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ONDUCTORES" sheetId="2" state="visible" r:id="rId2"/>
    <sheet xmlns:r="http://schemas.openxmlformats.org/officeDocument/2006/relationships" name="DETALLE IPRESS" sheetId="3" state="visible" r:id="rId3"/>
    <sheet xmlns:r="http://schemas.openxmlformats.org/officeDocument/2006/relationships" name="IPRESS" sheetId="4" state="hidden" r:id="rId4"/>
    <sheet xmlns:r="http://schemas.openxmlformats.org/officeDocument/2006/relationships" name="ENERO 2025" sheetId="5" state="hidden" r:id="rId5"/>
    <sheet xmlns:r="http://schemas.openxmlformats.org/officeDocument/2006/relationships" name="FEBRERO 2025" sheetId="6" state="hidden" r:id="rId6"/>
    <sheet xmlns:r="http://schemas.openxmlformats.org/officeDocument/2006/relationships" name="MARZO 2025" sheetId="7" state="hidden" r:id="rId7"/>
    <sheet xmlns:r="http://schemas.openxmlformats.org/officeDocument/2006/relationships" name="ABRIL 2025" sheetId="8" state="hidden" r:id="rId8"/>
    <sheet xmlns:r="http://schemas.openxmlformats.org/officeDocument/2006/relationships" name="MAYO 2025" sheetId="9" state="hidden" r:id="rId9"/>
    <sheet xmlns:r="http://schemas.openxmlformats.org/officeDocument/2006/relationships" name="JUNIO 2025" sheetId="10" state="hidden" r:id="rId10"/>
    <sheet xmlns:r="http://schemas.openxmlformats.org/officeDocument/2006/relationships" name="JULIO 2025" sheetId="11" state="hidden" r:id="rId11"/>
    <sheet xmlns:r="http://schemas.openxmlformats.org/officeDocument/2006/relationships" name="AGOSTO 2025" sheetId="12" state="hidden" r:id="rId12"/>
    <sheet xmlns:r="http://schemas.openxmlformats.org/officeDocument/2006/relationships" name="SETIEMBRE 2025" sheetId="13" state="hidden" r:id="rId13"/>
    <sheet xmlns:r="http://schemas.openxmlformats.org/officeDocument/2006/relationships" name="OCTUBRE 2025" sheetId="14" state="hidden" r:id="rId14"/>
    <sheet xmlns:r="http://schemas.openxmlformats.org/officeDocument/2006/relationships" name="NOVIEMBRE 2025" sheetId="15" state="hidden" r:id="rId15"/>
    <sheet xmlns:r="http://schemas.openxmlformats.org/officeDocument/2006/relationships" name="DICIEMBRE 2025" sheetId="16" state="hidden" r:id="rId16"/>
    <sheet xmlns:r="http://schemas.openxmlformats.org/officeDocument/2006/relationships" name="ENERO 2026" sheetId="17" state="visible" r:id="rId17"/>
    <sheet xmlns:r="http://schemas.openxmlformats.org/officeDocument/2006/relationships" name="FEBRERO 2026" sheetId="18" state="visible" r:id="rId18"/>
    <sheet xmlns:r="http://schemas.openxmlformats.org/officeDocument/2006/relationships" name="MARZO 2026" sheetId="19" state="visible" r:id="rId19"/>
    <sheet xmlns:r="http://schemas.openxmlformats.org/officeDocument/2006/relationships" name="ABRIL 2026" sheetId="20" state="visible" r:id="rId20"/>
    <sheet xmlns:r="http://schemas.openxmlformats.org/officeDocument/2006/relationships" name="MAYO 2026" sheetId="21" state="visible" r:id="rId21"/>
    <sheet xmlns:r="http://schemas.openxmlformats.org/officeDocument/2006/relationships" name="JUNIO 2026" sheetId="22" state="visible" r:id="rId22"/>
    <sheet xmlns:r="http://schemas.openxmlformats.org/officeDocument/2006/relationships" name="JULIO 2026" sheetId="23" state="visible" r:id="rId23"/>
    <sheet xmlns:r="http://schemas.openxmlformats.org/officeDocument/2006/relationships" name="AGOSTO 2026" sheetId="24" state="visible" r:id="rId24"/>
    <sheet xmlns:r="http://schemas.openxmlformats.org/officeDocument/2006/relationships" name="SETIEMBRE 2026" sheetId="25" state="visible" r:id="rId25"/>
    <sheet xmlns:r="http://schemas.openxmlformats.org/officeDocument/2006/relationships" name="OCTUBRE 2026" sheetId="26" state="hidden" r:id="rId26"/>
    <sheet xmlns:r="http://schemas.openxmlformats.org/officeDocument/2006/relationships" name="NOVIEMBRE 2026" sheetId="27" state="hidden" r:id="rId27"/>
    <sheet xmlns:r="http://schemas.openxmlformats.org/officeDocument/2006/relationships" name="DICIEMBRE 2026" sheetId="28" state="hidden" r:id="rId28"/>
    <sheet xmlns:r="http://schemas.openxmlformats.org/officeDocument/2006/relationships" name="_CALCULO" sheetId="29" state="hidden" r:id="rId29"/>
    <sheet xmlns:r="http://schemas.openxmlformats.org/officeDocument/2006/relationships" name="SCRIPT_AYUDA" sheetId="30" state="hidden" r:id="rId30"/>
    <sheet xmlns:r="http://schemas.openxmlformats.org/officeDocument/2006/relationships" name="_PENDIENTES" sheetId="31" state="hidden" r:id="rId31"/>
  </sheets>
  <definedNames>
    <definedName name="_xlnm._FilterDatabase" localSheetId="2" hidden="1">'DETALLE IPRESS'!$A$6:$M$245</definedName>
    <definedName name="_xlnm._FilterDatabase" localSheetId="16" hidden="1">'ENERO 2026'!$A$5:$N$99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&quot;S/ &quot;#,##0.00"/>
    <numFmt numFmtId="165" formatCode="dd/mm/yyyy"/>
  </numFmts>
  <fonts count="43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7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theme="1"/>
      <sz val="7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8"/>
    </font>
    <font>
      <name val="Arial"/>
      <charset val="1"/>
      <family val="0"/>
      <color rgb="FF000000"/>
      <sz val="9"/>
    </font>
    <font>
      <name val="Arial"/>
      <charset val="1"/>
      <family val="0"/>
      <color theme="1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theme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color rgb="FF444444"/>
      <sz val="9"/>
    </font>
    <font>
      <name val="Arial"/>
      <charset val="1"/>
      <family val="0"/>
      <sz val="9"/>
    </font>
    <font>
      <name val="Arial"/>
      <charset val="1"/>
      <family val="0"/>
      <b val="1"/>
      <color rgb="FF000000"/>
      <sz val="12"/>
    </font>
    <font>
      <name val="Arial"/>
      <charset val="1"/>
      <family val="0"/>
      <i val="1"/>
      <color rgb="FF2E75B6"/>
      <sz val="7"/>
    </font>
    <font>
      <name val="Arial"/>
      <charset val="1"/>
      <family val="0"/>
      <b val="1"/>
      <color rgb="FFFFFFFF"/>
      <sz val="12"/>
    </font>
    <font>
      <name val="Arial"/>
      <charset val="1"/>
      <family val="0"/>
      <i val="1"/>
      <color rgb="FF2E75B6"/>
      <sz val="9"/>
    </font>
    <font>
      <name val="Arial"/>
      <charset val="1"/>
      <family val="0"/>
      <color rgb="FF2E75B6"/>
      <sz val="9"/>
    </font>
    <font>
      <name val="Arial"/>
      <charset val="1"/>
      <family val="0"/>
      <b val="1"/>
      <color rgb="FFC00000"/>
      <sz val="13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843C0C"/>
      <sz val="13"/>
    </font>
    <font>
      <name val="Arial"/>
      <charset val="1"/>
      <family val="0"/>
      <b val="1"/>
      <color rgb="FF1F3864"/>
      <sz val="13"/>
    </font>
    <font>
      <name val="Arial"/>
      <charset val="1"/>
      <family val="0"/>
      <b val="1"/>
      <color rgb="FF1F3864"/>
      <sz val="7"/>
    </font>
    <font>
      <name val="Arial"/>
      <charset val="1"/>
      <family val="0"/>
      <color rgb="FF444444"/>
      <sz val="8"/>
    </font>
    <font>
      <name val="Arial"/>
      <charset val="1"/>
      <family val="0"/>
      <b val="1"/>
      <color theme="1"/>
      <sz val="10"/>
    </font>
    <font>
      <name val="Arial"/>
      <charset val="1"/>
      <family val="0"/>
      <i val="1"/>
      <color rgb="FF1F3864"/>
      <sz val="7"/>
    </font>
    <font>
      <name val="Arial"/>
      <charset val="1"/>
      <family val="0"/>
      <i val="1"/>
      <color rgb="FF1F3864"/>
      <sz val="9"/>
    </font>
    <font>
      <name val="Arial"/>
      <charset val="1"/>
      <family val="0"/>
      <b val="1"/>
      <color rgb="FFFF66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b val="1"/>
      <color theme="1"/>
      <sz val="11"/>
    </font>
    <font>
      <name val="Arial"/>
      <charset val="1"/>
      <family val="0"/>
      <i val="1"/>
      <color rgb="FF7F6000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1F3864"/>
      <sz val="7"/>
    </font>
    <font>
      <name val="Arial"/>
      <charset val="1"/>
      <family val="0"/>
      <sz val="8"/>
    </font>
    <font>
      <name val="Courier New"/>
      <charset val="1"/>
      <family val="0"/>
      <color theme="1"/>
      <sz val="9"/>
    </font>
    <font>
      <name val="Arial"/>
      <charset val="1"/>
      <family val="0"/>
      <b val="1"/>
      <color theme="1"/>
      <sz val="8"/>
    </font>
    <font>
      <name val="Arial"/>
      <charset val="1"/>
      <family val="0"/>
      <color theme="1"/>
      <sz val="8"/>
    </font>
    <font>
      <name val="Arial"/>
      <b val="1"/>
      <color rgb="00FF6600"/>
      <sz val="9"/>
    </font>
  </fonts>
  <fills count="23">
    <fill>
      <patternFill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FFFFFF"/>
        <bgColor rgb="FFF8F9FA"/>
      </patternFill>
    </fill>
    <fill>
      <patternFill patternType="solid">
        <fgColor rgb="FF2E75B6"/>
        <bgColor rgb="FF4472C4"/>
      </patternFill>
    </fill>
    <fill>
      <patternFill patternType="solid">
        <fgColor rgb="FFF2F2F2"/>
        <bgColor rgb="FFF8F9FA"/>
      </patternFill>
    </fill>
    <fill>
      <patternFill patternType="solid">
        <fgColor rgb="FFFFD966"/>
        <bgColor rgb="FFFFE699"/>
      </patternFill>
    </fill>
    <fill>
      <patternFill patternType="solid">
        <fgColor rgb="FF7030A0"/>
        <bgColor rgb="FF993366"/>
      </patternFill>
    </fill>
    <fill>
      <patternFill patternType="solid">
        <fgColor rgb="FF1F4E79"/>
        <bgColor rgb="FF1F3864"/>
      </patternFill>
    </fill>
    <fill>
      <patternFill patternType="solid">
        <fgColor rgb="FF843C0C"/>
        <bgColor rgb="FF7F6000"/>
      </patternFill>
    </fill>
    <fill>
      <patternFill patternType="solid">
        <fgColor rgb="FFDEEAF1"/>
        <bgColor rgb="FFE8F0FE"/>
      </patternFill>
    </fill>
    <fill>
      <patternFill patternType="solid">
        <fgColor rgb="FFFCE4D6"/>
        <bgColor rgb="FFFFE4CC"/>
      </patternFill>
    </fill>
    <fill>
      <patternFill patternType="solid">
        <fgColor rgb="FFFF6600"/>
        <bgColor rgb="FFFF9900"/>
      </patternFill>
    </fill>
    <fill>
      <patternFill patternType="solid">
        <fgColor rgb="FFE8F0FE"/>
        <bgColor rgb="FFF2F2F2"/>
      </patternFill>
    </fill>
    <fill>
      <patternFill patternType="solid">
        <fgColor rgb="FF375623"/>
        <bgColor rgb="FF444444"/>
      </patternFill>
    </fill>
    <fill>
      <patternFill patternType="solid">
        <fgColor rgb="FFBDD7EE"/>
        <bgColor rgb="FFC6EFCE"/>
      </patternFill>
    </fill>
    <fill>
      <patternFill patternType="solid">
        <fgColor rgb="FFC6EFCE"/>
        <bgColor rgb="FFDEEAF1"/>
      </patternFill>
    </fill>
    <fill>
      <patternFill patternType="solid">
        <fgColor rgb="FF4472C4"/>
        <bgColor rgb="FF2E75B6"/>
      </patternFill>
    </fill>
    <fill>
      <patternFill patternType="solid">
        <fgColor rgb="FFFFE4CC"/>
        <bgColor rgb="FFFCE4D6"/>
      </patternFill>
    </fill>
    <fill>
      <patternFill patternType="solid">
        <fgColor rgb="FFFFF2CC"/>
        <bgColor rgb="FFFFE4CC"/>
      </patternFill>
    </fill>
    <fill>
      <patternFill patternType="solid">
        <fgColor rgb="FFFFE699"/>
        <bgColor rgb="FFFFE4CC"/>
      </patternFill>
    </fill>
    <fill>
      <patternFill patternType="solid">
        <fgColor rgb="FFF8F9FA"/>
        <bgColor rgb="FFFFFFFF"/>
      </patternFill>
    </fill>
    <fill>
      <patternFill patternType="solid">
        <fgColor rgb="00FFE4CC"/>
      </patternFill>
    </fill>
  </fills>
  <borders count="19">
    <border>
      <left/>
      <right/>
      <top/>
      <bottom/>
      <diagonal/>
    </border>
    <border>
      <left style="medium">
        <color rgb="FF1F3864"/>
      </left>
      <right/>
      <top style="medium">
        <color rgb="FF1F3864"/>
      </top>
      <bottom style="thin">
        <color rgb="FFBBBBBB"/>
      </bottom>
      <diagonal/>
    </border>
    <border>
      <left style="medium">
        <color rgb="FF1F3864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medium">
        <color rgb="FF1F3864"/>
      </right>
      <top style="thin">
        <color rgb="FFBBBBBB"/>
      </top>
      <bottom style="thin">
        <color rgb="FFBBBBBB"/>
      </bottom>
      <diagonal/>
    </border>
    <border>
      <left style="medium">
        <color rgb="FF1F3864"/>
      </left>
      <right style="thin">
        <color rgb="FFBBBBBB"/>
      </right>
      <top style="thin">
        <color rgb="FFBBBBBB"/>
      </top>
      <bottom style="medium">
        <color rgb="FF1F3864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medium">
        <color rgb="FF1F3864"/>
      </bottom>
      <diagonal/>
    </border>
    <border>
      <left style="thin">
        <color rgb="FFBBBBBB"/>
      </left>
      <right style="medium">
        <color rgb="FF1F3864"/>
      </right>
      <top style="thin">
        <color rgb="FFBBBBBB"/>
      </top>
      <bottom style="medium">
        <color rgb="FF1F3864"/>
      </bottom>
      <diagonal/>
    </border>
    <border>
      <left style="medium">
        <color rgb="FF1F3864"/>
      </left>
      <right style="thin">
        <color rgb="FFBBBBBB"/>
      </right>
      <top style="medium">
        <color rgb="FF1F3864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medium">
        <color rgb="FF1F3864"/>
      </top>
      <bottom style="thin">
        <color rgb="FFBBBBBB"/>
      </bottom>
      <diagonal/>
    </border>
    <border>
      <left style="thin">
        <color rgb="FFBBBBBB"/>
      </left>
      <right style="medium">
        <color rgb="FF1F3864"/>
      </right>
      <top style="medium">
        <color rgb="FF1F3864"/>
      </top>
      <bottom style="thin">
        <color rgb="FFBBBBBB"/>
      </bottom>
      <diagonal/>
    </border>
    <border>
      <left style="medium">
        <color rgb="FF1F3864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medium">
        <color rgb="FF1F3864"/>
      </right>
      <top style="thin">
        <color rgb="FFBBBBBB"/>
      </top>
      <bottom/>
      <diagonal/>
    </border>
    <border>
      <left style="medium">
        <color rgb="FF1F3864"/>
      </left>
      <right style="thin">
        <color rgb="FFBBBBBB"/>
      </right>
      <top style="medium">
        <color rgb="FF1F3864"/>
      </top>
      <bottom style="medium">
        <color rgb="FF1F3864"/>
      </bottom>
      <diagonal/>
    </border>
    <border>
      <left style="thin">
        <color rgb="FFBBBBBB"/>
      </left>
      <right style="thin">
        <color rgb="FFBBBBBB"/>
      </right>
      <top style="medium">
        <color rgb="FF1F3864"/>
      </top>
      <bottom style="medium">
        <color rgb="FF1F3864"/>
      </bottom>
      <diagonal/>
    </border>
    <border>
      <left style="thin">
        <color rgb="FFBBBBBB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/>
      <diagonal/>
    </border>
    <border>
      <left/>
      <right/>
      <top style="medium">
        <color rgb="FF1F3864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8" fillId="4" borderId="4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9" fillId="4" borderId="3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left" vertical="center"/>
    </xf>
    <xf numFmtId="4" fontId="10" fillId="5" borderId="3" applyAlignment="1" pivotButton="0" quotePrefix="0" xfId="0">
      <alignment horizontal="center" vertical="center"/>
    </xf>
    <xf numFmtId="4" fontId="10" fillId="5" borderId="4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5" borderId="3" applyAlignment="1" pivotButton="0" quotePrefix="0" xfId="0">
      <alignment horizontal="center" vertical="center"/>
    </xf>
    <xf numFmtId="4" fontId="11" fillId="5" borderId="3" applyAlignment="1" pivotButton="0" quotePrefix="0" xfId="0">
      <alignment horizontal="center" vertical="center"/>
    </xf>
    <xf numFmtId="4" fontId="11" fillId="5" borderId="4" applyAlignment="1" pivotButton="0" quotePrefix="0" xfId="0">
      <alignment horizontal="center" vertical="center"/>
    </xf>
    <xf numFmtId="0" fontId="10" fillId="3" borderId="2" applyAlignment="1" pivotButton="0" quotePrefix="0" xfId="0">
      <alignment horizontal="left" vertical="center"/>
    </xf>
    <xf numFmtId="4" fontId="10" fillId="3" borderId="3" applyAlignment="1" pivotButton="0" quotePrefix="0" xfId="0">
      <alignment horizontal="center" vertical="center"/>
    </xf>
    <xf numFmtId="4" fontId="10" fillId="3" borderId="4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1" fillId="3" borderId="3" applyAlignment="1" pivotButton="0" quotePrefix="0" xfId="0">
      <alignment horizontal="center" vertical="center"/>
    </xf>
    <xf numFmtId="4" fontId="11" fillId="3" borderId="3" applyAlignment="1" pivotButton="0" quotePrefix="0" xfId="0">
      <alignment horizontal="center" vertical="center"/>
    </xf>
    <xf numFmtId="4" fontId="11" fillId="3" borderId="4" applyAlignment="1" pivotButton="0" quotePrefix="0" xfId="0">
      <alignment horizontal="center" vertical="center"/>
    </xf>
    <xf numFmtId="0" fontId="12" fillId="6" borderId="5" applyAlignment="1" pivotButton="0" quotePrefix="0" xfId="0">
      <alignment horizontal="left" vertical="center"/>
    </xf>
    <xf numFmtId="4" fontId="12" fillId="6" borderId="6" applyAlignment="1" pivotButton="0" quotePrefix="0" xfId="0">
      <alignment horizontal="center" vertical="center"/>
    </xf>
    <xf numFmtId="4" fontId="12" fillId="6" borderId="7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7" borderId="3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4" fontId="13" fillId="6" borderId="6" applyAlignment="1" pivotButton="0" quotePrefix="0" xfId="0">
      <alignment horizontal="center" vertical="center"/>
    </xf>
    <xf numFmtId="4" fontId="13" fillId="6" borderId="7" applyAlignment="1" pivotButton="0" quotePrefix="0" xfId="0">
      <alignment horizontal="center" vertical="center"/>
    </xf>
    <xf numFmtId="0" fontId="14" fillId="2" borderId="5" applyAlignment="1" pivotButton="0" quotePrefix="0" xfId="0">
      <alignment horizontal="center" vertical="center"/>
    </xf>
    <xf numFmtId="0" fontId="10" fillId="3" borderId="0" applyAlignment="1" pivotButton="0" quotePrefix="0" xfId="0">
      <alignment horizontal="general" vertical="bottom"/>
    </xf>
    <xf numFmtId="0" fontId="6" fillId="8" borderId="0" applyAlignment="1" pivotButton="0" quotePrefix="0" xfId="0">
      <alignment horizontal="center" vertical="center"/>
    </xf>
    <xf numFmtId="0" fontId="9" fillId="8" borderId="0" applyAlignment="1" pivotButton="0" quotePrefix="0" xfId="0">
      <alignment horizontal="center" vertical="center" wrapText="1"/>
    </xf>
    <xf numFmtId="0" fontId="10" fillId="3" borderId="0" applyAlignment="1" pivotButton="0" quotePrefix="0" xfId="0">
      <alignment horizontal="center" vertical="center" wrapText="1"/>
    </xf>
    <xf numFmtId="0" fontId="12" fillId="3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4" fontId="10" fillId="3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center" vertical="center"/>
    </xf>
    <xf numFmtId="0" fontId="15" fillId="5" borderId="0" applyAlignment="1" pivotButton="0" quotePrefix="0" xfId="0">
      <alignment horizontal="left" vertical="center"/>
    </xf>
    <xf numFmtId="0" fontId="16" fillId="5" borderId="0" applyAlignment="1" pivotButton="0" quotePrefix="0" xfId="0">
      <alignment horizontal="center" vertical="center"/>
    </xf>
    <xf numFmtId="4" fontId="10" fillId="5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general" vertical="bottom"/>
    </xf>
    <xf numFmtId="0" fontId="14" fillId="8" borderId="0" applyAlignment="1" pivotButton="0" quotePrefix="0" xfId="0">
      <alignment horizontal="center" vertical="center"/>
    </xf>
    <xf numFmtId="4" fontId="18" fillId="6" borderId="0" applyAlignment="1" pivotButton="0" quotePrefix="0" xfId="0">
      <alignment horizontal="center" vertical="center"/>
    </xf>
    <xf numFmtId="164" fontId="18" fillId="6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 wrapText="1"/>
    </xf>
    <xf numFmtId="4" fontId="17" fillId="3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 wrapText="1"/>
    </xf>
    <xf numFmtId="4" fontId="9" fillId="9" borderId="0" applyAlignment="1" pivotButton="0" quotePrefix="0" xfId="0">
      <alignment horizontal="center" vertical="center" wrapText="1"/>
    </xf>
    <xf numFmtId="0" fontId="14" fillId="9" borderId="0" applyAlignment="1" pivotButton="0" quotePrefix="0" xfId="0">
      <alignment horizontal="center" vertical="center"/>
    </xf>
    <xf numFmtId="4" fontId="17" fillId="3" borderId="0" applyAlignment="1" pivotButton="0" quotePrefix="0" xfId="0">
      <alignment horizontal="center" vertical="center"/>
    </xf>
    <xf numFmtId="164" fontId="17" fillId="3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left" vertical="center"/>
    </xf>
    <xf numFmtId="0" fontId="19" fillId="1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center" vertical="center" wrapText="1"/>
    </xf>
    <xf numFmtId="0" fontId="8" fillId="4" borderId="8" applyAlignment="1" pivotButton="0" quotePrefix="0" xfId="0">
      <alignment horizontal="center" vertical="center" wrapText="1"/>
    </xf>
    <xf numFmtId="0" fontId="8" fillId="4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49" fontId="11" fillId="3" borderId="2" applyAlignment="1" pivotButton="0" quotePrefix="0" xfId="0">
      <alignment horizontal="center" vertical="center"/>
    </xf>
    <xf numFmtId="0" fontId="11" fillId="3" borderId="3" applyAlignment="1" pivotButton="0" quotePrefix="0" xfId="0">
      <alignment horizontal="left" vertical="center"/>
    </xf>
    <xf numFmtId="0" fontId="11" fillId="3" borderId="4" applyAlignment="1" pivotButton="0" quotePrefix="0" xfId="0">
      <alignment horizontal="center" vertical="center"/>
    </xf>
    <xf numFmtId="49" fontId="11" fillId="5" borderId="2" applyAlignment="1" pivotButton="0" quotePrefix="0" xfId="0">
      <alignment horizontal="center" vertical="center"/>
    </xf>
    <xf numFmtId="0" fontId="11" fillId="5" borderId="3" applyAlignment="1" pivotButton="0" quotePrefix="0" xfId="0">
      <alignment horizontal="left" vertical="center"/>
    </xf>
    <xf numFmtId="0" fontId="11" fillId="5" borderId="4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3" borderId="3" applyAlignment="1" pivotButton="0" quotePrefix="0" xfId="0">
      <alignment horizontal="center" vertical="center"/>
    </xf>
    <xf numFmtId="49" fontId="11" fillId="3" borderId="11" applyAlignment="1" pivotButton="0" quotePrefix="0" xfId="0">
      <alignment horizontal="center" vertical="center"/>
    </xf>
    <xf numFmtId="0" fontId="11" fillId="3" borderId="12" applyAlignment="1" pivotButton="0" quotePrefix="0" xfId="0">
      <alignment horizontal="left" vertical="center"/>
    </xf>
    <xf numFmtId="0" fontId="11" fillId="3" borderId="12" applyAlignment="1" pivotButton="0" quotePrefix="0" xfId="0">
      <alignment horizontal="center" vertical="center"/>
    </xf>
    <xf numFmtId="0" fontId="11" fillId="3" borderId="13" applyAlignment="1" pivotButton="0" quotePrefix="0" xfId="0">
      <alignment horizontal="center" vertical="center"/>
    </xf>
    <xf numFmtId="49" fontId="11" fillId="3" borderId="5" applyAlignment="1" pivotButton="0" quotePrefix="0" xfId="0">
      <alignment horizontal="center" vertical="center"/>
    </xf>
    <xf numFmtId="0" fontId="11" fillId="3" borderId="6" applyAlignment="1" pivotButton="0" quotePrefix="0" xfId="0">
      <alignment horizontal="left" vertical="center"/>
    </xf>
    <xf numFmtId="0" fontId="11" fillId="3" borderId="6" applyAlignment="1" pivotButton="0" quotePrefix="0" xfId="0">
      <alignment horizontal="center" vertical="center"/>
    </xf>
    <xf numFmtId="0" fontId="11" fillId="3" borderId="7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/>
    </xf>
    <xf numFmtId="49" fontId="21" fillId="0" borderId="0" applyAlignment="1" pivotButton="0" quotePrefix="0" xfId="0">
      <alignment horizontal="general" vertical="bottom"/>
    </xf>
    <xf numFmtId="0" fontId="20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general" vertical="bottom"/>
    </xf>
    <xf numFmtId="0" fontId="22" fillId="3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4" fontId="11" fillId="3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general" vertical="bottom"/>
    </xf>
    <xf numFmtId="0" fontId="8" fillId="8" borderId="0" applyAlignment="1" pivotButton="0" quotePrefix="0" xfId="0">
      <alignment horizontal="center" vertical="center"/>
    </xf>
    <xf numFmtId="4" fontId="24" fillId="10" borderId="0" applyAlignment="1" pivotButton="0" quotePrefix="0" xfId="0">
      <alignment horizontal="center" vertical="center"/>
    </xf>
    <xf numFmtId="0" fontId="8" fillId="9" borderId="0" applyAlignment="1" pivotButton="0" quotePrefix="0" xfId="0">
      <alignment horizontal="center" vertical="center"/>
    </xf>
    <xf numFmtId="4" fontId="25" fillId="11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164" fontId="26" fillId="6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center" vertical="center" wrapText="1"/>
    </xf>
    <xf numFmtId="0" fontId="9" fillId="12" borderId="0" applyAlignment="1" pivotButton="0" quotePrefix="0" xfId="0">
      <alignment horizontal="center" vertical="center" wrapText="1"/>
    </xf>
    <xf numFmtId="0" fontId="27" fillId="2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left" vertical="center"/>
    </xf>
    <xf numFmtId="4" fontId="10" fillId="5" borderId="0" applyAlignment="1" pivotButton="0" quotePrefix="0" xfId="0">
      <alignment horizontal="left" vertical="center"/>
    </xf>
    <xf numFmtId="0" fontId="28" fillId="1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left" vertical="center"/>
    </xf>
    <xf numFmtId="165" fontId="10" fillId="5" borderId="0" applyAlignment="1" pivotButton="0" quotePrefix="0" xfId="0">
      <alignment horizontal="center" vertical="center"/>
    </xf>
    <xf numFmtId="165" fontId="10" fillId="3" borderId="0" applyAlignment="1" pivotButton="0" quotePrefix="0" xfId="0">
      <alignment horizontal="center" vertical="center"/>
    </xf>
    <xf numFmtId="4" fontId="10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bottom"/>
    </xf>
    <xf numFmtId="0" fontId="20" fillId="14" borderId="0" applyAlignment="1" pivotButton="0" quotePrefix="0" xfId="0">
      <alignment horizontal="center" vertical="center" wrapText="1"/>
    </xf>
    <xf numFmtId="0" fontId="8" fillId="14" borderId="8" applyAlignment="1" pivotButton="0" quotePrefix="0" xfId="0">
      <alignment horizontal="center" vertical="center" wrapText="1"/>
    </xf>
    <xf numFmtId="0" fontId="8" fillId="14" borderId="9" applyAlignment="1" pivotButton="0" quotePrefix="0" xfId="0">
      <alignment horizontal="center" vertical="center" wrapText="1"/>
    </xf>
    <xf numFmtId="0" fontId="8" fillId="14" borderId="10" applyAlignment="1" pivotButton="0" quotePrefix="0" xfId="0">
      <alignment horizontal="center" vertical="center" wrapText="1"/>
    </xf>
    <xf numFmtId="0" fontId="11" fillId="5" borderId="5" applyAlignment="1" pivotButton="0" quotePrefix="0" xfId="0">
      <alignment horizontal="center" vertical="center"/>
    </xf>
    <xf numFmtId="0" fontId="11" fillId="5" borderId="6" applyAlignment="1" pivotButton="0" quotePrefix="0" xfId="0">
      <alignment horizontal="left" vertical="center"/>
    </xf>
    <xf numFmtId="0" fontId="11" fillId="5" borderId="7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 wrapText="1"/>
    </xf>
    <xf numFmtId="0" fontId="9" fillId="4" borderId="0" applyAlignment="1" pivotButton="0" quotePrefix="0" xfId="0">
      <alignment horizontal="center" vertical="center"/>
    </xf>
    <xf numFmtId="4" fontId="29" fillId="15" borderId="0" applyAlignment="1" pivotButton="0" quotePrefix="0" xfId="0">
      <alignment horizontal="center" vertical="center"/>
    </xf>
    <xf numFmtId="4" fontId="29" fillId="6" borderId="0" applyAlignment="1" pivotButton="0" quotePrefix="0" xfId="0">
      <alignment horizontal="center" vertical="center"/>
    </xf>
    <xf numFmtId="4" fontId="29" fillId="16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0" fillId="2" borderId="0" applyAlignment="1" pivotButton="0" quotePrefix="0" xfId="0">
      <alignment horizontal="general" vertical="bottom"/>
    </xf>
    <xf numFmtId="0" fontId="5" fillId="12" borderId="0" applyAlignment="1" pivotButton="0" quotePrefix="0" xfId="0">
      <alignment horizontal="center" vertical="center" wrapText="1"/>
    </xf>
    <xf numFmtId="0" fontId="30" fillId="10" borderId="0" applyAlignment="1" pivotButton="0" quotePrefix="0" xfId="0">
      <alignment horizontal="left" vertical="center" wrapText="1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17" borderId="15" applyAlignment="1" pivotButton="0" quotePrefix="0" xfId="0">
      <alignment horizontal="center" vertical="center" wrapText="1"/>
    </xf>
    <xf numFmtId="0" fontId="31" fillId="15" borderId="15" applyAlignment="1" pivotButton="0" quotePrefix="0" xfId="0">
      <alignment horizontal="center" vertical="center"/>
    </xf>
    <xf numFmtId="0" fontId="32" fillId="18" borderId="16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165" fontId="11" fillId="5" borderId="0" applyAlignment="1" pivotButton="0" quotePrefix="0" xfId="0">
      <alignment horizontal="center" vertical="center"/>
    </xf>
    <xf numFmtId="0" fontId="31" fillId="15" borderId="0" applyAlignment="1" pivotButton="0" quotePrefix="0" xfId="0">
      <alignment horizontal="center" vertical="center"/>
    </xf>
    <xf numFmtId="4" fontId="31" fillId="1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33" fillId="16" borderId="0" applyAlignment="1" pivotButton="0" quotePrefix="0" xfId="0">
      <alignment horizontal="center" vertical="center"/>
    </xf>
    <xf numFmtId="165" fontId="11" fillId="3" borderId="0" applyAlignment="1" pivotButton="0" quotePrefix="0" xfId="0">
      <alignment horizontal="center" vertical="center"/>
    </xf>
    <xf numFmtId="0" fontId="10" fillId="19" borderId="0" applyAlignment="1" pivotButton="0" quotePrefix="0" xfId="0">
      <alignment horizontal="center" vertical="center"/>
    </xf>
    <xf numFmtId="0" fontId="10" fillId="19" borderId="0" applyAlignment="1" pivotButton="0" quotePrefix="0" xfId="0">
      <alignment horizontal="left" vertical="center"/>
    </xf>
    <xf numFmtId="165" fontId="11" fillId="19" borderId="0" applyAlignment="1" pivotButton="0" quotePrefix="0" xfId="0">
      <alignment horizontal="center" vertical="center"/>
    </xf>
    <xf numFmtId="4" fontId="10" fillId="19" borderId="0" applyAlignment="1" pivotButton="0" quotePrefix="0" xfId="0">
      <alignment horizontal="center" vertical="center"/>
    </xf>
    <xf numFmtId="0" fontId="11" fillId="19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 wrapText="1"/>
    </xf>
    <xf numFmtId="0" fontId="31" fillId="3" borderId="0" applyAlignment="1" pivotButton="0" quotePrefix="0" xfId="0">
      <alignment horizontal="center" vertical="center"/>
    </xf>
    <xf numFmtId="4" fontId="34" fillId="6" borderId="0" applyAlignment="1" pivotButton="0" quotePrefix="0" xfId="0">
      <alignment horizontal="center" vertical="center"/>
    </xf>
    <xf numFmtId="4" fontId="31" fillId="3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 wrapText="1"/>
    </xf>
    <xf numFmtId="4" fontId="29" fillId="6" borderId="0" applyAlignment="1" pivotButton="0" quotePrefix="0" xfId="0">
      <alignment horizontal="center" vertical="center"/>
    </xf>
    <xf numFmtId="0" fontId="10" fillId="19" borderId="0" applyAlignment="1" pivotButton="0" quotePrefix="0" xfId="0">
      <alignment horizontal="center" vertical="center" wrapText="1"/>
    </xf>
    <xf numFmtId="0" fontId="5" fillId="12" borderId="16" applyAlignment="1" pivotButton="0" quotePrefix="0" xfId="0">
      <alignment horizontal="center" vertical="center" wrapText="1"/>
    </xf>
    <xf numFmtId="0" fontId="9" fillId="14" borderId="0" applyAlignment="1" pivotButton="0" quotePrefix="0" xfId="0">
      <alignment horizontal="center" vertical="center" wrapText="1"/>
    </xf>
    <xf numFmtId="0" fontId="13" fillId="3" borderId="0" applyAlignment="1" pivotButton="0" quotePrefix="0" xfId="0">
      <alignment horizontal="center" vertical="center"/>
    </xf>
    <xf numFmtId="0" fontId="10" fillId="18" borderId="0" applyAlignment="1" pivotButton="0" quotePrefix="0" xfId="0">
      <alignment horizontal="center" vertical="center"/>
    </xf>
    <xf numFmtId="0" fontId="10" fillId="18" borderId="0" applyAlignment="1" pivotButton="0" quotePrefix="0" xfId="0">
      <alignment horizontal="left" vertical="center"/>
    </xf>
    <xf numFmtId="165" fontId="11" fillId="18" borderId="0" applyAlignment="1" pivotButton="0" quotePrefix="0" xfId="0">
      <alignment horizontal="center" vertical="center"/>
    </xf>
    <xf numFmtId="4" fontId="10" fillId="18" borderId="0" applyAlignment="1" pivotButton="0" quotePrefix="0" xfId="0">
      <alignment horizontal="center" vertical="center"/>
    </xf>
    <xf numFmtId="0" fontId="11" fillId="18" borderId="0" applyAlignment="1" pivotButton="0" quotePrefix="0" xfId="0">
      <alignment horizontal="center" vertical="center"/>
    </xf>
    <xf numFmtId="0" fontId="32" fillId="18" borderId="0" applyAlignment="1" pivotButton="0" quotePrefix="0" xfId="0">
      <alignment horizontal="center" vertical="center"/>
    </xf>
    <xf numFmtId="0" fontId="35" fillId="2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 wrapText="1"/>
    </xf>
    <xf numFmtId="4" fontId="34" fillId="3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 wrapText="1"/>
    </xf>
    <xf numFmtId="4" fontId="29" fillId="3" borderId="0" applyAlignment="1" pivotButton="0" quotePrefix="0" xfId="0">
      <alignment horizontal="center" vertical="center"/>
    </xf>
    <xf numFmtId="0" fontId="31" fillId="18" borderId="0" applyAlignment="1" pivotButton="0" quotePrefix="0" xfId="0">
      <alignment horizontal="center" vertical="center"/>
    </xf>
    <xf numFmtId="4" fontId="31" fillId="18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4" fontId="36" fillId="15" borderId="0" applyAlignment="1" pivotButton="0" quotePrefix="0" xfId="0">
      <alignment horizontal="center" vertical="center"/>
    </xf>
    <xf numFmtId="4" fontId="36" fillId="6" borderId="0" applyAlignment="1" pivotButton="0" quotePrefix="0" xfId="0">
      <alignment horizontal="center" vertical="center"/>
    </xf>
    <xf numFmtId="3" fontId="36" fillId="16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/>
    </xf>
    <xf numFmtId="0" fontId="37" fillId="10" borderId="0" applyAlignment="1" pivotButton="0" quotePrefix="0" xfId="0">
      <alignment horizontal="left" vertical="center" wrapText="1"/>
    </xf>
    <xf numFmtId="0" fontId="37" fillId="10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5" fillId="17" borderId="0" applyAlignment="1" pivotButton="0" quotePrefix="0" xfId="0">
      <alignment horizontal="center" vertical="center" wrapText="1"/>
    </xf>
    <xf numFmtId="0" fontId="5" fillId="14" borderId="0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/>
    </xf>
    <xf numFmtId="4" fontId="11" fillId="5" borderId="0" applyAlignment="1" pivotButton="0" quotePrefix="0" xfId="0">
      <alignment horizontal="center" vertical="center"/>
    </xf>
    <xf numFmtId="4" fontId="11" fillId="3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4" fontId="38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4" fillId="4" borderId="0" applyAlignment="1" pivotButton="0" quotePrefix="0" xfId="0">
      <alignment horizontal="center" vertical="center"/>
    </xf>
    <xf numFmtId="0" fontId="39" fillId="21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4" fontId="4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0" fillId="0" borderId="18" pivotButton="0" quotePrefix="0" xfId="0"/>
    <xf numFmtId="0" fontId="7" fillId="3" borderId="0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8" fillId="4" borderId="4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9" fillId="4" borderId="3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left" vertical="center"/>
    </xf>
    <xf numFmtId="4" fontId="10" fillId="5" borderId="3" applyAlignment="1" pivotButton="0" quotePrefix="0" xfId="0">
      <alignment horizontal="center" vertical="center"/>
    </xf>
    <xf numFmtId="4" fontId="10" fillId="5" borderId="4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5" borderId="3" applyAlignment="1" pivotButton="0" quotePrefix="0" xfId="0">
      <alignment horizontal="center" vertical="center"/>
    </xf>
    <xf numFmtId="4" fontId="11" fillId="5" borderId="3" applyAlignment="1" pivotButton="0" quotePrefix="0" xfId="0">
      <alignment horizontal="center" vertical="center"/>
    </xf>
    <xf numFmtId="4" fontId="11" fillId="5" borderId="4" applyAlignment="1" pivotButton="0" quotePrefix="0" xfId="0">
      <alignment horizontal="center" vertical="center"/>
    </xf>
    <xf numFmtId="0" fontId="10" fillId="3" borderId="2" applyAlignment="1" pivotButton="0" quotePrefix="0" xfId="0">
      <alignment horizontal="left" vertical="center"/>
    </xf>
    <xf numFmtId="4" fontId="10" fillId="3" borderId="3" applyAlignment="1" pivotButton="0" quotePrefix="0" xfId="0">
      <alignment horizontal="center" vertical="center"/>
    </xf>
    <xf numFmtId="4" fontId="10" fillId="3" borderId="4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1" fillId="3" borderId="3" applyAlignment="1" pivotButton="0" quotePrefix="0" xfId="0">
      <alignment horizontal="center" vertical="center"/>
    </xf>
    <xf numFmtId="4" fontId="11" fillId="3" borderId="3" applyAlignment="1" pivotButton="0" quotePrefix="0" xfId="0">
      <alignment horizontal="center" vertical="center"/>
    </xf>
    <xf numFmtId="4" fontId="11" fillId="3" borderId="4" applyAlignment="1" pivotButton="0" quotePrefix="0" xfId="0">
      <alignment horizontal="center" vertical="center"/>
    </xf>
    <xf numFmtId="0" fontId="12" fillId="6" borderId="5" applyAlignment="1" pivotButton="0" quotePrefix="0" xfId="0">
      <alignment horizontal="left" vertical="center"/>
    </xf>
    <xf numFmtId="4" fontId="12" fillId="6" borderId="6" applyAlignment="1" pivotButton="0" quotePrefix="0" xfId="0">
      <alignment horizontal="center" vertical="center"/>
    </xf>
    <xf numFmtId="4" fontId="12" fillId="6" borderId="7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7" borderId="3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4" fontId="13" fillId="6" borderId="6" applyAlignment="1" pivotButton="0" quotePrefix="0" xfId="0">
      <alignment horizontal="center" vertical="center"/>
    </xf>
    <xf numFmtId="4" fontId="13" fillId="6" borderId="7" applyAlignment="1" pivotButton="0" quotePrefix="0" xfId="0">
      <alignment horizontal="center" vertical="center"/>
    </xf>
    <xf numFmtId="0" fontId="14" fillId="2" borderId="5" applyAlignment="1" pivotButton="0" quotePrefix="0" xfId="0">
      <alignment horizontal="center" vertical="center"/>
    </xf>
    <xf numFmtId="0" fontId="10" fillId="3" borderId="0" applyAlignment="1" pivotButton="0" quotePrefix="0" xfId="0">
      <alignment horizontal="general" vertical="bottom"/>
    </xf>
    <xf numFmtId="0" fontId="6" fillId="8" borderId="0" applyAlignment="1" pivotButton="0" quotePrefix="0" xfId="0">
      <alignment horizontal="center" vertical="center"/>
    </xf>
    <xf numFmtId="0" fontId="9" fillId="8" borderId="0" applyAlignment="1" pivotButton="0" quotePrefix="0" xfId="0">
      <alignment horizontal="center" vertical="center" wrapText="1"/>
    </xf>
    <xf numFmtId="0" fontId="10" fillId="3" borderId="0" applyAlignment="1" pivotButton="0" quotePrefix="0" xfId="0">
      <alignment horizontal="center" vertical="center" wrapText="1"/>
    </xf>
    <xf numFmtId="0" fontId="12" fillId="3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4" fontId="10" fillId="3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center" vertical="center"/>
    </xf>
    <xf numFmtId="0" fontId="15" fillId="5" borderId="0" applyAlignment="1" pivotButton="0" quotePrefix="0" xfId="0">
      <alignment horizontal="left" vertical="center"/>
    </xf>
    <xf numFmtId="0" fontId="16" fillId="5" borderId="0" applyAlignment="1" pivotButton="0" quotePrefix="0" xfId="0">
      <alignment horizontal="center" vertical="center"/>
    </xf>
    <xf numFmtId="4" fontId="10" fillId="5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general" vertical="bottom"/>
    </xf>
    <xf numFmtId="0" fontId="14" fillId="8" borderId="0" applyAlignment="1" pivotButton="0" quotePrefix="0" xfId="0">
      <alignment horizontal="center" vertical="center"/>
    </xf>
    <xf numFmtId="4" fontId="18" fillId="6" borderId="0" applyAlignment="1" pivotButton="0" quotePrefix="0" xfId="0">
      <alignment horizontal="center" vertical="center"/>
    </xf>
    <xf numFmtId="164" fontId="18" fillId="6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 wrapText="1"/>
    </xf>
    <xf numFmtId="4" fontId="17" fillId="3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 wrapText="1"/>
    </xf>
    <xf numFmtId="4" fontId="9" fillId="9" borderId="0" applyAlignment="1" pivotButton="0" quotePrefix="0" xfId="0">
      <alignment horizontal="center" vertical="center" wrapText="1"/>
    </xf>
    <xf numFmtId="0" fontId="14" fillId="9" borderId="0" applyAlignment="1" pivotButton="0" quotePrefix="0" xfId="0">
      <alignment horizontal="center" vertical="center"/>
    </xf>
    <xf numFmtId="4" fontId="17" fillId="3" borderId="0" applyAlignment="1" pivotButton="0" quotePrefix="0" xfId="0">
      <alignment horizontal="center" vertical="center"/>
    </xf>
    <xf numFmtId="164" fontId="17" fillId="3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left" vertical="center"/>
    </xf>
    <xf numFmtId="0" fontId="19" fillId="1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center" vertical="center" wrapText="1"/>
    </xf>
    <xf numFmtId="0" fontId="8" fillId="4" borderId="8" applyAlignment="1" pivotButton="0" quotePrefix="0" xfId="0">
      <alignment horizontal="center" vertical="center" wrapText="1"/>
    </xf>
    <xf numFmtId="0" fontId="8" fillId="4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49" fontId="11" fillId="3" borderId="2" applyAlignment="1" pivotButton="0" quotePrefix="0" xfId="0">
      <alignment horizontal="center" vertical="center"/>
    </xf>
    <xf numFmtId="0" fontId="11" fillId="3" borderId="3" applyAlignment="1" pivotButton="0" quotePrefix="0" xfId="0">
      <alignment horizontal="left" vertical="center"/>
    </xf>
    <xf numFmtId="0" fontId="11" fillId="3" borderId="4" applyAlignment="1" pivotButton="0" quotePrefix="0" xfId="0">
      <alignment horizontal="center" vertical="center"/>
    </xf>
    <xf numFmtId="49" fontId="11" fillId="5" borderId="2" applyAlignment="1" pivotButton="0" quotePrefix="0" xfId="0">
      <alignment horizontal="center" vertical="center"/>
    </xf>
    <xf numFmtId="0" fontId="11" fillId="5" borderId="3" applyAlignment="1" pivotButton="0" quotePrefix="0" xfId="0">
      <alignment horizontal="left" vertical="center"/>
    </xf>
    <xf numFmtId="0" fontId="11" fillId="5" borderId="4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3" borderId="3" applyAlignment="1" pivotButton="0" quotePrefix="0" xfId="0">
      <alignment horizontal="center" vertical="center"/>
    </xf>
    <xf numFmtId="49" fontId="11" fillId="3" borderId="11" applyAlignment="1" pivotButton="0" quotePrefix="0" xfId="0">
      <alignment horizontal="center" vertical="center"/>
    </xf>
    <xf numFmtId="0" fontId="11" fillId="3" borderId="12" applyAlignment="1" pivotButton="0" quotePrefix="0" xfId="0">
      <alignment horizontal="left" vertical="center"/>
    </xf>
    <xf numFmtId="0" fontId="11" fillId="3" borderId="12" applyAlignment="1" pivotButton="0" quotePrefix="0" xfId="0">
      <alignment horizontal="center" vertical="center"/>
    </xf>
    <xf numFmtId="0" fontId="11" fillId="3" borderId="13" applyAlignment="1" pivotButton="0" quotePrefix="0" xfId="0">
      <alignment horizontal="center" vertical="center"/>
    </xf>
    <xf numFmtId="49" fontId="11" fillId="3" borderId="5" applyAlignment="1" pivotButton="0" quotePrefix="0" xfId="0">
      <alignment horizontal="center" vertical="center"/>
    </xf>
    <xf numFmtId="0" fontId="11" fillId="3" borderId="6" applyAlignment="1" pivotButton="0" quotePrefix="0" xfId="0">
      <alignment horizontal="left" vertical="center"/>
    </xf>
    <xf numFmtId="0" fontId="11" fillId="3" borderId="6" applyAlignment="1" pivotButton="0" quotePrefix="0" xfId="0">
      <alignment horizontal="center" vertical="center"/>
    </xf>
    <xf numFmtId="0" fontId="11" fillId="3" borderId="7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/>
    </xf>
    <xf numFmtId="49" fontId="21" fillId="0" borderId="0" applyAlignment="1" pivotButton="0" quotePrefix="0" xfId="0">
      <alignment horizontal="general" vertical="bottom"/>
    </xf>
    <xf numFmtId="0" fontId="20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general" vertical="bottom"/>
    </xf>
    <xf numFmtId="0" fontId="22" fillId="3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4" fontId="11" fillId="3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general" vertical="bottom"/>
    </xf>
    <xf numFmtId="0" fontId="8" fillId="8" borderId="0" applyAlignment="1" pivotButton="0" quotePrefix="0" xfId="0">
      <alignment horizontal="center" vertical="center"/>
    </xf>
    <xf numFmtId="4" fontId="24" fillId="10" borderId="0" applyAlignment="1" pivotButton="0" quotePrefix="0" xfId="0">
      <alignment horizontal="center" vertical="center"/>
    </xf>
    <xf numFmtId="0" fontId="8" fillId="9" borderId="0" applyAlignment="1" pivotButton="0" quotePrefix="0" xfId="0">
      <alignment horizontal="center" vertical="center"/>
    </xf>
    <xf numFmtId="4" fontId="25" fillId="11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164" fontId="26" fillId="6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center" vertical="center" wrapText="1"/>
    </xf>
    <xf numFmtId="0" fontId="9" fillId="12" borderId="0" applyAlignment="1" pivotButton="0" quotePrefix="0" xfId="0">
      <alignment horizontal="center" vertical="center" wrapText="1"/>
    </xf>
    <xf numFmtId="0" fontId="27" fillId="2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left" vertical="center"/>
    </xf>
    <xf numFmtId="4" fontId="10" fillId="5" borderId="0" applyAlignment="1" pivotButton="0" quotePrefix="0" xfId="0">
      <alignment horizontal="left" vertical="center"/>
    </xf>
    <xf numFmtId="0" fontId="28" fillId="1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left" vertical="center"/>
    </xf>
    <xf numFmtId="165" fontId="10" fillId="5" borderId="0" applyAlignment="1" pivotButton="0" quotePrefix="0" xfId="0">
      <alignment horizontal="center" vertical="center"/>
    </xf>
    <xf numFmtId="165" fontId="10" fillId="3" borderId="0" applyAlignment="1" pivotButton="0" quotePrefix="0" xfId="0">
      <alignment horizontal="center" vertical="center"/>
    </xf>
    <xf numFmtId="4" fontId="10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bottom"/>
    </xf>
    <xf numFmtId="0" fontId="20" fillId="14" borderId="0" applyAlignment="1" pivotButton="0" quotePrefix="0" xfId="0">
      <alignment horizontal="center" vertical="center" wrapText="1"/>
    </xf>
    <xf numFmtId="0" fontId="8" fillId="14" borderId="8" applyAlignment="1" pivotButton="0" quotePrefix="0" xfId="0">
      <alignment horizontal="center" vertical="center" wrapText="1"/>
    </xf>
    <xf numFmtId="0" fontId="8" fillId="14" borderId="9" applyAlignment="1" pivotButton="0" quotePrefix="0" xfId="0">
      <alignment horizontal="center" vertical="center" wrapText="1"/>
    </xf>
    <xf numFmtId="0" fontId="8" fillId="14" borderId="10" applyAlignment="1" pivotButton="0" quotePrefix="0" xfId="0">
      <alignment horizontal="center" vertical="center" wrapText="1"/>
    </xf>
    <xf numFmtId="0" fontId="11" fillId="5" borderId="5" applyAlignment="1" pivotButton="0" quotePrefix="0" xfId="0">
      <alignment horizontal="center" vertical="center"/>
    </xf>
    <xf numFmtId="0" fontId="11" fillId="5" borderId="6" applyAlignment="1" pivotButton="0" quotePrefix="0" xfId="0">
      <alignment horizontal="left" vertical="center"/>
    </xf>
    <xf numFmtId="0" fontId="11" fillId="5" borderId="7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 wrapText="1"/>
    </xf>
    <xf numFmtId="0" fontId="9" fillId="4" borderId="0" applyAlignment="1" pivotButton="0" quotePrefix="0" xfId="0">
      <alignment horizontal="center" vertical="center"/>
    </xf>
    <xf numFmtId="4" fontId="29" fillId="15" borderId="0" applyAlignment="1" pivotButton="0" quotePrefix="0" xfId="0">
      <alignment horizontal="center" vertical="center"/>
    </xf>
    <xf numFmtId="4" fontId="29" fillId="6" borderId="0" applyAlignment="1" pivotButton="0" quotePrefix="0" xfId="0">
      <alignment horizontal="center" vertical="center"/>
    </xf>
    <xf numFmtId="4" fontId="29" fillId="16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0" fillId="2" borderId="0" applyAlignment="1" pivotButton="0" quotePrefix="0" xfId="0">
      <alignment horizontal="general" vertical="bottom"/>
    </xf>
    <xf numFmtId="0" fontId="5" fillId="12" borderId="0" applyAlignment="1" pivotButton="0" quotePrefix="0" xfId="0">
      <alignment horizontal="center" vertical="center" wrapText="1"/>
    </xf>
    <xf numFmtId="0" fontId="30" fillId="10" borderId="0" applyAlignment="1" pivotButton="0" quotePrefix="0" xfId="0">
      <alignment horizontal="left" vertical="center" wrapText="1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17" borderId="15" applyAlignment="1" pivotButton="0" quotePrefix="0" xfId="0">
      <alignment horizontal="center" vertical="center" wrapText="1"/>
    </xf>
    <xf numFmtId="0" fontId="31" fillId="15" borderId="15" applyAlignment="1" pivotButton="0" quotePrefix="0" xfId="0">
      <alignment horizontal="center" vertical="center"/>
    </xf>
    <xf numFmtId="0" fontId="32" fillId="18" borderId="16" applyAlignment="1" pivotButton="0" quotePrefix="0" xfId="0">
      <alignment horizontal="center" vertical="center"/>
    </xf>
    <xf numFmtId="165" fontId="11" fillId="5" borderId="0" applyAlignment="1" pivotButton="0" quotePrefix="0" xfId="0">
      <alignment horizontal="center" vertical="center"/>
    </xf>
    <xf numFmtId="0" fontId="31" fillId="15" borderId="0" applyAlignment="1" pivotButton="0" quotePrefix="0" xfId="0">
      <alignment horizontal="center" vertical="center"/>
    </xf>
    <xf numFmtId="4" fontId="31" fillId="1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33" fillId="16" borderId="0" applyAlignment="1" pivotButton="0" quotePrefix="0" xfId="0">
      <alignment horizontal="center" vertical="center"/>
    </xf>
    <xf numFmtId="165" fontId="11" fillId="3" borderId="0" applyAlignment="1" pivotButton="0" quotePrefix="0" xfId="0">
      <alignment horizontal="center" vertical="center"/>
    </xf>
    <xf numFmtId="0" fontId="10" fillId="19" borderId="0" applyAlignment="1" pivotButton="0" quotePrefix="0" xfId="0">
      <alignment horizontal="center" vertical="center"/>
    </xf>
    <xf numFmtId="0" fontId="10" fillId="19" borderId="0" applyAlignment="1" pivotButton="0" quotePrefix="0" xfId="0">
      <alignment horizontal="left" vertical="center"/>
    </xf>
    <xf numFmtId="165" fontId="11" fillId="19" borderId="0" applyAlignment="1" pivotButton="0" quotePrefix="0" xfId="0">
      <alignment horizontal="center" vertical="center"/>
    </xf>
    <xf numFmtId="4" fontId="10" fillId="19" borderId="0" applyAlignment="1" pivotButton="0" quotePrefix="0" xfId="0">
      <alignment horizontal="center" vertical="center"/>
    </xf>
    <xf numFmtId="0" fontId="11" fillId="19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 wrapText="1"/>
    </xf>
    <xf numFmtId="0" fontId="31" fillId="3" borderId="0" applyAlignment="1" pivotButton="0" quotePrefix="0" xfId="0">
      <alignment horizontal="center" vertical="center"/>
    </xf>
    <xf numFmtId="4" fontId="34" fillId="6" borderId="0" applyAlignment="1" pivotButton="0" quotePrefix="0" xfId="0">
      <alignment horizontal="center" vertical="center"/>
    </xf>
    <xf numFmtId="4" fontId="31" fillId="3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 wrapText="1"/>
    </xf>
    <xf numFmtId="0" fontId="10" fillId="19" borderId="0" applyAlignment="1" pivotButton="0" quotePrefix="0" xfId="0">
      <alignment horizontal="center" vertical="center" wrapText="1"/>
    </xf>
    <xf numFmtId="0" fontId="5" fillId="12" borderId="16" applyAlignment="1" pivotButton="0" quotePrefix="0" xfId="0">
      <alignment horizontal="center" vertical="center" wrapText="1"/>
    </xf>
    <xf numFmtId="0" fontId="9" fillId="14" borderId="0" applyAlignment="1" pivotButton="0" quotePrefix="0" xfId="0">
      <alignment horizontal="center" vertical="center" wrapText="1"/>
    </xf>
    <xf numFmtId="0" fontId="13" fillId="3" borderId="0" applyAlignment="1" pivotButton="0" quotePrefix="0" xfId="0">
      <alignment horizontal="center" vertical="center"/>
    </xf>
    <xf numFmtId="0" fontId="10" fillId="18" borderId="0" applyAlignment="1" pivotButton="0" quotePrefix="0" xfId="0">
      <alignment horizontal="center" vertical="center"/>
    </xf>
    <xf numFmtId="0" fontId="10" fillId="18" borderId="0" applyAlignment="1" pivotButton="0" quotePrefix="0" xfId="0">
      <alignment horizontal="left" vertical="center"/>
    </xf>
    <xf numFmtId="165" fontId="11" fillId="18" borderId="0" applyAlignment="1" pivotButton="0" quotePrefix="0" xfId="0">
      <alignment horizontal="center" vertical="center"/>
    </xf>
    <xf numFmtId="4" fontId="10" fillId="18" borderId="0" applyAlignment="1" pivotButton="0" quotePrefix="0" xfId="0">
      <alignment horizontal="center" vertical="center"/>
    </xf>
    <xf numFmtId="0" fontId="11" fillId="18" borderId="0" applyAlignment="1" pivotButton="0" quotePrefix="0" xfId="0">
      <alignment horizontal="center" vertical="center"/>
    </xf>
    <xf numFmtId="0" fontId="32" fillId="18" borderId="0" applyAlignment="1" pivotButton="0" quotePrefix="0" xfId="0">
      <alignment horizontal="center" vertical="center"/>
    </xf>
    <xf numFmtId="0" fontId="35" fillId="2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 wrapText="1"/>
    </xf>
    <xf numFmtId="4" fontId="34" fillId="3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 wrapText="1"/>
    </xf>
    <xf numFmtId="4" fontId="29" fillId="3" borderId="0" applyAlignment="1" pivotButton="0" quotePrefix="0" xfId="0">
      <alignment horizontal="center" vertical="center"/>
    </xf>
    <xf numFmtId="0" fontId="31" fillId="18" borderId="0" applyAlignment="1" pivotButton="0" quotePrefix="0" xfId="0">
      <alignment horizontal="center" vertical="center"/>
    </xf>
    <xf numFmtId="4" fontId="31" fillId="18" borderId="0" applyAlignment="1" pivotButton="0" quotePrefix="0" xfId="0">
      <alignment horizontal="center" vertical="center"/>
    </xf>
    <xf numFmtId="0" fontId="42" fillId="2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4" fontId="36" fillId="15" borderId="0" applyAlignment="1" pivotButton="0" quotePrefix="0" xfId="0">
      <alignment horizontal="center" vertical="center"/>
    </xf>
    <xf numFmtId="4" fontId="36" fillId="6" borderId="0" applyAlignment="1" pivotButton="0" quotePrefix="0" xfId="0">
      <alignment horizontal="center" vertical="center"/>
    </xf>
    <xf numFmtId="3" fontId="36" fillId="16" borderId="0" applyAlignment="1" pivotButton="0" quotePrefix="0" xfId="0">
      <alignment horizontal="center" vertical="center"/>
    </xf>
    <xf numFmtId="0" fontId="37" fillId="10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5" fillId="17" borderId="0" applyAlignment="1" pivotButton="0" quotePrefix="0" xfId="0">
      <alignment horizontal="center" vertical="center" wrapText="1"/>
    </xf>
    <xf numFmtId="0" fontId="5" fillId="14" borderId="0" applyAlignment="1" pivotButton="0" quotePrefix="0" xfId="0">
      <alignment horizontal="center" vertical="center" wrapText="1"/>
    </xf>
    <xf numFmtId="4" fontId="11" fillId="5" borderId="0" applyAlignment="1" pivotButton="0" quotePrefix="0" xfId="0">
      <alignment horizontal="center" vertical="center"/>
    </xf>
    <xf numFmtId="4" fontId="11" fillId="3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4" fontId="38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39" fillId="21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4" fontId="4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ont>
        <name val="Arial"/>
        <charset val="1"/>
        <family val="0"/>
        <b val="1"/>
        <color rgb="FF375623"/>
        <sz val="9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843C0C"/>
        <sz val="9"/>
      </font>
      <fill>
        <patternFill>
          <bgColor rgb="FFFCE4D6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6600"/>
          <bgColor rgb="FF000000"/>
        </patternFill>
      </fill>
    </dxf>
    <dxf>
      <font>
        <name val="Arial"/>
        <charset val="1"/>
        <family val="0"/>
        <b val="1"/>
        <color rgb="FFC00000"/>
        <sz val="9"/>
      </font>
      <fill>
        <patternFill>
          <bgColor rgb="FFFFCCCC"/>
        </patternFill>
      </fill>
    </dxf>
    <dxf>
      <font>
        <name val="Arial"/>
        <charset val="1"/>
        <family val="0"/>
        <b val="1"/>
        <color rgb="FF7F6000"/>
        <sz val="9"/>
      </font>
      <fill>
        <patternFill>
          <bgColor rgb="FFFFF2CC"/>
        </patternFill>
      </fill>
    </dxf>
    <dxf>
      <font>
        <name val="Arial"/>
        <charset val="1"/>
        <family val="0"/>
        <b val="1"/>
        <color rgb="FFFF6600"/>
        <sz val="9"/>
      </font>
      <fill>
        <patternFill>
          <bgColor rgb="FFFFE4CC"/>
        </patternFill>
      </fill>
    </dxf>
    <dxf>
      <fill>
        <patternFill patternType="solid">
          <fgColor rgb="FFFFE4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7F6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8F9FA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BBBBB"/>
      <rgbColor rgb="FF808080"/>
      <rgbColor rgb="FF9999FF"/>
      <rgbColor rgb="FF7030A0"/>
      <rgbColor rgb="FFFFF2CC"/>
      <rgbColor rgb="FFE8F0FE"/>
      <rgbColor rgb="FF660066"/>
      <rgbColor rgb="FFFF8080"/>
      <rgbColor rgb="FF2E75B6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AF1"/>
      <rgbColor rgb="FFC6EFCE"/>
      <rgbColor rgb="FFFFE699"/>
      <rgbColor rgb="FFF2F2F2"/>
      <rgbColor rgb="FFFFE4CC"/>
      <rgbColor rgb="FFFCE4D6"/>
      <rgbColor rgb="FFFFCCCC"/>
      <rgbColor rgb="FF4472C4"/>
      <rgbColor rgb="FF33CCCC"/>
      <rgbColor rgb="FF99CC00"/>
      <rgbColor rgb="FFFFD966"/>
      <rgbColor rgb="FFFF9900"/>
      <rgbColor rgb="FFFF6600"/>
      <rgbColor rgb="FF666699"/>
      <rgbColor rgb="FF969696"/>
      <rgbColor rgb="FF1F3864"/>
      <rgbColor rgb="FF339966"/>
      <rgbColor rgb="FF003300"/>
      <rgbColor rgb="FF375623"/>
      <rgbColor rgb="FF843C0C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styles" Target="styles.xml" Id="rId32"/><Relationship Type="http://schemas.openxmlformats.org/officeDocument/2006/relationships/theme" Target="theme/theme1.xml" Id="rId3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Z2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5" customWidth="1" style="194" min="1" max="1"/>
    <col width="28" customWidth="1" style="194" min="2" max="2"/>
    <col width="22" customWidth="1" style="194" min="3" max="4"/>
    <col width="16" customWidth="1" style="194" min="5" max="6"/>
    <col width="6" customWidth="1" style="194" min="7" max="9"/>
    <col width="11" customWidth="1" style="194" min="10" max="12"/>
    <col width="14" customWidth="1" style="194" min="13" max="14"/>
    <col width="8" customWidth="1" style="194" min="15" max="15"/>
    <col width="12" customWidth="1" style="194" min="16" max="17"/>
    <col width="13" customWidth="1" style="194" min="18" max="19"/>
    <col width="8.710000000000001" customWidth="1" style="194" min="20" max="21"/>
  </cols>
  <sheetData>
    <row r="1" ht="36" customHeight="1" s="195">
      <c r="A1" s="196" t="inlineStr">
        <is>
          <t>DASHBOARD DE COMBUSTIBLE - UE 0725 AMAZONAS</t>
        </is>
      </c>
      <c r="V1" s="194" t="n"/>
      <c r="W1" s="194" t="n"/>
      <c r="X1" s="194" t="n"/>
      <c r="Y1" s="194" t="n"/>
      <c r="Z1" s="194" t="n"/>
    </row>
    <row r="2" ht="15" customHeight="1" s="195">
      <c r="O2" s="197" t="n"/>
      <c r="P2" s="197" t="n"/>
      <c r="Q2" s="197" t="n"/>
      <c r="R2" s="197" t="n"/>
      <c r="S2" s="197" t="n"/>
      <c r="T2" s="198" t="n"/>
      <c r="U2" s="198" t="n"/>
      <c r="V2" s="194" t="n"/>
      <c r="W2" s="194" t="n"/>
      <c r="X2" s="194" t="n"/>
      <c r="Y2" s="194" t="n"/>
      <c r="Z2" s="194" t="n"/>
    </row>
    <row r="3" ht="24" customHeight="1" s="195">
      <c r="A3" s="199" t="inlineStr">
        <is>
          <t>REPORTE 2025</t>
        </is>
      </c>
      <c r="B3" s="200" t="n"/>
      <c r="C3" s="200" t="n"/>
      <c r="D3" s="200" t="n"/>
      <c r="F3" s="199" t="inlineStr">
        <is>
          <t>REPORTE DE COMBUSTIBLE DE FUAS INGRESADAS - 2026</t>
        </is>
      </c>
      <c r="G3" s="200" t="n"/>
      <c r="H3" s="200" t="n"/>
      <c r="I3" s="200" t="n"/>
      <c r="J3" s="200" t="n"/>
      <c r="K3" s="200" t="n"/>
      <c r="L3" s="200" t="n"/>
      <c r="M3" s="200" t="n"/>
      <c r="N3" s="200" t="n"/>
      <c r="O3" s="201" t="n"/>
      <c r="P3" s="201" t="n"/>
      <c r="Q3" s="201" t="n"/>
      <c r="R3" s="201" t="n"/>
      <c r="S3" s="201" t="n"/>
      <c r="T3" s="198" t="n"/>
      <c r="U3" s="198" t="n"/>
      <c r="V3" s="194" t="n"/>
      <c r="W3" s="194" t="n"/>
      <c r="X3" s="194" t="n"/>
      <c r="Y3" s="194" t="n"/>
      <c r="Z3" s="194" t="n"/>
    </row>
    <row r="4" ht="21.75" customHeight="1" s="195">
      <c r="A4" s="202" t="inlineStr">
        <is>
          <t>COMBUSTIBLE</t>
        </is>
      </c>
      <c r="B4" s="203" t="inlineStr">
        <is>
          <t>GALONES</t>
        </is>
      </c>
      <c r="C4" s="204" t="inlineStr">
        <is>
          <t>SOLES S/.</t>
        </is>
      </c>
      <c r="F4" s="205" t="inlineStr">
        <is>
          <t>MES</t>
        </is>
      </c>
      <c r="G4" s="206" t="inlineStr">
        <is>
          <t>TRASLADOS</t>
        </is>
      </c>
      <c r="H4" s="206" t="inlineStr">
        <is>
          <t>GAL PET</t>
        </is>
      </c>
      <c r="I4" s="206" t="inlineStr">
        <is>
          <t>GAL GAS</t>
        </is>
      </c>
      <c r="J4" s="206" t="inlineStr">
        <is>
          <t>TOT GAL</t>
        </is>
      </c>
      <c r="K4" s="206" t="inlineStr">
        <is>
          <t>S/. PET</t>
        </is>
      </c>
      <c r="L4" s="206" t="inlineStr">
        <is>
          <t>S/. GAS</t>
        </is>
      </c>
      <c r="M4" s="207" t="inlineStr">
        <is>
          <t>TOT S/.</t>
        </is>
      </c>
      <c r="O4" s="201" t="n"/>
      <c r="P4" s="201" t="n"/>
      <c r="Q4" s="201" t="n"/>
      <c r="R4" s="201" t="n"/>
      <c r="S4" s="201" t="n"/>
      <c r="T4" s="198" t="n"/>
      <c r="U4" s="198" t="n"/>
      <c r="V4" s="194" t="n"/>
      <c r="W4" s="194" t="n"/>
      <c r="X4" s="194" t="n"/>
      <c r="Y4" s="194" t="n"/>
      <c r="Z4" s="194" t="n"/>
    </row>
    <row r="5" ht="18" customHeight="1" s="195">
      <c r="A5" s="208" t="inlineStr">
        <is>
          <t>PETROLEO</t>
        </is>
      </c>
      <c r="B5" s="209" t="n">
        <v>8761</v>
      </c>
      <c r="C5" s="210" t="n">
        <v>164087.8</v>
      </c>
      <c r="F5" s="211" t="inlineStr">
        <is>
          <t>ENE</t>
        </is>
      </c>
      <c r="G5" s="212">
        <f>IFERROR(COUNTA('ENERO 2026'!A6:A119),0)</f>
        <v/>
      </c>
      <c r="H5" s="213">
        <f>IFERROR(SUMIFS('ENERO 2026'!M6:M119,'ENERO 2026'!K6:K119,"PETROLEO"),0)</f>
        <v/>
      </c>
      <c r="I5" s="213">
        <f>IFERROR(SUMIFS('ENERO 2026'!M6:M119,'ENERO 2026'!K6:K119,"GASOLINA"),0)</f>
        <v/>
      </c>
      <c r="J5" s="213">
        <f>H5+I5</f>
        <v/>
      </c>
      <c r="K5" s="213">
        <f>IFERROR(SUMIFS('ENERO 2026'!N6:N119,'ENERO 2026'!K6:K119,"PETROLEO"),0)</f>
        <v/>
      </c>
      <c r="L5" s="213">
        <f>IFERROR(SUMIFS('ENERO 2026'!N6:N119,'ENERO 2026'!K6:K119,"GASOLINA"),0)</f>
        <v/>
      </c>
      <c r="M5" s="214">
        <f>K5+L5</f>
        <v/>
      </c>
      <c r="O5" s="201" t="n"/>
      <c r="P5" s="201" t="n"/>
      <c r="Q5" s="201" t="n"/>
      <c r="R5" s="201" t="n"/>
      <c r="S5" s="201" t="n"/>
      <c r="T5" s="198" t="n"/>
      <c r="U5" s="198" t="n"/>
      <c r="V5" s="194" t="n"/>
      <c r="W5" s="194" t="n"/>
      <c r="X5" s="194" t="n"/>
      <c r="Y5" s="194" t="n"/>
      <c r="Z5" s="194" t="n"/>
    </row>
    <row r="6" ht="18" customHeight="1" s="195">
      <c r="A6" s="215" t="inlineStr">
        <is>
          <t>GASOLINA</t>
        </is>
      </c>
      <c r="B6" s="216" t="n">
        <v>1274</v>
      </c>
      <c r="C6" s="217" t="n">
        <v>22870.2</v>
      </c>
      <c r="F6" s="218" t="inlineStr">
        <is>
          <t>FEB</t>
        </is>
      </c>
      <c r="G6" s="219">
        <f>IFERROR(COUNTA('FEBRERO 2026'!A6:A124),0)</f>
        <v/>
      </c>
      <c r="H6" s="220">
        <f>IFERROR(SUMIFS('FEBRERO 2026'!M6:M124,'FEBRERO 2026'!K6:K124,"PETROLEO"),0)</f>
        <v/>
      </c>
      <c r="I6" s="220">
        <f>IFERROR(SUMIFS('FEBRERO 2026'!M6:M124,'FEBRERO 2026'!K6:K124,"GASOLINA"),0)</f>
        <v/>
      </c>
      <c r="J6" s="220">
        <f>H6+I6</f>
        <v/>
      </c>
      <c r="K6" s="220">
        <f>IFERROR(SUMIFS('FEBRERO 2026'!N6:N124,'FEBRERO 2026'!K6:K124,"PETROLEO"),0)</f>
        <v/>
      </c>
      <c r="L6" s="220">
        <f>IFERROR(SUMIFS('FEBRERO 2026'!N6:N124,'FEBRERO 2026'!K6:K124,"GASOLINA"),0)</f>
        <v/>
      </c>
      <c r="M6" s="221">
        <f>K6+L6</f>
        <v/>
      </c>
      <c r="O6" s="201" t="n"/>
      <c r="P6" s="201" t="n"/>
      <c r="Q6" s="201" t="n"/>
      <c r="R6" s="201" t="n"/>
      <c r="S6" s="201" t="n"/>
      <c r="T6" s="198" t="n"/>
      <c r="U6" s="198" t="n"/>
      <c r="V6" s="194" t="n"/>
      <c r="W6" s="194" t="n"/>
      <c r="X6" s="194" t="n"/>
      <c r="Y6" s="194" t="n"/>
      <c r="Z6" s="194" t="n"/>
    </row>
    <row r="7" ht="18" customHeight="1" s="195">
      <c r="A7" s="222" t="inlineStr">
        <is>
          <t>TOTAL</t>
        </is>
      </c>
      <c r="B7" s="223" t="n">
        <v>10035</v>
      </c>
      <c r="C7" s="224" t="n">
        <v>186958</v>
      </c>
      <c r="F7" s="211" t="inlineStr">
        <is>
          <t>MAR</t>
        </is>
      </c>
      <c r="G7" s="212">
        <f>IFERROR(COUNTA('MARZO 2026'!A6:A119),0)</f>
        <v/>
      </c>
      <c r="H7" s="213">
        <f>IFERROR(SUMIFS('MARZO 2026'!M6:M119,'MARZO 2026'!K6:K119,"PETROLEO"),0)</f>
        <v/>
      </c>
      <c r="I7" s="213">
        <f>IFERROR(SUMIFS('MARZO 2026'!M6:M119,'MARZO 2026'!K6:K119,"GASOLINA"),0)</f>
        <v/>
      </c>
      <c r="J7" s="213">
        <f>H7+I7</f>
        <v/>
      </c>
      <c r="K7" s="213">
        <f>IFERROR(SUMIFS('MARZO 2026'!N6:N119,'MARZO 2026'!K6:K119,"PETROLEO"),0)</f>
        <v/>
      </c>
      <c r="L7" s="213">
        <f>IFERROR(SUMIFS('MARZO 2026'!N6:N119,'MARZO 2026'!K6:K119,"GASOLINA"),0)</f>
        <v/>
      </c>
      <c r="M7" s="214">
        <f>K7+L7</f>
        <v/>
      </c>
      <c r="O7" s="201" t="n"/>
      <c r="P7" s="201" t="n"/>
      <c r="Q7" s="201" t="n"/>
      <c r="R7" s="201" t="n"/>
      <c r="S7" s="201" t="n"/>
      <c r="T7" s="198" t="n"/>
      <c r="U7" s="198" t="n"/>
      <c r="V7" s="194" t="n"/>
      <c r="W7" s="194" t="n"/>
      <c r="X7" s="194" t="n"/>
      <c r="Y7" s="194" t="n"/>
      <c r="Z7" s="194" t="n"/>
    </row>
    <row r="8" ht="18" customHeight="1" s="195">
      <c r="F8" s="218" t="inlineStr">
        <is>
          <t>ABR</t>
        </is>
      </c>
      <c r="G8" s="219">
        <f>IFERROR(COUNTA('ABRIL 2026'!A6:A119),0)</f>
        <v/>
      </c>
      <c r="H8" s="220">
        <f>IFERROR(SUMIFS('ABRIL 2026'!M6:M119,'ABRIL 2026'!K6:K119,"PETROLEO"),0)</f>
        <v/>
      </c>
      <c r="I8" s="220">
        <f>IFERROR(SUMIFS('ABRIL 2026'!M6:M119,'ABRIL 2026'!K6:K119,"GASOLINA"),0)</f>
        <v/>
      </c>
      <c r="J8" s="220">
        <f>H8+I8</f>
        <v/>
      </c>
      <c r="K8" s="220">
        <f>IFERROR(SUMIFS('ABRIL 2026'!N6:N119,'ABRIL 2026'!K6:K119,"PETROLEO"),0)</f>
        <v/>
      </c>
      <c r="L8" s="220">
        <f>IFERROR(SUMIFS('ABRIL 2026'!N6:N119,'ABRIL 2026'!K6:K119,"GASOLINA"),0)</f>
        <v/>
      </c>
      <c r="M8" s="221">
        <f>K8+L8</f>
        <v/>
      </c>
      <c r="O8" s="201" t="n"/>
      <c r="P8" s="201" t="n"/>
      <c r="Q8" s="201" t="n"/>
      <c r="R8" s="201" t="n"/>
      <c r="S8" s="201" t="n"/>
      <c r="T8" s="198" t="n"/>
      <c r="U8" s="198" t="n"/>
      <c r="V8" s="194" t="n"/>
      <c r="W8" s="194" t="n"/>
      <c r="X8" s="194" t="n"/>
      <c r="Y8" s="194" t="n"/>
      <c r="Z8" s="194" t="n"/>
    </row>
    <row r="9" ht="18" customHeight="1" s="195">
      <c r="F9" s="211" t="inlineStr">
        <is>
          <t>MAY</t>
        </is>
      </c>
      <c r="G9" s="212">
        <f>IFERROR(COUNTA('MAYO 2026'!A6:A110),0)</f>
        <v/>
      </c>
      <c r="H9" s="213">
        <f>IFERROR(SUMIFS('MAYO 2026'!M6:M110,'MAYO 2026'!K6:K110,"PETROLEO"),0)</f>
        <v/>
      </c>
      <c r="I9" s="213">
        <f>IFERROR(SUMIFS('MAYO 2026'!M6:M110,'MAYO 2026'!K6:K110,"GASOLINA"),0)</f>
        <v/>
      </c>
      <c r="J9" s="213">
        <f>H9+I9</f>
        <v/>
      </c>
      <c r="K9" s="213">
        <f>IFERROR(SUMIFS('MAYO 2026'!N6:N110,'MAYO 2026'!K6:K110,"PETROLEO"),0)</f>
        <v/>
      </c>
      <c r="L9" s="213">
        <f>IFERROR(SUMIFS('MAYO 2026'!N6:N110,'MAYO 2026'!K6:K110,"GASOLINA"),0)</f>
        <v/>
      </c>
      <c r="M9" s="214">
        <f>K9+L9</f>
        <v/>
      </c>
      <c r="O9" s="201" t="n"/>
      <c r="P9" s="201" t="n"/>
      <c r="Q9" s="201" t="n"/>
      <c r="R9" s="201" t="n"/>
      <c r="S9" s="201" t="n"/>
      <c r="T9" s="198" t="n"/>
      <c r="U9" s="198" t="n"/>
      <c r="V9" s="194" t="n"/>
      <c r="W9" s="194" t="n"/>
      <c r="X9" s="194" t="n"/>
      <c r="Y9" s="194" t="n"/>
      <c r="Z9" s="194" t="n"/>
    </row>
    <row r="10" ht="18" customHeight="1" s="195">
      <c r="F10" s="218" t="inlineStr">
        <is>
          <t>JUN</t>
        </is>
      </c>
      <c r="G10" s="219">
        <f>IFERROR(COUNTA('JUNIO 2026'!A6:A110),0)</f>
        <v/>
      </c>
      <c r="H10" s="220">
        <f>IFERROR(SUMIFS('JUNIO 2026'!M6:M110,'JUNIO 2026'!K6:K110,"PETROLEO"),0)</f>
        <v/>
      </c>
      <c r="I10" s="220">
        <f>IFERROR(SUMIFS('JUNIO 2026'!M6:M110,'JUNIO 2026'!K6:K110,"GASOLINA"),0)</f>
        <v/>
      </c>
      <c r="J10" s="220">
        <f>H10+I10</f>
        <v/>
      </c>
      <c r="K10" s="220">
        <f>IFERROR(SUMIFS('JUNIO 2026'!N6:N110,'JUNIO 2026'!K6:K110,"PETROLEO"),0)</f>
        <v/>
      </c>
      <c r="L10" s="220">
        <f>IFERROR(SUMIFS('JUNIO 2026'!N6:N110,'JUNIO 2026'!K6:K110,"GASOLINA"),0)</f>
        <v/>
      </c>
      <c r="M10" s="221">
        <f>K10+L10</f>
        <v/>
      </c>
      <c r="O10" s="201" t="n"/>
      <c r="P10" s="201" t="n"/>
      <c r="Q10" s="201" t="n"/>
      <c r="R10" s="201" t="n"/>
      <c r="S10" s="201" t="n"/>
      <c r="T10" s="198" t="n"/>
      <c r="U10" s="198" t="n"/>
      <c r="V10" s="194" t="n"/>
      <c r="W10" s="194" t="n"/>
      <c r="X10" s="194" t="n"/>
      <c r="Y10" s="194" t="n"/>
      <c r="Z10" s="194" t="n"/>
    </row>
    <row r="11" ht="18" customHeight="1" s="195">
      <c r="A11" s="225" t="inlineStr">
        <is>
          <t>REPORTE 2026</t>
        </is>
      </c>
      <c r="B11" s="200" t="n"/>
      <c r="C11" s="200" t="n"/>
      <c r="D11" s="200" t="n"/>
      <c r="F11" s="211" t="inlineStr">
        <is>
          <t>JUL</t>
        </is>
      </c>
      <c r="G11" s="212">
        <f>IFERROR(COUNTA('JULIO 2026'!A6:A110),0)</f>
        <v/>
      </c>
      <c r="H11" s="213">
        <f>IFERROR(SUMIFS('JULIO 2026'!M6:M110,'JULIO 2026'!K6:K110,"PETROLEO"),0)</f>
        <v/>
      </c>
      <c r="I11" s="213">
        <f>IFERROR(SUMIFS('JULIO 2026'!M6:M110,'JULIO 2026'!K6:K110,"GASOLINA"),0)</f>
        <v/>
      </c>
      <c r="J11" s="213">
        <f>H11+I11</f>
        <v/>
      </c>
      <c r="K11" s="213">
        <f>IFERROR(SUMIFS('JULIO 2026'!N6:N110,'JULIO 2026'!K6:K110,"PETROLEO"),0)</f>
        <v/>
      </c>
      <c r="L11" s="213">
        <f>IFERROR(SUMIFS('JULIO 2026'!N6:N110,'JULIO 2026'!K6:K110,"GASOLINA"),0)</f>
        <v/>
      </c>
      <c r="M11" s="214">
        <f>K11+L11</f>
        <v/>
      </c>
      <c r="O11" s="201" t="n"/>
      <c r="P11" s="201" t="n"/>
      <c r="Q11" s="201" t="n"/>
      <c r="R11" s="201" t="n"/>
      <c r="S11" s="201" t="n"/>
      <c r="T11" s="198" t="n"/>
      <c r="U11" s="198" t="n"/>
      <c r="V11" s="194" t="n"/>
      <c r="W11" s="194" t="n"/>
      <c r="X11" s="194" t="n"/>
      <c r="Y11" s="194" t="n"/>
      <c r="Z11" s="194" t="n"/>
    </row>
    <row r="12" ht="18" customHeight="1" s="195">
      <c r="A12" s="226" t="inlineStr">
        <is>
          <t>COMBUSTIBLE</t>
        </is>
      </c>
      <c r="B12" s="227" t="inlineStr">
        <is>
          <t>GALONES</t>
        </is>
      </c>
      <c r="C12" s="228" t="inlineStr">
        <is>
          <t>SOLES S/.</t>
        </is>
      </c>
      <c r="F12" s="218" t="inlineStr">
        <is>
          <t>AGO</t>
        </is>
      </c>
      <c r="G12" s="219">
        <f>IFERROR(COUNTA('AGOSTO 2026'!A6:A110),0)</f>
        <v/>
      </c>
      <c r="H12" s="220">
        <f>IFERROR(SUMIFS('AGOSTO 2026'!M6:M110,'AGOSTO 2026'!K6:K110,"PETROLEO"),0)</f>
        <v/>
      </c>
      <c r="I12" s="220">
        <f>IFERROR(SUMIFS('AGOSTO 2026'!M6:M110,'AGOSTO 2026'!K6:K110,"GASOLINA"),0)</f>
        <v/>
      </c>
      <c r="J12" s="220">
        <f>H12+I12</f>
        <v/>
      </c>
      <c r="K12" s="220">
        <f>IFERROR(SUMIFS('AGOSTO 2026'!N6:N110,'AGOSTO 2026'!K6:K110,"PETROLEO"),0)</f>
        <v/>
      </c>
      <c r="L12" s="220">
        <f>IFERROR(SUMIFS('AGOSTO 2026'!N6:N110,'AGOSTO 2026'!K6:K110,"GASOLINA"),0)</f>
        <v/>
      </c>
      <c r="M12" s="221">
        <f>K12+L12</f>
        <v/>
      </c>
      <c r="O12" s="201" t="n"/>
      <c r="P12" s="201" t="n"/>
      <c r="Q12" s="201" t="n"/>
      <c r="R12" s="201" t="n"/>
      <c r="S12" s="201" t="n"/>
      <c r="T12" s="198" t="n"/>
      <c r="U12" s="198" t="n"/>
      <c r="V12" s="194" t="n"/>
      <c r="W12" s="194" t="n"/>
      <c r="X12" s="194" t="n"/>
      <c r="Y12" s="194" t="n"/>
      <c r="Z12" s="194" t="n"/>
    </row>
    <row r="13" ht="18" customHeight="1" s="195">
      <c r="A13" s="208" t="inlineStr">
        <is>
          <t>PETROLEO</t>
        </is>
      </c>
      <c r="B13" s="213">
        <f>SUM(H5:H16)</f>
        <v/>
      </c>
      <c r="C13" s="214">
        <f>SUM(K5:K16)</f>
        <v/>
      </c>
      <c r="F13" s="211" t="inlineStr">
        <is>
          <t>SET</t>
        </is>
      </c>
      <c r="G13" s="212">
        <f>IFERROR(COUNTA('SETIEMBRE 2026'!A6:A110),0)</f>
        <v/>
      </c>
      <c r="H13" s="213">
        <f>IFERROR(SUMIFS('SETIEMBRE 2026'!M6:M110,'SETIEMBRE 2026'!K6:K110,"PETROLEO"),0)</f>
        <v/>
      </c>
      <c r="I13" s="213">
        <f>IFERROR(SUMIFS('SETIEMBRE 2026'!M6:M110,'SETIEMBRE 2026'!K6:K110,"GASOLINA"),0)</f>
        <v/>
      </c>
      <c r="J13" s="213">
        <f>H13+I13</f>
        <v/>
      </c>
      <c r="K13" s="213">
        <f>IFERROR(SUMIFS('SETIEMBRE 2026'!N6:N110,'SETIEMBRE 2026'!K6:K110,"PETROLEO"),0)</f>
        <v/>
      </c>
      <c r="L13" s="213">
        <f>IFERROR(SUMIFS('SETIEMBRE 2026'!N6:N110,'SETIEMBRE 2026'!K6:K110,"GASOLINA"),0)</f>
        <v/>
      </c>
      <c r="M13" s="214">
        <f>K13+L13</f>
        <v/>
      </c>
      <c r="O13" s="201" t="n"/>
      <c r="P13" s="201" t="n"/>
      <c r="Q13" s="201" t="n"/>
      <c r="R13" s="201" t="n"/>
      <c r="S13" s="201" t="n"/>
      <c r="T13" s="198" t="n"/>
      <c r="U13" s="198" t="n"/>
      <c r="V13" s="194" t="n"/>
      <c r="W13" s="194" t="n"/>
      <c r="X13" s="194" t="n"/>
      <c r="Y13" s="194" t="n"/>
      <c r="Z13" s="194" t="n"/>
    </row>
    <row r="14" ht="18" customHeight="1" s="195">
      <c r="A14" s="215" t="inlineStr">
        <is>
          <t>GASOLINA</t>
        </is>
      </c>
      <c r="B14" s="220">
        <f>SUM(I5:I16)</f>
        <v/>
      </c>
      <c r="C14" s="221">
        <f>SUM(L5:L16)</f>
        <v/>
      </c>
      <c r="F14" s="218" t="inlineStr">
        <is>
          <t>OCT</t>
        </is>
      </c>
      <c r="G14" s="219">
        <f>IFERROR(COUNTA('OCTUBRE 2026'!A6:A110),0)</f>
        <v/>
      </c>
      <c r="H14" s="220">
        <f>IFERROR(SUMIFS('OCTUBRE 2026'!M6:M110,'OCTUBRE 2026'!K6:K110,"PETROLEO"),0)</f>
        <v/>
      </c>
      <c r="I14" s="220">
        <f>IFERROR(SUMIFS('OCTUBRE 2026'!M6:M110,'OCTUBRE 2026'!K6:K110,"GASOLINA"),0)</f>
        <v/>
      </c>
      <c r="J14" s="220">
        <f>H14+I14</f>
        <v/>
      </c>
      <c r="K14" s="220">
        <f>IFERROR(SUMIFS('OCTUBRE 2026'!N6:N110,'OCTUBRE 2026'!K6:K110,"PETROLEO"),0)</f>
        <v/>
      </c>
      <c r="L14" s="220">
        <f>IFERROR(SUMIFS('OCTUBRE 2026'!N6:N110,'OCTUBRE 2026'!K6:K110,"GASOLINA"),0)</f>
        <v/>
      </c>
      <c r="M14" s="221">
        <f>K14+L14</f>
        <v/>
      </c>
      <c r="O14" s="201" t="n"/>
      <c r="P14" s="201" t="n"/>
      <c r="Q14" s="201" t="n"/>
      <c r="R14" s="201" t="n"/>
      <c r="S14" s="201" t="n"/>
      <c r="T14" s="198" t="n"/>
      <c r="U14" s="198" t="n"/>
      <c r="V14" s="194" t="n"/>
      <c r="W14" s="194" t="n"/>
      <c r="X14" s="194" t="n"/>
      <c r="Y14" s="194" t="n"/>
      <c r="Z14" s="194" t="n"/>
    </row>
    <row r="15" ht="18" customHeight="1" s="195">
      <c r="A15" s="222" t="inlineStr">
        <is>
          <t>TOTAL</t>
        </is>
      </c>
      <c r="B15" s="229">
        <f>B13+B14</f>
        <v/>
      </c>
      <c r="C15" s="230">
        <f>C13+C14</f>
        <v/>
      </c>
      <c r="F15" s="211" t="inlineStr">
        <is>
          <t>NOV</t>
        </is>
      </c>
      <c r="G15" s="212">
        <f>IFERROR(COUNTA('NOVIEMBRE 2026'!A6:A110),0)</f>
        <v/>
      </c>
      <c r="H15" s="213">
        <f>IFERROR(SUMIFS('NOVIEMBRE 2026'!M6:M110,'NOVIEMBRE 2026'!K6:K110,"PETROLEO"),0)</f>
        <v/>
      </c>
      <c r="I15" s="213">
        <f>IFERROR(SUMIFS('NOVIEMBRE 2026'!M6:M110,'NOVIEMBRE 2026'!K6:K110,"GASOLINA"),0)</f>
        <v/>
      </c>
      <c r="J15" s="213">
        <f>H15+I15</f>
        <v/>
      </c>
      <c r="K15" s="213">
        <f>IFERROR(SUMIFS('NOVIEMBRE 2026'!N6:N110,'NOVIEMBRE 2026'!K6:K110,"PETROLEO"),0)</f>
        <v/>
      </c>
      <c r="L15" s="213">
        <f>IFERROR(SUMIFS('NOVIEMBRE 2026'!N6:N110,'NOVIEMBRE 2026'!K6:K110,"GASOLINA"),0)</f>
        <v/>
      </c>
      <c r="M15" s="214">
        <f>K15+L15</f>
        <v/>
      </c>
      <c r="O15" s="198" t="n"/>
      <c r="P15" s="198" t="n"/>
      <c r="Q15" s="198" t="n"/>
      <c r="R15" s="198" t="n"/>
      <c r="S15" s="198" t="n"/>
      <c r="T15" s="198" t="n"/>
      <c r="U15" s="198" t="n"/>
      <c r="V15" s="194" t="n"/>
      <c r="W15" s="194" t="n"/>
      <c r="X15" s="194" t="n"/>
      <c r="Y15" s="194" t="n"/>
      <c r="Z15" s="194" t="n"/>
    </row>
    <row r="16" ht="18" customHeight="1" s="195">
      <c r="F16" s="218" t="inlineStr">
        <is>
          <t>DIC</t>
        </is>
      </c>
      <c r="G16" s="219">
        <f>IFERROR(COUNTA('DICIEMBRE 2026'!A6:A110),0)</f>
        <v/>
      </c>
      <c r="H16" s="220">
        <f>IFERROR(SUMIFS('DICIEMBRE 2026'!M6:M110,'DICIEMBRE 2026'!K6:K110,"PETROLEO"),0)</f>
        <v/>
      </c>
      <c r="I16" s="220">
        <f>IFERROR(SUMIFS('DICIEMBRE 2026'!M6:M110,'DICIEMBRE 2026'!K6:K110,"GASOLINA"),0)</f>
        <v/>
      </c>
      <c r="J16" s="220">
        <f>H16+I16</f>
        <v/>
      </c>
      <c r="K16" s="220">
        <f>IFERROR(SUMIFS('DICIEMBRE 2026'!N6:N110,'DICIEMBRE 2026'!K6:K110,"PETROLEO"),0)</f>
        <v/>
      </c>
      <c r="L16" s="220">
        <f>IFERROR(SUMIFS('DICIEMBRE 2026'!N6:N110,'DICIEMBRE 2026'!K6:K110,"GASOLINA"),0)</f>
        <v/>
      </c>
      <c r="M16" s="221">
        <f>K16+L16</f>
        <v/>
      </c>
      <c r="O16" s="198" t="n"/>
      <c r="P16" s="198" t="n"/>
      <c r="Q16" s="198" t="n"/>
      <c r="R16" s="198" t="n"/>
      <c r="S16" s="198" t="n"/>
      <c r="T16" s="198" t="n"/>
      <c r="U16" s="198" t="n"/>
      <c r="V16" s="194" t="n"/>
      <c r="W16" s="194" t="n"/>
      <c r="X16" s="194" t="n"/>
      <c r="Y16" s="194" t="n"/>
      <c r="Z16" s="194" t="n"/>
    </row>
    <row r="17" ht="21.75" customHeight="1" s="195">
      <c r="F17" s="231" t="inlineStr">
        <is>
          <t>TOTAL</t>
        </is>
      </c>
      <c r="G17" s="229">
        <f>SUM(G5:G16)</f>
        <v/>
      </c>
      <c r="H17" s="229">
        <f>SUM(H5:H16)</f>
        <v/>
      </c>
      <c r="I17" s="229">
        <f>SUM(I5:I16)</f>
        <v/>
      </c>
      <c r="J17" s="229">
        <f>SUM(J5:J16)</f>
        <v/>
      </c>
      <c r="K17" s="229">
        <f>SUM(K5:K16)</f>
        <v/>
      </c>
      <c r="L17" s="229">
        <f>SUM(L5:L16)</f>
        <v/>
      </c>
      <c r="M17" s="230">
        <f>SUM(M5:M16)</f>
        <v/>
      </c>
      <c r="O17" s="198" t="n"/>
      <c r="P17" s="198" t="n"/>
      <c r="Q17" s="198" t="n"/>
      <c r="R17" s="198" t="n"/>
      <c r="S17" s="198" t="n"/>
      <c r="T17" s="198" t="n"/>
      <c r="U17" s="198" t="n"/>
      <c r="V17" s="194" t="n"/>
      <c r="W17" s="194" t="n"/>
      <c r="X17" s="194" t="n"/>
      <c r="Y17" s="194" t="n"/>
      <c r="Z17" s="194" t="n"/>
    </row>
    <row r="18" ht="15" customHeight="1" s="195">
      <c r="A18" s="232" t="n"/>
      <c r="B18" s="232" t="n"/>
      <c r="C18" s="232" t="n"/>
      <c r="D18" s="232" t="n"/>
      <c r="E18" s="232" t="n"/>
      <c r="F18" s="232" t="n"/>
      <c r="G18" s="232" t="n"/>
      <c r="H18" s="232" t="n"/>
      <c r="I18" s="232" t="n"/>
      <c r="J18" s="232" t="n"/>
      <c r="K18" s="232" t="n"/>
      <c r="L18" s="232" t="n"/>
      <c r="M18" s="232" t="n"/>
      <c r="N18" s="232" t="n"/>
      <c r="O18" s="232" t="n"/>
      <c r="P18" s="232" t="n"/>
      <c r="Q18" s="232" t="n"/>
      <c r="R18" s="232" t="n"/>
      <c r="S18" s="232" t="n"/>
      <c r="T18" s="198" t="n"/>
      <c r="U18" s="198" t="n"/>
      <c r="V18" s="194" t="n"/>
      <c r="W18" s="194" t="n"/>
      <c r="X18" s="194" t="n"/>
      <c r="Y18" s="194" t="n"/>
      <c r="Z18" s="194" t="n"/>
    </row>
    <row r="19" ht="15" customHeight="1" s="195">
      <c r="A19" s="232" t="n"/>
      <c r="B19" s="232" t="n"/>
      <c r="C19" s="232" t="n"/>
      <c r="D19" s="232" t="n"/>
      <c r="E19" s="232" t="n"/>
      <c r="F19" s="232" t="n"/>
      <c r="G19" s="232" t="n"/>
      <c r="H19" s="232" t="n"/>
      <c r="I19" s="232" t="n"/>
      <c r="J19" s="232" t="n"/>
      <c r="K19" s="232" t="n"/>
      <c r="L19" s="232" t="n"/>
      <c r="M19" s="232" t="n"/>
      <c r="N19" s="232" t="n"/>
      <c r="O19" s="232" t="n"/>
      <c r="P19" s="232" t="n"/>
      <c r="Q19" s="232" t="n"/>
      <c r="R19" s="232" t="n"/>
      <c r="S19" s="232" t="n"/>
      <c r="T19" s="198" t="n"/>
      <c r="U19" s="198" t="n"/>
      <c r="V19" s="194" t="n"/>
      <c r="W19" s="194" t="n"/>
      <c r="X19" s="194" t="n"/>
      <c r="Y19" s="194" t="n"/>
      <c r="Z19" s="194" t="n"/>
    </row>
    <row r="20" ht="24" customHeight="1" s="195">
      <c r="A20" s="233" t="inlineStr">
        <is>
          <t>⛽  PETROLEO - COMBUSTIBLE ACUMULADO 2026 POR IPRESS</t>
        </is>
      </c>
      <c r="N20" s="232" t="n"/>
      <c r="O20" s="232" t="n"/>
      <c r="P20" s="232" t="n"/>
      <c r="Q20" s="232" t="n"/>
      <c r="R20" s="232" t="n"/>
      <c r="S20" s="232" t="n"/>
      <c r="V20" s="194" t="n"/>
      <c r="W20" s="194" t="n"/>
      <c r="X20" s="194" t="n"/>
      <c r="Y20" s="194" t="n"/>
      <c r="Z20" s="194" t="n"/>
    </row>
    <row r="21" ht="25.5" customHeight="1" s="195">
      <c r="A21" s="234" t="inlineStr">
        <is>
          <t>N°</t>
        </is>
      </c>
      <c r="B21" s="234" t="inlineStr">
        <is>
          <t>IPRESS</t>
        </is>
      </c>
      <c r="C21" s="234" t="inlineStr">
        <is>
          <t>MICRORED</t>
        </is>
      </c>
      <c r="D21" s="234" t="inlineStr">
        <is>
          <t>GALONES
PETROLEO</t>
        </is>
      </c>
      <c r="E21" s="234" t="inlineStr">
        <is>
          <t>SOLES S/.
PETROLEO</t>
        </is>
      </c>
      <c r="G21" s="235" t="n"/>
      <c r="H21" s="235" t="n"/>
      <c r="I21" s="235" t="n"/>
      <c r="J21" s="235" t="n"/>
      <c r="K21" s="235" t="n"/>
      <c r="L21" s="235" t="n"/>
      <c r="M21" s="232" t="n"/>
      <c r="N21" s="232" t="n"/>
      <c r="O21" s="232" t="n"/>
      <c r="P21" s="232" t="n"/>
      <c r="Q21" s="232" t="n"/>
      <c r="R21" s="232" t="n"/>
      <c r="S21" s="232" t="n"/>
      <c r="V21" s="194" t="n"/>
      <c r="W21" s="194" t="n"/>
      <c r="X21" s="194" t="n"/>
      <c r="Y21" s="194" t="n"/>
      <c r="Z21" s="194" t="n"/>
    </row>
    <row r="22" ht="15.75" customHeight="1" s="195">
      <c r="A22" s="236" t="n">
        <v>1</v>
      </c>
      <c r="B22" s="237" t="inlineStr">
        <is>
          <t>Camporredondo</t>
        </is>
      </c>
      <c r="C22" s="238" t="inlineStr">
        <is>
          <t>CAMPORREDONDO</t>
        </is>
      </c>
      <c r="D22" s="239">
        <f>IFERROR(SUMIF(_CALCULO!$A$2:$A$397,"CAMPORREDONDO",_CALCULO!$C$2:$C$397),0)</f>
        <v/>
      </c>
      <c r="E22" s="239">
        <f>IFERROR(SUMIF(_CALCULO!$A$2:$A$397,"CAMPORREDONDO",_CALCULO!$D$2:$D$397),0)</f>
        <v/>
      </c>
      <c r="F22" s="240" t="n"/>
      <c r="G22" s="241" t="n"/>
      <c r="H22" s="241" t="n"/>
      <c r="I22" s="239" t="n"/>
      <c r="J22" s="239" t="n"/>
      <c r="K22" s="241" t="n"/>
      <c r="L22" s="241" t="n"/>
      <c r="M22" s="232" t="n"/>
      <c r="N22" s="232" t="n"/>
      <c r="O22" s="232" t="n"/>
      <c r="P22" s="232" t="n"/>
      <c r="Q22" s="232" t="n"/>
      <c r="R22" s="232" t="n"/>
      <c r="S22" s="232" t="n"/>
      <c r="V22" s="194" t="n"/>
      <c r="W22" s="194" t="n"/>
      <c r="X22" s="194" t="n"/>
      <c r="Y22" s="194" t="n"/>
      <c r="Z22" s="194" t="n"/>
    </row>
    <row r="23" ht="15.75" customHeight="1" s="195">
      <c r="A23" s="242" t="n">
        <v>2</v>
      </c>
      <c r="B23" s="243" t="inlineStr">
        <is>
          <t>Chuquibamba</t>
        </is>
      </c>
      <c r="C23" s="244" t="inlineStr">
        <is>
          <t>LEIMEBAMBA</t>
        </is>
      </c>
      <c r="D23" s="245">
        <f>IFERROR(SUMIF(_CALCULO!$A$2:$A$397,"CHUQUIBAMBA",_CALCULO!$C$2:$C$397),0)</f>
        <v/>
      </c>
      <c r="E23" s="245">
        <f>IFERROR(SUMIF(_CALCULO!$A$2:$A$397,"CHUQUIBAMBA",_CALCULO!$D$2:$D$397),0)</f>
        <v/>
      </c>
      <c r="F23" s="240" t="n"/>
      <c r="G23" s="241" t="n"/>
      <c r="H23" s="241" t="n"/>
      <c r="I23" s="239" t="n"/>
      <c r="J23" s="239" t="n"/>
      <c r="K23" s="241" t="n"/>
      <c r="L23" s="241" t="n"/>
      <c r="M23" s="232" t="n"/>
      <c r="N23" s="232" t="n"/>
      <c r="O23" s="232" t="n"/>
      <c r="P23" s="232" t="n"/>
      <c r="Q23" s="232" t="n"/>
      <c r="R23" s="232" t="n"/>
      <c r="S23" s="232" t="n"/>
      <c r="V23" s="194" t="n"/>
      <c r="W23" s="194" t="n"/>
      <c r="X23" s="194" t="n"/>
      <c r="Y23" s="194" t="n"/>
      <c r="Z23" s="194" t="n"/>
    </row>
    <row r="24" ht="15.75" customHeight="1" s="195">
      <c r="A24" s="236" t="n">
        <v>3</v>
      </c>
      <c r="B24" s="237" t="inlineStr">
        <is>
          <t>Cococho</t>
        </is>
      </c>
      <c r="C24" s="238" t="inlineStr">
        <is>
          <t>CAMPORREDONDO</t>
        </is>
      </c>
      <c r="D24" s="239">
        <f>IFERROR(SUMIF(_CALCULO!$A$2:$A$397,"COCOCHO",_CALCULO!$C$2:$C$397),0)</f>
        <v/>
      </c>
      <c r="E24" s="239">
        <f>IFERROR(SUMIF(_CALCULO!$A$2:$A$397,"COCOCHO",_CALCULO!$D$2:$D$397),0)</f>
        <v/>
      </c>
      <c r="F24" s="240" t="n"/>
      <c r="G24" s="241" t="n"/>
      <c r="H24" s="241" t="n"/>
      <c r="I24" s="239" t="n"/>
      <c r="J24" s="239" t="n"/>
      <c r="K24" s="241" t="n"/>
      <c r="L24" s="241" t="n"/>
      <c r="M24" s="232" t="n"/>
      <c r="N24" s="232" t="n"/>
      <c r="O24" s="232" t="n"/>
      <c r="P24" s="232" t="n"/>
      <c r="Q24" s="232" t="n"/>
      <c r="R24" s="232" t="n"/>
      <c r="S24" s="232" t="n"/>
      <c r="V24" s="194" t="n"/>
      <c r="W24" s="194" t="n"/>
      <c r="X24" s="194" t="n"/>
      <c r="Y24" s="194" t="n"/>
      <c r="Z24" s="194" t="n"/>
    </row>
    <row r="25" ht="15.75" customHeight="1" s="195">
      <c r="A25" s="242" t="n">
        <v>4</v>
      </c>
      <c r="B25" s="243" t="inlineStr">
        <is>
          <t>Colcamar</t>
        </is>
      </c>
      <c r="C25" s="244" t="inlineStr">
        <is>
          <t>CHACHAPOYAS</t>
        </is>
      </c>
      <c r="D25" s="245">
        <f>IFERROR(SUMIF(_CALCULO!$A$2:$A$397,"COLCAMAR",_CALCULO!$C$2:$C$397),0)</f>
        <v/>
      </c>
      <c r="E25" s="245">
        <f>IFERROR(SUMIF(_CALCULO!$A$2:$A$397,"COLCAMAR",_CALCULO!$D$2:$D$397),0)</f>
        <v/>
      </c>
      <c r="F25" s="240" t="n"/>
      <c r="G25" s="241" t="n"/>
      <c r="H25" s="241" t="n"/>
      <c r="I25" s="239" t="n"/>
      <c r="J25" s="239" t="n"/>
      <c r="K25" s="241" t="n"/>
      <c r="L25" s="241" t="n"/>
      <c r="M25" s="232" t="n"/>
      <c r="N25" s="232" t="n"/>
      <c r="O25" s="232" t="n"/>
      <c r="P25" s="232" t="n"/>
      <c r="Q25" s="232" t="n"/>
      <c r="R25" s="232" t="n"/>
      <c r="S25" s="232" t="n"/>
      <c r="V25" s="194" t="n"/>
      <c r="W25" s="194" t="n"/>
      <c r="X25" s="194" t="n"/>
      <c r="Y25" s="194" t="n"/>
      <c r="Z25" s="194" t="n"/>
    </row>
    <row r="26" ht="15.75" customHeight="1" s="195">
      <c r="A26" s="236" t="n">
        <v>5</v>
      </c>
      <c r="B26" s="237" t="inlineStr">
        <is>
          <t>Collonce</t>
        </is>
      </c>
      <c r="C26" s="238" t="inlineStr">
        <is>
          <t>COLLONCE</t>
        </is>
      </c>
      <c r="D26" s="239">
        <f>IFERROR(SUMIF(_CALCULO!$A$2:$A$397,"COLLONCE",_CALCULO!$C$2:$C$397),0)</f>
        <v/>
      </c>
      <c r="E26" s="239">
        <f>IFERROR(SUMIF(_CALCULO!$A$2:$A$397,"COLLONCE",_CALCULO!$D$2:$D$397),0)</f>
        <v/>
      </c>
      <c r="F26" s="240" t="n"/>
      <c r="G26" s="241" t="n"/>
      <c r="H26" s="241" t="n"/>
      <c r="I26" s="239" t="n"/>
      <c r="J26" s="239" t="n"/>
      <c r="K26" s="241" t="n"/>
      <c r="L26" s="241" t="n"/>
      <c r="M26" s="232" t="n"/>
      <c r="N26" s="232" t="n"/>
      <c r="O26" s="232" t="n"/>
      <c r="P26" s="232" t="n"/>
      <c r="Q26" s="232" t="n"/>
      <c r="R26" s="232" t="n"/>
      <c r="S26" s="232" t="n"/>
      <c r="V26" s="194" t="n"/>
      <c r="W26" s="194" t="n"/>
      <c r="X26" s="194" t="n"/>
      <c r="Y26" s="194" t="n"/>
      <c r="Z26" s="194" t="n"/>
    </row>
    <row r="27" ht="15.75" customHeight="1" s="195">
      <c r="A27" s="242" t="n">
        <v>6</v>
      </c>
      <c r="B27" s="243" t="inlineStr">
        <is>
          <t>Duraznopampa</t>
        </is>
      </c>
      <c r="C27" s="244" t="inlineStr">
        <is>
          <t>YERBABUENA</t>
        </is>
      </c>
      <c r="D27" s="245">
        <f>IFERROR(SUMIF(_CALCULO!$A$2:$A$397,"DURAZNOPAMPA",_CALCULO!$C$2:$C$397),0)</f>
        <v/>
      </c>
      <c r="E27" s="245">
        <f>IFERROR(SUMIF(_CALCULO!$A$2:$A$397,"DURAZNOPAMPA",_CALCULO!$D$2:$D$397),0)</f>
        <v/>
      </c>
      <c r="F27" s="240" t="n"/>
      <c r="G27" s="241" t="n"/>
      <c r="H27" s="241" t="n"/>
      <c r="I27" s="239" t="n"/>
      <c r="J27" s="239" t="n"/>
      <c r="K27" s="241" t="n"/>
      <c r="L27" s="241" t="n"/>
      <c r="M27" s="232" t="n"/>
      <c r="N27" s="232" t="n"/>
      <c r="O27" s="232" t="n"/>
      <c r="P27" s="232" t="n"/>
      <c r="Q27" s="232" t="n"/>
      <c r="R27" s="232" t="n"/>
      <c r="S27" s="232" t="n"/>
      <c r="V27" s="194" t="n"/>
      <c r="W27" s="194" t="n"/>
      <c r="X27" s="194" t="n"/>
      <c r="Y27" s="194" t="n"/>
      <c r="Z27" s="194" t="n"/>
    </row>
    <row r="28" ht="15.75" customHeight="1" s="195">
      <c r="A28" s="236" t="n">
        <v>7</v>
      </c>
      <c r="B28" s="237" t="inlineStr">
        <is>
          <t>Huambo</t>
        </is>
      </c>
      <c r="C28" s="238" t="inlineStr">
        <is>
          <t>HUAMBO</t>
        </is>
      </c>
      <c r="D28" s="239">
        <f>IFERROR(SUMIF(_CALCULO!$A$2:$A$397,"HUAMBO",_CALCULO!$C$2:$C$397),0)</f>
        <v/>
      </c>
      <c r="E28" s="239">
        <f>IFERROR(SUMIF(_CALCULO!$A$2:$A$397,"HUAMBO",_CALCULO!$D$2:$D$397),0)</f>
        <v/>
      </c>
      <c r="F28" s="240" t="n"/>
      <c r="G28" s="241" t="n"/>
      <c r="H28" s="241" t="n"/>
      <c r="I28" s="239" t="n"/>
      <c r="J28" s="239" t="n"/>
      <c r="K28" s="241" t="n"/>
      <c r="L28" s="241" t="n"/>
      <c r="M28" s="232" t="n"/>
      <c r="N28" s="232" t="n"/>
      <c r="O28" s="232" t="n"/>
      <c r="P28" s="232" t="n"/>
      <c r="Q28" s="232" t="n"/>
      <c r="R28" s="232" t="n"/>
      <c r="S28" s="232" t="n"/>
      <c r="V28" s="194" t="n"/>
      <c r="W28" s="194" t="n"/>
      <c r="X28" s="194" t="n"/>
      <c r="Y28" s="194" t="n"/>
      <c r="Z28" s="194" t="n"/>
    </row>
    <row r="29" ht="15.75" customHeight="1" s="195">
      <c r="A29" s="242" t="n">
        <v>8</v>
      </c>
      <c r="B29" s="243" t="inlineStr">
        <is>
          <t>Jalca Grande</t>
        </is>
      </c>
      <c r="C29" s="244" t="inlineStr">
        <is>
          <t>YERBABUENA</t>
        </is>
      </c>
      <c r="D29" s="245">
        <f>IFERROR(SUMIF(_CALCULO!$A$2:$A$397,"JALCA GRANDE",_CALCULO!$C$2:$C$397),0)</f>
        <v/>
      </c>
      <c r="E29" s="245">
        <f>IFERROR(SUMIF(_CALCULO!$A$2:$A$397,"JALCA GRANDE",_CALCULO!$D$2:$D$397),0)</f>
        <v/>
      </c>
      <c r="F29" s="240" t="n"/>
      <c r="G29" s="241" t="n"/>
      <c r="H29" s="241" t="n"/>
      <c r="I29" s="239" t="n"/>
      <c r="J29" s="239" t="n"/>
      <c r="K29" s="241" t="n"/>
      <c r="L29" s="241" t="n"/>
      <c r="M29" s="232" t="n"/>
      <c r="N29" s="232" t="n"/>
      <c r="O29" s="232" t="n"/>
      <c r="P29" s="232" t="n"/>
      <c r="Q29" s="232" t="n"/>
      <c r="R29" s="232" t="n"/>
      <c r="S29" s="232" t="n"/>
      <c r="V29" s="194" t="n"/>
      <c r="W29" s="194" t="n"/>
      <c r="X29" s="194" t="n"/>
      <c r="Y29" s="194" t="n"/>
      <c r="Z29" s="194" t="n"/>
    </row>
    <row r="30" ht="15.75" customHeight="1" s="195">
      <c r="A30" s="236" t="n">
        <v>9</v>
      </c>
      <c r="B30" s="237" t="inlineStr">
        <is>
          <t>Jumbilla</t>
        </is>
      </c>
      <c r="C30" s="238" t="inlineStr">
        <is>
          <t>JUMBILLA</t>
        </is>
      </c>
      <c r="D30" s="239">
        <f>IFERROR(SUMIF(_CALCULO!$A$2:$A$397,"JUMBILLA",_CALCULO!$C$2:$C$397),0)</f>
        <v/>
      </c>
      <c r="E30" s="239">
        <f>IFERROR(SUMIF(_CALCULO!$A$2:$A$397,"JUMBILLA",_CALCULO!$D$2:$D$397),0)</f>
        <v/>
      </c>
      <c r="F30" s="240" t="n"/>
      <c r="G30" s="241" t="n"/>
      <c r="H30" s="241" t="n"/>
      <c r="I30" s="239" t="n"/>
      <c r="J30" s="239" t="n"/>
      <c r="K30" s="241" t="n"/>
      <c r="L30" s="241" t="n"/>
      <c r="M30" s="232" t="n"/>
      <c r="N30" s="232" t="n"/>
      <c r="O30" s="232" t="n"/>
      <c r="P30" s="232" t="n"/>
      <c r="Q30" s="232" t="n"/>
      <c r="R30" s="232" t="n"/>
      <c r="S30" s="232" t="n"/>
      <c r="V30" s="194" t="n"/>
      <c r="W30" s="194" t="n"/>
      <c r="X30" s="194" t="n"/>
      <c r="Y30" s="194" t="n"/>
      <c r="Z30" s="194" t="n"/>
    </row>
    <row r="31" ht="15.75" customHeight="1" s="195">
      <c r="A31" s="242" t="n">
        <v>10</v>
      </c>
      <c r="B31" s="243" t="inlineStr">
        <is>
          <t>Lamud</t>
        </is>
      </c>
      <c r="C31" s="244" t="inlineStr">
        <is>
          <t>LAMUD</t>
        </is>
      </c>
      <c r="D31" s="245">
        <f>IFERROR(SUMIF(_CALCULO!$A$2:$A$397,"LAMUD",_CALCULO!$C$2:$C$397),0)</f>
        <v/>
      </c>
      <c r="E31" s="245">
        <f>IFERROR(SUMIF(_CALCULO!$A$2:$A$397,"LAMUD",_CALCULO!$D$2:$D$397),0)</f>
        <v/>
      </c>
      <c r="F31" s="240" t="n"/>
      <c r="G31" s="241" t="n"/>
      <c r="H31" s="232" t="n"/>
      <c r="I31" s="232" t="n"/>
      <c r="J31" s="232" t="n"/>
      <c r="K31" s="232" t="n"/>
      <c r="L31" s="232" t="n"/>
      <c r="M31" s="232" t="n"/>
      <c r="N31" s="232" t="n"/>
      <c r="O31" s="232" t="n"/>
      <c r="P31" s="232" t="n"/>
      <c r="Q31" s="232" t="n"/>
      <c r="R31" s="232" t="n"/>
      <c r="S31" s="232" t="n"/>
      <c r="V31" s="194" t="n"/>
      <c r="W31" s="194" t="n"/>
      <c r="X31" s="194" t="n"/>
      <c r="Y31" s="194" t="n"/>
      <c r="Z31" s="194" t="n"/>
    </row>
    <row r="32" ht="15.75" customHeight="1" s="195">
      <c r="A32" s="236" t="n">
        <v>11</v>
      </c>
      <c r="B32" s="237" t="inlineStr">
        <is>
          <t>Leymebamba</t>
        </is>
      </c>
      <c r="C32" s="238" t="inlineStr">
        <is>
          <t>LEIMEBAMBA</t>
        </is>
      </c>
      <c r="D32" s="239">
        <f>IFERROR(SUMIF(_CALCULO!$A$2:$A$397,"LEYMEBAMBA",_CALCULO!$C$2:$C$397),0)</f>
        <v/>
      </c>
      <c r="E32" s="239">
        <f>IFERROR(SUMIF(_CALCULO!$A$2:$A$397,"LEYMEBAMBA",_CALCULO!$D$2:$D$397),0)</f>
        <v/>
      </c>
      <c r="F32" s="240" t="n"/>
      <c r="G32" s="241" t="n"/>
      <c r="H32" s="232" t="n"/>
      <c r="I32" s="232" t="n"/>
      <c r="J32" s="232" t="n"/>
      <c r="K32" s="232" t="n"/>
      <c r="L32" s="232" t="n"/>
      <c r="M32" s="232" t="n"/>
      <c r="N32" s="232" t="n"/>
      <c r="O32" s="232" t="n"/>
      <c r="P32" s="232" t="n"/>
      <c r="Q32" s="232" t="n"/>
      <c r="R32" s="232" t="n"/>
      <c r="S32" s="232" t="n"/>
      <c r="V32" s="194" t="n"/>
      <c r="W32" s="194" t="n"/>
      <c r="X32" s="194" t="n"/>
      <c r="Y32" s="194" t="n"/>
      <c r="Z32" s="194" t="n"/>
    </row>
    <row r="33" ht="15.75" customHeight="1" s="195">
      <c r="A33" s="242" t="n">
        <v>12</v>
      </c>
      <c r="B33" s="243" t="inlineStr">
        <is>
          <t>Luya</t>
        </is>
      </c>
      <c r="C33" s="244" t="inlineStr">
        <is>
          <t>LUYA</t>
        </is>
      </c>
      <c r="D33" s="245">
        <f>IFERROR(SUMIF(_CALCULO!$A$2:$A$397,"LUYA",_CALCULO!$C$2:$C$397),0)</f>
        <v/>
      </c>
      <c r="E33" s="245">
        <f>IFERROR(SUMIF(_CALCULO!$A$2:$A$397,"LUYA",_CALCULO!$D$2:$D$397),0)</f>
        <v/>
      </c>
      <c r="F33" s="240" t="n"/>
      <c r="G33" s="241" t="n"/>
      <c r="H33" s="232" t="n"/>
      <c r="I33" s="232" t="n"/>
      <c r="J33" s="232" t="n"/>
      <c r="K33" s="232" t="n"/>
      <c r="L33" s="232" t="n"/>
      <c r="M33" s="232" t="n"/>
      <c r="N33" s="232" t="n"/>
      <c r="O33" s="232" t="n"/>
      <c r="P33" s="232" t="n"/>
      <c r="Q33" s="232" t="n"/>
      <c r="R33" s="232" t="n"/>
      <c r="S33" s="232" t="n"/>
      <c r="V33" s="194" t="n"/>
      <c r="W33" s="194" t="n"/>
      <c r="X33" s="194" t="n"/>
      <c r="Y33" s="194" t="n"/>
      <c r="Z33" s="194" t="n"/>
    </row>
    <row r="34" ht="15.75" customHeight="1" s="195">
      <c r="A34" s="236" t="n">
        <v>13</v>
      </c>
      <c r="B34" s="237" t="inlineStr">
        <is>
          <t>Maria</t>
        </is>
      </c>
      <c r="C34" s="238" t="inlineStr">
        <is>
          <t>MARIA</t>
        </is>
      </c>
      <c r="D34" s="239">
        <f>IFERROR(SUMIF(_CALCULO!$A$2:$A$397,"MARIA",_CALCULO!$C$2:$C$397),0)</f>
        <v/>
      </c>
      <c r="E34" s="239">
        <f>IFERROR(SUMIF(_CALCULO!$A$2:$A$397,"MARIA",_CALCULO!$D$2:$D$397),0)</f>
        <v/>
      </c>
      <c r="F34" s="240" t="n"/>
      <c r="G34" s="241" t="n"/>
      <c r="H34" s="232" t="n"/>
      <c r="I34" s="232" t="n"/>
      <c r="J34" s="232" t="n"/>
      <c r="K34" s="232" t="n"/>
      <c r="L34" s="232" t="n"/>
      <c r="M34" s="232" t="n"/>
      <c r="N34" s="232" t="n"/>
      <c r="O34" s="232" t="n"/>
      <c r="P34" s="232" t="n"/>
      <c r="Q34" s="232" t="n"/>
      <c r="R34" s="232" t="n"/>
      <c r="S34" s="232" t="n"/>
      <c r="V34" s="194" t="n"/>
      <c r="W34" s="194" t="n"/>
      <c r="X34" s="194" t="n"/>
      <c r="Y34" s="194" t="n"/>
      <c r="Z34" s="194" t="n"/>
    </row>
    <row r="35" ht="15.75" customHeight="1" s="195">
      <c r="A35" s="242" t="n">
        <v>14</v>
      </c>
      <c r="B35" s="243" t="inlineStr">
        <is>
          <t>Maria Auxiliadora</t>
        </is>
      </c>
      <c r="C35" s="244" t="inlineStr">
        <is>
          <t>HOSPITAL MARIA AUXILIADORA</t>
        </is>
      </c>
      <c r="D35" s="245">
        <f>IFERROR(SUMIF(_CALCULO!$A$2:$A$397,"MARIA AUXILIADORA",_CALCULO!$C$2:$C$397),0)</f>
        <v/>
      </c>
      <c r="E35" s="245">
        <f>IFERROR(SUMIF(_CALCULO!$A$2:$A$397,"MARIA AUXILIADORA",_CALCULO!$D$2:$D$397),0)</f>
        <v/>
      </c>
      <c r="F35" s="240" t="n"/>
      <c r="G35" s="241" t="n"/>
      <c r="H35" s="232" t="n"/>
      <c r="I35" s="232" t="n"/>
      <c r="J35" s="232" t="n"/>
      <c r="K35" s="232" t="n"/>
      <c r="L35" s="232" t="n"/>
      <c r="M35" s="232" t="n"/>
      <c r="N35" s="232" t="n"/>
      <c r="O35" s="232" t="n"/>
      <c r="P35" s="232" t="n"/>
      <c r="Q35" s="232" t="n"/>
      <c r="R35" s="232" t="n"/>
      <c r="S35" s="232" t="n"/>
      <c r="V35" s="194" t="n"/>
      <c r="W35" s="194" t="n"/>
      <c r="X35" s="194" t="n"/>
      <c r="Y35" s="194" t="n"/>
      <c r="Z35" s="194" t="n"/>
    </row>
    <row r="36" ht="15.75" customHeight="1" s="195">
      <c r="A36" s="236" t="n">
        <v>15</v>
      </c>
      <c r="B36" s="237" t="inlineStr">
        <is>
          <t>Mariscal Benavides</t>
        </is>
      </c>
      <c r="C36" s="238" t="inlineStr">
        <is>
          <t>LONGAR</t>
        </is>
      </c>
      <c r="D36" s="239">
        <f>IFERROR(SUMIF(_CALCULO!$A$2:$A$397,"MARISCAL BENAVIDES",_CALCULO!$C$2:$C$397),0)</f>
        <v/>
      </c>
      <c r="E36" s="239">
        <f>IFERROR(SUMIF(_CALCULO!$A$2:$A$397,"MARISCAL BENAVIDES",_CALCULO!$D$2:$D$397),0)</f>
        <v/>
      </c>
      <c r="F36" s="240" t="n"/>
      <c r="G36" s="241" t="n"/>
      <c r="H36" s="232" t="n"/>
      <c r="I36" s="232" t="n"/>
      <c r="J36" s="232" t="n"/>
      <c r="K36" s="232" t="n"/>
      <c r="L36" s="232" t="n"/>
      <c r="M36" s="232" t="n"/>
      <c r="N36" s="232" t="n"/>
      <c r="O36" s="232" t="n"/>
      <c r="P36" s="232" t="n"/>
      <c r="Q36" s="232" t="n"/>
      <c r="R36" s="232" t="n"/>
      <c r="S36" s="232" t="n"/>
      <c r="V36" s="194" t="n"/>
      <c r="W36" s="194" t="n"/>
      <c r="X36" s="194" t="n"/>
      <c r="Y36" s="194" t="n"/>
      <c r="Z36" s="194" t="n"/>
    </row>
    <row r="37" ht="15.75" customHeight="1" s="195">
      <c r="A37" s="242" t="n">
        <v>16</v>
      </c>
      <c r="B37" s="243" t="inlineStr">
        <is>
          <t>Nuevo Chirimoto</t>
        </is>
      </c>
      <c r="C37" s="244" t="inlineStr">
        <is>
          <t>NUEVO CHIRIMOTO</t>
        </is>
      </c>
      <c r="D37" s="245">
        <f>IFERROR(SUMIF(_CALCULO!$A$2:$A$397,"NUEVO CHIRIMOTO",_CALCULO!$C$2:$C$397),0)</f>
        <v/>
      </c>
      <c r="E37" s="245">
        <f>IFERROR(SUMIF(_CALCULO!$A$2:$A$397,"NUEVO CHIRIMOTO",_CALCULO!$D$2:$D$397),0)</f>
        <v/>
      </c>
      <c r="F37" s="240" t="n"/>
      <c r="G37" s="241" t="n"/>
      <c r="H37" s="232" t="n"/>
      <c r="I37" s="232" t="n"/>
      <c r="J37" s="232" t="n"/>
      <c r="K37" s="232" t="n"/>
      <c r="L37" s="232" t="n"/>
      <c r="M37" s="232" t="n"/>
      <c r="N37" s="232" t="n"/>
      <c r="O37" s="232" t="n"/>
      <c r="P37" s="232" t="n"/>
      <c r="Q37" s="232" t="n"/>
      <c r="R37" s="232" t="n"/>
      <c r="S37" s="232" t="n"/>
      <c r="V37" s="194" t="n"/>
      <c r="W37" s="194" t="n"/>
      <c r="X37" s="194" t="n"/>
      <c r="Y37" s="194" t="n"/>
      <c r="Z37" s="194" t="n"/>
    </row>
    <row r="38" ht="15.75" customHeight="1" s="195">
      <c r="A38" s="236" t="n">
        <v>17</v>
      </c>
      <c r="B38" s="237" t="inlineStr">
        <is>
          <t>Ocalli</t>
        </is>
      </c>
      <c r="C38" s="238" t="inlineStr">
        <is>
          <t>OCALLI</t>
        </is>
      </c>
      <c r="D38" s="239">
        <f>IFERROR(SUMIF(_CALCULO!$A$2:$A$397,"OCALLI",_CALCULO!$C$2:$C$397),0)</f>
        <v/>
      </c>
      <c r="E38" s="239">
        <f>IFERROR(SUMIF(_CALCULO!$A$2:$A$397,"OCALLI",_CALCULO!$D$2:$D$397),0)</f>
        <v/>
      </c>
      <c r="F38" s="240" t="n"/>
      <c r="G38" s="241" t="n"/>
      <c r="H38" s="232" t="n"/>
      <c r="I38" s="232" t="n"/>
      <c r="J38" s="232" t="n"/>
      <c r="K38" s="232" t="n"/>
      <c r="L38" s="232" t="n"/>
      <c r="M38" s="232" t="n"/>
      <c r="N38" s="232" t="n"/>
      <c r="O38" s="232" t="n"/>
      <c r="P38" s="232" t="n"/>
      <c r="Q38" s="232" t="n"/>
      <c r="R38" s="232" t="n"/>
      <c r="S38" s="232" t="n"/>
      <c r="V38" s="194" t="n"/>
      <c r="W38" s="194" t="n"/>
      <c r="X38" s="194" t="n"/>
      <c r="Y38" s="194" t="n"/>
      <c r="Z38" s="194" t="n"/>
    </row>
    <row r="39" ht="15.75" customHeight="1" s="195">
      <c r="A39" s="242" t="n">
        <v>18</v>
      </c>
      <c r="B39" s="243" t="inlineStr">
        <is>
          <t>Omia</t>
        </is>
      </c>
      <c r="C39" s="244" t="inlineStr">
        <is>
          <t>OMIA</t>
        </is>
      </c>
      <c r="D39" s="245">
        <f>IFERROR(SUMIF(_CALCULO!$A$2:$A$397,"OMIA",_CALCULO!$C$2:$C$397),0)</f>
        <v/>
      </c>
      <c r="E39" s="245">
        <f>IFERROR(SUMIF(_CALCULO!$A$2:$A$397,"OMIA",_CALCULO!$D$2:$D$397),0)</f>
        <v/>
      </c>
      <c r="F39" s="240" t="n"/>
      <c r="G39" s="241" t="n"/>
      <c r="H39" s="232" t="n"/>
      <c r="I39" s="232" t="n"/>
      <c r="J39" s="232" t="n"/>
      <c r="K39" s="232" t="n"/>
      <c r="L39" s="232" t="n"/>
      <c r="M39" s="232" t="n"/>
      <c r="N39" s="232" t="n"/>
      <c r="O39" s="232" t="n"/>
      <c r="P39" s="232" t="n"/>
      <c r="Q39" s="232" t="n"/>
      <c r="R39" s="232" t="n"/>
      <c r="S39" s="232" t="n"/>
      <c r="V39" s="194" t="n"/>
      <c r="W39" s="194" t="n"/>
      <c r="X39" s="194" t="n"/>
      <c r="Y39" s="194" t="n"/>
      <c r="Z39" s="194" t="n"/>
    </row>
    <row r="40" ht="15.75" customHeight="1" s="195">
      <c r="A40" s="236" t="n">
        <v>19</v>
      </c>
      <c r="B40" s="237" t="inlineStr">
        <is>
          <t>Pedro Ruiz Gallo</t>
        </is>
      </c>
      <c r="C40" s="238" t="inlineStr">
        <is>
          <t>PEDRO RUIZ GALLO</t>
        </is>
      </c>
      <c r="D40" s="239">
        <f>IFERROR(SUMIF(_CALCULO!$A$2:$A$397,"PEDRO RUIZ GALLO",_CALCULO!$C$2:$C$397),0)</f>
        <v/>
      </c>
      <c r="E40" s="239">
        <f>IFERROR(SUMIF(_CALCULO!$A$2:$A$397,"PEDRO RUIZ GALLO",_CALCULO!$D$2:$D$397),0)</f>
        <v/>
      </c>
      <c r="F40" s="240" t="n"/>
      <c r="G40" s="232" t="n"/>
      <c r="H40" s="232" t="n"/>
      <c r="I40" s="232" t="n"/>
      <c r="J40" s="232" t="n"/>
      <c r="K40" s="232" t="n"/>
      <c r="L40" s="232" t="n"/>
      <c r="M40" s="232" t="n"/>
      <c r="N40" s="232" t="n"/>
      <c r="O40" s="232" t="n"/>
      <c r="P40" s="232" t="n"/>
      <c r="Q40" s="232" t="n"/>
      <c r="R40" s="232" t="n"/>
      <c r="S40" s="232" t="n"/>
      <c r="V40" s="194" t="n"/>
      <c r="W40" s="194" t="n"/>
      <c r="X40" s="194" t="n"/>
      <c r="Y40" s="194" t="n"/>
      <c r="Z40" s="194" t="n"/>
    </row>
    <row r="41" ht="15.75" customHeight="1" s="195">
      <c r="A41" s="242" t="n">
        <v>20</v>
      </c>
      <c r="B41" s="243" t="inlineStr">
        <is>
          <t>Pomacochas</t>
        </is>
      </c>
      <c r="C41" s="244" t="inlineStr">
        <is>
          <t>POMACOCHAS</t>
        </is>
      </c>
      <c r="D41" s="245">
        <f>IFERROR(SUMIF(_CALCULO!$A$2:$A$397,"POMACOCHAS",_CALCULO!$C$2:$C$397),0)</f>
        <v/>
      </c>
      <c r="E41" s="245">
        <f>IFERROR(SUMIF(_CALCULO!$A$2:$A$397,"POMACOCHAS",_CALCULO!$D$2:$D$397),0)</f>
        <v/>
      </c>
      <c r="F41" s="240" t="n"/>
      <c r="G41" s="232" t="n"/>
      <c r="H41" s="232" t="n"/>
      <c r="I41" s="232" t="n"/>
      <c r="J41" s="232" t="n"/>
      <c r="K41" s="232" t="n"/>
      <c r="L41" s="232" t="n"/>
      <c r="M41" s="232" t="n"/>
      <c r="N41" s="232" t="n"/>
      <c r="O41" s="232" t="n"/>
      <c r="P41" s="232" t="n"/>
      <c r="Q41" s="232" t="n"/>
      <c r="R41" s="232" t="n"/>
      <c r="S41" s="232" t="n"/>
      <c r="V41" s="194" t="n"/>
      <c r="W41" s="194" t="n"/>
      <c r="X41" s="194" t="n"/>
      <c r="Y41" s="194" t="n"/>
      <c r="Z41" s="194" t="n"/>
    </row>
    <row r="42" ht="15.75" customHeight="1" s="195">
      <c r="A42" s="236" t="n">
        <v>21</v>
      </c>
      <c r="B42" s="237" t="inlineStr">
        <is>
          <t>San Juan De Ocumal</t>
        </is>
      </c>
      <c r="C42" s="238" t="inlineStr">
        <is>
          <t>COLLONCE</t>
        </is>
      </c>
      <c r="D42" s="239">
        <f>IFERROR(SUMIF(_CALCULO!$A$2:$A$397,"SAN JUAN DE OCUMAL",_CALCULO!$C$2:$C$397),0)</f>
        <v/>
      </c>
      <c r="E42" s="239">
        <f>IFERROR(SUMIF(_CALCULO!$A$2:$A$397,"SAN JUAN DE OCUMAL",_CALCULO!$D$2:$D$397),0)</f>
        <v/>
      </c>
      <c r="F42" s="240" t="n"/>
      <c r="G42" s="232" t="n"/>
      <c r="H42" s="232" t="n"/>
      <c r="I42" s="232" t="n"/>
      <c r="J42" s="232" t="n"/>
      <c r="K42" s="232" t="n"/>
      <c r="L42" s="232" t="n"/>
      <c r="M42" s="232" t="n"/>
      <c r="N42" s="232" t="n"/>
      <c r="O42" s="232" t="n"/>
      <c r="P42" s="232" t="n"/>
      <c r="Q42" s="232" t="n"/>
      <c r="R42" s="232" t="n"/>
      <c r="S42" s="232" t="n"/>
      <c r="V42" s="194" t="n"/>
      <c r="W42" s="194" t="n"/>
      <c r="X42" s="194" t="n"/>
      <c r="Y42" s="194" t="n"/>
      <c r="Z42" s="194" t="n"/>
    </row>
    <row r="43" ht="15.75" customHeight="1" s="195">
      <c r="A43" s="242" t="n">
        <v>22</v>
      </c>
      <c r="B43" s="243" t="inlineStr">
        <is>
          <t>San Salvador</t>
        </is>
      </c>
      <c r="C43" s="244" t="inlineStr">
        <is>
          <t>SANTO TOMAS</t>
        </is>
      </c>
      <c r="D43" s="245">
        <f>IFERROR(SUMIF(_CALCULO!$A$2:$A$397,"SAN SALVADOR",_CALCULO!$C$2:$C$397),0)</f>
        <v/>
      </c>
      <c r="E43" s="245">
        <f>IFERROR(SUMIF(_CALCULO!$A$2:$A$397,"SAN SALVADOR",_CALCULO!$D$2:$D$397),0)</f>
        <v/>
      </c>
      <c r="F43" s="240" t="n"/>
      <c r="G43" s="235" t="n"/>
      <c r="H43" s="232" t="n"/>
      <c r="I43" s="232" t="n"/>
      <c r="J43" s="232" t="n"/>
      <c r="K43" s="232" t="n"/>
      <c r="L43" s="232" t="n"/>
      <c r="M43" s="232" t="n"/>
      <c r="N43" s="232" t="n"/>
      <c r="O43" s="232" t="n"/>
      <c r="P43" s="232" t="n"/>
      <c r="Q43" s="232" t="n"/>
      <c r="R43" s="232" t="n"/>
      <c r="S43" s="232" t="n"/>
      <c r="V43" s="194" t="n"/>
      <c r="W43" s="194" t="n"/>
      <c r="X43" s="194" t="n"/>
      <c r="Y43" s="194" t="n"/>
      <c r="Z43" s="194" t="n"/>
    </row>
    <row r="44" ht="15.75" customHeight="1" s="195">
      <c r="A44" s="236" t="n">
        <v>23</v>
      </c>
      <c r="B44" s="237" t="inlineStr">
        <is>
          <t>Santo Tomas</t>
        </is>
      </c>
      <c r="C44" s="238" t="inlineStr">
        <is>
          <t>SANTO TOMAS</t>
        </is>
      </c>
      <c r="D44" s="239">
        <f>IFERROR(SUMIF(_CALCULO!$A$2:$A$397,"SANTO TOMAS",_CALCULO!$C$2:$C$397),0)</f>
        <v/>
      </c>
      <c r="E44" s="239">
        <f>IFERROR(SUMIF(_CALCULO!$A$2:$A$397,"SANTO TOMAS",_CALCULO!$D$2:$D$397),0)</f>
        <v/>
      </c>
      <c r="F44" s="240" t="n"/>
      <c r="G44" s="241" t="n"/>
      <c r="H44" s="232" t="n"/>
      <c r="I44" s="232" t="n"/>
      <c r="J44" s="232" t="n"/>
      <c r="K44" s="232" t="n"/>
      <c r="L44" s="232" t="n"/>
      <c r="M44" s="232" t="n"/>
      <c r="N44" s="232" t="n"/>
      <c r="O44" s="232" t="n"/>
      <c r="P44" s="232" t="n"/>
      <c r="Q44" s="232" t="n"/>
      <c r="R44" s="232" t="n"/>
      <c r="S44" s="232" t="n"/>
      <c r="V44" s="194" t="n"/>
      <c r="W44" s="194" t="n"/>
      <c r="X44" s="194" t="n"/>
      <c r="Y44" s="194" t="n"/>
      <c r="Z44" s="194" t="n"/>
    </row>
    <row r="45" ht="15.75" customHeight="1" s="195">
      <c r="A45" s="242" t="n">
        <v>24</v>
      </c>
      <c r="B45" s="243" t="inlineStr">
        <is>
          <t>Tingo</t>
        </is>
      </c>
      <c r="C45" s="244" t="inlineStr">
        <is>
          <t>TINGO</t>
        </is>
      </c>
      <c r="D45" s="245">
        <f>IFERROR(SUMIF(_CALCULO!$A$2:$A$397,"TINGO",_CALCULO!$C$2:$C$397),0)</f>
        <v/>
      </c>
      <c r="E45" s="245">
        <f>IFERROR(SUMIF(_CALCULO!$A$2:$A$397,"TINGO",_CALCULO!$D$2:$D$397),0)</f>
        <v/>
      </c>
      <c r="F45" s="240" t="n"/>
      <c r="G45" s="241" t="n"/>
      <c r="H45" s="232" t="n"/>
      <c r="I45" s="232" t="n"/>
      <c r="J45" s="232" t="n"/>
      <c r="K45" s="232" t="n"/>
      <c r="L45" s="232" t="n"/>
      <c r="M45" s="232" t="n"/>
      <c r="N45" s="232" t="n"/>
      <c r="O45" s="232" t="n"/>
      <c r="P45" s="232" t="n"/>
      <c r="Q45" s="232" t="n"/>
      <c r="R45" s="232" t="n"/>
      <c r="S45" s="232" t="n"/>
      <c r="V45" s="194" t="n"/>
      <c r="W45" s="194" t="n"/>
      <c r="X45" s="194" t="n"/>
      <c r="Y45" s="194" t="n"/>
      <c r="Z45" s="194" t="n"/>
    </row>
    <row r="46" ht="15.75" customHeight="1" s="195">
      <c r="A46" s="236" t="n">
        <v>25</v>
      </c>
      <c r="B46" s="237" t="inlineStr">
        <is>
          <t>Totora</t>
        </is>
      </c>
      <c r="C46" s="238" t="inlineStr">
        <is>
          <t>TOTORA</t>
        </is>
      </c>
      <c r="D46" s="239">
        <f>IFERROR(SUMIF(_CALCULO!$A$2:$A$397,"TOTORA",_CALCULO!$C$2:$C$397),0)</f>
        <v/>
      </c>
      <c r="E46" s="239">
        <f>IFERROR(SUMIF(_CALCULO!$A$2:$A$397,"TOTORA",_CALCULO!$D$2:$D$397),0)</f>
        <v/>
      </c>
      <c r="F46" s="240" t="n"/>
      <c r="G46" s="241" t="n"/>
      <c r="H46" s="232" t="n"/>
      <c r="I46" s="232" t="n"/>
      <c r="J46" s="232" t="n"/>
      <c r="K46" s="232" t="n"/>
      <c r="L46" s="232" t="n"/>
      <c r="M46" s="232" t="n"/>
      <c r="N46" s="232" t="n"/>
      <c r="O46" s="232" t="n"/>
      <c r="P46" s="232" t="n"/>
      <c r="Q46" s="232" t="n"/>
      <c r="R46" s="232" t="n"/>
      <c r="S46" s="232" t="n"/>
      <c r="V46" s="194" t="n"/>
      <c r="W46" s="194" t="n"/>
      <c r="X46" s="194" t="n"/>
      <c r="Y46" s="194" t="n"/>
      <c r="Z46" s="194" t="n"/>
    </row>
    <row r="47" ht="15.75" customHeight="1" s="195">
      <c r="A47" s="242" t="n">
        <v>26</v>
      </c>
      <c r="B47" s="243" t="inlineStr">
        <is>
          <t>Yambrasbamba</t>
        </is>
      </c>
      <c r="C47" s="244" t="inlineStr">
        <is>
          <t>POMACOCHAS</t>
        </is>
      </c>
      <c r="D47" s="245">
        <f>IFERROR(SUMIF(_CALCULO!$A$2:$A$397,"YAMBRASBAMBA",_CALCULO!$C$2:$C$397),0)</f>
        <v/>
      </c>
      <c r="E47" s="245">
        <f>IFERROR(SUMIF(_CALCULO!$A$2:$A$397,"YAMBRASBAMBA",_CALCULO!$D$2:$D$397),0)</f>
        <v/>
      </c>
      <c r="F47" s="240" t="n"/>
      <c r="G47" s="241" t="n"/>
      <c r="H47" s="232" t="n"/>
      <c r="I47" s="232" t="n"/>
      <c r="J47" s="232" t="n"/>
      <c r="K47" s="232" t="n"/>
      <c r="L47" s="232" t="n"/>
      <c r="M47" s="232" t="n"/>
      <c r="N47" s="232" t="n"/>
      <c r="O47" s="232" t="n"/>
      <c r="P47" s="232" t="n"/>
      <c r="Q47" s="232" t="n"/>
      <c r="R47" s="232" t="n"/>
      <c r="S47" s="232" t="n"/>
      <c r="V47" s="194" t="n"/>
      <c r="W47" s="194" t="n"/>
      <c r="X47" s="194" t="n"/>
      <c r="Y47" s="194" t="n"/>
      <c r="Z47" s="194" t="n"/>
    </row>
    <row r="48" ht="15.75" customHeight="1" s="195">
      <c r="A48" s="236" t="n">
        <v>27</v>
      </c>
      <c r="B48" s="237" t="inlineStr">
        <is>
          <t>Yaulicachi</t>
        </is>
      </c>
      <c r="C48" s="238" t="inlineStr">
        <is>
          <t>COLLONCE</t>
        </is>
      </c>
      <c r="D48" s="239">
        <f>IFERROR(SUMIF(_CALCULO!$A$2:$A$397,"YAULICACHI",_CALCULO!$C$2:$C$397),0)</f>
        <v/>
      </c>
      <c r="E48" s="239">
        <f>IFERROR(SUMIF(_CALCULO!$A$2:$A$397,"YAULICACHI",_CALCULO!$D$2:$D$397),0)</f>
        <v/>
      </c>
      <c r="F48" s="240" t="n"/>
      <c r="G48" s="241" t="n"/>
      <c r="H48" s="232" t="n"/>
      <c r="I48" s="232" t="n"/>
      <c r="J48" s="232" t="n"/>
      <c r="K48" s="232" t="n"/>
      <c r="L48" s="232" t="n"/>
      <c r="M48" s="232" t="n"/>
      <c r="N48" s="232" t="n"/>
      <c r="O48" s="232" t="n"/>
      <c r="P48" s="232" t="n"/>
      <c r="Q48" s="232" t="n"/>
      <c r="R48" s="232" t="n"/>
      <c r="S48" s="232" t="n"/>
      <c r="V48" s="194" t="n"/>
      <c r="W48" s="194" t="n"/>
      <c r="X48" s="194" t="n"/>
      <c r="Y48" s="194" t="n"/>
      <c r="Z48" s="194" t="n"/>
    </row>
    <row r="49" ht="15.75" customHeight="1" s="195">
      <c r="A49" s="242" t="n">
        <v>28</v>
      </c>
      <c r="B49" s="243" t="inlineStr">
        <is>
          <t>Yerbabuena</t>
        </is>
      </c>
      <c r="C49" s="244" t="inlineStr">
        <is>
          <t>YERBABUENA</t>
        </is>
      </c>
      <c r="D49" s="245">
        <f>IFERROR(SUMIF(_CALCULO!$A$2:$A$397,"YERBABUENA",_CALCULO!$C$2:$C$397),0)</f>
        <v/>
      </c>
      <c r="E49" s="245">
        <f>IFERROR(SUMIF(_CALCULO!$A$2:$A$397,"YERBABUENA",_CALCULO!$D$2:$D$397),0)</f>
        <v/>
      </c>
      <c r="F49" s="246" t="n"/>
      <c r="G49" s="241" t="n"/>
      <c r="H49" s="232" t="n"/>
      <c r="I49" s="232" t="n"/>
      <c r="J49" s="232" t="n"/>
      <c r="K49" s="232" t="n"/>
      <c r="L49" s="232" t="n"/>
      <c r="M49" s="232" t="n"/>
      <c r="N49" s="232" t="n"/>
      <c r="O49" s="232" t="n"/>
      <c r="P49" s="232" t="n"/>
      <c r="Q49" s="232" t="n"/>
      <c r="R49" s="232" t="n"/>
      <c r="S49" s="232" t="n"/>
      <c r="V49" s="194" t="n"/>
      <c r="W49" s="194" t="n"/>
      <c r="X49" s="194" t="n"/>
      <c r="Y49" s="194" t="n"/>
      <c r="Z49" s="194" t="n"/>
    </row>
    <row r="50" ht="15.75" customHeight="1" s="195">
      <c r="A50" s="236" t="n">
        <v>29</v>
      </c>
      <c r="B50" s="237" t="inlineStr">
        <is>
          <t>Zarumilla</t>
        </is>
      </c>
      <c r="C50" s="238" t="inlineStr">
        <is>
          <t>ZARUMILLA</t>
        </is>
      </c>
      <c r="D50" s="239">
        <f>IFERROR(SUMIF(_CALCULO!$A$2:$A$397,"ZARUMILLA",_CALCULO!$C$2:$C$397),0)</f>
        <v/>
      </c>
      <c r="E50" s="239">
        <f>IFERROR(SUMIF(_CALCULO!$A$2:$A$397,"ZARUMILLA",_CALCULO!$D$2:$D$397),0)</f>
        <v/>
      </c>
      <c r="G50" s="241" t="n"/>
      <c r="H50" s="232" t="n"/>
      <c r="I50" s="232" t="n"/>
      <c r="J50" s="232" t="n"/>
      <c r="K50" s="232" t="n"/>
      <c r="L50" s="232" t="n"/>
      <c r="M50" s="232" t="n"/>
      <c r="N50" s="232" t="n"/>
      <c r="O50" s="232" t="n"/>
      <c r="P50" s="232" t="n"/>
      <c r="Q50" s="232" t="n"/>
      <c r="R50" s="232" t="n"/>
      <c r="S50" s="232" t="n"/>
      <c r="V50" s="194" t="n"/>
      <c r="W50" s="194" t="n"/>
      <c r="X50" s="194" t="n"/>
      <c r="Y50" s="194" t="n"/>
      <c r="Z50" s="194" t="n"/>
    </row>
    <row r="51" ht="24" customHeight="1" s="195">
      <c r="A51" s="247" t="inlineStr">
        <is>
          <t>TOTAL GENERAL PETROLEO</t>
        </is>
      </c>
      <c r="D51" s="248">
        <f>SUBTOTAL(9,D22:D50)</f>
        <v/>
      </c>
      <c r="E51" s="249">
        <f>SUBTOTAL(9,E22:E50)</f>
        <v/>
      </c>
      <c r="G51" s="241" t="n"/>
      <c r="H51" s="232" t="n"/>
      <c r="I51" s="232" t="n"/>
      <c r="J51" s="232" t="n"/>
      <c r="K51" s="232" t="n"/>
      <c r="L51" s="232" t="n"/>
      <c r="M51" s="232" t="n"/>
      <c r="N51" s="232" t="n"/>
      <c r="O51" s="232" t="n"/>
      <c r="P51" s="232" t="n"/>
      <c r="Q51" s="232" t="n"/>
      <c r="R51" s="232" t="n"/>
      <c r="S51" s="232" t="n"/>
      <c r="V51" s="194" t="n"/>
      <c r="W51" s="194" t="n"/>
      <c r="X51" s="194" t="n"/>
      <c r="Y51" s="194" t="n"/>
      <c r="Z51" s="194" t="n"/>
    </row>
    <row r="52" ht="24" customHeight="1" s="195">
      <c r="A52" s="240" t="n"/>
      <c r="B52" s="246" t="n"/>
      <c r="C52" s="246" t="n"/>
      <c r="D52" s="246" t="n"/>
      <c r="E52" s="246" t="n"/>
      <c r="F52" s="240" t="n"/>
      <c r="G52" s="241" t="n"/>
      <c r="H52" s="232" t="n"/>
      <c r="I52" s="232" t="n"/>
      <c r="J52" s="232" t="n"/>
      <c r="K52" s="232" t="n"/>
      <c r="L52" s="232" t="n"/>
      <c r="M52" s="232" t="n"/>
      <c r="N52" s="232" t="n"/>
      <c r="O52" s="232" t="n"/>
      <c r="P52" s="232" t="n"/>
      <c r="Q52" s="232" t="n"/>
      <c r="R52" s="232" t="n"/>
      <c r="S52" s="232" t="n"/>
      <c r="V52" s="194" t="n"/>
      <c r="W52" s="194" t="n"/>
      <c r="X52" s="194" t="n"/>
      <c r="Y52" s="194" t="n"/>
      <c r="Z52" s="194" t="n"/>
    </row>
    <row r="53" ht="25.5" customHeight="1" s="195">
      <c r="A53" s="250" t="n"/>
      <c r="B53" s="250" t="n"/>
      <c r="C53" s="250" t="n"/>
      <c r="D53" s="251" t="n"/>
      <c r="E53" s="251" t="n"/>
      <c r="F53" s="240" t="n"/>
      <c r="G53" s="241" t="n"/>
      <c r="H53" s="232" t="n"/>
      <c r="I53" s="232" t="n"/>
      <c r="J53" s="232" t="n"/>
      <c r="K53" s="232" t="n"/>
      <c r="L53" s="232" t="n"/>
      <c r="M53" s="232" t="n"/>
      <c r="N53" s="232" t="n"/>
      <c r="O53" s="232" t="n"/>
      <c r="P53" s="232" t="n"/>
      <c r="Q53" s="232" t="n"/>
      <c r="R53" s="232" t="n"/>
      <c r="S53" s="232" t="n"/>
      <c r="V53" s="194" t="n"/>
      <c r="W53" s="194" t="n"/>
      <c r="X53" s="194" t="n"/>
      <c r="Y53" s="194" t="n"/>
      <c r="Z53" s="194" t="n"/>
    </row>
    <row r="54" ht="24" customHeight="1" s="195">
      <c r="A54" s="252" t="inlineStr">
        <is>
          <t>⛽  GASOLINA - COMBUSTIBLE ACUMULADO 2026 POR IPRESS</t>
        </is>
      </c>
      <c r="F54" s="246" t="n"/>
      <c r="G54" s="241" t="n"/>
      <c r="H54" s="232" t="n"/>
      <c r="I54" s="232" t="n"/>
      <c r="J54" s="232" t="n"/>
      <c r="K54" s="232" t="n"/>
      <c r="L54" s="232" t="n"/>
      <c r="M54" s="232" t="n"/>
      <c r="N54" s="232" t="n"/>
      <c r="O54" s="232" t="n"/>
      <c r="P54" s="232" t="n"/>
      <c r="Q54" s="232" t="n"/>
      <c r="R54" s="232" t="n"/>
      <c r="S54" s="232" t="n"/>
      <c r="V54" s="194" t="n"/>
      <c r="W54" s="194" t="n"/>
      <c r="X54" s="194" t="n"/>
      <c r="Y54" s="194" t="n"/>
      <c r="Z54" s="194" t="n"/>
    </row>
    <row r="55" ht="25.5" customHeight="1" s="195">
      <c r="A55" s="253" t="inlineStr">
        <is>
          <t>N°</t>
        </is>
      </c>
      <c r="B55" s="253" t="inlineStr">
        <is>
          <t>IPRESS</t>
        </is>
      </c>
      <c r="C55" s="253" t="inlineStr">
        <is>
          <t>MICRORED</t>
        </is>
      </c>
      <c r="D55" s="254" t="inlineStr">
        <is>
          <t>GALONES
GASOLINA</t>
        </is>
      </c>
      <c r="E55" s="254" t="inlineStr">
        <is>
          <t>SOLES S/.
GASOLINA</t>
        </is>
      </c>
      <c r="F55" s="246" t="n"/>
      <c r="G55" s="241" t="n"/>
      <c r="H55" s="232" t="n"/>
      <c r="I55" s="232" t="n"/>
      <c r="J55" s="232" t="n"/>
      <c r="K55" s="232" t="n"/>
      <c r="L55" s="232" t="n"/>
      <c r="M55" s="232" t="n"/>
      <c r="N55" s="232" t="n"/>
      <c r="O55" s="232" t="n"/>
      <c r="P55" s="232" t="n"/>
      <c r="Q55" s="232" t="n"/>
      <c r="R55" s="232" t="n"/>
      <c r="S55" s="232" t="n"/>
      <c r="V55" s="194" t="n"/>
      <c r="W55" s="194" t="n"/>
      <c r="X55" s="194" t="n"/>
      <c r="Y55" s="194" t="n"/>
      <c r="Z55" s="194" t="n"/>
    </row>
    <row r="56" ht="15.75" customHeight="1" s="195">
      <c r="A56" s="236" t="n">
        <v>1</v>
      </c>
      <c r="B56" s="237" t="inlineStr">
        <is>
          <t>Buenos Aires</t>
        </is>
      </c>
      <c r="C56" s="238" t="inlineStr">
        <is>
          <t>POMACOCHAS</t>
        </is>
      </c>
      <c r="D56" s="239">
        <f>IFERROR(SUMIF(_CALCULO!$A$2:$A$397,"BUENOS AIRES",_CALCULO!$E$2:$E$397),0)</f>
        <v/>
      </c>
      <c r="E56" s="239">
        <f>IFERROR(SUMIF(_CALCULO!$A$2:$A$397,"BUENOS AIRES",_CALCULO!$F$2:$F$397),0)</f>
        <v/>
      </c>
      <c r="F56" s="240" t="n"/>
      <c r="G56" s="241" t="n"/>
      <c r="H56" s="232" t="n"/>
      <c r="I56" s="232" t="n"/>
      <c r="J56" s="232" t="n"/>
      <c r="K56" s="232" t="n"/>
      <c r="L56" s="232" t="n"/>
      <c r="M56" s="232" t="n"/>
      <c r="N56" s="232" t="n"/>
      <c r="O56" s="232" t="n"/>
      <c r="P56" s="232" t="n"/>
      <c r="Q56" s="232" t="n"/>
      <c r="R56" s="232" t="n"/>
      <c r="S56" s="232" t="n"/>
      <c r="V56" s="194" t="n"/>
      <c r="W56" s="194" t="n"/>
      <c r="X56" s="194" t="n"/>
      <c r="Y56" s="194" t="n"/>
      <c r="Z56" s="194" t="n"/>
    </row>
    <row r="57" ht="15.75" customHeight="1" s="195">
      <c r="A57" s="242" t="n">
        <v>2</v>
      </c>
      <c r="B57" s="243" t="inlineStr">
        <is>
          <t>Cocabamba</t>
        </is>
      </c>
      <c r="C57" s="244" t="inlineStr">
        <is>
          <t>MARIA</t>
        </is>
      </c>
      <c r="D57" s="245">
        <f>IFERROR(SUMIF(_CALCULO!$A$2:$A$397,"COCABAMBA",_CALCULO!$E$2:$E$397),0)</f>
        <v/>
      </c>
      <c r="E57" s="245">
        <f>IFERROR(SUMIF(_CALCULO!$A$2:$A$397,"COCABAMBA",_CALCULO!$F$2:$F$397),0)</f>
        <v/>
      </c>
      <c r="F57" s="240" t="n"/>
      <c r="G57" s="241" t="n"/>
      <c r="H57" s="232" t="n"/>
      <c r="I57" s="232" t="n"/>
      <c r="J57" s="232" t="n"/>
      <c r="K57" s="232" t="n"/>
      <c r="L57" s="232" t="n"/>
      <c r="M57" s="232" t="n"/>
      <c r="N57" s="232" t="n"/>
      <c r="O57" s="232" t="n"/>
      <c r="P57" s="232" t="n"/>
      <c r="Q57" s="232" t="n"/>
      <c r="R57" s="232" t="n"/>
      <c r="S57" s="232" t="n"/>
      <c r="V57" s="194" t="n"/>
      <c r="W57" s="194" t="n"/>
      <c r="X57" s="194" t="n"/>
      <c r="Y57" s="194" t="n"/>
      <c r="Z57" s="194" t="n"/>
    </row>
    <row r="58" ht="15.75" customHeight="1" s="195">
      <c r="A58" s="236" t="n">
        <v>3</v>
      </c>
      <c r="B58" s="237" t="inlineStr">
        <is>
          <t>Molinopampa</t>
        </is>
      </c>
      <c r="C58" s="238" t="inlineStr">
        <is>
          <t>MOLINOPAMPA</t>
        </is>
      </c>
      <c r="D58" s="239">
        <f>IFERROR(SUMIF(_CALCULO!$A$2:$A$397,"MOLINOPAMPA",_CALCULO!$E$2:$E$397),0)</f>
        <v/>
      </c>
      <c r="E58" s="239">
        <f>IFERROR(SUMIF(_CALCULO!$A$2:$A$397,"MOLINOPAMPA",_CALCULO!$F$2:$F$397),0)</f>
        <v/>
      </c>
      <c r="F58" s="240" t="n"/>
      <c r="G58" s="241" t="n"/>
      <c r="H58" s="232" t="n"/>
      <c r="I58" s="232" t="n"/>
      <c r="J58" s="232" t="n"/>
      <c r="K58" s="232" t="n"/>
      <c r="L58" s="232" t="n"/>
      <c r="M58" s="232" t="n"/>
      <c r="N58" s="232" t="n"/>
      <c r="O58" s="232" t="n"/>
      <c r="P58" s="232" t="n"/>
      <c r="Q58" s="232" t="n"/>
      <c r="R58" s="232" t="n"/>
      <c r="S58" s="232" t="n"/>
      <c r="V58" s="194" t="n"/>
      <c r="W58" s="194" t="n"/>
      <c r="X58" s="194" t="n"/>
      <c r="Y58" s="194" t="n"/>
      <c r="Z58" s="194" t="n"/>
    </row>
    <row r="59" ht="15.75" customHeight="1" s="195">
      <c r="A59" s="242" t="n">
        <v>4</v>
      </c>
      <c r="B59" s="243" t="inlineStr">
        <is>
          <t>Pedro Ruiz Gallo</t>
        </is>
      </c>
      <c r="C59" s="244" t="inlineStr">
        <is>
          <t>PEDRO RUIZ GALLO</t>
        </is>
      </c>
      <c r="D59" s="245">
        <f>IFERROR(SUMIF(_CALCULO!$A$2:$A$397,"PEDRO RUIZ GALLO",_CALCULO!$E$2:$E$397),0)</f>
        <v/>
      </c>
      <c r="E59" s="245">
        <f>IFERROR(SUMIF(_CALCULO!$A$2:$A$397,"PEDRO RUIZ GALLO",_CALCULO!$F$2:$F$397),0)</f>
        <v/>
      </c>
      <c r="F59" s="240" t="n"/>
      <c r="G59" s="241" t="n"/>
      <c r="H59" s="232" t="n"/>
      <c r="I59" s="232" t="n"/>
      <c r="J59" s="232" t="n"/>
      <c r="K59" s="232" t="n"/>
      <c r="L59" s="232" t="n"/>
      <c r="M59" s="232" t="n"/>
      <c r="N59" s="232" t="n"/>
      <c r="O59" s="232" t="n"/>
      <c r="P59" s="232" t="n"/>
      <c r="Q59" s="232" t="n"/>
      <c r="R59" s="232" t="n"/>
      <c r="S59" s="232" t="n"/>
      <c r="V59" s="194" t="n"/>
      <c r="W59" s="194" t="n"/>
      <c r="X59" s="194" t="n"/>
      <c r="Y59" s="194" t="n"/>
      <c r="Z59" s="194" t="n"/>
    </row>
    <row r="60" ht="15.75" customHeight="1" s="195">
      <c r="A60" s="236" t="n">
        <v>5</v>
      </c>
      <c r="B60" s="237" t="inlineStr">
        <is>
          <t>Pomacochas</t>
        </is>
      </c>
      <c r="C60" s="238" t="inlineStr">
        <is>
          <t>POMACOCHAS</t>
        </is>
      </c>
      <c r="D60" s="239">
        <f>IFERROR(SUMIF(_CALCULO!$A$2:$A$397,"POMACOCHAS",_CALCULO!$E$2:$E$397),0)</f>
        <v/>
      </c>
      <c r="E60" s="239">
        <f>IFERROR(SUMIF(_CALCULO!$A$2:$A$397,"POMACOCHAS",_CALCULO!$F$2:$F$397),0)</f>
        <v/>
      </c>
      <c r="F60" s="240" t="n"/>
      <c r="G60" s="232" t="n"/>
      <c r="H60" s="232" t="n"/>
      <c r="I60" s="232" t="n"/>
      <c r="J60" s="232" t="n"/>
      <c r="K60" s="232" t="n"/>
      <c r="L60" s="232" t="n"/>
      <c r="M60" s="232" t="n"/>
      <c r="N60" s="232" t="n"/>
      <c r="O60" s="232" t="n"/>
      <c r="P60" s="232" t="n"/>
      <c r="Q60" s="232" t="n"/>
      <c r="R60" s="232" t="n"/>
      <c r="S60" s="232" t="n"/>
      <c r="V60" s="194" t="n"/>
      <c r="W60" s="194" t="n"/>
      <c r="X60" s="194" t="n"/>
      <c r="Y60" s="194" t="n"/>
      <c r="Z60" s="194" t="n"/>
    </row>
    <row r="61" ht="15.75" customHeight="1" s="195">
      <c r="A61" s="242" t="n">
        <v>6</v>
      </c>
      <c r="B61" s="243" t="inlineStr">
        <is>
          <t>Salazar</t>
        </is>
      </c>
      <c r="C61" s="244" t="inlineStr">
        <is>
          <t>PEDRO RUIZ GALLO</t>
        </is>
      </c>
      <c r="D61" s="245">
        <f>IFERROR(SUMIF(_CALCULO!$A$2:$A$397,"SALAZAR",_CALCULO!$E$2:$E$397),0)</f>
        <v/>
      </c>
      <c r="E61" s="245">
        <f>IFERROR(SUMIF(_CALCULO!$A$2:$A$397,"SALAZAR",_CALCULO!$F$2:$F$397),0)</f>
        <v/>
      </c>
      <c r="F61" s="240" t="n"/>
      <c r="G61" s="232" t="n"/>
      <c r="H61" s="232" t="n"/>
      <c r="I61" s="232" t="n"/>
      <c r="J61" s="232" t="n"/>
      <c r="K61" s="232" t="n"/>
      <c r="L61" s="232" t="n"/>
      <c r="M61" s="232" t="n"/>
      <c r="N61" s="232" t="n"/>
      <c r="O61" s="232" t="n"/>
      <c r="P61" s="232" t="n"/>
      <c r="Q61" s="232" t="n"/>
      <c r="R61" s="232" t="n"/>
      <c r="S61" s="232" t="n"/>
      <c r="V61" s="194" t="n"/>
      <c r="W61" s="194" t="n"/>
      <c r="X61" s="194" t="n"/>
      <c r="Y61" s="194" t="n"/>
      <c r="Z61" s="194" t="n"/>
    </row>
    <row r="62" ht="24" customHeight="1" s="195">
      <c r="A62" s="255" t="inlineStr">
        <is>
          <t>TOTAL GENERAL GASOLINA</t>
        </is>
      </c>
      <c r="D62" s="248">
        <f>SUBTOTAL(9,D56:D61)</f>
        <v/>
      </c>
      <c r="E62" s="249">
        <f>SUBTOTAL(9,E56:E61)</f>
        <v/>
      </c>
      <c r="F62" s="240" t="n"/>
      <c r="G62" s="232" t="n"/>
      <c r="H62" s="232" t="n"/>
      <c r="I62" s="232" t="n"/>
      <c r="J62" s="232" t="n"/>
      <c r="K62" s="232" t="n"/>
      <c r="L62" s="232" t="n"/>
      <c r="M62" s="232" t="n"/>
      <c r="N62" s="232" t="n"/>
      <c r="O62" s="232" t="n"/>
      <c r="P62" s="232" t="n"/>
      <c r="Q62" s="232" t="n"/>
      <c r="R62" s="232" t="n"/>
      <c r="S62" s="232" t="n"/>
      <c r="V62" s="194" t="n"/>
      <c r="W62" s="194" t="n"/>
      <c r="X62" s="194" t="n"/>
      <c r="Y62" s="194" t="n"/>
      <c r="Z62" s="194" t="n"/>
    </row>
    <row r="63" ht="24" customHeight="1" s="195">
      <c r="A63" s="240" t="n"/>
      <c r="B63" s="246" t="n"/>
      <c r="C63" s="246" t="n"/>
      <c r="D63" s="256" t="n"/>
      <c r="E63" s="257" t="n"/>
      <c r="F63" s="240" t="n"/>
      <c r="G63" s="232" t="n"/>
      <c r="H63" s="232" t="n"/>
      <c r="I63" s="232" t="n"/>
      <c r="J63" s="232" t="n"/>
      <c r="K63" s="232" t="n"/>
      <c r="L63" s="232" t="n"/>
      <c r="M63" s="232" t="n"/>
      <c r="N63" s="232" t="n"/>
      <c r="O63" s="232" t="n"/>
      <c r="P63" s="232" t="n"/>
      <c r="Q63" s="232" t="n"/>
      <c r="R63" s="232" t="n"/>
      <c r="S63" s="232" t="n"/>
      <c r="V63" s="194" t="n"/>
      <c r="W63" s="194" t="n"/>
      <c r="X63" s="194" t="n"/>
      <c r="Y63" s="194" t="n"/>
      <c r="Z63" s="194" t="n"/>
    </row>
    <row r="64" ht="15.75" customHeight="1" s="195">
      <c r="A64" s="240" t="n"/>
      <c r="B64" s="258" t="n"/>
      <c r="C64" s="240" t="n"/>
      <c r="D64" s="256" t="n"/>
      <c r="E64" s="256" t="n"/>
      <c r="F64" s="240" t="n"/>
      <c r="G64" s="232" t="n"/>
      <c r="H64" s="232" t="n"/>
      <c r="I64" s="232" t="n"/>
      <c r="J64" s="232" t="n"/>
      <c r="K64" s="232" t="n"/>
      <c r="L64" s="232" t="n"/>
      <c r="M64" s="232" t="n"/>
      <c r="N64" s="232" t="n"/>
      <c r="O64" s="232" t="n"/>
      <c r="P64" s="232" t="n"/>
      <c r="Q64" s="232" t="n"/>
      <c r="R64" s="232" t="n"/>
      <c r="S64" s="232" t="n"/>
      <c r="V64" s="194" t="n"/>
      <c r="W64" s="194" t="n"/>
      <c r="X64" s="194" t="n"/>
      <c r="Y64" s="194" t="n"/>
      <c r="Z64" s="194" t="n"/>
    </row>
    <row r="65" ht="15.75" customHeight="1" s="195">
      <c r="A65" s="240" t="n"/>
      <c r="B65" s="258" t="n"/>
      <c r="C65" s="240" t="n"/>
      <c r="D65" s="256" t="n"/>
      <c r="E65" s="256" t="n"/>
      <c r="F65" s="240" t="n"/>
      <c r="G65" s="232" t="n"/>
      <c r="H65" s="232" t="n"/>
      <c r="I65" s="232" t="n"/>
      <c r="J65" s="232" t="n"/>
      <c r="K65" s="232" t="n"/>
      <c r="L65" s="232" t="n"/>
      <c r="M65" s="232" t="n"/>
      <c r="N65" s="232" t="n"/>
      <c r="O65" s="232" t="n"/>
      <c r="P65" s="232" t="n"/>
      <c r="Q65" s="232" t="n"/>
      <c r="R65" s="232" t="n"/>
      <c r="S65" s="232" t="n"/>
      <c r="V65" s="194" t="n"/>
      <c r="W65" s="194" t="n"/>
      <c r="X65" s="194" t="n"/>
      <c r="Y65" s="194" t="n"/>
      <c r="Z65" s="194" t="n"/>
    </row>
    <row r="66" ht="15.75" customHeight="1" s="195">
      <c r="A66" s="240" t="n"/>
      <c r="B66" s="258" t="n"/>
      <c r="C66" s="240" t="n"/>
      <c r="D66" s="256" t="n"/>
      <c r="E66" s="256" t="n"/>
      <c r="F66" s="240" t="n"/>
      <c r="G66" s="232" t="n"/>
      <c r="H66" s="232" t="n"/>
      <c r="I66" s="232" t="n"/>
      <c r="J66" s="232" t="n"/>
      <c r="K66" s="232" t="n"/>
      <c r="L66" s="232" t="n"/>
      <c r="M66" s="232" t="n"/>
      <c r="N66" s="232" t="n"/>
      <c r="O66" s="232" t="n"/>
      <c r="P66" s="232" t="n"/>
      <c r="Q66" s="232" t="n"/>
      <c r="R66" s="232" t="n"/>
      <c r="S66" s="232" t="n"/>
      <c r="V66" s="194" t="n"/>
      <c r="W66" s="194" t="n"/>
      <c r="X66" s="194" t="n"/>
      <c r="Y66" s="194" t="n"/>
      <c r="Z66" s="194" t="n"/>
    </row>
    <row r="67" ht="15.75" customHeight="1" s="195">
      <c r="A67" s="240" t="n"/>
      <c r="B67" s="258" t="n"/>
      <c r="C67" s="240" t="n"/>
      <c r="D67" s="256" t="n"/>
      <c r="E67" s="256" t="n"/>
      <c r="F67" s="240" t="n"/>
      <c r="G67" s="232" t="n"/>
      <c r="H67" s="232" t="n"/>
      <c r="I67" s="232" t="n"/>
      <c r="J67" s="232" t="n"/>
      <c r="K67" s="232" t="n"/>
      <c r="L67" s="232" t="n"/>
      <c r="M67" s="232" t="n"/>
      <c r="N67" s="232" t="n"/>
      <c r="O67" s="232" t="n"/>
      <c r="P67" s="232" t="n"/>
      <c r="Q67" s="232" t="n"/>
      <c r="R67" s="232" t="n"/>
      <c r="S67" s="232" t="n"/>
      <c r="V67" s="194" t="n"/>
      <c r="W67" s="194" t="n"/>
      <c r="X67" s="194" t="n"/>
      <c r="Y67" s="194" t="n"/>
      <c r="Z67" s="194" t="n"/>
    </row>
    <row r="68" ht="15.75" customHeight="1" s="195">
      <c r="A68" s="240" t="n"/>
      <c r="B68" s="258" t="n"/>
      <c r="C68" s="240" t="n"/>
      <c r="D68" s="256" t="n"/>
      <c r="E68" s="256" t="n"/>
      <c r="F68" s="240" t="n"/>
      <c r="G68" s="232" t="n"/>
      <c r="H68" s="232" t="n"/>
      <c r="I68" s="232" t="n"/>
      <c r="J68" s="232" t="n"/>
      <c r="K68" s="232" t="n"/>
      <c r="L68" s="232" t="n"/>
      <c r="M68" s="232" t="n"/>
      <c r="N68" s="232" t="n"/>
      <c r="O68" s="232" t="n"/>
      <c r="P68" s="232" t="n"/>
      <c r="Q68" s="232" t="n"/>
      <c r="R68" s="232" t="n"/>
      <c r="S68" s="232" t="n"/>
      <c r="V68" s="194" t="n"/>
      <c r="W68" s="194" t="n"/>
      <c r="X68" s="194" t="n"/>
      <c r="Y68" s="194" t="n"/>
      <c r="Z68" s="194" t="n"/>
    </row>
    <row r="69" ht="15.75" customHeight="1" s="195">
      <c r="A69" s="240" t="n"/>
      <c r="B69" s="258" t="n"/>
      <c r="C69" s="240" t="n"/>
      <c r="D69" s="256" t="n"/>
      <c r="E69" s="256" t="n"/>
      <c r="F69" s="240" t="n"/>
      <c r="G69" s="232" t="n"/>
      <c r="H69" s="232" t="n"/>
      <c r="I69" s="232" t="n"/>
      <c r="J69" s="232" t="n"/>
      <c r="K69" s="232" t="n"/>
      <c r="L69" s="232" t="n"/>
      <c r="M69" s="232" t="n"/>
      <c r="N69" s="232" t="n"/>
      <c r="O69" s="232" t="n"/>
      <c r="P69" s="232" t="n"/>
      <c r="Q69" s="232" t="n"/>
      <c r="R69" s="232" t="n"/>
      <c r="S69" s="232" t="n"/>
      <c r="V69" s="194" t="n"/>
      <c r="W69" s="194" t="n"/>
      <c r="X69" s="194" t="n"/>
      <c r="Y69" s="194" t="n"/>
      <c r="Z69" s="194" t="n"/>
    </row>
    <row r="70" ht="15.75" customHeight="1" s="195">
      <c r="A70" s="240" t="n"/>
      <c r="B70" s="258" t="n"/>
      <c r="C70" s="240" t="n"/>
      <c r="D70" s="256" t="n"/>
      <c r="E70" s="256" t="n"/>
      <c r="F70" s="240" t="n"/>
      <c r="G70" s="232" t="n"/>
      <c r="H70" s="232" t="n"/>
      <c r="I70" s="232" t="n"/>
      <c r="J70" s="232" t="n"/>
      <c r="K70" s="232" t="n"/>
      <c r="L70" s="232" t="n"/>
      <c r="M70" s="232" t="n"/>
      <c r="N70" s="232" t="n"/>
      <c r="O70" s="232" t="n"/>
      <c r="P70" s="232" t="n"/>
      <c r="Q70" s="232" t="n"/>
      <c r="R70" s="232" t="n"/>
      <c r="S70" s="232" t="n"/>
      <c r="V70" s="194" t="n"/>
      <c r="W70" s="194" t="n"/>
      <c r="X70" s="194" t="n"/>
      <c r="Y70" s="194" t="n"/>
      <c r="Z70" s="194" t="n"/>
    </row>
    <row r="71" ht="15.75" customHeight="1" s="195">
      <c r="A71" s="240" t="n"/>
      <c r="B71" s="258" t="n"/>
      <c r="C71" s="240" t="n"/>
      <c r="D71" s="256" t="n"/>
      <c r="E71" s="256" t="n"/>
      <c r="F71" s="240" t="n"/>
      <c r="G71" s="232" t="n"/>
      <c r="H71" s="232" t="n"/>
      <c r="I71" s="232" t="n"/>
      <c r="J71" s="232" t="n"/>
      <c r="K71" s="232" t="n"/>
      <c r="L71" s="232" t="n"/>
      <c r="M71" s="232" t="n"/>
      <c r="N71" s="232" t="n"/>
      <c r="O71" s="232" t="n"/>
      <c r="P71" s="232" t="n"/>
      <c r="Q71" s="232" t="n"/>
      <c r="R71" s="232" t="n"/>
      <c r="S71" s="232" t="n"/>
      <c r="V71" s="194" t="n"/>
      <c r="W71" s="194" t="n"/>
      <c r="X71" s="194" t="n"/>
      <c r="Y71" s="194" t="n"/>
      <c r="Z71" s="194" t="n"/>
    </row>
    <row r="72" ht="15.75" customHeight="1" s="195">
      <c r="A72" s="240" t="n"/>
      <c r="B72" s="258" t="n"/>
      <c r="C72" s="240" t="n"/>
      <c r="D72" s="256" t="n"/>
      <c r="E72" s="256" t="n"/>
      <c r="F72" s="240" t="n"/>
      <c r="V72" s="194" t="n"/>
      <c r="W72" s="194" t="n"/>
      <c r="X72" s="194" t="n"/>
      <c r="Y72" s="194" t="n"/>
      <c r="Z72" s="194" t="n"/>
    </row>
    <row r="73" ht="15.75" customHeight="1" s="195">
      <c r="A73" s="240" t="n"/>
      <c r="B73" s="258" t="n"/>
      <c r="C73" s="240" t="n"/>
      <c r="D73" s="256" t="n"/>
      <c r="E73" s="256" t="n"/>
      <c r="F73" s="240" t="n"/>
      <c r="V73" s="194" t="n"/>
      <c r="W73" s="194" t="n"/>
      <c r="X73" s="194" t="n"/>
      <c r="Y73" s="194" t="n"/>
      <c r="Z73" s="194" t="n"/>
    </row>
    <row r="74" ht="15.75" customHeight="1" s="195">
      <c r="A74" s="240" t="n"/>
      <c r="B74" s="258" t="n"/>
      <c r="C74" s="240" t="n"/>
      <c r="D74" s="256" t="n"/>
      <c r="E74" s="256" t="n"/>
      <c r="F74" s="240" t="n"/>
      <c r="V74" s="194" t="n"/>
      <c r="W74" s="194" t="n"/>
      <c r="X74" s="194" t="n"/>
      <c r="Y74" s="194" t="n"/>
      <c r="Z74" s="194" t="n"/>
    </row>
    <row r="75" ht="15.75" customHeight="1" s="195">
      <c r="A75" s="240" t="n"/>
      <c r="B75" s="258" t="n"/>
      <c r="C75" s="240" t="n"/>
      <c r="D75" s="256" t="n"/>
      <c r="E75" s="256" t="n"/>
      <c r="F75" s="240" t="n"/>
      <c r="V75" s="194" t="n"/>
      <c r="W75" s="194" t="n"/>
      <c r="X75" s="194" t="n"/>
      <c r="Y75" s="194" t="n"/>
      <c r="Z75" s="194" t="n"/>
    </row>
    <row r="76" ht="15.75" customHeight="1" s="195">
      <c r="A76" s="240" t="n"/>
      <c r="B76" s="258" t="n"/>
      <c r="C76" s="240" t="n"/>
      <c r="D76" s="256" t="n"/>
      <c r="E76" s="256" t="n"/>
      <c r="F76" s="240" t="n"/>
      <c r="V76" s="194" t="n"/>
      <c r="W76" s="194" t="n"/>
      <c r="X76" s="194" t="n"/>
      <c r="Y76" s="194" t="n"/>
      <c r="Z76" s="194" t="n"/>
    </row>
    <row r="77" ht="15.75" customHeight="1" s="195">
      <c r="A77" s="240" t="n"/>
      <c r="B77" s="258" t="n"/>
      <c r="C77" s="240" t="n"/>
      <c r="D77" s="256" t="n"/>
      <c r="E77" s="256" t="n"/>
      <c r="F77" s="240" t="n"/>
      <c r="V77" s="194" t="n"/>
      <c r="W77" s="194" t="n"/>
      <c r="X77" s="194" t="n"/>
      <c r="Y77" s="194" t="n"/>
      <c r="Z77" s="194" t="n"/>
    </row>
    <row r="78" ht="15.75" customHeight="1" s="195">
      <c r="A78" s="240" t="n"/>
      <c r="B78" s="258" t="n"/>
      <c r="C78" s="240" t="n"/>
      <c r="D78" s="256" t="n"/>
      <c r="E78" s="256" t="n"/>
      <c r="F78" s="240" t="n"/>
      <c r="V78" s="194" t="n"/>
      <c r="W78" s="194" t="n"/>
      <c r="X78" s="194" t="n"/>
      <c r="Y78" s="194" t="n"/>
      <c r="Z78" s="194" t="n"/>
    </row>
    <row r="79" ht="15.75" customHeight="1" s="195">
      <c r="A79" s="240" t="n"/>
      <c r="B79" s="258" t="n"/>
      <c r="C79" s="240" t="n"/>
      <c r="D79" s="256" t="n"/>
      <c r="E79" s="256" t="n"/>
      <c r="F79" s="240" t="n"/>
      <c r="V79" s="194" t="n"/>
      <c r="W79" s="194" t="n"/>
      <c r="X79" s="194" t="n"/>
      <c r="Y79" s="194" t="n"/>
      <c r="Z79" s="194" t="n"/>
    </row>
    <row r="80" ht="15.75" customHeight="1" s="195">
      <c r="A80" s="240" t="n"/>
      <c r="B80" s="258" t="n"/>
      <c r="C80" s="240" t="n"/>
      <c r="D80" s="256" t="n"/>
      <c r="E80" s="256" t="n"/>
      <c r="F80" s="240" t="n"/>
      <c r="V80" s="194" t="n"/>
      <c r="W80" s="194" t="n"/>
      <c r="X80" s="194" t="n"/>
      <c r="Y80" s="194" t="n"/>
      <c r="Z80" s="194" t="n"/>
    </row>
    <row r="81" ht="15.75" customHeight="1" s="195">
      <c r="A81" s="240" t="n"/>
      <c r="B81" s="258" t="n"/>
      <c r="C81" s="240" t="n"/>
      <c r="D81" s="256" t="n"/>
      <c r="E81" s="256" t="n"/>
      <c r="F81" s="240" t="n"/>
      <c r="V81" s="194" t="n"/>
      <c r="W81" s="194" t="n"/>
      <c r="X81" s="194" t="n"/>
      <c r="Y81" s="194" t="n"/>
      <c r="Z81" s="194" t="n"/>
    </row>
    <row r="82" ht="15.75" customHeight="1" s="195">
      <c r="A82" s="240" t="n"/>
      <c r="B82" s="258" t="n"/>
      <c r="C82" s="240" t="n"/>
      <c r="D82" s="256" t="n"/>
      <c r="E82" s="256" t="n"/>
      <c r="F82" s="240" t="n"/>
      <c r="V82" s="194" t="n"/>
      <c r="W82" s="194" t="n"/>
      <c r="X82" s="194" t="n"/>
      <c r="Y82" s="194" t="n"/>
      <c r="Z82" s="194" t="n"/>
    </row>
    <row r="83" ht="15.75" customHeight="1" s="195">
      <c r="A83" s="240" t="n"/>
      <c r="B83" s="258" t="n"/>
      <c r="C83" s="240" t="n"/>
      <c r="D83" s="256" t="n"/>
      <c r="E83" s="256" t="n"/>
      <c r="F83" s="240" t="n"/>
      <c r="V83" s="194" t="n"/>
      <c r="W83" s="194" t="n"/>
      <c r="X83" s="194" t="n"/>
      <c r="Y83" s="194" t="n"/>
      <c r="Z83" s="194" t="n"/>
    </row>
    <row r="84" ht="15.75" customHeight="1" s="195">
      <c r="A84" s="240" t="n"/>
      <c r="B84" s="258" t="n"/>
      <c r="C84" s="240" t="n"/>
      <c r="D84" s="256" t="n"/>
      <c r="E84" s="256" t="n"/>
      <c r="F84" s="240" t="n"/>
      <c r="V84" s="194" t="n"/>
      <c r="W84" s="194" t="n"/>
      <c r="X84" s="194" t="n"/>
      <c r="Y84" s="194" t="n"/>
      <c r="Z84" s="194" t="n"/>
    </row>
    <row r="85" ht="15.75" customHeight="1" s="195">
      <c r="A85" s="240" t="n"/>
      <c r="B85" s="258" t="n"/>
      <c r="C85" s="240" t="n"/>
      <c r="D85" s="256" t="n"/>
      <c r="E85" s="256" t="n"/>
      <c r="F85" s="240" t="n"/>
      <c r="V85" s="194" t="n"/>
      <c r="W85" s="194" t="n"/>
      <c r="X85" s="194" t="n"/>
      <c r="Y85" s="194" t="n"/>
      <c r="Z85" s="194" t="n"/>
    </row>
    <row r="86" ht="15.75" customHeight="1" s="195">
      <c r="A86" s="240" t="n"/>
      <c r="B86" s="258" t="n"/>
      <c r="C86" s="240" t="n"/>
      <c r="D86" s="256" t="n"/>
      <c r="E86" s="256" t="n"/>
      <c r="F86" s="240" t="n"/>
      <c r="V86" s="194" t="n"/>
      <c r="W86" s="194" t="n"/>
      <c r="X86" s="194" t="n"/>
      <c r="Y86" s="194" t="n"/>
      <c r="Z86" s="194" t="n"/>
    </row>
    <row r="87" ht="15.75" customHeight="1" s="195">
      <c r="A87" s="240" t="n"/>
      <c r="B87" s="246" t="n"/>
      <c r="C87" s="246" t="n"/>
      <c r="D87" s="256" t="n"/>
      <c r="E87" s="256" t="n"/>
      <c r="F87" s="246" t="n"/>
      <c r="V87" s="194" t="n"/>
      <c r="W87" s="194" t="n"/>
      <c r="X87" s="194" t="n"/>
      <c r="Y87" s="194" t="n"/>
      <c r="Z87" s="194" t="n"/>
    </row>
    <row r="88" ht="15.75" customHeight="1" s="195">
      <c r="A88" s="240" t="n"/>
      <c r="B88" s="246" t="n"/>
      <c r="C88" s="246" t="n"/>
      <c r="D88" s="256" t="n"/>
      <c r="E88" s="256" t="n"/>
      <c r="F88" s="246" t="n"/>
      <c r="V88" s="194" t="n"/>
      <c r="W88" s="194" t="n"/>
      <c r="X88" s="194" t="n"/>
      <c r="Y88" s="194" t="n"/>
      <c r="Z88" s="194" t="n"/>
    </row>
    <row r="89" ht="15.75" customHeight="1" s="195">
      <c r="A89" s="240" t="n"/>
      <c r="B89" s="258" t="n"/>
      <c r="C89" s="240" t="n"/>
      <c r="D89" s="256" t="n"/>
      <c r="E89" s="256" t="n"/>
      <c r="F89" s="246" t="n"/>
      <c r="V89" s="194" t="n"/>
      <c r="W89" s="194" t="n"/>
      <c r="X89" s="194" t="n"/>
      <c r="Y89" s="194" t="n"/>
      <c r="Z89" s="194" t="n"/>
    </row>
    <row r="90" ht="15.75" customHeight="1" s="195">
      <c r="A90" s="240" t="n"/>
      <c r="B90" s="258" t="n"/>
      <c r="C90" s="240" t="n"/>
      <c r="D90" s="256" t="n"/>
      <c r="E90" s="256" t="n"/>
      <c r="F90" s="246" t="n"/>
      <c r="V90" s="194" t="n"/>
      <c r="W90" s="194" t="n"/>
      <c r="X90" s="194" t="n"/>
      <c r="Y90" s="194" t="n"/>
      <c r="Z90" s="194" t="n"/>
    </row>
    <row r="91" ht="15.75" customHeight="1" s="195">
      <c r="A91" s="240" t="n"/>
      <c r="B91" s="258" t="n"/>
      <c r="C91" s="240" t="n"/>
      <c r="D91" s="256" t="n"/>
      <c r="E91" s="256" t="n"/>
      <c r="F91" s="246" t="n"/>
      <c r="V91" s="194" t="n"/>
      <c r="W91" s="194" t="n"/>
      <c r="X91" s="194" t="n"/>
      <c r="Y91" s="194" t="n"/>
      <c r="Z91" s="194" t="n"/>
    </row>
    <row r="92" ht="15.75" customHeight="1" s="195">
      <c r="A92" s="240" t="n"/>
      <c r="B92" s="258" t="n"/>
      <c r="C92" s="240" t="n"/>
      <c r="D92" s="256" t="n"/>
      <c r="E92" s="256" t="n"/>
      <c r="F92" s="246" t="n"/>
      <c r="V92" s="194" t="n"/>
      <c r="W92" s="194" t="n"/>
      <c r="X92" s="194" t="n"/>
      <c r="Y92" s="194" t="n"/>
      <c r="Z92" s="194" t="n"/>
    </row>
    <row r="93" ht="15.75" customHeight="1" s="195">
      <c r="A93" s="240" t="n"/>
      <c r="B93" s="258" t="n"/>
      <c r="C93" s="240" t="n"/>
      <c r="D93" s="256" t="n"/>
      <c r="E93" s="256" t="n"/>
      <c r="F93" s="246" t="n"/>
      <c r="V93" s="194" t="n"/>
      <c r="W93" s="194" t="n"/>
      <c r="X93" s="194" t="n"/>
      <c r="Y93" s="194" t="n"/>
      <c r="Z93" s="194" t="n"/>
    </row>
    <row r="94" ht="15.75" customHeight="1" s="195">
      <c r="A94" s="240" t="n"/>
      <c r="B94" s="258" t="n"/>
      <c r="C94" s="240" t="n"/>
      <c r="D94" s="256" t="n"/>
      <c r="E94" s="256" t="n"/>
      <c r="F94" s="246" t="n"/>
      <c r="V94" s="194" t="n"/>
      <c r="W94" s="194" t="n"/>
      <c r="X94" s="194" t="n"/>
      <c r="Y94" s="194" t="n"/>
      <c r="Z94" s="194" t="n"/>
    </row>
    <row r="95" ht="15.75" customHeight="1" s="195">
      <c r="A95" s="240" t="n"/>
      <c r="B95" s="258" t="n"/>
      <c r="C95" s="240" t="n"/>
      <c r="D95" s="256" t="n"/>
      <c r="E95" s="256" t="n"/>
      <c r="F95" s="246" t="n"/>
      <c r="V95" s="194" t="n"/>
      <c r="W95" s="194" t="n"/>
      <c r="X95" s="194" t="n"/>
      <c r="Y95" s="194" t="n"/>
      <c r="Z95" s="194" t="n"/>
    </row>
    <row r="96" ht="15.75" customHeight="1" s="195">
      <c r="A96" s="240" t="n"/>
      <c r="B96" s="258" t="n"/>
      <c r="C96" s="240" t="n"/>
      <c r="D96" s="256" t="n"/>
      <c r="E96" s="256" t="n"/>
      <c r="F96" s="246" t="n"/>
      <c r="V96" s="194" t="n"/>
      <c r="W96" s="194" t="n"/>
      <c r="X96" s="194" t="n"/>
      <c r="Y96" s="194" t="n"/>
      <c r="Z96" s="194" t="n"/>
    </row>
    <row r="97" ht="15.75" customHeight="1" s="195">
      <c r="A97" s="240" t="n"/>
      <c r="B97" s="258" t="n"/>
      <c r="C97" s="240" t="n"/>
      <c r="D97" s="256" t="n"/>
      <c r="E97" s="256" t="n"/>
      <c r="F97" s="246" t="n"/>
      <c r="V97" s="194" t="n"/>
      <c r="W97" s="194" t="n"/>
      <c r="X97" s="194" t="n"/>
      <c r="Y97" s="194" t="n"/>
      <c r="Z97" s="194" t="n"/>
    </row>
    <row r="98" ht="15.75" customHeight="1" s="195">
      <c r="A98" s="240" t="n"/>
      <c r="B98" s="258" t="n"/>
      <c r="C98" s="240" t="n"/>
      <c r="D98" s="256" t="n"/>
      <c r="E98" s="256" t="n"/>
      <c r="F98" s="246" t="n"/>
      <c r="V98" s="194" t="n"/>
      <c r="W98" s="194" t="n"/>
      <c r="X98" s="194" t="n"/>
      <c r="Y98" s="194" t="n"/>
      <c r="Z98" s="194" t="n"/>
    </row>
    <row r="99" ht="15.75" customHeight="1" s="195">
      <c r="A99" s="240" t="n"/>
      <c r="B99" s="258" t="n"/>
      <c r="C99" s="240" t="n"/>
      <c r="D99" s="256" t="n"/>
      <c r="E99" s="256" t="n"/>
      <c r="F99" s="246" t="n"/>
      <c r="V99" s="194" t="n"/>
      <c r="W99" s="194" t="n"/>
      <c r="X99" s="194" t="n"/>
      <c r="Y99" s="194" t="n"/>
      <c r="Z99" s="194" t="n"/>
    </row>
    <row r="100" ht="15.75" customHeight="1" s="195">
      <c r="A100" s="240" t="n"/>
      <c r="B100" s="258" t="n"/>
      <c r="C100" s="240" t="n"/>
      <c r="D100" s="256" t="n"/>
      <c r="E100" s="256" t="n"/>
      <c r="F100" s="246" t="n"/>
      <c r="V100" s="194" t="n"/>
      <c r="W100" s="194" t="n"/>
      <c r="X100" s="194" t="n"/>
      <c r="Y100" s="194" t="n"/>
      <c r="Z100" s="194" t="n"/>
    </row>
    <row r="101" ht="15.75" customHeight="1" s="195">
      <c r="A101" s="240" t="n"/>
      <c r="B101" s="258" t="n"/>
      <c r="C101" s="240" t="n"/>
      <c r="D101" s="256" t="n"/>
      <c r="E101" s="256" t="n"/>
      <c r="F101" s="246" t="n"/>
      <c r="V101" s="194" t="n"/>
      <c r="W101" s="194" t="n"/>
      <c r="X101" s="194" t="n"/>
      <c r="Y101" s="194" t="n"/>
      <c r="Z101" s="194" t="n"/>
    </row>
    <row r="102" ht="15.75" customHeight="1" s="195">
      <c r="A102" s="240" t="n"/>
      <c r="B102" s="258" t="n"/>
      <c r="C102" s="240" t="n"/>
      <c r="D102" s="256" t="n"/>
      <c r="E102" s="256" t="n"/>
      <c r="F102" s="246" t="n"/>
      <c r="V102" s="194" t="n"/>
      <c r="W102" s="194" t="n"/>
      <c r="X102" s="194" t="n"/>
      <c r="Y102" s="194" t="n"/>
      <c r="Z102" s="194" t="n"/>
    </row>
    <row r="103" ht="15.75" customHeight="1" s="195">
      <c r="A103" s="240" t="n"/>
      <c r="B103" s="258" t="n"/>
      <c r="C103" s="240" t="n"/>
      <c r="D103" s="256" t="n"/>
      <c r="E103" s="256" t="n"/>
      <c r="F103" s="246" t="n"/>
      <c r="V103" s="194" t="n"/>
      <c r="W103" s="194" t="n"/>
      <c r="X103" s="194" t="n"/>
      <c r="Y103" s="194" t="n"/>
      <c r="Z103" s="194" t="n"/>
    </row>
    <row r="104" ht="15.75" customHeight="1" s="195">
      <c r="A104" s="240" t="n"/>
      <c r="B104" s="258" t="n"/>
      <c r="C104" s="240" t="n"/>
      <c r="D104" s="256" t="n"/>
      <c r="E104" s="256" t="n"/>
      <c r="F104" s="246" t="n"/>
      <c r="V104" s="194" t="n"/>
      <c r="W104" s="194" t="n"/>
      <c r="X104" s="194" t="n"/>
      <c r="Y104" s="194" t="n"/>
      <c r="Z104" s="194" t="n"/>
    </row>
    <row r="105" ht="15.75" customHeight="1" s="195">
      <c r="A105" s="240" t="n"/>
      <c r="B105" s="258" t="n"/>
      <c r="C105" s="240" t="n"/>
      <c r="D105" s="256" t="n"/>
      <c r="E105" s="256" t="n"/>
      <c r="F105" s="246" t="n"/>
      <c r="V105" s="194" t="n"/>
      <c r="W105" s="194" t="n"/>
      <c r="X105" s="194" t="n"/>
      <c r="Y105" s="194" t="n"/>
      <c r="Z105" s="194" t="n"/>
    </row>
    <row r="106" ht="15.75" customHeight="1" s="195">
      <c r="A106" s="240" t="n"/>
      <c r="B106" s="258" t="n"/>
      <c r="C106" s="240" t="n"/>
      <c r="D106" s="256" t="n"/>
      <c r="E106" s="256" t="n"/>
      <c r="F106" s="246" t="n"/>
      <c r="V106" s="194" t="n"/>
      <c r="W106" s="194" t="n"/>
      <c r="X106" s="194" t="n"/>
      <c r="Y106" s="194" t="n"/>
      <c r="Z106" s="194" t="n"/>
    </row>
    <row r="107" ht="15.75" customHeight="1" s="195">
      <c r="A107" s="240" t="n"/>
      <c r="B107" s="258" t="n"/>
      <c r="C107" s="240" t="n"/>
      <c r="D107" s="256" t="n"/>
      <c r="E107" s="256" t="n"/>
      <c r="F107" s="246" t="n"/>
      <c r="V107" s="194" t="n"/>
      <c r="W107" s="194" t="n"/>
      <c r="X107" s="194" t="n"/>
      <c r="Y107" s="194" t="n"/>
      <c r="Z107" s="194" t="n"/>
    </row>
    <row r="108" ht="15.75" customHeight="1" s="195">
      <c r="A108" s="240" t="n"/>
      <c r="B108" s="258" t="n"/>
      <c r="C108" s="240" t="n"/>
      <c r="D108" s="256" t="n"/>
      <c r="E108" s="256" t="n"/>
      <c r="F108" s="246" t="n"/>
      <c r="V108" s="194" t="n"/>
      <c r="W108" s="194" t="n"/>
      <c r="X108" s="194" t="n"/>
      <c r="Y108" s="194" t="n"/>
      <c r="Z108" s="194" t="n"/>
    </row>
    <row r="109" ht="15.75" customHeight="1" s="195">
      <c r="A109" s="240" t="n"/>
      <c r="B109" s="258" t="n"/>
      <c r="C109" s="240" t="n"/>
      <c r="D109" s="256" t="n"/>
      <c r="E109" s="256" t="n"/>
      <c r="F109" s="246" t="n"/>
      <c r="V109" s="194" t="n"/>
      <c r="W109" s="194" t="n"/>
      <c r="X109" s="194" t="n"/>
      <c r="Y109" s="194" t="n"/>
      <c r="Z109" s="194" t="n"/>
    </row>
    <row r="110" ht="15.75" customHeight="1" s="195">
      <c r="A110" s="240" t="n"/>
      <c r="B110" s="258" t="n"/>
      <c r="C110" s="240" t="n"/>
      <c r="D110" s="256" t="n"/>
      <c r="E110" s="256" t="n"/>
      <c r="F110" s="246" t="n"/>
      <c r="V110" s="194" t="n"/>
      <c r="W110" s="194" t="n"/>
      <c r="X110" s="194" t="n"/>
      <c r="Y110" s="194" t="n"/>
      <c r="Z110" s="194" t="n"/>
    </row>
    <row r="111" ht="15.75" customHeight="1" s="195">
      <c r="A111" s="240" t="n"/>
      <c r="B111" s="258" t="n"/>
      <c r="C111" s="240" t="n"/>
      <c r="D111" s="256" t="n"/>
      <c r="E111" s="256" t="n"/>
      <c r="F111" s="246" t="n"/>
      <c r="V111" s="194" t="n"/>
      <c r="W111" s="194" t="n"/>
      <c r="X111" s="194" t="n"/>
      <c r="Y111" s="194" t="n"/>
      <c r="Z111" s="194" t="n"/>
    </row>
    <row r="112" ht="15.75" customHeight="1" s="195">
      <c r="A112" s="240" t="n"/>
      <c r="B112" s="258" t="n"/>
      <c r="C112" s="240" t="n"/>
      <c r="D112" s="256" t="n"/>
      <c r="E112" s="256" t="n"/>
      <c r="F112" s="246" t="n"/>
      <c r="V112" s="194" t="n"/>
      <c r="W112" s="194" t="n"/>
      <c r="X112" s="194" t="n"/>
      <c r="Y112" s="194" t="n"/>
      <c r="Z112" s="194" t="n"/>
    </row>
    <row r="113" ht="15.75" customHeight="1" s="195">
      <c r="A113" s="240" t="n"/>
      <c r="B113" s="258" t="n"/>
      <c r="C113" s="240" t="n"/>
      <c r="D113" s="256" t="n"/>
      <c r="E113" s="256" t="n"/>
      <c r="F113" s="246" t="n"/>
      <c r="V113" s="194" t="n"/>
      <c r="W113" s="194" t="n"/>
      <c r="X113" s="194" t="n"/>
      <c r="Y113" s="194" t="n"/>
      <c r="Z113" s="194" t="n"/>
    </row>
    <row r="114" ht="15.75" customHeight="1" s="195">
      <c r="A114" s="240" t="n"/>
      <c r="B114" s="258" t="n"/>
      <c r="C114" s="240" t="n"/>
      <c r="D114" s="256" t="n"/>
      <c r="E114" s="256" t="n"/>
      <c r="F114" s="246" t="n"/>
      <c r="V114" s="194" t="n"/>
      <c r="W114" s="194" t="n"/>
      <c r="X114" s="194" t="n"/>
      <c r="Y114" s="194" t="n"/>
      <c r="Z114" s="194" t="n"/>
    </row>
    <row r="115" ht="15.75" customHeight="1" s="195">
      <c r="A115" s="240" t="n"/>
      <c r="B115" s="258" t="n"/>
      <c r="C115" s="240" t="n"/>
      <c r="D115" s="256" t="n"/>
      <c r="E115" s="256" t="n"/>
      <c r="F115" s="246" t="n"/>
      <c r="V115" s="194" t="n"/>
      <c r="W115" s="194" t="n"/>
      <c r="X115" s="194" t="n"/>
      <c r="Y115" s="194" t="n"/>
      <c r="Z115" s="194" t="n"/>
    </row>
    <row r="116" ht="15.75" customHeight="1" s="195">
      <c r="A116" s="240" t="n"/>
      <c r="B116" s="258" t="n"/>
      <c r="C116" s="240" t="n"/>
      <c r="D116" s="256" t="n"/>
      <c r="E116" s="256" t="n"/>
      <c r="F116" s="246" t="n"/>
      <c r="V116" s="194" t="n"/>
      <c r="W116" s="194" t="n"/>
      <c r="X116" s="194" t="n"/>
      <c r="Y116" s="194" t="n"/>
      <c r="Z116" s="194" t="n"/>
    </row>
    <row r="117" ht="15.75" customHeight="1" s="195">
      <c r="A117" s="240" t="n"/>
      <c r="B117" s="258" t="n"/>
      <c r="C117" s="240" t="n"/>
      <c r="D117" s="256" t="n"/>
      <c r="E117" s="256" t="n"/>
      <c r="F117" s="246" t="n"/>
      <c r="V117" s="194" t="n"/>
      <c r="W117" s="194" t="n"/>
      <c r="X117" s="194" t="n"/>
      <c r="Y117" s="194" t="n"/>
      <c r="Z117" s="194" t="n"/>
    </row>
    <row r="118" ht="15.75" customHeight="1" s="195">
      <c r="A118" s="240" t="n"/>
      <c r="B118" s="258" t="n"/>
      <c r="C118" s="240" t="n"/>
      <c r="D118" s="256" t="n"/>
      <c r="E118" s="256" t="n"/>
      <c r="F118" s="246" t="n"/>
      <c r="V118" s="194" t="n"/>
      <c r="W118" s="194" t="n"/>
      <c r="X118" s="194" t="n"/>
      <c r="Y118" s="194" t="n"/>
      <c r="Z118" s="194" t="n"/>
    </row>
    <row r="119" ht="15.75" customHeight="1" s="195">
      <c r="A119" s="240" t="n"/>
      <c r="B119" s="258" t="n"/>
      <c r="C119" s="240" t="n"/>
      <c r="D119" s="256" t="n"/>
      <c r="E119" s="256" t="n"/>
      <c r="F119" s="246" t="n"/>
      <c r="V119" s="194" t="n"/>
      <c r="W119" s="194" t="n"/>
      <c r="X119" s="194" t="n"/>
      <c r="Y119" s="194" t="n"/>
      <c r="Z119" s="194" t="n"/>
    </row>
    <row r="120" ht="15.75" customHeight="1" s="195">
      <c r="A120" s="240" t="n"/>
      <c r="B120" s="258" t="n"/>
      <c r="C120" s="240" t="n"/>
      <c r="D120" s="256" t="n"/>
      <c r="E120" s="256" t="n"/>
      <c r="F120" s="246" t="n"/>
      <c r="V120" s="194" t="n"/>
      <c r="W120" s="194" t="n"/>
      <c r="X120" s="194" t="n"/>
      <c r="Y120" s="194" t="n"/>
      <c r="Z120" s="194" t="n"/>
    </row>
    <row r="121" ht="15.75" customHeight="1" s="195">
      <c r="A121" s="240" t="n"/>
      <c r="B121" s="258" t="n"/>
      <c r="C121" s="240" t="n"/>
      <c r="D121" s="256" t="n"/>
      <c r="E121" s="256" t="n"/>
      <c r="F121" s="246" t="n"/>
      <c r="V121" s="194" t="n"/>
      <c r="W121" s="194" t="n"/>
      <c r="X121" s="194" t="n"/>
      <c r="Y121" s="194" t="n"/>
      <c r="Z121" s="194" t="n"/>
    </row>
    <row r="122" ht="15.75" customHeight="1" s="195">
      <c r="A122" s="240" t="n"/>
      <c r="B122" s="258" t="n"/>
      <c r="C122" s="240" t="n"/>
      <c r="D122" s="256" t="n"/>
      <c r="E122" s="256" t="n"/>
      <c r="F122" s="246" t="n"/>
      <c r="V122" s="194" t="n"/>
      <c r="W122" s="194" t="n"/>
      <c r="X122" s="194" t="n"/>
      <c r="Y122" s="194" t="n"/>
      <c r="Z122" s="194" t="n"/>
    </row>
    <row r="123" ht="15.75" customHeight="1" s="195">
      <c r="A123" s="240" t="n"/>
      <c r="B123" s="258" t="n"/>
      <c r="C123" s="240" t="n"/>
      <c r="D123" s="256" t="n"/>
      <c r="E123" s="256" t="n"/>
      <c r="F123" s="246" t="n"/>
      <c r="V123" s="194" t="n"/>
      <c r="W123" s="194" t="n"/>
      <c r="X123" s="194" t="n"/>
      <c r="Y123" s="194" t="n"/>
      <c r="Z123" s="194" t="n"/>
    </row>
    <row r="124" ht="15.75" customHeight="1" s="195">
      <c r="A124" s="240" t="n"/>
      <c r="B124" s="258" t="n"/>
      <c r="C124" s="240" t="n"/>
      <c r="D124" s="256" t="n"/>
      <c r="E124" s="256" t="n"/>
      <c r="F124" s="246" t="n"/>
      <c r="V124" s="194" t="n"/>
      <c r="W124" s="194" t="n"/>
      <c r="X124" s="194" t="n"/>
      <c r="Y124" s="194" t="n"/>
      <c r="Z124" s="194" t="n"/>
    </row>
    <row r="125" ht="15.75" customHeight="1" s="195">
      <c r="A125" s="240" t="n"/>
      <c r="B125" s="258" t="n"/>
      <c r="C125" s="240" t="n"/>
      <c r="D125" s="256" t="n"/>
      <c r="E125" s="256" t="n"/>
      <c r="F125" s="246" t="n"/>
      <c r="V125" s="194" t="n"/>
      <c r="W125" s="194" t="n"/>
      <c r="X125" s="194" t="n"/>
      <c r="Y125" s="194" t="n"/>
      <c r="Z125" s="194" t="n"/>
    </row>
    <row r="126" ht="15.75" customHeight="1" s="195">
      <c r="A126" s="240" t="n"/>
      <c r="B126" s="258" t="n"/>
      <c r="C126" s="240" t="n"/>
      <c r="D126" s="256" t="n"/>
      <c r="E126" s="256" t="n"/>
      <c r="F126" s="246" t="n"/>
      <c r="V126" s="194" t="n"/>
      <c r="W126" s="194" t="n"/>
      <c r="X126" s="194" t="n"/>
      <c r="Y126" s="194" t="n"/>
      <c r="Z126" s="194" t="n"/>
    </row>
    <row r="127" ht="15.75" customHeight="1" s="195">
      <c r="A127" s="240" t="n"/>
      <c r="B127" s="258" t="n"/>
      <c r="C127" s="240" t="n"/>
      <c r="D127" s="256" t="n"/>
      <c r="E127" s="256" t="n"/>
      <c r="F127" s="246" t="n"/>
      <c r="V127" s="194" t="n"/>
      <c r="W127" s="194" t="n"/>
      <c r="X127" s="194" t="n"/>
      <c r="Y127" s="194" t="n"/>
      <c r="Z127" s="194" t="n"/>
    </row>
    <row r="128" ht="15.75" customHeight="1" s="195">
      <c r="A128" s="240" t="n"/>
      <c r="B128" s="258" t="n"/>
      <c r="C128" s="240" t="n"/>
      <c r="D128" s="256" t="n"/>
      <c r="E128" s="256" t="n"/>
      <c r="F128" s="246" t="n"/>
      <c r="V128" s="194" t="n"/>
      <c r="W128" s="194" t="n"/>
      <c r="X128" s="194" t="n"/>
      <c r="Y128" s="194" t="n"/>
      <c r="Z128" s="194" t="n"/>
    </row>
    <row r="129" ht="15.75" customHeight="1" s="195">
      <c r="A129" s="240" t="n"/>
      <c r="B129" s="258" t="n"/>
      <c r="C129" s="240" t="n"/>
      <c r="D129" s="256" t="n"/>
      <c r="E129" s="256" t="n"/>
      <c r="F129" s="246" t="n"/>
      <c r="V129" s="194" t="n"/>
      <c r="W129" s="194" t="n"/>
      <c r="X129" s="194" t="n"/>
      <c r="Y129" s="194" t="n"/>
      <c r="Z129" s="194" t="n"/>
    </row>
    <row r="130" ht="15.75" customHeight="1" s="195">
      <c r="A130" s="242" t="n">
        <v>108</v>
      </c>
      <c r="B130" s="243" t="inlineStr">
        <is>
          <t>Leymebamba</t>
        </is>
      </c>
      <c r="C130" s="244" t="inlineStr">
        <is>
          <t>LEIMEBAMBA</t>
        </is>
      </c>
      <c r="D130" s="245">
        <f>IFERROR(SUMIF(_CALCULO!$A$2:$A$1525,UPPER(B130),_CALCULO!$C$2:$C$1525),0)</f>
        <v/>
      </c>
      <c r="E130" s="245">
        <f>IFERROR(SUMIF(_CALCULO!$A$2:$A$1525,UPPER(B130),_CALCULO!$D$2:$D$1525),0)</f>
        <v/>
      </c>
      <c r="V130" s="194" t="n"/>
      <c r="W130" s="194" t="n"/>
      <c r="X130" s="194" t="n"/>
      <c r="Y130" s="194" t="n"/>
      <c r="Z130" s="194" t="n"/>
    </row>
    <row r="131" ht="15.75" customHeight="1" s="195">
      <c r="A131" s="236" t="n">
        <v>109</v>
      </c>
      <c r="B131" s="237" t="inlineStr">
        <is>
          <t>Luya</t>
        </is>
      </c>
      <c r="C131" s="238" t="inlineStr">
        <is>
          <t>LUYA</t>
        </is>
      </c>
      <c r="D131" s="239">
        <f>IFERROR(SUMIF(_CALCULO!$A$2:$A$1525,UPPER(B131),_CALCULO!$C$2:$C$1525),0)</f>
        <v/>
      </c>
      <c r="E131" s="239">
        <f>IFERROR(SUMIF(_CALCULO!$A$2:$A$1525,UPPER(B131),_CALCULO!$D$2:$D$1525),0)</f>
        <v/>
      </c>
      <c r="V131" s="194" t="n"/>
      <c r="W131" s="194" t="n"/>
      <c r="X131" s="194" t="n"/>
      <c r="Y131" s="194" t="n"/>
      <c r="Z131" s="194" t="n"/>
    </row>
    <row r="132" ht="15.75" customHeight="1" s="195">
      <c r="A132" s="242" t="n">
        <v>110</v>
      </c>
      <c r="B132" s="243" t="inlineStr">
        <is>
          <t>Maria</t>
        </is>
      </c>
      <c r="C132" s="244" t="inlineStr">
        <is>
          <t>MARIA</t>
        </is>
      </c>
      <c r="D132" s="245">
        <f>IFERROR(SUMIF(_CALCULO!$A$2:$A$1525,UPPER(B132),_CALCULO!$C$2:$C$1525),0)</f>
        <v/>
      </c>
      <c r="E132" s="245">
        <f>IFERROR(SUMIF(_CALCULO!$A$2:$A$1525,UPPER(B132),_CALCULO!$D$2:$D$1525),0)</f>
        <v/>
      </c>
      <c r="V132" s="194" t="n"/>
      <c r="W132" s="194" t="n"/>
      <c r="X132" s="194" t="n"/>
      <c r="Y132" s="194" t="n"/>
      <c r="Z132" s="194" t="n"/>
    </row>
    <row r="133" ht="15.75" customHeight="1" s="195">
      <c r="A133" s="236" t="n">
        <v>111</v>
      </c>
      <c r="B133" s="237" t="inlineStr">
        <is>
          <t>Maria Auxiliadora</t>
        </is>
      </c>
      <c r="C133" s="238" t="inlineStr">
        <is>
          <t>HOSPITAL MARIA AUXILIADORA</t>
        </is>
      </c>
      <c r="D133" s="239">
        <f>IFERROR(SUMIF(_CALCULO!$A$2:$A$1525,UPPER(B133),_CALCULO!$C$2:$C$1525),0)</f>
        <v/>
      </c>
      <c r="E133" s="239">
        <f>IFERROR(SUMIF(_CALCULO!$A$2:$A$1525,UPPER(B133),_CALCULO!$D$2:$D$1525),0)</f>
        <v/>
      </c>
      <c r="V133" s="194" t="n"/>
      <c r="W133" s="194" t="n"/>
      <c r="X133" s="194" t="n"/>
      <c r="Y133" s="194" t="n"/>
      <c r="Z133" s="194" t="n"/>
    </row>
    <row r="134" ht="15.75" customHeight="1" s="195">
      <c r="A134" s="242" t="n">
        <v>112</v>
      </c>
      <c r="B134" s="243" t="inlineStr">
        <is>
          <t>Mariscal Benavides</t>
        </is>
      </c>
      <c r="C134" s="244" t="inlineStr">
        <is>
          <t>LONGAR</t>
        </is>
      </c>
      <c r="D134" s="245">
        <f>IFERROR(SUMIF(_CALCULO!$A$2:$A$1525,UPPER(B134),_CALCULO!$C$2:$C$1525),0)</f>
        <v/>
      </c>
      <c r="E134" s="245">
        <f>IFERROR(SUMIF(_CALCULO!$A$2:$A$1525,UPPER(B134),_CALCULO!$D$2:$D$1525),0)</f>
        <v/>
      </c>
      <c r="V134" s="194" t="n"/>
      <c r="W134" s="194" t="n"/>
      <c r="X134" s="194" t="n"/>
      <c r="Y134" s="194" t="n"/>
      <c r="Z134" s="194" t="n"/>
    </row>
    <row r="135" ht="15.75" customHeight="1" s="195">
      <c r="A135" s="236" t="n">
        <v>113</v>
      </c>
      <c r="B135" s="237" t="inlineStr">
        <is>
          <t>Molinopampa</t>
        </is>
      </c>
      <c r="C135" s="238" t="inlineStr">
        <is>
          <t>MOLINOPAMPA</t>
        </is>
      </c>
      <c r="D135" s="239">
        <f>IFERROR(SUMIF(_CALCULO!$A$2:$A$1525,UPPER(B135),_CALCULO!$C$2:$C$1525),0)</f>
        <v/>
      </c>
      <c r="E135" s="239">
        <f>IFERROR(SUMIF(_CALCULO!$A$2:$A$1525,UPPER(B135),_CALCULO!$D$2:$D$1525),0)</f>
        <v/>
      </c>
      <c r="V135" s="194" t="n"/>
      <c r="W135" s="194" t="n"/>
      <c r="X135" s="194" t="n"/>
      <c r="Y135" s="194" t="n"/>
      <c r="Z135" s="194" t="n"/>
    </row>
    <row r="136" ht="15.75" customHeight="1" s="195">
      <c r="A136" s="242" t="n">
        <v>114</v>
      </c>
      <c r="B136" s="243" t="inlineStr">
        <is>
          <t>Ocalli</t>
        </is>
      </c>
      <c r="C136" s="244" t="inlineStr">
        <is>
          <t>OCALLI</t>
        </is>
      </c>
      <c r="D136" s="245">
        <f>IFERROR(SUMIF(_CALCULO!$A$2:$A$1525,UPPER(B136),_CALCULO!$C$2:$C$1525),0)</f>
        <v/>
      </c>
      <c r="E136" s="245">
        <f>IFERROR(SUMIF(_CALCULO!$A$2:$A$1525,UPPER(B136),_CALCULO!$D$2:$D$1525),0)</f>
        <v/>
      </c>
      <c r="V136" s="194" t="n"/>
      <c r="W136" s="194" t="n"/>
      <c r="X136" s="194" t="n"/>
      <c r="Y136" s="194" t="n"/>
      <c r="Z136" s="194" t="n"/>
    </row>
    <row r="137" ht="15.75" customHeight="1" s="195">
      <c r="A137" s="236" t="n">
        <v>115</v>
      </c>
      <c r="B137" s="237" t="inlineStr">
        <is>
          <t>Omia</t>
        </is>
      </c>
      <c r="C137" s="238" t="inlineStr">
        <is>
          <t>OMIA</t>
        </is>
      </c>
      <c r="D137" s="239">
        <f>IFERROR(SUMIF(_CALCULO!$A$2:$A$1525,UPPER(B137),_CALCULO!$C$2:$C$1525),0)</f>
        <v/>
      </c>
      <c r="E137" s="239">
        <f>IFERROR(SUMIF(_CALCULO!$A$2:$A$1525,UPPER(B137),_CALCULO!$D$2:$D$1525),0)</f>
        <v/>
      </c>
      <c r="V137" s="194" t="n"/>
      <c r="W137" s="194" t="n"/>
      <c r="X137" s="194" t="n"/>
      <c r="Y137" s="194" t="n"/>
      <c r="Z137" s="194" t="n"/>
    </row>
    <row r="138" ht="15.75" customHeight="1" s="195">
      <c r="A138" s="242" t="n">
        <v>116</v>
      </c>
      <c r="B138" s="243" t="inlineStr">
        <is>
          <t>Pedro Ruiz Gallo</t>
        </is>
      </c>
      <c r="C138" s="244" t="inlineStr">
        <is>
          <t>PEDRO RUIZ GALLO</t>
        </is>
      </c>
      <c r="D138" s="245">
        <f>IFERROR(SUMIF(_CALCULO!$A$2:$A$1525,UPPER(B138),_CALCULO!$C$2:$C$1525),0)</f>
        <v/>
      </c>
      <c r="E138" s="245">
        <f>IFERROR(SUMIF(_CALCULO!$A$2:$A$1525,UPPER(B138),_CALCULO!$D$2:$D$1525),0)</f>
        <v/>
      </c>
      <c r="V138" s="194" t="n"/>
      <c r="W138" s="194" t="n"/>
      <c r="X138" s="194" t="n"/>
      <c r="Y138" s="194" t="n"/>
      <c r="Z138" s="194" t="n"/>
    </row>
    <row r="139" ht="15.75" customHeight="1" s="195">
      <c r="A139" s="236" t="n">
        <v>117</v>
      </c>
      <c r="B139" s="237" t="inlineStr">
        <is>
          <t>Pomacochas</t>
        </is>
      </c>
      <c r="C139" s="238" t="inlineStr">
        <is>
          <t>POMACOCHAS</t>
        </is>
      </c>
      <c r="D139" s="239">
        <f>IFERROR(SUMIF(_CALCULO!$A$2:$A$1525,UPPER(B139),_CALCULO!$C$2:$C$1525),0)</f>
        <v/>
      </c>
      <c r="E139" s="239">
        <f>IFERROR(SUMIF(_CALCULO!$A$2:$A$1525,UPPER(B139),_CALCULO!$D$2:$D$1525),0)</f>
        <v/>
      </c>
      <c r="V139" s="194" t="n"/>
      <c r="W139" s="194" t="n"/>
      <c r="X139" s="194" t="n"/>
      <c r="Y139" s="194" t="n"/>
      <c r="Z139" s="194" t="n"/>
    </row>
    <row r="140" ht="15.75" customHeight="1" s="195">
      <c r="A140" s="242" t="n">
        <v>118</v>
      </c>
      <c r="B140" s="243" t="inlineStr">
        <is>
          <t>Salazar</t>
        </is>
      </c>
      <c r="C140" s="244" t="inlineStr">
        <is>
          <t>PEDRO RUIZ GALLO</t>
        </is>
      </c>
      <c r="D140" s="245">
        <f>IFERROR(SUMIF(_CALCULO!$A$2:$A$1525,UPPER(B140),_CALCULO!$C$2:$C$1525),0)</f>
        <v/>
      </c>
      <c r="E140" s="245">
        <f>IFERROR(SUMIF(_CALCULO!$A$2:$A$1525,UPPER(B140),_CALCULO!$D$2:$D$1525),0)</f>
        <v/>
      </c>
      <c r="V140" s="194" t="n"/>
      <c r="W140" s="194" t="n"/>
      <c r="X140" s="194" t="n"/>
      <c r="Y140" s="194" t="n"/>
      <c r="Z140" s="194" t="n"/>
    </row>
    <row r="141" ht="15.75" customHeight="1" s="195">
      <c r="A141" s="236" t="n">
        <v>119</v>
      </c>
      <c r="B141" s="237" t="inlineStr">
        <is>
          <t>Santo Tomas</t>
        </is>
      </c>
      <c r="C141" s="238" t="inlineStr">
        <is>
          <t>SANTO TOMAS</t>
        </is>
      </c>
      <c r="D141" s="239">
        <f>IFERROR(SUMIF(_CALCULO!$A$2:$A$1525,UPPER(B141),_CALCULO!$C$2:$C$1525),0)</f>
        <v/>
      </c>
      <c r="E141" s="239">
        <f>IFERROR(SUMIF(_CALCULO!$A$2:$A$1525,UPPER(B141),_CALCULO!$D$2:$D$1525),0)</f>
        <v/>
      </c>
      <c r="V141" s="194" t="n"/>
      <c r="W141" s="194" t="n"/>
      <c r="X141" s="194" t="n"/>
      <c r="Y141" s="194" t="n"/>
      <c r="Z141" s="194" t="n"/>
    </row>
    <row r="142" ht="15.75" customHeight="1" s="195">
      <c r="A142" s="242" t="n">
        <v>120</v>
      </c>
      <c r="B142" s="243" t="inlineStr">
        <is>
          <t>Tingo</t>
        </is>
      </c>
      <c r="C142" s="244" t="inlineStr">
        <is>
          <t>TINGO</t>
        </is>
      </c>
      <c r="D142" s="245">
        <f>IFERROR(SUMIF(_CALCULO!$A$2:$A$1525,UPPER(B142),_CALCULO!$C$2:$C$1525),0)</f>
        <v/>
      </c>
      <c r="E142" s="245">
        <f>IFERROR(SUMIF(_CALCULO!$A$2:$A$1525,UPPER(B142),_CALCULO!$D$2:$D$1525),0)</f>
        <v/>
      </c>
      <c r="V142" s="194" t="n"/>
      <c r="W142" s="194" t="n"/>
      <c r="X142" s="194" t="n"/>
      <c r="Y142" s="194" t="n"/>
      <c r="Z142" s="194" t="n"/>
    </row>
    <row r="143" ht="15.75" customHeight="1" s="195">
      <c r="A143" s="236" t="n">
        <v>121</v>
      </c>
      <c r="B143" s="237" t="inlineStr">
        <is>
          <t>Totora</t>
        </is>
      </c>
      <c r="C143" s="238" t="inlineStr">
        <is>
          <t>TOTORA</t>
        </is>
      </c>
      <c r="D143" s="239">
        <f>IFERROR(SUMIF(_CALCULO!$A$2:$A$1525,UPPER(B143),_CALCULO!$C$2:$C$1525),0)</f>
        <v/>
      </c>
      <c r="E143" s="239">
        <f>IFERROR(SUMIF(_CALCULO!$A$2:$A$1525,UPPER(B143),_CALCULO!$D$2:$D$1525),0)</f>
        <v/>
      </c>
      <c r="V143" s="194" t="n"/>
      <c r="W143" s="194" t="n"/>
      <c r="X143" s="194" t="n"/>
      <c r="Y143" s="194" t="n"/>
      <c r="Z143" s="194" t="n"/>
    </row>
    <row r="144" ht="15.75" customHeight="1" s="195">
      <c r="A144" s="242" t="n">
        <v>122</v>
      </c>
      <c r="B144" s="243" t="inlineStr">
        <is>
          <t>Yerbabuena</t>
        </is>
      </c>
      <c r="C144" s="244" t="inlineStr">
        <is>
          <t>YERBABUENA</t>
        </is>
      </c>
      <c r="D144" s="245">
        <f>IFERROR(SUMIF(_CALCULO!$A$2:$A$1525,UPPER(B144),_CALCULO!$C$2:$C$1525),0)</f>
        <v/>
      </c>
      <c r="E144" s="245">
        <f>IFERROR(SUMIF(_CALCULO!$A$2:$A$1525,UPPER(B144),_CALCULO!$D$2:$D$1525),0)</f>
        <v/>
      </c>
      <c r="V144" s="194" t="n"/>
      <c r="W144" s="194" t="n"/>
      <c r="X144" s="194" t="n"/>
      <c r="Y144" s="194" t="n"/>
      <c r="Z144" s="194" t="n"/>
    </row>
    <row r="145" ht="24" customHeight="1" s="195">
      <c r="A145" s="247" t="inlineStr">
        <is>
          <t>TOTAL GENERAL PETROLEO</t>
        </is>
      </c>
      <c r="D145" s="248">
        <f>SUBTOTAL(9,D23:D144)</f>
        <v/>
      </c>
      <c r="E145" s="249">
        <f>SUBTOTAL(9,E23:E144)</f>
        <v/>
      </c>
      <c r="V145" s="194" t="n"/>
      <c r="W145" s="194" t="n"/>
      <c r="X145" s="194" t="n"/>
      <c r="Y145" s="194" t="n"/>
      <c r="Z145" s="194" t="n"/>
    </row>
    <row r="146" ht="15.75" customHeight="1" s="195">
      <c r="V146" s="194" t="n"/>
      <c r="W146" s="194" t="n"/>
      <c r="X146" s="194" t="n"/>
      <c r="Y146" s="194" t="n"/>
      <c r="Z146" s="194" t="n"/>
    </row>
    <row r="147" ht="15.75" customHeight="1" s="195">
      <c r="V147" s="194" t="n"/>
      <c r="W147" s="194" t="n"/>
      <c r="X147" s="194" t="n"/>
      <c r="Y147" s="194" t="n"/>
      <c r="Z147" s="194" t="n"/>
    </row>
    <row r="148" ht="24" customHeight="1" s="195">
      <c r="A148" s="252" t="inlineStr">
        <is>
          <t>⛽  GASOLINA - COMBUSTIBLE ACUMULADO 2026 POR IPRESS</t>
        </is>
      </c>
      <c r="V148" s="194" t="n"/>
      <c r="W148" s="194" t="n"/>
      <c r="X148" s="194" t="n"/>
      <c r="Y148" s="194" t="n"/>
      <c r="Z148" s="194" t="n"/>
    </row>
    <row r="149" ht="13.5" customHeight="1" s="195">
      <c r="A149" s="259" t="inlineStr">
        <is>
          <t>↑ Al filtrar por IPRESS el SUBTOTAL se actualiza automáticamente</t>
        </is>
      </c>
      <c r="V149" s="194" t="n"/>
      <c r="W149" s="194" t="n"/>
      <c r="X149" s="194" t="n"/>
      <c r="Y149" s="194" t="n"/>
      <c r="Z149" s="194" t="n"/>
    </row>
    <row r="150" ht="25.5" customHeight="1" s="195">
      <c r="A150" s="253" t="inlineStr">
        <is>
          <t>N</t>
        </is>
      </c>
      <c r="B150" s="253" t="inlineStr">
        <is>
          <t>IPRESS</t>
        </is>
      </c>
      <c r="C150" s="253" t="inlineStr">
        <is>
          <t>MICRORED</t>
        </is>
      </c>
      <c r="D150" s="253" t="inlineStr">
        <is>
          <t>GALONES
GASOLINA</t>
        </is>
      </c>
      <c r="E150" s="253" t="inlineStr">
        <is>
          <t>SOLES S/.
GASOLINA</t>
        </is>
      </c>
      <c r="V150" s="194" t="n"/>
      <c r="W150" s="194" t="n"/>
      <c r="X150" s="194" t="n"/>
      <c r="Y150" s="194" t="n"/>
      <c r="Z150" s="194" t="n"/>
    </row>
    <row r="151" ht="15.75" customHeight="1" s="195">
      <c r="A151" s="236" t="n">
        <v>1</v>
      </c>
      <c r="B151" s="237">
        <f>IFERROR(VLOOKUP(TEXT(H10,"0"),IPRESS!$A$3:$B$212,2,0),"")</f>
        <v/>
      </c>
      <c r="C151" s="238" t="n"/>
      <c r="D151" s="239">
        <f>IFERROR(SUMIF(_CALCULO!$A$2:$A$1525,UPPER(B151),_CALCULO!$E$2:$E$1525),0)</f>
        <v/>
      </c>
      <c r="E151" s="239">
        <f>IFERROR(SUMIF(_CALCULO!$A$2:$A$1525,UPPER(B151),_CALCULO!$F$2:$F$1525),0)</f>
        <v/>
      </c>
      <c r="V151" s="194" t="n"/>
      <c r="W151" s="194" t="n"/>
      <c r="X151" s="194" t="n"/>
      <c r="Y151" s="194" t="n"/>
      <c r="Z151" s="194" t="n"/>
    </row>
    <row r="152" ht="15.75" customHeight="1" s="195">
      <c r="A152" s="242" t="n">
        <v>2</v>
      </c>
      <c r="B152" s="243">
        <f>IFERROR(VLOOKUP(TEXT(H18,"0"),IPRESS!$A$3:$B$212,2,0),"")</f>
        <v/>
      </c>
      <c r="C152" s="244" t="n"/>
      <c r="D152" s="245">
        <f>IFERROR(SUMIF(_CALCULO!$A$2:$A$1525,UPPER(B152),_CALCULO!$E$2:$E$1525),0)</f>
        <v/>
      </c>
      <c r="E152" s="245">
        <f>IFERROR(SUMIF(_CALCULO!$A$2:$A$1525,UPPER(B152),_CALCULO!$F$2:$F$1525),0)</f>
        <v/>
      </c>
      <c r="V152" s="194" t="n"/>
      <c r="W152" s="194" t="n"/>
      <c r="X152" s="194" t="n"/>
      <c r="Y152" s="194" t="n"/>
      <c r="Z152" s="194" t="n"/>
    </row>
    <row r="153" ht="15.75" customHeight="1" s="195">
      <c r="A153" s="236" t="n">
        <v>3</v>
      </c>
      <c r="B153" s="237">
        <f>IFERROR(VLOOKUP(TEXT(H21,"0"),IPRESS!$A$3:$B$212,2,0),"")</f>
        <v/>
      </c>
      <c r="C153" s="238" t="n"/>
      <c r="D153" s="239">
        <f>IFERROR(SUMIF(_CALCULO!$A$2:$A$1525,UPPER(B153),_CALCULO!$E$2:$E$1525),0)</f>
        <v/>
      </c>
      <c r="E153" s="239">
        <f>IFERROR(SUMIF(_CALCULO!$A$2:$A$1525,UPPER(B153),_CALCULO!$F$2:$F$1525),0)</f>
        <v/>
      </c>
      <c r="V153" s="194" t="n"/>
      <c r="W153" s="194" t="n"/>
      <c r="X153" s="194" t="n"/>
      <c r="Y153" s="194" t="n"/>
      <c r="Z153" s="194" t="n"/>
    </row>
    <row r="154" ht="15.75" customHeight="1" s="195">
      <c r="A154" s="242" t="n">
        <v>4</v>
      </c>
      <c r="B154" s="243">
        <f>IFERROR(VLOOKUP(TEXT(H22,"0"),IPRESS!$A$3:$B$212,2,0),"")</f>
        <v/>
      </c>
      <c r="C154" s="244" t="n"/>
      <c r="D154" s="245">
        <f>IFERROR(SUMIF(_CALCULO!$A$2:$A$1525,UPPER(B154),_CALCULO!$E$2:$E$1525),0)</f>
        <v/>
      </c>
      <c r="E154" s="245">
        <f>IFERROR(SUMIF(_CALCULO!$A$2:$A$1525,UPPER(B154),_CALCULO!$F$2:$F$1525),0)</f>
        <v/>
      </c>
      <c r="V154" s="194" t="n"/>
      <c r="W154" s="194" t="n"/>
      <c r="X154" s="194" t="n"/>
      <c r="Y154" s="194" t="n"/>
      <c r="Z154" s="194" t="n"/>
    </row>
    <row r="155" ht="15.75" customHeight="1" s="195">
      <c r="A155" s="236" t="n">
        <v>5</v>
      </c>
      <c r="B155" s="237">
        <f>IFERROR(VLOOKUP(TEXT(H33,"0"),IPRESS!$A$3:$B$212,2,0),"")</f>
        <v/>
      </c>
      <c r="C155" s="238" t="n"/>
      <c r="D155" s="239">
        <f>IFERROR(SUMIF(_CALCULO!$A$2:$A$1525,UPPER(B155),_CALCULO!$E$2:$E$1525),0)</f>
        <v/>
      </c>
      <c r="E155" s="239">
        <f>IFERROR(SUMIF(_CALCULO!$A$2:$A$1525,UPPER(B155),_CALCULO!$F$2:$F$1525),0)</f>
        <v/>
      </c>
      <c r="V155" s="194" t="n"/>
      <c r="W155" s="194" t="n"/>
      <c r="X155" s="194" t="n"/>
      <c r="Y155" s="194" t="n"/>
      <c r="Z155" s="194" t="n"/>
    </row>
    <row r="156" ht="15.75" customHeight="1" s="195">
      <c r="A156" s="242" t="n">
        <v>6</v>
      </c>
      <c r="B156" s="243">
        <f>IFERROR(VLOOKUP(TEXT(H34,"0"),IPRESS!$A$3:$B$212,2,0),"")</f>
        <v/>
      </c>
      <c r="C156" s="244" t="n"/>
      <c r="D156" s="245">
        <f>IFERROR(SUMIF(_CALCULO!$A$2:$A$1525,UPPER(B156),_CALCULO!$E$2:$E$1525),0)</f>
        <v/>
      </c>
      <c r="E156" s="245">
        <f>IFERROR(SUMIF(_CALCULO!$A$2:$A$1525,UPPER(B156),_CALCULO!$F$2:$F$1525),0)</f>
        <v/>
      </c>
      <c r="V156" s="194" t="n"/>
      <c r="W156" s="194" t="n"/>
      <c r="X156" s="194" t="n"/>
      <c r="Y156" s="194" t="n"/>
      <c r="Z156" s="194" t="n"/>
    </row>
    <row r="157" ht="15.75" customHeight="1" s="195">
      <c r="A157" s="236" t="n">
        <v>7</v>
      </c>
      <c r="B157" s="237">
        <f>IFERROR(VLOOKUP(TEXT(H35,"0"),IPRESS!$A$3:$B$212,2,0),"")</f>
        <v/>
      </c>
      <c r="C157" s="238" t="n"/>
      <c r="D157" s="239">
        <f>IFERROR(SUMIF(_CALCULO!$A$2:$A$1525,UPPER(B157),_CALCULO!$E$2:$E$1525),0)</f>
        <v/>
      </c>
      <c r="E157" s="239">
        <f>IFERROR(SUMIF(_CALCULO!$A$2:$A$1525,UPPER(B157),_CALCULO!$F$2:$F$1525),0)</f>
        <v/>
      </c>
      <c r="V157" s="194" t="n"/>
      <c r="W157" s="194" t="n"/>
      <c r="X157" s="194" t="n"/>
      <c r="Y157" s="194" t="n"/>
      <c r="Z157" s="194" t="n"/>
    </row>
    <row r="158" ht="15.75" customHeight="1" s="195">
      <c r="A158" s="242" t="n">
        <v>8</v>
      </c>
      <c r="B158" s="243">
        <f>IFERROR(VLOOKUP(TEXT(H37,"0"),IPRESS!$A$3:$B$212,2,0),"")</f>
        <v/>
      </c>
      <c r="C158" s="244" t="n"/>
      <c r="D158" s="245">
        <f>IFERROR(SUMIF(_CALCULO!$A$2:$A$1525,UPPER(B158),_CALCULO!$E$2:$E$1525),0)</f>
        <v/>
      </c>
      <c r="E158" s="245">
        <f>IFERROR(SUMIF(_CALCULO!$A$2:$A$1525,UPPER(B158),_CALCULO!$F$2:$F$1525),0)</f>
        <v/>
      </c>
      <c r="V158" s="194" t="n"/>
      <c r="W158" s="194" t="n"/>
      <c r="X158" s="194" t="n"/>
      <c r="Y158" s="194" t="n"/>
      <c r="Z158" s="194" t="n"/>
    </row>
    <row r="159" ht="15.75" customHeight="1" s="195">
      <c r="A159" s="236" t="n">
        <v>9</v>
      </c>
      <c r="B159" s="237">
        <f>IFERROR(VLOOKUP(TEXT(H45,"0"),IPRESS!$A$3:$B$212,2,0),"")</f>
        <v/>
      </c>
      <c r="C159" s="238" t="n"/>
      <c r="D159" s="239">
        <f>IFERROR(SUMIF(_CALCULO!$A$2:$A$1525,UPPER(B159),_CALCULO!$E$2:$E$1525),0)</f>
        <v/>
      </c>
      <c r="E159" s="239">
        <f>IFERROR(SUMIF(_CALCULO!$A$2:$A$1525,UPPER(B159),_CALCULO!$F$2:$F$1525),0)</f>
        <v/>
      </c>
      <c r="V159" s="194" t="n"/>
      <c r="W159" s="194" t="n"/>
      <c r="X159" s="194" t="n"/>
      <c r="Y159" s="194" t="n"/>
      <c r="Z159" s="194" t="n"/>
    </row>
    <row r="160" ht="15.75" customHeight="1" s="195">
      <c r="A160" s="242" t="n">
        <v>10</v>
      </c>
      <c r="B160" s="243">
        <f>IFERROR(VLOOKUP(TEXT(H49,"0"),IPRESS!$A$3:$B$212,2,0),"")</f>
        <v/>
      </c>
      <c r="C160" s="244" t="n"/>
      <c r="D160" s="245">
        <f>IFERROR(SUMIF(_CALCULO!$A$2:$A$1525,UPPER(B160),_CALCULO!$E$2:$E$1525),0)</f>
        <v/>
      </c>
      <c r="E160" s="245">
        <f>IFERROR(SUMIF(_CALCULO!$A$2:$A$1525,UPPER(B160),_CALCULO!$F$2:$F$1525),0)</f>
        <v/>
      </c>
      <c r="V160" s="194" t="n"/>
      <c r="W160" s="194" t="n"/>
      <c r="X160" s="194" t="n"/>
      <c r="Y160" s="194" t="n"/>
      <c r="Z160" s="194" t="n"/>
    </row>
    <row r="161" ht="15.75" customHeight="1" s="195">
      <c r="A161" s="236" t="n">
        <v>11</v>
      </c>
      <c r="B161" s="237">
        <f>IFERROR(VLOOKUP(TEXT(H51,"0"),IPRESS!$A$3:$B$212,2,0),"")</f>
        <v/>
      </c>
      <c r="C161" s="238" t="n"/>
      <c r="D161" s="239">
        <f>IFERROR(SUMIF(_CALCULO!$A$2:$A$1525,UPPER(B161),_CALCULO!$E$2:$E$1525),0)</f>
        <v/>
      </c>
      <c r="E161" s="239">
        <f>IFERROR(SUMIF(_CALCULO!$A$2:$A$1525,UPPER(B161),_CALCULO!$F$2:$F$1525),0)</f>
        <v/>
      </c>
      <c r="V161" s="194" t="n"/>
      <c r="W161" s="194" t="n"/>
      <c r="X161" s="194" t="n"/>
      <c r="Y161" s="194" t="n"/>
      <c r="Z161" s="194" t="n"/>
    </row>
    <row r="162" ht="15.75" customHeight="1" s="195">
      <c r="A162" s="242" t="n">
        <v>12</v>
      </c>
      <c r="B162" s="243">
        <f>IFERROR(VLOOKUP(TEXT(H52,"0"),IPRESS!$A$3:$B$212,2,0),"")</f>
        <v/>
      </c>
      <c r="C162" s="244" t="n"/>
      <c r="D162" s="245">
        <f>IFERROR(SUMIF(_CALCULO!$A$2:$A$1525,UPPER(B162),_CALCULO!$E$2:$E$1525),0)</f>
        <v/>
      </c>
      <c r="E162" s="245">
        <f>IFERROR(SUMIF(_CALCULO!$A$2:$A$1525,UPPER(B162),_CALCULO!$F$2:$F$1525),0)</f>
        <v/>
      </c>
      <c r="V162" s="194" t="n"/>
      <c r="W162" s="194" t="n"/>
      <c r="X162" s="194" t="n"/>
      <c r="Y162" s="194" t="n"/>
      <c r="Z162" s="194" t="n"/>
    </row>
    <row r="163" ht="15.75" customHeight="1" s="195">
      <c r="A163" s="236" t="n">
        <v>13</v>
      </c>
      <c r="B163" s="237">
        <f>IFERROR(VLOOKUP(TEXT(H53,"0"),IPRESS!$A$3:$B$212,2,0),"")</f>
        <v/>
      </c>
      <c r="C163" s="238" t="n"/>
      <c r="D163" s="239">
        <f>IFERROR(SUMIF(_CALCULO!$A$2:$A$1525,UPPER(B163),_CALCULO!$E$2:$E$1525),0)</f>
        <v/>
      </c>
      <c r="E163" s="239">
        <f>IFERROR(SUMIF(_CALCULO!$A$2:$A$1525,UPPER(B163),_CALCULO!$F$2:$F$1525),0)</f>
        <v/>
      </c>
      <c r="V163" s="194" t="n"/>
      <c r="W163" s="194" t="n"/>
      <c r="X163" s="194" t="n"/>
      <c r="Y163" s="194" t="n"/>
      <c r="Z163" s="194" t="n"/>
    </row>
    <row r="164" ht="15.75" customHeight="1" s="195">
      <c r="A164" s="242" t="n">
        <v>14</v>
      </c>
      <c r="B164" s="243">
        <f>IFERROR(VLOOKUP(TEXT(H55,"0"),IPRESS!$A$3:$B$212,2,0),"")</f>
        <v/>
      </c>
      <c r="C164" s="244" t="n"/>
      <c r="D164" s="245">
        <f>IFERROR(SUMIF(_CALCULO!$A$2:$A$1525,UPPER(B164),_CALCULO!$E$2:$E$1525),0)</f>
        <v/>
      </c>
      <c r="E164" s="245">
        <f>IFERROR(SUMIF(_CALCULO!$A$2:$A$1525,UPPER(B164),_CALCULO!$F$2:$F$1525),0)</f>
        <v/>
      </c>
      <c r="V164" s="194" t="n"/>
      <c r="W164" s="194" t="n"/>
      <c r="X164" s="194" t="n"/>
      <c r="Y164" s="194" t="n"/>
      <c r="Z164" s="194" t="n"/>
    </row>
    <row r="165" ht="15.75" customHeight="1" s="195">
      <c r="A165" s="236" t="n">
        <v>15</v>
      </c>
      <c r="B165" s="237">
        <f>IFERROR(VLOOKUP(TEXT(H56,"0"),IPRESS!$A$3:$B$212,2,0),"")</f>
        <v/>
      </c>
      <c r="C165" s="238" t="n"/>
      <c r="D165" s="239">
        <f>IFERROR(SUMIF(_CALCULO!$A$2:$A$1525,UPPER(B165),_CALCULO!$E$2:$E$1525),0)</f>
        <v/>
      </c>
      <c r="E165" s="239">
        <f>IFERROR(SUMIF(_CALCULO!$A$2:$A$1525,UPPER(B165),_CALCULO!$F$2:$F$1525),0)</f>
        <v/>
      </c>
      <c r="V165" s="194" t="n"/>
      <c r="W165" s="194" t="n"/>
      <c r="X165" s="194" t="n"/>
      <c r="Y165" s="194" t="n"/>
      <c r="Z165" s="194" t="n"/>
    </row>
    <row r="166" ht="15.75" customHeight="1" s="195">
      <c r="A166" s="242" t="n">
        <v>16</v>
      </c>
      <c r="B166" s="243">
        <f>IFERROR(VLOOKUP(TEXT(H6,"0"),IPRESS!$A$3:$B$212,2,0),"")</f>
        <v/>
      </c>
      <c r="C166" s="244" t="n"/>
      <c r="D166" s="245">
        <f>IFERROR(SUMIF(_CALCULO!$A$2:$A$1525,UPPER(B166),_CALCULO!$E$2:$E$1525),0)</f>
        <v/>
      </c>
      <c r="E166" s="245">
        <f>IFERROR(SUMIF(_CALCULO!$A$2:$A$1525,UPPER(B166),_CALCULO!$F$2:$F$1525),0)</f>
        <v/>
      </c>
      <c r="V166" s="194" t="n"/>
      <c r="W166" s="194" t="n"/>
      <c r="X166" s="194" t="n"/>
      <c r="Y166" s="194" t="n"/>
      <c r="Z166" s="194" t="n"/>
    </row>
    <row r="167" ht="15.75" customHeight="1" s="195">
      <c r="A167" s="236" t="n">
        <v>17</v>
      </c>
      <c r="B167" s="237">
        <f>IFERROR(VLOOKUP(TEXT(H73,"0"),IPRESS!$A$3:$B$212,2,0),"")</f>
        <v/>
      </c>
      <c r="C167" s="238" t="n"/>
      <c r="D167" s="239">
        <f>IFERROR(SUMIF(_CALCULO!$A$2:$A$1525,UPPER(B167),_CALCULO!$E$2:$E$1525),0)</f>
        <v/>
      </c>
      <c r="E167" s="239">
        <f>IFERROR(SUMIF(_CALCULO!$A$2:$A$1525,UPPER(B167),_CALCULO!$F$2:$F$1525),0)</f>
        <v/>
      </c>
      <c r="V167" s="194" t="n"/>
      <c r="W167" s="194" t="n"/>
      <c r="X167" s="194" t="n"/>
      <c r="Y167" s="194" t="n"/>
      <c r="Z167" s="194" t="n"/>
    </row>
    <row r="168" ht="15.75" customHeight="1" s="195">
      <c r="A168" s="242" t="n">
        <v>18</v>
      </c>
      <c r="B168" s="243">
        <f>IFERROR(VLOOKUP(TEXT(H76,"0"),IPRESS!$A$3:$B$212,2,0),"")</f>
        <v/>
      </c>
      <c r="C168" s="244" t="n"/>
      <c r="D168" s="245">
        <f>IFERROR(SUMIF(_CALCULO!$A$2:$A$1525,UPPER(B168),_CALCULO!$E$2:$E$1525),0)</f>
        <v/>
      </c>
      <c r="E168" s="245">
        <f>IFERROR(SUMIF(_CALCULO!$A$2:$A$1525,UPPER(B168),_CALCULO!$F$2:$F$1525),0)</f>
        <v/>
      </c>
      <c r="V168" s="194" t="n"/>
      <c r="W168" s="194" t="n"/>
      <c r="X168" s="194" t="n"/>
      <c r="Y168" s="194" t="n"/>
      <c r="Z168" s="194" t="n"/>
    </row>
    <row r="169" ht="15.75" customHeight="1" s="195">
      <c r="A169" s="236" t="n">
        <v>19</v>
      </c>
      <c r="B169" s="237">
        <f>IFERROR(VLOOKUP(TEXT(H8,"0"),IPRESS!$A$3:$B$212,2,0),"")</f>
        <v/>
      </c>
      <c r="C169" s="238" t="n"/>
      <c r="D169" s="239">
        <f>IFERROR(SUMIF(_CALCULO!$A$2:$A$1525,UPPER(B169),_CALCULO!$E$2:$E$1525),0)</f>
        <v/>
      </c>
      <c r="E169" s="239">
        <f>IFERROR(SUMIF(_CALCULO!$A$2:$A$1525,UPPER(B169),_CALCULO!$F$2:$F$1525),0)</f>
        <v/>
      </c>
      <c r="V169" s="194" t="n"/>
      <c r="W169" s="194" t="n"/>
      <c r="X169" s="194" t="n"/>
      <c r="Y169" s="194" t="n"/>
      <c r="Z169" s="194" t="n"/>
    </row>
    <row r="170" ht="15.75" customHeight="1" s="195">
      <c r="A170" s="242" t="n">
        <v>20</v>
      </c>
      <c r="B170" s="243">
        <f>IFERROR(VLOOKUP(TEXT(H82,"0"),IPRESS!$A$3:$B$212,2,0),"")</f>
        <v/>
      </c>
      <c r="C170" s="244" t="n"/>
      <c r="D170" s="245">
        <f>IFERROR(SUMIF(_CALCULO!$A$2:$A$1525,UPPER(B170),_CALCULO!$E$2:$E$1525),0)</f>
        <v/>
      </c>
      <c r="E170" s="245">
        <f>IFERROR(SUMIF(_CALCULO!$A$2:$A$1525,UPPER(B170),_CALCULO!$F$2:$F$1525),0)</f>
        <v/>
      </c>
      <c r="V170" s="194" t="n"/>
      <c r="W170" s="194" t="n"/>
      <c r="X170" s="194" t="n"/>
      <c r="Y170" s="194" t="n"/>
      <c r="Z170" s="194" t="n"/>
    </row>
    <row r="171" ht="15.75" customHeight="1" s="195">
      <c r="A171" s="236" t="n">
        <v>21</v>
      </c>
      <c r="B171" s="237">
        <f>IFERROR(VLOOKUP(TEXT(H88,"0"),IPRESS!$A$3:$B$212,2,0),"")</f>
        <v/>
      </c>
      <c r="C171" s="238" t="n"/>
      <c r="D171" s="239">
        <f>IFERROR(SUMIF(_CALCULO!$A$2:$A$1525,UPPER(B171),_CALCULO!$E$2:$E$1525),0)</f>
        <v/>
      </c>
      <c r="E171" s="239">
        <f>IFERROR(SUMIF(_CALCULO!$A$2:$A$1525,UPPER(B171),_CALCULO!$F$2:$F$1525),0)</f>
        <v/>
      </c>
      <c r="V171" s="194" t="n"/>
      <c r="W171" s="194" t="n"/>
      <c r="X171" s="194" t="n"/>
      <c r="Y171" s="194" t="n"/>
      <c r="Z171" s="194" t="n"/>
    </row>
    <row r="172" ht="15.75" customHeight="1" s="195">
      <c r="A172" s="242" t="n">
        <v>22</v>
      </c>
      <c r="B172" s="243">
        <f>IFERROR(VLOOKUP(TEXT(H91,"0"),IPRESS!$A$3:$B$212,2,0),"")</f>
        <v/>
      </c>
      <c r="C172" s="244" t="n"/>
      <c r="D172" s="245">
        <f>IFERROR(SUMIF(_CALCULO!$A$2:$A$1525,UPPER(B172),_CALCULO!$E$2:$E$1525),0)</f>
        <v/>
      </c>
      <c r="E172" s="245">
        <f>IFERROR(SUMIF(_CALCULO!$A$2:$A$1525,UPPER(B172),_CALCULO!$F$2:$F$1525),0)</f>
        <v/>
      </c>
      <c r="V172" s="194" t="n"/>
      <c r="W172" s="194" t="n"/>
      <c r="X172" s="194" t="n"/>
      <c r="Y172" s="194" t="n"/>
      <c r="Z172" s="194" t="n"/>
    </row>
    <row r="173" ht="15.75" customHeight="1" s="195">
      <c r="A173" s="236" t="n">
        <v>23</v>
      </c>
      <c r="B173" s="237" t="inlineStr">
        <is>
          <t>Buenos Aires</t>
        </is>
      </c>
      <c r="C173" s="238" t="inlineStr">
        <is>
          <t>POMACOCHAS</t>
        </is>
      </c>
      <c r="D173" s="239">
        <f>IFERROR(SUMIF(_CALCULO!$A$2:$A$1525,UPPER(B173),_CALCULO!$E$2:$E$1525),0)</f>
        <v/>
      </c>
      <c r="E173" s="239">
        <f>IFERROR(SUMIF(_CALCULO!$A$2:$A$1525,UPPER(B173),_CALCULO!$F$2:$F$1525),0)</f>
        <v/>
      </c>
      <c r="V173" s="194" t="n"/>
      <c r="W173" s="194" t="n"/>
      <c r="X173" s="194" t="n"/>
      <c r="Y173" s="194" t="n"/>
      <c r="Z173" s="194" t="n"/>
    </row>
    <row r="174" ht="15.75" customHeight="1" s="195">
      <c r="A174" s="242" t="n">
        <v>24</v>
      </c>
      <c r="B174" s="243" t="inlineStr">
        <is>
          <t>Cocabamba</t>
        </is>
      </c>
      <c r="C174" s="244" t="inlineStr">
        <is>
          <t>MARIA</t>
        </is>
      </c>
      <c r="D174" s="245">
        <f>IFERROR(SUMIF(_CALCULO!$A$2:$A$1525,UPPER(B174),_CALCULO!$E$2:$E$1525),0)</f>
        <v/>
      </c>
      <c r="E174" s="245">
        <f>IFERROR(SUMIF(_CALCULO!$A$2:$A$1525,UPPER(B174),_CALCULO!$F$2:$F$1525),0)</f>
        <v/>
      </c>
      <c r="V174" s="194" t="n"/>
      <c r="W174" s="194" t="n"/>
      <c r="X174" s="194" t="n"/>
      <c r="Y174" s="194" t="n"/>
      <c r="Z174" s="194" t="n"/>
    </row>
    <row r="175" ht="15.75" customHeight="1" s="195">
      <c r="A175" s="236" t="n">
        <v>25</v>
      </c>
      <c r="B175" s="237" t="inlineStr">
        <is>
          <t>Nuevo Chirimoto</t>
        </is>
      </c>
      <c r="C175" s="238" t="inlineStr">
        <is>
          <t>NUEVO CHIRIMOTO</t>
        </is>
      </c>
      <c r="D175" s="239">
        <f>IFERROR(SUMIF(_CALCULO!$A$2:$A$1525,UPPER(B175),_CALCULO!$E$2:$E$1525),0)</f>
        <v/>
      </c>
      <c r="E175" s="239">
        <f>IFERROR(SUMIF(_CALCULO!$A$2:$A$1525,UPPER(B175),_CALCULO!$F$2:$F$1525),0)</f>
        <v/>
      </c>
      <c r="V175" s="194" t="n"/>
      <c r="W175" s="194" t="n"/>
      <c r="X175" s="194" t="n"/>
      <c r="Y175" s="194" t="n"/>
      <c r="Z175" s="194" t="n"/>
    </row>
    <row r="176" ht="15.75" customHeight="1" s="195">
      <c r="A176" s="242" t="n">
        <v>26</v>
      </c>
      <c r="B176" s="243" t="inlineStr">
        <is>
          <t>Salazar</t>
        </is>
      </c>
      <c r="C176" s="244" t="inlineStr">
        <is>
          <t>PEDRO RUIZ GALLO</t>
        </is>
      </c>
      <c r="D176" s="245">
        <f>IFERROR(SUMIF(_CALCULO!$A$2:$A$1525,UPPER(B176),_CALCULO!$E$2:$E$1525),0)</f>
        <v/>
      </c>
      <c r="E176" s="245">
        <f>IFERROR(SUMIF(_CALCULO!$A$2:$A$1525,UPPER(B176),_CALCULO!$F$2:$F$1525),0)</f>
        <v/>
      </c>
      <c r="V176" s="194" t="n"/>
      <c r="W176" s="194" t="n"/>
      <c r="X176" s="194" t="n"/>
      <c r="Y176" s="194" t="n"/>
      <c r="Z176" s="194" t="n"/>
    </row>
    <row r="177" ht="15.75" customHeight="1" s="195">
      <c r="A177" s="236" t="n">
        <v>27</v>
      </c>
      <c r="B177" s="237" t="inlineStr">
        <is>
          <t>Yambrasbamba</t>
        </is>
      </c>
      <c r="C177" s="238" t="inlineStr">
        <is>
          <t>POMACOCHAS</t>
        </is>
      </c>
      <c r="D177" s="239">
        <f>IFERROR(SUMIF(_CALCULO!$A$2:$A$1525,UPPER(B177),_CALCULO!$E$2:$E$1525),0)</f>
        <v/>
      </c>
      <c r="E177" s="239">
        <f>IFERROR(SUMIF(_CALCULO!$A$2:$A$1525,UPPER(B177),_CALCULO!$F$2:$F$1525),0)</f>
        <v/>
      </c>
      <c r="V177" s="194" t="n"/>
      <c r="W177" s="194" t="n"/>
      <c r="X177" s="194" t="n"/>
      <c r="Y177" s="194" t="n"/>
      <c r="Z177" s="194" t="n"/>
    </row>
    <row r="178" ht="15.75" customHeight="1" s="195">
      <c r="A178" s="242" t="n">
        <v>28</v>
      </c>
      <c r="B178" s="243" t="inlineStr">
        <is>
          <t>Zarumilla</t>
        </is>
      </c>
      <c r="C178" s="244" t="inlineStr">
        <is>
          <t>ZARUMILLA</t>
        </is>
      </c>
      <c r="D178" s="245">
        <f>IFERROR(SUMIF(_CALCULO!$A$2:$A$1525,UPPER(B178),_CALCULO!$E$2:$E$1525),0)</f>
        <v/>
      </c>
      <c r="E178" s="245">
        <f>IFERROR(SUMIF(_CALCULO!$A$2:$A$1525,UPPER(B178),_CALCULO!$F$2:$F$1525),0)</f>
        <v/>
      </c>
      <c r="V178" s="194" t="n"/>
      <c r="W178" s="194" t="n"/>
      <c r="X178" s="194" t="n"/>
      <c r="Y178" s="194" t="n"/>
      <c r="Z178" s="194" t="n"/>
    </row>
    <row r="179" ht="24" customHeight="1" s="195">
      <c r="A179" s="255" t="inlineStr">
        <is>
          <t>TOTAL GENERAL GASOLINA</t>
        </is>
      </c>
      <c r="D179" s="248">
        <f>SUBTOTAL(9,D151:D178)</f>
        <v/>
      </c>
      <c r="E179" s="249">
        <f>SUBTOTAL(9,E151:E178)</f>
        <v/>
      </c>
      <c r="V179" s="194" t="n"/>
      <c r="W179" s="194" t="n"/>
      <c r="X179" s="194" t="n"/>
      <c r="Y179" s="194" t="n"/>
      <c r="Z179" s="194" t="n"/>
    </row>
    <row r="180" ht="15.75" customHeight="1" s="195">
      <c r="V180" s="194" t="n"/>
      <c r="W180" s="194" t="n"/>
      <c r="X180" s="194" t="n"/>
      <c r="Y180" s="194" t="n"/>
      <c r="Z180" s="194" t="n"/>
    </row>
    <row r="181" ht="15.75" customHeight="1" s="195">
      <c r="V181" s="194" t="n"/>
      <c r="W181" s="194" t="n"/>
      <c r="X181" s="194" t="n"/>
      <c r="Y181" s="194" t="n"/>
      <c r="Z181" s="194" t="n"/>
    </row>
    <row r="182" ht="15.75" customHeight="1" s="195">
      <c r="V182" s="194" t="n"/>
      <c r="W182" s="194" t="n"/>
      <c r="X182" s="194" t="n"/>
      <c r="Y182" s="194" t="n"/>
      <c r="Z182" s="194" t="n"/>
    </row>
    <row r="183" ht="15.75" customHeight="1" s="195">
      <c r="V183" s="194" t="n"/>
      <c r="W183" s="194" t="n"/>
      <c r="X183" s="194" t="n"/>
      <c r="Y183" s="194" t="n"/>
      <c r="Z183" s="194" t="n"/>
    </row>
    <row r="184" ht="15.75" customHeight="1" s="195">
      <c r="V184" s="194" t="n"/>
      <c r="W184" s="194" t="n"/>
      <c r="X184" s="194" t="n"/>
      <c r="Y184" s="194" t="n"/>
      <c r="Z184" s="194" t="n"/>
    </row>
    <row r="185" ht="15.75" customHeight="1" s="195">
      <c r="V185" s="194" t="n"/>
      <c r="W185" s="194" t="n"/>
      <c r="X185" s="194" t="n"/>
      <c r="Y185" s="194" t="n"/>
      <c r="Z185" s="194" t="n"/>
    </row>
    <row r="186" ht="15.75" customHeight="1" s="195">
      <c r="V186" s="194" t="n"/>
      <c r="W186" s="194" t="n"/>
      <c r="X186" s="194" t="n"/>
      <c r="Y186" s="194" t="n"/>
      <c r="Z186" s="194" t="n"/>
    </row>
    <row r="187" ht="15.75" customHeight="1" s="195">
      <c r="V187" s="194" t="n"/>
      <c r="W187" s="194" t="n"/>
      <c r="X187" s="194" t="n"/>
      <c r="Y187" s="194" t="n"/>
      <c r="Z187" s="194" t="n"/>
    </row>
    <row r="188" ht="15.75" customHeight="1" s="195">
      <c r="V188" s="194" t="n"/>
      <c r="W188" s="194" t="n"/>
      <c r="X188" s="194" t="n"/>
      <c r="Y188" s="194" t="n"/>
      <c r="Z188" s="194" t="n"/>
    </row>
    <row r="189" ht="15.75" customHeight="1" s="195">
      <c r="V189" s="194" t="n"/>
      <c r="W189" s="194" t="n"/>
      <c r="X189" s="194" t="n"/>
      <c r="Y189" s="194" t="n"/>
      <c r="Z189" s="194" t="n"/>
    </row>
    <row r="190" ht="15.75" customHeight="1" s="195">
      <c r="V190" s="194" t="n"/>
      <c r="W190" s="194" t="n"/>
      <c r="X190" s="194" t="n"/>
      <c r="Y190" s="194" t="n"/>
      <c r="Z190" s="194" t="n"/>
    </row>
    <row r="191" ht="15.75" customHeight="1" s="195">
      <c r="V191" s="194" t="n"/>
      <c r="W191" s="194" t="n"/>
      <c r="X191" s="194" t="n"/>
      <c r="Y191" s="194" t="n"/>
      <c r="Z191" s="194" t="n"/>
    </row>
    <row r="192" ht="15.75" customHeight="1" s="195">
      <c r="V192" s="194" t="n"/>
      <c r="W192" s="194" t="n"/>
      <c r="X192" s="194" t="n"/>
      <c r="Y192" s="194" t="n"/>
      <c r="Z192" s="194" t="n"/>
    </row>
    <row r="193" ht="15.75" customHeight="1" s="195">
      <c r="V193" s="194" t="n"/>
      <c r="W193" s="194" t="n"/>
      <c r="X193" s="194" t="n"/>
      <c r="Y193" s="194" t="n"/>
      <c r="Z193" s="194" t="n"/>
    </row>
    <row r="194" ht="15.75" customHeight="1" s="195">
      <c r="V194" s="194" t="n"/>
      <c r="W194" s="194" t="n"/>
      <c r="X194" s="194" t="n"/>
      <c r="Y194" s="194" t="n"/>
      <c r="Z194" s="194" t="n"/>
    </row>
    <row r="195" ht="15.75" customHeight="1" s="195">
      <c r="V195" s="194" t="n"/>
      <c r="W195" s="194" t="n"/>
      <c r="X195" s="194" t="n"/>
      <c r="Y195" s="194" t="n"/>
      <c r="Z195" s="194" t="n"/>
    </row>
    <row r="196" ht="15.75" customHeight="1" s="195">
      <c r="V196" s="194" t="n"/>
      <c r="W196" s="194" t="n"/>
      <c r="X196" s="194" t="n"/>
      <c r="Y196" s="194" t="n"/>
      <c r="Z196" s="194" t="n"/>
    </row>
    <row r="197" ht="15.75" customHeight="1" s="195">
      <c r="V197" s="194" t="n"/>
      <c r="W197" s="194" t="n"/>
      <c r="X197" s="194" t="n"/>
      <c r="Y197" s="194" t="n"/>
      <c r="Z197" s="194" t="n"/>
    </row>
    <row r="198" ht="15.75" customHeight="1" s="195">
      <c r="V198" s="194" t="n"/>
      <c r="W198" s="194" t="n"/>
      <c r="X198" s="194" t="n"/>
      <c r="Y198" s="194" t="n"/>
      <c r="Z198" s="194" t="n"/>
    </row>
    <row r="199" ht="15.75" customHeight="1" s="195">
      <c r="V199" s="194" t="n"/>
      <c r="W199" s="194" t="n"/>
      <c r="X199" s="194" t="n"/>
      <c r="Y199" s="194" t="n"/>
      <c r="Z199" s="194" t="n"/>
    </row>
    <row r="200" ht="15.75" customHeight="1" s="195">
      <c r="V200" s="194" t="n"/>
      <c r="W200" s="194" t="n"/>
      <c r="X200" s="194" t="n"/>
      <c r="Y200" s="194" t="n"/>
      <c r="Z200" s="194" t="n"/>
    </row>
    <row r="201" ht="15.75" customHeight="1" s="195">
      <c r="V201" s="194" t="n"/>
      <c r="W201" s="194" t="n"/>
      <c r="X201" s="194" t="n"/>
      <c r="Y201" s="194" t="n"/>
      <c r="Z201" s="194" t="n"/>
    </row>
    <row r="202" ht="15.75" customHeight="1" s="195">
      <c r="V202" s="194" t="n"/>
      <c r="W202" s="194" t="n"/>
      <c r="X202" s="194" t="n"/>
      <c r="Y202" s="194" t="n"/>
      <c r="Z202" s="194" t="n"/>
    </row>
    <row r="203" ht="15.75" customHeight="1" s="195">
      <c r="V203" s="194" t="n"/>
      <c r="W203" s="194" t="n"/>
      <c r="X203" s="194" t="n"/>
      <c r="Y203" s="194" t="n"/>
      <c r="Z203" s="194" t="n"/>
    </row>
    <row r="204" ht="15.75" customHeight="1" s="195">
      <c r="V204" s="194" t="n"/>
      <c r="W204" s="194" t="n"/>
      <c r="X204" s="194" t="n"/>
      <c r="Y204" s="194" t="n"/>
      <c r="Z204" s="194" t="n"/>
    </row>
    <row r="205" ht="15.75" customHeight="1" s="195">
      <c r="V205" s="194" t="n"/>
      <c r="W205" s="194" t="n"/>
      <c r="X205" s="194" t="n"/>
      <c r="Y205" s="194" t="n"/>
      <c r="Z205" s="194" t="n"/>
    </row>
    <row r="206" ht="15.75" customHeight="1" s="195">
      <c r="V206" s="194" t="n"/>
      <c r="W206" s="194" t="n"/>
      <c r="X206" s="194" t="n"/>
      <c r="Y206" s="194" t="n"/>
      <c r="Z206" s="194" t="n"/>
    </row>
    <row r="207" ht="15.75" customHeight="1" s="195">
      <c r="V207" s="194" t="n"/>
      <c r="W207" s="194" t="n"/>
      <c r="X207" s="194" t="n"/>
      <c r="Y207" s="194" t="n"/>
      <c r="Z207" s="194" t="n"/>
    </row>
    <row r="208" ht="15.75" customHeight="1" s="195">
      <c r="V208" s="194" t="n"/>
      <c r="W208" s="194" t="n"/>
      <c r="X208" s="194" t="n"/>
      <c r="Y208" s="194" t="n"/>
      <c r="Z208" s="194" t="n"/>
    </row>
    <row r="209" ht="15.75" customHeight="1" s="195">
      <c r="V209" s="194" t="n"/>
      <c r="W209" s="194" t="n"/>
      <c r="X209" s="194" t="n"/>
      <c r="Y209" s="194" t="n"/>
      <c r="Z209" s="194" t="n"/>
    </row>
    <row r="210" ht="15.75" customHeight="1" s="195">
      <c r="V210" s="194" t="n"/>
      <c r="W210" s="194" t="n"/>
      <c r="X210" s="194" t="n"/>
      <c r="Y210" s="194" t="n"/>
      <c r="Z210" s="194" t="n"/>
    </row>
    <row r="211" ht="15.75" customHeight="1" s="195">
      <c r="V211" s="194" t="n"/>
      <c r="W211" s="194" t="n"/>
      <c r="X211" s="194" t="n"/>
      <c r="Y211" s="194" t="n"/>
      <c r="Z211" s="194" t="n"/>
    </row>
    <row r="212" ht="15.75" customHeight="1" s="195">
      <c r="V212" s="194" t="n"/>
      <c r="W212" s="194" t="n"/>
      <c r="X212" s="194" t="n"/>
      <c r="Y212" s="194" t="n"/>
      <c r="Z212" s="194" t="n"/>
    </row>
    <row r="213" ht="15.75" customHeight="1" s="195">
      <c r="V213" s="194" t="n"/>
      <c r="W213" s="194" t="n"/>
      <c r="X213" s="194" t="n"/>
      <c r="Y213" s="194" t="n"/>
      <c r="Z213" s="194" t="n"/>
    </row>
    <row r="214" ht="15.75" customHeight="1" s="195">
      <c r="V214" s="194" t="n"/>
      <c r="W214" s="194" t="n"/>
      <c r="X214" s="194" t="n"/>
      <c r="Y214" s="194" t="n"/>
      <c r="Z214" s="194" t="n"/>
    </row>
    <row r="215" ht="15.75" customHeight="1" s="195">
      <c r="V215" s="194" t="n"/>
      <c r="W215" s="194" t="n"/>
      <c r="X215" s="194" t="n"/>
      <c r="Y215" s="194" t="n"/>
      <c r="Z215" s="194" t="n"/>
    </row>
    <row r="216" ht="15.75" customHeight="1" s="195">
      <c r="V216" s="194" t="n"/>
      <c r="W216" s="194" t="n"/>
      <c r="X216" s="194" t="n"/>
      <c r="Y216" s="194" t="n"/>
      <c r="Z216" s="194" t="n"/>
    </row>
    <row r="217" ht="15.75" customHeight="1" s="195">
      <c r="V217" s="194" t="n"/>
      <c r="W217" s="194" t="n"/>
      <c r="X217" s="194" t="n"/>
      <c r="Y217" s="194" t="n"/>
      <c r="Z217" s="194" t="n"/>
    </row>
    <row r="218" ht="15.75" customHeight="1" s="195">
      <c r="V218" s="194" t="n"/>
      <c r="W218" s="194" t="n"/>
      <c r="X218" s="194" t="n"/>
      <c r="Y218" s="194" t="n"/>
      <c r="Z218" s="194" t="n"/>
    </row>
    <row r="219" ht="15.75" customHeight="1" s="195">
      <c r="V219" s="194" t="n"/>
      <c r="W219" s="194" t="n"/>
      <c r="X219" s="194" t="n"/>
      <c r="Y219" s="194" t="n"/>
      <c r="Z219" s="194" t="n"/>
    </row>
    <row r="220" ht="15.75" customHeight="1" s="195">
      <c r="V220" s="194" t="n"/>
      <c r="W220" s="194" t="n"/>
      <c r="X220" s="194" t="n"/>
      <c r="Y220" s="194" t="n"/>
      <c r="Z220" s="194" t="n"/>
    </row>
    <row r="221" ht="15.75" customHeight="1" s="195">
      <c r="V221" s="194" t="n"/>
      <c r="W221" s="194" t="n"/>
      <c r="X221" s="194" t="n"/>
      <c r="Y221" s="194" t="n"/>
      <c r="Z221" s="194" t="n"/>
    </row>
    <row r="222" ht="15.75" customHeight="1" s="195">
      <c r="V222" s="194" t="n"/>
      <c r="W222" s="194" t="n"/>
      <c r="X222" s="194" t="n"/>
      <c r="Y222" s="194" t="n"/>
      <c r="Z222" s="194" t="n"/>
    </row>
    <row r="223" ht="15.75" customHeight="1" s="195">
      <c r="V223" s="194" t="n"/>
      <c r="W223" s="194" t="n"/>
      <c r="X223" s="194" t="n"/>
      <c r="Y223" s="194" t="n"/>
      <c r="Z223" s="194" t="n"/>
    </row>
    <row r="224" ht="15.75" customHeight="1" s="195">
      <c r="V224" s="194" t="n"/>
      <c r="W224" s="194" t="n"/>
      <c r="X224" s="194" t="n"/>
      <c r="Y224" s="194" t="n"/>
      <c r="Z224" s="194" t="n"/>
    </row>
    <row r="225" ht="15.75" customHeight="1" s="195">
      <c r="V225" s="194" t="n"/>
      <c r="W225" s="194" t="n"/>
      <c r="X225" s="194" t="n"/>
      <c r="Y225" s="194" t="n"/>
      <c r="Z225" s="194" t="n"/>
    </row>
    <row r="226" ht="15.75" customHeight="1" s="195">
      <c r="V226" s="194" t="n"/>
      <c r="W226" s="194" t="n"/>
      <c r="X226" s="194" t="n"/>
      <c r="Y226" s="194" t="n"/>
      <c r="Z226" s="194" t="n"/>
    </row>
    <row r="227" ht="15.75" customHeight="1" s="195">
      <c r="V227" s="194" t="n"/>
      <c r="W227" s="194" t="n"/>
      <c r="X227" s="194" t="n"/>
      <c r="Y227" s="194" t="n"/>
      <c r="Z227" s="194" t="n"/>
    </row>
    <row r="228" ht="15.75" customHeight="1" s="195">
      <c r="V228" s="194" t="n"/>
      <c r="W228" s="194" t="n"/>
      <c r="X228" s="194" t="n"/>
      <c r="Y228" s="194" t="n"/>
      <c r="Z228" s="194" t="n"/>
    </row>
    <row r="229" ht="15.75" customHeight="1" s="195">
      <c r="V229" s="194" t="n"/>
      <c r="W229" s="194" t="n"/>
      <c r="X229" s="194" t="n"/>
      <c r="Y229" s="194" t="n"/>
      <c r="Z229" s="194" t="n"/>
    </row>
    <row r="230" ht="15.75" customHeight="1" s="195">
      <c r="V230" s="194" t="n"/>
      <c r="W230" s="194" t="n"/>
      <c r="X230" s="194" t="n"/>
      <c r="Y230" s="194" t="n"/>
      <c r="Z230" s="194" t="n"/>
    </row>
    <row r="231" ht="15.75" customHeight="1" s="195">
      <c r="V231" s="194" t="n"/>
      <c r="W231" s="194" t="n"/>
      <c r="X231" s="194" t="n"/>
      <c r="Y231" s="194" t="n"/>
      <c r="Z231" s="194" t="n"/>
    </row>
    <row r="232" ht="15.75" customHeight="1" s="195">
      <c r="V232" s="194" t="n"/>
      <c r="W232" s="194" t="n"/>
      <c r="X232" s="194" t="n"/>
      <c r="Y232" s="194" t="n"/>
      <c r="Z232" s="194" t="n"/>
    </row>
    <row r="233" ht="15.75" customHeight="1" s="195">
      <c r="V233" s="194" t="n"/>
      <c r="W233" s="194" t="n"/>
      <c r="X233" s="194" t="n"/>
      <c r="Y233" s="194" t="n"/>
      <c r="Z233" s="194" t="n"/>
    </row>
    <row r="234" ht="15.75" customHeight="1" s="195">
      <c r="V234" s="194" t="n"/>
      <c r="W234" s="194" t="n"/>
      <c r="X234" s="194" t="n"/>
      <c r="Y234" s="194" t="n"/>
      <c r="Z234" s="194" t="n"/>
    </row>
    <row r="235" ht="15.75" customHeight="1" s="195">
      <c r="V235" s="194" t="n"/>
      <c r="W235" s="194" t="n"/>
      <c r="X235" s="194" t="n"/>
      <c r="Y235" s="194" t="n"/>
      <c r="Z235" s="194" t="n"/>
    </row>
    <row r="236" ht="15.75" customHeight="1" s="195">
      <c r="V236" s="194" t="n"/>
      <c r="W236" s="194" t="n"/>
      <c r="X236" s="194" t="n"/>
      <c r="Y236" s="194" t="n"/>
      <c r="Z236" s="194" t="n"/>
    </row>
    <row r="237" ht="15.75" customHeight="1" s="195">
      <c r="V237" s="194" t="n"/>
      <c r="W237" s="194" t="n"/>
      <c r="X237" s="194" t="n"/>
      <c r="Y237" s="194" t="n"/>
      <c r="Z237" s="194" t="n"/>
    </row>
    <row r="238" ht="15.75" customHeight="1" s="195">
      <c r="V238" s="194" t="n"/>
      <c r="W238" s="194" t="n"/>
      <c r="X238" s="194" t="n"/>
      <c r="Y238" s="194" t="n"/>
      <c r="Z238" s="194" t="n"/>
    </row>
    <row r="239" ht="15.75" customHeight="1" s="195">
      <c r="V239" s="194" t="n"/>
      <c r="W239" s="194" t="n"/>
      <c r="X239" s="194" t="n"/>
      <c r="Y239" s="194" t="n"/>
      <c r="Z239" s="194" t="n"/>
    </row>
    <row r="240" ht="15.75" customHeight="1" s="195">
      <c r="V240" s="194" t="n"/>
      <c r="W240" s="194" t="n"/>
      <c r="X240" s="194" t="n"/>
      <c r="Y240" s="194" t="n"/>
      <c r="Z240" s="194" t="n"/>
    </row>
    <row r="241" ht="15.75" customHeight="1" s="195">
      <c r="V241" s="194" t="n"/>
      <c r="W241" s="194" t="n"/>
      <c r="X241" s="194" t="n"/>
      <c r="Y241" s="194" t="n"/>
      <c r="Z241" s="194" t="n"/>
    </row>
    <row r="242" ht="15.75" customHeight="1" s="195">
      <c r="V242" s="194" t="n"/>
      <c r="W242" s="194" t="n"/>
      <c r="X242" s="194" t="n"/>
      <c r="Y242" s="194" t="n"/>
      <c r="Z242" s="194" t="n"/>
    </row>
    <row r="243" ht="15.75" customHeight="1" s="195">
      <c r="V243" s="194" t="n"/>
      <c r="W243" s="194" t="n"/>
      <c r="X243" s="194" t="n"/>
      <c r="Y243" s="194" t="n"/>
      <c r="Z243" s="194" t="n"/>
    </row>
    <row r="244" ht="15.75" customHeight="1" s="195">
      <c r="V244" s="194" t="n"/>
      <c r="W244" s="194" t="n"/>
      <c r="X244" s="194" t="n"/>
      <c r="Y244" s="194" t="n"/>
      <c r="Z244" s="194" t="n"/>
    </row>
    <row r="245" ht="15.75" customHeight="1" s="195">
      <c r="V245" s="194" t="n"/>
      <c r="W245" s="194" t="n"/>
      <c r="X245" s="194" t="n"/>
      <c r="Y245" s="194" t="n"/>
      <c r="Z245" s="194" t="n"/>
    </row>
    <row r="246" ht="15.75" customHeight="1" s="195">
      <c r="V246" s="194" t="n"/>
      <c r="W246" s="194" t="n"/>
      <c r="X246" s="194" t="n"/>
      <c r="Y246" s="194" t="n"/>
      <c r="Z246" s="194" t="n"/>
    </row>
    <row r="247" ht="15.75" customHeight="1" s="195">
      <c r="V247" s="194" t="n"/>
      <c r="W247" s="194" t="n"/>
      <c r="X247" s="194" t="n"/>
      <c r="Y247" s="194" t="n"/>
      <c r="Z247" s="194" t="n"/>
    </row>
    <row r="248" ht="15.75" customHeight="1" s="195">
      <c r="V248" s="194" t="n"/>
      <c r="W248" s="194" t="n"/>
      <c r="X248" s="194" t="n"/>
      <c r="Y248" s="194" t="n"/>
      <c r="Z248" s="194" t="n"/>
    </row>
    <row r="249" ht="15.75" customHeight="1" s="195">
      <c r="V249" s="194" t="n"/>
      <c r="W249" s="194" t="n"/>
      <c r="X249" s="194" t="n"/>
      <c r="Y249" s="194" t="n"/>
      <c r="Z249" s="194" t="n"/>
    </row>
    <row r="250" ht="15.75" customHeight="1" s="195">
      <c r="V250" s="194" t="n"/>
      <c r="W250" s="194" t="n"/>
      <c r="X250" s="194" t="n"/>
      <c r="Y250" s="194" t="n"/>
      <c r="Z250" s="194" t="n"/>
    </row>
    <row r="251" ht="15.75" customHeight="1" s="195">
      <c r="V251" s="194" t="n"/>
      <c r="W251" s="194" t="n"/>
      <c r="X251" s="194" t="n"/>
      <c r="Y251" s="194" t="n"/>
      <c r="Z251" s="194" t="n"/>
    </row>
    <row r="252" ht="15.75" customHeight="1" s="195">
      <c r="V252" s="194" t="n"/>
      <c r="W252" s="194" t="n"/>
      <c r="X252" s="194" t="n"/>
      <c r="Y252" s="194" t="n"/>
      <c r="Z252" s="194" t="n"/>
    </row>
    <row r="253" ht="15.75" customHeight="1" s="195">
      <c r="V253" s="194" t="n"/>
      <c r="W253" s="194" t="n"/>
      <c r="X253" s="194" t="n"/>
      <c r="Y253" s="194" t="n"/>
      <c r="Z253" s="194" t="n"/>
    </row>
    <row r="254" ht="15.75" customHeight="1" s="195">
      <c r="V254" s="194" t="n"/>
      <c r="W254" s="194" t="n"/>
      <c r="X254" s="194" t="n"/>
      <c r="Y254" s="194" t="n"/>
      <c r="Z254" s="194" t="n"/>
    </row>
    <row r="255" ht="15.75" customHeight="1" s="195">
      <c r="V255" s="194" t="n"/>
      <c r="W255" s="194" t="n"/>
      <c r="X255" s="194" t="n"/>
      <c r="Y255" s="194" t="n"/>
      <c r="Z255" s="194" t="n"/>
    </row>
    <row r="256" ht="15.75" customHeight="1" s="195"/>
    <row r="257" ht="15.75" customHeight="1" s="195"/>
    <row r="258" ht="15.75" customHeight="1" s="195"/>
    <row r="259" ht="15.75" customHeight="1" s="195"/>
    <row r="260" ht="15.75" customHeight="1" s="195"/>
    <row r="261" ht="15.75" customHeight="1" s="195"/>
    <row r="262" ht="15.75" customHeight="1" s="195"/>
    <row r="263" ht="15.75" customHeight="1" s="195"/>
    <row r="264" ht="15.75" customHeight="1" s="195"/>
    <row r="265" ht="15.75" customHeight="1" s="195"/>
    <row r="266" ht="15.75" customHeight="1" s="195"/>
    <row r="267" ht="15.75" customHeight="1" s="195"/>
    <row r="268" ht="15.75" customHeight="1" s="195"/>
    <row r="269" ht="15.75" customHeight="1" s="195"/>
    <row r="270" ht="15.75" customHeight="1" s="195"/>
    <row r="271" ht="15.75" customHeight="1" s="195"/>
    <row r="272" ht="15.75" customHeight="1" s="195"/>
    <row r="273" ht="15.75" customHeight="1" s="195"/>
    <row r="274" ht="15.75" customHeight="1" s="195"/>
    <row r="275" ht="15.75" customHeight="1" s="195"/>
    <row r="276" ht="15.75" customHeight="1" s="195"/>
    <row r="277" ht="15.75" customHeight="1" s="195"/>
    <row r="278" ht="15.75" customHeight="1" s="195"/>
    <row r="279" ht="15.75" customHeight="1" s="195"/>
    <row r="280" ht="15.75" customHeight="1" s="195"/>
    <row r="281" ht="15.75" customHeight="1" s="195"/>
    <row r="282" ht="15.75" customHeight="1" s="195"/>
    <row r="283" ht="15.75" customHeight="1" s="195"/>
    <row r="284" ht="15.75" customHeight="1" s="195"/>
    <row r="285" ht="15.75" customHeight="1" s="195"/>
    <row r="286" ht="15.75" customHeight="1" s="195"/>
    <row r="287" ht="15.75" customHeight="1" s="195"/>
    <row r="288" ht="15.75" customHeight="1" s="195"/>
    <row r="289" ht="15.75" customHeight="1" s="195"/>
    <row r="290" ht="15.75" customHeight="1" s="195"/>
    <row r="291" ht="15.75" customHeight="1" s="195"/>
    <row r="292" ht="15.75" customHeight="1" s="195"/>
    <row r="293" ht="15.75" customHeight="1" s="195"/>
    <row r="294" ht="15.75" customHeight="1" s="195"/>
    <row r="295" ht="15.75" customHeight="1" s="195"/>
    <row r="296" ht="15.75" customHeight="1" s="195"/>
    <row r="297" ht="15.75" customHeight="1" s="195"/>
    <row r="298" ht="15.75" customHeight="1" s="195"/>
    <row r="299" ht="15.75" customHeight="1" s="195"/>
    <row r="300" ht="15.75" customHeight="1" s="195"/>
    <row r="301" ht="15.75" customHeight="1" s="195"/>
    <row r="302" ht="15.75" customHeight="1" s="195"/>
    <row r="303" ht="15.75" customHeight="1" s="195"/>
    <row r="304" ht="15.75" customHeight="1" s="195"/>
    <row r="305" ht="15.75" customHeight="1" s="195"/>
    <row r="306" ht="15.75" customHeight="1" s="195"/>
    <row r="307" ht="15.75" customHeight="1" s="195"/>
    <row r="308" ht="15.75" customHeight="1" s="195"/>
    <row r="309" ht="15.75" customHeight="1" s="195"/>
    <row r="310" ht="15.75" customHeight="1" s="195"/>
    <row r="311" ht="15.75" customHeight="1" s="195"/>
    <row r="312" ht="15.75" customHeight="1" s="195"/>
    <row r="313" ht="15.75" customHeight="1" s="195"/>
    <row r="314" ht="15.75" customHeight="1" s="195"/>
    <row r="315" ht="15.75" customHeight="1" s="195"/>
    <row r="316" ht="15.75" customHeight="1" s="195"/>
    <row r="317" ht="15.75" customHeight="1" s="195"/>
    <row r="318" ht="15.75" customHeight="1" s="195"/>
    <row r="319" ht="15.75" customHeight="1" s="195"/>
    <row r="320" ht="15.75" customHeight="1" s="195"/>
    <row r="321" ht="15.75" customHeight="1" s="195"/>
    <row r="322" ht="15.75" customHeight="1" s="195"/>
    <row r="323" ht="15.75" customHeight="1" s="195"/>
    <row r="324" ht="15.75" customHeight="1" s="195"/>
    <row r="325" ht="15.75" customHeight="1" s="195"/>
    <row r="326" ht="15.75" customHeight="1" s="195"/>
    <row r="327" ht="15.75" customHeight="1" s="195"/>
    <row r="328" ht="15.75" customHeight="1" s="195"/>
    <row r="329" ht="15.75" customHeight="1" s="195"/>
    <row r="330" ht="15.75" customHeight="1" s="195"/>
    <row r="331" ht="15.75" customHeight="1" s="195"/>
    <row r="332" ht="15.75" customHeight="1" s="195"/>
    <row r="333" ht="15.75" customHeight="1" s="195"/>
    <row r="334" ht="15.75" customHeight="1" s="195"/>
    <row r="335" ht="15.75" customHeight="1" s="195"/>
    <row r="336" ht="15.75" customHeight="1" s="195"/>
    <row r="337" ht="15.75" customHeight="1" s="195"/>
    <row r="338" ht="15.75" customHeight="1" s="195"/>
    <row r="339" ht="15.75" customHeight="1" s="195"/>
    <row r="340" ht="15.75" customHeight="1" s="195"/>
    <row r="341" ht="15.75" customHeight="1" s="195"/>
    <row r="342" ht="15.75" customHeight="1" s="195"/>
    <row r="343" ht="15.75" customHeight="1" s="195"/>
    <row r="344" ht="15.75" customHeight="1" s="195"/>
    <row r="345" ht="15.75" customHeight="1" s="195"/>
    <row r="346" ht="15.75" customHeight="1" s="195"/>
    <row r="347" ht="15.75" customHeight="1" s="195"/>
    <row r="348" ht="15.75" customHeight="1" s="195"/>
    <row r="349" ht="15.75" customHeight="1" s="195"/>
    <row r="350" ht="15.75" customHeight="1" s="195"/>
    <row r="351" ht="15.75" customHeight="1" s="195"/>
    <row r="352" ht="15.75" customHeight="1" s="195"/>
    <row r="353" ht="15.75" customHeight="1" s="195"/>
    <row r="354" ht="15.75" customHeight="1" s="195"/>
    <row r="355" ht="15.75" customHeight="1" s="195"/>
    <row r="356" ht="15.75" customHeight="1" s="195"/>
    <row r="357" ht="15.75" customHeight="1" s="195"/>
    <row r="358" ht="15.75" customHeight="1" s="195"/>
    <row r="359" ht="15.75" customHeight="1" s="195"/>
    <row r="360" ht="15.75" customHeight="1" s="195"/>
    <row r="361" ht="15.75" customHeight="1" s="195"/>
    <row r="362" ht="15.75" customHeight="1" s="195"/>
    <row r="363" ht="15.75" customHeight="1" s="195"/>
    <row r="364" ht="15.75" customHeight="1" s="195"/>
    <row r="365" ht="15.75" customHeight="1" s="195"/>
    <row r="366" ht="15.75" customHeight="1" s="195"/>
    <row r="367" ht="15.75" customHeight="1" s="195"/>
    <row r="368" ht="15.75" customHeight="1" s="195"/>
    <row r="369" ht="15.75" customHeight="1" s="195"/>
    <row r="370" ht="15.75" customHeight="1" s="195"/>
    <row r="371" ht="15.75" customHeight="1" s="195"/>
    <row r="372" ht="15.75" customHeight="1" s="195"/>
    <row r="373" ht="15.75" customHeight="1" s="195"/>
    <row r="374" ht="15.75" customHeight="1" s="195"/>
    <row r="375" ht="15.75" customHeight="1" s="195"/>
    <row r="376" ht="15.75" customHeight="1" s="195"/>
    <row r="377" ht="15.75" customHeight="1" s="195"/>
    <row r="378" ht="15.75" customHeight="1" s="195"/>
    <row r="379" ht="15.75" customHeight="1" s="195"/>
    <row r="380" ht="15.75" customHeight="1" s="195"/>
    <row r="381" ht="15.75" customHeight="1" s="195"/>
    <row r="382" ht="15.75" customHeight="1" s="195"/>
    <row r="383" ht="15.75" customHeight="1" s="195"/>
    <row r="384" ht="15.75" customHeight="1" s="195"/>
    <row r="385" ht="15.75" customHeight="1" s="195"/>
    <row r="386" ht="15.75" customHeight="1" s="195"/>
    <row r="387" ht="15.75" customHeight="1" s="195"/>
    <row r="388" ht="15.75" customHeight="1" s="195"/>
    <row r="389" ht="15.75" customHeight="1" s="195"/>
    <row r="390" ht="15.75" customHeight="1" s="195"/>
    <row r="391" ht="15.75" customHeight="1" s="195"/>
    <row r="392" ht="15.75" customHeight="1" s="195"/>
    <row r="393" ht="15.75" customHeight="1" s="195"/>
    <row r="394" ht="15.75" customHeight="1" s="195"/>
    <row r="395" ht="15.75" customHeight="1" s="195"/>
    <row r="396" ht="15.75" customHeight="1" s="195"/>
    <row r="397" ht="15.75" customHeight="1" s="195"/>
    <row r="398" ht="15.75" customHeight="1" s="195"/>
    <row r="399" ht="15.75" customHeight="1" s="195"/>
    <row r="400" ht="15.75" customHeight="1" s="195"/>
    <row r="401" ht="15.75" customHeight="1" s="195"/>
    <row r="402" ht="15.75" customHeight="1" s="195"/>
    <row r="403" ht="15.75" customHeight="1" s="195"/>
    <row r="404" ht="15.75" customHeight="1" s="195"/>
    <row r="405" ht="15.75" customHeight="1" s="195"/>
    <row r="406" ht="15.75" customHeight="1" s="195"/>
    <row r="407" ht="15.75" customHeight="1" s="195"/>
    <row r="408" ht="15.75" customHeight="1" s="195"/>
    <row r="409" ht="15.75" customHeight="1" s="195"/>
    <row r="410" ht="15.75" customHeight="1" s="195"/>
    <row r="411" ht="15.75" customHeight="1" s="195"/>
    <row r="412" ht="15.75" customHeight="1" s="195"/>
    <row r="413" ht="15.75" customHeight="1" s="195"/>
    <row r="414" ht="15.75" customHeight="1" s="195"/>
    <row r="415" ht="15.75" customHeight="1" s="195"/>
    <row r="416" ht="15.75" customHeight="1" s="195"/>
    <row r="417" ht="15.75" customHeight="1" s="195"/>
    <row r="418" ht="15.75" customHeight="1" s="195"/>
    <row r="419" ht="15.75" customHeight="1" s="195"/>
    <row r="420" ht="15.75" customHeight="1" s="195"/>
    <row r="421" ht="15.75" customHeight="1" s="195"/>
    <row r="422" ht="15.75" customHeight="1" s="195"/>
    <row r="423" ht="15.75" customHeight="1" s="195"/>
    <row r="424" ht="15.75" customHeight="1" s="195"/>
    <row r="425" ht="15.75" customHeight="1" s="195"/>
    <row r="426" ht="15.75" customHeight="1" s="195"/>
    <row r="427" ht="15.75" customHeight="1" s="195"/>
    <row r="428" ht="15.75" customHeight="1" s="195"/>
    <row r="429" ht="15.75" customHeight="1" s="195"/>
    <row r="430" ht="15.75" customHeight="1" s="195"/>
    <row r="431" ht="15.75" customHeight="1" s="195"/>
    <row r="432" ht="15.75" customHeight="1" s="195"/>
    <row r="433" ht="15.75" customHeight="1" s="195"/>
    <row r="434" ht="15.75" customHeight="1" s="195"/>
    <row r="435" ht="15.75" customHeight="1" s="195"/>
    <row r="436" ht="15.75" customHeight="1" s="195"/>
    <row r="437" ht="15.75" customHeight="1" s="195"/>
    <row r="438" ht="15.75" customHeight="1" s="195"/>
    <row r="439" ht="15.75" customHeight="1" s="195"/>
    <row r="440" ht="15.75" customHeight="1" s="195"/>
    <row r="441" ht="15.75" customHeight="1" s="195"/>
    <row r="442" ht="15.75" customHeight="1" s="195"/>
    <row r="443" ht="15.75" customHeight="1" s="195"/>
    <row r="444" ht="15.75" customHeight="1" s="195"/>
    <row r="445" ht="15.75" customHeight="1" s="195"/>
    <row r="446" ht="15.75" customHeight="1" s="195"/>
    <row r="447" ht="15.75" customHeight="1" s="195"/>
    <row r="448" ht="15.75" customHeight="1" s="195"/>
    <row r="449" ht="15.75" customHeight="1" s="195"/>
    <row r="450" ht="15.75" customHeight="1" s="195"/>
    <row r="451" ht="15.75" customHeight="1" s="195"/>
    <row r="452" ht="15.75" customHeight="1" s="195"/>
    <row r="453" ht="15.75" customHeight="1" s="195"/>
    <row r="454" ht="15.75" customHeight="1" s="195"/>
    <row r="455" ht="15.75" customHeight="1" s="195"/>
    <row r="456" ht="15.75" customHeight="1" s="195"/>
    <row r="457" ht="15.75" customHeight="1" s="195"/>
    <row r="458" ht="15.75" customHeight="1" s="195"/>
    <row r="459" ht="15.75" customHeight="1" s="195"/>
    <row r="460" ht="15.75" customHeight="1" s="195"/>
    <row r="461" ht="15.75" customHeight="1" s="195"/>
    <row r="462" ht="15.75" customHeight="1" s="195"/>
    <row r="463" ht="15.75" customHeight="1" s="195"/>
    <row r="464" ht="15.75" customHeight="1" s="195"/>
    <row r="465" ht="15.75" customHeight="1" s="195"/>
    <row r="466" ht="15.75" customHeight="1" s="195"/>
    <row r="467" ht="15.75" customHeight="1" s="195"/>
    <row r="468" ht="15.75" customHeight="1" s="195"/>
    <row r="469" ht="15.75" customHeight="1" s="195"/>
    <row r="470" ht="15.75" customHeight="1" s="195"/>
    <row r="471" ht="15.75" customHeight="1" s="195"/>
    <row r="472" ht="15.75" customHeight="1" s="195"/>
    <row r="473" ht="15.75" customHeight="1" s="195"/>
    <row r="474" ht="15.75" customHeight="1" s="195"/>
    <row r="475" ht="15.75" customHeight="1" s="195"/>
    <row r="476" ht="15.75" customHeight="1" s="195"/>
    <row r="477" ht="15.75" customHeight="1" s="195"/>
    <row r="478" ht="15.75" customHeight="1" s="195"/>
    <row r="479" ht="15.75" customHeight="1" s="195"/>
    <row r="480" ht="15.75" customHeight="1" s="195"/>
    <row r="481" ht="15.75" customHeight="1" s="195"/>
    <row r="482" ht="15.75" customHeight="1" s="195"/>
    <row r="483" ht="15.75" customHeight="1" s="195"/>
    <row r="484" ht="15.75" customHeight="1" s="195"/>
    <row r="485" ht="15.75" customHeight="1" s="195"/>
    <row r="486" ht="15.75" customHeight="1" s="195"/>
    <row r="487" ht="15.75" customHeight="1" s="195"/>
    <row r="488" ht="15.75" customHeight="1" s="195"/>
    <row r="489" ht="15.75" customHeight="1" s="195"/>
    <row r="490" ht="15.75" customHeight="1" s="195"/>
    <row r="491" ht="15.75" customHeight="1" s="195"/>
    <row r="492" ht="15.75" customHeight="1" s="195"/>
    <row r="493" ht="15.75" customHeight="1" s="195"/>
    <row r="494" ht="15.75" customHeight="1" s="195"/>
    <row r="495" ht="15.75" customHeight="1" s="195"/>
    <row r="496" ht="15.75" customHeight="1" s="195"/>
    <row r="497" ht="15.75" customHeight="1" s="195"/>
    <row r="498" ht="15.75" customHeight="1" s="195"/>
    <row r="499" ht="15.75" customHeight="1" s="195"/>
    <row r="500" ht="15.75" customHeight="1" s="195"/>
    <row r="501" ht="15.75" customHeight="1" s="195"/>
    <row r="502" ht="15.75" customHeight="1" s="195"/>
    <row r="503" ht="15.75" customHeight="1" s="195"/>
    <row r="504" ht="15.75" customHeight="1" s="195"/>
    <row r="505" ht="15.75" customHeight="1" s="195"/>
    <row r="506" ht="15.75" customHeight="1" s="195"/>
    <row r="507" ht="15.75" customHeight="1" s="195"/>
    <row r="508" ht="15.75" customHeight="1" s="195"/>
    <row r="509" ht="15.75" customHeight="1" s="195"/>
    <row r="510" ht="15.75" customHeight="1" s="195"/>
    <row r="511" ht="15.75" customHeight="1" s="195"/>
    <row r="512" ht="15.75" customHeight="1" s="195"/>
    <row r="513" ht="15.75" customHeight="1" s="195"/>
    <row r="514" ht="15.75" customHeight="1" s="195"/>
    <row r="515" ht="15.75" customHeight="1" s="195"/>
    <row r="516" ht="15.75" customHeight="1" s="195"/>
    <row r="517" ht="15.75" customHeight="1" s="195"/>
    <row r="518" ht="15.75" customHeight="1" s="195"/>
    <row r="519" ht="15.75" customHeight="1" s="195"/>
    <row r="520" ht="15.75" customHeight="1" s="195"/>
    <row r="521" ht="15.75" customHeight="1" s="195"/>
    <row r="522" ht="15.75" customHeight="1" s="195"/>
    <row r="523" ht="15.75" customHeight="1" s="195"/>
    <row r="524" ht="15.75" customHeight="1" s="195"/>
    <row r="525" ht="15.75" customHeight="1" s="195"/>
    <row r="526" ht="15.75" customHeight="1" s="195"/>
    <row r="527" ht="15.75" customHeight="1" s="195"/>
    <row r="528" ht="15.75" customHeight="1" s="195"/>
    <row r="529" ht="15.75" customHeight="1" s="195"/>
    <row r="530" ht="15.75" customHeight="1" s="195"/>
    <row r="531" ht="15.75" customHeight="1" s="195"/>
    <row r="532" ht="15.75" customHeight="1" s="195"/>
    <row r="533" ht="15.75" customHeight="1" s="195"/>
    <row r="534" ht="15.75" customHeight="1" s="195"/>
    <row r="535" ht="15.75" customHeight="1" s="195"/>
    <row r="536" ht="15.75" customHeight="1" s="195"/>
    <row r="537" ht="15.75" customHeight="1" s="195"/>
    <row r="538" ht="15.75" customHeight="1" s="195"/>
    <row r="539" ht="15.75" customHeight="1" s="195"/>
    <row r="540" ht="15.75" customHeight="1" s="195"/>
    <row r="541" ht="15.75" customHeight="1" s="195"/>
    <row r="542" ht="15.75" customHeight="1" s="195"/>
    <row r="543" ht="15.75" customHeight="1" s="195"/>
    <row r="544" ht="15.75" customHeight="1" s="195"/>
    <row r="545" ht="15.75" customHeight="1" s="195"/>
    <row r="546" ht="15.75" customHeight="1" s="195"/>
    <row r="547" ht="15.75" customHeight="1" s="195"/>
    <row r="548" ht="15.75" customHeight="1" s="195"/>
    <row r="549" ht="15.75" customHeight="1" s="195"/>
    <row r="550" ht="15.75" customHeight="1" s="195"/>
    <row r="551" ht="15.75" customHeight="1" s="195"/>
    <row r="552" ht="15.75" customHeight="1" s="195"/>
    <row r="553" ht="15.75" customHeight="1" s="195"/>
    <row r="554" ht="15.75" customHeight="1" s="195"/>
    <row r="555" ht="15.75" customHeight="1" s="195"/>
    <row r="556" ht="15.75" customHeight="1" s="195"/>
    <row r="557" ht="15.75" customHeight="1" s="195"/>
    <row r="558" ht="15.75" customHeight="1" s="195"/>
    <row r="559" ht="15.75" customHeight="1" s="195"/>
    <row r="560" ht="15.75" customHeight="1" s="195"/>
    <row r="561" ht="15.75" customHeight="1" s="195"/>
    <row r="562" ht="15.75" customHeight="1" s="195"/>
    <row r="563" ht="15.75" customHeight="1" s="195"/>
    <row r="564" ht="15.75" customHeight="1" s="195"/>
    <row r="565" ht="15.75" customHeight="1" s="195"/>
    <row r="566" ht="15.75" customHeight="1" s="195"/>
    <row r="567" ht="15.75" customHeight="1" s="195"/>
    <row r="568" ht="15.75" customHeight="1" s="195"/>
    <row r="569" ht="15.75" customHeight="1" s="195"/>
    <row r="570" ht="15.75" customHeight="1" s="195"/>
    <row r="571" ht="15.75" customHeight="1" s="195"/>
    <row r="572" ht="15.75" customHeight="1" s="195"/>
    <row r="573" ht="15.75" customHeight="1" s="195"/>
    <row r="574" ht="15.75" customHeight="1" s="195"/>
    <row r="575" ht="15.75" customHeight="1" s="195"/>
    <row r="576" ht="15.75" customHeight="1" s="195"/>
    <row r="577" ht="15.75" customHeight="1" s="195"/>
    <row r="578" ht="15.75" customHeight="1" s="195"/>
    <row r="579" ht="15.75" customHeight="1" s="195"/>
    <row r="580" ht="15.75" customHeight="1" s="195"/>
    <row r="581" ht="15.75" customHeight="1" s="195"/>
    <row r="582" ht="15.75" customHeight="1" s="195"/>
    <row r="583" ht="15.75" customHeight="1" s="195"/>
    <row r="584" ht="15.75" customHeight="1" s="195"/>
    <row r="585" ht="15.75" customHeight="1" s="195"/>
    <row r="586" ht="15.75" customHeight="1" s="195"/>
    <row r="587" ht="15.75" customHeight="1" s="195"/>
    <row r="588" ht="15.75" customHeight="1" s="195"/>
    <row r="589" ht="15.75" customHeight="1" s="195"/>
    <row r="590" ht="15.75" customHeight="1" s="195"/>
    <row r="591" ht="15.75" customHeight="1" s="195"/>
    <row r="592" ht="15.75" customHeight="1" s="195"/>
    <row r="593" ht="15.75" customHeight="1" s="195"/>
    <row r="594" ht="15.75" customHeight="1" s="195"/>
    <row r="595" ht="15.75" customHeight="1" s="195"/>
    <row r="596" ht="15.75" customHeight="1" s="195"/>
    <row r="597" ht="15.75" customHeight="1" s="195"/>
    <row r="598" ht="15.75" customHeight="1" s="195"/>
    <row r="599" ht="15.75" customHeight="1" s="195"/>
    <row r="600" ht="15.75" customHeight="1" s="195"/>
    <row r="601" ht="15.75" customHeight="1" s="195"/>
    <row r="602" ht="15.75" customHeight="1" s="195"/>
    <row r="603" ht="15.75" customHeight="1" s="195"/>
    <row r="604" ht="15.75" customHeight="1" s="195"/>
    <row r="605" ht="15.75" customHeight="1" s="195"/>
    <row r="606" ht="15.75" customHeight="1" s="195"/>
    <row r="607" ht="15.75" customHeight="1" s="195"/>
    <row r="608" ht="15.75" customHeight="1" s="195"/>
    <row r="609" ht="15.75" customHeight="1" s="195"/>
    <row r="610" ht="15.75" customHeight="1" s="195"/>
    <row r="611" ht="15.75" customHeight="1" s="195"/>
    <row r="612" ht="15.75" customHeight="1" s="195"/>
    <row r="613" ht="15.75" customHeight="1" s="195"/>
    <row r="614" ht="15.75" customHeight="1" s="195"/>
    <row r="615" ht="15.75" customHeight="1" s="195"/>
    <row r="616" ht="15.75" customHeight="1" s="195"/>
    <row r="617" ht="15.75" customHeight="1" s="195"/>
    <row r="618" ht="15.75" customHeight="1" s="195"/>
    <row r="619" ht="15.75" customHeight="1" s="195"/>
    <row r="620" ht="15.75" customHeight="1" s="195"/>
    <row r="621" ht="15.75" customHeight="1" s="195"/>
    <row r="622" ht="15.75" customHeight="1" s="195"/>
    <row r="623" ht="15.75" customHeight="1" s="195"/>
    <row r="624" ht="15.75" customHeight="1" s="195"/>
    <row r="625" ht="15.75" customHeight="1" s="195"/>
    <row r="626" ht="15.75" customHeight="1" s="195"/>
    <row r="627" ht="15.75" customHeight="1" s="195"/>
    <row r="628" ht="15.75" customHeight="1" s="195"/>
    <row r="629" ht="15.75" customHeight="1" s="195"/>
    <row r="630" ht="15.75" customHeight="1" s="195"/>
    <row r="631" ht="15.75" customHeight="1" s="195"/>
    <row r="632" ht="15.75" customHeight="1" s="195"/>
    <row r="633" ht="15.75" customHeight="1" s="195"/>
    <row r="634" ht="15.75" customHeight="1" s="195"/>
    <row r="635" ht="15.75" customHeight="1" s="195"/>
    <row r="636" ht="15.75" customHeight="1" s="195"/>
    <row r="637" ht="15.75" customHeight="1" s="195"/>
    <row r="638" ht="15.75" customHeight="1" s="195"/>
    <row r="639" ht="15.75" customHeight="1" s="195"/>
    <row r="640" ht="15.75" customHeight="1" s="195"/>
    <row r="641" ht="15.75" customHeight="1" s="195"/>
    <row r="642" ht="15.75" customHeight="1" s="195"/>
    <row r="643" ht="15.75" customHeight="1" s="195"/>
    <row r="644" ht="15.75" customHeight="1" s="195"/>
    <row r="645" ht="15.75" customHeight="1" s="195"/>
    <row r="646" ht="15.75" customHeight="1" s="195"/>
    <row r="647" ht="15.75" customHeight="1" s="195"/>
    <row r="648" ht="15.75" customHeight="1" s="195"/>
    <row r="649" ht="15.75" customHeight="1" s="195"/>
    <row r="650" ht="15.75" customHeight="1" s="195"/>
    <row r="651" ht="15.75" customHeight="1" s="195"/>
    <row r="652" ht="15.75" customHeight="1" s="195"/>
    <row r="653" ht="15.75" customHeight="1" s="195"/>
    <row r="654" ht="15.75" customHeight="1" s="195"/>
    <row r="655" ht="15.75" customHeight="1" s="195"/>
    <row r="656" ht="15.75" customHeight="1" s="195"/>
    <row r="657" ht="15.75" customHeight="1" s="195"/>
    <row r="658" ht="15.75" customHeight="1" s="195"/>
    <row r="659" ht="15.75" customHeight="1" s="195"/>
    <row r="660" ht="15.75" customHeight="1" s="195"/>
    <row r="661" ht="15.75" customHeight="1" s="195"/>
    <row r="662" ht="15.75" customHeight="1" s="195"/>
    <row r="663" ht="15.75" customHeight="1" s="195"/>
    <row r="664" ht="15.75" customHeight="1" s="195"/>
    <row r="665" ht="15.75" customHeight="1" s="195"/>
    <row r="666" ht="15.75" customHeight="1" s="195"/>
    <row r="667" ht="15.75" customHeight="1" s="195"/>
    <row r="668" ht="15.75" customHeight="1" s="195"/>
    <row r="669" ht="15.75" customHeight="1" s="195"/>
    <row r="670" ht="15.75" customHeight="1" s="195"/>
    <row r="671" ht="15.75" customHeight="1" s="195"/>
    <row r="672" ht="15.75" customHeight="1" s="195"/>
    <row r="673" ht="15.75" customHeight="1" s="195"/>
    <row r="674" ht="15.75" customHeight="1" s="195"/>
    <row r="675" ht="15.75" customHeight="1" s="195"/>
    <row r="676" ht="15.75" customHeight="1" s="195"/>
    <row r="677" ht="15.75" customHeight="1" s="195"/>
    <row r="678" ht="15.75" customHeight="1" s="195"/>
    <row r="679" ht="15.75" customHeight="1" s="195"/>
    <row r="680" ht="15.75" customHeight="1" s="195"/>
    <row r="681" ht="15.75" customHeight="1" s="195"/>
    <row r="682" ht="15.75" customHeight="1" s="195"/>
    <row r="683" ht="15.75" customHeight="1" s="195"/>
    <row r="684" ht="15.75" customHeight="1" s="195"/>
    <row r="685" ht="15.75" customHeight="1" s="195"/>
    <row r="686" ht="15.75" customHeight="1" s="195"/>
    <row r="687" ht="15.75" customHeight="1" s="195"/>
    <row r="688" ht="15.75" customHeight="1" s="195"/>
    <row r="689" ht="15.75" customHeight="1" s="195"/>
    <row r="690" ht="15.75" customHeight="1" s="195"/>
    <row r="691" ht="15.75" customHeight="1" s="195"/>
    <row r="692" ht="15.75" customHeight="1" s="195"/>
    <row r="693" ht="15.75" customHeight="1" s="195"/>
    <row r="694" ht="15.75" customHeight="1" s="195"/>
    <row r="695" ht="15.75" customHeight="1" s="195"/>
    <row r="696" ht="15.75" customHeight="1" s="195"/>
    <row r="697" ht="15.75" customHeight="1" s="195"/>
    <row r="698" ht="15.75" customHeight="1" s="195"/>
    <row r="699" ht="15.75" customHeight="1" s="195"/>
    <row r="700" ht="15.75" customHeight="1" s="195"/>
    <row r="701" ht="15.75" customHeight="1" s="195"/>
    <row r="702" ht="15.75" customHeight="1" s="195"/>
    <row r="703" ht="15.75" customHeight="1" s="195"/>
    <row r="704" ht="15.75" customHeight="1" s="195"/>
    <row r="705" ht="15.75" customHeight="1" s="195"/>
    <row r="706" ht="15.75" customHeight="1" s="195"/>
    <row r="707" ht="15.75" customHeight="1" s="195"/>
    <row r="708" ht="15.75" customHeight="1" s="195"/>
    <row r="709" ht="15.75" customHeight="1" s="195"/>
    <row r="710" ht="15.75" customHeight="1" s="195"/>
    <row r="711" ht="15.75" customHeight="1" s="195"/>
    <row r="712" ht="15.75" customHeight="1" s="195"/>
    <row r="713" ht="15.75" customHeight="1" s="195"/>
    <row r="714" ht="15.75" customHeight="1" s="195"/>
    <row r="715" ht="15.75" customHeight="1" s="195"/>
    <row r="716" ht="15.75" customHeight="1" s="195"/>
    <row r="717" ht="15.75" customHeight="1" s="195"/>
    <row r="718" ht="15.75" customHeight="1" s="195"/>
    <row r="719" ht="15.75" customHeight="1" s="195"/>
    <row r="720" ht="15.75" customHeight="1" s="195"/>
    <row r="721" ht="15.75" customHeight="1" s="195"/>
    <row r="722" ht="15.75" customHeight="1" s="195"/>
    <row r="723" ht="15.75" customHeight="1" s="195"/>
    <row r="724" ht="15.75" customHeight="1" s="195"/>
    <row r="725" ht="15.75" customHeight="1" s="195"/>
    <row r="726" ht="15.75" customHeight="1" s="195"/>
    <row r="727" ht="15.75" customHeight="1" s="195"/>
    <row r="728" ht="15.75" customHeight="1" s="195"/>
    <row r="729" ht="15.75" customHeight="1" s="195"/>
    <row r="730" ht="15.75" customHeight="1" s="195"/>
    <row r="731" ht="15.75" customHeight="1" s="195"/>
    <row r="732" ht="15.75" customHeight="1" s="195"/>
    <row r="733" ht="15.75" customHeight="1" s="195"/>
    <row r="734" ht="15.75" customHeight="1" s="195"/>
    <row r="735" ht="15.75" customHeight="1" s="195"/>
    <row r="736" ht="15.75" customHeight="1" s="195"/>
    <row r="737" ht="15.75" customHeight="1" s="195"/>
    <row r="738" ht="15.75" customHeight="1" s="195"/>
    <row r="739" ht="15.75" customHeight="1" s="195"/>
    <row r="740" ht="15.75" customHeight="1" s="195"/>
    <row r="741" ht="15.75" customHeight="1" s="195"/>
    <row r="742" ht="15.75" customHeight="1" s="195"/>
    <row r="743" ht="15.75" customHeight="1" s="195"/>
    <row r="744" ht="15.75" customHeight="1" s="195"/>
    <row r="745" ht="15.75" customHeight="1" s="195"/>
    <row r="746" ht="15.75" customHeight="1" s="195"/>
    <row r="747" ht="15.75" customHeight="1" s="195"/>
    <row r="748" ht="15.75" customHeight="1" s="195"/>
    <row r="749" ht="15.75" customHeight="1" s="195"/>
    <row r="750" ht="15.75" customHeight="1" s="195"/>
    <row r="751" ht="15.75" customHeight="1" s="195"/>
    <row r="752" ht="15.75" customHeight="1" s="195"/>
    <row r="753" ht="15.75" customHeight="1" s="195"/>
    <row r="754" ht="15.75" customHeight="1" s="195"/>
    <row r="755" ht="15.75" customHeight="1" s="195"/>
    <row r="756" ht="15.75" customHeight="1" s="195"/>
    <row r="757" ht="15.75" customHeight="1" s="195"/>
    <row r="758" ht="15.75" customHeight="1" s="195"/>
    <row r="759" ht="15.75" customHeight="1" s="195"/>
    <row r="760" ht="15.75" customHeight="1" s="195"/>
    <row r="761" ht="15.75" customHeight="1" s="195"/>
    <row r="762" ht="15.75" customHeight="1" s="195"/>
    <row r="763" ht="15.75" customHeight="1" s="195"/>
    <row r="764" ht="15.75" customHeight="1" s="195"/>
    <row r="765" ht="15.75" customHeight="1" s="195"/>
    <row r="766" ht="15.75" customHeight="1" s="195"/>
    <row r="767" ht="15.75" customHeight="1" s="195"/>
    <row r="768" ht="15.75" customHeight="1" s="195"/>
    <row r="769" ht="15.75" customHeight="1" s="195"/>
    <row r="770" ht="15.75" customHeight="1" s="195"/>
    <row r="771" ht="15.75" customHeight="1" s="195"/>
    <row r="772" ht="15.75" customHeight="1" s="195"/>
    <row r="773" ht="15.75" customHeight="1" s="195"/>
    <row r="774" ht="15.75" customHeight="1" s="195"/>
    <row r="775" ht="15.75" customHeight="1" s="195"/>
    <row r="776" ht="15.75" customHeight="1" s="195"/>
    <row r="777" ht="15.75" customHeight="1" s="195"/>
    <row r="778" ht="15.75" customHeight="1" s="195"/>
    <row r="779" ht="15.75" customHeight="1" s="195"/>
    <row r="780" ht="15.75" customHeight="1" s="195"/>
    <row r="781" ht="15.75" customHeight="1" s="195"/>
    <row r="782" ht="15.75" customHeight="1" s="195"/>
    <row r="783" ht="15.75" customHeight="1" s="195"/>
    <row r="784" ht="15.75" customHeight="1" s="195"/>
    <row r="785" ht="15.75" customHeight="1" s="195"/>
    <row r="786" ht="15.75" customHeight="1" s="195"/>
    <row r="787" ht="15.75" customHeight="1" s="195"/>
    <row r="788" ht="15.75" customHeight="1" s="195"/>
    <row r="789" ht="15.75" customHeight="1" s="195"/>
    <row r="790" ht="15.75" customHeight="1" s="195"/>
    <row r="791" ht="15.75" customHeight="1" s="195"/>
    <row r="792" ht="15.75" customHeight="1" s="195"/>
    <row r="793" ht="15.75" customHeight="1" s="195"/>
    <row r="794" ht="15.75" customHeight="1" s="195"/>
    <row r="795" ht="15.75" customHeight="1" s="195"/>
    <row r="796" ht="15.75" customHeight="1" s="195"/>
    <row r="797" ht="15.75" customHeight="1" s="195"/>
    <row r="798" ht="15.75" customHeight="1" s="195"/>
    <row r="799" ht="15.75" customHeight="1" s="195"/>
    <row r="800" ht="15.75" customHeight="1" s="195"/>
    <row r="801" ht="15.75" customHeight="1" s="195"/>
    <row r="802" ht="15.75" customHeight="1" s="195"/>
    <row r="803" ht="15.75" customHeight="1" s="195"/>
    <row r="804" ht="15.75" customHeight="1" s="195"/>
    <row r="805" ht="15.75" customHeight="1" s="195"/>
    <row r="806" ht="15.75" customHeight="1" s="195"/>
    <row r="807" ht="15.75" customHeight="1" s="195"/>
    <row r="808" ht="15.75" customHeight="1" s="195"/>
    <row r="809" ht="15.75" customHeight="1" s="195"/>
    <row r="810" ht="15.75" customHeight="1" s="195"/>
    <row r="811" ht="15.75" customHeight="1" s="195"/>
    <row r="812" ht="15.75" customHeight="1" s="195"/>
    <row r="813" ht="15.75" customHeight="1" s="195"/>
    <row r="814" ht="15.75" customHeight="1" s="195"/>
    <row r="815" ht="15.75" customHeight="1" s="195"/>
    <row r="816" ht="15.75" customHeight="1" s="195"/>
    <row r="817" ht="15.75" customHeight="1" s="195"/>
    <row r="818" ht="15.75" customHeight="1" s="195"/>
    <row r="819" ht="15.75" customHeight="1" s="195"/>
    <row r="820" ht="15.75" customHeight="1" s="195"/>
    <row r="821" ht="15.75" customHeight="1" s="195"/>
    <row r="822" ht="15.75" customHeight="1" s="195"/>
    <row r="823" ht="15.75" customHeight="1" s="195"/>
    <row r="824" ht="15.75" customHeight="1" s="195"/>
    <row r="825" ht="15.75" customHeight="1" s="195"/>
    <row r="826" ht="15.75" customHeight="1" s="195"/>
    <row r="827" ht="15.75" customHeight="1" s="195"/>
    <row r="828" ht="15.75" customHeight="1" s="195"/>
    <row r="829" ht="15.75" customHeight="1" s="195"/>
    <row r="830" ht="15.75" customHeight="1" s="195"/>
    <row r="831" ht="15.75" customHeight="1" s="195"/>
    <row r="832" ht="15.75" customHeight="1" s="195"/>
    <row r="833" ht="15.75" customHeight="1" s="195"/>
    <row r="834" ht="15.75" customHeight="1" s="195"/>
    <row r="835" ht="15.75" customHeight="1" s="195"/>
    <row r="836" ht="15.75" customHeight="1" s="195"/>
    <row r="837" ht="15.75" customHeight="1" s="195"/>
    <row r="838" ht="15.75" customHeight="1" s="195"/>
    <row r="839" ht="15.75" customHeight="1" s="195"/>
    <row r="840" ht="15.75" customHeight="1" s="195"/>
    <row r="841" ht="15.75" customHeight="1" s="195"/>
    <row r="842" ht="15.75" customHeight="1" s="195"/>
    <row r="843" ht="15.75" customHeight="1" s="195"/>
    <row r="844" ht="15.75" customHeight="1" s="195"/>
    <row r="845" ht="15.75" customHeight="1" s="195"/>
    <row r="846" ht="15.75" customHeight="1" s="195"/>
    <row r="847" ht="15.75" customHeight="1" s="195"/>
    <row r="848" ht="15.75" customHeight="1" s="195"/>
    <row r="849" ht="15.75" customHeight="1" s="195"/>
    <row r="850" ht="15.75" customHeight="1" s="195"/>
    <row r="851" ht="15.75" customHeight="1" s="195"/>
    <row r="852" ht="15.75" customHeight="1" s="195"/>
    <row r="853" ht="15.75" customHeight="1" s="195"/>
    <row r="854" ht="15.75" customHeight="1" s="195"/>
    <row r="855" ht="15.75" customHeight="1" s="195"/>
    <row r="856" ht="15.75" customHeight="1" s="195"/>
    <row r="857" ht="15.75" customHeight="1" s="195"/>
    <row r="858" ht="15.75" customHeight="1" s="195"/>
    <row r="859" ht="15.75" customHeight="1" s="195"/>
    <row r="860" ht="15.75" customHeight="1" s="195"/>
    <row r="861" ht="15.75" customHeight="1" s="195"/>
    <row r="862" ht="15.75" customHeight="1" s="195"/>
    <row r="863" ht="15.75" customHeight="1" s="195"/>
    <row r="864" ht="15.75" customHeight="1" s="195"/>
    <row r="865" ht="15.75" customHeight="1" s="195"/>
    <row r="866" ht="15.75" customHeight="1" s="195"/>
    <row r="867" ht="15.75" customHeight="1" s="195"/>
    <row r="868" ht="15.75" customHeight="1" s="195"/>
    <row r="869" ht="15.75" customHeight="1" s="195"/>
    <row r="870" ht="15.75" customHeight="1" s="195"/>
    <row r="871" ht="15.75" customHeight="1" s="195"/>
    <row r="872" ht="15.75" customHeight="1" s="195"/>
    <row r="873" ht="15.75" customHeight="1" s="195"/>
    <row r="874" ht="15.75" customHeight="1" s="195"/>
    <row r="875" ht="15.75" customHeight="1" s="195"/>
    <row r="876" ht="15.75" customHeight="1" s="195"/>
    <row r="877" ht="15.75" customHeight="1" s="195"/>
    <row r="878" ht="15.75" customHeight="1" s="195"/>
    <row r="879" ht="15.75" customHeight="1" s="195"/>
    <row r="880" ht="15.75" customHeight="1" s="195"/>
    <row r="881" ht="15.75" customHeight="1" s="195"/>
    <row r="882" ht="15.75" customHeight="1" s="195"/>
    <row r="883" ht="15.75" customHeight="1" s="195"/>
    <row r="884" ht="15.75" customHeight="1" s="195"/>
    <row r="885" ht="15.75" customHeight="1" s="195"/>
    <row r="886" ht="15.75" customHeight="1" s="195"/>
    <row r="887" ht="15.75" customHeight="1" s="195"/>
    <row r="888" ht="15.75" customHeight="1" s="195"/>
    <row r="889" ht="15.75" customHeight="1" s="195"/>
    <row r="890" ht="15.75" customHeight="1" s="195"/>
    <row r="891" ht="15.75" customHeight="1" s="195"/>
    <row r="892" ht="15.75" customHeight="1" s="195"/>
    <row r="893" ht="15.75" customHeight="1" s="195"/>
    <row r="894" ht="15.75" customHeight="1" s="195"/>
    <row r="895" ht="15.75" customHeight="1" s="195"/>
    <row r="896" ht="15.75" customHeight="1" s="195"/>
    <row r="897" ht="15.75" customHeight="1" s="195"/>
    <row r="898" ht="15.75" customHeight="1" s="195"/>
    <row r="899" ht="15.75" customHeight="1" s="195"/>
    <row r="900" ht="15.75" customHeight="1" s="195"/>
    <row r="901" ht="15.75" customHeight="1" s="195"/>
    <row r="902" ht="15.75" customHeight="1" s="195"/>
    <row r="903" ht="15.75" customHeight="1" s="195"/>
    <row r="904" ht="15.75" customHeight="1" s="195"/>
    <row r="905" ht="15.75" customHeight="1" s="195"/>
    <row r="906" ht="15.75" customHeight="1" s="195"/>
    <row r="907" ht="15.75" customHeight="1" s="195"/>
    <row r="908" ht="15.75" customHeight="1" s="195"/>
    <row r="909" ht="15.75" customHeight="1" s="195"/>
    <row r="910" ht="15.75" customHeight="1" s="195"/>
    <row r="911" ht="15.75" customHeight="1" s="195"/>
    <row r="912" ht="15.75" customHeight="1" s="195"/>
    <row r="913" ht="15.75" customHeight="1" s="195"/>
    <row r="914" ht="15.75" customHeight="1" s="195"/>
    <row r="915" ht="15.75" customHeight="1" s="195"/>
    <row r="916" ht="15.75" customHeight="1" s="195"/>
    <row r="917" ht="15.75" customHeight="1" s="195"/>
    <row r="918" ht="15.75" customHeight="1" s="195"/>
    <row r="919" ht="15.75" customHeight="1" s="195"/>
    <row r="920" ht="15.75" customHeight="1" s="195"/>
    <row r="921" ht="15.75" customHeight="1" s="195"/>
    <row r="922" ht="15.75" customHeight="1" s="195"/>
    <row r="923" ht="15.75" customHeight="1" s="195"/>
    <row r="924" ht="15.75" customHeight="1" s="195"/>
    <row r="925" ht="15.75" customHeight="1" s="195"/>
    <row r="926" ht="15.75" customHeight="1" s="195"/>
    <row r="927" ht="15.75" customHeight="1" s="195"/>
    <row r="928" ht="15.75" customHeight="1" s="195"/>
    <row r="929" ht="15.75" customHeight="1" s="195"/>
    <row r="930" ht="15.75" customHeight="1" s="195"/>
    <row r="931" ht="15.75" customHeight="1" s="195"/>
    <row r="932" ht="15.75" customHeight="1" s="195"/>
    <row r="933" ht="15.75" customHeight="1" s="195"/>
    <row r="934" ht="15.75" customHeight="1" s="195"/>
    <row r="935" ht="15.75" customHeight="1" s="195"/>
    <row r="936" ht="15.75" customHeight="1" s="195"/>
    <row r="937" ht="15.75" customHeight="1" s="195"/>
    <row r="938" ht="15.75" customHeight="1" s="195"/>
    <row r="939" ht="15.75" customHeight="1" s="195"/>
    <row r="940" ht="15.75" customHeight="1" s="195"/>
    <row r="941" ht="15.75" customHeight="1" s="195"/>
    <row r="942" ht="15.75" customHeight="1" s="195"/>
    <row r="943" ht="15.75" customHeight="1" s="195"/>
    <row r="944" ht="15.75" customHeight="1" s="195"/>
    <row r="945" ht="15.75" customHeight="1" s="195"/>
    <row r="946" ht="15.75" customHeight="1" s="195"/>
    <row r="947" ht="15.75" customHeight="1" s="195"/>
    <row r="948" ht="15.75" customHeight="1" s="195"/>
    <row r="949" ht="15.75" customHeight="1" s="195"/>
    <row r="950" ht="15.75" customHeight="1" s="195"/>
    <row r="951" ht="15.75" customHeight="1" s="195"/>
    <row r="952" ht="15.75" customHeight="1" s="195"/>
    <row r="953" ht="15.75" customHeight="1" s="195"/>
    <row r="954" ht="15.75" customHeight="1" s="195"/>
    <row r="955" ht="15.75" customHeight="1" s="195"/>
    <row r="956" ht="15.75" customHeight="1" s="195"/>
    <row r="957" ht="15.75" customHeight="1" s="195"/>
    <row r="958" ht="15.75" customHeight="1" s="195"/>
    <row r="959" ht="15.75" customHeight="1" s="195"/>
    <row r="960" ht="15.75" customHeight="1" s="195"/>
    <row r="961" ht="15.75" customHeight="1" s="195"/>
    <row r="962" ht="15.75" customHeight="1" s="195"/>
    <row r="963" ht="15.75" customHeight="1" s="195"/>
    <row r="964" ht="15.75" customHeight="1" s="195"/>
    <row r="965" ht="15.75" customHeight="1" s="195"/>
    <row r="966" ht="15.75" customHeight="1" s="195"/>
    <row r="967" ht="15.75" customHeight="1" s="195"/>
    <row r="968" ht="15.75" customHeight="1" s="195"/>
    <row r="969" ht="15.75" customHeight="1" s="195"/>
    <row r="970" ht="15.75" customHeight="1" s="195"/>
    <row r="971" ht="15.75" customHeight="1" s="195"/>
    <row r="972" ht="15.75" customHeight="1" s="195"/>
    <row r="973" ht="15.75" customHeight="1" s="195"/>
    <row r="974" ht="15.75" customHeight="1" s="195"/>
    <row r="975" ht="15.75" customHeight="1" s="195"/>
    <row r="976" ht="15.75" customHeight="1" s="195"/>
    <row r="977" ht="15.75" customHeight="1" s="195"/>
    <row r="978" ht="15.75" customHeight="1" s="195"/>
    <row r="979" ht="15.75" customHeight="1" s="195"/>
    <row r="980" ht="15.75" customHeight="1" s="195"/>
    <row r="981" ht="15.75" customHeight="1" s="195"/>
    <row r="982" ht="15.75" customHeight="1" s="195"/>
    <row r="983" ht="15.75" customHeight="1" s="195"/>
    <row r="984" ht="15.75" customHeight="1" s="195"/>
    <row r="985" ht="15.75" customHeight="1" s="195"/>
    <row r="986" ht="15.75" customHeight="1" s="195"/>
    <row r="987" ht="15.75" customHeight="1" s="195"/>
    <row r="988" ht="15.75" customHeight="1" s="195"/>
    <row r="989" ht="15.75" customHeight="1" s="195"/>
    <row r="990" ht="15.75" customHeight="1" s="195"/>
    <row r="991" ht="15.75" customHeight="1" s="195"/>
    <row r="992" ht="15.75" customHeight="1" s="195"/>
    <row r="993" ht="15.75" customHeight="1" s="195"/>
    <row r="994" ht="15.75" customHeight="1" s="195"/>
    <row r="995" ht="15.75" customHeight="1" s="195"/>
    <row r="996" ht="15.75" customHeight="1" s="195"/>
    <row r="997" ht="15.75" customHeight="1" s="195"/>
  </sheetData>
  <mergeCells count="12">
    <mergeCell ref="A20:E20"/>
    <mergeCell ref="A54:E54"/>
    <mergeCell ref="A1:P1"/>
    <mergeCell ref="A3:D3"/>
    <mergeCell ref="A145:C145"/>
    <mergeCell ref="A62:C62"/>
    <mergeCell ref="A149:F149"/>
    <mergeCell ref="A11:D11"/>
    <mergeCell ref="F3:N3"/>
    <mergeCell ref="A148:F148"/>
    <mergeCell ref="A51:C51"/>
    <mergeCell ref="A179:C179"/>
  </mergeCells>
  <conditionalFormatting sqref="F22:F39">
    <cfRule type="expression" rank="0" priority="2" equalAverage="0" aboveAverage="0" dxfId="0" text="" percent="0" bottom="0">
      <formula>EXACT(F22,"ACTIVO")</formula>
    </cfRule>
  </conditionalFormatting>
  <conditionalFormatting sqref="F44:F59">
    <cfRule type="expression" rank="0" priority="3" equalAverage="0" aboveAverage="0" dxfId="1" text="" percent="0" bottom="0">
      <formula>EXACT(F44,"ACTIVO")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2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baseColWidth="8" defaultColWidth="14.43359375" defaultRowHeight="15" zeroHeight="0" outlineLevelRow="0"/>
  <cols>
    <col width="14" customWidth="1" style="194" min="1" max="1"/>
    <col width="36" customWidth="1" style="194" min="2" max="2"/>
    <col width="15" customWidth="1" style="194" min="3" max="3"/>
    <col width="14" customWidth="1" style="194" min="4" max="4"/>
    <col width="26" customWidth="1" style="194" min="5" max="5"/>
    <col width="12" customWidth="1" style="194" min="6" max="6"/>
    <col width="16" customWidth="1" style="194" min="7" max="7"/>
    <col width="23.29" customWidth="1" style="194" min="8" max="8"/>
  </cols>
  <sheetData>
    <row r="1" ht="27.75" customHeight="1" s="195">
      <c r="A1" s="260" t="inlineStr">
        <is>
          <t>CATALOGO DE CONDUCTORES - UE 0725 AMAZONAS</t>
        </is>
      </c>
      <c r="I1" s="194" t="n"/>
      <c r="J1" s="194" t="n"/>
      <c r="K1" s="194" t="n"/>
      <c r="L1" s="194" t="n"/>
      <c r="M1" s="194" t="n"/>
      <c r="N1" s="194" t="n"/>
      <c r="O1" s="194" t="n"/>
      <c r="P1" s="194" t="n"/>
      <c r="Q1" s="194" t="n"/>
      <c r="R1" s="194" t="n"/>
      <c r="S1" s="194" t="n"/>
      <c r="T1" s="194" t="n"/>
      <c r="U1" s="194" t="n"/>
      <c r="V1" s="194" t="n"/>
      <c r="W1" s="194" t="n"/>
      <c r="X1" s="194" t="n"/>
      <c r="Y1" s="194" t="n"/>
      <c r="Z1" s="194" t="n"/>
    </row>
    <row r="2" ht="19.5" customHeight="1" s="195">
      <c r="A2" s="261" t="inlineStr">
        <is>
          <t>DNI</t>
        </is>
      </c>
      <c r="B2" s="262" t="inlineStr">
        <is>
          <t>APELLIDOS Y NOMBRES</t>
        </is>
      </c>
      <c r="C2" s="262" t="inlineStr">
        <is>
          <t>N LICENCIA</t>
        </is>
      </c>
      <c r="D2" s="262" t="inlineStr">
        <is>
          <t>CATEGORIA</t>
        </is>
      </c>
      <c r="E2" s="262" t="inlineStr">
        <is>
          <t>MODELO VEHICULO</t>
        </is>
      </c>
      <c r="F2" s="262" t="inlineStr">
        <is>
          <t>PLACA</t>
        </is>
      </c>
      <c r="G2" s="262" t="inlineStr">
        <is>
          <t>TIPO COMBUSTIBLE</t>
        </is>
      </c>
      <c r="H2" s="263" t="inlineStr">
        <is>
          <t>C.S ASIGNADO</t>
        </is>
      </c>
      <c r="I2" s="194" t="n"/>
      <c r="J2" s="194" t="n"/>
      <c r="K2" s="194" t="n"/>
      <c r="L2" s="194" t="n"/>
      <c r="M2" s="194" t="n"/>
      <c r="N2" s="194" t="n"/>
      <c r="O2" s="194" t="n"/>
      <c r="P2" s="194" t="n"/>
      <c r="Q2" s="194" t="n"/>
      <c r="R2" s="194" t="n"/>
      <c r="S2" s="194" t="n"/>
      <c r="T2" s="194" t="n"/>
      <c r="U2" s="194" t="n"/>
      <c r="V2" s="194" t="n"/>
      <c r="W2" s="194" t="n"/>
      <c r="X2" s="194" t="n"/>
      <c r="Y2" s="194" t="n"/>
      <c r="Z2" s="194" t="n"/>
    </row>
    <row r="3" ht="15" customHeight="1" s="195">
      <c r="A3" s="264" t="inlineStr">
        <is>
          <t>44333747</t>
        </is>
      </c>
      <c r="B3" s="265" t="inlineStr">
        <is>
          <t>GUEVARA VASQUEZ GREIMER MELGAR</t>
        </is>
      </c>
      <c r="C3" s="219" t="inlineStr">
        <is>
          <t>Q 44333747</t>
        </is>
      </c>
      <c r="D3" s="219" t="inlineStr">
        <is>
          <t>A II B</t>
        </is>
      </c>
      <c r="E3" s="219" t="inlineStr">
        <is>
          <t>HILUX 4X4 TIPO II</t>
        </is>
      </c>
      <c r="F3" s="219" t="inlineStr">
        <is>
          <t>EUE 651</t>
        </is>
      </c>
      <c r="G3" s="219" t="inlineStr">
        <is>
          <t>PETROLEO</t>
        </is>
      </c>
      <c r="H3" s="266" t="inlineStr">
        <is>
          <t>CAMPORREDONDO</t>
        </is>
      </c>
      <c r="I3" s="194" t="n"/>
      <c r="J3" s="194" t="n"/>
      <c r="K3" s="194" t="n"/>
      <c r="L3" s="194" t="n"/>
      <c r="M3" s="194" t="n"/>
      <c r="N3" s="194" t="n"/>
      <c r="O3" s="194" t="n"/>
      <c r="P3" s="194" t="n"/>
      <c r="Q3" s="194" t="n"/>
      <c r="R3" s="194" t="n"/>
      <c r="S3" s="194" t="n"/>
      <c r="T3" s="194" t="n"/>
      <c r="U3" s="194" t="n"/>
      <c r="V3" s="194" t="n"/>
      <c r="W3" s="194" t="n"/>
      <c r="X3" s="194" t="n"/>
      <c r="Y3" s="194" t="n"/>
      <c r="Z3" s="194" t="n"/>
    </row>
    <row r="4" ht="15" customHeight="1" s="195">
      <c r="A4" s="267" t="inlineStr">
        <is>
          <t>33432847</t>
        </is>
      </c>
      <c r="B4" s="268" t="inlineStr">
        <is>
          <t>BUELOT VISALOT CARLO MAGNO</t>
        </is>
      </c>
      <c r="C4" s="212" t="inlineStr">
        <is>
          <t>W33432847</t>
        </is>
      </c>
      <c r="D4" s="212" t="inlineStr">
        <is>
          <t>ALLB</t>
        </is>
      </c>
      <c r="E4" s="212" t="inlineStr">
        <is>
          <t>TIPO I</t>
        </is>
      </c>
      <c r="F4" s="212" t="inlineStr">
        <is>
          <t>EUD 634</t>
        </is>
      </c>
      <c r="G4" s="212" t="inlineStr">
        <is>
          <t>PETROLEO</t>
        </is>
      </c>
      <c r="H4" s="269" t="inlineStr">
        <is>
          <t>COLCAMAR</t>
        </is>
      </c>
      <c r="I4" s="194" t="n"/>
      <c r="J4" s="194" t="n"/>
      <c r="K4" s="194" t="n"/>
      <c r="L4" s="194" t="n"/>
      <c r="M4" s="194" t="n"/>
      <c r="N4" s="194" t="n"/>
      <c r="O4" s="194" t="n"/>
      <c r="P4" s="194" t="n"/>
      <c r="Q4" s="194" t="n"/>
      <c r="R4" s="194" t="n"/>
      <c r="S4" s="194" t="n"/>
      <c r="T4" s="194" t="n"/>
      <c r="U4" s="194" t="n"/>
      <c r="V4" s="194" t="n"/>
      <c r="W4" s="194" t="n"/>
      <c r="X4" s="194" t="n"/>
      <c r="Y4" s="194" t="n"/>
      <c r="Z4" s="194" t="n"/>
    </row>
    <row r="5" ht="15" customHeight="1" s="195">
      <c r="A5" s="264" t="inlineStr">
        <is>
          <t>73602628</t>
        </is>
      </c>
      <c r="B5" s="265" t="inlineStr">
        <is>
          <t>SAUCEDO LOPEZ ELDIN NOLASCO</t>
        </is>
      </c>
      <c r="C5" s="219" t="inlineStr">
        <is>
          <t>Q73602628</t>
        </is>
      </c>
      <c r="D5" s="219" t="inlineStr">
        <is>
          <t>A2B</t>
        </is>
      </c>
      <c r="E5" s="219" t="inlineStr">
        <is>
          <t>TIPO II</t>
        </is>
      </c>
      <c r="F5" s="219" t="inlineStr">
        <is>
          <t>EUH699</t>
        </is>
      </c>
      <c r="G5" s="219" t="inlineStr">
        <is>
          <t>PETROLEO</t>
        </is>
      </c>
      <c r="H5" s="266" t="inlineStr">
        <is>
          <t>COLLONCE</t>
        </is>
      </c>
      <c r="I5" s="194" t="n"/>
      <c r="J5" s="194" t="n"/>
      <c r="K5" s="194" t="n"/>
      <c r="L5" s="194" t="n"/>
      <c r="M5" s="194" t="n"/>
      <c r="N5" s="194" t="n"/>
      <c r="O5" s="194" t="n"/>
      <c r="P5" s="194" t="n"/>
      <c r="Q5" s="194" t="n"/>
      <c r="R5" s="194" t="n"/>
      <c r="S5" s="194" t="n"/>
      <c r="T5" s="194" t="n"/>
      <c r="U5" s="194" t="n"/>
      <c r="V5" s="194" t="n"/>
      <c r="W5" s="194" t="n"/>
      <c r="X5" s="194" t="n"/>
      <c r="Y5" s="194" t="n"/>
      <c r="Z5" s="194" t="n"/>
    </row>
    <row r="6" ht="15" customHeight="1" s="195">
      <c r="A6" s="267" t="inlineStr">
        <is>
          <t>44426318</t>
        </is>
      </c>
      <c r="B6" s="268" t="inlineStr">
        <is>
          <t>ABANTO VALDIVIA HANS MIKKEL</t>
        </is>
      </c>
      <c r="C6" s="212" t="inlineStr">
        <is>
          <t>W44426318</t>
        </is>
      </c>
      <c r="D6" s="212" t="inlineStr">
        <is>
          <t>A LLL C</t>
        </is>
      </c>
      <c r="E6" s="212" t="inlineStr">
        <is>
          <t>TOYOTA HILUX</t>
        </is>
      </c>
      <c r="F6" s="212" t="inlineStr">
        <is>
          <t>EUH 640</t>
        </is>
      </c>
      <c r="G6" s="212" t="inlineStr">
        <is>
          <t>PETROLEO</t>
        </is>
      </c>
      <c r="H6" s="269" t="inlineStr">
        <is>
          <t>CHUQUIBAMBA</t>
        </is>
      </c>
      <c r="I6" s="194" t="n"/>
      <c r="J6" s="194" t="n"/>
      <c r="K6" s="194" t="n"/>
      <c r="L6" s="194" t="n"/>
      <c r="M6" s="194" t="n"/>
      <c r="N6" s="194" t="n"/>
      <c r="O6" s="194" t="n"/>
      <c r="P6" s="194" t="n"/>
      <c r="Q6" s="194" t="n"/>
      <c r="R6" s="194" t="n"/>
      <c r="S6" s="194" t="n"/>
      <c r="T6" s="194" t="n"/>
      <c r="U6" s="194" t="n"/>
      <c r="V6" s="194" t="n"/>
      <c r="W6" s="194" t="n"/>
      <c r="X6" s="194" t="n"/>
      <c r="Y6" s="194" t="n"/>
      <c r="Z6" s="194" t="n"/>
    </row>
    <row r="7" ht="15" customHeight="1" s="195">
      <c r="A7" s="264" t="inlineStr">
        <is>
          <t>9990954</t>
        </is>
      </c>
      <c r="B7" s="265" t="inlineStr">
        <is>
          <t>TRIGOSO TAFUR JOSE GILBER</t>
        </is>
      </c>
      <c r="C7" s="219" t="inlineStr">
        <is>
          <t>Q09990954</t>
        </is>
      </c>
      <c r="D7" s="219" t="inlineStr">
        <is>
          <t>A LLL C</t>
        </is>
      </c>
      <c r="E7" s="219" t="inlineStr">
        <is>
          <t>NISSAN URBAN</t>
        </is>
      </c>
      <c r="F7" s="219" t="inlineStr">
        <is>
          <t>EUH 421</t>
        </is>
      </c>
      <c r="G7" s="219" t="inlineStr">
        <is>
          <t>PETROLEO</t>
        </is>
      </c>
      <c r="H7" s="266" t="inlineStr">
        <is>
          <t>MARIA AUXILIADORA</t>
        </is>
      </c>
      <c r="I7" s="194" t="n"/>
      <c r="J7" s="194" t="n"/>
      <c r="K7" s="194" t="n"/>
      <c r="L7" s="194" t="n"/>
      <c r="M7" s="194" t="n"/>
      <c r="N7" s="194" t="n"/>
      <c r="O7" s="194" t="n"/>
      <c r="P7" s="194" t="n"/>
      <c r="Q7" s="194" t="n"/>
      <c r="R7" s="194" t="n"/>
      <c r="S7" s="194" t="n"/>
      <c r="T7" s="194" t="n"/>
      <c r="U7" s="194" t="n"/>
      <c r="V7" s="194" t="n"/>
      <c r="W7" s="194" t="n"/>
      <c r="X7" s="194" t="n"/>
      <c r="Y7" s="194" t="n"/>
      <c r="Z7" s="194" t="n"/>
    </row>
    <row r="8" ht="15" customHeight="1" s="195">
      <c r="A8" s="267" t="inlineStr">
        <is>
          <t>42333513</t>
        </is>
      </c>
      <c r="B8" s="268" t="inlineStr">
        <is>
          <t>PORTOCARRERO PELAEZ MIGUEL ANTONIO</t>
        </is>
      </c>
      <c r="C8" s="212" t="inlineStr">
        <is>
          <t>W42333513</t>
        </is>
      </c>
      <c r="D8" s="212" t="inlineStr">
        <is>
          <t>A3C</t>
        </is>
      </c>
      <c r="E8" s="212" t="inlineStr">
        <is>
          <t>NISSAN URVAN</t>
        </is>
      </c>
      <c r="F8" s="212" t="inlineStr">
        <is>
          <t>EUH-421</t>
        </is>
      </c>
      <c r="G8" s="212" t="inlineStr">
        <is>
          <t>PETROLEO</t>
        </is>
      </c>
      <c r="H8" s="269" t="inlineStr">
        <is>
          <t>MARIA AUXILIADORA</t>
        </is>
      </c>
      <c r="I8" s="194" t="n"/>
      <c r="J8" s="194" t="n"/>
      <c r="K8" s="194" t="n"/>
      <c r="L8" s="194" t="n"/>
      <c r="M8" s="194" t="n"/>
      <c r="N8" s="194" t="n"/>
      <c r="O8" s="194" t="n"/>
      <c r="P8" s="194" t="n"/>
      <c r="Q8" s="194" t="n"/>
      <c r="R8" s="194" t="n"/>
      <c r="S8" s="194" t="n"/>
      <c r="T8" s="194" t="n"/>
      <c r="U8" s="194" t="n"/>
      <c r="V8" s="194" t="n"/>
      <c r="W8" s="194" t="n"/>
      <c r="X8" s="194" t="n"/>
      <c r="Y8" s="194" t="n"/>
      <c r="Z8" s="194" t="n"/>
    </row>
    <row r="9" ht="15" customHeight="1" s="195">
      <c r="A9" s="264" t="inlineStr">
        <is>
          <t>41785950</t>
        </is>
      </c>
      <c r="B9" s="265" t="inlineStr">
        <is>
          <t>SERNAQUE PELAEZ WILMER</t>
        </is>
      </c>
      <c r="C9" s="219" t="inlineStr">
        <is>
          <t>W417859506</t>
        </is>
      </c>
      <c r="D9" s="219" t="inlineStr">
        <is>
          <t>A2B</t>
        </is>
      </c>
      <c r="E9" s="219" t="inlineStr">
        <is>
          <t>TIPO II</t>
        </is>
      </c>
      <c r="F9" s="219" t="inlineStr">
        <is>
          <t>EUH-421</t>
        </is>
      </c>
      <c r="G9" s="219" t="inlineStr">
        <is>
          <t>PETROLEO</t>
        </is>
      </c>
      <c r="H9" s="266" t="inlineStr">
        <is>
          <t>MARIA AUXILIADORA</t>
        </is>
      </c>
      <c r="I9" s="194" t="n"/>
      <c r="J9" s="194" t="n"/>
      <c r="K9" s="194" t="n"/>
      <c r="L9" s="194" t="n"/>
      <c r="M9" s="194" t="n"/>
      <c r="N9" s="194" t="n"/>
      <c r="O9" s="194" t="n"/>
      <c r="P9" s="194" t="n"/>
      <c r="Q9" s="194" t="n"/>
      <c r="R9" s="194" t="n"/>
      <c r="S9" s="194" t="n"/>
      <c r="T9" s="194" t="n"/>
      <c r="U9" s="194" t="n"/>
      <c r="V9" s="194" t="n"/>
      <c r="W9" s="194" t="n"/>
      <c r="X9" s="194" t="n"/>
      <c r="Y9" s="194" t="n"/>
      <c r="Z9" s="194" t="n"/>
    </row>
    <row r="10" ht="15" customHeight="1" s="195">
      <c r="A10" s="267" t="inlineStr">
        <is>
          <t>33402316</t>
        </is>
      </c>
      <c r="B10" s="268" t="inlineStr">
        <is>
          <t>ROJAS ALVARADO BENJAMIN</t>
        </is>
      </c>
      <c r="C10" s="212" t="inlineStr">
        <is>
          <t>W33502316</t>
        </is>
      </c>
      <c r="D10" s="212" t="inlineStr">
        <is>
          <t>A LL B</t>
        </is>
      </c>
      <c r="E10" s="212" t="inlineStr">
        <is>
          <t>NISSAN URVAN</t>
        </is>
      </c>
      <c r="F10" s="212" t="inlineStr">
        <is>
          <t>421 EUH</t>
        </is>
      </c>
      <c r="G10" s="212" t="inlineStr">
        <is>
          <t>PETROLEO</t>
        </is>
      </c>
      <c r="H10" s="269" t="inlineStr">
        <is>
          <t>MARIA AUXILIADORA</t>
        </is>
      </c>
      <c r="I10" s="194" t="n"/>
      <c r="J10" s="194" t="n"/>
      <c r="K10" s="194" t="n"/>
      <c r="L10" s="194" t="n"/>
      <c r="M10" s="194" t="n"/>
      <c r="N10" s="194" t="n"/>
      <c r="O10" s="194" t="n"/>
      <c r="P10" s="194" t="n"/>
      <c r="Q10" s="194" t="n"/>
      <c r="R10" s="194" t="n"/>
      <c r="S10" s="194" t="n"/>
      <c r="T10" s="194" t="n"/>
      <c r="U10" s="194" t="n"/>
      <c r="V10" s="194" t="n"/>
      <c r="W10" s="194" t="n"/>
      <c r="X10" s="194" t="n"/>
      <c r="Y10" s="194" t="n"/>
      <c r="Z10" s="194" t="n"/>
    </row>
    <row r="11" ht="15" customHeight="1" s="195">
      <c r="A11" s="264" t="inlineStr">
        <is>
          <t>40083507</t>
        </is>
      </c>
      <c r="B11" s="265" t="inlineStr">
        <is>
          <t>LOPEZ HOYOS MIGUEL ANGEL</t>
        </is>
      </c>
      <c r="C11" s="219" t="inlineStr">
        <is>
          <t>W40083507</t>
        </is>
      </c>
      <c r="D11" s="219" t="inlineStr">
        <is>
          <t>AIIIC</t>
        </is>
      </c>
      <c r="E11" s="219" t="inlineStr">
        <is>
          <t>HILUX</t>
        </is>
      </c>
      <c r="F11" s="219" t="inlineStr">
        <is>
          <t>EUH-698</t>
        </is>
      </c>
      <c r="G11" s="219" t="inlineStr">
        <is>
          <t>PETROLEO</t>
        </is>
      </c>
      <c r="H11" s="266" t="inlineStr">
        <is>
          <t>HUAMBO</t>
        </is>
      </c>
      <c r="I11" s="194" t="n"/>
      <c r="J11" s="194" t="n"/>
      <c r="K11" s="194" t="n"/>
      <c r="L11" s="194" t="n"/>
      <c r="M11" s="194" t="n"/>
      <c r="N11" s="194" t="n"/>
      <c r="O11" s="194" t="n"/>
      <c r="P11" s="194" t="n"/>
      <c r="Q11" s="194" t="n"/>
      <c r="R11" s="194" t="n"/>
      <c r="S11" s="194" t="n"/>
      <c r="T11" s="194" t="n"/>
      <c r="U11" s="194" t="n"/>
      <c r="V11" s="194" t="n"/>
      <c r="W11" s="194" t="n"/>
      <c r="X11" s="194" t="n"/>
      <c r="Y11" s="194" t="n"/>
      <c r="Z11" s="194" t="n"/>
    </row>
    <row r="12" ht="15" customHeight="1" s="195">
      <c r="A12" s="267" t="inlineStr">
        <is>
          <t>44894499</t>
        </is>
      </c>
      <c r="B12" s="268" t="inlineStr">
        <is>
          <t>LEIVA LARA JUNIOR</t>
        </is>
      </c>
      <c r="C12" s="212" t="inlineStr">
        <is>
          <t>W44894499</t>
        </is>
      </c>
      <c r="D12" s="212" t="inlineStr">
        <is>
          <t>A LL. B</t>
        </is>
      </c>
      <c r="E12" s="212" t="inlineStr">
        <is>
          <t>TRANSPORTER 2014</t>
        </is>
      </c>
      <c r="F12" s="212" t="inlineStr">
        <is>
          <t>EUC 959</t>
        </is>
      </c>
      <c r="G12" s="212" t="inlineStr">
        <is>
          <t>PETROLEO</t>
        </is>
      </c>
      <c r="H12" s="269" t="inlineStr">
        <is>
          <t>JALCA GRANDE</t>
        </is>
      </c>
      <c r="I12" s="194" t="n"/>
      <c r="J12" s="194" t="n"/>
      <c r="K12" s="194" t="n"/>
      <c r="L12" s="194" t="n"/>
      <c r="M12" s="194" t="n"/>
      <c r="N12" s="194" t="n"/>
      <c r="O12" s="194" t="n"/>
      <c r="P12" s="194" t="n"/>
      <c r="Q12" s="194" t="n"/>
      <c r="R12" s="194" t="n"/>
      <c r="S12" s="194" t="n"/>
      <c r="T12" s="194" t="n"/>
      <c r="U12" s="194" t="n"/>
      <c r="V12" s="194" t="n"/>
      <c r="W12" s="194" t="n"/>
      <c r="X12" s="194" t="n"/>
      <c r="Y12" s="194" t="n"/>
      <c r="Z12" s="194" t="n"/>
    </row>
    <row r="13" ht="15" customHeight="1" s="195">
      <c r="A13" s="264" t="inlineStr">
        <is>
          <t>33734466</t>
        </is>
      </c>
      <c r="B13" s="265" t="inlineStr">
        <is>
          <t>BRICENO OXOLON MANUEL</t>
        </is>
      </c>
      <c r="C13" s="219" t="inlineStr">
        <is>
          <t>33734466</t>
        </is>
      </c>
      <c r="D13" s="219" t="inlineStr">
        <is>
          <t>AIIIC</t>
        </is>
      </c>
      <c r="E13" s="219" t="inlineStr">
        <is>
          <t>TRANSPORTER</t>
        </is>
      </c>
      <c r="F13" s="219" t="inlineStr">
        <is>
          <t>EUC976</t>
        </is>
      </c>
      <c r="G13" s="219" t="inlineStr">
        <is>
          <t>PETROLEO</t>
        </is>
      </c>
      <c r="H13" s="266" t="inlineStr">
        <is>
          <t>JUMBILLA</t>
        </is>
      </c>
      <c r="I13" s="194" t="n"/>
      <c r="J13" s="194" t="n"/>
      <c r="K13" s="194" t="n"/>
      <c r="L13" s="194" t="n"/>
      <c r="M13" s="194" t="n"/>
      <c r="N13" s="194" t="n"/>
      <c r="O13" s="194" t="n"/>
      <c r="P13" s="194" t="n"/>
      <c r="Q13" s="194" t="n"/>
      <c r="R13" s="194" t="n"/>
      <c r="S13" s="194" t="n"/>
      <c r="T13" s="194" t="n"/>
      <c r="U13" s="194" t="n"/>
      <c r="V13" s="194" t="n"/>
      <c r="W13" s="194" t="n"/>
      <c r="X13" s="194" t="n"/>
      <c r="Y13" s="194" t="n"/>
      <c r="Z13" s="194" t="n"/>
    </row>
    <row r="14" ht="15" customHeight="1" s="195">
      <c r="A14" s="267" t="inlineStr">
        <is>
          <t>45309596</t>
        </is>
      </c>
      <c r="B14" s="268" t="inlineStr">
        <is>
          <t>RUFASTO CHUQUIZUTA JUAN KAROOL</t>
        </is>
      </c>
      <c r="C14" s="212" t="inlineStr">
        <is>
          <t>Q45309596</t>
        </is>
      </c>
      <c r="D14" s="212" t="inlineStr">
        <is>
          <t>A2B</t>
        </is>
      </c>
      <c r="E14" s="212" t="inlineStr">
        <is>
          <t>TOYOTA HAICE</t>
        </is>
      </c>
      <c r="F14" s="212" t="inlineStr">
        <is>
          <t>EUA963</t>
        </is>
      </c>
      <c r="G14" s="212" t="inlineStr">
        <is>
          <t>PETROLEO</t>
        </is>
      </c>
      <c r="H14" s="269" t="inlineStr">
        <is>
          <t>LAMUD</t>
        </is>
      </c>
      <c r="I14" s="194" t="n"/>
      <c r="J14" s="194" t="n"/>
      <c r="K14" s="194" t="n"/>
      <c r="L14" s="194" t="n"/>
      <c r="M14" s="194" t="n"/>
      <c r="N14" s="194" t="n"/>
      <c r="O14" s="194" t="n"/>
      <c r="P14" s="194" t="n"/>
      <c r="Q14" s="194" t="n"/>
      <c r="R14" s="194" t="n"/>
      <c r="S14" s="194" t="n"/>
      <c r="T14" s="194" t="n"/>
      <c r="U14" s="194" t="n"/>
      <c r="V14" s="194" t="n"/>
      <c r="W14" s="194" t="n"/>
      <c r="X14" s="194" t="n"/>
      <c r="Y14" s="194" t="n"/>
      <c r="Z14" s="194" t="n"/>
    </row>
    <row r="15" ht="15" customHeight="1" s="195">
      <c r="A15" s="264" t="inlineStr">
        <is>
          <t>41055990</t>
        </is>
      </c>
      <c r="B15" s="265" t="inlineStr">
        <is>
          <t>DANIEL ZELADA TRUJILLO</t>
        </is>
      </c>
      <c r="C15" s="219" t="inlineStr">
        <is>
          <t>W41055990</t>
        </is>
      </c>
      <c r="D15" s="219" t="inlineStr">
        <is>
          <t>A TRES</t>
        </is>
      </c>
      <c r="E15" s="219" t="inlineStr">
        <is>
          <t>TOYOTA HIACE COMMUTER</t>
        </is>
      </c>
      <c r="F15" s="219" t="inlineStr">
        <is>
          <t>EUA-963</t>
        </is>
      </c>
      <c r="G15" s="219" t="inlineStr">
        <is>
          <t>PETROLEO</t>
        </is>
      </c>
      <c r="H15" s="266" t="inlineStr">
        <is>
          <t>LAMUD</t>
        </is>
      </c>
      <c r="I15" s="194" t="n"/>
      <c r="J15" s="194" t="n"/>
      <c r="K15" s="194" t="n"/>
      <c r="L15" s="194" t="n"/>
      <c r="M15" s="194" t="n"/>
      <c r="N15" s="194" t="n"/>
      <c r="O15" s="194" t="n"/>
      <c r="P15" s="194" t="n"/>
      <c r="Q15" s="194" t="n"/>
      <c r="R15" s="194" t="n"/>
      <c r="S15" s="194" t="n"/>
      <c r="T15" s="194" t="n"/>
      <c r="U15" s="194" t="n"/>
      <c r="V15" s="194" t="n"/>
      <c r="W15" s="194" t="n"/>
      <c r="X15" s="194" t="n"/>
      <c r="Y15" s="194" t="n"/>
      <c r="Z15" s="194" t="n"/>
    </row>
    <row r="16" ht="15" customHeight="1" s="195">
      <c r="A16" s="267" t="inlineStr">
        <is>
          <t>33417227</t>
        </is>
      </c>
      <c r="B16" s="268" t="inlineStr">
        <is>
          <t>SALCEDO ZAGACETA FEDERICO</t>
        </is>
      </c>
      <c r="C16" s="212" t="inlineStr">
        <is>
          <t>W33417227</t>
        </is>
      </c>
      <c r="D16" s="212" t="inlineStr">
        <is>
          <t>A2B</t>
        </is>
      </c>
      <c r="E16" s="212" t="inlineStr">
        <is>
          <t>TOYOTA HAILUX</t>
        </is>
      </c>
      <c r="F16" s="212" t="inlineStr">
        <is>
          <t>EUH-636</t>
        </is>
      </c>
      <c r="G16" s="212" t="inlineStr">
        <is>
          <t>PETROLEO</t>
        </is>
      </c>
      <c r="H16" s="269" t="inlineStr">
        <is>
          <t>LEYMEBAMBA</t>
        </is>
      </c>
      <c r="I16" s="194" t="n"/>
      <c r="J16" s="194" t="n"/>
      <c r="K16" s="194" t="n"/>
      <c r="L16" s="194" t="n"/>
      <c r="M16" s="194" t="n"/>
      <c r="N16" s="194" t="n"/>
      <c r="O16" s="194" t="n"/>
      <c r="P16" s="194" t="n"/>
      <c r="Q16" s="194" t="n"/>
      <c r="R16" s="194" t="n"/>
      <c r="S16" s="194" t="n"/>
      <c r="T16" s="194" t="n"/>
      <c r="U16" s="194" t="n"/>
      <c r="V16" s="194" t="n"/>
      <c r="W16" s="194" t="n"/>
      <c r="X16" s="194" t="n"/>
      <c r="Y16" s="194" t="n"/>
      <c r="Z16" s="194" t="n"/>
    </row>
    <row r="17" ht="15" customHeight="1" s="195">
      <c r="A17" s="264" t="inlineStr">
        <is>
          <t>33400714</t>
        </is>
      </c>
      <c r="B17" s="265" t="inlineStr">
        <is>
          <t>CHAVEZ MORI DIMAS</t>
        </is>
      </c>
      <c r="C17" s="219" t="inlineStr">
        <is>
          <t>W33400714</t>
        </is>
      </c>
      <c r="D17" s="219" t="inlineStr">
        <is>
          <t>TRES C</t>
        </is>
      </c>
      <c r="E17" s="219" t="inlineStr">
        <is>
          <t>HILUX</t>
        </is>
      </c>
      <c r="F17" s="219" t="inlineStr">
        <is>
          <t>EUH 636</t>
        </is>
      </c>
      <c r="G17" s="219" t="inlineStr">
        <is>
          <t>PETROLEO</t>
        </is>
      </c>
      <c r="H17" s="266" t="inlineStr">
        <is>
          <t>LEYMEBAMBA</t>
        </is>
      </c>
      <c r="I17" s="194" t="n"/>
      <c r="J17" s="194" t="n"/>
      <c r="K17" s="194" t="n"/>
      <c r="L17" s="194" t="n"/>
      <c r="M17" s="194" t="n"/>
      <c r="N17" s="194" t="n"/>
      <c r="O17" s="194" t="n"/>
      <c r="P17" s="194" t="n"/>
      <c r="Q17" s="194" t="n"/>
      <c r="R17" s="194" t="n"/>
      <c r="S17" s="194" t="n"/>
      <c r="T17" s="194" t="n"/>
      <c r="U17" s="194" t="n"/>
      <c r="V17" s="194" t="n"/>
      <c r="W17" s="194" t="n"/>
      <c r="X17" s="194" t="n"/>
      <c r="Y17" s="194" t="n"/>
      <c r="Z17" s="194" t="n"/>
    </row>
    <row r="18" ht="15" customHeight="1" s="195">
      <c r="A18" s="267" t="inlineStr">
        <is>
          <t>41614368</t>
        </is>
      </c>
      <c r="B18" s="268" t="inlineStr">
        <is>
          <t>ZAGACETA RUIZ GELLER ENRIQUE</t>
        </is>
      </c>
      <c r="C18" s="212" t="inlineStr">
        <is>
          <t>W41226974</t>
        </is>
      </c>
      <c r="D18" s="212" t="inlineStr">
        <is>
          <t>A TRES C</t>
        </is>
      </c>
      <c r="E18" s="212" t="inlineStr">
        <is>
          <t>TOYOTA HAILUX</t>
        </is>
      </c>
      <c r="F18" s="212" t="inlineStr">
        <is>
          <t>EUH-717</t>
        </is>
      </c>
      <c r="G18" s="212" t="inlineStr">
        <is>
          <t>PETROLEO</t>
        </is>
      </c>
      <c r="H18" s="269" t="inlineStr">
        <is>
          <t>LUYA</t>
        </is>
      </c>
      <c r="I18" s="194" t="n"/>
      <c r="J18" s="194" t="n"/>
      <c r="K18" s="194" t="n"/>
      <c r="L18" s="194" t="n"/>
      <c r="M18" s="194" t="n"/>
      <c r="N18" s="194" t="n"/>
      <c r="O18" s="194" t="n"/>
      <c r="P18" s="194" t="n"/>
      <c r="Q18" s="194" t="n"/>
      <c r="R18" s="194" t="n"/>
      <c r="S18" s="194" t="n"/>
      <c r="T18" s="194" t="n"/>
      <c r="U18" s="194" t="n"/>
      <c r="V18" s="194" t="n"/>
      <c r="W18" s="194" t="n"/>
      <c r="X18" s="194" t="n"/>
      <c r="Y18" s="194" t="n"/>
      <c r="Z18" s="194" t="n"/>
    </row>
    <row r="19" ht="15" customHeight="1" s="195">
      <c r="A19" s="264" t="inlineStr">
        <is>
          <t>33431688</t>
        </is>
      </c>
      <c r="B19" s="265" t="inlineStr">
        <is>
          <t>RUBIO CARO JEYNER</t>
        </is>
      </c>
      <c r="C19" s="219" t="inlineStr">
        <is>
          <t>W33431688</t>
        </is>
      </c>
      <c r="D19" s="219" t="inlineStr">
        <is>
          <t>A III-C</t>
        </is>
      </c>
      <c r="E19" s="219" t="inlineStr">
        <is>
          <t>TOYOTA HILUX 4X4 2023</t>
        </is>
      </c>
      <c r="F19" s="219" t="inlineStr">
        <is>
          <t>EUH-717</t>
        </is>
      </c>
      <c r="G19" s="219" t="inlineStr">
        <is>
          <t>PETROLEO</t>
        </is>
      </c>
      <c r="H19" s="266" t="inlineStr">
        <is>
          <t>LUYA</t>
        </is>
      </c>
      <c r="I19" s="194" t="n"/>
      <c r="J19" s="194" t="n"/>
      <c r="K19" s="194" t="n"/>
      <c r="L19" s="194" t="n"/>
      <c r="M19" s="194" t="n"/>
      <c r="N19" s="194" t="n"/>
      <c r="O19" s="194" t="n"/>
      <c r="P19" s="194" t="n"/>
      <c r="Q19" s="194" t="n"/>
      <c r="R19" s="194" t="n"/>
      <c r="S19" s="194" t="n"/>
      <c r="T19" s="194" t="n"/>
      <c r="U19" s="194" t="n"/>
      <c r="V19" s="194" t="n"/>
      <c r="W19" s="194" t="n"/>
      <c r="X19" s="194" t="n"/>
      <c r="Y19" s="194" t="n"/>
      <c r="Z19" s="194" t="n"/>
    </row>
    <row r="20" ht="15" customHeight="1" s="195">
      <c r="A20" s="267" t="inlineStr">
        <is>
          <t>47438258</t>
        </is>
      </c>
      <c r="B20" s="268" t="inlineStr">
        <is>
          <t>MACHUCA GARRIDO RIDER ALFONSO</t>
        </is>
      </c>
      <c r="C20" s="212" t="inlineStr">
        <is>
          <t>W47438258</t>
        </is>
      </c>
      <c r="D20" s="212" t="inlineStr">
        <is>
          <t>ALLB</t>
        </is>
      </c>
      <c r="E20" s="212" t="inlineStr">
        <is>
          <t>TRANSPORTE</t>
        </is>
      </c>
      <c r="F20" s="212" t="inlineStr">
        <is>
          <t>EUC 956</t>
        </is>
      </c>
      <c r="G20" s="212" t="inlineStr">
        <is>
          <t>PETROLEO</t>
        </is>
      </c>
      <c r="H20" s="269" t="inlineStr">
        <is>
          <t>MARIA</t>
        </is>
      </c>
      <c r="I20" s="194" t="n"/>
      <c r="J20" s="194" t="n"/>
      <c r="K20" s="194" t="n"/>
      <c r="L20" s="194" t="n"/>
      <c r="M20" s="194" t="n"/>
      <c r="N20" s="194" t="n"/>
      <c r="O20" s="194" t="n"/>
      <c r="P20" s="194" t="n"/>
      <c r="Q20" s="194" t="n"/>
      <c r="R20" s="194" t="n"/>
      <c r="S20" s="194" t="n"/>
      <c r="T20" s="194" t="n"/>
      <c r="U20" s="194" t="n"/>
      <c r="V20" s="194" t="n"/>
      <c r="W20" s="194" t="n"/>
      <c r="X20" s="194" t="n"/>
      <c r="Y20" s="194" t="n"/>
      <c r="Z20" s="194" t="n"/>
    </row>
    <row r="21" ht="15" customHeight="1" s="195">
      <c r="A21" s="264" t="inlineStr">
        <is>
          <t>45770781</t>
        </is>
      </c>
      <c r="B21" s="265" t="inlineStr">
        <is>
          <t>VILLA MORI JOSE</t>
        </is>
      </c>
      <c r="C21" s="219" t="inlineStr">
        <is>
          <t>W45770781</t>
        </is>
      </c>
      <c r="D21" s="219" t="inlineStr">
        <is>
          <t>AIIB</t>
        </is>
      </c>
      <c r="E21" s="219" t="inlineStr">
        <is>
          <t>CARAVAN</t>
        </is>
      </c>
      <c r="F21" s="219" t="inlineStr">
        <is>
          <t>EGE-427</t>
        </is>
      </c>
      <c r="G21" s="219" t="inlineStr">
        <is>
          <t>PETROLEO</t>
        </is>
      </c>
      <c r="H21" s="266" t="inlineStr">
        <is>
          <t>MARISCAL BENAVIDES</t>
        </is>
      </c>
      <c r="I21" s="194" t="n"/>
      <c r="J21" s="194" t="n"/>
      <c r="K21" s="194" t="n"/>
      <c r="L21" s="194" t="n"/>
      <c r="M21" s="194" t="n"/>
      <c r="N21" s="194" t="n"/>
      <c r="O21" s="194" t="n"/>
      <c r="P21" s="194" t="n"/>
      <c r="Q21" s="194" t="n"/>
      <c r="R21" s="194" t="n"/>
      <c r="S21" s="194" t="n"/>
      <c r="T21" s="194" t="n"/>
      <c r="U21" s="194" t="n"/>
      <c r="V21" s="194" t="n"/>
      <c r="W21" s="194" t="n"/>
      <c r="X21" s="194" t="n"/>
      <c r="Y21" s="194" t="n"/>
      <c r="Z21" s="194" t="n"/>
    </row>
    <row r="22" ht="15" customHeight="1" s="195">
      <c r="A22" s="267" t="inlineStr">
        <is>
          <t>33428213</t>
        </is>
      </c>
      <c r="B22" s="268" t="inlineStr">
        <is>
          <t>MAGNO CULQUIMBOS RUIZ</t>
        </is>
      </c>
      <c r="C22" s="212" t="inlineStr">
        <is>
          <t>W33428213</t>
        </is>
      </c>
      <c r="D22" s="212" t="inlineStr">
        <is>
          <t>A3C</t>
        </is>
      </c>
      <c r="E22" s="212" t="inlineStr">
        <is>
          <t>TOYOTA HAYLUXS</t>
        </is>
      </c>
      <c r="F22" s="212" t="inlineStr">
        <is>
          <t>EUE-469</t>
        </is>
      </c>
      <c r="G22" s="270" t="inlineStr">
        <is>
          <t>GASOLINA</t>
        </is>
      </c>
      <c r="H22" s="269" t="inlineStr">
        <is>
          <t>MOLINOPAMPA</t>
        </is>
      </c>
      <c r="I22" s="194" t="n"/>
      <c r="J22" s="194" t="n"/>
      <c r="K22" s="194" t="n"/>
      <c r="L22" s="194" t="n"/>
      <c r="M22" s="194" t="n"/>
      <c r="N22" s="194" t="n"/>
      <c r="O22" s="194" t="n"/>
      <c r="P22" s="194" t="n"/>
      <c r="Q22" s="194" t="n"/>
      <c r="R22" s="194" t="n"/>
      <c r="S22" s="194" t="n"/>
      <c r="T22" s="194" t="n"/>
      <c r="U22" s="194" t="n"/>
      <c r="V22" s="194" t="n"/>
      <c r="W22" s="194" t="n"/>
      <c r="X22" s="194" t="n"/>
      <c r="Y22" s="194" t="n"/>
      <c r="Z22" s="194" t="n"/>
    </row>
    <row r="23" ht="15" customHeight="1" s="195">
      <c r="A23" s="264" t="inlineStr">
        <is>
          <t>46078402</t>
        </is>
      </c>
      <c r="B23" s="265" t="inlineStr">
        <is>
          <t>JOSE OLMER CUSQUIPOMA MORI</t>
        </is>
      </c>
      <c r="C23" s="219" t="inlineStr">
        <is>
          <t>D46078402</t>
        </is>
      </c>
      <c r="D23" s="219" t="inlineStr">
        <is>
          <t>2B</t>
        </is>
      </c>
      <c r="E23" s="219" t="inlineStr">
        <is>
          <t>TIPO COMBI</t>
        </is>
      </c>
      <c r="F23" s="219" t="inlineStr">
        <is>
          <t>EUC. 682</t>
        </is>
      </c>
      <c r="G23" s="271" t="inlineStr">
        <is>
          <t>PETROLEO</t>
        </is>
      </c>
      <c r="H23" s="266" t="inlineStr">
        <is>
          <t>NUEVO CHIRIMOTO</t>
        </is>
      </c>
      <c r="I23" s="194" t="n"/>
      <c r="J23" s="194" t="n"/>
      <c r="K23" s="194" t="n"/>
      <c r="L23" s="194" t="n"/>
      <c r="M23" s="194" t="n"/>
      <c r="N23" s="194" t="n"/>
      <c r="O23" s="194" t="n"/>
      <c r="P23" s="194" t="n"/>
      <c r="Q23" s="194" t="n"/>
      <c r="R23" s="194" t="n"/>
      <c r="S23" s="194" t="n"/>
      <c r="T23" s="194" t="n"/>
      <c r="U23" s="194" t="n"/>
      <c r="V23" s="194" t="n"/>
      <c r="W23" s="194" t="n"/>
      <c r="X23" s="194" t="n"/>
      <c r="Y23" s="194" t="n"/>
      <c r="Z23" s="194" t="n"/>
    </row>
    <row r="24" ht="15" customHeight="1" s="195">
      <c r="A24" s="267" t="inlineStr">
        <is>
          <t>33962415</t>
        </is>
      </c>
      <c r="B24" s="268" t="inlineStr">
        <is>
          <t>LOPEZ VARGAS HUBER</t>
        </is>
      </c>
      <c r="C24" s="212" t="inlineStr">
        <is>
          <t>W33962415</t>
        </is>
      </c>
      <c r="D24" s="212" t="inlineStr">
        <is>
          <t>A DOS B</t>
        </is>
      </c>
      <c r="E24" s="212" t="inlineStr">
        <is>
          <t>TOYOTA HILUX</t>
        </is>
      </c>
      <c r="F24" s="212" t="inlineStr">
        <is>
          <t>EUH 634</t>
        </is>
      </c>
      <c r="G24" s="212" t="inlineStr">
        <is>
          <t>PETROLEO</t>
        </is>
      </c>
      <c r="H24" s="269" t="inlineStr">
        <is>
          <t>OMIA</t>
        </is>
      </c>
      <c r="I24" s="194" t="n"/>
      <c r="J24" s="194" t="n"/>
      <c r="K24" s="194" t="n"/>
      <c r="L24" s="194" t="n"/>
      <c r="M24" s="194" t="n"/>
      <c r="N24" s="194" t="n"/>
      <c r="O24" s="194" t="n"/>
      <c r="P24" s="194" t="n"/>
      <c r="Q24" s="194" t="n"/>
      <c r="R24" s="194" t="n"/>
      <c r="S24" s="194" t="n"/>
      <c r="T24" s="194" t="n"/>
      <c r="U24" s="194" t="n"/>
      <c r="V24" s="194" t="n"/>
      <c r="W24" s="194" t="n"/>
      <c r="X24" s="194" t="n"/>
      <c r="Y24" s="194" t="n"/>
      <c r="Z24" s="194" t="n"/>
    </row>
    <row r="25" ht="15" customHeight="1" s="195">
      <c r="A25" s="264" t="inlineStr">
        <is>
          <t>33401502</t>
        </is>
      </c>
      <c r="B25" s="265" t="inlineStr">
        <is>
          <t>MUNOZ VERGARAY JORGE ENRRIQUE</t>
        </is>
      </c>
      <c r="C25" s="219" t="inlineStr">
        <is>
          <t>W33401502</t>
        </is>
      </c>
      <c r="D25" s="219" t="inlineStr">
        <is>
          <t>A3C</t>
        </is>
      </c>
      <c r="E25" s="219" t="inlineStr">
        <is>
          <t>NISSAN URVAN</t>
        </is>
      </c>
      <c r="F25" s="219" t="inlineStr">
        <is>
          <t>EUH 427</t>
        </is>
      </c>
      <c r="G25" s="271" t="inlineStr">
        <is>
          <t>GASOLINA</t>
        </is>
      </c>
      <c r="H25" s="266" t="inlineStr">
        <is>
          <t>PEDRO RUIZ GALLO</t>
        </is>
      </c>
      <c r="I25" s="194" t="n"/>
      <c r="J25" s="194" t="n"/>
      <c r="K25" s="194" t="n"/>
      <c r="L25" s="194" t="n"/>
      <c r="M25" s="194" t="n"/>
      <c r="N25" s="194" t="n"/>
      <c r="O25" s="194" t="n"/>
      <c r="P25" s="194" t="n"/>
      <c r="Q25" s="194" t="n"/>
      <c r="R25" s="194" t="n"/>
      <c r="S25" s="194" t="n"/>
      <c r="T25" s="194" t="n"/>
      <c r="U25" s="194" t="n"/>
      <c r="V25" s="194" t="n"/>
      <c r="W25" s="194" t="n"/>
      <c r="X25" s="194" t="n"/>
      <c r="Y25" s="194" t="n"/>
      <c r="Z25" s="194" t="n"/>
    </row>
    <row r="26" ht="15" customHeight="1" s="195">
      <c r="A26" s="267" t="inlineStr">
        <is>
          <t>71640877</t>
        </is>
      </c>
      <c r="B26" s="268" t="inlineStr">
        <is>
          <t>MONTENEGRO RUIZ LUIS MIGUEL</t>
        </is>
      </c>
      <c r="C26" s="212" t="inlineStr">
        <is>
          <t>W71640877</t>
        </is>
      </c>
      <c r="D26" s="212" t="inlineStr">
        <is>
          <t>A2B</t>
        </is>
      </c>
      <c r="E26" s="212" t="inlineStr">
        <is>
          <t>NISSAN URVAN</t>
        </is>
      </c>
      <c r="F26" s="212" t="inlineStr">
        <is>
          <t>EUH-427</t>
        </is>
      </c>
      <c r="G26" s="212" t="inlineStr">
        <is>
          <t>PETROLEO</t>
        </is>
      </c>
      <c r="H26" s="269" t="inlineStr">
        <is>
          <t>PEDRO RUIZ GALLO</t>
        </is>
      </c>
      <c r="I26" s="194" t="n"/>
      <c r="J26" s="194" t="n"/>
      <c r="K26" s="194" t="n"/>
      <c r="L26" s="194" t="n"/>
      <c r="M26" s="194" t="n"/>
      <c r="N26" s="194" t="n"/>
      <c r="O26" s="194" t="n"/>
      <c r="P26" s="194" t="n"/>
      <c r="Q26" s="194" t="n"/>
      <c r="R26" s="194" t="n"/>
      <c r="S26" s="194" t="n"/>
      <c r="T26" s="194" t="n"/>
      <c r="U26" s="194" t="n"/>
      <c r="V26" s="194" t="n"/>
      <c r="W26" s="194" t="n"/>
      <c r="X26" s="194" t="n"/>
      <c r="Y26" s="194" t="n"/>
      <c r="Z26" s="194" t="n"/>
    </row>
    <row r="27" ht="15" customHeight="1" s="195">
      <c r="A27" s="264" t="inlineStr">
        <is>
          <t>42494083</t>
        </is>
      </c>
      <c r="B27" s="265" t="inlineStr">
        <is>
          <t>RIOS CHAVEZ WUILQUE</t>
        </is>
      </c>
      <c r="C27" s="219" t="inlineStr">
        <is>
          <t>W42494083</t>
        </is>
      </c>
      <c r="D27" s="219" t="inlineStr">
        <is>
          <t>A LLL C</t>
        </is>
      </c>
      <c r="E27" s="219" t="inlineStr">
        <is>
          <t>HILUX-NISSAN</t>
        </is>
      </c>
      <c r="F27" s="219" t="inlineStr">
        <is>
          <t>EUD360</t>
        </is>
      </c>
      <c r="G27" s="219" t="inlineStr">
        <is>
          <t>PETROLEO</t>
        </is>
      </c>
      <c r="H27" s="266" t="inlineStr">
        <is>
          <t>PEDRO RUIZ GALLO</t>
        </is>
      </c>
      <c r="I27" s="194" t="n"/>
      <c r="J27" s="194" t="n"/>
      <c r="K27" s="194" t="n"/>
      <c r="L27" s="194" t="n"/>
      <c r="M27" s="194" t="n"/>
      <c r="N27" s="194" t="n"/>
      <c r="O27" s="194" t="n"/>
      <c r="P27" s="194" t="n"/>
      <c r="Q27" s="194" t="n"/>
      <c r="R27" s="194" t="n"/>
      <c r="S27" s="194" t="n"/>
      <c r="T27" s="194" t="n"/>
      <c r="U27" s="194" t="n"/>
      <c r="V27" s="194" t="n"/>
      <c r="W27" s="194" t="n"/>
      <c r="X27" s="194" t="n"/>
      <c r="Y27" s="194" t="n"/>
      <c r="Z27" s="194" t="n"/>
    </row>
    <row r="28" ht="15" customHeight="1" s="195">
      <c r="A28" s="267" t="inlineStr">
        <is>
          <t>33726013</t>
        </is>
      </c>
      <c r="B28" s="268" t="inlineStr">
        <is>
          <t>CHICANA LOPEZ MANUEL HECTOR</t>
        </is>
      </c>
      <c r="C28" s="212" t="inlineStr">
        <is>
          <t>W33726013</t>
        </is>
      </c>
      <c r="D28" s="212" t="inlineStr">
        <is>
          <t>A TRES B</t>
        </is>
      </c>
      <c r="E28" s="212" t="inlineStr">
        <is>
          <t>HILUX</t>
        </is>
      </c>
      <c r="F28" s="212" t="inlineStr">
        <is>
          <t>EUH747</t>
        </is>
      </c>
      <c r="G28" s="212" t="inlineStr">
        <is>
          <t>PETROLEO</t>
        </is>
      </c>
      <c r="H28" s="269" t="inlineStr">
        <is>
          <t>POMACOCHAS</t>
        </is>
      </c>
      <c r="I28" s="194" t="n"/>
      <c r="J28" s="194" t="n"/>
      <c r="K28" s="194" t="n"/>
      <c r="L28" s="194" t="n"/>
      <c r="M28" s="194" t="n"/>
      <c r="N28" s="194" t="n"/>
      <c r="O28" s="194" t="n"/>
      <c r="P28" s="194" t="n"/>
      <c r="Q28" s="194" t="n"/>
      <c r="R28" s="194" t="n"/>
      <c r="S28" s="194" t="n"/>
      <c r="T28" s="194" t="n"/>
      <c r="U28" s="194" t="n"/>
      <c r="V28" s="194" t="n"/>
      <c r="W28" s="194" t="n"/>
      <c r="X28" s="194" t="n"/>
      <c r="Y28" s="194" t="n"/>
      <c r="Z28" s="194" t="n"/>
    </row>
    <row r="29" ht="15" customHeight="1" s="195">
      <c r="A29" s="264" t="inlineStr">
        <is>
          <t>33727119</t>
        </is>
      </c>
      <c r="B29" s="265" t="inlineStr">
        <is>
          <t>CARRERA ARAUJO JEINER</t>
        </is>
      </c>
      <c r="C29" s="219" t="inlineStr">
        <is>
          <t>W33727119</t>
        </is>
      </c>
      <c r="D29" s="219" t="inlineStr">
        <is>
          <t>A IIIC</t>
        </is>
      </c>
      <c r="E29" s="219" t="inlineStr">
        <is>
          <t>HILUX</t>
        </is>
      </c>
      <c r="F29" s="219" t="inlineStr">
        <is>
          <t>EUH747</t>
        </is>
      </c>
      <c r="G29" s="219" t="inlineStr">
        <is>
          <t>PETROLEO</t>
        </is>
      </c>
      <c r="H29" s="266" t="inlineStr">
        <is>
          <t>POMACOCHAS</t>
        </is>
      </c>
      <c r="I29" s="194" t="n"/>
      <c r="J29" s="194" t="n"/>
      <c r="K29" s="194" t="n"/>
      <c r="L29" s="194" t="n"/>
      <c r="M29" s="194" t="n"/>
      <c r="N29" s="194" t="n"/>
      <c r="O29" s="194" t="n"/>
      <c r="P29" s="194" t="n"/>
      <c r="Q29" s="194" t="n"/>
      <c r="R29" s="194" t="n"/>
      <c r="S29" s="194" t="n"/>
      <c r="T29" s="194" t="n"/>
      <c r="U29" s="194" t="n"/>
      <c r="V29" s="194" t="n"/>
      <c r="W29" s="194" t="n"/>
      <c r="X29" s="194" t="n"/>
      <c r="Y29" s="194" t="n"/>
      <c r="Z29" s="194" t="n"/>
    </row>
    <row r="30" ht="15" customHeight="1" s="195">
      <c r="A30" s="267" t="inlineStr">
        <is>
          <t>42473516</t>
        </is>
      </c>
      <c r="B30" s="268" t="inlineStr">
        <is>
          <t>JULCA RITUAY ROGER</t>
        </is>
      </c>
      <c r="C30" s="212" t="inlineStr">
        <is>
          <t>W42473516</t>
        </is>
      </c>
      <c r="D30" s="212" t="inlineStr">
        <is>
          <t>ALL B</t>
        </is>
      </c>
      <c r="E30" s="212" t="inlineStr">
        <is>
          <t>TOYOTA HILUX</t>
        </is>
      </c>
      <c r="F30" s="212" t="inlineStr">
        <is>
          <t>EUH 414</t>
        </is>
      </c>
      <c r="G30" s="212" t="inlineStr">
        <is>
          <t>PETROLEO</t>
        </is>
      </c>
      <c r="H30" s="269" t="inlineStr">
        <is>
          <t>SANTO TOMAS</t>
        </is>
      </c>
      <c r="I30" s="194" t="n"/>
      <c r="J30" s="194" t="n"/>
      <c r="K30" s="194" t="n"/>
      <c r="L30" s="194" t="n"/>
      <c r="M30" s="194" t="n"/>
      <c r="N30" s="194" t="n"/>
      <c r="O30" s="194" t="n"/>
      <c r="P30" s="194" t="n"/>
      <c r="Q30" s="194" t="n"/>
      <c r="R30" s="194" t="n"/>
      <c r="S30" s="194" t="n"/>
      <c r="T30" s="194" t="n"/>
      <c r="U30" s="194" t="n"/>
      <c r="V30" s="194" t="n"/>
      <c r="W30" s="194" t="n"/>
      <c r="X30" s="194" t="n"/>
      <c r="Y30" s="194" t="n"/>
      <c r="Z30" s="194" t="n"/>
    </row>
    <row r="31" ht="15" customHeight="1" s="195">
      <c r="A31" s="264" t="inlineStr">
        <is>
          <t>44462598</t>
        </is>
      </c>
      <c r="B31" s="265" t="inlineStr">
        <is>
          <t>EDINSON CARRASCO VELA</t>
        </is>
      </c>
      <c r="C31" s="219" t="inlineStr">
        <is>
          <t>W44462598</t>
        </is>
      </c>
      <c r="D31" s="219" t="inlineStr">
        <is>
          <t>A2B</t>
        </is>
      </c>
      <c r="E31" s="219" t="inlineStr">
        <is>
          <t>HAY LUX 4X4</t>
        </is>
      </c>
      <c r="F31" s="219" t="inlineStr">
        <is>
          <t>EUE-457</t>
        </is>
      </c>
      <c r="G31" s="271" t="inlineStr">
        <is>
          <t>GASOLINA</t>
        </is>
      </c>
      <c r="H31" s="266" t="inlineStr">
        <is>
          <t>SALAZAR</t>
        </is>
      </c>
      <c r="I31" s="194" t="n"/>
      <c r="J31" s="194" t="n"/>
      <c r="K31" s="194" t="n"/>
      <c r="L31" s="194" t="n"/>
      <c r="M31" s="194" t="n"/>
      <c r="N31" s="194" t="n"/>
      <c r="O31" s="194" t="n"/>
      <c r="P31" s="194" t="n"/>
      <c r="Q31" s="194" t="n"/>
      <c r="R31" s="194" t="n"/>
      <c r="S31" s="194" t="n"/>
      <c r="T31" s="194" t="n"/>
      <c r="U31" s="194" t="n"/>
      <c r="V31" s="194" t="n"/>
      <c r="W31" s="194" t="n"/>
      <c r="X31" s="194" t="n"/>
      <c r="Y31" s="194" t="n"/>
      <c r="Z31" s="194" t="n"/>
    </row>
    <row r="32" ht="15" customHeight="1" s="195">
      <c r="A32" s="267" t="inlineStr">
        <is>
          <t>33816046</t>
        </is>
      </c>
      <c r="B32" s="268" t="inlineStr">
        <is>
          <t>VILCARROMERO TORREJON HERMERSON</t>
        </is>
      </c>
      <c r="C32" s="212" t="inlineStr">
        <is>
          <t>W33816046</t>
        </is>
      </c>
      <c r="D32" s="212" t="inlineStr">
        <is>
          <t>TRES C</t>
        </is>
      </c>
      <c r="E32" s="212" t="inlineStr">
        <is>
          <t>HIACE COMMUTER</t>
        </is>
      </c>
      <c r="F32" s="212" t="inlineStr">
        <is>
          <t>EUD-917</t>
        </is>
      </c>
      <c r="G32" s="212" t="inlineStr">
        <is>
          <t>PETROLEO</t>
        </is>
      </c>
      <c r="H32" s="269" t="inlineStr">
        <is>
          <t>TINGO</t>
        </is>
      </c>
      <c r="I32" s="194" t="n"/>
      <c r="J32" s="194" t="n"/>
      <c r="K32" s="194" t="n"/>
      <c r="L32" s="194" t="n"/>
      <c r="M32" s="194" t="n"/>
      <c r="N32" s="194" t="n"/>
      <c r="O32" s="194" t="n"/>
      <c r="P32" s="194" t="n"/>
      <c r="Q32" s="194" t="n"/>
      <c r="R32" s="194" t="n"/>
      <c r="S32" s="194" t="n"/>
      <c r="T32" s="194" t="n"/>
      <c r="U32" s="194" t="n"/>
      <c r="V32" s="194" t="n"/>
      <c r="W32" s="194" t="n"/>
      <c r="X32" s="194" t="n"/>
      <c r="Y32" s="194" t="n"/>
      <c r="Z32" s="194" t="n"/>
    </row>
    <row r="33" ht="15" customHeight="1" s="195">
      <c r="A33" s="264" t="inlineStr">
        <is>
          <t>70790222</t>
        </is>
      </c>
      <c r="B33" s="265" t="inlineStr">
        <is>
          <t>VILLA GONGORA RODVIN LUIS</t>
        </is>
      </c>
      <c r="C33" s="219" t="inlineStr">
        <is>
          <t>W70790222</t>
        </is>
      </c>
      <c r="D33" s="219" t="inlineStr">
        <is>
          <t>AII-B</t>
        </is>
      </c>
      <c r="E33" s="219" t="inlineStr">
        <is>
          <t>TOYOTA HILUX 4X4 T-II</t>
        </is>
      </c>
      <c r="F33" s="219" t="inlineStr">
        <is>
          <t>EUD-684</t>
        </is>
      </c>
      <c r="G33" s="219" t="inlineStr">
        <is>
          <t>PETROLEO</t>
        </is>
      </c>
      <c r="H33" s="266" t="inlineStr">
        <is>
          <t>TOTORA</t>
        </is>
      </c>
      <c r="I33" s="194" t="n"/>
      <c r="J33" s="194" t="n"/>
      <c r="K33" s="194" t="n"/>
      <c r="L33" s="194" t="n"/>
      <c r="M33" s="194" t="n"/>
      <c r="N33" s="194" t="n"/>
      <c r="O33" s="194" t="n"/>
      <c r="P33" s="194" t="n"/>
      <c r="Q33" s="194" t="n"/>
      <c r="R33" s="194" t="n"/>
      <c r="S33" s="194" t="n"/>
      <c r="T33" s="194" t="n"/>
      <c r="U33" s="194" t="n"/>
      <c r="V33" s="194" t="n"/>
      <c r="W33" s="194" t="n"/>
      <c r="X33" s="194" t="n"/>
      <c r="Y33" s="194" t="n"/>
      <c r="Z33" s="194" t="n"/>
    </row>
    <row r="34" ht="15" customHeight="1" s="195">
      <c r="A34" s="267" t="inlineStr">
        <is>
          <t>33725999</t>
        </is>
      </c>
      <c r="B34" s="268" t="inlineStr">
        <is>
          <t>CHICANA VALLE JAIME</t>
        </is>
      </c>
      <c r="C34" s="212" t="n"/>
      <c r="D34" s="212" t="inlineStr">
        <is>
          <t>A 2B</t>
        </is>
      </c>
      <c r="E34" s="212" t="inlineStr">
        <is>
          <t>BOXER</t>
        </is>
      </c>
      <c r="F34" s="212" t="inlineStr">
        <is>
          <t>EGU 916</t>
        </is>
      </c>
      <c r="G34" s="270" t="inlineStr">
        <is>
          <t>PETROLEO</t>
        </is>
      </c>
      <c r="H34" s="269" t="inlineStr">
        <is>
          <t>YAMBRASBAMBA</t>
        </is>
      </c>
      <c r="I34" s="194" t="n"/>
      <c r="J34" s="194" t="n"/>
      <c r="K34" s="194" t="n"/>
      <c r="L34" s="194" t="n"/>
      <c r="M34" s="194" t="n"/>
      <c r="N34" s="194" t="n"/>
      <c r="O34" s="194" t="n"/>
      <c r="P34" s="194" t="n"/>
      <c r="Q34" s="194" t="n"/>
      <c r="R34" s="194" t="n"/>
      <c r="S34" s="194" t="n"/>
      <c r="T34" s="194" t="n"/>
      <c r="U34" s="194" t="n"/>
      <c r="V34" s="194" t="n"/>
      <c r="W34" s="194" t="n"/>
      <c r="X34" s="194" t="n"/>
      <c r="Y34" s="194" t="n"/>
      <c r="Z34" s="194" t="n"/>
    </row>
    <row r="35" ht="15" customHeight="1" s="195">
      <c r="A35" s="264" t="inlineStr">
        <is>
          <t>40051255</t>
        </is>
      </c>
      <c r="B35" s="265" t="inlineStr">
        <is>
          <t>SANCHEZ CAJO VICENTE</t>
        </is>
      </c>
      <c r="C35" s="219" t="inlineStr">
        <is>
          <t>C40051255</t>
        </is>
      </c>
      <c r="D35" s="219" t="inlineStr">
        <is>
          <t>A2B</t>
        </is>
      </c>
      <c r="E35" s="219" t="inlineStr">
        <is>
          <t>TOYOTA HIACE</t>
        </is>
      </c>
      <c r="F35" s="219" t="inlineStr">
        <is>
          <t>EGL-296</t>
        </is>
      </c>
      <c r="G35" s="219" t="inlineStr">
        <is>
          <t>PETROLEO</t>
        </is>
      </c>
      <c r="H35" s="266" t="inlineStr">
        <is>
          <t>YERBABUENA</t>
        </is>
      </c>
      <c r="I35" s="194" t="n"/>
      <c r="J35" s="194" t="n"/>
      <c r="K35" s="194" t="n"/>
      <c r="L35" s="194" t="n"/>
      <c r="M35" s="194" t="n"/>
      <c r="N35" s="194" t="n"/>
      <c r="O35" s="194" t="n"/>
      <c r="P35" s="194" t="n"/>
      <c r="Q35" s="194" t="n"/>
      <c r="R35" s="194" t="n"/>
      <c r="S35" s="194" t="n"/>
      <c r="T35" s="194" t="n"/>
      <c r="U35" s="194" t="n"/>
      <c r="V35" s="194" t="n"/>
      <c r="W35" s="194" t="n"/>
      <c r="X35" s="194" t="n"/>
      <c r="Y35" s="194" t="n"/>
      <c r="Z35" s="194" t="n"/>
    </row>
    <row r="36" ht="15" customHeight="1" s="195">
      <c r="A36" s="267" t="inlineStr">
        <is>
          <t>46218156</t>
        </is>
      </c>
      <c r="B36" s="268" t="inlineStr">
        <is>
          <t>GEINER ZAVALETA TAFUR</t>
        </is>
      </c>
      <c r="C36" s="212" t="inlineStr">
        <is>
          <t>W46218156</t>
        </is>
      </c>
      <c r="D36" s="212" t="inlineStr">
        <is>
          <t>A2B</t>
        </is>
      </c>
      <c r="E36" s="212" t="inlineStr">
        <is>
          <t>AMBULANCIA</t>
        </is>
      </c>
      <c r="F36" s="212" t="inlineStr">
        <is>
          <t>NO TIENE</t>
        </is>
      </c>
      <c r="G36" s="270" t="inlineStr">
        <is>
          <t>PETROLEO</t>
        </is>
      </c>
      <c r="H36" s="269" t="inlineStr">
        <is>
          <t>ZARUMILLA</t>
        </is>
      </c>
      <c r="I36" s="194" t="n"/>
      <c r="J36" s="194" t="n"/>
      <c r="K36" s="194" t="n"/>
      <c r="L36" s="194" t="n"/>
      <c r="M36" s="194" t="n"/>
      <c r="N36" s="194" t="n"/>
      <c r="O36" s="194" t="n"/>
      <c r="P36" s="194" t="n"/>
      <c r="Q36" s="194" t="n"/>
      <c r="R36" s="194" t="n"/>
      <c r="S36" s="194" t="n"/>
      <c r="T36" s="194" t="n"/>
      <c r="U36" s="194" t="n"/>
      <c r="V36" s="194" t="n"/>
      <c r="W36" s="194" t="n"/>
      <c r="X36" s="194" t="n"/>
      <c r="Y36" s="194" t="n"/>
      <c r="Z36" s="194" t="n"/>
    </row>
    <row r="37" ht="15" customHeight="1" s="195">
      <c r="A37" s="272" t="inlineStr">
        <is>
          <t>48515797</t>
        </is>
      </c>
      <c r="B37" s="273" t="inlineStr">
        <is>
          <t xml:space="preserve">LLUNER ESTEBES MARIN DAMACEN </t>
        </is>
      </c>
      <c r="C37" s="274" t="inlineStr">
        <is>
          <t>W48515797</t>
        </is>
      </c>
      <c r="D37" s="274" t="inlineStr">
        <is>
          <t>A2B</t>
        </is>
      </c>
      <c r="E37" s="274" t="inlineStr">
        <is>
          <t>TOYOTA HILUX 22R</t>
        </is>
      </c>
      <c r="F37" s="274" t="inlineStr">
        <is>
          <t>EUD-262</t>
        </is>
      </c>
      <c r="G37" s="274" t="inlineStr">
        <is>
          <t>GASOLINA</t>
        </is>
      </c>
      <c r="H37" s="275" t="inlineStr">
        <is>
          <t>COCABAMBA</t>
        </is>
      </c>
      <c r="I37" s="194" t="n"/>
      <c r="J37" s="194" t="n"/>
      <c r="K37" s="194" t="n"/>
      <c r="L37" s="194" t="n"/>
      <c r="M37" s="194" t="n"/>
      <c r="N37" s="194" t="n"/>
      <c r="O37" s="194" t="n"/>
      <c r="P37" s="194" t="n"/>
      <c r="Q37" s="194" t="n"/>
      <c r="R37" s="194" t="n"/>
      <c r="S37" s="194" t="n"/>
      <c r="T37" s="194" t="n"/>
      <c r="U37" s="194" t="n"/>
      <c r="V37" s="194" t="n"/>
      <c r="W37" s="194" t="n"/>
      <c r="X37" s="194" t="n"/>
      <c r="Y37" s="194" t="n"/>
      <c r="Z37" s="194" t="n"/>
    </row>
    <row r="38" ht="15" customHeight="1" s="195">
      <c r="A38" s="272" t="inlineStr">
        <is>
          <t>16712192</t>
        </is>
      </c>
      <c r="B38" s="273" t="inlineStr">
        <is>
          <t>ALBERTO FARRO PEREZ</t>
        </is>
      </c>
      <c r="C38" s="274" t="inlineStr">
        <is>
          <t>C16712192</t>
        </is>
      </c>
      <c r="D38" s="274" t="inlineStr">
        <is>
          <t>A2B</t>
        </is>
      </c>
      <c r="E38" s="274" t="inlineStr">
        <is>
          <t>TOYOYA HILUX</t>
        </is>
      </c>
      <c r="F38" s="274" t="inlineStr">
        <is>
          <t>EGO-124</t>
        </is>
      </c>
      <c r="G38" s="274" t="inlineStr">
        <is>
          <t>PETROLEO</t>
        </is>
      </c>
      <c r="H38" s="275" t="inlineStr">
        <is>
          <t>OCALLI</t>
        </is>
      </c>
      <c r="I38" s="194" t="n"/>
      <c r="J38" s="194" t="n"/>
      <c r="K38" s="194" t="n"/>
      <c r="L38" s="194" t="n"/>
      <c r="M38" s="194" t="n"/>
      <c r="N38" s="194" t="n"/>
      <c r="O38" s="194" t="n"/>
      <c r="P38" s="194" t="n"/>
      <c r="Q38" s="194" t="n"/>
      <c r="R38" s="194" t="n"/>
      <c r="S38" s="194" t="n"/>
      <c r="T38" s="194" t="n"/>
      <c r="U38" s="194" t="n"/>
      <c r="V38" s="194" t="n"/>
      <c r="W38" s="194" t="n"/>
      <c r="X38" s="194" t="n"/>
      <c r="Y38" s="194" t="n"/>
      <c r="Z38" s="194" t="n"/>
    </row>
    <row r="39" ht="15" customHeight="1" s="195">
      <c r="A39" s="272" t="inlineStr">
        <is>
          <t>44703306</t>
        </is>
      </c>
      <c r="B39" s="273" t="inlineStr">
        <is>
          <t>RONAL SAUCEDO GUEVARA</t>
        </is>
      </c>
      <c r="C39" s="274" t="inlineStr">
        <is>
          <t>W44703306</t>
        </is>
      </c>
      <c r="D39" s="274" t="inlineStr">
        <is>
          <t>A2B</t>
        </is>
      </c>
      <c r="E39" s="274" t="inlineStr">
        <is>
          <t>TIPO I</t>
        </is>
      </c>
      <c r="F39" s="274" t="inlineStr">
        <is>
          <t>EUB-067</t>
        </is>
      </c>
      <c r="G39" s="274" t="inlineStr">
        <is>
          <t>GASOLINA</t>
        </is>
      </c>
      <c r="H39" s="275" t="inlineStr">
        <is>
          <t>BUENOS AIRES</t>
        </is>
      </c>
      <c r="I39" s="194" t="n"/>
      <c r="J39" s="194" t="n"/>
      <c r="K39" s="194" t="n"/>
      <c r="L39" s="194" t="n"/>
      <c r="M39" s="194" t="n"/>
      <c r="N39" s="194" t="n"/>
      <c r="O39" s="194" t="n"/>
      <c r="P39" s="194" t="n"/>
      <c r="Q39" s="194" t="n"/>
      <c r="R39" s="194" t="n"/>
      <c r="S39" s="194" t="n"/>
      <c r="T39" s="194" t="n"/>
      <c r="U39" s="194" t="n"/>
      <c r="V39" s="194" t="n"/>
      <c r="W39" s="194" t="n"/>
      <c r="X39" s="194" t="n"/>
      <c r="Y39" s="194" t="n"/>
      <c r="Z39" s="194" t="n"/>
    </row>
    <row r="40" ht="15" customHeight="1" s="195">
      <c r="A40" s="276" t="inlineStr">
        <is>
          <t>75492112</t>
        </is>
      </c>
      <c r="B40" s="277" t="inlineStr">
        <is>
          <t>NAIDER TELLO ESTELA</t>
        </is>
      </c>
      <c r="C40" s="278" t="inlineStr">
        <is>
          <t>Q75492112</t>
        </is>
      </c>
      <c r="D40" s="278" t="inlineStr">
        <is>
          <t>A2B</t>
        </is>
      </c>
      <c r="E40" s="278" t="inlineStr">
        <is>
          <t>TOYOTA HILUX 4X4</t>
        </is>
      </c>
      <c r="F40" s="278" t="inlineStr">
        <is>
          <t>EUH-708</t>
        </is>
      </c>
      <c r="G40" s="278" t="inlineStr">
        <is>
          <t>PETROLEO</t>
        </is>
      </c>
      <c r="H40" s="279" t="inlineStr">
        <is>
          <t>COCOCHO</t>
        </is>
      </c>
      <c r="I40" s="194" t="n"/>
      <c r="J40" s="194" t="n"/>
      <c r="K40" s="194" t="n"/>
      <c r="L40" s="194" t="n"/>
      <c r="M40" s="194" t="n"/>
      <c r="N40" s="194" t="n"/>
      <c r="O40" s="194" t="n"/>
      <c r="P40" s="194" t="n"/>
      <c r="Q40" s="194" t="n"/>
      <c r="R40" s="194" t="n"/>
      <c r="S40" s="194" t="n"/>
      <c r="T40" s="194" t="n"/>
      <c r="U40" s="194" t="n"/>
      <c r="V40" s="194" t="n"/>
      <c r="W40" s="194" t="n"/>
      <c r="X40" s="194" t="n"/>
      <c r="Y40" s="194" t="n"/>
      <c r="Z40" s="194" t="n"/>
    </row>
    <row r="41" ht="15" customHeight="1" s="195">
      <c r="A41" s="280" t="n"/>
      <c r="B41" s="281" t="n"/>
      <c r="C41" s="280" t="n"/>
      <c r="D41" s="280" t="n"/>
      <c r="E41" s="280" t="n"/>
      <c r="F41" s="280" t="n"/>
      <c r="G41" s="280" t="n"/>
      <c r="H41" s="280" t="n"/>
      <c r="I41" s="194" t="n"/>
      <c r="J41" s="194" t="n"/>
      <c r="K41" s="194" t="n"/>
      <c r="L41" s="194" t="n"/>
      <c r="M41" s="194" t="n"/>
      <c r="N41" s="194" t="n"/>
      <c r="O41" s="194" t="n"/>
      <c r="P41" s="194" t="n"/>
      <c r="Q41" s="194" t="n"/>
      <c r="R41" s="194" t="n"/>
      <c r="S41" s="194" t="n"/>
      <c r="T41" s="194" t="n"/>
      <c r="U41" s="194" t="n"/>
      <c r="V41" s="194" t="n"/>
      <c r="W41" s="194" t="n"/>
      <c r="X41" s="194" t="n"/>
      <c r="Y41" s="194" t="n"/>
      <c r="Z41" s="194" t="n"/>
    </row>
    <row r="42" ht="15.75" customHeight="1" s="195">
      <c r="I42" s="194" t="n"/>
      <c r="J42" s="194" t="n"/>
      <c r="K42" s="194" t="n"/>
      <c r="L42" s="194" t="n"/>
      <c r="M42" s="194" t="n"/>
      <c r="N42" s="194" t="n"/>
      <c r="O42" s="194" t="n"/>
      <c r="P42" s="194" t="n"/>
      <c r="Q42" s="194" t="n"/>
      <c r="R42" s="194" t="n"/>
      <c r="S42" s="194" t="n"/>
      <c r="T42" s="194" t="n"/>
      <c r="U42" s="194" t="n"/>
      <c r="V42" s="194" t="n"/>
      <c r="W42" s="194" t="n"/>
      <c r="X42" s="194" t="n"/>
      <c r="Y42" s="194" t="n"/>
      <c r="Z42" s="194" t="n"/>
    </row>
    <row r="43" ht="15" customHeight="1" s="195">
      <c r="A43" s="282" t="inlineStr">
        <is>
          <t>NOTA: Agregue conductores faltantes al final. Las formulas los reconocen automaticamente.</t>
        </is>
      </c>
      <c r="I43" s="194" t="n"/>
      <c r="J43" s="194" t="n"/>
      <c r="K43" s="194" t="n"/>
      <c r="L43" s="194" t="n"/>
      <c r="M43" s="194" t="n"/>
      <c r="N43" s="194" t="n"/>
      <c r="O43" s="194" t="n"/>
      <c r="P43" s="194" t="n"/>
      <c r="Q43" s="194" t="n"/>
      <c r="R43" s="194" t="n"/>
      <c r="S43" s="194" t="n"/>
      <c r="T43" s="194" t="n"/>
      <c r="U43" s="194" t="n"/>
      <c r="V43" s="194" t="n"/>
      <c r="W43" s="194" t="n"/>
      <c r="X43" s="194" t="n"/>
      <c r="Y43" s="194" t="n"/>
      <c r="Z43" s="194" t="n"/>
    </row>
    <row r="44" ht="15.75" customHeight="1" s="195">
      <c r="I44" s="194" t="n"/>
      <c r="J44" s="194" t="n"/>
      <c r="K44" s="194" t="n"/>
      <c r="L44" s="194" t="n"/>
      <c r="M44" s="194" t="n"/>
      <c r="N44" s="194" t="n"/>
      <c r="O44" s="194" t="n"/>
      <c r="P44" s="194" t="n"/>
      <c r="Q44" s="194" t="n"/>
      <c r="R44" s="194" t="n"/>
      <c r="S44" s="194" t="n"/>
      <c r="T44" s="194" t="n"/>
      <c r="U44" s="194" t="n"/>
      <c r="V44" s="194" t="n"/>
      <c r="W44" s="194" t="n"/>
      <c r="X44" s="194" t="n"/>
      <c r="Y44" s="194" t="n"/>
      <c r="Z44" s="194" t="n"/>
    </row>
    <row r="45" ht="15.75" customHeight="1" s="195">
      <c r="I45" s="194" t="n"/>
      <c r="J45" s="194" t="n"/>
      <c r="K45" s="194" t="n"/>
      <c r="L45" s="194" t="n"/>
      <c r="M45" s="194" t="n"/>
      <c r="N45" s="194" t="n"/>
      <c r="O45" s="194" t="n"/>
      <c r="P45" s="194" t="n"/>
      <c r="Q45" s="194" t="n"/>
      <c r="R45" s="194" t="n"/>
      <c r="S45" s="194" t="n"/>
      <c r="T45" s="194" t="n"/>
      <c r="U45" s="194" t="n"/>
      <c r="V45" s="194" t="n"/>
      <c r="W45" s="194" t="n"/>
      <c r="X45" s="194" t="n"/>
      <c r="Y45" s="194" t="n"/>
      <c r="Z45" s="194" t="n"/>
    </row>
    <row r="46" ht="15.75" customHeight="1" s="195">
      <c r="I46" s="194" t="n"/>
      <c r="J46" s="194" t="n"/>
      <c r="K46" s="194" t="n"/>
      <c r="L46" s="194" t="n"/>
      <c r="M46" s="194" t="n"/>
      <c r="N46" s="194" t="n"/>
      <c r="O46" s="194" t="n"/>
      <c r="P46" s="194" t="n"/>
      <c r="Q46" s="194" t="n"/>
      <c r="R46" s="194" t="n"/>
      <c r="S46" s="194" t="n"/>
      <c r="T46" s="194" t="n"/>
      <c r="U46" s="194" t="n"/>
      <c r="V46" s="194" t="n"/>
      <c r="W46" s="194" t="n"/>
      <c r="X46" s="194" t="n"/>
      <c r="Y46" s="194" t="n"/>
      <c r="Z46" s="194" t="n"/>
    </row>
    <row r="47" ht="15.75" customHeight="1" s="195">
      <c r="I47" s="194" t="n"/>
      <c r="J47" s="194" t="n"/>
      <c r="K47" s="194" t="n"/>
      <c r="L47" s="194" t="n"/>
      <c r="M47" s="194" t="n"/>
      <c r="N47" s="194" t="n"/>
      <c r="O47" s="194" t="n"/>
      <c r="P47" s="194" t="n"/>
      <c r="Q47" s="194" t="n"/>
      <c r="R47" s="194" t="n"/>
      <c r="S47" s="194" t="n"/>
      <c r="T47" s="194" t="n"/>
      <c r="U47" s="194" t="n"/>
      <c r="V47" s="194" t="n"/>
      <c r="W47" s="194" t="n"/>
      <c r="X47" s="194" t="n"/>
      <c r="Y47" s="194" t="n"/>
      <c r="Z47" s="194" t="n"/>
    </row>
    <row r="48" ht="15.75" customHeight="1" s="195">
      <c r="I48" s="194" t="n"/>
      <c r="J48" s="194" t="n"/>
      <c r="K48" s="194" t="n"/>
      <c r="L48" s="194" t="n"/>
      <c r="M48" s="194" t="n"/>
      <c r="N48" s="194" t="n"/>
      <c r="O48" s="194" t="n"/>
      <c r="P48" s="194" t="n"/>
      <c r="Q48" s="194" t="n"/>
      <c r="R48" s="194" t="n"/>
      <c r="S48" s="194" t="n"/>
      <c r="T48" s="194" t="n"/>
      <c r="U48" s="194" t="n"/>
      <c r="V48" s="194" t="n"/>
      <c r="W48" s="194" t="n"/>
      <c r="X48" s="194" t="n"/>
      <c r="Y48" s="194" t="n"/>
      <c r="Z48" s="194" t="n"/>
    </row>
    <row r="49" ht="15.75" customHeight="1" s="195">
      <c r="I49" s="194" t="n"/>
      <c r="J49" s="194" t="n"/>
      <c r="K49" s="194" t="n"/>
      <c r="L49" s="194" t="n"/>
      <c r="M49" s="194" t="n"/>
      <c r="N49" s="194" t="n"/>
      <c r="O49" s="194" t="n"/>
      <c r="P49" s="194" t="n"/>
      <c r="Q49" s="194" t="n"/>
      <c r="R49" s="194" t="n"/>
      <c r="S49" s="194" t="n"/>
      <c r="T49" s="194" t="n"/>
      <c r="U49" s="194" t="n"/>
      <c r="V49" s="194" t="n"/>
      <c r="W49" s="194" t="n"/>
      <c r="X49" s="194" t="n"/>
      <c r="Y49" s="194" t="n"/>
      <c r="Z49" s="194" t="n"/>
    </row>
    <row r="50" ht="15.75" customHeight="1" s="195">
      <c r="I50" s="194" t="n"/>
      <c r="J50" s="194" t="n"/>
      <c r="K50" s="194" t="n"/>
      <c r="L50" s="194" t="n"/>
      <c r="M50" s="194" t="n"/>
      <c r="N50" s="194" t="n"/>
      <c r="O50" s="194" t="n"/>
      <c r="P50" s="194" t="n"/>
      <c r="Q50" s="194" t="n"/>
      <c r="R50" s="194" t="n"/>
      <c r="S50" s="194" t="n"/>
      <c r="T50" s="194" t="n"/>
      <c r="U50" s="194" t="n"/>
      <c r="V50" s="194" t="n"/>
      <c r="W50" s="194" t="n"/>
      <c r="X50" s="194" t="n"/>
      <c r="Y50" s="194" t="n"/>
      <c r="Z50" s="194" t="n"/>
    </row>
    <row r="51" ht="15.75" customHeight="1" s="195">
      <c r="I51" s="194" t="n"/>
      <c r="J51" s="194" t="n"/>
      <c r="K51" s="194" t="n"/>
      <c r="L51" s="194" t="n"/>
      <c r="M51" s="194" t="n"/>
      <c r="N51" s="194" t="n"/>
      <c r="O51" s="194" t="n"/>
      <c r="P51" s="194" t="n"/>
      <c r="Q51" s="194" t="n"/>
      <c r="R51" s="194" t="n"/>
      <c r="S51" s="194" t="n"/>
      <c r="T51" s="194" t="n"/>
      <c r="U51" s="194" t="n"/>
      <c r="V51" s="194" t="n"/>
      <c r="W51" s="194" t="n"/>
      <c r="X51" s="194" t="n"/>
      <c r="Y51" s="194" t="n"/>
      <c r="Z51" s="194" t="n"/>
    </row>
    <row r="52" ht="15.75" customHeight="1" s="195">
      <c r="I52" s="194" t="n"/>
      <c r="J52" s="194" t="n"/>
      <c r="K52" s="194" t="n"/>
      <c r="L52" s="194" t="n"/>
      <c r="M52" s="194" t="n"/>
      <c r="N52" s="194" t="n"/>
      <c r="O52" s="194" t="n"/>
      <c r="P52" s="194" t="n"/>
      <c r="Q52" s="194" t="n"/>
      <c r="R52" s="194" t="n"/>
      <c r="S52" s="194" t="n"/>
      <c r="T52" s="194" t="n"/>
      <c r="U52" s="194" t="n"/>
      <c r="V52" s="194" t="n"/>
      <c r="W52" s="194" t="n"/>
      <c r="X52" s="194" t="n"/>
      <c r="Y52" s="194" t="n"/>
      <c r="Z52" s="194" t="n"/>
    </row>
    <row r="53" ht="15.75" customHeight="1" s="195">
      <c r="I53" s="194" t="n"/>
      <c r="J53" s="194" t="n"/>
      <c r="K53" s="194" t="n"/>
      <c r="L53" s="194" t="n"/>
      <c r="M53" s="194" t="n"/>
      <c r="N53" s="194" t="n"/>
      <c r="O53" s="194" t="n"/>
      <c r="P53" s="194" t="n"/>
      <c r="Q53" s="194" t="n"/>
      <c r="R53" s="194" t="n"/>
      <c r="S53" s="194" t="n"/>
      <c r="T53" s="194" t="n"/>
      <c r="U53" s="194" t="n"/>
      <c r="V53" s="194" t="n"/>
      <c r="W53" s="194" t="n"/>
      <c r="X53" s="194" t="n"/>
      <c r="Y53" s="194" t="n"/>
      <c r="Z53" s="194" t="n"/>
    </row>
    <row r="54" ht="15.75" customHeight="1" s="195">
      <c r="I54" s="194" t="n"/>
      <c r="J54" s="194" t="n"/>
      <c r="K54" s="194" t="n"/>
      <c r="L54" s="194" t="n"/>
      <c r="M54" s="194" t="n"/>
      <c r="N54" s="194" t="n"/>
      <c r="O54" s="194" t="n"/>
      <c r="P54" s="194" t="n"/>
      <c r="Q54" s="194" t="n"/>
      <c r="R54" s="194" t="n"/>
      <c r="S54" s="194" t="n"/>
      <c r="T54" s="194" t="n"/>
      <c r="U54" s="194" t="n"/>
      <c r="V54" s="194" t="n"/>
      <c r="W54" s="194" t="n"/>
      <c r="X54" s="194" t="n"/>
      <c r="Y54" s="194" t="n"/>
      <c r="Z54" s="194" t="n"/>
    </row>
    <row r="55" ht="15.75" customHeight="1" s="195">
      <c r="I55" s="194" t="n"/>
      <c r="J55" s="194" t="n"/>
      <c r="K55" s="194" t="n"/>
      <c r="L55" s="194" t="n"/>
      <c r="M55" s="194" t="n"/>
      <c r="N55" s="194" t="n"/>
      <c r="O55" s="194" t="n"/>
      <c r="P55" s="194" t="n"/>
      <c r="Q55" s="194" t="n"/>
      <c r="R55" s="194" t="n"/>
      <c r="S55" s="194" t="n"/>
      <c r="T55" s="194" t="n"/>
      <c r="U55" s="194" t="n"/>
      <c r="V55" s="194" t="n"/>
      <c r="W55" s="194" t="n"/>
      <c r="X55" s="194" t="n"/>
      <c r="Y55" s="194" t="n"/>
      <c r="Z55" s="194" t="n"/>
    </row>
    <row r="56" ht="15.75" customHeight="1" s="195">
      <c r="I56" s="194" t="n"/>
      <c r="J56" s="194" t="n"/>
      <c r="K56" s="194" t="n"/>
      <c r="L56" s="194" t="n"/>
      <c r="M56" s="194" t="n"/>
      <c r="N56" s="194" t="n"/>
      <c r="O56" s="194" t="n"/>
      <c r="P56" s="194" t="n"/>
      <c r="Q56" s="194" t="n"/>
      <c r="R56" s="194" t="n"/>
      <c r="S56" s="194" t="n"/>
      <c r="T56" s="194" t="n"/>
      <c r="U56" s="194" t="n"/>
      <c r="V56" s="194" t="n"/>
      <c r="W56" s="194" t="n"/>
      <c r="X56" s="194" t="n"/>
      <c r="Y56" s="194" t="n"/>
      <c r="Z56" s="194" t="n"/>
    </row>
    <row r="57" ht="15.75" customHeight="1" s="195">
      <c r="I57" s="194" t="n"/>
      <c r="J57" s="194" t="n"/>
      <c r="K57" s="194" t="n"/>
      <c r="L57" s="194" t="n"/>
      <c r="M57" s="194" t="n"/>
      <c r="N57" s="194" t="n"/>
      <c r="O57" s="194" t="n"/>
      <c r="P57" s="194" t="n"/>
      <c r="Q57" s="194" t="n"/>
      <c r="R57" s="194" t="n"/>
      <c r="S57" s="194" t="n"/>
      <c r="T57" s="194" t="n"/>
      <c r="U57" s="194" t="n"/>
      <c r="V57" s="194" t="n"/>
      <c r="W57" s="194" t="n"/>
      <c r="X57" s="194" t="n"/>
      <c r="Y57" s="194" t="n"/>
      <c r="Z57" s="194" t="n"/>
    </row>
    <row r="58" ht="15.75" customHeight="1" s="195">
      <c r="I58" s="194" t="n"/>
      <c r="J58" s="194" t="n"/>
      <c r="K58" s="194" t="n"/>
      <c r="L58" s="194" t="n"/>
      <c r="M58" s="194" t="n"/>
      <c r="N58" s="194" t="n"/>
      <c r="O58" s="194" t="n"/>
      <c r="P58" s="194" t="n"/>
      <c r="Q58" s="194" t="n"/>
      <c r="R58" s="194" t="n"/>
      <c r="S58" s="194" t="n"/>
      <c r="T58" s="194" t="n"/>
      <c r="U58" s="194" t="n"/>
      <c r="V58" s="194" t="n"/>
      <c r="W58" s="194" t="n"/>
      <c r="X58" s="194" t="n"/>
      <c r="Y58" s="194" t="n"/>
      <c r="Z58" s="194" t="n"/>
    </row>
    <row r="59" ht="15.75" customHeight="1" s="195">
      <c r="I59" s="194" t="n"/>
      <c r="J59" s="194" t="n"/>
      <c r="K59" s="194" t="n"/>
      <c r="L59" s="194" t="n"/>
      <c r="M59" s="194" t="n"/>
      <c r="N59" s="194" t="n"/>
      <c r="O59" s="194" t="n"/>
      <c r="P59" s="194" t="n"/>
      <c r="Q59" s="194" t="n"/>
      <c r="R59" s="194" t="n"/>
      <c r="S59" s="194" t="n"/>
      <c r="T59" s="194" t="n"/>
      <c r="U59" s="194" t="n"/>
      <c r="V59" s="194" t="n"/>
      <c r="W59" s="194" t="n"/>
      <c r="X59" s="194" t="n"/>
      <c r="Y59" s="194" t="n"/>
      <c r="Z59" s="194" t="n"/>
    </row>
    <row r="60" ht="15.75" customHeight="1" s="195">
      <c r="I60" s="194" t="n"/>
      <c r="J60" s="194" t="n"/>
      <c r="K60" s="194" t="n"/>
      <c r="L60" s="194" t="n"/>
      <c r="M60" s="194" t="n"/>
      <c r="N60" s="194" t="n"/>
      <c r="O60" s="194" t="n"/>
      <c r="P60" s="194" t="n"/>
      <c r="Q60" s="194" t="n"/>
      <c r="R60" s="194" t="n"/>
      <c r="S60" s="194" t="n"/>
      <c r="T60" s="194" t="n"/>
      <c r="U60" s="194" t="n"/>
      <c r="V60" s="194" t="n"/>
      <c r="W60" s="194" t="n"/>
      <c r="X60" s="194" t="n"/>
      <c r="Y60" s="194" t="n"/>
      <c r="Z60" s="194" t="n"/>
    </row>
    <row r="61" ht="15.75" customHeight="1" s="195">
      <c r="I61" s="194" t="n"/>
      <c r="J61" s="194" t="n"/>
      <c r="K61" s="194" t="n"/>
      <c r="L61" s="194" t="n"/>
      <c r="M61" s="194" t="n"/>
      <c r="N61" s="194" t="n"/>
      <c r="O61" s="194" t="n"/>
      <c r="P61" s="194" t="n"/>
      <c r="Q61" s="194" t="n"/>
      <c r="R61" s="194" t="n"/>
      <c r="S61" s="194" t="n"/>
      <c r="T61" s="194" t="n"/>
      <c r="U61" s="194" t="n"/>
      <c r="V61" s="194" t="n"/>
      <c r="W61" s="194" t="n"/>
      <c r="X61" s="194" t="n"/>
      <c r="Y61" s="194" t="n"/>
      <c r="Z61" s="194" t="n"/>
    </row>
    <row r="62" ht="15.75" customHeight="1" s="195">
      <c r="I62" s="194" t="n"/>
      <c r="J62" s="194" t="n"/>
      <c r="K62" s="194" t="n"/>
      <c r="L62" s="194" t="n"/>
      <c r="M62" s="194" t="n"/>
      <c r="N62" s="194" t="n"/>
      <c r="O62" s="194" t="n"/>
      <c r="P62" s="194" t="n"/>
      <c r="Q62" s="194" t="n"/>
      <c r="R62" s="194" t="n"/>
      <c r="S62" s="194" t="n"/>
      <c r="T62" s="194" t="n"/>
      <c r="U62" s="194" t="n"/>
      <c r="V62" s="194" t="n"/>
      <c r="W62" s="194" t="n"/>
      <c r="X62" s="194" t="n"/>
      <c r="Y62" s="194" t="n"/>
      <c r="Z62" s="194" t="n"/>
    </row>
    <row r="63" ht="15.75" customHeight="1" s="195">
      <c r="I63" s="194" t="n"/>
      <c r="J63" s="194" t="n"/>
      <c r="K63" s="194" t="n"/>
      <c r="L63" s="194" t="n"/>
      <c r="M63" s="194" t="n"/>
      <c r="N63" s="194" t="n"/>
      <c r="O63" s="194" t="n"/>
      <c r="P63" s="194" t="n"/>
      <c r="Q63" s="194" t="n"/>
      <c r="R63" s="194" t="n"/>
      <c r="S63" s="194" t="n"/>
      <c r="T63" s="194" t="n"/>
      <c r="U63" s="194" t="n"/>
      <c r="V63" s="194" t="n"/>
      <c r="W63" s="194" t="n"/>
      <c r="X63" s="194" t="n"/>
      <c r="Y63" s="194" t="n"/>
      <c r="Z63" s="194" t="n"/>
    </row>
    <row r="64" ht="15.75" customHeight="1" s="195">
      <c r="I64" s="194" t="n"/>
      <c r="J64" s="194" t="n"/>
      <c r="K64" s="194" t="n"/>
      <c r="L64" s="194" t="n"/>
      <c r="M64" s="194" t="n"/>
      <c r="N64" s="194" t="n"/>
      <c r="O64" s="194" t="n"/>
      <c r="P64" s="194" t="n"/>
      <c r="Q64" s="194" t="n"/>
      <c r="R64" s="194" t="n"/>
      <c r="S64" s="194" t="n"/>
      <c r="T64" s="194" t="n"/>
      <c r="U64" s="194" t="n"/>
      <c r="V64" s="194" t="n"/>
      <c r="W64" s="194" t="n"/>
      <c r="X64" s="194" t="n"/>
      <c r="Y64" s="194" t="n"/>
      <c r="Z64" s="194" t="n"/>
    </row>
    <row r="65" ht="15.75" customHeight="1" s="195">
      <c r="I65" s="194" t="n"/>
      <c r="J65" s="194" t="n"/>
      <c r="K65" s="194" t="n"/>
      <c r="L65" s="194" t="n"/>
      <c r="M65" s="194" t="n"/>
      <c r="N65" s="194" t="n"/>
      <c r="O65" s="194" t="n"/>
      <c r="P65" s="194" t="n"/>
      <c r="Q65" s="194" t="n"/>
      <c r="R65" s="194" t="n"/>
      <c r="S65" s="194" t="n"/>
      <c r="T65" s="194" t="n"/>
      <c r="U65" s="194" t="n"/>
      <c r="V65" s="194" t="n"/>
      <c r="W65" s="194" t="n"/>
      <c r="X65" s="194" t="n"/>
      <c r="Y65" s="194" t="n"/>
      <c r="Z65" s="194" t="n"/>
    </row>
    <row r="66" ht="15.75" customHeight="1" s="195">
      <c r="I66" s="194" t="n"/>
      <c r="J66" s="194" t="n"/>
      <c r="K66" s="194" t="n"/>
      <c r="L66" s="194" t="n"/>
      <c r="M66" s="194" t="n"/>
      <c r="N66" s="194" t="n"/>
      <c r="O66" s="194" t="n"/>
      <c r="P66" s="194" t="n"/>
      <c r="Q66" s="194" t="n"/>
      <c r="R66" s="194" t="n"/>
      <c r="S66" s="194" t="n"/>
      <c r="T66" s="194" t="n"/>
      <c r="U66" s="194" t="n"/>
      <c r="V66" s="194" t="n"/>
      <c r="W66" s="194" t="n"/>
      <c r="X66" s="194" t="n"/>
      <c r="Y66" s="194" t="n"/>
      <c r="Z66" s="194" t="n"/>
    </row>
    <row r="67" ht="15.75" customHeight="1" s="195">
      <c r="I67" s="194" t="n"/>
      <c r="J67" s="194" t="n"/>
      <c r="K67" s="194" t="n"/>
      <c r="L67" s="194" t="n"/>
      <c r="M67" s="194" t="n"/>
      <c r="N67" s="194" t="n"/>
      <c r="O67" s="194" t="n"/>
      <c r="P67" s="194" t="n"/>
      <c r="Q67" s="194" t="n"/>
      <c r="R67" s="194" t="n"/>
      <c r="S67" s="194" t="n"/>
      <c r="T67" s="194" t="n"/>
      <c r="U67" s="194" t="n"/>
      <c r="V67" s="194" t="n"/>
      <c r="W67" s="194" t="n"/>
      <c r="X67" s="194" t="n"/>
      <c r="Y67" s="194" t="n"/>
      <c r="Z67" s="194" t="n"/>
    </row>
    <row r="68" ht="15.75" customHeight="1" s="195">
      <c r="I68" s="194" t="n"/>
      <c r="J68" s="194" t="n"/>
      <c r="K68" s="194" t="n"/>
      <c r="L68" s="194" t="n"/>
      <c r="M68" s="194" t="n"/>
      <c r="N68" s="194" t="n"/>
      <c r="O68" s="194" t="n"/>
      <c r="P68" s="194" t="n"/>
      <c r="Q68" s="194" t="n"/>
      <c r="R68" s="194" t="n"/>
      <c r="S68" s="194" t="n"/>
      <c r="T68" s="194" t="n"/>
      <c r="U68" s="194" t="n"/>
      <c r="V68" s="194" t="n"/>
      <c r="W68" s="194" t="n"/>
      <c r="X68" s="194" t="n"/>
      <c r="Y68" s="194" t="n"/>
      <c r="Z68" s="194" t="n"/>
    </row>
    <row r="69" ht="15.75" customHeight="1" s="195">
      <c r="I69" s="194" t="n"/>
      <c r="J69" s="194" t="n"/>
      <c r="K69" s="194" t="n"/>
      <c r="L69" s="194" t="n"/>
      <c r="M69" s="194" t="n"/>
      <c r="N69" s="194" t="n"/>
      <c r="O69" s="194" t="n"/>
      <c r="P69" s="194" t="n"/>
      <c r="Q69" s="194" t="n"/>
      <c r="R69" s="194" t="n"/>
      <c r="S69" s="194" t="n"/>
      <c r="T69" s="194" t="n"/>
      <c r="U69" s="194" t="n"/>
      <c r="V69" s="194" t="n"/>
      <c r="W69" s="194" t="n"/>
      <c r="X69" s="194" t="n"/>
      <c r="Y69" s="194" t="n"/>
      <c r="Z69" s="194" t="n"/>
    </row>
    <row r="70" ht="15.75" customHeight="1" s="195">
      <c r="I70" s="194" t="n"/>
      <c r="J70" s="194" t="n"/>
      <c r="K70" s="194" t="n"/>
      <c r="L70" s="194" t="n"/>
      <c r="M70" s="194" t="n"/>
      <c r="N70" s="194" t="n"/>
      <c r="O70" s="194" t="n"/>
      <c r="P70" s="194" t="n"/>
      <c r="Q70" s="194" t="n"/>
      <c r="R70" s="194" t="n"/>
      <c r="S70" s="194" t="n"/>
      <c r="T70" s="194" t="n"/>
      <c r="U70" s="194" t="n"/>
      <c r="V70" s="194" t="n"/>
      <c r="W70" s="194" t="n"/>
      <c r="X70" s="194" t="n"/>
      <c r="Y70" s="194" t="n"/>
      <c r="Z70" s="194" t="n"/>
    </row>
    <row r="71" ht="15.75" customHeight="1" s="195">
      <c r="I71" s="194" t="n"/>
      <c r="J71" s="194" t="n"/>
      <c r="K71" s="194" t="n"/>
      <c r="L71" s="194" t="n"/>
      <c r="M71" s="194" t="n"/>
      <c r="N71" s="194" t="n"/>
      <c r="O71" s="194" t="n"/>
      <c r="P71" s="194" t="n"/>
      <c r="Q71" s="194" t="n"/>
      <c r="R71" s="194" t="n"/>
      <c r="S71" s="194" t="n"/>
      <c r="T71" s="194" t="n"/>
      <c r="U71" s="194" t="n"/>
      <c r="V71" s="194" t="n"/>
      <c r="W71" s="194" t="n"/>
      <c r="X71" s="194" t="n"/>
      <c r="Y71" s="194" t="n"/>
      <c r="Z71" s="194" t="n"/>
    </row>
    <row r="72" ht="15.75" customHeight="1" s="195">
      <c r="I72" s="194" t="n"/>
      <c r="J72" s="194" t="n"/>
      <c r="K72" s="194" t="n"/>
      <c r="L72" s="194" t="n"/>
      <c r="M72" s="194" t="n"/>
      <c r="N72" s="194" t="n"/>
      <c r="O72" s="194" t="n"/>
      <c r="P72" s="194" t="n"/>
      <c r="Q72" s="194" t="n"/>
      <c r="R72" s="194" t="n"/>
      <c r="S72" s="194" t="n"/>
      <c r="T72" s="194" t="n"/>
      <c r="U72" s="194" t="n"/>
      <c r="V72" s="194" t="n"/>
      <c r="W72" s="194" t="n"/>
      <c r="X72" s="194" t="n"/>
      <c r="Y72" s="194" t="n"/>
      <c r="Z72" s="194" t="n"/>
    </row>
    <row r="73" ht="15.75" customHeight="1" s="195">
      <c r="I73" s="194" t="n"/>
      <c r="J73" s="194" t="n"/>
      <c r="K73" s="194" t="n"/>
      <c r="L73" s="194" t="n"/>
      <c r="M73" s="194" t="n"/>
      <c r="N73" s="194" t="n"/>
      <c r="O73" s="194" t="n"/>
      <c r="P73" s="194" t="n"/>
      <c r="Q73" s="194" t="n"/>
      <c r="R73" s="194" t="n"/>
      <c r="S73" s="194" t="n"/>
      <c r="T73" s="194" t="n"/>
      <c r="U73" s="194" t="n"/>
      <c r="V73" s="194" t="n"/>
      <c r="W73" s="194" t="n"/>
      <c r="X73" s="194" t="n"/>
      <c r="Y73" s="194" t="n"/>
      <c r="Z73" s="194" t="n"/>
    </row>
    <row r="74" ht="15.75" customHeight="1" s="195">
      <c r="I74" s="194" t="n"/>
      <c r="J74" s="194" t="n"/>
      <c r="K74" s="194" t="n"/>
      <c r="L74" s="194" t="n"/>
      <c r="M74" s="194" t="n"/>
      <c r="N74" s="194" t="n"/>
      <c r="O74" s="194" t="n"/>
      <c r="P74" s="194" t="n"/>
      <c r="Q74" s="194" t="n"/>
      <c r="R74" s="194" t="n"/>
      <c r="S74" s="194" t="n"/>
      <c r="T74" s="194" t="n"/>
      <c r="U74" s="194" t="n"/>
      <c r="V74" s="194" t="n"/>
      <c r="W74" s="194" t="n"/>
      <c r="X74" s="194" t="n"/>
      <c r="Y74" s="194" t="n"/>
      <c r="Z74" s="194" t="n"/>
    </row>
    <row r="75" ht="15.75" customHeight="1" s="195">
      <c r="I75" s="194" t="n"/>
      <c r="J75" s="194" t="n"/>
      <c r="K75" s="194" t="n"/>
      <c r="L75" s="194" t="n"/>
      <c r="M75" s="194" t="n"/>
      <c r="N75" s="194" t="n"/>
      <c r="O75" s="194" t="n"/>
      <c r="P75" s="194" t="n"/>
      <c r="Q75" s="194" t="n"/>
      <c r="R75" s="194" t="n"/>
      <c r="S75" s="194" t="n"/>
      <c r="T75" s="194" t="n"/>
      <c r="U75" s="194" t="n"/>
      <c r="V75" s="194" t="n"/>
      <c r="W75" s="194" t="n"/>
      <c r="X75" s="194" t="n"/>
      <c r="Y75" s="194" t="n"/>
      <c r="Z75" s="194" t="n"/>
    </row>
    <row r="76" ht="15.75" customHeight="1" s="195">
      <c r="I76" s="194" t="n"/>
      <c r="J76" s="194" t="n"/>
      <c r="K76" s="194" t="n"/>
      <c r="L76" s="194" t="n"/>
      <c r="M76" s="194" t="n"/>
      <c r="N76" s="194" t="n"/>
      <c r="O76" s="194" t="n"/>
      <c r="P76" s="194" t="n"/>
      <c r="Q76" s="194" t="n"/>
      <c r="R76" s="194" t="n"/>
      <c r="S76" s="194" t="n"/>
      <c r="T76" s="194" t="n"/>
      <c r="U76" s="194" t="n"/>
      <c r="V76" s="194" t="n"/>
      <c r="W76" s="194" t="n"/>
      <c r="X76" s="194" t="n"/>
      <c r="Y76" s="194" t="n"/>
      <c r="Z76" s="194" t="n"/>
    </row>
    <row r="77" ht="15.75" customHeight="1" s="195">
      <c r="I77" s="194" t="n"/>
      <c r="J77" s="194" t="n"/>
      <c r="K77" s="194" t="n"/>
      <c r="L77" s="194" t="n"/>
      <c r="M77" s="194" t="n"/>
      <c r="N77" s="194" t="n"/>
      <c r="O77" s="194" t="n"/>
      <c r="P77" s="194" t="n"/>
      <c r="Q77" s="194" t="n"/>
      <c r="R77" s="194" t="n"/>
      <c r="S77" s="194" t="n"/>
      <c r="T77" s="194" t="n"/>
      <c r="U77" s="194" t="n"/>
      <c r="V77" s="194" t="n"/>
      <c r="W77" s="194" t="n"/>
      <c r="X77" s="194" t="n"/>
      <c r="Y77" s="194" t="n"/>
      <c r="Z77" s="194" t="n"/>
    </row>
    <row r="78" ht="15.75" customHeight="1" s="195">
      <c r="I78" s="194" t="n"/>
      <c r="J78" s="194" t="n"/>
      <c r="K78" s="194" t="n"/>
      <c r="L78" s="194" t="n"/>
      <c r="M78" s="194" t="n"/>
      <c r="N78" s="194" t="n"/>
      <c r="O78" s="194" t="n"/>
      <c r="P78" s="194" t="n"/>
      <c r="Q78" s="194" t="n"/>
      <c r="R78" s="194" t="n"/>
      <c r="S78" s="194" t="n"/>
      <c r="T78" s="194" t="n"/>
      <c r="U78" s="194" t="n"/>
      <c r="V78" s="194" t="n"/>
      <c r="W78" s="194" t="n"/>
      <c r="X78" s="194" t="n"/>
      <c r="Y78" s="194" t="n"/>
      <c r="Z78" s="194" t="n"/>
    </row>
    <row r="79" ht="15.75" customHeight="1" s="195">
      <c r="I79" s="194" t="n"/>
      <c r="J79" s="194" t="n"/>
      <c r="K79" s="194" t="n"/>
      <c r="L79" s="194" t="n"/>
      <c r="M79" s="194" t="n"/>
      <c r="N79" s="194" t="n"/>
      <c r="O79" s="194" t="n"/>
      <c r="P79" s="194" t="n"/>
      <c r="Q79" s="194" t="n"/>
      <c r="R79" s="194" t="n"/>
      <c r="S79" s="194" t="n"/>
      <c r="T79" s="194" t="n"/>
      <c r="U79" s="194" t="n"/>
      <c r="V79" s="194" t="n"/>
      <c r="W79" s="194" t="n"/>
      <c r="X79" s="194" t="n"/>
      <c r="Y79" s="194" t="n"/>
      <c r="Z79" s="194" t="n"/>
    </row>
    <row r="80" ht="15.75" customHeight="1" s="195">
      <c r="I80" s="194" t="n"/>
      <c r="J80" s="194" t="n"/>
      <c r="K80" s="194" t="n"/>
      <c r="L80" s="194" t="n"/>
      <c r="M80" s="194" t="n"/>
      <c r="N80" s="194" t="n"/>
      <c r="O80" s="194" t="n"/>
      <c r="P80" s="194" t="n"/>
      <c r="Q80" s="194" t="n"/>
      <c r="R80" s="194" t="n"/>
      <c r="S80" s="194" t="n"/>
      <c r="T80" s="194" t="n"/>
      <c r="U80" s="194" t="n"/>
      <c r="V80" s="194" t="n"/>
      <c r="W80" s="194" t="n"/>
      <c r="X80" s="194" t="n"/>
      <c r="Y80" s="194" t="n"/>
      <c r="Z80" s="194" t="n"/>
    </row>
    <row r="81" ht="15.75" customHeight="1" s="195">
      <c r="I81" s="194" t="n"/>
      <c r="J81" s="194" t="n"/>
      <c r="K81" s="194" t="n"/>
      <c r="L81" s="194" t="n"/>
      <c r="M81" s="194" t="n"/>
      <c r="N81" s="194" t="n"/>
      <c r="O81" s="194" t="n"/>
      <c r="P81" s="194" t="n"/>
      <c r="Q81" s="194" t="n"/>
      <c r="R81" s="194" t="n"/>
      <c r="S81" s="194" t="n"/>
      <c r="T81" s="194" t="n"/>
      <c r="U81" s="194" t="n"/>
      <c r="V81" s="194" t="n"/>
      <c r="W81" s="194" t="n"/>
      <c r="X81" s="194" t="n"/>
      <c r="Y81" s="194" t="n"/>
      <c r="Z81" s="194" t="n"/>
    </row>
    <row r="82" ht="15.75" customHeight="1" s="195">
      <c r="I82" s="194" t="n"/>
      <c r="J82" s="194" t="n"/>
      <c r="K82" s="194" t="n"/>
      <c r="L82" s="194" t="n"/>
      <c r="M82" s="194" t="n"/>
      <c r="N82" s="194" t="n"/>
      <c r="O82" s="194" t="n"/>
      <c r="P82" s="194" t="n"/>
      <c r="Q82" s="194" t="n"/>
      <c r="R82" s="194" t="n"/>
      <c r="S82" s="194" t="n"/>
      <c r="T82" s="194" t="n"/>
      <c r="U82" s="194" t="n"/>
      <c r="V82" s="194" t="n"/>
      <c r="W82" s="194" t="n"/>
      <c r="X82" s="194" t="n"/>
      <c r="Y82" s="194" t="n"/>
      <c r="Z82" s="194" t="n"/>
    </row>
    <row r="83" ht="15.75" customHeight="1" s="195">
      <c r="I83" s="194" t="n"/>
      <c r="J83" s="194" t="n"/>
      <c r="K83" s="194" t="n"/>
      <c r="L83" s="194" t="n"/>
      <c r="M83" s="194" t="n"/>
      <c r="N83" s="194" t="n"/>
      <c r="O83" s="194" t="n"/>
      <c r="P83" s="194" t="n"/>
      <c r="Q83" s="194" t="n"/>
      <c r="R83" s="194" t="n"/>
      <c r="S83" s="194" t="n"/>
      <c r="T83" s="194" t="n"/>
      <c r="U83" s="194" t="n"/>
      <c r="V83" s="194" t="n"/>
      <c r="W83" s="194" t="n"/>
      <c r="X83" s="194" t="n"/>
      <c r="Y83" s="194" t="n"/>
      <c r="Z83" s="194" t="n"/>
    </row>
    <row r="84" ht="15.75" customHeight="1" s="195">
      <c r="I84" s="194" t="n"/>
      <c r="J84" s="194" t="n"/>
      <c r="K84" s="194" t="n"/>
      <c r="L84" s="194" t="n"/>
      <c r="M84" s="194" t="n"/>
      <c r="N84" s="194" t="n"/>
      <c r="O84" s="194" t="n"/>
      <c r="P84" s="194" t="n"/>
      <c r="Q84" s="194" t="n"/>
      <c r="R84" s="194" t="n"/>
      <c r="S84" s="194" t="n"/>
      <c r="T84" s="194" t="n"/>
      <c r="U84" s="194" t="n"/>
      <c r="V84" s="194" t="n"/>
      <c r="W84" s="194" t="n"/>
      <c r="X84" s="194" t="n"/>
      <c r="Y84" s="194" t="n"/>
      <c r="Z84" s="194" t="n"/>
    </row>
    <row r="85" ht="15.75" customHeight="1" s="195">
      <c r="I85" s="194" t="n"/>
      <c r="J85" s="194" t="n"/>
      <c r="K85" s="194" t="n"/>
      <c r="L85" s="194" t="n"/>
      <c r="M85" s="194" t="n"/>
      <c r="N85" s="194" t="n"/>
      <c r="O85" s="194" t="n"/>
      <c r="P85" s="194" t="n"/>
      <c r="Q85" s="194" t="n"/>
      <c r="R85" s="194" t="n"/>
      <c r="S85" s="194" t="n"/>
      <c r="T85" s="194" t="n"/>
      <c r="U85" s="194" t="n"/>
      <c r="V85" s="194" t="n"/>
      <c r="W85" s="194" t="n"/>
      <c r="X85" s="194" t="n"/>
      <c r="Y85" s="194" t="n"/>
      <c r="Z85" s="194" t="n"/>
    </row>
    <row r="86" ht="15.75" customHeight="1" s="195">
      <c r="I86" s="194" t="n"/>
      <c r="J86" s="194" t="n"/>
      <c r="K86" s="194" t="n"/>
      <c r="L86" s="194" t="n"/>
      <c r="M86" s="194" t="n"/>
      <c r="N86" s="194" t="n"/>
      <c r="O86" s="194" t="n"/>
      <c r="P86" s="194" t="n"/>
      <c r="Q86" s="194" t="n"/>
      <c r="R86" s="194" t="n"/>
      <c r="S86" s="194" t="n"/>
      <c r="T86" s="194" t="n"/>
      <c r="U86" s="194" t="n"/>
      <c r="V86" s="194" t="n"/>
      <c r="W86" s="194" t="n"/>
      <c r="X86" s="194" t="n"/>
      <c r="Y86" s="194" t="n"/>
      <c r="Z86" s="194" t="n"/>
    </row>
    <row r="87" ht="15.75" customHeight="1" s="195">
      <c r="I87" s="194" t="n"/>
      <c r="J87" s="194" t="n"/>
      <c r="K87" s="194" t="n"/>
      <c r="L87" s="194" t="n"/>
      <c r="M87" s="194" t="n"/>
      <c r="N87" s="194" t="n"/>
      <c r="O87" s="194" t="n"/>
      <c r="P87" s="194" t="n"/>
      <c r="Q87" s="194" t="n"/>
      <c r="R87" s="194" t="n"/>
      <c r="S87" s="194" t="n"/>
      <c r="T87" s="194" t="n"/>
      <c r="U87" s="194" t="n"/>
      <c r="V87" s="194" t="n"/>
      <c r="W87" s="194" t="n"/>
      <c r="X87" s="194" t="n"/>
      <c r="Y87" s="194" t="n"/>
      <c r="Z87" s="194" t="n"/>
    </row>
    <row r="88" ht="15.75" customHeight="1" s="195">
      <c r="I88" s="194" t="n"/>
      <c r="J88" s="194" t="n"/>
      <c r="K88" s="194" t="n"/>
      <c r="L88" s="194" t="n"/>
      <c r="M88" s="194" t="n"/>
      <c r="N88" s="194" t="n"/>
      <c r="O88" s="194" t="n"/>
      <c r="P88" s="194" t="n"/>
      <c r="Q88" s="194" t="n"/>
      <c r="R88" s="194" t="n"/>
      <c r="S88" s="194" t="n"/>
      <c r="T88" s="194" t="n"/>
      <c r="U88" s="194" t="n"/>
      <c r="V88" s="194" t="n"/>
      <c r="W88" s="194" t="n"/>
      <c r="X88" s="194" t="n"/>
      <c r="Y88" s="194" t="n"/>
      <c r="Z88" s="194" t="n"/>
    </row>
    <row r="89" ht="15.75" customHeight="1" s="195">
      <c r="I89" s="194" t="n"/>
      <c r="J89" s="194" t="n"/>
      <c r="K89" s="194" t="n"/>
      <c r="L89" s="194" t="n"/>
      <c r="M89" s="194" t="n"/>
      <c r="N89" s="194" t="n"/>
      <c r="O89" s="194" t="n"/>
      <c r="P89" s="194" t="n"/>
      <c r="Q89" s="194" t="n"/>
      <c r="R89" s="194" t="n"/>
      <c r="S89" s="194" t="n"/>
      <c r="T89" s="194" t="n"/>
      <c r="U89" s="194" t="n"/>
      <c r="V89" s="194" t="n"/>
      <c r="W89" s="194" t="n"/>
      <c r="X89" s="194" t="n"/>
      <c r="Y89" s="194" t="n"/>
      <c r="Z89" s="194" t="n"/>
    </row>
    <row r="90" ht="15.75" customHeight="1" s="195">
      <c r="I90" s="194" t="n"/>
      <c r="J90" s="194" t="n"/>
      <c r="K90" s="194" t="n"/>
      <c r="L90" s="194" t="n"/>
      <c r="M90" s="194" t="n"/>
      <c r="N90" s="194" t="n"/>
      <c r="O90" s="194" t="n"/>
      <c r="P90" s="194" t="n"/>
      <c r="Q90" s="194" t="n"/>
      <c r="R90" s="194" t="n"/>
      <c r="S90" s="194" t="n"/>
      <c r="T90" s="194" t="n"/>
      <c r="U90" s="194" t="n"/>
      <c r="V90" s="194" t="n"/>
      <c r="W90" s="194" t="n"/>
      <c r="X90" s="194" t="n"/>
      <c r="Y90" s="194" t="n"/>
      <c r="Z90" s="194" t="n"/>
    </row>
    <row r="91" ht="15.75" customHeight="1" s="195">
      <c r="I91" s="194" t="n"/>
      <c r="J91" s="194" t="n"/>
      <c r="K91" s="194" t="n"/>
      <c r="L91" s="194" t="n"/>
      <c r="M91" s="194" t="n"/>
      <c r="N91" s="194" t="n"/>
      <c r="O91" s="194" t="n"/>
      <c r="P91" s="194" t="n"/>
      <c r="Q91" s="194" t="n"/>
      <c r="R91" s="194" t="n"/>
      <c r="S91" s="194" t="n"/>
      <c r="T91" s="194" t="n"/>
      <c r="U91" s="194" t="n"/>
      <c r="V91" s="194" t="n"/>
      <c r="W91" s="194" t="n"/>
      <c r="X91" s="194" t="n"/>
      <c r="Y91" s="194" t="n"/>
      <c r="Z91" s="194" t="n"/>
    </row>
    <row r="92" ht="15.75" customHeight="1" s="195">
      <c r="I92" s="194" t="n"/>
      <c r="J92" s="194" t="n"/>
      <c r="K92" s="194" t="n"/>
      <c r="L92" s="194" t="n"/>
      <c r="M92" s="194" t="n"/>
      <c r="N92" s="194" t="n"/>
      <c r="O92" s="194" t="n"/>
      <c r="P92" s="194" t="n"/>
      <c r="Q92" s="194" t="n"/>
      <c r="R92" s="194" t="n"/>
      <c r="S92" s="194" t="n"/>
      <c r="T92" s="194" t="n"/>
      <c r="U92" s="194" t="n"/>
      <c r="V92" s="194" t="n"/>
      <c r="W92" s="194" t="n"/>
      <c r="X92" s="194" t="n"/>
      <c r="Y92" s="194" t="n"/>
      <c r="Z92" s="194" t="n"/>
    </row>
    <row r="93" ht="15.75" customHeight="1" s="195">
      <c r="I93" s="194" t="n"/>
      <c r="J93" s="194" t="n"/>
      <c r="K93" s="194" t="n"/>
      <c r="L93" s="194" t="n"/>
      <c r="M93" s="194" t="n"/>
      <c r="N93" s="194" t="n"/>
      <c r="O93" s="194" t="n"/>
      <c r="P93" s="194" t="n"/>
      <c r="Q93" s="194" t="n"/>
      <c r="R93" s="194" t="n"/>
      <c r="S93" s="194" t="n"/>
      <c r="T93" s="194" t="n"/>
      <c r="U93" s="194" t="n"/>
      <c r="V93" s="194" t="n"/>
      <c r="W93" s="194" t="n"/>
      <c r="X93" s="194" t="n"/>
      <c r="Y93" s="194" t="n"/>
      <c r="Z93" s="194" t="n"/>
    </row>
    <row r="94" ht="15.75" customHeight="1" s="195">
      <c r="I94" s="194" t="n"/>
      <c r="J94" s="194" t="n"/>
      <c r="K94" s="194" t="n"/>
      <c r="L94" s="194" t="n"/>
      <c r="M94" s="194" t="n"/>
      <c r="N94" s="194" t="n"/>
      <c r="O94" s="194" t="n"/>
      <c r="P94" s="194" t="n"/>
      <c r="Q94" s="194" t="n"/>
      <c r="R94" s="194" t="n"/>
      <c r="S94" s="194" t="n"/>
      <c r="T94" s="194" t="n"/>
      <c r="U94" s="194" t="n"/>
      <c r="V94" s="194" t="n"/>
      <c r="W94" s="194" t="n"/>
      <c r="X94" s="194" t="n"/>
      <c r="Y94" s="194" t="n"/>
      <c r="Z94" s="194" t="n"/>
    </row>
    <row r="95" ht="15.75" customHeight="1" s="195">
      <c r="I95" s="194" t="n"/>
      <c r="J95" s="194" t="n"/>
      <c r="K95" s="194" t="n"/>
      <c r="L95" s="194" t="n"/>
      <c r="M95" s="194" t="n"/>
      <c r="N95" s="194" t="n"/>
      <c r="O95" s="194" t="n"/>
      <c r="P95" s="194" t="n"/>
      <c r="Q95" s="194" t="n"/>
      <c r="R95" s="194" t="n"/>
      <c r="S95" s="194" t="n"/>
      <c r="T95" s="194" t="n"/>
      <c r="U95" s="194" t="n"/>
      <c r="V95" s="194" t="n"/>
      <c r="W95" s="194" t="n"/>
      <c r="X95" s="194" t="n"/>
      <c r="Y95" s="194" t="n"/>
      <c r="Z95" s="194" t="n"/>
    </row>
    <row r="96" ht="15.75" customHeight="1" s="195">
      <c r="I96" s="194" t="n"/>
      <c r="J96" s="194" t="n"/>
      <c r="K96" s="194" t="n"/>
      <c r="L96" s="194" t="n"/>
      <c r="M96" s="194" t="n"/>
      <c r="N96" s="194" t="n"/>
      <c r="O96" s="194" t="n"/>
      <c r="P96" s="194" t="n"/>
      <c r="Q96" s="194" t="n"/>
      <c r="R96" s="194" t="n"/>
      <c r="S96" s="194" t="n"/>
      <c r="T96" s="194" t="n"/>
      <c r="U96" s="194" t="n"/>
      <c r="V96" s="194" t="n"/>
      <c r="W96" s="194" t="n"/>
      <c r="X96" s="194" t="n"/>
      <c r="Y96" s="194" t="n"/>
      <c r="Z96" s="194" t="n"/>
    </row>
    <row r="97" ht="15.75" customHeight="1" s="195">
      <c r="I97" s="194" t="n"/>
      <c r="J97" s="194" t="n"/>
      <c r="K97" s="194" t="n"/>
      <c r="L97" s="194" t="n"/>
      <c r="M97" s="194" t="n"/>
      <c r="N97" s="194" t="n"/>
      <c r="O97" s="194" t="n"/>
      <c r="P97" s="194" t="n"/>
      <c r="Q97" s="194" t="n"/>
      <c r="R97" s="194" t="n"/>
      <c r="S97" s="194" t="n"/>
      <c r="T97" s="194" t="n"/>
      <c r="U97" s="194" t="n"/>
      <c r="V97" s="194" t="n"/>
      <c r="W97" s="194" t="n"/>
      <c r="X97" s="194" t="n"/>
      <c r="Y97" s="194" t="n"/>
      <c r="Z97" s="194" t="n"/>
    </row>
    <row r="98" ht="15.75" customHeight="1" s="195">
      <c r="I98" s="194" t="n"/>
      <c r="J98" s="194" t="n"/>
      <c r="K98" s="194" t="n"/>
      <c r="L98" s="194" t="n"/>
      <c r="M98" s="194" t="n"/>
      <c r="N98" s="194" t="n"/>
      <c r="O98" s="194" t="n"/>
      <c r="P98" s="194" t="n"/>
      <c r="Q98" s="194" t="n"/>
      <c r="R98" s="194" t="n"/>
      <c r="S98" s="194" t="n"/>
      <c r="T98" s="194" t="n"/>
      <c r="U98" s="194" t="n"/>
      <c r="V98" s="194" t="n"/>
      <c r="W98" s="194" t="n"/>
      <c r="X98" s="194" t="n"/>
      <c r="Y98" s="194" t="n"/>
      <c r="Z98" s="194" t="n"/>
    </row>
    <row r="99" ht="15.75" customHeight="1" s="195">
      <c r="I99" s="194" t="n"/>
      <c r="J99" s="194" t="n"/>
      <c r="K99" s="194" t="n"/>
      <c r="L99" s="194" t="n"/>
      <c r="M99" s="194" t="n"/>
      <c r="N99" s="194" t="n"/>
      <c r="O99" s="194" t="n"/>
      <c r="P99" s="194" t="n"/>
      <c r="Q99" s="194" t="n"/>
      <c r="R99" s="194" t="n"/>
      <c r="S99" s="194" t="n"/>
      <c r="T99" s="194" t="n"/>
      <c r="U99" s="194" t="n"/>
      <c r="V99" s="194" t="n"/>
      <c r="W99" s="194" t="n"/>
      <c r="X99" s="194" t="n"/>
      <c r="Y99" s="194" t="n"/>
      <c r="Z99" s="194" t="n"/>
    </row>
    <row r="100" ht="15.75" customHeight="1" s="195">
      <c r="I100" s="194" t="n"/>
      <c r="J100" s="194" t="n"/>
      <c r="K100" s="194" t="n"/>
      <c r="L100" s="194" t="n"/>
      <c r="M100" s="194" t="n"/>
      <c r="N100" s="194" t="n"/>
      <c r="O100" s="194" t="n"/>
      <c r="P100" s="194" t="n"/>
      <c r="Q100" s="194" t="n"/>
      <c r="R100" s="194" t="n"/>
      <c r="S100" s="194" t="n"/>
      <c r="T100" s="194" t="n"/>
      <c r="U100" s="194" t="n"/>
      <c r="V100" s="194" t="n"/>
      <c r="W100" s="194" t="n"/>
      <c r="X100" s="194" t="n"/>
      <c r="Y100" s="194" t="n"/>
      <c r="Z100" s="194" t="n"/>
    </row>
    <row r="101" ht="15.75" customHeight="1" s="195">
      <c r="I101" s="194" t="n"/>
      <c r="J101" s="194" t="n"/>
      <c r="K101" s="194" t="n"/>
      <c r="L101" s="194" t="n"/>
      <c r="M101" s="194" t="n"/>
      <c r="N101" s="194" t="n"/>
      <c r="O101" s="194" t="n"/>
      <c r="P101" s="194" t="n"/>
      <c r="Q101" s="194" t="n"/>
      <c r="R101" s="194" t="n"/>
      <c r="S101" s="194" t="n"/>
      <c r="T101" s="194" t="n"/>
      <c r="U101" s="194" t="n"/>
      <c r="V101" s="194" t="n"/>
      <c r="W101" s="194" t="n"/>
      <c r="X101" s="194" t="n"/>
      <c r="Y101" s="194" t="n"/>
      <c r="Z101" s="194" t="n"/>
    </row>
    <row r="102" ht="15.75" customHeight="1" s="195">
      <c r="I102" s="194" t="n"/>
      <c r="J102" s="194" t="n"/>
      <c r="K102" s="194" t="n"/>
      <c r="L102" s="194" t="n"/>
      <c r="M102" s="194" t="n"/>
      <c r="N102" s="194" t="n"/>
      <c r="O102" s="194" t="n"/>
      <c r="P102" s="194" t="n"/>
      <c r="Q102" s="194" t="n"/>
      <c r="R102" s="194" t="n"/>
      <c r="S102" s="194" t="n"/>
      <c r="T102" s="194" t="n"/>
      <c r="U102" s="194" t="n"/>
      <c r="V102" s="194" t="n"/>
      <c r="W102" s="194" t="n"/>
      <c r="X102" s="194" t="n"/>
      <c r="Y102" s="194" t="n"/>
      <c r="Z102" s="194" t="n"/>
    </row>
    <row r="103" ht="15.75" customHeight="1" s="195">
      <c r="I103" s="194" t="n"/>
      <c r="J103" s="194" t="n"/>
      <c r="K103" s="194" t="n"/>
      <c r="L103" s="194" t="n"/>
      <c r="M103" s="194" t="n"/>
      <c r="N103" s="194" t="n"/>
      <c r="O103" s="194" t="n"/>
      <c r="P103" s="194" t="n"/>
      <c r="Q103" s="194" t="n"/>
      <c r="R103" s="194" t="n"/>
      <c r="S103" s="194" t="n"/>
      <c r="T103" s="194" t="n"/>
      <c r="U103" s="194" t="n"/>
      <c r="V103" s="194" t="n"/>
      <c r="W103" s="194" t="n"/>
      <c r="X103" s="194" t="n"/>
      <c r="Y103" s="194" t="n"/>
      <c r="Z103" s="194" t="n"/>
    </row>
    <row r="104" ht="15.75" customHeight="1" s="195">
      <c r="I104" s="194" t="n"/>
      <c r="J104" s="194" t="n"/>
      <c r="K104" s="194" t="n"/>
      <c r="L104" s="194" t="n"/>
      <c r="M104" s="194" t="n"/>
      <c r="N104" s="194" t="n"/>
      <c r="O104" s="194" t="n"/>
      <c r="P104" s="194" t="n"/>
      <c r="Q104" s="194" t="n"/>
      <c r="R104" s="194" t="n"/>
      <c r="S104" s="194" t="n"/>
      <c r="T104" s="194" t="n"/>
      <c r="U104" s="194" t="n"/>
      <c r="V104" s="194" t="n"/>
      <c r="W104" s="194" t="n"/>
      <c r="X104" s="194" t="n"/>
      <c r="Y104" s="194" t="n"/>
      <c r="Z104" s="194" t="n"/>
    </row>
    <row r="105" ht="15.75" customHeight="1" s="195">
      <c r="I105" s="194" t="n"/>
      <c r="J105" s="194" t="n"/>
      <c r="K105" s="194" t="n"/>
      <c r="L105" s="194" t="n"/>
      <c r="M105" s="194" t="n"/>
      <c r="N105" s="194" t="n"/>
      <c r="O105" s="194" t="n"/>
      <c r="P105" s="194" t="n"/>
      <c r="Q105" s="194" t="n"/>
      <c r="R105" s="194" t="n"/>
      <c r="S105" s="194" t="n"/>
      <c r="T105" s="194" t="n"/>
      <c r="U105" s="194" t="n"/>
      <c r="V105" s="194" t="n"/>
      <c r="W105" s="194" t="n"/>
      <c r="X105" s="194" t="n"/>
      <c r="Y105" s="194" t="n"/>
      <c r="Z105" s="194" t="n"/>
    </row>
    <row r="106" ht="15.75" customHeight="1" s="195">
      <c r="I106" s="194" t="n"/>
      <c r="J106" s="194" t="n"/>
      <c r="K106" s="194" t="n"/>
      <c r="L106" s="194" t="n"/>
      <c r="M106" s="194" t="n"/>
      <c r="N106" s="194" t="n"/>
      <c r="O106" s="194" t="n"/>
      <c r="P106" s="194" t="n"/>
      <c r="Q106" s="194" t="n"/>
      <c r="R106" s="194" t="n"/>
      <c r="S106" s="194" t="n"/>
      <c r="T106" s="194" t="n"/>
      <c r="U106" s="194" t="n"/>
      <c r="V106" s="194" t="n"/>
      <c r="W106" s="194" t="n"/>
      <c r="X106" s="194" t="n"/>
      <c r="Y106" s="194" t="n"/>
      <c r="Z106" s="194" t="n"/>
    </row>
    <row r="107" ht="15.75" customHeight="1" s="195">
      <c r="I107" s="194" t="n"/>
      <c r="J107" s="194" t="n"/>
      <c r="K107" s="194" t="n"/>
      <c r="L107" s="194" t="n"/>
      <c r="M107" s="194" t="n"/>
      <c r="N107" s="194" t="n"/>
      <c r="O107" s="194" t="n"/>
      <c r="P107" s="194" t="n"/>
      <c r="Q107" s="194" t="n"/>
      <c r="R107" s="194" t="n"/>
      <c r="S107" s="194" t="n"/>
      <c r="T107" s="194" t="n"/>
      <c r="U107" s="194" t="n"/>
      <c r="V107" s="194" t="n"/>
      <c r="W107" s="194" t="n"/>
      <c r="X107" s="194" t="n"/>
      <c r="Y107" s="194" t="n"/>
      <c r="Z107" s="194" t="n"/>
    </row>
    <row r="108" ht="15.75" customHeight="1" s="195">
      <c r="I108" s="194" t="n"/>
      <c r="J108" s="194" t="n"/>
      <c r="K108" s="194" t="n"/>
      <c r="L108" s="194" t="n"/>
      <c r="M108" s="194" t="n"/>
      <c r="N108" s="194" t="n"/>
      <c r="O108" s="194" t="n"/>
      <c r="P108" s="194" t="n"/>
      <c r="Q108" s="194" t="n"/>
      <c r="R108" s="194" t="n"/>
      <c r="S108" s="194" t="n"/>
      <c r="T108" s="194" t="n"/>
      <c r="U108" s="194" t="n"/>
      <c r="V108" s="194" t="n"/>
      <c r="W108" s="194" t="n"/>
      <c r="X108" s="194" t="n"/>
      <c r="Y108" s="194" t="n"/>
      <c r="Z108" s="194" t="n"/>
    </row>
    <row r="109" ht="15.75" customHeight="1" s="195">
      <c r="I109" s="194" t="n"/>
      <c r="J109" s="194" t="n"/>
      <c r="K109" s="194" t="n"/>
      <c r="L109" s="194" t="n"/>
      <c r="M109" s="194" t="n"/>
      <c r="N109" s="194" t="n"/>
      <c r="O109" s="194" t="n"/>
      <c r="P109" s="194" t="n"/>
      <c r="Q109" s="194" t="n"/>
      <c r="R109" s="194" t="n"/>
      <c r="S109" s="194" t="n"/>
      <c r="T109" s="194" t="n"/>
      <c r="U109" s="194" t="n"/>
      <c r="V109" s="194" t="n"/>
      <c r="W109" s="194" t="n"/>
      <c r="X109" s="194" t="n"/>
      <c r="Y109" s="194" t="n"/>
      <c r="Z109" s="194" t="n"/>
    </row>
    <row r="110" ht="15.75" customHeight="1" s="195">
      <c r="I110" s="194" t="n"/>
      <c r="J110" s="194" t="n"/>
      <c r="K110" s="194" t="n"/>
      <c r="L110" s="194" t="n"/>
      <c r="M110" s="194" t="n"/>
      <c r="N110" s="194" t="n"/>
      <c r="O110" s="194" t="n"/>
      <c r="P110" s="194" t="n"/>
      <c r="Q110" s="194" t="n"/>
      <c r="R110" s="194" t="n"/>
      <c r="S110" s="194" t="n"/>
      <c r="T110" s="194" t="n"/>
      <c r="U110" s="194" t="n"/>
      <c r="V110" s="194" t="n"/>
      <c r="W110" s="194" t="n"/>
      <c r="X110" s="194" t="n"/>
      <c r="Y110" s="194" t="n"/>
      <c r="Z110" s="194" t="n"/>
    </row>
    <row r="111" ht="15.75" customHeight="1" s="195">
      <c r="I111" s="194" t="n"/>
      <c r="J111" s="194" t="n"/>
      <c r="K111" s="194" t="n"/>
      <c r="L111" s="194" t="n"/>
      <c r="M111" s="194" t="n"/>
      <c r="N111" s="194" t="n"/>
      <c r="O111" s="194" t="n"/>
      <c r="P111" s="194" t="n"/>
      <c r="Q111" s="194" t="n"/>
      <c r="R111" s="194" t="n"/>
      <c r="S111" s="194" t="n"/>
      <c r="T111" s="194" t="n"/>
      <c r="U111" s="194" t="n"/>
      <c r="V111" s="194" t="n"/>
      <c r="W111" s="194" t="n"/>
      <c r="X111" s="194" t="n"/>
      <c r="Y111" s="194" t="n"/>
      <c r="Z111" s="194" t="n"/>
    </row>
    <row r="112" ht="15.75" customHeight="1" s="195">
      <c r="I112" s="194" t="n"/>
      <c r="J112" s="194" t="n"/>
      <c r="K112" s="194" t="n"/>
      <c r="L112" s="194" t="n"/>
      <c r="M112" s="194" t="n"/>
      <c r="N112" s="194" t="n"/>
      <c r="O112" s="194" t="n"/>
      <c r="P112" s="194" t="n"/>
      <c r="Q112" s="194" t="n"/>
      <c r="R112" s="194" t="n"/>
      <c r="S112" s="194" t="n"/>
      <c r="T112" s="194" t="n"/>
      <c r="U112" s="194" t="n"/>
      <c r="V112" s="194" t="n"/>
      <c r="W112" s="194" t="n"/>
      <c r="X112" s="194" t="n"/>
      <c r="Y112" s="194" t="n"/>
      <c r="Z112" s="194" t="n"/>
    </row>
    <row r="113" ht="15.75" customHeight="1" s="195">
      <c r="I113" s="194" t="n"/>
      <c r="J113" s="194" t="n"/>
      <c r="K113" s="194" t="n"/>
      <c r="L113" s="194" t="n"/>
      <c r="M113" s="194" t="n"/>
      <c r="N113" s="194" t="n"/>
      <c r="O113" s="194" t="n"/>
      <c r="P113" s="194" t="n"/>
      <c r="Q113" s="194" t="n"/>
      <c r="R113" s="194" t="n"/>
      <c r="S113" s="194" t="n"/>
      <c r="T113" s="194" t="n"/>
      <c r="U113" s="194" t="n"/>
      <c r="V113" s="194" t="n"/>
      <c r="W113" s="194" t="n"/>
      <c r="X113" s="194" t="n"/>
      <c r="Y113" s="194" t="n"/>
      <c r="Z113" s="194" t="n"/>
    </row>
    <row r="114" ht="15.75" customHeight="1" s="195">
      <c r="I114" s="194" t="n"/>
      <c r="J114" s="194" t="n"/>
      <c r="K114" s="194" t="n"/>
      <c r="L114" s="194" t="n"/>
      <c r="M114" s="194" t="n"/>
      <c r="N114" s="194" t="n"/>
      <c r="O114" s="194" t="n"/>
      <c r="P114" s="194" t="n"/>
      <c r="Q114" s="194" t="n"/>
      <c r="R114" s="194" t="n"/>
      <c r="S114" s="194" t="n"/>
      <c r="T114" s="194" t="n"/>
      <c r="U114" s="194" t="n"/>
      <c r="V114" s="194" t="n"/>
      <c r="W114" s="194" t="n"/>
      <c r="X114" s="194" t="n"/>
      <c r="Y114" s="194" t="n"/>
      <c r="Z114" s="194" t="n"/>
    </row>
    <row r="115" ht="15.75" customHeight="1" s="195">
      <c r="I115" s="194" t="n"/>
      <c r="J115" s="194" t="n"/>
      <c r="K115" s="194" t="n"/>
      <c r="L115" s="194" t="n"/>
      <c r="M115" s="194" t="n"/>
      <c r="N115" s="194" t="n"/>
      <c r="O115" s="194" t="n"/>
      <c r="P115" s="194" t="n"/>
      <c r="Q115" s="194" t="n"/>
      <c r="R115" s="194" t="n"/>
      <c r="S115" s="194" t="n"/>
      <c r="T115" s="194" t="n"/>
      <c r="U115" s="194" t="n"/>
      <c r="V115" s="194" t="n"/>
      <c r="W115" s="194" t="n"/>
      <c r="X115" s="194" t="n"/>
      <c r="Y115" s="194" t="n"/>
      <c r="Z115" s="194" t="n"/>
    </row>
    <row r="116" ht="15.75" customHeight="1" s="195">
      <c r="I116" s="194" t="n"/>
      <c r="J116" s="194" t="n"/>
      <c r="K116" s="194" t="n"/>
      <c r="L116" s="194" t="n"/>
      <c r="M116" s="194" t="n"/>
      <c r="N116" s="194" t="n"/>
      <c r="O116" s="194" t="n"/>
      <c r="P116" s="194" t="n"/>
      <c r="Q116" s="194" t="n"/>
      <c r="R116" s="194" t="n"/>
      <c r="S116" s="194" t="n"/>
      <c r="T116" s="194" t="n"/>
      <c r="U116" s="194" t="n"/>
      <c r="V116" s="194" t="n"/>
      <c r="W116" s="194" t="n"/>
      <c r="X116" s="194" t="n"/>
      <c r="Y116" s="194" t="n"/>
      <c r="Z116" s="194" t="n"/>
    </row>
    <row r="117" ht="15.75" customHeight="1" s="195">
      <c r="I117" s="194" t="n"/>
      <c r="J117" s="194" t="n"/>
      <c r="K117" s="194" t="n"/>
      <c r="L117" s="194" t="n"/>
      <c r="M117" s="194" t="n"/>
      <c r="N117" s="194" t="n"/>
      <c r="O117" s="194" t="n"/>
      <c r="P117" s="194" t="n"/>
      <c r="Q117" s="194" t="n"/>
      <c r="R117" s="194" t="n"/>
      <c r="S117" s="194" t="n"/>
      <c r="T117" s="194" t="n"/>
      <c r="U117" s="194" t="n"/>
      <c r="V117" s="194" t="n"/>
      <c r="W117" s="194" t="n"/>
      <c r="X117" s="194" t="n"/>
      <c r="Y117" s="194" t="n"/>
      <c r="Z117" s="194" t="n"/>
    </row>
    <row r="118" ht="15.75" customHeight="1" s="195">
      <c r="I118" s="194" t="n"/>
      <c r="J118" s="194" t="n"/>
      <c r="K118" s="194" t="n"/>
      <c r="L118" s="194" t="n"/>
      <c r="M118" s="194" t="n"/>
      <c r="N118" s="194" t="n"/>
      <c r="O118" s="194" t="n"/>
      <c r="P118" s="194" t="n"/>
      <c r="Q118" s="194" t="n"/>
      <c r="R118" s="194" t="n"/>
      <c r="S118" s="194" t="n"/>
      <c r="T118" s="194" t="n"/>
      <c r="U118" s="194" t="n"/>
      <c r="V118" s="194" t="n"/>
      <c r="W118" s="194" t="n"/>
      <c r="X118" s="194" t="n"/>
      <c r="Y118" s="194" t="n"/>
      <c r="Z118" s="194" t="n"/>
    </row>
    <row r="119" ht="15.75" customHeight="1" s="195">
      <c r="I119" s="194" t="n"/>
      <c r="J119" s="194" t="n"/>
      <c r="K119" s="194" t="n"/>
      <c r="L119" s="194" t="n"/>
      <c r="M119" s="194" t="n"/>
      <c r="N119" s="194" t="n"/>
      <c r="O119" s="194" t="n"/>
      <c r="P119" s="194" t="n"/>
      <c r="Q119" s="194" t="n"/>
      <c r="R119" s="194" t="n"/>
      <c r="S119" s="194" t="n"/>
      <c r="T119" s="194" t="n"/>
      <c r="U119" s="194" t="n"/>
      <c r="V119" s="194" t="n"/>
      <c r="W119" s="194" t="n"/>
      <c r="X119" s="194" t="n"/>
      <c r="Y119" s="194" t="n"/>
      <c r="Z119" s="194" t="n"/>
    </row>
    <row r="120" ht="15.75" customHeight="1" s="195">
      <c r="I120" s="194" t="n"/>
      <c r="J120" s="194" t="n"/>
      <c r="K120" s="194" t="n"/>
      <c r="L120" s="194" t="n"/>
      <c r="M120" s="194" t="n"/>
      <c r="N120" s="194" t="n"/>
      <c r="O120" s="194" t="n"/>
      <c r="P120" s="194" t="n"/>
      <c r="Q120" s="194" t="n"/>
      <c r="R120" s="194" t="n"/>
      <c r="S120" s="194" t="n"/>
      <c r="T120" s="194" t="n"/>
      <c r="U120" s="194" t="n"/>
      <c r="V120" s="194" t="n"/>
      <c r="W120" s="194" t="n"/>
      <c r="X120" s="194" t="n"/>
      <c r="Y120" s="194" t="n"/>
      <c r="Z120" s="194" t="n"/>
    </row>
    <row r="121" ht="15.75" customHeight="1" s="195">
      <c r="I121" s="194" t="n"/>
      <c r="J121" s="194" t="n"/>
      <c r="K121" s="194" t="n"/>
      <c r="L121" s="194" t="n"/>
      <c r="M121" s="194" t="n"/>
      <c r="N121" s="194" t="n"/>
      <c r="O121" s="194" t="n"/>
      <c r="P121" s="194" t="n"/>
      <c r="Q121" s="194" t="n"/>
      <c r="R121" s="194" t="n"/>
      <c r="S121" s="194" t="n"/>
      <c r="T121" s="194" t="n"/>
      <c r="U121" s="194" t="n"/>
      <c r="V121" s="194" t="n"/>
      <c r="W121" s="194" t="n"/>
      <c r="X121" s="194" t="n"/>
      <c r="Y121" s="194" t="n"/>
      <c r="Z121" s="194" t="n"/>
    </row>
    <row r="122" ht="15.75" customHeight="1" s="195">
      <c r="I122" s="194" t="n"/>
      <c r="J122" s="194" t="n"/>
      <c r="K122" s="194" t="n"/>
      <c r="L122" s="194" t="n"/>
      <c r="M122" s="194" t="n"/>
      <c r="N122" s="194" t="n"/>
      <c r="O122" s="194" t="n"/>
      <c r="P122" s="194" t="n"/>
      <c r="Q122" s="194" t="n"/>
      <c r="R122" s="194" t="n"/>
      <c r="S122" s="194" t="n"/>
      <c r="T122" s="194" t="n"/>
      <c r="U122" s="194" t="n"/>
      <c r="V122" s="194" t="n"/>
      <c r="W122" s="194" t="n"/>
      <c r="X122" s="194" t="n"/>
      <c r="Y122" s="194" t="n"/>
      <c r="Z122" s="194" t="n"/>
    </row>
    <row r="123" ht="15.75" customHeight="1" s="195">
      <c r="I123" s="194" t="n"/>
      <c r="J123" s="194" t="n"/>
      <c r="K123" s="194" t="n"/>
      <c r="L123" s="194" t="n"/>
      <c r="M123" s="194" t="n"/>
      <c r="N123" s="194" t="n"/>
      <c r="O123" s="194" t="n"/>
      <c r="P123" s="194" t="n"/>
      <c r="Q123" s="194" t="n"/>
      <c r="R123" s="194" t="n"/>
      <c r="S123" s="194" t="n"/>
      <c r="T123" s="194" t="n"/>
      <c r="U123" s="194" t="n"/>
      <c r="V123" s="194" t="n"/>
      <c r="W123" s="194" t="n"/>
      <c r="X123" s="194" t="n"/>
      <c r="Y123" s="194" t="n"/>
      <c r="Z123" s="194" t="n"/>
    </row>
    <row r="124" ht="15.75" customHeight="1" s="195">
      <c r="I124" s="194" t="n"/>
      <c r="J124" s="194" t="n"/>
      <c r="K124" s="194" t="n"/>
      <c r="L124" s="194" t="n"/>
      <c r="M124" s="194" t="n"/>
      <c r="N124" s="194" t="n"/>
      <c r="O124" s="194" t="n"/>
      <c r="P124" s="194" t="n"/>
      <c r="Q124" s="194" t="n"/>
      <c r="R124" s="194" t="n"/>
      <c r="S124" s="194" t="n"/>
      <c r="T124" s="194" t="n"/>
      <c r="U124" s="194" t="n"/>
      <c r="V124" s="194" t="n"/>
      <c r="W124" s="194" t="n"/>
      <c r="X124" s="194" t="n"/>
      <c r="Y124" s="194" t="n"/>
      <c r="Z124" s="194" t="n"/>
    </row>
    <row r="125" ht="15.75" customHeight="1" s="195">
      <c r="I125" s="194" t="n"/>
      <c r="J125" s="194" t="n"/>
      <c r="K125" s="194" t="n"/>
      <c r="L125" s="194" t="n"/>
      <c r="M125" s="194" t="n"/>
      <c r="N125" s="194" t="n"/>
      <c r="O125" s="194" t="n"/>
      <c r="P125" s="194" t="n"/>
      <c r="Q125" s="194" t="n"/>
      <c r="R125" s="194" t="n"/>
      <c r="S125" s="194" t="n"/>
      <c r="T125" s="194" t="n"/>
      <c r="U125" s="194" t="n"/>
      <c r="V125" s="194" t="n"/>
      <c r="W125" s="194" t="n"/>
      <c r="X125" s="194" t="n"/>
      <c r="Y125" s="194" t="n"/>
      <c r="Z125" s="194" t="n"/>
    </row>
    <row r="126" ht="15.75" customHeight="1" s="195">
      <c r="I126" s="194" t="n"/>
      <c r="J126" s="194" t="n"/>
      <c r="K126" s="194" t="n"/>
      <c r="L126" s="194" t="n"/>
      <c r="M126" s="194" t="n"/>
      <c r="N126" s="194" t="n"/>
      <c r="O126" s="194" t="n"/>
      <c r="P126" s="194" t="n"/>
      <c r="Q126" s="194" t="n"/>
      <c r="R126" s="194" t="n"/>
      <c r="S126" s="194" t="n"/>
      <c r="T126" s="194" t="n"/>
      <c r="U126" s="194" t="n"/>
      <c r="V126" s="194" t="n"/>
      <c r="W126" s="194" t="n"/>
      <c r="X126" s="194" t="n"/>
      <c r="Y126" s="194" t="n"/>
      <c r="Z126" s="194" t="n"/>
    </row>
    <row r="127" ht="15.75" customHeight="1" s="195">
      <c r="I127" s="194" t="n"/>
      <c r="J127" s="194" t="n"/>
      <c r="K127" s="194" t="n"/>
      <c r="L127" s="194" t="n"/>
      <c r="M127" s="194" t="n"/>
      <c r="N127" s="194" t="n"/>
      <c r="O127" s="194" t="n"/>
      <c r="P127" s="194" t="n"/>
      <c r="Q127" s="194" t="n"/>
      <c r="R127" s="194" t="n"/>
      <c r="S127" s="194" t="n"/>
      <c r="T127" s="194" t="n"/>
      <c r="U127" s="194" t="n"/>
      <c r="V127" s="194" t="n"/>
      <c r="W127" s="194" t="n"/>
      <c r="X127" s="194" t="n"/>
      <c r="Y127" s="194" t="n"/>
      <c r="Z127" s="194" t="n"/>
    </row>
    <row r="128" ht="15.75" customHeight="1" s="195">
      <c r="I128" s="194" t="n"/>
      <c r="J128" s="194" t="n"/>
      <c r="K128" s="194" t="n"/>
      <c r="L128" s="194" t="n"/>
      <c r="M128" s="194" t="n"/>
      <c r="N128" s="194" t="n"/>
      <c r="O128" s="194" t="n"/>
      <c r="P128" s="194" t="n"/>
      <c r="Q128" s="194" t="n"/>
      <c r="R128" s="194" t="n"/>
      <c r="S128" s="194" t="n"/>
      <c r="T128" s="194" t="n"/>
      <c r="U128" s="194" t="n"/>
      <c r="V128" s="194" t="n"/>
      <c r="W128" s="194" t="n"/>
      <c r="X128" s="194" t="n"/>
      <c r="Y128" s="194" t="n"/>
      <c r="Z128" s="194" t="n"/>
    </row>
    <row r="129" ht="15.75" customHeight="1" s="195">
      <c r="I129" s="194" t="n"/>
      <c r="J129" s="194" t="n"/>
      <c r="K129" s="194" t="n"/>
      <c r="L129" s="194" t="n"/>
      <c r="M129" s="194" t="n"/>
      <c r="N129" s="194" t="n"/>
      <c r="O129" s="194" t="n"/>
      <c r="P129" s="194" t="n"/>
      <c r="Q129" s="194" t="n"/>
      <c r="R129" s="194" t="n"/>
      <c r="S129" s="194" t="n"/>
      <c r="T129" s="194" t="n"/>
      <c r="U129" s="194" t="n"/>
      <c r="V129" s="194" t="n"/>
      <c r="W129" s="194" t="n"/>
      <c r="X129" s="194" t="n"/>
      <c r="Y129" s="194" t="n"/>
      <c r="Z129" s="194" t="n"/>
    </row>
    <row r="130" ht="15.75" customHeight="1" s="195">
      <c r="I130" s="194" t="n"/>
      <c r="J130" s="194" t="n"/>
      <c r="K130" s="194" t="n"/>
      <c r="L130" s="194" t="n"/>
      <c r="M130" s="194" t="n"/>
      <c r="N130" s="194" t="n"/>
      <c r="O130" s="194" t="n"/>
      <c r="P130" s="194" t="n"/>
      <c r="Q130" s="194" t="n"/>
      <c r="R130" s="194" t="n"/>
      <c r="S130" s="194" t="n"/>
      <c r="T130" s="194" t="n"/>
      <c r="U130" s="194" t="n"/>
      <c r="V130" s="194" t="n"/>
      <c r="W130" s="194" t="n"/>
      <c r="X130" s="194" t="n"/>
      <c r="Y130" s="194" t="n"/>
      <c r="Z130" s="194" t="n"/>
    </row>
    <row r="131" ht="15.75" customHeight="1" s="195">
      <c r="I131" s="194" t="n"/>
      <c r="J131" s="194" t="n"/>
      <c r="K131" s="194" t="n"/>
      <c r="L131" s="194" t="n"/>
      <c r="M131" s="194" t="n"/>
      <c r="N131" s="194" t="n"/>
      <c r="O131" s="194" t="n"/>
      <c r="P131" s="194" t="n"/>
      <c r="Q131" s="194" t="n"/>
      <c r="R131" s="194" t="n"/>
      <c r="S131" s="194" t="n"/>
      <c r="T131" s="194" t="n"/>
      <c r="U131" s="194" t="n"/>
      <c r="V131" s="194" t="n"/>
      <c r="W131" s="194" t="n"/>
      <c r="X131" s="194" t="n"/>
      <c r="Y131" s="194" t="n"/>
      <c r="Z131" s="194" t="n"/>
    </row>
    <row r="132" ht="15.75" customHeight="1" s="195">
      <c r="I132" s="194" t="n"/>
      <c r="J132" s="194" t="n"/>
      <c r="K132" s="194" t="n"/>
      <c r="L132" s="194" t="n"/>
      <c r="M132" s="194" t="n"/>
      <c r="N132" s="194" t="n"/>
      <c r="O132" s="194" t="n"/>
      <c r="P132" s="194" t="n"/>
      <c r="Q132" s="194" t="n"/>
      <c r="R132" s="194" t="n"/>
      <c r="S132" s="194" t="n"/>
      <c r="T132" s="194" t="n"/>
      <c r="U132" s="194" t="n"/>
      <c r="V132" s="194" t="n"/>
      <c r="W132" s="194" t="n"/>
      <c r="X132" s="194" t="n"/>
      <c r="Y132" s="194" t="n"/>
      <c r="Z132" s="194" t="n"/>
    </row>
    <row r="133" ht="15.75" customHeight="1" s="195">
      <c r="I133" s="194" t="n"/>
      <c r="J133" s="194" t="n"/>
      <c r="K133" s="194" t="n"/>
      <c r="L133" s="194" t="n"/>
      <c r="M133" s="194" t="n"/>
      <c r="N133" s="194" t="n"/>
      <c r="O133" s="194" t="n"/>
      <c r="P133" s="194" t="n"/>
      <c r="Q133" s="194" t="n"/>
      <c r="R133" s="194" t="n"/>
      <c r="S133" s="194" t="n"/>
      <c r="T133" s="194" t="n"/>
      <c r="U133" s="194" t="n"/>
      <c r="V133" s="194" t="n"/>
      <c r="W133" s="194" t="n"/>
      <c r="X133" s="194" t="n"/>
      <c r="Y133" s="194" t="n"/>
      <c r="Z133" s="194" t="n"/>
    </row>
    <row r="134" ht="15.75" customHeight="1" s="195">
      <c r="I134" s="194" t="n"/>
      <c r="J134" s="194" t="n"/>
      <c r="K134" s="194" t="n"/>
      <c r="L134" s="194" t="n"/>
      <c r="M134" s="194" t="n"/>
      <c r="N134" s="194" t="n"/>
      <c r="O134" s="194" t="n"/>
      <c r="P134" s="194" t="n"/>
      <c r="Q134" s="194" t="n"/>
      <c r="R134" s="194" t="n"/>
      <c r="S134" s="194" t="n"/>
      <c r="T134" s="194" t="n"/>
      <c r="U134" s="194" t="n"/>
      <c r="V134" s="194" t="n"/>
      <c r="W134" s="194" t="n"/>
      <c r="X134" s="194" t="n"/>
      <c r="Y134" s="194" t="n"/>
      <c r="Z134" s="194" t="n"/>
    </row>
    <row r="135" ht="15.75" customHeight="1" s="195">
      <c r="I135" s="194" t="n"/>
      <c r="J135" s="194" t="n"/>
      <c r="K135" s="194" t="n"/>
      <c r="L135" s="194" t="n"/>
      <c r="M135" s="194" t="n"/>
      <c r="N135" s="194" t="n"/>
      <c r="O135" s="194" t="n"/>
      <c r="P135" s="194" t="n"/>
      <c r="Q135" s="194" t="n"/>
      <c r="R135" s="194" t="n"/>
      <c r="S135" s="194" t="n"/>
      <c r="T135" s="194" t="n"/>
      <c r="U135" s="194" t="n"/>
      <c r="V135" s="194" t="n"/>
      <c r="W135" s="194" t="n"/>
      <c r="X135" s="194" t="n"/>
      <c r="Y135" s="194" t="n"/>
      <c r="Z135" s="194" t="n"/>
    </row>
    <row r="136" ht="15.75" customHeight="1" s="195">
      <c r="I136" s="194" t="n"/>
      <c r="J136" s="194" t="n"/>
      <c r="K136" s="194" t="n"/>
      <c r="L136" s="194" t="n"/>
      <c r="M136" s="194" t="n"/>
      <c r="N136" s="194" t="n"/>
      <c r="O136" s="194" t="n"/>
      <c r="P136" s="194" t="n"/>
      <c r="Q136" s="194" t="n"/>
      <c r="R136" s="194" t="n"/>
      <c r="S136" s="194" t="n"/>
      <c r="T136" s="194" t="n"/>
      <c r="U136" s="194" t="n"/>
      <c r="V136" s="194" t="n"/>
      <c r="W136" s="194" t="n"/>
      <c r="X136" s="194" t="n"/>
      <c r="Y136" s="194" t="n"/>
      <c r="Z136" s="194" t="n"/>
    </row>
    <row r="137" ht="15.75" customHeight="1" s="195">
      <c r="I137" s="194" t="n"/>
      <c r="J137" s="194" t="n"/>
      <c r="K137" s="194" t="n"/>
      <c r="L137" s="194" t="n"/>
      <c r="M137" s="194" t="n"/>
      <c r="N137" s="194" t="n"/>
      <c r="O137" s="194" t="n"/>
      <c r="P137" s="194" t="n"/>
      <c r="Q137" s="194" t="n"/>
      <c r="R137" s="194" t="n"/>
      <c r="S137" s="194" t="n"/>
      <c r="T137" s="194" t="n"/>
      <c r="U137" s="194" t="n"/>
      <c r="V137" s="194" t="n"/>
      <c r="W137" s="194" t="n"/>
      <c r="X137" s="194" t="n"/>
      <c r="Y137" s="194" t="n"/>
      <c r="Z137" s="194" t="n"/>
    </row>
    <row r="138" ht="15.75" customHeight="1" s="195">
      <c r="I138" s="194" t="n"/>
      <c r="J138" s="194" t="n"/>
      <c r="K138" s="194" t="n"/>
      <c r="L138" s="194" t="n"/>
      <c r="M138" s="194" t="n"/>
      <c r="N138" s="194" t="n"/>
      <c r="O138" s="194" t="n"/>
      <c r="P138" s="194" t="n"/>
      <c r="Q138" s="194" t="n"/>
      <c r="R138" s="194" t="n"/>
      <c r="S138" s="194" t="n"/>
      <c r="T138" s="194" t="n"/>
      <c r="U138" s="194" t="n"/>
      <c r="V138" s="194" t="n"/>
      <c r="W138" s="194" t="n"/>
      <c r="X138" s="194" t="n"/>
      <c r="Y138" s="194" t="n"/>
      <c r="Z138" s="194" t="n"/>
    </row>
    <row r="139" ht="15.75" customHeight="1" s="195">
      <c r="I139" s="194" t="n"/>
      <c r="J139" s="194" t="n"/>
      <c r="K139" s="194" t="n"/>
      <c r="L139" s="194" t="n"/>
      <c r="M139" s="194" t="n"/>
      <c r="N139" s="194" t="n"/>
      <c r="O139" s="194" t="n"/>
      <c r="P139" s="194" t="n"/>
      <c r="Q139" s="194" t="n"/>
      <c r="R139" s="194" t="n"/>
      <c r="S139" s="194" t="n"/>
      <c r="T139" s="194" t="n"/>
      <c r="U139" s="194" t="n"/>
      <c r="V139" s="194" t="n"/>
      <c r="W139" s="194" t="n"/>
      <c r="X139" s="194" t="n"/>
      <c r="Y139" s="194" t="n"/>
      <c r="Z139" s="194" t="n"/>
    </row>
    <row r="140" ht="15.75" customHeight="1" s="195">
      <c r="I140" s="194" t="n"/>
      <c r="J140" s="194" t="n"/>
      <c r="K140" s="194" t="n"/>
      <c r="L140" s="194" t="n"/>
      <c r="M140" s="194" t="n"/>
      <c r="N140" s="194" t="n"/>
      <c r="O140" s="194" t="n"/>
      <c r="P140" s="194" t="n"/>
      <c r="Q140" s="194" t="n"/>
      <c r="R140" s="194" t="n"/>
      <c r="S140" s="194" t="n"/>
      <c r="T140" s="194" t="n"/>
      <c r="U140" s="194" t="n"/>
      <c r="V140" s="194" t="n"/>
      <c r="W140" s="194" t="n"/>
      <c r="X140" s="194" t="n"/>
      <c r="Y140" s="194" t="n"/>
      <c r="Z140" s="194" t="n"/>
    </row>
    <row r="141" ht="15.75" customHeight="1" s="195">
      <c r="I141" s="194" t="n"/>
      <c r="J141" s="194" t="n"/>
      <c r="K141" s="194" t="n"/>
      <c r="L141" s="194" t="n"/>
      <c r="M141" s="194" t="n"/>
      <c r="N141" s="194" t="n"/>
      <c r="O141" s="194" t="n"/>
      <c r="P141" s="194" t="n"/>
      <c r="Q141" s="194" t="n"/>
      <c r="R141" s="194" t="n"/>
      <c r="S141" s="194" t="n"/>
      <c r="T141" s="194" t="n"/>
      <c r="U141" s="194" t="n"/>
      <c r="V141" s="194" t="n"/>
      <c r="W141" s="194" t="n"/>
      <c r="X141" s="194" t="n"/>
      <c r="Y141" s="194" t="n"/>
      <c r="Z141" s="194" t="n"/>
    </row>
    <row r="142" ht="15.75" customHeight="1" s="195">
      <c r="I142" s="194" t="n"/>
      <c r="J142" s="194" t="n"/>
      <c r="K142" s="194" t="n"/>
      <c r="L142" s="194" t="n"/>
      <c r="M142" s="194" t="n"/>
      <c r="N142" s="194" t="n"/>
      <c r="O142" s="194" t="n"/>
      <c r="P142" s="194" t="n"/>
      <c r="Q142" s="194" t="n"/>
      <c r="R142" s="194" t="n"/>
      <c r="S142" s="194" t="n"/>
      <c r="T142" s="194" t="n"/>
      <c r="U142" s="194" t="n"/>
      <c r="V142" s="194" t="n"/>
      <c r="W142" s="194" t="n"/>
      <c r="X142" s="194" t="n"/>
      <c r="Y142" s="194" t="n"/>
      <c r="Z142" s="194" t="n"/>
    </row>
    <row r="143" ht="15.75" customHeight="1" s="195">
      <c r="I143" s="194" t="n"/>
      <c r="J143" s="194" t="n"/>
      <c r="K143" s="194" t="n"/>
      <c r="L143" s="194" t="n"/>
      <c r="M143" s="194" t="n"/>
      <c r="N143" s="194" t="n"/>
      <c r="O143" s="194" t="n"/>
      <c r="P143" s="194" t="n"/>
      <c r="Q143" s="194" t="n"/>
      <c r="R143" s="194" t="n"/>
      <c r="S143" s="194" t="n"/>
      <c r="T143" s="194" t="n"/>
      <c r="U143" s="194" t="n"/>
      <c r="V143" s="194" t="n"/>
      <c r="W143" s="194" t="n"/>
      <c r="X143" s="194" t="n"/>
      <c r="Y143" s="194" t="n"/>
      <c r="Z143" s="194" t="n"/>
    </row>
    <row r="144" ht="15.75" customHeight="1" s="195">
      <c r="I144" s="194" t="n"/>
      <c r="J144" s="194" t="n"/>
      <c r="K144" s="194" t="n"/>
      <c r="L144" s="194" t="n"/>
      <c r="M144" s="194" t="n"/>
      <c r="N144" s="194" t="n"/>
      <c r="O144" s="194" t="n"/>
      <c r="P144" s="194" t="n"/>
      <c r="Q144" s="194" t="n"/>
      <c r="R144" s="194" t="n"/>
      <c r="S144" s="194" t="n"/>
      <c r="T144" s="194" t="n"/>
      <c r="U144" s="194" t="n"/>
      <c r="V144" s="194" t="n"/>
      <c r="W144" s="194" t="n"/>
      <c r="X144" s="194" t="n"/>
      <c r="Y144" s="194" t="n"/>
      <c r="Z144" s="194" t="n"/>
    </row>
    <row r="145" ht="15.75" customHeight="1" s="195">
      <c r="I145" s="194" t="n"/>
      <c r="J145" s="194" t="n"/>
      <c r="K145" s="194" t="n"/>
      <c r="L145" s="194" t="n"/>
      <c r="M145" s="194" t="n"/>
      <c r="N145" s="194" t="n"/>
      <c r="O145" s="194" t="n"/>
      <c r="P145" s="194" t="n"/>
      <c r="Q145" s="194" t="n"/>
      <c r="R145" s="194" t="n"/>
      <c r="S145" s="194" t="n"/>
      <c r="T145" s="194" t="n"/>
      <c r="U145" s="194" t="n"/>
      <c r="V145" s="194" t="n"/>
      <c r="W145" s="194" t="n"/>
      <c r="X145" s="194" t="n"/>
      <c r="Y145" s="194" t="n"/>
      <c r="Z145" s="194" t="n"/>
    </row>
    <row r="146" ht="15.75" customHeight="1" s="195">
      <c r="I146" s="194" t="n"/>
      <c r="J146" s="194" t="n"/>
      <c r="K146" s="194" t="n"/>
      <c r="L146" s="194" t="n"/>
      <c r="M146" s="194" t="n"/>
      <c r="N146" s="194" t="n"/>
      <c r="O146" s="194" t="n"/>
      <c r="P146" s="194" t="n"/>
      <c r="Q146" s="194" t="n"/>
      <c r="R146" s="194" t="n"/>
      <c r="S146" s="194" t="n"/>
      <c r="T146" s="194" t="n"/>
      <c r="U146" s="194" t="n"/>
      <c r="V146" s="194" t="n"/>
      <c r="W146" s="194" t="n"/>
      <c r="X146" s="194" t="n"/>
      <c r="Y146" s="194" t="n"/>
      <c r="Z146" s="194" t="n"/>
    </row>
    <row r="147" ht="15.75" customHeight="1" s="195">
      <c r="I147" s="194" t="n"/>
      <c r="J147" s="194" t="n"/>
      <c r="K147" s="194" t="n"/>
      <c r="L147" s="194" t="n"/>
      <c r="M147" s="194" t="n"/>
      <c r="N147" s="194" t="n"/>
      <c r="O147" s="194" t="n"/>
      <c r="P147" s="194" t="n"/>
      <c r="Q147" s="194" t="n"/>
      <c r="R147" s="194" t="n"/>
      <c r="S147" s="194" t="n"/>
      <c r="T147" s="194" t="n"/>
      <c r="U147" s="194" t="n"/>
      <c r="V147" s="194" t="n"/>
      <c r="W147" s="194" t="n"/>
      <c r="X147" s="194" t="n"/>
      <c r="Y147" s="194" t="n"/>
      <c r="Z147" s="194" t="n"/>
    </row>
    <row r="148" ht="15.75" customHeight="1" s="195">
      <c r="I148" s="194" t="n"/>
      <c r="J148" s="194" t="n"/>
      <c r="K148" s="194" t="n"/>
      <c r="L148" s="194" t="n"/>
      <c r="M148" s="194" t="n"/>
      <c r="N148" s="194" t="n"/>
      <c r="O148" s="194" t="n"/>
      <c r="P148" s="194" t="n"/>
      <c r="Q148" s="194" t="n"/>
      <c r="R148" s="194" t="n"/>
      <c r="S148" s="194" t="n"/>
      <c r="T148" s="194" t="n"/>
      <c r="U148" s="194" t="n"/>
      <c r="V148" s="194" t="n"/>
      <c r="W148" s="194" t="n"/>
      <c r="X148" s="194" t="n"/>
      <c r="Y148" s="194" t="n"/>
      <c r="Z148" s="194" t="n"/>
    </row>
    <row r="149" ht="15.75" customHeight="1" s="195">
      <c r="I149" s="194" t="n"/>
      <c r="J149" s="194" t="n"/>
      <c r="K149" s="194" t="n"/>
      <c r="L149" s="194" t="n"/>
      <c r="M149" s="194" t="n"/>
      <c r="N149" s="194" t="n"/>
      <c r="O149" s="194" t="n"/>
      <c r="P149" s="194" t="n"/>
      <c r="Q149" s="194" t="n"/>
      <c r="R149" s="194" t="n"/>
      <c r="S149" s="194" t="n"/>
      <c r="T149" s="194" t="n"/>
      <c r="U149" s="194" t="n"/>
      <c r="V149" s="194" t="n"/>
      <c r="W149" s="194" t="n"/>
      <c r="X149" s="194" t="n"/>
      <c r="Y149" s="194" t="n"/>
      <c r="Z149" s="194" t="n"/>
    </row>
    <row r="150" ht="15.75" customHeight="1" s="195">
      <c r="I150" s="194" t="n"/>
      <c r="J150" s="194" t="n"/>
      <c r="K150" s="194" t="n"/>
      <c r="L150" s="194" t="n"/>
      <c r="M150" s="194" t="n"/>
      <c r="N150" s="194" t="n"/>
      <c r="O150" s="194" t="n"/>
      <c r="P150" s="194" t="n"/>
      <c r="Q150" s="194" t="n"/>
      <c r="R150" s="194" t="n"/>
      <c r="S150" s="194" t="n"/>
      <c r="T150" s="194" t="n"/>
      <c r="U150" s="194" t="n"/>
      <c r="V150" s="194" t="n"/>
      <c r="W150" s="194" t="n"/>
      <c r="X150" s="194" t="n"/>
      <c r="Y150" s="194" t="n"/>
      <c r="Z150" s="194" t="n"/>
    </row>
    <row r="151" ht="15.75" customHeight="1" s="195">
      <c r="I151" s="194" t="n"/>
      <c r="J151" s="194" t="n"/>
      <c r="K151" s="194" t="n"/>
      <c r="L151" s="194" t="n"/>
      <c r="M151" s="194" t="n"/>
      <c r="N151" s="194" t="n"/>
      <c r="O151" s="194" t="n"/>
      <c r="P151" s="194" t="n"/>
      <c r="Q151" s="194" t="n"/>
      <c r="R151" s="194" t="n"/>
      <c r="S151" s="194" t="n"/>
      <c r="T151" s="194" t="n"/>
      <c r="U151" s="194" t="n"/>
      <c r="V151" s="194" t="n"/>
      <c r="W151" s="194" t="n"/>
      <c r="X151" s="194" t="n"/>
      <c r="Y151" s="194" t="n"/>
      <c r="Z151" s="194" t="n"/>
    </row>
    <row r="152" ht="15.75" customHeight="1" s="195">
      <c r="I152" s="194" t="n"/>
      <c r="J152" s="194" t="n"/>
      <c r="K152" s="194" t="n"/>
      <c r="L152" s="194" t="n"/>
      <c r="M152" s="194" t="n"/>
      <c r="N152" s="194" t="n"/>
      <c r="O152" s="194" t="n"/>
      <c r="P152" s="194" t="n"/>
      <c r="Q152" s="194" t="n"/>
      <c r="R152" s="194" t="n"/>
      <c r="S152" s="194" t="n"/>
      <c r="T152" s="194" t="n"/>
      <c r="U152" s="194" t="n"/>
      <c r="V152" s="194" t="n"/>
      <c r="W152" s="194" t="n"/>
      <c r="X152" s="194" t="n"/>
      <c r="Y152" s="194" t="n"/>
      <c r="Z152" s="194" t="n"/>
    </row>
    <row r="153" ht="15.75" customHeight="1" s="195">
      <c r="I153" s="194" t="n"/>
      <c r="J153" s="194" t="n"/>
      <c r="K153" s="194" t="n"/>
      <c r="L153" s="194" t="n"/>
      <c r="M153" s="194" t="n"/>
      <c r="N153" s="194" t="n"/>
      <c r="O153" s="194" t="n"/>
      <c r="P153" s="194" t="n"/>
      <c r="Q153" s="194" t="n"/>
      <c r="R153" s="194" t="n"/>
      <c r="S153" s="194" t="n"/>
      <c r="T153" s="194" t="n"/>
      <c r="U153" s="194" t="n"/>
      <c r="V153" s="194" t="n"/>
      <c r="W153" s="194" t="n"/>
      <c r="X153" s="194" t="n"/>
      <c r="Y153" s="194" t="n"/>
      <c r="Z153" s="194" t="n"/>
    </row>
    <row r="154" ht="15.75" customHeight="1" s="195">
      <c r="I154" s="194" t="n"/>
      <c r="J154" s="194" t="n"/>
      <c r="K154" s="194" t="n"/>
      <c r="L154" s="194" t="n"/>
      <c r="M154" s="194" t="n"/>
      <c r="N154" s="194" t="n"/>
      <c r="O154" s="194" t="n"/>
      <c r="P154" s="194" t="n"/>
      <c r="Q154" s="194" t="n"/>
      <c r="R154" s="194" t="n"/>
      <c r="S154" s="194" t="n"/>
      <c r="T154" s="194" t="n"/>
      <c r="U154" s="194" t="n"/>
      <c r="V154" s="194" t="n"/>
      <c r="W154" s="194" t="n"/>
      <c r="X154" s="194" t="n"/>
      <c r="Y154" s="194" t="n"/>
      <c r="Z154" s="194" t="n"/>
    </row>
    <row r="155" ht="15.75" customHeight="1" s="195">
      <c r="I155" s="194" t="n"/>
      <c r="J155" s="194" t="n"/>
      <c r="K155" s="194" t="n"/>
      <c r="L155" s="194" t="n"/>
      <c r="M155" s="194" t="n"/>
      <c r="N155" s="194" t="n"/>
      <c r="O155" s="194" t="n"/>
      <c r="P155" s="194" t="n"/>
      <c r="Q155" s="194" t="n"/>
      <c r="R155" s="194" t="n"/>
      <c r="S155" s="194" t="n"/>
      <c r="T155" s="194" t="n"/>
      <c r="U155" s="194" t="n"/>
      <c r="V155" s="194" t="n"/>
      <c r="W155" s="194" t="n"/>
      <c r="X155" s="194" t="n"/>
      <c r="Y155" s="194" t="n"/>
      <c r="Z155" s="194" t="n"/>
    </row>
    <row r="156" ht="15.75" customHeight="1" s="195">
      <c r="I156" s="194" t="n"/>
      <c r="J156" s="194" t="n"/>
      <c r="K156" s="194" t="n"/>
      <c r="L156" s="194" t="n"/>
      <c r="M156" s="194" t="n"/>
      <c r="N156" s="194" t="n"/>
      <c r="O156" s="194" t="n"/>
      <c r="P156" s="194" t="n"/>
      <c r="Q156" s="194" t="n"/>
      <c r="R156" s="194" t="n"/>
      <c r="S156" s="194" t="n"/>
      <c r="T156" s="194" t="n"/>
      <c r="U156" s="194" t="n"/>
      <c r="V156" s="194" t="n"/>
      <c r="W156" s="194" t="n"/>
      <c r="X156" s="194" t="n"/>
      <c r="Y156" s="194" t="n"/>
      <c r="Z156" s="194" t="n"/>
    </row>
    <row r="157" ht="15.75" customHeight="1" s="195">
      <c r="I157" s="194" t="n"/>
      <c r="J157" s="194" t="n"/>
      <c r="K157" s="194" t="n"/>
      <c r="L157" s="194" t="n"/>
      <c r="M157" s="194" t="n"/>
      <c r="N157" s="194" t="n"/>
      <c r="O157" s="194" t="n"/>
      <c r="P157" s="194" t="n"/>
      <c r="Q157" s="194" t="n"/>
      <c r="R157" s="194" t="n"/>
      <c r="S157" s="194" t="n"/>
      <c r="T157" s="194" t="n"/>
      <c r="U157" s="194" t="n"/>
      <c r="V157" s="194" t="n"/>
      <c r="W157" s="194" t="n"/>
      <c r="X157" s="194" t="n"/>
      <c r="Y157" s="194" t="n"/>
      <c r="Z157" s="194" t="n"/>
    </row>
    <row r="158" ht="15.75" customHeight="1" s="195">
      <c r="I158" s="194" t="n"/>
      <c r="J158" s="194" t="n"/>
      <c r="K158" s="194" t="n"/>
      <c r="L158" s="194" t="n"/>
      <c r="M158" s="194" t="n"/>
      <c r="N158" s="194" t="n"/>
      <c r="O158" s="194" t="n"/>
      <c r="P158" s="194" t="n"/>
      <c r="Q158" s="194" t="n"/>
      <c r="R158" s="194" t="n"/>
      <c r="S158" s="194" t="n"/>
      <c r="T158" s="194" t="n"/>
      <c r="U158" s="194" t="n"/>
      <c r="V158" s="194" t="n"/>
      <c r="W158" s="194" t="n"/>
      <c r="X158" s="194" t="n"/>
      <c r="Y158" s="194" t="n"/>
      <c r="Z158" s="194" t="n"/>
    </row>
    <row r="159" ht="15.75" customHeight="1" s="195">
      <c r="I159" s="194" t="n"/>
      <c r="J159" s="194" t="n"/>
      <c r="K159" s="194" t="n"/>
      <c r="L159" s="194" t="n"/>
      <c r="M159" s="194" t="n"/>
      <c r="N159" s="194" t="n"/>
      <c r="O159" s="194" t="n"/>
      <c r="P159" s="194" t="n"/>
      <c r="Q159" s="194" t="n"/>
      <c r="R159" s="194" t="n"/>
      <c r="S159" s="194" t="n"/>
      <c r="T159" s="194" t="n"/>
      <c r="U159" s="194" t="n"/>
      <c r="V159" s="194" t="n"/>
      <c r="W159" s="194" t="n"/>
      <c r="X159" s="194" t="n"/>
      <c r="Y159" s="194" t="n"/>
      <c r="Z159" s="194" t="n"/>
    </row>
    <row r="160" ht="15.75" customHeight="1" s="195">
      <c r="I160" s="194" t="n"/>
      <c r="J160" s="194" t="n"/>
      <c r="K160" s="194" t="n"/>
      <c r="L160" s="194" t="n"/>
      <c r="M160" s="194" t="n"/>
      <c r="N160" s="194" t="n"/>
      <c r="O160" s="194" t="n"/>
      <c r="P160" s="194" t="n"/>
      <c r="Q160" s="194" t="n"/>
      <c r="R160" s="194" t="n"/>
      <c r="S160" s="194" t="n"/>
      <c r="T160" s="194" t="n"/>
      <c r="U160" s="194" t="n"/>
      <c r="V160" s="194" t="n"/>
      <c r="W160" s="194" t="n"/>
      <c r="X160" s="194" t="n"/>
      <c r="Y160" s="194" t="n"/>
      <c r="Z160" s="194" t="n"/>
    </row>
    <row r="161" ht="15.75" customHeight="1" s="195">
      <c r="I161" s="194" t="n"/>
      <c r="J161" s="194" t="n"/>
      <c r="K161" s="194" t="n"/>
      <c r="L161" s="194" t="n"/>
      <c r="M161" s="194" t="n"/>
      <c r="N161" s="194" t="n"/>
      <c r="O161" s="194" t="n"/>
      <c r="P161" s="194" t="n"/>
      <c r="Q161" s="194" t="n"/>
      <c r="R161" s="194" t="n"/>
      <c r="S161" s="194" t="n"/>
      <c r="T161" s="194" t="n"/>
      <c r="U161" s="194" t="n"/>
      <c r="V161" s="194" t="n"/>
      <c r="W161" s="194" t="n"/>
      <c r="X161" s="194" t="n"/>
      <c r="Y161" s="194" t="n"/>
      <c r="Z161" s="194" t="n"/>
    </row>
    <row r="162" ht="15.75" customHeight="1" s="195">
      <c r="I162" s="194" t="n"/>
      <c r="J162" s="194" t="n"/>
      <c r="K162" s="194" t="n"/>
      <c r="L162" s="194" t="n"/>
      <c r="M162" s="194" t="n"/>
      <c r="N162" s="194" t="n"/>
      <c r="O162" s="194" t="n"/>
      <c r="P162" s="194" t="n"/>
      <c r="Q162" s="194" t="n"/>
      <c r="R162" s="194" t="n"/>
      <c r="S162" s="194" t="n"/>
      <c r="T162" s="194" t="n"/>
      <c r="U162" s="194" t="n"/>
      <c r="V162" s="194" t="n"/>
      <c r="W162" s="194" t="n"/>
      <c r="X162" s="194" t="n"/>
      <c r="Y162" s="194" t="n"/>
      <c r="Z162" s="194" t="n"/>
    </row>
    <row r="163" ht="15.75" customHeight="1" s="195">
      <c r="I163" s="194" t="n"/>
      <c r="J163" s="194" t="n"/>
      <c r="K163" s="194" t="n"/>
      <c r="L163" s="194" t="n"/>
      <c r="M163" s="194" t="n"/>
      <c r="N163" s="194" t="n"/>
      <c r="O163" s="194" t="n"/>
      <c r="P163" s="194" t="n"/>
      <c r="Q163" s="194" t="n"/>
      <c r="R163" s="194" t="n"/>
      <c r="S163" s="194" t="n"/>
      <c r="T163" s="194" t="n"/>
      <c r="U163" s="194" t="n"/>
      <c r="V163" s="194" t="n"/>
      <c r="W163" s="194" t="n"/>
      <c r="X163" s="194" t="n"/>
      <c r="Y163" s="194" t="n"/>
      <c r="Z163" s="194" t="n"/>
    </row>
    <row r="164" ht="15.75" customHeight="1" s="195">
      <c r="I164" s="194" t="n"/>
      <c r="J164" s="194" t="n"/>
      <c r="K164" s="194" t="n"/>
      <c r="L164" s="194" t="n"/>
      <c r="M164" s="194" t="n"/>
      <c r="N164" s="194" t="n"/>
      <c r="O164" s="194" t="n"/>
      <c r="P164" s="194" t="n"/>
      <c r="Q164" s="194" t="n"/>
      <c r="R164" s="194" t="n"/>
      <c r="S164" s="194" t="n"/>
      <c r="T164" s="194" t="n"/>
      <c r="U164" s="194" t="n"/>
      <c r="V164" s="194" t="n"/>
      <c r="W164" s="194" t="n"/>
      <c r="X164" s="194" t="n"/>
      <c r="Y164" s="194" t="n"/>
      <c r="Z164" s="194" t="n"/>
    </row>
    <row r="165" ht="15.75" customHeight="1" s="195">
      <c r="I165" s="194" t="n"/>
      <c r="J165" s="194" t="n"/>
      <c r="K165" s="194" t="n"/>
      <c r="L165" s="194" t="n"/>
      <c r="M165" s="194" t="n"/>
      <c r="N165" s="194" t="n"/>
      <c r="O165" s="194" t="n"/>
      <c r="P165" s="194" t="n"/>
      <c r="Q165" s="194" t="n"/>
      <c r="R165" s="194" t="n"/>
      <c r="S165" s="194" t="n"/>
      <c r="T165" s="194" t="n"/>
      <c r="U165" s="194" t="n"/>
      <c r="V165" s="194" t="n"/>
      <c r="W165" s="194" t="n"/>
      <c r="X165" s="194" t="n"/>
      <c r="Y165" s="194" t="n"/>
      <c r="Z165" s="194" t="n"/>
    </row>
    <row r="166" ht="15.75" customHeight="1" s="195">
      <c r="I166" s="194" t="n"/>
      <c r="J166" s="194" t="n"/>
      <c r="K166" s="194" t="n"/>
      <c r="L166" s="194" t="n"/>
      <c r="M166" s="194" t="n"/>
      <c r="N166" s="194" t="n"/>
      <c r="O166" s="194" t="n"/>
      <c r="P166" s="194" t="n"/>
      <c r="Q166" s="194" t="n"/>
      <c r="R166" s="194" t="n"/>
      <c r="S166" s="194" t="n"/>
      <c r="T166" s="194" t="n"/>
      <c r="U166" s="194" t="n"/>
      <c r="V166" s="194" t="n"/>
      <c r="W166" s="194" t="n"/>
      <c r="X166" s="194" t="n"/>
      <c r="Y166" s="194" t="n"/>
      <c r="Z166" s="194" t="n"/>
    </row>
    <row r="167" ht="15.75" customHeight="1" s="195">
      <c r="I167" s="194" t="n"/>
      <c r="J167" s="194" t="n"/>
      <c r="K167" s="194" t="n"/>
      <c r="L167" s="194" t="n"/>
      <c r="M167" s="194" t="n"/>
      <c r="N167" s="194" t="n"/>
      <c r="O167" s="194" t="n"/>
      <c r="P167" s="194" t="n"/>
      <c r="Q167" s="194" t="n"/>
      <c r="R167" s="194" t="n"/>
      <c r="S167" s="194" t="n"/>
      <c r="T167" s="194" t="n"/>
      <c r="U167" s="194" t="n"/>
      <c r="V167" s="194" t="n"/>
      <c r="W167" s="194" t="n"/>
      <c r="X167" s="194" t="n"/>
      <c r="Y167" s="194" t="n"/>
      <c r="Z167" s="194" t="n"/>
    </row>
    <row r="168" ht="15.75" customHeight="1" s="195">
      <c r="I168" s="194" t="n"/>
      <c r="J168" s="194" t="n"/>
      <c r="K168" s="194" t="n"/>
      <c r="L168" s="194" t="n"/>
      <c r="M168" s="194" t="n"/>
      <c r="N168" s="194" t="n"/>
      <c r="O168" s="194" t="n"/>
      <c r="P168" s="194" t="n"/>
      <c r="Q168" s="194" t="n"/>
      <c r="R168" s="194" t="n"/>
      <c r="S168" s="194" t="n"/>
      <c r="T168" s="194" t="n"/>
      <c r="U168" s="194" t="n"/>
      <c r="V168" s="194" t="n"/>
      <c r="W168" s="194" t="n"/>
      <c r="X168" s="194" t="n"/>
      <c r="Y168" s="194" t="n"/>
      <c r="Z168" s="194" t="n"/>
    </row>
    <row r="169" ht="15.75" customHeight="1" s="195">
      <c r="I169" s="194" t="n"/>
      <c r="J169" s="194" t="n"/>
      <c r="K169" s="194" t="n"/>
      <c r="L169" s="194" t="n"/>
      <c r="M169" s="194" t="n"/>
      <c r="N169" s="194" t="n"/>
      <c r="O169" s="194" t="n"/>
      <c r="P169" s="194" t="n"/>
      <c r="Q169" s="194" t="n"/>
      <c r="R169" s="194" t="n"/>
      <c r="S169" s="194" t="n"/>
      <c r="T169" s="194" t="n"/>
      <c r="U169" s="194" t="n"/>
      <c r="V169" s="194" t="n"/>
      <c r="W169" s="194" t="n"/>
      <c r="X169" s="194" t="n"/>
      <c r="Y169" s="194" t="n"/>
      <c r="Z169" s="194" t="n"/>
    </row>
    <row r="170" ht="15.75" customHeight="1" s="195">
      <c r="I170" s="194" t="n"/>
      <c r="J170" s="194" t="n"/>
      <c r="K170" s="194" t="n"/>
      <c r="L170" s="194" t="n"/>
      <c r="M170" s="194" t="n"/>
      <c r="N170" s="194" t="n"/>
      <c r="O170" s="194" t="n"/>
      <c r="P170" s="194" t="n"/>
      <c r="Q170" s="194" t="n"/>
      <c r="R170" s="194" t="n"/>
      <c r="S170" s="194" t="n"/>
      <c r="T170" s="194" t="n"/>
      <c r="U170" s="194" t="n"/>
      <c r="V170" s="194" t="n"/>
      <c r="W170" s="194" t="n"/>
      <c r="X170" s="194" t="n"/>
      <c r="Y170" s="194" t="n"/>
      <c r="Z170" s="194" t="n"/>
    </row>
    <row r="171" ht="15.75" customHeight="1" s="195">
      <c r="I171" s="194" t="n"/>
      <c r="J171" s="194" t="n"/>
      <c r="K171" s="194" t="n"/>
      <c r="L171" s="194" t="n"/>
      <c r="M171" s="194" t="n"/>
      <c r="N171" s="194" t="n"/>
      <c r="O171" s="194" t="n"/>
      <c r="P171" s="194" t="n"/>
      <c r="Q171" s="194" t="n"/>
      <c r="R171" s="194" t="n"/>
      <c r="S171" s="194" t="n"/>
      <c r="T171" s="194" t="n"/>
      <c r="U171" s="194" t="n"/>
      <c r="V171" s="194" t="n"/>
      <c r="W171" s="194" t="n"/>
      <c r="X171" s="194" t="n"/>
      <c r="Y171" s="194" t="n"/>
      <c r="Z171" s="194" t="n"/>
    </row>
    <row r="172" ht="15.75" customHeight="1" s="195">
      <c r="I172" s="194" t="n"/>
      <c r="J172" s="194" t="n"/>
      <c r="K172" s="194" t="n"/>
      <c r="L172" s="194" t="n"/>
      <c r="M172" s="194" t="n"/>
      <c r="N172" s="194" t="n"/>
      <c r="O172" s="194" t="n"/>
      <c r="P172" s="194" t="n"/>
      <c r="Q172" s="194" t="n"/>
      <c r="R172" s="194" t="n"/>
      <c r="S172" s="194" t="n"/>
      <c r="T172" s="194" t="n"/>
      <c r="U172" s="194" t="n"/>
      <c r="V172" s="194" t="n"/>
      <c r="W172" s="194" t="n"/>
      <c r="X172" s="194" t="n"/>
      <c r="Y172" s="194" t="n"/>
      <c r="Z172" s="194" t="n"/>
    </row>
    <row r="173" ht="15.75" customHeight="1" s="195">
      <c r="I173" s="194" t="n"/>
      <c r="J173" s="194" t="n"/>
      <c r="K173" s="194" t="n"/>
      <c r="L173" s="194" t="n"/>
      <c r="M173" s="194" t="n"/>
      <c r="N173" s="194" t="n"/>
      <c r="O173" s="194" t="n"/>
      <c r="P173" s="194" t="n"/>
      <c r="Q173" s="194" t="n"/>
      <c r="R173" s="194" t="n"/>
      <c r="S173" s="194" t="n"/>
      <c r="T173" s="194" t="n"/>
      <c r="U173" s="194" t="n"/>
      <c r="V173" s="194" t="n"/>
      <c r="W173" s="194" t="n"/>
      <c r="X173" s="194" t="n"/>
      <c r="Y173" s="194" t="n"/>
      <c r="Z173" s="194" t="n"/>
    </row>
    <row r="174" ht="15.75" customHeight="1" s="195">
      <c r="I174" s="194" t="n"/>
      <c r="J174" s="194" t="n"/>
      <c r="K174" s="194" t="n"/>
      <c r="L174" s="194" t="n"/>
      <c r="M174" s="194" t="n"/>
      <c r="N174" s="194" t="n"/>
      <c r="O174" s="194" t="n"/>
      <c r="P174" s="194" t="n"/>
      <c r="Q174" s="194" t="n"/>
      <c r="R174" s="194" t="n"/>
      <c r="S174" s="194" t="n"/>
      <c r="T174" s="194" t="n"/>
      <c r="U174" s="194" t="n"/>
      <c r="V174" s="194" t="n"/>
      <c r="W174" s="194" t="n"/>
      <c r="X174" s="194" t="n"/>
      <c r="Y174" s="194" t="n"/>
      <c r="Z174" s="194" t="n"/>
    </row>
    <row r="175" ht="15.75" customHeight="1" s="195">
      <c r="I175" s="194" t="n"/>
      <c r="J175" s="194" t="n"/>
      <c r="K175" s="194" t="n"/>
      <c r="L175" s="194" t="n"/>
      <c r="M175" s="194" t="n"/>
      <c r="N175" s="194" t="n"/>
      <c r="O175" s="194" t="n"/>
      <c r="P175" s="194" t="n"/>
      <c r="Q175" s="194" t="n"/>
      <c r="R175" s="194" t="n"/>
      <c r="S175" s="194" t="n"/>
      <c r="T175" s="194" t="n"/>
      <c r="U175" s="194" t="n"/>
      <c r="V175" s="194" t="n"/>
      <c r="W175" s="194" t="n"/>
      <c r="X175" s="194" t="n"/>
      <c r="Y175" s="194" t="n"/>
      <c r="Z175" s="194" t="n"/>
    </row>
    <row r="176" ht="15.75" customHeight="1" s="195">
      <c r="I176" s="194" t="n"/>
      <c r="J176" s="194" t="n"/>
      <c r="K176" s="194" t="n"/>
      <c r="L176" s="194" t="n"/>
      <c r="M176" s="194" t="n"/>
      <c r="N176" s="194" t="n"/>
      <c r="O176" s="194" t="n"/>
      <c r="P176" s="194" t="n"/>
      <c r="Q176" s="194" t="n"/>
      <c r="R176" s="194" t="n"/>
      <c r="S176" s="194" t="n"/>
      <c r="T176" s="194" t="n"/>
      <c r="U176" s="194" t="n"/>
      <c r="V176" s="194" t="n"/>
      <c r="W176" s="194" t="n"/>
      <c r="X176" s="194" t="n"/>
      <c r="Y176" s="194" t="n"/>
      <c r="Z176" s="194" t="n"/>
    </row>
    <row r="177" ht="15.75" customHeight="1" s="195">
      <c r="I177" s="194" t="n"/>
      <c r="J177" s="194" t="n"/>
      <c r="K177" s="194" t="n"/>
      <c r="L177" s="194" t="n"/>
      <c r="M177" s="194" t="n"/>
      <c r="N177" s="194" t="n"/>
      <c r="O177" s="194" t="n"/>
      <c r="P177" s="194" t="n"/>
      <c r="Q177" s="194" t="n"/>
      <c r="R177" s="194" t="n"/>
      <c r="S177" s="194" t="n"/>
      <c r="T177" s="194" t="n"/>
      <c r="U177" s="194" t="n"/>
      <c r="V177" s="194" t="n"/>
      <c r="W177" s="194" t="n"/>
      <c r="X177" s="194" t="n"/>
      <c r="Y177" s="194" t="n"/>
      <c r="Z177" s="194" t="n"/>
    </row>
    <row r="178" ht="15.75" customHeight="1" s="195">
      <c r="I178" s="194" t="n"/>
      <c r="J178" s="194" t="n"/>
      <c r="K178" s="194" t="n"/>
      <c r="L178" s="194" t="n"/>
      <c r="M178" s="194" t="n"/>
      <c r="N178" s="194" t="n"/>
      <c r="O178" s="194" t="n"/>
      <c r="P178" s="194" t="n"/>
      <c r="Q178" s="194" t="n"/>
      <c r="R178" s="194" t="n"/>
      <c r="S178" s="194" t="n"/>
      <c r="T178" s="194" t="n"/>
      <c r="U178" s="194" t="n"/>
      <c r="V178" s="194" t="n"/>
      <c r="W178" s="194" t="n"/>
      <c r="X178" s="194" t="n"/>
      <c r="Y178" s="194" t="n"/>
      <c r="Z178" s="194" t="n"/>
    </row>
    <row r="179" ht="15.75" customHeight="1" s="195">
      <c r="I179" s="194" t="n"/>
      <c r="J179" s="194" t="n"/>
      <c r="K179" s="194" t="n"/>
      <c r="L179" s="194" t="n"/>
      <c r="M179" s="194" t="n"/>
      <c r="N179" s="194" t="n"/>
      <c r="O179" s="194" t="n"/>
      <c r="P179" s="194" t="n"/>
      <c r="Q179" s="194" t="n"/>
      <c r="R179" s="194" t="n"/>
      <c r="S179" s="194" t="n"/>
      <c r="T179" s="194" t="n"/>
      <c r="U179" s="194" t="n"/>
      <c r="V179" s="194" t="n"/>
      <c r="W179" s="194" t="n"/>
      <c r="X179" s="194" t="n"/>
      <c r="Y179" s="194" t="n"/>
      <c r="Z179" s="194" t="n"/>
    </row>
    <row r="180" ht="15.75" customHeight="1" s="195">
      <c r="I180" s="194" t="n"/>
      <c r="J180" s="194" t="n"/>
      <c r="K180" s="194" t="n"/>
      <c r="L180" s="194" t="n"/>
      <c r="M180" s="194" t="n"/>
      <c r="N180" s="194" t="n"/>
      <c r="O180" s="194" t="n"/>
      <c r="P180" s="194" t="n"/>
      <c r="Q180" s="194" t="n"/>
      <c r="R180" s="194" t="n"/>
      <c r="S180" s="194" t="n"/>
      <c r="T180" s="194" t="n"/>
      <c r="U180" s="194" t="n"/>
      <c r="V180" s="194" t="n"/>
      <c r="W180" s="194" t="n"/>
      <c r="X180" s="194" t="n"/>
      <c r="Y180" s="194" t="n"/>
      <c r="Z180" s="194" t="n"/>
    </row>
    <row r="181" ht="15.75" customHeight="1" s="195">
      <c r="I181" s="194" t="n"/>
      <c r="J181" s="194" t="n"/>
      <c r="K181" s="194" t="n"/>
      <c r="L181" s="194" t="n"/>
      <c r="M181" s="194" t="n"/>
      <c r="N181" s="194" t="n"/>
      <c r="O181" s="194" t="n"/>
      <c r="P181" s="194" t="n"/>
      <c r="Q181" s="194" t="n"/>
      <c r="R181" s="194" t="n"/>
      <c r="S181" s="194" t="n"/>
      <c r="T181" s="194" t="n"/>
      <c r="U181" s="194" t="n"/>
      <c r="V181" s="194" t="n"/>
      <c r="W181" s="194" t="n"/>
      <c r="X181" s="194" t="n"/>
      <c r="Y181" s="194" t="n"/>
      <c r="Z181" s="194" t="n"/>
    </row>
    <row r="182" ht="15.75" customHeight="1" s="195">
      <c r="I182" s="194" t="n"/>
      <c r="J182" s="194" t="n"/>
      <c r="K182" s="194" t="n"/>
      <c r="L182" s="194" t="n"/>
      <c r="M182" s="194" t="n"/>
      <c r="N182" s="194" t="n"/>
      <c r="O182" s="194" t="n"/>
      <c r="P182" s="194" t="n"/>
      <c r="Q182" s="194" t="n"/>
      <c r="R182" s="194" t="n"/>
      <c r="S182" s="194" t="n"/>
      <c r="T182" s="194" t="n"/>
      <c r="U182" s="194" t="n"/>
      <c r="V182" s="194" t="n"/>
      <c r="W182" s="194" t="n"/>
      <c r="X182" s="194" t="n"/>
      <c r="Y182" s="194" t="n"/>
      <c r="Z182" s="194" t="n"/>
    </row>
    <row r="183" ht="15.75" customHeight="1" s="195">
      <c r="I183" s="194" t="n"/>
      <c r="J183" s="194" t="n"/>
      <c r="K183" s="194" t="n"/>
      <c r="L183" s="194" t="n"/>
      <c r="M183" s="194" t="n"/>
      <c r="N183" s="194" t="n"/>
      <c r="O183" s="194" t="n"/>
      <c r="P183" s="194" t="n"/>
      <c r="Q183" s="194" t="n"/>
      <c r="R183" s="194" t="n"/>
      <c r="S183" s="194" t="n"/>
      <c r="T183" s="194" t="n"/>
      <c r="U183" s="194" t="n"/>
      <c r="V183" s="194" t="n"/>
      <c r="W183" s="194" t="n"/>
      <c r="X183" s="194" t="n"/>
      <c r="Y183" s="194" t="n"/>
      <c r="Z183" s="194" t="n"/>
    </row>
    <row r="184" ht="15.75" customHeight="1" s="195">
      <c r="I184" s="194" t="n"/>
      <c r="J184" s="194" t="n"/>
      <c r="K184" s="194" t="n"/>
      <c r="L184" s="194" t="n"/>
      <c r="M184" s="194" t="n"/>
      <c r="N184" s="194" t="n"/>
      <c r="O184" s="194" t="n"/>
      <c r="P184" s="194" t="n"/>
      <c r="Q184" s="194" t="n"/>
      <c r="R184" s="194" t="n"/>
      <c r="S184" s="194" t="n"/>
      <c r="T184" s="194" t="n"/>
      <c r="U184" s="194" t="n"/>
      <c r="V184" s="194" t="n"/>
      <c r="W184" s="194" t="n"/>
      <c r="X184" s="194" t="n"/>
      <c r="Y184" s="194" t="n"/>
      <c r="Z184" s="194" t="n"/>
    </row>
    <row r="185" ht="15.75" customHeight="1" s="195">
      <c r="I185" s="194" t="n"/>
      <c r="J185" s="194" t="n"/>
      <c r="K185" s="194" t="n"/>
      <c r="L185" s="194" t="n"/>
      <c r="M185" s="194" t="n"/>
      <c r="N185" s="194" t="n"/>
      <c r="O185" s="194" t="n"/>
      <c r="P185" s="194" t="n"/>
      <c r="Q185" s="194" t="n"/>
      <c r="R185" s="194" t="n"/>
      <c r="S185" s="194" t="n"/>
      <c r="T185" s="194" t="n"/>
      <c r="U185" s="194" t="n"/>
      <c r="V185" s="194" t="n"/>
      <c r="W185" s="194" t="n"/>
      <c r="X185" s="194" t="n"/>
      <c r="Y185" s="194" t="n"/>
      <c r="Z185" s="194" t="n"/>
    </row>
    <row r="186" ht="15.75" customHeight="1" s="195">
      <c r="I186" s="194" t="n"/>
      <c r="J186" s="194" t="n"/>
      <c r="K186" s="194" t="n"/>
      <c r="L186" s="194" t="n"/>
      <c r="M186" s="194" t="n"/>
      <c r="N186" s="194" t="n"/>
      <c r="O186" s="194" t="n"/>
      <c r="P186" s="194" t="n"/>
      <c r="Q186" s="194" t="n"/>
      <c r="R186" s="194" t="n"/>
      <c r="S186" s="194" t="n"/>
      <c r="T186" s="194" t="n"/>
      <c r="U186" s="194" t="n"/>
      <c r="V186" s="194" t="n"/>
      <c r="W186" s="194" t="n"/>
      <c r="X186" s="194" t="n"/>
      <c r="Y186" s="194" t="n"/>
      <c r="Z186" s="194" t="n"/>
    </row>
    <row r="187" ht="15.75" customHeight="1" s="195">
      <c r="I187" s="194" t="n"/>
      <c r="J187" s="194" t="n"/>
      <c r="K187" s="194" t="n"/>
      <c r="L187" s="194" t="n"/>
      <c r="M187" s="194" t="n"/>
      <c r="N187" s="194" t="n"/>
      <c r="O187" s="194" t="n"/>
      <c r="P187" s="194" t="n"/>
      <c r="Q187" s="194" t="n"/>
      <c r="R187" s="194" t="n"/>
      <c r="S187" s="194" t="n"/>
      <c r="T187" s="194" t="n"/>
      <c r="U187" s="194" t="n"/>
      <c r="V187" s="194" t="n"/>
      <c r="W187" s="194" t="n"/>
      <c r="X187" s="194" t="n"/>
      <c r="Y187" s="194" t="n"/>
      <c r="Z187" s="194" t="n"/>
    </row>
    <row r="188" ht="15.75" customHeight="1" s="195">
      <c r="I188" s="194" t="n"/>
      <c r="J188" s="194" t="n"/>
      <c r="K188" s="194" t="n"/>
      <c r="L188" s="194" t="n"/>
      <c r="M188" s="194" t="n"/>
      <c r="N188" s="194" t="n"/>
      <c r="O188" s="194" t="n"/>
      <c r="P188" s="194" t="n"/>
      <c r="Q188" s="194" t="n"/>
      <c r="R188" s="194" t="n"/>
      <c r="S188" s="194" t="n"/>
      <c r="T188" s="194" t="n"/>
      <c r="U188" s="194" t="n"/>
      <c r="V188" s="194" t="n"/>
      <c r="W188" s="194" t="n"/>
      <c r="X188" s="194" t="n"/>
      <c r="Y188" s="194" t="n"/>
      <c r="Z188" s="194" t="n"/>
    </row>
    <row r="189" ht="15.75" customHeight="1" s="195">
      <c r="I189" s="194" t="n"/>
      <c r="J189" s="194" t="n"/>
      <c r="K189" s="194" t="n"/>
      <c r="L189" s="194" t="n"/>
      <c r="M189" s="194" t="n"/>
      <c r="N189" s="194" t="n"/>
      <c r="O189" s="194" t="n"/>
      <c r="P189" s="194" t="n"/>
      <c r="Q189" s="194" t="n"/>
      <c r="R189" s="194" t="n"/>
      <c r="S189" s="194" t="n"/>
      <c r="T189" s="194" t="n"/>
      <c r="U189" s="194" t="n"/>
      <c r="V189" s="194" t="n"/>
      <c r="W189" s="194" t="n"/>
      <c r="X189" s="194" t="n"/>
      <c r="Y189" s="194" t="n"/>
      <c r="Z189" s="194" t="n"/>
    </row>
    <row r="190" ht="15.75" customHeight="1" s="195">
      <c r="I190" s="194" t="n"/>
      <c r="J190" s="194" t="n"/>
      <c r="K190" s="194" t="n"/>
      <c r="L190" s="194" t="n"/>
      <c r="M190" s="194" t="n"/>
      <c r="N190" s="194" t="n"/>
      <c r="O190" s="194" t="n"/>
      <c r="P190" s="194" t="n"/>
      <c r="Q190" s="194" t="n"/>
      <c r="R190" s="194" t="n"/>
      <c r="S190" s="194" t="n"/>
      <c r="T190" s="194" t="n"/>
      <c r="U190" s="194" t="n"/>
      <c r="V190" s="194" t="n"/>
      <c r="W190" s="194" t="n"/>
      <c r="X190" s="194" t="n"/>
      <c r="Y190" s="194" t="n"/>
      <c r="Z190" s="194" t="n"/>
    </row>
    <row r="191" ht="15.75" customHeight="1" s="195">
      <c r="I191" s="194" t="n"/>
      <c r="J191" s="194" t="n"/>
      <c r="K191" s="194" t="n"/>
      <c r="L191" s="194" t="n"/>
      <c r="M191" s="194" t="n"/>
      <c r="N191" s="194" t="n"/>
      <c r="O191" s="194" t="n"/>
      <c r="P191" s="194" t="n"/>
      <c r="Q191" s="194" t="n"/>
      <c r="R191" s="194" t="n"/>
      <c r="S191" s="194" t="n"/>
      <c r="T191" s="194" t="n"/>
      <c r="U191" s="194" t="n"/>
      <c r="V191" s="194" t="n"/>
      <c r="W191" s="194" t="n"/>
      <c r="X191" s="194" t="n"/>
      <c r="Y191" s="194" t="n"/>
      <c r="Z191" s="194" t="n"/>
    </row>
    <row r="192" ht="15.75" customHeight="1" s="195">
      <c r="I192" s="194" t="n"/>
      <c r="J192" s="194" t="n"/>
      <c r="K192" s="194" t="n"/>
      <c r="L192" s="194" t="n"/>
      <c r="M192" s="194" t="n"/>
      <c r="N192" s="194" t="n"/>
      <c r="O192" s="194" t="n"/>
      <c r="P192" s="194" t="n"/>
      <c r="Q192" s="194" t="n"/>
      <c r="R192" s="194" t="n"/>
      <c r="S192" s="194" t="n"/>
      <c r="T192" s="194" t="n"/>
      <c r="U192" s="194" t="n"/>
      <c r="V192" s="194" t="n"/>
      <c r="W192" s="194" t="n"/>
      <c r="X192" s="194" t="n"/>
      <c r="Y192" s="194" t="n"/>
      <c r="Z192" s="194" t="n"/>
    </row>
    <row r="193" ht="15.75" customHeight="1" s="195">
      <c r="I193" s="194" t="n"/>
      <c r="J193" s="194" t="n"/>
      <c r="K193" s="194" t="n"/>
      <c r="L193" s="194" t="n"/>
      <c r="M193" s="194" t="n"/>
      <c r="N193" s="194" t="n"/>
      <c r="O193" s="194" t="n"/>
      <c r="P193" s="194" t="n"/>
      <c r="Q193" s="194" t="n"/>
      <c r="R193" s="194" t="n"/>
      <c r="S193" s="194" t="n"/>
      <c r="T193" s="194" t="n"/>
      <c r="U193" s="194" t="n"/>
      <c r="V193" s="194" t="n"/>
      <c r="W193" s="194" t="n"/>
      <c r="X193" s="194" t="n"/>
      <c r="Y193" s="194" t="n"/>
      <c r="Z193" s="194" t="n"/>
    </row>
    <row r="194" ht="15.75" customHeight="1" s="195">
      <c r="I194" s="194" t="n"/>
      <c r="J194" s="194" t="n"/>
      <c r="K194" s="194" t="n"/>
      <c r="L194" s="194" t="n"/>
      <c r="M194" s="194" t="n"/>
      <c r="N194" s="194" t="n"/>
      <c r="O194" s="194" t="n"/>
      <c r="P194" s="194" t="n"/>
      <c r="Q194" s="194" t="n"/>
      <c r="R194" s="194" t="n"/>
      <c r="S194" s="194" t="n"/>
      <c r="T194" s="194" t="n"/>
      <c r="U194" s="194" t="n"/>
      <c r="V194" s="194" t="n"/>
      <c r="W194" s="194" t="n"/>
      <c r="X194" s="194" t="n"/>
      <c r="Y194" s="194" t="n"/>
      <c r="Z194" s="194" t="n"/>
    </row>
    <row r="195" ht="15.75" customHeight="1" s="195">
      <c r="I195" s="194" t="n"/>
      <c r="J195" s="194" t="n"/>
      <c r="K195" s="194" t="n"/>
      <c r="L195" s="194" t="n"/>
      <c r="M195" s="194" t="n"/>
      <c r="N195" s="194" t="n"/>
      <c r="O195" s="194" t="n"/>
      <c r="P195" s="194" t="n"/>
      <c r="Q195" s="194" t="n"/>
      <c r="R195" s="194" t="n"/>
      <c r="S195" s="194" t="n"/>
      <c r="T195" s="194" t="n"/>
      <c r="U195" s="194" t="n"/>
      <c r="V195" s="194" t="n"/>
      <c r="W195" s="194" t="n"/>
      <c r="X195" s="194" t="n"/>
      <c r="Y195" s="194" t="n"/>
      <c r="Z195" s="194" t="n"/>
    </row>
    <row r="196" ht="15.75" customHeight="1" s="195">
      <c r="I196" s="194" t="n"/>
      <c r="J196" s="194" t="n"/>
      <c r="K196" s="194" t="n"/>
      <c r="L196" s="194" t="n"/>
      <c r="M196" s="194" t="n"/>
      <c r="N196" s="194" t="n"/>
      <c r="O196" s="194" t="n"/>
      <c r="P196" s="194" t="n"/>
      <c r="Q196" s="194" t="n"/>
      <c r="R196" s="194" t="n"/>
      <c r="S196" s="194" t="n"/>
      <c r="T196" s="194" t="n"/>
      <c r="U196" s="194" t="n"/>
      <c r="V196" s="194" t="n"/>
      <c r="W196" s="194" t="n"/>
      <c r="X196" s="194" t="n"/>
      <c r="Y196" s="194" t="n"/>
      <c r="Z196" s="194" t="n"/>
    </row>
    <row r="197" ht="15.75" customHeight="1" s="195">
      <c r="I197" s="194" t="n"/>
      <c r="J197" s="194" t="n"/>
      <c r="K197" s="194" t="n"/>
      <c r="L197" s="194" t="n"/>
      <c r="M197" s="194" t="n"/>
      <c r="N197" s="194" t="n"/>
      <c r="O197" s="194" t="n"/>
      <c r="P197" s="194" t="n"/>
      <c r="Q197" s="194" t="n"/>
      <c r="R197" s="194" t="n"/>
      <c r="S197" s="194" t="n"/>
      <c r="T197" s="194" t="n"/>
      <c r="U197" s="194" t="n"/>
      <c r="V197" s="194" t="n"/>
      <c r="W197" s="194" t="n"/>
      <c r="X197" s="194" t="n"/>
      <c r="Y197" s="194" t="n"/>
      <c r="Z197" s="194" t="n"/>
    </row>
    <row r="198" ht="15.75" customHeight="1" s="195">
      <c r="I198" s="194" t="n"/>
      <c r="J198" s="194" t="n"/>
      <c r="K198" s="194" t="n"/>
      <c r="L198" s="194" t="n"/>
      <c r="M198" s="194" t="n"/>
      <c r="N198" s="194" t="n"/>
      <c r="O198" s="194" t="n"/>
      <c r="P198" s="194" t="n"/>
      <c r="Q198" s="194" t="n"/>
      <c r="R198" s="194" t="n"/>
      <c r="S198" s="194" t="n"/>
      <c r="T198" s="194" t="n"/>
      <c r="U198" s="194" t="n"/>
      <c r="V198" s="194" t="n"/>
      <c r="W198" s="194" t="n"/>
      <c r="X198" s="194" t="n"/>
      <c r="Y198" s="194" t="n"/>
      <c r="Z198" s="194" t="n"/>
    </row>
    <row r="199" ht="15.75" customHeight="1" s="195">
      <c r="I199" s="194" t="n"/>
      <c r="J199" s="194" t="n"/>
      <c r="K199" s="194" t="n"/>
      <c r="L199" s="194" t="n"/>
      <c r="M199" s="194" t="n"/>
      <c r="N199" s="194" t="n"/>
      <c r="O199" s="194" t="n"/>
      <c r="P199" s="194" t="n"/>
      <c r="Q199" s="194" t="n"/>
      <c r="R199" s="194" t="n"/>
      <c r="S199" s="194" t="n"/>
      <c r="T199" s="194" t="n"/>
      <c r="U199" s="194" t="n"/>
      <c r="V199" s="194" t="n"/>
      <c r="W199" s="194" t="n"/>
      <c r="X199" s="194" t="n"/>
      <c r="Y199" s="194" t="n"/>
      <c r="Z199" s="194" t="n"/>
    </row>
    <row r="200" ht="15.75" customHeight="1" s="195">
      <c r="I200" s="194" t="n"/>
      <c r="J200" s="194" t="n"/>
      <c r="K200" s="194" t="n"/>
      <c r="L200" s="194" t="n"/>
      <c r="M200" s="194" t="n"/>
      <c r="N200" s="194" t="n"/>
      <c r="O200" s="194" t="n"/>
      <c r="P200" s="194" t="n"/>
      <c r="Q200" s="194" t="n"/>
      <c r="R200" s="194" t="n"/>
      <c r="S200" s="194" t="n"/>
      <c r="T200" s="194" t="n"/>
      <c r="U200" s="194" t="n"/>
      <c r="V200" s="194" t="n"/>
      <c r="W200" s="194" t="n"/>
      <c r="X200" s="194" t="n"/>
      <c r="Y200" s="194" t="n"/>
      <c r="Z200" s="194" t="n"/>
    </row>
    <row r="201" ht="15.75" customHeight="1" s="195">
      <c r="I201" s="194" t="n"/>
      <c r="J201" s="194" t="n"/>
      <c r="K201" s="194" t="n"/>
      <c r="L201" s="194" t="n"/>
      <c r="M201" s="194" t="n"/>
      <c r="N201" s="194" t="n"/>
      <c r="O201" s="194" t="n"/>
      <c r="P201" s="194" t="n"/>
      <c r="Q201" s="194" t="n"/>
      <c r="R201" s="194" t="n"/>
      <c r="S201" s="194" t="n"/>
      <c r="T201" s="194" t="n"/>
      <c r="U201" s="194" t="n"/>
      <c r="V201" s="194" t="n"/>
      <c r="W201" s="194" t="n"/>
      <c r="X201" s="194" t="n"/>
      <c r="Y201" s="194" t="n"/>
      <c r="Z201" s="194" t="n"/>
    </row>
    <row r="202" ht="15.75" customHeight="1" s="195">
      <c r="I202" s="194" t="n"/>
      <c r="J202" s="194" t="n"/>
      <c r="K202" s="194" t="n"/>
      <c r="L202" s="194" t="n"/>
      <c r="M202" s="194" t="n"/>
      <c r="N202" s="194" t="n"/>
      <c r="O202" s="194" t="n"/>
      <c r="P202" s="194" t="n"/>
      <c r="Q202" s="194" t="n"/>
      <c r="R202" s="194" t="n"/>
      <c r="S202" s="194" t="n"/>
      <c r="T202" s="194" t="n"/>
      <c r="U202" s="194" t="n"/>
      <c r="V202" s="194" t="n"/>
      <c r="W202" s="194" t="n"/>
      <c r="X202" s="194" t="n"/>
      <c r="Y202" s="194" t="n"/>
      <c r="Z202" s="194" t="n"/>
    </row>
    <row r="203" ht="15.75" customHeight="1" s="195">
      <c r="I203" s="194" t="n"/>
      <c r="J203" s="194" t="n"/>
      <c r="K203" s="194" t="n"/>
      <c r="L203" s="194" t="n"/>
      <c r="M203" s="194" t="n"/>
      <c r="N203" s="194" t="n"/>
      <c r="O203" s="194" t="n"/>
      <c r="P203" s="194" t="n"/>
      <c r="Q203" s="194" t="n"/>
      <c r="R203" s="194" t="n"/>
      <c r="S203" s="194" t="n"/>
      <c r="T203" s="194" t="n"/>
      <c r="U203" s="194" t="n"/>
      <c r="V203" s="194" t="n"/>
      <c r="W203" s="194" t="n"/>
      <c r="X203" s="194" t="n"/>
      <c r="Y203" s="194" t="n"/>
      <c r="Z203" s="194" t="n"/>
    </row>
    <row r="204" ht="15.75" customHeight="1" s="195">
      <c r="I204" s="194" t="n"/>
      <c r="J204" s="194" t="n"/>
      <c r="K204" s="194" t="n"/>
      <c r="L204" s="194" t="n"/>
      <c r="M204" s="194" t="n"/>
      <c r="N204" s="194" t="n"/>
      <c r="O204" s="194" t="n"/>
      <c r="P204" s="194" t="n"/>
      <c r="Q204" s="194" t="n"/>
      <c r="R204" s="194" t="n"/>
      <c r="S204" s="194" t="n"/>
      <c r="T204" s="194" t="n"/>
      <c r="U204" s="194" t="n"/>
      <c r="V204" s="194" t="n"/>
      <c r="W204" s="194" t="n"/>
      <c r="X204" s="194" t="n"/>
      <c r="Y204" s="194" t="n"/>
      <c r="Z204" s="194" t="n"/>
    </row>
    <row r="205" ht="15.75" customHeight="1" s="195">
      <c r="I205" s="194" t="n"/>
      <c r="J205" s="194" t="n"/>
      <c r="K205" s="194" t="n"/>
      <c r="L205" s="194" t="n"/>
      <c r="M205" s="194" t="n"/>
      <c r="N205" s="194" t="n"/>
      <c r="O205" s="194" t="n"/>
      <c r="P205" s="194" t="n"/>
      <c r="Q205" s="194" t="n"/>
      <c r="R205" s="194" t="n"/>
      <c r="S205" s="194" t="n"/>
      <c r="T205" s="194" t="n"/>
      <c r="U205" s="194" t="n"/>
      <c r="V205" s="194" t="n"/>
      <c r="W205" s="194" t="n"/>
      <c r="X205" s="194" t="n"/>
      <c r="Y205" s="194" t="n"/>
      <c r="Z205" s="194" t="n"/>
    </row>
    <row r="206" ht="15.75" customHeight="1" s="195">
      <c r="I206" s="194" t="n"/>
      <c r="J206" s="194" t="n"/>
      <c r="K206" s="194" t="n"/>
      <c r="L206" s="194" t="n"/>
      <c r="M206" s="194" t="n"/>
      <c r="N206" s="194" t="n"/>
      <c r="O206" s="194" t="n"/>
      <c r="P206" s="194" t="n"/>
      <c r="Q206" s="194" t="n"/>
      <c r="R206" s="194" t="n"/>
      <c r="S206" s="194" t="n"/>
      <c r="T206" s="194" t="n"/>
      <c r="U206" s="194" t="n"/>
      <c r="V206" s="194" t="n"/>
      <c r="W206" s="194" t="n"/>
      <c r="X206" s="194" t="n"/>
      <c r="Y206" s="194" t="n"/>
      <c r="Z206" s="194" t="n"/>
    </row>
    <row r="207" ht="15.75" customHeight="1" s="195">
      <c r="I207" s="194" t="n"/>
      <c r="J207" s="194" t="n"/>
      <c r="K207" s="194" t="n"/>
      <c r="L207" s="194" t="n"/>
      <c r="M207" s="194" t="n"/>
      <c r="N207" s="194" t="n"/>
      <c r="O207" s="194" t="n"/>
      <c r="P207" s="194" t="n"/>
      <c r="Q207" s="194" t="n"/>
      <c r="R207" s="194" t="n"/>
      <c r="S207" s="194" t="n"/>
      <c r="T207" s="194" t="n"/>
      <c r="U207" s="194" t="n"/>
      <c r="V207" s="194" t="n"/>
      <c r="W207" s="194" t="n"/>
      <c r="X207" s="194" t="n"/>
      <c r="Y207" s="194" t="n"/>
      <c r="Z207" s="194" t="n"/>
    </row>
    <row r="208" ht="15.75" customHeight="1" s="195">
      <c r="I208" s="194" t="n"/>
      <c r="J208" s="194" t="n"/>
      <c r="K208" s="194" t="n"/>
      <c r="L208" s="194" t="n"/>
      <c r="M208" s="194" t="n"/>
      <c r="N208" s="194" t="n"/>
      <c r="O208" s="194" t="n"/>
      <c r="P208" s="194" t="n"/>
      <c r="Q208" s="194" t="n"/>
      <c r="R208" s="194" t="n"/>
      <c r="S208" s="194" t="n"/>
      <c r="T208" s="194" t="n"/>
      <c r="U208" s="194" t="n"/>
      <c r="V208" s="194" t="n"/>
      <c r="W208" s="194" t="n"/>
      <c r="X208" s="194" t="n"/>
      <c r="Y208" s="194" t="n"/>
      <c r="Z208" s="194" t="n"/>
    </row>
    <row r="209" ht="15.75" customHeight="1" s="195">
      <c r="I209" s="194" t="n"/>
      <c r="J209" s="194" t="n"/>
      <c r="K209" s="194" t="n"/>
      <c r="L209" s="194" t="n"/>
      <c r="M209" s="194" t="n"/>
      <c r="N209" s="194" t="n"/>
      <c r="O209" s="194" t="n"/>
      <c r="P209" s="194" t="n"/>
      <c r="Q209" s="194" t="n"/>
      <c r="R209" s="194" t="n"/>
      <c r="S209" s="194" t="n"/>
      <c r="T209" s="194" t="n"/>
      <c r="U209" s="194" t="n"/>
      <c r="V209" s="194" t="n"/>
      <c r="W209" s="194" t="n"/>
      <c r="X209" s="194" t="n"/>
      <c r="Y209" s="194" t="n"/>
      <c r="Z209" s="194" t="n"/>
    </row>
    <row r="210" ht="15.75" customHeight="1" s="195">
      <c r="I210" s="194" t="n"/>
      <c r="J210" s="194" t="n"/>
      <c r="K210" s="194" t="n"/>
      <c r="L210" s="194" t="n"/>
      <c r="M210" s="194" t="n"/>
      <c r="N210" s="194" t="n"/>
      <c r="O210" s="194" t="n"/>
      <c r="P210" s="194" t="n"/>
      <c r="Q210" s="194" t="n"/>
      <c r="R210" s="194" t="n"/>
      <c r="S210" s="194" t="n"/>
      <c r="T210" s="194" t="n"/>
      <c r="U210" s="194" t="n"/>
      <c r="V210" s="194" t="n"/>
      <c r="W210" s="194" t="n"/>
      <c r="X210" s="194" t="n"/>
      <c r="Y210" s="194" t="n"/>
      <c r="Z210" s="194" t="n"/>
    </row>
    <row r="211" ht="15.75" customHeight="1" s="195">
      <c r="I211" s="194" t="n"/>
      <c r="J211" s="194" t="n"/>
      <c r="K211" s="194" t="n"/>
      <c r="L211" s="194" t="n"/>
      <c r="M211" s="194" t="n"/>
      <c r="N211" s="194" t="n"/>
      <c r="O211" s="194" t="n"/>
      <c r="P211" s="194" t="n"/>
      <c r="Q211" s="194" t="n"/>
      <c r="R211" s="194" t="n"/>
      <c r="S211" s="194" t="n"/>
      <c r="T211" s="194" t="n"/>
      <c r="U211" s="194" t="n"/>
      <c r="V211" s="194" t="n"/>
      <c r="W211" s="194" t="n"/>
      <c r="X211" s="194" t="n"/>
      <c r="Y211" s="194" t="n"/>
      <c r="Z211" s="194" t="n"/>
    </row>
    <row r="212" ht="15.75" customHeight="1" s="195">
      <c r="I212" s="194" t="n"/>
      <c r="J212" s="194" t="n"/>
      <c r="K212" s="194" t="n"/>
      <c r="L212" s="194" t="n"/>
      <c r="M212" s="194" t="n"/>
      <c r="N212" s="194" t="n"/>
      <c r="O212" s="194" t="n"/>
      <c r="P212" s="194" t="n"/>
      <c r="Q212" s="194" t="n"/>
      <c r="R212" s="194" t="n"/>
      <c r="S212" s="194" t="n"/>
      <c r="T212" s="194" t="n"/>
      <c r="U212" s="194" t="n"/>
      <c r="V212" s="194" t="n"/>
      <c r="W212" s="194" t="n"/>
      <c r="X212" s="194" t="n"/>
      <c r="Y212" s="194" t="n"/>
      <c r="Z212" s="194" t="n"/>
    </row>
    <row r="213" ht="15.75" customHeight="1" s="195">
      <c r="I213" s="194" t="n"/>
      <c r="J213" s="194" t="n"/>
      <c r="K213" s="194" t="n"/>
      <c r="L213" s="194" t="n"/>
      <c r="M213" s="194" t="n"/>
      <c r="N213" s="194" t="n"/>
      <c r="O213" s="194" t="n"/>
      <c r="P213" s="194" t="n"/>
      <c r="Q213" s="194" t="n"/>
      <c r="R213" s="194" t="n"/>
      <c r="S213" s="194" t="n"/>
      <c r="T213" s="194" t="n"/>
      <c r="U213" s="194" t="n"/>
      <c r="V213" s="194" t="n"/>
      <c r="W213" s="194" t="n"/>
      <c r="X213" s="194" t="n"/>
      <c r="Y213" s="194" t="n"/>
      <c r="Z213" s="194" t="n"/>
    </row>
    <row r="214" ht="15.75" customHeight="1" s="195">
      <c r="I214" s="194" t="n"/>
      <c r="J214" s="194" t="n"/>
      <c r="K214" s="194" t="n"/>
      <c r="L214" s="194" t="n"/>
      <c r="M214" s="194" t="n"/>
      <c r="N214" s="194" t="n"/>
      <c r="O214" s="194" t="n"/>
      <c r="P214" s="194" t="n"/>
      <c r="Q214" s="194" t="n"/>
      <c r="R214" s="194" t="n"/>
      <c r="S214" s="194" t="n"/>
      <c r="T214" s="194" t="n"/>
      <c r="U214" s="194" t="n"/>
      <c r="V214" s="194" t="n"/>
      <c r="W214" s="194" t="n"/>
      <c r="X214" s="194" t="n"/>
      <c r="Y214" s="194" t="n"/>
      <c r="Z214" s="194" t="n"/>
    </row>
    <row r="215" ht="15.75" customHeight="1" s="195">
      <c r="I215" s="194" t="n"/>
      <c r="J215" s="194" t="n"/>
      <c r="K215" s="194" t="n"/>
      <c r="L215" s="194" t="n"/>
      <c r="M215" s="194" t="n"/>
      <c r="N215" s="194" t="n"/>
      <c r="O215" s="194" t="n"/>
      <c r="P215" s="194" t="n"/>
      <c r="Q215" s="194" t="n"/>
      <c r="R215" s="194" t="n"/>
      <c r="S215" s="194" t="n"/>
      <c r="T215" s="194" t="n"/>
      <c r="U215" s="194" t="n"/>
      <c r="V215" s="194" t="n"/>
      <c r="W215" s="194" t="n"/>
      <c r="X215" s="194" t="n"/>
      <c r="Y215" s="194" t="n"/>
      <c r="Z215" s="194" t="n"/>
    </row>
    <row r="216" ht="15.75" customHeight="1" s="195">
      <c r="I216" s="194" t="n"/>
      <c r="J216" s="194" t="n"/>
      <c r="K216" s="194" t="n"/>
      <c r="L216" s="194" t="n"/>
      <c r="M216" s="194" t="n"/>
      <c r="N216" s="194" t="n"/>
      <c r="O216" s="194" t="n"/>
      <c r="P216" s="194" t="n"/>
      <c r="Q216" s="194" t="n"/>
      <c r="R216" s="194" t="n"/>
      <c r="S216" s="194" t="n"/>
      <c r="T216" s="194" t="n"/>
      <c r="U216" s="194" t="n"/>
      <c r="V216" s="194" t="n"/>
      <c r="W216" s="194" t="n"/>
      <c r="X216" s="194" t="n"/>
      <c r="Y216" s="194" t="n"/>
      <c r="Z216" s="194" t="n"/>
    </row>
    <row r="217" ht="15.75" customHeight="1" s="195">
      <c r="I217" s="194" t="n"/>
      <c r="J217" s="194" t="n"/>
      <c r="K217" s="194" t="n"/>
      <c r="L217" s="194" t="n"/>
      <c r="M217" s="194" t="n"/>
      <c r="N217" s="194" t="n"/>
      <c r="O217" s="194" t="n"/>
      <c r="P217" s="194" t="n"/>
      <c r="Q217" s="194" t="n"/>
      <c r="R217" s="194" t="n"/>
      <c r="S217" s="194" t="n"/>
      <c r="T217" s="194" t="n"/>
      <c r="U217" s="194" t="n"/>
      <c r="V217" s="194" t="n"/>
      <c r="W217" s="194" t="n"/>
      <c r="X217" s="194" t="n"/>
      <c r="Y217" s="194" t="n"/>
      <c r="Z217" s="194" t="n"/>
    </row>
    <row r="218" ht="15.75" customHeight="1" s="195">
      <c r="I218" s="194" t="n"/>
      <c r="J218" s="194" t="n"/>
      <c r="K218" s="194" t="n"/>
      <c r="L218" s="194" t="n"/>
      <c r="M218" s="194" t="n"/>
      <c r="N218" s="194" t="n"/>
      <c r="O218" s="194" t="n"/>
      <c r="P218" s="194" t="n"/>
      <c r="Q218" s="194" t="n"/>
      <c r="R218" s="194" t="n"/>
      <c r="S218" s="194" t="n"/>
      <c r="T218" s="194" t="n"/>
      <c r="U218" s="194" t="n"/>
      <c r="V218" s="194" t="n"/>
      <c r="W218" s="194" t="n"/>
      <c r="X218" s="194" t="n"/>
      <c r="Y218" s="194" t="n"/>
      <c r="Z218" s="194" t="n"/>
    </row>
    <row r="219" ht="15.75" customHeight="1" s="195">
      <c r="I219" s="194" t="n"/>
      <c r="J219" s="194" t="n"/>
      <c r="K219" s="194" t="n"/>
      <c r="L219" s="194" t="n"/>
      <c r="M219" s="194" t="n"/>
      <c r="N219" s="194" t="n"/>
      <c r="O219" s="194" t="n"/>
      <c r="P219" s="194" t="n"/>
      <c r="Q219" s="194" t="n"/>
      <c r="R219" s="194" t="n"/>
      <c r="S219" s="194" t="n"/>
      <c r="T219" s="194" t="n"/>
      <c r="U219" s="194" t="n"/>
      <c r="V219" s="194" t="n"/>
      <c r="W219" s="194" t="n"/>
      <c r="X219" s="194" t="n"/>
      <c r="Y219" s="194" t="n"/>
      <c r="Z219" s="194" t="n"/>
    </row>
    <row r="220" ht="15.75" customHeight="1" s="195">
      <c r="I220" s="194" t="n"/>
      <c r="J220" s="194" t="n"/>
      <c r="K220" s="194" t="n"/>
      <c r="L220" s="194" t="n"/>
      <c r="M220" s="194" t="n"/>
      <c r="N220" s="194" t="n"/>
      <c r="O220" s="194" t="n"/>
      <c r="P220" s="194" t="n"/>
      <c r="Q220" s="194" t="n"/>
      <c r="R220" s="194" t="n"/>
      <c r="S220" s="194" t="n"/>
      <c r="T220" s="194" t="n"/>
      <c r="U220" s="194" t="n"/>
      <c r="V220" s="194" t="n"/>
      <c r="W220" s="194" t="n"/>
      <c r="X220" s="194" t="n"/>
      <c r="Y220" s="194" t="n"/>
      <c r="Z220" s="194" t="n"/>
    </row>
    <row r="221" ht="15.75" customHeight="1" s="195">
      <c r="I221" s="194" t="n"/>
      <c r="J221" s="194" t="n"/>
      <c r="K221" s="194" t="n"/>
      <c r="L221" s="194" t="n"/>
      <c r="M221" s="194" t="n"/>
      <c r="N221" s="194" t="n"/>
      <c r="O221" s="194" t="n"/>
      <c r="P221" s="194" t="n"/>
      <c r="Q221" s="194" t="n"/>
      <c r="R221" s="194" t="n"/>
      <c r="S221" s="194" t="n"/>
      <c r="T221" s="194" t="n"/>
      <c r="U221" s="194" t="n"/>
      <c r="V221" s="194" t="n"/>
      <c r="W221" s="194" t="n"/>
      <c r="X221" s="194" t="n"/>
      <c r="Y221" s="194" t="n"/>
      <c r="Z221" s="194" t="n"/>
    </row>
    <row r="222" ht="15.75" customHeight="1" s="195">
      <c r="I222" s="194" t="n"/>
      <c r="J222" s="194" t="n"/>
      <c r="K222" s="194" t="n"/>
      <c r="L222" s="194" t="n"/>
      <c r="M222" s="194" t="n"/>
      <c r="N222" s="194" t="n"/>
      <c r="O222" s="194" t="n"/>
      <c r="P222" s="194" t="n"/>
      <c r="Q222" s="194" t="n"/>
      <c r="R222" s="194" t="n"/>
      <c r="S222" s="194" t="n"/>
      <c r="T222" s="194" t="n"/>
      <c r="U222" s="194" t="n"/>
      <c r="V222" s="194" t="n"/>
      <c r="W222" s="194" t="n"/>
      <c r="X222" s="194" t="n"/>
      <c r="Y222" s="194" t="n"/>
      <c r="Z222" s="194" t="n"/>
    </row>
    <row r="223" ht="15.75" customHeight="1" s="195">
      <c r="I223" s="194" t="n"/>
      <c r="J223" s="194" t="n"/>
      <c r="K223" s="194" t="n"/>
      <c r="L223" s="194" t="n"/>
      <c r="M223" s="194" t="n"/>
      <c r="N223" s="194" t="n"/>
      <c r="O223" s="194" t="n"/>
      <c r="P223" s="194" t="n"/>
      <c r="Q223" s="194" t="n"/>
      <c r="R223" s="194" t="n"/>
      <c r="S223" s="194" t="n"/>
      <c r="T223" s="194" t="n"/>
      <c r="U223" s="194" t="n"/>
      <c r="V223" s="194" t="n"/>
      <c r="W223" s="194" t="n"/>
      <c r="X223" s="194" t="n"/>
      <c r="Y223" s="194" t="n"/>
      <c r="Z223" s="194" t="n"/>
    </row>
    <row r="224" ht="15.75" customHeight="1" s="195">
      <c r="I224" s="194" t="n"/>
      <c r="J224" s="194" t="n"/>
      <c r="K224" s="194" t="n"/>
      <c r="L224" s="194" t="n"/>
      <c r="M224" s="194" t="n"/>
      <c r="N224" s="194" t="n"/>
      <c r="O224" s="194" t="n"/>
      <c r="P224" s="194" t="n"/>
      <c r="Q224" s="194" t="n"/>
      <c r="R224" s="194" t="n"/>
      <c r="S224" s="194" t="n"/>
      <c r="T224" s="194" t="n"/>
      <c r="U224" s="194" t="n"/>
      <c r="V224" s="194" t="n"/>
      <c r="W224" s="194" t="n"/>
      <c r="X224" s="194" t="n"/>
      <c r="Y224" s="194" t="n"/>
      <c r="Z224" s="194" t="n"/>
    </row>
    <row r="225" ht="15.75" customHeight="1" s="195">
      <c r="I225" s="194" t="n"/>
      <c r="J225" s="194" t="n"/>
      <c r="K225" s="194" t="n"/>
      <c r="L225" s="194" t="n"/>
      <c r="M225" s="194" t="n"/>
      <c r="N225" s="194" t="n"/>
      <c r="O225" s="194" t="n"/>
      <c r="P225" s="194" t="n"/>
      <c r="Q225" s="194" t="n"/>
      <c r="R225" s="194" t="n"/>
      <c r="S225" s="194" t="n"/>
      <c r="T225" s="194" t="n"/>
      <c r="U225" s="194" t="n"/>
      <c r="V225" s="194" t="n"/>
      <c r="W225" s="194" t="n"/>
      <c r="X225" s="194" t="n"/>
      <c r="Y225" s="194" t="n"/>
      <c r="Z225" s="194" t="n"/>
    </row>
    <row r="226" ht="15.75" customHeight="1" s="195">
      <c r="I226" s="194" t="n"/>
      <c r="J226" s="194" t="n"/>
      <c r="K226" s="194" t="n"/>
      <c r="L226" s="194" t="n"/>
      <c r="M226" s="194" t="n"/>
      <c r="N226" s="194" t="n"/>
      <c r="O226" s="194" t="n"/>
      <c r="P226" s="194" t="n"/>
      <c r="Q226" s="194" t="n"/>
      <c r="R226" s="194" t="n"/>
      <c r="S226" s="194" t="n"/>
      <c r="T226" s="194" t="n"/>
      <c r="U226" s="194" t="n"/>
      <c r="V226" s="194" t="n"/>
      <c r="W226" s="194" t="n"/>
      <c r="X226" s="194" t="n"/>
      <c r="Y226" s="194" t="n"/>
      <c r="Z226" s="194" t="n"/>
    </row>
    <row r="227" ht="15.75" customHeight="1" s="195">
      <c r="I227" s="194" t="n"/>
      <c r="J227" s="194" t="n"/>
      <c r="K227" s="194" t="n"/>
      <c r="L227" s="194" t="n"/>
      <c r="M227" s="194" t="n"/>
      <c r="N227" s="194" t="n"/>
      <c r="O227" s="194" t="n"/>
      <c r="P227" s="194" t="n"/>
      <c r="Q227" s="194" t="n"/>
      <c r="R227" s="194" t="n"/>
      <c r="S227" s="194" t="n"/>
      <c r="T227" s="194" t="n"/>
      <c r="U227" s="194" t="n"/>
      <c r="V227" s="194" t="n"/>
      <c r="W227" s="194" t="n"/>
      <c r="X227" s="194" t="n"/>
      <c r="Y227" s="194" t="n"/>
      <c r="Z227" s="194" t="n"/>
    </row>
    <row r="228" ht="15.75" customHeight="1" s="195">
      <c r="I228" s="194" t="n"/>
      <c r="J228" s="194" t="n"/>
      <c r="K228" s="194" t="n"/>
      <c r="L228" s="194" t="n"/>
      <c r="M228" s="194" t="n"/>
      <c r="N228" s="194" t="n"/>
      <c r="O228" s="194" t="n"/>
      <c r="P228" s="194" t="n"/>
      <c r="Q228" s="194" t="n"/>
      <c r="R228" s="194" t="n"/>
      <c r="S228" s="194" t="n"/>
      <c r="T228" s="194" t="n"/>
      <c r="U228" s="194" t="n"/>
      <c r="V228" s="194" t="n"/>
      <c r="W228" s="194" t="n"/>
      <c r="X228" s="194" t="n"/>
      <c r="Y228" s="194" t="n"/>
      <c r="Z228" s="194" t="n"/>
    </row>
    <row r="229" ht="15.75" customHeight="1" s="195">
      <c r="I229" s="194" t="n"/>
      <c r="J229" s="194" t="n"/>
      <c r="K229" s="194" t="n"/>
      <c r="L229" s="194" t="n"/>
      <c r="M229" s="194" t="n"/>
      <c r="N229" s="194" t="n"/>
      <c r="O229" s="194" t="n"/>
      <c r="P229" s="194" t="n"/>
      <c r="Q229" s="194" t="n"/>
      <c r="R229" s="194" t="n"/>
      <c r="S229" s="194" t="n"/>
      <c r="T229" s="194" t="n"/>
      <c r="U229" s="194" t="n"/>
      <c r="V229" s="194" t="n"/>
      <c r="W229" s="194" t="n"/>
      <c r="X229" s="194" t="n"/>
      <c r="Y229" s="194" t="n"/>
      <c r="Z229" s="194" t="n"/>
    </row>
    <row r="230" ht="15.75" customHeight="1" s="195">
      <c r="I230" s="194" t="n"/>
      <c r="J230" s="194" t="n"/>
      <c r="K230" s="194" t="n"/>
      <c r="L230" s="194" t="n"/>
      <c r="M230" s="194" t="n"/>
      <c r="N230" s="194" t="n"/>
      <c r="O230" s="194" t="n"/>
      <c r="P230" s="194" t="n"/>
      <c r="Q230" s="194" t="n"/>
      <c r="R230" s="194" t="n"/>
      <c r="S230" s="194" t="n"/>
      <c r="T230" s="194" t="n"/>
      <c r="U230" s="194" t="n"/>
      <c r="V230" s="194" t="n"/>
      <c r="W230" s="194" t="n"/>
      <c r="X230" s="194" t="n"/>
      <c r="Y230" s="194" t="n"/>
      <c r="Z230" s="194" t="n"/>
    </row>
    <row r="231" ht="15.75" customHeight="1" s="195">
      <c r="I231" s="194" t="n"/>
      <c r="J231" s="194" t="n"/>
      <c r="K231" s="194" t="n"/>
      <c r="L231" s="194" t="n"/>
      <c r="M231" s="194" t="n"/>
      <c r="N231" s="194" t="n"/>
      <c r="O231" s="194" t="n"/>
      <c r="P231" s="194" t="n"/>
      <c r="Q231" s="194" t="n"/>
      <c r="R231" s="194" t="n"/>
      <c r="S231" s="194" t="n"/>
      <c r="T231" s="194" t="n"/>
      <c r="U231" s="194" t="n"/>
      <c r="V231" s="194" t="n"/>
      <c r="W231" s="194" t="n"/>
      <c r="X231" s="194" t="n"/>
      <c r="Y231" s="194" t="n"/>
      <c r="Z231" s="194" t="n"/>
    </row>
    <row r="232" ht="15.75" customHeight="1" s="195">
      <c r="I232" s="194" t="n"/>
      <c r="J232" s="194" t="n"/>
      <c r="K232" s="194" t="n"/>
      <c r="L232" s="194" t="n"/>
      <c r="M232" s="194" t="n"/>
      <c r="N232" s="194" t="n"/>
      <c r="O232" s="194" t="n"/>
      <c r="P232" s="194" t="n"/>
      <c r="Q232" s="194" t="n"/>
      <c r="R232" s="194" t="n"/>
      <c r="S232" s="194" t="n"/>
      <c r="T232" s="194" t="n"/>
      <c r="U232" s="194" t="n"/>
      <c r="V232" s="194" t="n"/>
      <c r="W232" s="194" t="n"/>
      <c r="X232" s="194" t="n"/>
      <c r="Y232" s="194" t="n"/>
      <c r="Z232" s="194" t="n"/>
    </row>
    <row r="233" ht="15.75" customHeight="1" s="195">
      <c r="I233" s="194" t="n"/>
      <c r="J233" s="194" t="n"/>
      <c r="K233" s="194" t="n"/>
      <c r="L233" s="194" t="n"/>
      <c r="M233" s="194" t="n"/>
      <c r="N233" s="194" t="n"/>
      <c r="O233" s="194" t="n"/>
      <c r="P233" s="194" t="n"/>
      <c r="Q233" s="194" t="n"/>
      <c r="R233" s="194" t="n"/>
      <c r="S233" s="194" t="n"/>
      <c r="T233" s="194" t="n"/>
      <c r="U233" s="194" t="n"/>
      <c r="V233" s="194" t="n"/>
      <c r="W233" s="194" t="n"/>
      <c r="X233" s="194" t="n"/>
      <c r="Y233" s="194" t="n"/>
      <c r="Z233" s="194" t="n"/>
    </row>
    <row r="234" ht="15.75" customHeight="1" s="195">
      <c r="I234" s="194" t="n"/>
      <c r="J234" s="194" t="n"/>
      <c r="K234" s="194" t="n"/>
      <c r="L234" s="194" t="n"/>
      <c r="M234" s="194" t="n"/>
      <c r="N234" s="194" t="n"/>
      <c r="O234" s="194" t="n"/>
      <c r="P234" s="194" t="n"/>
      <c r="Q234" s="194" t="n"/>
      <c r="R234" s="194" t="n"/>
      <c r="S234" s="194" t="n"/>
      <c r="T234" s="194" t="n"/>
      <c r="U234" s="194" t="n"/>
      <c r="V234" s="194" t="n"/>
      <c r="W234" s="194" t="n"/>
      <c r="X234" s="194" t="n"/>
      <c r="Y234" s="194" t="n"/>
      <c r="Z234" s="194" t="n"/>
    </row>
    <row r="235" ht="15.75" customHeight="1" s="195">
      <c r="I235" s="194" t="n"/>
      <c r="J235" s="194" t="n"/>
      <c r="K235" s="194" t="n"/>
      <c r="L235" s="194" t="n"/>
      <c r="M235" s="194" t="n"/>
      <c r="N235" s="194" t="n"/>
      <c r="O235" s="194" t="n"/>
      <c r="P235" s="194" t="n"/>
      <c r="Q235" s="194" t="n"/>
      <c r="R235" s="194" t="n"/>
      <c r="S235" s="194" t="n"/>
      <c r="T235" s="194" t="n"/>
      <c r="U235" s="194" t="n"/>
      <c r="V235" s="194" t="n"/>
      <c r="W235" s="194" t="n"/>
      <c r="X235" s="194" t="n"/>
      <c r="Y235" s="194" t="n"/>
      <c r="Z235" s="194" t="n"/>
    </row>
    <row r="236" ht="15.75" customHeight="1" s="195">
      <c r="I236" s="194" t="n"/>
      <c r="J236" s="194" t="n"/>
      <c r="K236" s="194" t="n"/>
      <c r="L236" s="194" t="n"/>
      <c r="M236" s="194" t="n"/>
      <c r="N236" s="194" t="n"/>
      <c r="O236" s="194" t="n"/>
      <c r="P236" s="194" t="n"/>
      <c r="Q236" s="194" t="n"/>
      <c r="R236" s="194" t="n"/>
      <c r="S236" s="194" t="n"/>
      <c r="T236" s="194" t="n"/>
      <c r="U236" s="194" t="n"/>
      <c r="V236" s="194" t="n"/>
      <c r="W236" s="194" t="n"/>
      <c r="X236" s="194" t="n"/>
      <c r="Y236" s="194" t="n"/>
      <c r="Z236" s="194" t="n"/>
    </row>
    <row r="237" ht="15.75" customHeight="1" s="195">
      <c r="I237" s="194" t="n"/>
      <c r="J237" s="194" t="n"/>
      <c r="K237" s="194" t="n"/>
      <c r="L237" s="194" t="n"/>
      <c r="M237" s="194" t="n"/>
      <c r="N237" s="194" t="n"/>
      <c r="O237" s="194" t="n"/>
      <c r="P237" s="194" t="n"/>
      <c r="Q237" s="194" t="n"/>
      <c r="R237" s="194" t="n"/>
      <c r="S237" s="194" t="n"/>
      <c r="T237" s="194" t="n"/>
      <c r="U237" s="194" t="n"/>
      <c r="V237" s="194" t="n"/>
      <c r="W237" s="194" t="n"/>
      <c r="X237" s="194" t="n"/>
      <c r="Y237" s="194" t="n"/>
      <c r="Z237" s="194" t="n"/>
    </row>
    <row r="238" ht="15.75" customHeight="1" s="195">
      <c r="I238" s="194" t="n"/>
      <c r="J238" s="194" t="n"/>
      <c r="K238" s="194" t="n"/>
      <c r="L238" s="194" t="n"/>
      <c r="M238" s="194" t="n"/>
      <c r="N238" s="194" t="n"/>
      <c r="O238" s="194" t="n"/>
      <c r="P238" s="194" t="n"/>
      <c r="Q238" s="194" t="n"/>
      <c r="R238" s="194" t="n"/>
      <c r="S238" s="194" t="n"/>
      <c r="T238" s="194" t="n"/>
      <c r="U238" s="194" t="n"/>
      <c r="V238" s="194" t="n"/>
      <c r="W238" s="194" t="n"/>
      <c r="X238" s="194" t="n"/>
      <c r="Y238" s="194" t="n"/>
      <c r="Z238" s="194" t="n"/>
    </row>
    <row r="239" ht="15.75" customHeight="1" s="195">
      <c r="I239" s="194" t="n"/>
      <c r="J239" s="194" t="n"/>
      <c r="K239" s="194" t="n"/>
      <c r="L239" s="194" t="n"/>
      <c r="M239" s="194" t="n"/>
      <c r="N239" s="194" t="n"/>
      <c r="O239" s="194" t="n"/>
      <c r="P239" s="194" t="n"/>
      <c r="Q239" s="194" t="n"/>
      <c r="R239" s="194" t="n"/>
      <c r="S239" s="194" t="n"/>
      <c r="T239" s="194" t="n"/>
      <c r="U239" s="194" t="n"/>
      <c r="V239" s="194" t="n"/>
      <c r="W239" s="194" t="n"/>
      <c r="X239" s="194" t="n"/>
      <c r="Y239" s="194" t="n"/>
      <c r="Z239" s="194" t="n"/>
    </row>
    <row r="240" ht="15.75" customHeight="1" s="195">
      <c r="I240" s="194" t="n"/>
      <c r="J240" s="194" t="n"/>
      <c r="K240" s="194" t="n"/>
      <c r="L240" s="194" t="n"/>
      <c r="M240" s="194" t="n"/>
      <c r="N240" s="194" t="n"/>
      <c r="O240" s="194" t="n"/>
      <c r="P240" s="194" t="n"/>
      <c r="Q240" s="194" t="n"/>
      <c r="R240" s="194" t="n"/>
      <c r="S240" s="194" t="n"/>
      <c r="T240" s="194" t="n"/>
      <c r="U240" s="194" t="n"/>
      <c r="V240" s="194" t="n"/>
      <c r="W240" s="194" t="n"/>
      <c r="X240" s="194" t="n"/>
      <c r="Y240" s="194" t="n"/>
      <c r="Z240" s="194" t="n"/>
    </row>
    <row r="241" ht="15.75" customHeight="1" s="195">
      <c r="I241" s="194" t="n"/>
      <c r="J241" s="194" t="n"/>
      <c r="K241" s="194" t="n"/>
      <c r="L241" s="194" t="n"/>
      <c r="M241" s="194" t="n"/>
      <c r="N241" s="194" t="n"/>
      <c r="O241" s="194" t="n"/>
      <c r="P241" s="194" t="n"/>
      <c r="Q241" s="194" t="n"/>
      <c r="R241" s="194" t="n"/>
      <c r="S241" s="194" t="n"/>
      <c r="T241" s="194" t="n"/>
      <c r="U241" s="194" t="n"/>
      <c r="V241" s="194" t="n"/>
      <c r="W241" s="194" t="n"/>
      <c r="X241" s="194" t="n"/>
      <c r="Y241" s="194" t="n"/>
      <c r="Z241" s="194" t="n"/>
    </row>
    <row r="242" ht="15.75" customHeight="1" s="195">
      <c r="I242" s="194" t="n"/>
      <c r="J242" s="194" t="n"/>
      <c r="K242" s="194" t="n"/>
      <c r="L242" s="194" t="n"/>
      <c r="M242" s="194" t="n"/>
      <c r="N242" s="194" t="n"/>
      <c r="O242" s="194" t="n"/>
      <c r="P242" s="194" t="n"/>
      <c r="Q242" s="194" t="n"/>
      <c r="R242" s="194" t="n"/>
      <c r="S242" s="194" t="n"/>
      <c r="T242" s="194" t="n"/>
      <c r="U242" s="194" t="n"/>
      <c r="V242" s="194" t="n"/>
      <c r="W242" s="194" t="n"/>
      <c r="X242" s="194" t="n"/>
      <c r="Y242" s="194" t="n"/>
      <c r="Z242" s="194" t="n"/>
    </row>
    <row r="243" ht="15.75" customHeight="1" s="195">
      <c r="I243" s="194" t="n"/>
      <c r="J243" s="194" t="n"/>
      <c r="K243" s="194" t="n"/>
      <c r="L243" s="194" t="n"/>
      <c r="M243" s="194" t="n"/>
      <c r="N243" s="194" t="n"/>
      <c r="O243" s="194" t="n"/>
      <c r="P243" s="194" t="n"/>
      <c r="Q243" s="194" t="n"/>
      <c r="R243" s="194" t="n"/>
      <c r="S243" s="194" t="n"/>
      <c r="T243" s="194" t="n"/>
      <c r="U243" s="194" t="n"/>
      <c r="V243" s="194" t="n"/>
      <c r="W243" s="194" t="n"/>
      <c r="X243" s="194" t="n"/>
      <c r="Y243" s="194" t="n"/>
      <c r="Z243" s="194" t="n"/>
    </row>
    <row r="244" ht="15.75" customHeight="1" s="195"/>
    <row r="245" ht="15.75" customHeight="1" s="195"/>
    <row r="246" ht="15.75" customHeight="1" s="195"/>
    <row r="247" ht="15.75" customHeight="1" s="195"/>
    <row r="248" ht="15.75" customHeight="1" s="195"/>
    <row r="249" ht="15.75" customHeight="1" s="195"/>
    <row r="250" ht="15.75" customHeight="1" s="195"/>
    <row r="251" ht="15.75" customHeight="1" s="195"/>
    <row r="252" ht="15.75" customHeight="1" s="195"/>
    <row r="253" ht="15.75" customHeight="1" s="195"/>
    <row r="254" ht="15.75" customHeight="1" s="195"/>
    <row r="255" ht="15.75" customHeight="1" s="195"/>
    <row r="256" ht="15.75" customHeight="1" s="195"/>
    <row r="257" ht="15.75" customHeight="1" s="195"/>
    <row r="258" ht="15.75" customHeight="1" s="195"/>
    <row r="259" ht="15.75" customHeight="1" s="195"/>
    <row r="260" ht="15.75" customHeight="1" s="195"/>
    <row r="261" ht="15.75" customHeight="1" s="195"/>
    <row r="262" ht="15.75" customHeight="1" s="195"/>
    <row r="263" ht="15.75" customHeight="1" s="195"/>
    <row r="264" ht="15.75" customHeight="1" s="195"/>
    <row r="265" ht="15.75" customHeight="1" s="195"/>
    <row r="266" ht="15.75" customHeight="1" s="195"/>
    <row r="267" ht="15.75" customHeight="1" s="195"/>
    <row r="268" ht="15.75" customHeight="1" s="195"/>
    <row r="269" ht="15.75" customHeight="1" s="195"/>
    <row r="270" ht="15.75" customHeight="1" s="195"/>
    <row r="271" ht="15.75" customHeight="1" s="195"/>
    <row r="272" ht="15.75" customHeight="1" s="195"/>
    <row r="273" ht="15.75" customHeight="1" s="195"/>
    <row r="274" ht="15.75" customHeight="1" s="195"/>
    <row r="275" ht="15.75" customHeight="1" s="195"/>
    <row r="276" ht="15.75" customHeight="1" s="195"/>
    <row r="277" ht="15.75" customHeight="1" s="195"/>
    <row r="278" ht="15.75" customHeight="1" s="195"/>
    <row r="279" ht="15.75" customHeight="1" s="195"/>
    <row r="280" ht="15.75" customHeight="1" s="195"/>
    <row r="281" ht="15.75" customHeight="1" s="195"/>
    <row r="282" ht="15.75" customHeight="1" s="195"/>
    <row r="283" ht="15.75" customHeight="1" s="195"/>
    <row r="284" ht="15.75" customHeight="1" s="195"/>
    <row r="285" ht="15.75" customHeight="1" s="195"/>
    <row r="286" ht="15.75" customHeight="1" s="195"/>
    <row r="287" ht="15.75" customHeight="1" s="195"/>
    <row r="288" ht="15.75" customHeight="1" s="195"/>
    <row r="289" ht="15.75" customHeight="1" s="195"/>
    <row r="290" ht="15.75" customHeight="1" s="195"/>
    <row r="291" ht="15.75" customHeight="1" s="195"/>
    <row r="292" ht="15.75" customHeight="1" s="195"/>
    <row r="293" ht="15.75" customHeight="1" s="195"/>
    <row r="294" ht="15.75" customHeight="1" s="195"/>
    <row r="295" ht="15.75" customHeight="1" s="195"/>
    <row r="296" ht="15.75" customHeight="1" s="195"/>
    <row r="297" ht="15.75" customHeight="1" s="195"/>
    <row r="298" ht="15.75" customHeight="1" s="195"/>
    <row r="299" ht="15.75" customHeight="1" s="195"/>
    <row r="300" ht="15.75" customHeight="1" s="195"/>
    <row r="301" ht="15.75" customHeight="1" s="195"/>
    <row r="302" ht="15.75" customHeight="1" s="195"/>
    <row r="303" ht="15.75" customHeight="1" s="195"/>
    <row r="304" ht="15.75" customHeight="1" s="195"/>
    <row r="305" ht="15.75" customHeight="1" s="195"/>
    <row r="306" ht="15.75" customHeight="1" s="195"/>
    <row r="307" ht="15.75" customHeight="1" s="195"/>
    <row r="308" ht="15.75" customHeight="1" s="195"/>
    <row r="309" ht="15.75" customHeight="1" s="195"/>
    <row r="310" ht="15.75" customHeight="1" s="195"/>
    <row r="311" ht="15.75" customHeight="1" s="195"/>
    <row r="312" ht="15.75" customHeight="1" s="195"/>
    <row r="313" ht="15.75" customHeight="1" s="195"/>
    <row r="314" ht="15.75" customHeight="1" s="195"/>
    <row r="315" ht="15.75" customHeight="1" s="195"/>
    <row r="316" ht="15.75" customHeight="1" s="195"/>
    <row r="317" ht="15.75" customHeight="1" s="195"/>
    <row r="318" ht="15.75" customHeight="1" s="195"/>
    <row r="319" ht="15.75" customHeight="1" s="195"/>
    <row r="320" ht="15.75" customHeight="1" s="195"/>
    <row r="321" ht="15.75" customHeight="1" s="195"/>
    <row r="322" ht="15.75" customHeight="1" s="195"/>
    <row r="323" ht="15.75" customHeight="1" s="195"/>
    <row r="324" ht="15.75" customHeight="1" s="195"/>
    <row r="325" ht="15.75" customHeight="1" s="195"/>
    <row r="326" ht="15.75" customHeight="1" s="195"/>
    <row r="327" ht="15.75" customHeight="1" s="195"/>
    <row r="328" ht="15.75" customHeight="1" s="195"/>
    <row r="329" ht="15.75" customHeight="1" s="195"/>
    <row r="330" ht="15.75" customHeight="1" s="195"/>
    <row r="331" ht="15.75" customHeight="1" s="195"/>
    <row r="332" ht="15.75" customHeight="1" s="195"/>
    <row r="333" ht="15.75" customHeight="1" s="195"/>
    <row r="334" ht="15.75" customHeight="1" s="195"/>
    <row r="335" ht="15.75" customHeight="1" s="195"/>
    <row r="336" ht="15.75" customHeight="1" s="195"/>
    <row r="337" ht="15.75" customHeight="1" s="195"/>
    <row r="338" ht="15.75" customHeight="1" s="195"/>
    <row r="339" ht="15.75" customHeight="1" s="195"/>
    <row r="340" ht="15.75" customHeight="1" s="195"/>
    <row r="341" ht="15.75" customHeight="1" s="195"/>
    <row r="342" ht="15.75" customHeight="1" s="195"/>
    <row r="343" ht="15.75" customHeight="1" s="195"/>
    <row r="344" ht="15.75" customHeight="1" s="195"/>
    <row r="345" ht="15.75" customHeight="1" s="195"/>
    <row r="346" ht="15.75" customHeight="1" s="195"/>
    <row r="347" ht="15.75" customHeight="1" s="195"/>
    <row r="348" ht="15.75" customHeight="1" s="195"/>
    <row r="349" ht="15.75" customHeight="1" s="195"/>
    <row r="350" ht="15.75" customHeight="1" s="195"/>
    <row r="351" ht="15.75" customHeight="1" s="195"/>
    <row r="352" ht="15.75" customHeight="1" s="195"/>
    <row r="353" ht="15.75" customHeight="1" s="195"/>
    <row r="354" ht="15.75" customHeight="1" s="195"/>
    <row r="355" ht="15.75" customHeight="1" s="195"/>
    <row r="356" ht="15.75" customHeight="1" s="195"/>
    <row r="357" ht="15.75" customHeight="1" s="195"/>
    <row r="358" ht="15.75" customHeight="1" s="195"/>
    <row r="359" ht="15.75" customHeight="1" s="195"/>
    <row r="360" ht="15.75" customHeight="1" s="195"/>
    <row r="361" ht="15.75" customHeight="1" s="195"/>
    <row r="362" ht="15.75" customHeight="1" s="195"/>
    <row r="363" ht="15.75" customHeight="1" s="195"/>
    <row r="364" ht="15.75" customHeight="1" s="195"/>
    <row r="365" ht="15.75" customHeight="1" s="195"/>
    <row r="366" ht="15.75" customHeight="1" s="195"/>
    <row r="367" ht="15.75" customHeight="1" s="195"/>
    <row r="368" ht="15.75" customHeight="1" s="195"/>
    <row r="369" ht="15.75" customHeight="1" s="195"/>
    <row r="370" ht="15.75" customHeight="1" s="195"/>
    <row r="371" ht="15.75" customHeight="1" s="195"/>
    <row r="372" ht="15.75" customHeight="1" s="195"/>
    <row r="373" ht="15.75" customHeight="1" s="195"/>
    <row r="374" ht="15.75" customHeight="1" s="195"/>
    <row r="375" ht="15.75" customHeight="1" s="195"/>
    <row r="376" ht="15.75" customHeight="1" s="195"/>
    <row r="377" ht="15.75" customHeight="1" s="195"/>
    <row r="378" ht="15.75" customHeight="1" s="195"/>
    <row r="379" ht="15.75" customHeight="1" s="195"/>
    <row r="380" ht="15.75" customHeight="1" s="195"/>
    <row r="381" ht="15.75" customHeight="1" s="195"/>
    <row r="382" ht="15.75" customHeight="1" s="195"/>
    <row r="383" ht="15.75" customHeight="1" s="195"/>
    <row r="384" ht="15.75" customHeight="1" s="195"/>
    <row r="385" ht="15.75" customHeight="1" s="195"/>
    <row r="386" ht="15.75" customHeight="1" s="195"/>
    <row r="387" ht="15.75" customHeight="1" s="195"/>
    <row r="388" ht="15.75" customHeight="1" s="195"/>
    <row r="389" ht="15.75" customHeight="1" s="195"/>
    <row r="390" ht="15.75" customHeight="1" s="195"/>
    <row r="391" ht="15.75" customHeight="1" s="195"/>
    <row r="392" ht="15.75" customHeight="1" s="195"/>
    <row r="393" ht="15.75" customHeight="1" s="195"/>
    <row r="394" ht="15.75" customHeight="1" s="195"/>
    <row r="395" ht="15.75" customHeight="1" s="195"/>
    <row r="396" ht="15.75" customHeight="1" s="195"/>
    <row r="397" ht="15.75" customHeight="1" s="195"/>
    <row r="398" ht="15.75" customHeight="1" s="195"/>
    <row r="399" ht="15.75" customHeight="1" s="195"/>
    <row r="400" ht="15.75" customHeight="1" s="195"/>
    <row r="401" ht="15.75" customHeight="1" s="195"/>
    <row r="402" ht="15.75" customHeight="1" s="195"/>
    <row r="403" ht="15.75" customHeight="1" s="195"/>
    <row r="404" ht="15.75" customHeight="1" s="195"/>
    <row r="405" ht="15.75" customHeight="1" s="195"/>
    <row r="406" ht="15.75" customHeight="1" s="195"/>
    <row r="407" ht="15.75" customHeight="1" s="195"/>
    <row r="408" ht="15.75" customHeight="1" s="195"/>
    <row r="409" ht="15.75" customHeight="1" s="195"/>
    <row r="410" ht="15.75" customHeight="1" s="195"/>
    <row r="411" ht="15.75" customHeight="1" s="195"/>
    <row r="412" ht="15.75" customHeight="1" s="195"/>
    <row r="413" ht="15.75" customHeight="1" s="195"/>
    <row r="414" ht="15.75" customHeight="1" s="195"/>
    <row r="415" ht="15.75" customHeight="1" s="195"/>
    <row r="416" ht="15.75" customHeight="1" s="195"/>
    <row r="417" ht="15.75" customHeight="1" s="195"/>
    <row r="418" ht="15.75" customHeight="1" s="195"/>
    <row r="419" ht="15.75" customHeight="1" s="195"/>
    <row r="420" ht="15.75" customHeight="1" s="195"/>
    <row r="421" ht="15.75" customHeight="1" s="195"/>
    <row r="422" ht="15.75" customHeight="1" s="195"/>
    <row r="423" ht="15.75" customHeight="1" s="195"/>
    <row r="424" ht="15.75" customHeight="1" s="195"/>
    <row r="425" ht="15.75" customHeight="1" s="195"/>
    <row r="426" ht="15.75" customHeight="1" s="195"/>
    <row r="427" ht="15.75" customHeight="1" s="195"/>
    <row r="428" ht="15.75" customHeight="1" s="195"/>
    <row r="429" ht="15.75" customHeight="1" s="195"/>
    <row r="430" ht="15.75" customHeight="1" s="195"/>
    <row r="431" ht="15.75" customHeight="1" s="195"/>
    <row r="432" ht="15.75" customHeight="1" s="195"/>
    <row r="433" ht="15.75" customHeight="1" s="195"/>
    <row r="434" ht="15.75" customHeight="1" s="195"/>
    <row r="435" ht="15.75" customHeight="1" s="195"/>
    <row r="436" ht="15.75" customHeight="1" s="195"/>
    <row r="437" ht="15.75" customHeight="1" s="195"/>
    <row r="438" ht="15.75" customHeight="1" s="195"/>
    <row r="439" ht="15.75" customHeight="1" s="195"/>
    <row r="440" ht="15.75" customHeight="1" s="195"/>
    <row r="441" ht="15.75" customHeight="1" s="195"/>
    <row r="442" ht="15.75" customHeight="1" s="195"/>
    <row r="443" ht="15.75" customHeight="1" s="195"/>
    <row r="444" ht="15.75" customHeight="1" s="195"/>
    <row r="445" ht="15.75" customHeight="1" s="195"/>
    <row r="446" ht="15.75" customHeight="1" s="195"/>
    <row r="447" ht="15.75" customHeight="1" s="195"/>
    <row r="448" ht="15.75" customHeight="1" s="195"/>
    <row r="449" ht="15.75" customHeight="1" s="195"/>
    <row r="450" ht="15.75" customHeight="1" s="195"/>
    <row r="451" ht="15.75" customHeight="1" s="195"/>
    <row r="452" ht="15.75" customHeight="1" s="195"/>
    <row r="453" ht="15.75" customHeight="1" s="195"/>
    <row r="454" ht="15.75" customHeight="1" s="195"/>
    <row r="455" ht="15.75" customHeight="1" s="195"/>
    <row r="456" ht="15.75" customHeight="1" s="195"/>
    <row r="457" ht="15.75" customHeight="1" s="195"/>
    <row r="458" ht="15.75" customHeight="1" s="195"/>
    <row r="459" ht="15.75" customHeight="1" s="195"/>
    <row r="460" ht="15.75" customHeight="1" s="195"/>
    <row r="461" ht="15.75" customHeight="1" s="195"/>
    <row r="462" ht="15.75" customHeight="1" s="195"/>
    <row r="463" ht="15.75" customHeight="1" s="195"/>
    <row r="464" ht="15.75" customHeight="1" s="195"/>
    <row r="465" ht="15.75" customHeight="1" s="195"/>
    <row r="466" ht="15.75" customHeight="1" s="195"/>
    <row r="467" ht="15.75" customHeight="1" s="195"/>
    <row r="468" ht="15.75" customHeight="1" s="195"/>
    <row r="469" ht="15.75" customHeight="1" s="195"/>
    <row r="470" ht="15.75" customHeight="1" s="195"/>
    <row r="471" ht="15.75" customHeight="1" s="195"/>
    <row r="472" ht="15.75" customHeight="1" s="195"/>
    <row r="473" ht="15.75" customHeight="1" s="195"/>
    <row r="474" ht="15.75" customHeight="1" s="195"/>
    <row r="475" ht="15.75" customHeight="1" s="195"/>
    <row r="476" ht="15.75" customHeight="1" s="195"/>
    <row r="477" ht="15.75" customHeight="1" s="195"/>
    <row r="478" ht="15.75" customHeight="1" s="195"/>
    <row r="479" ht="15.75" customHeight="1" s="195"/>
    <row r="480" ht="15.75" customHeight="1" s="195"/>
    <row r="481" ht="15.75" customHeight="1" s="195"/>
    <row r="482" ht="15.75" customHeight="1" s="195"/>
    <row r="483" ht="15.75" customHeight="1" s="195"/>
    <row r="484" ht="15.75" customHeight="1" s="195"/>
    <row r="485" ht="15.75" customHeight="1" s="195"/>
    <row r="486" ht="15.75" customHeight="1" s="195"/>
    <row r="487" ht="15.75" customHeight="1" s="195"/>
    <row r="488" ht="15.75" customHeight="1" s="195"/>
    <row r="489" ht="15.75" customHeight="1" s="195"/>
    <row r="490" ht="15.75" customHeight="1" s="195"/>
    <row r="491" ht="15.75" customHeight="1" s="195"/>
    <row r="492" ht="15.75" customHeight="1" s="195"/>
    <row r="493" ht="15.75" customHeight="1" s="195"/>
    <row r="494" ht="15.75" customHeight="1" s="195"/>
    <row r="495" ht="15.75" customHeight="1" s="195"/>
    <row r="496" ht="15.75" customHeight="1" s="195"/>
    <row r="497" ht="15.75" customHeight="1" s="195"/>
    <row r="498" ht="15.75" customHeight="1" s="195"/>
    <row r="499" ht="15.75" customHeight="1" s="195"/>
    <row r="500" ht="15.75" customHeight="1" s="195"/>
    <row r="501" ht="15.75" customHeight="1" s="195"/>
    <row r="502" ht="15.75" customHeight="1" s="195"/>
    <row r="503" ht="15.75" customHeight="1" s="195"/>
    <row r="504" ht="15.75" customHeight="1" s="195"/>
    <row r="505" ht="15.75" customHeight="1" s="195"/>
    <row r="506" ht="15.75" customHeight="1" s="195"/>
    <row r="507" ht="15.75" customHeight="1" s="195"/>
    <row r="508" ht="15.75" customHeight="1" s="195"/>
    <row r="509" ht="15.75" customHeight="1" s="195"/>
    <row r="510" ht="15.75" customHeight="1" s="195"/>
    <row r="511" ht="15.75" customHeight="1" s="195"/>
    <row r="512" ht="15.75" customHeight="1" s="195"/>
    <row r="513" ht="15.75" customHeight="1" s="195"/>
    <row r="514" ht="15.75" customHeight="1" s="195"/>
    <row r="515" ht="15.75" customHeight="1" s="195"/>
    <row r="516" ht="15.75" customHeight="1" s="195"/>
    <row r="517" ht="15.75" customHeight="1" s="195"/>
    <row r="518" ht="15.75" customHeight="1" s="195"/>
    <row r="519" ht="15.75" customHeight="1" s="195"/>
    <row r="520" ht="15.75" customHeight="1" s="195"/>
    <row r="521" ht="15.75" customHeight="1" s="195"/>
    <row r="522" ht="15.75" customHeight="1" s="195"/>
    <row r="523" ht="15.75" customHeight="1" s="195"/>
    <row r="524" ht="15.75" customHeight="1" s="195"/>
    <row r="525" ht="15.75" customHeight="1" s="195"/>
    <row r="526" ht="15.75" customHeight="1" s="195"/>
    <row r="527" ht="15.75" customHeight="1" s="195"/>
    <row r="528" ht="15.75" customHeight="1" s="195"/>
    <row r="529" ht="15.75" customHeight="1" s="195"/>
    <row r="530" ht="15.75" customHeight="1" s="195"/>
    <row r="531" ht="15.75" customHeight="1" s="195"/>
    <row r="532" ht="15.75" customHeight="1" s="195"/>
    <row r="533" ht="15.75" customHeight="1" s="195"/>
    <row r="534" ht="15.75" customHeight="1" s="195"/>
    <row r="535" ht="15.75" customHeight="1" s="195"/>
    <row r="536" ht="15.75" customHeight="1" s="195"/>
    <row r="537" ht="15.75" customHeight="1" s="195"/>
    <row r="538" ht="15.75" customHeight="1" s="195"/>
    <row r="539" ht="15.75" customHeight="1" s="195"/>
    <row r="540" ht="15.75" customHeight="1" s="195"/>
    <row r="541" ht="15.75" customHeight="1" s="195"/>
    <row r="542" ht="15.75" customHeight="1" s="195"/>
    <row r="543" ht="15.75" customHeight="1" s="195"/>
    <row r="544" ht="15.75" customHeight="1" s="195"/>
    <row r="545" ht="15.75" customHeight="1" s="195"/>
    <row r="546" ht="15.75" customHeight="1" s="195"/>
    <row r="547" ht="15.75" customHeight="1" s="195"/>
    <row r="548" ht="15.75" customHeight="1" s="195"/>
    <row r="549" ht="15.75" customHeight="1" s="195"/>
    <row r="550" ht="15.75" customHeight="1" s="195"/>
    <row r="551" ht="15.75" customHeight="1" s="195"/>
    <row r="552" ht="15.75" customHeight="1" s="195"/>
    <row r="553" ht="15.75" customHeight="1" s="195"/>
    <row r="554" ht="15.75" customHeight="1" s="195"/>
    <row r="555" ht="15.75" customHeight="1" s="195"/>
    <row r="556" ht="15.75" customHeight="1" s="195"/>
    <row r="557" ht="15.75" customHeight="1" s="195"/>
    <row r="558" ht="15.75" customHeight="1" s="195"/>
    <row r="559" ht="15.75" customHeight="1" s="195"/>
    <row r="560" ht="15.75" customHeight="1" s="195"/>
    <row r="561" ht="15.75" customHeight="1" s="195"/>
    <row r="562" ht="15.75" customHeight="1" s="195"/>
    <row r="563" ht="15.75" customHeight="1" s="195"/>
    <row r="564" ht="15.75" customHeight="1" s="195"/>
    <row r="565" ht="15.75" customHeight="1" s="195"/>
    <row r="566" ht="15.75" customHeight="1" s="195"/>
    <row r="567" ht="15.75" customHeight="1" s="195"/>
    <row r="568" ht="15.75" customHeight="1" s="195"/>
    <row r="569" ht="15.75" customHeight="1" s="195"/>
    <row r="570" ht="15.75" customHeight="1" s="195"/>
    <row r="571" ht="15.75" customHeight="1" s="195"/>
    <row r="572" ht="15.75" customHeight="1" s="195"/>
    <row r="573" ht="15.75" customHeight="1" s="195"/>
    <row r="574" ht="15.75" customHeight="1" s="195"/>
    <row r="575" ht="15.75" customHeight="1" s="195"/>
    <row r="576" ht="15.75" customHeight="1" s="195"/>
    <row r="577" ht="15.75" customHeight="1" s="195"/>
    <row r="578" ht="15.75" customHeight="1" s="195"/>
    <row r="579" ht="15.75" customHeight="1" s="195"/>
    <row r="580" ht="15.75" customHeight="1" s="195"/>
    <row r="581" ht="15.75" customHeight="1" s="195"/>
    <row r="582" ht="15.75" customHeight="1" s="195"/>
    <row r="583" ht="15.75" customHeight="1" s="195"/>
    <row r="584" ht="15.75" customHeight="1" s="195"/>
    <row r="585" ht="15.75" customHeight="1" s="195"/>
    <row r="586" ht="15.75" customHeight="1" s="195"/>
    <row r="587" ht="15.75" customHeight="1" s="195"/>
    <row r="588" ht="15.75" customHeight="1" s="195"/>
    <row r="589" ht="15.75" customHeight="1" s="195"/>
    <row r="590" ht="15.75" customHeight="1" s="195"/>
    <row r="591" ht="15.75" customHeight="1" s="195"/>
    <row r="592" ht="15.75" customHeight="1" s="195"/>
    <row r="593" ht="15.75" customHeight="1" s="195"/>
    <row r="594" ht="15.75" customHeight="1" s="195"/>
    <row r="595" ht="15.75" customHeight="1" s="195"/>
    <row r="596" ht="15.75" customHeight="1" s="195"/>
    <row r="597" ht="15.75" customHeight="1" s="195"/>
    <row r="598" ht="15.75" customHeight="1" s="195"/>
    <row r="599" ht="15.75" customHeight="1" s="195"/>
    <row r="600" ht="15.75" customHeight="1" s="195"/>
    <row r="601" ht="15.75" customHeight="1" s="195"/>
    <row r="602" ht="15.75" customHeight="1" s="195"/>
    <row r="603" ht="15.75" customHeight="1" s="195"/>
    <row r="604" ht="15.75" customHeight="1" s="195"/>
    <row r="605" ht="15.75" customHeight="1" s="195"/>
    <row r="606" ht="15.75" customHeight="1" s="195"/>
    <row r="607" ht="15.75" customHeight="1" s="195"/>
    <row r="608" ht="15.75" customHeight="1" s="195"/>
    <row r="609" ht="15.75" customHeight="1" s="195"/>
    <row r="610" ht="15.75" customHeight="1" s="195"/>
    <row r="611" ht="15.75" customHeight="1" s="195"/>
    <row r="612" ht="15.75" customHeight="1" s="195"/>
    <row r="613" ht="15.75" customHeight="1" s="195"/>
    <row r="614" ht="15.75" customHeight="1" s="195"/>
    <row r="615" ht="15.75" customHeight="1" s="195"/>
    <row r="616" ht="15.75" customHeight="1" s="195"/>
    <row r="617" ht="15.75" customHeight="1" s="195"/>
    <row r="618" ht="15.75" customHeight="1" s="195"/>
    <row r="619" ht="15.75" customHeight="1" s="195"/>
    <row r="620" ht="15.75" customHeight="1" s="195"/>
    <row r="621" ht="15.75" customHeight="1" s="195"/>
    <row r="622" ht="15.75" customHeight="1" s="195"/>
    <row r="623" ht="15.75" customHeight="1" s="195"/>
    <row r="624" ht="15.75" customHeight="1" s="195"/>
    <row r="625" ht="15.75" customHeight="1" s="195"/>
    <row r="626" ht="15.75" customHeight="1" s="195"/>
    <row r="627" ht="15.75" customHeight="1" s="195"/>
    <row r="628" ht="15.75" customHeight="1" s="195"/>
    <row r="629" ht="15.75" customHeight="1" s="195"/>
    <row r="630" ht="15.75" customHeight="1" s="195"/>
    <row r="631" ht="15.75" customHeight="1" s="195"/>
    <row r="632" ht="15.75" customHeight="1" s="195"/>
    <row r="633" ht="15.75" customHeight="1" s="195"/>
    <row r="634" ht="15.75" customHeight="1" s="195"/>
    <row r="635" ht="15.75" customHeight="1" s="195"/>
    <row r="636" ht="15.75" customHeight="1" s="195"/>
    <row r="637" ht="15.75" customHeight="1" s="195"/>
    <row r="638" ht="15.75" customHeight="1" s="195"/>
    <row r="639" ht="15.75" customHeight="1" s="195"/>
    <row r="640" ht="15.75" customHeight="1" s="195"/>
    <row r="641" ht="15.75" customHeight="1" s="195"/>
    <row r="642" ht="15.75" customHeight="1" s="195"/>
    <row r="643" ht="15.75" customHeight="1" s="195"/>
    <row r="644" ht="15.75" customHeight="1" s="195"/>
    <row r="645" ht="15.75" customHeight="1" s="195"/>
    <row r="646" ht="15.75" customHeight="1" s="195"/>
    <row r="647" ht="15.75" customHeight="1" s="195"/>
    <row r="648" ht="15.75" customHeight="1" s="195"/>
    <row r="649" ht="15.75" customHeight="1" s="195"/>
    <row r="650" ht="15.75" customHeight="1" s="195"/>
    <row r="651" ht="15.75" customHeight="1" s="195"/>
    <row r="652" ht="15.75" customHeight="1" s="195"/>
    <row r="653" ht="15.75" customHeight="1" s="195"/>
    <row r="654" ht="15.75" customHeight="1" s="195"/>
    <row r="655" ht="15.75" customHeight="1" s="195"/>
    <row r="656" ht="15.75" customHeight="1" s="195"/>
    <row r="657" ht="15.75" customHeight="1" s="195"/>
    <row r="658" ht="15.75" customHeight="1" s="195"/>
    <row r="659" ht="15.75" customHeight="1" s="195"/>
    <row r="660" ht="15.75" customHeight="1" s="195"/>
    <row r="661" ht="15.75" customHeight="1" s="195"/>
    <row r="662" ht="15.75" customHeight="1" s="195"/>
    <row r="663" ht="15.75" customHeight="1" s="195"/>
    <row r="664" ht="15.75" customHeight="1" s="195"/>
    <row r="665" ht="15.75" customHeight="1" s="195"/>
    <row r="666" ht="15.75" customHeight="1" s="195"/>
    <row r="667" ht="15.75" customHeight="1" s="195"/>
    <row r="668" ht="15.75" customHeight="1" s="195"/>
    <row r="669" ht="15.75" customHeight="1" s="195"/>
    <row r="670" ht="15.75" customHeight="1" s="195"/>
    <row r="671" ht="15.75" customHeight="1" s="195"/>
    <row r="672" ht="15.75" customHeight="1" s="195"/>
    <row r="673" ht="15.75" customHeight="1" s="195"/>
    <row r="674" ht="15.75" customHeight="1" s="195"/>
    <row r="675" ht="15.75" customHeight="1" s="195"/>
    <row r="676" ht="15.75" customHeight="1" s="195"/>
    <row r="677" ht="15.75" customHeight="1" s="195"/>
    <row r="678" ht="15.75" customHeight="1" s="195"/>
    <row r="679" ht="15.75" customHeight="1" s="195"/>
    <row r="680" ht="15.75" customHeight="1" s="195"/>
    <row r="681" ht="15.75" customHeight="1" s="195"/>
    <row r="682" ht="15.75" customHeight="1" s="195"/>
    <row r="683" ht="15.75" customHeight="1" s="195"/>
    <row r="684" ht="15.75" customHeight="1" s="195"/>
    <row r="685" ht="15.75" customHeight="1" s="195"/>
    <row r="686" ht="15.75" customHeight="1" s="195"/>
    <row r="687" ht="15.75" customHeight="1" s="195"/>
    <row r="688" ht="15.75" customHeight="1" s="195"/>
    <row r="689" ht="15.75" customHeight="1" s="195"/>
    <row r="690" ht="15.75" customHeight="1" s="195"/>
    <row r="691" ht="15.75" customHeight="1" s="195"/>
    <row r="692" ht="15.75" customHeight="1" s="195"/>
    <row r="693" ht="15.75" customHeight="1" s="195"/>
    <row r="694" ht="15.75" customHeight="1" s="195"/>
    <row r="695" ht="15.75" customHeight="1" s="195"/>
    <row r="696" ht="15.75" customHeight="1" s="195"/>
    <row r="697" ht="15.75" customHeight="1" s="195"/>
    <row r="698" ht="15.75" customHeight="1" s="195"/>
    <row r="699" ht="15.75" customHeight="1" s="195"/>
    <row r="700" ht="15.75" customHeight="1" s="195"/>
    <row r="701" ht="15.75" customHeight="1" s="195"/>
    <row r="702" ht="15.75" customHeight="1" s="195"/>
    <row r="703" ht="15.75" customHeight="1" s="195"/>
    <row r="704" ht="15.75" customHeight="1" s="195"/>
    <row r="705" ht="15.75" customHeight="1" s="195"/>
    <row r="706" ht="15.75" customHeight="1" s="195"/>
    <row r="707" ht="15.75" customHeight="1" s="195"/>
    <row r="708" ht="15.75" customHeight="1" s="195"/>
    <row r="709" ht="15.75" customHeight="1" s="195"/>
    <row r="710" ht="15.75" customHeight="1" s="195"/>
    <row r="711" ht="15.75" customHeight="1" s="195"/>
    <row r="712" ht="15.75" customHeight="1" s="195"/>
    <row r="713" ht="15.75" customHeight="1" s="195"/>
    <row r="714" ht="15.75" customHeight="1" s="195"/>
    <row r="715" ht="15.75" customHeight="1" s="195"/>
    <row r="716" ht="15.75" customHeight="1" s="195"/>
    <row r="717" ht="15.75" customHeight="1" s="195"/>
    <row r="718" ht="15.75" customHeight="1" s="195"/>
    <row r="719" ht="15.75" customHeight="1" s="195"/>
    <row r="720" ht="15.75" customHeight="1" s="195"/>
    <row r="721" ht="15.75" customHeight="1" s="195"/>
    <row r="722" ht="15.75" customHeight="1" s="195"/>
    <row r="723" ht="15.75" customHeight="1" s="195"/>
    <row r="724" ht="15.75" customHeight="1" s="195"/>
    <row r="725" ht="15.75" customHeight="1" s="195"/>
    <row r="726" ht="15.75" customHeight="1" s="195"/>
    <row r="727" ht="15.75" customHeight="1" s="195"/>
    <row r="728" ht="15.75" customHeight="1" s="195"/>
    <row r="729" ht="15.75" customHeight="1" s="195"/>
    <row r="730" ht="15.75" customHeight="1" s="195"/>
    <row r="731" ht="15.75" customHeight="1" s="195"/>
    <row r="732" ht="15.75" customHeight="1" s="195"/>
    <row r="733" ht="15.75" customHeight="1" s="195"/>
    <row r="734" ht="15.75" customHeight="1" s="195"/>
    <row r="735" ht="15.75" customHeight="1" s="195"/>
    <row r="736" ht="15.75" customHeight="1" s="195"/>
    <row r="737" ht="15.75" customHeight="1" s="195"/>
    <row r="738" ht="15.75" customHeight="1" s="195"/>
    <row r="739" ht="15.75" customHeight="1" s="195"/>
    <row r="740" ht="15.75" customHeight="1" s="195"/>
    <row r="741" ht="15.75" customHeight="1" s="195"/>
    <row r="742" ht="15.75" customHeight="1" s="195"/>
    <row r="743" ht="15.75" customHeight="1" s="195"/>
    <row r="744" ht="15.75" customHeight="1" s="195"/>
    <row r="745" ht="15.75" customHeight="1" s="195"/>
    <row r="746" ht="15.75" customHeight="1" s="195"/>
    <row r="747" ht="15.75" customHeight="1" s="195"/>
    <row r="748" ht="15.75" customHeight="1" s="195"/>
    <row r="749" ht="15.75" customHeight="1" s="195"/>
    <row r="750" ht="15.75" customHeight="1" s="195"/>
    <row r="751" ht="15.75" customHeight="1" s="195"/>
    <row r="752" ht="15.75" customHeight="1" s="195"/>
    <row r="753" ht="15.75" customHeight="1" s="195"/>
    <row r="754" ht="15.75" customHeight="1" s="195"/>
    <row r="755" ht="15.75" customHeight="1" s="195"/>
    <row r="756" ht="15.75" customHeight="1" s="195"/>
    <row r="757" ht="15.75" customHeight="1" s="195"/>
    <row r="758" ht="15.75" customHeight="1" s="195"/>
    <row r="759" ht="15.75" customHeight="1" s="195"/>
    <row r="760" ht="15.75" customHeight="1" s="195"/>
    <row r="761" ht="15.75" customHeight="1" s="195"/>
    <row r="762" ht="15.75" customHeight="1" s="195"/>
    <row r="763" ht="15.75" customHeight="1" s="195"/>
    <row r="764" ht="15.75" customHeight="1" s="195"/>
    <row r="765" ht="15.75" customHeight="1" s="195"/>
    <row r="766" ht="15.75" customHeight="1" s="195"/>
    <row r="767" ht="15.75" customHeight="1" s="195"/>
    <row r="768" ht="15.75" customHeight="1" s="195"/>
    <row r="769" ht="15.75" customHeight="1" s="195"/>
    <row r="770" ht="15.75" customHeight="1" s="195"/>
    <row r="771" ht="15.75" customHeight="1" s="195"/>
    <row r="772" ht="15.75" customHeight="1" s="195"/>
    <row r="773" ht="15.75" customHeight="1" s="195"/>
    <row r="774" ht="15.75" customHeight="1" s="195"/>
    <row r="775" ht="15.75" customHeight="1" s="195"/>
    <row r="776" ht="15.75" customHeight="1" s="195"/>
    <row r="777" ht="15.75" customHeight="1" s="195"/>
    <row r="778" ht="15.75" customHeight="1" s="195"/>
    <row r="779" ht="15.75" customHeight="1" s="195"/>
    <row r="780" ht="15.75" customHeight="1" s="195"/>
    <row r="781" ht="15.75" customHeight="1" s="195"/>
    <row r="782" ht="15.75" customHeight="1" s="195"/>
    <row r="783" ht="15.75" customHeight="1" s="195"/>
    <row r="784" ht="15.75" customHeight="1" s="195"/>
    <row r="785" ht="15.75" customHeight="1" s="195"/>
    <row r="786" ht="15.75" customHeight="1" s="195"/>
    <row r="787" ht="15.75" customHeight="1" s="195"/>
    <row r="788" ht="15.75" customHeight="1" s="195"/>
    <row r="789" ht="15.75" customHeight="1" s="195"/>
    <row r="790" ht="15.75" customHeight="1" s="195"/>
    <row r="791" ht="15.75" customHeight="1" s="195"/>
    <row r="792" ht="15.75" customHeight="1" s="195"/>
    <row r="793" ht="15.75" customHeight="1" s="195"/>
    <row r="794" ht="15.75" customHeight="1" s="195"/>
    <row r="795" ht="15.75" customHeight="1" s="195"/>
    <row r="796" ht="15.75" customHeight="1" s="195"/>
    <row r="797" ht="15.75" customHeight="1" s="195"/>
    <row r="798" ht="15.75" customHeight="1" s="195"/>
    <row r="799" ht="15.75" customHeight="1" s="195"/>
    <row r="800" ht="15.75" customHeight="1" s="195"/>
    <row r="801" ht="15.75" customHeight="1" s="195"/>
    <row r="802" ht="15.75" customHeight="1" s="195"/>
    <row r="803" ht="15.75" customHeight="1" s="195"/>
    <row r="804" ht="15.75" customHeight="1" s="195"/>
    <row r="805" ht="15.75" customHeight="1" s="195"/>
    <row r="806" ht="15.75" customHeight="1" s="195"/>
    <row r="807" ht="15.75" customHeight="1" s="195"/>
    <row r="808" ht="15.75" customHeight="1" s="195"/>
    <row r="809" ht="15.75" customHeight="1" s="195"/>
    <row r="810" ht="15.75" customHeight="1" s="195"/>
    <row r="811" ht="15.75" customHeight="1" s="195"/>
    <row r="812" ht="15.75" customHeight="1" s="195"/>
    <row r="813" ht="15.75" customHeight="1" s="195"/>
    <row r="814" ht="15.75" customHeight="1" s="195"/>
    <row r="815" ht="15.75" customHeight="1" s="195"/>
    <row r="816" ht="15.75" customHeight="1" s="195"/>
    <row r="817" ht="15.75" customHeight="1" s="195"/>
    <row r="818" ht="15.75" customHeight="1" s="195"/>
    <row r="819" ht="15.75" customHeight="1" s="195"/>
    <row r="820" ht="15.75" customHeight="1" s="195"/>
    <row r="821" ht="15.75" customHeight="1" s="195"/>
    <row r="822" ht="15.75" customHeight="1" s="195"/>
    <row r="823" ht="15.75" customHeight="1" s="195"/>
    <row r="824" ht="15.75" customHeight="1" s="195"/>
    <row r="825" ht="15.75" customHeight="1" s="195"/>
    <row r="826" ht="15.75" customHeight="1" s="195"/>
    <row r="827" ht="15.75" customHeight="1" s="195"/>
    <row r="828" ht="15.75" customHeight="1" s="195"/>
    <row r="829" ht="15.75" customHeight="1" s="195"/>
    <row r="830" ht="15.75" customHeight="1" s="195"/>
    <row r="831" ht="15.75" customHeight="1" s="195"/>
    <row r="832" ht="15.75" customHeight="1" s="195"/>
    <row r="833" ht="15.75" customHeight="1" s="195"/>
    <row r="834" ht="15.75" customHeight="1" s="195"/>
    <row r="835" ht="15.75" customHeight="1" s="195"/>
    <row r="836" ht="15.75" customHeight="1" s="195"/>
    <row r="837" ht="15.75" customHeight="1" s="195"/>
    <row r="838" ht="15.75" customHeight="1" s="195"/>
    <row r="839" ht="15.75" customHeight="1" s="195"/>
    <row r="840" ht="15.75" customHeight="1" s="195"/>
    <row r="841" ht="15.75" customHeight="1" s="195"/>
    <row r="842" ht="15.75" customHeight="1" s="195"/>
    <row r="843" ht="15.75" customHeight="1" s="195"/>
    <row r="844" ht="15.75" customHeight="1" s="195"/>
    <row r="845" ht="15.75" customHeight="1" s="195"/>
    <row r="846" ht="15.75" customHeight="1" s="195"/>
    <row r="847" ht="15.75" customHeight="1" s="195"/>
    <row r="848" ht="15.75" customHeight="1" s="195"/>
    <row r="849" ht="15.75" customHeight="1" s="195"/>
    <row r="850" ht="15.75" customHeight="1" s="195"/>
    <row r="851" ht="15.75" customHeight="1" s="195"/>
    <row r="852" ht="15.75" customHeight="1" s="195"/>
    <row r="853" ht="15.75" customHeight="1" s="195"/>
    <row r="854" ht="15.75" customHeight="1" s="195"/>
    <row r="855" ht="15.75" customHeight="1" s="195"/>
    <row r="856" ht="15.75" customHeight="1" s="195"/>
    <row r="857" ht="15.75" customHeight="1" s="195"/>
    <row r="858" ht="15.75" customHeight="1" s="195"/>
    <row r="859" ht="15.75" customHeight="1" s="195"/>
    <row r="860" ht="15.75" customHeight="1" s="195"/>
    <row r="861" ht="15.75" customHeight="1" s="195"/>
    <row r="862" ht="15.75" customHeight="1" s="195"/>
    <row r="863" ht="15.75" customHeight="1" s="195"/>
    <row r="864" ht="15.75" customHeight="1" s="195"/>
    <row r="865" ht="15.75" customHeight="1" s="195"/>
    <row r="866" ht="15.75" customHeight="1" s="195"/>
    <row r="867" ht="15.75" customHeight="1" s="195"/>
    <row r="868" ht="15.75" customHeight="1" s="195"/>
    <row r="869" ht="15.75" customHeight="1" s="195"/>
    <row r="870" ht="15.75" customHeight="1" s="195"/>
    <row r="871" ht="15.75" customHeight="1" s="195"/>
    <row r="872" ht="15.75" customHeight="1" s="195"/>
    <row r="873" ht="15.75" customHeight="1" s="195"/>
    <row r="874" ht="15.75" customHeight="1" s="195"/>
    <row r="875" ht="15.75" customHeight="1" s="195"/>
    <row r="876" ht="15.75" customHeight="1" s="195"/>
    <row r="877" ht="15.75" customHeight="1" s="195"/>
    <row r="878" ht="15.75" customHeight="1" s="195"/>
    <row r="879" ht="15.75" customHeight="1" s="195"/>
    <row r="880" ht="15.75" customHeight="1" s="195"/>
    <row r="881" ht="15.75" customHeight="1" s="195"/>
    <row r="882" ht="15.75" customHeight="1" s="195"/>
    <row r="883" ht="15.75" customHeight="1" s="195"/>
    <row r="884" ht="15.75" customHeight="1" s="195"/>
    <row r="885" ht="15.75" customHeight="1" s="195"/>
    <row r="886" ht="15.75" customHeight="1" s="195"/>
    <row r="887" ht="15.75" customHeight="1" s="195"/>
    <row r="888" ht="15.75" customHeight="1" s="195"/>
    <row r="889" ht="15.75" customHeight="1" s="195"/>
    <row r="890" ht="15.75" customHeight="1" s="195"/>
    <row r="891" ht="15.75" customHeight="1" s="195"/>
    <row r="892" ht="15.75" customHeight="1" s="195"/>
    <row r="893" ht="15.75" customHeight="1" s="195"/>
    <row r="894" ht="15.75" customHeight="1" s="195"/>
    <row r="895" ht="15.75" customHeight="1" s="195"/>
    <row r="896" ht="15.75" customHeight="1" s="195"/>
    <row r="897" ht="15.75" customHeight="1" s="195"/>
    <row r="898" ht="15.75" customHeight="1" s="195"/>
    <row r="899" ht="15.75" customHeight="1" s="195"/>
    <row r="900" ht="15.75" customHeight="1" s="195"/>
    <row r="901" ht="15.75" customHeight="1" s="195"/>
    <row r="902" ht="15.75" customHeight="1" s="195"/>
    <row r="903" ht="15.75" customHeight="1" s="195"/>
    <row r="904" ht="15.75" customHeight="1" s="195"/>
    <row r="905" ht="15.75" customHeight="1" s="195"/>
    <row r="906" ht="15.75" customHeight="1" s="195"/>
    <row r="907" ht="15.75" customHeight="1" s="195"/>
    <row r="908" ht="15.75" customHeight="1" s="195"/>
    <row r="909" ht="15.75" customHeight="1" s="195"/>
    <row r="910" ht="15.75" customHeight="1" s="195"/>
    <row r="911" ht="15.75" customHeight="1" s="195"/>
    <row r="912" ht="15.75" customHeight="1" s="195"/>
    <row r="913" ht="15.75" customHeight="1" s="195"/>
    <row r="914" ht="15.75" customHeight="1" s="195"/>
    <row r="915" ht="15.75" customHeight="1" s="195"/>
    <row r="916" ht="15.75" customHeight="1" s="195"/>
    <row r="917" ht="15.75" customHeight="1" s="195"/>
    <row r="918" ht="15.75" customHeight="1" s="195"/>
    <row r="919" ht="15.75" customHeight="1" s="195"/>
    <row r="920" ht="15.75" customHeight="1" s="195"/>
    <row r="921" ht="15.75" customHeight="1" s="195"/>
    <row r="922" ht="15.75" customHeight="1" s="195"/>
    <row r="923" ht="15.75" customHeight="1" s="195"/>
    <row r="924" ht="15.75" customHeight="1" s="195"/>
    <row r="925" ht="15.75" customHeight="1" s="195"/>
    <row r="926" ht="15.75" customHeight="1" s="195"/>
    <row r="927" ht="15.75" customHeight="1" s="195"/>
    <row r="928" ht="15.75" customHeight="1" s="195"/>
    <row r="929" ht="15.75" customHeight="1" s="195"/>
    <row r="930" ht="15.75" customHeight="1" s="195"/>
    <row r="931" ht="15.75" customHeight="1" s="195"/>
    <row r="932" ht="15.75" customHeight="1" s="195"/>
    <row r="933" ht="15.75" customHeight="1" s="195"/>
    <row r="934" ht="15.75" customHeight="1" s="195"/>
    <row r="935" ht="15.75" customHeight="1" s="195"/>
    <row r="936" ht="15.75" customHeight="1" s="195"/>
    <row r="937" ht="15.75" customHeight="1" s="195"/>
    <row r="938" ht="15.75" customHeight="1" s="195"/>
    <row r="939" ht="15.75" customHeight="1" s="195"/>
    <row r="940" ht="15.75" customHeight="1" s="195"/>
    <row r="941" ht="15.75" customHeight="1" s="195"/>
    <row r="942" ht="15.75" customHeight="1" s="195"/>
    <row r="943" ht="15.75" customHeight="1" s="195"/>
    <row r="944" ht="15.75" customHeight="1" s="195"/>
    <row r="945" ht="15.75" customHeight="1" s="195"/>
    <row r="946" ht="15.75" customHeight="1" s="195"/>
    <row r="947" ht="15.75" customHeight="1" s="195"/>
    <row r="948" ht="15.75" customHeight="1" s="195"/>
    <row r="949" ht="15.75" customHeight="1" s="195"/>
    <row r="950" ht="15.75" customHeight="1" s="195"/>
    <row r="951" ht="15.75" customHeight="1" s="195"/>
    <row r="952" ht="15.75" customHeight="1" s="195"/>
    <row r="953" ht="15.75" customHeight="1" s="195"/>
    <row r="954" ht="15.75" customHeight="1" s="195"/>
    <row r="955" ht="15.75" customHeight="1" s="195"/>
    <row r="956" ht="15.75" customHeight="1" s="195"/>
    <row r="957" ht="15.75" customHeight="1" s="195"/>
    <row r="958" ht="15.75" customHeight="1" s="195"/>
    <row r="959" ht="15.75" customHeight="1" s="195"/>
    <row r="960" ht="15.75" customHeight="1" s="195"/>
    <row r="961" ht="15.75" customHeight="1" s="195"/>
    <row r="962" ht="15.75" customHeight="1" s="195"/>
    <row r="963" ht="15.75" customHeight="1" s="195"/>
    <row r="964" ht="15.75" customHeight="1" s="195"/>
    <row r="965" ht="15.75" customHeight="1" s="195"/>
    <row r="966" ht="15.75" customHeight="1" s="195"/>
    <row r="967" ht="15.75" customHeight="1" s="195"/>
    <row r="968" ht="15.75" customHeight="1" s="195"/>
    <row r="969" ht="15.75" customHeight="1" s="195"/>
    <row r="970" ht="15.75" customHeight="1" s="195"/>
    <row r="971" ht="15.75" customHeight="1" s="195"/>
    <row r="972" ht="15.75" customHeight="1" s="195"/>
    <row r="973" ht="15.75" customHeight="1" s="195"/>
    <row r="974" ht="15.75" customHeight="1" s="195"/>
    <row r="975" ht="15.75" customHeight="1" s="195"/>
    <row r="976" ht="15.75" customHeight="1" s="195"/>
    <row r="977" ht="15.75" customHeight="1" s="195"/>
    <row r="978" ht="15.75" customHeight="1" s="195"/>
    <row r="979" ht="15.75" customHeight="1" s="195"/>
    <row r="980" ht="15.75" customHeight="1" s="195"/>
    <row r="981" ht="15.75" customHeight="1" s="195"/>
    <row r="982" ht="15.75" customHeight="1" s="195"/>
    <row r="983" ht="15.75" customHeight="1" s="195"/>
    <row r="984" ht="15.75" customHeight="1" s="195"/>
    <row r="985" ht="15.75" customHeight="1" s="195"/>
    <row r="986" ht="15.75" customHeight="1" s="195"/>
    <row r="987" ht="15.75" customHeight="1" s="195"/>
    <row r="988" ht="15.75" customHeight="1" s="195"/>
    <row r="989" ht="15.75" customHeight="1" s="195"/>
    <row r="990" ht="15.75" customHeight="1" s="195"/>
    <row r="991" ht="15.75" customHeight="1" s="195"/>
    <row r="992" ht="15.75" customHeight="1" s="195"/>
    <row r="993" ht="15.75" customHeight="1" s="195"/>
    <row r="994" ht="15.75" customHeight="1" s="195"/>
    <row r="995" ht="15.75" customHeight="1" s="195"/>
    <row r="996" ht="15.75" customHeight="1" s="195"/>
    <row r="997" ht="15.75" customHeight="1" s="195"/>
    <row r="998" ht="15.75" customHeight="1" s="195"/>
    <row r="999" ht="15.75" customHeight="1" s="195"/>
    <row r="1000" ht="15.75" customHeight="1" s="195"/>
  </sheetData>
  <mergeCells count="2">
    <mergeCell ref="A43:H4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S139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B9" activeCellId="0" sqref="B9"/>
    </sheetView>
  </sheetViews>
  <sheetFormatPr baseColWidth="8" defaultColWidth="14.43359375" defaultRowHeight="15" zeroHeight="0" outlineLevelRow="0"/>
  <cols>
    <col width="5" customWidth="1" style="194" min="1" max="1"/>
    <col width="7.29" customWidth="1" style="194" min="2" max="2"/>
    <col width="37" customWidth="1" style="194" min="3" max="3"/>
    <col width="14" customWidth="1" style="194" min="4" max="6"/>
    <col width="10" customWidth="1" style="194" min="7" max="7"/>
    <col width="12" customWidth="1" style="194" min="8" max="8"/>
    <col width="26" customWidth="1" style="194" min="9" max="9"/>
    <col width="12" customWidth="1" style="194" min="10" max="10"/>
    <col width="22.29" customWidth="1" style="194" min="11" max="11"/>
    <col width="25.43" customWidth="1" style="194" min="12" max="12"/>
    <col hidden="1" width="12" customWidth="1" style="194" min="13" max="13"/>
    <col width="22" customWidth="1" style="194" min="14" max="14"/>
    <col width="8.710000000000001" customWidth="1" style="194" min="15" max="19"/>
  </cols>
  <sheetData>
    <row r="1" ht="30" customHeight="1" s="195">
      <c r="A1" s="283" t="inlineStr">
        <is>
          <t>DETALLE DE COMBUSTIBLE PENDIENTE DE ENTREGA POR IPRESS - 2026</t>
        </is>
      </c>
      <c r="M1" s="284" t="n"/>
      <c r="N1" s="284" t="n"/>
      <c r="O1" s="284" t="n"/>
      <c r="P1" s="284" t="n"/>
      <c r="Q1" s="284" t="n"/>
      <c r="R1" s="284" t="n"/>
      <c r="S1" s="284" t="n"/>
    </row>
    <row r="2" ht="18" customHeight="1" s="195">
      <c r="A2" s="285" t="inlineStr">
        <is>
          <t>Se actualiza automáticamente — Al completar FECHA ENTREGA + OFICIO + O/C desaparece solo</t>
        </is>
      </c>
      <c r="M2" s="284" t="n"/>
      <c r="N2" s="284" t="n"/>
      <c r="O2" s="284" t="n"/>
      <c r="P2" s="284" t="n"/>
      <c r="Q2" s="284" t="n"/>
      <c r="R2" s="284" t="n"/>
      <c r="S2" s="284" t="n"/>
    </row>
    <row r="3" ht="30" customHeight="1" s="195">
      <c r="A3" s="286" t="inlineStr">
        <is>
          <t>🔍 SELECCIONAR IPRESS:</t>
        </is>
      </c>
      <c r="E3" s="287" t="inlineStr">
        <is>
          <t>OMIA</t>
        </is>
      </c>
      <c r="K3" s="288" t="n"/>
      <c r="L3" s="284" t="n"/>
      <c r="M3" s="284" t="n"/>
      <c r="N3" s="284" t="n"/>
      <c r="O3" s="284" t="n"/>
      <c r="P3" s="284" t="n"/>
      <c r="Q3" s="284" t="n"/>
      <c r="R3" s="284" t="n"/>
      <c r="S3" s="284" t="n"/>
    </row>
    <row r="4" ht="3.75" customHeight="1" s="195">
      <c r="A4" s="289" t="n"/>
      <c r="B4" s="289" t="n"/>
      <c r="C4" s="289" t="n"/>
      <c r="D4" s="289" t="n"/>
      <c r="E4" s="289" t="n"/>
      <c r="F4" s="289" t="n"/>
      <c r="G4" s="289" t="n"/>
      <c r="H4" s="289" t="n"/>
      <c r="I4" s="289" t="n"/>
      <c r="J4" s="289" t="n"/>
      <c r="K4" s="289" t="n"/>
      <c r="L4" s="289" t="n"/>
      <c r="M4" s="284" t="n"/>
      <c r="N4" s="284" t="n"/>
      <c r="O4" s="284" t="n"/>
      <c r="P4" s="284" t="n"/>
      <c r="Q4" s="284" t="n"/>
      <c r="R4" s="284" t="n"/>
      <c r="S4" s="284" t="n"/>
    </row>
    <row r="5" ht="30" customHeight="1" s="195">
      <c r="A5" s="290" t="inlineStr">
        <is>
          <t>⛽ TOTAL GAL. PETRÓLEO:</t>
        </is>
      </c>
      <c r="C5" s="291">
        <f>IF($E$3="-- TODOS --",IFERROR(SUMPRODUCT((_PENDIENTES!$F$2:$F$1261="PETROLEO")*(_PENDIENTES!$G$2:$G$1261)),0),IFERROR(SUMPRODUCT((_PENDIENTES!$B$2:$B$1261=$E$3)*(_PENDIENTES!$F$2:$F$1261="PETROLEO")*(_PENDIENTES!$G$2:$G$1261)),0))</f>
        <v/>
      </c>
      <c r="E5" s="292" t="inlineStr">
        <is>
          <t>⛽ TOTAL GAL. GASOLINA:</t>
        </is>
      </c>
      <c r="G5" s="293">
        <f>IF($E$3="-- TODOS --",IFERROR(SUMPRODUCT((_PENDIENTES!$F$2:$F$1261="GASOLINA")*(_PENDIENTES!$G$2:$G$1261)),0),IFERROR(SUMPRODUCT((_PENDIENTES!$B$2:$B$1261=$E$3)*(_PENDIENTES!$F$2:$F$1261="GASOLINA")*(_PENDIENTES!$G$2:$G$1261)),0))</f>
        <v/>
      </c>
      <c r="I5" s="294" t="inlineStr">
        <is>
          <t>💰 TOTAL SOLES S/.:</t>
        </is>
      </c>
      <c r="K5" s="295">
        <f>IF($E$3="-- TODOS --",IFERROR(SUM(_PENDIENTES!$H$2:$H$1261),0),IFERROR(SUMPRODUCT((_PENDIENTES!$B$2:$B$1261=$E$3)*(_PENDIENTES!$H$2:$H$1261)),0))</f>
        <v/>
      </c>
      <c r="M5" s="284" t="n"/>
      <c r="N5" s="284" t="n"/>
      <c r="O5" s="284" t="n"/>
      <c r="P5" s="284" t="n"/>
      <c r="Q5" s="284" t="n"/>
      <c r="R5" s="284" t="n"/>
      <c r="S5" s="284" t="n"/>
    </row>
    <row r="6" ht="3.75" customHeight="1" s="195">
      <c r="A6" s="296" t="n"/>
      <c r="B6" s="289" t="n"/>
      <c r="C6" s="289" t="n"/>
      <c r="D6" s="289" t="n"/>
      <c r="E6" s="289" t="n"/>
      <c r="F6" s="289" t="n"/>
      <c r="G6" s="289" t="n"/>
      <c r="H6" s="289" t="n"/>
      <c r="I6" s="289" t="n"/>
      <c r="J6" s="289" t="n"/>
      <c r="K6" s="289" t="n"/>
      <c r="L6" s="289" t="n"/>
      <c r="M6" s="280" t="n"/>
      <c r="N6" s="284" t="n"/>
      <c r="O6" s="284" t="n"/>
      <c r="P6" s="284" t="n"/>
      <c r="Q6" s="284" t="n"/>
      <c r="R6" s="284" t="n"/>
      <c r="S6" s="284" t="n"/>
    </row>
    <row r="7" ht="27.75" customHeight="1" s="195">
      <c r="A7" s="297" t="inlineStr">
        <is>
          <t>N°</t>
        </is>
      </c>
      <c r="B7" s="297" t="inlineStr">
        <is>
          <t>MES</t>
        </is>
      </c>
      <c r="C7" s="297" t="inlineStr">
        <is>
          <t>AFILIADO</t>
        </is>
      </c>
      <c r="D7" s="297" t="inlineStr">
        <is>
          <t>NRO DOC</t>
        </is>
      </c>
      <c r="E7" s="297" t="inlineStr">
        <is>
          <t>FECHA</t>
        </is>
      </c>
      <c r="F7" s="297" t="inlineStr">
        <is>
          <t>TIPO</t>
        </is>
      </c>
      <c r="G7" s="297" t="inlineStr">
        <is>
          <t>GALONES</t>
        </is>
      </c>
      <c r="H7" s="297" t="inlineStr">
        <is>
          <t>TOTAL S/.</t>
        </is>
      </c>
      <c r="I7" s="297" t="inlineStr">
        <is>
          <t>CONDUCTOR</t>
        </is>
      </c>
      <c r="J7" s="297" t="inlineStr">
        <is>
          <t>PLACA</t>
        </is>
      </c>
      <c r="K7" s="297" t="inlineStr">
        <is>
          <t>ESTADO</t>
        </is>
      </c>
      <c r="L7" s="298" t="inlineStr">
        <is>
          <t>ENTREGAR /
DEVOLVER</t>
        </is>
      </c>
      <c r="M7" s="299" t="inlineStr">
        <is>
          <t>IPRESS_KEY</t>
        </is>
      </c>
      <c r="N7" s="300" t="inlineStr">
        <is>
          <t>IPRESS
ORIGEN</t>
        </is>
      </c>
      <c r="O7" s="284" t="n"/>
      <c r="P7" s="284" t="n"/>
      <c r="Q7" s="284" t="n"/>
      <c r="R7" s="284" t="n"/>
      <c r="S7" s="284" t="n"/>
    </row>
    <row r="8" hidden="1" ht="15.75" customHeight="1" s="195">
      <c r="A8" s="301">
        <f>IF(_PENDIENTES!$B$2&lt;&gt;"",1,"")</f>
        <v/>
      </c>
      <c r="B8" s="242">
        <f>IF(_PENDIENTES!$B$2&lt;&gt;"",_PENDIENTES!$A$2,"")</f>
        <v/>
      </c>
      <c r="C8" s="302">
        <f>IF(_PENDIENTES!$B$2&lt;&gt;"",_PENDIENTES!$C$2,"")</f>
        <v/>
      </c>
      <c r="D8" s="301">
        <f>IF(_PENDIENTES!$B$2&lt;&gt;"",_PENDIENTES!$D$2,"")</f>
        <v/>
      </c>
      <c r="E8" s="301">
        <f>IF(_PENDIENTES!$B$2&lt;&gt;"",_PENDIENTES!$E$2,"")</f>
        <v/>
      </c>
      <c r="F8" s="301">
        <f>IF(_PENDIENTES!$B$2&lt;&gt;"",_PENDIENTES!$F$2,"")</f>
        <v/>
      </c>
      <c r="G8" s="245">
        <f>IF(_PENDIENTES!$B$2&lt;&gt;"",_PENDIENTES!$G$2,"")</f>
        <v/>
      </c>
      <c r="H8" s="245">
        <f>IF(_PENDIENTES!$B$2&lt;&gt;"",_PENDIENTES!$H$2,"")</f>
        <v/>
      </c>
      <c r="I8" s="303">
        <f>IF(_PENDIENTES!$B$2&lt;&gt;"",_PENDIENTES!$I$2,"")</f>
        <v/>
      </c>
      <c r="J8" s="245">
        <f>IF(_PENDIENTES!$B$2&lt;&gt;"",_PENDIENTES!$J$2,"")</f>
        <v/>
      </c>
      <c r="K8" s="301">
        <f>IF(_PENDIENTES!$B$2&lt;&gt;"","POR RECOGER","")</f>
        <v/>
      </c>
      <c r="L8" s="302">
        <f>IF(_PENDIENTES!$B$2&lt;&gt;"",_PENDIENTES!$K$2,"")</f>
        <v/>
      </c>
      <c r="M8" s="280">
        <f>IF(_PENDIENTES!$B$2&lt;&gt;"",_PENDIENTES!$B$2,"")</f>
        <v/>
      </c>
      <c r="N8" s="304">
        <f>IF(_PENDIENTES!$B$2&lt;&gt;"",_PENDIENTES!$L$2,"")</f>
        <v/>
      </c>
      <c r="O8" s="284" t="n"/>
      <c r="P8" s="284" t="n"/>
      <c r="Q8" s="284" t="n"/>
      <c r="R8" s="284" t="n"/>
      <c r="S8" s="284" t="n"/>
    </row>
    <row r="9" hidden="1" ht="15.75" customHeight="1" s="195">
      <c r="A9" s="241">
        <f>IF(_PENDIENTES!$B$3&lt;&gt;"",2,"")</f>
        <v/>
      </c>
      <c r="B9" s="236">
        <f>IF(_PENDIENTES!$B$3&lt;&gt;"",_PENDIENTES!$A$3,"")</f>
        <v/>
      </c>
      <c r="C9" s="305">
        <f>IF(_PENDIENTES!$B$3&lt;&gt;"",_PENDIENTES!$C$3,"")</f>
        <v/>
      </c>
      <c r="D9" s="241">
        <f>IF(_PENDIENTES!$B$3&lt;&gt;"",_PENDIENTES!$D$3,"")</f>
        <v/>
      </c>
      <c r="E9" s="241">
        <f>IF(_PENDIENTES!$B$3&lt;&gt;"",_PENDIENTES!$E$3,"")</f>
        <v/>
      </c>
      <c r="F9" s="241">
        <f>IF(_PENDIENTES!$B$3&lt;&gt;"",_PENDIENTES!$F$3,"")</f>
        <v/>
      </c>
      <c r="G9" s="239">
        <f>IF(_PENDIENTES!$B$3&lt;&gt;"",_PENDIENTES!$G$3,"")</f>
        <v/>
      </c>
      <c r="H9" s="239">
        <f>IF(_PENDIENTES!$B$3&lt;&gt;"",_PENDIENTES!$H$3,"")</f>
        <v/>
      </c>
      <c r="I9" s="305">
        <f>IF(_PENDIENTES!$B$3&lt;&gt;"",_PENDIENTES!$I$3,"")</f>
        <v/>
      </c>
      <c r="J9" s="241">
        <f>IF(_PENDIENTES!$B$3&lt;&gt;"",_PENDIENTES!$J$3,"")</f>
        <v/>
      </c>
      <c r="K9" s="241">
        <f>IF(_PENDIENTES!$B$3&lt;&gt;"","POR RECOGER","")</f>
        <v/>
      </c>
      <c r="L9" s="305">
        <f>IF(_PENDIENTES!$B$3&lt;&gt;"",_PENDIENTES!$K$3,"")</f>
        <v/>
      </c>
      <c r="M9" s="280">
        <f>IF(_PENDIENTES!$B$3&lt;&gt;"",_PENDIENTES!$B$3,"")</f>
        <v/>
      </c>
      <c r="N9" s="304">
        <f>IF(_PENDIENTES!$B$3&lt;&gt;"",_PENDIENTES!$L$3,"")</f>
        <v/>
      </c>
      <c r="O9" s="284" t="n"/>
      <c r="P9" s="284" t="n"/>
      <c r="Q9" s="284" t="n"/>
      <c r="R9" s="284" t="n"/>
      <c r="S9" s="284" t="n"/>
    </row>
    <row r="10" hidden="1" ht="15.75" customHeight="1" s="195">
      <c r="A10" s="301">
        <f>IF(_PENDIENTES!$B$4&lt;&gt;"",3,"")</f>
        <v/>
      </c>
      <c r="B10" s="242">
        <f>IF(_PENDIENTES!$B$4&lt;&gt;"",_PENDIENTES!$A$4,"")</f>
        <v/>
      </c>
      <c r="C10" s="302">
        <f>IF(_PENDIENTES!$B$4&lt;&gt;"",_PENDIENTES!$C$4,"")</f>
        <v/>
      </c>
      <c r="D10" s="301">
        <f>IF(_PENDIENTES!$B$4&lt;&gt;"",_PENDIENTES!$D$4,"")</f>
        <v/>
      </c>
      <c r="E10" s="306">
        <f>IF(_PENDIENTES!$B$4&lt;&gt;"",_PENDIENTES!$E$4,"")</f>
        <v/>
      </c>
      <c r="F10" s="301">
        <f>IF(_PENDIENTES!$B$4&lt;&gt;"",_PENDIENTES!$F$4,"")</f>
        <v/>
      </c>
      <c r="G10" s="245">
        <f>IF(_PENDIENTES!$B$4&lt;&gt;"",_PENDIENTES!$G$4,"")</f>
        <v/>
      </c>
      <c r="H10" s="245">
        <f>IF(_PENDIENTES!$B$4&lt;&gt;"",_PENDIENTES!$H$4,"")</f>
        <v/>
      </c>
      <c r="I10" s="303">
        <f>IF(_PENDIENTES!$B$4&lt;&gt;"",_PENDIENTES!$I$4,"")</f>
        <v/>
      </c>
      <c r="J10" s="245">
        <f>IF(_PENDIENTES!$B$4&lt;&gt;"",_PENDIENTES!$J$4,"")</f>
        <v/>
      </c>
      <c r="K10" s="301">
        <f>IF(_PENDIENTES!$B$4&lt;&gt;"","POR RECOGER","")</f>
        <v/>
      </c>
      <c r="L10" s="302">
        <f>IF(_PENDIENTES!$B$4&lt;&gt;"",_PENDIENTES!$K$4,"")</f>
        <v/>
      </c>
      <c r="M10" s="280">
        <f>IF(_PENDIENTES!$B$4&lt;&gt;"",_PENDIENTES!$B$4,"")</f>
        <v/>
      </c>
      <c r="N10" s="304">
        <f>IF(_PENDIENTES!$B$4&lt;&gt;"",_PENDIENTES!$L$4,"")</f>
        <v/>
      </c>
      <c r="O10" s="284" t="n"/>
      <c r="P10" s="284" t="n"/>
      <c r="Q10" s="284" t="n"/>
      <c r="R10" s="284" t="n"/>
      <c r="S10" s="284" t="n"/>
    </row>
    <row r="11" hidden="1" ht="15.75" customHeight="1" s="195">
      <c r="A11" s="241">
        <f>IF(_PENDIENTES!$B$5&lt;&gt;"",4,"")</f>
        <v/>
      </c>
      <c r="B11" s="236">
        <f>IF(_PENDIENTES!$B$5&lt;&gt;"",_PENDIENTES!$A$5,"")</f>
        <v/>
      </c>
      <c r="C11" s="305">
        <f>IF(_PENDIENTES!$B$5&lt;&gt;"",_PENDIENTES!$C$5,"")</f>
        <v/>
      </c>
      <c r="D11" s="241">
        <f>IF(_PENDIENTES!$B$5&lt;&gt;"",_PENDIENTES!$D$5,"")</f>
        <v/>
      </c>
      <c r="E11" s="307">
        <f>IF(_PENDIENTES!$B$5&lt;&gt;"",_PENDIENTES!$E$5,"")</f>
        <v/>
      </c>
      <c r="F11" s="241">
        <f>IF(_PENDIENTES!$B$5&lt;&gt;"",_PENDIENTES!$F$5,"")</f>
        <v/>
      </c>
      <c r="G11" s="239">
        <f>IF(_PENDIENTES!$B$5&lt;&gt;"",_PENDIENTES!$G$5,"")</f>
        <v/>
      </c>
      <c r="H11" s="239">
        <f>IF(_PENDIENTES!$B$5&lt;&gt;"",_PENDIENTES!$H$5,"")</f>
        <v/>
      </c>
      <c r="I11" s="308">
        <f>IF(_PENDIENTES!$B$5&lt;&gt;"",_PENDIENTES!$I$5,"")</f>
        <v/>
      </c>
      <c r="J11" s="239">
        <f>IF(_PENDIENTES!$B$5&lt;&gt;"",_PENDIENTES!$J$5,"")</f>
        <v/>
      </c>
      <c r="K11" s="241">
        <f>IF(_PENDIENTES!$B$5&lt;&gt;"","POR RECOGER","")</f>
        <v/>
      </c>
      <c r="L11" s="305">
        <f>IF(_PENDIENTES!$B$5&lt;&gt;"",_PENDIENTES!$K$5,"")</f>
        <v/>
      </c>
      <c r="M11" s="280">
        <f>IF(_PENDIENTES!$B$5&lt;&gt;"",_PENDIENTES!$B$5,"")</f>
        <v/>
      </c>
      <c r="N11" s="304">
        <f>IF(_PENDIENTES!$B$5&lt;&gt;"",_PENDIENTES!$L$5,"")</f>
        <v/>
      </c>
      <c r="O11" s="284" t="n"/>
      <c r="P11" s="284" t="n"/>
      <c r="Q11" s="284" t="n"/>
      <c r="R11" s="284" t="n"/>
      <c r="S11" s="284" t="n"/>
    </row>
    <row r="12" hidden="1" ht="15.75" customHeight="1" s="195">
      <c r="A12" s="301">
        <f>IF(_PENDIENTES!$B$6&lt;&gt;"",5,"")</f>
        <v/>
      </c>
      <c r="B12" s="242">
        <f>IF(_PENDIENTES!$B$6&lt;&gt;"",_PENDIENTES!$A$6,"")</f>
        <v/>
      </c>
      <c r="C12" s="302">
        <f>IF(_PENDIENTES!$B$6&lt;&gt;"",_PENDIENTES!$C$6,"")</f>
        <v/>
      </c>
      <c r="D12" s="301">
        <f>IF(_PENDIENTES!$B$6&lt;&gt;"",_PENDIENTES!$D$6,"")</f>
        <v/>
      </c>
      <c r="E12" s="306">
        <f>IF(_PENDIENTES!$B$6&lt;&gt;"",_PENDIENTES!$E$6,"")</f>
        <v/>
      </c>
      <c r="F12" s="301">
        <f>IF(_PENDIENTES!$B$6&lt;&gt;"",_PENDIENTES!$F$6,"")</f>
        <v/>
      </c>
      <c r="G12" s="245">
        <f>IF(_PENDIENTES!$B$6&lt;&gt;"",_PENDIENTES!$G$6,"")</f>
        <v/>
      </c>
      <c r="H12" s="245">
        <f>IF(_PENDIENTES!$B$6&lt;&gt;"",_PENDIENTES!$H$6,"")</f>
        <v/>
      </c>
      <c r="I12" s="303">
        <f>IF(_PENDIENTES!$B$6&lt;&gt;"",_PENDIENTES!$I$6,"")</f>
        <v/>
      </c>
      <c r="J12" s="245">
        <f>IF(_PENDIENTES!$B$6&lt;&gt;"",_PENDIENTES!$J$6,"")</f>
        <v/>
      </c>
      <c r="K12" s="301">
        <f>IF(_PENDIENTES!$B$6&lt;&gt;"","POR RECOGER","")</f>
        <v/>
      </c>
      <c r="L12" s="302">
        <f>IF(_PENDIENTES!$B$6&lt;&gt;"",_PENDIENTES!$K$6,"")</f>
        <v/>
      </c>
      <c r="M12" s="280">
        <f>IF(_PENDIENTES!$B$6&lt;&gt;"",_PENDIENTES!$B$6,"")</f>
        <v/>
      </c>
      <c r="N12" s="304">
        <f>IF(_PENDIENTES!$B$6&lt;&gt;"",_PENDIENTES!$L$6,"")</f>
        <v/>
      </c>
      <c r="O12" s="284" t="n"/>
      <c r="P12" s="284" t="n"/>
      <c r="Q12" s="284" t="n"/>
      <c r="R12" s="284" t="n"/>
      <c r="S12" s="284" t="n"/>
    </row>
    <row r="13" hidden="1" ht="15.75" customHeight="1" s="195">
      <c r="A13" s="241">
        <f>IF(_PENDIENTES!$B$7&lt;&gt;"",6,"")</f>
        <v/>
      </c>
      <c r="B13" s="236">
        <f>IF(_PENDIENTES!$B$7&lt;&gt;"",_PENDIENTES!$A$7,"")</f>
        <v/>
      </c>
      <c r="C13" s="305">
        <f>IF(_PENDIENTES!$B$7&lt;&gt;"",_PENDIENTES!$C$7,"")</f>
        <v/>
      </c>
      <c r="D13" s="241">
        <f>IF(_PENDIENTES!$B$7&lt;&gt;"",_PENDIENTES!$D$7,"")</f>
        <v/>
      </c>
      <c r="E13" s="307">
        <f>IF(_PENDIENTES!$B$7&lt;&gt;"",_PENDIENTES!$E$7,"")</f>
        <v/>
      </c>
      <c r="F13" s="241">
        <f>IF(_PENDIENTES!$B$7&lt;&gt;"",_PENDIENTES!$F$7,"")</f>
        <v/>
      </c>
      <c r="G13" s="239">
        <f>IF(_PENDIENTES!$B$7&lt;&gt;"",_PENDIENTES!$G$7,"")</f>
        <v/>
      </c>
      <c r="H13" s="239">
        <f>IF(_PENDIENTES!$B$7&lt;&gt;"",_PENDIENTES!$H$7,"")</f>
        <v/>
      </c>
      <c r="I13" s="308">
        <f>IF(_PENDIENTES!$B$7&lt;&gt;"",_PENDIENTES!$I$7,"")</f>
        <v/>
      </c>
      <c r="J13" s="239">
        <f>IF(_PENDIENTES!$B$7&lt;&gt;"",_PENDIENTES!$J$7,"")</f>
        <v/>
      </c>
      <c r="K13" s="241">
        <f>IF(_PENDIENTES!$B$7&lt;&gt;"","POR RECOGER","")</f>
        <v/>
      </c>
      <c r="L13" s="305">
        <f>IF(_PENDIENTES!$B$7&lt;&gt;"",_PENDIENTES!$K$7,"")</f>
        <v/>
      </c>
      <c r="M13" s="280">
        <f>IF(_PENDIENTES!$B$7&lt;&gt;"",_PENDIENTES!$B$7,"")</f>
        <v/>
      </c>
      <c r="N13" s="304">
        <f>IF(_PENDIENTES!$B$7&lt;&gt;"",_PENDIENTES!$L$7,"")</f>
        <v/>
      </c>
      <c r="O13" s="284" t="n"/>
      <c r="P13" s="284" t="n"/>
      <c r="Q13" s="284" t="n"/>
      <c r="R13" s="284" t="n"/>
      <c r="S13" s="284" t="n"/>
    </row>
    <row r="14" hidden="1" ht="15.75" customHeight="1" s="195">
      <c r="A14" s="301">
        <f>IF(_PENDIENTES!$B$8&lt;&gt;"",7,"")</f>
        <v/>
      </c>
      <c r="B14" s="242">
        <f>IF(_PENDIENTES!$B$8&lt;&gt;"",_PENDIENTES!$A$8,"")</f>
        <v/>
      </c>
      <c r="C14" s="302">
        <f>IF(_PENDIENTES!$B$8&lt;&gt;"",_PENDIENTES!$C$8,"")</f>
        <v/>
      </c>
      <c r="D14" s="301">
        <f>IF(_PENDIENTES!$B$8&lt;&gt;"",_PENDIENTES!$D$8,"")</f>
        <v/>
      </c>
      <c r="E14" s="306">
        <f>IF(_PENDIENTES!$B$8&lt;&gt;"",_PENDIENTES!$E$8,"")</f>
        <v/>
      </c>
      <c r="F14" s="301">
        <f>IF(_PENDIENTES!$B$8&lt;&gt;"",_PENDIENTES!$F$8,"")</f>
        <v/>
      </c>
      <c r="G14" s="245">
        <f>IF(_PENDIENTES!$B$8&lt;&gt;"",_PENDIENTES!$G$8,"")</f>
        <v/>
      </c>
      <c r="H14" s="245">
        <f>IF(_PENDIENTES!$B$8&lt;&gt;"",_PENDIENTES!$H$8,"")</f>
        <v/>
      </c>
      <c r="I14" s="303">
        <f>IF(_PENDIENTES!$B$8&lt;&gt;"",_PENDIENTES!$I$8,"")</f>
        <v/>
      </c>
      <c r="J14" s="245">
        <f>IF(_PENDIENTES!$B$8&lt;&gt;"",_PENDIENTES!$J$8,"")</f>
        <v/>
      </c>
      <c r="K14" s="301">
        <f>IF(_PENDIENTES!$B$8&lt;&gt;"","POR RECOGER","")</f>
        <v/>
      </c>
      <c r="L14" s="302">
        <f>IF(_PENDIENTES!$B$8&lt;&gt;"",_PENDIENTES!$K$8,"")</f>
        <v/>
      </c>
      <c r="M14" s="280">
        <f>IF(_PENDIENTES!$B$8&lt;&gt;"",_PENDIENTES!$B$8,"")</f>
        <v/>
      </c>
      <c r="N14" s="304">
        <f>IF(_PENDIENTES!$B$8&lt;&gt;"",_PENDIENTES!$L$8,"")</f>
        <v/>
      </c>
      <c r="O14" s="284" t="n"/>
      <c r="P14" s="284" t="n"/>
      <c r="Q14" s="284" t="n"/>
      <c r="R14" s="284" t="n"/>
      <c r="S14" s="284" t="n"/>
    </row>
    <row r="15" hidden="1" ht="15.75" customHeight="1" s="195">
      <c r="A15" s="241">
        <f>IF(_PENDIENTES!$B$9&lt;&gt;"",8,"")</f>
        <v/>
      </c>
      <c r="B15" s="236">
        <f>IF(_PENDIENTES!$B$9&lt;&gt;"",_PENDIENTES!$A$9,"")</f>
        <v/>
      </c>
      <c r="C15" s="305">
        <f>IF(_PENDIENTES!$B$9&lt;&gt;"",_PENDIENTES!$C$9,"")</f>
        <v/>
      </c>
      <c r="D15" s="241">
        <f>IF(_PENDIENTES!$B$9&lt;&gt;"",_PENDIENTES!$D$9,"")</f>
        <v/>
      </c>
      <c r="E15" s="307">
        <f>IF(_PENDIENTES!$B$9&lt;&gt;"",_PENDIENTES!$E$9,"")</f>
        <v/>
      </c>
      <c r="F15" s="241">
        <f>IF(_PENDIENTES!$B$9&lt;&gt;"",_PENDIENTES!$F$9,"")</f>
        <v/>
      </c>
      <c r="G15" s="239">
        <f>IF(_PENDIENTES!$B$9&lt;&gt;"",_PENDIENTES!$G$9,"")</f>
        <v/>
      </c>
      <c r="H15" s="239">
        <f>IF(_PENDIENTES!$B$9&lt;&gt;"",_PENDIENTES!$H$9,"")</f>
        <v/>
      </c>
      <c r="I15" s="308">
        <f>IF(_PENDIENTES!$B$9&lt;&gt;"",_PENDIENTES!$I$9,"")</f>
        <v/>
      </c>
      <c r="J15" s="239">
        <f>IF(_PENDIENTES!$B$9&lt;&gt;"",_PENDIENTES!$J$9,"")</f>
        <v/>
      </c>
      <c r="K15" s="241">
        <f>IF(_PENDIENTES!$B$9&lt;&gt;"","POR RECOGER","")</f>
        <v/>
      </c>
      <c r="L15" s="305">
        <f>IF(_PENDIENTES!$B$9&lt;&gt;"",_PENDIENTES!$K$9,"")</f>
        <v/>
      </c>
      <c r="M15" s="280">
        <f>IF(_PENDIENTES!$B$9&lt;&gt;"",_PENDIENTES!$B$9,"")</f>
        <v/>
      </c>
      <c r="N15" s="304">
        <f>IF(_PENDIENTES!$B$9&lt;&gt;"",_PENDIENTES!$L$9,"")</f>
        <v/>
      </c>
      <c r="O15" s="284" t="n"/>
      <c r="P15" s="284" t="n"/>
      <c r="Q15" s="284" t="n"/>
      <c r="R15" s="284" t="n"/>
      <c r="S15" s="284" t="n"/>
    </row>
    <row r="16" hidden="1" ht="15.75" customHeight="1" s="195">
      <c r="A16" s="301">
        <f>IF(_PENDIENTES!$B$10&lt;&gt;"",9,"")</f>
        <v/>
      </c>
      <c r="B16" s="242">
        <f>IF(_PENDIENTES!$B$10&lt;&gt;"",_PENDIENTES!$A$10,"")</f>
        <v/>
      </c>
      <c r="C16" s="302">
        <f>IF(_PENDIENTES!$B$10&lt;&gt;"",_PENDIENTES!$C$10,"")</f>
        <v/>
      </c>
      <c r="D16" s="301">
        <f>IF(_PENDIENTES!$B$10&lt;&gt;"",_PENDIENTES!$D$10,"")</f>
        <v/>
      </c>
      <c r="E16" s="306">
        <f>IF(_PENDIENTES!$B$10&lt;&gt;"",_PENDIENTES!$E$10,"")</f>
        <v/>
      </c>
      <c r="F16" s="301">
        <f>IF(_PENDIENTES!$B$10&lt;&gt;"",_PENDIENTES!$F$10,"")</f>
        <v/>
      </c>
      <c r="G16" s="245">
        <f>IF(_PENDIENTES!$B$10&lt;&gt;"",_PENDIENTES!$G$10,"")</f>
        <v/>
      </c>
      <c r="H16" s="245">
        <f>IF(_PENDIENTES!$B$10&lt;&gt;"",_PENDIENTES!$H$10,"")</f>
        <v/>
      </c>
      <c r="I16" s="303">
        <f>IF(_PENDIENTES!$B$10&lt;&gt;"",_PENDIENTES!$I$10,"")</f>
        <v/>
      </c>
      <c r="J16" s="245">
        <f>IF(_PENDIENTES!$B$10&lt;&gt;"",_PENDIENTES!$J$10,"")</f>
        <v/>
      </c>
      <c r="K16" s="301">
        <f>IF(_PENDIENTES!$B$10&lt;&gt;"","POR RECOGER","")</f>
        <v/>
      </c>
      <c r="L16" s="302">
        <f>IF(_PENDIENTES!$B$10&lt;&gt;"",_PENDIENTES!$K$10,"")</f>
        <v/>
      </c>
      <c r="M16" s="280">
        <f>IF(_PENDIENTES!$B$10&lt;&gt;"",_PENDIENTES!$B$10,"")</f>
        <v/>
      </c>
      <c r="N16" s="304">
        <f>IF(_PENDIENTES!$B$10&lt;&gt;"",_PENDIENTES!$L$10,"")</f>
        <v/>
      </c>
      <c r="O16" s="284" t="n"/>
      <c r="P16" s="284" t="n"/>
      <c r="Q16" s="284" t="n"/>
      <c r="R16" s="284" t="n"/>
      <c r="S16" s="284" t="n"/>
    </row>
    <row r="17" hidden="1" ht="15.75" customHeight="1" s="195">
      <c r="A17" s="241">
        <f>IF(_PENDIENTES!$B$11&lt;&gt;"",10,"")</f>
        <v/>
      </c>
      <c r="B17" s="236">
        <f>IF(_PENDIENTES!$B$11&lt;&gt;"",_PENDIENTES!$A$11,"")</f>
        <v/>
      </c>
      <c r="C17" s="305">
        <f>IF(_PENDIENTES!$B$11&lt;&gt;"",_PENDIENTES!$C$11,"")</f>
        <v/>
      </c>
      <c r="D17" s="241">
        <f>IF(_PENDIENTES!$B$11&lt;&gt;"",_PENDIENTES!$D$11,"")</f>
        <v/>
      </c>
      <c r="E17" s="307">
        <f>IF(_PENDIENTES!$B$11&lt;&gt;"",_PENDIENTES!$E$11,"")</f>
        <v/>
      </c>
      <c r="F17" s="241">
        <f>IF(_PENDIENTES!$B$11&lt;&gt;"",_PENDIENTES!$F$11,"")</f>
        <v/>
      </c>
      <c r="G17" s="239">
        <f>IF(_PENDIENTES!$B$11&lt;&gt;"",_PENDIENTES!$G$11,"")</f>
        <v/>
      </c>
      <c r="H17" s="239">
        <f>IF(_PENDIENTES!$B$11&lt;&gt;"",_PENDIENTES!$H$11,"")</f>
        <v/>
      </c>
      <c r="I17" s="308">
        <f>IF(_PENDIENTES!$B$11&lt;&gt;"",_PENDIENTES!$I$11,"")</f>
        <v/>
      </c>
      <c r="J17" s="239">
        <f>IF(_PENDIENTES!$B$11&lt;&gt;"",_PENDIENTES!$J$11,"")</f>
        <v/>
      </c>
      <c r="K17" s="241">
        <f>IF(_PENDIENTES!$B$11&lt;&gt;"","POR RECOGER","")</f>
        <v/>
      </c>
      <c r="L17" s="305">
        <f>IF(_PENDIENTES!$B$11&lt;&gt;"",_PENDIENTES!$K$11,"")</f>
        <v/>
      </c>
      <c r="M17" s="280">
        <f>IF(_PENDIENTES!$B$11&lt;&gt;"",_PENDIENTES!$B$11,"")</f>
        <v/>
      </c>
      <c r="N17" s="304">
        <f>IF(_PENDIENTES!$B$11&lt;&gt;"",_PENDIENTES!$L$11,"")</f>
        <v/>
      </c>
      <c r="O17" s="284" t="n"/>
      <c r="P17" s="284" t="n"/>
      <c r="Q17" s="284" t="n"/>
      <c r="R17" s="284" t="n"/>
      <c r="S17" s="284" t="n"/>
    </row>
    <row r="18" hidden="1" ht="15.75" customHeight="1" s="195">
      <c r="A18" s="301">
        <f>IF(_PENDIENTES!$B$12&lt;&gt;"",11,"")</f>
        <v/>
      </c>
      <c r="B18" s="242">
        <f>IF(_PENDIENTES!$B$12&lt;&gt;"",_PENDIENTES!$A$12,"")</f>
        <v/>
      </c>
      <c r="C18" s="302">
        <f>IF(_PENDIENTES!$B$12&lt;&gt;"",_PENDIENTES!$C$12,"")</f>
        <v/>
      </c>
      <c r="D18" s="301">
        <f>IF(_PENDIENTES!$B$12&lt;&gt;"",_PENDIENTES!$D$12,"")</f>
        <v/>
      </c>
      <c r="E18" s="306">
        <f>IF(_PENDIENTES!$B$12&lt;&gt;"",_PENDIENTES!$E$12,"")</f>
        <v/>
      </c>
      <c r="F18" s="301">
        <f>IF(_PENDIENTES!$B$12&lt;&gt;"",_PENDIENTES!$F$12,"")</f>
        <v/>
      </c>
      <c r="G18" s="245">
        <f>IF(_PENDIENTES!$B$12&lt;&gt;"",_PENDIENTES!$G$12,"")</f>
        <v/>
      </c>
      <c r="H18" s="245">
        <f>IF(_PENDIENTES!$B$12&lt;&gt;"",_PENDIENTES!$H$12,"")</f>
        <v/>
      </c>
      <c r="I18" s="303">
        <f>IF(_PENDIENTES!$B$12&lt;&gt;"",_PENDIENTES!$I$12,"")</f>
        <v/>
      </c>
      <c r="J18" s="245">
        <f>IF(_PENDIENTES!$B$12&lt;&gt;"",_PENDIENTES!$J$12,"")</f>
        <v/>
      </c>
      <c r="K18" s="301">
        <f>IF(_PENDIENTES!$B$12&lt;&gt;"","POR RECOGER","")</f>
        <v/>
      </c>
      <c r="L18" s="302">
        <f>IF(_PENDIENTES!$B$12&lt;&gt;"",_PENDIENTES!$K$12,"")</f>
        <v/>
      </c>
      <c r="M18" s="280">
        <f>IF(_PENDIENTES!$B$12&lt;&gt;"",_PENDIENTES!$B$12,"")</f>
        <v/>
      </c>
      <c r="N18" s="304">
        <f>IF(_PENDIENTES!$B$12&lt;&gt;"",_PENDIENTES!$L$12,"")</f>
        <v/>
      </c>
      <c r="O18" s="284" t="n"/>
      <c r="P18" s="284" t="n"/>
      <c r="Q18" s="284" t="n"/>
      <c r="R18" s="284" t="n"/>
      <c r="S18" s="284" t="n"/>
    </row>
    <row r="19" hidden="1" ht="15.75" customHeight="1" s="195">
      <c r="A19" s="241">
        <f>IF(_PENDIENTES!$B$13&lt;&gt;"",12,"")</f>
        <v/>
      </c>
      <c r="B19" s="236">
        <f>IF(_PENDIENTES!$B$13&lt;&gt;"",_PENDIENTES!$A$13,"")</f>
        <v/>
      </c>
      <c r="C19" s="305">
        <f>IF(_PENDIENTES!$B$13&lt;&gt;"",_PENDIENTES!$C$13,"")</f>
        <v/>
      </c>
      <c r="D19" s="241">
        <f>IF(_PENDIENTES!$B$13&lt;&gt;"",_PENDIENTES!$D$13,"")</f>
        <v/>
      </c>
      <c r="E19" s="307">
        <f>IF(_PENDIENTES!$B$13&lt;&gt;"",_PENDIENTES!$E$13,"")</f>
        <v/>
      </c>
      <c r="F19" s="241">
        <f>IF(_PENDIENTES!$B$13&lt;&gt;"",_PENDIENTES!$F$13,"")</f>
        <v/>
      </c>
      <c r="G19" s="239">
        <f>IF(_PENDIENTES!$B$13&lt;&gt;"",_PENDIENTES!$G$13,"")</f>
        <v/>
      </c>
      <c r="H19" s="239">
        <f>IF(_PENDIENTES!$B$13&lt;&gt;"",_PENDIENTES!$H$13,"")</f>
        <v/>
      </c>
      <c r="I19" s="308">
        <f>IF(_PENDIENTES!$B$13&lt;&gt;"",_PENDIENTES!$I$13,"")</f>
        <v/>
      </c>
      <c r="J19" s="239">
        <f>IF(_PENDIENTES!$B$13&lt;&gt;"",_PENDIENTES!$J$13,"")</f>
        <v/>
      </c>
      <c r="K19" s="241">
        <f>IF(_PENDIENTES!$B$13&lt;&gt;"","POR RECOGER","")</f>
        <v/>
      </c>
      <c r="L19" s="305">
        <f>IF(_PENDIENTES!$B$13&lt;&gt;"",_PENDIENTES!$K$13,"")</f>
        <v/>
      </c>
      <c r="M19" s="280">
        <f>IF(_PENDIENTES!$B$13&lt;&gt;"",_PENDIENTES!$B$13,"")</f>
        <v/>
      </c>
      <c r="N19" s="304">
        <f>IF(_PENDIENTES!$B$13&lt;&gt;"",_PENDIENTES!$L$13,"")</f>
        <v/>
      </c>
      <c r="O19" s="284" t="n"/>
      <c r="P19" s="284" t="n"/>
      <c r="Q19" s="284" t="n"/>
      <c r="R19" s="284" t="n"/>
      <c r="S19" s="284" t="n"/>
    </row>
    <row r="20" hidden="1" ht="15.75" customHeight="1" s="195">
      <c r="A20" s="301">
        <f>IF(_PENDIENTES!$B$14&lt;&gt;"",13,"")</f>
        <v/>
      </c>
      <c r="B20" s="242">
        <f>IF(_PENDIENTES!$B$14&lt;&gt;"",_PENDIENTES!$A$14,"")</f>
        <v/>
      </c>
      <c r="C20" s="302">
        <f>IF(_PENDIENTES!$B$14&lt;&gt;"",_PENDIENTES!$C$14,"")</f>
        <v/>
      </c>
      <c r="D20" s="301">
        <f>IF(_PENDIENTES!$B$14&lt;&gt;"",_PENDIENTES!$D$14,"")</f>
        <v/>
      </c>
      <c r="E20" s="306">
        <f>IF(_PENDIENTES!$B$14&lt;&gt;"",_PENDIENTES!$E$14,"")</f>
        <v/>
      </c>
      <c r="F20" s="301">
        <f>IF(_PENDIENTES!$B$14&lt;&gt;"",_PENDIENTES!$F$14,"")</f>
        <v/>
      </c>
      <c r="G20" s="245">
        <f>IF(_PENDIENTES!$B$14&lt;&gt;"",_PENDIENTES!$G$14,"")</f>
        <v/>
      </c>
      <c r="H20" s="245">
        <f>IF(_PENDIENTES!$B$14&lt;&gt;"",_PENDIENTES!$H$14,"")</f>
        <v/>
      </c>
      <c r="I20" s="303">
        <f>IF(_PENDIENTES!$B$14&lt;&gt;"",_PENDIENTES!$I$14,"")</f>
        <v/>
      </c>
      <c r="J20" s="245">
        <f>IF(_PENDIENTES!$B$14&lt;&gt;"",_PENDIENTES!$J$14,"")</f>
        <v/>
      </c>
      <c r="K20" s="301">
        <f>IF(_PENDIENTES!$B$14&lt;&gt;"","POR RECOGER","")</f>
        <v/>
      </c>
      <c r="L20" s="302">
        <f>IF(_PENDIENTES!$B$14&lt;&gt;"",_PENDIENTES!$K$14,"")</f>
        <v/>
      </c>
      <c r="M20" s="280">
        <f>IF(_PENDIENTES!$B$14&lt;&gt;"",_PENDIENTES!$B$14,"")</f>
        <v/>
      </c>
      <c r="N20" s="304">
        <f>IF(_PENDIENTES!$B$14&lt;&gt;"",_PENDIENTES!$L$14,"")</f>
        <v/>
      </c>
      <c r="O20" s="284" t="n"/>
      <c r="P20" s="284" t="n"/>
      <c r="Q20" s="284" t="n"/>
      <c r="R20" s="284" t="n"/>
      <c r="S20" s="284" t="n"/>
    </row>
    <row r="21" hidden="1" ht="15.75" customHeight="1" s="195">
      <c r="A21" s="241">
        <f>IF(_PENDIENTES!$B$15&lt;&gt;"",14,"")</f>
        <v/>
      </c>
      <c r="B21" s="236">
        <f>IF(_PENDIENTES!$B$15&lt;&gt;"",_PENDIENTES!$A$15,"")</f>
        <v/>
      </c>
      <c r="C21" s="305">
        <f>IF(_PENDIENTES!$B$15&lt;&gt;"",_PENDIENTES!$C$15,"")</f>
        <v/>
      </c>
      <c r="D21" s="241">
        <f>IF(_PENDIENTES!$B$15&lt;&gt;"",_PENDIENTES!$D$15,"")</f>
        <v/>
      </c>
      <c r="E21" s="307">
        <f>IF(_PENDIENTES!$B$15&lt;&gt;"",_PENDIENTES!$E$15,"")</f>
        <v/>
      </c>
      <c r="F21" s="241">
        <f>IF(_PENDIENTES!$B$15&lt;&gt;"",_PENDIENTES!$F$15,"")</f>
        <v/>
      </c>
      <c r="G21" s="239">
        <f>IF(_PENDIENTES!$B$15&lt;&gt;"",_PENDIENTES!$G$15,"")</f>
        <v/>
      </c>
      <c r="H21" s="239">
        <f>IF(_PENDIENTES!$B$15&lt;&gt;"",_PENDIENTES!$H$15,"")</f>
        <v/>
      </c>
      <c r="I21" s="308">
        <f>IF(_PENDIENTES!$B$15&lt;&gt;"",_PENDIENTES!$I$15,"")</f>
        <v/>
      </c>
      <c r="J21" s="239">
        <f>IF(_PENDIENTES!$B$15&lt;&gt;"",_PENDIENTES!$J$15,"")</f>
        <v/>
      </c>
      <c r="K21" s="241">
        <f>IF(_PENDIENTES!$B$15&lt;&gt;"","POR RECOGER","")</f>
        <v/>
      </c>
      <c r="L21" s="305">
        <f>IF(_PENDIENTES!$B$15&lt;&gt;"",_PENDIENTES!$K$15,"")</f>
        <v/>
      </c>
      <c r="M21" s="280">
        <f>IF(_PENDIENTES!$B$15&lt;&gt;"",_PENDIENTES!$B$15,"")</f>
        <v/>
      </c>
      <c r="N21" s="304">
        <f>IF(_PENDIENTES!$B$15&lt;&gt;"",_PENDIENTES!$L$15,"")</f>
        <v/>
      </c>
      <c r="O21" s="284" t="n"/>
      <c r="P21" s="284" t="n"/>
      <c r="Q21" s="284" t="n"/>
      <c r="R21" s="284" t="n"/>
      <c r="S21" s="284" t="n"/>
    </row>
    <row r="22" hidden="1" ht="15.75" customHeight="1" s="195">
      <c r="A22" s="301">
        <f>IF(_PENDIENTES!$B$16&lt;&gt;"",15,"")</f>
        <v/>
      </c>
      <c r="B22" s="242">
        <f>IF(_PENDIENTES!$B$16&lt;&gt;"",_PENDIENTES!$A$16,"")</f>
        <v/>
      </c>
      <c r="C22" s="302">
        <f>IF(_PENDIENTES!$B$16&lt;&gt;"",_PENDIENTES!$C$16,"")</f>
        <v/>
      </c>
      <c r="D22" s="301">
        <f>IF(_PENDIENTES!$B$16&lt;&gt;"",_PENDIENTES!$D$16,"")</f>
        <v/>
      </c>
      <c r="E22" s="306">
        <f>IF(_PENDIENTES!$B$16&lt;&gt;"",_PENDIENTES!$E$16,"")</f>
        <v/>
      </c>
      <c r="F22" s="301">
        <f>IF(_PENDIENTES!$B$16&lt;&gt;"",_PENDIENTES!$F$16,"")</f>
        <v/>
      </c>
      <c r="G22" s="245">
        <f>IF(_PENDIENTES!$B$16&lt;&gt;"",_PENDIENTES!$G$16,"")</f>
        <v/>
      </c>
      <c r="H22" s="245">
        <f>IF(_PENDIENTES!$B$16&lt;&gt;"",_PENDIENTES!$H$16,"")</f>
        <v/>
      </c>
      <c r="I22" s="303">
        <f>IF(_PENDIENTES!$B$16&lt;&gt;"",_PENDIENTES!$I$16,"")</f>
        <v/>
      </c>
      <c r="J22" s="245">
        <f>IF(_PENDIENTES!$B$16&lt;&gt;"",_PENDIENTES!$J$16,"")</f>
        <v/>
      </c>
      <c r="K22" s="301">
        <f>IF(_PENDIENTES!$B$16&lt;&gt;"","POR RECOGER","")</f>
        <v/>
      </c>
      <c r="L22" s="302">
        <f>IF(_PENDIENTES!$B$16&lt;&gt;"",_PENDIENTES!$K$16,"")</f>
        <v/>
      </c>
      <c r="M22" s="280">
        <f>IF(_PENDIENTES!$B$16&lt;&gt;"",_PENDIENTES!$B$16,"")</f>
        <v/>
      </c>
      <c r="N22" s="304">
        <f>IF(_PENDIENTES!$B$16&lt;&gt;"",_PENDIENTES!$L$16,"")</f>
        <v/>
      </c>
      <c r="O22" s="284" t="n"/>
      <c r="P22" s="284" t="n"/>
      <c r="Q22" s="284" t="n"/>
      <c r="R22" s="284" t="n"/>
      <c r="S22" s="284" t="n"/>
    </row>
    <row r="23" hidden="1" ht="15.75" customHeight="1" s="195">
      <c r="A23" s="241">
        <f>IF(_PENDIENTES!$B$17&lt;&gt;"",16,"")</f>
        <v/>
      </c>
      <c r="B23" s="236">
        <f>IF(_PENDIENTES!$B$17&lt;&gt;"",_PENDIENTES!$A$17,"")</f>
        <v/>
      </c>
      <c r="C23" s="305">
        <f>IF(_PENDIENTES!$B$17&lt;&gt;"",_PENDIENTES!$C$17,"")</f>
        <v/>
      </c>
      <c r="D23" s="241">
        <f>IF(_PENDIENTES!$B$17&lt;&gt;"",_PENDIENTES!$D$17,"")</f>
        <v/>
      </c>
      <c r="E23" s="307">
        <f>IF(_PENDIENTES!$B$17&lt;&gt;"",_PENDIENTES!$E$17,"")</f>
        <v/>
      </c>
      <c r="F23" s="241">
        <f>IF(_PENDIENTES!$B$17&lt;&gt;"",_PENDIENTES!$F$17,"")</f>
        <v/>
      </c>
      <c r="G23" s="239">
        <f>IF(_PENDIENTES!$B$17&lt;&gt;"",_PENDIENTES!$G$17,"")</f>
        <v/>
      </c>
      <c r="H23" s="239">
        <f>IF(_PENDIENTES!$B$17&lt;&gt;"",_PENDIENTES!$H$17,"")</f>
        <v/>
      </c>
      <c r="I23" s="308">
        <f>IF(_PENDIENTES!$B$17&lt;&gt;"",_PENDIENTES!$I$17,"")</f>
        <v/>
      </c>
      <c r="J23" s="239">
        <f>IF(_PENDIENTES!$B$17&lt;&gt;"",_PENDIENTES!$J$17,"")</f>
        <v/>
      </c>
      <c r="K23" s="241">
        <f>IF(_PENDIENTES!$B$17&lt;&gt;"","POR RECOGER","")</f>
        <v/>
      </c>
      <c r="L23" s="305">
        <f>IF(_PENDIENTES!$B$17&lt;&gt;"",_PENDIENTES!$K$17,"")</f>
        <v/>
      </c>
      <c r="M23" s="280">
        <f>IF(_PENDIENTES!$B$17&lt;&gt;"",_PENDIENTES!$B$17,"")</f>
        <v/>
      </c>
      <c r="N23" s="304">
        <f>IF(_PENDIENTES!$B$17&lt;&gt;"",_PENDIENTES!$L$17,"")</f>
        <v/>
      </c>
      <c r="O23" s="284" t="n"/>
      <c r="P23" s="284" t="n"/>
      <c r="Q23" s="284" t="n"/>
      <c r="R23" s="284" t="n"/>
      <c r="S23" s="284" t="n"/>
    </row>
    <row r="24" hidden="1" ht="15.75" customHeight="1" s="195">
      <c r="A24" s="301">
        <f>IF(_PENDIENTES!$B$18&lt;&gt;"",17,"")</f>
        <v/>
      </c>
      <c r="B24" s="242">
        <f>IF(_PENDIENTES!$B$18&lt;&gt;"",_PENDIENTES!$A$18,"")</f>
        <v/>
      </c>
      <c r="C24" s="302">
        <f>IF(_PENDIENTES!$B$18&lt;&gt;"",_PENDIENTES!$C$18,"")</f>
        <v/>
      </c>
      <c r="D24" s="301">
        <f>IF(_PENDIENTES!$B$18&lt;&gt;"",_PENDIENTES!$D$18,"")</f>
        <v/>
      </c>
      <c r="E24" s="306">
        <f>IF(_PENDIENTES!$B$18&lt;&gt;"",_PENDIENTES!$E$18,"")</f>
        <v/>
      </c>
      <c r="F24" s="301">
        <f>IF(_PENDIENTES!$B$18&lt;&gt;"",_PENDIENTES!$F$18,"")</f>
        <v/>
      </c>
      <c r="G24" s="245">
        <f>IF(_PENDIENTES!$B$18&lt;&gt;"",_PENDIENTES!$G$18,"")</f>
        <v/>
      </c>
      <c r="H24" s="245">
        <f>IF(_PENDIENTES!$B$18&lt;&gt;"",_PENDIENTES!$H$18,"")</f>
        <v/>
      </c>
      <c r="I24" s="303">
        <f>IF(_PENDIENTES!$B$18&lt;&gt;"",_PENDIENTES!$I$18,"")</f>
        <v/>
      </c>
      <c r="J24" s="245">
        <f>IF(_PENDIENTES!$B$18&lt;&gt;"",_PENDIENTES!$J$18,"")</f>
        <v/>
      </c>
      <c r="K24" s="301">
        <f>IF(_PENDIENTES!$B$18&lt;&gt;"","POR RECOGER","")</f>
        <v/>
      </c>
      <c r="L24" s="302">
        <f>IF(_PENDIENTES!$B$18&lt;&gt;"",_PENDIENTES!$K$18,"")</f>
        <v/>
      </c>
      <c r="M24" s="280">
        <f>IF(_PENDIENTES!$B$18&lt;&gt;"",_PENDIENTES!$B$18,"")</f>
        <v/>
      </c>
      <c r="N24" s="304">
        <f>IF(_PENDIENTES!$B$18&lt;&gt;"",_PENDIENTES!$L$18,"")</f>
        <v/>
      </c>
      <c r="O24" s="284" t="n"/>
      <c r="P24" s="284" t="n"/>
      <c r="Q24" s="284" t="n"/>
      <c r="R24" s="284" t="n"/>
      <c r="S24" s="284" t="n"/>
    </row>
    <row r="25" hidden="1" ht="15.75" customHeight="1" s="195">
      <c r="A25" s="241">
        <f>IF(_PENDIENTES!$B$19&lt;&gt;"",18,"")</f>
        <v/>
      </c>
      <c r="B25" s="236">
        <f>IF(_PENDIENTES!$B$19&lt;&gt;"",_PENDIENTES!$A$19,"")</f>
        <v/>
      </c>
      <c r="C25" s="305">
        <f>IF(_PENDIENTES!$B$19&lt;&gt;"",_PENDIENTES!$C$19,"")</f>
        <v/>
      </c>
      <c r="D25" s="241">
        <f>IF(_PENDIENTES!$B$19&lt;&gt;"",_PENDIENTES!$D$19,"")</f>
        <v/>
      </c>
      <c r="E25" s="307">
        <f>IF(_PENDIENTES!$B$19&lt;&gt;"",_PENDIENTES!$E$19,"")</f>
        <v/>
      </c>
      <c r="F25" s="241">
        <f>IF(_PENDIENTES!$B$19&lt;&gt;"",_PENDIENTES!$F$19,"")</f>
        <v/>
      </c>
      <c r="G25" s="239">
        <f>IF(_PENDIENTES!$B$19&lt;&gt;"",_PENDIENTES!$G$19,"")</f>
        <v/>
      </c>
      <c r="H25" s="239">
        <f>IF(_PENDIENTES!$B$19&lt;&gt;"",_PENDIENTES!$H$19,"")</f>
        <v/>
      </c>
      <c r="I25" s="308">
        <f>IF(_PENDIENTES!$B$19&lt;&gt;"",_PENDIENTES!$I$19,"")</f>
        <v/>
      </c>
      <c r="J25" s="239">
        <f>IF(_PENDIENTES!$B$19&lt;&gt;"",_PENDIENTES!$J$19,"")</f>
        <v/>
      </c>
      <c r="K25" s="241">
        <f>IF(_PENDIENTES!$B$19&lt;&gt;"","POR RECOGER","")</f>
        <v/>
      </c>
      <c r="L25" s="305">
        <f>IF(_PENDIENTES!$B$19&lt;&gt;"",_PENDIENTES!$K$19,"")</f>
        <v/>
      </c>
      <c r="M25" s="280">
        <f>IF(_PENDIENTES!$B$19&lt;&gt;"",_PENDIENTES!$B$19,"")</f>
        <v/>
      </c>
      <c r="N25" s="304">
        <f>IF(_PENDIENTES!$B$19&lt;&gt;"",_PENDIENTES!$L$19,"")</f>
        <v/>
      </c>
      <c r="O25" s="284" t="n"/>
      <c r="P25" s="284" t="n"/>
      <c r="Q25" s="284" t="n"/>
      <c r="R25" s="284" t="n"/>
      <c r="S25" s="284" t="n"/>
    </row>
    <row r="26" hidden="1" ht="15.75" customHeight="1" s="195">
      <c r="A26" s="301">
        <f>IF(_PENDIENTES!$B$20&lt;&gt;"",19,"")</f>
        <v/>
      </c>
      <c r="B26" s="242">
        <f>IF(_PENDIENTES!$B$20&lt;&gt;"",_PENDIENTES!$A$20,"")</f>
        <v/>
      </c>
      <c r="C26" s="302">
        <f>IF(_PENDIENTES!$B$20&lt;&gt;"",_PENDIENTES!$C$20,"")</f>
        <v/>
      </c>
      <c r="D26" s="301">
        <f>IF(_PENDIENTES!$B$20&lt;&gt;"",_PENDIENTES!$D$20,"")</f>
        <v/>
      </c>
      <c r="E26" s="306">
        <f>IF(_PENDIENTES!$B$20&lt;&gt;"",_PENDIENTES!$E$20,"")</f>
        <v/>
      </c>
      <c r="F26" s="301">
        <f>IF(_PENDIENTES!$B$20&lt;&gt;"",_PENDIENTES!$F$20,"")</f>
        <v/>
      </c>
      <c r="G26" s="245">
        <f>IF(_PENDIENTES!$B$20&lt;&gt;"",_PENDIENTES!$G$20,"")</f>
        <v/>
      </c>
      <c r="H26" s="245">
        <f>IF(_PENDIENTES!$B$20&lt;&gt;"",_PENDIENTES!$H$20,"")</f>
        <v/>
      </c>
      <c r="I26" s="303">
        <f>IF(_PENDIENTES!$B$20&lt;&gt;"",_PENDIENTES!$I$20,"")</f>
        <v/>
      </c>
      <c r="J26" s="245">
        <f>IF(_PENDIENTES!$B$20&lt;&gt;"",_PENDIENTES!$J$20,"")</f>
        <v/>
      </c>
      <c r="K26" s="301">
        <f>IF(_PENDIENTES!$B$20&lt;&gt;"","POR RECOGER","")</f>
        <v/>
      </c>
      <c r="L26" s="302">
        <f>IF(_PENDIENTES!$B$20&lt;&gt;"",_PENDIENTES!$K$20,"")</f>
        <v/>
      </c>
      <c r="M26" s="280">
        <f>IF(_PENDIENTES!$B$20&lt;&gt;"",_PENDIENTES!$B$20,"")</f>
        <v/>
      </c>
      <c r="N26" s="304">
        <f>IF(_PENDIENTES!$B$20&lt;&gt;"",_PENDIENTES!$L$20,"")</f>
        <v/>
      </c>
      <c r="O26" s="284" t="n"/>
      <c r="P26" s="284" t="n"/>
      <c r="Q26" s="284" t="n"/>
      <c r="R26" s="284" t="n"/>
      <c r="S26" s="284" t="n"/>
    </row>
    <row r="27" hidden="1" ht="15.75" customHeight="1" s="195">
      <c r="A27" s="241">
        <f>IF(_PENDIENTES!$B$21&lt;&gt;"",20,"")</f>
        <v/>
      </c>
      <c r="B27" s="236">
        <f>IF(_PENDIENTES!$B$21&lt;&gt;"",_PENDIENTES!$A$21,"")</f>
        <v/>
      </c>
      <c r="C27" s="305">
        <f>IF(_PENDIENTES!$B$21&lt;&gt;"",_PENDIENTES!$C$21,"")</f>
        <v/>
      </c>
      <c r="D27" s="241">
        <f>IF(_PENDIENTES!$B$21&lt;&gt;"",_PENDIENTES!$D$21,"")</f>
        <v/>
      </c>
      <c r="E27" s="307">
        <f>IF(_PENDIENTES!$B$21&lt;&gt;"",_PENDIENTES!$E$21,"")</f>
        <v/>
      </c>
      <c r="F27" s="241">
        <f>IF(_PENDIENTES!$B$21&lt;&gt;"",_PENDIENTES!$F$21,"")</f>
        <v/>
      </c>
      <c r="G27" s="239">
        <f>IF(_PENDIENTES!$B$21&lt;&gt;"",_PENDIENTES!$G$21,"")</f>
        <v/>
      </c>
      <c r="H27" s="239">
        <f>IF(_PENDIENTES!$B$21&lt;&gt;"",_PENDIENTES!$H$21,"")</f>
        <v/>
      </c>
      <c r="I27" s="308">
        <f>IF(_PENDIENTES!$B$21&lt;&gt;"",_PENDIENTES!$I$21,"")</f>
        <v/>
      </c>
      <c r="J27" s="239">
        <f>IF(_PENDIENTES!$B$21&lt;&gt;"",_PENDIENTES!$J$21,"")</f>
        <v/>
      </c>
      <c r="K27" s="241">
        <f>IF(_PENDIENTES!$B$21&lt;&gt;"","POR RECOGER","")</f>
        <v/>
      </c>
      <c r="L27" s="305">
        <f>IF(_PENDIENTES!$B$21&lt;&gt;"",_PENDIENTES!$K$21,"")</f>
        <v/>
      </c>
      <c r="M27" s="280">
        <f>IF(_PENDIENTES!$B$21&lt;&gt;"",_PENDIENTES!$B$21,"")</f>
        <v/>
      </c>
      <c r="N27" s="304">
        <f>IF(_PENDIENTES!$B$21&lt;&gt;"",_PENDIENTES!$L$21,"")</f>
        <v/>
      </c>
      <c r="O27" s="284" t="n"/>
      <c r="P27" s="284" t="n"/>
      <c r="Q27" s="284" t="n"/>
      <c r="R27" s="284" t="n"/>
      <c r="S27" s="284" t="n"/>
    </row>
    <row r="28" hidden="1" ht="15.75" customHeight="1" s="195">
      <c r="A28" s="301">
        <f>IF(_PENDIENTES!$B$22&lt;&gt;"",21,"")</f>
        <v/>
      </c>
      <c r="B28" s="242">
        <f>IF(_PENDIENTES!$B$22&lt;&gt;"",_PENDIENTES!$A$22,"")</f>
        <v/>
      </c>
      <c r="C28" s="302">
        <f>IF(_PENDIENTES!$B$22&lt;&gt;"",_PENDIENTES!$C$22,"")</f>
        <v/>
      </c>
      <c r="D28" s="301">
        <f>IF(_PENDIENTES!$B$22&lt;&gt;"",_PENDIENTES!$D$22,"")</f>
        <v/>
      </c>
      <c r="E28" s="306">
        <f>IF(_PENDIENTES!$B$22&lt;&gt;"",_PENDIENTES!$E$22,"")</f>
        <v/>
      </c>
      <c r="F28" s="301">
        <f>IF(_PENDIENTES!$B$22&lt;&gt;"",_PENDIENTES!$F$22,"")</f>
        <v/>
      </c>
      <c r="G28" s="245">
        <f>IF(_PENDIENTES!$B$22&lt;&gt;"",_PENDIENTES!$G$22,"")</f>
        <v/>
      </c>
      <c r="H28" s="245">
        <f>IF(_PENDIENTES!$B$22&lt;&gt;"",_PENDIENTES!$H$22,"")</f>
        <v/>
      </c>
      <c r="I28" s="303">
        <f>IF(_PENDIENTES!$B$22&lt;&gt;"",_PENDIENTES!$I$22,"")</f>
        <v/>
      </c>
      <c r="J28" s="245">
        <f>IF(_PENDIENTES!$B$22&lt;&gt;"",_PENDIENTES!$J$22,"")</f>
        <v/>
      </c>
      <c r="K28" s="301">
        <f>IF(_PENDIENTES!$B$22&lt;&gt;"","POR RECOGER","")</f>
        <v/>
      </c>
      <c r="L28" s="302">
        <f>IF(_PENDIENTES!$B$22&lt;&gt;"",_PENDIENTES!$K$22,"")</f>
        <v/>
      </c>
      <c r="M28" s="280">
        <f>IF(_PENDIENTES!$B$22&lt;&gt;"",_PENDIENTES!$B$22,"")</f>
        <v/>
      </c>
      <c r="N28" s="304">
        <f>IF(_PENDIENTES!$B$22&lt;&gt;"",_PENDIENTES!$L$22,"")</f>
        <v/>
      </c>
      <c r="O28" s="284" t="n"/>
      <c r="P28" s="284" t="n"/>
      <c r="Q28" s="284" t="n"/>
      <c r="R28" s="284" t="n"/>
      <c r="S28" s="284" t="n"/>
    </row>
    <row r="29" hidden="1" ht="15.75" customHeight="1" s="195">
      <c r="A29" s="241">
        <f>IF(_PENDIENTES!$B$23&lt;&gt;"",22,"")</f>
        <v/>
      </c>
      <c r="B29" s="236">
        <f>IF(_PENDIENTES!$B$23&lt;&gt;"",_PENDIENTES!$A$23,"")</f>
        <v/>
      </c>
      <c r="C29" s="305">
        <f>IF(_PENDIENTES!$B$23&lt;&gt;"",_PENDIENTES!$C$23,"")</f>
        <v/>
      </c>
      <c r="D29" s="241">
        <f>IF(_PENDIENTES!$B$23&lt;&gt;"",_PENDIENTES!$D$23,"")</f>
        <v/>
      </c>
      <c r="E29" s="307">
        <f>IF(_PENDIENTES!$B$23&lt;&gt;"",_PENDIENTES!$E$23,"")</f>
        <v/>
      </c>
      <c r="F29" s="241">
        <f>IF(_PENDIENTES!$B$23&lt;&gt;"",_PENDIENTES!$F$23,"")</f>
        <v/>
      </c>
      <c r="G29" s="239">
        <f>IF(_PENDIENTES!$B$23&lt;&gt;"",_PENDIENTES!$G$23,"")</f>
        <v/>
      </c>
      <c r="H29" s="239">
        <f>IF(_PENDIENTES!$B$23&lt;&gt;"",_PENDIENTES!$H$23,"")</f>
        <v/>
      </c>
      <c r="I29" s="308">
        <f>IF(_PENDIENTES!$B$23&lt;&gt;"",_PENDIENTES!$I$23,"")</f>
        <v/>
      </c>
      <c r="J29" s="239">
        <f>IF(_PENDIENTES!$B$23&lt;&gt;"",_PENDIENTES!$J$23,"")</f>
        <v/>
      </c>
      <c r="K29" s="241">
        <f>IF(_PENDIENTES!$B$23&lt;&gt;"","POR RECOGER","")</f>
        <v/>
      </c>
      <c r="L29" s="305">
        <f>IF(_PENDIENTES!$B$23&lt;&gt;"",_PENDIENTES!$K$23,"")</f>
        <v/>
      </c>
      <c r="M29" s="280">
        <f>IF(_PENDIENTES!$B$23&lt;&gt;"",_PENDIENTES!$B$23,"")</f>
        <v/>
      </c>
      <c r="N29" s="304">
        <f>IF(_PENDIENTES!$B$23&lt;&gt;"",_PENDIENTES!$L$23,"")</f>
        <v/>
      </c>
      <c r="O29" s="284" t="n"/>
      <c r="P29" s="284" t="n"/>
      <c r="Q29" s="284" t="n"/>
      <c r="R29" s="284" t="n"/>
      <c r="S29" s="284" t="n"/>
    </row>
    <row r="30" hidden="1" ht="15.75" customHeight="1" s="195">
      <c r="A30" s="301">
        <f>IF(_PENDIENTES!$B$24&lt;&gt;"",23,"")</f>
        <v/>
      </c>
      <c r="B30" s="242">
        <f>IF(_PENDIENTES!$B$24&lt;&gt;"",_PENDIENTES!$A$24,"")</f>
        <v/>
      </c>
      <c r="C30" s="302">
        <f>IF(_PENDIENTES!$B$24&lt;&gt;"",_PENDIENTES!$C$24,"")</f>
        <v/>
      </c>
      <c r="D30" s="301">
        <f>IF(_PENDIENTES!$B$24&lt;&gt;"",_PENDIENTES!$D$24,"")</f>
        <v/>
      </c>
      <c r="E30" s="306">
        <f>IF(_PENDIENTES!$B$24&lt;&gt;"",_PENDIENTES!$E$24,"")</f>
        <v/>
      </c>
      <c r="F30" s="301">
        <f>IF(_PENDIENTES!$B$24&lt;&gt;"",_PENDIENTES!$F$24,"")</f>
        <v/>
      </c>
      <c r="G30" s="245">
        <f>IF(_PENDIENTES!$B$24&lt;&gt;"",_PENDIENTES!$G$24,"")</f>
        <v/>
      </c>
      <c r="H30" s="245">
        <f>IF(_PENDIENTES!$B$24&lt;&gt;"",_PENDIENTES!$H$24,"")</f>
        <v/>
      </c>
      <c r="I30" s="303">
        <f>IF(_PENDIENTES!$B$24&lt;&gt;"",_PENDIENTES!$I$24,"")</f>
        <v/>
      </c>
      <c r="J30" s="245">
        <f>IF(_PENDIENTES!$B$24&lt;&gt;"",_PENDIENTES!$J$24,"")</f>
        <v/>
      </c>
      <c r="K30" s="301">
        <f>IF(_PENDIENTES!$B$24&lt;&gt;"","POR RECOGER","")</f>
        <v/>
      </c>
      <c r="L30" s="302">
        <f>IF(_PENDIENTES!$B$24&lt;&gt;"",_PENDIENTES!$K$24,"")</f>
        <v/>
      </c>
      <c r="M30" s="280">
        <f>IF(_PENDIENTES!$B$24&lt;&gt;"",_PENDIENTES!$B$24,"")</f>
        <v/>
      </c>
      <c r="N30" s="304">
        <f>IF(_PENDIENTES!$B$24&lt;&gt;"",_PENDIENTES!$L$24,"")</f>
        <v/>
      </c>
      <c r="O30" s="284" t="n"/>
      <c r="P30" s="284" t="n"/>
      <c r="Q30" s="284" t="n"/>
      <c r="R30" s="284" t="n"/>
      <c r="S30" s="284" t="n"/>
    </row>
    <row r="31" hidden="1" ht="15.75" customHeight="1" s="195">
      <c r="A31" s="241">
        <f>IF(_PENDIENTES!$B$25&lt;&gt;"",24,"")</f>
        <v/>
      </c>
      <c r="B31" s="236">
        <f>IF(_PENDIENTES!$B$25&lt;&gt;"",_PENDIENTES!$A$25,"")</f>
        <v/>
      </c>
      <c r="C31" s="305">
        <f>IF(_PENDIENTES!$B$25&lt;&gt;"",_PENDIENTES!$C$25,"")</f>
        <v/>
      </c>
      <c r="D31" s="241">
        <f>IF(_PENDIENTES!$B$25&lt;&gt;"",_PENDIENTES!$D$25,"")</f>
        <v/>
      </c>
      <c r="E31" s="307">
        <f>IF(_PENDIENTES!$B$25&lt;&gt;"",_PENDIENTES!$E$25,"")</f>
        <v/>
      </c>
      <c r="F31" s="241">
        <f>IF(_PENDIENTES!$B$25&lt;&gt;"",_PENDIENTES!$F$25,"")</f>
        <v/>
      </c>
      <c r="G31" s="239">
        <f>IF(_PENDIENTES!$B$25&lt;&gt;"",_PENDIENTES!$G$25,"")</f>
        <v/>
      </c>
      <c r="H31" s="239">
        <f>IF(_PENDIENTES!$B$25&lt;&gt;"",_PENDIENTES!$H$25,"")</f>
        <v/>
      </c>
      <c r="I31" s="308">
        <f>IF(_PENDIENTES!$B$25&lt;&gt;"",_PENDIENTES!$I$25,"")</f>
        <v/>
      </c>
      <c r="J31" s="239">
        <f>IF(_PENDIENTES!$B$25&lt;&gt;"",_PENDIENTES!$J$25,"")</f>
        <v/>
      </c>
      <c r="K31" s="241">
        <f>IF(_PENDIENTES!$B$25&lt;&gt;"","POR RECOGER","")</f>
        <v/>
      </c>
      <c r="L31" s="305">
        <f>IF(_PENDIENTES!$B$25&lt;&gt;"",_PENDIENTES!$K$25,"")</f>
        <v/>
      </c>
      <c r="M31" s="280">
        <f>IF(_PENDIENTES!$B$25&lt;&gt;"",_PENDIENTES!$B$25,"")</f>
        <v/>
      </c>
      <c r="N31" s="304">
        <f>IF(_PENDIENTES!$B$25&lt;&gt;"",_PENDIENTES!$L$25,"")</f>
        <v/>
      </c>
      <c r="O31" s="284" t="n"/>
      <c r="P31" s="284" t="n"/>
      <c r="Q31" s="284" t="n"/>
      <c r="R31" s="284" t="n"/>
      <c r="S31" s="284" t="n"/>
    </row>
    <row r="32" hidden="1" ht="15.75" customHeight="1" s="195">
      <c r="A32" s="301">
        <f>IF(_PENDIENTES!$B$26&lt;&gt;"",25,"")</f>
        <v/>
      </c>
      <c r="B32" s="242">
        <f>IF(_PENDIENTES!$B$26&lt;&gt;"",_PENDIENTES!$A$26,"")</f>
        <v/>
      </c>
      <c r="C32" s="302">
        <f>IF(_PENDIENTES!$B$26&lt;&gt;"",_PENDIENTES!$C$26,"")</f>
        <v/>
      </c>
      <c r="D32" s="301">
        <f>IF(_PENDIENTES!$B$26&lt;&gt;"",_PENDIENTES!$D$26,"")</f>
        <v/>
      </c>
      <c r="E32" s="306">
        <f>IF(_PENDIENTES!$B$26&lt;&gt;"",_PENDIENTES!$E$26,"")</f>
        <v/>
      </c>
      <c r="F32" s="301">
        <f>IF(_PENDIENTES!$B$26&lt;&gt;"",_PENDIENTES!$F$26,"")</f>
        <v/>
      </c>
      <c r="G32" s="245">
        <f>IF(_PENDIENTES!$B$26&lt;&gt;"",_PENDIENTES!$G$26,"")</f>
        <v/>
      </c>
      <c r="H32" s="245">
        <f>IF(_PENDIENTES!$B$26&lt;&gt;"",_PENDIENTES!$H$26,"")</f>
        <v/>
      </c>
      <c r="I32" s="303">
        <f>IF(_PENDIENTES!$B$26&lt;&gt;"",_PENDIENTES!$I$26,"")</f>
        <v/>
      </c>
      <c r="J32" s="245">
        <f>IF(_PENDIENTES!$B$26&lt;&gt;"",_PENDIENTES!$J$26,"")</f>
        <v/>
      </c>
      <c r="K32" s="301">
        <f>IF(_PENDIENTES!$B$26&lt;&gt;"","POR RECOGER","")</f>
        <v/>
      </c>
      <c r="L32" s="302">
        <f>IF(_PENDIENTES!$B$26&lt;&gt;"",_PENDIENTES!$K$26,"")</f>
        <v/>
      </c>
      <c r="M32" s="280">
        <f>IF(_PENDIENTES!$B$26&lt;&gt;"",_PENDIENTES!$B$26,"")</f>
        <v/>
      </c>
      <c r="N32" s="304">
        <f>IF(_PENDIENTES!$B$26&lt;&gt;"",_PENDIENTES!$L$26,"")</f>
        <v/>
      </c>
      <c r="O32" s="284" t="n"/>
      <c r="P32" s="284" t="n"/>
      <c r="Q32" s="284" t="n"/>
      <c r="R32" s="284" t="n"/>
      <c r="S32" s="284" t="n"/>
    </row>
    <row r="33" hidden="1" ht="15.75" customHeight="1" s="195">
      <c r="A33" s="241">
        <f>IF(_PENDIENTES!$B$27&lt;&gt;"",26,"")</f>
        <v/>
      </c>
      <c r="B33" s="236">
        <f>IF(_PENDIENTES!$B$27&lt;&gt;"",_PENDIENTES!$A$27,"")</f>
        <v/>
      </c>
      <c r="C33" s="305">
        <f>IF(_PENDIENTES!$B$27&lt;&gt;"",_PENDIENTES!$C$27,"")</f>
        <v/>
      </c>
      <c r="D33" s="241">
        <f>IF(_PENDIENTES!$B$27&lt;&gt;"",_PENDIENTES!$D$27,"")</f>
        <v/>
      </c>
      <c r="E33" s="307">
        <f>IF(_PENDIENTES!$B$27&lt;&gt;"",_PENDIENTES!$E$27,"")</f>
        <v/>
      </c>
      <c r="F33" s="241">
        <f>IF(_PENDIENTES!$B$27&lt;&gt;"",_PENDIENTES!$F$27,"")</f>
        <v/>
      </c>
      <c r="G33" s="239">
        <f>IF(_PENDIENTES!$B$27&lt;&gt;"",_PENDIENTES!$G$27,"")</f>
        <v/>
      </c>
      <c r="H33" s="239">
        <f>IF(_PENDIENTES!$B$27&lt;&gt;"",_PENDIENTES!$H$27,"")</f>
        <v/>
      </c>
      <c r="I33" s="308">
        <f>IF(_PENDIENTES!$B$27&lt;&gt;"",_PENDIENTES!$I$27,"")</f>
        <v/>
      </c>
      <c r="J33" s="239">
        <f>IF(_PENDIENTES!$B$27&lt;&gt;"",_PENDIENTES!$J$27,"")</f>
        <v/>
      </c>
      <c r="K33" s="241">
        <f>IF(_PENDIENTES!$B$27&lt;&gt;"","POR RECOGER","")</f>
        <v/>
      </c>
      <c r="L33" s="305">
        <f>IF(_PENDIENTES!$B$27&lt;&gt;"",_PENDIENTES!$K$27,"")</f>
        <v/>
      </c>
      <c r="M33" s="280">
        <f>IF(_PENDIENTES!$B$27&lt;&gt;"",_PENDIENTES!$B$27,"")</f>
        <v/>
      </c>
      <c r="N33" s="304">
        <f>IF(_PENDIENTES!$B$27&lt;&gt;"",_PENDIENTES!$L$27,"")</f>
        <v/>
      </c>
      <c r="O33" s="284" t="n"/>
      <c r="P33" s="284" t="n"/>
      <c r="Q33" s="284" t="n"/>
      <c r="R33" s="284" t="n"/>
      <c r="S33" s="284" t="n"/>
    </row>
    <row r="34" hidden="1" ht="15.75" customHeight="1" s="195">
      <c r="A34" s="301">
        <f>IF(_PENDIENTES!$B$28&lt;&gt;"",27,"")</f>
        <v/>
      </c>
      <c r="B34" s="242">
        <f>IF(_PENDIENTES!$B$28&lt;&gt;"",_PENDIENTES!$A$28,"")</f>
        <v/>
      </c>
      <c r="C34" s="302">
        <f>IF(_PENDIENTES!$B$28&lt;&gt;"",_PENDIENTES!$C$28,"")</f>
        <v/>
      </c>
      <c r="D34" s="301">
        <f>IF(_PENDIENTES!$B$28&lt;&gt;"",_PENDIENTES!$D$28,"")</f>
        <v/>
      </c>
      <c r="E34" s="306">
        <f>IF(_PENDIENTES!$B$28&lt;&gt;"",_PENDIENTES!$E$28,"")</f>
        <v/>
      </c>
      <c r="F34" s="301">
        <f>IF(_PENDIENTES!$B$28&lt;&gt;"",_PENDIENTES!$F$28,"")</f>
        <v/>
      </c>
      <c r="G34" s="245">
        <f>IF(_PENDIENTES!$B$28&lt;&gt;"",_PENDIENTES!$G$28,"")</f>
        <v/>
      </c>
      <c r="H34" s="245">
        <f>IF(_PENDIENTES!$B$28&lt;&gt;"",_PENDIENTES!$H$28,"")</f>
        <v/>
      </c>
      <c r="I34" s="303">
        <f>IF(_PENDIENTES!$B$28&lt;&gt;"",_PENDIENTES!$I$28,"")</f>
        <v/>
      </c>
      <c r="J34" s="245">
        <f>IF(_PENDIENTES!$B$28&lt;&gt;"",_PENDIENTES!$J$28,"")</f>
        <v/>
      </c>
      <c r="K34" s="301">
        <f>IF(_PENDIENTES!$B$28&lt;&gt;"","POR RECOGER","")</f>
        <v/>
      </c>
      <c r="L34" s="302">
        <f>IF(_PENDIENTES!$B$28&lt;&gt;"",_PENDIENTES!$K$28,"")</f>
        <v/>
      </c>
      <c r="M34" s="280">
        <f>IF(_PENDIENTES!$B$28&lt;&gt;"",_PENDIENTES!$B$28,"")</f>
        <v/>
      </c>
      <c r="N34" s="304">
        <f>IF(_PENDIENTES!$B$28&lt;&gt;"",_PENDIENTES!$L$28,"")</f>
        <v/>
      </c>
      <c r="O34" s="284" t="n"/>
      <c r="P34" s="284" t="n"/>
      <c r="Q34" s="284" t="n"/>
      <c r="R34" s="284" t="n"/>
      <c r="S34" s="284" t="n"/>
    </row>
    <row r="35" hidden="1" ht="15.75" customHeight="1" s="195">
      <c r="A35" s="241">
        <f>IF(_PENDIENTES!$B$29&lt;&gt;"",28,"")</f>
        <v/>
      </c>
      <c r="B35" s="236">
        <f>IF(_PENDIENTES!$B$29&lt;&gt;"",_PENDIENTES!$A$29,"")</f>
        <v/>
      </c>
      <c r="C35" s="305">
        <f>IF(_PENDIENTES!$B$29&lt;&gt;"",_PENDIENTES!$C$29,"")</f>
        <v/>
      </c>
      <c r="D35" s="241">
        <f>IF(_PENDIENTES!$B$29&lt;&gt;"",_PENDIENTES!$D$29,"")</f>
        <v/>
      </c>
      <c r="E35" s="307">
        <f>IF(_PENDIENTES!$B$29&lt;&gt;"",_PENDIENTES!$E$29,"")</f>
        <v/>
      </c>
      <c r="F35" s="241">
        <f>IF(_PENDIENTES!$B$29&lt;&gt;"",_PENDIENTES!$F$29,"")</f>
        <v/>
      </c>
      <c r="G35" s="239">
        <f>IF(_PENDIENTES!$B$29&lt;&gt;"",_PENDIENTES!$G$29,"")</f>
        <v/>
      </c>
      <c r="H35" s="239">
        <f>IF(_PENDIENTES!$B$29&lt;&gt;"",_PENDIENTES!$H$29,"")</f>
        <v/>
      </c>
      <c r="I35" s="308">
        <f>IF(_PENDIENTES!$B$29&lt;&gt;"",_PENDIENTES!$I$29,"")</f>
        <v/>
      </c>
      <c r="J35" s="239">
        <f>IF(_PENDIENTES!$B$29&lt;&gt;"",_PENDIENTES!$J$29,"")</f>
        <v/>
      </c>
      <c r="K35" s="241">
        <f>IF(_PENDIENTES!$B$29&lt;&gt;"","POR RECOGER","")</f>
        <v/>
      </c>
      <c r="L35" s="305">
        <f>IF(_PENDIENTES!$B$29&lt;&gt;"",_PENDIENTES!$K$29,"")</f>
        <v/>
      </c>
      <c r="M35" s="280">
        <f>IF(_PENDIENTES!$B$29&lt;&gt;"",_PENDIENTES!$B$29,"")</f>
        <v/>
      </c>
      <c r="N35" s="304">
        <f>IF(_PENDIENTES!$B$29&lt;&gt;"",_PENDIENTES!$L$29,"")</f>
        <v/>
      </c>
      <c r="O35" s="284" t="n"/>
      <c r="P35" s="284" t="n"/>
      <c r="Q35" s="284" t="n"/>
      <c r="R35" s="284" t="n"/>
      <c r="S35" s="284" t="n"/>
    </row>
    <row r="36" hidden="1" ht="15.75" customHeight="1" s="195">
      <c r="A36" s="301">
        <f>IF(_PENDIENTES!$B$30&lt;&gt;"",29,"")</f>
        <v/>
      </c>
      <c r="B36" s="242">
        <f>IF(_PENDIENTES!$B$30&lt;&gt;"",_PENDIENTES!$A$30,"")</f>
        <v/>
      </c>
      <c r="C36" s="302">
        <f>IF(_PENDIENTES!$B$30&lt;&gt;"",_PENDIENTES!$C$30,"")</f>
        <v/>
      </c>
      <c r="D36" s="301">
        <f>IF(_PENDIENTES!$B$30&lt;&gt;"",_PENDIENTES!$D$30,"")</f>
        <v/>
      </c>
      <c r="E36" s="306">
        <f>IF(_PENDIENTES!$B$30&lt;&gt;"",_PENDIENTES!$E$30,"")</f>
        <v/>
      </c>
      <c r="F36" s="301">
        <f>IF(_PENDIENTES!$B$30&lt;&gt;"",_PENDIENTES!$F$30,"")</f>
        <v/>
      </c>
      <c r="G36" s="245">
        <f>IF(_PENDIENTES!$B$30&lt;&gt;"",_PENDIENTES!$G$30,"")</f>
        <v/>
      </c>
      <c r="H36" s="245">
        <f>IF(_PENDIENTES!$B$30&lt;&gt;"",_PENDIENTES!$H$30,"")</f>
        <v/>
      </c>
      <c r="I36" s="303">
        <f>IF(_PENDIENTES!$B$30&lt;&gt;"",_PENDIENTES!$I$30,"")</f>
        <v/>
      </c>
      <c r="J36" s="245">
        <f>IF(_PENDIENTES!$B$30&lt;&gt;"",_PENDIENTES!$J$30,"")</f>
        <v/>
      </c>
      <c r="K36" s="301">
        <f>IF(_PENDIENTES!$B$30&lt;&gt;"","POR RECOGER","")</f>
        <v/>
      </c>
      <c r="L36" s="302">
        <f>IF(_PENDIENTES!$B$30&lt;&gt;"",_PENDIENTES!$K$30,"")</f>
        <v/>
      </c>
      <c r="M36" s="280">
        <f>IF(_PENDIENTES!$B$30&lt;&gt;"",_PENDIENTES!$B$30,"")</f>
        <v/>
      </c>
      <c r="N36" s="304">
        <f>IF(_PENDIENTES!$B$30&lt;&gt;"",_PENDIENTES!$L$30,"")</f>
        <v/>
      </c>
      <c r="O36" s="284" t="n"/>
      <c r="P36" s="284" t="n"/>
      <c r="Q36" s="284" t="n"/>
      <c r="R36" s="284" t="n"/>
      <c r="S36" s="284" t="n"/>
    </row>
    <row r="37" hidden="1" ht="15.75" customHeight="1" s="195">
      <c r="A37" s="241">
        <f>IF(_PENDIENTES!$B$31&lt;&gt;"",30,"")</f>
        <v/>
      </c>
      <c r="B37" s="236">
        <f>IF(_PENDIENTES!$B$31&lt;&gt;"",_PENDIENTES!$A$31,"")</f>
        <v/>
      </c>
      <c r="C37" s="305">
        <f>IF(_PENDIENTES!$B$31&lt;&gt;"",_PENDIENTES!$C$31,"")</f>
        <v/>
      </c>
      <c r="D37" s="241">
        <f>IF(_PENDIENTES!$B$31&lt;&gt;"",_PENDIENTES!$D$31,"")</f>
        <v/>
      </c>
      <c r="E37" s="307">
        <f>IF(_PENDIENTES!$B$31&lt;&gt;"",_PENDIENTES!$E$31,"")</f>
        <v/>
      </c>
      <c r="F37" s="241">
        <f>IF(_PENDIENTES!$B$31&lt;&gt;"",_PENDIENTES!$F$31,"")</f>
        <v/>
      </c>
      <c r="G37" s="239">
        <f>IF(_PENDIENTES!$B$31&lt;&gt;"",_PENDIENTES!$G$31,"")</f>
        <v/>
      </c>
      <c r="H37" s="239">
        <f>IF(_PENDIENTES!$B$31&lt;&gt;"",_PENDIENTES!$H$31,"")</f>
        <v/>
      </c>
      <c r="I37" s="308">
        <f>IF(_PENDIENTES!$B$31&lt;&gt;"",_PENDIENTES!$I$31,"")</f>
        <v/>
      </c>
      <c r="J37" s="239">
        <f>IF(_PENDIENTES!$B$31&lt;&gt;"",_PENDIENTES!$J$31,"")</f>
        <v/>
      </c>
      <c r="K37" s="241">
        <f>IF(_PENDIENTES!$B$31&lt;&gt;"","POR RECOGER","")</f>
        <v/>
      </c>
      <c r="L37" s="305">
        <f>IF(_PENDIENTES!$B$31&lt;&gt;"",_PENDIENTES!$K$31,"")</f>
        <v/>
      </c>
      <c r="M37" s="280">
        <f>IF(_PENDIENTES!$B$31&lt;&gt;"",_PENDIENTES!$B$31,"")</f>
        <v/>
      </c>
      <c r="N37" s="304">
        <f>IF(_PENDIENTES!$B$31&lt;&gt;"",_PENDIENTES!$L$31,"")</f>
        <v/>
      </c>
      <c r="O37" s="284" t="n"/>
      <c r="P37" s="284" t="n"/>
      <c r="Q37" s="284" t="n"/>
      <c r="R37" s="284" t="n"/>
      <c r="S37" s="284" t="n"/>
    </row>
    <row r="38" hidden="1" ht="15.75" customHeight="1" s="195">
      <c r="A38" s="301">
        <f>IF(_PENDIENTES!$B$32&lt;&gt;"",31,"")</f>
        <v/>
      </c>
      <c r="B38" s="242">
        <f>IF(_PENDIENTES!$B$32&lt;&gt;"",_PENDIENTES!$A$32,"")</f>
        <v/>
      </c>
      <c r="C38" s="302">
        <f>IF(_PENDIENTES!$B$32&lt;&gt;"",_PENDIENTES!$C$32,"")</f>
        <v/>
      </c>
      <c r="D38" s="301">
        <f>IF(_PENDIENTES!$B$32&lt;&gt;"",_PENDIENTES!$D$32,"")</f>
        <v/>
      </c>
      <c r="E38" s="306">
        <f>IF(_PENDIENTES!$B$32&lt;&gt;"",_PENDIENTES!$E$32,"")</f>
        <v/>
      </c>
      <c r="F38" s="301">
        <f>IF(_PENDIENTES!$B$32&lt;&gt;"",_PENDIENTES!$F$32,"")</f>
        <v/>
      </c>
      <c r="G38" s="245">
        <f>IF(_PENDIENTES!$B$32&lt;&gt;"",_PENDIENTES!$G$32,"")</f>
        <v/>
      </c>
      <c r="H38" s="245">
        <f>IF(_PENDIENTES!$B$32&lt;&gt;"",_PENDIENTES!$H$32,"")</f>
        <v/>
      </c>
      <c r="I38" s="303">
        <f>IF(_PENDIENTES!$B$32&lt;&gt;"",_PENDIENTES!$I$32,"")</f>
        <v/>
      </c>
      <c r="J38" s="245">
        <f>IF(_PENDIENTES!$B$32&lt;&gt;"",_PENDIENTES!$J$32,"")</f>
        <v/>
      </c>
      <c r="K38" s="301">
        <f>IF(_PENDIENTES!$B$32&lt;&gt;"","POR RECOGER","")</f>
        <v/>
      </c>
      <c r="L38" s="302">
        <f>IF(_PENDIENTES!$B$32&lt;&gt;"",_PENDIENTES!$K$32,"")</f>
        <v/>
      </c>
      <c r="M38" s="280">
        <f>IF(_PENDIENTES!$B$32&lt;&gt;"",_PENDIENTES!$B$32,"")</f>
        <v/>
      </c>
      <c r="N38" s="304">
        <f>IF(_PENDIENTES!$B$32&lt;&gt;"",_PENDIENTES!$L$32,"")</f>
        <v/>
      </c>
      <c r="O38" s="284" t="n"/>
      <c r="P38" s="284" t="n"/>
      <c r="Q38" s="284" t="n"/>
      <c r="R38" s="284" t="n"/>
      <c r="S38" s="284" t="n"/>
    </row>
    <row r="39" hidden="1" ht="15.75" customHeight="1" s="195">
      <c r="A39" s="241">
        <f>IF(_PENDIENTES!$B$33&lt;&gt;"",32,"")</f>
        <v/>
      </c>
      <c r="B39" s="236">
        <f>IF(_PENDIENTES!$B$33&lt;&gt;"",_PENDIENTES!$A$33,"")</f>
        <v/>
      </c>
      <c r="C39" s="305">
        <f>IF(_PENDIENTES!$B$33&lt;&gt;"",_PENDIENTES!$C$33,"")</f>
        <v/>
      </c>
      <c r="D39" s="241">
        <f>IF(_PENDIENTES!$B$33&lt;&gt;"",_PENDIENTES!$D$33,"")</f>
        <v/>
      </c>
      <c r="E39" s="307">
        <f>IF(_PENDIENTES!$B$33&lt;&gt;"",_PENDIENTES!$E$33,"")</f>
        <v/>
      </c>
      <c r="F39" s="241">
        <f>IF(_PENDIENTES!$B$33&lt;&gt;"",_PENDIENTES!$F$33,"")</f>
        <v/>
      </c>
      <c r="G39" s="239">
        <f>IF(_PENDIENTES!$B$33&lt;&gt;"",_PENDIENTES!$G$33,"")</f>
        <v/>
      </c>
      <c r="H39" s="239">
        <f>IF(_PENDIENTES!$B$33&lt;&gt;"",_PENDIENTES!$H$33,"")</f>
        <v/>
      </c>
      <c r="I39" s="308">
        <f>IF(_PENDIENTES!$B$33&lt;&gt;"",_PENDIENTES!$I$33,"")</f>
        <v/>
      </c>
      <c r="J39" s="239">
        <f>IF(_PENDIENTES!$B$33&lt;&gt;"",_PENDIENTES!$J$33,"")</f>
        <v/>
      </c>
      <c r="K39" s="241">
        <f>IF(_PENDIENTES!$B$33&lt;&gt;"","POR RECOGER","")</f>
        <v/>
      </c>
      <c r="L39" s="305">
        <f>IF(_PENDIENTES!$B$33&lt;&gt;"",_PENDIENTES!$K$33,"")</f>
        <v/>
      </c>
      <c r="M39" s="280">
        <f>IF(_PENDIENTES!$B$33&lt;&gt;"",_PENDIENTES!$B$33,"")</f>
        <v/>
      </c>
      <c r="N39" s="304">
        <f>IF(_PENDIENTES!$B$33&lt;&gt;"",_PENDIENTES!$L$33,"")</f>
        <v/>
      </c>
      <c r="O39" s="284" t="n"/>
      <c r="P39" s="284" t="n"/>
      <c r="Q39" s="284" t="n"/>
      <c r="R39" s="284" t="n"/>
      <c r="S39" s="284" t="n"/>
    </row>
    <row r="40" hidden="1" ht="15.75" customHeight="1" s="195">
      <c r="A40" s="301">
        <f>IF(_PENDIENTES!$B$34&lt;&gt;"",33,"")</f>
        <v/>
      </c>
      <c r="B40" s="242">
        <f>IF(_PENDIENTES!$B$34&lt;&gt;"",_PENDIENTES!$A$34,"")</f>
        <v/>
      </c>
      <c r="C40" s="302">
        <f>IF(_PENDIENTES!$B$34&lt;&gt;"",_PENDIENTES!$C$34,"")</f>
        <v/>
      </c>
      <c r="D40" s="301">
        <f>IF(_PENDIENTES!$B$34&lt;&gt;"",_PENDIENTES!$D$34,"")</f>
        <v/>
      </c>
      <c r="E40" s="306">
        <f>IF(_PENDIENTES!$B$34&lt;&gt;"",_PENDIENTES!$E$34,"")</f>
        <v/>
      </c>
      <c r="F40" s="301">
        <f>IF(_PENDIENTES!$B$34&lt;&gt;"",_PENDIENTES!$F$34,"")</f>
        <v/>
      </c>
      <c r="G40" s="245">
        <f>IF(_PENDIENTES!$B$34&lt;&gt;"",_PENDIENTES!$G$34,"")</f>
        <v/>
      </c>
      <c r="H40" s="245">
        <f>IF(_PENDIENTES!$B$34&lt;&gt;"",_PENDIENTES!$H$34,"")</f>
        <v/>
      </c>
      <c r="I40" s="303">
        <f>IF(_PENDIENTES!$B$34&lt;&gt;"",_PENDIENTES!$I$34,"")</f>
        <v/>
      </c>
      <c r="J40" s="245">
        <f>IF(_PENDIENTES!$B$34&lt;&gt;"",_PENDIENTES!$J$34,"")</f>
        <v/>
      </c>
      <c r="K40" s="301">
        <f>IF(_PENDIENTES!$B$34&lt;&gt;"","POR RECOGER","")</f>
        <v/>
      </c>
      <c r="L40" s="302">
        <f>IF(_PENDIENTES!$B$34&lt;&gt;"",_PENDIENTES!$K$34,"")</f>
        <v/>
      </c>
      <c r="M40" s="280">
        <f>IF(_PENDIENTES!$B$34&lt;&gt;"",_PENDIENTES!$B$34,"")</f>
        <v/>
      </c>
      <c r="N40" s="304">
        <f>IF(_PENDIENTES!$B$34&lt;&gt;"",_PENDIENTES!$L$34,"")</f>
        <v/>
      </c>
      <c r="O40" s="284" t="n"/>
      <c r="P40" s="284" t="n"/>
      <c r="Q40" s="284" t="n"/>
      <c r="R40" s="284" t="n"/>
      <c r="S40" s="284" t="n"/>
    </row>
    <row r="41" hidden="1" ht="15.75" customHeight="1" s="195">
      <c r="A41" s="241">
        <f>IF(_PENDIENTES!$B$35&lt;&gt;"",34,"")</f>
        <v/>
      </c>
      <c r="B41" s="236">
        <f>IF(_PENDIENTES!$B$35&lt;&gt;"",_PENDIENTES!$A$35,"")</f>
        <v/>
      </c>
      <c r="C41" s="305">
        <f>IF(_PENDIENTES!$B$35&lt;&gt;"",_PENDIENTES!$C$35,"")</f>
        <v/>
      </c>
      <c r="D41" s="241">
        <f>IF(_PENDIENTES!$B$35&lt;&gt;"",_PENDIENTES!$D$35,"")</f>
        <v/>
      </c>
      <c r="E41" s="307">
        <f>IF(_PENDIENTES!$B$35&lt;&gt;"",_PENDIENTES!$E$35,"")</f>
        <v/>
      </c>
      <c r="F41" s="241">
        <f>IF(_PENDIENTES!$B$35&lt;&gt;"",_PENDIENTES!$F$35,"")</f>
        <v/>
      </c>
      <c r="G41" s="239">
        <f>IF(_PENDIENTES!$B$35&lt;&gt;"",_PENDIENTES!$G$35,"")</f>
        <v/>
      </c>
      <c r="H41" s="239">
        <f>IF(_PENDIENTES!$B$35&lt;&gt;"",_PENDIENTES!$H$35,"")</f>
        <v/>
      </c>
      <c r="I41" s="308">
        <f>IF(_PENDIENTES!$B$35&lt;&gt;"",_PENDIENTES!$I$35,"")</f>
        <v/>
      </c>
      <c r="J41" s="239">
        <f>IF(_PENDIENTES!$B$35&lt;&gt;"",_PENDIENTES!$J$35,"")</f>
        <v/>
      </c>
      <c r="K41" s="241">
        <f>IF(_PENDIENTES!$B$35&lt;&gt;"","POR RECOGER","")</f>
        <v/>
      </c>
      <c r="L41" s="305">
        <f>IF(_PENDIENTES!$B$35&lt;&gt;"",_PENDIENTES!$K$35,"")</f>
        <v/>
      </c>
      <c r="M41" s="280">
        <f>IF(_PENDIENTES!$B$35&lt;&gt;"",_PENDIENTES!$B$35,"")</f>
        <v/>
      </c>
      <c r="N41" s="304">
        <f>IF(_PENDIENTES!$B$35&lt;&gt;"",_PENDIENTES!$L$35,"")</f>
        <v/>
      </c>
      <c r="O41" s="284" t="n"/>
      <c r="P41" s="284" t="n"/>
      <c r="Q41" s="284" t="n"/>
      <c r="R41" s="284" t="n"/>
      <c r="S41" s="284" t="n"/>
    </row>
    <row r="42" hidden="1" ht="15.75" customHeight="1" s="195">
      <c r="A42" s="301">
        <f>IF(_PENDIENTES!$B$36&lt;&gt;"",35,"")</f>
        <v/>
      </c>
      <c r="B42" s="242">
        <f>IF(_PENDIENTES!$B$36&lt;&gt;"",_PENDIENTES!$A$36,"")</f>
        <v/>
      </c>
      <c r="C42" s="302">
        <f>IF(_PENDIENTES!$B$36&lt;&gt;"",_PENDIENTES!$C$36,"")</f>
        <v/>
      </c>
      <c r="D42" s="301">
        <f>IF(_PENDIENTES!$B$36&lt;&gt;"",_PENDIENTES!$D$36,"")</f>
        <v/>
      </c>
      <c r="E42" s="306">
        <f>IF(_PENDIENTES!$B$36&lt;&gt;"",_PENDIENTES!$E$36,"")</f>
        <v/>
      </c>
      <c r="F42" s="301">
        <f>IF(_PENDIENTES!$B$36&lt;&gt;"",_PENDIENTES!$F$36,"")</f>
        <v/>
      </c>
      <c r="G42" s="245">
        <f>IF(_PENDIENTES!$B$36&lt;&gt;"",_PENDIENTES!$G$36,"")</f>
        <v/>
      </c>
      <c r="H42" s="245">
        <f>IF(_PENDIENTES!$B$36&lt;&gt;"",_PENDIENTES!$H$36,"")</f>
        <v/>
      </c>
      <c r="I42" s="303">
        <f>IF(_PENDIENTES!$B$36&lt;&gt;"",_PENDIENTES!$I$36,"")</f>
        <v/>
      </c>
      <c r="J42" s="245">
        <f>IF(_PENDIENTES!$B$36&lt;&gt;"",_PENDIENTES!$J$36,"")</f>
        <v/>
      </c>
      <c r="K42" s="301">
        <f>IF(_PENDIENTES!$B$36&lt;&gt;"","POR RECOGER","")</f>
        <v/>
      </c>
      <c r="L42" s="302">
        <f>IF(_PENDIENTES!$B$36&lt;&gt;"",_PENDIENTES!$K$36,"")</f>
        <v/>
      </c>
      <c r="M42" s="280">
        <f>IF(_PENDIENTES!$B$36&lt;&gt;"",_PENDIENTES!$B$36,"")</f>
        <v/>
      </c>
      <c r="N42" s="304">
        <f>IF(_PENDIENTES!$B$36&lt;&gt;"",_PENDIENTES!$L$36,"")</f>
        <v/>
      </c>
      <c r="O42" s="284" t="n"/>
      <c r="P42" s="284" t="n"/>
      <c r="Q42" s="284" t="n"/>
      <c r="R42" s="284" t="n"/>
      <c r="S42" s="284" t="n"/>
    </row>
    <row r="43" hidden="1" ht="15.75" customHeight="1" s="195">
      <c r="A43" s="241">
        <f>IF(_PENDIENTES!$B$37&lt;&gt;"",36,"")</f>
        <v/>
      </c>
      <c r="B43" s="236">
        <f>IF(_PENDIENTES!$B$37&lt;&gt;"",_PENDIENTES!$A$37,"")</f>
        <v/>
      </c>
      <c r="C43" s="305">
        <f>IF(_PENDIENTES!$B$37&lt;&gt;"",_PENDIENTES!$C$37,"")</f>
        <v/>
      </c>
      <c r="D43" s="241">
        <f>IF(_PENDIENTES!$B$37&lt;&gt;"",_PENDIENTES!$D$37,"")</f>
        <v/>
      </c>
      <c r="E43" s="307">
        <f>IF(_PENDIENTES!$B$37&lt;&gt;"",_PENDIENTES!$E$37,"")</f>
        <v/>
      </c>
      <c r="F43" s="241">
        <f>IF(_PENDIENTES!$B$37&lt;&gt;"",_PENDIENTES!$F$37,"")</f>
        <v/>
      </c>
      <c r="G43" s="239">
        <f>IF(_PENDIENTES!$B$37&lt;&gt;"",_PENDIENTES!$G$37,"")</f>
        <v/>
      </c>
      <c r="H43" s="239">
        <f>IF(_PENDIENTES!$B$37&lt;&gt;"",_PENDIENTES!$H$37,"")</f>
        <v/>
      </c>
      <c r="I43" s="308">
        <f>IF(_PENDIENTES!$B$37&lt;&gt;"",_PENDIENTES!$I$37,"")</f>
        <v/>
      </c>
      <c r="J43" s="239">
        <f>IF(_PENDIENTES!$B$37&lt;&gt;"",_PENDIENTES!$J$37,"")</f>
        <v/>
      </c>
      <c r="K43" s="241">
        <f>IF(_PENDIENTES!$B$37&lt;&gt;"","POR RECOGER","")</f>
        <v/>
      </c>
      <c r="L43" s="305">
        <f>IF(_PENDIENTES!$B$37&lt;&gt;"",_PENDIENTES!$K$37,"")</f>
        <v/>
      </c>
      <c r="M43" s="280">
        <f>IF(_PENDIENTES!$B$37&lt;&gt;"",_PENDIENTES!$B$37,"")</f>
        <v/>
      </c>
      <c r="N43" s="304">
        <f>IF(_PENDIENTES!$B$37&lt;&gt;"",_PENDIENTES!$L$37,"")</f>
        <v/>
      </c>
      <c r="O43" s="284" t="n"/>
      <c r="P43" s="284" t="n"/>
      <c r="Q43" s="284" t="n"/>
      <c r="R43" s="284" t="n"/>
      <c r="S43" s="284" t="n"/>
    </row>
    <row r="44" hidden="1" ht="15.75" customHeight="1" s="195">
      <c r="A44" s="301">
        <f>IF(_PENDIENTES!$B$38&lt;&gt;"",37,"")</f>
        <v/>
      </c>
      <c r="B44" s="242">
        <f>IF(_PENDIENTES!$B$38&lt;&gt;"",_PENDIENTES!$A$38,"")</f>
        <v/>
      </c>
      <c r="C44" s="302">
        <f>IF(_PENDIENTES!$B$38&lt;&gt;"",_PENDIENTES!$C$38,"")</f>
        <v/>
      </c>
      <c r="D44" s="301">
        <f>IF(_PENDIENTES!$B$38&lt;&gt;"",_PENDIENTES!$D$38,"")</f>
        <v/>
      </c>
      <c r="E44" s="306">
        <f>IF(_PENDIENTES!$B$38&lt;&gt;"",_PENDIENTES!$E$38,"")</f>
        <v/>
      </c>
      <c r="F44" s="301">
        <f>IF(_PENDIENTES!$B$38&lt;&gt;"",_PENDIENTES!$F$38,"")</f>
        <v/>
      </c>
      <c r="G44" s="245">
        <f>IF(_PENDIENTES!$B$38&lt;&gt;"",_PENDIENTES!$G$38,"")</f>
        <v/>
      </c>
      <c r="H44" s="245">
        <f>IF(_PENDIENTES!$B$38&lt;&gt;"",_PENDIENTES!$H$38,"")</f>
        <v/>
      </c>
      <c r="I44" s="303">
        <f>IF(_PENDIENTES!$B$38&lt;&gt;"",_PENDIENTES!$I$38,"")</f>
        <v/>
      </c>
      <c r="J44" s="245">
        <f>IF(_PENDIENTES!$B$38&lt;&gt;"",_PENDIENTES!$J$38,"")</f>
        <v/>
      </c>
      <c r="K44" s="301">
        <f>IF(_PENDIENTES!$B$38&lt;&gt;"","POR RECOGER","")</f>
        <v/>
      </c>
      <c r="L44" s="302">
        <f>IF(_PENDIENTES!$B$38&lt;&gt;"",_PENDIENTES!$K$38,"")</f>
        <v/>
      </c>
      <c r="M44" s="280">
        <f>IF(_PENDIENTES!$B$38&lt;&gt;"",_PENDIENTES!$B$38,"")</f>
        <v/>
      </c>
      <c r="N44" s="304">
        <f>IF(_PENDIENTES!$B$38&lt;&gt;"",_PENDIENTES!$L$38,"")</f>
        <v/>
      </c>
      <c r="O44" s="284" t="n"/>
      <c r="P44" s="284" t="n"/>
      <c r="Q44" s="284" t="n"/>
      <c r="R44" s="284" t="n"/>
      <c r="S44" s="284" t="n"/>
    </row>
    <row r="45" hidden="1" ht="15.75" customHeight="1" s="195">
      <c r="A45" s="241">
        <f>IF(_PENDIENTES!$B$39&lt;&gt;"",38,"")</f>
        <v/>
      </c>
      <c r="B45" s="236">
        <f>IF(_PENDIENTES!$B$39&lt;&gt;"",_PENDIENTES!$A$39,"")</f>
        <v/>
      </c>
      <c r="C45" s="305">
        <f>IF(_PENDIENTES!$B$39&lt;&gt;"",_PENDIENTES!$C$39,"")</f>
        <v/>
      </c>
      <c r="D45" s="241">
        <f>IF(_PENDIENTES!$B$39&lt;&gt;"",_PENDIENTES!$D$39,"")</f>
        <v/>
      </c>
      <c r="E45" s="307">
        <f>IF(_PENDIENTES!$B$39&lt;&gt;"",_PENDIENTES!$E$39,"")</f>
        <v/>
      </c>
      <c r="F45" s="241">
        <f>IF(_PENDIENTES!$B$39&lt;&gt;"",_PENDIENTES!$F$39,"")</f>
        <v/>
      </c>
      <c r="G45" s="239">
        <f>IF(_PENDIENTES!$B$39&lt;&gt;"",_PENDIENTES!$G$39,"")</f>
        <v/>
      </c>
      <c r="H45" s="239">
        <f>IF(_PENDIENTES!$B$39&lt;&gt;"",_PENDIENTES!$H$39,"")</f>
        <v/>
      </c>
      <c r="I45" s="308">
        <f>IF(_PENDIENTES!$B$39&lt;&gt;"",_PENDIENTES!$I$39,"")</f>
        <v/>
      </c>
      <c r="J45" s="239">
        <f>IF(_PENDIENTES!$B$39&lt;&gt;"",_PENDIENTES!$J$39,"")</f>
        <v/>
      </c>
      <c r="K45" s="241">
        <f>IF(_PENDIENTES!$B$39&lt;&gt;"","POR RECOGER","")</f>
        <v/>
      </c>
      <c r="L45" s="305">
        <f>IF(_PENDIENTES!$B$39&lt;&gt;"",_PENDIENTES!$K$39,"")</f>
        <v/>
      </c>
      <c r="M45" s="280">
        <f>IF(_PENDIENTES!$B$39&lt;&gt;"",_PENDIENTES!$B$39,"")</f>
        <v/>
      </c>
      <c r="N45" s="304">
        <f>IF(_PENDIENTES!$B$39&lt;&gt;"",_PENDIENTES!$L$39,"")</f>
        <v/>
      </c>
      <c r="O45" s="284" t="n"/>
      <c r="P45" s="284" t="n"/>
      <c r="Q45" s="284" t="n"/>
      <c r="R45" s="284" t="n"/>
      <c r="S45" s="284" t="n"/>
    </row>
    <row r="46" hidden="1" ht="15.75" customHeight="1" s="195">
      <c r="A46" s="301">
        <f>IF(_PENDIENTES!$B$40&lt;&gt;"",39,"")</f>
        <v/>
      </c>
      <c r="B46" s="242">
        <f>IF(_PENDIENTES!$B$40&lt;&gt;"",_PENDIENTES!$A$40,"")</f>
        <v/>
      </c>
      <c r="C46" s="302">
        <f>IF(_PENDIENTES!$B$40&lt;&gt;"",_PENDIENTES!$C$40,"")</f>
        <v/>
      </c>
      <c r="D46" s="301">
        <f>IF(_PENDIENTES!$B$40&lt;&gt;"",_PENDIENTES!$D$40,"")</f>
        <v/>
      </c>
      <c r="E46" s="306">
        <f>IF(_PENDIENTES!$B$40&lt;&gt;"",_PENDIENTES!$E$40,"")</f>
        <v/>
      </c>
      <c r="F46" s="301">
        <f>IF(_PENDIENTES!$B$40&lt;&gt;"",_PENDIENTES!$F$40,"")</f>
        <v/>
      </c>
      <c r="G46" s="245">
        <f>IF(_PENDIENTES!$B$40&lt;&gt;"",_PENDIENTES!$G$40,"")</f>
        <v/>
      </c>
      <c r="H46" s="245">
        <f>IF(_PENDIENTES!$B$40&lt;&gt;"",_PENDIENTES!$H$40,"")</f>
        <v/>
      </c>
      <c r="I46" s="303">
        <f>IF(_PENDIENTES!$B$40&lt;&gt;"",_PENDIENTES!$I$40,"")</f>
        <v/>
      </c>
      <c r="J46" s="245">
        <f>IF(_PENDIENTES!$B$40&lt;&gt;"",_PENDIENTES!$J$40,"")</f>
        <v/>
      </c>
      <c r="K46" s="301">
        <f>IF(_PENDIENTES!$B$40&lt;&gt;"","POR RECOGER","")</f>
        <v/>
      </c>
      <c r="L46" s="302">
        <f>IF(_PENDIENTES!$B$40&lt;&gt;"",_PENDIENTES!$K$40,"")</f>
        <v/>
      </c>
      <c r="M46" s="280">
        <f>IF(_PENDIENTES!$B$40&lt;&gt;"",_PENDIENTES!$B$40,"")</f>
        <v/>
      </c>
      <c r="N46" s="304">
        <f>IF(_PENDIENTES!$B$40&lt;&gt;"",_PENDIENTES!$L$40,"")</f>
        <v/>
      </c>
      <c r="O46" s="284" t="n"/>
      <c r="P46" s="284" t="n"/>
      <c r="Q46" s="284" t="n"/>
      <c r="R46" s="284" t="n"/>
      <c r="S46" s="284" t="n"/>
    </row>
    <row r="47" hidden="1" ht="15.75" customHeight="1" s="195">
      <c r="A47" s="241">
        <f>IF(_PENDIENTES!$B$41&lt;&gt;"",40,"")</f>
        <v/>
      </c>
      <c r="B47" s="236">
        <f>IF(_PENDIENTES!$B$41&lt;&gt;"",_PENDIENTES!$A$41,"")</f>
        <v/>
      </c>
      <c r="C47" s="305">
        <f>IF(_PENDIENTES!$B$41&lt;&gt;"",_PENDIENTES!$C$41,"")</f>
        <v/>
      </c>
      <c r="D47" s="241">
        <f>IF(_PENDIENTES!$B$41&lt;&gt;"",_PENDIENTES!$D$41,"")</f>
        <v/>
      </c>
      <c r="E47" s="307">
        <f>IF(_PENDIENTES!$B$41&lt;&gt;"",_PENDIENTES!$E$41,"")</f>
        <v/>
      </c>
      <c r="F47" s="241">
        <f>IF(_PENDIENTES!$B$41&lt;&gt;"",_PENDIENTES!$F$41,"")</f>
        <v/>
      </c>
      <c r="G47" s="239">
        <f>IF(_PENDIENTES!$B$41&lt;&gt;"",_PENDIENTES!$G$41,"")</f>
        <v/>
      </c>
      <c r="H47" s="239">
        <f>IF(_PENDIENTES!$B$41&lt;&gt;"",_PENDIENTES!$H$41,"")</f>
        <v/>
      </c>
      <c r="I47" s="308">
        <f>IF(_PENDIENTES!$B$41&lt;&gt;"",_PENDIENTES!$I$41,"")</f>
        <v/>
      </c>
      <c r="J47" s="239">
        <f>IF(_PENDIENTES!$B$41&lt;&gt;"",_PENDIENTES!$J$41,"")</f>
        <v/>
      </c>
      <c r="K47" s="241">
        <f>IF(_PENDIENTES!$B$41&lt;&gt;"","POR RECOGER","")</f>
        <v/>
      </c>
      <c r="L47" s="305">
        <f>IF(_PENDIENTES!$B$41&lt;&gt;"",_PENDIENTES!$K$41,"")</f>
        <v/>
      </c>
      <c r="M47" s="280">
        <f>IF(_PENDIENTES!$B$41&lt;&gt;"",_PENDIENTES!$B$41,"")</f>
        <v/>
      </c>
      <c r="N47" s="304">
        <f>IF(_PENDIENTES!$B$41&lt;&gt;"",_PENDIENTES!$L$41,"")</f>
        <v/>
      </c>
      <c r="O47" s="284" t="n"/>
      <c r="P47" s="284" t="n"/>
      <c r="Q47" s="284" t="n"/>
      <c r="R47" s="284" t="n"/>
      <c r="S47" s="284" t="n"/>
    </row>
    <row r="48" hidden="1" ht="15.75" customHeight="1" s="195">
      <c r="A48" s="301">
        <f>IF(_PENDIENTES!$B$42&lt;&gt;"",41,"")</f>
        <v/>
      </c>
      <c r="B48" s="242">
        <f>IF(_PENDIENTES!$B$42&lt;&gt;"",_PENDIENTES!$A$42,"")</f>
        <v/>
      </c>
      <c r="C48" s="302">
        <f>IF(_PENDIENTES!$B$42&lt;&gt;"",_PENDIENTES!$C$42,"")</f>
        <v/>
      </c>
      <c r="D48" s="301">
        <f>IF(_PENDIENTES!$B$42&lt;&gt;"",_PENDIENTES!$D$42,"")</f>
        <v/>
      </c>
      <c r="E48" s="306">
        <f>IF(_PENDIENTES!$B$42&lt;&gt;"",_PENDIENTES!$E$42,"")</f>
        <v/>
      </c>
      <c r="F48" s="301">
        <f>IF(_PENDIENTES!$B$42&lt;&gt;"",_PENDIENTES!$F$42,"")</f>
        <v/>
      </c>
      <c r="G48" s="245">
        <f>IF(_PENDIENTES!$B$42&lt;&gt;"",_PENDIENTES!$G$42,"")</f>
        <v/>
      </c>
      <c r="H48" s="245">
        <f>IF(_PENDIENTES!$B$42&lt;&gt;"",_PENDIENTES!$H$42,"")</f>
        <v/>
      </c>
      <c r="I48" s="303">
        <f>IF(_PENDIENTES!$B$42&lt;&gt;"",_PENDIENTES!$I$42,"")</f>
        <v/>
      </c>
      <c r="J48" s="245">
        <f>IF(_PENDIENTES!$B$42&lt;&gt;"",_PENDIENTES!$J$42,"")</f>
        <v/>
      </c>
      <c r="K48" s="301">
        <f>IF(_PENDIENTES!$B$42&lt;&gt;"","POR RECOGER","")</f>
        <v/>
      </c>
      <c r="L48" s="302">
        <f>IF(_PENDIENTES!$B$42&lt;&gt;"",_PENDIENTES!$K$42,"")</f>
        <v/>
      </c>
      <c r="M48" s="280">
        <f>IF(_PENDIENTES!$B$42&lt;&gt;"",_PENDIENTES!$B$42,"")</f>
        <v/>
      </c>
      <c r="N48" s="304">
        <f>IF(_PENDIENTES!$B$42&lt;&gt;"",_PENDIENTES!$L$42,"")</f>
        <v/>
      </c>
      <c r="O48" s="284" t="n"/>
      <c r="P48" s="284" t="n"/>
      <c r="Q48" s="284" t="n"/>
      <c r="R48" s="284" t="n"/>
      <c r="S48" s="284" t="n"/>
    </row>
    <row r="49" hidden="1" ht="15.75" customHeight="1" s="195">
      <c r="A49" s="241">
        <f>IF(_PENDIENTES!$B$43&lt;&gt;"",42,"")</f>
        <v/>
      </c>
      <c r="B49" s="236">
        <f>IF(_PENDIENTES!$B$43&lt;&gt;"",_PENDIENTES!$A$43,"")</f>
        <v/>
      </c>
      <c r="C49" s="305">
        <f>IF(_PENDIENTES!$B$43&lt;&gt;"",_PENDIENTES!$C$43,"")</f>
        <v/>
      </c>
      <c r="D49" s="241">
        <f>IF(_PENDIENTES!$B$43&lt;&gt;"",_PENDIENTES!$D$43,"")</f>
        <v/>
      </c>
      <c r="E49" s="307">
        <f>IF(_PENDIENTES!$B$43&lt;&gt;"",_PENDIENTES!$E$43,"")</f>
        <v/>
      </c>
      <c r="F49" s="241">
        <f>IF(_PENDIENTES!$B$43&lt;&gt;"",_PENDIENTES!$F$43,"")</f>
        <v/>
      </c>
      <c r="G49" s="239">
        <f>IF(_PENDIENTES!$B$43&lt;&gt;"",_PENDIENTES!$G$43,"")</f>
        <v/>
      </c>
      <c r="H49" s="239">
        <f>IF(_PENDIENTES!$B$43&lt;&gt;"",_PENDIENTES!$H$43,"")</f>
        <v/>
      </c>
      <c r="I49" s="308">
        <f>IF(_PENDIENTES!$B$43&lt;&gt;"",_PENDIENTES!$I$43,"")</f>
        <v/>
      </c>
      <c r="J49" s="239">
        <f>IF(_PENDIENTES!$B$43&lt;&gt;"",_PENDIENTES!$J$43,"")</f>
        <v/>
      </c>
      <c r="K49" s="241">
        <f>IF(_PENDIENTES!$B$43&lt;&gt;"","POR RECOGER","")</f>
        <v/>
      </c>
      <c r="L49" s="305">
        <f>IF(_PENDIENTES!$B$43&lt;&gt;"",_PENDIENTES!$K$43,"")</f>
        <v/>
      </c>
      <c r="M49" s="280">
        <f>IF(_PENDIENTES!$B$43&lt;&gt;"",_PENDIENTES!$B$43,"")</f>
        <v/>
      </c>
      <c r="N49" s="304">
        <f>IF(_PENDIENTES!$B$43&lt;&gt;"",_PENDIENTES!$L$43,"")</f>
        <v/>
      </c>
      <c r="O49" s="284" t="n"/>
      <c r="P49" s="284" t="n"/>
      <c r="Q49" s="284" t="n"/>
      <c r="R49" s="284" t="n"/>
      <c r="S49" s="284" t="n"/>
    </row>
    <row r="50" hidden="1" ht="15.75" customHeight="1" s="195">
      <c r="A50" s="301">
        <f>IF(_PENDIENTES!$B$44&lt;&gt;"",43,"")</f>
        <v/>
      </c>
      <c r="B50" s="242">
        <f>IF(_PENDIENTES!$B$44&lt;&gt;"",_PENDIENTES!$A$44,"")</f>
        <v/>
      </c>
      <c r="C50" s="302">
        <f>IF(_PENDIENTES!$B$44&lt;&gt;"",_PENDIENTES!$C$44,"")</f>
        <v/>
      </c>
      <c r="D50" s="301">
        <f>IF(_PENDIENTES!$B$44&lt;&gt;"",_PENDIENTES!$D$44,"")</f>
        <v/>
      </c>
      <c r="E50" s="306">
        <f>IF(_PENDIENTES!$B$44&lt;&gt;"",_PENDIENTES!$E$44,"")</f>
        <v/>
      </c>
      <c r="F50" s="301">
        <f>IF(_PENDIENTES!$B$44&lt;&gt;"",_PENDIENTES!$F$44,"")</f>
        <v/>
      </c>
      <c r="G50" s="245">
        <f>IF(_PENDIENTES!$B$44&lt;&gt;"",_PENDIENTES!$G$44,"")</f>
        <v/>
      </c>
      <c r="H50" s="245">
        <f>IF(_PENDIENTES!$B$44&lt;&gt;"",_PENDIENTES!$H$44,"")</f>
        <v/>
      </c>
      <c r="I50" s="303">
        <f>IF(_PENDIENTES!$B$44&lt;&gt;"",_PENDIENTES!$I$44,"")</f>
        <v/>
      </c>
      <c r="J50" s="245">
        <f>IF(_PENDIENTES!$B$44&lt;&gt;"",_PENDIENTES!$J$44,"")</f>
        <v/>
      </c>
      <c r="K50" s="301">
        <f>IF(_PENDIENTES!$B$44&lt;&gt;"","POR RECOGER","")</f>
        <v/>
      </c>
      <c r="L50" s="302">
        <f>IF(_PENDIENTES!$B$44&lt;&gt;"",_PENDIENTES!$K$44,"")</f>
        <v/>
      </c>
      <c r="M50" s="280">
        <f>IF(_PENDIENTES!$B$44&lt;&gt;"",_PENDIENTES!$B$44,"")</f>
        <v/>
      </c>
      <c r="N50" s="304">
        <f>IF(_PENDIENTES!$B$44&lt;&gt;"",_PENDIENTES!$L$44,"")</f>
        <v/>
      </c>
      <c r="O50" s="284" t="n"/>
      <c r="P50" s="284" t="n"/>
      <c r="Q50" s="284" t="n"/>
      <c r="R50" s="284" t="n"/>
      <c r="S50" s="284" t="n"/>
    </row>
    <row r="51" hidden="1" ht="15.75" customHeight="1" s="195">
      <c r="A51" s="241">
        <f>IF(_PENDIENTES!$B$45&lt;&gt;"",44,"")</f>
        <v/>
      </c>
      <c r="B51" s="236">
        <f>IF(_PENDIENTES!$B$45&lt;&gt;"",_PENDIENTES!$A$45,"")</f>
        <v/>
      </c>
      <c r="C51" s="305">
        <f>IF(_PENDIENTES!$B$45&lt;&gt;"",_PENDIENTES!$C$45,"")</f>
        <v/>
      </c>
      <c r="D51" s="241">
        <f>IF(_PENDIENTES!$B$45&lt;&gt;"",_PENDIENTES!$D$45,"")</f>
        <v/>
      </c>
      <c r="E51" s="307">
        <f>IF(_PENDIENTES!$B$45&lt;&gt;"",_PENDIENTES!$E$45,"")</f>
        <v/>
      </c>
      <c r="F51" s="241">
        <f>IF(_PENDIENTES!$B$45&lt;&gt;"",_PENDIENTES!$F$45,"")</f>
        <v/>
      </c>
      <c r="G51" s="239">
        <f>IF(_PENDIENTES!$B$45&lt;&gt;"",_PENDIENTES!$G$45,"")</f>
        <v/>
      </c>
      <c r="H51" s="239">
        <f>IF(_PENDIENTES!$B$45&lt;&gt;"",_PENDIENTES!$H$45,"")</f>
        <v/>
      </c>
      <c r="I51" s="308">
        <f>IF(_PENDIENTES!$B$45&lt;&gt;"",_PENDIENTES!$I$45,"")</f>
        <v/>
      </c>
      <c r="J51" s="239">
        <f>IF(_PENDIENTES!$B$45&lt;&gt;"",_PENDIENTES!$J$45,"")</f>
        <v/>
      </c>
      <c r="K51" s="241">
        <f>IF(_PENDIENTES!$B$45&lt;&gt;"","POR RECOGER","")</f>
        <v/>
      </c>
      <c r="L51" s="305">
        <f>IF(_PENDIENTES!$B$45&lt;&gt;"",_PENDIENTES!$K$45,"")</f>
        <v/>
      </c>
      <c r="M51" s="280">
        <f>IF(_PENDIENTES!$B$45&lt;&gt;"",_PENDIENTES!$B$45,"")</f>
        <v/>
      </c>
      <c r="N51" s="304">
        <f>IF(_PENDIENTES!$B$45&lt;&gt;"",_PENDIENTES!$L$45,"")</f>
        <v/>
      </c>
      <c r="O51" s="284" t="n"/>
      <c r="P51" s="284" t="n"/>
      <c r="Q51" s="284" t="n"/>
      <c r="R51" s="284" t="n"/>
      <c r="S51" s="284" t="n"/>
    </row>
    <row r="52" hidden="1" ht="15.75" customHeight="1" s="195">
      <c r="A52" s="301">
        <f>IF(_PENDIENTES!$B$46&lt;&gt;"",45,"")</f>
        <v/>
      </c>
      <c r="B52" s="242">
        <f>IF(_PENDIENTES!$B$46&lt;&gt;"",_PENDIENTES!$A$46,"")</f>
        <v/>
      </c>
      <c r="C52" s="302">
        <f>IF(_PENDIENTES!$B$46&lt;&gt;"",_PENDIENTES!$C$46,"")</f>
        <v/>
      </c>
      <c r="D52" s="301">
        <f>IF(_PENDIENTES!$B$46&lt;&gt;"",_PENDIENTES!$D$46,"")</f>
        <v/>
      </c>
      <c r="E52" s="306">
        <f>IF(_PENDIENTES!$B$46&lt;&gt;"",_PENDIENTES!$E$46,"")</f>
        <v/>
      </c>
      <c r="F52" s="301">
        <f>IF(_PENDIENTES!$B$46&lt;&gt;"",_PENDIENTES!$F$46,"")</f>
        <v/>
      </c>
      <c r="G52" s="245">
        <f>IF(_PENDIENTES!$B$46&lt;&gt;"",_PENDIENTES!$G$46,"")</f>
        <v/>
      </c>
      <c r="H52" s="245">
        <f>IF(_PENDIENTES!$B$46&lt;&gt;"",_PENDIENTES!$H$46,"")</f>
        <v/>
      </c>
      <c r="I52" s="303">
        <f>IF(_PENDIENTES!$B$46&lt;&gt;"",_PENDIENTES!$I$46,"")</f>
        <v/>
      </c>
      <c r="J52" s="245">
        <f>IF(_PENDIENTES!$B$46&lt;&gt;"",_PENDIENTES!$J$46,"")</f>
        <v/>
      </c>
      <c r="K52" s="301">
        <f>IF(_PENDIENTES!$B$46&lt;&gt;"","POR RECOGER","")</f>
        <v/>
      </c>
      <c r="L52" s="302">
        <f>IF(_PENDIENTES!$B$46&lt;&gt;"",_PENDIENTES!$K$46,"")</f>
        <v/>
      </c>
      <c r="M52" s="280">
        <f>IF(_PENDIENTES!$B$46&lt;&gt;"",_PENDIENTES!$B$46,"")</f>
        <v/>
      </c>
      <c r="N52" s="304">
        <f>IF(_PENDIENTES!$B$46&lt;&gt;"",_PENDIENTES!$L$46,"")</f>
        <v/>
      </c>
      <c r="O52" s="284" t="n"/>
      <c r="P52" s="284" t="n"/>
      <c r="Q52" s="284" t="n"/>
      <c r="R52" s="284" t="n"/>
      <c r="S52" s="284" t="n"/>
    </row>
    <row r="53" hidden="1" ht="15.75" customHeight="1" s="195">
      <c r="A53" s="241">
        <f>IF(_PENDIENTES!$B$47&lt;&gt;"",46,"")</f>
        <v/>
      </c>
      <c r="B53" s="236">
        <f>IF(_PENDIENTES!$B$47&lt;&gt;"",_PENDIENTES!$A$47,"")</f>
        <v/>
      </c>
      <c r="C53" s="305">
        <f>IF(_PENDIENTES!$B$47&lt;&gt;"",_PENDIENTES!$C$47,"")</f>
        <v/>
      </c>
      <c r="D53" s="241">
        <f>IF(_PENDIENTES!$B$47&lt;&gt;"",_PENDIENTES!$D$47,"")</f>
        <v/>
      </c>
      <c r="E53" s="307">
        <f>IF(_PENDIENTES!$B$47&lt;&gt;"",_PENDIENTES!$E$47,"")</f>
        <v/>
      </c>
      <c r="F53" s="241">
        <f>IF(_PENDIENTES!$B$47&lt;&gt;"",_PENDIENTES!$F$47,"")</f>
        <v/>
      </c>
      <c r="G53" s="239">
        <f>IF(_PENDIENTES!$B$47&lt;&gt;"",_PENDIENTES!$G$47,"")</f>
        <v/>
      </c>
      <c r="H53" s="239">
        <f>IF(_PENDIENTES!$B$47&lt;&gt;"",_PENDIENTES!$H$47,"")</f>
        <v/>
      </c>
      <c r="I53" s="308">
        <f>IF(_PENDIENTES!$B$47&lt;&gt;"",_PENDIENTES!$I$47,"")</f>
        <v/>
      </c>
      <c r="J53" s="239">
        <f>IF(_PENDIENTES!$B$47&lt;&gt;"",_PENDIENTES!$J$47,"")</f>
        <v/>
      </c>
      <c r="K53" s="241">
        <f>IF(_PENDIENTES!$B$47&lt;&gt;"","POR RECOGER","")</f>
        <v/>
      </c>
      <c r="L53" s="305">
        <f>IF(_PENDIENTES!$B$47&lt;&gt;"",_PENDIENTES!$K$47,"")</f>
        <v/>
      </c>
      <c r="M53" s="280">
        <f>IF(_PENDIENTES!$B$47&lt;&gt;"",_PENDIENTES!$B$47,"")</f>
        <v/>
      </c>
      <c r="N53" s="304">
        <f>IF(_PENDIENTES!$B$47&lt;&gt;"",_PENDIENTES!$L$47,"")</f>
        <v/>
      </c>
      <c r="O53" s="284" t="n"/>
      <c r="P53" s="284" t="n"/>
      <c r="Q53" s="284" t="n"/>
      <c r="R53" s="284" t="n"/>
      <c r="S53" s="284" t="n"/>
    </row>
    <row r="54" hidden="1" ht="15.75" customHeight="1" s="195">
      <c r="A54" s="301">
        <f>IF(_PENDIENTES!$B$48&lt;&gt;"",47,"")</f>
        <v/>
      </c>
      <c r="B54" s="242">
        <f>IF(_PENDIENTES!$B$48&lt;&gt;"",_PENDIENTES!$A$48,"")</f>
        <v/>
      </c>
      <c r="C54" s="302">
        <f>IF(_PENDIENTES!$B$48&lt;&gt;"",_PENDIENTES!$C$48,"")</f>
        <v/>
      </c>
      <c r="D54" s="301">
        <f>IF(_PENDIENTES!$B$48&lt;&gt;"",_PENDIENTES!$D$48,"")</f>
        <v/>
      </c>
      <c r="E54" s="306">
        <f>IF(_PENDIENTES!$B$48&lt;&gt;"",_PENDIENTES!$E$48,"")</f>
        <v/>
      </c>
      <c r="F54" s="301">
        <f>IF(_PENDIENTES!$B$48&lt;&gt;"",_PENDIENTES!$F$48,"")</f>
        <v/>
      </c>
      <c r="G54" s="245">
        <f>IF(_PENDIENTES!$B$48&lt;&gt;"",_PENDIENTES!$G$48,"")</f>
        <v/>
      </c>
      <c r="H54" s="245">
        <f>IF(_PENDIENTES!$B$48&lt;&gt;"",_PENDIENTES!$H$48,"")</f>
        <v/>
      </c>
      <c r="I54" s="303">
        <f>IF(_PENDIENTES!$B$48&lt;&gt;"",_PENDIENTES!$I$48,"")</f>
        <v/>
      </c>
      <c r="J54" s="245">
        <f>IF(_PENDIENTES!$B$48&lt;&gt;"",_PENDIENTES!$J$48,"")</f>
        <v/>
      </c>
      <c r="K54" s="301">
        <f>IF(_PENDIENTES!$B$48&lt;&gt;"","POR RECOGER","")</f>
        <v/>
      </c>
      <c r="L54" s="302">
        <f>IF(_PENDIENTES!$B$48&lt;&gt;"",_PENDIENTES!$K$48,"")</f>
        <v/>
      </c>
      <c r="M54" s="280">
        <f>IF(_PENDIENTES!$B$48&lt;&gt;"",_PENDIENTES!$B$48,"")</f>
        <v/>
      </c>
      <c r="N54" s="304">
        <f>IF(_PENDIENTES!$B$48&lt;&gt;"",_PENDIENTES!$L$48,"")</f>
        <v/>
      </c>
      <c r="O54" s="284" t="n"/>
      <c r="P54" s="284" t="n"/>
      <c r="Q54" s="284" t="n"/>
      <c r="R54" s="284" t="n"/>
      <c r="S54" s="284" t="n"/>
    </row>
    <row r="55" hidden="1" ht="15.75" customHeight="1" s="195">
      <c r="A55" s="241">
        <f>IF(_PENDIENTES!$B$49&lt;&gt;"",48,"")</f>
        <v/>
      </c>
      <c r="B55" s="236">
        <f>IF(_PENDIENTES!$B$49&lt;&gt;"",_PENDIENTES!$A$49,"")</f>
        <v/>
      </c>
      <c r="C55" s="305">
        <f>IF(_PENDIENTES!$B$49&lt;&gt;"",_PENDIENTES!$C$49,"")</f>
        <v/>
      </c>
      <c r="D55" s="241">
        <f>IF(_PENDIENTES!$B$49&lt;&gt;"",_PENDIENTES!$D$49,"")</f>
        <v/>
      </c>
      <c r="E55" s="307">
        <f>IF(_PENDIENTES!$B$49&lt;&gt;"",_PENDIENTES!$E$49,"")</f>
        <v/>
      </c>
      <c r="F55" s="241">
        <f>IF(_PENDIENTES!$B$49&lt;&gt;"",_PENDIENTES!$F$49,"")</f>
        <v/>
      </c>
      <c r="G55" s="239">
        <f>IF(_PENDIENTES!$B$49&lt;&gt;"",_PENDIENTES!$G$49,"")</f>
        <v/>
      </c>
      <c r="H55" s="239">
        <f>IF(_PENDIENTES!$B$49&lt;&gt;"",_PENDIENTES!$H$49,"")</f>
        <v/>
      </c>
      <c r="I55" s="308">
        <f>IF(_PENDIENTES!$B$49&lt;&gt;"",_PENDIENTES!$I$49,"")</f>
        <v/>
      </c>
      <c r="J55" s="239">
        <f>IF(_PENDIENTES!$B$49&lt;&gt;"",_PENDIENTES!$J$49,"")</f>
        <v/>
      </c>
      <c r="K55" s="241">
        <f>IF(_PENDIENTES!$B$49&lt;&gt;"","POR RECOGER","")</f>
        <v/>
      </c>
      <c r="L55" s="305">
        <f>IF(_PENDIENTES!$B$49&lt;&gt;"",_PENDIENTES!$K$49,"")</f>
        <v/>
      </c>
      <c r="M55" s="280">
        <f>IF(_PENDIENTES!$B$49&lt;&gt;"",_PENDIENTES!$B$49,"")</f>
        <v/>
      </c>
      <c r="N55" s="304">
        <f>IF(_PENDIENTES!$B$49&lt;&gt;"",_PENDIENTES!$L$49,"")</f>
        <v/>
      </c>
      <c r="O55" s="284" t="n"/>
      <c r="P55" s="284" t="n"/>
      <c r="Q55" s="284" t="n"/>
      <c r="R55" s="284" t="n"/>
      <c r="S55" s="284" t="n"/>
    </row>
    <row r="56" hidden="1" ht="15.75" customHeight="1" s="195">
      <c r="A56" s="301">
        <f>IF(_PENDIENTES!$B$50&lt;&gt;"",49,"")</f>
        <v/>
      </c>
      <c r="B56" s="242">
        <f>IF(_PENDIENTES!$B$50&lt;&gt;"",_PENDIENTES!$A$50,"")</f>
        <v/>
      </c>
      <c r="C56" s="302">
        <f>IF(_PENDIENTES!$B$50&lt;&gt;"",_PENDIENTES!$C$50,"")</f>
        <v/>
      </c>
      <c r="D56" s="301">
        <f>IF(_PENDIENTES!$B$50&lt;&gt;"",_PENDIENTES!$D$50,"")</f>
        <v/>
      </c>
      <c r="E56" s="306">
        <f>IF(_PENDIENTES!$B$50&lt;&gt;"",_PENDIENTES!$E$50,"")</f>
        <v/>
      </c>
      <c r="F56" s="301">
        <f>IF(_PENDIENTES!$B$50&lt;&gt;"",_PENDIENTES!$F$50,"")</f>
        <v/>
      </c>
      <c r="G56" s="245">
        <f>IF(_PENDIENTES!$B$50&lt;&gt;"",_PENDIENTES!$G$50,"")</f>
        <v/>
      </c>
      <c r="H56" s="245">
        <f>IF(_PENDIENTES!$B$50&lt;&gt;"",_PENDIENTES!$H$50,"")</f>
        <v/>
      </c>
      <c r="I56" s="303">
        <f>IF(_PENDIENTES!$B$50&lt;&gt;"",_PENDIENTES!$I$50,"")</f>
        <v/>
      </c>
      <c r="J56" s="245">
        <f>IF(_PENDIENTES!$B$50&lt;&gt;"",_PENDIENTES!$J$50,"")</f>
        <v/>
      </c>
      <c r="K56" s="301">
        <f>IF(_PENDIENTES!$B$50&lt;&gt;"","POR RECOGER","")</f>
        <v/>
      </c>
      <c r="L56" s="302">
        <f>IF(_PENDIENTES!$B$50&lt;&gt;"",_PENDIENTES!$K$50,"")</f>
        <v/>
      </c>
      <c r="M56" s="280">
        <f>IF(_PENDIENTES!$B$50&lt;&gt;"",_PENDIENTES!$B$50,"")</f>
        <v/>
      </c>
      <c r="N56" s="304">
        <f>IF(_PENDIENTES!$B$50&lt;&gt;"",_PENDIENTES!$L$50,"")</f>
        <v/>
      </c>
      <c r="O56" s="284" t="n"/>
      <c r="P56" s="284" t="n"/>
      <c r="Q56" s="284" t="n"/>
      <c r="R56" s="284" t="n"/>
      <c r="S56" s="284" t="n"/>
    </row>
    <row r="57" hidden="1" ht="15.75" customHeight="1" s="195">
      <c r="A57" s="241">
        <f>IF(_PENDIENTES!$B$51&lt;&gt;"",50,"")</f>
        <v/>
      </c>
      <c r="B57" s="236">
        <f>IF(_PENDIENTES!$B$51&lt;&gt;"",_PENDIENTES!$A$51,"")</f>
        <v/>
      </c>
      <c r="C57" s="305">
        <f>IF(_PENDIENTES!$B$51&lt;&gt;"",_PENDIENTES!$C$51,"")</f>
        <v/>
      </c>
      <c r="D57" s="241">
        <f>IF(_PENDIENTES!$B$51&lt;&gt;"",_PENDIENTES!$D$51,"")</f>
        <v/>
      </c>
      <c r="E57" s="307">
        <f>IF(_PENDIENTES!$B$51&lt;&gt;"",_PENDIENTES!$E$51,"")</f>
        <v/>
      </c>
      <c r="F57" s="241">
        <f>IF(_PENDIENTES!$B$51&lt;&gt;"",_PENDIENTES!$F$51,"")</f>
        <v/>
      </c>
      <c r="G57" s="239">
        <f>IF(_PENDIENTES!$B$51&lt;&gt;"",_PENDIENTES!$G$51,"")</f>
        <v/>
      </c>
      <c r="H57" s="239">
        <f>IF(_PENDIENTES!$B$51&lt;&gt;"",_PENDIENTES!$H$51,"")</f>
        <v/>
      </c>
      <c r="I57" s="308">
        <f>IF(_PENDIENTES!$B$51&lt;&gt;"",_PENDIENTES!$I$51,"")</f>
        <v/>
      </c>
      <c r="J57" s="239">
        <f>IF(_PENDIENTES!$B$51&lt;&gt;"",_PENDIENTES!$J$51,"")</f>
        <v/>
      </c>
      <c r="K57" s="241">
        <f>IF(_PENDIENTES!$B$51&lt;&gt;"","POR RECOGER","")</f>
        <v/>
      </c>
      <c r="L57" s="305">
        <f>IF(_PENDIENTES!$B$51&lt;&gt;"",_PENDIENTES!$K$51,"")</f>
        <v/>
      </c>
      <c r="M57" s="280">
        <f>IF(_PENDIENTES!$B$51&lt;&gt;"",_PENDIENTES!$B$51,"")</f>
        <v/>
      </c>
      <c r="N57" s="304">
        <f>IF(_PENDIENTES!$B$51&lt;&gt;"",_PENDIENTES!$L$51,"")</f>
        <v/>
      </c>
      <c r="O57" s="284" t="n"/>
      <c r="P57" s="284" t="n"/>
      <c r="Q57" s="284" t="n"/>
      <c r="R57" s="284" t="n"/>
      <c r="S57" s="284" t="n"/>
    </row>
    <row r="58" hidden="1" ht="15.75" customHeight="1" s="195">
      <c r="A58" s="301">
        <f>IF(_PENDIENTES!$B$52&lt;&gt;"",51,"")</f>
        <v/>
      </c>
      <c r="B58" s="242">
        <f>IF(_PENDIENTES!$B$52&lt;&gt;"",_PENDIENTES!$A$52,"")</f>
        <v/>
      </c>
      <c r="C58" s="302">
        <f>IF(_PENDIENTES!$B$52&lt;&gt;"",_PENDIENTES!$C$52,"")</f>
        <v/>
      </c>
      <c r="D58" s="301">
        <f>IF(_PENDIENTES!$B$52&lt;&gt;"",_PENDIENTES!$D$52,"")</f>
        <v/>
      </c>
      <c r="E58" s="306">
        <f>IF(_PENDIENTES!$B$52&lt;&gt;"",_PENDIENTES!$E$52,"")</f>
        <v/>
      </c>
      <c r="F58" s="301">
        <f>IF(_PENDIENTES!$B$52&lt;&gt;"",_PENDIENTES!$F$52,"")</f>
        <v/>
      </c>
      <c r="G58" s="245">
        <f>IF(_PENDIENTES!$B$52&lt;&gt;"",_PENDIENTES!$G$52,"")</f>
        <v/>
      </c>
      <c r="H58" s="245">
        <f>IF(_PENDIENTES!$B$52&lt;&gt;"",_PENDIENTES!$H$52,"")</f>
        <v/>
      </c>
      <c r="I58" s="303">
        <f>IF(_PENDIENTES!$B$52&lt;&gt;"",_PENDIENTES!$I$52,"")</f>
        <v/>
      </c>
      <c r="J58" s="245">
        <f>IF(_PENDIENTES!$B$52&lt;&gt;"",_PENDIENTES!$J$52,"")</f>
        <v/>
      </c>
      <c r="K58" s="301">
        <f>IF(_PENDIENTES!$B$52&lt;&gt;"","POR RECOGER","")</f>
        <v/>
      </c>
      <c r="L58" s="302">
        <f>IF(_PENDIENTES!$B$52&lt;&gt;"",_PENDIENTES!$K$52,"")</f>
        <v/>
      </c>
      <c r="M58" s="280">
        <f>IF(_PENDIENTES!$B$52&lt;&gt;"",_PENDIENTES!$B$52,"")</f>
        <v/>
      </c>
      <c r="N58" s="304">
        <f>IF(_PENDIENTES!$B$52&lt;&gt;"",_PENDIENTES!$L$52,"")</f>
        <v/>
      </c>
      <c r="O58" s="284" t="n"/>
      <c r="P58" s="284" t="n"/>
      <c r="Q58" s="284" t="n"/>
      <c r="R58" s="284" t="n"/>
      <c r="S58" s="284" t="n"/>
    </row>
    <row r="59" hidden="1" ht="15.75" customHeight="1" s="195">
      <c r="A59" s="241">
        <f>IF(_PENDIENTES!$B$53&lt;&gt;"",52,"")</f>
        <v/>
      </c>
      <c r="B59" s="236">
        <f>IF(_PENDIENTES!$B$53&lt;&gt;"",_PENDIENTES!$A$53,"")</f>
        <v/>
      </c>
      <c r="C59" s="305">
        <f>IF(_PENDIENTES!$B$53&lt;&gt;"",_PENDIENTES!$C$53,"")</f>
        <v/>
      </c>
      <c r="D59" s="241">
        <f>IF(_PENDIENTES!$B$53&lt;&gt;"",_PENDIENTES!$D$53,"")</f>
        <v/>
      </c>
      <c r="E59" s="307">
        <f>IF(_PENDIENTES!$B$53&lt;&gt;"",_PENDIENTES!$E$53,"")</f>
        <v/>
      </c>
      <c r="F59" s="241">
        <f>IF(_PENDIENTES!$B$53&lt;&gt;"",_PENDIENTES!$F$53,"")</f>
        <v/>
      </c>
      <c r="G59" s="239">
        <f>IF(_PENDIENTES!$B$53&lt;&gt;"",_PENDIENTES!$G$53,"")</f>
        <v/>
      </c>
      <c r="H59" s="239">
        <f>IF(_PENDIENTES!$B$53&lt;&gt;"",_PENDIENTES!$H$53,"")</f>
        <v/>
      </c>
      <c r="I59" s="308">
        <f>IF(_PENDIENTES!$B$53&lt;&gt;"",_PENDIENTES!$I$53,"")</f>
        <v/>
      </c>
      <c r="J59" s="239">
        <f>IF(_PENDIENTES!$B$53&lt;&gt;"",_PENDIENTES!$J$53,"")</f>
        <v/>
      </c>
      <c r="K59" s="241">
        <f>IF(_PENDIENTES!$B$53&lt;&gt;"","POR RECOGER","")</f>
        <v/>
      </c>
      <c r="L59" s="305">
        <f>IF(_PENDIENTES!$B$53&lt;&gt;"",_PENDIENTES!$K$53,"")</f>
        <v/>
      </c>
      <c r="M59" s="280">
        <f>IF(_PENDIENTES!$B$53&lt;&gt;"",_PENDIENTES!$B$53,"")</f>
        <v/>
      </c>
      <c r="N59" s="304">
        <f>IF(_PENDIENTES!$B$53&lt;&gt;"",_PENDIENTES!$L$53,"")</f>
        <v/>
      </c>
      <c r="O59" s="284" t="n"/>
      <c r="P59" s="284" t="n"/>
      <c r="Q59" s="284" t="n"/>
      <c r="R59" s="284" t="n"/>
      <c r="S59" s="284" t="n"/>
    </row>
    <row r="60" hidden="1" ht="15.75" customHeight="1" s="195">
      <c r="A60" s="301">
        <f>IF(_PENDIENTES!$B$54&lt;&gt;"",53,"")</f>
        <v/>
      </c>
      <c r="B60" s="242">
        <f>IF(_PENDIENTES!$B$54&lt;&gt;"",_PENDIENTES!$A$54,"")</f>
        <v/>
      </c>
      <c r="C60" s="302">
        <f>IF(_PENDIENTES!$B$54&lt;&gt;"",_PENDIENTES!$C$54,"")</f>
        <v/>
      </c>
      <c r="D60" s="301">
        <f>IF(_PENDIENTES!$B$54&lt;&gt;"",_PENDIENTES!$D$54,"")</f>
        <v/>
      </c>
      <c r="E60" s="306">
        <f>IF(_PENDIENTES!$B$54&lt;&gt;"",_PENDIENTES!$E$54,"")</f>
        <v/>
      </c>
      <c r="F60" s="301">
        <f>IF(_PENDIENTES!$B$54&lt;&gt;"",_PENDIENTES!$F$54,"")</f>
        <v/>
      </c>
      <c r="G60" s="245">
        <f>IF(_PENDIENTES!$B$54&lt;&gt;"",_PENDIENTES!$G$54,"")</f>
        <v/>
      </c>
      <c r="H60" s="245">
        <f>IF(_PENDIENTES!$B$54&lt;&gt;"",_PENDIENTES!$H$54,"")</f>
        <v/>
      </c>
      <c r="I60" s="303">
        <f>IF(_PENDIENTES!$B$54&lt;&gt;"",_PENDIENTES!$I$54,"")</f>
        <v/>
      </c>
      <c r="J60" s="245">
        <f>IF(_PENDIENTES!$B$54&lt;&gt;"",_PENDIENTES!$J$54,"")</f>
        <v/>
      </c>
      <c r="K60" s="301">
        <f>IF(_PENDIENTES!$B$54&lt;&gt;"","POR RECOGER","")</f>
        <v/>
      </c>
      <c r="L60" s="302">
        <f>IF(_PENDIENTES!$B$54&lt;&gt;"",_PENDIENTES!$K$54,"")</f>
        <v/>
      </c>
      <c r="M60" s="280">
        <f>IF(_PENDIENTES!$B$54&lt;&gt;"",_PENDIENTES!$B$54,"")</f>
        <v/>
      </c>
      <c r="N60" s="304">
        <f>IF(_PENDIENTES!$B$54&lt;&gt;"",_PENDIENTES!$L$54,"")</f>
        <v/>
      </c>
      <c r="O60" s="284" t="n"/>
      <c r="P60" s="284" t="n"/>
      <c r="Q60" s="284" t="n"/>
      <c r="R60" s="284" t="n"/>
      <c r="S60" s="284" t="n"/>
    </row>
    <row r="61" hidden="1" ht="15.75" customHeight="1" s="195">
      <c r="A61" s="241">
        <f>IF(_PENDIENTES!$B$55&lt;&gt;"",54,"")</f>
        <v/>
      </c>
      <c r="B61" s="236">
        <f>IF(_PENDIENTES!$B$55&lt;&gt;"",_PENDIENTES!$A$55,"")</f>
        <v/>
      </c>
      <c r="C61" s="305">
        <f>IF(_PENDIENTES!$B$55&lt;&gt;"",_PENDIENTES!$C$55,"")</f>
        <v/>
      </c>
      <c r="D61" s="241">
        <f>IF(_PENDIENTES!$B$55&lt;&gt;"",_PENDIENTES!$D$55,"")</f>
        <v/>
      </c>
      <c r="E61" s="307">
        <f>IF(_PENDIENTES!$B$55&lt;&gt;"",_PENDIENTES!$E$55,"")</f>
        <v/>
      </c>
      <c r="F61" s="241">
        <f>IF(_PENDIENTES!$B$55&lt;&gt;"",_PENDIENTES!$F$55,"")</f>
        <v/>
      </c>
      <c r="G61" s="239">
        <f>IF(_PENDIENTES!$B$55&lt;&gt;"",_PENDIENTES!$G$55,"")</f>
        <v/>
      </c>
      <c r="H61" s="239">
        <f>IF(_PENDIENTES!$B$55&lt;&gt;"",_PENDIENTES!$H$55,"")</f>
        <v/>
      </c>
      <c r="I61" s="308">
        <f>IF(_PENDIENTES!$B$55&lt;&gt;"",_PENDIENTES!$I$55,"")</f>
        <v/>
      </c>
      <c r="J61" s="239">
        <f>IF(_PENDIENTES!$B$55&lt;&gt;"",_PENDIENTES!$J$55,"")</f>
        <v/>
      </c>
      <c r="K61" s="241">
        <f>IF(_PENDIENTES!$B$55&lt;&gt;"","POR RECOGER","")</f>
        <v/>
      </c>
      <c r="L61" s="305">
        <f>IF(_PENDIENTES!$B$55&lt;&gt;"",_PENDIENTES!$K$55,"")</f>
        <v/>
      </c>
      <c r="M61" s="280">
        <f>IF(_PENDIENTES!$B$55&lt;&gt;"",_PENDIENTES!$B$55,"")</f>
        <v/>
      </c>
      <c r="N61" s="304">
        <f>IF(_PENDIENTES!$B$55&lt;&gt;"",_PENDIENTES!$L$55,"")</f>
        <v/>
      </c>
      <c r="O61" s="284" t="n"/>
      <c r="P61" s="284" t="n"/>
      <c r="Q61" s="284" t="n"/>
      <c r="R61" s="284" t="n"/>
      <c r="S61" s="284" t="n"/>
    </row>
    <row r="62" hidden="1" ht="15.75" customHeight="1" s="195">
      <c r="A62" s="301">
        <f>IF(_PENDIENTES!$B$56&lt;&gt;"",55,"")</f>
        <v/>
      </c>
      <c r="B62" s="242">
        <f>IF(_PENDIENTES!$B$56&lt;&gt;"",_PENDIENTES!$A$56,"")</f>
        <v/>
      </c>
      <c r="C62" s="302">
        <f>IF(_PENDIENTES!$B$56&lt;&gt;"",_PENDIENTES!$C$56,"")</f>
        <v/>
      </c>
      <c r="D62" s="301">
        <f>IF(_PENDIENTES!$B$56&lt;&gt;"",_PENDIENTES!$D$56,"")</f>
        <v/>
      </c>
      <c r="E62" s="306">
        <f>IF(_PENDIENTES!$B$56&lt;&gt;"",_PENDIENTES!$E$56,"")</f>
        <v/>
      </c>
      <c r="F62" s="301">
        <f>IF(_PENDIENTES!$B$56&lt;&gt;"",_PENDIENTES!$F$56,"")</f>
        <v/>
      </c>
      <c r="G62" s="245">
        <f>IF(_PENDIENTES!$B$56&lt;&gt;"",_PENDIENTES!$G$56,"")</f>
        <v/>
      </c>
      <c r="H62" s="245">
        <f>IF(_PENDIENTES!$B$56&lt;&gt;"",_PENDIENTES!$H$56,"")</f>
        <v/>
      </c>
      <c r="I62" s="303">
        <f>IF(_PENDIENTES!$B$56&lt;&gt;"",_PENDIENTES!$I$56,"")</f>
        <v/>
      </c>
      <c r="J62" s="245">
        <f>IF(_PENDIENTES!$B$56&lt;&gt;"",_PENDIENTES!$J$56,"")</f>
        <v/>
      </c>
      <c r="K62" s="301">
        <f>IF(_PENDIENTES!$B$56&lt;&gt;"","POR RECOGER","")</f>
        <v/>
      </c>
      <c r="L62" s="302">
        <f>IF(_PENDIENTES!$B$56&lt;&gt;"",_PENDIENTES!$K$56,"")</f>
        <v/>
      </c>
      <c r="M62" s="280">
        <f>IF(_PENDIENTES!$B$56&lt;&gt;"",_PENDIENTES!$B$56,"")</f>
        <v/>
      </c>
      <c r="N62" s="304">
        <f>IF(_PENDIENTES!$B$56&lt;&gt;"",_PENDIENTES!$L$56,"")</f>
        <v/>
      </c>
      <c r="O62" s="284" t="n"/>
      <c r="P62" s="284" t="n"/>
      <c r="Q62" s="284" t="n"/>
      <c r="R62" s="284" t="n"/>
      <c r="S62" s="284" t="n"/>
    </row>
    <row r="63" hidden="1" ht="15.75" customHeight="1" s="195">
      <c r="A63" s="241">
        <f>IF(_PENDIENTES!$B$57&lt;&gt;"",56,"")</f>
        <v/>
      </c>
      <c r="B63" s="236">
        <f>IF(_PENDIENTES!$B$57&lt;&gt;"",_PENDIENTES!$A$57,"")</f>
        <v/>
      </c>
      <c r="C63" s="305">
        <f>IF(_PENDIENTES!$B$57&lt;&gt;"",_PENDIENTES!$C$57,"")</f>
        <v/>
      </c>
      <c r="D63" s="241">
        <f>IF(_PENDIENTES!$B$57&lt;&gt;"",_PENDIENTES!$D$57,"")</f>
        <v/>
      </c>
      <c r="E63" s="307">
        <f>IF(_PENDIENTES!$B$57&lt;&gt;"",_PENDIENTES!$E$57,"")</f>
        <v/>
      </c>
      <c r="F63" s="241">
        <f>IF(_PENDIENTES!$B$57&lt;&gt;"",_PENDIENTES!$F$57,"")</f>
        <v/>
      </c>
      <c r="G63" s="239">
        <f>IF(_PENDIENTES!$B$57&lt;&gt;"",_PENDIENTES!$G$57,"")</f>
        <v/>
      </c>
      <c r="H63" s="239">
        <f>IF(_PENDIENTES!$B$57&lt;&gt;"",_PENDIENTES!$H$57,"")</f>
        <v/>
      </c>
      <c r="I63" s="308">
        <f>IF(_PENDIENTES!$B$57&lt;&gt;"",_PENDIENTES!$I$57,"")</f>
        <v/>
      </c>
      <c r="J63" s="239">
        <f>IF(_PENDIENTES!$B$57&lt;&gt;"",_PENDIENTES!$J$57,"")</f>
        <v/>
      </c>
      <c r="K63" s="241">
        <f>IF(_PENDIENTES!$B$57&lt;&gt;"","POR RECOGER","")</f>
        <v/>
      </c>
      <c r="L63" s="305">
        <f>IF(_PENDIENTES!$B$57&lt;&gt;"",_PENDIENTES!$K$57,"")</f>
        <v/>
      </c>
      <c r="M63" s="280">
        <f>IF(_PENDIENTES!$B$57&lt;&gt;"",_PENDIENTES!$B$57,"")</f>
        <v/>
      </c>
      <c r="N63" s="304">
        <f>IF(_PENDIENTES!$B$57&lt;&gt;"",_PENDIENTES!$L$57,"")</f>
        <v/>
      </c>
      <c r="O63" s="284" t="n"/>
      <c r="P63" s="284" t="n"/>
      <c r="Q63" s="284" t="n"/>
      <c r="R63" s="284" t="n"/>
      <c r="S63" s="284" t="n"/>
    </row>
    <row r="64" hidden="1" ht="15.75" customHeight="1" s="195">
      <c r="A64" s="301">
        <f>IF(_PENDIENTES!$B$58&lt;&gt;"",57,"")</f>
        <v/>
      </c>
      <c r="B64" s="242">
        <f>IF(_PENDIENTES!$B$58&lt;&gt;"",_PENDIENTES!$A$58,"")</f>
        <v/>
      </c>
      <c r="C64" s="302">
        <f>IF(_PENDIENTES!$B$58&lt;&gt;"",_PENDIENTES!$C$58,"")</f>
        <v/>
      </c>
      <c r="D64" s="301">
        <f>IF(_PENDIENTES!$B$58&lt;&gt;"",_PENDIENTES!$D$58,"")</f>
        <v/>
      </c>
      <c r="E64" s="306">
        <f>IF(_PENDIENTES!$B$58&lt;&gt;"",_PENDIENTES!$E$58,"")</f>
        <v/>
      </c>
      <c r="F64" s="301">
        <f>IF(_PENDIENTES!$B$58&lt;&gt;"",_PENDIENTES!$F$58,"")</f>
        <v/>
      </c>
      <c r="G64" s="245">
        <f>IF(_PENDIENTES!$B$58&lt;&gt;"",_PENDIENTES!$G$58,"")</f>
        <v/>
      </c>
      <c r="H64" s="245">
        <f>IF(_PENDIENTES!$B$58&lt;&gt;"",_PENDIENTES!$H$58,"")</f>
        <v/>
      </c>
      <c r="I64" s="303">
        <f>IF(_PENDIENTES!$B$58&lt;&gt;"",_PENDIENTES!$I$58,"")</f>
        <v/>
      </c>
      <c r="J64" s="245">
        <f>IF(_PENDIENTES!$B$58&lt;&gt;"",_PENDIENTES!$J$58,"")</f>
        <v/>
      </c>
      <c r="K64" s="301">
        <f>IF(_PENDIENTES!$B$58&lt;&gt;"","POR RECOGER","")</f>
        <v/>
      </c>
      <c r="L64" s="302">
        <f>IF(_PENDIENTES!$B$58&lt;&gt;"",_PENDIENTES!$K$58,"")</f>
        <v/>
      </c>
      <c r="M64" s="280">
        <f>IF(_PENDIENTES!$B$58&lt;&gt;"",_PENDIENTES!$B$58,"")</f>
        <v/>
      </c>
      <c r="N64" s="304">
        <f>IF(_PENDIENTES!$B$58&lt;&gt;"",_PENDIENTES!$L$58,"")</f>
        <v/>
      </c>
      <c r="O64" s="284" t="n"/>
      <c r="P64" s="284" t="n"/>
      <c r="Q64" s="284" t="n"/>
      <c r="R64" s="284" t="n"/>
      <c r="S64" s="284" t="n"/>
    </row>
    <row r="65" hidden="1" ht="15.75" customHeight="1" s="195">
      <c r="A65" s="241">
        <f>IF(_PENDIENTES!$B$59&lt;&gt;"",58,"")</f>
        <v/>
      </c>
      <c r="B65" s="236">
        <f>IF(_PENDIENTES!$B$59&lt;&gt;"",_PENDIENTES!$A$59,"")</f>
        <v/>
      </c>
      <c r="C65" s="305">
        <f>IF(_PENDIENTES!$B$59&lt;&gt;"",_PENDIENTES!$C$59,"")</f>
        <v/>
      </c>
      <c r="D65" s="241">
        <f>IF(_PENDIENTES!$B$59&lt;&gt;"",_PENDIENTES!$D$59,"")</f>
        <v/>
      </c>
      <c r="E65" s="307">
        <f>IF(_PENDIENTES!$B$59&lt;&gt;"",_PENDIENTES!$E$59,"")</f>
        <v/>
      </c>
      <c r="F65" s="241">
        <f>IF(_PENDIENTES!$B$59&lt;&gt;"",_PENDIENTES!$F$59,"")</f>
        <v/>
      </c>
      <c r="G65" s="239">
        <f>IF(_PENDIENTES!$B$59&lt;&gt;"",_PENDIENTES!$G$59,"")</f>
        <v/>
      </c>
      <c r="H65" s="239">
        <f>IF(_PENDIENTES!$B$59&lt;&gt;"",_PENDIENTES!$H$59,"")</f>
        <v/>
      </c>
      <c r="I65" s="308">
        <f>IF(_PENDIENTES!$B$59&lt;&gt;"",_PENDIENTES!$I$59,"")</f>
        <v/>
      </c>
      <c r="J65" s="239">
        <f>IF(_PENDIENTES!$B$59&lt;&gt;"",_PENDIENTES!$J$59,"")</f>
        <v/>
      </c>
      <c r="K65" s="241">
        <f>IF(_PENDIENTES!$B$59&lt;&gt;"","POR RECOGER","")</f>
        <v/>
      </c>
      <c r="L65" s="305">
        <f>IF(_PENDIENTES!$B$59&lt;&gt;"",_PENDIENTES!$K$59,"")</f>
        <v/>
      </c>
      <c r="M65" s="280">
        <f>IF(_PENDIENTES!$B$59&lt;&gt;"",_PENDIENTES!$B$59,"")</f>
        <v/>
      </c>
      <c r="N65" s="304">
        <f>IF(_PENDIENTES!$B$59&lt;&gt;"",_PENDIENTES!$L$59,"")</f>
        <v/>
      </c>
      <c r="O65" s="284" t="n"/>
      <c r="P65" s="284" t="n"/>
      <c r="Q65" s="284" t="n"/>
      <c r="R65" s="284" t="n"/>
      <c r="S65" s="284" t="n"/>
    </row>
    <row r="66" hidden="1" ht="15.75" customHeight="1" s="195">
      <c r="A66" s="301">
        <f>IF(_PENDIENTES!$B$60&lt;&gt;"",59,"")</f>
        <v/>
      </c>
      <c r="B66" s="242">
        <f>IF(_PENDIENTES!$B$60&lt;&gt;"",_PENDIENTES!$A$60,"")</f>
        <v/>
      </c>
      <c r="C66" s="302">
        <f>IF(_PENDIENTES!$B$60&lt;&gt;"",_PENDIENTES!$C$60,"")</f>
        <v/>
      </c>
      <c r="D66" s="301">
        <f>IF(_PENDIENTES!$B$60&lt;&gt;"",_PENDIENTES!$D$60,"")</f>
        <v/>
      </c>
      <c r="E66" s="306">
        <f>IF(_PENDIENTES!$B$60&lt;&gt;"",_PENDIENTES!$E$60,"")</f>
        <v/>
      </c>
      <c r="F66" s="301">
        <f>IF(_PENDIENTES!$B$60&lt;&gt;"",_PENDIENTES!$F$60,"")</f>
        <v/>
      </c>
      <c r="G66" s="245">
        <f>IF(_PENDIENTES!$B$60&lt;&gt;"",_PENDIENTES!$G$60,"")</f>
        <v/>
      </c>
      <c r="H66" s="245">
        <f>IF(_PENDIENTES!$B$60&lt;&gt;"",_PENDIENTES!$H$60,"")</f>
        <v/>
      </c>
      <c r="I66" s="303">
        <f>IF(_PENDIENTES!$B$60&lt;&gt;"",_PENDIENTES!$I$60,"")</f>
        <v/>
      </c>
      <c r="J66" s="245">
        <f>IF(_PENDIENTES!$B$60&lt;&gt;"",_PENDIENTES!$J$60,"")</f>
        <v/>
      </c>
      <c r="K66" s="301">
        <f>IF(_PENDIENTES!$B$60&lt;&gt;"","POR RECOGER","")</f>
        <v/>
      </c>
      <c r="L66" s="302">
        <f>IF(_PENDIENTES!$B$60&lt;&gt;"",_PENDIENTES!$K$60,"")</f>
        <v/>
      </c>
      <c r="M66" s="280">
        <f>IF(_PENDIENTES!$B$60&lt;&gt;"",_PENDIENTES!$B$60,"")</f>
        <v/>
      </c>
      <c r="N66" s="304">
        <f>IF(_PENDIENTES!$B$60&lt;&gt;"",_PENDIENTES!$L$60,"")</f>
        <v/>
      </c>
      <c r="O66" s="284" t="n"/>
      <c r="P66" s="284" t="n"/>
      <c r="Q66" s="284" t="n"/>
      <c r="R66" s="284" t="n"/>
      <c r="S66" s="284" t="n"/>
    </row>
    <row r="67" hidden="1" ht="15.75" customHeight="1" s="195">
      <c r="A67" s="241">
        <f>IF(_PENDIENTES!$B$61&lt;&gt;"",60,"")</f>
        <v/>
      </c>
      <c r="B67" s="236">
        <f>IF(_PENDIENTES!$B$61&lt;&gt;"",_PENDIENTES!$A$61,"")</f>
        <v/>
      </c>
      <c r="C67" s="305">
        <f>IF(_PENDIENTES!$B$61&lt;&gt;"",_PENDIENTES!$C$61,"")</f>
        <v/>
      </c>
      <c r="D67" s="241">
        <f>IF(_PENDIENTES!$B$61&lt;&gt;"",_PENDIENTES!$D$61,"")</f>
        <v/>
      </c>
      <c r="E67" s="307">
        <f>IF(_PENDIENTES!$B$61&lt;&gt;"",_PENDIENTES!$E$61,"")</f>
        <v/>
      </c>
      <c r="F67" s="241">
        <f>IF(_PENDIENTES!$B$61&lt;&gt;"",_PENDIENTES!$F$61,"")</f>
        <v/>
      </c>
      <c r="G67" s="239">
        <f>IF(_PENDIENTES!$B$61&lt;&gt;"",_PENDIENTES!$G$61,"")</f>
        <v/>
      </c>
      <c r="H67" s="239">
        <f>IF(_PENDIENTES!$B$61&lt;&gt;"",_PENDIENTES!$H$61,"")</f>
        <v/>
      </c>
      <c r="I67" s="308">
        <f>IF(_PENDIENTES!$B$61&lt;&gt;"",_PENDIENTES!$I$61,"")</f>
        <v/>
      </c>
      <c r="J67" s="239">
        <f>IF(_PENDIENTES!$B$61&lt;&gt;"",_PENDIENTES!$J$61,"")</f>
        <v/>
      </c>
      <c r="K67" s="241">
        <f>IF(_PENDIENTES!$B$61&lt;&gt;"","POR RECOGER","")</f>
        <v/>
      </c>
      <c r="L67" s="305">
        <f>IF(_PENDIENTES!$B$61&lt;&gt;"",_PENDIENTES!$K$61,"")</f>
        <v/>
      </c>
      <c r="M67" s="280">
        <f>IF(_PENDIENTES!$B$61&lt;&gt;"",_PENDIENTES!$B$61,"")</f>
        <v/>
      </c>
      <c r="N67" s="304">
        <f>IF(_PENDIENTES!$B$61&lt;&gt;"",_PENDIENTES!$L$61,"")</f>
        <v/>
      </c>
      <c r="O67" s="284" t="n"/>
      <c r="P67" s="284" t="n"/>
      <c r="Q67" s="284" t="n"/>
      <c r="R67" s="284" t="n"/>
      <c r="S67" s="284" t="n"/>
    </row>
    <row r="68" hidden="1" ht="15.75" customHeight="1" s="195">
      <c r="A68" s="301">
        <f>IF(_PENDIENTES!$B$62&lt;&gt;"",61,"")</f>
        <v/>
      </c>
      <c r="B68" s="242">
        <f>IF(_PENDIENTES!$B$62&lt;&gt;"",_PENDIENTES!$A$62,"")</f>
        <v/>
      </c>
      <c r="C68" s="302">
        <f>IF(_PENDIENTES!$B$62&lt;&gt;"",_PENDIENTES!$C$62,"")</f>
        <v/>
      </c>
      <c r="D68" s="301">
        <f>IF(_PENDIENTES!$B$62&lt;&gt;"",_PENDIENTES!$D$62,"")</f>
        <v/>
      </c>
      <c r="E68" s="306">
        <f>IF(_PENDIENTES!$B$62&lt;&gt;"",_PENDIENTES!$E$62,"")</f>
        <v/>
      </c>
      <c r="F68" s="301">
        <f>IF(_PENDIENTES!$B$62&lt;&gt;"",_PENDIENTES!$F$62,"")</f>
        <v/>
      </c>
      <c r="G68" s="245">
        <f>IF(_PENDIENTES!$B$62&lt;&gt;"",_PENDIENTES!$G$62,"")</f>
        <v/>
      </c>
      <c r="H68" s="245">
        <f>IF(_PENDIENTES!$B$62&lt;&gt;"",_PENDIENTES!$H$62,"")</f>
        <v/>
      </c>
      <c r="I68" s="303">
        <f>IF(_PENDIENTES!$B$62&lt;&gt;"",_PENDIENTES!$I$62,"")</f>
        <v/>
      </c>
      <c r="J68" s="245">
        <f>IF(_PENDIENTES!$B$62&lt;&gt;"",_PENDIENTES!$J$62,"")</f>
        <v/>
      </c>
      <c r="K68" s="301">
        <f>IF(_PENDIENTES!$B$62&lt;&gt;"","POR RECOGER","")</f>
        <v/>
      </c>
      <c r="L68" s="302">
        <f>IF(_PENDIENTES!$B$62&lt;&gt;"",_PENDIENTES!$K$62,"")</f>
        <v/>
      </c>
      <c r="M68" s="280">
        <f>IF(_PENDIENTES!$B$62&lt;&gt;"",_PENDIENTES!$B$62,"")</f>
        <v/>
      </c>
      <c r="N68" s="304">
        <f>IF(_PENDIENTES!$B$62&lt;&gt;"",_PENDIENTES!$L$62,"")</f>
        <v/>
      </c>
      <c r="O68" s="284" t="n"/>
      <c r="P68" s="284" t="n"/>
      <c r="Q68" s="284" t="n"/>
      <c r="R68" s="284" t="n"/>
      <c r="S68" s="284" t="n"/>
    </row>
    <row r="69" hidden="1" ht="15.75" customHeight="1" s="195">
      <c r="A69" s="241">
        <f>IF(_PENDIENTES!$B$63&lt;&gt;"",62,"")</f>
        <v/>
      </c>
      <c r="B69" s="236">
        <f>IF(_PENDIENTES!$B$63&lt;&gt;"",_PENDIENTES!$A$63,"")</f>
        <v/>
      </c>
      <c r="C69" s="305">
        <f>IF(_PENDIENTES!$B$63&lt;&gt;"",_PENDIENTES!$C$63,"")</f>
        <v/>
      </c>
      <c r="D69" s="241">
        <f>IF(_PENDIENTES!$B$63&lt;&gt;"",_PENDIENTES!$D$63,"")</f>
        <v/>
      </c>
      <c r="E69" s="307">
        <f>IF(_PENDIENTES!$B$63&lt;&gt;"",_PENDIENTES!$E$63,"")</f>
        <v/>
      </c>
      <c r="F69" s="241">
        <f>IF(_PENDIENTES!$B$63&lt;&gt;"",_PENDIENTES!$F$63,"")</f>
        <v/>
      </c>
      <c r="G69" s="239">
        <f>IF(_PENDIENTES!$B$63&lt;&gt;"",_PENDIENTES!$G$63,"")</f>
        <v/>
      </c>
      <c r="H69" s="239">
        <f>IF(_PENDIENTES!$B$63&lt;&gt;"",_PENDIENTES!$H$63,"")</f>
        <v/>
      </c>
      <c r="I69" s="308">
        <f>IF(_PENDIENTES!$B$63&lt;&gt;"",_PENDIENTES!$I$63,"")</f>
        <v/>
      </c>
      <c r="J69" s="239">
        <f>IF(_PENDIENTES!$B$63&lt;&gt;"",_PENDIENTES!$J$63,"")</f>
        <v/>
      </c>
      <c r="K69" s="241">
        <f>IF(_PENDIENTES!$B$63&lt;&gt;"","POR RECOGER","")</f>
        <v/>
      </c>
      <c r="L69" s="305">
        <f>IF(_PENDIENTES!$B$63&lt;&gt;"",_PENDIENTES!$K$63,"")</f>
        <v/>
      </c>
      <c r="M69" s="280">
        <f>IF(_PENDIENTES!$B$63&lt;&gt;"",_PENDIENTES!$B$63,"")</f>
        <v/>
      </c>
      <c r="N69" s="304">
        <f>IF(_PENDIENTES!$B$63&lt;&gt;"",_PENDIENTES!$L$63,"")</f>
        <v/>
      </c>
      <c r="O69" s="284" t="n"/>
      <c r="P69" s="284" t="n"/>
      <c r="Q69" s="284" t="n"/>
      <c r="R69" s="284" t="n"/>
      <c r="S69" s="284" t="n"/>
    </row>
    <row r="70" hidden="1" ht="15.75" customHeight="1" s="195">
      <c r="A70" s="301">
        <f>IF(_PENDIENTES!$B$64&lt;&gt;"",63,"")</f>
        <v/>
      </c>
      <c r="B70" s="242">
        <f>IF(_PENDIENTES!$B$64&lt;&gt;"",_PENDIENTES!$A$64,"")</f>
        <v/>
      </c>
      <c r="C70" s="302">
        <f>IF(_PENDIENTES!$B$64&lt;&gt;"",_PENDIENTES!$C$64,"")</f>
        <v/>
      </c>
      <c r="D70" s="301">
        <f>IF(_PENDIENTES!$B$64&lt;&gt;"",_PENDIENTES!$D$64,"")</f>
        <v/>
      </c>
      <c r="E70" s="306">
        <f>IF(_PENDIENTES!$B$64&lt;&gt;"",_PENDIENTES!$E$64,"")</f>
        <v/>
      </c>
      <c r="F70" s="301">
        <f>IF(_PENDIENTES!$B$64&lt;&gt;"",_PENDIENTES!$F$64,"")</f>
        <v/>
      </c>
      <c r="G70" s="245">
        <f>IF(_PENDIENTES!$B$64&lt;&gt;"",_PENDIENTES!$G$64,"")</f>
        <v/>
      </c>
      <c r="H70" s="245">
        <f>IF(_PENDIENTES!$B$64&lt;&gt;"",_PENDIENTES!$H$64,"")</f>
        <v/>
      </c>
      <c r="I70" s="303">
        <f>IF(_PENDIENTES!$B$64&lt;&gt;"",_PENDIENTES!$I$64,"")</f>
        <v/>
      </c>
      <c r="J70" s="245">
        <f>IF(_PENDIENTES!$B$64&lt;&gt;"",_PENDIENTES!$J$64,"")</f>
        <v/>
      </c>
      <c r="K70" s="301">
        <f>IF(_PENDIENTES!$B$64&lt;&gt;"","POR RECOGER","")</f>
        <v/>
      </c>
      <c r="L70" s="302">
        <f>IF(_PENDIENTES!$B$64&lt;&gt;"",_PENDIENTES!$K$64,"")</f>
        <v/>
      </c>
      <c r="M70" s="280">
        <f>IF(_PENDIENTES!$B$64&lt;&gt;"",_PENDIENTES!$B$64,"")</f>
        <v/>
      </c>
      <c r="N70" s="304">
        <f>IF(_PENDIENTES!$B$64&lt;&gt;"",_PENDIENTES!$L$64,"")</f>
        <v/>
      </c>
      <c r="O70" s="284" t="n"/>
      <c r="P70" s="284" t="n"/>
      <c r="Q70" s="284" t="n"/>
      <c r="R70" s="284" t="n"/>
      <c r="S70" s="284" t="n"/>
    </row>
    <row r="71" hidden="1" ht="15.75" customHeight="1" s="195">
      <c r="A71" s="241">
        <f>IF(_PENDIENTES!$B$65&lt;&gt;"",64,"")</f>
        <v/>
      </c>
      <c r="B71" s="236">
        <f>IF(_PENDIENTES!$B$65&lt;&gt;"",_PENDIENTES!$A$65,"")</f>
        <v/>
      </c>
      <c r="C71" s="305">
        <f>IF(_PENDIENTES!$B$65&lt;&gt;"",_PENDIENTES!$C$65,"")</f>
        <v/>
      </c>
      <c r="D71" s="241">
        <f>IF(_PENDIENTES!$B$65&lt;&gt;"",_PENDIENTES!$D$65,"")</f>
        <v/>
      </c>
      <c r="E71" s="307">
        <f>IF(_PENDIENTES!$B$65&lt;&gt;"",_PENDIENTES!$E$65,"")</f>
        <v/>
      </c>
      <c r="F71" s="241">
        <f>IF(_PENDIENTES!$B$65&lt;&gt;"",_PENDIENTES!$F$65,"")</f>
        <v/>
      </c>
      <c r="G71" s="239">
        <f>IF(_PENDIENTES!$B$65&lt;&gt;"",_PENDIENTES!$G$65,"")</f>
        <v/>
      </c>
      <c r="H71" s="239">
        <f>IF(_PENDIENTES!$B$65&lt;&gt;"",_PENDIENTES!$H$65,"")</f>
        <v/>
      </c>
      <c r="I71" s="308">
        <f>IF(_PENDIENTES!$B$65&lt;&gt;"",_PENDIENTES!$I$65,"")</f>
        <v/>
      </c>
      <c r="J71" s="239">
        <f>IF(_PENDIENTES!$B$65&lt;&gt;"",_PENDIENTES!$J$65,"")</f>
        <v/>
      </c>
      <c r="K71" s="241">
        <f>IF(_PENDIENTES!$B$65&lt;&gt;"","POR RECOGER","")</f>
        <v/>
      </c>
      <c r="L71" s="305">
        <f>IF(_PENDIENTES!$B$65&lt;&gt;"",_PENDIENTES!$K$65,"")</f>
        <v/>
      </c>
      <c r="M71" s="280">
        <f>IF(_PENDIENTES!$B$65&lt;&gt;"",_PENDIENTES!$B$65,"")</f>
        <v/>
      </c>
      <c r="N71" s="304">
        <f>IF(_PENDIENTES!$B$65&lt;&gt;"",_PENDIENTES!$L$65,"")</f>
        <v/>
      </c>
      <c r="O71" s="284" t="n"/>
      <c r="P71" s="284" t="n"/>
      <c r="Q71" s="284" t="n"/>
      <c r="R71" s="284" t="n"/>
      <c r="S71" s="284" t="n"/>
    </row>
    <row r="72" hidden="1" ht="15.75" customHeight="1" s="195">
      <c r="A72" s="301">
        <f>IF(_PENDIENTES!$B$66&lt;&gt;"",65,"")</f>
        <v/>
      </c>
      <c r="B72" s="242">
        <f>IF(_PENDIENTES!$B$66&lt;&gt;"",_PENDIENTES!$A$66,"")</f>
        <v/>
      </c>
      <c r="C72" s="302">
        <f>IF(_PENDIENTES!$B$66&lt;&gt;"",_PENDIENTES!$C$66,"")</f>
        <v/>
      </c>
      <c r="D72" s="301">
        <f>IF(_PENDIENTES!$B$66&lt;&gt;"",_PENDIENTES!$D$66,"")</f>
        <v/>
      </c>
      <c r="E72" s="306">
        <f>IF(_PENDIENTES!$B$66&lt;&gt;"",_PENDIENTES!$E$66,"")</f>
        <v/>
      </c>
      <c r="F72" s="301">
        <f>IF(_PENDIENTES!$B$66&lt;&gt;"",_PENDIENTES!$F$66,"")</f>
        <v/>
      </c>
      <c r="G72" s="245">
        <f>IF(_PENDIENTES!$B$66&lt;&gt;"",_PENDIENTES!$G$66,"")</f>
        <v/>
      </c>
      <c r="H72" s="245">
        <f>IF(_PENDIENTES!$B$66&lt;&gt;"",_PENDIENTES!$H$66,"")</f>
        <v/>
      </c>
      <c r="I72" s="303">
        <f>IF(_PENDIENTES!$B$66&lt;&gt;"",_PENDIENTES!$I$66,"")</f>
        <v/>
      </c>
      <c r="J72" s="245">
        <f>IF(_PENDIENTES!$B$66&lt;&gt;"",_PENDIENTES!$J$66,"")</f>
        <v/>
      </c>
      <c r="K72" s="301">
        <f>IF(_PENDIENTES!$B$66&lt;&gt;"","POR RECOGER","")</f>
        <v/>
      </c>
      <c r="L72" s="302">
        <f>IF(_PENDIENTES!$B$66&lt;&gt;"",_PENDIENTES!$K$66,"")</f>
        <v/>
      </c>
      <c r="M72" s="280">
        <f>IF(_PENDIENTES!$B$66&lt;&gt;"",_PENDIENTES!$B$66,"")</f>
        <v/>
      </c>
      <c r="N72" s="304">
        <f>IF(_PENDIENTES!$B$66&lt;&gt;"",_PENDIENTES!$L$66,"")</f>
        <v/>
      </c>
      <c r="O72" s="284" t="n"/>
      <c r="P72" s="284" t="n"/>
      <c r="Q72" s="284" t="n"/>
      <c r="R72" s="284" t="n"/>
      <c r="S72" s="284" t="n"/>
    </row>
    <row r="73" hidden="1" ht="15.75" customHeight="1" s="195">
      <c r="A73" s="241">
        <f>IF(_PENDIENTES!$B$67&lt;&gt;"",66,"")</f>
        <v/>
      </c>
      <c r="B73" s="236">
        <f>IF(_PENDIENTES!$B$67&lt;&gt;"",_PENDIENTES!$A$67,"")</f>
        <v/>
      </c>
      <c r="C73" s="305">
        <f>IF(_PENDIENTES!$B$67&lt;&gt;"",_PENDIENTES!$C$67,"")</f>
        <v/>
      </c>
      <c r="D73" s="241">
        <f>IF(_PENDIENTES!$B$67&lt;&gt;"",_PENDIENTES!$D$67,"")</f>
        <v/>
      </c>
      <c r="E73" s="307">
        <f>IF(_PENDIENTES!$B$67&lt;&gt;"",_PENDIENTES!$E$67,"")</f>
        <v/>
      </c>
      <c r="F73" s="241">
        <f>IF(_PENDIENTES!$B$67&lt;&gt;"",_PENDIENTES!$F$67,"")</f>
        <v/>
      </c>
      <c r="G73" s="239">
        <f>IF(_PENDIENTES!$B$67&lt;&gt;"",_PENDIENTES!$G$67,"")</f>
        <v/>
      </c>
      <c r="H73" s="239">
        <f>IF(_PENDIENTES!$B$67&lt;&gt;"",_PENDIENTES!$H$67,"")</f>
        <v/>
      </c>
      <c r="I73" s="308">
        <f>IF(_PENDIENTES!$B$67&lt;&gt;"",_PENDIENTES!$I$67,"")</f>
        <v/>
      </c>
      <c r="J73" s="239">
        <f>IF(_PENDIENTES!$B$67&lt;&gt;"",_PENDIENTES!$J$67,"")</f>
        <v/>
      </c>
      <c r="K73" s="241">
        <f>IF(_PENDIENTES!$B$67&lt;&gt;"","POR RECOGER","")</f>
        <v/>
      </c>
      <c r="L73" s="305">
        <f>IF(_PENDIENTES!$B$67&lt;&gt;"",_PENDIENTES!$K$67,"")</f>
        <v/>
      </c>
      <c r="M73" s="280">
        <f>IF(_PENDIENTES!$B$67&lt;&gt;"",_PENDIENTES!$B$67,"")</f>
        <v/>
      </c>
      <c r="N73" s="304">
        <f>IF(_PENDIENTES!$B$67&lt;&gt;"",_PENDIENTES!$L$67,"")</f>
        <v/>
      </c>
      <c r="O73" s="284" t="n"/>
      <c r="P73" s="284" t="n"/>
      <c r="Q73" s="284" t="n"/>
      <c r="R73" s="284" t="n"/>
      <c r="S73" s="284" t="n"/>
    </row>
    <row r="74" hidden="1" ht="15.75" customHeight="1" s="195">
      <c r="A74" s="301">
        <f>IF(_PENDIENTES!$B$68&lt;&gt;"",67,"")</f>
        <v/>
      </c>
      <c r="B74" s="242">
        <f>IF(_PENDIENTES!$B$68&lt;&gt;"",_PENDIENTES!$A$68,"")</f>
        <v/>
      </c>
      <c r="C74" s="302">
        <f>IF(_PENDIENTES!$B$68&lt;&gt;"",_PENDIENTES!$C$68,"")</f>
        <v/>
      </c>
      <c r="D74" s="301">
        <f>IF(_PENDIENTES!$B$68&lt;&gt;"",_PENDIENTES!$D$68,"")</f>
        <v/>
      </c>
      <c r="E74" s="306">
        <f>IF(_PENDIENTES!$B$68&lt;&gt;"",_PENDIENTES!$E$68,"")</f>
        <v/>
      </c>
      <c r="F74" s="301">
        <f>IF(_PENDIENTES!$B$68&lt;&gt;"",_PENDIENTES!$F$68,"")</f>
        <v/>
      </c>
      <c r="G74" s="245">
        <f>IF(_PENDIENTES!$B$68&lt;&gt;"",_PENDIENTES!$G$68,"")</f>
        <v/>
      </c>
      <c r="H74" s="245">
        <f>IF(_PENDIENTES!$B$68&lt;&gt;"",_PENDIENTES!$H$68,"")</f>
        <v/>
      </c>
      <c r="I74" s="303">
        <f>IF(_PENDIENTES!$B$68&lt;&gt;"",_PENDIENTES!$I$68,"")</f>
        <v/>
      </c>
      <c r="J74" s="245">
        <f>IF(_PENDIENTES!$B$68&lt;&gt;"",_PENDIENTES!$J$68,"")</f>
        <v/>
      </c>
      <c r="K74" s="301">
        <f>IF(_PENDIENTES!$B$68&lt;&gt;"","POR RECOGER","")</f>
        <v/>
      </c>
      <c r="L74" s="302">
        <f>IF(_PENDIENTES!$B$68&lt;&gt;"",_PENDIENTES!$K$68,"")</f>
        <v/>
      </c>
      <c r="M74" s="280">
        <f>IF(_PENDIENTES!$B$68&lt;&gt;"",_PENDIENTES!$B$68,"")</f>
        <v/>
      </c>
      <c r="N74" s="304">
        <f>IF(_PENDIENTES!$B$68&lt;&gt;"",_PENDIENTES!$L$68,"")</f>
        <v/>
      </c>
      <c r="O74" s="284" t="n"/>
      <c r="P74" s="284" t="n"/>
      <c r="Q74" s="284" t="n"/>
      <c r="R74" s="284" t="n"/>
      <c r="S74" s="284" t="n"/>
    </row>
    <row r="75" hidden="1" ht="15.75" customHeight="1" s="195">
      <c r="A75" s="241">
        <f>IF(_PENDIENTES!$B$69&lt;&gt;"",68,"")</f>
        <v/>
      </c>
      <c r="B75" s="236">
        <f>IF(_PENDIENTES!$B$69&lt;&gt;"",_PENDIENTES!$A$69,"")</f>
        <v/>
      </c>
      <c r="C75" s="305">
        <f>IF(_PENDIENTES!$B$69&lt;&gt;"",_PENDIENTES!$C$69,"")</f>
        <v/>
      </c>
      <c r="D75" s="241">
        <f>IF(_PENDIENTES!$B$69&lt;&gt;"",_PENDIENTES!$D$69,"")</f>
        <v/>
      </c>
      <c r="E75" s="307">
        <f>IF(_PENDIENTES!$B$69&lt;&gt;"",_PENDIENTES!$E$69,"")</f>
        <v/>
      </c>
      <c r="F75" s="241">
        <f>IF(_PENDIENTES!$B$69&lt;&gt;"",_PENDIENTES!$F$69,"")</f>
        <v/>
      </c>
      <c r="G75" s="239">
        <f>IF(_PENDIENTES!$B$69&lt;&gt;"",_PENDIENTES!$G$69,"")</f>
        <v/>
      </c>
      <c r="H75" s="239">
        <f>IF(_PENDIENTES!$B$69&lt;&gt;"",_PENDIENTES!$H$69,"")</f>
        <v/>
      </c>
      <c r="I75" s="308">
        <f>IF(_PENDIENTES!$B$69&lt;&gt;"",_PENDIENTES!$I$69,"")</f>
        <v/>
      </c>
      <c r="J75" s="239">
        <f>IF(_PENDIENTES!$B$69&lt;&gt;"",_PENDIENTES!$J$69,"")</f>
        <v/>
      </c>
      <c r="K75" s="241">
        <f>IF(_PENDIENTES!$B$69&lt;&gt;"","POR RECOGER","")</f>
        <v/>
      </c>
      <c r="L75" s="305">
        <f>IF(_PENDIENTES!$B$69&lt;&gt;"",_PENDIENTES!$K$69,"")</f>
        <v/>
      </c>
      <c r="M75" s="280">
        <f>IF(_PENDIENTES!$B$69&lt;&gt;"",_PENDIENTES!$B$69,"")</f>
        <v/>
      </c>
      <c r="N75" s="304">
        <f>IF(_PENDIENTES!$B$69&lt;&gt;"",_PENDIENTES!$L$69,"")</f>
        <v/>
      </c>
      <c r="O75" s="284" t="n"/>
      <c r="P75" s="284" t="n"/>
      <c r="Q75" s="284" t="n"/>
      <c r="R75" s="284" t="n"/>
      <c r="S75" s="284" t="n"/>
    </row>
    <row r="76" hidden="1" ht="15.75" customHeight="1" s="195">
      <c r="A76" s="301">
        <f>IF(_PENDIENTES!$B$70&lt;&gt;"",69,"")</f>
        <v/>
      </c>
      <c r="B76" s="242">
        <f>IF(_PENDIENTES!$B$70&lt;&gt;"",_PENDIENTES!$A$70,"")</f>
        <v/>
      </c>
      <c r="C76" s="302">
        <f>IF(_PENDIENTES!$B$70&lt;&gt;"",_PENDIENTES!$C$70,"")</f>
        <v/>
      </c>
      <c r="D76" s="301">
        <f>IF(_PENDIENTES!$B$70&lt;&gt;"",_PENDIENTES!$D$70,"")</f>
        <v/>
      </c>
      <c r="E76" s="306">
        <f>IF(_PENDIENTES!$B$70&lt;&gt;"",_PENDIENTES!$E$70,"")</f>
        <v/>
      </c>
      <c r="F76" s="301">
        <f>IF(_PENDIENTES!$B$70&lt;&gt;"",_PENDIENTES!$F$70,"")</f>
        <v/>
      </c>
      <c r="G76" s="245">
        <f>IF(_PENDIENTES!$B$70&lt;&gt;"",_PENDIENTES!$G$70,"")</f>
        <v/>
      </c>
      <c r="H76" s="245">
        <f>IF(_PENDIENTES!$B$70&lt;&gt;"",_PENDIENTES!$H$70,"")</f>
        <v/>
      </c>
      <c r="I76" s="303">
        <f>IF(_PENDIENTES!$B$70&lt;&gt;"",_PENDIENTES!$I$70,"")</f>
        <v/>
      </c>
      <c r="J76" s="245">
        <f>IF(_PENDIENTES!$B$70&lt;&gt;"",_PENDIENTES!$J$70,"")</f>
        <v/>
      </c>
      <c r="K76" s="301">
        <f>IF(_PENDIENTES!$B$70&lt;&gt;"","POR RECOGER","")</f>
        <v/>
      </c>
      <c r="L76" s="302">
        <f>IF(_PENDIENTES!$B$70&lt;&gt;"",_PENDIENTES!$K$70,"")</f>
        <v/>
      </c>
      <c r="M76" s="280">
        <f>IF(_PENDIENTES!$B$70&lt;&gt;"",_PENDIENTES!$B$70,"")</f>
        <v/>
      </c>
      <c r="N76" s="304">
        <f>IF(_PENDIENTES!$B$70&lt;&gt;"",_PENDIENTES!$L$70,"")</f>
        <v/>
      </c>
      <c r="O76" s="284" t="n"/>
      <c r="P76" s="284" t="n"/>
      <c r="Q76" s="284" t="n"/>
      <c r="R76" s="284" t="n"/>
      <c r="S76" s="284" t="n"/>
    </row>
    <row r="77" hidden="1" ht="15.75" customHeight="1" s="195">
      <c r="A77" s="241">
        <f>IF(_PENDIENTES!$B$71&lt;&gt;"",70,"")</f>
        <v/>
      </c>
      <c r="B77" s="236">
        <f>IF(_PENDIENTES!$B$71&lt;&gt;"",_PENDIENTES!$A$71,"")</f>
        <v/>
      </c>
      <c r="C77" s="305">
        <f>IF(_PENDIENTES!$B$71&lt;&gt;"",_PENDIENTES!$C$71,"")</f>
        <v/>
      </c>
      <c r="D77" s="241">
        <f>IF(_PENDIENTES!$B$71&lt;&gt;"",_PENDIENTES!$D$71,"")</f>
        <v/>
      </c>
      <c r="E77" s="307">
        <f>IF(_PENDIENTES!$B$71&lt;&gt;"",_PENDIENTES!$E$71,"")</f>
        <v/>
      </c>
      <c r="F77" s="241">
        <f>IF(_PENDIENTES!$B$71&lt;&gt;"",_PENDIENTES!$F$71,"")</f>
        <v/>
      </c>
      <c r="G77" s="239">
        <f>IF(_PENDIENTES!$B$71&lt;&gt;"",_PENDIENTES!$G$71,"")</f>
        <v/>
      </c>
      <c r="H77" s="239">
        <f>IF(_PENDIENTES!$B$71&lt;&gt;"",_PENDIENTES!$H$71,"")</f>
        <v/>
      </c>
      <c r="I77" s="308">
        <f>IF(_PENDIENTES!$B$71&lt;&gt;"",_PENDIENTES!$I$71,"")</f>
        <v/>
      </c>
      <c r="J77" s="239">
        <f>IF(_PENDIENTES!$B$71&lt;&gt;"",_PENDIENTES!$J$71,"")</f>
        <v/>
      </c>
      <c r="K77" s="241">
        <f>IF(_PENDIENTES!$B$71&lt;&gt;"","POR RECOGER","")</f>
        <v/>
      </c>
      <c r="L77" s="305">
        <f>IF(_PENDIENTES!$B$71&lt;&gt;"",_PENDIENTES!$K$71,"")</f>
        <v/>
      </c>
      <c r="M77" s="280">
        <f>IF(_PENDIENTES!$B$71&lt;&gt;"",_PENDIENTES!$B$71,"")</f>
        <v/>
      </c>
      <c r="N77" s="304">
        <f>IF(_PENDIENTES!$B$71&lt;&gt;"",_PENDIENTES!$L$71,"")</f>
        <v/>
      </c>
      <c r="O77" s="284" t="n"/>
      <c r="P77" s="284" t="n"/>
      <c r="Q77" s="284" t="n"/>
      <c r="R77" s="284" t="n"/>
      <c r="S77" s="284" t="n"/>
    </row>
    <row r="78" hidden="1" ht="15.75" customHeight="1" s="195">
      <c r="A78" s="301">
        <f>IF(_PENDIENTES!$B$72&lt;&gt;"",71,"")</f>
        <v/>
      </c>
      <c r="B78" s="242">
        <f>IF(_PENDIENTES!$B$72&lt;&gt;"",_PENDIENTES!$A$72,"")</f>
        <v/>
      </c>
      <c r="C78" s="302">
        <f>IF(_PENDIENTES!$B$72&lt;&gt;"",_PENDIENTES!$C$72,"")</f>
        <v/>
      </c>
      <c r="D78" s="301">
        <f>IF(_PENDIENTES!$B$72&lt;&gt;"",_PENDIENTES!$D$72,"")</f>
        <v/>
      </c>
      <c r="E78" s="306">
        <f>IF(_PENDIENTES!$B$72&lt;&gt;"",_PENDIENTES!$E$72,"")</f>
        <v/>
      </c>
      <c r="F78" s="301">
        <f>IF(_PENDIENTES!$B$72&lt;&gt;"",_PENDIENTES!$F$72,"")</f>
        <v/>
      </c>
      <c r="G78" s="245">
        <f>IF(_PENDIENTES!$B$72&lt;&gt;"",_PENDIENTES!$G$72,"")</f>
        <v/>
      </c>
      <c r="H78" s="245">
        <f>IF(_PENDIENTES!$B$72&lt;&gt;"",_PENDIENTES!$H$72,"")</f>
        <v/>
      </c>
      <c r="I78" s="303">
        <f>IF(_PENDIENTES!$B$72&lt;&gt;"",_PENDIENTES!$I$72,"")</f>
        <v/>
      </c>
      <c r="J78" s="245">
        <f>IF(_PENDIENTES!$B$72&lt;&gt;"",_PENDIENTES!$J$72,"")</f>
        <v/>
      </c>
      <c r="K78" s="301">
        <f>IF(_PENDIENTES!$B$72&lt;&gt;"","POR RECOGER","")</f>
        <v/>
      </c>
      <c r="L78" s="302">
        <f>IF(_PENDIENTES!$B$72&lt;&gt;"",_PENDIENTES!$K$72,"")</f>
        <v/>
      </c>
      <c r="M78" s="280">
        <f>IF(_PENDIENTES!$B$72&lt;&gt;"",_PENDIENTES!$B$72,"")</f>
        <v/>
      </c>
      <c r="N78" s="304">
        <f>IF(_PENDIENTES!$B$72&lt;&gt;"",_PENDIENTES!$L$72,"")</f>
        <v/>
      </c>
      <c r="O78" s="284" t="n"/>
      <c r="P78" s="284" t="n"/>
      <c r="Q78" s="284" t="n"/>
      <c r="R78" s="284" t="n"/>
      <c r="S78" s="284" t="n"/>
    </row>
    <row r="79" hidden="1" ht="15.75" customHeight="1" s="195">
      <c r="A79" s="241">
        <f>IF(_PENDIENTES!$B$73&lt;&gt;"",72,"")</f>
        <v/>
      </c>
      <c r="B79" s="236">
        <f>IF(_PENDIENTES!$B$73&lt;&gt;"",_PENDIENTES!$A$73,"")</f>
        <v/>
      </c>
      <c r="C79" s="305">
        <f>IF(_PENDIENTES!$B$73&lt;&gt;"",_PENDIENTES!$C$73,"")</f>
        <v/>
      </c>
      <c r="D79" s="241">
        <f>IF(_PENDIENTES!$B$73&lt;&gt;"",_PENDIENTES!$D$73,"")</f>
        <v/>
      </c>
      <c r="E79" s="307">
        <f>IF(_PENDIENTES!$B$73&lt;&gt;"",_PENDIENTES!$E$73,"")</f>
        <v/>
      </c>
      <c r="F79" s="241">
        <f>IF(_PENDIENTES!$B$73&lt;&gt;"",_PENDIENTES!$F$73,"")</f>
        <v/>
      </c>
      <c r="G79" s="239">
        <f>IF(_PENDIENTES!$B$73&lt;&gt;"",_PENDIENTES!$G$73,"")</f>
        <v/>
      </c>
      <c r="H79" s="239">
        <f>IF(_PENDIENTES!$B$73&lt;&gt;"",_PENDIENTES!$H$73,"")</f>
        <v/>
      </c>
      <c r="I79" s="308">
        <f>IF(_PENDIENTES!$B$73&lt;&gt;"",_PENDIENTES!$I$73,"")</f>
        <v/>
      </c>
      <c r="J79" s="239">
        <f>IF(_PENDIENTES!$B$73&lt;&gt;"",_PENDIENTES!$J$73,"")</f>
        <v/>
      </c>
      <c r="K79" s="241">
        <f>IF(_PENDIENTES!$B$73&lt;&gt;"","POR RECOGER","")</f>
        <v/>
      </c>
      <c r="L79" s="305">
        <f>IF(_PENDIENTES!$B$73&lt;&gt;"",_PENDIENTES!$K$73,"")</f>
        <v/>
      </c>
      <c r="M79" s="280">
        <f>IF(_PENDIENTES!$B$73&lt;&gt;"",_PENDIENTES!$B$73,"")</f>
        <v/>
      </c>
      <c r="N79" s="304">
        <f>IF(_PENDIENTES!$B$73&lt;&gt;"",_PENDIENTES!$L$73,"")</f>
        <v/>
      </c>
      <c r="O79" s="284" t="n"/>
      <c r="P79" s="284" t="n"/>
      <c r="Q79" s="284" t="n"/>
      <c r="R79" s="284" t="n"/>
      <c r="S79" s="284" t="n"/>
    </row>
    <row r="80" hidden="1" ht="15.75" customHeight="1" s="195">
      <c r="A80" s="301">
        <f>IF(_PENDIENTES!$B$74&lt;&gt;"",73,"")</f>
        <v/>
      </c>
      <c r="B80" s="242">
        <f>IF(_PENDIENTES!$B$74&lt;&gt;"",_PENDIENTES!$A$74,"")</f>
        <v/>
      </c>
      <c r="C80" s="302">
        <f>IF(_PENDIENTES!$B$74&lt;&gt;"",_PENDIENTES!$C$74,"")</f>
        <v/>
      </c>
      <c r="D80" s="301">
        <f>IF(_PENDIENTES!$B$74&lt;&gt;"",_PENDIENTES!$D$74,"")</f>
        <v/>
      </c>
      <c r="E80" s="306">
        <f>IF(_PENDIENTES!$B$74&lt;&gt;"",_PENDIENTES!$E$74,"")</f>
        <v/>
      </c>
      <c r="F80" s="301">
        <f>IF(_PENDIENTES!$B$74&lt;&gt;"",_PENDIENTES!$F$74,"")</f>
        <v/>
      </c>
      <c r="G80" s="245">
        <f>IF(_PENDIENTES!$B$74&lt;&gt;"",_PENDIENTES!$G$74,"")</f>
        <v/>
      </c>
      <c r="H80" s="245">
        <f>IF(_PENDIENTES!$B$74&lt;&gt;"",_PENDIENTES!$H$74,"")</f>
        <v/>
      </c>
      <c r="I80" s="303">
        <f>IF(_PENDIENTES!$B$74&lt;&gt;"",_PENDIENTES!$I$74,"")</f>
        <v/>
      </c>
      <c r="J80" s="245">
        <f>IF(_PENDIENTES!$B$74&lt;&gt;"",_PENDIENTES!$J$74,"")</f>
        <v/>
      </c>
      <c r="K80" s="301">
        <f>IF(_PENDIENTES!$B$74&lt;&gt;"","POR RECOGER","")</f>
        <v/>
      </c>
      <c r="L80" s="302">
        <f>IF(_PENDIENTES!$B$74&lt;&gt;"",_PENDIENTES!$K$74,"")</f>
        <v/>
      </c>
      <c r="M80" s="280">
        <f>IF(_PENDIENTES!$B$74&lt;&gt;"",_PENDIENTES!$B$74,"")</f>
        <v/>
      </c>
      <c r="N80" s="304">
        <f>IF(_PENDIENTES!$B$74&lt;&gt;"",_PENDIENTES!$L$74,"")</f>
        <v/>
      </c>
      <c r="O80" s="284" t="n"/>
      <c r="P80" s="284" t="n"/>
      <c r="Q80" s="284" t="n"/>
      <c r="R80" s="284" t="n"/>
      <c r="S80" s="284" t="n"/>
    </row>
    <row r="81" hidden="1" ht="15.75" customHeight="1" s="195">
      <c r="A81" s="241">
        <f>IF(_PENDIENTES!$B$75&lt;&gt;"",74,"")</f>
        <v/>
      </c>
      <c r="B81" s="236">
        <f>IF(_PENDIENTES!$B$75&lt;&gt;"",_PENDIENTES!$A$75,"")</f>
        <v/>
      </c>
      <c r="C81" s="305">
        <f>IF(_PENDIENTES!$B$75&lt;&gt;"",_PENDIENTES!$C$75,"")</f>
        <v/>
      </c>
      <c r="D81" s="241">
        <f>IF(_PENDIENTES!$B$75&lt;&gt;"",_PENDIENTES!$D$75,"")</f>
        <v/>
      </c>
      <c r="E81" s="307">
        <f>IF(_PENDIENTES!$B$75&lt;&gt;"",_PENDIENTES!$E$75,"")</f>
        <v/>
      </c>
      <c r="F81" s="241">
        <f>IF(_PENDIENTES!$B$75&lt;&gt;"",_PENDIENTES!$F$75,"")</f>
        <v/>
      </c>
      <c r="G81" s="239">
        <f>IF(_PENDIENTES!$B$75&lt;&gt;"",_PENDIENTES!$G$75,"")</f>
        <v/>
      </c>
      <c r="H81" s="239">
        <f>IF(_PENDIENTES!$B$75&lt;&gt;"",_PENDIENTES!$H$75,"")</f>
        <v/>
      </c>
      <c r="I81" s="308">
        <f>IF(_PENDIENTES!$B$75&lt;&gt;"",_PENDIENTES!$I$75,"")</f>
        <v/>
      </c>
      <c r="J81" s="239">
        <f>IF(_PENDIENTES!$B$75&lt;&gt;"",_PENDIENTES!$J$75,"")</f>
        <v/>
      </c>
      <c r="K81" s="241">
        <f>IF(_PENDIENTES!$B$75&lt;&gt;"","POR RECOGER","")</f>
        <v/>
      </c>
      <c r="L81" s="305">
        <f>IF(_PENDIENTES!$B$75&lt;&gt;"",_PENDIENTES!$K$75,"")</f>
        <v/>
      </c>
      <c r="M81" s="280">
        <f>IF(_PENDIENTES!$B$75&lt;&gt;"",_PENDIENTES!$B$75,"")</f>
        <v/>
      </c>
      <c r="N81" s="304">
        <f>IF(_PENDIENTES!$B$75&lt;&gt;"",_PENDIENTES!$L$75,"")</f>
        <v/>
      </c>
      <c r="O81" s="284" t="n"/>
      <c r="P81" s="284" t="n"/>
      <c r="Q81" s="284" t="n"/>
      <c r="R81" s="284" t="n"/>
      <c r="S81" s="284" t="n"/>
    </row>
    <row r="82" hidden="1" ht="15.75" customHeight="1" s="195">
      <c r="A82" s="301">
        <f>IF(_PENDIENTES!$B$76&lt;&gt;"",75,"")</f>
        <v/>
      </c>
      <c r="B82" s="242">
        <f>IF(_PENDIENTES!$B$76&lt;&gt;"",_PENDIENTES!$A$76,"")</f>
        <v/>
      </c>
      <c r="C82" s="302">
        <f>IF(_PENDIENTES!$B$76&lt;&gt;"",_PENDIENTES!$C$76,"")</f>
        <v/>
      </c>
      <c r="D82" s="301">
        <f>IF(_PENDIENTES!$B$76&lt;&gt;"",_PENDIENTES!$D$76,"")</f>
        <v/>
      </c>
      <c r="E82" s="306">
        <f>IF(_PENDIENTES!$B$76&lt;&gt;"",_PENDIENTES!$E$76,"")</f>
        <v/>
      </c>
      <c r="F82" s="301">
        <f>IF(_PENDIENTES!$B$76&lt;&gt;"",_PENDIENTES!$F$76,"")</f>
        <v/>
      </c>
      <c r="G82" s="245">
        <f>IF(_PENDIENTES!$B$76&lt;&gt;"",_PENDIENTES!$G$76,"")</f>
        <v/>
      </c>
      <c r="H82" s="245">
        <f>IF(_PENDIENTES!$B$76&lt;&gt;"",_PENDIENTES!$H$76,"")</f>
        <v/>
      </c>
      <c r="I82" s="303">
        <f>IF(_PENDIENTES!$B$76&lt;&gt;"",_PENDIENTES!$I$76,"")</f>
        <v/>
      </c>
      <c r="J82" s="245">
        <f>IF(_PENDIENTES!$B$76&lt;&gt;"",_PENDIENTES!$J$76,"")</f>
        <v/>
      </c>
      <c r="K82" s="301">
        <f>IF(_PENDIENTES!$B$76&lt;&gt;"","POR RECOGER","")</f>
        <v/>
      </c>
      <c r="L82" s="302">
        <f>IF(_PENDIENTES!$B$76&lt;&gt;"",_PENDIENTES!$K$76,"")</f>
        <v/>
      </c>
      <c r="M82" s="280">
        <f>IF(_PENDIENTES!$B$76&lt;&gt;"",_PENDIENTES!$B$76,"")</f>
        <v/>
      </c>
      <c r="N82" s="304">
        <f>IF(_PENDIENTES!$B$76&lt;&gt;"",_PENDIENTES!$L$76,"")</f>
        <v/>
      </c>
      <c r="O82" s="284" t="n"/>
      <c r="P82" s="284" t="n"/>
      <c r="Q82" s="284" t="n"/>
      <c r="R82" s="284" t="n"/>
      <c r="S82" s="284" t="n"/>
    </row>
    <row r="83" hidden="1" ht="15.75" customHeight="1" s="195">
      <c r="A83" s="241">
        <f>IF(_PENDIENTES!$B$77&lt;&gt;"",76,"")</f>
        <v/>
      </c>
      <c r="B83" s="236">
        <f>IF(_PENDIENTES!$B$77&lt;&gt;"",_PENDIENTES!$A$77,"")</f>
        <v/>
      </c>
      <c r="C83" s="305">
        <f>IF(_PENDIENTES!$B$77&lt;&gt;"",_PENDIENTES!$C$77,"")</f>
        <v/>
      </c>
      <c r="D83" s="241">
        <f>IF(_PENDIENTES!$B$77&lt;&gt;"",_PENDIENTES!$D$77,"")</f>
        <v/>
      </c>
      <c r="E83" s="307">
        <f>IF(_PENDIENTES!$B$77&lt;&gt;"",_PENDIENTES!$E$77,"")</f>
        <v/>
      </c>
      <c r="F83" s="241">
        <f>IF(_PENDIENTES!$B$77&lt;&gt;"",_PENDIENTES!$F$77,"")</f>
        <v/>
      </c>
      <c r="G83" s="239">
        <f>IF(_PENDIENTES!$B$77&lt;&gt;"",_PENDIENTES!$G$77,"")</f>
        <v/>
      </c>
      <c r="H83" s="239">
        <f>IF(_PENDIENTES!$B$77&lt;&gt;"",_PENDIENTES!$H$77,"")</f>
        <v/>
      </c>
      <c r="I83" s="308">
        <f>IF(_PENDIENTES!$B$77&lt;&gt;"",_PENDIENTES!$I$77,"")</f>
        <v/>
      </c>
      <c r="J83" s="239">
        <f>IF(_PENDIENTES!$B$77&lt;&gt;"",_PENDIENTES!$J$77,"")</f>
        <v/>
      </c>
      <c r="K83" s="241">
        <f>IF(_PENDIENTES!$B$77&lt;&gt;"","POR RECOGER","")</f>
        <v/>
      </c>
      <c r="L83" s="305">
        <f>IF(_PENDIENTES!$B$77&lt;&gt;"",_PENDIENTES!$K$77,"")</f>
        <v/>
      </c>
      <c r="M83" s="280">
        <f>IF(_PENDIENTES!$B$77&lt;&gt;"",_PENDIENTES!$B$77,"")</f>
        <v/>
      </c>
      <c r="N83" s="304">
        <f>IF(_PENDIENTES!$B$77&lt;&gt;"",_PENDIENTES!$L$77,"")</f>
        <v/>
      </c>
      <c r="O83" s="284" t="n"/>
      <c r="P83" s="284" t="n"/>
      <c r="Q83" s="284" t="n"/>
      <c r="R83" s="284" t="n"/>
      <c r="S83" s="284" t="n"/>
    </row>
    <row r="84" hidden="1" ht="15.75" customHeight="1" s="195">
      <c r="A84" s="301">
        <f>IF(_PENDIENTES!$B$78&lt;&gt;"",77,"")</f>
        <v/>
      </c>
      <c r="B84" s="242">
        <f>IF(_PENDIENTES!$B$78&lt;&gt;"",_PENDIENTES!$A$78,"")</f>
        <v/>
      </c>
      <c r="C84" s="302">
        <f>IF(_PENDIENTES!$B$78&lt;&gt;"",_PENDIENTES!$C$78,"")</f>
        <v/>
      </c>
      <c r="D84" s="301">
        <f>IF(_PENDIENTES!$B$78&lt;&gt;"",_PENDIENTES!$D$78,"")</f>
        <v/>
      </c>
      <c r="E84" s="306">
        <f>IF(_PENDIENTES!$B$78&lt;&gt;"",_PENDIENTES!$E$78,"")</f>
        <v/>
      </c>
      <c r="F84" s="301">
        <f>IF(_PENDIENTES!$B$78&lt;&gt;"",_PENDIENTES!$F$78,"")</f>
        <v/>
      </c>
      <c r="G84" s="245">
        <f>IF(_PENDIENTES!$B$78&lt;&gt;"",_PENDIENTES!$G$78,"")</f>
        <v/>
      </c>
      <c r="H84" s="245">
        <f>IF(_PENDIENTES!$B$78&lt;&gt;"",_PENDIENTES!$H$78,"")</f>
        <v/>
      </c>
      <c r="I84" s="303">
        <f>IF(_PENDIENTES!$B$78&lt;&gt;"",_PENDIENTES!$I$78,"")</f>
        <v/>
      </c>
      <c r="J84" s="245">
        <f>IF(_PENDIENTES!$B$78&lt;&gt;"",_PENDIENTES!$J$78,"")</f>
        <v/>
      </c>
      <c r="K84" s="301">
        <f>IF(_PENDIENTES!$B$78&lt;&gt;"","POR RECOGER","")</f>
        <v/>
      </c>
      <c r="L84" s="302">
        <f>IF(_PENDIENTES!$B$78&lt;&gt;"",_PENDIENTES!$K$78,"")</f>
        <v/>
      </c>
      <c r="M84" s="280">
        <f>IF(_PENDIENTES!$B$78&lt;&gt;"",_PENDIENTES!$B$78,"")</f>
        <v/>
      </c>
      <c r="N84" s="304">
        <f>IF(_PENDIENTES!$B$78&lt;&gt;"",_PENDIENTES!$L$78,"")</f>
        <v/>
      </c>
      <c r="O84" s="284" t="n"/>
      <c r="P84" s="284" t="n"/>
      <c r="Q84" s="284" t="n"/>
      <c r="R84" s="284" t="n"/>
      <c r="S84" s="284" t="n"/>
    </row>
    <row r="85" hidden="1" ht="15.75" customHeight="1" s="195">
      <c r="A85" s="241">
        <f>IF(_PENDIENTES!$B$79&lt;&gt;"",78,"")</f>
        <v/>
      </c>
      <c r="B85" s="236">
        <f>IF(_PENDIENTES!$B$79&lt;&gt;"",_PENDIENTES!$A$79,"")</f>
        <v/>
      </c>
      <c r="C85" s="305">
        <f>IF(_PENDIENTES!$B$79&lt;&gt;"",_PENDIENTES!$C$79,"")</f>
        <v/>
      </c>
      <c r="D85" s="241">
        <f>IF(_PENDIENTES!$B$79&lt;&gt;"",_PENDIENTES!$D$79,"")</f>
        <v/>
      </c>
      <c r="E85" s="307">
        <f>IF(_PENDIENTES!$B$79&lt;&gt;"",_PENDIENTES!$E$79,"")</f>
        <v/>
      </c>
      <c r="F85" s="241">
        <f>IF(_PENDIENTES!$B$79&lt;&gt;"",_PENDIENTES!$F$79,"")</f>
        <v/>
      </c>
      <c r="G85" s="239">
        <f>IF(_PENDIENTES!$B$79&lt;&gt;"",_PENDIENTES!$G$79,"")</f>
        <v/>
      </c>
      <c r="H85" s="239">
        <f>IF(_PENDIENTES!$B$79&lt;&gt;"",_PENDIENTES!$H$79,"")</f>
        <v/>
      </c>
      <c r="I85" s="308">
        <f>IF(_PENDIENTES!$B$79&lt;&gt;"",_PENDIENTES!$I$79,"")</f>
        <v/>
      </c>
      <c r="J85" s="239">
        <f>IF(_PENDIENTES!$B$79&lt;&gt;"",_PENDIENTES!$J$79,"")</f>
        <v/>
      </c>
      <c r="K85" s="241">
        <f>IF(_PENDIENTES!$B$79&lt;&gt;"","POR RECOGER","")</f>
        <v/>
      </c>
      <c r="L85" s="305">
        <f>IF(_PENDIENTES!$B$79&lt;&gt;"",_PENDIENTES!$K$79,"")</f>
        <v/>
      </c>
      <c r="M85" s="280">
        <f>IF(_PENDIENTES!$B$79&lt;&gt;"",_PENDIENTES!$B$79,"")</f>
        <v/>
      </c>
      <c r="N85" s="304">
        <f>IF(_PENDIENTES!$B$79&lt;&gt;"",_PENDIENTES!$L$79,"")</f>
        <v/>
      </c>
      <c r="O85" s="284" t="n"/>
      <c r="P85" s="284" t="n"/>
      <c r="Q85" s="284" t="n"/>
      <c r="R85" s="284" t="n"/>
      <c r="S85" s="284" t="n"/>
    </row>
    <row r="86" hidden="1" ht="15.75" customHeight="1" s="195">
      <c r="A86" s="301">
        <f>IF(_PENDIENTES!$B$80&lt;&gt;"",79,"")</f>
        <v/>
      </c>
      <c r="B86" s="242">
        <f>IF(_PENDIENTES!$B$80&lt;&gt;"",_PENDIENTES!$A$80,"")</f>
        <v/>
      </c>
      <c r="C86" s="302">
        <f>IF(_PENDIENTES!$B$80&lt;&gt;"",_PENDIENTES!$C$80,"")</f>
        <v/>
      </c>
      <c r="D86" s="301">
        <f>IF(_PENDIENTES!$B$80&lt;&gt;"",_PENDIENTES!$D$80,"")</f>
        <v/>
      </c>
      <c r="E86" s="306">
        <f>IF(_PENDIENTES!$B$80&lt;&gt;"",_PENDIENTES!$E$80,"")</f>
        <v/>
      </c>
      <c r="F86" s="301">
        <f>IF(_PENDIENTES!$B$80&lt;&gt;"",_PENDIENTES!$F$80,"")</f>
        <v/>
      </c>
      <c r="G86" s="245">
        <f>IF(_PENDIENTES!$B$80&lt;&gt;"",_PENDIENTES!$G$80,"")</f>
        <v/>
      </c>
      <c r="H86" s="245">
        <f>IF(_PENDIENTES!$B$80&lt;&gt;"",_PENDIENTES!$H$80,"")</f>
        <v/>
      </c>
      <c r="I86" s="303">
        <f>IF(_PENDIENTES!$B$80&lt;&gt;"",_PENDIENTES!$I$80,"")</f>
        <v/>
      </c>
      <c r="J86" s="245">
        <f>IF(_PENDIENTES!$B$80&lt;&gt;"",_PENDIENTES!$J$80,"")</f>
        <v/>
      </c>
      <c r="K86" s="301">
        <f>IF(_PENDIENTES!$B$80&lt;&gt;"","POR RECOGER","")</f>
        <v/>
      </c>
      <c r="L86" s="302">
        <f>IF(_PENDIENTES!$B$80&lt;&gt;"",_PENDIENTES!$K$80,"")</f>
        <v/>
      </c>
      <c r="M86" s="280">
        <f>IF(_PENDIENTES!$B$80&lt;&gt;"",_PENDIENTES!$B$80,"")</f>
        <v/>
      </c>
      <c r="N86" s="304">
        <f>IF(_PENDIENTES!$B$80&lt;&gt;"",_PENDIENTES!$L$80,"")</f>
        <v/>
      </c>
      <c r="O86" s="284" t="n"/>
      <c r="P86" s="284" t="n"/>
      <c r="Q86" s="284" t="n"/>
      <c r="R86" s="284" t="n"/>
      <c r="S86" s="284" t="n"/>
    </row>
    <row r="87" hidden="1" ht="15.75" customHeight="1" s="195">
      <c r="A87" s="241">
        <f>IF(_PENDIENTES!$B$81&lt;&gt;"",80,"")</f>
        <v/>
      </c>
      <c r="B87" s="236">
        <f>IF(_PENDIENTES!$B$81&lt;&gt;"",_PENDIENTES!$A$81,"")</f>
        <v/>
      </c>
      <c r="C87" s="305">
        <f>IF(_PENDIENTES!$B$81&lt;&gt;"",_PENDIENTES!$C$81,"")</f>
        <v/>
      </c>
      <c r="D87" s="241">
        <f>IF(_PENDIENTES!$B$81&lt;&gt;"",_PENDIENTES!$D$81,"")</f>
        <v/>
      </c>
      <c r="E87" s="307">
        <f>IF(_PENDIENTES!$B$81&lt;&gt;"",_PENDIENTES!$E$81,"")</f>
        <v/>
      </c>
      <c r="F87" s="241">
        <f>IF(_PENDIENTES!$B$81&lt;&gt;"",_PENDIENTES!$F$81,"")</f>
        <v/>
      </c>
      <c r="G87" s="239">
        <f>IF(_PENDIENTES!$B$81&lt;&gt;"",_PENDIENTES!$G$81,"")</f>
        <v/>
      </c>
      <c r="H87" s="239">
        <f>IF(_PENDIENTES!$B$81&lt;&gt;"",_PENDIENTES!$H$81,"")</f>
        <v/>
      </c>
      <c r="I87" s="308">
        <f>IF(_PENDIENTES!$B$81&lt;&gt;"",_PENDIENTES!$I$81,"")</f>
        <v/>
      </c>
      <c r="J87" s="239">
        <f>IF(_PENDIENTES!$B$81&lt;&gt;"",_PENDIENTES!$J$81,"")</f>
        <v/>
      </c>
      <c r="K87" s="241">
        <f>IF(_PENDIENTES!$B$81&lt;&gt;"","POR RECOGER","")</f>
        <v/>
      </c>
      <c r="L87" s="305">
        <f>IF(_PENDIENTES!$B$81&lt;&gt;"",_PENDIENTES!$K$81,"")</f>
        <v/>
      </c>
      <c r="M87" s="280">
        <f>IF(_PENDIENTES!$B$81&lt;&gt;"",_PENDIENTES!$B$81,"")</f>
        <v/>
      </c>
      <c r="N87" s="304">
        <f>IF(_PENDIENTES!$B$81&lt;&gt;"",_PENDIENTES!$L$81,"")</f>
        <v/>
      </c>
      <c r="O87" s="284" t="n"/>
      <c r="P87" s="284" t="n"/>
      <c r="Q87" s="284" t="n"/>
      <c r="R87" s="284" t="n"/>
      <c r="S87" s="284" t="n"/>
    </row>
    <row r="88" hidden="1" ht="15.75" customHeight="1" s="195">
      <c r="A88" s="301">
        <f>IF(_PENDIENTES!$B$82&lt;&gt;"",81,"")</f>
        <v/>
      </c>
      <c r="B88" s="242">
        <f>IF(_PENDIENTES!$B$82&lt;&gt;"",_PENDIENTES!$A$82,"")</f>
        <v/>
      </c>
      <c r="C88" s="302">
        <f>IF(_PENDIENTES!$B$82&lt;&gt;"",_PENDIENTES!$C$82,"")</f>
        <v/>
      </c>
      <c r="D88" s="301">
        <f>IF(_PENDIENTES!$B$82&lt;&gt;"",_PENDIENTES!$D$82,"")</f>
        <v/>
      </c>
      <c r="E88" s="306">
        <f>IF(_PENDIENTES!$B$82&lt;&gt;"",_PENDIENTES!$E$82,"")</f>
        <v/>
      </c>
      <c r="F88" s="301">
        <f>IF(_PENDIENTES!$B$82&lt;&gt;"",_PENDIENTES!$F$82,"")</f>
        <v/>
      </c>
      <c r="G88" s="245">
        <f>IF(_PENDIENTES!$B$82&lt;&gt;"",_PENDIENTES!$G$82,"")</f>
        <v/>
      </c>
      <c r="H88" s="245">
        <f>IF(_PENDIENTES!$B$82&lt;&gt;"",_PENDIENTES!$H$82,"")</f>
        <v/>
      </c>
      <c r="I88" s="303">
        <f>IF(_PENDIENTES!$B$82&lt;&gt;"",_PENDIENTES!$I$82,"")</f>
        <v/>
      </c>
      <c r="J88" s="245">
        <f>IF(_PENDIENTES!$B$82&lt;&gt;"",_PENDIENTES!$J$82,"")</f>
        <v/>
      </c>
      <c r="K88" s="301">
        <f>IF(_PENDIENTES!$B$82&lt;&gt;"","POR RECOGER","")</f>
        <v/>
      </c>
      <c r="L88" s="302">
        <f>IF(_PENDIENTES!$B$82&lt;&gt;"",_PENDIENTES!$K$82,"")</f>
        <v/>
      </c>
      <c r="M88" s="280">
        <f>IF(_PENDIENTES!$B$82&lt;&gt;"",_PENDIENTES!$B$82,"")</f>
        <v/>
      </c>
      <c r="N88" s="304">
        <f>IF(_PENDIENTES!$B$82&lt;&gt;"",_PENDIENTES!$L$82,"")</f>
        <v/>
      </c>
      <c r="O88" s="284" t="n"/>
      <c r="P88" s="284" t="n"/>
      <c r="Q88" s="284" t="n"/>
      <c r="R88" s="284" t="n"/>
      <c r="S88" s="284" t="n"/>
    </row>
    <row r="89" hidden="1" ht="15.75" customHeight="1" s="195">
      <c r="A89" s="241">
        <f>IF(_PENDIENTES!$B$83&lt;&gt;"",82,"")</f>
        <v/>
      </c>
      <c r="B89" s="236">
        <f>IF(_PENDIENTES!$B$83&lt;&gt;"",_PENDIENTES!$A$83,"")</f>
        <v/>
      </c>
      <c r="C89" s="305">
        <f>IF(_PENDIENTES!$B$83&lt;&gt;"",_PENDIENTES!$C$83,"")</f>
        <v/>
      </c>
      <c r="D89" s="241">
        <f>IF(_PENDIENTES!$B$83&lt;&gt;"",_PENDIENTES!$D$83,"")</f>
        <v/>
      </c>
      <c r="E89" s="307">
        <f>IF(_PENDIENTES!$B$83&lt;&gt;"",_PENDIENTES!$E$83,"")</f>
        <v/>
      </c>
      <c r="F89" s="241">
        <f>IF(_PENDIENTES!$B$83&lt;&gt;"",_PENDIENTES!$F$83,"")</f>
        <v/>
      </c>
      <c r="G89" s="239">
        <f>IF(_PENDIENTES!$B$83&lt;&gt;"",_PENDIENTES!$G$83,"")</f>
        <v/>
      </c>
      <c r="H89" s="239">
        <f>IF(_PENDIENTES!$B$83&lt;&gt;"",_PENDIENTES!$H$83,"")</f>
        <v/>
      </c>
      <c r="I89" s="308">
        <f>IF(_PENDIENTES!$B$83&lt;&gt;"",_PENDIENTES!$I$83,"")</f>
        <v/>
      </c>
      <c r="J89" s="239">
        <f>IF(_PENDIENTES!$B$83&lt;&gt;"",_PENDIENTES!$J$83,"")</f>
        <v/>
      </c>
      <c r="K89" s="241">
        <f>IF(_PENDIENTES!$B$83&lt;&gt;"","POR RECOGER","")</f>
        <v/>
      </c>
      <c r="L89" s="305">
        <f>IF(_PENDIENTES!$B$83&lt;&gt;"",_PENDIENTES!$K$83,"")</f>
        <v/>
      </c>
      <c r="M89" s="280">
        <f>IF(_PENDIENTES!$B$83&lt;&gt;"",_PENDIENTES!$B$83,"")</f>
        <v/>
      </c>
      <c r="N89" s="304">
        <f>IF(_PENDIENTES!$B$83&lt;&gt;"",_PENDIENTES!$L$83,"")</f>
        <v/>
      </c>
      <c r="O89" s="284" t="n"/>
      <c r="P89" s="284" t="n"/>
      <c r="Q89" s="284" t="n"/>
      <c r="R89" s="284" t="n"/>
      <c r="S89" s="284" t="n"/>
    </row>
    <row r="90" hidden="1" ht="15.75" customHeight="1" s="195">
      <c r="A90" s="301">
        <f>IF(_PENDIENTES!$B$84&lt;&gt;"",83,"")</f>
        <v/>
      </c>
      <c r="B90" s="242">
        <f>IF(_PENDIENTES!$B$84&lt;&gt;"",_PENDIENTES!$A$84,"")</f>
        <v/>
      </c>
      <c r="C90" s="302">
        <f>IF(_PENDIENTES!$B$84&lt;&gt;"",_PENDIENTES!$C$84,"")</f>
        <v/>
      </c>
      <c r="D90" s="301">
        <f>IF(_PENDIENTES!$B$84&lt;&gt;"",_PENDIENTES!$D$84,"")</f>
        <v/>
      </c>
      <c r="E90" s="306">
        <f>IF(_PENDIENTES!$B$84&lt;&gt;"",_PENDIENTES!$E$84,"")</f>
        <v/>
      </c>
      <c r="F90" s="301">
        <f>IF(_PENDIENTES!$B$84&lt;&gt;"",_PENDIENTES!$F$84,"")</f>
        <v/>
      </c>
      <c r="G90" s="245">
        <f>IF(_PENDIENTES!$B$84&lt;&gt;"",_PENDIENTES!$G$84,"")</f>
        <v/>
      </c>
      <c r="H90" s="245">
        <f>IF(_PENDIENTES!$B$84&lt;&gt;"",_PENDIENTES!$H$84,"")</f>
        <v/>
      </c>
      <c r="I90" s="303">
        <f>IF(_PENDIENTES!$B$84&lt;&gt;"",_PENDIENTES!$I$84,"")</f>
        <v/>
      </c>
      <c r="J90" s="245">
        <f>IF(_PENDIENTES!$B$84&lt;&gt;"",_PENDIENTES!$J$84,"")</f>
        <v/>
      </c>
      <c r="K90" s="301">
        <f>IF(_PENDIENTES!$B$84&lt;&gt;"","POR RECOGER","")</f>
        <v/>
      </c>
      <c r="L90" s="302">
        <f>IF(_PENDIENTES!$B$84&lt;&gt;"",_PENDIENTES!$K$84,"")</f>
        <v/>
      </c>
      <c r="M90" s="280">
        <f>IF(_PENDIENTES!$B$84&lt;&gt;"",_PENDIENTES!$B$84,"")</f>
        <v/>
      </c>
      <c r="N90" s="304">
        <f>IF(_PENDIENTES!$B$84&lt;&gt;"",_PENDIENTES!$L$84,"")</f>
        <v/>
      </c>
      <c r="O90" s="284" t="n"/>
      <c r="P90" s="284" t="n"/>
      <c r="Q90" s="284" t="n"/>
      <c r="R90" s="284" t="n"/>
      <c r="S90" s="284" t="n"/>
    </row>
    <row r="91" hidden="1" ht="15.75" customHeight="1" s="195">
      <c r="A91" s="241">
        <f>IF(_PENDIENTES!$B$85&lt;&gt;"",84,"")</f>
        <v/>
      </c>
      <c r="B91" s="236">
        <f>IF(_PENDIENTES!$B$85&lt;&gt;"",_PENDIENTES!$A$85,"")</f>
        <v/>
      </c>
      <c r="C91" s="305">
        <f>IF(_PENDIENTES!$B$85&lt;&gt;"",_PENDIENTES!$C$85,"")</f>
        <v/>
      </c>
      <c r="D91" s="241">
        <f>IF(_PENDIENTES!$B$85&lt;&gt;"",_PENDIENTES!$D$85,"")</f>
        <v/>
      </c>
      <c r="E91" s="307">
        <f>IF(_PENDIENTES!$B$85&lt;&gt;"",_PENDIENTES!$E$85,"")</f>
        <v/>
      </c>
      <c r="F91" s="241">
        <f>IF(_PENDIENTES!$B$85&lt;&gt;"",_PENDIENTES!$F$85,"")</f>
        <v/>
      </c>
      <c r="G91" s="239">
        <f>IF(_PENDIENTES!$B$85&lt;&gt;"",_PENDIENTES!$G$85,"")</f>
        <v/>
      </c>
      <c r="H91" s="239">
        <f>IF(_PENDIENTES!$B$85&lt;&gt;"",_PENDIENTES!$H$85,"")</f>
        <v/>
      </c>
      <c r="I91" s="308">
        <f>IF(_PENDIENTES!$B$85&lt;&gt;"",_PENDIENTES!$I$85,"")</f>
        <v/>
      </c>
      <c r="J91" s="239">
        <f>IF(_PENDIENTES!$B$85&lt;&gt;"",_PENDIENTES!$J$85,"")</f>
        <v/>
      </c>
      <c r="K91" s="241">
        <f>IF(_PENDIENTES!$B$85&lt;&gt;"","POR RECOGER","")</f>
        <v/>
      </c>
      <c r="L91" s="305">
        <f>IF(_PENDIENTES!$B$85&lt;&gt;"",_PENDIENTES!$K$85,"")</f>
        <v/>
      </c>
      <c r="M91" s="280">
        <f>IF(_PENDIENTES!$B$85&lt;&gt;"",_PENDIENTES!$B$85,"")</f>
        <v/>
      </c>
      <c r="N91" s="304">
        <f>IF(_PENDIENTES!$B$85&lt;&gt;"",_PENDIENTES!$L$85,"")</f>
        <v/>
      </c>
      <c r="O91" s="284" t="n"/>
      <c r="P91" s="284" t="n"/>
      <c r="Q91" s="284" t="n"/>
      <c r="R91" s="284" t="n"/>
      <c r="S91" s="284" t="n"/>
    </row>
    <row r="92" hidden="1" ht="15.75" customHeight="1" s="195">
      <c r="A92" s="301">
        <f>IF(_PENDIENTES!$B$86&lt;&gt;"",85,"")</f>
        <v/>
      </c>
      <c r="B92" s="242">
        <f>IF(_PENDIENTES!$B$86&lt;&gt;"",_PENDIENTES!$A$86,"")</f>
        <v/>
      </c>
      <c r="C92" s="302">
        <f>IF(_PENDIENTES!$B$86&lt;&gt;"",_PENDIENTES!$C$86,"")</f>
        <v/>
      </c>
      <c r="D92" s="301">
        <f>IF(_PENDIENTES!$B$86&lt;&gt;"",_PENDIENTES!$D$86,"")</f>
        <v/>
      </c>
      <c r="E92" s="306">
        <f>IF(_PENDIENTES!$B$86&lt;&gt;"",_PENDIENTES!$E$86,"")</f>
        <v/>
      </c>
      <c r="F92" s="301">
        <f>IF(_PENDIENTES!$B$86&lt;&gt;"",_PENDIENTES!$F$86,"")</f>
        <v/>
      </c>
      <c r="G92" s="245">
        <f>IF(_PENDIENTES!$B$86&lt;&gt;"",_PENDIENTES!$G$86,"")</f>
        <v/>
      </c>
      <c r="H92" s="245">
        <f>IF(_PENDIENTES!$B$86&lt;&gt;"",_PENDIENTES!$H$86,"")</f>
        <v/>
      </c>
      <c r="I92" s="303">
        <f>IF(_PENDIENTES!$B$86&lt;&gt;"",_PENDIENTES!$I$86,"")</f>
        <v/>
      </c>
      <c r="J92" s="245">
        <f>IF(_PENDIENTES!$B$86&lt;&gt;"",_PENDIENTES!$J$86,"")</f>
        <v/>
      </c>
      <c r="K92" s="301">
        <f>IF(_PENDIENTES!$B$86&lt;&gt;"","POR RECOGER","")</f>
        <v/>
      </c>
      <c r="L92" s="302">
        <f>IF(_PENDIENTES!$B$86&lt;&gt;"",_PENDIENTES!$K$86,"")</f>
        <v/>
      </c>
      <c r="M92" s="280">
        <f>IF(_PENDIENTES!$B$86&lt;&gt;"",_PENDIENTES!$B$86,"")</f>
        <v/>
      </c>
      <c r="N92" s="304">
        <f>IF(_PENDIENTES!$B$86&lt;&gt;"",_PENDIENTES!$L$86,"")</f>
        <v/>
      </c>
      <c r="O92" s="284" t="n"/>
      <c r="P92" s="284" t="n"/>
      <c r="Q92" s="284" t="n"/>
      <c r="R92" s="284" t="n"/>
      <c r="S92" s="284" t="n"/>
    </row>
    <row r="93" hidden="1" ht="15.75" customHeight="1" s="195">
      <c r="A93" s="241">
        <f>IF(_PENDIENTES!$B$87&lt;&gt;"",86,"")</f>
        <v/>
      </c>
      <c r="B93" s="236">
        <f>IF(_PENDIENTES!$B$87&lt;&gt;"",_PENDIENTES!$A$87,"")</f>
        <v/>
      </c>
      <c r="C93" s="305">
        <f>IF(_PENDIENTES!$B$87&lt;&gt;"",_PENDIENTES!$C$87,"")</f>
        <v/>
      </c>
      <c r="D93" s="241">
        <f>IF(_PENDIENTES!$B$87&lt;&gt;"",_PENDIENTES!$D$87,"")</f>
        <v/>
      </c>
      <c r="E93" s="307">
        <f>IF(_PENDIENTES!$B$87&lt;&gt;"",_PENDIENTES!$E$87,"")</f>
        <v/>
      </c>
      <c r="F93" s="241">
        <f>IF(_PENDIENTES!$B$87&lt;&gt;"",_PENDIENTES!$F$87,"")</f>
        <v/>
      </c>
      <c r="G93" s="239">
        <f>IF(_PENDIENTES!$B$87&lt;&gt;"",_PENDIENTES!$G$87,"")</f>
        <v/>
      </c>
      <c r="H93" s="239">
        <f>IF(_PENDIENTES!$B$87&lt;&gt;"",_PENDIENTES!$H$87,"")</f>
        <v/>
      </c>
      <c r="I93" s="308">
        <f>IF(_PENDIENTES!$B$87&lt;&gt;"",_PENDIENTES!$I$87,"")</f>
        <v/>
      </c>
      <c r="J93" s="239">
        <f>IF(_PENDIENTES!$B$87&lt;&gt;"",_PENDIENTES!$J$87,"")</f>
        <v/>
      </c>
      <c r="K93" s="241">
        <f>IF(_PENDIENTES!$B$87&lt;&gt;"","POR RECOGER","")</f>
        <v/>
      </c>
      <c r="L93" s="305">
        <f>IF(_PENDIENTES!$B$87&lt;&gt;"",_PENDIENTES!$K$87,"")</f>
        <v/>
      </c>
      <c r="M93" s="280">
        <f>IF(_PENDIENTES!$B$87&lt;&gt;"",_PENDIENTES!$B$87,"")</f>
        <v/>
      </c>
      <c r="N93" s="304">
        <f>IF(_PENDIENTES!$B$87&lt;&gt;"",_PENDIENTES!$L$87,"")</f>
        <v/>
      </c>
      <c r="O93" s="284" t="n"/>
      <c r="P93" s="284" t="n"/>
      <c r="Q93" s="284" t="n"/>
      <c r="R93" s="284" t="n"/>
      <c r="S93" s="284" t="n"/>
    </row>
    <row r="94" hidden="1" ht="15.75" customHeight="1" s="195">
      <c r="A94" s="301">
        <f>IF(_PENDIENTES!$B$88&lt;&gt;"",87,"")</f>
        <v/>
      </c>
      <c r="B94" s="242">
        <f>IF(_PENDIENTES!$B$88&lt;&gt;"",_PENDIENTES!$A$88,"")</f>
        <v/>
      </c>
      <c r="C94" s="302">
        <f>IF(_PENDIENTES!$B$88&lt;&gt;"",_PENDIENTES!$C$88,"")</f>
        <v/>
      </c>
      <c r="D94" s="301">
        <f>IF(_PENDIENTES!$B$88&lt;&gt;"",_PENDIENTES!$D$88,"")</f>
        <v/>
      </c>
      <c r="E94" s="306">
        <f>IF(_PENDIENTES!$B$88&lt;&gt;"",_PENDIENTES!$E$88,"")</f>
        <v/>
      </c>
      <c r="F94" s="301">
        <f>IF(_PENDIENTES!$B$88&lt;&gt;"",_PENDIENTES!$F$88,"")</f>
        <v/>
      </c>
      <c r="G94" s="245">
        <f>IF(_PENDIENTES!$B$88&lt;&gt;"",_PENDIENTES!$G$88,"")</f>
        <v/>
      </c>
      <c r="H94" s="245">
        <f>IF(_PENDIENTES!$B$88&lt;&gt;"",_PENDIENTES!$H$88,"")</f>
        <v/>
      </c>
      <c r="I94" s="303">
        <f>IF(_PENDIENTES!$B$88&lt;&gt;"",_PENDIENTES!$I$88,"")</f>
        <v/>
      </c>
      <c r="J94" s="245">
        <f>IF(_PENDIENTES!$B$88&lt;&gt;"",_PENDIENTES!$J$88,"")</f>
        <v/>
      </c>
      <c r="K94" s="301">
        <f>IF(_PENDIENTES!$B$88&lt;&gt;"","POR RECOGER","")</f>
        <v/>
      </c>
      <c r="L94" s="302">
        <f>IF(_PENDIENTES!$B$88&lt;&gt;"",_PENDIENTES!$K$88,"")</f>
        <v/>
      </c>
      <c r="M94" s="280">
        <f>IF(_PENDIENTES!$B$88&lt;&gt;"",_PENDIENTES!$B$88,"")</f>
        <v/>
      </c>
      <c r="N94" s="304">
        <f>IF(_PENDIENTES!$B$88&lt;&gt;"",_PENDIENTES!$L$88,"")</f>
        <v/>
      </c>
      <c r="O94" s="284" t="n"/>
      <c r="P94" s="284" t="n"/>
      <c r="Q94" s="284" t="n"/>
      <c r="R94" s="284" t="n"/>
      <c r="S94" s="284" t="n"/>
    </row>
    <row r="95" hidden="1" ht="15.75" customHeight="1" s="195">
      <c r="A95" s="241">
        <f>IF(_PENDIENTES!$B$89&lt;&gt;"",88,"")</f>
        <v/>
      </c>
      <c r="B95" s="236">
        <f>IF(_PENDIENTES!$B$89&lt;&gt;"",_PENDIENTES!$A$89,"")</f>
        <v/>
      </c>
      <c r="C95" s="305">
        <f>IF(_PENDIENTES!$B$89&lt;&gt;"",_PENDIENTES!$C$89,"")</f>
        <v/>
      </c>
      <c r="D95" s="241">
        <f>IF(_PENDIENTES!$B$89&lt;&gt;"",_PENDIENTES!$D$89,"")</f>
        <v/>
      </c>
      <c r="E95" s="307">
        <f>IF(_PENDIENTES!$B$89&lt;&gt;"",_PENDIENTES!$E$89,"")</f>
        <v/>
      </c>
      <c r="F95" s="241">
        <f>IF(_PENDIENTES!$B$89&lt;&gt;"",_PENDIENTES!$F$89,"")</f>
        <v/>
      </c>
      <c r="G95" s="239">
        <f>IF(_PENDIENTES!$B$89&lt;&gt;"",_PENDIENTES!$G$89,"")</f>
        <v/>
      </c>
      <c r="H95" s="239">
        <f>IF(_PENDIENTES!$B$89&lt;&gt;"",_PENDIENTES!$H$89,"")</f>
        <v/>
      </c>
      <c r="I95" s="308">
        <f>IF(_PENDIENTES!$B$89&lt;&gt;"",_PENDIENTES!$I$89,"")</f>
        <v/>
      </c>
      <c r="J95" s="239">
        <f>IF(_PENDIENTES!$B$89&lt;&gt;"",_PENDIENTES!$J$89,"")</f>
        <v/>
      </c>
      <c r="K95" s="241">
        <f>IF(_PENDIENTES!$B$89&lt;&gt;"","POR RECOGER","")</f>
        <v/>
      </c>
      <c r="L95" s="305">
        <f>IF(_PENDIENTES!$B$89&lt;&gt;"",_PENDIENTES!$K$89,"")</f>
        <v/>
      </c>
      <c r="M95" s="280">
        <f>IF(_PENDIENTES!$B$89&lt;&gt;"",_PENDIENTES!$B$89,"")</f>
        <v/>
      </c>
      <c r="N95" s="304">
        <f>IF(_PENDIENTES!$B$89&lt;&gt;"",_PENDIENTES!$L$89,"")</f>
        <v/>
      </c>
      <c r="O95" s="284" t="n"/>
      <c r="P95" s="284" t="n"/>
      <c r="Q95" s="284" t="n"/>
      <c r="R95" s="284" t="n"/>
      <c r="S95" s="284" t="n"/>
    </row>
    <row r="96" hidden="1" ht="15.75" customHeight="1" s="195">
      <c r="A96" s="301">
        <f>IF(_PENDIENTES!$B$90&lt;&gt;"",89,"")</f>
        <v/>
      </c>
      <c r="B96" s="242">
        <f>IF(_PENDIENTES!$B$90&lt;&gt;"",_PENDIENTES!$A$90,"")</f>
        <v/>
      </c>
      <c r="C96" s="302">
        <f>IF(_PENDIENTES!$B$90&lt;&gt;"",_PENDIENTES!$C$90,"")</f>
        <v/>
      </c>
      <c r="D96" s="301">
        <f>IF(_PENDIENTES!$B$90&lt;&gt;"",_PENDIENTES!$D$90,"")</f>
        <v/>
      </c>
      <c r="E96" s="306">
        <f>IF(_PENDIENTES!$B$90&lt;&gt;"",_PENDIENTES!$E$90,"")</f>
        <v/>
      </c>
      <c r="F96" s="301">
        <f>IF(_PENDIENTES!$B$90&lt;&gt;"",_PENDIENTES!$F$90,"")</f>
        <v/>
      </c>
      <c r="G96" s="245">
        <f>IF(_PENDIENTES!$B$90&lt;&gt;"",_PENDIENTES!$G$90,"")</f>
        <v/>
      </c>
      <c r="H96" s="245">
        <f>IF(_PENDIENTES!$B$90&lt;&gt;"",_PENDIENTES!$H$90,"")</f>
        <v/>
      </c>
      <c r="I96" s="303">
        <f>IF(_PENDIENTES!$B$90&lt;&gt;"",_PENDIENTES!$I$90,"")</f>
        <v/>
      </c>
      <c r="J96" s="245">
        <f>IF(_PENDIENTES!$B$90&lt;&gt;"",_PENDIENTES!$J$90,"")</f>
        <v/>
      </c>
      <c r="K96" s="301">
        <f>IF(_PENDIENTES!$B$90&lt;&gt;"","POR RECOGER","")</f>
        <v/>
      </c>
      <c r="L96" s="302">
        <f>IF(_PENDIENTES!$B$90&lt;&gt;"",_PENDIENTES!$K$90,"")</f>
        <v/>
      </c>
      <c r="M96" s="280">
        <f>IF(_PENDIENTES!$B$90&lt;&gt;"",_PENDIENTES!$B$90,"")</f>
        <v/>
      </c>
      <c r="N96" s="304">
        <f>IF(_PENDIENTES!$B$90&lt;&gt;"",_PENDIENTES!$L$90,"")</f>
        <v/>
      </c>
      <c r="O96" s="284" t="n"/>
      <c r="P96" s="284" t="n"/>
      <c r="Q96" s="284" t="n"/>
      <c r="R96" s="284" t="n"/>
      <c r="S96" s="284" t="n"/>
    </row>
    <row r="97" hidden="1" ht="15.75" customHeight="1" s="195">
      <c r="A97" s="241">
        <f>IF(_PENDIENTES!$B$91&lt;&gt;"",90,"")</f>
        <v/>
      </c>
      <c r="B97" s="236">
        <f>IF(_PENDIENTES!$B$91&lt;&gt;"",_PENDIENTES!$A$91,"")</f>
        <v/>
      </c>
      <c r="C97" s="305">
        <f>IF(_PENDIENTES!$B$91&lt;&gt;"",_PENDIENTES!$C$91,"")</f>
        <v/>
      </c>
      <c r="D97" s="241">
        <f>IF(_PENDIENTES!$B$91&lt;&gt;"",_PENDIENTES!$D$91,"")</f>
        <v/>
      </c>
      <c r="E97" s="307">
        <f>IF(_PENDIENTES!$B$91&lt;&gt;"",_PENDIENTES!$E$91,"")</f>
        <v/>
      </c>
      <c r="F97" s="241">
        <f>IF(_PENDIENTES!$B$91&lt;&gt;"",_PENDIENTES!$F$91,"")</f>
        <v/>
      </c>
      <c r="G97" s="239">
        <f>IF(_PENDIENTES!$B$91&lt;&gt;"",_PENDIENTES!$G$91,"")</f>
        <v/>
      </c>
      <c r="H97" s="239">
        <f>IF(_PENDIENTES!$B$91&lt;&gt;"",_PENDIENTES!$H$91,"")</f>
        <v/>
      </c>
      <c r="I97" s="308">
        <f>IF(_PENDIENTES!$B$91&lt;&gt;"",_PENDIENTES!$I$91,"")</f>
        <v/>
      </c>
      <c r="J97" s="239">
        <f>IF(_PENDIENTES!$B$91&lt;&gt;"",_PENDIENTES!$J$91,"")</f>
        <v/>
      </c>
      <c r="K97" s="241">
        <f>IF(_PENDIENTES!$B$91&lt;&gt;"","POR RECOGER","")</f>
        <v/>
      </c>
      <c r="L97" s="305">
        <f>IF(_PENDIENTES!$B$91&lt;&gt;"",_PENDIENTES!$K$91,"")</f>
        <v/>
      </c>
      <c r="M97" s="280">
        <f>IF(_PENDIENTES!$B$91&lt;&gt;"",_PENDIENTES!$B$91,"")</f>
        <v/>
      </c>
      <c r="N97" s="304">
        <f>IF(_PENDIENTES!$B$91&lt;&gt;"",_PENDIENTES!$L$91,"")</f>
        <v/>
      </c>
      <c r="O97" s="284" t="n"/>
      <c r="P97" s="284" t="n"/>
      <c r="Q97" s="284" t="n"/>
      <c r="R97" s="284" t="n"/>
      <c r="S97" s="284" t="n"/>
    </row>
    <row r="98" hidden="1" ht="15.75" customHeight="1" s="195">
      <c r="A98" s="301">
        <f>IF(_PENDIENTES!$B$92&lt;&gt;"",91,"")</f>
        <v/>
      </c>
      <c r="B98" s="242">
        <f>IF(_PENDIENTES!$B$92&lt;&gt;"",_PENDIENTES!$A$92,"")</f>
        <v/>
      </c>
      <c r="C98" s="302">
        <f>IF(_PENDIENTES!$B$92&lt;&gt;"",_PENDIENTES!$C$92,"")</f>
        <v/>
      </c>
      <c r="D98" s="301">
        <f>IF(_PENDIENTES!$B$92&lt;&gt;"",_PENDIENTES!$D$92,"")</f>
        <v/>
      </c>
      <c r="E98" s="306">
        <f>IF(_PENDIENTES!$B$92&lt;&gt;"",_PENDIENTES!$E$92,"")</f>
        <v/>
      </c>
      <c r="F98" s="301">
        <f>IF(_PENDIENTES!$B$92&lt;&gt;"",_PENDIENTES!$F$92,"")</f>
        <v/>
      </c>
      <c r="G98" s="245">
        <f>IF(_PENDIENTES!$B$92&lt;&gt;"",_PENDIENTES!$G$92,"")</f>
        <v/>
      </c>
      <c r="H98" s="245">
        <f>IF(_PENDIENTES!$B$92&lt;&gt;"",_PENDIENTES!$H$92,"")</f>
        <v/>
      </c>
      <c r="I98" s="303">
        <f>IF(_PENDIENTES!$B$92&lt;&gt;"",_PENDIENTES!$I$92,"")</f>
        <v/>
      </c>
      <c r="J98" s="245">
        <f>IF(_PENDIENTES!$B$92&lt;&gt;"",_PENDIENTES!$J$92,"")</f>
        <v/>
      </c>
      <c r="K98" s="301">
        <f>IF(_PENDIENTES!$B$92&lt;&gt;"","POR RECOGER","")</f>
        <v/>
      </c>
      <c r="L98" s="302">
        <f>IF(_PENDIENTES!$B$92&lt;&gt;"",_PENDIENTES!$K$92,"")</f>
        <v/>
      </c>
      <c r="M98" s="280">
        <f>IF(_PENDIENTES!$B$92&lt;&gt;"",_PENDIENTES!$B$92,"")</f>
        <v/>
      </c>
      <c r="N98" s="304">
        <f>IF(_PENDIENTES!$B$92&lt;&gt;"",_PENDIENTES!$L$92,"")</f>
        <v/>
      </c>
      <c r="O98" s="284" t="n"/>
      <c r="P98" s="284" t="n"/>
      <c r="Q98" s="284" t="n"/>
      <c r="R98" s="284" t="n"/>
      <c r="S98" s="284" t="n"/>
    </row>
    <row r="99" hidden="1" ht="15.75" customHeight="1" s="195">
      <c r="A99" s="241">
        <f>IF(_PENDIENTES!$B$93&lt;&gt;"",92,"")</f>
        <v/>
      </c>
      <c r="B99" s="236">
        <f>IF(_PENDIENTES!$B$93&lt;&gt;"",_PENDIENTES!$A$93,"")</f>
        <v/>
      </c>
      <c r="C99" s="305">
        <f>IF(_PENDIENTES!$B$93&lt;&gt;"",_PENDIENTES!$C$93,"")</f>
        <v/>
      </c>
      <c r="D99" s="241">
        <f>IF(_PENDIENTES!$B$93&lt;&gt;"",_PENDIENTES!$D$93,"")</f>
        <v/>
      </c>
      <c r="E99" s="307">
        <f>IF(_PENDIENTES!$B$93&lt;&gt;"",_PENDIENTES!$E$93,"")</f>
        <v/>
      </c>
      <c r="F99" s="241">
        <f>IF(_PENDIENTES!$B$93&lt;&gt;"",_PENDIENTES!$F$93,"")</f>
        <v/>
      </c>
      <c r="G99" s="239">
        <f>IF(_PENDIENTES!$B$93&lt;&gt;"",_PENDIENTES!$G$93,"")</f>
        <v/>
      </c>
      <c r="H99" s="239">
        <f>IF(_PENDIENTES!$B$93&lt;&gt;"",_PENDIENTES!$H$93,"")</f>
        <v/>
      </c>
      <c r="I99" s="308">
        <f>IF(_PENDIENTES!$B$93&lt;&gt;"",_PENDIENTES!$I$93,"")</f>
        <v/>
      </c>
      <c r="J99" s="239">
        <f>IF(_PENDIENTES!$B$93&lt;&gt;"",_PENDIENTES!$J$93,"")</f>
        <v/>
      </c>
      <c r="K99" s="241">
        <f>IF(_PENDIENTES!$B$93&lt;&gt;"","POR RECOGER","")</f>
        <v/>
      </c>
      <c r="L99" s="305">
        <f>IF(_PENDIENTES!$B$93&lt;&gt;"",_PENDIENTES!$K$93,"")</f>
        <v/>
      </c>
      <c r="M99" s="280">
        <f>IF(_PENDIENTES!$B$93&lt;&gt;"",_PENDIENTES!$B$93,"")</f>
        <v/>
      </c>
      <c r="N99" s="304">
        <f>IF(_PENDIENTES!$B$93&lt;&gt;"",_PENDIENTES!$L$93,"")</f>
        <v/>
      </c>
      <c r="O99" s="284" t="n"/>
      <c r="P99" s="284" t="n"/>
      <c r="Q99" s="284" t="n"/>
      <c r="R99" s="284" t="n"/>
      <c r="S99" s="284" t="n"/>
    </row>
    <row r="100" hidden="1" ht="15.75" customHeight="1" s="195">
      <c r="A100" s="301">
        <f>IF(_PENDIENTES!$B$94&lt;&gt;"",93,"")</f>
        <v/>
      </c>
      <c r="B100" s="242">
        <f>IF(_PENDIENTES!$B$94&lt;&gt;"",_PENDIENTES!$A$94,"")</f>
        <v/>
      </c>
      <c r="C100" s="302">
        <f>IF(_PENDIENTES!$B$94&lt;&gt;"",_PENDIENTES!$C$94,"")</f>
        <v/>
      </c>
      <c r="D100" s="301">
        <f>IF(_PENDIENTES!$B$94&lt;&gt;"",_PENDIENTES!$D$94,"")</f>
        <v/>
      </c>
      <c r="E100" s="306">
        <f>IF(_PENDIENTES!$B$94&lt;&gt;"",_PENDIENTES!$E$94,"")</f>
        <v/>
      </c>
      <c r="F100" s="301">
        <f>IF(_PENDIENTES!$B$94&lt;&gt;"",_PENDIENTES!$F$94,"")</f>
        <v/>
      </c>
      <c r="G100" s="245">
        <f>IF(_PENDIENTES!$B$94&lt;&gt;"",_PENDIENTES!$G$94,"")</f>
        <v/>
      </c>
      <c r="H100" s="245">
        <f>IF(_PENDIENTES!$B$94&lt;&gt;"",_PENDIENTES!$H$94,"")</f>
        <v/>
      </c>
      <c r="I100" s="303">
        <f>IF(_PENDIENTES!$B$94&lt;&gt;"",_PENDIENTES!$I$94,"")</f>
        <v/>
      </c>
      <c r="J100" s="245">
        <f>IF(_PENDIENTES!$B$94&lt;&gt;"",_PENDIENTES!$J$94,"")</f>
        <v/>
      </c>
      <c r="K100" s="301">
        <f>IF(_PENDIENTES!$B$94&lt;&gt;"","POR RECOGER","")</f>
        <v/>
      </c>
      <c r="L100" s="302">
        <f>IF(_PENDIENTES!$B$94&lt;&gt;"",_PENDIENTES!$K$94,"")</f>
        <v/>
      </c>
      <c r="M100" s="280">
        <f>IF(_PENDIENTES!$B$94&lt;&gt;"",_PENDIENTES!$B$94,"")</f>
        <v/>
      </c>
      <c r="N100" s="304">
        <f>IF(_PENDIENTES!$B$94&lt;&gt;"",_PENDIENTES!$L$94,"")</f>
        <v/>
      </c>
      <c r="O100" s="284" t="n"/>
      <c r="P100" s="284" t="n"/>
      <c r="Q100" s="284" t="n"/>
      <c r="R100" s="284" t="n"/>
      <c r="S100" s="284" t="n"/>
    </row>
    <row r="101" hidden="1" ht="15.75" customHeight="1" s="195">
      <c r="A101" s="241">
        <f>IF(_PENDIENTES!$B$95&lt;&gt;"",94,"")</f>
        <v/>
      </c>
      <c r="B101" s="236">
        <f>IF(_PENDIENTES!$B$95&lt;&gt;"",_PENDIENTES!$A$95,"")</f>
        <v/>
      </c>
      <c r="C101" s="305">
        <f>IF(_PENDIENTES!$B$95&lt;&gt;"",_PENDIENTES!$C$95,"")</f>
        <v/>
      </c>
      <c r="D101" s="241">
        <f>IF(_PENDIENTES!$B$95&lt;&gt;"",_PENDIENTES!$D$95,"")</f>
        <v/>
      </c>
      <c r="E101" s="307">
        <f>IF(_PENDIENTES!$B$95&lt;&gt;"",_PENDIENTES!$E$95,"")</f>
        <v/>
      </c>
      <c r="F101" s="241">
        <f>IF(_PENDIENTES!$B$95&lt;&gt;"",_PENDIENTES!$F$95,"")</f>
        <v/>
      </c>
      <c r="G101" s="239">
        <f>IF(_PENDIENTES!$B$95&lt;&gt;"",_PENDIENTES!$G$95,"")</f>
        <v/>
      </c>
      <c r="H101" s="239">
        <f>IF(_PENDIENTES!$B$95&lt;&gt;"",_PENDIENTES!$H$95,"")</f>
        <v/>
      </c>
      <c r="I101" s="308">
        <f>IF(_PENDIENTES!$B$95&lt;&gt;"",_PENDIENTES!$I$95,"")</f>
        <v/>
      </c>
      <c r="J101" s="239">
        <f>IF(_PENDIENTES!$B$95&lt;&gt;"",_PENDIENTES!$J$95,"")</f>
        <v/>
      </c>
      <c r="K101" s="241">
        <f>IF(_PENDIENTES!$B$95&lt;&gt;"","POR RECOGER","")</f>
        <v/>
      </c>
      <c r="L101" s="305">
        <f>IF(_PENDIENTES!$B$95&lt;&gt;"",_PENDIENTES!$K$95,"")</f>
        <v/>
      </c>
      <c r="M101" s="280">
        <f>IF(_PENDIENTES!$B$95&lt;&gt;"",_PENDIENTES!$B$95,"")</f>
        <v/>
      </c>
      <c r="N101" s="304">
        <f>IF(_PENDIENTES!$B$95&lt;&gt;"",_PENDIENTES!$L$95,"")</f>
        <v/>
      </c>
      <c r="O101" s="284" t="n"/>
      <c r="P101" s="284" t="n"/>
      <c r="Q101" s="284" t="n"/>
      <c r="R101" s="284" t="n"/>
      <c r="S101" s="284" t="n"/>
    </row>
    <row r="102" hidden="1" ht="15.75" customHeight="1" s="195">
      <c r="A102" s="301">
        <f>IF(_PENDIENTES!$B$96&lt;&gt;"",95,"")</f>
        <v/>
      </c>
      <c r="B102" s="242">
        <f>IF(_PENDIENTES!$B$96&lt;&gt;"",_PENDIENTES!$A$96,"")</f>
        <v/>
      </c>
      <c r="C102" s="302">
        <f>IF(_PENDIENTES!$B$96&lt;&gt;"",_PENDIENTES!$C$96,"")</f>
        <v/>
      </c>
      <c r="D102" s="301">
        <f>IF(_PENDIENTES!$B$96&lt;&gt;"",_PENDIENTES!$D$96,"")</f>
        <v/>
      </c>
      <c r="E102" s="306">
        <f>IF(_PENDIENTES!$B$96&lt;&gt;"",_PENDIENTES!$E$96,"")</f>
        <v/>
      </c>
      <c r="F102" s="301">
        <f>IF(_PENDIENTES!$B$96&lt;&gt;"",_PENDIENTES!$F$96,"")</f>
        <v/>
      </c>
      <c r="G102" s="245">
        <f>IF(_PENDIENTES!$B$96&lt;&gt;"",_PENDIENTES!$G$96,"")</f>
        <v/>
      </c>
      <c r="H102" s="245">
        <f>IF(_PENDIENTES!$B$96&lt;&gt;"",_PENDIENTES!$H$96,"")</f>
        <v/>
      </c>
      <c r="I102" s="303">
        <f>IF(_PENDIENTES!$B$96&lt;&gt;"",_PENDIENTES!$I$96,"")</f>
        <v/>
      </c>
      <c r="J102" s="245">
        <f>IF(_PENDIENTES!$B$96&lt;&gt;"",_PENDIENTES!$J$96,"")</f>
        <v/>
      </c>
      <c r="K102" s="301">
        <f>IF(_PENDIENTES!$B$96&lt;&gt;"","POR RECOGER","")</f>
        <v/>
      </c>
      <c r="L102" s="302">
        <f>IF(_PENDIENTES!$B$96&lt;&gt;"",_PENDIENTES!$K$96,"")</f>
        <v/>
      </c>
      <c r="M102" s="280">
        <f>IF(_PENDIENTES!$B$96&lt;&gt;"",_PENDIENTES!$B$96,"")</f>
        <v/>
      </c>
      <c r="N102" s="304">
        <f>IF(_PENDIENTES!$B$96&lt;&gt;"",_PENDIENTES!$L$96,"")</f>
        <v/>
      </c>
      <c r="O102" s="284" t="n"/>
      <c r="P102" s="284" t="n"/>
      <c r="Q102" s="284" t="n"/>
      <c r="R102" s="284" t="n"/>
      <c r="S102" s="284" t="n"/>
    </row>
    <row r="103" hidden="1" ht="15.75" customHeight="1" s="195">
      <c r="A103" s="241">
        <f>IF(_PENDIENTES!$B$97&lt;&gt;"",96,"")</f>
        <v/>
      </c>
      <c r="B103" s="236">
        <f>IF(_PENDIENTES!$B$97&lt;&gt;"",_PENDIENTES!$A$97,"")</f>
        <v/>
      </c>
      <c r="C103" s="305">
        <f>IF(_PENDIENTES!$B$97&lt;&gt;"",_PENDIENTES!$C$97,"")</f>
        <v/>
      </c>
      <c r="D103" s="241">
        <f>IF(_PENDIENTES!$B$97&lt;&gt;"",_PENDIENTES!$D$97,"")</f>
        <v/>
      </c>
      <c r="E103" s="307">
        <f>IF(_PENDIENTES!$B$97&lt;&gt;"",_PENDIENTES!$E$97,"")</f>
        <v/>
      </c>
      <c r="F103" s="241">
        <f>IF(_PENDIENTES!$B$97&lt;&gt;"",_PENDIENTES!$F$97,"")</f>
        <v/>
      </c>
      <c r="G103" s="239">
        <f>IF(_PENDIENTES!$B$97&lt;&gt;"",_PENDIENTES!$G$97,"")</f>
        <v/>
      </c>
      <c r="H103" s="239">
        <f>IF(_PENDIENTES!$B$97&lt;&gt;"",_PENDIENTES!$H$97,"")</f>
        <v/>
      </c>
      <c r="I103" s="308">
        <f>IF(_PENDIENTES!$B$97&lt;&gt;"",_PENDIENTES!$I$97,"")</f>
        <v/>
      </c>
      <c r="J103" s="239">
        <f>IF(_PENDIENTES!$B$97&lt;&gt;"",_PENDIENTES!$J$97,"")</f>
        <v/>
      </c>
      <c r="K103" s="241">
        <f>IF(_PENDIENTES!$B$97&lt;&gt;"","POR RECOGER","")</f>
        <v/>
      </c>
      <c r="L103" s="305">
        <f>IF(_PENDIENTES!$B$97&lt;&gt;"",_PENDIENTES!$K$97,"")</f>
        <v/>
      </c>
      <c r="M103" s="280">
        <f>IF(_PENDIENTES!$B$97&lt;&gt;"",_PENDIENTES!$B$97,"")</f>
        <v/>
      </c>
      <c r="N103" s="304">
        <f>IF(_PENDIENTES!$B$97&lt;&gt;"",_PENDIENTES!$L$97,"")</f>
        <v/>
      </c>
      <c r="O103" s="284" t="n"/>
      <c r="P103" s="284" t="n"/>
      <c r="Q103" s="284" t="n"/>
      <c r="R103" s="284" t="n"/>
      <c r="S103" s="284" t="n"/>
    </row>
    <row r="104" hidden="1" ht="15.75" customHeight="1" s="195">
      <c r="A104" s="301">
        <f>IF(_PENDIENTES!$B$98&lt;&gt;"",97,"")</f>
        <v/>
      </c>
      <c r="B104" s="242">
        <f>IF(_PENDIENTES!$B$98&lt;&gt;"",_PENDIENTES!$A$98,"")</f>
        <v/>
      </c>
      <c r="C104" s="302">
        <f>IF(_PENDIENTES!$B$98&lt;&gt;"",_PENDIENTES!$C$98,"")</f>
        <v/>
      </c>
      <c r="D104" s="301">
        <f>IF(_PENDIENTES!$B$98&lt;&gt;"",_PENDIENTES!$D$98,"")</f>
        <v/>
      </c>
      <c r="E104" s="306">
        <f>IF(_PENDIENTES!$B$98&lt;&gt;"",_PENDIENTES!$E$98,"")</f>
        <v/>
      </c>
      <c r="F104" s="301">
        <f>IF(_PENDIENTES!$B$98&lt;&gt;"",_PENDIENTES!$F$98,"")</f>
        <v/>
      </c>
      <c r="G104" s="245">
        <f>IF(_PENDIENTES!$B$98&lt;&gt;"",_PENDIENTES!$G$98,"")</f>
        <v/>
      </c>
      <c r="H104" s="245">
        <f>IF(_PENDIENTES!$B$98&lt;&gt;"",_PENDIENTES!$H$98,"")</f>
        <v/>
      </c>
      <c r="I104" s="303">
        <f>IF(_PENDIENTES!$B$98&lt;&gt;"",_PENDIENTES!$I$98,"")</f>
        <v/>
      </c>
      <c r="J104" s="245">
        <f>IF(_PENDIENTES!$B$98&lt;&gt;"",_PENDIENTES!$J$98,"")</f>
        <v/>
      </c>
      <c r="K104" s="301">
        <f>IF(_PENDIENTES!$B$98&lt;&gt;"","POR RECOGER","")</f>
        <v/>
      </c>
      <c r="L104" s="302">
        <f>IF(_PENDIENTES!$B$98&lt;&gt;"",_PENDIENTES!$K$98,"")</f>
        <v/>
      </c>
      <c r="M104" s="280">
        <f>IF(_PENDIENTES!$B$98&lt;&gt;"",_PENDIENTES!$B$98,"")</f>
        <v/>
      </c>
      <c r="N104" s="304">
        <f>IF(_PENDIENTES!$B$98&lt;&gt;"",_PENDIENTES!$L$98,"")</f>
        <v/>
      </c>
      <c r="O104" s="284" t="n"/>
      <c r="P104" s="284" t="n"/>
      <c r="Q104" s="284" t="n"/>
      <c r="R104" s="284" t="n"/>
      <c r="S104" s="284" t="n"/>
    </row>
    <row r="105" hidden="1" ht="15.75" customHeight="1" s="195">
      <c r="A105" s="241">
        <f>IF(_PENDIENTES!$B$99&lt;&gt;"",98,"")</f>
        <v/>
      </c>
      <c r="B105" s="236">
        <f>IF(_PENDIENTES!$B$99&lt;&gt;"",_PENDIENTES!$A$99,"")</f>
        <v/>
      </c>
      <c r="C105" s="305">
        <f>IF(_PENDIENTES!$B$99&lt;&gt;"",_PENDIENTES!$C$99,"")</f>
        <v/>
      </c>
      <c r="D105" s="241">
        <f>IF(_PENDIENTES!$B$99&lt;&gt;"",_PENDIENTES!$D$99,"")</f>
        <v/>
      </c>
      <c r="E105" s="307">
        <f>IF(_PENDIENTES!$B$99&lt;&gt;"",_PENDIENTES!$E$99,"")</f>
        <v/>
      </c>
      <c r="F105" s="241">
        <f>IF(_PENDIENTES!$B$99&lt;&gt;"",_PENDIENTES!$F$99,"")</f>
        <v/>
      </c>
      <c r="G105" s="239">
        <f>IF(_PENDIENTES!$B$99&lt;&gt;"",_PENDIENTES!$G$99,"")</f>
        <v/>
      </c>
      <c r="H105" s="239">
        <f>IF(_PENDIENTES!$B$99&lt;&gt;"",_PENDIENTES!$H$99,"")</f>
        <v/>
      </c>
      <c r="I105" s="308">
        <f>IF(_PENDIENTES!$B$99&lt;&gt;"",_PENDIENTES!$I$99,"")</f>
        <v/>
      </c>
      <c r="J105" s="239">
        <f>IF(_PENDIENTES!$B$99&lt;&gt;"",_PENDIENTES!$J$99,"")</f>
        <v/>
      </c>
      <c r="K105" s="241">
        <f>IF(_PENDIENTES!$B$99&lt;&gt;"","POR RECOGER","")</f>
        <v/>
      </c>
      <c r="L105" s="305">
        <f>IF(_PENDIENTES!$B$99&lt;&gt;"",_PENDIENTES!$K$99,"")</f>
        <v/>
      </c>
      <c r="M105" s="280">
        <f>IF(_PENDIENTES!$B$99&lt;&gt;"",_PENDIENTES!$B$99,"")</f>
        <v/>
      </c>
      <c r="N105" s="304">
        <f>IF(_PENDIENTES!$B$99&lt;&gt;"",_PENDIENTES!$L$99,"")</f>
        <v/>
      </c>
      <c r="O105" s="284" t="n"/>
      <c r="P105" s="284" t="n"/>
      <c r="Q105" s="284" t="n"/>
      <c r="R105" s="284" t="n"/>
      <c r="S105" s="284" t="n"/>
    </row>
    <row r="106" hidden="1" ht="15.75" customHeight="1" s="195">
      <c r="A106" s="301">
        <f>IF(_PENDIENTES!$B$100&lt;&gt;"",99,"")</f>
        <v/>
      </c>
      <c r="B106" s="242">
        <f>IF(_PENDIENTES!$B$100&lt;&gt;"",_PENDIENTES!$A$100,"")</f>
        <v/>
      </c>
      <c r="C106" s="302">
        <f>IF(_PENDIENTES!$B$100&lt;&gt;"",_PENDIENTES!$C$100,"")</f>
        <v/>
      </c>
      <c r="D106" s="301">
        <f>IF(_PENDIENTES!$B$100&lt;&gt;"",_PENDIENTES!$D$100,"")</f>
        <v/>
      </c>
      <c r="E106" s="306">
        <f>IF(_PENDIENTES!$B$100&lt;&gt;"",_PENDIENTES!$E$100,"")</f>
        <v/>
      </c>
      <c r="F106" s="301">
        <f>IF(_PENDIENTES!$B$100&lt;&gt;"",_PENDIENTES!$F$100,"")</f>
        <v/>
      </c>
      <c r="G106" s="245">
        <f>IF(_PENDIENTES!$B$100&lt;&gt;"",_PENDIENTES!$G$100,"")</f>
        <v/>
      </c>
      <c r="H106" s="245">
        <f>IF(_PENDIENTES!$B$100&lt;&gt;"",_PENDIENTES!$H$100,"")</f>
        <v/>
      </c>
      <c r="I106" s="303">
        <f>IF(_PENDIENTES!$B$100&lt;&gt;"",_PENDIENTES!$I$100,"")</f>
        <v/>
      </c>
      <c r="J106" s="245">
        <f>IF(_PENDIENTES!$B$100&lt;&gt;"",_PENDIENTES!$J$100,"")</f>
        <v/>
      </c>
      <c r="K106" s="301">
        <f>IF(_PENDIENTES!$B$100&lt;&gt;"","POR RECOGER","")</f>
        <v/>
      </c>
      <c r="L106" s="302">
        <f>IF(_PENDIENTES!$B$100&lt;&gt;"",_PENDIENTES!$K$100,"")</f>
        <v/>
      </c>
      <c r="M106" s="280">
        <f>IF(_PENDIENTES!$B$100&lt;&gt;"",_PENDIENTES!$B$100,"")</f>
        <v/>
      </c>
      <c r="N106" s="304">
        <f>IF(_PENDIENTES!$B$100&lt;&gt;"",_PENDIENTES!$L$100,"")</f>
        <v/>
      </c>
      <c r="O106" s="284" t="n"/>
      <c r="P106" s="284" t="n"/>
      <c r="Q106" s="284" t="n"/>
      <c r="R106" s="284" t="n"/>
      <c r="S106" s="284" t="n"/>
    </row>
    <row r="107" hidden="1" ht="15.75" customHeight="1" s="195">
      <c r="A107" s="241">
        <f>IF(_PENDIENTES!$B$101&lt;&gt;"",100,"")</f>
        <v/>
      </c>
      <c r="B107" s="236">
        <f>IF(_PENDIENTES!$B$101&lt;&gt;"",_PENDIENTES!$A$101,"")</f>
        <v/>
      </c>
      <c r="C107" s="305">
        <f>IF(_PENDIENTES!$B$101&lt;&gt;"",_PENDIENTES!$C$101,"")</f>
        <v/>
      </c>
      <c r="D107" s="241">
        <f>IF(_PENDIENTES!$B$101&lt;&gt;"",_PENDIENTES!$D$101,"")</f>
        <v/>
      </c>
      <c r="E107" s="307">
        <f>IF(_PENDIENTES!$B$101&lt;&gt;"",_PENDIENTES!$E$101,"")</f>
        <v/>
      </c>
      <c r="F107" s="241">
        <f>IF(_PENDIENTES!$B$101&lt;&gt;"",_PENDIENTES!$F$101,"")</f>
        <v/>
      </c>
      <c r="G107" s="239">
        <f>IF(_PENDIENTES!$B$101&lt;&gt;"",_PENDIENTES!$G$101,"")</f>
        <v/>
      </c>
      <c r="H107" s="239">
        <f>IF(_PENDIENTES!$B$101&lt;&gt;"",_PENDIENTES!$H$101,"")</f>
        <v/>
      </c>
      <c r="I107" s="308">
        <f>IF(_PENDIENTES!$B$101&lt;&gt;"",_PENDIENTES!$I$101,"")</f>
        <v/>
      </c>
      <c r="J107" s="239">
        <f>IF(_PENDIENTES!$B$101&lt;&gt;"",_PENDIENTES!$J$101,"")</f>
        <v/>
      </c>
      <c r="K107" s="241">
        <f>IF(_PENDIENTES!$B$101&lt;&gt;"","POR RECOGER","")</f>
        <v/>
      </c>
      <c r="L107" s="305">
        <f>IF(_PENDIENTES!$B$101&lt;&gt;"",_PENDIENTES!$K$101,"")</f>
        <v/>
      </c>
      <c r="M107" s="280">
        <f>IF(_PENDIENTES!$B$101&lt;&gt;"",_PENDIENTES!$B$101,"")</f>
        <v/>
      </c>
      <c r="N107" s="304">
        <f>IF(_PENDIENTES!$B$101&lt;&gt;"",_PENDIENTES!$L$101,"")</f>
        <v/>
      </c>
      <c r="O107" s="284" t="n"/>
      <c r="P107" s="284" t="n"/>
      <c r="Q107" s="284" t="n"/>
      <c r="R107" s="284" t="n"/>
      <c r="S107" s="284" t="n"/>
    </row>
    <row r="108" hidden="1" ht="15.75" customHeight="1" s="195">
      <c r="A108" s="301">
        <f>IF(_PENDIENTES!$B$102&lt;&gt;"",101,"")</f>
        <v/>
      </c>
      <c r="B108" s="242">
        <f>IF(_PENDIENTES!$B$102&lt;&gt;"",_PENDIENTES!$A$102,"")</f>
        <v/>
      </c>
      <c r="C108" s="302">
        <f>IF(_PENDIENTES!$B$102&lt;&gt;"",_PENDIENTES!$C$102,"")</f>
        <v/>
      </c>
      <c r="D108" s="301">
        <f>IF(_PENDIENTES!$B$102&lt;&gt;"",_PENDIENTES!$D$102,"")</f>
        <v/>
      </c>
      <c r="E108" s="306">
        <f>IF(_PENDIENTES!$B$102&lt;&gt;"",_PENDIENTES!$E$102,"")</f>
        <v/>
      </c>
      <c r="F108" s="301">
        <f>IF(_PENDIENTES!$B$102&lt;&gt;"",_PENDIENTES!$F$102,"")</f>
        <v/>
      </c>
      <c r="G108" s="245">
        <f>IF(_PENDIENTES!$B$102&lt;&gt;"",_PENDIENTES!$G$102,"")</f>
        <v/>
      </c>
      <c r="H108" s="245">
        <f>IF(_PENDIENTES!$B$102&lt;&gt;"",_PENDIENTES!$H$102,"")</f>
        <v/>
      </c>
      <c r="I108" s="303">
        <f>IF(_PENDIENTES!$B$102&lt;&gt;"",_PENDIENTES!$I$102,"")</f>
        <v/>
      </c>
      <c r="J108" s="245">
        <f>IF(_PENDIENTES!$B$102&lt;&gt;"",_PENDIENTES!$J$102,"")</f>
        <v/>
      </c>
      <c r="K108" s="301">
        <f>IF(_PENDIENTES!$B$102&lt;&gt;"","POR RECOGER","")</f>
        <v/>
      </c>
      <c r="L108" s="302">
        <f>IF(_PENDIENTES!$B$102&lt;&gt;"",_PENDIENTES!$K$102,"")</f>
        <v/>
      </c>
      <c r="M108" s="280">
        <f>IF(_PENDIENTES!$B$102&lt;&gt;"",_PENDIENTES!$B$102,"")</f>
        <v/>
      </c>
      <c r="N108" s="304">
        <f>IF(_PENDIENTES!$B$102&lt;&gt;"",_PENDIENTES!$L$102,"")</f>
        <v/>
      </c>
      <c r="O108" s="284" t="n"/>
      <c r="P108" s="284" t="n"/>
      <c r="Q108" s="284" t="n"/>
      <c r="R108" s="284" t="n"/>
      <c r="S108" s="284" t="n"/>
    </row>
    <row r="109" hidden="1" ht="15.75" customHeight="1" s="195">
      <c r="A109" s="241">
        <f>IF(_PENDIENTES!$B$103&lt;&gt;"",102,"")</f>
        <v/>
      </c>
      <c r="B109" s="236">
        <f>IF(_PENDIENTES!$B$103&lt;&gt;"",_PENDIENTES!$A$103,"")</f>
        <v/>
      </c>
      <c r="C109" s="305">
        <f>IF(_PENDIENTES!$B$103&lt;&gt;"",_PENDIENTES!$C$103,"")</f>
        <v/>
      </c>
      <c r="D109" s="241">
        <f>IF(_PENDIENTES!$B$103&lt;&gt;"",_PENDIENTES!$D$103,"")</f>
        <v/>
      </c>
      <c r="E109" s="307">
        <f>IF(_PENDIENTES!$B$103&lt;&gt;"",_PENDIENTES!$E$103,"")</f>
        <v/>
      </c>
      <c r="F109" s="241">
        <f>IF(_PENDIENTES!$B$103&lt;&gt;"",_PENDIENTES!$F$103,"")</f>
        <v/>
      </c>
      <c r="G109" s="239">
        <f>IF(_PENDIENTES!$B$103&lt;&gt;"",_PENDIENTES!$G$103,"")</f>
        <v/>
      </c>
      <c r="H109" s="239">
        <f>IF(_PENDIENTES!$B$103&lt;&gt;"",_PENDIENTES!$H$103,"")</f>
        <v/>
      </c>
      <c r="I109" s="308">
        <f>IF(_PENDIENTES!$B$103&lt;&gt;"",_PENDIENTES!$I$103,"")</f>
        <v/>
      </c>
      <c r="J109" s="239">
        <f>IF(_PENDIENTES!$B$103&lt;&gt;"",_PENDIENTES!$J$103,"")</f>
        <v/>
      </c>
      <c r="K109" s="241">
        <f>IF(_PENDIENTES!$B$103&lt;&gt;"","POR RECOGER","")</f>
        <v/>
      </c>
      <c r="L109" s="305">
        <f>IF(_PENDIENTES!$B$103&lt;&gt;"",_PENDIENTES!$K$103,"")</f>
        <v/>
      </c>
      <c r="M109" s="280">
        <f>IF(_PENDIENTES!$B$103&lt;&gt;"",_PENDIENTES!$B$103,"")</f>
        <v/>
      </c>
      <c r="N109" s="304">
        <f>IF(_PENDIENTES!$B$103&lt;&gt;"",_PENDIENTES!$L$103,"")</f>
        <v/>
      </c>
      <c r="O109" s="284" t="n"/>
      <c r="P109" s="284" t="n"/>
      <c r="Q109" s="284" t="n"/>
      <c r="R109" s="284" t="n"/>
      <c r="S109" s="284" t="n"/>
    </row>
    <row r="110" hidden="1" ht="15.75" customHeight="1" s="195">
      <c r="A110" s="301">
        <f>IF(_PENDIENTES!$B$104&lt;&gt;"",103,"")</f>
        <v/>
      </c>
      <c r="B110" s="242">
        <f>IF(_PENDIENTES!$B$104&lt;&gt;"",_PENDIENTES!$A$104,"")</f>
        <v/>
      </c>
      <c r="C110" s="302">
        <f>IF(_PENDIENTES!$B$104&lt;&gt;"",_PENDIENTES!$C$104,"")</f>
        <v/>
      </c>
      <c r="D110" s="301">
        <f>IF(_PENDIENTES!$B$104&lt;&gt;"",_PENDIENTES!$D$104,"")</f>
        <v/>
      </c>
      <c r="E110" s="306">
        <f>IF(_PENDIENTES!$B$104&lt;&gt;"",_PENDIENTES!$E$104,"")</f>
        <v/>
      </c>
      <c r="F110" s="301">
        <f>IF(_PENDIENTES!$B$104&lt;&gt;"",_PENDIENTES!$F$104,"")</f>
        <v/>
      </c>
      <c r="G110" s="245">
        <f>IF(_PENDIENTES!$B$104&lt;&gt;"",_PENDIENTES!$G$104,"")</f>
        <v/>
      </c>
      <c r="H110" s="245">
        <f>IF(_PENDIENTES!$B$104&lt;&gt;"",_PENDIENTES!$H$104,"")</f>
        <v/>
      </c>
      <c r="I110" s="303">
        <f>IF(_PENDIENTES!$B$104&lt;&gt;"",_PENDIENTES!$I$104,"")</f>
        <v/>
      </c>
      <c r="J110" s="245">
        <f>IF(_PENDIENTES!$B$104&lt;&gt;"",_PENDIENTES!$J$104,"")</f>
        <v/>
      </c>
      <c r="K110" s="301">
        <f>IF(_PENDIENTES!$B$104&lt;&gt;"","POR RECOGER","")</f>
        <v/>
      </c>
      <c r="L110" s="302">
        <f>IF(_PENDIENTES!$B$104&lt;&gt;"",_PENDIENTES!$K$104,"")</f>
        <v/>
      </c>
      <c r="M110" s="280">
        <f>IF(_PENDIENTES!$B$104&lt;&gt;"",_PENDIENTES!$B$104,"")</f>
        <v/>
      </c>
      <c r="N110" s="304">
        <f>IF(_PENDIENTES!$B$104&lt;&gt;"",_PENDIENTES!$L$104,"")</f>
        <v/>
      </c>
      <c r="O110" s="284" t="n"/>
      <c r="P110" s="284" t="n"/>
      <c r="Q110" s="284" t="n"/>
      <c r="R110" s="284" t="n"/>
      <c r="S110" s="284" t="n"/>
    </row>
    <row r="111" hidden="1" ht="15.75" customHeight="1" s="195">
      <c r="A111" s="241">
        <f>IF(_PENDIENTES!$B$105&lt;&gt;"",104,"")</f>
        <v/>
      </c>
      <c r="B111" s="236">
        <f>IF(_PENDIENTES!$B$105&lt;&gt;"",_PENDIENTES!$A$105,"")</f>
        <v/>
      </c>
      <c r="C111" s="305">
        <f>IF(_PENDIENTES!$B$105&lt;&gt;"",_PENDIENTES!$C$105,"")</f>
        <v/>
      </c>
      <c r="D111" s="241">
        <f>IF(_PENDIENTES!$B$105&lt;&gt;"",_PENDIENTES!$D$105,"")</f>
        <v/>
      </c>
      <c r="E111" s="307">
        <f>IF(_PENDIENTES!$B$105&lt;&gt;"",_PENDIENTES!$E$105,"")</f>
        <v/>
      </c>
      <c r="F111" s="241">
        <f>IF(_PENDIENTES!$B$105&lt;&gt;"",_PENDIENTES!$F$105,"")</f>
        <v/>
      </c>
      <c r="G111" s="239">
        <f>IF(_PENDIENTES!$B$105&lt;&gt;"",_PENDIENTES!$G$105,"")</f>
        <v/>
      </c>
      <c r="H111" s="239">
        <f>IF(_PENDIENTES!$B$105&lt;&gt;"",_PENDIENTES!$H$105,"")</f>
        <v/>
      </c>
      <c r="I111" s="308">
        <f>IF(_PENDIENTES!$B$105&lt;&gt;"",_PENDIENTES!$I$105,"")</f>
        <v/>
      </c>
      <c r="J111" s="239">
        <f>IF(_PENDIENTES!$B$105&lt;&gt;"",_PENDIENTES!$J$105,"")</f>
        <v/>
      </c>
      <c r="K111" s="241">
        <f>IF(_PENDIENTES!$B$105&lt;&gt;"","POR RECOGER","")</f>
        <v/>
      </c>
      <c r="L111" s="305">
        <f>IF(_PENDIENTES!$B$105&lt;&gt;"",_PENDIENTES!$K$105,"")</f>
        <v/>
      </c>
      <c r="M111" s="280">
        <f>IF(_PENDIENTES!$B$105&lt;&gt;"",_PENDIENTES!$B$105,"")</f>
        <v/>
      </c>
      <c r="N111" s="304">
        <f>IF(_PENDIENTES!$B$105&lt;&gt;"",_PENDIENTES!$L$105,"")</f>
        <v/>
      </c>
      <c r="O111" s="284" t="n"/>
      <c r="P111" s="284" t="n"/>
      <c r="Q111" s="284" t="n"/>
      <c r="R111" s="284" t="n"/>
      <c r="S111" s="284" t="n"/>
    </row>
    <row r="112" hidden="1" ht="15.75" customHeight="1" s="195">
      <c r="A112" s="301">
        <f>IF(_PENDIENTES!$B$106&lt;&gt;"",105,"")</f>
        <v/>
      </c>
      <c r="B112" s="242">
        <f>IF(_PENDIENTES!$B$106&lt;&gt;"",_PENDIENTES!$A$106,"")</f>
        <v/>
      </c>
      <c r="C112" s="302">
        <f>IF(_PENDIENTES!$B$106&lt;&gt;"",_PENDIENTES!$C$106,"")</f>
        <v/>
      </c>
      <c r="D112" s="301">
        <f>IF(_PENDIENTES!$B$106&lt;&gt;"",_PENDIENTES!$D$106,"")</f>
        <v/>
      </c>
      <c r="E112" s="306">
        <f>IF(_PENDIENTES!$B$106&lt;&gt;"",_PENDIENTES!$E$106,"")</f>
        <v/>
      </c>
      <c r="F112" s="301">
        <f>IF(_PENDIENTES!$B$106&lt;&gt;"",_PENDIENTES!$F$106,"")</f>
        <v/>
      </c>
      <c r="G112" s="245">
        <f>IF(_PENDIENTES!$B$106&lt;&gt;"",_PENDIENTES!$G$106,"")</f>
        <v/>
      </c>
      <c r="H112" s="245">
        <f>IF(_PENDIENTES!$B$106&lt;&gt;"",_PENDIENTES!$H$106,"")</f>
        <v/>
      </c>
      <c r="I112" s="303">
        <f>IF(_PENDIENTES!$B$106&lt;&gt;"",_PENDIENTES!$I$106,"")</f>
        <v/>
      </c>
      <c r="J112" s="245">
        <f>IF(_PENDIENTES!$B$106&lt;&gt;"",_PENDIENTES!$J$106,"")</f>
        <v/>
      </c>
      <c r="K112" s="301">
        <f>IF(_PENDIENTES!$B$106&lt;&gt;"","POR RECOGER","")</f>
        <v/>
      </c>
      <c r="L112" s="302">
        <f>IF(_PENDIENTES!$B$106&lt;&gt;"",_PENDIENTES!$K$106,"")</f>
        <v/>
      </c>
      <c r="M112" s="280">
        <f>IF(_PENDIENTES!$B$106&lt;&gt;"",_PENDIENTES!$B$106,"")</f>
        <v/>
      </c>
      <c r="N112" s="304">
        <f>IF(_PENDIENTES!$B$106&lt;&gt;"",_PENDIENTES!$L$106,"")</f>
        <v/>
      </c>
      <c r="O112" s="284" t="n"/>
      <c r="P112" s="284" t="n"/>
      <c r="Q112" s="284" t="n"/>
      <c r="R112" s="284" t="n"/>
      <c r="S112" s="284" t="n"/>
    </row>
    <row r="113" hidden="1" ht="15.75" customHeight="1" s="195">
      <c r="A113" s="241">
        <f>IF(_PENDIENTES!$B$107&lt;&gt;"",106,"")</f>
        <v/>
      </c>
      <c r="B113" s="236">
        <f>IF(_PENDIENTES!$B$107&lt;&gt;"",_PENDIENTES!$A$107,"")</f>
        <v/>
      </c>
      <c r="C113" s="305">
        <f>IF(_PENDIENTES!$B$107&lt;&gt;"",_PENDIENTES!$C$107,"")</f>
        <v/>
      </c>
      <c r="D113" s="241">
        <f>IF(_PENDIENTES!$B$107&lt;&gt;"",_PENDIENTES!$D$107,"")</f>
        <v/>
      </c>
      <c r="E113" s="307">
        <f>IF(_PENDIENTES!$B$107&lt;&gt;"",_PENDIENTES!$E$107,"")</f>
        <v/>
      </c>
      <c r="F113" s="241">
        <f>IF(_PENDIENTES!$B$107&lt;&gt;"",_PENDIENTES!$F$107,"")</f>
        <v/>
      </c>
      <c r="G113" s="239">
        <f>IF(_PENDIENTES!$B$107&lt;&gt;"",_PENDIENTES!$G$107,"")</f>
        <v/>
      </c>
      <c r="H113" s="239">
        <f>IF(_PENDIENTES!$B$107&lt;&gt;"",_PENDIENTES!$H$107,"")</f>
        <v/>
      </c>
      <c r="I113" s="308">
        <f>IF(_PENDIENTES!$B$107&lt;&gt;"",_PENDIENTES!$I$107,"")</f>
        <v/>
      </c>
      <c r="J113" s="239">
        <f>IF(_PENDIENTES!$B$107&lt;&gt;"",_PENDIENTES!$J$107,"")</f>
        <v/>
      </c>
      <c r="K113" s="241">
        <f>IF(_PENDIENTES!$B$107&lt;&gt;"","POR RECOGER","")</f>
        <v/>
      </c>
      <c r="L113" s="241">
        <f>IF(_PENDIENTES!$B$107&lt;&gt;"",_PENDIENTES!$K$107,"")</f>
        <v/>
      </c>
      <c r="M113" s="280">
        <f>IF(_PENDIENTES!$B$107&lt;&gt;"",_PENDIENTES!$B$107,"")</f>
        <v/>
      </c>
      <c r="N113" s="304">
        <f>IF(_PENDIENTES!$B$107&lt;&gt;"",_PENDIENTES!$L$107,"")</f>
        <v/>
      </c>
      <c r="O113" s="284" t="n"/>
      <c r="P113" s="284" t="n"/>
      <c r="Q113" s="284" t="n"/>
      <c r="R113" s="284" t="n"/>
      <c r="S113" s="284" t="n"/>
    </row>
    <row r="114" hidden="1" ht="15.75" customHeight="1" s="195">
      <c r="A114" s="301">
        <f>IF(_PENDIENTES!$B$108&lt;&gt;"",107,"")</f>
        <v/>
      </c>
      <c r="B114" s="242">
        <f>IF(_PENDIENTES!$B$108&lt;&gt;"",_PENDIENTES!$A$108,"")</f>
        <v/>
      </c>
      <c r="C114" s="302">
        <f>IF(_PENDIENTES!$B$108&lt;&gt;"",_PENDIENTES!$C$108,"")</f>
        <v/>
      </c>
      <c r="D114" s="301">
        <f>IF(_PENDIENTES!$B$108&lt;&gt;"",_PENDIENTES!$D$108,"")</f>
        <v/>
      </c>
      <c r="E114" s="306">
        <f>IF(_PENDIENTES!$B$108&lt;&gt;"",_PENDIENTES!$E$108,"")</f>
        <v/>
      </c>
      <c r="F114" s="301">
        <f>IF(_PENDIENTES!$B$108&lt;&gt;"",_PENDIENTES!$F$108,"")</f>
        <v/>
      </c>
      <c r="G114" s="245">
        <f>IF(_PENDIENTES!$B$108&lt;&gt;"",_PENDIENTES!$G$108,"")</f>
        <v/>
      </c>
      <c r="H114" s="245">
        <f>IF(_PENDIENTES!$B$108&lt;&gt;"",_PENDIENTES!$H$108,"")</f>
        <v/>
      </c>
      <c r="I114" s="303">
        <f>IF(_PENDIENTES!$B$108&lt;&gt;"",_PENDIENTES!$I$108,"")</f>
        <v/>
      </c>
      <c r="J114" s="245">
        <f>IF(_PENDIENTES!$B$108&lt;&gt;"",_PENDIENTES!$J$108,"")</f>
        <v/>
      </c>
      <c r="K114" s="301">
        <f>IF(_PENDIENTES!$B$108&lt;&gt;"","POR RECOGER","")</f>
        <v/>
      </c>
      <c r="L114" s="301">
        <f>IF(_PENDIENTES!$B$108&lt;&gt;"",_PENDIENTES!$K$108,"")</f>
        <v/>
      </c>
      <c r="M114" s="280">
        <f>IF(_PENDIENTES!$B$108&lt;&gt;"",_PENDIENTES!$B$108,"")</f>
        <v/>
      </c>
      <c r="N114" s="304">
        <f>IF(_PENDIENTES!$B$108&lt;&gt;"",_PENDIENTES!$L$108,"")</f>
        <v/>
      </c>
      <c r="O114" s="284" t="n"/>
      <c r="P114" s="284" t="n"/>
      <c r="Q114" s="284" t="n"/>
      <c r="R114" s="284" t="n"/>
      <c r="S114" s="284" t="n"/>
    </row>
    <row r="115" hidden="1" ht="15.75" customHeight="1" s="195">
      <c r="A115" s="241">
        <f>IF(_PENDIENTES!$B$109&lt;&gt;"",108,"")</f>
        <v/>
      </c>
      <c r="B115" s="236">
        <f>IF(_PENDIENTES!$B$109&lt;&gt;"",_PENDIENTES!$A$109,"")</f>
        <v/>
      </c>
      <c r="C115" s="305">
        <f>IF(_PENDIENTES!$B$109&lt;&gt;"",_PENDIENTES!$C$109,"")</f>
        <v/>
      </c>
      <c r="D115" s="241">
        <f>IF(_PENDIENTES!$B$109&lt;&gt;"",_PENDIENTES!$D$109,"")</f>
        <v/>
      </c>
      <c r="E115" s="307">
        <f>IF(_PENDIENTES!$B$109&lt;&gt;"",_PENDIENTES!$E$109,"")</f>
        <v/>
      </c>
      <c r="F115" s="241">
        <f>IF(_PENDIENTES!$B$109&lt;&gt;"",_PENDIENTES!$F$109,"")</f>
        <v/>
      </c>
      <c r="G115" s="239">
        <f>IF(_PENDIENTES!$B$109&lt;&gt;"",_PENDIENTES!$G$109,"")</f>
        <v/>
      </c>
      <c r="H115" s="239">
        <f>IF(_PENDIENTES!$B$109&lt;&gt;"",_PENDIENTES!$H$109,"")</f>
        <v/>
      </c>
      <c r="I115" s="308">
        <f>IF(_PENDIENTES!$B$109&lt;&gt;"",_PENDIENTES!$I$109,"")</f>
        <v/>
      </c>
      <c r="J115" s="239">
        <f>IF(_PENDIENTES!$B$109&lt;&gt;"",_PENDIENTES!$J$109,"")</f>
        <v/>
      </c>
      <c r="K115" s="241">
        <f>IF(_PENDIENTES!$B$109&lt;&gt;"","POR RECOGER","")</f>
        <v/>
      </c>
      <c r="L115" s="241">
        <f>IF(_PENDIENTES!$B$109&lt;&gt;"",_PENDIENTES!$K$109,"")</f>
        <v/>
      </c>
      <c r="M115" s="280">
        <f>IF(_PENDIENTES!$B$109&lt;&gt;"",_PENDIENTES!$B$109,"")</f>
        <v/>
      </c>
      <c r="N115" s="304">
        <f>IF(_PENDIENTES!$B$109&lt;&gt;"",_PENDIENTES!$L$109,"")</f>
        <v/>
      </c>
      <c r="O115" s="284" t="n"/>
      <c r="P115" s="284" t="n"/>
      <c r="Q115" s="284" t="n"/>
      <c r="R115" s="284" t="n"/>
      <c r="S115" s="284" t="n"/>
    </row>
    <row r="116" hidden="1" ht="15.75" customHeight="1" s="195">
      <c r="A116" s="301">
        <f>IF(_PENDIENTES!$B$110&lt;&gt;"",109,"")</f>
        <v/>
      </c>
      <c r="B116" s="242">
        <f>IF(_PENDIENTES!$B$110&lt;&gt;"",_PENDIENTES!$A$110,"")</f>
        <v/>
      </c>
      <c r="C116" s="302">
        <f>IF(_PENDIENTES!$B$110&lt;&gt;"",_PENDIENTES!$C$110,"")</f>
        <v/>
      </c>
      <c r="D116" s="301">
        <f>IF(_PENDIENTES!$B$110&lt;&gt;"",_PENDIENTES!$D$110,"")</f>
        <v/>
      </c>
      <c r="E116" s="306">
        <f>IF(_PENDIENTES!$B$110&lt;&gt;"",_PENDIENTES!$E$110,"")</f>
        <v/>
      </c>
      <c r="F116" s="301">
        <f>IF(_PENDIENTES!$B$110&lt;&gt;"",_PENDIENTES!$F$110,"")</f>
        <v/>
      </c>
      <c r="G116" s="245">
        <f>IF(_PENDIENTES!$B$110&lt;&gt;"",_PENDIENTES!$G$110,"")</f>
        <v/>
      </c>
      <c r="H116" s="245">
        <f>IF(_PENDIENTES!$B$110&lt;&gt;"",_PENDIENTES!$H$110,"")</f>
        <v/>
      </c>
      <c r="I116" s="303">
        <f>IF(_PENDIENTES!$B$110&lt;&gt;"",_PENDIENTES!$I$110,"")</f>
        <v/>
      </c>
      <c r="J116" s="245">
        <f>IF(_PENDIENTES!$B$110&lt;&gt;"",_PENDIENTES!$J$110,"")</f>
        <v/>
      </c>
      <c r="K116" s="301">
        <f>IF(_PENDIENTES!$B$110&lt;&gt;"","POR RECOGER","")</f>
        <v/>
      </c>
      <c r="L116" s="301">
        <f>IF(_PENDIENTES!$B$110&lt;&gt;"",_PENDIENTES!$K$110,"")</f>
        <v/>
      </c>
      <c r="M116" s="280">
        <f>IF(_PENDIENTES!$B$110&lt;&gt;"",_PENDIENTES!$B$110,"")</f>
        <v/>
      </c>
      <c r="N116" s="304">
        <f>IF(_PENDIENTES!$B$110&lt;&gt;"",_PENDIENTES!$L$110,"")</f>
        <v/>
      </c>
      <c r="O116" s="284" t="n"/>
      <c r="P116" s="284" t="n"/>
      <c r="Q116" s="284" t="n"/>
      <c r="R116" s="284" t="n"/>
      <c r="S116" s="284" t="n"/>
    </row>
    <row r="117" hidden="1" ht="15.75" customHeight="1" s="195">
      <c r="A117" s="241">
        <f>IF(_PENDIENTES!$B$111&lt;&gt;"",110,"")</f>
        <v/>
      </c>
      <c r="B117" s="236">
        <f>IF(_PENDIENTES!$B$111&lt;&gt;"",_PENDIENTES!$A$111,"")</f>
        <v/>
      </c>
      <c r="C117" s="305">
        <f>IF(_PENDIENTES!$B$111&lt;&gt;"",_PENDIENTES!$C$111,"")</f>
        <v/>
      </c>
      <c r="D117" s="241">
        <f>IF(_PENDIENTES!$B$111&lt;&gt;"",_PENDIENTES!$D$111,"")</f>
        <v/>
      </c>
      <c r="E117" s="307">
        <f>IF(_PENDIENTES!$B$111&lt;&gt;"",_PENDIENTES!$E$111,"")</f>
        <v/>
      </c>
      <c r="F117" s="241">
        <f>IF(_PENDIENTES!$B$111&lt;&gt;"",_PENDIENTES!$F$111,"")</f>
        <v/>
      </c>
      <c r="G117" s="239">
        <f>IF(_PENDIENTES!$B$111&lt;&gt;"",_PENDIENTES!$G$111,"")</f>
        <v/>
      </c>
      <c r="H117" s="239">
        <f>IF(_PENDIENTES!$B$111&lt;&gt;"",_PENDIENTES!$H$111,"")</f>
        <v/>
      </c>
      <c r="I117" s="308">
        <f>IF(_PENDIENTES!$B$111&lt;&gt;"",_PENDIENTES!$I$111,"")</f>
        <v/>
      </c>
      <c r="J117" s="239">
        <f>IF(_PENDIENTES!$B$111&lt;&gt;"",_PENDIENTES!$J$111,"")</f>
        <v/>
      </c>
      <c r="K117" s="241">
        <f>IF(_PENDIENTES!$B$111&lt;&gt;"","POR RECOGER","")</f>
        <v/>
      </c>
      <c r="L117" s="241">
        <f>IF(_PENDIENTES!$B$111&lt;&gt;"",_PENDIENTES!$K$111,"")</f>
        <v/>
      </c>
      <c r="M117" s="280">
        <f>IF(_PENDIENTES!$B$111&lt;&gt;"",_PENDIENTES!$B$111,"")</f>
        <v/>
      </c>
      <c r="N117" s="304">
        <f>IF(_PENDIENTES!$B$111&lt;&gt;"",_PENDIENTES!$L$111,"")</f>
        <v/>
      </c>
      <c r="O117" s="284" t="n"/>
      <c r="P117" s="284" t="n"/>
      <c r="Q117" s="284" t="n"/>
      <c r="R117" s="284" t="n"/>
      <c r="S117" s="284" t="n"/>
    </row>
    <row r="118" hidden="1" ht="15.75" customHeight="1" s="195">
      <c r="A118" s="301">
        <f>IF(_PENDIENTES!$B$112&lt;&gt;"",111,"")</f>
        <v/>
      </c>
      <c r="B118" s="242">
        <f>IF(_PENDIENTES!$B$112&lt;&gt;"",_PENDIENTES!$A$112,"")</f>
        <v/>
      </c>
      <c r="C118" s="302">
        <f>IF(_PENDIENTES!$B$112&lt;&gt;"",_PENDIENTES!$C$112,"")</f>
        <v/>
      </c>
      <c r="D118" s="301">
        <f>IF(_PENDIENTES!$B$112&lt;&gt;"",_PENDIENTES!$D$112,"")</f>
        <v/>
      </c>
      <c r="E118" s="306">
        <f>IF(_PENDIENTES!$B$112&lt;&gt;"",_PENDIENTES!$E$112,"")</f>
        <v/>
      </c>
      <c r="F118" s="301">
        <f>IF(_PENDIENTES!$B$112&lt;&gt;"",_PENDIENTES!$F$112,"")</f>
        <v/>
      </c>
      <c r="G118" s="245">
        <f>IF(_PENDIENTES!$B$112&lt;&gt;"",_PENDIENTES!$G$112,"")</f>
        <v/>
      </c>
      <c r="H118" s="245">
        <f>IF(_PENDIENTES!$B$112&lt;&gt;"",_PENDIENTES!$H$112,"")</f>
        <v/>
      </c>
      <c r="I118" s="303">
        <f>IF(_PENDIENTES!$B$112&lt;&gt;"",_PENDIENTES!$I$112,"")</f>
        <v/>
      </c>
      <c r="J118" s="245">
        <f>IF(_PENDIENTES!$B$112&lt;&gt;"",_PENDIENTES!$J$112,"")</f>
        <v/>
      </c>
      <c r="K118" s="301">
        <f>IF(_PENDIENTES!$B$112&lt;&gt;"","POR RECOGER","")</f>
        <v/>
      </c>
      <c r="L118" s="301">
        <f>IF(_PENDIENTES!$B$112&lt;&gt;"",_PENDIENTES!$K$112,"")</f>
        <v/>
      </c>
      <c r="M118" s="280">
        <f>IF(_PENDIENTES!$B$112&lt;&gt;"",_PENDIENTES!$B$112,"")</f>
        <v/>
      </c>
      <c r="N118" s="304">
        <f>IF(_PENDIENTES!$B$112&lt;&gt;"",_PENDIENTES!$L$112,"")</f>
        <v/>
      </c>
      <c r="O118" s="284" t="n"/>
      <c r="P118" s="284" t="n"/>
      <c r="Q118" s="284" t="n"/>
      <c r="R118" s="284" t="n"/>
      <c r="S118" s="284" t="n"/>
    </row>
    <row r="119" hidden="1" ht="15.75" customHeight="1" s="195">
      <c r="A119" s="241">
        <f>IF(_PENDIENTES!$B$113&lt;&gt;"",112,"")</f>
        <v/>
      </c>
      <c r="B119" s="236">
        <f>IF(_PENDIENTES!$B$113&lt;&gt;"",_PENDIENTES!$A$113,"")</f>
        <v/>
      </c>
      <c r="C119" s="305">
        <f>IF(_PENDIENTES!$B$113&lt;&gt;"",_PENDIENTES!$C$113,"")</f>
        <v/>
      </c>
      <c r="D119" s="241">
        <f>IF(_PENDIENTES!$B$113&lt;&gt;"",_PENDIENTES!$D$113,"")</f>
        <v/>
      </c>
      <c r="E119" s="307">
        <f>IF(_PENDIENTES!$B$113&lt;&gt;"",_PENDIENTES!$E$113,"")</f>
        <v/>
      </c>
      <c r="F119" s="241">
        <f>IF(_PENDIENTES!$B$113&lt;&gt;"",_PENDIENTES!$F$113,"")</f>
        <v/>
      </c>
      <c r="G119" s="239">
        <f>IF(_PENDIENTES!$B$113&lt;&gt;"",_PENDIENTES!$G$113,"")</f>
        <v/>
      </c>
      <c r="H119" s="239">
        <f>IF(_PENDIENTES!$B$113&lt;&gt;"",_PENDIENTES!$H$113,"")</f>
        <v/>
      </c>
      <c r="I119" s="308">
        <f>IF(_PENDIENTES!$B$113&lt;&gt;"",_PENDIENTES!$I$113,"")</f>
        <v/>
      </c>
      <c r="J119" s="239">
        <f>IF(_PENDIENTES!$B$113&lt;&gt;"",_PENDIENTES!$J$113,"")</f>
        <v/>
      </c>
      <c r="K119" s="241">
        <f>IF(_PENDIENTES!$B$113&lt;&gt;"","POR RECOGER","")</f>
        <v/>
      </c>
      <c r="L119" s="241">
        <f>IF(_PENDIENTES!$B$113&lt;&gt;"",_PENDIENTES!$K$113,"")</f>
        <v/>
      </c>
      <c r="M119" s="280">
        <f>IF(_PENDIENTES!$B$113&lt;&gt;"",_PENDIENTES!$B$113,"")</f>
        <v/>
      </c>
      <c r="N119" s="304">
        <f>IF(_PENDIENTES!$B$113&lt;&gt;"",_PENDIENTES!$L$113,"")</f>
        <v/>
      </c>
      <c r="O119" s="284" t="n"/>
      <c r="P119" s="284" t="n"/>
      <c r="Q119" s="284" t="n"/>
      <c r="R119" s="284" t="n"/>
      <c r="S119" s="284" t="n"/>
    </row>
    <row r="120" hidden="1" ht="15.75" customHeight="1" s="195">
      <c r="A120" s="301">
        <f>IF(_PENDIENTES!$B$114&lt;&gt;"",113,"")</f>
        <v/>
      </c>
      <c r="B120" s="242">
        <f>IF(_PENDIENTES!$B$114&lt;&gt;"",_PENDIENTES!$A$114,"")</f>
        <v/>
      </c>
      <c r="C120" s="302">
        <f>IF(_PENDIENTES!$B$114&lt;&gt;"",_PENDIENTES!$C$114,"")</f>
        <v/>
      </c>
      <c r="D120" s="301">
        <f>IF(_PENDIENTES!$B$114&lt;&gt;"",_PENDIENTES!$D$114,"")</f>
        <v/>
      </c>
      <c r="E120" s="306">
        <f>IF(_PENDIENTES!$B$114&lt;&gt;"",_PENDIENTES!$E$114,"")</f>
        <v/>
      </c>
      <c r="F120" s="301">
        <f>IF(_PENDIENTES!$B$114&lt;&gt;"",_PENDIENTES!$F$114,"")</f>
        <v/>
      </c>
      <c r="G120" s="245">
        <f>IF(_PENDIENTES!$B$114&lt;&gt;"",_PENDIENTES!$G$114,"")</f>
        <v/>
      </c>
      <c r="H120" s="245">
        <f>IF(_PENDIENTES!$B$114&lt;&gt;"",_PENDIENTES!$H$114,"")</f>
        <v/>
      </c>
      <c r="I120" s="303">
        <f>IF(_PENDIENTES!$B$114&lt;&gt;"",_PENDIENTES!$I$114,"")</f>
        <v/>
      </c>
      <c r="J120" s="245">
        <f>IF(_PENDIENTES!$B$114&lt;&gt;"",_PENDIENTES!$J$114,"")</f>
        <v/>
      </c>
      <c r="K120" s="301">
        <f>IF(_PENDIENTES!$B$114&lt;&gt;"","POR RECOGER","")</f>
        <v/>
      </c>
      <c r="L120" s="301">
        <f>IF(_PENDIENTES!$B$114&lt;&gt;"",_PENDIENTES!$K$114,"")</f>
        <v/>
      </c>
      <c r="M120" s="280">
        <f>IF(_PENDIENTES!$B$114&lt;&gt;"",_PENDIENTES!$B$114,"")</f>
        <v/>
      </c>
      <c r="N120" s="304">
        <f>IF(_PENDIENTES!$B$114&lt;&gt;"",_PENDIENTES!$L$114,"")</f>
        <v/>
      </c>
      <c r="O120" s="284" t="n"/>
      <c r="P120" s="284" t="n"/>
      <c r="Q120" s="284" t="n"/>
      <c r="R120" s="284" t="n"/>
      <c r="S120" s="284" t="n"/>
    </row>
    <row r="121" hidden="1" ht="15.75" customHeight="1" s="195">
      <c r="A121" s="241">
        <f>IF(_PENDIENTES!$B$115&lt;&gt;"",114,"")</f>
        <v/>
      </c>
      <c r="B121" s="236">
        <f>IF(_PENDIENTES!$B$115&lt;&gt;"",_PENDIENTES!$A$115,"")</f>
        <v/>
      </c>
      <c r="C121" s="305">
        <f>IF(_PENDIENTES!$B$115&lt;&gt;"",_PENDIENTES!$C$115,"")</f>
        <v/>
      </c>
      <c r="D121" s="241">
        <f>IF(_PENDIENTES!$B$115&lt;&gt;"",_PENDIENTES!$D$115,"")</f>
        <v/>
      </c>
      <c r="E121" s="307">
        <f>IF(_PENDIENTES!$B$115&lt;&gt;"",_PENDIENTES!$E$115,"")</f>
        <v/>
      </c>
      <c r="F121" s="241">
        <f>IF(_PENDIENTES!$B$115&lt;&gt;"",_PENDIENTES!$F$115,"")</f>
        <v/>
      </c>
      <c r="G121" s="239">
        <f>IF(_PENDIENTES!$B$115&lt;&gt;"",_PENDIENTES!$G$115,"")</f>
        <v/>
      </c>
      <c r="H121" s="239">
        <f>IF(_PENDIENTES!$B$115&lt;&gt;"",_PENDIENTES!$H$115,"")</f>
        <v/>
      </c>
      <c r="I121" s="308">
        <f>IF(_PENDIENTES!$B$115&lt;&gt;"",_PENDIENTES!$I$115,"")</f>
        <v/>
      </c>
      <c r="J121" s="239">
        <f>IF(_PENDIENTES!$B$115&lt;&gt;"",_PENDIENTES!$J$115,"")</f>
        <v/>
      </c>
      <c r="K121" s="241">
        <f>IF(_PENDIENTES!$B$115&lt;&gt;"","POR RECOGER","")</f>
        <v/>
      </c>
      <c r="L121" s="241">
        <f>IF(_PENDIENTES!$B$115&lt;&gt;"",_PENDIENTES!$K$115,"")</f>
        <v/>
      </c>
      <c r="M121" s="280">
        <f>IF(_PENDIENTES!$B$115&lt;&gt;"",_PENDIENTES!$B$115,"")</f>
        <v/>
      </c>
      <c r="N121" s="304">
        <f>IF(_PENDIENTES!$B$115&lt;&gt;"",_PENDIENTES!$L$115,"")</f>
        <v/>
      </c>
      <c r="O121" s="284" t="n"/>
      <c r="P121" s="284" t="n"/>
      <c r="Q121" s="284" t="n"/>
      <c r="R121" s="284" t="n"/>
      <c r="S121" s="284" t="n"/>
    </row>
    <row r="122" hidden="1" ht="15.75" customHeight="1" s="195">
      <c r="A122" s="301">
        <f>IF(_PENDIENTES!$B$116&lt;&gt;"",115,"")</f>
        <v/>
      </c>
      <c r="B122" s="242">
        <f>IF(_PENDIENTES!$B$116&lt;&gt;"",_PENDIENTES!$A$116,"")</f>
        <v/>
      </c>
      <c r="C122" s="302">
        <f>IF(_PENDIENTES!$B$116&lt;&gt;"",_PENDIENTES!$C$116,"")</f>
        <v/>
      </c>
      <c r="D122" s="301">
        <f>IF(_PENDIENTES!$B$116&lt;&gt;"",_PENDIENTES!$D$116,"")</f>
        <v/>
      </c>
      <c r="E122" s="306">
        <f>IF(_PENDIENTES!$B$116&lt;&gt;"",_PENDIENTES!$E$116,"")</f>
        <v/>
      </c>
      <c r="F122" s="301">
        <f>IF(_PENDIENTES!$B$116&lt;&gt;"",_PENDIENTES!$F$116,"")</f>
        <v/>
      </c>
      <c r="G122" s="245">
        <f>IF(_PENDIENTES!$B$116&lt;&gt;"",_PENDIENTES!$G$116,"")</f>
        <v/>
      </c>
      <c r="H122" s="245">
        <f>IF(_PENDIENTES!$B$116&lt;&gt;"",_PENDIENTES!$H$116,"")</f>
        <v/>
      </c>
      <c r="I122" s="303">
        <f>IF(_PENDIENTES!$B$116&lt;&gt;"",_PENDIENTES!$I$116,"")</f>
        <v/>
      </c>
      <c r="J122" s="245">
        <f>IF(_PENDIENTES!$B$116&lt;&gt;"",_PENDIENTES!$J$116,"")</f>
        <v/>
      </c>
      <c r="K122" s="301">
        <f>IF(_PENDIENTES!$B$116&lt;&gt;"","POR RECOGER","")</f>
        <v/>
      </c>
      <c r="L122" s="301">
        <f>IF(_PENDIENTES!$B$116&lt;&gt;"",_PENDIENTES!$K$116,"")</f>
        <v/>
      </c>
      <c r="M122" s="280">
        <f>IF(_PENDIENTES!$B$116&lt;&gt;"",_PENDIENTES!$B$116,"")</f>
        <v/>
      </c>
      <c r="N122" s="304">
        <f>IF(_PENDIENTES!$B$116&lt;&gt;"",_PENDIENTES!$L$116,"")</f>
        <v/>
      </c>
      <c r="O122" s="284" t="n"/>
      <c r="P122" s="284" t="n"/>
      <c r="Q122" s="284" t="n"/>
      <c r="R122" s="284" t="n"/>
      <c r="S122" s="284" t="n"/>
    </row>
    <row r="123" hidden="1" ht="15.75" customHeight="1" s="195">
      <c r="A123" s="241">
        <f>IF(_PENDIENTES!$B$117&lt;&gt;"",116,"")</f>
        <v/>
      </c>
      <c r="B123" s="236">
        <f>IF(_PENDIENTES!$B$117&lt;&gt;"",_PENDIENTES!$A$117,"")</f>
        <v/>
      </c>
      <c r="C123" s="305">
        <f>IF(_PENDIENTES!$B$117&lt;&gt;"",_PENDIENTES!$C$117,"")</f>
        <v/>
      </c>
      <c r="D123" s="241">
        <f>IF(_PENDIENTES!$B$117&lt;&gt;"",_PENDIENTES!$D$117,"")</f>
        <v/>
      </c>
      <c r="E123" s="241">
        <f>IF(_PENDIENTES!$B$117&lt;&gt;"",_PENDIENTES!$E$117,"")</f>
        <v/>
      </c>
      <c r="F123" s="241">
        <f>IF(_PENDIENTES!$B$117&lt;&gt;"",_PENDIENTES!$F$117,"")</f>
        <v/>
      </c>
      <c r="G123" s="239">
        <f>IF(_PENDIENTES!$B$117&lt;&gt;"",_PENDIENTES!$G$117,"")</f>
        <v/>
      </c>
      <c r="H123" s="239">
        <f>IF(_PENDIENTES!$B$117&lt;&gt;"",_PENDIENTES!$H$117,"")</f>
        <v/>
      </c>
      <c r="I123" s="308">
        <f>IF(_PENDIENTES!$B$117&lt;&gt;"",_PENDIENTES!$I$117,"")</f>
        <v/>
      </c>
      <c r="J123" s="239">
        <f>IF(_PENDIENTES!$B$117&lt;&gt;"",_PENDIENTES!$J$117,"")</f>
        <v/>
      </c>
      <c r="K123" s="241">
        <f>IF(_PENDIENTES!$B$117&lt;&gt;"","POR RECOGER","")</f>
        <v/>
      </c>
      <c r="L123" s="241">
        <f>IF(_PENDIENTES!$B$117&lt;&gt;"",_PENDIENTES!$K$117,"")</f>
        <v/>
      </c>
      <c r="M123" s="280">
        <f>IF(_PENDIENTES!$B$117&lt;&gt;"",_PENDIENTES!$B$117,"")</f>
        <v/>
      </c>
      <c r="N123" s="304">
        <f>IF(_PENDIENTES!$B$117&lt;&gt;"",_PENDIENTES!$L$117,"")</f>
        <v/>
      </c>
      <c r="O123" s="284" t="n"/>
      <c r="P123" s="284" t="n"/>
      <c r="Q123" s="284" t="n"/>
      <c r="R123" s="284" t="n"/>
      <c r="S123" s="284" t="n"/>
    </row>
    <row r="124" hidden="1" ht="15.75" customHeight="1" s="195">
      <c r="A124" s="301">
        <f>IF(_PENDIENTES!$B$118&lt;&gt;"",117,"")</f>
        <v/>
      </c>
      <c r="B124" s="242">
        <f>IF(_PENDIENTES!$B$118&lt;&gt;"",_PENDIENTES!$A$118,"")</f>
        <v/>
      </c>
      <c r="C124" s="302">
        <f>IF(_PENDIENTES!$B$118&lt;&gt;"",_PENDIENTES!$C$118,"")</f>
        <v/>
      </c>
      <c r="D124" s="301">
        <f>IF(_PENDIENTES!$B$118&lt;&gt;"",_PENDIENTES!$D$118,"")</f>
        <v/>
      </c>
      <c r="E124" s="306">
        <f>IF(_PENDIENTES!$B$118&lt;&gt;"",_PENDIENTES!$E$118,"")</f>
        <v/>
      </c>
      <c r="F124" s="301">
        <f>IF(_PENDIENTES!$B$118&lt;&gt;"",_PENDIENTES!$F$118,"")</f>
        <v/>
      </c>
      <c r="G124" s="245">
        <f>IF(_PENDIENTES!$B$118&lt;&gt;"",_PENDIENTES!$G$118,"")</f>
        <v/>
      </c>
      <c r="H124" s="245">
        <f>IF(_PENDIENTES!$B$118&lt;&gt;"",_PENDIENTES!$H$118,"")</f>
        <v/>
      </c>
      <c r="I124" s="303">
        <f>IF(_PENDIENTES!$B$118&lt;&gt;"",_PENDIENTES!$I$118,"")</f>
        <v/>
      </c>
      <c r="J124" s="245">
        <f>IF(_PENDIENTES!$B$118&lt;&gt;"",_PENDIENTES!$J$118,"")</f>
        <v/>
      </c>
      <c r="K124" s="301">
        <f>IF(_PENDIENTES!$B$118&lt;&gt;"","POR RECOGER","")</f>
        <v/>
      </c>
      <c r="L124" s="301">
        <f>IF(_PENDIENTES!$B$118&lt;&gt;"",_PENDIENTES!$K$118,"")</f>
        <v/>
      </c>
      <c r="M124" s="280">
        <f>IF(_PENDIENTES!$B$118&lt;&gt;"",_PENDIENTES!$B$118,"")</f>
        <v/>
      </c>
      <c r="N124" s="304">
        <f>IF(_PENDIENTES!$B$118&lt;&gt;"",_PENDIENTES!$L$118,"")</f>
        <v/>
      </c>
      <c r="O124" s="284" t="n"/>
      <c r="P124" s="284" t="n"/>
      <c r="Q124" s="284" t="n"/>
      <c r="R124" s="284" t="n"/>
      <c r="S124" s="284" t="n"/>
    </row>
    <row r="125" hidden="1" ht="15.75" customHeight="1" s="195">
      <c r="A125" s="241">
        <f>IF(_PENDIENTES!$B$119&lt;&gt;"",118,"")</f>
        <v/>
      </c>
      <c r="B125" s="236">
        <f>IF(_PENDIENTES!$B$119&lt;&gt;"",_PENDIENTES!$A$119,"")</f>
        <v/>
      </c>
      <c r="C125" s="305">
        <f>IF(_PENDIENTES!$B$119&lt;&gt;"",_PENDIENTES!$C$119,"")</f>
        <v/>
      </c>
      <c r="D125" s="241">
        <f>IF(_PENDIENTES!$B$119&lt;&gt;"",_PENDIENTES!$D$119,"")</f>
        <v/>
      </c>
      <c r="E125" s="307">
        <f>IF(_PENDIENTES!$B$119&lt;&gt;"",_PENDIENTES!$E$119,"")</f>
        <v/>
      </c>
      <c r="F125" s="241">
        <f>IF(_PENDIENTES!$B$119&lt;&gt;"",_PENDIENTES!$F$119,"")</f>
        <v/>
      </c>
      <c r="G125" s="239">
        <f>IF(_PENDIENTES!$B$119&lt;&gt;"",_PENDIENTES!$G$119,"")</f>
        <v/>
      </c>
      <c r="H125" s="239">
        <f>IF(_PENDIENTES!$B$119&lt;&gt;"",_PENDIENTES!$H$119,"")</f>
        <v/>
      </c>
      <c r="I125" s="308">
        <f>IF(_PENDIENTES!$B$119&lt;&gt;"",_PENDIENTES!$I$119,"")</f>
        <v/>
      </c>
      <c r="J125" s="239">
        <f>IF(_PENDIENTES!$B$119&lt;&gt;"",_PENDIENTES!$J$119,"")</f>
        <v/>
      </c>
      <c r="K125" s="241">
        <f>IF(_PENDIENTES!$B$119&lt;&gt;"","POR RECOGER","")</f>
        <v/>
      </c>
      <c r="L125" s="241">
        <f>IF(_PENDIENTES!$B$119&lt;&gt;"",_PENDIENTES!$K$119,"")</f>
        <v/>
      </c>
      <c r="M125" s="280">
        <f>IF(_PENDIENTES!$B$119&lt;&gt;"",_PENDIENTES!$B$119,"")</f>
        <v/>
      </c>
      <c r="N125" s="304">
        <f>IF(_PENDIENTES!$B$119&lt;&gt;"",_PENDIENTES!$L$119,"")</f>
        <v/>
      </c>
      <c r="O125" s="284" t="n"/>
      <c r="P125" s="284" t="n"/>
      <c r="Q125" s="284" t="n"/>
      <c r="R125" s="284" t="n"/>
      <c r="S125" s="284" t="n"/>
    </row>
    <row r="126" ht="15.75" customHeight="1" s="195">
      <c r="A126" s="301">
        <f>IF(_PENDIENTES!$B$120&lt;&gt;"",119,"")</f>
        <v/>
      </c>
      <c r="B126" s="242">
        <f>IF(_PENDIENTES!$B$120&lt;&gt;"",_PENDIENTES!$A$120,"")</f>
        <v/>
      </c>
      <c r="C126" s="302">
        <f>IF(_PENDIENTES!$B$120&lt;&gt;"",_PENDIENTES!$C$120,"")</f>
        <v/>
      </c>
      <c r="D126" s="301">
        <f>IF(_PENDIENTES!$B$120&lt;&gt;"",_PENDIENTES!$D$120,"")</f>
        <v/>
      </c>
      <c r="E126" s="306">
        <f>IF(_PENDIENTES!$B$120&lt;&gt;"",_PENDIENTES!$E$120,"")</f>
        <v/>
      </c>
      <c r="F126" s="301">
        <f>IF(_PENDIENTES!$B$120&lt;&gt;"",_PENDIENTES!$F$120,"")</f>
        <v/>
      </c>
      <c r="G126" s="245">
        <f>IF(_PENDIENTES!$B$120&lt;&gt;"",_PENDIENTES!$G$120,"")</f>
        <v/>
      </c>
      <c r="H126" s="245">
        <f>IF(_PENDIENTES!$B$120&lt;&gt;"",_PENDIENTES!$H$120,"")</f>
        <v/>
      </c>
      <c r="I126" s="303">
        <f>IF(_PENDIENTES!$B$120&lt;&gt;"",_PENDIENTES!$I$120,"")</f>
        <v/>
      </c>
      <c r="J126" s="245">
        <f>IF(_PENDIENTES!$B$120&lt;&gt;"",_PENDIENTES!$J$120,"")</f>
        <v/>
      </c>
      <c r="K126" s="301">
        <f>IF(_PENDIENTES!$B$120&lt;&gt;"","POR RECOGER","")</f>
        <v/>
      </c>
      <c r="L126" s="301">
        <f>IF(_PENDIENTES!$B$120&lt;&gt;"",_PENDIENTES!$K$120,"")</f>
        <v/>
      </c>
      <c r="M126" s="280">
        <f>IF(_PENDIENTES!$B$120&lt;&gt;"",_PENDIENTES!$B$120,"")</f>
        <v/>
      </c>
      <c r="N126" s="304">
        <f>IF(_PENDIENTES!$B$120&lt;&gt;"",_PENDIENTES!$L$120,"")</f>
        <v/>
      </c>
      <c r="O126" s="284" t="n"/>
      <c r="P126" s="284" t="n"/>
      <c r="Q126" s="284" t="n"/>
      <c r="R126" s="284" t="n"/>
      <c r="S126" s="284" t="n"/>
    </row>
    <row r="127" hidden="1" ht="15.75" customHeight="1" s="195">
      <c r="A127" s="241">
        <f>IF(_PENDIENTES!$B$121&lt;&gt;"",120,"")</f>
        <v/>
      </c>
      <c r="B127" s="236">
        <f>IF(_PENDIENTES!$B$121&lt;&gt;"",_PENDIENTES!$A$121,"")</f>
        <v/>
      </c>
      <c r="C127" s="305">
        <f>IF(_PENDIENTES!$B$121&lt;&gt;"",_PENDIENTES!$C$121,"")</f>
        <v/>
      </c>
      <c r="D127" s="241">
        <f>IF(_PENDIENTES!$B$121&lt;&gt;"",_PENDIENTES!$D$121,"")</f>
        <v/>
      </c>
      <c r="E127" s="307">
        <f>IF(_PENDIENTES!$B$121&lt;&gt;"",_PENDIENTES!$E$121,"")</f>
        <v/>
      </c>
      <c r="F127" s="241">
        <f>IF(_PENDIENTES!$B$121&lt;&gt;"",_PENDIENTES!$F$121,"")</f>
        <v/>
      </c>
      <c r="G127" s="239">
        <f>IF(_PENDIENTES!$B$121&lt;&gt;"",_PENDIENTES!$G$121,"")</f>
        <v/>
      </c>
      <c r="H127" s="239">
        <f>IF(_PENDIENTES!$B$121&lt;&gt;"",_PENDIENTES!$H$121,"")</f>
        <v/>
      </c>
      <c r="I127" s="308">
        <f>IF(_PENDIENTES!$B$121&lt;&gt;"",_PENDIENTES!$I$121,"")</f>
        <v/>
      </c>
      <c r="J127" s="239">
        <f>IF(_PENDIENTES!$B$121&lt;&gt;"",_PENDIENTES!$J$121,"")</f>
        <v/>
      </c>
      <c r="K127" s="241">
        <f>IF(_PENDIENTES!$B$121&lt;&gt;"","POR RECOGER","")</f>
        <v/>
      </c>
      <c r="L127" s="241">
        <f>IF(_PENDIENTES!$B$121&lt;&gt;"",_PENDIENTES!$K$121,"")</f>
        <v/>
      </c>
      <c r="M127" s="280">
        <f>IF(_PENDIENTES!$B$121&lt;&gt;"",_PENDIENTES!$B$121,"")</f>
        <v/>
      </c>
      <c r="N127" s="304">
        <f>IF(_PENDIENTES!$B$121&lt;&gt;"",_PENDIENTES!$L$121,"")</f>
        <v/>
      </c>
      <c r="O127" s="284" t="n"/>
      <c r="P127" s="284" t="n"/>
      <c r="Q127" s="284" t="n"/>
      <c r="R127" s="284" t="n"/>
      <c r="S127" s="284" t="n"/>
    </row>
    <row r="128" hidden="1" ht="15.75" customHeight="1" s="195">
      <c r="A128" s="301">
        <f>IF(_PENDIENTES!$B$122&lt;&gt;"",121,"")</f>
        <v/>
      </c>
      <c r="B128" s="242">
        <f>IF(_PENDIENTES!$B$122&lt;&gt;"",_PENDIENTES!$A$122,"")</f>
        <v/>
      </c>
      <c r="C128" s="302">
        <f>IF(_PENDIENTES!$B$122&lt;&gt;"",_PENDIENTES!$C$122,"")</f>
        <v/>
      </c>
      <c r="D128" s="301">
        <f>IF(_PENDIENTES!$B$122&lt;&gt;"",_PENDIENTES!$D$122,"")</f>
        <v/>
      </c>
      <c r="E128" s="306">
        <f>IF(_PENDIENTES!$B$122&lt;&gt;"",_PENDIENTES!$E$122,"")</f>
        <v/>
      </c>
      <c r="F128" s="301">
        <f>IF(_PENDIENTES!$B$122&lt;&gt;"",_PENDIENTES!$F$122,"")</f>
        <v/>
      </c>
      <c r="G128" s="245">
        <f>IF(_PENDIENTES!$B$122&lt;&gt;"",_PENDIENTES!$G$122,"")</f>
        <v/>
      </c>
      <c r="H128" s="245">
        <f>IF(_PENDIENTES!$B$122&lt;&gt;"",_PENDIENTES!$H$122,"")</f>
        <v/>
      </c>
      <c r="I128" s="303">
        <f>IF(_PENDIENTES!$B$122&lt;&gt;"",_PENDIENTES!$I$122,"")</f>
        <v/>
      </c>
      <c r="J128" s="245">
        <f>IF(_PENDIENTES!$B$122&lt;&gt;"",_PENDIENTES!$J$122,"")</f>
        <v/>
      </c>
      <c r="K128" s="301">
        <f>IF(_PENDIENTES!$B$122&lt;&gt;"","POR RECOGER","")</f>
        <v/>
      </c>
      <c r="L128" s="301">
        <f>IF(_PENDIENTES!$B$122&lt;&gt;"",_PENDIENTES!$K$122,"")</f>
        <v/>
      </c>
      <c r="M128" s="280">
        <f>IF(_PENDIENTES!$B$122&lt;&gt;"",_PENDIENTES!$B$122,"")</f>
        <v/>
      </c>
      <c r="N128" s="304">
        <f>IF(_PENDIENTES!$B$122&lt;&gt;"",_PENDIENTES!$L$122,"")</f>
        <v/>
      </c>
      <c r="O128" s="284" t="n"/>
      <c r="P128" s="284" t="n"/>
      <c r="Q128" s="284" t="n"/>
      <c r="R128" s="284" t="n"/>
      <c r="S128" s="284" t="n"/>
    </row>
    <row r="129" hidden="1" ht="15.75" customHeight="1" s="195">
      <c r="A129" s="241">
        <f>IF(_PENDIENTES!$B$123&lt;&gt;"",122,"")</f>
        <v/>
      </c>
      <c r="B129" s="236">
        <f>IF(_PENDIENTES!$B$123&lt;&gt;"",_PENDIENTES!$A$123,"")</f>
        <v/>
      </c>
      <c r="C129" s="305">
        <f>IF(_PENDIENTES!$B$123&lt;&gt;"",_PENDIENTES!$C$123,"")</f>
        <v/>
      </c>
      <c r="D129" s="241">
        <f>IF(_PENDIENTES!$B$123&lt;&gt;"",_PENDIENTES!$D$123,"")</f>
        <v/>
      </c>
      <c r="E129" s="307">
        <f>IF(_PENDIENTES!$B$123&lt;&gt;"",_PENDIENTES!$E$123,"")</f>
        <v/>
      </c>
      <c r="F129" s="241">
        <f>IF(_PENDIENTES!$B$123&lt;&gt;"",_PENDIENTES!$F$123,"")</f>
        <v/>
      </c>
      <c r="G129" s="239">
        <f>IF(_PENDIENTES!$B$123&lt;&gt;"",_PENDIENTES!$G$123,"")</f>
        <v/>
      </c>
      <c r="H129" s="239">
        <f>IF(_PENDIENTES!$B$123&lt;&gt;"",_PENDIENTES!$H$123,"")</f>
        <v/>
      </c>
      <c r="I129" s="308">
        <f>IF(_PENDIENTES!$B$123&lt;&gt;"",_PENDIENTES!$I$123,"")</f>
        <v/>
      </c>
      <c r="J129" s="239">
        <f>IF(_PENDIENTES!$B$123&lt;&gt;"",_PENDIENTES!$J$123,"")</f>
        <v/>
      </c>
      <c r="K129" s="241">
        <f>IF(_PENDIENTES!$B$123&lt;&gt;"","POR RECOGER","")</f>
        <v/>
      </c>
      <c r="L129" s="241">
        <f>IF(_PENDIENTES!$B$123&lt;&gt;"",_PENDIENTES!$K$123,"")</f>
        <v/>
      </c>
      <c r="M129" s="280">
        <f>IF(_PENDIENTES!$B$123&lt;&gt;"",_PENDIENTES!$B$123,"")</f>
        <v/>
      </c>
      <c r="N129" s="304">
        <f>IF(_PENDIENTES!$B$123&lt;&gt;"",_PENDIENTES!$L$123,"")</f>
        <v/>
      </c>
      <c r="O129" s="284" t="n"/>
      <c r="P129" s="284" t="n"/>
      <c r="Q129" s="284" t="n"/>
      <c r="R129" s="284" t="n"/>
      <c r="S129" s="284" t="n"/>
    </row>
    <row r="130" hidden="1" ht="15.75" customHeight="1" s="195">
      <c r="A130" s="301">
        <f>IF(_PENDIENTES!$B$124&lt;&gt;"",123,"")</f>
        <v/>
      </c>
      <c r="B130" s="242">
        <f>IF(_PENDIENTES!$B$124&lt;&gt;"",_PENDIENTES!$A$124,"")</f>
        <v/>
      </c>
      <c r="C130" s="302">
        <f>IF(_PENDIENTES!$B$124&lt;&gt;"",_PENDIENTES!$C$124,"")</f>
        <v/>
      </c>
      <c r="D130" s="301">
        <f>IF(_PENDIENTES!$B$124&lt;&gt;"",_PENDIENTES!$D$124,"")</f>
        <v/>
      </c>
      <c r="E130" s="306">
        <f>IF(_PENDIENTES!$B$124&lt;&gt;"",_PENDIENTES!$E$124,"")</f>
        <v/>
      </c>
      <c r="F130" s="301">
        <f>IF(_PENDIENTES!$B$124&lt;&gt;"",_PENDIENTES!$F$124,"")</f>
        <v/>
      </c>
      <c r="G130" s="245">
        <f>IF(_PENDIENTES!$B$124&lt;&gt;"",_PENDIENTES!$G$124,"")</f>
        <v/>
      </c>
      <c r="H130" s="245">
        <f>IF(_PENDIENTES!$B$124&lt;&gt;"",_PENDIENTES!$H$124,"")</f>
        <v/>
      </c>
      <c r="I130" s="303">
        <f>IF(_PENDIENTES!$B$124&lt;&gt;"",_PENDIENTES!$I$124,"")</f>
        <v/>
      </c>
      <c r="J130" s="245">
        <f>IF(_PENDIENTES!$B$124&lt;&gt;"",_PENDIENTES!$J$124,"")</f>
        <v/>
      </c>
      <c r="K130" s="301">
        <f>IF(_PENDIENTES!$B$124&lt;&gt;"","POR RECOGER","")</f>
        <v/>
      </c>
      <c r="L130" s="301">
        <f>IF(_PENDIENTES!$B$124&lt;&gt;"",_PENDIENTES!$K$124,"")</f>
        <v/>
      </c>
      <c r="M130" s="280">
        <f>IF(_PENDIENTES!$B$124&lt;&gt;"",_PENDIENTES!$B$124,"")</f>
        <v/>
      </c>
      <c r="N130" s="304">
        <f>IF(_PENDIENTES!$B$124&lt;&gt;"",_PENDIENTES!$L$124,"")</f>
        <v/>
      </c>
      <c r="O130" s="284" t="n"/>
      <c r="P130" s="284" t="n"/>
      <c r="Q130" s="284" t="n"/>
      <c r="R130" s="284" t="n"/>
      <c r="S130" s="284" t="n"/>
    </row>
    <row r="131" hidden="1" ht="15.75" customHeight="1" s="195">
      <c r="A131" s="241">
        <f>IF(_PENDIENTES!$B$125&lt;&gt;"",124,"")</f>
        <v/>
      </c>
      <c r="B131" s="236">
        <f>IF(_PENDIENTES!$B$125&lt;&gt;"",_PENDIENTES!$A$125,"")</f>
        <v/>
      </c>
      <c r="C131" s="305">
        <f>IF(_PENDIENTES!$B$125&lt;&gt;"",_PENDIENTES!$C$125,"")</f>
        <v/>
      </c>
      <c r="D131" s="241">
        <f>IF(_PENDIENTES!$B$125&lt;&gt;"",_PENDIENTES!$D$125,"")</f>
        <v/>
      </c>
      <c r="E131" s="307">
        <f>IF(_PENDIENTES!$B$125&lt;&gt;"",_PENDIENTES!$E$125,"")</f>
        <v/>
      </c>
      <c r="F131" s="241">
        <f>IF(_PENDIENTES!$B$125&lt;&gt;"",_PENDIENTES!$F$125,"")</f>
        <v/>
      </c>
      <c r="G131" s="239">
        <f>IF(_PENDIENTES!$B$125&lt;&gt;"",_PENDIENTES!$G$125,"")</f>
        <v/>
      </c>
      <c r="H131" s="239">
        <f>IF(_PENDIENTES!$B$125&lt;&gt;"",_PENDIENTES!$H$125,"")</f>
        <v/>
      </c>
      <c r="I131" s="308">
        <f>IF(_PENDIENTES!$B$125&lt;&gt;"",_PENDIENTES!$I$125,"")</f>
        <v/>
      </c>
      <c r="J131" s="239">
        <f>IF(_PENDIENTES!$B$125&lt;&gt;"",_PENDIENTES!$J$125,"")</f>
        <v/>
      </c>
      <c r="K131" s="241">
        <f>IF(_PENDIENTES!$B$125&lt;&gt;"","POR RECOGER","")</f>
        <v/>
      </c>
      <c r="L131" s="241">
        <f>IF(_PENDIENTES!$B$125&lt;&gt;"",_PENDIENTES!$K$125,"")</f>
        <v/>
      </c>
      <c r="M131" s="280">
        <f>IF(_PENDIENTES!$B$125&lt;&gt;"",_PENDIENTES!$B$125,"")</f>
        <v/>
      </c>
      <c r="N131" s="304">
        <f>IF(_PENDIENTES!$B$125&lt;&gt;"",_PENDIENTES!$L$125,"")</f>
        <v/>
      </c>
      <c r="O131" s="284" t="n"/>
      <c r="P131" s="284" t="n"/>
      <c r="Q131" s="284" t="n"/>
      <c r="R131" s="284" t="n"/>
      <c r="S131" s="284" t="n"/>
    </row>
    <row r="132" hidden="1" ht="15.75" customHeight="1" s="195">
      <c r="A132" s="301">
        <f>IF(_PENDIENTES!$B$126&lt;&gt;"",125,"")</f>
        <v/>
      </c>
      <c r="B132" s="242">
        <f>IF(_PENDIENTES!$B$126&lt;&gt;"",_PENDIENTES!$A$126,"")</f>
        <v/>
      </c>
      <c r="C132" s="302">
        <f>IF(_PENDIENTES!$B$126&lt;&gt;"",_PENDIENTES!$C$126,"")</f>
        <v/>
      </c>
      <c r="D132" s="301">
        <f>IF(_PENDIENTES!$B$126&lt;&gt;"",_PENDIENTES!$D$126,"")</f>
        <v/>
      </c>
      <c r="E132" s="306">
        <f>IF(_PENDIENTES!$B$126&lt;&gt;"",_PENDIENTES!$E$126,"")</f>
        <v/>
      </c>
      <c r="F132" s="301">
        <f>IF(_PENDIENTES!$B$126&lt;&gt;"",_PENDIENTES!$F$126,"")</f>
        <v/>
      </c>
      <c r="G132" s="245">
        <f>IF(_PENDIENTES!$B$126&lt;&gt;"",_PENDIENTES!$G$126,"")</f>
        <v/>
      </c>
      <c r="H132" s="245">
        <f>IF(_PENDIENTES!$B$126&lt;&gt;"",_PENDIENTES!$H$126,"")</f>
        <v/>
      </c>
      <c r="I132" s="303">
        <f>IF(_PENDIENTES!$B$126&lt;&gt;"",_PENDIENTES!$I$126,"")</f>
        <v/>
      </c>
      <c r="J132" s="245">
        <f>IF(_PENDIENTES!$B$126&lt;&gt;"",_PENDIENTES!$J$126,"")</f>
        <v/>
      </c>
      <c r="K132" s="301">
        <f>IF(_PENDIENTES!$B$126&lt;&gt;"","POR RECOGER","")</f>
        <v/>
      </c>
      <c r="L132" s="301">
        <f>IF(_PENDIENTES!$B$126&lt;&gt;"",_PENDIENTES!$K$126,"")</f>
        <v/>
      </c>
      <c r="M132" s="280">
        <f>IF(_PENDIENTES!$B$126&lt;&gt;"",_PENDIENTES!$B$126,"")</f>
        <v/>
      </c>
      <c r="N132" s="304">
        <f>IF(_PENDIENTES!$B$126&lt;&gt;"",_PENDIENTES!$L$126,"")</f>
        <v/>
      </c>
      <c r="O132" s="284" t="n"/>
      <c r="P132" s="284" t="n"/>
      <c r="Q132" s="284" t="n"/>
      <c r="R132" s="284" t="n"/>
      <c r="S132" s="284" t="n"/>
    </row>
    <row r="133" hidden="1" ht="15.75" customHeight="1" s="195">
      <c r="A133" s="241">
        <f>IF(_PENDIENTES!$B$127&lt;&gt;"",126,"")</f>
        <v/>
      </c>
      <c r="B133" s="236">
        <f>IF(_PENDIENTES!$B$127&lt;&gt;"",_PENDIENTES!$A$127,"")</f>
        <v/>
      </c>
      <c r="C133" s="305">
        <f>IF(_PENDIENTES!$B$127&lt;&gt;"",_PENDIENTES!$C$127,"")</f>
        <v/>
      </c>
      <c r="D133" s="241">
        <f>IF(_PENDIENTES!$B$127&lt;&gt;"",_PENDIENTES!$D$127,"")</f>
        <v/>
      </c>
      <c r="E133" s="307">
        <f>IF(_PENDIENTES!$B$127&lt;&gt;"",_PENDIENTES!$E$127,"")</f>
        <v/>
      </c>
      <c r="F133" s="241">
        <f>IF(_PENDIENTES!$B$127&lt;&gt;"",_PENDIENTES!$F$127,"")</f>
        <v/>
      </c>
      <c r="G133" s="239">
        <f>IF(_PENDIENTES!$B$127&lt;&gt;"",_PENDIENTES!$G$127,"")</f>
        <v/>
      </c>
      <c r="H133" s="239">
        <f>IF(_PENDIENTES!$B$127&lt;&gt;"",_PENDIENTES!$H$127,"")</f>
        <v/>
      </c>
      <c r="I133" s="308">
        <f>IF(_PENDIENTES!$B$127&lt;&gt;"",_PENDIENTES!$I$127,"")</f>
        <v/>
      </c>
      <c r="J133" s="239">
        <f>IF(_PENDIENTES!$B$127&lt;&gt;"",_PENDIENTES!$J$127,"")</f>
        <v/>
      </c>
      <c r="K133" s="241">
        <f>IF(_PENDIENTES!$B$127&lt;&gt;"","POR RECOGER","")</f>
        <v/>
      </c>
      <c r="L133" s="241">
        <f>IF(_PENDIENTES!$B$127&lt;&gt;"",_PENDIENTES!$K$127,"")</f>
        <v/>
      </c>
      <c r="M133" s="280">
        <f>IF(_PENDIENTES!$B$127&lt;&gt;"",_PENDIENTES!$B$127,"")</f>
        <v/>
      </c>
      <c r="N133" s="304">
        <f>IF(_PENDIENTES!$B$127&lt;&gt;"",_PENDIENTES!$L$127,"")</f>
        <v/>
      </c>
      <c r="O133" s="284" t="n"/>
      <c r="P133" s="284" t="n"/>
      <c r="Q133" s="284" t="n"/>
      <c r="R133" s="284" t="n"/>
      <c r="S133" s="284" t="n"/>
    </row>
    <row r="134" hidden="1" ht="15.75" customHeight="1" s="195">
      <c r="A134" s="301">
        <f>IF(_PENDIENTES!$B$128&lt;&gt;"",127,"")</f>
        <v/>
      </c>
      <c r="B134" s="242">
        <f>IF(_PENDIENTES!$B$128&lt;&gt;"",_PENDIENTES!$A$128,"")</f>
        <v/>
      </c>
      <c r="C134" s="302">
        <f>IF(_PENDIENTES!$B$128&lt;&gt;"",_PENDIENTES!$C$128,"")</f>
        <v/>
      </c>
      <c r="D134" s="301">
        <f>IF(_PENDIENTES!$B$128&lt;&gt;"",_PENDIENTES!$D$128,"")</f>
        <v/>
      </c>
      <c r="E134" s="306">
        <f>IF(_PENDIENTES!$B$128&lt;&gt;"",_PENDIENTES!$E$128,"")</f>
        <v/>
      </c>
      <c r="F134" s="301">
        <f>IF(_PENDIENTES!$B$128&lt;&gt;"",_PENDIENTES!$F$128,"")</f>
        <v/>
      </c>
      <c r="G134" s="245">
        <f>IF(_PENDIENTES!$B$128&lt;&gt;"",_PENDIENTES!$G$128,"")</f>
        <v/>
      </c>
      <c r="H134" s="245">
        <f>IF(_PENDIENTES!$B$128&lt;&gt;"",_PENDIENTES!$H$128,"")</f>
        <v/>
      </c>
      <c r="I134" s="303">
        <f>IF(_PENDIENTES!$B$128&lt;&gt;"",_PENDIENTES!$I$128,"")</f>
        <v/>
      </c>
      <c r="J134" s="245">
        <f>IF(_PENDIENTES!$B$128&lt;&gt;"",_PENDIENTES!$J$128,"")</f>
        <v/>
      </c>
      <c r="K134" s="301">
        <f>IF(_PENDIENTES!$B$128&lt;&gt;"","POR RECOGER","")</f>
        <v/>
      </c>
      <c r="L134" s="301">
        <f>IF(_PENDIENTES!$B$128&lt;&gt;"",_PENDIENTES!$K$128,"")</f>
        <v/>
      </c>
      <c r="M134" s="280">
        <f>IF(_PENDIENTES!$B$128&lt;&gt;"",_PENDIENTES!$B$128,"")</f>
        <v/>
      </c>
      <c r="N134" s="304">
        <f>IF(_PENDIENTES!$B$128&lt;&gt;"",_PENDIENTES!$L$128,"")</f>
        <v/>
      </c>
      <c r="O134" s="284" t="n"/>
      <c r="P134" s="284" t="n"/>
      <c r="Q134" s="284" t="n"/>
      <c r="R134" s="284" t="n"/>
      <c r="S134" s="284" t="n"/>
    </row>
    <row r="135" hidden="1" ht="15.75" customHeight="1" s="195">
      <c r="A135" s="241">
        <f>IF(_PENDIENTES!$B$129&lt;&gt;"",128,"")</f>
        <v/>
      </c>
      <c r="B135" s="236">
        <f>IF(_PENDIENTES!$B$129&lt;&gt;"",_PENDIENTES!$A$129,"")</f>
        <v/>
      </c>
      <c r="C135" s="305">
        <f>IF(_PENDIENTES!$B$129&lt;&gt;"",_PENDIENTES!$C$129,"")</f>
        <v/>
      </c>
      <c r="D135" s="241">
        <f>IF(_PENDIENTES!$B$129&lt;&gt;"",_PENDIENTES!$D$129,"")</f>
        <v/>
      </c>
      <c r="E135" s="307">
        <f>IF(_PENDIENTES!$B$129&lt;&gt;"",_PENDIENTES!$E$129,"")</f>
        <v/>
      </c>
      <c r="F135" s="241">
        <f>IF(_PENDIENTES!$B$129&lt;&gt;"",_PENDIENTES!$F$129,"")</f>
        <v/>
      </c>
      <c r="G135" s="239">
        <f>IF(_PENDIENTES!$B$129&lt;&gt;"",_PENDIENTES!$G$129,"")</f>
        <v/>
      </c>
      <c r="H135" s="239">
        <f>IF(_PENDIENTES!$B$129&lt;&gt;"",_PENDIENTES!$H$129,"")</f>
        <v/>
      </c>
      <c r="I135" s="308">
        <f>IF(_PENDIENTES!$B$129&lt;&gt;"",_PENDIENTES!$I$129,"")</f>
        <v/>
      </c>
      <c r="J135" s="239">
        <f>IF(_PENDIENTES!$B$129&lt;&gt;"",_PENDIENTES!$J$129,"")</f>
        <v/>
      </c>
      <c r="K135" s="241">
        <f>IF(_PENDIENTES!$B$129&lt;&gt;"","POR RECOGER","")</f>
        <v/>
      </c>
      <c r="L135" s="241">
        <f>IF(_PENDIENTES!$B$129&lt;&gt;"",_PENDIENTES!$K$129,"")</f>
        <v/>
      </c>
      <c r="M135" s="280">
        <f>IF(_PENDIENTES!$B$129&lt;&gt;"",_PENDIENTES!$B$129,"")</f>
        <v/>
      </c>
      <c r="N135" s="304">
        <f>IF(_PENDIENTES!$B$129&lt;&gt;"",_PENDIENTES!$L$129,"")</f>
        <v/>
      </c>
      <c r="O135" s="284" t="n"/>
      <c r="P135" s="284" t="n"/>
      <c r="Q135" s="284" t="n"/>
      <c r="R135" s="284" t="n"/>
      <c r="S135" s="284" t="n"/>
    </row>
    <row r="136" hidden="1" ht="15.75" customHeight="1" s="195">
      <c r="A136" s="301">
        <f>IF(_PENDIENTES!$B$130&lt;&gt;"",129,"")</f>
        <v/>
      </c>
      <c r="B136" s="242">
        <f>IF(_PENDIENTES!$B$130&lt;&gt;"",_PENDIENTES!$A$130,"")</f>
        <v/>
      </c>
      <c r="C136" s="302">
        <f>IF(_PENDIENTES!$B$130&lt;&gt;"",_PENDIENTES!$C$130,"")</f>
        <v/>
      </c>
      <c r="D136" s="301">
        <f>IF(_PENDIENTES!$B$130&lt;&gt;"",_PENDIENTES!$D$130,"")</f>
        <v/>
      </c>
      <c r="E136" s="306">
        <f>IF(_PENDIENTES!$B$130&lt;&gt;"",_PENDIENTES!$E$130,"")</f>
        <v/>
      </c>
      <c r="F136" s="301">
        <f>IF(_PENDIENTES!$B$130&lt;&gt;"",_PENDIENTES!$F$130,"")</f>
        <v/>
      </c>
      <c r="G136" s="245">
        <f>IF(_PENDIENTES!$B$130&lt;&gt;"",_PENDIENTES!$G$130,"")</f>
        <v/>
      </c>
      <c r="H136" s="245">
        <f>IF(_PENDIENTES!$B$130&lt;&gt;"",_PENDIENTES!$H$130,"")</f>
        <v/>
      </c>
      <c r="I136" s="303">
        <f>IF(_PENDIENTES!$B$130&lt;&gt;"",_PENDIENTES!$I$130,"")</f>
        <v/>
      </c>
      <c r="J136" s="245">
        <f>IF(_PENDIENTES!$B$130&lt;&gt;"",_PENDIENTES!$J$130,"")</f>
        <v/>
      </c>
      <c r="K136" s="301">
        <f>IF(_PENDIENTES!$B$130&lt;&gt;"","POR RECOGER","")</f>
        <v/>
      </c>
      <c r="L136" s="301">
        <f>IF(_PENDIENTES!$B$130&lt;&gt;"",_PENDIENTES!$K$130,"")</f>
        <v/>
      </c>
      <c r="M136" s="280">
        <f>IF(_PENDIENTES!$B$130&lt;&gt;"",_PENDIENTES!$B$130,"")</f>
        <v/>
      </c>
      <c r="N136" s="304">
        <f>IF(_PENDIENTES!$B$130&lt;&gt;"",_PENDIENTES!$L$130,"")</f>
        <v/>
      </c>
      <c r="O136" s="284" t="n"/>
      <c r="P136" s="284" t="n"/>
      <c r="Q136" s="284" t="n"/>
      <c r="R136" s="284" t="n"/>
      <c r="S136" s="284" t="n"/>
    </row>
    <row r="137" hidden="1" ht="15.75" customHeight="1" s="195">
      <c r="A137" s="241">
        <f>IF(_PENDIENTES!$B$131&lt;&gt;"",130,"")</f>
        <v/>
      </c>
      <c r="B137" s="236">
        <f>IF(_PENDIENTES!$B$131&lt;&gt;"",_PENDIENTES!$A$131,"")</f>
        <v/>
      </c>
      <c r="C137" s="305">
        <f>IF(_PENDIENTES!$B$131&lt;&gt;"",_PENDIENTES!$C$131,"")</f>
        <v/>
      </c>
      <c r="D137" s="241">
        <f>IF(_PENDIENTES!$B$131&lt;&gt;"",_PENDIENTES!$D$131,"")</f>
        <v/>
      </c>
      <c r="E137" s="307">
        <f>IF(_PENDIENTES!$B$131&lt;&gt;"",_PENDIENTES!$E$131,"")</f>
        <v/>
      </c>
      <c r="F137" s="241">
        <f>IF(_PENDIENTES!$B$131&lt;&gt;"",_PENDIENTES!$F$131,"")</f>
        <v/>
      </c>
      <c r="G137" s="239">
        <f>IF(_PENDIENTES!$B$131&lt;&gt;"",_PENDIENTES!$G$131,"")</f>
        <v/>
      </c>
      <c r="H137" s="239">
        <f>IF(_PENDIENTES!$B$131&lt;&gt;"",_PENDIENTES!$H$131,"")</f>
        <v/>
      </c>
      <c r="I137" s="308">
        <f>IF(_PENDIENTES!$B$131&lt;&gt;"",_PENDIENTES!$I$131,"")</f>
        <v/>
      </c>
      <c r="J137" s="239">
        <f>IF(_PENDIENTES!$B$131&lt;&gt;"",_PENDIENTES!$J$131,"")</f>
        <v/>
      </c>
      <c r="K137" s="241">
        <f>IF(_PENDIENTES!$B$131&lt;&gt;"","POR RECOGER","")</f>
        <v/>
      </c>
      <c r="L137" s="241">
        <f>IF(_PENDIENTES!$B$131&lt;&gt;"",_PENDIENTES!$K$131,"")</f>
        <v/>
      </c>
      <c r="M137" s="280">
        <f>IF(_PENDIENTES!$B$131&lt;&gt;"",_PENDIENTES!$B$131,"")</f>
        <v/>
      </c>
      <c r="N137" s="304">
        <f>IF(_PENDIENTES!$B$131&lt;&gt;"",_PENDIENTES!$L$131,"")</f>
        <v/>
      </c>
      <c r="O137" s="284" t="n"/>
      <c r="P137" s="284" t="n"/>
      <c r="Q137" s="284" t="n"/>
      <c r="R137" s="284" t="n"/>
      <c r="S137" s="284" t="n"/>
    </row>
    <row r="138" hidden="1" ht="15.75" customHeight="1" s="195">
      <c r="A138" s="301">
        <f>IF(_PENDIENTES!$B$132&lt;&gt;"",131,"")</f>
        <v/>
      </c>
      <c r="B138" s="242">
        <f>IF(_PENDIENTES!$B$132&lt;&gt;"",_PENDIENTES!$A$132,"")</f>
        <v/>
      </c>
      <c r="C138" s="302">
        <f>IF(_PENDIENTES!$B$132&lt;&gt;"",_PENDIENTES!$C$132,"")</f>
        <v/>
      </c>
      <c r="D138" s="301">
        <f>IF(_PENDIENTES!$B$132&lt;&gt;"",_PENDIENTES!$D$132,"")</f>
        <v/>
      </c>
      <c r="E138" s="306">
        <f>IF(_PENDIENTES!$B$132&lt;&gt;"",_PENDIENTES!$E$132,"")</f>
        <v/>
      </c>
      <c r="F138" s="301">
        <f>IF(_PENDIENTES!$B$132&lt;&gt;"",_PENDIENTES!$F$132,"")</f>
        <v/>
      </c>
      <c r="G138" s="245">
        <f>IF(_PENDIENTES!$B$132&lt;&gt;"",_PENDIENTES!$G$132,"")</f>
        <v/>
      </c>
      <c r="H138" s="245">
        <f>IF(_PENDIENTES!$B$132&lt;&gt;"",_PENDIENTES!$H$132,"")</f>
        <v/>
      </c>
      <c r="I138" s="303">
        <f>IF(_PENDIENTES!$B$132&lt;&gt;"",_PENDIENTES!$I$132,"")</f>
        <v/>
      </c>
      <c r="J138" s="245">
        <f>IF(_PENDIENTES!$B$132&lt;&gt;"",_PENDIENTES!$J$132,"")</f>
        <v/>
      </c>
      <c r="K138" s="301">
        <f>IF(_PENDIENTES!$B$132&lt;&gt;"","POR RECOGER","")</f>
        <v/>
      </c>
      <c r="L138" s="301">
        <f>IF(_PENDIENTES!$B$132&lt;&gt;"",_PENDIENTES!$K$132,"")</f>
        <v/>
      </c>
      <c r="M138" s="280">
        <f>IF(_PENDIENTES!$B$132&lt;&gt;"",_PENDIENTES!$B$132,"")</f>
        <v/>
      </c>
      <c r="N138" s="304">
        <f>IF(_PENDIENTES!$B$132&lt;&gt;"",_PENDIENTES!$L$132,"")</f>
        <v/>
      </c>
      <c r="O138" s="284" t="n"/>
      <c r="P138" s="284" t="n"/>
      <c r="Q138" s="284" t="n"/>
      <c r="R138" s="284" t="n"/>
      <c r="S138" s="284" t="n"/>
    </row>
    <row r="139" hidden="1" ht="15.75" customHeight="1" s="195">
      <c r="A139" s="241">
        <f>IF(_PENDIENTES!$B$133&lt;&gt;"",132,"")</f>
        <v/>
      </c>
      <c r="B139" s="236">
        <f>IF(_PENDIENTES!$B$133&lt;&gt;"",_PENDIENTES!$A$133,"")</f>
        <v/>
      </c>
      <c r="C139" s="305">
        <f>IF(_PENDIENTES!$B$133&lt;&gt;"",_PENDIENTES!$C$133,"")</f>
        <v/>
      </c>
      <c r="D139" s="241">
        <f>IF(_PENDIENTES!$B$133&lt;&gt;"",_PENDIENTES!$D$133,"")</f>
        <v/>
      </c>
      <c r="E139" s="307">
        <f>IF(_PENDIENTES!$B$133&lt;&gt;"",_PENDIENTES!$E$133,"")</f>
        <v/>
      </c>
      <c r="F139" s="241">
        <f>IF(_PENDIENTES!$B$133&lt;&gt;"",_PENDIENTES!$F$133,"")</f>
        <v/>
      </c>
      <c r="G139" s="239">
        <f>IF(_PENDIENTES!$B$133&lt;&gt;"",_PENDIENTES!$G$133,"")</f>
        <v/>
      </c>
      <c r="H139" s="239">
        <f>IF(_PENDIENTES!$B$133&lt;&gt;"",_PENDIENTES!$H$133,"")</f>
        <v/>
      </c>
      <c r="I139" s="308">
        <f>IF(_PENDIENTES!$B$133&lt;&gt;"",_PENDIENTES!$I$133,"")</f>
        <v/>
      </c>
      <c r="J139" s="239">
        <f>IF(_PENDIENTES!$B$133&lt;&gt;"",_PENDIENTES!$J$133,"")</f>
        <v/>
      </c>
      <c r="K139" s="241">
        <f>IF(_PENDIENTES!$B$133&lt;&gt;"","POR RECOGER","")</f>
        <v/>
      </c>
      <c r="L139" s="241">
        <f>IF(_PENDIENTES!$B$133&lt;&gt;"",_PENDIENTES!$K$133,"")</f>
        <v/>
      </c>
      <c r="M139" s="280">
        <f>IF(_PENDIENTES!$B$133&lt;&gt;"",_PENDIENTES!$B$133,"")</f>
        <v/>
      </c>
      <c r="N139" s="304">
        <f>IF(_PENDIENTES!$B$133&lt;&gt;"",_PENDIENTES!$L$133,"")</f>
        <v/>
      </c>
      <c r="O139" s="284" t="n"/>
      <c r="P139" s="284" t="n"/>
      <c r="Q139" s="284" t="n"/>
      <c r="R139" s="284" t="n"/>
      <c r="S139" s="284" t="n"/>
    </row>
    <row r="140" hidden="1" ht="15.75" customHeight="1" s="195">
      <c r="A140" s="301">
        <f>IF(_PENDIENTES!$B$134&lt;&gt;"",133,"")</f>
        <v/>
      </c>
      <c r="B140" s="242">
        <f>IF(_PENDIENTES!$B$134&lt;&gt;"",_PENDIENTES!$A$134,"")</f>
        <v/>
      </c>
      <c r="C140" s="302">
        <f>IF(_PENDIENTES!$B$134&lt;&gt;"",_PENDIENTES!$C$134,"")</f>
        <v/>
      </c>
      <c r="D140" s="301">
        <f>IF(_PENDIENTES!$B$134&lt;&gt;"",_PENDIENTES!$D$134,"")</f>
        <v/>
      </c>
      <c r="E140" s="306">
        <f>IF(_PENDIENTES!$B$134&lt;&gt;"",_PENDIENTES!$E$134,"")</f>
        <v/>
      </c>
      <c r="F140" s="301">
        <f>IF(_PENDIENTES!$B$134&lt;&gt;"",_PENDIENTES!$F$134,"")</f>
        <v/>
      </c>
      <c r="G140" s="245">
        <f>IF(_PENDIENTES!$B$134&lt;&gt;"",_PENDIENTES!$G$134,"")</f>
        <v/>
      </c>
      <c r="H140" s="245">
        <f>IF(_PENDIENTES!$B$134&lt;&gt;"",_PENDIENTES!$H$134,"")</f>
        <v/>
      </c>
      <c r="I140" s="303">
        <f>IF(_PENDIENTES!$B$134&lt;&gt;"",_PENDIENTES!$I$134,"")</f>
        <v/>
      </c>
      <c r="J140" s="245">
        <f>IF(_PENDIENTES!$B$134&lt;&gt;"",_PENDIENTES!$J$134,"")</f>
        <v/>
      </c>
      <c r="K140" s="301">
        <f>IF(_PENDIENTES!$B$134&lt;&gt;"","POR RECOGER","")</f>
        <v/>
      </c>
      <c r="L140" s="301">
        <f>IF(_PENDIENTES!$B$134&lt;&gt;"",_PENDIENTES!$K$134,"")</f>
        <v/>
      </c>
      <c r="M140" s="280">
        <f>IF(_PENDIENTES!$B$134&lt;&gt;"",_PENDIENTES!$B$134,"")</f>
        <v/>
      </c>
      <c r="N140" s="304">
        <f>IF(_PENDIENTES!$B$134&lt;&gt;"",_PENDIENTES!$L$134,"")</f>
        <v/>
      </c>
      <c r="O140" s="284" t="n"/>
      <c r="P140" s="284" t="n"/>
      <c r="Q140" s="284" t="n"/>
      <c r="R140" s="284" t="n"/>
      <c r="S140" s="284" t="n"/>
    </row>
    <row r="141" hidden="1" ht="15.75" customHeight="1" s="195">
      <c r="A141" s="241">
        <f>IF(_PENDIENTES!$B$135&lt;&gt;"",134,"")</f>
        <v/>
      </c>
      <c r="B141" s="236">
        <f>IF(_PENDIENTES!$B$135&lt;&gt;"",_PENDIENTES!$A$135,"")</f>
        <v/>
      </c>
      <c r="C141" s="305">
        <f>IF(_PENDIENTES!$B$135&lt;&gt;"",_PENDIENTES!$C$135,"")</f>
        <v/>
      </c>
      <c r="D141" s="241">
        <f>IF(_PENDIENTES!$B$135&lt;&gt;"",_PENDIENTES!$D$135,"")</f>
        <v/>
      </c>
      <c r="E141" s="307">
        <f>IF(_PENDIENTES!$B$135&lt;&gt;"",_PENDIENTES!$E$135,"")</f>
        <v/>
      </c>
      <c r="F141" s="241">
        <f>IF(_PENDIENTES!$B$135&lt;&gt;"",_PENDIENTES!$F$135,"")</f>
        <v/>
      </c>
      <c r="G141" s="239">
        <f>IF(_PENDIENTES!$B$135&lt;&gt;"",_PENDIENTES!$G$135,"")</f>
        <v/>
      </c>
      <c r="H141" s="239">
        <f>IF(_PENDIENTES!$B$135&lt;&gt;"",_PENDIENTES!$H$135,"")</f>
        <v/>
      </c>
      <c r="I141" s="308">
        <f>IF(_PENDIENTES!$B$135&lt;&gt;"",_PENDIENTES!$I$135,"")</f>
        <v/>
      </c>
      <c r="J141" s="239">
        <f>IF(_PENDIENTES!$B$135&lt;&gt;"",_PENDIENTES!$J$135,"")</f>
        <v/>
      </c>
      <c r="K141" s="241">
        <f>IF(_PENDIENTES!$B$135&lt;&gt;"","POR RECOGER","")</f>
        <v/>
      </c>
      <c r="L141" s="241">
        <f>IF(_PENDIENTES!$B$135&lt;&gt;"",_PENDIENTES!$K$135,"")</f>
        <v/>
      </c>
      <c r="M141" s="280">
        <f>IF(_PENDIENTES!$B$135&lt;&gt;"",_PENDIENTES!$B$135,"")</f>
        <v/>
      </c>
      <c r="N141" s="304">
        <f>IF(_PENDIENTES!$B$135&lt;&gt;"",_PENDIENTES!$L$135,"")</f>
        <v/>
      </c>
      <c r="O141" s="284" t="n"/>
      <c r="P141" s="284" t="n"/>
      <c r="Q141" s="284" t="n"/>
      <c r="R141" s="284" t="n"/>
      <c r="S141" s="284" t="n"/>
    </row>
    <row r="142" hidden="1" ht="15.75" customHeight="1" s="195">
      <c r="A142" s="301">
        <f>IF(_PENDIENTES!$B$136&lt;&gt;"",135,"")</f>
        <v/>
      </c>
      <c r="B142" s="242">
        <f>IF(_PENDIENTES!$B$136&lt;&gt;"",_PENDIENTES!$A$136,"")</f>
        <v/>
      </c>
      <c r="C142" s="302">
        <f>IF(_PENDIENTES!$B$136&lt;&gt;"",_PENDIENTES!$C$136,"")</f>
        <v/>
      </c>
      <c r="D142" s="301">
        <f>IF(_PENDIENTES!$B$136&lt;&gt;"",_PENDIENTES!$D$136,"")</f>
        <v/>
      </c>
      <c r="E142" s="306">
        <f>IF(_PENDIENTES!$B$136&lt;&gt;"",_PENDIENTES!$E$136,"")</f>
        <v/>
      </c>
      <c r="F142" s="301">
        <f>IF(_PENDIENTES!$B$136&lt;&gt;"",_PENDIENTES!$F$136,"")</f>
        <v/>
      </c>
      <c r="G142" s="245">
        <f>IF(_PENDIENTES!$B$136&lt;&gt;"",_PENDIENTES!$G$136,"")</f>
        <v/>
      </c>
      <c r="H142" s="245">
        <f>IF(_PENDIENTES!$B$136&lt;&gt;"",_PENDIENTES!$H$136,"")</f>
        <v/>
      </c>
      <c r="I142" s="303">
        <f>IF(_PENDIENTES!$B$136&lt;&gt;"",_PENDIENTES!$I$136,"")</f>
        <v/>
      </c>
      <c r="J142" s="245">
        <f>IF(_PENDIENTES!$B$136&lt;&gt;"",_PENDIENTES!$J$136,"")</f>
        <v/>
      </c>
      <c r="K142" s="301">
        <f>IF(_PENDIENTES!$B$136&lt;&gt;"","POR RECOGER","")</f>
        <v/>
      </c>
      <c r="L142" s="301">
        <f>IF(_PENDIENTES!$B$136&lt;&gt;"",_PENDIENTES!$K$136,"")</f>
        <v/>
      </c>
      <c r="M142" s="280">
        <f>IF(_PENDIENTES!$B$136&lt;&gt;"",_PENDIENTES!$B$136,"")</f>
        <v/>
      </c>
      <c r="N142" s="304">
        <f>IF(_PENDIENTES!$B$136&lt;&gt;"",_PENDIENTES!$L$136,"")</f>
        <v/>
      </c>
      <c r="O142" s="284" t="n"/>
      <c r="P142" s="284" t="n"/>
      <c r="Q142" s="284" t="n"/>
      <c r="R142" s="284" t="n"/>
      <c r="S142" s="284" t="n"/>
    </row>
    <row r="143" hidden="1" ht="15.75" customHeight="1" s="195">
      <c r="A143" s="241">
        <f>IF(_PENDIENTES!$B$137&lt;&gt;"",136,"")</f>
        <v/>
      </c>
      <c r="B143" s="236">
        <f>IF(_PENDIENTES!$B$137&lt;&gt;"",_PENDIENTES!$A$137,"")</f>
        <v/>
      </c>
      <c r="C143" s="305">
        <f>IF(_PENDIENTES!$B$137&lt;&gt;"",_PENDIENTES!$C$137,"")</f>
        <v/>
      </c>
      <c r="D143" s="241">
        <f>IF(_PENDIENTES!$B$137&lt;&gt;"",_PENDIENTES!$D$137,"")</f>
        <v/>
      </c>
      <c r="E143" s="307">
        <f>IF(_PENDIENTES!$B$137&lt;&gt;"",_PENDIENTES!$E$137,"")</f>
        <v/>
      </c>
      <c r="F143" s="241">
        <f>IF(_PENDIENTES!$B$137&lt;&gt;"",_PENDIENTES!$F$137,"")</f>
        <v/>
      </c>
      <c r="G143" s="239">
        <f>IF(_PENDIENTES!$B$137&lt;&gt;"",_PENDIENTES!$G$137,"")</f>
        <v/>
      </c>
      <c r="H143" s="239">
        <f>IF(_PENDIENTES!$B$137&lt;&gt;"",_PENDIENTES!$H$137,"")</f>
        <v/>
      </c>
      <c r="I143" s="308">
        <f>IF(_PENDIENTES!$B$137&lt;&gt;"",_PENDIENTES!$I$137,"")</f>
        <v/>
      </c>
      <c r="J143" s="239">
        <f>IF(_PENDIENTES!$B$137&lt;&gt;"",_PENDIENTES!$J$137,"")</f>
        <v/>
      </c>
      <c r="K143" s="241">
        <f>IF(_PENDIENTES!$B$137&lt;&gt;"","POR RECOGER","")</f>
        <v/>
      </c>
      <c r="L143" s="241">
        <f>IF(_PENDIENTES!$B$137&lt;&gt;"",_PENDIENTES!$K$137,"")</f>
        <v/>
      </c>
      <c r="M143" s="280">
        <f>IF(_PENDIENTES!$B$137&lt;&gt;"",_PENDIENTES!$B$137,"")</f>
        <v/>
      </c>
      <c r="N143" s="304">
        <f>IF(_PENDIENTES!$B$137&lt;&gt;"",_PENDIENTES!$L$137,"")</f>
        <v/>
      </c>
      <c r="O143" s="284" t="n"/>
      <c r="P143" s="284" t="n"/>
      <c r="Q143" s="284" t="n"/>
      <c r="R143" s="284" t="n"/>
      <c r="S143" s="284" t="n"/>
    </row>
    <row r="144" hidden="1" ht="15.75" customHeight="1" s="195">
      <c r="A144" s="301">
        <f>IF(_PENDIENTES!$B$138&lt;&gt;"",137,"")</f>
        <v/>
      </c>
      <c r="B144" s="242">
        <f>IF(_PENDIENTES!$B$138&lt;&gt;"",_PENDIENTES!$A$138,"")</f>
        <v/>
      </c>
      <c r="C144" s="302">
        <f>IF(_PENDIENTES!$B$138&lt;&gt;"",_PENDIENTES!$C$138,"")</f>
        <v/>
      </c>
      <c r="D144" s="301">
        <f>IF(_PENDIENTES!$B$138&lt;&gt;"",_PENDIENTES!$D$138,"")</f>
        <v/>
      </c>
      <c r="E144" s="306">
        <f>IF(_PENDIENTES!$B$138&lt;&gt;"",_PENDIENTES!$E$138,"")</f>
        <v/>
      </c>
      <c r="F144" s="301">
        <f>IF(_PENDIENTES!$B$138&lt;&gt;"",_PENDIENTES!$F$138,"")</f>
        <v/>
      </c>
      <c r="G144" s="245">
        <f>IF(_PENDIENTES!$B$138&lt;&gt;"",_PENDIENTES!$G$138,"")</f>
        <v/>
      </c>
      <c r="H144" s="245">
        <f>IF(_PENDIENTES!$B$138&lt;&gt;"",_PENDIENTES!$H$138,"")</f>
        <v/>
      </c>
      <c r="I144" s="303">
        <f>IF(_PENDIENTES!$B$138&lt;&gt;"",_PENDIENTES!$I$138,"")</f>
        <v/>
      </c>
      <c r="J144" s="245">
        <f>IF(_PENDIENTES!$B$138&lt;&gt;"",_PENDIENTES!$J$138,"")</f>
        <v/>
      </c>
      <c r="K144" s="301">
        <f>IF(_PENDIENTES!$B$138&lt;&gt;"","POR RECOGER","")</f>
        <v/>
      </c>
      <c r="L144" s="301">
        <f>IF(_PENDIENTES!$B$138&lt;&gt;"",_PENDIENTES!$K$138,"")</f>
        <v/>
      </c>
      <c r="M144" s="280">
        <f>IF(_PENDIENTES!$B$138&lt;&gt;"",_PENDIENTES!$B$138,"")</f>
        <v/>
      </c>
      <c r="N144" s="304">
        <f>IF(_PENDIENTES!$B$138&lt;&gt;"",_PENDIENTES!$L$138,"")</f>
        <v/>
      </c>
      <c r="O144" s="284" t="n"/>
      <c r="P144" s="284" t="n"/>
      <c r="Q144" s="284" t="n"/>
      <c r="R144" s="284" t="n"/>
      <c r="S144" s="284" t="n"/>
    </row>
    <row r="145" hidden="1" ht="15.75" customHeight="1" s="195">
      <c r="A145" s="241">
        <f>IF(_PENDIENTES!$B$139&lt;&gt;"",138,"")</f>
        <v/>
      </c>
      <c r="B145" s="236">
        <f>IF(_PENDIENTES!$B$139&lt;&gt;"",_PENDIENTES!$A$139,"")</f>
        <v/>
      </c>
      <c r="C145" s="305">
        <f>IF(_PENDIENTES!$B$139&lt;&gt;"",_PENDIENTES!$C$139,"")</f>
        <v/>
      </c>
      <c r="D145" s="241">
        <f>IF(_PENDIENTES!$B$139&lt;&gt;"",_PENDIENTES!$D$139,"")</f>
        <v/>
      </c>
      <c r="E145" s="307">
        <f>IF(_PENDIENTES!$B$139&lt;&gt;"",_PENDIENTES!$E$139,"")</f>
        <v/>
      </c>
      <c r="F145" s="241">
        <f>IF(_PENDIENTES!$B$139&lt;&gt;"",_PENDIENTES!$F$139,"")</f>
        <v/>
      </c>
      <c r="G145" s="239">
        <f>IF(_PENDIENTES!$B$139&lt;&gt;"",_PENDIENTES!$G$139,"")</f>
        <v/>
      </c>
      <c r="H145" s="239">
        <f>IF(_PENDIENTES!$B$139&lt;&gt;"",_PENDIENTES!$H$139,"")</f>
        <v/>
      </c>
      <c r="I145" s="308">
        <f>IF(_PENDIENTES!$B$139&lt;&gt;"",_PENDIENTES!$I$139,"")</f>
        <v/>
      </c>
      <c r="J145" s="239">
        <f>IF(_PENDIENTES!$B$139&lt;&gt;"",_PENDIENTES!$J$139,"")</f>
        <v/>
      </c>
      <c r="K145" s="241">
        <f>IF(_PENDIENTES!$B$139&lt;&gt;"","POR RECOGER","")</f>
        <v/>
      </c>
      <c r="L145" s="241">
        <f>IF(_PENDIENTES!$B$139&lt;&gt;"",_PENDIENTES!$K$139,"")</f>
        <v/>
      </c>
      <c r="M145" s="280">
        <f>IF(_PENDIENTES!$B$139&lt;&gt;"",_PENDIENTES!$B$139,"")</f>
        <v/>
      </c>
      <c r="N145" s="304">
        <f>IF(_PENDIENTES!$B$139&lt;&gt;"",_PENDIENTES!$L$139,"")</f>
        <v/>
      </c>
      <c r="O145" s="284" t="n"/>
      <c r="P145" s="284" t="n"/>
      <c r="Q145" s="284" t="n"/>
      <c r="R145" s="284" t="n"/>
      <c r="S145" s="284" t="n"/>
    </row>
    <row r="146" hidden="1" ht="15.75" customHeight="1" s="195">
      <c r="A146" s="301">
        <f>IF(_PENDIENTES!$B$140&lt;&gt;"",139,"")</f>
        <v/>
      </c>
      <c r="B146" s="242">
        <f>IF(_PENDIENTES!$B$140&lt;&gt;"",_PENDIENTES!$A$140,"")</f>
        <v/>
      </c>
      <c r="C146" s="302">
        <f>IF(_PENDIENTES!$B$140&lt;&gt;"",_PENDIENTES!$C$140,"")</f>
        <v/>
      </c>
      <c r="D146" s="301">
        <f>IF(_PENDIENTES!$B$140&lt;&gt;"",_PENDIENTES!$D$140,"")</f>
        <v/>
      </c>
      <c r="E146" s="306">
        <f>IF(_PENDIENTES!$B$140&lt;&gt;"",_PENDIENTES!$E$140,"")</f>
        <v/>
      </c>
      <c r="F146" s="301">
        <f>IF(_PENDIENTES!$B$140&lt;&gt;"",_PENDIENTES!$F$140,"")</f>
        <v/>
      </c>
      <c r="G146" s="245">
        <f>IF(_PENDIENTES!$B$140&lt;&gt;"",_PENDIENTES!$G$140,"")</f>
        <v/>
      </c>
      <c r="H146" s="245">
        <f>IF(_PENDIENTES!$B$140&lt;&gt;"",_PENDIENTES!$H$140,"")</f>
        <v/>
      </c>
      <c r="I146" s="303">
        <f>IF(_PENDIENTES!$B$140&lt;&gt;"",_PENDIENTES!$I$140,"")</f>
        <v/>
      </c>
      <c r="J146" s="245">
        <f>IF(_PENDIENTES!$B$140&lt;&gt;"",_PENDIENTES!$J$140,"")</f>
        <v/>
      </c>
      <c r="K146" s="301">
        <f>IF(_PENDIENTES!$B$140&lt;&gt;"","POR RECOGER","")</f>
        <v/>
      </c>
      <c r="L146" s="301">
        <f>IF(_PENDIENTES!$B$140&lt;&gt;"",_PENDIENTES!$K$140,"")</f>
        <v/>
      </c>
      <c r="M146" s="280">
        <f>IF(_PENDIENTES!$B$140&lt;&gt;"",_PENDIENTES!$B$140,"")</f>
        <v/>
      </c>
      <c r="N146" s="304">
        <f>IF(_PENDIENTES!$B$140&lt;&gt;"",_PENDIENTES!$L$140,"")</f>
        <v/>
      </c>
      <c r="O146" s="284" t="n"/>
      <c r="P146" s="284" t="n"/>
      <c r="Q146" s="284" t="n"/>
      <c r="R146" s="284" t="n"/>
      <c r="S146" s="284" t="n"/>
    </row>
    <row r="147" hidden="1" ht="15.75" customHeight="1" s="195">
      <c r="A147" s="241">
        <f>IF(_PENDIENTES!$B$141&lt;&gt;"",140,"")</f>
        <v/>
      </c>
      <c r="B147" s="236">
        <f>IF(_PENDIENTES!$B$141&lt;&gt;"",_PENDIENTES!$A$141,"")</f>
        <v/>
      </c>
      <c r="C147" s="305">
        <f>IF(_PENDIENTES!$B$141&lt;&gt;"",_PENDIENTES!$C$141,"")</f>
        <v/>
      </c>
      <c r="D147" s="241">
        <f>IF(_PENDIENTES!$B$141&lt;&gt;"",_PENDIENTES!$D$141,"")</f>
        <v/>
      </c>
      <c r="E147" s="307">
        <f>IF(_PENDIENTES!$B$141&lt;&gt;"",_PENDIENTES!$E$141,"")</f>
        <v/>
      </c>
      <c r="F147" s="241">
        <f>IF(_PENDIENTES!$B$141&lt;&gt;"",_PENDIENTES!$F$141,"")</f>
        <v/>
      </c>
      <c r="G147" s="239">
        <f>IF(_PENDIENTES!$B$141&lt;&gt;"",_PENDIENTES!$G$141,"")</f>
        <v/>
      </c>
      <c r="H147" s="239">
        <f>IF(_PENDIENTES!$B$141&lt;&gt;"",_PENDIENTES!$H$141,"")</f>
        <v/>
      </c>
      <c r="I147" s="308">
        <f>IF(_PENDIENTES!$B$141&lt;&gt;"",_PENDIENTES!$I$141,"")</f>
        <v/>
      </c>
      <c r="J147" s="239">
        <f>IF(_PENDIENTES!$B$141&lt;&gt;"",_PENDIENTES!$J$141,"")</f>
        <v/>
      </c>
      <c r="K147" s="241">
        <f>IF(_PENDIENTES!$B$141&lt;&gt;"","POR RECOGER","")</f>
        <v/>
      </c>
      <c r="L147" s="241">
        <f>IF(_PENDIENTES!$B$141&lt;&gt;"",_PENDIENTES!$K$141,"")</f>
        <v/>
      </c>
      <c r="M147" s="280">
        <f>IF(_PENDIENTES!$B$141&lt;&gt;"",_PENDIENTES!$B$141,"")</f>
        <v/>
      </c>
      <c r="N147" s="304">
        <f>IF(_PENDIENTES!$B$141&lt;&gt;"",_PENDIENTES!$L$141,"")</f>
        <v/>
      </c>
      <c r="O147" s="284" t="n"/>
      <c r="P147" s="284" t="n"/>
      <c r="Q147" s="284" t="n"/>
      <c r="R147" s="284" t="n"/>
      <c r="S147" s="284" t="n"/>
    </row>
    <row r="148" hidden="1" ht="15.75" customHeight="1" s="195">
      <c r="A148" s="301">
        <f>IF(_PENDIENTES!$B$142&lt;&gt;"",141,"")</f>
        <v/>
      </c>
      <c r="B148" s="242">
        <f>IF(_PENDIENTES!$B$142&lt;&gt;"",_PENDIENTES!$A$142,"")</f>
        <v/>
      </c>
      <c r="C148" s="302">
        <f>IF(_PENDIENTES!$B$142&lt;&gt;"",_PENDIENTES!$C$142,"")</f>
        <v/>
      </c>
      <c r="D148" s="301">
        <f>IF(_PENDIENTES!$B$142&lt;&gt;"",_PENDIENTES!$D$142,"")</f>
        <v/>
      </c>
      <c r="E148" s="306">
        <f>IF(_PENDIENTES!$B$142&lt;&gt;"",_PENDIENTES!$E$142,"")</f>
        <v/>
      </c>
      <c r="F148" s="301">
        <f>IF(_PENDIENTES!$B$142&lt;&gt;"",_PENDIENTES!$F$142,"")</f>
        <v/>
      </c>
      <c r="G148" s="245">
        <f>IF(_PENDIENTES!$B$142&lt;&gt;"",_PENDIENTES!$G$142,"")</f>
        <v/>
      </c>
      <c r="H148" s="245">
        <f>IF(_PENDIENTES!$B$142&lt;&gt;"",_PENDIENTES!$H$142,"")</f>
        <v/>
      </c>
      <c r="I148" s="303">
        <f>IF(_PENDIENTES!$B$142&lt;&gt;"",_PENDIENTES!$I$142,"")</f>
        <v/>
      </c>
      <c r="J148" s="245">
        <f>IF(_PENDIENTES!$B$142&lt;&gt;"",_PENDIENTES!$J$142,"")</f>
        <v/>
      </c>
      <c r="K148" s="301">
        <f>IF(_PENDIENTES!$B$142&lt;&gt;"","POR RECOGER","")</f>
        <v/>
      </c>
      <c r="L148" s="301">
        <f>IF(_PENDIENTES!$B$142&lt;&gt;"",_PENDIENTES!$K$142,"")</f>
        <v/>
      </c>
      <c r="M148" s="280">
        <f>IF(_PENDIENTES!$B$142&lt;&gt;"",_PENDIENTES!$B$142,"")</f>
        <v/>
      </c>
      <c r="N148" s="304">
        <f>IF(_PENDIENTES!$B$142&lt;&gt;"",_PENDIENTES!$L$142,"")</f>
        <v/>
      </c>
      <c r="O148" s="284" t="n"/>
      <c r="P148" s="284" t="n"/>
      <c r="Q148" s="284" t="n"/>
      <c r="R148" s="284" t="n"/>
      <c r="S148" s="284" t="n"/>
    </row>
    <row r="149" hidden="1" ht="15.75" customHeight="1" s="195">
      <c r="A149" s="241">
        <f>IF(_PENDIENTES!$B$143&lt;&gt;"",142,"")</f>
        <v/>
      </c>
      <c r="B149" s="236">
        <f>IF(_PENDIENTES!$B$143&lt;&gt;"",_PENDIENTES!$A$143,"")</f>
        <v/>
      </c>
      <c r="C149" s="305">
        <f>IF(_PENDIENTES!$B$143&lt;&gt;"",_PENDIENTES!$C$143,"")</f>
        <v/>
      </c>
      <c r="D149" s="241">
        <f>IF(_PENDIENTES!$B$143&lt;&gt;"",_PENDIENTES!$D$143,"")</f>
        <v/>
      </c>
      <c r="E149" s="307">
        <f>IF(_PENDIENTES!$B$143&lt;&gt;"",_PENDIENTES!$E$143,"")</f>
        <v/>
      </c>
      <c r="F149" s="241">
        <f>IF(_PENDIENTES!$B$143&lt;&gt;"",_PENDIENTES!$F$143,"")</f>
        <v/>
      </c>
      <c r="G149" s="239">
        <f>IF(_PENDIENTES!$B$143&lt;&gt;"",_PENDIENTES!$G$143,"")</f>
        <v/>
      </c>
      <c r="H149" s="239">
        <f>IF(_PENDIENTES!$B$143&lt;&gt;"",_PENDIENTES!$H$143,"")</f>
        <v/>
      </c>
      <c r="I149" s="308">
        <f>IF(_PENDIENTES!$B$143&lt;&gt;"",_PENDIENTES!$I$143,"")</f>
        <v/>
      </c>
      <c r="J149" s="239">
        <f>IF(_PENDIENTES!$B$143&lt;&gt;"",_PENDIENTES!$J$143,"")</f>
        <v/>
      </c>
      <c r="K149" s="241">
        <f>IF(_PENDIENTES!$B$143&lt;&gt;"","POR RECOGER","")</f>
        <v/>
      </c>
      <c r="L149" s="241">
        <f>IF(_PENDIENTES!$B$143&lt;&gt;"",_PENDIENTES!$K$143,"")</f>
        <v/>
      </c>
      <c r="M149" s="280">
        <f>IF(_PENDIENTES!$B$143&lt;&gt;"",_PENDIENTES!$B$143,"")</f>
        <v/>
      </c>
      <c r="N149" s="304">
        <f>IF(_PENDIENTES!$B$143&lt;&gt;"",_PENDIENTES!$L$143,"")</f>
        <v/>
      </c>
      <c r="O149" s="284" t="n"/>
      <c r="P149" s="284" t="n"/>
      <c r="Q149" s="284" t="n"/>
      <c r="R149" s="284" t="n"/>
      <c r="S149" s="284" t="n"/>
    </row>
    <row r="150" hidden="1" ht="15.75" customHeight="1" s="195">
      <c r="A150" s="301">
        <f>IF(_PENDIENTES!$B$144&lt;&gt;"",143,"")</f>
        <v/>
      </c>
      <c r="B150" s="242">
        <f>IF(_PENDIENTES!$B$144&lt;&gt;"",_PENDIENTES!$A$144,"")</f>
        <v/>
      </c>
      <c r="C150" s="302">
        <f>IF(_PENDIENTES!$B$144&lt;&gt;"",_PENDIENTES!$C$144,"")</f>
        <v/>
      </c>
      <c r="D150" s="301">
        <f>IF(_PENDIENTES!$B$144&lt;&gt;"",_PENDIENTES!$D$144,"")</f>
        <v/>
      </c>
      <c r="E150" s="306">
        <f>IF(_PENDIENTES!$B$144&lt;&gt;"",_PENDIENTES!$E$144,"")</f>
        <v/>
      </c>
      <c r="F150" s="301">
        <f>IF(_PENDIENTES!$B$144&lt;&gt;"",_PENDIENTES!$F$144,"")</f>
        <v/>
      </c>
      <c r="G150" s="245">
        <f>IF(_PENDIENTES!$B$144&lt;&gt;"",_PENDIENTES!$G$144,"")</f>
        <v/>
      </c>
      <c r="H150" s="245">
        <f>IF(_PENDIENTES!$B$144&lt;&gt;"",_PENDIENTES!$H$144,"")</f>
        <v/>
      </c>
      <c r="I150" s="303">
        <f>IF(_PENDIENTES!$B$144&lt;&gt;"",_PENDIENTES!$I$144,"")</f>
        <v/>
      </c>
      <c r="J150" s="245">
        <f>IF(_PENDIENTES!$B$144&lt;&gt;"",_PENDIENTES!$J$144,"")</f>
        <v/>
      </c>
      <c r="K150" s="301">
        <f>IF(_PENDIENTES!$B$144&lt;&gt;"","POR RECOGER","")</f>
        <v/>
      </c>
      <c r="L150" s="301">
        <f>IF(_PENDIENTES!$B$144&lt;&gt;"",_PENDIENTES!$K$144,"")</f>
        <v/>
      </c>
      <c r="M150" s="280">
        <f>IF(_PENDIENTES!$B$144&lt;&gt;"",_PENDIENTES!$B$144,"")</f>
        <v/>
      </c>
      <c r="N150" s="304">
        <f>IF(_PENDIENTES!$B$144&lt;&gt;"",_PENDIENTES!$L$144,"")</f>
        <v/>
      </c>
      <c r="O150" s="284" t="n"/>
      <c r="P150" s="284" t="n"/>
      <c r="Q150" s="284" t="n"/>
      <c r="R150" s="284" t="n"/>
      <c r="S150" s="284" t="n"/>
    </row>
    <row r="151" hidden="1" ht="15.75" customHeight="1" s="195">
      <c r="A151" s="241">
        <f>IF(_PENDIENTES!$B$145&lt;&gt;"",144,"")</f>
        <v/>
      </c>
      <c r="B151" s="236">
        <f>IF(_PENDIENTES!$B$145&lt;&gt;"",_PENDIENTES!$A$145,"")</f>
        <v/>
      </c>
      <c r="C151" s="305">
        <f>IF(_PENDIENTES!$B$145&lt;&gt;"",_PENDIENTES!$C$145,"")</f>
        <v/>
      </c>
      <c r="D151" s="241">
        <f>IF(_PENDIENTES!$B$145&lt;&gt;"",_PENDIENTES!$D$145,"")</f>
        <v/>
      </c>
      <c r="E151" s="307">
        <f>IF(_PENDIENTES!$B$145&lt;&gt;"",_PENDIENTES!$E$145,"")</f>
        <v/>
      </c>
      <c r="F151" s="241">
        <f>IF(_PENDIENTES!$B$145&lt;&gt;"",_PENDIENTES!$F$145,"")</f>
        <v/>
      </c>
      <c r="G151" s="239">
        <f>IF(_PENDIENTES!$B$145&lt;&gt;"",_PENDIENTES!$G$145,"")</f>
        <v/>
      </c>
      <c r="H151" s="239">
        <f>IF(_PENDIENTES!$B$145&lt;&gt;"",_PENDIENTES!$H$145,"")</f>
        <v/>
      </c>
      <c r="I151" s="308">
        <f>IF(_PENDIENTES!$B$145&lt;&gt;"",_PENDIENTES!$I$145,"")</f>
        <v/>
      </c>
      <c r="J151" s="239">
        <f>IF(_PENDIENTES!$B$145&lt;&gt;"",_PENDIENTES!$J$145,"")</f>
        <v/>
      </c>
      <c r="K151" s="241">
        <f>IF(_PENDIENTES!$B$145&lt;&gt;"","POR RECOGER","")</f>
        <v/>
      </c>
      <c r="L151" s="241">
        <f>IF(_PENDIENTES!$B$145&lt;&gt;"",_PENDIENTES!$K$145,"")</f>
        <v/>
      </c>
      <c r="M151" s="280">
        <f>IF(_PENDIENTES!$B$145&lt;&gt;"",_PENDIENTES!$B$145,"")</f>
        <v/>
      </c>
      <c r="N151" s="304">
        <f>IF(_PENDIENTES!$B$145&lt;&gt;"",_PENDIENTES!$L$145,"")</f>
        <v/>
      </c>
      <c r="O151" s="284" t="n"/>
      <c r="P151" s="284" t="n"/>
      <c r="Q151" s="284" t="n"/>
      <c r="R151" s="284" t="n"/>
      <c r="S151" s="284" t="n"/>
    </row>
    <row r="152" hidden="1" ht="15.75" customHeight="1" s="195">
      <c r="A152" s="301">
        <f>IF(_PENDIENTES!$B$146&lt;&gt;"",145,"")</f>
        <v/>
      </c>
      <c r="B152" s="242">
        <f>IF(_PENDIENTES!$B$146&lt;&gt;"",_PENDIENTES!$A$146,"")</f>
        <v/>
      </c>
      <c r="C152" s="302">
        <f>IF(_PENDIENTES!$B$146&lt;&gt;"",_PENDIENTES!$C$146,"")</f>
        <v/>
      </c>
      <c r="D152" s="301">
        <f>IF(_PENDIENTES!$B$146&lt;&gt;"",_PENDIENTES!$D$146,"")</f>
        <v/>
      </c>
      <c r="E152" s="306">
        <f>IF(_PENDIENTES!$B$146&lt;&gt;"",_PENDIENTES!$E$146,"")</f>
        <v/>
      </c>
      <c r="F152" s="301">
        <f>IF(_PENDIENTES!$B$146&lt;&gt;"",_PENDIENTES!$F$146,"")</f>
        <v/>
      </c>
      <c r="G152" s="245">
        <f>IF(_PENDIENTES!$B$146&lt;&gt;"",_PENDIENTES!$G$146,"")</f>
        <v/>
      </c>
      <c r="H152" s="245">
        <f>IF(_PENDIENTES!$B$146&lt;&gt;"",_PENDIENTES!$H$146,"")</f>
        <v/>
      </c>
      <c r="I152" s="303">
        <f>IF(_PENDIENTES!$B$146&lt;&gt;"",_PENDIENTES!$I$146,"")</f>
        <v/>
      </c>
      <c r="J152" s="245">
        <f>IF(_PENDIENTES!$B$146&lt;&gt;"",_PENDIENTES!$J$146,"")</f>
        <v/>
      </c>
      <c r="K152" s="301">
        <f>IF(_PENDIENTES!$B$146&lt;&gt;"","POR RECOGER","")</f>
        <v/>
      </c>
      <c r="L152" s="301">
        <f>IF(_PENDIENTES!$B$146&lt;&gt;"",_PENDIENTES!$K$146,"")</f>
        <v/>
      </c>
      <c r="M152" s="280">
        <f>IF(_PENDIENTES!$B$146&lt;&gt;"",_PENDIENTES!$B$146,"")</f>
        <v/>
      </c>
      <c r="N152" s="304">
        <f>IF(_PENDIENTES!$B$146&lt;&gt;"",_PENDIENTES!$L$146,"")</f>
        <v/>
      </c>
      <c r="O152" s="284" t="n"/>
      <c r="P152" s="284" t="n"/>
      <c r="Q152" s="284" t="n"/>
      <c r="R152" s="284" t="n"/>
      <c r="S152" s="284" t="n"/>
    </row>
    <row r="153" hidden="1" ht="15.75" customHeight="1" s="195">
      <c r="A153" s="241">
        <f>IF(_PENDIENTES!$B$147&lt;&gt;"",146,"")</f>
        <v/>
      </c>
      <c r="B153" s="236">
        <f>IF(_PENDIENTES!$B$147&lt;&gt;"",_PENDIENTES!$A$147,"")</f>
        <v/>
      </c>
      <c r="C153" s="305">
        <f>IF(_PENDIENTES!$B$147&lt;&gt;"",_PENDIENTES!$C$147,"")</f>
        <v/>
      </c>
      <c r="D153" s="241">
        <f>IF(_PENDIENTES!$B$147&lt;&gt;"",_PENDIENTES!$D$147,"")</f>
        <v/>
      </c>
      <c r="E153" s="307">
        <f>IF(_PENDIENTES!$B$147&lt;&gt;"",_PENDIENTES!$E$147,"")</f>
        <v/>
      </c>
      <c r="F153" s="241">
        <f>IF(_PENDIENTES!$B$147&lt;&gt;"",_PENDIENTES!$F$147,"")</f>
        <v/>
      </c>
      <c r="G153" s="239">
        <f>IF(_PENDIENTES!$B$147&lt;&gt;"",_PENDIENTES!$G$147,"")</f>
        <v/>
      </c>
      <c r="H153" s="239">
        <f>IF(_PENDIENTES!$B$147&lt;&gt;"",_PENDIENTES!$H$147,"")</f>
        <v/>
      </c>
      <c r="I153" s="308">
        <f>IF(_PENDIENTES!$B$147&lt;&gt;"",_PENDIENTES!$I$147,"")</f>
        <v/>
      </c>
      <c r="J153" s="239">
        <f>IF(_PENDIENTES!$B$147&lt;&gt;"",_PENDIENTES!$J$147,"")</f>
        <v/>
      </c>
      <c r="K153" s="241">
        <f>IF(_PENDIENTES!$B$147&lt;&gt;"","POR RECOGER","")</f>
        <v/>
      </c>
      <c r="L153" s="241">
        <f>IF(_PENDIENTES!$B$147&lt;&gt;"",_PENDIENTES!$K$147,"")</f>
        <v/>
      </c>
      <c r="M153" s="280">
        <f>IF(_PENDIENTES!$B$147&lt;&gt;"",_PENDIENTES!$B$147,"")</f>
        <v/>
      </c>
      <c r="N153" s="304">
        <f>IF(_PENDIENTES!$B$147&lt;&gt;"",_PENDIENTES!$L$147,"")</f>
        <v/>
      </c>
      <c r="O153" s="284" t="n"/>
      <c r="P153" s="284" t="n"/>
      <c r="Q153" s="284" t="n"/>
      <c r="R153" s="284" t="n"/>
      <c r="S153" s="284" t="n"/>
    </row>
    <row r="154" ht="15.75" customHeight="1" s="195">
      <c r="A154" s="301">
        <f>IF(_PENDIENTES!$B$148&lt;&gt;"",147,"")</f>
        <v/>
      </c>
      <c r="B154" s="242">
        <f>IF(_PENDIENTES!$B$148&lt;&gt;"",_PENDIENTES!$A$148,"")</f>
        <v/>
      </c>
      <c r="C154" s="302">
        <f>IF(_PENDIENTES!$B$148&lt;&gt;"",_PENDIENTES!$C$148,"")</f>
        <v/>
      </c>
      <c r="D154" s="301">
        <f>IF(_PENDIENTES!$B$148&lt;&gt;"",_PENDIENTES!$D$148,"")</f>
        <v/>
      </c>
      <c r="E154" s="306">
        <f>IF(_PENDIENTES!$B$148&lt;&gt;"",_PENDIENTES!$E$148,"")</f>
        <v/>
      </c>
      <c r="F154" s="301">
        <f>IF(_PENDIENTES!$B$148&lt;&gt;"",_PENDIENTES!$F$148,"")</f>
        <v/>
      </c>
      <c r="G154" s="245">
        <f>IF(_PENDIENTES!$B$148&lt;&gt;"",_PENDIENTES!$G$148,"")</f>
        <v/>
      </c>
      <c r="H154" s="245">
        <f>IF(_PENDIENTES!$B$148&lt;&gt;"",_PENDIENTES!$H$148,"")</f>
        <v/>
      </c>
      <c r="I154" s="303">
        <f>IF(_PENDIENTES!$B$148&lt;&gt;"",_PENDIENTES!$I$148,"")</f>
        <v/>
      </c>
      <c r="J154" s="245">
        <f>IF(_PENDIENTES!$B$148&lt;&gt;"",_PENDIENTES!$J$148,"")</f>
        <v/>
      </c>
      <c r="K154" s="301">
        <f>IF(_PENDIENTES!$B$148&lt;&gt;"","POR RECOGER","")</f>
        <v/>
      </c>
      <c r="L154" s="301">
        <f>IF(_PENDIENTES!$B$148&lt;&gt;"",_PENDIENTES!$K$148,"")</f>
        <v/>
      </c>
      <c r="M154" s="280">
        <f>IF(_PENDIENTES!$B$148&lt;&gt;"",_PENDIENTES!$B$148,"")</f>
        <v/>
      </c>
      <c r="N154" s="304">
        <f>IF(_PENDIENTES!$B$148&lt;&gt;"",_PENDIENTES!$L$148,"")</f>
        <v/>
      </c>
      <c r="O154" s="284" t="n"/>
      <c r="P154" s="284" t="n"/>
      <c r="Q154" s="284" t="n"/>
      <c r="R154" s="284" t="n"/>
      <c r="S154" s="284" t="n"/>
    </row>
    <row r="155" hidden="1" ht="15.75" customHeight="1" s="195">
      <c r="A155" s="241">
        <f>IF(_PENDIENTES!$B$149&lt;&gt;"",148,"")</f>
        <v/>
      </c>
      <c r="B155" s="236">
        <f>IF(_PENDIENTES!$B$149&lt;&gt;"",_PENDIENTES!$A$149,"")</f>
        <v/>
      </c>
      <c r="C155" s="305">
        <f>IF(_PENDIENTES!$B$149&lt;&gt;"",_PENDIENTES!$C$149,"")</f>
        <v/>
      </c>
      <c r="D155" s="241">
        <f>IF(_PENDIENTES!$B$149&lt;&gt;"",_PENDIENTES!$D$149,"")</f>
        <v/>
      </c>
      <c r="E155" s="307">
        <f>IF(_PENDIENTES!$B$149&lt;&gt;"",_PENDIENTES!$E$149,"")</f>
        <v/>
      </c>
      <c r="F155" s="241">
        <f>IF(_PENDIENTES!$B$149&lt;&gt;"",_PENDIENTES!$F$149,"")</f>
        <v/>
      </c>
      <c r="G155" s="239">
        <f>IF(_PENDIENTES!$B$149&lt;&gt;"",_PENDIENTES!$G$149,"")</f>
        <v/>
      </c>
      <c r="H155" s="239">
        <f>IF(_PENDIENTES!$B$149&lt;&gt;"",_PENDIENTES!$H$149,"")</f>
        <v/>
      </c>
      <c r="I155" s="308">
        <f>IF(_PENDIENTES!$B$149&lt;&gt;"",_PENDIENTES!$I$149,"")</f>
        <v/>
      </c>
      <c r="J155" s="239">
        <f>IF(_PENDIENTES!$B$149&lt;&gt;"",_PENDIENTES!$J$149,"")</f>
        <v/>
      </c>
      <c r="K155" s="241">
        <f>IF(_PENDIENTES!$B$149&lt;&gt;"","POR RECOGER","")</f>
        <v/>
      </c>
      <c r="L155" s="241">
        <f>IF(_PENDIENTES!$B$149&lt;&gt;"",_PENDIENTES!$K$149,"")</f>
        <v/>
      </c>
      <c r="M155" s="280">
        <f>IF(_PENDIENTES!$B$149&lt;&gt;"",_PENDIENTES!$B$149,"")</f>
        <v/>
      </c>
      <c r="N155" s="304">
        <f>IF(_PENDIENTES!$B$149&lt;&gt;"",_PENDIENTES!$L$149,"")</f>
        <v/>
      </c>
      <c r="O155" s="284" t="n"/>
      <c r="P155" s="284" t="n"/>
      <c r="Q155" s="284" t="n"/>
      <c r="R155" s="284" t="n"/>
      <c r="S155" s="284" t="n"/>
    </row>
    <row r="156" hidden="1" ht="15.75" customHeight="1" s="195">
      <c r="A156" s="301">
        <f>IF(_PENDIENTES!$B$150&lt;&gt;"",149,"")</f>
        <v/>
      </c>
      <c r="B156" s="242">
        <f>IF(_PENDIENTES!$B$150&lt;&gt;"",_PENDIENTES!$A$150,"")</f>
        <v/>
      </c>
      <c r="C156" s="302">
        <f>IF(_PENDIENTES!$B$150&lt;&gt;"",_PENDIENTES!$C$150,"")</f>
        <v/>
      </c>
      <c r="D156" s="301">
        <f>IF(_PENDIENTES!$B$150&lt;&gt;"",_PENDIENTES!$D$150,"")</f>
        <v/>
      </c>
      <c r="E156" s="306">
        <f>IF(_PENDIENTES!$B$150&lt;&gt;"",_PENDIENTES!$E$150,"")</f>
        <v/>
      </c>
      <c r="F156" s="301">
        <f>IF(_PENDIENTES!$B$150&lt;&gt;"",_PENDIENTES!$F$150,"")</f>
        <v/>
      </c>
      <c r="G156" s="245">
        <f>IF(_PENDIENTES!$B$150&lt;&gt;"",_PENDIENTES!$G$150,"")</f>
        <v/>
      </c>
      <c r="H156" s="245">
        <f>IF(_PENDIENTES!$B$150&lt;&gt;"",_PENDIENTES!$H$150,"")</f>
        <v/>
      </c>
      <c r="I156" s="303">
        <f>IF(_PENDIENTES!$B$150&lt;&gt;"",_PENDIENTES!$I$150,"")</f>
        <v/>
      </c>
      <c r="J156" s="245">
        <f>IF(_PENDIENTES!$B$150&lt;&gt;"",_PENDIENTES!$J$150,"")</f>
        <v/>
      </c>
      <c r="K156" s="301">
        <f>IF(_PENDIENTES!$B$150&lt;&gt;"","POR RECOGER","")</f>
        <v/>
      </c>
      <c r="L156" s="301">
        <f>IF(_PENDIENTES!$B$150&lt;&gt;"",_PENDIENTES!$K$150,"")</f>
        <v/>
      </c>
      <c r="M156" s="280">
        <f>IF(_PENDIENTES!$B$150&lt;&gt;"",_PENDIENTES!$B$150,"")</f>
        <v/>
      </c>
      <c r="N156" s="304">
        <f>IF(_PENDIENTES!$B$150&lt;&gt;"",_PENDIENTES!$L$150,"")</f>
        <v/>
      </c>
      <c r="O156" s="284" t="n"/>
      <c r="P156" s="284" t="n"/>
      <c r="Q156" s="284" t="n"/>
      <c r="R156" s="284" t="n"/>
      <c r="S156" s="284" t="n"/>
    </row>
    <row r="157" hidden="1" ht="15.75" customHeight="1" s="195">
      <c r="A157" s="241">
        <f>IF(_PENDIENTES!$B$151&lt;&gt;"",150,"")</f>
        <v/>
      </c>
      <c r="B157" s="236">
        <f>IF(_PENDIENTES!$B$151&lt;&gt;"",_PENDIENTES!$A$151,"")</f>
        <v/>
      </c>
      <c r="C157" s="305">
        <f>IF(_PENDIENTES!$B$151&lt;&gt;"",_PENDIENTES!$C$151,"")</f>
        <v/>
      </c>
      <c r="D157" s="241">
        <f>IF(_PENDIENTES!$B$151&lt;&gt;"",_PENDIENTES!$D$151,"")</f>
        <v/>
      </c>
      <c r="E157" s="307">
        <f>IF(_PENDIENTES!$B$151&lt;&gt;"",_PENDIENTES!$E$151,"")</f>
        <v/>
      </c>
      <c r="F157" s="241">
        <f>IF(_PENDIENTES!$B$151&lt;&gt;"",_PENDIENTES!$F$151,"")</f>
        <v/>
      </c>
      <c r="G157" s="239">
        <f>IF(_PENDIENTES!$B$151&lt;&gt;"",_PENDIENTES!$G$151,"")</f>
        <v/>
      </c>
      <c r="H157" s="239">
        <f>IF(_PENDIENTES!$B$151&lt;&gt;"",_PENDIENTES!$H$151,"")</f>
        <v/>
      </c>
      <c r="I157" s="308">
        <f>IF(_PENDIENTES!$B$151&lt;&gt;"",_PENDIENTES!$I$151,"")</f>
        <v/>
      </c>
      <c r="J157" s="239">
        <f>IF(_PENDIENTES!$B$151&lt;&gt;"",_PENDIENTES!$J$151,"")</f>
        <v/>
      </c>
      <c r="K157" s="241">
        <f>IF(_PENDIENTES!$B$151&lt;&gt;"","POR RECOGER","")</f>
        <v/>
      </c>
      <c r="L157" s="241">
        <f>IF(_PENDIENTES!$B$151&lt;&gt;"",_PENDIENTES!$K$151,"")</f>
        <v/>
      </c>
      <c r="M157" s="280">
        <f>IF(_PENDIENTES!$B$151&lt;&gt;"",_PENDIENTES!$B$151,"")</f>
        <v/>
      </c>
      <c r="N157" s="304">
        <f>IF(_PENDIENTES!$B$151&lt;&gt;"",_PENDIENTES!$L$151,"")</f>
        <v/>
      </c>
      <c r="O157" s="284" t="n"/>
      <c r="P157" s="284" t="n"/>
      <c r="Q157" s="284" t="n"/>
      <c r="R157" s="284" t="n"/>
      <c r="S157" s="284" t="n"/>
    </row>
    <row r="158" hidden="1" ht="15.75" customHeight="1" s="195">
      <c r="A158" s="301">
        <f>IF(_PENDIENTES!$B$152&lt;&gt;"",151,"")</f>
        <v/>
      </c>
      <c r="B158" s="242">
        <f>IF(_PENDIENTES!$B$152&lt;&gt;"",_PENDIENTES!$A$152,"")</f>
        <v/>
      </c>
      <c r="C158" s="302">
        <f>IF(_PENDIENTES!$B$152&lt;&gt;"",_PENDIENTES!$C$152,"")</f>
        <v/>
      </c>
      <c r="D158" s="301">
        <f>IF(_PENDIENTES!$B$152&lt;&gt;"",_PENDIENTES!$D$152,"")</f>
        <v/>
      </c>
      <c r="E158" s="306">
        <f>IF(_PENDIENTES!$B$152&lt;&gt;"",_PENDIENTES!$E$152,"")</f>
        <v/>
      </c>
      <c r="F158" s="301">
        <f>IF(_PENDIENTES!$B$152&lt;&gt;"",_PENDIENTES!$F$152,"")</f>
        <v/>
      </c>
      <c r="G158" s="245">
        <f>IF(_PENDIENTES!$B$152&lt;&gt;"",_PENDIENTES!$G$152,"")</f>
        <v/>
      </c>
      <c r="H158" s="245">
        <f>IF(_PENDIENTES!$B$152&lt;&gt;"",_PENDIENTES!$H$152,"")</f>
        <v/>
      </c>
      <c r="I158" s="303">
        <f>IF(_PENDIENTES!$B$152&lt;&gt;"",_PENDIENTES!$I$152,"")</f>
        <v/>
      </c>
      <c r="J158" s="245">
        <f>IF(_PENDIENTES!$B$152&lt;&gt;"",_PENDIENTES!$J$152,"")</f>
        <v/>
      </c>
      <c r="K158" s="301">
        <f>IF(_PENDIENTES!$B$152&lt;&gt;"","POR RECOGER","")</f>
        <v/>
      </c>
      <c r="L158" s="301">
        <f>IF(_PENDIENTES!$B$152&lt;&gt;"",_PENDIENTES!$K$152,"")</f>
        <v/>
      </c>
      <c r="M158" s="280">
        <f>IF(_PENDIENTES!$B$152&lt;&gt;"",_PENDIENTES!$B$152,"")</f>
        <v/>
      </c>
      <c r="N158" s="304">
        <f>IF(_PENDIENTES!$B$152&lt;&gt;"",_PENDIENTES!$L$152,"")</f>
        <v/>
      </c>
      <c r="O158" s="284" t="n"/>
      <c r="P158" s="284" t="n"/>
      <c r="Q158" s="284" t="n"/>
      <c r="R158" s="284" t="n"/>
      <c r="S158" s="284" t="n"/>
    </row>
    <row r="159" hidden="1" ht="15.75" customHeight="1" s="195">
      <c r="A159" s="241">
        <f>IF(_PENDIENTES!$B$153&lt;&gt;"",152,"")</f>
        <v/>
      </c>
      <c r="B159" s="236">
        <f>IF(_PENDIENTES!$B$153&lt;&gt;"",_PENDIENTES!$A$153,"")</f>
        <v/>
      </c>
      <c r="C159" s="305">
        <f>IF(_PENDIENTES!$B$153&lt;&gt;"",_PENDIENTES!$C$153,"")</f>
        <v/>
      </c>
      <c r="D159" s="241">
        <f>IF(_PENDIENTES!$B$153&lt;&gt;"",_PENDIENTES!$D$153,"")</f>
        <v/>
      </c>
      <c r="E159" s="307">
        <f>IF(_PENDIENTES!$B$153&lt;&gt;"",_PENDIENTES!$E$153,"")</f>
        <v/>
      </c>
      <c r="F159" s="241">
        <f>IF(_PENDIENTES!$B$153&lt;&gt;"",_PENDIENTES!$F$153,"")</f>
        <v/>
      </c>
      <c r="G159" s="239">
        <f>IF(_PENDIENTES!$B$153&lt;&gt;"",_PENDIENTES!$G$153,"")</f>
        <v/>
      </c>
      <c r="H159" s="239">
        <f>IF(_PENDIENTES!$B$153&lt;&gt;"",_PENDIENTES!$H$153,"")</f>
        <v/>
      </c>
      <c r="I159" s="308">
        <f>IF(_PENDIENTES!$B$153&lt;&gt;"",_PENDIENTES!$I$153,"")</f>
        <v/>
      </c>
      <c r="J159" s="239">
        <f>IF(_PENDIENTES!$B$153&lt;&gt;"",_PENDIENTES!$J$153,"")</f>
        <v/>
      </c>
      <c r="K159" s="241">
        <f>IF(_PENDIENTES!$B$153&lt;&gt;"","POR RECOGER","")</f>
        <v/>
      </c>
      <c r="L159" s="241">
        <f>IF(_PENDIENTES!$B$153&lt;&gt;"",_PENDIENTES!$K$153,"")</f>
        <v/>
      </c>
      <c r="M159" s="280">
        <f>IF(_PENDIENTES!$B$153&lt;&gt;"",_PENDIENTES!$B$153,"")</f>
        <v/>
      </c>
      <c r="N159" s="304">
        <f>IF(_PENDIENTES!$B$153&lt;&gt;"",_PENDIENTES!$L$153,"")</f>
        <v/>
      </c>
      <c r="O159" s="284" t="n"/>
      <c r="P159" s="284" t="n"/>
      <c r="Q159" s="284" t="n"/>
      <c r="R159" s="284" t="n"/>
      <c r="S159" s="284" t="n"/>
    </row>
    <row r="160" hidden="1" ht="15.75" customHeight="1" s="195">
      <c r="A160" s="301">
        <f>IF(_PENDIENTES!$B$154&lt;&gt;"",153,"")</f>
        <v/>
      </c>
      <c r="B160" s="242">
        <f>IF(_PENDIENTES!$B$154&lt;&gt;"",_PENDIENTES!$A$154,"")</f>
        <v/>
      </c>
      <c r="C160" s="302">
        <f>IF(_PENDIENTES!$B$154&lt;&gt;"",_PENDIENTES!$C$154,"")</f>
        <v/>
      </c>
      <c r="D160" s="301">
        <f>IF(_PENDIENTES!$B$154&lt;&gt;"",_PENDIENTES!$D$154,"")</f>
        <v/>
      </c>
      <c r="E160" s="306">
        <f>IF(_PENDIENTES!$B$154&lt;&gt;"",_PENDIENTES!$E$154,"")</f>
        <v/>
      </c>
      <c r="F160" s="301">
        <f>IF(_PENDIENTES!$B$154&lt;&gt;"",_PENDIENTES!$F$154,"")</f>
        <v/>
      </c>
      <c r="G160" s="245">
        <f>IF(_PENDIENTES!$B$154&lt;&gt;"",_PENDIENTES!$G$154,"")</f>
        <v/>
      </c>
      <c r="H160" s="245">
        <f>IF(_PENDIENTES!$B$154&lt;&gt;"",_PENDIENTES!$H$154,"")</f>
        <v/>
      </c>
      <c r="I160" s="303">
        <f>IF(_PENDIENTES!$B$154&lt;&gt;"",_PENDIENTES!$I$154,"")</f>
        <v/>
      </c>
      <c r="J160" s="245">
        <f>IF(_PENDIENTES!$B$154&lt;&gt;"",_PENDIENTES!$J$154,"")</f>
        <v/>
      </c>
      <c r="K160" s="301">
        <f>IF(_PENDIENTES!$B$154&lt;&gt;"","POR RECOGER","")</f>
        <v/>
      </c>
      <c r="L160" s="301">
        <f>IF(_PENDIENTES!$B$154&lt;&gt;"",_PENDIENTES!$K$154,"")</f>
        <v/>
      </c>
      <c r="M160" s="280">
        <f>IF(_PENDIENTES!$B$154&lt;&gt;"",_PENDIENTES!$B$154,"")</f>
        <v/>
      </c>
      <c r="N160" s="304">
        <f>IF(_PENDIENTES!$B$154&lt;&gt;"",_PENDIENTES!$L$154,"")</f>
        <v/>
      </c>
      <c r="O160" s="284" t="n"/>
      <c r="P160" s="284" t="n"/>
      <c r="Q160" s="284" t="n"/>
      <c r="R160" s="284" t="n"/>
      <c r="S160" s="284" t="n"/>
    </row>
    <row r="161" hidden="1" ht="15.75" customHeight="1" s="195">
      <c r="A161" s="241">
        <f>IF(_PENDIENTES!$B$155&lt;&gt;"",154,"")</f>
        <v/>
      </c>
      <c r="B161" s="236">
        <f>IF(_PENDIENTES!$B$155&lt;&gt;"",_PENDIENTES!$A$155,"")</f>
        <v/>
      </c>
      <c r="C161" s="305">
        <f>IF(_PENDIENTES!$B$155&lt;&gt;"",_PENDIENTES!$C$155,"")</f>
        <v/>
      </c>
      <c r="D161" s="241">
        <f>IF(_PENDIENTES!$B$155&lt;&gt;"",_PENDIENTES!$D$155,"")</f>
        <v/>
      </c>
      <c r="E161" s="307">
        <f>IF(_PENDIENTES!$B$155&lt;&gt;"",_PENDIENTES!$E$155,"")</f>
        <v/>
      </c>
      <c r="F161" s="241">
        <f>IF(_PENDIENTES!$B$155&lt;&gt;"",_PENDIENTES!$F$155,"")</f>
        <v/>
      </c>
      <c r="G161" s="239">
        <f>IF(_PENDIENTES!$B$155&lt;&gt;"",_PENDIENTES!$G$155,"")</f>
        <v/>
      </c>
      <c r="H161" s="239">
        <f>IF(_PENDIENTES!$B$155&lt;&gt;"",_PENDIENTES!$H$155,"")</f>
        <v/>
      </c>
      <c r="I161" s="308">
        <f>IF(_PENDIENTES!$B$155&lt;&gt;"",_PENDIENTES!$I$155,"")</f>
        <v/>
      </c>
      <c r="J161" s="239">
        <f>IF(_PENDIENTES!$B$155&lt;&gt;"",_PENDIENTES!$J$155,"")</f>
        <v/>
      </c>
      <c r="K161" s="241">
        <f>IF(_PENDIENTES!$B$155&lt;&gt;"","POR RECOGER","")</f>
        <v/>
      </c>
      <c r="L161" s="241">
        <f>IF(_PENDIENTES!$B$155&lt;&gt;"",_PENDIENTES!$K$155,"")</f>
        <v/>
      </c>
      <c r="M161" s="280">
        <f>IF(_PENDIENTES!$B$155&lt;&gt;"",_PENDIENTES!$B$155,"")</f>
        <v/>
      </c>
      <c r="N161" s="304">
        <f>IF(_PENDIENTES!$B$155&lt;&gt;"",_PENDIENTES!$L$155,"")</f>
        <v/>
      </c>
      <c r="O161" s="284" t="n"/>
      <c r="P161" s="284" t="n"/>
      <c r="Q161" s="284" t="n"/>
      <c r="R161" s="284" t="n"/>
      <c r="S161" s="284" t="n"/>
    </row>
    <row r="162" hidden="1" ht="15.75" customHeight="1" s="195">
      <c r="A162" s="301">
        <f>IF(_PENDIENTES!$B$156&lt;&gt;"",155,"")</f>
        <v/>
      </c>
      <c r="B162" s="242">
        <f>IF(_PENDIENTES!$B$156&lt;&gt;"",_PENDIENTES!$A$156,"")</f>
        <v/>
      </c>
      <c r="C162" s="302">
        <f>IF(_PENDIENTES!$B$156&lt;&gt;"",_PENDIENTES!$C$156,"")</f>
        <v/>
      </c>
      <c r="D162" s="301">
        <f>IF(_PENDIENTES!$B$156&lt;&gt;"",_PENDIENTES!$D$156,"")</f>
        <v/>
      </c>
      <c r="E162" s="306">
        <f>IF(_PENDIENTES!$B$156&lt;&gt;"",_PENDIENTES!$E$156,"")</f>
        <v/>
      </c>
      <c r="F162" s="301">
        <f>IF(_PENDIENTES!$B$156&lt;&gt;"",_PENDIENTES!$F$156,"")</f>
        <v/>
      </c>
      <c r="G162" s="245">
        <f>IF(_PENDIENTES!$B$156&lt;&gt;"",_PENDIENTES!$G$156,"")</f>
        <v/>
      </c>
      <c r="H162" s="245">
        <f>IF(_PENDIENTES!$B$156&lt;&gt;"",_PENDIENTES!$H$156,"")</f>
        <v/>
      </c>
      <c r="I162" s="303">
        <f>IF(_PENDIENTES!$B$156&lt;&gt;"",_PENDIENTES!$I$156,"")</f>
        <v/>
      </c>
      <c r="J162" s="245">
        <f>IF(_PENDIENTES!$B$156&lt;&gt;"",_PENDIENTES!$J$156,"")</f>
        <v/>
      </c>
      <c r="K162" s="301">
        <f>IF(_PENDIENTES!$B$156&lt;&gt;"","POR RECOGER","")</f>
        <v/>
      </c>
      <c r="L162" s="301">
        <f>IF(_PENDIENTES!$B$156&lt;&gt;"",_PENDIENTES!$K$156,"")</f>
        <v/>
      </c>
      <c r="M162" s="280">
        <f>IF(_PENDIENTES!$B$156&lt;&gt;"",_PENDIENTES!$B$156,"")</f>
        <v/>
      </c>
      <c r="N162" s="304">
        <f>IF(_PENDIENTES!$B$156&lt;&gt;"",_PENDIENTES!$L$156,"")</f>
        <v/>
      </c>
      <c r="O162" s="284" t="n"/>
      <c r="P162" s="284" t="n"/>
      <c r="Q162" s="284" t="n"/>
      <c r="R162" s="284" t="n"/>
      <c r="S162" s="284" t="n"/>
    </row>
    <row r="163" hidden="1" ht="15.75" customHeight="1" s="195">
      <c r="A163" s="241">
        <f>IF(_PENDIENTES!$B$157&lt;&gt;"",156,"")</f>
        <v/>
      </c>
      <c r="B163" s="236">
        <f>IF(_PENDIENTES!$B$157&lt;&gt;"",_PENDIENTES!$A$157,"")</f>
        <v/>
      </c>
      <c r="C163" s="305">
        <f>IF(_PENDIENTES!$B$157&lt;&gt;"",_PENDIENTES!$C$157,"")</f>
        <v/>
      </c>
      <c r="D163" s="241">
        <f>IF(_PENDIENTES!$B$157&lt;&gt;"",_PENDIENTES!$D$157,"")</f>
        <v/>
      </c>
      <c r="E163" s="307">
        <f>IF(_PENDIENTES!$B$157&lt;&gt;"",_PENDIENTES!$E$157,"")</f>
        <v/>
      </c>
      <c r="F163" s="241">
        <f>IF(_PENDIENTES!$B$157&lt;&gt;"",_PENDIENTES!$F$157,"")</f>
        <v/>
      </c>
      <c r="G163" s="239">
        <f>IF(_PENDIENTES!$B$157&lt;&gt;"",_PENDIENTES!$G$157,"")</f>
        <v/>
      </c>
      <c r="H163" s="239">
        <f>IF(_PENDIENTES!$B$157&lt;&gt;"",_PENDIENTES!$H$157,"")</f>
        <v/>
      </c>
      <c r="I163" s="308">
        <f>IF(_PENDIENTES!$B$157&lt;&gt;"",_PENDIENTES!$I$157,"")</f>
        <v/>
      </c>
      <c r="J163" s="239">
        <f>IF(_PENDIENTES!$B$157&lt;&gt;"",_PENDIENTES!$J$157,"")</f>
        <v/>
      </c>
      <c r="K163" s="241">
        <f>IF(_PENDIENTES!$B$157&lt;&gt;"","POR RECOGER","")</f>
        <v/>
      </c>
      <c r="L163" s="241">
        <f>IF(_PENDIENTES!$B$157&lt;&gt;"",_PENDIENTES!$K$157,"")</f>
        <v/>
      </c>
      <c r="M163" s="280">
        <f>IF(_PENDIENTES!$B$157&lt;&gt;"",_PENDIENTES!$B$157,"")</f>
        <v/>
      </c>
      <c r="N163" s="304">
        <f>IF(_PENDIENTES!$B$157&lt;&gt;"",_PENDIENTES!$L$157,"")</f>
        <v/>
      </c>
      <c r="O163" s="284" t="n"/>
      <c r="P163" s="284" t="n"/>
      <c r="Q163" s="284" t="n"/>
      <c r="R163" s="284" t="n"/>
      <c r="S163" s="284" t="n"/>
    </row>
    <row r="164" hidden="1" ht="15.75" customHeight="1" s="195">
      <c r="A164" s="301">
        <f>IF(_PENDIENTES!$B$158&lt;&gt;"",157,"")</f>
        <v/>
      </c>
      <c r="B164" s="242">
        <f>IF(_PENDIENTES!$B$158&lt;&gt;"",_PENDIENTES!$A$158,"")</f>
        <v/>
      </c>
      <c r="C164" s="302">
        <f>IF(_PENDIENTES!$B$158&lt;&gt;"",_PENDIENTES!$C$158,"")</f>
        <v/>
      </c>
      <c r="D164" s="301">
        <f>IF(_PENDIENTES!$B$158&lt;&gt;"",_PENDIENTES!$D$158,"")</f>
        <v/>
      </c>
      <c r="E164" s="306">
        <f>IF(_PENDIENTES!$B$158&lt;&gt;"",_PENDIENTES!$E$158,"")</f>
        <v/>
      </c>
      <c r="F164" s="301">
        <f>IF(_PENDIENTES!$B$158&lt;&gt;"",_PENDIENTES!$F$158,"")</f>
        <v/>
      </c>
      <c r="G164" s="245">
        <f>IF(_PENDIENTES!$B$158&lt;&gt;"",_PENDIENTES!$G$158,"")</f>
        <v/>
      </c>
      <c r="H164" s="245">
        <f>IF(_PENDIENTES!$B$158&lt;&gt;"",_PENDIENTES!$H$158,"")</f>
        <v/>
      </c>
      <c r="I164" s="303">
        <f>IF(_PENDIENTES!$B$158&lt;&gt;"",_PENDIENTES!$I$158,"")</f>
        <v/>
      </c>
      <c r="J164" s="245">
        <f>IF(_PENDIENTES!$B$158&lt;&gt;"",_PENDIENTES!$J$158,"")</f>
        <v/>
      </c>
      <c r="K164" s="301">
        <f>IF(_PENDIENTES!$B$158&lt;&gt;"","POR RECOGER","")</f>
        <v/>
      </c>
      <c r="L164" s="301">
        <f>IF(_PENDIENTES!$B$158&lt;&gt;"",_PENDIENTES!$K$158,"")</f>
        <v/>
      </c>
      <c r="M164" s="280">
        <f>IF(_PENDIENTES!$B$158&lt;&gt;"",_PENDIENTES!$B$158,"")</f>
        <v/>
      </c>
      <c r="N164" s="304">
        <f>IF(_PENDIENTES!$B$158&lt;&gt;"",_PENDIENTES!$L$158,"")</f>
        <v/>
      </c>
      <c r="O164" s="284" t="n"/>
      <c r="P164" s="284" t="n"/>
      <c r="Q164" s="284" t="n"/>
      <c r="R164" s="284" t="n"/>
      <c r="S164" s="284" t="n"/>
    </row>
    <row r="165" hidden="1" ht="15.75" customHeight="1" s="195">
      <c r="A165" s="241">
        <f>IF(_PENDIENTES!$B$159&lt;&gt;"",158,"")</f>
        <v/>
      </c>
      <c r="B165" s="236">
        <f>IF(_PENDIENTES!$B$159&lt;&gt;"",_PENDIENTES!$A$159,"")</f>
        <v/>
      </c>
      <c r="C165" s="305">
        <f>IF(_PENDIENTES!$B$159&lt;&gt;"",_PENDIENTES!$C$159,"")</f>
        <v/>
      </c>
      <c r="D165" s="241">
        <f>IF(_PENDIENTES!$B$159&lt;&gt;"",_PENDIENTES!$D$159,"")</f>
        <v/>
      </c>
      <c r="E165" s="307">
        <f>IF(_PENDIENTES!$B$159&lt;&gt;"",_PENDIENTES!$E$159,"")</f>
        <v/>
      </c>
      <c r="F165" s="241">
        <f>IF(_PENDIENTES!$B$159&lt;&gt;"",_PENDIENTES!$F$159,"")</f>
        <v/>
      </c>
      <c r="G165" s="239">
        <f>IF(_PENDIENTES!$B$159&lt;&gt;"",_PENDIENTES!$G$159,"")</f>
        <v/>
      </c>
      <c r="H165" s="239">
        <f>IF(_PENDIENTES!$B$159&lt;&gt;"",_PENDIENTES!$H$159,"")</f>
        <v/>
      </c>
      <c r="I165" s="308">
        <f>IF(_PENDIENTES!$B$159&lt;&gt;"",_PENDIENTES!$I$159,"")</f>
        <v/>
      </c>
      <c r="J165" s="239">
        <f>IF(_PENDIENTES!$B$159&lt;&gt;"",_PENDIENTES!$J$159,"")</f>
        <v/>
      </c>
      <c r="K165" s="241">
        <f>IF(_PENDIENTES!$B$159&lt;&gt;"","POR RECOGER","")</f>
        <v/>
      </c>
      <c r="L165" s="241">
        <f>IF(_PENDIENTES!$B$159&lt;&gt;"",_PENDIENTES!$K$159,"")</f>
        <v/>
      </c>
      <c r="M165" s="280">
        <f>IF(_PENDIENTES!$B$159&lt;&gt;"",_PENDIENTES!$B$159,"")</f>
        <v/>
      </c>
      <c r="N165" s="304">
        <f>IF(_PENDIENTES!$B$159&lt;&gt;"",_PENDIENTES!$L$159,"")</f>
        <v/>
      </c>
      <c r="O165" s="284" t="n"/>
      <c r="P165" s="284" t="n"/>
      <c r="Q165" s="284" t="n"/>
      <c r="R165" s="284" t="n"/>
      <c r="S165" s="284" t="n"/>
    </row>
    <row r="166" hidden="1" ht="15.75" customHeight="1" s="195">
      <c r="A166" s="301">
        <f>IF(_PENDIENTES!$B$160&lt;&gt;"",159,"")</f>
        <v/>
      </c>
      <c r="B166" s="242">
        <f>IF(_PENDIENTES!$B$160&lt;&gt;"",_PENDIENTES!$A$160,"")</f>
        <v/>
      </c>
      <c r="C166" s="302">
        <f>IF(_PENDIENTES!$B$160&lt;&gt;"",_PENDIENTES!$C$160,"")</f>
        <v/>
      </c>
      <c r="D166" s="301">
        <f>IF(_PENDIENTES!$B$160&lt;&gt;"",_PENDIENTES!$D$160,"")</f>
        <v/>
      </c>
      <c r="E166" s="306">
        <f>IF(_PENDIENTES!$B$160&lt;&gt;"",_PENDIENTES!$E$160,"")</f>
        <v/>
      </c>
      <c r="F166" s="301">
        <f>IF(_PENDIENTES!$B$160&lt;&gt;"",_PENDIENTES!$F$160,"")</f>
        <v/>
      </c>
      <c r="G166" s="245">
        <f>IF(_PENDIENTES!$B$160&lt;&gt;"",_PENDIENTES!$G$160,"")</f>
        <v/>
      </c>
      <c r="H166" s="245">
        <f>IF(_PENDIENTES!$B$160&lt;&gt;"",_PENDIENTES!$H$160,"")</f>
        <v/>
      </c>
      <c r="I166" s="303">
        <f>IF(_PENDIENTES!$B$160&lt;&gt;"",_PENDIENTES!$I$160,"")</f>
        <v/>
      </c>
      <c r="J166" s="245">
        <f>IF(_PENDIENTES!$B$160&lt;&gt;"",_PENDIENTES!$J$160,"")</f>
        <v/>
      </c>
      <c r="K166" s="301">
        <f>IF(_PENDIENTES!$B$160&lt;&gt;"","POR RECOGER","")</f>
        <v/>
      </c>
      <c r="L166" s="301">
        <f>IF(_PENDIENTES!$B$160&lt;&gt;"",_PENDIENTES!$K$160,"")</f>
        <v/>
      </c>
      <c r="M166" s="280">
        <f>IF(_PENDIENTES!$B$160&lt;&gt;"",_PENDIENTES!$B$160,"")</f>
        <v/>
      </c>
      <c r="N166" s="304">
        <f>IF(_PENDIENTES!$B$160&lt;&gt;"",_PENDIENTES!$L$160,"")</f>
        <v/>
      </c>
      <c r="O166" s="284" t="n"/>
      <c r="P166" s="284" t="n"/>
      <c r="Q166" s="284" t="n"/>
      <c r="R166" s="284" t="n"/>
      <c r="S166" s="284" t="n"/>
    </row>
    <row r="167" hidden="1" ht="15.75" customHeight="1" s="195">
      <c r="A167" s="241">
        <f>IF(_PENDIENTES!$B$161&lt;&gt;"",160,"")</f>
        <v/>
      </c>
      <c r="B167" s="236">
        <f>IF(_PENDIENTES!$B$161&lt;&gt;"",_PENDIENTES!$A$161,"")</f>
        <v/>
      </c>
      <c r="C167" s="305">
        <f>IF(_PENDIENTES!$B$161&lt;&gt;"",_PENDIENTES!$C$161,"")</f>
        <v/>
      </c>
      <c r="D167" s="241">
        <f>IF(_PENDIENTES!$B$161&lt;&gt;"",_PENDIENTES!$D$161,"")</f>
        <v/>
      </c>
      <c r="E167" s="307">
        <f>IF(_PENDIENTES!$B$161&lt;&gt;"",_PENDIENTES!$E$161,"")</f>
        <v/>
      </c>
      <c r="F167" s="241">
        <f>IF(_PENDIENTES!$B$161&lt;&gt;"",_PENDIENTES!$F$161,"")</f>
        <v/>
      </c>
      <c r="G167" s="239">
        <f>IF(_PENDIENTES!$B$161&lt;&gt;"",_PENDIENTES!$G$161,"")</f>
        <v/>
      </c>
      <c r="H167" s="239">
        <f>IF(_PENDIENTES!$B$161&lt;&gt;"",_PENDIENTES!$H$161,"")</f>
        <v/>
      </c>
      <c r="I167" s="308">
        <f>IF(_PENDIENTES!$B$161&lt;&gt;"",_PENDIENTES!$I$161,"")</f>
        <v/>
      </c>
      <c r="J167" s="239">
        <f>IF(_PENDIENTES!$B$161&lt;&gt;"",_PENDIENTES!$J$161,"")</f>
        <v/>
      </c>
      <c r="K167" s="241">
        <f>IF(_PENDIENTES!$B$161&lt;&gt;"","POR RECOGER","")</f>
        <v/>
      </c>
      <c r="L167" s="241">
        <f>IF(_PENDIENTES!$B$161&lt;&gt;"",_PENDIENTES!$K$161,"")</f>
        <v/>
      </c>
      <c r="M167" s="280">
        <f>IF(_PENDIENTES!$B$161&lt;&gt;"",_PENDIENTES!$B$161,"")</f>
        <v/>
      </c>
      <c r="N167" s="304">
        <f>IF(_PENDIENTES!$B$161&lt;&gt;"",_PENDIENTES!$L$161,"")</f>
        <v/>
      </c>
      <c r="O167" s="284" t="n"/>
      <c r="P167" s="284" t="n"/>
      <c r="Q167" s="284" t="n"/>
      <c r="R167" s="284" t="n"/>
      <c r="S167" s="284" t="n"/>
    </row>
    <row r="168" hidden="1" ht="15.75" customHeight="1" s="195">
      <c r="A168" s="301">
        <f>IF(_PENDIENTES!$B$162&lt;&gt;"",161,"")</f>
        <v/>
      </c>
      <c r="B168" s="242">
        <f>IF(_PENDIENTES!$B$162&lt;&gt;"",_PENDIENTES!$A$162,"")</f>
        <v/>
      </c>
      <c r="C168" s="302">
        <f>IF(_PENDIENTES!$B$162&lt;&gt;"",_PENDIENTES!$C$162,"")</f>
        <v/>
      </c>
      <c r="D168" s="301">
        <f>IF(_PENDIENTES!$B$162&lt;&gt;"",_PENDIENTES!$D$162,"")</f>
        <v/>
      </c>
      <c r="E168" s="306">
        <f>IF(_PENDIENTES!$B$162&lt;&gt;"",_PENDIENTES!$E$162,"")</f>
        <v/>
      </c>
      <c r="F168" s="301">
        <f>IF(_PENDIENTES!$B$162&lt;&gt;"",_PENDIENTES!$F$162,"")</f>
        <v/>
      </c>
      <c r="G168" s="245">
        <f>IF(_PENDIENTES!$B$162&lt;&gt;"",_PENDIENTES!$G$162,"")</f>
        <v/>
      </c>
      <c r="H168" s="245">
        <f>IF(_PENDIENTES!$B$162&lt;&gt;"",_PENDIENTES!$H$162,"")</f>
        <v/>
      </c>
      <c r="I168" s="303">
        <f>IF(_PENDIENTES!$B$162&lt;&gt;"",_PENDIENTES!$I$162,"")</f>
        <v/>
      </c>
      <c r="J168" s="245">
        <f>IF(_PENDIENTES!$B$162&lt;&gt;"",_PENDIENTES!$J$162,"")</f>
        <v/>
      </c>
      <c r="K168" s="301">
        <f>IF(_PENDIENTES!$B$162&lt;&gt;"","POR RECOGER","")</f>
        <v/>
      </c>
      <c r="L168" s="301">
        <f>IF(_PENDIENTES!$B$162&lt;&gt;"",_PENDIENTES!$K$162,"")</f>
        <v/>
      </c>
      <c r="M168" s="280">
        <f>IF(_PENDIENTES!$B$162&lt;&gt;"",_PENDIENTES!$B$162,"")</f>
        <v/>
      </c>
      <c r="N168" s="304">
        <f>IF(_PENDIENTES!$B$162&lt;&gt;"",_PENDIENTES!$L$162,"")</f>
        <v/>
      </c>
      <c r="O168" s="284" t="n"/>
      <c r="P168" s="284" t="n"/>
      <c r="Q168" s="284" t="n"/>
      <c r="R168" s="284" t="n"/>
      <c r="S168" s="284" t="n"/>
    </row>
    <row r="169" hidden="1" ht="15.75" customHeight="1" s="195">
      <c r="A169" s="241">
        <f>IF(_PENDIENTES!$B$163&lt;&gt;"",162,"")</f>
        <v/>
      </c>
      <c r="B169" s="236">
        <f>IF(_PENDIENTES!$B$163&lt;&gt;"",_PENDIENTES!$A$163,"")</f>
        <v/>
      </c>
      <c r="C169" s="305">
        <f>IF(_PENDIENTES!$B$163&lt;&gt;"",_PENDIENTES!$C$163,"")</f>
        <v/>
      </c>
      <c r="D169" s="241">
        <f>IF(_PENDIENTES!$B$163&lt;&gt;"",_PENDIENTES!$D$163,"")</f>
        <v/>
      </c>
      <c r="E169" s="307">
        <f>IF(_PENDIENTES!$B$163&lt;&gt;"",_PENDIENTES!$E$163,"")</f>
        <v/>
      </c>
      <c r="F169" s="241">
        <f>IF(_PENDIENTES!$B$163&lt;&gt;"",_PENDIENTES!$F$163,"")</f>
        <v/>
      </c>
      <c r="G169" s="239">
        <f>IF(_PENDIENTES!$B$163&lt;&gt;"",_PENDIENTES!$G$163,"")</f>
        <v/>
      </c>
      <c r="H169" s="239">
        <f>IF(_PENDIENTES!$B$163&lt;&gt;"",_PENDIENTES!$H$163,"")</f>
        <v/>
      </c>
      <c r="I169" s="308">
        <f>IF(_PENDIENTES!$B$163&lt;&gt;"",_PENDIENTES!$I$163,"")</f>
        <v/>
      </c>
      <c r="J169" s="239">
        <f>IF(_PENDIENTES!$B$163&lt;&gt;"",_PENDIENTES!$J$163,"")</f>
        <v/>
      </c>
      <c r="K169" s="241">
        <f>IF(_PENDIENTES!$B$163&lt;&gt;"","POR RECOGER","")</f>
        <v/>
      </c>
      <c r="L169" s="241">
        <f>IF(_PENDIENTES!$B$163&lt;&gt;"",_PENDIENTES!$K$163,"")</f>
        <v/>
      </c>
      <c r="M169" s="280">
        <f>IF(_PENDIENTES!$B$163&lt;&gt;"",_PENDIENTES!$B$163,"")</f>
        <v/>
      </c>
      <c r="N169" s="304">
        <f>IF(_PENDIENTES!$B$163&lt;&gt;"",_PENDIENTES!$L$163,"")</f>
        <v/>
      </c>
      <c r="O169" s="284" t="n"/>
      <c r="P169" s="284" t="n"/>
      <c r="Q169" s="284" t="n"/>
      <c r="R169" s="284" t="n"/>
      <c r="S169" s="284" t="n"/>
    </row>
    <row r="170" hidden="1" ht="15.75" customHeight="1" s="195">
      <c r="A170" s="301">
        <f>IF(_PENDIENTES!$B$164&lt;&gt;"",163,"")</f>
        <v/>
      </c>
      <c r="B170" s="242">
        <f>IF(_PENDIENTES!$B$164&lt;&gt;"",_PENDIENTES!$A$164,"")</f>
        <v/>
      </c>
      <c r="C170" s="302">
        <f>IF(_PENDIENTES!$B$164&lt;&gt;"",_PENDIENTES!$C$164,"")</f>
        <v/>
      </c>
      <c r="D170" s="301">
        <f>IF(_PENDIENTES!$B$164&lt;&gt;"",_PENDIENTES!$D$164,"")</f>
        <v/>
      </c>
      <c r="E170" s="306">
        <f>IF(_PENDIENTES!$B$164&lt;&gt;"",_PENDIENTES!$E$164,"")</f>
        <v/>
      </c>
      <c r="F170" s="301">
        <f>IF(_PENDIENTES!$B$164&lt;&gt;"",_PENDIENTES!$F$164,"")</f>
        <v/>
      </c>
      <c r="G170" s="245">
        <f>IF(_PENDIENTES!$B$164&lt;&gt;"",_PENDIENTES!$G$164,"")</f>
        <v/>
      </c>
      <c r="H170" s="245">
        <f>IF(_PENDIENTES!$B$164&lt;&gt;"",_PENDIENTES!$H$164,"")</f>
        <v/>
      </c>
      <c r="I170" s="303">
        <f>IF(_PENDIENTES!$B$164&lt;&gt;"",_PENDIENTES!$I$164,"")</f>
        <v/>
      </c>
      <c r="J170" s="245">
        <f>IF(_PENDIENTES!$B$164&lt;&gt;"",_PENDIENTES!$J$164,"")</f>
        <v/>
      </c>
      <c r="K170" s="301">
        <f>IF(_PENDIENTES!$B$164&lt;&gt;"","POR RECOGER","")</f>
        <v/>
      </c>
      <c r="L170" s="301">
        <f>IF(_PENDIENTES!$B$164&lt;&gt;"",_PENDIENTES!$K$164,"")</f>
        <v/>
      </c>
      <c r="M170" s="280">
        <f>IF(_PENDIENTES!$B$164&lt;&gt;"",_PENDIENTES!$B$164,"")</f>
        <v/>
      </c>
      <c r="N170" s="304">
        <f>IF(_PENDIENTES!$B$164&lt;&gt;"",_PENDIENTES!$L$164,"")</f>
        <v/>
      </c>
      <c r="O170" s="284" t="n"/>
      <c r="P170" s="284" t="n"/>
      <c r="Q170" s="284" t="n"/>
      <c r="R170" s="284" t="n"/>
      <c r="S170" s="284" t="n"/>
    </row>
    <row r="171" hidden="1" ht="15.75" customHeight="1" s="195">
      <c r="A171" s="241">
        <f>IF(_PENDIENTES!$B$165&lt;&gt;"",164,"")</f>
        <v/>
      </c>
      <c r="B171" s="236">
        <f>IF(_PENDIENTES!$B$165&lt;&gt;"",_PENDIENTES!$A$165,"")</f>
        <v/>
      </c>
      <c r="C171" s="305">
        <f>IF(_PENDIENTES!$B$165&lt;&gt;"",_PENDIENTES!$C$165,"")</f>
        <v/>
      </c>
      <c r="D171" s="241">
        <f>IF(_PENDIENTES!$B$165&lt;&gt;"",_PENDIENTES!$D$165,"")</f>
        <v/>
      </c>
      <c r="E171" s="307">
        <f>IF(_PENDIENTES!$B$165&lt;&gt;"",_PENDIENTES!$E$165,"")</f>
        <v/>
      </c>
      <c r="F171" s="241">
        <f>IF(_PENDIENTES!$B$165&lt;&gt;"",_PENDIENTES!$F$165,"")</f>
        <v/>
      </c>
      <c r="G171" s="239">
        <f>IF(_PENDIENTES!$B$165&lt;&gt;"",_PENDIENTES!$G$165,"")</f>
        <v/>
      </c>
      <c r="H171" s="239">
        <f>IF(_PENDIENTES!$B$165&lt;&gt;"",_PENDIENTES!$H$165,"")</f>
        <v/>
      </c>
      <c r="I171" s="308">
        <f>IF(_PENDIENTES!$B$165&lt;&gt;"",_PENDIENTES!$I$165,"")</f>
        <v/>
      </c>
      <c r="J171" s="239">
        <f>IF(_PENDIENTES!$B$165&lt;&gt;"",_PENDIENTES!$J$165,"")</f>
        <v/>
      </c>
      <c r="K171" s="241">
        <f>IF(_PENDIENTES!$B$165&lt;&gt;"","POR RECOGER","")</f>
        <v/>
      </c>
      <c r="L171" s="241">
        <f>IF(_PENDIENTES!$B$165&lt;&gt;"",_PENDIENTES!$K$165,"")</f>
        <v/>
      </c>
      <c r="M171" s="280">
        <f>IF(_PENDIENTES!$B$165&lt;&gt;"",_PENDIENTES!$B$165,"")</f>
        <v/>
      </c>
      <c r="N171" s="304">
        <f>IF(_PENDIENTES!$B$165&lt;&gt;"",_PENDIENTES!$L$165,"")</f>
        <v/>
      </c>
      <c r="O171" s="284" t="n"/>
      <c r="P171" s="284" t="n"/>
      <c r="Q171" s="284" t="n"/>
      <c r="R171" s="284" t="n"/>
      <c r="S171" s="284" t="n"/>
    </row>
    <row r="172" hidden="1" ht="15.75" customHeight="1" s="195">
      <c r="A172" s="301">
        <f>IF(_PENDIENTES!$B$166&lt;&gt;"",165,"")</f>
        <v/>
      </c>
      <c r="B172" s="242">
        <f>IF(_PENDIENTES!$B$166&lt;&gt;"",_PENDIENTES!$A$166,"")</f>
        <v/>
      </c>
      <c r="C172" s="302">
        <f>IF(_PENDIENTES!$B$166&lt;&gt;"",_PENDIENTES!$C$166,"")</f>
        <v/>
      </c>
      <c r="D172" s="301">
        <f>IF(_PENDIENTES!$B$166&lt;&gt;"",_PENDIENTES!$D$166,"")</f>
        <v/>
      </c>
      <c r="E172" s="306">
        <f>IF(_PENDIENTES!$B$166&lt;&gt;"",_PENDIENTES!$E$166,"")</f>
        <v/>
      </c>
      <c r="F172" s="301">
        <f>IF(_PENDIENTES!$B$166&lt;&gt;"",_PENDIENTES!$F$166,"")</f>
        <v/>
      </c>
      <c r="G172" s="245">
        <f>IF(_PENDIENTES!$B$166&lt;&gt;"",_PENDIENTES!$G$166,"")</f>
        <v/>
      </c>
      <c r="H172" s="245">
        <f>IF(_PENDIENTES!$B$166&lt;&gt;"",_PENDIENTES!$H$166,"")</f>
        <v/>
      </c>
      <c r="I172" s="303">
        <f>IF(_PENDIENTES!$B$166&lt;&gt;"",_PENDIENTES!$I$166,"")</f>
        <v/>
      </c>
      <c r="J172" s="245">
        <f>IF(_PENDIENTES!$B$166&lt;&gt;"",_PENDIENTES!$J$166,"")</f>
        <v/>
      </c>
      <c r="K172" s="301">
        <f>IF(_PENDIENTES!$B$166&lt;&gt;"","POR RECOGER","")</f>
        <v/>
      </c>
      <c r="L172" s="301">
        <f>IF(_PENDIENTES!$B$166&lt;&gt;"",_PENDIENTES!$K$166,"")</f>
        <v/>
      </c>
      <c r="M172" s="280">
        <f>IF(_PENDIENTES!$B$166&lt;&gt;"",_PENDIENTES!$B$166,"")</f>
        <v/>
      </c>
      <c r="N172" s="304">
        <f>IF(_PENDIENTES!$B$166&lt;&gt;"",_PENDIENTES!$L$166,"")</f>
        <v/>
      </c>
      <c r="O172" s="284" t="n"/>
      <c r="P172" s="284" t="n"/>
      <c r="Q172" s="284" t="n"/>
      <c r="R172" s="284" t="n"/>
      <c r="S172" s="284" t="n"/>
    </row>
    <row r="173" hidden="1" ht="15.75" customHeight="1" s="195">
      <c r="A173" s="241">
        <f>IF(_PENDIENTES!$B$167&lt;&gt;"",166,"")</f>
        <v/>
      </c>
      <c r="B173" s="236">
        <f>IF(_PENDIENTES!$B$167&lt;&gt;"",_PENDIENTES!$A$167,"")</f>
        <v/>
      </c>
      <c r="C173" s="305">
        <f>IF(_PENDIENTES!$B$167&lt;&gt;"",_PENDIENTES!$C$167,"")</f>
        <v/>
      </c>
      <c r="D173" s="241">
        <f>IF(_PENDIENTES!$B$167&lt;&gt;"",_PENDIENTES!$D$167,"")</f>
        <v/>
      </c>
      <c r="E173" s="307">
        <f>IF(_PENDIENTES!$B$167&lt;&gt;"",_PENDIENTES!$E$167,"")</f>
        <v/>
      </c>
      <c r="F173" s="241">
        <f>IF(_PENDIENTES!$B$167&lt;&gt;"",_PENDIENTES!$F$167,"")</f>
        <v/>
      </c>
      <c r="G173" s="239">
        <f>IF(_PENDIENTES!$B$167&lt;&gt;"",_PENDIENTES!$G$167,"")</f>
        <v/>
      </c>
      <c r="H173" s="239">
        <f>IF(_PENDIENTES!$B$167&lt;&gt;"",_PENDIENTES!$H$167,"")</f>
        <v/>
      </c>
      <c r="I173" s="308">
        <f>IF(_PENDIENTES!$B$167&lt;&gt;"",_PENDIENTES!$I$167,"")</f>
        <v/>
      </c>
      <c r="J173" s="239">
        <f>IF(_PENDIENTES!$B$167&lt;&gt;"",_PENDIENTES!$J$167,"")</f>
        <v/>
      </c>
      <c r="K173" s="241">
        <f>IF(_PENDIENTES!$B$167&lt;&gt;"","POR RECOGER","")</f>
        <v/>
      </c>
      <c r="L173" s="241">
        <f>IF(_PENDIENTES!$B$167&lt;&gt;"",_PENDIENTES!$K$167,"")</f>
        <v/>
      </c>
      <c r="M173" s="280">
        <f>IF(_PENDIENTES!$B$167&lt;&gt;"",_PENDIENTES!$B$167,"")</f>
        <v/>
      </c>
      <c r="N173" s="304">
        <f>IF(_PENDIENTES!$B$167&lt;&gt;"",_PENDIENTES!$L$167,"")</f>
        <v/>
      </c>
      <c r="O173" s="284" t="n"/>
      <c r="P173" s="284" t="n"/>
      <c r="Q173" s="284" t="n"/>
      <c r="R173" s="284" t="n"/>
      <c r="S173" s="284" t="n"/>
    </row>
    <row r="174" hidden="1" ht="15.75" customHeight="1" s="195">
      <c r="A174" s="301">
        <f>IF(_PENDIENTES!$B$168&lt;&gt;"",167,"")</f>
        <v/>
      </c>
      <c r="B174" s="242">
        <f>IF(_PENDIENTES!$B$168&lt;&gt;"",_PENDIENTES!$A$168,"")</f>
        <v/>
      </c>
      <c r="C174" s="302">
        <f>IF(_PENDIENTES!$B$168&lt;&gt;"",_PENDIENTES!$C$168,"")</f>
        <v/>
      </c>
      <c r="D174" s="301">
        <f>IF(_PENDIENTES!$B$168&lt;&gt;"",_PENDIENTES!$D$168,"")</f>
        <v/>
      </c>
      <c r="E174" s="306">
        <f>IF(_PENDIENTES!$B$168&lt;&gt;"",_PENDIENTES!$E$168,"")</f>
        <v/>
      </c>
      <c r="F174" s="301">
        <f>IF(_PENDIENTES!$B$168&lt;&gt;"",_PENDIENTES!$F$168,"")</f>
        <v/>
      </c>
      <c r="G174" s="245">
        <f>IF(_PENDIENTES!$B$168&lt;&gt;"",_PENDIENTES!$G$168,"")</f>
        <v/>
      </c>
      <c r="H174" s="245">
        <f>IF(_PENDIENTES!$B$168&lt;&gt;"",_PENDIENTES!$H$168,"")</f>
        <v/>
      </c>
      <c r="I174" s="303">
        <f>IF(_PENDIENTES!$B$168&lt;&gt;"",_PENDIENTES!$I$168,"")</f>
        <v/>
      </c>
      <c r="J174" s="245">
        <f>IF(_PENDIENTES!$B$168&lt;&gt;"",_PENDIENTES!$J$168,"")</f>
        <v/>
      </c>
      <c r="K174" s="301">
        <f>IF(_PENDIENTES!$B$168&lt;&gt;"","POR RECOGER","")</f>
        <v/>
      </c>
      <c r="L174" s="301">
        <f>IF(_PENDIENTES!$B$168&lt;&gt;"",_PENDIENTES!$K$168,"")</f>
        <v/>
      </c>
      <c r="M174" s="280">
        <f>IF(_PENDIENTES!$B$168&lt;&gt;"",_PENDIENTES!$B$168,"")</f>
        <v/>
      </c>
      <c r="N174" s="304">
        <f>IF(_PENDIENTES!$B$168&lt;&gt;"",_PENDIENTES!$L$168,"")</f>
        <v/>
      </c>
      <c r="O174" s="284" t="n"/>
      <c r="P174" s="284" t="n"/>
      <c r="Q174" s="284" t="n"/>
      <c r="R174" s="284" t="n"/>
      <c r="S174" s="284" t="n"/>
    </row>
    <row r="175" hidden="1" ht="15.75" customHeight="1" s="195">
      <c r="A175" s="241">
        <f>IF(_PENDIENTES!$B$169&lt;&gt;"",168,"")</f>
        <v/>
      </c>
      <c r="B175" s="236">
        <f>IF(_PENDIENTES!$B$169&lt;&gt;"",_PENDIENTES!$A$169,"")</f>
        <v/>
      </c>
      <c r="C175" s="305">
        <f>IF(_PENDIENTES!$B$169&lt;&gt;"",_PENDIENTES!$C$169,"")</f>
        <v/>
      </c>
      <c r="D175" s="241">
        <f>IF(_PENDIENTES!$B$169&lt;&gt;"",_PENDIENTES!$D$169,"")</f>
        <v/>
      </c>
      <c r="E175" s="307">
        <f>IF(_PENDIENTES!$B$169&lt;&gt;"",_PENDIENTES!$E$169,"")</f>
        <v/>
      </c>
      <c r="F175" s="241">
        <f>IF(_PENDIENTES!$B$169&lt;&gt;"",_PENDIENTES!$F$169,"")</f>
        <v/>
      </c>
      <c r="G175" s="239">
        <f>IF(_PENDIENTES!$B$169&lt;&gt;"",_PENDIENTES!$G$169,"")</f>
        <v/>
      </c>
      <c r="H175" s="239">
        <f>IF(_PENDIENTES!$B$169&lt;&gt;"",_PENDIENTES!$H$169,"")</f>
        <v/>
      </c>
      <c r="I175" s="308">
        <f>IF(_PENDIENTES!$B$169&lt;&gt;"",_PENDIENTES!$I$169,"")</f>
        <v/>
      </c>
      <c r="J175" s="239">
        <f>IF(_PENDIENTES!$B$169&lt;&gt;"",_PENDIENTES!$J$169,"")</f>
        <v/>
      </c>
      <c r="K175" s="241">
        <f>IF(_PENDIENTES!$B$169&lt;&gt;"","POR RECOGER","")</f>
        <v/>
      </c>
      <c r="L175" s="241">
        <f>IF(_PENDIENTES!$B$169&lt;&gt;"",_PENDIENTES!$K$169,"")</f>
        <v/>
      </c>
      <c r="M175" s="280">
        <f>IF(_PENDIENTES!$B$169&lt;&gt;"",_PENDIENTES!$B$169,"")</f>
        <v/>
      </c>
      <c r="N175" s="304">
        <f>IF(_PENDIENTES!$B$169&lt;&gt;"",_PENDIENTES!$L$169,"")</f>
        <v/>
      </c>
      <c r="O175" s="284" t="n"/>
      <c r="P175" s="284" t="n"/>
      <c r="Q175" s="284" t="n"/>
      <c r="R175" s="284" t="n"/>
      <c r="S175" s="284" t="n"/>
    </row>
    <row r="176" hidden="1" ht="15.75" customHeight="1" s="195">
      <c r="A176" s="301">
        <f>IF(_PENDIENTES!$B$170&lt;&gt;"",169,"")</f>
        <v/>
      </c>
      <c r="B176" s="242">
        <f>IF(_PENDIENTES!$B$170&lt;&gt;"",_PENDIENTES!$A$170,"")</f>
        <v/>
      </c>
      <c r="C176" s="302">
        <f>IF(_PENDIENTES!$B$170&lt;&gt;"",_PENDIENTES!$C$170,"")</f>
        <v/>
      </c>
      <c r="D176" s="301">
        <f>IF(_PENDIENTES!$B$170&lt;&gt;"",_PENDIENTES!$D$170,"")</f>
        <v/>
      </c>
      <c r="E176" s="306">
        <f>IF(_PENDIENTES!$B$170&lt;&gt;"",_PENDIENTES!$E$170,"")</f>
        <v/>
      </c>
      <c r="F176" s="301">
        <f>IF(_PENDIENTES!$B$170&lt;&gt;"",_PENDIENTES!$F$170,"")</f>
        <v/>
      </c>
      <c r="G176" s="245">
        <f>IF(_PENDIENTES!$B$170&lt;&gt;"",_PENDIENTES!$G$170,"")</f>
        <v/>
      </c>
      <c r="H176" s="245">
        <f>IF(_PENDIENTES!$B$170&lt;&gt;"",_PENDIENTES!$H$170,"")</f>
        <v/>
      </c>
      <c r="I176" s="303">
        <f>IF(_PENDIENTES!$B$170&lt;&gt;"",_PENDIENTES!$I$170,"")</f>
        <v/>
      </c>
      <c r="J176" s="245">
        <f>IF(_PENDIENTES!$B$170&lt;&gt;"",_PENDIENTES!$J$170,"")</f>
        <v/>
      </c>
      <c r="K176" s="301">
        <f>IF(_PENDIENTES!$B$170&lt;&gt;"","POR RECOGER","")</f>
        <v/>
      </c>
      <c r="L176" s="301">
        <f>IF(_PENDIENTES!$B$170&lt;&gt;"",_PENDIENTES!$K$170,"")</f>
        <v/>
      </c>
      <c r="M176" s="280">
        <f>IF(_PENDIENTES!$B$170&lt;&gt;"",_PENDIENTES!$B$170,"")</f>
        <v/>
      </c>
      <c r="N176" s="304">
        <f>IF(_PENDIENTES!$B$170&lt;&gt;"",_PENDIENTES!$L$170,"")</f>
        <v/>
      </c>
      <c r="O176" s="284" t="n"/>
      <c r="P176" s="284" t="n"/>
      <c r="Q176" s="284" t="n"/>
      <c r="R176" s="284" t="n"/>
      <c r="S176" s="284" t="n"/>
    </row>
    <row r="177" hidden="1" ht="15.75" customHeight="1" s="195">
      <c r="A177" s="241">
        <f>IF(_PENDIENTES!$B$171&lt;&gt;"",170,"")</f>
        <v/>
      </c>
      <c r="B177" s="236">
        <f>IF(_PENDIENTES!$B$171&lt;&gt;"",_PENDIENTES!$A$171,"")</f>
        <v/>
      </c>
      <c r="C177" s="305">
        <f>IF(_PENDIENTES!$B$171&lt;&gt;"",_PENDIENTES!$C$171,"")</f>
        <v/>
      </c>
      <c r="D177" s="241">
        <f>IF(_PENDIENTES!$B$171&lt;&gt;"",_PENDIENTES!$D$171,"")</f>
        <v/>
      </c>
      <c r="E177" s="307">
        <f>IF(_PENDIENTES!$B$171&lt;&gt;"",_PENDIENTES!$E$171,"")</f>
        <v/>
      </c>
      <c r="F177" s="241">
        <f>IF(_PENDIENTES!$B$171&lt;&gt;"",_PENDIENTES!$F$171,"")</f>
        <v/>
      </c>
      <c r="G177" s="239">
        <f>IF(_PENDIENTES!$B$171&lt;&gt;"",_PENDIENTES!$G$171,"")</f>
        <v/>
      </c>
      <c r="H177" s="239">
        <f>IF(_PENDIENTES!$B$171&lt;&gt;"",_PENDIENTES!$H$171,"")</f>
        <v/>
      </c>
      <c r="I177" s="308">
        <f>IF(_PENDIENTES!$B$171&lt;&gt;"",_PENDIENTES!$I$171,"")</f>
        <v/>
      </c>
      <c r="J177" s="239">
        <f>IF(_PENDIENTES!$B$171&lt;&gt;"",_PENDIENTES!$J$171,"")</f>
        <v/>
      </c>
      <c r="K177" s="241">
        <f>IF(_PENDIENTES!$B$171&lt;&gt;"","POR RECOGER","")</f>
        <v/>
      </c>
      <c r="L177" s="241">
        <f>IF(_PENDIENTES!$B$171&lt;&gt;"",_PENDIENTES!$K$171,"")</f>
        <v/>
      </c>
      <c r="M177" s="280">
        <f>IF(_PENDIENTES!$B$171&lt;&gt;"",_PENDIENTES!$B$171,"")</f>
        <v/>
      </c>
      <c r="N177" s="304">
        <f>IF(_PENDIENTES!$B$171&lt;&gt;"",_PENDIENTES!$L$171,"")</f>
        <v/>
      </c>
      <c r="O177" s="284" t="n"/>
      <c r="P177" s="284" t="n"/>
      <c r="Q177" s="284" t="n"/>
      <c r="R177" s="284" t="n"/>
      <c r="S177" s="284" t="n"/>
    </row>
    <row r="178" hidden="1" ht="15.75" customHeight="1" s="195">
      <c r="A178" s="301">
        <f>IF(_PENDIENTES!$B$172&lt;&gt;"",171,"")</f>
        <v/>
      </c>
      <c r="B178" s="242">
        <f>IF(_PENDIENTES!$B$172&lt;&gt;"",_PENDIENTES!$A$172,"")</f>
        <v/>
      </c>
      <c r="C178" s="302">
        <f>IF(_PENDIENTES!$B$172&lt;&gt;"",_PENDIENTES!$C$172,"")</f>
        <v/>
      </c>
      <c r="D178" s="301">
        <f>IF(_PENDIENTES!$B$172&lt;&gt;"",_PENDIENTES!$D$172,"")</f>
        <v/>
      </c>
      <c r="E178" s="306">
        <f>IF(_PENDIENTES!$B$172&lt;&gt;"",_PENDIENTES!$E$172,"")</f>
        <v/>
      </c>
      <c r="F178" s="301">
        <f>IF(_PENDIENTES!$B$172&lt;&gt;"",_PENDIENTES!$F$172,"")</f>
        <v/>
      </c>
      <c r="G178" s="245">
        <f>IF(_PENDIENTES!$B$172&lt;&gt;"",_PENDIENTES!$G$172,"")</f>
        <v/>
      </c>
      <c r="H178" s="245">
        <f>IF(_PENDIENTES!$B$172&lt;&gt;"",_PENDIENTES!$H$172,"")</f>
        <v/>
      </c>
      <c r="I178" s="303">
        <f>IF(_PENDIENTES!$B$172&lt;&gt;"",_PENDIENTES!$I$172,"")</f>
        <v/>
      </c>
      <c r="J178" s="245">
        <f>IF(_PENDIENTES!$B$172&lt;&gt;"",_PENDIENTES!$J$172,"")</f>
        <v/>
      </c>
      <c r="K178" s="301">
        <f>IF(_PENDIENTES!$B$172&lt;&gt;"","POR RECOGER","")</f>
        <v/>
      </c>
      <c r="L178" s="301">
        <f>IF(_PENDIENTES!$B$172&lt;&gt;"",_PENDIENTES!$K$172,"")</f>
        <v/>
      </c>
      <c r="M178" s="280">
        <f>IF(_PENDIENTES!$B$172&lt;&gt;"",_PENDIENTES!$B$172,"")</f>
        <v/>
      </c>
      <c r="N178" s="304">
        <f>IF(_PENDIENTES!$B$172&lt;&gt;"",_PENDIENTES!$L$172,"")</f>
        <v/>
      </c>
      <c r="O178" s="284" t="n"/>
      <c r="P178" s="284" t="n"/>
      <c r="Q178" s="284" t="n"/>
      <c r="R178" s="284" t="n"/>
      <c r="S178" s="284" t="n"/>
    </row>
    <row r="179" hidden="1" ht="15.75" customHeight="1" s="195">
      <c r="A179" s="241">
        <f>IF(_PENDIENTES!$B$173&lt;&gt;"",172,"")</f>
        <v/>
      </c>
      <c r="B179" s="236">
        <f>IF(_PENDIENTES!$B$173&lt;&gt;"",_PENDIENTES!$A$173,"")</f>
        <v/>
      </c>
      <c r="C179" s="305">
        <f>IF(_PENDIENTES!$B$173&lt;&gt;"",_PENDIENTES!$C$173,"")</f>
        <v/>
      </c>
      <c r="D179" s="241">
        <f>IF(_PENDIENTES!$B$173&lt;&gt;"",_PENDIENTES!$D$173,"")</f>
        <v/>
      </c>
      <c r="E179" s="307">
        <f>IF(_PENDIENTES!$B$173&lt;&gt;"",_PENDIENTES!$E$173,"")</f>
        <v/>
      </c>
      <c r="F179" s="241">
        <f>IF(_PENDIENTES!$B$173&lt;&gt;"",_PENDIENTES!$F$173,"")</f>
        <v/>
      </c>
      <c r="G179" s="239">
        <f>IF(_PENDIENTES!$B$173&lt;&gt;"",_PENDIENTES!$G$173,"")</f>
        <v/>
      </c>
      <c r="H179" s="239">
        <f>IF(_PENDIENTES!$B$173&lt;&gt;"",_PENDIENTES!$H$173,"")</f>
        <v/>
      </c>
      <c r="I179" s="308">
        <f>IF(_PENDIENTES!$B$173&lt;&gt;"",_PENDIENTES!$I$173,"")</f>
        <v/>
      </c>
      <c r="J179" s="239">
        <f>IF(_PENDIENTES!$B$173&lt;&gt;"",_PENDIENTES!$J$173,"")</f>
        <v/>
      </c>
      <c r="K179" s="241">
        <f>IF(_PENDIENTES!$B$173&lt;&gt;"","POR RECOGER","")</f>
        <v/>
      </c>
      <c r="L179" s="241">
        <f>IF(_PENDIENTES!$B$173&lt;&gt;"",_PENDIENTES!$K$173,"")</f>
        <v/>
      </c>
      <c r="M179" s="280">
        <f>IF(_PENDIENTES!$B$173&lt;&gt;"",_PENDIENTES!$B$173,"")</f>
        <v/>
      </c>
      <c r="N179" s="304">
        <f>IF(_PENDIENTES!$B$173&lt;&gt;"",_PENDIENTES!$L$173,"")</f>
        <v/>
      </c>
      <c r="O179" s="284" t="n"/>
      <c r="P179" s="284" t="n"/>
      <c r="Q179" s="284" t="n"/>
      <c r="R179" s="284" t="n"/>
      <c r="S179" s="284" t="n"/>
    </row>
    <row r="180" hidden="1" ht="15.75" customHeight="1" s="195">
      <c r="A180" s="301">
        <f>IF(_PENDIENTES!$B$174&lt;&gt;"",173,"")</f>
        <v/>
      </c>
      <c r="B180" s="242">
        <f>IF(_PENDIENTES!$B$174&lt;&gt;"",_PENDIENTES!$A$174,"")</f>
        <v/>
      </c>
      <c r="C180" s="302">
        <f>IF(_PENDIENTES!$B$174&lt;&gt;"",_PENDIENTES!$C$174,"")</f>
        <v/>
      </c>
      <c r="D180" s="301">
        <f>IF(_PENDIENTES!$B$174&lt;&gt;"",_PENDIENTES!$D$174,"")</f>
        <v/>
      </c>
      <c r="E180" s="306">
        <f>IF(_PENDIENTES!$B$174&lt;&gt;"",_PENDIENTES!$E$174,"")</f>
        <v/>
      </c>
      <c r="F180" s="301">
        <f>IF(_PENDIENTES!$B$174&lt;&gt;"",_PENDIENTES!$F$174,"")</f>
        <v/>
      </c>
      <c r="G180" s="245">
        <f>IF(_PENDIENTES!$B$174&lt;&gt;"",_PENDIENTES!$G$174,"")</f>
        <v/>
      </c>
      <c r="H180" s="245">
        <f>IF(_PENDIENTES!$B$174&lt;&gt;"",_PENDIENTES!$H$174,"")</f>
        <v/>
      </c>
      <c r="I180" s="303">
        <f>IF(_PENDIENTES!$B$174&lt;&gt;"",_PENDIENTES!$I$174,"")</f>
        <v/>
      </c>
      <c r="J180" s="245">
        <f>IF(_PENDIENTES!$B$174&lt;&gt;"",_PENDIENTES!$J$174,"")</f>
        <v/>
      </c>
      <c r="K180" s="301">
        <f>IF(_PENDIENTES!$B$174&lt;&gt;"","POR RECOGER","")</f>
        <v/>
      </c>
      <c r="L180" s="301">
        <f>IF(_PENDIENTES!$B$174&lt;&gt;"",_PENDIENTES!$K$174,"")</f>
        <v/>
      </c>
      <c r="M180" s="280">
        <f>IF(_PENDIENTES!$B$174&lt;&gt;"",_PENDIENTES!$B$174,"")</f>
        <v/>
      </c>
      <c r="N180" s="304">
        <f>IF(_PENDIENTES!$B$174&lt;&gt;"",_PENDIENTES!$L$174,"")</f>
        <v/>
      </c>
      <c r="O180" s="284" t="n"/>
      <c r="P180" s="284" t="n"/>
      <c r="Q180" s="284" t="n"/>
      <c r="R180" s="284" t="n"/>
      <c r="S180" s="284" t="n"/>
    </row>
    <row r="181" hidden="1" ht="15.75" customHeight="1" s="195">
      <c r="A181" s="241">
        <f>IF(_PENDIENTES!$B$175&lt;&gt;"",174,"")</f>
        <v/>
      </c>
      <c r="B181" s="236">
        <f>IF(_PENDIENTES!$B$175&lt;&gt;"",_PENDIENTES!$A$175,"")</f>
        <v/>
      </c>
      <c r="C181" s="305">
        <f>IF(_PENDIENTES!$B$175&lt;&gt;"",_PENDIENTES!$C$175,"")</f>
        <v/>
      </c>
      <c r="D181" s="241">
        <f>IF(_PENDIENTES!$B$175&lt;&gt;"",_PENDIENTES!$D$175,"")</f>
        <v/>
      </c>
      <c r="E181" s="307">
        <f>IF(_PENDIENTES!$B$175&lt;&gt;"",_PENDIENTES!$E$175,"")</f>
        <v/>
      </c>
      <c r="F181" s="241">
        <f>IF(_PENDIENTES!$B$175&lt;&gt;"",_PENDIENTES!$F$175,"")</f>
        <v/>
      </c>
      <c r="G181" s="239">
        <f>IF(_PENDIENTES!$B$175&lt;&gt;"",_PENDIENTES!$G$175,"")</f>
        <v/>
      </c>
      <c r="H181" s="239">
        <f>IF(_PENDIENTES!$B$175&lt;&gt;"",_PENDIENTES!$H$175,"")</f>
        <v/>
      </c>
      <c r="I181" s="308">
        <f>IF(_PENDIENTES!$B$175&lt;&gt;"",_PENDIENTES!$I$175,"")</f>
        <v/>
      </c>
      <c r="J181" s="239">
        <f>IF(_PENDIENTES!$B$175&lt;&gt;"",_PENDIENTES!$J$175,"")</f>
        <v/>
      </c>
      <c r="K181" s="241">
        <f>IF(_PENDIENTES!$B$175&lt;&gt;"","POR RECOGER","")</f>
        <v/>
      </c>
      <c r="L181" s="241">
        <f>IF(_PENDIENTES!$B$175&lt;&gt;"",_PENDIENTES!$K$175,"")</f>
        <v/>
      </c>
      <c r="M181" s="280">
        <f>IF(_PENDIENTES!$B$175&lt;&gt;"",_PENDIENTES!$B$175,"")</f>
        <v/>
      </c>
      <c r="N181" s="304">
        <f>IF(_PENDIENTES!$B$175&lt;&gt;"",_PENDIENTES!$L$175,"")</f>
        <v/>
      </c>
      <c r="O181" s="284" t="n"/>
      <c r="P181" s="284" t="n"/>
      <c r="Q181" s="284" t="n"/>
      <c r="R181" s="284" t="n"/>
      <c r="S181" s="284" t="n"/>
    </row>
    <row r="182" hidden="1" ht="15.75" customHeight="1" s="195">
      <c r="A182" s="301">
        <f>IF(_PENDIENTES!$B$176&lt;&gt;"",175,"")</f>
        <v/>
      </c>
      <c r="B182" s="242">
        <f>IF(_PENDIENTES!$B$176&lt;&gt;"",_PENDIENTES!$A$176,"")</f>
        <v/>
      </c>
      <c r="C182" s="302">
        <f>IF(_PENDIENTES!$B$176&lt;&gt;"",_PENDIENTES!$C$176,"")</f>
        <v/>
      </c>
      <c r="D182" s="301">
        <f>IF(_PENDIENTES!$B$176&lt;&gt;"",_PENDIENTES!$D$176,"")</f>
        <v/>
      </c>
      <c r="E182" s="306">
        <f>IF(_PENDIENTES!$B$176&lt;&gt;"",_PENDIENTES!$E$176,"")</f>
        <v/>
      </c>
      <c r="F182" s="301">
        <f>IF(_PENDIENTES!$B$176&lt;&gt;"",_PENDIENTES!$F$176,"")</f>
        <v/>
      </c>
      <c r="G182" s="245">
        <f>IF(_PENDIENTES!$B$176&lt;&gt;"",_PENDIENTES!$G$176,"")</f>
        <v/>
      </c>
      <c r="H182" s="245">
        <f>IF(_PENDIENTES!$B$176&lt;&gt;"",_PENDIENTES!$H$176,"")</f>
        <v/>
      </c>
      <c r="I182" s="303">
        <f>IF(_PENDIENTES!$B$176&lt;&gt;"",_PENDIENTES!$I$176,"")</f>
        <v/>
      </c>
      <c r="J182" s="245">
        <f>IF(_PENDIENTES!$B$176&lt;&gt;"",_PENDIENTES!$J$176,"")</f>
        <v/>
      </c>
      <c r="K182" s="301">
        <f>IF(_PENDIENTES!$B$176&lt;&gt;"","POR RECOGER","")</f>
        <v/>
      </c>
      <c r="L182" s="301">
        <f>IF(_PENDIENTES!$B$176&lt;&gt;"",_PENDIENTES!$K$176,"")</f>
        <v/>
      </c>
      <c r="M182" s="280">
        <f>IF(_PENDIENTES!$B$176&lt;&gt;"",_PENDIENTES!$B$176,"")</f>
        <v/>
      </c>
      <c r="N182" s="304">
        <f>IF(_PENDIENTES!$B$176&lt;&gt;"",_PENDIENTES!$L$176,"")</f>
        <v/>
      </c>
      <c r="O182" s="284" t="n"/>
      <c r="P182" s="284" t="n"/>
      <c r="Q182" s="284" t="n"/>
      <c r="R182" s="284" t="n"/>
      <c r="S182" s="284" t="n"/>
    </row>
    <row r="183" hidden="1" ht="15.75" customHeight="1" s="195">
      <c r="A183" s="241">
        <f>IF(_PENDIENTES!$B$177&lt;&gt;"",176,"")</f>
        <v/>
      </c>
      <c r="B183" s="236">
        <f>IF(_PENDIENTES!$B$177&lt;&gt;"",_PENDIENTES!$A$177,"")</f>
        <v/>
      </c>
      <c r="C183" s="305">
        <f>IF(_PENDIENTES!$B$177&lt;&gt;"",_PENDIENTES!$C$177,"")</f>
        <v/>
      </c>
      <c r="D183" s="241">
        <f>IF(_PENDIENTES!$B$177&lt;&gt;"",_PENDIENTES!$D$177,"")</f>
        <v/>
      </c>
      <c r="E183" s="307">
        <f>IF(_PENDIENTES!$B$177&lt;&gt;"",_PENDIENTES!$E$177,"")</f>
        <v/>
      </c>
      <c r="F183" s="241">
        <f>IF(_PENDIENTES!$B$177&lt;&gt;"",_PENDIENTES!$F$177,"")</f>
        <v/>
      </c>
      <c r="G183" s="239">
        <f>IF(_PENDIENTES!$B$177&lt;&gt;"",_PENDIENTES!$G$177,"")</f>
        <v/>
      </c>
      <c r="H183" s="239">
        <f>IF(_PENDIENTES!$B$177&lt;&gt;"",_PENDIENTES!$H$177,"")</f>
        <v/>
      </c>
      <c r="I183" s="308">
        <f>IF(_PENDIENTES!$B$177&lt;&gt;"",_PENDIENTES!$I$177,"")</f>
        <v/>
      </c>
      <c r="J183" s="239">
        <f>IF(_PENDIENTES!$B$177&lt;&gt;"",_PENDIENTES!$J$177,"")</f>
        <v/>
      </c>
      <c r="K183" s="241">
        <f>IF(_PENDIENTES!$B$177&lt;&gt;"","POR RECOGER","")</f>
        <v/>
      </c>
      <c r="L183" s="241">
        <f>IF(_PENDIENTES!$B$177&lt;&gt;"",_PENDIENTES!$K$177,"")</f>
        <v/>
      </c>
      <c r="M183" s="280">
        <f>IF(_PENDIENTES!$B$177&lt;&gt;"",_PENDIENTES!$B$177,"")</f>
        <v/>
      </c>
      <c r="N183" s="304">
        <f>IF(_PENDIENTES!$B$177&lt;&gt;"",_PENDIENTES!$L$177,"")</f>
        <v/>
      </c>
      <c r="O183" s="284" t="n"/>
      <c r="P183" s="284" t="n"/>
      <c r="Q183" s="284" t="n"/>
      <c r="R183" s="284" t="n"/>
      <c r="S183" s="284" t="n"/>
    </row>
    <row r="184" hidden="1" ht="15.75" customHeight="1" s="195">
      <c r="A184" s="301">
        <f>IF(_PENDIENTES!$B$178&lt;&gt;"",177,"")</f>
        <v/>
      </c>
      <c r="B184" s="242">
        <f>IF(_PENDIENTES!$B$178&lt;&gt;"",_PENDIENTES!$A$178,"")</f>
        <v/>
      </c>
      <c r="C184" s="302">
        <f>IF(_PENDIENTES!$B$178&lt;&gt;"",_PENDIENTES!$C$178,"")</f>
        <v/>
      </c>
      <c r="D184" s="301">
        <f>IF(_PENDIENTES!$B$178&lt;&gt;"",_PENDIENTES!$D$178,"")</f>
        <v/>
      </c>
      <c r="E184" s="306">
        <f>IF(_PENDIENTES!$B$178&lt;&gt;"",_PENDIENTES!$E$178,"")</f>
        <v/>
      </c>
      <c r="F184" s="301">
        <f>IF(_PENDIENTES!$B$178&lt;&gt;"",_PENDIENTES!$F$178,"")</f>
        <v/>
      </c>
      <c r="G184" s="245">
        <f>IF(_PENDIENTES!$B$178&lt;&gt;"",_PENDIENTES!$G$178,"")</f>
        <v/>
      </c>
      <c r="H184" s="245">
        <f>IF(_PENDIENTES!$B$178&lt;&gt;"",_PENDIENTES!$H$178,"")</f>
        <v/>
      </c>
      <c r="I184" s="303">
        <f>IF(_PENDIENTES!$B$178&lt;&gt;"",_PENDIENTES!$I$178,"")</f>
        <v/>
      </c>
      <c r="J184" s="245">
        <f>IF(_PENDIENTES!$B$178&lt;&gt;"",_PENDIENTES!$J$178,"")</f>
        <v/>
      </c>
      <c r="K184" s="301">
        <f>IF(_PENDIENTES!$B$178&lt;&gt;"","POR RECOGER","")</f>
        <v/>
      </c>
      <c r="L184" s="301">
        <f>IF(_PENDIENTES!$B$178&lt;&gt;"",_PENDIENTES!$K$178,"")</f>
        <v/>
      </c>
      <c r="M184" s="280">
        <f>IF(_PENDIENTES!$B$178&lt;&gt;"",_PENDIENTES!$B$178,"")</f>
        <v/>
      </c>
      <c r="N184" s="304">
        <f>IF(_PENDIENTES!$B$178&lt;&gt;"",_PENDIENTES!$L$178,"")</f>
        <v/>
      </c>
      <c r="O184" s="284" t="n"/>
      <c r="P184" s="284" t="n"/>
      <c r="Q184" s="284" t="n"/>
      <c r="R184" s="284" t="n"/>
      <c r="S184" s="284" t="n"/>
    </row>
    <row r="185" hidden="1" ht="15.75" customHeight="1" s="195">
      <c r="A185" s="241">
        <f>IF(_PENDIENTES!$B$179&lt;&gt;"",178,"")</f>
        <v/>
      </c>
      <c r="B185" s="236">
        <f>IF(_PENDIENTES!$B$179&lt;&gt;"",_PENDIENTES!$A$179,"")</f>
        <v/>
      </c>
      <c r="C185" s="305">
        <f>IF(_PENDIENTES!$B$179&lt;&gt;"",_PENDIENTES!$C$179,"")</f>
        <v/>
      </c>
      <c r="D185" s="241">
        <f>IF(_PENDIENTES!$B$179&lt;&gt;"",_PENDIENTES!$D$179,"")</f>
        <v/>
      </c>
      <c r="E185" s="307">
        <f>IF(_PENDIENTES!$B$179&lt;&gt;"",_PENDIENTES!$E$179,"")</f>
        <v/>
      </c>
      <c r="F185" s="241">
        <f>IF(_PENDIENTES!$B$179&lt;&gt;"",_PENDIENTES!$F$179,"")</f>
        <v/>
      </c>
      <c r="G185" s="239">
        <f>IF(_PENDIENTES!$B$179&lt;&gt;"",_PENDIENTES!$G$179,"")</f>
        <v/>
      </c>
      <c r="H185" s="239">
        <f>IF(_PENDIENTES!$B$179&lt;&gt;"",_PENDIENTES!$H$179,"")</f>
        <v/>
      </c>
      <c r="I185" s="308">
        <f>IF(_PENDIENTES!$B$179&lt;&gt;"",_PENDIENTES!$I$179,"")</f>
        <v/>
      </c>
      <c r="J185" s="239">
        <f>IF(_PENDIENTES!$B$179&lt;&gt;"",_PENDIENTES!$J$179,"")</f>
        <v/>
      </c>
      <c r="K185" s="241">
        <f>IF(_PENDIENTES!$B$179&lt;&gt;"","POR RECOGER","")</f>
        <v/>
      </c>
      <c r="L185" s="241">
        <f>IF(_PENDIENTES!$B$179&lt;&gt;"",_PENDIENTES!$K$179,"")</f>
        <v/>
      </c>
      <c r="M185" s="280">
        <f>IF(_PENDIENTES!$B$179&lt;&gt;"",_PENDIENTES!$B$179,"")</f>
        <v/>
      </c>
      <c r="N185" s="304">
        <f>IF(_PENDIENTES!$B$179&lt;&gt;"",_PENDIENTES!$L$179,"")</f>
        <v/>
      </c>
      <c r="O185" s="284" t="n"/>
      <c r="P185" s="284" t="n"/>
      <c r="Q185" s="284" t="n"/>
      <c r="R185" s="284" t="n"/>
      <c r="S185" s="284" t="n"/>
    </row>
    <row r="186" ht="15.75" customHeight="1" s="195">
      <c r="A186" s="301">
        <f>IF(_PENDIENTES!$B$180&lt;&gt;"",179,"")</f>
        <v/>
      </c>
      <c r="B186" s="242">
        <f>IF(_PENDIENTES!$B$180&lt;&gt;"",_PENDIENTES!$A$180,"")</f>
        <v/>
      </c>
      <c r="C186" s="302">
        <f>IF(_PENDIENTES!$B$180&lt;&gt;"",_PENDIENTES!$C$180,"")</f>
        <v/>
      </c>
      <c r="D186" s="301">
        <f>IF(_PENDIENTES!$B$180&lt;&gt;"",_PENDIENTES!$D$180,"")</f>
        <v/>
      </c>
      <c r="E186" s="306">
        <f>IF(_PENDIENTES!$B$180&lt;&gt;"",_PENDIENTES!$E$180,"")</f>
        <v/>
      </c>
      <c r="F186" s="301">
        <f>IF(_PENDIENTES!$B$180&lt;&gt;"",_PENDIENTES!$F$180,"")</f>
        <v/>
      </c>
      <c r="G186" s="245">
        <f>IF(_PENDIENTES!$B$180&lt;&gt;"",_PENDIENTES!$G$180,"")</f>
        <v/>
      </c>
      <c r="H186" s="245">
        <f>IF(_PENDIENTES!$B$180&lt;&gt;"",_PENDIENTES!$H$180,"")</f>
        <v/>
      </c>
      <c r="I186" s="303">
        <f>IF(_PENDIENTES!$B$180&lt;&gt;"",_PENDIENTES!$I$180,"")</f>
        <v/>
      </c>
      <c r="J186" s="245">
        <f>IF(_PENDIENTES!$B$180&lt;&gt;"",_PENDIENTES!$J$180,"")</f>
        <v/>
      </c>
      <c r="K186" s="301">
        <f>IF(_PENDIENTES!$B$180&lt;&gt;"","POR RECOGER","")</f>
        <v/>
      </c>
      <c r="L186" s="301">
        <f>IF(_PENDIENTES!$B$180&lt;&gt;"",_PENDIENTES!$K$180,"")</f>
        <v/>
      </c>
      <c r="M186" s="280">
        <f>IF(_PENDIENTES!$B$180&lt;&gt;"",_PENDIENTES!$B$180,"")</f>
        <v/>
      </c>
      <c r="N186" s="304">
        <f>IF(_PENDIENTES!$B$180&lt;&gt;"",_PENDIENTES!$L$180,"")</f>
        <v/>
      </c>
      <c r="O186" s="284" t="n"/>
      <c r="P186" s="284" t="n"/>
      <c r="Q186" s="284" t="n"/>
      <c r="R186" s="284" t="n"/>
      <c r="S186" s="284" t="n"/>
    </row>
    <row r="187" hidden="1" ht="15.75" customHeight="1" s="195">
      <c r="A187" s="241">
        <f>IF(_PENDIENTES!$B$181&lt;&gt;"",180,"")</f>
        <v/>
      </c>
      <c r="B187" s="236">
        <f>IF(_PENDIENTES!$B$181&lt;&gt;"",_PENDIENTES!$A$181,"")</f>
        <v/>
      </c>
      <c r="C187" s="305">
        <f>IF(_PENDIENTES!$B$181&lt;&gt;"",_PENDIENTES!$C$181,"")</f>
        <v/>
      </c>
      <c r="D187" s="241">
        <f>IF(_PENDIENTES!$B$181&lt;&gt;"",_PENDIENTES!$D$181,"")</f>
        <v/>
      </c>
      <c r="E187" s="307">
        <f>IF(_PENDIENTES!$B$181&lt;&gt;"",_PENDIENTES!$E$181,"")</f>
        <v/>
      </c>
      <c r="F187" s="241">
        <f>IF(_PENDIENTES!$B$181&lt;&gt;"",_PENDIENTES!$F$181,"")</f>
        <v/>
      </c>
      <c r="G187" s="239">
        <f>IF(_PENDIENTES!$B$181&lt;&gt;"",_PENDIENTES!$G$181,"")</f>
        <v/>
      </c>
      <c r="H187" s="239">
        <f>IF(_PENDIENTES!$B$181&lt;&gt;"",_PENDIENTES!$H$181,"")</f>
        <v/>
      </c>
      <c r="I187" s="308">
        <f>IF(_PENDIENTES!$B$181&lt;&gt;"",_PENDIENTES!$I$181,"")</f>
        <v/>
      </c>
      <c r="J187" s="239">
        <f>IF(_PENDIENTES!$B$181&lt;&gt;"",_PENDIENTES!$J$181,"")</f>
        <v/>
      </c>
      <c r="K187" s="241">
        <f>IF(_PENDIENTES!$B$181&lt;&gt;"","POR RECOGER","")</f>
        <v/>
      </c>
      <c r="L187" s="241">
        <f>IF(_PENDIENTES!$B$181&lt;&gt;"",_PENDIENTES!$K$181,"")</f>
        <v/>
      </c>
      <c r="M187" s="280">
        <f>IF(_PENDIENTES!$B$181&lt;&gt;"",_PENDIENTES!$B$181,"")</f>
        <v/>
      </c>
      <c r="N187" s="304">
        <f>IF(_PENDIENTES!$B$181&lt;&gt;"",_PENDIENTES!$L$181,"")</f>
        <v/>
      </c>
      <c r="O187" s="284" t="n"/>
      <c r="P187" s="284" t="n"/>
      <c r="Q187" s="284" t="n"/>
      <c r="R187" s="284" t="n"/>
      <c r="S187" s="284" t="n"/>
    </row>
    <row r="188" hidden="1" ht="15.75" customHeight="1" s="195">
      <c r="A188" s="301">
        <f>IF(_PENDIENTES!$B$182&lt;&gt;"",181,"")</f>
        <v/>
      </c>
      <c r="B188" s="242">
        <f>IF(_PENDIENTES!$B$182&lt;&gt;"",_PENDIENTES!$A$182,"")</f>
        <v/>
      </c>
      <c r="C188" s="302">
        <f>IF(_PENDIENTES!$B$182&lt;&gt;"",_PENDIENTES!$C$182,"")</f>
        <v/>
      </c>
      <c r="D188" s="301">
        <f>IF(_PENDIENTES!$B$182&lt;&gt;"",_PENDIENTES!$D$182,"")</f>
        <v/>
      </c>
      <c r="E188" s="306">
        <f>IF(_PENDIENTES!$B$182&lt;&gt;"",_PENDIENTES!$E$182,"")</f>
        <v/>
      </c>
      <c r="F188" s="301">
        <f>IF(_PENDIENTES!$B$182&lt;&gt;"",_PENDIENTES!$F$182,"")</f>
        <v/>
      </c>
      <c r="G188" s="245">
        <f>IF(_PENDIENTES!$B$182&lt;&gt;"",_PENDIENTES!$G$182,"")</f>
        <v/>
      </c>
      <c r="H188" s="245">
        <f>IF(_PENDIENTES!$B$182&lt;&gt;"",_PENDIENTES!$H$182,"")</f>
        <v/>
      </c>
      <c r="I188" s="303">
        <f>IF(_PENDIENTES!$B$182&lt;&gt;"",_PENDIENTES!$I$182,"")</f>
        <v/>
      </c>
      <c r="J188" s="245">
        <f>IF(_PENDIENTES!$B$182&lt;&gt;"",_PENDIENTES!$J$182,"")</f>
        <v/>
      </c>
      <c r="K188" s="301">
        <f>IF(_PENDIENTES!$B$182&lt;&gt;"","POR RECOGER","")</f>
        <v/>
      </c>
      <c r="L188" s="301">
        <f>IF(_PENDIENTES!$B$182&lt;&gt;"",_PENDIENTES!$K$182,"")</f>
        <v/>
      </c>
      <c r="M188" s="280">
        <f>IF(_PENDIENTES!$B$182&lt;&gt;"",_PENDIENTES!$B$182,"")</f>
        <v/>
      </c>
      <c r="N188" s="304">
        <f>IF(_PENDIENTES!$B$182&lt;&gt;"",_PENDIENTES!$L$182,"")</f>
        <v/>
      </c>
      <c r="O188" s="284" t="n"/>
      <c r="P188" s="284" t="n"/>
      <c r="Q188" s="284" t="n"/>
      <c r="R188" s="284" t="n"/>
      <c r="S188" s="284" t="n"/>
    </row>
    <row r="189" hidden="1" ht="15.75" customHeight="1" s="195">
      <c r="A189" s="241">
        <f>IF(_PENDIENTES!$B$183&lt;&gt;"",182,"")</f>
        <v/>
      </c>
      <c r="B189" s="236">
        <f>IF(_PENDIENTES!$B$183&lt;&gt;"",_PENDIENTES!$A$183,"")</f>
        <v/>
      </c>
      <c r="C189" s="305">
        <f>IF(_PENDIENTES!$B$183&lt;&gt;"",_PENDIENTES!$C$183,"")</f>
        <v/>
      </c>
      <c r="D189" s="241">
        <f>IF(_PENDIENTES!$B$183&lt;&gt;"",_PENDIENTES!$D$183,"")</f>
        <v/>
      </c>
      <c r="E189" s="307">
        <f>IF(_PENDIENTES!$B$183&lt;&gt;"",_PENDIENTES!$E$183,"")</f>
        <v/>
      </c>
      <c r="F189" s="241">
        <f>IF(_PENDIENTES!$B$183&lt;&gt;"",_PENDIENTES!$F$183,"")</f>
        <v/>
      </c>
      <c r="G189" s="239">
        <f>IF(_PENDIENTES!$B$183&lt;&gt;"",_PENDIENTES!$G$183,"")</f>
        <v/>
      </c>
      <c r="H189" s="239">
        <f>IF(_PENDIENTES!$B$183&lt;&gt;"",_PENDIENTES!$H$183,"")</f>
        <v/>
      </c>
      <c r="I189" s="308">
        <f>IF(_PENDIENTES!$B$183&lt;&gt;"",_PENDIENTES!$I$183,"")</f>
        <v/>
      </c>
      <c r="J189" s="239">
        <f>IF(_PENDIENTES!$B$183&lt;&gt;"",_PENDIENTES!$J$183,"")</f>
        <v/>
      </c>
      <c r="K189" s="241">
        <f>IF(_PENDIENTES!$B$183&lt;&gt;"","POR RECOGER","")</f>
        <v/>
      </c>
      <c r="L189" s="241">
        <f>IF(_PENDIENTES!$B$183&lt;&gt;"",_PENDIENTES!$K$183,"")</f>
        <v/>
      </c>
      <c r="M189" s="280">
        <f>IF(_PENDIENTES!$B$183&lt;&gt;"",_PENDIENTES!$B$183,"")</f>
        <v/>
      </c>
      <c r="N189" s="304">
        <f>IF(_PENDIENTES!$B$183&lt;&gt;"",_PENDIENTES!$L$183,"")</f>
        <v/>
      </c>
      <c r="O189" s="284" t="n"/>
      <c r="P189" s="284" t="n"/>
      <c r="Q189" s="284" t="n"/>
      <c r="R189" s="284" t="n"/>
      <c r="S189" s="284" t="n"/>
    </row>
    <row r="190" hidden="1" ht="15.75" customHeight="1" s="195">
      <c r="A190" s="301">
        <f>IF(_PENDIENTES!$B$184&lt;&gt;"",183,"")</f>
        <v/>
      </c>
      <c r="B190" s="242">
        <f>IF(_PENDIENTES!$B$184&lt;&gt;"",_PENDIENTES!$A$184,"")</f>
        <v/>
      </c>
      <c r="C190" s="302">
        <f>IF(_PENDIENTES!$B$184&lt;&gt;"",_PENDIENTES!$C$184,"")</f>
        <v/>
      </c>
      <c r="D190" s="301">
        <f>IF(_PENDIENTES!$B$184&lt;&gt;"",_PENDIENTES!$D$184,"")</f>
        <v/>
      </c>
      <c r="E190" s="306">
        <f>IF(_PENDIENTES!$B$184&lt;&gt;"",_PENDIENTES!$E$184,"")</f>
        <v/>
      </c>
      <c r="F190" s="301">
        <f>IF(_PENDIENTES!$B$184&lt;&gt;"",_PENDIENTES!$F$184,"")</f>
        <v/>
      </c>
      <c r="G190" s="245">
        <f>IF(_PENDIENTES!$B$184&lt;&gt;"",_PENDIENTES!$G$184,"")</f>
        <v/>
      </c>
      <c r="H190" s="245">
        <f>IF(_PENDIENTES!$B$184&lt;&gt;"",_PENDIENTES!$H$184,"")</f>
        <v/>
      </c>
      <c r="I190" s="303">
        <f>IF(_PENDIENTES!$B$184&lt;&gt;"",_PENDIENTES!$I$184,"")</f>
        <v/>
      </c>
      <c r="J190" s="245">
        <f>IF(_PENDIENTES!$B$184&lt;&gt;"",_PENDIENTES!$J$184,"")</f>
        <v/>
      </c>
      <c r="K190" s="301">
        <f>IF(_PENDIENTES!$B$184&lt;&gt;"","POR RECOGER","")</f>
        <v/>
      </c>
      <c r="L190" s="301">
        <f>IF(_PENDIENTES!$B$184&lt;&gt;"",_PENDIENTES!$K$184,"")</f>
        <v/>
      </c>
      <c r="M190" s="280">
        <f>IF(_PENDIENTES!$B$184&lt;&gt;"",_PENDIENTES!$B$184,"")</f>
        <v/>
      </c>
      <c r="N190" s="304">
        <f>IF(_PENDIENTES!$B$184&lt;&gt;"",_PENDIENTES!$L$184,"")</f>
        <v/>
      </c>
      <c r="O190" s="284" t="n"/>
      <c r="P190" s="284" t="n"/>
      <c r="Q190" s="284" t="n"/>
      <c r="R190" s="284" t="n"/>
      <c r="S190" s="284" t="n"/>
    </row>
    <row r="191" hidden="1" ht="15.75" customHeight="1" s="195">
      <c r="A191" s="241">
        <f>IF(_PENDIENTES!$B$185&lt;&gt;"",184,"")</f>
        <v/>
      </c>
      <c r="B191" s="236">
        <f>IF(_PENDIENTES!$B$185&lt;&gt;"",_PENDIENTES!$A$185,"")</f>
        <v/>
      </c>
      <c r="C191" s="305">
        <f>IF(_PENDIENTES!$B$185&lt;&gt;"",_PENDIENTES!$C$185,"")</f>
        <v/>
      </c>
      <c r="D191" s="241">
        <f>IF(_PENDIENTES!$B$185&lt;&gt;"",_PENDIENTES!$D$185,"")</f>
        <v/>
      </c>
      <c r="E191" s="307">
        <f>IF(_PENDIENTES!$B$185&lt;&gt;"",_PENDIENTES!$E$185,"")</f>
        <v/>
      </c>
      <c r="F191" s="241">
        <f>IF(_PENDIENTES!$B$185&lt;&gt;"",_PENDIENTES!$F$185,"")</f>
        <v/>
      </c>
      <c r="G191" s="239">
        <f>IF(_PENDIENTES!$B$185&lt;&gt;"",_PENDIENTES!$G$185,"")</f>
        <v/>
      </c>
      <c r="H191" s="239">
        <f>IF(_PENDIENTES!$B$185&lt;&gt;"",_PENDIENTES!$H$185,"")</f>
        <v/>
      </c>
      <c r="I191" s="308">
        <f>IF(_PENDIENTES!$B$185&lt;&gt;"",_PENDIENTES!$I$185,"")</f>
        <v/>
      </c>
      <c r="J191" s="239">
        <f>IF(_PENDIENTES!$B$185&lt;&gt;"",_PENDIENTES!$J$185,"")</f>
        <v/>
      </c>
      <c r="K191" s="241">
        <f>IF(_PENDIENTES!$B$185&lt;&gt;"","POR RECOGER","")</f>
        <v/>
      </c>
      <c r="L191" s="241">
        <f>IF(_PENDIENTES!$B$185&lt;&gt;"",_PENDIENTES!$K$185,"")</f>
        <v/>
      </c>
      <c r="M191" s="280">
        <f>IF(_PENDIENTES!$B$185&lt;&gt;"",_PENDIENTES!$B$185,"")</f>
        <v/>
      </c>
      <c r="N191" s="304">
        <f>IF(_PENDIENTES!$B$185&lt;&gt;"",_PENDIENTES!$L$185,"")</f>
        <v/>
      </c>
      <c r="O191" s="284" t="n"/>
      <c r="P191" s="284" t="n"/>
      <c r="Q191" s="284" t="n"/>
      <c r="R191" s="284" t="n"/>
      <c r="S191" s="284" t="n"/>
    </row>
    <row r="192" hidden="1" ht="15.75" customHeight="1" s="195">
      <c r="A192" s="301">
        <f>IF(_PENDIENTES!$B$186&lt;&gt;"",185,"")</f>
        <v/>
      </c>
      <c r="B192" s="242">
        <f>IF(_PENDIENTES!$B$186&lt;&gt;"",_PENDIENTES!$A$186,"")</f>
        <v/>
      </c>
      <c r="C192" s="302">
        <f>IF(_PENDIENTES!$B$186&lt;&gt;"",_PENDIENTES!$C$186,"")</f>
        <v/>
      </c>
      <c r="D192" s="301">
        <f>IF(_PENDIENTES!$B$186&lt;&gt;"",_PENDIENTES!$D$186,"")</f>
        <v/>
      </c>
      <c r="E192" s="306">
        <f>IF(_PENDIENTES!$B$186&lt;&gt;"",_PENDIENTES!$E$186,"")</f>
        <v/>
      </c>
      <c r="F192" s="301">
        <f>IF(_PENDIENTES!$B$186&lt;&gt;"",_PENDIENTES!$F$186,"")</f>
        <v/>
      </c>
      <c r="G192" s="245">
        <f>IF(_PENDIENTES!$B$186&lt;&gt;"",_PENDIENTES!$G$186,"")</f>
        <v/>
      </c>
      <c r="H192" s="245">
        <f>IF(_PENDIENTES!$B$186&lt;&gt;"",_PENDIENTES!$H$186,"")</f>
        <v/>
      </c>
      <c r="I192" s="303">
        <f>IF(_PENDIENTES!$B$186&lt;&gt;"",_PENDIENTES!$I$186,"")</f>
        <v/>
      </c>
      <c r="J192" s="245">
        <f>IF(_PENDIENTES!$B$186&lt;&gt;"",_PENDIENTES!$J$186,"")</f>
        <v/>
      </c>
      <c r="K192" s="301">
        <f>IF(_PENDIENTES!$B$186&lt;&gt;"","POR RECOGER","")</f>
        <v/>
      </c>
      <c r="L192" s="301">
        <f>IF(_PENDIENTES!$B$186&lt;&gt;"",_PENDIENTES!$K$186,"")</f>
        <v/>
      </c>
      <c r="M192" s="280">
        <f>IF(_PENDIENTES!$B$186&lt;&gt;"",_PENDIENTES!$B$186,"")</f>
        <v/>
      </c>
      <c r="N192" s="304">
        <f>IF(_PENDIENTES!$B$186&lt;&gt;"",_PENDIENTES!$L$186,"")</f>
        <v/>
      </c>
      <c r="O192" s="284" t="n"/>
      <c r="P192" s="284" t="n"/>
      <c r="Q192" s="284" t="n"/>
      <c r="R192" s="284" t="n"/>
      <c r="S192" s="284" t="n"/>
    </row>
    <row r="193" hidden="1" ht="15.75" customHeight="1" s="195">
      <c r="A193" s="241">
        <f>IF(_PENDIENTES!$B$187&lt;&gt;"",186,"")</f>
        <v/>
      </c>
      <c r="B193" s="236">
        <f>IF(_PENDIENTES!$B$187&lt;&gt;"",_PENDIENTES!$A$187,"")</f>
        <v/>
      </c>
      <c r="C193" s="305">
        <f>IF(_PENDIENTES!$B$187&lt;&gt;"",_PENDIENTES!$C$187,"")</f>
        <v/>
      </c>
      <c r="D193" s="241">
        <f>IF(_PENDIENTES!$B$187&lt;&gt;"",_PENDIENTES!$D$187,"")</f>
        <v/>
      </c>
      <c r="E193" s="307">
        <f>IF(_PENDIENTES!$B$187&lt;&gt;"",_PENDIENTES!$E$187,"")</f>
        <v/>
      </c>
      <c r="F193" s="241">
        <f>IF(_PENDIENTES!$B$187&lt;&gt;"",_PENDIENTES!$F$187,"")</f>
        <v/>
      </c>
      <c r="G193" s="239">
        <f>IF(_PENDIENTES!$B$187&lt;&gt;"",_PENDIENTES!$G$187,"")</f>
        <v/>
      </c>
      <c r="H193" s="239">
        <f>IF(_PENDIENTES!$B$187&lt;&gt;"",_PENDIENTES!$H$187,"")</f>
        <v/>
      </c>
      <c r="I193" s="308">
        <f>IF(_PENDIENTES!$B$187&lt;&gt;"",_PENDIENTES!$I$187,"")</f>
        <v/>
      </c>
      <c r="J193" s="239">
        <f>IF(_PENDIENTES!$B$187&lt;&gt;"",_PENDIENTES!$J$187,"")</f>
        <v/>
      </c>
      <c r="K193" s="241">
        <f>IF(_PENDIENTES!$B$187&lt;&gt;"","POR RECOGER","")</f>
        <v/>
      </c>
      <c r="L193" s="241">
        <f>IF(_PENDIENTES!$B$187&lt;&gt;"",_PENDIENTES!$K$187,"")</f>
        <v/>
      </c>
      <c r="M193" s="280">
        <f>IF(_PENDIENTES!$B$187&lt;&gt;"",_PENDIENTES!$B$187,"")</f>
        <v/>
      </c>
      <c r="N193" s="304">
        <f>IF(_PENDIENTES!$B$187&lt;&gt;"",_PENDIENTES!$L$187,"")</f>
        <v/>
      </c>
      <c r="O193" s="284" t="n"/>
      <c r="P193" s="284" t="n"/>
      <c r="Q193" s="284" t="n"/>
      <c r="R193" s="284" t="n"/>
      <c r="S193" s="284" t="n"/>
    </row>
    <row r="194" hidden="1" ht="15.75" customHeight="1" s="195">
      <c r="A194" s="301">
        <f>IF(_PENDIENTES!$B$188&lt;&gt;"",187,"")</f>
        <v/>
      </c>
      <c r="B194" s="242">
        <f>IF(_PENDIENTES!$B$188&lt;&gt;"",_PENDIENTES!$A$188,"")</f>
        <v/>
      </c>
      <c r="C194" s="302">
        <f>IF(_PENDIENTES!$B$188&lt;&gt;"",_PENDIENTES!$C$188,"")</f>
        <v/>
      </c>
      <c r="D194" s="301">
        <f>IF(_PENDIENTES!$B$188&lt;&gt;"",_PENDIENTES!$D$188,"")</f>
        <v/>
      </c>
      <c r="E194" s="306">
        <f>IF(_PENDIENTES!$B$188&lt;&gt;"",_PENDIENTES!$E$188,"")</f>
        <v/>
      </c>
      <c r="F194" s="301">
        <f>IF(_PENDIENTES!$B$188&lt;&gt;"",_PENDIENTES!$F$188,"")</f>
        <v/>
      </c>
      <c r="G194" s="245">
        <f>IF(_PENDIENTES!$B$188&lt;&gt;"",_PENDIENTES!$G$188,"")</f>
        <v/>
      </c>
      <c r="H194" s="245">
        <f>IF(_PENDIENTES!$B$188&lt;&gt;"",_PENDIENTES!$H$188,"")</f>
        <v/>
      </c>
      <c r="I194" s="303">
        <f>IF(_PENDIENTES!$B$188&lt;&gt;"",_PENDIENTES!$I$188,"")</f>
        <v/>
      </c>
      <c r="J194" s="245">
        <f>IF(_PENDIENTES!$B$188&lt;&gt;"",_PENDIENTES!$J$188,"")</f>
        <v/>
      </c>
      <c r="K194" s="301">
        <f>IF(_PENDIENTES!$B$188&lt;&gt;"","POR RECOGER","")</f>
        <v/>
      </c>
      <c r="L194" s="301">
        <f>IF(_PENDIENTES!$B$188&lt;&gt;"",_PENDIENTES!$K$188,"")</f>
        <v/>
      </c>
      <c r="M194" s="280">
        <f>IF(_PENDIENTES!$B$188&lt;&gt;"",_PENDIENTES!$B$188,"")</f>
        <v/>
      </c>
      <c r="N194" s="304">
        <f>IF(_PENDIENTES!$B$188&lt;&gt;"",_PENDIENTES!$L$188,"")</f>
        <v/>
      </c>
      <c r="O194" s="284" t="n"/>
      <c r="P194" s="284" t="n"/>
      <c r="Q194" s="284" t="n"/>
      <c r="R194" s="284" t="n"/>
      <c r="S194" s="284" t="n"/>
    </row>
    <row r="195" hidden="1" ht="15.75" customHeight="1" s="195">
      <c r="A195" s="241">
        <f>IF(_PENDIENTES!$B$189&lt;&gt;"",188,"")</f>
        <v/>
      </c>
      <c r="B195" s="236">
        <f>IF(_PENDIENTES!$B$189&lt;&gt;"",_PENDIENTES!$A$189,"")</f>
        <v/>
      </c>
      <c r="C195" s="305">
        <f>IF(_PENDIENTES!$B$189&lt;&gt;"",_PENDIENTES!$C$189,"")</f>
        <v/>
      </c>
      <c r="D195" s="241">
        <f>IF(_PENDIENTES!$B$189&lt;&gt;"",_PENDIENTES!$D$189,"")</f>
        <v/>
      </c>
      <c r="E195" s="307">
        <f>IF(_PENDIENTES!$B$189&lt;&gt;"",_PENDIENTES!$E$189,"")</f>
        <v/>
      </c>
      <c r="F195" s="241">
        <f>IF(_PENDIENTES!$B$189&lt;&gt;"",_PENDIENTES!$F$189,"")</f>
        <v/>
      </c>
      <c r="G195" s="239">
        <f>IF(_PENDIENTES!$B$189&lt;&gt;"",_PENDIENTES!$G$189,"")</f>
        <v/>
      </c>
      <c r="H195" s="239">
        <f>IF(_PENDIENTES!$B$189&lt;&gt;"",_PENDIENTES!$H$189,"")</f>
        <v/>
      </c>
      <c r="I195" s="308">
        <f>IF(_PENDIENTES!$B$189&lt;&gt;"",_PENDIENTES!$I$189,"")</f>
        <v/>
      </c>
      <c r="J195" s="239">
        <f>IF(_PENDIENTES!$B$189&lt;&gt;"",_PENDIENTES!$J$189,"")</f>
        <v/>
      </c>
      <c r="K195" s="241">
        <f>IF(_PENDIENTES!$B$189&lt;&gt;"","POR RECOGER","")</f>
        <v/>
      </c>
      <c r="L195" s="241">
        <f>IF(_PENDIENTES!$B$189&lt;&gt;"",_PENDIENTES!$K$189,"")</f>
        <v/>
      </c>
      <c r="M195" s="280">
        <f>IF(_PENDIENTES!$B$189&lt;&gt;"",_PENDIENTES!$B$189,"")</f>
        <v/>
      </c>
      <c r="N195" s="304">
        <f>IF(_PENDIENTES!$B$189&lt;&gt;"",_PENDIENTES!$L$189,"")</f>
        <v/>
      </c>
      <c r="O195" s="284" t="n"/>
      <c r="P195" s="284" t="n"/>
      <c r="Q195" s="284" t="n"/>
      <c r="R195" s="284" t="n"/>
      <c r="S195" s="284" t="n"/>
    </row>
    <row r="196" hidden="1" ht="15.75" customHeight="1" s="195">
      <c r="A196" s="301">
        <f>IF(_PENDIENTES!$B$190&lt;&gt;"",189,"")</f>
        <v/>
      </c>
      <c r="B196" s="242">
        <f>IF(_PENDIENTES!$B$190&lt;&gt;"",_PENDIENTES!$A$190,"")</f>
        <v/>
      </c>
      <c r="C196" s="302">
        <f>IF(_PENDIENTES!$B$190&lt;&gt;"",_PENDIENTES!$C$190,"")</f>
        <v/>
      </c>
      <c r="D196" s="301">
        <f>IF(_PENDIENTES!$B$190&lt;&gt;"",_PENDIENTES!$D$190,"")</f>
        <v/>
      </c>
      <c r="E196" s="306">
        <f>IF(_PENDIENTES!$B$190&lt;&gt;"",_PENDIENTES!$E$190,"")</f>
        <v/>
      </c>
      <c r="F196" s="301">
        <f>IF(_PENDIENTES!$B$190&lt;&gt;"",_PENDIENTES!$F$190,"")</f>
        <v/>
      </c>
      <c r="G196" s="245">
        <f>IF(_PENDIENTES!$B$190&lt;&gt;"",_PENDIENTES!$G$190,"")</f>
        <v/>
      </c>
      <c r="H196" s="245">
        <f>IF(_PENDIENTES!$B$190&lt;&gt;"",_PENDIENTES!$H$190,"")</f>
        <v/>
      </c>
      <c r="I196" s="303">
        <f>IF(_PENDIENTES!$B$190&lt;&gt;"",_PENDIENTES!$I$190,"")</f>
        <v/>
      </c>
      <c r="J196" s="245">
        <f>IF(_PENDIENTES!$B$190&lt;&gt;"",_PENDIENTES!$J$190,"")</f>
        <v/>
      </c>
      <c r="K196" s="301">
        <f>IF(_PENDIENTES!$B$190&lt;&gt;"","POR RECOGER","")</f>
        <v/>
      </c>
      <c r="L196" s="301">
        <f>IF(_PENDIENTES!$B$190&lt;&gt;"",_PENDIENTES!$K$190,"")</f>
        <v/>
      </c>
      <c r="M196" s="280">
        <f>IF(_PENDIENTES!$B$190&lt;&gt;"",_PENDIENTES!$B$190,"")</f>
        <v/>
      </c>
      <c r="N196" s="304">
        <f>IF(_PENDIENTES!$B$190&lt;&gt;"",_PENDIENTES!$L$190,"")</f>
        <v/>
      </c>
      <c r="O196" s="284" t="n"/>
      <c r="P196" s="284" t="n"/>
      <c r="Q196" s="284" t="n"/>
      <c r="R196" s="284" t="n"/>
      <c r="S196" s="284" t="n"/>
    </row>
    <row r="197" hidden="1" ht="15.75" customHeight="1" s="195">
      <c r="A197" s="241">
        <f>IF(_PENDIENTES!$B$191&lt;&gt;"",190,"")</f>
        <v/>
      </c>
      <c r="B197" s="236">
        <f>IF(_PENDIENTES!$B$191&lt;&gt;"",_PENDIENTES!$A$191,"")</f>
        <v/>
      </c>
      <c r="C197" s="305">
        <f>IF(_PENDIENTES!$B$191&lt;&gt;"",_PENDIENTES!$C$191,"")</f>
        <v/>
      </c>
      <c r="D197" s="241">
        <f>IF(_PENDIENTES!$B$191&lt;&gt;"",_PENDIENTES!$D$191,"")</f>
        <v/>
      </c>
      <c r="E197" s="307">
        <f>IF(_PENDIENTES!$B$191&lt;&gt;"",_PENDIENTES!$E$191,"")</f>
        <v/>
      </c>
      <c r="F197" s="241">
        <f>IF(_PENDIENTES!$B$191&lt;&gt;"",_PENDIENTES!$F$191,"")</f>
        <v/>
      </c>
      <c r="G197" s="239">
        <f>IF(_PENDIENTES!$B$191&lt;&gt;"",_PENDIENTES!$G$191,"")</f>
        <v/>
      </c>
      <c r="H197" s="239">
        <f>IF(_PENDIENTES!$B$191&lt;&gt;"",_PENDIENTES!$H$191,"")</f>
        <v/>
      </c>
      <c r="I197" s="308">
        <f>IF(_PENDIENTES!$B$191&lt;&gt;"",_PENDIENTES!$I$191,"")</f>
        <v/>
      </c>
      <c r="J197" s="239">
        <f>IF(_PENDIENTES!$B$191&lt;&gt;"",_PENDIENTES!$J$191,"")</f>
        <v/>
      </c>
      <c r="K197" s="241">
        <f>IF(_PENDIENTES!$B$191&lt;&gt;"","POR RECOGER","")</f>
        <v/>
      </c>
      <c r="L197" s="241">
        <f>IF(_PENDIENTES!$B$191&lt;&gt;"",_PENDIENTES!$K$191,"")</f>
        <v/>
      </c>
      <c r="M197" s="280">
        <f>IF(_PENDIENTES!$B$191&lt;&gt;"",_PENDIENTES!$B$191,"")</f>
        <v/>
      </c>
      <c r="N197" s="304">
        <f>IF(_PENDIENTES!$B$191&lt;&gt;"",_PENDIENTES!$L$191,"")</f>
        <v/>
      </c>
      <c r="O197" s="284" t="n"/>
      <c r="P197" s="284" t="n"/>
      <c r="Q197" s="284" t="n"/>
      <c r="R197" s="284" t="n"/>
      <c r="S197" s="284" t="n"/>
    </row>
    <row r="198" hidden="1" ht="15.75" customHeight="1" s="195">
      <c r="A198" s="301">
        <f>IF(_PENDIENTES!$B$192&lt;&gt;"",191,"")</f>
        <v/>
      </c>
      <c r="B198" s="242">
        <f>IF(_PENDIENTES!$B$192&lt;&gt;"",_PENDIENTES!$A$192,"")</f>
        <v/>
      </c>
      <c r="C198" s="302">
        <f>IF(_PENDIENTES!$B$192&lt;&gt;"",_PENDIENTES!$C$192,"")</f>
        <v/>
      </c>
      <c r="D198" s="301">
        <f>IF(_PENDIENTES!$B$192&lt;&gt;"",_PENDIENTES!$D$192,"")</f>
        <v/>
      </c>
      <c r="E198" s="306">
        <f>IF(_PENDIENTES!$B$192&lt;&gt;"",_PENDIENTES!$E$192,"")</f>
        <v/>
      </c>
      <c r="F198" s="301">
        <f>IF(_PENDIENTES!$B$192&lt;&gt;"",_PENDIENTES!$F$192,"")</f>
        <v/>
      </c>
      <c r="G198" s="245">
        <f>IF(_PENDIENTES!$B$192&lt;&gt;"",_PENDIENTES!$G$192,"")</f>
        <v/>
      </c>
      <c r="H198" s="245">
        <f>IF(_PENDIENTES!$B$192&lt;&gt;"",_PENDIENTES!$H$192,"")</f>
        <v/>
      </c>
      <c r="I198" s="303">
        <f>IF(_PENDIENTES!$B$192&lt;&gt;"",_PENDIENTES!$I$192,"")</f>
        <v/>
      </c>
      <c r="J198" s="245">
        <f>IF(_PENDIENTES!$B$192&lt;&gt;"",_PENDIENTES!$J$192,"")</f>
        <v/>
      </c>
      <c r="K198" s="301">
        <f>IF(_PENDIENTES!$B$192&lt;&gt;"","POR RECOGER","")</f>
        <v/>
      </c>
      <c r="L198" s="301">
        <f>IF(_PENDIENTES!$B$192&lt;&gt;"",_PENDIENTES!$K$192,"")</f>
        <v/>
      </c>
      <c r="M198" s="280">
        <f>IF(_PENDIENTES!$B$192&lt;&gt;"",_PENDIENTES!$B$192,"")</f>
        <v/>
      </c>
      <c r="N198" s="304">
        <f>IF(_PENDIENTES!$B$192&lt;&gt;"",_PENDIENTES!$L$192,"")</f>
        <v/>
      </c>
      <c r="O198" s="284" t="n"/>
      <c r="P198" s="284" t="n"/>
      <c r="Q198" s="284" t="n"/>
      <c r="R198" s="284" t="n"/>
      <c r="S198" s="284" t="n"/>
    </row>
    <row r="199" hidden="1" ht="15.75" customHeight="1" s="195">
      <c r="A199" s="241">
        <f>IF(_PENDIENTES!$B$193&lt;&gt;"",192,"")</f>
        <v/>
      </c>
      <c r="B199" s="236">
        <f>IF(_PENDIENTES!$B$193&lt;&gt;"",_PENDIENTES!$A$193,"")</f>
        <v/>
      </c>
      <c r="C199" s="305">
        <f>IF(_PENDIENTES!$B$193&lt;&gt;"",_PENDIENTES!$C$193,"")</f>
        <v/>
      </c>
      <c r="D199" s="241">
        <f>IF(_PENDIENTES!$B$193&lt;&gt;"",_PENDIENTES!$D$193,"")</f>
        <v/>
      </c>
      <c r="E199" s="307">
        <f>IF(_PENDIENTES!$B$193&lt;&gt;"",_PENDIENTES!$E$193,"")</f>
        <v/>
      </c>
      <c r="F199" s="241">
        <f>IF(_PENDIENTES!$B$193&lt;&gt;"",_PENDIENTES!$F$193,"")</f>
        <v/>
      </c>
      <c r="G199" s="239">
        <f>IF(_PENDIENTES!$B$193&lt;&gt;"",_PENDIENTES!$G$193,"")</f>
        <v/>
      </c>
      <c r="H199" s="239">
        <f>IF(_PENDIENTES!$B$193&lt;&gt;"",_PENDIENTES!$H$193,"")</f>
        <v/>
      </c>
      <c r="I199" s="308">
        <f>IF(_PENDIENTES!$B$193&lt;&gt;"",_PENDIENTES!$I$193,"")</f>
        <v/>
      </c>
      <c r="J199" s="239">
        <f>IF(_PENDIENTES!$B$193&lt;&gt;"",_PENDIENTES!$J$193,"")</f>
        <v/>
      </c>
      <c r="K199" s="241">
        <f>IF(_PENDIENTES!$B$193&lt;&gt;"","POR RECOGER","")</f>
        <v/>
      </c>
      <c r="L199" s="241">
        <f>IF(_PENDIENTES!$B$193&lt;&gt;"",_PENDIENTES!$K$193,"")</f>
        <v/>
      </c>
      <c r="M199" s="280">
        <f>IF(_PENDIENTES!$B$193&lt;&gt;"",_PENDIENTES!$B$193,"")</f>
        <v/>
      </c>
      <c r="N199" s="304">
        <f>IF(_PENDIENTES!$B$193&lt;&gt;"",_PENDIENTES!$L$193,"")</f>
        <v/>
      </c>
      <c r="O199" s="284" t="n"/>
      <c r="P199" s="284" t="n"/>
      <c r="Q199" s="284" t="n"/>
      <c r="R199" s="284" t="n"/>
      <c r="S199" s="284" t="n"/>
    </row>
    <row r="200" hidden="1" ht="15.75" customHeight="1" s="195">
      <c r="A200" s="301">
        <f>IF(_PENDIENTES!$B$194&lt;&gt;"",193,"")</f>
        <v/>
      </c>
      <c r="B200" s="242">
        <f>IF(_PENDIENTES!$B$194&lt;&gt;"",_PENDIENTES!$A$194,"")</f>
        <v/>
      </c>
      <c r="C200" s="302">
        <f>IF(_PENDIENTES!$B$194&lt;&gt;"",_PENDIENTES!$C$194,"")</f>
        <v/>
      </c>
      <c r="D200" s="301">
        <f>IF(_PENDIENTES!$B$194&lt;&gt;"",_PENDIENTES!$D$194,"")</f>
        <v/>
      </c>
      <c r="E200" s="306">
        <f>IF(_PENDIENTES!$B$194&lt;&gt;"",_PENDIENTES!$E$194,"")</f>
        <v/>
      </c>
      <c r="F200" s="301">
        <f>IF(_PENDIENTES!$B$194&lt;&gt;"",_PENDIENTES!$F$194,"")</f>
        <v/>
      </c>
      <c r="G200" s="245">
        <f>IF(_PENDIENTES!$B$194&lt;&gt;"",_PENDIENTES!$G$194,"")</f>
        <v/>
      </c>
      <c r="H200" s="245">
        <f>IF(_PENDIENTES!$B$194&lt;&gt;"",_PENDIENTES!$H$194,"")</f>
        <v/>
      </c>
      <c r="I200" s="303">
        <f>IF(_PENDIENTES!$B$194&lt;&gt;"",_PENDIENTES!$I$194,"")</f>
        <v/>
      </c>
      <c r="J200" s="245">
        <f>IF(_PENDIENTES!$B$194&lt;&gt;"",_PENDIENTES!$J$194,"")</f>
        <v/>
      </c>
      <c r="K200" s="301">
        <f>IF(_PENDIENTES!$B$194&lt;&gt;"","POR RECOGER","")</f>
        <v/>
      </c>
      <c r="L200" s="301">
        <f>IF(_PENDIENTES!$B$194&lt;&gt;"",_PENDIENTES!$K$194,"")</f>
        <v/>
      </c>
      <c r="M200" s="280">
        <f>IF(_PENDIENTES!$B$194&lt;&gt;"",_PENDIENTES!$B$194,"")</f>
        <v/>
      </c>
      <c r="N200" s="304">
        <f>IF(_PENDIENTES!$B$194&lt;&gt;"",_PENDIENTES!$L$194,"")</f>
        <v/>
      </c>
      <c r="O200" s="284" t="n"/>
      <c r="P200" s="284" t="n"/>
      <c r="Q200" s="284" t="n"/>
      <c r="R200" s="284" t="n"/>
      <c r="S200" s="284" t="n"/>
    </row>
    <row r="201" hidden="1" ht="15.75" customHeight="1" s="195">
      <c r="A201" s="241">
        <f>IF(_PENDIENTES!$B$195&lt;&gt;"",194,"")</f>
        <v/>
      </c>
      <c r="B201" s="236">
        <f>IF(_PENDIENTES!$B$195&lt;&gt;"",_PENDIENTES!$A$195,"")</f>
        <v/>
      </c>
      <c r="C201" s="305">
        <f>IF(_PENDIENTES!$B$195&lt;&gt;"",_PENDIENTES!$C$195,"")</f>
        <v/>
      </c>
      <c r="D201" s="241">
        <f>IF(_PENDIENTES!$B$195&lt;&gt;"",_PENDIENTES!$D$195,"")</f>
        <v/>
      </c>
      <c r="E201" s="307">
        <f>IF(_PENDIENTES!$B$195&lt;&gt;"",_PENDIENTES!$E$195,"")</f>
        <v/>
      </c>
      <c r="F201" s="241">
        <f>IF(_PENDIENTES!$B$195&lt;&gt;"",_PENDIENTES!$F$195,"")</f>
        <v/>
      </c>
      <c r="G201" s="239">
        <f>IF(_PENDIENTES!$B$195&lt;&gt;"",_PENDIENTES!$G$195,"")</f>
        <v/>
      </c>
      <c r="H201" s="239">
        <f>IF(_PENDIENTES!$B$195&lt;&gt;"",_PENDIENTES!$H$195,"")</f>
        <v/>
      </c>
      <c r="I201" s="308">
        <f>IF(_PENDIENTES!$B$195&lt;&gt;"",_PENDIENTES!$I$195,"")</f>
        <v/>
      </c>
      <c r="J201" s="239">
        <f>IF(_PENDIENTES!$B$195&lt;&gt;"",_PENDIENTES!$J$195,"")</f>
        <v/>
      </c>
      <c r="K201" s="241">
        <f>IF(_PENDIENTES!$B$195&lt;&gt;"","POR RECOGER","")</f>
        <v/>
      </c>
      <c r="L201" s="241">
        <f>IF(_PENDIENTES!$B$195&lt;&gt;"",_PENDIENTES!$K$195,"")</f>
        <v/>
      </c>
      <c r="M201" s="280">
        <f>IF(_PENDIENTES!$B$195&lt;&gt;"",_PENDIENTES!$B$195,"")</f>
        <v/>
      </c>
      <c r="N201" s="304">
        <f>IF(_PENDIENTES!$B$195&lt;&gt;"",_PENDIENTES!$L$195,"")</f>
        <v/>
      </c>
      <c r="O201" s="284" t="n"/>
      <c r="P201" s="284" t="n"/>
      <c r="Q201" s="284" t="n"/>
      <c r="R201" s="284" t="n"/>
      <c r="S201" s="284" t="n"/>
    </row>
    <row r="202" hidden="1" ht="15.75" customHeight="1" s="195">
      <c r="A202" s="301">
        <f>IF(_PENDIENTES!$B$196&lt;&gt;"",195,"")</f>
        <v/>
      </c>
      <c r="B202" s="242">
        <f>IF(_PENDIENTES!$B$196&lt;&gt;"",_PENDIENTES!$A$196,"")</f>
        <v/>
      </c>
      <c r="C202" s="302">
        <f>IF(_PENDIENTES!$B$196&lt;&gt;"",_PENDIENTES!$C$196,"")</f>
        <v/>
      </c>
      <c r="D202" s="301">
        <f>IF(_PENDIENTES!$B$196&lt;&gt;"",_PENDIENTES!$D$196,"")</f>
        <v/>
      </c>
      <c r="E202" s="306">
        <f>IF(_PENDIENTES!$B$196&lt;&gt;"",_PENDIENTES!$E$196,"")</f>
        <v/>
      </c>
      <c r="F202" s="301">
        <f>IF(_PENDIENTES!$B$196&lt;&gt;"",_PENDIENTES!$F$196,"")</f>
        <v/>
      </c>
      <c r="G202" s="245">
        <f>IF(_PENDIENTES!$B$196&lt;&gt;"",_PENDIENTES!$G$196,"")</f>
        <v/>
      </c>
      <c r="H202" s="245">
        <f>IF(_PENDIENTES!$B$196&lt;&gt;"",_PENDIENTES!$H$196,"")</f>
        <v/>
      </c>
      <c r="I202" s="303">
        <f>IF(_PENDIENTES!$B$196&lt;&gt;"",_PENDIENTES!$I$196,"")</f>
        <v/>
      </c>
      <c r="J202" s="245">
        <f>IF(_PENDIENTES!$B$196&lt;&gt;"",_PENDIENTES!$J$196,"")</f>
        <v/>
      </c>
      <c r="K202" s="301">
        <f>IF(_PENDIENTES!$B$196&lt;&gt;"","POR RECOGER","")</f>
        <v/>
      </c>
      <c r="L202" s="301">
        <f>IF(_PENDIENTES!$B$196&lt;&gt;"",_PENDIENTES!$K$196,"")</f>
        <v/>
      </c>
      <c r="M202" s="280">
        <f>IF(_PENDIENTES!$B$196&lt;&gt;"",_PENDIENTES!$B$196,"")</f>
        <v/>
      </c>
      <c r="N202" s="304">
        <f>IF(_PENDIENTES!$B$196&lt;&gt;"",_PENDIENTES!$L$196,"")</f>
        <v/>
      </c>
      <c r="O202" s="284" t="n"/>
      <c r="P202" s="284" t="n"/>
      <c r="Q202" s="284" t="n"/>
      <c r="R202" s="284" t="n"/>
      <c r="S202" s="284" t="n"/>
    </row>
    <row r="203" hidden="1" ht="15.75" customHeight="1" s="195">
      <c r="A203" s="241">
        <f>IF(_PENDIENTES!$B$197&lt;&gt;"",196,"")</f>
        <v/>
      </c>
      <c r="B203" s="236">
        <f>IF(_PENDIENTES!$B$197&lt;&gt;"",_PENDIENTES!$A$197,"")</f>
        <v/>
      </c>
      <c r="C203" s="305">
        <f>IF(_PENDIENTES!$B$197&lt;&gt;"",_PENDIENTES!$C$197,"")</f>
        <v/>
      </c>
      <c r="D203" s="241">
        <f>IF(_PENDIENTES!$B$197&lt;&gt;"",_PENDIENTES!$D$197,"")</f>
        <v/>
      </c>
      <c r="E203" s="307">
        <f>IF(_PENDIENTES!$B$197&lt;&gt;"",_PENDIENTES!$E$197,"")</f>
        <v/>
      </c>
      <c r="F203" s="241">
        <f>IF(_PENDIENTES!$B$197&lt;&gt;"",_PENDIENTES!$F$197,"")</f>
        <v/>
      </c>
      <c r="G203" s="239">
        <f>IF(_PENDIENTES!$B$197&lt;&gt;"",_PENDIENTES!$G$197,"")</f>
        <v/>
      </c>
      <c r="H203" s="239">
        <f>IF(_PENDIENTES!$B$197&lt;&gt;"",_PENDIENTES!$H$197,"")</f>
        <v/>
      </c>
      <c r="I203" s="308">
        <f>IF(_PENDIENTES!$B$197&lt;&gt;"",_PENDIENTES!$I$197,"")</f>
        <v/>
      </c>
      <c r="J203" s="239">
        <f>IF(_PENDIENTES!$B$197&lt;&gt;"",_PENDIENTES!$J$197,"")</f>
        <v/>
      </c>
      <c r="K203" s="241">
        <f>IF(_PENDIENTES!$B$197&lt;&gt;"","POR RECOGER","")</f>
        <v/>
      </c>
      <c r="L203" s="241">
        <f>IF(_PENDIENTES!$B$197&lt;&gt;"",_PENDIENTES!$K$197,"")</f>
        <v/>
      </c>
      <c r="M203" s="280">
        <f>IF(_PENDIENTES!$B$197&lt;&gt;"",_PENDIENTES!$B$197,"")</f>
        <v/>
      </c>
      <c r="N203" s="304">
        <f>IF(_PENDIENTES!$B$197&lt;&gt;"",_PENDIENTES!$L$197,"")</f>
        <v/>
      </c>
      <c r="O203" s="284" t="n"/>
      <c r="P203" s="284" t="n"/>
      <c r="Q203" s="284" t="n"/>
      <c r="R203" s="284" t="n"/>
      <c r="S203" s="284" t="n"/>
    </row>
    <row r="204" ht="15.75" customHeight="1" s="195">
      <c r="A204" s="301">
        <f>IF(_PENDIENTES!$B$198&lt;&gt;"",197,"")</f>
        <v/>
      </c>
      <c r="B204" s="242">
        <f>IF(_PENDIENTES!$B$198&lt;&gt;"",_PENDIENTES!$A$198,"")</f>
        <v/>
      </c>
      <c r="C204" s="302">
        <f>IF(_PENDIENTES!$B$198&lt;&gt;"",_PENDIENTES!$C$198,"")</f>
        <v/>
      </c>
      <c r="D204" s="301">
        <f>IF(_PENDIENTES!$B$198&lt;&gt;"",_PENDIENTES!$D$198,"")</f>
        <v/>
      </c>
      <c r="E204" s="306">
        <f>IF(_PENDIENTES!$B$198&lt;&gt;"",_PENDIENTES!$E$198,"")</f>
        <v/>
      </c>
      <c r="F204" s="301">
        <f>IF(_PENDIENTES!$B$198&lt;&gt;"",_PENDIENTES!$F$198,"")</f>
        <v/>
      </c>
      <c r="G204" s="245">
        <f>IF(_PENDIENTES!$B$198&lt;&gt;"",_PENDIENTES!$G$198,"")</f>
        <v/>
      </c>
      <c r="H204" s="245">
        <f>IF(_PENDIENTES!$B$198&lt;&gt;"",_PENDIENTES!$H$198,"")</f>
        <v/>
      </c>
      <c r="I204" s="303">
        <f>IF(_PENDIENTES!$B$198&lt;&gt;"",_PENDIENTES!$I$198,"")</f>
        <v/>
      </c>
      <c r="J204" s="245">
        <f>IF(_PENDIENTES!$B$198&lt;&gt;"",_PENDIENTES!$J$198,"")</f>
        <v/>
      </c>
      <c r="K204" s="301">
        <f>IF(_PENDIENTES!$B$198&lt;&gt;"","POR RECOGER","")</f>
        <v/>
      </c>
      <c r="L204" s="301">
        <f>IF(_PENDIENTES!$B$198&lt;&gt;"",_PENDIENTES!$K$198,"")</f>
        <v/>
      </c>
      <c r="M204" s="280">
        <f>IF(_PENDIENTES!$B$198&lt;&gt;"",_PENDIENTES!$B$198,"")</f>
        <v/>
      </c>
      <c r="N204" s="304">
        <f>IF(_PENDIENTES!$B$198&lt;&gt;"",_PENDIENTES!$L$198,"")</f>
        <v/>
      </c>
      <c r="O204" s="284" t="n"/>
      <c r="P204" s="284" t="n"/>
      <c r="Q204" s="284" t="n"/>
      <c r="R204" s="284" t="n"/>
      <c r="S204" s="284" t="n"/>
    </row>
    <row r="205" hidden="1" ht="15.75" customHeight="1" s="195">
      <c r="A205" s="241">
        <f>IF(_PENDIENTES!$B$199&lt;&gt;"",198,"")</f>
        <v/>
      </c>
      <c r="B205" s="236">
        <f>IF(_PENDIENTES!$B$199&lt;&gt;"",_PENDIENTES!$A$199,"")</f>
        <v/>
      </c>
      <c r="C205" s="305">
        <f>IF(_PENDIENTES!$B$199&lt;&gt;"",_PENDIENTES!$C$199,"")</f>
        <v/>
      </c>
      <c r="D205" s="241">
        <f>IF(_PENDIENTES!$B$199&lt;&gt;"",_PENDIENTES!$D$199,"")</f>
        <v/>
      </c>
      <c r="E205" s="307">
        <f>IF(_PENDIENTES!$B$199&lt;&gt;"",_PENDIENTES!$E$199,"")</f>
        <v/>
      </c>
      <c r="F205" s="241">
        <f>IF(_PENDIENTES!$B$199&lt;&gt;"",_PENDIENTES!$F$199,"")</f>
        <v/>
      </c>
      <c r="G205" s="239">
        <f>IF(_PENDIENTES!$B$199&lt;&gt;"",_PENDIENTES!$G$199,"")</f>
        <v/>
      </c>
      <c r="H205" s="239">
        <f>IF(_PENDIENTES!$B$199&lt;&gt;"",_PENDIENTES!$H$199,"")</f>
        <v/>
      </c>
      <c r="I205" s="308">
        <f>IF(_PENDIENTES!$B$199&lt;&gt;"",_PENDIENTES!$I$199,"")</f>
        <v/>
      </c>
      <c r="J205" s="239">
        <f>IF(_PENDIENTES!$B$199&lt;&gt;"",_PENDIENTES!$J$199,"")</f>
        <v/>
      </c>
      <c r="K205" s="241">
        <f>IF(_PENDIENTES!$B$199&lt;&gt;"","POR RECOGER","")</f>
        <v/>
      </c>
      <c r="L205" s="241">
        <f>IF(_PENDIENTES!$B$199&lt;&gt;"",_PENDIENTES!$K$199,"")</f>
        <v/>
      </c>
      <c r="M205" s="280">
        <f>IF(_PENDIENTES!$B$199&lt;&gt;"",_PENDIENTES!$B$199,"")</f>
        <v/>
      </c>
      <c r="N205" s="304">
        <f>IF(_PENDIENTES!$B$199&lt;&gt;"",_PENDIENTES!$L$199,"")</f>
        <v/>
      </c>
      <c r="O205" s="284" t="n"/>
      <c r="P205" s="284" t="n"/>
      <c r="Q205" s="284" t="n"/>
      <c r="R205" s="284" t="n"/>
      <c r="S205" s="284" t="n"/>
    </row>
    <row r="206" hidden="1" ht="15.75" customHeight="1" s="195">
      <c r="A206" s="301">
        <f>IF(_PENDIENTES!$B$200&lt;&gt;"",199,"")</f>
        <v/>
      </c>
      <c r="B206" s="242">
        <f>IF(_PENDIENTES!$B$200&lt;&gt;"",_PENDIENTES!$A$200,"")</f>
        <v/>
      </c>
      <c r="C206" s="302">
        <f>IF(_PENDIENTES!$B$200&lt;&gt;"",_PENDIENTES!$C$200,"")</f>
        <v/>
      </c>
      <c r="D206" s="301">
        <f>IF(_PENDIENTES!$B$200&lt;&gt;"",_PENDIENTES!$D$200,"")</f>
        <v/>
      </c>
      <c r="E206" s="306">
        <f>IF(_PENDIENTES!$B$200&lt;&gt;"",_PENDIENTES!$E$200,"")</f>
        <v/>
      </c>
      <c r="F206" s="301">
        <f>IF(_PENDIENTES!$B$200&lt;&gt;"",_PENDIENTES!$F$200,"")</f>
        <v/>
      </c>
      <c r="G206" s="245">
        <f>IF(_PENDIENTES!$B$200&lt;&gt;"",_PENDIENTES!$G$200,"")</f>
        <v/>
      </c>
      <c r="H206" s="245">
        <f>IF(_PENDIENTES!$B$200&lt;&gt;"",_PENDIENTES!$H$200,"")</f>
        <v/>
      </c>
      <c r="I206" s="303">
        <f>IF(_PENDIENTES!$B$200&lt;&gt;"",_PENDIENTES!$I$200,"")</f>
        <v/>
      </c>
      <c r="J206" s="245">
        <f>IF(_PENDIENTES!$B$200&lt;&gt;"",_PENDIENTES!$J$200,"")</f>
        <v/>
      </c>
      <c r="K206" s="301">
        <f>IF(_PENDIENTES!$B$200&lt;&gt;"","POR RECOGER","")</f>
        <v/>
      </c>
      <c r="L206" s="301">
        <f>IF(_PENDIENTES!$B$200&lt;&gt;"",_PENDIENTES!$K$200,"")</f>
        <v/>
      </c>
      <c r="M206" s="280">
        <f>IF(_PENDIENTES!$B$200&lt;&gt;"",_PENDIENTES!$B$200,"")</f>
        <v/>
      </c>
      <c r="N206" s="304">
        <f>IF(_PENDIENTES!$B$200&lt;&gt;"",_PENDIENTES!$L$200,"")</f>
        <v/>
      </c>
      <c r="O206" s="284" t="n"/>
      <c r="P206" s="284" t="n"/>
      <c r="Q206" s="284" t="n"/>
      <c r="R206" s="284" t="n"/>
      <c r="S206" s="284" t="n"/>
    </row>
    <row r="207" hidden="1" ht="15.75" customHeight="1" s="195">
      <c r="A207" s="241">
        <f>IF(_PENDIENTES!$B$201&lt;&gt;"",200,"")</f>
        <v/>
      </c>
      <c r="B207" s="236">
        <f>IF(_PENDIENTES!$B$201&lt;&gt;"",_PENDIENTES!$A$201,"")</f>
        <v/>
      </c>
      <c r="C207" s="305">
        <f>IF(_PENDIENTES!$B$201&lt;&gt;"",_PENDIENTES!$C$201,"")</f>
        <v/>
      </c>
      <c r="D207" s="241">
        <f>IF(_PENDIENTES!$B$201&lt;&gt;"",_PENDIENTES!$D$201,"")</f>
        <v/>
      </c>
      <c r="E207" s="307">
        <f>IF(_PENDIENTES!$B$201&lt;&gt;"",_PENDIENTES!$E$201,"")</f>
        <v/>
      </c>
      <c r="F207" s="241">
        <f>IF(_PENDIENTES!$B$201&lt;&gt;"",_PENDIENTES!$F$201,"")</f>
        <v/>
      </c>
      <c r="G207" s="239">
        <f>IF(_PENDIENTES!$B$201&lt;&gt;"",_PENDIENTES!$G$201,"")</f>
        <v/>
      </c>
      <c r="H207" s="239">
        <f>IF(_PENDIENTES!$B$201&lt;&gt;"",_PENDIENTES!$H$201,"")</f>
        <v/>
      </c>
      <c r="I207" s="308">
        <f>IF(_PENDIENTES!$B$201&lt;&gt;"",_PENDIENTES!$I$201,"")</f>
        <v/>
      </c>
      <c r="J207" s="239">
        <f>IF(_PENDIENTES!$B$201&lt;&gt;"",_PENDIENTES!$J$201,"")</f>
        <v/>
      </c>
      <c r="K207" s="241">
        <f>IF(_PENDIENTES!$B$201&lt;&gt;"","POR RECOGER","")</f>
        <v/>
      </c>
      <c r="L207" s="241">
        <f>IF(_PENDIENTES!$B$201&lt;&gt;"",_PENDIENTES!$K$201,"")</f>
        <v/>
      </c>
      <c r="M207" s="280">
        <f>IF(_PENDIENTES!$B$201&lt;&gt;"",_PENDIENTES!$B$201,"")</f>
        <v/>
      </c>
      <c r="N207" s="304">
        <f>IF(_PENDIENTES!$B$201&lt;&gt;"",_PENDIENTES!$L$201,"")</f>
        <v/>
      </c>
      <c r="O207" s="284" t="n"/>
      <c r="P207" s="284" t="n"/>
      <c r="Q207" s="284" t="n"/>
      <c r="R207" s="284" t="n"/>
      <c r="S207" s="284" t="n"/>
    </row>
    <row r="208" hidden="1" ht="15.75" customHeight="1" s="195">
      <c r="A208" s="301">
        <f>IF(_PENDIENTES!$B$202&lt;&gt;"",201,"")</f>
        <v/>
      </c>
      <c r="B208" s="242">
        <f>IF(_PENDIENTES!$B$202&lt;&gt;"",_PENDIENTES!$A$202,"")</f>
        <v/>
      </c>
      <c r="C208" s="302">
        <f>IF(_PENDIENTES!$B$202&lt;&gt;"",_PENDIENTES!$C$202,"")</f>
        <v/>
      </c>
      <c r="D208" s="301">
        <f>IF(_PENDIENTES!$B$202&lt;&gt;"",_PENDIENTES!$D$202,"")</f>
        <v/>
      </c>
      <c r="E208" s="306">
        <f>IF(_PENDIENTES!$B$202&lt;&gt;"",_PENDIENTES!$E$202,"")</f>
        <v/>
      </c>
      <c r="F208" s="301">
        <f>IF(_PENDIENTES!$B$202&lt;&gt;"",_PENDIENTES!$F$202,"")</f>
        <v/>
      </c>
      <c r="G208" s="245">
        <f>IF(_PENDIENTES!$B$202&lt;&gt;"",_PENDIENTES!$G$202,"")</f>
        <v/>
      </c>
      <c r="H208" s="245">
        <f>IF(_PENDIENTES!$B$202&lt;&gt;"",_PENDIENTES!$H$202,"")</f>
        <v/>
      </c>
      <c r="I208" s="303">
        <f>IF(_PENDIENTES!$B$202&lt;&gt;"",_PENDIENTES!$I$202,"")</f>
        <v/>
      </c>
      <c r="J208" s="245">
        <f>IF(_PENDIENTES!$B$202&lt;&gt;"",_PENDIENTES!$J$202,"")</f>
        <v/>
      </c>
      <c r="K208" s="301">
        <f>IF(_PENDIENTES!$B$202&lt;&gt;"","POR RECOGER","")</f>
        <v/>
      </c>
      <c r="L208" s="301">
        <f>IF(_PENDIENTES!$B$202&lt;&gt;"",_PENDIENTES!$K$202,"")</f>
        <v/>
      </c>
      <c r="M208" s="280">
        <f>IF(_PENDIENTES!$B$202&lt;&gt;"",_PENDIENTES!$B$202,"")</f>
        <v/>
      </c>
      <c r="N208" s="304">
        <f>IF(_PENDIENTES!$B$202&lt;&gt;"",_PENDIENTES!$L$202,"")</f>
        <v/>
      </c>
      <c r="O208" s="284" t="n"/>
      <c r="P208" s="284" t="n"/>
      <c r="Q208" s="284" t="n"/>
      <c r="R208" s="284" t="n"/>
      <c r="S208" s="284" t="n"/>
    </row>
    <row r="209" hidden="1" ht="15.75" customHeight="1" s="195">
      <c r="A209" s="241">
        <f>IF(_PENDIENTES!$B$203&lt;&gt;"",202,"")</f>
        <v/>
      </c>
      <c r="B209" s="236">
        <f>IF(_PENDIENTES!$B$203&lt;&gt;"",_PENDIENTES!$A$203,"")</f>
        <v/>
      </c>
      <c r="C209" s="305">
        <f>IF(_PENDIENTES!$B$203&lt;&gt;"",_PENDIENTES!$C$203,"")</f>
        <v/>
      </c>
      <c r="D209" s="241">
        <f>IF(_PENDIENTES!$B$203&lt;&gt;"",_PENDIENTES!$D$203,"")</f>
        <v/>
      </c>
      <c r="E209" s="307">
        <f>IF(_PENDIENTES!$B$203&lt;&gt;"",_PENDIENTES!$E$203,"")</f>
        <v/>
      </c>
      <c r="F209" s="241">
        <f>IF(_PENDIENTES!$B$203&lt;&gt;"",_PENDIENTES!$F$203,"")</f>
        <v/>
      </c>
      <c r="G209" s="239">
        <f>IF(_PENDIENTES!$B$203&lt;&gt;"",_PENDIENTES!$G$203,"")</f>
        <v/>
      </c>
      <c r="H209" s="239">
        <f>IF(_PENDIENTES!$B$203&lt;&gt;"",_PENDIENTES!$H$203,"")</f>
        <v/>
      </c>
      <c r="I209" s="308">
        <f>IF(_PENDIENTES!$B$203&lt;&gt;"",_PENDIENTES!$I$203,"")</f>
        <v/>
      </c>
      <c r="J209" s="239">
        <f>IF(_PENDIENTES!$B$203&lt;&gt;"",_PENDIENTES!$J$203,"")</f>
        <v/>
      </c>
      <c r="K209" s="241">
        <f>IF(_PENDIENTES!$B$203&lt;&gt;"","POR RECOGER","")</f>
        <v/>
      </c>
      <c r="L209" s="241">
        <f>IF(_PENDIENTES!$B$203&lt;&gt;"",_PENDIENTES!$K$203,"")</f>
        <v/>
      </c>
      <c r="M209" s="280">
        <f>IF(_PENDIENTES!$B$203&lt;&gt;"",_PENDIENTES!$B$203,"")</f>
        <v/>
      </c>
      <c r="N209" s="304">
        <f>IF(_PENDIENTES!$B$203&lt;&gt;"",_PENDIENTES!$L$203,"")</f>
        <v/>
      </c>
      <c r="O209" s="284" t="n"/>
      <c r="P209" s="284" t="n"/>
      <c r="Q209" s="284" t="n"/>
      <c r="R209" s="284" t="n"/>
      <c r="S209" s="284" t="n"/>
    </row>
    <row r="210" hidden="1" ht="15.75" customHeight="1" s="195">
      <c r="A210" s="301">
        <f>IF(_PENDIENTES!$B$204&lt;&gt;"",203,"")</f>
        <v/>
      </c>
      <c r="B210" s="242">
        <f>IF(_PENDIENTES!$B$204&lt;&gt;"",_PENDIENTES!$A$204,"")</f>
        <v/>
      </c>
      <c r="C210" s="302">
        <f>IF(_PENDIENTES!$B$204&lt;&gt;"",_PENDIENTES!$C$204,"")</f>
        <v/>
      </c>
      <c r="D210" s="301">
        <f>IF(_PENDIENTES!$B$204&lt;&gt;"",_PENDIENTES!$D$204,"")</f>
        <v/>
      </c>
      <c r="E210" s="306">
        <f>IF(_PENDIENTES!$B$204&lt;&gt;"",_PENDIENTES!$E$204,"")</f>
        <v/>
      </c>
      <c r="F210" s="301">
        <f>IF(_PENDIENTES!$B$204&lt;&gt;"",_PENDIENTES!$F$204,"")</f>
        <v/>
      </c>
      <c r="G210" s="245">
        <f>IF(_PENDIENTES!$B$204&lt;&gt;"",_PENDIENTES!$G$204,"")</f>
        <v/>
      </c>
      <c r="H210" s="245">
        <f>IF(_PENDIENTES!$B$204&lt;&gt;"",_PENDIENTES!$H$204,"")</f>
        <v/>
      </c>
      <c r="I210" s="303">
        <f>IF(_PENDIENTES!$B$204&lt;&gt;"",_PENDIENTES!$I$204,"")</f>
        <v/>
      </c>
      <c r="J210" s="245">
        <f>IF(_PENDIENTES!$B$204&lt;&gt;"",_PENDIENTES!$J$204,"")</f>
        <v/>
      </c>
      <c r="K210" s="301">
        <f>IF(_PENDIENTES!$B$204&lt;&gt;"","POR RECOGER","")</f>
        <v/>
      </c>
      <c r="L210" s="301">
        <f>IF(_PENDIENTES!$B$204&lt;&gt;"",_PENDIENTES!$K$204,"")</f>
        <v/>
      </c>
      <c r="M210" s="280">
        <f>IF(_PENDIENTES!$B$204&lt;&gt;"",_PENDIENTES!$B$204,"")</f>
        <v/>
      </c>
      <c r="N210" s="304">
        <f>IF(_PENDIENTES!$B$204&lt;&gt;"",_PENDIENTES!$L$204,"")</f>
        <v/>
      </c>
      <c r="O210" s="284" t="n"/>
      <c r="P210" s="284" t="n"/>
      <c r="Q210" s="284" t="n"/>
      <c r="R210" s="284" t="n"/>
      <c r="S210" s="284" t="n"/>
    </row>
    <row r="211" hidden="1" ht="15.75" customHeight="1" s="195">
      <c r="A211" s="241">
        <f>IF(_PENDIENTES!$B$205&lt;&gt;"",204,"")</f>
        <v/>
      </c>
      <c r="B211" s="236">
        <f>IF(_PENDIENTES!$B$205&lt;&gt;"",_PENDIENTES!$A$205,"")</f>
        <v/>
      </c>
      <c r="C211" s="305">
        <f>IF(_PENDIENTES!$B$205&lt;&gt;"",_PENDIENTES!$C$205,"")</f>
        <v/>
      </c>
      <c r="D211" s="241">
        <f>IF(_PENDIENTES!$B$205&lt;&gt;"",_PENDIENTES!$D$205,"")</f>
        <v/>
      </c>
      <c r="E211" s="307">
        <f>IF(_PENDIENTES!$B$205&lt;&gt;"",_PENDIENTES!$E$205,"")</f>
        <v/>
      </c>
      <c r="F211" s="241">
        <f>IF(_PENDIENTES!$B$205&lt;&gt;"",_PENDIENTES!$F$205,"")</f>
        <v/>
      </c>
      <c r="G211" s="239">
        <f>IF(_PENDIENTES!$B$205&lt;&gt;"",_PENDIENTES!$G$205,"")</f>
        <v/>
      </c>
      <c r="H211" s="239">
        <f>IF(_PENDIENTES!$B$205&lt;&gt;"",_PENDIENTES!$H$205,"")</f>
        <v/>
      </c>
      <c r="I211" s="308">
        <f>IF(_PENDIENTES!$B$205&lt;&gt;"",_PENDIENTES!$I$205,"")</f>
        <v/>
      </c>
      <c r="J211" s="239">
        <f>IF(_PENDIENTES!$B$205&lt;&gt;"",_PENDIENTES!$J$205,"")</f>
        <v/>
      </c>
      <c r="K211" s="241">
        <f>IF(_PENDIENTES!$B$205&lt;&gt;"","POR RECOGER","")</f>
        <v/>
      </c>
      <c r="L211" s="241">
        <f>IF(_PENDIENTES!$B$205&lt;&gt;"",_PENDIENTES!$K$205,"")</f>
        <v/>
      </c>
      <c r="M211" s="280">
        <f>IF(_PENDIENTES!$B$205&lt;&gt;"",_PENDIENTES!$B$205,"")</f>
        <v/>
      </c>
      <c r="N211" s="304">
        <f>IF(_PENDIENTES!$B$205&lt;&gt;"",_PENDIENTES!$L$205,"")</f>
        <v/>
      </c>
      <c r="O211" s="284" t="n"/>
      <c r="P211" s="284" t="n"/>
      <c r="Q211" s="284" t="n"/>
      <c r="R211" s="284" t="n"/>
      <c r="S211" s="284" t="n"/>
    </row>
    <row r="212" hidden="1" ht="15.75" customHeight="1" s="195">
      <c r="A212" s="301">
        <f>IF(_PENDIENTES!$B$206&lt;&gt;"",205,"")</f>
        <v/>
      </c>
      <c r="B212" s="242">
        <f>IF(_PENDIENTES!$B$206&lt;&gt;"",_PENDIENTES!$A$206,"")</f>
        <v/>
      </c>
      <c r="C212" s="302">
        <f>IF(_PENDIENTES!$B$206&lt;&gt;"",_PENDIENTES!$C$206,"")</f>
        <v/>
      </c>
      <c r="D212" s="301">
        <f>IF(_PENDIENTES!$B$206&lt;&gt;"",_PENDIENTES!$D$206,"")</f>
        <v/>
      </c>
      <c r="E212" s="306">
        <f>IF(_PENDIENTES!$B$206&lt;&gt;"",_PENDIENTES!$E$206,"")</f>
        <v/>
      </c>
      <c r="F212" s="301">
        <f>IF(_PENDIENTES!$B$206&lt;&gt;"",_PENDIENTES!$F$206,"")</f>
        <v/>
      </c>
      <c r="G212" s="245">
        <f>IF(_PENDIENTES!$B$206&lt;&gt;"",_PENDIENTES!$G$206,"")</f>
        <v/>
      </c>
      <c r="H212" s="245">
        <f>IF(_PENDIENTES!$B$206&lt;&gt;"",_PENDIENTES!$H$206,"")</f>
        <v/>
      </c>
      <c r="I212" s="303">
        <f>IF(_PENDIENTES!$B$206&lt;&gt;"",_PENDIENTES!$I$206,"")</f>
        <v/>
      </c>
      <c r="J212" s="245">
        <f>IF(_PENDIENTES!$B$206&lt;&gt;"",_PENDIENTES!$J$206,"")</f>
        <v/>
      </c>
      <c r="K212" s="301">
        <f>IF(_PENDIENTES!$B$206&lt;&gt;"","POR RECOGER","")</f>
        <v/>
      </c>
      <c r="L212" s="301">
        <f>IF(_PENDIENTES!$B$206&lt;&gt;"",_PENDIENTES!$K$206,"")</f>
        <v/>
      </c>
      <c r="M212" s="280">
        <f>IF(_PENDIENTES!$B$206&lt;&gt;"",_PENDIENTES!$B$206,"")</f>
        <v/>
      </c>
      <c r="N212" s="304">
        <f>IF(_PENDIENTES!$B$206&lt;&gt;"",_PENDIENTES!$L$206,"")</f>
        <v/>
      </c>
      <c r="O212" s="284" t="n"/>
      <c r="P212" s="284" t="n"/>
      <c r="Q212" s="284" t="n"/>
      <c r="R212" s="284" t="n"/>
      <c r="S212" s="284" t="n"/>
    </row>
    <row r="213" hidden="1" ht="15.75" customHeight="1" s="195">
      <c r="A213" s="241">
        <f>IF(_PENDIENTES!$B$207&lt;&gt;"",206,"")</f>
        <v/>
      </c>
      <c r="B213" s="236">
        <f>IF(_PENDIENTES!$B$207&lt;&gt;"",_PENDIENTES!$A$207,"")</f>
        <v/>
      </c>
      <c r="C213" s="305">
        <f>IF(_PENDIENTES!$B$207&lt;&gt;"",_PENDIENTES!$C$207,"")</f>
        <v/>
      </c>
      <c r="D213" s="241">
        <f>IF(_PENDIENTES!$B$207&lt;&gt;"",_PENDIENTES!$D$207,"")</f>
        <v/>
      </c>
      <c r="E213" s="307">
        <f>IF(_PENDIENTES!$B$207&lt;&gt;"",_PENDIENTES!$E$207,"")</f>
        <v/>
      </c>
      <c r="F213" s="241">
        <f>IF(_PENDIENTES!$B$207&lt;&gt;"",_PENDIENTES!$F$207,"")</f>
        <v/>
      </c>
      <c r="G213" s="239">
        <f>IF(_PENDIENTES!$B$207&lt;&gt;"",_PENDIENTES!$G$207,"")</f>
        <v/>
      </c>
      <c r="H213" s="239">
        <f>IF(_PENDIENTES!$B$207&lt;&gt;"",_PENDIENTES!$H$207,"")</f>
        <v/>
      </c>
      <c r="I213" s="308">
        <f>IF(_PENDIENTES!$B$207&lt;&gt;"",_PENDIENTES!$I$207,"")</f>
        <v/>
      </c>
      <c r="J213" s="239">
        <f>IF(_PENDIENTES!$B$207&lt;&gt;"",_PENDIENTES!$J$207,"")</f>
        <v/>
      </c>
      <c r="K213" s="241">
        <f>IF(_PENDIENTES!$B$207&lt;&gt;"","POR RECOGER","")</f>
        <v/>
      </c>
      <c r="L213" s="241">
        <f>IF(_PENDIENTES!$B$207&lt;&gt;"",_PENDIENTES!$K$207,"")</f>
        <v/>
      </c>
      <c r="M213" s="280">
        <f>IF(_PENDIENTES!$B$207&lt;&gt;"",_PENDIENTES!$B$207,"")</f>
        <v/>
      </c>
      <c r="N213" s="304">
        <f>IF(_PENDIENTES!$B$207&lt;&gt;"",_PENDIENTES!$L$207,"")</f>
        <v/>
      </c>
      <c r="O213" s="284" t="n"/>
      <c r="P213" s="284" t="n"/>
      <c r="Q213" s="284" t="n"/>
      <c r="R213" s="284" t="n"/>
      <c r="S213" s="284" t="n"/>
    </row>
    <row r="214" hidden="1" ht="15.75" customHeight="1" s="195">
      <c r="A214" s="301">
        <f>IF(_PENDIENTES!$B$208&lt;&gt;"",207,"")</f>
        <v/>
      </c>
      <c r="B214" s="242">
        <f>IF(_PENDIENTES!$B$208&lt;&gt;"",_PENDIENTES!$A$208,"")</f>
        <v/>
      </c>
      <c r="C214" s="302">
        <f>IF(_PENDIENTES!$B$208&lt;&gt;"",_PENDIENTES!$C$208,"")</f>
        <v/>
      </c>
      <c r="D214" s="301">
        <f>IF(_PENDIENTES!$B$208&lt;&gt;"",_PENDIENTES!$D$208,"")</f>
        <v/>
      </c>
      <c r="E214" s="306">
        <f>IF(_PENDIENTES!$B$208&lt;&gt;"",_PENDIENTES!$E$208,"")</f>
        <v/>
      </c>
      <c r="F214" s="301">
        <f>IF(_PENDIENTES!$B$208&lt;&gt;"",_PENDIENTES!$F$208,"")</f>
        <v/>
      </c>
      <c r="G214" s="245">
        <f>IF(_PENDIENTES!$B$208&lt;&gt;"",_PENDIENTES!$G$208,"")</f>
        <v/>
      </c>
      <c r="H214" s="245">
        <f>IF(_PENDIENTES!$B$208&lt;&gt;"",_PENDIENTES!$H$208,"")</f>
        <v/>
      </c>
      <c r="I214" s="303">
        <f>IF(_PENDIENTES!$B$208&lt;&gt;"",_PENDIENTES!$I$208,"")</f>
        <v/>
      </c>
      <c r="J214" s="245">
        <f>IF(_PENDIENTES!$B$208&lt;&gt;"",_PENDIENTES!$J$208,"")</f>
        <v/>
      </c>
      <c r="K214" s="301">
        <f>IF(_PENDIENTES!$B$208&lt;&gt;"","POR RECOGER","")</f>
        <v/>
      </c>
      <c r="L214" s="301">
        <f>IF(_PENDIENTES!$B$208&lt;&gt;"",_PENDIENTES!$K$208,"")</f>
        <v/>
      </c>
      <c r="M214" s="280">
        <f>IF(_PENDIENTES!$B$208&lt;&gt;"",_PENDIENTES!$B$208,"")</f>
        <v/>
      </c>
      <c r="N214" s="304">
        <f>IF(_PENDIENTES!$B$208&lt;&gt;"",_PENDIENTES!$L$208,"")</f>
        <v/>
      </c>
      <c r="O214" s="284" t="n"/>
      <c r="P214" s="284" t="n"/>
      <c r="Q214" s="284" t="n"/>
      <c r="R214" s="284" t="n"/>
      <c r="S214" s="284" t="n"/>
    </row>
    <row r="215" hidden="1" ht="15.75" customHeight="1" s="195">
      <c r="A215" s="241">
        <f>IF(_PENDIENTES!$B$209&lt;&gt;"",208,"")</f>
        <v/>
      </c>
      <c r="B215" s="236">
        <f>IF(_PENDIENTES!$B$209&lt;&gt;"",_PENDIENTES!$A$209,"")</f>
        <v/>
      </c>
      <c r="C215" s="305">
        <f>IF(_PENDIENTES!$B$209&lt;&gt;"",_PENDIENTES!$C$209,"")</f>
        <v/>
      </c>
      <c r="D215" s="241">
        <f>IF(_PENDIENTES!$B$209&lt;&gt;"",_PENDIENTES!$D$209,"")</f>
        <v/>
      </c>
      <c r="E215" s="307">
        <f>IF(_PENDIENTES!$B$209&lt;&gt;"",_PENDIENTES!$E$209,"")</f>
        <v/>
      </c>
      <c r="F215" s="241">
        <f>IF(_PENDIENTES!$B$209&lt;&gt;"",_PENDIENTES!$F$209,"")</f>
        <v/>
      </c>
      <c r="G215" s="239">
        <f>IF(_PENDIENTES!$B$209&lt;&gt;"",_PENDIENTES!$G$209,"")</f>
        <v/>
      </c>
      <c r="H215" s="239">
        <f>IF(_PENDIENTES!$B$209&lt;&gt;"",_PENDIENTES!$H$209,"")</f>
        <v/>
      </c>
      <c r="I215" s="308">
        <f>IF(_PENDIENTES!$B$209&lt;&gt;"",_PENDIENTES!$I$209,"")</f>
        <v/>
      </c>
      <c r="J215" s="239">
        <f>IF(_PENDIENTES!$B$209&lt;&gt;"",_PENDIENTES!$J$209,"")</f>
        <v/>
      </c>
      <c r="K215" s="241">
        <f>IF(_PENDIENTES!$B$209&lt;&gt;"","POR RECOGER","")</f>
        <v/>
      </c>
      <c r="L215" s="241">
        <f>IF(_PENDIENTES!$B$209&lt;&gt;"",_PENDIENTES!$K$209,"")</f>
        <v/>
      </c>
      <c r="M215" s="280">
        <f>IF(_PENDIENTES!$B$209&lt;&gt;"",_PENDIENTES!$B$209,"")</f>
        <v/>
      </c>
      <c r="N215" s="304">
        <f>IF(_PENDIENTES!$B$209&lt;&gt;"",_PENDIENTES!$L$209,"")</f>
        <v/>
      </c>
      <c r="O215" s="284" t="n"/>
      <c r="P215" s="284" t="n"/>
      <c r="Q215" s="284" t="n"/>
      <c r="R215" s="284" t="n"/>
      <c r="S215" s="284" t="n"/>
    </row>
    <row r="216" hidden="1" ht="15.75" customHeight="1" s="195">
      <c r="A216" s="301">
        <f>IF(_PENDIENTES!$B$210&lt;&gt;"",209,"")</f>
        <v/>
      </c>
      <c r="B216" s="242">
        <f>IF(_PENDIENTES!$B$210&lt;&gt;"",_PENDIENTES!$A$210,"")</f>
        <v/>
      </c>
      <c r="C216" s="302">
        <f>IF(_PENDIENTES!$B$210&lt;&gt;"",_PENDIENTES!$C$210,"")</f>
        <v/>
      </c>
      <c r="D216" s="301">
        <f>IF(_PENDIENTES!$B$210&lt;&gt;"",_PENDIENTES!$D$210,"")</f>
        <v/>
      </c>
      <c r="E216" s="306">
        <f>IF(_PENDIENTES!$B$210&lt;&gt;"",_PENDIENTES!$E$210,"")</f>
        <v/>
      </c>
      <c r="F216" s="301">
        <f>IF(_PENDIENTES!$B$210&lt;&gt;"",_PENDIENTES!$F$210,"")</f>
        <v/>
      </c>
      <c r="G216" s="245">
        <f>IF(_PENDIENTES!$B$210&lt;&gt;"",_PENDIENTES!$G$210,"")</f>
        <v/>
      </c>
      <c r="H216" s="245">
        <f>IF(_PENDIENTES!$B$210&lt;&gt;"",_PENDIENTES!$H$210,"")</f>
        <v/>
      </c>
      <c r="I216" s="303">
        <f>IF(_PENDIENTES!$B$210&lt;&gt;"",_PENDIENTES!$I$210,"")</f>
        <v/>
      </c>
      <c r="J216" s="245">
        <f>IF(_PENDIENTES!$B$210&lt;&gt;"",_PENDIENTES!$J$210,"")</f>
        <v/>
      </c>
      <c r="K216" s="301">
        <f>IF(_PENDIENTES!$B$210&lt;&gt;"","POR RECOGER","")</f>
        <v/>
      </c>
      <c r="L216" s="301">
        <f>IF(_PENDIENTES!$B$210&lt;&gt;"",_PENDIENTES!$K$210,"")</f>
        <v/>
      </c>
      <c r="M216" s="280">
        <f>IF(_PENDIENTES!$B$210&lt;&gt;"",_PENDIENTES!$B$210,"")</f>
        <v/>
      </c>
      <c r="N216" s="304">
        <f>IF(_PENDIENTES!$B$210&lt;&gt;"",_PENDIENTES!$L$210,"")</f>
        <v/>
      </c>
      <c r="O216" s="284" t="n"/>
      <c r="P216" s="284" t="n"/>
      <c r="Q216" s="284" t="n"/>
      <c r="R216" s="284" t="n"/>
      <c r="S216" s="284" t="n"/>
    </row>
    <row r="217" hidden="1" ht="15.75" customHeight="1" s="195">
      <c r="A217" s="241">
        <f>IF(_PENDIENTES!$B$211&lt;&gt;"",210,"")</f>
        <v/>
      </c>
      <c r="B217" s="236">
        <f>IF(_PENDIENTES!$B$211&lt;&gt;"",_PENDIENTES!$A$211,"")</f>
        <v/>
      </c>
      <c r="C217" s="305">
        <f>IF(_PENDIENTES!$B$211&lt;&gt;"",_PENDIENTES!$C$211,"")</f>
        <v/>
      </c>
      <c r="D217" s="241">
        <f>IF(_PENDIENTES!$B$211&lt;&gt;"",_PENDIENTES!$D$211,"")</f>
        <v/>
      </c>
      <c r="E217" s="307">
        <f>IF(_PENDIENTES!$B$211&lt;&gt;"",_PENDIENTES!$E$211,"")</f>
        <v/>
      </c>
      <c r="F217" s="241">
        <f>IF(_PENDIENTES!$B$211&lt;&gt;"",_PENDIENTES!$F$211,"")</f>
        <v/>
      </c>
      <c r="G217" s="239">
        <f>IF(_PENDIENTES!$B$211&lt;&gt;"",_PENDIENTES!$G$211,"")</f>
        <v/>
      </c>
      <c r="H217" s="239">
        <f>IF(_PENDIENTES!$B$211&lt;&gt;"",_PENDIENTES!$H$211,"")</f>
        <v/>
      </c>
      <c r="I217" s="308">
        <f>IF(_PENDIENTES!$B$211&lt;&gt;"",_PENDIENTES!$I$211,"")</f>
        <v/>
      </c>
      <c r="J217" s="239">
        <f>IF(_PENDIENTES!$B$211&lt;&gt;"",_PENDIENTES!$J$211,"")</f>
        <v/>
      </c>
      <c r="K217" s="241">
        <f>IF(_PENDIENTES!$B$211&lt;&gt;"","POR RECOGER","")</f>
        <v/>
      </c>
      <c r="L217" s="241">
        <f>IF(_PENDIENTES!$B$211&lt;&gt;"",_PENDIENTES!$K$211,"")</f>
        <v/>
      </c>
      <c r="M217" s="280">
        <f>IF(_PENDIENTES!$B$211&lt;&gt;"",_PENDIENTES!$B$211,"")</f>
        <v/>
      </c>
      <c r="N217" s="304">
        <f>IF(_PENDIENTES!$B$211&lt;&gt;"",_PENDIENTES!$L$211,"")</f>
        <v/>
      </c>
      <c r="O217" s="284" t="n"/>
      <c r="P217" s="284" t="n"/>
      <c r="Q217" s="284" t="n"/>
      <c r="R217" s="284" t="n"/>
      <c r="S217" s="284" t="n"/>
    </row>
    <row r="218" hidden="1" ht="15.75" customHeight="1" s="195">
      <c r="A218" s="301">
        <f>IF(_PENDIENTES!$B$212&lt;&gt;"",211,"")</f>
        <v/>
      </c>
      <c r="B218" s="242">
        <f>IF(_PENDIENTES!$B$212&lt;&gt;"",_PENDIENTES!$A$212,"")</f>
        <v/>
      </c>
      <c r="C218" s="302">
        <f>IF(_PENDIENTES!$B$212&lt;&gt;"",_PENDIENTES!$C$212,"")</f>
        <v/>
      </c>
      <c r="D218" s="301">
        <f>IF(_PENDIENTES!$B$212&lt;&gt;"",_PENDIENTES!$D$212,"")</f>
        <v/>
      </c>
      <c r="E218" s="306">
        <f>IF(_PENDIENTES!$B$212&lt;&gt;"",_PENDIENTES!$E$212,"")</f>
        <v/>
      </c>
      <c r="F218" s="301">
        <f>IF(_PENDIENTES!$B$212&lt;&gt;"",_PENDIENTES!$F$212,"")</f>
        <v/>
      </c>
      <c r="G218" s="245">
        <f>IF(_PENDIENTES!$B$212&lt;&gt;"",_PENDIENTES!$G$212,"")</f>
        <v/>
      </c>
      <c r="H218" s="245">
        <f>IF(_PENDIENTES!$B$212&lt;&gt;"",_PENDIENTES!$H$212,"")</f>
        <v/>
      </c>
      <c r="I218" s="303">
        <f>IF(_PENDIENTES!$B$212&lt;&gt;"",_PENDIENTES!$I$212,"")</f>
        <v/>
      </c>
      <c r="J218" s="245">
        <f>IF(_PENDIENTES!$B$212&lt;&gt;"",_PENDIENTES!$J$212,"")</f>
        <v/>
      </c>
      <c r="K218" s="301">
        <f>IF(_PENDIENTES!$B$212&lt;&gt;"","POR RECOGER","")</f>
        <v/>
      </c>
      <c r="L218" s="301">
        <f>IF(_PENDIENTES!$B$212&lt;&gt;"",_PENDIENTES!$K$212,"")</f>
        <v/>
      </c>
      <c r="M218" s="280">
        <f>IF(_PENDIENTES!$B$212&lt;&gt;"",_PENDIENTES!$B$212,"")</f>
        <v/>
      </c>
      <c r="N218" s="304">
        <f>IF(_PENDIENTES!$B$212&lt;&gt;"",_PENDIENTES!$L$212,"")</f>
        <v/>
      </c>
      <c r="O218" s="284" t="n"/>
      <c r="P218" s="284" t="n"/>
      <c r="Q218" s="284" t="n"/>
      <c r="R218" s="284" t="n"/>
      <c r="S218" s="284" t="n"/>
    </row>
    <row r="219" hidden="1" ht="15.75" customHeight="1" s="195">
      <c r="A219" s="241">
        <f>IF(_PENDIENTES!$B$213&lt;&gt;"",212,"")</f>
        <v/>
      </c>
      <c r="B219" s="236">
        <f>IF(_PENDIENTES!$B$213&lt;&gt;"",_PENDIENTES!$A$213,"")</f>
        <v/>
      </c>
      <c r="C219" s="305">
        <f>IF(_PENDIENTES!$B$213&lt;&gt;"",_PENDIENTES!$C$213,"")</f>
        <v/>
      </c>
      <c r="D219" s="241">
        <f>IF(_PENDIENTES!$B$213&lt;&gt;"",_PENDIENTES!$D$213,"")</f>
        <v/>
      </c>
      <c r="E219" s="307">
        <f>IF(_PENDIENTES!$B$213&lt;&gt;"",_PENDIENTES!$E$213,"")</f>
        <v/>
      </c>
      <c r="F219" s="241">
        <f>IF(_PENDIENTES!$B$213&lt;&gt;"",_PENDIENTES!$F$213,"")</f>
        <v/>
      </c>
      <c r="G219" s="239">
        <f>IF(_PENDIENTES!$B$213&lt;&gt;"",_PENDIENTES!$G$213,"")</f>
        <v/>
      </c>
      <c r="H219" s="239">
        <f>IF(_PENDIENTES!$B$213&lt;&gt;"",_PENDIENTES!$H$213,"")</f>
        <v/>
      </c>
      <c r="I219" s="308">
        <f>IF(_PENDIENTES!$B$213&lt;&gt;"",_PENDIENTES!$I$213,"")</f>
        <v/>
      </c>
      <c r="J219" s="239">
        <f>IF(_PENDIENTES!$B$213&lt;&gt;"",_PENDIENTES!$J$213,"")</f>
        <v/>
      </c>
      <c r="K219" s="241">
        <f>IF(_PENDIENTES!$B$213&lt;&gt;"","POR RECOGER","")</f>
        <v/>
      </c>
      <c r="L219" s="241">
        <f>IF(_PENDIENTES!$B$213&lt;&gt;"",_PENDIENTES!$K$213,"")</f>
        <v/>
      </c>
      <c r="M219" s="280">
        <f>IF(_PENDIENTES!$B$213&lt;&gt;"",_PENDIENTES!$B$213,"")</f>
        <v/>
      </c>
      <c r="N219" s="304">
        <f>IF(_PENDIENTES!$B$213&lt;&gt;"",_PENDIENTES!$L$213,"")</f>
        <v/>
      </c>
      <c r="O219" s="284" t="n"/>
      <c r="P219" s="284" t="n"/>
      <c r="Q219" s="284" t="n"/>
      <c r="R219" s="284" t="n"/>
      <c r="S219" s="284" t="n"/>
    </row>
    <row r="220" hidden="1" ht="15.75" customHeight="1" s="195">
      <c r="A220" s="301">
        <f>IF(_PENDIENTES!$B$214&lt;&gt;"",213,"")</f>
        <v/>
      </c>
      <c r="B220" s="242">
        <f>IF(_PENDIENTES!$B$214&lt;&gt;"",_PENDIENTES!$A$214,"")</f>
        <v/>
      </c>
      <c r="C220" s="302">
        <f>IF(_PENDIENTES!$B$214&lt;&gt;"",_PENDIENTES!$C$214,"")</f>
        <v/>
      </c>
      <c r="D220" s="301">
        <f>IF(_PENDIENTES!$B$214&lt;&gt;"",_PENDIENTES!$D$214,"")</f>
        <v/>
      </c>
      <c r="E220" s="306">
        <f>IF(_PENDIENTES!$B$214&lt;&gt;"",_PENDIENTES!$E$214,"")</f>
        <v/>
      </c>
      <c r="F220" s="301">
        <f>IF(_PENDIENTES!$B$214&lt;&gt;"",_PENDIENTES!$F$214,"")</f>
        <v/>
      </c>
      <c r="G220" s="245">
        <f>IF(_PENDIENTES!$B$214&lt;&gt;"",_PENDIENTES!$G$214,"")</f>
        <v/>
      </c>
      <c r="H220" s="245">
        <f>IF(_PENDIENTES!$B$214&lt;&gt;"",_PENDIENTES!$H$214,"")</f>
        <v/>
      </c>
      <c r="I220" s="303">
        <f>IF(_PENDIENTES!$B$214&lt;&gt;"",_PENDIENTES!$I$214,"")</f>
        <v/>
      </c>
      <c r="J220" s="245">
        <f>IF(_PENDIENTES!$B$214&lt;&gt;"",_PENDIENTES!$J$214,"")</f>
        <v/>
      </c>
      <c r="K220" s="301">
        <f>IF(_PENDIENTES!$B$214&lt;&gt;"","POR RECOGER","")</f>
        <v/>
      </c>
      <c r="L220" s="301">
        <f>IF(_PENDIENTES!$B$214&lt;&gt;"",_PENDIENTES!$K$214,"")</f>
        <v/>
      </c>
      <c r="M220" s="280">
        <f>IF(_PENDIENTES!$B$214&lt;&gt;"",_PENDIENTES!$B$214,"")</f>
        <v/>
      </c>
      <c r="N220" s="304">
        <f>IF(_PENDIENTES!$B$214&lt;&gt;"",_PENDIENTES!$L$214,"")</f>
        <v/>
      </c>
      <c r="O220" s="284" t="n"/>
      <c r="P220" s="284" t="n"/>
      <c r="Q220" s="284" t="n"/>
      <c r="R220" s="284" t="n"/>
      <c r="S220" s="284" t="n"/>
    </row>
    <row r="221" hidden="1" ht="15.75" customHeight="1" s="195">
      <c r="A221" s="241">
        <f>IF(_PENDIENTES!$B$215&lt;&gt;"",214,"")</f>
        <v/>
      </c>
      <c r="B221" s="236">
        <f>IF(_PENDIENTES!$B$215&lt;&gt;"",_PENDIENTES!$A$215,"")</f>
        <v/>
      </c>
      <c r="C221" s="305">
        <f>IF(_PENDIENTES!$B$215&lt;&gt;"",_PENDIENTES!$C$215,"")</f>
        <v/>
      </c>
      <c r="D221" s="241">
        <f>IF(_PENDIENTES!$B$215&lt;&gt;"",_PENDIENTES!$D$215,"")</f>
        <v/>
      </c>
      <c r="E221" s="307">
        <f>IF(_PENDIENTES!$B$215&lt;&gt;"",_PENDIENTES!$E$215,"")</f>
        <v/>
      </c>
      <c r="F221" s="241">
        <f>IF(_PENDIENTES!$B$215&lt;&gt;"",_PENDIENTES!$F$215,"")</f>
        <v/>
      </c>
      <c r="G221" s="239">
        <f>IF(_PENDIENTES!$B$215&lt;&gt;"",_PENDIENTES!$G$215,"")</f>
        <v/>
      </c>
      <c r="H221" s="239">
        <f>IF(_PENDIENTES!$B$215&lt;&gt;"",_PENDIENTES!$H$215,"")</f>
        <v/>
      </c>
      <c r="I221" s="308">
        <f>IF(_PENDIENTES!$B$215&lt;&gt;"",_PENDIENTES!$I$215,"")</f>
        <v/>
      </c>
      <c r="J221" s="239">
        <f>IF(_PENDIENTES!$B$215&lt;&gt;"",_PENDIENTES!$J$215,"")</f>
        <v/>
      </c>
      <c r="K221" s="241">
        <f>IF(_PENDIENTES!$B$215&lt;&gt;"","POR RECOGER","")</f>
        <v/>
      </c>
      <c r="L221" s="241">
        <f>IF(_PENDIENTES!$B$215&lt;&gt;"",_PENDIENTES!$K$215,"")</f>
        <v/>
      </c>
      <c r="M221" s="280">
        <f>IF(_PENDIENTES!$B$215&lt;&gt;"",_PENDIENTES!$B$215,"")</f>
        <v/>
      </c>
      <c r="N221" s="304">
        <f>IF(_PENDIENTES!$B$215&lt;&gt;"",_PENDIENTES!$L$215,"")</f>
        <v/>
      </c>
      <c r="O221" s="284" t="n"/>
      <c r="P221" s="284" t="n"/>
      <c r="Q221" s="284" t="n"/>
      <c r="R221" s="284" t="n"/>
      <c r="S221" s="284" t="n"/>
    </row>
    <row r="222" hidden="1" ht="15.75" customHeight="1" s="195">
      <c r="A222" s="301">
        <f>IF(_PENDIENTES!$B$216&lt;&gt;"",215,"")</f>
        <v/>
      </c>
      <c r="B222" s="242">
        <f>IF(_PENDIENTES!$B$216&lt;&gt;"",_PENDIENTES!$A$216,"")</f>
        <v/>
      </c>
      <c r="C222" s="302">
        <f>IF(_PENDIENTES!$B$216&lt;&gt;"",_PENDIENTES!$C$216,"")</f>
        <v/>
      </c>
      <c r="D222" s="301">
        <f>IF(_PENDIENTES!$B$216&lt;&gt;"",_PENDIENTES!$D$216,"")</f>
        <v/>
      </c>
      <c r="E222" s="306">
        <f>IF(_PENDIENTES!$B$216&lt;&gt;"",_PENDIENTES!$E$216,"")</f>
        <v/>
      </c>
      <c r="F222" s="301">
        <f>IF(_PENDIENTES!$B$216&lt;&gt;"",_PENDIENTES!$F$216,"")</f>
        <v/>
      </c>
      <c r="G222" s="245">
        <f>IF(_PENDIENTES!$B$216&lt;&gt;"",_PENDIENTES!$G$216,"")</f>
        <v/>
      </c>
      <c r="H222" s="245">
        <f>IF(_PENDIENTES!$B$216&lt;&gt;"",_PENDIENTES!$H$216,"")</f>
        <v/>
      </c>
      <c r="I222" s="303">
        <f>IF(_PENDIENTES!$B$216&lt;&gt;"",_PENDIENTES!$I$216,"")</f>
        <v/>
      </c>
      <c r="J222" s="245">
        <f>IF(_PENDIENTES!$B$216&lt;&gt;"",_PENDIENTES!$J$216,"")</f>
        <v/>
      </c>
      <c r="K222" s="301">
        <f>IF(_PENDIENTES!$B$216&lt;&gt;"","POR RECOGER","")</f>
        <v/>
      </c>
      <c r="L222" s="301">
        <f>IF(_PENDIENTES!$B$216&lt;&gt;"",_PENDIENTES!$K$216,"")</f>
        <v/>
      </c>
      <c r="M222" s="280">
        <f>IF(_PENDIENTES!$B$216&lt;&gt;"",_PENDIENTES!$B$216,"")</f>
        <v/>
      </c>
      <c r="N222" s="304">
        <f>IF(_PENDIENTES!$B$216&lt;&gt;"",_PENDIENTES!$L$216,"")</f>
        <v/>
      </c>
      <c r="O222" s="284" t="n"/>
      <c r="P222" s="284" t="n"/>
      <c r="Q222" s="284" t="n"/>
      <c r="R222" s="284" t="n"/>
      <c r="S222" s="284" t="n"/>
    </row>
    <row r="223" hidden="1" ht="15.75" customHeight="1" s="195">
      <c r="A223" s="241">
        <f>IF(_PENDIENTES!$B$217&lt;&gt;"",216,"")</f>
        <v/>
      </c>
      <c r="B223" s="236">
        <f>IF(_PENDIENTES!$B$217&lt;&gt;"",_PENDIENTES!$A$217,"")</f>
        <v/>
      </c>
      <c r="C223" s="305">
        <f>IF(_PENDIENTES!$B$217&lt;&gt;"",_PENDIENTES!$C$217,"")</f>
        <v/>
      </c>
      <c r="D223" s="241">
        <f>IF(_PENDIENTES!$B$217&lt;&gt;"",_PENDIENTES!$D$217,"")</f>
        <v/>
      </c>
      <c r="E223" s="307">
        <f>IF(_PENDIENTES!$B$217&lt;&gt;"",_PENDIENTES!$E$217,"")</f>
        <v/>
      </c>
      <c r="F223" s="241">
        <f>IF(_PENDIENTES!$B$217&lt;&gt;"",_PENDIENTES!$F$217,"")</f>
        <v/>
      </c>
      <c r="G223" s="239">
        <f>IF(_PENDIENTES!$B$217&lt;&gt;"",_PENDIENTES!$G$217,"")</f>
        <v/>
      </c>
      <c r="H223" s="239">
        <f>IF(_PENDIENTES!$B$217&lt;&gt;"",_PENDIENTES!$H$217,"")</f>
        <v/>
      </c>
      <c r="I223" s="308">
        <f>IF(_PENDIENTES!$B$217&lt;&gt;"",_PENDIENTES!$I$217,"")</f>
        <v/>
      </c>
      <c r="J223" s="239">
        <f>IF(_PENDIENTES!$B$217&lt;&gt;"",_PENDIENTES!$J$217,"")</f>
        <v/>
      </c>
      <c r="K223" s="241">
        <f>IF(_PENDIENTES!$B$217&lt;&gt;"","POR RECOGER","")</f>
        <v/>
      </c>
      <c r="L223" s="241">
        <f>IF(_PENDIENTES!$B$217&lt;&gt;"",_PENDIENTES!$K$217,"")</f>
        <v/>
      </c>
      <c r="M223" s="280">
        <f>IF(_PENDIENTES!$B$217&lt;&gt;"",_PENDIENTES!$B$217,"")</f>
        <v/>
      </c>
      <c r="N223" s="304">
        <f>IF(_PENDIENTES!$B$217&lt;&gt;"",_PENDIENTES!$L$217,"")</f>
        <v/>
      </c>
      <c r="O223" s="284" t="n"/>
      <c r="P223" s="284" t="n"/>
      <c r="Q223" s="284" t="n"/>
      <c r="R223" s="284" t="n"/>
      <c r="S223" s="284" t="n"/>
    </row>
    <row r="224" hidden="1" ht="15.75" customHeight="1" s="195">
      <c r="A224" s="301">
        <f>IF(_PENDIENTES!$B$218&lt;&gt;"",217,"")</f>
        <v/>
      </c>
      <c r="B224" s="242">
        <f>IF(_PENDIENTES!$B$218&lt;&gt;"",_PENDIENTES!$A$218,"")</f>
        <v/>
      </c>
      <c r="C224" s="302">
        <f>IF(_PENDIENTES!$B$218&lt;&gt;"",_PENDIENTES!$C$218,"")</f>
        <v/>
      </c>
      <c r="D224" s="301">
        <f>IF(_PENDIENTES!$B$218&lt;&gt;"",_PENDIENTES!$D$218,"")</f>
        <v/>
      </c>
      <c r="E224" s="306">
        <f>IF(_PENDIENTES!$B$218&lt;&gt;"",_PENDIENTES!$E$218,"")</f>
        <v/>
      </c>
      <c r="F224" s="301">
        <f>IF(_PENDIENTES!$B$218&lt;&gt;"",_PENDIENTES!$F$218,"")</f>
        <v/>
      </c>
      <c r="G224" s="245">
        <f>IF(_PENDIENTES!$B$218&lt;&gt;"",_PENDIENTES!$G$218,"")</f>
        <v/>
      </c>
      <c r="H224" s="245">
        <f>IF(_PENDIENTES!$B$218&lt;&gt;"",_PENDIENTES!$H$218,"")</f>
        <v/>
      </c>
      <c r="I224" s="303">
        <f>IF(_PENDIENTES!$B$218&lt;&gt;"",_PENDIENTES!$I$218,"")</f>
        <v/>
      </c>
      <c r="J224" s="245">
        <f>IF(_PENDIENTES!$B$218&lt;&gt;"",_PENDIENTES!$J$218,"")</f>
        <v/>
      </c>
      <c r="K224" s="301">
        <f>IF(_PENDIENTES!$B$218&lt;&gt;"","POR RECOGER","")</f>
        <v/>
      </c>
      <c r="L224" s="301">
        <f>IF(_PENDIENTES!$B$218&lt;&gt;"",_PENDIENTES!$K$218,"")</f>
        <v/>
      </c>
      <c r="M224" s="280">
        <f>IF(_PENDIENTES!$B$218&lt;&gt;"",_PENDIENTES!$B$218,"")</f>
        <v/>
      </c>
      <c r="N224" s="304">
        <f>IF(_PENDIENTES!$B$218&lt;&gt;"",_PENDIENTES!$L$218,"")</f>
        <v/>
      </c>
      <c r="O224" s="284" t="n"/>
      <c r="P224" s="284" t="n"/>
      <c r="Q224" s="284" t="n"/>
      <c r="R224" s="284" t="n"/>
      <c r="S224" s="284" t="n"/>
    </row>
    <row r="225" hidden="1" ht="15.75" customHeight="1" s="195">
      <c r="A225" s="241">
        <f>IF(_PENDIENTES!$B$219&lt;&gt;"",218,"")</f>
        <v/>
      </c>
      <c r="B225" s="236">
        <f>IF(_PENDIENTES!$B$219&lt;&gt;"",_PENDIENTES!$A$219,"")</f>
        <v/>
      </c>
      <c r="C225" s="305">
        <f>IF(_PENDIENTES!$B$219&lt;&gt;"",_PENDIENTES!$C$219,"")</f>
        <v/>
      </c>
      <c r="D225" s="241">
        <f>IF(_PENDIENTES!$B$219&lt;&gt;"",_PENDIENTES!$D$219,"")</f>
        <v/>
      </c>
      <c r="E225" s="307">
        <f>IF(_PENDIENTES!$B$219&lt;&gt;"",_PENDIENTES!$E$219,"")</f>
        <v/>
      </c>
      <c r="F225" s="241">
        <f>IF(_PENDIENTES!$B$219&lt;&gt;"",_PENDIENTES!$F$219,"")</f>
        <v/>
      </c>
      <c r="G225" s="239">
        <f>IF(_PENDIENTES!$B$219&lt;&gt;"",_PENDIENTES!$G$219,"")</f>
        <v/>
      </c>
      <c r="H225" s="239">
        <f>IF(_PENDIENTES!$B$219&lt;&gt;"",_PENDIENTES!$H$219,"")</f>
        <v/>
      </c>
      <c r="I225" s="308">
        <f>IF(_PENDIENTES!$B$219&lt;&gt;"",_PENDIENTES!$I$219,"")</f>
        <v/>
      </c>
      <c r="J225" s="239">
        <f>IF(_PENDIENTES!$B$219&lt;&gt;"",_PENDIENTES!$J$219,"")</f>
        <v/>
      </c>
      <c r="K225" s="241">
        <f>IF(_PENDIENTES!$B$219&lt;&gt;"","POR RECOGER","")</f>
        <v/>
      </c>
      <c r="L225" s="241">
        <f>IF(_PENDIENTES!$B$219&lt;&gt;"",_PENDIENTES!$K$219,"")</f>
        <v/>
      </c>
      <c r="M225" s="280">
        <f>IF(_PENDIENTES!$B$219&lt;&gt;"",_PENDIENTES!$B$219,"")</f>
        <v/>
      </c>
      <c r="N225" s="304">
        <f>IF(_PENDIENTES!$B$219&lt;&gt;"",_PENDIENTES!$L$219,"")</f>
        <v/>
      </c>
      <c r="O225" s="284" t="n"/>
      <c r="P225" s="284" t="n"/>
      <c r="Q225" s="284" t="n"/>
      <c r="R225" s="284" t="n"/>
      <c r="S225" s="284" t="n"/>
    </row>
    <row r="226" hidden="1" ht="15.75" customHeight="1" s="195">
      <c r="A226" s="301">
        <f>IF(_PENDIENTES!$B$220&lt;&gt;"",219,"")</f>
        <v/>
      </c>
      <c r="B226" s="242">
        <f>IF(_PENDIENTES!$B$220&lt;&gt;"",_PENDIENTES!$A$220,"")</f>
        <v/>
      </c>
      <c r="C226" s="302">
        <f>IF(_PENDIENTES!$B$220&lt;&gt;"",_PENDIENTES!$C$220,"")</f>
        <v/>
      </c>
      <c r="D226" s="301">
        <f>IF(_PENDIENTES!$B$220&lt;&gt;"",_PENDIENTES!$D$220,"")</f>
        <v/>
      </c>
      <c r="E226" s="306">
        <f>IF(_PENDIENTES!$B$220&lt;&gt;"",_PENDIENTES!$E$220,"")</f>
        <v/>
      </c>
      <c r="F226" s="301">
        <f>IF(_PENDIENTES!$B$220&lt;&gt;"",_PENDIENTES!$F$220,"")</f>
        <v/>
      </c>
      <c r="G226" s="245">
        <f>IF(_PENDIENTES!$B$220&lt;&gt;"",_PENDIENTES!$G$220,"")</f>
        <v/>
      </c>
      <c r="H226" s="245">
        <f>IF(_PENDIENTES!$B$220&lt;&gt;"",_PENDIENTES!$H$220,"")</f>
        <v/>
      </c>
      <c r="I226" s="303">
        <f>IF(_PENDIENTES!$B$220&lt;&gt;"",_PENDIENTES!$I$220,"")</f>
        <v/>
      </c>
      <c r="J226" s="245">
        <f>IF(_PENDIENTES!$B$220&lt;&gt;"",_PENDIENTES!$J$220,"")</f>
        <v/>
      </c>
      <c r="K226" s="301">
        <f>IF(_PENDIENTES!$B$220&lt;&gt;"","POR RECOGER","")</f>
        <v/>
      </c>
      <c r="L226" s="301">
        <f>IF(_PENDIENTES!$B$220&lt;&gt;"",_PENDIENTES!$K$220,"")</f>
        <v/>
      </c>
      <c r="M226" s="280">
        <f>IF(_PENDIENTES!$B$220&lt;&gt;"",_PENDIENTES!$B$220,"")</f>
        <v/>
      </c>
      <c r="N226" s="304">
        <f>IF(_PENDIENTES!$B$220&lt;&gt;"",_PENDIENTES!$L$220,"")</f>
        <v/>
      </c>
      <c r="O226" s="284" t="n"/>
      <c r="P226" s="284" t="n"/>
      <c r="Q226" s="284" t="n"/>
      <c r="R226" s="284" t="n"/>
      <c r="S226" s="284" t="n"/>
    </row>
    <row r="227" hidden="1" ht="15.75" customHeight="1" s="195">
      <c r="A227" s="241">
        <f>IF(_PENDIENTES!$B$221&lt;&gt;"",220,"")</f>
        <v/>
      </c>
      <c r="B227" s="236">
        <f>IF(_PENDIENTES!$B$221&lt;&gt;"",_PENDIENTES!$A$221,"")</f>
        <v/>
      </c>
      <c r="C227" s="305">
        <f>IF(_PENDIENTES!$B$221&lt;&gt;"",_PENDIENTES!$C$221,"")</f>
        <v/>
      </c>
      <c r="D227" s="241">
        <f>IF(_PENDIENTES!$B$221&lt;&gt;"",_PENDIENTES!$D$221,"")</f>
        <v/>
      </c>
      <c r="E227" s="307">
        <f>IF(_PENDIENTES!$B$221&lt;&gt;"",_PENDIENTES!$E$221,"")</f>
        <v/>
      </c>
      <c r="F227" s="241">
        <f>IF(_PENDIENTES!$B$221&lt;&gt;"",_PENDIENTES!$F$221,"")</f>
        <v/>
      </c>
      <c r="G227" s="239">
        <f>IF(_PENDIENTES!$B$221&lt;&gt;"",_PENDIENTES!$G$221,"")</f>
        <v/>
      </c>
      <c r="H227" s="239">
        <f>IF(_PENDIENTES!$B$221&lt;&gt;"",_PENDIENTES!$H$221,"")</f>
        <v/>
      </c>
      <c r="I227" s="308">
        <f>IF(_PENDIENTES!$B$221&lt;&gt;"",_PENDIENTES!$I$221,"")</f>
        <v/>
      </c>
      <c r="J227" s="239">
        <f>IF(_PENDIENTES!$B$221&lt;&gt;"",_PENDIENTES!$J$221,"")</f>
        <v/>
      </c>
      <c r="K227" s="241">
        <f>IF(_PENDIENTES!$B$221&lt;&gt;"","POR RECOGER","")</f>
        <v/>
      </c>
      <c r="L227" s="241">
        <f>IF(_PENDIENTES!$B$221&lt;&gt;"",_PENDIENTES!$K$221,"")</f>
        <v/>
      </c>
      <c r="M227" s="280">
        <f>IF(_PENDIENTES!$B$221&lt;&gt;"",_PENDIENTES!$B$221,"")</f>
        <v/>
      </c>
      <c r="N227" s="304">
        <f>IF(_PENDIENTES!$B$221&lt;&gt;"",_PENDIENTES!$L$221,"")</f>
        <v/>
      </c>
      <c r="O227" s="284" t="n"/>
      <c r="P227" s="284" t="n"/>
      <c r="Q227" s="284" t="n"/>
      <c r="R227" s="284" t="n"/>
      <c r="S227" s="284" t="n"/>
    </row>
    <row r="228" hidden="1" ht="15.75" customHeight="1" s="195">
      <c r="A228" s="301">
        <f>IF(_PENDIENTES!$B$222&lt;&gt;"",221,"")</f>
        <v/>
      </c>
      <c r="B228" s="242">
        <f>IF(_PENDIENTES!$B$222&lt;&gt;"",_PENDIENTES!$A$222,"")</f>
        <v/>
      </c>
      <c r="C228" s="302">
        <f>IF(_PENDIENTES!$B$222&lt;&gt;"",_PENDIENTES!$C$222,"")</f>
        <v/>
      </c>
      <c r="D228" s="301">
        <f>IF(_PENDIENTES!$B$222&lt;&gt;"",_PENDIENTES!$D$222,"")</f>
        <v/>
      </c>
      <c r="E228" s="306">
        <f>IF(_PENDIENTES!$B$222&lt;&gt;"",_PENDIENTES!$E$222,"")</f>
        <v/>
      </c>
      <c r="F228" s="301">
        <f>IF(_PENDIENTES!$B$222&lt;&gt;"",_PENDIENTES!$F$222,"")</f>
        <v/>
      </c>
      <c r="G228" s="245">
        <f>IF(_PENDIENTES!$B$222&lt;&gt;"",_PENDIENTES!$G$222,"")</f>
        <v/>
      </c>
      <c r="H228" s="245">
        <f>IF(_PENDIENTES!$B$222&lt;&gt;"",_PENDIENTES!$H$222,"")</f>
        <v/>
      </c>
      <c r="I228" s="303">
        <f>IF(_PENDIENTES!$B$222&lt;&gt;"",_PENDIENTES!$I$222,"")</f>
        <v/>
      </c>
      <c r="J228" s="245">
        <f>IF(_PENDIENTES!$B$222&lt;&gt;"",_PENDIENTES!$J$222,"")</f>
        <v/>
      </c>
      <c r="K228" s="301">
        <f>IF(_PENDIENTES!$B$222&lt;&gt;"","POR RECOGER","")</f>
        <v/>
      </c>
      <c r="L228" s="301">
        <f>IF(_PENDIENTES!$B$222&lt;&gt;"",_PENDIENTES!$K$222,"")</f>
        <v/>
      </c>
      <c r="M228" s="280">
        <f>IF(_PENDIENTES!$B$222&lt;&gt;"",_PENDIENTES!$B$222,"")</f>
        <v/>
      </c>
      <c r="N228" s="304">
        <f>IF(_PENDIENTES!$B$222&lt;&gt;"",_PENDIENTES!$L$222,"")</f>
        <v/>
      </c>
      <c r="O228" s="284" t="n"/>
      <c r="P228" s="284" t="n"/>
      <c r="Q228" s="284" t="n"/>
      <c r="R228" s="284" t="n"/>
      <c r="S228" s="284" t="n"/>
    </row>
    <row r="229" hidden="1" ht="15.75" customHeight="1" s="195">
      <c r="A229" s="241">
        <f>IF(_PENDIENTES!$B$223&lt;&gt;"",222,"")</f>
        <v/>
      </c>
      <c r="B229" s="236">
        <f>IF(_PENDIENTES!$B$223&lt;&gt;"",_PENDIENTES!$A$223,"")</f>
        <v/>
      </c>
      <c r="C229" s="305">
        <f>IF(_PENDIENTES!$B$223&lt;&gt;"",_PENDIENTES!$C$223,"")</f>
        <v/>
      </c>
      <c r="D229" s="241">
        <f>IF(_PENDIENTES!$B$223&lt;&gt;"",_PENDIENTES!$D$223,"")</f>
        <v/>
      </c>
      <c r="E229" s="307">
        <f>IF(_PENDIENTES!$B$223&lt;&gt;"",_PENDIENTES!$E$223,"")</f>
        <v/>
      </c>
      <c r="F229" s="241">
        <f>IF(_PENDIENTES!$B$223&lt;&gt;"",_PENDIENTES!$F$223,"")</f>
        <v/>
      </c>
      <c r="G229" s="239">
        <f>IF(_PENDIENTES!$B$223&lt;&gt;"",_PENDIENTES!$G$223,"")</f>
        <v/>
      </c>
      <c r="H229" s="239">
        <f>IF(_PENDIENTES!$B$223&lt;&gt;"",_PENDIENTES!$H$223,"")</f>
        <v/>
      </c>
      <c r="I229" s="308">
        <f>IF(_PENDIENTES!$B$223&lt;&gt;"",_PENDIENTES!$I$223,"")</f>
        <v/>
      </c>
      <c r="J229" s="239">
        <f>IF(_PENDIENTES!$B$223&lt;&gt;"",_PENDIENTES!$J$223,"")</f>
        <v/>
      </c>
      <c r="K229" s="241">
        <f>IF(_PENDIENTES!$B$223&lt;&gt;"","POR RECOGER","")</f>
        <v/>
      </c>
      <c r="L229" s="241">
        <f>IF(_PENDIENTES!$B$223&lt;&gt;"",_PENDIENTES!$K$223,"")</f>
        <v/>
      </c>
      <c r="M229" s="280">
        <f>IF(_PENDIENTES!$B$223&lt;&gt;"",_PENDIENTES!$B$223,"")</f>
        <v/>
      </c>
      <c r="N229" s="304">
        <f>IF(_PENDIENTES!$B$223&lt;&gt;"",_PENDIENTES!$L$223,"")</f>
        <v/>
      </c>
      <c r="O229" s="284" t="n"/>
      <c r="P229" s="284" t="n"/>
      <c r="Q229" s="284" t="n"/>
      <c r="R229" s="284" t="n"/>
      <c r="S229" s="284" t="n"/>
    </row>
    <row r="230" hidden="1" ht="15.75" customHeight="1" s="195">
      <c r="A230" s="301">
        <f>IF(_PENDIENTES!$B$224&lt;&gt;"",223,"")</f>
        <v/>
      </c>
      <c r="B230" s="242">
        <f>IF(_PENDIENTES!$B$224&lt;&gt;"",_PENDIENTES!$A$224,"")</f>
        <v/>
      </c>
      <c r="C230" s="302">
        <f>IF(_PENDIENTES!$B$224&lt;&gt;"",_PENDIENTES!$C$224,"")</f>
        <v/>
      </c>
      <c r="D230" s="301">
        <f>IF(_PENDIENTES!$B$224&lt;&gt;"",_PENDIENTES!$D$224,"")</f>
        <v/>
      </c>
      <c r="E230" s="301">
        <f>IF(_PENDIENTES!$B$224&lt;&gt;"",_PENDIENTES!$E$224,"")</f>
        <v/>
      </c>
      <c r="F230" s="301">
        <f>IF(_PENDIENTES!$B$224&lt;&gt;"",_PENDIENTES!$F$224,"")</f>
        <v/>
      </c>
      <c r="G230" s="245">
        <f>IF(_PENDIENTES!$B$224&lt;&gt;"",_PENDIENTES!$G$224,"")</f>
        <v/>
      </c>
      <c r="H230" s="245">
        <f>IF(_PENDIENTES!$B$224&lt;&gt;"",_PENDIENTES!$H$224,"")</f>
        <v/>
      </c>
      <c r="I230" s="303">
        <f>IF(_PENDIENTES!$B$224&lt;&gt;"",_PENDIENTES!$I$224,"")</f>
        <v/>
      </c>
      <c r="J230" s="245">
        <f>IF(_PENDIENTES!$B$224&lt;&gt;"",_PENDIENTES!$J$224,"")</f>
        <v/>
      </c>
      <c r="K230" s="301">
        <f>IF(_PENDIENTES!$B$224&lt;&gt;"","POR RECOGER","")</f>
        <v/>
      </c>
      <c r="L230" s="301">
        <f>IF(_PENDIENTES!$B$224&lt;&gt;"",_PENDIENTES!$K$224,"")</f>
        <v/>
      </c>
      <c r="M230" s="280">
        <f>IF(_PENDIENTES!$B$224&lt;&gt;"",_PENDIENTES!$B$224,"")</f>
        <v/>
      </c>
      <c r="N230" s="304">
        <f>IF(_PENDIENTES!$B$224&lt;&gt;"",_PENDIENTES!$L$224,"")</f>
        <v/>
      </c>
      <c r="O230" s="284" t="n"/>
      <c r="P230" s="284" t="n"/>
      <c r="Q230" s="284" t="n"/>
      <c r="R230" s="284" t="n"/>
      <c r="S230" s="284" t="n"/>
    </row>
    <row r="231" hidden="1" ht="15.75" customHeight="1" s="195">
      <c r="A231" s="241">
        <f>IF(_PENDIENTES!$B$225&lt;&gt;"",224,"")</f>
        <v/>
      </c>
      <c r="B231" s="236">
        <f>IF(_PENDIENTES!$B$225&lt;&gt;"",_PENDIENTES!$A$225,"")</f>
        <v/>
      </c>
      <c r="C231" s="305">
        <f>IF(_PENDIENTES!$B$225&lt;&gt;"",_PENDIENTES!$C$225,"")</f>
        <v/>
      </c>
      <c r="D231" s="241">
        <f>IF(_PENDIENTES!$B$225&lt;&gt;"",_PENDIENTES!$D$225,"")</f>
        <v/>
      </c>
      <c r="E231" s="241">
        <f>IF(_PENDIENTES!$B$225&lt;&gt;"",_PENDIENTES!$E$225,"")</f>
        <v/>
      </c>
      <c r="F231" s="241">
        <f>IF(_PENDIENTES!$B$225&lt;&gt;"",_PENDIENTES!$F$225,"")</f>
        <v/>
      </c>
      <c r="G231" s="239">
        <f>IF(_PENDIENTES!$B$225&lt;&gt;"",_PENDIENTES!$G$225,"")</f>
        <v/>
      </c>
      <c r="H231" s="239">
        <f>IF(_PENDIENTES!$B$225&lt;&gt;"",_PENDIENTES!$H$225,"")</f>
        <v/>
      </c>
      <c r="I231" s="305">
        <f>IF(_PENDIENTES!$B$225&lt;&gt;"",_PENDIENTES!$I$225,"")</f>
        <v/>
      </c>
      <c r="J231" s="241">
        <f>IF(_PENDIENTES!$B$225&lt;&gt;"",_PENDIENTES!$J$225,"")</f>
        <v/>
      </c>
      <c r="K231" s="241">
        <f>IF(_PENDIENTES!$B$225&lt;&gt;"","POR RECOGER","")</f>
        <v/>
      </c>
      <c r="L231" s="241">
        <f>IF(_PENDIENTES!$B$225&lt;&gt;"",_PENDIENTES!$K$225,"")</f>
        <v/>
      </c>
      <c r="M231" s="280">
        <f>IF(_PENDIENTES!$B$225&lt;&gt;"",_PENDIENTES!$B$225,"")</f>
        <v/>
      </c>
      <c r="N231" s="304">
        <f>IF(_PENDIENTES!$B$225&lt;&gt;"",_PENDIENTES!$L$225,"")</f>
        <v/>
      </c>
      <c r="O231" s="284" t="n"/>
      <c r="P231" s="284" t="n"/>
      <c r="Q231" s="284" t="n"/>
      <c r="R231" s="284" t="n"/>
      <c r="S231" s="284" t="n"/>
    </row>
    <row r="232" hidden="1" ht="15.75" customHeight="1" s="195">
      <c r="A232" s="301">
        <f>IF(_PENDIENTES!$B$226&lt;&gt;"",225,"")</f>
        <v/>
      </c>
      <c r="B232" s="242">
        <f>IF(_PENDIENTES!$B$226&lt;&gt;"",_PENDIENTES!$A$226,"")</f>
        <v/>
      </c>
      <c r="C232" s="302">
        <f>IF(_PENDIENTES!$B$226&lt;&gt;"",_PENDIENTES!$C$226,"")</f>
        <v/>
      </c>
      <c r="D232" s="301">
        <f>IF(_PENDIENTES!$B$226&lt;&gt;"",_PENDIENTES!$D$226,"")</f>
        <v/>
      </c>
      <c r="E232" s="306">
        <f>IF(_PENDIENTES!$B$226&lt;&gt;"",_PENDIENTES!$E$226,"")</f>
        <v/>
      </c>
      <c r="F232" s="301">
        <f>IF(_PENDIENTES!$B$226&lt;&gt;"",_PENDIENTES!$F$226,"")</f>
        <v/>
      </c>
      <c r="G232" s="245">
        <f>IF(_PENDIENTES!$B$226&lt;&gt;"",_PENDIENTES!$G$226,"")</f>
        <v/>
      </c>
      <c r="H232" s="245">
        <f>IF(_PENDIENTES!$B$226&lt;&gt;"",_PENDIENTES!$H$226,"")</f>
        <v/>
      </c>
      <c r="I232" s="303">
        <f>IF(_PENDIENTES!$B$226&lt;&gt;"",_PENDIENTES!$I$226,"")</f>
        <v/>
      </c>
      <c r="J232" s="245">
        <f>IF(_PENDIENTES!$B$226&lt;&gt;"",_PENDIENTES!$J$226,"")</f>
        <v/>
      </c>
      <c r="K232" s="301">
        <f>IF(_PENDIENTES!$B$226&lt;&gt;"","POR RECOGER","")</f>
        <v/>
      </c>
      <c r="L232" s="301">
        <f>IF(_PENDIENTES!$B$226&lt;&gt;"",_PENDIENTES!$K$226,"")</f>
        <v/>
      </c>
      <c r="M232" s="280">
        <f>IF(_PENDIENTES!$B$226&lt;&gt;"",_PENDIENTES!$B$226,"")</f>
        <v/>
      </c>
      <c r="N232" s="304">
        <f>IF(_PENDIENTES!$B$226&lt;&gt;"",_PENDIENTES!$L$226,"")</f>
        <v/>
      </c>
      <c r="O232" s="284" t="n"/>
      <c r="P232" s="284" t="n"/>
      <c r="Q232" s="284" t="n"/>
      <c r="R232" s="284" t="n"/>
      <c r="S232" s="284" t="n"/>
    </row>
    <row r="233" hidden="1" ht="15.75" customHeight="1" s="195">
      <c r="A233" s="241">
        <f>IF(_PENDIENTES!$B$227&lt;&gt;"",226,"")</f>
        <v/>
      </c>
      <c r="B233" s="236">
        <f>IF(_PENDIENTES!$B$227&lt;&gt;"",_PENDIENTES!$A$227,"")</f>
        <v/>
      </c>
      <c r="C233" s="305">
        <f>IF(_PENDIENTES!$B$227&lt;&gt;"",_PENDIENTES!$C$227,"")</f>
        <v/>
      </c>
      <c r="D233" s="241">
        <f>IF(_PENDIENTES!$B$227&lt;&gt;"",_PENDIENTES!$D$227,"")</f>
        <v/>
      </c>
      <c r="E233" s="307">
        <f>IF(_PENDIENTES!$B$227&lt;&gt;"",_PENDIENTES!$E$227,"")</f>
        <v/>
      </c>
      <c r="F233" s="241">
        <f>IF(_PENDIENTES!$B$227&lt;&gt;"",_PENDIENTES!$F$227,"")</f>
        <v/>
      </c>
      <c r="G233" s="239">
        <f>IF(_PENDIENTES!$B$227&lt;&gt;"",_PENDIENTES!$G$227,"")</f>
        <v/>
      </c>
      <c r="H233" s="239">
        <f>IF(_PENDIENTES!$B$227&lt;&gt;"",_PENDIENTES!$H$227,"")</f>
        <v/>
      </c>
      <c r="I233" s="308">
        <f>IF(_PENDIENTES!$B$227&lt;&gt;"",_PENDIENTES!$I$227,"")</f>
        <v/>
      </c>
      <c r="J233" s="239">
        <f>IF(_PENDIENTES!$B$227&lt;&gt;"",_PENDIENTES!$J$227,"")</f>
        <v/>
      </c>
      <c r="K233" s="241">
        <f>IF(_PENDIENTES!$B$227&lt;&gt;"","POR RECOGER","")</f>
        <v/>
      </c>
      <c r="L233" s="241">
        <f>IF(_PENDIENTES!$B$227&lt;&gt;"",_PENDIENTES!$K$227,"")</f>
        <v/>
      </c>
      <c r="M233" s="280">
        <f>IF(_PENDIENTES!$B$227&lt;&gt;"",_PENDIENTES!$B$227,"")</f>
        <v/>
      </c>
      <c r="N233" s="304">
        <f>IF(_PENDIENTES!$B$227&lt;&gt;"",_PENDIENTES!$L$227,"")</f>
        <v/>
      </c>
      <c r="O233" s="284" t="n"/>
      <c r="P233" s="284" t="n"/>
      <c r="Q233" s="284" t="n"/>
      <c r="R233" s="284" t="n"/>
      <c r="S233" s="284" t="n"/>
    </row>
    <row r="234" hidden="1" ht="15.75" customHeight="1" s="195">
      <c r="A234" s="301">
        <f>IF(_PENDIENTES!$B$228&lt;&gt;"",227,"")</f>
        <v/>
      </c>
      <c r="B234" s="242">
        <f>IF(_PENDIENTES!$B$228&lt;&gt;"",_PENDIENTES!$A$228,"")</f>
        <v/>
      </c>
      <c r="C234" s="302">
        <f>IF(_PENDIENTES!$B$228&lt;&gt;"",_PENDIENTES!$C$228,"")</f>
        <v/>
      </c>
      <c r="D234" s="301">
        <f>IF(_PENDIENTES!$B$228&lt;&gt;"",_PENDIENTES!$D$228,"")</f>
        <v/>
      </c>
      <c r="E234" s="306">
        <f>IF(_PENDIENTES!$B$228&lt;&gt;"",_PENDIENTES!$E$228,"")</f>
        <v/>
      </c>
      <c r="F234" s="301">
        <f>IF(_PENDIENTES!$B$228&lt;&gt;"",_PENDIENTES!$F$228,"")</f>
        <v/>
      </c>
      <c r="G234" s="245">
        <f>IF(_PENDIENTES!$B$228&lt;&gt;"",_PENDIENTES!$G$228,"")</f>
        <v/>
      </c>
      <c r="H234" s="245">
        <f>IF(_PENDIENTES!$B$228&lt;&gt;"",_PENDIENTES!$H$228,"")</f>
        <v/>
      </c>
      <c r="I234" s="303">
        <f>IF(_PENDIENTES!$B$228&lt;&gt;"",_PENDIENTES!$I$228,"")</f>
        <v/>
      </c>
      <c r="J234" s="245">
        <f>IF(_PENDIENTES!$B$228&lt;&gt;"",_PENDIENTES!$J$228,"")</f>
        <v/>
      </c>
      <c r="K234" s="301">
        <f>IF(_PENDIENTES!$B$228&lt;&gt;"","POR RECOGER","")</f>
        <v/>
      </c>
      <c r="L234" s="301">
        <f>IF(_PENDIENTES!$B$228&lt;&gt;"",_PENDIENTES!$K$228,"")</f>
        <v/>
      </c>
      <c r="M234" s="280">
        <f>IF(_PENDIENTES!$B$228&lt;&gt;"",_PENDIENTES!$B$228,"")</f>
        <v/>
      </c>
      <c r="N234" s="304">
        <f>IF(_PENDIENTES!$B$228&lt;&gt;"",_PENDIENTES!$L$228,"")</f>
        <v/>
      </c>
      <c r="O234" s="284" t="n"/>
      <c r="P234" s="284" t="n"/>
      <c r="Q234" s="284" t="n"/>
      <c r="R234" s="284" t="n"/>
      <c r="S234" s="284" t="n"/>
    </row>
    <row r="235" hidden="1" ht="15.75" customHeight="1" s="195">
      <c r="A235" s="241">
        <f>IF(_PENDIENTES!$B$229&lt;&gt;"",228,"")</f>
        <v/>
      </c>
      <c r="B235" s="236">
        <f>IF(_PENDIENTES!$B$229&lt;&gt;"",_PENDIENTES!$A$229,"")</f>
        <v/>
      </c>
      <c r="C235" s="305">
        <f>IF(_PENDIENTES!$B$229&lt;&gt;"",_PENDIENTES!$C$229,"")</f>
        <v/>
      </c>
      <c r="D235" s="241">
        <f>IF(_PENDIENTES!$B$229&lt;&gt;"",_PENDIENTES!$D$229,"")</f>
        <v/>
      </c>
      <c r="E235" s="307">
        <f>IF(_PENDIENTES!$B$229&lt;&gt;"",_PENDIENTES!$E$229,"")</f>
        <v/>
      </c>
      <c r="F235" s="241">
        <f>IF(_PENDIENTES!$B$229&lt;&gt;"",_PENDIENTES!$F$229,"")</f>
        <v/>
      </c>
      <c r="G235" s="239">
        <f>IF(_PENDIENTES!$B$229&lt;&gt;"",_PENDIENTES!$G$229,"")</f>
        <v/>
      </c>
      <c r="H235" s="239">
        <f>IF(_PENDIENTES!$B$229&lt;&gt;"",_PENDIENTES!$H$229,"")</f>
        <v/>
      </c>
      <c r="I235" s="308">
        <f>IF(_PENDIENTES!$B$229&lt;&gt;"",_PENDIENTES!$I$229,"")</f>
        <v/>
      </c>
      <c r="J235" s="239">
        <f>IF(_PENDIENTES!$B$229&lt;&gt;"",_PENDIENTES!$J$229,"")</f>
        <v/>
      </c>
      <c r="K235" s="241">
        <f>IF(_PENDIENTES!$B$229&lt;&gt;"","POR RECOGER","")</f>
        <v/>
      </c>
      <c r="L235" s="241">
        <f>IF(_PENDIENTES!$B$229&lt;&gt;"",_PENDIENTES!$K$229,"")</f>
        <v/>
      </c>
      <c r="M235" s="280">
        <f>IF(_PENDIENTES!$B$229&lt;&gt;"",_PENDIENTES!$B$229,"")</f>
        <v/>
      </c>
      <c r="N235" s="304">
        <f>IF(_PENDIENTES!$B$229&lt;&gt;"",_PENDIENTES!$L$229,"")</f>
        <v/>
      </c>
      <c r="O235" s="284" t="n"/>
      <c r="P235" s="284" t="n"/>
      <c r="Q235" s="284" t="n"/>
      <c r="R235" s="284" t="n"/>
      <c r="S235" s="284" t="n"/>
    </row>
    <row r="236" ht="15.75" customHeight="1" s="195">
      <c r="A236" s="301">
        <f>IF(_PENDIENTES!$B$230&lt;&gt;"",229,"")</f>
        <v/>
      </c>
      <c r="B236" s="242">
        <f>IF(_PENDIENTES!$B$230&lt;&gt;"",_PENDIENTES!$A$230,"")</f>
        <v/>
      </c>
      <c r="C236" s="302">
        <f>IF(_PENDIENTES!$B$230&lt;&gt;"",_PENDIENTES!$C$230,"")</f>
        <v/>
      </c>
      <c r="D236" s="301">
        <f>IF(_PENDIENTES!$B$230&lt;&gt;"",_PENDIENTES!$D$230,"")</f>
        <v/>
      </c>
      <c r="E236" s="306">
        <f>IF(_PENDIENTES!$B$230&lt;&gt;"",_PENDIENTES!$E$230,"")</f>
        <v/>
      </c>
      <c r="F236" s="301">
        <f>IF(_PENDIENTES!$B$230&lt;&gt;"",_PENDIENTES!$F$230,"")</f>
        <v/>
      </c>
      <c r="G236" s="245">
        <f>IF(_PENDIENTES!$B$230&lt;&gt;"",_PENDIENTES!$G$230,"")</f>
        <v/>
      </c>
      <c r="H236" s="245">
        <f>IF(_PENDIENTES!$B$230&lt;&gt;"",_PENDIENTES!$H$230,"")</f>
        <v/>
      </c>
      <c r="I236" s="303">
        <f>IF(_PENDIENTES!$B$230&lt;&gt;"",_PENDIENTES!$I$230,"")</f>
        <v/>
      </c>
      <c r="J236" s="245">
        <f>IF(_PENDIENTES!$B$230&lt;&gt;"",_PENDIENTES!$J$230,"")</f>
        <v/>
      </c>
      <c r="K236" s="301">
        <f>IF(_PENDIENTES!$B$230&lt;&gt;"","POR RECOGER","")</f>
        <v/>
      </c>
      <c r="L236" s="301">
        <f>IF(_PENDIENTES!$B$230&lt;&gt;"",_PENDIENTES!$K$230,"")</f>
        <v/>
      </c>
      <c r="M236" s="280">
        <f>IF(_PENDIENTES!$B$230&lt;&gt;"",_PENDIENTES!$B$230,"")</f>
        <v/>
      </c>
      <c r="N236" s="304">
        <f>IF(_PENDIENTES!$B$230&lt;&gt;"",_PENDIENTES!$L$230,"")</f>
        <v/>
      </c>
      <c r="O236" s="284" t="n"/>
      <c r="P236" s="284" t="n"/>
      <c r="Q236" s="284" t="n"/>
      <c r="R236" s="284" t="n"/>
      <c r="S236" s="284" t="n"/>
    </row>
    <row r="237" hidden="1" ht="15.75" customHeight="1" s="195">
      <c r="A237" s="241">
        <f>IF(_PENDIENTES!$B$231&lt;&gt;"",230,"")</f>
        <v/>
      </c>
      <c r="B237" s="236">
        <f>IF(_PENDIENTES!$B$231&lt;&gt;"",_PENDIENTES!$A$231,"")</f>
        <v/>
      </c>
      <c r="C237" s="305">
        <f>IF(_PENDIENTES!$B$231&lt;&gt;"",_PENDIENTES!$C$231,"")</f>
        <v/>
      </c>
      <c r="D237" s="241">
        <f>IF(_PENDIENTES!$B$231&lt;&gt;"",_PENDIENTES!$D$231,"")</f>
        <v/>
      </c>
      <c r="E237" s="307">
        <f>IF(_PENDIENTES!$B$231&lt;&gt;"",_PENDIENTES!$E$231,"")</f>
        <v/>
      </c>
      <c r="F237" s="241">
        <f>IF(_PENDIENTES!$B$231&lt;&gt;"",_PENDIENTES!$F$231,"")</f>
        <v/>
      </c>
      <c r="G237" s="239">
        <f>IF(_PENDIENTES!$B$231&lt;&gt;"",_PENDIENTES!$G$231,"")</f>
        <v/>
      </c>
      <c r="H237" s="239">
        <f>IF(_PENDIENTES!$B$231&lt;&gt;"",_PENDIENTES!$H$231,"")</f>
        <v/>
      </c>
      <c r="I237" s="308">
        <f>IF(_PENDIENTES!$B$231&lt;&gt;"",_PENDIENTES!$I$231,"")</f>
        <v/>
      </c>
      <c r="J237" s="239">
        <f>IF(_PENDIENTES!$B$231&lt;&gt;"",_PENDIENTES!$J$231,"")</f>
        <v/>
      </c>
      <c r="K237" s="241">
        <f>IF(_PENDIENTES!$B$231&lt;&gt;"","POR RECOGER","")</f>
        <v/>
      </c>
      <c r="L237" s="241">
        <f>IF(_PENDIENTES!$B$231&lt;&gt;"",_PENDIENTES!$K$231,"")</f>
        <v/>
      </c>
      <c r="M237" s="280">
        <f>IF(_PENDIENTES!$B$231&lt;&gt;"",_PENDIENTES!$B$231,"")</f>
        <v/>
      </c>
      <c r="N237" s="304">
        <f>IF(_PENDIENTES!$B$231&lt;&gt;"",_PENDIENTES!$L$231,"")</f>
        <v/>
      </c>
      <c r="O237" s="284" t="n"/>
      <c r="P237" s="284" t="n"/>
      <c r="Q237" s="284" t="n"/>
      <c r="R237" s="284" t="n"/>
      <c r="S237" s="284" t="n"/>
    </row>
    <row r="238" hidden="1" ht="15.75" customHeight="1" s="195">
      <c r="A238" s="301">
        <f>IF(_PENDIENTES!$B$232&lt;&gt;"",231,"")</f>
        <v/>
      </c>
      <c r="B238" s="242">
        <f>IF(_PENDIENTES!$B$232&lt;&gt;"",_PENDIENTES!$A$232,"")</f>
        <v/>
      </c>
      <c r="C238" s="302">
        <f>IF(_PENDIENTES!$B$232&lt;&gt;"",_PENDIENTES!$C$232,"")</f>
        <v/>
      </c>
      <c r="D238" s="301">
        <f>IF(_PENDIENTES!$B$232&lt;&gt;"",_PENDIENTES!$D$232,"")</f>
        <v/>
      </c>
      <c r="E238" s="306">
        <f>IF(_PENDIENTES!$B$232&lt;&gt;"",_PENDIENTES!$E$232,"")</f>
        <v/>
      </c>
      <c r="F238" s="301">
        <f>IF(_PENDIENTES!$B$232&lt;&gt;"",_PENDIENTES!$F$232,"")</f>
        <v/>
      </c>
      <c r="G238" s="245">
        <f>IF(_PENDIENTES!$B$232&lt;&gt;"",_PENDIENTES!$G$232,"")</f>
        <v/>
      </c>
      <c r="H238" s="245">
        <f>IF(_PENDIENTES!$B$232&lt;&gt;"",_PENDIENTES!$H$232,"")</f>
        <v/>
      </c>
      <c r="I238" s="303">
        <f>IF(_PENDIENTES!$B$232&lt;&gt;"",_PENDIENTES!$I$232,"")</f>
        <v/>
      </c>
      <c r="J238" s="245">
        <f>IF(_PENDIENTES!$B$232&lt;&gt;"",_PENDIENTES!$J$232,"")</f>
        <v/>
      </c>
      <c r="K238" s="301">
        <f>IF(_PENDIENTES!$B$232&lt;&gt;"","POR RECOGER","")</f>
        <v/>
      </c>
      <c r="L238" s="301">
        <f>IF(_PENDIENTES!$B$232&lt;&gt;"",_PENDIENTES!$K$232,"")</f>
        <v/>
      </c>
      <c r="M238" s="280">
        <f>IF(_PENDIENTES!$B$232&lt;&gt;"",_PENDIENTES!$B$232,"")</f>
        <v/>
      </c>
      <c r="N238" s="304">
        <f>IF(_PENDIENTES!$B$232&lt;&gt;"",_PENDIENTES!$L$232,"")</f>
        <v/>
      </c>
      <c r="O238" s="284" t="n"/>
      <c r="P238" s="284" t="n"/>
      <c r="Q238" s="284" t="n"/>
      <c r="R238" s="284" t="n"/>
      <c r="S238" s="284" t="n"/>
    </row>
    <row r="239" hidden="1" ht="15.75" customHeight="1" s="195">
      <c r="A239" s="241">
        <f>IF(_PENDIENTES!$B$233&lt;&gt;"",232,"")</f>
        <v/>
      </c>
      <c r="B239" s="236">
        <f>IF(_PENDIENTES!$B$233&lt;&gt;"",_PENDIENTES!$A$233,"")</f>
        <v/>
      </c>
      <c r="C239" s="305">
        <f>IF(_PENDIENTES!$B$233&lt;&gt;"",_PENDIENTES!$C$233,"")</f>
        <v/>
      </c>
      <c r="D239" s="241">
        <f>IF(_PENDIENTES!$B$233&lt;&gt;"",_PENDIENTES!$D$233,"")</f>
        <v/>
      </c>
      <c r="E239" s="307">
        <f>IF(_PENDIENTES!$B$233&lt;&gt;"",_PENDIENTES!$E$233,"")</f>
        <v/>
      </c>
      <c r="F239" s="241">
        <f>IF(_PENDIENTES!$B$233&lt;&gt;"",_PENDIENTES!$F$233,"")</f>
        <v/>
      </c>
      <c r="G239" s="239">
        <f>IF(_PENDIENTES!$B$233&lt;&gt;"",_PENDIENTES!$G$233,"")</f>
        <v/>
      </c>
      <c r="H239" s="239">
        <f>IF(_PENDIENTES!$B$233&lt;&gt;"",_PENDIENTES!$H$233,"")</f>
        <v/>
      </c>
      <c r="I239" s="308">
        <f>IF(_PENDIENTES!$B$233&lt;&gt;"",_PENDIENTES!$I$233,"")</f>
        <v/>
      </c>
      <c r="J239" s="239">
        <f>IF(_PENDIENTES!$B$233&lt;&gt;"",_PENDIENTES!$J$233,"")</f>
        <v/>
      </c>
      <c r="K239" s="241">
        <f>IF(_PENDIENTES!$B$233&lt;&gt;"","POR RECOGER","")</f>
        <v/>
      </c>
      <c r="L239" s="241">
        <f>IF(_PENDIENTES!$B$233&lt;&gt;"",_PENDIENTES!$K$233,"")</f>
        <v/>
      </c>
      <c r="M239" s="280">
        <f>IF(_PENDIENTES!$B$233&lt;&gt;"",_PENDIENTES!$B$233,"")</f>
        <v/>
      </c>
      <c r="N239" s="304">
        <f>IF(_PENDIENTES!$B$233&lt;&gt;"",_PENDIENTES!$L$233,"")</f>
        <v/>
      </c>
      <c r="O239" s="284" t="n"/>
      <c r="P239" s="284" t="n"/>
      <c r="Q239" s="284" t="n"/>
      <c r="R239" s="284" t="n"/>
      <c r="S239" s="284" t="n"/>
    </row>
    <row r="240" hidden="1" ht="15.75" customHeight="1" s="195">
      <c r="A240" s="301">
        <f>IF(_PENDIENTES!$B$234&lt;&gt;"",233,"")</f>
        <v/>
      </c>
      <c r="B240" s="242">
        <f>IF(_PENDIENTES!$B$234&lt;&gt;"",_PENDIENTES!$A$234,"")</f>
        <v/>
      </c>
      <c r="C240" s="302">
        <f>IF(_PENDIENTES!$B$234&lt;&gt;"",_PENDIENTES!$C$234,"")</f>
        <v/>
      </c>
      <c r="D240" s="301">
        <f>IF(_PENDIENTES!$B$234&lt;&gt;"",_PENDIENTES!$D$234,"")</f>
        <v/>
      </c>
      <c r="E240" s="306">
        <f>IF(_PENDIENTES!$B$234&lt;&gt;"",_PENDIENTES!$E$234,"")</f>
        <v/>
      </c>
      <c r="F240" s="301">
        <f>IF(_PENDIENTES!$B$234&lt;&gt;"",_PENDIENTES!$F$234,"")</f>
        <v/>
      </c>
      <c r="G240" s="245">
        <f>IF(_PENDIENTES!$B$234&lt;&gt;"",_PENDIENTES!$G$234,"")</f>
        <v/>
      </c>
      <c r="H240" s="245">
        <f>IF(_PENDIENTES!$B$234&lt;&gt;"",_PENDIENTES!$H$234,"")</f>
        <v/>
      </c>
      <c r="I240" s="303">
        <f>IF(_PENDIENTES!$B$234&lt;&gt;"",_PENDIENTES!$I$234,"")</f>
        <v/>
      </c>
      <c r="J240" s="245">
        <f>IF(_PENDIENTES!$B$234&lt;&gt;"",_PENDIENTES!$J$234,"")</f>
        <v/>
      </c>
      <c r="K240" s="301">
        <f>IF(_PENDIENTES!$B$234&lt;&gt;"","POR RECOGER","")</f>
        <v/>
      </c>
      <c r="L240" s="301">
        <f>IF(_PENDIENTES!$B$234&lt;&gt;"",_PENDIENTES!$K$234,"")</f>
        <v/>
      </c>
      <c r="M240" s="280">
        <f>IF(_PENDIENTES!$B$234&lt;&gt;"",_PENDIENTES!$B$234,"")</f>
        <v/>
      </c>
      <c r="N240" s="304">
        <f>IF(_PENDIENTES!$B$234&lt;&gt;"",_PENDIENTES!$L$234,"")</f>
        <v/>
      </c>
      <c r="O240" s="284" t="n"/>
      <c r="P240" s="284" t="n"/>
      <c r="Q240" s="284" t="n"/>
      <c r="R240" s="284" t="n"/>
      <c r="S240" s="284" t="n"/>
    </row>
    <row r="241" hidden="1" ht="15.75" customHeight="1" s="195">
      <c r="A241" s="241">
        <f>IF(_PENDIENTES!$B$235&lt;&gt;"",234,"")</f>
        <v/>
      </c>
      <c r="B241" s="236">
        <f>IF(_PENDIENTES!$B$235&lt;&gt;"",_PENDIENTES!$A$235,"")</f>
        <v/>
      </c>
      <c r="C241" s="305">
        <f>IF(_PENDIENTES!$B$235&lt;&gt;"",_PENDIENTES!$C$235,"")</f>
        <v/>
      </c>
      <c r="D241" s="241">
        <f>IF(_PENDIENTES!$B$235&lt;&gt;"",_PENDIENTES!$D$235,"")</f>
        <v/>
      </c>
      <c r="E241" s="307">
        <f>IF(_PENDIENTES!$B$235&lt;&gt;"",_PENDIENTES!$E$235,"")</f>
        <v/>
      </c>
      <c r="F241" s="241">
        <f>IF(_PENDIENTES!$B$235&lt;&gt;"",_PENDIENTES!$F$235,"")</f>
        <v/>
      </c>
      <c r="G241" s="239">
        <f>IF(_PENDIENTES!$B$235&lt;&gt;"",_PENDIENTES!$G$235,"")</f>
        <v/>
      </c>
      <c r="H241" s="239">
        <f>IF(_PENDIENTES!$B$235&lt;&gt;"",_PENDIENTES!$H$235,"")</f>
        <v/>
      </c>
      <c r="I241" s="308">
        <f>IF(_PENDIENTES!$B$235&lt;&gt;"",_PENDIENTES!$I$235,"")</f>
        <v/>
      </c>
      <c r="J241" s="239">
        <f>IF(_PENDIENTES!$B$235&lt;&gt;"",_PENDIENTES!$J$235,"")</f>
        <v/>
      </c>
      <c r="K241" s="241">
        <f>IF(_PENDIENTES!$B$235&lt;&gt;"","POR RECOGER","")</f>
        <v/>
      </c>
      <c r="L241" s="241">
        <f>IF(_PENDIENTES!$B$235&lt;&gt;"",_PENDIENTES!$K$235,"")</f>
        <v/>
      </c>
      <c r="M241" s="280">
        <f>IF(_PENDIENTES!$B$235&lt;&gt;"",_PENDIENTES!$B$235,"")</f>
        <v/>
      </c>
      <c r="N241" s="304">
        <f>IF(_PENDIENTES!$B$235&lt;&gt;"",_PENDIENTES!$L$235,"")</f>
        <v/>
      </c>
      <c r="O241" s="284" t="n"/>
      <c r="P241" s="284" t="n"/>
      <c r="Q241" s="284" t="n"/>
      <c r="R241" s="284" t="n"/>
      <c r="S241" s="284" t="n"/>
    </row>
    <row r="242" hidden="1" ht="15.75" customHeight="1" s="195">
      <c r="A242" s="301">
        <f>IF(_PENDIENTES!$B$236&lt;&gt;"",235,"")</f>
        <v/>
      </c>
      <c r="B242" s="242">
        <f>IF(_PENDIENTES!$B$236&lt;&gt;"",_PENDIENTES!$A$236,"")</f>
        <v/>
      </c>
      <c r="C242" s="302">
        <f>IF(_PENDIENTES!$B$236&lt;&gt;"",_PENDIENTES!$C$236,"")</f>
        <v/>
      </c>
      <c r="D242" s="301">
        <f>IF(_PENDIENTES!$B$236&lt;&gt;"",_PENDIENTES!$D$236,"")</f>
        <v/>
      </c>
      <c r="E242" s="306">
        <f>IF(_PENDIENTES!$B$236&lt;&gt;"",_PENDIENTES!$E$236,"")</f>
        <v/>
      </c>
      <c r="F242" s="301">
        <f>IF(_PENDIENTES!$B$236&lt;&gt;"",_PENDIENTES!$F$236,"")</f>
        <v/>
      </c>
      <c r="G242" s="245">
        <f>IF(_PENDIENTES!$B$236&lt;&gt;"",_PENDIENTES!$G$236,"")</f>
        <v/>
      </c>
      <c r="H242" s="245">
        <f>IF(_PENDIENTES!$B$236&lt;&gt;"",_PENDIENTES!$H$236,"")</f>
        <v/>
      </c>
      <c r="I242" s="303">
        <f>IF(_PENDIENTES!$B$236&lt;&gt;"",_PENDIENTES!$I$236,"")</f>
        <v/>
      </c>
      <c r="J242" s="245">
        <f>IF(_PENDIENTES!$B$236&lt;&gt;"",_PENDIENTES!$J$236,"")</f>
        <v/>
      </c>
      <c r="K242" s="301">
        <f>IF(_PENDIENTES!$B$236&lt;&gt;"","POR RECOGER","")</f>
        <v/>
      </c>
      <c r="L242" s="301">
        <f>IF(_PENDIENTES!$B$236&lt;&gt;"",_PENDIENTES!$K$236,"")</f>
        <v/>
      </c>
      <c r="M242" s="280">
        <f>IF(_PENDIENTES!$B$236&lt;&gt;"",_PENDIENTES!$B$236,"")</f>
        <v/>
      </c>
      <c r="N242" s="304">
        <f>IF(_PENDIENTES!$B$236&lt;&gt;"",_PENDIENTES!$L$236,"")</f>
        <v/>
      </c>
      <c r="O242" s="284" t="n"/>
      <c r="P242" s="284" t="n"/>
      <c r="Q242" s="284" t="n"/>
      <c r="R242" s="284" t="n"/>
      <c r="S242" s="284" t="n"/>
    </row>
    <row r="243" hidden="1" ht="15.75" customHeight="1" s="195">
      <c r="A243" s="241">
        <f>IF(_PENDIENTES!$B$237&lt;&gt;"",236,"")</f>
        <v/>
      </c>
      <c r="B243" s="236">
        <f>IF(_PENDIENTES!$B$237&lt;&gt;"",_PENDIENTES!$A$237,"")</f>
        <v/>
      </c>
      <c r="C243" s="305">
        <f>IF(_PENDIENTES!$B$237&lt;&gt;"",_PENDIENTES!$C$237,"")</f>
        <v/>
      </c>
      <c r="D243" s="241">
        <f>IF(_PENDIENTES!$B$237&lt;&gt;"",_PENDIENTES!$D$237,"")</f>
        <v/>
      </c>
      <c r="E243" s="241">
        <f>IF(_PENDIENTES!$B$237&lt;&gt;"",_PENDIENTES!$E$237,"")</f>
        <v/>
      </c>
      <c r="F243" s="241">
        <f>IF(_PENDIENTES!$B$237&lt;&gt;"",_PENDIENTES!$F$237,"")</f>
        <v/>
      </c>
      <c r="G243" s="239">
        <f>IF(_PENDIENTES!$B$237&lt;&gt;"",_PENDIENTES!$G$237,"")</f>
        <v/>
      </c>
      <c r="H243" s="239">
        <f>IF(_PENDIENTES!$B$237&lt;&gt;"",_PENDIENTES!$H$237,"")</f>
        <v/>
      </c>
      <c r="I243" s="308">
        <f>IF(_PENDIENTES!$B$237&lt;&gt;"",_PENDIENTES!$I$237,"")</f>
        <v/>
      </c>
      <c r="J243" s="239">
        <f>IF(_PENDIENTES!$B$237&lt;&gt;"",_PENDIENTES!$J$237,"")</f>
        <v/>
      </c>
      <c r="K243" s="241">
        <f>IF(_PENDIENTES!$B$237&lt;&gt;"","POR RECOGER","")</f>
        <v/>
      </c>
      <c r="L243" s="241">
        <f>IF(_PENDIENTES!$B$237&lt;&gt;"",_PENDIENTES!$K$237,"")</f>
        <v/>
      </c>
      <c r="M243" s="280">
        <f>IF(_PENDIENTES!$B$237&lt;&gt;"",_PENDIENTES!$B$237,"")</f>
        <v/>
      </c>
      <c r="N243" s="304">
        <f>IF(_PENDIENTES!$B$237&lt;&gt;"",_PENDIENTES!$L$237,"")</f>
        <v/>
      </c>
      <c r="O243" s="284" t="n"/>
      <c r="P243" s="284" t="n"/>
      <c r="Q243" s="284" t="n"/>
      <c r="R243" s="284" t="n"/>
      <c r="S243" s="284" t="n"/>
    </row>
    <row r="244" hidden="1" ht="15.75" customHeight="1" s="195">
      <c r="A244" s="301">
        <f>IF(_PENDIENTES!$B$238&lt;&gt;"",237,"")</f>
        <v/>
      </c>
      <c r="B244" s="242">
        <f>IF(_PENDIENTES!$B$238&lt;&gt;"",_PENDIENTES!$A$238,"")</f>
        <v/>
      </c>
      <c r="C244" s="302">
        <f>IF(_PENDIENTES!$B$238&lt;&gt;"",_PENDIENTES!$C$238,"")</f>
        <v/>
      </c>
      <c r="D244" s="301">
        <f>IF(_PENDIENTES!$B$238&lt;&gt;"",_PENDIENTES!$D$238,"")</f>
        <v/>
      </c>
      <c r="E244" s="306">
        <f>IF(_PENDIENTES!$B$238&lt;&gt;"",_PENDIENTES!$E$238,"")</f>
        <v/>
      </c>
      <c r="F244" s="301">
        <f>IF(_PENDIENTES!$B$238&lt;&gt;"",_PENDIENTES!$F$238,"")</f>
        <v/>
      </c>
      <c r="G244" s="245">
        <f>IF(_PENDIENTES!$B$238&lt;&gt;"",_PENDIENTES!$G$238,"")</f>
        <v/>
      </c>
      <c r="H244" s="245">
        <f>IF(_PENDIENTES!$B$238&lt;&gt;"",_PENDIENTES!$H$238,"")</f>
        <v/>
      </c>
      <c r="I244" s="303">
        <f>IF(_PENDIENTES!$B$238&lt;&gt;"",_PENDIENTES!$I$238,"")</f>
        <v/>
      </c>
      <c r="J244" s="245">
        <f>IF(_PENDIENTES!$B$238&lt;&gt;"",_PENDIENTES!$J$238,"")</f>
        <v/>
      </c>
      <c r="K244" s="301">
        <f>IF(_PENDIENTES!$B$238&lt;&gt;"","POR RECOGER","")</f>
        <v/>
      </c>
      <c r="L244" s="301">
        <f>IF(_PENDIENTES!$B$238&lt;&gt;"",_PENDIENTES!$K$238,"")</f>
        <v/>
      </c>
      <c r="M244" s="280">
        <f>IF(_PENDIENTES!$B$238&lt;&gt;"",_PENDIENTES!$B$238,"")</f>
        <v/>
      </c>
      <c r="N244" s="304">
        <f>IF(_PENDIENTES!$B$238&lt;&gt;"",_PENDIENTES!$L$238,"")</f>
        <v/>
      </c>
      <c r="O244" s="284" t="n"/>
      <c r="P244" s="284" t="n"/>
      <c r="Q244" s="284" t="n"/>
      <c r="R244" s="284" t="n"/>
      <c r="S244" s="284" t="n"/>
    </row>
    <row r="245" hidden="1" ht="15.75" customHeight="1" s="195">
      <c r="A245" s="241">
        <f>IF(_PENDIENTES!$B$239&lt;&gt;"",238,"")</f>
        <v/>
      </c>
      <c r="B245" s="236">
        <f>IF(_PENDIENTES!$B$239&lt;&gt;"",_PENDIENTES!$A$239,"")</f>
        <v/>
      </c>
      <c r="C245" s="305">
        <f>IF(_PENDIENTES!$B$239&lt;&gt;"",_PENDIENTES!$C$239,"")</f>
        <v/>
      </c>
      <c r="D245" s="241">
        <f>IF(_PENDIENTES!$B$239&lt;&gt;"",_PENDIENTES!$D$239,"")</f>
        <v/>
      </c>
      <c r="E245" s="307">
        <f>IF(_PENDIENTES!$B$239&lt;&gt;"",_PENDIENTES!$E$239,"")</f>
        <v/>
      </c>
      <c r="F245" s="241">
        <f>IF(_PENDIENTES!$B$239&lt;&gt;"",_PENDIENTES!$F$239,"")</f>
        <v/>
      </c>
      <c r="G245" s="239">
        <f>IF(_PENDIENTES!$B$239&lt;&gt;"",_PENDIENTES!$G$239,"")</f>
        <v/>
      </c>
      <c r="H245" s="239">
        <f>IF(_PENDIENTES!$B$239&lt;&gt;"",_PENDIENTES!$H$239,"")</f>
        <v/>
      </c>
      <c r="I245" s="305">
        <f>IF(_PENDIENTES!$B$239&lt;&gt;"",_PENDIENTES!$I$239,"")</f>
        <v/>
      </c>
      <c r="J245" s="241">
        <f>IF(_PENDIENTES!$B$239&lt;&gt;"",_PENDIENTES!$J$239,"")</f>
        <v/>
      </c>
      <c r="K245" s="241">
        <f>IF(_PENDIENTES!$B$239&lt;&gt;"","POR RECOGER","")</f>
        <v/>
      </c>
      <c r="L245" s="241">
        <f>IF(_PENDIENTES!$B$239&lt;&gt;"",_PENDIENTES!$K$239,"")</f>
        <v/>
      </c>
      <c r="M245" s="284">
        <f>IF(_PENDIENTES!$B$239&lt;&gt;"",_PENDIENTES!$B$239,"")</f>
        <v/>
      </c>
      <c r="N245" s="304">
        <f>IF(_PENDIENTES!$B$239&lt;&gt;"",_PENDIENTES!$L$239,"")</f>
        <v/>
      </c>
      <c r="O245" s="284" t="n"/>
      <c r="P245" s="284" t="n"/>
      <c r="Q245" s="284" t="n"/>
      <c r="R245" s="284" t="n"/>
      <c r="S245" s="284" t="n"/>
    </row>
    <row r="246" hidden="1" ht="15.75" customHeight="1" s="195">
      <c r="A246" s="301">
        <f>IF(_PENDIENTES!$B$240&lt;&gt;"",239,"")</f>
        <v/>
      </c>
      <c r="B246" s="242">
        <f>IF(_PENDIENTES!$B$240&lt;&gt;"",_PENDIENTES!$A$240,"")</f>
        <v/>
      </c>
      <c r="C246" s="302">
        <f>IF(_PENDIENTES!$B$240&lt;&gt;"",_PENDIENTES!$C$240,"")</f>
        <v/>
      </c>
      <c r="D246" s="301">
        <f>IF(_PENDIENTES!$B$240&lt;&gt;"",_PENDIENTES!$D$240,"")</f>
        <v/>
      </c>
      <c r="E246" s="306">
        <f>IF(_PENDIENTES!$B$240&lt;&gt;"",_PENDIENTES!$E$240,"")</f>
        <v/>
      </c>
      <c r="F246" s="301">
        <f>IF(_PENDIENTES!$B$240&lt;&gt;"",_PENDIENTES!$F$240,"")</f>
        <v/>
      </c>
      <c r="G246" s="245">
        <f>IF(_PENDIENTES!$B$240&lt;&gt;"",_PENDIENTES!$G$240,"")</f>
        <v/>
      </c>
      <c r="H246" s="245">
        <f>IF(_PENDIENTES!$B$240&lt;&gt;"",_PENDIENTES!$H$240,"")</f>
        <v/>
      </c>
      <c r="I246" s="302">
        <f>IF(_PENDIENTES!$B$240&lt;&gt;"",_PENDIENTES!$I$240,"")</f>
        <v/>
      </c>
      <c r="J246" s="301">
        <f>IF(_PENDIENTES!$B$240&lt;&gt;"",_PENDIENTES!$J$240,"")</f>
        <v/>
      </c>
      <c r="K246" s="301">
        <f>IF(_PENDIENTES!$B$240&lt;&gt;"","POR RECOGER","")</f>
        <v/>
      </c>
      <c r="L246" s="301">
        <f>IF(_PENDIENTES!$B$240&lt;&gt;"",_PENDIENTES!$K$240,"")</f>
        <v/>
      </c>
      <c r="M246" s="284">
        <f>IF(_PENDIENTES!$B$240&lt;&gt;"",_PENDIENTES!$B$240,"")</f>
        <v/>
      </c>
      <c r="N246" s="304">
        <f>IF(_PENDIENTES!$B$240&lt;&gt;"",_PENDIENTES!$L$240,"")</f>
        <v/>
      </c>
      <c r="O246" s="284" t="n"/>
      <c r="P246" s="284" t="n"/>
      <c r="Q246" s="284" t="n"/>
      <c r="R246" s="284" t="n"/>
      <c r="S246" s="284" t="n"/>
    </row>
    <row r="247" hidden="1" ht="15.75" customHeight="1" s="195">
      <c r="A247" s="241">
        <f>IF(_PENDIENTES!$B$241&lt;&gt;"",240,"")</f>
        <v/>
      </c>
      <c r="B247" s="236">
        <f>IF(_PENDIENTES!$B$241&lt;&gt;"",_PENDIENTES!$A$241,"")</f>
        <v/>
      </c>
      <c r="C247" s="305">
        <f>IF(_PENDIENTES!$B$241&lt;&gt;"",_PENDIENTES!$C$241,"")</f>
        <v/>
      </c>
      <c r="D247" s="241">
        <f>IF(_PENDIENTES!$B$241&lt;&gt;"",_PENDIENTES!$D$241,"")</f>
        <v/>
      </c>
      <c r="E247" s="307">
        <f>IF(_PENDIENTES!$B$241&lt;&gt;"",_PENDIENTES!$E$241,"")</f>
        <v/>
      </c>
      <c r="F247" s="241">
        <f>IF(_PENDIENTES!$B$241&lt;&gt;"",_PENDIENTES!$F$241,"")</f>
        <v/>
      </c>
      <c r="G247" s="239">
        <f>IF(_PENDIENTES!$B$241&lt;&gt;"",_PENDIENTES!$G$241,"")</f>
        <v/>
      </c>
      <c r="H247" s="239">
        <f>IF(_PENDIENTES!$B$241&lt;&gt;"",_PENDIENTES!$H$241,"")</f>
        <v/>
      </c>
      <c r="I247" s="305">
        <f>IF(_PENDIENTES!$B$241&lt;&gt;"",_PENDIENTES!$I$241,"")</f>
        <v/>
      </c>
      <c r="J247" s="241">
        <f>IF(_PENDIENTES!$B$241&lt;&gt;"",_PENDIENTES!$J$241,"")</f>
        <v/>
      </c>
      <c r="K247" s="241">
        <f>IF(_PENDIENTES!$B$241&lt;&gt;"","POR RECOGER","")</f>
        <v/>
      </c>
      <c r="L247" s="241">
        <f>IF(_PENDIENTES!$B$241&lt;&gt;"",_PENDIENTES!$K$241,"")</f>
        <v/>
      </c>
      <c r="M247" s="284">
        <f>IF(_PENDIENTES!$B$241&lt;&gt;"",_PENDIENTES!$B$241,"")</f>
        <v/>
      </c>
      <c r="N247" s="304">
        <f>IF(_PENDIENTES!$B$241&lt;&gt;"",_PENDIENTES!$L$241,"")</f>
        <v/>
      </c>
      <c r="O247" s="284" t="n"/>
      <c r="P247" s="284" t="n"/>
      <c r="Q247" s="284" t="n"/>
      <c r="R247" s="284" t="n"/>
      <c r="S247" s="284" t="n"/>
    </row>
    <row r="248" hidden="1" ht="15.75" customHeight="1" s="195">
      <c r="A248" s="301">
        <f>IF(_PENDIENTES!$B$242&lt;&gt;"",241,"")</f>
        <v/>
      </c>
      <c r="B248" s="242">
        <f>IF(_PENDIENTES!$B$242&lt;&gt;"",_PENDIENTES!$A$242,"")</f>
        <v/>
      </c>
      <c r="C248" s="302">
        <f>IF(_PENDIENTES!$B$242&lt;&gt;"",_PENDIENTES!$C$242,"")</f>
        <v/>
      </c>
      <c r="D248" s="301">
        <f>IF(_PENDIENTES!$B$242&lt;&gt;"",_PENDIENTES!$D$242,"")</f>
        <v/>
      </c>
      <c r="E248" s="306">
        <f>IF(_PENDIENTES!$B$242&lt;&gt;"",_PENDIENTES!$E$242,"")</f>
        <v/>
      </c>
      <c r="F248" s="301">
        <f>IF(_PENDIENTES!$B$242&lt;&gt;"",_PENDIENTES!$F$242,"")</f>
        <v/>
      </c>
      <c r="G248" s="245">
        <f>IF(_PENDIENTES!$B$242&lt;&gt;"",_PENDIENTES!$G$242,"")</f>
        <v/>
      </c>
      <c r="H248" s="245">
        <f>IF(_PENDIENTES!$B$242&lt;&gt;"",_PENDIENTES!$H$242,"")</f>
        <v/>
      </c>
      <c r="I248" s="302">
        <f>IF(_PENDIENTES!$B$242&lt;&gt;"",_PENDIENTES!$I$242,"")</f>
        <v/>
      </c>
      <c r="J248" s="301">
        <f>IF(_PENDIENTES!$B$242&lt;&gt;"",_PENDIENTES!$J$242,"")</f>
        <v/>
      </c>
      <c r="K248" s="301">
        <f>IF(_PENDIENTES!$B$242&lt;&gt;"","POR RECOGER","")</f>
        <v/>
      </c>
      <c r="L248" s="301">
        <f>IF(_PENDIENTES!$B$242&lt;&gt;"",_PENDIENTES!$K$242,"")</f>
        <v/>
      </c>
      <c r="M248" s="284">
        <f>IF(_PENDIENTES!$B$242&lt;&gt;"",_PENDIENTES!$B$242,"")</f>
        <v/>
      </c>
      <c r="N248" s="304">
        <f>IF(_PENDIENTES!$B$242&lt;&gt;"",_PENDIENTES!$L$242,"")</f>
        <v/>
      </c>
      <c r="O248" s="284" t="n"/>
      <c r="P248" s="284" t="n"/>
      <c r="Q248" s="284" t="n"/>
      <c r="R248" s="284" t="n"/>
      <c r="S248" s="284" t="n"/>
    </row>
    <row r="249" hidden="1" ht="15.75" customHeight="1" s="195">
      <c r="A249" s="241">
        <f>IF(_PENDIENTES!$B$243&lt;&gt;"",242,"")</f>
        <v/>
      </c>
      <c r="B249" s="236">
        <f>IF(_PENDIENTES!$B$243&lt;&gt;"",_PENDIENTES!$A$243,"")</f>
        <v/>
      </c>
      <c r="C249" s="305">
        <f>IF(_PENDIENTES!$B$243&lt;&gt;"",_PENDIENTES!$C$243,"")</f>
        <v/>
      </c>
      <c r="D249" s="241">
        <f>IF(_PENDIENTES!$B$243&lt;&gt;"",_PENDIENTES!$D$243,"")</f>
        <v/>
      </c>
      <c r="E249" s="307">
        <f>IF(_PENDIENTES!$B$243&lt;&gt;"",_PENDIENTES!$E$243,"")</f>
        <v/>
      </c>
      <c r="F249" s="241">
        <f>IF(_PENDIENTES!$B$243&lt;&gt;"",_PENDIENTES!$F$243,"")</f>
        <v/>
      </c>
      <c r="G249" s="239">
        <f>IF(_PENDIENTES!$B$243&lt;&gt;"",_PENDIENTES!$G$243,"")</f>
        <v/>
      </c>
      <c r="H249" s="239">
        <f>IF(_PENDIENTES!$B$243&lt;&gt;"",_PENDIENTES!$H$243,"")</f>
        <v/>
      </c>
      <c r="I249" s="305">
        <f>IF(_PENDIENTES!$B$243&lt;&gt;"",_PENDIENTES!$I$243,"")</f>
        <v/>
      </c>
      <c r="J249" s="241">
        <f>IF(_PENDIENTES!$B$243&lt;&gt;"",_PENDIENTES!$J$243,"")</f>
        <v/>
      </c>
      <c r="K249" s="241">
        <f>IF(_PENDIENTES!$B$243&lt;&gt;"","POR RECOGER","")</f>
        <v/>
      </c>
      <c r="L249" s="241">
        <f>IF(_PENDIENTES!$B$243&lt;&gt;"",_PENDIENTES!$K$243,"")</f>
        <v/>
      </c>
      <c r="M249" s="284">
        <f>IF(_PENDIENTES!$B$243&lt;&gt;"",_PENDIENTES!$B$243,"")</f>
        <v/>
      </c>
      <c r="N249" s="304">
        <f>IF(_PENDIENTES!$B$243&lt;&gt;"",_PENDIENTES!$L$243,"")</f>
        <v/>
      </c>
      <c r="O249" s="284" t="n"/>
      <c r="P249" s="284" t="n"/>
      <c r="Q249" s="284" t="n"/>
      <c r="R249" s="284" t="n"/>
      <c r="S249" s="284" t="n"/>
    </row>
    <row r="250" hidden="1" ht="15.75" customHeight="1" s="195">
      <c r="A250" s="301">
        <f>IF(_PENDIENTES!$B$244&lt;&gt;"",243,"")</f>
        <v/>
      </c>
      <c r="B250" s="242">
        <f>IF(_PENDIENTES!$B$244&lt;&gt;"",_PENDIENTES!$A$244,"")</f>
        <v/>
      </c>
      <c r="C250" s="302">
        <f>IF(_PENDIENTES!$B$244&lt;&gt;"",_PENDIENTES!$C$244,"")</f>
        <v/>
      </c>
      <c r="D250" s="301">
        <f>IF(_PENDIENTES!$B$244&lt;&gt;"",_PENDIENTES!$D$244,"")</f>
        <v/>
      </c>
      <c r="E250" s="306">
        <f>IF(_PENDIENTES!$B$244&lt;&gt;"",_PENDIENTES!$E$244,"")</f>
        <v/>
      </c>
      <c r="F250" s="301">
        <f>IF(_PENDIENTES!$B$244&lt;&gt;"",_PENDIENTES!$F$244,"")</f>
        <v/>
      </c>
      <c r="G250" s="245">
        <f>IF(_PENDIENTES!$B$244&lt;&gt;"",_PENDIENTES!$G$244,"")</f>
        <v/>
      </c>
      <c r="H250" s="245">
        <f>IF(_PENDIENTES!$B$244&lt;&gt;"",_PENDIENTES!$H$244,"")</f>
        <v/>
      </c>
      <c r="I250" s="302">
        <f>IF(_PENDIENTES!$B$244&lt;&gt;"",_PENDIENTES!$I$244,"")</f>
        <v/>
      </c>
      <c r="J250" s="301">
        <f>IF(_PENDIENTES!$B$244&lt;&gt;"",_PENDIENTES!$J$244,"")</f>
        <v/>
      </c>
      <c r="K250" s="301">
        <f>IF(_PENDIENTES!$B$244&lt;&gt;"","POR RECOGER","")</f>
        <v/>
      </c>
      <c r="L250" s="301">
        <f>IF(_PENDIENTES!$B$244&lt;&gt;"",_PENDIENTES!$K$244,"")</f>
        <v/>
      </c>
      <c r="M250" s="284">
        <f>IF(_PENDIENTES!$B$244&lt;&gt;"",_PENDIENTES!$B$244,"")</f>
        <v/>
      </c>
      <c r="N250" s="304">
        <f>IF(_PENDIENTES!$B$244&lt;&gt;"",_PENDIENTES!$L$244,"")</f>
        <v/>
      </c>
      <c r="O250" s="284" t="n"/>
      <c r="P250" s="284" t="n"/>
      <c r="Q250" s="284" t="n"/>
      <c r="R250" s="284" t="n"/>
      <c r="S250" s="284" t="n"/>
    </row>
    <row r="251" hidden="1" ht="15.75" customHeight="1" s="195">
      <c r="A251" s="241">
        <f>IF(_PENDIENTES!$B$245&lt;&gt;"",244,"")</f>
        <v/>
      </c>
      <c r="B251" s="236">
        <f>IF(_PENDIENTES!$B$245&lt;&gt;"",_PENDIENTES!$A$245,"")</f>
        <v/>
      </c>
      <c r="C251" s="305">
        <f>IF(_PENDIENTES!$B$245&lt;&gt;"",_PENDIENTES!$C$245,"")</f>
        <v/>
      </c>
      <c r="D251" s="241">
        <f>IF(_PENDIENTES!$B$245&lt;&gt;"",_PENDIENTES!$D$245,"")</f>
        <v/>
      </c>
      <c r="E251" s="307">
        <f>IF(_PENDIENTES!$B$245&lt;&gt;"",_PENDIENTES!$E$245,"")</f>
        <v/>
      </c>
      <c r="F251" s="241">
        <f>IF(_PENDIENTES!$B$245&lt;&gt;"",_PENDIENTES!$F$245,"")</f>
        <v/>
      </c>
      <c r="G251" s="239">
        <f>IF(_PENDIENTES!$B$245&lt;&gt;"",_PENDIENTES!$G$245,"")</f>
        <v/>
      </c>
      <c r="H251" s="239">
        <f>IF(_PENDIENTES!$B$245&lt;&gt;"",_PENDIENTES!$H$245,"")</f>
        <v/>
      </c>
      <c r="I251" s="305">
        <f>IF(_PENDIENTES!$B$245&lt;&gt;"",_PENDIENTES!$I$245,"")</f>
        <v/>
      </c>
      <c r="J251" s="241">
        <f>IF(_PENDIENTES!$B$245&lt;&gt;"",_PENDIENTES!$J$245,"")</f>
        <v/>
      </c>
      <c r="K251" s="241">
        <f>IF(_PENDIENTES!$B$245&lt;&gt;"","POR RECOGER","")</f>
        <v/>
      </c>
      <c r="L251" s="241">
        <f>IF(_PENDIENTES!$B$245&lt;&gt;"",_PENDIENTES!$K$245,"")</f>
        <v/>
      </c>
      <c r="M251" s="284">
        <f>IF(_PENDIENTES!$B$245&lt;&gt;"",_PENDIENTES!$B$245,"")</f>
        <v/>
      </c>
      <c r="N251" s="304">
        <f>IF(_PENDIENTES!$B$245&lt;&gt;"",_PENDIENTES!$L$245,"")</f>
        <v/>
      </c>
      <c r="O251" s="284" t="n"/>
      <c r="P251" s="284" t="n"/>
      <c r="Q251" s="284" t="n"/>
      <c r="R251" s="284" t="n"/>
      <c r="S251" s="284" t="n"/>
    </row>
    <row r="252" hidden="1" ht="15.75" customHeight="1" s="195">
      <c r="A252" s="301">
        <f>IF(_PENDIENTES!$B$246&lt;&gt;"",245,"")</f>
        <v/>
      </c>
      <c r="B252" s="242">
        <f>IF(_PENDIENTES!$B$246&lt;&gt;"",_PENDIENTES!$A$246,"")</f>
        <v/>
      </c>
      <c r="C252" s="302">
        <f>IF(_PENDIENTES!$B$246&lt;&gt;"",_PENDIENTES!$C$246,"")</f>
        <v/>
      </c>
      <c r="D252" s="301">
        <f>IF(_PENDIENTES!$B$246&lt;&gt;"",_PENDIENTES!$D$246,"")</f>
        <v/>
      </c>
      <c r="E252" s="306">
        <f>IF(_PENDIENTES!$B$246&lt;&gt;"",_PENDIENTES!$E$246,"")</f>
        <v/>
      </c>
      <c r="F252" s="301">
        <f>IF(_PENDIENTES!$B$246&lt;&gt;"",_PENDIENTES!$F$246,"")</f>
        <v/>
      </c>
      <c r="G252" s="245">
        <f>IF(_PENDIENTES!$B$246&lt;&gt;"",_PENDIENTES!$G$246,"")</f>
        <v/>
      </c>
      <c r="H252" s="245">
        <f>IF(_PENDIENTES!$B$246&lt;&gt;"",_PENDIENTES!$H$246,"")</f>
        <v/>
      </c>
      <c r="I252" s="302">
        <f>IF(_PENDIENTES!$B$246&lt;&gt;"",_PENDIENTES!$I$246,"")</f>
        <v/>
      </c>
      <c r="J252" s="301">
        <f>IF(_PENDIENTES!$B$246&lt;&gt;"",_PENDIENTES!$J$246,"")</f>
        <v/>
      </c>
      <c r="K252" s="301">
        <f>IF(_PENDIENTES!$B$246&lt;&gt;"","POR RECOGER","")</f>
        <v/>
      </c>
      <c r="L252" s="301">
        <f>IF(_PENDIENTES!$B$246&lt;&gt;"",_PENDIENTES!$K$246,"")</f>
        <v/>
      </c>
      <c r="M252" s="284">
        <f>IF(_PENDIENTES!$B$246&lt;&gt;"",_PENDIENTES!$B$246,"")</f>
        <v/>
      </c>
      <c r="N252" s="304">
        <f>IF(_PENDIENTES!$B$246&lt;&gt;"",_PENDIENTES!$L$246,"")</f>
        <v/>
      </c>
      <c r="O252" s="284" t="n"/>
      <c r="P252" s="284" t="n"/>
      <c r="Q252" s="284" t="n"/>
      <c r="R252" s="284" t="n"/>
      <c r="S252" s="284" t="n"/>
    </row>
    <row r="253" ht="15.75" customHeight="1" s="195">
      <c r="A253" s="241">
        <f>IF(_PENDIENTES!$B$247&lt;&gt;"",246,"")</f>
        <v/>
      </c>
      <c r="B253" s="236">
        <f>IF(_PENDIENTES!$B$247&lt;&gt;"",_PENDIENTES!$A$247,"")</f>
        <v/>
      </c>
      <c r="C253" s="305">
        <f>IF(_PENDIENTES!$B$247&lt;&gt;"",_PENDIENTES!$C$247,"")</f>
        <v/>
      </c>
      <c r="D253" s="241">
        <f>IF(_PENDIENTES!$B$247&lt;&gt;"",_PENDIENTES!$D$247,"")</f>
        <v/>
      </c>
      <c r="E253" s="307">
        <f>IF(_PENDIENTES!$B$247&lt;&gt;"",_PENDIENTES!$E$247,"")</f>
        <v/>
      </c>
      <c r="F253" s="241">
        <f>IF(_PENDIENTES!$B$247&lt;&gt;"",_PENDIENTES!$F$247,"")</f>
        <v/>
      </c>
      <c r="G253" s="239">
        <f>IF(_PENDIENTES!$B$247&lt;&gt;"",_PENDIENTES!$G$247,"")</f>
        <v/>
      </c>
      <c r="H253" s="239">
        <f>IF(_PENDIENTES!$B$247&lt;&gt;"",_PENDIENTES!$H$247,"")</f>
        <v/>
      </c>
      <c r="I253" s="305">
        <f>IF(_PENDIENTES!$B$247&lt;&gt;"",_PENDIENTES!$I$247,"")</f>
        <v/>
      </c>
      <c r="J253" s="241">
        <f>IF(_PENDIENTES!$B$247&lt;&gt;"",_PENDIENTES!$J$247,"")</f>
        <v/>
      </c>
      <c r="K253" s="241">
        <f>IF(_PENDIENTES!$B$247&lt;&gt;"","POR RECOGER","")</f>
        <v/>
      </c>
      <c r="L253" s="241">
        <f>IF(_PENDIENTES!$B$247&lt;&gt;"",_PENDIENTES!$K$247,"")</f>
        <v/>
      </c>
      <c r="M253" s="284">
        <f>IF(_PENDIENTES!$B$247&lt;&gt;"",_PENDIENTES!$B$247,"")</f>
        <v/>
      </c>
      <c r="N253" s="304">
        <f>IF(_PENDIENTES!$B$247&lt;&gt;"",_PENDIENTES!$L$247,"")</f>
        <v/>
      </c>
      <c r="O253" s="284" t="n"/>
      <c r="P253" s="284" t="n"/>
      <c r="Q253" s="284" t="n"/>
      <c r="R253" s="284" t="n"/>
      <c r="S253" s="284" t="n"/>
    </row>
    <row r="254" hidden="1" ht="15.75" customHeight="1" s="195">
      <c r="A254" s="301">
        <f>IF(_PENDIENTES!$B$248&lt;&gt;"",247,"")</f>
        <v/>
      </c>
      <c r="B254" s="242">
        <f>IF(_PENDIENTES!$B$248&lt;&gt;"",_PENDIENTES!$A$248,"")</f>
        <v/>
      </c>
      <c r="C254" s="302">
        <f>IF(_PENDIENTES!$B$248&lt;&gt;"",_PENDIENTES!$C$248,"")</f>
        <v/>
      </c>
      <c r="D254" s="301">
        <f>IF(_PENDIENTES!$B$248&lt;&gt;"",_PENDIENTES!$D$248,"")</f>
        <v/>
      </c>
      <c r="E254" s="306">
        <f>IF(_PENDIENTES!$B$248&lt;&gt;"",_PENDIENTES!$E$248,"")</f>
        <v/>
      </c>
      <c r="F254" s="301">
        <f>IF(_PENDIENTES!$B$248&lt;&gt;"",_PENDIENTES!$F$248,"")</f>
        <v/>
      </c>
      <c r="G254" s="245">
        <f>IF(_PENDIENTES!$B$248&lt;&gt;"",_PENDIENTES!$G$248,"")</f>
        <v/>
      </c>
      <c r="H254" s="245">
        <f>IF(_PENDIENTES!$B$248&lt;&gt;"",_PENDIENTES!$H$248,"")</f>
        <v/>
      </c>
      <c r="I254" s="302">
        <f>IF(_PENDIENTES!$B$248&lt;&gt;"",_PENDIENTES!$I$248,"")</f>
        <v/>
      </c>
      <c r="J254" s="301">
        <f>IF(_PENDIENTES!$B$248&lt;&gt;"",_PENDIENTES!$J$248,"")</f>
        <v/>
      </c>
      <c r="K254" s="301">
        <f>IF(_PENDIENTES!$B$248&lt;&gt;"","POR RECOGER","")</f>
        <v/>
      </c>
      <c r="L254" s="301">
        <f>IF(_PENDIENTES!$B$248&lt;&gt;"",_PENDIENTES!$K$248,"")</f>
        <v/>
      </c>
      <c r="M254" s="284">
        <f>IF(_PENDIENTES!$B$248&lt;&gt;"",_PENDIENTES!$B$248,"")</f>
        <v/>
      </c>
      <c r="N254" s="304">
        <f>IF(_PENDIENTES!$B$248&lt;&gt;"",_PENDIENTES!$L$248,"")</f>
        <v/>
      </c>
      <c r="O254" s="284" t="n"/>
      <c r="P254" s="284" t="n"/>
      <c r="Q254" s="284" t="n"/>
      <c r="R254" s="284" t="n"/>
      <c r="S254" s="284" t="n"/>
    </row>
    <row r="255" hidden="1" ht="15.75" customHeight="1" s="195">
      <c r="A255" s="241">
        <f>IF(_PENDIENTES!$B$249&lt;&gt;"",248,"")</f>
        <v/>
      </c>
      <c r="B255" s="236">
        <f>IF(_PENDIENTES!$B$249&lt;&gt;"",_PENDIENTES!$A$249,"")</f>
        <v/>
      </c>
      <c r="C255" s="305">
        <f>IF(_PENDIENTES!$B$249&lt;&gt;"",_PENDIENTES!$C$249,"")</f>
        <v/>
      </c>
      <c r="D255" s="241">
        <f>IF(_PENDIENTES!$B$249&lt;&gt;"",_PENDIENTES!$D$249,"")</f>
        <v/>
      </c>
      <c r="E255" s="307">
        <f>IF(_PENDIENTES!$B$249&lt;&gt;"",_PENDIENTES!$E$249,"")</f>
        <v/>
      </c>
      <c r="F255" s="241">
        <f>IF(_PENDIENTES!$B$249&lt;&gt;"",_PENDIENTES!$F$249,"")</f>
        <v/>
      </c>
      <c r="G255" s="239">
        <f>IF(_PENDIENTES!$B$249&lt;&gt;"",_PENDIENTES!$G$249,"")</f>
        <v/>
      </c>
      <c r="H255" s="239">
        <f>IF(_PENDIENTES!$B$249&lt;&gt;"",_PENDIENTES!$H$249,"")</f>
        <v/>
      </c>
      <c r="I255" s="305">
        <f>IF(_PENDIENTES!$B$249&lt;&gt;"",_PENDIENTES!$I$249,"")</f>
        <v/>
      </c>
      <c r="J255" s="241">
        <f>IF(_PENDIENTES!$B$249&lt;&gt;"",_PENDIENTES!$J$249,"")</f>
        <v/>
      </c>
      <c r="K255" s="241">
        <f>IF(_PENDIENTES!$B$249&lt;&gt;"","POR RECOGER","")</f>
        <v/>
      </c>
      <c r="L255" s="241">
        <f>IF(_PENDIENTES!$B$249&lt;&gt;"",_PENDIENTES!$K$249,"")</f>
        <v/>
      </c>
      <c r="M255" s="284">
        <f>IF(_PENDIENTES!$B$249&lt;&gt;"",_PENDIENTES!$B$249,"")</f>
        <v/>
      </c>
      <c r="N255" s="304">
        <f>IF(_PENDIENTES!$B$249&lt;&gt;"",_PENDIENTES!$L$249,"")</f>
        <v/>
      </c>
      <c r="O255" s="284" t="n"/>
      <c r="P255" s="284" t="n"/>
      <c r="Q255" s="284" t="n"/>
      <c r="R255" s="284" t="n"/>
      <c r="S255" s="284" t="n"/>
    </row>
    <row r="256" hidden="1" ht="15.75" customHeight="1" s="195">
      <c r="A256" s="301">
        <f>IF(_PENDIENTES!$B$250&lt;&gt;"",249,"")</f>
        <v/>
      </c>
      <c r="B256" s="242">
        <f>IF(_PENDIENTES!$B$250&lt;&gt;"",_PENDIENTES!$A$250,"")</f>
        <v/>
      </c>
      <c r="C256" s="302">
        <f>IF(_PENDIENTES!$B$250&lt;&gt;"",_PENDIENTES!$C$250,"")</f>
        <v/>
      </c>
      <c r="D256" s="301">
        <f>IF(_PENDIENTES!$B$250&lt;&gt;"",_PENDIENTES!$D$250,"")</f>
        <v/>
      </c>
      <c r="E256" s="306">
        <f>IF(_PENDIENTES!$B$250&lt;&gt;"",_PENDIENTES!$E$250,"")</f>
        <v/>
      </c>
      <c r="F256" s="301">
        <f>IF(_PENDIENTES!$B$250&lt;&gt;"",_PENDIENTES!$F$250,"")</f>
        <v/>
      </c>
      <c r="G256" s="245">
        <f>IF(_PENDIENTES!$B$250&lt;&gt;"",_PENDIENTES!$G$250,"")</f>
        <v/>
      </c>
      <c r="H256" s="245">
        <f>IF(_PENDIENTES!$B$250&lt;&gt;"",_PENDIENTES!$H$250,"")</f>
        <v/>
      </c>
      <c r="I256" s="302">
        <f>IF(_PENDIENTES!$B$250&lt;&gt;"",_PENDIENTES!$I$250,"")</f>
        <v/>
      </c>
      <c r="J256" s="301">
        <f>IF(_PENDIENTES!$B$250&lt;&gt;"",_PENDIENTES!$J$250,"")</f>
        <v/>
      </c>
      <c r="K256" s="301">
        <f>IF(_PENDIENTES!$B$250&lt;&gt;"","POR RECOGER","")</f>
        <v/>
      </c>
      <c r="L256" s="301">
        <f>IF(_PENDIENTES!$B$250&lt;&gt;"",_PENDIENTES!$K$250,"")</f>
        <v/>
      </c>
      <c r="M256" s="284">
        <f>IF(_PENDIENTES!$B$250&lt;&gt;"",_PENDIENTES!$B$250,"")</f>
        <v/>
      </c>
      <c r="N256" s="304">
        <f>IF(_PENDIENTES!$B$250&lt;&gt;"",_PENDIENTES!$L$250,"")</f>
        <v/>
      </c>
      <c r="O256" s="284" t="n"/>
      <c r="P256" s="284" t="n"/>
      <c r="Q256" s="284" t="n"/>
      <c r="R256" s="284" t="n"/>
      <c r="S256" s="284" t="n"/>
    </row>
    <row r="257" hidden="1" ht="15.75" customHeight="1" s="195">
      <c r="A257" s="241">
        <f>IF(_PENDIENTES!$B$251&lt;&gt;"",250,"")</f>
        <v/>
      </c>
      <c r="B257" s="236">
        <f>IF(_PENDIENTES!$B$251&lt;&gt;"",_PENDIENTES!$A$251,"")</f>
        <v/>
      </c>
      <c r="C257" s="305">
        <f>IF(_PENDIENTES!$B$251&lt;&gt;"",_PENDIENTES!$C$251,"")</f>
        <v/>
      </c>
      <c r="D257" s="241">
        <f>IF(_PENDIENTES!$B$251&lt;&gt;"",_PENDIENTES!$D$251,"")</f>
        <v/>
      </c>
      <c r="E257" s="307">
        <f>IF(_PENDIENTES!$B$251&lt;&gt;"",_PENDIENTES!$E$251,"")</f>
        <v/>
      </c>
      <c r="F257" s="241">
        <f>IF(_PENDIENTES!$B$251&lt;&gt;"",_PENDIENTES!$F$251,"")</f>
        <v/>
      </c>
      <c r="G257" s="239">
        <f>IF(_PENDIENTES!$B$251&lt;&gt;"",_PENDIENTES!$G$251,"")</f>
        <v/>
      </c>
      <c r="H257" s="239">
        <f>IF(_PENDIENTES!$B$251&lt;&gt;"",_PENDIENTES!$H$251,"")</f>
        <v/>
      </c>
      <c r="I257" s="305">
        <f>IF(_PENDIENTES!$B$251&lt;&gt;"",_PENDIENTES!$I$251,"")</f>
        <v/>
      </c>
      <c r="J257" s="241">
        <f>IF(_PENDIENTES!$B$251&lt;&gt;"",_PENDIENTES!$J$251,"")</f>
        <v/>
      </c>
      <c r="K257" s="241">
        <f>IF(_PENDIENTES!$B$251&lt;&gt;"","POR RECOGER","")</f>
        <v/>
      </c>
      <c r="L257" s="241">
        <f>IF(_PENDIENTES!$B$251&lt;&gt;"",_PENDIENTES!$K$251,"")</f>
        <v/>
      </c>
      <c r="M257" s="284">
        <f>IF(_PENDIENTES!$B$251&lt;&gt;"",_PENDIENTES!$B$251,"")</f>
        <v/>
      </c>
      <c r="N257" s="304">
        <f>IF(_PENDIENTES!$B$251&lt;&gt;"",_PENDIENTES!$L$251,"")</f>
        <v/>
      </c>
      <c r="O257" s="284" t="n"/>
      <c r="P257" s="284" t="n"/>
      <c r="Q257" s="284" t="n"/>
      <c r="R257" s="284" t="n"/>
      <c r="S257" s="284" t="n"/>
    </row>
    <row r="258" hidden="1" ht="15.75" customHeight="1" s="195">
      <c r="A258" s="301">
        <f>IF(_PENDIENTES!$B$252&lt;&gt;"",251,"")</f>
        <v/>
      </c>
      <c r="B258" s="242">
        <f>IF(_PENDIENTES!$B$252&lt;&gt;"",_PENDIENTES!$A$252,"")</f>
        <v/>
      </c>
      <c r="C258" s="302">
        <f>IF(_PENDIENTES!$B$252&lt;&gt;"",_PENDIENTES!$C$252,"")</f>
        <v/>
      </c>
      <c r="D258" s="301">
        <f>IF(_PENDIENTES!$B$252&lt;&gt;"",_PENDIENTES!$D$252,"")</f>
        <v/>
      </c>
      <c r="E258" s="306">
        <f>IF(_PENDIENTES!$B$252&lt;&gt;"",_PENDIENTES!$E$252,"")</f>
        <v/>
      </c>
      <c r="F258" s="301">
        <f>IF(_PENDIENTES!$B$252&lt;&gt;"",_PENDIENTES!$F$252,"")</f>
        <v/>
      </c>
      <c r="G258" s="245">
        <f>IF(_PENDIENTES!$B$252&lt;&gt;"",_PENDIENTES!$G$252,"")</f>
        <v/>
      </c>
      <c r="H258" s="245">
        <f>IF(_PENDIENTES!$B$252&lt;&gt;"",_PENDIENTES!$H$252,"")</f>
        <v/>
      </c>
      <c r="I258" s="302">
        <f>IF(_PENDIENTES!$B$252&lt;&gt;"",_PENDIENTES!$I$252,"")</f>
        <v/>
      </c>
      <c r="J258" s="301">
        <f>IF(_PENDIENTES!$B$252&lt;&gt;"",_PENDIENTES!$J$252,"")</f>
        <v/>
      </c>
      <c r="K258" s="301">
        <f>IF(_PENDIENTES!$B$252&lt;&gt;"","POR RECOGER","")</f>
        <v/>
      </c>
      <c r="L258" s="301">
        <f>IF(_PENDIENTES!$B$252&lt;&gt;"",_PENDIENTES!$K$252,"")</f>
        <v/>
      </c>
      <c r="M258" s="284">
        <f>IF(_PENDIENTES!$B$252&lt;&gt;"",_PENDIENTES!$B$252,"")</f>
        <v/>
      </c>
      <c r="N258" s="304">
        <f>IF(_PENDIENTES!$B$252&lt;&gt;"",_PENDIENTES!$L$252,"")</f>
        <v/>
      </c>
      <c r="O258" s="284" t="n"/>
      <c r="P258" s="284" t="n"/>
      <c r="Q258" s="284" t="n"/>
      <c r="R258" s="284" t="n"/>
      <c r="S258" s="284" t="n"/>
    </row>
    <row r="259" hidden="1" ht="15.75" customHeight="1" s="195">
      <c r="A259" s="241">
        <f>IF(_PENDIENTES!$B$253&lt;&gt;"",252,"")</f>
        <v/>
      </c>
      <c r="B259" s="236">
        <f>IF(_PENDIENTES!$B$253&lt;&gt;"",_PENDIENTES!$A$253,"")</f>
        <v/>
      </c>
      <c r="C259" s="305">
        <f>IF(_PENDIENTES!$B$253&lt;&gt;"",_PENDIENTES!$C$253,"")</f>
        <v/>
      </c>
      <c r="D259" s="241">
        <f>IF(_PENDIENTES!$B$253&lt;&gt;"",_PENDIENTES!$D$253,"")</f>
        <v/>
      </c>
      <c r="E259" s="307">
        <f>IF(_PENDIENTES!$B$253&lt;&gt;"",_PENDIENTES!$E$253,"")</f>
        <v/>
      </c>
      <c r="F259" s="241">
        <f>IF(_PENDIENTES!$B$253&lt;&gt;"",_PENDIENTES!$F$253,"")</f>
        <v/>
      </c>
      <c r="G259" s="239">
        <f>IF(_PENDIENTES!$B$253&lt;&gt;"",_PENDIENTES!$G$253,"")</f>
        <v/>
      </c>
      <c r="H259" s="239">
        <f>IF(_PENDIENTES!$B$253&lt;&gt;"",_PENDIENTES!$H$253,"")</f>
        <v/>
      </c>
      <c r="I259" s="305">
        <f>IF(_PENDIENTES!$B$253&lt;&gt;"",_PENDIENTES!$I$253,"")</f>
        <v/>
      </c>
      <c r="J259" s="241">
        <f>IF(_PENDIENTES!$B$253&lt;&gt;"",_PENDIENTES!$J$253,"")</f>
        <v/>
      </c>
      <c r="K259" s="241">
        <f>IF(_PENDIENTES!$B$253&lt;&gt;"","POR RECOGER","")</f>
        <v/>
      </c>
      <c r="L259" s="241">
        <f>IF(_PENDIENTES!$B$253&lt;&gt;"",_PENDIENTES!$K$253,"")</f>
        <v/>
      </c>
      <c r="M259" s="284">
        <f>IF(_PENDIENTES!$B$253&lt;&gt;"",_PENDIENTES!$B$253,"")</f>
        <v/>
      </c>
      <c r="N259" s="304">
        <f>IF(_PENDIENTES!$B$253&lt;&gt;"",_PENDIENTES!$L$253,"")</f>
        <v/>
      </c>
      <c r="O259" s="284" t="n"/>
      <c r="P259" s="284" t="n"/>
      <c r="Q259" s="284" t="n"/>
      <c r="R259" s="284" t="n"/>
      <c r="S259" s="284" t="n"/>
    </row>
    <row r="260" hidden="1" ht="15.75" customHeight="1" s="195">
      <c r="A260" s="301">
        <f>IF(_PENDIENTES!$B$254&lt;&gt;"",253,"")</f>
        <v/>
      </c>
      <c r="B260" s="242">
        <f>IF(_PENDIENTES!$B$254&lt;&gt;"",_PENDIENTES!$A$254,"")</f>
        <v/>
      </c>
      <c r="C260" s="302">
        <f>IF(_PENDIENTES!$B$254&lt;&gt;"",_PENDIENTES!$C$254,"")</f>
        <v/>
      </c>
      <c r="D260" s="301">
        <f>IF(_PENDIENTES!$B$254&lt;&gt;"",_PENDIENTES!$D$254,"")</f>
        <v/>
      </c>
      <c r="E260" s="306">
        <f>IF(_PENDIENTES!$B$254&lt;&gt;"",_PENDIENTES!$E$254,"")</f>
        <v/>
      </c>
      <c r="F260" s="301">
        <f>IF(_PENDIENTES!$B$254&lt;&gt;"",_PENDIENTES!$F$254,"")</f>
        <v/>
      </c>
      <c r="G260" s="245">
        <f>IF(_PENDIENTES!$B$254&lt;&gt;"",_PENDIENTES!$G$254,"")</f>
        <v/>
      </c>
      <c r="H260" s="245">
        <f>IF(_PENDIENTES!$B$254&lt;&gt;"",_PENDIENTES!$H$254,"")</f>
        <v/>
      </c>
      <c r="I260" s="302">
        <f>IF(_PENDIENTES!$B$254&lt;&gt;"",_PENDIENTES!$I$254,"")</f>
        <v/>
      </c>
      <c r="J260" s="301">
        <f>IF(_PENDIENTES!$B$254&lt;&gt;"",_PENDIENTES!$J$254,"")</f>
        <v/>
      </c>
      <c r="K260" s="301">
        <f>IF(_PENDIENTES!$B$254&lt;&gt;"","POR RECOGER","")</f>
        <v/>
      </c>
      <c r="L260" s="301">
        <f>IF(_PENDIENTES!$B$254&lt;&gt;"",_PENDIENTES!$K$254,"")</f>
        <v/>
      </c>
      <c r="M260" s="284">
        <f>IF(_PENDIENTES!$B$254&lt;&gt;"",_PENDIENTES!$B$254,"")</f>
        <v/>
      </c>
      <c r="N260" s="304">
        <f>IF(_PENDIENTES!$B$254&lt;&gt;"",_PENDIENTES!$L$254,"")</f>
        <v/>
      </c>
      <c r="O260" s="284" t="n"/>
      <c r="P260" s="284" t="n"/>
      <c r="Q260" s="284" t="n"/>
      <c r="R260" s="284" t="n"/>
      <c r="S260" s="284" t="n"/>
    </row>
    <row r="261" hidden="1" ht="15.75" customHeight="1" s="195">
      <c r="A261" s="241">
        <f>IF(_PENDIENTES!$B$255&lt;&gt;"",254,"")</f>
        <v/>
      </c>
      <c r="B261" s="236">
        <f>IF(_PENDIENTES!$B$255&lt;&gt;"",_PENDIENTES!$A$255,"")</f>
        <v/>
      </c>
      <c r="C261" s="305">
        <f>IF(_PENDIENTES!$B$255&lt;&gt;"",_PENDIENTES!$C$255,"")</f>
        <v/>
      </c>
      <c r="D261" s="241">
        <f>IF(_PENDIENTES!$B$255&lt;&gt;"",_PENDIENTES!$D$255,"")</f>
        <v/>
      </c>
      <c r="E261" s="307">
        <f>IF(_PENDIENTES!$B$255&lt;&gt;"",_PENDIENTES!$E$255,"")</f>
        <v/>
      </c>
      <c r="F261" s="241">
        <f>IF(_PENDIENTES!$B$255&lt;&gt;"",_PENDIENTES!$F$255,"")</f>
        <v/>
      </c>
      <c r="G261" s="239">
        <f>IF(_PENDIENTES!$B$255&lt;&gt;"",_PENDIENTES!$G$255,"")</f>
        <v/>
      </c>
      <c r="H261" s="239">
        <f>IF(_PENDIENTES!$B$255&lt;&gt;"",_PENDIENTES!$H$255,"")</f>
        <v/>
      </c>
      <c r="I261" s="305">
        <f>IF(_PENDIENTES!$B$255&lt;&gt;"",_PENDIENTES!$I$255,"")</f>
        <v/>
      </c>
      <c r="J261" s="241">
        <f>IF(_PENDIENTES!$B$255&lt;&gt;"",_PENDIENTES!$J$255,"")</f>
        <v/>
      </c>
      <c r="K261" s="241">
        <f>IF(_PENDIENTES!$B$255&lt;&gt;"","POR RECOGER","")</f>
        <v/>
      </c>
      <c r="L261" s="241">
        <f>IF(_PENDIENTES!$B$255&lt;&gt;"",_PENDIENTES!$K$255,"")</f>
        <v/>
      </c>
      <c r="M261" s="284">
        <f>IF(_PENDIENTES!$B$255&lt;&gt;"",_PENDIENTES!$B$255,"")</f>
        <v/>
      </c>
      <c r="N261" s="304">
        <f>IF(_PENDIENTES!$B$255&lt;&gt;"",_PENDIENTES!$L$255,"")</f>
        <v/>
      </c>
      <c r="O261" s="284" t="n"/>
      <c r="P261" s="284" t="n"/>
      <c r="Q261" s="284" t="n"/>
      <c r="R261" s="284" t="n"/>
      <c r="S261" s="284" t="n"/>
    </row>
    <row r="262" hidden="1" ht="15.75" customHeight="1" s="195">
      <c r="A262" s="301">
        <f>IF(_PENDIENTES!$B$256&lt;&gt;"",255,"")</f>
        <v/>
      </c>
      <c r="B262" s="242">
        <f>IF(_PENDIENTES!$B$256&lt;&gt;"",_PENDIENTES!$A$256,"")</f>
        <v/>
      </c>
      <c r="C262" s="302">
        <f>IF(_PENDIENTES!$B$256&lt;&gt;"",_PENDIENTES!$C$256,"")</f>
        <v/>
      </c>
      <c r="D262" s="301">
        <f>IF(_PENDIENTES!$B$256&lt;&gt;"",_PENDIENTES!$D$256,"")</f>
        <v/>
      </c>
      <c r="E262" s="306">
        <f>IF(_PENDIENTES!$B$256&lt;&gt;"",_PENDIENTES!$E$256,"")</f>
        <v/>
      </c>
      <c r="F262" s="301">
        <f>IF(_PENDIENTES!$B$256&lt;&gt;"",_PENDIENTES!$F$256,"")</f>
        <v/>
      </c>
      <c r="G262" s="245">
        <f>IF(_PENDIENTES!$B$256&lt;&gt;"",_PENDIENTES!$G$256,"")</f>
        <v/>
      </c>
      <c r="H262" s="245">
        <f>IF(_PENDIENTES!$B$256&lt;&gt;"",_PENDIENTES!$H$256,"")</f>
        <v/>
      </c>
      <c r="I262" s="302">
        <f>IF(_PENDIENTES!$B$256&lt;&gt;"",_PENDIENTES!$I$256,"")</f>
        <v/>
      </c>
      <c r="J262" s="301">
        <f>IF(_PENDIENTES!$B$256&lt;&gt;"",_PENDIENTES!$J$256,"")</f>
        <v/>
      </c>
      <c r="K262" s="301">
        <f>IF(_PENDIENTES!$B$256&lt;&gt;"","POR RECOGER","")</f>
        <v/>
      </c>
      <c r="L262" s="301">
        <f>IF(_PENDIENTES!$B$256&lt;&gt;"",_PENDIENTES!$K$256,"")</f>
        <v/>
      </c>
      <c r="M262" s="284">
        <f>IF(_PENDIENTES!$B$256&lt;&gt;"",_PENDIENTES!$B$256,"")</f>
        <v/>
      </c>
      <c r="N262" s="304">
        <f>IF(_PENDIENTES!$B$256&lt;&gt;"",_PENDIENTES!$L$256,"")</f>
        <v/>
      </c>
      <c r="O262" s="284" t="n"/>
      <c r="P262" s="284" t="n"/>
      <c r="Q262" s="284" t="n"/>
      <c r="R262" s="284" t="n"/>
      <c r="S262" s="284" t="n"/>
    </row>
    <row r="263" hidden="1" ht="15.75" customHeight="1" s="195">
      <c r="A263" s="241">
        <f>IF(_PENDIENTES!$B$257&lt;&gt;"",256,"")</f>
        <v/>
      </c>
      <c r="B263" s="236">
        <f>IF(_PENDIENTES!$B$257&lt;&gt;"",_PENDIENTES!$A$257,"")</f>
        <v/>
      </c>
      <c r="C263" s="305">
        <f>IF(_PENDIENTES!$B$257&lt;&gt;"",_PENDIENTES!$C$257,"")</f>
        <v/>
      </c>
      <c r="D263" s="241">
        <f>IF(_PENDIENTES!$B$257&lt;&gt;"",_PENDIENTES!$D$257,"")</f>
        <v/>
      </c>
      <c r="E263" s="307">
        <f>IF(_PENDIENTES!$B$257&lt;&gt;"",_PENDIENTES!$E$257,"")</f>
        <v/>
      </c>
      <c r="F263" s="241">
        <f>IF(_PENDIENTES!$B$257&lt;&gt;"",_PENDIENTES!$F$257,"")</f>
        <v/>
      </c>
      <c r="G263" s="239">
        <f>IF(_PENDIENTES!$B$257&lt;&gt;"",_PENDIENTES!$G$257,"")</f>
        <v/>
      </c>
      <c r="H263" s="239">
        <f>IF(_PENDIENTES!$B$257&lt;&gt;"",_PENDIENTES!$H$257,"")</f>
        <v/>
      </c>
      <c r="I263" s="305">
        <f>IF(_PENDIENTES!$B$257&lt;&gt;"",_PENDIENTES!$I$257,"")</f>
        <v/>
      </c>
      <c r="J263" s="241">
        <f>IF(_PENDIENTES!$B$257&lt;&gt;"",_PENDIENTES!$J$257,"")</f>
        <v/>
      </c>
      <c r="K263" s="241">
        <f>IF(_PENDIENTES!$B$257&lt;&gt;"","POR RECOGER","")</f>
        <v/>
      </c>
      <c r="L263" s="241">
        <f>IF(_PENDIENTES!$B$257&lt;&gt;"",_PENDIENTES!$K$257,"")</f>
        <v/>
      </c>
      <c r="M263" s="284">
        <f>IF(_PENDIENTES!$B$257&lt;&gt;"",_PENDIENTES!$B$257,"")</f>
        <v/>
      </c>
      <c r="N263" s="304">
        <f>IF(_PENDIENTES!$B$257&lt;&gt;"",_PENDIENTES!$L$257,"")</f>
        <v/>
      </c>
      <c r="O263" s="284" t="n"/>
      <c r="P263" s="284" t="n"/>
      <c r="Q263" s="284" t="n"/>
      <c r="R263" s="284" t="n"/>
      <c r="S263" s="284" t="n"/>
    </row>
    <row r="264" hidden="1" ht="15.75" customHeight="1" s="195">
      <c r="A264" s="301">
        <f>IF(_PENDIENTES!$B$258&lt;&gt;"",257,"")</f>
        <v/>
      </c>
      <c r="B264" s="242">
        <f>IF(_PENDIENTES!$B$258&lt;&gt;"",_PENDIENTES!$A$258,"")</f>
        <v/>
      </c>
      <c r="C264" s="302">
        <f>IF(_PENDIENTES!$B$258&lt;&gt;"",_PENDIENTES!$C$258,"")</f>
        <v/>
      </c>
      <c r="D264" s="301">
        <f>IF(_PENDIENTES!$B$258&lt;&gt;"",_PENDIENTES!$D$258,"")</f>
        <v/>
      </c>
      <c r="E264" s="306">
        <f>IF(_PENDIENTES!$B$258&lt;&gt;"",_PENDIENTES!$E$258,"")</f>
        <v/>
      </c>
      <c r="F264" s="301">
        <f>IF(_PENDIENTES!$B$258&lt;&gt;"",_PENDIENTES!$F$258,"")</f>
        <v/>
      </c>
      <c r="G264" s="245">
        <f>IF(_PENDIENTES!$B$258&lt;&gt;"",_PENDIENTES!$G$258,"")</f>
        <v/>
      </c>
      <c r="H264" s="245">
        <f>IF(_PENDIENTES!$B$258&lt;&gt;"",_PENDIENTES!$H$258,"")</f>
        <v/>
      </c>
      <c r="I264" s="302">
        <f>IF(_PENDIENTES!$B$258&lt;&gt;"",_PENDIENTES!$I$258,"")</f>
        <v/>
      </c>
      <c r="J264" s="301">
        <f>IF(_PENDIENTES!$B$258&lt;&gt;"",_PENDIENTES!$J$258,"")</f>
        <v/>
      </c>
      <c r="K264" s="301">
        <f>IF(_PENDIENTES!$B$258&lt;&gt;"","POR RECOGER","")</f>
        <v/>
      </c>
      <c r="L264" s="301">
        <f>IF(_PENDIENTES!$B$258&lt;&gt;"",_PENDIENTES!$K$258,"")</f>
        <v/>
      </c>
      <c r="M264" s="284">
        <f>IF(_PENDIENTES!$B$258&lt;&gt;"",_PENDIENTES!$B$258,"")</f>
        <v/>
      </c>
      <c r="N264" s="304">
        <f>IF(_PENDIENTES!$B$258&lt;&gt;"",_PENDIENTES!$L$258,"")</f>
        <v/>
      </c>
      <c r="O264" s="284" t="n"/>
      <c r="P264" s="284" t="n"/>
      <c r="Q264" s="284" t="n"/>
      <c r="R264" s="284" t="n"/>
      <c r="S264" s="284" t="n"/>
    </row>
    <row r="265" hidden="1" ht="15.75" customHeight="1" s="195">
      <c r="A265" s="241">
        <f>IF(_PENDIENTES!$B$259&lt;&gt;"",258,"")</f>
        <v/>
      </c>
      <c r="B265" s="236">
        <f>IF(_PENDIENTES!$B$259&lt;&gt;"",_PENDIENTES!$A$259,"")</f>
        <v/>
      </c>
      <c r="C265" s="305">
        <f>IF(_PENDIENTES!$B$259&lt;&gt;"",_PENDIENTES!$C$259,"")</f>
        <v/>
      </c>
      <c r="D265" s="241">
        <f>IF(_PENDIENTES!$B$259&lt;&gt;"",_PENDIENTES!$D$259,"")</f>
        <v/>
      </c>
      <c r="E265" s="307">
        <f>IF(_PENDIENTES!$B$259&lt;&gt;"",_PENDIENTES!$E$259,"")</f>
        <v/>
      </c>
      <c r="F265" s="241">
        <f>IF(_PENDIENTES!$B$259&lt;&gt;"",_PENDIENTES!$F$259,"")</f>
        <v/>
      </c>
      <c r="G265" s="239">
        <f>IF(_PENDIENTES!$B$259&lt;&gt;"",_PENDIENTES!$G$259,"")</f>
        <v/>
      </c>
      <c r="H265" s="239">
        <f>IF(_PENDIENTES!$B$259&lt;&gt;"",_PENDIENTES!$H$259,"")</f>
        <v/>
      </c>
      <c r="I265" s="305">
        <f>IF(_PENDIENTES!$B$259&lt;&gt;"",_PENDIENTES!$I$259,"")</f>
        <v/>
      </c>
      <c r="J265" s="241">
        <f>IF(_PENDIENTES!$B$259&lt;&gt;"",_PENDIENTES!$J$259,"")</f>
        <v/>
      </c>
      <c r="K265" s="241">
        <f>IF(_PENDIENTES!$B$259&lt;&gt;"","POR RECOGER","")</f>
        <v/>
      </c>
      <c r="L265" s="241">
        <f>IF(_PENDIENTES!$B$259&lt;&gt;"",_PENDIENTES!$K$259,"")</f>
        <v/>
      </c>
      <c r="M265" s="284">
        <f>IF(_PENDIENTES!$B$259&lt;&gt;"",_PENDIENTES!$B$259,"")</f>
        <v/>
      </c>
      <c r="N265" s="304">
        <f>IF(_PENDIENTES!$B$259&lt;&gt;"",_PENDIENTES!$L$259,"")</f>
        <v/>
      </c>
      <c r="O265" s="284" t="n"/>
      <c r="P265" s="284" t="n"/>
      <c r="Q265" s="284" t="n"/>
      <c r="R265" s="284" t="n"/>
      <c r="S265" s="284" t="n"/>
    </row>
    <row r="266" hidden="1" ht="15.75" customHeight="1" s="195">
      <c r="A266" s="301">
        <f>IF(_PENDIENTES!$B$260&lt;&gt;"",259,"")</f>
        <v/>
      </c>
      <c r="B266" s="242">
        <f>IF(_PENDIENTES!$B$260&lt;&gt;"",_PENDIENTES!$A$260,"")</f>
        <v/>
      </c>
      <c r="C266" s="302">
        <f>IF(_PENDIENTES!$B$260&lt;&gt;"",_PENDIENTES!$C$260,"")</f>
        <v/>
      </c>
      <c r="D266" s="301">
        <f>IF(_PENDIENTES!$B$260&lt;&gt;"",_PENDIENTES!$D$260,"")</f>
        <v/>
      </c>
      <c r="E266" s="306">
        <f>IF(_PENDIENTES!$B$260&lt;&gt;"",_PENDIENTES!$E$260,"")</f>
        <v/>
      </c>
      <c r="F266" s="301">
        <f>IF(_PENDIENTES!$B$260&lt;&gt;"",_PENDIENTES!$F$260,"")</f>
        <v/>
      </c>
      <c r="G266" s="245">
        <f>IF(_PENDIENTES!$B$260&lt;&gt;"",_PENDIENTES!$G$260,"")</f>
        <v/>
      </c>
      <c r="H266" s="245">
        <f>IF(_PENDIENTES!$B$260&lt;&gt;"",_PENDIENTES!$H$260,"")</f>
        <v/>
      </c>
      <c r="I266" s="302">
        <f>IF(_PENDIENTES!$B$260&lt;&gt;"",_PENDIENTES!$I$260,"")</f>
        <v/>
      </c>
      <c r="J266" s="301">
        <f>IF(_PENDIENTES!$B$260&lt;&gt;"",_PENDIENTES!$J$260,"")</f>
        <v/>
      </c>
      <c r="K266" s="301">
        <f>IF(_PENDIENTES!$B$260&lt;&gt;"","POR RECOGER","")</f>
        <v/>
      </c>
      <c r="L266" s="301">
        <f>IF(_PENDIENTES!$B$260&lt;&gt;"",_PENDIENTES!$K$260,"")</f>
        <v/>
      </c>
      <c r="M266" s="284">
        <f>IF(_PENDIENTES!$B$260&lt;&gt;"",_PENDIENTES!$B$260,"")</f>
        <v/>
      </c>
      <c r="N266" s="304">
        <f>IF(_PENDIENTES!$B$260&lt;&gt;"",_PENDIENTES!$L$260,"")</f>
        <v/>
      </c>
      <c r="O266" s="284" t="n"/>
      <c r="P266" s="284" t="n"/>
      <c r="Q266" s="284" t="n"/>
      <c r="R266" s="284" t="n"/>
      <c r="S266" s="284" t="n"/>
    </row>
    <row r="267" hidden="1" ht="15.75" customHeight="1" s="195">
      <c r="A267" s="241">
        <f>IF(_PENDIENTES!$B$261&lt;&gt;"",260,"")</f>
        <v/>
      </c>
      <c r="B267" s="236">
        <f>IF(_PENDIENTES!$B$261&lt;&gt;"",_PENDIENTES!$A$261,"")</f>
        <v/>
      </c>
      <c r="C267" s="305">
        <f>IF(_PENDIENTES!$B$261&lt;&gt;"",_PENDIENTES!$C$261,"")</f>
        <v/>
      </c>
      <c r="D267" s="241">
        <f>IF(_PENDIENTES!$B$261&lt;&gt;"",_PENDIENTES!$D$261,"")</f>
        <v/>
      </c>
      <c r="E267" s="307">
        <f>IF(_PENDIENTES!$B$261&lt;&gt;"",_PENDIENTES!$E$261,"")</f>
        <v/>
      </c>
      <c r="F267" s="241">
        <f>IF(_PENDIENTES!$B$261&lt;&gt;"",_PENDIENTES!$F$261,"")</f>
        <v/>
      </c>
      <c r="G267" s="239">
        <f>IF(_PENDIENTES!$B$261&lt;&gt;"",_PENDIENTES!$G$261,"")</f>
        <v/>
      </c>
      <c r="H267" s="239">
        <f>IF(_PENDIENTES!$B$261&lt;&gt;"",_PENDIENTES!$H$261,"")</f>
        <v/>
      </c>
      <c r="I267" s="305">
        <f>IF(_PENDIENTES!$B$261&lt;&gt;"",_PENDIENTES!$I$261,"")</f>
        <v/>
      </c>
      <c r="J267" s="241">
        <f>IF(_PENDIENTES!$B$261&lt;&gt;"",_PENDIENTES!$J$261,"")</f>
        <v/>
      </c>
      <c r="K267" s="241">
        <f>IF(_PENDIENTES!$B$261&lt;&gt;"","POR RECOGER","")</f>
        <v/>
      </c>
      <c r="L267" s="241">
        <f>IF(_PENDIENTES!$B$261&lt;&gt;"",_PENDIENTES!$K$261,"")</f>
        <v/>
      </c>
      <c r="M267" s="284">
        <f>IF(_PENDIENTES!$B$261&lt;&gt;"",_PENDIENTES!$B$261,"")</f>
        <v/>
      </c>
      <c r="N267" s="304">
        <f>IF(_PENDIENTES!$B$261&lt;&gt;"",_PENDIENTES!$L$261,"")</f>
        <v/>
      </c>
      <c r="O267" s="284" t="n"/>
      <c r="P267" s="284" t="n"/>
      <c r="Q267" s="284" t="n"/>
      <c r="R267" s="284" t="n"/>
      <c r="S267" s="284" t="n"/>
    </row>
    <row r="268" hidden="1" ht="15.75" customHeight="1" s="195">
      <c r="A268" s="301">
        <f>IF(_PENDIENTES!$B$262&lt;&gt;"",261,"")</f>
        <v/>
      </c>
      <c r="B268" s="242">
        <f>IF(_PENDIENTES!$B$262&lt;&gt;"",_PENDIENTES!$A$262,"")</f>
        <v/>
      </c>
      <c r="C268" s="302">
        <f>IF(_PENDIENTES!$B$262&lt;&gt;"",_PENDIENTES!$C$262,"")</f>
        <v/>
      </c>
      <c r="D268" s="301">
        <f>IF(_PENDIENTES!$B$262&lt;&gt;"",_PENDIENTES!$D$262,"")</f>
        <v/>
      </c>
      <c r="E268" s="306">
        <f>IF(_PENDIENTES!$B$262&lt;&gt;"",_PENDIENTES!$E$262,"")</f>
        <v/>
      </c>
      <c r="F268" s="301">
        <f>IF(_PENDIENTES!$B$262&lt;&gt;"",_PENDIENTES!$F$262,"")</f>
        <v/>
      </c>
      <c r="G268" s="245">
        <f>IF(_PENDIENTES!$B$262&lt;&gt;"",_PENDIENTES!$G$262,"")</f>
        <v/>
      </c>
      <c r="H268" s="245">
        <f>IF(_PENDIENTES!$B$262&lt;&gt;"",_PENDIENTES!$H$262,"")</f>
        <v/>
      </c>
      <c r="I268" s="302">
        <f>IF(_PENDIENTES!$B$262&lt;&gt;"",_PENDIENTES!$I$262,"")</f>
        <v/>
      </c>
      <c r="J268" s="301">
        <f>IF(_PENDIENTES!$B$262&lt;&gt;"",_PENDIENTES!$J$262,"")</f>
        <v/>
      </c>
      <c r="K268" s="301">
        <f>IF(_PENDIENTES!$B$262&lt;&gt;"","POR RECOGER","")</f>
        <v/>
      </c>
      <c r="L268" s="301">
        <f>IF(_PENDIENTES!$B$262&lt;&gt;"",_PENDIENTES!$K$262,"")</f>
        <v/>
      </c>
      <c r="M268" s="284">
        <f>IF(_PENDIENTES!$B$262&lt;&gt;"",_PENDIENTES!$B$262,"")</f>
        <v/>
      </c>
      <c r="N268" s="304">
        <f>IF(_PENDIENTES!$B$262&lt;&gt;"",_PENDIENTES!$L$262,"")</f>
        <v/>
      </c>
      <c r="O268" s="284" t="n"/>
      <c r="P268" s="284" t="n"/>
      <c r="Q268" s="284" t="n"/>
      <c r="R268" s="284" t="n"/>
      <c r="S268" s="284" t="n"/>
    </row>
    <row r="269" hidden="1" ht="15.75" customHeight="1" s="195">
      <c r="A269" s="241">
        <f>IF(_PENDIENTES!$B$263&lt;&gt;"",262,"")</f>
        <v/>
      </c>
      <c r="B269" s="236">
        <f>IF(_PENDIENTES!$B$263&lt;&gt;"",_PENDIENTES!$A$263,"")</f>
        <v/>
      </c>
      <c r="C269" s="305">
        <f>IF(_PENDIENTES!$B$263&lt;&gt;"",_PENDIENTES!$C$263,"")</f>
        <v/>
      </c>
      <c r="D269" s="241">
        <f>IF(_PENDIENTES!$B$263&lt;&gt;"",_PENDIENTES!$D$263,"")</f>
        <v/>
      </c>
      <c r="E269" s="307">
        <f>IF(_PENDIENTES!$B$263&lt;&gt;"",_PENDIENTES!$E$263,"")</f>
        <v/>
      </c>
      <c r="F269" s="241">
        <f>IF(_PENDIENTES!$B$263&lt;&gt;"",_PENDIENTES!$F$263,"")</f>
        <v/>
      </c>
      <c r="G269" s="239">
        <f>IF(_PENDIENTES!$B$263&lt;&gt;"",_PENDIENTES!$G$263,"")</f>
        <v/>
      </c>
      <c r="H269" s="239">
        <f>IF(_PENDIENTES!$B$263&lt;&gt;"",_PENDIENTES!$H$263,"")</f>
        <v/>
      </c>
      <c r="I269" s="305">
        <f>IF(_PENDIENTES!$B$263&lt;&gt;"",_PENDIENTES!$I$263,"")</f>
        <v/>
      </c>
      <c r="J269" s="241">
        <f>IF(_PENDIENTES!$B$263&lt;&gt;"",_PENDIENTES!$J$263,"")</f>
        <v/>
      </c>
      <c r="K269" s="241">
        <f>IF(_PENDIENTES!$B$263&lt;&gt;"","POR RECOGER","")</f>
        <v/>
      </c>
      <c r="L269" s="241">
        <f>IF(_PENDIENTES!$B$263&lt;&gt;"",_PENDIENTES!$K$263,"")</f>
        <v/>
      </c>
      <c r="M269" s="284">
        <f>IF(_PENDIENTES!$B$263&lt;&gt;"",_PENDIENTES!$B$263,"")</f>
        <v/>
      </c>
      <c r="N269" s="304">
        <f>IF(_PENDIENTES!$B$263&lt;&gt;"",_PENDIENTES!$L$263,"")</f>
        <v/>
      </c>
      <c r="O269" s="284" t="n"/>
      <c r="P269" s="284" t="n"/>
      <c r="Q269" s="284" t="n"/>
      <c r="R269" s="284" t="n"/>
      <c r="S269" s="284" t="n"/>
    </row>
    <row r="270" hidden="1" ht="15.75" customHeight="1" s="195">
      <c r="A270" s="301">
        <f>IF(_PENDIENTES!$B$264&lt;&gt;"",263,"")</f>
        <v/>
      </c>
      <c r="B270" s="242">
        <f>IF(_PENDIENTES!$B$264&lt;&gt;"",_PENDIENTES!$A$264,"")</f>
        <v/>
      </c>
      <c r="C270" s="302">
        <f>IF(_PENDIENTES!$B$264&lt;&gt;"",_PENDIENTES!$C$264,"")</f>
        <v/>
      </c>
      <c r="D270" s="301">
        <f>IF(_PENDIENTES!$B$264&lt;&gt;"",_PENDIENTES!$D$264,"")</f>
        <v/>
      </c>
      <c r="E270" s="306">
        <f>IF(_PENDIENTES!$B$264&lt;&gt;"",_PENDIENTES!$E$264,"")</f>
        <v/>
      </c>
      <c r="F270" s="301">
        <f>IF(_PENDIENTES!$B$264&lt;&gt;"",_PENDIENTES!$F$264,"")</f>
        <v/>
      </c>
      <c r="G270" s="245">
        <f>IF(_PENDIENTES!$B$264&lt;&gt;"",_PENDIENTES!$G$264,"")</f>
        <v/>
      </c>
      <c r="H270" s="245">
        <f>IF(_PENDIENTES!$B$264&lt;&gt;"",_PENDIENTES!$H$264,"")</f>
        <v/>
      </c>
      <c r="I270" s="302">
        <f>IF(_PENDIENTES!$B$264&lt;&gt;"",_PENDIENTES!$I$264,"")</f>
        <v/>
      </c>
      <c r="J270" s="301">
        <f>IF(_PENDIENTES!$B$264&lt;&gt;"",_PENDIENTES!$J$264,"")</f>
        <v/>
      </c>
      <c r="K270" s="301">
        <f>IF(_PENDIENTES!$B$264&lt;&gt;"","POR RECOGER","")</f>
        <v/>
      </c>
      <c r="L270" s="301">
        <f>IF(_PENDIENTES!$B$264&lt;&gt;"",_PENDIENTES!$K$264,"")</f>
        <v/>
      </c>
      <c r="M270" s="284">
        <f>IF(_PENDIENTES!$B$264&lt;&gt;"",_PENDIENTES!$B$264,"")</f>
        <v/>
      </c>
      <c r="N270" s="304">
        <f>IF(_PENDIENTES!$B$264&lt;&gt;"",_PENDIENTES!$L$264,"")</f>
        <v/>
      </c>
      <c r="O270" s="284" t="n"/>
      <c r="P270" s="284" t="n"/>
      <c r="Q270" s="284" t="n"/>
      <c r="R270" s="284" t="n"/>
      <c r="S270" s="284" t="n"/>
    </row>
    <row r="271" hidden="1" ht="15.75" customHeight="1" s="195">
      <c r="A271" s="241">
        <f>IF(_PENDIENTES!$B$265&lt;&gt;"",264,"")</f>
        <v/>
      </c>
      <c r="B271" s="236">
        <f>IF(_PENDIENTES!$B$265&lt;&gt;"",_PENDIENTES!$A$265,"")</f>
        <v/>
      </c>
      <c r="C271" s="305">
        <f>IF(_PENDIENTES!$B$265&lt;&gt;"",_PENDIENTES!$C$265,"")</f>
        <v/>
      </c>
      <c r="D271" s="241">
        <f>IF(_PENDIENTES!$B$265&lt;&gt;"",_PENDIENTES!$D$265,"")</f>
        <v/>
      </c>
      <c r="E271" s="307">
        <f>IF(_PENDIENTES!$B$265&lt;&gt;"",_PENDIENTES!$E$265,"")</f>
        <v/>
      </c>
      <c r="F271" s="241">
        <f>IF(_PENDIENTES!$B$265&lt;&gt;"",_PENDIENTES!$F$265,"")</f>
        <v/>
      </c>
      <c r="G271" s="239">
        <f>IF(_PENDIENTES!$B$265&lt;&gt;"",_PENDIENTES!$G$265,"")</f>
        <v/>
      </c>
      <c r="H271" s="239">
        <f>IF(_PENDIENTES!$B$265&lt;&gt;"",_PENDIENTES!$H$265,"")</f>
        <v/>
      </c>
      <c r="I271" s="305">
        <f>IF(_PENDIENTES!$B$265&lt;&gt;"",_PENDIENTES!$I$265,"")</f>
        <v/>
      </c>
      <c r="J271" s="241">
        <f>IF(_PENDIENTES!$B$265&lt;&gt;"",_PENDIENTES!$J$265,"")</f>
        <v/>
      </c>
      <c r="K271" s="241">
        <f>IF(_PENDIENTES!$B$265&lt;&gt;"","POR RECOGER","")</f>
        <v/>
      </c>
      <c r="L271" s="241">
        <f>IF(_PENDIENTES!$B$265&lt;&gt;"",_PENDIENTES!$K$265,"")</f>
        <v/>
      </c>
      <c r="M271" s="284">
        <f>IF(_PENDIENTES!$B$265&lt;&gt;"",_PENDIENTES!$B$265,"")</f>
        <v/>
      </c>
      <c r="N271" s="304">
        <f>IF(_PENDIENTES!$B$265&lt;&gt;"",_PENDIENTES!$L$265,"")</f>
        <v/>
      </c>
      <c r="O271" s="284" t="n"/>
      <c r="P271" s="284" t="n"/>
      <c r="Q271" s="284" t="n"/>
      <c r="R271" s="284" t="n"/>
      <c r="S271" s="284" t="n"/>
    </row>
    <row r="272" hidden="1" ht="15.75" customHeight="1" s="195">
      <c r="A272" s="301">
        <f>IF(_PENDIENTES!$B$266&lt;&gt;"",265,"")</f>
        <v/>
      </c>
      <c r="B272" s="242">
        <f>IF(_PENDIENTES!$B$266&lt;&gt;"",_PENDIENTES!$A$266,"")</f>
        <v/>
      </c>
      <c r="C272" s="302">
        <f>IF(_PENDIENTES!$B$266&lt;&gt;"",_PENDIENTES!$C$266,"")</f>
        <v/>
      </c>
      <c r="D272" s="301">
        <f>IF(_PENDIENTES!$B$266&lt;&gt;"",_PENDIENTES!$D$266,"")</f>
        <v/>
      </c>
      <c r="E272" s="306">
        <f>IF(_PENDIENTES!$B$266&lt;&gt;"",_PENDIENTES!$E$266,"")</f>
        <v/>
      </c>
      <c r="F272" s="301">
        <f>IF(_PENDIENTES!$B$266&lt;&gt;"",_PENDIENTES!$F$266,"")</f>
        <v/>
      </c>
      <c r="G272" s="245">
        <f>IF(_PENDIENTES!$B$266&lt;&gt;"",_PENDIENTES!$G$266,"")</f>
        <v/>
      </c>
      <c r="H272" s="245">
        <f>IF(_PENDIENTES!$B$266&lt;&gt;"",_PENDIENTES!$H$266,"")</f>
        <v/>
      </c>
      <c r="I272" s="302">
        <f>IF(_PENDIENTES!$B$266&lt;&gt;"",_PENDIENTES!$I$266,"")</f>
        <v/>
      </c>
      <c r="J272" s="301">
        <f>IF(_PENDIENTES!$B$266&lt;&gt;"",_PENDIENTES!$J$266,"")</f>
        <v/>
      </c>
      <c r="K272" s="301">
        <f>IF(_PENDIENTES!$B$266&lt;&gt;"","POR RECOGER","")</f>
        <v/>
      </c>
      <c r="L272" s="301">
        <f>IF(_PENDIENTES!$B$266&lt;&gt;"",_PENDIENTES!$K$266,"")</f>
        <v/>
      </c>
      <c r="M272" s="284">
        <f>IF(_PENDIENTES!$B$266&lt;&gt;"",_PENDIENTES!$B$266,"")</f>
        <v/>
      </c>
      <c r="N272" s="304">
        <f>IF(_PENDIENTES!$B$266&lt;&gt;"",_PENDIENTES!$L$266,"")</f>
        <v/>
      </c>
      <c r="O272" s="284" t="n"/>
      <c r="P272" s="284" t="n"/>
      <c r="Q272" s="284" t="n"/>
      <c r="R272" s="284" t="n"/>
      <c r="S272" s="284" t="n"/>
    </row>
    <row r="273" hidden="1" ht="15.75" customHeight="1" s="195">
      <c r="A273" s="241">
        <f>IF(_PENDIENTES!$B$267&lt;&gt;"",266,"")</f>
        <v/>
      </c>
      <c r="B273" s="236">
        <f>IF(_PENDIENTES!$B$267&lt;&gt;"",_PENDIENTES!$A$267,"")</f>
        <v/>
      </c>
      <c r="C273" s="305">
        <f>IF(_PENDIENTES!$B$267&lt;&gt;"",_PENDIENTES!$C$267,"")</f>
        <v/>
      </c>
      <c r="D273" s="241">
        <f>IF(_PENDIENTES!$B$267&lt;&gt;"",_PENDIENTES!$D$267,"")</f>
        <v/>
      </c>
      <c r="E273" s="307">
        <f>IF(_PENDIENTES!$B$267&lt;&gt;"",_PENDIENTES!$E$267,"")</f>
        <v/>
      </c>
      <c r="F273" s="241">
        <f>IF(_PENDIENTES!$B$267&lt;&gt;"",_PENDIENTES!$F$267,"")</f>
        <v/>
      </c>
      <c r="G273" s="239">
        <f>IF(_PENDIENTES!$B$267&lt;&gt;"",_PENDIENTES!$G$267,"")</f>
        <v/>
      </c>
      <c r="H273" s="239">
        <f>IF(_PENDIENTES!$B$267&lt;&gt;"",_PENDIENTES!$H$267,"")</f>
        <v/>
      </c>
      <c r="I273" s="305">
        <f>IF(_PENDIENTES!$B$267&lt;&gt;"",_PENDIENTES!$I$267,"")</f>
        <v/>
      </c>
      <c r="J273" s="241">
        <f>IF(_PENDIENTES!$B$267&lt;&gt;"",_PENDIENTES!$J$267,"")</f>
        <v/>
      </c>
      <c r="K273" s="241">
        <f>IF(_PENDIENTES!$B$267&lt;&gt;"","POR RECOGER","")</f>
        <v/>
      </c>
      <c r="L273" s="241">
        <f>IF(_PENDIENTES!$B$267&lt;&gt;"",_PENDIENTES!$K$267,"")</f>
        <v/>
      </c>
      <c r="M273" s="284">
        <f>IF(_PENDIENTES!$B$267&lt;&gt;"",_PENDIENTES!$B$267,"")</f>
        <v/>
      </c>
      <c r="N273" s="304">
        <f>IF(_PENDIENTES!$B$267&lt;&gt;"",_PENDIENTES!$L$267,"")</f>
        <v/>
      </c>
      <c r="O273" s="284" t="n"/>
      <c r="P273" s="284" t="n"/>
      <c r="Q273" s="284" t="n"/>
      <c r="R273" s="284" t="n"/>
      <c r="S273" s="284" t="n"/>
    </row>
    <row r="274" hidden="1" ht="15.75" customHeight="1" s="195">
      <c r="A274" s="301">
        <f>IF(_PENDIENTES!$B$268&lt;&gt;"",267,"")</f>
        <v/>
      </c>
      <c r="B274" s="242">
        <f>IF(_PENDIENTES!$B$268&lt;&gt;"",_PENDIENTES!$A$268,"")</f>
        <v/>
      </c>
      <c r="C274" s="302">
        <f>IF(_PENDIENTES!$B$268&lt;&gt;"",_PENDIENTES!$C$268,"")</f>
        <v/>
      </c>
      <c r="D274" s="301">
        <f>IF(_PENDIENTES!$B$268&lt;&gt;"",_PENDIENTES!$D$268,"")</f>
        <v/>
      </c>
      <c r="E274" s="306">
        <f>IF(_PENDIENTES!$B$268&lt;&gt;"",_PENDIENTES!$E$268,"")</f>
        <v/>
      </c>
      <c r="F274" s="301">
        <f>IF(_PENDIENTES!$B$268&lt;&gt;"",_PENDIENTES!$F$268,"")</f>
        <v/>
      </c>
      <c r="G274" s="245">
        <f>IF(_PENDIENTES!$B$268&lt;&gt;"",_PENDIENTES!$G$268,"")</f>
        <v/>
      </c>
      <c r="H274" s="245">
        <f>IF(_PENDIENTES!$B$268&lt;&gt;"",_PENDIENTES!$H$268,"")</f>
        <v/>
      </c>
      <c r="I274" s="302">
        <f>IF(_PENDIENTES!$B$268&lt;&gt;"",_PENDIENTES!$I$268,"")</f>
        <v/>
      </c>
      <c r="J274" s="301">
        <f>IF(_PENDIENTES!$B$268&lt;&gt;"",_PENDIENTES!$J$268,"")</f>
        <v/>
      </c>
      <c r="K274" s="301">
        <f>IF(_PENDIENTES!$B$268&lt;&gt;"","POR RECOGER","")</f>
        <v/>
      </c>
      <c r="L274" s="301">
        <f>IF(_PENDIENTES!$B$268&lt;&gt;"",_PENDIENTES!$K$268,"")</f>
        <v/>
      </c>
      <c r="M274" s="284">
        <f>IF(_PENDIENTES!$B$268&lt;&gt;"",_PENDIENTES!$B$268,"")</f>
        <v/>
      </c>
      <c r="N274" s="304">
        <f>IF(_PENDIENTES!$B$268&lt;&gt;"",_PENDIENTES!$L$268,"")</f>
        <v/>
      </c>
      <c r="O274" s="284" t="n"/>
      <c r="P274" s="284" t="n"/>
      <c r="Q274" s="284" t="n"/>
      <c r="R274" s="284" t="n"/>
      <c r="S274" s="284" t="n"/>
    </row>
    <row r="275" hidden="1" ht="15.75" customHeight="1" s="195">
      <c r="A275" s="241">
        <f>IF(_PENDIENTES!$B$269&lt;&gt;"",268,"")</f>
        <v/>
      </c>
      <c r="B275" s="236">
        <f>IF(_PENDIENTES!$B$269&lt;&gt;"",_PENDIENTES!$A$269,"")</f>
        <v/>
      </c>
      <c r="C275" s="305">
        <f>IF(_PENDIENTES!$B$269&lt;&gt;"",_PENDIENTES!$C$269,"")</f>
        <v/>
      </c>
      <c r="D275" s="241">
        <f>IF(_PENDIENTES!$B$269&lt;&gt;"",_PENDIENTES!$D$269,"")</f>
        <v/>
      </c>
      <c r="E275" s="307">
        <f>IF(_PENDIENTES!$B$269&lt;&gt;"",_PENDIENTES!$E$269,"")</f>
        <v/>
      </c>
      <c r="F275" s="241">
        <f>IF(_PENDIENTES!$B$269&lt;&gt;"",_PENDIENTES!$F$269,"")</f>
        <v/>
      </c>
      <c r="G275" s="239">
        <f>IF(_PENDIENTES!$B$269&lt;&gt;"",_PENDIENTES!$G$269,"")</f>
        <v/>
      </c>
      <c r="H275" s="239">
        <f>IF(_PENDIENTES!$B$269&lt;&gt;"",_PENDIENTES!$H$269,"")</f>
        <v/>
      </c>
      <c r="I275" s="305">
        <f>IF(_PENDIENTES!$B$269&lt;&gt;"",_PENDIENTES!$I$269,"")</f>
        <v/>
      </c>
      <c r="J275" s="241">
        <f>IF(_PENDIENTES!$B$269&lt;&gt;"",_PENDIENTES!$J$269,"")</f>
        <v/>
      </c>
      <c r="K275" s="241">
        <f>IF(_PENDIENTES!$B$269&lt;&gt;"","POR RECOGER","")</f>
        <v/>
      </c>
      <c r="L275" s="241">
        <f>IF(_PENDIENTES!$B$269&lt;&gt;"",_PENDIENTES!$K$269,"")</f>
        <v/>
      </c>
      <c r="M275" s="284">
        <f>IF(_PENDIENTES!$B$269&lt;&gt;"",_PENDIENTES!$B$269,"")</f>
        <v/>
      </c>
      <c r="N275" s="304">
        <f>IF(_PENDIENTES!$B$269&lt;&gt;"",_PENDIENTES!$L$269,"")</f>
        <v/>
      </c>
      <c r="O275" s="284" t="n"/>
      <c r="P275" s="284" t="n"/>
      <c r="Q275" s="284" t="n"/>
      <c r="R275" s="284" t="n"/>
      <c r="S275" s="284" t="n"/>
    </row>
    <row r="276" hidden="1" ht="15.75" customHeight="1" s="195">
      <c r="A276" s="301">
        <f>IF(_PENDIENTES!$B$270&lt;&gt;"",269,"")</f>
        <v/>
      </c>
      <c r="B276" s="242">
        <f>IF(_PENDIENTES!$B$270&lt;&gt;"",_PENDIENTES!$A$270,"")</f>
        <v/>
      </c>
      <c r="C276" s="302">
        <f>IF(_PENDIENTES!$B$270&lt;&gt;"",_PENDIENTES!$C$270,"")</f>
        <v/>
      </c>
      <c r="D276" s="301">
        <f>IF(_PENDIENTES!$B$270&lt;&gt;"",_PENDIENTES!$D$270,"")</f>
        <v/>
      </c>
      <c r="E276" s="306">
        <f>IF(_PENDIENTES!$B$270&lt;&gt;"",_PENDIENTES!$E$270,"")</f>
        <v/>
      </c>
      <c r="F276" s="301">
        <f>IF(_PENDIENTES!$B$270&lt;&gt;"",_PENDIENTES!$F$270,"")</f>
        <v/>
      </c>
      <c r="G276" s="245">
        <f>IF(_PENDIENTES!$B$270&lt;&gt;"",_PENDIENTES!$G$270,"")</f>
        <v/>
      </c>
      <c r="H276" s="245">
        <f>IF(_PENDIENTES!$B$270&lt;&gt;"",_PENDIENTES!$H$270,"")</f>
        <v/>
      </c>
      <c r="I276" s="302">
        <f>IF(_PENDIENTES!$B$270&lt;&gt;"",_PENDIENTES!$I$270,"")</f>
        <v/>
      </c>
      <c r="J276" s="301">
        <f>IF(_PENDIENTES!$B$270&lt;&gt;"",_PENDIENTES!$J$270,"")</f>
        <v/>
      </c>
      <c r="K276" s="301">
        <f>IF(_PENDIENTES!$B$270&lt;&gt;"","POR RECOGER","")</f>
        <v/>
      </c>
      <c r="L276" s="301">
        <f>IF(_PENDIENTES!$B$270&lt;&gt;"",_PENDIENTES!$K$270,"")</f>
        <v/>
      </c>
      <c r="M276" s="284">
        <f>IF(_PENDIENTES!$B$270&lt;&gt;"",_PENDIENTES!$B$270,"")</f>
        <v/>
      </c>
      <c r="N276" s="304">
        <f>IF(_PENDIENTES!$B$270&lt;&gt;"",_PENDIENTES!$L$270,"")</f>
        <v/>
      </c>
      <c r="O276" s="284" t="n"/>
      <c r="P276" s="284" t="n"/>
      <c r="Q276" s="284" t="n"/>
      <c r="R276" s="284" t="n"/>
      <c r="S276" s="284" t="n"/>
    </row>
    <row r="277" hidden="1" ht="15.75" customHeight="1" s="195">
      <c r="A277" s="241">
        <f>IF(_PENDIENTES!$B$271&lt;&gt;"",270,"")</f>
        <v/>
      </c>
      <c r="B277" s="236">
        <f>IF(_PENDIENTES!$B$271&lt;&gt;"",_PENDIENTES!$A$271,"")</f>
        <v/>
      </c>
      <c r="C277" s="305">
        <f>IF(_PENDIENTES!$B$271&lt;&gt;"",_PENDIENTES!$C$271,"")</f>
        <v/>
      </c>
      <c r="D277" s="241">
        <f>IF(_PENDIENTES!$B$271&lt;&gt;"",_PENDIENTES!$D$271,"")</f>
        <v/>
      </c>
      <c r="E277" s="307">
        <f>IF(_PENDIENTES!$B$271&lt;&gt;"",_PENDIENTES!$E$271,"")</f>
        <v/>
      </c>
      <c r="F277" s="241">
        <f>IF(_PENDIENTES!$B$271&lt;&gt;"",_PENDIENTES!$F$271,"")</f>
        <v/>
      </c>
      <c r="G277" s="239">
        <f>IF(_PENDIENTES!$B$271&lt;&gt;"",_PENDIENTES!$G$271,"")</f>
        <v/>
      </c>
      <c r="H277" s="239">
        <f>IF(_PENDIENTES!$B$271&lt;&gt;"",_PENDIENTES!$H$271,"")</f>
        <v/>
      </c>
      <c r="I277" s="305">
        <f>IF(_PENDIENTES!$B$271&lt;&gt;"",_PENDIENTES!$I$271,"")</f>
        <v/>
      </c>
      <c r="J277" s="241">
        <f>IF(_PENDIENTES!$B$271&lt;&gt;"",_PENDIENTES!$J$271,"")</f>
        <v/>
      </c>
      <c r="K277" s="241">
        <f>IF(_PENDIENTES!$B$271&lt;&gt;"","POR RECOGER","")</f>
        <v/>
      </c>
      <c r="L277" s="241">
        <f>IF(_PENDIENTES!$B$271&lt;&gt;"",_PENDIENTES!$K$271,"")</f>
        <v/>
      </c>
      <c r="M277" s="284">
        <f>IF(_PENDIENTES!$B$271&lt;&gt;"",_PENDIENTES!$B$271,"")</f>
        <v/>
      </c>
      <c r="N277" s="304">
        <f>IF(_PENDIENTES!$B$271&lt;&gt;"",_PENDIENTES!$L$271,"")</f>
        <v/>
      </c>
      <c r="O277" s="284" t="n"/>
      <c r="P277" s="284" t="n"/>
      <c r="Q277" s="284" t="n"/>
      <c r="R277" s="284" t="n"/>
      <c r="S277" s="284" t="n"/>
    </row>
    <row r="278" hidden="1" ht="15.75" customHeight="1" s="195">
      <c r="A278" s="301">
        <f>IF(_PENDIENTES!$B$272&lt;&gt;"",271,"")</f>
        <v/>
      </c>
      <c r="B278" s="242">
        <f>IF(_PENDIENTES!$B$272&lt;&gt;"",_PENDIENTES!$A$272,"")</f>
        <v/>
      </c>
      <c r="C278" s="302">
        <f>IF(_PENDIENTES!$B$272&lt;&gt;"",_PENDIENTES!$C$272,"")</f>
        <v/>
      </c>
      <c r="D278" s="301">
        <f>IF(_PENDIENTES!$B$272&lt;&gt;"",_PENDIENTES!$D$272,"")</f>
        <v/>
      </c>
      <c r="E278" s="306">
        <f>IF(_PENDIENTES!$B$272&lt;&gt;"",_PENDIENTES!$E$272,"")</f>
        <v/>
      </c>
      <c r="F278" s="301">
        <f>IF(_PENDIENTES!$B$272&lt;&gt;"",_PENDIENTES!$F$272,"")</f>
        <v/>
      </c>
      <c r="G278" s="245">
        <f>IF(_PENDIENTES!$B$272&lt;&gt;"",_PENDIENTES!$G$272,"")</f>
        <v/>
      </c>
      <c r="H278" s="245">
        <f>IF(_PENDIENTES!$B$272&lt;&gt;"",_PENDIENTES!$H$272,"")</f>
        <v/>
      </c>
      <c r="I278" s="302">
        <f>IF(_PENDIENTES!$B$272&lt;&gt;"",_PENDIENTES!$I$272,"")</f>
        <v/>
      </c>
      <c r="J278" s="301">
        <f>IF(_PENDIENTES!$B$272&lt;&gt;"",_PENDIENTES!$J$272,"")</f>
        <v/>
      </c>
      <c r="K278" s="301">
        <f>IF(_PENDIENTES!$B$272&lt;&gt;"","POR RECOGER","")</f>
        <v/>
      </c>
      <c r="L278" s="301">
        <f>IF(_PENDIENTES!$B$272&lt;&gt;"",_PENDIENTES!$K$272,"")</f>
        <v/>
      </c>
      <c r="M278" s="284">
        <f>IF(_PENDIENTES!$B$272&lt;&gt;"",_PENDIENTES!$B$272,"")</f>
        <v/>
      </c>
      <c r="N278" s="304">
        <f>IF(_PENDIENTES!$B$272&lt;&gt;"",_PENDIENTES!$L$272,"")</f>
        <v/>
      </c>
      <c r="O278" s="284" t="n"/>
      <c r="P278" s="284" t="n"/>
      <c r="Q278" s="284" t="n"/>
      <c r="R278" s="284" t="n"/>
      <c r="S278" s="284" t="n"/>
    </row>
    <row r="279" hidden="1" ht="15.75" customHeight="1" s="195">
      <c r="A279" s="241">
        <f>IF(_PENDIENTES!$B$273&lt;&gt;"",272,"")</f>
        <v/>
      </c>
      <c r="B279" s="236">
        <f>IF(_PENDIENTES!$B$273&lt;&gt;"",_PENDIENTES!$A$273,"")</f>
        <v/>
      </c>
      <c r="C279" s="305">
        <f>IF(_PENDIENTES!$B$273&lt;&gt;"",_PENDIENTES!$C$273,"")</f>
        <v/>
      </c>
      <c r="D279" s="241">
        <f>IF(_PENDIENTES!$B$273&lt;&gt;"",_PENDIENTES!$D$273,"")</f>
        <v/>
      </c>
      <c r="E279" s="307">
        <f>IF(_PENDIENTES!$B$273&lt;&gt;"",_PENDIENTES!$E$273,"")</f>
        <v/>
      </c>
      <c r="F279" s="241">
        <f>IF(_PENDIENTES!$B$273&lt;&gt;"",_PENDIENTES!$F$273,"")</f>
        <v/>
      </c>
      <c r="G279" s="239">
        <f>IF(_PENDIENTES!$B$273&lt;&gt;"",_PENDIENTES!$G$273,"")</f>
        <v/>
      </c>
      <c r="H279" s="239">
        <f>IF(_PENDIENTES!$B$273&lt;&gt;"",_PENDIENTES!$H$273,"")</f>
        <v/>
      </c>
      <c r="I279" s="305">
        <f>IF(_PENDIENTES!$B$273&lt;&gt;"",_PENDIENTES!$I$273,"")</f>
        <v/>
      </c>
      <c r="J279" s="241">
        <f>IF(_PENDIENTES!$B$273&lt;&gt;"",_PENDIENTES!$J$273,"")</f>
        <v/>
      </c>
      <c r="K279" s="241">
        <f>IF(_PENDIENTES!$B$273&lt;&gt;"","POR RECOGER","")</f>
        <v/>
      </c>
      <c r="L279" s="241">
        <f>IF(_PENDIENTES!$B$273&lt;&gt;"",_PENDIENTES!$K$273,"")</f>
        <v/>
      </c>
      <c r="M279" s="284">
        <f>IF(_PENDIENTES!$B$273&lt;&gt;"",_PENDIENTES!$B$273,"")</f>
        <v/>
      </c>
      <c r="N279" s="304">
        <f>IF(_PENDIENTES!$B$273&lt;&gt;"",_PENDIENTES!$L$273,"")</f>
        <v/>
      </c>
      <c r="O279" s="284" t="n"/>
      <c r="P279" s="284" t="n"/>
      <c r="Q279" s="284" t="n"/>
      <c r="R279" s="284" t="n"/>
      <c r="S279" s="284" t="n"/>
    </row>
    <row r="280" hidden="1" ht="15.75" customHeight="1" s="195">
      <c r="A280" s="301">
        <f>IF(_PENDIENTES!$B$274&lt;&gt;"",273,"")</f>
        <v/>
      </c>
      <c r="B280" s="242">
        <f>IF(_PENDIENTES!$B$274&lt;&gt;"",_PENDIENTES!$A$274,"")</f>
        <v/>
      </c>
      <c r="C280" s="302">
        <f>IF(_PENDIENTES!$B$274&lt;&gt;"",_PENDIENTES!$C$274,"")</f>
        <v/>
      </c>
      <c r="D280" s="301">
        <f>IF(_PENDIENTES!$B$274&lt;&gt;"",_PENDIENTES!$D$274,"")</f>
        <v/>
      </c>
      <c r="E280" s="306">
        <f>IF(_PENDIENTES!$B$274&lt;&gt;"",_PENDIENTES!$E$274,"")</f>
        <v/>
      </c>
      <c r="F280" s="301">
        <f>IF(_PENDIENTES!$B$274&lt;&gt;"",_PENDIENTES!$F$274,"")</f>
        <v/>
      </c>
      <c r="G280" s="245">
        <f>IF(_PENDIENTES!$B$274&lt;&gt;"",_PENDIENTES!$G$274,"")</f>
        <v/>
      </c>
      <c r="H280" s="245">
        <f>IF(_PENDIENTES!$B$274&lt;&gt;"",_PENDIENTES!$H$274,"")</f>
        <v/>
      </c>
      <c r="I280" s="302">
        <f>IF(_PENDIENTES!$B$274&lt;&gt;"",_PENDIENTES!$I$274,"")</f>
        <v/>
      </c>
      <c r="J280" s="301">
        <f>IF(_PENDIENTES!$B$274&lt;&gt;"",_PENDIENTES!$J$274,"")</f>
        <v/>
      </c>
      <c r="K280" s="301">
        <f>IF(_PENDIENTES!$B$274&lt;&gt;"","POR RECOGER","")</f>
        <v/>
      </c>
      <c r="L280" s="301">
        <f>IF(_PENDIENTES!$B$274&lt;&gt;"",_PENDIENTES!$K$274,"")</f>
        <v/>
      </c>
      <c r="M280" s="284">
        <f>IF(_PENDIENTES!$B$274&lt;&gt;"",_PENDIENTES!$B$274,"")</f>
        <v/>
      </c>
      <c r="N280" s="304">
        <f>IF(_PENDIENTES!$B$274&lt;&gt;"",_PENDIENTES!$L$274,"")</f>
        <v/>
      </c>
      <c r="O280" s="284" t="n"/>
      <c r="P280" s="284" t="n"/>
      <c r="Q280" s="284" t="n"/>
      <c r="R280" s="284" t="n"/>
      <c r="S280" s="284" t="n"/>
    </row>
    <row r="281" hidden="1" ht="15.75" customHeight="1" s="195">
      <c r="A281" s="241">
        <f>IF(_PENDIENTES!$B$275&lt;&gt;"",274,"")</f>
        <v/>
      </c>
      <c r="B281" s="236">
        <f>IF(_PENDIENTES!$B$275&lt;&gt;"",_PENDIENTES!$A$275,"")</f>
        <v/>
      </c>
      <c r="C281" s="305">
        <f>IF(_PENDIENTES!$B$275&lt;&gt;"",_PENDIENTES!$C$275,"")</f>
        <v/>
      </c>
      <c r="D281" s="241">
        <f>IF(_PENDIENTES!$B$275&lt;&gt;"",_PENDIENTES!$D$275,"")</f>
        <v/>
      </c>
      <c r="E281" s="307">
        <f>IF(_PENDIENTES!$B$275&lt;&gt;"",_PENDIENTES!$E$275,"")</f>
        <v/>
      </c>
      <c r="F281" s="241">
        <f>IF(_PENDIENTES!$B$275&lt;&gt;"",_PENDIENTES!$F$275,"")</f>
        <v/>
      </c>
      <c r="G281" s="239">
        <f>IF(_PENDIENTES!$B$275&lt;&gt;"",_PENDIENTES!$G$275,"")</f>
        <v/>
      </c>
      <c r="H281" s="239">
        <f>IF(_PENDIENTES!$B$275&lt;&gt;"",_PENDIENTES!$H$275,"")</f>
        <v/>
      </c>
      <c r="I281" s="305">
        <f>IF(_PENDIENTES!$B$275&lt;&gt;"",_PENDIENTES!$I$275,"")</f>
        <v/>
      </c>
      <c r="J281" s="241">
        <f>IF(_PENDIENTES!$B$275&lt;&gt;"",_PENDIENTES!$J$275,"")</f>
        <v/>
      </c>
      <c r="K281" s="241">
        <f>IF(_PENDIENTES!$B$275&lt;&gt;"","POR RECOGER","")</f>
        <v/>
      </c>
      <c r="L281" s="241">
        <f>IF(_PENDIENTES!$B$275&lt;&gt;"",_PENDIENTES!$K$275,"")</f>
        <v/>
      </c>
      <c r="M281" s="284">
        <f>IF(_PENDIENTES!$B$275&lt;&gt;"",_PENDIENTES!$B$275,"")</f>
        <v/>
      </c>
      <c r="N281" s="304">
        <f>IF(_PENDIENTES!$B$275&lt;&gt;"",_PENDIENTES!$L$275,"")</f>
        <v/>
      </c>
      <c r="O281" s="284" t="n"/>
      <c r="P281" s="284" t="n"/>
      <c r="Q281" s="284" t="n"/>
      <c r="R281" s="284" t="n"/>
      <c r="S281" s="284" t="n"/>
    </row>
    <row r="282" hidden="1" ht="15.75" customHeight="1" s="195">
      <c r="A282" s="301">
        <f>IF(_PENDIENTES!$B$276&lt;&gt;"",275,"")</f>
        <v/>
      </c>
      <c r="B282" s="242">
        <f>IF(_PENDIENTES!$B$276&lt;&gt;"",_PENDIENTES!$A$276,"")</f>
        <v/>
      </c>
      <c r="C282" s="302">
        <f>IF(_PENDIENTES!$B$276&lt;&gt;"",_PENDIENTES!$C$276,"")</f>
        <v/>
      </c>
      <c r="D282" s="301">
        <f>IF(_PENDIENTES!$B$276&lt;&gt;"",_PENDIENTES!$D$276,"")</f>
        <v/>
      </c>
      <c r="E282" s="306">
        <f>IF(_PENDIENTES!$B$276&lt;&gt;"",_PENDIENTES!$E$276,"")</f>
        <v/>
      </c>
      <c r="F282" s="301">
        <f>IF(_PENDIENTES!$B$276&lt;&gt;"",_PENDIENTES!$F$276,"")</f>
        <v/>
      </c>
      <c r="G282" s="245">
        <f>IF(_PENDIENTES!$B$276&lt;&gt;"",_PENDIENTES!$G$276,"")</f>
        <v/>
      </c>
      <c r="H282" s="245">
        <f>IF(_PENDIENTES!$B$276&lt;&gt;"",_PENDIENTES!$H$276,"")</f>
        <v/>
      </c>
      <c r="I282" s="302">
        <f>IF(_PENDIENTES!$B$276&lt;&gt;"",_PENDIENTES!$I$276,"")</f>
        <v/>
      </c>
      <c r="J282" s="301">
        <f>IF(_PENDIENTES!$B$276&lt;&gt;"",_PENDIENTES!$J$276,"")</f>
        <v/>
      </c>
      <c r="K282" s="301">
        <f>IF(_PENDIENTES!$B$276&lt;&gt;"","POR RECOGER","")</f>
        <v/>
      </c>
      <c r="L282" s="301">
        <f>IF(_PENDIENTES!$B$276&lt;&gt;"",_PENDIENTES!$K$276,"")</f>
        <v/>
      </c>
      <c r="M282" s="284">
        <f>IF(_PENDIENTES!$B$276&lt;&gt;"",_PENDIENTES!$B$276,"")</f>
        <v/>
      </c>
      <c r="N282" s="304">
        <f>IF(_PENDIENTES!$B$276&lt;&gt;"",_PENDIENTES!$L$276,"")</f>
        <v/>
      </c>
      <c r="O282" s="284" t="n"/>
      <c r="P282" s="284" t="n"/>
      <c r="Q282" s="284" t="n"/>
      <c r="R282" s="284" t="n"/>
      <c r="S282" s="284" t="n"/>
    </row>
    <row r="283" hidden="1" ht="15.75" customHeight="1" s="195">
      <c r="A283" s="241">
        <f>IF(_PENDIENTES!$B$277&lt;&gt;"",276,"")</f>
        <v/>
      </c>
      <c r="B283" s="236">
        <f>IF(_PENDIENTES!$B$277&lt;&gt;"",_PENDIENTES!$A$277,"")</f>
        <v/>
      </c>
      <c r="C283" s="305">
        <f>IF(_PENDIENTES!$B$277&lt;&gt;"",_PENDIENTES!$C$277,"")</f>
        <v/>
      </c>
      <c r="D283" s="241">
        <f>IF(_PENDIENTES!$B$277&lt;&gt;"",_PENDIENTES!$D$277,"")</f>
        <v/>
      </c>
      <c r="E283" s="307">
        <f>IF(_PENDIENTES!$B$277&lt;&gt;"",_PENDIENTES!$E$277,"")</f>
        <v/>
      </c>
      <c r="F283" s="241">
        <f>IF(_PENDIENTES!$B$277&lt;&gt;"",_PENDIENTES!$F$277,"")</f>
        <v/>
      </c>
      <c r="G283" s="239">
        <f>IF(_PENDIENTES!$B$277&lt;&gt;"",_PENDIENTES!$G$277,"")</f>
        <v/>
      </c>
      <c r="H283" s="239">
        <f>IF(_PENDIENTES!$B$277&lt;&gt;"",_PENDIENTES!$H$277,"")</f>
        <v/>
      </c>
      <c r="I283" s="305">
        <f>IF(_PENDIENTES!$B$277&lt;&gt;"",_PENDIENTES!$I$277,"")</f>
        <v/>
      </c>
      <c r="J283" s="241">
        <f>IF(_PENDIENTES!$B$277&lt;&gt;"",_PENDIENTES!$J$277,"")</f>
        <v/>
      </c>
      <c r="K283" s="241">
        <f>IF(_PENDIENTES!$B$277&lt;&gt;"","POR RECOGER","")</f>
        <v/>
      </c>
      <c r="L283" s="241">
        <f>IF(_PENDIENTES!$B$277&lt;&gt;"",_PENDIENTES!$K$277,"")</f>
        <v/>
      </c>
      <c r="M283" s="284">
        <f>IF(_PENDIENTES!$B$277&lt;&gt;"",_PENDIENTES!$B$277,"")</f>
        <v/>
      </c>
      <c r="N283" s="304">
        <f>IF(_PENDIENTES!$B$277&lt;&gt;"",_PENDIENTES!$L$277,"")</f>
        <v/>
      </c>
      <c r="O283" s="284" t="n"/>
      <c r="P283" s="284" t="n"/>
      <c r="Q283" s="284" t="n"/>
      <c r="R283" s="284" t="n"/>
      <c r="S283" s="284" t="n"/>
    </row>
    <row r="284" hidden="1" ht="15.75" customHeight="1" s="195">
      <c r="A284" s="301">
        <f>IF(_PENDIENTES!$B$278&lt;&gt;"",277,"")</f>
        <v/>
      </c>
      <c r="B284" s="242">
        <f>IF(_PENDIENTES!$B$278&lt;&gt;"",_PENDIENTES!$A$278,"")</f>
        <v/>
      </c>
      <c r="C284" s="302">
        <f>IF(_PENDIENTES!$B$278&lt;&gt;"",_PENDIENTES!$C$278,"")</f>
        <v/>
      </c>
      <c r="D284" s="301">
        <f>IF(_PENDIENTES!$B$278&lt;&gt;"",_PENDIENTES!$D$278,"")</f>
        <v/>
      </c>
      <c r="E284" s="306">
        <f>IF(_PENDIENTES!$B$278&lt;&gt;"",_PENDIENTES!$E$278,"")</f>
        <v/>
      </c>
      <c r="F284" s="301">
        <f>IF(_PENDIENTES!$B$278&lt;&gt;"",_PENDIENTES!$F$278,"")</f>
        <v/>
      </c>
      <c r="G284" s="245">
        <f>IF(_PENDIENTES!$B$278&lt;&gt;"",_PENDIENTES!$G$278,"")</f>
        <v/>
      </c>
      <c r="H284" s="245">
        <f>IF(_PENDIENTES!$B$278&lt;&gt;"",_PENDIENTES!$H$278,"")</f>
        <v/>
      </c>
      <c r="I284" s="302">
        <f>IF(_PENDIENTES!$B$278&lt;&gt;"",_PENDIENTES!$I$278,"")</f>
        <v/>
      </c>
      <c r="J284" s="301">
        <f>IF(_PENDIENTES!$B$278&lt;&gt;"",_PENDIENTES!$J$278,"")</f>
        <v/>
      </c>
      <c r="K284" s="301">
        <f>IF(_PENDIENTES!$B$278&lt;&gt;"","POR RECOGER","")</f>
        <v/>
      </c>
      <c r="L284" s="301">
        <f>IF(_PENDIENTES!$B$278&lt;&gt;"",_PENDIENTES!$K$278,"")</f>
        <v/>
      </c>
      <c r="M284" s="284">
        <f>IF(_PENDIENTES!$B$278&lt;&gt;"",_PENDIENTES!$B$278,"")</f>
        <v/>
      </c>
      <c r="N284" s="304">
        <f>IF(_PENDIENTES!$B$278&lt;&gt;"",_PENDIENTES!$L$278,"")</f>
        <v/>
      </c>
      <c r="O284" s="284" t="n"/>
      <c r="P284" s="284" t="n"/>
      <c r="Q284" s="284" t="n"/>
      <c r="R284" s="284" t="n"/>
      <c r="S284" s="284" t="n"/>
    </row>
    <row r="285" hidden="1" ht="15.75" customHeight="1" s="195">
      <c r="A285" s="241">
        <f>IF(_PENDIENTES!$B$279&lt;&gt;"",278,"")</f>
        <v/>
      </c>
      <c r="B285" s="236">
        <f>IF(_PENDIENTES!$B$279&lt;&gt;"",_PENDIENTES!$A$279,"")</f>
        <v/>
      </c>
      <c r="C285" s="305">
        <f>IF(_PENDIENTES!$B$279&lt;&gt;"",_PENDIENTES!$C$279,"")</f>
        <v/>
      </c>
      <c r="D285" s="241">
        <f>IF(_PENDIENTES!$B$279&lt;&gt;"",_PENDIENTES!$D$279,"")</f>
        <v/>
      </c>
      <c r="E285" s="307">
        <f>IF(_PENDIENTES!$B$279&lt;&gt;"",_PENDIENTES!$E$279,"")</f>
        <v/>
      </c>
      <c r="F285" s="241">
        <f>IF(_PENDIENTES!$B$279&lt;&gt;"",_PENDIENTES!$F$279,"")</f>
        <v/>
      </c>
      <c r="G285" s="239">
        <f>IF(_PENDIENTES!$B$279&lt;&gt;"",_PENDIENTES!$G$279,"")</f>
        <v/>
      </c>
      <c r="H285" s="239">
        <f>IF(_PENDIENTES!$B$279&lt;&gt;"",_PENDIENTES!$H$279,"")</f>
        <v/>
      </c>
      <c r="I285" s="305">
        <f>IF(_PENDIENTES!$B$279&lt;&gt;"",_PENDIENTES!$I$279,"")</f>
        <v/>
      </c>
      <c r="J285" s="241">
        <f>IF(_PENDIENTES!$B$279&lt;&gt;"",_PENDIENTES!$J$279,"")</f>
        <v/>
      </c>
      <c r="K285" s="241">
        <f>IF(_PENDIENTES!$B$279&lt;&gt;"","POR RECOGER","")</f>
        <v/>
      </c>
      <c r="L285" s="241">
        <f>IF(_PENDIENTES!$B$279&lt;&gt;"",_PENDIENTES!$K$279,"")</f>
        <v/>
      </c>
      <c r="M285" s="284">
        <f>IF(_PENDIENTES!$B$279&lt;&gt;"",_PENDIENTES!$B$279,"")</f>
        <v/>
      </c>
      <c r="N285" s="304">
        <f>IF(_PENDIENTES!$B$279&lt;&gt;"",_PENDIENTES!$L$279,"")</f>
        <v/>
      </c>
      <c r="O285" s="284" t="n"/>
      <c r="P285" s="284" t="n"/>
      <c r="Q285" s="284" t="n"/>
      <c r="R285" s="284" t="n"/>
      <c r="S285" s="284" t="n"/>
    </row>
    <row r="286" hidden="1" ht="15.75" customHeight="1" s="195">
      <c r="A286" s="301">
        <f>IF(_PENDIENTES!$B$280&lt;&gt;"",279,"")</f>
        <v/>
      </c>
      <c r="B286" s="242">
        <f>IF(_PENDIENTES!$B$280&lt;&gt;"",_PENDIENTES!$A$280,"")</f>
        <v/>
      </c>
      <c r="C286" s="302">
        <f>IF(_PENDIENTES!$B$280&lt;&gt;"",_PENDIENTES!$C$280,"")</f>
        <v/>
      </c>
      <c r="D286" s="301">
        <f>IF(_PENDIENTES!$B$280&lt;&gt;"",_PENDIENTES!$D$280,"")</f>
        <v/>
      </c>
      <c r="E286" s="306">
        <f>IF(_PENDIENTES!$B$280&lt;&gt;"",_PENDIENTES!$E$280,"")</f>
        <v/>
      </c>
      <c r="F286" s="301">
        <f>IF(_PENDIENTES!$B$280&lt;&gt;"",_PENDIENTES!$F$280,"")</f>
        <v/>
      </c>
      <c r="G286" s="245">
        <f>IF(_PENDIENTES!$B$280&lt;&gt;"",_PENDIENTES!$G$280,"")</f>
        <v/>
      </c>
      <c r="H286" s="245">
        <f>IF(_PENDIENTES!$B$280&lt;&gt;"",_PENDIENTES!$H$280,"")</f>
        <v/>
      </c>
      <c r="I286" s="302">
        <f>IF(_PENDIENTES!$B$280&lt;&gt;"",_PENDIENTES!$I$280,"")</f>
        <v/>
      </c>
      <c r="J286" s="301">
        <f>IF(_PENDIENTES!$B$280&lt;&gt;"",_PENDIENTES!$J$280,"")</f>
        <v/>
      </c>
      <c r="K286" s="301">
        <f>IF(_PENDIENTES!$B$280&lt;&gt;"","POR RECOGER","")</f>
        <v/>
      </c>
      <c r="L286" s="301">
        <f>IF(_PENDIENTES!$B$280&lt;&gt;"",_PENDIENTES!$K$280,"")</f>
        <v/>
      </c>
      <c r="M286" s="284">
        <f>IF(_PENDIENTES!$B$280&lt;&gt;"",_PENDIENTES!$B$280,"")</f>
        <v/>
      </c>
      <c r="N286" s="304">
        <f>IF(_PENDIENTES!$B$280&lt;&gt;"",_PENDIENTES!$L$280,"")</f>
        <v/>
      </c>
      <c r="O286" s="284" t="n"/>
      <c r="P286" s="284" t="n"/>
      <c r="Q286" s="284" t="n"/>
      <c r="R286" s="284" t="n"/>
      <c r="S286" s="284" t="n"/>
    </row>
    <row r="287" hidden="1" ht="15.75" customHeight="1" s="195">
      <c r="A287" s="241">
        <f>IF(_PENDIENTES!$B$281&lt;&gt;"",280,"")</f>
        <v/>
      </c>
      <c r="B287" s="236">
        <f>IF(_PENDIENTES!$B$281&lt;&gt;"",_PENDIENTES!$A$281,"")</f>
        <v/>
      </c>
      <c r="C287" s="305">
        <f>IF(_PENDIENTES!$B$281&lt;&gt;"",_PENDIENTES!$C$281,"")</f>
        <v/>
      </c>
      <c r="D287" s="241">
        <f>IF(_PENDIENTES!$B$281&lt;&gt;"",_PENDIENTES!$D$281,"")</f>
        <v/>
      </c>
      <c r="E287" s="307">
        <f>IF(_PENDIENTES!$B$281&lt;&gt;"",_PENDIENTES!$E$281,"")</f>
        <v/>
      </c>
      <c r="F287" s="241">
        <f>IF(_PENDIENTES!$B$281&lt;&gt;"",_PENDIENTES!$F$281,"")</f>
        <v/>
      </c>
      <c r="G287" s="239">
        <f>IF(_PENDIENTES!$B$281&lt;&gt;"",_PENDIENTES!$G$281,"")</f>
        <v/>
      </c>
      <c r="H287" s="239">
        <f>IF(_PENDIENTES!$B$281&lt;&gt;"",_PENDIENTES!$H$281,"")</f>
        <v/>
      </c>
      <c r="I287" s="305">
        <f>IF(_PENDIENTES!$B$281&lt;&gt;"",_PENDIENTES!$I$281,"")</f>
        <v/>
      </c>
      <c r="J287" s="241">
        <f>IF(_PENDIENTES!$B$281&lt;&gt;"",_PENDIENTES!$J$281,"")</f>
        <v/>
      </c>
      <c r="K287" s="241">
        <f>IF(_PENDIENTES!$B$281&lt;&gt;"","POR RECOGER","")</f>
        <v/>
      </c>
      <c r="L287" s="241">
        <f>IF(_PENDIENTES!$B$281&lt;&gt;"",_PENDIENTES!$K$281,"")</f>
        <v/>
      </c>
      <c r="M287" s="284">
        <f>IF(_PENDIENTES!$B$281&lt;&gt;"",_PENDIENTES!$B$281,"")</f>
        <v/>
      </c>
      <c r="N287" s="304">
        <f>IF(_PENDIENTES!$B$281&lt;&gt;"",_PENDIENTES!$L$281,"")</f>
        <v/>
      </c>
      <c r="O287" s="284" t="n"/>
      <c r="P287" s="284" t="n"/>
      <c r="Q287" s="284" t="n"/>
      <c r="R287" s="284" t="n"/>
      <c r="S287" s="284" t="n"/>
    </row>
    <row r="288" hidden="1" ht="15.75" customHeight="1" s="195">
      <c r="A288" s="301">
        <f>IF(_PENDIENTES!$B$282&lt;&gt;"",281,"")</f>
        <v/>
      </c>
      <c r="B288" s="242">
        <f>IF(_PENDIENTES!$B$282&lt;&gt;"",_PENDIENTES!$A$282,"")</f>
        <v/>
      </c>
      <c r="C288" s="302">
        <f>IF(_PENDIENTES!$B$282&lt;&gt;"",_PENDIENTES!$C$282,"")</f>
        <v/>
      </c>
      <c r="D288" s="301">
        <f>IF(_PENDIENTES!$B$282&lt;&gt;"",_PENDIENTES!$D$282,"")</f>
        <v/>
      </c>
      <c r="E288" s="306">
        <f>IF(_PENDIENTES!$B$282&lt;&gt;"",_PENDIENTES!$E$282,"")</f>
        <v/>
      </c>
      <c r="F288" s="301">
        <f>IF(_PENDIENTES!$B$282&lt;&gt;"",_PENDIENTES!$F$282,"")</f>
        <v/>
      </c>
      <c r="G288" s="245">
        <f>IF(_PENDIENTES!$B$282&lt;&gt;"",_PENDIENTES!$G$282,"")</f>
        <v/>
      </c>
      <c r="H288" s="245">
        <f>IF(_PENDIENTES!$B$282&lt;&gt;"",_PENDIENTES!$H$282,"")</f>
        <v/>
      </c>
      <c r="I288" s="302">
        <f>IF(_PENDIENTES!$B$282&lt;&gt;"",_PENDIENTES!$I$282,"")</f>
        <v/>
      </c>
      <c r="J288" s="301">
        <f>IF(_PENDIENTES!$B$282&lt;&gt;"",_PENDIENTES!$J$282,"")</f>
        <v/>
      </c>
      <c r="K288" s="301">
        <f>IF(_PENDIENTES!$B$282&lt;&gt;"","POR RECOGER","")</f>
        <v/>
      </c>
      <c r="L288" s="301">
        <f>IF(_PENDIENTES!$B$282&lt;&gt;"",_PENDIENTES!$K$282,"")</f>
        <v/>
      </c>
      <c r="M288" s="284">
        <f>IF(_PENDIENTES!$B$282&lt;&gt;"",_PENDIENTES!$B$282,"")</f>
        <v/>
      </c>
      <c r="N288" s="304">
        <f>IF(_PENDIENTES!$B$282&lt;&gt;"",_PENDIENTES!$L$282,"")</f>
        <v/>
      </c>
      <c r="O288" s="284" t="n"/>
      <c r="P288" s="284" t="n"/>
      <c r="Q288" s="284" t="n"/>
      <c r="R288" s="284" t="n"/>
      <c r="S288" s="284" t="n"/>
    </row>
    <row r="289" hidden="1" ht="15.75" customHeight="1" s="195">
      <c r="A289" s="241">
        <f>IF(_PENDIENTES!$B$283&lt;&gt;"",282,"")</f>
        <v/>
      </c>
      <c r="B289" s="236">
        <f>IF(_PENDIENTES!$B$283&lt;&gt;"",_PENDIENTES!$A$283,"")</f>
        <v/>
      </c>
      <c r="C289" s="305">
        <f>IF(_PENDIENTES!$B$283&lt;&gt;"",_PENDIENTES!$C$283,"")</f>
        <v/>
      </c>
      <c r="D289" s="241">
        <f>IF(_PENDIENTES!$B$283&lt;&gt;"",_PENDIENTES!$D$283,"")</f>
        <v/>
      </c>
      <c r="E289" s="307">
        <f>IF(_PENDIENTES!$B$283&lt;&gt;"",_PENDIENTES!$E$283,"")</f>
        <v/>
      </c>
      <c r="F289" s="241">
        <f>IF(_PENDIENTES!$B$283&lt;&gt;"",_PENDIENTES!$F$283,"")</f>
        <v/>
      </c>
      <c r="G289" s="239">
        <f>IF(_PENDIENTES!$B$283&lt;&gt;"",_PENDIENTES!$G$283,"")</f>
        <v/>
      </c>
      <c r="H289" s="239">
        <f>IF(_PENDIENTES!$B$283&lt;&gt;"",_PENDIENTES!$H$283,"")</f>
        <v/>
      </c>
      <c r="I289" s="305">
        <f>IF(_PENDIENTES!$B$283&lt;&gt;"",_PENDIENTES!$I$283,"")</f>
        <v/>
      </c>
      <c r="J289" s="241">
        <f>IF(_PENDIENTES!$B$283&lt;&gt;"",_PENDIENTES!$J$283,"")</f>
        <v/>
      </c>
      <c r="K289" s="241">
        <f>IF(_PENDIENTES!$B$283&lt;&gt;"","POR RECOGER","")</f>
        <v/>
      </c>
      <c r="L289" s="241">
        <f>IF(_PENDIENTES!$B$283&lt;&gt;"",_PENDIENTES!$K$283,"")</f>
        <v/>
      </c>
      <c r="M289" s="284">
        <f>IF(_PENDIENTES!$B$283&lt;&gt;"",_PENDIENTES!$B$283,"")</f>
        <v/>
      </c>
      <c r="N289" s="304">
        <f>IF(_PENDIENTES!$B$283&lt;&gt;"",_PENDIENTES!$L$283,"")</f>
        <v/>
      </c>
      <c r="O289" s="284" t="n"/>
      <c r="P289" s="284" t="n"/>
      <c r="Q289" s="284" t="n"/>
      <c r="R289" s="284" t="n"/>
      <c r="S289" s="284" t="n"/>
    </row>
    <row r="290" hidden="1" ht="15.75" customHeight="1" s="195">
      <c r="A290" s="301">
        <f>IF(_PENDIENTES!$B$284&lt;&gt;"",283,"")</f>
        <v/>
      </c>
      <c r="B290" s="242">
        <f>IF(_PENDIENTES!$B$284&lt;&gt;"",_PENDIENTES!$A$284,"")</f>
        <v/>
      </c>
      <c r="C290" s="302">
        <f>IF(_PENDIENTES!$B$284&lt;&gt;"",_PENDIENTES!$C$284,"")</f>
        <v/>
      </c>
      <c r="D290" s="301">
        <f>IF(_PENDIENTES!$B$284&lt;&gt;"",_PENDIENTES!$D$284,"")</f>
        <v/>
      </c>
      <c r="E290" s="306">
        <f>IF(_PENDIENTES!$B$284&lt;&gt;"",_PENDIENTES!$E$284,"")</f>
        <v/>
      </c>
      <c r="F290" s="301">
        <f>IF(_PENDIENTES!$B$284&lt;&gt;"",_PENDIENTES!$F$284,"")</f>
        <v/>
      </c>
      <c r="G290" s="245">
        <f>IF(_PENDIENTES!$B$284&lt;&gt;"",_PENDIENTES!$G$284,"")</f>
        <v/>
      </c>
      <c r="H290" s="245">
        <f>IF(_PENDIENTES!$B$284&lt;&gt;"",_PENDIENTES!$H$284,"")</f>
        <v/>
      </c>
      <c r="I290" s="302">
        <f>IF(_PENDIENTES!$B$284&lt;&gt;"",_PENDIENTES!$I$284,"")</f>
        <v/>
      </c>
      <c r="J290" s="301">
        <f>IF(_PENDIENTES!$B$284&lt;&gt;"",_PENDIENTES!$J$284,"")</f>
        <v/>
      </c>
      <c r="K290" s="301">
        <f>IF(_PENDIENTES!$B$284&lt;&gt;"","POR RECOGER","")</f>
        <v/>
      </c>
      <c r="L290" s="301">
        <f>IF(_PENDIENTES!$B$284&lt;&gt;"",_PENDIENTES!$K$284,"")</f>
        <v/>
      </c>
      <c r="M290" s="284">
        <f>IF(_PENDIENTES!$B$284&lt;&gt;"",_PENDIENTES!$B$284,"")</f>
        <v/>
      </c>
      <c r="N290" s="304">
        <f>IF(_PENDIENTES!$B$284&lt;&gt;"",_PENDIENTES!$L$284,"")</f>
        <v/>
      </c>
      <c r="O290" s="284" t="n"/>
      <c r="P290" s="284" t="n"/>
      <c r="Q290" s="284" t="n"/>
      <c r="R290" s="284" t="n"/>
      <c r="S290" s="284" t="n"/>
    </row>
    <row r="291" hidden="1" ht="15.75" customHeight="1" s="195">
      <c r="A291" s="241">
        <f>IF(_PENDIENTES!$B$285&lt;&gt;"",284,"")</f>
        <v/>
      </c>
      <c r="B291" s="236">
        <f>IF(_PENDIENTES!$B$285&lt;&gt;"",_PENDIENTES!$A$285,"")</f>
        <v/>
      </c>
      <c r="C291" s="305">
        <f>IF(_PENDIENTES!$B$285&lt;&gt;"",_PENDIENTES!$C$285,"")</f>
        <v/>
      </c>
      <c r="D291" s="241">
        <f>IF(_PENDIENTES!$B$285&lt;&gt;"",_PENDIENTES!$D$285,"")</f>
        <v/>
      </c>
      <c r="E291" s="307">
        <f>IF(_PENDIENTES!$B$285&lt;&gt;"",_PENDIENTES!$E$285,"")</f>
        <v/>
      </c>
      <c r="F291" s="241">
        <f>IF(_PENDIENTES!$B$285&lt;&gt;"",_PENDIENTES!$F$285,"")</f>
        <v/>
      </c>
      <c r="G291" s="239">
        <f>IF(_PENDIENTES!$B$285&lt;&gt;"",_PENDIENTES!$G$285,"")</f>
        <v/>
      </c>
      <c r="H291" s="239">
        <f>IF(_PENDIENTES!$B$285&lt;&gt;"",_PENDIENTES!$H$285,"")</f>
        <v/>
      </c>
      <c r="I291" s="305">
        <f>IF(_PENDIENTES!$B$285&lt;&gt;"",_PENDIENTES!$I$285,"")</f>
        <v/>
      </c>
      <c r="J291" s="241">
        <f>IF(_PENDIENTES!$B$285&lt;&gt;"",_PENDIENTES!$J$285,"")</f>
        <v/>
      </c>
      <c r="K291" s="241">
        <f>IF(_PENDIENTES!$B$285&lt;&gt;"","POR RECOGER","")</f>
        <v/>
      </c>
      <c r="L291" s="241">
        <f>IF(_PENDIENTES!$B$285&lt;&gt;"",_PENDIENTES!$K$285,"")</f>
        <v/>
      </c>
      <c r="M291" s="284">
        <f>IF(_PENDIENTES!$B$285&lt;&gt;"",_PENDIENTES!$B$285,"")</f>
        <v/>
      </c>
      <c r="N291" s="304">
        <f>IF(_PENDIENTES!$B$285&lt;&gt;"",_PENDIENTES!$L$285,"")</f>
        <v/>
      </c>
      <c r="O291" s="284" t="n"/>
      <c r="P291" s="284" t="n"/>
      <c r="Q291" s="284" t="n"/>
      <c r="R291" s="284" t="n"/>
      <c r="S291" s="284" t="n"/>
    </row>
    <row r="292" hidden="1" ht="15.75" customHeight="1" s="195">
      <c r="A292" s="301">
        <f>IF(_PENDIENTES!$B$286&lt;&gt;"",285,"")</f>
        <v/>
      </c>
      <c r="B292" s="242">
        <f>IF(_PENDIENTES!$B$286&lt;&gt;"",_PENDIENTES!$A$286,"")</f>
        <v/>
      </c>
      <c r="C292" s="302">
        <f>IF(_PENDIENTES!$B$286&lt;&gt;"",_PENDIENTES!$C$286,"")</f>
        <v/>
      </c>
      <c r="D292" s="301">
        <f>IF(_PENDIENTES!$B$286&lt;&gt;"",_PENDIENTES!$D$286,"")</f>
        <v/>
      </c>
      <c r="E292" s="306">
        <f>IF(_PENDIENTES!$B$286&lt;&gt;"",_PENDIENTES!$E$286,"")</f>
        <v/>
      </c>
      <c r="F292" s="301">
        <f>IF(_PENDIENTES!$B$286&lt;&gt;"",_PENDIENTES!$F$286,"")</f>
        <v/>
      </c>
      <c r="G292" s="245">
        <f>IF(_PENDIENTES!$B$286&lt;&gt;"",_PENDIENTES!$G$286,"")</f>
        <v/>
      </c>
      <c r="H292" s="245">
        <f>IF(_PENDIENTES!$B$286&lt;&gt;"",_PENDIENTES!$H$286,"")</f>
        <v/>
      </c>
      <c r="I292" s="302">
        <f>IF(_PENDIENTES!$B$286&lt;&gt;"",_PENDIENTES!$I$286,"")</f>
        <v/>
      </c>
      <c r="J292" s="301">
        <f>IF(_PENDIENTES!$B$286&lt;&gt;"",_PENDIENTES!$J$286,"")</f>
        <v/>
      </c>
      <c r="K292" s="301">
        <f>IF(_PENDIENTES!$B$286&lt;&gt;"","POR RECOGER","")</f>
        <v/>
      </c>
      <c r="L292" s="301">
        <f>IF(_PENDIENTES!$B$286&lt;&gt;"",_PENDIENTES!$K$286,"")</f>
        <v/>
      </c>
      <c r="M292" s="284">
        <f>IF(_PENDIENTES!$B$286&lt;&gt;"",_PENDIENTES!$B$286,"")</f>
        <v/>
      </c>
      <c r="N292" s="304">
        <f>IF(_PENDIENTES!$B$286&lt;&gt;"",_PENDIENTES!$L$286,"")</f>
        <v/>
      </c>
      <c r="O292" s="284" t="n"/>
      <c r="P292" s="284" t="n"/>
      <c r="Q292" s="284" t="n"/>
      <c r="R292" s="284" t="n"/>
      <c r="S292" s="284" t="n"/>
    </row>
    <row r="293" hidden="1" ht="15.75" customHeight="1" s="195">
      <c r="A293" s="241">
        <f>IF(_PENDIENTES!$B$287&lt;&gt;"",286,"")</f>
        <v/>
      </c>
      <c r="B293" s="236">
        <f>IF(_PENDIENTES!$B$287&lt;&gt;"",_PENDIENTES!$A$287,"")</f>
        <v/>
      </c>
      <c r="C293" s="305">
        <f>IF(_PENDIENTES!$B$287&lt;&gt;"",_PENDIENTES!$C$287,"")</f>
        <v/>
      </c>
      <c r="D293" s="241">
        <f>IF(_PENDIENTES!$B$287&lt;&gt;"",_PENDIENTES!$D$287,"")</f>
        <v/>
      </c>
      <c r="E293" s="307">
        <f>IF(_PENDIENTES!$B$287&lt;&gt;"",_PENDIENTES!$E$287,"")</f>
        <v/>
      </c>
      <c r="F293" s="241">
        <f>IF(_PENDIENTES!$B$287&lt;&gt;"",_PENDIENTES!$F$287,"")</f>
        <v/>
      </c>
      <c r="G293" s="239">
        <f>IF(_PENDIENTES!$B$287&lt;&gt;"",_PENDIENTES!$G$287,"")</f>
        <v/>
      </c>
      <c r="H293" s="239">
        <f>IF(_PENDIENTES!$B$287&lt;&gt;"",_PENDIENTES!$H$287,"")</f>
        <v/>
      </c>
      <c r="I293" s="305">
        <f>IF(_PENDIENTES!$B$287&lt;&gt;"",_PENDIENTES!$I$287,"")</f>
        <v/>
      </c>
      <c r="J293" s="241">
        <f>IF(_PENDIENTES!$B$287&lt;&gt;"",_PENDIENTES!$J$287,"")</f>
        <v/>
      </c>
      <c r="K293" s="241">
        <f>IF(_PENDIENTES!$B$287&lt;&gt;"","POR RECOGER","")</f>
        <v/>
      </c>
      <c r="L293" s="241">
        <f>IF(_PENDIENTES!$B$287&lt;&gt;"",_PENDIENTES!$K$287,"")</f>
        <v/>
      </c>
      <c r="M293" s="284">
        <f>IF(_PENDIENTES!$B$287&lt;&gt;"",_PENDIENTES!$B$287,"")</f>
        <v/>
      </c>
      <c r="N293" s="304">
        <f>IF(_PENDIENTES!$B$287&lt;&gt;"",_PENDIENTES!$L$287,"")</f>
        <v/>
      </c>
      <c r="O293" s="284" t="n"/>
      <c r="P293" s="284" t="n"/>
      <c r="Q293" s="284" t="n"/>
      <c r="R293" s="284" t="n"/>
      <c r="S293" s="284" t="n"/>
    </row>
    <row r="294" hidden="1" ht="15.75" customHeight="1" s="195">
      <c r="A294" s="301">
        <f>IF(_PENDIENTES!$B$288&lt;&gt;"",287,"")</f>
        <v/>
      </c>
      <c r="B294" s="242">
        <f>IF(_PENDIENTES!$B$288&lt;&gt;"",_PENDIENTES!$A$288,"")</f>
        <v/>
      </c>
      <c r="C294" s="302">
        <f>IF(_PENDIENTES!$B$288&lt;&gt;"",_PENDIENTES!$C$288,"")</f>
        <v/>
      </c>
      <c r="D294" s="301">
        <f>IF(_PENDIENTES!$B$288&lt;&gt;"",_PENDIENTES!$D$288,"")</f>
        <v/>
      </c>
      <c r="E294" s="306">
        <f>IF(_PENDIENTES!$B$288&lt;&gt;"",_PENDIENTES!$E$288,"")</f>
        <v/>
      </c>
      <c r="F294" s="301">
        <f>IF(_PENDIENTES!$B$288&lt;&gt;"",_PENDIENTES!$F$288,"")</f>
        <v/>
      </c>
      <c r="G294" s="245">
        <f>IF(_PENDIENTES!$B$288&lt;&gt;"",_PENDIENTES!$G$288,"")</f>
        <v/>
      </c>
      <c r="H294" s="245">
        <f>IF(_PENDIENTES!$B$288&lt;&gt;"",_PENDIENTES!$H$288,"")</f>
        <v/>
      </c>
      <c r="I294" s="302">
        <f>IF(_PENDIENTES!$B$288&lt;&gt;"",_PENDIENTES!$I$288,"")</f>
        <v/>
      </c>
      <c r="J294" s="301">
        <f>IF(_PENDIENTES!$B$288&lt;&gt;"",_PENDIENTES!$J$288,"")</f>
        <v/>
      </c>
      <c r="K294" s="301">
        <f>IF(_PENDIENTES!$B$288&lt;&gt;"","POR RECOGER","")</f>
        <v/>
      </c>
      <c r="L294" s="301">
        <f>IF(_PENDIENTES!$B$288&lt;&gt;"",_PENDIENTES!$K$288,"")</f>
        <v/>
      </c>
      <c r="M294" s="284">
        <f>IF(_PENDIENTES!$B$288&lt;&gt;"",_PENDIENTES!$B$288,"")</f>
        <v/>
      </c>
      <c r="N294" s="304">
        <f>IF(_PENDIENTES!$B$288&lt;&gt;"",_PENDIENTES!$L$288,"")</f>
        <v/>
      </c>
      <c r="O294" s="284" t="n"/>
      <c r="P294" s="284" t="n"/>
      <c r="Q294" s="284" t="n"/>
      <c r="R294" s="284" t="n"/>
      <c r="S294" s="284" t="n"/>
    </row>
    <row r="295" hidden="1" ht="15.75" customHeight="1" s="195">
      <c r="A295" s="241">
        <f>IF(_PENDIENTES!$B$289&lt;&gt;"",288,"")</f>
        <v/>
      </c>
      <c r="B295" s="236">
        <f>IF(_PENDIENTES!$B$289&lt;&gt;"",_PENDIENTES!$A$289,"")</f>
        <v/>
      </c>
      <c r="C295" s="305">
        <f>IF(_PENDIENTES!$B$289&lt;&gt;"",_PENDIENTES!$C$289,"")</f>
        <v/>
      </c>
      <c r="D295" s="241">
        <f>IF(_PENDIENTES!$B$289&lt;&gt;"",_PENDIENTES!$D$289,"")</f>
        <v/>
      </c>
      <c r="E295" s="307">
        <f>IF(_PENDIENTES!$B$289&lt;&gt;"",_PENDIENTES!$E$289,"")</f>
        <v/>
      </c>
      <c r="F295" s="241">
        <f>IF(_PENDIENTES!$B$289&lt;&gt;"",_PENDIENTES!$F$289,"")</f>
        <v/>
      </c>
      <c r="G295" s="239">
        <f>IF(_PENDIENTES!$B$289&lt;&gt;"",_PENDIENTES!$G$289,"")</f>
        <v/>
      </c>
      <c r="H295" s="239">
        <f>IF(_PENDIENTES!$B$289&lt;&gt;"",_PENDIENTES!$H$289,"")</f>
        <v/>
      </c>
      <c r="I295" s="305">
        <f>IF(_PENDIENTES!$B$289&lt;&gt;"",_PENDIENTES!$I$289,"")</f>
        <v/>
      </c>
      <c r="J295" s="241">
        <f>IF(_PENDIENTES!$B$289&lt;&gt;"",_PENDIENTES!$J$289,"")</f>
        <v/>
      </c>
      <c r="K295" s="241">
        <f>IF(_PENDIENTES!$B$289&lt;&gt;"","POR RECOGER","")</f>
        <v/>
      </c>
      <c r="L295" s="241">
        <f>IF(_PENDIENTES!$B$289&lt;&gt;"",_PENDIENTES!$K$289,"")</f>
        <v/>
      </c>
      <c r="M295" s="284">
        <f>IF(_PENDIENTES!$B$289&lt;&gt;"",_PENDIENTES!$B$289,"")</f>
        <v/>
      </c>
      <c r="N295" s="304">
        <f>IF(_PENDIENTES!$B$289&lt;&gt;"",_PENDIENTES!$L$289,"")</f>
        <v/>
      </c>
      <c r="O295" s="284" t="n"/>
      <c r="P295" s="284" t="n"/>
      <c r="Q295" s="284" t="n"/>
      <c r="R295" s="284" t="n"/>
      <c r="S295" s="284" t="n"/>
    </row>
    <row r="296" hidden="1" ht="15.75" customHeight="1" s="195">
      <c r="A296" s="301">
        <f>IF(_PENDIENTES!$B$290&lt;&gt;"",289,"")</f>
        <v/>
      </c>
      <c r="B296" s="242">
        <f>IF(_PENDIENTES!$B$290&lt;&gt;"",_PENDIENTES!$A$290,"")</f>
        <v/>
      </c>
      <c r="C296" s="302">
        <f>IF(_PENDIENTES!$B$290&lt;&gt;"",_PENDIENTES!$C$290,"")</f>
        <v/>
      </c>
      <c r="D296" s="301">
        <f>IF(_PENDIENTES!$B$290&lt;&gt;"",_PENDIENTES!$D$290,"")</f>
        <v/>
      </c>
      <c r="E296" s="306">
        <f>IF(_PENDIENTES!$B$290&lt;&gt;"",_PENDIENTES!$E$290,"")</f>
        <v/>
      </c>
      <c r="F296" s="301">
        <f>IF(_PENDIENTES!$B$290&lt;&gt;"",_PENDIENTES!$F$290,"")</f>
        <v/>
      </c>
      <c r="G296" s="245">
        <f>IF(_PENDIENTES!$B$290&lt;&gt;"",_PENDIENTES!$G$290,"")</f>
        <v/>
      </c>
      <c r="H296" s="245">
        <f>IF(_PENDIENTES!$B$290&lt;&gt;"",_PENDIENTES!$H$290,"")</f>
        <v/>
      </c>
      <c r="I296" s="302">
        <f>IF(_PENDIENTES!$B$290&lt;&gt;"",_PENDIENTES!$I$290,"")</f>
        <v/>
      </c>
      <c r="J296" s="301">
        <f>IF(_PENDIENTES!$B$290&lt;&gt;"",_PENDIENTES!$J$290,"")</f>
        <v/>
      </c>
      <c r="K296" s="301">
        <f>IF(_PENDIENTES!$B$290&lt;&gt;"","POR RECOGER","")</f>
        <v/>
      </c>
      <c r="L296" s="301">
        <f>IF(_PENDIENTES!$B$290&lt;&gt;"",_PENDIENTES!$K$290,"")</f>
        <v/>
      </c>
      <c r="M296" s="284">
        <f>IF(_PENDIENTES!$B$290&lt;&gt;"",_PENDIENTES!$B$290,"")</f>
        <v/>
      </c>
      <c r="N296" s="304">
        <f>IF(_PENDIENTES!$B$290&lt;&gt;"",_PENDIENTES!$L$290,"")</f>
        <v/>
      </c>
      <c r="O296" s="284" t="n"/>
      <c r="P296" s="284" t="n"/>
      <c r="Q296" s="284" t="n"/>
      <c r="R296" s="284" t="n"/>
      <c r="S296" s="284" t="n"/>
    </row>
    <row r="297" hidden="1" ht="15.75" customHeight="1" s="195">
      <c r="A297" s="241">
        <f>IF(_PENDIENTES!$B$291&lt;&gt;"",290,"")</f>
        <v/>
      </c>
      <c r="B297" s="236">
        <f>IF(_PENDIENTES!$B$291&lt;&gt;"",_PENDIENTES!$A$291,"")</f>
        <v/>
      </c>
      <c r="C297" s="305">
        <f>IF(_PENDIENTES!$B$291&lt;&gt;"",_PENDIENTES!$C$291,"")</f>
        <v/>
      </c>
      <c r="D297" s="241">
        <f>IF(_PENDIENTES!$B$291&lt;&gt;"",_PENDIENTES!$D$291,"")</f>
        <v/>
      </c>
      <c r="E297" s="307">
        <f>IF(_PENDIENTES!$B$291&lt;&gt;"",_PENDIENTES!$E$291,"")</f>
        <v/>
      </c>
      <c r="F297" s="241">
        <f>IF(_PENDIENTES!$B$291&lt;&gt;"",_PENDIENTES!$F$291,"")</f>
        <v/>
      </c>
      <c r="G297" s="239">
        <f>IF(_PENDIENTES!$B$291&lt;&gt;"",_PENDIENTES!$G$291,"")</f>
        <v/>
      </c>
      <c r="H297" s="239">
        <f>IF(_PENDIENTES!$B$291&lt;&gt;"",_PENDIENTES!$H$291,"")</f>
        <v/>
      </c>
      <c r="I297" s="305">
        <f>IF(_PENDIENTES!$B$291&lt;&gt;"",_PENDIENTES!$I$291,"")</f>
        <v/>
      </c>
      <c r="J297" s="241">
        <f>IF(_PENDIENTES!$B$291&lt;&gt;"",_PENDIENTES!$J$291,"")</f>
        <v/>
      </c>
      <c r="K297" s="241">
        <f>IF(_PENDIENTES!$B$291&lt;&gt;"","POR RECOGER","")</f>
        <v/>
      </c>
      <c r="L297" s="241">
        <f>IF(_PENDIENTES!$B$291&lt;&gt;"",_PENDIENTES!$K$291,"")</f>
        <v/>
      </c>
      <c r="M297" s="284">
        <f>IF(_PENDIENTES!$B$291&lt;&gt;"",_PENDIENTES!$B$291,"")</f>
        <v/>
      </c>
      <c r="N297" s="304">
        <f>IF(_PENDIENTES!$B$291&lt;&gt;"",_PENDIENTES!$L$291,"")</f>
        <v/>
      </c>
      <c r="O297" s="284" t="n"/>
      <c r="P297" s="284" t="n"/>
      <c r="Q297" s="284" t="n"/>
      <c r="R297" s="284" t="n"/>
      <c r="S297" s="284" t="n"/>
    </row>
    <row r="298" hidden="1" ht="15.75" customHeight="1" s="195">
      <c r="A298" s="301">
        <f>IF(_PENDIENTES!$B$292&lt;&gt;"",291,"")</f>
        <v/>
      </c>
      <c r="B298" s="242">
        <f>IF(_PENDIENTES!$B$292&lt;&gt;"",_PENDIENTES!$A$292,"")</f>
        <v/>
      </c>
      <c r="C298" s="302">
        <f>IF(_PENDIENTES!$B$292&lt;&gt;"",_PENDIENTES!$C$292,"")</f>
        <v/>
      </c>
      <c r="D298" s="301">
        <f>IF(_PENDIENTES!$B$292&lt;&gt;"",_PENDIENTES!$D$292,"")</f>
        <v/>
      </c>
      <c r="E298" s="306">
        <f>IF(_PENDIENTES!$B$292&lt;&gt;"",_PENDIENTES!$E$292,"")</f>
        <v/>
      </c>
      <c r="F298" s="301">
        <f>IF(_PENDIENTES!$B$292&lt;&gt;"",_PENDIENTES!$F$292,"")</f>
        <v/>
      </c>
      <c r="G298" s="245">
        <f>IF(_PENDIENTES!$B$292&lt;&gt;"",_PENDIENTES!$G$292,"")</f>
        <v/>
      </c>
      <c r="H298" s="245">
        <f>IF(_PENDIENTES!$B$292&lt;&gt;"",_PENDIENTES!$H$292,"")</f>
        <v/>
      </c>
      <c r="I298" s="302">
        <f>IF(_PENDIENTES!$B$292&lt;&gt;"",_PENDIENTES!$I$292,"")</f>
        <v/>
      </c>
      <c r="J298" s="301">
        <f>IF(_PENDIENTES!$B$292&lt;&gt;"",_PENDIENTES!$J$292,"")</f>
        <v/>
      </c>
      <c r="K298" s="301">
        <f>IF(_PENDIENTES!$B$292&lt;&gt;"","POR RECOGER","")</f>
        <v/>
      </c>
      <c r="L298" s="301">
        <f>IF(_PENDIENTES!$B$292&lt;&gt;"",_PENDIENTES!$K$292,"")</f>
        <v/>
      </c>
      <c r="M298" s="284">
        <f>IF(_PENDIENTES!$B$292&lt;&gt;"",_PENDIENTES!$B$292,"")</f>
        <v/>
      </c>
      <c r="N298" s="304">
        <f>IF(_PENDIENTES!$B$292&lt;&gt;"",_PENDIENTES!$L$292,"")</f>
        <v/>
      </c>
      <c r="O298" s="284" t="n"/>
      <c r="P298" s="284" t="n"/>
      <c r="Q298" s="284" t="n"/>
      <c r="R298" s="284" t="n"/>
      <c r="S298" s="284" t="n"/>
    </row>
    <row r="299" hidden="1" ht="15.75" customHeight="1" s="195">
      <c r="A299" s="241">
        <f>IF(_PENDIENTES!$B$293&lt;&gt;"",292,"")</f>
        <v/>
      </c>
      <c r="B299" s="236">
        <f>IF(_PENDIENTES!$B$293&lt;&gt;"",_PENDIENTES!$A$293,"")</f>
        <v/>
      </c>
      <c r="C299" s="305">
        <f>IF(_PENDIENTES!$B$293&lt;&gt;"",_PENDIENTES!$C$293,"")</f>
        <v/>
      </c>
      <c r="D299" s="241">
        <f>IF(_PENDIENTES!$B$293&lt;&gt;"",_PENDIENTES!$D$293,"")</f>
        <v/>
      </c>
      <c r="E299" s="307">
        <f>IF(_PENDIENTES!$B$293&lt;&gt;"",_PENDIENTES!$E$293,"")</f>
        <v/>
      </c>
      <c r="F299" s="241">
        <f>IF(_PENDIENTES!$B$293&lt;&gt;"",_PENDIENTES!$F$293,"")</f>
        <v/>
      </c>
      <c r="G299" s="239">
        <f>IF(_PENDIENTES!$B$293&lt;&gt;"",_PENDIENTES!$G$293,"")</f>
        <v/>
      </c>
      <c r="H299" s="239">
        <f>IF(_PENDIENTES!$B$293&lt;&gt;"",_PENDIENTES!$H$293,"")</f>
        <v/>
      </c>
      <c r="I299" s="305">
        <f>IF(_PENDIENTES!$B$293&lt;&gt;"",_PENDIENTES!$I$293,"")</f>
        <v/>
      </c>
      <c r="J299" s="241">
        <f>IF(_PENDIENTES!$B$293&lt;&gt;"",_PENDIENTES!$J$293,"")</f>
        <v/>
      </c>
      <c r="K299" s="241">
        <f>IF(_PENDIENTES!$B$293&lt;&gt;"","POR RECOGER","")</f>
        <v/>
      </c>
      <c r="L299" s="241">
        <f>IF(_PENDIENTES!$B$293&lt;&gt;"",_PENDIENTES!$K$293,"")</f>
        <v/>
      </c>
      <c r="M299" s="284">
        <f>IF(_PENDIENTES!$B$293&lt;&gt;"",_PENDIENTES!$B$293,"")</f>
        <v/>
      </c>
      <c r="N299" s="304">
        <f>IF(_PENDIENTES!$B$293&lt;&gt;"",_PENDIENTES!$L$293,"")</f>
        <v/>
      </c>
      <c r="O299" s="284" t="n"/>
      <c r="P299" s="284" t="n"/>
      <c r="Q299" s="284" t="n"/>
      <c r="R299" s="284" t="n"/>
      <c r="S299" s="284" t="n"/>
    </row>
    <row r="300" hidden="1" ht="15.75" customHeight="1" s="195">
      <c r="A300" s="301">
        <f>IF(_PENDIENTES!$B$294&lt;&gt;"",293,"")</f>
        <v/>
      </c>
      <c r="B300" s="242">
        <f>IF(_PENDIENTES!$B$294&lt;&gt;"",_PENDIENTES!$A$294,"")</f>
        <v/>
      </c>
      <c r="C300" s="302">
        <f>IF(_PENDIENTES!$B$294&lt;&gt;"",_PENDIENTES!$C$294,"")</f>
        <v/>
      </c>
      <c r="D300" s="301">
        <f>IF(_PENDIENTES!$B$294&lt;&gt;"",_PENDIENTES!$D$294,"")</f>
        <v/>
      </c>
      <c r="E300" s="306">
        <f>IF(_PENDIENTES!$B$294&lt;&gt;"",_PENDIENTES!$E$294,"")</f>
        <v/>
      </c>
      <c r="F300" s="301">
        <f>IF(_PENDIENTES!$B$294&lt;&gt;"",_PENDIENTES!$F$294,"")</f>
        <v/>
      </c>
      <c r="G300" s="245">
        <f>IF(_PENDIENTES!$B$294&lt;&gt;"",_PENDIENTES!$G$294,"")</f>
        <v/>
      </c>
      <c r="H300" s="245">
        <f>IF(_PENDIENTES!$B$294&lt;&gt;"",_PENDIENTES!$H$294,"")</f>
        <v/>
      </c>
      <c r="I300" s="302">
        <f>IF(_PENDIENTES!$B$294&lt;&gt;"",_PENDIENTES!$I$294,"")</f>
        <v/>
      </c>
      <c r="J300" s="301">
        <f>IF(_PENDIENTES!$B$294&lt;&gt;"",_PENDIENTES!$J$294,"")</f>
        <v/>
      </c>
      <c r="K300" s="301">
        <f>IF(_PENDIENTES!$B$294&lt;&gt;"","POR RECOGER","")</f>
        <v/>
      </c>
      <c r="L300" s="301">
        <f>IF(_PENDIENTES!$B$294&lt;&gt;"",_PENDIENTES!$K$294,"")</f>
        <v/>
      </c>
      <c r="M300" s="284">
        <f>IF(_PENDIENTES!$B$294&lt;&gt;"",_PENDIENTES!$B$294,"")</f>
        <v/>
      </c>
      <c r="N300" s="304">
        <f>IF(_PENDIENTES!$B$294&lt;&gt;"",_PENDIENTES!$L$294,"")</f>
        <v/>
      </c>
      <c r="O300" s="284" t="n"/>
      <c r="P300" s="284" t="n"/>
      <c r="Q300" s="284" t="n"/>
      <c r="R300" s="284" t="n"/>
      <c r="S300" s="284" t="n"/>
    </row>
    <row r="301" hidden="1" ht="15.75" customHeight="1" s="195">
      <c r="A301" s="241">
        <f>IF(_PENDIENTES!$B$295&lt;&gt;"",294,"")</f>
        <v/>
      </c>
      <c r="B301" s="236">
        <f>IF(_PENDIENTES!$B$295&lt;&gt;"",_PENDIENTES!$A$295,"")</f>
        <v/>
      </c>
      <c r="C301" s="305">
        <f>IF(_PENDIENTES!$B$295&lt;&gt;"",_PENDIENTES!$C$295,"")</f>
        <v/>
      </c>
      <c r="D301" s="241">
        <f>IF(_PENDIENTES!$B$295&lt;&gt;"",_PENDIENTES!$D$295,"")</f>
        <v/>
      </c>
      <c r="E301" s="307">
        <f>IF(_PENDIENTES!$B$295&lt;&gt;"",_PENDIENTES!$E$295,"")</f>
        <v/>
      </c>
      <c r="F301" s="241">
        <f>IF(_PENDIENTES!$B$295&lt;&gt;"",_PENDIENTES!$F$295,"")</f>
        <v/>
      </c>
      <c r="G301" s="239">
        <f>IF(_PENDIENTES!$B$295&lt;&gt;"",_PENDIENTES!$G$295,"")</f>
        <v/>
      </c>
      <c r="H301" s="239">
        <f>IF(_PENDIENTES!$B$295&lt;&gt;"",_PENDIENTES!$H$295,"")</f>
        <v/>
      </c>
      <c r="I301" s="305">
        <f>IF(_PENDIENTES!$B$295&lt;&gt;"",_PENDIENTES!$I$295,"")</f>
        <v/>
      </c>
      <c r="J301" s="241">
        <f>IF(_PENDIENTES!$B$295&lt;&gt;"",_PENDIENTES!$J$295,"")</f>
        <v/>
      </c>
      <c r="K301" s="241">
        <f>IF(_PENDIENTES!$B$295&lt;&gt;"","POR RECOGER","")</f>
        <v/>
      </c>
      <c r="L301" s="241">
        <f>IF(_PENDIENTES!$B$295&lt;&gt;"",_PENDIENTES!$K$295,"")</f>
        <v/>
      </c>
      <c r="M301" s="284">
        <f>IF(_PENDIENTES!$B$295&lt;&gt;"",_PENDIENTES!$B$295,"")</f>
        <v/>
      </c>
      <c r="N301" s="304">
        <f>IF(_PENDIENTES!$B$295&lt;&gt;"",_PENDIENTES!$L$295,"")</f>
        <v/>
      </c>
      <c r="O301" s="284" t="n"/>
      <c r="P301" s="284" t="n"/>
      <c r="Q301" s="284" t="n"/>
      <c r="R301" s="284" t="n"/>
      <c r="S301" s="284" t="n"/>
    </row>
    <row r="302" hidden="1" ht="15.75" customHeight="1" s="195">
      <c r="A302" s="301">
        <f>IF(_PENDIENTES!$B$296&lt;&gt;"",295,"")</f>
        <v/>
      </c>
      <c r="B302" s="242">
        <f>IF(_PENDIENTES!$B$296&lt;&gt;"",_PENDIENTES!$A$296,"")</f>
        <v/>
      </c>
      <c r="C302" s="302">
        <f>IF(_PENDIENTES!$B$296&lt;&gt;"",_PENDIENTES!$C$296,"")</f>
        <v/>
      </c>
      <c r="D302" s="301">
        <f>IF(_PENDIENTES!$B$296&lt;&gt;"",_PENDIENTES!$D$296,"")</f>
        <v/>
      </c>
      <c r="E302" s="306">
        <f>IF(_PENDIENTES!$B$296&lt;&gt;"",_PENDIENTES!$E$296,"")</f>
        <v/>
      </c>
      <c r="F302" s="301">
        <f>IF(_PENDIENTES!$B$296&lt;&gt;"",_PENDIENTES!$F$296,"")</f>
        <v/>
      </c>
      <c r="G302" s="245">
        <f>IF(_PENDIENTES!$B$296&lt;&gt;"",_PENDIENTES!$G$296,"")</f>
        <v/>
      </c>
      <c r="H302" s="245">
        <f>IF(_PENDIENTES!$B$296&lt;&gt;"",_PENDIENTES!$H$296,"")</f>
        <v/>
      </c>
      <c r="I302" s="302">
        <f>IF(_PENDIENTES!$B$296&lt;&gt;"",_PENDIENTES!$I$296,"")</f>
        <v/>
      </c>
      <c r="J302" s="301">
        <f>IF(_PENDIENTES!$B$296&lt;&gt;"",_PENDIENTES!$J$296,"")</f>
        <v/>
      </c>
      <c r="K302" s="301">
        <f>IF(_PENDIENTES!$B$296&lt;&gt;"","POR RECOGER","")</f>
        <v/>
      </c>
      <c r="L302" s="301">
        <f>IF(_PENDIENTES!$B$296&lt;&gt;"",_PENDIENTES!$K$296,"")</f>
        <v/>
      </c>
      <c r="M302" s="284">
        <f>IF(_PENDIENTES!$B$296&lt;&gt;"",_PENDIENTES!$B$296,"")</f>
        <v/>
      </c>
      <c r="N302" s="304">
        <f>IF(_PENDIENTES!$B$296&lt;&gt;"",_PENDIENTES!$L$296,"")</f>
        <v/>
      </c>
      <c r="O302" s="284" t="n"/>
      <c r="P302" s="284" t="n"/>
      <c r="Q302" s="284" t="n"/>
      <c r="R302" s="284" t="n"/>
      <c r="S302" s="284" t="n"/>
    </row>
    <row r="303" hidden="1" ht="15.75" customHeight="1" s="195">
      <c r="A303" s="241">
        <f>IF(_PENDIENTES!$B$297&lt;&gt;"",296,"")</f>
        <v/>
      </c>
      <c r="B303" s="236">
        <f>IF(_PENDIENTES!$B$297&lt;&gt;"",_PENDIENTES!$A$297,"")</f>
        <v/>
      </c>
      <c r="C303" s="305">
        <f>IF(_PENDIENTES!$B$297&lt;&gt;"",_PENDIENTES!$C$297,"")</f>
        <v/>
      </c>
      <c r="D303" s="241">
        <f>IF(_PENDIENTES!$B$297&lt;&gt;"",_PENDIENTES!$D$297,"")</f>
        <v/>
      </c>
      <c r="E303" s="307">
        <f>IF(_PENDIENTES!$B$297&lt;&gt;"",_PENDIENTES!$E$297,"")</f>
        <v/>
      </c>
      <c r="F303" s="241">
        <f>IF(_PENDIENTES!$B$297&lt;&gt;"",_PENDIENTES!$F$297,"")</f>
        <v/>
      </c>
      <c r="G303" s="239">
        <f>IF(_PENDIENTES!$B$297&lt;&gt;"",_PENDIENTES!$G$297,"")</f>
        <v/>
      </c>
      <c r="H303" s="239">
        <f>IF(_PENDIENTES!$B$297&lt;&gt;"",_PENDIENTES!$H$297,"")</f>
        <v/>
      </c>
      <c r="I303" s="305">
        <f>IF(_PENDIENTES!$B$297&lt;&gt;"",_PENDIENTES!$I$297,"")</f>
        <v/>
      </c>
      <c r="J303" s="241">
        <f>IF(_PENDIENTES!$B$297&lt;&gt;"",_PENDIENTES!$J$297,"")</f>
        <v/>
      </c>
      <c r="K303" s="241">
        <f>IF(_PENDIENTES!$B$297&lt;&gt;"","POR RECOGER","")</f>
        <v/>
      </c>
      <c r="L303" s="241">
        <f>IF(_PENDIENTES!$B$297&lt;&gt;"",_PENDIENTES!$K$297,"")</f>
        <v/>
      </c>
      <c r="M303" s="284">
        <f>IF(_PENDIENTES!$B$297&lt;&gt;"",_PENDIENTES!$B$297,"")</f>
        <v/>
      </c>
      <c r="N303" s="304">
        <f>IF(_PENDIENTES!$B$297&lt;&gt;"",_PENDIENTES!$L$297,"")</f>
        <v/>
      </c>
      <c r="O303" s="284" t="n"/>
      <c r="P303" s="284" t="n"/>
      <c r="Q303" s="284" t="n"/>
      <c r="R303" s="284" t="n"/>
      <c r="S303" s="284" t="n"/>
    </row>
    <row r="304" hidden="1" ht="15.75" customHeight="1" s="195">
      <c r="A304" s="301">
        <f>IF(_PENDIENTES!$B$298&lt;&gt;"",297,"")</f>
        <v/>
      </c>
      <c r="B304" s="242">
        <f>IF(_PENDIENTES!$B$298&lt;&gt;"",_PENDIENTES!$A$298,"")</f>
        <v/>
      </c>
      <c r="C304" s="302">
        <f>IF(_PENDIENTES!$B$298&lt;&gt;"",_PENDIENTES!$C$298,"")</f>
        <v/>
      </c>
      <c r="D304" s="301">
        <f>IF(_PENDIENTES!$B$298&lt;&gt;"",_PENDIENTES!$D$298,"")</f>
        <v/>
      </c>
      <c r="E304" s="306">
        <f>IF(_PENDIENTES!$B$298&lt;&gt;"",_PENDIENTES!$E$298,"")</f>
        <v/>
      </c>
      <c r="F304" s="301">
        <f>IF(_PENDIENTES!$B$298&lt;&gt;"",_PENDIENTES!$F$298,"")</f>
        <v/>
      </c>
      <c r="G304" s="245">
        <f>IF(_PENDIENTES!$B$298&lt;&gt;"",_PENDIENTES!$G$298,"")</f>
        <v/>
      </c>
      <c r="H304" s="245">
        <f>IF(_PENDIENTES!$B$298&lt;&gt;"",_PENDIENTES!$H$298,"")</f>
        <v/>
      </c>
      <c r="I304" s="302">
        <f>IF(_PENDIENTES!$B$298&lt;&gt;"",_PENDIENTES!$I$298,"")</f>
        <v/>
      </c>
      <c r="J304" s="301">
        <f>IF(_PENDIENTES!$B$298&lt;&gt;"",_PENDIENTES!$J$298,"")</f>
        <v/>
      </c>
      <c r="K304" s="301">
        <f>IF(_PENDIENTES!$B$298&lt;&gt;"","POR RECOGER","")</f>
        <v/>
      </c>
      <c r="L304" s="301">
        <f>IF(_PENDIENTES!$B$298&lt;&gt;"",_PENDIENTES!$K$298,"")</f>
        <v/>
      </c>
      <c r="M304" s="284">
        <f>IF(_PENDIENTES!$B$298&lt;&gt;"",_PENDIENTES!$B$298,"")</f>
        <v/>
      </c>
      <c r="N304" s="304">
        <f>IF(_PENDIENTES!$B$298&lt;&gt;"",_PENDIENTES!$L$298,"")</f>
        <v/>
      </c>
      <c r="O304" s="284" t="n"/>
      <c r="P304" s="284" t="n"/>
      <c r="Q304" s="284" t="n"/>
      <c r="R304" s="284" t="n"/>
      <c r="S304" s="284" t="n"/>
    </row>
    <row r="305" hidden="1" ht="15.75" customHeight="1" s="195">
      <c r="A305" s="241">
        <f>IF(_PENDIENTES!$B$299&lt;&gt;"",298,"")</f>
        <v/>
      </c>
      <c r="B305" s="236">
        <f>IF(_PENDIENTES!$B$299&lt;&gt;"",_PENDIENTES!$A$299,"")</f>
        <v/>
      </c>
      <c r="C305" s="305">
        <f>IF(_PENDIENTES!$B$299&lt;&gt;"",_PENDIENTES!$C$299,"")</f>
        <v/>
      </c>
      <c r="D305" s="241">
        <f>IF(_PENDIENTES!$B$299&lt;&gt;"",_PENDIENTES!$D$299,"")</f>
        <v/>
      </c>
      <c r="E305" s="307">
        <f>IF(_PENDIENTES!$B$299&lt;&gt;"",_PENDIENTES!$E$299,"")</f>
        <v/>
      </c>
      <c r="F305" s="241">
        <f>IF(_PENDIENTES!$B$299&lt;&gt;"",_PENDIENTES!$F$299,"")</f>
        <v/>
      </c>
      <c r="G305" s="239">
        <f>IF(_PENDIENTES!$B$299&lt;&gt;"",_PENDIENTES!$G$299,"")</f>
        <v/>
      </c>
      <c r="H305" s="239">
        <f>IF(_PENDIENTES!$B$299&lt;&gt;"",_PENDIENTES!$H$299,"")</f>
        <v/>
      </c>
      <c r="I305" s="305">
        <f>IF(_PENDIENTES!$B$299&lt;&gt;"",_PENDIENTES!$I$299,"")</f>
        <v/>
      </c>
      <c r="J305" s="241">
        <f>IF(_PENDIENTES!$B$299&lt;&gt;"",_PENDIENTES!$J$299,"")</f>
        <v/>
      </c>
      <c r="K305" s="241">
        <f>IF(_PENDIENTES!$B$299&lt;&gt;"","POR RECOGER","")</f>
        <v/>
      </c>
      <c r="L305" s="241">
        <f>IF(_PENDIENTES!$B$299&lt;&gt;"",_PENDIENTES!$K$299,"")</f>
        <v/>
      </c>
      <c r="M305" s="284">
        <f>IF(_PENDIENTES!$B$299&lt;&gt;"",_PENDIENTES!$B$299,"")</f>
        <v/>
      </c>
      <c r="N305" s="304">
        <f>IF(_PENDIENTES!$B$299&lt;&gt;"",_PENDIENTES!$L$299,"")</f>
        <v/>
      </c>
      <c r="O305" s="284" t="n"/>
      <c r="P305" s="284" t="n"/>
      <c r="Q305" s="284" t="n"/>
      <c r="R305" s="284" t="n"/>
      <c r="S305" s="284" t="n"/>
    </row>
    <row r="306" hidden="1" ht="15.75" customHeight="1" s="195">
      <c r="A306" s="301">
        <f>IF(_PENDIENTES!$B$300&lt;&gt;"",299,"")</f>
        <v/>
      </c>
      <c r="B306" s="242">
        <f>IF(_PENDIENTES!$B$300&lt;&gt;"",_PENDIENTES!$A$300,"")</f>
        <v/>
      </c>
      <c r="C306" s="302">
        <f>IF(_PENDIENTES!$B$300&lt;&gt;"",_PENDIENTES!$C$300,"")</f>
        <v/>
      </c>
      <c r="D306" s="301">
        <f>IF(_PENDIENTES!$B$300&lt;&gt;"",_PENDIENTES!$D$300,"")</f>
        <v/>
      </c>
      <c r="E306" s="306">
        <f>IF(_PENDIENTES!$B$300&lt;&gt;"",_PENDIENTES!$E$300,"")</f>
        <v/>
      </c>
      <c r="F306" s="301">
        <f>IF(_PENDIENTES!$B$300&lt;&gt;"",_PENDIENTES!$F$300,"")</f>
        <v/>
      </c>
      <c r="G306" s="245">
        <f>IF(_PENDIENTES!$B$300&lt;&gt;"",_PENDIENTES!$G$300,"")</f>
        <v/>
      </c>
      <c r="H306" s="245">
        <f>IF(_PENDIENTES!$B$300&lt;&gt;"",_PENDIENTES!$H$300,"")</f>
        <v/>
      </c>
      <c r="I306" s="302">
        <f>IF(_PENDIENTES!$B$300&lt;&gt;"",_PENDIENTES!$I$300,"")</f>
        <v/>
      </c>
      <c r="J306" s="301">
        <f>IF(_PENDIENTES!$B$300&lt;&gt;"",_PENDIENTES!$J$300,"")</f>
        <v/>
      </c>
      <c r="K306" s="301">
        <f>IF(_PENDIENTES!$B$300&lt;&gt;"","POR RECOGER","")</f>
        <v/>
      </c>
      <c r="L306" s="301">
        <f>IF(_PENDIENTES!$B$300&lt;&gt;"",_PENDIENTES!$K$300,"")</f>
        <v/>
      </c>
      <c r="M306" s="284">
        <f>IF(_PENDIENTES!$B$300&lt;&gt;"",_PENDIENTES!$B$300,"")</f>
        <v/>
      </c>
      <c r="N306" s="304">
        <f>IF(_PENDIENTES!$B$300&lt;&gt;"",_PENDIENTES!$L$300,"")</f>
        <v/>
      </c>
      <c r="O306" s="284" t="n"/>
      <c r="P306" s="284" t="n"/>
      <c r="Q306" s="284" t="n"/>
      <c r="R306" s="284" t="n"/>
      <c r="S306" s="284" t="n"/>
    </row>
    <row r="307" hidden="1" ht="15.75" customHeight="1" s="195">
      <c r="A307" s="241">
        <f>IF(_PENDIENTES!$B$301&lt;&gt;"",300,"")</f>
        <v/>
      </c>
      <c r="B307" s="236">
        <f>IF(_PENDIENTES!$B$301&lt;&gt;"",_PENDIENTES!$A$301,"")</f>
        <v/>
      </c>
      <c r="C307" s="305">
        <f>IF(_PENDIENTES!$B$301&lt;&gt;"",_PENDIENTES!$C$301,"")</f>
        <v/>
      </c>
      <c r="D307" s="241">
        <f>IF(_PENDIENTES!$B$301&lt;&gt;"",_PENDIENTES!$D$301,"")</f>
        <v/>
      </c>
      <c r="E307" s="307">
        <f>IF(_PENDIENTES!$B$301&lt;&gt;"",_PENDIENTES!$E$301,"")</f>
        <v/>
      </c>
      <c r="F307" s="241">
        <f>IF(_PENDIENTES!$B$301&lt;&gt;"",_PENDIENTES!$F$301,"")</f>
        <v/>
      </c>
      <c r="G307" s="239">
        <f>IF(_PENDIENTES!$B$301&lt;&gt;"",_PENDIENTES!$G$301,"")</f>
        <v/>
      </c>
      <c r="H307" s="239">
        <f>IF(_PENDIENTES!$B$301&lt;&gt;"",_PENDIENTES!$H$301,"")</f>
        <v/>
      </c>
      <c r="I307" s="305">
        <f>IF(_PENDIENTES!$B$301&lt;&gt;"",_PENDIENTES!$I$301,"")</f>
        <v/>
      </c>
      <c r="J307" s="241">
        <f>IF(_PENDIENTES!$B$301&lt;&gt;"",_PENDIENTES!$J$301,"")</f>
        <v/>
      </c>
      <c r="K307" s="241">
        <f>IF(_PENDIENTES!$B$301&lt;&gt;"","POR RECOGER","")</f>
        <v/>
      </c>
      <c r="L307" s="241">
        <f>IF(_PENDIENTES!$B$301&lt;&gt;"",_PENDIENTES!$K$301,"")</f>
        <v/>
      </c>
      <c r="M307" s="284">
        <f>IF(_PENDIENTES!$B$301&lt;&gt;"",_PENDIENTES!$B$301,"")</f>
        <v/>
      </c>
      <c r="N307" s="304">
        <f>IF(_PENDIENTES!$B$301&lt;&gt;"",_PENDIENTES!$L$301,"")</f>
        <v/>
      </c>
      <c r="O307" s="284" t="n"/>
      <c r="P307" s="284" t="n"/>
      <c r="Q307" s="284" t="n"/>
      <c r="R307" s="284" t="n"/>
      <c r="S307" s="284" t="n"/>
    </row>
    <row r="308" hidden="1" ht="15.75" customHeight="1" s="195">
      <c r="A308" s="301">
        <f>IF(_PENDIENTES!$B$302&lt;&gt;"",301,"")</f>
        <v/>
      </c>
      <c r="B308" s="242">
        <f>IF(_PENDIENTES!$B$302&lt;&gt;"",_PENDIENTES!$A$302,"")</f>
        <v/>
      </c>
      <c r="C308" s="302">
        <f>IF(_PENDIENTES!$B$302&lt;&gt;"",_PENDIENTES!$C$302,"")</f>
        <v/>
      </c>
      <c r="D308" s="301">
        <f>IF(_PENDIENTES!$B$302&lt;&gt;"",_PENDIENTES!$D$302,"")</f>
        <v/>
      </c>
      <c r="E308" s="306">
        <f>IF(_PENDIENTES!$B$302&lt;&gt;"",_PENDIENTES!$E$302,"")</f>
        <v/>
      </c>
      <c r="F308" s="301">
        <f>IF(_PENDIENTES!$B$302&lt;&gt;"",_PENDIENTES!$F$302,"")</f>
        <v/>
      </c>
      <c r="G308" s="245">
        <f>IF(_PENDIENTES!$B$302&lt;&gt;"",_PENDIENTES!$G$302,"")</f>
        <v/>
      </c>
      <c r="H308" s="245">
        <f>IF(_PENDIENTES!$B$302&lt;&gt;"",_PENDIENTES!$H$302,"")</f>
        <v/>
      </c>
      <c r="I308" s="302">
        <f>IF(_PENDIENTES!$B$302&lt;&gt;"",_PENDIENTES!$I$302,"")</f>
        <v/>
      </c>
      <c r="J308" s="301">
        <f>IF(_PENDIENTES!$B$302&lt;&gt;"",_PENDIENTES!$J$302,"")</f>
        <v/>
      </c>
      <c r="K308" s="301">
        <f>IF(_PENDIENTES!$B$302&lt;&gt;"","POR RECOGER","")</f>
        <v/>
      </c>
      <c r="L308" s="301">
        <f>IF(_PENDIENTES!$B$302&lt;&gt;"",_PENDIENTES!$K$302,"")</f>
        <v/>
      </c>
      <c r="M308" s="284">
        <f>IF(_PENDIENTES!$B$302&lt;&gt;"",_PENDIENTES!$B$302,"")</f>
        <v/>
      </c>
      <c r="N308" s="304">
        <f>IF(_PENDIENTES!$B$302&lt;&gt;"",_PENDIENTES!$L$302,"")</f>
        <v/>
      </c>
      <c r="O308" s="284" t="n"/>
      <c r="P308" s="284" t="n"/>
      <c r="Q308" s="284" t="n"/>
      <c r="R308" s="284" t="n"/>
      <c r="S308" s="284" t="n"/>
    </row>
    <row r="309" hidden="1" ht="15.75" customHeight="1" s="195">
      <c r="A309" s="241">
        <f>IF(_PENDIENTES!$B$303&lt;&gt;"",302,"")</f>
        <v/>
      </c>
      <c r="B309" s="236">
        <f>IF(_PENDIENTES!$B$303&lt;&gt;"",_PENDIENTES!$A$303,"")</f>
        <v/>
      </c>
      <c r="C309" s="305">
        <f>IF(_PENDIENTES!$B$303&lt;&gt;"",_PENDIENTES!$C$303,"")</f>
        <v/>
      </c>
      <c r="D309" s="241">
        <f>IF(_PENDIENTES!$B$303&lt;&gt;"",_PENDIENTES!$D$303,"")</f>
        <v/>
      </c>
      <c r="E309" s="307">
        <f>IF(_PENDIENTES!$B$303&lt;&gt;"",_PENDIENTES!$E$303,"")</f>
        <v/>
      </c>
      <c r="F309" s="241">
        <f>IF(_PENDIENTES!$B$303&lt;&gt;"",_PENDIENTES!$F$303,"")</f>
        <v/>
      </c>
      <c r="G309" s="239">
        <f>IF(_PENDIENTES!$B$303&lt;&gt;"",_PENDIENTES!$G$303,"")</f>
        <v/>
      </c>
      <c r="H309" s="239">
        <f>IF(_PENDIENTES!$B$303&lt;&gt;"",_PENDIENTES!$H$303,"")</f>
        <v/>
      </c>
      <c r="I309" s="305">
        <f>IF(_PENDIENTES!$B$303&lt;&gt;"",_PENDIENTES!$I$303,"")</f>
        <v/>
      </c>
      <c r="J309" s="241">
        <f>IF(_PENDIENTES!$B$303&lt;&gt;"",_PENDIENTES!$J$303,"")</f>
        <v/>
      </c>
      <c r="K309" s="241">
        <f>IF(_PENDIENTES!$B$303&lt;&gt;"","POR RECOGER","")</f>
        <v/>
      </c>
      <c r="L309" s="241">
        <f>IF(_PENDIENTES!$B$303&lt;&gt;"",_PENDIENTES!$K$303,"")</f>
        <v/>
      </c>
      <c r="M309" s="284">
        <f>IF(_PENDIENTES!$B$303&lt;&gt;"",_PENDIENTES!$B$303,"")</f>
        <v/>
      </c>
      <c r="N309" s="304">
        <f>IF(_PENDIENTES!$B$303&lt;&gt;"",_PENDIENTES!$L$303,"")</f>
        <v/>
      </c>
      <c r="O309" s="284" t="n"/>
      <c r="P309" s="284" t="n"/>
      <c r="Q309" s="284" t="n"/>
      <c r="R309" s="284" t="n"/>
      <c r="S309" s="284" t="n"/>
    </row>
    <row r="310" hidden="1" ht="15.75" customHeight="1" s="195">
      <c r="A310" s="301">
        <f>IF(_PENDIENTES!$B$304&lt;&gt;"",303,"")</f>
        <v/>
      </c>
      <c r="B310" s="242">
        <f>IF(_PENDIENTES!$B$304&lt;&gt;"",_PENDIENTES!$A$304,"")</f>
        <v/>
      </c>
      <c r="C310" s="302">
        <f>IF(_PENDIENTES!$B$304&lt;&gt;"",_PENDIENTES!$C$304,"")</f>
        <v/>
      </c>
      <c r="D310" s="301">
        <f>IF(_PENDIENTES!$B$304&lt;&gt;"",_PENDIENTES!$D$304,"")</f>
        <v/>
      </c>
      <c r="E310" s="306">
        <f>IF(_PENDIENTES!$B$304&lt;&gt;"",_PENDIENTES!$E$304,"")</f>
        <v/>
      </c>
      <c r="F310" s="301">
        <f>IF(_PENDIENTES!$B$304&lt;&gt;"",_PENDIENTES!$F$304,"")</f>
        <v/>
      </c>
      <c r="G310" s="245">
        <f>IF(_PENDIENTES!$B$304&lt;&gt;"",_PENDIENTES!$G$304,"")</f>
        <v/>
      </c>
      <c r="H310" s="245">
        <f>IF(_PENDIENTES!$B$304&lt;&gt;"",_PENDIENTES!$H$304,"")</f>
        <v/>
      </c>
      <c r="I310" s="302">
        <f>IF(_PENDIENTES!$B$304&lt;&gt;"",_PENDIENTES!$I$304,"")</f>
        <v/>
      </c>
      <c r="J310" s="301">
        <f>IF(_PENDIENTES!$B$304&lt;&gt;"",_PENDIENTES!$J$304,"")</f>
        <v/>
      </c>
      <c r="K310" s="301">
        <f>IF(_PENDIENTES!$B$304&lt;&gt;"","POR RECOGER","")</f>
        <v/>
      </c>
      <c r="L310" s="301">
        <f>IF(_PENDIENTES!$B$304&lt;&gt;"",_PENDIENTES!$K$304,"")</f>
        <v/>
      </c>
      <c r="M310" s="284">
        <f>IF(_PENDIENTES!$B$304&lt;&gt;"",_PENDIENTES!$B$304,"")</f>
        <v/>
      </c>
      <c r="N310" s="304">
        <f>IF(_PENDIENTES!$B$304&lt;&gt;"",_PENDIENTES!$L$304,"")</f>
        <v/>
      </c>
      <c r="O310" s="284" t="n"/>
      <c r="P310" s="284" t="n"/>
      <c r="Q310" s="284" t="n"/>
      <c r="R310" s="284" t="n"/>
      <c r="S310" s="284" t="n"/>
    </row>
    <row r="311" hidden="1" ht="15.75" customHeight="1" s="195">
      <c r="A311" s="241">
        <f>IF(_PENDIENTES!$B$305&lt;&gt;"",304,"")</f>
        <v/>
      </c>
      <c r="B311" s="236">
        <f>IF(_PENDIENTES!$B$305&lt;&gt;"",_PENDIENTES!$A$305,"")</f>
        <v/>
      </c>
      <c r="C311" s="305">
        <f>IF(_PENDIENTES!$B$305&lt;&gt;"",_PENDIENTES!$C$305,"")</f>
        <v/>
      </c>
      <c r="D311" s="241">
        <f>IF(_PENDIENTES!$B$305&lt;&gt;"",_PENDIENTES!$D$305,"")</f>
        <v/>
      </c>
      <c r="E311" s="307">
        <f>IF(_PENDIENTES!$B$305&lt;&gt;"",_PENDIENTES!$E$305,"")</f>
        <v/>
      </c>
      <c r="F311" s="241">
        <f>IF(_PENDIENTES!$B$305&lt;&gt;"",_PENDIENTES!$F$305,"")</f>
        <v/>
      </c>
      <c r="G311" s="239">
        <f>IF(_PENDIENTES!$B$305&lt;&gt;"",_PENDIENTES!$G$305,"")</f>
        <v/>
      </c>
      <c r="H311" s="239">
        <f>IF(_PENDIENTES!$B$305&lt;&gt;"",_PENDIENTES!$H$305,"")</f>
        <v/>
      </c>
      <c r="I311" s="305">
        <f>IF(_PENDIENTES!$B$305&lt;&gt;"",_PENDIENTES!$I$305,"")</f>
        <v/>
      </c>
      <c r="J311" s="241">
        <f>IF(_PENDIENTES!$B$305&lt;&gt;"",_PENDIENTES!$J$305,"")</f>
        <v/>
      </c>
      <c r="K311" s="241">
        <f>IF(_PENDIENTES!$B$305&lt;&gt;"","POR RECOGER","")</f>
        <v/>
      </c>
      <c r="L311" s="241">
        <f>IF(_PENDIENTES!$B$305&lt;&gt;"",_PENDIENTES!$K$305,"")</f>
        <v/>
      </c>
      <c r="M311" s="284">
        <f>IF(_PENDIENTES!$B$305&lt;&gt;"",_PENDIENTES!$B$305,"")</f>
        <v/>
      </c>
      <c r="N311" s="304">
        <f>IF(_PENDIENTES!$B$305&lt;&gt;"",_PENDIENTES!$L$305,"")</f>
        <v/>
      </c>
      <c r="O311" s="284" t="n"/>
      <c r="P311" s="284" t="n"/>
      <c r="Q311" s="284" t="n"/>
      <c r="R311" s="284" t="n"/>
      <c r="S311" s="284" t="n"/>
    </row>
    <row r="312" hidden="1" ht="15.75" customHeight="1" s="195">
      <c r="A312" s="301">
        <f>IF(_PENDIENTES!$B$306&lt;&gt;"",305,"")</f>
        <v/>
      </c>
      <c r="B312" s="242">
        <f>IF(_PENDIENTES!$B$306&lt;&gt;"",_PENDIENTES!$A$306,"")</f>
        <v/>
      </c>
      <c r="C312" s="302">
        <f>IF(_PENDIENTES!$B$306&lt;&gt;"",_PENDIENTES!$C$306,"")</f>
        <v/>
      </c>
      <c r="D312" s="301">
        <f>IF(_PENDIENTES!$B$306&lt;&gt;"",_PENDIENTES!$D$306,"")</f>
        <v/>
      </c>
      <c r="E312" s="306">
        <f>IF(_PENDIENTES!$B$306&lt;&gt;"",_PENDIENTES!$E$306,"")</f>
        <v/>
      </c>
      <c r="F312" s="301">
        <f>IF(_PENDIENTES!$B$306&lt;&gt;"",_PENDIENTES!$F$306,"")</f>
        <v/>
      </c>
      <c r="G312" s="245">
        <f>IF(_PENDIENTES!$B$306&lt;&gt;"",_PENDIENTES!$G$306,"")</f>
        <v/>
      </c>
      <c r="H312" s="245">
        <f>IF(_PENDIENTES!$B$306&lt;&gt;"",_PENDIENTES!$H$306,"")</f>
        <v/>
      </c>
      <c r="I312" s="302">
        <f>IF(_PENDIENTES!$B$306&lt;&gt;"",_PENDIENTES!$I$306,"")</f>
        <v/>
      </c>
      <c r="J312" s="301">
        <f>IF(_PENDIENTES!$B$306&lt;&gt;"",_PENDIENTES!$J$306,"")</f>
        <v/>
      </c>
      <c r="K312" s="301">
        <f>IF(_PENDIENTES!$B$306&lt;&gt;"","POR RECOGER","")</f>
        <v/>
      </c>
      <c r="L312" s="301">
        <f>IF(_PENDIENTES!$B$306&lt;&gt;"",_PENDIENTES!$K$306,"")</f>
        <v/>
      </c>
      <c r="M312" s="284">
        <f>IF(_PENDIENTES!$B$306&lt;&gt;"",_PENDIENTES!$B$306,"")</f>
        <v/>
      </c>
      <c r="N312" s="304">
        <f>IF(_PENDIENTES!$B$306&lt;&gt;"",_PENDIENTES!$L$306,"")</f>
        <v/>
      </c>
      <c r="O312" s="284" t="n"/>
      <c r="P312" s="284" t="n"/>
      <c r="Q312" s="284" t="n"/>
      <c r="R312" s="284" t="n"/>
      <c r="S312" s="284" t="n"/>
    </row>
    <row r="313" hidden="1" ht="15.75" customHeight="1" s="195">
      <c r="A313" s="241">
        <f>IF(_PENDIENTES!$B$307&lt;&gt;"",306,"")</f>
        <v/>
      </c>
      <c r="B313" s="236">
        <f>IF(_PENDIENTES!$B$307&lt;&gt;"",_PENDIENTES!$A$307,"")</f>
        <v/>
      </c>
      <c r="C313" s="305">
        <f>IF(_PENDIENTES!$B$307&lt;&gt;"",_PENDIENTES!$C$307,"")</f>
        <v/>
      </c>
      <c r="D313" s="241">
        <f>IF(_PENDIENTES!$B$307&lt;&gt;"",_PENDIENTES!$D$307,"")</f>
        <v/>
      </c>
      <c r="E313" s="307">
        <f>IF(_PENDIENTES!$B$307&lt;&gt;"",_PENDIENTES!$E$307,"")</f>
        <v/>
      </c>
      <c r="F313" s="241">
        <f>IF(_PENDIENTES!$B$307&lt;&gt;"",_PENDIENTES!$F$307,"")</f>
        <v/>
      </c>
      <c r="G313" s="239">
        <f>IF(_PENDIENTES!$B$307&lt;&gt;"",_PENDIENTES!$G$307,"")</f>
        <v/>
      </c>
      <c r="H313" s="239">
        <f>IF(_PENDIENTES!$B$307&lt;&gt;"",_PENDIENTES!$H$307,"")</f>
        <v/>
      </c>
      <c r="I313" s="305">
        <f>IF(_PENDIENTES!$B$307&lt;&gt;"",_PENDIENTES!$I$307,"")</f>
        <v/>
      </c>
      <c r="J313" s="241">
        <f>IF(_PENDIENTES!$B$307&lt;&gt;"",_PENDIENTES!$J$307,"")</f>
        <v/>
      </c>
      <c r="K313" s="241">
        <f>IF(_PENDIENTES!$B$307&lt;&gt;"","POR RECOGER","")</f>
        <v/>
      </c>
      <c r="L313" s="241">
        <f>IF(_PENDIENTES!$B$307&lt;&gt;"",_PENDIENTES!$K$307,"")</f>
        <v/>
      </c>
      <c r="M313" s="284">
        <f>IF(_PENDIENTES!$B$307&lt;&gt;"",_PENDIENTES!$B$307,"")</f>
        <v/>
      </c>
      <c r="N313" s="304">
        <f>IF(_PENDIENTES!$B$307&lt;&gt;"",_PENDIENTES!$L$307,"")</f>
        <v/>
      </c>
      <c r="O313" s="284" t="n"/>
      <c r="P313" s="284" t="n"/>
      <c r="Q313" s="284" t="n"/>
      <c r="R313" s="284" t="n"/>
      <c r="S313" s="284" t="n"/>
    </row>
    <row r="314" hidden="1" ht="15.75" customHeight="1" s="195">
      <c r="A314" s="301">
        <f>IF(_PENDIENTES!$B$308&lt;&gt;"",307,"")</f>
        <v/>
      </c>
      <c r="B314" s="242">
        <f>IF(_PENDIENTES!$B$308&lt;&gt;"",_PENDIENTES!$A$308,"")</f>
        <v/>
      </c>
      <c r="C314" s="302">
        <f>IF(_PENDIENTES!$B$308&lt;&gt;"",_PENDIENTES!$C$308,"")</f>
        <v/>
      </c>
      <c r="D314" s="301">
        <f>IF(_PENDIENTES!$B$308&lt;&gt;"",_PENDIENTES!$D$308,"")</f>
        <v/>
      </c>
      <c r="E314" s="306">
        <f>IF(_PENDIENTES!$B$308&lt;&gt;"",_PENDIENTES!$E$308,"")</f>
        <v/>
      </c>
      <c r="F314" s="301">
        <f>IF(_PENDIENTES!$B$308&lt;&gt;"",_PENDIENTES!$F$308,"")</f>
        <v/>
      </c>
      <c r="G314" s="245">
        <f>IF(_PENDIENTES!$B$308&lt;&gt;"",_PENDIENTES!$G$308,"")</f>
        <v/>
      </c>
      <c r="H314" s="245">
        <f>IF(_PENDIENTES!$B$308&lt;&gt;"",_PENDIENTES!$H$308,"")</f>
        <v/>
      </c>
      <c r="I314" s="302">
        <f>IF(_PENDIENTES!$B$308&lt;&gt;"",_PENDIENTES!$I$308,"")</f>
        <v/>
      </c>
      <c r="J314" s="301">
        <f>IF(_PENDIENTES!$B$308&lt;&gt;"",_PENDIENTES!$J$308,"")</f>
        <v/>
      </c>
      <c r="K314" s="301">
        <f>IF(_PENDIENTES!$B$308&lt;&gt;"","POR RECOGER","")</f>
        <v/>
      </c>
      <c r="L314" s="301">
        <f>IF(_PENDIENTES!$B$308&lt;&gt;"",_PENDIENTES!$K$308,"")</f>
        <v/>
      </c>
      <c r="M314" s="284">
        <f>IF(_PENDIENTES!$B$308&lt;&gt;"",_PENDIENTES!$B$308,"")</f>
        <v/>
      </c>
      <c r="N314" s="304">
        <f>IF(_PENDIENTES!$B$308&lt;&gt;"",_PENDIENTES!$L$308,"")</f>
        <v/>
      </c>
      <c r="O314" s="284" t="n"/>
      <c r="P314" s="284" t="n"/>
      <c r="Q314" s="284" t="n"/>
      <c r="R314" s="284" t="n"/>
      <c r="S314" s="284" t="n"/>
    </row>
    <row r="315" hidden="1" ht="15.75" customHeight="1" s="195">
      <c r="A315" s="241">
        <f>IF(_PENDIENTES!$B$309&lt;&gt;"",308,"")</f>
        <v/>
      </c>
      <c r="B315" s="236">
        <f>IF(_PENDIENTES!$B$309&lt;&gt;"",_PENDIENTES!$A$309,"")</f>
        <v/>
      </c>
      <c r="C315" s="305">
        <f>IF(_PENDIENTES!$B$309&lt;&gt;"",_PENDIENTES!$C$309,"")</f>
        <v/>
      </c>
      <c r="D315" s="241">
        <f>IF(_PENDIENTES!$B$309&lt;&gt;"",_PENDIENTES!$D$309,"")</f>
        <v/>
      </c>
      <c r="E315" s="307">
        <f>IF(_PENDIENTES!$B$309&lt;&gt;"",_PENDIENTES!$E$309,"")</f>
        <v/>
      </c>
      <c r="F315" s="241">
        <f>IF(_PENDIENTES!$B$309&lt;&gt;"",_PENDIENTES!$F$309,"")</f>
        <v/>
      </c>
      <c r="G315" s="239">
        <f>IF(_PENDIENTES!$B$309&lt;&gt;"",_PENDIENTES!$G$309,"")</f>
        <v/>
      </c>
      <c r="H315" s="239">
        <f>IF(_PENDIENTES!$B$309&lt;&gt;"",_PENDIENTES!$H$309,"")</f>
        <v/>
      </c>
      <c r="I315" s="305">
        <f>IF(_PENDIENTES!$B$309&lt;&gt;"",_PENDIENTES!$I$309,"")</f>
        <v/>
      </c>
      <c r="J315" s="241">
        <f>IF(_PENDIENTES!$B$309&lt;&gt;"",_PENDIENTES!$J$309,"")</f>
        <v/>
      </c>
      <c r="K315" s="241">
        <f>IF(_PENDIENTES!$B$309&lt;&gt;"","POR RECOGER","")</f>
        <v/>
      </c>
      <c r="L315" s="241">
        <f>IF(_PENDIENTES!$B$309&lt;&gt;"",_PENDIENTES!$K$309,"")</f>
        <v/>
      </c>
      <c r="M315" s="284">
        <f>IF(_PENDIENTES!$B$309&lt;&gt;"",_PENDIENTES!$B$309,"")</f>
        <v/>
      </c>
      <c r="N315" s="304">
        <f>IF(_PENDIENTES!$B$309&lt;&gt;"",_PENDIENTES!$L$309,"")</f>
        <v/>
      </c>
      <c r="O315" s="284" t="n"/>
      <c r="P315" s="284" t="n"/>
      <c r="Q315" s="284" t="n"/>
      <c r="R315" s="284" t="n"/>
      <c r="S315" s="284" t="n"/>
    </row>
    <row r="316" hidden="1" ht="15.75" customHeight="1" s="195">
      <c r="A316" s="301">
        <f>IF(_PENDIENTES!$B$310&lt;&gt;"",309,"")</f>
        <v/>
      </c>
      <c r="B316" s="242">
        <f>IF(_PENDIENTES!$B$310&lt;&gt;"",_PENDIENTES!$A$310,"")</f>
        <v/>
      </c>
      <c r="C316" s="302">
        <f>IF(_PENDIENTES!$B$310&lt;&gt;"",_PENDIENTES!$C$310,"")</f>
        <v/>
      </c>
      <c r="D316" s="301">
        <f>IF(_PENDIENTES!$B$310&lt;&gt;"",_PENDIENTES!$D$310,"")</f>
        <v/>
      </c>
      <c r="E316" s="306">
        <f>IF(_PENDIENTES!$B$310&lt;&gt;"",_PENDIENTES!$E$310,"")</f>
        <v/>
      </c>
      <c r="F316" s="301">
        <f>IF(_PENDIENTES!$B$310&lt;&gt;"",_PENDIENTES!$F$310,"")</f>
        <v/>
      </c>
      <c r="G316" s="245">
        <f>IF(_PENDIENTES!$B$310&lt;&gt;"",_PENDIENTES!$G$310,"")</f>
        <v/>
      </c>
      <c r="H316" s="245">
        <f>IF(_PENDIENTES!$B$310&lt;&gt;"",_PENDIENTES!$H$310,"")</f>
        <v/>
      </c>
      <c r="I316" s="302">
        <f>IF(_PENDIENTES!$B$310&lt;&gt;"",_PENDIENTES!$I$310,"")</f>
        <v/>
      </c>
      <c r="J316" s="301">
        <f>IF(_PENDIENTES!$B$310&lt;&gt;"",_PENDIENTES!$J$310,"")</f>
        <v/>
      </c>
      <c r="K316" s="301">
        <f>IF(_PENDIENTES!$B$310&lt;&gt;"","POR RECOGER","")</f>
        <v/>
      </c>
      <c r="L316" s="301">
        <f>IF(_PENDIENTES!$B$310&lt;&gt;"",_PENDIENTES!$K$310,"")</f>
        <v/>
      </c>
      <c r="M316" s="284">
        <f>IF(_PENDIENTES!$B$310&lt;&gt;"",_PENDIENTES!$B$310,"")</f>
        <v/>
      </c>
      <c r="N316" s="304">
        <f>IF(_PENDIENTES!$B$310&lt;&gt;"",_PENDIENTES!$L$310,"")</f>
        <v/>
      </c>
      <c r="O316" s="284" t="n"/>
      <c r="P316" s="284" t="n"/>
      <c r="Q316" s="284" t="n"/>
      <c r="R316" s="284" t="n"/>
      <c r="S316" s="284" t="n"/>
    </row>
    <row r="317" hidden="1" ht="15.75" customHeight="1" s="195">
      <c r="A317" s="241">
        <f>IF(_PENDIENTES!$B$311&lt;&gt;"",310,"")</f>
        <v/>
      </c>
      <c r="B317" s="236">
        <f>IF(_PENDIENTES!$B$311&lt;&gt;"",_PENDIENTES!$A$311,"")</f>
        <v/>
      </c>
      <c r="C317" s="305">
        <f>IF(_PENDIENTES!$B$311&lt;&gt;"",_PENDIENTES!$C$311,"")</f>
        <v/>
      </c>
      <c r="D317" s="241">
        <f>IF(_PENDIENTES!$B$311&lt;&gt;"",_PENDIENTES!$D$311,"")</f>
        <v/>
      </c>
      <c r="E317" s="307">
        <f>IF(_PENDIENTES!$B$311&lt;&gt;"",_PENDIENTES!$E$311,"")</f>
        <v/>
      </c>
      <c r="F317" s="241">
        <f>IF(_PENDIENTES!$B$311&lt;&gt;"",_PENDIENTES!$F$311,"")</f>
        <v/>
      </c>
      <c r="G317" s="239">
        <f>IF(_PENDIENTES!$B$311&lt;&gt;"",_PENDIENTES!$G$311,"")</f>
        <v/>
      </c>
      <c r="H317" s="239">
        <f>IF(_PENDIENTES!$B$311&lt;&gt;"",_PENDIENTES!$H$311,"")</f>
        <v/>
      </c>
      <c r="I317" s="305">
        <f>IF(_PENDIENTES!$B$311&lt;&gt;"",_PENDIENTES!$I$311,"")</f>
        <v/>
      </c>
      <c r="J317" s="241">
        <f>IF(_PENDIENTES!$B$311&lt;&gt;"",_PENDIENTES!$J$311,"")</f>
        <v/>
      </c>
      <c r="K317" s="241">
        <f>IF(_PENDIENTES!$B$311&lt;&gt;"","POR RECOGER","")</f>
        <v/>
      </c>
      <c r="L317" s="241">
        <f>IF(_PENDIENTES!$B$311&lt;&gt;"",_PENDIENTES!$K$311,"")</f>
        <v/>
      </c>
      <c r="M317" s="284">
        <f>IF(_PENDIENTES!$B$311&lt;&gt;"",_PENDIENTES!$B$311,"")</f>
        <v/>
      </c>
      <c r="N317" s="304">
        <f>IF(_PENDIENTES!$B$311&lt;&gt;"",_PENDIENTES!$L$311,"")</f>
        <v/>
      </c>
      <c r="O317" s="284" t="n"/>
      <c r="P317" s="284" t="n"/>
      <c r="Q317" s="284" t="n"/>
      <c r="R317" s="284" t="n"/>
      <c r="S317" s="284" t="n"/>
    </row>
    <row r="318" hidden="1" ht="15.75" customHeight="1" s="195">
      <c r="A318" s="301">
        <f>IF(_PENDIENTES!$B$312&lt;&gt;"",311,"")</f>
        <v/>
      </c>
      <c r="B318" s="242">
        <f>IF(_PENDIENTES!$B$312&lt;&gt;"",_PENDIENTES!$A$312,"")</f>
        <v/>
      </c>
      <c r="C318" s="302">
        <f>IF(_PENDIENTES!$B$312&lt;&gt;"",_PENDIENTES!$C$312,"")</f>
        <v/>
      </c>
      <c r="D318" s="301">
        <f>IF(_PENDIENTES!$B$312&lt;&gt;"",_PENDIENTES!$D$312,"")</f>
        <v/>
      </c>
      <c r="E318" s="306">
        <f>IF(_PENDIENTES!$B$312&lt;&gt;"",_PENDIENTES!$E$312,"")</f>
        <v/>
      </c>
      <c r="F318" s="301">
        <f>IF(_PENDIENTES!$B$312&lt;&gt;"",_PENDIENTES!$F$312,"")</f>
        <v/>
      </c>
      <c r="G318" s="245">
        <f>IF(_PENDIENTES!$B$312&lt;&gt;"",_PENDIENTES!$G$312,"")</f>
        <v/>
      </c>
      <c r="H318" s="245">
        <f>IF(_PENDIENTES!$B$312&lt;&gt;"",_PENDIENTES!$H$312,"")</f>
        <v/>
      </c>
      <c r="I318" s="302">
        <f>IF(_PENDIENTES!$B$312&lt;&gt;"",_PENDIENTES!$I$312,"")</f>
        <v/>
      </c>
      <c r="J318" s="301">
        <f>IF(_PENDIENTES!$B$312&lt;&gt;"",_PENDIENTES!$J$312,"")</f>
        <v/>
      </c>
      <c r="K318" s="301">
        <f>IF(_PENDIENTES!$B$312&lt;&gt;"","POR RECOGER","")</f>
        <v/>
      </c>
      <c r="L318" s="301">
        <f>IF(_PENDIENTES!$B$312&lt;&gt;"",_PENDIENTES!$K$312,"")</f>
        <v/>
      </c>
      <c r="M318" s="284">
        <f>IF(_PENDIENTES!$B$312&lt;&gt;"",_PENDIENTES!$B$312,"")</f>
        <v/>
      </c>
      <c r="N318" s="304">
        <f>IF(_PENDIENTES!$B$312&lt;&gt;"",_PENDIENTES!$L$312,"")</f>
        <v/>
      </c>
      <c r="O318" s="284" t="n"/>
      <c r="P318" s="284" t="n"/>
      <c r="Q318" s="284" t="n"/>
      <c r="R318" s="284" t="n"/>
      <c r="S318" s="284" t="n"/>
    </row>
    <row r="319" hidden="1" ht="15.75" customHeight="1" s="195">
      <c r="A319" s="241">
        <f>IF(_PENDIENTES!$B$313&lt;&gt;"",312,"")</f>
        <v/>
      </c>
      <c r="B319" s="236">
        <f>IF(_PENDIENTES!$B$313&lt;&gt;"",_PENDIENTES!$A$313,"")</f>
        <v/>
      </c>
      <c r="C319" s="305">
        <f>IF(_PENDIENTES!$B$313&lt;&gt;"",_PENDIENTES!$C$313,"")</f>
        <v/>
      </c>
      <c r="D319" s="241">
        <f>IF(_PENDIENTES!$B$313&lt;&gt;"",_PENDIENTES!$D$313,"")</f>
        <v/>
      </c>
      <c r="E319" s="307">
        <f>IF(_PENDIENTES!$B$313&lt;&gt;"",_PENDIENTES!$E$313,"")</f>
        <v/>
      </c>
      <c r="F319" s="241">
        <f>IF(_PENDIENTES!$B$313&lt;&gt;"",_PENDIENTES!$F$313,"")</f>
        <v/>
      </c>
      <c r="G319" s="239">
        <f>IF(_PENDIENTES!$B$313&lt;&gt;"",_PENDIENTES!$G$313,"")</f>
        <v/>
      </c>
      <c r="H319" s="239">
        <f>IF(_PENDIENTES!$B$313&lt;&gt;"",_PENDIENTES!$H$313,"")</f>
        <v/>
      </c>
      <c r="I319" s="305">
        <f>IF(_PENDIENTES!$B$313&lt;&gt;"",_PENDIENTES!$I$313,"")</f>
        <v/>
      </c>
      <c r="J319" s="241">
        <f>IF(_PENDIENTES!$B$313&lt;&gt;"",_PENDIENTES!$J$313,"")</f>
        <v/>
      </c>
      <c r="K319" s="241">
        <f>IF(_PENDIENTES!$B$313&lt;&gt;"","POR RECOGER","")</f>
        <v/>
      </c>
      <c r="L319" s="241">
        <f>IF(_PENDIENTES!$B$313&lt;&gt;"",_PENDIENTES!$K$313,"")</f>
        <v/>
      </c>
      <c r="M319" s="284">
        <f>IF(_PENDIENTES!$B$313&lt;&gt;"",_PENDIENTES!$B$313,"")</f>
        <v/>
      </c>
      <c r="N319" s="304">
        <f>IF(_PENDIENTES!$B$313&lt;&gt;"",_PENDIENTES!$L$313,"")</f>
        <v/>
      </c>
      <c r="O319" s="284" t="n"/>
      <c r="P319" s="284" t="n"/>
      <c r="Q319" s="284" t="n"/>
      <c r="R319" s="284" t="n"/>
      <c r="S319" s="284" t="n"/>
    </row>
    <row r="320" hidden="1" ht="15.75" customHeight="1" s="195">
      <c r="A320" s="301">
        <f>IF(_PENDIENTES!$B$314&lt;&gt;"",313,"")</f>
        <v/>
      </c>
      <c r="B320" s="242">
        <f>IF(_PENDIENTES!$B$314&lt;&gt;"",_PENDIENTES!$A$314,"")</f>
        <v/>
      </c>
      <c r="C320" s="302">
        <f>IF(_PENDIENTES!$B$314&lt;&gt;"",_PENDIENTES!$C$314,"")</f>
        <v/>
      </c>
      <c r="D320" s="301">
        <f>IF(_PENDIENTES!$B$314&lt;&gt;"",_PENDIENTES!$D$314,"")</f>
        <v/>
      </c>
      <c r="E320" s="306">
        <f>IF(_PENDIENTES!$B$314&lt;&gt;"",_PENDIENTES!$E$314,"")</f>
        <v/>
      </c>
      <c r="F320" s="301">
        <f>IF(_PENDIENTES!$B$314&lt;&gt;"",_PENDIENTES!$F$314,"")</f>
        <v/>
      </c>
      <c r="G320" s="245">
        <f>IF(_PENDIENTES!$B$314&lt;&gt;"",_PENDIENTES!$G$314,"")</f>
        <v/>
      </c>
      <c r="H320" s="245">
        <f>IF(_PENDIENTES!$B$314&lt;&gt;"",_PENDIENTES!$H$314,"")</f>
        <v/>
      </c>
      <c r="I320" s="302">
        <f>IF(_PENDIENTES!$B$314&lt;&gt;"",_PENDIENTES!$I$314,"")</f>
        <v/>
      </c>
      <c r="J320" s="301">
        <f>IF(_PENDIENTES!$B$314&lt;&gt;"",_PENDIENTES!$J$314,"")</f>
        <v/>
      </c>
      <c r="K320" s="301">
        <f>IF(_PENDIENTES!$B$314&lt;&gt;"","POR RECOGER","")</f>
        <v/>
      </c>
      <c r="L320" s="301">
        <f>IF(_PENDIENTES!$B$314&lt;&gt;"",_PENDIENTES!$K$314,"")</f>
        <v/>
      </c>
      <c r="M320" s="284">
        <f>IF(_PENDIENTES!$B$314&lt;&gt;"",_PENDIENTES!$B$314,"")</f>
        <v/>
      </c>
      <c r="N320" s="304">
        <f>IF(_PENDIENTES!$B$314&lt;&gt;"",_PENDIENTES!$L$314,"")</f>
        <v/>
      </c>
      <c r="O320" s="284" t="n"/>
      <c r="P320" s="284" t="n"/>
      <c r="Q320" s="284" t="n"/>
      <c r="R320" s="284" t="n"/>
      <c r="S320" s="284" t="n"/>
    </row>
    <row r="321" hidden="1" ht="15.75" customHeight="1" s="195">
      <c r="A321" s="241">
        <f>IF(_PENDIENTES!$B$315&lt;&gt;"",314,"")</f>
        <v/>
      </c>
      <c r="B321" s="236">
        <f>IF(_PENDIENTES!$B$315&lt;&gt;"",_PENDIENTES!$A$315,"")</f>
        <v/>
      </c>
      <c r="C321" s="305">
        <f>IF(_PENDIENTES!$B$315&lt;&gt;"",_PENDIENTES!$C$315,"")</f>
        <v/>
      </c>
      <c r="D321" s="241">
        <f>IF(_PENDIENTES!$B$315&lt;&gt;"",_PENDIENTES!$D$315,"")</f>
        <v/>
      </c>
      <c r="E321" s="307">
        <f>IF(_PENDIENTES!$B$315&lt;&gt;"",_PENDIENTES!$E$315,"")</f>
        <v/>
      </c>
      <c r="F321" s="241">
        <f>IF(_PENDIENTES!$B$315&lt;&gt;"",_PENDIENTES!$F$315,"")</f>
        <v/>
      </c>
      <c r="G321" s="239">
        <f>IF(_PENDIENTES!$B$315&lt;&gt;"",_PENDIENTES!$G$315,"")</f>
        <v/>
      </c>
      <c r="H321" s="239">
        <f>IF(_PENDIENTES!$B$315&lt;&gt;"",_PENDIENTES!$H$315,"")</f>
        <v/>
      </c>
      <c r="I321" s="305">
        <f>IF(_PENDIENTES!$B$315&lt;&gt;"",_PENDIENTES!$I$315,"")</f>
        <v/>
      </c>
      <c r="J321" s="241">
        <f>IF(_PENDIENTES!$B$315&lt;&gt;"",_PENDIENTES!$J$315,"")</f>
        <v/>
      </c>
      <c r="K321" s="241">
        <f>IF(_PENDIENTES!$B$315&lt;&gt;"","POR RECOGER","")</f>
        <v/>
      </c>
      <c r="L321" s="241">
        <f>IF(_PENDIENTES!$B$315&lt;&gt;"",_PENDIENTES!$K$315,"")</f>
        <v/>
      </c>
      <c r="M321" s="284">
        <f>IF(_PENDIENTES!$B$315&lt;&gt;"",_PENDIENTES!$B$315,"")</f>
        <v/>
      </c>
      <c r="N321" s="304">
        <f>IF(_PENDIENTES!$B$315&lt;&gt;"",_PENDIENTES!$L$315,"")</f>
        <v/>
      </c>
      <c r="O321" s="284" t="n"/>
      <c r="P321" s="284" t="n"/>
      <c r="Q321" s="284" t="n"/>
      <c r="R321" s="284" t="n"/>
      <c r="S321" s="284" t="n"/>
    </row>
    <row r="322" hidden="1" ht="15.75" customHeight="1" s="195">
      <c r="A322" s="301">
        <f>IF(_PENDIENTES!$B$316&lt;&gt;"",315,"")</f>
        <v/>
      </c>
      <c r="B322" s="242">
        <f>IF(_PENDIENTES!$B$316&lt;&gt;"",_PENDIENTES!$A$316,"")</f>
        <v/>
      </c>
      <c r="C322" s="302">
        <f>IF(_PENDIENTES!$B$316&lt;&gt;"",_PENDIENTES!$C$316,"")</f>
        <v/>
      </c>
      <c r="D322" s="301">
        <f>IF(_PENDIENTES!$B$316&lt;&gt;"",_PENDIENTES!$D$316,"")</f>
        <v/>
      </c>
      <c r="E322" s="306">
        <f>IF(_PENDIENTES!$B$316&lt;&gt;"",_PENDIENTES!$E$316,"")</f>
        <v/>
      </c>
      <c r="F322" s="301">
        <f>IF(_PENDIENTES!$B$316&lt;&gt;"",_PENDIENTES!$F$316,"")</f>
        <v/>
      </c>
      <c r="G322" s="245">
        <f>IF(_PENDIENTES!$B$316&lt;&gt;"",_PENDIENTES!$G$316,"")</f>
        <v/>
      </c>
      <c r="H322" s="245">
        <f>IF(_PENDIENTES!$B$316&lt;&gt;"",_PENDIENTES!$H$316,"")</f>
        <v/>
      </c>
      <c r="I322" s="302">
        <f>IF(_PENDIENTES!$B$316&lt;&gt;"",_PENDIENTES!$I$316,"")</f>
        <v/>
      </c>
      <c r="J322" s="301">
        <f>IF(_PENDIENTES!$B$316&lt;&gt;"",_PENDIENTES!$J$316,"")</f>
        <v/>
      </c>
      <c r="K322" s="301">
        <f>IF(_PENDIENTES!$B$316&lt;&gt;"","POR RECOGER","")</f>
        <v/>
      </c>
      <c r="L322" s="301">
        <f>IF(_PENDIENTES!$B$316&lt;&gt;"",_PENDIENTES!$K$316,"")</f>
        <v/>
      </c>
      <c r="M322" s="284">
        <f>IF(_PENDIENTES!$B$316&lt;&gt;"",_PENDIENTES!$B$316,"")</f>
        <v/>
      </c>
      <c r="N322" s="304">
        <f>IF(_PENDIENTES!$B$316&lt;&gt;"",_PENDIENTES!$L$316,"")</f>
        <v/>
      </c>
      <c r="O322" s="284" t="n"/>
      <c r="P322" s="284" t="n"/>
      <c r="Q322" s="284" t="n"/>
      <c r="R322" s="284" t="n"/>
      <c r="S322" s="284" t="n"/>
    </row>
    <row r="323" hidden="1" ht="15.75" customHeight="1" s="195">
      <c r="A323" s="241">
        <f>IF(_PENDIENTES!$B$317&lt;&gt;"",316,"")</f>
        <v/>
      </c>
      <c r="B323" s="236">
        <f>IF(_PENDIENTES!$B$317&lt;&gt;"",_PENDIENTES!$A$317,"")</f>
        <v/>
      </c>
      <c r="C323" s="305">
        <f>IF(_PENDIENTES!$B$317&lt;&gt;"",_PENDIENTES!$C$317,"")</f>
        <v/>
      </c>
      <c r="D323" s="241">
        <f>IF(_PENDIENTES!$B$317&lt;&gt;"",_PENDIENTES!$D$317,"")</f>
        <v/>
      </c>
      <c r="E323" s="307">
        <f>IF(_PENDIENTES!$B$317&lt;&gt;"",_PENDIENTES!$E$317,"")</f>
        <v/>
      </c>
      <c r="F323" s="241">
        <f>IF(_PENDIENTES!$B$317&lt;&gt;"",_PENDIENTES!$F$317,"")</f>
        <v/>
      </c>
      <c r="G323" s="239">
        <f>IF(_PENDIENTES!$B$317&lt;&gt;"",_PENDIENTES!$G$317,"")</f>
        <v/>
      </c>
      <c r="H323" s="239">
        <f>IF(_PENDIENTES!$B$317&lt;&gt;"",_PENDIENTES!$H$317,"")</f>
        <v/>
      </c>
      <c r="I323" s="305">
        <f>IF(_PENDIENTES!$B$317&lt;&gt;"",_PENDIENTES!$I$317,"")</f>
        <v/>
      </c>
      <c r="J323" s="241">
        <f>IF(_PENDIENTES!$B$317&lt;&gt;"",_PENDIENTES!$J$317,"")</f>
        <v/>
      </c>
      <c r="K323" s="241">
        <f>IF(_PENDIENTES!$B$317&lt;&gt;"","POR RECOGER","")</f>
        <v/>
      </c>
      <c r="L323" s="241">
        <f>IF(_PENDIENTES!$B$317&lt;&gt;"",_PENDIENTES!$K$317,"")</f>
        <v/>
      </c>
      <c r="M323" s="284">
        <f>IF(_PENDIENTES!$B$317&lt;&gt;"",_PENDIENTES!$B$317,"")</f>
        <v/>
      </c>
      <c r="N323" s="304">
        <f>IF(_PENDIENTES!$B$317&lt;&gt;"",_PENDIENTES!$L$317,"")</f>
        <v/>
      </c>
      <c r="O323" s="284" t="n"/>
      <c r="P323" s="284" t="n"/>
      <c r="Q323" s="284" t="n"/>
      <c r="R323" s="284" t="n"/>
      <c r="S323" s="284" t="n"/>
    </row>
    <row r="324" hidden="1" ht="15.75" customHeight="1" s="195">
      <c r="A324" s="301">
        <f>IF(_PENDIENTES!$B$318&lt;&gt;"",317,"")</f>
        <v/>
      </c>
      <c r="B324" s="242">
        <f>IF(_PENDIENTES!$B$318&lt;&gt;"",_PENDIENTES!$A$318,"")</f>
        <v/>
      </c>
      <c r="C324" s="302">
        <f>IF(_PENDIENTES!$B$318&lt;&gt;"",_PENDIENTES!$C$318,"")</f>
        <v/>
      </c>
      <c r="D324" s="301">
        <f>IF(_PENDIENTES!$B$318&lt;&gt;"",_PENDIENTES!$D$318,"")</f>
        <v/>
      </c>
      <c r="E324" s="306">
        <f>IF(_PENDIENTES!$B$318&lt;&gt;"",_PENDIENTES!$E$318,"")</f>
        <v/>
      </c>
      <c r="F324" s="301">
        <f>IF(_PENDIENTES!$B$318&lt;&gt;"",_PENDIENTES!$F$318,"")</f>
        <v/>
      </c>
      <c r="G324" s="245">
        <f>IF(_PENDIENTES!$B$318&lt;&gt;"",_PENDIENTES!$G$318,"")</f>
        <v/>
      </c>
      <c r="H324" s="245">
        <f>IF(_PENDIENTES!$B$318&lt;&gt;"",_PENDIENTES!$H$318,"")</f>
        <v/>
      </c>
      <c r="I324" s="302">
        <f>IF(_PENDIENTES!$B$318&lt;&gt;"",_PENDIENTES!$I$318,"")</f>
        <v/>
      </c>
      <c r="J324" s="301">
        <f>IF(_PENDIENTES!$B$318&lt;&gt;"",_PENDIENTES!$J$318,"")</f>
        <v/>
      </c>
      <c r="K324" s="301">
        <f>IF(_PENDIENTES!$B$318&lt;&gt;"","POR RECOGER","")</f>
        <v/>
      </c>
      <c r="L324" s="301">
        <f>IF(_PENDIENTES!$B$318&lt;&gt;"",_PENDIENTES!$K$318,"")</f>
        <v/>
      </c>
      <c r="M324" s="284">
        <f>IF(_PENDIENTES!$B$318&lt;&gt;"",_PENDIENTES!$B$318,"")</f>
        <v/>
      </c>
      <c r="N324" s="304">
        <f>IF(_PENDIENTES!$B$318&lt;&gt;"",_PENDIENTES!$L$318,"")</f>
        <v/>
      </c>
      <c r="O324" s="284" t="n"/>
      <c r="P324" s="284" t="n"/>
      <c r="Q324" s="284" t="n"/>
      <c r="R324" s="284" t="n"/>
      <c r="S324" s="284" t="n"/>
    </row>
    <row r="325" hidden="1" ht="15.75" customHeight="1" s="195">
      <c r="A325" s="241">
        <f>IF(_PENDIENTES!$B$319&lt;&gt;"",318,"")</f>
        <v/>
      </c>
      <c r="B325" s="236">
        <f>IF(_PENDIENTES!$B$319&lt;&gt;"",_PENDIENTES!$A$319,"")</f>
        <v/>
      </c>
      <c r="C325" s="305">
        <f>IF(_PENDIENTES!$B$319&lt;&gt;"",_PENDIENTES!$C$319,"")</f>
        <v/>
      </c>
      <c r="D325" s="241">
        <f>IF(_PENDIENTES!$B$319&lt;&gt;"",_PENDIENTES!$D$319,"")</f>
        <v/>
      </c>
      <c r="E325" s="307">
        <f>IF(_PENDIENTES!$B$319&lt;&gt;"",_PENDIENTES!$E$319,"")</f>
        <v/>
      </c>
      <c r="F325" s="241">
        <f>IF(_PENDIENTES!$B$319&lt;&gt;"",_PENDIENTES!$F$319,"")</f>
        <v/>
      </c>
      <c r="G325" s="239">
        <f>IF(_PENDIENTES!$B$319&lt;&gt;"",_PENDIENTES!$G$319,"")</f>
        <v/>
      </c>
      <c r="H325" s="239">
        <f>IF(_PENDIENTES!$B$319&lt;&gt;"",_PENDIENTES!$H$319,"")</f>
        <v/>
      </c>
      <c r="I325" s="305">
        <f>IF(_PENDIENTES!$B$319&lt;&gt;"",_PENDIENTES!$I$319,"")</f>
        <v/>
      </c>
      <c r="J325" s="241">
        <f>IF(_PENDIENTES!$B$319&lt;&gt;"",_PENDIENTES!$J$319,"")</f>
        <v/>
      </c>
      <c r="K325" s="241">
        <f>IF(_PENDIENTES!$B$319&lt;&gt;"","POR RECOGER","")</f>
        <v/>
      </c>
      <c r="L325" s="241">
        <f>IF(_PENDIENTES!$B$319&lt;&gt;"",_PENDIENTES!$K$319,"")</f>
        <v/>
      </c>
      <c r="M325" s="284">
        <f>IF(_PENDIENTES!$B$319&lt;&gt;"",_PENDIENTES!$B$319,"")</f>
        <v/>
      </c>
      <c r="N325" s="304">
        <f>IF(_PENDIENTES!$B$319&lt;&gt;"",_PENDIENTES!$L$319,"")</f>
        <v/>
      </c>
      <c r="O325" s="284" t="n"/>
      <c r="P325" s="284" t="n"/>
      <c r="Q325" s="284" t="n"/>
      <c r="R325" s="284" t="n"/>
      <c r="S325" s="284" t="n"/>
    </row>
    <row r="326" hidden="1" ht="15.75" customHeight="1" s="195">
      <c r="A326" s="301">
        <f>IF(_PENDIENTES!$B$320&lt;&gt;"",319,"")</f>
        <v/>
      </c>
      <c r="B326" s="242">
        <f>IF(_PENDIENTES!$B$320&lt;&gt;"",_PENDIENTES!$A$320,"")</f>
        <v/>
      </c>
      <c r="C326" s="302">
        <f>IF(_PENDIENTES!$B$320&lt;&gt;"",_PENDIENTES!$C$320,"")</f>
        <v/>
      </c>
      <c r="D326" s="301">
        <f>IF(_PENDIENTES!$B$320&lt;&gt;"",_PENDIENTES!$D$320,"")</f>
        <v/>
      </c>
      <c r="E326" s="306">
        <f>IF(_PENDIENTES!$B$320&lt;&gt;"",_PENDIENTES!$E$320,"")</f>
        <v/>
      </c>
      <c r="F326" s="301">
        <f>IF(_PENDIENTES!$B$320&lt;&gt;"",_PENDIENTES!$F$320,"")</f>
        <v/>
      </c>
      <c r="G326" s="245">
        <f>IF(_PENDIENTES!$B$320&lt;&gt;"",_PENDIENTES!$G$320,"")</f>
        <v/>
      </c>
      <c r="H326" s="245">
        <f>IF(_PENDIENTES!$B$320&lt;&gt;"",_PENDIENTES!$H$320,"")</f>
        <v/>
      </c>
      <c r="I326" s="302">
        <f>IF(_PENDIENTES!$B$320&lt;&gt;"",_PENDIENTES!$I$320,"")</f>
        <v/>
      </c>
      <c r="J326" s="301">
        <f>IF(_PENDIENTES!$B$320&lt;&gt;"",_PENDIENTES!$J$320,"")</f>
        <v/>
      </c>
      <c r="K326" s="301">
        <f>IF(_PENDIENTES!$B$320&lt;&gt;"","POR RECOGER","")</f>
        <v/>
      </c>
      <c r="L326" s="301">
        <f>IF(_PENDIENTES!$B$320&lt;&gt;"",_PENDIENTES!$K$320,"")</f>
        <v/>
      </c>
      <c r="M326" s="284">
        <f>IF(_PENDIENTES!$B$320&lt;&gt;"",_PENDIENTES!$B$320,"")</f>
        <v/>
      </c>
      <c r="N326" s="304">
        <f>IF(_PENDIENTES!$B$320&lt;&gt;"",_PENDIENTES!$L$320,"")</f>
        <v/>
      </c>
      <c r="O326" s="284" t="n"/>
      <c r="P326" s="284" t="n"/>
      <c r="Q326" s="284" t="n"/>
      <c r="R326" s="284" t="n"/>
      <c r="S326" s="284" t="n"/>
    </row>
    <row r="327" hidden="1" ht="15.75" customHeight="1" s="195">
      <c r="A327" s="241">
        <f>IF(_PENDIENTES!$B$321&lt;&gt;"",320,"")</f>
        <v/>
      </c>
      <c r="B327" s="236">
        <f>IF(_PENDIENTES!$B$321&lt;&gt;"",_PENDIENTES!$A$321,"")</f>
        <v/>
      </c>
      <c r="C327" s="305">
        <f>IF(_PENDIENTES!$B$321&lt;&gt;"",_PENDIENTES!$C$321,"")</f>
        <v/>
      </c>
      <c r="D327" s="241">
        <f>IF(_PENDIENTES!$B$321&lt;&gt;"",_PENDIENTES!$D$321,"")</f>
        <v/>
      </c>
      <c r="E327" s="307">
        <f>IF(_PENDIENTES!$B$321&lt;&gt;"",_PENDIENTES!$E$321,"")</f>
        <v/>
      </c>
      <c r="F327" s="241">
        <f>IF(_PENDIENTES!$B$321&lt;&gt;"",_PENDIENTES!$F$321,"")</f>
        <v/>
      </c>
      <c r="G327" s="239">
        <f>IF(_PENDIENTES!$B$321&lt;&gt;"",_PENDIENTES!$G$321,"")</f>
        <v/>
      </c>
      <c r="H327" s="239">
        <f>IF(_PENDIENTES!$B$321&lt;&gt;"",_PENDIENTES!$H$321,"")</f>
        <v/>
      </c>
      <c r="I327" s="305">
        <f>IF(_PENDIENTES!$B$321&lt;&gt;"",_PENDIENTES!$I$321,"")</f>
        <v/>
      </c>
      <c r="J327" s="241">
        <f>IF(_PENDIENTES!$B$321&lt;&gt;"",_PENDIENTES!$J$321,"")</f>
        <v/>
      </c>
      <c r="K327" s="241">
        <f>IF(_PENDIENTES!$B$321&lt;&gt;"","POR RECOGER","")</f>
        <v/>
      </c>
      <c r="L327" s="241">
        <f>IF(_PENDIENTES!$B$321&lt;&gt;"",_PENDIENTES!$K$321,"")</f>
        <v/>
      </c>
      <c r="M327" s="284">
        <f>IF(_PENDIENTES!$B$321&lt;&gt;"",_PENDIENTES!$B$321,"")</f>
        <v/>
      </c>
      <c r="N327" s="304">
        <f>IF(_PENDIENTES!$B$321&lt;&gt;"",_PENDIENTES!$L$321,"")</f>
        <v/>
      </c>
      <c r="O327" s="284" t="n"/>
      <c r="P327" s="284" t="n"/>
      <c r="Q327" s="284" t="n"/>
      <c r="R327" s="284" t="n"/>
      <c r="S327" s="284" t="n"/>
    </row>
    <row r="328" hidden="1" ht="15.75" customHeight="1" s="195">
      <c r="A328" s="301">
        <f>IF(_PENDIENTES!$B$322&lt;&gt;"",321,"")</f>
        <v/>
      </c>
      <c r="B328" s="242">
        <f>IF(_PENDIENTES!$B$322&lt;&gt;"",_PENDIENTES!$A$322,"")</f>
        <v/>
      </c>
      <c r="C328" s="302">
        <f>IF(_PENDIENTES!$B$322&lt;&gt;"",_PENDIENTES!$C$322,"")</f>
        <v/>
      </c>
      <c r="D328" s="301">
        <f>IF(_PENDIENTES!$B$322&lt;&gt;"",_PENDIENTES!$D$322,"")</f>
        <v/>
      </c>
      <c r="E328" s="306">
        <f>IF(_PENDIENTES!$B$322&lt;&gt;"",_PENDIENTES!$E$322,"")</f>
        <v/>
      </c>
      <c r="F328" s="301">
        <f>IF(_PENDIENTES!$B$322&lt;&gt;"",_PENDIENTES!$F$322,"")</f>
        <v/>
      </c>
      <c r="G328" s="245">
        <f>IF(_PENDIENTES!$B$322&lt;&gt;"",_PENDIENTES!$G$322,"")</f>
        <v/>
      </c>
      <c r="H328" s="245">
        <f>IF(_PENDIENTES!$B$322&lt;&gt;"",_PENDIENTES!$H$322,"")</f>
        <v/>
      </c>
      <c r="I328" s="302">
        <f>IF(_PENDIENTES!$B$322&lt;&gt;"",_PENDIENTES!$I$322,"")</f>
        <v/>
      </c>
      <c r="J328" s="301">
        <f>IF(_PENDIENTES!$B$322&lt;&gt;"",_PENDIENTES!$J$322,"")</f>
        <v/>
      </c>
      <c r="K328" s="301">
        <f>IF(_PENDIENTES!$B$322&lt;&gt;"","POR RECOGER","")</f>
        <v/>
      </c>
      <c r="L328" s="301">
        <f>IF(_PENDIENTES!$B$322&lt;&gt;"",_PENDIENTES!$K$322,"")</f>
        <v/>
      </c>
      <c r="M328" s="284">
        <f>IF(_PENDIENTES!$B$322&lt;&gt;"",_PENDIENTES!$B$322,"")</f>
        <v/>
      </c>
      <c r="N328" s="304">
        <f>IF(_PENDIENTES!$B$322&lt;&gt;"",_PENDIENTES!$L$322,"")</f>
        <v/>
      </c>
      <c r="O328" s="284" t="n"/>
      <c r="P328" s="284" t="n"/>
      <c r="Q328" s="284" t="n"/>
      <c r="R328" s="284" t="n"/>
      <c r="S328" s="284" t="n"/>
    </row>
    <row r="329" hidden="1" ht="15.75" customHeight="1" s="195">
      <c r="A329" s="241">
        <f>IF(_PENDIENTES!$B$323&lt;&gt;"",322,"")</f>
        <v/>
      </c>
      <c r="B329" s="236">
        <f>IF(_PENDIENTES!$B$323&lt;&gt;"",_PENDIENTES!$A$323,"")</f>
        <v/>
      </c>
      <c r="C329" s="305">
        <f>IF(_PENDIENTES!$B$323&lt;&gt;"",_PENDIENTES!$C$323,"")</f>
        <v/>
      </c>
      <c r="D329" s="241">
        <f>IF(_PENDIENTES!$B$323&lt;&gt;"",_PENDIENTES!$D$323,"")</f>
        <v/>
      </c>
      <c r="E329" s="307">
        <f>IF(_PENDIENTES!$B$323&lt;&gt;"",_PENDIENTES!$E$323,"")</f>
        <v/>
      </c>
      <c r="F329" s="241">
        <f>IF(_PENDIENTES!$B$323&lt;&gt;"",_PENDIENTES!$F$323,"")</f>
        <v/>
      </c>
      <c r="G329" s="239">
        <f>IF(_PENDIENTES!$B$323&lt;&gt;"",_PENDIENTES!$G$323,"")</f>
        <v/>
      </c>
      <c r="H329" s="239">
        <f>IF(_PENDIENTES!$B$323&lt;&gt;"",_PENDIENTES!$H$323,"")</f>
        <v/>
      </c>
      <c r="I329" s="305">
        <f>IF(_PENDIENTES!$B$323&lt;&gt;"",_PENDIENTES!$I$323,"")</f>
        <v/>
      </c>
      <c r="J329" s="241">
        <f>IF(_PENDIENTES!$B$323&lt;&gt;"",_PENDIENTES!$J$323,"")</f>
        <v/>
      </c>
      <c r="K329" s="241">
        <f>IF(_PENDIENTES!$B$323&lt;&gt;"","POR RECOGER","")</f>
        <v/>
      </c>
      <c r="L329" s="241">
        <f>IF(_PENDIENTES!$B$323&lt;&gt;"",_PENDIENTES!$K$323,"")</f>
        <v/>
      </c>
      <c r="M329" s="284">
        <f>IF(_PENDIENTES!$B$323&lt;&gt;"",_PENDIENTES!$B$323,"")</f>
        <v/>
      </c>
      <c r="N329" s="304">
        <f>IF(_PENDIENTES!$B$323&lt;&gt;"",_PENDIENTES!$L$323,"")</f>
        <v/>
      </c>
      <c r="O329" s="284" t="n"/>
      <c r="P329" s="284" t="n"/>
      <c r="Q329" s="284" t="n"/>
      <c r="R329" s="284" t="n"/>
      <c r="S329" s="284" t="n"/>
    </row>
    <row r="330" hidden="1" ht="15.75" customHeight="1" s="195">
      <c r="A330" s="301">
        <f>IF(_PENDIENTES!$B$324&lt;&gt;"",323,"")</f>
        <v/>
      </c>
      <c r="B330" s="242">
        <f>IF(_PENDIENTES!$B$324&lt;&gt;"",_PENDIENTES!$A$324,"")</f>
        <v/>
      </c>
      <c r="C330" s="302">
        <f>IF(_PENDIENTES!$B$324&lt;&gt;"",_PENDIENTES!$C$324,"")</f>
        <v/>
      </c>
      <c r="D330" s="301">
        <f>IF(_PENDIENTES!$B$324&lt;&gt;"",_PENDIENTES!$D$324,"")</f>
        <v/>
      </c>
      <c r="E330" s="306">
        <f>IF(_PENDIENTES!$B$324&lt;&gt;"",_PENDIENTES!$E$324,"")</f>
        <v/>
      </c>
      <c r="F330" s="301">
        <f>IF(_PENDIENTES!$B$324&lt;&gt;"",_PENDIENTES!$F$324,"")</f>
        <v/>
      </c>
      <c r="G330" s="245">
        <f>IF(_PENDIENTES!$B$324&lt;&gt;"",_PENDIENTES!$G$324,"")</f>
        <v/>
      </c>
      <c r="H330" s="245">
        <f>IF(_PENDIENTES!$B$324&lt;&gt;"",_PENDIENTES!$H$324,"")</f>
        <v/>
      </c>
      <c r="I330" s="302">
        <f>IF(_PENDIENTES!$B$324&lt;&gt;"",_PENDIENTES!$I$324,"")</f>
        <v/>
      </c>
      <c r="J330" s="301">
        <f>IF(_PENDIENTES!$B$324&lt;&gt;"",_PENDIENTES!$J$324,"")</f>
        <v/>
      </c>
      <c r="K330" s="301">
        <f>IF(_PENDIENTES!$B$324&lt;&gt;"","POR RECOGER","")</f>
        <v/>
      </c>
      <c r="L330" s="301">
        <f>IF(_PENDIENTES!$B$324&lt;&gt;"",_PENDIENTES!$K$324,"")</f>
        <v/>
      </c>
      <c r="M330" s="284">
        <f>IF(_PENDIENTES!$B$324&lt;&gt;"",_PENDIENTES!$B$324,"")</f>
        <v/>
      </c>
      <c r="N330" s="304">
        <f>IF(_PENDIENTES!$B$324&lt;&gt;"",_PENDIENTES!$L$324,"")</f>
        <v/>
      </c>
      <c r="O330" s="284" t="n"/>
      <c r="P330" s="284" t="n"/>
      <c r="Q330" s="284" t="n"/>
      <c r="R330" s="284" t="n"/>
      <c r="S330" s="284" t="n"/>
    </row>
    <row r="331" hidden="1" ht="15.75" customHeight="1" s="195">
      <c r="A331" s="241">
        <f>IF(_PENDIENTES!$B$325&lt;&gt;"",324,"")</f>
        <v/>
      </c>
      <c r="B331" s="236">
        <f>IF(_PENDIENTES!$B$325&lt;&gt;"",_PENDIENTES!$A$325,"")</f>
        <v/>
      </c>
      <c r="C331" s="305">
        <f>IF(_PENDIENTES!$B$325&lt;&gt;"",_PENDIENTES!$C$325,"")</f>
        <v/>
      </c>
      <c r="D331" s="241">
        <f>IF(_PENDIENTES!$B$325&lt;&gt;"",_PENDIENTES!$D$325,"")</f>
        <v/>
      </c>
      <c r="E331" s="307">
        <f>IF(_PENDIENTES!$B$325&lt;&gt;"",_PENDIENTES!$E$325,"")</f>
        <v/>
      </c>
      <c r="F331" s="241">
        <f>IF(_PENDIENTES!$B$325&lt;&gt;"",_PENDIENTES!$F$325,"")</f>
        <v/>
      </c>
      <c r="G331" s="239">
        <f>IF(_PENDIENTES!$B$325&lt;&gt;"",_PENDIENTES!$G$325,"")</f>
        <v/>
      </c>
      <c r="H331" s="239">
        <f>IF(_PENDIENTES!$B$325&lt;&gt;"",_PENDIENTES!$H$325,"")</f>
        <v/>
      </c>
      <c r="I331" s="305">
        <f>IF(_PENDIENTES!$B$325&lt;&gt;"",_PENDIENTES!$I$325,"")</f>
        <v/>
      </c>
      <c r="J331" s="241">
        <f>IF(_PENDIENTES!$B$325&lt;&gt;"",_PENDIENTES!$J$325,"")</f>
        <v/>
      </c>
      <c r="K331" s="241">
        <f>IF(_PENDIENTES!$B$325&lt;&gt;"","POR RECOGER","")</f>
        <v/>
      </c>
      <c r="L331" s="241">
        <f>IF(_PENDIENTES!$B$325&lt;&gt;"",_PENDIENTES!$K$325,"")</f>
        <v/>
      </c>
      <c r="M331" s="284">
        <f>IF(_PENDIENTES!$B$325&lt;&gt;"",_PENDIENTES!$B$325,"")</f>
        <v/>
      </c>
      <c r="N331" s="304">
        <f>IF(_PENDIENTES!$B$325&lt;&gt;"",_PENDIENTES!$L$325,"")</f>
        <v/>
      </c>
      <c r="O331" s="284" t="n"/>
      <c r="P331" s="284" t="n"/>
      <c r="Q331" s="284" t="n"/>
      <c r="R331" s="284" t="n"/>
      <c r="S331" s="284" t="n"/>
    </row>
    <row r="332" hidden="1" ht="15.75" customHeight="1" s="195">
      <c r="A332" s="301">
        <f>IF(_PENDIENTES!$B$326&lt;&gt;"",325,"")</f>
        <v/>
      </c>
      <c r="B332" s="242">
        <f>IF(_PENDIENTES!$B$326&lt;&gt;"",_PENDIENTES!$A$326,"")</f>
        <v/>
      </c>
      <c r="C332" s="302">
        <f>IF(_PENDIENTES!$B$326&lt;&gt;"",_PENDIENTES!$C$326,"")</f>
        <v/>
      </c>
      <c r="D332" s="301">
        <f>IF(_PENDIENTES!$B$326&lt;&gt;"",_PENDIENTES!$D$326,"")</f>
        <v/>
      </c>
      <c r="E332" s="306">
        <f>IF(_PENDIENTES!$B$326&lt;&gt;"",_PENDIENTES!$E$326,"")</f>
        <v/>
      </c>
      <c r="F332" s="301">
        <f>IF(_PENDIENTES!$B$326&lt;&gt;"",_PENDIENTES!$F$326,"")</f>
        <v/>
      </c>
      <c r="G332" s="245">
        <f>IF(_PENDIENTES!$B$326&lt;&gt;"",_PENDIENTES!$G$326,"")</f>
        <v/>
      </c>
      <c r="H332" s="245">
        <f>IF(_PENDIENTES!$B$326&lt;&gt;"",_PENDIENTES!$H$326,"")</f>
        <v/>
      </c>
      <c r="I332" s="302">
        <f>IF(_PENDIENTES!$B$326&lt;&gt;"",_PENDIENTES!$I$326,"")</f>
        <v/>
      </c>
      <c r="J332" s="301">
        <f>IF(_PENDIENTES!$B$326&lt;&gt;"",_PENDIENTES!$J$326,"")</f>
        <v/>
      </c>
      <c r="K332" s="301">
        <f>IF(_PENDIENTES!$B$326&lt;&gt;"","POR RECOGER","")</f>
        <v/>
      </c>
      <c r="L332" s="301">
        <f>IF(_PENDIENTES!$B$326&lt;&gt;"",_PENDIENTES!$K$326,"")</f>
        <v/>
      </c>
      <c r="M332" s="284">
        <f>IF(_PENDIENTES!$B$326&lt;&gt;"",_PENDIENTES!$B$326,"")</f>
        <v/>
      </c>
      <c r="N332" s="304">
        <f>IF(_PENDIENTES!$B$326&lt;&gt;"",_PENDIENTES!$L$326,"")</f>
        <v/>
      </c>
      <c r="O332" s="284" t="n"/>
      <c r="P332" s="284" t="n"/>
      <c r="Q332" s="284" t="n"/>
      <c r="R332" s="284" t="n"/>
      <c r="S332" s="284" t="n"/>
    </row>
    <row r="333" hidden="1" ht="15.75" customHeight="1" s="195">
      <c r="A333" s="241">
        <f>IF(_PENDIENTES!$B$327&lt;&gt;"",326,"")</f>
        <v/>
      </c>
      <c r="B333" s="236">
        <f>IF(_PENDIENTES!$B$327&lt;&gt;"",_PENDIENTES!$A$327,"")</f>
        <v/>
      </c>
      <c r="C333" s="305">
        <f>IF(_PENDIENTES!$B$327&lt;&gt;"",_PENDIENTES!$C$327,"")</f>
        <v/>
      </c>
      <c r="D333" s="241">
        <f>IF(_PENDIENTES!$B$327&lt;&gt;"",_PENDIENTES!$D$327,"")</f>
        <v/>
      </c>
      <c r="E333" s="307">
        <f>IF(_PENDIENTES!$B$327&lt;&gt;"",_PENDIENTES!$E$327,"")</f>
        <v/>
      </c>
      <c r="F333" s="241">
        <f>IF(_PENDIENTES!$B$327&lt;&gt;"",_PENDIENTES!$F$327,"")</f>
        <v/>
      </c>
      <c r="G333" s="239">
        <f>IF(_PENDIENTES!$B$327&lt;&gt;"",_PENDIENTES!$G$327,"")</f>
        <v/>
      </c>
      <c r="H333" s="239">
        <f>IF(_PENDIENTES!$B$327&lt;&gt;"",_PENDIENTES!$H$327,"")</f>
        <v/>
      </c>
      <c r="I333" s="305">
        <f>IF(_PENDIENTES!$B$327&lt;&gt;"",_PENDIENTES!$I$327,"")</f>
        <v/>
      </c>
      <c r="J333" s="241">
        <f>IF(_PENDIENTES!$B$327&lt;&gt;"",_PENDIENTES!$J$327,"")</f>
        <v/>
      </c>
      <c r="K333" s="241">
        <f>IF(_PENDIENTES!$B$327&lt;&gt;"","POR RECOGER","")</f>
        <v/>
      </c>
      <c r="L333" s="241">
        <f>IF(_PENDIENTES!$B$327&lt;&gt;"",_PENDIENTES!$K$327,"")</f>
        <v/>
      </c>
      <c r="M333" s="284">
        <f>IF(_PENDIENTES!$B$327&lt;&gt;"",_PENDIENTES!$B$327,"")</f>
        <v/>
      </c>
      <c r="N333" s="304">
        <f>IF(_PENDIENTES!$B$327&lt;&gt;"",_PENDIENTES!$L$327,"")</f>
        <v/>
      </c>
      <c r="O333" s="284" t="n"/>
      <c r="P333" s="284" t="n"/>
      <c r="Q333" s="284" t="n"/>
      <c r="R333" s="284" t="n"/>
      <c r="S333" s="284" t="n"/>
    </row>
    <row r="334" hidden="1" ht="15.75" customHeight="1" s="195">
      <c r="A334" s="301">
        <f>IF(_PENDIENTES!$B$328&lt;&gt;"",327,"")</f>
        <v/>
      </c>
      <c r="B334" s="242">
        <f>IF(_PENDIENTES!$B$328&lt;&gt;"",_PENDIENTES!$A$328,"")</f>
        <v/>
      </c>
      <c r="C334" s="302">
        <f>IF(_PENDIENTES!$B$328&lt;&gt;"",_PENDIENTES!$C$328,"")</f>
        <v/>
      </c>
      <c r="D334" s="301">
        <f>IF(_PENDIENTES!$B$328&lt;&gt;"",_PENDIENTES!$D$328,"")</f>
        <v/>
      </c>
      <c r="E334" s="306">
        <f>IF(_PENDIENTES!$B$328&lt;&gt;"",_PENDIENTES!$E$328,"")</f>
        <v/>
      </c>
      <c r="F334" s="301">
        <f>IF(_PENDIENTES!$B$328&lt;&gt;"",_PENDIENTES!$F$328,"")</f>
        <v/>
      </c>
      <c r="G334" s="245">
        <f>IF(_PENDIENTES!$B$328&lt;&gt;"",_PENDIENTES!$G$328,"")</f>
        <v/>
      </c>
      <c r="H334" s="245">
        <f>IF(_PENDIENTES!$B$328&lt;&gt;"",_PENDIENTES!$H$328,"")</f>
        <v/>
      </c>
      <c r="I334" s="302">
        <f>IF(_PENDIENTES!$B$328&lt;&gt;"",_PENDIENTES!$I$328,"")</f>
        <v/>
      </c>
      <c r="J334" s="301">
        <f>IF(_PENDIENTES!$B$328&lt;&gt;"",_PENDIENTES!$J$328,"")</f>
        <v/>
      </c>
      <c r="K334" s="301">
        <f>IF(_PENDIENTES!$B$328&lt;&gt;"","POR RECOGER","")</f>
        <v/>
      </c>
      <c r="L334" s="301">
        <f>IF(_PENDIENTES!$B$328&lt;&gt;"",_PENDIENTES!$K$328,"")</f>
        <v/>
      </c>
      <c r="M334" s="284">
        <f>IF(_PENDIENTES!$B$328&lt;&gt;"",_PENDIENTES!$B$328,"")</f>
        <v/>
      </c>
      <c r="N334" s="304">
        <f>IF(_PENDIENTES!$B$328&lt;&gt;"",_PENDIENTES!$L$328,"")</f>
        <v/>
      </c>
      <c r="O334" s="284" t="n"/>
      <c r="P334" s="284" t="n"/>
      <c r="Q334" s="284" t="n"/>
      <c r="R334" s="284" t="n"/>
      <c r="S334" s="284" t="n"/>
    </row>
    <row r="335" hidden="1" ht="15.75" customHeight="1" s="195">
      <c r="A335" s="241">
        <f>IF(_PENDIENTES!$B$329&lt;&gt;"",328,"")</f>
        <v/>
      </c>
      <c r="B335" s="236">
        <f>IF(_PENDIENTES!$B$329&lt;&gt;"",_PENDIENTES!$A$329,"")</f>
        <v/>
      </c>
      <c r="C335" s="305">
        <f>IF(_PENDIENTES!$B$329&lt;&gt;"",_PENDIENTES!$C$329,"")</f>
        <v/>
      </c>
      <c r="D335" s="241">
        <f>IF(_PENDIENTES!$B$329&lt;&gt;"",_PENDIENTES!$D$329,"")</f>
        <v/>
      </c>
      <c r="E335" s="307">
        <f>IF(_PENDIENTES!$B$329&lt;&gt;"",_PENDIENTES!$E$329,"")</f>
        <v/>
      </c>
      <c r="F335" s="241">
        <f>IF(_PENDIENTES!$B$329&lt;&gt;"",_PENDIENTES!$F$329,"")</f>
        <v/>
      </c>
      <c r="G335" s="239">
        <f>IF(_PENDIENTES!$B$329&lt;&gt;"",_PENDIENTES!$G$329,"")</f>
        <v/>
      </c>
      <c r="H335" s="239">
        <f>IF(_PENDIENTES!$B$329&lt;&gt;"",_PENDIENTES!$H$329,"")</f>
        <v/>
      </c>
      <c r="I335" s="305">
        <f>IF(_PENDIENTES!$B$329&lt;&gt;"",_PENDIENTES!$I$329,"")</f>
        <v/>
      </c>
      <c r="J335" s="241">
        <f>IF(_PENDIENTES!$B$329&lt;&gt;"",_PENDIENTES!$J$329,"")</f>
        <v/>
      </c>
      <c r="K335" s="241">
        <f>IF(_PENDIENTES!$B$329&lt;&gt;"","POR RECOGER","")</f>
        <v/>
      </c>
      <c r="L335" s="241">
        <f>IF(_PENDIENTES!$B$329&lt;&gt;"",_PENDIENTES!$K$329,"")</f>
        <v/>
      </c>
      <c r="M335" s="284">
        <f>IF(_PENDIENTES!$B$329&lt;&gt;"",_PENDIENTES!$B$329,"")</f>
        <v/>
      </c>
      <c r="N335" s="304">
        <f>IF(_PENDIENTES!$B$329&lt;&gt;"",_PENDIENTES!$L$329,"")</f>
        <v/>
      </c>
      <c r="O335" s="284" t="n"/>
      <c r="P335" s="284" t="n"/>
      <c r="Q335" s="284" t="n"/>
      <c r="R335" s="284" t="n"/>
      <c r="S335" s="284" t="n"/>
    </row>
    <row r="336" hidden="1" ht="15.75" customHeight="1" s="195">
      <c r="A336" s="301">
        <f>IF(_PENDIENTES!$B$330&lt;&gt;"",329,"")</f>
        <v/>
      </c>
      <c r="B336" s="242">
        <f>IF(_PENDIENTES!$B$330&lt;&gt;"",_PENDIENTES!$A$330,"")</f>
        <v/>
      </c>
      <c r="C336" s="302">
        <f>IF(_PENDIENTES!$B$330&lt;&gt;"",_PENDIENTES!$C$330,"")</f>
        <v/>
      </c>
      <c r="D336" s="301">
        <f>IF(_PENDIENTES!$B$330&lt;&gt;"",_PENDIENTES!$D$330,"")</f>
        <v/>
      </c>
      <c r="E336" s="306">
        <f>IF(_PENDIENTES!$B$330&lt;&gt;"",_PENDIENTES!$E$330,"")</f>
        <v/>
      </c>
      <c r="F336" s="301">
        <f>IF(_PENDIENTES!$B$330&lt;&gt;"",_PENDIENTES!$F$330,"")</f>
        <v/>
      </c>
      <c r="G336" s="245">
        <f>IF(_PENDIENTES!$B$330&lt;&gt;"",_PENDIENTES!$G$330,"")</f>
        <v/>
      </c>
      <c r="H336" s="245">
        <f>IF(_PENDIENTES!$B$330&lt;&gt;"",_PENDIENTES!$H$330,"")</f>
        <v/>
      </c>
      <c r="I336" s="302">
        <f>IF(_PENDIENTES!$B$330&lt;&gt;"",_PENDIENTES!$I$330,"")</f>
        <v/>
      </c>
      <c r="J336" s="301">
        <f>IF(_PENDIENTES!$B$330&lt;&gt;"",_PENDIENTES!$J$330,"")</f>
        <v/>
      </c>
      <c r="K336" s="301">
        <f>IF(_PENDIENTES!$B$330&lt;&gt;"","POR RECOGER","")</f>
        <v/>
      </c>
      <c r="L336" s="301">
        <f>IF(_PENDIENTES!$B$330&lt;&gt;"",_PENDIENTES!$K$330,"")</f>
        <v/>
      </c>
      <c r="M336" s="284">
        <f>IF(_PENDIENTES!$B$330&lt;&gt;"",_PENDIENTES!$B$330,"")</f>
        <v/>
      </c>
      <c r="N336" s="304">
        <f>IF(_PENDIENTES!$B$330&lt;&gt;"",_PENDIENTES!$L$330,"")</f>
        <v/>
      </c>
      <c r="O336" s="284" t="n"/>
      <c r="P336" s="284" t="n"/>
      <c r="Q336" s="284" t="n"/>
      <c r="R336" s="284" t="n"/>
      <c r="S336" s="284" t="n"/>
    </row>
    <row r="337" hidden="1" ht="15.75" customHeight="1" s="195">
      <c r="A337" s="241">
        <f>IF(_PENDIENTES!$B$331&lt;&gt;"",330,"")</f>
        <v/>
      </c>
      <c r="B337" s="236">
        <f>IF(_PENDIENTES!$B$331&lt;&gt;"",_PENDIENTES!$A$331,"")</f>
        <v/>
      </c>
      <c r="C337" s="305">
        <f>IF(_PENDIENTES!$B$331&lt;&gt;"",_PENDIENTES!$C$331,"")</f>
        <v/>
      </c>
      <c r="D337" s="241">
        <f>IF(_PENDIENTES!$B$331&lt;&gt;"",_PENDIENTES!$D$331,"")</f>
        <v/>
      </c>
      <c r="E337" s="307">
        <f>IF(_PENDIENTES!$B$331&lt;&gt;"",_PENDIENTES!$E$331,"")</f>
        <v/>
      </c>
      <c r="F337" s="241">
        <f>IF(_PENDIENTES!$B$331&lt;&gt;"",_PENDIENTES!$F$331,"")</f>
        <v/>
      </c>
      <c r="G337" s="239">
        <f>IF(_PENDIENTES!$B$331&lt;&gt;"",_PENDIENTES!$G$331,"")</f>
        <v/>
      </c>
      <c r="H337" s="239">
        <f>IF(_PENDIENTES!$B$331&lt;&gt;"",_PENDIENTES!$H$331,"")</f>
        <v/>
      </c>
      <c r="I337" s="305">
        <f>IF(_PENDIENTES!$B$331&lt;&gt;"",_PENDIENTES!$I$331,"")</f>
        <v/>
      </c>
      <c r="J337" s="241">
        <f>IF(_PENDIENTES!$B$331&lt;&gt;"",_PENDIENTES!$J$331,"")</f>
        <v/>
      </c>
      <c r="K337" s="241">
        <f>IF(_PENDIENTES!$B$331&lt;&gt;"","POR RECOGER","")</f>
        <v/>
      </c>
      <c r="L337" s="241">
        <f>IF(_PENDIENTES!$B$331&lt;&gt;"",_PENDIENTES!$K$331,"")</f>
        <v/>
      </c>
      <c r="M337" s="284">
        <f>IF(_PENDIENTES!$B$331&lt;&gt;"",_PENDIENTES!$B$331,"")</f>
        <v/>
      </c>
      <c r="N337" s="304">
        <f>IF(_PENDIENTES!$B$331&lt;&gt;"",_PENDIENTES!$L$331,"")</f>
        <v/>
      </c>
      <c r="O337" s="284" t="n"/>
      <c r="P337" s="284" t="n"/>
      <c r="Q337" s="284" t="n"/>
      <c r="R337" s="284" t="n"/>
      <c r="S337" s="284" t="n"/>
    </row>
    <row r="338" hidden="1" ht="15.75" customHeight="1" s="195">
      <c r="A338" s="301">
        <f>IF(_PENDIENTES!$B$332&lt;&gt;"",331,"")</f>
        <v/>
      </c>
      <c r="B338" s="242">
        <f>IF(_PENDIENTES!$B$332&lt;&gt;"",_PENDIENTES!$A$332,"")</f>
        <v/>
      </c>
      <c r="C338" s="302">
        <f>IF(_PENDIENTES!$B$332&lt;&gt;"",_PENDIENTES!$C$332,"")</f>
        <v/>
      </c>
      <c r="D338" s="301">
        <f>IF(_PENDIENTES!$B$332&lt;&gt;"",_PENDIENTES!$D$332,"")</f>
        <v/>
      </c>
      <c r="E338" s="306">
        <f>IF(_PENDIENTES!$B$332&lt;&gt;"",_PENDIENTES!$E$332,"")</f>
        <v/>
      </c>
      <c r="F338" s="301">
        <f>IF(_PENDIENTES!$B$332&lt;&gt;"",_PENDIENTES!$F$332,"")</f>
        <v/>
      </c>
      <c r="G338" s="245">
        <f>IF(_PENDIENTES!$B$332&lt;&gt;"",_PENDIENTES!$G$332,"")</f>
        <v/>
      </c>
      <c r="H338" s="245">
        <f>IF(_PENDIENTES!$B$332&lt;&gt;"",_PENDIENTES!$H$332,"")</f>
        <v/>
      </c>
      <c r="I338" s="302">
        <f>IF(_PENDIENTES!$B$332&lt;&gt;"",_PENDIENTES!$I$332,"")</f>
        <v/>
      </c>
      <c r="J338" s="301">
        <f>IF(_PENDIENTES!$B$332&lt;&gt;"",_PENDIENTES!$J$332,"")</f>
        <v/>
      </c>
      <c r="K338" s="301">
        <f>IF(_PENDIENTES!$B$332&lt;&gt;"","POR RECOGER","")</f>
        <v/>
      </c>
      <c r="L338" s="301">
        <f>IF(_PENDIENTES!$B$332&lt;&gt;"",_PENDIENTES!$K$332,"")</f>
        <v/>
      </c>
      <c r="M338" s="284">
        <f>IF(_PENDIENTES!$B$332&lt;&gt;"",_PENDIENTES!$B$332,"")</f>
        <v/>
      </c>
      <c r="N338" s="304">
        <f>IF(_PENDIENTES!$B$332&lt;&gt;"",_PENDIENTES!$L$332,"")</f>
        <v/>
      </c>
      <c r="O338" s="284" t="n"/>
      <c r="P338" s="284" t="n"/>
      <c r="Q338" s="284" t="n"/>
      <c r="R338" s="284" t="n"/>
      <c r="S338" s="284" t="n"/>
    </row>
    <row r="339" hidden="1" ht="15.75" customHeight="1" s="195">
      <c r="A339" s="241">
        <f>IF(_PENDIENTES!$B$333&lt;&gt;"",332,"")</f>
        <v/>
      </c>
      <c r="B339" s="236">
        <f>IF(_PENDIENTES!$B$333&lt;&gt;"",_PENDIENTES!$A$333,"")</f>
        <v/>
      </c>
      <c r="C339" s="305">
        <f>IF(_PENDIENTES!$B$333&lt;&gt;"",_PENDIENTES!$C$333,"")</f>
        <v/>
      </c>
      <c r="D339" s="241">
        <f>IF(_PENDIENTES!$B$333&lt;&gt;"",_PENDIENTES!$D$333,"")</f>
        <v/>
      </c>
      <c r="E339" s="307">
        <f>IF(_PENDIENTES!$B$333&lt;&gt;"",_PENDIENTES!$E$333,"")</f>
        <v/>
      </c>
      <c r="F339" s="241">
        <f>IF(_PENDIENTES!$B$333&lt;&gt;"",_PENDIENTES!$F$333,"")</f>
        <v/>
      </c>
      <c r="G339" s="239">
        <f>IF(_PENDIENTES!$B$333&lt;&gt;"",_PENDIENTES!$G$333,"")</f>
        <v/>
      </c>
      <c r="H339" s="239">
        <f>IF(_PENDIENTES!$B$333&lt;&gt;"",_PENDIENTES!$H$333,"")</f>
        <v/>
      </c>
      <c r="I339" s="305">
        <f>IF(_PENDIENTES!$B$333&lt;&gt;"",_PENDIENTES!$I$333,"")</f>
        <v/>
      </c>
      <c r="J339" s="241">
        <f>IF(_PENDIENTES!$B$333&lt;&gt;"",_PENDIENTES!$J$333,"")</f>
        <v/>
      </c>
      <c r="K339" s="241">
        <f>IF(_PENDIENTES!$B$333&lt;&gt;"","POR RECOGER","")</f>
        <v/>
      </c>
      <c r="L339" s="241">
        <f>IF(_PENDIENTES!$B$333&lt;&gt;"",_PENDIENTES!$K$333,"")</f>
        <v/>
      </c>
      <c r="M339" s="284">
        <f>IF(_PENDIENTES!$B$333&lt;&gt;"",_PENDIENTES!$B$333,"")</f>
        <v/>
      </c>
      <c r="N339" s="304">
        <f>IF(_PENDIENTES!$B$333&lt;&gt;"",_PENDIENTES!$L$333,"")</f>
        <v/>
      </c>
      <c r="O339" s="284" t="n"/>
      <c r="P339" s="284" t="n"/>
      <c r="Q339" s="284" t="n"/>
      <c r="R339" s="284" t="n"/>
      <c r="S339" s="284" t="n"/>
    </row>
    <row r="340" hidden="1" ht="15.75" customHeight="1" s="195">
      <c r="A340" s="301">
        <f>IF(_PENDIENTES!$B$334&lt;&gt;"",333,"")</f>
        <v/>
      </c>
      <c r="B340" s="242">
        <f>IF(_PENDIENTES!$B$334&lt;&gt;"",_PENDIENTES!$A$334,"")</f>
        <v/>
      </c>
      <c r="C340" s="302">
        <f>IF(_PENDIENTES!$B$334&lt;&gt;"",_PENDIENTES!$C$334,"")</f>
        <v/>
      </c>
      <c r="D340" s="301">
        <f>IF(_PENDIENTES!$B$334&lt;&gt;"",_PENDIENTES!$D$334,"")</f>
        <v/>
      </c>
      <c r="E340" s="306">
        <f>IF(_PENDIENTES!$B$334&lt;&gt;"",_PENDIENTES!$E$334,"")</f>
        <v/>
      </c>
      <c r="F340" s="301">
        <f>IF(_PENDIENTES!$B$334&lt;&gt;"",_PENDIENTES!$F$334,"")</f>
        <v/>
      </c>
      <c r="G340" s="245">
        <f>IF(_PENDIENTES!$B$334&lt;&gt;"",_PENDIENTES!$G$334,"")</f>
        <v/>
      </c>
      <c r="H340" s="245">
        <f>IF(_PENDIENTES!$B$334&lt;&gt;"",_PENDIENTES!$H$334,"")</f>
        <v/>
      </c>
      <c r="I340" s="302">
        <f>IF(_PENDIENTES!$B$334&lt;&gt;"",_PENDIENTES!$I$334,"")</f>
        <v/>
      </c>
      <c r="J340" s="301">
        <f>IF(_PENDIENTES!$B$334&lt;&gt;"",_PENDIENTES!$J$334,"")</f>
        <v/>
      </c>
      <c r="K340" s="301">
        <f>IF(_PENDIENTES!$B$334&lt;&gt;"","POR RECOGER","")</f>
        <v/>
      </c>
      <c r="L340" s="301">
        <f>IF(_PENDIENTES!$B$334&lt;&gt;"",_PENDIENTES!$K$334,"")</f>
        <v/>
      </c>
      <c r="M340" s="284">
        <f>IF(_PENDIENTES!$B$334&lt;&gt;"",_PENDIENTES!$B$334,"")</f>
        <v/>
      </c>
      <c r="N340" s="304">
        <f>IF(_PENDIENTES!$B$334&lt;&gt;"",_PENDIENTES!$L$334,"")</f>
        <v/>
      </c>
      <c r="O340" s="284" t="n"/>
      <c r="P340" s="284" t="n"/>
      <c r="Q340" s="284" t="n"/>
      <c r="R340" s="284" t="n"/>
      <c r="S340" s="284" t="n"/>
    </row>
    <row r="341" hidden="1" ht="15.75" customHeight="1" s="195">
      <c r="A341" s="241">
        <f>IF(_PENDIENTES!$B$335&lt;&gt;"",334,"")</f>
        <v/>
      </c>
      <c r="B341" s="236">
        <f>IF(_PENDIENTES!$B$335&lt;&gt;"",_PENDIENTES!$A$335,"")</f>
        <v/>
      </c>
      <c r="C341" s="305">
        <f>IF(_PENDIENTES!$B$335&lt;&gt;"",_PENDIENTES!$C$335,"")</f>
        <v/>
      </c>
      <c r="D341" s="241">
        <f>IF(_PENDIENTES!$B$335&lt;&gt;"",_PENDIENTES!$D$335,"")</f>
        <v/>
      </c>
      <c r="E341" s="307">
        <f>IF(_PENDIENTES!$B$335&lt;&gt;"",_PENDIENTES!$E$335,"")</f>
        <v/>
      </c>
      <c r="F341" s="241">
        <f>IF(_PENDIENTES!$B$335&lt;&gt;"",_PENDIENTES!$F$335,"")</f>
        <v/>
      </c>
      <c r="G341" s="239">
        <f>IF(_PENDIENTES!$B$335&lt;&gt;"",_PENDIENTES!$G$335,"")</f>
        <v/>
      </c>
      <c r="H341" s="239">
        <f>IF(_PENDIENTES!$B$335&lt;&gt;"",_PENDIENTES!$H$335,"")</f>
        <v/>
      </c>
      <c r="I341" s="305">
        <f>IF(_PENDIENTES!$B$335&lt;&gt;"",_PENDIENTES!$I$335,"")</f>
        <v/>
      </c>
      <c r="J341" s="241">
        <f>IF(_PENDIENTES!$B$335&lt;&gt;"",_PENDIENTES!$J$335,"")</f>
        <v/>
      </c>
      <c r="K341" s="241">
        <f>IF(_PENDIENTES!$B$335&lt;&gt;"","POR RECOGER","")</f>
        <v/>
      </c>
      <c r="L341" s="241">
        <f>IF(_PENDIENTES!$B$335&lt;&gt;"",_PENDIENTES!$K$335,"")</f>
        <v/>
      </c>
      <c r="M341" s="284">
        <f>IF(_PENDIENTES!$B$335&lt;&gt;"",_PENDIENTES!$B$335,"")</f>
        <v/>
      </c>
      <c r="N341" s="304">
        <f>IF(_PENDIENTES!$B$335&lt;&gt;"",_PENDIENTES!$L$335,"")</f>
        <v/>
      </c>
      <c r="O341" s="284" t="n"/>
      <c r="P341" s="284" t="n"/>
      <c r="Q341" s="284" t="n"/>
      <c r="R341" s="284" t="n"/>
      <c r="S341" s="284" t="n"/>
    </row>
    <row r="342" hidden="1" ht="15.75" customHeight="1" s="195">
      <c r="A342" s="301">
        <f>IF(_PENDIENTES!$B$336&lt;&gt;"",335,"")</f>
        <v/>
      </c>
      <c r="B342" s="242">
        <f>IF(_PENDIENTES!$B$336&lt;&gt;"",_PENDIENTES!$A$336,"")</f>
        <v/>
      </c>
      <c r="C342" s="302">
        <f>IF(_PENDIENTES!$B$336&lt;&gt;"",_PENDIENTES!$C$336,"")</f>
        <v/>
      </c>
      <c r="D342" s="301">
        <f>IF(_PENDIENTES!$B$336&lt;&gt;"",_PENDIENTES!$D$336,"")</f>
        <v/>
      </c>
      <c r="E342" s="306">
        <f>IF(_PENDIENTES!$B$336&lt;&gt;"",_PENDIENTES!$E$336,"")</f>
        <v/>
      </c>
      <c r="F342" s="301">
        <f>IF(_PENDIENTES!$B$336&lt;&gt;"",_PENDIENTES!$F$336,"")</f>
        <v/>
      </c>
      <c r="G342" s="245">
        <f>IF(_PENDIENTES!$B$336&lt;&gt;"",_PENDIENTES!$G$336,"")</f>
        <v/>
      </c>
      <c r="H342" s="245">
        <f>IF(_PENDIENTES!$B$336&lt;&gt;"",_PENDIENTES!$H$336,"")</f>
        <v/>
      </c>
      <c r="I342" s="302">
        <f>IF(_PENDIENTES!$B$336&lt;&gt;"",_PENDIENTES!$I$336,"")</f>
        <v/>
      </c>
      <c r="J342" s="301">
        <f>IF(_PENDIENTES!$B$336&lt;&gt;"",_PENDIENTES!$J$336,"")</f>
        <v/>
      </c>
      <c r="K342" s="301">
        <f>IF(_PENDIENTES!$B$336&lt;&gt;"","POR RECOGER","")</f>
        <v/>
      </c>
      <c r="L342" s="301">
        <f>IF(_PENDIENTES!$B$336&lt;&gt;"",_PENDIENTES!$K$336,"")</f>
        <v/>
      </c>
      <c r="M342" s="284">
        <f>IF(_PENDIENTES!$B$336&lt;&gt;"",_PENDIENTES!$B$336,"")</f>
        <v/>
      </c>
      <c r="N342" s="304">
        <f>IF(_PENDIENTES!$B$336&lt;&gt;"",_PENDIENTES!$L$336,"")</f>
        <v/>
      </c>
      <c r="O342" s="284" t="n"/>
      <c r="P342" s="284" t="n"/>
      <c r="Q342" s="284" t="n"/>
      <c r="R342" s="284" t="n"/>
      <c r="S342" s="284" t="n"/>
    </row>
    <row r="343" hidden="1" ht="15.75" customHeight="1" s="195">
      <c r="A343" s="241">
        <f>IF(_PENDIENTES!$B$337&lt;&gt;"",336,"")</f>
        <v/>
      </c>
      <c r="B343" s="236">
        <f>IF(_PENDIENTES!$B$337&lt;&gt;"",_PENDIENTES!$A$337,"")</f>
        <v/>
      </c>
      <c r="C343" s="305">
        <f>IF(_PENDIENTES!$B$337&lt;&gt;"",_PENDIENTES!$C$337,"")</f>
        <v/>
      </c>
      <c r="D343" s="241">
        <f>IF(_PENDIENTES!$B$337&lt;&gt;"",_PENDIENTES!$D$337,"")</f>
        <v/>
      </c>
      <c r="E343" s="307">
        <f>IF(_PENDIENTES!$B$337&lt;&gt;"",_PENDIENTES!$E$337,"")</f>
        <v/>
      </c>
      <c r="F343" s="241">
        <f>IF(_PENDIENTES!$B$337&lt;&gt;"",_PENDIENTES!$F$337,"")</f>
        <v/>
      </c>
      <c r="G343" s="239">
        <f>IF(_PENDIENTES!$B$337&lt;&gt;"",_PENDIENTES!$G$337,"")</f>
        <v/>
      </c>
      <c r="H343" s="239">
        <f>IF(_PENDIENTES!$B$337&lt;&gt;"",_PENDIENTES!$H$337,"")</f>
        <v/>
      </c>
      <c r="I343" s="305">
        <f>IF(_PENDIENTES!$B$337&lt;&gt;"",_PENDIENTES!$I$337,"")</f>
        <v/>
      </c>
      <c r="J343" s="241">
        <f>IF(_PENDIENTES!$B$337&lt;&gt;"",_PENDIENTES!$J$337,"")</f>
        <v/>
      </c>
      <c r="K343" s="241">
        <f>IF(_PENDIENTES!$B$337&lt;&gt;"","POR RECOGER","")</f>
        <v/>
      </c>
      <c r="L343" s="241">
        <f>IF(_PENDIENTES!$B$337&lt;&gt;"",_PENDIENTES!$K$337,"")</f>
        <v/>
      </c>
      <c r="M343" s="284">
        <f>IF(_PENDIENTES!$B$337&lt;&gt;"",_PENDIENTES!$B$337,"")</f>
        <v/>
      </c>
      <c r="N343" s="304">
        <f>IF(_PENDIENTES!$B$337&lt;&gt;"",_PENDIENTES!$L$337,"")</f>
        <v/>
      </c>
      <c r="O343" s="284" t="n"/>
      <c r="P343" s="284" t="n"/>
      <c r="Q343" s="284" t="n"/>
      <c r="R343" s="284" t="n"/>
      <c r="S343" s="284" t="n"/>
    </row>
    <row r="344" hidden="1" ht="15.75" customHeight="1" s="195">
      <c r="A344" s="301">
        <f>IF(_PENDIENTES!$B$338&lt;&gt;"",337,"")</f>
        <v/>
      </c>
      <c r="B344" s="242">
        <f>IF(_PENDIENTES!$B$338&lt;&gt;"",_PENDIENTES!$A$338,"")</f>
        <v/>
      </c>
      <c r="C344" s="302">
        <f>IF(_PENDIENTES!$B$338&lt;&gt;"",_PENDIENTES!$C$338,"")</f>
        <v/>
      </c>
      <c r="D344" s="301">
        <f>IF(_PENDIENTES!$B$338&lt;&gt;"",_PENDIENTES!$D$338,"")</f>
        <v/>
      </c>
      <c r="E344" s="306">
        <f>IF(_PENDIENTES!$B$338&lt;&gt;"",_PENDIENTES!$E$338,"")</f>
        <v/>
      </c>
      <c r="F344" s="301">
        <f>IF(_PENDIENTES!$B$338&lt;&gt;"",_PENDIENTES!$F$338,"")</f>
        <v/>
      </c>
      <c r="G344" s="245">
        <f>IF(_PENDIENTES!$B$338&lt;&gt;"",_PENDIENTES!$G$338,"")</f>
        <v/>
      </c>
      <c r="H344" s="245">
        <f>IF(_PENDIENTES!$B$338&lt;&gt;"",_PENDIENTES!$H$338,"")</f>
        <v/>
      </c>
      <c r="I344" s="302">
        <f>IF(_PENDIENTES!$B$338&lt;&gt;"",_PENDIENTES!$I$338,"")</f>
        <v/>
      </c>
      <c r="J344" s="301">
        <f>IF(_PENDIENTES!$B$338&lt;&gt;"",_PENDIENTES!$J$338,"")</f>
        <v/>
      </c>
      <c r="K344" s="301">
        <f>IF(_PENDIENTES!$B$338&lt;&gt;"","POR RECOGER","")</f>
        <v/>
      </c>
      <c r="L344" s="301">
        <f>IF(_PENDIENTES!$B$338&lt;&gt;"",_PENDIENTES!$K$338,"")</f>
        <v/>
      </c>
      <c r="M344" s="284">
        <f>IF(_PENDIENTES!$B$338&lt;&gt;"",_PENDIENTES!$B$338,"")</f>
        <v/>
      </c>
      <c r="N344" s="304">
        <f>IF(_PENDIENTES!$B$338&lt;&gt;"",_PENDIENTES!$L$338,"")</f>
        <v/>
      </c>
      <c r="O344" s="284" t="n"/>
      <c r="P344" s="284" t="n"/>
      <c r="Q344" s="284" t="n"/>
      <c r="R344" s="284" t="n"/>
      <c r="S344" s="284" t="n"/>
    </row>
    <row r="345" hidden="1" ht="15.75" customHeight="1" s="195">
      <c r="A345" s="241">
        <f>IF(_PENDIENTES!$B$339&lt;&gt;"",338,"")</f>
        <v/>
      </c>
      <c r="B345" s="236">
        <f>IF(_PENDIENTES!$B$339&lt;&gt;"",_PENDIENTES!$A$339,"")</f>
        <v/>
      </c>
      <c r="C345" s="305">
        <f>IF(_PENDIENTES!$B$339&lt;&gt;"",_PENDIENTES!$C$339,"")</f>
        <v/>
      </c>
      <c r="D345" s="241">
        <f>IF(_PENDIENTES!$B$339&lt;&gt;"",_PENDIENTES!$D$339,"")</f>
        <v/>
      </c>
      <c r="E345" s="307">
        <f>IF(_PENDIENTES!$B$339&lt;&gt;"",_PENDIENTES!$E$339,"")</f>
        <v/>
      </c>
      <c r="F345" s="241">
        <f>IF(_PENDIENTES!$B$339&lt;&gt;"",_PENDIENTES!$F$339,"")</f>
        <v/>
      </c>
      <c r="G345" s="239">
        <f>IF(_PENDIENTES!$B$339&lt;&gt;"",_PENDIENTES!$G$339,"")</f>
        <v/>
      </c>
      <c r="H345" s="239">
        <f>IF(_PENDIENTES!$B$339&lt;&gt;"",_PENDIENTES!$H$339,"")</f>
        <v/>
      </c>
      <c r="I345" s="305">
        <f>IF(_PENDIENTES!$B$339&lt;&gt;"",_PENDIENTES!$I$339,"")</f>
        <v/>
      </c>
      <c r="J345" s="241">
        <f>IF(_PENDIENTES!$B$339&lt;&gt;"",_PENDIENTES!$J$339,"")</f>
        <v/>
      </c>
      <c r="K345" s="241">
        <f>IF(_PENDIENTES!$B$339&lt;&gt;"","POR RECOGER","")</f>
        <v/>
      </c>
      <c r="L345" s="241">
        <f>IF(_PENDIENTES!$B$339&lt;&gt;"",_PENDIENTES!$K$339,"")</f>
        <v/>
      </c>
      <c r="M345" s="284">
        <f>IF(_PENDIENTES!$B$339&lt;&gt;"",_PENDIENTES!$B$339,"")</f>
        <v/>
      </c>
      <c r="N345" s="304">
        <f>IF(_PENDIENTES!$B$339&lt;&gt;"",_PENDIENTES!$L$339,"")</f>
        <v/>
      </c>
      <c r="O345" s="284" t="n"/>
      <c r="P345" s="284" t="n"/>
      <c r="Q345" s="284" t="n"/>
      <c r="R345" s="284" t="n"/>
      <c r="S345" s="284" t="n"/>
    </row>
    <row r="346" hidden="1" ht="15.75" customHeight="1" s="195">
      <c r="A346" s="301">
        <f>IF(_PENDIENTES!$B$340&lt;&gt;"",339,"")</f>
        <v/>
      </c>
      <c r="B346" s="242">
        <f>IF(_PENDIENTES!$B$340&lt;&gt;"",_PENDIENTES!$A$340,"")</f>
        <v/>
      </c>
      <c r="C346" s="302">
        <f>IF(_PENDIENTES!$B$340&lt;&gt;"",_PENDIENTES!$C$340,"")</f>
        <v/>
      </c>
      <c r="D346" s="301">
        <f>IF(_PENDIENTES!$B$340&lt;&gt;"",_PENDIENTES!$D$340,"")</f>
        <v/>
      </c>
      <c r="E346" s="306">
        <f>IF(_PENDIENTES!$B$340&lt;&gt;"",_PENDIENTES!$E$340,"")</f>
        <v/>
      </c>
      <c r="F346" s="301">
        <f>IF(_PENDIENTES!$B$340&lt;&gt;"",_PENDIENTES!$F$340,"")</f>
        <v/>
      </c>
      <c r="G346" s="245">
        <f>IF(_PENDIENTES!$B$340&lt;&gt;"",_PENDIENTES!$G$340,"")</f>
        <v/>
      </c>
      <c r="H346" s="245">
        <f>IF(_PENDIENTES!$B$340&lt;&gt;"",_PENDIENTES!$H$340,"")</f>
        <v/>
      </c>
      <c r="I346" s="302">
        <f>IF(_PENDIENTES!$B$340&lt;&gt;"",_PENDIENTES!$I$340,"")</f>
        <v/>
      </c>
      <c r="J346" s="301">
        <f>IF(_PENDIENTES!$B$340&lt;&gt;"",_PENDIENTES!$J$340,"")</f>
        <v/>
      </c>
      <c r="K346" s="301">
        <f>IF(_PENDIENTES!$B$340&lt;&gt;"","POR RECOGER","")</f>
        <v/>
      </c>
      <c r="L346" s="301">
        <f>IF(_PENDIENTES!$B$340&lt;&gt;"",_PENDIENTES!$K$340,"")</f>
        <v/>
      </c>
      <c r="M346" s="284">
        <f>IF(_PENDIENTES!$B$340&lt;&gt;"",_PENDIENTES!$B$340,"")</f>
        <v/>
      </c>
      <c r="N346" s="304">
        <f>IF(_PENDIENTES!$B$340&lt;&gt;"",_PENDIENTES!$L$340,"")</f>
        <v/>
      </c>
      <c r="O346" s="284" t="n"/>
      <c r="P346" s="284" t="n"/>
      <c r="Q346" s="284" t="n"/>
      <c r="R346" s="284" t="n"/>
      <c r="S346" s="284" t="n"/>
    </row>
    <row r="347" hidden="1" ht="15.75" customHeight="1" s="195">
      <c r="A347" s="241">
        <f>IF(_PENDIENTES!$B$341&lt;&gt;"",340,"")</f>
        <v/>
      </c>
      <c r="B347" s="236">
        <f>IF(_PENDIENTES!$B$341&lt;&gt;"",_PENDIENTES!$A$341,"")</f>
        <v/>
      </c>
      <c r="C347" s="305">
        <f>IF(_PENDIENTES!$B$341&lt;&gt;"",_PENDIENTES!$C$341,"")</f>
        <v/>
      </c>
      <c r="D347" s="241">
        <f>IF(_PENDIENTES!$B$341&lt;&gt;"",_PENDIENTES!$D$341,"")</f>
        <v/>
      </c>
      <c r="E347" s="307">
        <f>IF(_PENDIENTES!$B$341&lt;&gt;"",_PENDIENTES!$E$341,"")</f>
        <v/>
      </c>
      <c r="F347" s="241">
        <f>IF(_PENDIENTES!$B$341&lt;&gt;"",_PENDIENTES!$F$341,"")</f>
        <v/>
      </c>
      <c r="G347" s="239">
        <f>IF(_PENDIENTES!$B$341&lt;&gt;"",_PENDIENTES!$G$341,"")</f>
        <v/>
      </c>
      <c r="H347" s="239">
        <f>IF(_PENDIENTES!$B$341&lt;&gt;"",_PENDIENTES!$H$341,"")</f>
        <v/>
      </c>
      <c r="I347" s="305">
        <f>IF(_PENDIENTES!$B$341&lt;&gt;"",_PENDIENTES!$I$341,"")</f>
        <v/>
      </c>
      <c r="J347" s="241">
        <f>IF(_PENDIENTES!$B$341&lt;&gt;"",_PENDIENTES!$J$341,"")</f>
        <v/>
      </c>
      <c r="K347" s="241">
        <f>IF(_PENDIENTES!$B$341&lt;&gt;"","POR RECOGER","")</f>
        <v/>
      </c>
      <c r="L347" s="241">
        <f>IF(_PENDIENTES!$B$341&lt;&gt;"",_PENDIENTES!$K$341,"")</f>
        <v/>
      </c>
      <c r="M347" s="284">
        <f>IF(_PENDIENTES!$B$341&lt;&gt;"",_PENDIENTES!$B$341,"")</f>
        <v/>
      </c>
      <c r="N347" s="304">
        <f>IF(_PENDIENTES!$B$341&lt;&gt;"",_PENDIENTES!$L$341,"")</f>
        <v/>
      </c>
      <c r="O347" s="284" t="n"/>
      <c r="P347" s="284" t="n"/>
      <c r="Q347" s="284" t="n"/>
      <c r="R347" s="284" t="n"/>
      <c r="S347" s="284" t="n"/>
    </row>
    <row r="348" hidden="1" ht="15.75" customHeight="1" s="195">
      <c r="A348" s="301">
        <f>IF(_PENDIENTES!$B$342&lt;&gt;"",341,"")</f>
        <v/>
      </c>
      <c r="B348" s="242">
        <f>IF(_PENDIENTES!$B$342&lt;&gt;"",_PENDIENTES!$A$342,"")</f>
        <v/>
      </c>
      <c r="C348" s="302">
        <f>IF(_PENDIENTES!$B$342&lt;&gt;"",_PENDIENTES!$C$342,"")</f>
        <v/>
      </c>
      <c r="D348" s="301">
        <f>IF(_PENDIENTES!$B$342&lt;&gt;"",_PENDIENTES!$D$342,"")</f>
        <v/>
      </c>
      <c r="E348" s="306">
        <f>IF(_PENDIENTES!$B$342&lt;&gt;"",_PENDIENTES!$E$342,"")</f>
        <v/>
      </c>
      <c r="F348" s="301">
        <f>IF(_PENDIENTES!$B$342&lt;&gt;"",_PENDIENTES!$F$342,"")</f>
        <v/>
      </c>
      <c r="G348" s="245">
        <f>IF(_PENDIENTES!$B$342&lt;&gt;"",_PENDIENTES!$G$342,"")</f>
        <v/>
      </c>
      <c r="H348" s="245">
        <f>IF(_PENDIENTES!$B$342&lt;&gt;"",_PENDIENTES!$H$342,"")</f>
        <v/>
      </c>
      <c r="I348" s="302">
        <f>IF(_PENDIENTES!$B$342&lt;&gt;"",_PENDIENTES!$I$342,"")</f>
        <v/>
      </c>
      <c r="J348" s="301">
        <f>IF(_PENDIENTES!$B$342&lt;&gt;"",_PENDIENTES!$J$342,"")</f>
        <v/>
      </c>
      <c r="K348" s="301">
        <f>IF(_PENDIENTES!$B$342&lt;&gt;"","POR RECOGER","")</f>
        <v/>
      </c>
      <c r="L348" s="301">
        <f>IF(_PENDIENTES!$B$342&lt;&gt;"",_PENDIENTES!$K$342,"")</f>
        <v/>
      </c>
      <c r="M348" s="284">
        <f>IF(_PENDIENTES!$B$342&lt;&gt;"",_PENDIENTES!$B$342,"")</f>
        <v/>
      </c>
      <c r="N348" s="304">
        <f>IF(_PENDIENTES!$B$342&lt;&gt;"",_PENDIENTES!$L$342,"")</f>
        <v/>
      </c>
      <c r="O348" s="284" t="n"/>
      <c r="P348" s="284" t="n"/>
      <c r="Q348" s="284" t="n"/>
      <c r="R348" s="284" t="n"/>
      <c r="S348" s="284" t="n"/>
    </row>
    <row r="349" hidden="1" ht="15.75" customHeight="1" s="195">
      <c r="A349" s="241">
        <f>IF(_PENDIENTES!$B$343&lt;&gt;"",342,"")</f>
        <v/>
      </c>
      <c r="B349" s="236">
        <f>IF(_PENDIENTES!$B$343&lt;&gt;"",_PENDIENTES!$A$343,"")</f>
        <v/>
      </c>
      <c r="C349" s="305">
        <f>IF(_PENDIENTES!$B$343&lt;&gt;"",_PENDIENTES!$C$343,"")</f>
        <v/>
      </c>
      <c r="D349" s="241">
        <f>IF(_PENDIENTES!$B$343&lt;&gt;"",_PENDIENTES!$D$343,"")</f>
        <v/>
      </c>
      <c r="E349" s="307">
        <f>IF(_PENDIENTES!$B$343&lt;&gt;"",_PENDIENTES!$E$343,"")</f>
        <v/>
      </c>
      <c r="F349" s="241">
        <f>IF(_PENDIENTES!$B$343&lt;&gt;"",_PENDIENTES!$F$343,"")</f>
        <v/>
      </c>
      <c r="G349" s="239">
        <f>IF(_PENDIENTES!$B$343&lt;&gt;"",_PENDIENTES!$G$343,"")</f>
        <v/>
      </c>
      <c r="H349" s="239">
        <f>IF(_PENDIENTES!$B$343&lt;&gt;"",_PENDIENTES!$H$343,"")</f>
        <v/>
      </c>
      <c r="I349" s="305">
        <f>IF(_PENDIENTES!$B$343&lt;&gt;"",_PENDIENTES!$I$343,"")</f>
        <v/>
      </c>
      <c r="J349" s="241">
        <f>IF(_PENDIENTES!$B$343&lt;&gt;"",_PENDIENTES!$J$343,"")</f>
        <v/>
      </c>
      <c r="K349" s="241">
        <f>IF(_PENDIENTES!$B$343&lt;&gt;"","POR RECOGER","")</f>
        <v/>
      </c>
      <c r="L349" s="241">
        <f>IF(_PENDIENTES!$B$343&lt;&gt;"",_PENDIENTES!$K$343,"")</f>
        <v/>
      </c>
      <c r="M349" s="284">
        <f>IF(_PENDIENTES!$B$343&lt;&gt;"",_PENDIENTES!$B$343,"")</f>
        <v/>
      </c>
      <c r="N349" s="304">
        <f>IF(_PENDIENTES!$B$343&lt;&gt;"",_PENDIENTES!$L$343,"")</f>
        <v/>
      </c>
      <c r="O349" s="284" t="n"/>
      <c r="P349" s="284" t="n"/>
      <c r="Q349" s="284" t="n"/>
      <c r="R349" s="284" t="n"/>
      <c r="S349" s="284" t="n"/>
    </row>
    <row r="350" hidden="1" ht="15.75" customHeight="1" s="195">
      <c r="A350" s="301">
        <f>IF(_PENDIENTES!$B$344&lt;&gt;"",343,"")</f>
        <v/>
      </c>
      <c r="B350" s="242">
        <f>IF(_PENDIENTES!$B$344&lt;&gt;"",_PENDIENTES!$A$344,"")</f>
        <v/>
      </c>
      <c r="C350" s="302">
        <f>IF(_PENDIENTES!$B$344&lt;&gt;"",_PENDIENTES!$C$344,"")</f>
        <v/>
      </c>
      <c r="D350" s="301">
        <f>IF(_PENDIENTES!$B$344&lt;&gt;"",_PENDIENTES!$D$344,"")</f>
        <v/>
      </c>
      <c r="E350" s="306">
        <f>IF(_PENDIENTES!$B$344&lt;&gt;"",_PENDIENTES!$E$344,"")</f>
        <v/>
      </c>
      <c r="F350" s="301">
        <f>IF(_PENDIENTES!$B$344&lt;&gt;"",_PENDIENTES!$F$344,"")</f>
        <v/>
      </c>
      <c r="G350" s="245">
        <f>IF(_PENDIENTES!$B$344&lt;&gt;"",_PENDIENTES!$G$344,"")</f>
        <v/>
      </c>
      <c r="H350" s="245">
        <f>IF(_PENDIENTES!$B$344&lt;&gt;"",_PENDIENTES!$H$344,"")</f>
        <v/>
      </c>
      <c r="I350" s="302">
        <f>IF(_PENDIENTES!$B$344&lt;&gt;"",_PENDIENTES!$I$344,"")</f>
        <v/>
      </c>
      <c r="J350" s="301">
        <f>IF(_PENDIENTES!$B$344&lt;&gt;"",_PENDIENTES!$J$344,"")</f>
        <v/>
      </c>
      <c r="K350" s="301">
        <f>IF(_PENDIENTES!$B$344&lt;&gt;"","POR RECOGER","")</f>
        <v/>
      </c>
      <c r="L350" s="301">
        <f>IF(_PENDIENTES!$B$344&lt;&gt;"",_PENDIENTES!$K$344,"")</f>
        <v/>
      </c>
      <c r="M350" s="284">
        <f>IF(_PENDIENTES!$B$344&lt;&gt;"",_PENDIENTES!$B$344,"")</f>
        <v/>
      </c>
      <c r="N350" s="304">
        <f>IF(_PENDIENTES!$B$344&lt;&gt;"",_PENDIENTES!$L$344,"")</f>
        <v/>
      </c>
      <c r="O350" s="284" t="n"/>
      <c r="P350" s="284" t="n"/>
      <c r="Q350" s="284" t="n"/>
      <c r="R350" s="284" t="n"/>
      <c r="S350" s="284" t="n"/>
    </row>
    <row r="351" hidden="1" ht="15.75" customHeight="1" s="195">
      <c r="A351" s="241">
        <f>IF(_PENDIENTES!$B$345&lt;&gt;"",344,"")</f>
        <v/>
      </c>
      <c r="B351" s="236">
        <f>IF(_PENDIENTES!$B$345&lt;&gt;"",_PENDIENTES!$A$345,"")</f>
        <v/>
      </c>
      <c r="C351" s="305">
        <f>IF(_PENDIENTES!$B$345&lt;&gt;"",_PENDIENTES!$C$345,"")</f>
        <v/>
      </c>
      <c r="D351" s="241">
        <f>IF(_PENDIENTES!$B$345&lt;&gt;"",_PENDIENTES!$D$345,"")</f>
        <v/>
      </c>
      <c r="E351" s="307">
        <f>IF(_PENDIENTES!$B$345&lt;&gt;"",_PENDIENTES!$E$345,"")</f>
        <v/>
      </c>
      <c r="F351" s="241">
        <f>IF(_PENDIENTES!$B$345&lt;&gt;"",_PENDIENTES!$F$345,"")</f>
        <v/>
      </c>
      <c r="G351" s="239">
        <f>IF(_PENDIENTES!$B$345&lt;&gt;"",_PENDIENTES!$G$345,"")</f>
        <v/>
      </c>
      <c r="H351" s="239">
        <f>IF(_PENDIENTES!$B$345&lt;&gt;"",_PENDIENTES!$H$345,"")</f>
        <v/>
      </c>
      <c r="I351" s="305">
        <f>IF(_PENDIENTES!$B$345&lt;&gt;"",_PENDIENTES!$I$345,"")</f>
        <v/>
      </c>
      <c r="J351" s="241">
        <f>IF(_PENDIENTES!$B$345&lt;&gt;"",_PENDIENTES!$J$345,"")</f>
        <v/>
      </c>
      <c r="K351" s="241">
        <f>IF(_PENDIENTES!$B$345&lt;&gt;"","POR RECOGER","")</f>
        <v/>
      </c>
      <c r="L351" s="241">
        <f>IF(_PENDIENTES!$B$345&lt;&gt;"",_PENDIENTES!$K$345,"")</f>
        <v/>
      </c>
      <c r="M351" s="284">
        <f>IF(_PENDIENTES!$B$345&lt;&gt;"",_PENDIENTES!$B$345,"")</f>
        <v/>
      </c>
      <c r="N351" s="304">
        <f>IF(_PENDIENTES!$B$345&lt;&gt;"",_PENDIENTES!$L$345,"")</f>
        <v/>
      </c>
      <c r="O351" s="284" t="n"/>
      <c r="P351" s="284" t="n"/>
      <c r="Q351" s="284" t="n"/>
      <c r="R351" s="284" t="n"/>
      <c r="S351" s="284" t="n"/>
    </row>
    <row r="352" hidden="1" ht="15.75" customHeight="1" s="195">
      <c r="A352" s="301">
        <f>IF(_PENDIENTES!$B$346&lt;&gt;"",345,"")</f>
        <v/>
      </c>
      <c r="B352" s="242">
        <f>IF(_PENDIENTES!$B$346&lt;&gt;"",_PENDIENTES!$A$346,"")</f>
        <v/>
      </c>
      <c r="C352" s="302">
        <f>IF(_PENDIENTES!$B$346&lt;&gt;"",_PENDIENTES!$C$346,"")</f>
        <v/>
      </c>
      <c r="D352" s="301">
        <f>IF(_PENDIENTES!$B$346&lt;&gt;"",_PENDIENTES!$D$346,"")</f>
        <v/>
      </c>
      <c r="E352" s="306">
        <f>IF(_PENDIENTES!$B$346&lt;&gt;"",_PENDIENTES!$E$346,"")</f>
        <v/>
      </c>
      <c r="F352" s="301">
        <f>IF(_PENDIENTES!$B$346&lt;&gt;"",_PENDIENTES!$F$346,"")</f>
        <v/>
      </c>
      <c r="G352" s="245">
        <f>IF(_PENDIENTES!$B$346&lt;&gt;"",_PENDIENTES!$G$346,"")</f>
        <v/>
      </c>
      <c r="H352" s="245">
        <f>IF(_PENDIENTES!$B$346&lt;&gt;"",_PENDIENTES!$H$346,"")</f>
        <v/>
      </c>
      <c r="I352" s="302">
        <f>IF(_PENDIENTES!$B$346&lt;&gt;"",_PENDIENTES!$I$346,"")</f>
        <v/>
      </c>
      <c r="J352" s="301">
        <f>IF(_PENDIENTES!$B$346&lt;&gt;"",_PENDIENTES!$J$346,"")</f>
        <v/>
      </c>
      <c r="K352" s="301">
        <f>IF(_PENDIENTES!$B$346&lt;&gt;"","POR RECOGER","")</f>
        <v/>
      </c>
      <c r="L352" s="301">
        <f>IF(_PENDIENTES!$B$346&lt;&gt;"",_PENDIENTES!$K$346,"")</f>
        <v/>
      </c>
      <c r="M352" s="284">
        <f>IF(_PENDIENTES!$B$346&lt;&gt;"",_PENDIENTES!$B$346,"")</f>
        <v/>
      </c>
      <c r="N352" s="304">
        <f>IF(_PENDIENTES!$B$346&lt;&gt;"",_PENDIENTES!$L$346,"")</f>
        <v/>
      </c>
      <c r="O352" s="284" t="n"/>
      <c r="P352" s="284" t="n"/>
      <c r="Q352" s="284" t="n"/>
      <c r="R352" s="284" t="n"/>
      <c r="S352" s="284" t="n"/>
    </row>
    <row r="353" hidden="1" ht="15.75" customHeight="1" s="195">
      <c r="A353" s="241">
        <f>IF(_PENDIENTES!$B$347&lt;&gt;"",346,"")</f>
        <v/>
      </c>
      <c r="B353" s="236">
        <f>IF(_PENDIENTES!$B$347&lt;&gt;"",_PENDIENTES!$A$347,"")</f>
        <v/>
      </c>
      <c r="C353" s="305">
        <f>IF(_PENDIENTES!$B$347&lt;&gt;"",_PENDIENTES!$C$347,"")</f>
        <v/>
      </c>
      <c r="D353" s="241">
        <f>IF(_PENDIENTES!$B$347&lt;&gt;"",_PENDIENTES!$D$347,"")</f>
        <v/>
      </c>
      <c r="E353" s="307">
        <f>IF(_PENDIENTES!$B$347&lt;&gt;"",_PENDIENTES!$E$347,"")</f>
        <v/>
      </c>
      <c r="F353" s="241">
        <f>IF(_PENDIENTES!$B$347&lt;&gt;"",_PENDIENTES!$F$347,"")</f>
        <v/>
      </c>
      <c r="G353" s="239">
        <f>IF(_PENDIENTES!$B$347&lt;&gt;"",_PENDIENTES!$G$347,"")</f>
        <v/>
      </c>
      <c r="H353" s="239">
        <f>IF(_PENDIENTES!$B$347&lt;&gt;"",_PENDIENTES!$H$347,"")</f>
        <v/>
      </c>
      <c r="I353" s="305">
        <f>IF(_PENDIENTES!$B$347&lt;&gt;"",_PENDIENTES!$I$347,"")</f>
        <v/>
      </c>
      <c r="J353" s="241">
        <f>IF(_PENDIENTES!$B$347&lt;&gt;"",_PENDIENTES!$J$347,"")</f>
        <v/>
      </c>
      <c r="K353" s="241">
        <f>IF(_PENDIENTES!$B$347&lt;&gt;"","POR RECOGER","")</f>
        <v/>
      </c>
      <c r="L353" s="241">
        <f>IF(_PENDIENTES!$B$347&lt;&gt;"",_PENDIENTES!$K$347,"")</f>
        <v/>
      </c>
      <c r="M353" s="284">
        <f>IF(_PENDIENTES!$B$347&lt;&gt;"",_PENDIENTES!$B$347,"")</f>
        <v/>
      </c>
      <c r="N353" s="304">
        <f>IF(_PENDIENTES!$B$347&lt;&gt;"",_PENDIENTES!$L$347,"")</f>
        <v/>
      </c>
      <c r="O353" s="284" t="n"/>
      <c r="P353" s="284" t="n"/>
      <c r="Q353" s="284" t="n"/>
      <c r="R353" s="284" t="n"/>
      <c r="S353" s="284" t="n"/>
    </row>
    <row r="354" hidden="1" ht="15.75" customHeight="1" s="195">
      <c r="A354" s="301">
        <f>IF(_PENDIENTES!$B$348&lt;&gt;"",347,"")</f>
        <v/>
      </c>
      <c r="B354" s="242">
        <f>IF(_PENDIENTES!$B$348&lt;&gt;"",_PENDIENTES!$A$348,"")</f>
        <v/>
      </c>
      <c r="C354" s="302">
        <f>IF(_PENDIENTES!$B$348&lt;&gt;"",_PENDIENTES!$C$348,"")</f>
        <v/>
      </c>
      <c r="D354" s="301">
        <f>IF(_PENDIENTES!$B$348&lt;&gt;"",_PENDIENTES!$D$348,"")</f>
        <v/>
      </c>
      <c r="E354" s="306">
        <f>IF(_PENDIENTES!$B$348&lt;&gt;"",_PENDIENTES!$E$348,"")</f>
        <v/>
      </c>
      <c r="F354" s="301">
        <f>IF(_PENDIENTES!$B$348&lt;&gt;"",_PENDIENTES!$F$348,"")</f>
        <v/>
      </c>
      <c r="G354" s="245">
        <f>IF(_PENDIENTES!$B$348&lt;&gt;"",_PENDIENTES!$G$348,"")</f>
        <v/>
      </c>
      <c r="H354" s="245">
        <f>IF(_PENDIENTES!$B$348&lt;&gt;"",_PENDIENTES!$H$348,"")</f>
        <v/>
      </c>
      <c r="I354" s="302">
        <f>IF(_PENDIENTES!$B$348&lt;&gt;"",_PENDIENTES!$I$348,"")</f>
        <v/>
      </c>
      <c r="J354" s="301">
        <f>IF(_PENDIENTES!$B$348&lt;&gt;"",_PENDIENTES!$J$348,"")</f>
        <v/>
      </c>
      <c r="K354" s="301">
        <f>IF(_PENDIENTES!$B$348&lt;&gt;"","POR RECOGER","")</f>
        <v/>
      </c>
      <c r="L354" s="301">
        <f>IF(_PENDIENTES!$B$348&lt;&gt;"",_PENDIENTES!$K$348,"")</f>
        <v/>
      </c>
      <c r="M354" s="284">
        <f>IF(_PENDIENTES!$B$348&lt;&gt;"",_PENDIENTES!$B$348,"")</f>
        <v/>
      </c>
      <c r="N354" s="304">
        <f>IF(_PENDIENTES!$B$348&lt;&gt;"",_PENDIENTES!$L$348,"")</f>
        <v/>
      </c>
      <c r="O354" s="284" t="n"/>
      <c r="P354" s="284" t="n"/>
      <c r="Q354" s="284" t="n"/>
      <c r="R354" s="284" t="n"/>
      <c r="S354" s="284" t="n"/>
    </row>
    <row r="355" hidden="1" ht="15.75" customHeight="1" s="195">
      <c r="A355" s="241">
        <f>IF(_PENDIENTES!$B$349&lt;&gt;"",348,"")</f>
        <v/>
      </c>
      <c r="B355" s="236">
        <f>IF(_PENDIENTES!$B$349&lt;&gt;"",_PENDIENTES!$A$349,"")</f>
        <v/>
      </c>
      <c r="C355" s="305">
        <f>IF(_PENDIENTES!$B$349&lt;&gt;"",_PENDIENTES!$C$349,"")</f>
        <v/>
      </c>
      <c r="D355" s="241">
        <f>IF(_PENDIENTES!$B$349&lt;&gt;"",_PENDIENTES!$D$349,"")</f>
        <v/>
      </c>
      <c r="E355" s="307">
        <f>IF(_PENDIENTES!$B$349&lt;&gt;"",_PENDIENTES!$E$349,"")</f>
        <v/>
      </c>
      <c r="F355" s="241">
        <f>IF(_PENDIENTES!$B$349&lt;&gt;"",_PENDIENTES!$F$349,"")</f>
        <v/>
      </c>
      <c r="G355" s="239">
        <f>IF(_PENDIENTES!$B$349&lt;&gt;"",_PENDIENTES!$G$349,"")</f>
        <v/>
      </c>
      <c r="H355" s="239">
        <f>IF(_PENDIENTES!$B$349&lt;&gt;"",_PENDIENTES!$H$349,"")</f>
        <v/>
      </c>
      <c r="I355" s="305">
        <f>IF(_PENDIENTES!$B$349&lt;&gt;"",_PENDIENTES!$I$349,"")</f>
        <v/>
      </c>
      <c r="J355" s="241">
        <f>IF(_PENDIENTES!$B$349&lt;&gt;"",_PENDIENTES!$J$349,"")</f>
        <v/>
      </c>
      <c r="K355" s="241">
        <f>IF(_PENDIENTES!$B$349&lt;&gt;"","POR RECOGER","")</f>
        <v/>
      </c>
      <c r="L355" s="241">
        <f>IF(_PENDIENTES!$B$349&lt;&gt;"",_PENDIENTES!$K$349,"")</f>
        <v/>
      </c>
      <c r="M355" s="284">
        <f>IF(_PENDIENTES!$B$349&lt;&gt;"",_PENDIENTES!$B$349,"")</f>
        <v/>
      </c>
      <c r="N355" s="304">
        <f>IF(_PENDIENTES!$B$349&lt;&gt;"",_PENDIENTES!$L$349,"")</f>
        <v/>
      </c>
      <c r="O355" s="284" t="n"/>
      <c r="P355" s="284" t="n"/>
      <c r="Q355" s="284" t="n"/>
      <c r="R355" s="284" t="n"/>
      <c r="S355" s="284" t="n"/>
    </row>
    <row r="356" hidden="1" ht="15.75" customHeight="1" s="195">
      <c r="A356" s="301">
        <f>IF(_PENDIENTES!$B$350&lt;&gt;"",349,"")</f>
        <v/>
      </c>
      <c r="B356" s="242">
        <f>IF(_PENDIENTES!$B$350&lt;&gt;"",_PENDIENTES!$A$350,"")</f>
        <v/>
      </c>
      <c r="C356" s="302">
        <f>IF(_PENDIENTES!$B$350&lt;&gt;"",_PENDIENTES!$C$350,"")</f>
        <v/>
      </c>
      <c r="D356" s="301">
        <f>IF(_PENDIENTES!$B$350&lt;&gt;"",_PENDIENTES!$D$350,"")</f>
        <v/>
      </c>
      <c r="E356" s="306">
        <f>IF(_PENDIENTES!$B$350&lt;&gt;"",_PENDIENTES!$E$350,"")</f>
        <v/>
      </c>
      <c r="F356" s="301">
        <f>IF(_PENDIENTES!$B$350&lt;&gt;"",_PENDIENTES!$F$350,"")</f>
        <v/>
      </c>
      <c r="G356" s="245">
        <f>IF(_PENDIENTES!$B$350&lt;&gt;"",_PENDIENTES!$G$350,"")</f>
        <v/>
      </c>
      <c r="H356" s="245">
        <f>IF(_PENDIENTES!$B$350&lt;&gt;"",_PENDIENTES!$H$350,"")</f>
        <v/>
      </c>
      <c r="I356" s="302">
        <f>IF(_PENDIENTES!$B$350&lt;&gt;"",_PENDIENTES!$I$350,"")</f>
        <v/>
      </c>
      <c r="J356" s="301">
        <f>IF(_PENDIENTES!$B$350&lt;&gt;"",_PENDIENTES!$J$350,"")</f>
        <v/>
      </c>
      <c r="K356" s="301">
        <f>IF(_PENDIENTES!$B$350&lt;&gt;"","POR RECOGER","")</f>
        <v/>
      </c>
      <c r="L356" s="301">
        <f>IF(_PENDIENTES!$B$350&lt;&gt;"",_PENDIENTES!$K$350,"")</f>
        <v/>
      </c>
      <c r="M356" s="284">
        <f>IF(_PENDIENTES!$B$350&lt;&gt;"",_PENDIENTES!$B$350,"")</f>
        <v/>
      </c>
      <c r="N356" s="304">
        <f>IF(_PENDIENTES!$B$350&lt;&gt;"",_PENDIENTES!$L$350,"")</f>
        <v/>
      </c>
      <c r="O356" s="284" t="n"/>
      <c r="P356" s="284" t="n"/>
      <c r="Q356" s="284" t="n"/>
      <c r="R356" s="284" t="n"/>
      <c r="S356" s="284" t="n"/>
    </row>
    <row r="357" hidden="1" ht="15.75" customHeight="1" s="195">
      <c r="A357" s="241">
        <f>IF(_PENDIENTES!$B$351&lt;&gt;"",350,"")</f>
        <v/>
      </c>
      <c r="B357" s="236">
        <f>IF(_PENDIENTES!$B$351&lt;&gt;"",_PENDIENTES!$A$351,"")</f>
        <v/>
      </c>
      <c r="C357" s="305">
        <f>IF(_PENDIENTES!$B$351&lt;&gt;"",_PENDIENTES!$C$351,"")</f>
        <v/>
      </c>
      <c r="D357" s="241">
        <f>IF(_PENDIENTES!$B$351&lt;&gt;"",_PENDIENTES!$D$351,"")</f>
        <v/>
      </c>
      <c r="E357" s="307">
        <f>IF(_PENDIENTES!$B$351&lt;&gt;"",_PENDIENTES!$E$351,"")</f>
        <v/>
      </c>
      <c r="F357" s="241">
        <f>IF(_PENDIENTES!$B$351&lt;&gt;"",_PENDIENTES!$F$351,"")</f>
        <v/>
      </c>
      <c r="G357" s="239">
        <f>IF(_PENDIENTES!$B$351&lt;&gt;"",_PENDIENTES!$G$351,"")</f>
        <v/>
      </c>
      <c r="H357" s="239">
        <f>IF(_PENDIENTES!$B$351&lt;&gt;"",_PENDIENTES!$H$351,"")</f>
        <v/>
      </c>
      <c r="I357" s="305">
        <f>IF(_PENDIENTES!$B$351&lt;&gt;"",_PENDIENTES!$I$351,"")</f>
        <v/>
      </c>
      <c r="J357" s="241">
        <f>IF(_PENDIENTES!$B$351&lt;&gt;"",_PENDIENTES!$J$351,"")</f>
        <v/>
      </c>
      <c r="K357" s="241">
        <f>IF(_PENDIENTES!$B$351&lt;&gt;"","POR RECOGER","")</f>
        <v/>
      </c>
      <c r="L357" s="241">
        <f>IF(_PENDIENTES!$B$351&lt;&gt;"",_PENDIENTES!$K$351,"")</f>
        <v/>
      </c>
      <c r="M357" s="284">
        <f>IF(_PENDIENTES!$B$351&lt;&gt;"",_PENDIENTES!$B$351,"")</f>
        <v/>
      </c>
      <c r="N357" s="304">
        <f>IF(_PENDIENTES!$B$351&lt;&gt;"",_PENDIENTES!$L$351,"")</f>
        <v/>
      </c>
      <c r="O357" s="284" t="n"/>
      <c r="P357" s="284" t="n"/>
      <c r="Q357" s="284" t="n"/>
      <c r="R357" s="284" t="n"/>
      <c r="S357" s="284" t="n"/>
    </row>
    <row r="358" hidden="1" ht="15.75" customHeight="1" s="195">
      <c r="A358" s="301">
        <f>IF(_PENDIENTES!$B$352&lt;&gt;"",351,"")</f>
        <v/>
      </c>
      <c r="B358" s="242">
        <f>IF(_PENDIENTES!$B$352&lt;&gt;"",_PENDIENTES!$A$352,"")</f>
        <v/>
      </c>
      <c r="C358" s="302">
        <f>IF(_PENDIENTES!$B$352&lt;&gt;"",_PENDIENTES!$C$352,"")</f>
        <v/>
      </c>
      <c r="D358" s="301">
        <f>IF(_PENDIENTES!$B$352&lt;&gt;"",_PENDIENTES!$D$352,"")</f>
        <v/>
      </c>
      <c r="E358" s="301">
        <f>IF(_PENDIENTES!$B$352&lt;&gt;"",_PENDIENTES!$E$352,"")</f>
        <v/>
      </c>
      <c r="F358" s="301">
        <f>IF(_PENDIENTES!$B$352&lt;&gt;"",_PENDIENTES!$F$352,"")</f>
        <v/>
      </c>
      <c r="G358" s="245">
        <f>IF(_PENDIENTES!$B$352&lt;&gt;"",_PENDIENTES!$G$352,"")</f>
        <v/>
      </c>
      <c r="H358" s="245">
        <f>IF(_PENDIENTES!$B$352&lt;&gt;"",_PENDIENTES!$H$352,"")</f>
        <v/>
      </c>
      <c r="I358" s="302">
        <f>IF(_PENDIENTES!$B$352&lt;&gt;"",_PENDIENTES!$I$352,"")</f>
        <v/>
      </c>
      <c r="J358" s="301">
        <f>IF(_PENDIENTES!$B$352&lt;&gt;"",_PENDIENTES!$J$352,"")</f>
        <v/>
      </c>
      <c r="K358" s="301">
        <f>IF(_PENDIENTES!$B$352&lt;&gt;"","POR RECOGER","")</f>
        <v/>
      </c>
      <c r="L358" s="301">
        <f>IF(_PENDIENTES!$B$352&lt;&gt;"",_PENDIENTES!$K$352,"")</f>
        <v/>
      </c>
      <c r="M358" s="284">
        <f>IF(_PENDIENTES!$B$352&lt;&gt;"",_PENDIENTES!$B$352,"")</f>
        <v/>
      </c>
      <c r="N358" s="304">
        <f>IF(_PENDIENTES!$B$352&lt;&gt;"",_PENDIENTES!$L$352,"")</f>
        <v/>
      </c>
      <c r="O358" s="284" t="n"/>
      <c r="P358" s="284" t="n"/>
      <c r="Q358" s="284" t="n"/>
      <c r="R358" s="284" t="n"/>
      <c r="S358" s="284" t="n"/>
    </row>
    <row r="359" hidden="1" ht="15.75" customHeight="1" s="195">
      <c r="A359" s="241">
        <f>IF(_PENDIENTES!$B$353&lt;&gt;"",352,"")</f>
        <v/>
      </c>
      <c r="B359" s="236">
        <f>IF(_PENDIENTES!$B$353&lt;&gt;"",_PENDIENTES!$A$353,"")</f>
        <v/>
      </c>
      <c r="C359" s="305">
        <f>IF(_PENDIENTES!$B$353&lt;&gt;"",_PENDIENTES!$C$353,"")</f>
        <v/>
      </c>
      <c r="D359" s="241">
        <f>IF(_PENDIENTES!$B$353&lt;&gt;"",_PENDIENTES!$D$353,"")</f>
        <v/>
      </c>
      <c r="E359" s="307">
        <f>IF(_PENDIENTES!$B$353&lt;&gt;"",_PENDIENTES!$E$353,"")</f>
        <v/>
      </c>
      <c r="F359" s="241">
        <f>IF(_PENDIENTES!$B$353&lt;&gt;"",_PENDIENTES!$F$353,"")</f>
        <v/>
      </c>
      <c r="G359" s="239">
        <f>IF(_PENDIENTES!$B$353&lt;&gt;"",_PENDIENTES!$G$353,"")</f>
        <v/>
      </c>
      <c r="H359" s="239">
        <f>IF(_PENDIENTES!$B$353&lt;&gt;"",_PENDIENTES!$H$353,"")</f>
        <v/>
      </c>
      <c r="I359" s="305">
        <f>IF(_PENDIENTES!$B$353&lt;&gt;"",_PENDIENTES!$I$353,"")</f>
        <v/>
      </c>
      <c r="J359" s="241">
        <f>IF(_PENDIENTES!$B$353&lt;&gt;"",_PENDIENTES!$J$353,"")</f>
        <v/>
      </c>
      <c r="K359" s="241">
        <f>IF(_PENDIENTES!$B$353&lt;&gt;"","POR RECOGER","")</f>
        <v/>
      </c>
      <c r="L359" s="241">
        <f>IF(_PENDIENTES!$B$353&lt;&gt;"",_PENDIENTES!$K$353,"")</f>
        <v/>
      </c>
      <c r="M359" s="284">
        <f>IF(_PENDIENTES!$B$353&lt;&gt;"",_PENDIENTES!$B$353,"")</f>
        <v/>
      </c>
      <c r="N359" s="304">
        <f>IF(_PENDIENTES!$B$353&lt;&gt;"",_PENDIENTES!$L$353,"")</f>
        <v/>
      </c>
      <c r="O359" s="284" t="n"/>
      <c r="P359" s="284" t="n"/>
      <c r="Q359" s="284" t="n"/>
      <c r="R359" s="284" t="n"/>
      <c r="S359" s="284" t="n"/>
    </row>
    <row r="360" hidden="1" ht="15.75" customHeight="1" s="195">
      <c r="A360" s="301">
        <f>IF(_PENDIENTES!$B$354&lt;&gt;"",353,"")</f>
        <v/>
      </c>
      <c r="B360" s="242">
        <f>IF(_PENDIENTES!$B$354&lt;&gt;"",_PENDIENTES!$A$354,"")</f>
        <v/>
      </c>
      <c r="C360" s="302">
        <f>IF(_PENDIENTES!$B$354&lt;&gt;"",_PENDIENTES!$C$354,"")</f>
        <v/>
      </c>
      <c r="D360" s="301">
        <f>IF(_PENDIENTES!$B$354&lt;&gt;"",_PENDIENTES!$D$354,"")</f>
        <v/>
      </c>
      <c r="E360" s="306">
        <f>IF(_PENDIENTES!$B$354&lt;&gt;"",_PENDIENTES!$E$354,"")</f>
        <v/>
      </c>
      <c r="F360" s="301">
        <f>IF(_PENDIENTES!$B$354&lt;&gt;"",_PENDIENTES!$F$354,"")</f>
        <v/>
      </c>
      <c r="G360" s="245">
        <f>IF(_PENDIENTES!$B$354&lt;&gt;"",_PENDIENTES!$G$354,"")</f>
        <v/>
      </c>
      <c r="H360" s="245">
        <f>IF(_PENDIENTES!$B$354&lt;&gt;"",_PENDIENTES!$H$354,"")</f>
        <v/>
      </c>
      <c r="I360" s="302">
        <f>IF(_PENDIENTES!$B$354&lt;&gt;"",_PENDIENTES!$I$354,"")</f>
        <v/>
      </c>
      <c r="J360" s="301">
        <f>IF(_PENDIENTES!$B$354&lt;&gt;"",_PENDIENTES!$J$354,"")</f>
        <v/>
      </c>
      <c r="K360" s="301">
        <f>IF(_PENDIENTES!$B$354&lt;&gt;"","POR RECOGER","")</f>
        <v/>
      </c>
      <c r="L360" s="301">
        <f>IF(_PENDIENTES!$B$354&lt;&gt;"",_PENDIENTES!$K$354,"")</f>
        <v/>
      </c>
      <c r="M360" s="284">
        <f>IF(_PENDIENTES!$B$354&lt;&gt;"",_PENDIENTES!$B$354,"")</f>
        <v/>
      </c>
      <c r="N360" s="304">
        <f>IF(_PENDIENTES!$B$354&lt;&gt;"",_PENDIENTES!$L$354,"")</f>
        <v/>
      </c>
      <c r="O360" s="284" t="n"/>
      <c r="P360" s="284" t="n"/>
      <c r="Q360" s="284" t="n"/>
      <c r="R360" s="284" t="n"/>
      <c r="S360" s="284" t="n"/>
    </row>
    <row r="361" hidden="1" ht="15.75" customHeight="1" s="195">
      <c r="A361" s="241">
        <f>IF(_PENDIENTES!$B$355&lt;&gt;"",354,"")</f>
        <v/>
      </c>
      <c r="B361" s="236">
        <f>IF(_PENDIENTES!$B$355&lt;&gt;"",_PENDIENTES!$A$355,"")</f>
        <v/>
      </c>
      <c r="C361" s="305">
        <f>IF(_PENDIENTES!$B$355&lt;&gt;"",_PENDIENTES!$C$355,"")</f>
        <v/>
      </c>
      <c r="D361" s="241">
        <f>IF(_PENDIENTES!$B$355&lt;&gt;"",_PENDIENTES!$D$355,"")</f>
        <v/>
      </c>
      <c r="E361" s="307">
        <f>IF(_PENDIENTES!$B$355&lt;&gt;"",_PENDIENTES!$E$355,"")</f>
        <v/>
      </c>
      <c r="F361" s="241">
        <f>IF(_PENDIENTES!$B$355&lt;&gt;"",_PENDIENTES!$F$355,"")</f>
        <v/>
      </c>
      <c r="G361" s="239">
        <f>IF(_PENDIENTES!$B$355&lt;&gt;"",_PENDIENTES!$G$355,"")</f>
        <v/>
      </c>
      <c r="H361" s="239">
        <f>IF(_PENDIENTES!$B$355&lt;&gt;"",_PENDIENTES!$H$355,"")</f>
        <v/>
      </c>
      <c r="I361" s="305">
        <f>IF(_PENDIENTES!$B$355&lt;&gt;"",_PENDIENTES!$I$355,"")</f>
        <v/>
      </c>
      <c r="J361" s="241">
        <f>IF(_PENDIENTES!$B$355&lt;&gt;"",_PENDIENTES!$J$355,"")</f>
        <v/>
      </c>
      <c r="K361" s="241">
        <f>IF(_PENDIENTES!$B$355&lt;&gt;"","POR RECOGER","")</f>
        <v/>
      </c>
      <c r="L361" s="241">
        <f>IF(_PENDIENTES!$B$355&lt;&gt;"",_PENDIENTES!$K$355,"")</f>
        <v/>
      </c>
      <c r="M361" s="284">
        <f>IF(_PENDIENTES!$B$355&lt;&gt;"",_PENDIENTES!$B$355,"")</f>
        <v/>
      </c>
      <c r="N361" s="304">
        <f>IF(_PENDIENTES!$B$355&lt;&gt;"",_PENDIENTES!$L$355,"")</f>
        <v/>
      </c>
      <c r="O361" s="284" t="n"/>
      <c r="P361" s="284" t="n"/>
      <c r="Q361" s="284" t="n"/>
      <c r="R361" s="284" t="n"/>
      <c r="S361" s="284" t="n"/>
    </row>
    <row r="362" hidden="1" ht="15.75" customHeight="1" s="195">
      <c r="A362" s="301">
        <f>IF(_PENDIENTES!$B$356&lt;&gt;"",355,"")</f>
        <v/>
      </c>
      <c r="B362" s="242">
        <f>IF(_PENDIENTES!$B$356&lt;&gt;"",_PENDIENTES!$A$356,"")</f>
        <v/>
      </c>
      <c r="C362" s="302">
        <f>IF(_PENDIENTES!$B$356&lt;&gt;"",_PENDIENTES!$C$356,"")</f>
        <v/>
      </c>
      <c r="D362" s="301">
        <f>IF(_PENDIENTES!$B$356&lt;&gt;"",_PENDIENTES!$D$356,"")</f>
        <v/>
      </c>
      <c r="E362" s="306">
        <f>IF(_PENDIENTES!$B$356&lt;&gt;"",_PENDIENTES!$E$356,"")</f>
        <v/>
      </c>
      <c r="F362" s="301">
        <f>IF(_PENDIENTES!$B$356&lt;&gt;"",_PENDIENTES!$F$356,"")</f>
        <v/>
      </c>
      <c r="G362" s="245">
        <f>IF(_PENDIENTES!$B$356&lt;&gt;"",_PENDIENTES!$G$356,"")</f>
        <v/>
      </c>
      <c r="H362" s="245">
        <f>IF(_PENDIENTES!$B$356&lt;&gt;"",_PENDIENTES!$H$356,"")</f>
        <v/>
      </c>
      <c r="I362" s="302">
        <f>IF(_PENDIENTES!$B$356&lt;&gt;"",_PENDIENTES!$I$356,"")</f>
        <v/>
      </c>
      <c r="J362" s="301">
        <f>IF(_PENDIENTES!$B$356&lt;&gt;"",_PENDIENTES!$J$356,"")</f>
        <v/>
      </c>
      <c r="K362" s="301">
        <f>IF(_PENDIENTES!$B$356&lt;&gt;"","POR RECOGER","")</f>
        <v/>
      </c>
      <c r="L362" s="301">
        <f>IF(_PENDIENTES!$B$356&lt;&gt;"",_PENDIENTES!$K$356,"")</f>
        <v/>
      </c>
      <c r="M362" s="284">
        <f>IF(_PENDIENTES!$B$356&lt;&gt;"",_PENDIENTES!$B$356,"")</f>
        <v/>
      </c>
      <c r="N362" s="304">
        <f>IF(_PENDIENTES!$B$356&lt;&gt;"",_PENDIENTES!$L$356,"")</f>
        <v/>
      </c>
      <c r="O362" s="284" t="n"/>
      <c r="P362" s="284" t="n"/>
      <c r="Q362" s="284" t="n"/>
      <c r="R362" s="284" t="n"/>
      <c r="S362" s="284" t="n"/>
    </row>
    <row r="363" hidden="1" ht="15.75" customHeight="1" s="195">
      <c r="A363" s="241">
        <f>IF(_PENDIENTES!$B$357&lt;&gt;"",356,"")</f>
        <v/>
      </c>
      <c r="B363" s="236">
        <f>IF(_PENDIENTES!$B$357&lt;&gt;"",_PENDIENTES!$A$357,"")</f>
        <v/>
      </c>
      <c r="C363" s="305">
        <f>IF(_PENDIENTES!$B$357&lt;&gt;"",_PENDIENTES!$C$357,"")</f>
        <v/>
      </c>
      <c r="D363" s="241">
        <f>IF(_PENDIENTES!$B$357&lt;&gt;"",_PENDIENTES!$D$357,"")</f>
        <v/>
      </c>
      <c r="E363" s="307">
        <f>IF(_PENDIENTES!$B$357&lt;&gt;"",_PENDIENTES!$E$357,"")</f>
        <v/>
      </c>
      <c r="F363" s="241">
        <f>IF(_PENDIENTES!$B$357&lt;&gt;"",_PENDIENTES!$F$357,"")</f>
        <v/>
      </c>
      <c r="G363" s="239">
        <f>IF(_PENDIENTES!$B$357&lt;&gt;"",_PENDIENTES!$G$357,"")</f>
        <v/>
      </c>
      <c r="H363" s="239">
        <f>IF(_PENDIENTES!$B$357&lt;&gt;"",_PENDIENTES!$H$357,"")</f>
        <v/>
      </c>
      <c r="I363" s="305">
        <f>IF(_PENDIENTES!$B$357&lt;&gt;"",_PENDIENTES!$I$357,"")</f>
        <v/>
      </c>
      <c r="J363" s="241">
        <f>IF(_PENDIENTES!$B$357&lt;&gt;"",_PENDIENTES!$J$357,"")</f>
        <v/>
      </c>
      <c r="K363" s="241">
        <f>IF(_PENDIENTES!$B$357&lt;&gt;"","POR RECOGER","")</f>
        <v/>
      </c>
      <c r="L363" s="241">
        <f>IF(_PENDIENTES!$B$357&lt;&gt;"",_PENDIENTES!$K$357,"")</f>
        <v/>
      </c>
      <c r="M363" s="284">
        <f>IF(_PENDIENTES!$B$357&lt;&gt;"",_PENDIENTES!$B$357,"")</f>
        <v/>
      </c>
      <c r="N363" s="304">
        <f>IF(_PENDIENTES!$B$357&lt;&gt;"",_PENDIENTES!$L$357,"")</f>
        <v/>
      </c>
      <c r="O363" s="284" t="n"/>
      <c r="P363" s="284" t="n"/>
      <c r="Q363" s="284" t="n"/>
      <c r="R363" s="284" t="n"/>
      <c r="S363" s="284" t="n"/>
    </row>
    <row r="364" hidden="1" ht="15.75" customHeight="1" s="195">
      <c r="A364" s="301">
        <f>IF(_PENDIENTES!$B$358&lt;&gt;"",357,"")</f>
        <v/>
      </c>
      <c r="B364" s="242">
        <f>IF(_PENDIENTES!$B$358&lt;&gt;"",_PENDIENTES!$A$358,"")</f>
        <v/>
      </c>
      <c r="C364" s="302">
        <f>IF(_PENDIENTES!$B$358&lt;&gt;"",_PENDIENTES!$C$358,"")</f>
        <v/>
      </c>
      <c r="D364" s="301">
        <f>IF(_PENDIENTES!$B$358&lt;&gt;"",_PENDIENTES!$D$358,"")</f>
        <v/>
      </c>
      <c r="E364" s="306">
        <f>IF(_PENDIENTES!$B$358&lt;&gt;"",_PENDIENTES!$E$358,"")</f>
        <v/>
      </c>
      <c r="F364" s="301">
        <f>IF(_PENDIENTES!$B$358&lt;&gt;"",_PENDIENTES!$F$358,"")</f>
        <v/>
      </c>
      <c r="G364" s="245">
        <f>IF(_PENDIENTES!$B$358&lt;&gt;"",_PENDIENTES!$G$358,"")</f>
        <v/>
      </c>
      <c r="H364" s="245">
        <f>IF(_PENDIENTES!$B$358&lt;&gt;"",_PENDIENTES!$H$358,"")</f>
        <v/>
      </c>
      <c r="I364" s="302">
        <f>IF(_PENDIENTES!$B$358&lt;&gt;"",_PENDIENTES!$I$358,"")</f>
        <v/>
      </c>
      <c r="J364" s="301">
        <f>IF(_PENDIENTES!$B$358&lt;&gt;"",_PENDIENTES!$J$358,"")</f>
        <v/>
      </c>
      <c r="K364" s="301">
        <f>IF(_PENDIENTES!$B$358&lt;&gt;"","POR RECOGER","")</f>
        <v/>
      </c>
      <c r="L364" s="301">
        <f>IF(_PENDIENTES!$B$358&lt;&gt;"",_PENDIENTES!$K$358,"")</f>
        <v/>
      </c>
      <c r="M364" s="284">
        <f>IF(_PENDIENTES!$B$358&lt;&gt;"",_PENDIENTES!$B$358,"")</f>
        <v/>
      </c>
      <c r="N364" s="304">
        <f>IF(_PENDIENTES!$B$358&lt;&gt;"",_PENDIENTES!$L$358,"")</f>
        <v/>
      </c>
      <c r="O364" s="284" t="n"/>
      <c r="P364" s="284" t="n"/>
      <c r="Q364" s="284" t="n"/>
      <c r="R364" s="284" t="n"/>
      <c r="S364" s="284" t="n"/>
    </row>
    <row r="365" hidden="1" ht="15.75" customHeight="1" s="195">
      <c r="A365" s="241">
        <f>IF(_PENDIENTES!$B$359&lt;&gt;"",358,"")</f>
        <v/>
      </c>
      <c r="B365" s="236">
        <f>IF(_PENDIENTES!$B$359&lt;&gt;"",_PENDIENTES!$A$359,"")</f>
        <v/>
      </c>
      <c r="C365" s="305">
        <f>IF(_PENDIENTES!$B$359&lt;&gt;"",_PENDIENTES!$C$359,"")</f>
        <v/>
      </c>
      <c r="D365" s="241">
        <f>IF(_PENDIENTES!$B$359&lt;&gt;"",_PENDIENTES!$D$359,"")</f>
        <v/>
      </c>
      <c r="E365" s="307">
        <f>IF(_PENDIENTES!$B$359&lt;&gt;"",_PENDIENTES!$E$359,"")</f>
        <v/>
      </c>
      <c r="F365" s="241">
        <f>IF(_PENDIENTES!$B$359&lt;&gt;"",_PENDIENTES!$F$359,"")</f>
        <v/>
      </c>
      <c r="G365" s="239">
        <f>IF(_PENDIENTES!$B$359&lt;&gt;"",_PENDIENTES!$G$359,"")</f>
        <v/>
      </c>
      <c r="H365" s="239">
        <f>IF(_PENDIENTES!$B$359&lt;&gt;"",_PENDIENTES!$H$359,"")</f>
        <v/>
      </c>
      <c r="I365" s="305">
        <f>IF(_PENDIENTES!$B$359&lt;&gt;"",_PENDIENTES!$I$359,"")</f>
        <v/>
      </c>
      <c r="J365" s="241">
        <f>IF(_PENDIENTES!$B$359&lt;&gt;"",_PENDIENTES!$J$359,"")</f>
        <v/>
      </c>
      <c r="K365" s="241">
        <f>IF(_PENDIENTES!$B$359&lt;&gt;"","POR RECOGER","")</f>
        <v/>
      </c>
      <c r="L365" s="241">
        <f>IF(_PENDIENTES!$B$359&lt;&gt;"",_PENDIENTES!$K$359,"")</f>
        <v/>
      </c>
      <c r="M365" s="284">
        <f>IF(_PENDIENTES!$B$359&lt;&gt;"",_PENDIENTES!$B$359,"")</f>
        <v/>
      </c>
      <c r="N365" s="304">
        <f>IF(_PENDIENTES!$B$359&lt;&gt;"",_PENDIENTES!$L$359,"")</f>
        <v/>
      </c>
      <c r="O365" s="284" t="n"/>
      <c r="P365" s="284" t="n"/>
      <c r="Q365" s="284" t="n"/>
      <c r="R365" s="284" t="n"/>
      <c r="S365" s="284" t="n"/>
    </row>
    <row r="366" hidden="1" ht="15.75" customHeight="1" s="195">
      <c r="A366" s="301">
        <f>IF(_PENDIENTES!$B$360&lt;&gt;"",359,"")</f>
        <v/>
      </c>
      <c r="B366" s="242">
        <f>IF(_PENDIENTES!$B$360&lt;&gt;"",_PENDIENTES!$A$360,"")</f>
        <v/>
      </c>
      <c r="C366" s="302">
        <f>IF(_PENDIENTES!$B$360&lt;&gt;"",_PENDIENTES!$C$360,"")</f>
        <v/>
      </c>
      <c r="D366" s="301">
        <f>IF(_PENDIENTES!$B$360&lt;&gt;"",_PENDIENTES!$D$360,"")</f>
        <v/>
      </c>
      <c r="E366" s="306">
        <f>IF(_PENDIENTES!$B$360&lt;&gt;"",_PENDIENTES!$E$360,"")</f>
        <v/>
      </c>
      <c r="F366" s="301">
        <f>IF(_PENDIENTES!$B$360&lt;&gt;"",_PENDIENTES!$F$360,"")</f>
        <v/>
      </c>
      <c r="G366" s="245">
        <f>IF(_PENDIENTES!$B$360&lt;&gt;"",_PENDIENTES!$G$360,"")</f>
        <v/>
      </c>
      <c r="H366" s="245">
        <f>IF(_PENDIENTES!$B$360&lt;&gt;"",_PENDIENTES!$H$360,"")</f>
        <v/>
      </c>
      <c r="I366" s="302">
        <f>IF(_PENDIENTES!$B$360&lt;&gt;"",_PENDIENTES!$I$360,"")</f>
        <v/>
      </c>
      <c r="J366" s="301">
        <f>IF(_PENDIENTES!$B$360&lt;&gt;"",_PENDIENTES!$J$360,"")</f>
        <v/>
      </c>
      <c r="K366" s="301">
        <f>IF(_PENDIENTES!$B$360&lt;&gt;"","POR RECOGER","")</f>
        <v/>
      </c>
      <c r="L366" s="301">
        <f>IF(_PENDIENTES!$B$360&lt;&gt;"",_PENDIENTES!$K$360,"")</f>
        <v/>
      </c>
      <c r="M366" s="284">
        <f>IF(_PENDIENTES!$B$360&lt;&gt;"",_PENDIENTES!$B$360,"")</f>
        <v/>
      </c>
      <c r="N366" s="304">
        <f>IF(_PENDIENTES!$B$360&lt;&gt;"",_PENDIENTES!$L$360,"")</f>
        <v/>
      </c>
      <c r="O366" s="284" t="n"/>
      <c r="P366" s="284" t="n"/>
      <c r="Q366" s="284" t="n"/>
      <c r="R366" s="284" t="n"/>
      <c r="S366" s="284" t="n"/>
    </row>
    <row r="367" hidden="1" ht="15.75" customHeight="1" s="195">
      <c r="A367" s="241">
        <f>IF(_PENDIENTES!$B$361&lt;&gt;"",360,"")</f>
        <v/>
      </c>
      <c r="B367" s="236">
        <f>IF(_PENDIENTES!$B$361&lt;&gt;"",_PENDIENTES!$A$361,"")</f>
        <v/>
      </c>
      <c r="C367" s="305">
        <f>IF(_PENDIENTES!$B$361&lt;&gt;"",_PENDIENTES!$C$361,"")</f>
        <v/>
      </c>
      <c r="D367" s="241">
        <f>IF(_PENDIENTES!$B$361&lt;&gt;"",_PENDIENTES!$D$361,"")</f>
        <v/>
      </c>
      <c r="E367" s="307">
        <f>IF(_PENDIENTES!$B$361&lt;&gt;"",_PENDIENTES!$E$361,"")</f>
        <v/>
      </c>
      <c r="F367" s="241">
        <f>IF(_PENDIENTES!$B$361&lt;&gt;"",_PENDIENTES!$F$361,"")</f>
        <v/>
      </c>
      <c r="G367" s="239">
        <f>IF(_PENDIENTES!$B$361&lt;&gt;"",_PENDIENTES!$G$361,"")</f>
        <v/>
      </c>
      <c r="H367" s="239">
        <f>IF(_PENDIENTES!$B$361&lt;&gt;"",_PENDIENTES!$H$361,"")</f>
        <v/>
      </c>
      <c r="I367" s="305">
        <f>IF(_PENDIENTES!$B$361&lt;&gt;"",_PENDIENTES!$I$361,"")</f>
        <v/>
      </c>
      <c r="J367" s="241">
        <f>IF(_PENDIENTES!$B$361&lt;&gt;"",_PENDIENTES!$J$361,"")</f>
        <v/>
      </c>
      <c r="K367" s="241">
        <f>IF(_PENDIENTES!$B$361&lt;&gt;"","POR RECOGER","")</f>
        <v/>
      </c>
      <c r="L367" s="241">
        <f>IF(_PENDIENTES!$B$361&lt;&gt;"",_PENDIENTES!$K$361,"")</f>
        <v/>
      </c>
      <c r="M367" s="284">
        <f>IF(_PENDIENTES!$B$361&lt;&gt;"",_PENDIENTES!$B$361,"")</f>
        <v/>
      </c>
      <c r="N367" s="304">
        <f>IF(_PENDIENTES!$B$361&lt;&gt;"",_PENDIENTES!$L$361,"")</f>
        <v/>
      </c>
      <c r="O367" s="284" t="n"/>
      <c r="P367" s="284" t="n"/>
      <c r="Q367" s="284" t="n"/>
      <c r="R367" s="284" t="n"/>
      <c r="S367" s="284" t="n"/>
    </row>
    <row r="368" hidden="1" ht="15.75" customHeight="1" s="195">
      <c r="A368" s="301">
        <f>IF(_PENDIENTES!$B$362&lt;&gt;"",361,"")</f>
        <v/>
      </c>
      <c r="B368" s="242">
        <f>IF(_PENDIENTES!$B$362&lt;&gt;"",_PENDIENTES!$A$362,"")</f>
        <v/>
      </c>
      <c r="C368" s="302">
        <f>IF(_PENDIENTES!$B$362&lt;&gt;"",_PENDIENTES!$C$362,"")</f>
        <v/>
      </c>
      <c r="D368" s="301">
        <f>IF(_PENDIENTES!$B$362&lt;&gt;"",_PENDIENTES!$D$362,"")</f>
        <v/>
      </c>
      <c r="E368" s="306">
        <f>IF(_PENDIENTES!$B$362&lt;&gt;"",_PENDIENTES!$E$362,"")</f>
        <v/>
      </c>
      <c r="F368" s="301">
        <f>IF(_PENDIENTES!$B$362&lt;&gt;"",_PENDIENTES!$F$362,"")</f>
        <v/>
      </c>
      <c r="G368" s="245">
        <f>IF(_PENDIENTES!$B$362&lt;&gt;"",_PENDIENTES!$G$362,"")</f>
        <v/>
      </c>
      <c r="H368" s="245">
        <f>IF(_PENDIENTES!$B$362&lt;&gt;"",_PENDIENTES!$H$362,"")</f>
        <v/>
      </c>
      <c r="I368" s="302">
        <f>IF(_PENDIENTES!$B$362&lt;&gt;"",_PENDIENTES!$I$362,"")</f>
        <v/>
      </c>
      <c r="J368" s="301">
        <f>IF(_PENDIENTES!$B$362&lt;&gt;"",_PENDIENTES!$J$362,"")</f>
        <v/>
      </c>
      <c r="K368" s="301">
        <f>IF(_PENDIENTES!$B$362&lt;&gt;"","POR RECOGER","")</f>
        <v/>
      </c>
      <c r="L368" s="301">
        <f>IF(_PENDIENTES!$B$362&lt;&gt;"",_PENDIENTES!$K$362,"")</f>
        <v/>
      </c>
      <c r="M368" s="284">
        <f>IF(_PENDIENTES!$B$362&lt;&gt;"",_PENDIENTES!$B$362,"")</f>
        <v/>
      </c>
      <c r="N368" s="304">
        <f>IF(_PENDIENTES!$B$362&lt;&gt;"",_PENDIENTES!$L$362,"")</f>
        <v/>
      </c>
      <c r="O368" s="284" t="n"/>
      <c r="P368" s="284" t="n"/>
      <c r="Q368" s="284" t="n"/>
      <c r="R368" s="284" t="n"/>
      <c r="S368" s="284" t="n"/>
    </row>
    <row r="369" hidden="1" ht="15.75" customHeight="1" s="195">
      <c r="A369" s="241">
        <f>IF(_PENDIENTES!$B$363&lt;&gt;"",362,"")</f>
        <v/>
      </c>
      <c r="B369" s="236">
        <f>IF(_PENDIENTES!$B$363&lt;&gt;"",_PENDIENTES!$A$363,"")</f>
        <v/>
      </c>
      <c r="C369" s="305">
        <f>IF(_PENDIENTES!$B$363&lt;&gt;"",_PENDIENTES!$C$363,"")</f>
        <v/>
      </c>
      <c r="D369" s="241">
        <f>IF(_PENDIENTES!$B$363&lt;&gt;"",_PENDIENTES!$D$363,"")</f>
        <v/>
      </c>
      <c r="E369" s="307">
        <f>IF(_PENDIENTES!$B$363&lt;&gt;"",_PENDIENTES!$E$363,"")</f>
        <v/>
      </c>
      <c r="F369" s="241">
        <f>IF(_PENDIENTES!$B$363&lt;&gt;"",_PENDIENTES!$F$363,"")</f>
        <v/>
      </c>
      <c r="G369" s="239">
        <f>IF(_PENDIENTES!$B$363&lt;&gt;"",_PENDIENTES!$G$363,"")</f>
        <v/>
      </c>
      <c r="H369" s="239">
        <f>IF(_PENDIENTES!$B$363&lt;&gt;"",_PENDIENTES!$H$363,"")</f>
        <v/>
      </c>
      <c r="I369" s="305">
        <f>IF(_PENDIENTES!$B$363&lt;&gt;"",_PENDIENTES!$I$363,"")</f>
        <v/>
      </c>
      <c r="J369" s="241">
        <f>IF(_PENDIENTES!$B$363&lt;&gt;"",_PENDIENTES!$J$363,"")</f>
        <v/>
      </c>
      <c r="K369" s="241">
        <f>IF(_PENDIENTES!$B$363&lt;&gt;"","POR RECOGER","")</f>
        <v/>
      </c>
      <c r="L369" s="241">
        <f>IF(_PENDIENTES!$B$363&lt;&gt;"",_PENDIENTES!$K$363,"")</f>
        <v/>
      </c>
      <c r="M369" s="284">
        <f>IF(_PENDIENTES!$B$363&lt;&gt;"",_PENDIENTES!$B$363,"")</f>
        <v/>
      </c>
      <c r="N369" s="304">
        <f>IF(_PENDIENTES!$B$363&lt;&gt;"",_PENDIENTES!$L$363,"")</f>
        <v/>
      </c>
      <c r="O369" s="284" t="n"/>
      <c r="P369" s="284" t="n"/>
      <c r="Q369" s="284" t="n"/>
      <c r="R369" s="284" t="n"/>
      <c r="S369" s="284" t="n"/>
    </row>
    <row r="370" hidden="1" ht="15.75" customHeight="1" s="195">
      <c r="A370" s="301">
        <f>IF(_PENDIENTES!$B$364&lt;&gt;"",363,"")</f>
        <v/>
      </c>
      <c r="B370" s="242">
        <f>IF(_PENDIENTES!$B$364&lt;&gt;"",_PENDIENTES!$A$364,"")</f>
        <v/>
      </c>
      <c r="C370" s="302">
        <f>IF(_PENDIENTES!$B$364&lt;&gt;"",_PENDIENTES!$C$364,"")</f>
        <v/>
      </c>
      <c r="D370" s="301">
        <f>IF(_PENDIENTES!$B$364&lt;&gt;"",_PENDIENTES!$D$364,"")</f>
        <v/>
      </c>
      <c r="E370" s="306">
        <f>IF(_PENDIENTES!$B$364&lt;&gt;"",_PENDIENTES!$E$364,"")</f>
        <v/>
      </c>
      <c r="F370" s="301">
        <f>IF(_PENDIENTES!$B$364&lt;&gt;"",_PENDIENTES!$F$364,"")</f>
        <v/>
      </c>
      <c r="G370" s="245">
        <f>IF(_PENDIENTES!$B$364&lt;&gt;"",_PENDIENTES!$G$364,"")</f>
        <v/>
      </c>
      <c r="H370" s="245">
        <f>IF(_PENDIENTES!$B$364&lt;&gt;"",_PENDIENTES!$H$364,"")</f>
        <v/>
      </c>
      <c r="I370" s="302">
        <f>IF(_PENDIENTES!$B$364&lt;&gt;"",_PENDIENTES!$I$364,"")</f>
        <v/>
      </c>
      <c r="J370" s="301">
        <f>IF(_PENDIENTES!$B$364&lt;&gt;"",_PENDIENTES!$J$364,"")</f>
        <v/>
      </c>
      <c r="K370" s="301">
        <f>IF(_PENDIENTES!$B$364&lt;&gt;"","POR RECOGER","")</f>
        <v/>
      </c>
      <c r="L370" s="301">
        <f>IF(_PENDIENTES!$B$364&lt;&gt;"",_PENDIENTES!$K$364,"")</f>
        <v/>
      </c>
      <c r="M370" s="284">
        <f>IF(_PENDIENTES!$B$364&lt;&gt;"",_PENDIENTES!$B$364,"")</f>
        <v/>
      </c>
      <c r="N370" s="304">
        <f>IF(_PENDIENTES!$B$364&lt;&gt;"",_PENDIENTES!$L$364,"")</f>
        <v/>
      </c>
      <c r="O370" s="284" t="n"/>
      <c r="P370" s="284" t="n"/>
      <c r="Q370" s="284" t="n"/>
      <c r="R370" s="284" t="n"/>
      <c r="S370" s="284" t="n"/>
    </row>
    <row r="371" hidden="1" ht="15.75" customHeight="1" s="195">
      <c r="A371" s="241">
        <f>IF(_PENDIENTES!$B$365&lt;&gt;"",364,"")</f>
        <v/>
      </c>
      <c r="B371" s="236">
        <f>IF(_PENDIENTES!$B$365&lt;&gt;"",_PENDIENTES!$A$365,"")</f>
        <v/>
      </c>
      <c r="C371" s="305">
        <f>IF(_PENDIENTES!$B$365&lt;&gt;"",_PENDIENTES!$C$365,"")</f>
        <v/>
      </c>
      <c r="D371" s="241">
        <f>IF(_PENDIENTES!$B$365&lt;&gt;"",_PENDIENTES!$D$365,"")</f>
        <v/>
      </c>
      <c r="E371" s="307">
        <f>IF(_PENDIENTES!$B$365&lt;&gt;"",_PENDIENTES!$E$365,"")</f>
        <v/>
      </c>
      <c r="F371" s="241">
        <f>IF(_PENDIENTES!$B$365&lt;&gt;"",_PENDIENTES!$F$365,"")</f>
        <v/>
      </c>
      <c r="G371" s="239">
        <f>IF(_PENDIENTES!$B$365&lt;&gt;"",_PENDIENTES!$G$365,"")</f>
        <v/>
      </c>
      <c r="H371" s="239">
        <f>IF(_PENDIENTES!$B$365&lt;&gt;"",_PENDIENTES!$H$365,"")</f>
        <v/>
      </c>
      <c r="I371" s="305">
        <f>IF(_PENDIENTES!$B$365&lt;&gt;"",_PENDIENTES!$I$365,"")</f>
        <v/>
      </c>
      <c r="J371" s="241">
        <f>IF(_PENDIENTES!$B$365&lt;&gt;"",_PENDIENTES!$J$365,"")</f>
        <v/>
      </c>
      <c r="K371" s="241">
        <f>IF(_PENDIENTES!$B$365&lt;&gt;"","POR RECOGER","")</f>
        <v/>
      </c>
      <c r="L371" s="241">
        <f>IF(_PENDIENTES!$B$365&lt;&gt;"",_PENDIENTES!$K$365,"")</f>
        <v/>
      </c>
      <c r="M371" s="284">
        <f>IF(_PENDIENTES!$B$365&lt;&gt;"",_PENDIENTES!$B$365,"")</f>
        <v/>
      </c>
      <c r="N371" s="304">
        <f>IF(_PENDIENTES!$B$365&lt;&gt;"",_PENDIENTES!$L$365,"")</f>
        <v/>
      </c>
      <c r="O371" s="284" t="n"/>
      <c r="P371" s="284" t="n"/>
      <c r="Q371" s="284" t="n"/>
      <c r="R371" s="284" t="n"/>
      <c r="S371" s="284" t="n"/>
    </row>
    <row r="372" hidden="1" ht="15.75" customHeight="1" s="195">
      <c r="A372" s="301">
        <f>IF(_PENDIENTES!$B$366&lt;&gt;"",365,"")</f>
        <v/>
      </c>
      <c r="B372" s="242">
        <f>IF(_PENDIENTES!$B$366&lt;&gt;"",_PENDIENTES!$A$366,"")</f>
        <v/>
      </c>
      <c r="C372" s="302">
        <f>IF(_PENDIENTES!$B$366&lt;&gt;"",_PENDIENTES!$C$366,"")</f>
        <v/>
      </c>
      <c r="D372" s="301">
        <f>IF(_PENDIENTES!$B$366&lt;&gt;"",_PENDIENTES!$D$366,"")</f>
        <v/>
      </c>
      <c r="E372" s="306">
        <f>IF(_PENDIENTES!$B$366&lt;&gt;"",_PENDIENTES!$E$366,"")</f>
        <v/>
      </c>
      <c r="F372" s="301">
        <f>IF(_PENDIENTES!$B$366&lt;&gt;"",_PENDIENTES!$F$366,"")</f>
        <v/>
      </c>
      <c r="G372" s="245">
        <f>IF(_PENDIENTES!$B$366&lt;&gt;"",_PENDIENTES!$G$366,"")</f>
        <v/>
      </c>
      <c r="H372" s="245">
        <f>IF(_PENDIENTES!$B$366&lt;&gt;"",_PENDIENTES!$H$366,"")</f>
        <v/>
      </c>
      <c r="I372" s="302">
        <f>IF(_PENDIENTES!$B$366&lt;&gt;"",_PENDIENTES!$I$366,"")</f>
        <v/>
      </c>
      <c r="J372" s="301">
        <f>IF(_PENDIENTES!$B$366&lt;&gt;"",_PENDIENTES!$J$366,"")</f>
        <v/>
      </c>
      <c r="K372" s="301">
        <f>IF(_PENDIENTES!$B$366&lt;&gt;"","POR RECOGER","")</f>
        <v/>
      </c>
      <c r="L372" s="301">
        <f>IF(_PENDIENTES!$B$366&lt;&gt;"",_PENDIENTES!$K$366,"")</f>
        <v/>
      </c>
      <c r="M372" s="284">
        <f>IF(_PENDIENTES!$B$366&lt;&gt;"",_PENDIENTES!$B$366,"")</f>
        <v/>
      </c>
      <c r="N372" s="304">
        <f>IF(_PENDIENTES!$B$366&lt;&gt;"",_PENDIENTES!$L$366,"")</f>
        <v/>
      </c>
      <c r="O372" s="284" t="n"/>
      <c r="P372" s="284" t="n"/>
      <c r="Q372" s="284" t="n"/>
      <c r="R372" s="284" t="n"/>
      <c r="S372" s="284" t="n"/>
    </row>
    <row r="373" hidden="1" ht="15.75" customHeight="1" s="195">
      <c r="A373" s="241">
        <f>IF(_PENDIENTES!$B$367&lt;&gt;"",366,"")</f>
        <v/>
      </c>
      <c r="B373" s="236">
        <f>IF(_PENDIENTES!$B$367&lt;&gt;"",_PENDIENTES!$A$367,"")</f>
        <v/>
      </c>
      <c r="C373" s="305">
        <f>IF(_PENDIENTES!$B$367&lt;&gt;"",_PENDIENTES!$C$367,"")</f>
        <v/>
      </c>
      <c r="D373" s="241">
        <f>IF(_PENDIENTES!$B$367&lt;&gt;"",_PENDIENTES!$D$367,"")</f>
        <v/>
      </c>
      <c r="E373" s="307">
        <f>IF(_PENDIENTES!$B$367&lt;&gt;"",_PENDIENTES!$E$367,"")</f>
        <v/>
      </c>
      <c r="F373" s="241">
        <f>IF(_PENDIENTES!$B$367&lt;&gt;"",_PENDIENTES!$F$367,"")</f>
        <v/>
      </c>
      <c r="G373" s="239">
        <f>IF(_PENDIENTES!$B$367&lt;&gt;"",_PENDIENTES!$G$367,"")</f>
        <v/>
      </c>
      <c r="H373" s="239">
        <f>IF(_PENDIENTES!$B$367&lt;&gt;"",_PENDIENTES!$H$367,"")</f>
        <v/>
      </c>
      <c r="I373" s="305">
        <f>IF(_PENDIENTES!$B$367&lt;&gt;"",_PENDIENTES!$I$367,"")</f>
        <v/>
      </c>
      <c r="J373" s="241">
        <f>IF(_PENDIENTES!$B$367&lt;&gt;"",_PENDIENTES!$J$367,"")</f>
        <v/>
      </c>
      <c r="K373" s="241">
        <f>IF(_PENDIENTES!$B$367&lt;&gt;"","POR RECOGER","")</f>
        <v/>
      </c>
      <c r="L373" s="241">
        <f>IF(_PENDIENTES!$B$367&lt;&gt;"",_PENDIENTES!$K$367,"")</f>
        <v/>
      </c>
      <c r="M373" s="284">
        <f>IF(_PENDIENTES!$B$367&lt;&gt;"",_PENDIENTES!$B$367,"")</f>
        <v/>
      </c>
      <c r="N373" s="304">
        <f>IF(_PENDIENTES!$B$367&lt;&gt;"",_PENDIENTES!$L$367,"")</f>
        <v/>
      </c>
      <c r="O373" s="284" t="n"/>
      <c r="P373" s="284" t="n"/>
      <c r="Q373" s="284" t="n"/>
      <c r="R373" s="284" t="n"/>
      <c r="S373" s="284" t="n"/>
    </row>
    <row r="374" hidden="1" ht="15.75" customHeight="1" s="195">
      <c r="A374" s="301">
        <f>IF(_PENDIENTES!$B$368&lt;&gt;"",367,"")</f>
        <v/>
      </c>
      <c r="B374" s="242">
        <f>IF(_PENDIENTES!$B$368&lt;&gt;"",_PENDIENTES!$A$368,"")</f>
        <v/>
      </c>
      <c r="C374" s="302">
        <f>IF(_PENDIENTES!$B$368&lt;&gt;"",_PENDIENTES!$C$368,"")</f>
        <v/>
      </c>
      <c r="D374" s="301">
        <f>IF(_PENDIENTES!$B$368&lt;&gt;"",_PENDIENTES!$D$368,"")</f>
        <v/>
      </c>
      <c r="E374" s="306">
        <f>IF(_PENDIENTES!$B$368&lt;&gt;"",_PENDIENTES!$E$368,"")</f>
        <v/>
      </c>
      <c r="F374" s="301">
        <f>IF(_PENDIENTES!$B$368&lt;&gt;"",_PENDIENTES!$F$368,"")</f>
        <v/>
      </c>
      <c r="G374" s="245">
        <f>IF(_PENDIENTES!$B$368&lt;&gt;"",_PENDIENTES!$G$368,"")</f>
        <v/>
      </c>
      <c r="H374" s="245">
        <f>IF(_PENDIENTES!$B$368&lt;&gt;"",_PENDIENTES!$H$368,"")</f>
        <v/>
      </c>
      <c r="I374" s="302">
        <f>IF(_PENDIENTES!$B$368&lt;&gt;"",_PENDIENTES!$I$368,"")</f>
        <v/>
      </c>
      <c r="J374" s="301">
        <f>IF(_PENDIENTES!$B$368&lt;&gt;"",_PENDIENTES!$J$368,"")</f>
        <v/>
      </c>
      <c r="K374" s="301">
        <f>IF(_PENDIENTES!$B$368&lt;&gt;"","POR RECOGER","")</f>
        <v/>
      </c>
      <c r="L374" s="301">
        <f>IF(_PENDIENTES!$B$368&lt;&gt;"",_PENDIENTES!$K$368,"")</f>
        <v/>
      </c>
      <c r="M374" s="284">
        <f>IF(_PENDIENTES!$B$368&lt;&gt;"",_PENDIENTES!$B$368,"")</f>
        <v/>
      </c>
      <c r="N374" s="304">
        <f>IF(_PENDIENTES!$B$368&lt;&gt;"",_PENDIENTES!$L$368,"")</f>
        <v/>
      </c>
      <c r="O374" s="284" t="n"/>
      <c r="P374" s="284" t="n"/>
      <c r="Q374" s="284" t="n"/>
      <c r="R374" s="284" t="n"/>
      <c r="S374" s="284" t="n"/>
    </row>
    <row r="375" hidden="1" ht="15.75" customHeight="1" s="195">
      <c r="A375" s="241">
        <f>IF(_PENDIENTES!$B$369&lt;&gt;"",368,"")</f>
        <v/>
      </c>
      <c r="B375" s="236">
        <f>IF(_PENDIENTES!$B$369&lt;&gt;"",_PENDIENTES!$A$369,"")</f>
        <v/>
      </c>
      <c r="C375" s="305">
        <f>IF(_PENDIENTES!$B$369&lt;&gt;"",_PENDIENTES!$C$369,"")</f>
        <v/>
      </c>
      <c r="D375" s="241">
        <f>IF(_PENDIENTES!$B$369&lt;&gt;"",_PENDIENTES!$D$369,"")</f>
        <v/>
      </c>
      <c r="E375" s="307">
        <f>IF(_PENDIENTES!$B$369&lt;&gt;"",_PENDIENTES!$E$369,"")</f>
        <v/>
      </c>
      <c r="F375" s="241">
        <f>IF(_PENDIENTES!$B$369&lt;&gt;"",_PENDIENTES!$F$369,"")</f>
        <v/>
      </c>
      <c r="G375" s="239">
        <f>IF(_PENDIENTES!$B$369&lt;&gt;"",_PENDIENTES!$G$369,"")</f>
        <v/>
      </c>
      <c r="H375" s="239">
        <f>IF(_PENDIENTES!$B$369&lt;&gt;"",_PENDIENTES!$H$369,"")</f>
        <v/>
      </c>
      <c r="I375" s="305">
        <f>IF(_PENDIENTES!$B$369&lt;&gt;"",_PENDIENTES!$I$369,"")</f>
        <v/>
      </c>
      <c r="J375" s="241">
        <f>IF(_PENDIENTES!$B$369&lt;&gt;"",_PENDIENTES!$J$369,"")</f>
        <v/>
      </c>
      <c r="K375" s="241">
        <f>IF(_PENDIENTES!$B$369&lt;&gt;"","POR RECOGER","")</f>
        <v/>
      </c>
      <c r="L375" s="241">
        <f>IF(_PENDIENTES!$B$369&lt;&gt;"",_PENDIENTES!$K$369,"")</f>
        <v/>
      </c>
      <c r="M375" s="284">
        <f>IF(_PENDIENTES!$B$369&lt;&gt;"",_PENDIENTES!$B$369,"")</f>
        <v/>
      </c>
      <c r="N375" s="304">
        <f>IF(_PENDIENTES!$B$369&lt;&gt;"",_PENDIENTES!$L$369,"")</f>
        <v/>
      </c>
      <c r="O375" s="284" t="n"/>
      <c r="P375" s="284" t="n"/>
      <c r="Q375" s="284" t="n"/>
      <c r="R375" s="284" t="n"/>
      <c r="S375" s="284" t="n"/>
    </row>
    <row r="376" hidden="1" ht="15.75" customHeight="1" s="195">
      <c r="A376" s="301">
        <f>IF(_PENDIENTES!$B$370&lt;&gt;"",369,"")</f>
        <v/>
      </c>
      <c r="B376" s="242">
        <f>IF(_PENDIENTES!$B$370&lt;&gt;"",_PENDIENTES!$A$370,"")</f>
        <v/>
      </c>
      <c r="C376" s="302">
        <f>IF(_PENDIENTES!$B$370&lt;&gt;"",_PENDIENTES!$C$370,"")</f>
        <v/>
      </c>
      <c r="D376" s="301">
        <f>IF(_PENDIENTES!$B$370&lt;&gt;"",_PENDIENTES!$D$370,"")</f>
        <v/>
      </c>
      <c r="E376" s="306">
        <f>IF(_PENDIENTES!$B$370&lt;&gt;"",_PENDIENTES!$E$370,"")</f>
        <v/>
      </c>
      <c r="F376" s="301">
        <f>IF(_PENDIENTES!$B$370&lt;&gt;"",_PENDIENTES!$F$370,"")</f>
        <v/>
      </c>
      <c r="G376" s="245">
        <f>IF(_PENDIENTES!$B$370&lt;&gt;"",_PENDIENTES!$G$370,"")</f>
        <v/>
      </c>
      <c r="H376" s="245">
        <f>IF(_PENDIENTES!$B$370&lt;&gt;"",_PENDIENTES!$H$370,"")</f>
        <v/>
      </c>
      <c r="I376" s="302">
        <f>IF(_PENDIENTES!$B$370&lt;&gt;"",_PENDIENTES!$I$370,"")</f>
        <v/>
      </c>
      <c r="J376" s="301">
        <f>IF(_PENDIENTES!$B$370&lt;&gt;"",_PENDIENTES!$J$370,"")</f>
        <v/>
      </c>
      <c r="K376" s="301">
        <f>IF(_PENDIENTES!$B$370&lt;&gt;"","POR RECOGER","")</f>
        <v/>
      </c>
      <c r="L376" s="301">
        <f>IF(_PENDIENTES!$B$370&lt;&gt;"",_PENDIENTES!$K$370,"")</f>
        <v/>
      </c>
      <c r="M376" s="284">
        <f>IF(_PENDIENTES!$B$370&lt;&gt;"",_PENDIENTES!$B$370,"")</f>
        <v/>
      </c>
      <c r="N376" s="304">
        <f>IF(_PENDIENTES!$B$370&lt;&gt;"",_PENDIENTES!$L$370,"")</f>
        <v/>
      </c>
      <c r="O376" s="284" t="n"/>
      <c r="P376" s="284" t="n"/>
      <c r="Q376" s="284" t="n"/>
      <c r="R376" s="284" t="n"/>
      <c r="S376" s="284" t="n"/>
    </row>
    <row r="377" hidden="1" ht="15.75" customHeight="1" s="195">
      <c r="A377" s="241">
        <f>IF(_PENDIENTES!$B$371&lt;&gt;"",370,"")</f>
        <v/>
      </c>
      <c r="B377" s="236">
        <f>IF(_PENDIENTES!$B$371&lt;&gt;"",_PENDIENTES!$A$371,"")</f>
        <v/>
      </c>
      <c r="C377" s="305">
        <f>IF(_PENDIENTES!$B$371&lt;&gt;"",_PENDIENTES!$C$371,"")</f>
        <v/>
      </c>
      <c r="D377" s="241">
        <f>IF(_PENDIENTES!$B$371&lt;&gt;"",_PENDIENTES!$D$371,"")</f>
        <v/>
      </c>
      <c r="E377" s="307">
        <f>IF(_PENDIENTES!$B$371&lt;&gt;"",_PENDIENTES!$E$371,"")</f>
        <v/>
      </c>
      <c r="F377" s="241">
        <f>IF(_PENDIENTES!$B$371&lt;&gt;"",_PENDIENTES!$F$371,"")</f>
        <v/>
      </c>
      <c r="G377" s="239">
        <f>IF(_PENDIENTES!$B$371&lt;&gt;"",_PENDIENTES!$G$371,"")</f>
        <v/>
      </c>
      <c r="H377" s="239">
        <f>IF(_PENDIENTES!$B$371&lt;&gt;"",_PENDIENTES!$H$371,"")</f>
        <v/>
      </c>
      <c r="I377" s="305">
        <f>IF(_PENDIENTES!$B$371&lt;&gt;"",_PENDIENTES!$I$371,"")</f>
        <v/>
      </c>
      <c r="J377" s="241">
        <f>IF(_PENDIENTES!$B$371&lt;&gt;"",_PENDIENTES!$J$371,"")</f>
        <v/>
      </c>
      <c r="K377" s="241">
        <f>IF(_PENDIENTES!$B$371&lt;&gt;"","POR RECOGER","")</f>
        <v/>
      </c>
      <c r="L377" s="241">
        <f>IF(_PENDIENTES!$B$371&lt;&gt;"",_PENDIENTES!$K$371,"")</f>
        <v/>
      </c>
      <c r="M377" s="284">
        <f>IF(_PENDIENTES!$B$371&lt;&gt;"",_PENDIENTES!$B$371,"")</f>
        <v/>
      </c>
      <c r="N377" s="304">
        <f>IF(_PENDIENTES!$B$371&lt;&gt;"",_PENDIENTES!$L$371,"")</f>
        <v/>
      </c>
      <c r="O377" s="284" t="n"/>
      <c r="P377" s="284" t="n"/>
      <c r="Q377" s="284" t="n"/>
      <c r="R377" s="284" t="n"/>
      <c r="S377" s="284" t="n"/>
    </row>
    <row r="378" hidden="1" ht="15.75" customHeight="1" s="195">
      <c r="A378" s="301">
        <f>IF(_PENDIENTES!$B$372&lt;&gt;"",371,"")</f>
        <v/>
      </c>
      <c r="B378" s="242">
        <f>IF(_PENDIENTES!$B$372&lt;&gt;"",_PENDIENTES!$A$372,"")</f>
        <v/>
      </c>
      <c r="C378" s="302">
        <f>IF(_PENDIENTES!$B$372&lt;&gt;"",_PENDIENTES!$C$372,"")</f>
        <v/>
      </c>
      <c r="D378" s="301">
        <f>IF(_PENDIENTES!$B$372&lt;&gt;"",_PENDIENTES!$D$372,"")</f>
        <v/>
      </c>
      <c r="E378" s="306">
        <f>IF(_PENDIENTES!$B$372&lt;&gt;"",_PENDIENTES!$E$372,"")</f>
        <v/>
      </c>
      <c r="F378" s="301">
        <f>IF(_PENDIENTES!$B$372&lt;&gt;"",_PENDIENTES!$F$372,"")</f>
        <v/>
      </c>
      <c r="G378" s="245">
        <f>IF(_PENDIENTES!$B$372&lt;&gt;"",_PENDIENTES!$G$372,"")</f>
        <v/>
      </c>
      <c r="H378" s="245">
        <f>IF(_PENDIENTES!$B$372&lt;&gt;"",_PENDIENTES!$H$372,"")</f>
        <v/>
      </c>
      <c r="I378" s="302">
        <f>IF(_PENDIENTES!$B$372&lt;&gt;"",_PENDIENTES!$I$372,"")</f>
        <v/>
      </c>
      <c r="J378" s="301">
        <f>IF(_PENDIENTES!$B$372&lt;&gt;"",_PENDIENTES!$J$372,"")</f>
        <v/>
      </c>
      <c r="K378" s="301">
        <f>IF(_PENDIENTES!$B$372&lt;&gt;"","POR RECOGER","")</f>
        <v/>
      </c>
      <c r="L378" s="301">
        <f>IF(_PENDIENTES!$B$372&lt;&gt;"",_PENDIENTES!$K$372,"")</f>
        <v/>
      </c>
      <c r="M378" s="284">
        <f>IF(_PENDIENTES!$B$372&lt;&gt;"",_PENDIENTES!$B$372,"")</f>
        <v/>
      </c>
      <c r="N378" s="304">
        <f>IF(_PENDIENTES!$B$372&lt;&gt;"",_PENDIENTES!$L$372,"")</f>
        <v/>
      </c>
      <c r="O378" s="284" t="n"/>
      <c r="P378" s="284" t="n"/>
      <c r="Q378" s="284" t="n"/>
      <c r="R378" s="284" t="n"/>
      <c r="S378" s="284" t="n"/>
    </row>
    <row r="379" hidden="1" ht="15.75" customHeight="1" s="195">
      <c r="A379" s="241">
        <f>IF(_PENDIENTES!$B$373&lt;&gt;"",372,"")</f>
        <v/>
      </c>
      <c r="B379" s="236">
        <f>IF(_PENDIENTES!$B$373&lt;&gt;"",_PENDIENTES!$A$373,"")</f>
        <v/>
      </c>
      <c r="C379" s="305">
        <f>IF(_PENDIENTES!$B$373&lt;&gt;"",_PENDIENTES!$C$373,"")</f>
        <v/>
      </c>
      <c r="D379" s="241">
        <f>IF(_PENDIENTES!$B$373&lt;&gt;"",_PENDIENTES!$D$373,"")</f>
        <v/>
      </c>
      <c r="E379" s="307">
        <f>IF(_PENDIENTES!$B$373&lt;&gt;"",_PENDIENTES!$E$373,"")</f>
        <v/>
      </c>
      <c r="F379" s="241">
        <f>IF(_PENDIENTES!$B$373&lt;&gt;"",_PENDIENTES!$F$373,"")</f>
        <v/>
      </c>
      <c r="G379" s="239">
        <f>IF(_PENDIENTES!$B$373&lt;&gt;"",_PENDIENTES!$G$373,"")</f>
        <v/>
      </c>
      <c r="H379" s="239">
        <f>IF(_PENDIENTES!$B$373&lt;&gt;"",_PENDIENTES!$H$373,"")</f>
        <v/>
      </c>
      <c r="I379" s="305">
        <f>IF(_PENDIENTES!$B$373&lt;&gt;"",_PENDIENTES!$I$373,"")</f>
        <v/>
      </c>
      <c r="J379" s="241">
        <f>IF(_PENDIENTES!$B$373&lt;&gt;"",_PENDIENTES!$J$373,"")</f>
        <v/>
      </c>
      <c r="K379" s="241">
        <f>IF(_PENDIENTES!$B$373&lt;&gt;"","POR RECOGER","")</f>
        <v/>
      </c>
      <c r="L379" s="241">
        <f>IF(_PENDIENTES!$B$373&lt;&gt;"",_PENDIENTES!$K$373,"")</f>
        <v/>
      </c>
      <c r="M379" s="284">
        <f>IF(_PENDIENTES!$B$373&lt;&gt;"",_PENDIENTES!$B$373,"")</f>
        <v/>
      </c>
      <c r="N379" s="304">
        <f>IF(_PENDIENTES!$B$373&lt;&gt;"",_PENDIENTES!$L$373,"")</f>
        <v/>
      </c>
      <c r="O379" s="284" t="n"/>
      <c r="P379" s="284" t="n"/>
      <c r="Q379" s="284" t="n"/>
      <c r="R379" s="284" t="n"/>
      <c r="S379" s="284" t="n"/>
    </row>
    <row r="380" hidden="1" ht="15.75" customHeight="1" s="195">
      <c r="A380" s="301">
        <f>IF(_PENDIENTES!$B$374&lt;&gt;"",373,"")</f>
        <v/>
      </c>
      <c r="B380" s="242">
        <f>IF(_PENDIENTES!$B$374&lt;&gt;"",_PENDIENTES!$A$374,"")</f>
        <v/>
      </c>
      <c r="C380" s="302">
        <f>IF(_PENDIENTES!$B$374&lt;&gt;"",_PENDIENTES!$C$374,"")</f>
        <v/>
      </c>
      <c r="D380" s="301">
        <f>IF(_PENDIENTES!$B$374&lt;&gt;"",_PENDIENTES!$D$374,"")</f>
        <v/>
      </c>
      <c r="E380" s="306">
        <f>IF(_PENDIENTES!$B$374&lt;&gt;"",_PENDIENTES!$E$374,"")</f>
        <v/>
      </c>
      <c r="F380" s="301">
        <f>IF(_PENDIENTES!$B$374&lt;&gt;"",_PENDIENTES!$F$374,"")</f>
        <v/>
      </c>
      <c r="G380" s="245">
        <f>IF(_PENDIENTES!$B$374&lt;&gt;"",_PENDIENTES!$G$374,"")</f>
        <v/>
      </c>
      <c r="H380" s="245">
        <f>IF(_PENDIENTES!$B$374&lt;&gt;"",_PENDIENTES!$H$374,"")</f>
        <v/>
      </c>
      <c r="I380" s="302">
        <f>IF(_PENDIENTES!$B$374&lt;&gt;"",_PENDIENTES!$I$374,"")</f>
        <v/>
      </c>
      <c r="J380" s="301">
        <f>IF(_PENDIENTES!$B$374&lt;&gt;"",_PENDIENTES!$J$374,"")</f>
        <v/>
      </c>
      <c r="K380" s="301">
        <f>IF(_PENDIENTES!$B$374&lt;&gt;"","POR RECOGER","")</f>
        <v/>
      </c>
      <c r="L380" s="301">
        <f>IF(_PENDIENTES!$B$374&lt;&gt;"",_PENDIENTES!$K$374,"")</f>
        <v/>
      </c>
      <c r="M380" s="284">
        <f>IF(_PENDIENTES!$B$374&lt;&gt;"",_PENDIENTES!$B$374,"")</f>
        <v/>
      </c>
      <c r="N380" s="304">
        <f>IF(_PENDIENTES!$B$374&lt;&gt;"",_PENDIENTES!$L$374,"")</f>
        <v/>
      </c>
      <c r="O380" s="284" t="n"/>
      <c r="P380" s="284" t="n"/>
      <c r="Q380" s="284" t="n"/>
      <c r="R380" s="284" t="n"/>
      <c r="S380" s="284" t="n"/>
    </row>
    <row r="381" hidden="1" ht="15.75" customHeight="1" s="195">
      <c r="A381" s="241">
        <f>IF(_PENDIENTES!$B$375&lt;&gt;"",374,"")</f>
        <v/>
      </c>
      <c r="B381" s="236">
        <f>IF(_PENDIENTES!$B$375&lt;&gt;"",_PENDIENTES!$A$375,"")</f>
        <v/>
      </c>
      <c r="C381" s="305">
        <f>IF(_PENDIENTES!$B$375&lt;&gt;"",_PENDIENTES!$C$375,"")</f>
        <v/>
      </c>
      <c r="D381" s="241">
        <f>IF(_PENDIENTES!$B$375&lt;&gt;"",_PENDIENTES!$D$375,"")</f>
        <v/>
      </c>
      <c r="E381" s="307">
        <f>IF(_PENDIENTES!$B$375&lt;&gt;"",_PENDIENTES!$E$375,"")</f>
        <v/>
      </c>
      <c r="F381" s="241">
        <f>IF(_PENDIENTES!$B$375&lt;&gt;"",_PENDIENTES!$F$375,"")</f>
        <v/>
      </c>
      <c r="G381" s="239">
        <f>IF(_PENDIENTES!$B$375&lt;&gt;"",_PENDIENTES!$G$375,"")</f>
        <v/>
      </c>
      <c r="H381" s="239">
        <f>IF(_PENDIENTES!$B$375&lt;&gt;"",_PENDIENTES!$H$375,"")</f>
        <v/>
      </c>
      <c r="I381" s="305">
        <f>IF(_PENDIENTES!$B$375&lt;&gt;"",_PENDIENTES!$I$375,"")</f>
        <v/>
      </c>
      <c r="J381" s="241">
        <f>IF(_PENDIENTES!$B$375&lt;&gt;"",_PENDIENTES!$J$375,"")</f>
        <v/>
      </c>
      <c r="K381" s="241">
        <f>IF(_PENDIENTES!$B$375&lt;&gt;"","POR RECOGER","")</f>
        <v/>
      </c>
      <c r="L381" s="241">
        <f>IF(_PENDIENTES!$B$375&lt;&gt;"",_PENDIENTES!$K$375,"")</f>
        <v/>
      </c>
      <c r="M381" s="284">
        <f>IF(_PENDIENTES!$B$375&lt;&gt;"",_PENDIENTES!$B$375,"")</f>
        <v/>
      </c>
      <c r="N381" s="304">
        <f>IF(_PENDIENTES!$B$375&lt;&gt;"",_PENDIENTES!$L$375,"")</f>
        <v/>
      </c>
      <c r="O381" s="284" t="n"/>
      <c r="P381" s="284" t="n"/>
      <c r="Q381" s="284" t="n"/>
      <c r="R381" s="284" t="n"/>
      <c r="S381" s="284" t="n"/>
    </row>
    <row r="382" hidden="1" ht="15.75" customHeight="1" s="195">
      <c r="A382" s="301">
        <f>IF(_PENDIENTES!$B$376&lt;&gt;"",375,"")</f>
        <v/>
      </c>
      <c r="B382" s="242">
        <f>IF(_PENDIENTES!$B$376&lt;&gt;"",_PENDIENTES!$A$376,"")</f>
        <v/>
      </c>
      <c r="C382" s="302">
        <f>IF(_PENDIENTES!$B$376&lt;&gt;"",_PENDIENTES!$C$376,"")</f>
        <v/>
      </c>
      <c r="D382" s="301">
        <f>IF(_PENDIENTES!$B$376&lt;&gt;"",_PENDIENTES!$D$376,"")</f>
        <v/>
      </c>
      <c r="E382" s="306">
        <f>IF(_PENDIENTES!$B$376&lt;&gt;"",_PENDIENTES!$E$376,"")</f>
        <v/>
      </c>
      <c r="F382" s="301">
        <f>IF(_PENDIENTES!$B$376&lt;&gt;"",_PENDIENTES!$F$376,"")</f>
        <v/>
      </c>
      <c r="G382" s="245">
        <f>IF(_PENDIENTES!$B$376&lt;&gt;"",_PENDIENTES!$G$376,"")</f>
        <v/>
      </c>
      <c r="H382" s="245">
        <f>IF(_PENDIENTES!$B$376&lt;&gt;"",_PENDIENTES!$H$376,"")</f>
        <v/>
      </c>
      <c r="I382" s="302">
        <f>IF(_PENDIENTES!$B$376&lt;&gt;"",_PENDIENTES!$I$376,"")</f>
        <v/>
      </c>
      <c r="J382" s="301">
        <f>IF(_PENDIENTES!$B$376&lt;&gt;"",_PENDIENTES!$J$376,"")</f>
        <v/>
      </c>
      <c r="K382" s="301">
        <f>IF(_PENDIENTES!$B$376&lt;&gt;"","POR RECOGER","")</f>
        <v/>
      </c>
      <c r="L382" s="301">
        <f>IF(_PENDIENTES!$B$376&lt;&gt;"",_PENDIENTES!$K$376,"")</f>
        <v/>
      </c>
      <c r="M382" s="284">
        <f>IF(_PENDIENTES!$B$376&lt;&gt;"",_PENDIENTES!$B$376,"")</f>
        <v/>
      </c>
      <c r="N382" s="304">
        <f>IF(_PENDIENTES!$B$376&lt;&gt;"",_PENDIENTES!$L$376,"")</f>
        <v/>
      </c>
      <c r="O382" s="284" t="n"/>
      <c r="P382" s="284" t="n"/>
      <c r="Q382" s="284" t="n"/>
      <c r="R382" s="284" t="n"/>
      <c r="S382" s="284" t="n"/>
    </row>
    <row r="383" hidden="1" ht="15.75" customHeight="1" s="195">
      <c r="A383" s="241">
        <f>IF(_PENDIENTES!$B$377&lt;&gt;"",376,"")</f>
        <v/>
      </c>
      <c r="B383" s="236">
        <f>IF(_PENDIENTES!$B$377&lt;&gt;"",_PENDIENTES!$A$377,"")</f>
        <v/>
      </c>
      <c r="C383" s="305">
        <f>IF(_PENDIENTES!$B$377&lt;&gt;"",_PENDIENTES!$C$377,"")</f>
        <v/>
      </c>
      <c r="D383" s="241">
        <f>IF(_PENDIENTES!$B$377&lt;&gt;"",_PENDIENTES!$D$377,"")</f>
        <v/>
      </c>
      <c r="E383" s="307">
        <f>IF(_PENDIENTES!$B$377&lt;&gt;"",_PENDIENTES!$E$377,"")</f>
        <v/>
      </c>
      <c r="F383" s="241">
        <f>IF(_PENDIENTES!$B$377&lt;&gt;"",_PENDIENTES!$F$377,"")</f>
        <v/>
      </c>
      <c r="G383" s="239">
        <f>IF(_PENDIENTES!$B$377&lt;&gt;"",_PENDIENTES!$G$377,"")</f>
        <v/>
      </c>
      <c r="H383" s="239">
        <f>IF(_PENDIENTES!$B$377&lt;&gt;"",_PENDIENTES!$H$377,"")</f>
        <v/>
      </c>
      <c r="I383" s="305">
        <f>IF(_PENDIENTES!$B$377&lt;&gt;"",_PENDIENTES!$I$377,"")</f>
        <v/>
      </c>
      <c r="J383" s="241">
        <f>IF(_PENDIENTES!$B$377&lt;&gt;"",_PENDIENTES!$J$377,"")</f>
        <v/>
      </c>
      <c r="K383" s="241">
        <f>IF(_PENDIENTES!$B$377&lt;&gt;"","POR RECOGER","")</f>
        <v/>
      </c>
      <c r="L383" s="241">
        <f>IF(_PENDIENTES!$B$377&lt;&gt;"",_PENDIENTES!$K$377,"")</f>
        <v/>
      </c>
      <c r="M383" s="284">
        <f>IF(_PENDIENTES!$B$377&lt;&gt;"",_PENDIENTES!$B$377,"")</f>
        <v/>
      </c>
      <c r="N383" s="304">
        <f>IF(_PENDIENTES!$B$377&lt;&gt;"",_PENDIENTES!$L$377,"")</f>
        <v/>
      </c>
      <c r="O383" s="284" t="n"/>
      <c r="P383" s="284" t="n"/>
      <c r="Q383" s="284" t="n"/>
      <c r="R383" s="284" t="n"/>
      <c r="S383" s="284" t="n"/>
    </row>
    <row r="384" hidden="1" ht="15.75" customHeight="1" s="195">
      <c r="A384" s="301">
        <f>IF(_PENDIENTES!$B$378&lt;&gt;"",377,"")</f>
        <v/>
      </c>
      <c r="B384" s="242">
        <f>IF(_PENDIENTES!$B$378&lt;&gt;"",_PENDIENTES!$A$378,"")</f>
        <v/>
      </c>
      <c r="C384" s="302">
        <f>IF(_PENDIENTES!$B$378&lt;&gt;"",_PENDIENTES!$C$378,"")</f>
        <v/>
      </c>
      <c r="D384" s="301">
        <f>IF(_PENDIENTES!$B$378&lt;&gt;"",_PENDIENTES!$D$378,"")</f>
        <v/>
      </c>
      <c r="E384" s="306">
        <f>IF(_PENDIENTES!$B$378&lt;&gt;"",_PENDIENTES!$E$378,"")</f>
        <v/>
      </c>
      <c r="F384" s="301">
        <f>IF(_PENDIENTES!$B$378&lt;&gt;"",_PENDIENTES!$F$378,"")</f>
        <v/>
      </c>
      <c r="G384" s="245">
        <f>IF(_PENDIENTES!$B$378&lt;&gt;"",_PENDIENTES!$G$378,"")</f>
        <v/>
      </c>
      <c r="H384" s="245">
        <f>IF(_PENDIENTES!$B$378&lt;&gt;"",_PENDIENTES!$H$378,"")</f>
        <v/>
      </c>
      <c r="I384" s="302">
        <f>IF(_PENDIENTES!$B$378&lt;&gt;"",_PENDIENTES!$I$378,"")</f>
        <v/>
      </c>
      <c r="J384" s="301">
        <f>IF(_PENDIENTES!$B$378&lt;&gt;"",_PENDIENTES!$J$378,"")</f>
        <v/>
      </c>
      <c r="K384" s="301">
        <f>IF(_PENDIENTES!$B$378&lt;&gt;"","POR RECOGER","")</f>
        <v/>
      </c>
      <c r="L384" s="301">
        <f>IF(_PENDIENTES!$B$378&lt;&gt;"",_PENDIENTES!$K$378,"")</f>
        <v/>
      </c>
      <c r="M384" s="284">
        <f>IF(_PENDIENTES!$B$378&lt;&gt;"",_PENDIENTES!$B$378,"")</f>
        <v/>
      </c>
      <c r="N384" s="304">
        <f>IF(_PENDIENTES!$B$378&lt;&gt;"",_PENDIENTES!$L$378,"")</f>
        <v/>
      </c>
      <c r="O384" s="284" t="n"/>
      <c r="P384" s="284" t="n"/>
      <c r="Q384" s="284" t="n"/>
      <c r="R384" s="284" t="n"/>
      <c r="S384" s="284" t="n"/>
    </row>
    <row r="385" hidden="1" ht="15.75" customHeight="1" s="195">
      <c r="A385" s="241">
        <f>IF(_PENDIENTES!$B$379&lt;&gt;"",378,"")</f>
        <v/>
      </c>
      <c r="B385" s="236">
        <f>IF(_PENDIENTES!$B$379&lt;&gt;"",_PENDIENTES!$A$379,"")</f>
        <v/>
      </c>
      <c r="C385" s="305">
        <f>IF(_PENDIENTES!$B$379&lt;&gt;"",_PENDIENTES!$C$379,"")</f>
        <v/>
      </c>
      <c r="D385" s="241">
        <f>IF(_PENDIENTES!$B$379&lt;&gt;"",_PENDIENTES!$D$379,"")</f>
        <v/>
      </c>
      <c r="E385" s="307">
        <f>IF(_PENDIENTES!$B$379&lt;&gt;"",_PENDIENTES!$E$379,"")</f>
        <v/>
      </c>
      <c r="F385" s="241">
        <f>IF(_PENDIENTES!$B$379&lt;&gt;"",_PENDIENTES!$F$379,"")</f>
        <v/>
      </c>
      <c r="G385" s="239">
        <f>IF(_PENDIENTES!$B$379&lt;&gt;"",_PENDIENTES!$G$379,"")</f>
        <v/>
      </c>
      <c r="H385" s="239">
        <f>IF(_PENDIENTES!$B$379&lt;&gt;"",_PENDIENTES!$H$379,"")</f>
        <v/>
      </c>
      <c r="I385" s="305">
        <f>IF(_PENDIENTES!$B$379&lt;&gt;"",_PENDIENTES!$I$379,"")</f>
        <v/>
      </c>
      <c r="J385" s="241">
        <f>IF(_PENDIENTES!$B$379&lt;&gt;"",_PENDIENTES!$J$379,"")</f>
        <v/>
      </c>
      <c r="K385" s="241">
        <f>IF(_PENDIENTES!$B$379&lt;&gt;"","POR RECOGER","")</f>
        <v/>
      </c>
      <c r="L385" s="241">
        <f>IF(_PENDIENTES!$B$379&lt;&gt;"",_PENDIENTES!$K$379,"")</f>
        <v/>
      </c>
      <c r="M385" s="284">
        <f>IF(_PENDIENTES!$B$379&lt;&gt;"",_PENDIENTES!$B$379,"")</f>
        <v/>
      </c>
      <c r="N385" s="304">
        <f>IF(_PENDIENTES!$B$379&lt;&gt;"",_PENDIENTES!$L$379,"")</f>
        <v/>
      </c>
      <c r="O385" s="284" t="n"/>
      <c r="P385" s="284" t="n"/>
      <c r="Q385" s="284" t="n"/>
      <c r="R385" s="284" t="n"/>
      <c r="S385" s="284" t="n"/>
    </row>
    <row r="386" hidden="1" ht="15.75" customHeight="1" s="195">
      <c r="A386" s="301">
        <f>IF(_PENDIENTES!$B$380&lt;&gt;"",379,"")</f>
        <v/>
      </c>
      <c r="B386" s="242">
        <f>IF(_PENDIENTES!$B$380&lt;&gt;"",_PENDIENTES!$A$380,"")</f>
        <v/>
      </c>
      <c r="C386" s="302">
        <f>IF(_PENDIENTES!$B$380&lt;&gt;"",_PENDIENTES!$C$380,"")</f>
        <v/>
      </c>
      <c r="D386" s="301">
        <f>IF(_PENDIENTES!$B$380&lt;&gt;"",_PENDIENTES!$D$380,"")</f>
        <v/>
      </c>
      <c r="E386" s="306">
        <f>IF(_PENDIENTES!$B$380&lt;&gt;"",_PENDIENTES!$E$380,"")</f>
        <v/>
      </c>
      <c r="F386" s="301">
        <f>IF(_PENDIENTES!$B$380&lt;&gt;"",_PENDIENTES!$F$380,"")</f>
        <v/>
      </c>
      <c r="G386" s="245">
        <f>IF(_PENDIENTES!$B$380&lt;&gt;"",_PENDIENTES!$G$380,"")</f>
        <v/>
      </c>
      <c r="H386" s="245">
        <f>IF(_PENDIENTES!$B$380&lt;&gt;"",_PENDIENTES!$H$380,"")</f>
        <v/>
      </c>
      <c r="I386" s="302">
        <f>IF(_PENDIENTES!$B$380&lt;&gt;"",_PENDIENTES!$I$380,"")</f>
        <v/>
      </c>
      <c r="J386" s="301">
        <f>IF(_PENDIENTES!$B$380&lt;&gt;"",_PENDIENTES!$J$380,"")</f>
        <v/>
      </c>
      <c r="K386" s="301">
        <f>IF(_PENDIENTES!$B$380&lt;&gt;"","POR RECOGER","")</f>
        <v/>
      </c>
      <c r="L386" s="301">
        <f>IF(_PENDIENTES!$B$380&lt;&gt;"",_PENDIENTES!$K$380,"")</f>
        <v/>
      </c>
      <c r="M386" s="284">
        <f>IF(_PENDIENTES!$B$380&lt;&gt;"",_PENDIENTES!$B$380,"")</f>
        <v/>
      </c>
      <c r="N386" s="304">
        <f>IF(_PENDIENTES!$B$380&lt;&gt;"",_PENDIENTES!$L$380,"")</f>
        <v/>
      </c>
      <c r="O386" s="284" t="n"/>
      <c r="P386" s="284" t="n"/>
      <c r="Q386" s="284" t="n"/>
      <c r="R386" s="284" t="n"/>
      <c r="S386" s="284" t="n"/>
    </row>
    <row r="387" hidden="1" ht="15.75" customHeight="1" s="195">
      <c r="A387" s="241">
        <f>IF(_PENDIENTES!$B$381&lt;&gt;"",380,"")</f>
        <v/>
      </c>
      <c r="B387" s="236">
        <f>IF(_PENDIENTES!$B$381&lt;&gt;"",_PENDIENTES!$A$381,"")</f>
        <v/>
      </c>
      <c r="C387" s="305">
        <f>IF(_PENDIENTES!$B$381&lt;&gt;"",_PENDIENTES!$C$381,"")</f>
        <v/>
      </c>
      <c r="D387" s="241">
        <f>IF(_PENDIENTES!$B$381&lt;&gt;"",_PENDIENTES!$D$381,"")</f>
        <v/>
      </c>
      <c r="E387" s="307">
        <f>IF(_PENDIENTES!$B$381&lt;&gt;"",_PENDIENTES!$E$381,"")</f>
        <v/>
      </c>
      <c r="F387" s="241">
        <f>IF(_PENDIENTES!$B$381&lt;&gt;"",_PENDIENTES!$F$381,"")</f>
        <v/>
      </c>
      <c r="G387" s="239">
        <f>IF(_PENDIENTES!$B$381&lt;&gt;"",_PENDIENTES!$G$381,"")</f>
        <v/>
      </c>
      <c r="H387" s="239">
        <f>IF(_PENDIENTES!$B$381&lt;&gt;"",_PENDIENTES!$H$381,"")</f>
        <v/>
      </c>
      <c r="I387" s="305">
        <f>IF(_PENDIENTES!$B$381&lt;&gt;"",_PENDIENTES!$I$381,"")</f>
        <v/>
      </c>
      <c r="J387" s="241">
        <f>IF(_PENDIENTES!$B$381&lt;&gt;"",_PENDIENTES!$J$381,"")</f>
        <v/>
      </c>
      <c r="K387" s="241">
        <f>IF(_PENDIENTES!$B$381&lt;&gt;"","POR RECOGER","")</f>
        <v/>
      </c>
      <c r="L387" s="241">
        <f>IF(_PENDIENTES!$B$381&lt;&gt;"",_PENDIENTES!$K$381,"")</f>
        <v/>
      </c>
      <c r="M387" s="284">
        <f>IF(_PENDIENTES!$B$381&lt;&gt;"",_PENDIENTES!$B$381,"")</f>
        <v/>
      </c>
      <c r="N387" s="304">
        <f>IF(_PENDIENTES!$B$381&lt;&gt;"",_PENDIENTES!$L$381,"")</f>
        <v/>
      </c>
      <c r="O387" s="284" t="n"/>
      <c r="P387" s="284" t="n"/>
      <c r="Q387" s="284" t="n"/>
      <c r="R387" s="284" t="n"/>
      <c r="S387" s="284" t="n"/>
    </row>
    <row r="388" hidden="1" ht="15.75" customHeight="1" s="195">
      <c r="A388" s="301">
        <f>IF(_PENDIENTES!$B$382&lt;&gt;"",381,"")</f>
        <v/>
      </c>
      <c r="B388" s="242">
        <f>IF(_PENDIENTES!$B$382&lt;&gt;"",_PENDIENTES!$A$382,"")</f>
        <v/>
      </c>
      <c r="C388" s="302">
        <f>IF(_PENDIENTES!$B$382&lt;&gt;"",_PENDIENTES!$C$382,"")</f>
        <v/>
      </c>
      <c r="D388" s="301">
        <f>IF(_PENDIENTES!$B$382&lt;&gt;"",_PENDIENTES!$D$382,"")</f>
        <v/>
      </c>
      <c r="E388" s="306">
        <f>IF(_PENDIENTES!$B$382&lt;&gt;"",_PENDIENTES!$E$382,"")</f>
        <v/>
      </c>
      <c r="F388" s="301">
        <f>IF(_PENDIENTES!$B$382&lt;&gt;"",_PENDIENTES!$F$382,"")</f>
        <v/>
      </c>
      <c r="G388" s="245">
        <f>IF(_PENDIENTES!$B$382&lt;&gt;"",_PENDIENTES!$G$382,"")</f>
        <v/>
      </c>
      <c r="H388" s="245">
        <f>IF(_PENDIENTES!$B$382&lt;&gt;"",_PENDIENTES!$H$382,"")</f>
        <v/>
      </c>
      <c r="I388" s="302">
        <f>IF(_PENDIENTES!$B$382&lt;&gt;"",_PENDIENTES!$I$382,"")</f>
        <v/>
      </c>
      <c r="J388" s="301">
        <f>IF(_PENDIENTES!$B$382&lt;&gt;"",_PENDIENTES!$J$382,"")</f>
        <v/>
      </c>
      <c r="K388" s="301">
        <f>IF(_PENDIENTES!$B$382&lt;&gt;"","POR RECOGER","")</f>
        <v/>
      </c>
      <c r="L388" s="301">
        <f>IF(_PENDIENTES!$B$382&lt;&gt;"",_PENDIENTES!$K$382,"")</f>
        <v/>
      </c>
      <c r="M388" s="284">
        <f>IF(_PENDIENTES!$B$382&lt;&gt;"",_PENDIENTES!$B$382,"")</f>
        <v/>
      </c>
      <c r="N388" s="304">
        <f>IF(_PENDIENTES!$B$382&lt;&gt;"",_PENDIENTES!$L$382,"")</f>
        <v/>
      </c>
      <c r="O388" s="284" t="n"/>
      <c r="P388" s="284" t="n"/>
      <c r="Q388" s="284" t="n"/>
      <c r="R388" s="284" t="n"/>
      <c r="S388" s="284" t="n"/>
    </row>
    <row r="389" hidden="1" ht="15.75" customHeight="1" s="195">
      <c r="A389" s="241">
        <f>IF(_PENDIENTES!$B$383&lt;&gt;"",382,"")</f>
        <v/>
      </c>
      <c r="B389" s="236">
        <f>IF(_PENDIENTES!$B$383&lt;&gt;"",_PENDIENTES!$A$383,"")</f>
        <v/>
      </c>
      <c r="C389" s="305">
        <f>IF(_PENDIENTES!$B$383&lt;&gt;"",_PENDIENTES!$C$383,"")</f>
        <v/>
      </c>
      <c r="D389" s="241">
        <f>IF(_PENDIENTES!$B$383&lt;&gt;"",_PENDIENTES!$D$383,"")</f>
        <v/>
      </c>
      <c r="E389" s="307">
        <f>IF(_PENDIENTES!$B$383&lt;&gt;"",_PENDIENTES!$E$383,"")</f>
        <v/>
      </c>
      <c r="F389" s="241">
        <f>IF(_PENDIENTES!$B$383&lt;&gt;"",_PENDIENTES!$F$383,"")</f>
        <v/>
      </c>
      <c r="G389" s="239">
        <f>IF(_PENDIENTES!$B$383&lt;&gt;"",_PENDIENTES!$G$383,"")</f>
        <v/>
      </c>
      <c r="H389" s="239">
        <f>IF(_PENDIENTES!$B$383&lt;&gt;"",_PENDIENTES!$H$383,"")</f>
        <v/>
      </c>
      <c r="I389" s="305">
        <f>IF(_PENDIENTES!$B$383&lt;&gt;"",_PENDIENTES!$I$383,"")</f>
        <v/>
      </c>
      <c r="J389" s="241">
        <f>IF(_PENDIENTES!$B$383&lt;&gt;"",_PENDIENTES!$J$383,"")</f>
        <v/>
      </c>
      <c r="K389" s="241">
        <f>IF(_PENDIENTES!$B$383&lt;&gt;"","POR RECOGER","")</f>
        <v/>
      </c>
      <c r="L389" s="241">
        <f>IF(_PENDIENTES!$B$383&lt;&gt;"",_PENDIENTES!$K$383,"")</f>
        <v/>
      </c>
      <c r="M389" s="284">
        <f>IF(_PENDIENTES!$B$383&lt;&gt;"",_PENDIENTES!$B$383,"")</f>
        <v/>
      </c>
      <c r="N389" s="304">
        <f>IF(_PENDIENTES!$B$383&lt;&gt;"",_PENDIENTES!$L$383,"")</f>
        <v/>
      </c>
      <c r="O389" s="284" t="n"/>
      <c r="P389" s="284" t="n"/>
      <c r="Q389" s="284" t="n"/>
      <c r="R389" s="284" t="n"/>
      <c r="S389" s="284" t="n"/>
    </row>
    <row r="390" hidden="1" ht="15.75" customHeight="1" s="195">
      <c r="A390" s="301">
        <f>IF(_PENDIENTES!$B$384&lt;&gt;"",383,"")</f>
        <v/>
      </c>
      <c r="B390" s="242">
        <f>IF(_PENDIENTES!$B$384&lt;&gt;"",_PENDIENTES!$A$384,"")</f>
        <v/>
      </c>
      <c r="C390" s="302">
        <f>IF(_PENDIENTES!$B$384&lt;&gt;"",_PENDIENTES!$C$384,"")</f>
        <v/>
      </c>
      <c r="D390" s="301">
        <f>IF(_PENDIENTES!$B$384&lt;&gt;"",_PENDIENTES!$D$384,"")</f>
        <v/>
      </c>
      <c r="E390" s="306">
        <f>IF(_PENDIENTES!$B$384&lt;&gt;"",_PENDIENTES!$E$384,"")</f>
        <v/>
      </c>
      <c r="F390" s="301">
        <f>IF(_PENDIENTES!$B$384&lt;&gt;"",_PENDIENTES!$F$384,"")</f>
        <v/>
      </c>
      <c r="G390" s="245">
        <f>IF(_PENDIENTES!$B$384&lt;&gt;"",_PENDIENTES!$G$384,"")</f>
        <v/>
      </c>
      <c r="H390" s="245">
        <f>IF(_PENDIENTES!$B$384&lt;&gt;"",_PENDIENTES!$H$384,"")</f>
        <v/>
      </c>
      <c r="I390" s="302">
        <f>IF(_PENDIENTES!$B$384&lt;&gt;"",_PENDIENTES!$I$384,"")</f>
        <v/>
      </c>
      <c r="J390" s="301">
        <f>IF(_PENDIENTES!$B$384&lt;&gt;"",_PENDIENTES!$J$384,"")</f>
        <v/>
      </c>
      <c r="K390" s="301">
        <f>IF(_PENDIENTES!$B$384&lt;&gt;"","POR RECOGER","")</f>
        <v/>
      </c>
      <c r="L390" s="301">
        <f>IF(_PENDIENTES!$B$384&lt;&gt;"",_PENDIENTES!$K$384,"")</f>
        <v/>
      </c>
      <c r="M390" s="284">
        <f>IF(_PENDIENTES!$B$384&lt;&gt;"",_PENDIENTES!$B$384,"")</f>
        <v/>
      </c>
      <c r="N390" s="304">
        <f>IF(_PENDIENTES!$B$384&lt;&gt;"",_PENDIENTES!$L$384,"")</f>
        <v/>
      </c>
      <c r="O390" s="284" t="n"/>
      <c r="P390" s="284" t="n"/>
      <c r="Q390" s="284" t="n"/>
      <c r="R390" s="284" t="n"/>
      <c r="S390" s="284" t="n"/>
    </row>
    <row r="391" hidden="1" ht="15.75" customHeight="1" s="195">
      <c r="A391" s="241">
        <f>IF(_PENDIENTES!$B$385&lt;&gt;"",384,"")</f>
        <v/>
      </c>
      <c r="B391" s="236">
        <f>IF(_PENDIENTES!$B$385&lt;&gt;"",_PENDIENTES!$A$385,"")</f>
        <v/>
      </c>
      <c r="C391" s="305">
        <f>IF(_PENDIENTES!$B$385&lt;&gt;"",_PENDIENTES!$C$385,"")</f>
        <v/>
      </c>
      <c r="D391" s="241">
        <f>IF(_PENDIENTES!$B$385&lt;&gt;"",_PENDIENTES!$D$385,"")</f>
        <v/>
      </c>
      <c r="E391" s="307">
        <f>IF(_PENDIENTES!$B$385&lt;&gt;"",_PENDIENTES!$E$385,"")</f>
        <v/>
      </c>
      <c r="F391" s="241">
        <f>IF(_PENDIENTES!$B$385&lt;&gt;"",_PENDIENTES!$F$385,"")</f>
        <v/>
      </c>
      <c r="G391" s="239">
        <f>IF(_PENDIENTES!$B$385&lt;&gt;"",_PENDIENTES!$G$385,"")</f>
        <v/>
      </c>
      <c r="H391" s="239">
        <f>IF(_PENDIENTES!$B$385&lt;&gt;"",_PENDIENTES!$H$385,"")</f>
        <v/>
      </c>
      <c r="I391" s="305">
        <f>IF(_PENDIENTES!$B$385&lt;&gt;"",_PENDIENTES!$I$385,"")</f>
        <v/>
      </c>
      <c r="J391" s="241">
        <f>IF(_PENDIENTES!$B$385&lt;&gt;"",_PENDIENTES!$J$385,"")</f>
        <v/>
      </c>
      <c r="K391" s="241">
        <f>IF(_PENDIENTES!$B$385&lt;&gt;"","POR RECOGER","")</f>
        <v/>
      </c>
      <c r="L391" s="241">
        <f>IF(_PENDIENTES!$B$385&lt;&gt;"",_PENDIENTES!$K$385,"")</f>
        <v/>
      </c>
      <c r="M391" s="284">
        <f>IF(_PENDIENTES!$B$385&lt;&gt;"",_PENDIENTES!$B$385,"")</f>
        <v/>
      </c>
      <c r="N391" s="304">
        <f>IF(_PENDIENTES!$B$385&lt;&gt;"",_PENDIENTES!$L$385,"")</f>
        <v/>
      </c>
      <c r="O391" s="284" t="n"/>
      <c r="P391" s="284" t="n"/>
      <c r="Q391" s="284" t="n"/>
      <c r="R391" s="284" t="n"/>
      <c r="S391" s="284" t="n"/>
    </row>
    <row r="392" hidden="1" ht="15.75" customHeight="1" s="195">
      <c r="A392" s="301">
        <f>IF(_PENDIENTES!$B$386&lt;&gt;"",385,"")</f>
        <v/>
      </c>
      <c r="B392" s="242">
        <f>IF(_PENDIENTES!$B$386&lt;&gt;"",_PENDIENTES!$A$386,"")</f>
        <v/>
      </c>
      <c r="C392" s="302">
        <f>IF(_PENDIENTES!$B$386&lt;&gt;"",_PENDIENTES!$C$386,"")</f>
        <v/>
      </c>
      <c r="D392" s="301">
        <f>IF(_PENDIENTES!$B$386&lt;&gt;"",_PENDIENTES!$D$386,"")</f>
        <v/>
      </c>
      <c r="E392" s="306">
        <f>IF(_PENDIENTES!$B$386&lt;&gt;"",_PENDIENTES!$E$386,"")</f>
        <v/>
      </c>
      <c r="F392" s="301">
        <f>IF(_PENDIENTES!$B$386&lt;&gt;"",_PENDIENTES!$F$386,"")</f>
        <v/>
      </c>
      <c r="G392" s="245">
        <f>IF(_PENDIENTES!$B$386&lt;&gt;"",_PENDIENTES!$G$386,"")</f>
        <v/>
      </c>
      <c r="H392" s="245">
        <f>IF(_PENDIENTES!$B$386&lt;&gt;"",_PENDIENTES!$H$386,"")</f>
        <v/>
      </c>
      <c r="I392" s="302">
        <f>IF(_PENDIENTES!$B$386&lt;&gt;"",_PENDIENTES!$I$386,"")</f>
        <v/>
      </c>
      <c r="J392" s="301">
        <f>IF(_PENDIENTES!$B$386&lt;&gt;"",_PENDIENTES!$J$386,"")</f>
        <v/>
      </c>
      <c r="K392" s="301">
        <f>IF(_PENDIENTES!$B$386&lt;&gt;"","POR RECOGER","")</f>
        <v/>
      </c>
      <c r="L392" s="301">
        <f>IF(_PENDIENTES!$B$386&lt;&gt;"",_PENDIENTES!$K$386,"")</f>
        <v/>
      </c>
      <c r="M392" s="284">
        <f>IF(_PENDIENTES!$B$386&lt;&gt;"",_PENDIENTES!$B$386,"")</f>
        <v/>
      </c>
      <c r="N392" s="304">
        <f>IF(_PENDIENTES!$B$386&lt;&gt;"",_PENDIENTES!$L$386,"")</f>
        <v/>
      </c>
      <c r="O392" s="284" t="n"/>
      <c r="P392" s="284" t="n"/>
      <c r="Q392" s="284" t="n"/>
      <c r="R392" s="284" t="n"/>
      <c r="S392" s="284" t="n"/>
    </row>
    <row r="393" hidden="1" ht="15.75" customHeight="1" s="195">
      <c r="A393" s="241">
        <f>IF(_PENDIENTES!$B$387&lt;&gt;"",386,"")</f>
        <v/>
      </c>
      <c r="B393" s="236">
        <f>IF(_PENDIENTES!$B$387&lt;&gt;"",_PENDIENTES!$A$387,"")</f>
        <v/>
      </c>
      <c r="C393" s="305">
        <f>IF(_PENDIENTES!$B$387&lt;&gt;"",_PENDIENTES!$C$387,"")</f>
        <v/>
      </c>
      <c r="D393" s="241">
        <f>IF(_PENDIENTES!$B$387&lt;&gt;"",_PENDIENTES!$D$387,"")</f>
        <v/>
      </c>
      <c r="E393" s="307">
        <f>IF(_PENDIENTES!$B$387&lt;&gt;"",_PENDIENTES!$E$387,"")</f>
        <v/>
      </c>
      <c r="F393" s="241">
        <f>IF(_PENDIENTES!$B$387&lt;&gt;"",_PENDIENTES!$F$387,"")</f>
        <v/>
      </c>
      <c r="G393" s="239">
        <f>IF(_PENDIENTES!$B$387&lt;&gt;"",_PENDIENTES!$G$387,"")</f>
        <v/>
      </c>
      <c r="H393" s="239">
        <f>IF(_PENDIENTES!$B$387&lt;&gt;"",_PENDIENTES!$H$387,"")</f>
        <v/>
      </c>
      <c r="I393" s="305">
        <f>IF(_PENDIENTES!$B$387&lt;&gt;"",_PENDIENTES!$I$387,"")</f>
        <v/>
      </c>
      <c r="J393" s="241">
        <f>IF(_PENDIENTES!$B$387&lt;&gt;"",_PENDIENTES!$J$387,"")</f>
        <v/>
      </c>
      <c r="K393" s="241">
        <f>IF(_PENDIENTES!$B$387&lt;&gt;"","POR RECOGER","")</f>
        <v/>
      </c>
      <c r="L393" s="241">
        <f>IF(_PENDIENTES!$B$387&lt;&gt;"",_PENDIENTES!$K$387,"")</f>
        <v/>
      </c>
      <c r="M393" s="284">
        <f>IF(_PENDIENTES!$B$387&lt;&gt;"",_PENDIENTES!$B$387,"")</f>
        <v/>
      </c>
      <c r="N393" s="304">
        <f>IF(_PENDIENTES!$B$387&lt;&gt;"",_PENDIENTES!$L$387,"")</f>
        <v/>
      </c>
      <c r="O393" s="284" t="n"/>
      <c r="P393" s="284" t="n"/>
      <c r="Q393" s="284" t="n"/>
      <c r="R393" s="284" t="n"/>
      <c r="S393" s="284" t="n"/>
    </row>
    <row r="394" hidden="1" ht="15.75" customHeight="1" s="195">
      <c r="A394" s="301">
        <f>IF(_PENDIENTES!$B$388&lt;&gt;"",387,"")</f>
        <v/>
      </c>
      <c r="B394" s="242">
        <f>IF(_PENDIENTES!$B$388&lt;&gt;"",_PENDIENTES!$A$388,"")</f>
        <v/>
      </c>
      <c r="C394" s="302">
        <f>IF(_PENDIENTES!$B$388&lt;&gt;"",_PENDIENTES!$C$388,"")</f>
        <v/>
      </c>
      <c r="D394" s="301">
        <f>IF(_PENDIENTES!$B$388&lt;&gt;"",_PENDIENTES!$D$388,"")</f>
        <v/>
      </c>
      <c r="E394" s="306">
        <f>IF(_PENDIENTES!$B$388&lt;&gt;"",_PENDIENTES!$E$388,"")</f>
        <v/>
      </c>
      <c r="F394" s="301">
        <f>IF(_PENDIENTES!$B$388&lt;&gt;"",_PENDIENTES!$F$388,"")</f>
        <v/>
      </c>
      <c r="G394" s="245">
        <f>IF(_PENDIENTES!$B$388&lt;&gt;"",_PENDIENTES!$G$388,"")</f>
        <v/>
      </c>
      <c r="H394" s="245">
        <f>IF(_PENDIENTES!$B$388&lt;&gt;"",_PENDIENTES!$H$388,"")</f>
        <v/>
      </c>
      <c r="I394" s="302">
        <f>IF(_PENDIENTES!$B$388&lt;&gt;"",_PENDIENTES!$I$388,"")</f>
        <v/>
      </c>
      <c r="J394" s="301">
        <f>IF(_PENDIENTES!$B$388&lt;&gt;"",_PENDIENTES!$J$388,"")</f>
        <v/>
      </c>
      <c r="K394" s="301">
        <f>IF(_PENDIENTES!$B$388&lt;&gt;"","POR RECOGER","")</f>
        <v/>
      </c>
      <c r="L394" s="301">
        <f>IF(_PENDIENTES!$B$388&lt;&gt;"",_PENDIENTES!$K$388,"")</f>
        <v/>
      </c>
      <c r="M394" s="284">
        <f>IF(_PENDIENTES!$B$388&lt;&gt;"",_PENDIENTES!$B$388,"")</f>
        <v/>
      </c>
      <c r="N394" s="304">
        <f>IF(_PENDIENTES!$B$388&lt;&gt;"",_PENDIENTES!$L$388,"")</f>
        <v/>
      </c>
      <c r="O394" s="284" t="n"/>
      <c r="P394" s="284" t="n"/>
      <c r="Q394" s="284" t="n"/>
      <c r="R394" s="284" t="n"/>
      <c r="S394" s="284" t="n"/>
    </row>
    <row r="395" hidden="1" ht="15.75" customHeight="1" s="195">
      <c r="A395" s="241">
        <f>IF(_PENDIENTES!$B$389&lt;&gt;"",388,"")</f>
        <v/>
      </c>
      <c r="B395" s="236">
        <f>IF(_PENDIENTES!$B$389&lt;&gt;"",_PENDIENTES!$A$389,"")</f>
        <v/>
      </c>
      <c r="C395" s="305">
        <f>IF(_PENDIENTES!$B$389&lt;&gt;"",_PENDIENTES!$C$389,"")</f>
        <v/>
      </c>
      <c r="D395" s="241">
        <f>IF(_PENDIENTES!$B$389&lt;&gt;"",_PENDIENTES!$D$389,"")</f>
        <v/>
      </c>
      <c r="E395" s="307">
        <f>IF(_PENDIENTES!$B$389&lt;&gt;"",_PENDIENTES!$E$389,"")</f>
        <v/>
      </c>
      <c r="F395" s="241">
        <f>IF(_PENDIENTES!$B$389&lt;&gt;"",_PENDIENTES!$F$389,"")</f>
        <v/>
      </c>
      <c r="G395" s="239">
        <f>IF(_PENDIENTES!$B$389&lt;&gt;"",_PENDIENTES!$G$389,"")</f>
        <v/>
      </c>
      <c r="H395" s="239">
        <f>IF(_PENDIENTES!$B$389&lt;&gt;"",_PENDIENTES!$H$389,"")</f>
        <v/>
      </c>
      <c r="I395" s="305">
        <f>IF(_PENDIENTES!$B$389&lt;&gt;"",_PENDIENTES!$I$389,"")</f>
        <v/>
      </c>
      <c r="J395" s="241">
        <f>IF(_PENDIENTES!$B$389&lt;&gt;"",_PENDIENTES!$J$389,"")</f>
        <v/>
      </c>
      <c r="K395" s="241">
        <f>IF(_PENDIENTES!$B$389&lt;&gt;"","POR RECOGER","")</f>
        <v/>
      </c>
      <c r="L395" s="241">
        <f>IF(_PENDIENTES!$B$389&lt;&gt;"",_PENDIENTES!$K$389,"")</f>
        <v/>
      </c>
      <c r="M395" s="284">
        <f>IF(_PENDIENTES!$B$389&lt;&gt;"",_PENDIENTES!$B$389,"")</f>
        <v/>
      </c>
      <c r="N395" s="304">
        <f>IF(_PENDIENTES!$B$389&lt;&gt;"",_PENDIENTES!$L$389,"")</f>
        <v/>
      </c>
      <c r="O395" s="284" t="n"/>
      <c r="P395" s="284" t="n"/>
      <c r="Q395" s="284" t="n"/>
      <c r="R395" s="284" t="n"/>
      <c r="S395" s="284" t="n"/>
    </row>
    <row r="396" hidden="1" ht="15.75" customHeight="1" s="195">
      <c r="A396" s="301">
        <f>IF(_PENDIENTES!$B$390&lt;&gt;"",389,"")</f>
        <v/>
      </c>
      <c r="B396" s="242">
        <f>IF(_PENDIENTES!$B$390&lt;&gt;"",_PENDIENTES!$A$390,"")</f>
        <v/>
      </c>
      <c r="C396" s="302">
        <f>IF(_PENDIENTES!$B$390&lt;&gt;"",_PENDIENTES!$C$390,"")</f>
        <v/>
      </c>
      <c r="D396" s="301">
        <f>IF(_PENDIENTES!$B$390&lt;&gt;"",_PENDIENTES!$D$390,"")</f>
        <v/>
      </c>
      <c r="E396" s="306">
        <f>IF(_PENDIENTES!$B$390&lt;&gt;"",_PENDIENTES!$E$390,"")</f>
        <v/>
      </c>
      <c r="F396" s="301">
        <f>IF(_PENDIENTES!$B$390&lt;&gt;"",_PENDIENTES!$F$390,"")</f>
        <v/>
      </c>
      <c r="G396" s="245">
        <f>IF(_PENDIENTES!$B$390&lt;&gt;"",_PENDIENTES!$G$390,"")</f>
        <v/>
      </c>
      <c r="H396" s="245">
        <f>IF(_PENDIENTES!$B$390&lt;&gt;"",_PENDIENTES!$H$390,"")</f>
        <v/>
      </c>
      <c r="I396" s="302">
        <f>IF(_PENDIENTES!$B$390&lt;&gt;"",_PENDIENTES!$I$390,"")</f>
        <v/>
      </c>
      <c r="J396" s="301">
        <f>IF(_PENDIENTES!$B$390&lt;&gt;"",_PENDIENTES!$J$390,"")</f>
        <v/>
      </c>
      <c r="K396" s="301">
        <f>IF(_PENDIENTES!$B$390&lt;&gt;"","POR RECOGER","")</f>
        <v/>
      </c>
      <c r="L396" s="301">
        <f>IF(_PENDIENTES!$B$390&lt;&gt;"",_PENDIENTES!$K$390,"")</f>
        <v/>
      </c>
      <c r="M396" s="284">
        <f>IF(_PENDIENTES!$B$390&lt;&gt;"",_PENDIENTES!$B$390,"")</f>
        <v/>
      </c>
      <c r="N396" s="304">
        <f>IF(_PENDIENTES!$B$390&lt;&gt;"",_PENDIENTES!$L$390,"")</f>
        <v/>
      </c>
      <c r="O396" s="284" t="n"/>
      <c r="P396" s="284" t="n"/>
      <c r="Q396" s="284" t="n"/>
      <c r="R396" s="284" t="n"/>
      <c r="S396" s="284" t="n"/>
    </row>
    <row r="397" hidden="1" ht="15.75" customHeight="1" s="195">
      <c r="A397" s="241">
        <f>IF(_PENDIENTES!$B$391&lt;&gt;"",390,"")</f>
        <v/>
      </c>
      <c r="B397" s="236">
        <f>IF(_PENDIENTES!$B$391&lt;&gt;"",_PENDIENTES!$A$391,"")</f>
        <v/>
      </c>
      <c r="C397" s="305">
        <f>IF(_PENDIENTES!$B$391&lt;&gt;"",_PENDIENTES!$C$391,"")</f>
        <v/>
      </c>
      <c r="D397" s="241">
        <f>IF(_PENDIENTES!$B$391&lt;&gt;"",_PENDIENTES!$D$391,"")</f>
        <v/>
      </c>
      <c r="E397" s="307">
        <f>IF(_PENDIENTES!$B$391&lt;&gt;"",_PENDIENTES!$E$391,"")</f>
        <v/>
      </c>
      <c r="F397" s="241">
        <f>IF(_PENDIENTES!$B$391&lt;&gt;"",_PENDIENTES!$F$391,"")</f>
        <v/>
      </c>
      <c r="G397" s="239">
        <f>IF(_PENDIENTES!$B$391&lt;&gt;"",_PENDIENTES!$G$391,"")</f>
        <v/>
      </c>
      <c r="H397" s="239">
        <f>IF(_PENDIENTES!$B$391&lt;&gt;"",_PENDIENTES!$H$391,"")</f>
        <v/>
      </c>
      <c r="I397" s="305">
        <f>IF(_PENDIENTES!$B$391&lt;&gt;"",_PENDIENTES!$I$391,"")</f>
        <v/>
      </c>
      <c r="J397" s="241">
        <f>IF(_PENDIENTES!$B$391&lt;&gt;"",_PENDIENTES!$J$391,"")</f>
        <v/>
      </c>
      <c r="K397" s="241">
        <f>IF(_PENDIENTES!$B$391&lt;&gt;"","POR RECOGER","")</f>
        <v/>
      </c>
      <c r="L397" s="241">
        <f>IF(_PENDIENTES!$B$391&lt;&gt;"",_PENDIENTES!$K$391,"")</f>
        <v/>
      </c>
      <c r="M397" s="284">
        <f>IF(_PENDIENTES!$B$391&lt;&gt;"",_PENDIENTES!$B$391,"")</f>
        <v/>
      </c>
      <c r="N397" s="304">
        <f>IF(_PENDIENTES!$B$391&lt;&gt;"",_PENDIENTES!$L$391,"")</f>
        <v/>
      </c>
      <c r="O397" s="284" t="n"/>
      <c r="P397" s="284" t="n"/>
      <c r="Q397" s="284" t="n"/>
      <c r="R397" s="284" t="n"/>
      <c r="S397" s="284" t="n"/>
    </row>
    <row r="398" hidden="1" ht="15.75" customHeight="1" s="195">
      <c r="A398" s="301">
        <f>IF(_PENDIENTES!$B$392&lt;&gt;"",391,"")</f>
        <v/>
      </c>
      <c r="B398" s="242">
        <f>IF(_PENDIENTES!$B$392&lt;&gt;"",_PENDIENTES!$A$392,"")</f>
        <v/>
      </c>
      <c r="C398" s="302">
        <f>IF(_PENDIENTES!$B$392&lt;&gt;"",_PENDIENTES!$C$392,"")</f>
        <v/>
      </c>
      <c r="D398" s="301">
        <f>IF(_PENDIENTES!$B$392&lt;&gt;"",_PENDIENTES!$D$392,"")</f>
        <v/>
      </c>
      <c r="E398" s="306">
        <f>IF(_PENDIENTES!$B$392&lt;&gt;"",_PENDIENTES!$E$392,"")</f>
        <v/>
      </c>
      <c r="F398" s="301">
        <f>IF(_PENDIENTES!$B$392&lt;&gt;"",_PENDIENTES!$F$392,"")</f>
        <v/>
      </c>
      <c r="G398" s="245">
        <f>IF(_PENDIENTES!$B$392&lt;&gt;"",_PENDIENTES!$G$392,"")</f>
        <v/>
      </c>
      <c r="H398" s="245">
        <f>IF(_PENDIENTES!$B$392&lt;&gt;"",_PENDIENTES!$H$392,"")</f>
        <v/>
      </c>
      <c r="I398" s="302">
        <f>IF(_PENDIENTES!$B$392&lt;&gt;"",_PENDIENTES!$I$392,"")</f>
        <v/>
      </c>
      <c r="J398" s="301">
        <f>IF(_PENDIENTES!$B$392&lt;&gt;"",_PENDIENTES!$J$392,"")</f>
        <v/>
      </c>
      <c r="K398" s="301">
        <f>IF(_PENDIENTES!$B$392&lt;&gt;"","POR RECOGER","")</f>
        <v/>
      </c>
      <c r="L398" s="301">
        <f>IF(_PENDIENTES!$B$392&lt;&gt;"",_PENDIENTES!$K$392,"")</f>
        <v/>
      </c>
      <c r="M398" s="284">
        <f>IF(_PENDIENTES!$B$392&lt;&gt;"",_PENDIENTES!$B$392,"")</f>
        <v/>
      </c>
      <c r="N398" s="304">
        <f>IF(_PENDIENTES!$B$392&lt;&gt;"",_PENDIENTES!$L$392,"")</f>
        <v/>
      </c>
      <c r="O398" s="284" t="n"/>
      <c r="P398" s="284" t="n"/>
      <c r="Q398" s="284" t="n"/>
      <c r="R398" s="284" t="n"/>
      <c r="S398" s="284" t="n"/>
    </row>
    <row r="399" hidden="1" ht="15.75" customHeight="1" s="195">
      <c r="A399" s="241">
        <f>IF(_PENDIENTES!$B$393&lt;&gt;"",392,"")</f>
        <v/>
      </c>
      <c r="B399" s="236">
        <f>IF(_PENDIENTES!$B$393&lt;&gt;"",_PENDIENTES!$A$393,"")</f>
        <v/>
      </c>
      <c r="C399" s="305">
        <f>IF(_PENDIENTES!$B$393&lt;&gt;"",_PENDIENTES!$C$393,"")</f>
        <v/>
      </c>
      <c r="D399" s="241">
        <f>IF(_PENDIENTES!$B$393&lt;&gt;"",_PENDIENTES!$D$393,"")</f>
        <v/>
      </c>
      <c r="E399" s="307">
        <f>IF(_PENDIENTES!$B$393&lt;&gt;"",_PENDIENTES!$E$393,"")</f>
        <v/>
      </c>
      <c r="F399" s="241">
        <f>IF(_PENDIENTES!$B$393&lt;&gt;"",_PENDIENTES!$F$393,"")</f>
        <v/>
      </c>
      <c r="G399" s="239">
        <f>IF(_PENDIENTES!$B$393&lt;&gt;"",_PENDIENTES!$G$393,"")</f>
        <v/>
      </c>
      <c r="H399" s="239">
        <f>IF(_PENDIENTES!$B$393&lt;&gt;"",_PENDIENTES!$H$393,"")</f>
        <v/>
      </c>
      <c r="I399" s="305">
        <f>IF(_PENDIENTES!$B$393&lt;&gt;"",_PENDIENTES!$I$393,"")</f>
        <v/>
      </c>
      <c r="J399" s="241">
        <f>IF(_PENDIENTES!$B$393&lt;&gt;"",_PENDIENTES!$J$393,"")</f>
        <v/>
      </c>
      <c r="K399" s="241">
        <f>IF(_PENDIENTES!$B$393&lt;&gt;"","POR RECOGER","")</f>
        <v/>
      </c>
      <c r="L399" s="241">
        <f>IF(_PENDIENTES!$B$393&lt;&gt;"",_PENDIENTES!$K$393,"")</f>
        <v/>
      </c>
      <c r="M399" s="284">
        <f>IF(_PENDIENTES!$B$393&lt;&gt;"",_PENDIENTES!$B$393,"")</f>
        <v/>
      </c>
      <c r="N399" s="304">
        <f>IF(_PENDIENTES!$B$393&lt;&gt;"",_PENDIENTES!$L$393,"")</f>
        <v/>
      </c>
      <c r="O399" s="284" t="n"/>
      <c r="P399" s="284" t="n"/>
      <c r="Q399" s="284" t="n"/>
      <c r="R399" s="284" t="n"/>
      <c r="S399" s="284" t="n"/>
    </row>
    <row r="400" hidden="1" ht="15.75" customHeight="1" s="195">
      <c r="A400" s="301">
        <f>IF(_PENDIENTES!$B$394&lt;&gt;"",393,"")</f>
        <v/>
      </c>
      <c r="B400" s="242">
        <f>IF(_PENDIENTES!$B$394&lt;&gt;"",_PENDIENTES!$A$394,"")</f>
        <v/>
      </c>
      <c r="C400" s="302">
        <f>IF(_PENDIENTES!$B$394&lt;&gt;"",_PENDIENTES!$C$394,"")</f>
        <v/>
      </c>
      <c r="D400" s="301">
        <f>IF(_PENDIENTES!$B$394&lt;&gt;"",_PENDIENTES!$D$394,"")</f>
        <v/>
      </c>
      <c r="E400" s="306">
        <f>IF(_PENDIENTES!$B$394&lt;&gt;"",_PENDIENTES!$E$394,"")</f>
        <v/>
      </c>
      <c r="F400" s="301">
        <f>IF(_PENDIENTES!$B$394&lt;&gt;"",_PENDIENTES!$F$394,"")</f>
        <v/>
      </c>
      <c r="G400" s="245">
        <f>IF(_PENDIENTES!$B$394&lt;&gt;"",_PENDIENTES!$G$394,"")</f>
        <v/>
      </c>
      <c r="H400" s="245">
        <f>IF(_PENDIENTES!$B$394&lt;&gt;"",_PENDIENTES!$H$394,"")</f>
        <v/>
      </c>
      <c r="I400" s="302">
        <f>IF(_PENDIENTES!$B$394&lt;&gt;"",_PENDIENTES!$I$394,"")</f>
        <v/>
      </c>
      <c r="J400" s="301">
        <f>IF(_PENDIENTES!$B$394&lt;&gt;"",_PENDIENTES!$J$394,"")</f>
        <v/>
      </c>
      <c r="K400" s="301">
        <f>IF(_PENDIENTES!$B$394&lt;&gt;"","POR RECOGER","")</f>
        <v/>
      </c>
      <c r="L400" s="301">
        <f>IF(_PENDIENTES!$B$394&lt;&gt;"",_PENDIENTES!$K$394,"")</f>
        <v/>
      </c>
      <c r="M400" s="284">
        <f>IF(_PENDIENTES!$B$394&lt;&gt;"",_PENDIENTES!$B$394,"")</f>
        <v/>
      </c>
      <c r="N400" s="304">
        <f>IF(_PENDIENTES!$B$394&lt;&gt;"",_PENDIENTES!$L$394,"")</f>
        <v/>
      </c>
      <c r="O400" s="284" t="n"/>
      <c r="P400" s="284" t="n"/>
      <c r="Q400" s="284" t="n"/>
      <c r="R400" s="284" t="n"/>
      <c r="S400" s="284" t="n"/>
    </row>
    <row r="401" hidden="1" ht="15.75" customHeight="1" s="195">
      <c r="A401" s="241">
        <f>IF(_PENDIENTES!$B$395&lt;&gt;"",394,"")</f>
        <v/>
      </c>
      <c r="B401" s="236">
        <f>IF(_PENDIENTES!$B$395&lt;&gt;"",_PENDIENTES!$A$395,"")</f>
        <v/>
      </c>
      <c r="C401" s="305">
        <f>IF(_PENDIENTES!$B$395&lt;&gt;"",_PENDIENTES!$C$395,"")</f>
        <v/>
      </c>
      <c r="D401" s="241">
        <f>IF(_PENDIENTES!$B$395&lt;&gt;"",_PENDIENTES!$D$395,"")</f>
        <v/>
      </c>
      <c r="E401" s="307">
        <f>IF(_PENDIENTES!$B$395&lt;&gt;"",_PENDIENTES!$E$395,"")</f>
        <v/>
      </c>
      <c r="F401" s="241">
        <f>IF(_PENDIENTES!$B$395&lt;&gt;"",_PENDIENTES!$F$395,"")</f>
        <v/>
      </c>
      <c r="G401" s="239">
        <f>IF(_PENDIENTES!$B$395&lt;&gt;"",_PENDIENTES!$G$395,"")</f>
        <v/>
      </c>
      <c r="H401" s="239">
        <f>IF(_PENDIENTES!$B$395&lt;&gt;"",_PENDIENTES!$H$395,"")</f>
        <v/>
      </c>
      <c r="I401" s="305">
        <f>IF(_PENDIENTES!$B$395&lt;&gt;"",_PENDIENTES!$I$395,"")</f>
        <v/>
      </c>
      <c r="J401" s="241">
        <f>IF(_PENDIENTES!$B$395&lt;&gt;"",_PENDIENTES!$J$395,"")</f>
        <v/>
      </c>
      <c r="K401" s="241">
        <f>IF(_PENDIENTES!$B$395&lt;&gt;"","POR RECOGER","")</f>
        <v/>
      </c>
      <c r="L401" s="241">
        <f>IF(_PENDIENTES!$B$395&lt;&gt;"",_PENDIENTES!$K$395,"")</f>
        <v/>
      </c>
      <c r="M401" s="284">
        <f>IF(_PENDIENTES!$B$395&lt;&gt;"",_PENDIENTES!$B$395,"")</f>
        <v/>
      </c>
      <c r="N401" s="304">
        <f>IF(_PENDIENTES!$B$395&lt;&gt;"",_PENDIENTES!$L$395,"")</f>
        <v/>
      </c>
      <c r="O401" s="284" t="n"/>
      <c r="P401" s="284" t="n"/>
      <c r="Q401" s="284" t="n"/>
      <c r="R401" s="284" t="n"/>
      <c r="S401" s="284" t="n"/>
    </row>
    <row r="402" hidden="1" ht="15.75" customHeight="1" s="195">
      <c r="A402" s="301">
        <f>IF(_PENDIENTES!$B$396&lt;&gt;"",395,"")</f>
        <v/>
      </c>
      <c r="B402" s="242">
        <f>IF(_PENDIENTES!$B$396&lt;&gt;"",_PENDIENTES!$A$396,"")</f>
        <v/>
      </c>
      <c r="C402" s="302">
        <f>IF(_PENDIENTES!$B$396&lt;&gt;"",_PENDIENTES!$C$396,"")</f>
        <v/>
      </c>
      <c r="D402" s="301">
        <f>IF(_PENDIENTES!$B$396&lt;&gt;"",_PENDIENTES!$D$396,"")</f>
        <v/>
      </c>
      <c r="E402" s="306">
        <f>IF(_PENDIENTES!$B$396&lt;&gt;"",_PENDIENTES!$E$396,"")</f>
        <v/>
      </c>
      <c r="F402" s="301">
        <f>IF(_PENDIENTES!$B$396&lt;&gt;"",_PENDIENTES!$F$396,"")</f>
        <v/>
      </c>
      <c r="G402" s="245">
        <f>IF(_PENDIENTES!$B$396&lt;&gt;"",_PENDIENTES!$G$396,"")</f>
        <v/>
      </c>
      <c r="H402" s="245">
        <f>IF(_PENDIENTES!$B$396&lt;&gt;"",_PENDIENTES!$H$396,"")</f>
        <v/>
      </c>
      <c r="I402" s="302">
        <f>IF(_PENDIENTES!$B$396&lt;&gt;"",_PENDIENTES!$I$396,"")</f>
        <v/>
      </c>
      <c r="J402" s="301">
        <f>IF(_PENDIENTES!$B$396&lt;&gt;"",_PENDIENTES!$J$396,"")</f>
        <v/>
      </c>
      <c r="K402" s="301">
        <f>IF(_PENDIENTES!$B$396&lt;&gt;"","POR RECOGER","")</f>
        <v/>
      </c>
      <c r="L402" s="301">
        <f>IF(_PENDIENTES!$B$396&lt;&gt;"",_PENDIENTES!$K$396,"")</f>
        <v/>
      </c>
      <c r="M402" s="284">
        <f>IF(_PENDIENTES!$B$396&lt;&gt;"",_PENDIENTES!$B$396,"")</f>
        <v/>
      </c>
      <c r="N402" s="304">
        <f>IF(_PENDIENTES!$B$396&lt;&gt;"",_PENDIENTES!$L$396,"")</f>
        <v/>
      </c>
      <c r="O402" s="284" t="n"/>
      <c r="P402" s="284" t="n"/>
      <c r="Q402" s="284" t="n"/>
      <c r="R402" s="284" t="n"/>
      <c r="S402" s="284" t="n"/>
    </row>
    <row r="403" hidden="1" ht="15.75" customHeight="1" s="195">
      <c r="A403" s="241">
        <f>IF(_PENDIENTES!$B$397&lt;&gt;"",396,"")</f>
        <v/>
      </c>
      <c r="B403" s="236">
        <f>IF(_PENDIENTES!$B$397&lt;&gt;"",_PENDIENTES!$A$397,"")</f>
        <v/>
      </c>
      <c r="C403" s="305">
        <f>IF(_PENDIENTES!$B$397&lt;&gt;"",_PENDIENTES!$C$397,"")</f>
        <v/>
      </c>
      <c r="D403" s="241">
        <f>IF(_PENDIENTES!$B$397&lt;&gt;"",_PENDIENTES!$D$397,"")</f>
        <v/>
      </c>
      <c r="E403" s="307">
        <f>IF(_PENDIENTES!$B$397&lt;&gt;"",_PENDIENTES!$E$397,"")</f>
        <v/>
      </c>
      <c r="F403" s="241">
        <f>IF(_PENDIENTES!$B$397&lt;&gt;"",_PENDIENTES!$F$397,"")</f>
        <v/>
      </c>
      <c r="G403" s="239">
        <f>IF(_PENDIENTES!$B$397&lt;&gt;"",_PENDIENTES!$G$397,"")</f>
        <v/>
      </c>
      <c r="H403" s="239">
        <f>IF(_PENDIENTES!$B$397&lt;&gt;"",_PENDIENTES!$H$397,"")</f>
        <v/>
      </c>
      <c r="I403" s="305">
        <f>IF(_PENDIENTES!$B$397&lt;&gt;"",_PENDIENTES!$I$397,"")</f>
        <v/>
      </c>
      <c r="J403" s="241">
        <f>IF(_PENDIENTES!$B$397&lt;&gt;"",_PENDIENTES!$J$397,"")</f>
        <v/>
      </c>
      <c r="K403" s="241">
        <f>IF(_PENDIENTES!$B$397&lt;&gt;"","POR RECOGER","")</f>
        <v/>
      </c>
      <c r="L403" s="241">
        <f>IF(_PENDIENTES!$B$397&lt;&gt;"",_PENDIENTES!$K$397,"")</f>
        <v/>
      </c>
      <c r="M403" s="284">
        <f>IF(_PENDIENTES!$B$397&lt;&gt;"",_PENDIENTES!$B$397,"")</f>
        <v/>
      </c>
      <c r="N403" s="304">
        <f>IF(_PENDIENTES!$B$397&lt;&gt;"",_PENDIENTES!$L$397,"")</f>
        <v/>
      </c>
      <c r="O403" s="284" t="n"/>
      <c r="P403" s="284" t="n"/>
      <c r="Q403" s="284" t="n"/>
      <c r="R403" s="284" t="n"/>
      <c r="S403" s="284" t="n"/>
    </row>
    <row r="404" hidden="1" ht="15.75" customHeight="1" s="195">
      <c r="A404" s="301">
        <f>IF(_PENDIENTES!$B$398&lt;&gt;"",397,"")</f>
        <v/>
      </c>
      <c r="B404" s="242">
        <f>IF(_PENDIENTES!$B$398&lt;&gt;"",_PENDIENTES!$A$398,"")</f>
        <v/>
      </c>
      <c r="C404" s="302">
        <f>IF(_PENDIENTES!$B$398&lt;&gt;"",_PENDIENTES!$C$398,"")</f>
        <v/>
      </c>
      <c r="D404" s="301">
        <f>IF(_PENDIENTES!$B$398&lt;&gt;"",_PENDIENTES!$D$398,"")</f>
        <v/>
      </c>
      <c r="E404" s="306">
        <f>IF(_PENDIENTES!$B$398&lt;&gt;"",_PENDIENTES!$E$398,"")</f>
        <v/>
      </c>
      <c r="F404" s="301">
        <f>IF(_PENDIENTES!$B$398&lt;&gt;"",_PENDIENTES!$F$398,"")</f>
        <v/>
      </c>
      <c r="G404" s="245">
        <f>IF(_PENDIENTES!$B$398&lt;&gt;"",_PENDIENTES!$G$398,"")</f>
        <v/>
      </c>
      <c r="H404" s="245">
        <f>IF(_PENDIENTES!$B$398&lt;&gt;"",_PENDIENTES!$H$398,"")</f>
        <v/>
      </c>
      <c r="I404" s="302">
        <f>IF(_PENDIENTES!$B$398&lt;&gt;"",_PENDIENTES!$I$398,"")</f>
        <v/>
      </c>
      <c r="J404" s="301">
        <f>IF(_PENDIENTES!$B$398&lt;&gt;"",_PENDIENTES!$J$398,"")</f>
        <v/>
      </c>
      <c r="K404" s="301">
        <f>IF(_PENDIENTES!$B$398&lt;&gt;"","POR RECOGER","")</f>
        <v/>
      </c>
      <c r="L404" s="301">
        <f>IF(_PENDIENTES!$B$398&lt;&gt;"",_PENDIENTES!$K$398,"")</f>
        <v/>
      </c>
      <c r="M404" s="284">
        <f>IF(_PENDIENTES!$B$398&lt;&gt;"",_PENDIENTES!$B$398,"")</f>
        <v/>
      </c>
      <c r="N404" s="304">
        <f>IF(_PENDIENTES!$B$398&lt;&gt;"",_PENDIENTES!$L$398,"")</f>
        <v/>
      </c>
      <c r="O404" s="284" t="n"/>
      <c r="P404" s="284" t="n"/>
      <c r="Q404" s="284" t="n"/>
      <c r="R404" s="284" t="n"/>
      <c r="S404" s="284" t="n"/>
    </row>
    <row r="405" hidden="1" ht="15.75" customHeight="1" s="195">
      <c r="A405" s="241">
        <f>IF(_PENDIENTES!$B$399&lt;&gt;"",398,"")</f>
        <v/>
      </c>
      <c r="B405" s="236">
        <f>IF(_PENDIENTES!$B$399&lt;&gt;"",_PENDIENTES!$A$399,"")</f>
        <v/>
      </c>
      <c r="C405" s="305">
        <f>IF(_PENDIENTES!$B$399&lt;&gt;"",_PENDIENTES!$C$399,"")</f>
        <v/>
      </c>
      <c r="D405" s="241">
        <f>IF(_PENDIENTES!$B$399&lt;&gt;"",_PENDIENTES!$D$399,"")</f>
        <v/>
      </c>
      <c r="E405" s="307">
        <f>IF(_PENDIENTES!$B$399&lt;&gt;"",_PENDIENTES!$E$399,"")</f>
        <v/>
      </c>
      <c r="F405" s="241">
        <f>IF(_PENDIENTES!$B$399&lt;&gt;"",_PENDIENTES!$F$399,"")</f>
        <v/>
      </c>
      <c r="G405" s="239">
        <f>IF(_PENDIENTES!$B$399&lt;&gt;"",_PENDIENTES!$G$399,"")</f>
        <v/>
      </c>
      <c r="H405" s="239">
        <f>IF(_PENDIENTES!$B$399&lt;&gt;"",_PENDIENTES!$H$399,"")</f>
        <v/>
      </c>
      <c r="I405" s="305">
        <f>IF(_PENDIENTES!$B$399&lt;&gt;"",_PENDIENTES!$I$399,"")</f>
        <v/>
      </c>
      <c r="J405" s="241">
        <f>IF(_PENDIENTES!$B$399&lt;&gt;"",_PENDIENTES!$J$399,"")</f>
        <v/>
      </c>
      <c r="K405" s="241">
        <f>IF(_PENDIENTES!$B$399&lt;&gt;"","POR RECOGER","")</f>
        <v/>
      </c>
      <c r="L405" s="241">
        <f>IF(_PENDIENTES!$B$399&lt;&gt;"",_PENDIENTES!$K$399,"")</f>
        <v/>
      </c>
      <c r="M405" s="284">
        <f>IF(_PENDIENTES!$B$399&lt;&gt;"",_PENDIENTES!$B$399,"")</f>
        <v/>
      </c>
      <c r="N405" s="304">
        <f>IF(_PENDIENTES!$B$399&lt;&gt;"",_PENDIENTES!$L$399,"")</f>
        <v/>
      </c>
      <c r="O405" s="284" t="n"/>
      <c r="P405" s="284" t="n"/>
      <c r="Q405" s="284" t="n"/>
      <c r="R405" s="284" t="n"/>
      <c r="S405" s="284" t="n"/>
    </row>
    <row r="406" hidden="1" ht="15.75" customHeight="1" s="195">
      <c r="A406" s="301">
        <f>IF(_PENDIENTES!$B$400&lt;&gt;"",399,"")</f>
        <v/>
      </c>
      <c r="B406" s="242">
        <f>IF(_PENDIENTES!$B$400&lt;&gt;"",_PENDIENTES!$A$400,"")</f>
        <v/>
      </c>
      <c r="C406" s="302">
        <f>IF(_PENDIENTES!$B$400&lt;&gt;"",_PENDIENTES!$C$400,"")</f>
        <v/>
      </c>
      <c r="D406" s="301">
        <f>IF(_PENDIENTES!$B$400&lt;&gt;"",_PENDIENTES!$D$400,"")</f>
        <v/>
      </c>
      <c r="E406" s="306">
        <f>IF(_PENDIENTES!$B$400&lt;&gt;"",_PENDIENTES!$E$400,"")</f>
        <v/>
      </c>
      <c r="F406" s="301">
        <f>IF(_PENDIENTES!$B$400&lt;&gt;"",_PENDIENTES!$F$400,"")</f>
        <v/>
      </c>
      <c r="G406" s="245">
        <f>IF(_PENDIENTES!$B$400&lt;&gt;"",_PENDIENTES!$G$400,"")</f>
        <v/>
      </c>
      <c r="H406" s="245">
        <f>IF(_PENDIENTES!$B$400&lt;&gt;"",_PENDIENTES!$H$400,"")</f>
        <v/>
      </c>
      <c r="I406" s="302">
        <f>IF(_PENDIENTES!$B$400&lt;&gt;"",_PENDIENTES!$I$400,"")</f>
        <v/>
      </c>
      <c r="J406" s="301">
        <f>IF(_PENDIENTES!$B$400&lt;&gt;"",_PENDIENTES!$J$400,"")</f>
        <v/>
      </c>
      <c r="K406" s="301">
        <f>IF(_PENDIENTES!$B$400&lt;&gt;"","POR RECOGER","")</f>
        <v/>
      </c>
      <c r="L406" s="301">
        <f>IF(_PENDIENTES!$B$400&lt;&gt;"",_PENDIENTES!$K$400,"")</f>
        <v/>
      </c>
      <c r="M406" s="284">
        <f>IF(_PENDIENTES!$B$400&lt;&gt;"",_PENDIENTES!$B$400,"")</f>
        <v/>
      </c>
      <c r="N406" s="304">
        <f>IF(_PENDIENTES!$B$400&lt;&gt;"",_PENDIENTES!$L$400,"")</f>
        <v/>
      </c>
      <c r="O406" s="284" t="n"/>
      <c r="P406" s="284" t="n"/>
      <c r="Q406" s="284" t="n"/>
      <c r="R406" s="284" t="n"/>
      <c r="S406" s="284" t="n"/>
    </row>
    <row r="407" hidden="1" ht="15.75" customHeight="1" s="195">
      <c r="A407" s="241">
        <f>IF(_PENDIENTES!$B$401&lt;&gt;"",400,"")</f>
        <v/>
      </c>
      <c r="B407" s="236">
        <f>IF(_PENDIENTES!$B$401&lt;&gt;"",_PENDIENTES!$A$401,"")</f>
        <v/>
      </c>
      <c r="C407" s="305">
        <f>IF(_PENDIENTES!$B$401&lt;&gt;"",_PENDIENTES!$C$401,"")</f>
        <v/>
      </c>
      <c r="D407" s="241">
        <f>IF(_PENDIENTES!$B$401&lt;&gt;"",_PENDIENTES!$D$401,"")</f>
        <v/>
      </c>
      <c r="E407" s="307">
        <f>IF(_PENDIENTES!$B$401&lt;&gt;"",_PENDIENTES!$E$401,"")</f>
        <v/>
      </c>
      <c r="F407" s="241">
        <f>IF(_PENDIENTES!$B$401&lt;&gt;"",_PENDIENTES!$F$401,"")</f>
        <v/>
      </c>
      <c r="G407" s="239">
        <f>IF(_PENDIENTES!$B$401&lt;&gt;"",_PENDIENTES!$G$401,"")</f>
        <v/>
      </c>
      <c r="H407" s="239">
        <f>IF(_PENDIENTES!$B$401&lt;&gt;"",_PENDIENTES!$H$401,"")</f>
        <v/>
      </c>
      <c r="I407" s="305">
        <f>IF(_PENDIENTES!$B$401&lt;&gt;"",_PENDIENTES!$I$401,"")</f>
        <v/>
      </c>
      <c r="J407" s="241">
        <f>IF(_PENDIENTES!$B$401&lt;&gt;"",_PENDIENTES!$J$401,"")</f>
        <v/>
      </c>
      <c r="K407" s="241">
        <f>IF(_PENDIENTES!$B$401&lt;&gt;"","POR RECOGER","")</f>
        <v/>
      </c>
      <c r="L407" s="241">
        <f>IF(_PENDIENTES!$B$401&lt;&gt;"",_PENDIENTES!$K$401,"")</f>
        <v/>
      </c>
      <c r="M407" s="284">
        <f>IF(_PENDIENTES!$B$401&lt;&gt;"",_PENDIENTES!$B$401,"")</f>
        <v/>
      </c>
      <c r="N407" s="304">
        <f>IF(_PENDIENTES!$B$401&lt;&gt;"",_PENDIENTES!$L$401,"")</f>
        <v/>
      </c>
      <c r="O407" s="284" t="n"/>
      <c r="P407" s="284" t="n"/>
      <c r="Q407" s="284" t="n"/>
      <c r="R407" s="284" t="n"/>
      <c r="S407" s="284" t="n"/>
    </row>
    <row r="408" hidden="1" ht="15.75" customHeight="1" s="195">
      <c r="A408" s="301">
        <f>IF(_PENDIENTES!$B$402&lt;&gt;"",401,"")</f>
        <v/>
      </c>
      <c r="B408" s="242">
        <f>IF(_PENDIENTES!$B$402&lt;&gt;"",_PENDIENTES!$A$402,"")</f>
        <v/>
      </c>
      <c r="C408" s="302">
        <f>IF(_PENDIENTES!$B$402&lt;&gt;"",_PENDIENTES!$C$402,"")</f>
        <v/>
      </c>
      <c r="D408" s="301">
        <f>IF(_PENDIENTES!$B$402&lt;&gt;"",_PENDIENTES!$D$402,"")</f>
        <v/>
      </c>
      <c r="E408" s="306">
        <f>IF(_PENDIENTES!$B$402&lt;&gt;"",_PENDIENTES!$E$402,"")</f>
        <v/>
      </c>
      <c r="F408" s="301">
        <f>IF(_PENDIENTES!$B$402&lt;&gt;"",_PENDIENTES!$F$402,"")</f>
        <v/>
      </c>
      <c r="G408" s="245">
        <f>IF(_PENDIENTES!$B$402&lt;&gt;"",_PENDIENTES!$G$402,"")</f>
        <v/>
      </c>
      <c r="H408" s="245">
        <f>IF(_PENDIENTES!$B$402&lt;&gt;"",_PENDIENTES!$H$402,"")</f>
        <v/>
      </c>
      <c r="I408" s="302">
        <f>IF(_PENDIENTES!$B$402&lt;&gt;"",_PENDIENTES!$I$402,"")</f>
        <v/>
      </c>
      <c r="J408" s="301">
        <f>IF(_PENDIENTES!$B$402&lt;&gt;"",_PENDIENTES!$J$402,"")</f>
        <v/>
      </c>
      <c r="K408" s="301">
        <f>IF(_PENDIENTES!$B$402&lt;&gt;"","POR RECOGER","")</f>
        <v/>
      </c>
      <c r="L408" s="301">
        <f>IF(_PENDIENTES!$B$402&lt;&gt;"",_PENDIENTES!$K$402,"")</f>
        <v/>
      </c>
      <c r="M408" s="284">
        <f>IF(_PENDIENTES!$B$402&lt;&gt;"",_PENDIENTES!$B$402,"")</f>
        <v/>
      </c>
      <c r="N408" s="304">
        <f>IF(_PENDIENTES!$B$402&lt;&gt;"",_PENDIENTES!$L$402,"")</f>
        <v/>
      </c>
      <c r="O408" s="284" t="n"/>
      <c r="P408" s="284" t="n"/>
      <c r="Q408" s="284" t="n"/>
      <c r="R408" s="284" t="n"/>
      <c r="S408" s="284" t="n"/>
    </row>
    <row r="409" hidden="1" ht="15.75" customHeight="1" s="195">
      <c r="A409" s="241">
        <f>IF(_PENDIENTES!$B$403&lt;&gt;"",402,"")</f>
        <v/>
      </c>
      <c r="B409" s="236">
        <f>IF(_PENDIENTES!$B$403&lt;&gt;"",_PENDIENTES!$A$403,"")</f>
        <v/>
      </c>
      <c r="C409" s="305">
        <f>IF(_PENDIENTES!$B$403&lt;&gt;"",_PENDIENTES!$C$403,"")</f>
        <v/>
      </c>
      <c r="D409" s="241">
        <f>IF(_PENDIENTES!$B$403&lt;&gt;"",_PENDIENTES!$D$403,"")</f>
        <v/>
      </c>
      <c r="E409" s="307">
        <f>IF(_PENDIENTES!$B$403&lt;&gt;"",_PENDIENTES!$E$403,"")</f>
        <v/>
      </c>
      <c r="F409" s="241">
        <f>IF(_PENDIENTES!$B$403&lt;&gt;"",_PENDIENTES!$F$403,"")</f>
        <v/>
      </c>
      <c r="G409" s="239">
        <f>IF(_PENDIENTES!$B$403&lt;&gt;"",_PENDIENTES!$G$403,"")</f>
        <v/>
      </c>
      <c r="H409" s="239">
        <f>IF(_PENDIENTES!$B$403&lt;&gt;"",_PENDIENTES!$H$403,"")</f>
        <v/>
      </c>
      <c r="I409" s="305">
        <f>IF(_PENDIENTES!$B$403&lt;&gt;"",_PENDIENTES!$I$403,"")</f>
        <v/>
      </c>
      <c r="J409" s="241">
        <f>IF(_PENDIENTES!$B$403&lt;&gt;"",_PENDIENTES!$J$403,"")</f>
        <v/>
      </c>
      <c r="K409" s="241">
        <f>IF(_PENDIENTES!$B$403&lt;&gt;"","POR RECOGER","")</f>
        <v/>
      </c>
      <c r="L409" s="241">
        <f>IF(_PENDIENTES!$B$403&lt;&gt;"",_PENDIENTES!$K$403,"")</f>
        <v/>
      </c>
      <c r="M409" s="284">
        <f>IF(_PENDIENTES!$B$403&lt;&gt;"",_PENDIENTES!$B$403,"")</f>
        <v/>
      </c>
      <c r="N409" s="304">
        <f>IF(_PENDIENTES!$B$403&lt;&gt;"",_PENDIENTES!$L$403,"")</f>
        <v/>
      </c>
      <c r="O409" s="284" t="n"/>
      <c r="P409" s="284" t="n"/>
      <c r="Q409" s="284" t="n"/>
      <c r="R409" s="284" t="n"/>
      <c r="S409" s="284" t="n"/>
    </row>
    <row r="410" hidden="1" ht="15.75" customHeight="1" s="195">
      <c r="A410" s="301">
        <f>IF(_PENDIENTES!$B$404&lt;&gt;"",403,"")</f>
        <v/>
      </c>
      <c r="B410" s="242">
        <f>IF(_PENDIENTES!$B$404&lt;&gt;"",_PENDIENTES!$A$404,"")</f>
        <v/>
      </c>
      <c r="C410" s="302">
        <f>IF(_PENDIENTES!$B$404&lt;&gt;"",_PENDIENTES!$C$404,"")</f>
        <v/>
      </c>
      <c r="D410" s="301">
        <f>IF(_PENDIENTES!$B$404&lt;&gt;"",_PENDIENTES!$D$404,"")</f>
        <v/>
      </c>
      <c r="E410" s="306">
        <f>IF(_PENDIENTES!$B$404&lt;&gt;"",_PENDIENTES!$E$404,"")</f>
        <v/>
      </c>
      <c r="F410" s="301">
        <f>IF(_PENDIENTES!$B$404&lt;&gt;"",_PENDIENTES!$F$404,"")</f>
        <v/>
      </c>
      <c r="G410" s="245">
        <f>IF(_PENDIENTES!$B$404&lt;&gt;"",_PENDIENTES!$G$404,"")</f>
        <v/>
      </c>
      <c r="H410" s="245">
        <f>IF(_PENDIENTES!$B$404&lt;&gt;"",_PENDIENTES!$H$404,"")</f>
        <v/>
      </c>
      <c r="I410" s="302">
        <f>IF(_PENDIENTES!$B$404&lt;&gt;"",_PENDIENTES!$I$404,"")</f>
        <v/>
      </c>
      <c r="J410" s="301">
        <f>IF(_PENDIENTES!$B$404&lt;&gt;"",_PENDIENTES!$J$404,"")</f>
        <v/>
      </c>
      <c r="K410" s="301">
        <f>IF(_PENDIENTES!$B$404&lt;&gt;"","POR RECOGER","")</f>
        <v/>
      </c>
      <c r="L410" s="301">
        <f>IF(_PENDIENTES!$B$404&lt;&gt;"",_PENDIENTES!$K$404,"")</f>
        <v/>
      </c>
      <c r="M410" s="284">
        <f>IF(_PENDIENTES!$B$404&lt;&gt;"",_PENDIENTES!$B$404,"")</f>
        <v/>
      </c>
      <c r="N410" s="304">
        <f>IF(_PENDIENTES!$B$404&lt;&gt;"",_PENDIENTES!$L$404,"")</f>
        <v/>
      </c>
      <c r="O410" s="284" t="n"/>
      <c r="P410" s="284" t="n"/>
      <c r="Q410" s="284" t="n"/>
      <c r="R410" s="284" t="n"/>
      <c r="S410" s="284" t="n"/>
    </row>
    <row r="411" hidden="1" ht="15.75" customHeight="1" s="195">
      <c r="A411" s="241">
        <f>IF(_PENDIENTES!$B$405&lt;&gt;"",404,"")</f>
        <v/>
      </c>
      <c r="B411" s="236">
        <f>IF(_PENDIENTES!$B$405&lt;&gt;"",_PENDIENTES!$A$405,"")</f>
        <v/>
      </c>
      <c r="C411" s="305">
        <f>IF(_PENDIENTES!$B$405&lt;&gt;"",_PENDIENTES!$C$405,"")</f>
        <v/>
      </c>
      <c r="D411" s="241">
        <f>IF(_PENDIENTES!$B$405&lt;&gt;"",_PENDIENTES!$D$405,"")</f>
        <v/>
      </c>
      <c r="E411" s="307">
        <f>IF(_PENDIENTES!$B$405&lt;&gt;"",_PENDIENTES!$E$405,"")</f>
        <v/>
      </c>
      <c r="F411" s="241">
        <f>IF(_PENDIENTES!$B$405&lt;&gt;"",_PENDIENTES!$F$405,"")</f>
        <v/>
      </c>
      <c r="G411" s="239">
        <f>IF(_PENDIENTES!$B$405&lt;&gt;"",_PENDIENTES!$G$405,"")</f>
        <v/>
      </c>
      <c r="H411" s="239">
        <f>IF(_PENDIENTES!$B$405&lt;&gt;"",_PENDIENTES!$H$405,"")</f>
        <v/>
      </c>
      <c r="I411" s="305">
        <f>IF(_PENDIENTES!$B$405&lt;&gt;"",_PENDIENTES!$I$405,"")</f>
        <v/>
      </c>
      <c r="J411" s="241">
        <f>IF(_PENDIENTES!$B$405&lt;&gt;"",_PENDIENTES!$J$405,"")</f>
        <v/>
      </c>
      <c r="K411" s="241">
        <f>IF(_PENDIENTES!$B$405&lt;&gt;"","POR RECOGER","")</f>
        <v/>
      </c>
      <c r="L411" s="241">
        <f>IF(_PENDIENTES!$B$405&lt;&gt;"",_PENDIENTES!$K$405,"")</f>
        <v/>
      </c>
      <c r="M411" s="284">
        <f>IF(_PENDIENTES!$B$405&lt;&gt;"",_PENDIENTES!$B$405,"")</f>
        <v/>
      </c>
      <c r="N411" s="304">
        <f>IF(_PENDIENTES!$B$405&lt;&gt;"",_PENDIENTES!$L$405,"")</f>
        <v/>
      </c>
      <c r="O411" s="284" t="n"/>
      <c r="P411" s="284" t="n"/>
      <c r="Q411" s="284" t="n"/>
      <c r="R411" s="284" t="n"/>
      <c r="S411" s="284" t="n"/>
    </row>
    <row r="412" hidden="1" ht="15.75" customHeight="1" s="195">
      <c r="A412" s="301">
        <f>IF(_PENDIENTES!$B$406&lt;&gt;"",405,"")</f>
        <v/>
      </c>
      <c r="B412" s="242">
        <f>IF(_PENDIENTES!$B$406&lt;&gt;"",_PENDIENTES!$A$406,"")</f>
        <v/>
      </c>
      <c r="C412" s="302">
        <f>IF(_PENDIENTES!$B$406&lt;&gt;"",_PENDIENTES!$C$406,"")</f>
        <v/>
      </c>
      <c r="D412" s="301">
        <f>IF(_PENDIENTES!$B$406&lt;&gt;"",_PENDIENTES!$D$406,"")</f>
        <v/>
      </c>
      <c r="E412" s="306">
        <f>IF(_PENDIENTES!$B$406&lt;&gt;"",_PENDIENTES!$E$406,"")</f>
        <v/>
      </c>
      <c r="F412" s="301">
        <f>IF(_PENDIENTES!$B$406&lt;&gt;"",_PENDIENTES!$F$406,"")</f>
        <v/>
      </c>
      <c r="G412" s="245">
        <f>IF(_PENDIENTES!$B$406&lt;&gt;"",_PENDIENTES!$G$406,"")</f>
        <v/>
      </c>
      <c r="H412" s="245">
        <f>IF(_PENDIENTES!$B$406&lt;&gt;"",_PENDIENTES!$H$406,"")</f>
        <v/>
      </c>
      <c r="I412" s="302">
        <f>IF(_PENDIENTES!$B$406&lt;&gt;"",_PENDIENTES!$I$406,"")</f>
        <v/>
      </c>
      <c r="J412" s="301">
        <f>IF(_PENDIENTES!$B$406&lt;&gt;"",_PENDIENTES!$J$406,"")</f>
        <v/>
      </c>
      <c r="K412" s="301">
        <f>IF(_PENDIENTES!$B$406&lt;&gt;"","POR RECOGER","")</f>
        <v/>
      </c>
      <c r="L412" s="301">
        <f>IF(_PENDIENTES!$B$406&lt;&gt;"",_PENDIENTES!$K$406,"")</f>
        <v/>
      </c>
      <c r="M412" s="284">
        <f>IF(_PENDIENTES!$B$406&lt;&gt;"",_PENDIENTES!$B$406,"")</f>
        <v/>
      </c>
      <c r="N412" s="304">
        <f>IF(_PENDIENTES!$B$406&lt;&gt;"",_PENDIENTES!$L$406,"")</f>
        <v/>
      </c>
      <c r="O412" s="284" t="n"/>
      <c r="P412" s="284" t="n"/>
      <c r="Q412" s="284" t="n"/>
      <c r="R412" s="284" t="n"/>
      <c r="S412" s="284" t="n"/>
    </row>
    <row r="413" hidden="1" ht="15.75" customHeight="1" s="195">
      <c r="A413" s="241">
        <f>IF(_PENDIENTES!$B$407&lt;&gt;"",406,"")</f>
        <v/>
      </c>
      <c r="B413" s="236">
        <f>IF(_PENDIENTES!$B$407&lt;&gt;"",_PENDIENTES!$A$407,"")</f>
        <v/>
      </c>
      <c r="C413" s="305">
        <f>IF(_PENDIENTES!$B$407&lt;&gt;"",_PENDIENTES!$C$407,"")</f>
        <v/>
      </c>
      <c r="D413" s="241">
        <f>IF(_PENDIENTES!$B$407&lt;&gt;"",_PENDIENTES!$D$407,"")</f>
        <v/>
      </c>
      <c r="E413" s="307">
        <f>IF(_PENDIENTES!$B$407&lt;&gt;"",_PENDIENTES!$E$407,"")</f>
        <v/>
      </c>
      <c r="F413" s="241">
        <f>IF(_PENDIENTES!$B$407&lt;&gt;"",_PENDIENTES!$F$407,"")</f>
        <v/>
      </c>
      <c r="G413" s="239">
        <f>IF(_PENDIENTES!$B$407&lt;&gt;"",_PENDIENTES!$G$407,"")</f>
        <v/>
      </c>
      <c r="H413" s="239">
        <f>IF(_PENDIENTES!$B$407&lt;&gt;"",_PENDIENTES!$H$407,"")</f>
        <v/>
      </c>
      <c r="I413" s="305">
        <f>IF(_PENDIENTES!$B$407&lt;&gt;"",_PENDIENTES!$I$407,"")</f>
        <v/>
      </c>
      <c r="J413" s="241">
        <f>IF(_PENDIENTES!$B$407&lt;&gt;"",_PENDIENTES!$J$407,"")</f>
        <v/>
      </c>
      <c r="K413" s="241">
        <f>IF(_PENDIENTES!$B$407&lt;&gt;"","POR RECOGER","")</f>
        <v/>
      </c>
      <c r="L413" s="241">
        <f>IF(_PENDIENTES!$B$407&lt;&gt;"",_PENDIENTES!$K$407,"")</f>
        <v/>
      </c>
      <c r="M413" s="284">
        <f>IF(_PENDIENTES!$B$407&lt;&gt;"",_PENDIENTES!$B$407,"")</f>
        <v/>
      </c>
      <c r="N413" s="304">
        <f>IF(_PENDIENTES!$B$407&lt;&gt;"",_PENDIENTES!$L$407,"")</f>
        <v/>
      </c>
      <c r="O413" s="284" t="n"/>
      <c r="P413" s="284" t="n"/>
      <c r="Q413" s="284" t="n"/>
      <c r="R413" s="284" t="n"/>
      <c r="S413" s="284" t="n"/>
    </row>
    <row r="414" hidden="1" ht="15.75" customHeight="1" s="195">
      <c r="A414" s="301">
        <f>IF(_PENDIENTES!$B$408&lt;&gt;"",407,"")</f>
        <v/>
      </c>
      <c r="B414" s="242">
        <f>IF(_PENDIENTES!$B$408&lt;&gt;"",_PENDIENTES!$A$408,"")</f>
        <v/>
      </c>
      <c r="C414" s="302">
        <f>IF(_PENDIENTES!$B$408&lt;&gt;"",_PENDIENTES!$C$408,"")</f>
        <v/>
      </c>
      <c r="D414" s="301">
        <f>IF(_PENDIENTES!$B$408&lt;&gt;"",_PENDIENTES!$D$408,"")</f>
        <v/>
      </c>
      <c r="E414" s="306">
        <f>IF(_PENDIENTES!$B$408&lt;&gt;"",_PENDIENTES!$E$408,"")</f>
        <v/>
      </c>
      <c r="F414" s="301">
        <f>IF(_PENDIENTES!$B$408&lt;&gt;"",_PENDIENTES!$F$408,"")</f>
        <v/>
      </c>
      <c r="G414" s="245">
        <f>IF(_PENDIENTES!$B$408&lt;&gt;"",_PENDIENTES!$G$408,"")</f>
        <v/>
      </c>
      <c r="H414" s="245">
        <f>IF(_PENDIENTES!$B$408&lt;&gt;"",_PENDIENTES!$H$408,"")</f>
        <v/>
      </c>
      <c r="I414" s="302">
        <f>IF(_PENDIENTES!$B$408&lt;&gt;"",_PENDIENTES!$I$408,"")</f>
        <v/>
      </c>
      <c r="J414" s="301">
        <f>IF(_PENDIENTES!$B$408&lt;&gt;"",_PENDIENTES!$J$408,"")</f>
        <v/>
      </c>
      <c r="K414" s="301">
        <f>IF(_PENDIENTES!$B$408&lt;&gt;"","POR RECOGER","")</f>
        <v/>
      </c>
      <c r="L414" s="301">
        <f>IF(_PENDIENTES!$B$408&lt;&gt;"",_PENDIENTES!$K$408,"")</f>
        <v/>
      </c>
      <c r="M414" s="284">
        <f>IF(_PENDIENTES!$B$408&lt;&gt;"",_PENDIENTES!$B$408,"")</f>
        <v/>
      </c>
      <c r="N414" s="304">
        <f>IF(_PENDIENTES!$B$408&lt;&gt;"",_PENDIENTES!$L$408,"")</f>
        <v/>
      </c>
      <c r="O414" s="284" t="n"/>
      <c r="P414" s="284" t="n"/>
      <c r="Q414" s="284" t="n"/>
      <c r="R414" s="284" t="n"/>
      <c r="S414" s="284" t="n"/>
    </row>
    <row r="415" hidden="1" ht="15.75" customHeight="1" s="195">
      <c r="A415" s="241">
        <f>IF(_PENDIENTES!$B$409&lt;&gt;"",408,"")</f>
        <v/>
      </c>
      <c r="B415" s="236">
        <f>IF(_PENDIENTES!$B$409&lt;&gt;"",_PENDIENTES!$A$409,"")</f>
        <v/>
      </c>
      <c r="C415" s="305">
        <f>IF(_PENDIENTES!$B$409&lt;&gt;"",_PENDIENTES!$C$409,"")</f>
        <v/>
      </c>
      <c r="D415" s="241">
        <f>IF(_PENDIENTES!$B$409&lt;&gt;"",_PENDIENTES!$D$409,"")</f>
        <v/>
      </c>
      <c r="E415" s="307">
        <f>IF(_PENDIENTES!$B$409&lt;&gt;"",_PENDIENTES!$E$409,"")</f>
        <v/>
      </c>
      <c r="F415" s="241">
        <f>IF(_PENDIENTES!$B$409&lt;&gt;"",_PENDIENTES!$F$409,"")</f>
        <v/>
      </c>
      <c r="G415" s="239">
        <f>IF(_PENDIENTES!$B$409&lt;&gt;"",_PENDIENTES!$G$409,"")</f>
        <v/>
      </c>
      <c r="H415" s="239">
        <f>IF(_PENDIENTES!$B$409&lt;&gt;"",_PENDIENTES!$H$409,"")</f>
        <v/>
      </c>
      <c r="I415" s="305">
        <f>IF(_PENDIENTES!$B$409&lt;&gt;"",_PENDIENTES!$I$409,"")</f>
        <v/>
      </c>
      <c r="J415" s="241">
        <f>IF(_PENDIENTES!$B$409&lt;&gt;"",_PENDIENTES!$J$409,"")</f>
        <v/>
      </c>
      <c r="K415" s="241">
        <f>IF(_PENDIENTES!$B$409&lt;&gt;"","POR RECOGER","")</f>
        <v/>
      </c>
      <c r="L415" s="241">
        <f>IF(_PENDIENTES!$B$409&lt;&gt;"",_PENDIENTES!$K$409,"")</f>
        <v/>
      </c>
      <c r="M415" s="284">
        <f>IF(_PENDIENTES!$B$409&lt;&gt;"",_PENDIENTES!$B$409,"")</f>
        <v/>
      </c>
      <c r="N415" s="304">
        <f>IF(_PENDIENTES!$B$409&lt;&gt;"",_PENDIENTES!$L$409,"")</f>
        <v/>
      </c>
      <c r="O415" s="284" t="n"/>
      <c r="P415" s="284" t="n"/>
      <c r="Q415" s="284" t="n"/>
      <c r="R415" s="284" t="n"/>
      <c r="S415" s="284" t="n"/>
    </row>
    <row r="416" hidden="1" ht="15.75" customHeight="1" s="195">
      <c r="A416" s="301">
        <f>IF(_PENDIENTES!$B$410&lt;&gt;"",409,"")</f>
        <v/>
      </c>
      <c r="B416" s="242">
        <f>IF(_PENDIENTES!$B$410&lt;&gt;"",_PENDIENTES!$A$410,"")</f>
        <v/>
      </c>
      <c r="C416" s="302">
        <f>IF(_PENDIENTES!$B$410&lt;&gt;"",_PENDIENTES!$C$410,"")</f>
        <v/>
      </c>
      <c r="D416" s="301">
        <f>IF(_PENDIENTES!$B$410&lt;&gt;"",_PENDIENTES!$D$410,"")</f>
        <v/>
      </c>
      <c r="E416" s="306">
        <f>IF(_PENDIENTES!$B$410&lt;&gt;"",_PENDIENTES!$E$410,"")</f>
        <v/>
      </c>
      <c r="F416" s="301">
        <f>IF(_PENDIENTES!$B$410&lt;&gt;"",_PENDIENTES!$F$410,"")</f>
        <v/>
      </c>
      <c r="G416" s="245">
        <f>IF(_PENDIENTES!$B$410&lt;&gt;"",_PENDIENTES!$G$410,"")</f>
        <v/>
      </c>
      <c r="H416" s="245">
        <f>IF(_PENDIENTES!$B$410&lt;&gt;"",_PENDIENTES!$H$410,"")</f>
        <v/>
      </c>
      <c r="I416" s="302">
        <f>IF(_PENDIENTES!$B$410&lt;&gt;"",_PENDIENTES!$I$410,"")</f>
        <v/>
      </c>
      <c r="J416" s="301">
        <f>IF(_PENDIENTES!$B$410&lt;&gt;"",_PENDIENTES!$J$410,"")</f>
        <v/>
      </c>
      <c r="K416" s="301">
        <f>IF(_PENDIENTES!$B$410&lt;&gt;"","POR RECOGER","")</f>
        <v/>
      </c>
      <c r="L416" s="301">
        <f>IF(_PENDIENTES!$B$410&lt;&gt;"",_PENDIENTES!$K$410,"")</f>
        <v/>
      </c>
      <c r="M416" s="284">
        <f>IF(_PENDIENTES!$B$410&lt;&gt;"",_PENDIENTES!$B$410,"")</f>
        <v/>
      </c>
      <c r="N416" s="304">
        <f>IF(_PENDIENTES!$B$410&lt;&gt;"",_PENDIENTES!$L$410,"")</f>
        <v/>
      </c>
      <c r="O416" s="284" t="n"/>
      <c r="P416" s="284" t="n"/>
      <c r="Q416" s="284" t="n"/>
      <c r="R416" s="284" t="n"/>
      <c r="S416" s="284" t="n"/>
    </row>
    <row r="417" hidden="1" ht="15.75" customHeight="1" s="195">
      <c r="A417" s="241">
        <f>IF(_PENDIENTES!$B$411&lt;&gt;"",410,"")</f>
        <v/>
      </c>
      <c r="B417" s="236">
        <f>IF(_PENDIENTES!$B$411&lt;&gt;"",_PENDIENTES!$A$411,"")</f>
        <v/>
      </c>
      <c r="C417" s="305">
        <f>IF(_PENDIENTES!$B$411&lt;&gt;"",_PENDIENTES!$C$411,"")</f>
        <v/>
      </c>
      <c r="D417" s="241">
        <f>IF(_PENDIENTES!$B$411&lt;&gt;"",_PENDIENTES!$D$411,"")</f>
        <v/>
      </c>
      <c r="E417" s="307">
        <f>IF(_PENDIENTES!$B$411&lt;&gt;"",_PENDIENTES!$E$411,"")</f>
        <v/>
      </c>
      <c r="F417" s="241">
        <f>IF(_PENDIENTES!$B$411&lt;&gt;"",_PENDIENTES!$F$411,"")</f>
        <v/>
      </c>
      <c r="G417" s="239">
        <f>IF(_PENDIENTES!$B$411&lt;&gt;"",_PENDIENTES!$G$411,"")</f>
        <v/>
      </c>
      <c r="H417" s="239">
        <f>IF(_PENDIENTES!$B$411&lt;&gt;"",_PENDIENTES!$H$411,"")</f>
        <v/>
      </c>
      <c r="I417" s="305">
        <f>IF(_PENDIENTES!$B$411&lt;&gt;"",_PENDIENTES!$I$411,"")</f>
        <v/>
      </c>
      <c r="J417" s="241">
        <f>IF(_PENDIENTES!$B$411&lt;&gt;"",_PENDIENTES!$J$411,"")</f>
        <v/>
      </c>
      <c r="K417" s="241">
        <f>IF(_PENDIENTES!$B$411&lt;&gt;"","POR RECOGER","")</f>
        <v/>
      </c>
      <c r="L417" s="241">
        <f>IF(_PENDIENTES!$B$411&lt;&gt;"",_PENDIENTES!$K$411,"")</f>
        <v/>
      </c>
      <c r="M417" s="284">
        <f>IF(_PENDIENTES!$B$411&lt;&gt;"",_PENDIENTES!$B$411,"")</f>
        <v/>
      </c>
      <c r="N417" s="304">
        <f>IF(_PENDIENTES!$B$411&lt;&gt;"",_PENDIENTES!$L$411,"")</f>
        <v/>
      </c>
      <c r="O417" s="284" t="n"/>
      <c r="P417" s="284" t="n"/>
      <c r="Q417" s="284" t="n"/>
      <c r="R417" s="284" t="n"/>
      <c r="S417" s="284" t="n"/>
    </row>
    <row r="418" hidden="1" ht="15.75" customHeight="1" s="195">
      <c r="A418" s="301">
        <f>IF(_PENDIENTES!$B$412&lt;&gt;"",411,"")</f>
        <v/>
      </c>
      <c r="B418" s="242">
        <f>IF(_PENDIENTES!$B$412&lt;&gt;"",_PENDIENTES!$A$412,"")</f>
        <v/>
      </c>
      <c r="C418" s="302">
        <f>IF(_PENDIENTES!$B$412&lt;&gt;"",_PENDIENTES!$C$412,"")</f>
        <v/>
      </c>
      <c r="D418" s="301">
        <f>IF(_PENDIENTES!$B$412&lt;&gt;"",_PENDIENTES!$D$412,"")</f>
        <v/>
      </c>
      <c r="E418" s="306">
        <f>IF(_PENDIENTES!$B$412&lt;&gt;"",_PENDIENTES!$E$412,"")</f>
        <v/>
      </c>
      <c r="F418" s="301">
        <f>IF(_PENDIENTES!$B$412&lt;&gt;"",_PENDIENTES!$F$412,"")</f>
        <v/>
      </c>
      <c r="G418" s="245">
        <f>IF(_PENDIENTES!$B$412&lt;&gt;"",_PENDIENTES!$G$412,"")</f>
        <v/>
      </c>
      <c r="H418" s="245">
        <f>IF(_PENDIENTES!$B$412&lt;&gt;"",_PENDIENTES!$H$412,"")</f>
        <v/>
      </c>
      <c r="I418" s="302">
        <f>IF(_PENDIENTES!$B$412&lt;&gt;"",_PENDIENTES!$I$412,"")</f>
        <v/>
      </c>
      <c r="J418" s="301">
        <f>IF(_PENDIENTES!$B$412&lt;&gt;"",_PENDIENTES!$J$412,"")</f>
        <v/>
      </c>
      <c r="K418" s="301">
        <f>IF(_PENDIENTES!$B$412&lt;&gt;"","POR RECOGER","")</f>
        <v/>
      </c>
      <c r="L418" s="301">
        <f>IF(_PENDIENTES!$B$412&lt;&gt;"",_PENDIENTES!$K$412,"")</f>
        <v/>
      </c>
      <c r="M418" s="284">
        <f>IF(_PENDIENTES!$B$412&lt;&gt;"",_PENDIENTES!$B$412,"")</f>
        <v/>
      </c>
      <c r="N418" s="304">
        <f>IF(_PENDIENTES!$B$412&lt;&gt;"",_PENDIENTES!$L$412,"")</f>
        <v/>
      </c>
      <c r="O418" s="284" t="n"/>
      <c r="P418" s="284" t="n"/>
      <c r="Q418" s="284" t="n"/>
      <c r="R418" s="284" t="n"/>
      <c r="S418" s="284" t="n"/>
    </row>
    <row r="419" hidden="1" ht="15.75" customHeight="1" s="195">
      <c r="A419" s="241">
        <f>IF(_PENDIENTES!$B$413&lt;&gt;"",412,"")</f>
        <v/>
      </c>
      <c r="B419" s="236">
        <f>IF(_PENDIENTES!$B$413&lt;&gt;"",_PENDIENTES!$A$413,"")</f>
        <v/>
      </c>
      <c r="C419" s="305">
        <f>IF(_PENDIENTES!$B$413&lt;&gt;"",_PENDIENTES!$C$413,"")</f>
        <v/>
      </c>
      <c r="D419" s="241">
        <f>IF(_PENDIENTES!$B$413&lt;&gt;"",_PENDIENTES!$D$413,"")</f>
        <v/>
      </c>
      <c r="E419" s="307">
        <f>IF(_PENDIENTES!$B$413&lt;&gt;"",_PENDIENTES!$E$413,"")</f>
        <v/>
      </c>
      <c r="F419" s="241">
        <f>IF(_PENDIENTES!$B$413&lt;&gt;"",_PENDIENTES!$F$413,"")</f>
        <v/>
      </c>
      <c r="G419" s="239">
        <f>IF(_PENDIENTES!$B$413&lt;&gt;"",_PENDIENTES!$G$413,"")</f>
        <v/>
      </c>
      <c r="H419" s="239">
        <f>IF(_PENDIENTES!$B$413&lt;&gt;"",_PENDIENTES!$H$413,"")</f>
        <v/>
      </c>
      <c r="I419" s="305">
        <f>IF(_PENDIENTES!$B$413&lt;&gt;"",_PENDIENTES!$I$413,"")</f>
        <v/>
      </c>
      <c r="J419" s="241">
        <f>IF(_PENDIENTES!$B$413&lt;&gt;"",_PENDIENTES!$J$413,"")</f>
        <v/>
      </c>
      <c r="K419" s="241">
        <f>IF(_PENDIENTES!$B$413&lt;&gt;"","POR RECOGER","")</f>
        <v/>
      </c>
      <c r="L419" s="241">
        <f>IF(_PENDIENTES!$B$413&lt;&gt;"",_PENDIENTES!$K$413,"")</f>
        <v/>
      </c>
      <c r="M419" s="284">
        <f>IF(_PENDIENTES!$B$413&lt;&gt;"",_PENDIENTES!$B$413,"")</f>
        <v/>
      </c>
      <c r="N419" s="304">
        <f>IF(_PENDIENTES!$B$413&lt;&gt;"",_PENDIENTES!$L$413,"")</f>
        <v/>
      </c>
      <c r="O419" s="284" t="n"/>
      <c r="P419" s="284" t="n"/>
      <c r="Q419" s="284" t="n"/>
      <c r="R419" s="284" t="n"/>
      <c r="S419" s="284" t="n"/>
    </row>
    <row r="420" hidden="1" ht="15.75" customHeight="1" s="195">
      <c r="A420" s="301">
        <f>IF(_PENDIENTES!$B$414&lt;&gt;"",413,"")</f>
        <v/>
      </c>
      <c r="B420" s="242">
        <f>IF(_PENDIENTES!$B$414&lt;&gt;"",_PENDIENTES!$A$414,"")</f>
        <v/>
      </c>
      <c r="C420" s="302">
        <f>IF(_PENDIENTES!$B$414&lt;&gt;"",_PENDIENTES!$C$414,"")</f>
        <v/>
      </c>
      <c r="D420" s="301">
        <f>IF(_PENDIENTES!$B$414&lt;&gt;"",_PENDIENTES!$D$414,"")</f>
        <v/>
      </c>
      <c r="E420" s="306">
        <f>IF(_PENDIENTES!$B$414&lt;&gt;"",_PENDIENTES!$E$414,"")</f>
        <v/>
      </c>
      <c r="F420" s="301">
        <f>IF(_PENDIENTES!$B$414&lt;&gt;"",_PENDIENTES!$F$414,"")</f>
        <v/>
      </c>
      <c r="G420" s="245">
        <f>IF(_PENDIENTES!$B$414&lt;&gt;"",_PENDIENTES!$G$414,"")</f>
        <v/>
      </c>
      <c r="H420" s="245">
        <f>IF(_PENDIENTES!$B$414&lt;&gt;"",_PENDIENTES!$H$414,"")</f>
        <v/>
      </c>
      <c r="I420" s="302">
        <f>IF(_PENDIENTES!$B$414&lt;&gt;"",_PENDIENTES!$I$414,"")</f>
        <v/>
      </c>
      <c r="J420" s="301">
        <f>IF(_PENDIENTES!$B$414&lt;&gt;"",_PENDIENTES!$J$414,"")</f>
        <v/>
      </c>
      <c r="K420" s="301">
        <f>IF(_PENDIENTES!$B$414&lt;&gt;"","POR RECOGER","")</f>
        <v/>
      </c>
      <c r="L420" s="301">
        <f>IF(_PENDIENTES!$B$414&lt;&gt;"",_PENDIENTES!$K$414,"")</f>
        <v/>
      </c>
      <c r="M420" s="284">
        <f>IF(_PENDIENTES!$B$414&lt;&gt;"",_PENDIENTES!$B$414,"")</f>
        <v/>
      </c>
      <c r="N420" s="304">
        <f>IF(_PENDIENTES!$B$414&lt;&gt;"",_PENDIENTES!$L$414,"")</f>
        <v/>
      </c>
      <c r="O420" s="284" t="n"/>
      <c r="P420" s="284" t="n"/>
      <c r="Q420" s="284" t="n"/>
      <c r="R420" s="284" t="n"/>
      <c r="S420" s="284" t="n"/>
    </row>
    <row r="421" hidden="1" ht="15.75" customHeight="1" s="195">
      <c r="A421" s="241">
        <f>IF(_PENDIENTES!$B$415&lt;&gt;"",414,"")</f>
        <v/>
      </c>
      <c r="B421" s="236">
        <f>IF(_PENDIENTES!$B$415&lt;&gt;"",_PENDIENTES!$A$415,"")</f>
        <v/>
      </c>
      <c r="C421" s="305">
        <f>IF(_PENDIENTES!$B$415&lt;&gt;"",_PENDIENTES!$C$415,"")</f>
        <v/>
      </c>
      <c r="D421" s="241">
        <f>IF(_PENDIENTES!$B$415&lt;&gt;"",_PENDIENTES!$D$415,"")</f>
        <v/>
      </c>
      <c r="E421" s="307">
        <f>IF(_PENDIENTES!$B$415&lt;&gt;"",_PENDIENTES!$E$415,"")</f>
        <v/>
      </c>
      <c r="F421" s="241">
        <f>IF(_PENDIENTES!$B$415&lt;&gt;"",_PENDIENTES!$F$415,"")</f>
        <v/>
      </c>
      <c r="G421" s="239">
        <f>IF(_PENDIENTES!$B$415&lt;&gt;"",_PENDIENTES!$G$415,"")</f>
        <v/>
      </c>
      <c r="H421" s="239">
        <f>IF(_PENDIENTES!$B$415&lt;&gt;"",_PENDIENTES!$H$415,"")</f>
        <v/>
      </c>
      <c r="I421" s="305">
        <f>IF(_PENDIENTES!$B$415&lt;&gt;"",_PENDIENTES!$I$415,"")</f>
        <v/>
      </c>
      <c r="J421" s="241">
        <f>IF(_PENDIENTES!$B$415&lt;&gt;"",_PENDIENTES!$J$415,"")</f>
        <v/>
      </c>
      <c r="K421" s="241">
        <f>IF(_PENDIENTES!$B$415&lt;&gt;"","POR RECOGER","")</f>
        <v/>
      </c>
      <c r="L421" s="241">
        <f>IF(_PENDIENTES!$B$415&lt;&gt;"",_PENDIENTES!$K$415,"")</f>
        <v/>
      </c>
      <c r="M421" s="284">
        <f>IF(_PENDIENTES!$B$415&lt;&gt;"",_PENDIENTES!$B$415,"")</f>
        <v/>
      </c>
      <c r="N421" s="304">
        <f>IF(_PENDIENTES!$B$415&lt;&gt;"",_PENDIENTES!$L$415,"")</f>
        <v/>
      </c>
      <c r="O421" s="284" t="n"/>
      <c r="P421" s="284" t="n"/>
      <c r="Q421" s="284" t="n"/>
      <c r="R421" s="284" t="n"/>
      <c r="S421" s="284" t="n"/>
    </row>
    <row r="422" hidden="1" ht="15.75" customHeight="1" s="195">
      <c r="A422" s="301">
        <f>IF(_PENDIENTES!$B$416&lt;&gt;"",415,"")</f>
        <v/>
      </c>
      <c r="B422" s="242">
        <f>IF(_PENDIENTES!$B$416&lt;&gt;"",_PENDIENTES!$A$416,"")</f>
        <v/>
      </c>
      <c r="C422" s="302">
        <f>IF(_PENDIENTES!$B$416&lt;&gt;"",_PENDIENTES!$C$416,"")</f>
        <v/>
      </c>
      <c r="D422" s="301">
        <f>IF(_PENDIENTES!$B$416&lt;&gt;"",_PENDIENTES!$D$416,"")</f>
        <v/>
      </c>
      <c r="E422" s="306">
        <f>IF(_PENDIENTES!$B$416&lt;&gt;"",_PENDIENTES!$E$416,"")</f>
        <v/>
      </c>
      <c r="F422" s="301">
        <f>IF(_PENDIENTES!$B$416&lt;&gt;"",_PENDIENTES!$F$416,"")</f>
        <v/>
      </c>
      <c r="G422" s="245">
        <f>IF(_PENDIENTES!$B$416&lt;&gt;"",_PENDIENTES!$G$416,"")</f>
        <v/>
      </c>
      <c r="H422" s="245">
        <f>IF(_PENDIENTES!$B$416&lt;&gt;"",_PENDIENTES!$H$416,"")</f>
        <v/>
      </c>
      <c r="I422" s="302">
        <f>IF(_PENDIENTES!$B$416&lt;&gt;"",_PENDIENTES!$I$416,"")</f>
        <v/>
      </c>
      <c r="J422" s="301">
        <f>IF(_PENDIENTES!$B$416&lt;&gt;"",_PENDIENTES!$J$416,"")</f>
        <v/>
      </c>
      <c r="K422" s="301">
        <f>IF(_PENDIENTES!$B$416&lt;&gt;"","POR RECOGER","")</f>
        <v/>
      </c>
      <c r="L422" s="301">
        <f>IF(_PENDIENTES!$B$416&lt;&gt;"",_PENDIENTES!$K$416,"")</f>
        <v/>
      </c>
      <c r="M422" s="284">
        <f>IF(_PENDIENTES!$B$416&lt;&gt;"",_PENDIENTES!$B$416,"")</f>
        <v/>
      </c>
      <c r="N422" s="304">
        <f>IF(_PENDIENTES!$B$416&lt;&gt;"",_PENDIENTES!$L$416,"")</f>
        <v/>
      </c>
      <c r="O422" s="284" t="n"/>
      <c r="P422" s="284" t="n"/>
      <c r="Q422" s="284" t="n"/>
      <c r="R422" s="284" t="n"/>
      <c r="S422" s="284" t="n"/>
    </row>
    <row r="423" hidden="1" ht="15.75" customHeight="1" s="195">
      <c r="A423" s="241">
        <f>IF(_PENDIENTES!$B$417&lt;&gt;"",416,"")</f>
        <v/>
      </c>
      <c r="B423" s="236">
        <f>IF(_PENDIENTES!$B$417&lt;&gt;"",_PENDIENTES!$A$417,"")</f>
        <v/>
      </c>
      <c r="C423" s="305">
        <f>IF(_PENDIENTES!$B$417&lt;&gt;"",_PENDIENTES!$C$417,"")</f>
        <v/>
      </c>
      <c r="D423" s="241">
        <f>IF(_PENDIENTES!$B$417&lt;&gt;"",_PENDIENTES!$D$417,"")</f>
        <v/>
      </c>
      <c r="E423" s="307">
        <f>IF(_PENDIENTES!$B$417&lt;&gt;"",_PENDIENTES!$E$417,"")</f>
        <v/>
      </c>
      <c r="F423" s="241">
        <f>IF(_PENDIENTES!$B$417&lt;&gt;"",_PENDIENTES!$F$417,"")</f>
        <v/>
      </c>
      <c r="G423" s="239">
        <f>IF(_PENDIENTES!$B$417&lt;&gt;"",_PENDIENTES!$G$417,"")</f>
        <v/>
      </c>
      <c r="H423" s="239">
        <f>IF(_PENDIENTES!$B$417&lt;&gt;"",_PENDIENTES!$H$417,"")</f>
        <v/>
      </c>
      <c r="I423" s="305">
        <f>IF(_PENDIENTES!$B$417&lt;&gt;"",_PENDIENTES!$I$417,"")</f>
        <v/>
      </c>
      <c r="J423" s="241">
        <f>IF(_PENDIENTES!$B$417&lt;&gt;"",_PENDIENTES!$J$417,"")</f>
        <v/>
      </c>
      <c r="K423" s="241">
        <f>IF(_PENDIENTES!$B$417&lt;&gt;"","POR RECOGER","")</f>
        <v/>
      </c>
      <c r="L423" s="241">
        <f>IF(_PENDIENTES!$B$417&lt;&gt;"",_PENDIENTES!$K$417,"")</f>
        <v/>
      </c>
      <c r="M423" s="284">
        <f>IF(_PENDIENTES!$B$417&lt;&gt;"",_PENDIENTES!$B$417,"")</f>
        <v/>
      </c>
      <c r="N423" s="304">
        <f>IF(_PENDIENTES!$B$417&lt;&gt;"",_PENDIENTES!$L$417,"")</f>
        <v/>
      </c>
      <c r="O423" s="284" t="n"/>
      <c r="P423" s="284" t="n"/>
      <c r="Q423" s="284" t="n"/>
      <c r="R423" s="284" t="n"/>
      <c r="S423" s="284" t="n"/>
    </row>
    <row r="424" hidden="1" ht="15.75" customHeight="1" s="195">
      <c r="A424" s="301">
        <f>IF(_PENDIENTES!$B$418&lt;&gt;"",417,"")</f>
        <v/>
      </c>
      <c r="B424" s="242">
        <f>IF(_PENDIENTES!$B$418&lt;&gt;"",_PENDIENTES!$A$418,"")</f>
        <v/>
      </c>
      <c r="C424" s="302">
        <f>IF(_PENDIENTES!$B$418&lt;&gt;"",_PENDIENTES!$C$418,"")</f>
        <v/>
      </c>
      <c r="D424" s="301">
        <f>IF(_PENDIENTES!$B$418&lt;&gt;"",_PENDIENTES!$D$418,"")</f>
        <v/>
      </c>
      <c r="E424" s="306">
        <f>IF(_PENDIENTES!$B$418&lt;&gt;"",_PENDIENTES!$E$418,"")</f>
        <v/>
      </c>
      <c r="F424" s="301">
        <f>IF(_PENDIENTES!$B$418&lt;&gt;"",_PENDIENTES!$F$418,"")</f>
        <v/>
      </c>
      <c r="G424" s="245">
        <f>IF(_PENDIENTES!$B$418&lt;&gt;"",_PENDIENTES!$G$418,"")</f>
        <v/>
      </c>
      <c r="H424" s="245">
        <f>IF(_PENDIENTES!$B$418&lt;&gt;"",_PENDIENTES!$H$418,"")</f>
        <v/>
      </c>
      <c r="I424" s="302">
        <f>IF(_PENDIENTES!$B$418&lt;&gt;"",_PENDIENTES!$I$418,"")</f>
        <v/>
      </c>
      <c r="J424" s="301">
        <f>IF(_PENDIENTES!$B$418&lt;&gt;"",_PENDIENTES!$J$418,"")</f>
        <v/>
      </c>
      <c r="K424" s="301">
        <f>IF(_PENDIENTES!$B$418&lt;&gt;"","POR RECOGER","")</f>
        <v/>
      </c>
      <c r="L424" s="301">
        <f>IF(_PENDIENTES!$B$418&lt;&gt;"",_PENDIENTES!$K$418,"")</f>
        <v/>
      </c>
      <c r="M424" s="284">
        <f>IF(_PENDIENTES!$B$418&lt;&gt;"",_PENDIENTES!$B$418,"")</f>
        <v/>
      </c>
      <c r="N424" s="304">
        <f>IF(_PENDIENTES!$B$418&lt;&gt;"",_PENDIENTES!$L$418,"")</f>
        <v/>
      </c>
      <c r="O424" s="284" t="n"/>
      <c r="P424" s="284" t="n"/>
      <c r="Q424" s="284" t="n"/>
      <c r="R424" s="284" t="n"/>
      <c r="S424" s="284" t="n"/>
    </row>
    <row r="425" hidden="1" ht="15.75" customHeight="1" s="195">
      <c r="A425" s="241">
        <f>IF(_PENDIENTES!$B$419&lt;&gt;"",418,"")</f>
        <v/>
      </c>
      <c r="B425" s="236">
        <f>IF(_PENDIENTES!$B$419&lt;&gt;"",_PENDIENTES!$A$419,"")</f>
        <v/>
      </c>
      <c r="C425" s="305">
        <f>IF(_PENDIENTES!$B$419&lt;&gt;"",_PENDIENTES!$C$419,"")</f>
        <v/>
      </c>
      <c r="D425" s="241">
        <f>IF(_PENDIENTES!$B$419&lt;&gt;"",_PENDIENTES!$D$419,"")</f>
        <v/>
      </c>
      <c r="E425" s="307">
        <f>IF(_PENDIENTES!$B$419&lt;&gt;"",_PENDIENTES!$E$419,"")</f>
        <v/>
      </c>
      <c r="F425" s="241">
        <f>IF(_PENDIENTES!$B$419&lt;&gt;"",_PENDIENTES!$F$419,"")</f>
        <v/>
      </c>
      <c r="G425" s="239">
        <f>IF(_PENDIENTES!$B$419&lt;&gt;"",_PENDIENTES!$G$419,"")</f>
        <v/>
      </c>
      <c r="H425" s="239">
        <f>IF(_PENDIENTES!$B$419&lt;&gt;"",_PENDIENTES!$H$419,"")</f>
        <v/>
      </c>
      <c r="I425" s="305">
        <f>IF(_PENDIENTES!$B$419&lt;&gt;"",_PENDIENTES!$I$419,"")</f>
        <v/>
      </c>
      <c r="J425" s="241">
        <f>IF(_PENDIENTES!$B$419&lt;&gt;"",_PENDIENTES!$J$419,"")</f>
        <v/>
      </c>
      <c r="K425" s="241">
        <f>IF(_PENDIENTES!$B$419&lt;&gt;"","POR RECOGER","")</f>
        <v/>
      </c>
      <c r="L425" s="241">
        <f>IF(_PENDIENTES!$B$419&lt;&gt;"",_PENDIENTES!$K$419,"")</f>
        <v/>
      </c>
      <c r="M425" s="284">
        <f>IF(_PENDIENTES!$B$419&lt;&gt;"",_PENDIENTES!$B$419,"")</f>
        <v/>
      </c>
      <c r="N425" s="304">
        <f>IF(_PENDIENTES!$B$419&lt;&gt;"",_PENDIENTES!$L$419,"")</f>
        <v/>
      </c>
      <c r="O425" s="284" t="n"/>
      <c r="P425" s="284" t="n"/>
      <c r="Q425" s="284" t="n"/>
      <c r="R425" s="284" t="n"/>
      <c r="S425" s="284" t="n"/>
    </row>
    <row r="426" hidden="1" ht="15.75" customHeight="1" s="195">
      <c r="A426" s="301">
        <f>IF(_PENDIENTES!$B$420&lt;&gt;"",419,"")</f>
        <v/>
      </c>
      <c r="B426" s="242">
        <f>IF(_PENDIENTES!$B$420&lt;&gt;"",_PENDIENTES!$A$420,"")</f>
        <v/>
      </c>
      <c r="C426" s="302">
        <f>IF(_PENDIENTES!$B$420&lt;&gt;"",_PENDIENTES!$C$420,"")</f>
        <v/>
      </c>
      <c r="D426" s="301">
        <f>IF(_PENDIENTES!$B$420&lt;&gt;"",_PENDIENTES!$D$420,"")</f>
        <v/>
      </c>
      <c r="E426" s="306">
        <f>IF(_PENDIENTES!$B$420&lt;&gt;"",_PENDIENTES!$E$420,"")</f>
        <v/>
      </c>
      <c r="F426" s="301">
        <f>IF(_PENDIENTES!$B$420&lt;&gt;"",_PENDIENTES!$F$420,"")</f>
        <v/>
      </c>
      <c r="G426" s="245">
        <f>IF(_PENDIENTES!$B$420&lt;&gt;"",_PENDIENTES!$G$420,"")</f>
        <v/>
      </c>
      <c r="H426" s="245">
        <f>IF(_PENDIENTES!$B$420&lt;&gt;"",_PENDIENTES!$H$420,"")</f>
        <v/>
      </c>
      <c r="I426" s="302">
        <f>IF(_PENDIENTES!$B$420&lt;&gt;"",_PENDIENTES!$I$420,"")</f>
        <v/>
      </c>
      <c r="J426" s="301">
        <f>IF(_PENDIENTES!$B$420&lt;&gt;"",_PENDIENTES!$J$420,"")</f>
        <v/>
      </c>
      <c r="K426" s="301">
        <f>IF(_PENDIENTES!$B$420&lt;&gt;"","POR RECOGER","")</f>
        <v/>
      </c>
      <c r="L426" s="301">
        <f>IF(_PENDIENTES!$B$420&lt;&gt;"",_PENDIENTES!$K$420,"")</f>
        <v/>
      </c>
      <c r="M426" s="284">
        <f>IF(_PENDIENTES!$B$420&lt;&gt;"",_PENDIENTES!$B$420,"")</f>
        <v/>
      </c>
      <c r="N426" s="304">
        <f>IF(_PENDIENTES!$B$420&lt;&gt;"",_PENDIENTES!$L$420,"")</f>
        <v/>
      </c>
      <c r="O426" s="284" t="n"/>
      <c r="P426" s="284" t="n"/>
      <c r="Q426" s="284" t="n"/>
      <c r="R426" s="284" t="n"/>
      <c r="S426" s="284" t="n"/>
    </row>
    <row r="427" hidden="1" ht="15.75" customHeight="1" s="195">
      <c r="A427" s="241">
        <f>IF(_PENDIENTES!$B$421&lt;&gt;"",420,"")</f>
        <v/>
      </c>
      <c r="B427" s="236">
        <f>IF(_PENDIENTES!$B$421&lt;&gt;"",_PENDIENTES!$A$421,"")</f>
        <v/>
      </c>
      <c r="C427" s="305">
        <f>IF(_PENDIENTES!$B$421&lt;&gt;"",_PENDIENTES!$C$421,"")</f>
        <v/>
      </c>
      <c r="D427" s="241">
        <f>IF(_PENDIENTES!$B$421&lt;&gt;"",_PENDIENTES!$D$421,"")</f>
        <v/>
      </c>
      <c r="E427" s="307">
        <f>IF(_PENDIENTES!$B$421&lt;&gt;"",_PENDIENTES!$E$421,"")</f>
        <v/>
      </c>
      <c r="F427" s="241">
        <f>IF(_PENDIENTES!$B$421&lt;&gt;"",_PENDIENTES!$F$421,"")</f>
        <v/>
      </c>
      <c r="G427" s="239">
        <f>IF(_PENDIENTES!$B$421&lt;&gt;"",_PENDIENTES!$G$421,"")</f>
        <v/>
      </c>
      <c r="H427" s="239">
        <f>IF(_PENDIENTES!$B$421&lt;&gt;"",_PENDIENTES!$H$421,"")</f>
        <v/>
      </c>
      <c r="I427" s="305">
        <f>IF(_PENDIENTES!$B$421&lt;&gt;"",_PENDIENTES!$I$421,"")</f>
        <v/>
      </c>
      <c r="J427" s="241">
        <f>IF(_PENDIENTES!$B$421&lt;&gt;"",_PENDIENTES!$J$421,"")</f>
        <v/>
      </c>
      <c r="K427" s="241">
        <f>IF(_PENDIENTES!$B$421&lt;&gt;"","POR RECOGER","")</f>
        <v/>
      </c>
      <c r="L427" s="241">
        <f>IF(_PENDIENTES!$B$421&lt;&gt;"",_PENDIENTES!$K$421,"")</f>
        <v/>
      </c>
      <c r="M427" s="284">
        <f>IF(_PENDIENTES!$B$421&lt;&gt;"",_PENDIENTES!$B$421,"")</f>
        <v/>
      </c>
      <c r="N427" s="304">
        <f>IF(_PENDIENTES!$B$421&lt;&gt;"",_PENDIENTES!$L$421,"")</f>
        <v/>
      </c>
      <c r="O427" s="284" t="n"/>
      <c r="P427" s="284" t="n"/>
      <c r="Q427" s="284" t="n"/>
      <c r="R427" s="284" t="n"/>
      <c r="S427" s="284" t="n"/>
    </row>
    <row r="428" hidden="1" ht="15.75" customHeight="1" s="195">
      <c r="A428" s="301">
        <f>IF(_PENDIENTES!$B$422&lt;&gt;"",421,"")</f>
        <v/>
      </c>
      <c r="B428" s="242">
        <f>IF(_PENDIENTES!$B$422&lt;&gt;"",_PENDIENTES!$A$422,"")</f>
        <v/>
      </c>
      <c r="C428" s="302">
        <f>IF(_PENDIENTES!$B$422&lt;&gt;"",_PENDIENTES!$C$422,"")</f>
        <v/>
      </c>
      <c r="D428" s="301">
        <f>IF(_PENDIENTES!$B$422&lt;&gt;"",_PENDIENTES!$D$422,"")</f>
        <v/>
      </c>
      <c r="E428" s="306">
        <f>IF(_PENDIENTES!$B$422&lt;&gt;"",_PENDIENTES!$E$422,"")</f>
        <v/>
      </c>
      <c r="F428" s="301">
        <f>IF(_PENDIENTES!$B$422&lt;&gt;"",_PENDIENTES!$F$422,"")</f>
        <v/>
      </c>
      <c r="G428" s="245">
        <f>IF(_PENDIENTES!$B$422&lt;&gt;"",_PENDIENTES!$G$422,"")</f>
        <v/>
      </c>
      <c r="H428" s="245">
        <f>IF(_PENDIENTES!$B$422&lt;&gt;"",_PENDIENTES!$H$422,"")</f>
        <v/>
      </c>
      <c r="I428" s="302">
        <f>IF(_PENDIENTES!$B$422&lt;&gt;"",_PENDIENTES!$I$422,"")</f>
        <v/>
      </c>
      <c r="J428" s="301">
        <f>IF(_PENDIENTES!$B$422&lt;&gt;"",_PENDIENTES!$J$422,"")</f>
        <v/>
      </c>
      <c r="K428" s="301">
        <f>IF(_PENDIENTES!$B$422&lt;&gt;"","POR RECOGER","")</f>
        <v/>
      </c>
      <c r="L428" s="301">
        <f>IF(_PENDIENTES!$B$422&lt;&gt;"",_PENDIENTES!$K$422,"")</f>
        <v/>
      </c>
      <c r="M428" s="284">
        <f>IF(_PENDIENTES!$B$422&lt;&gt;"",_PENDIENTES!$B$422,"")</f>
        <v/>
      </c>
      <c r="N428" s="304">
        <f>IF(_PENDIENTES!$B$422&lt;&gt;"",_PENDIENTES!$L$422,"")</f>
        <v/>
      </c>
      <c r="O428" s="284" t="n"/>
      <c r="P428" s="284" t="n"/>
      <c r="Q428" s="284" t="n"/>
      <c r="R428" s="284" t="n"/>
      <c r="S428" s="284" t="n"/>
    </row>
    <row r="429" hidden="1" ht="15.75" customHeight="1" s="195">
      <c r="A429" s="241">
        <f>IF(_PENDIENTES!$B$423&lt;&gt;"",422,"")</f>
        <v/>
      </c>
      <c r="B429" s="236">
        <f>IF(_PENDIENTES!$B$423&lt;&gt;"",_PENDIENTES!$A$423,"")</f>
        <v/>
      </c>
      <c r="C429" s="305">
        <f>IF(_PENDIENTES!$B$423&lt;&gt;"",_PENDIENTES!$C$423,"")</f>
        <v/>
      </c>
      <c r="D429" s="241">
        <f>IF(_PENDIENTES!$B$423&lt;&gt;"",_PENDIENTES!$D$423,"")</f>
        <v/>
      </c>
      <c r="E429" s="307">
        <f>IF(_PENDIENTES!$B$423&lt;&gt;"",_PENDIENTES!$E$423,"")</f>
        <v/>
      </c>
      <c r="F429" s="241">
        <f>IF(_PENDIENTES!$B$423&lt;&gt;"",_PENDIENTES!$F$423,"")</f>
        <v/>
      </c>
      <c r="G429" s="239">
        <f>IF(_PENDIENTES!$B$423&lt;&gt;"",_PENDIENTES!$G$423,"")</f>
        <v/>
      </c>
      <c r="H429" s="239">
        <f>IF(_PENDIENTES!$B$423&lt;&gt;"",_PENDIENTES!$H$423,"")</f>
        <v/>
      </c>
      <c r="I429" s="305">
        <f>IF(_PENDIENTES!$B$423&lt;&gt;"",_PENDIENTES!$I$423,"")</f>
        <v/>
      </c>
      <c r="J429" s="241">
        <f>IF(_PENDIENTES!$B$423&lt;&gt;"",_PENDIENTES!$J$423,"")</f>
        <v/>
      </c>
      <c r="K429" s="241">
        <f>IF(_PENDIENTES!$B$423&lt;&gt;"","POR RECOGER","")</f>
        <v/>
      </c>
      <c r="L429" s="241">
        <f>IF(_PENDIENTES!$B$423&lt;&gt;"",_PENDIENTES!$K$423,"")</f>
        <v/>
      </c>
      <c r="M429" s="284">
        <f>IF(_PENDIENTES!$B$423&lt;&gt;"",_PENDIENTES!$B$423,"")</f>
        <v/>
      </c>
      <c r="N429" s="304">
        <f>IF(_PENDIENTES!$B$423&lt;&gt;"",_PENDIENTES!$L$423,"")</f>
        <v/>
      </c>
      <c r="O429" s="284" t="n"/>
      <c r="P429" s="284" t="n"/>
      <c r="Q429" s="284" t="n"/>
      <c r="R429" s="284" t="n"/>
      <c r="S429" s="284" t="n"/>
    </row>
    <row r="430" hidden="1" ht="15.75" customHeight="1" s="195">
      <c r="A430" s="301">
        <f>IF(_PENDIENTES!$B$424&lt;&gt;"",423,"")</f>
        <v/>
      </c>
      <c r="B430" s="242">
        <f>IF(_PENDIENTES!$B$424&lt;&gt;"",_PENDIENTES!$A$424,"")</f>
        <v/>
      </c>
      <c r="C430" s="302">
        <f>IF(_PENDIENTES!$B$424&lt;&gt;"",_PENDIENTES!$C$424,"")</f>
        <v/>
      </c>
      <c r="D430" s="301">
        <f>IF(_PENDIENTES!$B$424&lt;&gt;"",_PENDIENTES!$D$424,"")</f>
        <v/>
      </c>
      <c r="E430" s="306">
        <f>IF(_PENDIENTES!$B$424&lt;&gt;"",_PENDIENTES!$E$424,"")</f>
        <v/>
      </c>
      <c r="F430" s="301">
        <f>IF(_PENDIENTES!$B$424&lt;&gt;"",_PENDIENTES!$F$424,"")</f>
        <v/>
      </c>
      <c r="G430" s="245">
        <f>IF(_PENDIENTES!$B$424&lt;&gt;"",_PENDIENTES!$G$424,"")</f>
        <v/>
      </c>
      <c r="H430" s="245">
        <f>IF(_PENDIENTES!$B$424&lt;&gt;"",_PENDIENTES!$H$424,"")</f>
        <v/>
      </c>
      <c r="I430" s="302">
        <f>IF(_PENDIENTES!$B$424&lt;&gt;"",_PENDIENTES!$I$424,"")</f>
        <v/>
      </c>
      <c r="J430" s="301">
        <f>IF(_PENDIENTES!$B$424&lt;&gt;"",_PENDIENTES!$J$424,"")</f>
        <v/>
      </c>
      <c r="K430" s="301">
        <f>IF(_PENDIENTES!$B$424&lt;&gt;"","POR RECOGER","")</f>
        <v/>
      </c>
      <c r="L430" s="301">
        <f>IF(_PENDIENTES!$B$424&lt;&gt;"",_PENDIENTES!$K$424,"")</f>
        <v/>
      </c>
      <c r="M430" s="284">
        <f>IF(_PENDIENTES!$B$424&lt;&gt;"",_PENDIENTES!$B$424,"")</f>
        <v/>
      </c>
      <c r="N430" s="304">
        <f>IF(_PENDIENTES!$B$424&lt;&gt;"",_PENDIENTES!$L$424,"")</f>
        <v/>
      </c>
      <c r="O430" s="284" t="n"/>
      <c r="P430" s="284" t="n"/>
      <c r="Q430" s="284" t="n"/>
      <c r="R430" s="284" t="n"/>
      <c r="S430" s="284" t="n"/>
    </row>
    <row r="431" hidden="1" ht="15.75" customHeight="1" s="195">
      <c r="A431" s="241">
        <f>IF(_PENDIENTES!$B$425&lt;&gt;"",424,"")</f>
        <v/>
      </c>
      <c r="B431" s="236">
        <f>IF(_PENDIENTES!$B$425&lt;&gt;"",_PENDIENTES!$A$425,"")</f>
        <v/>
      </c>
      <c r="C431" s="305">
        <f>IF(_PENDIENTES!$B$425&lt;&gt;"",_PENDIENTES!$C$425,"")</f>
        <v/>
      </c>
      <c r="D431" s="241">
        <f>IF(_PENDIENTES!$B$425&lt;&gt;"",_PENDIENTES!$D$425,"")</f>
        <v/>
      </c>
      <c r="E431" s="307">
        <f>IF(_PENDIENTES!$B$425&lt;&gt;"",_PENDIENTES!$E$425,"")</f>
        <v/>
      </c>
      <c r="F431" s="241">
        <f>IF(_PENDIENTES!$B$425&lt;&gt;"",_PENDIENTES!$F$425,"")</f>
        <v/>
      </c>
      <c r="G431" s="239">
        <f>IF(_PENDIENTES!$B$425&lt;&gt;"",_PENDIENTES!$G$425,"")</f>
        <v/>
      </c>
      <c r="H431" s="239">
        <f>IF(_PENDIENTES!$B$425&lt;&gt;"",_PENDIENTES!$H$425,"")</f>
        <v/>
      </c>
      <c r="I431" s="305">
        <f>IF(_PENDIENTES!$B$425&lt;&gt;"",_PENDIENTES!$I$425,"")</f>
        <v/>
      </c>
      <c r="J431" s="241">
        <f>IF(_PENDIENTES!$B$425&lt;&gt;"",_PENDIENTES!$J$425,"")</f>
        <v/>
      </c>
      <c r="K431" s="241">
        <f>IF(_PENDIENTES!$B$425&lt;&gt;"","POR RECOGER","")</f>
        <v/>
      </c>
      <c r="L431" s="241">
        <f>IF(_PENDIENTES!$B$425&lt;&gt;"",_PENDIENTES!$K$425,"")</f>
        <v/>
      </c>
      <c r="M431" s="284">
        <f>IF(_PENDIENTES!$B$425&lt;&gt;"",_PENDIENTES!$B$425,"")</f>
        <v/>
      </c>
      <c r="N431" s="304">
        <f>IF(_PENDIENTES!$B$425&lt;&gt;"",_PENDIENTES!$L$425,"")</f>
        <v/>
      </c>
      <c r="O431" s="284" t="n"/>
      <c r="P431" s="284" t="n"/>
      <c r="Q431" s="284" t="n"/>
      <c r="R431" s="284" t="n"/>
      <c r="S431" s="284" t="n"/>
    </row>
    <row r="432" hidden="1" ht="15.75" customHeight="1" s="195">
      <c r="A432" s="301">
        <f>IF(_PENDIENTES!$B$426&lt;&gt;"",425,"")</f>
        <v/>
      </c>
      <c r="B432" s="242">
        <f>IF(_PENDIENTES!$B$426&lt;&gt;"",_PENDIENTES!$A$426,"")</f>
        <v/>
      </c>
      <c r="C432" s="302">
        <f>IF(_PENDIENTES!$B$426&lt;&gt;"",_PENDIENTES!$C$426,"")</f>
        <v/>
      </c>
      <c r="D432" s="301">
        <f>IF(_PENDIENTES!$B$426&lt;&gt;"",_PENDIENTES!$D$426,"")</f>
        <v/>
      </c>
      <c r="E432" s="306">
        <f>IF(_PENDIENTES!$B$426&lt;&gt;"",_PENDIENTES!$E$426,"")</f>
        <v/>
      </c>
      <c r="F432" s="301">
        <f>IF(_PENDIENTES!$B$426&lt;&gt;"",_PENDIENTES!$F$426,"")</f>
        <v/>
      </c>
      <c r="G432" s="245">
        <f>IF(_PENDIENTES!$B$426&lt;&gt;"",_PENDIENTES!$G$426,"")</f>
        <v/>
      </c>
      <c r="H432" s="245">
        <f>IF(_PENDIENTES!$B$426&lt;&gt;"",_PENDIENTES!$H$426,"")</f>
        <v/>
      </c>
      <c r="I432" s="302">
        <f>IF(_PENDIENTES!$B$426&lt;&gt;"",_PENDIENTES!$I$426,"")</f>
        <v/>
      </c>
      <c r="J432" s="301">
        <f>IF(_PENDIENTES!$B$426&lt;&gt;"",_PENDIENTES!$J$426,"")</f>
        <v/>
      </c>
      <c r="K432" s="301">
        <f>IF(_PENDIENTES!$B$426&lt;&gt;"","POR RECOGER","")</f>
        <v/>
      </c>
      <c r="L432" s="301">
        <f>IF(_PENDIENTES!$B$426&lt;&gt;"",_PENDIENTES!$K$426,"")</f>
        <v/>
      </c>
      <c r="M432" s="284">
        <f>IF(_PENDIENTES!$B$426&lt;&gt;"",_PENDIENTES!$B$426,"")</f>
        <v/>
      </c>
      <c r="N432" s="304">
        <f>IF(_PENDIENTES!$B$426&lt;&gt;"",_PENDIENTES!$L$426,"")</f>
        <v/>
      </c>
      <c r="O432" s="284" t="n"/>
      <c r="P432" s="284" t="n"/>
      <c r="Q432" s="284" t="n"/>
      <c r="R432" s="284" t="n"/>
      <c r="S432" s="284" t="n"/>
    </row>
    <row r="433" hidden="1" ht="15.75" customHeight="1" s="195">
      <c r="A433" s="241">
        <f>IF(_PENDIENTES!$B$427&lt;&gt;"",426,"")</f>
        <v/>
      </c>
      <c r="B433" s="236">
        <f>IF(_PENDIENTES!$B$427&lt;&gt;"",_PENDIENTES!$A$427,"")</f>
        <v/>
      </c>
      <c r="C433" s="305">
        <f>IF(_PENDIENTES!$B$427&lt;&gt;"",_PENDIENTES!$C$427,"")</f>
        <v/>
      </c>
      <c r="D433" s="241">
        <f>IF(_PENDIENTES!$B$427&lt;&gt;"",_PENDIENTES!$D$427,"")</f>
        <v/>
      </c>
      <c r="E433" s="307">
        <f>IF(_PENDIENTES!$B$427&lt;&gt;"",_PENDIENTES!$E$427,"")</f>
        <v/>
      </c>
      <c r="F433" s="241">
        <f>IF(_PENDIENTES!$B$427&lt;&gt;"",_PENDIENTES!$F$427,"")</f>
        <v/>
      </c>
      <c r="G433" s="239">
        <f>IF(_PENDIENTES!$B$427&lt;&gt;"",_PENDIENTES!$G$427,"")</f>
        <v/>
      </c>
      <c r="H433" s="239">
        <f>IF(_PENDIENTES!$B$427&lt;&gt;"",_PENDIENTES!$H$427,"")</f>
        <v/>
      </c>
      <c r="I433" s="305">
        <f>IF(_PENDIENTES!$B$427&lt;&gt;"",_PENDIENTES!$I$427,"")</f>
        <v/>
      </c>
      <c r="J433" s="241">
        <f>IF(_PENDIENTES!$B$427&lt;&gt;"",_PENDIENTES!$J$427,"")</f>
        <v/>
      </c>
      <c r="K433" s="241">
        <f>IF(_PENDIENTES!$B$427&lt;&gt;"","POR RECOGER","")</f>
        <v/>
      </c>
      <c r="L433" s="241">
        <f>IF(_PENDIENTES!$B$427&lt;&gt;"",_PENDIENTES!$K$427,"")</f>
        <v/>
      </c>
      <c r="M433" s="284">
        <f>IF(_PENDIENTES!$B$427&lt;&gt;"",_PENDIENTES!$B$427,"")</f>
        <v/>
      </c>
      <c r="N433" s="304">
        <f>IF(_PENDIENTES!$B$427&lt;&gt;"",_PENDIENTES!$L$427,"")</f>
        <v/>
      </c>
      <c r="O433" s="284" t="n"/>
      <c r="P433" s="284" t="n"/>
      <c r="Q433" s="284" t="n"/>
      <c r="R433" s="284" t="n"/>
      <c r="S433" s="284" t="n"/>
    </row>
    <row r="434" hidden="1" ht="15.75" customHeight="1" s="195">
      <c r="A434" s="301">
        <f>IF(_PENDIENTES!$B$428&lt;&gt;"",427,"")</f>
        <v/>
      </c>
      <c r="B434" s="242">
        <f>IF(_PENDIENTES!$B$428&lt;&gt;"",_PENDIENTES!$A$428,"")</f>
        <v/>
      </c>
      <c r="C434" s="302">
        <f>IF(_PENDIENTES!$B$428&lt;&gt;"",_PENDIENTES!$C$428,"")</f>
        <v/>
      </c>
      <c r="D434" s="301">
        <f>IF(_PENDIENTES!$B$428&lt;&gt;"",_PENDIENTES!$D$428,"")</f>
        <v/>
      </c>
      <c r="E434" s="306">
        <f>IF(_PENDIENTES!$B$428&lt;&gt;"",_PENDIENTES!$E$428,"")</f>
        <v/>
      </c>
      <c r="F434" s="301">
        <f>IF(_PENDIENTES!$B$428&lt;&gt;"",_PENDIENTES!$F$428,"")</f>
        <v/>
      </c>
      <c r="G434" s="245">
        <f>IF(_PENDIENTES!$B$428&lt;&gt;"",_PENDIENTES!$G$428,"")</f>
        <v/>
      </c>
      <c r="H434" s="245">
        <f>IF(_PENDIENTES!$B$428&lt;&gt;"",_PENDIENTES!$H$428,"")</f>
        <v/>
      </c>
      <c r="I434" s="302">
        <f>IF(_PENDIENTES!$B$428&lt;&gt;"",_PENDIENTES!$I$428,"")</f>
        <v/>
      </c>
      <c r="J434" s="301">
        <f>IF(_PENDIENTES!$B$428&lt;&gt;"",_PENDIENTES!$J$428,"")</f>
        <v/>
      </c>
      <c r="K434" s="301">
        <f>IF(_PENDIENTES!$B$428&lt;&gt;"","POR RECOGER","")</f>
        <v/>
      </c>
      <c r="L434" s="301">
        <f>IF(_PENDIENTES!$B$428&lt;&gt;"",_PENDIENTES!$K$428,"")</f>
        <v/>
      </c>
      <c r="M434" s="284">
        <f>IF(_PENDIENTES!$B$428&lt;&gt;"",_PENDIENTES!$B$428,"")</f>
        <v/>
      </c>
      <c r="N434" s="304">
        <f>IF(_PENDIENTES!$B$428&lt;&gt;"",_PENDIENTES!$L$428,"")</f>
        <v/>
      </c>
      <c r="O434" s="284" t="n"/>
      <c r="P434" s="284" t="n"/>
      <c r="Q434" s="284" t="n"/>
      <c r="R434" s="284" t="n"/>
      <c r="S434" s="284" t="n"/>
    </row>
    <row r="435" hidden="1" ht="15.75" customHeight="1" s="195">
      <c r="A435" s="241">
        <f>IF(_PENDIENTES!$B$429&lt;&gt;"",428,"")</f>
        <v/>
      </c>
      <c r="B435" s="236">
        <f>IF(_PENDIENTES!$B$429&lt;&gt;"",_PENDIENTES!$A$429,"")</f>
        <v/>
      </c>
      <c r="C435" s="305">
        <f>IF(_PENDIENTES!$B$429&lt;&gt;"",_PENDIENTES!$C$429,"")</f>
        <v/>
      </c>
      <c r="D435" s="241">
        <f>IF(_PENDIENTES!$B$429&lt;&gt;"",_PENDIENTES!$D$429,"")</f>
        <v/>
      </c>
      <c r="E435" s="307">
        <f>IF(_PENDIENTES!$B$429&lt;&gt;"",_PENDIENTES!$E$429,"")</f>
        <v/>
      </c>
      <c r="F435" s="241">
        <f>IF(_PENDIENTES!$B$429&lt;&gt;"",_PENDIENTES!$F$429,"")</f>
        <v/>
      </c>
      <c r="G435" s="239">
        <f>IF(_PENDIENTES!$B$429&lt;&gt;"",_PENDIENTES!$G$429,"")</f>
        <v/>
      </c>
      <c r="H435" s="239">
        <f>IF(_PENDIENTES!$B$429&lt;&gt;"",_PENDIENTES!$H$429,"")</f>
        <v/>
      </c>
      <c r="I435" s="305">
        <f>IF(_PENDIENTES!$B$429&lt;&gt;"",_PENDIENTES!$I$429,"")</f>
        <v/>
      </c>
      <c r="J435" s="241">
        <f>IF(_PENDIENTES!$B$429&lt;&gt;"",_PENDIENTES!$J$429,"")</f>
        <v/>
      </c>
      <c r="K435" s="241">
        <f>IF(_PENDIENTES!$B$429&lt;&gt;"","POR RECOGER","")</f>
        <v/>
      </c>
      <c r="L435" s="241">
        <f>IF(_PENDIENTES!$B$429&lt;&gt;"",_PENDIENTES!$K$429,"")</f>
        <v/>
      </c>
      <c r="M435" s="284">
        <f>IF(_PENDIENTES!$B$429&lt;&gt;"",_PENDIENTES!$B$429,"")</f>
        <v/>
      </c>
      <c r="N435" s="304">
        <f>IF(_PENDIENTES!$B$429&lt;&gt;"",_PENDIENTES!$L$429,"")</f>
        <v/>
      </c>
      <c r="O435" s="284" t="n"/>
      <c r="P435" s="284" t="n"/>
      <c r="Q435" s="284" t="n"/>
      <c r="R435" s="284" t="n"/>
      <c r="S435" s="284" t="n"/>
    </row>
    <row r="436" hidden="1" ht="15.75" customHeight="1" s="195">
      <c r="A436" s="301">
        <f>IF(_PENDIENTES!$B$430&lt;&gt;"",429,"")</f>
        <v/>
      </c>
      <c r="B436" s="242">
        <f>IF(_PENDIENTES!$B$430&lt;&gt;"",_PENDIENTES!$A$430,"")</f>
        <v/>
      </c>
      <c r="C436" s="302">
        <f>IF(_PENDIENTES!$B$430&lt;&gt;"",_PENDIENTES!$C$430,"")</f>
        <v/>
      </c>
      <c r="D436" s="301">
        <f>IF(_PENDIENTES!$B$430&lt;&gt;"",_PENDIENTES!$D$430,"")</f>
        <v/>
      </c>
      <c r="E436" s="306">
        <f>IF(_PENDIENTES!$B$430&lt;&gt;"",_PENDIENTES!$E$430,"")</f>
        <v/>
      </c>
      <c r="F436" s="301">
        <f>IF(_PENDIENTES!$B$430&lt;&gt;"",_PENDIENTES!$F$430,"")</f>
        <v/>
      </c>
      <c r="G436" s="245">
        <f>IF(_PENDIENTES!$B$430&lt;&gt;"",_PENDIENTES!$G$430,"")</f>
        <v/>
      </c>
      <c r="H436" s="245">
        <f>IF(_PENDIENTES!$B$430&lt;&gt;"",_PENDIENTES!$H$430,"")</f>
        <v/>
      </c>
      <c r="I436" s="302">
        <f>IF(_PENDIENTES!$B$430&lt;&gt;"",_PENDIENTES!$I$430,"")</f>
        <v/>
      </c>
      <c r="J436" s="301">
        <f>IF(_PENDIENTES!$B$430&lt;&gt;"",_PENDIENTES!$J$430,"")</f>
        <v/>
      </c>
      <c r="K436" s="301">
        <f>IF(_PENDIENTES!$B$430&lt;&gt;"","POR RECOGER","")</f>
        <v/>
      </c>
      <c r="L436" s="301">
        <f>IF(_PENDIENTES!$B$430&lt;&gt;"",_PENDIENTES!$K$430,"")</f>
        <v/>
      </c>
      <c r="M436" s="284">
        <f>IF(_PENDIENTES!$B$430&lt;&gt;"",_PENDIENTES!$B$430,"")</f>
        <v/>
      </c>
      <c r="N436" s="304">
        <f>IF(_PENDIENTES!$B$430&lt;&gt;"",_PENDIENTES!$L$430,"")</f>
        <v/>
      </c>
      <c r="O436" s="284" t="n"/>
      <c r="P436" s="284" t="n"/>
      <c r="Q436" s="284" t="n"/>
      <c r="R436" s="284" t="n"/>
      <c r="S436" s="284" t="n"/>
    </row>
    <row r="437" hidden="1" ht="15.75" customHeight="1" s="195">
      <c r="A437" s="241">
        <f>IF(_PENDIENTES!$B$431&lt;&gt;"",430,"")</f>
        <v/>
      </c>
      <c r="B437" s="236">
        <f>IF(_PENDIENTES!$B$431&lt;&gt;"",_PENDIENTES!$A$431,"")</f>
        <v/>
      </c>
      <c r="C437" s="305">
        <f>IF(_PENDIENTES!$B$431&lt;&gt;"",_PENDIENTES!$C$431,"")</f>
        <v/>
      </c>
      <c r="D437" s="241">
        <f>IF(_PENDIENTES!$B$431&lt;&gt;"",_PENDIENTES!$D$431,"")</f>
        <v/>
      </c>
      <c r="E437" s="307">
        <f>IF(_PENDIENTES!$B$431&lt;&gt;"",_PENDIENTES!$E$431,"")</f>
        <v/>
      </c>
      <c r="F437" s="241">
        <f>IF(_PENDIENTES!$B$431&lt;&gt;"",_PENDIENTES!$F$431,"")</f>
        <v/>
      </c>
      <c r="G437" s="239">
        <f>IF(_PENDIENTES!$B$431&lt;&gt;"",_PENDIENTES!$G$431,"")</f>
        <v/>
      </c>
      <c r="H437" s="239">
        <f>IF(_PENDIENTES!$B$431&lt;&gt;"",_PENDIENTES!$H$431,"")</f>
        <v/>
      </c>
      <c r="I437" s="305">
        <f>IF(_PENDIENTES!$B$431&lt;&gt;"",_PENDIENTES!$I$431,"")</f>
        <v/>
      </c>
      <c r="J437" s="241">
        <f>IF(_PENDIENTES!$B$431&lt;&gt;"",_PENDIENTES!$J$431,"")</f>
        <v/>
      </c>
      <c r="K437" s="241">
        <f>IF(_PENDIENTES!$B$431&lt;&gt;"","POR RECOGER","")</f>
        <v/>
      </c>
      <c r="L437" s="241">
        <f>IF(_PENDIENTES!$B$431&lt;&gt;"",_PENDIENTES!$K$431,"")</f>
        <v/>
      </c>
      <c r="M437" s="284">
        <f>IF(_PENDIENTES!$B$431&lt;&gt;"",_PENDIENTES!$B$431,"")</f>
        <v/>
      </c>
      <c r="N437" s="304">
        <f>IF(_PENDIENTES!$B$431&lt;&gt;"",_PENDIENTES!$L$431,"")</f>
        <v/>
      </c>
      <c r="O437" s="284" t="n"/>
      <c r="P437" s="284" t="n"/>
      <c r="Q437" s="284" t="n"/>
      <c r="R437" s="284" t="n"/>
      <c r="S437" s="284" t="n"/>
    </row>
    <row r="438" hidden="1" ht="15.75" customHeight="1" s="195">
      <c r="A438" s="301">
        <f>IF(_PENDIENTES!$B$432&lt;&gt;"",431,"")</f>
        <v/>
      </c>
      <c r="B438" s="242">
        <f>IF(_PENDIENTES!$B$432&lt;&gt;"",_PENDIENTES!$A$432,"")</f>
        <v/>
      </c>
      <c r="C438" s="302">
        <f>IF(_PENDIENTES!$B$432&lt;&gt;"",_PENDIENTES!$C$432,"")</f>
        <v/>
      </c>
      <c r="D438" s="301">
        <f>IF(_PENDIENTES!$B$432&lt;&gt;"",_PENDIENTES!$D$432,"")</f>
        <v/>
      </c>
      <c r="E438" s="306">
        <f>IF(_PENDIENTES!$B$432&lt;&gt;"",_PENDIENTES!$E$432,"")</f>
        <v/>
      </c>
      <c r="F438" s="301">
        <f>IF(_PENDIENTES!$B$432&lt;&gt;"",_PENDIENTES!$F$432,"")</f>
        <v/>
      </c>
      <c r="G438" s="245">
        <f>IF(_PENDIENTES!$B$432&lt;&gt;"",_PENDIENTES!$G$432,"")</f>
        <v/>
      </c>
      <c r="H438" s="245">
        <f>IF(_PENDIENTES!$B$432&lt;&gt;"",_PENDIENTES!$H$432,"")</f>
        <v/>
      </c>
      <c r="I438" s="302">
        <f>IF(_PENDIENTES!$B$432&lt;&gt;"",_PENDIENTES!$I$432,"")</f>
        <v/>
      </c>
      <c r="J438" s="301">
        <f>IF(_PENDIENTES!$B$432&lt;&gt;"",_PENDIENTES!$J$432,"")</f>
        <v/>
      </c>
      <c r="K438" s="301">
        <f>IF(_PENDIENTES!$B$432&lt;&gt;"","POR RECOGER","")</f>
        <v/>
      </c>
      <c r="L438" s="301">
        <f>IF(_PENDIENTES!$B$432&lt;&gt;"",_PENDIENTES!$K$432,"")</f>
        <v/>
      </c>
      <c r="M438" s="284">
        <f>IF(_PENDIENTES!$B$432&lt;&gt;"",_PENDIENTES!$B$432,"")</f>
        <v/>
      </c>
      <c r="N438" s="304">
        <f>IF(_PENDIENTES!$B$432&lt;&gt;"",_PENDIENTES!$L$432,"")</f>
        <v/>
      </c>
      <c r="O438" s="284" t="n"/>
      <c r="P438" s="284" t="n"/>
      <c r="Q438" s="284" t="n"/>
      <c r="R438" s="284" t="n"/>
      <c r="S438" s="284" t="n"/>
    </row>
    <row r="439" hidden="1" ht="15.75" customHeight="1" s="195">
      <c r="A439" s="241">
        <f>IF(_PENDIENTES!$B$433&lt;&gt;"",432,"")</f>
        <v/>
      </c>
      <c r="B439" s="236">
        <f>IF(_PENDIENTES!$B$433&lt;&gt;"",_PENDIENTES!$A$433,"")</f>
        <v/>
      </c>
      <c r="C439" s="305">
        <f>IF(_PENDIENTES!$B$433&lt;&gt;"",_PENDIENTES!$C$433,"")</f>
        <v/>
      </c>
      <c r="D439" s="241">
        <f>IF(_PENDIENTES!$B$433&lt;&gt;"",_PENDIENTES!$D$433,"")</f>
        <v/>
      </c>
      <c r="E439" s="307">
        <f>IF(_PENDIENTES!$B$433&lt;&gt;"",_PENDIENTES!$E$433,"")</f>
        <v/>
      </c>
      <c r="F439" s="241">
        <f>IF(_PENDIENTES!$B$433&lt;&gt;"",_PENDIENTES!$F$433,"")</f>
        <v/>
      </c>
      <c r="G439" s="239">
        <f>IF(_PENDIENTES!$B$433&lt;&gt;"",_PENDIENTES!$G$433,"")</f>
        <v/>
      </c>
      <c r="H439" s="239">
        <f>IF(_PENDIENTES!$B$433&lt;&gt;"",_PENDIENTES!$H$433,"")</f>
        <v/>
      </c>
      <c r="I439" s="305">
        <f>IF(_PENDIENTES!$B$433&lt;&gt;"",_PENDIENTES!$I$433,"")</f>
        <v/>
      </c>
      <c r="J439" s="241">
        <f>IF(_PENDIENTES!$B$433&lt;&gt;"",_PENDIENTES!$J$433,"")</f>
        <v/>
      </c>
      <c r="K439" s="241">
        <f>IF(_PENDIENTES!$B$433&lt;&gt;"","POR RECOGER","")</f>
        <v/>
      </c>
      <c r="L439" s="241">
        <f>IF(_PENDIENTES!$B$433&lt;&gt;"",_PENDIENTES!$K$433,"")</f>
        <v/>
      </c>
      <c r="M439" s="284">
        <f>IF(_PENDIENTES!$B$433&lt;&gt;"",_PENDIENTES!$B$433,"")</f>
        <v/>
      </c>
      <c r="N439" s="304">
        <f>IF(_PENDIENTES!$B$433&lt;&gt;"",_PENDIENTES!$L$433,"")</f>
        <v/>
      </c>
      <c r="O439" s="284" t="n"/>
      <c r="P439" s="284" t="n"/>
      <c r="Q439" s="284" t="n"/>
      <c r="R439" s="284" t="n"/>
      <c r="S439" s="284" t="n"/>
    </row>
    <row r="440" hidden="1" ht="15.75" customHeight="1" s="195">
      <c r="A440" s="301">
        <f>IF(_PENDIENTES!$B$434&lt;&gt;"",433,"")</f>
        <v/>
      </c>
      <c r="B440" s="242">
        <f>IF(_PENDIENTES!$B$434&lt;&gt;"",_PENDIENTES!$A$434,"")</f>
        <v/>
      </c>
      <c r="C440" s="302">
        <f>IF(_PENDIENTES!$B$434&lt;&gt;"",_PENDIENTES!$C$434,"")</f>
        <v/>
      </c>
      <c r="D440" s="301">
        <f>IF(_PENDIENTES!$B$434&lt;&gt;"",_PENDIENTES!$D$434,"")</f>
        <v/>
      </c>
      <c r="E440" s="306">
        <f>IF(_PENDIENTES!$B$434&lt;&gt;"",_PENDIENTES!$E$434,"")</f>
        <v/>
      </c>
      <c r="F440" s="301">
        <f>IF(_PENDIENTES!$B$434&lt;&gt;"",_PENDIENTES!$F$434,"")</f>
        <v/>
      </c>
      <c r="G440" s="245">
        <f>IF(_PENDIENTES!$B$434&lt;&gt;"",_PENDIENTES!$G$434,"")</f>
        <v/>
      </c>
      <c r="H440" s="245">
        <f>IF(_PENDIENTES!$B$434&lt;&gt;"",_PENDIENTES!$H$434,"")</f>
        <v/>
      </c>
      <c r="I440" s="302">
        <f>IF(_PENDIENTES!$B$434&lt;&gt;"",_PENDIENTES!$I$434,"")</f>
        <v/>
      </c>
      <c r="J440" s="301">
        <f>IF(_PENDIENTES!$B$434&lt;&gt;"",_PENDIENTES!$J$434,"")</f>
        <v/>
      </c>
      <c r="K440" s="301">
        <f>IF(_PENDIENTES!$B$434&lt;&gt;"","POR RECOGER","")</f>
        <v/>
      </c>
      <c r="L440" s="301">
        <f>IF(_PENDIENTES!$B$434&lt;&gt;"",_PENDIENTES!$K$434,"")</f>
        <v/>
      </c>
      <c r="M440" s="284">
        <f>IF(_PENDIENTES!$B$434&lt;&gt;"",_PENDIENTES!$B$434,"")</f>
        <v/>
      </c>
      <c r="N440" s="304">
        <f>IF(_PENDIENTES!$B$434&lt;&gt;"",_PENDIENTES!$L$434,"")</f>
        <v/>
      </c>
      <c r="O440" s="284" t="n"/>
      <c r="P440" s="284" t="n"/>
      <c r="Q440" s="284" t="n"/>
      <c r="R440" s="284" t="n"/>
      <c r="S440" s="284" t="n"/>
    </row>
    <row r="441" hidden="1" ht="15.75" customHeight="1" s="195">
      <c r="A441" s="241">
        <f>IF(_PENDIENTES!$B$435&lt;&gt;"",434,"")</f>
        <v/>
      </c>
      <c r="B441" s="236">
        <f>IF(_PENDIENTES!$B$435&lt;&gt;"",_PENDIENTES!$A$435,"")</f>
        <v/>
      </c>
      <c r="C441" s="305">
        <f>IF(_PENDIENTES!$B$435&lt;&gt;"",_PENDIENTES!$C$435,"")</f>
        <v/>
      </c>
      <c r="D441" s="241">
        <f>IF(_PENDIENTES!$B$435&lt;&gt;"",_PENDIENTES!$D$435,"")</f>
        <v/>
      </c>
      <c r="E441" s="307">
        <f>IF(_PENDIENTES!$B$435&lt;&gt;"",_PENDIENTES!$E$435,"")</f>
        <v/>
      </c>
      <c r="F441" s="241">
        <f>IF(_PENDIENTES!$B$435&lt;&gt;"",_PENDIENTES!$F$435,"")</f>
        <v/>
      </c>
      <c r="G441" s="239">
        <f>IF(_PENDIENTES!$B$435&lt;&gt;"",_PENDIENTES!$G$435,"")</f>
        <v/>
      </c>
      <c r="H441" s="239">
        <f>IF(_PENDIENTES!$B$435&lt;&gt;"",_PENDIENTES!$H$435,"")</f>
        <v/>
      </c>
      <c r="I441" s="305">
        <f>IF(_PENDIENTES!$B$435&lt;&gt;"",_PENDIENTES!$I$435,"")</f>
        <v/>
      </c>
      <c r="J441" s="241">
        <f>IF(_PENDIENTES!$B$435&lt;&gt;"",_PENDIENTES!$J$435,"")</f>
        <v/>
      </c>
      <c r="K441" s="241">
        <f>IF(_PENDIENTES!$B$435&lt;&gt;"","POR RECOGER","")</f>
        <v/>
      </c>
      <c r="L441" s="241">
        <f>IF(_PENDIENTES!$B$435&lt;&gt;"",_PENDIENTES!$K$435,"")</f>
        <v/>
      </c>
      <c r="M441" s="284">
        <f>IF(_PENDIENTES!$B$435&lt;&gt;"",_PENDIENTES!$B$435,"")</f>
        <v/>
      </c>
      <c r="N441" s="304">
        <f>IF(_PENDIENTES!$B$435&lt;&gt;"",_PENDIENTES!$L$435,"")</f>
        <v/>
      </c>
      <c r="O441" s="284" t="n"/>
      <c r="P441" s="284" t="n"/>
      <c r="Q441" s="284" t="n"/>
      <c r="R441" s="284" t="n"/>
      <c r="S441" s="284" t="n"/>
    </row>
    <row r="442" hidden="1" ht="15.75" customHeight="1" s="195">
      <c r="A442" s="301">
        <f>IF(_PENDIENTES!$B$436&lt;&gt;"",435,"")</f>
        <v/>
      </c>
      <c r="B442" s="242">
        <f>IF(_PENDIENTES!$B$436&lt;&gt;"",_PENDIENTES!$A$436,"")</f>
        <v/>
      </c>
      <c r="C442" s="302">
        <f>IF(_PENDIENTES!$B$436&lt;&gt;"",_PENDIENTES!$C$436,"")</f>
        <v/>
      </c>
      <c r="D442" s="301">
        <f>IF(_PENDIENTES!$B$436&lt;&gt;"",_PENDIENTES!$D$436,"")</f>
        <v/>
      </c>
      <c r="E442" s="306">
        <f>IF(_PENDIENTES!$B$436&lt;&gt;"",_PENDIENTES!$E$436,"")</f>
        <v/>
      </c>
      <c r="F442" s="301">
        <f>IF(_PENDIENTES!$B$436&lt;&gt;"",_PENDIENTES!$F$436,"")</f>
        <v/>
      </c>
      <c r="G442" s="245">
        <f>IF(_PENDIENTES!$B$436&lt;&gt;"",_PENDIENTES!$G$436,"")</f>
        <v/>
      </c>
      <c r="H442" s="245">
        <f>IF(_PENDIENTES!$B$436&lt;&gt;"",_PENDIENTES!$H$436,"")</f>
        <v/>
      </c>
      <c r="I442" s="302">
        <f>IF(_PENDIENTES!$B$436&lt;&gt;"",_PENDIENTES!$I$436,"")</f>
        <v/>
      </c>
      <c r="J442" s="301">
        <f>IF(_PENDIENTES!$B$436&lt;&gt;"",_PENDIENTES!$J$436,"")</f>
        <v/>
      </c>
      <c r="K442" s="301">
        <f>IF(_PENDIENTES!$B$436&lt;&gt;"","POR RECOGER","")</f>
        <v/>
      </c>
      <c r="L442" s="301">
        <f>IF(_PENDIENTES!$B$436&lt;&gt;"",_PENDIENTES!$K$436,"")</f>
        <v/>
      </c>
      <c r="M442" s="284">
        <f>IF(_PENDIENTES!$B$436&lt;&gt;"",_PENDIENTES!$B$436,"")</f>
        <v/>
      </c>
      <c r="N442" s="304">
        <f>IF(_PENDIENTES!$B$436&lt;&gt;"",_PENDIENTES!$L$436,"")</f>
        <v/>
      </c>
      <c r="O442" s="284" t="n"/>
      <c r="P442" s="284" t="n"/>
      <c r="Q442" s="284" t="n"/>
      <c r="R442" s="284" t="n"/>
      <c r="S442" s="284" t="n"/>
    </row>
    <row r="443" hidden="1" ht="15.75" customHeight="1" s="195">
      <c r="A443" s="241">
        <f>IF(_PENDIENTES!$B$437&lt;&gt;"",436,"")</f>
        <v/>
      </c>
      <c r="B443" s="236">
        <f>IF(_PENDIENTES!$B$437&lt;&gt;"",_PENDIENTES!$A$437,"")</f>
        <v/>
      </c>
      <c r="C443" s="305">
        <f>IF(_PENDIENTES!$B$437&lt;&gt;"",_PENDIENTES!$C$437,"")</f>
        <v/>
      </c>
      <c r="D443" s="241">
        <f>IF(_PENDIENTES!$B$437&lt;&gt;"",_PENDIENTES!$D$437,"")</f>
        <v/>
      </c>
      <c r="E443" s="307">
        <f>IF(_PENDIENTES!$B$437&lt;&gt;"",_PENDIENTES!$E$437,"")</f>
        <v/>
      </c>
      <c r="F443" s="241">
        <f>IF(_PENDIENTES!$B$437&lt;&gt;"",_PENDIENTES!$F$437,"")</f>
        <v/>
      </c>
      <c r="G443" s="239">
        <f>IF(_PENDIENTES!$B$437&lt;&gt;"",_PENDIENTES!$G$437,"")</f>
        <v/>
      </c>
      <c r="H443" s="239">
        <f>IF(_PENDIENTES!$B$437&lt;&gt;"",_PENDIENTES!$H$437,"")</f>
        <v/>
      </c>
      <c r="I443" s="305">
        <f>IF(_PENDIENTES!$B$437&lt;&gt;"",_PENDIENTES!$I$437,"")</f>
        <v/>
      </c>
      <c r="J443" s="241">
        <f>IF(_PENDIENTES!$B$437&lt;&gt;"",_PENDIENTES!$J$437,"")</f>
        <v/>
      </c>
      <c r="K443" s="241">
        <f>IF(_PENDIENTES!$B$437&lt;&gt;"","POR RECOGER","")</f>
        <v/>
      </c>
      <c r="L443" s="241">
        <f>IF(_PENDIENTES!$B$437&lt;&gt;"",_PENDIENTES!$K$437,"")</f>
        <v/>
      </c>
      <c r="M443" s="284">
        <f>IF(_PENDIENTES!$B$437&lt;&gt;"",_PENDIENTES!$B$437,"")</f>
        <v/>
      </c>
      <c r="N443" s="304">
        <f>IF(_PENDIENTES!$B$437&lt;&gt;"",_PENDIENTES!$L$437,"")</f>
        <v/>
      </c>
      <c r="O443" s="284" t="n"/>
      <c r="P443" s="284" t="n"/>
      <c r="Q443" s="284" t="n"/>
      <c r="R443" s="284" t="n"/>
      <c r="S443" s="284" t="n"/>
    </row>
    <row r="444" hidden="1" ht="15.75" customHeight="1" s="195">
      <c r="A444" s="301">
        <f>IF(_PENDIENTES!$B$438&lt;&gt;"",437,"")</f>
        <v/>
      </c>
      <c r="B444" s="242">
        <f>IF(_PENDIENTES!$B$438&lt;&gt;"",_PENDIENTES!$A$438,"")</f>
        <v/>
      </c>
      <c r="C444" s="302">
        <f>IF(_PENDIENTES!$B$438&lt;&gt;"",_PENDIENTES!$C$438,"")</f>
        <v/>
      </c>
      <c r="D444" s="301">
        <f>IF(_PENDIENTES!$B$438&lt;&gt;"",_PENDIENTES!$D$438,"")</f>
        <v/>
      </c>
      <c r="E444" s="306">
        <f>IF(_PENDIENTES!$B$438&lt;&gt;"",_PENDIENTES!$E$438,"")</f>
        <v/>
      </c>
      <c r="F444" s="301">
        <f>IF(_PENDIENTES!$B$438&lt;&gt;"",_PENDIENTES!$F$438,"")</f>
        <v/>
      </c>
      <c r="G444" s="245">
        <f>IF(_PENDIENTES!$B$438&lt;&gt;"",_PENDIENTES!$G$438,"")</f>
        <v/>
      </c>
      <c r="H444" s="245">
        <f>IF(_PENDIENTES!$B$438&lt;&gt;"",_PENDIENTES!$H$438,"")</f>
        <v/>
      </c>
      <c r="I444" s="302">
        <f>IF(_PENDIENTES!$B$438&lt;&gt;"",_PENDIENTES!$I$438,"")</f>
        <v/>
      </c>
      <c r="J444" s="301">
        <f>IF(_PENDIENTES!$B$438&lt;&gt;"",_PENDIENTES!$J$438,"")</f>
        <v/>
      </c>
      <c r="K444" s="301">
        <f>IF(_PENDIENTES!$B$438&lt;&gt;"","POR RECOGER","")</f>
        <v/>
      </c>
      <c r="L444" s="301">
        <f>IF(_PENDIENTES!$B$438&lt;&gt;"",_PENDIENTES!$K$438,"")</f>
        <v/>
      </c>
      <c r="M444" s="284">
        <f>IF(_PENDIENTES!$B$438&lt;&gt;"",_PENDIENTES!$B$438,"")</f>
        <v/>
      </c>
      <c r="N444" s="304">
        <f>IF(_PENDIENTES!$B$438&lt;&gt;"",_PENDIENTES!$L$438,"")</f>
        <v/>
      </c>
      <c r="O444" s="284" t="n"/>
      <c r="P444" s="284" t="n"/>
      <c r="Q444" s="284" t="n"/>
      <c r="R444" s="284" t="n"/>
      <c r="S444" s="284" t="n"/>
    </row>
    <row r="445" hidden="1" ht="15.75" customHeight="1" s="195">
      <c r="A445" s="241">
        <f>IF(_PENDIENTES!$B$439&lt;&gt;"",438,"")</f>
        <v/>
      </c>
      <c r="B445" s="236">
        <f>IF(_PENDIENTES!$B$439&lt;&gt;"",_PENDIENTES!$A$439,"")</f>
        <v/>
      </c>
      <c r="C445" s="305">
        <f>IF(_PENDIENTES!$B$439&lt;&gt;"",_PENDIENTES!$C$439,"")</f>
        <v/>
      </c>
      <c r="D445" s="241">
        <f>IF(_PENDIENTES!$B$439&lt;&gt;"",_PENDIENTES!$D$439,"")</f>
        <v/>
      </c>
      <c r="E445" s="307">
        <f>IF(_PENDIENTES!$B$439&lt;&gt;"",_PENDIENTES!$E$439,"")</f>
        <v/>
      </c>
      <c r="F445" s="241">
        <f>IF(_PENDIENTES!$B$439&lt;&gt;"",_PENDIENTES!$F$439,"")</f>
        <v/>
      </c>
      <c r="G445" s="239">
        <f>IF(_PENDIENTES!$B$439&lt;&gt;"",_PENDIENTES!$G$439,"")</f>
        <v/>
      </c>
      <c r="H445" s="239">
        <f>IF(_PENDIENTES!$B$439&lt;&gt;"",_PENDIENTES!$H$439,"")</f>
        <v/>
      </c>
      <c r="I445" s="305">
        <f>IF(_PENDIENTES!$B$439&lt;&gt;"",_PENDIENTES!$I$439,"")</f>
        <v/>
      </c>
      <c r="J445" s="241">
        <f>IF(_PENDIENTES!$B$439&lt;&gt;"",_PENDIENTES!$J$439,"")</f>
        <v/>
      </c>
      <c r="K445" s="241">
        <f>IF(_PENDIENTES!$B$439&lt;&gt;"","POR RECOGER","")</f>
        <v/>
      </c>
      <c r="L445" s="241">
        <f>IF(_PENDIENTES!$B$439&lt;&gt;"",_PENDIENTES!$K$439,"")</f>
        <v/>
      </c>
      <c r="M445" s="284">
        <f>IF(_PENDIENTES!$B$439&lt;&gt;"",_PENDIENTES!$B$439,"")</f>
        <v/>
      </c>
      <c r="N445" s="304">
        <f>IF(_PENDIENTES!$B$439&lt;&gt;"",_PENDIENTES!$L$439,"")</f>
        <v/>
      </c>
      <c r="O445" s="284" t="n"/>
      <c r="P445" s="284" t="n"/>
      <c r="Q445" s="284" t="n"/>
      <c r="R445" s="284" t="n"/>
      <c r="S445" s="284" t="n"/>
    </row>
    <row r="446" hidden="1" ht="15.75" customHeight="1" s="195">
      <c r="A446" s="301">
        <f>IF(_PENDIENTES!$B$440&lt;&gt;"",439,"")</f>
        <v/>
      </c>
      <c r="B446" s="242">
        <f>IF(_PENDIENTES!$B$440&lt;&gt;"",_PENDIENTES!$A$440,"")</f>
        <v/>
      </c>
      <c r="C446" s="302">
        <f>IF(_PENDIENTES!$B$440&lt;&gt;"",_PENDIENTES!$C$440,"")</f>
        <v/>
      </c>
      <c r="D446" s="301">
        <f>IF(_PENDIENTES!$B$440&lt;&gt;"",_PENDIENTES!$D$440,"")</f>
        <v/>
      </c>
      <c r="E446" s="306">
        <f>IF(_PENDIENTES!$B$440&lt;&gt;"",_PENDIENTES!$E$440,"")</f>
        <v/>
      </c>
      <c r="F446" s="301">
        <f>IF(_PENDIENTES!$B$440&lt;&gt;"",_PENDIENTES!$F$440,"")</f>
        <v/>
      </c>
      <c r="G446" s="245">
        <f>IF(_PENDIENTES!$B$440&lt;&gt;"",_PENDIENTES!$G$440,"")</f>
        <v/>
      </c>
      <c r="H446" s="245">
        <f>IF(_PENDIENTES!$B$440&lt;&gt;"",_PENDIENTES!$H$440,"")</f>
        <v/>
      </c>
      <c r="I446" s="302">
        <f>IF(_PENDIENTES!$B$440&lt;&gt;"",_PENDIENTES!$I$440,"")</f>
        <v/>
      </c>
      <c r="J446" s="301">
        <f>IF(_PENDIENTES!$B$440&lt;&gt;"",_PENDIENTES!$J$440,"")</f>
        <v/>
      </c>
      <c r="K446" s="301">
        <f>IF(_PENDIENTES!$B$440&lt;&gt;"","POR RECOGER","")</f>
        <v/>
      </c>
      <c r="L446" s="301">
        <f>IF(_PENDIENTES!$B$440&lt;&gt;"",_PENDIENTES!$K$440,"")</f>
        <v/>
      </c>
      <c r="M446" s="284">
        <f>IF(_PENDIENTES!$B$440&lt;&gt;"",_PENDIENTES!$B$440,"")</f>
        <v/>
      </c>
      <c r="N446" s="304">
        <f>IF(_PENDIENTES!$B$440&lt;&gt;"",_PENDIENTES!$L$440,"")</f>
        <v/>
      </c>
      <c r="O446" s="284" t="n"/>
      <c r="P446" s="284" t="n"/>
      <c r="Q446" s="284" t="n"/>
      <c r="R446" s="284" t="n"/>
      <c r="S446" s="284" t="n"/>
    </row>
    <row r="447" hidden="1" ht="15.75" customHeight="1" s="195">
      <c r="A447" s="241">
        <f>IF(_PENDIENTES!$B$441&lt;&gt;"",440,"")</f>
        <v/>
      </c>
      <c r="B447" s="236">
        <f>IF(_PENDIENTES!$B$441&lt;&gt;"",_PENDIENTES!$A$441,"")</f>
        <v/>
      </c>
      <c r="C447" s="305">
        <f>IF(_PENDIENTES!$B$441&lt;&gt;"",_PENDIENTES!$C$441,"")</f>
        <v/>
      </c>
      <c r="D447" s="241">
        <f>IF(_PENDIENTES!$B$441&lt;&gt;"",_PENDIENTES!$D$441,"")</f>
        <v/>
      </c>
      <c r="E447" s="307">
        <f>IF(_PENDIENTES!$B$441&lt;&gt;"",_PENDIENTES!$E$441,"")</f>
        <v/>
      </c>
      <c r="F447" s="241">
        <f>IF(_PENDIENTES!$B$441&lt;&gt;"",_PENDIENTES!$F$441,"")</f>
        <v/>
      </c>
      <c r="G447" s="239">
        <f>IF(_PENDIENTES!$B$441&lt;&gt;"",_PENDIENTES!$G$441,"")</f>
        <v/>
      </c>
      <c r="H447" s="239">
        <f>IF(_PENDIENTES!$B$441&lt;&gt;"",_PENDIENTES!$H$441,"")</f>
        <v/>
      </c>
      <c r="I447" s="305">
        <f>IF(_PENDIENTES!$B$441&lt;&gt;"",_PENDIENTES!$I$441,"")</f>
        <v/>
      </c>
      <c r="J447" s="241">
        <f>IF(_PENDIENTES!$B$441&lt;&gt;"",_PENDIENTES!$J$441,"")</f>
        <v/>
      </c>
      <c r="K447" s="241">
        <f>IF(_PENDIENTES!$B$441&lt;&gt;"","POR RECOGER","")</f>
        <v/>
      </c>
      <c r="L447" s="241">
        <f>IF(_PENDIENTES!$B$441&lt;&gt;"",_PENDIENTES!$K$441,"")</f>
        <v/>
      </c>
      <c r="M447" s="284">
        <f>IF(_PENDIENTES!$B$441&lt;&gt;"",_PENDIENTES!$B$441,"")</f>
        <v/>
      </c>
      <c r="N447" s="304">
        <f>IF(_PENDIENTES!$B$441&lt;&gt;"",_PENDIENTES!$L$441,"")</f>
        <v/>
      </c>
      <c r="O447" s="284" t="n"/>
      <c r="P447" s="284" t="n"/>
      <c r="Q447" s="284" t="n"/>
      <c r="R447" s="284" t="n"/>
      <c r="S447" s="284" t="n"/>
    </row>
    <row r="448" hidden="1" ht="15.75" customHeight="1" s="195">
      <c r="A448" s="301">
        <f>IF(_PENDIENTES!$B$442&lt;&gt;"",441,"")</f>
        <v/>
      </c>
      <c r="B448" s="242">
        <f>IF(_PENDIENTES!$B$442&lt;&gt;"",_PENDIENTES!$A$442,"")</f>
        <v/>
      </c>
      <c r="C448" s="302">
        <f>IF(_PENDIENTES!$B$442&lt;&gt;"",_PENDIENTES!$C$442,"")</f>
        <v/>
      </c>
      <c r="D448" s="301">
        <f>IF(_PENDIENTES!$B$442&lt;&gt;"",_PENDIENTES!$D$442,"")</f>
        <v/>
      </c>
      <c r="E448" s="306">
        <f>IF(_PENDIENTES!$B$442&lt;&gt;"",_PENDIENTES!$E$442,"")</f>
        <v/>
      </c>
      <c r="F448" s="301">
        <f>IF(_PENDIENTES!$B$442&lt;&gt;"",_PENDIENTES!$F$442,"")</f>
        <v/>
      </c>
      <c r="G448" s="245">
        <f>IF(_PENDIENTES!$B$442&lt;&gt;"",_PENDIENTES!$G$442,"")</f>
        <v/>
      </c>
      <c r="H448" s="245">
        <f>IF(_PENDIENTES!$B$442&lt;&gt;"",_PENDIENTES!$H$442,"")</f>
        <v/>
      </c>
      <c r="I448" s="302">
        <f>IF(_PENDIENTES!$B$442&lt;&gt;"",_PENDIENTES!$I$442,"")</f>
        <v/>
      </c>
      <c r="J448" s="301">
        <f>IF(_PENDIENTES!$B$442&lt;&gt;"",_PENDIENTES!$J$442,"")</f>
        <v/>
      </c>
      <c r="K448" s="301">
        <f>IF(_PENDIENTES!$B$442&lt;&gt;"","POR RECOGER","")</f>
        <v/>
      </c>
      <c r="L448" s="301">
        <f>IF(_PENDIENTES!$B$442&lt;&gt;"",_PENDIENTES!$K$442,"")</f>
        <v/>
      </c>
      <c r="M448" s="284">
        <f>IF(_PENDIENTES!$B$442&lt;&gt;"",_PENDIENTES!$B$442,"")</f>
        <v/>
      </c>
      <c r="N448" s="304">
        <f>IF(_PENDIENTES!$B$442&lt;&gt;"",_PENDIENTES!$L$442,"")</f>
        <v/>
      </c>
      <c r="O448" s="284" t="n"/>
      <c r="P448" s="284" t="n"/>
      <c r="Q448" s="284" t="n"/>
      <c r="R448" s="284" t="n"/>
      <c r="S448" s="284" t="n"/>
    </row>
    <row r="449" hidden="1" ht="15.75" customHeight="1" s="195">
      <c r="A449" s="241">
        <f>IF(_PENDIENTES!$B$443&lt;&gt;"",442,"")</f>
        <v/>
      </c>
      <c r="B449" s="236">
        <f>IF(_PENDIENTES!$B$443&lt;&gt;"",_PENDIENTES!$A$443,"")</f>
        <v/>
      </c>
      <c r="C449" s="305">
        <f>IF(_PENDIENTES!$B$443&lt;&gt;"",_PENDIENTES!$C$443,"")</f>
        <v/>
      </c>
      <c r="D449" s="241">
        <f>IF(_PENDIENTES!$B$443&lt;&gt;"",_PENDIENTES!$D$443,"")</f>
        <v/>
      </c>
      <c r="E449" s="307">
        <f>IF(_PENDIENTES!$B$443&lt;&gt;"",_PENDIENTES!$E$443,"")</f>
        <v/>
      </c>
      <c r="F449" s="241">
        <f>IF(_PENDIENTES!$B$443&lt;&gt;"",_PENDIENTES!$F$443,"")</f>
        <v/>
      </c>
      <c r="G449" s="239">
        <f>IF(_PENDIENTES!$B$443&lt;&gt;"",_PENDIENTES!$G$443,"")</f>
        <v/>
      </c>
      <c r="H449" s="239">
        <f>IF(_PENDIENTES!$B$443&lt;&gt;"",_PENDIENTES!$H$443,"")</f>
        <v/>
      </c>
      <c r="I449" s="305">
        <f>IF(_PENDIENTES!$B$443&lt;&gt;"",_PENDIENTES!$I$443,"")</f>
        <v/>
      </c>
      <c r="J449" s="241">
        <f>IF(_PENDIENTES!$B$443&lt;&gt;"",_PENDIENTES!$J$443,"")</f>
        <v/>
      </c>
      <c r="K449" s="241">
        <f>IF(_PENDIENTES!$B$443&lt;&gt;"","POR RECOGER","")</f>
        <v/>
      </c>
      <c r="L449" s="241">
        <f>IF(_PENDIENTES!$B$443&lt;&gt;"",_PENDIENTES!$K$443,"")</f>
        <v/>
      </c>
      <c r="M449" s="284">
        <f>IF(_PENDIENTES!$B$443&lt;&gt;"",_PENDIENTES!$B$443,"")</f>
        <v/>
      </c>
      <c r="N449" s="304">
        <f>IF(_PENDIENTES!$B$443&lt;&gt;"",_PENDIENTES!$L$443,"")</f>
        <v/>
      </c>
      <c r="O449" s="284" t="n"/>
      <c r="P449" s="284" t="n"/>
      <c r="Q449" s="284" t="n"/>
      <c r="R449" s="284" t="n"/>
      <c r="S449" s="284" t="n"/>
    </row>
    <row r="450" hidden="1" ht="15.75" customHeight="1" s="195">
      <c r="A450" s="301">
        <f>IF(_PENDIENTES!$B$444&lt;&gt;"",443,"")</f>
        <v/>
      </c>
      <c r="B450" s="242">
        <f>IF(_PENDIENTES!$B$444&lt;&gt;"",_PENDIENTES!$A$444,"")</f>
        <v/>
      </c>
      <c r="C450" s="302">
        <f>IF(_PENDIENTES!$B$444&lt;&gt;"",_PENDIENTES!$C$444,"")</f>
        <v/>
      </c>
      <c r="D450" s="301">
        <f>IF(_PENDIENTES!$B$444&lt;&gt;"",_PENDIENTES!$D$444,"")</f>
        <v/>
      </c>
      <c r="E450" s="306">
        <f>IF(_PENDIENTES!$B$444&lt;&gt;"",_PENDIENTES!$E$444,"")</f>
        <v/>
      </c>
      <c r="F450" s="301">
        <f>IF(_PENDIENTES!$B$444&lt;&gt;"",_PENDIENTES!$F$444,"")</f>
        <v/>
      </c>
      <c r="G450" s="245">
        <f>IF(_PENDIENTES!$B$444&lt;&gt;"",_PENDIENTES!$G$444,"")</f>
        <v/>
      </c>
      <c r="H450" s="245">
        <f>IF(_PENDIENTES!$B$444&lt;&gt;"",_PENDIENTES!$H$444,"")</f>
        <v/>
      </c>
      <c r="I450" s="302">
        <f>IF(_PENDIENTES!$B$444&lt;&gt;"",_PENDIENTES!$I$444,"")</f>
        <v/>
      </c>
      <c r="J450" s="301">
        <f>IF(_PENDIENTES!$B$444&lt;&gt;"",_PENDIENTES!$J$444,"")</f>
        <v/>
      </c>
      <c r="K450" s="301">
        <f>IF(_PENDIENTES!$B$444&lt;&gt;"","POR RECOGER","")</f>
        <v/>
      </c>
      <c r="L450" s="301">
        <f>IF(_PENDIENTES!$B$444&lt;&gt;"",_PENDIENTES!$K$444,"")</f>
        <v/>
      </c>
      <c r="M450" s="284">
        <f>IF(_PENDIENTES!$B$444&lt;&gt;"",_PENDIENTES!$B$444,"")</f>
        <v/>
      </c>
      <c r="N450" s="304">
        <f>IF(_PENDIENTES!$B$444&lt;&gt;"",_PENDIENTES!$L$444,"")</f>
        <v/>
      </c>
      <c r="O450" s="284" t="n"/>
      <c r="P450" s="284" t="n"/>
      <c r="Q450" s="284" t="n"/>
      <c r="R450" s="284" t="n"/>
      <c r="S450" s="284" t="n"/>
    </row>
    <row r="451" hidden="1" ht="15.75" customHeight="1" s="195">
      <c r="A451" s="241">
        <f>IF(_PENDIENTES!$B$445&lt;&gt;"",444,"")</f>
        <v/>
      </c>
      <c r="B451" s="236">
        <f>IF(_PENDIENTES!$B$445&lt;&gt;"",_PENDIENTES!$A$445,"")</f>
        <v/>
      </c>
      <c r="C451" s="305">
        <f>IF(_PENDIENTES!$B$445&lt;&gt;"",_PENDIENTES!$C$445,"")</f>
        <v/>
      </c>
      <c r="D451" s="241">
        <f>IF(_PENDIENTES!$B$445&lt;&gt;"",_PENDIENTES!$D$445,"")</f>
        <v/>
      </c>
      <c r="E451" s="307">
        <f>IF(_PENDIENTES!$B$445&lt;&gt;"",_PENDIENTES!$E$445,"")</f>
        <v/>
      </c>
      <c r="F451" s="241">
        <f>IF(_PENDIENTES!$B$445&lt;&gt;"",_PENDIENTES!$F$445,"")</f>
        <v/>
      </c>
      <c r="G451" s="239">
        <f>IF(_PENDIENTES!$B$445&lt;&gt;"",_PENDIENTES!$G$445,"")</f>
        <v/>
      </c>
      <c r="H451" s="239">
        <f>IF(_PENDIENTES!$B$445&lt;&gt;"",_PENDIENTES!$H$445,"")</f>
        <v/>
      </c>
      <c r="I451" s="305">
        <f>IF(_PENDIENTES!$B$445&lt;&gt;"",_PENDIENTES!$I$445,"")</f>
        <v/>
      </c>
      <c r="J451" s="241">
        <f>IF(_PENDIENTES!$B$445&lt;&gt;"",_PENDIENTES!$J$445,"")</f>
        <v/>
      </c>
      <c r="K451" s="241">
        <f>IF(_PENDIENTES!$B$445&lt;&gt;"","POR RECOGER","")</f>
        <v/>
      </c>
      <c r="L451" s="241">
        <f>IF(_PENDIENTES!$B$445&lt;&gt;"",_PENDIENTES!$K$445,"")</f>
        <v/>
      </c>
      <c r="M451" s="284">
        <f>IF(_PENDIENTES!$B$445&lt;&gt;"",_PENDIENTES!$B$445,"")</f>
        <v/>
      </c>
      <c r="N451" s="304">
        <f>IF(_PENDIENTES!$B$445&lt;&gt;"",_PENDIENTES!$L$445,"")</f>
        <v/>
      </c>
      <c r="O451" s="284" t="n"/>
      <c r="P451" s="284" t="n"/>
      <c r="Q451" s="284" t="n"/>
      <c r="R451" s="284" t="n"/>
      <c r="S451" s="284" t="n"/>
    </row>
    <row r="452" hidden="1" ht="15.75" customHeight="1" s="195">
      <c r="A452" s="301">
        <f>IF(_PENDIENTES!$B$446&lt;&gt;"",445,"")</f>
        <v/>
      </c>
      <c r="B452" s="242">
        <f>IF(_PENDIENTES!$B$446&lt;&gt;"",_PENDIENTES!$A$446,"")</f>
        <v/>
      </c>
      <c r="C452" s="302">
        <f>IF(_PENDIENTES!$B$446&lt;&gt;"",_PENDIENTES!$C$446,"")</f>
        <v/>
      </c>
      <c r="D452" s="301">
        <f>IF(_PENDIENTES!$B$446&lt;&gt;"",_PENDIENTES!$D$446,"")</f>
        <v/>
      </c>
      <c r="E452" s="306">
        <f>IF(_PENDIENTES!$B$446&lt;&gt;"",_PENDIENTES!$E$446,"")</f>
        <v/>
      </c>
      <c r="F452" s="301">
        <f>IF(_PENDIENTES!$B$446&lt;&gt;"",_PENDIENTES!$F$446,"")</f>
        <v/>
      </c>
      <c r="G452" s="245">
        <f>IF(_PENDIENTES!$B$446&lt;&gt;"",_PENDIENTES!$G$446,"")</f>
        <v/>
      </c>
      <c r="H452" s="245">
        <f>IF(_PENDIENTES!$B$446&lt;&gt;"",_PENDIENTES!$H$446,"")</f>
        <v/>
      </c>
      <c r="I452" s="302">
        <f>IF(_PENDIENTES!$B$446&lt;&gt;"",_PENDIENTES!$I$446,"")</f>
        <v/>
      </c>
      <c r="J452" s="301">
        <f>IF(_PENDIENTES!$B$446&lt;&gt;"",_PENDIENTES!$J$446,"")</f>
        <v/>
      </c>
      <c r="K452" s="301">
        <f>IF(_PENDIENTES!$B$446&lt;&gt;"","POR RECOGER","")</f>
        <v/>
      </c>
      <c r="L452" s="301">
        <f>IF(_PENDIENTES!$B$446&lt;&gt;"",_PENDIENTES!$K$446,"")</f>
        <v/>
      </c>
      <c r="M452" s="284">
        <f>IF(_PENDIENTES!$B$446&lt;&gt;"",_PENDIENTES!$B$446,"")</f>
        <v/>
      </c>
      <c r="N452" s="304">
        <f>IF(_PENDIENTES!$B$446&lt;&gt;"",_PENDIENTES!$L$446,"")</f>
        <v/>
      </c>
      <c r="O452" s="284" t="n"/>
      <c r="P452" s="284" t="n"/>
      <c r="Q452" s="284" t="n"/>
      <c r="R452" s="284" t="n"/>
      <c r="S452" s="284" t="n"/>
    </row>
    <row r="453" hidden="1" ht="15.75" customHeight="1" s="195">
      <c r="A453" s="241">
        <f>IF(_PENDIENTES!$B$447&lt;&gt;"",446,"")</f>
        <v/>
      </c>
      <c r="B453" s="236">
        <f>IF(_PENDIENTES!$B$447&lt;&gt;"",_PENDIENTES!$A$447,"")</f>
        <v/>
      </c>
      <c r="C453" s="305">
        <f>IF(_PENDIENTES!$B$447&lt;&gt;"",_PENDIENTES!$C$447,"")</f>
        <v/>
      </c>
      <c r="D453" s="241">
        <f>IF(_PENDIENTES!$B$447&lt;&gt;"",_PENDIENTES!$D$447,"")</f>
        <v/>
      </c>
      <c r="E453" s="307">
        <f>IF(_PENDIENTES!$B$447&lt;&gt;"",_PENDIENTES!$E$447,"")</f>
        <v/>
      </c>
      <c r="F453" s="241">
        <f>IF(_PENDIENTES!$B$447&lt;&gt;"",_PENDIENTES!$F$447,"")</f>
        <v/>
      </c>
      <c r="G453" s="239">
        <f>IF(_PENDIENTES!$B$447&lt;&gt;"",_PENDIENTES!$G$447,"")</f>
        <v/>
      </c>
      <c r="H453" s="239">
        <f>IF(_PENDIENTES!$B$447&lt;&gt;"",_PENDIENTES!$H$447,"")</f>
        <v/>
      </c>
      <c r="I453" s="305">
        <f>IF(_PENDIENTES!$B$447&lt;&gt;"",_PENDIENTES!$I$447,"")</f>
        <v/>
      </c>
      <c r="J453" s="241">
        <f>IF(_PENDIENTES!$B$447&lt;&gt;"",_PENDIENTES!$J$447,"")</f>
        <v/>
      </c>
      <c r="K453" s="241">
        <f>IF(_PENDIENTES!$B$447&lt;&gt;"","POR RECOGER","")</f>
        <v/>
      </c>
      <c r="L453" s="241">
        <f>IF(_PENDIENTES!$B$447&lt;&gt;"",_PENDIENTES!$K$447,"")</f>
        <v/>
      </c>
      <c r="M453" s="284">
        <f>IF(_PENDIENTES!$B$447&lt;&gt;"",_PENDIENTES!$B$447,"")</f>
        <v/>
      </c>
      <c r="N453" s="304">
        <f>IF(_PENDIENTES!$B$447&lt;&gt;"",_PENDIENTES!$L$447,"")</f>
        <v/>
      </c>
      <c r="O453" s="284" t="n"/>
      <c r="P453" s="284" t="n"/>
      <c r="Q453" s="284" t="n"/>
      <c r="R453" s="284" t="n"/>
      <c r="S453" s="284" t="n"/>
    </row>
    <row r="454" hidden="1" ht="15.75" customHeight="1" s="195">
      <c r="A454" s="301">
        <f>IF(_PENDIENTES!$B$448&lt;&gt;"",447,"")</f>
        <v/>
      </c>
      <c r="B454" s="242">
        <f>IF(_PENDIENTES!$B$448&lt;&gt;"",_PENDIENTES!$A$448,"")</f>
        <v/>
      </c>
      <c r="C454" s="302">
        <f>IF(_PENDIENTES!$B$448&lt;&gt;"",_PENDIENTES!$C$448,"")</f>
        <v/>
      </c>
      <c r="D454" s="301">
        <f>IF(_PENDIENTES!$B$448&lt;&gt;"",_PENDIENTES!$D$448,"")</f>
        <v/>
      </c>
      <c r="E454" s="306">
        <f>IF(_PENDIENTES!$B$448&lt;&gt;"",_PENDIENTES!$E$448,"")</f>
        <v/>
      </c>
      <c r="F454" s="301">
        <f>IF(_PENDIENTES!$B$448&lt;&gt;"",_PENDIENTES!$F$448,"")</f>
        <v/>
      </c>
      <c r="G454" s="245">
        <f>IF(_PENDIENTES!$B$448&lt;&gt;"",_PENDIENTES!$G$448,"")</f>
        <v/>
      </c>
      <c r="H454" s="245">
        <f>IF(_PENDIENTES!$B$448&lt;&gt;"",_PENDIENTES!$H$448,"")</f>
        <v/>
      </c>
      <c r="I454" s="302">
        <f>IF(_PENDIENTES!$B$448&lt;&gt;"",_PENDIENTES!$I$448,"")</f>
        <v/>
      </c>
      <c r="J454" s="301">
        <f>IF(_PENDIENTES!$B$448&lt;&gt;"",_PENDIENTES!$J$448,"")</f>
        <v/>
      </c>
      <c r="K454" s="301">
        <f>IF(_PENDIENTES!$B$448&lt;&gt;"","POR RECOGER","")</f>
        <v/>
      </c>
      <c r="L454" s="301">
        <f>IF(_PENDIENTES!$B$448&lt;&gt;"",_PENDIENTES!$K$448,"")</f>
        <v/>
      </c>
      <c r="M454" s="284">
        <f>IF(_PENDIENTES!$B$448&lt;&gt;"",_PENDIENTES!$B$448,"")</f>
        <v/>
      </c>
      <c r="N454" s="304">
        <f>IF(_PENDIENTES!$B$448&lt;&gt;"",_PENDIENTES!$L$448,"")</f>
        <v/>
      </c>
      <c r="O454" s="284" t="n"/>
      <c r="P454" s="284" t="n"/>
      <c r="Q454" s="284" t="n"/>
      <c r="R454" s="284" t="n"/>
      <c r="S454" s="284" t="n"/>
    </row>
    <row r="455" hidden="1" ht="15.75" customHeight="1" s="195">
      <c r="A455" s="241">
        <f>IF(_PENDIENTES!$B$449&lt;&gt;"",448,"")</f>
        <v/>
      </c>
      <c r="B455" s="236">
        <f>IF(_PENDIENTES!$B$449&lt;&gt;"",_PENDIENTES!$A$449,"")</f>
        <v/>
      </c>
      <c r="C455" s="305">
        <f>IF(_PENDIENTES!$B$449&lt;&gt;"",_PENDIENTES!$C$449,"")</f>
        <v/>
      </c>
      <c r="D455" s="241">
        <f>IF(_PENDIENTES!$B$449&lt;&gt;"",_PENDIENTES!$D$449,"")</f>
        <v/>
      </c>
      <c r="E455" s="307">
        <f>IF(_PENDIENTES!$B$449&lt;&gt;"",_PENDIENTES!$E$449,"")</f>
        <v/>
      </c>
      <c r="F455" s="241">
        <f>IF(_PENDIENTES!$B$449&lt;&gt;"",_PENDIENTES!$F$449,"")</f>
        <v/>
      </c>
      <c r="G455" s="239">
        <f>IF(_PENDIENTES!$B$449&lt;&gt;"",_PENDIENTES!$G$449,"")</f>
        <v/>
      </c>
      <c r="H455" s="239">
        <f>IF(_PENDIENTES!$B$449&lt;&gt;"",_PENDIENTES!$H$449,"")</f>
        <v/>
      </c>
      <c r="I455" s="305">
        <f>IF(_PENDIENTES!$B$449&lt;&gt;"",_PENDIENTES!$I$449,"")</f>
        <v/>
      </c>
      <c r="J455" s="241">
        <f>IF(_PENDIENTES!$B$449&lt;&gt;"",_PENDIENTES!$J$449,"")</f>
        <v/>
      </c>
      <c r="K455" s="241">
        <f>IF(_PENDIENTES!$B$449&lt;&gt;"","POR RECOGER","")</f>
        <v/>
      </c>
      <c r="L455" s="241">
        <f>IF(_PENDIENTES!$B$449&lt;&gt;"",_PENDIENTES!$K$449,"")</f>
        <v/>
      </c>
      <c r="M455" s="284">
        <f>IF(_PENDIENTES!$B$449&lt;&gt;"",_PENDIENTES!$B$449,"")</f>
        <v/>
      </c>
      <c r="N455" s="304">
        <f>IF(_PENDIENTES!$B$449&lt;&gt;"",_PENDIENTES!$L$449,"")</f>
        <v/>
      </c>
      <c r="O455" s="284" t="n"/>
      <c r="P455" s="284" t="n"/>
      <c r="Q455" s="284" t="n"/>
      <c r="R455" s="284" t="n"/>
      <c r="S455" s="284" t="n"/>
    </row>
    <row r="456" hidden="1" ht="15.75" customHeight="1" s="195">
      <c r="A456" s="301">
        <f>IF(_PENDIENTES!$B$450&lt;&gt;"",449,"")</f>
        <v/>
      </c>
      <c r="B456" s="242">
        <f>IF(_PENDIENTES!$B$450&lt;&gt;"",_PENDIENTES!$A$450,"")</f>
        <v/>
      </c>
      <c r="C456" s="302">
        <f>IF(_PENDIENTES!$B$450&lt;&gt;"",_PENDIENTES!$C$450,"")</f>
        <v/>
      </c>
      <c r="D456" s="301">
        <f>IF(_PENDIENTES!$B$450&lt;&gt;"",_PENDIENTES!$D$450,"")</f>
        <v/>
      </c>
      <c r="E456" s="306">
        <f>IF(_PENDIENTES!$B$450&lt;&gt;"",_PENDIENTES!$E$450,"")</f>
        <v/>
      </c>
      <c r="F456" s="301">
        <f>IF(_PENDIENTES!$B$450&lt;&gt;"",_PENDIENTES!$F$450,"")</f>
        <v/>
      </c>
      <c r="G456" s="245">
        <f>IF(_PENDIENTES!$B$450&lt;&gt;"",_PENDIENTES!$G$450,"")</f>
        <v/>
      </c>
      <c r="H456" s="245">
        <f>IF(_PENDIENTES!$B$450&lt;&gt;"",_PENDIENTES!$H$450,"")</f>
        <v/>
      </c>
      <c r="I456" s="302">
        <f>IF(_PENDIENTES!$B$450&lt;&gt;"",_PENDIENTES!$I$450,"")</f>
        <v/>
      </c>
      <c r="J456" s="301">
        <f>IF(_PENDIENTES!$B$450&lt;&gt;"",_PENDIENTES!$J$450,"")</f>
        <v/>
      </c>
      <c r="K456" s="301">
        <f>IF(_PENDIENTES!$B$450&lt;&gt;"","POR RECOGER","")</f>
        <v/>
      </c>
      <c r="L456" s="301">
        <f>IF(_PENDIENTES!$B$450&lt;&gt;"",_PENDIENTES!$K$450,"")</f>
        <v/>
      </c>
      <c r="M456" s="284">
        <f>IF(_PENDIENTES!$B$450&lt;&gt;"",_PENDIENTES!$B$450,"")</f>
        <v/>
      </c>
      <c r="N456" s="304">
        <f>IF(_PENDIENTES!$B$450&lt;&gt;"",_PENDIENTES!$L$450,"")</f>
        <v/>
      </c>
      <c r="O456" s="284" t="n"/>
      <c r="P456" s="284" t="n"/>
      <c r="Q456" s="284" t="n"/>
      <c r="R456" s="284" t="n"/>
      <c r="S456" s="284" t="n"/>
    </row>
    <row r="457" hidden="1" ht="15.75" customHeight="1" s="195">
      <c r="A457" s="241">
        <f>IF(_PENDIENTES!$B$451&lt;&gt;"",450,"")</f>
        <v/>
      </c>
      <c r="B457" s="236">
        <f>IF(_PENDIENTES!$B$451&lt;&gt;"",_PENDIENTES!$A$451,"")</f>
        <v/>
      </c>
      <c r="C457" s="305">
        <f>IF(_PENDIENTES!$B$451&lt;&gt;"",_PENDIENTES!$C$451,"")</f>
        <v/>
      </c>
      <c r="D457" s="241">
        <f>IF(_PENDIENTES!$B$451&lt;&gt;"",_PENDIENTES!$D$451,"")</f>
        <v/>
      </c>
      <c r="E457" s="307">
        <f>IF(_PENDIENTES!$B$451&lt;&gt;"",_PENDIENTES!$E$451,"")</f>
        <v/>
      </c>
      <c r="F457" s="241">
        <f>IF(_PENDIENTES!$B$451&lt;&gt;"",_PENDIENTES!$F$451,"")</f>
        <v/>
      </c>
      <c r="G457" s="239">
        <f>IF(_PENDIENTES!$B$451&lt;&gt;"",_PENDIENTES!$G$451,"")</f>
        <v/>
      </c>
      <c r="H457" s="239">
        <f>IF(_PENDIENTES!$B$451&lt;&gt;"",_PENDIENTES!$H$451,"")</f>
        <v/>
      </c>
      <c r="I457" s="305">
        <f>IF(_PENDIENTES!$B$451&lt;&gt;"",_PENDIENTES!$I$451,"")</f>
        <v/>
      </c>
      <c r="J457" s="241">
        <f>IF(_PENDIENTES!$B$451&lt;&gt;"",_PENDIENTES!$J$451,"")</f>
        <v/>
      </c>
      <c r="K457" s="241">
        <f>IF(_PENDIENTES!$B$451&lt;&gt;"","POR RECOGER","")</f>
        <v/>
      </c>
      <c r="L457" s="241">
        <f>IF(_PENDIENTES!$B$451&lt;&gt;"",_PENDIENTES!$K$451,"")</f>
        <v/>
      </c>
      <c r="M457" s="284">
        <f>IF(_PENDIENTES!$B$451&lt;&gt;"",_PENDIENTES!$B$451,"")</f>
        <v/>
      </c>
      <c r="N457" s="304">
        <f>IF(_PENDIENTES!$B$451&lt;&gt;"",_PENDIENTES!$L$451,"")</f>
        <v/>
      </c>
      <c r="O457" s="284" t="n"/>
      <c r="P457" s="284" t="n"/>
      <c r="Q457" s="284" t="n"/>
      <c r="R457" s="284" t="n"/>
      <c r="S457" s="284" t="n"/>
    </row>
    <row r="458" hidden="1" ht="15.75" customHeight="1" s="195">
      <c r="A458" s="301">
        <f>IF(_PENDIENTES!$B$452&lt;&gt;"",451,"")</f>
        <v/>
      </c>
      <c r="B458" s="242">
        <f>IF(_PENDIENTES!$B$452&lt;&gt;"",_PENDIENTES!$A$452,"")</f>
        <v/>
      </c>
      <c r="C458" s="302">
        <f>IF(_PENDIENTES!$B$452&lt;&gt;"",_PENDIENTES!$C$452,"")</f>
        <v/>
      </c>
      <c r="D458" s="301">
        <f>IF(_PENDIENTES!$B$452&lt;&gt;"",_PENDIENTES!$D$452,"")</f>
        <v/>
      </c>
      <c r="E458" s="306">
        <f>IF(_PENDIENTES!$B$452&lt;&gt;"",_PENDIENTES!$E$452,"")</f>
        <v/>
      </c>
      <c r="F458" s="301">
        <f>IF(_PENDIENTES!$B$452&lt;&gt;"",_PENDIENTES!$F$452,"")</f>
        <v/>
      </c>
      <c r="G458" s="245">
        <f>IF(_PENDIENTES!$B$452&lt;&gt;"",_PENDIENTES!$G$452,"")</f>
        <v/>
      </c>
      <c r="H458" s="245">
        <f>IF(_PENDIENTES!$B$452&lt;&gt;"",_PENDIENTES!$H$452,"")</f>
        <v/>
      </c>
      <c r="I458" s="302">
        <f>IF(_PENDIENTES!$B$452&lt;&gt;"",_PENDIENTES!$I$452,"")</f>
        <v/>
      </c>
      <c r="J458" s="301">
        <f>IF(_PENDIENTES!$B$452&lt;&gt;"",_PENDIENTES!$J$452,"")</f>
        <v/>
      </c>
      <c r="K458" s="301">
        <f>IF(_PENDIENTES!$B$452&lt;&gt;"","POR RECOGER","")</f>
        <v/>
      </c>
      <c r="L458" s="301">
        <f>IF(_PENDIENTES!$B$452&lt;&gt;"",_PENDIENTES!$K$452,"")</f>
        <v/>
      </c>
      <c r="M458" s="284">
        <f>IF(_PENDIENTES!$B$452&lt;&gt;"",_PENDIENTES!$B$452,"")</f>
        <v/>
      </c>
      <c r="N458" s="304">
        <f>IF(_PENDIENTES!$B$452&lt;&gt;"",_PENDIENTES!$L$452,"")</f>
        <v/>
      </c>
      <c r="O458" s="284" t="n"/>
      <c r="P458" s="284" t="n"/>
      <c r="Q458" s="284" t="n"/>
      <c r="R458" s="284" t="n"/>
      <c r="S458" s="284" t="n"/>
    </row>
    <row r="459" hidden="1" ht="15.75" customHeight="1" s="195">
      <c r="A459" s="241">
        <f>IF(_PENDIENTES!$B$453&lt;&gt;"",452,"")</f>
        <v/>
      </c>
      <c r="B459" s="236">
        <f>IF(_PENDIENTES!$B$453&lt;&gt;"",_PENDIENTES!$A$453,"")</f>
        <v/>
      </c>
      <c r="C459" s="305">
        <f>IF(_PENDIENTES!$B$453&lt;&gt;"",_PENDIENTES!$C$453,"")</f>
        <v/>
      </c>
      <c r="D459" s="241">
        <f>IF(_PENDIENTES!$B$453&lt;&gt;"",_PENDIENTES!$D$453,"")</f>
        <v/>
      </c>
      <c r="E459" s="307">
        <f>IF(_PENDIENTES!$B$453&lt;&gt;"",_PENDIENTES!$E$453,"")</f>
        <v/>
      </c>
      <c r="F459" s="241">
        <f>IF(_PENDIENTES!$B$453&lt;&gt;"",_PENDIENTES!$F$453,"")</f>
        <v/>
      </c>
      <c r="G459" s="239">
        <f>IF(_PENDIENTES!$B$453&lt;&gt;"",_PENDIENTES!$G$453,"")</f>
        <v/>
      </c>
      <c r="H459" s="239">
        <f>IF(_PENDIENTES!$B$453&lt;&gt;"",_PENDIENTES!$H$453,"")</f>
        <v/>
      </c>
      <c r="I459" s="305">
        <f>IF(_PENDIENTES!$B$453&lt;&gt;"",_PENDIENTES!$I$453,"")</f>
        <v/>
      </c>
      <c r="J459" s="241">
        <f>IF(_PENDIENTES!$B$453&lt;&gt;"",_PENDIENTES!$J$453,"")</f>
        <v/>
      </c>
      <c r="K459" s="241">
        <f>IF(_PENDIENTES!$B$453&lt;&gt;"","POR RECOGER","")</f>
        <v/>
      </c>
      <c r="L459" s="241">
        <f>IF(_PENDIENTES!$B$453&lt;&gt;"",_PENDIENTES!$K$453,"")</f>
        <v/>
      </c>
      <c r="M459" s="284">
        <f>IF(_PENDIENTES!$B$453&lt;&gt;"",_PENDIENTES!$B$453,"")</f>
        <v/>
      </c>
      <c r="N459" s="304">
        <f>IF(_PENDIENTES!$B$453&lt;&gt;"",_PENDIENTES!$L$453,"")</f>
        <v/>
      </c>
      <c r="O459" s="284" t="n"/>
      <c r="P459" s="284" t="n"/>
      <c r="Q459" s="284" t="n"/>
      <c r="R459" s="284" t="n"/>
      <c r="S459" s="284" t="n"/>
    </row>
    <row r="460" hidden="1" ht="15.75" customHeight="1" s="195">
      <c r="A460" s="301">
        <f>IF(_PENDIENTES!$B$454&lt;&gt;"",453,"")</f>
        <v/>
      </c>
      <c r="B460" s="242">
        <f>IF(_PENDIENTES!$B$454&lt;&gt;"",_PENDIENTES!$A$454,"")</f>
        <v/>
      </c>
      <c r="C460" s="302">
        <f>IF(_PENDIENTES!$B$454&lt;&gt;"",_PENDIENTES!$C$454,"")</f>
        <v/>
      </c>
      <c r="D460" s="301">
        <f>IF(_PENDIENTES!$B$454&lt;&gt;"",_PENDIENTES!$D$454,"")</f>
        <v/>
      </c>
      <c r="E460" s="306">
        <f>IF(_PENDIENTES!$B$454&lt;&gt;"",_PENDIENTES!$E$454,"")</f>
        <v/>
      </c>
      <c r="F460" s="301">
        <f>IF(_PENDIENTES!$B$454&lt;&gt;"",_PENDIENTES!$F$454,"")</f>
        <v/>
      </c>
      <c r="G460" s="245">
        <f>IF(_PENDIENTES!$B$454&lt;&gt;"",_PENDIENTES!$G$454,"")</f>
        <v/>
      </c>
      <c r="H460" s="245">
        <f>IF(_PENDIENTES!$B$454&lt;&gt;"",_PENDIENTES!$H$454,"")</f>
        <v/>
      </c>
      <c r="I460" s="302">
        <f>IF(_PENDIENTES!$B$454&lt;&gt;"",_PENDIENTES!$I$454,"")</f>
        <v/>
      </c>
      <c r="J460" s="301">
        <f>IF(_PENDIENTES!$B$454&lt;&gt;"",_PENDIENTES!$J$454,"")</f>
        <v/>
      </c>
      <c r="K460" s="301">
        <f>IF(_PENDIENTES!$B$454&lt;&gt;"","POR RECOGER","")</f>
        <v/>
      </c>
      <c r="L460" s="301">
        <f>IF(_PENDIENTES!$B$454&lt;&gt;"",_PENDIENTES!$K$454,"")</f>
        <v/>
      </c>
      <c r="M460" s="284">
        <f>IF(_PENDIENTES!$B$454&lt;&gt;"",_PENDIENTES!$B$454,"")</f>
        <v/>
      </c>
      <c r="N460" s="304">
        <f>IF(_PENDIENTES!$B$454&lt;&gt;"",_PENDIENTES!$L$454,"")</f>
        <v/>
      </c>
      <c r="O460" s="284" t="n"/>
      <c r="P460" s="284" t="n"/>
      <c r="Q460" s="284" t="n"/>
      <c r="R460" s="284" t="n"/>
      <c r="S460" s="284" t="n"/>
    </row>
    <row r="461" hidden="1" ht="15.75" customHeight="1" s="195">
      <c r="A461" s="241">
        <f>IF(_PENDIENTES!$B$455&lt;&gt;"",454,"")</f>
        <v/>
      </c>
      <c r="B461" s="236">
        <f>IF(_PENDIENTES!$B$455&lt;&gt;"",_PENDIENTES!$A$455,"")</f>
        <v/>
      </c>
      <c r="C461" s="305">
        <f>IF(_PENDIENTES!$B$455&lt;&gt;"",_PENDIENTES!$C$455,"")</f>
        <v/>
      </c>
      <c r="D461" s="241">
        <f>IF(_PENDIENTES!$B$455&lt;&gt;"",_PENDIENTES!$D$455,"")</f>
        <v/>
      </c>
      <c r="E461" s="307">
        <f>IF(_PENDIENTES!$B$455&lt;&gt;"",_PENDIENTES!$E$455,"")</f>
        <v/>
      </c>
      <c r="F461" s="241">
        <f>IF(_PENDIENTES!$B$455&lt;&gt;"",_PENDIENTES!$F$455,"")</f>
        <v/>
      </c>
      <c r="G461" s="239">
        <f>IF(_PENDIENTES!$B$455&lt;&gt;"",_PENDIENTES!$G$455,"")</f>
        <v/>
      </c>
      <c r="H461" s="239">
        <f>IF(_PENDIENTES!$B$455&lt;&gt;"",_PENDIENTES!$H$455,"")</f>
        <v/>
      </c>
      <c r="I461" s="305">
        <f>IF(_PENDIENTES!$B$455&lt;&gt;"",_PENDIENTES!$I$455,"")</f>
        <v/>
      </c>
      <c r="J461" s="241">
        <f>IF(_PENDIENTES!$B$455&lt;&gt;"",_PENDIENTES!$J$455,"")</f>
        <v/>
      </c>
      <c r="K461" s="241">
        <f>IF(_PENDIENTES!$B$455&lt;&gt;"","POR RECOGER","")</f>
        <v/>
      </c>
      <c r="L461" s="241">
        <f>IF(_PENDIENTES!$B$455&lt;&gt;"",_PENDIENTES!$K$455,"")</f>
        <v/>
      </c>
      <c r="M461" s="284">
        <f>IF(_PENDIENTES!$B$455&lt;&gt;"",_PENDIENTES!$B$455,"")</f>
        <v/>
      </c>
      <c r="N461" s="304">
        <f>IF(_PENDIENTES!$B$455&lt;&gt;"",_PENDIENTES!$L$455,"")</f>
        <v/>
      </c>
      <c r="O461" s="284" t="n"/>
      <c r="P461" s="284" t="n"/>
      <c r="Q461" s="284" t="n"/>
      <c r="R461" s="284" t="n"/>
      <c r="S461" s="284" t="n"/>
    </row>
    <row r="462" hidden="1" ht="15.75" customHeight="1" s="195">
      <c r="A462" s="301">
        <f>IF(_PENDIENTES!$B$456&lt;&gt;"",455,"")</f>
        <v/>
      </c>
      <c r="B462" s="242">
        <f>IF(_PENDIENTES!$B$456&lt;&gt;"",_PENDIENTES!$A$456,"")</f>
        <v/>
      </c>
      <c r="C462" s="302">
        <f>IF(_PENDIENTES!$B$456&lt;&gt;"",_PENDIENTES!$C$456,"")</f>
        <v/>
      </c>
      <c r="D462" s="301">
        <f>IF(_PENDIENTES!$B$456&lt;&gt;"",_PENDIENTES!$D$456,"")</f>
        <v/>
      </c>
      <c r="E462" s="306">
        <f>IF(_PENDIENTES!$B$456&lt;&gt;"",_PENDIENTES!$E$456,"")</f>
        <v/>
      </c>
      <c r="F462" s="301">
        <f>IF(_PENDIENTES!$B$456&lt;&gt;"",_PENDIENTES!$F$456,"")</f>
        <v/>
      </c>
      <c r="G462" s="245">
        <f>IF(_PENDIENTES!$B$456&lt;&gt;"",_PENDIENTES!$G$456,"")</f>
        <v/>
      </c>
      <c r="H462" s="245">
        <f>IF(_PENDIENTES!$B$456&lt;&gt;"",_PENDIENTES!$H$456,"")</f>
        <v/>
      </c>
      <c r="I462" s="302">
        <f>IF(_PENDIENTES!$B$456&lt;&gt;"",_PENDIENTES!$I$456,"")</f>
        <v/>
      </c>
      <c r="J462" s="301">
        <f>IF(_PENDIENTES!$B$456&lt;&gt;"",_PENDIENTES!$J$456,"")</f>
        <v/>
      </c>
      <c r="K462" s="301">
        <f>IF(_PENDIENTES!$B$456&lt;&gt;"","POR RECOGER","")</f>
        <v/>
      </c>
      <c r="L462" s="301">
        <f>IF(_PENDIENTES!$B$456&lt;&gt;"",_PENDIENTES!$K$456,"")</f>
        <v/>
      </c>
      <c r="M462" s="284">
        <f>IF(_PENDIENTES!$B$456&lt;&gt;"",_PENDIENTES!$B$456,"")</f>
        <v/>
      </c>
      <c r="N462" s="304">
        <f>IF(_PENDIENTES!$B$456&lt;&gt;"",_PENDIENTES!$L$456,"")</f>
        <v/>
      </c>
      <c r="O462" s="284" t="n"/>
      <c r="P462" s="284" t="n"/>
      <c r="Q462" s="284" t="n"/>
      <c r="R462" s="284" t="n"/>
      <c r="S462" s="284" t="n"/>
    </row>
    <row r="463" hidden="1" ht="15.75" customHeight="1" s="195">
      <c r="A463" s="241">
        <f>IF(_PENDIENTES!$B$457&lt;&gt;"",456,"")</f>
        <v/>
      </c>
      <c r="B463" s="236">
        <f>IF(_PENDIENTES!$B$457&lt;&gt;"",_PENDIENTES!$A$457,"")</f>
        <v/>
      </c>
      <c r="C463" s="305">
        <f>IF(_PENDIENTES!$B$457&lt;&gt;"",_PENDIENTES!$C$457,"")</f>
        <v/>
      </c>
      <c r="D463" s="241">
        <f>IF(_PENDIENTES!$B$457&lt;&gt;"",_PENDIENTES!$D$457,"")</f>
        <v/>
      </c>
      <c r="E463" s="307">
        <f>IF(_PENDIENTES!$B$457&lt;&gt;"",_PENDIENTES!$E$457,"")</f>
        <v/>
      </c>
      <c r="F463" s="241">
        <f>IF(_PENDIENTES!$B$457&lt;&gt;"",_PENDIENTES!$F$457,"")</f>
        <v/>
      </c>
      <c r="G463" s="239">
        <f>IF(_PENDIENTES!$B$457&lt;&gt;"",_PENDIENTES!$G$457,"")</f>
        <v/>
      </c>
      <c r="H463" s="239">
        <f>IF(_PENDIENTES!$B$457&lt;&gt;"",_PENDIENTES!$H$457,"")</f>
        <v/>
      </c>
      <c r="I463" s="305">
        <f>IF(_PENDIENTES!$B$457&lt;&gt;"",_PENDIENTES!$I$457,"")</f>
        <v/>
      </c>
      <c r="J463" s="241">
        <f>IF(_PENDIENTES!$B$457&lt;&gt;"",_PENDIENTES!$J$457,"")</f>
        <v/>
      </c>
      <c r="K463" s="241">
        <f>IF(_PENDIENTES!$B$457&lt;&gt;"","POR RECOGER","")</f>
        <v/>
      </c>
      <c r="L463" s="241">
        <f>IF(_PENDIENTES!$B$457&lt;&gt;"",_PENDIENTES!$K$457,"")</f>
        <v/>
      </c>
      <c r="M463" s="284">
        <f>IF(_PENDIENTES!$B$457&lt;&gt;"",_PENDIENTES!$B$457,"")</f>
        <v/>
      </c>
      <c r="N463" s="304">
        <f>IF(_PENDIENTES!$B$457&lt;&gt;"",_PENDIENTES!$L$457,"")</f>
        <v/>
      </c>
      <c r="O463" s="284" t="n"/>
      <c r="P463" s="284" t="n"/>
      <c r="Q463" s="284" t="n"/>
      <c r="R463" s="284" t="n"/>
      <c r="S463" s="284" t="n"/>
    </row>
    <row r="464" hidden="1" ht="15.75" customHeight="1" s="195">
      <c r="A464" s="301">
        <f>IF(_PENDIENTES!$B$458&lt;&gt;"",457,"")</f>
        <v/>
      </c>
      <c r="B464" s="242">
        <f>IF(_PENDIENTES!$B$458&lt;&gt;"",_PENDIENTES!$A$458,"")</f>
        <v/>
      </c>
      <c r="C464" s="302">
        <f>IF(_PENDIENTES!$B$458&lt;&gt;"",_PENDIENTES!$C$458,"")</f>
        <v/>
      </c>
      <c r="D464" s="301">
        <f>IF(_PENDIENTES!$B$458&lt;&gt;"",_PENDIENTES!$D$458,"")</f>
        <v/>
      </c>
      <c r="E464" s="306">
        <f>IF(_PENDIENTES!$B$458&lt;&gt;"",_PENDIENTES!$E$458,"")</f>
        <v/>
      </c>
      <c r="F464" s="301">
        <f>IF(_PENDIENTES!$B$458&lt;&gt;"",_PENDIENTES!$F$458,"")</f>
        <v/>
      </c>
      <c r="G464" s="245">
        <f>IF(_PENDIENTES!$B$458&lt;&gt;"",_PENDIENTES!$G$458,"")</f>
        <v/>
      </c>
      <c r="H464" s="245">
        <f>IF(_PENDIENTES!$B$458&lt;&gt;"",_PENDIENTES!$H$458,"")</f>
        <v/>
      </c>
      <c r="I464" s="302">
        <f>IF(_PENDIENTES!$B$458&lt;&gt;"",_PENDIENTES!$I$458,"")</f>
        <v/>
      </c>
      <c r="J464" s="301">
        <f>IF(_PENDIENTES!$B$458&lt;&gt;"",_PENDIENTES!$J$458,"")</f>
        <v/>
      </c>
      <c r="K464" s="301">
        <f>IF(_PENDIENTES!$B$458&lt;&gt;"","POR RECOGER","")</f>
        <v/>
      </c>
      <c r="L464" s="301">
        <f>IF(_PENDIENTES!$B$458&lt;&gt;"",_PENDIENTES!$K$458,"")</f>
        <v/>
      </c>
      <c r="M464" s="284">
        <f>IF(_PENDIENTES!$B$458&lt;&gt;"",_PENDIENTES!$B$458,"")</f>
        <v/>
      </c>
      <c r="N464" s="304">
        <f>IF(_PENDIENTES!$B$458&lt;&gt;"",_PENDIENTES!$L$458,"")</f>
        <v/>
      </c>
      <c r="O464" s="284" t="n"/>
      <c r="P464" s="284" t="n"/>
      <c r="Q464" s="284" t="n"/>
      <c r="R464" s="284" t="n"/>
      <c r="S464" s="284" t="n"/>
    </row>
    <row r="465" hidden="1" ht="15.75" customHeight="1" s="195">
      <c r="A465" s="241">
        <f>IF(_PENDIENTES!$B$459&lt;&gt;"",458,"")</f>
        <v/>
      </c>
      <c r="B465" s="236">
        <f>IF(_PENDIENTES!$B$459&lt;&gt;"",_PENDIENTES!$A$459,"")</f>
        <v/>
      </c>
      <c r="C465" s="305">
        <f>IF(_PENDIENTES!$B$459&lt;&gt;"",_PENDIENTES!$C$459,"")</f>
        <v/>
      </c>
      <c r="D465" s="241">
        <f>IF(_PENDIENTES!$B$459&lt;&gt;"",_PENDIENTES!$D$459,"")</f>
        <v/>
      </c>
      <c r="E465" s="307">
        <f>IF(_PENDIENTES!$B$459&lt;&gt;"",_PENDIENTES!$E$459,"")</f>
        <v/>
      </c>
      <c r="F465" s="241">
        <f>IF(_PENDIENTES!$B$459&lt;&gt;"",_PENDIENTES!$F$459,"")</f>
        <v/>
      </c>
      <c r="G465" s="239">
        <f>IF(_PENDIENTES!$B$459&lt;&gt;"",_PENDIENTES!$G$459,"")</f>
        <v/>
      </c>
      <c r="H465" s="239">
        <f>IF(_PENDIENTES!$B$459&lt;&gt;"",_PENDIENTES!$H$459,"")</f>
        <v/>
      </c>
      <c r="I465" s="305">
        <f>IF(_PENDIENTES!$B$459&lt;&gt;"",_PENDIENTES!$I$459,"")</f>
        <v/>
      </c>
      <c r="J465" s="241">
        <f>IF(_PENDIENTES!$B$459&lt;&gt;"",_PENDIENTES!$J$459,"")</f>
        <v/>
      </c>
      <c r="K465" s="241">
        <f>IF(_PENDIENTES!$B$459&lt;&gt;"","POR RECOGER","")</f>
        <v/>
      </c>
      <c r="L465" s="241">
        <f>IF(_PENDIENTES!$B$459&lt;&gt;"",_PENDIENTES!$K$459,"")</f>
        <v/>
      </c>
      <c r="M465" s="284">
        <f>IF(_PENDIENTES!$B$459&lt;&gt;"",_PENDIENTES!$B$459,"")</f>
        <v/>
      </c>
      <c r="N465" s="304">
        <f>IF(_PENDIENTES!$B$459&lt;&gt;"",_PENDIENTES!$L$459,"")</f>
        <v/>
      </c>
      <c r="O465" s="284" t="n"/>
      <c r="P465" s="284" t="n"/>
      <c r="Q465" s="284" t="n"/>
      <c r="R465" s="284" t="n"/>
      <c r="S465" s="284" t="n"/>
    </row>
    <row r="466" hidden="1" ht="15.75" customHeight="1" s="195">
      <c r="A466" s="301">
        <f>IF(_PENDIENTES!$B$460&lt;&gt;"",459,"")</f>
        <v/>
      </c>
      <c r="B466" s="242">
        <f>IF(_PENDIENTES!$B$460&lt;&gt;"",_PENDIENTES!$A$460,"")</f>
        <v/>
      </c>
      <c r="C466" s="302">
        <f>IF(_PENDIENTES!$B$460&lt;&gt;"",_PENDIENTES!$C$460,"")</f>
        <v/>
      </c>
      <c r="D466" s="301">
        <f>IF(_PENDIENTES!$B$460&lt;&gt;"",_PENDIENTES!$D$460,"")</f>
        <v/>
      </c>
      <c r="E466" s="306">
        <f>IF(_PENDIENTES!$B$460&lt;&gt;"",_PENDIENTES!$E$460,"")</f>
        <v/>
      </c>
      <c r="F466" s="301">
        <f>IF(_PENDIENTES!$B$460&lt;&gt;"",_PENDIENTES!$F$460,"")</f>
        <v/>
      </c>
      <c r="G466" s="245">
        <f>IF(_PENDIENTES!$B$460&lt;&gt;"",_PENDIENTES!$G$460,"")</f>
        <v/>
      </c>
      <c r="H466" s="245">
        <f>IF(_PENDIENTES!$B$460&lt;&gt;"",_PENDIENTES!$H$460,"")</f>
        <v/>
      </c>
      <c r="I466" s="302">
        <f>IF(_PENDIENTES!$B$460&lt;&gt;"",_PENDIENTES!$I$460,"")</f>
        <v/>
      </c>
      <c r="J466" s="301">
        <f>IF(_PENDIENTES!$B$460&lt;&gt;"",_PENDIENTES!$J$460,"")</f>
        <v/>
      </c>
      <c r="K466" s="301">
        <f>IF(_PENDIENTES!$B$460&lt;&gt;"","POR RECOGER","")</f>
        <v/>
      </c>
      <c r="L466" s="301">
        <f>IF(_PENDIENTES!$B$460&lt;&gt;"",_PENDIENTES!$K$460,"")</f>
        <v/>
      </c>
      <c r="M466" s="284">
        <f>IF(_PENDIENTES!$B$460&lt;&gt;"",_PENDIENTES!$B$460,"")</f>
        <v/>
      </c>
      <c r="N466" s="304">
        <f>IF(_PENDIENTES!$B$460&lt;&gt;"",_PENDIENTES!$L$460,"")</f>
        <v/>
      </c>
      <c r="O466" s="284" t="n"/>
      <c r="P466" s="284" t="n"/>
      <c r="Q466" s="284" t="n"/>
      <c r="R466" s="284" t="n"/>
      <c r="S466" s="284" t="n"/>
    </row>
    <row r="467" hidden="1" ht="15.75" customHeight="1" s="195">
      <c r="A467" s="241">
        <f>IF(_PENDIENTES!$B$461&lt;&gt;"",460,"")</f>
        <v/>
      </c>
      <c r="B467" s="236">
        <f>IF(_PENDIENTES!$B$461&lt;&gt;"",_PENDIENTES!$A$461,"")</f>
        <v/>
      </c>
      <c r="C467" s="305">
        <f>IF(_PENDIENTES!$B$461&lt;&gt;"",_PENDIENTES!$C$461,"")</f>
        <v/>
      </c>
      <c r="D467" s="241">
        <f>IF(_PENDIENTES!$B$461&lt;&gt;"",_PENDIENTES!$D$461,"")</f>
        <v/>
      </c>
      <c r="E467" s="307">
        <f>IF(_PENDIENTES!$B$461&lt;&gt;"",_PENDIENTES!$E$461,"")</f>
        <v/>
      </c>
      <c r="F467" s="241">
        <f>IF(_PENDIENTES!$B$461&lt;&gt;"",_PENDIENTES!$F$461,"")</f>
        <v/>
      </c>
      <c r="G467" s="239">
        <f>IF(_PENDIENTES!$B$461&lt;&gt;"",_PENDIENTES!$G$461,"")</f>
        <v/>
      </c>
      <c r="H467" s="239">
        <f>IF(_PENDIENTES!$B$461&lt;&gt;"",_PENDIENTES!$H$461,"")</f>
        <v/>
      </c>
      <c r="I467" s="305">
        <f>IF(_PENDIENTES!$B$461&lt;&gt;"",_PENDIENTES!$I$461,"")</f>
        <v/>
      </c>
      <c r="J467" s="241">
        <f>IF(_PENDIENTES!$B$461&lt;&gt;"",_PENDIENTES!$J$461,"")</f>
        <v/>
      </c>
      <c r="K467" s="241">
        <f>IF(_PENDIENTES!$B$461&lt;&gt;"","POR RECOGER","")</f>
        <v/>
      </c>
      <c r="L467" s="241">
        <f>IF(_PENDIENTES!$B$461&lt;&gt;"",_PENDIENTES!$K$461,"")</f>
        <v/>
      </c>
      <c r="M467" s="284">
        <f>IF(_PENDIENTES!$B$461&lt;&gt;"",_PENDIENTES!$B$461,"")</f>
        <v/>
      </c>
      <c r="N467" s="304">
        <f>IF(_PENDIENTES!$B$461&lt;&gt;"",_PENDIENTES!$L$461,"")</f>
        <v/>
      </c>
      <c r="O467" s="284" t="n"/>
      <c r="P467" s="284" t="n"/>
      <c r="Q467" s="284" t="n"/>
      <c r="R467" s="284" t="n"/>
      <c r="S467" s="284" t="n"/>
    </row>
    <row r="468" hidden="1" ht="15.75" customHeight="1" s="195">
      <c r="A468" s="301">
        <f>IF(_PENDIENTES!$B$462&lt;&gt;"",461,"")</f>
        <v/>
      </c>
      <c r="B468" s="242">
        <f>IF(_PENDIENTES!$B$462&lt;&gt;"",_PENDIENTES!$A$462,"")</f>
        <v/>
      </c>
      <c r="C468" s="302">
        <f>IF(_PENDIENTES!$B$462&lt;&gt;"",_PENDIENTES!$C$462,"")</f>
        <v/>
      </c>
      <c r="D468" s="301">
        <f>IF(_PENDIENTES!$B$462&lt;&gt;"",_PENDIENTES!$D$462,"")</f>
        <v/>
      </c>
      <c r="E468" s="306">
        <f>IF(_PENDIENTES!$B$462&lt;&gt;"",_PENDIENTES!$E$462,"")</f>
        <v/>
      </c>
      <c r="F468" s="301">
        <f>IF(_PENDIENTES!$B$462&lt;&gt;"",_PENDIENTES!$F$462,"")</f>
        <v/>
      </c>
      <c r="G468" s="245">
        <f>IF(_PENDIENTES!$B$462&lt;&gt;"",_PENDIENTES!$G$462,"")</f>
        <v/>
      </c>
      <c r="H468" s="245">
        <f>IF(_PENDIENTES!$B$462&lt;&gt;"",_PENDIENTES!$H$462,"")</f>
        <v/>
      </c>
      <c r="I468" s="302">
        <f>IF(_PENDIENTES!$B$462&lt;&gt;"",_PENDIENTES!$I$462,"")</f>
        <v/>
      </c>
      <c r="J468" s="301">
        <f>IF(_PENDIENTES!$B$462&lt;&gt;"",_PENDIENTES!$J$462,"")</f>
        <v/>
      </c>
      <c r="K468" s="301">
        <f>IF(_PENDIENTES!$B$462&lt;&gt;"","POR RECOGER","")</f>
        <v/>
      </c>
      <c r="L468" s="301">
        <f>IF(_PENDIENTES!$B$462&lt;&gt;"",_PENDIENTES!$K$462,"")</f>
        <v/>
      </c>
      <c r="M468" s="284">
        <f>IF(_PENDIENTES!$B$462&lt;&gt;"",_PENDIENTES!$B$462,"")</f>
        <v/>
      </c>
      <c r="N468" s="304">
        <f>IF(_PENDIENTES!$B$462&lt;&gt;"",_PENDIENTES!$L$462,"")</f>
        <v/>
      </c>
      <c r="O468" s="284" t="n"/>
      <c r="P468" s="284" t="n"/>
      <c r="Q468" s="284" t="n"/>
      <c r="R468" s="284" t="n"/>
      <c r="S468" s="284" t="n"/>
    </row>
    <row r="469" hidden="1" ht="15.75" customHeight="1" s="195">
      <c r="A469" s="241">
        <f>IF(_PENDIENTES!$B$463&lt;&gt;"",462,"")</f>
        <v/>
      </c>
      <c r="B469" s="236">
        <f>IF(_PENDIENTES!$B$463&lt;&gt;"",_PENDIENTES!$A$463,"")</f>
        <v/>
      </c>
      <c r="C469" s="305">
        <f>IF(_PENDIENTES!$B$463&lt;&gt;"",_PENDIENTES!$C$463,"")</f>
        <v/>
      </c>
      <c r="D469" s="241">
        <f>IF(_PENDIENTES!$B$463&lt;&gt;"",_PENDIENTES!$D$463,"")</f>
        <v/>
      </c>
      <c r="E469" s="307">
        <f>IF(_PENDIENTES!$B$463&lt;&gt;"",_PENDIENTES!$E$463,"")</f>
        <v/>
      </c>
      <c r="F469" s="241">
        <f>IF(_PENDIENTES!$B$463&lt;&gt;"",_PENDIENTES!$F$463,"")</f>
        <v/>
      </c>
      <c r="G469" s="239">
        <f>IF(_PENDIENTES!$B$463&lt;&gt;"",_PENDIENTES!$G$463,"")</f>
        <v/>
      </c>
      <c r="H469" s="239">
        <f>IF(_PENDIENTES!$B$463&lt;&gt;"",_PENDIENTES!$H$463,"")</f>
        <v/>
      </c>
      <c r="I469" s="305">
        <f>IF(_PENDIENTES!$B$463&lt;&gt;"",_PENDIENTES!$I$463,"")</f>
        <v/>
      </c>
      <c r="J469" s="241">
        <f>IF(_PENDIENTES!$B$463&lt;&gt;"",_PENDIENTES!$J$463,"")</f>
        <v/>
      </c>
      <c r="K469" s="241">
        <f>IF(_PENDIENTES!$B$463&lt;&gt;"","POR RECOGER","")</f>
        <v/>
      </c>
      <c r="L469" s="241">
        <f>IF(_PENDIENTES!$B$463&lt;&gt;"",_PENDIENTES!$K$463,"")</f>
        <v/>
      </c>
      <c r="M469" s="284">
        <f>IF(_PENDIENTES!$B$463&lt;&gt;"",_PENDIENTES!$B$463,"")</f>
        <v/>
      </c>
      <c r="N469" s="304">
        <f>IF(_PENDIENTES!$B$463&lt;&gt;"",_PENDIENTES!$L$463,"")</f>
        <v/>
      </c>
      <c r="O469" s="284" t="n"/>
      <c r="P469" s="284" t="n"/>
      <c r="Q469" s="284" t="n"/>
      <c r="R469" s="284" t="n"/>
      <c r="S469" s="284" t="n"/>
    </row>
    <row r="470" hidden="1" ht="15.75" customHeight="1" s="195">
      <c r="A470" s="301">
        <f>IF(_PENDIENTES!$B$464&lt;&gt;"",463,"")</f>
        <v/>
      </c>
      <c r="B470" s="242">
        <f>IF(_PENDIENTES!$B$464&lt;&gt;"",_PENDIENTES!$A$464,"")</f>
        <v/>
      </c>
      <c r="C470" s="302">
        <f>IF(_PENDIENTES!$B$464&lt;&gt;"",_PENDIENTES!$C$464,"")</f>
        <v/>
      </c>
      <c r="D470" s="301">
        <f>IF(_PENDIENTES!$B$464&lt;&gt;"",_PENDIENTES!$D$464,"")</f>
        <v/>
      </c>
      <c r="E470" s="306">
        <f>IF(_PENDIENTES!$B$464&lt;&gt;"",_PENDIENTES!$E$464,"")</f>
        <v/>
      </c>
      <c r="F470" s="301">
        <f>IF(_PENDIENTES!$B$464&lt;&gt;"",_PENDIENTES!$F$464,"")</f>
        <v/>
      </c>
      <c r="G470" s="245">
        <f>IF(_PENDIENTES!$B$464&lt;&gt;"",_PENDIENTES!$G$464,"")</f>
        <v/>
      </c>
      <c r="H470" s="245">
        <f>IF(_PENDIENTES!$B$464&lt;&gt;"",_PENDIENTES!$H$464,"")</f>
        <v/>
      </c>
      <c r="I470" s="302">
        <f>IF(_PENDIENTES!$B$464&lt;&gt;"",_PENDIENTES!$I$464,"")</f>
        <v/>
      </c>
      <c r="J470" s="301">
        <f>IF(_PENDIENTES!$B$464&lt;&gt;"",_PENDIENTES!$J$464,"")</f>
        <v/>
      </c>
      <c r="K470" s="301">
        <f>IF(_PENDIENTES!$B$464&lt;&gt;"","POR RECOGER","")</f>
        <v/>
      </c>
      <c r="L470" s="301">
        <f>IF(_PENDIENTES!$B$464&lt;&gt;"",_PENDIENTES!$K$464,"")</f>
        <v/>
      </c>
      <c r="M470" s="284">
        <f>IF(_PENDIENTES!$B$464&lt;&gt;"",_PENDIENTES!$B$464,"")</f>
        <v/>
      </c>
      <c r="N470" s="304">
        <f>IF(_PENDIENTES!$B$464&lt;&gt;"",_PENDIENTES!$L$464,"")</f>
        <v/>
      </c>
      <c r="O470" s="284" t="n"/>
      <c r="P470" s="284" t="n"/>
      <c r="Q470" s="284" t="n"/>
      <c r="R470" s="284" t="n"/>
      <c r="S470" s="284" t="n"/>
    </row>
    <row r="471" hidden="1" ht="15.75" customHeight="1" s="195">
      <c r="A471" s="241">
        <f>IF(_PENDIENTES!$B$465&lt;&gt;"",464,"")</f>
        <v/>
      </c>
      <c r="B471" s="236">
        <f>IF(_PENDIENTES!$B$465&lt;&gt;"",_PENDIENTES!$A$465,"")</f>
        <v/>
      </c>
      <c r="C471" s="305">
        <f>IF(_PENDIENTES!$B$465&lt;&gt;"",_PENDIENTES!$C$465,"")</f>
        <v/>
      </c>
      <c r="D471" s="241">
        <f>IF(_PENDIENTES!$B$465&lt;&gt;"",_PENDIENTES!$D$465,"")</f>
        <v/>
      </c>
      <c r="E471" s="307">
        <f>IF(_PENDIENTES!$B$465&lt;&gt;"",_PENDIENTES!$E$465,"")</f>
        <v/>
      </c>
      <c r="F471" s="241">
        <f>IF(_PENDIENTES!$B$465&lt;&gt;"",_PENDIENTES!$F$465,"")</f>
        <v/>
      </c>
      <c r="G471" s="239">
        <f>IF(_PENDIENTES!$B$465&lt;&gt;"",_PENDIENTES!$G$465,"")</f>
        <v/>
      </c>
      <c r="H471" s="239">
        <f>IF(_PENDIENTES!$B$465&lt;&gt;"",_PENDIENTES!$H$465,"")</f>
        <v/>
      </c>
      <c r="I471" s="305">
        <f>IF(_PENDIENTES!$B$465&lt;&gt;"",_PENDIENTES!$I$465,"")</f>
        <v/>
      </c>
      <c r="J471" s="241">
        <f>IF(_PENDIENTES!$B$465&lt;&gt;"",_PENDIENTES!$J$465,"")</f>
        <v/>
      </c>
      <c r="K471" s="241">
        <f>IF(_PENDIENTES!$B$465&lt;&gt;"","POR RECOGER","")</f>
        <v/>
      </c>
      <c r="L471" s="241">
        <f>IF(_PENDIENTES!$B$465&lt;&gt;"",_PENDIENTES!$K$465,"")</f>
        <v/>
      </c>
      <c r="M471" s="284">
        <f>IF(_PENDIENTES!$B$465&lt;&gt;"",_PENDIENTES!$B$465,"")</f>
        <v/>
      </c>
      <c r="N471" s="304">
        <f>IF(_PENDIENTES!$B$465&lt;&gt;"",_PENDIENTES!$L$465,"")</f>
        <v/>
      </c>
      <c r="O471" s="284" t="n"/>
      <c r="P471" s="284" t="n"/>
      <c r="Q471" s="284" t="n"/>
      <c r="R471" s="284" t="n"/>
      <c r="S471" s="284" t="n"/>
    </row>
    <row r="472" hidden="1" ht="15.75" customHeight="1" s="195">
      <c r="A472" s="301">
        <f>IF(_PENDIENTES!$B$466&lt;&gt;"",465,"")</f>
        <v/>
      </c>
      <c r="B472" s="242">
        <f>IF(_PENDIENTES!$B$466&lt;&gt;"",_PENDIENTES!$A$466,"")</f>
        <v/>
      </c>
      <c r="C472" s="302">
        <f>IF(_PENDIENTES!$B$466&lt;&gt;"",_PENDIENTES!$C$466,"")</f>
        <v/>
      </c>
      <c r="D472" s="301">
        <f>IF(_PENDIENTES!$B$466&lt;&gt;"",_PENDIENTES!$D$466,"")</f>
        <v/>
      </c>
      <c r="E472" s="306">
        <f>IF(_PENDIENTES!$B$466&lt;&gt;"",_PENDIENTES!$E$466,"")</f>
        <v/>
      </c>
      <c r="F472" s="301">
        <f>IF(_PENDIENTES!$B$466&lt;&gt;"",_PENDIENTES!$F$466,"")</f>
        <v/>
      </c>
      <c r="G472" s="245">
        <f>IF(_PENDIENTES!$B$466&lt;&gt;"",_PENDIENTES!$G$466,"")</f>
        <v/>
      </c>
      <c r="H472" s="245">
        <f>IF(_PENDIENTES!$B$466&lt;&gt;"",_PENDIENTES!$H$466,"")</f>
        <v/>
      </c>
      <c r="I472" s="302">
        <f>IF(_PENDIENTES!$B$466&lt;&gt;"",_PENDIENTES!$I$466,"")</f>
        <v/>
      </c>
      <c r="J472" s="301">
        <f>IF(_PENDIENTES!$B$466&lt;&gt;"",_PENDIENTES!$J$466,"")</f>
        <v/>
      </c>
      <c r="K472" s="301">
        <f>IF(_PENDIENTES!$B$466&lt;&gt;"","POR RECOGER","")</f>
        <v/>
      </c>
      <c r="L472" s="301">
        <f>IF(_PENDIENTES!$B$466&lt;&gt;"",_PENDIENTES!$K$466,"")</f>
        <v/>
      </c>
      <c r="M472" s="284">
        <f>IF(_PENDIENTES!$B$466&lt;&gt;"",_PENDIENTES!$B$466,"")</f>
        <v/>
      </c>
      <c r="N472" s="304">
        <f>IF(_PENDIENTES!$B$466&lt;&gt;"",_PENDIENTES!$L$466,"")</f>
        <v/>
      </c>
      <c r="O472" s="284" t="n"/>
      <c r="P472" s="284" t="n"/>
      <c r="Q472" s="284" t="n"/>
      <c r="R472" s="284" t="n"/>
      <c r="S472" s="284" t="n"/>
    </row>
    <row r="473" hidden="1" ht="15.75" customHeight="1" s="195">
      <c r="A473" s="241">
        <f>IF(_PENDIENTES!$B$467&lt;&gt;"",466,"")</f>
        <v/>
      </c>
      <c r="B473" s="236">
        <f>IF(_PENDIENTES!$B$467&lt;&gt;"",_PENDIENTES!$A$467,"")</f>
        <v/>
      </c>
      <c r="C473" s="305">
        <f>IF(_PENDIENTES!$B$467&lt;&gt;"",_PENDIENTES!$C$467,"")</f>
        <v/>
      </c>
      <c r="D473" s="241">
        <f>IF(_PENDIENTES!$B$467&lt;&gt;"",_PENDIENTES!$D$467,"")</f>
        <v/>
      </c>
      <c r="E473" s="241">
        <f>IF(_PENDIENTES!$B$467&lt;&gt;"",_PENDIENTES!$E$467,"")</f>
        <v/>
      </c>
      <c r="F473" s="241">
        <f>IF(_PENDIENTES!$B$467&lt;&gt;"",_PENDIENTES!$F$467,"")</f>
        <v/>
      </c>
      <c r="G473" s="239">
        <f>IF(_PENDIENTES!$B$467&lt;&gt;"",_PENDIENTES!$G$467,"")</f>
        <v/>
      </c>
      <c r="H473" s="239">
        <f>IF(_PENDIENTES!$B$467&lt;&gt;"",_PENDIENTES!$H$467,"")</f>
        <v/>
      </c>
      <c r="I473" s="305">
        <f>IF(_PENDIENTES!$B$467&lt;&gt;"",_PENDIENTES!$I$467,"")</f>
        <v/>
      </c>
      <c r="J473" s="241">
        <f>IF(_PENDIENTES!$B$467&lt;&gt;"",_PENDIENTES!$J$467,"")</f>
        <v/>
      </c>
      <c r="K473" s="241">
        <f>IF(_PENDIENTES!$B$467&lt;&gt;"","POR RECOGER","")</f>
        <v/>
      </c>
      <c r="L473" s="241">
        <f>IF(_PENDIENTES!$B$467&lt;&gt;"",_PENDIENTES!$K$467,"")</f>
        <v/>
      </c>
      <c r="M473" s="284">
        <f>IF(_PENDIENTES!$B$467&lt;&gt;"",_PENDIENTES!$B$467,"")</f>
        <v/>
      </c>
      <c r="N473" s="304">
        <f>IF(_PENDIENTES!$B$467&lt;&gt;"",_PENDIENTES!$L$467,"")</f>
        <v/>
      </c>
      <c r="O473" s="284" t="n"/>
      <c r="P473" s="284" t="n"/>
      <c r="Q473" s="284" t="n"/>
      <c r="R473" s="284" t="n"/>
      <c r="S473" s="284" t="n"/>
    </row>
    <row r="474" hidden="1" ht="15.75" customHeight="1" s="195">
      <c r="A474" s="301">
        <f>IF(_PENDIENTES!$B$468&lt;&gt;"",467,"")</f>
        <v/>
      </c>
      <c r="B474" s="242">
        <f>IF(_PENDIENTES!$B$468&lt;&gt;"",_PENDIENTES!$A$468,"")</f>
        <v/>
      </c>
      <c r="C474" s="302">
        <f>IF(_PENDIENTES!$B$468&lt;&gt;"",_PENDIENTES!$C$468,"")</f>
        <v/>
      </c>
      <c r="D474" s="301">
        <f>IF(_PENDIENTES!$B$468&lt;&gt;"",_PENDIENTES!$D$468,"")</f>
        <v/>
      </c>
      <c r="E474" s="306">
        <f>IF(_PENDIENTES!$B$468&lt;&gt;"",_PENDIENTES!$E$468,"")</f>
        <v/>
      </c>
      <c r="F474" s="301">
        <f>IF(_PENDIENTES!$B$468&lt;&gt;"",_PENDIENTES!$F$468,"")</f>
        <v/>
      </c>
      <c r="G474" s="245">
        <f>IF(_PENDIENTES!$B$468&lt;&gt;"",_PENDIENTES!$G$468,"")</f>
        <v/>
      </c>
      <c r="H474" s="245">
        <f>IF(_PENDIENTES!$B$468&lt;&gt;"",_PENDIENTES!$H$468,"")</f>
        <v/>
      </c>
      <c r="I474" s="302">
        <f>IF(_PENDIENTES!$B$468&lt;&gt;"",_PENDIENTES!$I$468,"")</f>
        <v/>
      </c>
      <c r="J474" s="301">
        <f>IF(_PENDIENTES!$B$468&lt;&gt;"",_PENDIENTES!$J$468,"")</f>
        <v/>
      </c>
      <c r="K474" s="301">
        <f>IF(_PENDIENTES!$B$468&lt;&gt;"","POR RECOGER","")</f>
        <v/>
      </c>
      <c r="L474" s="301">
        <f>IF(_PENDIENTES!$B$468&lt;&gt;"",_PENDIENTES!$K$468,"")</f>
        <v/>
      </c>
      <c r="M474" s="284">
        <f>IF(_PENDIENTES!$B$468&lt;&gt;"",_PENDIENTES!$B$468,"")</f>
        <v/>
      </c>
      <c r="N474" s="304">
        <f>IF(_PENDIENTES!$B$468&lt;&gt;"",_PENDIENTES!$L$468,"")</f>
        <v/>
      </c>
      <c r="O474" s="284" t="n"/>
      <c r="P474" s="284" t="n"/>
      <c r="Q474" s="284" t="n"/>
      <c r="R474" s="284" t="n"/>
      <c r="S474" s="284" t="n"/>
    </row>
    <row r="475" hidden="1" ht="15.75" customHeight="1" s="195">
      <c r="A475" s="241">
        <f>IF(_PENDIENTES!$B$469&lt;&gt;"",468,"")</f>
        <v/>
      </c>
      <c r="B475" s="236">
        <f>IF(_PENDIENTES!$B$469&lt;&gt;"",_PENDIENTES!$A$469,"")</f>
        <v/>
      </c>
      <c r="C475" s="305">
        <f>IF(_PENDIENTES!$B$469&lt;&gt;"",_PENDIENTES!$C$469,"")</f>
        <v/>
      </c>
      <c r="D475" s="241">
        <f>IF(_PENDIENTES!$B$469&lt;&gt;"",_PENDIENTES!$D$469,"")</f>
        <v/>
      </c>
      <c r="E475" s="307">
        <f>IF(_PENDIENTES!$B$469&lt;&gt;"",_PENDIENTES!$E$469,"")</f>
        <v/>
      </c>
      <c r="F475" s="241">
        <f>IF(_PENDIENTES!$B$469&lt;&gt;"",_PENDIENTES!$F$469,"")</f>
        <v/>
      </c>
      <c r="G475" s="239">
        <f>IF(_PENDIENTES!$B$469&lt;&gt;"",_PENDIENTES!$G$469,"")</f>
        <v/>
      </c>
      <c r="H475" s="239">
        <f>IF(_PENDIENTES!$B$469&lt;&gt;"",_PENDIENTES!$H$469,"")</f>
        <v/>
      </c>
      <c r="I475" s="305">
        <f>IF(_PENDIENTES!$B$469&lt;&gt;"",_PENDIENTES!$I$469,"")</f>
        <v/>
      </c>
      <c r="J475" s="241">
        <f>IF(_PENDIENTES!$B$469&lt;&gt;"",_PENDIENTES!$J$469,"")</f>
        <v/>
      </c>
      <c r="K475" s="241">
        <f>IF(_PENDIENTES!$B$469&lt;&gt;"","POR RECOGER","")</f>
        <v/>
      </c>
      <c r="L475" s="241">
        <f>IF(_PENDIENTES!$B$469&lt;&gt;"",_PENDIENTES!$K$469,"")</f>
        <v/>
      </c>
      <c r="M475" s="284">
        <f>IF(_PENDIENTES!$B$469&lt;&gt;"",_PENDIENTES!$B$469,"")</f>
        <v/>
      </c>
      <c r="N475" s="304">
        <f>IF(_PENDIENTES!$B$469&lt;&gt;"",_PENDIENTES!$L$469,"")</f>
        <v/>
      </c>
      <c r="O475" s="284" t="n"/>
      <c r="P475" s="284" t="n"/>
      <c r="Q475" s="284" t="n"/>
      <c r="R475" s="284" t="n"/>
      <c r="S475" s="284" t="n"/>
    </row>
    <row r="476" hidden="1" ht="15.75" customHeight="1" s="195">
      <c r="A476" s="301">
        <f>IF(_PENDIENTES!$B$470&lt;&gt;"",469,"")</f>
        <v/>
      </c>
      <c r="B476" s="242">
        <f>IF(_PENDIENTES!$B$470&lt;&gt;"",_PENDIENTES!$A$470,"")</f>
        <v/>
      </c>
      <c r="C476" s="302">
        <f>IF(_PENDIENTES!$B$470&lt;&gt;"",_PENDIENTES!$C$470,"")</f>
        <v/>
      </c>
      <c r="D476" s="301">
        <f>IF(_PENDIENTES!$B$470&lt;&gt;"",_PENDIENTES!$D$470,"")</f>
        <v/>
      </c>
      <c r="E476" s="306">
        <f>IF(_PENDIENTES!$B$470&lt;&gt;"",_PENDIENTES!$E$470,"")</f>
        <v/>
      </c>
      <c r="F476" s="301">
        <f>IF(_PENDIENTES!$B$470&lt;&gt;"",_PENDIENTES!$F$470,"")</f>
        <v/>
      </c>
      <c r="G476" s="245">
        <f>IF(_PENDIENTES!$B$470&lt;&gt;"",_PENDIENTES!$G$470,"")</f>
        <v/>
      </c>
      <c r="H476" s="245">
        <f>IF(_PENDIENTES!$B$470&lt;&gt;"",_PENDIENTES!$H$470,"")</f>
        <v/>
      </c>
      <c r="I476" s="302">
        <f>IF(_PENDIENTES!$B$470&lt;&gt;"",_PENDIENTES!$I$470,"")</f>
        <v/>
      </c>
      <c r="J476" s="301">
        <f>IF(_PENDIENTES!$B$470&lt;&gt;"",_PENDIENTES!$J$470,"")</f>
        <v/>
      </c>
      <c r="K476" s="301">
        <f>IF(_PENDIENTES!$B$470&lt;&gt;"","POR RECOGER","")</f>
        <v/>
      </c>
      <c r="L476" s="301">
        <f>IF(_PENDIENTES!$B$470&lt;&gt;"",_PENDIENTES!$K$470,"")</f>
        <v/>
      </c>
      <c r="M476" s="284">
        <f>IF(_PENDIENTES!$B$470&lt;&gt;"",_PENDIENTES!$B$470,"")</f>
        <v/>
      </c>
      <c r="N476" s="304">
        <f>IF(_PENDIENTES!$B$470&lt;&gt;"",_PENDIENTES!$L$470,"")</f>
        <v/>
      </c>
      <c r="O476" s="284" t="n"/>
      <c r="P476" s="284" t="n"/>
      <c r="Q476" s="284" t="n"/>
      <c r="R476" s="284" t="n"/>
      <c r="S476" s="284" t="n"/>
    </row>
    <row r="477" hidden="1" ht="15.75" customHeight="1" s="195">
      <c r="A477" s="241">
        <f>IF(_PENDIENTES!$B$471&lt;&gt;"",470,"")</f>
        <v/>
      </c>
      <c r="B477" s="236">
        <f>IF(_PENDIENTES!$B$471&lt;&gt;"",_PENDIENTES!$A$471,"")</f>
        <v/>
      </c>
      <c r="C477" s="305">
        <f>IF(_PENDIENTES!$B$471&lt;&gt;"",_PENDIENTES!$C$471,"")</f>
        <v/>
      </c>
      <c r="D477" s="241">
        <f>IF(_PENDIENTES!$B$471&lt;&gt;"",_PENDIENTES!$D$471,"")</f>
        <v/>
      </c>
      <c r="E477" s="307">
        <f>IF(_PENDIENTES!$B$471&lt;&gt;"",_PENDIENTES!$E$471,"")</f>
        <v/>
      </c>
      <c r="F477" s="241">
        <f>IF(_PENDIENTES!$B$471&lt;&gt;"",_PENDIENTES!$F$471,"")</f>
        <v/>
      </c>
      <c r="G477" s="239">
        <f>IF(_PENDIENTES!$B$471&lt;&gt;"",_PENDIENTES!$G$471,"")</f>
        <v/>
      </c>
      <c r="H477" s="239">
        <f>IF(_PENDIENTES!$B$471&lt;&gt;"",_PENDIENTES!$H$471,"")</f>
        <v/>
      </c>
      <c r="I477" s="305">
        <f>IF(_PENDIENTES!$B$471&lt;&gt;"",_PENDIENTES!$I$471,"")</f>
        <v/>
      </c>
      <c r="J477" s="241">
        <f>IF(_PENDIENTES!$B$471&lt;&gt;"",_PENDIENTES!$J$471,"")</f>
        <v/>
      </c>
      <c r="K477" s="241">
        <f>IF(_PENDIENTES!$B$471&lt;&gt;"","POR RECOGER","")</f>
        <v/>
      </c>
      <c r="L477" s="241">
        <f>IF(_PENDIENTES!$B$471&lt;&gt;"",_PENDIENTES!$K$471,"")</f>
        <v/>
      </c>
      <c r="M477" s="284">
        <f>IF(_PENDIENTES!$B$471&lt;&gt;"",_PENDIENTES!$B$471,"")</f>
        <v/>
      </c>
      <c r="N477" s="304">
        <f>IF(_PENDIENTES!$B$471&lt;&gt;"",_PENDIENTES!$L$471,"")</f>
        <v/>
      </c>
      <c r="O477" s="284" t="n"/>
      <c r="P477" s="284" t="n"/>
      <c r="Q477" s="284" t="n"/>
      <c r="R477" s="284" t="n"/>
      <c r="S477" s="284" t="n"/>
    </row>
    <row r="478" hidden="1" ht="15.75" customHeight="1" s="195">
      <c r="A478" s="301">
        <f>IF(_PENDIENTES!$B$472&lt;&gt;"",471,"")</f>
        <v/>
      </c>
      <c r="B478" s="242">
        <f>IF(_PENDIENTES!$B$472&lt;&gt;"",_PENDIENTES!$A$472,"")</f>
        <v/>
      </c>
      <c r="C478" s="302">
        <f>IF(_PENDIENTES!$B$472&lt;&gt;"",_PENDIENTES!$C$472,"")</f>
        <v/>
      </c>
      <c r="D478" s="301">
        <f>IF(_PENDIENTES!$B$472&lt;&gt;"",_PENDIENTES!$D$472,"")</f>
        <v/>
      </c>
      <c r="E478" s="306">
        <f>IF(_PENDIENTES!$B$472&lt;&gt;"",_PENDIENTES!$E$472,"")</f>
        <v/>
      </c>
      <c r="F478" s="301">
        <f>IF(_PENDIENTES!$B$472&lt;&gt;"",_PENDIENTES!$F$472,"")</f>
        <v/>
      </c>
      <c r="G478" s="245">
        <f>IF(_PENDIENTES!$B$472&lt;&gt;"",_PENDIENTES!$G$472,"")</f>
        <v/>
      </c>
      <c r="H478" s="245">
        <f>IF(_PENDIENTES!$B$472&lt;&gt;"",_PENDIENTES!$H$472,"")</f>
        <v/>
      </c>
      <c r="I478" s="302">
        <f>IF(_PENDIENTES!$B$472&lt;&gt;"",_PENDIENTES!$I$472,"")</f>
        <v/>
      </c>
      <c r="J478" s="301">
        <f>IF(_PENDIENTES!$B$472&lt;&gt;"",_PENDIENTES!$J$472,"")</f>
        <v/>
      </c>
      <c r="K478" s="301">
        <f>IF(_PENDIENTES!$B$472&lt;&gt;"","POR RECOGER","")</f>
        <v/>
      </c>
      <c r="L478" s="301">
        <f>IF(_PENDIENTES!$B$472&lt;&gt;"",_PENDIENTES!$K$472,"")</f>
        <v/>
      </c>
      <c r="M478" s="284">
        <f>IF(_PENDIENTES!$B$472&lt;&gt;"",_PENDIENTES!$B$472,"")</f>
        <v/>
      </c>
      <c r="N478" s="304">
        <f>IF(_PENDIENTES!$B$472&lt;&gt;"",_PENDIENTES!$L$472,"")</f>
        <v/>
      </c>
      <c r="O478" s="284" t="n"/>
      <c r="P478" s="284" t="n"/>
      <c r="Q478" s="284" t="n"/>
      <c r="R478" s="284" t="n"/>
      <c r="S478" s="284" t="n"/>
    </row>
    <row r="479" hidden="1" ht="15.75" customHeight="1" s="195">
      <c r="A479" s="241">
        <f>IF(_PENDIENTES!$B$473&lt;&gt;"",472,"")</f>
        <v/>
      </c>
      <c r="B479" s="236">
        <f>IF(_PENDIENTES!$B$473&lt;&gt;"",_PENDIENTES!$A$473,"")</f>
        <v/>
      </c>
      <c r="C479" s="305">
        <f>IF(_PENDIENTES!$B$473&lt;&gt;"",_PENDIENTES!$C$473,"")</f>
        <v/>
      </c>
      <c r="D479" s="241">
        <f>IF(_PENDIENTES!$B$473&lt;&gt;"",_PENDIENTES!$D$473,"")</f>
        <v/>
      </c>
      <c r="E479" s="307">
        <f>IF(_PENDIENTES!$B$473&lt;&gt;"",_PENDIENTES!$E$473,"")</f>
        <v/>
      </c>
      <c r="F479" s="241">
        <f>IF(_PENDIENTES!$B$473&lt;&gt;"",_PENDIENTES!$F$473,"")</f>
        <v/>
      </c>
      <c r="G479" s="239">
        <f>IF(_PENDIENTES!$B$473&lt;&gt;"",_PENDIENTES!$G$473,"")</f>
        <v/>
      </c>
      <c r="H479" s="239">
        <f>IF(_PENDIENTES!$B$473&lt;&gt;"",_PENDIENTES!$H$473,"")</f>
        <v/>
      </c>
      <c r="I479" s="305">
        <f>IF(_PENDIENTES!$B$473&lt;&gt;"",_PENDIENTES!$I$473,"")</f>
        <v/>
      </c>
      <c r="J479" s="241">
        <f>IF(_PENDIENTES!$B$473&lt;&gt;"",_PENDIENTES!$J$473,"")</f>
        <v/>
      </c>
      <c r="K479" s="241">
        <f>IF(_PENDIENTES!$B$473&lt;&gt;"","POR RECOGER","")</f>
        <v/>
      </c>
      <c r="L479" s="241">
        <f>IF(_PENDIENTES!$B$473&lt;&gt;"",_PENDIENTES!$K$473,"")</f>
        <v/>
      </c>
      <c r="M479" s="284">
        <f>IF(_PENDIENTES!$B$473&lt;&gt;"",_PENDIENTES!$B$473,"")</f>
        <v/>
      </c>
      <c r="N479" s="304">
        <f>IF(_PENDIENTES!$B$473&lt;&gt;"",_PENDIENTES!$L$473,"")</f>
        <v/>
      </c>
      <c r="O479" s="284" t="n"/>
      <c r="P479" s="284" t="n"/>
      <c r="Q479" s="284" t="n"/>
      <c r="R479" s="284" t="n"/>
      <c r="S479" s="284" t="n"/>
    </row>
    <row r="480" hidden="1" ht="15.75" customHeight="1" s="195">
      <c r="A480" s="301">
        <f>IF(_PENDIENTES!$B$474&lt;&gt;"",473,"")</f>
        <v/>
      </c>
      <c r="B480" s="242">
        <f>IF(_PENDIENTES!$B$474&lt;&gt;"",_PENDIENTES!$A$474,"")</f>
        <v/>
      </c>
      <c r="C480" s="302">
        <f>IF(_PENDIENTES!$B$474&lt;&gt;"",_PENDIENTES!$C$474,"")</f>
        <v/>
      </c>
      <c r="D480" s="301">
        <f>IF(_PENDIENTES!$B$474&lt;&gt;"",_PENDIENTES!$D$474,"")</f>
        <v/>
      </c>
      <c r="E480" s="306">
        <f>IF(_PENDIENTES!$B$474&lt;&gt;"",_PENDIENTES!$E$474,"")</f>
        <v/>
      </c>
      <c r="F480" s="301">
        <f>IF(_PENDIENTES!$B$474&lt;&gt;"",_PENDIENTES!$F$474,"")</f>
        <v/>
      </c>
      <c r="G480" s="245">
        <f>IF(_PENDIENTES!$B$474&lt;&gt;"",_PENDIENTES!$G$474,"")</f>
        <v/>
      </c>
      <c r="H480" s="245">
        <f>IF(_PENDIENTES!$B$474&lt;&gt;"",_PENDIENTES!$H$474,"")</f>
        <v/>
      </c>
      <c r="I480" s="302">
        <f>IF(_PENDIENTES!$B$474&lt;&gt;"",_PENDIENTES!$I$474,"")</f>
        <v/>
      </c>
      <c r="J480" s="301">
        <f>IF(_PENDIENTES!$B$474&lt;&gt;"",_PENDIENTES!$J$474,"")</f>
        <v/>
      </c>
      <c r="K480" s="301">
        <f>IF(_PENDIENTES!$B$474&lt;&gt;"","POR RECOGER","")</f>
        <v/>
      </c>
      <c r="L480" s="301">
        <f>IF(_PENDIENTES!$B$474&lt;&gt;"",_PENDIENTES!$K$474,"")</f>
        <v/>
      </c>
      <c r="M480" s="284">
        <f>IF(_PENDIENTES!$B$474&lt;&gt;"",_PENDIENTES!$B$474,"")</f>
        <v/>
      </c>
      <c r="N480" s="304">
        <f>IF(_PENDIENTES!$B$474&lt;&gt;"",_PENDIENTES!$L$474,"")</f>
        <v/>
      </c>
      <c r="O480" s="284" t="n"/>
      <c r="P480" s="284" t="n"/>
      <c r="Q480" s="284" t="n"/>
      <c r="R480" s="284" t="n"/>
      <c r="S480" s="284" t="n"/>
    </row>
    <row r="481" hidden="1" ht="15.75" customHeight="1" s="195">
      <c r="A481" s="241">
        <f>IF(_PENDIENTES!$B$475&lt;&gt;"",474,"")</f>
        <v/>
      </c>
      <c r="B481" s="236">
        <f>IF(_PENDIENTES!$B$475&lt;&gt;"",_PENDIENTES!$A$475,"")</f>
        <v/>
      </c>
      <c r="C481" s="305">
        <f>IF(_PENDIENTES!$B$475&lt;&gt;"",_PENDIENTES!$C$475,"")</f>
        <v/>
      </c>
      <c r="D481" s="241">
        <f>IF(_PENDIENTES!$B$475&lt;&gt;"",_PENDIENTES!$D$475,"")</f>
        <v/>
      </c>
      <c r="E481" s="307">
        <f>IF(_PENDIENTES!$B$475&lt;&gt;"",_PENDIENTES!$E$475,"")</f>
        <v/>
      </c>
      <c r="F481" s="241">
        <f>IF(_PENDIENTES!$B$475&lt;&gt;"",_PENDIENTES!$F$475,"")</f>
        <v/>
      </c>
      <c r="G481" s="239">
        <f>IF(_PENDIENTES!$B$475&lt;&gt;"",_PENDIENTES!$G$475,"")</f>
        <v/>
      </c>
      <c r="H481" s="239">
        <f>IF(_PENDIENTES!$B$475&lt;&gt;"",_PENDIENTES!$H$475,"")</f>
        <v/>
      </c>
      <c r="I481" s="305">
        <f>IF(_PENDIENTES!$B$475&lt;&gt;"",_PENDIENTES!$I$475,"")</f>
        <v/>
      </c>
      <c r="J481" s="241">
        <f>IF(_PENDIENTES!$B$475&lt;&gt;"",_PENDIENTES!$J$475,"")</f>
        <v/>
      </c>
      <c r="K481" s="241">
        <f>IF(_PENDIENTES!$B$475&lt;&gt;"","POR RECOGER","")</f>
        <v/>
      </c>
      <c r="L481" s="241">
        <f>IF(_PENDIENTES!$B$475&lt;&gt;"",_PENDIENTES!$K$475,"")</f>
        <v/>
      </c>
      <c r="M481" s="284">
        <f>IF(_PENDIENTES!$B$475&lt;&gt;"",_PENDIENTES!$B$475,"")</f>
        <v/>
      </c>
      <c r="N481" s="304">
        <f>IF(_PENDIENTES!$B$475&lt;&gt;"",_PENDIENTES!$L$475,"")</f>
        <v/>
      </c>
      <c r="O481" s="284" t="n"/>
      <c r="P481" s="284" t="n"/>
      <c r="Q481" s="284" t="n"/>
      <c r="R481" s="284" t="n"/>
      <c r="S481" s="284" t="n"/>
    </row>
    <row r="482" hidden="1" ht="15.75" customHeight="1" s="195">
      <c r="A482" s="301">
        <f>IF(_PENDIENTES!$B$476&lt;&gt;"",475,"")</f>
        <v/>
      </c>
      <c r="B482" s="242">
        <f>IF(_PENDIENTES!$B$476&lt;&gt;"",_PENDIENTES!$A$476,"")</f>
        <v/>
      </c>
      <c r="C482" s="302">
        <f>IF(_PENDIENTES!$B$476&lt;&gt;"",_PENDIENTES!$C$476,"")</f>
        <v/>
      </c>
      <c r="D482" s="301">
        <f>IF(_PENDIENTES!$B$476&lt;&gt;"",_PENDIENTES!$D$476,"")</f>
        <v/>
      </c>
      <c r="E482" s="306">
        <f>IF(_PENDIENTES!$B$476&lt;&gt;"",_PENDIENTES!$E$476,"")</f>
        <v/>
      </c>
      <c r="F482" s="301">
        <f>IF(_PENDIENTES!$B$476&lt;&gt;"",_PENDIENTES!$F$476,"")</f>
        <v/>
      </c>
      <c r="G482" s="245">
        <f>IF(_PENDIENTES!$B$476&lt;&gt;"",_PENDIENTES!$G$476,"")</f>
        <v/>
      </c>
      <c r="H482" s="245">
        <f>IF(_PENDIENTES!$B$476&lt;&gt;"",_PENDIENTES!$H$476,"")</f>
        <v/>
      </c>
      <c r="I482" s="302">
        <f>IF(_PENDIENTES!$B$476&lt;&gt;"",_PENDIENTES!$I$476,"")</f>
        <v/>
      </c>
      <c r="J482" s="301">
        <f>IF(_PENDIENTES!$B$476&lt;&gt;"",_PENDIENTES!$J$476,"")</f>
        <v/>
      </c>
      <c r="K482" s="301">
        <f>IF(_PENDIENTES!$B$476&lt;&gt;"","POR RECOGER","")</f>
        <v/>
      </c>
      <c r="L482" s="301">
        <f>IF(_PENDIENTES!$B$476&lt;&gt;"",_PENDIENTES!$K$476,"")</f>
        <v/>
      </c>
      <c r="M482" s="284">
        <f>IF(_PENDIENTES!$B$476&lt;&gt;"",_PENDIENTES!$B$476,"")</f>
        <v/>
      </c>
      <c r="N482" s="304">
        <f>IF(_PENDIENTES!$B$476&lt;&gt;"",_PENDIENTES!$L$476,"")</f>
        <v/>
      </c>
      <c r="O482" s="284" t="n"/>
      <c r="P482" s="284" t="n"/>
      <c r="Q482" s="284" t="n"/>
      <c r="R482" s="284" t="n"/>
      <c r="S482" s="284" t="n"/>
    </row>
    <row r="483" hidden="1" ht="15.75" customHeight="1" s="195">
      <c r="A483" s="241">
        <f>IF(_PENDIENTES!$B$477&lt;&gt;"",476,"")</f>
        <v/>
      </c>
      <c r="B483" s="236">
        <f>IF(_PENDIENTES!$B$477&lt;&gt;"",_PENDIENTES!$A$477,"")</f>
        <v/>
      </c>
      <c r="C483" s="305">
        <f>IF(_PENDIENTES!$B$477&lt;&gt;"",_PENDIENTES!$C$477,"")</f>
        <v/>
      </c>
      <c r="D483" s="241">
        <f>IF(_PENDIENTES!$B$477&lt;&gt;"",_PENDIENTES!$D$477,"")</f>
        <v/>
      </c>
      <c r="E483" s="307">
        <f>IF(_PENDIENTES!$B$477&lt;&gt;"",_PENDIENTES!$E$477,"")</f>
        <v/>
      </c>
      <c r="F483" s="241">
        <f>IF(_PENDIENTES!$B$477&lt;&gt;"",_PENDIENTES!$F$477,"")</f>
        <v/>
      </c>
      <c r="G483" s="239">
        <f>IF(_PENDIENTES!$B$477&lt;&gt;"",_PENDIENTES!$G$477,"")</f>
        <v/>
      </c>
      <c r="H483" s="239">
        <f>IF(_PENDIENTES!$B$477&lt;&gt;"",_PENDIENTES!$H$477,"")</f>
        <v/>
      </c>
      <c r="I483" s="305">
        <f>IF(_PENDIENTES!$B$477&lt;&gt;"",_PENDIENTES!$I$477,"")</f>
        <v/>
      </c>
      <c r="J483" s="241">
        <f>IF(_PENDIENTES!$B$477&lt;&gt;"",_PENDIENTES!$J$477,"")</f>
        <v/>
      </c>
      <c r="K483" s="241">
        <f>IF(_PENDIENTES!$B$477&lt;&gt;"","POR RECOGER","")</f>
        <v/>
      </c>
      <c r="L483" s="241">
        <f>IF(_PENDIENTES!$B$477&lt;&gt;"",_PENDIENTES!$K$477,"")</f>
        <v/>
      </c>
      <c r="M483" s="284">
        <f>IF(_PENDIENTES!$B$477&lt;&gt;"",_PENDIENTES!$B$477,"")</f>
        <v/>
      </c>
      <c r="N483" s="304">
        <f>IF(_PENDIENTES!$B$477&lt;&gt;"",_PENDIENTES!$L$477,"")</f>
        <v/>
      </c>
      <c r="O483" s="284" t="n"/>
      <c r="P483" s="284" t="n"/>
      <c r="Q483" s="284" t="n"/>
      <c r="R483" s="284" t="n"/>
      <c r="S483" s="284" t="n"/>
    </row>
    <row r="484" hidden="1" ht="15.75" customHeight="1" s="195">
      <c r="A484" s="301">
        <f>IF(_PENDIENTES!$B$478&lt;&gt;"",477,"")</f>
        <v/>
      </c>
      <c r="B484" s="242">
        <f>IF(_PENDIENTES!$B$478&lt;&gt;"",_PENDIENTES!$A$478,"")</f>
        <v/>
      </c>
      <c r="C484" s="302">
        <f>IF(_PENDIENTES!$B$478&lt;&gt;"",_PENDIENTES!$C$478,"")</f>
        <v/>
      </c>
      <c r="D484" s="301">
        <f>IF(_PENDIENTES!$B$478&lt;&gt;"",_PENDIENTES!$D$478,"")</f>
        <v/>
      </c>
      <c r="E484" s="306">
        <f>IF(_PENDIENTES!$B$478&lt;&gt;"",_PENDIENTES!$E$478,"")</f>
        <v/>
      </c>
      <c r="F484" s="301">
        <f>IF(_PENDIENTES!$B$478&lt;&gt;"",_PENDIENTES!$F$478,"")</f>
        <v/>
      </c>
      <c r="G484" s="245">
        <f>IF(_PENDIENTES!$B$478&lt;&gt;"",_PENDIENTES!$G$478,"")</f>
        <v/>
      </c>
      <c r="H484" s="245">
        <f>IF(_PENDIENTES!$B$478&lt;&gt;"",_PENDIENTES!$H$478,"")</f>
        <v/>
      </c>
      <c r="I484" s="302">
        <f>IF(_PENDIENTES!$B$478&lt;&gt;"",_PENDIENTES!$I$478,"")</f>
        <v/>
      </c>
      <c r="J484" s="301">
        <f>IF(_PENDIENTES!$B$478&lt;&gt;"",_PENDIENTES!$J$478,"")</f>
        <v/>
      </c>
      <c r="K484" s="301">
        <f>IF(_PENDIENTES!$B$478&lt;&gt;"","POR RECOGER","")</f>
        <v/>
      </c>
      <c r="L484" s="301">
        <f>IF(_PENDIENTES!$B$478&lt;&gt;"",_PENDIENTES!$K$478,"")</f>
        <v/>
      </c>
      <c r="M484" s="284">
        <f>IF(_PENDIENTES!$B$478&lt;&gt;"",_PENDIENTES!$B$478,"")</f>
        <v/>
      </c>
      <c r="N484" s="304">
        <f>IF(_PENDIENTES!$B$478&lt;&gt;"",_PENDIENTES!$L$478,"")</f>
        <v/>
      </c>
      <c r="O484" s="284" t="n"/>
      <c r="P484" s="284" t="n"/>
      <c r="Q484" s="284" t="n"/>
      <c r="R484" s="284" t="n"/>
      <c r="S484" s="284" t="n"/>
    </row>
    <row r="485" hidden="1" ht="15.75" customHeight="1" s="195">
      <c r="A485" s="241">
        <f>IF(_PENDIENTES!$B$479&lt;&gt;"",478,"")</f>
        <v/>
      </c>
      <c r="B485" s="236">
        <f>IF(_PENDIENTES!$B$479&lt;&gt;"",_PENDIENTES!$A$479,"")</f>
        <v/>
      </c>
      <c r="C485" s="305">
        <f>IF(_PENDIENTES!$B$479&lt;&gt;"",_PENDIENTES!$C$479,"")</f>
        <v/>
      </c>
      <c r="D485" s="241">
        <f>IF(_PENDIENTES!$B$479&lt;&gt;"",_PENDIENTES!$D$479,"")</f>
        <v/>
      </c>
      <c r="E485" s="307">
        <f>IF(_PENDIENTES!$B$479&lt;&gt;"",_PENDIENTES!$E$479,"")</f>
        <v/>
      </c>
      <c r="F485" s="241">
        <f>IF(_PENDIENTES!$B$479&lt;&gt;"",_PENDIENTES!$F$479,"")</f>
        <v/>
      </c>
      <c r="G485" s="239">
        <f>IF(_PENDIENTES!$B$479&lt;&gt;"",_PENDIENTES!$G$479,"")</f>
        <v/>
      </c>
      <c r="H485" s="239">
        <f>IF(_PENDIENTES!$B$479&lt;&gt;"",_PENDIENTES!$H$479,"")</f>
        <v/>
      </c>
      <c r="I485" s="305">
        <f>IF(_PENDIENTES!$B$479&lt;&gt;"",_PENDIENTES!$I$479,"")</f>
        <v/>
      </c>
      <c r="J485" s="241">
        <f>IF(_PENDIENTES!$B$479&lt;&gt;"",_PENDIENTES!$J$479,"")</f>
        <v/>
      </c>
      <c r="K485" s="241">
        <f>IF(_PENDIENTES!$B$479&lt;&gt;"","POR RECOGER","")</f>
        <v/>
      </c>
      <c r="L485" s="241">
        <f>IF(_PENDIENTES!$B$479&lt;&gt;"",_PENDIENTES!$K$479,"")</f>
        <v/>
      </c>
      <c r="M485" s="284">
        <f>IF(_PENDIENTES!$B$479&lt;&gt;"",_PENDIENTES!$B$479,"")</f>
        <v/>
      </c>
      <c r="N485" s="304">
        <f>IF(_PENDIENTES!$B$479&lt;&gt;"",_PENDIENTES!$L$479,"")</f>
        <v/>
      </c>
      <c r="O485" s="284" t="n"/>
      <c r="P485" s="284" t="n"/>
      <c r="Q485" s="284" t="n"/>
      <c r="R485" s="284" t="n"/>
      <c r="S485" s="284" t="n"/>
    </row>
    <row r="486" hidden="1" ht="15.75" customHeight="1" s="195">
      <c r="A486" s="301">
        <f>IF(_PENDIENTES!$B$480&lt;&gt;"",479,"")</f>
        <v/>
      </c>
      <c r="B486" s="242">
        <f>IF(_PENDIENTES!$B$480&lt;&gt;"",_PENDIENTES!$A$480,"")</f>
        <v/>
      </c>
      <c r="C486" s="302">
        <f>IF(_PENDIENTES!$B$480&lt;&gt;"",_PENDIENTES!$C$480,"")</f>
        <v/>
      </c>
      <c r="D486" s="301">
        <f>IF(_PENDIENTES!$B$480&lt;&gt;"",_PENDIENTES!$D$480,"")</f>
        <v/>
      </c>
      <c r="E486" s="306">
        <f>IF(_PENDIENTES!$B$480&lt;&gt;"",_PENDIENTES!$E$480,"")</f>
        <v/>
      </c>
      <c r="F486" s="301">
        <f>IF(_PENDIENTES!$B$480&lt;&gt;"",_PENDIENTES!$F$480,"")</f>
        <v/>
      </c>
      <c r="G486" s="245">
        <f>IF(_PENDIENTES!$B$480&lt;&gt;"",_PENDIENTES!$G$480,"")</f>
        <v/>
      </c>
      <c r="H486" s="245">
        <f>IF(_PENDIENTES!$B$480&lt;&gt;"",_PENDIENTES!$H$480,"")</f>
        <v/>
      </c>
      <c r="I486" s="302">
        <f>IF(_PENDIENTES!$B$480&lt;&gt;"",_PENDIENTES!$I$480,"")</f>
        <v/>
      </c>
      <c r="J486" s="301">
        <f>IF(_PENDIENTES!$B$480&lt;&gt;"",_PENDIENTES!$J$480,"")</f>
        <v/>
      </c>
      <c r="K486" s="301">
        <f>IF(_PENDIENTES!$B$480&lt;&gt;"","POR RECOGER","")</f>
        <v/>
      </c>
      <c r="L486" s="301">
        <f>IF(_PENDIENTES!$B$480&lt;&gt;"",_PENDIENTES!$K$480,"")</f>
        <v/>
      </c>
      <c r="M486" s="284">
        <f>IF(_PENDIENTES!$B$480&lt;&gt;"",_PENDIENTES!$B$480,"")</f>
        <v/>
      </c>
      <c r="N486" s="304">
        <f>IF(_PENDIENTES!$B$480&lt;&gt;"",_PENDIENTES!$L$480,"")</f>
        <v/>
      </c>
      <c r="O486" s="284" t="n"/>
      <c r="P486" s="284" t="n"/>
      <c r="Q486" s="284" t="n"/>
      <c r="R486" s="284" t="n"/>
      <c r="S486" s="284" t="n"/>
    </row>
    <row r="487" hidden="1" ht="15.75" customHeight="1" s="195">
      <c r="A487" s="241">
        <f>IF(_PENDIENTES!$B$481&lt;&gt;"",480,"")</f>
        <v/>
      </c>
      <c r="B487" s="236">
        <f>IF(_PENDIENTES!$B$481&lt;&gt;"",_PENDIENTES!$A$481,"")</f>
        <v/>
      </c>
      <c r="C487" s="305">
        <f>IF(_PENDIENTES!$B$481&lt;&gt;"",_PENDIENTES!$C$481,"")</f>
        <v/>
      </c>
      <c r="D487" s="241">
        <f>IF(_PENDIENTES!$B$481&lt;&gt;"",_PENDIENTES!$D$481,"")</f>
        <v/>
      </c>
      <c r="E487" s="307">
        <f>IF(_PENDIENTES!$B$481&lt;&gt;"",_PENDIENTES!$E$481,"")</f>
        <v/>
      </c>
      <c r="F487" s="241">
        <f>IF(_PENDIENTES!$B$481&lt;&gt;"",_PENDIENTES!$F$481,"")</f>
        <v/>
      </c>
      <c r="G487" s="239">
        <f>IF(_PENDIENTES!$B$481&lt;&gt;"",_PENDIENTES!$G$481,"")</f>
        <v/>
      </c>
      <c r="H487" s="239">
        <f>IF(_PENDIENTES!$B$481&lt;&gt;"",_PENDIENTES!$H$481,"")</f>
        <v/>
      </c>
      <c r="I487" s="305">
        <f>IF(_PENDIENTES!$B$481&lt;&gt;"",_PENDIENTES!$I$481,"")</f>
        <v/>
      </c>
      <c r="J487" s="241">
        <f>IF(_PENDIENTES!$B$481&lt;&gt;"",_PENDIENTES!$J$481,"")</f>
        <v/>
      </c>
      <c r="K487" s="241">
        <f>IF(_PENDIENTES!$B$481&lt;&gt;"","POR RECOGER","")</f>
        <v/>
      </c>
      <c r="L487" s="241">
        <f>IF(_PENDIENTES!$B$481&lt;&gt;"",_PENDIENTES!$K$481,"")</f>
        <v/>
      </c>
      <c r="M487" s="284">
        <f>IF(_PENDIENTES!$B$481&lt;&gt;"",_PENDIENTES!$B$481,"")</f>
        <v/>
      </c>
      <c r="N487" s="304">
        <f>IF(_PENDIENTES!$B$481&lt;&gt;"",_PENDIENTES!$L$481,"")</f>
        <v/>
      </c>
      <c r="O487" s="284" t="n"/>
      <c r="P487" s="284" t="n"/>
      <c r="Q487" s="284" t="n"/>
      <c r="R487" s="284" t="n"/>
      <c r="S487" s="284" t="n"/>
    </row>
    <row r="488" hidden="1" ht="15.75" customHeight="1" s="195">
      <c r="A488" s="301">
        <f>IF(_PENDIENTES!$B$482&lt;&gt;"",481,"")</f>
        <v/>
      </c>
      <c r="B488" s="242">
        <f>IF(_PENDIENTES!$B$482&lt;&gt;"",_PENDIENTES!$A$482,"")</f>
        <v/>
      </c>
      <c r="C488" s="302">
        <f>IF(_PENDIENTES!$B$482&lt;&gt;"",_PENDIENTES!$C$482,"")</f>
        <v/>
      </c>
      <c r="D488" s="301">
        <f>IF(_PENDIENTES!$B$482&lt;&gt;"",_PENDIENTES!$D$482,"")</f>
        <v/>
      </c>
      <c r="E488" s="306">
        <f>IF(_PENDIENTES!$B$482&lt;&gt;"",_PENDIENTES!$E$482,"")</f>
        <v/>
      </c>
      <c r="F488" s="301">
        <f>IF(_PENDIENTES!$B$482&lt;&gt;"",_PENDIENTES!$F$482,"")</f>
        <v/>
      </c>
      <c r="G488" s="245">
        <f>IF(_PENDIENTES!$B$482&lt;&gt;"",_PENDIENTES!$G$482,"")</f>
        <v/>
      </c>
      <c r="H488" s="245">
        <f>IF(_PENDIENTES!$B$482&lt;&gt;"",_PENDIENTES!$H$482,"")</f>
        <v/>
      </c>
      <c r="I488" s="302">
        <f>IF(_PENDIENTES!$B$482&lt;&gt;"",_PENDIENTES!$I$482,"")</f>
        <v/>
      </c>
      <c r="J488" s="301">
        <f>IF(_PENDIENTES!$B$482&lt;&gt;"",_PENDIENTES!$J$482,"")</f>
        <v/>
      </c>
      <c r="K488" s="301">
        <f>IF(_PENDIENTES!$B$482&lt;&gt;"","POR RECOGER","")</f>
        <v/>
      </c>
      <c r="L488" s="301">
        <f>IF(_PENDIENTES!$B$482&lt;&gt;"",_PENDIENTES!$K$482,"")</f>
        <v/>
      </c>
      <c r="M488" s="284">
        <f>IF(_PENDIENTES!$B$482&lt;&gt;"",_PENDIENTES!$B$482,"")</f>
        <v/>
      </c>
      <c r="N488" s="304">
        <f>IF(_PENDIENTES!$B$482&lt;&gt;"",_PENDIENTES!$L$482,"")</f>
        <v/>
      </c>
      <c r="O488" s="284" t="n"/>
      <c r="P488" s="284" t="n"/>
      <c r="Q488" s="284" t="n"/>
      <c r="R488" s="284" t="n"/>
      <c r="S488" s="284" t="n"/>
    </row>
    <row r="489" hidden="1" ht="15.75" customHeight="1" s="195">
      <c r="A489" s="241">
        <f>IF(_PENDIENTES!$B$483&lt;&gt;"",482,"")</f>
        <v/>
      </c>
      <c r="B489" s="236">
        <f>IF(_PENDIENTES!$B$483&lt;&gt;"",_PENDIENTES!$A$483,"")</f>
        <v/>
      </c>
      <c r="C489" s="305">
        <f>IF(_PENDIENTES!$B$483&lt;&gt;"",_PENDIENTES!$C$483,"")</f>
        <v/>
      </c>
      <c r="D489" s="241">
        <f>IF(_PENDIENTES!$B$483&lt;&gt;"",_PENDIENTES!$D$483,"")</f>
        <v/>
      </c>
      <c r="E489" s="307">
        <f>IF(_PENDIENTES!$B$483&lt;&gt;"",_PENDIENTES!$E$483,"")</f>
        <v/>
      </c>
      <c r="F489" s="241">
        <f>IF(_PENDIENTES!$B$483&lt;&gt;"",_PENDIENTES!$F$483,"")</f>
        <v/>
      </c>
      <c r="G489" s="239">
        <f>IF(_PENDIENTES!$B$483&lt;&gt;"",_PENDIENTES!$G$483,"")</f>
        <v/>
      </c>
      <c r="H489" s="239">
        <f>IF(_PENDIENTES!$B$483&lt;&gt;"",_PENDIENTES!$H$483,"")</f>
        <v/>
      </c>
      <c r="I489" s="305">
        <f>IF(_PENDIENTES!$B$483&lt;&gt;"",_PENDIENTES!$I$483,"")</f>
        <v/>
      </c>
      <c r="J489" s="241">
        <f>IF(_PENDIENTES!$B$483&lt;&gt;"",_PENDIENTES!$J$483,"")</f>
        <v/>
      </c>
      <c r="K489" s="241">
        <f>IF(_PENDIENTES!$B$483&lt;&gt;"","POR RECOGER","")</f>
        <v/>
      </c>
      <c r="L489" s="241">
        <f>IF(_PENDIENTES!$B$483&lt;&gt;"",_PENDIENTES!$K$483,"")</f>
        <v/>
      </c>
      <c r="M489" s="284">
        <f>IF(_PENDIENTES!$B$483&lt;&gt;"",_PENDIENTES!$B$483,"")</f>
        <v/>
      </c>
      <c r="N489" s="304">
        <f>IF(_PENDIENTES!$B$483&lt;&gt;"",_PENDIENTES!$L$483,"")</f>
        <v/>
      </c>
      <c r="O489" s="284" t="n"/>
      <c r="P489" s="284" t="n"/>
      <c r="Q489" s="284" t="n"/>
      <c r="R489" s="284" t="n"/>
      <c r="S489" s="284" t="n"/>
    </row>
    <row r="490" hidden="1" ht="15.75" customHeight="1" s="195">
      <c r="A490" s="301">
        <f>IF(_PENDIENTES!$B$484&lt;&gt;"",483,"")</f>
        <v/>
      </c>
      <c r="B490" s="242">
        <f>IF(_PENDIENTES!$B$484&lt;&gt;"",_PENDIENTES!$A$484,"")</f>
        <v/>
      </c>
      <c r="C490" s="302">
        <f>IF(_PENDIENTES!$B$484&lt;&gt;"",_PENDIENTES!$C$484,"")</f>
        <v/>
      </c>
      <c r="D490" s="301">
        <f>IF(_PENDIENTES!$B$484&lt;&gt;"",_PENDIENTES!$D$484,"")</f>
        <v/>
      </c>
      <c r="E490" s="306">
        <f>IF(_PENDIENTES!$B$484&lt;&gt;"",_PENDIENTES!$E$484,"")</f>
        <v/>
      </c>
      <c r="F490" s="301">
        <f>IF(_PENDIENTES!$B$484&lt;&gt;"",_PENDIENTES!$F$484,"")</f>
        <v/>
      </c>
      <c r="G490" s="245">
        <f>IF(_PENDIENTES!$B$484&lt;&gt;"",_PENDIENTES!$G$484,"")</f>
        <v/>
      </c>
      <c r="H490" s="245">
        <f>IF(_PENDIENTES!$B$484&lt;&gt;"",_PENDIENTES!$H$484,"")</f>
        <v/>
      </c>
      <c r="I490" s="302">
        <f>IF(_PENDIENTES!$B$484&lt;&gt;"",_PENDIENTES!$I$484,"")</f>
        <v/>
      </c>
      <c r="J490" s="301">
        <f>IF(_PENDIENTES!$B$484&lt;&gt;"",_PENDIENTES!$J$484,"")</f>
        <v/>
      </c>
      <c r="K490" s="301">
        <f>IF(_PENDIENTES!$B$484&lt;&gt;"","POR RECOGER","")</f>
        <v/>
      </c>
      <c r="L490" s="301">
        <f>IF(_PENDIENTES!$B$484&lt;&gt;"",_PENDIENTES!$K$484,"")</f>
        <v/>
      </c>
      <c r="M490" s="284">
        <f>IF(_PENDIENTES!$B$484&lt;&gt;"",_PENDIENTES!$B$484,"")</f>
        <v/>
      </c>
      <c r="N490" s="304">
        <f>IF(_PENDIENTES!$B$484&lt;&gt;"",_PENDIENTES!$L$484,"")</f>
        <v/>
      </c>
      <c r="O490" s="284" t="n"/>
      <c r="P490" s="284" t="n"/>
      <c r="Q490" s="284" t="n"/>
      <c r="R490" s="284" t="n"/>
      <c r="S490" s="284" t="n"/>
    </row>
    <row r="491" hidden="1" ht="15.75" customHeight="1" s="195">
      <c r="A491" s="241">
        <f>IF(_PENDIENTES!$B$485&lt;&gt;"",484,"")</f>
        <v/>
      </c>
      <c r="B491" s="236">
        <f>IF(_PENDIENTES!$B$485&lt;&gt;"",_PENDIENTES!$A$485,"")</f>
        <v/>
      </c>
      <c r="C491" s="305">
        <f>IF(_PENDIENTES!$B$485&lt;&gt;"",_PENDIENTES!$C$485,"")</f>
        <v/>
      </c>
      <c r="D491" s="241">
        <f>IF(_PENDIENTES!$B$485&lt;&gt;"",_PENDIENTES!$D$485,"")</f>
        <v/>
      </c>
      <c r="E491" s="307">
        <f>IF(_PENDIENTES!$B$485&lt;&gt;"",_PENDIENTES!$E$485,"")</f>
        <v/>
      </c>
      <c r="F491" s="241">
        <f>IF(_PENDIENTES!$B$485&lt;&gt;"",_PENDIENTES!$F$485,"")</f>
        <v/>
      </c>
      <c r="G491" s="239">
        <f>IF(_PENDIENTES!$B$485&lt;&gt;"",_PENDIENTES!$G$485,"")</f>
        <v/>
      </c>
      <c r="H491" s="239">
        <f>IF(_PENDIENTES!$B$485&lt;&gt;"",_PENDIENTES!$H$485,"")</f>
        <v/>
      </c>
      <c r="I491" s="305">
        <f>IF(_PENDIENTES!$B$485&lt;&gt;"",_PENDIENTES!$I$485,"")</f>
        <v/>
      </c>
      <c r="J491" s="241">
        <f>IF(_PENDIENTES!$B$485&lt;&gt;"",_PENDIENTES!$J$485,"")</f>
        <v/>
      </c>
      <c r="K491" s="241">
        <f>IF(_PENDIENTES!$B$485&lt;&gt;"","POR RECOGER","")</f>
        <v/>
      </c>
      <c r="L491" s="241">
        <f>IF(_PENDIENTES!$B$485&lt;&gt;"",_PENDIENTES!$K$485,"")</f>
        <v/>
      </c>
      <c r="M491" s="284">
        <f>IF(_PENDIENTES!$B$485&lt;&gt;"",_PENDIENTES!$B$485,"")</f>
        <v/>
      </c>
      <c r="N491" s="304">
        <f>IF(_PENDIENTES!$B$485&lt;&gt;"",_PENDIENTES!$L$485,"")</f>
        <v/>
      </c>
      <c r="O491" s="284" t="n"/>
      <c r="P491" s="284" t="n"/>
      <c r="Q491" s="284" t="n"/>
      <c r="R491" s="284" t="n"/>
      <c r="S491" s="284" t="n"/>
    </row>
    <row r="492" hidden="1" ht="15.75" customHeight="1" s="195">
      <c r="A492" s="301">
        <f>IF(_PENDIENTES!$B$486&lt;&gt;"",485,"")</f>
        <v/>
      </c>
      <c r="B492" s="242">
        <f>IF(_PENDIENTES!$B$486&lt;&gt;"",_PENDIENTES!$A$486,"")</f>
        <v/>
      </c>
      <c r="C492" s="302">
        <f>IF(_PENDIENTES!$B$486&lt;&gt;"",_PENDIENTES!$C$486,"")</f>
        <v/>
      </c>
      <c r="D492" s="301">
        <f>IF(_PENDIENTES!$B$486&lt;&gt;"",_PENDIENTES!$D$486,"")</f>
        <v/>
      </c>
      <c r="E492" s="306">
        <f>IF(_PENDIENTES!$B$486&lt;&gt;"",_PENDIENTES!$E$486,"")</f>
        <v/>
      </c>
      <c r="F492" s="301">
        <f>IF(_PENDIENTES!$B$486&lt;&gt;"",_PENDIENTES!$F$486,"")</f>
        <v/>
      </c>
      <c r="G492" s="245">
        <f>IF(_PENDIENTES!$B$486&lt;&gt;"",_PENDIENTES!$G$486,"")</f>
        <v/>
      </c>
      <c r="H492" s="245">
        <f>IF(_PENDIENTES!$B$486&lt;&gt;"",_PENDIENTES!$H$486,"")</f>
        <v/>
      </c>
      <c r="I492" s="302">
        <f>IF(_PENDIENTES!$B$486&lt;&gt;"",_PENDIENTES!$I$486,"")</f>
        <v/>
      </c>
      <c r="J492" s="301">
        <f>IF(_PENDIENTES!$B$486&lt;&gt;"",_PENDIENTES!$J$486,"")</f>
        <v/>
      </c>
      <c r="K492" s="301">
        <f>IF(_PENDIENTES!$B$486&lt;&gt;"","POR RECOGER","")</f>
        <v/>
      </c>
      <c r="L492" s="301">
        <f>IF(_PENDIENTES!$B$486&lt;&gt;"",_PENDIENTES!$K$486,"")</f>
        <v/>
      </c>
      <c r="M492" s="284">
        <f>IF(_PENDIENTES!$B$486&lt;&gt;"",_PENDIENTES!$B$486,"")</f>
        <v/>
      </c>
      <c r="N492" s="304">
        <f>IF(_PENDIENTES!$B$486&lt;&gt;"",_PENDIENTES!$L$486,"")</f>
        <v/>
      </c>
      <c r="O492" s="284" t="n"/>
      <c r="P492" s="284" t="n"/>
      <c r="Q492" s="284" t="n"/>
      <c r="R492" s="284" t="n"/>
      <c r="S492" s="284" t="n"/>
    </row>
    <row r="493" hidden="1" ht="15.75" customHeight="1" s="195">
      <c r="A493" s="241">
        <f>IF(_PENDIENTES!$B$487&lt;&gt;"",486,"")</f>
        <v/>
      </c>
      <c r="B493" s="236">
        <f>IF(_PENDIENTES!$B$487&lt;&gt;"",_PENDIENTES!$A$487,"")</f>
        <v/>
      </c>
      <c r="C493" s="305">
        <f>IF(_PENDIENTES!$B$487&lt;&gt;"",_PENDIENTES!$C$487,"")</f>
        <v/>
      </c>
      <c r="D493" s="241">
        <f>IF(_PENDIENTES!$B$487&lt;&gt;"",_PENDIENTES!$D$487,"")</f>
        <v/>
      </c>
      <c r="E493" s="307">
        <f>IF(_PENDIENTES!$B$487&lt;&gt;"",_PENDIENTES!$E$487,"")</f>
        <v/>
      </c>
      <c r="F493" s="241">
        <f>IF(_PENDIENTES!$B$487&lt;&gt;"",_PENDIENTES!$F$487,"")</f>
        <v/>
      </c>
      <c r="G493" s="239">
        <f>IF(_PENDIENTES!$B$487&lt;&gt;"",_PENDIENTES!$G$487,"")</f>
        <v/>
      </c>
      <c r="H493" s="239">
        <f>IF(_PENDIENTES!$B$487&lt;&gt;"",_PENDIENTES!$H$487,"")</f>
        <v/>
      </c>
      <c r="I493" s="305">
        <f>IF(_PENDIENTES!$B$487&lt;&gt;"",_PENDIENTES!$I$487,"")</f>
        <v/>
      </c>
      <c r="J493" s="241">
        <f>IF(_PENDIENTES!$B$487&lt;&gt;"",_PENDIENTES!$J$487,"")</f>
        <v/>
      </c>
      <c r="K493" s="241">
        <f>IF(_PENDIENTES!$B$487&lt;&gt;"","POR RECOGER","")</f>
        <v/>
      </c>
      <c r="L493" s="241">
        <f>IF(_PENDIENTES!$B$487&lt;&gt;"",_PENDIENTES!$K$487,"")</f>
        <v/>
      </c>
      <c r="M493" s="284">
        <f>IF(_PENDIENTES!$B$487&lt;&gt;"",_PENDIENTES!$B$487,"")</f>
        <v/>
      </c>
      <c r="N493" s="304">
        <f>IF(_PENDIENTES!$B$487&lt;&gt;"",_PENDIENTES!$L$487,"")</f>
        <v/>
      </c>
      <c r="O493" s="284" t="n"/>
      <c r="P493" s="284" t="n"/>
      <c r="Q493" s="284" t="n"/>
      <c r="R493" s="284" t="n"/>
      <c r="S493" s="284" t="n"/>
    </row>
    <row r="494" hidden="1" ht="15.75" customHeight="1" s="195">
      <c r="A494" s="301">
        <f>IF(_PENDIENTES!$B$488&lt;&gt;"",487,"")</f>
        <v/>
      </c>
      <c r="B494" s="242">
        <f>IF(_PENDIENTES!$B$488&lt;&gt;"",_PENDIENTES!$A$488,"")</f>
        <v/>
      </c>
      <c r="C494" s="302">
        <f>IF(_PENDIENTES!$B$488&lt;&gt;"",_PENDIENTES!$C$488,"")</f>
        <v/>
      </c>
      <c r="D494" s="301">
        <f>IF(_PENDIENTES!$B$488&lt;&gt;"",_PENDIENTES!$D$488,"")</f>
        <v/>
      </c>
      <c r="E494" s="306">
        <f>IF(_PENDIENTES!$B$488&lt;&gt;"",_PENDIENTES!$E$488,"")</f>
        <v/>
      </c>
      <c r="F494" s="301">
        <f>IF(_PENDIENTES!$B$488&lt;&gt;"",_PENDIENTES!$F$488,"")</f>
        <v/>
      </c>
      <c r="G494" s="245">
        <f>IF(_PENDIENTES!$B$488&lt;&gt;"",_PENDIENTES!$G$488,"")</f>
        <v/>
      </c>
      <c r="H494" s="245">
        <f>IF(_PENDIENTES!$B$488&lt;&gt;"",_PENDIENTES!$H$488,"")</f>
        <v/>
      </c>
      <c r="I494" s="302">
        <f>IF(_PENDIENTES!$B$488&lt;&gt;"",_PENDIENTES!$I$488,"")</f>
        <v/>
      </c>
      <c r="J494" s="301">
        <f>IF(_PENDIENTES!$B$488&lt;&gt;"",_PENDIENTES!$J$488,"")</f>
        <v/>
      </c>
      <c r="K494" s="301">
        <f>IF(_PENDIENTES!$B$488&lt;&gt;"","POR RECOGER","")</f>
        <v/>
      </c>
      <c r="L494" s="301">
        <f>IF(_PENDIENTES!$B$488&lt;&gt;"",_PENDIENTES!$K$488,"")</f>
        <v/>
      </c>
      <c r="M494" s="284">
        <f>IF(_PENDIENTES!$B$488&lt;&gt;"",_PENDIENTES!$B$488,"")</f>
        <v/>
      </c>
      <c r="N494" s="304">
        <f>IF(_PENDIENTES!$B$488&lt;&gt;"",_PENDIENTES!$L$488,"")</f>
        <v/>
      </c>
      <c r="O494" s="284" t="n"/>
      <c r="P494" s="284" t="n"/>
      <c r="Q494" s="284" t="n"/>
      <c r="R494" s="284" t="n"/>
      <c r="S494" s="284" t="n"/>
    </row>
    <row r="495" hidden="1" ht="15.75" customHeight="1" s="195">
      <c r="A495" s="241">
        <f>IF(_PENDIENTES!$B$489&lt;&gt;"",488,"")</f>
        <v/>
      </c>
      <c r="B495" s="236">
        <f>IF(_PENDIENTES!$B$489&lt;&gt;"",_PENDIENTES!$A$489,"")</f>
        <v/>
      </c>
      <c r="C495" s="305">
        <f>IF(_PENDIENTES!$B$489&lt;&gt;"",_PENDIENTES!$C$489,"")</f>
        <v/>
      </c>
      <c r="D495" s="241">
        <f>IF(_PENDIENTES!$B$489&lt;&gt;"",_PENDIENTES!$D$489,"")</f>
        <v/>
      </c>
      <c r="E495" s="307">
        <f>IF(_PENDIENTES!$B$489&lt;&gt;"",_PENDIENTES!$E$489,"")</f>
        <v/>
      </c>
      <c r="F495" s="241">
        <f>IF(_PENDIENTES!$B$489&lt;&gt;"",_PENDIENTES!$F$489,"")</f>
        <v/>
      </c>
      <c r="G495" s="239">
        <f>IF(_PENDIENTES!$B$489&lt;&gt;"",_PENDIENTES!$G$489,"")</f>
        <v/>
      </c>
      <c r="H495" s="239">
        <f>IF(_PENDIENTES!$B$489&lt;&gt;"",_PENDIENTES!$H$489,"")</f>
        <v/>
      </c>
      <c r="I495" s="305">
        <f>IF(_PENDIENTES!$B$489&lt;&gt;"",_PENDIENTES!$I$489,"")</f>
        <v/>
      </c>
      <c r="J495" s="241">
        <f>IF(_PENDIENTES!$B$489&lt;&gt;"",_PENDIENTES!$J$489,"")</f>
        <v/>
      </c>
      <c r="K495" s="241">
        <f>IF(_PENDIENTES!$B$489&lt;&gt;"","POR RECOGER","")</f>
        <v/>
      </c>
      <c r="L495" s="241">
        <f>IF(_PENDIENTES!$B$489&lt;&gt;"",_PENDIENTES!$K$489,"")</f>
        <v/>
      </c>
      <c r="M495" s="284">
        <f>IF(_PENDIENTES!$B$489&lt;&gt;"",_PENDIENTES!$B$489,"")</f>
        <v/>
      </c>
      <c r="N495" s="304">
        <f>IF(_PENDIENTES!$B$489&lt;&gt;"",_PENDIENTES!$L$489,"")</f>
        <v/>
      </c>
      <c r="O495" s="284" t="n"/>
      <c r="P495" s="284" t="n"/>
      <c r="Q495" s="284" t="n"/>
      <c r="R495" s="284" t="n"/>
      <c r="S495" s="284" t="n"/>
    </row>
    <row r="496" hidden="1" ht="15.75" customHeight="1" s="195">
      <c r="A496" s="301">
        <f>IF(_PENDIENTES!$B$490&lt;&gt;"",489,"")</f>
        <v/>
      </c>
      <c r="B496" s="242">
        <f>IF(_PENDIENTES!$B$490&lt;&gt;"",_PENDIENTES!$A$490,"")</f>
        <v/>
      </c>
      <c r="C496" s="302">
        <f>IF(_PENDIENTES!$B$490&lt;&gt;"",_PENDIENTES!$C$490,"")</f>
        <v/>
      </c>
      <c r="D496" s="301">
        <f>IF(_PENDIENTES!$B$490&lt;&gt;"",_PENDIENTES!$D$490,"")</f>
        <v/>
      </c>
      <c r="E496" s="306">
        <f>IF(_PENDIENTES!$B$490&lt;&gt;"",_PENDIENTES!$E$490,"")</f>
        <v/>
      </c>
      <c r="F496" s="301">
        <f>IF(_PENDIENTES!$B$490&lt;&gt;"",_PENDIENTES!$F$490,"")</f>
        <v/>
      </c>
      <c r="G496" s="245">
        <f>IF(_PENDIENTES!$B$490&lt;&gt;"",_PENDIENTES!$G$490,"")</f>
        <v/>
      </c>
      <c r="H496" s="245">
        <f>IF(_PENDIENTES!$B$490&lt;&gt;"",_PENDIENTES!$H$490,"")</f>
        <v/>
      </c>
      <c r="I496" s="302">
        <f>IF(_PENDIENTES!$B$490&lt;&gt;"",_PENDIENTES!$I$490,"")</f>
        <v/>
      </c>
      <c r="J496" s="301">
        <f>IF(_PENDIENTES!$B$490&lt;&gt;"",_PENDIENTES!$J$490,"")</f>
        <v/>
      </c>
      <c r="K496" s="301">
        <f>IF(_PENDIENTES!$B$490&lt;&gt;"","POR RECOGER","")</f>
        <v/>
      </c>
      <c r="L496" s="301">
        <f>IF(_PENDIENTES!$B$490&lt;&gt;"",_PENDIENTES!$K$490,"")</f>
        <v/>
      </c>
      <c r="M496" s="284">
        <f>IF(_PENDIENTES!$B$490&lt;&gt;"",_PENDIENTES!$B$490,"")</f>
        <v/>
      </c>
      <c r="N496" s="304">
        <f>IF(_PENDIENTES!$B$490&lt;&gt;"",_PENDIENTES!$L$490,"")</f>
        <v/>
      </c>
      <c r="O496" s="284" t="n"/>
      <c r="P496" s="284" t="n"/>
      <c r="Q496" s="284" t="n"/>
      <c r="R496" s="284" t="n"/>
      <c r="S496" s="284" t="n"/>
    </row>
    <row r="497" hidden="1" ht="15.75" customHeight="1" s="195">
      <c r="A497" s="241">
        <f>IF(_PENDIENTES!$B$491&lt;&gt;"",490,"")</f>
        <v/>
      </c>
      <c r="B497" s="236">
        <f>IF(_PENDIENTES!$B$491&lt;&gt;"",_PENDIENTES!$A$491,"")</f>
        <v/>
      </c>
      <c r="C497" s="305">
        <f>IF(_PENDIENTES!$B$491&lt;&gt;"",_PENDIENTES!$C$491,"")</f>
        <v/>
      </c>
      <c r="D497" s="241">
        <f>IF(_PENDIENTES!$B$491&lt;&gt;"",_PENDIENTES!$D$491,"")</f>
        <v/>
      </c>
      <c r="E497" s="307">
        <f>IF(_PENDIENTES!$B$491&lt;&gt;"",_PENDIENTES!$E$491,"")</f>
        <v/>
      </c>
      <c r="F497" s="241">
        <f>IF(_PENDIENTES!$B$491&lt;&gt;"",_PENDIENTES!$F$491,"")</f>
        <v/>
      </c>
      <c r="G497" s="239">
        <f>IF(_PENDIENTES!$B$491&lt;&gt;"",_PENDIENTES!$G$491,"")</f>
        <v/>
      </c>
      <c r="H497" s="239">
        <f>IF(_PENDIENTES!$B$491&lt;&gt;"",_PENDIENTES!$H$491,"")</f>
        <v/>
      </c>
      <c r="I497" s="305">
        <f>IF(_PENDIENTES!$B$491&lt;&gt;"",_PENDIENTES!$I$491,"")</f>
        <v/>
      </c>
      <c r="J497" s="241">
        <f>IF(_PENDIENTES!$B$491&lt;&gt;"",_PENDIENTES!$J$491,"")</f>
        <v/>
      </c>
      <c r="K497" s="241">
        <f>IF(_PENDIENTES!$B$491&lt;&gt;"","POR RECOGER","")</f>
        <v/>
      </c>
      <c r="L497" s="241">
        <f>IF(_PENDIENTES!$B$491&lt;&gt;"",_PENDIENTES!$K$491,"")</f>
        <v/>
      </c>
      <c r="M497" s="284">
        <f>IF(_PENDIENTES!$B$491&lt;&gt;"",_PENDIENTES!$B$491,"")</f>
        <v/>
      </c>
      <c r="N497" s="304">
        <f>IF(_PENDIENTES!$B$491&lt;&gt;"",_PENDIENTES!$L$491,"")</f>
        <v/>
      </c>
      <c r="O497" s="284" t="n"/>
      <c r="P497" s="284" t="n"/>
      <c r="Q497" s="284" t="n"/>
      <c r="R497" s="284" t="n"/>
      <c r="S497" s="284" t="n"/>
    </row>
    <row r="498" hidden="1" ht="15.75" customHeight="1" s="195">
      <c r="A498" s="301">
        <f>IF(_PENDIENTES!$B$492&lt;&gt;"",491,"")</f>
        <v/>
      </c>
      <c r="B498" s="242">
        <f>IF(_PENDIENTES!$B$492&lt;&gt;"",_PENDIENTES!$A$492,"")</f>
        <v/>
      </c>
      <c r="C498" s="302">
        <f>IF(_PENDIENTES!$B$492&lt;&gt;"",_PENDIENTES!$C$492,"")</f>
        <v/>
      </c>
      <c r="D498" s="301">
        <f>IF(_PENDIENTES!$B$492&lt;&gt;"",_PENDIENTES!$D$492,"")</f>
        <v/>
      </c>
      <c r="E498" s="306">
        <f>IF(_PENDIENTES!$B$492&lt;&gt;"",_PENDIENTES!$E$492,"")</f>
        <v/>
      </c>
      <c r="F498" s="301">
        <f>IF(_PENDIENTES!$B$492&lt;&gt;"",_PENDIENTES!$F$492,"")</f>
        <v/>
      </c>
      <c r="G498" s="245">
        <f>IF(_PENDIENTES!$B$492&lt;&gt;"",_PENDIENTES!$G$492,"")</f>
        <v/>
      </c>
      <c r="H498" s="245">
        <f>IF(_PENDIENTES!$B$492&lt;&gt;"",_PENDIENTES!$H$492,"")</f>
        <v/>
      </c>
      <c r="I498" s="302">
        <f>IF(_PENDIENTES!$B$492&lt;&gt;"",_PENDIENTES!$I$492,"")</f>
        <v/>
      </c>
      <c r="J498" s="301">
        <f>IF(_PENDIENTES!$B$492&lt;&gt;"",_PENDIENTES!$J$492,"")</f>
        <v/>
      </c>
      <c r="K498" s="301">
        <f>IF(_PENDIENTES!$B$492&lt;&gt;"","POR RECOGER","")</f>
        <v/>
      </c>
      <c r="L498" s="301">
        <f>IF(_PENDIENTES!$B$492&lt;&gt;"",_PENDIENTES!$K$492,"")</f>
        <v/>
      </c>
      <c r="M498" s="284">
        <f>IF(_PENDIENTES!$B$492&lt;&gt;"",_PENDIENTES!$B$492,"")</f>
        <v/>
      </c>
      <c r="N498" s="304">
        <f>IF(_PENDIENTES!$B$492&lt;&gt;"",_PENDIENTES!$L$492,"")</f>
        <v/>
      </c>
      <c r="O498" s="284" t="n"/>
      <c r="P498" s="284" t="n"/>
      <c r="Q498" s="284" t="n"/>
      <c r="R498" s="284" t="n"/>
      <c r="S498" s="284" t="n"/>
    </row>
    <row r="499" hidden="1" ht="15.75" customHeight="1" s="195">
      <c r="A499" s="241">
        <f>IF(_PENDIENTES!$B$493&lt;&gt;"",492,"")</f>
        <v/>
      </c>
      <c r="B499" s="236">
        <f>IF(_PENDIENTES!$B$493&lt;&gt;"",_PENDIENTES!$A$493,"")</f>
        <v/>
      </c>
      <c r="C499" s="305">
        <f>IF(_PENDIENTES!$B$493&lt;&gt;"",_PENDIENTES!$C$493,"")</f>
        <v/>
      </c>
      <c r="D499" s="241">
        <f>IF(_PENDIENTES!$B$493&lt;&gt;"",_PENDIENTES!$D$493,"")</f>
        <v/>
      </c>
      <c r="E499" s="307">
        <f>IF(_PENDIENTES!$B$493&lt;&gt;"",_PENDIENTES!$E$493,"")</f>
        <v/>
      </c>
      <c r="F499" s="241">
        <f>IF(_PENDIENTES!$B$493&lt;&gt;"",_PENDIENTES!$F$493,"")</f>
        <v/>
      </c>
      <c r="G499" s="239">
        <f>IF(_PENDIENTES!$B$493&lt;&gt;"",_PENDIENTES!$G$493,"")</f>
        <v/>
      </c>
      <c r="H499" s="239">
        <f>IF(_PENDIENTES!$B$493&lt;&gt;"",_PENDIENTES!$H$493,"")</f>
        <v/>
      </c>
      <c r="I499" s="305">
        <f>IF(_PENDIENTES!$B$493&lt;&gt;"",_PENDIENTES!$I$493,"")</f>
        <v/>
      </c>
      <c r="J499" s="241">
        <f>IF(_PENDIENTES!$B$493&lt;&gt;"",_PENDIENTES!$J$493,"")</f>
        <v/>
      </c>
      <c r="K499" s="241">
        <f>IF(_PENDIENTES!$B$493&lt;&gt;"","POR RECOGER","")</f>
        <v/>
      </c>
      <c r="L499" s="241">
        <f>IF(_PENDIENTES!$B$493&lt;&gt;"",_PENDIENTES!$K$493,"")</f>
        <v/>
      </c>
      <c r="M499" s="284">
        <f>IF(_PENDIENTES!$B$493&lt;&gt;"",_PENDIENTES!$B$493,"")</f>
        <v/>
      </c>
      <c r="N499" s="304">
        <f>IF(_PENDIENTES!$B$493&lt;&gt;"",_PENDIENTES!$L$493,"")</f>
        <v/>
      </c>
      <c r="O499" s="284" t="n"/>
      <c r="P499" s="284" t="n"/>
      <c r="Q499" s="284" t="n"/>
      <c r="R499" s="284" t="n"/>
      <c r="S499" s="284" t="n"/>
    </row>
    <row r="500" hidden="1" ht="15.75" customHeight="1" s="195">
      <c r="A500" s="301">
        <f>IF(_PENDIENTES!$B$494&lt;&gt;"",493,"")</f>
        <v/>
      </c>
      <c r="B500" s="242">
        <f>IF(_PENDIENTES!$B$494&lt;&gt;"",_PENDIENTES!$A$494,"")</f>
        <v/>
      </c>
      <c r="C500" s="302">
        <f>IF(_PENDIENTES!$B$494&lt;&gt;"",_PENDIENTES!$C$494,"")</f>
        <v/>
      </c>
      <c r="D500" s="301">
        <f>IF(_PENDIENTES!$B$494&lt;&gt;"",_PENDIENTES!$D$494,"")</f>
        <v/>
      </c>
      <c r="E500" s="306">
        <f>IF(_PENDIENTES!$B$494&lt;&gt;"",_PENDIENTES!$E$494,"")</f>
        <v/>
      </c>
      <c r="F500" s="301">
        <f>IF(_PENDIENTES!$B$494&lt;&gt;"",_PENDIENTES!$F$494,"")</f>
        <v/>
      </c>
      <c r="G500" s="245">
        <f>IF(_PENDIENTES!$B$494&lt;&gt;"",_PENDIENTES!$G$494,"")</f>
        <v/>
      </c>
      <c r="H500" s="245">
        <f>IF(_PENDIENTES!$B$494&lt;&gt;"",_PENDIENTES!$H$494,"")</f>
        <v/>
      </c>
      <c r="I500" s="302">
        <f>IF(_PENDIENTES!$B$494&lt;&gt;"",_PENDIENTES!$I$494,"")</f>
        <v/>
      </c>
      <c r="J500" s="301">
        <f>IF(_PENDIENTES!$B$494&lt;&gt;"",_PENDIENTES!$J$494,"")</f>
        <v/>
      </c>
      <c r="K500" s="301">
        <f>IF(_PENDIENTES!$B$494&lt;&gt;"","POR RECOGER","")</f>
        <v/>
      </c>
      <c r="L500" s="301">
        <f>IF(_PENDIENTES!$B$494&lt;&gt;"",_PENDIENTES!$K$494,"")</f>
        <v/>
      </c>
      <c r="M500" s="284">
        <f>IF(_PENDIENTES!$B$494&lt;&gt;"",_PENDIENTES!$B$494,"")</f>
        <v/>
      </c>
      <c r="N500" s="304">
        <f>IF(_PENDIENTES!$B$494&lt;&gt;"",_PENDIENTES!$L$494,"")</f>
        <v/>
      </c>
      <c r="O500" s="284" t="n"/>
      <c r="P500" s="284" t="n"/>
      <c r="Q500" s="284" t="n"/>
      <c r="R500" s="284" t="n"/>
      <c r="S500" s="284" t="n"/>
    </row>
    <row r="501" hidden="1" ht="15.75" customHeight="1" s="195">
      <c r="A501" s="241">
        <f>IF(_PENDIENTES!$B$495&lt;&gt;"",494,"")</f>
        <v/>
      </c>
      <c r="B501" s="236">
        <f>IF(_PENDIENTES!$B$495&lt;&gt;"",_PENDIENTES!$A$495,"")</f>
        <v/>
      </c>
      <c r="C501" s="305">
        <f>IF(_PENDIENTES!$B$495&lt;&gt;"",_PENDIENTES!$C$495,"")</f>
        <v/>
      </c>
      <c r="D501" s="241">
        <f>IF(_PENDIENTES!$B$495&lt;&gt;"",_PENDIENTES!$D$495,"")</f>
        <v/>
      </c>
      <c r="E501" s="307">
        <f>IF(_PENDIENTES!$B$495&lt;&gt;"",_PENDIENTES!$E$495,"")</f>
        <v/>
      </c>
      <c r="F501" s="241">
        <f>IF(_PENDIENTES!$B$495&lt;&gt;"",_PENDIENTES!$F$495,"")</f>
        <v/>
      </c>
      <c r="G501" s="239">
        <f>IF(_PENDIENTES!$B$495&lt;&gt;"",_PENDIENTES!$G$495,"")</f>
        <v/>
      </c>
      <c r="H501" s="239">
        <f>IF(_PENDIENTES!$B$495&lt;&gt;"",_PENDIENTES!$H$495,"")</f>
        <v/>
      </c>
      <c r="I501" s="305">
        <f>IF(_PENDIENTES!$B$495&lt;&gt;"",_PENDIENTES!$I$495,"")</f>
        <v/>
      </c>
      <c r="J501" s="241">
        <f>IF(_PENDIENTES!$B$495&lt;&gt;"",_PENDIENTES!$J$495,"")</f>
        <v/>
      </c>
      <c r="K501" s="241">
        <f>IF(_PENDIENTES!$B$495&lt;&gt;"","POR RECOGER","")</f>
        <v/>
      </c>
      <c r="L501" s="241">
        <f>IF(_PENDIENTES!$B$495&lt;&gt;"",_PENDIENTES!$K$495,"")</f>
        <v/>
      </c>
      <c r="M501" s="284">
        <f>IF(_PENDIENTES!$B$495&lt;&gt;"",_PENDIENTES!$B$495,"")</f>
        <v/>
      </c>
      <c r="N501" s="304">
        <f>IF(_PENDIENTES!$B$495&lt;&gt;"",_PENDIENTES!$L$495,"")</f>
        <v/>
      </c>
      <c r="O501" s="284" t="n"/>
      <c r="P501" s="284" t="n"/>
      <c r="Q501" s="284" t="n"/>
      <c r="R501" s="284" t="n"/>
      <c r="S501" s="284" t="n"/>
    </row>
    <row r="502" hidden="1" ht="15.75" customHeight="1" s="195">
      <c r="A502" s="301">
        <f>IF(_PENDIENTES!$B$496&lt;&gt;"",495,"")</f>
        <v/>
      </c>
      <c r="B502" s="242">
        <f>IF(_PENDIENTES!$B$496&lt;&gt;"",_PENDIENTES!$A$496,"")</f>
        <v/>
      </c>
      <c r="C502" s="302">
        <f>IF(_PENDIENTES!$B$496&lt;&gt;"",_PENDIENTES!$C$496,"")</f>
        <v/>
      </c>
      <c r="D502" s="301">
        <f>IF(_PENDIENTES!$B$496&lt;&gt;"",_PENDIENTES!$D$496,"")</f>
        <v/>
      </c>
      <c r="E502" s="306">
        <f>IF(_PENDIENTES!$B$496&lt;&gt;"",_PENDIENTES!$E$496,"")</f>
        <v/>
      </c>
      <c r="F502" s="301">
        <f>IF(_PENDIENTES!$B$496&lt;&gt;"",_PENDIENTES!$F$496,"")</f>
        <v/>
      </c>
      <c r="G502" s="245">
        <f>IF(_PENDIENTES!$B$496&lt;&gt;"",_PENDIENTES!$G$496,"")</f>
        <v/>
      </c>
      <c r="H502" s="245">
        <f>IF(_PENDIENTES!$B$496&lt;&gt;"",_PENDIENTES!$H$496,"")</f>
        <v/>
      </c>
      <c r="I502" s="302">
        <f>IF(_PENDIENTES!$B$496&lt;&gt;"",_PENDIENTES!$I$496,"")</f>
        <v/>
      </c>
      <c r="J502" s="301">
        <f>IF(_PENDIENTES!$B$496&lt;&gt;"",_PENDIENTES!$J$496,"")</f>
        <v/>
      </c>
      <c r="K502" s="301">
        <f>IF(_PENDIENTES!$B$496&lt;&gt;"","POR RECOGER","")</f>
        <v/>
      </c>
      <c r="L502" s="301">
        <f>IF(_PENDIENTES!$B$496&lt;&gt;"",_PENDIENTES!$K$496,"")</f>
        <v/>
      </c>
      <c r="M502" s="284">
        <f>IF(_PENDIENTES!$B$496&lt;&gt;"",_PENDIENTES!$B$496,"")</f>
        <v/>
      </c>
      <c r="N502" s="304">
        <f>IF(_PENDIENTES!$B$496&lt;&gt;"",_PENDIENTES!$L$496,"")</f>
        <v/>
      </c>
      <c r="O502" s="284" t="n"/>
      <c r="P502" s="284" t="n"/>
      <c r="Q502" s="284" t="n"/>
      <c r="R502" s="284" t="n"/>
      <c r="S502" s="284" t="n"/>
    </row>
    <row r="503" hidden="1" ht="15.75" customHeight="1" s="195">
      <c r="A503" s="241">
        <f>IF(_PENDIENTES!$B$497&lt;&gt;"",496,"")</f>
        <v/>
      </c>
      <c r="B503" s="236">
        <f>IF(_PENDIENTES!$B$497&lt;&gt;"",_PENDIENTES!$A$497,"")</f>
        <v/>
      </c>
      <c r="C503" s="305">
        <f>IF(_PENDIENTES!$B$497&lt;&gt;"",_PENDIENTES!$C$497,"")</f>
        <v/>
      </c>
      <c r="D503" s="241">
        <f>IF(_PENDIENTES!$B$497&lt;&gt;"",_PENDIENTES!$D$497,"")</f>
        <v/>
      </c>
      <c r="E503" s="307">
        <f>IF(_PENDIENTES!$B$497&lt;&gt;"",_PENDIENTES!$E$497,"")</f>
        <v/>
      </c>
      <c r="F503" s="241">
        <f>IF(_PENDIENTES!$B$497&lt;&gt;"",_PENDIENTES!$F$497,"")</f>
        <v/>
      </c>
      <c r="G503" s="239">
        <f>IF(_PENDIENTES!$B$497&lt;&gt;"",_PENDIENTES!$G$497,"")</f>
        <v/>
      </c>
      <c r="H503" s="239">
        <f>IF(_PENDIENTES!$B$497&lt;&gt;"",_PENDIENTES!$H$497,"")</f>
        <v/>
      </c>
      <c r="I503" s="305">
        <f>IF(_PENDIENTES!$B$497&lt;&gt;"",_PENDIENTES!$I$497,"")</f>
        <v/>
      </c>
      <c r="J503" s="241">
        <f>IF(_PENDIENTES!$B$497&lt;&gt;"",_PENDIENTES!$J$497,"")</f>
        <v/>
      </c>
      <c r="K503" s="241">
        <f>IF(_PENDIENTES!$B$497&lt;&gt;"","POR RECOGER","")</f>
        <v/>
      </c>
      <c r="L503" s="241">
        <f>IF(_PENDIENTES!$B$497&lt;&gt;"",_PENDIENTES!$K$497,"")</f>
        <v/>
      </c>
      <c r="M503" s="284">
        <f>IF(_PENDIENTES!$B$497&lt;&gt;"",_PENDIENTES!$B$497,"")</f>
        <v/>
      </c>
      <c r="N503" s="304">
        <f>IF(_PENDIENTES!$B$497&lt;&gt;"",_PENDIENTES!$L$497,"")</f>
        <v/>
      </c>
      <c r="O503" s="284" t="n"/>
      <c r="P503" s="284" t="n"/>
      <c r="Q503" s="284" t="n"/>
      <c r="R503" s="284" t="n"/>
      <c r="S503" s="284" t="n"/>
    </row>
    <row r="504" hidden="1" ht="15.75" customHeight="1" s="195">
      <c r="A504" s="301">
        <f>IF(_PENDIENTES!$B$498&lt;&gt;"",497,"")</f>
        <v/>
      </c>
      <c r="B504" s="242">
        <f>IF(_PENDIENTES!$B$498&lt;&gt;"",_PENDIENTES!$A$498,"")</f>
        <v/>
      </c>
      <c r="C504" s="302">
        <f>IF(_PENDIENTES!$B$498&lt;&gt;"",_PENDIENTES!$C$498,"")</f>
        <v/>
      </c>
      <c r="D504" s="301">
        <f>IF(_PENDIENTES!$B$498&lt;&gt;"",_PENDIENTES!$D$498,"")</f>
        <v/>
      </c>
      <c r="E504" s="306">
        <f>IF(_PENDIENTES!$B$498&lt;&gt;"",_PENDIENTES!$E$498,"")</f>
        <v/>
      </c>
      <c r="F504" s="301">
        <f>IF(_PENDIENTES!$B$498&lt;&gt;"",_PENDIENTES!$F$498,"")</f>
        <v/>
      </c>
      <c r="G504" s="245">
        <f>IF(_PENDIENTES!$B$498&lt;&gt;"",_PENDIENTES!$G$498,"")</f>
        <v/>
      </c>
      <c r="H504" s="245">
        <f>IF(_PENDIENTES!$B$498&lt;&gt;"",_PENDIENTES!$H$498,"")</f>
        <v/>
      </c>
      <c r="I504" s="302">
        <f>IF(_PENDIENTES!$B$498&lt;&gt;"",_PENDIENTES!$I$498,"")</f>
        <v/>
      </c>
      <c r="J504" s="301">
        <f>IF(_PENDIENTES!$B$498&lt;&gt;"",_PENDIENTES!$J$498,"")</f>
        <v/>
      </c>
      <c r="K504" s="301">
        <f>IF(_PENDIENTES!$B$498&lt;&gt;"","POR RECOGER","")</f>
        <v/>
      </c>
      <c r="L504" s="301">
        <f>IF(_PENDIENTES!$B$498&lt;&gt;"",_PENDIENTES!$K$498,"")</f>
        <v/>
      </c>
      <c r="M504" s="284">
        <f>IF(_PENDIENTES!$B$498&lt;&gt;"",_PENDIENTES!$B$498,"")</f>
        <v/>
      </c>
      <c r="N504" s="304">
        <f>IF(_PENDIENTES!$B$498&lt;&gt;"",_PENDIENTES!$L$498,"")</f>
        <v/>
      </c>
      <c r="O504" s="284" t="n"/>
      <c r="P504" s="284" t="n"/>
      <c r="Q504" s="284" t="n"/>
      <c r="R504" s="284" t="n"/>
      <c r="S504" s="284" t="n"/>
    </row>
    <row r="505" hidden="1" ht="15.75" customHeight="1" s="195">
      <c r="A505" s="241">
        <f>IF(_PENDIENTES!$B$499&lt;&gt;"",498,"")</f>
        <v/>
      </c>
      <c r="B505" s="236">
        <f>IF(_PENDIENTES!$B$499&lt;&gt;"",_PENDIENTES!$A$499,"")</f>
        <v/>
      </c>
      <c r="C505" s="305">
        <f>IF(_PENDIENTES!$B$499&lt;&gt;"",_PENDIENTES!$C$499,"")</f>
        <v/>
      </c>
      <c r="D505" s="241">
        <f>IF(_PENDIENTES!$B$499&lt;&gt;"",_PENDIENTES!$D$499,"")</f>
        <v/>
      </c>
      <c r="E505" s="307">
        <f>IF(_PENDIENTES!$B$499&lt;&gt;"",_PENDIENTES!$E$499,"")</f>
        <v/>
      </c>
      <c r="F505" s="241">
        <f>IF(_PENDIENTES!$B$499&lt;&gt;"",_PENDIENTES!$F$499,"")</f>
        <v/>
      </c>
      <c r="G505" s="239">
        <f>IF(_PENDIENTES!$B$499&lt;&gt;"",_PENDIENTES!$G$499,"")</f>
        <v/>
      </c>
      <c r="H505" s="239">
        <f>IF(_PENDIENTES!$B$499&lt;&gt;"",_PENDIENTES!$H$499,"")</f>
        <v/>
      </c>
      <c r="I505" s="305">
        <f>IF(_PENDIENTES!$B$499&lt;&gt;"",_PENDIENTES!$I$499,"")</f>
        <v/>
      </c>
      <c r="J505" s="241">
        <f>IF(_PENDIENTES!$B$499&lt;&gt;"",_PENDIENTES!$J$499,"")</f>
        <v/>
      </c>
      <c r="K505" s="241">
        <f>IF(_PENDIENTES!$B$499&lt;&gt;"","POR RECOGER","")</f>
        <v/>
      </c>
      <c r="L505" s="241">
        <f>IF(_PENDIENTES!$B$499&lt;&gt;"",_PENDIENTES!$K$499,"")</f>
        <v/>
      </c>
      <c r="M505" s="284">
        <f>IF(_PENDIENTES!$B$499&lt;&gt;"",_PENDIENTES!$B$499,"")</f>
        <v/>
      </c>
      <c r="N505" s="304">
        <f>IF(_PENDIENTES!$B$499&lt;&gt;"",_PENDIENTES!$L$499,"")</f>
        <v/>
      </c>
      <c r="O505" s="284" t="n"/>
      <c r="P505" s="284" t="n"/>
      <c r="Q505" s="284" t="n"/>
      <c r="R505" s="284" t="n"/>
      <c r="S505" s="284" t="n"/>
    </row>
    <row r="506" hidden="1" ht="15.75" customHeight="1" s="195">
      <c r="A506" s="301">
        <f>IF(_PENDIENTES!$B$500&lt;&gt;"",499,"")</f>
        <v/>
      </c>
      <c r="B506" s="242">
        <f>IF(_PENDIENTES!$B$500&lt;&gt;"",_PENDIENTES!$A$500,"")</f>
        <v/>
      </c>
      <c r="C506" s="302">
        <f>IF(_PENDIENTES!$B$500&lt;&gt;"",_PENDIENTES!$C$500,"")</f>
        <v/>
      </c>
      <c r="D506" s="301">
        <f>IF(_PENDIENTES!$B$500&lt;&gt;"",_PENDIENTES!$D$500,"")</f>
        <v/>
      </c>
      <c r="E506" s="306">
        <f>IF(_PENDIENTES!$B$500&lt;&gt;"",_PENDIENTES!$E$500,"")</f>
        <v/>
      </c>
      <c r="F506" s="301">
        <f>IF(_PENDIENTES!$B$500&lt;&gt;"",_PENDIENTES!$F$500,"")</f>
        <v/>
      </c>
      <c r="G506" s="245">
        <f>IF(_PENDIENTES!$B$500&lt;&gt;"",_PENDIENTES!$G$500,"")</f>
        <v/>
      </c>
      <c r="H506" s="245">
        <f>IF(_PENDIENTES!$B$500&lt;&gt;"",_PENDIENTES!$H$500,"")</f>
        <v/>
      </c>
      <c r="I506" s="302">
        <f>IF(_PENDIENTES!$B$500&lt;&gt;"",_PENDIENTES!$I$500,"")</f>
        <v/>
      </c>
      <c r="J506" s="301">
        <f>IF(_PENDIENTES!$B$500&lt;&gt;"",_PENDIENTES!$J$500,"")</f>
        <v/>
      </c>
      <c r="K506" s="301">
        <f>IF(_PENDIENTES!$B$500&lt;&gt;"","POR RECOGER","")</f>
        <v/>
      </c>
      <c r="L506" s="301">
        <f>IF(_PENDIENTES!$B$500&lt;&gt;"",_PENDIENTES!$K$500,"")</f>
        <v/>
      </c>
      <c r="M506" s="284">
        <f>IF(_PENDIENTES!$B$500&lt;&gt;"",_PENDIENTES!$B$500,"")</f>
        <v/>
      </c>
      <c r="N506" s="304">
        <f>IF(_PENDIENTES!$B$500&lt;&gt;"",_PENDIENTES!$L$500,"")</f>
        <v/>
      </c>
      <c r="O506" s="284" t="n"/>
      <c r="P506" s="284" t="n"/>
      <c r="Q506" s="284" t="n"/>
      <c r="R506" s="284" t="n"/>
      <c r="S506" s="284" t="n"/>
    </row>
    <row r="507" hidden="1" ht="15.75" customHeight="1" s="195">
      <c r="A507" s="241">
        <f>IF(_PENDIENTES!$B$501&lt;&gt;"",500,"")</f>
        <v/>
      </c>
      <c r="B507" s="236">
        <f>IF(_PENDIENTES!$B$501&lt;&gt;"",_PENDIENTES!$A$501,"")</f>
        <v/>
      </c>
      <c r="C507" s="305">
        <f>IF(_PENDIENTES!$B$501&lt;&gt;"",_PENDIENTES!$C$501,"")</f>
        <v/>
      </c>
      <c r="D507" s="241">
        <f>IF(_PENDIENTES!$B$501&lt;&gt;"",_PENDIENTES!$D$501,"")</f>
        <v/>
      </c>
      <c r="E507" s="307">
        <f>IF(_PENDIENTES!$B$501&lt;&gt;"",_PENDIENTES!$E$501,"")</f>
        <v/>
      </c>
      <c r="F507" s="241">
        <f>IF(_PENDIENTES!$B$501&lt;&gt;"",_PENDIENTES!$F$501,"")</f>
        <v/>
      </c>
      <c r="G507" s="239">
        <f>IF(_PENDIENTES!$B$501&lt;&gt;"",_PENDIENTES!$G$501,"")</f>
        <v/>
      </c>
      <c r="H507" s="239">
        <f>IF(_PENDIENTES!$B$501&lt;&gt;"",_PENDIENTES!$H$501,"")</f>
        <v/>
      </c>
      <c r="I507" s="305">
        <f>IF(_PENDIENTES!$B$501&lt;&gt;"",_PENDIENTES!$I$501,"")</f>
        <v/>
      </c>
      <c r="J507" s="241">
        <f>IF(_PENDIENTES!$B$501&lt;&gt;"",_PENDIENTES!$J$501,"")</f>
        <v/>
      </c>
      <c r="K507" s="241">
        <f>IF(_PENDIENTES!$B$501&lt;&gt;"","POR RECOGER","")</f>
        <v/>
      </c>
      <c r="L507" s="241">
        <f>IF(_PENDIENTES!$B$501&lt;&gt;"",_PENDIENTES!$K$501,"")</f>
        <v/>
      </c>
      <c r="M507" s="284">
        <f>IF(_PENDIENTES!$B$501&lt;&gt;"",_PENDIENTES!$B$501,"")</f>
        <v/>
      </c>
      <c r="N507" s="304">
        <f>IF(_PENDIENTES!$B$501&lt;&gt;"",_PENDIENTES!$L$501,"")</f>
        <v/>
      </c>
      <c r="O507" s="284" t="n"/>
      <c r="P507" s="284" t="n"/>
      <c r="Q507" s="284" t="n"/>
      <c r="R507" s="284" t="n"/>
      <c r="S507" s="284" t="n"/>
    </row>
    <row r="508" hidden="1" ht="15.75" customHeight="1" s="195">
      <c r="A508" s="301">
        <f>IF(_PENDIENTES!$B$502&lt;&gt;"",501,"")</f>
        <v/>
      </c>
      <c r="B508" s="242">
        <f>IF(_PENDIENTES!$B$502&lt;&gt;"",_PENDIENTES!$A$502,"")</f>
        <v/>
      </c>
      <c r="C508" s="302">
        <f>IF(_PENDIENTES!$B$502&lt;&gt;"",_PENDIENTES!$C$502,"")</f>
        <v/>
      </c>
      <c r="D508" s="301">
        <f>IF(_PENDIENTES!$B$502&lt;&gt;"",_PENDIENTES!$D$502,"")</f>
        <v/>
      </c>
      <c r="E508" s="306">
        <f>IF(_PENDIENTES!$B$502&lt;&gt;"",_PENDIENTES!$E$502,"")</f>
        <v/>
      </c>
      <c r="F508" s="301">
        <f>IF(_PENDIENTES!$B$502&lt;&gt;"",_PENDIENTES!$F$502,"")</f>
        <v/>
      </c>
      <c r="G508" s="245">
        <f>IF(_PENDIENTES!$B$502&lt;&gt;"",_PENDIENTES!$G$502,"")</f>
        <v/>
      </c>
      <c r="H508" s="245">
        <f>IF(_PENDIENTES!$B$502&lt;&gt;"",_PENDIENTES!$H$502,"")</f>
        <v/>
      </c>
      <c r="I508" s="302">
        <f>IF(_PENDIENTES!$B$502&lt;&gt;"",_PENDIENTES!$I$502,"")</f>
        <v/>
      </c>
      <c r="J508" s="301">
        <f>IF(_PENDIENTES!$B$502&lt;&gt;"",_PENDIENTES!$J$502,"")</f>
        <v/>
      </c>
      <c r="K508" s="301">
        <f>IF(_PENDIENTES!$B$502&lt;&gt;"","POR RECOGER","")</f>
        <v/>
      </c>
      <c r="L508" s="301">
        <f>IF(_PENDIENTES!$B$502&lt;&gt;"",_PENDIENTES!$K$502,"")</f>
        <v/>
      </c>
      <c r="M508" s="284">
        <f>IF(_PENDIENTES!$B$502&lt;&gt;"",_PENDIENTES!$B$502,"")</f>
        <v/>
      </c>
      <c r="N508" s="304">
        <f>IF(_PENDIENTES!$B$502&lt;&gt;"",_PENDIENTES!$L$502,"")</f>
        <v/>
      </c>
      <c r="O508" s="284" t="n"/>
      <c r="P508" s="284" t="n"/>
      <c r="Q508" s="284" t="n"/>
      <c r="R508" s="284" t="n"/>
      <c r="S508" s="284" t="n"/>
    </row>
    <row r="509" hidden="1" ht="15.75" customHeight="1" s="195">
      <c r="A509" s="241">
        <f>IF(_PENDIENTES!$B$503&lt;&gt;"",502,"")</f>
        <v/>
      </c>
      <c r="B509" s="236">
        <f>IF(_PENDIENTES!$B$503&lt;&gt;"",_PENDIENTES!$A$503,"")</f>
        <v/>
      </c>
      <c r="C509" s="305">
        <f>IF(_PENDIENTES!$B$503&lt;&gt;"",_PENDIENTES!$C$503,"")</f>
        <v/>
      </c>
      <c r="D509" s="241">
        <f>IF(_PENDIENTES!$B$503&lt;&gt;"",_PENDIENTES!$D$503,"")</f>
        <v/>
      </c>
      <c r="E509" s="307">
        <f>IF(_PENDIENTES!$B$503&lt;&gt;"",_PENDIENTES!$E$503,"")</f>
        <v/>
      </c>
      <c r="F509" s="241">
        <f>IF(_PENDIENTES!$B$503&lt;&gt;"",_PENDIENTES!$F$503,"")</f>
        <v/>
      </c>
      <c r="G509" s="239">
        <f>IF(_PENDIENTES!$B$503&lt;&gt;"",_PENDIENTES!$G$503,"")</f>
        <v/>
      </c>
      <c r="H509" s="239">
        <f>IF(_PENDIENTES!$B$503&lt;&gt;"",_PENDIENTES!$H$503,"")</f>
        <v/>
      </c>
      <c r="I509" s="305">
        <f>IF(_PENDIENTES!$B$503&lt;&gt;"",_PENDIENTES!$I$503,"")</f>
        <v/>
      </c>
      <c r="J509" s="241">
        <f>IF(_PENDIENTES!$B$503&lt;&gt;"",_PENDIENTES!$J$503,"")</f>
        <v/>
      </c>
      <c r="K509" s="241">
        <f>IF(_PENDIENTES!$B$503&lt;&gt;"","POR RECOGER","")</f>
        <v/>
      </c>
      <c r="L509" s="241">
        <f>IF(_PENDIENTES!$B$503&lt;&gt;"",_PENDIENTES!$K$503,"")</f>
        <v/>
      </c>
      <c r="M509" s="284">
        <f>IF(_PENDIENTES!$B$503&lt;&gt;"",_PENDIENTES!$B$503,"")</f>
        <v/>
      </c>
      <c r="N509" s="304">
        <f>IF(_PENDIENTES!$B$503&lt;&gt;"",_PENDIENTES!$L$503,"")</f>
        <v/>
      </c>
      <c r="O509" s="284" t="n"/>
      <c r="P509" s="284" t="n"/>
      <c r="Q509" s="284" t="n"/>
      <c r="R509" s="284" t="n"/>
      <c r="S509" s="284" t="n"/>
    </row>
    <row r="510" hidden="1" ht="15.75" customHeight="1" s="195">
      <c r="A510" s="301">
        <f>IF(_PENDIENTES!$B$504&lt;&gt;"",503,"")</f>
        <v/>
      </c>
      <c r="B510" s="242">
        <f>IF(_PENDIENTES!$B$504&lt;&gt;"",_PENDIENTES!$A$504,"")</f>
        <v/>
      </c>
      <c r="C510" s="302">
        <f>IF(_PENDIENTES!$B$504&lt;&gt;"",_PENDIENTES!$C$504,"")</f>
        <v/>
      </c>
      <c r="D510" s="301">
        <f>IF(_PENDIENTES!$B$504&lt;&gt;"",_PENDIENTES!$D$504,"")</f>
        <v/>
      </c>
      <c r="E510" s="306">
        <f>IF(_PENDIENTES!$B$504&lt;&gt;"",_PENDIENTES!$E$504,"")</f>
        <v/>
      </c>
      <c r="F510" s="301">
        <f>IF(_PENDIENTES!$B$504&lt;&gt;"",_PENDIENTES!$F$504,"")</f>
        <v/>
      </c>
      <c r="G510" s="245">
        <f>IF(_PENDIENTES!$B$504&lt;&gt;"",_PENDIENTES!$G$504,"")</f>
        <v/>
      </c>
      <c r="H510" s="245">
        <f>IF(_PENDIENTES!$B$504&lt;&gt;"",_PENDIENTES!$H$504,"")</f>
        <v/>
      </c>
      <c r="I510" s="302">
        <f>IF(_PENDIENTES!$B$504&lt;&gt;"",_PENDIENTES!$I$504,"")</f>
        <v/>
      </c>
      <c r="J510" s="301">
        <f>IF(_PENDIENTES!$B$504&lt;&gt;"",_PENDIENTES!$J$504,"")</f>
        <v/>
      </c>
      <c r="K510" s="301">
        <f>IF(_PENDIENTES!$B$504&lt;&gt;"","POR RECOGER","")</f>
        <v/>
      </c>
      <c r="L510" s="301">
        <f>IF(_PENDIENTES!$B$504&lt;&gt;"",_PENDIENTES!$K$504,"")</f>
        <v/>
      </c>
      <c r="M510" s="284">
        <f>IF(_PENDIENTES!$B$504&lt;&gt;"",_PENDIENTES!$B$504,"")</f>
        <v/>
      </c>
      <c r="N510" s="304">
        <f>IF(_PENDIENTES!$B$504&lt;&gt;"",_PENDIENTES!$L$504,"")</f>
        <v/>
      </c>
      <c r="O510" s="284" t="n"/>
      <c r="P510" s="284" t="n"/>
      <c r="Q510" s="284" t="n"/>
      <c r="R510" s="284" t="n"/>
      <c r="S510" s="284" t="n"/>
    </row>
    <row r="511" hidden="1" ht="15.75" customHeight="1" s="195">
      <c r="A511" s="241">
        <f>IF(_PENDIENTES!$B$505&lt;&gt;"",504,"")</f>
        <v/>
      </c>
      <c r="B511" s="236">
        <f>IF(_PENDIENTES!$B$505&lt;&gt;"",_PENDIENTES!$A$505,"")</f>
        <v/>
      </c>
      <c r="C511" s="305">
        <f>IF(_PENDIENTES!$B$505&lt;&gt;"",_PENDIENTES!$C$505,"")</f>
        <v/>
      </c>
      <c r="D511" s="241">
        <f>IF(_PENDIENTES!$B$505&lt;&gt;"",_PENDIENTES!$D$505,"")</f>
        <v/>
      </c>
      <c r="E511" s="307">
        <f>IF(_PENDIENTES!$B$505&lt;&gt;"",_PENDIENTES!$E$505,"")</f>
        <v/>
      </c>
      <c r="F511" s="241">
        <f>IF(_PENDIENTES!$B$505&lt;&gt;"",_PENDIENTES!$F$505,"")</f>
        <v/>
      </c>
      <c r="G511" s="239">
        <f>IF(_PENDIENTES!$B$505&lt;&gt;"",_PENDIENTES!$G$505,"")</f>
        <v/>
      </c>
      <c r="H511" s="239">
        <f>IF(_PENDIENTES!$B$505&lt;&gt;"",_PENDIENTES!$H$505,"")</f>
        <v/>
      </c>
      <c r="I511" s="305">
        <f>IF(_PENDIENTES!$B$505&lt;&gt;"",_PENDIENTES!$I$505,"")</f>
        <v/>
      </c>
      <c r="J511" s="241">
        <f>IF(_PENDIENTES!$B$505&lt;&gt;"",_PENDIENTES!$J$505,"")</f>
        <v/>
      </c>
      <c r="K511" s="241">
        <f>IF(_PENDIENTES!$B$505&lt;&gt;"","POR RECOGER","")</f>
        <v/>
      </c>
      <c r="L511" s="241">
        <f>IF(_PENDIENTES!$B$505&lt;&gt;"",_PENDIENTES!$K$505,"")</f>
        <v/>
      </c>
      <c r="M511" s="284">
        <f>IF(_PENDIENTES!$B$505&lt;&gt;"",_PENDIENTES!$B$505,"")</f>
        <v/>
      </c>
      <c r="N511" s="304">
        <f>IF(_PENDIENTES!$B$505&lt;&gt;"",_PENDIENTES!$L$505,"")</f>
        <v/>
      </c>
      <c r="O511" s="284" t="n"/>
      <c r="P511" s="284" t="n"/>
      <c r="Q511" s="284" t="n"/>
      <c r="R511" s="284" t="n"/>
      <c r="S511" s="284" t="n"/>
    </row>
    <row r="512" hidden="1" ht="15.75" customHeight="1" s="195">
      <c r="A512" s="301">
        <f>IF(_PENDIENTES!$B$506&lt;&gt;"",505,"")</f>
        <v/>
      </c>
      <c r="B512" s="242">
        <f>IF(_PENDIENTES!$B$506&lt;&gt;"",_PENDIENTES!$A$506,"")</f>
        <v/>
      </c>
      <c r="C512" s="302">
        <f>IF(_PENDIENTES!$B$506&lt;&gt;"",_PENDIENTES!$C$506,"")</f>
        <v/>
      </c>
      <c r="D512" s="301">
        <f>IF(_PENDIENTES!$B$506&lt;&gt;"",_PENDIENTES!$D$506,"")</f>
        <v/>
      </c>
      <c r="E512" s="306">
        <f>IF(_PENDIENTES!$B$506&lt;&gt;"",_PENDIENTES!$E$506,"")</f>
        <v/>
      </c>
      <c r="F512" s="301">
        <f>IF(_PENDIENTES!$B$506&lt;&gt;"",_PENDIENTES!$F$506,"")</f>
        <v/>
      </c>
      <c r="G512" s="245">
        <f>IF(_PENDIENTES!$B$506&lt;&gt;"",_PENDIENTES!$G$506,"")</f>
        <v/>
      </c>
      <c r="H512" s="245">
        <f>IF(_PENDIENTES!$B$506&lt;&gt;"",_PENDIENTES!$H$506,"")</f>
        <v/>
      </c>
      <c r="I512" s="302">
        <f>IF(_PENDIENTES!$B$506&lt;&gt;"",_PENDIENTES!$I$506,"")</f>
        <v/>
      </c>
      <c r="J512" s="301">
        <f>IF(_PENDIENTES!$B$506&lt;&gt;"",_PENDIENTES!$J$506,"")</f>
        <v/>
      </c>
      <c r="K512" s="301">
        <f>IF(_PENDIENTES!$B$506&lt;&gt;"","POR RECOGER","")</f>
        <v/>
      </c>
      <c r="L512" s="301">
        <f>IF(_PENDIENTES!$B$506&lt;&gt;"",_PENDIENTES!$K$506,"")</f>
        <v/>
      </c>
      <c r="M512" s="284">
        <f>IF(_PENDIENTES!$B$506&lt;&gt;"",_PENDIENTES!$B$506,"")</f>
        <v/>
      </c>
      <c r="N512" s="304">
        <f>IF(_PENDIENTES!$B$506&lt;&gt;"",_PENDIENTES!$L$506,"")</f>
        <v/>
      </c>
      <c r="O512" s="284" t="n"/>
      <c r="P512" s="284" t="n"/>
      <c r="Q512" s="284" t="n"/>
      <c r="R512" s="284" t="n"/>
      <c r="S512" s="284" t="n"/>
    </row>
    <row r="513" hidden="1" ht="15.75" customHeight="1" s="195">
      <c r="A513" s="241">
        <f>IF(_PENDIENTES!$B$507&lt;&gt;"",506,"")</f>
        <v/>
      </c>
      <c r="B513" s="236">
        <f>IF(_PENDIENTES!$B$507&lt;&gt;"",_PENDIENTES!$A$507,"")</f>
        <v/>
      </c>
      <c r="C513" s="305">
        <f>IF(_PENDIENTES!$B$507&lt;&gt;"",_PENDIENTES!$C$507,"")</f>
        <v/>
      </c>
      <c r="D513" s="241">
        <f>IF(_PENDIENTES!$B$507&lt;&gt;"",_PENDIENTES!$D$507,"")</f>
        <v/>
      </c>
      <c r="E513" s="307">
        <f>IF(_PENDIENTES!$B$507&lt;&gt;"",_PENDIENTES!$E$507,"")</f>
        <v/>
      </c>
      <c r="F513" s="241">
        <f>IF(_PENDIENTES!$B$507&lt;&gt;"",_PENDIENTES!$F$507,"")</f>
        <v/>
      </c>
      <c r="G513" s="239">
        <f>IF(_PENDIENTES!$B$507&lt;&gt;"",_PENDIENTES!$G$507,"")</f>
        <v/>
      </c>
      <c r="H513" s="239">
        <f>IF(_PENDIENTES!$B$507&lt;&gt;"",_PENDIENTES!$H$507,"")</f>
        <v/>
      </c>
      <c r="I513" s="305">
        <f>IF(_PENDIENTES!$B$507&lt;&gt;"",_PENDIENTES!$I$507,"")</f>
        <v/>
      </c>
      <c r="J513" s="241">
        <f>IF(_PENDIENTES!$B$507&lt;&gt;"",_PENDIENTES!$J$507,"")</f>
        <v/>
      </c>
      <c r="K513" s="241">
        <f>IF(_PENDIENTES!$B$507&lt;&gt;"","POR RECOGER","")</f>
        <v/>
      </c>
      <c r="L513" s="241">
        <f>IF(_PENDIENTES!$B$507&lt;&gt;"",_PENDIENTES!$K$507,"")</f>
        <v/>
      </c>
      <c r="M513" s="284">
        <f>IF(_PENDIENTES!$B$507&lt;&gt;"",_PENDIENTES!$B$507,"")</f>
        <v/>
      </c>
      <c r="N513" s="304">
        <f>IF(_PENDIENTES!$B$507&lt;&gt;"",_PENDIENTES!$L$507,"")</f>
        <v/>
      </c>
      <c r="O513" s="284" t="n"/>
      <c r="P513" s="284" t="n"/>
      <c r="Q513" s="284" t="n"/>
      <c r="R513" s="284" t="n"/>
      <c r="S513" s="284" t="n"/>
    </row>
    <row r="514" hidden="1" ht="15.75" customHeight="1" s="195">
      <c r="A514" s="301">
        <f>IF(_PENDIENTES!$B$508&lt;&gt;"",507,"")</f>
        <v/>
      </c>
      <c r="B514" s="242">
        <f>IF(_PENDIENTES!$B$508&lt;&gt;"",_PENDIENTES!$A$508,"")</f>
        <v/>
      </c>
      <c r="C514" s="302">
        <f>IF(_PENDIENTES!$B$508&lt;&gt;"",_PENDIENTES!$C$508,"")</f>
        <v/>
      </c>
      <c r="D514" s="301">
        <f>IF(_PENDIENTES!$B$508&lt;&gt;"",_PENDIENTES!$D$508,"")</f>
        <v/>
      </c>
      <c r="E514" s="306">
        <f>IF(_PENDIENTES!$B$508&lt;&gt;"",_PENDIENTES!$E$508,"")</f>
        <v/>
      </c>
      <c r="F514" s="301">
        <f>IF(_PENDIENTES!$B$508&lt;&gt;"",_PENDIENTES!$F$508,"")</f>
        <v/>
      </c>
      <c r="G514" s="245">
        <f>IF(_PENDIENTES!$B$508&lt;&gt;"",_PENDIENTES!$G$508,"")</f>
        <v/>
      </c>
      <c r="H514" s="245">
        <f>IF(_PENDIENTES!$B$508&lt;&gt;"",_PENDIENTES!$H$508,"")</f>
        <v/>
      </c>
      <c r="I514" s="302">
        <f>IF(_PENDIENTES!$B$508&lt;&gt;"",_PENDIENTES!$I$508,"")</f>
        <v/>
      </c>
      <c r="J514" s="301">
        <f>IF(_PENDIENTES!$B$508&lt;&gt;"",_PENDIENTES!$J$508,"")</f>
        <v/>
      </c>
      <c r="K514" s="301">
        <f>IF(_PENDIENTES!$B$508&lt;&gt;"","POR RECOGER","")</f>
        <v/>
      </c>
      <c r="L514" s="301">
        <f>IF(_PENDIENTES!$B$508&lt;&gt;"",_PENDIENTES!$K$508,"")</f>
        <v/>
      </c>
      <c r="M514" s="284">
        <f>IF(_PENDIENTES!$B$508&lt;&gt;"",_PENDIENTES!$B$508,"")</f>
        <v/>
      </c>
      <c r="N514" s="304">
        <f>IF(_PENDIENTES!$B$508&lt;&gt;"",_PENDIENTES!$L$508,"")</f>
        <v/>
      </c>
      <c r="O514" s="284" t="n"/>
      <c r="P514" s="284" t="n"/>
      <c r="Q514" s="284" t="n"/>
      <c r="R514" s="284" t="n"/>
      <c r="S514" s="284" t="n"/>
    </row>
    <row r="515" hidden="1" ht="15.75" customHeight="1" s="195">
      <c r="A515" s="241">
        <f>IF(_PENDIENTES!$B$509&lt;&gt;"",508,"")</f>
        <v/>
      </c>
      <c r="B515" s="236">
        <f>IF(_PENDIENTES!$B$509&lt;&gt;"",_PENDIENTES!$A$509,"")</f>
        <v/>
      </c>
      <c r="C515" s="305">
        <f>IF(_PENDIENTES!$B$509&lt;&gt;"",_PENDIENTES!$C$509,"")</f>
        <v/>
      </c>
      <c r="D515" s="241">
        <f>IF(_PENDIENTES!$B$509&lt;&gt;"",_PENDIENTES!$D$509,"")</f>
        <v/>
      </c>
      <c r="E515" s="307">
        <f>IF(_PENDIENTES!$B$509&lt;&gt;"",_PENDIENTES!$E$509,"")</f>
        <v/>
      </c>
      <c r="F515" s="241">
        <f>IF(_PENDIENTES!$B$509&lt;&gt;"",_PENDIENTES!$F$509,"")</f>
        <v/>
      </c>
      <c r="G515" s="239">
        <f>IF(_PENDIENTES!$B$509&lt;&gt;"",_PENDIENTES!$G$509,"")</f>
        <v/>
      </c>
      <c r="H515" s="239">
        <f>IF(_PENDIENTES!$B$509&lt;&gt;"",_PENDIENTES!$H$509,"")</f>
        <v/>
      </c>
      <c r="I515" s="305">
        <f>IF(_PENDIENTES!$B$509&lt;&gt;"",_PENDIENTES!$I$509,"")</f>
        <v/>
      </c>
      <c r="J515" s="241">
        <f>IF(_PENDIENTES!$B$509&lt;&gt;"",_PENDIENTES!$J$509,"")</f>
        <v/>
      </c>
      <c r="K515" s="241">
        <f>IF(_PENDIENTES!$B$509&lt;&gt;"","POR RECOGER","")</f>
        <v/>
      </c>
      <c r="L515" s="241">
        <f>IF(_PENDIENTES!$B$509&lt;&gt;"",_PENDIENTES!$K$509,"")</f>
        <v/>
      </c>
      <c r="M515" s="284">
        <f>IF(_PENDIENTES!$B$509&lt;&gt;"",_PENDIENTES!$B$509,"")</f>
        <v/>
      </c>
      <c r="N515" s="304">
        <f>IF(_PENDIENTES!$B$509&lt;&gt;"",_PENDIENTES!$L$509,"")</f>
        <v/>
      </c>
      <c r="O515" s="284" t="n"/>
      <c r="P515" s="284" t="n"/>
      <c r="Q515" s="284" t="n"/>
      <c r="R515" s="284" t="n"/>
      <c r="S515" s="284" t="n"/>
    </row>
    <row r="516" hidden="1" ht="15.75" customHeight="1" s="195">
      <c r="A516" s="301">
        <f>IF(_PENDIENTES!$B$510&lt;&gt;"",509,"")</f>
        <v/>
      </c>
      <c r="B516" s="242">
        <f>IF(_PENDIENTES!$B$510&lt;&gt;"",_PENDIENTES!$A$510,"")</f>
        <v/>
      </c>
      <c r="C516" s="302">
        <f>IF(_PENDIENTES!$B$510&lt;&gt;"",_PENDIENTES!$C$510,"")</f>
        <v/>
      </c>
      <c r="D516" s="301">
        <f>IF(_PENDIENTES!$B$510&lt;&gt;"",_PENDIENTES!$D$510,"")</f>
        <v/>
      </c>
      <c r="E516" s="306">
        <f>IF(_PENDIENTES!$B$510&lt;&gt;"",_PENDIENTES!$E$510,"")</f>
        <v/>
      </c>
      <c r="F516" s="301">
        <f>IF(_PENDIENTES!$B$510&lt;&gt;"",_PENDIENTES!$F$510,"")</f>
        <v/>
      </c>
      <c r="G516" s="245">
        <f>IF(_PENDIENTES!$B$510&lt;&gt;"",_PENDIENTES!$G$510,"")</f>
        <v/>
      </c>
      <c r="H516" s="245">
        <f>IF(_PENDIENTES!$B$510&lt;&gt;"",_PENDIENTES!$H$510,"")</f>
        <v/>
      </c>
      <c r="I516" s="302">
        <f>IF(_PENDIENTES!$B$510&lt;&gt;"",_PENDIENTES!$I$510,"")</f>
        <v/>
      </c>
      <c r="J516" s="301">
        <f>IF(_PENDIENTES!$B$510&lt;&gt;"",_PENDIENTES!$J$510,"")</f>
        <v/>
      </c>
      <c r="K516" s="301">
        <f>IF(_PENDIENTES!$B$510&lt;&gt;"","POR RECOGER","")</f>
        <v/>
      </c>
      <c r="L516" s="301">
        <f>IF(_PENDIENTES!$B$510&lt;&gt;"",_PENDIENTES!$K$510,"")</f>
        <v/>
      </c>
      <c r="M516" s="284">
        <f>IF(_PENDIENTES!$B$510&lt;&gt;"",_PENDIENTES!$B$510,"")</f>
        <v/>
      </c>
      <c r="N516" s="304">
        <f>IF(_PENDIENTES!$B$510&lt;&gt;"",_PENDIENTES!$L$510,"")</f>
        <v/>
      </c>
      <c r="O516" s="284" t="n"/>
      <c r="P516" s="284" t="n"/>
      <c r="Q516" s="284" t="n"/>
      <c r="R516" s="284" t="n"/>
      <c r="S516" s="284" t="n"/>
    </row>
    <row r="517" hidden="1" ht="15.75" customHeight="1" s="195">
      <c r="A517" s="241">
        <f>IF(_PENDIENTES!$B$511&lt;&gt;"",510,"")</f>
        <v/>
      </c>
      <c r="B517" s="236">
        <f>IF(_PENDIENTES!$B$511&lt;&gt;"",_PENDIENTES!$A$511,"")</f>
        <v/>
      </c>
      <c r="C517" s="305">
        <f>IF(_PENDIENTES!$B$511&lt;&gt;"",_PENDIENTES!$C$511,"")</f>
        <v/>
      </c>
      <c r="D517" s="241">
        <f>IF(_PENDIENTES!$B$511&lt;&gt;"",_PENDIENTES!$D$511,"")</f>
        <v/>
      </c>
      <c r="E517" s="307">
        <f>IF(_PENDIENTES!$B$511&lt;&gt;"",_PENDIENTES!$E$511,"")</f>
        <v/>
      </c>
      <c r="F517" s="241">
        <f>IF(_PENDIENTES!$B$511&lt;&gt;"",_PENDIENTES!$F$511,"")</f>
        <v/>
      </c>
      <c r="G517" s="239">
        <f>IF(_PENDIENTES!$B$511&lt;&gt;"",_PENDIENTES!$G$511,"")</f>
        <v/>
      </c>
      <c r="H517" s="239">
        <f>IF(_PENDIENTES!$B$511&lt;&gt;"",_PENDIENTES!$H$511,"")</f>
        <v/>
      </c>
      <c r="I517" s="305">
        <f>IF(_PENDIENTES!$B$511&lt;&gt;"",_PENDIENTES!$I$511,"")</f>
        <v/>
      </c>
      <c r="J517" s="241">
        <f>IF(_PENDIENTES!$B$511&lt;&gt;"",_PENDIENTES!$J$511,"")</f>
        <v/>
      </c>
      <c r="K517" s="241">
        <f>IF(_PENDIENTES!$B$511&lt;&gt;"","POR RECOGER","")</f>
        <v/>
      </c>
      <c r="L517" s="241">
        <f>IF(_PENDIENTES!$B$511&lt;&gt;"",_PENDIENTES!$K$511,"")</f>
        <v/>
      </c>
      <c r="M517" s="284">
        <f>IF(_PENDIENTES!$B$511&lt;&gt;"",_PENDIENTES!$B$511,"")</f>
        <v/>
      </c>
      <c r="N517" s="304">
        <f>IF(_PENDIENTES!$B$511&lt;&gt;"",_PENDIENTES!$L$511,"")</f>
        <v/>
      </c>
      <c r="O517" s="284" t="n"/>
      <c r="P517" s="284" t="n"/>
      <c r="Q517" s="284" t="n"/>
      <c r="R517" s="284" t="n"/>
      <c r="S517" s="284" t="n"/>
    </row>
    <row r="518" hidden="1" ht="15.75" customHeight="1" s="195">
      <c r="A518" s="301">
        <f>IF(_PENDIENTES!$B$512&lt;&gt;"",511,"")</f>
        <v/>
      </c>
      <c r="B518" s="242">
        <f>IF(_PENDIENTES!$B$512&lt;&gt;"",_PENDIENTES!$A$512,"")</f>
        <v/>
      </c>
      <c r="C518" s="302">
        <f>IF(_PENDIENTES!$B$512&lt;&gt;"",_PENDIENTES!$C$512,"")</f>
        <v/>
      </c>
      <c r="D518" s="301">
        <f>IF(_PENDIENTES!$B$512&lt;&gt;"",_PENDIENTES!$D$512,"")</f>
        <v/>
      </c>
      <c r="E518" s="306">
        <f>IF(_PENDIENTES!$B$512&lt;&gt;"",_PENDIENTES!$E$512,"")</f>
        <v/>
      </c>
      <c r="F518" s="301">
        <f>IF(_PENDIENTES!$B$512&lt;&gt;"",_PENDIENTES!$F$512,"")</f>
        <v/>
      </c>
      <c r="G518" s="245">
        <f>IF(_PENDIENTES!$B$512&lt;&gt;"",_PENDIENTES!$G$512,"")</f>
        <v/>
      </c>
      <c r="H518" s="245">
        <f>IF(_PENDIENTES!$B$512&lt;&gt;"",_PENDIENTES!$H$512,"")</f>
        <v/>
      </c>
      <c r="I518" s="302">
        <f>IF(_PENDIENTES!$B$512&lt;&gt;"",_PENDIENTES!$I$512,"")</f>
        <v/>
      </c>
      <c r="J518" s="301">
        <f>IF(_PENDIENTES!$B$512&lt;&gt;"",_PENDIENTES!$J$512,"")</f>
        <v/>
      </c>
      <c r="K518" s="301">
        <f>IF(_PENDIENTES!$B$512&lt;&gt;"","POR RECOGER","")</f>
        <v/>
      </c>
      <c r="L518" s="301">
        <f>IF(_PENDIENTES!$B$512&lt;&gt;"",_PENDIENTES!$K$512,"")</f>
        <v/>
      </c>
      <c r="M518" s="284">
        <f>IF(_PENDIENTES!$B$512&lt;&gt;"",_PENDIENTES!$B$512,"")</f>
        <v/>
      </c>
      <c r="N518" s="304">
        <f>IF(_PENDIENTES!$B$512&lt;&gt;"",_PENDIENTES!$L$512,"")</f>
        <v/>
      </c>
      <c r="O518" s="284" t="n"/>
      <c r="P518" s="284" t="n"/>
      <c r="Q518" s="284" t="n"/>
      <c r="R518" s="284" t="n"/>
      <c r="S518" s="284" t="n"/>
    </row>
    <row r="519" hidden="1" ht="15.75" customHeight="1" s="195">
      <c r="A519" s="241">
        <f>IF(_PENDIENTES!$B$513&lt;&gt;"",512,"")</f>
        <v/>
      </c>
      <c r="B519" s="236">
        <f>IF(_PENDIENTES!$B$513&lt;&gt;"",_PENDIENTES!$A$513,"")</f>
        <v/>
      </c>
      <c r="C519" s="305">
        <f>IF(_PENDIENTES!$B$513&lt;&gt;"",_PENDIENTES!$C$513,"")</f>
        <v/>
      </c>
      <c r="D519" s="241">
        <f>IF(_PENDIENTES!$B$513&lt;&gt;"",_PENDIENTES!$D$513,"")</f>
        <v/>
      </c>
      <c r="E519" s="307">
        <f>IF(_PENDIENTES!$B$513&lt;&gt;"",_PENDIENTES!$E$513,"")</f>
        <v/>
      </c>
      <c r="F519" s="241">
        <f>IF(_PENDIENTES!$B$513&lt;&gt;"",_PENDIENTES!$F$513,"")</f>
        <v/>
      </c>
      <c r="G519" s="239">
        <f>IF(_PENDIENTES!$B$513&lt;&gt;"",_PENDIENTES!$G$513,"")</f>
        <v/>
      </c>
      <c r="H519" s="239">
        <f>IF(_PENDIENTES!$B$513&lt;&gt;"",_PENDIENTES!$H$513,"")</f>
        <v/>
      </c>
      <c r="I519" s="305">
        <f>IF(_PENDIENTES!$B$513&lt;&gt;"",_PENDIENTES!$I$513,"")</f>
        <v/>
      </c>
      <c r="J519" s="241">
        <f>IF(_PENDIENTES!$B$513&lt;&gt;"",_PENDIENTES!$J$513,"")</f>
        <v/>
      </c>
      <c r="K519" s="241">
        <f>IF(_PENDIENTES!$B$513&lt;&gt;"","POR RECOGER","")</f>
        <v/>
      </c>
      <c r="L519" s="241">
        <f>IF(_PENDIENTES!$B$513&lt;&gt;"",_PENDIENTES!$K$513,"")</f>
        <v/>
      </c>
      <c r="M519" s="284">
        <f>IF(_PENDIENTES!$B$513&lt;&gt;"",_PENDIENTES!$B$513,"")</f>
        <v/>
      </c>
      <c r="N519" s="304">
        <f>IF(_PENDIENTES!$B$513&lt;&gt;"",_PENDIENTES!$L$513,"")</f>
        <v/>
      </c>
      <c r="O519" s="284" t="n"/>
      <c r="P519" s="284" t="n"/>
      <c r="Q519" s="284" t="n"/>
      <c r="R519" s="284" t="n"/>
      <c r="S519" s="284" t="n"/>
    </row>
    <row r="520" hidden="1" ht="15.75" customHeight="1" s="195">
      <c r="A520" s="301">
        <f>IF(_PENDIENTES!$B$514&lt;&gt;"",513,"")</f>
        <v/>
      </c>
      <c r="B520" s="242">
        <f>IF(_PENDIENTES!$B$514&lt;&gt;"",_PENDIENTES!$A$514,"")</f>
        <v/>
      </c>
      <c r="C520" s="302">
        <f>IF(_PENDIENTES!$B$514&lt;&gt;"",_PENDIENTES!$C$514,"")</f>
        <v/>
      </c>
      <c r="D520" s="301">
        <f>IF(_PENDIENTES!$B$514&lt;&gt;"",_PENDIENTES!$D$514,"")</f>
        <v/>
      </c>
      <c r="E520" s="306">
        <f>IF(_PENDIENTES!$B$514&lt;&gt;"",_PENDIENTES!$E$514,"")</f>
        <v/>
      </c>
      <c r="F520" s="301">
        <f>IF(_PENDIENTES!$B$514&lt;&gt;"",_PENDIENTES!$F$514,"")</f>
        <v/>
      </c>
      <c r="G520" s="245">
        <f>IF(_PENDIENTES!$B$514&lt;&gt;"",_PENDIENTES!$G$514,"")</f>
        <v/>
      </c>
      <c r="H520" s="245">
        <f>IF(_PENDIENTES!$B$514&lt;&gt;"",_PENDIENTES!$H$514,"")</f>
        <v/>
      </c>
      <c r="I520" s="302">
        <f>IF(_PENDIENTES!$B$514&lt;&gt;"",_PENDIENTES!$I$514,"")</f>
        <v/>
      </c>
      <c r="J520" s="301">
        <f>IF(_PENDIENTES!$B$514&lt;&gt;"",_PENDIENTES!$J$514,"")</f>
        <v/>
      </c>
      <c r="K520" s="301">
        <f>IF(_PENDIENTES!$B$514&lt;&gt;"","POR RECOGER","")</f>
        <v/>
      </c>
      <c r="L520" s="301">
        <f>IF(_PENDIENTES!$B$514&lt;&gt;"",_PENDIENTES!$K$514,"")</f>
        <v/>
      </c>
      <c r="M520" s="284">
        <f>IF(_PENDIENTES!$B$514&lt;&gt;"",_PENDIENTES!$B$514,"")</f>
        <v/>
      </c>
      <c r="N520" s="304">
        <f>IF(_PENDIENTES!$B$514&lt;&gt;"",_PENDIENTES!$L$514,"")</f>
        <v/>
      </c>
      <c r="O520" s="284" t="n"/>
      <c r="P520" s="284" t="n"/>
      <c r="Q520" s="284" t="n"/>
      <c r="R520" s="284" t="n"/>
      <c r="S520" s="284" t="n"/>
    </row>
    <row r="521" hidden="1" ht="15.75" customHeight="1" s="195">
      <c r="A521" s="241">
        <f>IF(_PENDIENTES!$B$515&lt;&gt;"",514,"")</f>
        <v/>
      </c>
      <c r="B521" s="236">
        <f>IF(_PENDIENTES!$B$515&lt;&gt;"",_PENDIENTES!$A$515,"")</f>
        <v/>
      </c>
      <c r="C521" s="305">
        <f>IF(_PENDIENTES!$B$515&lt;&gt;"",_PENDIENTES!$C$515,"")</f>
        <v/>
      </c>
      <c r="D521" s="241">
        <f>IF(_PENDIENTES!$B$515&lt;&gt;"",_PENDIENTES!$D$515,"")</f>
        <v/>
      </c>
      <c r="E521" s="307">
        <f>IF(_PENDIENTES!$B$515&lt;&gt;"",_PENDIENTES!$E$515,"")</f>
        <v/>
      </c>
      <c r="F521" s="241">
        <f>IF(_PENDIENTES!$B$515&lt;&gt;"",_PENDIENTES!$F$515,"")</f>
        <v/>
      </c>
      <c r="G521" s="239">
        <f>IF(_PENDIENTES!$B$515&lt;&gt;"",_PENDIENTES!$G$515,"")</f>
        <v/>
      </c>
      <c r="H521" s="239">
        <f>IF(_PENDIENTES!$B$515&lt;&gt;"",_PENDIENTES!$H$515,"")</f>
        <v/>
      </c>
      <c r="I521" s="305">
        <f>IF(_PENDIENTES!$B$515&lt;&gt;"",_PENDIENTES!$I$515,"")</f>
        <v/>
      </c>
      <c r="J521" s="241">
        <f>IF(_PENDIENTES!$B$515&lt;&gt;"",_PENDIENTES!$J$515,"")</f>
        <v/>
      </c>
      <c r="K521" s="241">
        <f>IF(_PENDIENTES!$B$515&lt;&gt;"","POR RECOGER","")</f>
        <v/>
      </c>
      <c r="L521" s="241">
        <f>IF(_PENDIENTES!$B$515&lt;&gt;"",_PENDIENTES!$K$515,"")</f>
        <v/>
      </c>
      <c r="M521" s="284">
        <f>IF(_PENDIENTES!$B$515&lt;&gt;"",_PENDIENTES!$B$515,"")</f>
        <v/>
      </c>
      <c r="N521" s="304">
        <f>IF(_PENDIENTES!$B$515&lt;&gt;"",_PENDIENTES!$L$515,"")</f>
        <v/>
      </c>
      <c r="O521" s="284" t="n"/>
      <c r="P521" s="284" t="n"/>
      <c r="Q521" s="284" t="n"/>
      <c r="R521" s="284" t="n"/>
      <c r="S521" s="284" t="n"/>
    </row>
    <row r="522" hidden="1" ht="15.75" customHeight="1" s="195">
      <c r="A522" s="301">
        <f>IF(_PENDIENTES!$B$516&lt;&gt;"",515,"")</f>
        <v/>
      </c>
      <c r="B522" s="242">
        <f>IF(_PENDIENTES!$B$516&lt;&gt;"",_PENDIENTES!$A$516,"")</f>
        <v/>
      </c>
      <c r="C522" s="302">
        <f>IF(_PENDIENTES!$B$516&lt;&gt;"",_PENDIENTES!$C$516,"")</f>
        <v/>
      </c>
      <c r="D522" s="301">
        <f>IF(_PENDIENTES!$B$516&lt;&gt;"",_PENDIENTES!$D$516,"")</f>
        <v/>
      </c>
      <c r="E522" s="306">
        <f>IF(_PENDIENTES!$B$516&lt;&gt;"",_PENDIENTES!$E$516,"")</f>
        <v/>
      </c>
      <c r="F522" s="301">
        <f>IF(_PENDIENTES!$B$516&lt;&gt;"",_PENDIENTES!$F$516,"")</f>
        <v/>
      </c>
      <c r="G522" s="245">
        <f>IF(_PENDIENTES!$B$516&lt;&gt;"",_PENDIENTES!$G$516,"")</f>
        <v/>
      </c>
      <c r="H522" s="245">
        <f>IF(_PENDIENTES!$B$516&lt;&gt;"",_PENDIENTES!$H$516,"")</f>
        <v/>
      </c>
      <c r="I522" s="302">
        <f>IF(_PENDIENTES!$B$516&lt;&gt;"",_PENDIENTES!$I$516,"")</f>
        <v/>
      </c>
      <c r="J522" s="301">
        <f>IF(_PENDIENTES!$B$516&lt;&gt;"",_PENDIENTES!$J$516,"")</f>
        <v/>
      </c>
      <c r="K522" s="301">
        <f>IF(_PENDIENTES!$B$516&lt;&gt;"","POR RECOGER","")</f>
        <v/>
      </c>
      <c r="L522" s="301">
        <f>IF(_PENDIENTES!$B$516&lt;&gt;"",_PENDIENTES!$K$516,"")</f>
        <v/>
      </c>
      <c r="M522" s="284">
        <f>IF(_PENDIENTES!$B$516&lt;&gt;"",_PENDIENTES!$B$516,"")</f>
        <v/>
      </c>
      <c r="N522" s="304">
        <f>IF(_PENDIENTES!$B$516&lt;&gt;"",_PENDIENTES!$L$516,"")</f>
        <v/>
      </c>
      <c r="O522" s="284" t="n"/>
      <c r="P522" s="284" t="n"/>
      <c r="Q522" s="284" t="n"/>
      <c r="R522" s="284" t="n"/>
      <c r="S522" s="284" t="n"/>
    </row>
    <row r="523" hidden="1" ht="15.75" customHeight="1" s="195">
      <c r="A523" s="241">
        <f>IF(_PENDIENTES!$B$517&lt;&gt;"",516,"")</f>
        <v/>
      </c>
      <c r="B523" s="236">
        <f>IF(_PENDIENTES!$B$517&lt;&gt;"",_PENDIENTES!$A$517,"")</f>
        <v/>
      </c>
      <c r="C523" s="305">
        <f>IF(_PENDIENTES!$B$517&lt;&gt;"",_PENDIENTES!$C$517,"")</f>
        <v/>
      </c>
      <c r="D523" s="241">
        <f>IF(_PENDIENTES!$B$517&lt;&gt;"",_PENDIENTES!$D$517,"")</f>
        <v/>
      </c>
      <c r="E523" s="307">
        <f>IF(_PENDIENTES!$B$517&lt;&gt;"",_PENDIENTES!$E$517,"")</f>
        <v/>
      </c>
      <c r="F523" s="241">
        <f>IF(_PENDIENTES!$B$517&lt;&gt;"",_PENDIENTES!$F$517,"")</f>
        <v/>
      </c>
      <c r="G523" s="239">
        <f>IF(_PENDIENTES!$B$517&lt;&gt;"",_PENDIENTES!$G$517,"")</f>
        <v/>
      </c>
      <c r="H523" s="239">
        <f>IF(_PENDIENTES!$B$517&lt;&gt;"",_PENDIENTES!$H$517,"")</f>
        <v/>
      </c>
      <c r="I523" s="305">
        <f>IF(_PENDIENTES!$B$517&lt;&gt;"",_PENDIENTES!$I$517,"")</f>
        <v/>
      </c>
      <c r="J523" s="241">
        <f>IF(_PENDIENTES!$B$517&lt;&gt;"",_PENDIENTES!$J$517,"")</f>
        <v/>
      </c>
      <c r="K523" s="241">
        <f>IF(_PENDIENTES!$B$517&lt;&gt;"","POR RECOGER","")</f>
        <v/>
      </c>
      <c r="L523" s="241">
        <f>IF(_PENDIENTES!$B$517&lt;&gt;"",_PENDIENTES!$K$517,"")</f>
        <v/>
      </c>
      <c r="M523" s="284">
        <f>IF(_PENDIENTES!$B$517&lt;&gt;"",_PENDIENTES!$B$517,"")</f>
        <v/>
      </c>
      <c r="N523" s="304">
        <f>IF(_PENDIENTES!$B$517&lt;&gt;"",_PENDIENTES!$L$517,"")</f>
        <v/>
      </c>
      <c r="O523" s="284" t="n"/>
      <c r="P523" s="284" t="n"/>
      <c r="Q523" s="284" t="n"/>
      <c r="R523" s="284" t="n"/>
      <c r="S523" s="284" t="n"/>
    </row>
    <row r="524" hidden="1" ht="15.75" customHeight="1" s="195">
      <c r="A524" s="301">
        <f>IF(_PENDIENTES!$B$518&lt;&gt;"",517,"")</f>
        <v/>
      </c>
      <c r="B524" s="242">
        <f>IF(_PENDIENTES!$B$518&lt;&gt;"",_PENDIENTES!$A$518,"")</f>
        <v/>
      </c>
      <c r="C524" s="302">
        <f>IF(_PENDIENTES!$B$518&lt;&gt;"",_PENDIENTES!$C$518,"")</f>
        <v/>
      </c>
      <c r="D524" s="301">
        <f>IF(_PENDIENTES!$B$518&lt;&gt;"",_PENDIENTES!$D$518,"")</f>
        <v/>
      </c>
      <c r="E524" s="306">
        <f>IF(_PENDIENTES!$B$518&lt;&gt;"",_PENDIENTES!$E$518,"")</f>
        <v/>
      </c>
      <c r="F524" s="301">
        <f>IF(_PENDIENTES!$B$518&lt;&gt;"",_PENDIENTES!$F$518,"")</f>
        <v/>
      </c>
      <c r="G524" s="245">
        <f>IF(_PENDIENTES!$B$518&lt;&gt;"",_PENDIENTES!$G$518,"")</f>
        <v/>
      </c>
      <c r="H524" s="245">
        <f>IF(_PENDIENTES!$B$518&lt;&gt;"",_PENDIENTES!$H$518,"")</f>
        <v/>
      </c>
      <c r="I524" s="302">
        <f>IF(_PENDIENTES!$B$518&lt;&gt;"",_PENDIENTES!$I$518,"")</f>
        <v/>
      </c>
      <c r="J524" s="301">
        <f>IF(_PENDIENTES!$B$518&lt;&gt;"",_PENDIENTES!$J$518,"")</f>
        <v/>
      </c>
      <c r="K524" s="301">
        <f>IF(_PENDIENTES!$B$518&lt;&gt;"","POR RECOGER","")</f>
        <v/>
      </c>
      <c r="L524" s="301">
        <f>IF(_PENDIENTES!$B$518&lt;&gt;"",_PENDIENTES!$K$518,"")</f>
        <v/>
      </c>
      <c r="M524" s="284">
        <f>IF(_PENDIENTES!$B$518&lt;&gt;"",_PENDIENTES!$B$518,"")</f>
        <v/>
      </c>
      <c r="N524" s="304">
        <f>IF(_PENDIENTES!$B$518&lt;&gt;"",_PENDIENTES!$L$518,"")</f>
        <v/>
      </c>
      <c r="O524" s="284" t="n"/>
      <c r="P524" s="284" t="n"/>
      <c r="Q524" s="284" t="n"/>
      <c r="R524" s="284" t="n"/>
      <c r="S524" s="284" t="n"/>
    </row>
    <row r="525" hidden="1" ht="15.75" customHeight="1" s="195">
      <c r="A525" s="241">
        <f>IF(_PENDIENTES!$B$519&lt;&gt;"",518,"")</f>
        <v/>
      </c>
      <c r="B525" s="236">
        <f>IF(_PENDIENTES!$B$519&lt;&gt;"",_PENDIENTES!$A$519,"")</f>
        <v/>
      </c>
      <c r="C525" s="305">
        <f>IF(_PENDIENTES!$B$519&lt;&gt;"",_PENDIENTES!$C$519,"")</f>
        <v/>
      </c>
      <c r="D525" s="241">
        <f>IF(_PENDIENTES!$B$519&lt;&gt;"",_PENDIENTES!$D$519,"")</f>
        <v/>
      </c>
      <c r="E525" s="307">
        <f>IF(_PENDIENTES!$B$519&lt;&gt;"",_PENDIENTES!$E$519,"")</f>
        <v/>
      </c>
      <c r="F525" s="241">
        <f>IF(_PENDIENTES!$B$519&lt;&gt;"",_PENDIENTES!$F$519,"")</f>
        <v/>
      </c>
      <c r="G525" s="239">
        <f>IF(_PENDIENTES!$B$519&lt;&gt;"",_PENDIENTES!$G$519,"")</f>
        <v/>
      </c>
      <c r="H525" s="239">
        <f>IF(_PENDIENTES!$B$519&lt;&gt;"",_PENDIENTES!$H$519,"")</f>
        <v/>
      </c>
      <c r="I525" s="305">
        <f>IF(_PENDIENTES!$B$519&lt;&gt;"",_PENDIENTES!$I$519,"")</f>
        <v/>
      </c>
      <c r="J525" s="241">
        <f>IF(_PENDIENTES!$B$519&lt;&gt;"",_PENDIENTES!$J$519,"")</f>
        <v/>
      </c>
      <c r="K525" s="241">
        <f>IF(_PENDIENTES!$B$519&lt;&gt;"","POR RECOGER","")</f>
        <v/>
      </c>
      <c r="L525" s="241">
        <f>IF(_PENDIENTES!$B$519&lt;&gt;"",_PENDIENTES!$K$519,"")</f>
        <v/>
      </c>
      <c r="M525" s="284">
        <f>IF(_PENDIENTES!$B$519&lt;&gt;"",_PENDIENTES!$B$519,"")</f>
        <v/>
      </c>
      <c r="N525" s="304">
        <f>IF(_PENDIENTES!$B$519&lt;&gt;"",_PENDIENTES!$L$519,"")</f>
        <v/>
      </c>
      <c r="O525" s="284" t="n"/>
      <c r="P525" s="284" t="n"/>
      <c r="Q525" s="284" t="n"/>
      <c r="R525" s="284" t="n"/>
      <c r="S525" s="284" t="n"/>
    </row>
    <row r="526" hidden="1" ht="15.75" customHeight="1" s="195">
      <c r="A526" s="301">
        <f>IF(_PENDIENTES!$B$520&lt;&gt;"",519,"")</f>
        <v/>
      </c>
      <c r="B526" s="242">
        <f>IF(_PENDIENTES!$B$520&lt;&gt;"",_PENDIENTES!$A$520,"")</f>
        <v/>
      </c>
      <c r="C526" s="302">
        <f>IF(_PENDIENTES!$B$520&lt;&gt;"",_PENDIENTES!$C$520,"")</f>
        <v/>
      </c>
      <c r="D526" s="301">
        <f>IF(_PENDIENTES!$B$520&lt;&gt;"",_PENDIENTES!$D$520,"")</f>
        <v/>
      </c>
      <c r="E526" s="306">
        <f>IF(_PENDIENTES!$B$520&lt;&gt;"",_PENDIENTES!$E$520,"")</f>
        <v/>
      </c>
      <c r="F526" s="301">
        <f>IF(_PENDIENTES!$B$520&lt;&gt;"",_PENDIENTES!$F$520,"")</f>
        <v/>
      </c>
      <c r="G526" s="245">
        <f>IF(_PENDIENTES!$B$520&lt;&gt;"",_PENDIENTES!$G$520,"")</f>
        <v/>
      </c>
      <c r="H526" s="245">
        <f>IF(_PENDIENTES!$B$520&lt;&gt;"",_PENDIENTES!$H$520,"")</f>
        <v/>
      </c>
      <c r="I526" s="302">
        <f>IF(_PENDIENTES!$B$520&lt;&gt;"",_PENDIENTES!$I$520,"")</f>
        <v/>
      </c>
      <c r="J526" s="301">
        <f>IF(_PENDIENTES!$B$520&lt;&gt;"",_PENDIENTES!$J$520,"")</f>
        <v/>
      </c>
      <c r="K526" s="301">
        <f>IF(_PENDIENTES!$B$520&lt;&gt;"","POR RECOGER","")</f>
        <v/>
      </c>
      <c r="L526" s="301">
        <f>IF(_PENDIENTES!$B$520&lt;&gt;"",_PENDIENTES!$K$520,"")</f>
        <v/>
      </c>
      <c r="M526" s="284">
        <f>IF(_PENDIENTES!$B$520&lt;&gt;"",_PENDIENTES!$B$520,"")</f>
        <v/>
      </c>
      <c r="N526" s="304">
        <f>IF(_PENDIENTES!$B$520&lt;&gt;"",_PENDIENTES!$L$520,"")</f>
        <v/>
      </c>
      <c r="O526" s="284" t="n"/>
      <c r="P526" s="284" t="n"/>
      <c r="Q526" s="284" t="n"/>
      <c r="R526" s="284" t="n"/>
      <c r="S526" s="284" t="n"/>
    </row>
    <row r="527" hidden="1" ht="15.75" customHeight="1" s="195">
      <c r="A527" s="241">
        <f>IF(_PENDIENTES!$B$521&lt;&gt;"",520,"")</f>
        <v/>
      </c>
      <c r="B527" s="236">
        <f>IF(_PENDIENTES!$B$521&lt;&gt;"",_PENDIENTES!$A$521,"")</f>
        <v/>
      </c>
      <c r="C527" s="305">
        <f>IF(_PENDIENTES!$B$521&lt;&gt;"",_PENDIENTES!$C$521,"")</f>
        <v/>
      </c>
      <c r="D527" s="241">
        <f>IF(_PENDIENTES!$B$521&lt;&gt;"",_PENDIENTES!$D$521,"")</f>
        <v/>
      </c>
      <c r="E527" s="307">
        <f>IF(_PENDIENTES!$B$521&lt;&gt;"",_PENDIENTES!$E$521,"")</f>
        <v/>
      </c>
      <c r="F527" s="241">
        <f>IF(_PENDIENTES!$B$521&lt;&gt;"",_PENDIENTES!$F$521,"")</f>
        <v/>
      </c>
      <c r="G527" s="239">
        <f>IF(_PENDIENTES!$B$521&lt;&gt;"",_PENDIENTES!$G$521,"")</f>
        <v/>
      </c>
      <c r="H527" s="239">
        <f>IF(_PENDIENTES!$B$521&lt;&gt;"",_PENDIENTES!$H$521,"")</f>
        <v/>
      </c>
      <c r="I527" s="305">
        <f>IF(_PENDIENTES!$B$521&lt;&gt;"",_PENDIENTES!$I$521,"")</f>
        <v/>
      </c>
      <c r="J527" s="241">
        <f>IF(_PENDIENTES!$B$521&lt;&gt;"",_PENDIENTES!$J$521,"")</f>
        <v/>
      </c>
      <c r="K527" s="241">
        <f>IF(_PENDIENTES!$B$521&lt;&gt;"","POR RECOGER","")</f>
        <v/>
      </c>
      <c r="L527" s="241">
        <f>IF(_PENDIENTES!$B$521&lt;&gt;"",_PENDIENTES!$K$521,"")</f>
        <v/>
      </c>
      <c r="M527" s="284">
        <f>IF(_PENDIENTES!$B$521&lt;&gt;"",_PENDIENTES!$B$521,"")</f>
        <v/>
      </c>
      <c r="N527" s="304">
        <f>IF(_PENDIENTES!$B$521&lt;&gt;"",_PENDIENTES!$L$521,"")</f>
        <v/>
      </c>
      <c r="O527" s="284" t="n"/>
      <c r="P527" s="284" t="n"/>
      <c r="Q527" s="284" t="n"/>
      <c r="R527" s="284" t="n"/>
      <c r="S527" s="284" t="n"/>
    </row>
    <row r="528" hidden="1" ht="15.75" customHeight="1" s="195">
      <c r="A528" s="301">
        <f>IF(_PENDIENTES!$B$522&lt;&gt;"",521,"")</f>
        <v/>
      </c>
      <c r="B528" s="242">
        <f>IF(_PENDIENTES!$B$522&lt;&gt;"",_PENDIENTES!$A$522,"")</f>
        <v/>
      </c>
      <c r="C528" s="302">
        <f>IF(_PENDIENTES!$B$522&lt;&gt;"",_PENDIENTES!$C$522,"")</f>
        <v/>
      </c>
      <c r="D528" s="301">
        <f>IF(_PENDIENTES!$B$522&lt;&gt;"",_PENDIENTES!$D$522,"")</f>
        <v/>
      </c>
      <c r="E528" s="306">
        <f>IF(_PENDIENTES!$B$522&lt;&gt;"",_PENDIENTES!$E$522,"")</f>
        <v/>
      </c>
      <c r="F528" s="301">
        <f>IF(_PENDIENTES!$B$522&lt;&gt;"",_PENDIENTES!$F$522,"")</f>
        <v/>
      </c>
      <c r="G528" s="245">
        <f>IF(_PENDIENTES!$B$522&lt;&gt;"",_PENDIENTES!$G$522,"")</f>
        <v/>
      </c>
      <c r="H528" s="245">
        <f>IF(_PENDIENTES!$B$522&lt;&gt;"",_PENDIENTES!$H$522,"")</f>
        <v/>
      </c>
      <c r="I528" s="302">
        <f>IF(_PENDIENTES!$B$522&lt;&gt;"",_PENDIENTES!$I$522,"")</f>
        <v/>
      </c>
      <c r="J528" s="301">
        <f>IF(_PENDIENTES!$B$522&lt;&gt;"",_PENDIENTES!$J$522,"")</f>
        <v/>
      </c>
      <c r="K528" s="301">
        <f>IF(_PENDIENTES!$B$522&lt;&gt;"","POR RECOGER","")</f>
        <v/>
      </c>
      <c r="L528" s="301">
        <f>IF(_PENDIENTES!$B$522&lt;&gt;"",_PENDIENTES!$K$522,"")</f>
        <v/>
      </c>
      <c r="M528" s="284">
        <f>IF(_PENDIENTES!$B$522&lt;&gt;"",_PENDIENTES!$B$522,"")</f>
        <v/>
      </c>
      <c r="N528" s="304">
        <f>IF(_PENDIENTES!$B$522&lt;&gt;"",_PENDIENTES!$L$522,"")</f>
        <v/>
      </c>
      <c r="O528" s="284" t="n"/>
      <c r="P528" s="284" t="n"/>
      <c r="Q528" s="284" t="n"/>
      <c r="R528" s="284" t="n"/>
      <c r="S528" s="284" t="n"/>
    </row>
    <row r="529" hidden="1" ht="15.75" customHeight="1" s="195">
      <c r="A529" s="241">
        <f>IF(_PENDIENTES!$B$523&lt;&gt;"",522,"")</f>
        <v/>
      </c>
      <c r="B529" s="236">
        <f>IF(_PENDIENTES!$B$523&lt;&gt;"",_PENDIENTES!$A$523,"")</f>
        <v/>
      </c>
      <c r="C529" s="305">
        <f>IF(_PENDIENTES!$B$523&lt;&gt;"",_PENDIENTES!$C$523,"")</f>
        <v/>
      </c>
      <c r="D529" s="241">
        <f>IF(_PENDIENTES!$B$523&lt;&gt;"",_PENDIENTES!$D$523,"")</f>
        <v/>
      </c>
      <c r="E529" s="307">
        <f>IF(_PENDIENTES!$B$523&lt;&gt;"",_PENDIENTES!$E$523,"")</f>
        <v/>
      </c>
      <c r="F529" s="241">
        <f>IF(_PENDIENTES!$B$523&lt;&gt;"",_PENDIENTES!$F$523,"")</f>
        <v/>
      </c>
      <c r="G529" s="239">
        <f>IF(_PENDIENTES!$B$523&lt;&gt;"",_PENDIENTES!$G$523,"")</f>
        <v/>
      </c>
      <c r="H529" s="239">
        <f>IF(_PENDIENTES!$B$523&lt;&gt;"",_PENDIENTES!$H$523,"")</f>
        <v/>
      </c>
      <c r="I529" s="305">
        <f>IF(_PENDIENTES!$B$523&lt;&gt;"",_PENDIENTES!$I$523,"")</f>
        <v/>
      </c>
      <c r="J529" s="241">
        <f>IF(_PENDIENTES!$B$523&lt;&gt;"",_PENDIENTES!$J$523,"")</f>
        <v/>
      </c>
      <c r="K529" s="241">
        <f>IF(_PENDIENTES!$B$523&lt;&gt;"","POR RECOGER","")</f>
        <v/>
      </c>
      <c r="L529" s="241">
        <f>IF(_PENDIENTES!$B$523&lt;&gt;"",_PENDIENTES!$K$523,"")</f>
        <v/>
      </c>
      <c r="M529" s="284">
        <f>IF(_PENDIENTES!$B$523&lt;&gt;"",_PENDIENTES!$B$523,"")</f>
        <v/>
      </c>
      <c r="N529" s="304">
        <f>IF(_PENDIENTES!$B$523&lt;&gt;"",_PENDIENTES!$L$523,"")</f>
        <v/>
      </c>
      <c r="O529" s="284" t="n"/>
      <c r="P529" s="284" t="n"/>
      <c r="Q529" s="284" t="n"/>
      <c r="R529" s="284" t="n"/>
      <c r="S529" s="284" t="n"/>
    </row>
    <row r="530" hidden="1" ht="15.75" customHeight="1" s="195">
      <c r="A530" s="301">
        <f>IF(_PENDIENTES!$B$524&lt;&gt;"",523,"")</f>
        <v/>
      </c>
      <c r="B530" s="242">
        <f>IF(_PENDIENTES!$B$524&lt;&gt;"",_PENDIENTES!$A$524,"")</f>
        <v/>
      </c>
      <c r="C530" s="302">
        <f>IF(_PENDIENTES!$B$524&lt;&gt;"",_PENDIENTES!$C$524,"")</f>
        <v/>
      </c>
      <c r="D530" s="301">
        <f>IF(_PENDIENTES!$B$524&lt;&gt;"",_PENDIENTES!$D$524,"")</f>
        <v/>
      </c>
      <c r="E530" s="306">
        <f>IF(_PENDIENTES!$B$524&lt;&gt;"",_PENDIENTES!$E$524,"")</f>
        <v/>
      </c>
      <c r="F530" s="301">
        <f>IF(_PENDIENTES!$B$524&lt;&gt;"",_PENDIENTES!$F$524,"")</f>
        <v/>
      </c>
      <c r="G530" s="245">
        <f>IF(_PENDIENTES!$B$524&lt;&gt;"",_PENDIENTES!$G$524,"")</f>
        <v/>
      </c>
      <c r="H530" s="245">
        <f>IF(_PENDIENTES!$B$524&lt;&gt;"",_PENDIENTES!$H$524,"")</f>
        <v/>
      </c>
      <c r="I530" s="302">
        <f>IF(_PENDIENTES!$B$524&lt;&gt;"",_PENDIENTES!$I$524,"")</f>
        <v/>
      </c>
      <c r="J530" s="301">
        <f>IF(_PENDIENTES!$B$524&lt;&gt;"",_PENDIENTES!$J$524,"")</f>
        <v/>
      </c>
      <c r="K530" s="301">
        <f>IF(_PENDIENTES!$B$524&lt;&gt;"","POR RECOGER","")</f>
        <v/>
      </c>
      <c r="L530" s="301">
        <f>IF(_PENDIENTES!$B$524&lt;&gt;"",_PENDIENTES!$K$524,"")</f>
        <v/>
      </c>
      <c r="M530" s="284">
        <f>IF(_PENDIENTES!$B$524&lt;&gt;"",_PENDIENTES!$B$524,"")</f>
        <v/>
      </c>
      <c r="N530" s="304">
        <f>IF(_PENDIENTES!$B$524&lt;&gt;"",_PENDIENTES!$L$524,"")</f>
        <v/>
      </c>
      <c r="O530" s="284" t="n"/>
      <c r="P530" s="284" t="n"/>
      <c r="Q530" s="284" t="n"/>
      <c r="R530" s="284" t="n"/>
      <c r="S530" s="284" t="n"/>
    </row>
    <row r="531" hidden="1" ht="15.75" customHeight="1" s="195">
      <c r="A531" s="241">
        <f>IF(_PENDIENTES!$B$525&lt;&gt;"",524,"")</f>
        <v/>
      </c>
      <c r="B531" s="236">
        <f>IF(_PENDIENTES!$B$525&lt;&gt;"",_PENDIENTES!$A$525,"")</f>
        <v/>
      </c>
      <c r="C531" s="305">
        <f>IF(_PENDIENTES!$B$525&lt;&gt;"",_PENDIENTES!$C$525,"")</f>
        <v/>
      </c>
      <c r="D531" s="241">
        <f>IF(_PENDIENTES!$B$525&lt;&gt;"",_PENDIENTES!$D$525,"")</f>
        <v/>
      </c>
      <c r="E531" s="307">
        <f>IF(_PENDIENTES!$B$525&lt;&gt;"",_PENDIENTES!$E$525,"")</f>
        <v/>
      </c>
      <c r="F531" s="241">
        <f>IF(_PENDIENTES!$B$525&lt;&gt;"",_PENDIENTES!$F$525,"")</f>
        <v/>
      </c>
      <c r="G531" s="239">
        <f>IF(_PENDIENTES!$B$525&lt;&gt;"",_PENDIENTES!$G$525,"")</f>
        <v/>
      </c>
      <c r="H531" s="239">
        <f>IF(_PENDIENTES!$B$525&lt;&gt;"",_PENDIENTES!$H$525,"")</f>
        <v/>
      </c>
      <c r="I531" s="305">
        <f>IF(_PENDIENTES!$B$525&lt;&gt;"",_PENDIENTES!$I$525,"")</f>
        <v/>
      </c>
      <c r="J531" s="241">
        <f>IF(_PENDIENTES!$B$525&lt;&gt;"",_PENDIENTES!$J$525,"")</f>
        <v/>
      </c>
      <c r="K531" s="241">
        <f>IF(_PENDIENTES!$B$525&lt;&gt;"","POR RECOGER","")</f>
        <v/>
      </c>
      <c r="L531" s="241">
        <f>IF(_PENDIENTES!$B$525&lt;&gt;"",_PENDIENTES!$K$525,"")</f>
        <v/>
      </c>
      <c r="M531" s="284">
        <f>IF(_PENDIENTES!$B$525&lt;&gt;"",_PENDIENTES!$B$525,"")</f>
        <v/>
      </c>
      <c r="N531" s="304">
        <f>IF(_PENDIENTES!$B$525&lt;&gt;"",_PENDIENTES!$L$525,"")</f>
        <v/>
      </c>
      <c r="O531" s="284" t="n"/>
      <c r="P531" s="284" t="n"/>
      <c r="Q531" s="284" t="n"/>
      <c r="R531" s="284" t="n"/>
      <c r="S531" s="284" t="n"/>
    </row>
    <row r="532" hidden="1" ht="15.75" customHeight="1" s="195">
      <c r="A532" s="301">
        <f>IF(_PENDIENTES!$B$526&lt;&gt;"",525,"")</f>
        <v/>
      </c>
      <c r="B532" s="242">
        <f>IF(_PENDIENTES!$B$526&lt;&gt;"",_PENDIENTES!$A$526,"")</f>
        <v/>
      </c>
      <c r="C532" s="302">
        <f>IF(_PENDIENTES!$B$526&lt;&gt;"",_PENDIENTES!$C$526,"")</f>
        <v/>
      </c>
      <c r="D532" s="301">
        <f>IF(_PENDIENTES!$B$526&lt;&gt;"",_PENDIENTES!$D$526,"")</f>
        <v/>
      </c>
      <c r="E532" s="306">
        <f>IF(_PENDIENTES!$B$526&lt;&gt;"",_PENDIENTES!$E$526,"")</f>
        <v/>
      </c>
      <c r="F532" s="301">
        <f>IF(_PENDIENTES!$B$526&lt;&gt;"",_PENDIENTES!$F$526,"")</f>
        <v/>
      </c>
      <c r="G532" s="245">
        <f>IF(_PENDIENTES!$B$526&lt;&gt;"",_PENDIENTES!$G$526,"")</f>
        <v/>
      </c>
      <c r="H532" s="245">
        <f>IF(_PENDIENTES!$B$526&lt;&gt;"",_PENDIENTES!$H$526,"")</f>
        <v/>
      </c>
      <c r="I532" s="302">
        <f>IF(_PENDIENTES!$B$526&lt;&gt;"",_PENDIENTES!$I$526,"")</f>
        <v/>
      </c>
      <c r="J532" s="301">
        <f>IF(_PENDIENTES!$B$526&lt;&gt;"",_PENDIENTES!$J$526,"")</f>
        <v/>
      </c>
      <c r="K532" s="301">
        <f>IF(_PENDIENTES!$B$526&lt;&gt;"","POR RECOGER","")</f>
        <v/>
      </c>
      <c r="L532" s="301">
        <f>IF(_PENDIENTES!$B$526&lt;&gt;"",_PENDIENTES!$K$526,"")</f>
        <v/>
      </c>
      <c r="M532" s="284">
        <f>IF(_PENDIENTES!$B$526&lt;&gt;"",_PENDIENTES!$B$526,"")</f>
        <v/>
      </c>
      <c r="N532" s="304">
        <f>IF(_PENDIENTES!$B$526&lt;&gt;"",_PENDIENTES!$L$526,"")</f>
        <v/>
      </c>
      <c r="O532" s="284" t="n"/>
      <c r="P532" s="284" t="n"/>
      <c r="Q532" s="284" t="n"/>
      <c r="R532" s="284" t="n"/>
      <c r="S532" s="284" t="n"/>
    </row>
    <row r="533" hidden="1" ht="15.75" customHeight="1" s="195">
      <c r="A533" s="241">
        <f>IF(_PENDIENTES!$B$527&lt;&gt;"",526,"")</f>
        <v/>
      </c>
      <c r="B533" s="236">
        <f>IF(_PENDIENTES!$B$527&lt;&gt;"",_PENDIENTES!$A$527,"")</f>
        <v/>
      </c>
      <c r="C533" s="305">
        <f>IF(_PENDIENTES!$B$527&lt;&gt;"",_PENDIENTES!$C$527,"")</f>
        <v/>
      </c>
      <c r="D533" s="241">
        <f>IF(_PENDIENTES!$B$527&lt;&gt;"",_PENDIENTES!$D$527,"")</f>
        <v/>
      </c>
      <c r="E533" s="307">
        <f>IF(_PENDIENTES!$B$527&lt;&gt;"",_PENDIENTES!$E$527,"")</f>
        <v/>
      </c>
      <c r="F533" s="241">
        <f>IF(_PENDIENTES!$B$527&lt;&gt;"",_PENDIENTES!$F$527,"")</f>
        <v/>
      </c>
      <c r="G533" s="239">
        <f>IF(_PENDIENTES!$B$527&lt;&gt;"",_PENDIENTES!$G$527,"")</f>
        <v/>
      </c>
      <c r="H533" s="239">
        <f>IF(_PENDIENTES!$B$527&lt;&gt;"",_PENDIENTES!$H$527,"")</f>
        <v/>
      </c>
      <c r="I533" s="305">
        <f>IF(_PENDIENTES!$B$527&lt;&gt;"",_PENDIENTES!$I$527,"")</f>
        <v/>
      </c>
      <c r="J533" s="241">
        <f>IF(_PENDIENTES!$B$527&lt;&gt;"",_PENDIENTES!$J$527,"")</f>
        <v/>
      </c>
      <c r="K533" s="241">
        <f>IF(_PENDIENTES!$B$527&lt;&gt;"","POR RECOGER","")</f>
        <v/>
      </c>
      <c r="L533" s="241">
        <f>IF(_PENDIENTES!$B$527&lt;&gt;"",_PENDIENTES!$K$527,"")</f>
        <v/>
      </c>
      <c r="M533" s="284">
        <f>IF(_PENDIENTES!$B$527&lt;&gt;"",_PENDIENTES!$B$527,"")</f>
        <v/>
      </c>
      <c r="N533" s="304">
        <f>IF(_PENDIENTES!$B$527&lt;&gt;"",_PENDIENTES!$L$527,"")</f>
        <v/>
      </c>
      <c r="O533" s="284" t="n"/>
      <c r="P533" s="284" t="n"/>
      <c r="Q533" s="284" t="n"/>
      <c r="R533" s="284" t="n"/>
      <c r="S533" s="284" t="n"/>
    </row>
    <row r="534" hidden="1" ht="15.75" customHeight="1" s="195">
      <c r="A534" s="301">
        <f>IF(_PENDIENTES!$B$528&lt;&gt;"",527,"")</f>
        <v/>
      </c>
      <c r="B534" s="242">
        <f>IF(_PENDIENTES!$B$528&lt;&gt;"",_PENDIENTES!$A$528,"")</f>
        <v/>
      </c>
      <c r="C534" s="302">
        <f>IF(_PENDIENTES!$B$528&lt;&gt;"",_PENDIENTES!$C$528,"")</f>
        <v/>
      </c>
      <c r="D534" s="301">
        <f>IF(_PENDIENTES!$B$528&lt;&gt;"",_PENDIENTES!$D$528,"")</f>
        <v/>
      </c>
      <c r="E534" s="306">
        <f>IF(_PENDIENTES!$B$528&lt;&gt;"",_PENDIENTES!$E$528,"")</f>
        <v/>
      </c>
      <c r="F534" s="301">
        <f>IF(_PENDIENTES!$B$528&lt;&gt;"",_PENDIENTES!$F$528,"")</f>
        <v/>
      </c>
      <c r="G534" s="245">
        <f>IF(_PENDIENTES!$B$528&lt;&gt;"",_PENDIENTES!$G$528,"")</f>
        <v/>
      </c>
      <c r="H534" s="245">
        <f>IF(_PENDIENTES!$B$528&lt;&gt;"",_PENDIENTES!$H$528,"")</f>
        <v/>
      </c>
      <c r="I534" s="302">
        <f>IF(_PENDIENTES!$B$528&lt;&gt;"",_PENDIENTES!$I$528,"")</f>
        <v/>
      </c>
      <c r="J534" s="301">
        <f>IF(_PENDIENTES!$B$528&lt;&gt;"",_PENDIENTES!$J$528,"")</f>
        <v/>
      </c>
      <c r="K534" s="301">
        <f>IF(_PENDIENTES!$B$528&lt;&gt;"","POR RECOGER","")</f>
        <v/>
      </c>
      <c r="L534" s="301">
        <f>IF(_PENDIENTES!$B$528&lt;&gt;"",_PENDIENTES!$K$528,"")</f>
        <v/>
      </c>
      <c r="M534" s="284">
        <f>IF(_PENDIENTES!$B$528&lt;&gt;"",_PENDIENTES!$B$528,"")</f>
        <v/>
      </c>
      <c r="N534" s="304">
        <f>IF(_PENDIENTES!$B$528&lt;&gt;"",_PENDIENTES!$L$528,"")</f>
        <v/>
      </c>
      <c r="O534" s="284" t="n"/>
      <c r="P534" s="284" t="n"/>
      <c r="Q534" s="284" t="n"/>
      <c r="R534" s="284" t="n"/>
      <c r="S534" s="284" t="n"/>
    </row>
    <row r="535" hidden="1" ht="15.75" customHeight="1" s="195">
      <c r="A535" s="241">
        <f>IF(_PENDIENTES!$B$529&lt;&gt;"",528,"")</f>
        <v/>
      </c>
      <c r="B535" s="236">
        <f>IF(_PENDIENTES!$B$529&lt;&gt;"",_PENDIENTES!$A$529,"")</f>
        <v/>
      </c>
      <c r="C535" s="305">
        <f>IF(_PENDIENTES!$B$529&lt;&gt;"",_PENDIENTES!$C$529,"")</f>
        <v/>
      </c>
      <c r="D535" s="241">
        <f>IF(_PENDIENTES!$B$529&lt;&gt;"",_PENDIENTES!$D$529,"")</f>
        <v/>
      </c>
      <c r="E535" s="307">
        <f>IF(_PENDIENTES!$B$529&lt;&gt;"",_PENDIENTES!$E$529,"")</f>
        <v/>
      </c>
      <c r="F535" s="241">
        <f>IF(_PENDIENTES!$B$529&lt;&gt;"",_PENDIENTES!$F$529,"")</f>
        <v/>
      </c>
      <c r="G535" s="239">
        <f>IF(_PENDIENTES!$B$529&lt;&gt;"",_PENDIENTES!$G$529,"")</f>
        <v/>
      </c>
      <c r="H535" s="239">
        <f>IF(_PENDIENTES!$B$529&lt;&gt;"",_PENDIENTES!$H$529,"")</f>
        <v/>
      </c>
      <c r="I535" s="305">
        <f>IF(_PENDIENTES!$B$529&lt;&gt;"",_PENDIENTES!$I$529,"")</f>
        <v/>
      </c>
      <c r="J535" s="241">
        <f>IF(_PENDIENTES!$B$529&lt;&gt;"",_PENDIENTES!$J$529,"")</f>
        <v/>
      </c>
      <c r="K535" s="241">
        <f>IF(_PENDIENTES!$B$529&lt;&gt;"","POR RECOGER","")</f>
        <v/>
      </c>
      <c r="L535" s="241">
        <f>IF(_PENDIENTES!$B$529&lt;&gt;"",_PENDIENTES!$K$529,"")</f>
        <v/>
      </c>
      <c r="M535" s="284">
        <f>IF(_PENDIENTES!$B$529&lt;&gt;"",_PENDIENTES!$B$529,"")</f>
        <v/>
      </c>
      <c r="N535" s="304">
        <f>IF(_PENDIENTES!$B$529&lt;&gt;"",_PENDIENTES!$L$529,"")</f>
        <v/>
      </c>
      <c r="O535" s="284" t="n"/>
      <c r="P535" s="284" t="n"/>
      <c r="Q535" s="284" t="n"/>
      <c r="R535" s="284" t="n"/>
      <c r="S535" s="284" t="n"/>
    </row>
    <row r="536" hidden="1" ht="15.75" customHeight="1" s="195">
      <c r="A536" s="301">
        <f>IF(_PENDIENTES!$B$530&lt;&gt;"",529,"")</f>
        <v/>
      </c>
      <c r="B536" s="242">
        <f>IF(_PENDIENTES!$B$530&lt;&gt;"",_PENDIENTES!$A$530,"")</f>
        <v/>
      </c>
      <c r="C536" s="302">
        <f>IF(_PENDIENTES!$B$530&lt;&gt;"",_PENDIENTES!$C$530,"")</f>
        <v/>
      </c>
      <c r="D536" s="301">
        <f>IF(_PENDIENTES!$B$530&lt;&gt;"",_PENDIENTES!$D$530,"")</f>
        <v/>
      </c>
      <c r="E536" s="306">
        <f>IF(_PENDIENTES!$B$530&lt;&gt;"",_PENDIENTES!$E$530,"")</f>
        <v/>
      </c>
      <c r="F536" s="301">
        <f>IF(_PENDIENTES!$B$530&lt;&gt;"",_PENDIENTES!$F$530,"")</f>
        <v/>
      </c>
      <c r="G536" s="245">
        <f>IF(_PENDIENTES!$B$530&lt;&gt;"",_PENDIENTES!$G$530,"")</f>
        <v/>
      </c>
      <c r="H536" s="245">
        <f>IF(_PENDIENTES!$B$530&lt;&gt;"",_PENDIENTES!$H$530,"")</f>
        <v/>
      </c>
      <c r="I536" s="302">
        <f>IF(_PENDIENTES!$B$530&lt;&gt;"",_PENDIENTES!$I$530,"")</f>
        <v/>
      </c>
      <c r="J536" s="301">
        <f>IF(_PENDIENTES!$B$530&lt;&gt;"",_PENDIENTES!$J$530,"")</f>
        <v/>
      </c>
      <c r="K536" s="301">
        <f>IF(_PENDIENTES!$B$530&lt;&gt;"","POR RECOGER","")</f>
        <v/>
      </c>
      <c r="L536" s="301">
        <f>IF(_PENDIENTES!$B$530&lt;&gt;"",_PENDIENTES!$K$530,"")</f>
        <v/>
      </c>
      <c r="M536" s="284">
        <f>IF(_PENDIENTES!$B$530&lt;&gt;"",_PENDIENTES!$B$530,"")</f>
        <v/>
      </c>
      <c r="N536" s="304">
        <f>IF(_PENDIENTES!$B$530&lt;&gt;"",_PENDIENTES!$L$530,"")</f>
        <v/>
      </c>
      <c r="O536" s="284" t="n"/>
      <c r="P536" s="284" t="n"/>
      <c r="Q536" s="284" t="n"/>
      <c r="R536" s="284" t="n"/>
      <c r="S536" s="284" t="n"/>
    </row>
    <row r="537" hidden="1" ht="15.75" customHeight="1" s="195">
      <c r="A537" s="241">
        <f>IF(_PENDIENTES!$B$531&lt;&gt;"",530,"")</f>
        <v/>
      </c>
      <c r="B537" s="236">
        <f>IF(_PENDIENTES!$B$531&lt;&gt;"",_PENDIENTES!$A$531,"")</f>
        <v/>
      </c>
      <c r="C537" s="305">
        <f>IF(_PENDIENTES!$B$531&lt;&gt;"",_PENDIENTES!$C$531,"")</f>
        <v/>
      </c>
      <c r="D537" s="241">
        <f>IF(_PENDIENTES!$B$531&lt;&gt;"",_PENDIENTES!$D$531,"")</f>
        <v/>
      </c>
      <c r="E537" s="307">
        <f>IF(_PENDIENTES!$B$531&lt;&gt;"",_PENDIENTES!$E$531,"")</f>
        <v/>
      </c>
      <c r="F537" s="241">
        <f>IF(_PENDIENTES!$B$531&lt;&gt;"",_PENDIENTES!$F$531,"")</f>
        <v/>
      </c>
      <c r="G537" s="239">
        <f>IF(_PENDIENTES!$B$531&lt;&gt;"",_PENDIENTES!$G$531,"")</f>
        <v/>
      </c>
      <c r="H537" s="239">
        <f>IF(_PENDIENTES!$B$531&lt;&gt;"",_PENDIENTES!$H$531,"")</f>
        <v/>
      </c>
      <c r="I537" s="305">
        <f>IF(_PENDIENTES!$B$531&lt;&gt;"",_PENDIENTES!$I$531,"")</f>
        <v/>
      </c>
      <c r="J537" s="241">
        <f>IF(_PENDIENTES!$B$531&lt;&gt;"",_PENDIENTES!$J$531,"")</f>
        <v/>
      </c>
      <c r="K537" s="241">
        <f>IF(_PENDIENTES!$B$531&lt;&gt;"","POR RECOGER","")</f>
        <v/>
      </c>
      <c r="L537" s="241">
        <f>IF(_PENDIENTES!$B$531&lt;&gt;"",_PENDIENTES!$K$531,"")</f>
        <v/>
      </c>
      <c r="M537" s="284">
        <f>IF(_PENDIENTES!$B$531&lt;&gt;"",_PENDIENTES!$B$531,"")</f>
        <v/>
      </c>
      <c r="N537" s="304">
        <f>IF(_PENDIENTES!$B$531&lt;&gt;"",_PENDIENTES!$L$531,"")</f>
        <v/>
      </c>
      <c r="O537" s="284" t="n"/>
      <c r="P537" s="284" t="n"/>
      <c r="Q537" s="284" t="n"/>
      <c r="R537" s="284" t="n"/>
      <c r="S537" s="284" t="n"/>
    </row>
    <row r="538" hidden="1" ht="15.75" customHeight="1" s="195">
      <c r="A538" s="301">
        <f>IF(_PENDIENTES!$B$532&lt;&gt;"",531,"")</f>
        <v/>
      </c>
      <c r="B538" s="242">
        <f>IF(_PENDIENTES!$B$532&lt;&gt;"",_PENDIENTES!$A$532,"")</f>
        <v/>
      </c>
      <c r="C538" s="302">
        <f>IF(_PENDIENTES!$B$532&lt;&gt;"",_PENDIENTES!$C$532,"")</f>
        <v/>
      </c>
      <c r="D538" s="301">
        <f>IF(_PENDIENTES!$B$532&lt;&gt;"",_PENDIENTES!$D$532,"")</f>
        <v/>
      </c>
      <c r="E538" s="306">
        <f>IF(_PENDIENTES!$B$532&lt;&gt;"",_PENDIENTES!$E$532,"")</f>
        <v/>
      </c>
      <c r="F538" s="301">
        <f>IF(_PENDIENTES!$B$532&lt;&gt;"",_PENDIENTES!$F$532,"")</f>
        <v/>
      </c>
      <c r="G538" s="245">
        <f>IF(_PENDIENTES!$B$532&lt;&gt;"",_PENDIENTES!$G$532,"")</f>
        <v/>
      </c>
      <c r="H538" s="245">
        <f>IF(_PENDIENTES!$B$532&lt;&gt;"",_PENDIENTES!$H$532,"")</f>
        <v/>
      </c>
      <c r="I538" s="302">
        <f>IF(_PENDIENTES!$B$532&lt;&gt;"",_PENDIENTES!$I$532,"")</f>
        <v/>
      </c>
      <c r="J538" s="301">
        <f>IF(_PENDIENTES!$B$532&lt;&gt;"",_PENDIENTES!$J$532,"")</f>
        <v/>
      </c>
      <c r="K538" s="301">
        <f>IF(_PENDIENTES!$B$532&lt;&gt;"","POR RECOGER","")</f>
        <v/>
      </c>
      <c r="L538" s="301">
        <f>IF(_PENDIENTES!$B$532&lt;&gt;"",_PENDIENTES!$K$532,"")</f>
        <v/>
      </c>
      <c r="M538" s="284">
        <f>IF(_PENDIENTES!$B$532&lt;&gt;"",_PENDIENTES!$B$532,"")</f>
        <v/>
      </c>
      <c r="N538" s="304">
        <f>IF(_PENDIENTES!$B$532&lt;&gt;"",_PENDIENTES!$L$532,"")</f>
        <v/>
      </c>
      <c r="O538" s="284" t="n"/>
      <c r="P538" s="284" t="n"/>
      <c r="Q538" s="284" t="n"/>
      <c r="R538" s="284" t="n"/>
      <c r="S538" s="284" t="n"/>
    </row>
    <row r="539" hidden="1" ht="15.75" customHeight="1" s="195">
      <c r="A539" s="241">
        <f>IF(_PENDIENTES!$B$533&lt;&gt;"",532,"")</f>
        <v/>
      </c>
      <c r="B539" s="236">
        <f>IF(_PENDIENTES!$B$533&lt;&gt;"",_PENDIENTES!$A$533,"")</f>
        <v/>
      </c>
      <c r="C539" s="305">
        <f>IF(_PENDIENTES!$B$533&lt;&gt;"",_PENDIENTES!$C$533,"")</f>
        <v/>
      </c>
      <c r="D539" s="241">
        <f>IF(_PENDIENTES!$B$533&lt;&gt;"",_PENDIENTES!$D$533,"")</f>
        <v/>
      </c>
      <c r="E539" s="307">
        <f>IF(_PENDIENTES!$B$533&lt;&gt;"",_PENDIENTES!$E$533,"")</f>
        <v/>
      </c>
      <c r="F539" s="241">
        <f>IF(_PENDIENTES!$B$533&lt;&gt;"",_PENDIENTES!$F$533,"")</f>
        <v/>
      </c>
      <c r="G539" s="239">
        <f>IF(_PENDIENTES!$B$533&lt;&gt;"",_PENDIENTES!$G$533,"")</f>
        <v/>
      </c>
      <c r="H539" s="239">
        <f>IF(_PENDIENTES!$B$533&lt;&gt;"",_PENDIENTES!$H$533,"")</f>
        <v/>
      </c>
      <c r="I539" s="305">
        <f>IF(_PENDIENTES!$B$533&lt;&gt;"",_PENDIENTES!$I$533,"")</f>
        <v/>
      </c>
      <c r="J539" s="241">
        <f>IF(_PENDIENTES!$B$533&lt;&gt;"",_PENDIENTES!$J$533,"")</f>
        <v/>
      </c>
      <c r="K539" s="241">
        <f>IF(_PENDIENTES!$B$533&lt;&gt;"","POR RECOGER","")</f>
        <v/>
      </c>
      <c r="L539" s="241">
        <f>IF(_PENDIENTES!$B$533&lt;&gt;"",_PENDIENTES!$K$533,"")</f>
        <v/>
      </c>
      <c r="M539" s="284">
        <f>IF(_PENDIENTES!$B$533&lt;&gt;"",_PENDIENTES!$B$533,"")</f>
        <v/>
      </c>
      <c r="N539" s="304">
        <f>IF(_PENDIENTES!$B$533&lt;&gt;"",_PENDIENTES!$L$533,"")</f>
        <v/>
      </c>
      <c r="O539" s="284" t="n"/>
      <c r="P539" s="284" t="n"/>
      <c r="Q539" s="284" t="n"/>
      <c r="R539" s="284" t="n"/>
      <c r="S539" s="284" t="n"/>
    </row>
    <row r="540" hidden="1" ht="15.75" customHeight="1" s="195">
      <c r="A540" s="301">
        <f>IF(_PENDIENTES!$B$534&lt;&gt;"",533,"")</f>
        <v/>
      </c>
      <c r="B540" s="242">
        <f>IF(_PENDIENTES!$B$534&lt;&gt;"",_PENDIENTES!$A$534,"")</f>
        <v/>
      </c>
      <c r="C540" s="302">
        <f>IF(_PENDIENTES!$B$534&lt;&gt;"",_PENDIENTES!$C$534,"")</f>
        <v/>
      </c>
      <c r="D540" s="301">
        <f>IF(_PENDIENTES!$B$534&lt;&gt;"",_PENDIENTES!$D$534,"")</f>
        <v/>
      </c>
      <c r="E540" s="306">
        <f>IF(_PENDIENTES!$B$534&lt;&gt;"",_PENDIENTES!$E$534,"")</f>
        <v/>
      </c>
      <c r="F540" s="301">
        <f>IF(_PENDIENTES!$B$534&lt;&gt;"",_PENDIENTES!$F$534,"")</f>
        <v/>
      </c>
      <c r="G540" s="245">
        <f>IF(_PENDIENTES!$B$534&lt;&gt;"",_PENDIENTES!$G$534,"")</f>
        <v/>
      </c>
      <c r="H540" s="245">
        <f>IF(_PENDIENTES!$B$534&lt;&gt;"",_PENDIENTES!$H$534,"")</f>
        <v/>
      </c>
      <c r="I540" s="302">
        <f>IF(_PENDIENTES!$B$534&lt;&gt;"",_PENDIENTES!$I$534,"")</f>
        <v/>
      </c>
      <c r="J540" s="301">
        <f>IF(_PENDIENTES!$B$534&lt;&gt;"",_PENDIENTES!$J$534,"")</f>
        <v/>
      </c>
      <c r="K540" s="301">
        <f>IF(_PENDIENTES!$B$534&lt;&gt;"","POR RECOGER","")</f>
        <v/>
      </c>
      <c r="L540" s="301">
        <f>IF(_PENDIENTES!$B$534&lt;&gt;"",_PENDIENTES!$K$534,"")</f>
        <v/>
      </c>
      <c r="M540" s="284">
        <f>IF(_PENDIENTES!$B$534&lt;&gt;"",_PENDIENTES!$B$534,"")</f>
        <v/>
      </c>
      <c r="N540" s="304">
        <f>IF(_PENDIENTES!$B$534&lt;&gt;"",_PENDIENTES!$L$534,"")</f>
        <v/>
      </c>
      <c r="O540" s="284" t="n"/>
      <c r="P540" s="284" t="n"/>
      <c r="Q540" s="284" t="n"/>
      <c r="R540" s="284" t="n"/>
      <c r="S540" s="284" t="n"/>
    </row>
    <row r="541" hidden="1" ht="15.75" customHeight="1" s="195">
      <c r="A541" s="241">
        <f>IF(_PENDIENTES!$B$535&lt;&gt;"",534,"")</f>
        <v/>
      </c>
      <c r="B541" s="236">
        <f>IF(_PENDIENTES!$B$535&lt;&gt;"",_PENDIENTES!$A$535,"")</f>
        <v/>
      </c>
      <c r="C541" s="305">
        <f>IF(_PENDIENTES!$B$535&lt;&gt;"",_PENDIENTES!$C$535,"")</f>
        <v/>
      </c>
      <c r="D541" s="241">
        <f>IF(_PENDIENTES!$B$535&lt;&gt;"",_PENDIENTES!$D$535,"")</f>
        <v/>
      </c>
      <c r="E541" s="307">
        <f>IF(_PENDIENTES!$B$535&lt;&gt;"",_PENDIENTES!$E$535,"")</f>
        <v/>
      </c>
      <c r="F541" s="241">
        <f>IF(_PENDIENTES!$B$535&lt;&gt;"",_PENDIENTES!$F$535,"")</f>
        <v/>
      </c>
      <c r="G541" s="239">
        <f>IF(_PENDIENTES!$B$535&lt;&gt;"",_PENDIENTES!$G$535,"")</f>
        <v/>
      </c>
      <c r="H541" s="239">
        <f>IF(_PENDIENTES!$B$535&lt;&gt;"",_PENDIENTES!$H$535,"")</f>
        <v/>
      </c>
      <c r="I541" s="305">
        <f>IF(_PENDIENTES!$B$535&lt;&gt;"",_PENDIENTES!$I$535,"")</f>
        <v/>
      </c>
      <c r="J541" s="241">
        <f>IF(_PENDIENTES!$B$535&lt;&gt;"",_PENDIENTES!$J$535,"")</f>
        <v/>
      </c>
      <c r="K541" s="241">
        <f>IF(_PENDIENTES!$B$535&lt;&gt;"","POR RECOGER","")</f>
        <v/>
      </c>
      <c r="L541" s="241">
        <f>IF(_PENDIENTES!$B$535&lt;&gt;"",_PENDIENTES!$K$535,"")</f>
        <v/>
      </c>
      <c r="M541" s="284">
        <f>IF(_PENDIENTES!$B$535&lt;&gt;"",_PENDIENTES!$B$535,"")</f>
        <v/>
      </c>
      <c r="N541" s="304">
        <f>IF(_PENDIENTES!$B$535&lt;&gt;"",_PENDIENTES!$L$535,"")</f>
        <v/>
      </c>
      <c r="O541" s="284" t="n"/>
      <c r="P541" s="284" t="n"/>
      <c r="Q541" s="284" t="n"/>
      <c r="R541" s="284" t="n"/>
      <c r="S541" s="284" t="n"/>
    </row>
    <row r="542" hidden="1" ht="15.75" customHeight="1" s="195">
      <c r="A542" s="301">
        <f>IF(_PENDIENTES!$B$536&lt;&gt;"",535,"")</f>
        <v/>
      </c>
      <c r="B542" s="242">
        <f>IF(_PENDIENTES!$B$536&lt;&gt;"",_PENDIENTES!$A$536,"")</f>
        <v/>
      </c>
      <c r="C542" s="302">
        <f>IF(_PENDIENTES!$B$536&lt;&gt;"",_PENDIENTES!$C$536,"")</f>
        <v/>
      </c>
      <c r="D542" s="301">
        <f>IF(_PENDIENTES!$B$536&lt;&gt;"",_PENDIENTES!$D$536,"")</f>
        <v/>
      </c>
      <c r="E542" s="306">
        <f>IF(_PENDIENTES!$B$536&lt;&gt;"",_PENDIENTES!$E$536,"")</f>
        <v/>
      </c>
      <c r="F542" s="301">
        <f>IF(_PENDIENTES!$B$536&lt;&gt;"",_PENDIENTES!$F$536,"")</f>
        <v/>
      </c>
      <c r="G542" s="245">
        <f>IF(_PENDIENTES!$B$536&lt;&gt;"",_PENDIENTES!$G$536,"")</f>
        <v/>
      </c>
      <c r="H542" s="245">
        <f>IF(_PENDIENTES!$B$536&lt;&gt;"",_PENDIENTES!$H$536,"")</f>
        <v/>
      </c>
      <c r="I542" s="302">
        <f>IF(_PENDIENTES!$B$536&lt;&gt;"",_PENDIENTES!$I$536,"")</f>
        <v/>
      </c>
      <c r="J542" s="301">
        <f>IF(_PENDIENTES!$B$536&lt;&gt;"",_PENDIENTES!$J$536,"")</f>
        <v/>
      </c>
      <c r="K542" s="301">
        <f>IF(_PENDIENTES!$B$536&lt;&gt;"","POR RECOGER","")</f>
        <v/>
      </c>
      <c r="L542" s="301">
        <f>IF(_PENDIENTES!$B$536&lt;&gt;"",_PENDIENTES!$K$536,"")</f>
        <v/>
      </c>
      <c r="M542" s="284">
        <f>IF(_PENDIENTES!$B$536&lt;&gt;"",_PENDIENTES!$B$536,"")</f>
        <v/>
      </c>
      <c r="N542" s="304">
        <f>IF(_PENDIENTES!$B$536&lt;&gt;"",_PENDIENTES!$L$536,"")</f>
        <v/>
      </c>
      <c r="O542" s="284" t="n"/>
      <c r="P542" s="284" t="n"/>
      <c r="Q542" s="284" t="n"/>
      <c r="R542" s="284" t="n"/>
      <c r="S542" s="284" t="n"/>
    </row>
    <row r="543" hidden="1" ht="15.75" customHeight="1" s="195">
      <c r="A543" s="241">
        <f>IF(_PENDIENTES!$B$537&lt;&gt;"",536,"")</f>
        <v/>
      </c>
      <c r="B543" s="236">
        <f>IF(_PENDIENTES!$B$537&lt;&gt;"",_PENDIENTES!$A$537,"")</f>
        <v/>
      </c>
      <c r="C543" s="305">
        <f>IF(_PENDIENTES!$B$537&lt;&gt;"",_PENDIENTES!$C$537,"")</f>
        <v/>
      </c>
      <c r="D543" s="241">
        <f>IF(_PENDIENTES!$B$537&lt;&gt;"",_PENDIENTES!$D$537,"")</f>
        <v/>
      </c>
      <c r="E543" s="307">
        <f>IF(_PENDIENTES!$B$537&lt;&gt;"",_PENDIENTES!$E$537,"")</f>
        <v/>
      </c>
      <c r="F543" s="241">
        <f>IF(_PENDIENTES!$B$537&lt;&gt;"",_PENDIENTES!$F$537,"")</f>
        <v/>
      </c>
      <c r="G543" s="239">
        <f>IF(_PENDIENTES!$B$537&lt;&gt;"",_PENDIENTES!$G$537,"")</f>
        <v/>
      </c>
      <c r="H543" s="239">
        <f>IF(_PENDIENTES!$B$537&lt;&gt;"",_PENDIENTES!$H$537,"")</f>
        <v/>
      </c>
      <c r="I543" s="305">
        <f>IF(_PENDIENTES!$B$537&lt;&gt;"",_PENDIENTES!$I$537,"")</f>
        <v/>
      </c>
      <c r="J543" s="241">
        <f>IF(_PENDIENTES!$B$537&lt;&gt;"",_PENDIENTES!$J$537,"")</f>
        <v/>
      </c>
      <c r="K543" s="241">
        <f>IF(_PENDIENTES!$B$537&lt;&gt;"","POR RECOGER","")</f>
        <v/>
      </c>
      <c r="L543" s="241">
        <f>IF(_PENDIENTES!$B$537&lt;&gt;"",_PENDIENTES!$K$537,"")</f>
        <v/>
      </c>
      <c r="M543" s="284">
        <f>IF(_PENDIENTES!$B$537&lt;&gt;"",_PENDIENTES!$B$537,"")</f>
        <v/>
      </c>
      <c r="N543" s="304">
        <f>IF(_PENDIENTES!$B$537&lt;&gt;"",_PENDIENTES!$L$537,"")</f>
        <v/>
      </c>
      <c r="O543" s="284" t="n"/>
      <c r="P543" s="284" t="n"/>
      <c r="Q543" s="284" t="n"/>
      <c r="R543" s="284" t="n"/>
      <c r="S543" s="284" t="n"/>
    </row>
    <row r="544" hidden="1" ht="15.75" customHeight="1" s="195">
      <c r="A544" s="301">
        <f>IF(_PENDIENTES!$B$538&lt;&gt;"",537,"")</f>
        <v/>
      </c>
      <c r="B544" s="242">
        <f>IF(_PENDIENTES!$B$538&lt;&gt;"",_PENDIENTES!$A$538,"")</f>
        <v/>
      </c>
      <c r="C544" s="302">
        <f>IF(_PENDIENTES!$B$538&lt;&gt;"",_PENDIENTES!$C$538,"")</f>
        <v/>
      </c>
      <c r="D544" s="301">
        <f>IF(_PENDIENTES!$B$538&lt;&gt;"",_PENDIENTES!$D$538,"")</f>
        <v/>
      </c>
      <c r="E544" s="306">
        <f>IF(_PENDIENTES!$B$538&lt;&gt;"",_PENDIENTES!$E$538,"")</f>
        <v/>
      </c>
      <c r="F544" s="301">
        <f>IF(_PENDIENTES!$B$538&lt;&gt;"",_PENDIENTES!$F$538,"")</f>
        <v/>
      </c>
      <c r="G544" s="245">
        <f>IF(_PENDIENTES!$B$538&lt;&gt;"",_PENDIENTES!$G$538,"")</f>
        <v/>
      </c>
      <c r="H544" s="245">
        <f>IF(_PENDIENTES!$B$538&lt;&gt;"",_PENDIENTES!$H$538,"")</f>
        <v/>
      </c>
      <c r="I544" s="302">
        <f>IF(_PENDIENTES!$B$538&lt;&gt;"",_PENDIENTES!$I$538,"")</f>
        <v/>
      </c>
      <c r="J544" s="301">
        <f>IF(_PENDIENTES!$B$538&lt;&gt;"",_PENDIENTES!$J$538,"")</f>
        <v/>
      </c>
      <c r="K544" s="301">
        <f>IF(_PENDIENTES!$B$538&lt;&gt;"","POR RECOGER","")</f>
        <v/>
      </c>
      <c r="L544" s="301">
        <f>IF(_PENDIENTES!$B$538&lt;&gt;"",_PENDIENTES!$K$538,"")</f>
        <v/>
      </c>
      <c r="M544" s="284">
        <f>IF(_PENDIENTES!$B$538&lt;&gt;"",_PENDIENTES!$B$538,"")</f>
        <v/>
      </c>
      <c r="N544" s="304">
        <f>IF(_PENDIENTES!$B$538&lt;&gt;"",_PENDIENTES!$L$538,"")</f>
        <v/>
      </c>
      <c r="O544" s="284" t="n"/>
      <c r="P544" s="284" t="n"/>
      <c r="Q544" s="284" t="n"/>
      <c r="R544" s="284" t="n"/>
      <c r="S544" s="284" t="n"/>
    </row>
    <row r="545" hidden="1" ht="15.75" customHeight="1" s="195">
      <c r="A545" s="241">
        <f>IF(_PENDIENTES!$B$539&lt;&gt;"",538,"")</f>
        <v/>
      </c>
      <c r="B545" s="236">
        <f>IF(_PENDIENTES!$B$539&lt;&gt;"",_PENDIENTES!$A$539,"")</f>
        <v/>
      </c>
      <c r="C545" s="305">
        <f>IF(_PENDIENTES!$B$539&lt;&gt;"",_PENDIENTES!$C$539,"")</f>
        <v/>
      </c>
      <c r="D545" s="241">
        <f>IF(_PENDIENTES!$B$539&lt;&gt;"",_PENDIENTES!$D$539,"")</f>
        <v/>
      </c>
      <c r="E545" s="307">
        <f>IF(_PENDIENTES!$B$539&lt;&gt;"",_PENDIENTES!$E$539,"")</f>
        <v/>
      </c>
      <c r="F545" s="241">
        <f>IF(_PENDIENTES!$B$539&lt;&gt;"",_PENDIENTES!$F$539,"")</f>
        <v/>
      </c>
      <c r="G545" s="239">
        <f>IF(_PENDIENTES!$B$539&lt;&gt;"",_PENDIENTES!$G$539,"")</f>
        <v/>
      </c>
      <c r="H545" s="239">
        <f>IF(_PENDIENTES!$B$539&lt;&gt;"",_PENDIENTES!$H$539,"")</f>
        <v/>
      </c>
      <c r="I545" s="305">
        <f>IF(_PENDIENTES!$B$539&lt;&gt;"",_PENDIENTES!$I$539,"")</f>
        <v/>
      </c>
      <c r="J545" s="241">
        <f>IF(_PENDIENTES!$B$539&lt;&gt;"",_PENDIENTES!$J$539,"")</f>
        <v/>
      </c>
      <c r="K545" s="241">
        <f>IF(_PENDIENTES!$B$539&lt;&gt;"","POR RECOGER","")</f>
        <v/>
      </c>
      <c r="L545" s="241">
        <f>IF(_PENDIENTES!$B$539&lt;&gt;"",_PENDIENTES!$K$539,"")</f>
        <v/>
      </c>
      <c r="M545" s="284">
        <f>IF(_PENDIENTES!$B$539&lt;&gt;"",_PENDIENTES!$B$539,"")</f>
        <v/>
      </c>
      <c r="N545" s="304">
        <f>IF(_PENDIENTES!$B$539&lt;&gt;"",_PENDIENTES!$L$539,"")</f>
        <v/>
      </c>
      <c r="O545" s="284" t="n"/>
      <c r="P545" s="284" t="n"/>
      <c r="Q545" s="284" t="n"/>
      <c r="R545" s="284" t="n"/>
      <c r="S545" s="284" t="n"/>
    </row>
    <row r="546" hidden="1" ht="15.75" customHeight="1" s="195">
      <c r="A546" s="301">
        <f>IF(_PENDIENTES!$B$540&lt;&gt;"",539,"")</f>
        <v/>
      </c>
      <c r="B546" s="242">
        <f>IF(_PENDIENTES!$B$540&lt;&gt;"",_PENDIENTES!$A$540,"")</f>
        <v/>
      </c>
      <c r="C546" s="302">
        <f>IF(_PENDIENTES!$B$540&lt;&gt;"",_PENDIENTES!$C$540,"")</f>
        <v/>
      </c>
      <c r="D546" s="301">
        <f>IF(_PENDIENTES!$B$540&lt;&gt;"",_PENDIENTES!$D$540,"")</f>
        <v/>
      </c>
      <c r="E546" s="306">
        <f>IF(_PENDIENTES!$B$540&lt;&gt;"",_PENDIENTES!$E$540,"")</f>
        <v/>
      </c>
      <c r="F546" s="301">
        <f>IF(_PENDIENTES!$B$540&lt;&gt;"",_PENDIENTES!$F$540,"")</f>
        <v/>
      </c>
      <c r="G546" s="245">
        <f>IF(_PENDIENTES!$B$540&lt;&gt;"",_PENDIENTES!$G$540,"")</f>
        <v/>
      </c>
      <c r="H546" s="245">
        <f>IF(_PENDIENTES!$B$540&lt;&gt;"",_PENDIENTES!$H$540,"")</f>
        <v/>
      </c>
      <c r="I546" s="302">
        <f>IF(_PENDIENTES!$B$540&lt;&gt;"",_PENDIENTES!$I$540,"")</f>
        <v/>
      </c>
      <c r="J546" s="301">
        <f>IF(_PENDIENTES!$B$540&lt;&gt;"",_PENDIENTES!$J$540,"")</f>
        <v/>
      </c>
      <c r="K546" s="301">
        <f>IF(_PENDIENTES!$B$540&lt;&gt;"","POR RECOGER","")</f>
        <v/>
      </c>
      <c r="L546" s="301">
        <f>IF(_PENDIENTES!$B$540&lt;&gt;"",_PENDIENTES!$K$540,"")</f>
        <v/>
      </c>
      <c r="M546" s="284">
        <f>IF(_PENDIENTES!$B$540&lt;&gt;"",_PENDIENTES!$B$540,"")</f>
        <v/>
      </c>
      <c r="N546" s="304">
        <f>IF(_PENDIENTES!$B$540&lt;&gt;"",_PENDIENTES!$L$540,"")</f>
        <v/>
      </c>
      <c r="O546" s="284" t="n"/>
      <c r="P546" s="284" t="n"/>
      <c r="Q546" s="284" t="n"/>
      <c r="R546" s="284" t="n"/>
      <c r="S546" s="284" t="n"/>
    </row>
    <row r="547" hidden="1" ht="15.75" customHeight="1" s="195">
      <c r="A547" s="241">
        <f>IF(_PENDIENTES!$B$541&lt;&gt;"",540,"")</f>
        <v/>
      </c>
      <c r="B547" s="236">
        <f>IF(_PENDIENTES!$B$541&lt;&gt;"",_PENDIENTES!$A$541,"")</f>
        <v/>
      </c>
      <c r="C547" s="305">
        <f>IF(_PENDIENTES!$B$541&lt;&gt;"",_PENDIENTES!$C$541,"")</f>
        <v/>
      </c>
      <c r="D547" s="241">
        <f>IF(_PENDIENTES!$B$541&lt;&gt;"",_PENDIENTES!$D$541,"")</f>
        <v/>
      </c>
      <c r="E547" s="307">
        <f>IF(_PENDIENTES!$B$541&lt;&gt;"",_PENDIENTES!$E$541,"")</f>
        <v/>
      </c>
      <c r="F547" s="241">
        <f>IF(_PENDIENTES!$B$541&lt;&gt;"",_PENDIENTES!$F$541,"")</f>
        <v/>
      </c>
      <c r="G547" s="239">
        <f>IF(_PENDIENTES!$B$541&lt;&gt;"",_PENDIENTES!$G$541,"")</f>
        <v/>
      </c>
      <c r="H547" s="239">
        <f>IF(_PENDIENTES!$B$541&lt;&gt;"",_PENDIENTES!$H$541,"")</f>
        <v/>
      </c>
      <c r="I547" s="305">
        <f>IF(_PENDIENTES!$B$541&lt;&gt;"",_PENDIENTES!$I$541,"")</f>
        <v/>
      </c>
      <c r="J547" s="241">
        <f>IF(_PENDIENTES!$B$541&lt;&gt;"",_PENDIENTES!$J$541,"")</f>
        <v/>
      </c>
      <c r="K547" s="241">
        <f>IF(_PENDIENTES!$B$541&lt;&gt;"","POR RECOGER","")</f>
        <v/>
      </c>
      <c r="L547" s="241">
        <f>IF(_PENDIENTES!$B$541&lt;&gt;"",_PENDIENTES!$K$541,"")</f>
        <v/>
      </c>
      <c r="M547" s="284">
        <f>IF(_PENDIENTES!$B$541&lt;&gt;"",_PENDIENTES!$B$541,"")</f>
        <v/>
      </c>
      <c r="N547" s="304">
        <f>IF(_PENDIENTES!$B$541&lt;&gt;"",_PENDIENTES!$L$541,"")</f>
        <v/>
      </c>
      <c r="O547" s="284" t="n"/>
      <c r="P547" s="284" t="n"/>
      <c r="Q547" s="284" t="n"/>
      <c r="R547" s="284" t="n"/>
      <c r="S547" s="284" t="n"/>
    </row>
    <row r="548" hidden="1" ht="15.75" customHeight="1" s="195">
      <c r="A548" s="301">
        <f>IF(_PENDIENTES!$B$542&lt;&gt;"",541,"")</f>
        <v/>
      </c>
      <c r="B548" s="242">
        <f>IF(_PENDIENTES!$B$542&lt;&gt;"",_PENDIENTES!$A$542,"")</f>
        <v/>
      </c>
      <c r="C548" s="302">
        <f>IF(_PENDIENTES!$B$542&lt;&gt;"",_PENDIENTES!$C$542,"")</f>
        <v/>
      </c>
      <c r="D548" s="301">
        <f>IF(_PENDIENTES!$B$542&lt;&gt;"",_PENDIENTES!$D$542,"")</f>
        <v/>
      </c>
      <c r="E548" s="306">
        <f>IF(_PENDIENTES!$B$542&lt;&gt;"",_PENDIENTES!$E$542,"")</f>
        <v/>
      </c>
      <c r="F548" s="301">
        <f>IF(_PENDIENTES!$B$542&lt;&gt;"",_PENDIENTES!$F$542,"")</f>
        <v/>
      </c>
      <c r="G548" s="245">
        <f>IF(_PENDIENTES!$B$542&lt;&gt;"",_PENDIENTES!$G$542,"")</f>
        <v/>
      </c>
      <c r="H548" s="245">
        <f>IF(_PENDIENTES!$B$542&lt;&gt;"",_PENDIENTES!$H$542,"")</f>
        <v/>
      </c>
      <c r="I548" s="302">
        <f>IF(_PENDIENTES!$B$542&lt;&gt;"",_PENDIENTES!$I$542,"")</f>
        <v/>
      </c>
      <c r="J548" s="301">
        <f>IF(_PENDIENTES!$B$542&lt;&gt;"",_PENDIENTES!$J$542,"")</f>
        <v/>
      </c>
      <c r="K548" s="301">
        <f>IF(_PENDIENTES!$B$542&lt;&gt;"","POR RECOGER","")</f>
        <v/>
      </c>
      <c r="L548" s="301">
        <f>IF(_PENDIENTES!$B$542&lt;&gt;"",_PENDIENTES!$K$542,"")</f>
        <v/>
      </c>
      <c r="M548" s="284">
        <f>IF(_PENDIENTES!$B$542&lt;&gt;"",_PENDIENTES!$B$542,"")</f>
        <v/>
      </c>
      <c r="N548" s="304">
        <f>IF(_PENDIENTES!$B$542&lt;&gt;"",_PENDIENTES!$L$542,"")</f>
        <v/>
      </c>
      <c r="O548" s="284" t="n"/>
      <c r="P548" s="284" t="n"/>
      <c r="Q548" s="284" t="n"/>
      <c r="R548" s="284" t="n"/>
      <c r="S548" s="284" t="n"/>
    </row>
    <row r="549" hidden="1" ht="15.75" customHeight="1" s="195">
      <c r="A549" s="241">
        <f>IF(_PENDIENTES!$B$543&lt;&gt;"",542,"")</f>
        <v/>
      </c>
      <c r="B549" s="236">
        <f>IF(_PENDIENTES!$B$543&lt;&gt;"",_PENDIENTES!$A$543,"")</f>
        <v/>
      </c>
      <c r="C549" s="305">
        <f>IF(_PENDIENTES!$B$543&lt;&gt;"",_PENDIENTES!$C$543,"")</f>
        <v/>
      </c>
      <c r="D549" s="241">
        <f>IF(_PENDIENTES!$B$543&lt;&gt;"",_PENDIENTES!$D$543,"")</f>
        <v/>
      </c>
      <c r="E549" s="307">
        <f>IF(_PENDIENTES!$B$543&lt;&gt;"",_PENDIENTES!$E$543,"")</f>
        <v/>
      </c>
      <c r="F549" s="241">
        <f>IF(_PENDIENTES!$B$543&lt;&gt;"",_PENDIENTES!$F$543,"")</f>
        <v/>
      </c>
      <c r="G549" s="239">
        <f>IF(_PENDIENTES!$B$543&lt;&gt;"",_PENDIENTES!$G$543,"")</f>
        <v/>
      </c>
      <c r="H549" s="239">
        <f>IF(_PENDIENTES!$B$543&lt;&gt;"",_PENDIENTES!$H$543,"")</f>
        <v/>
      </c>
      <c r="I549" s="305">
        <f>IF(_PENDIENTES!$B$543&lt;&gt;"",_PENDIENTES!$I$543,"")</f>
        <v/>
      </c>
      <c r="J549" s="241">
        <f>IF(_PENDIENTES!$B$543&lt;&gt;"",_PENDIENTES!$J$543,"")</f>
        <v/>
      </c>
      <c r="K549" s="241">
        <f>IF(_PENDIENTES!$B$543&lt;&gt;"","POR RECOGER","")</f>
        <v/>
      </c>
      <c r="L549" s="241">
        <f>IF(_PENDIENTES!$B$543&lt;&gt;"",_PENDIENTES!$K$543,"")</f>
        <v/>
      </c>
      <c r="M549" s="284">
        <f>IF(_PENDIENTES!$B$543&lt;&gt;"",_PENDIENTES!$B$543,"")</f>
        <v/>
      </c>
      <c r="N549" s="304">
        <f>IF(_PENDIENTES!$B$543&lt;&gt;"",_PENDIENTES!$L$543,"")</f>
        <v/>
      </c>
      <c r="O549" s="284" t="n"/>
      <c r="P549" s="284" t="n"/>
      <c r="Q549" s="284" t="n"/>
      <c r="R549" s="284" t="n"/>
      <c r="S549" s="284" t="n"/>
    </row>
    <row r="550" hidden="1" ht="15.75" customHeight="1" s="195">
      <c r="A550" s="301">
        <f>IF(_PENDIENTES!$B$544&lt;&gt;"",543,"")</f>
        <v/>
      </c>
      <c r="B550" s="242">
        <f>IF(_PENDIENTES!$B$544&lt;&gt;"",_PENDIENTES!$A$544,"")</f>
        <v/>
      </c>
      <c r="C550" s="302">
        <f>IF(_PENDIENTES!$B$544&lt;&gt;"",_PENDIENTES!$C$544,"")</f>
        <v/>
      </c>
      <c r="D550" s="301">
        <f>IF(_PENDIENTES!$B$544&lt;&gt;"",_PENDIENTES!$D$544,"")</f>
        <v/>
      </c>
      <c r="E550" s="306">
        <f>IF(_PENDIENTES!$B$544&lt;&gt;"",_PENDIENTES!$E$544,"")</f>
        <v/>
      </c>
      <c r="F550" s="301">
        <f>IF(_PENDIENTES!$B$544&lt;&gt;"",_PENDIENTES!$F$544,"")</f>
        <v/>
      </c>
      <c r="G550" s="245">
        <f>IF(_PENDIENTES!$B$544&lt;&gt;"",_PENDIENTES!$G$544,"")</f>
        <v/>
      </c>
      <c r="H550" s="245">
        <f>IF(_PENDIENTES!$B$544&lt;&gt;"",_PENDIENTES!$H$544,"")</f>
        <v/>
      </c>
      <c r="I550" s="302">
        <f>IF(_PENDIENTES!$B$544&lt;&gt;"",_PENDIENTES!$I$544,"")</f>
        <v/>
      </c>
      <c r="J550" s="301">
        <f>IF(_PENDIENTES!$B$544&lt;&gt;"",_PENDIENTES!$J$544,"")</f>
        <v/>
      </c>
      <c r="K550" s="301">
        <f>IF(_PENDIENTES!$B$544&lt;&gt;"","POR RECOGER","")</f>
        <v/>
      </c>
      <c r="L550" s="301">
        <f>IF(_PENDIENTES!$B$544&lt;&gt;"",_PENDIENTES!$K$544,"")</f>
        <v/>
      </c>
      <c r="M550" s="284">
        <f>IF(_PENDIENTES!$B$544&lt;&gt;"",_PENDIENTES!$B$544,"")</f>
        <v/>
      </c>
      <c r="N550" s="304">
        <f>IF(_PENDIENTES!$B$544&lt;&gt;"",_PENDIENTES!$L$544,"")</f>
        <v/>
      </c>
      <c r="O550" s="284" t="n"/>
      <c r="P550" s="284" t="n"/>
      <c r="Q550" s="284" t="n"/>
      <c r="R550" s="284" t="n"/>
      <c r="S550" s="284" t="n"/>
    </row>
    <row r="551" hidden="1" ht="15.75" customHeight="1" s="195">
      <c r="A551" s="241">
        <f>IF(_PENDIENTES!$B$545&lt;&gt;"",544,"")</f>
        <v/>
      </c>
      <c r="B551" s="236">
        <f>IF(_PENDIENTES!$B$545&lt;&gt;"",_PENDIENTES!$A$545,"")</f>
        <v/>
      </c>
      <c r="C551" s="305">
        <f>IF(_PENDIENTES!$B$545&lt;&gt;"",_PENDIENTES!$C$545,"")</f>
        <v/>
      </c>
      <c r="D551" s="241">
        <f>IF(_PENDIENTES!$B$545&lt;&gt;"",_PENDIENTES!$D$545,"")</f>
        <v/>
      </c>
      <c r="E551" s="307">
        <f>IF(_PENDIENTES!$B$545&lt;&gt;"",_PENDIENTES!$E$545,"")</f>
        <v/>
      </c>
      <c r="F551" s="241">
        <f>IF(_PENDIENTES!$B$545&lt;&gt;"",_PENDIENTES!$F$545,"")</f>
        <v/>
      </c>
      <c r="G551" s="239">
        <f>IF(_PENDIENTES!$B$545&lt;&gt;"",_PENDIENTES!$G$545,"")</f>
        <v/>
      </c>
      <c r="H551" s="239">
        <f>IF(_PENDIENTES!$B$545&lt;&gt;"",_PENDIENTES!$H$545,"")</f>
        <v/>
      </c>
      <c r="I551" s="305">
        <f>IF(_PENDIENTES!$B$545&lt;&gt;"",_PENDIENTES!$I$545,"")</f>
        <v/>
      </c>
      <c r="J551" s="241">
        <f>IF(_PENDIENTES!$B$545&lt;&gt;"",_PENDIENTES!$J$545,"")</f>
        <v/>
      </c>
      <c r="K551" s="241">
        <f>IF(_PENDIENTES!$B$545&lt;&gt;"","POR RECOGER","")</f>
        <v/>
      </c>
      <c r="L551" s="241">
        <f>IF(_PENDIENTES!$B$545&lt;&gt;"",_PENDIENTES!$K$545,"")</f>
        <v/>
      </c>
      <c r="M551" s="284">
        <f>IF(_PENDIENTES!$B$545&lt;&gt;"",_PENDIENTES!$B$545,"")</f>
        <v/>
      </c>
      <c r="N551" s="304">
        <f>IF(_PENDIENTES!$B$545&lt;&gt;"",_PENDIENTES!$L$545,"")</f>
        <v/>
      </c>
      <c r="O551" s="284" t="n"/>
      <c r="P551" s="284" t="n"/>
      <c r="Q551" s="284" t="n"/>
      <c r="R551" s="284" t="n"/>
      <c r="S551" s="284" t="n"/>
    </row>
    <row r="552" hidden="1" ht="15.75" customHeight="1" s="195">
      <c r="A552" s="301">
        <f>IF(_PENDIENTES!$B$546&lt;&gt;"",545,"")</f>
        <v/>
      </c>
      <c r="B552" s="242">
        <f>IF(_PENDIENTES!$B$546&lt;&gt;"",_PENDIENTES!$A$546,"")</f>
        <v/>
      </c>
      <c r="C552" s="302">
        <f>IF(_PENDIENTES!$B$546&lt;&gt;"",_PENDIENTES!$C$546,"")</f>
        <v/>
      </c>
      <c r="D552" s="301">
        <f>IF(_PENDIENTES!$B$546&lt;&gt;"",_PENDIENTES!$D$546,"")</f>
        <v/>
      </c>
      <c r="E552" s="306">
        <f>IF(_PENDIENTES!$B$546&lt;&gt;"",_PENDIENTES!$E$546,"")</f>
        <v/>
      </c>
      <c r="F552" s="301">
        <f>IF(_PENDIENTES!$B$546&lt;&gt;"",_PENDIENTES!$F$546,"")</f>
        <v/>
      </c>
      <c r="G552" s="245">
        <f>IF(_PENDIENTES!$B$546&lt;&gt;"",_PENDIENTES!$G$546,"")</f>
        <v/>
      </c>
      <c r="H552" s="245">
        <f>IF(_PENDIENTES!$B$546&lt;&gt;"",_PENDIENTES!$H$546,"")</f>
        <v/>
      </c>
      <c r="I552" s="302">
        <f>IF(_PENDIENTES!$B$546&lt;&gt;"",_PENDIENTES!$I$546,"")</f>
        <v/>
      </c>
      <c r="J552" s="301">
        <f>IF(_PENDIENTES!$B$546&lt;&gt;"",_PENDIENTES!$J$546,"")</f>
        <v/>
      </c>
      <c r="K552" s="301">
        <f>IF(_PENDIENTES!$B$546&lt;&gt;"","POR RECOGER","")</f>
        <v/>
      </c>
      <c r="L552" s="301">
        <f>IF(_PENDIENTES!$B$546&lt;&gt;"",_PENDIENTES!$K$546,"")</f>
        <v/>
      </c>
      <c r="M552" s="284">
        <f>IF(_PENDIENTES!$B$546&lt;&gt;"",_PENDIENTES!$B$546,"")</f>
        <v/>
      </c>
      <c r="N552" s="304">
        <f>IF(_PENDIENTES!$B$546&lt;&gt;"",_PENDIENTES!$L$546,"")</f>
        <v/>
      </c>
      <c r="O552" s="284" t="n"/>
      <c r="P552" s="284" t="n"/>
      <c r="Q552" s="284" t="n"/>
      <c r="R552" s="284" t="n"/>
      <c r="S552" s="284" t="n"/>
    </row>
    <row r="553" hidden="1" ht="15.75" customHeight="1" s="195">
      <c r="A553" s="241">
        <f>IF(_PENDIENTES!$B$547&lt;&gt;"",546,"")</f>
        <v/>
      </c>
      <c r="B553" s="236">
        <f>IF(_PENDIENTES!$B$547&lt;&gt;"",_PENDIENTES!$A$547,"")</f>
        <v/>
      </c>
      <c r="C553" s="305">
        <f>IF(_PENDIENTES!$B$547&lt;&gt;"",_PENDIENTES!$C$547,"")</f>
        <v/>
      </c>
      <c r="D553" s="241">
        <f>IF(_PENDIENTES!$B$547&lt;&gt;"",_PENDIENTES!$D$547,"")</f>
        <v/>
      </c>
      <c r="E553" s="307">
        <f>IF(_PENDIENTES!$B$547&lt;&gt;"",_PENDIENTES!$E$547,"")</f>
        <v/>
      </c>
      <c r="F553" s="241">
        <f>IF(_PENDIENTES!$B$547&lt;&gt;"",_PENDIENTES!$F$547,"")</f>
        <v/>
      </c>
      <c r="G553" s="239">
        <f>IF(_PENDIENTES!$B$547&lt;&gt;"",_PENDIENTES!$G$547,"")</f>
        <v/>
      </c>
      <c r="H553" s="239">
        <f>IF(_PENDIENTES!$B$547&lt;&gt;"",_PENDIENTES!$H$547,"")</f>
        <v/>
      </c>
      <c r="I553" s="305">
        <f>IF(_PENDIENTES!$B$547&lt;&gt;"",_PENDIENTES!$I$547,"")</f>
        <v/>
      </c>
      <c r="J553" s="241">
        <f>IF(_PENDIENTES!$B$547&lt;&gt;"",_PENDIENTES!$J$547,"")</f>
        <v/>
      </c>
      <c r="K553" s="241">
        <f>IF(_PENDIENTES!$B$547&lt;&gt;"","POR RECOGER","")</f>
        <v/>
      </c>
      <c r="L553" s="241">
        <f>IF(_PENDIENTES!$B$547&lt;&gt;"",_PENDIENTES!$K$547,"")</f>
        <v/>
      </c>
      <c r="M553" s="284">
        <f>IF(_PENDIENTES!$B$547&lt;&gt;"",_PENDIENTES!$B$547,"")</f>
        <v/>
      </c>
      <c r="N553" s="304">
        <f>IF(_PENDIENTES!$B$547&lt;&gt;"",_PENDIENTES!$L$547,"")</f>
        <v/>
      </c>
      <c r="O553" s="284" t="n"/>
      <c r="P553" s="284" t="n"/>
      <c r="Q553" s="284" t="n"/>
      <c r="R553" s="284" t="n"/>
      <c r="S553" s="284" t="n"/>
    </row>
    <row r="554" hidden="1" ht="15.75" customHeight="1" s="195">
      <c r="A554" s="301">
        <f>IF(_PENDIENTES!$B$548&lt;&gt;"",547,"")</f>
        <v/>
      </c>
      <c r="B554" s="242">
        <f>IF(_PENDIENTES!$B$548&lt;&gt;"",_PENDIENTES!$A$548,"")</f>
        <v/>
      </c>
      <c r="C554" s="302">
        <f>IF(_PENDIENTES!$B$548&lt;&gt;"",_PENDIENTES!$C$548,"")</f>
        <v/>
      </c>
      <c r="D554" s="301">
        <f>IF(_PENDIENTES!$B$548&lt;&gt;"",_PENDIENTES!$D$548,"")</f>
        <v/>
      </c>
      <c r="E554" s="306">
        <f>IF(_PENDIENTES!$B$548&lt;&gt;"",_PENDIENTES!$E$548,"")</f>
        <v/>
      </c>
      <c r="F554" s="301">
        <f>IF(_PENDIENTES!$B$548&lt;&gt;"",_PENDIENTES!$F$548,"")</f>
        <v/>
      </c>
      <c r="G554" s="245">
        <f>IF(_PENDIENTES!$B$548&lt;&gt;"",_PENDIENTES!$G$548,"")</f>
        <v/>
      </c>
      <c r="H554" s="245">
        <f>IF(_PENDIENTES!$B$548&lt;&gt;"",_PENDIENTES!$H$548,"")</f>
        <v/>
      </c>
      <c r="I554" s="302">
        <f>IF(_PENDIENTES!$B$548&lt;&gt;"",_PENDIENTES!$I$548,"")</f>
        <v/>
      </c>
      <c r="J554" s="301">
        <f>IF(_PENDIENTES!$B$548&lt;&gt;"",_PENDIENTES!$J$548,"")</f>
        <v/>
      </c>
      <c r="K554" s="301">
        <f>IF(_PENDIENTES!$B$548&lt;&gt;"","POR RECOGER","")</f>
        <v/>
      </c>
      <c r="L554" s="301">
        <f>IF(_PENDIENTES!$B$548&lt;&gt;"",_PENDIENTES!$K$548,"")</f>
        <v/>
      </c>
      <c r="M554" s="284">
        <f>IF(_PENDIENTES!$B$548&lt;&gt;"",_PENDIENTES!$B$548,"")</f>
        <v/>
      </c>
      <c r="N554" s="304">
        <f>IF(_PENDIENTES!$B$548&lt;&gt;"",_PENDIENTES!$L$548,"")</f>
        <v/>
      </c>
      <c r="O554" s="284" t="n"/>
      <c r="P554" s="284" t="n"/>
      <c r="Q554" s="284" t="n"/>
      <c r="R554" s="284" t="n"/>
      <c r="S554" s="284" t="n"/>
    </row>
    <row r="555" hidden="1" ht="15.75" customHeight="1" s="195">
      <c r="A555" s="241">
        <f>IF(_PENDIENTES!$B$549&lt;&gt;"",548,"")</f>
        <v/>
      </c>
      <c r="B555" s="236">
        <f>IF(_PENDIENTES!$B$549&lt;&gt;"",_PENDIENTES!$A$549,"")</f>
        <v/>
      </c>
      <c r="C555" s="305">
        <f>IF(_PENDIENTES!$B$549&lt;&gt;"",_PENDIENTES!$C$549,"")</f>
        <v/>
      </c>
      <c r="D555" s="241">
        <f>IF(_PENDIENTES!$B$549&lt;&gt;"",_PENDIENTES!$D$549,"")</f>
        <v/>
      </c>
      <c r="E555" s="307">
        <f>IF(_PENDIENTES!$B$549&lt;&gt;"",_PENDIENTES!$E$549,"")</f>
        <v/>
      </c>
      <c r="F555" s="241">
        <f>IF(_PENDIENTES!$B$549&lt;&gt;"",_PENDIENTES!$F$549,"")</f>
        <v/>
      </c>
      <c r="G555" s="239">
        <f>IF(_PENDIENTES!$B$549&lt;&gt;"",_PENDIENTES!$G$549,"")</f>
        <v/>
      </c>
      <c r="H555" s="239">
        <f>IF(_PENDIENTES!$B$549&lt;&gt;"",_PENDIENTES!$H$549,"")</f>
        <v/>
      </c>
      <c r="I555" s="305">
        <f>IF(_PENDIENTES!$B$549&lt;&gt;"",_PENDIENTES!$I$549,"")</f>
        <v/>
      </c>
      <c r="J555" s="241">
        <f>IF(_PENDIENTES!$B$549&lt;&gt;"",_PENDIENTES!$J$549,"")</f>
        <v/>
      </c>
      <c r="K555" s="241">
        <f>IF(_PENDIENTES!$B$549&lt;&gt;"","POR RECOGER","")</f>
        <v/>
      </c>
      <c r="L555" s="241">
        <f>IF(_PENDIENTES!$B$549&lt;&gt;"",_PENDIENTES!$K$549,"")</f>
        <v/>
      </c>
      <c r="M555" s="284">
        <f>IF(_PENDIENTES!$B$549&lt;&gt;"",_PENDIENTES!$B$549,"")</f>
        <v/>
      </c>
      <c r="N555" s="304">
        <f>IF(_PENDIENTES!$B$549&lt;&gt;"",_PENDIENTES!$L$549,"")</f>
        <v/>
      </c>
      <c r="O555" s="284" t="n"/>
      <c r="P555" s="284" t="n"/>
      <c r="Q555" s="284" t="n"/>
      <c r="R555" s="284" t="n"/>
      <c r="S555" s="284" t="n"/>
    </row>
    <row r="556" hidden="1" ht="15.75" customHeight="1" s="195">
      <c r="A556" s="301">
        <f>IF(_PENDIENTES!$B$550&lt;&gt;"",549,"")</f>
        <v/>
      </c>
      <c r="B556" s="242">
        <f>IF(_PENDIENTES!$B$550&lt;&gt;"",_PENDIENTES!$A$550,"")</f>
        <v/>
      </c>
      <c r="C556" s="302">
        <f>IF(_PENDIENTES!$B$550&lt;&gt;"",_PENDIENTES!$C$550,"")</f>
        <v/>
      </c>
      <c r="D556" s="301">
        <f>IF(_PENDIENTES!$B$550&lt;&gt;"",_PENDIENTES!$D$550,"")</f>
        <v/>
      </c>
      <c r="E556" s="306">
        <f>IF(_PENDIENTES!$B$550&lt;&gt;"",_PENDIENTES!$E$550,"")</f>
        <v/>
      </c>
      <c r="F556" s="301">
        <f>IF(_PENDIENTES!$B$550&lt;&gt;"",_PENDIENTES!$F$550,"")</f>
        <v/>
      </c>
      <c r="G556" s="245">
        <f>IF(_PENDIENTES!$B$550&lt;&gt;"",_PENDIENTES!$G$550,"")</f>
        <v/>
      </c>
      <c r="H556" s="245">
        <f>IF(_PENDIENTES!$B$550&lt;&gt;"",_PENDIENTES!$H$550,"")</f>
        <v/>
      </c>
      <c r="I556" s="302">
        <f>IF(_PENDIENTES!$B$550&lt;&gt;"",_PENDIENTES!$I$550,"")</f>
        <v/>
      </c>
      <c r="J556" s="301">
        <f>IF(_PENDIENTES!$B$550&lt;&gt;"",_PENDIENTES!$J$550,"")</f>
        <v/>
      </c>
      <c r="K556" s="301">
        <f>IF(_PENDIENTES!$B$550&lt;&gt;"","POR RECOGER","")</f>
        <v/>
      </c>
      <c r="L556" s="301">
        <f>IF(_PENDIENTES!$B$550&lt;&gt;"",_PENDIENTES!$K$550,"")</f>
        <v/>
      </c>
      <c r="M556" s="284">
        <f>IF(_PENDIENTES!$B$550&lt;&gt;"",_PENDIENTES!$B$550,"")</f>
        <v/>
      </c>
      <c r="N556" s="304">
        <f>IF(_PENDIENTES!$B$550&lt;&gt;"",_PENDIENTES!$L$550,"")</f>
        <v/>
      </c>
      <c r="O556" s="284" t="n"/>
      <c r="P556" s="284" t="n"/>
      <c r="Q556" s="284" t="n"/>
      <c r="R556" s="284" t="n"/>
      <c r="S556" s="284" t="n"/>
    </row>
    <row r="557" hidden="1" ht="15.75" customHeight="1" s="195">
      <c r="A557" s="241">
        <f>IF(_PENDIENTES!$B$551&lt;&gt;"",550,"")</f>
        <v/>
      </c>
      <c r="B557" s="236">
        <f>IF(_PENDIENTES!$B$551&lt;&gt;"",_PENDIENTES!$A$551,"")</f>
        <v/>
      </c>
      <c r="C557" s="305">
        <f>IF(_PENDIENTES!$B$551&lt;&gt;"",_PENDIENTES!$C$551,"")</f>
        <v/>
      </c>
      <c r="D557" s="241">
        <f>IF(_PENDIENTES!$B$551&lt;&gt;"",_PENDIENTES!$D$551,"")</f>
        <v/>
      </c>
      <c r="E557" s="307">
        <f>IF(_PENDIENTES!$B$551&lt;&gt;"",_PENDIENTES!$E$551,"")</f>
        <v/>
      </c>
      <c r="F557" s="241">
        <f>IF(_PENDIENTES!$B$551&lt;&gt;"",_PENDIENTES!$F$551,"")</f>
        <v/>
      </c>
      <c r="G557" s="239">
        <f>IF(_PENDIENTES!$B$551&lt;&gt;"",_PENDIENTES!$G$551,"")</f>
        <v/>
      </c>
      <c r="H557" s="239">
        <f>IF(_PENDIENTES!$B$551&lt;&gt;"",_PENDIENTES!$H$551,"")</f>
        <v/>
      </c>
      <c r="I557" s="305">
        <f>IF(_PENDIENTES!$B$551&lt;&gt;"",_PENDIENTES!$I$551,"")</f>
        <v/>
      </c>
      <c r="J557" s="241">
        <f>IF(_PENDIENTES!$B$551&lt;&gt;"",_PENDIENTES!$J$551,"")</f>
        <v/>
      </c>
      <c r="K557" s="241">
        <f>IF(_PENDIENTES!$B$551&lt;&gt;"","POR RECOGER","")</f>
        <v/>
      </c>
      <c r="L557" s="241">
        <f>IF(_PENDIENTES!$B$551&lt;&gt;"",_PENDIENTES!$K$551,"")</f>
        <v/>
      </c>
      <c r="M557" s="284">
        <f>IF(_PENDIENTES!$B$551&lt;&gt;"",_PENDIENTES!$B$551,"")</f>
        <v/>
      </c>
      <c r="N557" s="304">
        <f>IF(_PENDIENTES!$B$551&lt;&gt;"",_PENDIENTES!$L$551,"")</f>
        <v/>
      </c>
      <c r="O557" s="284" t="n"/>
      <c r="P557" s="284" t="n"/>
      <c r="Q557" s="284" t="n"/>
      <c r="R557" s="284" t="n"/>
      <c r="S557" s="284" t="n"/>
    </row>
    <row r="558" hidden="1" ht="15.75" customHeight="1" s="195">
      <c r="A558" s="301">
        <f>IF(_PENDIENTES!$B$552&lt;&gt;"",551,"")</f>
        <v/>
      </c>
      <c r="B558" s="242">
        <f>IF(_PENDIENTES!$B$552&lt;&gt;"",_PENDIENTES!$A$552,"")</f>
        <v/>
      </c>
      <c r="C558" s="302">
        <f>IF(_PENDIENTES!$B$552&lt;&gt;"",_PENDIENTES!$C$552,"")</f>
        <v/>
      </c>
      <c r="D558" s="301">
        <f>IF(_PENDIENTES!$B$552&lt;&gt;"",_PENDIENTES!$D$552,"")</f>
        <v/>
      </c>
      <c r="E558" s="306">
        <f>IF(_PENDIENTES!$B$552&lt;&gt;"",_PENDIENTES!$E$552,"")</f>
        <v/>
      </c>
      <c r="F558" s="301">
        <f>IF(_PENDIENTES!$B$552&lt;&gt;"",_PENDIENTES!$F$552,"")</f>
        <v/>
      </c>
      <c r="G558" s="245">
        <f>IF(_PENDIENTES!$B$552&lt;&gt;"",_PENDIENTES!$G$552,"")</f>
        <v/>
      </c>
      <c r="H558" s="245">
        <f>IF(_PENDIENTES!$B$552&lt;&gt;"",_PENDIENTES!$H$552,"")</f>
        <v/>
      </c>
      <c r="I558" s="302">
        <f>IF(_PENDIENTES!$B$552&lt;&gt;"",_PENDIENTES!$I$552,"")</f>
        <v/>
      </c>
      <c r="J558" s="301">
        <f>IF(_PENDIENTES!$B$552&lt;&gt;"",_PENDIENTES!$J$552,"")</f>
        <v/>
      </c>
      <c r="K558" s="301">
        <f>IF(_PENDIENTES!$B$552&lt;&gt;"","POR RECOGER","")</f>
        <v/>
      </c>
      <c r="L558" s="301">
        <f>IF(_PENDIENTES!$B$552&lt;&gt;"",_PENDIENTES!$K$552,"")</f>
        <v/>
      </c>
      <c r="M558" s="284">
        <f>IF(_PENDIENTES!$B$552&lt;&gt;"",_PENDIENTES!$B$552,"")</f>
        <v/>
      </c>
      <c r="N558" s="304">
        <f>IF(_PENDIENTES!$B$552&lt;&gt;"",_PENDIENTES!$L$552,"")</f>
        <v/>
      </c>
      <c r="O558" s="284" t="n"/>
      <c r="P558" s="284" t="n"/>
      <c r="Q558" s="284" t="n"/>
      <c r="R558" s="284" t="n"/>
      <c r="S558" s="284" t="n"/>
    </row>
    <row r="559" hidden="1" ht="15.75" customHeight="1" s="195">
      <c r="A559" s="241">
        <f>IF(_PENDIENTES!$B$553&lt;&gt;"",552,"")</f>
        <v/>
      </c>
      <c r="B559" s="236">
        <f>IF(_PENDIENTES!$B$553&lt;&gt;"",_PENDIENTES!$A$553,"")</f>
        <v/>
      </c>
      <c r="C559" s="305">
        <f>IF(_PENDIENTES!$B$553&lt;&gt;"",_PENDIENTES!$C$553,"")</f>
        <v/>
      </c>
      <c r="D559" s="241">
        <f>IF(_PENDIENTES!$B$553&lt;&gt;"",_PENDIENTES!$D$553,"")</f>
        <v/>
      </c>
      <c r="E559" s="307">
        <f>IF(_PENDIENTES!$B$553&lt;&gt;"",_PENDIENTES!$E$553,"")</f>
        <v/>
      </c>
      <c r="F559" s="241">
        <f>IF(_PENDIENTES!$B$553&lt;&gt;"",_PENDIENTES!$F$553,"")</f>
        <v/>
      </c>
      <c r="G559" s="239">
        <f>IF(_PENDIENTES!$B$553&lt;&gt;"",_PENDIENTES!$G$553,"")</f>
        <v/>
      </c>
      <c r="H559" s="239">
        <f>IF(_PENDIENTES!$B$553&lt;&gt;"",_PENDIENTES!$H$553,"")</f>
        <v/>
      </c>
      <c r="I559" s="305">
        <f>IF(_PENDIENTES!$B$553&lt;&gt;"",_PENDIENTES!$I$553,"")</f>
        <v/>
      </c>
      <c r="J559" s="241">
        <f>IF(_PENDIENTES!$B$553&lt;&gt;"",_PENDIENTES!$J$553,"")</f>
        <v/>
      </c>
      <c r="K559" s="241">
        <f>IF(_PENDIENTES!$B$553&lt;&gt;"","POR RECOGER","")</f>
        <v/>
      </c>
      <c r="L559" s="241">
        <f>IF(_PENDIENTES!$B$553&lt;&gt;"",_PENDIENTES!$K$553,"")</f>
        <v/>
      </c>
      <c r="M559" s="284">
        <f>IF(_PENDIENTES!$B$553&lt;&gt;"",_PENDIENTES!$B$553,"")</f>
        <v/>
      </c>
      <c r="N559" s="304">
        <f>IF(_PENDIENTES!$B$553&lt;&gt;"",_PENDIENTES!$L$553,"")</f>
        <v/>
      </c>
      <c r="O559" s="284" t="n"/>
      <c r="P559" s="284" t="n"/>
      <c r="Q559" s="284" t="n"/>
      <c r="R559" s="284" t="n"/>
      <c r="S559" s="284" t="n"/>
    </row>
    <row r="560" hidden="1" ht="15.75" customHeight="1" s="195">
      <c r="A560" s="301">
        <f>IF(_PENDIENTES!$B$554&lt;&gt;"",553,"")</f>
        <v/>
      </c>
      <c r="B560" s="242">
        <f>IF(_PENDIENTES!$B$554&lt;&gt;"",_PENDIENTES!$A$554,"")</f>
        <v/>
      </c>
      <c r="C560" s="302">
        <f>IF(_PENDIENTES!$B$554&lt;&gt;"",_PENDIENTES!$C$554,"")</f>
        <v/>
      </c>
      <c r="D560" s="301">
        <f>IF(_PENDIENTES!$B$554&lt;&gt;"",_PENDIENTES!$D$554,"")</f>
        <v/>
      </c>
      <c r="E560" s="306">
        <f>IF(_PENDIENTES!$B$554&lt;&gt;"",_PENDIENTES!$E$554,"")</f>
        <v/>
      </c>
      <c r="F560" s="301">
        <f>IF(_PENDIENTES!$B$554&lt;&gt;"",_PENDIENTES!$F$554,"")</f>
        <v/>
      </c>
      <c r="G560" s="245">
        <f>IF(_PENDIENTES!$B$554&lt;&gt;"",_PENDIENTES!$G$554,"")</f>
        <v/>
      </c>
      <c r="H560" s="245">
        <f>IF(_PENDIENTES!$B$554&lt;&gt;"",_PENDIENTES!$H$554,"")</f>
        <v/>
      </c>
      <c r="I560" s="302">
        <f>IF(_PENDIENTES!$B$554&lt;&gt;"",_PENDIENTES!$I$554,"")</f>
        <v/>
      </c>
      <c r="J560" s="301">
        <f>IF(_PENDIENTES!$B$554&lt;&gt;"",_PENDIENTES!$J$554,"")</f>
        <v/>
      </c>
      <c r="K560" s="301">
        <f>IF(_PENDIENTES!$B$554&lt;&gt;"","POR RECOGER","")</f>
        <v/>
      </c>
      <c r="L560" s="301">
        <f>IF(_PENDIENTES!$B$554&lt;&gt;"",_PENDIENTES!$K$554,"")</f>
        <v/>
      </c>
      <c r="M560" s="284">
        <f>IF(_PENDIENTES!$B$554&lt;&gt;"",_PENDIENTES!$B$554,"")</f>
        <v/>
      </c>
      <c r="N560" s="304">
        <f>IF(_PENDIENTES!$B$554&lt;&gt;"",_PENDIENTES!$L$554,"")</f>
        <v/>
      </c>
      <c r="O560" s="284" t="n"/>
      <c r="P560" s="284" t="n"/>
      <c r="Q560" s="284" t="n"/>
      <c r="R560" s="284" t="n"/>
      <c r="S560" s="284" t="n"/>
    </row>
    <row r="561" hidden="1" ht="15.75" customHeight="1" s="195">
      <c r="A561" s="241">
        <f>IF(_PENDIENTES!$B$555&lt;&gt;"",554,"")</f>
        <v/>
      </c>
      <c r="B561" s="236">
        <f>IF(_PENDIENTES!$B$555&lt;&gt;"",_PENDIENTES!$A$555,"")</f>
        <v/>
      </c>
      <c r="C561" s="305">
        <f>IF(_PENDIENTES!$B$555&lt;&gt;"",_PENDIENTES!$C$555,"")</f>
        <v/>
      </c>
      <c r="D561" s="241">
        <f>IF(_PENDIENTES!$B$555&lt;&gt;"",_PENDIENTES!$D$555,"")</f>
        <v/>
      </c>
      <c r="E561" s="307">
        <f>IF(_PENDIENTES!$B$555&lt;&gt;"",_PENDIENTES!$E$555,"")</f>
        <v/>
      </c>
      <c r="F561" s="241">
        <f>IF(_PENDIENTES!$B$555&lt;&gt;"",_PENDIENTES!$F$555,"")</f>
        <v/>
      </c>
      <c r="G561" s="239">
        <f>IF(_PENDIENTES!$B$555&lt;&gt;"",_PENDIENTES!$G$555,"")</f>
        <v/>
      </c>
      <c r="H561" s="239">
        <f>IF(_PENDIENTES!$B$555&lt;&gt;"",_PENDIENTES!$H$555,"")</f>
        <v/>
      </c>
      <c r="I561" s="305">
        <f>IF(_PENDIENTES!$B$555&lt;&gt;"",_PENDIENTES!$I$555,"")</f>
        <v/>
      </c>
      <c r="J561" s="241">
        <f>IF(_PENDIENTES!$B$555&lt;&gt;"",_PENDIENTES!$J$555,"")</f>
        <v/>
      </c>
      <c r="K561" s="241">
        <f>IF(_PENDIENTES!$B$555&lt;&gt;"","POR RECOGER","")</f>
        <v/>
      </c>
      <c r="L561" s="241">
        <f>IF(_PENDIENTES!$B$555&lt;&gt;"",_PENDIENTES!$K$555,"")</f>
        <v/>
      </c>
      <c r="M561" s="284">
        <f>IF(_PENDIENTES!$B$555&lt;&gt;"",_PENDIENTES!$B$555,"")</f>
        <v/>
      </c>
      <c r="N561" s="304">
        <f>IF(_PENDIENTES!$B$555&lt;&gt;"",_PENDIENTES!$L$555,"")</f>
        <v/>
      </c>
      <c r="O561" s="284" t="n"/>
      <c r="P561" s="284" t="n"/>
      <c r="Q561" s="284" t="n"/>
      <c r="R561" s="284" t="n"/>
      <c r="S561" s="284" t="n"/>
    </row>
    <row r="562" hidden="1" ht="15.75" customHeight="1" s="195">
      <c r="A562" s="301">
        <f>IF(_PENDIENTES!$B$556&lt;&gt;"",555,"")</f>
        <v/>
      </c>
      <c r="B562" s="242">
        <f>IF(_PENDIENTES!$B$556&lt;&gt;"",_PENDIENTES!$A$556,"")</f>
        <v/>
      </c>
      <c r="C562" s="302">
        <f>IF(_PENDIENTES!$B$556&lt;&gt;"",_PENDIENTES!$C$556,"")</f>
        <v/>
      </c>
      <c r="D562" s="301">
        <f>IF(_PENDIENTES!$B$556&lt;&gt;"",_PENDIENTES!$D$556,"")</f>
        <v/>
      </c>
      <c r="E562" s="306">
        <f>IF(_PENDIENTES!$B$556&lt;&gt;"",_PENDIENTES!$E$556,"")</f>
        <v/>
      </c>
      <c r="F562" s="301">
        <f>IF(_PENDIENTES!$B$556&lt;&gt;"",_PENDIENTES!$F$556,"")</f>
        <v/>
      </c>
      <c r="G562" s="245">
        <f>IF(_PENDIENTES!$B$556&lt;&gt;"",_PENDIENTES!$G$556,"")</f>
        <v/>
      </c>
      <c r="H562" s="245">
        <f>IF(_PENDIENTES!$B$556&lt;&gt;"",_PENDIENTES!$H$556,"")</f>
        <v/>
      </c>
      <c r="I562" s="302">
        <f>IF(_PENDIENTES!$B$556&lt;&gt;"",_PENDIENTES!$I$556,"")</f>
        <v/>
      </c>
      <c r="J562" s="301">
        <f>IF(_PENDIENTES!$B$556&lt;&gt;"",_PENDIENTES!$J$556,"")</f>
        <v/>
      </c>
      <c r="K562" s="301">
        <f>IF(_PENDIENTES!$B$556&lt;&gt;"","POR RECOGER","")</f>
        <v/>
      </c>
      <c r="L562" s="301">
        <f>IF(_PENDIENTES!$B$556&lt;&gt;"",_PENDIENTES!$K$556,"")</f>
        <v/>
      </c>
      <c r="M562" s="284">
        <f>IF(_PENDIENTES!$B$556&lt;&gt;"",_PENDIENTES!$B$556,"")</f>
        <v/>
      </c>
      <c r="N562" s="304">
        <f>IF(_PENDIENTES!$B$556&lt;&gt;"",_PENDIENTES!$L$556,"")</f>
        <v/>
      </c>
      <c r="O562" s="284" t="n"/>
      <c r="P562" s="284" t="n"/>
      <c r="Q562" s="284" t="n"/>
      <c r="R562" s="284" t="n"/>
      <c r="S562" s="284" t="n"/>
    </row>
    <row r="563" hidden="1" ht="15.75" customHeight="1" s="195">
      <c r="A563" s="241">
        <f>IF(_PENDIENTES!$B$557&lt;&gt;"",556,"")</f>
        <v/>
      </c>
      <c r="B563" s="236">
        <f>IF(_PENDIENTES!$B$557&lt;&gt;"",_PENDIENTES!$A$557,"")</f>
        <v/>
      </c>
      <c r="C563" s="305">
        <f>IF(_PENDIENTES!$B$557&lt;&gt;"",_PENDIENTES!$C$557,"")</f>
        <v/>
      </c>
      <c r="D563" s="241">
        <f>IF(_PENDIENTES!$B$557&lt;&gt;"",_PENDIENTES!$D$557,"")</f>
        <v/>
      </c>
      <c r="E563" s="307">
        <f>IF(_PENDIENTES!$B$557&lt;&gt;"",_PENDIENTES!$E$557,"")</f>
        <v/>
      </c>
      <c r="F563" s="241">
        <f>IF(_PENDIENTES!$B$557&lt;&gt;"",_PENDIENTES!$F$557,"")</f>
        <v/>
      </c>
      <c r="G563" s="239">
        <f>IF(_PENDIENTES!$B$557&lt;&gt;"",_PENDIENTES!$G$557,"")</f>
        <v/>
      </c>
      <c r="H563" s="239">
        <f>IF(_PENDIENTES!$B$557&lt;&gt;"",_PENDIENTES!$H$557,"")</f>
        <v/>
      </c>
      <c r="I563" s="305">
        <f>IF(_PENDIENTES!$B$557&lt;&gt;"",_PENDIENTES!$I$557,"")</f>
        <v/>
      </c>
      <c r="J563" s="241">
        <f>IF(_PENDIENTES!$B$557&lt;&gt;"",_PENDIENTES!$J$557,"")</f>
        <v/>
      </c>
      <c r="K563" s="241">
        <f>IF(_PENDIENTES!$B$557&lt;&gt;"","POR RECOGER","")</f>
        <v/>
      </c>
      <c r="L563" s="241">
        <f>IF(_PENDIENTES!$B$557&lt;&gt;"",_PENDIENTES!$K$557,"")</f>
        <v/>
      </c>
      <c r="M563" s="284">
        <f>IF(_PENDIENTES!$B$557&lt;&gt;"",_PENDIENTES!$B$557,"")</f>
        <v/>
      </c>
      <c r="N563" s="304">
        <f>IF(_PENDIENTES!$B$557&lt;&gt;"",_PENDIENTES!$L$557,"")</f>
        <v/>
      </c>
      <c r="O563" s="284" t="n"/>
      <c r="P563" s="284" t="n"/>
      <c r="Q563" s="284" t="n"/>
      <c r="R563" s="284" t="n"/>
      <c r="S563" s="284" t="n"/>
    </row>
    <row r="564" hidden="1" ht="15.75" customHeight="1" s="195">
      <c r="A564" s="301">
        <f>IF(_PENDIENTES!$B$558&lt;&gt;"",557,"")</f>
        <v/>
      </c>
      <c r="B564" s="242">
        <f>IF(_PENDIENTES!$B$558&lt;&gt;"",_PENDIENTES!$A$558,"")</f>
        <v/>
      </c>
      <c r="C564" s="302">
        <f>IF(_PENDIENTES!$B$558&lt;&gt;"",_PENDIENTES!$C$558,"")</f>
        <v/>
      </c>
      <c r="D564" s="301">
        <f>IF(_PENDIENTES!$B$558&lt;&gt;"",_PENDIENTES!$D$558,"")</f>
        <v/>
      </c>
      <c r="E564" s="306">
        <f>IF(_PENDIENTES!$B$558&lt;&gt;"",_PENDIENTES!$E$558,"")</f>
        <v/>
      </c>
      <c r="F564" s="301">
        <f>IF(_PENDIENTES!$B$558&lt;&gt;"",_PENDIENTES!$F$558,"")</f>
        <v/>
      </c>
      <c r="G564" s="245">
        <f>IF(_PENDIENTES!$B$558&lt;&gt;"",_PENDIENTES!$G$558,"")</f>
        <v/>
      </c>
      <c r="H564" s="245">
        <f>IF(_PENDIENTES!$B$558&lt;&gt;"",_PENDIENTES!$H$558,"")</f>
        <v/>
      </c>
      <c r="I564" s="302">
        <f>IF(_PENDIENTES!$B$558&lt;&gt;"",_PENDIENTES!$I$558,"")</f>
        <v/>
      </c>
      <c r="J564" s="301">
        <f>IF(_PENDIENTES!$B$558&lt;&gt;"",_PENDIENTES!$J$558,"")</f>
        <v/>
      </c>
      <c r="K564" s="301">
        <f>IF(_PENDIENTES!$B$558&lt;&gt;"","POR RECOGER","")</f>
        <v/>
      </c>
      <c r="L564" s="301">
        <f>IF(_PENDIENTES!$B$558&lt;&gt;"",_PENDIENTES!$K$558,"")</f>
        <v/>
      </c>
      <c r="M564" s="284">
        <f>IF(_PENDIENTES!$B$558&lt;&gt;"",_PENDIENTES!$B$558,"")</f>
        <v/>
      </c>
      <c r="N564" s="304">
        <f>IF(_PENDIENTES!$B$558&lt;&gt;"",_PENDIENTES!$L$558,"")</f>
        <v/>
      </c>
      <c r="O564" s="284" t="n"/>
      <c r="P564" s="284" t="n"/>
      <c r="Q564" s="284" t="n"/>
      <c r="R564" s="284" t="n"/>
      <c r="S564" s="284" t="n"/>
    </row>
    <row r="565" hidden="1" ht="15.75" customHeight="1" s="195">
      <c r="A565" s="241">
        <f>IF(_PENDIENTES!$B$559&lt;&gt;"",558,"")</f>
        <v/>
      </c>
      <c r="B565" s="236">
        <f>IF(_PENDIENTES!$B$559&lt;&gt;"",_PENDIENTES!$A$559,"")</f>
        <v/>
      </c>
      <c r="C565" s="305">
        <f>IF(_PENDIENTES!$B$559&lt;&gt;"",_PENDIENTES!$C$559,"")</f>
        <v/>
      </c>
      <c r="D565" s="241">
        <f>IF(_PENDIENTES!$B$559&lt;&gt;"",_PENDIENTES!$D$559,"")</f>
        <v/>
      </c>
      <c r="E565" s="307">
        <f>IF(_PENDIENTES!$B$559&lt;&gt;"",_PENDIENTES!$E$559,"")</f>
        <v/>
      </c>
      <c r="F565" s="241">
        <f>IF(_PENDIENTES!$B$559&lt;&gt;"",_PENDIENTES!$F$559,"")</f>
        <v/>
      </c>
      <c r="G565" s="239">
        <f>IF(_PENDIENTES!$B$559&lt;&gt;"",_PENDIENTES!$G$559,"")</f>
        <v/>
      </c>
      <c r="H565" s="239">
        <f>IF(_PENDIENTES!$B$559&lt;&gt;"",_PENDIENTES!$H$559,"")</f>
        <v/>
      </c>
      <c r="I565" s="305">
        <f>IF(_PENDIENTES!$B$559&lt;&gt;"",_PENDIENTES!$I$559,"")</f>
        <v/>
      </c>
      <c r="J565" s="241">
        <f>IF(_PENDIENTES!$B$559&lt;&gt;"",_PENDIENTES!$J$559,"")</f>
        <v/>
      </c>
      <c r="K565" s="241">
        <f>IF(_PENDIENTES!$B$559&lt;&gt;"","POR RECOGER","")</f>
        <v/>
      </c>
      <c r="L565" s="241">
        <f>IF(_PENDIENTES!$B$559&lt;&gt;"",_PENDIENTES!$K$559,"")</f>
        <v/>
      </c>
      <c r="M565" s="284">
        <f>IF(_PENDIENTES!$B$559&lt;&gt;"",_PENDIENTES!$B$559,"")</f>
        <v/>
      </c>
      <c r="N565" s="304">
        <f>IF(_PENDIENTES!$B$559&lt;&gt;"",_PENDIENTES!$L$559,"")</f>
        <v/>
      </c>
      <c r="O565" s="284" t="n"/>
      <c r="P565" s="284" t="n"/>
      <c r="Q565" s="284" t="n"/>
      <c r="R565" s="284" t="n"/>
      <c r="S565" s="284" t="n"/>
    </row>
    <row r="566" hidden="1" ht="15.75" customHeight="1" s="195">
      <c r="A566" s="301">
        <f>IF(_PENDIENTES!$B$560&lt;&gt;"",559,"")</f>
        <v/>
      </c>
      <c r="B566" s="242">
        <f>IF(_PENDIENTES!$B$560&lt;&gt;"",_PENDIENTES!$A$560,"")</f>
        <v/>
      </c>
      <c r="C566" s="302">
        <f>IF(_PENDIENTES!$B$560&lt;&gt;"",_PENDIENTES!$C$560,"")</f>
        <v/>
      </c>
      <c r="D566" s="301">
        <f>IF(_PENDIENTES!$B$560&lt;&gt;"",_PENDIENTES!$D$560,"")</f>
        <v/>
      </c>
      <c r="E566" s="306">
        <f>IF(_PENDIENTES!$B$560&lt;&gt;"",_PENDIENTES!$E$560,"")</f>
        <v/>
      </c>
      <c r="F566" s="301">
        <f>IF(_PENDIENTES!$B$560&lt;&gt;"",_PENDIENTES!$F$560,"")</f>
        <v/>
      </c>
      <c r="G566" s="245">
        <f>IF(_PENDIENTES!$B$560&lt;&gt;"",_PENDIENTES!$G$560,"")</f>
        <v/>
      </c>
      <c r="H566" s="245">
        <f>IF(_PENDIENTES!$B$560&lt;&gt;"",_PENDIENTES!$H$560,"")</f>
        <v/>
      </c>
      <c r="I566" s="302">
        <f>IF(_PENDIENTES!$B$560&lt;&gt;"",_PENDIENTES!$I$560,"")</f>
        <v/>
      </c>
      <c r="J566" s="301">
        <f>IF(_PENDIENTES!$B$560&lt;&gt;"",_PENDIENTES!$J$560,"")</f>
        <v/>
      </c>
      <c r="K566" s="301">
        <f>IF(_PENDIENTES!$B$560&lt;&gt;"","POR RECOGER","")</f>
        <v/>
      </c>
      <c r="L566" s="301">
        <f>IF(_PENDIENTES!$B$560&lt;&gt;"",_PENDIENTES!$K$560,"")</f>
        <v/>
      </c>
      <c r="M566" s="284">
        <f>IF(_PENDIENTES!$B$560&lt;&gt;"",_PENDIENTES!$B$560,"")</f>
        <v/>
      </c>
      <c r="N566" s="304">
        <f>IF(_PENDIENTES!$B$560&lt;&gt;"",_PENDIENTES!$L$560,"")</f>
        <v/>
      </c>
      <c r="O566" s="284" t="n"/>
      <c r="P566" s="284" t="n"/>
      <c r="Q566" s="284" t="n"/>
      <c r="R566" s="284" t="n"/>
      <c r="S566" s="284" t="n"/>
    </row>
    <row r="567" hidden="1" ht="15.75" customHeight="1" s="195">
      <c r="A567" s="241">
        <f>IF(_PENDIENTES!$B$561&lt;&gt;"",560,"")</f>
        <v/>
      </c>
      <c r="B567" s="236">
        <f>IF(_PENDIENTES!$B$561&lt;&gt;"",_PENDIENTES!$A$561,"")</f>
        <v/>
      </c>
      <c r="C567" s="305">
        <f>IF(_PENDIENTES!$B$561&lt;&gt;"",_PENDIENTES!$C$561,"")</f>
        <v/>
      </c>
      <c r="D567" s="241">
        <f>IF(_PENDIENTES!$B$561&lt;&gt;"",_PENDIENTES!$D$561,"")</f>
        <v/>
      </c>
      <c r="E567" s="307">
        <f>IF(_PENDIENTES!$B$561&lt;&gt;"",_PENDIENTES!$E$561,"")</f>
        <v/>
      </c>
      <c r="F567" s="241">
        <f>IF(_PENDIENTES!$B$561&lt;&gt;"",_PENDIENTES!$F$561,"")</f>
        <v/>
      </c>
      <c r="G567" s="239">
        <f>IF(_PENDIENTES!$B$561&lt;&gt;"",_PENDIENTES!$G$561,"")</f>
        <v/>
      </c>
      <c r="H567" s="239">
        <f>IF(_PENDIENTES!$B$561&lt;&gt;"",_PENDIENTES!$H$561,"")</f>
        <v/>
      </c>
      <c r="I567" s="305">
        <f>IF(_PENDIENTES!$B$561&lt;&gt;"",_PENDIENTES!$I$561,"")</f>
        <v/>
      </c>
      <c r="J567" s="241">
        <f>IF(_PENDIENTES!$B$561&lt;&gt;"",_PENDIENTES!$J$561,"")</f>
        <v/>
      </c>
      <c r="K567" s="241">
        <f>IF(_PENDIENTES!$B$561&lt;&gt;"","POR RECOGER","")</f>
        <v/>
      </c>
      <c r="L567" s="241">
        <f>IF(_PENDIENTES!$B$561&lt;&gt;"",_PENDIENTES!$K$561,"")</f>
        <v/>
      </c>
      <c r="M567" s="284">
        <f>IF(_PENDIENTES!$B$561&lt;&gt;"",_PENDIENTES!$B$561,"")</f>
        <v/>
      </c>
      <c r="N567" s="304">
        <f>IF(_PENDIENTES!$B$561&lt;&gt;"",_PENDIENTES!$L$561,"")</f>
        <v/>
      </c>
      <c r="O567" s="284" t="n"/>
      <c r="P567" s="284" t="n"/>
      <c r="Q567" s="284" t="n"/>
      <c r="R567" s="284" t="n"/>
      <c r="S567" s="284" t="n"/>
    </row>
    <row r="568" hidden="1" ht="15.75" customHeight="1" s="195">
      <c r="A568" s="301">
        <f>IF(_PENDIENTES!$B$562&lt;&gt;"",561,"")</f>
        <v/>
      </c>
      <c r="B568" s="242">
        <f>IF(_PENDIENTES!$B$562&lt;&gt;"",_PENDIENTES!$A$562,"")</f>
        <v/>
      </c>
      <c r="C568" s="302">
        <f>IF(_PENDIENTES!$B$562&lt;&gt;"",_PENDIENTES!$C$562,"")</f>
        <v/>
      </c>
      <c r="D568" s="301">
        <f>IF(_PENDIENTES!$B$562&lt;&gt;"",_PENDIENTES!$D$562,"")</f>
        <v/>
      </c>
      <c r="E568" s="306">
        <f>IF(_PENDIENTES!$B$562&lt;&gt;"",_PENDIENTES!$E$562,"")</f>
        <v/>
      </c>
      <c r="F568" s="301">
        <f>IF(_PENDIENTES!$B$562&lt;&gt;"",_PENDIENTES!$F$562,"")</f>
        <v/>
      </c>
      <c r="G568" s="245">
        <f>IF(_PENDIENTES!$B$562&lt;&gt;"",_PENDIENTES!$G$562,"")</f>
        <v/>
      </c>
      <c r="H568" s="245">
        <f>IF(_PENDIENTES!$B$562&lt;&gt;"",_PENDIENTES!$H$562,"")</f>
        <v/>
      </c>
      <c r="I568" s="302">
        <f>IF(_PENDIENTES!$B$562&lt;&gt;"",_PENDIENTES!$I$562,"")</f>
        <v/>
      </c>
      <c r="J568" s="301">
        <f>IF(_PENDIENTES!$B$562&lt;&gt;"",_PENDIENTES!$J$562,"")</f>
        <v/>
      </c>
      <c r="K568" s="301">
        <f>IF(_PENDIENTES!$B$562&lt;&gt;"","POR RECOGER","")</f>
        <v/>
      </c>
      <c r="L568" s="301">
        <f>IF(_PENDIENTES!$B$562&lt;&gt;"",_PENDIENTES!$K$562,"")</f>
        <v/>
      </c>
      <c r="M568" s="284">
        <f>IF(_PENDIENTES!$B$562&lt;&gt;"",_PENDIENTES!$B$562,"")</f>
        <v/>
      </c>
      <c r="N568" s="304">
        <f>IF(_PENDIENTES!$B$562&lt;&gt;"",_PENDIENTES!$L$562,"")</f>
        <v/>
      </c>
      <c r="O568" s="284" t="n"/>
      <c r="P568" s="284" t="n"/>
      <c r="Q568" s="284" t="n"/>
      <c r="R568" s="284" t="n"/>
      <c r="S568" s="284" t="n"/>
    </row>
    <row r="569" hidden="1" ht="15.75" customHeight="1" s="195">
      <c r="A569" s="241">
        <f>IF(_PENDIENTES!$B$563&lt;&gt;"",562,"")</f>
        <v/>
      </c>
      <c r="B569" s="236">
        <f>IF(_PENDIENTES!$B$563&lt;&gt;"",_PENDIENTES!$A$563,"")</f>
        <v/>
      </c>
      <c r="C569" s="305">
        <f>IF(_PENDIENTES!$B$563&lt;&gt;"",_PENDIENTES!$C$563,"")</f>
        <v/>
      </c>
      <c r="D569" s="241">
        <f>IF(_PENDIENTES!$B$563&lt;&gt;"",_PENDIENTES!$D$563,"")</f>
        <v/>
      </c>
      <c r="E569" s="307">
        <f>IF(_PENDIENTES!$B$563&lt;&gt;"",_PENDIENTES!$E$563,"")</f>
        <v/>
      </c>
      <c r="F569" s="241">
        <f>IF(_PENDIENTES!$B$563&lt;&gt;"",_PENDIENTES!$F$563,"")</f>
        <v/>
      </c>
      <c r="G569" s="239">
        <f>IF(_PENDIENTES!$B$563&lt;&gt;"",_PENDIENTES!$G$563,"")</f>
        <v/>
      </c>
      <c r="H569" s="239">
        <f>IF(_PENDIENTES!$B$563&lt;&gt;"",_PENDIENTES!$H$563,"")</f>
        <v/>
      </c>
      <c r="I569" s="305">
        <f>IF(_PENDIENTES!$B$563&lt;&gt;"",_PENDIENTES!$I$563,"")</f>
        <v/>
      </c>
      <c r="J569" s="241">
        <f>IF(_PENDIENTES!$B$563&lt;&gt;"",_PENDIENTES!$J$563,"")</f>
        <v/>
      </c>
      <c r="K569" s="241">
        <f>IF(_PENDIENTES!$B$563&lt;&gt;"","POR RECOGER","")</f>
        <v/>
      </c>
      <c r="L569" s="241">
        <f>IF(_PENDIENTES!$B$563&lt;&gt;"",_PENDIENTES!$K$563,"")</f>
        <v/>
      </c>
      <c r="M569" s="284">
        <f>IF(_PENDIENTES!$B$563&lt;&gt;"",_PENDIENTES!$B$563,"")</f>
        <v/>
      </c>
      <c r="N569" s="304">
        <f>IF(_PENDIENTES!$B$563&lt;&gt;"",_PENDIENTES!$L$563,"")</f>
        <v/>
      </c>
      <c r="O569" s="284" t="n"/>
      <c r="P569" s="284" t="n"/>
      <c r="Q569" s="284" t="n"/>
      <c r="R569" s="284" t="n"/>
      <c r="S569" s="284" t="n"/>
    </row>
    <row r="570" hidden="1" ht="15.75" customHeight="1" s="195">
      <c r="A570" s="301">
        <f>IF(_PENDIENTES!$B$564&lt;&gt;"",563,"")</f>
        <v/>
      </c>
      <c r="B570" s="242">
        <f>IF(_PENDIENTES!$B$564&lt;&gt;"",_PENDIENTES!$A$564,"")</f>
        <v/>
      </c>
      <c r="C570" s="302">
        <f>IF(_PENDIENTES!$B$564&lt;&gt;"",_PENDIENTES!$C$564,"")</f>
        <v/>
      </c>
      <c r="D570" s="301">
        <f>IF(_PENDIENTES!$B$564&lt;&gt;"",_PENDIENTES!$D$564,"")</f>
        <v/>
      </c>
      <c r="E570" s="306">
        <f>IF(_PENDIENTES!$B$564&lt;&gt;"",_PENDIENTES!$E$564,"")</f>
        <v/>
      </c>
      <c r="F570" s="301">
        <f>IF(_PENDIENTES!$B$564&lt;&gt;"",_PENDIENTES!$F$564,"")</f>
        <v/>
      </c>
      <c r="G570" s="245">
        <f>IF(_PENDIENTES!$B$564&lt;&gt;"",_PENDIENTES!$G$564,"")</f>
        <v/>
      </c>
      <c r="H570" s="245">
        <f>IF(_PENDIENTES!$B$564&lt;&gt;"",_PENDIENTES!$H$564,"")</f>
        <v/>
      </c>
      <c r="I570" s="302">
        <f>IF(_PENDIENTES!$B$564&lt;&gt;"",_PENDIENTES!$I$564,"")</f>
        <v/>
      </c>
      <c r="J570" s="301">
        <f>IF(_PENDIENTES!$B$564&lt;&gt;"",_PENDIENTES!$J$564,"")</f>
        <v/>
      </c>
      <c r="K570" s="301">
        <f>IF(_PENDIENTES!$B$564&lt;&gt;"","POR RECOGER","")</f>
        <v/>
      </c>
      <c r="L570" s="301">
        <f>IF(_PENDIENTES!$B$564&lt;&gt;"",_PENDIENTES!$K$564,"")</f>
        <v/>
      </c>
      <c r="M570" s="284">
        <f>IF(_PENDIENTES!$B$564&lt;&gt;"",_PENDIENTES!$B$564,"")</f>
        <v/>
      </c>
      <c r="N570" s="304">
        <f>IF(_PENDIENTES!$B$564&lt;&gt;"",_PENDIENTES!$L$564,"")</f>
        <v/>
      </c>
      <c r="O570" s="284" t="n"/>
      <c r="P570" s="284" t="n"/>
      <c r="Q570" s="284" t="n"/>
      <c r="R570" s="284" t="n"/>
      <c r="S570" s="284" t="n"/>
    </row>
    <row r="571" hidden="1" ht="15.75" customHeight="1" s="195">
      <c r="A571" s="241">
        <f>IF(_PENDIENTES!$B$565&lt;&gt;"",564,"")</f>
        <v/>
      </c>
      <c r="B571" s="236">
        <f>IF(_PENDIENTES!$B$565&lt;&gt;"",_PENDIENTES!$A$565,"")</f>
        <v/>
      </c>
      <c r="C571" s="305">
        <f>IF(_PENDIENTES!$B$565&lt;&gt;"",_PENDIENTES!$C$565,"")</f>
        <v/>
      </c>
      <c r="D571" s="241">
        <f>IF(_PENDIENTES!$B$565&lt;&gt;"",_PENDIENTES!$D$565,"")</f>
        <v/>
      </c>
      <c r="E571" s="307">
        <f>IF(_PENDIENTES!$B$565&lt;&gt;"",_PENDIENTES!$E$565,"")</f>
        <v/>
      </c>
      <c r="F571" s="241">
        <f>IF(_PENDIENTES!$B$565&lt;&gt;"",_PENDIENTES!$F$565,"")</f>
        <v/>
      </c>
      <c r="G571" s="239">
        <f>IF(_PENDIENTES!$B$565&lt;&gt;"",_PENDIENTES!$G$565,"")</f>
        <v/>
      </c>
      <c r="H571" s="239">
        <f>IF(_PENDIENTES!$B$565&lt;&gt;"",_PENDIENTES!$H$565,"")</f>
        <v/>
      </c>
      <c r="I571" s="305">
        <f>IF(_PENDIENTES!$B$565&lt;&gt;"",_PENDIENTES!$I$565,"")</f>
        <v/>
      </c>
      <c r="J571" s="241">
        <f>IF(_PENDIENTES!$B$565&lt;&gt;"",_PENDIENTES!$J$565,"")</f>
        <v/>
      </c>
      <c r="K571" s="241">
        <f>IF(_PENDIENTES!$B$565&lt;&gt;"","POR RECOGER","")</f>
        <v/>
      </c>
      <c r="L571" s="241">
        <f>IF(_PENDIENTES!$B$565&lt;&gt;"",_PENDIENTES!$K$565,"")</f>
        <v/>
      </c>
      <c r="M571" s="284">
        <f>IF(_PENDIENTES!$B$565&lt;&gt;"",_PENDIENTES!$B$565,"")</f>
        <v/>
      </c>
      <c r="N571" s="304">
        <f>IF(_PENDIENTES!$B$565&lt;&gt;"",_PENDIENTES!$L$565,"")</f>
        <v/>
      </c>
      <c r="O571" s="284" t="n"/>
      <c r="P571" s="284" t="n"/>
      <c r="Q571" s="284" t="n"/>
      <c r="R571" s="284" t="n"/>
      <c r="S571" s="284" t="n"/>
    </row>
    <row r="572" hidden="1" ht="15.75" customHeight="1" s="195">
      <c r="A572" s="301">
        <f>IF(_PENDIENTES!$B$566&lt;&gt;"",565,"")</f>
        <v/>
      </c>
      <c r="B572" s="242">
        <f>IF(_PENDIENTES!$B$566&lt;&gt;"",_PENDIENTES!$A$566,"")</f>
        <v/>
      </c>
      <c r="C572" s="302">
        <f>IF(_PENDIENTES!$B$566&lt;&gt;"",_PENDIENTES!$C$566,"")</f>
        <v/>
      </c>
      <c r="D572" s="301">
        <f>IF(_PENDIENTES!$B$566&lt;&gt;"",_PENDIENTES!$D$566,"")</f>
        <v/>
      </c>
      <c r="E572" s="306">
        <f>IF(_PENDIENTES!$B$566&lt;&gt;"",_PENDIENTES!$E$566,"")</f>
        <v/>
      </c>
      <c r="F572" s="301">
        <f>IF(_PENDIENTES!$B$566&lt;&gt;"",_PENDIENTES!$F$566,"")</f>
        <v/>
      </c>
      <c r="G572" s="245">
        <f>IF(_PENDIENTES!$B$566&lt;&gt;"",_PENDIENTES!$G$566,"")</f>
        <v/>
      </c>
      <c r="H572" s="245">
        <f>IF(_PENDIENTES!$B$566&lt;&gt;"",_PENDIENTES!$H$566,"")</f>
        <v/>
      </c>
      <c r="I572" s="302">
        <f>IF(_PENDIENTES!$B$566&lt;&gt;"",_PENDIENTES!$I$566,"")</f>
        <v/>
      </c>
      <c r="J572" s="301">
        <f>IF(_PENDIENTES!$B$566&lt;&gt;"",_PENDIENTES!$J$566,"")</f>
        <v/>
      </c>
      <c r="K572" s="301">
        <f>IF(_PENDIENTES!$B$566&lt;&gt;"","POR RECOGER","")</f>
        <v/>
      </c>
      <c r="L572" s="301">
        <f>IF(_PENDIENTES!$B$566&lt;&gt;"",_PENDIENTES!$K$566,"")</f>
        <v/>
      </c>
      <c r="M572" s="284">
        <f>IF(_PENDIENTES!$B$566&lt;&gt;"",_PENDIENTES!$B$566,"")</f>
        <v/>
      </c>
      <c r="N572" s="304">
        <f>IF(_PENDIENTES!$B$566&lt;&gt;"",_PENDIENTES!$L$566,"")</f>
        <v/>
      </c>
      <c r="O572" s="284" t="n"/>
      <c r="P572" s="284" t="n"/>
      <c r="Q572" s="284" t="n"/>
      <c r="R572" s="284" t="n"/>
      <c r="S572" s="284" t="n"/>
    </row>
    <row r="573" hidden="1" ht="15.75" customHeight="1" s="195">
      <c r="A573" s="241">
        <f>IF(_PENDIENTES!$B$567&lt;&gt;"",566,"")</f>
        <v/>
      </c>
      <c r="B573" s="236">
        <f>IF(_PENDIENTES!$B$567&lt;&gt;"",_PENDIENTES!$A$567,"")</f>
        <v/>
      </c>
      <c r="C573" s="305">
        <f>IF(_PENDIENTES!$B$567&lt;&gt;"",_PENDIENTES!$C$567,"")</f>
        <v/>
      </c>
      <c r="D573" s="241">
        <f>IF(_PENDIENTES!$B$567&lt;&gt;"",_PENDIENTES!$D$567,"")</f>
        <v/>
      </c>
      <c r="E573" s="307">
        <f>IF(_PENDIENTES!$B$567&lt;&gt;"",_PENDIENTES!$E$567,"")</f>
        <v/>
      </c>
      <c r="F573" s="241">
        <f>IF(_PENDIENTES!$B$567&lt;&gt;"",_PENDIENTES!$F$567,"")</f>
        <v/>
      </c>
      <c r="G573" s="239">
        <f>IF(_PENDIENTES!$B$567&lt;&gt;"",_PENDIENTES!$G$567,"")</f>
        <v/>
      </c>
      <c r="H573" s="239">
        <f>IF(_PENDIENTES!$B$567&lt;&gt;"",_PENDIENTES!$H$567,"")</f>
        <v/>
      </c>
      <c r="I573" s="305">
        <f>IF(_PENDIENTES!$B$567&lt;&gt;"",_PENDIENTES!$I$567,"")</f>
        <v/>
      </c>
      <c r="J573" s="241">
        <f>IF(_PENDIENTES!$B$567&lt;&gt;"",_PENDIENTES!$J$567,"")</f>
        <v/>
      </c>
      <c r="K573" s="241">
        <f>IF(_PENDIENTES!$B$567&lt;&gt;"","POR RECOGER","")</f>
        <v/>
      </c>
      <c r="L573" s="241">
        <f>IF(_PENDIENTES!$B$567&lt;&gt;"",_PENDIENTES!$K$567,"")</f>
        <v/>
      </c>
      <c r="M573" s="284">
        <f>IF(_PENDIENTES!$B$567&lt;&gt;"",_PENDIENTES!$B$567,"")</f>
        <v/>
      </c>
      <c r="N573" s="304">
        <f>IF(_PENDIENTES!$B$567&lt;&gt;"",_PENDIENTES!$L$567,"")</f>
        <v/>
      </c>
      <c r="O573" s="284" t="n"/>
      <c r="P573" s="284" t="n"/>
      <c r="Q573" s="284" t="n"/>
      <c r="R573" s="284" t="n"/>
      <c r="S573" s="284" t="n"/>
    </row>
    <row r="574" hidden="1" ht="15.75" customHeight="1" s="195">
      <c r="A574" s="301">
        <f>IF(_PENDIENTES!$B$568&lt;&gt;"",567,"")</f>
        <v/>
      </c>
      <c r="B574" s="242">
        <f>IF(_PENDIENTES!$B$568&lt;&gt;"",_PENDIENTES!$A$568,"")</f>
        <v/>
      </c>
      <c r="C574" s="302">
        <f>IF(_PENDIENTES!$B$568&lt;&gt;"",_PENDIENTES!$C$568,"")</f>
        <v/>
      </c>
      <c r="D574" s="301">
        <f>IF(_PENDIENTES!$B$568&lt;&gt;"",_PENDIENTES!$D$568,"")</f>
        <v/>
      </c>
      <c r="E574" s="306">
        <f>IF(_PENDIENTES!$B$568&lt;&gt;"",_PENDIENTES!$E$568,"")</f>
        <v/>
      </c>
      <c r="F574" s="301">
        <f>IF(_PENDIENTES!$B$568&lt;&gt;"",_PENDIENTES!$F$568,"")</f>
        <v/>
      </c>
      <c r="G574" s="245">
        <f>IF(_PENDIENTES!$B$568&lt;&gt;"",_PENDIENTES!$G$568,"")</f>
        <v/>
      </c>
      <c r="H574" s="245">
        <f>IF(_PENDIENTES!$B$568&lt;&gt;"",_PENDIENTES!$H$568,"")</f>
        <v/>
      </c>
      <c r="I574" s="302">
        <f>IF(_PENDIENTES!$B$568&lt;&gt;"",_PENDIENTES!$I$568,"")</f>
        <v/>
      </c>
      <c r="J574" s="301">
        <f>IF(_PENDIENTES!$B$568&lt;&gt;"",_PENDIENTES!$J$568,"")</f>
        <v/>
      </c>
      <c r="K574" s="301">
        <f>IF(_PENDIENTES!$B$568&lt;&gt;"","POR RECOGER","")</f>
        <v/>
      </c>
      <c r="L574" s="301">
        <f>IF(_PENDIENTES!$B$568&lt;&gt;"",_PENDIENTES!$K$568,"")</f>
        <v/>
      </c>
      <c r="M574" s="284">
        <f>IF(_PENDIENTES!$B$568&lt;&gt;"",_PENDIENTES!$B$568,"")</f>
        <v/>
      </c>
      <c r="N574" s="304">
        <f>IF(_PENDIENTES!$B$568&lt;&gt;"",_PENDIENTES!$L$568,"")</f>
        <v/>
      </c>
      <c r="O574" s="284" t="n"/>
      <c r="P574" s="284" t="n"/>
      <c r="Q574" s="284" t="n"/>
      <c r="R574" s="284" t="n"/>
      <c r="S574" s="284" t="n"/>
    </row>
    <row r="575" hidden="1" ht="15.75" customHeight="1" s="195">
      <c r="A575" s="241">
        <f>IF(_PENDIENTES!$B$569&lt;&gt;"",568,"")</f>
        <v/>
      </c>
      <c r="B575" s="236">
        <f>IF(_PENDIENTES!$B$569&lt;&gt;"",_PENDIENTES!$A$569,"")</f>
        <v/>
      </c>
      <c r="C575" s="305">
        <f>IF(_PENDIENTES!$B$569&lt;&gt;"",_PENDIENTES!$C$569,"")</f>
        <v/>
      </c>
      <c r="D575" s="241">
        <f>IF(_PENDIENTES!$B$569&lt;&gt;"",_PENDIENTES!$D$569,"")</f>
        <v/>
      </c>
      <c r="E575" s="307">
        <f>IF(_PENDIENTES!$B$569&lt;&gt;"",_PENDIENTES!$E$569,"")</f>
        <v/>
      </c>
      <c r="F575" s="241">
        <f>IF(_PENDIENTES!$B$569&lt;&gt;"",_PENDIENTES!$F$569,"")</f>
        <v/>
      </c>
      <c r="G575" s="239">
        <f>IF(_PENDIENTES!$B$569&lt;&gt;"",_PENDIENTES!$G$569,"")</f>
        <v/>
      </c>
      <c r="H575" s="239">
        <f>IF(_PENDIENTES!$B$569&lt;&gt;"",_PENDIENTES!$H$569,"")</f>
        <v/>
      </c>
      <c r="I575" s="305">
        <f>IF(_PENDIENTES!$B$569&lt;&gt;"",_PENDIENTES!$I$569,"")</f>
        <v/>
      </c>
      <c r="J575" s="241">
        <f>IF(_PENDIENTES!$B$569&lt;&gt;"",_PENDIENTES!$J$569,"")</f>
        <v/>
      </c>
      <c r="K575" s="241">
        <f>IF(_PENDIENTES!$B$569&lt;&gt;"","POR RECOGER","")</f>
        <v/>
      </c>
      <c r="L575" s="241">
        <f>IF(_PENDIENTES!$B$569&lt;&gt;"",_PENDIENTES!$K$569,"")</f>
        <v/>
      </c>
      <c r="M575" s="284">
        <f>IF(_PENDIENTES!$B$569&lt;&gt;"",_PENDIENTES!$B$569,"")</f>
        <v/>
      </c>
      <c r="N575" s="304">
        <f>IF(_PENDIENTES!$B$569&lt;&gt;"",_PENDIENTES!$L$569,"")</f>
        <v/>
      </c>
      <c r="O575" s="284" t="n"/>
      <c r="P575" s="284" t="n"/>
      <c r="Q575" s="284" t="n"/>
      <c r="R575" s="284" t="n"/>
      <c r="S575" s="284" t="n"/>
    </row>
    <row r="576" hidden="1" ht="15.75" customHeight="1" s="195">
      <c r="A576" s="301">
        <f>IF(_PENDIENTES!$B$570&lt;&gt;"",569,"")</f>
        <v/>
      </c>
      <c r="B576" s="242">
        <f>IF(_PENDIENTES!$B$570&lt;&gt;"",_PENDIENTES!$A$570,"")</f>
        <v/>
      </c>
      <c r="C576" s="302">
        <f>IF(_PENDIENTES!$B$570&lt;&gt;"",_PENDIENTES!$C$570,"")</f>
        <v/>
      </c>
      <c r="D576" s="301">
        <f>IF(_PENDIENTES!$B$570&lt;&gt;"",_PENDIENTES!$D$570,"")</f>
        <v/>
      </c>
      <c r="E576" s="306">
        <f>IF(_PENDIENTES!$B$570&lt;&gt;"",_PENDIENTES!$E$570,"")</f>
        <v/>
      </c>
      <c r="F576" s="301">
        <f>IF(_PENDIENTES!$B$570&lt;&gt;"",_PENDIENTES!$F$570,"")</f>
        <v/>
      </c>
      <c r="G576" s="245">
        <f>IF(_PENDIENTES!$B$570&lt;&gt;"",_PENDIENTES!$G$570,"")</f>
        <v/>
      </c>
      <c r="H576" s="245">
        <f>IF(_PENDIENTES!$B$570&lt;&gt;"",_PENDIENTES!$H$570,"")</f>
        <v/>
      </c>
      <c r="I576" s="302">
        <f>IF(_PENDIENTES!$B$570&lt;&gt;"",_PENDIENTES!$I$570,"")</f>
        <v/>
      </c>
      <c r="J576" s="301">
        <f>IF(_PENDIENTES!$B$570&lt;&gt;"",_PENDIENTES!$J$570,"")</f>
        <v/>
      </c>
      <c r="K576" s="301">
        <f>IF(_PENDIENTES!$B$570&lt;&gt;"","POR RECOGER","")</f>
        <v/>
      </c>
      <c r="L576" s="301">
        <f>IF(_PENDIENTES!$B$570&lt;&gt;"",_PENDIENTES!$K$570,"")</f>
        <v/>
      </c>
      <c r="M576" s="284">
        <f>IF(_PENDIENTES!$B$570&lt;&gt;"",_PENDIENTES!$B$570,"")</f>
        <v/>
      </c>
      <c r="N576" s="304">
        <f>IF(_PENDIENTES!$B$570&lt;&gt;"",_PENDIENTES!$L$570,"")</f>
        <v/>
      </c>
      <c r="O576" s="284" t="n"/>
      <c r="P576" s="284" t="n"/>
      <c r="Q576" s="284" t="n"/>
      <c r="R576" s="284" t="n"/>
      <c r="S576" s="284" t="n"/>
    </row>
    <row r="577" hidden="1" ht="15.75" customHeight="1" s="195">
      <c r="A577" s="241">
        <f>IF(_PENDIENTES!$B$571&lt;&gt;"",570,"")</f>
        <v/>
      </c>
      <c r="B577" s="236">
        <f>IF(_PENDIENTES!$B$571&lt;&gt;"",_PENDIENTES!$A$571,"")</f>
        <v/>
      </c>
      <c r="C577" s="305">
        <f>IF(_PENDIENTES!$B$571&lt;&gt;"",_PENDIENTES!$C$571,"")</f>
        <v/>
      </c>
      <c r="D577" s="241">
        <f>IF(_PENDIENTES!$B$571&lt;&gt;"",_PENDIENTES!$D$571,"")</f>
        <v/>
      </c>
      <c r="E577" s="307">
        <f>IF(_PENDIENTES!$B$571&lt;&gt;"",_PENDIENTES!$E$571,"")</f>
        <v/>
      </c>
      <c r="F577" s="241">
        <f>IF(_PENDIENTES!$B$571&lt;&gt;"",_PENDIENTES!$F$571,"")</f>
        <v/>
      </c>
      <c r="G577" s="239">
        <f>IF(_PENDIENTES!$B$571&lt;&gt;"",_PENDIENTES!$G$571,"")</f>
        <v/>
      </c>
      <c r="H577" s="239">
        <f>IF(_PENDIENTES!$B$571&lt;&gt;"",_PENDIENTES!$H$571,"")</f>
        <v/>
      </c>
      <c r="I577" s="305">
        <f>IF(_PENDIENTES!$B$571&lt;&gt;"",_PENDIENTES!$I$571,"")</f>
        <v/>
      </c>
      <c r="J577" s="241">
        <f>IF(_PENDIENTES!$B$571&lt;&gt;"",_PENDIENTES!$J$571,"")</f>
        <v/>
      </c>
      <c r="K577" s="241">
        <f>IF(_PENDIENTES!$B$571&lt;&gt;"","POR RECOGER","")</f>
        <v/>
      </c>
      <c r="L577" s="241">
        <f>IF(_PENDIENTES!$B$571&lt;&gt;"",_PENDIENTES!$K$571,"")</f>
        <v/>
      </c>
      <c r="M577" s="284">
        <f>IF(_PENDIENTES!$B$571&lt;&gt;"",_PENDIENTES!$B$571,"")</f>
        <v/>
      </c>
      <c r="N577" s="304">
        <f>IF(_PENDIENTES!$B$571&lt;&gt;"",_PENDIENTES!$L$571,"")</f>
        <v/>
      </c>
      <c r="O577" s="284" t="n"/>
      <c r="P577" s="284" t="n"/>
      <c r="Q577" s="284" t="n"/>
      <c r="R577" s="284" t="n"/>
      <c r="S577" s="284" t="n"/>
    </row>
    <row r="578" hidden="1" ht="15.75" customHeight="1" s="195">
      <c r="A578" s="301">
        <f>IF(_PENDIENTES!$B$572&lt;&gt;"",571,"")</f>
        <v/>
      </c>
      <c r="B578" s="242">
        <f>IF(_PENDIENTES!$B$572&lt;&gt;"",_PENDIENTES!$A$572,"")</f>
        <v/>
      </c>
      <c r="C578" s="302">
        <f>IF(_PENDIENTES!$B$572&lt;&gt;"",_PENDIENTES!$C$572,"")</f>
        <v/>
      </c>
      <c r="D578" s="301">
        <f>IF(_PENDIENTES!$B$572&lt;&gt;"",_PENDIENTES!$D$572,"")</f>
        <v/>
      </c>
      <c r="E578" s="306">
        <f>IF(_PENDIENTES!$B$572&lt;&gt;"",_PENDIENTES!$E$572,"")</f>
        <v/>
      </c>
      <c r="F578" s="301">
        <f>IF(_PENDIENTES!$B$572&lt;&gt;"",_PENDIENTES!$F$572,"")</f>
        <v/>
      </c>
      <c r="G578" s="245">
        <f>IF(_PENDIENTES!$B$572&lt;&gt;"",_PENDIENTES!$G$572,"")</f>
        <v/>
      </c>
      <c r="H578" s="245">
        <f>IF(_PENDIENTES!$B$572&lt;&gt;"",_PENDIENTES!$H$572,"")</f>
        <v/>
      </c>
      <c r="I578" s="302">
        <f>IF(_PENDIENTES!$B$572&lt;&gt;"",_PENDIENTES!$I$572,"")</f>
        <v/>
      </c>
      <c r="J578" s="301">
        <f>IF(_PENDIENTES!$B$572&lt;&gt;"",_PENDIENTES!$J$572,"")</f>
        <v/>
      </c>
      <c r="K578" s="301">
        <f>IF(_PENDIENTES!$B$572&lt;&gt;"","POR RECOGER","")</f>
        <v/>
      </c>
      <c r="L578" s="301">
        <f>IF(_PENDIENTES!$B$572&lt;&gt;"",_PENDIENTES!$K$572,"")</f>
        <v/>
      </c>
      <c r="M578" s="284">
        <f>IF(_PENDIENTES!$B$572&lt;&gt;"",_PENDIENTES!$B$572,"")</f>
        <v/>
      </c>
      <c r="N578" s="304">
        <f>IF(_PENDIENTES!$B$572&lt;&gt;"",_PENDIENTES!$L$572,"")</f>
        <v/>
      </c>
      <c r="O578" s="284" t="n"/>
      <c r="P578" s="284" t="n"/>
      <c r="Q578" s="284" t="n"/>
      <c r="R578" s="284" t="n"/>
      <c r="S578" s="284" t="n"/>
    </row>
    <row r="579" hidden="1" ht="15.75" customHeight="1" s="195">
      <c r="A579" s="241">
        <f>IF(_PENDIENTES!$B$573&lt;&gt;"",572,"")</f>
        <v/>
      </c>
      <c r="B579" s="236">
        <f>IF(_PENDIENTES!$B$573&lt;&gt;"",_PENDIENTES!$A$573,"")</f>
        <v/>
      </c>
      <c r="C579" s="305">
        <f>IF(_PENDIENTES!$B$573&lt;&gt;"",_PENDIENTES!$C$573,"")</f>
        <v/>
      </c>
      <c r="D579" s="241">
        <f>IF(_PENDIENTES!$B$573&lt;&gt;"",_PENDIENTES!$D$573,"")</f>
        <v/>
      </c>
      <c r="E579" s="241">
        <f>IF(_PENDIENTES!$B$573&lt;&gt;"",_PENDIENTES!$E$573,"")</f>
        <v/>
      </c>
      <c r="F579" s="241">
        <f>IF(_PENDIENTES!$B$573&lt;&gt;"",_PENDIENTES!$F$573,"")</f>
        <v/>
      </c>
      <c r="G579" s="239">
        <f>IF(_PENDIENTES!$B$573&lt;&gt;"",_PENDIENTES!$G$573,"")</f>
        <v/>
      </c>
      <c r="H579" s="239">
        <f>IF(_PENDIENTES!$B$573&lt;&gt;"",_PENDIENTES!$H$573,"")</f>
        <v/>
      </c>
      <c r="I579" s="305">
        <f>IF(_PENDIENTES!$B$573&lt;&gt;"",_PENDIENTES!$I$573,"")</f>
        <v/>
      </c>
      <c r="J579" s="241">
        <f>IF(_PENDIENTES!$B$573&lt;&gt;"",_PENDIENTES!$J$573,"")</f>
        <v/>
      </c>
      <c r="K579" s="241">
        <f>IF(_PENDIENTES!$B$573&lt;&gt;"","POR RECOGER","")</f>
        <v/>
      </c>
      <c r="L579" s="241">
        <f>IF(_PENDIENTES!$B$573&lt;&gt;"",_PENDIENTES!$K$573,"")</f>
        <v/>
      </c>
      <c r="M579" s="284">
        <f>IF(_PENDIENTES!$B$573&lt;&gt;"",_PENDIENTES!$B$573,"")</f>
        <v/>
      </c>
      <c r="N579" s="304">
        <f>IF(_PENDIENTES!$B$573&lt;&gt;"",_PENDIENTES!$L$573,"")</f>
        <v/>
      </c>
      <c r="O579" s="284" t="n"/>
      <c r="P579" s="284" t="n"/>
      <c r="Q579" s="284" t="n"/>
      <c r="R579" s="284" t="n"/>
      <c r="S579" s="284" t="n"/>
    </row>
    <row r="580" hidden="1" ht="15.75" customHeight="1" s="195">
      <c r="A580" s="301">
        <f>IF(_PENDIENTES!$B$574&lt;&gt;"",573,"")</f>
        <v/>
      </c>
      <c r="B580" s="242">
        <f>IF(_PENDIENTES!$B$574&lt;&gt;"",_PENDIENTES!$A$574,"")</f>
        <v/>
      </c>
      <c r="C580" s="302">
        <f>IF(_PENDIENTES!$B$574&lt;&gt;"",_PENDIENTES!$C$574,"")</f>
        <v/>
      </c>
      <c r="D580" s="301">
        <f>IF(_PENDIENTES!$B$574&lt;&gt;"",_PENDIENTES!$D$574,"")</f>
        <v/>
      </c>
      <c r="E580" s="306">
        <f>IF(_PENDIENTES!$B$574&lt;&gt;"",_PENDIENTES!$E$574,"")</f>
        <v/>
      </c>
      <c r="F580" s="301">
        <f>IF(_PENDIENTES!$B$574&lt;&gt;"",_PENDIENTES!$F$574,"")</f>
        <v/>
      </c>
      <c r="G580" s="245">
        <f>IF(_PENDIENTES!$B$574&lt;&gt;"",_PENDIENTES!$G$574,"")</f>
        <v/>
      </c>
      <c r="H580" s="245">
        <f>IF(_PENDIENTES!$B$574&lt;&gt;"",_PENDIENTES!$H$574,"")</f>
        <v/>
      </c>
      <c r="I580" s="302">
        <f>IF(_PENDIENTES!$B$574&lt;&gt;"",_PENDIENTES!$I$574,"")</f>
        <v/>
      </c>
      <c r="J580" s="301">
        <f>IF(_PENDIENTES!$B$574&lt;&gt;"",_PENDIENTES!$J$574,"")</f>
        <v/>
      </c>
      <c r="K580" s="301">
        <f>IF(_PENDIENTES!$B$574&lt;&gt;"","POR RECOGER","")</f>
        <v/>
      </c>
      <c r="L580" s="301">
        <f>IF(_PENDIENTES!$B$574&lt;&gt;"",_PENDIENTES!$K$574,"")</f>
        <v/>
      </c>
      <c r="M580" s="284">
        <f>IF(_PENDIENTES!$B$574&lt;&gt;"",_PENDIENTES!$B$574,"")</f>
        <v/>
      </c>
      <c r="N580" s="304">
        <f>IF(_PENDIENTES!$B$574&lt;&gt;"",_PENDIENTES!$L$574,"")</f>
        <v/>
      </c>
      <c r="O580" s="284" t="n"/>
      <c r="P580" s="284" t="n"/>
      <c r="Q580" s="284" t="n"/>
      <c r="R580" s="284" t="n"/>
      <c r="S580" s="284" t="n"/>
    </row>
    <row r="581" hidden="1" ht="15.75" customHeight="1" s="195">
      <c r="A581" s="241">
        <f>IF(_PENDIENTES!$B$575&lt;&gt;"",574,"")</f>
        <v/>
      </c>
      <c r="B581" s="236">
        <f>IF(_PENDIENTES!$B$575&lt;&gt;"",_PENDIENTES!$A$575,"")</f>
        <v/>
      </c>
      <c r="C581" s="305">
        <f>IF(_PENDIENTES!$B$575&lt;&gt;"",_PENDIENTES!$C$575,"")</f>
        <v/>
      </c>
      <c r="D581" s="241">
        <f>IF(_PENDIENTES!$B$575&lt;&gt;"",_PENDIENTES!$D$575,"")</f>
        <v/>
      </c>
      <c r="E581" s="307">
        <f>IF(_PENDIENTES!$B$575&lt;&gt;"",_PENDIENTES!$E$575,"")</f>
        <v/>
      </c>
      <c r="F581" s="241">
        <f>IF(_PENDIENTES!$B$575&lt;&gt;"",_PENDIENTES!$F$575,"")</f>
        <v/>
      </c>
      <c r="G581" s="239">
        <f>IF(_PENDIENTES!$B$575&lt;&gt;"",_PENDIENTES!$G$575,"")</f>
        <v/>
      </c>
      <c r="H581" s="239">
        <f>IF(_PENDIENTES!$B$575&lt;&gt;"",_PENDIENTES!$H$575,"")</f>
        <v/>
      </c>
      <c r="I581" s="305">
        <f>IF(_PENDIENTES!$B$575&lt;&gt;"",_PENDIENTES!$I$575,"")</f>
        <v/>
      </c>
      <c r="J581" s="241">
        <f>IF(_PENDIENTES!$B$575&lt;&gt;"",_PENDIENTES!$J$575,"")</f>
        <v/>
      </c>
      <c r="K581" s="241">
        <f>IF(_PENDIENTES!$B$575&lt;&gt;"","POR RECOGER","")</f>
        <v/>
      </c>
      <c r="L581" s="241">
        <f>IF(_PENDIENTES!$B$575&lt;&gt;"",_PENDIENTES!$K$575,"")</f>
        <v/>
      </c>
      <c r="M581" s="284">
        <f>IF(_PENDIENTES!$B$575&lt;&gt;"",_PENDIENTES!$B$575,"")</f>
        <v/>
      </c>
      <c r="N581" s="304">
        <f>IF(_PENDIENTES!$B$575&lt;&gt;"",_PENDIENTES!$L$575,"")</f>
        <v/>
      </c>
      <c r="O581" s="284" t="n"/>
      <c r="P581" s="284" t="n"/>
      <c r="Q581" s="284" t="n"/>
      <c r="R581" s="284" t="n"/>
      <c r="S581" s="284" t="n"/>
    </row>
    <row r="582" hidden="1" ht="15.75" customHeight="1" s="195">
      <c r="A582" s="301">
        <f>IF(_PENDIENTES!$B$576&lt;&gt;"",575,"")</f>
        <v/>
      </c>
      <c r="B582" s="242">
        <f>IF(_PENDIENTES!$B$576&lt;&gt;"",_PENDIENTES!$A$576,"")</f>
        <v/>
      </c>
      <c r="C582" s="302">
        <f>IF(_PENDIENTES!$B$576&lt;&gt;"",_PENDIENTES!$C$576,"")</f>
        <v/>
      </c>
      <c r="D582" s="301">
        <f>IF(_PENDIENTES!$B$576&lt;&gt;"",_PENDIENTES!$D$576,"")</f>
        <v/>
      </c>
      <c r="E582" s="306">
        <f>IF(_PENDIENTES!$B$576&lt;&gt;"",_PENDIENTES!$E$576,"")</f>
        <v/>
      </c>
      <c r="F582" s="301">
        <f>IF(_PENDIENTES!$B$576&lt;&gt;"",_PENDIENTES!$F$576,"")</f>
        <v/>
      </c>
      <c r="G582" s="245">
        <f>IF(_PENDIENTES!$B$576&lt;&gt;"",_PENDIENTES!$G$576,"")</f>
        <v/>
      </c>
      <c r="H582" s="245">
        <f>IF(_PENDIENTES!$B$576&lt;&gt;"",_PENDIENTES!$H$576,"")</f>
        <v/>
      </c>
      <c r="I582" s="302">
        <f>IF(_PENDIENTES!$B$576&lt;&gt;"",_PENDIENTES!$I$576,"")</f>
        <v/>
      </c>
      <c r="J582" s="301">
        <f>IF(_PENDIENTES!$B$576&lt;&gt;"",_PENDIENTES!$J$576,"")</f>
        <v/>
      </c>
      <c r="K582" s="301">
        <f>IF(_PENDIENTES!$B$576&lt;&gt;"","POR RECOGER","")</f>
        <v/>
      </c>
      <c r="L582" s="301">
        <f>IF(_PENDIENTES!$B$576&lt;&gt;"",_PENDIENTES!$K$576,"")</f>
        <v/>
      </c>
      <c r="M582" s="284">
        <f>IF(_PENDIENTES!$B$576&lt;&gt;"",_PENDIENTES!$B$576,"")</f>
        <v/>
      </c>
      <c r="N582" s="304">
        <f>IF(_PENDIENTES!$B$576&lt;&gt;"",_PENDIENTES!$L$576,"")</f>
        <v/>
      </c>
      <c r="O582" s="284" t="n"/>
      <c r="P582" s="284" t="n"/>
      <c r="Q582" s="284" t="n"/>
      <c r="R582" s="284" t="n"/>
      <c r="S582" s="284" t="n"/>
    </row>
    <row r="583" hidden="1" ht="15.75" customHeight="1" s="195">
      <c r="A583" s="241">
        <f>IF(_PENDIENTES!$B$577&lt;&gt;"",576,"")</f>
        <v/>
      </c>
      <c r="B583" s="236">
        <f>IF(_PENDIENTES!$B$577&lt;&gt;"",_PENDIENTES!$A$577,"")</f>
        <v/>
      </c>
      <c r="C583" s="305">
        <f>IF(_PENDIENTES!$B$577&lt;&gt;"",_PENDIENTES!$C$577,"")</f>
        <v/>
      </c>
      <c r="D583" s="241">
        <f>IF(_PENDIENTES!$B$577&lt;&gt;"",_PENDIENTES!$D$577,"")</f>
        <v/>
      </c>
      <c r="E583" s="307">
        <f>IF(_PENDIENTES!$B$577&lt;&gt;"",_PENDIENTES!$E$577,"")</f>
        <v/>
      </c>
      <c r="F583" s="241">
        <f>IF(_PENDIENTES!$B$577&lt;&gt;"",_PENDIENTES!$F$577,"")</f>
        <v/>
      </c>
      <c r="G583" s="239">
        <f>IF(_PENDIENTES!$B$577&lt;&gt;"",_PENDIENTES!$G$577,"")</f>
        <v/>
      </c>
      <c r="H583" s="239">
        <f>IF(_PENDIENTES!$B$577&lt;&gt;"",_PENDIENTES!$H$577,"")</f>
        <v/>
      </c>
      <c r="I583" s="305">
        <f>IF(_PENDIENTES!$B$577&lt;&gt;"",_PENDIENTES!$I$577,"")</f>
        <v/>
      </c>
      <c r="J583" s="241">
        <f>IF(_PENDIENTES!$B$577&lt;&gt;"",_PENDIENTES!$J$577,"")</f>
        <v/>
      </c>
      <c r="K583" s="241">
        <f>IF(_PENDIENTES!$B$577&lt;&gt;"","POR RECOGER","")</f>
        <v/>
      </c>
      <c r="L583" s="241">
        <f>IF(_PENDIENTES!$B$577&lt;&gt;"",_PENDIENTES!$K$577,"")</f>
        <v/>
      </c>
      <c r="M583" s="284">
        <f>IF(_PENDIENTES!$B$577&lt;&gt;"",_PENDIENTES!$B$577,"")</f>
        <v/>
      </c>
      <c r="N583" s="304">
        <f>IF(_PENDIENTES!$B$577&lt;&gt;"",_PENDIENTES!$L$577,"")</f>
        <v/>
      </c>
      <c r="O583" s="284" t="n"/>
      <c r="P583" s="284" t="n"/>
      <c r="Q583" s="284" t="n"/>
      <c r="R583" s="284" t="n"/>
      <c r="S583" s="284" t="n"/>
    </row>
    <row r="584" hidden="1" ht="15.75" customHeight="1" s="195">
      <c r="A584" s="301">
        <f>IF(_PENDIENTES!$B$578&lt;&gt;"",577,"")</f>
        <v/>
      </c>
      <c r="B584" s="242">
        <f>IF(_PENDIENTES!$B$578&lt;&gt;"",_PENDIENTES!$A$578,"")</f>
        <v/>
      </c>
      <c r="C584" s="302">
        <f>IF(_PENDIENTES!$B$578&lt;&gt;"",_PENDIENTES!$C$578,"")</f>
        <v/>
      </c>
      <c r="D584" s="301">
        <f>IF(_PENDIENTES!$B$578&lt;&gt;"",_PENDIENTES!$D$578,"")</f>
        <v/>
      </c>
      <c r="E584" s="306">
        <f>IF(_PENDIENTES!$B$578&lt;&gt;"",_PENDIENTES!$E$578,"")</f>
        <v/>
      </c>
      <c r="F584" s="301">
        <f>IF(_PENDIENTES!$B$578&lt;&gt;"",_PENDIENTES!$F$578,"")</f>
        <v/>
      </c>
      <c r="G584" s="245">
        <f>IF(_PENDIENTES!$B$578&lt;&gt;"",_PENDIENTES!$G$578,"")</f>
        <v/>
      </c>
      <c r="H584" s="245">
        <f>IF(_PENDIENTES!$B$578&lt;&gt;"",_PENDIENTES!$H$578,"")</f>
        <v/>
      </c>
      <c r="I584" s="302">
        <f>IF(_PENDIENTES!$B$578&lt;&gt;"",_PENDIENTES!$I$578,"")</f>
        <v/>
      </c>
      <c r="J584" s="301">
        <f>IF(_PENDIENTES!$B$578&lt;&gt;"",_PENDIENTES!$J$578,"")</f>
        <v/>
      </c>
      <c r="K584" s="301">
        <f>IF(_PENDIENTES!$B$578&lt;&gt;"","POR RECOGER","")</f>
        <v/>
      </c>
      <c r="L584" s="301">
        <f>IF(_PENDIENTES!$B$578&lt;&gt;"",_PENDIENTES!$K$578,"")</f>
        <v/>
      </c>
      <c r="M584" s="284">
        <f>IF(_PENDIENTES!$B$578&lt;&gt;"",_PENDIENTES!$B$578,"")</f>
        <v/>
      </c>
      <c r="N584" s="304">
        <f>IF(_PENDIENTES!$B$578&lt;&gt;"",_PENDIENTES!$L$578,"")</f>
        <v/>
      </c>
      <c r="O584" s="284" t="n"/>
      <c r="P584" s="284" t="n"/>
      <c r="Q584" s="284" t="n"/>
      <c r="R584" s="284" t="n"/>
      <c r="S584" s="284" t="n"/>
    </row>
    <row r="585" hidden="1" ht="15.75" customHeight="1" s="195">
      <c r="A585" s="241">
        <f>IF(_PENDIENTES!$B$579&lt;&gt;"",578,"")</f>
        <v/>
      </c>
      <c r="B585" s="236">
        <f>IF(_PENDIENTES!$B$579&lt;&gt;"",_PENDIENTES!$A$579,"")</f>
        <v/>
      </c>
      <c r="C585" s="305">
        <f>IF(_PENDIENTES!$B$579&lt;&gt;"",_PENDIENTES!$C$579,"")</f>
        <v/>
      </c>
      <c r="D585" s="241">
        <f>IF(_PENDIENTES!$B$579&lt;&gt;"",_PENDIENTES!$D$579,"")</f>
        <v/>
      </c>
      <c r="E585" s="307">
        <f>IF(_PENDIENTES!$B$579&lt;&gt;"",_PENDIENTES!$E$579,"")</f>
        <v/>
      </c>
      <c r="F585" s="241">
        <f>IF(_PENDIENTES!$B$579&lt;&gt;"",_PENDIENTES!$F$579,"")</f>
        <v/>
      </c>
      <c r="G585" s="239">
        <f>IF(_PENDIENTES!$B$579&lt;&gt;"",_PENDIENTES!$G$579,"")</f>
        <v/>
      </c>
      <c r="H585" s="239">
        <f>IF(_PENDIENTES!$B$579&lt;&gt;"",_PENDIENTES!$H$579,"")</f>
        <v/>
      </c>
      <c r="I585" s="305">
        <f>IF(_PENDIENTES!$B$579&lt;&gt;"",_PENDIENTES!$I$579,"")</f>
        <v/>
      </c>
      <c r="J585" s="241">
        <f>IF(_PENDIENTES!$B$579&lt;&gt;"",_PENDIENTES!$J$579,"")</f>
        <v/>
      </c>
      <c r="K585" s="241">
        <f>IF(_PENDIENTES!$B$579&lt;&gt;"","POR RECOGER","")</f>
        <v/>
      </c>
      <c r="L585" s="241">
        <f>IF(_PENDIENTES!$B$579&lt;&gt;"",_PENDIENTES!$K$579,"")</f>
        <v/>
      </c>
      <c r="M585" s="284">
        <f>IF(_PENDIENTES!$B$579&lt;&gt;"",_PENDIENTES!$B$579,"")</f>
        <v/>
      </c>
      <c r="N585" s="304">
        <f>IF(_PENDIENTES!$B$579&lt;&gt;"",_PENDIENTES!$L$579,"")</f>
        <v/>
      </c>
      <c r="O585" s="284" t="n"/>
      <c r="P585" s="284" t="n"/>
      <c r="Q585" s="284" t="n"/>
      <c r="R585" s="284" t="n"/>
      <c r="S585" s="284" t="n"/>
    </row>
    <row r="586" hidden="1" ht="15.75" customHeight="1" s="195">
      <c r="A586" s="301">
        <f>IF(_PENDIENTES!$B$580&lt;&gt;"",579,"")</f>
        <v/>
      </c>
      <c r="B586" s="242">
        <f>IF(_PENDIENTES!$B$580&lt;&gt;"",_PENDIENTES!$A$580,"")</f>
        <v/>
      </c>
      <c r="C586" s="302">
        <f>IF(_PENDIENTES!$B$580&lt;&gt;"",_PENDIENTES!$C$580,"")</f>
        <v/>
      </c>
      <c r="D586" s="301">
        <f>IF(_PENDIENTES!$B$580&lt;&gt;"",_PENDIENTES!$D$580,"")</f>
        <v/>
      </c>
      <c r="E586" s="306">
        <f>IF(_PENDIENTES!$B$580&lt;&gt;"",_PENDIENTES!$E$580,"")</f>
        <v/>
      </c>
      <c r="F586" s="301">
        <f>IF(_PENDIENTES!$B$580&lt;&gt;"",_PENDIENTES!$F$580,"")</f>
        <v/>
      </c>
      <c r="G586" s="245">
        <f>IF(_PENDIENTES!$B$580&lt;&gt;"",_PENDIENTES!$G$580,"")</f>
        <v/>
      </c>
      <c r="H586" s="245">
        <f>IF(_PENDIENTES!$B$580&lt;&gt;"",_PENDIENTES!$H$580,"")</f>
        <v/>
      </c>
      <c r="I586" s="302">
        <f>IF(_PENDIENTES!$B$580&lt;&gt;"",_PENDIENTES!$I$580,"")</f>
        <v/>
      </c>
      <c r="J586" s="301">
        <f>IF(_PENDIENTES!$B$580&lt;&gt;"",_PENDIENTES!$J$580,"")</f>
        <v/>
      </c>
      <c r="K586" s="301">
        <f>IF(_PENDIENTES!$B$580&lt;&gt;"","POR RECOGER","")</f>
        <v/>
      </c>
      <c r="L586" s="301">
        <f>IF(_PENDIENTES!$B$580&lt;&gt;"",_PENDIENTES!$K$580,"")</f>
        <v/>
      </c>
      <c r="M586" s="284">
        <f>IF(_PENDIENTES!$B$580&lt;&gt;"",_PENDIENTES!$B$580,"")</f>
        <v/>
      </c>
      <c r="N586" s="304">
        <f>IF(_PENDIENTES!$B$580&lt;&gt;"",_PENDIENTES!$L$580,"")</f>
        <v/>
      </c>
      <c r="O586" s="284" t="n"/>
      <c r="P586" s="284" t="n"/>
      <c r="Q586" s="284" t="n"/>
      <c r="R586" s="284" t="n"/>
      <c r="S586" s="284" t="n"/>
    </row>
    <row r="587" hidden="1" ht="15.75" customHeight="1" s="195">
      <c r="A587" s="241">
        <f>IF(_PENDIENTES!$B$581&lt;&gt;"",580,"")</f>
        <v/>
      </c>
      <c r="B587" s="236">
        <f>IF(_PENDIENTES!$B$581&lt;&gt;"",_PENDIENTES!$A$581,"")</f>
        <v/>
      </c>
      <c r="C587" s="305">
        <f>IF(_PENDIENTES!$B$581&lt;&gt;"",_PENDIENTES!$C$581,"")</f>
        <v/>
      </c>
      <c r="D587" s="241">
        <f>IF(_PENDIENTES!$B$581&lt;&gt;"",_PENDIENTES!$D$581,"")</f>
        <v/>
      </c>
      <c r="E587" s="307">
        <f>IF(_PENDIENTES!$B$581&lt;&gt;"",_PENDIENTES!$E$581,"")</f>
        <v/>
      </c>
      <c r="F587" s="241">
        <f>IF(_PENDIENTES!$B$581&lt;&gt;"",_PENDIENTES!$F$581,"")</f>
        <v/>
      </c>
      <c r="G587" s="239">
        <f>IF(_PENDIENTES!$B$581&lt;&gt;"",_PENDIENTES!$G$581,"")</f>
        <v/>
      </c>
      <c r="H587" s="239">
        <f>IF(_PENDIENTES!$B$581&lt;&gt;"",_PENDIENTES!$H$581,"")</f>
        <v/>
      </c>
      <c r="I587" s="305">
        <f>IF(_PENDIENTES!$B$581&lt;&gt;"",_PENDIENTES!$I$581,"")</f>
        <v/>
      </c>
      <c r="J587" s="241">
        <f>IF(_PENDIENTES!$B$581&lt;&gt;"",_PENDIENTES!$J$581,"")</f>
        <v/>
      </c>
      <c r="K587" s="241">
        <f>IF(_PENDIENTES!$B$581&lt;&gt;"","POR RECOGER","")</f>
        <v/>
      </c>
      <c r="L587" s="241">
        <f>IF(_PENDIENTES!$B$581&lt;&gt;"",_PENDIENTES!$K$581,"")</f>
        <v/>
      </c>
      <c r="M587" s="284">
        <f>IF(_PENDIENTES!$B$581&lt;&gt;"",_PENDIENTES!$B$581,"")</f>
        <v/>
      </c>
      <c r="N587" s="304">
        <f>IF(_PENDIENTES!$B$581&lt;&gt;"",_PENDIENTES!$L$581,"")</f>
        <v/>
      </c>
      <c r="O587" s="284" t="n"/>
      <c r="P587" s="284" t="n"/>
      <c r="Q587" s="284" t="n"/>
      <c r="R587" s="284" t="n"/>
      <c r="S587" s="284" t="n"/>
    </row>
    <row r="588" hidden="1" ht="15.75" customHeight="1" s="195">
      <c r="A588" s="301">
        <f>IF(_PENDIENTES!$B$582&lt;&gt;"",581,"")</f>
        <v/>
      </c>
      <c r="B588" s="242">
        <f>IF(_PENDIENTES!$B$582&lt;&gt;"",_PENDIENTES!$A$582,"")</f>
        <v/>
      </c>
      <c r="C588" s="302">
        <f>IF(_PENDIENTES!$B$582&lt;&gt;"",_PENDIENTES!$C$582,"")</f>
        <v/>
      </c>
      <c r="D588" s="301">
        <f>IF(_PENDIENTES!$B$582&lt;&gt;"",_PENDIENTES!$D$582,"")</f>
        <v/>
      </c>
      <c r="E588" s="306">
        <f>IF(_PENDIENTES!$B$582&lt;&gt;"",_PENDIENTES!$E$582,"")</f>
        <v/>
      </c>
      <c r="F588" s="301">
        <f>IF(_PENDIENTES!$B$582&lt;&gt;"",_PENDIENTES!$F$582,"")</f>
        <v/>
      </c>
      <c r="G588" s="245">
        <f>IF(_PENDIENTES!$B$582&lt;&gt;"",_PENDIENTES!$G$582,"")</f>
        <v/>
      </c>
      <c r="H588" s="245">
        <f>IF(_PENDIENTES!$B$582&lt;&gt;"",_PENDIENTES!$H$582,"")</f>
        <v/>
      </c>
      <c r="I588" s="302">
        <f>IF(_PENDIENTES!$B$582&lt;&gt;"",_PENDIENTES!$I$582,"")</f>
        <v/>
      </c>
      <c r="J588" s="301">
        <f>IF(_PENDIENTES!$B$582&lt;&gt;"",_PENDIENTES!$J$582,"")</f>
        <v/>
      </c>
      <c r="K588" s="301">
        <f>IF(_PENDIENTES!$B$582&lt;&gt;"","POR RECOGER","")</f>
        <v/>
      </c>
      <c r="L588" s="301">
        <f>IF(_PENDIENTES!$B$582&lt;&gt;"",_PENDIENTES!$K$582,"")</f>
        <v/>
      </c>
      <c r="M588" s="284">
        <f>IF(_PENDIENTES!$B$582&lt;&gt;"",_PENDIENTES!$B$582,"")</f>
        <v/>
      </c>
      <c r="N588" s="304">
        <f>IF(_PENDIENTES!$B$582&lt;&gt;"",_PENDIENTES!$L$582,"")</f>
        <v/>
      </c>
      <c r="O588" s="284" t="n"/>
      <c r="P588" s="284" t="n"/>
      <c r="Q588" s="284" t="n"/>
      <c r="R588" s="284" t="n"/>
      <c r="S588" s="284" t="n"/>
    </row>
    <row r="589" hidden="1" ht="15.75" customHeight="1" s="195">
      <c r="A589" s="241">
        <f>IF(_PENDIENTES!$B$583&lt;&gt;"",582,"")</f>
        <v/>
      </c>
      <c r="B589" s="236">
        <f>IF(_PENDIENTES!$B$583&lt;&gt;"",_PENDIENTES!$A$583,"")</f>
        <v/>
      </c>
      <c r="C589" s="305">
        <f>IF(_PENDIENTES!$B$583&lt;&gt;"",_PENDIENTES!$C$583,"")</f>
        <v/>
      </c>
      <c r="D589" s="241">
        <f>IF(_PENDIENTES!$B$583&lt;&gt;"",_PENDIENTES!$D$583,"")</f>
        <v/>
      </c>
      <c r="E589" s="307">
        <f>IF(_PENDIENTES!$B$583&lt;&gt;"",_PENDIENTES!$E$583,"")</f>
        <v/>
      </c>
      <c r="F589" s="241">
        <f>IF(_PENDIENTES!$B$583&lt;&gt;"",_PENDIENTES!$F$583,"")</f>
        <v/>
      </c>
      <c r="G589" s="239">
        <f>IF(_PENDIENTES!$B$583&lt;&gt;"",_PENDIENTES!$G$583,"")</f>
        <v/>
      </c>
      <c r="H589" s="239">
        <f>IF(_PENDIENTES!$B$583&lt;&gt;"",_PENDIENTES!$H$583,"")</f>
        <v/>
      </c>
      <c r="I589" s="305">
        <f>IF(_PENDIENTES!$B$583&lt;&gt;"",_PENDIENTES!$I$583,"")</f>
        <v/>
      </c>
      <c r="J589" s="241">
        <f>IF(_PENDIENTES!$B$583&lt;&gt;"",_PENDIENTES!$J$583,"")</f>
        <v/>
      </c>
      <c r="K589" s="241">
        <f>IF(_PENDIENTES!$B$583&lt;&gt;"","POR RECOGER","")</f>
        <v/>
      </c>
      <c r="L589" s="241">
        <f>IF(_PENDIENTES!$B$583&lt;&gt;"",_PENDIENTES!$K$583,"")</f>
        <v/>
      </c>
      <c r="M589" s="284">
        <f>IF(_PENDIENTES!$B$583&lt;&gt;"",_PENDIENTES!$B$583,"")</f>
        <v/>
      </c>
      <c r="N589" s="304">
        <f>IF(_PENDIENTES!$B$583&lt;&gt;"",_PENDIENTES!$L$583,"")</f>
        <v/>
      </c>
      <c r="O589" s="284" t="n"/>
      <c r="P589" s="284" t="n"/>
      <c r="Q589" s="284" t="n"/>
      <c r="R589" s="284" t="n"/>
      <c r="S589" s="284" t="n"/>
    </row>
    <row r="590" hidden="1" ht="15.75" customHeight="1" s="195">
      <c r="A590" s="301">
        <f>IF(_PENDIENTES!$B$584&lt;&gt;"",583,"")</f>
        <v/>
      </c>
      <c r="B590" s="242">
        <f>IF(_PENDIENTES!$B$584&lt;&gt;"",_PENDIENTES!$A$584,"")</f>
        <v/>
      </c>
      <c r="C590" s="302">
        <f>IF(_PENDIENTES!$B$584&lt;&gt;"",_PENDIENTES!$C$584,"")</f>
        <v/>
      </c>
      <c r="D590" s="301">
        <f>IF(_PENDIENTES!$B$584&lt;&gt;"",_PENDIENTES!$D$584,"")</f>
        <v/>
      </c>
      <c r="E590" s="306">
        <f>IF(_PENDIENTES!$B$584&lt;&gt;"",_PENDIENTES!$E$584,"")</f>
        <v/>
      </c>
      <c r="F590" s="301">
        <f>IF(_PENDIENTES!$B$584&lt;&gt;"",_PENDIENTES!$F$584,"")</f>
        <v/>
      </c>
      <c r="G590" s="245">
        <f>IF(_PENDIENTES!$B$584&lt;&gt;"",_PENDIENTES!$G$584,"")</f>
        <v/>
      </c>
      <c r="H590" s="245">
        <f>IF(_PENDIENTES!$B$584&lt;&gt;"",_PENDIENTES!$H$584,"")</f>
        <v/>
      </c>
      <c r="I590" s="302">
        <f>IF(_PENDIENTES!$B$584&lt;&gt;"",_PENDIENTES!$I$584,"")</f>
        <v/>
      </c>
      <c r="J590" s="301">
        <f>IF(_PENDIENTES!$B$584&lt;&gt;"",_PENDIENTES!$J$584,"")</f>
        <v/>
      </c>
      <c r="K590" s="301">
        <f>IF(_PENDIENTES!$B$584&lt;&gt;"","POR RECOGER","")</f>
        <v/>
      </c>
      <c r="L590" s="301">
        <f>IF(_PENDIENTES!$B$584&lt;&gt;"",_PENDIENTES!$K$584,"")</f>
        <v/>
      </c>
      <c r="M590" s="284">
        <f>IF(_PENDIENTES!$B$584&lt;&gt;"",_PENDIENTES!$B$584,"")</f>
        <v/>
      </c>
      <c r="N590" s="304">
        <f>IF(_PENDIENTES!$B$584&lt;&gt;"",_PENDIENTES!$L$584,"")</f>
        <v/>
      </c>
      <c r="O590" s="284" t="n"/>
      <c r="P590" s="284" t="n"/>
      <c r="Q590" s="284" t="n"/>
      <c r="R590" s="284" t="n"/>
      <c r="S590" s="284" t="n"/>
    </row>
    <row r="591" hidden="1" ht="15.75" customHeight="1" s="195">
      <c r="A591" s="241">
        <f>IF(_PENDIENTES!$B$585&lt;&gt;"",584,"")</f>
        <v/>
      </c>
      <c r="B591" s="236">
        <f>IF(_PENDIENTES!$B$585&lt;&gt;"",_PENDIENTES!$A$585,"")</f>
        <v/>
      </c>
      <c r="C591" s="305">
        <f>IF(_PENDIENTES!$B$585&lt;&gt;"",_PENDIENTES!$C$585,"")</f>
        <v/>
      </c>
      <c r="D591" s="241">
        <f>IF(_PENDIENTES!$B$585&lt;&gt;"",_PENDIENTES!$D$585,"")</f>
        <v/>
      </c>
      <c r="E591" s="307">
        <f>IF(_PENDIENTES!$B$585&lt;&gt;"",_PENDIENTES!$E$585,"")</f>
        <v/>
      </c>
      <c r="F591" s="241">
        <f>IF(_PENDIENTES!$B$585&lt;&gt;"",_PENDIENTES!$F$585,"")</f>
        <v/>
      </c>
      <c r="G591" s="239">
        <f>IF(_PENDIENTES!$B$585&lt;&gt;"",_PENDIENTES!$G$585,"")</f>
        <v/>
      </c>
      <c r="H591" s="239">
        <f>IF(_PENDIENTES!$B$585&lt;&gt;"",_PENDIENTES!$H$585,"")</f>
        <v/>
      </c>
      <c r="I591" s="305">
        <f>IF(_PENDIENTES!$B$585&lt;&gt;"",_PENDIENTES!$I$585,"")</f>
        <v/>
      </c>
      <c r="J591" s="241">
        <f>IF(_PENDIENTES!$B$585&lt;&gt;"",_PENDIENTES!$J$585,"")</f>
        <v/>
      </c>
      <c r="K591" s="241">
        <f>IF(_PENDIENTES!$B$585&lt;&gt;"","POR RECOGER","")</f>
        <v/>
      </c>
      <c r="L591" s="241">
        <f>IF(_PENDIENTES!$B$585&lt;&gt;"",_PENDIENTES!$K$585,"")</f>
        <v/>
      </c>
      <c r="M591" s="284">
        <f>IF(_PENDIENTES!$B$585&lt;&gt;"",_PENDIENTES!$B$585,"")</f>
        <v/>
      </c>
      <c r="N591" s="304">
        <f>IF(_PENDIENTES!$B$585&lt;&gt;"",_PENDIENTES!$L$585,"")</f>
        <v/>
      </c>
      <c r="O591" s="284" t="n"/>
      <c r="P591" s="284" t="n"/>
      <c r="Q591" s="284" t="n"/>
      <c r="R591" s="284" t="n"/>
      <c r="S591" s="284" t="n"/>
    </row>
    <row r="592" hidden="1" ht="15.75" customHeight="1" s="195">
      <c r="A592" s="301">
        <f>IF(_PENDIENTES!$B$586&lt;&gt;"",585,"")</f>
        <v/>
      </c>
      <c r="B592" s="242">
        <f>IF(_PENDIENTES!$B$586&lt;&gt;"",_PENDIENTES!$A$586,"")</f>
        <v/>
      </c>
      <c r="C592" s="302">
        <f>IF(_PENDIENTES!$B$586&lt;&gt;"",_PENDIENTES!$C$586,"")</f>
        <v/>
      </c>
      <c r="D592" s="301">
        <f>IF(_PENDIENTES!$B$586&lt;&gt;"",_PENDIENTES!$D$586,"")</f>
        <v/>
      </c>
      <c r="E592" s="306">
        <f>IF(_PENDIENTES!$B$586&lt;&gt;"",_PENDIENTES!$E$586,"")</f>
        <v/>
      </c>
      <c r="F592" s="301">
        <f>IF(_PENDIENTES!$B$586&lt;&gt;"",_PENDIENTES!$F$586,"")</f>
        <v/>
      </c>
      <c r="G592" s="245">
        <f>IF(_PENDIENTES!$B$586&lt;&gt;"",_PENDIENTES!$G$586,"")</f>
        <v/>
      </c>
      <c r="H592" s="245">
        <f>IF(_PENDIENTES!$B$586&lt;&gt;"",_PENDIENTES!$H$586,"")</f>
        <v/>
      </c>
      <c r="I592" s="302">
        <f>IF(_PENDIENTES!$B$586&lt;&gt;"",_PENDIENTES!$I$586,"")</f>
        <v/>
      </c>
      <c r="J592" s="301">
        <f>IF(_PENDIENTES!$B$586&lt;&gt;"",_PENDIENTES!$J$586,"")</f>
        <v/>
      </c>
      <c r="K592" s="301">
        <f>IF(_PENDIENTES!$B$586&lt;&gt;"","POR RECOGER","")</f>
        <v/>
      </c>
      <c r="L592" s="301">
        <f>IF(_PENDIENTES!$B$586&lt;&gt;"",_PENDIENTES!$K$586,"")</f>
        <v/>
      </c>
      <c r="M592" s="284">
        <f>IF(_PENDIENTES!$B$586&lt;&gt;"",_PENDIENTES!$B$586,"")</f>
        <v/>
      </c>
      <c r="N592" s="304">
        <f>IF(_PENDIENTES!$B$586&lt;&gt;"",_PENDIENTES!$L$586,"")</f>
        <v/>
      </c>
      <c r="O592" s="284" t="n"/>
      <c r="P592" s="284" t="n"/>
      <c r="Q592" s="284" t="n"/>
      <c r="R592" s="284" t="n"/>
      <c r="S592" s="284" t="n"/>
    </row>
    <row r="593" hidden="1" ht="15.75" customHeight="1" s="195">
      <c r="A593" s="241">
        <f>IF(_PENDIENTES!$B$587&lt;&gt;"",586,"")</f>
        <v/>
      </c>
      <c r="B593" s="236">
        <f>IF(_PENDIENTES!$B$587&lt;&gt;"",_PENDIENTES!$A$587,"")</f>
        <v/>
      </c>
      <c r="C593" s="305">
        <f>IF(_PENDIENTES!$B$587&lt;&gt;"",_PENDIENTES!$C$587,"")</f>
        <v/>
      </c>
      <c r="D593" s="241">
        <f>IF(_PENDIENTES!$B$587&lt;&gt;"",_PENDIENTES!$D$587,"")</f>
        <v/>
      </c>
      <c r="E593" s="307">
        <f>IF(_PENDIENTES!$B$587&lt;&gt;"",_PENDIENTES!$E$587,"")</f>
        <v/>
      </c>
      <c r="F593" s="241">
        <f>IF(_PENDIENTES!$B$587&lt;&gt;"",_PENDIENTES!$F$587,"")</f>
        <v/>
      </c>
      <c r="G593" s="239">
        <f>IF(_PENDIENTES!$B$587&lt;&gt;"",_PENDIENTES!$G$587,"")</f>
        <v/>
      </c>
      <c r="H593" s="239">
        <f>IF(_PENDIENTES!$B$587&lt;&gt;"",_PENDIENTES!$H$587,"")</f>
        <v/>
      </c>
      <c r="I593" s="305">
        <f>IF(_PENDIENTES!$B$587&lt;&gt;"",_PENDIENTES!$I$587,"")</f>
        <v/>
      </c>
      <c r="J593" s="241">
        <f>IF(_PENDIENTES!$B$587&lt;&gt;"",_PENDIENTES!$J$587,"")</f>
        <v/>
      </c>
      <c r="K593" s="241">
        <f>IF(_PENDIENTES!$B$587&lt;&gt;"","POR RECOGER","")</f>
        <v/>
      </c>
      <c r="L593" s="241">
        <f>IF(_PENDIENTES!$B$587&lt;&gt;"",_PENDIENTES!$K$587,"")</f>
        <v/>
      </c>
      <c r="M593" s="284">
        <f>IF(_PENDIENTES!$B$587&lt;&gt;"",_PENDIENTES!$B$587,"")</f>
        <v/>
      </c>
      <c r="N593" s="304">
        <f>IF(_PENDIENTES!$B$587&lt;&gt;"",_PENDIENTES!$L$587,"")</f>
        <v/>
      </c>
      <c r="O593" s="284" t="n"/>
      <c r="P593" s="284" t="n"/>
      <c r="Q593" s="284" t="n"/>
      <c r="R593" s="284" t="n"/>
      <c r="S593" s="284" t="n"/>
    </row>
    <row r="594" hidden="1" ht="15.75" customHeight="1" s="195">
      <c r="A594" s="301">
        <f>IF(_PENDIENTES!$B$588&lt;&gt;"",587,"")</f>
        <v/>
      </c>
      <c r="B594" s="242">
        <f>IF(_PENDIENTES!$B$588&lt;&gt;"",_PENDIENTES!$A$588,"")</f>
        <v/>
      </c>
      <c r="C594" s="302">
        <f>IF(_PENDIENTES!$B$588&lt;&gt;"",_PENDIENTES!$C$588,"")</f>
        <v/>
      </c>
      <c r="D594" s="301">
        <f>IF(_PENDIENTES!$B$588&lt;&gt;"",_PENDIENTES!$D$588,"")</f>
        <v/>
      </c>
      <c r="E594" s="306">
        <f>IF(_PENDIENTES!$B$588&lt;&gt;"",_PENDIENTES!$E$588,"")</f>
        <v/>
      </c>
      <c r="F594" s="301">
        <f>IF(_PENDIENTES!$B$588&lt;&gt;"",_PENDIENTES!$F$588,"")</f>
        <v/>
      </c>
      <c r="G594" s="245">
        <f>IF(_PENDIENTES!$B$588&lt;&gt;"",_PENDIENTES!$G$588,"")</f>
        <v/>
      </c>
      <c r="H594" s="245">
        <f>IF(_PENDIENTES!$B$588&lt;&gt;"",_PENDIENTES!$H$588,"")</f>
        <v/>
      </c>
      <c r="I594" s="302">
        <f>IF(_PENDIENTES!$B$588&lt;&gt;"",_PENDIENTES!$I$588,"")</f>
        <v/>
      </c>
      <c r="J594" s="301">
        <f>IF(_PENDIENTES!$B$588&lt;&gt;"",_PENDIENTES!$J$588,"")</f>
        <v/>
      </c>
      <c r="K594" s="301">
        <f>IF(_PENDIENTES!$B$588&lt;&gt;"","POR RECOGER","")</f>
        <v/>
      </c>
      <c r="L594" s="301">
        <f>IF(_PENDIENTES!$B$588&lt;&gt;"",_PENDIENTES!$K$588,"")</f>
        <v/>
      </c>
      <c r="M594" s="284">
        <f>IF(_PENDIENTES!$B$588&lt;&gt;"",_PENDIENTES!$B$588,"")</f>
        <v/>
      </c>
      <c r="N594" s="304">
        <f>IF(_PENDIENTES!$B$588&lt;&gt;"",_PENDIENTES!$L$588,"")</f>
        <v/>
      </c>
      <c r="O594" s="284" t="n"/>
      <c r="P594" s="284" t="n"/>
      <c r="Q594" s="284" t="n"/>
      <c r="R594" s="284" t="n"/>
      <c r="S594" s="284" t="n"/>
    </row>
    <row r="595" hidden="1" ht="15.75" customHeight="1" s="195">
      <c r="A595" s="241">
        <f>IF(_PENDIENTES!$B$589&lt;&gt;"",588,"")</f>
        <v/>
      </c>
      <c r="B595" s="236">
        <f>IF(_PENDIENTES!$B$589&lt;&gt;"",_PENDIENTES!$A$589,"")</f>
        <v/>
      </c>
      <c r="C595" s="305">
        <f>IF(_PENDIENTES!$B$589&lt;&gt;"",_PENDIENTES!$C$589,"")</f>
        <v/>
      </c>
      <c r="D595" s="241">
        <f>IF(_PENDIENTES!$B$589&lt;&gt;"",_PENDIENTES!$D$589,"")</f>
        <v/>
      </c>
      <c r="E595" s="307">
        <f>IF(_PENDIENTES!$B$589&lt;&gt;"",_PENDIENTES!$E$589,"")</f>
        <v/>
      </c>
      <c r="F595" s="241">
        <f>IF(_PENDIENTES!$B$589&lt;&gt;"",_PENDIENTES!$F$589,"")</f>
        <v/>
      </c>
      <c r="G595" s="239">
        <f>IF(_PENDIENTES!$B$589&lt;&gt;"",_PENDIENTES!$G$589,"")</f>
        <v/>
      </c>
      <c r="H595" s="239">
        <f>IF(_PENDIENTES!$B$589&lt;&gt;"",_PENDIENTES!$H$589,"")</f>
        <v/>
      </c>
      <c r="I595" s="305">
        <f>IF(_PENDIENTES!$B$589&lt;&gt;"",_PENDIENTES!$I$589,"")</f>
        <v/>
      </c>
      <c r="J595" s="241">
        <f>IF(_PENDIENTES!$B$589&lt;&gt;"",_PENDIENTES!$J$589,"")</f>
        <v/>
      </c>
      <c r="K595" s="241">
        <f>IF(_PENDIENTES!$B$589&lt;&gt;"","POR RECOGER","")</f>
        <v/>
      </c>
      <c r="L595" s="241">
        <f>IF(_PENDIENTES!$B$589&lt;&gt;"",_PENDIENTES!$K$589,"")</f>
        <v/>
      </c>
      <c r="M595" s="284">
        <f>IF(_PENDIENTES!$B$589&lt;&gt;"",_PENDIENTES!$B$589,"")</f>
        <v/>
      </c>
      <c r="N595" s="304">
        <f>IF(_PENDIENTES!$B$589&lt;&gt;"",_PENDIENTES!$L$589,"")</f>
        <v/>
      </c>
      <c r="O595" s="284" t="n"/>
      <c r="P595" s="284" t="n"/>
      <c r="Q595" s="284" t="n"/>
      <c r="R595" s="284" t="n"/>
      <c r="S595" s="284" t="n"/>
    </row>
    <row r="596" hidden="1" ht="15.75" customHeight="1" s="195">
      <c r="A596" s="301">
        <f>IF(_PENDIENTES!$B$590&lt;&gt;"",589,"")</f>
        <v/>
      </c>
      <c r="B596" s="242">
        <f>IF(_PENDIENTES!$B$590&lt;&gt;"",_PENDIENTES!$A$590,"")</f>
        <v/>
      </c>
      <c r="C596" s="302">
        <f>IF(_PENDIENTES!$B$590&lt;&gt;"",_PENDIENTES!$C$590,"")</f>
        <v/>
      </c>
      <c r="D596" s="301">
        <f>IF(_PENDIENTES!$B$590&lt;&gt;"",_PENDIENTES!$D$590,"")</f>
        <v/>
      </c>
      <c r="E596" s="306">
        <f>IF(_PENDIENTES!$B$590&lt;&gt;"",_PENDIENTES!$E$590,"")</f>
        <v/>
      </c>
      <c r="F596" s="301">
        <f>IF(_PENDIENTES!$B$590&lt;&gt;"",_PENDIENTES!$F$590,"")</f>
        <v/>
      </c>
      <c r="G596" s="245">
        <f>IF(_PENDIENTES!$B$590&lt;&gt;"",_PENDIENTES!$G$590,"")</f>
        <v/>
      </c>
      <c r="H596" s="245">
        <f>IF(_PENDIENTES!$B$590&lt;&gt;"",_PENDIENTES!$H$590,"")</f>
        <v/>
      </c>
      <c r="I596" s="302">
        <f>IF(_PENDIENTES!$B$590&lt;&gt;"",_PENDIENTES!$I$590,"")</f>
        <v/>
      </c>
      <c r="J596" s="301">
        <f>IF(_PENDIENTES!$B$590&lt;&gt;"",_PENDIENTES!$J$590,"")</f>
        <v/>
      </c>
      <c r="K596" s="301">
        <f>IF(_PENDIENTES!$B$590&lt;&gt;"","POR RECOGER","")</f>
        <v/>
      </c>
      <c r="L596" s="301">
        <f>IF(_PENDIENTES!$B$590&lt;&gt;"",_PENDIENTES!$K$590,"")</f>
        <v/>
      </c>
      <c r="M596" s="284">
        <f>IF(_PENDIENTES!$B$590&lt;&gt;"",_PENDIENTES!$B$590,"")</f>
        <v/>
      </c>
      <c r="N596" s="304">
        <f>IF(_PENDIENTES!$B$590&lt;&gt;"",_PENDIENTES!$L$590,"")</f>
        <v/>
      </c>
      <c r="O596" s="284" t="n"/>
      <c r="P596" s="284" t="n"/>
      <c r="Q596" s="284" t="n"/>
      <c r="R596" s="284" t="n"/>
      <c r="S596" s="284" t="n"/>
    </row>
    <row r="597" hidden="1" ht="15.75" customHeight="1" s="195">
      <c r="A597" s="241">
        <f>IF(_PENDIENTES!$B$591&lt;&gt;"",590,"")</f>
        <v/>
      </c>
      <c r="B597" s="236">
        <f>IF(_PENDIENTES!$B$591&lt;&gt;"",_PENDIENTES!$A$591,"")</f>
        <v/>
      </c>
      <c r="C597" s="305">
        <f>IF(_PENDIENTES!$B$591&lt;&gt;"",_PENDIENTES!$C$591,"")</f>
        <v/>
      </c>
      <c r="D597" s="241">
        <f>IF(_PENDIENTES!$B$591&lt;&gt;"",_PENDIENTES!$D$591,"")</f>
        <v/>
      </c>
      <c r="E597" s="307">
        <f>IF(_PENDIENTES!$B$591&lt;&gt;"",_PENDIENTES!$E$591,"")</f>
        <v/>
      </c>
      <c r="F597" s="241">
        <f>IF(_PENDIENTES!$B$591&lt;&gt;"",_PENDIENTES!$F$591,"")</f>
        <v/>
      </c>
      <c r="G597" s="239">
        <f>IF(_PENDIENTES!$B$591&lt;&gt;"",_PENDIENTES!$G$591,"")</f>
        <v/>
      </c>
      <c r="H597" s="239">
        <f>IF(_PENDIENTES!$B$591&lt;&gt;"",_PENDIENTES!$H$591,"")</f>
        <v/>
      </c>
      <c r="I597" s="305">
        <f>IF(_PENDIENTES!$B$591&lt;&gt;"",_PENDIENTES!$I$591,"")</f>
        <v/>
      </c>
      <c r="J597" s="241">
        <f>IF(_PENDIENTES!$B$591&lt;&gt;"",_PENDIENTES!$J$591,"")</f>
        <v/>
      </c>
      <c r="K597" s="241">
        <f>IF(_PENDIENTES!$B$591&lt;&gt;"","POR RECOGER","")</f>
        <v/>
      </c>
      <c r="L597" s="241">
        <f>IF(_PENDIENTES!$B$591&lt;&gt;"",_PENDIENTES!$K$591,"")</f>
        <v/>
      </c>
      <c r="M597" s="284">
        <f>IF(_PENDIENTES!$B$591&lt;&gt;"",_PENDIENTES!$B$591,"")</f>
        <v/>
      </c>
      <c r="N597" s="304">
        <f>IF(_PENDIENTES!$B$591&lt;&gt;"",_PENDIENTES!$L$591,"")</f>
        <v/>
      </c>
      <c r="O597" s="284" t="n"/>
      <c r="P597" s="284" t="n"/>
      <c r="Q597" s="284" t="n"/>
      <c r="R597" s="284" t="n"/>
      <c r="S597" s="284" t="n"/>
    </row>
    <row r="598" hidden="1" ht="15.75" customHeight="1" s="195">
      <c r="A598" s="301">
        <f>IF(_PENDIENTES!$B$592&lt;&gt;"",591,"")</f>
        <v/>
      </c>
      <c r="B598" s="242">
        <f>IF(_PENDIENTES!$B$592&lt;&gt;"",_PENDIENTES!$A$592,"")</f>
        <v/>
      </c>
      <c r="C598" s="302">
        <f>IF(_PENDIENTES!$B$592&lt;&gt;"",_PENDIENTES!$C$592,"")</f>
        <v/>
      </c>
      <c r="D598" s="301">
        <f>IF(_PENDIENTES!$B$592&lt;&gt;"",_PENDIENTES!$D$592,"")</f>
        <v/>
      </c>
      <c r="E598" s="306">
        <f>IF(_PENDIENTES!$B$592&lt;&gt;"",_PENDIENTES!$E$592,"")</f>
        <v/>
      </c>
      <c r="F598" s="301">
        <f>IF(_PENDIENTES!$B$592&lt;&gt;"",_PENDIENTES!$F$592,"")</f>
        <v/>
      </c>
      <c r="G598" s="245">
        <f>IF(_PENDIENTES!$B$592&lt;&gt;"",_PENDIENTES!$G$592,"")</f>
        <v/>
      </c>
      <c r="H598" s="245">
        <f>IF(_PENDIENTES!$B$592&lt;&gt;"",_PENDIENTES!$H$592,"")</f>
        <v/>
      </c>
      <c r="I598" s="302">
        <f>IF(_PENDIENTES!$B$592&lt;&gt;"",_PENDIENTES!$I$592,"")</f>
        <v/>
      </c>
      <c r="J598" s="301">
        <f>IF(_PENDIENTES!$B$592&lt;&gt;"",_PENDIENTES!$J$592,"")</f>
        <v/>
      </c>
      <c r="K598" s="301">
        <f>IF(_PENDIENTES!$B$592&lt;&gt;"","POR RECOGER","")</f>
        <v/>
      </c>
      <c r="L598" s="301">
        <f>IF(_PENDIENTES!$B$592&lt;&gt;"",_PENDIENTES!$K$592,"")</f>
        <v/>
      </c>
      <c r="M598" s="284">
        <f>IF(_PENDIENTES!$B$592&lt;&gt;"",_PENDIENTES!$B$592,"")</f>
        <v/>
      </c>
      <c r="N598" s="304">
        <f>IF(_PENDIENTES!$B$592&lt;&gt;"",_PENDIENTES!$L$592,"")</f>
        <v/>
      </c>
      <c r="O598" s="284" t="n"/>
      <c r="P598" s="284" t="n"/>
      <c r="Q598" s="284" t="n"/>
      <c r="R598" s="284" t="n"/>
      <c r="S598" s="284" t="n"/>
    </row>
    <row r="599" hidden="1" ht="15.75" customHeight="1" s="195">
      <c r="A599" s="241">
        <f>IF(_PENDIENTES!$B$593&lt;&gt;"",592,"")</f>
        <v/>
      </c>
      <c r="B599" s="236">
        <f>IF(_PENDIENTES!$B$593&lt;&gt;"",_PENDIENTES!$A$593,"")</f>
        <v/>
      </c>
      <c r="C599" s="305">
        <f>IF(_PENDIENTES!$B$593&lt;&gt;"",_PENDIENTES!$C$593,"")</f>
        <v/>
      </c>
      <c r="D599" s="241">
        <f>IF(_PENDIENTES!$B$593&lt;&gt;"",_PENDIENTES!$D$593,"")</f>
        <v/>
      </c>
      <c r="E599" s="307">
        <f>IF(_PENDIENTES!$B$593&lt;&gt;"",_PENDIENTES!$E$593,"")</f>
        <v/>
      </c>
      <c r="F599" s="241">
        <f>IF(_PENDIENTES!$B$593&lt;&gt;"",_PENDIENTES!$F$593,"")</f>
        <v/>
      </c>
      <c r="G599" s="239">
        <f>IF(_PENDIENTES!$B$593&lt;&gt;"",_PENDIENTES!$G$593,"")</f>
        <v/>
      </c>
      <c r="H599" s="239">
        <f>IF(_PENDIENTES!$B$593&lt;&gt;"",_PENDIENTES!$H$593,"")</f>
        <v/>
      </c>
      <c r="I599" s="305">
        <f>IF(_PENDIENTES!$B$593&lt;&gt;"",_PENDIENTES!$I$593,"")</f>
        <v/>
      </c>
      <c r="J599" s="241">
        <f>IF(_PENDIENTES!$B$593&lt;&gt;"",_PENDIENTES!$J$593,"")</f>
        <v/>
      </c>
      <c r="K599" s="241">
        <f>IF(_PENDIENTES!$B$593&lt;&gt;"","POR RECOGER","")</f>
        <v/>
      </c>
      <c r="L599" s="241">
        <f>IF(_PENDIENTES!$B$593&lt;&gt;"",_PENDIENTES!$K$593,"")</f>
        <v/>
      </c>
      <c r="M599" s="284">
        <f>IF(_PENDIENTES!$B$593&lt;&gt;"",_PENDIENTES!$B$593,"")</f>
        <v/>
      </c>
      <c r="N599" s="304">
        <f>IF(_PENDIENTES!$B$593&lt;&gt;"",_PENDIENTES!$L$593,"")</f>
        <v/>
      </c>
      <c r="O599" s="284" t="n"/>
      <c r="P599" s="284" t="n"/>
      <c r="Q599" s="284" t="n"/>
      <c r="R599" s="284" t="n"/>
      <c r="S599" s="284" t="n"/>
    </row>
    <row r="600" hidden="1" ht="15.75" customHeight="1" s="195">
      <c r="A600" s="301">
        <f>IF(_PENDIENTES!$B$594&lt;&gt;"",593,"")</f>
        <v/>
      </c>
      <c r="B600" s="242">
        <f>IF(_PENDIENTES!$B$594&lt;&gt;"",_PENDIENTES!$A$594,"")</f>
        <v/>
      </c>
      <c r="C600" s="302">
        <f>IF(_PENDIENTES!$B$594&lt;&gt;"",_PENDIENTES!$C$594,"")</f>
        <v/>
      </c>
      <c r="D600" s="301">
        <f>IF(_PENDIENTES!$B$594&lt;&gt;"",_PENDIENTES!$D$594,"")</f>
        <v/>
      </c>
      <c r="E600" s="306">
        <f>IF(_PENDIENTES!$B$594&lt;&gt;"",_PENDIENTES!$E$594,"")</f>
        <v/>
      </c>
      <c r="F600" s="301">
        <f>IF(_PENDIENTES!$B$594&lt;&gt;"",_PENDIENTES!$F$594,"")</f>
        <v/>
      </c>
      <c r="G600" s="245">
        <f>IF(_PENDIENTES!$B$594&lt;&gt;"",_PENDIENTES!$G$594,"")</f>
        <v/>
      </c>
      <c r="H600" s="245">
        <f>IF(_PENDIENTES!$B$594&lt;&gt;"",_PENDIENTES!$H$594,"")</f>
        <v/>
      </c>
      <c r="I600" s="302">
        <f>IF(_PENDIENTES!$B$594&lt;&gt;"",_PENDIENTES!$I$594,"")</f>
        <v/>
      </c>
      <c r="J600" s="301">
        <f>IF(_PENDIENTES!$B$594&lt;&gt;"",_PENDIENTES!$J$594,"")</f>
        <v/>
      </c>
      <c r="K600" s="301">
        <f>IF(_PENDIENTES!$B$594&lt;&gt;"","POR RECOGER","")</f>
        <v/>
      </c>
      <c r="L600" s="301">
        <f>IF(_PENDIENTES!$B$594&lt;&gt;"",_PENDIENTES!$K$594,"")</f>
        <v/>
      </c>
      <c r="M600" s="284">
        <f>IF(_PENDIENTES!$B$594&lt;&gt;"",_PENDIENTES!$B$594,"")</f>
        <v/>
      </c>
      <c r="N600" s="304">
        <f>IF(_PENDIENTES!$B$594&lt;&gt;"",_PENDIENTES!$L$594,"")</f>
        <v/>
      </c>
      <c r="O600" s="284" t="n"/>
      <c r="P600" s="284" t="n"/>
      <c r="Q600" s="284" t="n"/>
      <c r="R600" s="284" t="n"/>
      <c r="S600" s="284" t="n"/>
    </row>
    <row r="601" hidden="1" ht="15.75" customHeight="1" s="195">
      <c r="A601" s="241">
        <f>IF(_PENDIENTES!$B$595&lt;&gt;"",594,"")</f>
        <v/>
      </c>
      <c r="B601" s="236">
        <f>IF(_PENDIENTES!$B$595&lt;&gt;"",_PENDIENTES!$A$595,"")</f>
        <v/>
      </c>
      <c r="C601" s="305">
        <f>IF(_PENDIENTES!$B$595&lt;&gt;"",_PENDIENTES!$C$595,"")</f>
        <v/>
      </c>
      <c r="D601" s="241">
        <f>IF(_PENDIENTES!$B$595&lt;&gt;"",_PENDIENTES!$D$595,"")</f>
        <v/>
      </c>
      <c r="E601" s="307">
        <f>IF(_PENDIENTES!$B$595&lt;&gt;"",_PENDIENTES!$E$595,"")</f>
        <v/>
      </c>
      <c r="F601" s="241">
        <f>IF(_PENDIENTES!$B$595&lt;&gt;"",_PENDIENTES!$F$595,"")</f>
        <v/>
      </c>
      <c r="G601" s="239">
        <f>IF(_PENDIENTES!$B$595&lt;&gt;"",_PENDIENTES!$G$595,"")</f>
        <v/>
      </c>
      <c r="H601" s="239">
        <f>IF(_PENDIENTES!$B$595&lt;&gt;"",_PENDIENTES!$H$595,"")</f>
        <v/>
      </c>
      <c r="I601" s="305">
        <f>IF(_PENDIENTES!$B$595&lt;&gt;"",_PENDIENTES!$I$595,"")</f>
        <v/>
      </c>
      <c r="J601" s="241">
        <f>IF(_PENDIENTES!$B$595&lt;&gt;"",_PENDIENTES!$J$595,"")</f>
        <v/>
      </c>
      <c r="K601" s="241">
        <f>IF(_PENDIENTES!$B$595&lt;&gt;"","POR RECOGER","")</f>
        <v/>
      </c>
      <c r="L601" s="241">
        <f>IF(_PENDIENTES!$B$595&lt;&gt;"",_PENDIENTES!$K$595,"")</f>
        <v/>
      </c>
      <c r="M601" s="284">
        <f>IF(_PENDIENTES!$B$595&lt;&gt;"",_PENDIENTES!$B$595,"")</f>
        <v/>
      </c>
      <c r="N601" s="304">
        <f>IF(_PENDIENTES!$B$595&lt;&gt;"",_PENDIENTES!$L$595,"")</f>
        <v/>
      </c>
      <c r="O601" s="284" t="n"/>
      <c r="P601" s="284" t="n"/>
      <c r="Q601" s="284" t="n"/>
      <c r="R601" s="284" t="n"/>
      <c r="S601" s="284" t="n"/>
    </row>
    <row r="602" hidden="1" ht="15.75" customHeight="1" s="195">
      <c r="A602" s="301">
        <f>IF(_PENDIENTES!$B$596&lt;&gt;"",595,"")</f>
        <v/>
      </c>
      <c r="B602" s="242">
        <f>IF(_PENDIENTES!$B$596&lt;&gt;"",_PENDIENTES!$A$596,"")</f>
        <v/>
      </c>
      <c r="C602" s="302">
        <f>IF(_PENDIENTES!$B$596&lt;&gt;"",_PENDIENTES!$C$596,"")</f>
        <v/>
      </c>
      <c r="D602" s="301">
        <f>IF(_PENDIENTES!$B$596&lt;&gt;"",_PENDIENTES!$D$596,"")</f>
        <v/>
      </c>
      <c r="E602" s="306">
        <f>IF(_PENDIENTES!$B$596&lt;&gt;"",_PENDIENTES!$E$596,"")</f>
        <v/>
      </c>
      <c r="F602" s="301">
        <f>IF(_PENDIENTES!$B$596&lt;&gt;"",_PENDIENTES!$F$596,"")</f>
        <v/>
      </c>
      <c r="G602" s="245">
        <f>IF(_PENDIENTES!$B$596&lt;&gt;"",_PENDIENTES!$G$596,"")</f>
        <v/>
      </c>
      <c r="H602" s="245">
        <f>IF(_PENDIENTES!$B$596&lt;&gt;"",_PENDIENTES!$H$596,"")</f>
        <v/>
      </c>
      <c r="I602" s="302">
        <f>IF(_PENDIENTES!$B$596&lt;&gt;"",_PENDIENTES!$I$596,"")</f>
        <v/>
      </c>
      <c r="J602" s="301">
        <f>IF(_PENDIENTES!$B$596&lt;&gt;"",_PENDIENTES!$J$596,"")</f>
        <v/>
      </c>
      <c r="K602" s="301">
        <f>IF(_PENDIENTES!$B$596&lt;&gt;"","POR RECOGER","")</f>
        <v/>
      </c>
      <c r="L602" s="301">
        <f>IF(_PENDIENTES!$B$596&lt;&gt;"",_PENDIENTES!$K$596,"")</f>
        <v/>
      </c>
      <c r="M602" s="284">
        <f>IF(_PENDIENTES!$B$596&lt;&gt;"",_PENDIENTES!$B$596,"")</f>
        <v/>
      </c>
      <c r="N602" s="304">
        <f>IF(_PENDIENTES!$B$596&lt;&gt;"",_PENDIENTES!$L$596,"")</f>
        <v/>
      </c>
      <c r="O602" s="284" t="n"/>
      <c r="P602" s="284" t="n"/>
      <c r="Q602" s="284" t="n"/>
      <c r="R602" s="284" t="n"/>
      <c r="S602" s="284" t="n"/>
    </row>
    <row r="603" hidden="1" ht="15.75" customHeight="1" s="195">
      <c r="A603" s="241">
        <f>IF(_PENDIENTES!$B$597&lt;&gt;"",596,"")</f>
        <v/>
      </c>
      <c r="B603" s="236">
        <f>IF(_PENDIENTES!$B$597&lt;&gt;"",_PENDIENTES!$A$597,"")</f>
        <v/>
      </c>
      <c r="C603" s="305">
        <f>IF(_PENDIENTES!$B$597&lt;&gt;"",_PENDIENTES!$C$597,"")</f>
        <v/>
      </c>
      <c r="D603" s="241">
        <f>IF(_PENDIENTES!$B$597&lt;&gt;"",_PENDIENTES!$D$597,"")</f>
        <v/>
      </c>
      <c r="E603" s="307">
        <f>IF(_PENDIENTES!$B$597&lt;&gt;"",_PENDIENTES!$E$597,"")</f>
        <v/>
      </c>
      <c r="F603" s="241">
        <f>IF(_PENDIENTES!$B$597&lt;&gt;"",_PENDIENTES!$F$597,"")</f>
        <v/>
      </c>
      <c r="G603" s="239">
        <f>IF(_PENDIENTES!$B$597&lt;&gt;"",_PENDIENTES!$G$597,"")</f>
        <v/>
      </c>
      <c r="H603" s="239">
        <f>IF(_PENDIENTES!$B$597&lt;&gt;"",_PENDIENTES!$H$597,"")</f>
        <v/>
      </c>
      <c r="I603" s="305">
        <f>IF(_PENDIENTES!$B$597&lt;&gt;"",_PENDIENTES!$I$597,"")</f>
        <v/>
      </c>
      <c r="J603" s="241">
        <f>IF(_PENDIENTES!$B$597&lt;&gt;"",_PENDIENTES!$J$597,"")</f>
        <v/>
      </c>
      <c r="K603" s="241">
        <f>IF(_PENDIENTES!$B$597&lt;&gt;"","POR RECOGER","")</f>
        <v/>
      </c>
      <c r="L603" s="241">
        <f>IF(_PENDIENTES!$B$597&lt;&gt;"",_PENDIENTES!$K$597,"")</f>
        <v/>
      </c>
      <c r="M603" s="284">
        <f>IF(_PENDIENTES!$B$597&lt;&gt;"",_PENDIENTES!$B$597,"")</f>
        <v/>
      </c>
      <c r="N603" s="304">
        <f>IF(_PENDIENTES!$B$597&lt;&gt;"",_PENDIENTES!$L$597,"")</f>
        <v/>
      </c>
      <c r="O603" s="284" t="n"/>
      <c r="P603" s="284" t="n"/>
      <c r="Q603" s="284" t="n"/>
      <c r="R603" s="284" t="n"/>
      <c r="S603" s="284" t="n"/>
    </row>
    <row r="604" hidden="1" ht="15.75" customHeight="1" s="195">
      <c r="A604" s="301">
        <f>IF(_PENDIENTES!$B$598&lt;&gt;"",597,"")</f>
        <v/>
      </c>
      <c r="B604" s="242">
        <f>IF(_PENDIENTES!$B$598&lt;&gt;"",_PENDIENTES!$A$598,"")</f>
        <v/>
      </c>
      <c r="C604" s="302">
        <f>IF(_PENDIENTES!$B$598&lt;&gt;"",_PENDIENTES!$C$598,"")</f>
        <v/>
      </c>
      <c r="D604" s="301">
        <f>IF(_PENDIENTES!$B$598&lt;&gt;"",_PENDIENTES!$D$598,"")</f>
        <v/>
      </c>
      <c r="E604" s="306">
        <f>IF(_PENDIENTES!$B$598&lt;&gt;"",_PENDIENTES!$E$598,"")</f>
        <v/>
      </c>
      <c r="F604" s="301">
        <f>IF(_PENDIENTES!$B$598&lt;&gt;"",_PENDIENTES!$F$598,"")</f>
        <v/>
      </c>
      <c r="G604" s="245">
        <f>IF(_PENDIENTES!$B$598&lt;&gt;"",_PENDIENTES!$G$598,"")</f>
        <v/>
      </c>
      <c r="H604" s="245">
        <f>IF(_PENDIENTES!$B$598&lt;&gt;"",_PENDIENTES!$H$598,"")</f>
        <v/>
      </c>
      <c r="I604" s="302">
        <f>IF(_PENDIENTES!$B$598&lt;&gt;"",_PENDIENTES!$I$598,"")</f>
        <v/>
      </c>
      <c r="J604" s="301">
        <f>IF(_PENDIENTES!$B$598&lt;&gt;"",_PENDIENTES!$J$598,"")</f>
        <v/>
      </c>
      <c r="K604" s="301">
        <f>IF(_PENDIENTES!$B$598&lt;&gt;"","POR RECOGER","")</f>
        <v/>
      </c>
      <c r="L604" s="301">
        <f>IF(_PENDIENTES!$B$598&lt;&gt;"",_PENDIENTES!$K$598,"")</f>
        <v/>
      </c>
      <c r="M604" s="284">
        <f>IF(_PENDIENTES!$B$598&lt;&gt;"",_PENDIENTES!$B$598,"")</f>
        <v/>
      </c>
      <c r="N604" s="304">
        <f>IF(_PENDIENTES!$B$598&lt;&gt;"",_PENDIENTES!$L$598,"")</f>
        <v/>
      </c>
      <c r="O604" s="284" t="n"/>
      <c r="P604" s="284" t="n"/>
      <c r="Q604" s="284" t="n"/>
      <c r="R604" s="284" t="n"/>
      <c r="S604" s="284" t="n"/>
    </row>
    <row r="605" hidden="1" ht="15.75" customHeight="1" s="195">
      <c r="A605" s="241">
        <f>IF(_PENDIENTES!$B$599&lt;&gt;"",598,"")</f>
        <v/>
      </c>
      <c r="B605" s="236">
        <f>IF(_PENDIENTES!$B$599&lt;&gt;"",_PENDIENTES!$A$599,"")</f>
        <v/>
      </c>
      <c r="C605" s="305">
        <f>IF(_PENDIENTES!$B$599&lt;&gt;"",_PENDIENTES!$C$599,"")</f>
        <v/>
      </c>
      <c r="D605" s="241">
        <f>IF(_PENDIENTES!$B$599&lt;&gt;"",_PENDIENTES!$D$599,"")</f>
        <v/>
      </c>
      <c r="E605" s="307">
        <f>IF(_PENDIENTES!$B$599&lt;&gt;"",_PENDIENTES!$E$599,"")</f>
        <v/>
      </c>
      <c r="F605" s="241">
        <f>IF(_PENDIENTES!$B$599&lt;&gt;"",_PENDIENTES!$F$599,"")</f>
        <v/>
      </c>
      <c r="G605" s="239">
        <f>IF(_PENDIENTES!$B$599&lt;&gt;"",_PENDIENTES!$G$599,"")</f>
        <v/>
      </c>
      <c r="H605" s="239">
        <f>IF(_PENDIENTES!$B$599&lt;&gt;"",_PENDIENTES!$H$599,"")</f>
        <v/>
      </c>
      <c r="I605" s="305">
        <f>IF(_PENDIENTES!$B$599&lt;&gt;"",_PENDIENTES!$I$599,"")</f>
        <v/>
      </c>
      <c r="J605" s="241">
        <f>IF(_PENDIENTES!$B$599&lt;&gt;"",_PENDIENTES!$J$599,"")</f>
        <v/>
      </c>
      <c r="K605" s="241">
        <f>IF(_PENDIENTES!$B$599&lt;&gt;"","POR RECOGER","")</f>
        <v/>
      </c>
      <c r="L605" s="241">
        <f>IF(_PENDIENTES!$B$599&lt;&gt;"",_PENDIENTES!$K$599,"")</f>
        <v/>
      </c>
      <c r="M605" s="284">
        <f>IF(_PENDIENTES!$B$599&lt;&gt;"",_PENDIENTES!$B$599,"")</f>
        <v/>
      </c>
      <c r="N605" s="304">
        <f>IF(_PENDIENTES!$B$599&lt;&gt;"",_PENDIENTES!$L$599,"")</f>
        <v/>
      </c>
      <c r="O605" s="284" t="n"/>
      <c r="P605" s="284" t="n"/>
      <c r="Q605" s="284" t="n"/>
      <c r="R605" s="284" t="n"/>
      <c r="S605" s="284" t="n"/>
    </row>
    <row r="606" hidden="1" ht="15.75" customHeight="1" s="195">
      <c r="A606" s="301">
        <f>IF(_PENDIENTES!$B$600&lt;&gt;"",599,"")</f>
        <v/>
      </c>
      <c r="B606" s="242">
        <f>IF(_PENDIENTES!$B$600&lt;&gt;"",_PENDIENTES!$A$600,"")</f>
        <v/>
      </c>
      <c r="C606" s="302">
        <f>IF(_PENDIENTES!$B$600&lt;&gt;"",_PENDIENTES!$C$600,"")</f>
        <v/>
      </c>
      <c r="D606" s="301">
        <f>IF(_PENDIENTES!$B$600&lt;&gt;"",_PENDIENTES!$D$600,"")</f>
        <v/>
      </c>
      <c r="E606" s="306">
        <f>IF(_PENDIENTES!$B$600&lt;&gt;"",_PENDIENTES!$E$600,"")</f>
        <v/>
      </c>
      <c r="F606" s="301">
        <f>IF(_PENDIENTES!$B$600&lt;&gt;"",_PENDIENTES!$F$600,"")</f>
        <v/>
      </c>
      <c r="G606" s="245">
        <f>IF(_PENDIENTES!$B$600&lt;&gt;"",_PENDIENTES!$G$600,"")</f>
        <v/>
      </c>
      <c r="H606" s="245">
        <f>IF(_PENDIENTES!$B$600&lt;&gt;"",_PENDIENTES!$H$600,"")</f>
        <v/>
      </c>
      <c r="I606" s="302">
        <f>IF(_PENDIENTES!$B$600&lt;&gt;"",_PENDIENTES!$I$600,"")</f>
        <v/>
      </c>
      <c r="J606" s="301">
        <f>IF(_PENDIENTES!$B$600&lt;&gt;"",_PENDIENTES!$J$600,"")</f>
        <v/>
      </c>
      <c r="K606" s="301">
        <f>IF(_PENDIENTES!$B$600&lt;&gt;"","POR RECOGER","")</f>
        <v/>
      </c>
      <c r="L606" s="301">
        <f>IF(_PENDIENTES!$B$600&lt;&gt;"",_PENDIENTES!$K$600,"")</f>
        <v/>
      </c>
      <c r="M606" s="284">
        <f>IF(_PENDIENTES!$B$600&lt;&gt;"",_PENDIENTES!$B$600,"")</f>
        <v/>
      </c>
      <c r="N606" s="304">
        <f>IF(_PENDIENTES!$B$600&lt;&gt;"",_PENDIENTES!$L$600,"")</f>
        <v/>
      </c>
      <c r="O606" s="284" t="n"/>
      <c r="P606" s="284" t="n"/>
      <c r="Q606" s="284" t="n"/>
      <c r="R606" s="284" t="n"/>
      <c r="S606" s="284" t="n"/>
    </row>
    <row r="607" hidden="1" ht="15.75" customHeight="1" s="195">
      <c r="A607" s="241">
        <f>IF(_PENDIENTES!$B$601&lt;&gt;"",600,"")</f>
        <v/>
      </c>
      <c r="B607" s="236">
        <f>IF(_PENDIENTES!$B$601&lt;&gt;"",_PENDIENTES!$A$601,"")</f>
        <v/>
      </c>
      <c r="C607" s="305">
        <f>IF(_PENDIENTES!$B$601&lt;&gt;"",_PENDIENTES!$C$601,"")</f>
        <v/>
      </c>
      <c r="D607" s="241">
        <f>IF(_PENDIENTES!$B$601&lt;&gt;"",_PENDIENTES!$D$601,"")</f>
        <v/>
      </c>
      <c r="E607" s="307">
        <f>IF(_PENDIENTES!$B$601&lt;&gt;"",_PENDIENTES!$E$601,"")</f>
        <v/>
      </c>
      <c r="F607" s="241">
        <f>IF(_PENDIENTES!$B$601&lt;&gt;"",_PENDIENTES!$F$601,"")</f>
        <v/>
      </c>
      <c r="G607" s="239">
        <f>IF(_PENDIENTES!$B$601&lt;&gt;"",_PENDIENTES!$G$601,"")</f>
        <v/>
      </c>
      <c r="H607" s="239">
        <f>IF(_PENDIENTES!$B$601&lt;&gt;"",_PENDIENTES!$H$601,"")</f>
        <v/>
      </c>
      <c r="I607" s="305">
        <f>IF(_PENDIENTES!$B$601&lt;&gt;"",_PENDIENTES!$I$601,"")</f>
        <v/>
      </c>
      <c r="J607" s="241">
        <f>IF(_PENDIENTES!$B$601&lt;&gt;"",_PENDIENTES!$J$601,"")</f>
        <v/>
      </c>
      <c r="K607" s="241">
        <f>IF(_PENDIENTES!$B$601&lt;&gt;"","POR RECOGER","")</f>
        <v/>
      </c>
      <c r="L607" s="241">
        <f>IF(_PENDIENTES!$B$601&lt;&gt;"",_PENDIENTES!$K$601,"")</f>
        <v/>
      </c>
      <c r="M607" s="284">
        <f>IF(_PENDIENTES!$B$601&lt;&gt;"",_PENDIENTES!$B$601,"")</f>
        <v/>
      </c>
      <c r="N607" s="304">
        <f>IF(_PENDIENTES!$B$601&lt;&gt;"",_PENDIENTES!$L$601,"")</f>
        <v/>
      </c>
      <c r="O607" s="284" t="n"/>
      <c r="P607" s="284" t="n"/>
      <c r="Q607" s="284" t="n"/>
      <c r="R607" s="284" t="n"/>
      <c r="S607" s="284" t="n"/>
    </row>
    <row r="608" hidden="1" ht="15.75" customHeight="1" s="195">
      <c r="A608" s="301">
        <f>IF(_PENDIENTES!$B$602&lt;&gt;"",601,"")</f>
        <v/>
      </c>
      <c r="B608" s="242">
        <f>IF(_PENDIENTES!$B$602&lt;&gt;"",_PENDIENTES!$A$602,"")</f>
        <v/>
      </c>
      <c r="C608" s="302">
        <f>IF(_PENDIENTES!$B$602&lt;&gt;"",_PENDIENTES!$C$602,"")</f>
        <v/>
      </c>
      <c r="D608" s="301">
        <f>IF(_PENDIENTES!$B$602&lt;&gt;"",_PENDIENTES!$D$602,"")</f>
        <v/>
      </c>
      <c r="E608" s="306">
        <f>IF(_PENDIENTES!$B$602&lt;&gt;"",_PENDIENTES!$E$602,"")</f>
        <v/>
      </c>
      <c r="F608" s="301">
        <f>IF(_PENDIENTES!$B$602&lt;&gt;"",_PENDIENTES!$F$602,"")</f>
        <v/>
      </c>
      <c r="G608" s="245">
        <f>IF(_PENDIENTES!$B$602&lt;&gt;"",_PENDIENTES!$G$602,"")</f>
        <v/>
      </c>
      <c r="H608" s="245">
        <f>IF(_PENDIENTES!$B$602&lt;&gt;"",_PENDIENTES!$H$602,"")</f>
        <v/>
      </c>
      <c r="I608" s="302">
        <f>IF(_PENDIENTES!$B$602&lt;&gt;"",_PENDIENTES!$I$602,"")</f>
        <v/>
      </c>
      <c r="J608" s="301">
        <f>IF(_PENDIENTES!$B$602&lt;&gt;"",_PENDIENTES!$J$602,"")</f>
        <v/>
      </c>
      <c r="K608" s="301">
        <f>IF(_PENDIENTES!$B$602&lt;&gt;"","POR RECOGER","")</f>
        <v/>
      </c>
      <c r="L608" s="301">
        <f>IF(_PENDIENTES!$B$602&lt;&gt;"",_PENDIENTES!$K$602,"")</f>
        <v/>
      </c>
      <c r="M608" s="284">
        <f>IF(_PENDIENTES!$B$602&lt;&gt;"",_PENDIENTES!$B$602,"")</f>
        <v/>
      </c>
      <c r="N608" s="304">
        <f>IF(_PENDIENTES!$B$602&lt;&gt;"",_PENDIENTES!$L$602,"")</f>
        <v/>
      </c>
      <c r="O608" s="284" t="n"/>
      <c r="P608" s="284" t="n"/>
      <c r="Q608" s="284" t="n"/>
      <c r="R608" s="284" t="n"/>
      <c r="S608" s="284" t="n"/>
    </row>
    <row r="609" hidden="1" ht="15.75" customHeight="1" s="195">
      <c r="A609" s="241">
        <f>IF(_PENDIENTES!$B$603&lt;&gt;"",602,"")</f>
        <v/>
      </c>
      <c r="B609" s="236">
        <f>IF(_PENDIENTES!$B$603&lt;&gt;"",_PENDIENTES!$A$603,"")</f>
        <v/>
      </c>
      <c r="C609" s="305">
        <f>IF(_PENDIENTES!$B$603&lt;&gt;"",_PENDIENTES!$C$603,"")</f>
        <v/>
      </c>
      <c r="D609" s="241">
        <f>IF(_PENDIENTES!$B$603&lt;&gt;"",_PENDIENTES!$D$603,"")</f>
        <v/>
      </c>
      <c r="E609" s="307">
        <f>IF(_PENDIENTES!$B$603&lt;&gt;"",_PENDIENTES!$E$603,"")</f>
        <v/>
      </c>
      <c r="F609" s="241">
        <f>IF(_PENDIENTES!$B$603&lt;&gt;"",_PENDIENTES!$F$603,"")</f>
        <v/>
      </c>
      <c r="G609" s="239">
        <f>IF(_PENDIENTES!$B$603&lt;&gt;"",_PENDIENTES!$G$603,"")</f>
        <v/>
      </c>
      <c r="H609" s="239">
        <f>IF(_PENDIENTES!$B$603&lt;&gt;"",_PENDIENTES!$H$603,"")</f>
        <v/>
      </c>
      <c r="I609" s="305">
        <f>IF(_PENDIENTES!$B$603&lt;&gt;"",_PENDIENTES!$I$603,"")</f>
        <v/>
      </c>
      <c r="J609" s="241">
        <f>IF(_PENDIENTES!$B$603&lt;&gt;"",_PENDIENTES!$J$603,"")</f>
        <v/>
      </c>
      <c r="K609" s="241">
        <f>IF(_PENDIENTES!$B$603&lt;&gt;"","POR RECOGER","")</f>
        <v/>
      </c>
      <c r="L609" s="241">
        <f>IF(_PENDIENTES!$B$603&lt;&gt;"",_PENDIENTES!$K$603,"")</f>
        <v/>
      </c>
      <c r="M609" s="284">
        <f>IF(_PENDIENTES!$B$603&lt;&gt;"",_PENDIENTES!$B$603,"")</f>
        <v/>
      </c>
      <c r="N609" s="304">
        <f>IF(_PENDIENTES!$B$603&lt;&gt;"",_PENDIENTES!$L$603,"")</f>
        <v/>
      </c>
      <c r="O609" s="284" t="n"/>
      <c r="P609" s="284" t="n"/>
      <c r="Q609" s="284" t="n"/>
      <c r="R609" s="284" t="n"/>
      <c r="S609" s="284" t="n"/>
    </row>
    <row r="610" hidden="1" ht="15.75" customHeight="1" s="195">
      <c r="A610" s="301">
        <f>IF(_PENDIENTES!$B$604&lt;&gt;"",603,"")</f>
        <v/>
      </c>
      <c r="B610" s="242">
        <f>IF(_PENDIENTES!$B$604&lt;&gt;"",_PENDIENTES!$A$604,"")</f>
        <v/>
      </c>
      <c r="C610" s="302">
        <f>IF(_PENDIENTES!$B$604&lt;&gt;"",_PENDIENTES!$C$604,"")</f>
        <v/>
      </c>
      <c r="D610" s="301">
        <f>IF(_PENDIENTES!$B$604&lt;&gt;"",_PENDIENTES!$D$604,"")</f>
        <v/>
      </c>
      <c r="E610" s="306">
        <f>IF(_PENDIENTES!$B$604&lt;&gt;"",_PENDIENTES!$E$604,"")</f>
        <v/>
      </c>
      <c r="F610" s="301">
        <f>IF(_PENDIENTES!$B$604&lt;&gt;"",_PENDIENTES!$F$604,"")</f>
        <v/>
      </c>
      <c r="G610" s="245">
        <f>IF(_PENDIENTES!$B$604&lt;&gt;"",_PENDIENTES!$G$604,"")</f>
        <v/>
      </c>
      <c r="H610" s="245">
        <f>IF(_PENDIENTES!$B$604&lt;&gt;"",_PENDIENTES!$H$604,"")</f>
        <v/>
      </c>
      <c r="I610" s="302">
        <f>IF(_PENDIENTES!$B$604&lt;&gt;"",_PENDIENTES!$I$604,"")</f>
        <v/>
      </c>
      <c r="J610" s="301">
        <f>IF(_PENDIENTES!$B$604&lt;&gt;"",_PENDIENTES!$J$604,"")</f>
        <v/>
      </c>
      <c r="K610" s="301">
        <f>IF(_PENDIENTES!$B$604&lt;&gt;"","POR RECOGER","")</f>
        <v/>
      </c>
      <c r="L610" s="301">
        <f>IF(_PENDIENTES!$B$604&lt;&gt;"",_PENDIENTES!$K$604,"")</f>
        <v/>
      </c>
      <c r="M610" s="284">
        <f>IF(_PENDIENTES!$B$604&lt;&gt;"",_PENDIENTES!$B$604,"")</f>
        <v/>
      </c>
      <c r="N610" s="304">
        <f>IF(_PENDIENTES!$B$604&lt;&gt;"",_PENDIENTES!$L$604,"")</f>
        <v/>
      </c>
      <c r="O610" s="284" t="n"/>
      <c r="P610" s="284" t="n"/>
      <c r="Q610" s="284" t="n"/>
      <c r="R610" s="284" t="n"/>
      <c r="S610" s="284" t="n"/>
    </row>
    <row r="611" hidden="1" ht="15.75" customHeight="1" s="195">
      <c r="A611" s="241">
        <f>IF(_PENDIENTES!$B$605&lt;&gt;"",604,"")</f>
        <v/>
      </c>
      <c r="B611" s="236">
        <f>IF(_PENDIENTES!$B$605&lt;&gt;"",_PENDIENTES!$A$605,"")</f>
        <v/>
      </c>
      <c r="C611" s="305">
        <f>IF(_PENDIENTES!$B$605&lt;&gt;"",_PENDIENTES!$C$605,"")</f>
        <v/>
      </c>
      <c r="D611" s="241">
        <f>IF(_PENDIENTES!$B$605&lt;&gt;"",_PENDIENTES!$D$605,"")</f>
        <v/>
      </c>
      <c r="E611" s="307">
        <f>IF(_PENDIENTES!$B$605&lt;&gt;"",_PENDIENTES!$E$605,"")</f>
        <v/>
      </c>
      <c r="F611" s="241">
        <f>IF(_PENDIENTES!$B$605&lt;&gt;"",_PENDIENTES!$F$605,"")</f>
        <v/>
      </c>
      <c r="G611" s="239">
        <f>IF(_PENDIENTES!$B$605&lt;&gt;"",_PENDIENTES!$G$605,"")</f>
        <v/>
      </c>
      <c r="H611" s="239">
        <f>IF(_PENDIENTES!$B$605&lt;&gt;"",_PENDIENTES!$H$605,"")</f>
        <v/>
      </c>
      <c r="I611" s="305">
        <f>IF(_PENDIENTES!$B$605&lt;&gt;"",_PENDIENTES!$I$605,"")</f>
        <v/>
      </c>
      <c r="J611" s="241">
        <f>IF(_PENDIENTES!$B$605&lt;&gt;"",_PENDIENTES!$J$605,"")</f>
        <v/>
      </c>
      <c r="K611" s="241">
        <f>IF(_PENDIENTES!$B$605&lt;&gt;"","POR RECOGER","")</f>
        <v/>
      </c>
      <c r="L611" s="241">
        <f>IF(_PENDIENTES!$B$605&lt;&gt;"",_PENDIENTES!$K$605,"")</f>
        <v/>
      </c>
      <c r="M611" s="284">
        <f>IF(_PENDIENTES!$B$605&lt;&gt;"",_PENDIENTES!$B$605,"")</f>
        <v/>
      </c>
      <c r="N611" s="304">
        <f>IF(_PENDIENTES!$B$605&lt;&gt;"",_PENDIENTES!$L$605,"")</f>
        <v/>
      </c>
      <c r="O611" s="284" t="n"/>
      <c r="P611" s="284" t="n"/>
      <c r="Q611" s="284" t="n"/>
      <c r="R611" s="284" t="n"/>
      <c r="S611" s="284" t="n"/>
    </row>
    <row r="612" hidden="1" ht="15.75" customHeight="1" s="195">
      <c r="A612" s="301">
        <f>IF(_PENDIENTES!$B$606&lt;&gt;"",605,"")</f>
        <v/>
      </c>
      <c r="B612" s="242">
        <f>IF(_PENDIENTES!$B$606&lt;&gt;"",_PENDIENTES!$A$606,"")</f>
        <v/>
      </c>
      <c r="C612" s="302">
        <f>IF(_PENDIENTES!$B$606&lt;&gt;"",_PENDIENTES!$C$606,"")</f>
        <v/>
      </c>
      <c r="D612" s="301">
        <f>IF(_PENDIENTES!$B$606&lt;&gt;"",_PENDIENTES!$D$606,"")</f>
        <v/>
      </c>
      <c r="E612" s="306">
        <f>IF(_PENDIENTES!$B$606&lt;&gt;"",_PENDIENTES!$E$606,"")</f>
        <v/>
      </c>
      <c r="F612" s="301">
        <f>IF(_PENDIENTES!$B$606&lt;&gt;"",_PENDIENTES!$F$606,"")</f>
        <v/>
      </c>
      <c r="G612" s="245">
        <f>IF(_PENDIENTES!$B$606&lt;&gt;"",_PENDIENTES!$G$606,"")</f>
        <v/>
      </c>
      <c r="H612" s="245">
        <f>IF(_PENDIENTES!$B$606&lt;&gt;"",_PENDIENTES!$H$606,"")</f>
        <v/>
      </c>
      <c r="I612" s="302">
        <f>IF(_PENDIENTES!$B$606&lt;&gt;"",_PENDIENTES!$I$606,"")</f>
        <v/>
      </c>
      <c r="J612" s="301">
        <f>IF(_PENDIENTES!$B$606&lt;&gt;"",_PENDIENTES!$J$606,"")</f>
        <v/>
      </c>
      <c r="K612" s="301">
        <f>IF(_PENDIENTES!$B$606&lt;&gt;"","POR RECOGER","")</f>
        <v/>
      </c>
      <c r="L612" s="301">
        <f>IF(_PENDIENTES!$B$606&lt;&gt;"",_PENDIENTES!$K$606,"")</f>
        <v/>
      </c>
      <c r="M612" s="284">
        <f>IF(_PENDIENTES!$B$606&lt;&gt;"",_PENDIENTES!$B$606,"")</f>
        <v/>
      </c>
      <c r="N612" s="304">
        <f>IF(_PENDIENTES!$B$606&lt;&gt;"",_PENDIENTES!$L$606,"")</f>
        <v/>
      </c>
      <c r="O612" s="284" t="n"/>
      <c r="P612" s="284" t="n"/>
      <c r="Q612" s="284" t="n"/>
      <c r="R612" s="284" t="n"/>
      <c r="S612" s="284" t="n"/>
    </row>
    <row r="613" hidden="1" ht="15.75" customHeight="1" s="195">
      <c r="A613" s="241">
        <f>IF(_PENDIENTES!$B$607&lt;&gt;"",606,"")</f>
        <v/>
      </c>
      <c r="B613" s="236">
        <f>IF(_PENDIENTES!$B$607&lt;&gt;"",_PENDIENTES!$A$607,"")</f>
        <v/>
      </c>
      <c r="C613" s="305">
        <f>IF(_PENDIENTES!$B$607&lt;&gt;"",_PENDIENTES!$C$607,"")</f>
        <v/>
      </c>
      <c r="D613" s="241">
        <f>IF(_PENDIENTES!$B$607&lt;&gt;"",_PENDIENTES!$D$607,"")</f>
        <v/>
      </c>
      <c r="E613" s="307">
        <f>IF(_PENDIENTES!$B$607&lt;&gt;"",_PENDIENTES!$E$607,"")</f>
        <v/>
      </c>
      <c r="F613" s="241">
        <f>IF(_PENDIENTES!$B$607&lt;&gt;"",_PENDIENTES!$F$607,"")</f>
        <v/>
      </c>
      <c r="G613" s="239">
        <f>IF(_PENDIENTES!$B$607&lt;&gt;"",_PENDIENTES!$G$607,"")</f>
        <v/>
      </c>
      <c r="H613" s="239">
        <f>IF(_PENDIENTES!$B$607&lt;&gt;"",_PENDIENTES!$H$607,"")</f>
        <v/>
      </c>
      <c r="I613" s="305">
        <f>IF(_PENDIENTES!$B$607&lt;&gt;"",_PENDIENTES!$I$607,"")</f>
        <v/>
      </c>
      <c r="J613" s="241">
        <f>IF(_PENDIENTES!$B$607&lt;&gt;"",_PENDIENTES!$J$607,"")</f>
        <v/>
      </c>
      <c r="K613" s="241">
        <f>IF(_PENDIENTES!$B$607&lt;&gt;"","POR RECOGER","")</f>
        <v/>
      </c>
      <c r="L613" s="241">
        <f>IF(_PENDIENTES!$B$607&lt;&gt;"",_PENDIENTES!$K$607,"")</f>
        <v/>
      </c>
      <c r="M613" s="284">
        <f>IF(_PENDIENTES!$B$607&lt;&gt;"",_PENDIENTES!$B$607,"")</f>
        <v/>
      </c>
      <c r="N613" s="304">
        <f>IF(_PENDIENTES!$B$607&lt;&gt;"",_PENDIENTES!$L$607,"")</f>
        <v/>
      </c>
      <c r="O613" s="284" t="n"/>
      <c r="P613" s="284" t="n"/>
      <c r="Q613" s="284" t="n"/>
      <c r="R613" s="284" t="n"/>
      <c r="S613" s="284" t="n"/>
    </row>
    <row r="614" hidden="1" ht="15.75" customHeight="1" s="195">
      <c r="A614" s="301">
        <f>IF(_PENDIENTES!$B$608&lt;&gt;"",607,"")</f>
        <v/>
      </c>
      <c r="B614" s="242">
        <f>IF(_PENDIENTES!$B$608&lt;&gt;"",_PENDIENTES!$A$608,"")</f>
        <v/>
      </c>
      <c r="C614" s="302">
        <f>IF(_PENDIENTES!$B$608&lt;&gt;"",_PENDIENTES!$C$608,"")</f>
        <v/>
      </c>
      <c r="D614" s="301">
        <f>IF(_PENDIENTES!$B$608&lt;&gt;"",_PENDIENTES!$D$608,"")</f>
        <v/>
      </c>
      <c r="E614" s="306">
        <f>IF(_PENDIENTES!$B$608&lt;&gt;"",_PENDIENTES!$E$608,"")</f>
        <v/>
      </c>
      <c r="F614" s="301">
        <f>IF(_PENDIENTES!$B$608&lt;&gt;"",_PENDIENTES!$F$608,"")</f>
        <v/>
      </c>
      <c r="G614" s="245">
        <f>IF(_PENDIENTES!$B$608&lt;&gt;"",_PENDIENTES!$G$608,"")</f>
        <v/>
      </c>
      <c r="H614" s="245">
        <f>IF(_PENDIENTES!$B$608&lt;&gt;"",_PENDIENTES!$H$608,"")</f>
        <v/>
      </c>
      <c r="I614" s="302">
        <f>IF(_PENDIENTES!$B$608&lt;&gt;"",_PENDIENTES!$I$608,"")</f>
        <v/>
      </c>
      <c r="J614" s="301">
        <f>IF(_PENDIENTES!$B$608&lt;&gt;"",_PENDIENTES!$J$608,"")</f>
        <v/>
      </c>
      <c r="K614" s="301">
        <f>IF(_PENDIENTES!$B$608&lt;&gt;"","POR RECOGER","")</f>
        <v/>
      </c>
      <c r="L614" s="301">
        <f>IF(_PENDIENTES!$B$608&lt;&gt;"",_PENDIENTES!$K$608,"")</f>
        <v/>
      </c>
      <c r="M614" s="284">
        <f>IF(_PENDIENTES!$B$608&lt;&gt;"",_PENDIENTES!$B$608,"")</f>
        <v/>
      </c>
      <c r="N614" s="304">
        <f>IF(_PENDIENTES!$B$608&lt;&gt;"",_PENDIENTES!$L$608,"")</f>
        <v/>
      </c>
      <c r="O614" s="284" t="n"/>
      <c r="P614" s="284" t="n"/>
      <c r="Q614" s="284" t="n"/>
      <c r="R614" s="284" t="n"/>
      <c r="S614" s="284" t="n"/>
    </row>
    <row r="615" hidden="1" ht="15.75" customHeight="1" s="195">
      <c r="A615" s="241">
        <f>IF(_PENDIENTES!$B$609&lt;&gt;"",608,"")</f>
        <v/>
      </c>
      <c r="B615" s="236">
        <f>IF(_PENDIENTES!$B$609&lt;&gt;"",_PENDIENTES!$A$609,"")</f>
        <v/>
      </c>
      <c r="C615" s="305">
        <f>IF(_PENDIENTES!$B$609&lt;&gt;"",_PENDIENTES!$C$609,"")</f>
        <v/>
      </c>
      <c r="D615" s="241">
        <f>IF(_PENDIENTES!$B$609&lt;&gt;"",_PENDIENTES!$D$609,"")</f>
        <v/>
      </c>
      <c r="E615" s="307">
        <f>IF(_PENDIENTES!$B$609&lt;&gt;"",_PENDIENTES!$E$609,"")</f>
        <v/>
      </c>
      <c r="F615" s="241">
        <f>IF(_PENDIENTES!$B$609&lt;&gt;"",_PENDIENTES!$F$609,"")</f>
        <v/>
      </c>
      <c r="G615" s="239">
        <f>IF(_PENDIENTES!$B$609&lt;&gt;"",_PENDIENTES!$G$609,"")</f>
        <v/>
      </c>
      <c r="H615" s="239">
        <f>IF(_PENDIENTES!$B$609&lt;&gt;"",_PENDIENTES!$H$609,"")</f>
        <v/>
      </c>
      <c r="I615" s="305">
        <f>IF(_PENDIENTES!$B$609&lt;&gt;"",_PENDIENTES!$I$609,"")</f>
        <v/>
      </c>
      <c r="J615" s="241">
        <f>IF(_PENDIENTES!$B$609&lt;&gt;"",_PENDIENTES!$J$609,"")</f>
        <v/>
      </c>
      <c r="K615" s="241">
        <f>IF(_PENDIENTES!$B$609&lt;&gt;"","POR RECOGER","")</f>
        <v/>
      </c>
      <c r="L615" s="241">
        <f>IF(_PENDIENTES!$B$609&lt;&gt;"",_PENDIENTES!$K$609,"")</f>
        <v/>
      </c>
      <c r="M615" s="284">
        <f>IF(_PENDIENTES!$B$609&lt;&gt;"",_PENDIENTES!$B$609,"")</f>
        <v/>
      </c>
      <c r="N615" s="304">
        <f>IF(_PENDIENTES!$B$609&lt;&gt;"",_PENDIENTES!$L$609,"")</f>
        <v/>
      </c>
      <c r="O615" s="284" t="n"/>
      <c r="P615" s="284" t="n"/>
      <c r="Q615" s="284" t="n"/>
      <c r="R615" s="284" t="n"/>
      <c r="S615" s="284" t="n"/>
    </row>
    <row r="616" hidden="1" ht="15.75" customHeight="1" s="195">
      <c r="A616" s="301">
        <f>IF(_PENDIENTES!$B$610&lt;&gt;"",609,"")</f>
        <v/>
      </c>
      <c r="B616" s="242">
        <f>IF(_PENDIENTES!$B$610&lt;&gt;"",_PENDIENTES!$A$610,"")</f>
        <v/>
      </c>
      <c r="C616" s="302">
        <f>IF(_PENDIENTES!$B$610&lt;&gt;"",_PENDIENTES!$C$610,"")</f>
        <v/>
      </c>
      <c r="D616" s="301">
        <f>IF(_PENDIENTES!$B$610&lt;&gt;"",_PENDIENTES!$D$610,"")</f>
        <v/>
      </c>
      <c r="E616" s="306">
        <f>IF(_PENDIENTES!$B$610&lt;&gt;"",_PENDIENTES!$E$610,"")</f>
        <v/>
      </c>
      <c r="F616" s="301">
        <f>IF(_PENDIENTES!$B$610&lt;&gt;"",_PENDIENTES!$F$610,"")</f>
        <v/>
      </c>
      <c r="G616" s="245">
        <f>IF(_PENDIENTES!$B$610&lt;&gt;"",_PENDIENTES!$G$610,"")</f>
        <v/>
      </c>
      <c r="H616" s="245">
        <f>IF(_PENDIENTES!$B$610&lt;&gt;"",_PENDIENTES!$H$610,"")</f>
        <v/>
      </c>
      <c r="I616" s="302">
        <f>IF(_PENDIENTES!$B$610&lt;&gt;"",_PENDIENTES!$I$610,"")</f>
        <v/>
      </c>
      <c r="J616" s="301">
        <f>IF(_PENDIENTES!$B$610&lt;&gt;"",_PENDIENTES!$J$610,"")</f>
        <v/>
      </c>
      <c r="K616" s="301">
        <f>IF(_PENDIENTES!$B$610&lt;&gt;"","POR RECOGER","")</f>
        <v/>
      </c>
      <c r="L616" s="301">
        <f>IF(_PENDIENTES!$B$610&lt;&gt;"",_PENDIENTES!$K$610,"")</f>
        <v/>
      </c>
      <c r="M616" s="284">
        <f>IF(_PENDIENTES!$B$610&lt;&gt;"",_PENDIENTES!$B$610,"")</f>
        <v/>
      </c>
      <c r="N616" s="304">
        <f>IF(_PENDIENTES!$B$610&lt;&gt;"",_PENDIENTES!$L$610,"")</f>
        <v/>
      </c>
      <c r="O616" s="284" t="n"/>
      <c r="P616" s="284" t="n"/>
      <c r="Q616" s="284" t="n"/>
      <c r="R616" s="284" t="n"/>
      <c r="S616" s="284" t="n"/>
    </row>
    <row r="617" hidden="1" ht="15.75" customHeight="1" s="195">
      <c r="A617" s="241">
        <f>IF(_PENDIENTES!$B$611&lt;&gt;"",610,"")</f>
        <v/>
      </c>
      <c r="B617" s="236">
        <f>IF(_PENDIENTES!$B$611&lt;&gt;"",_PENDIENTES!$A$611,"")</f>
        <v/>
      </c>
      <c r="C617" s="305">
        <f>IF(_PENDIENTES!$B$611&lt;&gt;"",_PENDIENTES!$C$611,"")</f>
        <v/>
      </c>
      <c r="D617" s="241">
        <f>IF(_PENDIENTES!$B$611&lt;&gt;"",_PENDIENTES!$D$611,"")</f>
        <v/>
      </c>
      <c r="E617" s="307">
        <f>IF(_PENDIENTES!$B$611&lt;&gt;"",_PENDIENTES!$E$611,"")</f>
        <v/>
      </c>
      <c r="F617" s="241">
        <f>IF(_PENDIENTES!$B$611&lt;&gt;"",_PENDIENTES!$F$611,"")</f>
        <v/>
      </c>
      <c r="G617" s="239">
        <f>IF(_PENDIENTES!$B$611&lt;&gt;"",_PENDIENTES!$G$611,"")</f>
        <v/>
      </c>
      <c r="H617" s="239">
        <f>IF(_PENDIENTES!$B$611&lt;&gt;"",_PENDIENTES!$H$611,"")</f>
        <v/>
      </c>
      <c r="I617" s="305">
        <f>IF(_PENDIENTES!$B$611&lt;&gt;"",_PENDIENTES!$I$611,"")</f>
        <v/>
      </c>
      <c r="J617" s="241">
        <f>IF(_PENDIENTES!$B$611&lt;&gt;"",_PENDIENTES!$J$611,"")</f>
        <v/>
      </c>
      <c r="K617" s="241">
        <f>IF(_PENDIENTES!$B$611&lt;&gt;"","POR RECOGER","")</f>
        <v/>
      </c>
      <c r="L617" s="241">
        <f>IF(_PENDIENTES!$B$611&lt;&gt;"",_PENDIENTES!$K$611,"")</f>
        <v/>
      </c>
      <c r="M617" s="284">
        <f>IF(_PENDIENTES!$B$611&lt;&gt;"",_PENDIENTES!$B$611,"")</f>
        <v/>
      </c>
      <c r="N617" s="304">
        <f>IF(_PENDIENTES!$B$611&lt;&gt;"",_PENDIENTES!$L$611,"")</f>
        <v/>
      </c>
      <c r="O617" s="284" t="n"/>
      <c r="P617" s="284" t="n"/>
      <c r="Q617" s="284" t="n"/>
      <c r="R617" s="284" t="n"/>
      <c r="S617" s="284" t="n"/>
    </row>
    <row r="618" hidden="1" ht="15.75" customHeight="1" s="195">
      <c r="A618" s="301">
        <f>IF(_PENDIENTES!$B$612&lt;&gt;"",611,"")</f>
        <v/>
      </c>
      <c r="B618" s="242">
        <f>IF(_PENDIENTES!$B$612&lt;&gt;"",_PENDIENTES!$A$612,"")</f>
        <v/>
      </c>
      <c r="C618" s="302">
        <f>IF(_PENDIENTES!$B$612&lt;&gt;"",_PENDIENTES!$C$612,"")</f>
        <v/>
      </c>
      <c r="D618" s="301">
        <f>IF(_PENDIENTES!$B$612&lt;&gt;"",_PENDIENTES!$D$612,"")</f>
        <v/>
      </c>
      <c r="E618" s="306">
        <f>IF(_PENDIENTES!$B$612&lt;&gt;"",_PENDIENTES!$E$612,"")</f>
        <v/>
      </c>
      <c r="F618" s="301">
        <f>IF(_PENDIENTES!$B$612&lt;&gt;"",_PENDIENTES!$F$612,"")</f>
        <v/>
      </c>
      <c r="G618" s="245">
        <f>IF(_PENDIENTES!$B$612&lt;&gt;"",_PENDIENTES!$G$612,"")</f>
        <v/>
      </c>
      <c r="H618" s="245">
        <f>IF(_PENDIENTES!$B$612&lt;&gt;"",_PENDIENTES!$H$612,"")</f>
        <v/>
      </c>
      <c r="I618" s="302">
        <f>IF(_PENDIENTES!$B$612&lt;&gt;"",_PENDIENTES!$I$612,"")</f>
        <v/>
      </c>
      <c r="J618" s="301">
        <f>IF(_PENDIENTES!$B$612&lt;&gt;"",_PENDIENTES!$J$612,"")</f>
        <v/>
      </c>
      <c r="K618" s="301">
        <f>IF(_PENDIENTES!$B$612&lt;&gt;"","POR RECOGER","")</f>
        <v/>
      </c>
      <c r="L618" s="301">
        <f>IF(_PENDIENTES!$B$612&lt;&gt;"",_PENDIENTES!$K$612,"")</f>
        <v/>
      </c>
      <c r="M618" s="284">
        <f>IF(_PENDIENTES!$B$612&lt;&gt;"",_PENDIENTES!$B$612,"")</f>
        <v/>
      </c>
      <c r="N618" s="304">
        <f>IF(_PENDIENTES!$B$612&lt;&gt;"",_PENDIENTES!$L$612,"")</f>
        <v/>
      </c>
      <c r="O618" s="284" t="n"/>
      <c r="P618" s="284" t="n"/>
      <c r="Q618" s="284" t="n"/>
      <c r="R618" s="284" t="n"/>
      <c r="S618" s="284" t="n"/>
    </row>
    <row r="619" hidden="1" ht="15.75" customHeight="1" s="195">
      <c r="A619" s="241">
        <f>IF(_PENDIENTES!$B$613&lt;&gt;"",612,"")</f>
        <v/>
      </c>
      <c r="B619" s="236">
        <f>IF(_PENDIENTES!$B$613&lt;&gt;"",_PENDIENTES!$A$613,"")</f>
        <v/>
      </c>
      <c r="C619" s="305">
        <f>IF(_PENDIENTES!$B$613&lt;&gt;"",_PENDIENTES!$C$613,"")</f>
        <v/>
      </c>
      <c r="D619" s="241">
        <f>IF(_PENDIENTES!$B$613&lt;&gt;"",_PENDIENTES!$D$613,"")</f>
        <v/>
      </c>
      <c r="E619" s="307">
        <f>IF(_PENDIENTES!$B$613&lt;&gt;"",_PENDIENTES!$E$613,"")</f>
        <v/>
      </c>
      <c r="F619" s="241">
        <f>IF(_PENDIENTES!$B$613&lt;&gt;"",_PENDIENTES!$F$613,"")</f>
        <v/>
      </c>
      <c r="G619" s="239">
        <f>IF(_PENDIENTES!$B$613&lt;&gt;"",_PENDIENTES!$G$613,"")</f>
        <v/>
      </c>
      <c r="H619" s="239">
        <f>IF(_PENDIENTES!$B$613&lt;&gt;"",_PENDIENTES!$H$613,"")</f>
        <v/>
      </c>
      <c r="I619" s="305">
        <f>IF(_PENDIENTES!$B$613&lt;&gt;"",_PENDIENTES!$I$613,"")</f>
        <v/>
      </c>
      <c r="J619" s="241">
        <f>IF(_PENDIENTES!$B$613&lt;&gt;"",_PENDIENTES!$J$613,"")</f>
        <v/>
      </c>
      <c r="K619" s="241">
        <f>IF(_PENDIENTES!$B$613&lt;&gt;"","POR RECOGER","")</f>
        <v/>
      </c>
      <c r="L619" s="241">
        <f>IF(_PENDIENTES!$B$613&lt;&gt;"",_PENDIENTES!$K$613,"")</f>
        <v/>
      </c>
      <c r="M619" s="284">
        <f>IF(_PENDIENTES!$B$613&lt;&gt;"",_PENDIENTES!$B$613,"")</f>
        <v/>
      </c>
      <c r="N619" s="304">
        <f>IF(_PENDIENTES!$B$613&lt;&gt;"",_PENDIENTES!$L$613,"")</f>
        <v/>
      </c>
      <c r="O619" s="284" t="n"/>
      <c r="P619" s="284" t="n"/>
      <c r="Q619" s="284" t="n"/>
      <c r="R619" s="284" t="n"/>
      <c r="S619" s="284" t="n"/>
    </row>
    <row r="620" hidden="1" ht="15.75" customHeight="1" s="195">
      <c r="A620" s="301">
        <f>IF(_PENDIENTES!$B$614&lt;&gt;"",613,"")</f>
        <v/>
      </c>
      <c r="B620" s="242">
        <f>IF(_PENDIENTES!$B$614&lt;&gt;"",_PENDIENTES!$A$614,"")</f>
        <v/>
      </c>
      <c r="C620" s="302">
        <f>IF(_PENDIENTES!$B$614&lt;&gt;"",_PENDIENTES!$C$614,"")</f>
        <v/>
      </c>
      <c r="D620" s="301">
        <f>IF(_PENDIENTES!$B$614&lt;&gt;"",_PENDIENTES!$D$614,"")</f>
        <v/>
      </c>
      <c r="E620" s="306">
        <f>IF(_PENDIENTES!$B$614&lt;&gt;"",_PENDIENTES!$E$614,"")</f>
        <v/>
      </c>
      <c r="F620" s="301">
        <f>IF(_PENDIENTES!$B$614&lt;&gt;"",_PENDIENTES!$F$614,"")</f>
        <v/>
      </c>
      <c r="G620" s="245">
        <f>IF(_PENDIENTES!$B$614&lt;&gt;"",_PENDIENTES!$G$614,"")</f>
        <v/>
      </c>
      <c r="H620" s="245">
        <f>IF(_PENDIENTES!$B$614&lt;&gt;"",_PENDIENTES!$H$614,"")</f>
        <v/>
      </c>
      <c r="I620" s="302">
        <f>IF(_PENDIENTES!$B$614&lt;&gt;"",_PENDIENTES!$I$614,"")</f>
        <v/>
      </c>
      <c r="J620" s="301">
        <f>IF(_PENDIENTES!$B$614&lt;&gt;"",_PENDIENTES!$J$614,"")</f>
        <v/>
      </c>
      <c r="K620" s="301">
        <f>IF(_PENDIENTES!$B$614&lt;&gt;"","POR RECOGER","")</f>
        <v/>
      </c>
      <c r="L620" s="301">
        <f>IF(_PENDIENTES!$B$614&lt;&gt;"",_PENDIENTES!$K$614,"")</f>
        <v/>
      </c>
      <c r="M620" s="284">
        <f>IF(_PENDIENTES!$B$614&lt;&gt;"",_PENDIENTES!$B$614,"")</f>
        <v/>
      </c>
      <c r="N620" s="304">
        <f>IF(_PENDIENTES!$B$614&lt;&gt;"",_PENDIENTES!$L$614,"")</f>
        <v/>
      </c>
      <c r="O620" s="284" t="n"/>
      <c r="P620" s="284" t="n"/>
      <c r="Q620" s="284" t="n"/>
      <c r="R620" s="284" t="n"/>
      <c r="S620" s="284" t="n"/>
    </row>
    <row r="621" hidden="1" ht="15.75" customHeight="1" s="195">
      <c r="A621" s="241">
        <f>IF(_PENDIENTES!$B$615&lt;&gt;"",614,"")</f>
        <v/>
      </c>
      <c r="B621" s="236">
        <f>IF(_PENDIENTES!$B$615&lt;&gt;"",_PENDIENTES!$A$615,"")</f>
        <v/>
      </c>
      <c r="C621" s="305">
        <f>IF(_PENDIENTES!$B$615&lt;&gt;"",_PENDIENTES!$C$615,"")</f>
        <v/>
      </c>
      <c r="D621" s="241">
        <f>IF(_PENDIENTES!$B$615&lt;&gt;"",_PENDIENTES!$D$615,"")</f>
        <v/>
      </c>
      <c r="E621" s="307">
        <f>IF(_PENDIENTES!$B$615&lt;&gt;"",_PENDIENTES!$E$615,"")</f>
        <v/>
      </c>
      <c r="F621" s="241">
        <f>IF(_PENDIENTES!$B$615&lt;&gt;"",_PENDIENTES!$F$615,"")</f>
        <v/>
      </c>
      <c r="G621" s="239">
        <f>IF(_PENDIENTES!$B$615&lt;&gt;"",_PENDIENTES!$G$615,"")</f>
        <v/>
      </c>
      <c r="H621" s="239">
        <f>IF(_PENDIENTES!$B$615&lt;&gt;"",_PENDIENTES!$H$615,"")</f>
        <v/>
      </c>
      <c r="I621" s="305">
        <f>IF(_PENDIENTES!$B$615&lt;&gt;"",_PENDIENTES!$I$615,"")</f>
        <v/>
      </c>
      <c r="J621" s="241">
        <f>IF(_PENDIENTES!$B$615&lt;&gt;"",_PENDIENTES!$J$615,"")</f>
        <v/>
      </c>
      <c r="K621" s="241">
        <f>IF(_PENDIENTES!$B$615&lt;&gt;"","POR RECOGER","")</f>
        <v/>
      </c>
      <c r="L621" s="241">
        <f>IF(_PENDIENTES!$B$615&lt;&gt;"",_PENDIENTES!$K$615,"")</f>
        <v/>
      </c>
      <c r="M621" s="284">
        <f>IF(_PENDIENTES!$B$615&lt;&gt;"",_PENDIENTES!$B$615,"")</f>
        <v/>
      </c>
      <c r="N621" s="304">
        <f>IF(_PENDIENTES!$B$615&lt;&gt;"",_PENDIENTES!$L$615,"")</f>
        <v/>
      </c>
      <c r="O621" s="284" t="n"/>
      <c r="P621" s="284" t="n"/>
      <c r="Q621" s="284" t="n"/>
      <c r="R621" s="284" t="n"/>
      <c r="S621" s="284" t="n"/>
    </row>
    <row r="622" hidden="1" ht="15.75" customHeight="1" s="195">
      <c r="A622" s="301">
        <f>IF(_PENDIENTES!$B$616&lt;&gt;"",615,"")</f>
        <v/>
      </c>
      <c r="B622" s="242">
        <f>IF(_PENDIENTES!$B$616&lt;&gt;"",_PENDIENTES!$A$616,"")</f>
        <v/>
      </c>
      <c r="C622" s="302">
        <f>IF(_PENDIENTES!$B$616&lt;&gt;"",_PENDIENTES!$C$616,"")</f>
        <v/>
      </c>
      <c r="D622" s="301">
        <f>IF(_PENDIENTES!$B$616&lt;&gt;"",_PENDIENTES!$D$616,"")</f>
        <v/>
      </c>
      <c r="E622" s="306">
        <f>IF(_PENDIENTES!$B$616&lt;&gt;"",_PENDIENTES!$E$616,"")</f>
        <v/>
      </c>
      <c r="F622" s="301">
        <f>IF(_PENDIENTES!$B$616&lt;&gt;"",_PENDIENTES!$F$616,"")</f>
        <v/>
      </c>
      <c r="G622" s="245">
        <f>IF(_PENDIENTES!$B$616&lt;&gt;"",_PENDIENTES!$G$616,"")</f>
        <v/>
      </c>
      <c r="H622" s="245">
        <f>IF(_PENDIENTES!$B$616&lt;&gt;"",_PENDIENTES!$H$616,"")</f>
        <v/>
      </c>
      <c r="I622" s="302">
        <f>IF(_PENDIENTES!$B$616&lt;&gt;"",_PENDIENTES!$I$616,"")</f>
        <v/>
      </c>
      <c r="J622" s="301">
        <f>IF(_PENDIENTES!$B$616&lt;&gt;"",_PENDIENTES!$J$616,"")</f>
        <v/>
      </c>
      <c r="K622" s="301">
        <f>IF(_PENDIENTES!$B$616&lt;&gt;"","POR RECOGER","")</f>
        <v/>
      </c>
      <c r="L622" s="301">
        <f>IF(_PENDIENTES!$B$616&lt;&gt;"",_PENDIENTES!$K$616,"")</f>
        <v/>
      </c>
      <c r="M622" s="284">
        <f>IF(_PENDIENTES!$B$616&lt;&gt;"",_PENDIENTES!$B$616,"")</f>
        <v/>
      </c>
      <c r="N622" s="304">
        <f>IF(_PENDIENTES!$B$616&lt;&gt;"",_PENDIENTES!$L$616,"")</f>
        <v/>
      </c>
      <c r="O622" s="284" t="n"/>
      <c r="P622" s="284" t="n"/>
      <c r="Q622" s="284" t="n"/>
      <c r="R622" s="284" t="n"/>
      <c r="S622" s="284" t="n"/>
    </row>
    <row r="623" hidden="1" ht="15.75" customHeight="1" s="195">
      <c r="A623" s="241">
        <f>IF(_PENDIENTES!$B$617&lt;&gt;"",616,"")</f>
        <v/>
      </c>
      <c r="B623" s="236">
        <f>IF(_PENDIENTES!$B$617&lt;&gt;"",_PENDIENTES!$A$617,"")</f>
        <v/>
      </c>
      <c r="C623" s="305">
        <f>IF(_PENDIENTES!$B$617&lt;&gt;"",_PENDIENTES!$C$617,"")</f>
        <v/>
      </c>
      <c r="D623" s="241">
        <f>IF(_PENDIENTES!$B$617&lt;&gt;"",_PENDIENTES!$D$617,"")</f>
        <v/>
      </c>
      <c r="E623" s="307">
        <f>IF(_PENDIENTES!$B$617&lt;&gt;"",_PENDIENTES!$E$617,"")</f>
        <v/>
      </c>
      <c r="F623" s="241">
        <f>IF(_PENDIENTES!$B$617&lt;&gt;"",_PENDIENTES!$F$617,"")</f>
        <v/>
      </c>
      <c r="G623" s="239">
        <f>IF(_PENDIENTES!$B$617&lt;&gt;"",_PENDIENTES!$G$617,"")</f>
        <v/>
      </c>
      <c r="H623" s="239">
        <f>IF(_PENDIENTES!$B$617&lt;&gt;"",_PENDIENTES!$H$617,"")</f>
        <v/>
      </c>
      <c r="I623" s="305">
        <f>IF(_PENDIENTES!$B$617&lt;&gt;"",_PENDIENTES!$I$617,"")</f>
        <v/>
      </c>
      <c r="J623" s="241">
        <f>IF(_PENDIENTES!$B$617&lt;&gt;"",_PENDIENTES!$J$617,"")</f>
        <v/>
      </c>
      <c r="K623" s="241">
        <f>IF(_PENDIENTES!$B$617&lt;&gt;"","POR RECOGER","")</f>
        <v/>
      </c>
      <c r="L623" s="241">
        <f>IF(_PENDIENTES!$B$617&lt;&gt;"",_PENDIENTES!$K$617,"")</f>
        <v/>
      </c>
      <c r="M623" s="284">
        <f>IF(_PENDIENTES!$B$617&lt;&gt;"",_PENDIENTES!$B$617,"")</f>
        <v/>
      </c>
      <c r="N623" s="304">
        <f>IF(_PENDIENTES!$B$617&lt;&gt;"",_PENDIENTES!$L$617,"")</f>
        <v/>
      </c>
      <c r="O623" s="284" t="n"/>
      <c r="P623" s="284" t="n"/>
      <c r="Q623" s="284" t="n"/>
      <c r="R623" s="284" t="n"/>
      <c r="S623" s="284" t="n"/>
    </row>
    <row r="624" hidden="1" ht="15.75" customHeight="1" s="195">
      <c r="A624" s="301">
        <f>IF(_PENDIENTES!$B$618&lt;&gt;"",617,"")</f>
        <v/>
      </c>
      <c r="B624" s="242">
        <f>IF(_PENDIENTES!$B$618&lt;&gt;"",_PENDIENTES!$A$618,"")</f>
        <v/>
      </c>
      <c r="C624" s="302">
        <f>IF(_PENDIENTES!$B$618&lt;&gt;"",_PENDIENTES!$C$618,"")</f>
        <v/>
      </c>
      <c r="D624" s="301">
        <f>IF(_PENDIENTES!$B$618&lt;&gt;"",_PENDIENTES!$D$618,"")</f>
        <v/>
      </c>
      <c r="E624" s="306">
        <f>IF(_PENDIENTES!$B$618&lt;&gt;"",_PENDIENTES!$E$618,"")</f>
        <v/>
      </c>
      <c r="F624" s="301">
        <f>IF(_PENDIENTES!$B$618&lt;&gt;"",_PENDIENTES!$F$618,"")</f>
        <v/>
      </c>
      <c r="G624" s="245">
        <f>IF(_PENDIENTES!$B$618&lt;&gt;"",_PENDIENTES!$G$618,"")</f>
        <v/>
      </c>
      <c r="H624" s="245">
        <f>IF(_PENDIENTES!$B$618&lt;&gt;"",_PENDIENTES!$H$618,"")</f>
        <v/>
      </c>
      <c r="I624" s="302">
        <f>IF(_PENDIENTES!$B$618&lt;&gt;"",_PENDIENTES!$I$618,"")</f>
        <v/>
      </c>
      <c r="J624" s="301">
        <f>IF(_PENDIENTES!$B$618&lt;&gt;"",_PENDIENTES!$J$618,"")</f>
        <v/>
      </c>
      <c r="K624" s="301">
        <f>IF(_PENDIENTES!$B$618&lt;&gt;"","POR RECOGER","")</f>
        <v/>
      </c>
      <c r="L624" s="301">
        <f>IF(_PENDIENTES!$B$618&lt;&gt;"",_PENDIENTES!$K$618,"")</f>
        <v/>
      </c>
      <c r="M624" s="284">
        <f>IF(_PENDIENTES!$B$618&lt;&gt;"",_PENDIENTES!$B$618,"")</f>
        <v/>
      </c>
      <c r="N624" s="304">
        <f>IF(_PENDIENTES!$B$618&lt;&gt;"",_PENDIENTES!$L$618,"")</f>
        <v/>
      </c>
      <c r="O624" s="284" t="n"/>
      <c r="P624" s="284" t="n"/>
      <c r="Q624" s="284" t="n"/>
      <c r="R624" s="284" t="n"/>
      <c r="S624" s="284" t="n"/>
    </row>
    <row r="625" hidden="1" ht="15.75" customHeight="1" s="195">
      <c r="A625" s="241">
        <f>IF(_PENDIENTES!$B$619&lt;&gt;"",618,"")</f>
        <v/>
      </c>
      <c r="B625" s="236">
        <f>IF(_PENDIENTES!$B$619&lt;&gt;"",_PENDIENTES!$A$619,"")</f>
        <v/>
      </c>
      <c r="C625" s="305">
        <f>IF(_PENDIENTES!$B$619&lt;&gt;"",_PENDIENTES!$C$619,"")</f>
        <v/>
      </c>
      <c r="D625" s="241">
        <f>IF(_PENDIENTES!$B$619&lt;&gt;"",_PENDIENTES!$D$619,"")</f>
        <v/>
      </c>
      <c r="E625" s="307">
        <f>IF(_PENDIENTES!$B$619&lt;&gt;"",_PENDIENTES!$E$619,"")</f>
        <v/>
      </c>
      <c r="F625" s="241">
        <f>IF(_PENDIENTES!$B$619&lt;&gt;"",_PENDIENTES!$F$619,"")</f>
        <v/>
      </c>
      <c r="G625" s="239">
        <f>IF(_PENDIENTES!$B$619&lt;&gt;"",_PENDIENTES!$G$619,"")</f>
        <v/>
      </c>
      <c r="H625" s="239">
        <f>IF(_PENDIENTES!$B$619&lt;&gt;"",_PENDIENTES!$H$619,"")</f>
        <v/>
      </c>
      <c r="I625" s="305">
        <f>IF(_PENDIENTES!$B$619&lt;&gt;"",_PENDIENTES!$I$619,"")</f>
        <v/>
      </c>
      <c r="J625" s="241">
        <f>IF(_PENDIENTES!$B$619&lt;&gt;"",_PENDIENTES!$J$619,"")</f>
        <v/>
      </c>
      <c r="K625" s="241">
        <f>IF(_PENDIENTES!$B$619&lt;&gt;"","POR RECOGER","")</f>
        <v/>
      </c>
      <c r="L625" s="241">
        <f>IF(_PENDIENTES!$B$619&lt;&gt;"",_PENDIENTES!$K$619,"")</f>
        <v/>
      </c>
      <c r="M625" s="284">
        <f>IF(_PENDIENTES!$B$619&lt;&gt;"",_PENDIENTES!$B$619,"")</f>
        <v/>
      </c>
      <c r="N625" s="304">
        <f>IF(_PENDIENTES!$B$619&lt;&gt;"",_PENDIENTES!$L$619,"")</f>
        <v/>
      </c>
      <c r="O625" s="284" t="n"/>
      <c r="P625" s="284" t="n"/>
      <c r="Q625" s="284" t="n"/>
      <c r="R625" s="284" t="n"/>
      <c r="S625" s="284" t="n"/>
    </row>
    <row r="626" hidden="1" ht="15.75" customHeight="1" s="195">
      <c r="A626" s="301">
        <f>IF(_PENDIENTES!$B$620&lt;&gt;"",619,"")</f>
        <v/>
      </c>
      <c r="B626" s="242">
        <f>IF(_PENDIENTES!$B$620&lt;&gt;"",_PENDIENTES!$A$620,"")</f>
        <v/>
      </c>
      <c r="C626" s="302">
        <f>IF(_PENDIENTES!$B$620&lt;&gt;"",_PENDIENTES!$C$620,"")</f>
        <v/>
      </c>
      <c r="D626" s="301">
        <f>IF(_PENDIENTES!$B$620&lt;&gt;"",_PENDIENTES!$D$620,"")</f>
        <v/>
      </c>
      <c r="E626" s="306">
        <f>IF(_PENDIENTES!$B$620&lt;&gt;"",_PENDIENTES!$E$620,"")</f>
        <v/>
      </c>
      <c r="F626" s="301">
        <f>IF(_PENDIENTES!$B$620&lt;&gt;"",_PENDIENTES!$F$620,"")</f>
        <v/>
      </c>
      <c r="G626" s="245">
        <f>IF(_PENDIENTES!$B$620&lt;&gt;"",_PENDIENTES!$G$620,"")</f>
        <v/>
      </c>
      <c r="H626" s="245">
        <f>IF(_PENDIENTES!$B$620&lt;&gt;"",_PENDIENTES!$H$620,"")</f>
        <v/>
      </c>
      <c r="I626" s="302">
        <f>IF(_PENDIENTES!$B$620&lt;&gt;"",_PENDIENTES!$I$620,"")</f>
        <v/>
      </c>
      <c r="J626" s="301">
        <f>IF(_PENDIENTES!$B$620&lt;&gt;"",_PENDIENTES!$J$620,"")</f>
        <v/>
      </c>
      <c r="K626" s="301">
        <f>IF(_PENDIENTES!$B$620&lt;&gt;"","POR RECOGER","")</f>
        <v/>
      </c>
      <c r="L626" s="301">
        <f>IF(_PENDIENTES!$B$620&lt;&gt;"",_PENDIENTES!$K$620,"")</f>
        <v/>
      </c>
      <c r="M626" s="284">
        <f>IF(_PENDIENTES!$B$620&lt;&gt;"",_PENDIENTES!$B$620,"")</f>
        <v/>
      </c>
      <c r="N626" s="304">
        <f>IF(_PENDIENTES!$B$620&lt;&gt;"",_PENDIENTES!$L$620,"")</f>
        <v/>
      </c>
      <c r="O626" s="284" t="n"/>
      <c r="P626" s="284" t="n"/>
      <c r="Q626" s="284" t="n"/>
      <c r="R626" s="284" t="n"/>
      <c r="S626" s="284" t="n"/>
    </row>
    <row r="627" hidden="1" ht="15.75" customHeight="1" s="195">
      <c r="A627" s="241">
        <f>IF(_PENDIENTES!$B$621&lt;&gt;"",620,"")</f>
        <v/>
      </c>
      <c r="B627" s="236">
        <f>IF(_PENDIENTES!$B$621&lt;&gt;"",_PENDIENTES!$A$621,"")</f>
        <v/>
      </c>
      <c r="C627" s="305">
        <f>IF(_PENDIENTES!$B$621&lt;&gt;"",_PENDIENTES!$C$621,"")</f>
        <v/>
      </c>
      <c r="D627" s="241">
        <f>IF(_PENDIENTES!$B$621&lt;&gt;"",_PENDIENTES!$D$621,"")</f>
        <v/>
      </c>
      <c r="E627" s="307">
        <f>IF(_PENDIENTES!$B$621&lt;&gt;"",_PENDIENTES!$E$621,"")</f>
        <v/>
      </c>
      <c r="F627" s="241">
        <f>IF(_PENDIENTES!$B$621&lt;&gt;"",_PENDIENTES!$F$621,"")</f>
        <v/>
      </c>
      <c r="G627" s="239">
        <f>IF(_PENDIENTES!$B$621&lt;&gt;"",_PENDIENTES!$G$621,"")</f>
        <v/>
      </c>
      <c r="H627" s="239">
        <f>IF(_PENDIENTES!$B$621&lt;&gt;"",_PENDIENTES!$H$621,"")</f>
        <v/>
      </c>
      <c r="I627" s="305">
        <f>IF(_PENDIENTES!$B$621&lt;&gt;"",_PENDIENTES!$I$621,"")</f>
        <v/>
      </c>
      <c r="J627" s="241">
        <f>IF(_PENDIENTES!$B$621&lt;&gt;"",_PENDIENTES!$J$621,"")</f>
        <v/>
      </c>
      <c r="K627" s="241">
        <f>IF(_PENDIENTES!$B$621&lt;&gt;"","POR RECOGER","")</f>
        <v/>
      </c>
      <c r="L627" s="241">
        <f>IF(_PENDIENTES!$B$621&lt;&gt;"",_PENDIENTES!$K$621,"")</f>
        <v/>
      </c>
      <c r="M627" s="284">
        <f>IF(_PENDIENTES!$B$621&lt;&gt;"",_PENDIENTES!$B$621,"")</f>
        <v/>
      </c>
      <c r="N627" s="304">
        <f>IF(_PENDIENTES!$B$621&lt;&gt;"",_PENDIENTES!$L$621,"")</f>
        <v/>
      </c>
      <c r="O627" s="284" t="n"/>
      <c r="P627" s="284" t="n"/>
      <c r="Q627" s="284" t="n"/>
      <c r="R627" s="284" t="n"/>
      <c r="S627" s="284" t="n"/>
    </row>
    <row r="628" hidden="1" ht="15.75" customHeight="1" s="195">
      <c r="A628" s="301">
        <f>IF(_PENDIENTES!$B$622&lt;&gt;"",621,"")</f>
        <v/>
      </c>
      <c r="B628" s="242">
        <f>IF(_PENDIENTES!$B$622&lt;&gt;"",_PENDIENTES!$A$622,"")</f>
        <v/>
      </c>
      <c r="C628" s="302">
        <f>IF(_PENDIENTES!$B$622&lt;&gt;"",_PENDIENTES!$C$622,"")</f>
        <v/>
      </c>
      <c r="D628" s="301">
        <f>IF(_PENDIENTES!$B$622&lt;&gt;"",_PENDIENTES!$D$622,"")</f>
        <v/>
      </c>
      <c r="E628" s="306">
        <f>IF(_PENDIENTES!$B$622&lt;&gt;"",_PENDIENTES!$E$622,"")</f>
        <v/>
      </c>
      <c r="F628" s="301">
        <f>IF(_PENDIENTES!$B$622&lt;&gt;"",_PENDIENTES!$F$622,"")</f>
        <v/>
      </c>
      <c r="G628" s="245">
        <f>IF(_PENDIENTES!$B$622&lt;&gt;"",_PENDIENTES!$G$622,"")</f>
        <v/>
      </c>
      <c r="H628" s="245">
        <f>IF(_PENDIENTES!$B$622&lt;&gt;"",_PENDIENTES!$H$622,"")</f>
        <v/>
      </c>
      <c r="I628" s="302">
        <f>IF(_PENDIENTES!$B$622&lt;&gt;"",_PENDIENTES!$I$622,"")</f>
        <v/>
      </c>
      <c r="J628" s="301">
        <f>IF(_PENDIENTES!$B$622&lt;&gt;"",_PENDIENTES!$J$622,"")</f>
        <v/>
      </c>
      <c r="K628" s="301">
        <f>IF(_PENDIENTES!$B$622&lt;&gt;"","POR RECOGER","")</f>
        <v/>
      </c>
      <c r="L628" s="301">
        <f>IF(_PENDIENTES!$B$622&lt;&gt;"",_PENDIENTES!$K$622,"")</f>
        <v/>
      </c>
      <c r="M628" s="284">
        <f>IF(_PENDIENTES!$B$622&lt;&gt;"",_PENDIENTES!$B$622,"")</f>
        <v/>
      </c>
      <c r="N628" s="304">
        <f>IF(_PENDIENTES!$B$622&lt;&gt;"",_PENDIENTES!$L$622,"")</f>
        <v/>
      </c>
      <c r="O628" s="284" t="n"/>
      <c r="P628" s="284" t="n"/>
      <c r="Q628" s="284" t="n"/>
      <c r="R628" s="284" t="n"/>
      <c r="S628" s="284" t="n"/>
    </row>
    <row r="629" hidden="1" ht="15.75" customHeight="1" s="195">
      <c r="A629" s="241">
        <f>IF(_PENDIENTES!$B$623&lt;&gt;"",622,"")</f>
        <v/>
      </c>
      <c r="B629" s="236">
        <f>IF(_PENDIENTES!$B$623&lt;&gt;"",_PENDIENTES!$A$623,"")</f>
        <v/>
      </c>
      <c r="C629" s="305">
        <f>IF(_PENDIENTES!$B$623&lt;&gt;"",_PENDIENTES!$C$623,"")</f>
        <v/>
      </c>
      <c r="D629" s="241">
        <f>IF(_PENDIENTES!$B$623&lt;&gt;"",_PENDIENTES!$D$623,"")</f>
        <v/>
      </c>
      <c r="E629" s="307">
        <f>IF(_PENDIENTES!$B$623&lt;&gt;"",_PENDIENTES!$E$623,"")</f>
        <v/>
      </c>
      <c r="F629" s="241">
        <f>IF(_PENDIENTES!$B$623&lt;&gt;"",_PENDIENTES!$F$623,"")</f>
        <v/>
      </c>
      <c r="G629" s="239">
        <f>IF(_PENDIENTES!$B$623&lt;&gt;"",_PENDIENTES!$G$623,"")</f>
        <v/>
      </c>
      <c r="H629" s="239">
        <f>IF(_PENDIENTES!$B$623&lt;&gt;"",_PENDIENTES!$H$623,"")</f>
        <v/>
      </c>
      <c r="I629" s="305">
        <f>IF(_PENDIENTES!$B$623&lt;&gt;"",_PENDIENTES!$I$623,"")</f>
        <v/>
      </c>
      <c r="J629" s="241">
        <f>IF(_PENDIENTES!$B$623&lt;&gt;"",_PENDIENTES!$J$623,"")</f>
        <v/>
      </c>
      <c r="K629" s="241">
        <f>IF(_PENDIENTES!$B$623&lt;&gt;"","POR RECOGER","")</f>
        <v/>
      </c>
      <c r="L629" s="241">
        <f>IF(_PENDIENTES!$B$623&lt;&gt;"",_PENDIENTES!$K$623,"")</f>
        <v/>
      </c>
      <c r="M629" s="284">
        <f>IF(_PENDIENTES!$B$623&lt;&gt;"",_PENDIENTES!$B$623,"")</f>
        <v/>
      </c>
      <c r="N629" s="304">
        <f>IF(_PENDIENTES!$B$623&lt;&gt;"",_PENDIENTES!$L$623,"")</f>
        <v/>
      </c>
      <c r="O629" s="284" t="n"/>
      <c r="P629" s="284" t="n"/>
      <c r="Q629" s="284" t="n"/>
      <c r="R629" s="284" t="n"/>
      <c r="S629" s="284" t="n"/>
    </row>
    <row r="630" hidden="1" ht="15.75" customHeight="1" s="195">
      <c r="A630" s="301">
        <f>IF(_PENDIENTES!$B$624&lt;&gt;"",623,"")</f>
        <v/>
      </c>
      <c r="B630" s="242">
        <f>IF(_PENDIENTES!$B$624&lt;&gt;"",_PENDIENTES!$A$624,"")</f>
        <v/>
      </c>
      <c r="C630" s="302">
        <f>IF(_PENDIENTES!$B$624&lt;&gt;"",_PENDIENTES!$C$624,"")</f>
        <v/>
      </c>
      <c r="D630" s="301">
        <f>IF(_PENDIENTES!$B$624&lt;&gt;"",_PENDIENTES!$D$624,"")</f>
        <v/>
      </c>
      <c r="E630" s="306">
        <f>IF(_PENDIENTES!$B$624&lt;&gt;"",_PENDIENTES!$E$624,"")</f>
        <v/>
      </c>
      <c r="F630" s="301">
        <f>IF(_PENDIENTES!$B$624&lt;&gt;"",_PENDIENTES!$F$624,"")</f>
        <v/>
      </c>
      <c r="G630" s="245">
        <f>IF(_PENDIENTES!$B$624&lt;&gt;"",_PENDIENTES!$G$624,"")</f>
        <v/>
      </c>
      <c r="H630" s="245">
        <f>IF(_PENDIENTES!$B$624&lt;&gt;"",_PENDIENTES!$H$624,"")</f>
        <v/>
      </c>
      <c r="I630" s="302">
        <f>IF(_PENDIENTES!$B$624&lt;&gt;"",_PENDIENTES!$I$624,"")</f>
        <v/>
      </c>
      <c r="J630" s="301">
        <f>IF(_PENDIENTES!$B$624&lt;&gt;"",_PENDIENTES!$J$624,"")</f>
        <v/>
      </c>
      <c r="K630" s="301">
        <f>IF(_PENDIENTES!$B$624&lt;&gt;"","POR RECOGER","")</f>
        <v/>
      </c>
      <c r="L630" s="301">
        <f>IF(_PENDIENTES!$B$624&lt;&gt;"",_PENDIENTES!$K$624,"")</f>
        <v/>
      </c>
      <c r="M630" s="284">
        <f>IF(_PENDIENTES!$B$624&lt;&gt;"",_PENDIENTES!$B$624,"")</f>
        <v/>
      </c>
      <c r="N630" s="304">
        <f>IF(_PENDIENTES!$B$624&lt;&gt;"",_PENDIENTES!$L$624,"")</f>
        <v/>
      </c>
      <c r="O630" s="284" t="n"/>
      <c r="P630" s="284" t="n"/>
      <c r="Q630" s="284" t="n"/>
      <c r="R630" s="284" t="n"/>
      <c r="S630" s="284" t="n"/>
    </row>
    <row r="631" hidden="1" ht="15.75" customHeight="1" s="195">
      <c r="A631" s="241">
        <f>IF(_PENDIENTES!$B$625&lt;&gt;"",624,"")</f>
        <v/>
      </c>
      <c r="B631" s="236">
        <f>IF(_PENDIENTES!$B$625&lt;&gt;"",_PENDIENTES!$A$625,"")</f>
        <v/>
      </c>
      <c r="C631" s="305">
        <f>IF(_PENDIENTES!$B$625&lt;&gt;"",_PENDIENTES!$C$625,"")</f>
        <v/>
      </c>
      <c r="D631" s="241">
        <f>IF(_PENDIENTES!$B$625&lt;&gt;"",_PENDIENTES!$D$625,"")</f>
        <v/>
      </c>
      <c r="E631" s="307">
        <f>IF(_PENDIENTES!$B$625&lt;&gt;"",_PENDIENTES!$E$625,"")</f>
        <v/>
      </c>
      <c r="F631" s="241">
        <f>IF(_PENDIENTES!$B$625&lt;&gt;"",_PENDIENTES!$F$625,"")</f>
        <v/>
      </c>
      <c r="G631" s="239">
        <f>IF(_PENDIENTES!$B$625&lt;&gt;"",_PENDIENTES!$G$625,"")</f>
        <v/>
      </c>
      <c r="H631" s="239">
        <f>IF(_PENDIENTES!$B$625&lt;&gt;"",_PENDIENTES!$H$625,"")</f>
        <v/>
      </c>
      <c r="I631" s="305">
        <f>IF(_PENDIENTES!$B$625&lt;&gt;"",_PENDIENTES!$I$625,"")</f>
        <v/>
      </c>
      <c r="J631" s="241">
        <f>IF(_PENDIENTES!$B$625&lt;&gt;"",_PENDIENTES!$J$625,"")</f>
        <v/>
      </c>
      <c r="K631" s="241">
        <f>IF(_PENDIENTES!$B$625&lt;&gt;"","POR RECOGER","")</f>
        <v/>
      </c>
      <c r="L631" s="241">
        <f>IF(_PENDIENTES!$B$625&lt;&gt;"",_PENDIENTES!$K$625,"")</f>
        <v/>
      </c>
      <c r="M631" s="284">
        <f>IF(_PENDIENTES!$B$625&lt;&gt;"",_PENDIENTES!$B$625,"")</f>
        <v/>
      </c>
      <c r="N631" s="304">
        <f>IF(_PENDIENTES!$B$625&lt;&gt;"",_PENDIENTES!$L$625,"")</f>
        <v/>
      </c>
      <c r="O631" s="284" t="n"/>
      <c r="P631" s="284" t="n"/>
      <c r="Q631" s="284" t="n"/>
      <c r="R631" s="284" t="n"/>
      <c r="S631" s="284" t="n"/>
    </row>
    <row r="632" hidden="1" ht="15.75" customHeight="1" s="195">
      <c r="A632" s="301">
        <f>IF(_PENDIENTES!$B$626&lt;&gt;"",625,"")</f>
        <v/>
      </c>
      <c r="B632" s="242">
        <f>IF(_PENDIENTES!$B$626&lt;&gt;"",_PENDIENTES!$A$626,"")</f>
        <v/>
      </c>
      <c r="C632" s="302">
        <f>IF(_PENDIENTES!$B$626&lt;&gt;"",_PENDIENTES!$C$626,"")</f>
        <v/>
      </c>
      <c r="D632" s="301">
        <f>IF(_PENDIENTES!$B$626&lt;&gt;"",_PENDIENTES!$D$626,"")</f>
        <v/>
      </c>
      <c r="E632" s="306">
        <f>IF(_PENDIENTES!$B$626&lt;&gt;"",_PENDIENTES!$E$626,"")</f>
        <v/>
      </c>
      <c r="F632" s="301">
        <f>IF(_PENDIENTES!$B$626&lt;&gt;"",_PENDIENTES!$F$626,"")</f>
        <v/>
      </c>
      <c r="G632" s="245">
        <f>IF(_PENDIENTES!$B$626&lt;&gt;"",_PENDIENTES!$G$626,"")</f>
        <v/>
      </c>
      <c r="H632" s="245">
        <f>IF(_PENDIENTES!$B$626&lt;&gt;"",_PENDIENTES!$H$626,"")</f>
        <v/>
      </c>
      <c r="I632" s="302">
        <f>IF(_PENDIENTES!$B$626&lt;&gt;"",_PENDIENTES!$I$626,"")</f>
        <v/>
      </c>
      <c r="J632" s="301">
        <f>IF(_PENDIENTES!$B$626&lt;&gt;"",_PENDIENTES!$J$626,"")</f>
        <v/>
      </c>
      <c r="K632" s="301">
        <f>IF(_PENDIENTES!$B$626&lt;&gt;"","POR RECOGER","")</f>
        <v/>
      </c>
      <c r="L632" s="301">
        <f>IF(_PENDIENTES!$B$626&lt;&gt;"",_PENDIENTES!$K$626,"")</f>
        <v/>
      </c>
      <c r="M632" s="284">
        <f>IF(_PENDIENTES!$B$626&lt;&gt;"",_PENDIENTES!$B$626,"")</f>
        <v/>
      </c>
      <c r="N632" s="304">
        <f>IF(_PENDIENTES!$B$626&lt;&gt;"",_PENDIENTES!$L$626,"")</f>
        <v/>
      </c>
      <c r="O632" s="284" t="n"/>
      <c r="P632" s="284" t="n"/>
      <c r="Q632" s="284" t="n"/>
      <c r="R632" s="284" t="n"/>
      <c r="S632" s="284" t="n"/>
    </row>
    <row r="633" hidden="1" ht="15.75" customHeight="1" s="195">
      <c r="A633" s="241">
        <f>IF(_PENDIENTES!$B$627&lt;&gt;"",626,"")</f>
        <v/>
      </c>
      <c r="B633" s="236">
        <f>IF(_PENDIENTES!$B$627&lt;&gt;"",_PENDIENTES!$A$627,"")</f>
        <v/>
      </c>
      <c r="C633" s="305">
        <f>IF(_PENDIENTES!$B$627&lt;&gt;"",_PENDIENTES!$C$627,"")</f>
        <v/>
      </c>
      <c r="D633" s="241">
        <f>IF(_PENDIENTES!$B$627&lt;&gt;"",_PENDIENTES!$D$627,"")</f>
        <v/>
      </c>
      <c r="E633" s="307">
        <f>IF(_PENDIENTES!$B$627&lt;&gt;"",_PENDIENTES!$E$627,"")</f>
        <v/>
      </c>
      <c r="F633" s="241">
        <f>IF(_PENDIENTES!$B$627&lt;&gt;"",_PENDIENTES!$F$627,"")</f>
        <v/>
      </c>
      <c r="G633" s="239">
        <f>IF(_PENDIENTES!$B$627&lt;&gt;"",_PENDIENTES!$G$627,"")</f>
        <v/>
      </c>
      <c r="H633" s="239">
        <f>IF(_PENDIENTES!$B$627&lt;&gt;"",_PENDIENTES!$H$627,"")</f>
        <v/>
      </c>
      <c r="I633" s="305">
        <f>IF(_PENDIENTES!$B$627&lt;&gt;"",_PENDIENTES!$I$627,"")</f>
        <v/>
      </c>
      <c r="J633" s="241">
        <f>IF(_PENDIENTES!$B$627&lt;&gt;"",_PENDIENTES!$J$627,"")</f>
        <v/>
      </c>
      <c r="K633" s="241">
        <f>IF(_PENDIENTES!$B$627&lt;&gt;"","POR RECOGER","")</f>
        <v/>
      </c>
      <c r="L633" s="241">
        <f>IF(_PENDIENTES!$B$627&lt;&gt;"",_PENDIENTES!$K$627,"")</f>
        <v/>
      </c>
      <c r="M633" s="284">
        <f>IF(_PENDIENTES!$B$627&lt;&gt;"",_PENDIENTES!$B$627,"")</f>
        <v/>
      </c>
      <c r="N633" s="304">
        <f>IF(_PENDIENTES!$B$627&lt;&gt;"",_PENDIENTES!$L$627,"")</f>
        <v/>
      </c>
      <c r="O633" s="284" t="n"/>
      <c r="P633" s="284" t="n"/>
      <c r="Q633" s="284" t="n"/>
      <c r="R633" s="284" t="n"/>
      <c r="S633" s="284" t="n"/>
    </row>
    <row r="634" hidden="1" ht="15.75" customHeight="1" s="195">
      <c r="A634" s="301">
        <f>IF(_PENDIENTES!$B$628&lt;&gt;"",627,"")</f>
        <v/>
      </c>
      <c r="B634" s="242">
        <f>IF(_PENDIENTES!$B$628&lt;&gt;"",_PENDIENTES!$A$628,"")</f>
        <v/>
      </c>
      <c r="C634" s="302">
        <f>IF(_PENDIENTES!$B$628&lt;&gt;"",_PENDIENTES!$C$628,"")</f>
        <v/>
      </c>
      <c r="D634" s="301">
        <f>IF(_PENDIENTES!$B$628&lt;&gt;"",_PENDIENTES!$D$628,"")</f>
        <v/>
      </c>
      <c r="E634" s="306">
        <f>IF(_PENDIENTES!$B$628&lt;&gt;"",_PENDIENTES!$E$628,"")</f>
        <v/>
      </c>
      <c r="F634" s="301">
        <f>IF(_PENDIENTES!$B$628&lt;&gt;"",_PENDIENTES!$F$628,"")</f>
        <v/>
      </c>
      <c r="G634" s="245">
        <f>IF(_PENDIENTES!$B$628&lt;&gt;"",_PENDIENTES!$G$628,"")</f>
        <v/>
      </c>
      <c r="H634" s="245">
        <f>IF(_PENDIENTES!$B$628&lt;&gt;"",_PENDIENTES!$H$628,"")</f>
        <v/>
      </c>
      <c r="I634" s="302">
        <f>IF(_PENDIENTES!$B$628&lt;&gt;"",_PENDIENTES!$I$628,"")</f>
        <v/>
      </c>
      <c r="J634" s="301">
        <f>IF(_PENDIENTES!$B$628&lt;&gt;"",_PENDIENTES!$J$628,"")</f>
        <v/>
      </c>
      <c r="K634" s="301">
        <f>IF(_PENDIENTES!$B$628&lt;&gt;"","POR RECOGER","")</f>
        <v/>
      </c>
      <c r="L634" s="301">
        <f>IF(_PENDIENTES!$B$628&lt;&gt;"",_PENDIENTES!$K$628,"")</f>
        <v/>
      </c>
      <c r="M634" s="284">
        <f>IF(_PENDIENTES!$B$628&lt;&gt;"",_PENDIENTES!$B$628,"")</f>
        <v/>
      </c>
      <c r="N634" s="304">
        <f>IF(_PENDIENTES!$B$628&lt;&gt;"",_PENDIENTES!$L$628,"")</f>
        <v/>
      </c>
      <c r="O634" s="284" t="n"/>
      <c r="P634" s="284" t="n"/>
      <c r="Q634" s="284" t="n"/>
      <c r="R634" s="284" t="n"/>
      <c r="S634" s="284" t="n"/>
    </row>
    <row r="635" hidden="1" ht="15.75" customHeight="1" s="195">
      <c r="A635" s="241">
        <f>IF(_PENDIENTES!$B$629&lt;&gt;"",628,"")</f>
        <v/>
      </c>
      <c r="B635" s="236">
        <f>IF(_PENDIENTES!$B$629&lt;&gt;"",_PENDIENTES!$A$629,"")</f>
        <v/>
      </c>
      <c r="C635" s="305">
        <f>IF(_PENDIENTES!$B$629&lt;&gt;"",_PENDIENTES!$C$629,"")</f>
        <v/>
      </c>
      <c r="D635" s="241">
        <f>IF(_PENDIENTES!$B$629&lt;&gt;"",_PENDIENTES!$D$629,"")</f>
        <v/>
      </c>
      <c r="E635" s="307">
        <f>IF(_PENDIENTES!$B$629&lt;&gt;"",_PENDIENTES!$E$629,"")</f>
        <v/>
      </c>
      <c r="F635" s="241">
        <f>IF(_PENDIENTES!$B$629&lt;&gt;"",_PENDIENTES!$F$629,"")</f>
        <v/>
      </c>
      <c r="G635" s="239">
        <f>IF(_PENDIENTES!$B$629&lt;&gt;"",_PENDIENTES!$G$629,"")</f>
        <v/>
      </c>
      <c r="H635" s="239">
        <f>IF(_PENDIENTES!$B$629&lt;&gt;"",_PENDIENTES!$H$629,"")</f>
        <v/>
      </c>
      <c r="I635" s="305">
        <f>IF(_PENDIENTES!$B$629&lt;&gt;"",_PENDIENTES!$I$629,"")</f>
        <v/>
      </c>
      <c r="J635" s="241">
        <f>IF(_PENDIENTES!$B$629&lt;&gt;"",_PENDIENTES!$J$629,"")</f>
        <v/>
      </c>
      <c r="K635" s="241">
        <f>IF(_PENDIENTES!$B$629&lt;&gt;"","POR RECOGER","")</f>
        <v/>
      </c>
      <c r="L635" s="241">
        <f>IF(_PENDIENTES!$B$629&lt;&gt;"",_PENDIENTES!$K$629,"")</f>
        <v/>
      </c>
      <c r="M635" s="284">
        <f>IF(_PENDIENTES!$B$629&lt;&gt;"",_PENDIENTES!$B$629,"")</f>
        <v/>
      </c>
      <c r="N635" s="304">
        <f>IF(_PENDIENTES!$B$629&lt;&gt;"",_PENDIENTES!$L$629,"")</f>
        <v/>
      </c>
      <c r="O635" s="284" t="n"/>
      <c r="P635" s="284" t="n"/>
      <c r="Q635" s="284" t="n"/>
      <c r="R635" s="284" t="n"/>
      <c r="S635" s="284" t="n"/>
    </row>
    <row r="636" hidden="1" ht="15.75" customHeight="1" s="195">
      <c r="A636" s="301">
        <f>IF(_PENDIENTES!$B$630&lt;&gt;"",629,"")</f>
        <v/>
      </c>
      <c r="B636" s="242">
        <f>IF(_PENDIENTES!$B$630&lt;&gt;"",_PENDIENTES!$A$630,"")</f>
        <v/>
      </c>
      <c r="C636" s="302">
        <f>IF(_PENDIENTES!$B$630&lt;&gt;"",_PENDIENTES!$C$630,"")</f>
        <v/>
      </c>
      <c r="D636" s="301">
        <f>IF(_PENDIENTES!$B$630&lt;&gt;"",_PENDIENTES!$D$630,"")</f>
        <v/>
      </c>
      <c r="E636" s="306">
        <f>IF(_PENDIENTES!$B$630&lt;&gt;"",_PENDIENTES!$E$630,"")</f>
        <v/>
      </c>
      <c r="F636" s="301">
        <f>IF(_PENDIENTES!$B$630&lt;&gt;"",_PENDIENTES!$F$630,"")</f>
        <v/>
      </c>
      <c r="G636" s="245">
        <f>IF(_PENDIENTES!$B$630&lt;&gt;"",_PENDIENTES!$G$630,"")</f>
        <v/>
      </c>
      <c r="H636" s="245">
        <f>IF(_PENDIENTES!$B$630&lt;&gt;"",_PENDIENTES!$H$630,"")</f>
        <v/>
      </c>
      <c r="I636" s="302">
        <f>IF(_PENDIENTES!$B$630&lt;&gt;"",_PENDIENTES!$I$630,"")</f>
        <v/>
      </c>
      <c r="J636" s="301">
        <f>IF(_PENDIENTES!$B$630&lt;&gt;"",_PENDIENTES!$J$630,"")</f>
        <v/>
      </c>
      <c r="K636" s="301">
        <f>IF(_PENDIENTES!$B$630&lt;&gt;"","POR RECOGER","")</f>
        <v/>
      </c>
      <c r="L636" s="301">
        <f>IF(_PENDIENTES!$B$630&lt;&gt;"",_PENDIENTES!$K$630,"")</f>
        <v/>
      </c>
      <c r="M636" s="284">
        <f>IF(_PENDIENTES!$B$630&lt;&gt;"",_PENDIENTES!$B$630,"")</f>
        <v/>
      </c>
      <c r="N636" s="304">
        <f>IF(_PENDIENTES!$B$630&lt;&gt;"",_PENDIENTES!$L$630,"")</f>
        <v/>
      </c>
      <c r="O636" s="284" t="n"/>
      <c r="P636" s="284" t="n"/>
      <c r="Q636" s="284" t="n"/>
      <c r="R636" s="284" t="n"/>
      <c r="S636" s="284" t="n"/>
    </row>
    <row r="637" hidden="1" ht="15.75" customHeight="1" s="195">
      <c r="A637" s="241">
        <f>IF(_PENDIENTES!$B$631&lt;&gt;"",630,"")</f>
        <v/>
      </c>
      <c r="B637" s="236">
        <f>IF(_PENDIENTES!$B$631&lt;&gt;"",_PENDIENTES!$A$631,"")</f>
        <v/>
      </c>
      <c r="C637" s="305">
        <f>IF(_PENDIENTES!$B$631&lt;&gt;"",_PENDIENTES!$C$631,"")</f>
        <v/>
      </c>
      <c r="D637" s="241">
        <f>IF(_PENDIENTES!$B$631&lt;&gt;"",_PENDIENTES!$D$631,"")</f>
        <v/>
      </c>
      <c r="E637" s="307">
        <f>IF(_PENDIENTES!$B$631&lt;&gt;"",_PENDIENTES!$E$631,"")</f>
        <v/>
      </c>
      <c r="F637" s="241">
        <f>IF(_PENDIENTES!$B$631&lt;&gt;"",_PENDIENTES!$F$631,"")</f>
        <v/>
      </c>
      <c r="G637" s="239">
        <f>IF(_PENDIENTES!$B$631&lt;&gt;"",_PENDIENTES!$G$631,"")</f>
        <v/>
      </c>
      <c r="H637" s="239">
        <f>IF(_PENDIENTES!$B$631&lt;&gt;"",_PENDIENTES!$H$631,"")</f>
        <v/>
      </c>
      <c r="I637" s="305">
        <f>IF(_PENDIENTES!$B$631&lt;&gt;"",_PENDIENTES!$I$631,"")</f>
        <v/>
      </c>
      <c r="J637" s="241">
        <f>IF(_PENDIENTES!$B$631&lt;&gt;"",_PENDIENTES!$J$631,"")</f>
        <v/>
      </c>
      <c r="K637" s="241">
        <f>IF(_PENDIENTES!$B$631&lt;&gt;"","POR RECOGER","")</f>
        <v/>
      </c>
      <c r="L637" s="241">
        <f>IF(_PENDIENTES!$B$631&lt;&gt;"",_PENDIENTES!$K$631,"")</f>
        <v/>
      </c>
      <c r="M637" s="284">
        <f>IF(_PENDIENTES!$B$631&lt;&gt;"",_PENDIENTES!$B$631,"")</f>
        <v/>
      </c>
      <c r="N637" s="304">
        <f>IF(_PENDIENTES!$B$631&lt;&gt;"",_PENDIENTES!$L$631,"")</f>
        <v/>
      </c>
      <c r="O637" s="284" t="n"/>
      <c r="P637" s="284" t="n"/>
      <c r="Q637" s="284" t="n"/>
      <c r="R637" s="284" t="n"/>
      <c r="S637" s="284" t="n"/>
    </row>
    <row r="638" hidden="1" ht="15.75" customHeight="1" s="195">
      <c r="A638" s="301">
        <f>IF(_PENDIENTES!$B$632&lt;&gt;"",631,"")</f>
        <v/>
      </c>
      <c r="B638" s="242">
        <f>IF(_PENDIENTES!$B$632&lt;&gt;"",_PENDIENTES!$A$632,"")</f>
        <v/>
      </c>
      <c r="C638" s="302">
        <f>IF(_PENDIENTES!$B$632&lt;&gt;"",_PENDIENTES!$C$632,"")</f>
        <v/>
      </c>
      <c r="D638" s="301">
        <f>IF(_PENDIENTES!$B$632&lt;&gt;"",_PENDIENTES!$D$632,"")</f>
        <v/>
      </c>
      <c r="E638" s="306">
        <f>IF(_PENDIENTES!$B$632&lt;&gt;"",_PENDIENTES!$E$632,"")</f>
        <v/>
      </c>
      <c r="F638" s="301">
        <f>IF(_PENDIENTES!$B$632&lt;&gt;"",_PENDIENTES!$F$632,"")</f>
        <v/>
      </c>
      <c r="G638" s="245">
        <f>IF(_PENDIENTES!$B$632&lt;&gt;"",_PENDIENTES!$G$632,"")</f>
        <v/>
      </c>
      <c r="H638" s="245">
        <f>IF(_PENDIENTES!$B$632&lt;&gt;"",_PENDIENTES!$H$632,"")</f>
        <v/>
      </c>
      <c r="I638" s="302">
        <f>IF(_PENDIENTES!$B$632&lt;&gt;"",_PENDIENTES!$I$632,"")</f>
        <v/>
      </c>
      <c r="J638" s="301">
        <f>IF(_PENDIENTES!$B$632&lt;&gt;"",_PENDIENTES!$J$632,"")</f>
        <v/>
      </c>
      <c r="K638" s="301">
        <f>IF(_PENDIENTES!$B$632&lt;&gt;"","POR RECOGER","")</f>
        <v/>
      </c>
      <c r="L638" s="301">
        <f>IF(_PENDIENTES!$B$632&lt;&gt;"",_PENDIENTES!$K$632,"")</f>
        <v/>
      </c>
      <c r="M638" s="284">
        <f>IF(_PENDIENTES!$B$632&lt;&gt;"",_PENDIENTES!$B$632,"")</f>
        <v/>
      </c>
      <c r="N638" s="304">
        <f>IF(_PENDIENTES!$B$632&lt;&gt;"",_PENDIENTES!$L$632,"")</f>
        <v/>
      </c>
      <c r="O638" s="284" t="n"/>
      <c r="P638" s="284" t="n"/>
      <c r="Q638" s="284" t="n"/>
      <c r="R638" s="284" t="n"/>
      <c r="S638" s="284" t="n"/>
    </row>
    <row r="639" hidden="1" ht="15.75" customHeight="1" s="195">
      <c r="A639" s="241">
        <f>IF(_PENDIENTES!$B$633&lt;&gt;"",632,"")</f>
        <v/>
      </c>
      <c r="B639" s="236">
        <f>IF(_PENDIENTES!$B$633&lt;&gt;"",_PENDIENTES!$A$633,"")</f>
        <v/>
      </c>
      <c r="C639" s="305">
        <f>IF(_PENDIENTES!$B$633&lt;&gt;"",_PENDIENTES!$C$633,"")</f>
        <v/>
      </c>
      <c r="D639" s="241">
        <f>IF(_PENDIENTES!$B$633&lt;&gt;"",_PENDIENTES!$D$633,"")</f>
        <v/>
      </c>
      <c r="E639" s="307">
        <f>IF(_PENDIENTES!$B$633&lt;&gt;"",_PENDIENTES!$E$633,"")</f>
        <v/>
      </c>
      <c r="F639" s="241">
        <f>IF(_PENDIENTES!$B$633&lt;&gt;"",_PENDIENTES!$F$633,"")</f>
        <v/>
      </c>
      <c r="G639" s="239">
        <f>IF(_PENDIENTES!$B$633&lt;&gt;"",_PENDIENTES!$G$633,"")</f>
        <v/>
      </c>
      <c r="H639" s="239">
        <f>IF(_PENDIENTES!$B$633&lt;&gt;"",_PENDIENTES!$H$633,"")</f>
        <v/>
      </c>
      <c r="I639" s="305">
        <f>IF(_PENDIENTES!$B$633&lt;&gt;"",_PENDIENTES!$I$633,"")</f>
        <v/>
      </c>
      <c r="J639" s="241">
        <f>IF(_PENDIENTES!$B$633&lt;&gt;"",_PENDIENTES!$J$633,"")</f>
        <v/>
      </c>
      <c r="K639" s="241">
        <f>IF(_PENDIENTES!$B$633&lt;&gt;"","POR RECOGER","")</f>
        <v/>
      </c>
      <c r="L639" s="241">
        <f>IF(_PENDIENTES!$B$633&lt;&gt;"",_PENDIENTES!$K$633,"")</f>
        <v/>
      </c>
      <c r="M639" s="284">
        <f>IF(_PENDIENTES!$B$633&lt;&gt;"",_PENDIENTES!$B$633,"")</f>
        <v/>
      </c>
      <c r="N639" s="304">
        <f>IF(_PENDIENTES!$B$633&lt;&gt;"",_PENDIENTES!$L$633,"")</f>
        <v/>
      </c>
      <c r="O639" s="284" t="n"/>
      <c r="P639" s="284" t="n"/>
      <c r="Q639" s="284" t="n"/>
      <c r="R639" s="284" t="n"/>
      <c r="S639" s="284" t="n"/>
    </row>
    <row r="640" hidden="1" ht="15.75" customHeight="1" s="195">
      <c r="A640" s="301">
        <f>IF(_PENDIENTES!$B$634&lt;&gt;"",633,"")</f>
        <v/>
      </c>
      <c r="B640" s="242">
        <f>IF(_PENDIENTES!$B$634&lt;&gt;"",_PENDIENTES!$A$634,"")</f>
        <v/>
      </c>
      <c r="C640" s="302">
        <f>IF(_PENDIENTES!$B$634&lt;&gt;"",_PENDIENTES!$C$634,"")</f>
        <v/>
      </c>
      <c r="D640" s="301">
        <f>IF(_PENDIENTES!$B$634&lt;&gt;"",_PENDIENTES!$D$634,"")</f>
        <v/>
      </c>
      <c r="E640" s="306">
        <f>IF(_PENDIENTES!$B$634&lt;&gt;"",_PENDIENTES!$E$634,"")</f>
        <v/>
      </c>
      <c r="F640" s="301">
        <f>IF(_PENDIENTES!$B$634&lt;&gt;"",_PENDIENTES!$F$634,"")</f>
        <v/>
      </c>
      <c r="G640" s="245">
        <f>IF(_PENDIENTES!$B$634&lt;&gt;"",_PENDIENTES!$G$634,"")</f>
        <v/>
      </c>
      <c r="H640" s="245">
        <f>IF(_PENDIENTES!$B$634&lt;&gt;"",_PENDIENTES!$H$634,"")</f>
        <v/>
      </c>
      <c r="I640" s="302">
        <f>IF(_PENDIENTES!$B$634&lt;&gt;"",_PENDIENTES!$I$634,"")</f>
        <v/>
      </c>
      <c r="J640" s="301">
        <f>IF(_PENDIENTES!$B$634&lt;&gt;"",_PENDIENTES!$J$634,"")</f>
        <v/>
      </c>
      <c r="K640" s="301">
        <f>IF(_PENDIENTES!$B$634&lt;&gt;"","POR RECOGER","")</f>
        <v/>
      </c>
      <c r="L640" s="301">
        <f>IF(_PENDIENTES!$B$634&lt;&gt;"",_PENDIENTES!$K$634,"")</f>
        <v/>
      </c>
      <c r="M640" s="284">
        <f>IF(_PENDIENTES!$B$634&lt;&gt;"",_PENDIENTES!$B$634,"")</f>
        <v/>
      </c>
      <c r="N640" s="304">
        <f>IF(_PENDIENTES!$B$634&lt;&gt;"",_PENDIENTES!$L$634,"")</f>
        <v/>
      </c>
      <c r="O640" s="284" t="n"/>
      <c r="P640" s="284" t="n"/>
      <c r="Q640" s="284" t="n"/>
      <c r="R640" s="284" t="n"/>
      <c r="S640" s="284" t="n"/>
    </row>
    <row r="641" hidden="1" ht="15.75" customHeight="1" s="195">
      <c r="A641" s="241">
        <f>IF(_PENDIENTES!$B$635&lt;&gt;"",634,"")</f>
        <v/>
      </c>
      <c r="B641" s="236">
        <f>IF(_PENDIENTES!$B$635&lt;&gt;"",_PENDIENTES!$A$635,"")</f>
        <v/>
      </c>
      <c r="C641" s="305">
        <f>IF(_PENDIENTES!$B$635&lt;&gt;"",_PENDIENTES!$C$635,"")</f>
        <v/>
      </c>
      <c r="D641" s="241">
        <f>IF(_PENDIENTES!$B$635&lt;&gt;"",_PENDIENTES!$D$635,"")</f>
        <v/>
      </c>
      <c r="E641" s="307">
        <f>IF(_PENDIENTES!$B$635&lt;&gt;"",_PENDIENTES!$E$635,"")</f>
        <v/>
      </c>
      <c r="F641" s="241">
        <f>IF(_PENDIENTES!$B$635&lt;&gt;"",_PENDIENTES!$F$635,"")</f>
        <v/>
      </c>
      <c r="G641" s="239">
        <f>IF(_PENDIENTES!$B$635&lt;&gt;"",_PENDIENTES!$G$635,"")</f>
        <v/>
      </c>
      <c r="H641" s="239">
        <f>IF(_PENDIENTES!$B$635&lt;&gt;"",_PENDIENTES!$H$635,"")</f>
        <v/>
      </c>
      <c r="I641" s="305">
        <f>IF(_PENDIENTES!$B$635&lt;&gt;"",_PENDIENTES!$I$635,"")</f>
        <v/>
      </c>
      <c r="J641" s="241">
        <f>IF(_PENDIENTES!$B$635&lt;&gt;"",_PENDIENTES!$J$635,"")</f>
        <v/>
      </c>
      <c r="K641" s="241">
        <f>IF(_PENDIENTES!$B$635&lt;&gt;"","POR RECOGER","")</f>
        <v/>
      </c>
      <c r="L641" s="241">
        <f>IF(_PENDIENTES!$B$635&lt;&gt;"",_PENDIENTES!$K$635,"")</f>
        <v/>
      </c>
      <c r="M641" s="284">
        <f>IF(_PENDIENTES!$B$635&lt;&gt;"",_PENDIENTES!$B$635,"")</f>
        <v/>
      </c>
      <c r="N641" s="304">
        <f>IF(_PENDIENTES!$B$635&lt;&gt;"",_PENDIENTES!$L$635,"")</f>
        <v/>
      </c>
      <c r="O641" s="284" t="n"/>
      <c r="P641" s="284" t="n"/>
      <c r="Q641" s="284" t="n"/>
      <c r="R641" s="284" t="n"/>
      <c r="S641" s="284" t="n"/>
    </row>
    <row r="642" hidden="1" ht="15.75" customHeight="1" s="195">
      <c r="A642" s="301">
        <f>IF(_PENDIENTES!$B$636&lt;&gt;"",635,"")</f>
        <v/>
      </c>
      <c r="B642" s="242">
        <f>IF(_PENDIENTES!$B$636&lt;&gt;"",_PENDIENTES!$A$636,"")</f>
        <v/>
      </c>
      <c r="C642" s="302">
        <f>IF(_PENDIENTES!$B$636&lt;&gt;"",_PENDIENTES!$C$636,"")</f>
        <v/>
      </c>
      <c r="D642" s="301">
        <f>IF(_PENDIENTES!$B$636&lt;&gt;"",_PENDIENTES!$D$636,"")</f>
        <v/>
      </c>
      <c r="E642" s="306">
        <f>IF(_PENDIENTES!$B$636&lt;&gt;"",_PENDIENTES!$E$636,"")</f>
        <v/>
      </c>
      <c r="F642" s="301">
        <f>IF(_PENDIENTES!$B$636&lt;&gt;"",_PENDIENTES!$F$636,"")</f>
        <v/>
      </c>
      <c r="G642" s="245">
        <f>IF(_PENDIENTES!$B$636&lt;&gt;"",_PENDIENTES!$G$636,"")</f>
        <v/>
      </c>
      <c r="H642" s="245">
        <f>IF(_PENDIENTES!$B$636&lt;&gt;"",_PENDIENTES!$H$636,"")</f>
        <v/>
      </c>
      <c r="I642" s="302">
        <f>IF(_PENDIENTES!$B$636&lt;&gt;"",_PENDIENTES!$I$636,"")</f>
        <v/>
      </c>
      <c r="J642" s="301">
        <f>IF(_PENDIENTES!$B$636&lt;&gt;"",_PENDIENTES!$J$636,"")</f>
        <v/>
      </c>
      <c r="K642" s="301">
        <f>IF(_PENDIENTES!$B$636&lt;&gt;"","POR RECOGER","")</f>
        <v/>
      </c>
      <c r="L642" s="301">
        <f>IF(_PENDIENTES!$B$636&lt;&gt;"",_PENDIENTES!$K$636,"")</f>
        <v/>
      </c>
      <c r="M642" s="284">
        <f>IF(_PENDIENTES!$B$636&lt;&gt;"",_PENDIENTES!$B$636,"")</f>
        <v/>
      </c>
      <c r="N642" s="304">
        <f>IF(_PENDIENTES!$B$636&lt;&gt;"",_PENDIENTES!$L$636,"")</f>
        <v/>
      </c>
      <c r="O642" s="284" t="n"/>
      <c r="P642" s="284" t="n"/>
      <c r="Q642" s="284" t="n"/>
      <c r="R642" s="284" t="n"/>
      <c r="S642" s="284" t="n"/>
    </row>
    <row r="643" hidden="1" ht="15.75" customHeight="1" s="195">
      <c r="A643" s="241">
        <f>IF(_PENDIENTES!$B$637&lt;&gt;"",636,"")</f>
        <v/>
      </c>
      <c r="B643" s="236">
        <f>IF(_PENDIENTES!$B$637&lt;&gt;"",_PENDIENTES!$A$637,"")</f>
        <v/>
      </c>
      <c r="C643" s="305">
        <f>IF(_PENDIENTES!$B$637&lt;&gt;"",_PENDIENTES!$C$637,"")</f>
        <v/>
      </c>
      <c r="D643" s="241">
        <f>IF(_PENDIENTES!$B$637&lt;&gt;"",_PENDIENTES!$D$637,"")</f>
        <v/>
      </c>
      <c r="E643" s="307">
        <f>IF(_PENDIENTES!$B$637&lt;&gt;"",_PENDIENTES!$E$637,"")</f>
        <v/>
      </c>
      <c r="F643" s="241">
        <f>IF(_PENDIENTES!$B$637&lt;&gt;"",_PENDIENTES!$F$637,"")</f>
        <v/>
      </c>
      <c r="G643" s="239">
        <f>IF(_PENDIENTES!$B$637&lt;&gt;"",_PENDIENTES!$G$637,"")</f>
        <v/>
      </c>
      <c r="H643" s="239">
        <f>IF(_PENDIENTES!$B$637&lt;&gt;"",_PENDIENTES!$H$637,"")</f>
        <v/>
      </c>
      <c r="I643" s="305">
        <f>IF(_PENDIENTES!$B$637&lt;&gt;"",_PENDIENTES!$I$637,"")</f>
        <v/>
      </c>
      <c r="J643" s="241">
        <f>IF(_PENDIENTES!$B$637&lt;&gt;"",_PENDIENTES!$J$637,"")</f>
        <v/>
      </c>
      <c r="K643" s="241">
        <f>IF(_PENDIENTES!$B$637&lt;&gt;"","POR RECOGER","")</f>
        <v/>
      </c>
      <c r="L643" s="241">
        <f>IF(_PENDIENTES!$B$637&lt;&gt;"",_PENDIENTES!$K$637,"")</f>
        <v/>
      </c>
      <c r="M643" s="284">
        <f>IF(_PENDIENTES!$B$637&lt;&gt;"",_PENDIENTES!$B$637,"")</f>
        <v/>
      </c>
      <c r="N643" s="304">
        <f>IF(_PENDIENTES!$B$637&lt;&gt;"",_PENDIENTES!$L$637,"")</f>
        <v/>
      </c>
      <c r="O643" s="284" t="n"/>
      <c r="P643" s="284" t="n"/>
      <c r="Q643" s="284" t="n"/>
      <c r="R643" s="284" t="n"/>
      <c r="S643" s="284" t="n"/>
    </row>
    <row r="644" hidden="1" ht="15.75" customHeight="1" s="195">
      <c r="A644" s="301">
        <f>IF(_PENDIENTES!$B$638&lt;&gt;"",637,"")</f>
        <v/>
      </c>
      <c r="B644" s="242">
        <f>IF(_PENDIENTES!$B$638&lt;&gt;"",_PENDIENTES!$A$638,"")</f>
        <v/>
      </c>
      <c r="C644" s="302">
        <f>IF(_PENDIENTES!$B$638&lt;&gt;"",_PENDIENTES!$C$638,"")</f>
        <v/>
      </c>
      <c r="D644" s="301">
        <f>IF(_PENDIENTES!$B$638&lt;&gt;"",_PENDIENTES!$D$638,"")</f>
        <v/>
      </c>
      <c r="E644" s="306">
        <f>IF(_PENDIENTES!$B$638&lt;&gt;"",_PENDIENTES!$E$638,"")</f>
        <v/>
      </c>
      <c r="F644" s="301">
        <f>IF(_PENDIENTES!$B$638&lt;&gt;"",_PENDIENTES!$F$638,"")</f>
        <v/>
      </c>
      <c r="G644" s="245">
        <f>IF(_PENDIENTES!$B$638&lt;&gt;"",_PENDIENTES!$G$638,"")</f>
        <v/>
      </c>
      <c r="H644" s="245">
        <f>IF(_PENDIENTES!$B$638&lt;&gt;"",_PENDIENTES!$H$638,"")</f>
        <v/>
      </c>
      <c r="I644" s="302">
        <f>IF(_PENDIENTES!$B$638&lt;&gt;"",_PENDIENTES!$I$638,"")</f>
        <v/>
      </c>
      <c r="J644" s="301">
        <f>IF(_PENDIENTES!$B$638&lt;&gt;"",_PENDIENTES!$J$638,"")</f>
        <v/>
      </c>
      <c r="K644" s="301">
        <f>IF(_PENDIENTES!$B$638&lt;&gt;"","POR RECOGER","")</f>
        <v/>
      </c>
      <c r="L644" s="301">
        <f>IF(_PENDIENTES!$B$638&lt;&gt;"",_PENDIENTES!$K$638,"")</f>
        <v/>
      </c>
      <c r="M644" s="284">
        <f>IF(_PENDIENTES!$B$638&lt;&gt;"",_PENDIENTES!$B$638,"")</f>
        <v/>
      </c>
      <c r="N644" s="304">
        <f>IF(_PENDIENTES!$B$638&lt;&gt;"",_PENDIENTES!$L$638,"")</f>
        <v/>
      </c>
      <c r="O644" s="284" t="n"/>
      <c r="P644" s="284" t="n"/>
      <c r="Q644" s="284" t="n"/>
      <c r="R644" s="284" t="n"/>
      <c r="S644" s="284" t="n"/>
    </row>
    <row r="645" hidden="1" ht="15.75" customHeight="1" s="195">
      <c r="A645" s="241">
        <f>IF(_PENDIENTES!$B$639&lt;&gt;"",638,"")</f>
        <v/>
      </c>
      <c r="B645" s="236">
        <f>IF(_PENDIENTES!$B$639&lt;&gt;"",_PENDIENTES!$A$639,"")</f>
        <v/>
      </c>
      <c r="C645" s="305">
        <f>IF(_PENDIENTES!$B$639&lt;&gt;"",_PENDIENTES!$C$639,"")</f>
        <v/>
      </c>
      <c r="D645" s="241">
        <f>IF(_PENDIENTES!$B$639&lt;&gt;"",_PENDIENTES!$D$639,"")</f>
        <v/>
      </c>
      <c r="E645" s="307">
        <f>IF(_PENDIENTES!$B$639&lt;&gt;"",_PENDIENTES!$E$639,"")</f>
        <v/>
      </c>
      <c r="F645" s="241">
        <f>IF(_PENDIENTES!$B$639&lt;&gt;"",_PENDIENTES!$F$639,"")</f>
        <v/>
      </c>
      <c r="G645" s="239">
        <f>IF(_PENDIENTES!$B$639&lt;&gt;"",_PENDIENTES!$G$639,"")</f>
        <v/>
      </c>
      <c r="H645" s="239">
        <f>IF(_PENDIENTES!$B$639&lt;&gt;"",_PENDIENTES!$H$639,"")</f>
        <v/>
      </c>
      <c r="I645" s="305">
        <f>IF(_PENDIENTES!$B$639&lt;&gt;"",_PENDIENTES!$I$639,"")</f>
        <v/>
      </c>
      <c r="J645" s="241">
        <f>IF(_PENDIENTES!$B$639&lt;&gt;"",_PENDIENTES!$J$639,"")</f>
        <v/>
      </c>
      <c r="K645" s="241">
        <f>IF(_PENDIENTES!$B$639&lt;&gt;"","POR RECOGER","")</f>
        <v/>
      </c>
      <c r="L645" s="241">
        <f>IF(_PENDIENTES!$B$639&lt;&gt;"",_PENDIENTES!$K$639,"")</f>
        <v/>
      </c>
      <c r="M645" s="284">
        <f>IF(_PENDIENTES!$B$639&lt;&gt;"",_PENDIENTES!$B$639,"")</f>
        <v/>
      </c>
      <c r="N645" s="304">
        <f>IF(_PENDIENTES!$B$639&lt;&gt;"",_PENDIENTES!$L$639,"")</f>
        <v/>
      </c>
      <c r="O645" s="284" t="n"/>
      <c r="P645" s="284" t="n"/>
      <c r="Q645" s="284" t="n"/>
      <c r="R645" s="284" t="n"/>
      <c r="S645" s="284" t="n"/>
    </row>
    <row r="646" hidden="1" ht="15.75" customHeight="1" s="195">
      <c r="A646" s="301">
        <f>IF(_PENDIENTES!$B$640&lt;&gt;"",639,"")</f>
        <v/>
      </c>
      <c r="B646" s="242">
        <f>IF(_PENDIENTES!$B$640&lt;&gt;"",_PENDIENTES!$A$640,"")</f>
        <v/>
      </c>
      <c r="C646" s="302">
        <f>IF(_PENDIENTES!$B$640&lt;&gt;"",_PENDIENTES!$C$640,"")</f>
        <v/>
      </c>
      <c r="D646" s="301">
        <f>IF(_PENDIENTES!$B$640&lt;&gt;"",_PENDIENTES!$D$640,"")</f>
        <v/>
      </c>
      <c r="E646" s="306">
        <f>IF(_PENDIENTES!$B$640&lt;&gt;"",_PENDIENTES!$E$640,"")</f>
        <v/>
      </c>
      <c r="F646" s="301">
        <f>IF(_PENDIENTES!$B$640&lt;&gt;"",_PENDIENTES!$F$640,"")</f>
        <v/>
      </c>
      <c r="G646" s="245">
        <f>IF(_PENDIENTES!$B$640&lt;&gt;"",_PENDIENTES!$G$640,"")</f>
        <v/>
      </c>
      <c r="H646" s="245">
        <f>IF(_PENDIENTES!$B$640&lt;&gt;"",_PENDIENTES!$H$640,"")</f>
        <v/>
      </c>
      <c r="I646" s="302">
        <f>IF(_PENDIENTES!$B$640&lt;&gt;"",_PENDIENTES!$I$640,"")</f>
        <v/>
      </c>
      <c r="J646" s="301">
        <f>IF(_PENDIENTES!$B$640&lt;&gt;"",_PENDIENTES!$J$640,"")</f>
        <v/>
      </c>
      <c r="K646" s="301">
        <f>IF(_PENDIENTES!$B$640&lt;&gt;"","POR RECOGER","")</f>
        <v/>
      </c>
      <c r="L646" s="301">
        <f>IF(_PENDIENTES!$B$640&lt;&gt;"",_PENDIENTES!$K$640,"")</f>
        <v/>
      </c>
      <c r="M646" s="284">
        <f>IF(_PENDIENTES!$B$640&lt;&gt;"",_PENDIENTES!$B$640,"")</f>
        <v/>
      </c>
      <c r="N646" s="304">
        <f>IF(_PENDIENTES!$B$640&lt;&gt;"",_PENDIENTES!$L$640,"")</f>
        <v/>
      </c>
      <c r="O646" s="284" t="n"/>
      <c r="P646" s="284" t="n"/>
      <c r="Q646" s="284" t="n"/>
      <c r="R646" s="284" t="n"/>
      <c r="S646" s="284" t="n"/>
    </row>
    <row r="647" hidden="1" ht="15.75" customHeight="1" s="195">
      <c r="A647" s="241">
        <f>IF(_PENDIENTES!$B$641&lt;&gt;"",640,"")</f>
        <v/>
      </c>
      <c r="B647" s="236">
        <f>IF(_PENDIENTES!$B$641&lt;&gt;"",_PENDIENTES!$A$641,"")</f>
        <v/>
      </c>
      <c r="C647" s="305">
        <f>IF(_PENDIENTES!$B$641&lt;&gt;"",_PENDIENTES!$C$641,"")</f>
        <v/>
      </c>
      <c r="D647" s="241">
        <f>IF(_PENDIENTES!$B$641&lt;&gt;"",_PENDIENTES!$D$641,"")</f>
        <v/>
      </c>
      <c r="E647" s="307">
        <f>IF(_PENDIENTES!$B$641&lt;&gt;"",_PENDIENTES!$E$641,"")</f>
        <v/>
      </c>
      <c r="F647" s="241">
        <f>IF(_PENDIENTES!$B$641&lt;&gt;"",_PENDIENTES!$F$641,"")</f>
        <v/>
      </c>
      <c r="G647" s="239">
        <f>IF(_PENDIENTES!$B$641&lt;&gt;"",_PENDIENTES!$G$641,"")</f>
        <v/>
      </c>
      <c r="H647" s="239">
        <f>IF(_PENDIENTES!$B$641&lt;&gt;"",_PENDIENTES!$H$641,"")</f>
        <v/>
      </c>
      <c r="I647" s="305">
        <f>IF(_PENDIENTES!$B$641&lt;&gt;"",_PENDIENTES!$I$641,"")</f>
        <v/>
      </c>
      <c r="J647" s="241">
        <f>IF(_PENDIENTES!$B$641&lt;&gt;"",_PENDIENTES!$J$641,"")</f>
        <v/>
      </c>
      <c r="K647" s="241">
        <f>IF(_PENDIENTES!$B$641&lt;&gt;"","POR RECOGER","")</f>
        <v/>
      </c>
      <c r="L647" s="241">
        <f>IF(_PENDIENTES!$B$641&lt;&gt;"",_PENDIENTES!$K$641,"")</f>
        <v/>
      </c>
      <c r="M647" s="284">
        <f>IF(_PENDIENTES!$B$641&lt;&gt;"",_PENDIENTES!$B$641,"")</f>
        <v/>
      </c>
      <c r="N647" s="304">
        <f>IF(_PENDIENTES!$B$641&lt;&gt;"",_PENDIENTES!$L$641,"")</f>
        <v/>
      </c>
      <c r="O647" s="284" t="n"/>
      <c r="P647" s="284" t="n"/>
      <c r="Q647" s="284" t="n"/>
      <c r="R647" s="284" t="n"/>
      <c r="S647" s="284" t="n"/>
    </row>
    <row r="648" hidden="1" ht="15.75" customHeight="1" s="195">
      <c r="A648" s="301">
        <f>IF(_PENDIENTES!$B$642&lt;&gt;"",641,"")</f>
        <v/>
      </c>
      <c r="B648" s="242">
        <f>IF(_PENDIENTES!$B$642&lt;&gt;"",_PENDIENTES!$A$642,"")</f>
        <v/>
      </c>
      <c r="C648" s="302">
        <f>IF(_PENDIENTES!$B$642&lt;&gt;"",_PENDIENTES!$C$642,"")</f>
        <v/>
      </c>
      <c r="D648" s="301">
        <f>IF(_PENDIENTES!$B$642&lt;&gt;"",_PENDIENTES!$D$642,"")</f>
        <v/>
      </c>
      <c r="E648" s="306">
        <f>IF(_PENDIENTES!$B$642&lt;&gt;"",_PENDIENTES!$E$642,"")</f>
        <v/>
      </c>
      <c r="F648" s="301">
        <f>IF(_PENDIENTES!$B$642&lt;&gt;"",_PENDIENTES!$F$642,"")</f>
        <v/>
      </c>
      <c r="G648" s="245">
        <f>IF(_PENDIENTES!$B$642&lt;&gt;"",_PENDIENTES!$G$642,"")</f>
        <v/>
      </c>
      <c r="H648" s="245">
        <f>IF(_PENDIENTES!$B$642&lt;&gt;"",_PENDIENTES!$H$642,"")</f>
        <v/>
      </c>
      <c r="I648" s="302">
        <f>IF(_PENDIENTES!$B$642&lt;&gt;"",_PENDIENTES!$I$642,"")</f>
        <v/>
      </c>
      <c r="J648" s="301">
        <f>IF(_PENDIENTES!$B$642&lt;&gt;"",_PENDIENTES!$J$642,"")</f>
        <v/>
      </c>
      <c r="K648" s="301">
        <f>IF(_PENDIENTES!$B$642&lt;&gt;"","POR RECOGER","")</f>
        <v/>
      </c>
      <c r="L648" s="301">
        <f>IF(_PENDIENTES!$B$642&lt;&gt;"",_PENDIENTES!$K$642,"")</f>
        <v/>
      </c>
      <c r="M648" s="284">
        <f>IF(_PENDIENTES!$B$642&lt;&gt;"",_PENDIENTES!$B$642,"")</f>
        <v/>
      </c>
      <c r="N648" s="304">
        <f>IF(_PENDIENTES!$B$642&lt;&gt;"",_PENDIENTES!$L$642,"")</f>
        <v/>
      </c>
      <c r="O648" s="284" t="n"/>
      <c r="P648" s="284" t="n"/>
      <c r="Q648" s="284" t="n"/>
      <c r="R648" s="284" t="n"/>
      <c r="S648" s="284" t="n"/>
    </row>
    <row r="649" hidden="1" ht="15.75" customHeight="1" s="195">
      <c r="A649" s="241">
        <f>IF(_PENDIENTES!$B$643&lt;&gt;"",642,"")</f>
        <v/>
      </c>
      <c r="B649" s="236">
        <f>IF(_PENDIENTES!$B$643&lt;&gt;"",_PENDIENTES!$A$643,"")</f>
        <v/>
      </c>
      <c r="C649" s="305">
        <f>IF(_PENDIENTES!$B$643&lt;&gt;"",_PENDIENTES!$C$643,"")</f>
        <v/>
      </c>
      <c r="D649" s="241">
        <f>IF(_PENDIENTES!$B$643&lt;&gt;"",_PENDIENTES!$D$643,"")</f>
        <v/>
      </c>
      <c r="E649" s="307">
        <f>IF(_PENDIENTES!$B$643&lt;&gt;"",_PENDIENTES!$E$643,"")</f>
        <v/>
      </c>
      <c r="F649" s="241">
        <f>IF(_PENDIENTES!$B$643&lt;&gt;"",_PENDIENTES!$F$643,"")</f>
        <v/>
      </c>
      <c r="G649" s="239">
        <f>IF(_PENDIENTES!$B$643&lt;&gt;"",_PENDIENTES!$G$643,"")</f>
        <v/>
      </c>
      <c r="H649" s="239">
        <f>IF(_PENDIENTES!$B$643&lt;&gt;"",_PENDIENTES!$H$643,"")</f>
        <v/>
      </c>
      <c r="I649" s="305">
        <f>IF(_PENDIENTES!$B$643&lt;&gt;"",_PENDIENTES!$I$643,"")</f>
        <v/>
      </c>
      <c r="J649" s="241">
        <f>IF(_PENDIENTES!$B$643&lt;&gt;"",_PENDIENTES!$J$643,"")</f>
        <v/>
      </c>
      <c r="K649" s="241">
        <f>IF(_PENDIENTES!$B$643&lt;&gt;"","POR RECOGER","")</f>
        <v/>
      </c>
      <c r="L649" s="241">
        <f>IF(_PENDIENTES!$B$643&lt;&gt;"",_PENDIENTES!$K$643,"")</f>
        <v/>
      </c>
      <c r="M649" s="284">
        <f>IF(_PENDIENTES!$B$643&lt;&gt;"",_PENDIENTES!$B$643,"")</f>
        <v/>
      </c>
      <c r="N649" s="304">
        <f>IF(_PENDIENTES!$B$643&lt;&gt;"",_PENDIENTES!$L$643,"")</f>
        <v/>
      </c>
      <c r="O649" s="284" t="n"/>
      <c r="P649" s="284" t="n"/>
      <c r="Q649" s="284" t="n"/>
      <c r="R649" s="284" t="n"/>
      <c r="S649" s="284" t="n"/>
    </row>
    <row r="650" hidden="1" ht="15.75" customHeight="1" s="195">
      <c r="A650" s="301">
        <f>IF(_PENDIENTES!$B$644&lt;&gt;"",643,"")</f>
        <v/>
      </c>
      <c r="B650" s="242">
        <f>IF(_PENDIENTES!$B$644&lt;&gt;"",_PENDIENTES!$A$644,"")</f>
        <v/>
      </c>
      <c r="C650" s="302">
        <f>IF(_PENDIENTES!$B$644&lt;&gt;"",_PENDIENTES!$C$644,"")</f>
        <v/>
      </c>
      <c r="D650" s="301">
        <f>IF(_PENDIENTES!$B$644&lt;&gt;"",_PENDIENTES!$D$644,"")</f>
        <v/>
      </c>
      <c r="E650" s="306">
        <f>IF(_PENDIENTES!$B$644&lt;&gt;"",_PENDIENTES!$E$644,"")</f>
        <v/>
      </c>
      <c r="F650" s="301">
        <f>IF(_PENDIENTES!$B$644&lt;&gt;"",_PENDIENTES!$F$644,"")</f>
        <v/>
      </c>
      <c r="G650" s="245">
        <f>IF(_PENDIENTES!$B$644&lt;&gt;"",_PENDIENTES!$G$644,"")</f>
        <v/>
      </c>
      <c r="H650" s="245">
        <f>IF(_PENDIENTES!$B$644&lt;&gt;"",_PENDIENTES!$H$644,"")</f>
        <v/>
      </c>
      <c r="I650" s="302">
        <f>IF(_PENDIENTES!$B$644&lt;&gt;"",_PENDIENTES!$I$644,"")</f>
        <v/>
      </c>
      <c r="J650" s="301">
        <f>IF(_PENDIENTES!$B$644&lt;&gt;"",_PENDIENTES!$J$644,"")</f>
        <v/>
      </c>
      <c r="K650" s="301">
        <f>IF(_PENDIENTES!$B$644&lt;&gt;"","POR RECOGER","")</f>
        <v/>
      </c>
      <c r="L650" s="301">
        <f>IF(_PENDIENTES!$B$644&lt;&gt;"",_PENDIENTES!$K$644,"")</f>
        <v/>
      </c>
      <c r="M650" s="284">
        <f>IF(_PENDIENTES!$B$644&lt;&gt;"",_PENDIENTES!$B$644,"")</f>
        <v/>
      </c>
      <c r="N650" s="304">
        <f>IF(_PENDIENTES!$B$644&lt;&gt;"",_PENDIENTES!$L$644,"")</f>
        <v/>
      </c>
      <c r="O650" s="284" t="n"/>
      <c r="P650" s="284" t="n"/>
      <c r="Q650" s="284" t="n"/>
      <c r="R650" s="284" t="n"/>
      <c r="S650" s="284" t="n"/>
    </row>
    <row r="651" hidden="1" ht="15.75" customHeight="1" s="195">
      <c r="A651" s="241">
        <f>IF(_PENDIENTES!$B$645&lt;&gt;"",644,"")</f>
        <v/>
      </c>
      <c r="B651" s="236">
        <f>IF(_PENDIENTES!$B$645&lt;&gt;"",_PENDIENTES!$A$645,"")</f>
        <v/>
      </c>
      <c r="C651" s="305">
        <f>IF(_PENDIENTES!$B$645&lt;&gt;"",_PENDIENTES!$C$645,"")</f>
        <v/>
      </c>
      <c r="D651" s="241">
        <f>IF(_PENDIENTES!$B$645&lt;&gt;"",_PENDIENTES!$D$645,"")</f>
        <v/>
      </c>
      <c r="E651" s="307">
        <f>IF(_PENDIENTES!$B$645&lt;&gt;"",_PENDIENTES!$E$645,"")</f>
        <v/>
      </c>
      <c r="F651" s="241">
        <f>IF(_PENDIENTES!$B$645&lt;&gt;"",_PENDIENTES!$F$645,"")</f>
        <v/>
      </c>
      <c r="G651" s="239">
        <f>IF(_PENDIENTES!$B$645&lt;&gt;"",_PENDIENTES!$G$645,"")</f>
        <v/>
      </c>
      <c r="H651" s="239">
        <f>IF(_PENDIENTES!$B$645&lt;&gt;"",_PENDIENTES!$H$645,"")</f>
        <v/>
      </c>
      <c r="I651" s="305">
        <f>IF(_PENDIENTES!$B$645&lt;&gt;"",_PENDIENTES!$I$645,"")</f>
        <v/>
      </c>
      <c r="J651" s="241">
        <f>IF(_PENDIENTES!$B$645&lt;&gt;"",_PENDIENTES!$J$645,"")</f>
        <v/>
      </c>
      <c r="K651" s="241">
        <f>IF(_PENDIENTES!$B$645&lt;&gt;"","POR RECOGER","")</f>
        <v/>
      </c>
      <c r="L651" s="241">
        <f>IF(_PENDIENTES!$B$645&lt;&gt;"",_PENDIENTES!$K$645,"")</f>
        <v/>
      </c>
      <c r="M651" s="284">
        <f>IF(_PENDIENTES!$B$645&lt;&gt;"",_PENDIENTES!$B$645,"")</f>
        <v/>
      </c>
      <c r="N651" s="304">
        <f>IF(_PENDIENTES!$B$645&lt;&gt;"",_PENDIENTES!$L$645,"")</f>
        <v/>
      </c>
      <c r="O651" s="284" t="n"/>
      <c r="P651" s="284" t="n"/>
      <c r="Q651" s="284" t="n"/>
      <c r="R651" s="284" t="n"/>
      <c r="S651" s="284" t="n"/>
    </row>
    <row r="652" hidden="1" ht="15.75" customHeight="1" s="195">
      <c r="A652" s="301">
        <f>IF(_PENDIENTES!$B$646&lt;&gt;"",645,"")</f>
        <v/>
      </c>
      <c r="B652" s="242">
        <f>IF(_PENDIENTES!$B$646&lt;&gt;"",_PENDIENTES!$A$646,"")</f>
        <v/>
      </c>
      <c r="C652" s="302">
        <f>IF(_PENDIENTES!$B$646&lt;&gt;"",_PENDIENTES!$C$646,"")</f>
        <v/>
      </c>
      <c r="D652" s="301">
        <f>IF(_PENDIENTES!$B$646&lt;&gt;"",_PENDIENTES!$D$646,"")</f>
        <v/>
      </c>
      <c r="E652" s="306">
        <f>IF(_PENDIENTES!$B$646&lt;&gt;"",_PENDIENTES!$E$646,"")</f>
        <v/>
      </c>
      <c r="F652" s="301">
        <f>IF(_PENDIENTES!$B$646&lt;&gt;"",_PENDIENTES!$F$646,"")</f>
        <v/>
      </c>
      <c r="G652" s="245">
        <f>IF(_PENDIENTES!$B$646&lt;&gt;"",_PENDIENTES!$G$646,"")</f>
        <v/>
      </c>
      <c r="H652" s="245">
        <f>IF(_PENDIENTES!$B$646&lt;&gt;"",_PENDIENTES!$H$646,"")</f>
        <v/>
      </c>
      <c r="I652" s="302">
        <f>IF(_PENDIENTES!$B$646&lt;&gt;"",_PENDIENTES!$I$646,"")</f>
        <v/>
      </c>
      <c r="J652" s="301">
        <f>IF(_PENDIENTES!$B$646&lt;&gt;"",_PENDIENTES!$J$646,"")</f>
        <v/>
      </c>
      <c r="K652" s="301">
        <f>IF(_PENDIENTES!$B$646&lt;&gt;"","POR RECOGER","")</f>
        <v/>
      </c>
      <c r="L652" s="301">
        <f>IF(_PENDIENTES!$B$646&lt;&gt;"",_PENDIENTES!$K$646,"")</f>
        <v/>
      </c>
      <c r="M652" s="284">
        <f>IF(_PENDIENTES!$B$646&lt;&gt;"",_PENDIENTES!$B$646,"")</f>
        <v/>
      </c>
      <c r="N652" s="304">
        <f>IF(_PENDIENTES!$B$646&lt;&gt;"",_PENDIENTES!$L$646,"")</f>
        <v/>
      </c>
      <c r="O652" s="284" t="n"/>
      <c r="P652" s="284" t="n"/>
      <c r="Q652" s="284" t="n"/>
      <c r="R652" s="284" t="n"/>
      <c r="S652" s="284" t="n"/>
    </row>
    <row r="653" hidden="1" ht="15.75" customHeight="1" s="195">
      <c r="A653" s="241">
        <f>IF(_PENDIENTES!$B$647&lt;&gt;"",646,"")</f>
        <v/>
      </c>
      <c r="B653" s="236">
        <f>IF(_PENDIENTES!$B$647&lt;&gt;"",_PENDIENTES!$A$647,"")</f>
        <v/>
      </c>
      <c r="C653" s="305">
        <f>IF(_PENDIENTES!$B$647&lt;&gt;"",_PENDIENTES!$C$647,"")</f>
        <v/>
      </c>
      <c r="D653" s="241">
        <f>IF(_PENDIENTES!$B$647&lt;&gt;"",_PENDIENTES!$D$647,"")</f>
        <v/>
      </c>
      <c r="E653" s="307">
        <f>IF(_PENDIENTES!$B$647&lt;&gt;"",_PENDIENTES!$E$647,"")</f>
        <v/>
      </c>
      <c r="F653" s="241">
        <f>IF(_PENDIENTES!$B$647&lt;&gt;"",_PENDIENTES!$F$647,"")</f>
        <v/>
      </c>
      <c r="G653" s="239">
        <f>IF(_PENDIENTES!$B$647&lt;&gt;"",_PENDIENTES!$G$647,"")</f>
        <v/>
      </c>
      <c r="H653" s="239">
        <f>IF(_PENDIENTES!$B$647&lt;&gt;"",_PENDIENTES!$H$647,"")</f>
        <v/>
      </c>
      <c r="I653" s="305">
        <f>IF(_PENDIENTES!$B$647&lt;&gt;"",_PENDIENTES!$I$647,"")</f>
        <v/>
      </c>
      <c r="J653" s="241">
        <f>IF(_PENDIENTES!$B$647&lt;&gt;"",_PENDIENTES!$J$647,"")</f>
        <v/>
      </c>
      <c r="K653" s="241">
        <f>IF(_PENDIENTES!$B$647&lt;&gt;"","POR RECOGER","")</f>
        <v/>
      </c>
      <c r="L653" s="241">
        <f>IF(_PENDIENTES!$B$647&lt;&gt;"",_PENDIENTES!$K$647,"")</f>
        <v/>
      </c>
      <c r="M653" s="284">
        <f>IF(_PENDIENTES!$B$647&lt;&gt;"",_PENDIENTES!$B$647,"")</f>
        <v/>
      </c>
      <c r="N653" s="304">
        <f>IF(_PENDIENTES!$B$647&lt;&gt;"",_PENDIENTES!$L$647,"")</f>
        <v/>
      </c>
      <c r="O653" s="284" t="n"/>
      <c r="P653" s="284" t="n"/>
      <c r="Q653" s="284" t="n"/>
      <c r="R653" s="284" t="n"/>
      <c r="S653" s="284" t="n"/>
    </row>
    <row r="654" hidden="1" ht="15.75" customHeight="1" s="195">
      <c r="A654" s="301">
        <f>IF(_PENDIENTES!$B$648&lt;&gt;"",647,"")</f>
        <v/>
      </c>
      <c r="B654" s="242">
        <f>IF(_PENDIENTES!$B$648&lt;&gt;"",_PENDIENTES!$A$648,"")</f>
        <v/>
      </c>
      <c r="C654" s="302">
        <f>IF(_PENDIENTES!$B$648&lt;&gt;"",_PENDIENTES!$C$648,"")</f>
        <v/>
      </c>
      <c r="D654" s="301">
        <f>IF(_PENDIENTES!$B$648&lt;&gt;"",_PENDIENTES!$D$648,"")</f>
        <v/>
      </c>
      <c r="E654" s="306">
        <f>IF(_PENDIENTES!$B$648&lt;&gt;"",_PENDIENTES!$E$648,"")</f>
        <v/>
      </c>
      <c r="F654" s="301">
        <f>IF(_PENDIENTES!$B$648&lt;&gt;"",_PENDIENTES!$F$648,"")</f>
        <v/>
      </c>
      <c r="G654" s="245">
        <f>IF(_PENDIENTES!$B$648&lt;&gt;"",_PENDIENTES!$G$648,"")</f>
        <v/>
      </c>
      <c r="H654" s="245">
        <f>IF(_PENDIENTES!$B$648&lt;&gt;"",_PENDIENTES!$H$648,"")</f>
        <v/>
      </c>
      <c r="I654" s="302">
        <f>IF(_PENDIENTES!$B$648&lt;&gt;"",_PENDIENTES!$I$648,"")</f>
        <v/>
      </c>
      <c r="J654" s="301">
        <f>IF(_PENDIENTES!$B$648&lt;&gt;"",_PENDIENTES!$J$648,"")</f>
        <v/>
      </c>
      <c r="K654" s="301">
        <f>IF(_PENDIENTES!$B$648&lt;&gt;"","POR RECOGER","")</f>
        <v/>
      </c>
      <c r="L654" s="301">
        <f>IF(_PENDIENTES!$B$648&lt;&gt;"",_PENDIENTES!$K$648,"")</f>
        <v/>
      </c>
      <c r="M654" s="284">
        <f>IF(_PENDIENTES!$B$648&lt;&gt;"",_PENDIENTES!$B$648,"")</f>
        <v/>
      </c>
      <c r="N654" s="304">
        <f>IF(_PENDIENTES!$B$648&lt;&gt;"",_PENDIENTES!$L$648,"")</f>
        <v/>
      </c>
      <c r="O654" s="284" t="n"/>
      <c r="P654" s="284" t="n"/>
      <c r="Q654" s="284" t="n"/>
      <c r="R654" s="284" t="n"/>
      <c r="S654" s="284" t="n"/>
    </row>
    <row r="655" hidden="1" ht="15.75" customHeight="1" s="195">
      <c r="A655" s="241">
        <f>IF(_PENDIENTES!$B$649&lt;&gt;"",648,"")</f>
        <v/>
      </c>
      <c r="B655" s="236">
        <f>IF(_PENDIENTES!$B$649&lt;&gt;"",_PENDIENTES!$A$649,"")</f>
        <v/>
      </c>
      <c r="C655" s="305">
        <f>IF(_PENDIENTES!$B$649&lt;&gt;"",_PENDIENTES!$C$649,"")</f>
        <v/>
      </c>
      <c r="D655" s="241">
        <f>IF(_PENDIENTES!$B$649&lt;&gt;"",_PENDIENTES!$D$649,"")</f>
        <v/>
      </c>
      <c r="E655" s="307">
        <f>IF(_PENDIENTES!$B$649&lt;&gt;"",_PENDIENTES!$E$649,"")</f>
        <v/>
      </c>
      <c r="F655" s="241">
        <f>IF(_PENDIENTES!$B$649&lt;&gt;"",_PENDIENTES!$F$649,"")</f>
        <v/>
      </c>
      <c r="G655" s="239">
        <f>IF(_PENDIENTES!$B$649&lt;&gt;"",_PENDIENTES!$G$649,"")</f>
        <v/>
      </c>
      <c r="H655" s="239">
        <f>IF(_PENDIENTES!$B$649&lt;&gt;"",_PENDIENTES!$H$649,"")</f>
        <v/>
      </c>
      <c r="I655" s="305">
        <f>IF(_PENDIENTES!$B$649&lt;&gt;"",_PENDIENTES!$I$649,"")</f>
        <v/>
      </c>
      <c r="J655" s="241">
        <f>IF(_PENDIENTES!$B$649&lt;&gt;"",_PENDIENTES!$J$649,"")</f>
        <v/>
      </c>
      <c r="K655" s="241">
        <f>IF(_PENDIENTES!$B$649&lt;&gt;"","POR RECOGER","")</f>
        <v/>
      </c>
      <c r="L655" s="241">
        <f>IF(_PENDIENTES!$B$649&lt;&gt;"",_PENDIENTES!$K$649,"")</f>
        <v/>
      </c>
      <c r="M655" s="284">
        <f>IF(_PENDIENTES!$B$649&lt;&gt;"",_PENDIENTES!$B$649,"")</f>
        <v/>
      </c>
      <c r="N655" s="304">
        <f>IF(_PENDIENTES!$B$649&lt;&gt;"",_PENDIENTES!$L$649,"")</f>
        <v/>
      </c>
      <c r="O655" s="284" t="n"/>
      <c r="P655" s="284" t="n"/>
      <c r="Q655" s="284" t="n"/>
      <c r="R655" s="284" t="n"/>
      <c r="S655" s="284" t="n"/>
    </row>
    <row r="656" hidden="1" ht="15.75" customHeight="1" s="195">
      <c r="A656" s="301">
        <f>IF(_PENDIENTES!$B$650&lt;&gt;"",649,"")</f>
        <v/>
      </c>
      <c r="B656" s="242">
        <f>IF(_PENDIENTES!$B$650&lt;&gt;"",_PENDIENTES!$A$650,"")</f>
        <v/>
      </c>
      <c r="C656" s="302">
        <f>IF(_PENDIENTES!$B$650&lt;&gt;"",_PENDIENTES!$C$650,"")</f>
        <v/>
      </c>
      <c r="D656" s="301">
        <f>IF(_PENDIENTES!$B$650&lt;&gt;"",_PENDIENTES!$D$650,"")</f>
        <v/>
      </c>
      <c r="E656" s="306">
        <f>IF(_PENDIENTES!$B$650&lt;&gt;"",_PENDIENTES!$E$650,"")</f>
        <v/>
      </c>
      <c r="F656" s="301">
        <f>IF(_PENDIENTES!$B$650&lt;&gt;"",_PENDIENTES!$F$650,"")</f>
        <v/>
      </c>
      <c r="G656" s="245">
        <f>IF(_PENDIENTES!$B$650&lt;&gt;"",_PENDIENTES!$G$650,"")</f>
        <v/>
      </c>
      <c r="H656" s="245">
        <f>IF(_PENDIENTES!$B$650&lt;&gt;"",_PENDIENTES!$H$650,"")</f>
        <v/>
      </c>
      <c r="I656" s="302">
        <f>IF(_PENDIENTES!$B$650&lt;&gt;"",_PENDIENTES!$I$650,"")</f>
        <v/>
      </c>
      <c r="J656" s="301">
        <f>IF(_PENDIENTES!$B$650&lt;&gt;"",_PENDIENTES!$J$650,"")</f>
        <v/>
      </c>
      <c r="K656" s="301">
        <f>IF(_PENDIENTES!$B$650&lt;&gt;"","POR RECOGER","")</f>
        <v/>
      </c>
      <c r="L656" s="301">
        <f>IF(_PENDIENTES!$B$650&lt;&gt;"",_PENDIENTES!$K$650,"")</f>
        <v/>
      </c>
      <c r="M656" s="284">
        <f>IF(_PENDIENTES!$B$650&lt;&gt;"",_PENDIENTES!$B$650,"")</f>
        <v/>
      </c>
      <c r="N656" s="304">
        <f>IF(_PENDIENTES!$B$650&lt;&gt;"",_PENDIENTES!$L$650,"")</f>
        <v/>
      </c>
      <c r="O656" s="284" t="n"/>
      <c r="P656" s="284" t="n"/>
      <c r="Q656" s="284" t="n"/>
      <c r="R656" s="284" t="n"/>
      <c r="S656" s="284" t="n"/>
    </row>
    <row r="657" hidden="1" ht="15.75" customHeight="1" s="195">
      <c r="A657" s="241">
        <f>IF(_PENDIENTES!$B$651&lt;&gt;"",650,"")</f>
        <v/>
      </c>
      <c r="B657" s="236">
        <f>IF(_PENDIENTES!$B$651&lt;&gt;"",_PENDIENTES!$A$651,"")</f>
        <v/>
      </c>
      <c r="C657" s="305">
        <f>IF(_PENDIENTES!$B$651&lt;&gt;"",_PENDIENTES!$C$651,"")</f>
        <v/>
      </c>
      <c r="D657" s="241">
        <f>IF(_PENDIENTES!$B$651&lt;&gt;"",_PENDIENTES!$D$651,"")</f>
        <v/>
      </c>
      <c r="E657" s="307">
        <f>IF(_PENDIENTES!$B$651&lt;&gt;"",_PENDIENTES!$E$651,"")</f>
        <v/>
      </c>
      <c r="F657" s="241">
        <f>IF(_PENDIENTES!$B$651&lt;&gt;"",_PENDIENTES!$F$651,"")</f>
        <v/>
      </c>
      <c r="G657" s="239">
        <f>IF(_PENDIENTES!$B$651&lt;&gt;"",_PENDIENTES!$G$651,"")</f>
        <v/>
      </c>
      <c r="H657" s="239">
        <f>IF(_PENDIENTES!$B$651&lt;&gt;"",_PENDIENTES!$H$651,"")</f>
        <v/>
      </c>
      <c r="I657" s="305">
        <f>IF(_PENDIENTES!$B$651&lt;&gt;"",_PENDIENTES!$I$651,"")</f>
        <v/>
      </c>
      <c r="J657" s="241">
        <f>IF(_PENDIENTES!$B$651&lt;&gt;"",_PENDIENTES!$J$651,"")</f>
        <v/>
      </c>
      <c r="K657" s="241">
        <f>IF(_PENDIENTES!$B$651&lt;&gt;"","POR RECOGER","")</f>
        <v/>
      </c>
      <c r="L657" s="241">
        <f>IF(_PENDIENTES!$B$651&lt;&gt;"",_PENDIENTES!$K$651,"")</f>
        <v/>
      </c>
      <c r="M657" s="284">
        <f>IF(_PENDIENTES!$B$651&lt;&gt;"",_PENDIENTES!$B$651,"")</f>
        <v/>
      </c>
      <c r="N657" s="304">
        <f>IF(_PENDIENTES!$B$651&lt;&gt;"",_PENDIENTES!$L$651,"")</f>
        <v/>
      </c>
      <c r="O657" s="284" t="n"/>
      <c r="P657" s="284" t="n"/>
      <c r="Q657" s="284" t="n"/>
      <c r="R657" s="284" t="n"/>
      <c r="S657" s="284" t="n"/>
    </row>
    <row r="658" hidden="1" ht="15.75" customHeight="1" s="195">
      <c r="A658" s="301">
        <f>IF(_PENDIENTES!$B$652&lt;&gt;"",651,"")</f>
        <v/>
      </c>
      <c r="B658" s="242">
        <f>IF(_PENDIENTES!$B$652&lt;&gt;"",_PENDIENTES!$A$652,"")</f>
        <v/>
      </c>
      <c r="C658" s="302">
        <f>IF(_PENDIENTES!$B$652&lt;&gt;"",_PENDIENTES!$C$652,"")</f>
        <v/>
      </c>
      <c r="D658" s="301">
        <f>IF(_PENDIENTES!$B$652&lt;&gt;"",_PENDIENTES!$D$652,"")</f>
        <v/>
      </c>
      <c r="E658" s="306">
        <f>IF(_PENDIENTES!$B$652&lt;&gt;"",_PENDIENTES!$E$652,"")</f>
        <v/>
      </c>
      <c r="F658" s="301">
        <f>IF(_PENDIENTES!$B$652&lt;&gt;"",_PENDIENTES!$F$652,"")</f>
        <v/>
      </c>
      <c r="G658" s="245">
        <f>IF(_PENDIENTES!$B$652&lt;&gt;"",_PENDIENTES!$G$652,"")</f>
        <v/>
      </c>
      <c r="H658" s="245">
        <f>IF(_PENDIENTES!$B$652&lt;&gt;"",_PENDIENTES!$H$652,"")</f>
        <v/>
      </c>
      <c r="I658" s="302">
        <f>IF(_PENDIENTES!$B$652&lt;&gt;"",_PENDIENTES!$I$652,"")</f>
        <v/>
      </c>
      <c r="J658" s="301">
        <f>IF(_PENDIENTES!$B$652&lt;&gt;"",_PENDIENTES!$J$652,"")</f>
        <v/>
      </c>
      <c r="K658" s="301">
        <f>IF(_PENDIENTES!$B$652&lt;&gt;"","POR RECOGER","")</f>
        <v/>
      </c>
      <c r="L658" s="301">
        <f>IF(_PENDIENTES!$B$652&lt;&gt;"",_PENDIENTES!$K$652,"")</f>
        <v/>
      </c>
      <c r="M658" s="284">
        <f>IF(_PENDIENTES!$B$652&lt;&gt;"",_PENDIENTES!$B$652,"")</f>
        <v/>
      </c>
      <c r="N658" s="304">
        <f>IF(_PENDIENTES!$B$652&lt;&gt;"",_PENDIENTES!$L$652,"")</f>
        <v/>
      </c>
      <c r="O658" s="284" t="n"/>
      <c r="P658" s="284" t="n"/>
      <c r="Q658" s="284" t="n"/>
      <c r="R658" s="284" t="n"/>
      <c r="S658" s="284" t="n"/>
    </row>
    <row r="659" hidden="1" ht="15.75" customHeight="1" s="195">
      <c r="A659" s="241">
        <f>IF(_PENDIENTES!$B$653&lt;&gt;"",652,"")</f>
        <v/>
      </c>
      <c r="B659" s="236">
        <f>IF(_PENDIENTES!$B$653&lt;&gt;"",_PENDIENTES!$A$653,"")</f>
        <v/>
      </c>
      <c r="C659" s="305">
        <f>IF(_PENDIENTES!$B$653&lt;&gt;"",_PENDIENTES!$C$653,"")</f>
        <v/>
      </c>
      <c r="D659" s="241">
        <f>IF(_PENDIENTES!$B$653&lt;&gt;"",_PENDIENTES!$D$653,"")</f>
        <v/>
      </c>
      <c r="E659" s="307">
        <f>IF(_PENDIENTES!$B$653&lt;&gt;"",_PENDIENTES!$E$653,"")</f>
        <v/>
      </c>
      <c r="F659" s="241">
        <f>IF(_PENDIENTES!$B$653&lt;&gt;"",_PENDIENTES!$F$653,"")</f>
        <v/>
      </c>
      <c r="G659" s="239">
        <f>IF(_PENDIENTES!$B$653&lt;&gt;"",_PENDIENTES!$G$653,"")</f>
        <v/>
      </c>
      <c r="H659" s="239">
        <f>IF(_PENDIENTES!$B$653&lt;&gt;"",_PENDIENTES!$H$653,"")</f>
        <v/>
      </c>
      <c r="I659" s="305">
        <f>IF(_PENDIENTES!$B$653&lt;&gt;"",_PENDIENTES!$I$653,"")</f>
        <v/>
      </c>
      <c r="J659" s="241">
        <f>IF(_PENDIENTES!$B$653&lt;&gt;"",_PENDIENTES!$J$653,"")</f>
        <v/>
      </c>
      <c r="K659" s="241">
        <f>IF(_PENDIENTES!$B$653&lt;&gt;"","POR RECOGER","")</f>
        <v/>
      </c>
      <c r="L659" s="241">
        <f>IF(_PENDIENTES!$B$653&lt;&gt;"",_PENDIENTES!$K$653,"")</f>
        <v/>
      </c>
      <c r="M659" s="284">
        <f>IF(_PENDIENTES!$B$653&lt;&gt;"",_PENDIENTES!$B$653,"")</f>
        <v/>
      </c>
      <c r="N659" s="304">
        <f>IF(_PENDIENTES!$B$653&lt;&gt;"",_PENDIENTES!$L$653,"")</f>
        <v/>
      </c>
      <c r="O659" s="284" t="n"/>
      <c r="P659" s="284" t="n"/>
      <c r="Q659" s="284" t="n"/>
      <c r="R659" s="284" t="n"/>
      <c r="S659" s="284" t="n"/>
    </row>
    <row r="660" hidden="1" ht="15.75" customHeight="1" s="195">
      <c r="A660" s="301">
        <f>IF(_PENDIENTES!$B$654&lt;&gt;"",653,"")</f>
        <v/>
      </c>
      <c r="B660" s="242">
        <f>IF(_PENDIENTES!$B$654&lt;&gt;"",_PENDIENTES!$A$654,"")</f>
        <v/>
      </c>
      <c r="C660" s="302">
        <f>IF(_PENDIENTES!$B$654&lt;&gt;"",_PENDIENTES!$C$654,"")</f>
        <v/>
      </c>
      <c r="D660" s="301">
        <f>IF(_PENDIENTES!$B$654&lt;&gt;"",_PENDIENTES!$D$654,"")</f>
        <v/>
      </c>
      <c r="E660" s="306">
        <f>IF(_PENDIENTES!$B$654&lt;&gt;"",_PENDIENTES!$E$654,"")</f>
        <v/>
      </c>
      <c r="F660" s="301">
        <f>IF(_PENDIENTES!$B$654&lt;&gt;"",_PENDIENTES!$F$654,"")</f>
        <v/>
      </c>
      <c r="G660" s="245">
        <f>IF(_PENDIENTES!$B$654&lt;&gt;"",_PENDIENTES!$G$654,"")</f>
        <v/>
      </c>
      <c r="H660" s="245">
        <f>IF(_PENDIENTES!$B$654&lt;&gt;"",_PENDIENTES!$H$654,"")</f>
        <v/>
      </c>
      <c r="I660" s="302">
        <f>IF(_PENDIENTES!$B$654&lt;&gt;"",_PENDIENTES!$I$654,"")</f>
        <v/>
      </c>
      <c r="J660" s="301">
        <f>IF(_PENDIENTES!$B$654&lt;&gt;"",_PENDIENTES!$J$654,"")</f>
        <v/>
      </c>
      <c r="K660" s="301">
        <f>IF(_PENDIENTES!$B$654&lt;&gt;"","POR RECOGER","")</f>
        <v/>
      </c>
      <c r="L660" s="301">
        <f>IF(_PENDIENTES!$B$654&lt;&gt;"",_PENDIENTES!$K$654,"")</f>
        <v/>
      </c>
      <c r="M660" s="284">
        <f>IF(_PENDIENTES!$B$654&lt;&gt;"",_PENDIENTES!$B$654,"")</f>
        <v/>
      </c>
      <c r="N660" s="304">
        <f>IF(_PENDIENTES!$B$654&lt;&gt;"",_PENDIENTES!$L$654,"")</f>
        <v/>
      </c>
      <c r="O660" s="284" t="n"/>
      <c r="P660" s="284" t="n"/>
      <c r="Q660" s="284" t="n"/>
      <c r="R660" s="284" t="n"/>
      <c r="S660" s="284" t="n"/>
    </row>
    <row r="661" hidden="1" ht="15.75" customHeight="1" s="195">
      <c r="A661" s="241">
        <f>IF(_PENDIENTES!$B$655&lt;&gt;"",654,"")</f>
        <v/>
      </c>
      <c r="B661" s="236">
        <f>IF(_PENDIENTES!$B$655&lt;&gt;"",_PENDIENTES!$A$655,"")</f>
        <v/>
      </c>
      <c r="C661" s="305">
        <f>IF(_PENDIENTES!$B$655&lt;&gt;"",_PENDIENTES!$C$655,"")</f>
        <v/>
      </c>
      <c r="D661" s="241">
        <f>IF(_PENDIENTES!$B$655&lt;&gt;"",_PENDIENTES!$D$655,"")</f>
        <v/>
      </c>
      <c r="E661" s="307">
        <f>IF(_PENDIENTES!$B$655&lt;&gt;"",_PENDIENTES!$E$655,"")</f>
        <v/>
      </c>
      <c r="F661" s="241">
        <f>IF(_PENDIENTES!$B$655&lt;&gt;"",_PENDIENTES!$F$655,"")</f>
        <v/>
      </c>
      <c r="G661" s="239">
        <f>IF(_PENDIENTES!$B$655&lt;&gt;"",_PENDIENTES!$G$655,"")</f>
        <v/>
      </c>
      <c r="H661" s="239">
        <f>IF(_PENDIENTES!$B$655&lt;&gt;"",_PENDIENTES!$H$655,"")</f>
        <v/>
      </c>
      <c r="I661" s="305">
        <f>IF(_PENDIENTES!$B$655&lt;&gt;"",_PENDIENTES!$I$655,"")</f>
        <v/>
      </c>
      <c r="J661" s="241">
        <f>IF(_PENDIENTES!$B$655&lt;&gt;"",_PENDIENTES!$J$655,"")</f>
        <v/>
      </c>
      <c r="K661" s="241">
        <f>IF(_PENDIENTES!$B$655&lt;&gt;"","POR RECOGER","")</f>
        <v/>
      </c>
      <c r="L661" s="241">
        <f>IF(_PENDIENTES!$B$655&lt;&gt;"",_PENDIENTES!$K$655,"")</f>
        <v/>
      </c>
      <c r="M661" s="284">
        <f>IF(_PENDIENTES!$B$655&lt;&gt;"",_PENDIENTES!$B$655,"")</f>
        <v/>
      </c>
      <c r="N661" s="304">
        <f>IF(_PENDIENTES!$B$655&lt;&gt;"",_PENDIENTES!$L$655,"")</f>
        <v/>
      </c>
      <c r="O661" s="284" t="n"/>
      <c r="P661" s="284" t="n"/>
      <c r="Q661" s="284" t="n"/>
      <c r="R661" s="284" t="n"/>
      <c r="S661" s="284" t="n"/>
    </row>
    <row r="662" hidden="1" ht="15.75" customHeight="1" s="195">
      <c r="A662" s="301">
        <f>IF(_PENDIENTES!$B$656&lt;&gt;"",655,"")</f>
        <v/>
      </c>
      <c r="B662" s="242">
        <f>IF(_PENDIENTES!$B$656&lt;&gt;"",_PENDIENTES!$A$656,"")</f>
        <v/>
      </c>
      <c r="C662" s="302">
        <f>IF(_PENDIENTES!$B$656&lt;&gt;"",_PENDIENTES!$C$656,"")</f>
        <v/>
      </c>
      <c r="D662" s="301">
        <f>IF(_PENDIENTES!$B$656&lt;&gt;"",_PENDIENTES!$D$656,"")</f>
        <v/>
      </c>
      <c r="E662" s="306">
        <f>IF(_PENDIENTES!$B$656&lt;&gt;"",_PENDIENTES!$E$656,"")</f>
        <v/>
      </c>
      <c r="F662" s="301">
        <f>IF(_PENDIENTES!$B$656&lt;&gt;"",_PENDIENTES!$F$656,"")</f>
        <v/>
      </c>
      <c r="G662" s="245">
        <f>IF(_PENDIENTES!$B$656&lt;&gt;"",_PENDIENTES!$G$656,"")</f>
        <v/>
      </c>
      <c r="H662" s="245">
        <f>IF(_PENDIENTES!$B$656&lt;&gt;"",_PENDIENTES!$H$656,"")</f>
        <v/>
      </c>
      <c r="I662" s="302">
        <f>IF(_PENDIENTES!$B$656&lt;&gt;"",_PENDIENTES!$I$656,"")</f>
        <v/>
      </c>
      <c r="J662" s="301">
        <f>IF(_PENDIENTES!$B$656&lt;&gt;"",_PENDIENTES!$J$656,"")</f>
        <v/>
      </c>
      <c r="K662" s="301">
        <f>IF(_PENDIENTES!$B$656&lt;&gt;"","POR RECOGER","")</f>
        <v/>
      </c>
      <c r="L662" s="301">
        <f>IF(_PENDIENTES!$B$656&lt;&gt;"",_PENDIENTES!$K$656,"")</f>
        <v/>
      </c>
      <c r="M662" s="284">
        <f>IF(_PENDIENTES!$B$656&lt;&gt;"",_PENDIENTES!$B$656,"")</f>
        <v/>
      </c>
      <c r="N662" s="304">
        <f>IF(_PENDIENTES!$B$656&lt;&gt;"",_PENDIENTES!$L$656,"")</f>
        <v/>
      </c>
      <c r="O662" s="284" t="n"/>
      <c r="P662" s="284" t="n"/>
      <c r="Q662" s="284" t="n"/>
      <c r="R662" s="284" t="n"/>
      <c r="S662" s="284" t="n"/>
    </row>
    <row r="663" hidden="1" ht="15.75" customHeight="1" s="195">
      <c r="A663" s="241">
        <f>IF(_PENDIENTES!$B$657&lt;&gt;"",656,"")</f>
        <v/>
      </c>
      <c r="B663" s="236">
        <f>IF(_PENDIENTES!$B$657&lt;&gt;"",_PENDIENTES!$A$657,"")</f>
        <v/>
      </c>
      <c r="C663" s="305">
        <f>IF(_PENDIENTES!$B$657&lt;&gt;"",_PENDIENTES!$C$657,"")</f>
        <v/>
      </c>
      <c r="D663" s="241">
        <f>IF(_PENDIENTES!$B$657&lt;&gt;"",_PENDIENTES!$D$657,"")</f>
        <v/>
      </c>
      <c r="E663" s="307">
        <f>IF(_PENDIENTES!$B$657&lt;&gt;"",_PENDIENTES!$E$657,"")</f>
        <v/>
      </c>
      <c r="F663" s="241">
        <f>IF(_PENDIENTES!$B$657&lt;&gt;"",_PENDIENTES!$F$657,"")</f>
        <v/>
      </c>
      <c r="G663" s="239">
        <f>IF(_PENDIENTES!$B$657&lt;&gt;"",_PENDIENTES!$G$657,"")</f>
        <v/>
      </c>
      <c r="H663" s="239">
        <f>IF(_PENDIENTES!$B$657&lt;&gt;"",_PENDIENTES!$H$657,"")</f>
        <v/>
      </c>
      <c r="I663" s="305">
        <f>IF(_PENDIENTES!$B$657&lt;&gt;"",_PENDIENTES!$I$657,"")</f>
        <v/>
      </c>
      <c r="J663" s="241">
        <f>IF(_PENDIENTES!$B$657&lt;&gt;"",_PENDIENTES!$J$657,"")</f>
        <v/>
      </c>
      <c r="K663" s="241">
        <f>IF(_PENDIENTES!$B$657&lt;&gt;"","POR RECOGER","")</f>
        <v/>
      </c>
      <c r="L663" s="241">
        <f>IF(_PENDIENTES!$B$657&lt;&gt;"",_PENDIENTES!$K$657,"")</f>
        <v/>
      </c>
      <c r="M663" s="284">
        <f>IF(_PENDIENTES!$B$657&lt;&gt;"",_PENDIENTES!$B$657,"")</f>
        <v/>
      </c>
      <c r="N663" s="304">
        <f>IF(_PENDIENTES!$B$657&lt;&gt;"",_PENDIENTES!$L$657,"")</f>
        <v/>
      </c>
      <c r="O663" s="284" t="n"/>
      <c r="P663" s="284" t="n"/>
      <c r="Q663" s="284" t="n"/>
      <c r="R663" s="284" t="n"/>
      <c r="S663" s="284" t="n"/>
    </row>
    <row r="664" hidden="1" ht="15.75" customHeight="1" s="195">
      <c r="A664" s="301">
        <f>IF(_PENDIENTES!$B$658&lt;&gt;"",657,"")</f>
        <v/>
      </c>
      <c r="B664" s="242">
        <f>IF(_PENDIENTES!$B$658&lt;&gt;"",_PENDIENTES!$A$658,"")</f>
        <v/>
      </c>
      <c r="C664" s="302">
        <f>IF(_PENDIENTES!$B$658&lt;&gt;"",_PENDIENTES!$C$658,"")</f>
        <v/>
      </c>
      <c r="D664" s="301">
        <f>IF(_PENDIENTES!$B$658&lt;&gt;"",_PENDIENTES!$D$658,"")</f>
        <v/>
      </c>
      <c r="E664" s="306">
        <f>IF(_PENDIENTES!$B$658&lt;&gt;"",_PENDIENTES!$E$658,"")</f>
        <v/>
      </c>
      <c r="F664" s="301">
        <f>IF(_PENDIENTES!$B$658&lt;&gt;"",_PENDIENTES!$F$658,"")</f>
        <v/>
      </c>
      <c r="G664" s="245">
        <f>IF(_PENDIENTES!$B$658&lt;&gt;"",_PENDIENTES!$G$658,"")</f>
        <v/>
      </c>
      <c r="H664" s="245">
        <f>IF(_PENDIENTES!$B$658&lt;&gt;"",_PENDIENTES!$H$658,"")</f>
        <v/>
      </c>
      <c r="I664" s="302">
        <f>IF(_PENDIENTES!$B$658&lt;&gt;"",_PENDIENTES!$I$658,"")</f>
        <v/>
      </c>
      <c r="J664" s="301">
        <f>IF(_PENDIENTES!$B$658&lt;&gt;"",_PENDIENTES!$J$658,"")</f>
        <v/>
      </c>
      <c r="K664" s="301">
        <f>IF(_PENDIENTES!$B$658&lt;&gt;"","POR RECOGER","")</f>
        <v/>
      </c>
      <c r="L664" s="301">
        <f>IF(_PENDIENTES!$B$658&lt;&gt;"",_PENDIENTES!$K$658,"")</f>
        <v/>
      </c>
      <c r="M664" s="284">
        <f>IF(_PENDIENTES!$B$658&lt;&gt;"",_PENDIENTES!$B$658,"")</f>
        <v/>
      </c>
      <c r="N664" s="304">
        <f>IF(_PENDIENTES!$B$658&lt;&gt;"",_PENDIENTES!$L$658,"")</f>
        <v/>
      </c>
      <c r="O664" s="284" t="n"/>
      <c r="P664" s="284" t="n"/>
      <c r="Q664" s="284" t="n"/>
      <c r="R664" s="284" t="n"/>
      <c r="S664" s="284" t="n"/>
    </row>
    <row r="665" hidden="1" ht="15.75" customHeight="1" s="195">
      <c r="A665" s="241">
        <f>IF(_PENDIENTES!$B$659&lt;&gt;"",658,"")</f>
        <v/>
      </c>
      <c r="B665" s="236">
        <f>IF(_PENDIENTES!$B$659&lt;&gt;"",_PENDIENTES!$A$659,"")</f>
        <v/>
      </c>
      <c r="C665" s="305">
        <f>IF(_PENDIENTES!$B$659&lt;&gt;"",_PENDIENTES!$C$659,"")</f>
        <v/>
      </c>
      <c r="D665" s="241">
        <f>IF(_PENDIENTES!$B$659&lt;&gt;"",_PENDIENTES!$D$659,"")</f>
        <v/>
      </c>
      <c r="E665" s="307">
        <f>IF(_PENDIENTES!$B$659&lt;&gt;"",_PENDIENTES!$E$659,"")</f>
        <v/>
      </c>
      <c r="F665" s="241">
        <f>IF(_PENDIENTES!$B$659&lt;&gt;"",_PENDIENTES!$F$659,"")</f>
        <v/>
      </c>
      <c r="G665" s="239">
        <f>IF(_PENDIENTES!$B$659&lt;&gt;"",_PENDIENTES!$G$659,"")</f>
        <v/>
      </c>
      <c r="H665" s="239">
        <f>IF(_PENDIENTES!$B$659&lt;&gt;"",_PENDIENTES!$H$659,"")</f>
        <v/>
      </c>
      <c r="I665" s="305">
        <f>IF(_PENDIENTES!$B$659&lt;&gt;"",_PENDIENTES!$I$659,"")</f>
        <v/>
      </c>
      <c r="J665" s="241">
        <f>IF(_PENDIENTES!$B$659&lt;&gt;"",_PENDIENTES!$J$659,"")</f>
        <v/>
      </c>
      <c r="K665" s="241">
        <f>IF(_PENDIENTES!$B$659&lt;&gt;"","POR RECOGER","")</f>
        <v/>
      </c>
      <c r="L665" s="241">
        <f>IF(_PENDIENTES!$B$659&lt;&gt;"",_PENDIENTES!$K$659,"")</f>
        <v/>
      </c>
      <c r="M665" s="284">
        <f>IF(_PENDIENTES!$B$659&lt;&gt;"",_PENDIENTES!$B$659,"")</f>
        <v/>
      </c>
      <c r="N665" s="304">
        <f>IF(_PENDIENTES!$B$659&lt;&gt;"",_PENDIENTES!$L$659,"")</f>
        <v/>
      </c>
      <c r="O665" s="284" t="n"/>
      <c r="P665" s="284" t="n"/>
      <c r="Q665" s="284" t="n"/>
      <c r="R665" s="284" t="n"/>
      <c r="S665" s="284" t="n"/>
    </row>
    <row r="666" hidden="1" ht="15.75" customHeight="1" s="195">
      <c r="A666" s="301">
        <f>IF(_PENDIENTES!$B$660&lt;&gt;"",659,"")</f>
        <v/>
      </c>
      <c r="B666" s="242">
        <f>IF(_PENDIENTES!$B$660&lt;&gt;"",_PENDIENTES!$A$660,"")</f>
        <v/>
      </c>
      <c r="C666" s="302">
        <f>IF(_PENDIENTES!$B$660&lt;&gt;"",_PENDIENTES!$C$660,"")</f>
        <v/>
      </c>
      <c r="D666" s="301">
        <f>IF(_PENDIENTES!$B$660&lt;&gt;"",_PENDIENTES!$D$660,"")</f>
        <v/>
      </c>
      <c r="E666" s="306">
        <f>IF(_PENDIENTES!$B$660&lt;&gt;"",_PENDIENTES!$E$660,"")</f>
        <v/>
      </c>
      <c r="F666" s="301">
        <f>IF(_PENDIENTES!$B$660&lt;&gt;"",_PENDIENTES!$F$660,"")</f>
        <v/>
      </c>
      <c r="G666" s="245">
        <f>IF(_PENDIENTES!$B$660&lt;&gt;"",_PENDIENTES!$G$660,"")</f>
        <v/>
      </c>
      <c r="H666" s="245">
        <f>IF(_PENDIENTES!$B$660&lt;&gt;"",_PENDIENTES!$H$660,"")</f>
        <v/>
      </c>
      <c r="I666" s="302">
        <f>IF(_PENDIENTES!$B$660&lt;&gt;"",_PENDIENTES!$I$660,"")</f>
        <v/>
      </c>
      <c r="J666" s="301">
        <f>IF(_PENDIENTES!$B$660&lt;&gt;"",_PENDIENTES!$J$660,"")</f>
        <v/>
      </c>
      <c r="K666" s="301">
        <f>IF(_PENDIENTES!$B$660&lt;&gt;"","POR RECOGER","")</f>
        <v/>
      </c>
      <c r="L666" s="301">
        <f>IF(_PENDIENTES!$B$660&lt;&gt;"",_PENDIENTES!$K$660,"")</f>
        <v/>
      </c>
      <c r="M666" s="284">
        <f>IF(_PENDIENTES!$B$660&lt;&gt;"",_PENDIENTES!$B$660,"")</f>
        <v/>
      </c>
      <c r="N666" s="304">
        <f>IF(_PENDIENTES!$B$660&lt;&gt;"",_PENDIENTES!$L$660,"")</f>
        <v/>
      </c>
      <c r="O666" s="284" t="n"/>
      <c r="P666" s="284" t="n"/>
      <c r="Q666" s="284" t="n"/>
      <c r="R666" s="284" t="n"/>
      <c r="S666" s="284" t="n"/>
    </row>
    <row r="667" hidden="1" ht="15.75" customHeight="1" s="195">
      <c r="A667" s="241">
        <f>IF(_PENDIENTES!$B$661&lt;&gt;"",660,"")</f>
        <v/>
      </c>
      <c r="B667" s="236">
        <f>IF(_PENDIENTES!$B$661&lt;&gt;"",_PENDIENTES!$A$661,"")</f>
        <v/>
      </c>
      <c r="C667" s="305">
        <f>IF(_PENDIENTES!$B$661&lt;&gt;"",_PENDIENTES!$C$661,"")</f>
        <v/>
      </c>
      <c r="D667" s="241">
        <f>IF(_PENDIENTES!$B$661&lt;&gt;"",_PENDIENTES!$D$661,"")</f>
        <v/>
      </c>
      <c r="E667" s="307">
        <f>IF(_PENDIENTES!$B$661&lt;&gt;"",_PENDIENTES!$E$661,"")</f>
        <v/>
      </c>
      <c r="F667" s="241">
        <f>IF(_PENDIENTES!$B$661&lt;&gt;"",_PENDIENTES!$F$661,"")</f>
        <v/>
      </c>
      <c r="G667" s="239">
        <f>IF(_PENDIENTES!$B$661&lt;&gt;"",_PENDIENTES!$G$661,"")</f>
        <v/>
      </c>
      <c r="H667" s="239">
        <f>IF(_PENDIENTES!$B$661&lt;&gt;"",_PENDIENTES!$H$661,"")</f>
        <v/>
      </c>
      <c r="I667" s="305">
        <f>IF(_PENDIENTES!$B$661&lt;&gt;"",_PENDIENTES!$I$661,"")</f>
        <v/>
      </c>
      <c r="J667" s="241">
        <f>IF(_PENDIENTES!$B$661&lt;&gt;"",_PENDIENTES!$J$661,"")</f>
        <v/>
      </c>
      <c r="K667" s="241">
        <f>IF(_PENDIENTES!$B$661&lt;&gt;"","POR RECOGER","")</f>
        <v/>
      </c>
      <c r="L667" s="241">
        <f>IF(_PENDIENTES!$B$661&lt;&gt;"",_PENDIENTES!$K$661,"")</f>
        <v/>
      </c>
      <c r="M667" s="284">
        <f>IF(_PENDIENTES!$B$661&lt;&gt;"",_PENDIENTES!$B$661,"")</f>
        <v/>
      </c>
      <c r="N667" s="304">
        <f>IF(_PENDIENTES!$B$661&lt;&gt;"",_PENDIENTES!$L$661,"")</f>
        <v/>
      </c>
      <c r="O667" s="284" t="n"/>
      <c r="P667" s="284" t="n"/>
      <c r="Q667" s="284" t="n"/>
      <c r="R667" s="284" t="n"/>
      <c r="S667" s="284" t="n"/>
    </row>
    <row r="668" hidden="1" ht="15.75" customHeight="1" s="195">
      <c r="A668" s="301">
        <f>IF(_PENDIENTES!$B$662&lt;&gt;"",661,"")</f>
        <v/>
      </c>
      <c r="B668" s="242">
        <f>IF(_PENDIENTES!$B$662&lt;&gt;"",_PENDIENTES!$A$662,"")</f>
        <v/>
      </c>
      <c r="C668" s="302">
        <f>IF(_PENDIENTES!$B$662&lt;&gt;"",_PENDIENTES!$C$662,"")</f>
        <v/>
      </c>
      <c r="D668" s="301">
        <f>IF(_PENDIENTES!$B$662&lt;&gt;"",_PENDIENTES!$D$662,"")</f>
        <v/>
      </c>
      <c r="E668" s="306">
        <f>IF(_PENDIENTES!$B$662&lt;&gt;"",_PENDIENTES!$E$662,"")</f>
        <v/>
      </c>
      <c r="F668" s="301">
        <f>IF(_PENDIENTES!$B$662&lt;&gt;"",_PENDIENTES!$F$662,"")</f>
        <v/>
      </c>
      <c r="G668" s="245">
        <f>IF(_PENDIENTES!$B$662&lt;&gt;"",_PENDIENTES!$G$662,"")</f>
        <v/>
      </c>
      <c r="H668" s="245">
        <f>IF(_PENDIENTES!$B$662&lt;&gt;"",_PENDIENTES!$H$662,"")</f>
        <v/>
      </c>
      <c r="I668" s="302">
        <f>IF(_PENDIENTES!$B$662&lt;&gt;"",_PENDIENTES!$I$662,"")</f>
        <v/>
      </c>
      <c r="J668" s="301">
        <f>IF(_PENDIENTES!$B$662&lt;&gt;"",_PENDIENTES!$J$662,"")</f>
        <v/>
      </c>
      <c r="K668" s="301">
        <f>IF(_PENDIENTES!$B$662&lt;&gt;"","POR RECOGER","")</f>
        <v/>
      </c>
      <c r="L668" s="301">
        <f>IF(_PENDIENTES!$B$662&lt;&gt;"",_PENDIENTES!$K$662,"")</f>
        <v/>
      </c>
      <c r="M668" s="284">
        <f>IF(_PENDIENTES!$B$662&lt;&gt;"",_PENDIENTES!$B$662,"")</f>
        <v/>
      </c>
      <c r="N668" s="304">
        <f>IF(_PENDIENTES!$B$662&lt;&gt;"",_PENDIENTES!$L$662,"")</f>
        <v/>
      </c>
      <c r="O668" s="284" t="n"/>
      <c r="P668" s="284" t="n"/>
      <c r="Q668" s="284" t="n"/>
      <c r="R668" s="284" t="n"/>
      <c r="S668" s="284" t="n"/>
    </row>
    <row r="669" hidden="1" ht="15.75" customHeight="1" s="195">
      <c r="A669" s="241">
        <f>IF(_PENDIENTES!$B$663&lt;&gt;"",662,"")</f>
        <v/>
      </c>
      <c r="B669" s="236">
        <f>IF(_PENDIENTES!$B$663&lt;&gt;"",_PENDIENTES!$A$663,"")</f>
        <v/>
      </c>
      <c r="C669" s="305">
        <f>IF(_PENDIENTES!$B$663&lt;&gt;"",_PENDIENTES!$C$663,"")</f>
        <v/>
      </c>
      <c r="D669" s="241">
        <f>IF(_PENDIENTES!$B$663&lt;&gt;"",_PENDIENTES!$D$663,"")</f>
        <v/>
      </c>
      <c r="E669" s="307">
        <f>IF(_PENDIENTES!$B$663&lt;&gt;"",_PENDIENTES!$E$663,"")</f>
        <v/>
      </c>
      <c r="F669" s="241">
        <f>IF(_PENDIENTES!$B$663&lt;&gt;"",_PENDIENTES!$F$663,"")</f>
        <v/>
      </c>
      <c r="G669" s="239">
        <f>IF(_PENDIENTES!$B$663&lt;&gt;"",_PENDIENTES!$G$663,"")</f>
        <v/>
      </c>
      <c r="H669" s="239">
        <f>IF(_PENDIENTES!$B$663&lt;&gt;"",_PENDIENTES!$H$663,"")</f>
        <v/>
      </c>
      <c r="I669" s="305">
        <f>IF(_PENDIENTES!$B$663&lt;&gt;"",_PENDIENTES!$I$663,"")</f>
        <v/>
      </c>
      <c r="J669" s="241">
        <f>IF(_PENDIENTES!$B$663&lt;&gt;"",_PENDIENTES!$J$663,"")</f>
        <v/>
      </c>
      <c r="K669" s="241">
        <f>IF(_PENDIENTES!$B$663&lt;&gt;"","POR RECOGER","")</f>
        <v/>
      </c>
      <c r="L669" s="241">
        <f>IF(_PENDIENTES!$B$663&lt;&gt;"",_PENDIENTES!$K$663,"")</f>
        <v/>
      </c>
      <c r="M669" s="284">
        <f>IF(_PENDIENTES!$B$663&lt;&gt;"",_PENDIENTES!$B$663,"")</f>
        <v/>
      </c>
      <c r="N669" s="304">
        <f>IF(_PENDIENTES!$B$663&lt;&gt;"",_PENDIENTES!$L$663,"")</f>
        <v/>
      </c>
      <c r="O669" s="284" t="n"/>
      <c r="P669" s="284" t="n"/>
      <c r="Q669" s="284" t="n"/>
      <c r="R669" s="284" t="n"/>
      <c r="S669" s="284" t="n"/>
    </row>
    <row r="670" hidden="1" ht="15.75" customHeight="1" s="195">
      <c r="A670" s="301">
        <f>IF(_PENDIENTES!$B$664&lt;&gt;"",663,"")</f>
        <v/>
      </c>
      <c r="B670" s="242">
        <f>IF(_PENDIENTES!$B$664&lt;&gt;"",_PENDIENTES!$A$664,"")</f>
        <v/>
      </c>
      <c r="C670" s="302">
        <f>IF(_PENDIENTES!$B$664&lt;&gt;"",_PENDIENTES!$C$664,"")</f>
        <v/>
      </c>
      <c r="D670" s="301">
        <f>IF(_PENDIENTES!$B$664&lt;&gt;"",_PENDIENTES!$D$664,"")</f>
        <v/>
      </c>
      <c r="E670" s="306">
        <f>IF(_PENDIENTES!$B$664&lt;&gt;"",_PENDIENTES!$E$664,"")</f>
        <v/>
      </c>
      <c r="F670" s="301">
        <f>IF(_PENDIENTES!$B$664&lt;&gt;"",_PENDIENTES!$F$664,"")</f>
        <v/>
      </c>
      <c r="G670" s="245">
        <f>IF(_PENDIENTES!$B$664&lt;&gt;"",_PENDIENTES!$G$664,"")</f>
        <v/>
      </c>
      <c r="H670" s="245">
        <f>IF(_PENDIENTES!$B$664&lt;&gt;"",_PENDIENTES!$H$664,"")</f>
        <v/>
      </c>
      <c r="I670" s="302">
        <f>IF(_PENDIENTES!$B$664&lt;&gt;"",_PENDIENTES!$I$664,"")</f>
        <v/>
      </c>
      <c r="J670" s="301">
        <f>IF(_PENDIENTES!$B$664&lt;&gt;"",_PENDIENTES!$J$664,"")</f>
        <v/>
      </c>
      <c r="K670" s="301">
        <f>IF(_PENDIENTES!$B$664&lt;&gt;"","POR RECOGER","")</f>
        <v/>
      </c>
      <c r="L670" s="301">
        <f>IF(_PENDIENTES!$B$664&lt;&gt;"",_PENDIENTES!$K$664,"")</f>
        <v/>
      </c>
      <c r="M670" s="284">
        <f>IF(_PENDIENTES!$B$664&lt;&gt;"",_PENDIENTES!$B$664,"")</f>
        <v/>
      </c>
      <c r="N670" s="304">
        <f>IF(_PENDIENTES!$B$664&lt;&gt;"",_PENDIENTES!$L$664,"")</f>
        <v/>
      </c>
      <c r="O670" s="284" t="n"/>
      <c r="P670" s="284" t="n"/>
      <c r="Q670" s="284" t="n"/>
      <c r="R670" s="284" t="n"/>
      <c r="S670" s="284" t="n"/>
    </row>
    <row r="671" hidden="1" ht="15.75" customHeight="1" s="195">
      <c r="A671" s="241">
        <f>IF(_PENDIENTES!$B$665&lt;&gt;"",664,"")</f>
        <v/>
      </c>
      <c r="B671" s="236">
        <f>IF(_PENDIENTES!$B$665&lt;&gt;"",_PENDIENTES!$A$665,"")</f>
        <v/>
      </c>
      <c r="C671" s="305">
        <f>IF(_PENDIENTES!$B$665&lt;&gt;"",_PENDIENTES!$C$665,"")</f>
        <v/>
      </c>
      <c r="D671" s="241">
        <f>IF(_PENDIENTES!$B$665&lt;&gt;"",_PENDIENTES!$D$665,"")</f>
        <v/>
      </c>
      <c r="E671" s="307">
        <f>IF(_PENDIENTES!$B$665&lt;&gt;"",_PENDIENTES!$E$665,"")</f>
        <v/>
      </c>
      <c r="F671" s="241">
        <f>IF(_PENDIENTES!$B$665&lt;&gt;"",_PENDIENTES!$F$665,"")</f>
        <v/>
      </c>
      <c r="G671" s="239">
        <f>IF(_PENDIENTES!$B$665&lt;&gt;"",_PENDIENTES!$G$665,"")</f>
        <v/>
      </c>
      <c r="H671" s="239">
        <f>IF(_PENDIENTES!$B$665&lt;&gt;"",_PENDIENTES!$H$665,"")</f>
        <v/>
      </c>
      <c r="I671" s="305">
        <f>IF(_PENDIENTES!$B$665&lt;&gt;"",_PENDIENTES!$I$665,"")</f>
        <v/>
      </c>
      <c r="J671" s="241">
        <f>IF(_PENDIENTES!$B$665&lt;&gt;"",_PENDIENTES!$J$665,"")</f>
        <v/>
      </c>
      <c r="K671" s="241">
        <f>IF(_PENDIENTES!$B$665&lt;&gt;"","POR RECOGER","")</f>
        <v/>
      </c>
      <c r="L671" s="241">
        <f>IF(_PENDIENTES!$B$665&lt;&gt;"",_PENDIENTES!$K$665,"")</f>
        <v/>
      </c>
      <c r="M671" s="284">
        <f>IF(_PENDIENTES!$B$665&lt;&gt;"",_PENDIENTES!$B$665,"")</f>
        <v/>
      </c>
      <c r="N671" s="304">
        <f>IF(_PENDIENTES!$B$665&lt;&gt;"",_PENDIENTES!$L$665,"")</f>
        <v/>
      </c>
      <c r="O671" s="284" t="n"/>
      <c r="P671" s="284" t="n"/>
      <c r="Q671" s="284" t="n"/>
      <c r="R671" s="284" t="n"/>
      <c r="S671" s="284" t="n"/>
    </row>
    <row r="672" hidden="1" ht="15.75" customHeight="1" s="195">
      <c r="A672" s="301">
        <f>IF(_PENDIENTES!$B$666&lt;&gt;"",665,"")</f>
        <v/>
      </c>
      <c r="B672" s="242">
        <f>IF(_PENDIENTES!$B$666&lt;&gt;"",_PENDIENTES!$A$666,"")</f>
        <v/>
      </c>
      <c r="C672" s="302">
        <f>IF(_PENDIENTES!$B$666&lt;&gt;"",_PENDIENTES!$C$666,"")</f>
        <v/>
      </c>
      <c r="D672" s="301">
        <f>IF(_PENDIENTES!$B$666&lt;&gt;"",_PENDIENTES!$D$666,"")</f>
        <v/>
      </c>
      <c r="E672" s="306">
        <f>IF(_PENDIENTES!$B$666&lt;&gt;"",_PENDIENTES!$E$666,"")</f>
        <v/>
      </c>
      <c r="F672" s="301">
        <f>IF(_PENDIENTES!$B$666&lt;&gt;"",_PENDIENTES!$F$666,"")</f>
        <v/>
      </c>
      <c r="G672" s="245">
        <f>IF(_PENDIENTES!$B$666&lt;&gt;"",_PENDIENTES!$G$666,"")</f>
        <v/>
      </c>
      <c r="H672" s="245">
        <f>IF(_PENDIENTES!$B$666&lt;&gt;"",_PENDIENTES!$H$666,"")</f>
        <v/>
      </c>
      <c r="I672" s="302">
        <f>IF(_PENDIENTES!$B$666&lt;&gt;"",_PENDIENTES!$I$666,"")</f>
        <v/>
      </c>
      <c r="J672" s="301">
        <f>IF(_PENDIENTES!$B$666&lt;&gt;"",_PENDIENTES!$J$666,"")</f>
        <v/>
      </c>
      <c r="K672" s="301">
        <f>IF(_PENDIENTES!$B$666&lt;&gt;"","POR RECOGER","")</f>
        <v/>
      </c>
      <c r="L672" s="301">
        <f>IF(_PENDIENTES!$B$666&lt;&gt;"",_PENDIENTES!$K$666,"")</f>
        <v/>
      </c>
      <c r="M672" s="284">
        <f>IF(_PENDIENTES!$B$666&lt;&gt;"",_PENDIENTES!$B$666,"")</f>
        <v/>
      </c>
      <c r="N672" s="304">
        <f>IF(_PENDIENTES!$B$666&lt;&gt;"",_PENDIENTES!$L$666,"")</f>
        <v/>
      </c>
      <c r="O672" s="284" t="n"/>
      <c r="P672" s="284" t="n"/>
      <c r="Q672" s="284" t="n"/>
      <c r="R672" s="284" t="n"/>
      <c r="S672" s="284" t="n"/>
    </row>
    <row r="673" hidden="1" ht="15.75" customHeight="1" s="195">
      <c r="A673" s="241">
        <f>IF(_PENDIENTES!$B$667&lt;&gt;"",666,"")</f>
        <v/>
      </c>
      <c r="B673" s="236">
        <f>IF(_PENDIENTES!$B$667&lt;&gt;"",_PENDIENTES!$A$667,"")</f>
        <v/>
      </c>
      <c r="C673" s="305">
        <f>IF(_PENDIENTES!$B$667&lt;&gt;"",_PENDIENTES!$C$667,"")</f>
        <v/>
      </c>
      <c r="D673" s="241">
        <f>IF(_PENDIENTES!$B$667&lt;&gt;"",_PENDIENTES!$D$667,"")</f>
        <v/>
      </c>
      <c r="E673" s="307">
        <f>IF(_PENDIENTES!$B$667&lt;&gt;"",_PENDIENTES!$E$667,"")</f>
        <v/>
      </c>
      <c r="F673" s="241">
        <f>IF(_PENDIENTES!$B$667&lt;&gt;"",_PENDIENTES!$F$667,"")</f>
        <v/>
      </c>
      <c r="G673" s="239">
        <f>IF(_PENDIENTES!$B$667&lt;&gt;"",_PENDIENTES!$G$667,"")</f>
        <v/>
      </c>
      <c r="H673" s="239">
        <f>IF(_PENDIENTES!$B$667&lt;&gt;"",_PENDIENTES!$H$667,"")</f>
        <v/>
      </c>
      <c r="I673" s="305">
        <f>IF(_PENDIENTES!$B$667&lt;&gt;"",_PENDIENTES!$I$667,"")</f>
        <v/>
      </c>
      <c r="J673" s="241">
        <f>IF(_PENDIENTES!$B$667&lt;&gt;"",_PENDIENTES!$J$667,"")</f>
        <v/>
      </c>
      <c r="K673" s="241">
        <f>IF(_PENDIENTES!$B$667&lt;&gt;"","POR RECOGER","")</f>
        <v/>
      </c>
      <c r="L673" s="241">
        <f>IF(_PENDIENTES!$B$667&lt;&gt;"",_PENDIENTES!$K$667,"")</f>
        <v/>
      </c>
      <c r="M673" s="284">
        <f>IF(_PENDIENTES!$B$667&lt;&gt;"",_PENDIENTES!$B$667,"")</f>
        <v/>
      </c>
      <c r="N673" s="304">
        <f>IF(_PENDIENTES!$B$667&lt;&gt;"",_PENDIENTES!$L$667,"")</f>
        <v/>
      </c>
      <c r="O673" s="284" t="n"/>
      <c r="P673" s="284" t="n"/>
      <c r="Q673" s="284" t="n"/>
      <c r="R673" s="284" t="n"/>
      <c r="S673" s="284" t="n"/>
    </row>
    <row r="674" hidden="1" ht="15.75" customHeight="1" s="195">
      <c r="A674" s="301">
        <f>IF(_PENDIENTES!$B$668&lt;&gt;"",667,"")</f>
        <v/>
      </c>
      <c r="B674" s="242">
        <f>IF(_PENDIENTES!$B$668&lt;&gt;"",_PENDIENTES!$A$668,"")</f>
        <v/>
      </c>
      <c r="C674" s="302">
        <f>IF(_PENDIENTES!$B$668&lt;&gt;"",_PENDIENTES!$C$668,"")</f>
        <v/>
      </c>
      <c r="D674" s="301">
        <f>IF(_PENDIENTES!$B$668&lt;&gt;"",_PENDIENTES!$D$668,"")</f>
        <v/>
      </c>
      <c r="E674" s="306">
        <f>IF(_PENDIENTES!$B$668&lt;&gt;"",_PENDIENTES!$E$668,"")</f>
        <v/>
      </c>
      <c r="F674" s="301">
        <f>IF(_PENDIENTES!$B$668&lt;&gt;"",_PENDIENTES!$F$668,"")</f>
        <v/>
      </c>
      <c r="G674" s="245">
        <f>IF(_PENDIENTES!$B$668&lt;&gt;"",_PENDIENTES!$G$668,"")</f>
        <v/>
      </c>
      <c r="H674" s="245">
        <f>IF(_PENDIENTES!$B$668&lt;&gt;"",_PENDIENTES!$H$668,"")</f>
        <v/>
      </c>
      <c r="I674" s="302">
        <f>IF(_PENDIENTES!$B$668&lt;&gt;"",_PENDIENTES!$I$668,"")</f>
        <v/>
      </c>
      <c r="J674" s="301">
        <f>IF(_PENDIENTES!$B$668&lt;&gt;"",_PENDIENTES!$J$668,"")</f>
        <v/>
      </c>
      <c r="K674" s="301">
        <f>IF(_PENDIENTES!$B$668&lt;&gt;"","POR RECOGER","")</f>
        <v/>
      </c>
      <c r="L674" s="301">
        <f>IF(_PENDIENTES!$B$668&lt;&gt;"",_PENDIENTES!$K$668,"")</f>
        <v/>
      </c>
      <c r="M674" s="284">
        <f>IF(_PENDIENTES!$B$668&lt;&gt;"",_PENDIENTES!$B$668,"")</f>
        <v/>
      </c>
      <c r="N674" s="304">
        <f>IF(_PENDIENTES!$B$668&lt;&gt;"",_PENDIENTES!$L$668,"")</f>
        <v/>
      </c>
      <c r="O674" s="284" t="n"/>
      <c r="P674" s="284" t="n"/>
      <c r="Q674" s="284" t="n"/>
      <c r="R674" s="284" t="n"/>
      <c r="S674" s="284" t="n"/>
    </row>
    <row r="675" hidden="1" ht="15.75" customHeight="1" s="195">
      <c r="A675" s="241">
        <f>IF(_PENDIENTES!$B$669&lt;&gt;"",668,"")</f>
        <v/>
      </c>
      <c r="B675" s="236">
        <f>IF(_PENDIENTES!$B$669&lt;&gt;"",_PENDIENTES!$A$669,"")</f>
        <v/>
      </c>
      <c r="C675" s="305">
        <f>IF(_PENDIENTES!$B$669&lt;&gt;"",_PENDIENTES!$C$669,"")</f>
        <v/>
      </c>
      <c r="D675" s="241">
        <f>IF(_PENDIENTES!$B$669&lt;&gt;"",_PENDIENTES!$D$669,"")</f>
        <v/>
      </c>
      <c r="E675" s="307">
        <f>IF(_PENDIENTES!$B$669&lt;&gt;"",_PENDIENTES!$E$669,"")</f>
        <v/>
      </c>
      <c r="F675" s="241">
        <f>IF(_PENDIENTES!$B$669&lt;&gt;"",_PENDIENTES!$F$669,"")</f>
        <v/>
      </c>
      <c r="G675" s="239">
        <f>IF(_PENDIENTES!$B$669&lt;&gt;"",_PENDIENTES!$G$669,"")</f>
        <v/>
      </c>
      <c r="H675" s="239">
        <f>IF(_PENDIENTES!$B$669&lt;&gt;"",_PENDIENTES!$H$669,"")</f>
        <v/>
      </c>
      <c r="I675" s="305">
        <f>IF(_PENDIENTES!$B$669&lt;&gt;"",_PENDIENTES!$I$669,"")</f>
        <v/>
      </c>
      <c r="J675" s="241">
        <f>IF(_PENDIENTES!$B$669&lt;&gt;"",_PENDIENTES!$J$669,"")</f>
        <v/>
      </c>
      <c r="K675" s="241">
        <f>IF(_PENDIENTES!$B$669&lt;&gt;"","POR RECOGER","")</f>
        <v/>
      </c>
      <c r="L675" s="241">
        <f>IF(_PENDIENTES!$B$669&lt;&gt;"",_PENDIENTES!$K$669,"")</f>
        <v/>
      </c>
      <c r="M675" s="284">
        <f>IF(_PENDIENTES!$B$669&lt;&gt;"",_PENDIENTES!$B$669,"")</f>
        <v/>
      </c>
      <c r="N675" s="304">
        <f>IF(_PENDIENTES!$B$669&lt;&gt;"",_PENDIENTES!$L$669,"")</f>
        <v/>
      </c>
      <c r="O675" s="284" t="n"/>
      <c r="P675" s="284" t="n"/>
      <c r="Q675" s="284" t="n"/>
      <c r="R675" s="284" t="n"/>
      <c r="S675" s="284" t="n"/>
    </row>
    <row r="676" hidden="1" ht="15.75" customHeight="1" s="195">
      <c r="A676" s="301">
        <f>IF(_PENDIENTES!$B$670&lt;&gt;"",669,"")</f>
        <v/>
      </c>
      <c r="B676" s="242">
        <f>IF(_PENDIENTES!$B$670&lt;&gt;"",_PENDIENTES!$A$670,"")</f>
        <v/>
      </c>
      <c r="C676" s="302">
        <f>IF(_PENDIENTES!$B$670&lt;&gt;"",_PENDIENTES!$C$670,"")</f>
        <v/>
      </c>
      <c r="D676" s="301">
        <f>IF(_PENDIENTES!$B$670&lt;&gt;"",_PENDIENTES!$D$670,"")</f>
        <v/>
      </c>
      <c r="E676" s="306">
        <f>IF(_PENDIENTES!$B$670&lt;&gt;"",_PENDIENTES!$E$670,"")</f>
        <v/>
      </c>
      <c r="F676" s="301">
        <f>IF(_PENDIENTES!$B$670&lt;&gt;"",_PENDIENTES!$F$670,"")</f>
        <v/>
      </c>
      <c r="G676" s="245">
        <f>IF(_PENDIENTES!$B$670&lt;&gt;"",_PENDIENTES!$G$670,"")</f>
        <v/>
      </c>
      <c r="H676" s="245">
        <f>IF(_PENDIENTES!$B$670&lt;&gt;"",_PENDIENTES!$H$670,"")</f>
        <v/>
      </c>
      <c r="I676" s="302">
        <f>IF(_PENDIENTES!$B$670&lt;&gt;"",_PENDIENTES!$I$670,"")</f>
        <v/>
      </c>
      <c r="J676" s="301">
        <f>IF(_PENDIENTES!$B$670&lt;&gt;"",_PENDIENTES!$J$670,"")</f>
        <v/>
      </c>
      <c r="K676" s="301">
        <f>IF(_PENDIENTES!$B$670&lt;&gt;"","POR RECOGER","")</f>
        <v/>
      </c>
      <c r="L676" s="301">
        <f>IF(_PENDIENTES!$B$670&lt;&gt;"",_PENDIENTES!$K$670,"")</f>
        <v/>
      </c>
      <c r="M676" s="284">
        <f>IF(_PENDIENTES!$B$670&lt;&gt;"",_PENDIENTES!$B$670,"")</f>
        <v/>
      </c>
      <c r="N676" s="304">
        <f>IF(_PENDIENTES!$B$670&lt;&gt;"",_PENDIENTES!$L$670,"")</f>
        <v/>
      </c>
      <c r="O676" s="284" t="n"/>
      <c r="P676" s="284" t="n"/>
      <c r="Q676" s="284" t="n"/>
      <c r="R676" s="284" t="n"/>
      <c r="S676" s="284" t="n"/>
    </row>
    <row r="677" hidden="1" ht="15.75" customHeight="1" s="195">
      <c r="A677" s="241">
        <f>IF(_PENDIENTES!$B$671&lt;&gt;"",670,"")</f>
        <v/>
      </c>
      <c r="B677" s="236">
        <f>IF(_PENDIENTES!$B$671&lt;&gt;"",_PENDIENTES!$A$671,"")</f>
        <v/>
      </c>
      <c r="C677" s="305">
        <f>IF(_PENDIENTES!$B$671&lt;&gt;"",_PENDIENTES!$C$671,"")</f>
        <v/>
      </c>
      <c r="D677" s="241">
        <f>IF(_PENDIENTES!$B$671&lt;&gt;"",_PENDIENTES!$D$671,"")</f>
        <v/>
      </c>
      <c r="E677" s="307">
        <f>IF(_PENDIENTES!$B$671&lt;&gt;"",_PENDIENTES!$E$671,"")</f>
        <v/>
      </c>
      <c r="F677" s="241">
        <f>IF(_PENDIENTES!$B$671&lt;&gt;"",_PENDIENTES!$F$671,"")</f>
        <v/>
      </c>
      <c r="G677" s="239">
        <f>IF(_PENDIENTES!$B$671&lt;&gt;"",_PENDIENTES!$G$671,"")</f>
        <v/>
      </c>
      <c r="H677" s="239">
        <f>IF(_PENDIENTES!$B$671&lt;&gt;"",_PENDIENTES!$H$671,"")</f>
        <v/>
      </c>
      <c r="I677" s="305">
        <f>IF(_PENDIENTES!$B$671&lt;&gt;"",_PENDIENTES!$I$671,"")</f>
        <v/>
      </c>
      <c r="J677" s="241">
        <f>IF(_PENDIENTES!$B$671&lt;&gt;"",_PENDIENTES!$J$671,"")</f>
        <v/>
      </c>
      <c r="K677" s="241">
        <f>IF(_PENDIENTES!$B$671&lt;&gt;"","POR RECOGER","")</f>
        <v/>
      </c>
      <c r="L677" s="241">
        <f>IF(_PENDIENTES!$B$671&lt;&gt;"",_PENDIENTES!$K$671,"")</f>
        <v/>
      </c>
      <c r="M677" s="284">
        <f>IF(_PENDIENTES!$B$671&lt;&gt;"",_PENDIENTES!$B$671,"")</f>
        <v/>
      </c>
      <c r="N677" s="304">
        <f>IF(_PENDIENTES!$B$671&lt;&gt;"",_PENDIENTES!$L$671,"")</f>
        <v/>
      </c>
      <c r="O677" s="284" t="n"/>
      <c r="P677" s="284" t="n"/>
      <c r="Q677" s="284" t="n"/>
      <c r="R677" s="284" t="n"/>
      <c r="S677" s="284" t="n"/>
    </row>
    <row r="678" hidden="1" ht="15.75" customHeight="1" s="195">
      <c r="A678" s="301">
        <f>IF(_PENDIENTES!$B$672&lt;&gt;"",671,"")</f>
        <v/>
      </c>
      <c r="B678" s="242">
        <f>IF(_PENDIENTES!$B$672&lt;&gt;"",_PENDIENTES!$A$672,"")</f>
        <v/>
      </c>
      <c r="C678" s="302">
        <f>IF(_PENDIENTES!$B$672&lt;&gt;"",_PENDIENTES!$C$672,"")</f>
        <v/>
      </c>
      <c r="D678" s="301">
        <f>IF(_PENDIENTES!$B$672&lt;&gt;"",_PENDIENTES!$D$672,"")</f>
        <v/>
      </c>
      <c r="E678" s="306">
        <f>IF(_PENDIENTES!$B$672&lt;&gt;"",_PENDIENTES!$E$672,"")</f>
        <v/>
      </c>
      <c r="F678" s="301">
        <f>IF(_PENDIENTES!$B$672&lt;&gt;"",_PENDIENTES!$F$672,"")</f>
        <v/>
      </c>
      <c r="G678" s="245">
        <f>IF(_PENDIENTES!$B$672&lt;&gt;"",_PENDIENTES!$G$672,"")</f>
        <v/>
      </c>
      <c r="H678" s="245">
        <f>IF(_PENDIENTES!$B$672&lt;&gt;"",_PENDIENTES!$H$672,"")</f>
        <v/>
      </c>
      <c r="I678" s="302">
        <f>IF(_PENDIENTES!$B$672&lt;&gt;"",_PENDIENTES!$I$672,"")</f>
        <v/>
      </c>
      <c r="J678" s="301">
        <f>IF(_PENDIENTES!$B$672&lt;&gt;"",_PENDIENTES!$J$672,"")</f>
        <v/>
      </c>
      <c r="K678" s="301">
        <f>IF(_PENDIENTES!$B$672&lt;&gt;"","POR RECOGER","")</f>
        <v/>
      </c>
      <c r="L678" s="301">
        <f>IF(_PENDIENTES!$B$672&lt;&gt;"",_PENDIENTES!$K$672,"")</f>
        <v/>
      </c>
      <c r="M678" s="284">
        <f>IF(_PENDIENTES!$B$672&lt;&gt;"",_PENDIENTES!$B$672,"")</f>
        <v/>
      </c>
      <c r="N678" s="304">
        <f>IF(_PENDIENTES!$B$672&lt;&gt;"",_PENDIENTES!$L$672,"")</f>
        <v/>
      </c>
      <c r="O678" s="284" t="n"/>
      <c r="P678" s="284" t="n"/>
      <c r="Q678" s="284" t="n"/>
      <c r="R678" s="284" t="n"/>
      <c r="S678" s="284" t="n"/>
    </row>
    <row r="679" hidden="1" ht="15.75" customHeight="1" s="195">
      <c r="A679" s="241">
        <f>IF(_PENDIENTES!$B$673&lt;&gt;"",672,"")</f>
        <v/>
      </c>
      <c r="B679" s="236">
        <f>IF(_PENDIENTES!$B$673&lt;&gt;"",_PENDIENTES!$A$673,"")</f>
        <v/>
      </c>
      <c r="C679" s="305">
        <f>IF(_PENDIENTES!$B$673&lt;&gt;"",_PENDIENTES!$C$673,"")</f>
        <v/>
      </c>
      <c r="D679" s="241">
        <f>IF(_PENDIENTES!$B$673&lt;&gt;"",_PENDIENTES!$D$673,"")</f>
        <v/>
      </c>
      <c r="E679" s="307">
        <f>IF(_PENDIENTES!$B$673&lt;&gt;"",_PENDIENTES!$E$673,"")</f>
        <v/>
      </c>
      <c r="F679" s="241">
        <f>IF(_PENDIENTES!$B$673&lt;&gt;"",_PENDIENTES!$F$673,"")</f>
        <v/>
      </c>
      <c r="G679" s="239">
        <f>IF(_PENDIENTES!$B$673&lt;&gt;"",_PENDIENTES!$G$673,"")</f>
        <v/>
      </c>
      <c r="H679" s="239">
        <f>IF(_PENDIENTES!$B$673&lt;&gt;"",_PENDIENTES!$H$673,"")</f>
        <v/>
      </c>
      <c r="I679" s="305">
        <f>IF(_PENDIENTES!$B$673&lt;&gt;"",_PENDIENTES!$I$673,"")</f>
        <v/>
      </c>
      <c r="J679" s="241">
        <f>IF(_PENDIENTES!$B$673&lt;&gt;"",_PENDIENTES!$J$673,"")</f>
        <v/>
      </c>
      <c r="K679" s="241">
        <f>IF(_PENDIENTES!$B$673&lt;&gt;"","POR RECOGER","")</f>
        <v/>
      </c>
      <c r="L679" s="241">
        <f>IF(_PENDIENTES!$B$673&lt;&gt;"",_PENDIENTES!$K$673,"")</f>
        <v/>
      </c>
      <c r="M679" s="284">
        <f>IF(_PENDIENTES!$B$673&lt;&gt;"",_PENDIENTES!$B$673,"")</f>
        <v/>
      </c>
      <c r="N679" s="304">
        <f>IF(_PENDIENTES!$B$673&lt;&gt;"",_PENDIENTES!$L$673,"")</f>
        <v/>
      </c>
      <c r="O679" s="284" t="n"/>
      <c r="P679" s="284" t="n"/>
      <c r="Q679" s="284" t="n"/>
      <c r="R679" s="284" t="n"/>
      <c r="S679" s="284" t="n"/>
    </row>
    <row r="680" hidden="1" ht="15.75" customHeight="1" s="195">
      <c r="A680" s="301">
        <f>IF(_PENDIENTES!$B$674&lt;&gt;"",673,"")</f>
        <v/>
      </c>
      <c r="B680" s="242">
        <f>IF(_PENDIENTES!$B$674&lt;&gt;"",_PENDIENTES!$A$674,"")</f>
        <v/>
      </c>
      <c r="C680" s="302">
        <f>IF(_PENDIENTES!$B$674&lt;&gt;"",_PENDIENTES!$C$674,"")</f>
        <v/>
      </c>
      <c r="D680" s="301">
        <f>IF(_PENDIENTES!$B$674&lt;&gt;"",_PENDIENTES!$D$674,"")</f>
        <v/>
      </c>
      <c r="E680" s="306">
        <f>IF(_PENDIENTES!$B$674&lt;&gt;"",_PENDIENTES!$E$674,"")</f>
        <v/>
      </c>
      <c r="F680" s="301">
        <f>IF(_PENDIENTES!$B$674&lt;&gt;"",_PENDIENTES!$F$674,"")</f>
        <v/>
      </c>
      <c r="G680" s="245">
        <f>IF(_PENDIENTES!$B$674&lt;&gt;"",_PENDIENTES!$G$674,"")</f>
        <v/>
      </c>
      <c r="H680" s="245">
        <f>IF(_PENDIENTES!$B$674&lt;&gt;"",_PENDIENTES!$H$674,"")</f>
        <v/>
      </c>
      <c r="I680" s="302">
        <f>IF(_PENDIENTES!$B$674&lt;&gt;"",_PENDIENTES!$I$674,"")</f>
        <v/>
      </c>
      <c r="J680" s="301">
        <f>IF(_PENDIENTES!$B$674&lt;&gt;"",_PENDIENTES!$J$674,"")</f>
        <v/>
      </c>
      <c r="K680" s="301">
        <f>IF(_PENDIENTES!$B$674&lt;&gt;"","POR RECOGER","")</f>
        <v/>
      </c>
      <c r="L680" s="301">
        <f>IF(_PENDIENTES!$B$674&lt;&gt;"",_PENDIENTES!$K$674,"")</f>
        <v/>
      </c>
      <c r="M680" s="284">
        <f>IF(_PENDIENTES!$B$674&lt;&gt;"",_PENDIENTES!$B$674,"")</f>
        <v/>
      </c>
      <c r="N680" s="304">
        <f>IF(_PENDIENTES!$B$674&lt;&gt;"",_PENDIENTES!$L$674,"")</f>
        <v/>
      </c>
      <c r="O680" s="284" t="n"/>
      <c r="P680" s="284" t="n"/>
      <c r="Q680" s="284" t="n"/>
      <c r="R680" s="284" t="n"/>
      <c r="S680" s="284" t="n"/>
    </row>
    <row r="681" hidden="1" ht="15.75" customHeight="1" s="195">
      <c r="A681" s="241">
        <f>IF(_PENDIENTES!$B$675&lt;&gt;"",674,"")</f>
        <v/>
      </c>
      <c r="B681" s="236">
        <f>IF(_PENDIENTES!$B$675&lt;&gt;"",_PENDIENTES!$A$675,"")</f>
        <v/>
      </c>
      <c r="C681" s="305">
        <f>IF(_PENDIENTES!$B$675&lt;&gt;"",_PENDIENTES!$C$675,"")</f>
        <v/>
      </c>
      <c r="D681" s="241">
        <f>IF(_PENDIENTES!$B$675&lt;&gt;"",_PENDIENTES!$D$675,"")</f>
        <v/>
      </c>
      <c r="E681" s="307">
        <f>IF(_PENDIENTES!$B$675&lt;&gt;"",_PENDIENTES!$E$675,"")</f>
        <v/>
      </c>
      <c r="F681" s="241">
        <f>IF(_PENDIENTES!$B$675&lt;&gt;"",_PENDIENTES!$F$675,"")</f>
        <v/>
      </c>
      <c r="G681" s="239">
        <f>IF(_PENDIENTES!$B$675&lt;&gt;"",_PENDIENTES!$G$675,"")</f>
        <v/>
      </c>
      <c r="H681" s="239">
        <f>IF(_PENDIENTES!$B$675&lt;&gt;"",_PENDIENTES!$H$675,"")</f>
        <v/>
      </c>
      <c r="I681" s="305">
        <f>IF(_PENDIENTES!$B$675&lt;&gt;"",_PENDIENTES!$I$675,"")</f>
        <v/>
      </c>
      <c r="J681" s="241">
        <f>IF(_PENDIENTES!$B$675&lt;&gt;"",_PENDIENTES!$J$675,"")</f>
        <v/>
      </c>
      <c r="K681" s="241">
        <f>IF(_PENDIENTES!$B$675&lt;&gt;"","POR RECOGER","")</f>
        <v/>
      </c>
      <c r="L681" s="241">
        <f>IF(_PENDIENTES!$B$675&lt;&gt;"",_PENDIENTES!$K$675,"")</f>
        <v/>
      </c>
      <c r="M681" s="284">
        <f>IF(_PENDIENTES!$B$675&lt;&gt;"",_PENDIENTES!$B$675,"")</f>
        <v/>
      </c>
      <c r="N681" s="304">
        <f>IF(_PENDIENTES!$B$675&lt;&gt;"",_PENDIENTES!$L$675,"")</f>
        <v/>
      </c>
      <c r="O681" s="284" t="n"/>
      <c r="P681" s="284" t="n"/>
      <c r="Q681" s="284" t="n"/>
      <c r="R681" s="284" t="n"/>
      <c r="S681" s="284" t="n"/>
    </row>
    <row r="682" hidden="1" ht="15.75" customHeight="1" s="195">
      <c r="A682" s="301">
        <f>IF(_PENDIENTES!$B$676&lt;&gt;"",675,"")</f>
        <v/>
      </c>
      <c r="B682" s="242">
        <f>IF(_PENDIENTES!$B$676&lt;&gt;"",_PENDIENTES!$A$676,"")</f>
        <v/>
      </c>
      <c r="C682" s="302">
        <f>IF(_PENDIENTES!$B$676&lt;&gt;"",_PENDIENTES!$C$676,"")</f>
        <v/>
      </c>
      <c r="D682" s="301">
        <f>IF(_PENDIENTES!$B$676&lt;&gt;"",_PENDIENTES!$D$676,"")</f>
        <v/>
      </c>
      <c r="E682" s="306">
        <f>IF(_PENDIENTES!$B$676&lt;&gt;"",_PENDIENTES!$E$676,"")</f>
        <v/>
      </c>
      <c r="F682" s="301">
        <f>IF(_PENDIENTES!$B$676&lt;&gt;"",_PENDIENTES!$F$676,"")</f>
        <v/>
      </c>
      <c r="G682" s="245">
        <f>IF(_PENDIENTES!$B$676&lt;&gt;"",_PENDIENTES!$G$676,"")</f>
        <v/>
      </c>
      <c r="H682" s="245">
        <f>IF(_PENDIENTES!$B$676&lt;&gt;"",_PENDIENTES!$H$676,"")</f>
        <v/>
      </c>
      <c r="I682" s="302">
        <f>IF(_PENDIENTES!$B$676&lt;&gt;"",_PENDIENTES!$I$676,"")</f>
        <v/>
      </c>
      <c r="J682" s="301">
        <f>IF(_PENDIENTES!$B$676&lt;&gt;"",_PENDIENTES!$J$676,"")</f>
        <v/>
      </c>
      <c r="K682" s="301">
        <f>IF(_PENDIENTES!$B$676&lt;&gt;"","POR RECOGER","")</f>
        <v/>
      </c>
      <c r="L682" s="301">
        <f>IF(_PENDIENTES!$B$676&lt;&gt;"",_PENDIENTES!$K$676,"")</f>
        <v/>
      </c>
      <c r="M682" s="284">
        <f>IF(_PENDIENTES!$B$676&lt;&gt;"",_PENDIENTES!$B$676,"")</f>
        <v/>
      </c>
      <c r="N682" s="304">
        <f>IF(_PENDIENTES!$B$676&lt;&gt;"",_PENDIENTES!$L$676,"")</f>
        <v/>
      </c>
      <c r="O682" s="284" t="n"/>
      <c r="P682" s="284" t="n"/>
      <c r="Q682" s="284" t="n"/>
      <c r="R682" s="284" t="n"/>
      <c r="S682" s="284" t="n"/>
    </row>
    <row r="683" hidden="1" ht="15.75" customHeight="1" s="195">
      <c r="A683" s="241">
        <f>IF(_PENDIENTES!$B$677&lt;&gt;"",676,"")</f>
        <v/>
      </c>
      <c r="B683" s="236">
        <f>IF(_PENDIENTES!$B$677&lt;&gt;"",_PENDIENTES!$A$677,"")</f>
        <v/>
      </c>
      <c r="C683" s="305">
        <f>IF(_PENDIENTES!$B$677&lt;&gt;"",_PENDIENTES!$C$677,"")</f>
        <v/>
      </c>
      <c r="D683" s="241">
        <f>IF(_PENDIENTES!$B$677&lt;&gt;"",_PENDIENTES!$D$677,"")</f>
        <v/>
      </c>
      <c r="E683" s="307">
        <f>IF(_PENDIENTES!$B$677&lt;&gt;"",_PENDIENTES!$E$677,"")</f>
        <v/>
      </c>
      <c r="F683" s="241">
        <f>IF(_PENDIENTES!$B$677&lt;&gt;"",_PENDIENTES!$F$677,"")</f>
        <v/>
      </c>
      <c r="G683" s="239">
        <f>IF(_PENDIENTES!$B$677&lt;&gt;"",_PENDIENTES!$G$677,"")</f>
        <v/>
      </c>
      <c r="H683" s="239">
        <f>IF(_PENDIENTES!$B$677&lt;&gt;"",_PENDIENTES!$H$677,"")</f>
        <v/>
      </c>
      <c r="I683" s="305">
        <f>IF(_PENDIENTES!$B$677&lt;&gt;"",_PENDIENTES!$I$677,"")</f>
        <v/>
      </c>
      <c r="J683" s="241">
        <f>IF(_PENDIENTES!$B$677&lt;&gt;"",_PENDIENTES!$J$677,"")</f>
        <v/>
      </c>
      <c r="K683" s="241">
        <f>IF(_PENDIENTES!$B$677&lt;&gt;"","POR RECOGER","")</f>
        <v/>
      </c>
      <c r="L683" s="241">
        <f>IF(_PENDIENTES!$B$677&lt;&gt;"",_PENDIENTES!$K$677,"")</f>
        <v/>
      </c>
      <c r="M683" s="284">
        <f>IF(_PENDIENTES!$B$677&lt;&gt;"",_PENDIENTES!$B$677,"")</f>
        <v/>
      </c>
      <c r="N683" s="304">
        <f>IF(_PENDIENTES!$B$677&lt;&gt;"",_PENDIENTES!$L$677,"")</f>
        <v/>
      </c>
      <c r="O683" s="284" t="n"/>
      <c r="P683" s="284" t="n"/>
      <c r="Q683" s="284" t="n"/>
      <c r="R683" s="284" t="n"/>
      <c r="S683" s="284" t="n"/>
    </row>
    <row r="684" hidden="1" ht="15.75" customHeight="1" s="195">
      <c r="A684" s="301">
        <f>IF(_PENDIENTES!$B$678&lt;&gt;"",677,"")</f>
        <v/>
      </c>
      <c r="B684" s="242">
        <f>IF(_PENDIENTES!$B$678&lt;&gt;"",_PENDIENTES!$A$678,"")</f>
        <v/>
      </c>
      <c r="C684" s="302">
        <f>IF(_PENDIENTES!$B$678&lt;&gt;"",_PENDIENTES!$C$678,"")</f>
        <v/>
      </c>
      <c r="D684" s="301">
        <f>IF(_PENDIENTES!$B$678&lt;&gt;"",_PENDIENTES!$D$678,"")</f>
        <v/>
      </c>
      <c r="E684" s="306">
        <f>IF(_PENDIENTES!$B$678&lt;&gt;"",_PENDIENTES!$E$678,"")</f>
        <v/>
      </c>
      <c r="F684" s="301">
        <f>IF(_PENDIENTES!$B$678&lt;&gt;"",_PENDIENTES!$F$678,"")</f>
        <v/>
      </c>
      <c r="G684" s="245">
        <f>IF(_PENDIENTES!$B$678&lt;&gt;"",_PENDIENTES!$G$678,"")</f>
        <v/>
      </c>
      <c r="H684" s="245">
        <f>IF(_PENDIENTES!$B$678&lt;&gt;"",_PENDIENTES!$H$678,"")</f>
        <v/>
      </c>
      <c r="I684" s="302">
        <f>IF(_PENDIENTES!$B$678&lt;&gt;"",_PENDIENTES!$I$678,"")</f>
        <v/>
      </c>
      <c r="J684" s="301">
        <f>IF(_PENDIENTES!$B$678&lt;&gt;"",_PENDIENTES!$J$678,"")</f>
        <v/>
      </c>
      <c r="K684" s="301">
        <f>IF(_PENDIENTES!$B$678&lt;&gt;"","POR RECOGER","")</f>
        <v/>
      </c>
      <c r="L684" s="301">
        <f>IF(_PENDIENTES!$B$678&lt;&gt;"",_PENDIENTES!$K$678,"")</f>
        <v/>
      </c>
      <c r="M684" s="284">
        <f>IF(_PENDIENTES!$B$678&lt;&gt;"",_PENDIENTES!$B$678,"")</f>
        <v/>
      </c>
      <c r="N684" s="304">
        <f>IF(_PENDIENTES!$B$678&lt;&gt;"",_PENDIENTES!$L$678,"")</f>
        <v/>
      </c>
      <c r="O684" s="284" t="n"/>
      <c r="P684" s="284" t="n"/>
      <c r="Q684" s="284" t="n"/>
      <c r="R684" s="284" t="n"/>
      <c r="S684" s="284" t="n"/>
    </row>
    <row r="685" hidden="1" ht="15.75" customHeight="1" s="195">
      <c r="A685" s="241">
        <f>IF(_PENDIENTES!$B$679&lt;&gt;"",678,"")</f>
        <v/>
      </c>
      <c r="B685" s="236">
        <f>IF(_PENDIENTES!$B$679&lt;&gt;"",_PENDIENTES!$A$679,"")</f>
        <v/>
      </c>
      <c r="C685" s="305">
        <f>IF(_PENDIENTES!$B$679&lt;&gt;"",_PENDIENTES!$C$679,"")</f>
        <v/>
      </c>
      <c r="D685" s="241">
        <f>IF(_PENDIENTES!$B$679&lt;&gt;"",_PENDIENTES!$D$679,"")</f>
        <v/>
      </c>
      <c r="E685" s="241">
        <f>IF(_PENDIENTES!$B$679&lt;&gt;"",_PENDIENTES!$E$679,"")</f>
        <v/>
      </c>
      <c r="F685" s="241">
        <f>IF(_PENDIENTES!$B$679&lt;&gt;"",_PENDIENTES!$F$679,"")</f>
        <v/>
      </c>
      <c r="G685" s="239">
        <f>IF(_PENDIENTES!$B$679&lt;&gt;"",_PENDIENTES!$G$679,"")</f>
        <v/>
      </c>
      <c r="H685" s="239">
        <f>IF(_PENDIENTES!$B$679&lt;&gt;"",_PENDIENTES!$H$679,"")</f>
        <v/>
      </c>
      <c r="I685" s="305">
        <f>IF(_PENDIENTES!$B$679&lt;&gt;"",_PENDIENTES!$I$679,"")</f>
        <v/>
      </c>
      <c r="J685" s="241">
        <f>IF(_PENDIENTES!$B$679&lt;&gt;"",_PENDIENTES!$J$679,"")</f>
        <v/>
      </c>
      <c r="K685" s="241">
        <f>IF(_PENDIENTES!$B$679&lt;&gt;"","POR RECOGER","")</f>
        <v/>
      </c>
      <c r="L685" s="241">
        <f>IF(_PENDIENTES!$B$679&lt;&gt;"",_PENDIENTES!$K$679,"")</f>
        <v/>
      </c>
      <c r="M685" s="284">
        <f>IF(_PENDIENTES!$B$679&lt;&gt;"",_PENDIENTES!$B$679,"")</f>
        <v/>
      </c>
      <c r="N685" s="304">
        <f>IF(_PENDIENTES!$B$679&lt;&gt;"",_PENDIENTES!$L$679,"")</f>
        <v/>
      </c>
      <c r="O685" s="284" t="n"/>
      <c r="P685" s="284" t="n"/>
      <c r="Q685" s="284" t="n"/>
      <c r="R685" s="284" t="n"/>
      <c r="S685" s="284" t="n"/>
    </row>
    <row r="686" hidden="1" ht="15.75" customHeight="1" s="195">
      <c r="A686" s="301">
        <f>IF(_PENDIENTES!$B$680&lt;&gt;"",679,"")</f>
        <v/>
      </c>
      <c r="B686" s="242">
        <f>IF(_PENDIENTES!$B$680&lt;&gt;"",_PENDIENTES!$A$680,"")</f>
        <v/>
      </c>
      <c r="C686" s="302">
        <f>IF(_PENDIENTES!$B$680&lt;&gt;"",_PENDIENTES!$C$680,"")</f>
        <v/>
      </c>
      <c r="D686" s="301">
        <f>IF(_PENDIENTES!$B$680&lt;&gt;"",_PENDIENTES!$D$680,"")</f>
        <v/>
      </c>
      <c r="E686" s="306">
        <f>IF(_PENDIENTES!$B$680&lt;&gt;"",_PENDIENTES!$E$680,"")</f>
        <v/>
      </c>
      <c r="F686" s="301">
        <f>IF(_PENDIENTES!$B$680&lt;&gt;"",_PENDIENTES!$F$680,"")</f>
        <v/>
      </c>
      <c r="G686" s="245">
        <f>IF(_PENDIENTES!$B$680&lt;&gt;"",_PENDIENTES!$G$680,"")</f>
        <v/>
      </c>
      <c r="H686" s="245">
        <f>IF(_PENDIENTES!$B$680&lt;&gt;"",_PENDIENTES!$H$680,"")</f>
        <v/>
      </c>
      <c r="I686" s="302">
        <f>IF(_PENDIENTES!$B$680&lt;&gt;"",_PENDIENTES!$I$680,"")</f>
        <v/>
      </c>
      <c r="J686" s="301">
        <f>IF(_PENDIENTES!$B$680&lt;&gt;"",_PENDIENTES!$J$680,"")</f>
        <v/>
      </c>
      <c r="K686" s="301">
        <f>IF(_PENDIENTES!$B$680&lt;&gt;"","POR RECOGER","")</f>
        <v/>
      </c>
      <c r="L686" s="301">
        <f>IF(_PENDIENTES!$B$680&lt;&gt;"",_PENDIENTES!$K$680,"")</f>
        <v/>
      </c>
      <c r="M686" s="284">
        <f>IF(_PENDIENTES!$B$680&lt;&gt;"",_PENDIENTES!$B$680,"")</f>
        <v/>
      </c>
      <c r="N686" s="304">
        <f>IF(_PENDIENTES!$B$680&lt;&gt;"",_PENDIENTES!$L$680,"")</f>
        <v/>
      </c>
      <c r="O686" s="284" t="n"/>
      <c r="P686" s="284" t="n"/>
      <c r="Q686" s="284" t="n"/>
      <c r="R686" s="284" t="n"/>
      <c r="S686" s="284" t="n"/>
    </row>
    <row r="687" hidden="1" ht="15.75" customHeight="1" s="195">
      <c r="A687" s="241">
        <f>IF(_PENDIENTES!$B$681&lt;&gt;"",680,"")</f>
        <v/>
      </c>
      <c r="B687" s="236">
        <f>IF(_PENDIENTES!$B$681&lt;&gt;"",_PENDIENTES!$A$681,"")</f>
        <v/>
      </c>
      <c r="C687" s="305">
        <f>IF(_PENDIENTES!$B$681&lt;&gt;"",_PENDIENTES!$C$681,"")</f>
        <v/>
      </c>
      <c r="D687" s="241">
        <f>IF(_PENDIENTES!$B$681&lt;&gt;"",_PENDIENTES!$D$681,"")</f>
        <v/>
      </c>
      <c r="E687" s="307">
        <f>IF(_PENDIENTES!$B$681&lt;&gt;"",_PENDIENTES!$E$681,"")</f>
        <v/>
      </c>
      <c r="F687" s="241">
        <f>IF(_PENDIENTES!$B$681&lt;&gt;"",_PENDIENTES!$F$681,"")</f>
        <v/>
      </c>
      <c r="G687" s="239">
        <f>IF(_PENDIENTES!$B$681&lt;&gt;"",_PENDIENTES!$G$681,"")</f>
        <v/>
      </c>
      <c r="H687" s="239">
        <f>IF(_PENDIENTES!$B$681&lt;&gt;"",_PENDIENTES!$H$681,"")</f>
        <v/>
      </c>
      <c r="I687" s="305">
        <f>IF(_PENDIENTES!$B$681&lt;&gt;"",_PENDIENTES!$I$681,"")</f>
        <v/>
      </c>
      <c r="J687" s="241">
        <f>IF(_PENDIENTES!$B$681&lt;&gt;"",_PENDIENTES!$J$681,"")</f>
        <v/>
      </c>
      <c r="K687" s="241">
        <f>IF(_PENDIENTES!$B$681&lt;&gt;"","POR RECOGER","")</f>
        <v/>
      </c>
      <c r="L687" s="241">
        <f>IF(_PENDIENTES!$B$681&lt;&gt;"",_PENDIENTES!$K$681,"")</f>
        <v/>
      </c>
      <c r="M687" s="284">
        <f>IF(_PENDIENTES!$B$681&lt;&gt;"",_PENDIENTES!$B$681,"")</f>
        <v/>
      </c>
      <c r="N687" s="304">
        <f>IF(_PENDIENTES!$B$681&lt;&gt;"",_PENDIENTES!$L$681,"")</f>
        <v/>
      </c>
      <c r="O687" s="284" t="n"/>
      <c r="P687" s="284" t="n"/>
      <c r="Q687" s="284" t="n"/>
      <c r="R687" s="284" t="n"/>
      <c r="S687" s="284" t="n"/>
    </row>
    <row r="688" hidden="1" ht="15.75" customHeight="1" s="195">
      <c r="A688" s="301">
        <f>IF(_PENDIENTES!$B$682&lt;&gt;"",681,"")</f>
        <v/>
      </c>
      <c r="B688" s="242">
        <f>IF(_PENDIENTES!$B$682&lt;&gt;"",_PENDIENTES!$A$682,"")</f>
        <v/>
      </c>
      <c r="C688" s="302">
        <f>IF(_PENDIENTES!$B$682&lt;&gt;"",_PENDIENTES!$C$682,"")</f>
        <v/>
      </c>
      <c r="D688" s="301">
        <f>IF(_PENDIENTES!$B$682&lt;&gt;"",_PENDIENTES!$D$682,"")</f>
        <v/>
      </c>
      <c r="E688" s="306">
        <f>IF(_PENDIENTES!$B$682&lt;&gt;"",_PENDIENTES!$E$682,"")</f>
        <v/>
      </c>
      <c r="F688" s="301">
        <f>IF(_PENDIENTES!$B$682&lt;&gt;"",_PENDIENTES!$F$682,"")</f>
        <v/>
      </c>
      <c r="G688" s="245">
        <f>IF(_PENDIENTES!$B$682&lt;&gt;"",_PENDIENTES!$G$682,"")</f>
        <v/>
      </c>
      <c r="H688" s="245">
        <f>IF(_PENDIENTES!$B$682&lt;&gt;"",_PENDIENTES!$H$682,"")</f>
        <v/>
      </c>
      <c r="I688" s="302">
        <f>IF(_PENDIENTES!$B$682&lt;&gt;"",_PENDIENTES!$I$682,"")</f>
        <v/>
      </c>
      <c r="J688" s="301">
        <f>IF(_PENDIENTES!$B$682&lt;&gt;"",_PENDIENTES!$J$682,"")</f>
        <v/>
      </c>
      <c r="K688" s="301">
        <f>IF(_PENDIENTES!$B$682&lt;&gt;"","POR RECOGER","")</f>
        <v/>
      </c>
      <c r="L688" s="301">
        <f>IF(_PENDIENTES!$B$682&lt;&gt;"",_PENDIENTES!$K$682,"")</f>
        <v/>
      </c>
      <c r="M688" s="284">
        <f>IF(_PENDIENTES!$B$682&lt;&gt;"",_PENDIENTES!$B$682,"")</f>
        <v/>
      </c>
      <c r="N688" s="304">
        <f>IF(_PENDIENTES!$B$682&lt;&gt;"",_PENDIENTES!$L$682,"")</f>
        <v/>
      </c>
      <c r="O688" s="284" t="n"/>
      <c r="P688" s="284" t="n"/>
      <c r="Q688" s="284" t="n"/>
      <c r="R688" s="284" t="n"/>
      <c r="S688" s="284" t="n"/>
    </row>
    <row r="689" hidden="1" ht="15.75" customHeight="1" s="195">
      <c r="A689" s="241">
        <f>IF(_PENDIENTES!$B$683&lt;&gt;"",682,"")</f>
        <v/>
      </c>
      <c r="B689" s="236">
        <f>IF(_PENDIENTES!$B$683&lt;&gt;"",_PENDIENTES!$A$683,"")</f>
        <v/>
      </c>
      <c r="C689" s="305">
        <f>IF(_PENDIENTES!$B$683&lt;&gt;"",_PENDIENTES!$C$683,"")</f>
        <v/>
      </c>
      <c r="D689" s="241">
        <f>IF(_PENDIENTES!$B$683&lt;&gt;"",_PENDIENTES!$D$683,"")</f>
        <v/>
      </c>
      <c r="E689" s="307">
        <f>IF(_PENDIENTES!$B$683&lt;&gt;"",_PENDIENTES!$E$683,"")</f>
        <v/>
      </c>
      <c r="F689" s="241">
        <f>IF(_PENDIENTES!$B$683&lt;&gt;"",_PENDIENTES!$F$683,"")</f>
        <v/>
      </c>
      <c r="G689" s="239">
        <f>IF(_PENDIENTES!$B$683&lt;&gt;"",_PENDIENTES!$G$683,"")</f>
        <v/>
      </c>
      <c r="H689" s="239">
        <f>IF(_PENDIENTES!$B$683&lt;&gt;"",_PENDIENTES!$H$683,"")</f>
        <v/>
      </c>
      <c r="I689" s="305">
        <f>IF(_PENDIENTES!$B$683&lt;&gt;"",_PENDIENTES!$I$683,"")</f>
        <v/>
      </c>
      <c r="J689" s="241">
        <f>IF(_PENDIENTES!$B$683&lt;&gt;"",_PENDIENTES!$J$683,"")</f>
        <v/>
      </c>
      <c r="K689" s="241">
        <f>IF(_PENDIENTES!$B$683&lt;&gt;"","POR RECOGER","")</f>
        <v/>
      </c>
      <c r="L689" s="241">
        <f>IF(_PENDIENTES!$B$683&lt;&gt;"",_PENDIENTES!$K$683,"")</f>
        <v/>
      </c>
      <c r="M689" s="284">
        <f>IF(_PENDIENTES!$B$683&lt;&gt;"",_PENDIENTES!$B$683,"")</f>
        <v/>
      </c>
      <c r="N689" s="304">
        <f>IF(_PENDIENTES!$B$683&lt;&gt;"",_PENDIENTES!$L$683,"")</f>
        <v/>
      </c>
      <c r="O689" s="284" t="n"/>
      <c r="P689" s="284" t="n"/>
      <c r="Q689" s="284" t="n"/>
      <c r="R689" s="284" t="n"/>
      <c r="S689" s="284" t="n"/>
    </row>
    <row r="690" hidden="1" ht="15.75" customHeight="1" s="195">
      <c r="A690" s="301">
        <f>IF(_PENDIENTES!$B$684&lt;&gt;"",683,"")</f>
        <v/>
      </c>
      <c r="B690" s="242">
        <f>IF(_PENDIENTES!$B$684&lt;&gt;"",_PENDIENTES!$A$684,"")</f>
        <v/>
      </c>
      <c r="C690" s="302">
        <f>IF(_PENDIENTES!$B$684&lt;&gt;"",_PENDIENTES!$C$684,"")</f>
        <v/>
      </c>
      <c r="D690" s="301">
        <f>IF(_PENDIENTES!$B$684&lt;&gt;"",_PENDIENTES!$D$684,"")</f>
        <v/>
      </c>
      <c r="E690" s="306">
        <f>IF(_PENDIENTES!$B$684&lt;&gt;"",_PENDIENTES!$E$684,"")</f>
        <v/>
      </c>
      <c r="F690" s="301">
        <f>IF(_PENDIENTES!$B$684&lt;&gt;"",_PENDIENTES!$F$684,"")</f>
        <v/>
      </c>
      <c r="G690" s="245">
        <f>IF(_PENDIENTES!$B$684&lt;&gt;"",_PENDIENTES!$G$684,"")</f>
        <v/>
      </c>
      <c r="H690" s="245">
        <f>IF(_PENDIENTES!$B$684&lt;&gt;"",_PENDIENTES!$H$684,"")</f>
        <v/>
      </c>
      <c r="I690" s="302">
        <f>IF(_PENDIENTES!$B$684&lt;&gt;"",_PENDIENTES!$I$684,"")</f>
        <v/>
      </c>
      <c r="J690" s="301">
        <f>IF(_PENDIENTES!$B$684&lt;&gt;"",_PENDIENTES!$J$684,"")</f>
        <v/>
      </c>
      <c r="K690" s="301">
        <f>IF(_PENDIENTES!$B$684&lt;&gt;"","POR RECOGER","")</f>
        <v/>
      </c>
      <c r="L690" s="301">
        <f>IF(_PENDIENTES!$B$684&lt;&gt;"",_PENDIENTES!$K$684,"")</f>
        <v/>
      </c>
      <c r="M690" s="284">
        <f>IF(_PENDIENTES!$B$684&lt;&gt;"",_PENDIENTES!$B$684,"")</f>
        <v/>
      </c>
      <c r="N690" s="304">
        <f>IF(_PENDIENTES!$B$684&lt;&gt;"",_PENDIENTES!$L$684,"")</f>
        <v/>
      </c>
      <c r="O690" s="284" t="n"/>
      <c r="P690" s="284" t="n"/>
      <c r="Q690" s="284" t="n"/>
      <c r="R690" s="284" t="n"/>
      <c r="S690" s="284" t="n"/>
    </row>
    <row r="691" hidden="1" ht="15.75" customHeight="1" s="195">
      <c r="A691" s="241">
        <f>IF(_PENDIENTES!$B$685&lt;&gt;"",684,"")</f>
        <v/>
      </c>
      <c r="B691" s="236">
        <f>IF(_PENDIENTES!$B$685&lt;&gt;"",_PENDIENTES!$A$685,"")</f>
        <v/>
      </c>
      <c r="C691" s="305">
        <f>IF(_PENDIENTES!$B$685&lt;&gt;"",_PENDIENTES!$C$685,"")</f>
        <v/>
      </c>
      <c r="D691" s="241">
        <f>IF(_PENDIENTES!$B$685&lt;&gt;"",_PENDIENTES!$D$685,"")</f>
        <v/>
      </c>
      <c r="E691" s="307">
        <f>IF(_PENDIENTES!$B$685&lt;&gt;"",_PENDIENTES!$E$685,"")</f>
        <v/>
      </c>
      <c r="F691" s="241">
        <f>IF(_PENDIENTES!$B$685&lt;&gt;"",_PENDIENTES!$F$685,"")</f>
        <v/>
      </c>
      <c r="G691" s="239">
        <f>IF(_PENDIENTES!$B$685&lt;&gt;"",_PENDIENTES!$G$685,"")</f>
        <v/>
      </c>
      <c r="H691" s="239">
        <f>IF(_PENDIENTES!$B$685&lt;&gt;"",_PENDIENTES!$H$685,"")</f>
        <v/>
      </c>
      <c r="I691" s="305">
        <f>IF(_PENDIENTES!$B$685&lt;&gt;"",_PENDIENTES!$I$685,"")</f>
        <v/>
      </c>
      <c r="J691" s="241">
        <f>IF(_PENDIENTES!$B$685&lt;&gt;"",_PENDIENTES!$J$685,"")</f>
        <v/>
      </c>
      <c r="K691" s="241">
        <f>IF(_PENDIENTES!$B$685&lt;&gt;"","POR RECOGER","")</f>
        <v/>
      </c>
      <c r="L691" s="241">
        <f>IF(_PENDIENTES!$B$685&lt;&gt;"",_PENDIENTES!$K$685,"")</f>
        <v/>
      </c>
      <c r="M691" s="284">
        <f>IF(_PENDIENTES!$B$685&lt;&gt;"",_PENDIENTES!$B$685,"")</f>
        <v/>
      </c>
      <c r="N691" s="304">
        <f>IF(_PENDIENTES!$B$685&lt;&gt;"",_PENDIENTES!$L$685,"")</f>
        <v/>
      </c>
      <c r="O691" s="284" t="n"/>
      <c r="P691" s="284" t="n"/>
      <c r="Q691" s="284" t="n"/>
      <c r="R691" s="284" t="n"/>
      <c r="S691" s="284" t="n"/>
    </row>
    <row r="692" hidden="1" ht="15.75" customHeight="1" s="195">
      <c r="A692" s="301">
        <f>IF(_PENDIENTES!$B$686&lt;&gt;"",685,"")</f>
        <v/>
      </c>
      <c r="B692" s="242">
        <f>IF(_PENDIENTES!$B$686&lt;&gt;"",_PENDIENTES!$A$686,"")</f>
        <v/>
      </c>
      <c r="C692" s="302">
        <f>IF(_PENDIENTES!$B$686&lt;&gt;"",_PENDIENTES!$C$686,"")</f>
        <v/>
      </c>
      <c r="D692" s="301">
        <f>IF(_PENDIENTES!$B$686&lt;&gt;"",_PENDIENTES!$D$686,"")</f>
        <v/>
      </c>
      <c r="E692" s="306">
        <f>IF(_PENDIENTES!$B$686&lt;&gt;"",_PENDIENTES!$E$686,"")</f>
        <v/>
      </c>
      <c r="F692" s="301">
        <f>IF(_PENDIENTES!$B$686&lt;&gt;"",_PENDIENTES!$F$686,"")</f>
        <v/>
      </c>
      <c r="G692" s="245">
        <f>IF(_PENDIENTES!$B$686&lt;&gt;"",_PENDIENTES!$G$686,"")</f>
        <v/>
      </c>
      <c r="H692" s="245">
        <f>IF(_PENDIENTES!$B$686&lt;&gt;"",_PENDIENTES!$H$686,"")</f>
        <v/>
      </c>
      <c r="I692" s="302">
        <f>IF(_PENDIENTES!$B$686&lt;&gt;"",_PENDIENTES!$I$686,"")</f>
        <v/>
      </c>
      <c r="J692" s="301">
        <f>IF(_PENDIENTES!$B$686&lt;&gt;"",_PENDIENTES!$J$686,"")</f>
        <v/>
      </c>
      <c r="K692" s="301">
        <f>IF(_PENDIENTES!$B$686&lt;&gt;"","POR RECOGER","")</f>
        <v/>
      </c>
      <c r="L692" s="301">
        <f>IF(_PENDIENTES!$B$686&lt;&gt;"",_PENDIENTES!$K$686,"")</f>
        <v/>
      </c>
      <c r="M692" s="284">
        <f>IF(_PENDIENTES!$B$686&lt;&gt;"",_PENDIENTES!$B$686,"")</f>
        <v/>
      </c>
      <c r="N692" s="304">
        <f>IF(_PENDIENTES!$B$686&lt;&gt;"",_PENDIENTES!$L$686,"")</f>
        <v/>
      </c>
      <c r="O692" s="284" t="n"/>
      <c r="P692" s="284" t="n"/>
      <c r="Q692" s="284" t="n"/>
      <c r="R692" s="284" t="n"/>
      <c r="S692" s="284" t="n"/>
    </row>
    <row r="693" hidden="1" ht="15.75" customHeight="1" s="195">
      <c r="A693" s="241">
        <f>IF(_PENDIENTES!$B$687&lt;&gt;"",686,"")</f>
        <v/>
      </c>
      <c r="B693" s="236">
        <f>IF(_PENDIENTES!$B$687&lt;&gt;"",_PENDIENTES!$A$687,"")</f>
        <v/>
      </c>
      <c r="C693" s="305">
        <f>IF(_PENDIENTES!$B$687&lt;&gt;"",_PENDIENTES!$C$687,"")</f>
        <v/>
      </c>
      <c r="D693" s="241">
        <f>IF(_PENDIENTES!$B$687&lt;&gt;"",_PENDIENTES!$D$687,"")</f>
        <v/>
      </c>
      <c r="E693" s="307">
        <f>IF(_PENDIENTES!$B$687&lt;&gt;"",_PENDIENTES!$E$687,"")</f>
        <v/>
      </c>
      <c r="F693" s="241">
        <f>IF(_PENDIENTES!$B$687&lt;&gt;"",_PENDIENTES!$F$687,"")</f>
        <v/>
      </c>
      <c r="G693" s="239">
        <f>IF(_PENDIENTES!$B$687&lt;&gt;"",_PENDIENTES!$G$687,"")</f>
        <v/>
      </c>
      <c r="H693" s="239">
        <f>IF(_PENDIENTES!$B$687&lt;&gt;"",_PENDIENTES!$H$687,"")</f>
        <v/>
      </c>
      <c r="I693" s="305">
        <f>IF(_PENDIENTES!$B$687&lt;&gt;"",_PENDIENTES!$I$687,"")</f>
        <v/>
      </c>
      <c r="J693" s="241">
        <f>IF(_PENDIENTES!$B$687&lt;&gt;"",_PENDIENTES!$J$687,"")</f>
        <v/>
      </c>
      <c r="K693" s="241">
        <f>IF(_PENDIENTES!$B$687&lt;&gt;"","POR RECOGER","")</f>
        <v/>
      </c>
      <c r="L693" s="241">
        <f>IF(_PENDIENTES!$B$687&lt;&gt;"",_PENDIENTES!$K$687,"")</f>
        <v/>
      </c>
      <c r="M693" s="284">
        <f>IF(_PENDIENTES!$B$687&lt;&gt;"",_PENDIENTES!$B$687,"")</f>
        <v/>
      </c>
      <c r="N693" s="304">
        <f>IF(_PENDIENTES!$B$687&lt;&gt;"",_PENDIENTES!$L$687,"")</f>
        <v/>
      </c>
      <c r="O693" s="284" t="n"/>
      <c r="P693" s="284" t="n"/>
      <c r="Q693" s="284" t="n"/>
      <c r="R693" s="284" t="n"/>
      <c r="S693" s="284" t="n"/>
    </row>
    <row r="694" hidden="1" ht="15.75" customHeight="1" s="195">
      <c r="A694" s="301">
        <f>IF(_PENDIENTES!$B$688&lt;&gt;"",687,"")</f>
        <v/>
      </c>
      <c r="B694" s="242">
        <f>IF(_PENDIENTES!$B$688&lt;&gt;"",_PENDIENTES!$A$688,"")</f>
        <v/>
      </c>
      <c r="C694" s="302">
        <f>IF(_PENDIENTES!$B$688&lt;&gt;"",_PENDIENTES!$C$688,"")</f>
        <v/>
      </c>
      <c r="D694" s="301">
        <f>IF(_PENDIENTES!$B$688&lt;&gt;"",_PENDIENTES!$D$688,"")</f>
        <v/>
      </c>
      <c r="E694" s="306">
        <f>IF(_PENDIENTES!$B$688&lt;&gt;"",_PENDIENTES!$E$688,"")</f>
        <v/>
      </c>
      <c r="F694" s="301">
        <f>IF(_PENDIENTES!$B$688&lt;&gt;"",_PENDIENTES!$F$688,"")</f>
        <v/>
      </c>
      <c r="G694" s="245">
        <f>IF(_PENDIENTES!$B$688&lt;&gt;"",_PENDIENTES!$G$688,"")</f>
        <v/>
      </c>
      <c r="H694" s="245">
        <f>IF(_PENDIENTES!$B$688&lt;&gt;"",_PENDIENTES!$H$688,"")</f>
        <v/>
      </c>
      <c r="I694" s="302">
        <f>IF(_PENDIENTES!$B$688&lt;&gt;"",_PENDIENTES!$I$688,"")</f>
        <v/>
      </c>
      <c r="J694" s="301">
        <f>IF(_PENDIENTES!$B$688&lt;&gt;"",_PENDIENTES!$J$688,"")</f>
        <v/>
      </c>
      <c r="K694" s="301">
        <f>IF(_PENDIENTES!$B$688&lt;&gt;"","POR RECOGER","")</f>
        <v/>
      </c>
      <c r="L694" s="301">
        <f>IF(_PENDIENTES!$B$688&lt;&gt;"",_PENDIENTES!$K$688,"")</f>
        <v/>
      </c>
      <c r="M694" s="284">
        <f>IF(_PENDIENTES!$B$688&lt;&gt;"",_PENDIENTES!$B$688,"")</f>
        <v/>
      </c>
      <c r="N694" s="304">
        <f>IF(_PENDIENTES!$B$688&lt;&gt;"",_PENDIENTES!$L$688,"")</f>
        <v/>
      </c>
      <c r="O694" s="284" t="n"/>
      <c r="P694" s="284" t="n"/>
      <c r="Q694" s="284" t="n"/>
      <c r="R694" s="284" t="n"/>
      <c r="S694" s="284" t="n"/>
    </row>
    <row r="695" hidden="1" ht="15.75" customHeight="1" s="195">
      <c r="A695" s="241">
        <f>IF(_PENDIENTES!$B$689&lt;&gt;"",688,"")</f>
        <v/>
      </c>
      <c r="B695" s="236">
        <f>IF(_PENDIENTES!$B$689&lt;&gt;"",_PENDIENTES!$A$689,"")</f>
        <v/>
      </c>
      <c r="C695" s="305">
        <f>IF(_PENDIENTES!$B$689&lt;&gt;"",_PENDIENTES!$C$689,"")</f>
        <v/>
      </c>
      <c r="D695" s="241">
        <f>IF(_PENDIENTES!$B$689&lt;&gt;"",_PENDIENTES!$D$689,"")</f>
        <v/>
      </c>
      <c r="E695" s="307">
        <f>IF(_PENDIENTES!$B$689&lt;&gt;"",_PENDIENTES!$E$689,"")</f>
        <v/>
      </c>
      <c r="F695" s="241">
        <f>IF(_PENDIENTES!$B$689&lt;&gt;"",_PENDIENTES!$F$689,"")</f>
        <v/>
      </c>
      <c r="G695" s="239">
        <f>IF(_PENDIENTES!$B$689&lt;&gt;"",_PENDIENTES!$G$689,"")</f>
        <v/>
      </c>
      <c r="H695" s="239">
        <f>IF(_PENDIENTES!$B$689&lt;&gt;"",_PENDIENTES!$H$689,"")</f>
        <v/>
      </c>
      <c r="I695" s="305">
        <f>IF(_PENDIENTES!$B$689&lt;&gt;"",_PENDIENTES!$I$689,"")</f>
        <v/>
      </c>
      <c r="J695" s="241">
        <f>IF(_PENDIENTES!$B$689&lt;&gt;"",_PENDIENTES!$J$689,"")</f>
        <v/>
      </c>
      <c r="K695" s="241">
        <f>IF(_PENDIENTES!$B$689&lt;&gt;"","POR RECOGER","")</f>
        <v/>
      </c>
      <c r="L695" s="241">
        <f>IF(_PENDIENTES!$B$689&lt;&gt;"",_PENDIENTES!$K$689,"")</f>
        <v/>
      </c>
      <c r="M695" s="284">
        <f>IF(_PENDIENTES!$B$689&lt;&gt;"",_PENDIENTES!$B$689,"")</f>
        <v/>
      </c>
      <c r="N695" s="304">
        <f>IF(_PENDIENTES!$B$689&lt;&gt;"",_PENDIENTES!$L$689,"")</f>
        <v/>
      </c>
      <c r="O695" s="284" t="n"/>
      <c r="P695" s="284" t="n"/>
      <c r="Q695" s="284" t="n"/>
      <c r="R695" s="284" t="n"/>
      <c r="S695" s="284" t="n"/>
    </row>
    <row r="696" hidden="1" ht="15.75" customHeight="1" s="195">
      <c r="A696" s="301">
        <f>IF(_PENDIENTES!$B$690&lt;&gt;"",689,"")</f>
        <v/>
      </c>
      <c r="B696" s="242">
        <f>IF(_PENDIENTES!$B$690&lt;&gt;"",_PENDIENTES!$A$690,"")</f>
        <v/>
      </c>
      <c r="C696" s="302">
        <f>IF(_PENDIENTES!$B$690&lt;&gt;"",_PENDIENTES!$C$690,"")</f>
        <v/>
      </c>
      <c r="D696" s="301">
        <f>IF(_PENDIENTES!$B$690&lt;&gt;"",_PENDIENTES!$D$690,"")</f>
        <v/>
      </c>
      <c r="E696" s="306">
        <f>IF(_PENDIENTES!$B$690&lt;&gt;"",_PENDIENTES!$E$690,"")</f>
        <v/>
      </c>
      <c r="F696" s="301">
        <f>IF(_PENDIENTES!$B$690&lt;&gt;"",_PENDIENTES!$F$690,"")</f>
        <v/>
      </c>
      <c r="G696" s="245">
        <f>IF(_PENDIENTES!$B$690&lt;&gt;"",_PENDIENTES!$G$690,"")</f>
        <v/>
      </c>
      <c r="H696" s="245">
        <f>IF(_PENDIENTES!$B$690&lt;&gt;"",_PENDIENTES!$H$690,"")</f>
        <v/>
      </c>
      <c r="I696" s="302">
        <f>IF(_PENDIENTES!$B$690&lt;&gt;"",_PENDIENTES!$I$690,"")</f>
        <v/>
      </c>
      <c r="J696" s="301">
        <f>IF(_PENDIENTES!$B$690&lt;&gt;"",_PENDIENTES!$J$690,"")</f>
        <v/>
      </c>
      <c r="K696" s="301">
        <f>IF(_PENDIENTES!$B$690&lt;&gt;"","POR RECOGER","")</f>
        <v/>
      </c>
      <c r="L696" s="301">
        <f>IF(_PENDIENTES!$B$690&lt;&gt;"",_PENDIENTES!$K$690,"")</f>
        <v/>
      </c>
      <c r="M696" s="284">
        <f>IF(_PENDIENTES!$B$690&lt;&gt;"",_PENDIENTES!$B$690,"")</f>
        <v/>
      </c>
      <c r="N696" s="304">
        <f>IF(_PENDIENTES!$B$690&lt;&gt;"",_PENDIENTES!$L$690,"")</f>
        <v/>
      </c>
      <c r="O696" s="284" t="n"/>
      <c r="P696" s="284" t="n"/>
      <c r="Q696" s="284" t="n"/>
      <c r="R696" s="284" t="n"/>
      <c r="S696" s="284" t="n"/>
    </row>
    <row r="697" hidden="1" ht="15.75" customHeight="1" s="195">
      <c r="A697" s="241">
        <f>IF(_PENDIENTES!$B$691&lt;&gt;"",690,"")</f>
        <v/>
      </c>
      <c r="B697" s="236">
        <f>IF(_PENDIENTES!$B$691&lt;&gt;"",_PENDIENTES!$A$691,"")</f>
        <v/>
      </c>
      <c r="C697" s="305">
        <f>IF(_PENDIENTES!$B$691&lt;&gt;"",_PENDIENTES!$C$691,"")</f>
        <v/>
      </c>
      <c r="D697" s="241">
        <f>IF(_PENDIENTES!$B$691&lt;&gt;"",_PENDIENTES!$D$691,"")</f>
        <v/>
      </c>
      <c r="E697" s="307">
        <f>IF(_PENDIENTES!$B$691&lt;&gt;"",_PENDIENTES!$E$691,"")</f>
        <v/>
      </c>
      <c r="F697" s="241">
        <f>IF(_PENDIENTES!$B$691&lt;&gt;"",_PENDIENTES!$F$691,"")</f>
        <v/>
      </c>
      <c r="G697" s="239">
        <f>IF(_PENDIENTES!$B$691&lt;&gt;"",_PENDIENTES!$G$691,"")</f>
        <v/>
      </c>
      <c r="H697" s="239">
        <f>IF(_PENDIENTES!$B$691&lt;&gt;"",_PENDIENTES!$H$691,"")</f>
        <v/>
      </c>
      <c r="I697" s="305">
        <f>IF(_PENDIENTES!$B$691&lt;&gt;"",_PENDIENTES!$I$691,"")</f>
        <v/>
      </c>
      <c r="J697" s="241">
        <f>IF(_PENDIENTES!$B$691&lt;&gt;"",_PENDIENTES!$J$691,"")</f>
        <v/>
      </c>
      <c r="K697" s="241">
        <f>IF(_PENDIENTES!$B$691&lt;&gt;"","POR RECOGER","")</f>
        <v/>
      </c>
      <c r="L697" s="241">
        <f>IF(_PENDIENTES!$B$691&lt;&gt;"",_PENDIENTES!$K$691,"")</f>
        <v/>
      </c>
      <c r="M697" s="284">
        <f>IF(_PENDIENTES!$B$691&lt;&gt;"",_PENDIENTES!$B$691,"")</f>
        <v/>
      </c>
      <c r="N697" s="304">
        <f>IF(_PENDIENTES!$B$691&lt;&gt;"",_PENDIENTES!$L$691,"")</f>
        <v/>
      </c>
      <c r="O697" s="284" t="n"/>
      <c r="P697" s="284" t="n"/>
      <c r="Q697" s="284" t="n"/>
      <c r="R697" s="284" t="n"/>
      <c r="S697" s="284" t="n"/>
    </row>
    <row r="698" hidden="1" ht="15.75" customHeight="1" s="195">
      <c r="A698" s="301">
        <f>IF(_PENDIENTES!$B$692&lt;&gt;"",691,"")</f>
        <v/>
      </c>
      <c r="B698" s="242">
        <f>IF(_PENDIENTES!$B$692&lt;&gt;"",_PENDIENTES!$A$692,"")</f>
        <v/>
      </c>
      <c r="C698" s="302">
        <f>IF(_PENDIENTES!$B$692&lt;&gt;"",_PENDIENTES!$C$692,"")</f>
        <v/>
      </c>
      <c r="D698" s="301">
        <f>IF(_PENDIENTES!$B$692&lt;&gt;"",_PENDIENTES!$D$692,"")</f>
        <v/>
      </c>
      <c r="E698" s="306">
        <f>IF(_PENDIENTES!$B$692&lt;&gt;"",_PENDIENTES!$E$692,"")</f>
        <v/>
      </c>
      <c r="F698" s="301">
        <f>IF(_PENDIENTES!$B$692&lt;&gt;"",_PENDIENTES!$F$692,"")</f>
        <v/>
      </c>
      <c r="G698" s="245">
        <f>IF(_PENDIENTES!$B$692&lt;&gt;"",_PENDIENTES!$G$692,"")</f>
        <v/>
      </c>
      <c r="H698" s="245">
        <f>IF(_PENDIENTES!$B$692&lt;&gt;"",_PENDIENTES!$H$692,"")</f>
        <v/>
      </c>
      <c r="I698" s="302">
        <f>IF(_PENDIENTES!$B$692&lt;&gt;"",_PENDIENTES!$I$692,"")</f>
        <v/>
      </c>
      <c r="J698" s="301">
        <f>IF(_PENDIENTES!$B$692&lt;&gt;"",_PENDIENTES!$J$692,"")</f>
        <v/>
      </c>
      <c r="K698" s="301">
        <f>IF(_PENDIENTES!$B$692&lt;&gt;"","POR RECOGER","")</f>
        <v/>
      </c>
      <c r="L698" s="301">
        <f>IF(_PENDIENTES!$B$692&lt;&gt;"",_PENDIENTES!$K$692,"")</f>
        <v/>
      </c>
      <c r="M698" s="284">
        <f>IF(_PENDIENTES!$B$692&lt;&gt;"",_PENDIENTES!$B$692,"")</f>
        <v/>
      </c>
      <c r="N698" s="304">
        <f>IF(_PENDIENTES!$B$692&lt;&gt;"",_PENDIENTES!$L$692,"")</f>
        <v/>
      </c>
      <c r="O698" s="284" t="n"/>
      <c r="P698" s="284" t="n"/>
      <c r="Q698" s="284" t="n"/>
      <c r="R698" s="284" t="n"/>
      <c r="S698" s="284" t="n"/>
    </row>
    <row r="699" hidden="1" ht="15.75" customHeight="1" s="195">
      <c r="A699" s="241">
        <f>IF(_PENDIENTES!$B$693&lt;&gt;"",692,"")</f>
        <v/>
      </c>
      <c r="B699" s="236">
        <f>IF(_PENDIENTES!$B$693&lt;&gt;"",_PENDIENTES!$A$693,"")</f>
        <v/>
      </c>
      <c r="C699" s="305">
        <f>IF(_PENDIENTES!$B$693&lt;&gt;"",_PENDIENTES!$C$693,"")</f>
        <v/>
      </c>
      <c r="D699" s="241">
        <f>IF(_PENDIENTES!$B$693&lt;&gt;"",_PENDIENTES!$D$693,"")</f>
        <v/>
      </c>
      <c r="E699" s="307">
        <f>IF(_PENDIENTES!$B$693&lt;&gt;"",_PENDIENTES!$E$693,"")</f>
        <v/>
      </c>
      <c r="F699" s="241">
        <f>IF(_PENDIENTES!$B$693&lt;&gt;"",_PENDIENTES!$F$693,"")</f>
        <v/>
      </c>
      <c r="G699" s="239">
        <f>IF(_PENDIENTES!$B$693&lt;&gt;"",_PENDIENTES!$G$693,"")</f>
        <v/>
      </c>
      <c r="H699" s="239">
        <f>IF(_PENDIENTES!$B$693&lt;&gt;"",_PENDIENTES!$H$693,"")</f>
        <v/>
      </c>
      <c r="I699" s="305">
        <f>IF(_PENDIENTES!$B$693&lt;&gt;"",_PENDIENTES!$I$693,"")</f>
        <v/>
      </c>
      <c r="J699" s="241">
        <f>IF(_PENDIENTES!$B$693&lt;&gt;"",_PENDIENTES!$J$693,"")</f>
        <v/>
      </c>
      <c r="K699" s="241">
        <f>IF(_PENDIENTES!$B$693&lt;&gt;"","POR RECOGER","")</f>
        <v/>
      </c>
      <c r="L699" s="241">
        <f>IF(_PENDIENTES!$B$693&lt;&gt;"",_PENDIENTES!$K$693,"")</f>
        <v/>
      </c>
      <c r="M699" s="284">
        <f>IF(_PENDIENTES!$B$693&lt;&gt;"",_PENDIENTES!$B$693,"")</f>
        <v/>
      </c>
      <c r="N699" s="304">
        <f>IF(_PENDIENTES!$B$693&lt;&gt;"",_PENDIENTES!$L$693,"")</f>
        <v/>
      </c>
      <c r="O699" s="284" t="n"/>
      <c r="P699" s="284" t="n"/>
      <c r="Q699" s="284" t="n"/>
      <c r="R699" s="284" t="n"/>
      <c r="S699" s="284" t="n"/>
    </row>
    <row r="700" hidden="1" ht="15.75" customHeight="1" s="195">
      <c r="A700" s="301">
        <f>IF(_PENDIENTES!$B$694&lt;&gt;"",693,"")</f>
        <v/>
      </c>
      <c r="B700" s="242">
        <f>IF(_PENDIENTES!$B$694&lt;&gt;"",_PENDIENTES!$A$694,"")</f>
        <v/>
      </c>
      <c r="C700" s="302">
        <f>IF(_PENDIENTES!$B$694&lt;&gt;"",_PENDIENTES!$C$694,"")</f>
        <v/>
      </c>
      <c r="D700" s="301">
        <f>IF(_PENDIENTES!$B$694&lt;&gt;"",_PENDIENTES!$D$694,"")</f>
        <v/>
      </c>
      <c r="E700" s="306">
        <f>IF(_PENDIENTES!$B$694&lt;&gt;"",_PENDIENTES!$E$694,"")</f>
        <v/>
      </c>
      <c r="F700" s="301">
        <f>IF(_PENDIENTES!$B$694&lt;&gt;"",_PENDIENTES!$F$694,"")</f>
        <v/>
      </c>
      <c r="G700" s="245">
        <f>IF(_PENDIENTES!$B$694&lt;&gt;"",_PENDIENTES!$G$694,"")</f>
        <v/>
      </c>
      <c r="H700" s="245">
        <f>IF(_PENDIENTES!$B$694&lt;&gt;"",_PENDIENTES!$H$694,"")</f>
        <v/>
      </c>
      <c r="I700" s="302">
        <f>IF(_PENDIENTES!$B$694&lt;&gt;"",_PENDIENTES!$I$694,"")</f>
        <v/>
      </c>
      <c r="J700" s="301">
        <f>IF(_PENDIENTES!$B$694&lt;&gt;"",_PENDIENTES!$J$694,"")</f>
        <v/>
      </c>
      <c r="K700" s="301">
        <f>IF(_PENDIENTES!$B$694&lt;&gt;"","POR RECOGER","")</f>
        <v/>
      </c>
      <c r="L700" s="301">
        <f>IF(_PENDIENTES!$B$694&lt;&gt;"",_PENDIENTES!$K$694,"")</f>
        <v/>
      </c>
      <c r="M700" s="284">
        <f>IF(_PENDIENTES!$B$694&lt;&gt;"",_PENDIENTES!$B$694,"")</f>
        <v/>
      </c>
      <c r="N700" s="304">
        <f>IF(_PENDIENTES!$B$694&lt;&gt;"",_PENDIENTES!$L$694,"")</f>
        <v/>
      </c>
      <c r="O700" s="284" t="n"/>
      <c r="P700" s="284" t="n"/>
      <c r="Q700" s="284" t="n"/>
      <c r="R700" s="284" t="n"/>
      <c r="S700" s="284" t="n"/>
    </row>
    <row r="701" hidden="1" ht="15.75" customHeight="1" s="195">
      <c r="A701" s="241">
        <f>IF(_PENDIENTES!$B$695&lt;&gt;"",694,"")</f>
        <v/>
      </c>
      <c r="B701" s="236">
        <f>IF(_PENDIENTES!$B$695&lt;&gt;"",_PENDIENTES!$A$695,"")</f>
        <v/>
      </c>
      <c r="C701" s="305">
        <f>IF(_PENDIENTES!$B$695&lt;&gt;"",_PENDIENTES!$C$695,"")</f>
        <v/>
      </c>
      <c r="D701" s="241">
        <f>IF(_PENDIENTES!$B$695&lt;&gt;"",_PENDIENTES!$D$695,"")</f>
        <v/>
      </c>
      <c r="E701" s="307">
        <f>IF(_PENDIENTES!$B$695&lt;&gt;"",_PENDIENTES!$E$695,"")</f>
        <v/>
      </c>
      <c r="F701" s="241">
        <f>IF(_PENDIENTES!$B$695&lt;&gt;"",_PENDIENTES!$F$695,"")</f>
        <v/>
      </c>
      <c r="G701" s="239">
        <f>IF(_PENDIENTES!$B$695&lt;&gt;"",_PENDIENTES!$G$695,"")</f>
        <v/>
      </c>
      <c r="H701" s="239">
        <f>IF(_PENDIENTES!$B$695&lt;&gt;"",_PENDIENTES!$H$695,"")</f>
        <v/>
      </c>
      <c r="I701" s="305">
        <f>IF(_PENDIENTES!$B$695&lt;&gt;"",_PENDIENTES!$I$695,"")</f>
        <v/>
      </c>
      <c r="J701" s="241">
        <f>IF(_PENDIENTES!$B$695&lt;&gt;"",_PENDIENTES!$J$695,"")</f>
        <v/>
      </c>
      <c r="K701" s="241">
        <f>IF(_PENDIENTES!$B$695&lt;&gt;"","POR RECOGER","")</f>
        <v/>
      </c>
      <c r="L701" s="241">
        <f>IF(_PENDIENTES!$B$695&lt;&gt;"",_PENDIENTES!$K$695,"")</f>
        <v/>
      </c>
      <c r="M701" s="284">
        <f>IF(_PENDIENTES!$B$695&lt;&gt;"",_PENDIENTES!$B$695,"")</f>
        <v/>
      </c>
      <c r="N701" s="304">
        <f>IF(_PENDIENTES!$B$695&lt;&gt;"",_PENDIENTES!$L$695,"")</f>
        <v/>
      </c>
      <c r="O701" s="284" t="n"/>
      <c r="P701" s="284" t="n"/>
      <c r="Q701" s="284" t="n"/>
      <c r="R701" s="284" t="n"/>
      <c r="S701" s="284" t="n"/>
    </row>
    <row r="702" hidden="1" ht="15.75" customHeight="1" s="195">
      <c r="A702" s="301">
        <f>IF(_PENDIENTES!$B$696&lt;&gt;"",695,"")</f>
        <v/>
      </c>
      <c r="B702" s="242">
        <f>IF(_PENDIENTES!$B$696&lt;&gt;"",_PENDIENTES!$A$696,"")</f>
        <v/>
      </c>
      <c r="C702" s="302">
        <f>IF(_PENDIENTES!$B$696&lt;&gt;"",_PENDIENTES!$C$696,"")</f>
        <v/>
      </c>
      <c r="D702" s="301">
        <f>IF(_PENDIENTES!$B$696&lt;&gt;"",_PENDIENTES!$D$696,"")</f>
        <v/>
      </c>
      <c r="E702" s="306">
        <f>IF(_PENDIENTES!$B$696&lt;&gt;"",_PENDIENTES!$E$696,"")</f>
        <v/>
      </c>
      <c r="F702" s="301">
        <f>IF(_PENDIENTES!$B$696&lt;&gt;"",_PENDIENTES!$F$696,"")</f>
        <v/>
      </c>
      <c r="G702" s="245">
        <f>IF(_PENDIENTES!$B$696&lt;&gt;"",_PENDIENTES!$G$696,"")</f>
        <v/>
      </c>
      <c r="H702" s="245">
        <f>IF(_PENDIENTES!$B$696&lt;&gt;"",_PENDIENTES!$H$696,"")</f>
        <v/>
      </c>
      <c r="I702" s="302">
        <f>IF(_PENDIENTES!$B$696&lt;&gt;"",_PENDIENTES!$I$696,"")</f>
        <v/>
      </c>
      <c r="J702" s="301">
        <f>IF(_PENDIENTES!$B$696&lt;&gt;"",_PENDIENTES!$J$696,"")</f>
        <v/>
      </c>
      <c r="K702" s="301">
        <f>IF(_PENDIENTES!$B$696&lt;&gt;"","POR RECOGER","")</f>
        <v/>
      </c>
      <c r="L702" s="301">
        <f>IF(_PENDIENTES!$B$696&lt;&gt;"",_PENDIENTES!$K$696,"")</f>
        <v/>
      </c>
      <c r="M702" s="284">
        <f>IF(_PENDIENTES!$B$696&lt;&gt;"",_PENDIENTES!$B$696,"")</f>
        <v/>
      </c>
      <c r="N702" s="304">
        <f>IF(_PENDIENTES!$B$696&lt;&gt;"",_PENDIENTES!$L$696,"")</f>
        <v/>
      </c>
      <c r="O702" s="284" t="n"/>
      <c r="P702" s="284" t="n"/>
      <c r="Q702" s="284" t="n"/>
      <c r="R702" s="284" t="n"/>
      <c r="S702" s="284" t="n"/>
    </row>
    <row r="703" hidden="1" ht="15.75" customHeight="1" s="195">
      <c r="A703" s="241">
        <f>IF(_PENDIENTES!$B$697&lt;&gt;"",696,"")</f>
        <v/>
      </c>
      <c r="B703" s="236">
        <f>IF(_PENDIENTES!$B$697&lt;&gt;"",_PENDIENTES!$A$697,"")</f>
        <v/>
      </c>
      <c r="C703" s="305">
        <f>IF(_PENDIENTES!$B$697&lt;&gt;"",_PENDIENTES!$C$697,"")</f>
        <v/>
      </c>
      <c r="D703" s="241">
        <f>IF(_PENDIENTES!$B$697&lt;&gt;"",_PENDIENTES!$D$697,"")</f>
        <v/>
      </c>
      <c r="E703" s="307">
        <f>IF(_PENDIENTES!$B$697&lt;&gt;"",_PENDIENTES!$E$697,"")</f>
        <v/>
      </c>
      <c r="F703" s="241">
        <f>IF(_PENDIENTES!$B$697&lt;&gt;"",_PENDIENTES!$F$697,"")</f>
        <v/>
      </c>
      <c r="G703" s="239">
        <f>IF(_PENDIENTES!$B$697&lt;&gt;"",_PENDIENTES!$G$697,"")</f>
        <v/>
      </c>
      <c r="H703" s="239">
        <f>IF(_PENDIENTES!$B$697&lt;&gt;"",_PENDIENTES!$H$697,"")</f>
        <v/>
      </c>
      <c r="I703" s="305">
        <f>IF(_PENDIENTES!$B$697&lt;&gt;"",_PENDIENTES!$I$697,"")</f>
        <v/>
      </c>
      <c r="J703" s="241">
        <f>IF(_PENDIENTES!$B$697&lt;&gt;"",_PENDIENTES!$J$697,"")</f>
        <v/>
      </c>
      <c r="K703" s="241">
        <f>IF(_PENDIENTES!$B$697&lt;&gt;"","POR RECOGER","")</f>
        <v/>
      </c>
      <c r="L703" s="241">
        <f>IF(_PENDIENTES!$B$697&lt;&gt;"",_PENDIENTES!$K$697,"")</f>
        <v/>
      </c>
      <c r="M703" s="284">
        <f>IF(_PENDIENTES!$B$697&lt;&gt;"",_PENDIENTES!$B$697,"")</f>
        <v/>
      </c>
      <c r="N703" s="304">
        <f>IF(_PENDIENTES!$B$697&lt;&gt;"",_PENDIENTES!$L$697,"")</f>
        <v/>
      </c>
      <c r="O703" s="284" t="n"/>
      <c r="P703" s="284" t="n"/>
      <c r="Q703" s="284" t="n"/>
      <c r="R703" s="284" t="n"/>
      <c r="S703" s="284" t="n"/>
    </row>
    <row r="704" hidden="1" ht="15.75" customHeight="1" s="195">
      <c r="A704" s="301">
        <f>IF(_PENDIENTES!$B$698&lt;&gt;"",697,"")</f>
        <v/>
      </c>
      <c r="B704" s="242">
        <f>IF(_PENDIENTES!$B$698&lt;&gt;"",_PENDIENTES!$A$698,"")</f>
        <v/>
      </c>
      <c r="C704" s="302">
        <f>IF(_PENDIENTES!$B$698&lt;&gt;"",_PENDIENTES!$C$698,"")</f>
        <v/>
      </c>
      <c r="D704" s="301">
        <f>IF(_PENDIENTES!$B$698&lt;&gt;"",_PENDIENTES!$D$698,"")</f>
        <v/>
      </c>
      <c r="E704" s="306">
        <f>IF(_PENDIENTES!$B$698&lt;&gt;"",_PENDIENTES!$E$698,"")</f>
        <v/>
      </c>
      <c r="F704" s="301">
        <f>IF(_PENDIENTES!$B$698&lt;&gt;"",_PENDIENTES!$F$698,"")</f>
        <v/>
      </c>
      <c r="G704" s="245">
        <f>IF(_PENDIENTES!$B$698&lt;&gt;"",_PENDIENTES!$G$698,"")</f>
        <v/>
      </c>
      <c r="H704" s="245">
        <f>IF(_PENDIENTES!$B$698&lt;&gt;"",_PENDIENTES!$H$698,"")</f>
        <v/>
      </c>
      <c r="I704" s="302">
        <f>IF(_PENDIENTES!$B$698&lt;&gt;"",_PENDIENTES!$I$698,"")</f>
        <v/>
      </c>
      <c r="J704" s="301">
        <f>IF(_PENDIENTES!$B$698&lt;&gt;"",_PENDIENTES!$J$698,"")</f>
        <v/>
      </c>
      <c r="K704" s="301">
        <f>IF(_PENDIENTES!$B$698&lt;&gt;"","POR RECOGER","")</f>
        <v/>
      </c>
      <c r="L704" s="301">
        <f>IF(_PENDIENTES!$B$698&lt;&gt;"",_PENDIENTES!$K$698,"")</f>
        <v/>
      </c>
      <c r="M704" s="284">
        <f>IF(_PENDIENTES!$B$698&lt;&gt;"",_PENDIENTES!$B$698,"")</f>
        <v/>
      </c>
      <c r="N704" s="304">
        <f>IF(_PENDIENTES!$B$698&lt;&gt;"",_PENDIENTES!$L$698,"")</f>
        <v/>
      </c>
      <c r="O704" s="284" t="n"/>
      <c r="P704" s="284" t="n"/>
      <c r="Q704" s="284" t="n"/>
      <c r="R704" s="284" t="n"/>
      <c r="S704" s="284" t="n"/>
    </row>
    <row r="705" hidden="1" ht="15.75" customHeight="1" s="195">
      <c r="A705" s="241">
        <f>IF(_PENDIENTES!$B$699&lt;&gt;"",698,"")</f>
        <v/>
      </c>
      <c r="B705" s="236">
        <f>IF(_PENDIENTES!$B$699&lt;&gt;"",_PENDIENTES!$A$699,"")</f>
        <v/>
      </c>
      <c r="C705" s="305">
        <f>IF(_PENDIENTES!$B$699&lt;&gt;"",_PENDIENTES!$C$699,"")</f>
        <v/>
      </c>
      <c r="D705" s="241">
        <f>IF(_PENDIENTES!$B$699&lt;&gt;"",_PENDIENTES!$D$699,"")</f>
        <v/>
      </c>
      <c r="E705" s="307">
        <f>IF(_PENDIENTES!$B$699&lt;&gt;"",_PENDIENTES!$E$699,"")</f>
        <v/>
      </c>
      <c r="F705" s="241">
        <f>IF(_PENDIENTES!$B$699&lt;&gt;"",_PENDIENTES!$F$699,"")</f>
        <v/>
      </c>
      <c r="G705" s="239">
        <f>IF(_PENDIENTES!$B$699&lt;&gt;"",_PENDIENTES!$G$699,"")</f>
        <v/>
      </c>
      <c r="H705" s="239">
        <f>IF(_PENDIENTES!$B$699&lt;&gt;"",_PENDIENTES!$H$699,"")</f>
        <v/>
      </c>
      <c r="I705" s="305">
        <f>IF(_PENDIENTES!$B$699&lt;&gt;"",_PENDIENTES!$I$699,"")</f>
        <v/>
      </c>
      <c r="J705" s="241">
        <f>IF(_PENDIENTES!$B$699&lt;&gt;"",_PENDIENTES!$J$699,"")</f>
        <v/>
      </c>
      <c r="K705" s="241">
        <f>IF(_PENDIENTES!$B$699&lt;&gt;"","POR RECOGER","")</f>
        <v/>
      </c>
      <c r="L705" s="241">
        <f>IF(_PENDIENTES!$B$699&lt;&gt;"",_PENDIENTES!$K$699,"")</f>
        <v/>
      </c>
      <c r="M705" s="284">
        <f>IF(_PENDIENTES!$B$699&lt;&gt;"",_PENDIENTES!$B$699,"")</f>
        <v/>
      </c>
      <c r="N705" s="304">
        <f>IF(_PENDIENTES!$B$699&lt;&gt;"",_PENDIENTES!$L$699,"")</f>
        <v/>
      </c>
      <c r="O705" s="284" t="n"/>
      <c r="P705" s="284" t="n"/>
      <c r="Q705" s="284" t="n"/>
      <c r="R705" s="284" t="n"/>
      <c r="S705" s="284" t="n"/>
    </row>
    <row r="706" hidden="1" ht="15.75" customHeight="1" s="195">
      <c r="A706" s="301">
        <f>IF(_PENDIENTES!$B$700&lt;&gt;"",699,"")</f>
        <v/>
      </c>
      <c r="B706" s="242">
        <f>IF(_PENDIENTES!$B$700&lt;&gt;"",_PENDIENTES!$A$700,"")</f>
        <v/>
      </c>
      <c r="C706" s="302">
        <f>IF(_PENDIENTES!$B$700&lt;&gt;"",_PENDIENTES!$C$700,"")</f>
        <v/>
      </c>
      <c r="D706" s="301">
        <f>IF(_PENDIENTES!$B$700&lt;&gt;"",_PENDIENTES!$D$700,"")</f>
        <v/>
      </c>
      <c r="E706" s="306">
        <f>IF(_PENDIENTES!$B$700&lt;&gt;"",_PENDIENTES!$E$700,"")</f>
        <v/>
      </c>
      <c r="F706" s="301">
        <f>IF(_PENDIENTES!$B$700&lt;&gt;"",_PENDIENTES!$F$700,"")</f>
        <v/>
      </c>
      <c r="G706" s="245">
        <f>IF(_PENDIENTES!$B$700&lt;&gt;"",_PENDIENTES!$G$700,"")</f>
        <v/>
      </c>
      <c r="H706" s="245">
        <f>IF(_PENDIENTES!$B$700&lt;&gt;"",_PENDIENTES!$H$700,"")</f>
        <v/>
      </c>
      <c r="I706" s="302">
        <f>IF(_PENDIENTES!$B$700&lt;&gt;"",_PENDIENTES!$I$700,"")</f>
        <v/>
      </c>
      <c r="J706" s="301">
        <f>IF(_PENDIENTES!$B$700&lt;&gt;"",_PENDIENTES!$J$700,"")</f>
        <v/>
      </c>
      <c r="K706" s="301">
        <f>IF(_PENDIENTES!$B$700&lt;&gt;"","POR RECOGER","")</f>
        <v/>
      </c>
      <c r="L706" s="301">
        <f>IF(_PENDIENTES!$B$700&lt;&gt;"",_PENDIENTES!$K$700,"")</f>
        <v/>
      </c>
      <c r="M706" s="284">
        <f>IF(_PENDIENTES!$B$700&lt;&gt;"",_PENDIENTES!$B$700,"")</f>
        <v/>
      </c>
      <c r="N706" s="304">
        <f>IF(_PENDIENTES!$B$700&lt;&gt;"",_PENDIENTES!$L$700,"")</f>
        <v/>
      </c>
      <c r="O706" s="284" t="n"/>
      <c r="P706" s="284" t="n"/>
      <c r="Q706" s="284" t="n"/>
      <c r="R706" s="284" t="n"/>
      <c r="S706" s="284" t="n"/>
    </row>
    <row r="707" hidden="1" ht="15.75" customHeight="1" s="195">
      <c r="A707" s="241">
        <f>IF(_PENDIENTES!$B$701&lt;&gt;"",700,"")</f>
        <v/>
      </c>
      <c r="B707" s="236">
        <f>IF(_PENDIENTES!$B$701&lt;&gt;"",_PENDIENTES!$A$701,"")</f>
        <v/>
      </c>
      <c r="C707" s="305">
        <f>IF(_PENDIENTES!$B$701&lt;&gt;"",_PENDIENTES!$C$701,"")</f>
        <v/>
      </c>
      <c r="D707" s="241">
        <f>IF(_PENDIENTES!$B$701&lt;&gt;"",_PENDIENTES!$D$701,"")</f>
        <v/>
      </c>
      <c r="E707" s="307">
        <f>IF(_PENDIENTES!$B$701&lt;&gt;"",_PENDIENTES!$E$701,"")</f>
        <v/>
      </c>
      <c r="F707" s="241">
        <f>IF(_PENDIENTES!$B$701&lt;&gt;"",_PENDIENTES!$F$701,"")</f>
        <v/>
      </c>
      <c r="G707" s="239">
        <f>IF(_PENDIENTES!$B$701&lt;&gt;"",_PENDIENTES!$G$701,"")</f>
        <v/>
      </c>
      <c r="H707" s="239">
        <f>IF(_PENDIENTES!$B$701&lt;&gt;"",_PENDIENTES!$H$701,"")</f>
        <v/>
      </c>
      <c r="I707" s="305">
        <f>IF(_PENDIENTES!$B$701&lt;&gt;"",_PENDIENTES!$I$701,"")</f>
        <v/>
      </c>
      <c r="J707" s="241">
        <f>IF(_PENDIENTES!$B$701&lt;&gt;"",_PENDIENTES!$J$701,"")</f>
        <v/>
      </c>
      <c r="K707" s="241">
        <f>IF(_PENDIENTES!$B$701&lt;&gt;"","POR RECOGER","")</f>
        <v/>
      </c>
      <c r="L707" s="241">
        <f>IF(_PENDIENTES!$B$701&lt;&gt;"",_PENDIENTES!$K$701,"")</f>
        <v/>
      </c>
      <c r="M707" s="284">
        <f>IF(_PENDIENTES!$B$701&lt;&gt;"",_PENDIENTES!$B$701,"")</f>
        <v/>
      </c>
      <c r="N707" s="304">
        <f>IF(_PENDIENTES!$B$701&lt;&gt;"",_PENDIENTES!$L$701,"")</f>
        <v/>
      </c>
      <c r="O707" s="284" t="n"/>
      <c r="P707" s="284" t="n"/>
      <c r="Q707" s="284" t="n"/>
      <c r="R707" s="284" t="n"/>
      <c r="S707" s="284" t="n"/>
    </row>
    <row r="708" hidden="1" ht="15.75" customHeight="1" s="195">
      <c r="A708" s="301">
        <f>IF(_PENDIENTES!$B$702&lt;&gt;"",701,"")</f>
        <v/>
      </c>
      <c r="B708" s="242">
        <f>IF(_PENDIENTES!$B$702&lt;&gt;"",_PENDIENTES!$A$702,"")</f>
        <v/>
      </c>
      <c r="C708" s="302">
        <f>IF(_PENDIENTES!$B$702&lt;&gt;"",_PENDIENTES!$C$702,"")</f>
        <v/>
      </c>
      <c r="D708" s="301">
        <f>IF(_PENDIENTES!$B$702&lt;&gt;"",_PENDIENTES!$D$702,"")</f>
        <v/>
      </c>
      <c r="E708" s="306">
        <f>IF(_PENDIENTES!$B$702&lt;&gt;"",_PENDIENTES!$E$702,"")</f>
        <v/>
      </c>
      <c r="F708" s="301">
        <f>IF(_PENDIENTES!$B$702&lt;&gt;"",_PENDIENTES!$F$702,"")</f>
        <v/>
      </c>
      <c r="G708" s="245">
        <f>IF(_PENDIENTES!$B$702&lt;&gt;"",_PENDIENTES!$G$702,"")</f>
        <v/>
      </c>
      <c r="H708" s="245">
        <f>IF(_PENDIENTES!$B$702&lt;&gt;"",_PENDIENTES!$H$702,"")</f>
        <v/>
      </c>
      <c r="I708" s="302">
        <f>IF(_PENDIENTES!$B$702&lt;&gt;"",_PENDIENTES!$I$702,"")</f>
        <v/>
      </c>
      <c r="J708" s="301">
        <f>IF(_PENDIENTES!$B$702&lt;&gt;"",_PENDIENTES!$J$702,"")</f>
        <v/>
      </c>
      <c r="K708" s="301">
        <f>IF(_PENDIENTES!$B$702&lt;&gt;"","POR RECOGER","")</f>
        <v/>
      </c>
      <c r="L708" s="301">
        <f>IF(_PENDIENTES!$B$702&lt;&gt;"",_PENDIENTES!$K$702,"")</f>
        <v/>
      </c>
      <c r="M708" s="284">
        <f>IF(_PENDIENTES!$B$702&lt;&gt;"",_PENDIENTES!$B$702,"")</f>
        <v/>
      </c>
      <c r="N708" s="304">
        <f>IF(_PENDIENTES!$B$702&lt;&gt;"",_PENDIENTES!$L$702,"")</f>
        <v/>
      </c>
      <c r="O708" s="284" t="n"/>
      <c r="P708" s="284" t="n"/>
      <c r="Q708" s="284" t="n"/>
      <c r="R708" s="284" t="n"/>
      <c r="S708" s="284" t="n"/>
    </row>
    <row r="709" hidden="1" ht="15.75" customHeight="1" s="195">
      <c r="A709" s="241">
        <f>IF(_PENDIENTES!$B$703&lt;&gt;"",702,"")</f>
        <v/>
      </c>
      <c r="B709" s="236">
        <f>IF(_PENDIENTES!$B$703&lt;&gt;"",_PENDIENTES!$A$703,"")</f>
        <v/>
      </c>
      <c r="C709" s="305">
        <f>IF(_PENDIENTES!$B$703&lt;&gt;"",_PENDIENTES!$C$703,"")</f>
        <v/>
      </c>
      <c r="D709" s="241">
        <f>IF(_PENDIENTES!$B$703&lt;&gt;"",_PENDIENTES!$D$703,"")</f>
        <v/>
      </c>
      <c r="E709" s="307">
        <f>IF(_PENDIENTES!$B$703&lt;&gt;"",_PENDIENTES!$E$703,"")</f>
        <v/>
      </c>
      <c r="F709" s="241">
        <f>IF(_PENDIENTES!$B$703&lt;&gt;"",_PENDIENTES!$F$703,"")</f>
        <v/>
      </c>
      <c r="G709" s="239">
        <f>IF(_PENDIENTES!$B$703&lt;&gt;"",_PENDIENTES!$G$703,"")</f>
        <v/>
      </c>
      <c r="H709" s="239">
        <f>IF(_PENDIENTES!$B$703&lt;&gt;"",_PENDIENTES!$H$703,"")</f>
        <v/>
      </c>
      <c r="I709" s="305">
        <f>IF(_PENDIENTES!$B$703&lt;&gt;"",_PENDIENTES!$I$703,"")</f>
        <v/>
      </c>
      <c r="J709" s="241">
        <f>IF(_PENDIENTES!$B$703&lt;&gt;"",_PENDIENTES!$J$703,"")</f>
        <v/>
      </c>
      <c r="K709" s="241">
        <f>IF(_PENDIENTES!$B$703&lt;&gt;"","POR RECOGER","")</f>
        <v/>
      </c>
      <c r="L709" s="241">
        <f>IF(_PENDIENTES!$B$703&lt;&gt;"",_PENDIENTES!$K$703,"")</f>
        <v/>
      </c>
      <c r="M709" s="284">
        <f>IF(_PENDIENTES!$B$703&lt;&gt;"",_PENDIENTES!$B$703,"")</f>
        <v/>
      </c>
      <c r="N709" s="304">
        <f>IF(_PENDIENTES!$B$703&lt;&gt;"",_PENDIENTES!$L$703,"")</f>
        <v/>
      </c>
      <c r="O709" s="284" t="n"/>
      <c r="P709" s="284" t="n"/>
      <c r="Q709" s="284" t="n"/>
      <c r="R709" s="284" t="n"/>
      <c r="S709" s="284" t="n"/>
    </row>
    <row r="710" hidden="1" ht="15.75" customHeight="1" s="195">
      <c r="A710" s="301">
        <f>IF(_PENDIENTES!$B$704&lt;&gt;"",703,"")</f>
        <v/>
      </c>
      <c r="B710" s="242">
        <f>IF(_PENDIENTES!$B$704&lt;&gt;"",_PENDIENTES!$A$704,"")</f>
        <v/>
      </c>
      <c r="C710" s="302">
        <f>IF(_PENDIENTES!$B$704&lt;&gt;"",_PENDIENTES!$C$704,"")</f>
        <v/>
      </c>
      <c r="D710" s="301">
        <f>IF(_PENDIENTES!$B$704&lt;&gt;"",_PENDIENTES!$D$704,"")</f>
        <v/>
      </c>
      <c r="E710" s="306">
        <f>IF(_PENDIENTES!$B$704&lt;&gt;"",_PENDIENTES!$E$704,"")</f>
        <v/>
      </c>
      <c r="F710" s="301">
        <f>IF(_PENDIENTES!$B$704&lt;&gt;"",_PENDIENTES!$F$704,"")</f>
        <v/>
      </c>
      <c r="G710" s="245">
        <f>IF(_PENDIENTES!$B$704&lt;&gt;"",_PENDIENTES!$G$704,"")</f>
        <v/>
      </c>
      <c r="H710" s="245">
        <f>IF(_PENDIENTES!$B$704&lt;&gt;"",_PENDIENTES!$H$704,"")</f>
        <v/>
      </c>
      <c r="I710" s="302">
        <f>IF(_PENDIENTES!$B$704&lt;&gt;"",_PENDIENTES!$I$704,"")</f>
        <v/>
      </c>
      <c r="J710" s="301">
        <f>IF(_PENDIENTES!$B$704&lt;&gt;"",_PENDIENTES!$J$704,"")</f>
        <v/>
      </c>
      <c r="K710" s="301">
        <f>IF(_PENDIENTES!$B$704&lt;&gt;"","POR RECOGER","")</f>
        <v/>
      </c>
      <c r="L710" s="301">
        <f>IF(_PENDIENTES!$B$704&lt;&gt;"",_PENDIENTES!$K$704,"")</f>
        <v/>
      </c>
      <c r="M710" s="284">
        <f>IF(_PENDIENTES!$B$704&lt;&gt;"",_PENDIENTES!$B$704,"")</f>
        <v/>
      </c>
      <c r="N710" s="304">
        <f>IF(_PENDIENTES!$B$704&lt;&gt;"",_PENDIENTES!$L$704,"")</f>
        <v/>
      </c>
      <c r="O710" s="284" t="n"/>
      <c r="P710" s="284" t="n"/>
      <c r="Q710" s="284" t="n"/>
      <c r="R710" s="284" t="n"/>
      <c r="S710" s="284" t="n"/>
    </row>
    <row r="711" hidden="1" ht="15.75" customHeight="1" s="195">
      <c r="A711" s="241">
        <f>IF(_PENDIENTES!$B$705&lt;&gt;"",704,"")</f>
        <v/>
      </c>
      <c r="B711" s="236">
        <f>IF(_PENDIENTES!$B$705&lt;&gt;"",_PENDIENTES!$A$705,"")</f>
        <v/>
      </c>
      <c r="C711" s="305">
        <f>IF(_PENDIENTES!$B$705&lt;&gt;"",_PENDIENTES!$C$705,"")</f>
        <v/>
      </c>
      <c r="D711" s="241">
        <f>IF(_PENDIENTES!$B$705&lt;&gt;"",_PENDIENTES!$D$705,"")</f>
        <v/>
      </c>
      <c r="E711" s="307">
        <f>IF(_PENDIENTES!$B$705&lt;&gt;"",_PENDIENTES!$E$705,"")</f>
        <v/>
      </c>
      <c r="F711" s="241">
        <f>IF(_PENDIENTES!$B$705&lt;&gt;"",_PENDIENTES!$F$705,"")</f>
        <v/>
      </c>
      <c r="G711" s="239">
        <f>IF(_PENDIENTES!$B$705&lt;&gt;"",_PENDIENTES!$G$705,"")</f>
        <v/>
      </c>
      <c r="H711" s="239">
        <f>IF(_PENDIENTES!$B$705&lt;&gt;"",_PENDIENTES!$H$705,"")</f>
        <v/>
      </c>
      <c r="I711" s="305">
        <f>IF(_PENDIENTES!$B$705&lt;&gt;"",_PENDIENTES!$I$705,"")</f>
        <v/>
      </c>
      <c r="J711" s="241">
        <f>IF(_PENDIENTES!$B$705&lt;&gt;"",_PENDIENTES!$J$705,"")</f>
        <v/>
      </c>
      <c r="K711" s="241">
        <f>IF(_PENDIENTES!$B$705&lt;&gt;"","POR RECOGER","")</f>
        <v/>
      </c>
      <c r="L711" s="241">
        <f>IF(_PENDIENTES!$B$705&lt;&gt;"",_PENDIENTES!$K$705,"")</f>
        <v/>
      </c>
      <c r="M711" s="284">
        <f>IF(_PENDIENTES!$B$705&lt;&gt;"",_PENDIENTES!$B$705,"")</f>
        <v/>
      </c>
      <c r="N711" s="304">
        <f>IF(_PENDIENTES!$B$705&lt;&gt;"",_PENDIENTES!$L$705,"")</f>
        <v/>
      </c>
      <c r="O711" s="284" t="n"/>
      <c r="P711" s="284" t="n"/>
      <c r="Q711" s="284" t="n"/>
      <c r="R711" s="284" t="n"/>
      <c r="S711" s="284" t="n"/>
    </row>
    <row r="712" hidden="1" ht="15.75" customHeight="1" s="195">
      <c r="A712" s="301">
        <f>IF(_PENDIENTES!$B$706&lt;&gt;"",705,"")</f>
        <v/>
      </c>
      <c r="B712" s="242">
        <f>IF(_PENDIENTES!$B$706&lt;&gt;"",_PENDIENTES!$A$706,"")</f>
        <v/>
      </c>
      <c r="C712" s="302">
        <f>IF(_PENDIENTES!$B$706&lt;&gt;"",_PENDIENTES!$C$706,"")</f>
        <v/>
      </c>
      <c r="D712" s="301">
        <f>IF(_PENDIENTES!$B$706&lt;&gt;"",_PENDIENTES!$D$706,"")</f>
        <v/>
      </c>
      <c r="E712" s="306">
        <f>IF(_PENDIENTES!$B$706&lt;&gt;"",_PENDIENTES!$E$706,"")</f>
        <v/>
      </c>
      <c r="F712" s="301">
        <f>IF(_PENDIENTES!$B$706&lt;&gt;"",_PENDIENTES!$F$706,"")</f>
        <v/>
      </c>
      <c r="G712" s="245">
        <f>IF(_PENDIENTES!$B$706&lt;&gt;"",_PENDIENTES!$G$706,"")</f>
        <v/>
      </c>
      <c r="H712" s="245">
        <f>IF(_PENDIENTES!$B$706&lt;&gt;"",_PENDIENTES!$H$706,"")</f>
        <v/>
      </c>
      <c r="I712" s="302">
        <f>IF(_PENDIENTES!$B$706&lt;&gt;"",_PENDIENTES!$I$706,"")</f>
        <v/>
      </c>
      <c r="J712" s="301">
        <f>IF(_PENDIENTES!$B$706&lt;&gt;"",_PENDIENTES!$J$706,"")</f>
        <v/>
      </c>
      <c r="K712" s="301">
        <f>IF(_PENDIENTES!$B$706&lt;&gt;"","POR RECOGER","")</f>
        <v/>
      </c>
      <c r="L712" s="301">
        <f>IF(_PENDIENTES!$B$706&lt;&gt;"",_PENDIENTES!$K$706,"")</f>
        <v/>
      </c>
      <c r="M712" s="284">
        <f>IF(_PENDIENTES!$B$706&lt;&gt;"",_PENDIENTES!$B$706,"")</f>
        <v/>
      </c>
      <c r="N712" s="304">
        <f>IF(_PENDIENTES!$B$706&lt;&gt;"",_PENDIENTES!$L$706,"")</f>
        <v/>
      </c>
      <c r="O712" s="284" t="n"/>
      <c r="P712" s="284" t="n"/>
      <c r="Q712" s="284" t="n"/>
      <c r="R712" s="284" t="n"/>
      <c r="S712" s="284" t="n"/>
    </row>
    <row r="713" hidden="1" ht="15.75" customHeight="1" s="195">
      <c r="A713" s="241">
        <f>IF(_PENDIENTES!$B$707&lt;&gt;"",706,"")</f>
        <v/>
      </c>
      <c r="B713" s="236">
        <f>IF(_PENDIENTES!$B$707&lt;&gt;"",_PENDIENTES!$A$707,"")</f>
        <v/>
      </c>
      <c r="C713" s="305">
        <f>IF(_PENDIENTES!$B$707&lt;&gt;"",_PENDIENTES!$C$707,"")</f>
        <v/>
      </c>
      <c r="D713" s="241">
        <f>IF(_PENDIENTES!$B$707&lt;&gt;"",_PENDIENTES!$D$707,"")</f>
        <v/>
      </c>
      <c r="E713" s="307">
        <f>IF(_PENDIENTES!$B$707&lt;&gt;"",_PENDIENTES!$E$707,"")</f>
        <v/>
      </c>
      <c r="F713" s="241">
        <f>IF(_PENDIENTES!$B$707&lt;&gt;"",_PENDIENTES!$F$707,"")</f>
        <v/>
      </c>
      <c r="G713" s="239">
        <f>IF(_PENDIENTES!$B$707&lt;&gt;"",_PENDIENTES!$G$707,"")</f>
        <v/>
      </c>
      <c r="H713" s="239">
        <f>IF(_PENDIENTES!$B$707&lt;&gt;"",_PENDIENTES!$H$707,"")</f>
        <v/>
      </c>
      <c r="I713" s="305">
        <f>IF(_PENDIENTES!$B$707&lt;&gt;"",_PENDIENTES!$I$707,"")</f>
        <v/>
      </c>
      <c r="J713" s="241">
        <f>IF(_PENDIENTES!$B$707&lt;&gt;"",_PENDIENTES!$J$707,"")</f>
        <v/>
      </c>
      <c r="K713" s="241">
        <f>IF(_PENDIENTES!$B$707&lt;&gt;"","POR RECOGER","")</f>
        <v/>
      </c>
      <c r="L713" s="241">
        <f>IF(_PENDIENTES!$B$707&lt;&gt;"",_PENDIENTES!$K$707,"")</f>
        <v/>
      </c>
      <c r="M713" s="284">
        <f>IF(_PENDIENTES!$B$707&lt;&gt;"",_PENDIENTES!$B$707,"")</f>
        <v/>
      </c>
      <c r="N713" s="304">
        <f>IF(_PENDIENTES!$B$707&lt;&gt;"",_PENDIENTES!$L$707,"")</f>
        <v/>
      </c>
      <c r="O713" s="284" t="n"/>
      <c r="P713" s="284" t="n"/>
      <c r="Q713" s="284" t="n"/>
      <c r="R713" s="284" t="n"/>
      <c r="S713" s="284" t="n"/>
    </row>
    <row r="714" hidden="1" ht="15.75" customHeight="1" s="195">
      <c r="A714" s="301">
        <f>IF(_PENDIENTES!$B$708&lt;&gt;"",707,"")</f>
        <v/>
      </c>
      <c r="B714" s="242">
        <f>IF(_PENDIENTES!$B$708&lt;&gt;"",_PENDIENTES!$A$708,"")</f>
        <v/>
      </c>
      <c r="C714" s="302">
        <f>IF(_PENDIENTES!$B$708&lt;&gt;"",_PENDIENTES!$C$708,"")</f>
        <v/>
      </c>
      <c r="D714" s="301">
        <f>IF(_PENDIENTES!$B$708&lt;&gt;"",_PENDIENTES!$D$708,"")</f>
        <v/>
      </c>
      <c r="E714" s="306">
        <f>IF(_PENDIENTES!$B$708&lt;&gt;"",_PENDIENTES!$E$708,"")</f>
        <v/>
      </c>
      <c r="F714" s="301">
        <f>IF(_PENDIENTES!$B$708&lt;&gt;"",_PENDIENTES!$F$708,"")</f>
        <v/>
      </c>
      <c r="G714" s="245">
        <f>IF(_PENDIENTES!$B$708&lt;&gt;"",_PENDIENTES!$G$708,"")</f>
        <v/>
      </c>
      <c r="H714" s="245">
        <f>IF(_PENDIENTES!$B$708&lt;&gt;"",_PENDIENTES!$H$708,"")</f>
        <v/>
      </c>
      <c r="I714" s="302">
        <f>IF(_PENDIENTES!$B$708&lt;&gt;"",_PENDIENTES!$I$708,"")</f>
        <v/>
      </c>
      <c r="J714" s="301">
        <f>IF(_PENDIENTES!$B$708&lt;&gt;"",_PENDIENTES!$J$708,"")</f>
        <v/>
      </c>
      <c r="K714" s="301">
        <f>IF(_PENDIENTES!$B$708&lt;&gt;"","POR RECOGER","")</f>
        <v/>
      </c>
      <c r="L714" s="301">
        <f>IF(_PENDIENTES!$B$708&lt;&gt;"",_PENDIENTES!$K$708,"")</f>
        <v/>
      </c>
      <c r="M714" s="284">
        <f>IF(_PENDIENTES!$B$708&lt;&gt;"",_PENDIENTES!$B$708,"")</f>
        <v/>
      </c>
      <c r="N714" s="304">
        <f>IF(_PENDIENTES!$B$708&lt;&gt;"",_PENDIENTES!$L$708,"")</f>
        <v/>
      </c>
      <c r="O714" s="284" t="n"/>
      <c r="P714" s="284" t="n"/>
      <c r="Q714" s="284" t="n"/>
      <c r="R714" s="284" t="n"/>
      <c r="S714" s="284" t="n"/>
    </row>
    <row r="715" hidden="1" ht="15.75" customHeight="1" s="195">
      <c r="A715" s="241">
        <f>IF(_PENDIENTES!$B$709&lt;&gt;"",708,"")</f>
        <v/>
      </c>
      <c r="B715" s="236">
        <f>IF(_PENDIENTES!$B$709&lt;&gt;"",_PENDIENTES!$A$709,"")</f>
        <v/>
      </c>
      <c r="C715" s="305">
        <f>IF(_PENDIENTES!$B$709&lt;&gt;"",_PENDIENTES!$C$709,"")</f>
        <v/>
      </c>
      <c r="D715" s="241">
        <f>IF(_PENDIENTES!$B$709&lt;&gt;"",_PENDIENTES!$D$709,"")</f>
        <v/>
      </c>
      <c r="E715" s="307">
        <f>IF(_PENDIENTES!$B$709&lt;&gt;"",_PENDIENTES!$E$709,"")</f>
        <v/>
      </c>
      <c r="F715" s="241">
        <f>IF(_PENDIENTES!$B$709&lt;&gt;"",_PENDIENTES!$F$709,"")</f>
        <v/>
      </c>
      <c r="G715" s="239">
        <f>IF(_PENDIENTES!$B$709&lt;&gt;"",_PENDIENTES!$G$709,"")</f>
        <v/>
      </c>
      <c r="H715" s="239">
        <f>IF(_PENDIENTES!$B$709&lt;&gt;"",_PENDIENTES!$H$709,"")</f>
        <v/>
      </c>
      <c r="I715" s="305">
        <f>IF(_PENDIENTES!$B$709&lt;&gt;"",_PENDIENTES!$I$709,"")</f>
        <v/>
      </c>
      <c r="J715" s="241">
        <f>IF(_PENDIENTES!$B$709&lt;&gt;"",_PENDIENTES!$J$709,"")</f>
        <v/>
      </c>
      <c r="K715" s="241">
        <f>IF(_PENDIENTES!$B$709&lt;&gt;"","POR RECOGER","")</f>
        <v/>
      </c>
      <c r="L715" s="241">
        <f>IF(_PENDIENTES!$B$709&lt;&gt;"",_PENDIENTES!$K$709,"")</f>
        <v/>
      </c>
      <c r="M715" s="284">
        <f>IF(_PENDIENTES!$B$709&lt;&gt;"",_PENDIENTES!$B$709,"")</f>
        <v/>
      </c>
      <c r="N715" s="304">
        <f>IF(_PENDIENTES!$B$709&lt;&gt;"",_PENDIENTES!$L$709,"")</f>
        <v/>
      </c>
      <c r="O715" s="284" t="n"/>
      <c r="P715" s="284" t="n"/>
      <c r="Q715" s="284" t="n"/>
      <c r="R715" s="284" t="n"/>
      <c r="S715" s="284" t="n"/>
    </row>
    <row r="716" hidden="1" ht="15.75" customHeight="1" s="195">
      <c r="A716" s="301">
        <f>IF(_PENDIENTES!$B$710&lt;&gt;"",709,"")</f>
        <v/>
      </c>
      <c r="B716" s="242">
        <f>IF(_PENDIENTES!$B$710&lt;&gt;"",_PENDIENTES!$A$710,"")</f>
        <v/>
      </c>
      <c r="C716" s="302">
        <f>IF(_PENDIENTES!$B$710&lt;&gt;"",_PENDIENTES!$C$710,"")</f>
        <v/>
      </c>
      <c r="D716" s="301">
        <f>IF(_PENDIENTES!$B$710&lt;&gt;"",_PENDIENTES!$D$710,"")</f>
        <v/>
      </c>
      <c r="E716" s="306">
        <f>IF(_PENDIENTES!$B$710&lt;&gt;"",_PENDIENTES!$E$710,"")</f>
        <v/>
      </c>
      <c r="F716" s="301">
        <f>IF(_PENDIENTES!$B$710&lt;&gt;"",_PENDIENTES!$F$710,"")</f>
        <v/>
      </c>
      <c r="G716" s="245">
        <f>IF(_PENDIENTES!$B$710&lt;&gt;"",_PENDIENTES!$G$710,"")</f>
        <v/>
      </c>
      <c r="H716" s="245">
        <f>IF(_PENDIENTES!$B$710&lt;&gt;"",_PENDIENTES!$H$710,"")</f>
        <v/>
      </c>
      <c r="I716" s="302">
        <f>IF(_PENDIENTES!$B$710&lt;&gt;"",_PENDIENTES!$I$710,"")</f>
        <v/>
      </c>
      <c r="J716" s="301">
        <f>IF(_PENDIENTES!$B$710&lt;&gt;"",_PENDIENTES!$J$710,"")</f>
        <v/>
      </c>
      <c r="K716" s="301">
        <f>IF(_PENDIENTES!$B$710&lt;&gt;"","POR RECOGER","")</f>
        <v/>
      </c>
      <c r="L716" s="301">
        <f>IF(_PENDIENTES!$B$710&lt;&gt;"",_PENDIENTES!$K$710,"")</f>
        <v/>
      </c>
      <c r="M716" s="284">
        <f>IF(_PENDIENTES!$B$710&lt;&gt;"",_PENDIENTES!$B$710,"")</f>
        <v/>
      </c>
      <c r="N716" s="304">
        <f>IF(_PENDIENTES!$B$710&lt;&gt;"",_PENDIENTES!$L$710,"")</f>
        <v/>
      </c>
      <c r="O716" s="284" t="n"/>
      <c r="P716" s="284" t="n"/>
      <c r="Q716" s="284" t="n"/>
      <c r="R716" s="284" t="n"/>
      <c r="S716" s="284" t="n"/>
    </row>
    <row r="717" hidden="1" ht="15.75" customHeight="1" s="195">
      <c r="A717" s="241">
        <f>IF(_PENDIENTES!$B$711&lt;&gt;"",710,"")</f>
        <v/>
      </c>
      <c r="B717" s="236">
        <f>IF(_PENDIENTES!$B$711&lt;&gt;"",_PENDIENTES!$A$711,"")</f>
        <v/>
      </c>
      <c r="C717" s="305">
        <f>IF(_PENDIENTES!$B$711&lt;&gt;"",_PENDIENTES!$C$711,"")</f>
        <v/>
      </c>
      <c r="D717" s="241">
        <f>IF(_PENDIENTES!$B$711&lt;&gt;"",_PENDIENTES!$D$711,"")</f>
        <v/>
      </c>
      <c r="E717" s="307">
        <f>IF(_PENDIENTES!$B$711&lt;&gt;"",_PENDIENTES!$E$711,"")</f>
        <v/>
      </c>
      <c r="F717" s="241">
        <f>IF(_PENDIENTES!$B$711&lt;&gt;"",_PENDIENTES!$F$711,"")</f>
        <v/>
      </c>
      <c r="G717" s="239">
        <f>IF(_PENDIENTES!$B$711&lt;&gt;"",_PENDIENTES!$G$711,"")</f>
        <v/>
      </c>
      <c r="H717" s="239">
        <f>IF(_PENDIENTES!$B$711&lt;&gt;"",_PENDIENTES!$H$711,"")</f>
        <v/>
      </c>
      <c r="I717" s="305">
        <f>IF(_PENDIENTES!$B$711&lt;&gt;"",_PENDIENTES!$I$711,"")</f>
        <v/>
      </c>
      <c r="J717" s="241">
        <f>IF(_PENDIENTES!$B$711&lt;&gt;"",_PENDIENTES!$J$711,"")</f>
        <v/>
      </c>
      <c r="K717" s="241">
        <f>IF(_PENDIENTES!$B$711&lt;&gt;"","POR RECOGER","")</f>
        <v/>
      </c>
      <c r="L717" s="241">
        <f>IF(_PENDIENTES!$B$711&lt;&gt;"",_PENDIENTES!$K$711,"")</f>
        <v/>
      </c>
      <c r="M717" s="284">
        <f>IF(_PENDIENTES!$B$711&lt;&gt;"",_PENDIENTES!$B$711,"")</f>
        <v/>
      </c>
      <c r="N717" s="304">
        <f>IF(_PENDIENTES!$B$711&lt;&gt;"",_PENDIENTES!$L$711,"")</f>
        <v/>
      </c>
      <c r="O717" s="284" t="n"/>
      <c r="P717" s="284" t="n"/>
      <c r="Q717" s="284" t="n"/>
      <c r="R717" s="284" t="n"/>
      <c r="S717" s="284" t="n"/>
    </row>
    <row r="718" hidden="1" ht="15.75" customHeight="1" s="195">
      <c r="A718" s="301">
        <f>IF(_PENDIENTES!$B$712&lt;&gt;"",711,"")</f>
        <v/>
      </c>
      <c r="B718" s="242">
        <f>IF(_PENDIENTES!$B$712&lt;&gt;"",_PENDIENTES!$A$712,"")</f>
        <v/>
      </c>
      <c r="C718" s="302">
        <f>IF(_PENDIENTES!$B$712&lt;&gt;"",_PENDIENTES!$C$712,"")</f>
        <v/>
      </c>
      <c r="D718" s="301">
        <f>IF(_PENDIENTES!$B$712&lt;&gt;"",_PENDIENTES!$D$712,"")</f>
        <v/>
      </c>
      <c r="E718" s="306">
        <f>IF(_PENDIENTES!$B$712&lt;&gt;"",_PENDIENTES!$E$712,"")</f>
        <v/>
      </c>
      <c r="F718" s="301">
        <f>IF(_PENDIENTES!$B$712&lt;&gt;"",_PENDIENTES!$F$712,"")</f>
        <v/>
      </c>
      <c r="G718" s="245">
        <f>IF(_PENDIENTES!$B$712&lt;&gt;"",_PENDIENTES!$G$712,"")</f>
        <v/>
      </c>
      <c r="H718" s="245">
        <f>IF(_PENDIENTES!$B$712&lt;&gt;"",_PENDIENTES!$H$712,"")</f>
        <v/>
      </c>
      <c r="I718" s="302">
        <f>IF(_PENDIENTES!$B$712&lt;&gt;"",_PENDIENTES!$I$712,"")</f>
        <v/>
      </c>
      <c r="J718" s="301">
        <f>IF(_PENDIENTES!$B$712&lt;&gt;"",_PENDIENTES!$J$712,"")</f>
        <v/>
      </c>
      <c r="K718" s="301">
        <f>IF(_PENDIENTES!$B$712&lt;&gt;"","POR RECOGER","")</f>
        <v/>
      </c>
      <c r="L718" s="301">
        <f>IF(_PENDIENTES!$B$712&lt;&gt;"",_PENDIENTES!$K$712,"")</f>
        <v/>
      </c>
      <c r="M718" s="284">
        <f>IF(_PENDIENTES!$B$712&lt;&gt;"",_PENDIENTES!$B$712,"")</f>
        <v/>
      </c>
      <c r="N718" s="304">
        <f>IF(_PENDIENTES!$B$712&lt;&gt;"",_PENDIENTES!$L$712,"")</f>
        <v/>
      </c>
      <c r="O718" s="284" t="n"/>
      <c r="P718" s="284" t="n"/>
      <c r="Q718" s="284" t="n"/>
      <c r="R718" s="284" t="n"/>
      <c r="S718" s="284" t="n"/>
    </row>
    <row r="719" hidden="1" ht="15.75" customHeight="1" s="195">
      <c r="A719" s="241">
        <f>IF(_PENDIENTES!$B$713&lt;&gt;"",712,"")</f>
        <v/>
      </c>
      <c r="B719" s="236">
        <f>IF(_PENDIENTES!$B$713&lt;&gt;"",_PENDIENTES!$A$713,"")</f>
        <v/>
      </c>
      <c r="C719" s="305">
        <f>IF(_PENDIENTES!$B$713&lt;&gt;"",_PENDIENTES!$C$713,"")</f>
        <v/>
      </c>
      <c r="D719" s="241">
        <f>IF(_PENDIENTES!$B$713&lt;&gt;"",_PENDIENTES!$D$713,"")</f>
        <v/>
      </c>
      <c r="E719" s="307">
        <f>IF(_PENDIENTES!$B$713&lt;&gt;"",_PENDIENTES!$E$713,"")</f>
        <v/>
      </c>
      <c r="F719" s="241">
        <f>IF(_PENDIENTES!$B$713&lt;&gt;"",_PENDIENTES!$F$713,"")</f>
        <v/>
      </c>
      <c r="G719" s="239">
        <f>IF(_PENDIENTES!$B$713&lt;&gt;"",_PENDIENTES!$G$713,"")</f>
        <v/>
      </c>
      <c r="H719" s="239">
        <f>IF(_PENDIENTES!$B$713&lt;&gt;"",_PENDIENTES!$H$713,"")</f>
        <v/>
      </c>
      <c r="I719" s="305">
        <f>IF(_PENDIENTES!$B$713&lt;&gt;"",_PENDIENTES!$I$713,"")</f>
        <v/>
      </c>
      <c r="J719" s="241">
        <f>IF(_PENDIENTES!$B$713&lt;&gt;"",_PENDIENTES!$J$713,"")</f>
        <v/>
      </c>
      <c r="K719" s="241">
        <f>IF(_PENDIENTES!$B$713&lt;&gt;"","POR RECOGER","")</f>
        <v/>
      </c>
      <c r="L719" s="241">
        <f>IF(_PENDIENTES!$B$713&lt;&gt;"",_PENDIENTES!$K$713,"")</f>
        <v/>
      </c>
      <c r="M719" s="284">
        <f>IF(_PENDIENTES!$B$713&lt;&gt;"",_PENDIENTES!$B$713,"")</f>
        <v/>
      </c>
      <c r="N719" s="304">
        <f>IF(_PENDIENTES!$B$713&lt;&gt;"",_PENDIENTES!$L$713,"")</f>
        <v/>
      </c>
      <c r="O719" s="284" t="n"/>
      <c r="P719" s="284" t="n"/>
      <c r="Q719" s="284" t="n"/>
      <c r="R719" s="284" t="n"/>
      <c r="S719" s="284" t="n"/>
    </row>
    <row r="720" hidden="1" ht="15.75" customHeight="1" s="195">
      <c r="A720" s="301">
        <f>IF(_PENDIENTES!$B$714&lt;&gt;"",713,"")</f>
        <v/>
      </c>
      <c r="B720" s="242">
        <f>IF(_PENDIENTES!$B$714&lt;&gt;"",_PENDIENTES!$A$714,"")</f>
        <v/>
      </c>
      <c r="C720" s="302">
        <f>IF(_PENDIENTES!$B$714&lt;&gt;"",_PENDIENTES!$C$714,"")</f>
        <v/>
      </c>
      <c r="D720" s="301">
        <f>IF(_PENDIENTES!$B$714&lt;&gt;"",_PENDIENTES!$D$714,"")</f>
        <v/>
      </c>
      <c r="E720" s="306">
        <f>IF(_PENDIENTES!$B$714&lt;&gt;"",_PENDIENTES!$E$714,"")</f>
        <v/>
      </c>
      <c r="F720" s="301">
        <f>IF(_PENDIENTES!$B$714&lt;&gt;"",_PENDIENTES!$F$714,"")</f>
        <v/>
      </c>
      <c r="G720" s="245">
        <f>IF(_PENDIENTES!$B$714&lt;&gt;"",_PENDIENTES!$G$714,"")</f>
        <v/>
      </c>
      <c r="H720" s="245">
        <f>IF(_PENDIENTES!$B$714&lt;&gt;"",_PENDIENTES!$H$714,"")</f>
        <v/>
      </c>
      <c r="I720" s="302">
        <f>IF(_PENDIENTES!$B$714&lt;&gt;"",_PENDIENTES!$I$714,"")</f>
        <v/>
      </c>
      <c r="J720" s="301">
        <f>IF(_PENDIENTES!$B$714&lt;&gt;"",_PENDIENTES!$J$714,"")</f>
        <v/>
      </c>
      <c r="K720" s="301">
        <f>IF(_PENDIENTES!$B$714&lt;&gt;"","POR RECOGER","")</f>
        <v/>
      </c>
      <c r="L720" s="301">
        <f>IF(_PENDIENTES!$B$714&lt;&gt;"",_PENDIENTES!$K$714,"")</f>
        <v/>
      </c>
      <c r="M720" s="284">
        <f>IF(_PENDIENTES!$B$714&lt;&gt;"",_PENDIENTES!$B$714,"")</f>
        <v/>
      </c>
      <c r="N720" s="304">
        <f>IF(_PENDIENTES!$B$714&lt;&gt;"",_PENDIENTES!$L$714,"")</f>
        <v/>
      </c>
      <c r="O720" s="284" t="n"/>
      <c r="P720" s="284" t="n"/>
      <c r="Q720" s="284" t="n"/>
      <c r="R720" s="284" t="n"/>
      <c r="S720" s="284" t="n"/>
    </row>
    <row r="721" hidden="1" ht="15.75" customHeight="1" s="195">
      <c r="A721" s="241">
        <f>IF(_PENDIENTES!$B$715&lt;&gt;"",714,"")</f>
        <v/>
      </c>
      <c r="B721" s="236">
        <f>IF(_PENDIENTES!$B$715&lt;&gt;"",_PENDIENTES!$A$715,"")</f>
        <v/>
      </c>
      <c r="C721" s="305">
        <f>IF(_PENDIENTES!$B$715&lt;&gt;"",_PENDIENTES!$C$715,"")</f>
        <v/>
      </c>
      <c r="D721" s="241">
        <f>IF(_PENDIENTES!$B$715&lt;&gt;"",_PENDIENTES!$D$715,"")</f>
        <v/>
      </c>
      <c r="E721" s="307">
        <f>IF(_PENDIENTES!$B$715&lt;&gt;"",_PENDIENTES!$E$715,"")</f>
        <v/>
      </c>
      <c r="F721" s="241">
        <f>IF(_PENDIENTES!$B$715&lt;&gt;"",_PENDIENTES!$F$715,"")</f>
        <v/>
      </c>
      <c r="G721" s="239">
        <f>IF(_PENDIENTES!$B$715&lt;&gt;"",_PENDIENTES!$G$715,"")</f>
        <v/>
      </c>
      <c r="H721" s="239">
        <f>IF(_PENDIENTES!$B$715&lt;&gt;"",_PENDIENTES!$H$715,"")</f>
        <v/>
      </c>
      <c r="I721" s="305">
        <f>IF(_PENDIENTES!$B$715&lt;&gt;"",_PENDIENTES!$I$715,"")</f>
        <v/>
      </c>
      <c r="J721" s="241">
        <f>IF(_PENDIENTES!$B$715&lt;&gt;"",_PENDIENTES!$J$715,"")</f>
        <v/>
      </c>
      <c r="K721" s="241">
        <f>IF(_PENDIENTES!$B$715&lt;&gt;"","POR RECOGER","")</f>
        <v/>
      </c>
      <c r="L721" s="241">
        <f>IF(_PENDIENTES!$B$715&lt;&gt;"",_PENDIENTES!$K$715,"")</f>
        <v/>
      </c>
      <c r="M721" s="284">
        <f>IF(_PENDIENTES!$B$715&lt;&gt;"",_PENDIENTES!$B$715,"")</f>
        <v/>
      </c>
      <c r="N721" s="304">
        <f>IF(_PENDIENTES!$B$715&lt;&gt;"",_PENDIENTES!$L$715,"")</f>
        <v/>
      </c>
      <c r="O721" s="284" t="n"/>
      <c r="P721" s="284" t="n"/>
      <c r="Q721" s="284" t="n"/>
      <c r="R721" s="284" t="n"/>
      <c r="S721" s="284" t="n"/>
    </row>
    <row r="722" hidden="1" ht="15.75" customHeight="1" s="195">
      <c r="A722" s="301">
        <f>IF(_PENDIENTES!$B$716&lt;&gt;"",715,"")</f>
        <v/>
      </c>
      <c r="B722" s="242">
        <f>IF(_PENDIENTES!$B$716&lt;&gt;"",_PENDIENTES!$A$716,"")</f>
        <v/>
      </c>
      <c r="C722" s="302">
        <f>IF(_PENDIENTES!$B$716&lt;&gt;"",_PENDIENTES!$C$716,"")</f>
        <v/>
      </c>
      <c r="D722" s="301">
        <f>IF(_PENDIENTES!$B$716&lt;&gt;"",_PENDIENTES!$D$716,"")</f>
        <v/>
      </c>
      <c r="E722" s="306">
        <f>IF(_PENDIENTES!$B$716&lt;&gt;"",_PENDIENTES!$E$716,"")</f>
        <v/>
      </c>
      <c r="F722" s="301">
        <f>IF(_PENDIENTES!$B$716&lt;&gt;"",_PENDIENTES!$F$716,"")</f>
        <v/>
      </c>
      <c r="G722" s="245">
        <f>IF(_PENDIENTES!$B$716&lt;&gt;"",_PENDIENTES!$G$716,"")</f>
        <v/>
      </c>
      <c r="H722" s="245">
        <f>IF(_PENDIENTES!$B$716&lt;&gt;"",_PENDIENTES!$H$716,"")</f>
        <v/>
      </c>
      <c r="I722" s="302">
        <f>IF(_PENDIENTES!$B$716&lt;&gt;"",_PENDIENTES!$I$716,"")</f>
        <v/>
      </c>
      <c r="J722" s="301">
        <f>IF(_PENDIENTES!$B$716&lt;&gt;"",_PENDIENTES!$J$716,"")</f>
        <v/>
      </c>
      <c r="K722" s="301">
        <f>IF(_PENDIENTES!$B$716&lt;&gt;"","POR RECOGER","")</f>
        <v/>
      </c>
      <c r="L722" s="301">
        <f>IF(_PENDIENTES!$B$716&lt;&gt;"",_PENDIENTES!$K$716,"")</f>
        <v/>
      </c>
      <c r="M722" s="284">
        <f>IF(_PENDIENTES!$B$716&lt;&gt;"",_PENDIENTES!$B$716,"")</f>
        <v/>
      </c>
      <c r="N722" s="304">
        <f>IF(_PENDIENTES!$B$716&lt;&gt;"",_PENDIENTES!$L$716,"")</f>
        <v/>
      </c>
      <c r="O722" s="284" t="n"/>
      <c r="P722" s="284" t="n"/>
      <c r="Q722" s="284" t="n"/>
      <c r="R722" s="284" t="n"/>
      <c r="S722" s="284" t="n"/>
    </row>
    <row r="723" hidden="1" ht="15.75" customHeight="1" s="195">
      <c r="A723" s="241">
        <f>IF(_PENDIENTES!$B$717&lt;&gt;"",716,"")</f>
        <v/>
      </c>
      <c r="B723" s="236">
        <f>IF(_PENDIENTES!$B$717&lt;&gt;"",_PENDIENTES!$A$717,"")</f>
        <v/>
      </c>
      <c r="C723" s="305">
        <f>IF(_PENDIENTES!$B$717&lt;&gt;"",_PENDIENTES!$C$717,"")</f>
        <v/>
      </c>
      <c r="D723" s="241">
        <f>IF(_PENDIENTES!$B$717&lt;&gt;"",_PENDIENTES!$D$717,"")</f>
        <v/>
      </c>
      <c r="E723" s="307">
        <f>IF(_PENDIENTES!$B$717&lt;&gt;"",_PENDIENTES!$E$717,"")</f>
        <v/>
      </c>
      <c r="F723" s="241">
        <f>IF(_PENDIENTES!$B$717&lt;&gt;"",_PENDIENTES!$F$717,"")</f>
        <v/>
      </c>
      <c r="G723" s="239">
        <f>IF(_PENDIENTES!$B$717&lt;&gt;"",_PENDIENTES!$G$717,"")</f>
        <v/>
      </c>
      <c r="H723" s="239">
        <f>IF(_PENDIENTES!$B$717&lt;&gt;"",_PENDIENTES!$H$717,"")</f>
        <v/>
      </c>
      <c r="I723" s="305">
        <f>IF(_PENDIENTES!$B$717&lt;&gt;"",_PENDIENTES!$I$717,"")</f>
        <v/>
      </c>
      <c r="J723" s="241">
        <f>IF(_PENDIENTES!$B$717&lt;&gt;"",_PENDIENTES!$J$717,"")</f>
        <v/>
      </c>
      <c r="K723" s="241">
        <f>IF(_PENDIENTES!$B$717&lt;&gt;"","POR RECOGER","")</f>
        <v/>
      </c>
      <c r="L723" s="241">
        <f>IF(_PENDIENTES!$B$717&lt;&gt;"",_PENDIENTES!$K$717,"")</f>
        <v/>
      </c>
      <c r="M723" s="284">
        <f>IF(_PENDIENTES!$B$717&lt;&gt;"",_PENDIENTES!$B$717,"")</f>
        <v/>
      </c>
      <c r="N723" s="304">
        <f>IF(_PENDIENTES!$B$717&lt;&gt;"",_PENDIENTES!$L$717,"")</f>
        <v/>
      </c>
      <c r="O723" s="284" t="n"/>
      <c r="P723" s="284" t="n"/>
      <c r="Q723" s="284" t="n"/>
      <c r="R723" s="284" t="n"/>
      <c r="S723" s="284" t="n"/>
    </row>
    <row r="724" hidden="1" ht="15.75" customHeight="1" s="195">
      <c r="A724" s="301">
        <f>IF(_PENDIENTES!$B$718&lt;&gt;"",717,"")</f>
        <v/>
      </c>
      <c r="B724" s="242">
        <f>IF(_PENDIENTES!$B$718&lt;&gt;"",_PENDIENTES!$A$718,"")</f>
        <v/>
      </c>
      <c r="C724" s="302">
        <f>IF(_PENDIENTES!$B$718&lt;&gt;"",_PENDIENTES!$C$718,"")</f>
        <v/>
      </c>
      <c r="D724" s="301">
        <f>IF(_PENDIENTES!$B$718&lt;&gt;"",_PENDIENTES!$D$718,"")</f>
        <v/>
      </c>
      <c r="E724" s="306">
        <f>IF(_PENDIENTES!$B$718&lt;&gt;"",_PENDIENTES!$E$718,"")</f>
        <v/>
      </c>
      <c r="F724" s="301">
        <f>IF(_PENDIENTES!$B$718&lt;&gt;"",_PENDIENTES!$F$718,"")</f>
        <v/>
      </c>
      <c r="G724" s="245">
        <f>IF(_PENDIENTES!$B$718&lt;&gt;"",_PENDIENTES!$G$718,"")</f>
        <v/>
      </c>
      <c r="H724" s="245">
        <f>IF(_PENDIENTES!$B$718&lt;&gt;"",_PENDIENTES!$H$718,"")</f>
        <v/>
      </c>
      <c r="I724" s="302">
        <f>IF(_PENDIENTES!$B$718&lt;&gt;"",_PENDIENTES!$I$718,"")</f>
        <v/>
      </c>
      <c r="J724" s="301">
        <f>IF(_PENDIENTES!$B$718&lt;&gt;"",_PENDIENTES!$J$718,"")</f>
        <v/>
      </c>
      <c r="K724" s="301">
        <f>IF(_PENDIENTES!$B$718&lt;&gt;"","POR RECOGER","")</f>
        <v/>
      </c>
      <c r="L724" s="301">
        <f>IF(_PENDIENTES!$B$718&lt;&gt;"",_PENDIENTES!$K$718,"")</f>
        <v/>
      </c>
      <c r="M724" s="284">
        <f>IF(_PENDIENTES!$B$718&lt;&gt;"",_PENDIENTES!$B$718,"")</f>
        <v/>
      </c>
      <c r="N724" s="304">
        <f>IF(_PENDIENTES!$B$718&lt;&gt;"",_PENDIENTES!$L$718,"")</f>
        <v/>
      </c>
      <c r="O724" s="284" t="n"/>
      <c r="P724" s="284" t="n"/>
      <c r="Q724" s="284" t="n"/>
      <c r="R724" s="284" t="n"/>
      <c r="S724" s="284" t="n"/>
    </row>
    <row r="725" hidden="1" ht="15.75" customHeight="1" s="195">
      <c r="A725" s="241">
        <f>IF(_PENDIENTES!$B$719&lt;&gt;"",718,"")</f>
        <v/>
      </c>
      <c r="B725" s="236">
        <f>IF(_PENDIENTES!$B$719&lt;&gt;"",_PENDIENTES!$A$719,"")</f>
        <v/>
      </c>
      <c r="C725" s="305">
        <f>IF(_PENDIENTES!$B$719&lt;&gt;"",_PENDIENTES!$C$719,"")</f>
        <v/>
      </c>
      <c r="D725" s="241">
        <f>IF(_PENDIENTES!$B$719&lt;&gt;"",_PENDIENTES!$D$719,"")</f>
        <v/>
      </c>
      <c r="E725" s="307">
        <f>IF(_PENDIENTES!$B$719&lt;&gt;"",_PENDIENTES!$E$719,"")</f>
        <v/>
      </c>
      <c r="F725" s="241">
        <f>IF(_PENDIENTES!$B$719&lt;&gt;"",_PENDIENTES!$F$719,"")</f>
        <v/>
      </c>
      <c r="G725" s="239">
        <f>IF(_PENDIENTES!$B$719&lt;&gt;"",_PENDIENTES!$G$719,"")</f>
        <v/>
      </c>
      <c r="H725" s="239">
        <f>IF(_PENDIENTES!$B$719&lt;&gt;"",_PENDIENTES!$H$719,"")</f>
        <v/>
      </c>
      <c r="I725" s="305">
        <f>IF(_PENDIENTES!$B$719&lt;&gt;"",_PENDIENTES!$I$719,"")</f>
        <v/>
      </c>
      <c r="J725" s="241">
        <f>IF(_PENDIENTES!$B$719&lt;&gt;"",_PENDIENTES!$J$719,"")</f>
        <v/>
      </c>
      <c r="K725" s="241">
        <f>IF(_PENDIENTES!$B$719&lt;&gt;"","POR RECOGER","")</f>
        <v/>
      </c>
      <c r="L725" s="241">
        <f>IF(_PENDIENTES!$B$719&lt;&gt;"",_PENDIENTES!$K$719,"")</f>
        <v/>
      </c>
      <c r="M725" s="284">
        <f>IF(_PENDIENTES!$B$719&lt;&gt;"",_PENDIENTES!$B$719,"")</f>
        <v/>
      </c>
      <c r="N725" s="304">
        <f>IF(_PENDIENTES!$B$719&lt;&gt;"",_PENDIENTES!$L$719,"")</f>
        <v/>
      </c>
      <c r="O725" s="284" t="n"/>
      <c r="P725" s="284" t="n"/>
      <c r="Q725" s="284" t="n"/>
      <c r="R725" s="284" t="n"/>
      <c r="S725" s="284" t="n"/>
    </row>
    <row r="726" hidden="1" ht="15.75" customHeight="1" s="195">
      <c r="A726" s="301">
        <f>IF(_PENDIENTES!$B$720&lt;&gt;"",719,"")</f>
        <v/>
      </c>
      <c r="B726" s="242">
        <f>IF(_PENDIENTES!$B$720&lt;&gt;"",_PENDIENTES!$A$720,"")</f>
        <v/>
      </c>
      <c r="C726" s="302">
        <f>IF(_PENDIENTES!$B$720&lt;&gt;"",_PENDIENTES!$C$720,"")</f>
        <v/>
      </c>
      <c r="D726" s="301">
        <f>IF(_PENDIENTES!$B$720&lt;&gt;"",_PENDIENTES!$D$720,"")</f>
        <v/>
      </c>
      <c r="E726" s="306">
        <f>IF(_PENDIENTES!$B$720&lt;&gt;"",_PENDIENTES!$E$720,"")</f>
        <v/>
      </c>
      <c r="F726" s="301">
        <f>IF(_PENDIENTES!$B$720&lt;&gt;"",_PENDIENTES!$F$720,"")</f>
        <v/>
      </c>
      <c r="G726" s="245">
        <f>IF(_PENDIENTES!$B$720&lt;&gt;"",_PENDIENTES!$G$720,"")</f>
        <v/>
      </c>
      <c r="H726" s="245">
        <f>IF(_PENDIENTES!$B$720&lt;&gt;"",_PENDIENTES!$H$720,"")</f>
        <v/>
      </c>
      <c r="I726" s="302">
        <f>IF(_PENDIENTES!$B$720&lt;&gt;"",_PENDIENTES!$I$720,"")</f>
        <v/>
      </c>
      <c r="J726" s="301">
        <f>IF(_PENDIENTES!$B$720&lt;&gt;"",_PENDIENTES!$J$720,"")</f>
        <v/>
      </c>
      <c r="K726" s="301">
        <f>IF(_PENDIENTES!$B$720&lt;&gt;"","POR RECOGER","")</f>
        <v/>
      </c>
      <c r="L726" s="301">
        <f>IF(_PENDIENTES!$B$720&lt;&gt;"",_PENDIENTES!$K$720,"")</f>
        <v/>
      </c>
      <c r="M726" s="284">
        <f>IF(_PENDIENTES!$B$720&lt;&gt;"",_PENDIENTES!$B$720,"")</f>
        <v/>
      </c>
      <c r="N726" s="304">
        <f>IF(_PENDIENTES!$B$720&lt;&gt;"",_PENDIENTES!$L$720,"")</f>
        <v/>
      </c>
      <c r="O726" s="284" t="n"/>
      <c r="P726" s="284" t="n"/>
      <c r="Q726" s="284" t="n"/>
      <c r="R726" s="284" t="n"/>
      <c r="S726" s="284" t="n"/>
    </row>
    <row r="727" hidden="1" ht="15.75" customHeight="1" s="195">
      <c r="A727" s="241">
        <f>IF(_PENDIENTES!$B$721&lt;&gt;"",720,"")</f>
        <v/>
      </c>
      <c r="B727" s="236">
        <f>IF(_PENDIENTES!$B$721&lt;&gt;"",_PENDIENTES!$A$721,"")</f>
        <v/>
      </c>
      <c r="C727" s="305">
        <f>IF(_PENDIENTES!$B$721&lt;&gt;"",_PENDIENTES!$C$721,"")</f>
        <v/>
      </c>
      <c r="D727" s="241">
        <f>IF(_PENDIENTES!$B$721&lt;&gt;"",_PENDIENTES!$D$721,"")</f>
        <v/>
      </c>
      <c r="E727" s="307">
        <f>IF(_PENDIENTES!$B$721&lt;&gt;"",_PENDIENTES!$E$721,"")</f>
        <v/>
      </c>
      <c r="F727" s="241">
        <f>IF(_PENDIENTES!$B$721&lt;&gt;"",_PENDIENTES!$F$721,"")</f>
        <v/>
      </c>
      <c r="G727" s="239">
        <f>IF(_PENDIENTES!$B$721&lt;&gt;"",_PENDIENTES!$G$721,"")</f>
        <v/>
      </c>
      <c r="H727" s="239">
        <f>IF(_PENDIENTES!$B$721&lt;&gt;"",_PENDIENTES!$H$721,"")</f>
        <v/>
      </c>
      <c r="I727" s="305">
        <f>IF(_PENDIENTES!$B$721&lt;&gt;"",_PENDIENTES!$I$721,"")</f>
        <v/>
      </c>
      <c r="J727" s="241">
        <f>IF(_PENDIENTES!$B$721&lt;&gt;"",_PENDIENTES!$J$721,"")</f>
        <v/>
      </c>
      <c r="K727" s="241">
        <f>IF(_PENDIENTES!$B$721&lt;&gt;"","POR RECOGER","")</f>
        <v/>
      </c>
      <c r="L727" s="241">
        <f>IF(_PENDIENTES!$B$721&lt;&gt;"",_PENDIENTES!$K$721,"")</f>
        <v/>
      </c>
      <c r="M727" s="284">
        <f>IF(_PENDIENTES!$B$721&lt;&gt;"",_PENDIENTES!$B$721,"")</f>
        <v/>
      </c>
      <c r="N727" s="304">
        <f>IF(_PENDIENTES!$B$721&lt;&gt;"",_PENDIENTES!$L$721,"")</f>
        <v/>
      </c>
      <c r="O727" s="284" t="n"/>
      <c r="P727" s="284" t="n"/>
      <c r="Q727" s="284" t="n"/>
      <c r="R727" s="284" t="n"/>
      <c r="S727" s="284" t="n"/>
    </row>
    <row r="728" hidden="1" ht="15.75" customHeight="1" s="195">
      <c r="A728" s="301">
        <f>IF(_PENDIENTES!$B$722&lt;&gt;"",721,"")</f>
        <v/>
      </c>
      <c r="B728" s="242">
        <f>IF(_PENDIENTES!$B$722&lt;&gt;"",_PENDIENTES!$A$722,"")</f>
        <v/>
      </c>
      <c r="C728" s="302">
        <f>IF(_PENDIENTES!$B$722&lt;&gt;"",_PENDIENTES!$C$722,"")</f>
        <v/>
      </c>
      <c r="D728" s="301">
        <f>IF(_PENDIENTES!$B$722&lt;&gt;"",_PENDIENTES!$D$722,"")</f>
        <v/>
      </c>
      <c r="E728" s="306">
        <f>IF(_PENDIENTES!$B$722&lt;&gt;"",_PENDIENTES!$E$722,"")</f>
        <v/>
      </c>
      <c r="F728" s="301">
        <f>IF(_PENDIENTES!$B$722&lt;&gt;"",_PENDIENTES!$F$722,"")</f>
        <v/>
      </c>
      <c r="G728" s="245">
        <f>IF(_PENDIENTES!$B$722&lt;&gt;"",_PENDIENTES!$G$722,"")</f>
        <v/>
      </c>
      <c r="H728" s="245">
        <f>IF(_PENDIENTES!$B$722&lt;&gt;"",_PENDIENTES!$H$722,"")</f>
        <v/>
      </c>
      <c r="I728" s="302">
        <f>IF(_PENDIENTES!$B$722&lt;&gt;"",_PENDIENTES!$I$722,"")</f>
        <v/>
      </c>
      <c r="J728" s="301">
        <f>IF(_PENDIENTES!$B$722&lt;&gt;"",_PENDIENTES!$J$722,"")</f>
        <v/>
      </c>
      <c r="K728" s="301">
        <f>IF(_PENDIENTES!$B$722&lt;&gt;"","POR RECOGER","")</f>
        <v/>
      </c>
      <c r="L728" s="301">
        <f>IF(_PENDIENTES!$B$722&lt;&gt;"",_PENDIENTES!$K$722,"")</f>
        <v/>
      </c>
      <c r="M728" s="284">
        <f>IF(_PENDIENTES!$B$722&lt;&gt;"",_PENDIENTES!$B$722,"")</f>
        <v/>
      </c>
      <c r="N728" s="304">
        <f>IF(_PENDIENTES!$B$722&lt;&gt;"",_PENDIENTES!$L$722,"")</f>
        <v/>
      </c>
      <c r="O728" s="284" t="n"/>
      <c r="P728" s="284" t="n"/>
      <c r="Q728" s="284" t="n"/>
      <c r="R728" s="284" t="n"/>
      <c r="S728" s="284" t="n"/>
    </row>
    <row r="729" hidden="1" ht="15.75" customHeight="1" s="195">
      <c r="A729" s="241">
        <f>IF(_PENDIENTES!$B$723&lt;&gt;"",722,"")</f>
        <v/>
      </c>
      <c r="B729" s="236">
        <f>IF(_PENDIENTES!$B$723&lt;&gt;"",_PENDIENTES!$A$723,"")</f>
        <v/>
      </c>
      <c r="C729" s="305">
        <f>IF(_PENDIENTES!$B$723&lt;&gt;"",_PENDIENTES!$C$723,"")</f>
        <v/>
      </c>
      <c r="D729" s="241">
        <f>IF(_PENDIENTES!$B$723&lt;&gt;"",_PENDIENTES!$D$723,"")</f>
        <v/>
      </c>
      <c r="E729" s="307">
        <f>IF(_PENDIENTES!$B$723&lt;&gt;"",_PENDIENTES!$E$723,"")</f>
        <v/>
      </c>
      <c r="F729" s="241">
        <f>IF(_PENDIENTES!$B$723&lt;&gt;"",_PENDIENTES!$F$723,"")</f>
        <v/>
      </c>
      <c r="G729" s="239">
        <f>IF(_PENDIENTES!$B$723&lt;&gt;"",_PENDIENTES!$G$723,"")</f>
        <v/>
      </c>
      <c r="H729" s="239">
        <f>IF(_PENDIENTES!$B$723&lt;&gt;"",_PENDIENTES!$H$723,"")</f>
        <v/>
      </c>
      <c r="I729" s="305">
        <f>IF(_PENDIENTES!$B$723&lt;&gt;"",_PENDIENTES!$I$723,"")</f>
        <v/>
      </c>
      <c r="J729" s="241">
        <f>IF(_PENDIENTES!$B$723&lt;&gt;"",_PENDIENTES!$J$723,"")</f>
        <v/>
      </c>
      <c r="K729" s="241">
        <f>IF(_PENDIENTES!$B$723&lt;&gt;"","POR RECOGER","")</f>
        <v/>
      </c>
      <c r="L729" s="241">
        <f>IF(_PENDIENTES!$B$723&lt;&gt;"",_PENDIENTES!$K$723,"")</f>
        <v/>
      </c>
      <c r="M729" s="284">
        <f>IF(_PENDIENTES!$B$723&lt;&gt;"",_PENDIENTES!$B$723,"")</f>
        <v/>
      </c>
      <c r="N729" s="304">
        <f>IF(_PENDIENTES!$B$723&lt;&gt;"",_PENDIENTES!$L$723,"")</f>
        <v/>
      </c>
      <c r="O729" s="284" t="n"/>
      <c r="P729" s="284" t="n"/>
      <c r="Q729" s="284" t="n"/>
      <c r="R729" s="284" t="n"/>
      <c r="S729" s="284" t="n"/>
    </row>
    <row r="730" hidden="1" ht="15.75" customHeight="1" s="195">
      <c r="A730" s="301">
        <f>IF(_PENDIENTES!$B$724&lt;&gt;"",723,"")</f>
        <v/>
      </c>
      <c r="B730" s="242">
        <f>IF(_PENDIENTES!$B$724&lt;&gt;"",_PENDIENTES!$A$724,"")</f>
        <v/>
      </c>
      <c r="C730" s="302">
        <f>IF(_PENDIENTES!$B$724&lt;&gt;"",_PENDIENTES!$C$724,"")</f>
        <v/>
      </c>
      <c r="D730" s="301">
        <f>IF(_PENDIENTES!$B$724&lt;&gt;"",_PENDIENTES!$D$724,"")</f>
        <v/>
      </c>
      <c r="E730" s="306">
        <f>IF(_PENDIENTES!$B$724&lt;&gt;"",_PENDIENTES!$E$724,"")</f>
        <v/>
      </c>
      <c r="F730" s="301">
        <f>IF(_PENDIENTES!$B$724&lt;&gt;"",_PENDIENTES!$F$724,"")</f>
        <v/>
      </c>
      <c r="G730" s="245">
        <f>IF(_PENDIENTES!$B$724&lt;&gt;"",_PENDIENTES!$G$724,"")</f>
        <v/>
      </c>
      <c r="H730" s="245">
        <f>IF(_PENDIENTES!$B$724&lt;&gt;"",_PENDIENTES!$H$724,"")</f>
        <v/>
      </c>
      <c r="I730" s="302">
        <f>IF(_PENDIENTES!$B$724&lt;&gt;"",_PENDIENTES!$I$724,"")</f>
        <v/>
      </c>
      <c r="J730" s="301">
        <f>IF(_PENDIENTES!$B$724&lt;&gt;"",_PENDIENTES!$J$724,"")</f>
        <v/>
      </c>
      <c r="K730" s="301">
        <f>IF(_PENDIENTES!$B$724&lt;&gt;"","POR RECOGER","")</f>
        <v/>
      </c>
      <c r="L730" s="301">
        <f>IF(_PENDIENTES!$B$724&lt;&gt;"",_PENDIENTES!$K$724,"")</f>
        <v/>
      </c>
      <c r="M730" s="284">
        <f>IF(_PENDIENTES!$B$724&lt;&gt;"",_PENDIENTES!$B$724,"")</f>
        <v/>
      </c>
      <c r="N730" s="304">
        <f>IF(_PENDIENTES!$B$724&lt;&gt;"",_PENDIENTES!$L$724,"")</f>
        <v/>
      </c>
      <c r="O730" s="284" t="n"/>
      <c r="P730" s="284" t="n"/>
      <c r="Q730" s="284" t="n"/>
      <c r="R730" s="284" t="n"/>
      <c r="S730" s="284" t="n"/>
    </row>
    <row r="731" hidden="1" ht="15.75" customHeight="1" s="195">
      <c r="A731" s="241">
        <f>IF(_PENDIENTES!$B$725&lt;&gt;"",724,"")</f>
        <v/>
      </c>
      <c r="B731" s="236">
        <f>IF(_PENDIENTES!$B$725&lt;&gt;"",_PENDIENTES!$A$725,"")</f>
        <v/>
      </c>
      <c r="C731" s="305">
        <f>IF(_PENDIENTES!$B$725&lt;&gt;"",_PENDIENTES!$C$725,"")</f>
        <v/>
      </c>
      <c r="D731" s="241">
        <f>IF(_PENDIENTES!$B$725&lt;&gt;"",_PENDIENTES!$D$725,"")</f>
        <v/>
      </c>
      <c r="E731" s="307">
        <f>IF(_PENDIENTES!$B$725&lt;&gt;"",_PENDIENTES!$E$725,"")</f>
        <v/>
      </c>
      <c r="F731" s="241">
        <f>IF(_PENDIENTES!$B$725&lt;&gt;"",_PENDIENTES!$F$725,"")</f>
        <v/>
      </c>
      <c r="G731" s="239">
        <f>IF(_PENDIENTES!$B$725&lt;&gt;"",_PENDIENTES!$G$725,"")</f>
        <v/>
      </c>
      <c r="H731" s="239">
        <f>IF(_PENDIENTES!$B$725&lt;&gt;"",_PENDIENTES!$H$725,"")</f>
        <v/>
      </c>
      <c r="I731" s="305">
        <f>IF(_PENDIENTES!$B$725&lt;&gt;"",_PENDIENTES!$I$725,"")</f>
        <v/>
      </c>
      <c r="J731" s="241">
        <f>IF(_PENDIENTES!$B$725&lt;&gt;"",_PENDIENTES!$J$725,"")</f>
        <v/>
      </c>
      <c r="K731" s="241">
        <f>IF(_PENDIENTES!$B$725&lt;&gt;"","POR RECOGER","")</f>
        <v/>
      </c>
      <c r="L731" s="241">
        <f>IF(_PENDIENTES!$B$725&lt;&gt;"",_PENDIENTES!$K$725,"")</f>
        <v/>
      </c>
      <c r="M731" s="284">
        <f>IF(_PENDIENTES!$B$725&lt;&gt;"",_PENDIENTES!$B$725,"")</f>
        <v/>
      </c>
      <c r="N731" s="304">
        <f>IF(_PENDIENTES!$B$725&lt;&gt;"",_PENDIENTES!$L$725,"")</f>
        <v/>
      </c>
      <c r="O731" s="284" t="n"/>
      <c r="P731" s="284" t="n"/>
      <c r="Q731" s="284" t="n"/>
      <c r="R731" s="284" t="n"/>
      <c r="S731" s="284" t="n"/>
    </row>
    <row r="732" hidden="1" ht="15.75" customHeight="1" s="195">
      <c r="A732" s="301">
        <f>IF(_PENDIENTES!$B$726&lt;&gt;"",725,"")</f>
        <v/>
      </c>
      <c r="B732" s="242">
        <f>IF(_PENDIENTES!$B$726&lt;&gt;"",_PENDIENTES!$A$726,"")</f>
        <v/>
      </c>
      <c r="C732" s="302">
        <f>IF(_PENDIENTES!$B$726&lt;&gt;"",_PENDIENTES!$C$726,"")</f>
        <v/>
      </c>
      <c r="D732" s="301">
        <f>IF(_PENDIENTES!$B$726&lt;&gt;"",_PENDIENTES!$D$726,"")</f>
        <v/>
      </c>
      <c r="E732" s="306">
        <f>IF(_PENDIENTES!$B$726&lt;&gt;"",_PENDIENTES!$E$726,"")</f>
        <v/>
      </c>
      <c r="F732" s="301">
        <f>IF(_PENDIENTES!$B$726&lt;&gt;"",_PENDIENTES!$F$726,"")</f>
        <v/>
      </c>
      <c r="G732" s="245">
        <f>IF(_PENDIENTES!$B$726&lt;&gt;"",_PENDIENTES!$G$726,"")</f>
        <v/>
      </c>
      <c r="H732" s="245">
        <f>IF(_PENDIENTES!$B$726&lt;&gt;"",_PENDIENTES!$H$726,"")</f>
        <v/>
      </c>
      <c r="I732" s="302">
        <f>IF(_PENDIENTES!$B$726&lt;&gt;"",_PENDIENTES!$I$726,"")</f>
        <v/>
      </c>
      <c r="J732" s="301">
        <f>IF(_PENDIENTES!$B$726&lt;&gt;"",_PENDIENTES!$J$726,"")</f>
        <v/>
      </c>
      <c r="K732" s="301">
        <f>IF(_PENDIENTES!$B$726&lt;&gt;"","POR RECOGER","")</f>
        <v/>
      </c>
      <c r="L732" s="301">
        <f>IF(_PENDIENTES!$B$726&lt;&gt;"",_PENDIENTES!$K$726,"")</f>
        <v/>
      </c>
      <c r="M732" s="284">
        <f>IF(_PENDIENTES!$B$726&lt;&gt;"",_PENDIENTES!$B$726,"")</f>
        <v/>
      </c>
      <c r="N732" s="304">
        <f>IF(_PENDIENTES!$B$726&lt;&gt;"",_PENDIENTES!$L$726,"")</f>
        <v/>
      </c>
      <c r="O732" s="284" t="n"/>
      <c r="P732" s="284" t="n"/>
      <c r="Q732" s="284" t="n"/>
      <c r="R732" s="284" t="n"/>
      <c r="S732" s="284" t="n"/>
    </row>
    <row r="733" hidden="1" ht="15.75" customHeight="1" s="195">
      <c r="A733" s="241">
        <f>IF(_PENDIENTES!$B$727&lt;&gt;"",726,"")</f>
        <v/>
      </c>
      <c r="B733" s="236">
        <f>IF(_PENDIENTES!$B$727&lt;&gt;"",_PENDIENTES!$A$727,"")</f>
        <v/>
      </c>
      <c r="C733" s="305">
        <f>IF(_PENDIENTES!$B$727&lt;&gt;"",_PENDIENTES!$C$727,"")</f>
        <v/>
      </c>
      <c r="D733" s="241">
        <f>IF(_PENDIENTES!$B$727&lt;&gt;"",_PENDIENTES!$D$727,"")</f>
        <v/>
      </c>
      <c r="E733" s="307">
        <f>IF(_PENDIENTES!$B$727&lt;&gt;"",_PENDIENTES!$E$727,"")</f>
        <v/>
      </c>
      <c r="F733" s="241">
        <f>IF(_PENDIENTES!$B$727&lt;&gt;"",_PENDIENTES!$F$727,"")</f>
        <v/>
      </c>
      <c r="G733" s="239">
        <f>IF(_PENDIENTES!$B$727&lt;&gt;"",_PENDIENTES!$G$727,"")</f>
        <v/>
      </c>
      <c r="H733" s="239">
        <f>IF(_PENDIENTES!$B$727&lt;&gt;"",_PENDIENTES!$H$727,"")</f>
        <v/>
      </c>
      <c r="I733" s="305">
        <f>IF(_PENDIENTES!$B$727&lt;&gt;"",_PENDIENTES!$I$727,"")</f>
        <v/>
      </c>
      <c r="J733" s="241">
        <f>IF(_PENDIENTES!$B$727&lt;&gt;"",_PENDIENTES!$J$727,"")</f>
        <v/>
      </c>
      <c r="K733" s="241">
        <f>IF(_PENDIENTES!$B$727&lt;&gt;"","POR RECOGER","")</f>
        <v/>
      </c>
      <c r="L733" s="241">
        <f>IF(_PENDIENTES!$B$727&lt;&gt;"",_PENDIENTES!$K$727,"")</f>
        <v/>
      </c>
      <c r="M733" s="284">
        <f>IF(_PENDIENTES!$B$727&lt;&gt;"",_PENDIENTES!$B$727,"")</f>
        <v/>
      </c>
      <c r="N733" s="304">
        <f>IF(_PENDIENTES!$B$727&lt;&gt;"",_PENDIENTES!$L$727,"")</f>
        <v/>
      </c>
      <c r="O733" s="284" t="n"/>
      <c r="P733" s="284" t="n"/>
      <c r="Q733" s="284" t="n"/>
      <c r="R733" s="284" t="n"/>
      <c r="S733" s="284" t="n"/>
    </row>
    <row r="734" hidden="1" ht="15.75" customHeight="1" s="195">
      <c r="A734" s="301">
        <f>IF(_PENDIENTES!$B$728&lt;&gt;"",727,"")</f>
        <v/>
      </c>
      <c r="B734" s="242">
        <f>IF(_PENDIENTES!$B$728&lt;&gt;"",_PENDIENTES!$A$728,"")</f>
        <v/>
      </c>
      <c r="C734" s="302">
        <f>IF(_PENDIENTES!$B$728&lt;&gt;"",_PENDIENTES!$C$728,"")</f>
        <v/>
      </c>
      <c r="D734" s="301">
        <f>IF(_PENDIENTES!$B$728&lt;&gt;"",_PENDIENTES!$D$728,"")</f>
        <v/>
      </c>
      <c r="E734" s="306">
        <f>IF(_PENDIENTES!$B$728&lt;&gt;"",_PENDIENTES!$E$728,"")</f>
        <v/>
      </c>
      <c r="F734" s="301">
        <f>IF(_PENDIENTES!$B$728&lt;&gt;"",_PENDIENTES!$F$728,"")</f>
        <v/>
      </c>
      <c r="G734" s="245">
        <f>IF(_PENDIENTES!$B$728&lt;&gt;"",_PENDIENTES!$G$728,"")</f>
        <v/>
      </c>
      <c r="H734" s="245">
        <f>IF(_PENDIENTES!$B$728&lt;&gt;"",_PENDIENTES!$H$728,"")</f>
        <v/>
      </c>
      <c r="I734" s="302">
        <f>IF(_PENDIENTES!$B$728&lt;&gt;"",_PENDIENTES!$I$728,"")</f>
        <v/>
      </c>
      <c r="J734" s="301">
        <f>IF(_PENDIENTES!$B$728&lt;&gt;"",_PENDIENTES!$J$728,"")</f>
        <v/>
      </c>
      <c r="K734" s="301">
        <f>IF(_PENDIENTES!$B$728&lt;&gt;"","POR RECOGER","")</f>
        <v/>
      </c>
      <c r="L734" s="301">
        <f>IF(_PENDIENTES!$B$728&lt;&gt;"",_PENDIENTES!$K$728,"")</f>
        <v/>
      </c>
      <c r="M734" s="284">
        <f>IF(_PENDIENTES!$B$728&lt;&gt;"",_PENDIENTES!$B$728,"")</f>
        <v/>
      </c>
      <c r="N734" s="304">
        <f>IF(_PENDIENTES!$B$728&lt;&gt;"",_PENDIENTES!$L$728,"")</f>
        <v/>
      </c>
      <c r="O734" s="284" t="n"/>
      <c r="P734" s="284" t="n"/>
      <c r="Q734" s="284" t="n"/>
      <c r="R734" s="284" t="n"/>
      <c r="S734" s="284" t="n"/>
    </row>
    <row r="735" hidden="1" ht="15.75" customHeight="1" s="195">
      <c r="A735" s="241">
        <f>IF(_PENDIENTES!$B$729&lt;&gt;"",728,"")</f>
        <v/>
      </c>
      <c r="B735" s="236">
        <f>IF(_PENDIENTES!$B$729&lt;&gt;"",_PENDIENTES!$A$729,"")</f>
        <v/>
      </c>
      <c r="C735" s="305">
        <f>IF(_PENDIENTES!$B$729&lt;&gt;"",_PENDIENTES!$C$729,"")</f>
        <v/>
      </c>
      <c r="D735" s="241">
        <f>IF(_PENDIENTES!$B$729&lt;&gt;"",_PENDIENTES!$D$729,"")</f>
        <v/>
      </c>
      <c r="E735" s="307">
        <f>IF(_PENDIENTES!$B$729&lt;&gt;"",_PENDIENTES!$E$729,"")</f>
        <v/>
      </c>
      <c r="F735" s="241">
        <f>IF(_PENDIENTES!$B$729&lt;&gt;"",_PENDIENTES!$F$729,"")</f>
        <v/>
      </c>
      <c r="G735" s="239">
        <f>IF(_PENDIENTES!$B$729&lt;&gt;"",_PENDIENTES!$G$729,"")</f>
        <v/>
      </c>
      <c r="H735" s="239">
        <f>IF(_PENDIENTES!$B$729&lt;&gt;"",_PENDIENTES!$H$729,"")</f>
        <v/>
      </c>
      <c r="I735" s="305">
        <f>IF(_PENDIENTES!$B$729&lt;&gt;"",_PENDIENTES!$I$729,"")</f>
        <v/>
      </c>
      <c r="J735" s="241">
        <f>IF(_PENDIENTES!$B$729&lt;&gt;"",_PENDIENTES!$J$729,"")</f>
        <v/>
      </c>
      <c r="K735" s="241">
        <f>IF(_PENDIENTES!$B$729&lt;&gt;"","POR RECOGER","")</f>
        <v/>
      </c>
      <c r="L735" s="241">
        <f>IF(_PENDIENTES!$B$729&lt;&gt;"",_PENDIENTES!$K$729,"")</f>
        <v/>
      </c>
      <c r="M735" s="284">
        <f>IF(_PENDIENTES!$B$729&lt;&gt;"",_PENDIENTES!$B$729,"")</f>
        <v/>
      </c>
      <c r="N735" s="304">
        <f>IF(_PENDIENTES!$B$729&lt;&gt;"",_PENDIENTES!$L$729,"")</f>
        <v/>
      </c>
      <c r="O735" s="284" t="n"/>
      <c r="P735" s="284" t="n"/>
      <c r="Q735" s="284" t="n"/>
      <c r="R735" s="284" t="n"/>
      <c r="S735" s="284" t="n"/>
    </row>
    <row r="736" hidden="1" ht="15.75" customHeight="1" s="195">
      <c r="A736" s="301">
        <f>IF(_PENDIENTES!$B$730&lt;&gt;"",729,"")</f>
        <v/>
      </c>
      <c r="B736" s="242">
        <f>IF(_PENDIENTES!$B$730&lt;&gt;"",_PENDIENTES!$A$730,"")</f>
        <v/>
      </c>
      <c r="C736" s="302">
        <f>IF(_PENDIENTES!$B$730&lt;&gt;"",_PENDIENTES!$C$730,"")</f>
        <v/>
      </c>
      <c r="D736" s="301">
        <f>IF(_PENDIENTES!$B$730&lt;&gt;"",_PENDIENTES!$D$730,"")</f>
        <v/>
      </c>
      <c r="E736" s="306">
        <f>IF(_PENDIENTES!$B$730&lt;&gt;"",_PENDIENTES!$E$730,"")</f>
        <v/>
      </c>
      <c r="F736" s="301">
        <f>IF(_PENDIENTES!$B$730&lt;&gt;"",_PENDIENTES!$F$730,"")</f>
        <v/>
      </c>
      <c r="G736" s="245">
        <f>IF(_PENDIENTES!$B$730&lt;&gt;"",_PENDIENTES!$G$730,"")</f>
        <v/>
      </c>
      <c r="H736" s="245">
        <f>IF(_PENDIENTES!$B$730&lt;&gt;"",_PENDIENTES!$H$730,"")</f>
        <v/>
      </c>
      <c r="I736" s="302">
        <f>IF(_PENDIENTES!$B$730&lt;&gt;"",_PENDIENTES!$I$730,"")</f>
        <v/>
      </c>
      <c r="J736" s="301">
        <f>IF(_PENDIENTES!$B$730&lt;&gt;"",_PENDIENTES!$J$730,"")</f>
        <v/>
      </c>
      <c r="K736" s="301">
        <f>IF(_PENDIENTES!$B$730&lt;&gt;"","POR RECOGER","")</f>
        <v/>
      </c>
      <c r="L736" s="301">
        <f>IF(_PENDIENTES!$B$730&lt;&gt;"",_PENDIENTES!$K$730,"")</f>
        <v/>
      </c>
      <c r="M736" s="284">
        <f>IF(_PENDIENTES!$B$730&lt;&gt;"",_PENDIENTES!$B$730,"")</f>
        <v/>
      </c>
      <c r="N736" s="304">
        <f>IF(_PENDIENTES!$B$730&lt;&gt;"",_PENDIENTES!$L$730,"")</f>
        <v/>
      </c>
      <c r="O736" s="284" t="n"/>
      <c r="P736" s="284" t="n"/>
      <c r="Q736" s="284" t="n"/>
      <c r="R736" s="284" t="n"/>
      <c r="S736" s="284" t="n"/>
    </row>
    <row r="737" hidden="1" ht="15.75" customHeight="1" s="195">
      <c r="A737" s="241">
        <f>IF(_PENDIENTES!$B$731&lt;&gt;"",730,"")</f>
        <v/>
      </c>
      <c r="B737" s="236">
        <f>IF(_PENDIENTES!$B$731&lt;&gt;"",_PENDIENTES!$A$731,"")</f>
        <v/>
      </c>
      <c r="C737" s="305">
        <f>IF(_PENDIENTES!$B$731&lt;&gt;"",_PENDIENTES!$C$731,"")</f>
        <v/>
      </c>
      <c r="D737" s="241">
        <f>IF(_PENDIENTES!$B$731&lt;&gt;"",_PENDIENTES!$D$731,"")</f>
        <v/>
      </c>
      <c r="E737" s="307">
        <f>IF(_PENDIENTES!$B$731&lt;&gt;"",_PENDIENTES!$E$731,"")</f>
        <v/>
      </c>
      <c r="F737" s="241">
        <f>IF(_PENDIENTES!$B$731&lt;&gt;"",_PENDIENTES!$F$731,"")</f>
        <v/>
      </c>
      <c r="G737" s="239">
        <f>IF(_PENDIENTES!$B$731&lt;&gt;"",_PENDIENTES!$G$731,"")</f>
        <v/>
      </c>
      <c r="H737" s="239">
        <f>IF(_PENDIENTES!$B$731&lt;&gt;"",_PENDIENTES!$H$731,"")</f>
        <v/>
      </c>
      <c r="I737" s="305">
        <f>IF(_PENDIENTES!$B$731&lt;&gt;"",_PENDIENTES!$I$731,"")</f>
        <v/>
      </c>
      <c r="J737" s="241">
        <f>IF(_PENDIENTES!$B$731&lt;&gt;"",_PENDIENTES!$J$731,"")</f>
        <v/>
      </c>
      <c r="K737" s="241">
        <f>IF(_PENDIENTES!$B$731&lt;&gt;"","POR RECOGER","")</f>
        <v/>
      </c>
      <c r="L737" s="241">
        <f>IF(_PENDIENTES!$B$731&lt;&gt;"",_PENDIENTES!$K$731,"")</f>
        <v/>
      </c>
      <c r="M737" s="284">
        <f>IF(_PENDIENTES!$B$731&lt;&gt;"",_PENDIENTES!$B$731,"")</f>
        <v/>
      </c>
      <c r="N737" s="304">
        <f>IF(_PENDIENTES!$B$731&lt;&gt;"",_PENDIENTES!$L$731,"")</f>
        <v/>
      </c>
      <c r="O737" s="284" t="n"/>
      <c r="P737" s="284" t="n"/>
      <c r="Q737" s="284" t="n"/>
      <c r="R737" s="284" t="n"/>
      <c r="S737" s="284" t="n"/>
    </row>
    <row r="738" hidden="1" ht="15.75" customHeight="1" s="195">
      <c r="A738" s="301">
        <f>IF(_PENDIENTES!$B$732&lt;&gt;"",731,"")</f>
        <v/>
      </c>
      <c r="B738" s="242">
        <f>IF(_PENDIENTES!$B$732&lt;&gt;"",_PENDIENTES!$A$732,"")</f>
        <v/>
      </c>
      <c r="C738" s="302">
        <f>IF(_PENDIENTES!$B$732&lt;&gt;"",_PENDIENTES!$C$732,"")</f>
        <v/>
      </c>
      <c r="D738" s="301">
        <f>IF(_PENDIENTES!$B$732&lt;&gt;"",_PENDIENTES!$D$732,"")</f>
        <v/>
      </c>
      <c r="E738" s="306">
        <f>IF(_PENDIENTES!$B$732&lt;&gt;"",_PENDIENTES!$E$732,"")</f>
        <v/>
      </c>
      <c r="F738" s="301">
        <f>IF(_PENDIENTES!$B$732&lt;&gt;"",_PENDIENTES!$F$732,"")</f>
        <v/>
      </c>
      <c r="G738" s="245">
        <f>IF(_PENDIENTES!$B$732&lt;&gt;"",_PENDIENTES!$G$732,"")</f>
        <v/>
      </c>
      <c r="H738" s="245">
        <f>IF(_PENDIENTES!$B$732&lt;&gt;"",_PENDIENTES!$H$732,"")</f>
        <v/>
      </c>
      <c r="I738" s="302">
        <f>IF(_PENDIENTES!$B$732&lt;&gt;"",_PENDIENTES!$I$732,"")</f>
        <v/>
      </c>
      <c r="J738" s="301">
        <f>IF(_PENDIENTES!$B$732&lt;&gt;"",_PENDIENTES!$J$732,"")</f>
        <v/>
      </c>
      <c r="K738" s="301">
        <f>IF(_PENDIENTES!$B$732&lt;&gt;"","POR RECOGER","")</f>
        <v/>
      </c>
      <c r="L738" s="301">
        <f>IF(_PENDIENTES!$B$732&lt;&gt;"",_PENDIENTES!$K$732,"")</f>
        <v/>
      </c>
      <c r="M738" s="284">
        <f>IF(_PENDIENTES!$B$732&lt;&gt;"",_PENDIENTES!$B$732,"")</f>
        <v/>
      </c>
      <c r="N738" s="304">
        <f>IF(_PENDIENTES!$B$732&lt;&gt;"",_PENDIENTES!$L$732,"")</f>
        <v/>
      </c>
      <c r="O738" s="284" t="n"/>
      <c r="P738" s="284" t="n"/>
      <c r="Q738" s="284" t="n"/>
      <c r="R738" s="284" t="n"/>
      <c r="S738" s="284" t="n"/>
    </row>
    <row r="739" hidden="1" ht="15.75" customHeight="1" s="195">
      <c r="A739" s="241">
        <f>IF(_PENDIENTES!$B$733&lt;&gt;"",732,"")</f>
        <v/>
      </c>
      <c r="B739" s="236">
        <f>IF(_PENDIENTES!$B$733&lt;&gt;"",_PENDIENTES!$A$733,"")</f>
        <v/>
      </c>
      <c r="C739" s="305">
        <f>IF(_PENDIENTES!$B$733&lt;&gt;"",_PENDIENTES!$C$733,"")</f>
        <v/>
      </c>
      <c r="D739" s="241">
        <f>IF(_PENDIENTES!$B$733&lt;&gt;"",_PENDIENTES!$D$733,"")</f>
        <v/>
      </c>
      <c r="E739" s="307">
        <f>IF(_PENDIENTES!$B$733&lt;&gt;"",_PENDIENTES!$E$733,"")</f>
        <v/>
      </c>
      <c r="F739" s="241">
        <f>IF(_PENDIENTES!$B$733&lt;&gt;"",_PENDIENTES!$F$733,"")</f>
        <v/>
      </c>
      <c r="G739" s="239">
        <f>IF(_PENDIENTES!$B$733&lt;&gt;"",_PENDIENTES!$G$733,"")</f>
        <v/>
      </c>
      <c r="H739" s="239">
        <f>IF(_PENDIENTES!$B$733&lt;&gt;"",_PENDIENTES!$H$733,"")</f>
        <v/>
      </c>
      <c r="I739" s="305">
        <f>IF(_PENDIENTES!$B$733&lt;&gt;"",_PENDIENTES!$I$733,"")</f>
        <v/>
      </c>
      <c r="J739" s="241">
        <f>IF(_PENDIENTES!$B$733&lt;&gt;"",_PENDIENTES!$J$733,"")</f>
        <v/>
      </c>
      <c r="K739" s="241">
        <f>IF(_PENDIENTES!$B$733&lt;&gt;"","POR RECOGER","")</f>
        <v/>
      </c>
      <c r="L739" s="241">
        <f>IF(_PENDIENTES!$B$733&lt;&gt;"",_PENDIENTES!$K$733,"")</f>
        <v/>
      </c>
      <c r="M739" s="284">
        <f>IF(_PENDIENTES!$B$733&lt;&gt;"",_PENDIENTES!$B$733,"")</f>
        <v/>
      </c>
      <c r="N739" s="304">
        <f>IF(_PENDIENTES!$B$733&lt;&gt;"",_PENDIENTES!$L$733,"")</f>
        <v/>
      </c>
      <c r="O739" s="284" t="n"/>
      <c r="P739" s="284" t="n"/>
      <c r="Q739" s="284" t="n"/>
      <c r="R739" s="284" t="n"/>
      <c r="S739" s="284" t="n"/>
    </row>
    <row r="740" hidden="1" ht="15.75" customHeight="1" s="195">
      <c r="A740" s="301">
        <f>IF(_PENDIENTES!$B$734&lt;&gt;"",733,"")</f>
        <v/>
      </c>
      <c r="B740" s="242">
        <f>IF(_PENDIENTES!$B$734&lt;&gt;"",_PENDIENTES!$A$734,"")</f>
        <v/>
      </c>
      <c r="C740" s="302">
        <f>IF(_PENDIENTES!$B$734&lt;&gt;"",_PENDIENTES!$C$734,"")</f>
        <v/>
      </c>
      <c r="D740" s="301">
        <f>IF(_PENDIENTES!$B$734&lt;&gt;"",_PENDIENTES!$D$734,"")</f>
        <v/>
      </c>
      <c r="E740" s="306">
        <f>IF(_PENDIENTES!$B$734&lt;&gt;"",_PENDIENTES!$E$734,"")</f>
        <v/>
      </c>
      <c r="F740" s="301">
        <f>IF(_PENDIENTES!$B$734&lt;&gt;"",_PENDIENTES!$F$734,"")</f>
        <v/>
      </c>
      <c r="G740" s="245">
        <f>IF(_PENDIENTES!$B$734&lt;&gt;"",_PENDIENTES!$G$734,"")</f>
        <v/>
      </c>
      <c r="H740" s="245">
        <f>IF(_PENDIENTES!$B$734&lt;&gt;"",_PENDIENTES!$H$734,"")</f>
        <v/>
      </c>
      <c r="I740" s="302">
        <f>IF(_PENDIENTES!$B$734&lt;&gt;"",_PENDIENTES!$I$734,"")</f>
        <v/>
      </c>
      <c r="J740" s="301">
        <f>IF(_PENDIENTES!$B$734&lt;&gt;"",_PENDIENTES!$J$734,"")</f>
        <v/>
      </c>
      <c r="K740" s="301">
        <f>IF(_PENDIENTES!$B$734&lt;&gt;"","POR RECOGER","")</f>
        <v/>
      </c>
      <c r="L740" s="301">
        <f>IF(_PENDIENTES!$B$734&lt;&gt;"",_PENDIENTES!$K$734,"")</f>
        <v/>
      </c>
      <c r="M740" s="284">
        <f>IF(_PENDIENTES!$B$734&lt;&gt;"",_PENDIENTES!$B$734,"")</f>
        <v/>
      </c>
      <c r="N740" s="304">
        <f>IF(_PENDIENTES!$B$734&lt;&gt;"",_PENDIENTES!$L$734,"")</f>
        <v/>
      </c>
      <c r="O740" s="284" t="n"/>
      <c r="P740" s="284" t="n"/>
      <c r="Q740" s="284" t="n"/>
      <c r="R740" s="284" t="n"/>
      <c r="S740" s="284" t="n"/>
    </row>
    <row r="741" hidden="1" ht="15.75" customHeight="1" s="195">
      <c r="A741" s="241">
        <f>IF(_PENDIENTES!$B$735&lt;&gt;"",734,"")</f>
        <v/>
      </c>
      <c r="B741" s="236">
        <f>IF(_PENDIENTES!$B$735&lt;&gt;"",_PENDIENTES!$A$735,"")</f>
        <v/>
      </c>
      <c r="C741" s="305">
        <f>IF(_PENDIENTES!$B$735&lt;&gt;"",_PENDIENTES!$C$735,"")</f>
        <v/>
      </c>
      <c r="D741" s="241">
        <f>IF(_PENDIENTES!$B$735&lt;&gt;"",_PENDIENTES!$D$735,"")</f>
        <v/>
      </c>
      <c r="E741" s="307">
        <f>IF(_PENDIENTES!$B$735&lt;&gt;"",_PENDIENTES!$E$735,"")</f>
        <v/>
      </c>
      <c r="F741" s="241">
        <f>IF(_PENDIENTES!$B$735&lt;&gt;"",_PENDIENTES!$F$735,"")</f>
        <v/>
      </c>
      <c r="G741" s="239">
        <f>IF(_PENDIENTES!$B$735&lt;&gt;"",_PENDIENTES!$G$735,"")</f>
        <v/>
      </c>
      <c r="H741" s="239">
        <f>IF(_PENDIENTES!$B$735&lt;&gt;"",_PENDIENTES!$H$735,"")</f>
        <v/>
      </c>
      <c r="I741" s="305">
        <f>IF(_PENDIENTES!$B$735&lt;&gt;"",_PENDIENTES!$I$735,"")</f>
        <v/>
      </c>
      <c r="J741" s="241">
        <f>IF(_PENDIENTES!$B$735&lt;&gt;"",_PENDIENTES!$J$735,"")</f>
        <v/>
      </c>
      <c r="K741" s="241">
        <f>IF(_PENDIENTES!$B$735&lt;&gt;"","POR RECOGER","")</f>
        <v/>
      </c>
      <c r="L741" s="241">
        <f>IF(_PENDIENTES!$B$735&lt;&gt;"",_PENDIENTES!$K$735,"")</f>
        <v/>
      </c>
      <c r="M741" s="284">
        <f>IF(_PENDIENTES!$B$735&lt;&gt;"",_PENDIENTES!$B$735,"")</f>
        <v/>
      </c>
      <c r="N741" s="304">
        <f>IF(_PENDIENTES!$B$735&lt;&gt;"",_PENDIENTES!$L$735,"")</f>
        <v/>
      </c>
      <c r="O741" s="284" t="n"/>
      <c r="P741" s="284" t="n"/>
      <c r="Q741" s="284" t="n"/>
      <c r="R741" s="284" t="n"/>
      <c r="S741" s="284" t="n"/>
    </row>
    <row r="742" hidden="1" ht="15.75" customHeight="1" s="195">
      <c r="A742" s="301">
        <f>IF(_PENDIENTES!$B$736&lt;&gt;"",735,"")</f>
        <v/>
      </c>
      <c r="B742" s="242">
        <f>IF(_PENDIENTES!$B$736&lt;&gt;"",_PENDIENTES!$A$736,"")</f>
        <v/>
      </c>
      <c r="C742" s="302">
        <f>IF(_PENDIENTES!$B$736&lt;&gt;"",_PENDIENTES!$C$736,"")</f>
        <v/>
      </c>
      <c r="D742" s="301">
        <f>IF(_PENDIENTES!$B$736&lt;&gt;"",_PENDIENTES!$D$736,"")</f>
        <v/>
      </c>
      <c r="E742" s="306">
        <f>IF(_PENDIENTES!$B$736&lt;&gt;"",_PENDIENTES!$E$736,"")</f>
        <v/>
      </c>
      <c r="F742" s="301">
        <f>IF(_PENDIENTES!$B$736&lt;&gt;"",_PENDIENTES!$F$736,"")</f>
        <v/>
      </c>
      <c r="G742" s="245">
        <f>IF(_PENDIENTES!$B$736&lt;&gt;"",_PENDIENTES!$G$736,"")</f>
        <v/>
      </c>
      <c r="H742" s="245">
        <f>IF(_PENDIENTES!$B$736&lt;&gt;"",_PENDIENTES!$H$736,"")</f>
        <v/>
      </c>
      <c r="I742" s="302">
        <f>IF(_PENDIENTES!$B$736&lt;&gt;"",_PENDIENTES!$I$736,"")</f>
        <v/>
      </c>
      <c r="J742" s="301">
        <f>IF(_PENDIENTES!$B$736&lt;&gt;"",_PENDIENTES!$J$736,"")</f>
        <v/>
      </c>
      <c r="K742" s="301">
        <f>IF(_PENDIENTES!$B$736&lt;&gt;"","POR RECOGER","")</f>
        <v/>
      </c>
      <c r="L742" s="301">
        <f>IF(_PENDIENTES!$B$736&lt;&gt;"",_PENDIENTES!$K$736,"")</f>
        <v/>
      </c>
      <c r="M742" s="284">
        <f>IF(_PENDIENTES!$B$736&lt;&gt;"",_PENDIENTES!$B$736,"")</f>
        <v/>
      </c>
      <c r="N742" s="304">
        <f>IF(_PENDIENTES!$B$736&lt;&gt;"",_PENDIENTES!$L$736,"")</f>
        <v/>
      </c>
      <c r="O742" s="284" t="n"/>
      <c r="P742" s="284" t="n"/>
      <c r="Q742" s="284" t="n"/>
      <c r="R742" s="284" t="n"/>
      <c r="S742" s="284" t="n"/>
    </row>
    <row r="743" hidden="1" ht="15.75" customHeight="1" s="195">
      <c r="A743" s="241">
        <f>IF(_PENDIENTES!$B$737&lt;&gt;"",736,"")</f>
        <v/>
      </c>
      <c r="B743" s="236">
        <f>IF(_PENDIENTES!$B$737&lt;&gt;"",_PENDIENTES!$A$737,"")</f>
        <v/>
      </c>
      <c r="C743" s="305">
        <f>IF(_PENDIENTES!$B$737&lt;&gt;"",_PENDIENTES!$C$737,"")</f>
        <v/>
      </c>
      <c r="D743" s="241">
        <f>IF(_PENDIENTES!$B$737&lt;&gt;"",_PENDIENTES!$D$737,"")</f>
        <v/>
      </c>
      <c r="E743" s="307">
        <f>IF(_PENDIENTES!$B$737&lt;&gt;"",_PENDIENTES!$E$737,"")</f>
        <v/>
      </c>
      <c r="F743" s="241">
        <f>IF(_PENDIENTES!$B$737&lt;&gt;"",_PENDIENTES!$F$737,"")</f>
        <v/>
      </c>
      <c r="G743" s="239">
        <f>IF(_PENDIENTES!$B$737&lt;&gt;"",_PENDIENTES!$G$737,"")</f>
        <v/>
      </c>
      <c r="H743" s="239">
        <f>IF(_PENDIENTES!$B$737&lt;&gt;"",_PENDIENTES!$H$737,"")</f>
        <v/>
      </c>
      <c r="I743" s="305">
        <f>IF(_PENDIENTES!$B$737&lt;&gt;"",_PENDIENTES!$I$737,"")</f>
        <v/>
      </c>
      <c r="J743" s="241">
        <f>IF(_PENDIENTES!$B$737&lt;&gt;"",_PENDIENTES!$J$737,"")</f>
        <v/>
      </c>
      <c r="K743" s="241">
        <f>IF(_PENDIENTES!$B$737&lt;&gt;"","POR RECOGER","")</f>
        <v/>
      </c>
      <c r="L743" s="241">
        <f>IF(_PENDIENTES!$B$737&lt;&gt;"",_PENDIENTES!$K$737,"")</f>
        <v/>
      </c>
      <c r="M743" s="284">
        <f>IF(_PENDIENTES!$B$737&lt;&gt;"",_PENDIENTES!$B$737,"")</f>
        <v/>
      </c>
      <c r="N743" s="304">
        <f>IF(_PENDIENTES!$B$737&lt;&gt;"",_PENDIENTES!$L$737,"")</f>
        <v/>
      </c>
      <c r="O743" s="284" t="n"/>
      <c r="P743" s="284" t="n"/>
      <c r="Q743" s="284" t="n"/>
      <c r="R743" s="284" t="n"/>
      <c r="S743" s="284" t="n"/>
    </row>
    <row r="744" hidden="1" ht="15.75" customHeight="1" s="195">
      <c r="A744" s="301">
        <f>IF(_PENDIENTES!$B$738&lt;&gt;"",737,"")</f>
        <v/>
      </c>
      <c r="B744" s="242">
        <f>IF(_PENDIENTES!$B$738&lt;&gt;"",_PENDIENTES!$A$738,"")</f>
        <v/>
      </c>
      <c r="C744" s="302">
        <f>IF(_PENDIENTES!$B$738&lt;&gt;"",_PENDIENTES!$C$738,"")</f>
        <v/>
      </c>
      <c r="D744" s="301">
        <f>IF(_PENDIENTES!$B$738&lt;&gt;"",_PENDIENTES!$D$738,"")</f>
        <v/>
      </c>
      <c r="E744" s="306">
        <f>IF(_PENDIENTES!$B$738&lt;&gt;"",_PENDIENTES!$E$738,"")</f>
        <v/>
      </c>
      <c r="F744" s="301">
        <f>IF(_PENDIENTES!$B$738&lt;&gt;"",_PENDIENTES!$F$738,"")</f>
        <v/>
      </c>
      <c r="G744" s="245">
        <f>IF(_PENDIENTES!$B$738&lt;&gt;"",_PENDIENTES!$G$738,"")</f>
        <v/>
      </c>
      <c r="H744" s="245">
        <f>IF(_PENDIENTES!$B$738&lt;&gt;"",_PENDIENTES!$H$738,"")</f>
        <v/>
      </c>
      <c r="I744" s="302">
        <f>IF(_PENDIENTES!$B$738&lt;&gt;"",_PENDIENTES!$I$738,"")</f>
        <v/>
      </c>
      <c r="J744" s="301">
        <f>IF(_PENDIENTES!$B$738&lt;&gt;"",_PENDIENTES!$J$738,"")</f>
        <v/>
      </c>
      <c r="K744" s="301">
        <f>IF(_PENDIENTES!$B$738&lt;&gt;"","POR RECOGER","")</f>
        <v/>
      </c>
      <c r="L744" s="301">
        <f>IF(_PENDIENTES!$B$738&lt;&gt;"",_PENDIENTES!$K$738,"")</f>
        <v/>
      </c>
      <c r="M744" s="284">
        <f>IF(_PENDIENTES!$B$738&lt;&gt;"",_PENDIENTES!$B$738,"")</f>
        <v/>
      </c>
      <c r="N744" s="304">
        <f>IF(_PENDIENTES!$B$738&lt;&gt;"",_PENDIENTES!$L$738,"")</f>
        <v/>
      </c>
      <c r="O744" s="284" t="n"/>
      <c r="P744" s="284" t="n"/>
      <c r="Q744" s="284" t="n"/>
      <c r="R744" s="284" t="n"/>
      <c r="S744" s="284" t="n"/>
    </row>
    <row r="745" hidden="1" ht="15.75" customHeight="1" s="195">
      <c r="A745" s="241">
        <f>IF(_PENDIENTES!$B$739&lt;&gt;"",738,"")</f>
        <v/>
      </c>
      <c r="B745" s="236">
        <f>IF(_PENDIENTES!$B$739&lt;&gt;"",_PENDIENTES!$A$739,"")</f>
        <v/>
      </c>
      <c r="C745" s="305">
        <f>IF(_PENDIENTES!$B$739&lt;&gt;"",_PENDIENTES!$C$739,"")</f>
        <v/>
      </c>
      <c r="D745" s="241">
        <f>IF(_PENDIENTES!$B$739&lt;&gt;"",_PENDIENTES!$D$739,"")</f>
        <v/>
      </c>
      <c r="E745" s="307">
        <f>IF(_PENDIENTES!$B$739&lt;&gt;"",_PENDIENTES!$E$739,"")</f>
        <v/>
      </c>
      <c r="F745" s="241">
        <f>IF(_PENDIENTES!$B$739&lt;&gt;"",_PENDIENTES!$F$739,"")</f>
        <v/>
      </c>
      <c r="G745" s="239">
        <f>IF(_PENDIENTES!$B$739&lt;&gt;"",_PENDIENTES!$G$739,"")</f>
        <v/>
      </c>
      <c r="H745" s="239">
        <f>IF(_PENDIENTES!$B$739&lt;&gt;"",_PENDIENTES!$H$739,"")</f>
        <v/>
      </c>
      <c r="I745" s="305">
        <f>IF(_PENDIENTES!$B$739&lt;&gt;"",_PENDIENTES!$I$739,"")</f>
        <v/>
      </c>
      <c r="J745" s="241">
        <f>IF(_PENDIENTES!$B$739&lt;&gt;"",_PENDIENTES!$J$739,"")</f>
        <v/>
      </c>
      <c r="K745" s="241">
        <f>IF(_PENDIENTES!$B$739&lt;&gt;"","POR RECOGER","")</f>
        <v/>
      </c>
      <c r="L745" s="241">
        <f>IF(_PENDIENTES!$B$739&lt;&gt;"",_PENDIENTES!$K$739,"")</f>
        <v/>
      </c>
      <c r="M745" s="284">
        <f>IF(_PENDIENTES!$B$739&lt;&gt;"",_PENDIENTES!$B$739,"")</f>
        <v/>
      </c>
      <c r="N745" s="304">
        <f>IF(_PENDIENTES!$B$739&lt;&gt;"",_PENDIENTES!$L$739,"")</f>
        <v/>
      </c>
      <c r="O745" s="284" t="n"/>
      <c r="P745" s="284" t="n"/>
      <c r="Q745" s="284" t="n"/>
      <c r="R745" s="284" t="n"/>
      <c r="S745" s="284" t="n"/>
    </row>
    <row r="746" hidden="1" ht="15.75" customHeight="1" s="195">
      <c r="A746" s="301">
        <f>IF(_PENDIENTES!$B$740&lt;&gt;"",739,"")</f>
        <v/>
      </c>
      <c r="B746" s="242">
        <f>IF(_PENDIENTES!$B$740&lt;&gt;"",_PENDIENTES!$A$740,"")</f>
        <v/>
      </c>
      <c r="C746" s="302">
        <f>IF(_PENDIENTES!$B$740&lt;&gt;"",_PENDIENTES!$C$740,"")</f>
        <v/>
      </c>
      <c r="D746" s="301">
        <f>IF(_PENDIENTES!$B$740&lt;&gt;"",_PENDIENTES!$D$740,"")</f>
        <v/>
      </c>
      <c r="E746" s="306">
        <f>IF(_PENDIENTES!$B$740&lt;&gt;"",_PENDIENTES!$E$740,"")</f>
        <v/>
      </c>
      <c r="F746" s="301">
        <f>IF(_PENDIENTES!$B$740&lt;&gt;"",_PENDIENTES!$F$740,"")</f>
        <v/>
      </c>
      <c r="G746" s="245">
        <f>IF(_PENDIENTES!$B$740&lt;&gt;"",_PENDIENTES!$G$740,"")</f>
        <v/>
      </c>
      <c r="H746" s="245">
        <f>IF(_PENDIENTES!$B$740&lt;&gt;"",_PENDIENTES!$H$740,"")</f>
        <v/>
      </c>
      <c r="I746" s="302">
        <f>IF(_PENDIENTES!$B$740&lt;&gt;"",_PENDIENTES!$I$740,"")</f>
        <v/>
      </c>
      <c r="J746" s="301">
        <f>IF(_PENDIENTES!$B$740&lt;&gt;"",_PENDIENTES!$J$740,"")</f>
        <v/>
      </c>
      <c r="K746" s="301">
        <f>IF(_PENDIENTES!$B$740&lt;&gt;"","POR RECOGER","")</f>
        <v/>
      </c>
      <c r="L746" s="301">
        <f>IF(_PENDIENTES!$B$740&lt;&gt;"",_PENDIENTES!$K$740,"")</f>
        <v/>
      </c>
      <c r="M746" s="284">
        <f>IF(_PENDIENTES!$B$740&lt;&gt;"",_PENDIENTES!$B$740,"")</f>
        <v/>
      </c>
      <c r="N746" s="304">
        <f>IF(_PENDIENTES!$B$740&lt;&gt;"",_PENDIENTES!$L$740,"")</f>
        <v/>
      </c>
      <c r="O746" s="284" t="n"/>
      <c r="P746" s="284" t="n"/>
      <c r="Q746" s="284" t="n"/>
      <c r="R746" s="284" t="n"/>
      <c r="S746" s="284" t="n"/>
    </row>
    <row r="747" hidden="1" ht="15.75" customHeight="1" s="195">
      <c r="A747" s="241">
        <f>IF(_PENDIENTES!$B$741&lt;&gt;"",740,"")</f>
        <v/>
      </c>
      <c r="B747" s="236">
        <f>IF(_PENDIENTES!$B$741&lt;&gt;"",_PENDIENTES!$A$741,"")</f>
        <v/>
      </c>
      <c r="C747" s="305">
        <f>IF(_PENDIENTES!$B$741&lt;&gt;"",_PENDIENTES!$C$741,"")</f>
        <v/>
      </c>
      <c r="D747" s="241">
        <f>IF(_PENDIENTES!$B$741&lt;&gt;"",_PENDIENTES!$D$741,"")</f>
        <v/>
      </c>
      <c r="E747" s="307">
        <f>IF(_PENDIENTES!$B$741&lt;&gt;"",_PENDIENTES!$E$741,"")</f>
        <v/>
      </c>
      <c r="F747" s="241">
        <f>IF(_PENDIENTES!$B$741&lt;&gt;"",_PENDIENTES!$F$741,"")</f>
        <v/>
      </c>
      <c r="G747" s="239">
        <f>IF(_PENDIENTES!$B$741&lt;&gt;"",_PENDIENTES!$G$741,"")</f>
        <v/>
      </c>
      <c r="H747" s="239">
        <f>IF(_PENDIENTES!$B$741&lt;&gt;"",_PENDIENTES!$H$741,"")</f>
        <v/>
      </c>
      <c r="I747" s="305">
        <f>IF(_PENDIENTES!$B$741&lt;&gt;"",_PENDIENTES!$I$741,"")</f>
        <v/>
      </c>
      <c r="J747" s="241">
        <f>IF(_PENDIENTES!$B$741&lt;&gt;"",_PENDIENTES!$J$741,"")</f>
        <v/>
      </c>
      <c r="K747" s="241">
        <f>IF(_PENDIENTES!$B$741&lt;&gt;"","POR RECOGER","")</f>
        <v/>
      </c>
      <c r="L747" s="241">
        <f>IF(_PENDIENTES!$B$741&lt;&gt;"",_PENDIENTES!$K$741,"")</f>
        <v/>
      </c>
      <c r="M747" s="284">
        <f>IF(_PENDIENTES!$B$741&lt;&gt;"",_PENDIENTES!$B$741,"")</f>
        <v/>
      </c>
      <c r="N747" s="304">
        <f>IF(_PENDIENTES!$B$741&lt;&gt;"",_PENDIENTES!$L$741,"")</f>
        <v/>
      </c>
      <c r="O747" s="284" t="n"/>
      <c r="P747" s="284" t="n"/>
      <c r="Q747" s="284" t="n"/>
      <c r="R747" s="284" t="n"/>
      <c r="S747" s="284" t="n"/>
    </row>
    <row r="748" hidden="1" ht="15.75" customHeight="1" s="195">
      <c r="A748" s="301">
        <f>IF(_PENDIENTES!$B$742&lt;&gt;"",741,"")</f>
        <v/>
      </c>
      <c r="B748" s="242">
        <f>IF(_PENDIENTES!$B$742&lt;&gt;"",_PENDIENTES!$A$742,"")</f>
        <v/>
      </c>
      <c r="C748" s="302">
        <f>IF(_PENDIENTES!$B$742&lt;&gt;"",_PENDIENTES!$C$742,"")</f>
        <v/>
      </c>
      <c r="D748" s="301">
        <f>IF(_PENDIENTES!$B$742&lt;&gt;"",_PENDIENTES!$D$742,"")</f>
        <v/>
      </c>
      <c r="E748" s="306">
        <f>IF(_PENDIENTES!$B$742&lt;&gt;"",_PENDIENTES!$E$742,"")</f>
        <v/>
      </c>
      <c r="F748" s="301">
        <f>IF(_PENDIENTES!$B$742&lt;&gt;"",_PENDIENTES!$F$742,"")</f>
        <v/>
      </c>
      <c r="G748" s="245">
        <f>IF(_PENDIENTES!$B$742&lt;&gt;"",_PENDIENTES!$G$742,"")</f>
        <v/>
      </c>
      <c r="H748" s="245">
        <f>IF(_PENDIENTES!$B$742&lt;&gt;"",_PENDIENTES!$H$742,"")</f>
        <v/>
      </c>
      <c r="I748" s="302">
        <f>IF(_PENDIENTES!$B$742&lt;&gt;"",_PENDIENTES!$I$742,"")</f>
        <v/>
      </c>
      <c r="J748" s="301">
        <f>IF(_PENDIENTES!$B$742&lt;&gt;"",_PENDIENTES!$J$742,"")</f>
        <v/>
      </c>
      <c r="K748" s="301">
        <f>IF(_PENDIENTES!$B$742&lt;&gt;"","POR RECOGER","")</f>
        <v/>
      </c>
      <c r="L748" s="301">
        <f>IF(_PENDIENTES!$B$742&lt;&gt;"",_PENDIENTES!$K$742,"")</f>
        <v/>
      </c>
      <c r="M748" s="284">
        <f>IF(_PENDIENTES!$B$742&lt;&gt;"",_PENDIENTES!$B$742,"")</f>
        <v/>
      </c>
      <c r="N748" s="304">
        <f>IF(_PENDIENTES!$B$742&lt;&gt;"",_PENDIENTES!$L$742,"")</f>
        <v/>
      </c>
      <c r="O748" s="284" t="n"/>
      <c r="P748" s="284" t="n"/>
      <c r="Q748" s="284" t="n"/>
      <c r="R748" s="284" t="n"/>
      <c r="S748" s="284" t="n"/>
    </row>
    <row r="749" hidden="1" ht="15.75" customHeight="1" s="195">
      <c r="A749" s="241">
        <f>IF(_PENDIENTES!$B$743&lt;&gt;"",742,"")</f>
        <v/>
      </c>
      <c r="B749" s="236">
        <f>IF(_PENDIENTES!$B$743&lt;&gt;"",_PENDIENTES!$A$743,"")</f>
        <v/>
      </c>
      <c r="C749" s="305">
        <f>IF(_PENDIENTES!$B$743&lt;&gt;"",_PENDIENTES!$C$743,"")</f>
        <v/>
      </c>
      <c r="D749" s="241">
        <f>IF(_PENDIENTES!$B$743&lt;&gt;"",_PENDIENTES!$D$743,"")</f>
        <v/>
      </c>
      <c r="E749" s="307">
        <f>IF(_PENDIENTES!$B$743&lt;&gt;"",_PENDIENTES!$E$743,"")</f>
        <v/>
      </c>
      <c r="F749" s="241">
        <f>IF(_PENDIENTES!$B$743&lt;&gt;"",_PENDIENTES!$F$743,"")</f>
        <v/>
      </c>
      <c r="G749" s="239">
        <f>IF(_PENDIENTES!$B$743&lt;&gt;"",_PENDIENTES!$G$743,"")</f>
        <v/>
      </c>
      <c r="H749" s="239">
        <f>IF(_PENDIENTES!$B$743&lt;&gt;"",_PENDIENTES!$H$743,"")</f>
        <v/>
      </c>
      <c r="I749" s="305">
        <f>IF(_PENDIENTES!$B$743&lt;&gt;"",_PENDIENTES!$I$743,"")</f>
        <v/>
      </c>
      <c r="J749" s="241">
        <f>IF(_PENDIENTES!$B$743&lt;&gt;"",_PENDIENTES!$J$743,"")</f>
        <v/>
      </c>
      <c r="K749" s="241">
        <f>IF(_PENDIENTES!$B$743&lt;&gt;"","POR RECOGER","")</f>
        <v/>
      </c>
      <c r="L749" s="241">
        <f>IF(_PENDIENTES!$B$743&lt;&gt;"",_PENDIENTES!$K$743,"")</f>
        <v/>
      </c>
      <c r="M749" s="284">
        <f>IF(_PENDIENTES!$B$743&lt;&gt;"",_PENDIENTES!$B$743,"")</f>
        <v/>
      </c>
      <c r="N749" s="304">
        <f>IF(_PENDIENTES!$B$743&lt;&gt;"",_PENDIENTES!$L$743,"")</f>
        <v/>
      </c>
      <c r="O749" s="284" t="n"/>
      <c r="P749" s="284" t="n"/>
      <c r="Q749" s="284" t="n"/>
      <c r="R749" s="284" t="n"/>
      <c r="S749" s="284" t="n"/>
    </row>
    <row r="750" hidden="1" ht="15.75" customHeight="1" s="195">
      <c r="A750" s="301">
        <f>IF(_PENDIENTES!$B$744&lt;&gt;"",743,"")</f>
        <v/>
      </c>
      <c r="B750" s="242">
        <f>IF(_PENDIENTES!$B$744&lt;&gt;"",_PENDIENTES!$A$744,"")</f>
        <v/>
      </c>
      <c r="C750" s="302">
        <f>IF(_PENDIENTES!$B$744&lt;&gt;"",_PENDIENTES!$C$744,"")</f>
        <v/>
      </c>
      <c r="D750" s="301">
        <f>IF(_PENDIENTES!$B$744&lt;&gt;"",_PENDIENTES!$D$744,"")</f>
        <v/>
      </c>
      <c r="E750" s="306">
        <f>IF(_PENDIENTES!$B$744&lt;&gt;"",_PENDIENTES!$E$744,"")</f>
        <v/>
      </c>
      <c r="F750" s="301">
        <f>IF(_PENDIENTES!$B$744&lt;&gt;"",_PENDIENTES!$F$744,"")</f>
        <v/>
      </c>
      <c r="G750" s="245">
        <f>IF(_PENDIENTES!$B$744&lt;&gt;"",_PENDIENTES!$G$744,"")</f>
        <v/>
      </c>
      <c r="H750" s="245">
        <f>IF(_PENDIENTES!$B$744&lt;&gt;"",_PENDIENTES!$H$744,"")</f>
        <v/>
      </c>
      <c r="I750" s="302">
        <f>IF(_PENDIENTES!$B$744&lt;&gt;"",_PENDIENTES!$I$744,"")</f>
        <v/>
      </c>
      <c r="J750" s="301">
        <f>IF(_PENDIENTES!$B$744&lt;&gt;"",_PENDIENTES!$J$744,"")</f>
        <v/>
      </c>
      <c r="K750" s="301">
        <f>IF(_PENDIENTES!$B$744&lt;&gt;"","POR RECOGER","")</f>
        <v/>
      </c>
      <c r="L750" s="301">
        <f>IF(_PENDIENTES!$B$744&lt;&gt;"",_PENDIENTES!$K$744,"")</f>
        <v/>
      </c>
      <c r="M750" s="284">
        <f>IF(_PENDIENTES!$B$744&lt;&gt;"",_PENDIENTES!$B$744,"")</f>
        <v/>
      </c>
      <c r="N750" s="304">
        <f>IF(_PENDIENTES!$B$744&lt;&gt;"",_PENDIENTES!$L$744,"")</f>
        <v/>
      </c>
      <c r="O750" s="284" t="n"/>
      <c r="P750" s="284" t="n"/>
      <c r="Q750" s="284" t="n"/>
      <c r="R750" s="284" t="n"/>
      <c r="S750" s="284" t="n"/>
    </row>
    <row r="751" hidden="1" ht="15.75" customHeight="1" s="195">
      <c r="A751" s="241">
        <f>IF(_PENDIENTES!$B$745&lt;&gt;"",744,"")</f>
        <v/>
      </c>
      <c r="B751" s="236">
        <f>IF(_PENDIENTES!$B$745&lt;&gt;"",_PENDIENTES!$A$745,"")</f>
        <v/>
      </c>
      <c r="C751" s="305">
        <f>IF(_PENDIENTES!$B$745&lt;&gt;"",_PENDIENTES!$C$745,"")</f>
        <v/>
      </c>
      <c r="D751" s="241">
        <f>IF(_PENDIENTES!$B$745&lt;&gt;"",_PENDIENTES!$D$745,"")</f>
        <v/>
      </c>
      <c r="E751" s="307">
        <f>IF(_PENDIENTES!$B$745&lt;&gt;"",_PENDIENTES!$E$745,"")</f>
        <v/>
      </c>
      <c r="F751" s="241">
        <f>IF(_PENDIENTES!$B$745&lt;&gt;"",_PENDIENTES!$F$745,"")</f>
        <v/>
      </c>
      <c r="G751" s="239">
        <f>IF(_PENDIENTES!$B$745&lt;&gt;"",_PENDIENTES!$G$745,"")</f>
        <v/>
      </c>
      <c r="H751" s="239">
        <f>IF(_PENDIENTES!$B$745&lt;&gt;"",_PENDIENTES!$H$745,"")</f>
        <v/>
      </c>
      <c r="I751" s="305">
        <f>IF(_PENDIENTES!$B$745&lt;&gt;"",_PENDIENTES!$I$745,"")</f>
        <v/>
      </c>
      <c r="J751" s="241">
        <f>IF(_PENDIENTES!$B$745&lt;&gt;"",_PENDIENTES!$J$745,"")</f>
        <v/>
      </c>
      <c r="K751" s="241">
        <f>IF(_PENDIENTES!$B$745&lt;&gt;"","POR RECOGER","")</f>
        <v/>
      </c>
      <c r="L751" s="241">
        <f>IF(_PENDIENTES!$B$745&lt;&gt;"",_PENDIENTES!$K$745,"")</f>
        <v/>
      </c>
      <c r="M751" s="284">
        <f>IF(_PENDIENTES!$B$745&lt;&gt;"",_PENDIENTES!$B$745,"")</f>
        <v/>
      </c>
      <c r="N751" s="304">
        <f>IF(_PENDIENTES!$B$745&lt;&gt;"",_PENDIENTES!$L$745,"")</f>
        <v/>
      </c>
      <c r="O751" s="284" t="n"/>
      <c r="P751" s="284" t="n"/>
      <c r="Q751" s="284" t="n"/>
      <c r="R751" s="284" t="n"/>
      <c r="S751" s="284" t="n"/>
    </row>
    <row r="752" hidden="1" ht="15.75" customHeight="1" s="195">
      <c r="A752" s="301">
        <f>IF(_PENDIENTES!$B$746&lt;&gt;"",745,"")</f>
        <v/>
      </c>
      <c r="B752" s="242">
        <f>IF(_PENDIENTES!$B$746&lt;&gt;"",_PENDIENTES!$A$746,"")</f>
        <v/>
      </c>
      <c r="C752" s="302">
        <f>IF(_PENDIENTES!$B$746&lt;&gt;"",_PENDIENTES!$C$746,"")</f>
        <v/>
      </c>
      <c r="D752" s="301">
        <f>IF(_PENDIENTES!$B$746&lt;&gt;"",_PENDIENTES!$D$746,"")</f>
        <v/>
      </c>
      <c r="E752" s="306">
        <f>IF(_PENDIENTES!$B$746&lt;&gt;"",_PENDIENTES!$E$746,"")</f>
        <v/>
      </c>
      <c r="F752" s="301">
        <f>IF(_PENDIENTES!$B$746&lt;&gt;"",_PENDIENTES!$F$746,"")</f>
        <v/>
      </c>
      <c r="G752" s="245">
        <f>IF(_PENDIENTES!$B$746&lt;&gt;"",_PENDIENTES!$G$746,"")</f>
        <v/>
      </c>
      <c r="H752" s="245">
        <f>IF(_PENDIENTES!$B$746&lt;&gt;"",_PENDIENTES!$H$746,"")</f>
        <v/>
      </c>
      <c r="I752" s="302">
        <f>IF(_PENDIENTES!$B$746&lt;&gt;"",_PENDIENTES!$I$746,"")</f>
        <v/>
      </c>
      <c r="J752" s="301">
        <f>IF(_PENDIENTES!$B$746&lt;&gt;"",_PENDIENTES!$J$746,"")</f>
        <v/>
      </c>
      <c r="K752" s="301">
        <f>IF(_PENDIENTES!$B$746&lt;&gt;"","POR RECOGER","")</f>
        <v/>
      </c>
      <c r="L752" s="301">
        <f>IF(_PENDIENTES!$B$746&lt;&gt;"",_PENDIENTES!$K$746,"")</f>
        <v/>
      </c>
      <c r="M752" s="284">
        <f>IF(_PENDIENTES!$B$746&lt;&gt;"",_PENDIENTES!$B$746,"")</f>
        <v/>
      </c>
      <c r="N752" s="304">
        <f>IF(_PENDIENTES!$B$746&lt;&gt;"",_PENDIENTES!$L$746,"")</f>
        <v/>
      </c>
      <c r="O752" s="284" t="n"/>
      <c r="P752" s="284" t="n"/>
      <c r="Q752" s="284" t="n"/>
      <c r="R752" s="284" t="n"/>
      <c r="S752" s="284" t="n"/>
    </row>
    <row r="753" hidden="1" ht="15.75" customHeight="1" s="195">
      <c r="A753" s="241">
        <f>IF(_PENDIENTES!$B$747&lt;&gt;"",746,"")</f>
        <v/>
      </c>
      <c r="B753" s="236">
        <f>IF(_PENDIENTES!$B$747&lt;&gt;"",_PENDIENTES!$A$747,"")</f>
        <v/>
      </c>
      <c r="C753" s="305">
        <f>IF(_PENDIENTES!$B$747&lt;&gt;"",_PENDIENTES!$C$747,"")</f>
        <v/>
      </c>
      <c r="D753" s="241">
        <f>IF(_PENDIENTES!$B$747&lt;&gt;"",_PENDIENTES!$D$747,"")</f>
        <v/>
      </c>
      <c r="E753" s="307">
        <f>IF(_PENDIENTES!$B$747&lt;&gt;"",_PENDIENTES!$E$747,"")</f>
        <v/>
      </c>
      <c r="F753" s="241">
        <f>IF(_PENDIENTES!$B$747&lt;&gt;"",_PENDIENTES!$F$747,"")</f>
        <v/>
      </c>
      <c r="G753" s="239">
        <f>IF(_PENDIENTES!$B$747&lt;&gt;"",_PENDIENTES!$G$747,"")</f>
        <v/>
      </c>
      <c r="H753" s="239">
        <f>IF(_PENDIENTES!$B$747&lt;&gt;"",_PENDIENTES!$H$747,"")</f>
        <v/>
      </c>
      <c r="I753" s="305">
        <f>IF(_PENDIENTES!$B$747&lt;&gt;"",_PENDIENTES!$I$747,"")</f>
        <v/>
      </c>
      <c r="J753" s="241">
        <f>IF(_PENDIENTES!$B$747&lt;&gt;"",_PENDIENTES!$J$747,"")</f>
        <v/>
      </c>
      <c r="K753" s="241">
        <f>IF(_PENDIENTES!$B$747&lt;&gt;"","POR RECOGER","")</f>
        <v/>
      </c>
      <c r="L753" s="241">
        <f>IF(_PENDIENTES!$B$747&lt;&gt;"",_PENDIENTES!$K$747,"")</f>
        <v/>
      </c>
      <c r="M753" s="284">
        <f>IF(_PENDIENTES!$B$747&lt;&gt;"",_PENDIENTES!$B$747,"")</f>
        <v/>
      </c>
      <c r="N753" s="304">
        <f>IF(_PENDIENTES!$B$747&lt;&gt;"",_PENDIENTES!$L$747,"")</f>
        <v/>
      </c>
      <c r="O753" s="284" t="n"/>
      <c r="P753" s="284" t="n"/>
      <c r="Q753" s="284" t="n"/>
      <c r="R753" s="284" t="n"/>
      <c r="S753" s="284" t="n"/>
    </row>
    <row r="754" hidden="1" ht="15.75" customHeight="1" s="195">
      <c r="A754" s="301">
        <f>IF(_PENDIENTES!$B$748&lt;&gt;"",747,"")</f>
        <v/>
      </c>
      <c r="B754" s="242">
        <f>IF(_PENDIENTES!$B$748&lt;&gt;"",_PENDIENTES!$A$748,"")</f>
        <v/>
      </c>
      <c r="C754" s="302">
        <f>IF(_PENDIENTES!$B$748&lt;&gt;"",_PENDIENTES!$C$748,"")</f>
        <v/>
      </c>
      <c r="D754" s="301">
        <f>IF(_PENDIENTES!$B$748&lt;&gt;"",_PENDIENTES!$D$748,"")</f>
        <v/>
      </c>
      <c r="E754" s="306">
        <f>IF(_PENDIENTES!$B$748&lt;&gt;"",_PENDIENTES!$E$748,"")</f>
        <v/>
      </c>
      <c r="F754" s="301">
        <f>IF(_PENDIENTES!$B$748&lt;&gt;"",_PENDIENTES!$F$748,"")</f>
        <v/>
      </c>
      <c r="G754" s="245">
        <f>IF(_PENDIENTES!$B$748&lt;&gt;"",_PENDIENTES!$G$748,"")</f>
        <v/>
      </c>
      <c r="H754" s="245">
        <f>IF(_PENDIENTES!$B$748&lt;&gt;"",_PENDIENTES!$H$748,"")</f>
        <v/>
      </c>
      <c r="I754" s="302">
        <f>IF(_PENDIENTES!$B$748&lt;&gt;"",_PENDIENTES!$I$748,"")</f>
        <v/>
      </c>
      <c r="J754" s="301">
        <f>IF(_PENDIENTES!$B$748&lt;&gt;"",_PENDIENTES!$J$748,"")</f>
        <v/>
      </c>
      <c r="K754" s="301">
        <f>IF(_PENDIENTES!$B$748&lt;&gt;"","POR RECOGER","")</f>
        <v/>
      </c>
      <c r="L754" s="301">
        <f>IF(_PENDIENTES!$B$748&lt;&gt;"",_PENDIENTES!$K$748,"")</f>
        <v/>
      </c>
      <c r="M754" s="284">
        <f>IF(_PENDIENTES!$B$748&lt;&gt;"",_PENDIENTES!$B$748,"")</f>
        <v/>
      </c>
      <c r="N754" s="304">
        <f>IF(_PENDIENTES!$B$748&lt;&gt;"",_PENDIENTES!$L$748,"")</f>
        <v/>
      </c>
      <c r="O754" s="284" t="n"/>
      <c r="P754" s="284" t="n"/>
      <c r="Q754" s="284" t="n"/>
      <c r="R754" s="284" t="n"/>
      <c r="S754" s="284" t="n"/>
    </row>
    <row r="755" hidden="1" ht="15.75" customHeight="1" s="195">
      <c r="A755" s="241">
        <f>IF(_PENDIENTES!$B$749&lt;&gt;"",748,"")</f>
        <v/>
      </c>
      <c r="B755" s="236">
        <f>IF(_PENDIENTES!$B$749&lt;&gt;"",_PENDIENTES!$A$749,"")</f>
        <v/>
      </c>
      <c r="C755" s="305">
        <f>IF(_PENDIENTES!$B$749&lt;&gt;"",_PENDIENTES!$C$749,"")</f>
        <v/>
      </c>
      <c r="D755" s="241">
        <f>IF(_PENDIENTES!$B$749&lt;&gt;"",_PENDIENTES!$D$749,"")</f>
        <v/>
      </c>
      <c r="E755" s="307">
        <f>IF(_PENDIENTES!$B$749&lt;&gt;"",_PENDIENTES!$E$749,"")</f>
        <v/>
      </c>
      <c r="F755" s="241">
        <f>IF(_PENDIENTES!$B$749&lt;&gt;"",_PENDIENTES!$F$749,"")</f>
        <v/>
      </c>
      <c r="G755" s="239">
        <f>IF(_PENDIENTES!$B$749&lt;&gt;"",_PENDIENTES!$G$749,"")</f>
        <v/>
      </c>
      <c r="H755" s="239">
        <f>IF(_PENDIENTES!$B$749&lt;&gt;"",_PENDIENTES!$H$749,"")</f>
        <v/>
      </c>
      <c r="I755" s="305">
        <f>IF(_PENDIENTES!$B$749&lt;&gt;"",_PENDIENTES!$I$749,"")</f>
        <v/>
      </c>
      <c r="J755" s="241">
        <f>IF(_PENDIENTES!$B$749&lt;&gt;"",_PENDIENTES!$J$749,"")</f>
        <v/>
      </c>
      <c r="K755" s="241">
        <f>IF(_PENDIENTES!$B$749&lt;&gt;"","POR RECOGER","")</f>
        <v/>
      </c>
      <c r="L755" s="241">
        <f>IF(_PENDIENTES!$B$749&lt;&gt;"",_PENDIENTES!$K$749,"")</f>
        <v/>
      </c>
      <c r="M755" s="284">
        <f>IF(_PENDIENTES!$B$749&lt;&gt;"",_PENDIENTES!$B$749,"")</f>
        <v/>
      </c>
      <c r="N755" s="304">
        <f>IF(_PENDIENTES!$B$749&lt;&gt;"",_PENDIENTES!$L$749,"")</f>
        <v/>
      </c>
      <c r="O755" s="284" t="n"/>
      <c r="P755" s="284" t="n"/>
      <c r="Q755" s="284" t="n"/>
      <c r="R755" s="284" t="n"/>
      <c r="S755" s="284" t="n"/>
    </row>
    <row r="756" hidden="1" ht="15.75" customHeight="1" s="195">
      <c r="A756" s="301">
        <f>IF(_PENDIENTES!$B$750&lt;&gt;"",749,"")</f>
        <v/>
      </c>
      <c r="B756" s="242">
        <f>IF(_PENDIENTES!$B$750&lt;&gt;"",_PENDIENTES!$A$750,"")</f>
        <v/>
      </c>
      <c r="C756" s="302">
        <f>IF(_PENDIENTES!$B$750&lt;&gt;"",_PENDIENTES!$C$750,"")</f>
        <v/>
      </c>
      <c r="D756" s="301">
        <f>IF(_PENDIENTES!$B$750&lt;&gt;"",_PENDIENTES!$D$750,"")</f>
        <v/>
      </c>
      <c r="E756" s="306">
        <f>IF(_PENDIENTES!$B$750&lt;&gt;"",_PENDIENTES!$E$750,"")</f>
        <v/>
      </c>
      <c r="F756" s="301">
        <f>IF(_PENDIENTES!$B$750&lt;&gt;"",_PENDIENTES!$F$750,"")</f>
        <v/>
      </c>
      <c r="G756" s="245">
        <f>IF(_PENDIENTES!$B$750&lt;&gt;"",_PENDIENTES!$G$750,"")</f>
        <v/>
      </c>
      <c r="H756" s="245">
        <f>IF(_PENDIENTES!$B$750&lt;&gt;"",_PENDIENTES!$H$750,"")</f>
        <v/>
      </c>
      <c r="I756" s="302">
        <f>IF(_PENDIENTES!$B$750&lt;&gt;"",_PENDIENTES!$I$750,"")</f>
        <v/>
      </c>
      <c r="J756" s="301">
        <f>IF(_PENDIENTES!$B$750&lt;&gt;"",_PENDIENTES!$J$750,"")</f>
        <v/>
      </c>
      <c r="K756" s="301">
        <f>IF(_PENDIENTES!$B$750&lt;&gt;"","POR RECOGER","")</f>
        <v/>
      </c>
      <c r="L756" s="301">
        <f>IF(_PENDIENTES!$B$750&lt;&gt;"",_PENDIENTES!$K$750,"")</f>
        <v/>
      </c>
      <c r="M756" s="284">
        <f>IF(_PENDIENTES!$B$750&lt;&gt;"",_PENDIENTES!$B$750,"")</f>
        <v/>
      </c>
      <c r="N756" s="304">
        <f>IF(_PENDIENTES!$B$750&lt;&gt;"",_PENDIENTES!$L$750,"")</f>
        <v/>
      </c>
      <c r="O756" s="284" t="n"/>
      <c r="P756" s="284" t="n"/>
      <c r="Q756" s="284" t="n"/>
      <c r="R756" s="284" t="n"/>
      <c r="S756" s="284" t="n"/>
    </row>
    <row r="757" hidden="1" ht="15.75" customHeight="1" s="195">
      <c r="A757" s="241">
        <f>IF(_PENDIENTES!$B$751&lt;&gt;"",750,"")</f>
        <v/>
      </c>
      <c r="B757" s="236">
        <f>IF(_PENDIENTES!$B$751&lt;&gt;"",_PENDIENTES!$A$751,"")</f>
        <v/>
      </c>
      <c r="C757" s="305">
        <f>IF(_PENDIENTES!$B$751&lt;&gt;"",_PENDIENTES!$C$751,"")</f>
        <v/>
      </c>
      <c r="D757" s="241">
        <f>IF(_PENDIENTES!$B$751&lt;&gt;"",_PENDIENTES!$D$751,"")</f>
        <v/>
      </c>
      <c r="E757" s="307">
        <f>IF(_PENDIENTES!$B$751&lt;&gt;"",_PENDIENTES!$E$751,"")</f>
        <v/>
      </c>
      <c r="F757" s="241">
        <f>IF(_PENDIENTES!$B$751&lt;&gt;"",_PENDIENTES!$F$751,"")</f>
        <v/>
      </c>
      <c r="G757" s="239">
        <f>IF(_PENDIENTES!$B$751&lt;&gt;"",_PENDIENTES!$G$751,"")</f>
        <v/>
      </c>
      <c r="H757" s="239">
        <f>IF(_PENDIENTES!$B$751&lt;&gt;"",_PENDIENTES!$H$751,"")</f>
        <v/>
      </c>
      <c r="I757" s="305">
        <f>IF(_PENDIENTES!$B$751&lt;&gt;"",_PENDIENTES!$I$751,"")</f>
        <v/>
      </c>
      <c r="J757" s="241">
        <f>IF(_PENDIENTES!$B$751&lt;&gt;"",_PENDIENTES!$J$751,"")</f>
        <v/>
      </c>
      <c r="K757" s="241">
        <f>IF(_PENDIENTES!$B$751&lt;&gt;"","POR RECOGER","")</f>
        <v/>
      </c>
      <c r="L757" s="241">
        <f>IF(_PENDIENTES!$B$751&lt;&gt;"",_PENDIENTES!$K$751,"")</f>
        <v/>
      </c>
      <c r="M757" s="284">
        <f>IF(_PENDIENTES!$B$751&lt;&gt;"",_PENDIENTES!$B$751,"")</f>
        <v/>
      </c>
      <c r="N757" s="304">
        <f>IF(_PENDIENTES!$B$751&lt;&gt;"",_PENDIENTES!$L$751,"")</f>
        <v/>
      </c>
      <c r="O757" s="284" t="n"/>
      <c r="P757" s="284" t="n"/>
      <c r="Q757" s="284" t="n"/>
      <c r="R757" s="284" t="n"/>
      <c r="S757" s="284" t="n"/>
    </row>
    <row r="758" hidden="1" ht="15.75" customHeight="1" s="195">
      <c r="A758" s="301">
        <f>IF(_PENDIENTES!$B$752&lt;&gt;"",751,"")</f>
        <v/>
      </c>
      <c r="B758" s="242">
        <f>IF(_PENDIENTES!$B$752&lt;&gt;"",_PENDIENTES!$A$752,"")</f>
        <v/>
      </c>
      <c r="C758" s="302">
        <f>IF(_PENDIENTES!$B$752&lt;&gt;"",_PENDIENTES!$C$752,"")</f>
        <v/>
      </c>
      <c r="D758" s="301">
        <f>IF(_PENDIENTES!$B$752&lt;&gt;"",_PENDIENTES!$D$752,"")</f>
        <v/>
      </c>
      <c r="E758" s="306">
        <f>IF(_PENDIENTES!$B$752&lt;&gt;"",_PENDIENTES!$E$752,"")</f>
        <v/>
      </c>
      <c r="F758" s="301">
        <f>IF(_PENDIENTES!$B$752&lt;&gt;"",_PENDIENTES!$F$752,"")</f>
        <v/>
      </c>
      <c r="G758" s="245">
        <f>IF(_PENDIENTES!$B$752&lt;&gt;"",_PENDIENTES!$G$752,"")</f>
        <v/>
      </c>
      <c r="H758" s="245">
        <f>IF(_PENDIENTES!$B$752&lt;&gt;"",_PENDIENTES!$H$752,"")</f>
        <v/>
      </c>
      <c r="I758" s="302">
        <f>IF(_PENDIENTES!$B$752&lt;&gt;"",_PENDIENTES!$I$752,"")</f>
        <v/>
      </c>
      <c r="J758" s="301">
        <f>IF(_PENDIENTES!$B$752&lt;&gt;"",_PENDIENTES!$J$752,"")</f>
        <v/>
      </c>
      <c r="K758" s="301">
        <f>IF(_PENDIENTES!$B$752&lt;&gt;"","POR RECOGER","")</f>
        <v/>
      </c>
      <c r="L758" s="301">
        <f>IF(_PENDIENTES!$B$752&lt;&gt;"",_PENDIENTES!$K$752,"")</f>
        <v/>
      </c>
      <c r="M758" s="284">
        <f>IF(_PENDIENTES!$B$752&lt;&gt;"",_PENDIENTES!$B$752,"")</f>
        <v/>
      </c>
      <c r="N758" s="304">
        <f>IF(_PENDIENTES!$B$752&lt;&gt;"",_PENDIENTES!$L$752,"")</f>
        <v/>
      </c>
      <c r="O758" s="284" t="n"/>
      <c r="P758" s="284" t="n"/>
      <c r="Q758" s="284" t="n"/>
      <c r="R758" s="284" t="n"/>
      <c r="S758" s="284" t="n"/>
    </row>
    <row r="759" hidden="1" ht="15.75" customHeight="1" s="195">
      <c r="A759" s="241">
        <f>IF(_PENDIENTES!$B$753&lt;&gt;"",752,"")</f>
        <v/>
      </c>
      <c r="B759" s="236">
        <f>IF(_PENDIENTES!$B$753&lt;&gt;"",_PENDIENTES!$A$753,"")</f>
        <v/>
      </c>
      <c r="C759" s="305">
        <f>IF(_PENDIENTES!$B$753&lt;&gt;"",_PENDIENTES!$C$753,"")</f>
        <v/>
      </c>
      <c r="D759" s="241">
        <f>IF(_PENDIENTES!$B$753&lt;&gt;"",_PENDIENTES!$D$753,"")</f>
        <v/>
      </c>
      <c r="E759" s="307">
        <f>IF(_PENDIENTES!$B$753&lt;&gt;"",_PENDIENTES!$E$753,"")</f>
        <v/>
      </c>
      <c r="F759" s="241">
        <f>IF(_PENDIENTES!$B$753&lt;&gt;"",_PENDIENTES!$F$753,"")</f>
        <v/>
      </c>
      <c r="G759" s="239">
        <f>IF(_PENDIENTES!$B$753&lt;&gt;"",_PENDIENTES!$G$753,"")</f>
        <v/>
      </c>
      <c r="H759" s="239">
        <f>IF(_PENDIENTES!$B$753&lt;&gt;"",_PENDIENTES!$H$753,"")</f>
        <v/>
      </c>
      <c r="I759" s="305">
        <f>IF(_PENDIENTES!$B$753&lt;&gt;"",_PENDIENTES!$I$753,"")</f>
        <v/>
      </c>
      <c r="J759" s="241">
        <f>IF(_PENDIENTES!$B$753&lt;&gt;"",_PENDIENTES!$J$753,"")</f>
        <v/>
      </c>
      <c r="K759" s="241">
        <f>IF(_PENDIENTES!$B$753&lt;&gt;"","POR RECOGER","")</f>
        <v/>
      </c>
      <c r="L759" s="241">
        <f>IF(_PENDIENTES!$B$753&lt;&gt;"",_PENDIENTES!$K$753,"")</f>
        <v/>
      </c>
      <c r="M759" s="284">
        <f>IF(_PENDIENTES!$B$753&lt;&gt;"",_PENDIENTES!$B$753,"")</f>
        <v/>
      </c>
      <c r="N759" s="304">
        <f>IF(_PENDIENTES!$B$753&lt;&gt;"",_PENDIENTES!$L$753,"")</f>
        <v/>
      </c>
      <c r="O759" s="284" t="n"/>
      <c r="P759" s="284" t="n"/>
      <c r="Q759" s="284" t="n"/>
      <c r="R759" s="284" t="n"/>
      <c r="S759" s="284" t="n"/>
    </row>
    <row r="760" hidden="1" ht="15.75" customHeight="1" s="195">
      <c r="A760" s="301">
        <f>IF(_PENDIENTES!$B$754&lt;&gt;"",753,"")</f>
        <v/>
      </c>
      <c r="B760" s="242">
        <f>IF(_PENDIENTES!$B$754&lt;&gt;"",_PENDIENTES!$A$754,"")</f>
        <v/>
      </c>
      <c r="C760" s="302">
        <f>IF(_PENDIENTES!$B$754&lt;&gt;"",_PENDIENTES!$C$754,"")</f>
        <v/>
      </c>
      <c r="D760" s="301">
        <f>IF(_PENDIENTES!$B$754&lt;&gt;"",_PENDIENTES!$D$754,"")</f>
        <v/>
      </c>
      <c r="E760" s="306">
        <f>IF(_PENDIENTES!$B$754&lt;&gt;"",_PENDIENTES!$E$754,"")</f>
        <v/>
      </c>
      <c r="F760" s="301">
        <f>IF(_PENDIENTES!$B$754&lt;&gt;"",_PENDIENTES!$F$754,"")</f>
        <v/>
      </c>
      <c r="G760" s="245">
        <f>IF(_PENDIENTES!$B$754&lt;&gt;"",_PENDIENTES!$G$754,"")</f>
        <v/>
      </c>
      <c r="H760" s="245">
        <f>IF(_PENDIENTES!$B$754&lt;&gt;"",_PENDIENTES!$H$754,"")</f>
        <v/>
      </c>
      <c r="I760" s="302">
        <f>IF(_PENDIENTES!$B$754&lt;&gt;"",_PENDIENTES!$I$754,"")</f>
        <v/>
      </c>
      <c r="J760" s="301">
        <f>IF(_PENDIENTES!$B$754&lt;&gt;"",_PENDIENTES!$J$754,"")</f>
        <v/>
      </c>
      <c r="K760" s="301">
        <f>IF(_PENDIENTES!$B$754&lt;&gt;"","POR RECOGER","")</f>
        <v/>
      </c>
      <c r="L760" s="301">
        <f>IF(_PENDIENTES!$B$754&lt;&gt;"",_PENDIENTES!$K$754,"")</f>
        <v/>
      </c>
      <c r="M760" s="284">
        <f>IF(_PENDIENTES!$B$754&lt;&gt;"",_PENDIENTES!$B$754,"")</f>
        <v/>
      </c>
      <c r="N760" s="304">
        <f>IF(_PENDIENTES!$B$754&lt;&gt;"",_PENDIENTES!$L$754,"")</f>
        <v/>
      </c>
      <c r="O760" s="284" t="n"/>
      <c r="P760" s="284" t="n"/>
      <c r="Q760" s="284" t="n"/>
      <c r="R760" s="284" t="n"/>
      <c r="S760" s="284" t="n"/>
    </row>
    <row r="761" hidden="1" ht="15.75" customHeight="1" s="195">
      <c r="A761" s="241">
        <f>IF(_PENDIENTES!$B$755&lt;&gt;"",754,"")</f>
        <v/>
      </c>
      <c r="B761" s="236">
        <f>IF(_PENDIENTES!$B$755&lt;&gt;"",_PENDIENTES!$A$755,"")</f>
        <v/>
      </c>
      <c r="C761" s="305">
        <f>IF(_PENDIENTES!$B$755&lt;&gt;"",_PENDIENTES!$C$755,"")</f>
        <v/>
      </c>
      <c r="D761" s="241">
        <f>IF(_PENDIENTES!$B$755&lt;&gt;"",_PENDIENTES!$D$755,"")</f>
        <v/>
      </c>
      <c r="E761" s="307">
        <f>IF(_PENDIENTES!$B$755&lt;&gt;"",_PENDIENTES!$E$755,"")</f>
        <v/>
      </c>
      <c r="F761" s="241">
        <f>IF(_PENDIENTES!$B$755&lt;&gt;"",_PENDIENTES!$F$755,"")</f>
        <v/>
      </c>
      <c r="G761" s="239">
        <f>IF(_PENDIENTES!$B$755&lt;&gt;"",_PENDIENTES!$G$755,"")</f>
        <v/>
      </c>
      <c r="H761" s="239">
        <f>IF(_PENDIENTES!$B$755&lt;&gt;"",_PENDIENTES!$H$755,"")</f>
        <v/>
      </c>
      <c r="I761" s="305">
        <f>IF(_PENDIENTES!$B$755&lt;&gt;"",_PENDIENTES!$I$755,"")</f>
        <v/>
      </c>
      <c r="J761" s="241">
        <f>IF(_PENDIENTES!$B$755&lt;&gt;"",_PENDIENTES!$J$755,"")</f>
        <v/>
      </c>
      <c r="K761" s="241">
        <f>IF(_PENDIENTES!$B$755&lt;&gt;"","POR RECOGER","")</f>
        <v/>
      </c>
      <c r="L761" s="241">
        <f>IF(_PENDIENTES!$B$755&lt;&gt;"",_PENDIENTES!$K$755,"")</f>
        <v/>
      </c>
      <c r="M761" s="284">
        <f>IF(_PENDIENTES!$B$755&lt;&gt;"",_PENDIENTES!$B$755,"")</f>
        <v/>
      </c>
      <c r="N761" s="304">
        <f>IF(_PENDIENTES!$B$755&lt;&gt;"",_PENDIENTES!$L$755,"")</f>
        <v/>
      </c>
      <c r="O761" s="284" t="n"/>
      <c r="P761" s="284" t="n"/>
      <c r="Q761" s="284" t="n"/>
      <c r="R761" s="284" t="n"/>
      <c r="S761" s="284" t="n"/>
    </row>
    <row r="762" hidden="1" ht="15.75" customHeight="1" s="195">
      <c r="A762" s="301">
        <f>IF(_PENDIENTES!$B$756&lt;&gt;"",755,"")</f>
        <v/>
      </c>
      <c r="B762" s="242">
        <f>IF(_PENDIENTES!$B$756&lt;&gt;"",_PENDIENTES!$A$756,"")</f>
        <v/>
      </c>
      <c r="C762" s="302">
        <f>IF(_PENDIENTES!$B$756&lt;&gt;"",_PENDIENTES!$C$756,"")</f>
        <v/>
      </c>
      <c r="D762" s="301">
        <f>IF(_PENDIENTES!$B$756&lt;&gt;"",_PENDIENTES!$D$756,"")</f>
        <v/>
      </c>
      <c r="E762" s="306">
        <f>IF(_PENDIENTES!$B$756&lt;&gt;"",_PENDIENTES!$E$756,"")</f>
        <v/>
      </c>
      <c r="F762" s="301">
        <f>IF(_PENDIENTES!$B$756&lt;&gt;"",_PENDIENTES!$F$756,"")</f>
        <v/>
      </c>
      <c r="G762" s="245">
        <f>IF(_PENDIENTES!$B$756&lt;&gt;"",_PENDIENTES!$G$756,"")</f>
        <v/>
      </c>
      <c r="H762" s="245">
        <f>IF(_PENDIENTES!$B$756&lt;&gt;"",_PENDIENTES!$H$756,"")</f>
        <v/>
      </c>
      <c r="I762" s="302">
        <f>IF(_PENDIENTES!$B$756&lt;&gt;"",_PENDIENTES!$I$756,"")</f>
        <v/>
      </c>
      <c r="J762" s="301">
        <f>IF(_PENDIENTES!$B$756&lt;&gt;"",_PENDIENTES!$J$756,"")</f>
        <v/>
      </c>
      <c r="K762" s="301">
        <f>IF(_PENDIENTES!$B$756&lt;&gt;"","POR RECOGER","")</f>
        <v/>
      </c>
      <c r="L762" s="301">
        <f>IF(_PENDIENTES!$B$756&lt;&gt;"",_PENDIENTES!$K$756,"")</f>
        <v/>
      </c>
      <c r="M762" s="284">
        <f>IF(_PENDIENTES!$B$756&lt;&gt;"",_PENDIENTES!$B$756,"")</f>
        <v/>
      </c>
      <c r="N762" s="304">
        <f>IF(_PENDIENTES!$B$756&lt;&gt;"",_PENDIENTES!$L$756,"")</f>
        <v/>
      </c>
      <c r="O762" s="284" t="n"/>
      <c r="P762" s="284" t="n"/>
      <c r="Q762" s="284" t="n"/>
      <c r="R762" s="284" t="n"/>
      <c r="S762" s="284" t="n"/>
    </row>
    <row r="763" hidden="1" ht="15.75" customHeight="1" s="195">
      <c r="A763" s="241">
        <f>IF(_PENDIENTES!$B$757&lt;&gt;"",756,"")</f>
        <v/>
      </c>
      <c r="B763" s="236">
        <f>IF(_PENDIENTES!$B$757&lt;&gt;"",_PENDIENTES!$A$757,"")</f>
        <v/>
      </c>
      <c r="C763" s="305">
        <f>IF(_PENDIENTES!$B$757&lt;&gt;"",_PENDIENTES!$C$757,"")</f>
        <v/>
      </c>
      <c r="D763" s="241">
        <f>IF(_PENDIENTES!$B$757&lt;&gt;"",_PENDIENTES!$D$757,"")</f>
        <v/>
      </c>
      <c r="E763" s="307">
        <f>IF(_PENDIENTES!$B$757&lt;&gt;"",_PENDIENTES!$E$757,"")</f>
        <v/>
      </c>
      <c r="F763" s="241">
        <f>IF(_PENDIENTES!$B$757&lt;&gt;"",_PENDIENTES!$F$757,"")</f>
        <v/>
      </c>
      <c r="G763" s="239">
        <f>IF(_PENDIENTES!$B$757&lt;&gt;"",_PENDIENTES!$G$757,"")</f>
        <v/>
      </c>
      <c r="H763" s="239">
        <f>IF(_PENDIENTES!$B$757&lt;&gt;"",_PENDIENTES!$H$757,"")</f>
        <v/>
      </c>
      <c r="I763" s="305">
        <f>IF(_PENDIENTES!$B$757&lt;&gt;"",_PENDIENTES!$I$757,"")</f>
        <v/>
      </c>
      <c r="J763" s="241">
        <f>IF(_PENDIENTES!$B$757&lt;&gt;"",_PENDIENTES!$J$757,"")</f>
        <v/>
      </c>
      <c r="K763" s="241">
        <f>IF(_PENDIENTES!$B$757&lt;&gt;"","POR RECOGER","")</f>
        <v/>
      </c>
      <c r="L763" s="241">
        <f>IF(_PENDIENTES!$B$757&lt;&gt;"",_PENDIENTES!$K$757,"")</f>
        <v/>
      </c>
      <c r="M763" s="284">
        <f>IF(_PENDIENTES!$B$757&lt;&gt;"",_PENDIENTES!$B$757,"")</f>
        <v/>
      </c>
      <c r="N763" s="304">
        <f>IF(_PENDIENTES!$B$757&lt;&gt;"",_PENDIENTES!$L$757,"")</f>
        <v/>
      </c>
      <c r="O763" s="284" t="n"/>
      <c r="P763" s="284" t="n"/>
      <c r="Q763" s="284" t="n"/>
      <c r="R763" s="284" t="n"/>
      <c r="S763" s="284" t="n"/>
    </row>
    <row r="764" hidden="1" ht="15.75" customHeight="1" s="195">
      <c r="A764" s="301">
        <f>IF(_PENDIENTES!$B$758&lt;&gt;"",757,"")</f>
        <v/>
      </c>
      <c r="B764" s="242">
        <f>IF(_PENDIENTES!$B$758&lt;&gt;"",_PENDIENTES!$A$758,"")</f>
        <v/>
      </c>
      <c r="C764" s="302">
        <f>IF(_PENDIENTES!$B$758&lt;&gt;"",_PENDIENTES!$C$758,"")</f>
        <v/>
      </c>
      <c r="D764" s="301">
        <f>IF(_PENDIENTES!$B$758&lt;&gt;"",_PENDIENTES!$D$758,"")</f>
        <v/>
      </c>
      <c r="E764" s="306">
        <f>IF(_PENDIENTES!$B$758&lt;&gt;"",_PENDIENTES!$E$758,"")</f>
        <v/>
      </c>
      <c r="F764" s="301">
        <f>IF(_PENDIENTES!$B$758&lt;&gt;"",_PENDIENTES!$F$758,"")</f>
        <v/>
      </c>
      <c r="G764" s="245">
        <f>IF(_PENDIENTES!$B$758&lt;&gt;"",_PENDIENTES!$G$758,"")</f>
        <v/>
      </c>
      <c r="H764" s="245">
        <f>IF(_PENDIENTES!$B$758&lt;&gt;"",_PENDIENTES!$H$758,"")</f>
        <v/>
      </c>
      <c r="I764" s="302">
        <f>IF(_PENDIENTES!$B$758&lt;&gt;"",_PENDIENTES!$I$758,"")</f>
        <v/>
      </c>
      <c r="J764" s="301">
        <f>IF(_PENDIENTES!$B$758&lt;&gt;"",_PENDIENTES!$J$758,"")</f>
        <v/>
      </c>
      <c r="K764" s="301">
        <f>IF(_PENDIENTES!$B$758&lt;&gt;"","POR RECOGER","")</f>
        <v/>
      </c>
      <c r="L764" s="301">
        <f>IF(_PENDIENTES!$B$758&lt;&gt;"",_PENDIENTES!$K$758,"")</f>
        <v/>
      </c>
      <c r="M764" s="284">
        <f>IF(_PENDIENTES!$B$758&lt;&gt;"",_PENDIENTES!$B$758,"")</f>
        <v/>
      </c>
      <c r="N764" s="304">
        <f>IF(_PENDIENTES!$B$758&lt;&gt;"",_PENDIENTES!$L$758,"")</f>
        <v/>
      </c>
      <c r="O764" s="284" t="n"/>
      <c r="P764" s="284" t="n"/>
      <c r="Q764" s="284" t="n"/>
      <c r="R764" s="284" t="n"/>
      <c r="S764" s="284" t="n"/>
    </row>
    <row r="765" hidden="1" ht="15.75" customHeight="1" s="195">
      <c r="A765" s="241">
        <f>IF(_PENDIENTES!$B$759&lt;&gt;"",758,"")</f>
        <v/>
      </c>
      <c r="B765" s="236">
        <f>IF(_PENDIENTES!$B$759&lt;&gt;"",_PENDIENTES!$A$759,"")</f>
        <v/>
      </c>
      <c r="C765" s="305">
        <f>IF(_PENDIENTES!$B$759&lt;&gt;"",_PENDIENTES!$C$759,"")</f>
        <v/>
      </c>
      <c r="D765" s="241">
        <f>IF(_PENDIENTES!$B$759&lt;&gt;"",_PENDIENTES!$D$759,"")</f>
        <v/>
      </c>
      <c r="E765" s="307">
        <f>IF(_PENDIENTES!$B$759&lt;&gt;"",_PENDIENTES!$E$759,"")</f>
        <v/>
      </c>
      <c r="F765" s="241">
        <f>IF(_PENDIENTES!$B$759&lt;&gt;"",_PENDIENTES!$F$759,"")</f>
        <v/>
      </c>
      <c r="G765" s="239">
        <f>IF(_PENDIENTES!$B$759&lt;&gt;"",_PENDIENTES!$G$759,"")</f>
        <v/>
      </c>
      <c r="H765" s="239">
        <f>IF(_PENDIENTES!$B$759&lt;&gt;"",_PENDIENTES!$H$759,"")</f>
        <v/>
      </c>
      <c r="I765" s="305">
        <f>IF(_PENDIENTES!$B$759&lt;&gt;"",_PENDIENTES!$I$759,"")</f>
        <v/>
      </c>
      <c r="J765" s="241">
        <f>IF(_PENDIENTES!$B$759&lt;&gt;"",_PENDIENTES!$J$759,"")</f>
        <v/>
      </c>
      <c r="K765" s="241">
        <f>IF(_PENDIENTES!$B$759&lt;&gt;"","POR RECOGER","")</f>
        <v/>
      </c>
      <c r="L765" s="241">
        <f>IF(_PENDIENTES!$B$759&lt;&gt;"",_PENDIENTES!$K$759,"")</f>
        <v/>
      </c>
      <c r="M765" s="284">
        <f>IF(_PENDIENTES!$B$759&lt;&gt;"",_PENDIENTES!$B$759,"")</f>
        <v/>
      </c>
      <c r="N765" s="304">
        <f>IF(_PENDIENTES!$B$759&lt;&gt;"",_PENDIENTES!$L$759,"")</f>
        <v/>
      </c>
      <c r="O765" s="284" t="n"/>
      <c r="P765" s="284" t="n"/>
      <c r="Q765" s="284" t="n"/>
      <c r="R765" s="284" t="n"/>
      <c r="S765" s="284" t="n"/>
    </row>
    <row r="766" hidden="1" ht="15.75" customHeight="1" s="195">
      <c r="A766" s="301">
        <f>IF(_PENDIENTES!$B$760&lt;&gt;"",759,"")</f>
        <v/>
      </c>
      <c r="B766" s="242">
        <f>IF(_PENDIENTES!$B$760&lt;&gt;"",_PENDIENTES!$A$760,"")</f>
        <v/>
      </c>
      <c r="C766" s="302">
        <f>IF(_PENDIENTES!$B$760&lt;&gt;"",_PENDIENTES!$C$760,"")</f>
        <v/>
      </c>
      <c r="D766" s="301">
        <f>IF(_PENDIENTES!$B$760&lt;&gt;"",_PENDIENTES!$D$760,"")</f>
        <v/>
      </c>
      <c r="E766" s="306">
        <f>IF(_PENDIENTES!$B$760&lt;&gt;"",_PENDIENTES!$E$760,"")</f>
        <v/>
      </c>
      <c r="F766" s="301">
        <f>IF(_PENDIENTES!$B$760&lt;&gt;"",_PENDIENTES!$F$760,"")</f>
        <v/>
      </c>
      <c r="G766" s="245">
        <f>IF(_PENDIENTES!$B$760&lt;&gt;"",_PENDIENTES!$G$760,"")</f>
        <v/>
      </c>
      <c r="H766" s="245">
        <f>IF(_PENDIENTES!$B$760&lt;&gt;"",_PENDIENTES!$H$760,"")</f>
        <v/>
      </c>
      <c r="I766" s="302">
        <f>IF(_PENDIENTES!$B$760&lt;&gt;"",_PENDIENTES!$I$760,"")</f>
        <v/>
      </c>
      <c r="J766" s="301">
        <f>IF(_PENDIENTES!$B$760&lt;&gt;"",_PENDIENTES!$J$760,"")</f>
        <v/>
      </c>
      <c r="K766" s="301">
        <f>IF(_PENDIENTES!$B$760&lt;&gt;"","POR RECOGER","")</f>
        <v/>
      </c>
      <c r="L766" s="301">
        <f>IF(_PENDIENTES!$B$760&lt;&gt;"",_PENDIENTES!$K$760,"")</f>
        <v/>
      </c>
      <c r="M766" s="284">
        <f>IF(_PENDIENTES!$B$760&lt;&gt;"",_PENDIENTES!$B$760,"")</f>
        <v/>
      </c>
      <c r="N766" s="304">
        <f>IF(_PENDIENTES!$B$760&lt;&gt;"",_PENDIENTES!$L$760,"")</f>
        <v/>
      </c>
      <c r="O766" s="284" t="n"/>
      <c r="P766" s="284" t="n"/>
      <c r="Q766" s="284" t="n"/>
      <c r="R766" s="284" t="n"/>
      <c r="S766" s="284" t="n"/>
    </row>
    <row r="767" hidden="1" ht="15.75" customHeight="1" s="195">
      <c r="A767" s="241">
        <f>IF(_PENDIENTES!$B$761&lt;&gt;"",760,"")</f>
        <v/>
      </c>
      <c r="B767" s="236">
        <f>IF(_PENDIENTES!$B$761&lt;&gt;"",_PENDIENTES!$A$761,"")</f>
        <v/>
      </c>
      <c r="C767" s="305">
        <f>IF(_PENDIENTES!$B$761&lt;&gt;"",_PENDIENTES!$C$761,"")</f>
        <v/>
      </c>
      <c r="D767" s="241">
        <f>IF(_PENDIENTES!$B$761&lt;&gt;"",_PENDIENTES!$D$761,"")</f>
        <v/>
      </c>
      <c r="E767" s="307">
        <f>IF(_PENDIENTES!$B$761&lt;&gt;"",_PENDIENTES!$E$761,"")</f>
        <v/>
      </c>
      <c r="F767" s="241">
        <f>IF(_PENDIENTES!$B$761&lt;&gt;"",_PENDIENTES!$F$761,"")</f>
        <v/>
      </c>
      <c r="G767" s="239">
        <f>IF(_PENDIENTES!$B$761&lt;&gt;"",_PENDIENTES!$G$761,"")</f>
        <v/>
      </c>
      <c r="H767" s="239">
        <f>IF(_PENDIENTES!$B$761&lt;&gt;"",_PENDIENTES!$H$761,"")</f>
        <v/>
      </c>
      <c r="I767" s="305">
        <f>IF(_PENDIENTES!$B$761&lt;&gt;"",_PENDIENTES!$I$761,"")</f>
        <v/>
      </c>
      <c r="J767" s="241">
        <f>IF(_PENDIENTES!$B$761&lt;&gt;"",_PENDIENTES!$J$761,"")</f>
        <v/>
      </c>
      <c r="K767" s="241">
        <f>IF(_PENDIENTES!$B$761&lt;&gt;"","POR RECOGER","")</f>
        <v/>
      </c>
      <c r="L767" s="241">
        <f>IF(_PENDIENTES!$B$761&lt;&gt;"",_PENDIENTES!$K$761,"")</f>
        <v/>
      </c>
      <c r="M767" s="284">
        <f>IF(_PENDIENTES!$B$761&lt;&gt;"",_PENDIENTES!$B$761,"")</f>
        <v/>
      </c>
      <c r="N767" s="304">
        <f>IF(_PENDIENTES!$B$761&lt;&gt;"",_PENDIENTES!$L$761,"")</f>
        <v/>
      </c>
      <c r="O767" s="284" t="n"/>
      <c r="P767" s="284" t="n"/>
      <c r="Q767" s="284" t="n"/>
      <c r="R767" s="284" t="n"/>
      <c r="S767" s="284" t="n"/>
    </row>
    <row r="768" hidden="1" ht="15.75" customHeight="1" s="195">
      <c r="A768" s="301">
        <f>IF(_PENDIENTES!$B$762&lt;&gt;"",761,"")</f>
        <v/>
      </c>
      <c r="B768" s="242">
        <f>IF(_PENDIENTES!$B$762&lt;&gt;"",_PENDIENTES!$A$762,"")</f>
        <v/>
      </c>
      <c r="C768" s="302">
        <f>IF(_PENDIENTES!$B$762&lt;&gt;"",_PENDIENTES!$C$762,"")</f>
        <v/>
      </c>
      <c r="D768" s="301">
        <f>IF(_PENDIENTES!$B$762&lt;&gt;"",_PENDIENTES!$D$762,"")</f>
        <v/>
      </c>
      <c r="E768" s="306">
        <f>IF(_PENDIENTES!$B$762&lt;&gt;"",_PENDIENTES!$E$762,"")</f>
        <v/>
      </c>
      <c r="F768" s="301">
        <f>IF(_PENDIENTES!$B$762&lt;&gt;"",_PENDIENTES!$F$762,"")</f>
        <v/>
      </c>
      <c r="G768" s="245">
        <f>IF(_PENDIENTES!$B$762&lt;&gt;"",_PENDIENTES!$G$762,"")</f>
        <v/>
      </c>
      <c r="H768" s="245">
        <f>IF(_PENDIENTES!$B$762&lt;&gt;"",_PENDIENTES!$H$762,"")</f>
        <v/>
      </c>
      <c r="I768" s="302">
        <f>IF(_PENDIENTES!$B$762&lt;&gt;"",_PENDIENTES!$I$762,"")</f>
        <v/>
      </c>
      <c r="J768" s="301">
        <f>IF(_PENDIENTES!$B$762&lt;&gt;"",_PENDIENTES!$J$762,"")</f>
        <v/>
      </c>
      <c r="K768" s="301">
        <f>IF(_PENDIENTES!$B$762&lt;&gt;"","POR RECOGER","")</f>
        <v/>
      </c>
      <c r="L768" s="301">
        <f>IF(_PENDIENTES!$B$762&lt;&gt;"",_PENDIENTES!$K$762,"")</f>
        <v/>
      </c>
      <c r="M768" s="284">
        <f>IF(_PENDIENTES!$B$762&lt;&gt;"",_PENDIENTES!$B$762,"")</f>
        <v/>
      </c>
      <c r="N768" s="304">
        <f>IF(_PENDIENTES!$B$762&lt;&gt;"",_PENDIENTES!$L$762,"")</f>
        <v/>
      </c>
      <c r="O768" s="284" t="n"/>
      <c r="P768" s="284" t="n"/>
      <c r="Q768" s="284" t="n"/>
      <c r="R768" s="284" t="n"/>
      <c r="S768" s="284" t="n"/>
    </row>
    <row r="769" hidden="1" ht="15.75" customHeight="1" s="195">
      <c r="A769" s="241">
        <f>IF(_PENDIENTES!$B$763&lt;&gt;"",762,"")</f>
        <v/>
      </c>
      <c r="B769" s="236">
        <f>IF(_PENDIENTES!$B$763&lt;&gt;"",_PENDIENTES!$A$763,"")</f>
        <v/>
      </c>
      <c r="C769" s="305">
        <f>IF(_PENDIENTES!$B$763&lt;&gt;"",_PENDIENTES!$C$763,"")</f>
        <v/>
      </c>
      <c r="D769" s="241">
        <f>IF(_PENDIENTES!$B$763&lt;&gt;"",_PENDIENTES!$D$763,"")</f>
        <v/>
      </c>
      <c r="E769" s="307">
        <f>IF(_PENDIENTES!$B$763&lt;&gt;"",_PENDIENTES!$E$763,"")</f>
        <v/>
      </c>
      <c r="F769" s="241">
        <f>IF(_PENDIENTES!$B$763&lt;&gt;"",_PENDIENTES!$F$763,"")</f>
        <v/>
      </c>
      <c r="G769" s="239">
        <f>IF(_PENDIENTES!$B$763&lt;&gt;"",_PENDIENTES!$G$763,"")</f>
        <v/>
      </c>
      <c r="H769" s="239">
        <f>IF(_PENDIENTES!$B$763&lt;&gt;"",_PENDIENTES!$H$763,"")</f>
        <v/>
      </c>
      <c r="I769" s="305">
        <f>IF(_PENDIENTES!$B$763&lt;&gt;"",_PENDIENTES!$I$763,"")</f>
        <v/>
      </c>
      <c r="J769" s="241">
        <f>IF(_PENDIENTES!$B$763&lt;&gt;"",_PENDIENTES!$J$763,"")</f>
        <v/>
      </c>
      <c r="K769" s="241">
        <f>IF(_PENDIENTES!$B$763&lt;&gt;"","POR RECOGER","")</f>
        <v/>
      </c>
      <c r="L769" s="241">
        <f>IF(_PENDIENTES!$B$763&lt;&gt;"",_PENDIENTES!$K$763,"")</f>
        <v/>
      </c>
      <c r="M769" s="284">
        <f>IF(_PENDIENTES!$B$763&lt;&gt;"",_PENDIENTES!$B$763,"")</f>
        <v/>
      </c>
      <c r="N769" s="304">
        <f>IF(_PENDIENTES!$B$763&lt;&gt;"",_PENDIENTES!$L$763,"")</f>
        <v/>
      </c>
      <c r="O769" s="284" t="n"/>
      <c r="P769" s="284" t="n"/>
      <c r="Q769" s="284" t="n"/>
      <c r="R769" s="284" t="n"/>
      <c r="S769" s="284" t="n"/>
    </row>
    <row r="770" hidden="1" ht="15.75" customHeight="1" s="195">
      <c r="A770" s="301">
        <f>IF(_PENDIENTES!$B$764&lt;&gt;"",763,"")</f>
        <v/>
      </c>
      <c r="B770" s="242">
        <f>IF(_PENDIENTES!$B$764&lt;&gt;"",_PENDIENTES!$A$764,"")</f>
        <v/>
      </c>
      <c r="C770" s="302">
        <f>IF(_PENDIENTES!$B$764&lt;&gt;"",_PENDIENTES!$C$764,"")</f>
        <v/>
      </c>
      <c r="D770" s="301">
        <f>IF(_PENDIENTES!$B$764&lt;&gt;"",_PENDIENTES!$D$764,"")</f>
        <v/>
      </c>
      <c r="E770" s="306">
        <f>IF(_PENDIENTES!$B$764&lt;&gt;"",_PENDIENTES!$E$764,"")</f>
        <v/>
      </c>
      <c r="F770" s="301">
        <f>IF(_PENDIENTES!$B$764&lt;&gt;"",_PENDIENTES!$F$764,"")</f>
        <v/>
      </c>
      <c r="G770" s="245">
        <f>IF(_PENDIENTES!$B$764&lt;&gt;"",_PENDIENTES!$G$764,"")</f>
        <v/>
      </c>
      <c r="H770" s="245">
        <f>IF(_PENDIENTES!$B$764&lt;&gt;"",_PENDIENTES!$H$764,"")</f>
        <v/>
      </c>
      <c r="I770" s="302">
        <f>IF(_PENDIENTES!$B$764&lt;&gt;"",_PENDIENTES!$I$764,"")</f>
        <v/>
      </c>
      <c r="J770" s="301">
        <f>IF(_PENDIENTES!$B$764&lt;&gt;"",_PENDIENTES!$J$764,"")</f>
        <v/>
      </c>
      <c r="K770" s="301">
        <f>IF(_PENDIENTES!$B$764&lt;&gt;"","POR RECOGER","")</f>
        <v/>
      </c>
      <c r="L770" s="301">
        <f>IF(_PENDIENTES!$B$764&lt;&gt;"",_PENDIENTES!$K$764,"")</f>
        <v/>
      </c>
      <c r="M770" s="284">
        <f>IF(_PENDIENTES!$B$764&lt;&gt;"",_PENDIENTES!$B$764,"")</f>
        <v/>
      </c>
      <c r="N770" s="304">
        <f>IF(_PENDIENTES!$B$764&lt;&gt;"",_PENDIENTES!$L$764,"")</f>
        <v/>
      </c>
      <c r="O770" s="284" t="n"/>
      <c r="P770" s="284" t="n"/>
      <c r="Q770" s="284" t="n"/>
      <c r="R770" s="284" t="n"/>
      <c r="S770" s="284" t="n"/>
    </row>
    <row r="771" hidden="1" ht="15.75" customHeight="1" s="195">
      <c r="A771" s="241">
        <f>IF(_PENDIENTES!$B$765&lt;&gt;"",764,"")</f>
        <v/>
      </c>
      <c r="B771" s="236">
        <f>IF(_PENDIENTES!$B$765&lt;&gt;"",_PENDIENTES!$A$765,"")</f>
        <v/>
      </c>
      <c r="C771" s="305">
        <f>IF(_PENDIENTES!$B$765&lt;&gt;"",_PENDIENTES!$C$765,"")</f>
        <v/>
      </c>
      <c r="D771" s="241">
        <f>IF(_PENDIENTES!$B$765&lt;&gt;"",_PENDIENTES!$D$765,"")</f>
        <v/>
      </c>
      <c r="E771" s="307">
        <f>IF(_PENDIENTES!$B$765&lt;&gt;"",_PENDIENTES!$E$765,"")</f>
        <v/>
      </c>
      <c r="F771" s="241">
        <f>IF(_PENDIENTES!$B$765&lt;&gt;"",_PENDIENTES!$F$765,"")</f>
        <v/>
      </c>
      <c r="G771" s="239">
        <f>IF(_PENDIENTES!$B$765&lt;&gt;"",_PENDIENTES!$G$765,"")</f>
        <v/>
      </c>
      <c r="H771" s="239">
        <f>IF(_PENDIENTES!$B$765&lt;&gt;"",_PENDIENTES!$H$765,"")</f>
        <v/>
      </c>
      <c r="I771" s="305">
        <f>IF(_PENDIENTES!$B$765&lt;&gt;"",_PENDIENTES!$I$765,"")</f>
        <v/>
      </c>
      <c r="J771" s="241">
        <f>IF(_PENDIENTES!$B$765&lt;&gt;"",_PENDIENTES!$J$765,"")</f>
        <v/>
      </c>
      <c r="K771" s="241">
        <f>IF(_PENDIENTES!$B$765&lt;&gt;"","POR RECOGER","")</f>
        <v/>
      </c>
      <c r="L771" s="241">
        <f>IF(_PENDIENTES!$B$765&lt;&gt;"",_PENDIENTES!$K$765,"")</f>
        <v/>
      </c>
      <c r="M771" s="284">
        <f>IF(_PENDIENTES!$B$765&lt;&gt;"",_PENDIENTES!$B$765,"")</f>
        <v/>
      </c>
      <c r="N771" s="304">
        <f>IF(_PENDIENTES!$B$765&lt;&gt;"",_PENDIENTES!$L$765,"")</f>
        <v/>
      </c>
      <c r="O771" s="284" t="n"/>
      <c r="P771" s="284" t="n"/>
      <c r="Q771" s="284" t="n"/>
      <c r="R771" s="284" t="n"/>
      <c r="S771" s="284" t="n"/>
    </row>
    <row r="772" hidden="1" ht="15.75" customHeight="1" s="195">
      <c r="A772" s="301">
        <f>IF(_PENDIENTES!$B$766&lt;&gt;"",765,"")</f>
        <v/>
      </c>
      <c r="B772" s="242">
        <f>IF(_PENDIENTES!$B$766&lt;&gt;"",_PENDIENTES!$A$766,"")</f>
        <v/>
      </c>
      <c r="C772" s="302">
        <f>IF(_PENDIENTES!$B$766&lt;&gt;"",_PENDIENTES!$C$766,"")</f>
        <v/>
      </c>
      <c r="D772" s="301">
        <f>IF(_PENDIENTES!$B$766&lt;&gt;"",_PENDIENTES!$D$766,"")</f>
        <v/>
      </c>
      <c r="E772" s="306">
        <f>IF(_PENDIENTES!$B$766&lt;&gt;"",_PENDIENTES!$E$766,"")</f>
        <v/>
      </c>
      <c r="F772" s="301">
        <f>IF(_PENDIENTES!$B$766&lt;&gt;"",_PENDIENTES!$F$766,"")</f>
        <v/>
      </c>
      <c r="G772" s="245">
        <f>IF(_PENDIENTES!$B$766&lt;&gt;"",_PENDIENTES!$G$766,"")</f>
        <v/>
      </c>
      <c r="H772" s="245">
        <f>IF(_PENDIENTES!$B$766&lt;&gt;"",_PENDIENTES!$H$766,"")</f>
        <v/>
      </c>
      <c r="I772" s="302">
        <f>IF(_PENDIENTES!$B$766&lt;&gt;"",_PENDIENTES!$I$766,"")</f>
        <v/>
      </c>
      <c r="J772" s="301">
        <f>IF(_PENDIENTES!$B$766&lt;&gt;"",_PENDIENTES!$J$766,"")</f>
        <v/>
      </c>
      <c r="K772" s="301">
        <f>IF(_PENDIENTES!$B$766&lt;&gt;"","POR RECOGER","")</f>
        <v/>
      </c>
      <c r="L772" s="301">
        <f>IF(_PENDIENTES!$B$766&lt;&gt;"",_PENDIENTES!$K$766,"")</f>
        <v/>
      </c>
      <c r="M772" s="284">
        <f>IF(_PENDIENTES!$B$766&lt;&gt;"",_PENDIENTES!$B$766,"")</f>
        <v/>
      </c>
      <c r="N772" s="304">
        <f>IF(_PENDIENTES!$B$766&lt;&gt;"",_PENDIENTES!$L$766,"")</f>
        <v/>
      </c>
      <c r="O772" s="284" t="n"/>
      <c r="P772" s="284" t="n"/>
      <c r="Q772" s="284" t="n"/>
      <c r="R772" s="284" t="n"/>
      <c r="S772" s="284" t="n"/>
    </row>
    <row r="773" hidden="1" ht="15.75" customHeight="1" s="195">
      <c r="A773" s="241">
        <f>IF(_PENDIENTES!$B$767&lt;&gt;"",766,"")</f>
        <v/>
      </c>
      <c r="B773" s="236">
        <f>IF(_PENDIENTES!$B$767&lt;&gt;"",_PENDIENTES!$A$767,"")</f>
        <v/>
      </c>
      <c r="C773" s="305">
        <f>IF(_PENDIENTES!$B$767&lt;&gt;"",_PENDIENTES!$C$767,"")</f>
        <v/>
      </c>
      <c r="D773" s="241">
        <f>IF(_PENDIENTES!$B$767&lt;&gt;"",_PENDIENTES!$D$767,"")</f>
        <v/>
      </c>
      <c r="E773" s="307">
        <f>IF(_PENDIENTES!$B$767&lt;&gt;"",_PENDIENTES!$E$767,"")</f>
        <v/>
      </c>
      <c r="F773" s="241">
        <f>IF(_PENDIENTES!$B$767&lt;&gt;"",_PENDIENTES!$F$767,"")</f>
        <v/>
      </c>
      <c r="G773" s="239">
        <f>IF(_PENDIENTES!$B$767&lt;&gt;"",_PENDIENTES!$G$767,"")</f>
        <v/>
      </c>
      <c r="H773" s="239">
        <f>IF(_PENDIENTES!$B$767&lt;&gt;"",_PENDIENTES!$H$767,"")</f>
        <v/>
      </c>
      <c r="I773" s="305">
        <f>IF(_PENDIENTES!$B$767&lt;&gt;"",_PENDIENTES!$I$767,"")</f>
        <v/>
      </c>
      <c r="J773" s="241">
        <f>IF(_PENDIENTES!$B$767&lt;&gt;"",_PENDIENTES!$J$767,"")</f>
        <v/>
      </c>
      <c r="K773" s="241">
        <f>IF(_PENDIENTES!$B$767&lt;&gt;"","POR RECOGER","")</f>
        <v/>
      </c>
      <c r="L773" s="241">
        <f>IF(_PENDIENTES!$B$767&lt;&gt;"",_PENDIENTES!$K$767,"")</f>
        <v/>
      </c>
      <c r="M773" s="284">
        <f>IF(_PENDIENTES!$B$767&lt;&gt;"",_PENDIENTES!$B$767,"")</f>
        <v/>
      </c>
      <c r="N773" s="304">
        <f>IF(_PENDIENTES!$B$767&lt;&gt;"",_PENDIENTES!$L$767,"")</f>
        <v/>
      </c>
      <c r="O773" s="284" t="n"/>
      <c r="P773" s="284" t="n"/>
      <c r="Q773" s="284" t="n"/>
      <c r="R773" s="284" t="n"/>
      <c r="S773" s="284" t="n"/>
    </row>
    <row r="774" hidden="1" ht="15.75" customHeight="1" s="195">
      <c r="A774" s="301">
        <f>IF(_PENDIENTES!$B$768&lt;&gt;"",767,"")</f>
        <v/>
      </c>
      <c r="B774" s="242">
        <f>IF(_PENDIENTES!$B$768&lt;&gt;"",_PENDIENTES!$A$768,"")</f>
        <v/>
      </c>
      <c r="C774" s="302">
        <f>IF(_PENDIENTES!$B$768&lt;&gt;"",_PENDIENTES!$C$768,"")</f>
        <v/>
      </c>
      <c r="D774" s="301">
        <f>IF(_PENDIENTES!$B$768&lt;&gt;"",_PENDIENTES!$D$768,"")</f>
        <v/>
      </c>
      <c r="E774" s="306">
        <f>IF(_PENDIENTES!$B$768&lt;&gt;"",_PENDIENTES!$E$768,"")</f>
        <v/>
      </c>
      <c r="F774" s="301">
        <f>IF(_PENDIENTES!$B$768&lt;&gt;"",_PENDIENTES!$F$768,"")</f>
        <v/>
      </c>
      <c r="G774" s="245">
        <f>IF(_PENDIENTES!$B$768&lt;&gt;"",_PENDIENTES!$G$768,"")</f>
        <v/>
      </c>
      <c r="H774" s="245">
        <f>IF(_PENDIENTES!$B$768&lt;&gt;"",_PENDIENTES!$H$768,"")</f>
        <v/>
      </c>
      <c r="I774" s="302">
        <f>IF(_PENDIENTES!$B$768&lt;&gt;"",_PENDIENTES!$I$768,"")</f>
        <v/>
      </c>
      <c r="J774" s="301">
        <f>IF(_PENDIENTES!$B$768&lt;&gt;"",_PENDIENTES!$J$768,"")</f>
        <v/>
      </c>
      <c r="K774" s="301">
        <f>IF(_PENDIENTES!$B$768&lt;&gt;"","POR RECOGER","")</f>
        <v/>
      </c>
      <c r="L774" s="301">
        <f>IF(_PENDIENTES!$B$768&lt;&gt;"",_PENDIENTES!$K$768,"")</f>
        <v/>
      </c>
      <c r="M774" s="284">
        <f>IF(_PENDIENTES!$B$768&lt;&gt;"",_PENDIENTES!$B$768,"")</f>
        <v/>
      </c>
      <c r="N774" s="304">
        <f>IF(_PENDIENTES!$B$768&lt;&gt;"",_PENDIENTES!$L$768,"")</f>
        <v/>
      </c>
      <c r="O774" s="284" t="n"/>
      <c r="P774" s="284" t="n"/>
      <c r="Q774" s="284" t="n"/>
      <c r="R774" s="284" t="n"/>
      <c r="S774" s="284" t="n"/>
    </row>
    <row r="775" hidden="1" ht="15.75" customHeight="1" s="195">
      <c r="A775" s="241">
        <f>IF(_PENDIENTES!$B$769&lt;&gt;"",768,"")</f>
        <v/>
      </c>
      <c r="B775" s="236">
        <f>IF(_PENDIENTES!$B$769&lt;&gt;"",_PENDIENTES!$A$769,"")</f>
        <v/>
      </c>
      <c r="C775" s="305">
        <f>IF(_PENDIENTES!$B$769&lt;&gt;"",_PENDIENTES!$C$769,"")</f>
        <v/>
      </c>
      <c r="D775" s="241">
        <f>IF(_PENDIENTES!$B$769&lt;&gt;"",_PENDIENTES!$D$769,"")</f>
        <v/>
      </c>
      <c r="E775" s="307">
        <f>IF(_PENDIENTES!$B$769&lt;&gt;"",_PENDIENTES!$E$769,"")</f>
        <v/>
      </c>
      <c r="F775" s="241">
        <f>IF(_PENDIENTES!$B$769&lt;&gt;"",_PENDIENTES!$F$769,"")</f>
        <v/>
      </c>
      <c r="G775" s="239">
        <f>IF(_PENDIENTES!$B$769&lt;&gt;"",_PENDIENTES!$G$769,"")</f>
        <v/>
      </c>
      <c r="H775" s="239">
        <f>IF(_PENDIENTES!$B$769&lt;&gt;"",_PENDIENTES!$H$769,"")</f>
        <v/>
      </c>
      <c r="I775" s="305">
        <f>IF(_PENDIENTES!$B$769&lt;&gt;"",_PENDIENTES!$I$769,"")</f>
        <v/>
      </c>
      <c r="J775" s="241">
        <f>IF(_PENDIENTES!$B$769&lt;&gt;"",_PENDIENTES!$J$769,"")</f>
        <v/>
      </c>
      <c r="K775" s="241">
        <f>IF(_PENDIENTES!$B$769&lt;&gt;"","POR RECOGER","")</f>
        <v/>
      </c>
      <c r="L775" s="241">
        <f>IF(_PENDIENTES!$B$769&lt;&gt;"",_PENDIENTES!$K$769,"")</f>
        <v/>
      </c>
      <c r="M775" s="284">
        <f>IF(_PENDIENTES!$B$769&lt;&gt;"",_PENDIENTES!$B$769,"")</f>
        <v/>
      </c>
      <c r="N775" s="304">
        <f>IF(_PENDIENTES!$B$769&lt;&gt;"",_PENDIENTES!$L$769,"")</f>
        <v/>
      </c>
      <c r="O775" s="284" t="n"/>
      <c r="P775" s="284" t="n"/>
      <c r="Q775" s="284" t="n"/>
      <c r="R775" s="284" t="n"/>
      <c r="S775" s="284" t="n"/>
    </row>
    <row r="776" hidden="1" ht="15.75" customHeight="1" s="195">
      <c r="A776" s="301">
        <f>IF(_PENDIENTES!$B$770&lt;&gt;"",769,"")</f>
        <v/>
      </c>
      <c r="B776" s="242">
        <f>IF(_PENDIENTES!$B$770&lt;&gt;"",_PENDIENTES!$A$770,"")</f>
        <v/>
      </c>
      <c r="C776" s="302">
        <f>IF(_PENDIENTES!$B$770&lt;&gt;"",_PENDIENTES!$C$770,"")</f>
        <v/>
      </c>
      <c r="D776" s="301">
        <f>IF(_PENDIENTES!$B$770&lt;&gt;"",_PENDIENTES!$D$770,"")</f>
        <v/>
      </c>
      <c r="E776" s="306">
        <f>IF(_PENDIENTES!$B$770&lt;&gt;"",_PENDIENTES!$E$770,"")</f>
        <v/>
      </c>
      <c r="F776" s="301">
        <f>IF(_PENDIENTES!$B$770&lt;&gt;"",_PENDIENTES!$F$770,"")</f>
        <v/>
      </c>
      <c r="G776" s="245">
        <f>IF(_PENDIENTES!$B$770&lt;&gt;"",_PENDIENTES!$G$770,"")</f>
        <v/>
      </c>
      <c r="H776" s="245">
        <f>IF(_PENDIENTES!$B$770&lt;&gt;"",_PENDIENTES!$H$770,"")</f>
        <v/>
      </c>
      <c r="I776" s="302">
        <f>IF(_PENDIENTES!$B$770&lt;&gt;"",_PENDIENTES!$I$770,"")</f>
        <v/>
      </c>
      <c r="J776" s="301">
        <f>IF(_PENDIENTES!$B$770&lt;&gt;"",_PENDIENTES!$J$770,"")</f>
        <v/>
      </c>
      <c r="K776" s="301">
        <f>IF(_PENDIENTES!$B$770&lt;&gt;"","POR RECOGER","")</f>
        <v/>
      </c>
      <c r="L776" s="301">
        <f>IF(_PENDIENTES!$B$770&lt;&gt;"",_PENDIENTES!$K$770,"")</f>
        <v/>
      </c>
      <c r="M776" s="284">
        <f>IF(_PENDIENTES!$B$770&lt;&gt;"",_PENDIENTES!$B$770,"")</f>
        <v/>
      </c>
      <c r="N776" s="304">
        <f>IF(_PENDIENTES!$B$770&lt;&gt;"",_PENDIENTES!$L$770,"")</f>
        <v/>
      </c>
      <c r="O776" s="284" t="n"/>
      <c r="P776" s="284" t="n"/>
      <c r="Q776" s="284" t="n"/>
      <c r="R776" s="284" t="n"/>
      <c r="S776" s="284" t="n"/>
    </row>
    <row r="777" hidden="1" ht="15.75" customHeight="1" s="195">
      <c r="A777" s="241">
        <f>IF(_PENDIENTES!$B$771&lt;&gt;"",770,"")</f>
        <v/>
      </c>
      <c r="B777" s="236">
        <f>IF(_PENDIENTES!$B$771&lt;&gt;"",_PENDIENTES!$A$771,"")</f>
        <v/>
      </c>
      <c r="C777" s="305">
        <f>IF(_PENDIENTES!$B$771&lt;&gt;"",_PENDIENTES!$C$771,"")</f>
        <v/>
      </c>
      <c r="D777" s="241">
        <f>IF(_PENDIENTES!$B$771&lt;&gt;"",_PENDIENTES!$D$771,"")</f>
        <v/>
      </c>
      <c r="E777" s="307">
        <f>IF(_PENDIENTES!$B$771&lt;&gt;"",_PENDIENTES!$E$771,"")</f>
        <v/>
      </c>
      <c r="F777" s="241">
        <f>IF(_PENDIENTES!$B$771&lt;&gt;"",_PENDIENTES!$F$771,"")</f>
        <v/>
      </c>
      <c r="G777" s="239">
        <f>IF(_PENDIENTES!$B$771&lt;&gt;"",_PENDIENTES!$G$771,"")</f>
        <v/>
      </c>
      <c r="H777" s="239">
        <f>IF(_PENDIENTES!$B$771&lt;&gt;"",_PENDIENTES!$H$771,"")</f>
        <v/>
      </c>
      <c r="I777" s="305">
        <f>IF(_PENDIENTES!$B$771&lt;&gt;"",_PENDIENTES!$I$771,"")</f>
        <v/>
      </c>
      <c r="J777" s="241">
        <f>IF(_PENDIENTES!$B$771&lt;&gt;"",_PENDIENTES!$J$771,"")</f>
        <v/>
      </c>
      <c r="K777" s="241">
        <f>IF(_PENDIENTES!$B$771&lt;&gt;"","POR RECOGER","")</f>
        <v/>
      </c>
      <c r="L777" s="241">
        <f>IF(_PENDIENTES!$B$771&lt;&gt;"",_PENDIENTES!$K$771,"")</f>
        <v/>
      </c>
      <c r="M777" s="284">
        <f>IF(_PENDIENTES!$B$771&lt;&gt;"",_PENDIENTES!$B$771,"")</f>
        <v/>
      </c>
      <c r="N777" s="304">
        <f>IF(_PENDIENTES!$B$771&lt;&gt;"",_PENDIENTES!$L$771,"")</f>
        <v/>
      </c>
      <c r="O777" s="284" t="n"/>
      <c r="P777" s="284" t="n"/>
      <c r="Q777" s="284" t="n"/>
      <c r="R777" s="284" t="n"/>
      <c r="S777" s="284" t="n"/>
    </row>
    <row r="778" hidden="1" ht="15.75" customHeight="1" s="195">
      <c r="A778" s="301">
        <f>IF(_PENDIENTES!$B$772&lt;&gt;"",771,"")</f>
        <v/>
      </c>
      <c r="B778" s="242">
        <f>IF(_PENDIENTES!$B$772&lt;&gt;"",_PENDIENTES!$A$772,"")</f>
        <v/>
      </c>
      <c r="C778" s="302">
        <f>IF(_PENDIENTES!$B$772&lt;&gt;"",_PENDIENTES!$C$772,"")</f>
        <v/>
      </c>
      <c r="D778" s="301">
        <f>IF(_PENDIENTES!$B$772&lt;&gt;"",_PENDIENTES!$D$772,"")</f>
        <v/>
      </c>
      <c r="E778" s="306">
        <f>IF(_PENDIENTES!$B$772&lt;&gt;"",_PENDIENTES!$E$772,"")</f>
        <v/>
      </c>
      <c r="F778" s="301">
        <f>IF(_PENDIENTES!$B$772&lt;&gt;"",_PENDIENTES!$F$772,"")</f>
        <v/>
      </c>
      <c r="G778" s="245">
        <f>IF(_PENDIENTES!$B$772&lt;&gt;"",_PENDIENTES!$G$772,"")</f>
        <v/>
      </c>
      <c r="H778" s="245">
        <f>IF(_PENDIENTES!$B$772&lt;&gt;"",_PENDIENTES!$H$772,"")</f>
        <v/>
      </c>
      <c r="I778" s="302">
        <f>IF(_PENDIENTES!$B$772&lt;&gt;"",_PENDIENTES!$I$772,"")</f>
        <v/>
      </c>
      <c r="J778" s="301">
        <f>IF(_PENDIENTES!$B$772&lt;&gt;"",_PENDIENTES!$J$772,"")</f>
        <v/>
      </c>
      <c r="K778" s="301">
        <f>IF(_PENDIENTES!$B$772&lt;&gt;"","POR RECOGER","")</f>
        <v/>
      </c>
      <c r="L778" s="301">
        <f>IF(_PENDIENTES!$B$772&lt;&gt;"",_PENDIENTES!$K$772,"")</f>
        <v/>
      </c>
      <c r="M778" s="284">
        <f>IF(_PENDIENTES!$B$772&lt;&gt;"",_PENDIENTES!$B$772,"")</f>
        <v/>
      </c>
      <c r="N778" s="304">
        <f>IF(_PENDIENTES!$B$772&lt;&gt;"",_PENDIENTES!$L$772,"")</f>
        <v/>
      </c>
      <c r="O778" s="284" t="n"/>
      <c r="P778" s="284" t="n"/>
      <c r="Q778" s="284" t="n"/>
      <c r="R778" s="284" t="n"/>
      <c r="S778" s="284" t="n"/>
    </row>
    <row r="779" hidden="1" ht="15.75" customHeight="1" s="195">
      <c r="A779" s="241">
        <f>IF(_PENDIENTES!$B$773&lt;&gt;"",772,"")</f>
        <v/>
      </c>
      <c r="B779" s="236">
        <f>IF(_PENDIENTES!$B$773&lt;&gt;"",_PENDIENTES!$A$773,"")</f>
        <v/>
      </c>
      <c r="C779" s="305">
        <f>IF(_PENDIENTES!$B$773&lt;&gt;"",_PENDIENTES!$C$773,"")</f>
        <v/>
      </c>
      <c r="D779" s="241">
        <f>IF(_PENDIENTES!$B$773&lt;&gt;"",_PENDIENTES!$D$773,"")</f>
        <v/>
      </c>
      <c r="E779" s="307">
        <f>IF(_PENDIENTES!$B$773&lt;&gt;"",_PENDIENTES!$E$773,"")</f>
        <v/>
      </c>
      <c r="F779" s="241">
        <f>IF(_PENDIENTES!$B$773&lt;&gt;"",_PENDIENTES!$F$773,"")</f>
        <v/>
      </c>
      <c r="G779" s="239">
        <f>IF(_PENDIENTES!$B$773&lt;&gt;"",_PENDIENTES!$G$773,"")</f>
        <v/>
      </c>
      <c r="H779" s="239">
        <f>IF(_PENDIENTES!$B$773&lt;&gt;"",_PENDIENTES!$H$773,"")</f>
        <v/>
      </c>
      <c r="I779" s="305">
        <f>IF(_PENDIENTES!$B$773&lt;&gt;"",_PENDIENTES!$I$773,"")</f>
        <v/>
      </c>
      <c r="J779" s="241">
        <f>IF(_PENDIENTES!$B$773&lt;&gt;"",_PENDIENTES!$J$773,"")</f>
        <v/>
      </c>
      <c r="K779" s="241">
        <f>IF(_PENDIENTES!$B$773&lt;&gt;"","POR RECOGER","")</f>
        <v/>
      </c>
      <c r="L779" s="241">
        <f>IF(_PENDIENTES!$B$773&lt;&gt;"",_PENDIENTES!$K$773,"")</f>
        <v/>
      </c>
      <c r="M779" s="284">
        <f>IF(_PENDIENTES!$B$773&lt;&gt;"",_PENDIENTES!$B$773,"")</f>
        <v/>
      </c>
      <c r="N779" s="304">
        <f>IF(_PENDIENTES!$B$773&lt;&gt;"",_PENDIENTES!$L$773,"")</f>
        <v/>
      </c>
      <c r="O779" s="284" t="n"/>
      <c r="P779" s="284" t="n"/>
      <c r="Q779" s="284" t="n"/>
      <c r="R779" s="284" t="n"/>
      <c r="S779" s="284" t="n"/>
    </row>
    <row r="780" hidden="1" ht="15.75" customHeight="1" s="195">
      <c r="A780" s="301">
        <f>IF(_PENDIENTES!$B$774&lt;&gt;"",773,"")</f>
        <v/>
      </c>
      <c r="B780" s="242">
        <f>IF(_PENDIENTES!$B$774&lt;&gt;"",_PENDIENTES!$A$774,"")</f>
        <v/>
      </c>
      <c r="C780" s="302">
        <f>IF(_PENDIENTES!$B$774&lt;&gt;"",_PENDIENTES!$C$774,"")</f>
        <v/>
      </c>
      <c r="D780" s="301">
        <f>IF(_PENDIENTES!$B$774&lt;&gt;"",_PENDIENTES!$D$774,"")</f>
        <v/>
      </c>
      <c r="E780" s="306">
        <f>IF(_PENDIENTES!$B$774&lt;&gt;"",_PENDIENTES!$E$774,"")</f>
        <v/>
      </c>
      <c r="F780" s="301">
        <f>IF(_PENDIENTES!$B$774&lt;&gt;"",_PENDIENTES!$F$774,"")</f>
        <v/>
      </c>
      <c r="G780" s="245">
        <f>IF(_PENDIENTES!$B$774&lt;&gt;"",_PENDIENTES!$G$774,"")</f>
        <v/>
      </c>
      <c r="H780" s="245">
        <f>IF(_PENDIENTES!$B$774&lt;&gt;"",_PENDIENTES!$H$774,"")</f>
        <v/>
      </c>
      <c r="I780" s="302">
        <f>IF(_PENDIENTES!$B$774&lt;&gt;"",_PENDIENTES!$I$774,"")</f>
        <v/>
      </c>
      <c r="J780" s="301">
        <f>IF(_PENDIENTES!$B$774&lt;&gt;"",_PENDIENTES!$J$774,"")</f>
        <v/>
      </c>
      <c r="K780" s="301">
        <f>IF(_PENDIENTES!$B$774&lt;&gt;"","POR RECOGER","")</f>
        <v/>
      </c>
      <c r="L780" s="301">
        <f>IF(_PENDIENTES!$B$774&lt;&gt;"",_PENDIENTES!$K$774,"")</f>
        <v/>
      </c>
      <c r="M780" s="284">
        <f>IF(_PENDIENTES!$B$774&lt;&gt;"",_PENDIENTES!$B$774,"")</f>
        <v/>
      </c>
      <c r="N780" s="304">
        <f>IF(_PENDIENTES!$B$774&lt;&gt;"",_PENDIENTES!$L$774,"")</f>
        <v/>
      </c>
      <c r="O780" s="284" t="n"/>
      <c r="P780" s="284" t="n"/>
      <c r="Q780" s="284" t="n"/>
      <c r="R780" s="284" t="n"/>
      <c r="S780" s="284" t="n"/>
    </row>
    <row r="781" hidden="1" ht="15.75" customHeight="1" s="195">
      <c r="A781" s="241">
        <f>IF(_PENDIENTES!$B$775&lt;&gt;"",774,"")</f>
        <v/>
      </c>
      <c r="B781" s="236">
        <f>IF(_PENDIENTES!$B$775&lt;&gt;"",_PENDIENTES!$A$775,"")</f>
        <v/>
      </c>
      <c r="C781" s="305">
        <f>IF(_PENDIENTES!$B$775&lt;&gt;"",_PENDIENTES!$C$775,"")</f>
        <v/>
      </c>
      <c r="D781" s="241">
        <f>IF(_PENDIENTES!$B$775&lt;&gt;"",_PENDIENTES!$D$775,"")</f>
        <v/>
      </c>
      <c r="E781" s="307">
        <f>IF(_PENDIENTES!$B$775&lt;&gt;"",_PENDIENTES!$E$775,"")</f>
        <v/>
      </c>
      <c r="F781" s="241">
        <f>IF(_PENDIENTES!$B$775&lt;&gt;"",_PENDIENTES!$F$775,"")</f>
        <v/>
      </c>
      <c r="G781" s="239">
        <f>IF(_PENDIENTES!$B$775&lt;&gt;"",_PENDIENTES!$G$775,"")</f>
        <v/>
      </c>
      <c r="H781" s="239">
        <f>IF(_PENDIENTES!$B$775&lt;&gt;"",_PENDIENTES!$H$775,"")</f>
        <v/>
      </c>
      <c r="I781" s="305">
        <f>IF(_PENDIENTES!$B$775&lt;&gt;"",_PENDIENTES!$I$775,"")</f>
        <v/>
      </c>
      <c r="J781" s="241">
        <f>IF(_PENDIENTES!$B$775&lt;&gt;"",_PENDIENTES!$J$775,"")</f>
        <v/>
      </c>
      <c r="K781" s="241">
        <f>IF(_PENDIENTES!$B$775&lt;&gt;"","POR RECOGER","")</f>
        <v/>
      </c>
      <c r="L781" s="241">
        <f>IF(_PENDIENTES!$B$775&lt;&gt;"",_PENDIENTES!$K$775,"")</f>
        <v/>
      </c>
      <c r="M781" s="284">
        <f>IF(_PENDIENTES!$B$775&lt;&gt;"",_PENDIENTES!$B$775,"")</f>
        <v/>
      </c>
      <c r="N781" s="304">
        <f>IF(_PENDIENTES!$B$775&lt;&gt;"",_PENDIENTES!$L$775,"")</f>
        <v/>
      </c>
      <c r="O781" s="284" t="n"/>
      <c r="P781" s="284" t="n"/>
      <c r="Q781" s="284" t="n"/>
      <c r="R781" s="284" t="n"/>
      <c r="S781" s="284" t="n"/>
    </row>
    <row r="782" hidden="1" ht="15.75" customHeight="1" s="195">
      <c r="A782" s="301">
        <f>IF(_PENDIENTES!$B$776&lt;&gt;"",775,"")</f>
        <v/>
      </c>
      <c r="B782" s="242">
        <f>IF(_PENDIENTES!$B$776&lt;&gt;"",_PENDIENTES!$A$776,"")</f>
        <v/>
      </c>
      <c r="C782" s="302">
        <f>IF(_PENDIENTES!$B$776&lt;&gt;"",_PENDIENTES!$C$776,"")</f>
        <v/>
      </c>
      <c r="D782" s="301">
        <f>IF(_PENDIENTES!$B$776&lt;&gt;"",_PENDIENTES!$D$776,"")</f>
        <v/>
      </c>
      <c r="E782" s="306">
        <f>IF(_PENDIENTES!$B$776&lt;&gt;"",_PENDIENTES!$E$776,"")</f>
        <v/>
      </c>
      <c r="F782" s="301">
        <f>IF(_PENDIENTES!$B$776&lt;&gt;"",_PENDIENTES!$F$776,"")</f>
        <v/>
      </c>
      <c r="G782" s="245">
        <f>IF(_PENDIENTES!$B$776&lt;&gt;"",_PENDIENTES!$G$776,"")</f>
        <v/>
      </c>
      <c r="H782" s="245">
        <f>IF(_PENDIENTES!$B$776&lt;&gt;"",_PENDIENTES!$H$776,"")</f>
        <v/>
      </c>
      <c r="I782" s="302">
        <f>IF(_PENDIENTES!$B$776&lt;&gt;"",_PENDIENTES!$I$776,"")</f>
        <v/>
      </c>
      <c r="J782" s="301">
        <f>IF(_PENDIENTES!$B$776&lt;&gt;"",_PENDIENTES!$J$776,"")</f>
        <v/>
      </c>
      <c r="K782" s="301">
        <f>IF(_PENDIENTES!$B$776&lt;&gt;"","POR RECOGER","")</f>
        <v/>
      </c>
      <c r="L782" s="301">
        <f>IF(_PENDIENTES!$B$776&lt;&gt;"",_PENDIENTES!$K$776,"")</f>
        <v/>
      </c>
      <c r="M782" s="284">
        <f>IF(_PENDIENTES!$B$776&lt;&gt;"",_PENDIENTES!$B$776,"")</f>
        <v/>
      </c>
      <c r="N782" s="304">
        <f>IF(_PENDIENTES!$B$776&lt;&gt;"",_PENDIENTES!$L$776,"")</f>
        <v/>
      </c>
      <c r="O782" s="284" t="n"/>
      <c r="P782" s="284" t="n"/>
      <c r="Q782" s="284" t="n"/>
      <c r="R782" s="284" t="n"/>
      <c r="S782" s="284" t="n"/>
    </row>
    <row r="783" hidden="1" ht="15.75" customHeight="1" s="195">
      <c r="A783" s="241">
        <f>IF(_PENDIENTES!$B$777&lt;&gt;"",776,"")</f>
        <v/>
      </c>
      <c r="B783" s="236">
        <f>IF(_PENDIENTES!$B$777&lt;&gt;"",_PENDIENTES!$A$777,"")</f>
        <v/>
      </c>
      <c r="C783" s="305">
        <f>IF(_PENDIENTES!$B$777&lt;&gt;"",_PENDIENTES!$C$777,"")</f>
        <v/>
      </c>
      <c r="D783" s="241">
        <f>IF(_PENDIENTES!$B$777&lt;&gt;"",_PENDIENTES!$D$777,"")</f>
        <v/>
      </c>
      <c r="E783" s="307">
        <f>IF(_PENDIENTES!$B$777&lt;&gt;"",_PENDIENTES!$E$777,"")</f>
        <v/>
      </c>
      <c r="F783" s="241">
        <f>IF(_PENDIENTES!$B$777&lt;&gt;"",_PENDIENTES!$F$777,"")</f>
        <v/>
      </c>
      <c r="G783" s="239">
        <f>IF(_PENDIENTES!$B$777&lt;&gt;"",_PENDIENTES!$G$777,"")</f>
        <v/>
      </c>
      <c r="H783" s="239">
        <f>IF(_PENDIENTES!$B$777&lt;&gt;"",_PENDIENTES!$H$777,"")</f>
        <v/>
      </c>
      <c r="I783" s="305">
        <f>IF(_PENDIENTES!$B$777&lt;&gt;"",_PENDIENTES!$I$777,"")</f>
        <v/>
      </c>
      <c r="J783" s="241">
        <f>IF(_PENDIENTES!$B$777&lt;&gt;"",_PENDIENTES!$J$777,"")</f>
        <v/>
      </c>
      <c r="K783" s="241">
        <f>IF(_PENDIENTES!$B$777&lt;&gt;"","POR RECOGER","")</f>
        <v/>
      </c>
      <c r="L783" s="241">
        <f>IF(_PENDIENTES!$B$777&lt;&gt;"",_PENDIENTES!$K$777,"")</f>
        <v/>
      </c>
      <c r="M783" s="284">
        <f>IF(_PENDIENTES!$B$777&lt;&gt;"",_PENDIENTES!$B$777,"")</f>
        <v/>
      </c>
      <c r="N783" s="304">
        <f>IF(_PENDIENTES!$B$777&lt;&gt;"",_PENDIENTES!$L$777,"")</f>
        <v/>
      </c>
      <c r="O783" s="284" t="n"/>
      <c r="P783" s="284" t="n"/>
      <c r="Q783" s="284" t="n"/>
      <c r="R783" s="284" t="n"/>
      <c r="S783" s="284" t="n"/>
    </row>
    <row r="784" hidden="1" ht="15.75" customHeight="1" s="195">
      <c r="A784" s="301">
        <f>IF(_PENDIENTES!$B$778&lt;&gt;"",777,"")</f>
        <v/>
      </c>
      <c r="B784" s="242">
        <f>IF(_PENDIENTES!$B$778&lt;&gt;"",_PENDIENTES!$A$778,"")</f>
        <v/>
      </c>
      <c r="C784" s="302">
        <f>IF(_PENDIENTES!$B$778&lt;&gt;"",_PENDIENTES!$C$778,"")</f>
        <v/>
      </c>
      <c r="D784" s="301">
        <f>IF(_PENDIENTES!$B$778&lt;&gt;"",_PENDIENTES!$D$778,"")</f>
        <v/>
      </c>
      <c r="E784" s="306">
        <f>IF(_PENDIENTES!$B$778&lt;&gt;"",_PENDIENTES!$E$778,"")</f>
        <v/>
      </c>
      <c r="F784" s="301">
        <f>IF(_PENDIENTES!$B$778&lt;&gt;"",_PENDIENTES!$F$778,"")</f>
        <v/>
      </c>
      <c r="G784" s="245">
        <f>IF(_PENDIENTES!$B$778&lt;&gt;"",_PENDIENTES!$G$778,"")</f>
        <v/>
      </c>
      <c r="H784" s="245">
        <f>IF(_PENDIENTES!$B$778&lt;&gt;"",_PENDIENTES!$H$778,"")</f>
        <v/>
      </c>
      <c r="I784" s="302">
        <f>IF(_PENDIENTES!$B$778&lt;&gt;"",_PENDIENTES!$I$778,"")</f>
        <v/>
      </c>
      <c r="J784" s="301">
        <f>IF(_PENDIENTES!$B$778&lt;&gt;"",_PENDIENTES!$J$778,"")</f>
        <v/>
      </c>
      <c r="K784" s="301">
        <f>IF(_PENDIENTES!$B$778&lt;&gt;"","POR RECOGER","")</f>
        <v/>
      </c>
      <c r="L784" s="301">
        <f>IF(_PENDIENTES!$B$778&lt;&gt;"",_PENDIENTES!$K$778,"")</f>
        <v/>
      </c>
      <c r="M784" s="284">
        <f>IF(_PENDIENTES!$B$778&lt;&gt;"",_PENDIENTES!$B$778,"")</f>
        <v/>
      </c>
      <c r="N784" s="304">
        <f>IF(_PENDIENTES!$B$778&lt;&gt;"",_PENDIENTES!$L$778,"")</f>
        <v/>
      </c>
      <c r="O784" s="284" t="n"/>
      <c r="P784" s="284" t="n"/>
      <c r="Q784" s="284" t="n"/>
      <c r="R784" s="284" t="n"/>
      <c r="S784" s="284" t="n"/>
    </row>
    <row r="785" hidden="1" ht="15.75" customHeight="1" s="195">
      <c r="A785" s="241">
        <f>IF(_PENDIENTES!$B$779&lt;&gt;"",778,"")</f>
        <v/>
      </c>
      <c r="B785" s="236">
        <f>IF(_PENDIENTES!$B$779&lt;&gt;"",_PENDIENTES!$A$779,"")</f>
        <v/>
      </c>
      <c r="C785" s="305">
        <f>IF(_PENDIENTES!$B$779&lt;&gt;"",_PENDIENTES!$C$779,"")</f>
        <v/>
      </c>
      <c r="D785" s="241">
        <f>IF(_PENDIENTES!$B$779&lt;&gt;"",_PENDIENTES!$D$779,"")</f>
        <v/>
      </c>
      <c r="E785" s="307">
        <f>IF(_PENDIENTES!$B$779&lt;&gt;"",_PENDIENTES!$E$779,"")</f>
        <v/>
      </c>
      <c r="F785" s="241">
        <f>IF(_PENDIENTES!$B$779&lt;&gt;"",_PENDIENTES!$F$779,"")</f>
        <v/>
      </c>
      <c r="G785" s="239">
        <f>IF(_PENDIENTES!$B$779&lt;&gt;"",_PENDIENTES!$G$779,"")</f>
        <v/>
      </c>
      <c r="H785" s="239">
        <f>IF(_PENDIENTES!$B$779&lt;&gt;"",_PENDIENTES!$H$779,"")</f>
        <v/>
      </c>
      <c r="I785" s="305">
        <f>IF(_PENDIENTES!$B$779&lt;&gt;"",_PENDIENTES!$I$779,"")</f>
        <v/>
      </c>
      <c r="J785" s="241">
        <f>IF(_PENDIENTES!$B$779&lt;&gt;"",_PENDIENTES!$J$779,"")</f>
        <v/>
      </c>
      <c r="K785" s="241">
        <f>IF(_PENDIENTES!$B$779&lt;&gt;"","POR RECOGER","")</f>
        <v/>
      </c>
      <c r="L785" s="241">
        <f>IF(_PENDIENTES!$B$779&lt;&gt;"",_PENDIENTES!$K$779,"")</f>
        <v/>
      </c>
      <c r="M785" s="284">
        <f>IF(_PENDIENTES!$B$779&lt;&gt;"",_PENDIENTES!$B$779,"")</f>
        <v/>
      </c>
      <c r="N785" s="304">
        <f>IF(_PENDIENTES!$B$779&lt;&gt;"",_PENDIENTES!$L$779,"")</f>
        <v/>
      </c>
      <c r="O785" s="284" t="n"/>
      <c r="P785" s="284" t="n"/>
      <c r="Q785" s="284" t="n"/>
      <c r="R785" s="284" t="n"/>
      <c r="S785" s="284" t="n"/>
    </row>
    <row r="786" hidden="1" ht="15.75" customHeight="1" s="195">
      <c r="A786" s="301">
        <f>IF(_PENDIENTES!$B$780&lt;&gt;"",779,"")</f>
        <v/>
      </c>
      <c r="B786" s="242">
        <f>IF(_PENDIENTES!$B$780&lt;&gt;"",_PENDIENTES!$A$780,"")</f>
        <v/>
      </c>
      <c r="C786" s="302">
        <f>IF(_PENDIENTES!$B$780&lt;&gt;"",_PENDIENTES!$C$780,"")</f>
        <v/>
      </c>
      <c r="D786" s="301">
        <f>IF(_PENDIENTES!$B$780&lt;&gt;"",_PENDIENTES!$D$780,"")</f>
        <v/>
      </c>
      <c r="E786" s="306">
        <f>IF(_PENDIENTES!$B$780&lt;&gt;"",_PENDIENTES!$E$780,"")</f>
        <v/>
      </c>
      <c r="F786" s="301">
        <f>IF(_PENDIENTES!$B$780&lt;&gt;"",_PENDIENTES!$F$780,"")</f>
        <v/>
      </c>
      <c r="G786" s="245">
        <f>IF(_PENDIENTES!$B$780&lt;&gt;"",_PENDIENTES!$G$780,"")</f>
        <v/>
      </c>
      <c r="H786" s="245">
        <f>IF(_PENDIENTES!$B$780&lt;&gt;"",_PENDIENTES!$H$780,"")</f>
        <v/>
      </c>
      <c r="I786" s="302">
        <f>IF(_PENDIENTES!$B$780&lt;&gt;"",_PENDIENTES!$I$780,"")</f>
        <v/>
      </c>
      <c r="J786" s="301">
        <f>IF(_PENDIENTES!$B$780&lt;&gt;"",_PENDIENTES!$J$780,"")</f>
        <v/>
      </c>
      <c r="K786" s="301">
        <f>IF(_PENDIENTES!$B$780&lt;&gt;"","POR RECOGER","")</f>
        <v/>
      </c>
      <c r="L786" s="301">
        <f>IF(_PENDIENTES!$B$780&lt;&gt;"",_PENDIENTES!$K$780,"")</f>
        <v/>
      </c>
      <c r="M786" s="284">
        <f>IF(_PENDIENTES!$B$780&lt;&gt;"",_PENDIENTES!$B$780,"")</f>
        <v/>
      </c>
      <c r="N786" s="304">
        <f>IF(_PENDIENTES!$B$780&lt;&gt;"",_PENDIENTES!$L$780,"")</f>
        <v/>
      </c>
      <c r="O786" s="284" t="n"/>
      <c r="P786" s="284" t="n"/>
      <c r="Q786" s="284" t="n"/>
      <c r="R786" s="284" t="n"/>
      <c r="S786" s="284" t="n"/>
    </row>
    <row r="787" hidden="1" ht="15.75" customHeight="1" s="195">
      <c r="A787" s="241">
        <f>IF(_PENDIENTES!$B$781&lt;&gt;"",780,"")</f>
        <v/>
      </c>
      <c r="B787" s="236">
        <f>IF(_PENDIENTES!$B$781&lt;&gt;"",_PENDIENTES!$A$781,"")</f>
        <v/>
      </c>
      <c r="C787" s="305">
        <f>IF(_PENDIENTES!$B$781&lt;&gt;"",_PENDIENTES!$C$781,"")</f>
        <v/>
      </c>
      <c r="D787" s="241">
        <f>IF(_PENDIENTES!$B$781&lt;&gt;"",_PENDIENTES!$D$781,"")</f>
        <v/>
      </c>
      <c r="E787" s="307">
        <f>IF(_PENDIENTES!$B$781&lt;&gt;"",_PENDIENTES!$E$781,"")</f>
        <v/>
      </c>
      <c r="F787" s="241">
        <f>IF(_PENDIENTES!$B$781&lt;&gt;"",_PENDIENTES!$F$781,"")</f>
        <v/>
      </c>
      <c r="G787" s="239">
        <f>IF(_PENDIENTES!$B$781&lt;&gt;"",_PENDIENTES!$G$781,"")</f>
        <v/>
      </c>
      <c r="H787" s="239">
        <f>IF(_PENDIENTES!$B$781&lt;&gt;"",_PENDIENTES!$H$781,"")</f>
        <v/>
      </c>
      <c r="I787" s="305">
        <f>IF(_PENDIENTES!$B$781&lt;&gt;"",_PENDIENTES!$I$781,"")</f>
        <v/>
      </c>
      <c r="J787" s="241">
        <f>IF(_PENDIENTES!$B$781&lt;&gt;"",_PENDIENTES!$J$781,"")</f>
        <v/>
      </c>
      <c r="K787" s="241">
        <f>IF(_PENDIENTES!$B$781&lt;&gt;"","POR RECOGER","")</f>
        <v/>
      </c>
      <c r="L787" s="241">
        <f>IF(_PENDIENTES!$B$781&lt;&gt;"",_PENDIENTES!$K$781,"")</f>
        <v/>
      </c>
      <c r="M787" s="284">
        <f>IF(_PENDIENTES!$B$781&lt;&gt;"",_PENDIENTES!$B$781,"")</f>
        <v/>
      </c>
      <c r="N787" s="304">
        <f>IF(_PENDIENTES!$B$781&lt;&gt;"",_PENDIENTES!$L$781,"")</f>
        <v/>
      </c>
      <c r="O787" s="284" t="n"/>
      <c r="P787" s="284" t="n"/>
      <c r="Q787" s="284" t="n"/>
      <c r="R787" s="284" t="n"/>
      <c r="S787" s="284" t="n"/>
    </row>
    <row r="788" hidden="1" ht="15.75" customHeight="1" s="195">
      <c r="A788" s="301">
        <f>IF(_PENDIENTES!$B$782&lt;&gt;"",781,"")</f>
        <v/>
      </c>
      <c r="B788" s="242">
        <f>IF(_PENDIENTES!$B$782&lt;&gt;"",_PENDIENTES!$A$782,"")</f>
        <v/>
      </c>
      <c r="C788" s="302">
        <f>IF(_PENDIENTES!$B$782&lt;&gt;"",_PENDIENTES!$C$782,"")</f>
        <v/>
      </c>
      <c r="D788" s="301">
        <f>IF(_PENDIENTES!$B$782&lt;&gt;"",_PENDIENTES!$D$782,"")</f>
        <v/>
      </c>
      <c r="E788" s="306">
        <f>IF(_PENDIENTES!$B$782&lt;&gt;"",_PENDIENTES!$E$782,"")</f>
        <v/>
      </c>
      <c r="F788" s="301">
        <f>IF(_PENDIENTES!$B$782&lt;&gt;"",_PENDIENTES!$F$782,"")</f>
        <v/>
      </c>
      <c r="G788" s="245">
        <f>IF(_PENDIENTES!$B$782&lt;&gt;"",_PENDIENTES!$G$782,"")</f>
        <v/>
      </c>
      <c r="H788" s="245">
        <f>IF(_PENDIENTES!$B$782&lt;&gt;"",_PENDIENTES!$H$782,"")</f>
        <v/>
      </c>
      <c r="I788" s="302">
        <f>IF(_PENDIENTES!$B$782&lt;&gt;"",_PENDIENTES!$I$782,"")</f>
        <v/>
      </c>
      <c r="J788" s="301">
        <f>IF(_PENDIENTES!$B$782&lt;&gt;"",_PENDIENTES!$J$782,"")</f>
        <v/>
      </c>
      <c r="K788" s="301">
        <f>IF(_PENDIENTES!$B$782&lt;&gt;"","POR RECOGER","")</f>
        <v/>
      </c>
      <c r="L788" s="301">
        <f>IF(_PENDIENTES!$B$782&lt;&gt;"",_PENDIENTES!$K$782,"")</f>
        <v/>
      </c>
      <c r="M788" s="284">
        <f>IF(_PENDIENTES!$B$782&lt;&gt;"",_PENDIENTES!$B$782,"")</f>
        <v/>
      </c>
      <c r="N788" s="304">
        <f>IF(_PENDIENTES!$B$782&lt;&gt;"",_PENDIENTES!$L$782,"")</f>
        <v/>
      </c>
      <c r="O788" s="284" t="n"/>
      <c r="P788" s="284" t="n"/>
      <c r="Q788" s="284" t="n"/>
      <c r="R788" s="284" t="n"/>
      <c r="S788" s="284" t="n"/>
    </row>
    <row r="789" hidden="1" ht="15.75" customHeight="1" s="195">
      <c r="A789" s="241">
        <f>IF(_PENDIENTES!$B$783&lt;&gt;"",782,"")</f>
        <v/>
      </c>
      <c r="B789" s="236">
        <f>IF(_PENDIENTES!$B$783&lt;&gt;"",_PENDIENTES!$A$783,"")</f>
        <v/>
      </c>
      <c r="C789" s="305">
        <f>IF(_PENDIENTES!$B$783&lt;&gt;"",_PENDIENTES!$C$783,"")</f>
        <v/>
      </c>
      <c r="D789" s="241">
        <f>IF(_PENDIENTES!$B$783&lt;&gt;"",_PENDIENTES!$D$783,"")</f>
        <v/>
      </c>
      <c r="E789" s="307">
        <f>IF(_PENDIENTES!$B$783&lt;&gt;"",_PENDIENTES!$E$783,"")</f>
        <v/>
      </c>
      <c r="F789" s="241">
        <f>IF(_PENDIENTES!$B$783&lt;&gt;"",_PENDIENTES!$F$783,"")</f>
        <v/>
      </c>
      <c r="G789" s="239">
        <f>IF(_PENDIENTES!$B$783&lt;&gt;"",_PENDIENTES!$G$783,"")</f>
        <v/>
      </c>
      <c r="H789" s="239">
        <f>IF(_PENDIENTES!$B$783&lt;&gt;"",_PENDIENTES!$H$783,"")</f>
        <v/>
      </c>
      <c r="I789" s="305">
        <f>IF(_PENDIENTES!$B$783&lt;&gt;"",_PENDIENTES!$I$783,"")</f>
        <v/>
      </c>
      <c r="J789" s="241">
        <f>IF(_PENDIENTES!$B$783&lt;&gt;"",_PENDIENTES!$J$783,"")</f>
        <v/>
      </c>
      <c r="K789" s="241">
        <f>IF(_PENDIENTES!$B$783&lt;&gt;"","POR RECOGER","")</f>
        <v/>
      </c>
      <c r="L789" s="241">
        <f>IF(_PENDIENTES!$B$783&lt;&gt;"",_PENDIENTES!$K$783,"")</f>
        <v/>
      </c>
      <c r="M789" s="284">
        <f>IF(_PENDIENTES!$B$783&lt;&gt;"",_PENDIENTES!$B$783,"")</f>
        <v/>
      </c>
      <c r="N789" s="304">
        <f>IF(_PENDIENTES!$B$783&lt;&gt;"",_PENDIENTES!$L$783,"")</f>
        <v/>
      </c>
      <c r="O789" s="284" t="n"/>
      <c r="P789" s="284" t="n"/>
      <c r="Q789" s="284" t="n"/>
      <c r="R789" s="284" t="n"/>
      <c r="S789" s="284" t="n"/>
    </row>
    <row r="790" hidden="1" ht="15.75" customHeight="1" s="195">
      <c r="A790" s="301">
        <f>IF(_PENDIENTES!$B$784&lt;&gt;"",783,"")</f>
        <v/>
      </c>
      <c r="B790" s="242">
        <f>IF(_PENDIENTES!$B$784&lt;&gt;"",_PENDIENTES!$A$784,"")</f>
        <v/>
      </c>
      <c r="C790" s="302">
        <f>IF(_PENDIENTES!$B$784&lt;&gt;"",_PENDIENTES!$C$784,"")</f>
        <v/>
      </c>
      <c r="D790" s="301">
        <f>IF(_PENDIENTES!$B$784&lt;&gt;"",_PENDIENTES!$D$784,"")</f>
        <v/>
      </c>
      <c r="E790" s="306">
        <f>IF(_PENDIENTES!$B$784&lt;&gt;"",_PENDIENTES!$E$784,"")</f>
        <v/>
      </c>
      <c r="F790" s="301">
        <f>IF(_PENDIENTES!$B$784&lt;&gt;"",_PENDIENTES!$F$784,"")</f>
        <v/>
      </c>
      <c r="G790" s="245">
        <f>IF(_PENDIENTES!$B$784&lt;&gt;"",_PENDIENTES!$G$784,"")</f>
        <v/>
      </c>
      <c r="H790" s="245">
        <f>IF(_PENDIENTES!$B$784&lt;&gt;"",_PENDIENTES!$H$784,"")</f>
        <v/>
      </c>
      <c r="I790" s="302">
        <f>IF(_PENDIENTES!$B$784&lt;&gt;"",_PENDIENTES!$I$784,"")</f>
        <v/>
      </c>
      <c r="J790" s="301">
        <f>IF(_PENDIENTES!$B$784&lt;&gt;"",_PENDIENTES!$J$784,"")</f>
        <v/>
      </c>
      <c r="K790" s="301">
        <f>IF(_PENDIENTES!$B$784&lt;&gt;"","POR RECOGER","")</f>
        <v/>
      </c>
      <c r="L790" s="301">
        <f>IF(_PENDIENTES!$B$784&lt;&gt;"",_PENDIENTES!$K$784,"")</f>
        <v/>
      </c>
      <c r="M790" s="284">
        <f>IF(_PENDIENTES!$B$784&lt;&gt;"",_PENDIENTES!$B$784,"")</f>
        <v/>
      </c>
      <c r="N790" s="304">
        <f>IF(_PENDIENTES!$B$784&lt;&gt;"",_PENDIENTES!$L$784,"")</f>
        <v/>
      </c>
      <c r="O790" s="284" t="n"/>
      <c r="P790" s="284" t="n"/>
      <c r="Q790" s="284" t="n"/>
      <c r="R790" s="284" t="n"/>
      <c r="S790" s="284" t="n"/>
    </row>
    <row r="791" hidden="1" ht="15.75" customHeight="1" s="195">
      <c r="A791" s="241">
        <f>IF(_PENDIENTES!$B$785&lt;&gt;"",784,"")</f>
        <v/>
      </c>
      <c r="B791" s="236">
        <f>IF(_PENDIENTES!$B$785&lt;&gt;"",_PENDIENTES!$A$785,"")</f>
        <v/>
      </c>
      <c r="C791" s="305">
        <f>IF(_PENDIENTES!$B$785&lt;&gt;"",_PENDIENTES!$C$785,"")</f>
        <v/>
      </c>
      <c r="D791" s="241">
        <f>IF(_PENDIENTES!$B$785&lt;&gt;"",_PENDIENTES!$D$785,"")</f>
        <v/>
      </c>
      <c r="E791" s="241">
        <f>IF(_PENDIENTES!$B$785&lt;&gt;"",_PENDIENTES!$E$785,"")</f>
        <v/>
      </c>
      <c r="F791" s="241">
        <f>IF(_PENDIENTES!$B$785&lt;&gt;"",_PENDIENTES!$F$785,"")</f>
        <v/>
      </c>
      <c r="G791" s="239">
        <f>IF(_PENDIENTES!$B$785&lt;&gt;"",_PENDIENTES!$G$785,"")</f>
        <v/>
      </c>
      <c r="H791" s="239">
        <f>IF(_PENDIENTES!$B$785&lt;&gt;"",_PENDIENTES!$H$785,"")</f>
        <v/>
      </c>
      <c r="I791" s="305">
        <f>IF(_PENDIENTES!$B$785&lt;&gt;"",_PENDIENTES!$I$785,"")</f>
        <v/>
      </c>
      <c r="J791" s="241">
        <f>IF(_PENDIENTES!$B$785&lt;&gt;"",_PENDIENTES!$J$785,"")</f>
        <v/>
      </c>
      <c r="K791" s="241">
        <f>IF(_PENDIENTES!$B$785&lt;&gt;"","POR RECOGER","")</f>
        <v/>
      </c>
      <c r="L791" s="241">
        <f>IF(_PENDIENTES!$B$785&lt;&gt;"",_PENDIENTES!$K$785,"")</f>
        <v/>
      </c>
      <c r="M791" s="284">
        <f>IF(_PENDIENTES!$B$785&lt;&gt;"",_PENDIENTES!$B$785,"")</f>
        <v/>
      </c>
      <c r="N791" s="304">
        <f>IF(_PENDIENTES!$B$785&lt;&gt;"",_PENDIENTES!$L$785,"")</f>
        <v/>
      </c>
      <c r="O791" s="284" t="n"/>
      <c r="P791" s="284" t="n"/>
      <c r="Q791" s="284" t="n"/>
      <c r="R791" s="284" t="n"/>
      <c r="S791" s="284" t="n"/>
    </row>
    <row r="792" hidden="1" ht="15.75" customHeight="1" s="195">
      <c r="A792" s="301">
        <f>IF(_PENDIENTES!$B$786&lt;&gt;"",785,"")</f>
        <v/>
      </c>
      <c r="B792" s="242">
        <f>IF(_PENDIENTES!$B$786&lt;&gt;"",_PENDIENTES!$A$786,"")</f>
        <v/>
      </c>
      <c r="C792" s="302">
        <f>IF(_PENDIENTES!$B$786&lt;&gt;"",_PENDIENTES!$C$786,"")</f>
        <v/>
      </c>
      <c r="D792" s="301">
        <f>IF(_PENDIENTES!$B$786&lt;&gt;"",_PENDIENTES!$D$786,"")</f>
        <v/>
      </c>
      <c r="E792" s="306">
        <f>IF(_PENDIENTES!$B$786&lt;&gt;"",_PENDIENTES!$E$786,"")</f>
        <v/>
      </c>
      <c r="F792" s="301">
        <f>IF(_PENDIENTES!$B$786&lt;&gt;"",_PENDIENTES!$F$786,"")</f>
        <v/>
      </c>
      <c r="G792" s="245">
        <f>IF(_PENDIENTES!$B$786&lt;&gt;"",_PENDIENTES!$G$786,"")</f>
        <v/>
      </c>
      <c r="H792" s="245">
        <f>IF(_PENDIENTES!$B$786&lt;&gt;"",_PENDIENTES!$H$786,"")</f>
        <v/>
      </c>
      <c r="I792" s="302">
        <f>IF(_PENDIENTES!$B$786&lt;&gt;"",_PENDIENTES!$I$786,"")</f>
        <v/>
      </c>
      <c r="J792" s="301">
        <f>IF(_PENDIENTES!$B$786&lt;&gt;"",_PENDIENTES!$J$786,"")</f>
        <v/>
      </c>
      <c r="K792" s="301">
        <f>IF(_PENDIENTES!$B$786&lt;&gt;"","POR RECOGER","")</f>
        <v/>
      </c>
      <c r="L792" s="301">
        <f>IF(_PENDIENTES!$B$786&lt;&gt;"",_PENDIENTES!$K$786,"")</f>
        <v/>
      </c>
      <c r="M792" s="284">
        <f>IF(_PENDIENTES!$B$786&lt;&gt;"",_PENDIENTES!$B$786,"")</f>
        <v/>
      </c>
      <c r="N792" s="304">
        <f>IF(_PENDIENTES!$B$786&lt;&gt;"",_PENDIENTES!$L$786,"")</f>
        <v/>
      </c>
      <c r="O792" s="284" t="n"/>
      <c r="P792" s="284" t="n"/>
      <c r="Q792" s="284" t="n"/>
      <c r="R792" s="284" t="n"/>
      <c r="S792" s="284" t="n"/>
    </row>
    <row r="793" hidden="1" ht="15.75" customHeight="1" s="195">
      <c r="A793" s="241">
        <f>IF(_PENDIENTES!$B$787&lt;&gt;"",786,"")</f>
        <v/>
      </c>
      <c r="B793" s="236">
        <f>IF(_PENDIENTES!$B$787&lt;&gt;"",_PENDIENTES!$A$787,"")</f>
        <v/>
      </c>
      <c r="C793" s="305">
        <f>IF(_PENDIENTES!$B$787&lt;&gt;"",_PENDIENTES!$C$787,"")</f>
        <v/>
      </c>
      <c r="D793" s="241">
        <f>IF(_PENDIENTES!$B$787&lt;&gt;"",_PENDIENTES!$D$787,"")</f>
        <v/>
      </c>
      <c r="E793" s="307">
        <f>IF(_PENDIENTES!$B$787&lt;&gt;"",_PENDIENTES!$E$787,"")</f>
        <v/>
      </c>
      <c r="F793" s="241">
        <f>IF(_PENDIENTES!$B$787&lt;&gt;"",_PENDIENTES!$F$787,"")</f>
        <v/>
      </c>
      <c r="G793" s="239">
        <f>IF(_PENDIENTES!$B$787&lt;&gt;"",_PENDIENTES!$G$787,"")</f>
        <v/>
      </c>
      <c r="H793" s="239">
        <f>IF(_PENDIENTES!$B$787&lt;&gt;"",_PENDIENTES!$H$787,"")</f>
        <v/>
      </c>
      <c r="I793" s="305">
        <f>IF(_PENDIENTES!$B$787&lt;&gt;"",_PENDIENTES!$I$787,"")</f>
        <v/>
      </c>
      <c r="J793" s="241">
        <f>IF(_PENDIENTES!$B$787&lt;&gt;"",_PENDIENTES!$J$787,"")</f>
        <v/>
      </c>
      <c r="K793" s="241">
        <f>IF(_PENDIENTES!$B$787&lt;&gt;"","POR RECOGER","")</f>
        <v/>
      </c>
      <c r="L793" s="241">
        <f>IF(_PENDIENTES!$B$787&lt;&gt;"",_PENDIENTES!$K$787,"")</f>
        <v/>
      </c>
      <c r="M793" s="284">
        <f>IF(_PENDIENTES!$B$787&lt;&gt;"",_PENDIENTES!$B$787,"")</f>
        <v/>
      </c>
      <c r="N793" s="304">
        <f>IF(_PENDIENTES!$B$787&lt;&gt;"",_PENDIENTES!$L$787,"")</f>
        <v/>
      </c>
      <c r="O793" s="284" t="n"/>
      <c r="P793" s="284" t="n"/>
      <c r="Q793" s="284" t="n"/>
      <c r="R793" s="284" t="n"/>
      <c r="S793" s="284" t="n"/>
    </row>
    <row r="794" hidden="1" ht="15.75" customHeight="1" s="195">
      <c r="A794" s="301">
        <f>IF(_PENDIENTES!$B$788&lt;&gt;"",787,"")</f>
        <v/>
      </c>
      <c r="B794" s="242">
        <f>IF(_PENDIENTES!$B$788&lt;&gt;"",_PENDIENTES!$A$788,"")</f>
        <v/>
      </c>
      <c r="C794" s="302">
        <f>IF(_PENDIENTES!$B$788&lt;&gt;"",_PENDIENTES!$C$788,"")</f>
        <v/>
      </c>
      <c r="D794" s="301">
        <f>IF(_PENDIENTES!$B$788&lt;&gt;"",_PENDIENTES!$D$788,"")</f>
        <v/>
      </c>
      <c r="E794" s="306">
        <f>IF(_PENDIENTES!$B$788&lt;&gt;"",_PENDIENTES!$E$788,"")</f>
        <v/>
      </c>
      <c r="F794" s="301">
        <f>IF(_PENDIENTES!$B$788&lt;&gt;"",_PENDIENTES!$F$788,"")</f>
        <v/>
      </c>
      <c r="G794" s="245">
        <f>IF(_PENDIENTES!$B$788&lt;&gt;"",_PENDIENTES!$G$788,"")</f>
        <v/>
      </c>
      <c r="H794" s="245">
        <f>IF(_PENDIENTES!$B$788&lt;&gt;"",_PENDIENTES!$H$788,"")</f>
        <v/>
      </c>
      <c r="I794" s="302">
        <f>IF(_PENDIENTES!$B$788&lt;&gt;"",_PENDIENTES!$I$788,"")</f>
        <v/>
      </c>
      <c r="J794" s="301">
        <f>IF(_PENDIENTES!$B$788&lt;&gt;"",_PENDIENTES!$J$788,"")</f>
        <v/>
      </c>
      <c r="K794" s="301">
        <f>IF(_PENDIENTES!$B$788&lt;&gt;"","POR RECOGER","")</f>
        <v/>
      </c>
      <c r="L794" s="301">
        <f>IF(_PENDIENTES!$B$788&lt;&gt;"",_PENDIENTES!$K$788,"")</f>
        <v/>
      </c>
      <c r="M794" s="284">
        <f>IF(_PENDIENTES!$B$788&lt;&gt;"",_PENDIENTES!$B$788,"")</f>
        <v/>
      </c>
      <c r="N794" s="304">
        <f>IF(_PENDIENTES!$B$788&lt;&gt;"",_PENDIENTES!$L$788,"")</f>
        <v/>
      </c>
      <c r="O794" s="284" t="n"/>
      <c r="P794" s="284" t="n"/>
      <c r="Q794" s="284" t="n"/>
      <c r="R794" s="284" t="n"/>
      <c r="S794" s="284" t="n"/>
    </row>
    <row r="795" hidden="1" ht="15.75" customHeight="1" s="195">
      <c r="A795" s="241">
        <f>IF(_PENDIENTES!$B$789&lt;&gt;"",788,"")</f>
        <v/>
      </c>
      <c r="B795" s="236">
        <f>IF(_PENDIENTES!$B$789&lt;&gt;"",_PENDIENTES!$A$789,"")</f>
        <v/>
      </c>
      <c r="C795" s="305">
        <f>IF(_PENDIENTES!$B$789&lt;&gt;"",_PENDIENTES!$C$789,"")</f>
        <v/>
      </c>
      <c r="D795" s="241">
        <f>IF(_PENDIENTES!$B$789&lt;&gt;"",_PENDIENTES!$D$789,"")</f>
        <v/>
      </c>
      <c r="E795" s="307">
        <f>IF(_PENDIENTES!$B$789&lt;&gt;"",_PENDIENTES!$E$789,"")</f>
        <v/>
      </c>
      <c r="F795" s="241">
        <f>IF(_PENDIENTES!$B$789&lt;&gt;"",_PENDIENTES!$F$789,"")</f>
        <v/>
      </c>
      <c r="G795" s="239">
        <f>IF(_PENDIENTES!$B$789&lt;&gt;"",_PENDIENTES!$G$789,"")</f>
        <v/>
      </c>
      <c r="H795" s="239">
        <f>IF(_PENDIENTES!$B$789&lt;&gt;"",_PENDIENTES!$H$789,"")</f>
        <v/>
      </c>
      <c r="I795" s="305">
        <f>IF(_PENDIENTES!$B$789&lt;&gt;"",_PENDIENTES!$I$789,"")</f>
        <v/>
      </c>
      <c r="J795" s="241">
        <f>IF(_PENDIENTES!$B$789&lt;&gt;"",_PENDIENTES!$J$789,"")</f>
        <v/>
      </c>
      <c r="K795" s="241">
        <f>IF(_PENDIENTES!$B$789&lt;&gt;"","POR RECOGER","")</f>
        <v/>
      </c>
      <c r="L795" s="241">
        <f>IF(_PENDIENTES!$B$789&lt;&gt;"",_PENDIENTES!$K$789,"")</f>
        <v/>
      </c>
      <c r="M795" s="284">
        <f>IF(_PENDIENTES!$B$789&lt;&gt;"",_PENDIENTES!$B$789,"")</f>
        <v/>
      </c>
      <c r="N795" s="304">
        <f>IF(_PENDIENTES!$B$789&lt;&gt;"",_PENDIENTES!$L$789,"")</f>
        <v/>
      </c>
      <c r="O795" s="284" t="n"/>
      <c r="P795" s="284" t="n"/>
      <c r="Q795" s="284" t="n"/>
      <c r="R795" s="284" t="n"/>
      <c r="S795" s="284" t="n"/>
    </row>
    <row r="796" hidden="1" ht="15.75" customHeight="1" s="195">
      <c r="A796" s="301">
        <f>IF(_PENDIENTES!$B$790&lt;&gt;"",789,"")</f>
        <v/>
      </c>
      <c r="B796" s="242">
        <f>IF(_PENDIENTES!$B$790&lt;&gt;"",_PENDIENTES!$A$790,"")</f>
        <v/>
      </c>
      <c r="C796" s="302">
        <f>IF(_PENDIENTES!$B$790&lt;&gt;"",_PENDIENTES!$C$790,"")</f>
        <v/>
      </c>
      <c r="D796" s="301">
        <f>IF(_PENDIENTES!$B$790&lt;&gt;"",_PENDIENTES!$D$790,"")</f>
        <v/>
      </c>
      <c r="E796" s="306">
        <f>IF(_PENDIENTES!$B$790&lt;&gt;"",_PENDIENTES!$E$790,"")</f>
        <v/>
      </c>
      <c r="F796" s="301">
        <f>IF(_PENDIENTES!$B$790&lt;&gt;"",_PENDIENTES!$F$790,"")</f>
        <v/>
      </c>
      <c r="G796" s="245">
        <f>IF(_PENDIENTES!$B$790&lt;&gt;"",_PENDIENTES!$G$790,"")</f>
        <v/>
      </c>
      <c r="H796" s="245">
        <f>IF(_PENDIENTES!$B$790&lt;&gt;"",_PENDIENTES!$H$790,"")</f>
        <v/>
      </c>
      <c r="I796" s="302">
        <f>IF(_PENDIENTES!$B$790&lt;&gt;"",_PENDIENTES!$I$790,"")</f>
        <v/>
      </c>
      <c r="J796" s="301">
        <f>IF(_PENDIENTES!$B$790&lt;&gt;"",_PENDIENTES!$J$790,"")</f>
        <v/>
      </c>
      <c r="K796" s="301">
        <f>IF(_PENDIENTES!$B$790&lt;&gt;"","POR RECOGER","")</f>
        <v/>
      </c>
      <c r="L796" s="301">
        <f>IF(_PENDIENTES!$B$790&lt;&gt;"",_PENDIENTES!$K$790,"")</f>
        <v/>
      </c>
      <c r="M796" s="284">
        <f>IF(_PENDIENTES!$B$790&lt;&gt;"",_PENDIENTES!$B$790,"")</f>
        <v/>
      </c>
      <c r="N796" s="304">
        <f>IF(_PENDIENTES!$B$790&lt;&gt;"",_PENDIENTES!$L$790,"")</f>
        <v/>
      </c>
      <c r="O796" s="284" t="n"/>
      <c r="P796" s="284" t="n"/>
      <c r="Q796" s="284" t="n"/>
      <c r="R796" s="284" t="n"/>
      <c r="S796" s="284" t="n"/>
    </row>
    <row r="797" hidden="1" ht="15.75" customHeight="1" s="195">
      <c r="A797" s="241">
        <f>IF(_PENDIENTES!$B$791&lt;&gt;"",790,"")</f>
        <v/>
      </c>
      <c r="B797" s="236">
        <f>IF(_PENDIENTES!$B$791&lt;&gt;"",_PENDIENTES!$A$791,"")</f>
        <v/>
      </c>
      <c r="C797" s="305">
        <f>IF(_PENDIENTES!$B$791&lt;&gt;"",_PENDIENTES!$C$791,"")</f>
        <v/>
      </c>
      <c r="D797" s="241">
        <f>IF(_PENDIENTES!$B$791&lt;&gt;"",_PENDIENTES!$D$791,"")</f>
        <v/>
      </c>
      <c r="E797" s="307">
        <f>IF(_PENDIENTES!$B$791&lt;&gt;"",_PENDIENTES!$E$791,"")</f>
        <v/>
      </c>
      <c r="F797" s="241">
        <f>IF(_PENDIENTES!$B$791&lt;&gt;"",_PENDIENTES!$F$791,"")</f>
        <v/>
      </c>
      <c r="G797" s="239">
        <f>IF(_PENDIENTES!$B$791&lt;&gt;"",_PENDIENTES!$G$791,"")</f>
        <v/>
      </c>
      <c r="H797" s="239">
        <f>IF(_PENDIENTES!$B$791&lt;&gt;"",_PENDIENTES!$H$791,"")</f>
        <v/>
      </c>
      <c r="I797" s="305">
        <f>IF(_PENDIENTES!$B$791&lt;&gt;"",_PENDIENTES!$I$791,"")</f>
        <v/>
      </c>
      <c r="J797" s="241">
        <f>IF(_PENDIENTES!$B$791&lt;&gt;"",_PENDIENTES!$J$791,"")</f>
        <v/>
      </c>
      <c r="K797" s="241">
        <f>IF(_PENDIENTES!$B$791&lt;&gt;"","POR RECOGER","")</f>
        <v/>
      </c>
      <c r="L797" s="241">
        <f>IF(_PENDIENTES!$B$791&lt;&gt;"",_PENDIENTES!$K$791,"")</f>
        <v/>
      </c>
      <c r="M797" s="284">
        <f>IF(_PENDIENTES!$B$791&lt;&gt;"",_PENDIENTES!$B$791,"")</f>
        <v/>
      </c>
      <c r="N797" s="304">
        <f>IF(_PENDIENTES!$B$791&lt;&gt;"",_PENDIENTES!$L$791,"")</f>
        <v/>
      </c>
      <c r="O797" s="284" t="n"/>
      <c r="P797" s="284" t="n"/>
      <c r="Q797" s="284" t="n"/>
      <c r="R797" s="284" t="n"/>
      <c r="S797" s="284" t="n"/>
    </row>
    <row r="798" hidden="1" ht="15.75" customHeight="1" s="195">
      <c r="A798" s="301">
        <f>IF(_PENDIENTES!$B$792&lt;&gt;"",791,"")</f>
        <v/>
      </c>
      <c r="B798" s="242">
        <f>IF(_PENDIENTES!$B$792&lt;&gt;"",_PENDIENTES!$A$792,"")</f>
        <v/>
      </c>
      <c r="C798" s="302">
        <f>IF(_PENDIENTES!$B$792&lt;&gt;"",_PENDIENTES!$C$792,"")</f>
        <v/>
      </c>
      <c r="D798" s="301">
        <f>IF(_PENDIENTES!$B$792&lt;&gt;"",_PENDIENTES!$D$792,"")</f>
        <v/>
      </c>
      <c r="E798" s="306">
        <f>IF(_PENDIENTES!$B$792&lt;&gt;"",_PENDIENTES!$E$792,"")</f>
        <v/>
      </c>
      <c r="F798" s="301">
        <f>IF(_PENDIENTES!$B$792&lt;&gt;"",_PENDIENTES!$F$792,"")</f>
        <v/>
      </c>
      <c r="G798" s="245">
        <f>IF(_PENDIENTES!$B$792&lt;&gt;"",_PENDIENTES!$G$792,"")</f>
        <v/>
      </c>
      <c r="H798" s="245">
        <f>IF(_PENDIENTES!$B$792&lt;&gt;"",_PENDIENTES!$H$792,"")</f>
        <v/>
      </c>
      <c r="I798" s="302">
        <f>IF(_PENDIENTES!$B$792&lt;&gt;"",_PENDIENTES!$I$792,"")</f>
        <v/>
      </c>
      <c r="J798" s="301">
        <f>IF(_PENDIENTES!$B$792&lt;&gt;"",_PENDIENTES!$J$792,"")</f>
        <v/>
      </c>
      <c r="K798" s="301">
        <f>IF(_PENDIENTES!$B$792&lt;&gt;"","POR RECOGER","")</f>
        <v/>
      </c>
      <c r="L798" s="301">
        <f>IF(_PENDIENTES!$B$792&lt;&gt;"",_PENDIENTES!$K$792,"")</f>
        <v/>
      </c>
      <c r="M798" s="284">
        <f>IF(_PENDIENTES!$B$792&lt;&gt;"",_PENDIENTES!$B$792,"")</f>
        <v/>
      </c>
      <c r="N798" s="304">
        <f>IF(_PENDIENTES!$B$792&lt;&gt;"",_PENDIENTES!$L$792,"")</f>
        <v/>
      </c>
      <c r="O798" s="284" t="n"/>
      <c r="P798" s="284" t="n"/>
      <c r="Q798" s="284" t="n"/>
      <c r="R798" s="284" t="n"/>
      <c r="S798" s="284" t="n"/>
    </row>
    <row r="799" hidden="1" ht="15.75" customHeight="1" s="195">
      <c r="A799" s="241">
        <f>IF(_PENDIENTES!$B$793&lt;&gt;"",792,"")</f>
        <v/>
      </c>
      <c r="B799" s="236">
        <f>IF(_PENDIENTES!$B$793&lt;&gt;"",_PENDIENTES!$A$793,"")</f>
        <v/>
      </c>
      <c r="C799" s="305">
        <f>IF(_PENDIENTES!$B$793&lt;&gt;"",_PENDIENTES!$C$793,"")</f>
        <v/>
      </c>
      <c r="D799" s="241">
        <f>IF(_PENDIENTES!$B$793&lt;&gt;"",_PENDIENTES!$D$793,"")</f>
        <v/>
      </c>
      <c r="E799" s="307">
        <f>IF(_PENDIENTES!$B$793&lt;&gt;"",_PENDIENTES!$E$793,"")</f>
        <v/>
      </c>
      <c r="F799" s="241">
        <f>IF(_PENDIENTES!$B$793&lt;&gt;"",_PENDIENTES!$F$793,"")</f>
        <v/>
      </c>
      <c r="G799" s="239">
        <f>IF(_PENDIENTES!$B$793&lt;&gt;"",_PENDIENTES!$G$793,"")</f>
        <v/>
      </c>
      <c r="H799" s="239">
        <f>IF(_PENDIENTES!$B$793&lt;&gt;"",_PENDIENTES!$H$793,"")</f>
        <v/>
      </c>
      <c r="I799" s="305">
        <f>IF(_PENDIENTES!$B$793&lt;&gt;"",_PENDIENTES!$I$793,"")</f>
        <v/>
      </c>
      <c r="J799" s="241">
        <f>IF(_PENDIENTES!$B$793&lt;&gt;"",_PENDIENTES!$J$793,"")</f>
        <v/>
      </c>
      <c r="K799" s="241">
        <f>IF(_PENDIENTES!$B$793&lt;&gt;"","POR RECOGER","")</f>
        <v/>
      </c>
      <c r="L799" s="241">
        <f>IF(_PENDIENTES!$B$793&lt;&gt;"",_PENDIENTES!$K$793,"")</f>
        <v/>
      </c>
      <c r="M799" s="284">
        <f>IF(_PENDIENTES!$B$793&lt;&gt;"",_PENDIENTES!$B$793,"")</f>
        <v/>
      </c>
      <c r="N799" s="304">
        <f>IF(_PENDIENTES!$B$793&lt;&gt;"",_PENDIENTES!$L$793,"")</f>
        <v/>
      </c>
      <c r="O799" s="284" t="n"/>
      <c r="P799" s="284" t="n"/>
      <c r="Q799" s="284" t="n"/>
      <c r="R799" s="284" t="n"/>
      <c r="S799" s="284" t="n"/>
    </row>
    <row r="800" hidden="1" ht="15.75" customHeight="1" s="195">
      <c r="A800" s="301">
        <f>IF(_PENDIENTES!$B$794&lt;&gt;"",793,"")</f>
        <v/>
      </c>
      <c r="B800" s="242">
        <f>IF(_PENDIENTES!$B$794&lt;&gt;"",_PENDIENTES!$A$794,"")</f>
        <v/>
      </c>
      <c r="C800" s="302">
        <f>IF(_PENDIENTES!$B$794&lt;&gt;"",_PENDIENTES!$C$794,"")</f>
        <v/>
      </c>
      <c r="D800" s="301">
        <f>IF(_PENDIENTES!$B$794&lt;&gt;"",_PENDIENTES!$D$794,"")</f>
        <v/>
      </c>
      <c r="E800" s="306">
        <f>IF(_PENDIENTES!$B$794&lt;&gt;"",_PENDIENTES!$E$794,"")</f>
        <v/>
      </c>
      <c r="F800" s="301">
        <f>IF(_PENDIENTES!$B$794&lt;&gt;"",_PENDIENTES!$F$794,"")</f>
        <v/>
      </c>
      <c r="G800" s="245">
        <f>IF(_PENDIENTES!$B$794&lt;&gt;"",_PENDIENTES!$G$794,"")</f>
        <v/>
      </c>
      <c r="H800" s="245">
        <f>IF(_PENDIENTES!$B$794&lt;&gt;"",_PENDIENTES!$H$794,"")</f>
        <v/>
      </c>
      <c r="I800" s="302">
        <f>IF(_PENDIENTES!$B$794&lt;&gt;"",_PENDIENTES!$I$794,"")</f>
        <v/>
      </c>
      <c r="J800" s="301">
        <f>IF(_PENDIENTES!$B$794&lt;&gt;"",_PENDIENTES!$J$794,"")</f>
        <v/>
      </c>
      <c r="K800" s="301">
        <f>IF(_PENDIENTES!$B$794&lt;&gt;"","POR RECOGER","")</f>
        <v/>
      </c>
      <c r="L800" s="301">
        <f>IF(_PENDIENTES!$B$794&lt;&gt;"",_PENDIENTES!$K$794,"")</f>
        <v/>
      </c>
      <c r="M800" s="284">
        <f>IF(_PENDIENTES!$B$794&lt;&gt;"",_PENDIENTES!$B$794,"")</f>
        <v/>
      </c>
      <c r="N800" s="304">
        <f>IF(_PENDIENTES!$B$794&lt;&gt;"",_PENDIENTES!$L$794,"")</f>
        <v/>
      </c>
      <c r="O800" s="284" t="n"/>
      <c r="P800" s="284" t="n"/>
      <c r="Q800" s="284" t="n"/>
      <c r="R800" s="284" t="n"/>
      <c r="S800" s="284" t="n"/>
    </row>
    <row r="801" hidden="1" ht="15.75" customHeight="1" s="195">
      <c r="A801" s="241">
        <f>IF(_PENDIENTES!$B$795&lt;&gt;"",794,"")</f>
        <v/>
      </c>
      <c r="B801" s="236">
        <f>IF(_PENDIENTES!$B$795&lt;&gt;"",_PENDIENTES!$A$795,"")</f>
        <v/>
      </c>
      <c r="C801" s="305">
        <f>IF(_PENDIENTES!$B$795&lt;&gt;"",_PENDIENTES!$C$795,"")</f>
        <v/>
      </c>
      <c r="D801" s="241">
        <f>IF(_PENDIENTES!$B$795&lt;&gt;"",_PENDIENTES!$D$795,"")</f>
        <v/>
      </c>
      <c r="E801" s="307">
        <f>IF(_PENDIENTES!$B$795&lt;&gt;"",_PENDIENTES!$E$795,"")</f>
        <v/>
      </c>
      <c r="F801" s="241">
        <f>IF(_PENDIENTES!$B$795&lt;&gt;"",_PENDIENTES!$F$795,"")</f>
        <v/>
      </c>
      <c r="G801" s="239">
        <f>IF(_PENDIENTES!$B$795&lt;&gt;"",_PENDIENTES!$G$795,"")</f>
        <v/>
      </c>
      <c r="H801" s="239">
        <f>IF(_PENDIENTES!$B$795&lt;&gt;"",_PENDIENTES!$H$795,"")</f>
        <v/>
      </c>
      <c r="I801" s="305">
        <f>IF(_PENDIENTES!$B$795&lt;&gt;"",_PENDIENTES!$I$795,"")</f>
        <v/>
      </c>
      <c r="J801" s="241">
        <f>IF(_PENDIENTES!$B$795&lt;&gt;"",_PENDIENTES!$J$795,"")</f>
        <v/>
      </c>
      <c r="K801" s="241">
        <f>IF(_PENDIENTES!$B$795&lt;&gt;"","POR RECOGER","")</f>
        <v/>
      </c>
      <c r="L801" s="241">
        <f>IF(_PENDIENTES!$B$795&lt;&gt;"",_PENDIENTES!$K$795,"")</f>
        <v/>
      </c>
      <c r="M801" s="284">
        <f>IF(_PENDIENTES!$B$795&lt;&gt;"",_PENDIENTES!$B$795,"")</f>
        <v/>
      </c>
      <c r="N801" s="304">
        <f>IF(_PENDIENTES!$B$795&lt;&gt;"",_PENDIENTES!$L$795,"")</f>
        <v/>
      </c>
      <c r="O801" s="284" t="n"/>
      <c r="P801" s="284" t="n"/>
      <c r="Q801" s="284" t="n"/>
      <c r="R801" s="284" t="n"/>
      <c r="S801" s="284" t="n"/>
    </row>
    <row r="802" hidden="1" ht="15.75" customHeight="1" s="195">
      <c r="A802" s="301">
        <f>IF(_PENDIENTES!$B$796&lt;&gt;"",795,"")</f>
        <v/>
      </c>
      <c r="B802" s="242">
        <f>IF(_PENDIENTES!$B$796&lt;&gt;"",_PENDIENTES!$A$796,"")</f>
        <v/>
      </c>
      <c r="C802" s="302">
        <f>IF(_PENDIENTES!$B$796&lt;&gt;"",_PENDIENTES!$C$796,"")</f>
        <v/>
      </c>
      <c r="D802" s="301">
        <f>IF(_PENDIENTES!$B$796&lt;&gt;"",_PENDIENTES!$D$796,"")</f>
        <v/>
      </c>
      <c r="E802" s="306">
        <f>IF(_PENDIENTES!$B$796&lt;&gt;"",_PENDIENTES!$E$796,"")</f>
        <v/>
      </c>
      <c r="F802" s="301">
        <f>IF(_PENDIENTES!$B$796&lt;&gt;"",_PENDIENTES!$F$796,"")</f>
        <v/>
      </c>
      <c r="G802" s="245">
        <f>IF(_PENDIENTES!$B$796&lt;&gt;"",_PENDIENTES!$G$796,"")</f>
        <v/>
      </c>
      <c r="H802" s="245">
        <f>IF(_PENDIENTES!$B$796&lt;&gt;"",_PENDIENTES!$H$796,"")</f>
        <v/>
      </c>
      <c r="I802" s="302">
        <f>IF(_PENDIENTES!$B$796&lt;&gt;"",_PENDIENTES!$I$796,"")</f>
        <v/>
      </c>
      <c r="J802" s="301">
        <f>IF(_PENDIENTES!$B$796&lt;&gt;"",_PENDIENTES!$J$796,"")</f>
        <v/>
      </c>
      <c r="K802" s="301">
        <f>IF(_PENDIENTES!$B$796&lt;&gt;"","POR RECOGER","")</f>
        <v/>
      </c>
      <c r="L802" s="301">
        <f>IF(_PENDIENTES!$B$796&lt;&gt;"",_PENDIENTES!$K$796,"")</f>
        <v/>
      </c>
      <c r="M802" s="284">
        <f>IF(_PENDIENTES!$B$796&lt;&gt;"",_PENDIENTES!$B$796,"")</f>
        <v/>
      </c>
      <c r="N802" s="304">
        <f>IF(_PENDIENTES!$B$796&lt;&gt;"",_PENDIENTES!$L$796,"")</f>
        <v/>
      </c>
      <c r="O802" s="284" t="n"/>
      <c r="P802" s="284" t="n"/>
      <c r="Q802" s="284" t="n"/>
      <c r="R802" s="284" t="n"/>
      <c r="S802" s="284" t="n"/>
    </row>
    <row r="803" hidden="1" ht="15.75" customHeight="1" s="195">
      <c r="A803" s="241">
        <f>IF(_PENDIENTES!$B$797&lt;&gt;"",796,"")</f>
        <v/>
      </c>
      <c r="B803" s="236">
        <f>IF(_PENDIENTES!$B$797&lt;&gt;"",_PENDIENTES!$A$797,"")</f>
        <v/>
      </c>
      <c r="C803" s="305">
        <f>IF(_PENDIENTES!$B$797&lt;&gt;"",_PENDIENTES!$C$797,"")</f>
        <v/>
      </c>
      <c r="D803" s="241">
        <f>IF(_PENDIENTES!$B$797&lt;&gt;"",_PENDIENTES!$D$797,"")</f>
        <v/>
      </c>
      <c r="E803" s="307">
        <f>IF(_PENDIENTES!$B$797&lt;&gt;"",_PENDIENTES!$E$797,"")</f>
        <v/>
      </c>
      <c r="F803" s="241">
        <f>IF(_PENDIENTES!$B$797&lt;&gt;"",_PENDIENTES!$F$797,"")</f>
        <v/>
      </c>
      <c r="G803" s="239">
        <f>IF(_PENDIENTES!$B$797&lt;&gt;"",_PENDIENTES!$G$797,"")</f>
        <v/>
      </c>
      <c r="H803" s="239">
        <f>IF(_PENDIENTES!$B$797&lt;&gt;"",_PENDIENTES!$H$797,"")</f>
        <v/>
      </c>
      <c r="I803" s="305">
        <f>IF(_PENDIENTES!$B$797&lt;&gt;"",_PENDIENTES!$I$797,"")</f>
        <v/>
      </c>
      <c r="J803" s="241">
        <f>IF(_PENDIENTES!$B$797&lt;&gt;"",_PENDIENTES!$J$797,"")</f>
        <v/>
      </c>
      <c r="K803" s="241">
        <f>IF(_PENDIENTES!$B$797&lt;&gt;"","POR RECOGER","")</f>
        <v/>
      </c>
      <c r="L803" s="241">
        <f>IF(_PENDIENTES!$B$797&lt;&gt;"",_PENDIENTES!$K$797,"")</f>
        <v/>
      </c>
      <c r="M803" s="284">
        <f>IF(_PENDIENTES!$B$797&lt;&gt;"",_PENDIENTES!$B$797,"")</f>
        <v/>
      </c>
      <c r="N803" s="304">
        <f>IF(_PENDIENTES!$B$797&lt;&gt;"",_PENDIENTES!$L$797,"")</f>
        <v/>
      </c>
      <c r="O803" s="284" t="n"/>
      <c r="P803" s="284" t="n"/>
      <c r="Q803" s="284" t="n"/>
      <c r="R803" s="284" t="n"/>
      <c r="S803" s="284" t="n"/>
    </row>
    <row r="804" hidden="1" ht="15.75" customHeight="1" s="195">
      <c r="A804" s="301">
        <f>IF(_PENDIENTES!$B$798&lt;&gt;"",797,"")</f>
        <v/>
      </c>
      <c r="B804" s="242">
        <f>IF(_PENDIENTES!$B$798&lt;&gt;"",_PENDIENTES!$A$798,"")</f>
        <v/>
      </c>
      <c r="C804" s="302">
        <f>IF(_PENDIENTES!$B$798&lt;&gt;"",_PENDIENTES!$C$798,"")</f>
        <v/>
      </c>
      <c r="D804" s="301">
        <f>IF(_PENDIENTES!$B$798&lt;&gt;"",_PENDIENTES!$D$798,"")</f>
        <v/>
      </c>
      <c r="E804" s="306">
        <f>IF(_PENDIENTES!$B$798&lt;&gt;"",_PENDIENTES!$E$798,"")</f>
        <v/>
      </c>
      <c r="F804" s="301">
        <f>IF(_PENDIENTES!$B$798&lt;&gt;"",_PENDIENTES!$F$798,"")</f>
        <v/>
      </c>
      <c r="G804" s="245">
        <f>IF(_PENDIENTES!$B$798&lt;&gt;"",_PENDIENTES!$G$798,"")</f>
        <v/>
      </c>
      <c r="H804" s="245">
        <f>IF(_PENDIENTES!$B$798&lt;&gt;"",_PENDIENTES!$H$798,"")</f>
        <v/>
      </c>
      <c r="I804" s="302">
        <f>IF(_PENDIENTES!$B$798&lt;&gt;"",_PENDIENTES!$I$798,"")</f>
        <v/>
      </c>
      <c r="J804" s="301">
        <f>IF(_PENDIENTES!$B$798&lt;&gt;"",_PENDIENTES!$J$798,"")</f>
        <v/>
      </c>
      <c r="K804" s="301">
        <f>IF(_PENDIENTES!$B$798&lt;&gt;"","POR RECOGER","")</f>
        <v/>
      </c>
      <c r="L804" s="301">
        <f>IF(_PENDIENTES!$B$798&lt;&gt;"",_PENDIENTES!$K$798,"")</f>
        <v/>
      </c>
      <c r="M804" s="284">
        <f>IF(_PENDIENTES!$B$798&lt;&gt;"",_PENDIENTES!$B$798,"")</f>
        <v/>
      </c>
      <c r="N804" s="304">
        <f>IF(_PENDIENTES!$B$798&lt;&gt;"",_PENDIENTES!$L$798,"")</f>
        <v/>
      </c>
      <c r="O804" s="284" t="n"/>
      <c r="P804" s="284" t="n"/>
      <c r="Q804" s="284" t="n"/>
      <c r="R804" s="284" t="n"/>
      <c r="S804" s="284" t="n"/>
    </row>
    <row r="805" hidden="1" ht="15.75" customHeight="1" s="195">
      <c r="A805" s="241">
        <f>IF(_PENDIENTES!$B$799&lt;&gt;"",798,"")</f>
        <v/>
      </c>
      <c r="B805" s="236">
        <f>IF(_PENDIENTES!$B$799&lt;&gt;"",_PENDIENTES!$A$799,"")</f>
        <v/>
      </c>
      <c r="C805" s="305">
        <f>IF(_PENDIENTES!$B$799&lt;&gt;"",_PENDIENTES!$C$799,"")</f>
        <v/>
      </c>
      <c r="D805" s="241">
        <f>IF(_PENDIENTES!$B$799&lt;&gt;"",_PENDIENTES!$D$799,"")</f>
        <v/>
      </c>
      <c r="E805" s="307">
        <f>IF(_PENDIENTES!$B$799&lt;&gt;"",_PENDIENTES!$E$799,"")</f>
        <v/>
      </c>
      <c r="F805" s="241">
        <f>IF(_PENDIENTES!$B$799&lt;&gt;"",_PENDIENTES!$F$799,"")</f>
        <v/>
      </c>
      <c r="G805" s="239">
        <f>IF(_PENDIENTES!$B$799&lt;&gt;"",_PENDIENTES!$G$799,"")</f>
        <v/>
      </c>
      <c r="H805" s="239">
        <f>IF(_PENDIENTES!$B$799&lt;&gt;"",_PENDIENTES!$H$799,"")</f>
        <v/>
      </c>
      <c r="I805" s="305">
        <f>IF(_PENDIENTES!$B$799&lt;&gt;"",_PENDIENTES!$I$799,"")</f>
        <v/>
      </c>
      <c r="J805" s="241">
        <f>IF(_PENDIENTES!$B$799&lt;&gt;"",_PENDIENTES!$J$799,"")</f>
        <v/>
      </c>
      <c r="K805" s="241">
        <f>IF(_PENDIENTES!$B$799&lt;&gt;"","POR RECOGER","")</f>
        <v/>
      </c>
      <c r="L805" s="241">
        <f>IF(_PENDIENTES!$B$799&lt;&gt;"",_PENDIENTES!$K$799,"")</f>
        <v/>
      </c>
      <c r="M805" s="284">
        <f>IF(_PENDIENTES!$B$799&lt;&gt;"",_PENDIENTES!$B$799,"")</f>
        <v/>
      </c>
      <c r="N805" s="304">
        <f>IF(_PENDIENTES!$B$799&lt;&gt;"",_PENDIENTES!$L$799,"")</f>
        <v/>
      </c>
      <c r="O805" s="284" t="n"/>
      <c r="P805" s="284" t="n"/>
      <c r="Q805" s="284" t="n"/>
      <c r="R805" s="284" t="n"/>
      <c r="S805" s="284" t="n"/>
    </row>
    <row r="806" hidden="1" ht="15.75" customHeight="1" s="195">
      <c r="A806" s="301">
        <f>IF(_PENDIENTES!$B$800&lt;&gt;"",799,"")</f>
        <v/>
      </c>
      <c r="B806" s="242">
        <f>IF(_PENDIENTES!$B$800&lt;&gt;"",_PENDIENTES!$A$800,"")</f>
        <v/>
      </c>
      <c r="C806" s="302">
        <f>IF(_PENDIENTES!$B$800&lt;&gt;"",_PENDIENTES!$C$800,"")</f>
        <v/>
      </c>
      <c r="D806" s="301">
        <f>IF(_PENDIENTES!$B$800&lt;&gt;"",_PENDIENTES!$D$800,"")</f>
        <v/>
      </c>
      <c r="E806" s="306">
        <f>IF(_PENDIENTES!$B$800&lt;&gt;"",_PENDIENTES!$E$800,"")</f>
        <v/>
      </c>
      <c r="F806" s="301">
        <f>IF(_PENDIENTES!$B$800&lt;&gt;"",_PENDIENTES!$F$800,"")</f>
        <v/>
      </c>
      <c r="G806" s="245">
        <f>IF(_PENDIENTES!$B$800&lt;&gt;"",_PENDIENTES!$G$800,"")</f>
        <v/>
      </c>
      <c r="H806" s="245">
        <f>IF(_PENDIENTES!$B$800&lt;&gt;"",_PENDIENTES!$H$800,"")</f>
        <v/>
      </c>
      <c r="I806" s="302">
        <f>IF(_PENDIENTES!$B$800&lt;&gt;"",_PENDIENTES!$I$800,"")</f>
        <v/>
      </c>
      <c r="J806" s="301">
        <f>IF(_PENDIENTES!$B$800&lt;&gt;"",_PENDIENTES!$J$800,"")</f>
        <v/>
      </c>
      <c r="K806" s="301">
        <f>IF(_PENDIENTES!$B$800&lt;&gt;"","POR RECOGER","")</f>
        <v/>
      </c>
      <c r="L806" s="301">
        <f>IF(_PENDIENTES!$B$800&lt;&gt;"",_PENDIENTES!$K$800,"")</f>
        <v/>
      </c>
      <c r="M806" s="284">
        <f>IF(_PENDIENTES!$B$800&lt;&gt;"",_PENDIENTES!$B$800,"")</f>
        <v/>
      </c>
      <c r="N806" s="304">
        <f>IF(_PENDIENTES!$B$800&lt;&gt;"",_PENDIENTES!$L$800,"")</f>
        <v/>
      </c>
      <c r="O806" s="284" t="n"/>
      <c r="P806" s="284" t="n"/>
      <c r="Q806" s="284" t="n"/>
      <c r="R806" s="284" t="n"/>
      <c r="S806" s="284" t="n"/>
    </row>
    <row r="807" hidden="1" ht="15.75" customHeight="1" s="195">
      <c r="A807" s="241">
        <f>IF(_PENDIENTES!$B$801&lt;&gt;"",800,"")</f>
        <v/>
      </c>
      <c r="B807" s="236">
        <f>IF(_PENDIENTES!$B$801&lt;&gt;"",_PENDIENTES!$A$801,"")</f>
        <v/>
      </c>
      <c r="C807" s="305">
        <f>IF(_PENDIENTES!$B$801&lt;&gt;"",_PENDIENTES!$C$801,"")</f>
        <v/>
      </c>
      <c r="D807" s="241">
        <f>IF(_PENDIENTES!$B$801&lt;&gt;"",_PENDIENTES!$D$801,"")</f>
        <v/>
      </c>
      <c r="E807" s="307">
        <f>IF(_PENDIENTES!$B$801&lt;&gt;"",_PENDIENTES!$E$801,"")</f>
        <v/>
      </c>
      <c r="F807" s="241">
        <f>IF(_PENDIENTES!$B$801&lt;&gt;"",_PENDIENTES!$F$801,"")</f>
        <v/>
      </c>
      <c r="G807" s="239">
        <f>IF(_PENDIENTES!$B$801&lt;&gt;"",_PENDIENTES!$G$801,"")</f>
        <v/>
      </c>
      <c r="H807" s="239">
        <f>IF(_PENDIENTES!$B$801&lt;&gt;"",_PENDIENTES!$H$801,"")</f>
        <v/>
      </c>
      <c r="I807" s="305">
        <f>IF(_PENDIENTES!$B$801&lt;&gt;"",_PENDIENTES!$I$801,"")</f>
        <v/>
      </c>
      <c r="J807" s="241">
        <f>IF(_PENDIENTES!$B$801&lt;&gt;"",_PENDIENTES!$J$801,"")</f>
        <v/>
      </c>
      <c r="K807" s="241">
        <f>IF(_PENDIENTES!$B$801&lt;&gt;"","POR RECOGER","")</f>
        <v/>
      </c>
      <c r="L807" s="241">
        <f>IF(_PENDIENTES!$B$801&lt;&gt;"",_PENDIENTES!$K$801,"")</f>
        <v/>
      </c>
      <c r="M807" s="284">
        <f>IF(_PENDIENTES!$B$801&lt;&gt;"",_PENDIENTES!$B$801,"")</f>
        <v/>
      </c>
      <c r="N807" s="304">
        <f>IF(_PENDIENTES!$B$801&lt;&gt;"",_PENDIENTES!$L$801,"")</f>
        <v/>
      </c>
      <c r="O807" s="284" t="n"/>
      <c r="P807" s="284" t="n"/>
      <c r="Q807" s="284" t="n"/>
      <c r="R807" s="284" t="n"/>
      <c r="S807" s="284" t="n"/>
    </row>
    <row r="808" hidden="1" ht="15.75" customHeight="1" s="195">
      <c r="A808" s="301">
        <f>IF(_PENDIENTES!$B$802&lt;&gt;"",801,"")</f>
        <v/>
      </c>
      <c r="B808" s="242">
        <f>IF(_PENDIENTES!$B$802&lt;&gt;"",_PENDIENTES!$A$802,"")</f>
        <v/>
      </c>
      <c r="C808" s="302">
        <f>IF(_PENDIENTES!$B$802&lt;&gt;"",_PENDIENTES!$C$802,"")</f>
        <v/>
      </c>
      <c r="D808" s="301">
        <f>IF(_PENDIENTES!$B$802&lt;&gt;"",_PENDIENTES!$D$802,"")</f>
        <v/>
      </c>
      <c r="E808" s="306">
        <f>IF(_PENDIENTES!$B$802&lt;&gt;"",_PENDIENTES!$E$802,"")</f>
        <v/>
      </c>
      <c r="F808" s="301">
        <f>IF(_PENDIENTES!$B$802&lt;&gt;"",_PENDIENTES!$F$802,"")</f>
        <v/>
      </c>
      <c r="G808" s="245">
        <f>IF(_PENDIENTES!$B$802&lt;&gt;"",_PENDIENTES!$G$802,"")</f>
        <v/>
      </c>
      <c r="H808" s="245">
        <f>IF(_PENDIENTES!$B$802&lt;&gt;"",_PENDIENTES!$H$802,"")</f>
        <v/>
      </c>
      <c r="I808" s="302">
        <f>IF(_PENDIENTES!$B$802&lt;&gt;"",_PENDIENTES!$I$802,"")</f>
        <v/>
      </c>
      <c r="J808" s="301">
        <f>IF(_PENDIENTES!$B$802&lt;&gt;"",_PENDIENTES!$J$802,"")</f>
        <v/>
      </c>
      <c r="K808" s="301">
        <f>IF(_PENDIENTES!$B$802&lt;&gt;"","POR RECOGER","")</f>
        <v/>
      </c>
      <c r="L808" s="301">
        <f>IF(_PENDIENTES!$B$802&lt;&gt;"",_PENDIENTES!$K$802,"")</f>
        <v/>
      </c>
      <c r="M808" s="284">
        <f>IF(_PENDIENTES!$B$802&lt;&gt;"",_PENDIENTES!$B$802,"")</f>
        <v/>
      </c>
      <c r="N808" s="304">
        <f>IF(_PENDIENTES!$B$802&lt;&gt;"",_PENDIENTES!$L$802,"")</f>
        <v/>
      </c>
      <c r="O808" s="284" t="n"/>
      <c r="P808" s="284" t="n"/>
      <c r="Q808" s="284" t="n"/>
      <c r="R808" s="284" t="n"/>
      <c r="S808" s="284" t="n"/>
    </row>
    <row r="809" hidden="1" ht="15.75" customHeight="1" s="195">
      <c r="A809" s="241">
        <f>IF(_PENDIENTES!$B$803&lt;&gt;"",802,"")</f>
        <v/>
      </c>
      <c r="B809" s="236">
        <f>IF(_PENDIENTES!$B$803&lt;&gt;"",_PENDIENTES!$A$803,"")</f>
        <v/>
      </c>
      <c r="C809" s="305">
        <f>IF(_PENDIENTES!$B$803&lt;&gt;"",_PENDIENTES!$C$803,"")</f>
        <v/>
      </c>
      <c r="D809" s="241">
        <f>IF(_PENDIENTES!$B$803&lt;&gt;"",_PENDIENTES!$D$803,"")</f>
        <v/>
      </c>
      <c r="E809" s="307">
        <f>IF(_PENDIENTES!$B$803&lt;&gt;"",_PENDIENTES!$E$803,"")</f>
        <v/>
      </c>
      <c r="F809" s="241">
        <f>IF(_PENDIENTES!$B$803&lt;&gt;"",_PENDIENTES!$F$803,"")</f>
        <v/>
      </c>
      <c r="G809" s="239">
        <f>IF(_PENDIENTES!$B$803&lt;&gt;"",_PENDIENTES!$G$803,"")</f>
        <v/>
      </c>
      <c r="H809" s="239">
        <f>IF(_PENDIENTES!$B$803&lt;&gt;"",_PENDIENTES!$H$803,"")</f>
        <v/>
      </c>
      <c r="I809" s="305">
        <f>IF(_PENDIENTES!$B$803&lt;&gt;"",_PENDIENTES!$I$803,"")</f>
        <v/>
      </c>
      <c r="J809" s="241">
        <f>IF(_PENDIENTES!$B$803&lt;&gt;"",_PENDIENTES!$J$803,"")</f>
        <v/>
      </c>
      <c r="K809" s="241">
        <f>IF(_PENDIENTES!$B$803&lt;&gt;"","POR RECOGER","")</f>
        <v/>
      </c>
      <c r="L809" s="241">
        <f>IF(_PENDIENTES!$B$803&lt;&gt;"",_PENDIENTES!$K$803,"")</f>
        <v/>
      </c>
      <c r="M809" s="284">
        <f>IF(_PENDIENTES!$B$803&lt;&gt;"",_PENDIENTES!$B$803,"")</f>
        <v/>
      </c>
      <c r="N809" s="304">
        <f>IF(_PENDIENTES!$B$803&lt;&gt;"",_PENDIENTES!$L$803,"")</f>
        <v/>
      </c>
      <c r="O809" s="284" t="n"/>
      <c r="P809" s="284" t="n"/>
      <c r="Q809" s="284" t="n"/>
      <c r="R809" s="284" t="n"/>
      <c r="S809" s="284" t="n"/>
    </row>
    <row r="810" hidden="1" ht="15.75" customHeight="1" s="195">
      <c r="A810" s="301">
        <f>IF(_PENDIENTES!$B$804&lt;&gt;"",803,"")</f>
        <v/>
      </c>
      <c r="B810" s="242">
        <f>IF(_PENDIENTES!$B$804&lt;&gt;"",_PENDIENTES!$A$804,"")</f>
        <v/>
      </c>
      <c r="C810" s="302">
        <f>IF(_PENDIENTES!$B$804&lt;&gt;"",_PENDIENTES!$C$804,"")</f>
        <v/>
      </c>
      <c r="D810" s="301">
        <f>IF(_PENDIENTES!$B$804&lt;&gt;"",_PENDIENTES!$D$804,"")</f>
        <v/>
      </c>
      <c r="E810" s="306">
        <f>IF(_PENDIENTES!$B$804&lt;&gt;"",_PENDIENTES!$E$804,"")</f>
        <v/>
      </c>
      <c r="F810" s="301">
        <f>IF(_PENDIENTES!$B$804&lt;&gt;"",_PENDIENTES!$F$804,"")</f>
        <v/>
      </c>
      <c r="G810" s="245">
        <f>IF(_PENDIENTES!$B$804&lt;&gt;"",_PENDIENTES!$G$804,"")</f>
        <v/>
      </c>
      <c r="H810" s="245">
        <f>IF(_PENDIENTES!$B$804&lt;&gt;"",_PENDIENTES!$H$804,"")</f>
        <v/>
      </c>
      <c r="I810" s="302">
        <f>IF(_PENDIENTES!$B$804&lt;&gt;"",_PENDIENTES!$I$804,"")</f>
        <v/>
      </c>
      <c r="J810" s="301">
        <f>IF(_PENDIENTES!$B$804&lt;&gt;"",_PENDIENTES!$J$804,"")</f>
        <v/>
      </c>
      <c r="K810" s="301">
        <f>IF(_PENDIENTES!$B$804&lt;&gt;"","POR RECOGER","")</f>
        <v/>
      </c>
      <c r="L810" s="301">
        <f>IF(_PENDIENTES!$B$804&lt;&gt;"",_PENDIENTES!$K$804,"")</f>
        <v/>
      </c>
      <c r="M810" s="284">
        <f>IF(_PENDIENTES!$B$804&lt;&gt;"",_PENDIENTES!$B$804,"")</f>
        <v/>
      </c>
      <c r="N810" s="304">
        <f>IF(_PENDIENTES!$B$804&lt;&gt;"",_PENDIENTES!$L$804,"")</f>
        <v/>
      </c>
      <c r="O810" s="284" t="n"/>
      <c r="P810" s="284" t="n"/>
      <c r="Q810" s="284" t="n"/>
      <c r="R810" s="284" t="n"/>
      <c r="S810" s="284" t="n"/>
    </row>
    <row r="811" hidden="1" ht="15.75" customHeight="1" s="195">
      <c r="A811" s="241">
        <f>IF(_PENDIENTES!$B$805&lt;&gt;"",804,"")</f>
        <v/>
      </c>
      <c r="B811" s="236">
        <f>IF(_PENDIENTES!$B$805&lt;&gt;"",_PENDIENTES!$A$805,"")</f>
        <v/>
      </c>
      <c r="C811" s="305">
        <f>IF(_PENDIENTES!$B$805&lt;&gt;"",_PENDIENTES!$C$805,"")</f>
        <v/>
      </c>
      <c r="D811" s="241">
        <f>IF(_PENDIENTES!$B$805&lt;&gt;"",_PENDIENTES!$D$805,"")</f>
        <v/>
      </c>
      <c r="E811" s="307">
        <f>IF(_PENDIENTES!$B$805&lt;&gt;"",_PENDIENTES!$E$805,"")</f>
        <v/>
      </c>
      <c r="F811" s="241">
        <f>IF(_PENDIENTES!$B$805&lt;&gt;"",_PENDIENTES!$F$805,"")</f>
        <v/>
      </c>
      <c r="G811" s="239">
        <f>IF(_PENDIENTES!$B$805&lt;&gt;"",_PENDIENTES!$G$805,"")</f>
        <v/>
      </c>
      <c r="H811" s="239">
        <f>IF(_PENDIENTES!$B$805&lt;&gt;"",_PENDIENTES!$H$805,"")</f>
        <v/>
      </c>
      <c r="I811" s="305">
        <f>IF(_PENDIENTES!$B$805&lt;&gt;"",_PENDIENTES!$I$805,"")</f>
        <v/>
      </c>
      <c r="J811" s="241">
        <f>IF(_PENDIENTES!$B$805&lt;&gt;"",_PENDIENTES!$J$805,"")</f>
        <v/>
      </c>
      <c r="K811" s="241">
        <f>IF(_PENDIENTES!$B$805&lt;&gt;"","POR RECOGER","")</f>
        <v/>
      </c>
      <c r="L811" s="241">
        <f>IF(_PENDIENTES!$B$805&lt;&gt;"",_PENDIENTES!$K$805,"")</f>
        <v/>
      </c>
      <c r="M811" s="284">
        <f>IF(_PENDIENTES!$B$805&lt;&gt;"",_PENDIENTES!$B$805,"")</f>
        <v/>
      </c>
      <c r="N811" s="304">
        <f>IF(_PENDIENTES!$B$805&lt;&gt;"",_PENDIENTES!$L$805,"")</f>
        <v/>
      </c>
      <c r="O811" s="284" t="n"/>
      <c r="P811" s="284" t="n"/>
      <c r="Q811" s="284" t="n"/>
      <c r="R811" s="284" t="n"/>
      <c r="S811" s="284" t="n"/>
    </row>
    <row r="812" hidden="1" ht="15.75" customHeight="1" s="195">
      <c r="A812" s="301">
        <f>IF(_PENDIENTES!$B$806&lt;&gt;"",805,"")</f>
        <v/>
      </c>
      <c r="B812" s="242">
        <f>IF(_PENDIENTES!$B$806&lt;&gt;"",_PENDIENTES!$A$806,"")</f>
        <v/>
      </c>
      <c r="C812" s="302">
        <f>IF(_PENDIENTES!$B$806&lt;&gt;"",_PENDIENTES!$C$806,"")</f>
        <v/>
      </c>
      <c r="D812" s="301">
        <f>IF(_PENDIENTES!$B$806&lt;&gt;"",_PENDIENTES!$D$806,"")</f>
        <v/>
      </c>
      <c r="E812" s="306">
        <f>IF(_PENDIENTES!$B$806&lt;&gt;"",_PENDIENTES!$E$806,"")</f>
        <v/>
      </c>
      <c r="F812" s="301">
        <f>IF(_PENDIENTES!$B$806&lt;&gt;"",_PENDIENTES!$F$806,"")</f>
        <v/>
      </c>
      <c r="G812" s="245">
        <f>IF(_PENDIENTES!$B$806&lt;&gt;"",_PENDIENTES!$G$806,"")</f>
        <v/>
      </c>
      <c r="H812" s="245">
        <f>IF(_PENDIENTES!$B$806&lt;&gt;"",_PENDIENTES!$H$806,"")</f>
        <v/>
      </c>
      <c r="I812" s="302">
        <f>IF(_PENDIENTES!$B$806&lt;&gt;"",_PENDIENTES!$I$806,"")</f>
        <v/>
      </c>
      <c r="J812" s="301">
        <f>IF(_PENDIENTES!$B$806&lt;&gt;"",_PENDIENTES!$J$806,"")</f>
        <v/>
      </c>
      <c r="K812" s="301">
        <f>IF(_PENDIENTES!$B$806&lt;&gt;"","POR RECOGER","")</f>
        <v/>
      </c>
      <c r="L812" s="301">
        <f>IF(_PENDIENTES!$B$806&lt;&gt;"",_PENDIENTES!$K$806,"")</f>
        <v/>
      </c>
      <c r="M812" s="284">
        <f>IF(_PENDIENTES!$B$806&lt;&gt;"",_PENDIENTES!$B$806,"")</f>
        <v/>
      </c>
      <c r="N812" s="304">
        <f>IF(_PENDIENTES!$B$806&lt;&gt;"",_PENDIENTES!$L$806,"")</f>
        <v/>
      </c>
      <c r="O812" s="284" t="n"/>
      <c r="P812" s="284" t="n"/>
      <c r="Q812" s="284" t="n"/>
      <c r="R812" s="284" t="n"/>
      <c r="S812" s="284" t="n"/>
    </row>
    <row r="813" hidden="1" ht="15.75" customHeight="1" s="195">
      <c r="A813" s="241">
        <f>IF(_PENDIENTES!$B$807&lt;&gt;"",806,"")</f>
        <v/>
      </c>
      <c r="B813" s="236">
        <f>IF(_PENDIENTES!$B$807&lt;&gt;"",_PENDIENTES!$A$807,"")</f>
        <v/>
      </c>
      <c r="C813" s="305">
        <f>IF(_PENDIENTES!$B$807&lt;&gt;"",_PENDIENTES!$C$807,"")</f>
        <v/>
      </c>
      <c r="D813" s="241">
        <f>IF(_PENDIENTES!$B$807&lt;&gt;"",_PENDIENTES!$D$807,"")</f>
        <v/>
      </c>
      <c r="E813" s="307">
        <f>IF(_PENDIENTES!$B$807&lt;&gt;"",_PENDIENTES!$E$807,"")</f>
        <v/>
      </c>
      <c r="F813" s="241">
        <f>IF(_PENDIENTES!$B$807&lt;&gt;"",_PENDIENTES!$F$807,"")</f>
        <v/>
      </c>
      <c r="G813" s="239">
        <f>IF(_PENDIENTES!$B$807&lt;&gt;"",_PENDIENTES!$G$807,"")</f>
        <v/>
      </c>
      <c r="H813" s="239">
        <f>IF(_PENDIENTES!$B$807&lt;&gt;"",_PENDIENTES!$H$807,"")</f>
        <v/>
      </c>
      <c r="I813" s="305">
        <f>IF(_PENDIENTES!$B$807&lt;&gt;"",_PENDIENTES!$I$807,"")</f>
        <v/>
      </c>
      <c r="J813" s="241">
        <f>IF(_PENDIENTES!$B$807&lt;&gt;"",_PENDIENTES!$J$807,"")</f>
        <v/>
      </c>
      <c r="K813" s="241">
        <f>IF(_PENDIENTES!$B$807&lt;&gt;"","POR RECOGER","")</f>
        <v/>
      </c>
      <c r="L813" s="241">
        <f>IF(_PENDIENTES!$B$807&lt;&gt;"",_PENDIENTES!$K$807,"")</f>
        <v/>
      </c>
      <c r="M813" s="284">
        <f>IF(_PENDIENTES!$B$807&lt;&gt;"",_PENDIENTES!$B$807,"")</f>
        <v/>
      </c>
      <c r="N813" s="304">
        <f>IF(_PENDIENTES!$B$807&lt;&gt;"",_PENDIENTES!$L$807,"")</f>
        <v/>
      </c>
      <c r="O813" s="284" t="n"/>
      <c r="P813" s="284" t="n"/>
      <c r="Q813" s="284" t="n"/>
      <c r="R813" s="284" t="n"/>
      <c r="S813" s="284" t="n"/>
    </row>
    <row r="814" hidden="1" ht="15.75" customHeight="1" s="195">
      <c r="A814" s="301">
        <f>IF(_PENDIENTES!$B$808&lt;&gt;"",807,"")</f>
        <v/>
      </c>
      <c r="B814" s="242">
        <f>IF(_PENDIENTES!$B$808&lt;&gt;"",_PENDIENTES!$A$808,"")</f>
        <v/>
      </c>
      <c r="C814" s="302">
        <f>IF(_PENDIENTES!$B$808&lt;&gt;"",_PENDIENTES!$C$808,"")</f>
        <v/>
      </c>
      <c r="D814" s="301">
        <f>IF(_PENDIENTES!$B$808&lt;&gt;"",_PENDIENTES!$D$808,"")</f>
        <v/>
      </c>
      <c r="E814" s="306">
        <f>IF(_PENDIENTES!$B$808&lt;&gt;"",_PENDIENTES!$E$808,"")</f>
        <v/>
      </c>
      <c r="F814" s="301">
        <f>IF(_PENDIENTES!$B$808&lt;&gt;"",_PENDIENTES!$F$808,"")</f>
        <v/>
      </c>
      <c r="G814" s="245">
        <f>IF(_PENDIENTES!$B$808&lt;&gt;"",_PENDIENTES!$G$808,"")</f>
        <v/>
      </c>
      <c r="H814" s="245">
        <f>IF(_PENDIENTES!$B$808&lt;&gt;"",_PENDIENTES!$H$808,"")</f>
        <v/>
      </c>
      <c r="I814" s="302">
        <f>IF(_PENDIENTES!$B$808&lt;&gt;"",_PENDIENTES!$I$808,"")</f>
        <v/>
      </c>
      <c r="J814" s="301">
        <f>IF(_PENDIENTES!$B$808&lt;&gt;"",_PENDIENTES!$J$808,"")</f>
        <v/>
      </c>
      <c r="K814" s="301">
        <f>IF(_PENDIENTES!$B$808&lt;&gt;"","POR RECOGER","")</f>
        <v/>
      </c>
      <c r="L814" s="301">
        <f>IF(_PENDIENTES!$B$808&lt;&gt;"",_PENDIENTES!$K$808,"")</f>
        <v/>
      </c>
      <c r="M814" s="284">
        <f>IF(_PENDIENTES!$B$808&lt;&gt;"",_PENDIENTES!$B$808,"")</f>
        <v/>
      </c>
      <c r="N814" s="304">
        <f>IF(_PENDIENTES!$B$808&lt;&gt;"",_PENDIENTES!$L$808,"")</f>
        <v/>
      </c>
      <c r="O814" s="284" t="n"/>
      <c r="P814" s="284" t="n"/>
      <c r="Q814" s="284" t="n"/>
      <c r="R814" s="284" t="n"/>
      <c r="S814" s="284" t="n"/>
    </row>
    <row r="815" hidden="1" ht="15.75" customHeight="1" s="195">
      <c r="A815" s="241">
        <f>IF(_PENDIENTES!$B$809&lt;&gt;"",808,"")</f>
        <v/>
      </c>
      <c r="B815" s="236">
        <f>IF(_PENDIENTES!$B$809&lt;&gt;"",_PENDIENTES!$A$809,"")</f>
        <v/>
      </c>
      <c r="C815" s="305">
        <f>IF(_PENDIENTES!$B$809&lt;&gt;"",_PENDIENTES!$C$809,"")</f>
        <v/>
      </c>
      <c r="D815" s="241">
        <f>IF(_PENDIENTES!$B$809&lt;&gt;"",_PENDIENTES!$D$809,"")</f>
        <v/>
      </c>
      <c r="E815" s="307">
        <f>IF(_PENDIENTES!$B$809&lt;&gt;"",_PENDIENTES!$E$809,"")</f>
        <v/>
      </c>
      <c r="F815" s="241">
        <f>IF(_PENDIENTES!$B$809&lt;&gt;"",_PENDIENTES!$F$809,"")</f>
        <v/>
      </c>
      <c r="G815" s="239">
        <f>IF(_PENDIENTES!$B$809&lt;&gt;"",_PENDIENTES!$G$809,"")</f>
        <v/>
      </c>
      <c r="H815" s="239">
        <f>IF(_PENDIENTES!$B$809&lt;&gt;"",_PENDIENTES!$H$809,"")</f>
        <v/>
      </c>
      <c r="I815" s="305">
        <f>IF(_PENDIENTES!$B$809&lt;&gt;"",_PENDIENTES!$I$809,"")</f>
        <v/>
      </c>
      <c r="J815" s="241">
        <f>IF(_PENDIENTES!$B$809&lt;&gt;"",_PENDIENTES!$J$809,"")</f>
        <v/>
      </c>
      <c r="K815" s="241">
        <f>IF(_PENDIENTES!$B$809&lt;&gt;"","POR RECOGER","")</f>
        <v/>
      </c>
      <c r="L815" s="241">
        <f>IF(_PENDIENTES!$B$809&lt;&gt;"",_PENDIENTES!$K$809,"")</f>
        <v/>
      </c>
      <c r="M815" s="284">
        <f>IF(_PENDIENTES!$B$809&lt;&gt;"",_PENDIENTES!$B$809,"")</f>
        <v/>
      </c>
      <c r="N815" s="304">
        <f>IF(_PENDIENTES!$B$809&lt;&gt;"",_PENDIENTES!$L$809,"")</f>
        <v/>
      </c>
      <c r="O815" s="284" t="n"/>
      <c r="P815" s="284" t="n"/>
      <c r="Q815" s="284" t="n"/>
      <c r="R815" s="284" t="n"/>
      <c r="S815" s="284" t="n"/>
    </row>
    <row r="816" hidden="1" ht="15.75" customHeight="1" s="195">
      <c r="A816" s="301">
        <f>IF(_PENDIENTES!$B$810&lt;&gt;"",809,"")</f>
        <v/>
      </c>
      <c r="B816" s="242">
        <f>IF(_PENDIENTES!$B$810&lt;&gt;"",_PENDIENTES!$A$810,"")</f>
        <v/>
      </c>
      <c r="C816" s="302">
        <f>IF(_PENDIENTES!$B$810&lt;&gt;"",_PENDIENTES!$C$810,"")</f>
        <v/>
      </c>
      <c r="D816" s="301">
        <f>IF(_PENDIENTES!$B$810&lt;&gt;"",_PENDIENTES!$D$810,"")</f>
        <v/>
      </c>
      <c r="E816" s="306">
        <f>IF(_PENDIENTES!$B$810&lt;&gt;"",_PENDIENTES!$E$810,"")</f>
        <v/>
      </c>
      <c r="F816" s="301">
        <f>IF(_PENDIENTES!$B$810&lt;&gt;"",_PENDIENTES!$F$810,"")</f>
        <v/>
      </c>
      <c r="G816" s="245">
        <f>IF(_PENDIENTES!$B$810&lt;&gt;"",_PENDIENTES!$G$810,"")</f>
        <v/>
      </c>
      <c r="H816" s="245">
        <f>IF(_PENDIENTES!$B$810&lt;&gt;"",_PENDIENTES!$H$810,"")</f>
        <v/>
      </c>
      <c r="I816" s="302">
        <f>IF(_PENDIENTES!$B$810&lt;&gt;"",_PENDIENTES!$I$810,"")</f>
        <v/>
      </c>
      <c r="J816" s="301">
        <f>IF(_PENDIENTES!$B$810&lt;&gt;"",_PENDIENTES!$J$810,"")</f>
        <v/>
      </c>
      <c r="K816" s="301">
        <f>IF(_PENDIENTES!$B$810&lt;&gt;"","POR RECOGER","")</f>
        <v/>
      </c>
      <c r="L816" s="301">
        <f>IF(_PENDIENTES!$B$810&lt;&gt;"",_PENDIENTES!$K$810,"")</f>
        <v/>
      </c>
      <c r="M816" s="284">
        <f>IF(_PENDIENTES!$B$810&lt;&gt;"",_PENDIENTES!$B$810,"")</f>
        <v/>
      </c>
      <c r="N816" s="304">
        <f>IF(_PENDIENTES!$B$810&lt;&gt;"",_PENDIENTES!$L$810,"")</f>
        <v/>
      </c>
      <c r="O816" s="284" t="n"/>
      <c r="P816" s="284" t="n"/>
      <c r="Q816" s="284" t="n"/>
      <c r="R816" s="284" t="n"/>
      <c r="S816" s="284" t="n"/>
    </row>
    <row r="817" hidden="1" ht="15.75" customHeight="1" s="195">
      <c r="A817" s="241">
        <f>IF(_PENDIENTES!$B$811&lt;&gt;"",810,"")</f>
        <v/>
      </c>
      <c r="B817" s="236">
        <f>IF(_PENDIENTES!$B$811&lt;&gt;"",_PENDIENTES!$A$811,"")</f>
        <v/>
      </c>
      <c r="C817" s="305">
        <f>IF(_PENDIENTES!$B$811&lt;&gt;"",_PENDIENTES!$C$811,"")</f>
        <v/>
      </c>
      <c r="D817" s="241">
        <f>IF(_PENDIENTES!$B$811&lt;&gt;"",_PENDIENTES!$D$811,"")</f>
        <v/>
      </c>
      <c r="E817" s="307">
        <f>IF(_PENDIENTES!$B$811&lt;&gt;"",_PENDIENTES!$E$811,"")</f>
        <v/>
      </c>
      <c r="F817" s="241">
        <f>IF(_PENDIENTES!$B$811&lt;&gt;"",_PENDIENTES!$F$811,"")</f>
        <v/>
      </c>
      <c r="G817" s="239">
        <f>IF(_PENDIENTES!$B$811&lt;&gt;"",_PENDIENTES!$G$811,"")</f>
        <v/>
      </c>
      <c r="H817" s="239">
        <f>IF(_PENDIENTES!$B$811&lt;&gt;"",_PENDIENTES!$H$811,"")</f>
        <v/>
      </c>
      <c r="I817" s="305">
        <f>IF(_PENDIENTES!$B$811&lt;&gt;"",_PENDIENTES!$I$811,"")</f>
        <v/>
      </c>
      <c r="J817" s="241">
        <f>IF(_PENDIENTES!$B$811&lt;&gt;"",_PENDIENTES!$J$811,"")</f>
        <v/>
      </c>
      <c r="K817" s="241">
        <f>IF(_PENDIENTES!$B$811&lt;&gt;"","POR RECOGER","")</f>
        <v/>
      </c>
      <c r="L817" s="241">
        <f>IF(_PENDIENTES!$B$811&lt;&gt;"",_PENDIENTES!$K$811,"")</f>
        <v/>
      </c>
      <c r="M817" s="284">
        <f>IF(_PENDIENTES!$B$811&lt;&gt;"",_PENDIENTES!$B$811,"")</f>
        <v/>
      </c>
      <c r="N817" s="304">
        <f>IF(_PENDIENTES!$B$811&lt;&gt;"",_PENDIENTES!$L$811,"")</f>
        <v/>
      </c>
      <c r="O817" s="284" t="n"/>
      <c r="P817" s="284" t="n"/>
      <c r="Q817" s="284" t="n"/>
      <c r="R817" s="284" t="n"/>
      <c r="S817" s="284" t="n"/>
    </row>
    <row r="818" hidden="1" ht="15.75" customHeight="1" s="195">
      <c r="A818" s="301">
        <f>IF(_PENDIENTES!$B$812&lt;&gt;"",811,"")</f>
        <v/>
      </c>
      <c r="B818" s="242">
        <f>IF(_PENDIENTES!$B$812&lt;&gt;"",_PENDIENTES!$A$812,"")</f>
        <v/>
      </c>
      <c r="C818" s="302">
        <f>IF(_PENDIENTES!$B$812&lt;&gt;"",_PENDIENTES!$C$812,"")</f>
        <v/>
      </c>
      <c r="D818" s="301">
        <f>IF(_PENDIENTES!$B$812&lt;&gt;"",_PENDIENTES!$D$812,"")</f>
        <v/>
      </c>
      <c r="E818" s="306">
        <f>IF(_PENDIENTES!$B$812&lt;&gt;"",_PENDIENTES!$E$812,"")</f>
        <v/>
      </c>
      <c r="F818" s="301">
        <f>IF(_PENDIENTES!$B$812&lt;&gt;"",_PENDIENTES!$F$812,"")</f>
        <v/>
      </c>
      <c r="G818" s="245">
        <f>IF(_PENDIENTES!$B$812&lt;&gt;"",_PENDIENTES!$G$812,"")</f>
        <v/>
      </c>
      <c r="H818" s="245">
        <f>IF(_PENDIENTES!$B$812&lt;&gt;"",_PENDIENTES!$H$812,"")</f>
        <v/>
      </c>
      <c r="I818" s="302">
        <f>IF(_PENDIENTES!$B$812&lt;&gt;"",_PENDIENTES!$I$812,"")</f>
        <v/>
      </c>
      <c r="J818" s="301">
        <f>IF(_PENDIENTES!$B$812&lt;&gt;"",_PENDIENTES!$J$812,"")</f>
        <v/>
      </c>
      <c r="K818" s="301">
        <f>IF(_PENDIENTES!$B$812&lt;&gt;"","POR RECOGER","")</f>
        <v/>
      </c>
      <c r="L818" s="301">
        <f>IF(_PENDIENTES!$B$812&lt;&gt;"",_PENDIENTES!$K$812,"")</f>
        <v/>
      </c>
      <c r="M818" s="284">
        <f>IF(_PENDIENTES!$B$812&lt;&gt;"",_PENDIENTES!$B$812,"")</f>
        <v/>
      </c>
      <c r="N818" s="304">
        <f>IF(_PENDIENTES!$B$812&lt;&gt;"",_PENDIENTES!$L$812,"")</f>
        <v/>
      </c>
      <c r="O818" s="284" t="n"/>
      <c r="P818" s="284" t="n"/>
      <c r="Q818" s="284" t="n"/>
      <c r="R818" s="284" t="n"/>
      <c r="S818" s="284" t="n"/>
    </row>
    <row r="819" hidden="1" ht="15.75" customHeight="1" s="195">
      <c r="A819" s="241">
        <f>IF(_PENDIENTES!$B$813&lt;&gt;"",812,"")</f>
        <v/>
      </c>
      <c r="B819" s="236">
        <f>IF(_PENDIENTES!$B$813&lt;&gt;"",_PENDIENTES!$A$813,"")</f>
        <v/>
      </c>
      <c r="C819" s="305">
        <f>IF(_PENDIENTES!$B$813&lt;&gt;"",_PENDIENTES!$C$813,"")</f>
        <v/>
      </c>
      <c r="D819" s="241">
        <f>IF(_PENDIENTES!$B$813&lt;&gt;"",_PENDIENTES!$D$813,"")</f>
        <v/>
      </c>
      <c r="E819" s="307">
        <f>IF(_PENDIENTES!$B$813&lt;&gt;"",_PENDIENTES!$E$813,"")</f>
        <v/>
      </c>
      <c r="F819" s="241">
        <f>IF(_PENDIENTES!$B$813&lt;&gt;"",_PENDIENTES!$F$813,"")</f>
        <v/>
      </c>
      <c r="G819" s="239">
        <f>IF(_PENDIENTES!$B$813&lt;&gt;"",_PENDIENTES!$G$813,"")</f>
        <v/>
      </c>
      <c r="H819" s="239">
        <f>IF(_PENDIENTES!$B$813&lt;&gt;"",_PENDIENTES!$H$813,"")</f>
        <v/>
      </c>
      <c r="I819" s="305">
        <f>IF(_PENDIENTES!$B$813&lt;&gt;"",_PENDIENTES!$I$813,"")</f>
        <v/>
      </c>
      <c r="J819" s="241">
        <f>IF(_PENDIENTES!$B$813&lt;&gt;"",_PENDIENTES!$J$813,"")</f>
        <v/>
      </c>
      <c r="K819" s="241">
        <f>IF(_PENDIENTES!$B$813&lt;&gt;"","POR RECOGER","")</f>
        <v/>
      </c>
      <c r="L819" s="241">
        <f>IF(_PENDIENTES!$B$813&lt;&gt;"",_PENDIENTES!$K$813,"")</f>
        <v/>
      </c>
      <c r="M819" s="284">
        <f>IF(_PENDIENTES!$B$813&lt;&gt;"",_PENDIENTES!$B$813,"")</f>
        <v/>
      </c>
      <c r="N819" s="304">
        <f>IF(_PENDIENTES!$B$813&lt;&gt;"",_PENDIENTES!$L$813,"")</f>
        <v/>
      </c>
      <c r="O819" s="284" t="n"/>
      <c r="P819" s="284" t="n"/>
      <c r="Q819" s="284" t="n"/>
      <c r="R819" s="284" t="n"/>
      <c r="S819" s="284" t="n"/>
    </row>
    <row r="820" hidden="1" ht="15.75" customHeight="1" s="195">
      <c r="A820" s="301">
        <f>IF(_PENDIENTES!$B$814&lt;&gt;"",813,"")</f>
        <v/>
      </c>
      <c r="B820" s="242">
        <f>IF(_PENDIENTES!$B$814&lt;&gt;"",_PENDIENTES!$A$814,"")</f>
        <v/>
      </c>
      <c r="C820" s="302">
        <f>IF(_PENDIENTES!$B$814&lt;&gt;"",_PENDIENTES!$C$814,"")</f>
        <v/>
      </c>
      <c r="D820" s="301">
        <f>IF(_PENDIENTES!$B$814&lt;&gt;"",_PENDIENTES!$D$814,"")</f>
        <v/>
      </c>
      <c r="E820" s="306">
        <f>IF(_PENDIENTES!$B$814&lt;&gt;"",_PENDIENTES!$E$814,"")</f>
        <v/>
      </c>
      <c r="F820" s="301">
        <f>IF(_PENDIENTES!$B$814&lt;&gt;"",_PENDIENTES!$F$814,"")</f>
        <v/>
      </c>
      <c r="G820" s="245">
        <f>IF(_PENDIENTES!$B$814&lt;&gt;"",_PENDIENTES!$G$814,"")</f>
        <v/>
      </c>
      <c r="H820" s="245">
        <f>IF(_PENDIENTES!$B$814&lt;&gt;"",_PENDIENTES!$H$814,"")</f>
        <v/>
      </c>
      <c r="I820" s="302">
        <f>IF(_PENDIENTES!$B$814&lt;&gt;"",_PENDIENTES!$I$814,"")</f>
        <v/>
      </c>
      <c r="J820" s="301">
        <f>IF(_PENDIENTES!$B$814&lt;&gt;"",_PENDIENTES!$J$814,"")</f>
        <v/>
      </c>
      <c r="K820" s="301">
        <f>IF(_PENDIENTES!$B$814&lt;&gt;"","POR RECOGER","")</f>
        <v/>
      </c>
      <c r="L820" s="301">
        <f>IF(_PENDIENTES!$B$814&lt;&gt;"",_PENDIENTES!$K$814,"")</f>
        <v/>
      </c>
      <c r="M820" s="284">
        <f>IF(_PENDIENTES!$B$814&lt;&gt;"",_PENDIENTES!$B$814,"")</f>
        <v/>
      </c>
      <c r="N820" s="304">
        <f>IF(_PENDIENTES!$B$814&lt;&gt;"",_PENDIENTES!$L$814,"")</f>
        <v/>
      </c>
      <c r="O820" s="284" t="n"/>
      <c r="P820" s="284" t="n"/>
      <c r="Q820" s="284" t="n"/>
      <c r="R820" s="284" t="n"/>
      <c r="S820" s="284" t="n"/>
    </row>
    <row r="821" hidden="1" ht="15.75" customHeight="1" s="195">
      <c r="A821" s="241">
        <f>IF(_PENDIENTES!$B$815&lt;&gt;"",814,"")</f>
        <v/>
      </c>
      <c r="B821" s="236">
        <f>IF(_PENDIENTES!$B$815&lt;&gt;"",_PENDIENTES!$A$815,"")</f>
        <v/>
      </c>
      <c r="C821" s="305">
        <f>IF(_PENDIENTES!$B$815&lt;&gt;"",_PENDIENTES!$C$815,"")</f>
        <v/>
      </c>
      <c r="D821" s="241">
        <f>IF(_PENDIENTES!$B$815&lt;&gt;"",_PENDIENTES!$D$815,"")</f>
        <v/>
      </c>
      <c r="E821" s="307">
        <f>IF(_PENDIENTES!$B$815&lt;&gt;"",_PENDIENTES!$E$815,"")</f>
        <v/>
      </c>
      <c r="F821" s="241">
        <f>IF(_PENDIENTES!$B$815&lt;&gt;"",_PENDIENTES!$F$815,"")</f>
        <v/>
      </c>
      <c r="G821" s="239">
        <f>IF(_PENDIENTES!$B$815&lt;&gt;"",_PENDIENTES!$G$815,"")</f>
        <v/>
      </c>
      <c r="H821" s="239">
        <f>IF(_PENDIENTES!$B$815&lt;&gt;"",_PENDIENTES!$H$815,"")</f>
        <v/>
      </c>
      <c r="I821" s="305">
        <f>IF(_PENDIENTES!$B$815&lt;&gt;"",_PENDIENTES!$I$815,"")</f>
        <v/>
      </c>
      <c r="J821" s="241">
        <f>IF(_PENDIENTES!$B$815&lt;&gt;"",_PENDIENTES!$J$815,"")</f>
        <v/>
      </c>
      <c r="K821" s="241">
        <f>IF(_PENDIENTES!$B$815&lt;&gt;"","POR RECOGER","")</f>
        <v/>
      </c>
      <c r="L821" s="241">
        <f>IF(_PENDIENTES!$B$815&lt;&gt;"",_PENDIENTES!$K$815,"")</f>
        <v/>
      </c>
      <c r="M821" s="284">
        <f>IF(_PENDIENTES!$B$815&lt;&gt;"",_PENDIENTES!$B$815,"")</f>
        <v/>
      </c>
      <c r="N821" s="304">
        <f>IF(_PENDIENTES!$B$815&lt;&gt;"",_PENDIENTES!$L$815,"")</f>
        <v/>
      </c>
      <c r="O821" s="284" t="n"/>
      <c r="P821" s="284" t="n"/>
      <c r="Q821" s="284" t="n"/>
      <c r="R821" s="284" t="n"/>
      <c r="S821" s="284" t="n"/>
    </row>
    <row r="822" hidden="1" ht="15.75" customHeight="1" s="195">
      <c r="A822" s="301">
        <f>IF(_PENDIENTES!$B$816&lt;&gt;"",815,"")</f>
        <v/>
      </c>
      <c r="B822" s="242">
        <f>IF(_PENDIENTES!$B$816&lt;&gt;"",_PENDIENTES!$A$816,"")</f>
        <v/>
      </c>
      <c r="C822" s="302">
        <f>IF(_PENDIENTES!$B$816&lt;&gt;"",_PENDIENTES!$C$816,"")</f>
        <v/>
      </c>
      <c r="D822" s="301">
        <f>IF(_PENDIENTES!$B$816&lt;&gt;"",_PENDIENTES!$D$816,"")</f>
        <v/>
      </c>
      <c r="E822" s="306">
        <f>IF(_PENDIENTES!$B$816&lt;&gt;"",_PENDIENTES!$E$816,"")</f>
        <v/>
      </c>
      <c r="F822" s="301">
        <f>IF(_PENDIENTES!$B$816&lt;&gt;"",_PENDIENTES!$F$816,"")</f>
        <v/>
      </c>
      <c r="G822" s="245">
        <f>IF(_PENDIENTES!$B$816&lt;&gt;"",_PENDIENTES!$G$816,"")</f>
        <v/>
      </c>
      <c r="H822" s="245">
        <f>IF(_PENDIENTES!$B$816&lt;&gt;"",_PENDIENTES!$H$816,"")</f>
        <v/>
      </c>
      <c r="I822" s="302">
        <f>IF(_PENDIENTES!$B$816&lt;&gt;"",_PENDIENTES!$I$816,"")</f>
        <v/>
      </c>
      <c r="J822" s="301">
        <f>IF(_PENDIENTES!$B$816&lt;&gt;"",_PENDIENTES!$J$816,"")</f>
        <v/>
      </c>
      <c r="K822" s="301">
        <f>IF(_PENDIENTES!$B$816&lt;&gt;"","POR RECOGER","")</f>
        <v/>
      </c>
      <c r="L822" s="301">
        <f>IF(_PENDIENTES!$B$816&lt;&gt;"",_PENDIENTES!$K$816,"")</f>
        <v/>
      </c>
      <c r="M822" s="284">
        <f>IF(_PENDIENTES!$B$816&lt;&gt;"",_PENDIENTES!$B$816,"")</f>
        <v/>
      </c>
      <c r="N822" s="304">
        <f>IF(_PENDIENTES!$B$816&lt;&gt;"",_PENDIENTES!$L$816,"")</f>
        <v/>
      </c>
      <c r="O822" s="284" t="n"/>
      <c r="P822" s="284" t="n"/>
      <c r="Q822" s="284" t="n"/>
      <c r="R822" s="284" t="n"/>
      <c r="S822" s="284" t="n"/>
    </row>
    <row r="823" hidden="1" ht="15.75" customHeight="1" s="195">
      <c r="A823" s="241">
        <f>IF(_PENDIENTES!$B$817&lt;&gt;"",816,"")</f>
        <v/>
      </c>
      <c r="B823" s="236">
        <f>IF(_PENDIENTES!$B$817&lt;&gt;"",_PENDIENTES!$A$817,"")</f>
        <v/>
      </c>
      <c r="C823" s="305">
        <f>IF(_PENDIENTES!$B$817&lt;&gt;"",_PENDIENTES!$C$817,"")</f>
        <v/>
      </c>
      <c r="D823" s="241">
        <f>IF(_PENDIENTES!$B$817&lt;&gt;"",_PENDIENTES!$D$817,"")</f>
        <v/>
      </c>
      <c r="E823" s="307">
        <f>IF(_PENDIENTES!$B$817&lt;&gt;"",_PENDIENTES!$E$817,"")</f>
        <v/>
      </c>
      <c r="F823" s="241">
        <f>IF(_PENDIENTES!$B$817&lt;&gt;"",_PENDIENTES!$F$817,"")</f>
        <v/>
      </c>
      <c r="G823" s="239">
        <f>IF(_PENDIENTES!$B$817&lt;&gt;"",_PENDIENTES!$G$817,"")</f>
        <v/>
      </c>
      <c r="H823" s="239">
        <f>IF(_PENDIENTES!$B$817&lt;&gt;"",_PENDIENTES!$H$817,"")</f>
        <v/>
      </c>
      <c r="I823" s="305">
        <f>IF(_PENDIENTES!$B$817&lt;&gt;"",_PENDIENTES!$I$817,"")</f>
        <v/>
      </c>
      <c r="J823" s="241">
        <f>IF(_PENDIENTES!$B$817&lt;&gt;"",_PENDIENTES!$J$817,"")</f>
        <v/>
      </c>
      <c r="K823" s="241">
        <f>IF(_PENDIENTES!$B$817&lt;&gt;"","POR RECOGER","")</f>
        <v/>
      </c>
      <c r="L823" s="241">
        <f>IF(_PENDIENTES!$B$817&lt;&gt;"",_PENDIENTES!$K$817,"")</f>
        <v/>
      </c>
      <c r="M823" s="284">
        <f>IF(_PENDIENTES!$B$817&lt;&gt;"",_PENDIENTES!$B$817,"")</f>
        <v/>
      </c>
      <c r="N823" s="304">
        <f>IF(_PENDIENTES!$B$817&lt;&gt;"",_PENDIENTES!$L$817,"")</f>
        <v/>
      </c>
      <c r="O823" s="284" t="n"/>
      <c r="P823" s="284" t="n"/>
      <c r="Q823" s="284" t="n"/>
      <c r="R823" s="284" t="n"/>
      <c r="S823" s="284" t="n"/>
    </row>
    <row r="824" hidden="1" ht="15.75" customHeight="1" s="195">
      <c r="A824" s="301">
        <f>IF(_PENDIENTES!$B$818&lt;&gt;"",817,"")</f>
        <v/>
      </c>
      <c r="B824" s="242">
        <f>IF(_PENDIENTES!$B$818&lt;&gt;"",_PENDIENTES!$A$818,"")</f>
        <v/>
      </c>
      <c r="C824" s="302">
        <f>IF(_PENDIENTES!$B$818&lt;&gt;"",_PENDIENTES!$C$818,"")</f>
        <v/>
      </c>
      <c r="D824" s="301">
        <f>IF(_PENDIENTES!$B$818&lt;&gt;"",_PENDIENTES!$D$818,"")</f>
        <v/>
      </c>
      <c r="E824" s="306">
        <f>IF(_PENDIENTES!$B$818&lt;&gt;"",_PENDIENTES!$E$818,"")</f>
        <v/>
      </c>
      <c r="F824" s="301">
        <f>IF(_PENDIENTES!$B$818&lt;&gt;"",_PENDIENTES!$F$818,"")</f>
        <v/>
      </c>
      <c r="G824" s="245">
        <f>IF(_PENDIENTES!$B$818&lt;&gt;"",_PENDIENTES!$G$818,"")</f>
        <v/>
      </c>
      <c r="H824" s="245">
        <f>IF(_PENDIENTES!$B$818&lt;&gt;"",_PENDIENTES!$H$818,"")</f>
        <v/>
      </c>
      <c r="I824" s="302">
        <f>IF(_PENDIENTES!$B$818&lt;&gt;"",_PENDIENTES!$I$818,"")</f>
        <v/>
      </c>
      <c r="J824" s="301">
        <f>IF(_PENDIENTES!$B$818&lt;&gt;"",_PENDIENTES!$J$818,"")</f>
        <v/>
      </c>
      <c r="K824" s="301">
        <f>IF(_PENDIENTES!$B$818&lt;&gt;"","POR RECOGER","")</f>
        <v/>
      </c>
      <c r="L824" s="301">
        <f>IF(_PENDIENTES!$B$818&lt;&gt;"",_PENDIENTES!$K$818,"")</f>
        <v/>
      </c>
      <c r="M824" s="284">
        <f>IF(_PENDIENTES!$B$818&lt;&gt;"",_PENDIENTES!$B$818,"")</f>
        <v/>
      </c>
      <c r="N824" s="304">
        <f>IF(_PENDIENTES!$B$818&lt;&gt;"",_PENDIENTES!$L$818,"")</f>
        <v/>
      </c>
      <c r="O824" s="284" t="n"/>
      <c r="P824" s="284" t="n"/>
      <c r="Q824" s="284" t="n"/>
      <c r="R824" s="284" t="n"/>
      <c r="S824" s="284" t="n"/>
    </row>
    <row r="825" hidden="1" ht="15.75" customHeight="1" s="195">
      <c r="A825" s="241">
        <f>IF(_PENDIENTES!$B$819&lt;&gt;"",818,"")</f>
        <v/>
      </c>
      <c r="B825" s="236">
        <f>IF(_PENDIENTES!$B$819&lt;&gt;"",_PENDIENTES!$A$819,"")</f>
        <v/>
      </c>
      <c r="C825" s="305">
        <f>IF(_PENDIENTES!$B$819&lt;&gt;"",_PENDIENTES!$C$819,"")</f>
        <v/>
      </c>
      <c r="D825" s="241">
        <f>IF(_PENDIENTES!$B$819&lt;&gt;"",_PENDIENTES!$D$819,"")</f>
        <v/>
      </c>
      <c r="E825" s="307">
        <f>IF(_PENDIENTES!$B$819&lt;&gt;"",_PENDIENTES!$E$819,"")</f>
        <v/>
      </c>
      <c r="F825" s="241">
        <f>IF(_PENDIENTES!$B$819&lt;&gt;"",_PENDIENTES!$F$819,"")</f>
        <v/>
      </c>
      <c r="G825" s="239">
        <f>IF(_PENDIENTES!$B$819&lt;&gt;"",_PENDIENTES!$G$819,"")</f>
        <v/>
      </c>
      <c r="H825" s="239">
        <f>IF(_PENDIENTES!$B$819&lt;&gt;"",_PENDIENTES!$H$819,"")</f>
        <v/>
      </c>
      <c r="I825" s="305">
        <f>IF(_PENDIENTES!$B$819&lt;&gt;"",_PENDIENTES!$I$819,"")</f>
        <v/>
      </c>
      <c r="J825" s="241">
        <f>IF(_PENDIENTES!$B$819&lt;&gt;"",_PENDIENTES!$J$819,"")</f>
        <v/>
      </c>
      <c r="K825" s="241">
        <f>IF(_PENDIENTES!$B$819&lt;&gt;"","POR RECOGER","")</f>
        <v/>
      </c>
      <c r="L825" s="241">
        <f>IF(_PENDIENTES!$B$819&lt;&gt;"",_PENDIENTES!$K$819,"")</f>
        <v/>
      </c>
      <c r="M825" s="284">
        <f>IF(_PENDIENTES!$B$819&lt;&gt;"",_PENDIENTES!$B$819,"")</f>
        <v/>
      </c>
      <c r="N825" s="304">
        <f>IF(_PENDIENTES!$B$819&lt;&gt;"",_PENDIENTES!$L$819,"")</f>
        <v/>
      </c>
      <c r="O825" s="284" t="n"/>
      <c r="P825" s="284" t="n"/>
      <c r="Q825" s="284" t="n"/>
      <c r="R825" s="284" t="n"/>
      <c r="S825" s="284" t="n"/>
    </row>
    <row r="826" hidden="1" ht="15.75" customHeight="1" s="195">
      <c r="A826" s="301">
        <f>IF(_PENDIENTES!$B$820&lt;&gt;"",819,"")</f>
        <v/>
      </c>
      <c r="B826" s="242">
        <f>IF(_PENDIENTES!$B$820&lt;&gt;"",_PENDIENTES!$A$820,"")</f>
        <v/>
      </c>
      <c r="C826" s="302">
        <f>IF(_PENDIENTES!$B$820&lt;&gt;"",_PENDIENTES!$C$820,"")</f>
        <v/>
      </c>
      <c r="D826" s="301">
        <f>IF(_PENDIENTES!$B$820&lt;&gt;"",_PENDIENTES!$D$820,"")</f>
        <v/>
      </c>
      <c r="E826" s="306">
        <f>IF(_PENDIENTES!$B$820&lt;&gt;"",_PENDIENTES!$E$820,"")</f>
        <v/>
      </c>
      <c r="F826" s="301">
        <f>IF(_PENDIENTES!$B$820&lt;&gt;"",_PENDIENTES!$F$820,"")</f>
        <v/>
      </c>
      <c r="G826" s="245">
        <f>IF(_PENDIENTES!$B$820&lt;&gt;"",_PENDIENTES!$G$820,"")</f>
        <v/>
      </c>
      <c r="H826" s="245">
        <f>IF(_PENDIENTES!$B$820&lt;&gt;"",_PENDIENTES!$H$820,"")</f>
        <v/>
      </c>
      <c r="I826" s="302">
        <f>IF(_PENDIENTES!$B$820&lt;&gt;"",_PENDIENTES!$I$820,"")</f>
        <v/>
      </c>
      <c r="J826" s="301">
        <f>IF(_PENDIENTES!$B$820&lt;&gt;"",_PENDIENTES!$J$820,"")</f>
        <v/>
      </c>
      <c r="K826" s="301">
        <f>IF(_PENDIENTES!$B$820&lt;&gt;"","POR RECOGER","")</f>
        <v/>
      </c>
      <c r="L826" s="301">
        <f>IF(_PENDIENTES!$B$820&lt;&gt;"",_PENDIENTES!$K$820,"")</f>
        <v/>
      </c>
      <c r="M826" s="284">
        <f>IF(_PENDIENTES!$B$820&lt;&gt;"",_PENDIENTES!$B$820,"")</f>
        <v/>
      </c>
      <c r="N826" s="304">
        <f>IF(_PENDIENTES!$B$820&lt;&gt;"",_PENDIENTES!$L$820,"")</f>
        <v/>
      </c>
      <c r="O826" s="284" t="n"/>
      <c r="P826" s="284" t="n"/>
      <c r="Q826" s="284" t="n"/>
      <c r="R826" s="284" t="n"/>
      <c r="S826" s="284" t="n"/>
    </row>
    <row r="827" hidden="1" ht="15.75" customHeight="1" s="195">
      <c r="A827" s="241">
        <f>IF(_PENDIENTES!$B$821&lt;&gt;"",820,"")</f>
        <v/>
      </c>
      <c r="B827" s="236">
        <f>IF(_PENDIENTES!$B$821&lt;&gt;"",_PENDIENTES!$A$821,"")</f>
        <v/>
      </c>
      <c r="C827" s="305">
        <f>IF(_PENDIENTES!$B$821&lt;&gt;"",_PENDIENTES!$C$821,"")</f>
        <v/>
      </c>
      <c r="D827" s="241">
        <f>IF(_PENDIENTES!$B$821&lt;&gt;"",_PENDIENTES!$D$821,"")</f>
        <v/>
      </c>
      <c r="E827" s="307">
        <f>IF(_PENDIENTES!$B$821&lt;&gt;"",_PENDIENTES!$E$821,"")</f>
        <v/>
      </c>
      <c r="F827" s="241">
        <f>IF(_PENDIENTES!$B$821&lt;&gt;"",_PENDIENTES!$F$821,"")</f>
        <v/>
      </c>
      <c r="G827" s="239">
        <f>IF(_PENDIENTES!$B$821&lt;&gt;"",_PENDIENTES!$G$821,"")</f>
        <v/>
      </c>
      <c r="H827" s="239">
        <f>IF(_PENDIENTES!$B$821&lt;&gt;"",_PENDIENTES!$H$821,"")</f>
        <v/>
      </c>
      <c r="I827" s="305">
        <f>IF(_PENDIENTES!$B$821&lt;&gt;"",_PENDIENTES!$I$821,"")</f>
        <v/>
      </c>
      <c r="J827" s="241">
        <f>IF(_PENDIENTES!$B$821&lt;&gt;"",_PENDIENTES!$J$821,"")</f>
        <v/>
      </c>
      <c r="K827" s="241">
        <f>IF(_PENDIENTES!$B$821&lt;&gt;"","POR RECOGER","")</f>
        <v/>
      </c>
      <c r="L827" s="241">
        <f>IF(_PENDIENTES!$B$821&lt;&gt;"",_PENDIENTES!$K$821,"")</f>
        <v/>
      </c>
      <c r="M827" s="284">
        <f>IF(_PENDIENTES!$B$821&lt;&gt;"",_PENDIENTES!$B$821,"")</f>
        <v/>
      </c>
      <c r="N827" s="304">
        <f>IF(_PENDIENTES!$B$821&lt;&gt;"",_PENDIENTES!$L$821,"")</f>
        <v/>
      </c>
      <c r="O827" s="284" t="n"/>
      <c r="P827" s="284" t="n"/>
      <c r="Q827" s="284" t="n"/>
      <c r="R827" s="284" t="n"/>
      <c r="S827" s="284" t="n"/>
    </row>
    <row r="828" hidden="1" ht="15.75" customHeight="1" s="195">
      <c r="A828" s="301">
        <f>IF(_PENDIENTES!$B$822&lt;&gt;"",821,"")</f>
        <v/>
      </c>
      <c r="B828" s="242">
        <f>IF(_PENDIENTES!$B$822&lt;&gt;"",_PENDIENTES!$A$822,"")</f>
        <v/>
      </c>
      <c r="C828" s="302">
        <f>IF(_PENDIENTES!$B$822&lt;&gt;"",_PENDIENTES!$C$822,"")</f>
        <v/>
      </c>
      <c r="D828" s="301">
        <f>IF(_PENDIENTES!$B$822&lt;&gt;"",_PENDIENTES!$D$822,"")</f>
        <v/>
      </c>
      <c r="E828" s="306">
        <f>IF(_PENDIENTES!$B$822&lt;&gt;"",_PENDIENTES!$E$822,"")</f>
        <v/>
      </c>
      <c r="F828" s="301">
        <f>IF(_PENDIENTES!$B$822&lt;&gt;"",_PENDIENTES!$F$822,"")</f>
        <v/>
      </c>
      <c r="G828" s="245">
        <f>IF(_PENDIENTES!$B$822&lt;&gt;"",_PENDIENTES!$G$822,"")</f>
        <v/>
      </c>
      <c r="H828" s="245">
        <f>IF(_PENDIENTES!$B$822&lt;&gt;"",_PENDIENTES!$H$822,"")</f>
        <v/>
      </c>
      <c r="I828" s="302">
        <f>IF(_PENDIENTES!$B$822&lt;&gt;"",_PENDIENTES!$I$822,"")</f>
        <v/>
      </c>
      <c r="J828" s="301">
        <f>IF(_PENDIENTES!$B$822&lt;&gt;"",_PENDIENTES!$J$822,"")</f>
        <v/>
      </c>
      <c r="K828" s="301">
        <f>IF(_PENDIENTES!$B$822&lt;&gt;"","POR RECOGER","")</f>
        <v/>
      </c>
      <c r="L828" s="301">
        <f>IF(_PENDIENTES!$B$822&lt;&gt;"",_PENDIENTES!$K$822,"")</f>
        <v/>
      </c>
      <c r="M828" s="284">
        <f>IF(_PENDIENTES!$B$822&lt;&gt;"",_PENDIENTES!$B$822,"")</f>
        <v/>
      </c>
      <c r="N828" s="304">
        <f>IF(_PENDIENTES!$B$822&lt;&gt;"",_PENDIENTES!$L$822,"")</f>
        <v/>
      </c>
      <c r="O828" s="284" t="n"/>
      <c r="P828" s="284" t="n"/>
      <c r="Q828" s="284" t="n"/>
      <c r="R828" s="284" t="n"/>
      <c r="S828" s="284" t="n"/>
    </row>
    <row r="829" hidden="1" ht="15.75" customHeight="1" s="195">
      <c r="A829" s="241">
        <f>IF(_PENDIENTES!$B$823&lt;&gt;"",822,"")</f>
        <v/>
      </c>
      <c r="B829" s="236">
        <f>IF(_PENDIENTES!$B$823&lt;&gt;"",_PENDIENTES!$A$823,"")</f>
        <v/>
      </c>
      <c r="C829" s="305">
        <f>IF(_PENDIENTES!$B$823&lt;&gt;"",_PENDIENTES!$C$823,"")</f>
        <v/>
      </c>
      <c r="D829" s="241">
        <f>IF(_PENDIENTES!$B$823&lt;&gt;"",_PENDIENTES!$D$823,"")</f>
        <v/>
      </c>
      <c r="E829" s="307">
        <f>IF(_PENDIENTES!$B$823&lt;&gt;"",_PENDIENTES!$E$823,"")</f>
        <v/>
      </c>
      <c r="F829" s="241">
        <f>IF(_PENDIENTES!$B$823&lt;&gt;"",_PENDIENTES!$F$823,"")</f>
        <v/>
      </c>
      <c r="G829" s="239">
        <f>IF(_PENDIENTES!$B$823&lt;&gt;"",_PENDIENTES!$G$823,"")</f>
        <v/>
      </c>
      <c r="H829" s="239">
        <f>IF(_PENDIENTES!$B$823&lt;&gt;"",_PENDIENTES!$H$823,"")</f>
        <v/>
      </c>
      <c r="I829" s="305">
        <f>IF(_PENDIENTES!$B$823&lt;&gt;"",_PENDIENTES!$I$823,"")</f>
        <v/>
      </c>
      <c r="J829" s="241">
        <f>IF(_PENDIENTES!$B$823&lt;&gt;"",_PENDIENTES!$J$823,"")</f>
        <v/>
      </c>
      <c r="K829" s="241">
        <f>IF(_PENDIENTES!$B$823&lt;&gt;"","POR RECOGER","")</f>
        <v/>
      </c>
      <c r="L829" s="241">
        <f>IF(_PENDIENTES!$B$823&lt;&gt;"",_PENDIENTES!$K$823,"")</f>
        <v/>
      </c>
      <c r="M829" s="284">
        <f>IF(_PENDIENTES!$B$823&lt;&gt;"",_PENDIENTES!$B$823,"")</f>
        <v/>
      </c>
      <c r="N829" s="304">
        <f>IF(_PENDIENTES!$B$823&lt;&gt;"",_PENDIENTES!$L$823,"")</f>
        <v/>
      </c>
      <c r="O829" s="284" t="n"/>
      <c r="P829" s="284" t="n"/>
      <c r="Q829" s="284" t="n"/>
      <c r="R829" s="284" t="n"/>
      <c r="S829" s="284" t="n"/>
    </row>
    <row r="830" hidden="1" ht="15.75" customHeight="1" s="195">
      <c r="A830" s="301">
        <f>IF(_PENDIENTES!$B$824&lt;&gt;"",823,"")</f>
        <v/>
      </c>
      <c r="B830" s="242">
        <f>IF(_PENDIENTES!$B$824&lt;&gt;"",_PENDIENTES!$A$824,"")</f>
        <v/>
      </c>
      <c r="C830" s="302">
        <f>IF(_PENDIENTES!$B$824&lt;&gt;"",_PENDIENTES!$C$824,"")</f>
        <v/>
      </c>
      <c r="D830" s="301">
        <f>IF(_PENDIENTES!$B$824&lt;&gt;"",_PENDIENTES!$D$824,"")</f>
        <v/>
      </c>
      <c r="E830" s="306">
        <f>IF(_PENDIENTES!$B$824&lt;&gt;"",_PENDIENTES!$E$824,"")</f>
        <v/>
      </c>
      <c r="F830" s="301">
        <f>IF(_PENDIENTES!$B$824&lt;&gt;"",_PENDIENTES!$F$824,"")</f>
        <v/>
      </c>
      <c r="G830" s="245">
        <f>IF(_PENDIENTES!$B$824&lt;&gt;"",_PENDIENTES!$G$824,"")</f>
        <v/>
      </c>
      <c r="H830" s="245">
        <f>IF(_PENDIENTES!$B$824&lt;&gt;"",_PENDIENTES!$H$824,"")</f>
        <v/>
      </c>
      <c r="I830" s="302">
        <f>IF(_PENDIENTES!$B$824&lt;&gt;"",_PENDIENTES!$I$824,"")</f>
        <v/>
      </c>
      <c r="J830" s="301">
        <f>IF(_PENDIENTES!$B$824&lt;&gt;"",_PENDIENTES!$J$824,"")</f>
        <v/>
      </c>
      <c r="K830" s="301">
        <f>IF(_PENDIENTES!$B$824&lt;&gt;"","POR RECOGER","")</f>
        <v/>
      </c>
      <c r="L830" s="301">
        <f>IF(_PENDIENTES!$B$824&lt;&gt;"",_PENDIENTES!$K$824,"")</f>
        <v/>
      </c>
      <c r="M830" s="284">
        <f>IF(_PENDIENTES!$B$824&lt;&gt;"",_PENDIENTES!$B$824,"")</f>
        <v/>
      </c>
      <c r="N830" s="304">
        <f>IF(_PENDIENTES!$B$824&lt;&gt;"",_PENDIENTES!$L$824,"")</f>
        <v/>
      </c>
      <c r="O830" s="284" t="n"/>
      <c r="P830" s="284" t="n"/>
      <c r="Q830" s="284" t="n"/>
      <c r="R830" s="284" t="n"/>
      <c r="S830" s="284" t="n"/>
    </row>
    <row r="831" hidden="1" ht="15.75" customHeight="1" s="195">
      <c r="A831" s="241">
        <f>IF(_PENDIENTES!$B$825&lt;&gt;"",824,"")</f>
        <v/>
      </c>
      <c r="B831" s="236">
        <f>IF(_PENDIENTES!$B$825&lt;&gt;"",_PENDIENTES!$A$825,"")</f>
        <v/>
      </c>
      <c r="C831" s="305">
        <f>IF(_PENDIENTES!$B$825&lt;&gt;"",_PENDIENTES!$C$825,"")</f>
        <v/>
      </c>
      <c r="D831" s="241">
        <f>IF(_PENDIENTES!$B$825&lt;&gt;"",_PENDIENTES!$D$825,"")</f>
        <v/>
      </c>
      <c r="E831" s="307">
        <f>IF(_PENDIENTES!$B$825&lt;&gt;"",_PENDIENTES!$E$825,"")</f>
        <v/>
      </c>
      <c r="F831" s="241">
        <f>IF(_PENDIENTES!$B$825&lt;&gt;"",_PENDIENTES!$F$825,"")</f>
        <v/>
      </c>
      <c r="G831" s="239">
        <f>IF(_PENDIENTES!$B$825&lt;&gt;"",_PENDIENTES!$G$825,"")</f>
        <v/>
      </c>
      <c r="H831" s="239">
        <f>IF(_PENDIENTES!$B$825&lt;&gt;"",_PENDIENTES!$H$825,"")</f>
        <v/>
      </c>
      <c r="I831" s="305">
        <f>IF(_PENDIENTES!$B$825&lt;&gt;"",_PENDIENTES!$I$825,"")</f>
        <v/>
      </c>
      <c r="J831" s="241">
        <f>IF(_PENDIENTES!$B$825&lt;&gt;"",_PENDIENTES!$J$825,"")</f>
        <v/>
      </c>
      <c r="K831" s="241">
        <f>IF(_PENDIENTES!$B$825&lt;&gt;"","POR RECOGER","")</f>
        <v/>
      </c>
      <c r="L831" s="241">
        <f>IF(_PENDIENTES!$B$825&lt;&gt;"",_PENDIENTES!$K$825,"")</f>
        <v/>
      </c>
      <c r="M831" s="284">
        <f>IF(_PENDIENTES!$B$825&lt;&gt;"",_PENDIENTES!$B$825,"")</f>
        <v/>
      </c>
      <c r="N831" s="304">
        <f>IF(_PENDIENTES!$B$825&lt;&gt;"",_PENDIENTES!$L$825,"")</f>
        <v/>
      </c>
      <c r="O831" s="284" t="n"/>
      <c r="P831" s="284" t="n"/>
      <c r="Q831" s="284" t="n"/>
      <c r="R831" s="284" t="n"/>
      <c r="S831" s="284" t="n"/>
    </row>
    <row r="832" hidden="1" ht="15.75" customHeight="1" s="195">
      <c r="A832" s="301">
        <f>IF(_PENDIENTES!$B$826&lt;&gt;"",825,"")</f>
        <v/>
      </c>
      <c r="B832" s="242">
        <f>IF(_PENDIENTES!$B$826&lt;&gt;"",_PENDIENTES!$A$826,"")</f>
        <v/>
      </c>
      <c r="C832" s="302">
        <f>IF(_PENDIENTES!$B$826&lt;&gt;"",_PENDIENTES!$C$826,"")</f>
        <v/>
      </c>
      <c r="D832" s="301">
        <f>IF(_PENDIENTES!$B$826&lt;&gt;"",_PENDIENTES!$D$826,"")</f>
        <v/>
      </c>
      <c r="E832" s="306">
        <f>IF(_PENDIENTES!$B$826&lt;&gt;"",_PENDIENTES!$E$826,"")</f>
        <v/>
      </c>
      <c r="F832" s="301">
        <f>IF(_PENDIENTES!$B$826&lt;&gt;"",_PENDIENTES!$F$826,"")</f>
        <v/>
      </c>
      <c r="G832" s="245">
        <f>IF(_PENDIENTES!$B$826&lt;&gt;"",_PENDIENTES!$G$826,"")</f>
        <v/>
      </c>
      <c r="H832" s="245">
        <f>IF(_PENDIENTES!$B$826&lt;&gt;"",_PENDIENTES!$H$826,"")</f>
        <v/>
      </c>
      <c r="I832" s="302">
        <f>IF(_PENDIENTES!$B$826&lt;&gt;"",_PENDIENTES!$I$826,"")</f>
        <v/>
      </c>
      <c r="J832" s="301">
        <f>IF(_PENDIENTES!$B$826&lt;&gt;"",_PENDIENTES!$J$826,"")</f>
        <v/>
      </c>
      <c r="K832" s="301">
        <f>IF(_PENDIENTES!$B$826&lt;&gt;"","POR RECOGER","")</f>
        <v/>
      </c>
      <c r="L832" s="301">
        <f>IF(_PENDIENTES!$B$826&lt;&gt;"",_PENDIENTES!$K$826,"")</f>
        <v/>
      </c>
      <c r="M832" s="284">
        <f>IF(_PENDIENTES!$B$826&lt;&gt;"",_PENDIENTES!$B$826,"")</f>
        <v/>
      </c>
      <c r="N832" s="304">
        <f>IF(_PENDIENTES!$B$826&lt;&gt;"",_PENDIENTES!$L$826,"")</f>
        <v/>
      </c>
      <c r="O832" s="284" t="n"/>
      <c r="P832" s="284" t="n"/>
      <c r="Q832" s="284" t="n"/>
      <c r="R832" s="284" t="n"/>
      <c r="S832" s="284" t="n"/>
    </row>
    <row r="833" hidden="1" ht="15.75" customHeight="1" s="195">
      <c r="A833" s="241">
        <f>IF(_PENDIENTES!$B$827&lt;&gt;"",826,"")</f>
        <v/>
      </c>
      <c r="B833" s="236">
        <f>IF(_PENDIENTES!$B$827&lt;&gt;"",_PENDIENTES!$A$827,"")</f>
        <v/>
      </c>
      <c r="C833" s="305">
        <f>IF(_PENDIENTES!$B$827&lt;&gt;"",_PENDIENTES!$C$827,"")</f>
        <v/>
      </c>
      <c r="D833" s="241">
        <f>IF(_PENDIENTES!$B$827&lt;&gt;"",_PENDIENTES!$D$827,"")</f>
        <v/>
      </c>
      <c r="E833" s="307">
        <f>IF(_PENDIENTES!$B$827&lt;&gt;"",_PENDIENTES!$E$827,"")</f>
        <v/>
      </c>
      <c r="F833" s="241">
        <f>IF(_PENDIENTES!$B$827&lt;&gt;"",_PENDIENTES!$F$827,"")</f>
        <v/>
      </c>
      <c r="G833" s="239">
        <f>IF(_PENDIENTES!$B$827&lt;&gt;"",_PENDIENTES!$G$827,"")</f>
        <v/>
      </c>
      <c r="H833" s="239">
        <f>IF(_PENDIENTES!$B$827&lt;&gt;"",_PENDIENTES!$H$827,"")</f>
        <v/>
      </c>
      <c r="I833" s="305">
        <f>IF(_PENDIENTES!$B$827&lt;&gt;"",_PENDIENTES!$I$827,"")</f>
        <v/>
      </c>
      <c r="J833" s="241">
        <f>IF(_PENDIENTES!$B$827&lt;&gt;"",_PENDIENTES!$J$827,"")</f>
        <v/>
      </c>
      <c r="K833" s="241">
        <f>IF(_PENDIENTES!$B$827&lt;&gt;"","POR RECOGER","")</f>
        <v/>
      </c>
      <c r="L833" s="241">
        <f>IF(_PENDIENTES!$B$827&lt;&gt;"",_PENDIENTES!$K$827,"")</f>
        <v/>
      </c>
      <c r="M833" s="284">
        <f>IF(_PENDIENTES!$B$827&lt;&gt;"",_PENDIENTES!$B$827,"")</f>
        <v/>
      </c>
      <c r="N833" s="304">
        <f>IF(_PENDIENTES!$B$827&lt;&gt;"",_PENDIENTES!$L$827,"")</f>
        <v/>
      </c>
      <c r="O833" s="284" t="n"/>
      <c r="P833" s="284" t="n"/>
      <c r="Q833" s="284" t="n"/>
      <c r="R833" s="284" t="n"/>
      <c r="S833" s="284" t="n"/>
    </row>
    <row r="834" hidden="1" ht="15.75" customHeight="1" s="195">
      <c r="A834" s="301">
        <f>IF(_PENDIENTES!$B$828&lt;&gt;"",827,"")</f>
        <v/>
      </c>
      <c r="B834" s="242">
        <f>IF(_PENDIENTES!$B$828&lt;&gt;"",_PENDIENTES!$A$828,"")</f>
        <v/>
      </c>
      <c r="C834" s="302">
        <f>IF(_PENDIENTES!$B$828&lt;&gt;"",_PENDIENTES!$C$828,"")</f>
        <v/>
      </c>
      <c r="D834" s="301">
        <f>IF(_PENDIENTES!$B$828&lt;&gt;"",_PENDIENTES!$D$828,"")</f>
        <v/>
      </c>
      <c r="E834" s="306">
        <f>IF(_PENDIENTES!$B$828&lt;&gt;"",_PENDIENTES!$E$828,"")</f>
        <v/>
      </c>
      <c r="F834" s="301">
        <f>IF(_PENDIENTES!$B$828&lt;&gt;"",_PENDIENTES!$F$828,"")</f>
        <v/>
      </c>
      <c r="G834" s="245">
        <f>IF(_PENDIENTES!$B$828&lt;&gt;"",_PENDIENTES!$G$828,"")</f>
        <v/>
      </c>
      <c r="H834" s="245">
        <f>IF(_PENDIENTES!$B$828&lt;&gt;"",_PENDIENTES!$H$828,"")</f>
        <v/>
      </c>
      <c r="I834" s="302">
        <f>IF(_PENDIENTES!$B$828&lt;&gt;"",_PENDIENTES!$I$828,"")</f>
        <v/>
      </c>
      <c r="J834" s="301">
        <f>IF(_PENDIENTES!$B$828&lt;&gt;"",_PENDIENTES!$J$828,"")</f>
        <v/>
      </c>
      <c r="K834" s="301">
        <f>IF(_PENDIENTES!$B$828&lt;&gt;"","POR RECOGER","")</f>
        <v/>
      </c>
      <c r="L834" s="301">
        <f>IF(_PENDIENTES!$B$828&lt;&gt;"",_PENDIENTES!$K$828,"")</f>
        <v/>
      </c>
      <c r="M834" s="284">
        <f>IF(_PENDIENTES!$B$828&lt;&gt;"",_PENDIENTES!$B$828,"")</f>
        <v/>
      </c>
      <c r="N834" s="304">
        <f>IF(_PENDIENTES!$B$828&lt;&gt;"",_PENDIENTES!$L$828,"")</f>
        <v/>
      </c>
      <c r="O834" s="284" t="n"/>
      <c r="P834" s="284" t="n"/>
      <c r="Q834" s="284" t="n"/>
      <c r="R834" s="284" t="n"/>
      <c r="S834" s="284" t="n"/>
    </row>
    <row r="835" hidden="1" ht="15.75" customHeight="1" s="195">
      <c r="A835" s="241">
        <f>IF(_PENDIENTES!$B$829&lt;&gt;"",828,"")</f>
        <v/>
      </c>
      <c r="B835" s="236">
        <f>IF(_PENDIENTES!$B$829&lt;&gt;"",_PENDIENTES!$A$829,"")</f>
        <v/>
      </c>
      <c r="C835" s="305">
        <f>IF(_PENDIENTES!$B$829&lt;&gt;"",_PENDIENTES!$C$829,"")</f>
        <v/>
      </c>
      <c r="D835" s="241">
        <f>IF(_PENDIENTES!$B$829&lt;&gt;"",_PENDIENTES!$D$829,"")</f>
        <v/>
      </c>
      <c r="E835" s="307">
        <f>IF(_PENDIENTES!$B$829&lt;&gt;"",_PENDIENTES!$E$829,"")</f>
        <v/>
      </c>
      <c r="F835" s="241">
        <f>IF(_PENDIENTES!$B$829&lt;&gt;"",_PENDIENTES!$F$829,"")</f>
        <v/>
      </c>
      <c r="G835" s="239">
        <f>IF(_PENDIENTES!$B$829&lt;&gt;"",_PENDIENTES!$G$829,"")</f>
        <v/>
      </c>
      <c r="H835" s="239">
        <f>IF(_PENDIENTES!$B$829&lt;&gt;"",_PENDIENTES!$H$829,"")</f>
        <v/>
      </c>
      <c r="I835" s="305">
        <f>IF(_PENDIENTES!$B$829&lt;&gt;"",_PENDIENTES!$I$829,"")</f>
        <v/>
      </c>
      <c r="J835" s="241">
        <f>IF(_PENDIENTES!$B$829&lt;&gt;"",_PENDIENTES!$J$829,"")</f>
        <v/>
      </c>
      <c r="K835" s="241">
        <f>IF(_PENDIENTES!$B$829&lt;&gt;"","POR RECOGER","")</f>
        <v/>
      </c>
      <c r="L835" s="241">
        <f>IF(_PENDIENTES!$B$829&lt;&gt;"",_PENDIENTES!$K$829,"")</f>
        <v/>
      </c>
      <c r="M835" s="284">
        <f>IF(_PENDIENTES!$B$829&lt;&gt;"",_PENDIENTES!$B$829,"")</f>
        <v/>
      </c>
      <c r="N835" s="304">
        <f>IF(_PENDIENTES!$B$829&lt;&gt;"",_PENDIENTES!$L$829,"")</f>
        <v/>
      </c>
      <c r="O835" s="284" t="n"/>
      <c r="P835" s="284" t="n"/>
      <c r="Q835" s="284" t="n"/>
      <c r="R835" s="284" t="n"/>
      <c r="S835" s="284" t="n"/>
    </row>
    <row r="836" hidden="1" ht="15.75" customHeight="1" s="195">
      <c r="A836" s="301">
        <f>IF(_PENDIENTES!$B$830&lt;&gt;"",829,"")</f>
        <v/>
      </c>
      <c r="B836" s="242">
        <f>IF(_PENDIENTES!$B$830&lt;&gt;"",_PENDIENTES!$A$830,"")</f>
        <v/>
      </c>
      <c r="C836" s="302">
        <f>IF(_PENDIENTES!$B$830&lt;&gt;"",_PENDIENTES!$C$830,"")</f>
        <v/>
      </c>
      <c r="D836" s="301">
        <f>IF(_PENDIENTES!$B$830&lt;&gt;"",_PENDIENTES!$D$830,"")</f>
        <v/>
      </c>
      <c r="E836" s="306">
        <f>IF(_PENDIENTES!$B$830&lt;&gt;"",_PENDIENTES!$E$830,"")</f>
        <v/>
      </c>
      <c r="F836" s="301">
        <f>IF(_PENDIENTES!$B$830&lt;&gt;"",_PENDIENTES!$F$830,"")</f>
        <v/>
      </c>
      <c r="G836" s="245">
        <f>IF(_PENDIENTES!$B$830&lt;&gt;"",_PENDIENTES!$G$830,"")</f>
        <v/>
      </c>
      <c r="H836" s="245">
        <f>IF(_PENDIENTES!$B$830&lt;&gt;"",_PENDIENTES!$H$830,"")</f>
        <v/>
      </c>
      <c r="I836" s="302">
        <f>IF(_PENDIENTES!$B$830&lt;&gt;"",_PENDIENTES!$I$830,"")</f>
        <v/>
      </c>
      <c r="J836" s="301">
        <f>IF(_PENDIENTES!$B$830&lt;&gt;"",_PENDIENTES!$J$830,"")</f>
        <v/>
      </c>
      <c r="K836" s="301">
        <f>IF(_PENDIENTES!$B$830&lt;&gt;"","POR RECOGER","")</f>
        <v/>
      </c>
      <c r="L836" s="301">
        <f>IF(_PENDIENTES!$B$830&lt;&gt;"",_PENDIENTES!$K$830,"")</f>
        <v/>
      </c>
      <c r="M836" s="284">
        <f>IF(_PENDIENTES!$B$830&lt;&gt;"",_PENDIENTES!$B$830,"")</f>
        <v/>
      </c>
      <c r="N836" s="304">
        <f>IF(_PENDIENTES!$B$830&lt;&gt;"",_PENDIENTES!$L$830,"")</f>
        <v/>
      </c>
      <c r="O836" s="284" t="n"/>
      <c r="P836" s="284" t="n"/>
      <c r="Q836" s="284" t="n"/>
      <c r="R836" s="284" t="n"/>
      <c r="S836" s="284" t="n"/>
    </row>
    <row r="837" hidden="1" ht="15.75" customHeight="1" s="195">
      <c r="A837" s="241">
        <f>IF(_PENDIENTES!$B$831&lt;&gt;"",830,"")</f>
        <v/>
      </c>
      <c r="B837" s="236">
        <f>IF(_PENDIENTES!$B$831&lt;&gt;"",_PENDIENTES!$A$831,"")</f>
        <v/>
      </c>
      <c r="C837" s="305">
        <f>IF(_PENDIENTES!$B$831&lt;&gt;"",_PENDIENTES!$C$831,"")</f>
        <v/>
      </c>
      <c r="D837" s="241">
        <f>IF(_PENDIENTES!$B$831&lt;&gt;"",_PENDIENTES!$D$831,"")</f>
        <v/>
      </c>
      <c r="E837" s="307">
        <f>IF(_PENDIENTES!$B$831&lt;&gt;"",_PENDIENTES!$E$831,"")</f>
        <v/>
      </c>
      <c r="F837" s="241">
        <f>IF(_PENDIENTES!$B$831&lt;&gt;"",_PENDIENTES!$F$831,"")</f>
        <v/>
      </c>
      <c r="G837" s="239">
        <f>IF(_PENDIENTES!$B$831&lt;&gt;"",_PENDIENTES!$G$831,"")</f>
        <v/>
      </c>
      <c r="H837" s="239">
        <f>IF(_PENDIENTES!$B$831&lt;&gt;"",_PENDIENTES!$H$831,"")</f>
        <v/>
      </c>
      <c r="I837" s="305">
        <f>IF(_PENDIENTES!$B$831&lt;&gt;"",_PENDIENTES!$I$831,"")</f>
        <v/>
      </c>
      <c r="J837" s="241">
        <f>IF(_PENDIENTES!$B$831&lt;&gt;"",_PENDIENTES!$J$831,"")</f>
        <v/>
      </c>
      <c r="K837" s="241">
        <f>IF(_PENDIENTES!$B$831&lt;&gt;"","POR RECOGER","")</f>
        <v/>
      </c>
      <c r="L837" s="241">
        <f>IF(_PENDIENTES!$B$831&lt;&gt;"",_PENDIENTES!$K$831,"")</f>
        <v/>
      </c>
      <c r="M837" s="284">
        <f>IF(_PENDIENTES!$B$831&lt;&gt;"",_PENDIENTES!$B$831,"")</f>
        <v/>
      </c>
      <c r="N837" s="304">
        <f>IF(_PENDIENTES!$B$831&lt;&gt;"",_PENDIENTES!$L$831,"")</f>
        <v/>
      </c>
      <c r="O837" s="284" t="n"/>
      <c r="P837" s="284" t="n"/>
      <c r="Q837" s="284" t="n"/>
      <c r="R837" s="284" t="n"/>
      <c r="S837" s="284" t="n"/>
    </row>
    <row r="838" hidden="1" ht="15.75" customHeight="1" s="195">
      <c r="A838" s="301">
        <f>IF(_PENDIENTES!$B$832&lt;&gt;"",831,"")</f>
        <v/>
      </c>
      <c r="B838" s="242">
        <f>IF(_PENDIENTES!$B$832&lt;&gt;"",_PENDIENTES!$A$832,"")</f>
        <v/>
      </c>
      <c r="C838" s="302">
        <f>IF(_PENDIENTES!$B$832&lt;&gt;"",_PENDIENTES!$C$832,"")</f>
        <v/>
      </c>
      <c r="D838" s="301">
        <f>IF(_PENDIENTES!$B$832&lt;&gt;"",_PENDIENTES!$D$832,"")</f>
        <v/>
      </c>
      <c r="E838" s="306">
        <f>IF(_PENDIENTES!$B$832&lt;&gt;"",_PENDIENTES!$E$832,"")</f>
        <v/>
      </c>
      <c r="F838" s="301">
        <f>IF(_PENDIENTES!$B$832&lt;&gt;"",_PENDIENTES!$F$832,"")</f>
        <v/>
      </c>
      <c r="G838" s="245">
        <f>IF(_PENDIENTES!$B$832&lt;&gt;"",_PENDIENTES!$G$832,"")</f>
        <v/>
      </c>
      <c r="H838" s="245">
        <f>IF(_PENDIENTES!$B$832&lt;&gt;"",_PENDIENTES!$H$832,"")</f>
        <v/>
      </c>
      <c r="I838" s="302">
        <f>IF(_PENDIENTES!$B$832&lt;&gt;"",_PENDIENTES!$I$832,"")</f>
        <v/>
      </c>
      <c r="J838" s="301">
        <f>IF(_PENDIENTES!$B$832&lt;&gt;"",_PENDIENTES!$J$832,"")</f>
        <v/>
      </c>
      <c r="K838" s="301">
        <f>IF(_PENDIENTES!$B$832&lt;&gt;"","POR RECOGER","")</f>
        <v/>
      </c>
      <c r="L838" s="301">
        <f>IF(_PENDIENTES!$B$832&lt;&gt;"",_PENDIENTES!$K$832,"")</f>
        <v/>
      </c>
      <c r="M838" s="284">
        <f>IF(_PENDIENTES!$B$832&lt;&gt;"",_PENDIENTES!$B$832,"")</f>
        <v/>
      </c>
      <c r="N838" s="304">
        <f>IF(_PENDIENTES!$B$832&lt;&gt;"",_PENDIENTES!$L$832,"")</f>
        <v/>
      </c>
      <c r="O838" s="284" t="n"/>
      <c r="P838" s="284" t="n"/>
      <c r="Q838" s="284" t="n"/>
      <c r="R838" s="284" t="n"/>
      <c r="S838" s="284" t="n"/>
    </row>
    <row r="839" hidden="1" ht="15.75" customHeight="1" s="195">
      <c r="A839" s="241">
        <f>IF(_PENDIENTES!$B$833&lt;&gt;"",832,"")</f>
        <v/>
      </c>
      <c r="B839" s="236">
        <f>IF(_PENDIENTES!$B$833&lt;&gt;"",_PENDIENTES!$A$833,"")</f>
        <v/>
      </c>
      <c r="C839" s="305">
        <f>IF(_PENDIENTES!$B$833&lt;&gt;"",_PENDIENTES!$C$833,"")</f>
        <v/>
      </c>
      <c r="D839" s="241">
        <f>IF(_PENDIENTES!$B$833&lt;&gt;"",_PENDIENTES!$D$833,"")</f>
        <v/>
      </c>
      <c r="E839" s="307">
        <f>IF(_PENDIENTES!$B$833&lt;&gt;"",_PENDIENTES!$E$833,"")</f>
        <v/>
      </c>
      <c r="F839" s="241">
        <f>IF(_PENDIENTES!$B$833&lt;&gt;"",_PENDIENTES!$F$833,"")</f>
        <v/>
      </c>
      <c r="G839" s="239">
        <f>IF(_PENDIENTES!$B$833&lt;&gt;"",_PENDIENTES!$G$833,"")</f>
        <v/>
      </c>
      <c r="H839" s="239">
        <f>IF(_PENDIENTES!$B$833&lt;&gt;"",_PENDIENTES!$H$833,"")</f>
        <v/>
      </c>
      <c r="I839" s="305">
        <f>IF(_PENDIENTES!$B$833&lt;&gt;"",_PENDIENTES!$I$833,"")</f>
        <v/>
      </c>
      <c r="J839" s="241">
        <f>IF(_PENDIENTES!$B$833&lt;&gt;"",_PENDIENTES!$J$833,"")</f>
        <v/>
      </c>
      <c r="K839" s="241">
        <f>IF(_PENDIENTES!$B$833&lt;&gt;"","POR RECOGER","")</f>
        <v/>
      </c>
      <c r="L839" s="241">
        <f>IF(_PENDIENTES!$B$833&lt;&gt;"",_PENDIENTES!$K$833,"")</f>
        <v/>
      </c>
      <c r="M839" s="284">
        <f>IF(_PENDIENTES!$B$833&lt;&gt;"",_PENDIENTES!$B$833,"")</f>
        <v/>
      </c>
      <c r="N839" s="304">
        <f>IF(_PENDIENTES!$B$833&lt;&gt;"",_PENDIENTES!$L$833,"")</f>
        <v/>
      </c>
      <c r="O839" s="284" t="n"/>
      <c r="P839" s="284" t="n"/>
      <c r="Q839" s="284" t="n"/>
      <c r="R839" s="284" t="n"/>
      <c r="S839" s="284" t="n"/>
    </row>
    <row r="840" hidden="1" ht="15.75" customHeight="1" s="195">
      <c r="A840" s="301">
        <f>IF(_PENDIENTES!$B$834&lt;&gt;"",833,"")</f>
        <v/>
      </c>
      <c r="B840" s="242">
        <f>IF(_PENDIENTES!$B$834&lt;&gt;"",_PENDIENTES!$A$834,"")</f>
        <v/>
      </c>
      <c r="C840" s="302">
        <f>IF(_PENDIENTES!$B$834&lt;&gt;"",_PENDIENTES!$C$834,"")</f>
        <v/>
      </c>
      <c r="D840" s="301">
        <f>IF(_PENDIENTES!$B$834&lt;&gt;"",_PENDIENTES!$D$834,"")</f>
        <v/>
      </c>
      <c r="E840" s="306">
        <f>IF(_PENDIENTES!$B$834&lt;&gt;"",_PENDIENTES!$E$834,"")</f>
        <v/>
      </c>
      <c r="F840" s="301">
        <f>IF(_PENDIENTES!$B$834&lt;&gt;"",_PENDIENTES!$F$834,"")</f>
        <v/>
      </c>
      <c r="G840" s="245">
        <f>IF(_PENDIENTES!$B$834&lt;&gt;"",_PENDIENTES!$G$834,"")</f>
        <v/>
      </c>
      <c r="H840" s="245">
        <f>IF(_PENDIENTES!$B$834&lt;&gt;"",_PENDIENTES!$H$834,"")</f>
        <v/>
      </c>
      <c r="I840" s="302">
        <f>IF(_PENDIENTES!$B$834&lt;&gt;"",_PENDIENTES!$I$834,"")</f>
        <v/>
      </c>
      <c r="J840" s="301">
        <f>IF(_PENDIENTES!$B$834&lt;&gt;"",_PENDIENTES!$J$834,"")</f>
        <v/>
      </c>
      <c r="K840" s="301">
        <f>IF(_PENDIENTES!$B$834&lt;&gt;"","POR RECOGER","")</f>
        <v/>
      </c>
      <c r="L840" s="301">
        <f>IF(_PENDIENTES!$B$834&lt;&gt;"",_PENDIENTES!$K$834,"")</f>
        <v/>
      </c>
      <c r="M840" s="284">
        <f>IF(_PENDIENTES!$B$834&lt;&gt;"",_PENDIENTES!$B$834,"")</f>
        <v/>
      </c>
      <c r="N840" s="304">
        <f>IF(_PENDIENTES!$B$834&lt;&gt;"",_PENDIENTES!$L$834,"")</f>
        <v/>
      </c>
      <c r="O840" s="284" t="n"/>
      <c r="P840" s="284" t="n"/>
      <c r="Q840" s="284" t="n"/>
      <c r="R840" s="284" t="n"/>
      <c r="S840" s="284" t="n"/>
    </row>
    <row r="841" hidden="1" ht="15.75" customHeight="1" s="195">
      <c r="A841" s="241">
        <f>IF(_PENDIENTES!$B$835&lt;&gt;"",834,"")</f>
        <v/>
      </c>
      <c r="B841" s="236">
        <f>IF(_PENDIENTES!$B$835&lt;&gt;"",_PENDIENTES!$A$835,"")</f>
        <v/>
      </c>
      <c r="C841" s="305">
        <f>IF(_PENDIENTES!$B$835&lt;&gt;"",_PENDIENTES!$C$835,"")</f>
        <v/>
      </c>
      <c r="D841" s="241">
        <f>IF(_PENDIENTES!$B$835&lt;&gt;"",_PENDIENTES!$D$835,"")</f>
        <v/>
      </c>
      <c r="E841" s="307">
        <f>IF(_PENDIENTES!$B$835&lt;&gt;"",_PENDIENTES!$E$835,"")</f>
        <v/>
      </c>
      <c r="F841" s="241">
        <f>IF(_PENDIENTES!$B$835&lt;&gt;"",_PENDIENTES!$F$835,"")</f>
        <v/>
      </c>
      <c r="G841" s="239">
        <f>IF(_PENDIENTES!$B$835&lt;&gt;"",_PENDIENTES!$G$835,"")</f>
        <v/>
      </c>
      <c r="H841" s="239">
        <f>IF(_PENDIENTES!$B$835&lt;&gt;"",_PENDIENTES!$H$835,"")</f>
        <v/>
      </c>
      <c r="I841" s="305">
        <f>IF(_PENDIENTES!$B$835&lt;&gt;"",_PENDIENTES!$I$835,"")</f>
        <v/>
      </c>
      <c r="J841" s="241">
        <f>IF(_PENDIENTES!$B$835&lt;&gt;"",_PENDIENTES!$J$835,"")</f>
        <v/>
      </c>
      <c r="K841" s="241">
        <f>IF(_PENDIENTES!$B$835&lt;&gt;"","POR RECOGER","")</f>
        <v/>
      </c>
      <c r="L841" s="241">
        <f>IF(_PENDIENTES!$B$835&lt;&gt;"",_PENDIENTES!$K$835,"")</f>
        <v/>
      </c>
      <c r="M841" s="284">
        <f>IF(_PENDIENTES!$B$835&lt;&gt;"",_PENDIENTES!$B$835,"")</f>
        <v/>
      </c>
      <c r="N841" s="304">
        <f>IF(_PENDIENTES!$B$835&lt;&gt;"",_PENDIENTES!$L$835,"")</f>
        <v/>
      </c>
      <c r="O841" s="284" t="n"/>
      <c r="P841" s="284" t="n"/>
      <c r="Q841" s="284" t="n"/>
      <c r="R841" s="284" t="n"/>
      <c r="S841" s="284" t="n"/>
    </row>
    <row r="842" hidden="1" ht="15.75" customHeight="1" s="195">
      <c r="A842" s="301">
        <f>IF(_PENDIENTES!$B$836&lt;&gt;"",835,"")</f>
        <v/>
      </c>
      <c r="B842" s="242">
        <f>IF(_PENDIENTES!$B$836&lt;&gt;"",_PENDIENTES!$A$836,"")</f>
        <v/>
      </c>
      <c r="C842" s="302">
        <f>IF(_PENDIENTES!$B$836&lt;&gt;"",_PENDIENTES!$C$836,"")</f>
        <v/>
      </c>
      <c r="D842" s="301">
        <f>IF(_PENDIENTES!$B$836&lt;&gt;"",_PENDIENTES!$D$836,"")</f>
        <v/>
      </c>
      <c r="E842" s="306">
        <f>IF(_PENDIENTES!$B$836&lt;&gt;"",_PENDIENTES!$E$836,"")</f>
        <v/>
      </c>
      <c r="F842" s="301">
        <f>IF(_PENDIENTES!$B$836&lt;&gt;"",_PENDIENTES!$F$836,"")</f>
        <v/>
      </c>
      <c r="G842" s="245">
        <f>IF(_PENDIENTES!$B$836&lt;&gt;"",_PENDIENTES!$G$836,"")</f>
        <v/>
      </c>
      <c r="H842" s="245">
        <f>IF(_PENDIENTES!$B$836&lt;&gt;"",_PENDIENTES!$H$836,"")</f>
        <v/>
      </c>
      <c r="I842" s="302">
        <f>IF(_PENDIENTES!$B$836&lt;&gt;"",_PENDIENTES!$I$836,"")</f>
        <v/>
      </c>
      <c r="J842" s="301">
        <f>IF(_PENDIENTES!$B$836&lt;&gt;"",_PENDIENTES!$J$836,"")</f>
        <v/>
      </c>
      <c r="K842" s="301">
        <f>IF(_PENDIENTES!$B$836&lt;&gt;"","POR RECOGER","")</f>
        <v/>
      </c>
      <c r="L842" s="301">
        <f>IF(_PENDIENTES!$B$836&lt;&gt;"",_PENDIENTES!$K$836,"")</f>
        <v/>
      </c>
      <c r="M842" s="284">
        <f>IF(_PENDIENTES!$B$836&lt;&gt;"",_PENDIENTES!$B$836,"")</f>
        <v/>
      </c>
      <c r="N842" s="304">
        <f>IF(_PENDIENTES!$B$836&lt;&gt;"",_PENDIENTES!$L$836,"")</f>
        <v/>
      </c>
      <c r="O842" s="284" t="n"/>
      <c r="P842" s="284" t="n"/>
      <c r="Q842" s="284" t="n"/>
      <c r="R842" s="284" t="n"/>
      <c r="S842" s="284" t="n"/>
    </row>
    <row r="843" hidden="1" ht="15.75" customHeight="1" s="195">
      <c r="A843" s="241">
        <f>IF(_PENDIENTES!$B$837&lt;&gt;"",836,"")</f>
        <v/>
      </c>
      <c r="B843" s="236">
        <f>IF(_PENDIENTES!$B$837&lt;&gt;"",_PENDIENTES!$A$837,"")</f>
        <v/>
      </c>
      <c r="C843" s="305">
        <f>IF(_PENDIENTES!$B$837&lt;&gt;"",_PENDIENTES!$C$837,"")</f>
        <v/>
      </c>
      <c r="D843" s="241">
        <f>IF(_PENDIENTES!$B$837&lt;&gt;"",_PENDIENTES!$D$837,"")</f>
        <v/>
      </c>
      <c r="E843" s="307">
        <f>IF(_PENDIENTES!$B$837&lt;&gt;"",_PENDIENTES!$E$837,"")</f>
        <v/>
      </c>
      <c r="F843" s="241">
        <f>IF(_PENDIENTES!$B$837&lt;&gt;"",_PENDIENTES!$F$837,"")</f>
        <v/>
      </c>
      <c r="G843" s="239">
        <f>IF(_PENDIENTES!$B$837&lt;&gt;"",_PENDIENTES!$G$837,"")</f>
        <v/>
      </c>
      <c r="H843" s="239">
        <f>IF(_PENDIENTES!$B$837&lt;&gt;"",_PENDIENTES!$H$837,"")</f>
        <v/>
      </c>
      <c r="I843" s="305">
        <f>IF(_PENDIENTES!$B$837&lt;&gt;"",_PENDIENTES!$I$837,"")</f>
        <v/>
      </c>
      <c r="J843" s="241">
        <f>IF(_PENDIENTES!$B$837&lt;&gt;"",_PENDIENTES!$J$837,"")</f>
        <v/>
      </c>
      <c r="K843" s="241">
        <f>IF(_PENDIENTES!$B$837&lt;&gt;"","POR RECOGER","")</f>
        <v/>
      </c>
      <c r="L843" s="241">
        <f>IF(_PENDIENTES!$B$837&lt;&gt;"",_PENDIENTES!$K$837,"")</f>
        <v/>
      </c>
      <c r="M843" s="284">
        <f>IF(_PENDIENTES!$B$837&lt;&gt;"",_PENDIENTES!$B$837,"")</f>
        <v/>
      </c>
      <c r="N843" s="304">
        <f>IF(_PENDIENTES!$B$837&lt;&gt;"",_PENDIENTES!$L$837,"")</f>
        <v/>
      </c>
      <c r="O843" s="284" t="n"/>
      <c r="P843" s="284" t="n"/>
      <c r="Q843" s="284" t="n"/>
      <c r="R843" s="284" t="n"/>
      <c r="S843" s="284" t="n"/>
    </row>
    <row r="844" hidden="1" ht="15.75" customHeight="1" s="195">
      <c r="A844" s="301">
        <f>IF(_PENDIENTES!$B$838&lt;&gt;"",837,"")</f>
        <v/>
      </c>
      <c r="B844" s="242">
        <f>IF(_PENDIENTES!$B$838&lt;&gt;"",_PENDIENTES!$A$838,"")</f>
        <v/>
      </c>
      <c r="C844" s="302">
        <f>IF(_PENDIENTES!$B$838&lt;&gt;"",_PENDIENTES!$C$838,"")</f>
        <v/>
      </c>
      <c r="D844" s="301">
        <f>IF(_PENDIENTES!$B$838&lt;&gt;"",_PENDIENTES!$D$838,"")</f>
        <v/>
      </c>
      <c r="E844" s="306">
        <f>IF(_PENDIENTES!$B$838&lt;&gt;"",_PENDIENTES!$E$838,"")</f>
        <v/>
      </c>
      <c r="F844" s="301">
        <f>IF(_PENDIENTES!$B$838&lt;&gt;"",_PENDIENTES!$F$838,"")</f>
        <v/>
      </c>
      <c r="G844" s="245">
        <f>IF(_PENDIENTES!$B$838&lt;&gt;"",_PENDIENTES!$G$838,"")</f>
        <v/>
      </c>
      <c r="H844" s="245">
        <f>IF(_PENDIENTES!$B$838&lt;&gt;"",_PENDIENTES!$H$838,"")</f>
        <v/>
      </c>
      <c r="I844" s="302">
        <f>IF(_PENDIENTES!$B$838&lt;&gt;"",_PENDIENTES!$I$838,"")</f>
        <v/>
      </c>
      <c r="J844" s="301">
        <f>IF(_PENDIENTES!$B$838&lt;&gt;"",_PENDIENTES!$J$838,"")</f>
        <v/>
      </c>
      <c r="K844" s="301">
        <f>IF(_PENDIENTES!$B$838&lt;&gt;"","POR RECOGER","")</f>
        <v/>
      </c>
      <c r="L844" s="301">
        <f>IF(_PENDIENTES!$B$838&lt;&gt;"",_PENDIENTES!$K$838,"")</f>
        <v/>
      </c>
      <c r="M844" s="284">
        <f>IF(_PENDIENTES!$B$838&lt;&gt;"",_PENDIENTES!$B$838,"")</f>
        <v/>
      </c>
      <c r="N844" s="304">
        <f>IF(_PENDIENTES!$B$838&lt;&gt;"",_PENDIENTES!$L$838,"")</f>
        <v/>
      </c>
      <c r="O844" s="284" t="n"/>
      <c r="P844" s="284" t="n"/>
      <c r="Q844" s="284" t="n"/>
      <c r="R844" s="284" t="n"/>
      <c r="S844" s="284" t="n"/>
    </row>
    <row r="845" hidden="1" ht="15.75" customHeight="1" s="195">
      <c r="A845" s="241">
        <f>IF(_PENDIENTES!$B$839&lt;&gt;"",838,"")</f>
        <v/>
      </c>
      <c r="B845" s="236">
        <f>IF(_PENDIENTES!$B$839&lt;&gt;"",_PENDIENTES!$A$839,"")</f>
        <v/>
      </c>
      <c r="C845" s="305">
        <f>IF(_PENDIENTES!$B$839&lt;&gt;"",_PENDIENTES!$C$839,"")</f>
        <v/>
      </c>
      <c r="D845" s="241">
        <f>IF(_PENDIENTES!$B$839&lt;&gt;"",_PENDIENTES!$D$839,"")</f>
        <v/>
      </c>
      <c r="E845" s="307">
        <f>IF(_PENDIENTES!$B$839&lt;&gt;"",_PENDIENTES!$E$839,"")</f>
        <v/>
      </c>
      <c r="F845" s="241">
        <f>IF(_PENDIENTES!$B$839&lt;&gt;"",_PENDIENTES!$F$839,"")</f>
        <v/>
      </c>
      <c r="G845" s="239">
        <f>IF(_PENDIENTES!$B$839&lt;&gt;"",_PENDIENTES!$G$839,"")</f>
        <v/>
      </c>
      <c r="H845" s="239">
        <f>IF(_PENDIENTES!$B$839&lt;&gt;"",_PENDIENTES!$H$839,"")</f>
        <v/>
      </c>
      <c r="I845" s="305">
        <f>IF(_PENDIENTES!$B$839&lt;&gt;"",_PENDIENTES!$I$839,"")</f>
        <v/>
      </c>
      <c r="J845" s="241">
        <f>IF(_PENDIENTES!$B$839&lt;&gt;"",_PENDIENTES!$J$839,"")</f>
        <v/>
      </c>
      <c r="K845" s="241">
        <f>IF(_PENDIENTES!$B$839&lt;&gt;"","POR RECOGER","")</f>
        <v/>
      </c>
      <c r="L845" s="241">
        <f>IF(_PENDIENTES!$B$839&lt;&gt;"",_PENDIENTES!$K$839,"")</f>
        <v/>
      </c>
      <c r="M845" s="284">
        <f>IF(_PENDIENTES!$B$839&lt;&gt;"",_PENDIENTES!$B$839,"")</f>
        <v/>
      </c>
      <c r="N845" s="304">
        <f>IF(_PENDIENTES!$B$839&lt;&gt;"",_PENDIENTES!$L$839,"")</f>
        <v/>
      </c>
      <c r="O845" s="284" t="n"/>
      <c r="P845" s="284" t="n"/>
      <c r="Q845" s="284" t="n"/>
      <c r="R845" s="284" t="n"/>
      <c r="S845" s="284" t="n"/>
    </row>
    <row r="846" hidden="1" ht="15.75" customHeight="1" s="195">
      <c r="A846" s="301">
        <f>IF(_PENDIENTES!$B$840&lt;&gt;"",839,"")</f>
        <v/>
      </c>
      <c r="B846" s="242">
        <f>IF(_PENDIENTES!$B$840&lt;&gt;"",_PENDIENTES!$A$840,"")</f>
        <v/>
      </c>
      <c r="C846" s="302">
        <f>IF(_PENDIENTES!$B$840&lt;&gt;"",_PENDIENTES!$C$840,"")</f>
        <v/>
      </c>
      <c r="D846" s="301">
        <f>IF(_PENDIENTES!$B$840&lt;&gt;"",_PENDIENTES!$D$840,"")</f>
        <v/>
      </c>
      <c r="E846" s="306">
        <f>IF(_PENDIENTES!$B$840&lt;&gt;"",_PENDIENTES!$E$840,"")</f>
        <v/>
      </c>
      <c r="F846" s="301">
        <f>IF(_PENDIENTES!$B$840&lt;&gt;"",_PENDIENTES!$F$840,"")</f>
        <v/>
      </c>
      <c r="G846" s="245">
        <f>IF(_PENDIENTES!$B$840&lt;&gt;"",_PENDIENTES!$G$840,"")</f>
        <v/>
      </c>
      <c r="H846" s="245">
        <f>IF(_PENDIENTES!$B$840&lt;&gt;"",_PENDIENTES!$H$840,"")</f>
        <v/>
      </c>
      <c r="I846" s="302">
        <f>IF(_PENDIENTES!$B$840&lt;&gt;"",_PENDIENTES!$I$840,"")</f>
        <v/>
      </c>
      <c r="J846" s="301">
        <f>IF(_PENDIENTES!$B$840&lt;&gt;"",_PENDIENTES!$J$840,"")</f>
        <v/>
      </c>
      <c r="K846" s="301">
        <f>IF(_PENDIENTES!$B$840&lt;&gt;"","POR RECOGER","")</f>
        <v/>
      </c>
      <c r="L846" s="301">
        <f>IF(_PENDIENTES!$B$840&lt;&gt;"",_PENDIENTES!$K$840,"")</f>
        <v/>
      </c>
      <c r="M846" s="284">
        <f>IF(_PENDIENTES!$B$840&lt;&gt;"",_PENDIENTES!$B$840,"")</f>
        <v/>
      </c>
      <c r="N846" s="304">
        <f>IF(_PENDIENTES!$B$840&lt;&gt;"",_PENDIENTES!$L$840,"")</f>
        <v/>
      </c>
      <c r="O846" s="284" t="n"/>
      <c r="P846" s="284" t="n"/>
      <c r="Q846" s="284" t="n"/>
      <c r="R846" s="284" t="n"/>
      <c r="S846" s="284" t="n"/>
    </row>
    <row r="847" hidden="1" ht="15.75" customHeight="1" s="195">
      <c r="A847" s="241">
        <f>IF(_PENDIENTES!$B$841&lt;&gt;"",840,"")</f>
        <v/>
      </c>
      <c r="B847" s="236">
        <f>IF(_PENDIENTES!$B$841&lt;&gt;"",_PENDIENTES!$A$841,"")</f>
        <v/>
      </c>
      <c r="C847" s="305">
        <f>IF(_PENDIENTES!$B$841&lt;&gt;"",_PENDIENTES!$C$841,"")</f>
        <v/>
      </c>
      <c r="D847" s="241">
        <f>IF(_PENDIENTES!$B$841&lt;&gt;"",_PENDIENTES!$D$841,"")</f>
        <v/>
      </c>
      <c r="E847" s="307">
        <f>IF(_PENDIENTES!$B$841&lt;&gt;"",_PENDIENTES!$E$841,"")</f>
        <v/>
      </c>
      <c r="F847" s="241">
        <f>IF(_PENDIENTES!$B$841&lt;&gt;"",_PENDIENTES!$F$841,"")</f>
        <v/>
      </c>
      <c r="G847" s="239">
        <f>IF(_PENDIENTES!$B$841&lt;&gt;"",_PENDIENTES!$G$841,"")</f>
        <v/>
      </c>
      <c r="H847" s="239">
        <f>IF(_PENDIENTES!$B$841&lt;&gt;"",_PENDIENTES!$H$841,"")</f>
        <v/>
      </c>
      <c r="I847" s="305">
        <f>IF(_PENDIENTES!$B$841&lt;&gt;"",_PENDIENTES!$I$841,"")</f>
        <v/>
      </c>
      <c r="J847" s="241">
        <f>IF(_PENDIENTES!$B$841&lt;&gt;"",_PENDIENTES!$J$841,"")</f>
        <v/>
      </c>
      <c r="K847" s="241">
        <f>IF(_PENDIENTES!$B$841&lt;&gt;"","POR RECOGER","")</f>
        <v/>
      </c>
      <c r="L847" s="241">
        <f>IF(_PENDIENTES!$B$841&lt;&gt;"",_PENDIENTES!$K$841,"")</f>
        <v/>
      </c>
      <c r="M847" s="284">
        <f>IF(_PENDIENTES!$B$841&lt;&gt;"",_PENDIENTES!$B$841,"")</f>
        <v/>
      </c>
      <c r="N847" s="304">
        <f>IF(_PENDIENTES!$B$841&lt;&gt;"",_PENDIENTES!$L$841,"")</f>
        <v/>
      </c>
      <c r="O847" s="284" t="n"/>
      <c r="P847" s="284" t="n"/>
      <c r="Q847" s="284" t="n"/>
      <c r="R847" s="284" t="n"/>
      <c r="S847" s="284" t="n"/>
    </row>
    <row r="848" hidden="1" ht="15.75" customHeight="1" s="195">
      <c r="A848" s="301">
        <f>IF(_PENDIENTES!$B$842&lt;&gt;"",841,"")</f>
        <v/>
      </c>
      <c r="B848" s="242">
        <f>IF(_PENDIENTES!$B$842&lt;&gt;"",_PENDIENTES!$A$842,"")</f>
        <v/>
      </c>
      <c r="C848" s="302">
        <f>IF(_PENDIENTES!$B$842&lt;&gt;"",_PENDIENTES!$C$842,"")</f>
        <v/>
      </c>
      <c r="D848" s="301">
        <f>IF(_PENDIENTES!$B$842&lt;&gt;"",_PENDIENTES!$D$842,"")</f>
        <v/>
      </c>
      <c r="E848" s="306">
        <f>IF(_PENDIENTES!$B$842&lt;&gt;"",_PENDIENTES!$E$842,"")</f>
        <v/>
      </c>
      <c r="F848" s="301">
        <f>IF(_PENDIENTES!$B$842&lt;&gt;"",_PENDIENTES!$F$842,"")</f>
        <v/>
      </c>
      <c r="G848" s="245">
        <f>IF(_PENDIENTES!$B$842&lt;&gt;"",_PENDIENTES!$G$842,"")</f>
        <v/>
      </c>
      <c r="H848" s="245">
        <f>IF(_PENDIENTES!$B$842&lt;&gt;"",_PENDIENTES!$H$842,"")</f>
        <v/>
      </c>
      <c r="I848" s="302">
        <f>IF(_PENDIENTES!$B$842&lt;&gt;"",_PENDIENTES!$I$842,"")</f>
        <v/>
      </c>
      <c r="J848" s="301">
        <f>IF(_PENDIENTES!$B$842&lt;&gt;"",_PENDIENTES!$J$842,"")</f>
        <v/>
      </c>
      <c r="K848" s="301">
        <f>IF(_PENDIENTES!$B$842&lt;&gt;"","POR RECOGER","")</f>
        <v/>
      </c>
      <c r="L848" s="301">
        <f>IF(_PENDIENTES!$B$842&lt;&gt;"",_PENDIENTES!$K$842,"")</f>
        <v/>
      </c>
      <c r="M848" s="284">
        <f>IF(_PENDIENTES!$B$842&lt;&gt;"",_PENDIENTES!$B$842,"")</f>
        <v/>
      </c>
      <c r="N848" s="304">
        <f>IF(_PENDIENTES!$B$842&lt;&gt;"",_PENDIENTES!$L$842,"")</f>
        <v/>
      </c>
      <c r="O848" s="284" t="n"/>
      <c r="P848" s="284" t="n"/>
      <c r="Q848" s="284" t="n"/>
      <c r="R848" s="284" t="n"/>
      <c r="S848" s="284" t="n"/>
    </row>
    <row r="849" hidden="1" ht="15.75" customHeight="1" s="195">
      <c r="A849" s="241">
        <f>IF(_PENDIENTES!$B$843&lt;&gt;"",842,"")</f>
        <v/>
      </c>
      <c r="B849" s="236">
        <f>IF(_PENDIENTES!$B$843&lt;&gt;"",_PENDIENTES!$A$843,"")</f>
        <v/>
      </c>
      <c r="C849" s="305">
        <f>IF(_PENDIENTES!$B$843&lt;&gt;"",_PENDIENTES!$C$843,"")</f>
        <v/>
      </c>
      <c r="D849" s="241">
        <f>IF(_PENDIENTES!$B$843&lt;&gt;"",_PENDIENTES!$D$843,"")</f>
        <v/>
      </c>
      <c r="E849" s="307">
        <f>IF(_PENDIENTES!$B$843&lt;&gt;"",_PENDIENTES!$E$843,"")</f>
        <v/>
      </c>
      <c r="F849" s="241">
        <f>IF(_PENDIENTES!$B$843&lt;&gt;"",_PENDIENTES!$F$843,"")</f>
        <v/>
      </c>
      <c r="G849" s="239">
        <f>IF(_PENDIENTES!$B$843&lt;&gt;"",_PENDIENTES!$G$843,"")</f>
        <v/>
      </c>
      <c r="H849" s="239">
        <f>IF(_PENDIENTES!$B$843&lt;&gt;"",_PENDIENTES!$H$843,"")</f>
        <v/>
      </c>
      <c r="I849" s="305">
        <f>IF(_PENDIENTES!$B$843&lt;&gt;"",_PENDIENTES!$I$843,"")</f>
        <v/>
      </c>
      <c r="J849" s="241">
        <f>IF(_PENDIENTES!$B$843&lt;&gt;"",_PENDIENTES!$J$843,"")</f>
        <v/>
      </c>
      <c r="K849" s="241">
        <f>IF(_PENDIENTES!$B$843&lt;&gt;"","POR RECOGER","")</f>
        <v/>
      </c>
      <c r="L849" s="241">
        <f>IF(_PENDIENTES!$B$843&lt;&gt;"",_PENDIENTES!$K$843,"")</f>
        <v/>
      </c>
      <c r="M849" s="284">
        <f>IF(_PENDIENTES!$B$843&lt;&gt;"",_PENDIENTES!$B$843,"")</f>
        <v/>
      </c>
      <c r="N849" s="304">
        <f>IF(_PENDIENTES!$B$843&lt;&gt;"",_PENDIENTES!$L$843,"")</f>
        <v/>
      </c>
      <c r="O849" s="284" t="n"/>
      <c r="P849" s="284" t="n"/>
      <c r="Q849" s="284" t="n"/>
      <c r="R849" s="284" t="n"/>
      <c r="S849" s="284" t="n"/>
    </row>
    <row r="850" hidden="1" ht="15.75" customHeight="1" s="195">
      <c r="A850" s="301">
        <f>IF(_PENDIENTES!$B$844&lt;&gt;"",843,"")</f>
        <v/>
      </c>
      <c r="B850" s="242">
        <f>IF(_PENDIENTES!$B$844&lt;&gt;"",_PENDIENTES!$A$844,"")</f>
        <v/>
      </c>
      <c r="C850" s="302">
        <f>IF(_PENDIENTES!$B$844&lt;&gt;"",_PENDIENTES!$C$844,"")</f>
        <v/>
      </c>
      <c r="D850" s="301">
        <f>IF(_PENDIENTES!$B$844&lt;&gt;"",_PENDIENTES!$D$844,"")</f>
        <v/>
      </c>
      <c r="E850" s="306">
        <f>IF(_PENDIENTES!$B$844&lt;&gt;"",_PENDIENTES!$E$844,"")</f>
        <v/>
      </c>
      <c r="F850" s="301">
        <f>IF(_PENDIENTES!$B$844&lt;&gt;"",_PENDIENTES!$F$844,"")</f>
        <v/>
      </c>
      <c r="G850" s="245">
        <f>IF(_PENDIENTES!$B$844&lt;&gt;"",_PENDIENTES!$G$844,"")</f>
        <v/>
      </c>
      <c r="H850" s="245">
        <f>IF(_PENDIENTES!$B$844&lt;&gt;"",_PENDIENTES!$H$844,"")</f>
        <v/>
      </c>
      <c r="I850" s="302">
        <f>IF(_PENDIENTES!$B$844&lt;&gt;"",_PENDIENTES!$I$844,"")</f>
        <v/>
      </c>
      <c r="J850" s="301">
        <f>IF(_PENDIENTES!$B$844&lt;&gt;"",_PENDIENTES!$J$844,"")</f>
        <v/>
      </c>
      <c r="K850" s="301">
        <f>IF(_PENDIENTES!$B$844&lt;&gt;"","POR RECOGER","")</f>
        <v/>
      </c>
      <c r="L850" s="301">
        <f>IF(_PENDIENTES!$B$844&lt;&gt;"",_PENDIENTES!$K$844,"")</f>
        <v/>
      </c>
      <c r="M850" s="284">
        <f>IF(_PENDIENTES!$B$844&lt;&gt;"",_PENDIENTES!$B$844,"")</f>
        <v/>
      </c>
      <c r="N850" s="304">
        <f>IF(_PENDIENTES!$B$844&lt;&gt;"",_PENDIENTES!$L$844,"")</f>
        <v/>
      </c>
      <c r="O850" s="284" t="n"/>
      <c r="P850" s="284" t="n"/>
      <c r="Q850" s="284" t="n"/>
      <c r="R850" s="284" t="n"/>
      <c r="S850" s="284" t="n"/>
    </row>
    <row r="851" hidden="1" ht="15.75" customHeight="1" s="195">
      <c r="A851" s="241">
        <f>IF(_PENDIENTES!$B$845&lt;&gt;"",844,"")</f>
        <v/>
      </c>
      <c r="B851" s="236">
        <f>IF(_PENDIENTES!$B$845&lt;&gt;"",_PENDIENTES!$A$845,"")</f>
        <v/>
      </c>
      <c r="C851" s="305">
        <f>IF(_PENDIENTES!$B$845&lt;&gt;"",_PENDIENTES!$C$845,"")</f>
        <v/>
      </c>
      <c r="D851" s="241">
        <f>IF(_PENDIENTES!$B$845&lt;&gt;"",_PENDIENTES!$D$845,"")</f>
        <v/>
      </c>
      <c r="E851" s="307">
        <f>IF(_PENDIENTES!$B$845&lt;&gt;"",_PENDIENTES!$E$845,"")</f>
        <v/>
      </c>
      <c r="F851" s="241">
        <f>IF(_PENDIENTES!$B$845&lt;&gt;"",_PENDIENTES!$F$845,"")</f>
        <v/>
      </c>
      <c r="G851" s="239">
        <f>IF(_PENDIENTES!$B$845&lt;&gt;"",_PENDIENTES!$G$845,"")</f>
        <v/>
      </c>
      <c r="H851" s="239">
        <f>IF(_PENDIENTES!$B$845&lt;&gt;"",_PENDIENTES!$H$845,"")</f>
        <v/>
      </c>
      <c r="I851" s="305">
        <f>IF(_PENDIENTES!$B$845&lt;&gt;"",_PENDIENTES!$I$845,"")</f>
        <v/>
      </c>
      <c r="J851" s="241">
        <f>IF(_PENDIENTES!$B$845&lt;&gt;"",_PENDIENTES!$J$845,"")</f>
        <v/>
      </c>
      <c r="K851" s="241">
        <f>IF(_PENDIENTES!$B$845&lt;&gt;"","POR RECOGER","")</f>
        <v/>
      </c>
      <c r="L851" s="241">
        <f>IF(_PENDIENTES!$B$845&lt;&gt;"",_PENDIENTES!$K$845,"")</f>
        <v/>
      </c>
      <c r="M851" s="284">
        <f>IF(_PENDIENTES!$B$845&lt;&gt;"",_PENDIENTES!$B$845,"")</f>
        <v/>
      </c>
      <c r="N851" s="304">
        <f>IF(_PENDIENTES!$B$845&lt;&gt;"",_PENDIENTES!$L$845,"")</f>
        <v/>
      </c>
      <c r="O851" s="284" t="n"/>
      <c r="P851" s="284" t="n"/>
      <c r="Q851" s="284" t="n"/>
      <c r="R851" s="284" t="n"/>
      <c r="S851" s="284" t="n"/>
    </row>
    <row r="852" hidden="1" ht="15.75" customHeight="1" s="195">
      <c r="A852" s="301">
        <f>IF(_PENDIENTES!$B$846&lt;&gt;"",845,"")</f>
        <v/>
      </c>
      <c r="B852" s="242">
        <f>IF(_PENDIENTES!$B$846&lt;&gt;"",_PENDIENTES!$A$846,"")</f>
        <v/>
      </c>
      <c r="C852" s="302">
        <f>IF(_PENDIENTES!$B$846&lt;&gt;"",_PENDIENTES!$C$846,"")</f>
        <v/>
      </c>
      <c r="D852" s="301">
        <f>IF(_PENDIENTES!$B$846&lt;&gt;"",_PENDIENTES!$D$846,"")</f>
        <v/>
      </c>
      <c r="E852" s="306">
        <f>IF(_PENDIENTES!$B$846&lt;&gt;"",_PENDIENTES!$E$846,"")</f>
        <v/>
      </c>
      <c r="F852" s="301">
        <f>IF(_PENDIENTES!$B$846&lt;&gt;"",_PENDIENTES!$F$846,"")</f>
        <v/>
      </c>
      <c r="G852" s="245">
        <f>IF(_PENDIENTES!$B$846&lt;&gt;"",_PENDIENTES!$G$846,"")</f>
        <v/>
      </c>
      <c r="H852" s="245">
        <f>IF(_PENDIENTES!$B$846&lt;&gt;"",_PENDIENTES!$H$846,"")</f>
        <v/>
      </c>
      <c r="I852" s="302">
        <f>IF(_PENDIENTES!$B$846&lt;&gt;"",_PENDIENTES!$I$846,"")</f>
        <v/>
      </c>
      <c r="J852" s="301">
        <f>IF(_PENDIENTES!$B$846&lt;&gt;"",_PENDIENTES!$J$846,"")</f>
        <v/>
      </c>
      <c r="K852" s="301">
        <f>IF(_PENDIENTES!$B$846&lt;&gt;"","POR RECOGER","")</f>
        <v/>
      </c>
      <c r="L852" s="301">
        <f>IF(_PENDIENTES!$B$846&lt;&gt;"",_PENDIENTES!$K$846,"")</f>
        <v/>
      </c>
      <c r="M852" s="284">
        <f>IF(_PENDIENTES!$B$846&lt;&gt;"",_PENDIENTES!$B$846,"")</f>
        <v/>
      </c>
      <c r="N852" s="304">
        <f>IF(_PENDIENTES!$B$846&lt;&gt;"",_PENDIENTES!$L$846,"")</f>
        <v/>
      </c>
      <c r="O852" s="284" t="n"/>
      <c r="P852" s="284" t="n"/>
      <c r="Q852" s="284" t="n"/>
      <c r="R852" s="284" t="n"/>
      <c r="S852" s="284" t="n"/>
    </row>
    <row r="853" hidden="1" ht="15.75" customHeight="1" s="195">
      <c r="A853" s="241">
        <f>IF(_PENDIENTES!$B$847&lt;&gt;"",846,"")</f>
        <v/>
      </c>
      <c r="B853" s="236">
        <f>IF(_PENDIENTES!$B$847&lt;&gt;"",_PENDIENTES!$A$847,"")</f>
        <v/>
      </c>
      <c r="C853" s="305">
        <f>IF(_PENDIENTES!$B$847&lt;&gt;"",_PENDIENTES!$C$847,"")</f>
        <v/>
      </c>
      <c r="D853" s="241">
        <f>IF(_PENDIENTES!$B$847&lt;&gt;"",_PENDIENTES!$D$847,"")</f>
        <v/>
      </c>
      <c r="E853" s="307">
        <f>IF(_PENDIENTES!$B$847&lt;&gt;"",_PENDIENTES!$E$847,"")</f>
        <v/>
      </c>
      <c r="F853" s="241">
        <f>IF(_PENDIENTES!$B$847&lt;&gt;"",_PENDIENTES!$F$847,"")</f>
        <v/>
      </c>
      <c r="G853" s="239">
        <f>IF(_PENDIENTES!$B$847&lt;&gt;"",_PENDIENTES!$G$847,"")</f>
        <v/>
      </c>
      <c r="H853" s="239">
        <f>IF(_PENDIENTES!$B$847&lt;&gt;"",_PENDIENTES!$H$847,"")</f>
        <v/>
      </c>
      <c r="I853" s="305">
        <f>IF(_PENDIENTES!$B$847&lt;&gt;"",_PENDIENTES!$I$847,"")</f>
        <v/>
      </c>
      <c r="J853" s="241">
        <f>IF(_PENDIENTES!$B$847&lt;&gt;"",_PENDIENTES!$J$847,"")</f>
        <v/>
      </c>
      <c r="K853" s="241">
        <f>IF(_PENDIENTES!$B$847&lt;&gt;"","POR RECOGER","")</f>
        <v/>
      </c>
      <c r="L853" s="241">
        <f>IF(_PENDIENTES!$B$847&lt;&gt;"",_PENDIENTES!$K$847,"")</f>
        <v/>
      </c>
      <c r="M853" s="284">
        <f>IF(_PENDIENTES!$B$847&lt;&gt;"",_PENDIENTES!$B$847,"")</f>
        <v/>
      </c>
      <c r="N853" s="304">
        <f>IF(_PENDIENTES!$B$847&lt;&gt;"",_PENDIENTES!$L$847,"")</f>
        <v/>
      </c>
      <c r="O853" s="284" t="n"/>
      <c r="P853" s="284" t="n"/>
      <c r="Q853" s="284" t="n"/>
      <c r="R853" s="284" t="n"/>
      <c r="S853" s="284" t="n"/>
    </row>
    <row r="854" hidden="1" ht="15.75" customHeight="1" s="195">
      <c r="A854" s="301">
        <f>IF(_PENDIENTES!$B$848&lt;&gt;"",847,"")</f>
        <v/>
      </c>
      <c r="B854" s="242">
        <f>IF(_PENDIENTES!$B$848&lt;&gt;"",_PENDIENTES!$A$848,"")</f>
        <v/>
      </c>
      <c r="C854" s="302">
        <f>IF(_PENDIENTES!$B$848&lt;&gt;"",_PENDIENTES!$C$848,"")</f>
        <v/>
      </c>
      <c r="D854" s="301">
        <f>IF(_PENDIENTES!$B$848&lt;&gt;"",_PENDIENTES!$D$848,"")</f>
        <v/>
      </c>
      <c r="E854" s="306">
        <f>IF(_PENDIENTES!$B$848&lt;&gt;"",_PENDIENTES!$E$848,"")</f>
        <v/>
      </c>
      <c r="F854" s="301">
        <f>IF(_PENDIENTES!$B$848&lt;&gt;"",_PENDIENTES!$F$848,"")</f>
        <v/>
      </c>
      <c r="G854" s="245">
        <f>IF(_PENDIENTES!$B$848&lt;&gt;"",_PENDIENTES!$G$848,"")</f>
        <v/>
      </c>
      <c r="H854" s="245">
        <f>IF(_PENDIENTES!$B$848&lt;&gt;"",_PENDIENTES!$H$848,"")</f>
        <v/>
      </c>
      <c r="I854" s="302">
        <f>IF(_PENDIENTES!$B$848&lt;&gt;"",_PENDIENTES!$I$848,"")</f>
        <v/>
      </c>
      <c r="J854" s="301">
        <f>IF(_PENDIENTES!$B$848&lt;&gt;"",_PENDIENTES!$J$848,"")</f>
        <v/>
      </c>
      <c r="K854" s="301">
        <f>IF(_PENDIENTES!$B$848&lt;&gt;"","POR RECOGER","")</f>
        <v/>
      </c>
      <c r="L854" s="301">
        <f>IF(_PENDIENTES!$B$848&lt;&gt;"",_PENDIENTES!$K$848,"")</f>
        <v/>
      </c>
      <c r="M854" s="284">
        <f>IF(_PENDIENTES!$B$848&lt;&gt;"",_PENDIENTES!$B$848,"")</f>
        <v/>
      </c>
      <c r="N854" s="304">
        <f>IF(_PENDIENTES!$B$848&lt;&gt;"",_PENDIENTES!$L$848,"")</f>
        <v/>
      </c>
      <c r="O854" s="284" t="n"/>
      <c r="P854" s="284" t="n"/>
      <c r="Q854" s="284" t="n"/>
      <c r="R854" s="284" t="n"/>
      <c r="S854" s="284" t="n"/>
    </row>
    <row r="855" hidden="1" ht="15.75" customHeight="1" s="195">
      <c r="A855" s="241">
        <f>IF(_PENDIENTES!$B$849&lt;&gt;"",848,"")</f>
        <v/>
      </c>
      <c r="B855" s="236">
        <f>IF(_PENDIENTES!$B$849&lt;&gt;"",_PENDIENTES!$A$849,"")</f>
        <v/>
      </c>
      <c r="C855" s="305">
        <f>IF(_PENDIENTES!$B$849&lt;&gt;"",_PENDIENTES!$C$849,"")</f>
        <v/>
      </c>
      <c r="D855" s="241">
        <f>IF(_PENDIENTES!$B$849&lt;&gt;"",_PENDIENTES!$D$849,"")</f>
        <v/>
      </c>
      <c r="E855" s="307">
        <f>IF(_PENDIENTES!$B$849&lt;&gt;"",_PENDIENTES!$E$849,"")</f>
        <v/>
      </c>
      <c r="F855" s="241">
        <f>IF(_PENDIENTES!$B$849&lt;&gt;"",_PENDIENTES!$F$849,"")</f>
        <v/>
      </c>
      <c r="G855" s="239">
        <f>IF(_PENDIENTES!$B$849&lt;&gt;"",_PENDIENTES!$G$849,"")</f>
        <v/>
      </c>
      <c r="H855" s="239">
        <f>IF(_PENDIENTES!$B$849&lt;&gt;"",_PENDIENTES!$H$849,"")</f>
        <v/>
      </c>
      <c r="I855" s="305">
        <f>IF(_PENDIENTES!$B$849&lt;&gt;"",_PENDIENTES!$I$849,"")</f>
        <v/>
      </c>
      <c r="J855" s="241">
        <f>IF(_PENDIENTES!$B$849&lt;&gt;"",_PENDIENTES!$J$849,"")</f>
        <v/>
      </c>
      <c r="K855" s="241">
        <f>IF(_PENDIENTES!$B$849&lt;&gt;"","POR RECOGER","")</f>
        <v/>
      </c>
      <c r="L855" s="241">
        <f>IF(_PENDIENTES!$B$849&lt;&gt;"",_PENDIENTES!$K$849,"")</f>
        <v/>
      </c>
      <c r="M855" s="284">
        <f>IF(_PENDIENTES!$B$849&lt;&gt;"",_PENDIENTES!$B$849,"")</f>
        <v/>
      </c>
      <c r="N855" s="304">
        <f>IF(_PENDIENTES!$B$849&lt;&gt;"",_PENDIENTES!$L$849,"")</f>
        <v/>
      </c>
      <c r="O855" s="284" t="n"/>
      <c r="P855" s="284" t="n"/>
      <c r="Q855" s="284" t="n"/>
      <c r="R855" s="284" t="n"/>
      <c r="S855" s="284" t="n"/>
    </row>
    <row r="856" hidden="1" ht="15.75" customHeight="1" s="195">
      <c r="A856" s="301">
        <f>IF(_PENDIENTES!$B$850&lt;&gt;"",849,"")</f>
        <v/>
      </c>
      <c r="B856" s="242">
        <f>IF(_PENDIENTES!$B$850&lt;&gt;"",_PENDIENTES!$A$850,"")</f>
        <v/>
      </c>
      <c r="C856" s="302">
        <f>IF(_PENDIENTES!$B$850&lt;&gt;"",_PENDIENTES!$C$850,"")</f>
        <v/>
      </c>
      <c r="D856" s="301">
        <f>IF(_PENDIENTES!$B$850&lt;&gt;"",_PENDIENTES!$D$850,"")</f>
        <v/>
      </c>
      <c r="E856" s="306">
        <f>IF(_PENDIENTES!$B$850&lt;&gt;"",_PENDIENTES!$E$850,"")</f>
        <v/>
      </c>
      <c r="F856" s="301">
        <f>IF(_PENDIENTES!$B$850&lt;&gt;"",_PENDIENTES!$F$850,"")</f>
        <v/>
      </c>
      <c r="G856" s="245">
        <f>IF(_PENDIENTES!$B$850&lt;&gt;"",_PENDIENTES!$G$850,"")</f>
        <v/>
      </c>
      <c r="H856" s="245">
        <f>IF(_PENDIENTES!$B$850&lt;&gt;"",_PENDIENTES!$H$850,"")</f>
        <v/>
      </c>
      <c r="I856" s="302">
        <f>IF(_PENDIENTES!$B$850&lt;&gt;"",_PENDIENTES!$I$850,"")</f>
        <v/>
      </c>
      <c r="J856" s="301">
        <f>IF(_PENDIENTES!$B$850&lt;&gt;"",_PENDIENTES!$J$850,"")</f>
        <v/>
      </c>
      <c r="K856" s="301">
        <f>IF(_PENDIENTES!$B$850&lt;&gt;"","POR RECOGER","")</f>
        <v/>
      </c>
      <c r="L856" s="301">
        <f>IF(_PENDIENTES!$B$850&lt;&gt;"",_PENDIENTES!$K$850,"")</f>
        <v/>
      </c>
      <c r="M856" s="284">
        <f>IF(_PENDIENTES!$B$850&lt;&gt;"",_PENDIENTES!$B$850,"")</f>
        <v/>
      </c>
      <c r="N856" s="304">
        <f>IF(_PENDIENTES!$B$850&lt;&gt;"",_PENDIENTES!$L$850,"")</f>
        <v/>
      </c>
      <c r="O856" s="284" t="n"/>
      <c r="P856" s="284" t="n"/>
      <c r="Q856" s="284" t="n"/>
      <c r="R856" s="284" t="n"/>
      <c r="S856" s="284" t="n"/>
    </row>
    <row r="857" hidden="1" ht="15.75" customHeight="1" s="195">
      <c r="A857" s="241">
        <f>IF(_PENDIENTES!$B$851&lt;&gt;"",850,"")</f>
        <v/>
      </c>
      <c r="B857" s="236">
        <f>IF(_PENDIENTES!$B$851&lt;&gt;"",_PENDIENTES!$A$851,"")</f>
        <v/>
      </c>
      <c r="C857" s="305">
        <f>IF(_PENDIENTES!$B$851&lt;&gt;"",_PENDIENTES!$C$851,"")</f>
        <v/>
      </c>
      <c r="D857" s="241">
        <f>IF(_PENDIENTES!$B$851&lt;&gt;"",_PENDIENTES!$D$851,"")</f>
        <v/>
      </c>
      <c r="E857" s="307">
        <f>IF(_PENDIENTES!$B$851&lt;&gt;"",_PENDIENTES!$E$851,"")</f>
        <v/>
      </c>
      <c r="F857" s="241">
        <f>IF(_PENDIENTES!$B$851&lt;&gt;"",_PENDIENTES!$F$851,"")</f>
        <v/>
      </c>
      <c r="G857" s="239">
        <f>IF(_PENDIENTES!$B$851&lt;&gt;"",_PENDIENTES!$G$851,"")</f>
        <v/>
      </c>
      <c r="H857" s="239">
        <f>IF(_PENDIENTES!$B$851&lt;&gt;"",_PENDIENTES!$H$851,"")</f>
        <v/>
      </c>
      <c r="I857" s="305">
        <f>IF(_PENDIENTES!$B$851&lt;&gt;"",_PENDIENTES!$I$851,"")</f>
        <v/>
      </c>
      <c r="J857" s="241">
        <f>IF(_PENDIENTES!$B$851&lt;&gt;"",_PENDIENTES!$J$851,"")</f>
        <v/>
      </c>
      <c r="K857" s="241">
        <f>IF(_PENDIENTES!$B$851&lt;&gt;"","POR RECOGER","")</f>
        <v/>
      </c>
      <c r="L857" s="241">
        <f>IF(_PENDIENTES!$B$851&lt;&gt;"",_PENDIENTES!$K$851,"")</f>
        <v/>
      </c>
      <c r="M857" s="284">
        <f>IF(_PENDIENTES!$B$851&lt;&gt;"",_PENDIENTES!$B$851,"")</f>
        <v/>
      </c>
      <c r="N857" s="304">
        <f>IF(_PENDIENTES!$B$851&lt;&gt;"",_PENDIENTES!$L$851,"")</f>
        <v/>
      </c>
      <c r="O857" s="284" t="n"/>
      <c r="P857" s="284" t="n"/>
      <c r="Q857" s="284" t="n"/>
      <c r="R857" s="284" t="n"/>
      <c r="S857" s="284" t="n"/>
    </row>
    <row r="858" hidden="1" ht="15.75" customHeight="1" s="195">
      <c r="A858" s="301">
        <f>IF(_PENDIENTES!$B$852&lt;&gt;"",851,"")</f>
        <v/>
      </c>
      <c r="B858" s="242">
        <f>IF(_PENDIENTES!$B$852&lt;&gt;"",_PENDIENTES!$A$852,"")</f>
        <v/>
      </c>
      <c r="C858" s="302">
        <f>IF(_PENDIENTES!$B$852&lt;&gt;"",_PENDIENTES!$C$852,"")</f>
        <v/>
      </c>
      <c r="D858" s="301">
        <f>IF(_PENDIENTES!$B$852&lt;&gt;"",_PENDIENTES!$D$852,"")</f>
        <v/>
      </c>
      <c r="E858" s="306">
        <f>IF(_PENDIENTES!$B$852&lt;&gt;"",_PENDIENTES!$E$852,"")</f>
        <v/>
      </c>
      <c r="F858" s="301">
        <f>IF(_PENDIENTES!$B$852&lt;&gt;"",_PENDIENTES!$F$852,"")</f>
        <v/>
      </c>
      <c r="G858" s="245">
        <f>IF(_PENDIENTES!$B$852&lt;&gt;"",_PENDIENTES!$G$852,"")</f>
        <v/>
      </c>
      <c r="H858" s="245">
        <f>IF(_PENDIENTES!$B$852&lt;&gt;"",_PENDIENTES!$H$852,"")</f>
        <v/>
      </c>
      <c r="I858" s="302">
        <f>IF(_PENDIENTES!$B$852&lt;&gt;"",_PENDIENTES!$I$852,"")</f>
        <v/>
      </c>
      <c r="J858" s="301">
        <f>IF(_PENDIENTES!$B$852&lt;&gt;"",_PENDIENTES!$J$852,"")</f>
        <v/>
      </c>
      <c r="K858" s="301">
        <f>IF(_PENDIENTES!$B$852&lt;&gt;"","POR RECOGER","")</f>
        <v/>
      </c>
      <c r="L858" s="301">
        <f>IF(_PENDIENTES!$B$852&lt;&gt;"",_PENDIENTES!$K$852,"")</f>
        <v/>
      </c>
      <c r="M858" s="284">
        <f>IF(_PENDIENTES!$B$852&lt;&gt;"",_PENDIENTES!$B$852,"")</f>
        <v/>
      </c>
      <c r="N858" s="304">
        <f>IF(_PENDIENTES!$B$852&lt;&gt;"",_PENDIENTES!$L$852,"")</f>
        <v/>
      </c>
      <c r="O858" s="284" t="n"/>
      <c r="P858" s="284" t="n"/>
      <c r="Q858" s="284" t="n"/>
      <c r="R858" s="284" t="n"/>
      <c r="S858" s="284" t="n"/>
    </row>
    <row r="859" hidden="1" ht="15.75" customHeight="1" s="195">
      <c r="A859" s="241">
        <f>IF(_PENDIENTES!$B$853&lt;&gt;"",852,"")</f>
        <v/>
      </c>
      <c r="B859" s="236">
        <f>IF(_PENDIENTES!$B$853&lt;&gt;"",_PENDIENTES!$A$853,"")</f>
        <v/>
      </c>
      <c r="C859" s="305">
        <f>IF(_PENDIENTES!$B$853&lt;&gt;"",_PENDIENTES!$C$853,"")</f>
        <v/>
      </c>
      <c r="D859" s="241">
        <f>IF(_PENDIENTES!$B$853&lt;&gt;"",_PENDIENTES!$D$853,"")</f>
        <v/>
      </c>
      <c r="E859" s="307">
        <f>IF(_PENDIENTES!$B$853&lt;&gt;"",_PENDIENTES!$E$853,"")</f>
        <v/>
      </c>
      <c r="F859" s="241">
        <f>IF(_PENDIENTES!$B$853&lt;&gt;"",_PENDIENTES!$F$853,"")</f>
        <v/>
      </c>
      <c r="G859" s="239">
        <f>IF(_PENDIENTES!$B$853&lt;&gt;"",_PENDIENTES!$G$853,"")</f>
        <v/>
      </c>
      <c r="H859" s="239">
        <f>IF(_PENDIENTES!$B$853&lt;&gt;"",_PENDIENTES!$H$853,"")</f>
        <v/>
      </c>
      <c r="I859" s="305">
        <f>IF(_PENDIENTES!$B$853&lt;&gt;"",_PENDIENTES!$I$853,"")</f>
        <v/>
      </c>
      <c r="J859" s="241">
        <f>IF(_PENDIENTES!$B$853&lt;&gt;"",_PENDIENTES!$J$853,"")</f>
        <v/>
      </c>
      <c r="K859" s="241">
        <f>IF(_PENDIENTES!$B$853&lt;&gt;"","POR RECOGER","")</f>
        <v/>
      </c>
      <c r="L859" s="241">
        <f>IF(_PENDIENTES!$B$853&lt;&gt;"",_PENDIENTES!$K$853,"")</f>
        <v/>
      </c>
      <c r="M859" s="284">
        <f>IF(_PENDIENTES!$B$853&lt;&gt;"",_PENDIENTES!$B$853,"")</f>
        <v/>
      </c>
      <c r="N859" s="304">
        <f>IF(_PENDIENTES!$B$853&lt;&gt;"",_PENDIENTES!$L$853,"")</f>
        <v/>
      </c>
      <c r="O859" s="284" t="n"/>
      <c r="P859" s="284" t="n"/>
      <c r="Q859" s="284" t="n"/>
      <c r="R859" s="284" t="n"/>
      <c r="S859" s="284" t="n"/>
    </row>
    <row r="860" hidden="1" ht="15.75" customHeight="1" s="195">
      <c r="A860" s="301">
        <f>IF(_PENDIENTES!$B$854&lt;&gt;"",853,"")</f>
        <v/>
      </c>
      <c r="B860" s="242">
        <f>IF(_PENDIENTES!$B$854&lt;&gt;"",_PENDIENTES!$A$854,"")</f>
        <v/>
      </c>
      <c r="C860" s="302">
        <f>IF(_PENDIENTES!$B$854&lt;&gt;"",_PENDIENTES!$C$854,"")</f>
        <v/>
      </c>
      <c r="D860" s="301">
        <f>IF(_PENDIENTES!$B$854&lt;&gt;"",_PENDIENTES!$D$854,"")</f>
        <v/>
      </c>
      <c r="E860" s="306">
        <f>IF(_PENDIENTES!$B$854&lt;&gt;"",_PENDIENTES!$E$854,"")</f>
        <v/>
      </c>
      <c r="F860" s="301">
        <f>IF(_PENDIENTES!$B$854&lt;&gt;"",_PENDIENTES!$F$854,"")</f>
        <v/>
      </c>
      <c r="G860" s="245">
        <f>IF(_PENDIENTES!$B$854&lt;&gt;"",_PENDIENTES!$G$854,"")</f>
        <v/>
      </c>
      <c r="H860" s="245">
        <f>IF(_PENDIENTES!$B$854&lt;&gt;"",_PENDIENTES!$H$854,"")</f>
        <v/>
      </c>
      <c r="I860" s="302">
        <f>IF(_PENDIENTES!$B$854&lt;&gt;"",_PENDIENTES!$I$854,"")</f>
        <v/>
      </c>
      <c r="J860" s="301">
        <f>IF(_PENDIENTES!$B$854&lt;&gt;"",_PENDIENTES!$J$854,"")</f>
        <v/>
      </c>
      <c r="K860" s="301">
        <f>IF(_PENDIENTES!$B$854&lt;&gt;"","POR RECOGER","")</f>
        <v/>
      </c>
      <c r="L860" s="301">
        <f>IF(_PENDIENTES!$B$854&lt;&gt;"",_PENDIENTES!$K$854,"")</f>
        <v/>
      </c>
      <c r="M860" s="284">
        <f>IF(_PENDIENTES!$B$854&lt;&gt;"",_PENDIENTES!$B$854,"")</f>
        <v/>
      </c>
      <c r="N860" s="304">
        <f>IF(_PENDIENTES!$B$854&lt;&gt;"",_PENDIENTES!$L$854,"")</f>
        <v/>
      </c>
      <c r="O860" s="284" t="n"/>
      <c r="P860" s="284" t="n"/>
      <c r="Q860" s="284" t="n"/>
      <c r="R860" s="284" t="n"/>
      <c r="S860" s="284" t="n"/>
    </row>
    <row r="861" hidden="1" ht="15.75" customHeight="1" s="195">
      <c r="A861" s="241">
        <f>IF(_PENDIENTES!$B$855&lt;&gt;"",854,"")</f>
        <v/>
      </c>
      <c r="B861" s="236">
        <f>IF(_PENDIENTES!$B$855&lt;&gt;"",_PENDIENTES!$A$855,"")</f>
        <v/>
      </c>
      <c r="C861" s="305">
        <f>IF(_PENDIENTES!$B$855&lt;&gt;"",_PENDIENTES!$C$855,"")</f>
        <v/>
      </c>
      <c r="D861" s="241">
        <f>IF(_PENDIENTES!$B$855&lt;&gt;"",_PENDIENTES!$D$855,"")</f>
        <v/>
      </c>
      <c r="E861" s="307">
        <f>IF(_PENDIENTES!$B$855&lt;&gt;"",_PENDIENTES!$E$855,"")</f>
        <v/>
      </c>
      <c r="F861" s="241">
        <f>IF(_PENDIENTES!$B$855&lt;&gt;"",_PENDIENTES!$F$855,"")</f>
        <v/>
      </c>
      <c r="G861" s="239">
        <f>IF(_PENDIENTES!$B$855&lt;&gt;"",_PENDIENTES!$G$855,"")</f>
        <v/>
      </c>
      <c r="H861" s="239">
        <f>IF(_PENDIENTES!$B$855&lt;&gt;"",_PENDIENTES!$H$855,"")</f>
        <v/>
      </c>
      <c r="I861" s="305">
        <f>IF(_PENDIENTES!$B$855&lt;&gt;"",_PENDIENTES!$I$855,"")</f>
        <v/>
      </c>
      <c r="J861" s="241">
        <f>IF(_PENDIENTES!$B$855&lt;&gt;"",_PENDIENTES!$J$855,"")</f>
        <v/>
      </c>
      <c r="K861" s="241">
        <f>IF(_PENDIENTES!$B$855&lt;&gt;"","POR RECOGER","")</f>
        <v/>
      </c>
      <c r="L861" s="241">
        <f>IF(_PENDIENTES!$B$855&lt;&gt;"",_PENDIENTES!$K$855,"")</f>
        <v/>
      </c>
      <c r="M861" s="284">
        <f>IF(_PENDIENTES!$B$855&lt;&gt;"",_PENDIENTES!$B$855,"")</f>
        <v/>
      </c>
      <c r="N861" s="304">
        <f>IF(_PENDIENTES!$B$855&lt;&gt;"",_PENDIENTES!$L$855,"")</f>
        <v/>
      </c>
      <c r="O861" s="284" t="n"/>
      <c r="P861" s="284" t="n"/>
      <c r="Q861" s="284" t="n"/>
      <c r="R861" s="284" t="n"/>
      <c r="S861" s="284" t="n"/>
    </row>
    <row r="862" hidden="1" ht="15.75" customHeight="1" s="195">
      <c r="A862" s="301">
        <f>IF(_PENDIENTES!$B$856&lt;&gt;"",855,"")</f>
        <v/>
      </c>
      <c r="B862" s="242">
        <f>IF(_PENDIENTES!$B$856&lt;&gt;"",_PENDIENTES!$A$856,"")</f>
        <v/>
      </c>
      <c r="C862" s="302">
        <f>IF(_PENDIENTES!$B$856&lt;&gt;"",_PENDIENTES!$C$856,"")</f>
        <v/>
      </c>
      <c r="D862" s="301">
        <f>IF(_PENDIENTES!$B$856&lt;&gt;"",_PENDIENTES!$D$856,"")</f>
        <v/>
      </c>
      <c r="E862" s="306">
        <f>IF(_PENDIENTES!$B$856&lt;&gt;"",_PENDIENTES!$E$856,"")</f>
        <v/>
      </c>
      <c r="F862" s="301">
        <f>IF(_PENDIENTES!$B$856&lt;&gt;"",_PENDIENTES!$F$856,"")</f>
        <v/>
      </c>
      <c r="G862" s="245">
        <f>IF(_PENDIENTES!$B$856&lt;&gt;"",_PENDIENTES!$G$856,"")</f>
        <v/>
      </c>
      <c r="H862" s="245">
        <f>IF(_PENDIENTES!$B$856&lt;&gt;"",_PENDIENTES!$H$856,"")</f>
        <v/>
      </c>
      <c r="I862" s="302">
        <f>IF(_PENDIENTES!$B$856&lt;&gt;"",_PENDIENTES!$I$856,"")</f>
        <v/>
      </c>
      <c r="J862" s="301">
        <f>IF(_PENDIENTES!$B$856&lt;&gt;"",_PENDIENTES!$J$856,"")</f>
        <v/>
      </c>
      <c r="K862" s="301">
        <f>IF(_PENDIENTES!$B$856&lt;&gt;"","POR RECOGER","")</f>
        <v/>
      </c>
      <c r="L862" s="301">
        <f>IF(_PENDIENTES!$B$856&lt;&gt;"",_PENDIENTES!$K$856,"")</f>
        <v/>
      </c>
      <c r="M862" s="284">
        <f>IF(_PENDIENTES!$B$856&lt;&gt;"",_PENDIENTES!$B$856,"")</f>
        <v/>
      </c>
      <c r="N862" s="304">
        <f>IF(_PENDIENTES!$B$856&lt;&gt;"",_PENDIENTES!$L$856,"")</f>
        <v/>
      </c>
      <c r="O862" s="284" t="n"/>
      <c r="P862" s="284" t="n"/>
      <c r="Q862" s="284" t="n"/>
      <c r="R862" s="284" t="n"/>
      <c r="S862" s="284" t="n"/>
    </row>
    <row r="863" hidden="1" ht="15.75" customHeight="1" s="195">
      <c r="A863" s="241">
        <f>IF(_PENDIENTES!$B$857&lt;&gt;"",856,"")</f>
        <v/>
      </c>
      <c r="B863" s="236">
        <f>IF(_PENDIENTES!$B$857&lt;&gt;"",_PENDIENTES!$A$857,"")</f>
        <v/>
      </c>
      <c r="C863" s="305">
        <f>IF(_PENDIENTES!$B$857&lt;&gt;"",_PENDIENTES!$C$857,"")</f>
        <v/>
      </c>
      <c r="D863" s="241">
        <f>IF(_PENDIENTES!$B$857&lt;&gt;"",_PENDIENTES!$D$857,"")</f>
        <v/>
      </c>
      <c r="E863" s="307">
        <f>IF(_PENDIENTES!$B$857&lt;&gt;"",_PENDIENTES!$E$857,"")</f>
        <v/>
      </c>
      <c r="F863" s="241">
        <f>IF(_PENDIENTES!$B$857&lt;&gt;"",_PENDIENTES!$F$857,"")</f>
        <v/>
      </c>
      <c r="G863" s="239">
        <f>IF(_PENDIENTES!$B$857&lt;&gt;"",_PENDIENTES!$G$857,"")</f>
        <v/>
      </c>
      <c r="H863" s="239">
        <f>IF(_PENDIENTES!$B$857&lt;&gt;"",_PENDIENTES!$H$857,"")</f>
        <v/>
      </c>
      <c r="I863" s="305">
        <f>IF(_PENDIENTES!$B$857&lt;&gt;"",_PENDIENTES!$I$857,"")</f>
        <v/>
      </c>
      <c r="J863" s="241">
        <f>IF(_PENDIENTES!$B$857&lt;&gt;"",_PENDIENTES!$J$857,"")</f>
        <v/>
      </c>
      <c r="K863" s="241">
        <f>IF(_PENDIENTES!$B$857&lt;&gt;"","POR RECOGER","")</f>
        <v/>
      </c>
      <c r="L863" s="241">
        <f>IF(_PENDIENTES!$B$857&lt;&gt;"",_PENDIENTES!$K$857,"")</f>
        <v/>
      </c>
      <c r="M863" s="284">
        <f>IF(_PENDIENTES!$B$857&lt;&gt;"",_PENDIENTES!$B$857,"")</f>
        <v/>
      </c>
      <c r="N863" s="304">
        <f>IF(_PENDIENTES!$B$857&lt;&gt;"",_PENDIENTES!$L$857,"")</f>
        <v/>
      </c>
      <c r="O863" s="284" t="n"/>
      <c r="P863" s="284" t="n"/>
      <c r="Q863" s="284" t="n"/>
      <c r="R863" s="284" t="n"/>
      <c r="S863" s="284" t="n"/>
    </row>
    <row r="864" hidden="1" ht="15.75" customHeight="1" s="195">
      <c r="A864" s="301">
        <f>IF(_PENDIENTES!$B$858&lt;&gt;"",857,"")</f>
        <v/>
      </c>
      <c r="B864" s="242">
        <f>IF(_PENDIENTES!$B$858&lt;&gt;"",_PENDIENTES!$A$858,"")</f>
        <v/>
      </c>
      <c r="C864" s="302">
        <f>IF(_PENDIENTES!$B$858&lt;&gt;"",_PENDIENTES!$C$858,"")</f>
        <v/>
      </c>
      <c r="D864" s="301">
        <f>IF(_PENDIENTES!$B$858&lt;&gt;"",_PENDIENTES!$D$858,"")</f>
        <v/>
      </c>
      <c r="E864" s="306">
        <f>IF(_PENDIENTES!$B$858&lt;&gt;"",_PENDIENTES!$E$858,"")</f>
        <v/>
      </c>
      <c r="F864" s="301">
        <f>IF(_PENDIENTES!$B$858&lt;&gt;"",_PENDIENTES!$F$858,"")</f>
        <v/>
      </c>
      <c r="G864" s="245">
        <f>IF(_PENDIENTES!$B$858&lt;&gt;"",_PENDIENTES!$G$858,"")</f>
        <v/>
      </c>
      <c r="H864" s="245">
        <f>IF(_PENDIENTES!$B$858&lt;&gt;"",_PENDIENTES!$H$858,"")</f>
        <v/>
      </c>
      <c r="I864" s="302">
        <f>IF(_PENDIENTES!$B$858&lt;&gt;"",_PENDIENTES!$I$858,"")</f>
        <v/>
      </c>
      <c r="J864" s="301">
        <f>IF(_PENDIENTES!$B$858&lt;&gt;"",_PENDIENTES!$J$858,"")</f>
        <v/>
      </c>
      <c r="K864" s="301">
        <f>IF(_PENDIENTES!$B$858&lt;&gt;"","POR RECOGER","")</f>
        <v/>
      </c>
      <c r="L864" s="301">
        <f>IF(_PENDIENTES!$B$858&lt;&gt;"",_PENDIENTES!$K$858,"")</f>
        <v/>
      </c>
      <c r="M864" s="284">
        <f>IF(_PENDIENTES!$B$858&lt;&gt;"",_PENDIENTES!$B$858,"")</f>
        <v/>
      </c>
      <c r="N864" s="304">
        <f>IF(_PENDIENTES!$B$858&lt;&gt;"",_PENDIENTES!$L$858,"")</f>
        <v/>
      </c>
      <c r="O864" s="284" t="n"/>
      <c r="P864" s="284" t="n"/>
      <c r="Q864" s="284" t="n"/>
      <c r="R864" s="284" t="n"/>
      <c r="S864" s="284" t="n"/>
    </row>
    <row r="865" hidden="1" ht="15.75" customHeight="1" s="195">
      <c r="A865" s="241">
        <f>IF(_PENDIENTES!$B$859&lt;&gt;"",858,"")</f>
        <v/>
      </c>
      <c r="B865" s="236">
        <f>IF(_PENDIENTES!$B$859&lt;&gt;"",_PENDIENTES!$A$859,"")</f>
        <v/>
      </c>
      <c r="C865" s="305">
        <f>IF(_PENDIENTES!$B$859&lt;&gt;"",_PENDIENTES!$C$859,"")</f>
        <v/>
      </c>
      <c r="D865" s="241">
        <f>IF(_PENDIENTES!$B$859&lt;&gt;"",_PENDIENTES!$D$859,"")</f>
        <v/>
      </c>
      <c r="E865" s="307">
        <f>IF(_PENDIENTES!$B$859&lt;&gt;"",_PENDIENTES!$E$859,"")</f>
        <v/>
      </c>
      <c r="F865" s="241">
        <f>IF(_PENDIENTES!$B$859&lt;&gt;"",_PENDIENTES!$F$859,"")</f>
        <v/>
      </c>
      <c r="G865" s="239">
        <f>IF(_PENDIENTES!$B$859&lt;&gt;"",_PENDIENTES!$G$859,"")</f>
        <v/>
      </c>
      <c r="H865" s="239">
        <f>IF(_PENDIENTES!$B$859&lt;&gt;"",_PENDIENTES!$H$859,"")</f>
        <v/>
      </c>
      <c r="I865" s="305">
        <f>IF(_PENDIENTES!$B$859&lt;&gt;"",_PENDIENTES!$I$859,"")</f>
        <v/>
      </c>
      <c r="J865" s="241">
        <f>IF(_PENDIENTES!$B$859&lt;&gt;"",_PENDIENTES!$J$859,"")</f>
        <v/>
      </c>
      <c r="K865" s="241">
        <f>IF(_PENDIENTES!$B$859&lt;&gt;"","POR RECOGER","")</f>
        <v/>
      </c>
      <c r="L865" s="241">
        <f>IF(_PENDIENTES!$B$859&lt;&gt;"",_PENDIENTES!$K$859,"")</f>
        <v/>
      </c>
      <c r="M865" s="284">
        <f>IF(_PENDIENTES!$B$859&lt;&gt;"",_PENDIENTES!$B$859,"")</f>
        <v/>
      </c>
      <c r="N865" s="304">
        <f>IF(_PENDIENTES!$B$859&lt;&gt;"",_PENDIENTES!$L$859,"")</f>
        <v/>
      </c>
      <c r="O865" s="284" t="n"/>
      <c r="P865" s="284" t="n"/>
      <c r="Q865" s="284" t="n"/>
      <c r="R865" s="284" t="n"/>
      <c r="S865" s="284" t="n"/>
    </row>
    <row r="866" hidden="1" ht="15.75" customHeight="1" s="195">
      <c r="A866" s="301">
        <f>IF(_PENDIENTES!$B$860&lt;&gt;"",859,"")</f>
        <v/>
      </c>
      <c r="B866" s="242">
        <f>IF(_PENDIENTES!$B$860&lt;&gt;"",_PENDIENTES!$A$860,"")</f>
        <v/>
      </c>
      <c r="C866" s="302">
        <f>IF(_PENDIENTES!$B$860&lt;&gt;"",_PENDIENTES!$C$860,"")</f>
        <v/>
      </c>
      <c r="D866" s="301">
        <f>IF(_PENDIENTES!$B$860&lt;&gt;"",_PENDIENTES!$D$860,"")</f>
        <v/>
      </c>
      <c r="E866" s="306">
        <f>IF(_PENDIENTES!$B$860&lt;&gt;"",_PENDIENTES!$E$860,"")</f>
        <v/>
      </c>
      <c r="F866" s="301">
        <f>IF(_PENDIENTES!$B$860&lt;&gt;"",_PENDIENTES!$F$860,"")</f>
        <v/>
      </c>
      <c r="G866" s="245">
        <f>IF(_PENDIENTES!$B$860&lt;&gt;"",_PENDIENTES!$G$860,"")</f>
        <v/>
      </c>
      <c r="H866" s="245">
        <f>IF(_PENDIENTES!$B$860&lt;&gt;"",_PENDIENTES!$H$860,"")</f>
        <v/>
      </c>
      <c r="I866" s="302">
        <f>IF(_PENDIENTES!$B$860&lt;&gt;"",_PENDIENTES!$I$860,"")</f>
        <v/>
      </c>
      <c r="J866" s="301">
        <f>IF(_PENDIENTES!$B$860&lt;&gt;"",_PENDIENTES!$J$860,"")</f>
        <v/>
      </c>
      <c r="K866" s="301">
        <f>IF(_PENDIENTES!$B$860&lt;&gt;"","POR RECOGER","")</f>
        <v/>
      </c>
      <c r="L866" s="301">
        <f>IF(_PENDIENTES!$B$860&lt;&gt;"",_PENDIENTES!$K$860,"")</f>
        <v/>
      </c>
      <c r="M866" s="284">
        <f>IF(_PENDIENTES!$B$860&lt;&gt;"",_PENDIENTES!$B$860,"")</f>
        <v/>
      </c>
      <c r="N866" s="304">
        <f>IF(_PENDIENTES!$B$860&lt;&gt;"",_PENDIENTES!$L$860,"")</f>
        <v/>
      </c>
      <c r="O866" s="284" t="n"/>
      <c r="P866" s="284" t="n"/>
      <c r="Q866" s="284" t="n"/>
      <c r="R866" s="284" t="n"/>
      <c r="S866" s="284" t="n"/>
    </row>
    <row r="867" hidden="1" ht="15.75" customHeight="1" s="195">
      <c r="A867" s="241">
        <f>IF(_PENDIENTES!$B$861&lt;&gt;"",860,"")</f>
        <v/>
      </c>
      <c r="B867" s="236">
        <f>IF(_PENDIENTES!$B$861&lt;&gt;"",_PENDIENTES!$A$861,"")</f>
        <v/>
      </c>
      <c r="C867" s="305">
        <f>IF(_PENDIENTES!$B$861&lt;&gt;"",_PENDIENTES!$C$861,"")</f>
        <v/>
      </c>
      <c r="D867" s="241">
        <f>IF(_PENDIENTES!$B$861&lt;&gt;"",_PENDIENTES!$D$861,"")</f>
        <v/>
      </c>
      <c r="E867" s="307">
        <f>IF(_PENDIENTES!$B$861&lt;&gt;"",_PENDIENTES!$E$861,"")</f>
        <v/>
      </c>
      <c r="F867" s="241">
        <f>IF(_PENDIENTES!$B$861&lt;&gt;"",_PENDIENTES!$F$861,"")</f>
        <v/>
      </c>
      <c r="G867" s="239">
        <f>IF(_PENDIENTES!$B$861&lt;&gt;"",_PENDIENTES!$G$861,"")</f>
        <v/>
      </c>
      <c r="H867" s="239">
        <f>IF(_PENDIENTES!$B$861&lt;&gt;"",_PENDIENTES!$H$861,"")</f>
        <v/>
      </c>
      <c r="I867" s="305">
        <f>IF(_PENDIENTES!$B$861&lt;&gt;"",_PENDIENTES!$I$861,"")</f>
        <v/>
      </c>
      <c r="J867" s="241">
        <f>IF(_PENDIENTES!$B$861&lt;&gt;"",_PENDIENTES!$J$861,"")</f>
        <v/>
      </c>
      <c r="K867" s="241">
        <f>IF(_PENDIENTES!$B$861&lt;&gt;"","POR RECOGER","")</f>
        <v/>
      </c>
      <c r="L867" s="241">
        <f>IF(_PENDIENTES!$B$861&lt;&gt;"",_PENDIENTES!$K$861,"")</f>
        <v/>
      </c>
      <c r="M867" s="284">
        <f>IF(_PENDIENTES!$B$861&lt;&gt;"",_PENDIENTES!$B$861,"")</f>
        <v/>
      </c>
      <c r="N867" s="304">
        <f>IF(_PENDIENTES!$B$861&lt;&gt;"",_PENDIENTES!$L$861,"")</f>
        <v/>
      </c>
      <c r="O867" s="284" t="n"/>
      <c r="P867" s="284" t="n"/>
      <c r="Q867" s="284" t="n"/>
      <c r="R867" s="284" t="n"/>
      <c r="S867" s="284" t="n"/>
    </row>
    <row r="868" hidden="1" ht="15.75" customHeight="1" s="195">
      <c r="A868" s="301">
        <f>IF(_PENDIENTES!$B$862&lt;&gt;"",861,"")</f>
        <v/>
      </c>
      <c r="B868" s="242">
        <f>IF(_PENDIENTES!$B$862&lt;&gt;"",_PENDIENTES!$A$862,"")</f>
        <v/>
      </c>
      <c r="C868" s="302">
        <f>IF(_PENDIENTES!$B$862&lt;&gt;"",_PENDIENTES!$C$862,"")</f>
        <v/>
      </c>
      <c r="D868" s="301">
        <f>IF(_PENDIENTES!$B$862&lt;&gt;"",_PENDIENTES!$D$862,"")</f>
        <v/>
      </c>
      <c r="E868" s="306">
        <f>IF(_PENDIENTES!$B$862&lt;&gt;"",_PENDIENTES!$E$862,"")</f>
        <v/>
      </c>
      <c r="F868" s="301">
        <f>IF(_PENDIENTES!$B$862&lt;&gt;"",_PENDIENTES!$F$862,"")</f>
        <v/>
      </c>
      <c r="G868" s="245">
        <f>IF(_PENDIENTES!$B$862&lt;&gt;"",_PENDIENTES!$G$862,"")</f>
        <v/>
      </c>
      <c r="H868" s="245">
        <f>IF(_PENDIENTES!$B$862&lt;&gt;"",_PENDIENTES!$H$862,"")</f>
        <v/>
      </c>
      <c r="I868" s="302">
        <f>IF(_PENDIENTES!$B$862&lt;&gt;"",_PENDIENTES!$I$862,"")</f>
        <v/>
      </c>
      <c r="J868" s="301">
        <f>IF(_PENDIENTES!$B$862&lt;&gt;"",_PENDIENTES!$J$862,"")</f>
        <v/>
      </c>
      <c r="K868" s="301">
        <f>IF(_PENDIENTES!$B$862&lt;&gt;"","POR RECOGER","")</f>
        <v/>
      </c>
      <c r="L868" s="301">
        <f>IF(_PENDIENTES!$B$862&lt;&gt;"",_PENDIENTES!$K$862,"")</f>
        <v/>
      </c>
      <c r="M868" s="284">
        <f>IF(_PENDIENTES!$B$862&lt;&gt;"",_PENDIENTES!$B$862,"")</f>
        <v/>
      </c>
      <c r="N868" s="304">
        <f>IF(_PENDIENTES!$B$862&lt;&gt;"",_PENDIENTES!$L$862,"")</f>
        <v/>
      </c>
      <c r="O868" s="284" t="n"/>
      <c r="P868" s="284" t="n"/>
      <c r="Q868" s="284" t="n"/>
      <c r="R868" s="284" t="n"/>
      <c r="S868" s="284" t="n"/>
    </row>
    <row r="869" hidden="1" ht="15.75" customHeight="1" s="195">
      <c r="A869" s="241">
        <f>IF(_PENDIENTES!$B$863&lt;&gt;"",862,"")</f>
        <v/>
      </c>
      <c r="B869" s="236">
        <f>IF(_PENDIENTES!$B$863&lt;&gt;"",_PENDIENTES!$A$863,"")</f>
        <v/>
      </c>
      <c r="C869" s="305">
        <f>IF(_PENDIENTES!$B$863&lt;&gt;"",_PENDIENTES!$C$863,"")</f>
        <v/>
      </c>
      <c r="D869" s="241">
        <f>IF(_PENDIENTES!$B$863&lt;&gt;"",_PENDIENTES!$D$863,"")</f>
        <v/>
      </c>
      <c r="E869" s="307">
        <f>IF(_PENDIENTES!$B$863&lt;&gt;"",_PENDIENTES!$E$863,"")</f>
        <v/>
      </c>
      <c r="F869" s="241">
        <f>IF(_PENDIENTES!$B$863&lt;&gt;"",_PENDIENTES!$F$863,"")</f>
        <v/>
      </c>
      <c r="G869" s="239">
        <f>IF(_PENDIENTES!$B$863&lt;&gt;"",_PENDIENTES!$G$863,"")</f>
        <v/>
      </c>
      <c r="H869" s="239">
        <f>IF(_PENDIENTES!$B$863&lt;&gt;"",_PENDIENTES!$H$863,"")</f>
        <v/>
      </c>
      <c r="I869" s="305">
        <f>IF(_PENDIENTES!$B$863&lt;&gt;"",_PENDIENTES!$I$863,"")</f>
        <v/>
      </c>
      <c r="J869" s="241">
        <f>IF(_PENDIENTES!$B$863&lt;&gt;"",_PENDIENTES!$J$863,"")</f>
        <v/>
      </c>
      <c r="K869" s="241">
        <f>IF(_PENDIENTES!$B$863&lt;&gt;"","POR RECOGER","")</f>
        <v/>
      </c>
      <c r="L869" s="241">
        <f>IF(_PENDIENTES!$B$863&lt;&gt;"",_PENDIENTES!$K$863,"")</f>
        <v/>
      </c>
      <c r="M869" s="284">
        <f>IF(_PENDIENTES!$B$863&lt;&gt;"",_PENDIENTES!$B$863,"")</f>
        <v/>
      </c>
      <c r="N869" s="304">
        <f>IF(_PENDIENTES!$B$863&lt;&gt;"",_PENDIENTES!$L$863,"")</f>
        <v/>
      </c>
      <c r="O869" s="284" t="n"/>
      <c r="P869" s="284" t="n"/>
      <c r="Q869" s="284" t="n"/>
      <c r="R869" s="284" t="n"/>
      <c r="S869" s="284" t="n"/>
    </row>
    <row r="870" hidden="1" ht="15.75" customHeight="1" s="195">
      <c r="A870" s="301">
        <f>IF(_PENDIENTES!$B$864&lt;&gt;"",863,"")</f>
        <v/>
      </c>
      <c r="B870" s="242">
        <f>IF(_PENDIENTES!$B$864&lt;&gt;"",_PENDIENTES!$A$864,"")</f>
        <v/>
      </c>
      <c r="C870" s="302">
        <f>IF(_PENDIENTES!$B$864&lt;&gt;"",_PENDIENTES!$C$864,"")</f>
        <v/>
      </c>
      <c r="D870" s="301">
        <f>IF(_PENDIENTES!$B$864&lt;&gt;"",_PENDIENTES!$D$864,"")</f>
        <v/>
      </c>
      <c r="E870" s="306">
        <f>IF(_PENDIENTES!$B$864&lt;&gt;"",_PENDIENTES!$E$864,"")</f>
        <v/>
      </c>
      <c r="F870" s="301">
        <f>IF(_PENDIENTES!$B$864&lt;&gt;"",_PENDIENTES!$F$864,"")</f>
        <v/>
      </c>
      <c r="G870" s="245">
        <f>IF(_PENDIENTES!$B$864&lt;&gt;"",_PENDIENTES!$G$864,"")</f>
        <v/>
      </c>
      <c r="H870" s="245">
        <f>IF(_PENDIENTES!$B$864&lt;&gt;"",_PENDIENTES!$H$864,"")</f>
        <v/>
      </c>
      <c r="I870" s="302">
        <f>IF(_PENDIENTES!$B$864&lt;&gt;"",_PENDIENTES!$I$864,"")</f>
        <v/>
      </c>
      <c r="J870" s="301">
        <f>IF(_PENDIENTES!$B$864&lt;&gt;"",_PENDIENTES!$J$864,"")</f>
        <v/>
      </c>
      <c r="K870" s="301">
        <f>IF(_PENDIENTES!$B$864&lt;&gt;"","POR RECOGER","")</f>
        <v/>
      </c>
      <c r="L870" s="301">
        <f>IF(_PENDIENTES!$B$864&lt;&gt;"",_PENDIENTES!$K$864,"")</f>
        <v/>
      </c>
      <c r="M870" s="284">
        <f>IF(_PENDIENTES!$B$864&lt;&gt;"",_PENDIENTES!$B$864,"")</f>
        <v/>
      </c>
      <c r="N870" s="304">
        <f>IF(_PENDIENTES!$B$864&lt;&gt;"",_PENDIENTES!$L$864,"")</f>
        <v/>
      </c>
      <c r="O870" s="284" t="n"/>
      <c r="P870" s="284" t="n"/>
      <c r="Q870" s="284" t="n"/>
      <c r="R870" s="284" t="n"/>
      <c r="S870" s="284" t="n"/>
    </row>
    <row r="871" hidden="1" ht="15.75" customHeight="1" s="195">
      <c r="A871" s="241">
        <f>IF(_PENDIENTES!$B$865&lt;&gt;"",864,"")</f>
        <v/>
      </c>
      <c r="B871" s="236">
        <f>IF(_PENDIENTES!$B$865&lt;&gt;"",_PENDIENTES!$A$865,"")</f>
        <v/>
      </c>
      <c r="C871" s="305">
        <f>IF(_PENDIENTES!$B$865&lt;&gt;"",_PENDIENTES!$C$865,"")</f>
        <v/>
      </c>
      <c r="D871" s="241">
        <f>IF(_PENDIENTES!$B$865&lt;&gt;"",_PENDIENTES!$D$865,"")</f>
        <v/>
      </c>
      <c r="E871" s="307">
        <f>IF(_PENDIENTES!$B$865&lt;&gt;"",_PENDIENTES!$E$865,"")</f>
        <v/>
      </c>
      <c r="F871" s="241">
        <f>IF(_PENDIENTES!$B$865&lt;&gt;"",_PENDIENTES!$F$865,"")</f>
        <v/>
      </c>
      <c r="G871" s="239">
        <f>IF(_PENDIENTES!$B$865&lt;&gt;"",_PENDIENTES!$G$865,"")</f>
        <v/>
      </c>
      <c r="H871" s="239">
        <f>IF(_PENDIENTES!$B$865&lt;&gt;"",_PENDIENTES!$H$865,"")</f>
        <v/>
      </c>
      <c r="I871" s="305">
        <f>IF(_PENDIENTES!$B$865&lt;&gt;"",_PENDIENTES!$I$865,"")</f>
        <v/>
      </c>
      <c r="J871" s="241">
        <f>IF(_PENDIENTES!$B$865&lt;&gt;"",_PENDIENTES!$J$865,"")</f>
        <v/>
      </c>
      <c r="K871" s="241">
        <f>IF(_PENDIENTES!$B$865&lt;&gt;"","POR RECOGER","")</f>
        <v/>
      </c>
      <c r="L871" s="241">
        <f>IF(_PENDIENTES!$B$865&lt;&gt;"",_PENDIENTES!$K$865,"")</f>
        <v/>
      </c>
      <c r="M871" s="284">
        <f>IF(_PENDIENTES!$B$865&lt;&gt;"",_PENDIENTES!$B$865,"")</f>
        <v/>
      </c>
      <c r="N871" s="304">
        <f>IF(_PENDIENTES!$B$865&lt;&gt;"",_PENDIENTES!$L$865,"")</f>
        <v/>
      </c>
      <c r="O871" s="284" t="n"/>
      <c r="P871" s="284" t="n"/>
      <c r="Q871" s="284" t="n"/>
      <c r="R871" s="284" t="n"/>
      <c r="S871" s="284" t="n"/>
    </row>
    <row r="872" hidden="1" ht="15.75" customHeight="1" s="195">
      <c r="A872" s="301">
        <f>IF(_PENDIENTES!$B$866&lt;&gt;"",865,"")</f>
        <v/>
      </c>
      <c r="B872" s="242">
        <f>IF(_PENDIENTES!$B$866&lt;&gt;"",_PENDIENTES!$A$866,"")</f>
        <v/>
      </c>
      <c r="C872" s="302">
        <f>IF(_PENDIENTES!$B$866&lt;&gt;"",_PENDIENTES!$C$866,"")</f>
        <v/>
      </c>
      <c r="D872" s="301">
        <f>IF(_PENDIENTES!$B$866&lt;&gt;"",_PENDIENTES!$D$866,"")</f>
        <v/>
      </c>
      <c r="E872" s="306">
        <f>IF(_PENDIENTES!$B$866&lt;&gt;"",_PENDIENTES!$E$866,"")</f>
        <v/>
      </c>
      <c r="F872" s="301">
        <f>IF(_PENDIENTES!$B$866&lt;&gt;"",_PENDIENTES!$F$866,"")</f>
        <v/>
      </c>
      <c r="G872" s="245">
        <f>IF(_PENDIENTES!$B$866&lt;&gt;"",_PENDIENTES!$G$866,"")</f>
        <v/>
      </c>
      <c r="H872" s="245">
        <f>IF(_PENDIENTES!$B$866&lt;&gt;"",_PENDIENTES!$H$866,"")</f>
        <v/>
      </c>
      <c r="I872" s="302">
        <f>IF(_PENDIENTES!$B$866&lt;&gt;"",_PENDIENTES!$I$866,"")</f>
        <v/>
      </c>
      <c r="J872" s="301">
        <f>IF(_PENDIENTES!$B$866&lt;&gt;"",_PENDIENTES!$J$866,"")</f>
        <v/>
      </c>
      <c r="K872" s="301">
        <f>IF(_PENDIENTES!$B$866&lt;&gt;"","POR RECOGER","")</f>
        <v/>
      </c>
      <c r="L872" s="301">
        <f>IF(_PENDIENTES!$B$866&lt;&gt;"",_PENDIENTES!$K$866,"")</f>
        <v/>
      </c>
      <c r="M872" s="284">
        <f>IF(_PENDIENTES!$B$866&lt;&gt;"",_PENDIENTES!$B$866,"")</f>
        <v/>
      </c>
      <c r="N872" s="304">
        <f>IF(_PENDIENTES!$B$866&lt;&gt;"",_PENDIENTES!$L$866,"")</f>
        <v/>
      </c>
      <c r="O872" s="284" t="n"/>
      <c r="P872" s="284" t="n"/>
      <c r="Q872" s="284" t="n"/>
      <c r="R872" s="284" t="n"/>
      <c r="S872" s="284" t="n"/>
    </row>
    <row r="873" hidden="1" ht="15.75" customHeight="1" s="195">
      <c r="A873" s="241">
        <f>IF(_PENDIENTES!$B$867&lt;&gt;"",866,"")</f>
        <v/>
      </c>
      <c r="B873" s="236">
        <f>IF(_PENDIENTES!$B$867&lt;&gt;"",_PENDIENTES!$A$867,"")</f>
        <v/>
      </c>
      <c r="C873" s="305">
        <f>IF(_PENDIENTES!$B$867&lt;&gt;"",_PENDIENTES!$C$867,"")</f>
        <v/>
      </c>
      <c r="D873" s="241">
        <f>IF(_PENDIENTES!$B$867&lt;&gt;"",_PENDIENTES!$D$867,"")</f>
        <v/>
      </c>
      <c r="E873" s="307">
        <f>IF(_PENDIENTES!$B$867&lt;&gt;"",_PENDIENTES!$E$867,"")</f>
        <v/>
      </c>
      <c r="F873" s="241">
        <f>IF(_PENDIENTES!$B$867&lt;&gt;"",_PENDIENTES!$F$867,"")</f>
        <v/>
      </c>
      <c r="G873" s="239">
        <f>IF(_PENDIENTES!$B$867&lt;&gt;"",_PENDIENTES!$G$867,"")</f>
        <v/>
      </c>
      <c r="H873" s="239">
        <f>IF(_PENDIENTES!$B$867&lt;&gt;"",_PENDIENTES!$H$867,"")</f>
        <v/>
      </c>
      <c r="I873" s="305">
        <f>IF(_PENDIENTES!$B$867&lt;&gt;"",_PENDIENTES!$I$867,"")</f>
        <v/>
      </c>
      <c r="J873" s="241">
        <f>IF(_PENDIENTES!$B$867&lt;&gt;"",_PENDIENTES!$J$867,"")</f>
        <v/>
      </c>
      <c r="K873" s="241">
        <f>IF(_PENDIENTES!$B$867&lt;&gt;"","POR RECOGER","")</f>
        <v/>
      </c>
      <c r="L873" s="241">
        <f>IF(_PENDIENTES!$B$867&lt;&gt;"",_PENDIENTES!$K$867,"")</f>
        <v/>
      </c>
      <c r="M873" s="284">
        <f>IF(_PENDIENTES!$B$867&lt;&gt;"",_PENDIENTES!$B$867,"")</f>
        <v/>
      </c>
      <c r="N873" s="304">
        <f>IF(_PENDIENTES!$B$867&lt;&gt;"",_PENDIENTES!$L$867,"")</f>
        <v/>
      </c>
      <c r="O873" s="284" t="n"/>
      <c r="P873" s="284" t="n"/>
      <c r="Q873" s="284" t="n"/>
      <c r="R873" s="284" t="n"/>
      <c r="S873" s="284" t="n"/>
    </row>
    <row r="874" hidden="1" ht="15.75" customHeight="1" s="195">
      <c r="A874" s="301">
        <f>IF(_PENDIENTES!$B$868&lt;&gt;"",867,"")</f>
        <v/>
      </c>
      <c r="B874" s="242">
        <f>IF(_PENDIENTES!$B$868&lt;&gt;"",_PENDIENTES!$A$868,"")</f>
        <v/>
      </c>
      <c r="C874" s="302">
        <f>IF(_PENDIENTES!$B$868&lt;&gt;"",_PENDIENTES!$C$868,"")</f>
        <v/>
      </c>
      <c r="D874" s="301">
        <f>IF(_PENDIENTES!$B$868&lt;&gt;"",_PENDIENTES!$D$868,"")</f>
        <v/>
      </c>
      <c r="E874" s="306">
        <f>IF(_PENDIENTES!$B$868&lt;&gt;"",_PENDIENTES!$E$868,"")</f>
        <v/>
      </c>
      <c r="F874" s="301">
        <f>IF(_PENDIENTES!$B$868&lt;&gt;"",_PENDIENTES!$F$868,"")</f>
        <v/>
      </c>
      <c r="G874" s="245">
        <f>IF(_PENDIENTES!$B$868&lt;&gt;"",_PENDIENTES!$G$868,"")</f>
        <v/>
      </c>
      <c r="H874" s="245">
        <f>IF(_PENDIENTES!$B$868&lt;&gt;"",_PENDIENTES!$H$868,"")</f>
        <v/>
      </c>
      <c r="I874" s="302">
        <f>IF(_PENDIENTES!$B$868&lt;&gt;"",_PENDIENTES!$I$868,"")</f>
        <v/>
      </c>
      <c r="J874" s="301">
        <f>IF(_PENDIENTES!$B$868&lt;&gt;"",_PENDIENTES!$J$868,"")</f>
        <v/>
      </c>
      <c r="K874" s="301">
        <f>IF(_PENDIENTES!$B$868&lt;&gt;"","POR RECOGER","")</f>
        <v/>
      </c>
      <c r="L874" s="301">
        <f>IF(_PENDIENTES!$B$868&lt;&gt;"",_PENDIENTES!$K$868,"")</f>
        <v/>
      </c>
      <c r="M874" s="284">
        <f>IF(_PENDIENTES!$B$868&lt;&gt;"",_PENDIENTES!$B$868,"")</f>
        <v/>
      </c>
      <c r="N874" s="304">
        <f>IF(_PENDIENTES!$B$868&lt;&gt;"",_PENDIENTES!$L$868,"")</f>
        <v/>
      </c>
      <c r="O874" s="284" t="n"/>
      <c r="P874" s="284" t="n"/>
      <c r="Q874" s="284" t="n"/>
      <c r="R874" s="284" t="n"/>
      <c r="S874" s="284" t="n"/>
    </row>
    <row r="875" hidden="1" ht="15.75" customHeight="1" s="195">
      <c r="A875" s="241">
        <f>IF(_PENDIENTES!$B$869&lt;&gt;"",868,"")</f>
        <v/>
      </c>
      <c r="B875" s="236">
        <f>IF(_PENDIENTES!$B$869&lt;&gt;"",_PENDIENTES!$A$869,"")</f>
        <v/>
      </c>
      <c r="C875" s="305">
        <f>IF(_PENDIENTES!$B$869&lt;&gt;"",_PENDIENTES!$C$869,"")</f>
        <v/>
      </c>
      <c r="D875" s="241">
        <f>IF(_PENDIENTES!$B$869&lt;&gt;"",_PENDIENTES!$D$869,"")</f>
        <v/>
      </c>
      <c r="E875" s="307">
        <f>IF(_PENDIENTES!$B$869&lt;&gt;"",_PENDIENTES!$E$869,"")</f>
        <v/>
      </c>
      <c r="F875" s="241">
        <f>IF(_PENDIENTES!$B$869&lt;&gt;"",_PENDIENTES!$F$869,"")</f>
        <v/>
      </c>
      <c r="G875" s="239">
        <f>IF(_PENDIENTES!$B$869&lt;&gt;"",_PENDIENTES!$G$869,"")</f>
        <v/>
      </c>
      <c r="H875" s="239">
        <f>IF(_PENDIENTES!$B$869&lt;&gt;"",_PENDIENTES!$H$869,"")</f>
        <v/>
      </c>
      <c r="I875" s="305">
        <f>IF(_PENDIENTES!$B$869&lt;&gt;"",_PENDIENTES!$I$869,"")</f>
        <v/>
      </c>
      <c r="J875" s="241">
        <f>IF(_PENDIENTES!$B$869&lt;&gt;"",_PENDIENTES!$J$869,"")</f>
        <v/>
      </c>
      <c r="K875" s="241">
        <f>IF(_PENDIENTES!$B$869&lt;&gt;"","POR RECOGER","")</f>
        <v/>
      </c>
      <c r="L875" s="241">
        <f>IF(_PENDIENTES!$B$869&lt;&gt;"",_PENDIENTES!$K$869,"")</f>
        <v/>
      </c>
      <c r="M875" s="284">
        <f>IF(_PENDIENTES!$B$869&lt;&gt;"",_PENDIENTES!$B$869,"")</f>
        <v/>
      </c>
      <c r="N875" s="304">
        <f>IF(_PENDIENTES!$B$869&lt;&gt;"",_PENDIENTES!$L$869,"")</f>
        <v/>
      </c>
      <c r="O875" s="284" t="n"/>
      <c r="P875" s="284" t="n"/>
      <c r="Q875" s="284" t="n"/>
      <c r="R875" s="284" t="n"/>
      <c r="S875" s="284" t="n"/>
    </row>
    <row r="876" hidden="1" ht="15.75" customHeight="1" s="195">
      <c r="A876" s="301">
        <f>IF(_PENDIENTES!$B$870&lt;&gt;"",869,"")</f>
        <v/>
      </c>
      <c r="B876" s="242">
        <f>IF(_PENDIENTES!$B$870&lt;&gt;"",_PENDIENTES!$A$870,"")</f>
        <v/>
      </c>
      <c r="C876" s="302">
        <f>IF(_PENDIENTES!$B$870&lt;&gt;"",_PENDIENTES!$C$870,"")</f>
        <v/>
      </c>
      <c r="D876" s="301">
        <f>IF(_PENDIENTES!$B$870&lt;&gt;"",_PENDIENTES!$D$870,"")</f>
        <v/>
      </c>
      <c r="E876" s="306">
        <f>IF(_PENDIENTES!$B$870&lt;&gt;"",_PENDIENTES!$E$870,"")</f>
        <v/>
      </c>
      <c r="F876" s="301">
        <f>IF(_PENDIENTES!$B$870&lt;&gt;"",_PENDIENTES!$F$870,"")</f>
        <v/>
      </c>
      <c r="G876" s="245">
        <f>IF(_PENDIENTES!$B$870&lt;&gt;"",_PENDIENTES!$G$870,"")</f>
        <v/>
      </c>
      <c r="H876" s="245">
        <f>IF(_PENDIENTES!$B$870&lt;&gt;"",_PENDIENTES!$H$870,"")</f>
        <v/>
      </c>
      <c r="I876" s="302">
        <f>IF(_PENDIENTES!$B$870&lt;&gt;"",_PENDIENTES!$I$870,"")</f>
        <v/>
      </c>
      <c r="J876" s="301">
        <f>IF(_PENDIENTES!$B$870&lt;&gt;"",_PENDIENTES!$J$870,"")</f>
        <v/>
      </c>
      <c r="K876" s="301">
        <f>IF(_PENDIENTES!$B$870&lt;&gt;"","POR RECOGER","")</f>
        <v/>
      </c>
      <c r="L876" s="301">
        <f>IF(_PENDIENTES!$B$870&lt;&gt;"",_PENDIENTES!$K$870,"")</f>
        <v/>
      </c>
      <c r="M876" s="284">
        <f>IF(_PENDIENTES!$B$870&lt;&gt;"",_PENDIENTES!$B$870,"")</f>
        <v/>
      </c>
      <c r="N876" s="304">
        <f>IF(_PENDIENTES!$B$870&lt;&gt;"",_PENDIENTES!$L$870,"")</f>
        <v/>
      </c>
      <c r="O876" s="284" t="n"/>
      <c r="P876" s="284" t="n"/>
      <c r="Q876" s="284" t="n"/>
      <c r="R876" s="284" t="n"/>
      <c r="S876" s="284" t="n"/>
    </row>
    <row r="877" hidden="1" ht="15.75" customHeight="1" s="195">
      <c r="A877" s="241">
        <f>IF(_PENDIENTES!$B$871&lt;&gt;"",870,"")</f>
        <v/>
      </c>
      <c r="B877" s="236">
        <f>IF(_PENDIENTES!$B$871&lt;&gt;"",_PENDIENTES!$A$871,"")</f>
        <v/>
      </c>
      <c r="C877" s="305">
        <f>IF(_PENDIENTES!$B$871&lt;&gt;"",_PENDIENTES!$C$871,"")</f>
        <v/>
      </c>
      <c r="D877" s="241">
        <f>IF(_PENDIENTES!$B$871&lt;&gt;"",_PENDIENTES!$D$871,"")</f>
        <v/>
      </c>
      <c r="E877" s="307">
        <f>IF(_PENDIENTES!$B$871&lt;&gt;"",_PENDIENTES!$E$871,"")</f>
        <v/>
      </c>
      <c r="F877" s="241">
        <f>IF(_PENDIENTES!$B$871&lt;&gt;"",_PENDIENTES!$F$871,"")</f>
        <v/>
      </c>
      <c r="G877" s="239">
        <f>IF(_PENDIENTES!$B$871&lt;&gt;"",_PENDIENTES!$G$871,"")</f>
        <v/>
      </c>
      <c r="H877" s="239">
        <f>IF(_PENDIENTES!$B$871&lt;&gt;"",_PENDIENTES!$H$871,"")</f>
        <v/>
      </c>
      <c r="I877" s="305">
        <f>IF(_PENDIENTES!$B$871&lt;&gt;"",_PENDIENTES!$I$871,"")</f>
        <v/>
      </c>
      <c r="J877" s="241">
        <f>IF(_PENDIENTES!$B$871&lt;&gt;"",_PENDIENTES!$J$871,"")</f>
        <v/>
      </c>
      <c r="K877" s="241">
        <f>IF(_PENDIENTES!$B$871&lt;&gt;"","POR RECOGER","")</f>
        <v/>
      </c>
      <c r="L877" s="241">
        <f>IF(_PENDIENTES!$B$871&lt;&gt;"",_PENDIENTES!$K$871,"")</f>
        <v/>
      </c>
      <c r="M877" s="284">
        <f>IF(_PENDIENTES!$B$871&lt;&gt;"",_PENDIENTES!$B$871,"")</f>
        <v/>
      </c>
      <c r="N877" s="304">
        <f>IF(_PENDIENTES!$B$871&lt;&gt;"",_PENDIENTES!$L$871,"")</f>
        <v/>
      </c>
      <c r="O877" s="284" t="n"/>
      <c r="P877" s="284" t="n"/>
      <c r="Q877" s="284" t="n"/>
      <c r="R877" s="284" t="n"/>
      <c r="S877" s="284" t="n"/>
    </row>
    <row r="878" hidden="1" ht="15.75" customHeight="1" s="195">
      <c r="A878" s="301">
        <f>IF(_PENDIENTES!$B$872&lt;&gt;"",871,"")</f>
        <v/>
      </c>
      <c r="B878" s="242">
        <f>IF(_PENDIENTES!$B$872&lt;&gt;"",_PENDIENTES!$A$872,"")</f>
        <v/>
      </c>
      <c r="C878" s="302">
        <f>IF(_PENDIENTES!$B$872&lt;&gt;"",_PENDIENTES!$C$872,"")</f>
        <v/>
      </c>
      <c r="D878" s="301">
        <f>IF(_PENDIENTES!$B$872&lt;&gt;"",_PENDIENTES!$D$872,"")</f>
        <v/>
      </c>
      <c r="E878" s="306">
        <f>IF(_PENDIENTES!$B$872&lt;&gt;"",_PENDIENTES!$E$872,"")</f>
        <v/>
      </c>
      <c r="F878" s="301">
        <f>IF(_PENDIENTES!$B$872&lt;&gt;"",_PENDIENTES!$F$872,"")</f>
        <v/>
      </c>
      <c r="G878" s="245">
        <f>IF(_PENDIENTES!$B$872&lt;&gt;"",_PENDIENTES!$G$872,"")</f>
        <v/>
      </c>
      <c r="H878" s="245">
        <f>IF(_PENDIENTES!$B$872&lt;&gt;"",_PENDIENTES!$H$872,"")</f>
        <v/>
      </c>
      <c r="I878" s="302">
        <f>IF(_PENDIENTES!$B$872&lt;&gt;"",_PENDIENTES!$I$872,"")</f>
        <v/>
      </c>
      <c r="J878" s="301">
        <f>IF(_PENDIENTES!$B$872&lt;&gt;"",_PENDIENTES!$J$872,"")</f>
        <v/>
      </c>
      <c r="K878" s="301">
        <f>IF(_PENDIENTES!$B$872&lt;&gt;"","POR RECOGER","")</f>
        <v/>
      </c>
      <c r="L878" s="301">
        <f>IF(_PENDIENTES!$B$872&lt;&gt;"",_PENDIENTES!$K$872,"")</f>
        <v/>
      </c>
      <c r="M878" s="284">
        <f>IF(_PENDIENTES!$B$872&lt;&gt;"",_PENDIENTES!$B$872,"")</f>
        <v/>
      </c>
      <c r="N878" s="304">
        <f>IF(_PENDIENTES!$B$872&lt;&gt;"",_PENDIENTES!$L$872,"")</f>
        <v/>
      </c>
      <c r="O878" s="284" t="n"/>
      <c r="P878" s="284" t="n"/>
      <c r="Q878" s="284" t="n"/>
      <c r="R878" s="284" t="n"/>
      <c r="S878" s="284" t="n"/>
    </row>
    <row r="879" hidden="1" ht="15.75" customHeight="1" s="195">
      <c r="A879" s="241">
        <f>IF(_PENDIENTES!$B$873&lt;&gt;"",872,"")</f>
        <v/>
      </c>
      <c r="B879" s="236">
        <f>IF(_PENDIENTES!$B$873&lt;&gt;"",_PENDIENTES!$A$873,"")</f>
        <v/>
      </c>
      <c r="C879" s="305">
        <f>IF(_PENDIENTES!$B$873&lt;&gt;"",_PENDIENTES!$C$873,"")</f>
        <v/>
      </c>
      <c r="D879" s="241">
        <f>IF(_PENDIENTES!$B$873&lt;&gt;"",_PENDIENTES!$D$873,"")</f>
        <v/>
      </c>
      <c r="E879" s="307">
        <f>IF(_PENDIENTES!$B$873&lt;&gt;"",_PENDIENTES!$E$873,"")</f>
        <v/>
      </c>
      <c r="F879" s="241">
        <f>IF(_PENDIENTES!$B$873&lt;&gt;"",_PENDIENTES!$F$873,"")</f>
        <v/>
      </c>
      <c r="G879" s="239">
        <f>IF(_PENDIENTES!$B$873&lt;&gt;"",_PENDIENTES!$G$873,"")</f>
        <v/>
      </c>
      <c r="H879" s="239">
        <f>IF(_PENDIENTES!$B$873&lt;&gt;"",_PENDIENTES!$H$873,"")</f>
        <v/>
      </c>
      <c r="I879" s="305">
        <f>IF(_PENDIENTES!$B$873&lt;&gt;"",_PENDIENTES!$I$873,"")</f>
        <v/>
      </c>
      <c r="J879" s="241">
        <f>IF(_PENDIENTES!$B$873&lt;&gt;"",_PENDIENTES!$J$873,"")</f>
        <v/>
      </c>
      <c r="K879" s="241">
        <f>IF(_PENDIENTES!$B$873&lt;&gt;"","POR RECOGER","")</f>
        <v/>
      </c>
      <c r="L879" s="241">
        <f>IF(_PENDIENTES!$B$873&lt;&gt;"",_PENDIENTES!$K$873,"")</f>
        <v/>
      </c>
      <c r="M879" s="284">
        <f>IF(_PENDIENTES!$B$873&lt;&gt;"",_PENDIENTES!$B$873,"")</f>
        <v/>
      </c>
      <c r="N879" s="304">
        <f>IF(_PENDIENTES!$B$873&lt;&gt;"",_PENDIENTES!$L$873,"")</f>
        <v/>
      </c>
      <c r="O879" s="284" t="n"/>
      <c r="P879" s="284" t="n"/>
      <c r="Q879" s="284" t="n"/>
      <c r="R879" s="284" t="n"/>
      <c r="S879" s="284" t="n"/>
    </row>
    <row r="880" hidden="1" ht="15.75" customHeight="1" s="195">
      <c r="A880" s="301">
        <f>IF(_PENDIENTES!$B$874&lt;&gt;"",873,"")</f>
        <v/>
      </c>
      <c r="B880" s="242">
        <f>IF(_PENDIENTES!$B$874&lt;&gt;"",_PENDIENTES!$A$874,"")</f>
        <v/>
      </c>
      <c r="C880" s="302">
        <f>IF(_PENDIENTES!$B$874&lt;&gt;"",_PENDIENTES!$C$874,"")</f>
        <v/>
      </c>
      <c r="D880" s="301">
        <f>IF(_PENDIENTES!$B$874&lt;&gt;"",_PENDIENTES!$D$874,"")</f>
        <v/>
      </c>
      <c r="E880" s="306">
        <f>IF(_PENDIENTES!$B$874&lt;&gt;"",_PENDIENTES!$E$874,"")</f>
        <v/>
      </c>
      <c r="F880" s="301">
        <f>IF(_PENDIENTES!$B$874&lt;&gt;"",_PENDIENTES!$F$874,"")</f>
        <v/>
      </c>
      <c r="G880" s="245">
        <f>IF(_PENDIENTES!$B$874&lt;&gt;"",_PENDIENTES!$G$874,"")</f>
        <v/>
      </c>
      <c r="H880" s="245">
        <f>IF(_PENDIENTES!$B$874&lt;&gt;"",_PENDIENTES!$H$874,"")</f>
        <v/>
      </c>
      <c r="I880" s="302">
        <f>IF(_PENDIENTES!$B$874&lt;&gt;"",_PENDIENTES!$I$874,"")</f>
        <v/>
      </c>
      <c r="J880" s="301">
        <f>IF(_PENDIENTES!$B$874&lt;&gt;"",_PENDIENTES!$J$874,"")</f>
        <v/>
      </c>
      <c r="K880" s="301">
        <f>IF(_PENDIENTES!$B$874&lt;&gt;"","POR RECOGER","")</f>
        <v/>
      </c>
      <c r="L880" s="301">
        <f>IF(_PENDIENTES!$B$874&lt;&gt;"",_PENDIENTES!$K$874,"")</f>
        <v/>
      </c>
      <c r="M880" s="284">
        <f>IF(_PENDIENTES!$B$874&lt;&gt;"",_PENDIENTES!$B$874,"")</f>
        <v/>
      </c>
      <c r="N880" s="304">
        <f>IF(_PENDIENTES!$B$874&lt;&gt;"",_PENDIENTES!$L$874,"")</f>
        <v/>
      </c>
      <c r="O880" s="284" t="n"/>
      <c r="P880" s="284" t="n"/>
      <c r="Q880" s="284" t="n"/>
      <c r="R880" s="284" t="n"/>
      <c r="S880" s="284" t="n"/>
    </row>
    <row r="881" hidden="1" ht="15.75" customHeight="1" s="195">
      <c r="A881" s="241">
        <f>IF(_PENDIENTES!$B$875&lt;&gt;"",874,"")</f>
        <v/>
      </c>
      <c r="B881" s="236">
        <f>IF(_PENDIENTES!$B$875&lt;&gt;"",_PENDIENTES!$A$875,"")</f>
        <v/>
      </c>
      <c r="C881" s="305">
        <f>IF(_PENDIENTES!$B$875&lt;&gt;"",_PENDIENTES!$C$875,"")</f>
        <v/>
      </c>
      <c r="D881" s="241">
        <f>IF(_PENDIENTES!$B$875&lt;&gt;"",_PENDIENTES!$D$875,"")</f>
        <v/>
      </c>
      <c r="E881" s="307">
        <f>IF(_PENDIENTES!$B$875&lt;&gt;"",_PENDIENTES!$E$875,"")</f>
        <v/>
      </c>
      <c r="F881" s="241">
        <f>IF(_PENDIENTES!$B$875&lt;&gt;"",_PENDIENTES!$F$875,"")</f>
        <v/>
      </c>
      <c r="G881" s="239">
        <f>IF(_PENDIENTES!$B$875&lt;&gt;"",_PENDIENTES!$G$875,"")</f>
        <v/>
      </c>
      <c r="H881" s="239">
        <f>IF(_PENDIENTES!$B$875&lt;&gt;"",_PENDIENTES!$H$875,"")</f>
        <v/>
      </c>
      <c r="I881" s="305">
        <f>IF(_PENDIENTES!$B$875&lt;&gt;"",_PENDIENTES!$I$875,"")</f>
        <v/>
      </c>
      <c r="J881" s="241">
        <f>IF(_PENDIENTES!$B$875&lt;&gt;"",_PENDIENTES!$J$875,"")</f>
        <v/>
      </c>
      <c r="K881" s="241">
        <f>IF(_PENDIENTES!$B$875&lt;&gt;"","POR RECOGER","")</f>
        <v/>
      </c>
      <c r="L881" s="241">
        <f>IF(_PENDIENTES!$B$875&lt;&gt;"",_PENDIENTES!$K$875,"")</f>
        <v/>
      </c>
      <c r="M881" s="284">
        <f>IF(_PENDIENTES!$B$875&lt;&gt;"",_PENDIENTES!$B$875,"")</f>
        <v/>
      </c>
      <c r="N881" s="304">
        <f>IF(_PENDIENTES!$B$875&lt;&gt;"",_PENDIENTES!$L$875,"")</f>
        <v/>
      </c>
      <c r="O881" s="284" t="n"/>
      <c r="P881" s="284" t="n"/>
      <c r="Q881" s="284" t="n"/>
      <c r="R881" s="284" t="n"/>
      <c r="S881" s="284" t="n"/>
    </row>
    <row r="882" hidden="1" ht="15.75" customHeight="1" s="195">
      <c r="A882" s="301">
        <f>IF(_PENDIENTES!$B$876&lt;&gt;"",875,"")</f>
        <v/>
      </c>
      <c r="B882" s="242">
        <f>IF(_PENDIENTES!$B$876&lt;&gt;"",_PENDIENTES!$A$876,"")</f>
        <v/>
      </c>
      <c r="C882" s="302">
        <f>IF(_PENDIENTES!$B$876&lt;&gt;"",_PENDIENTES!$C$876,"")</f>
        <v/>
      </c>
      <c r="D882" s="301">
        <f>IF(_PENDIENTES!$B$876&lt;&gt;"",_PENDIENTES!$D$876,"")</f>
        <v/>
      </c>
      <c r="E882" s="306">
        <f>IF(_PENDIENTES!$B$876&lt;&gt;"",_PENDIENTES!$E$876,"")</f>
        <v/>
      </c>
      <c r="F882" s="301">
        <f>IF(_PENDIENTES!$B$876&lt;&gt;"",_PENDIENTES!$F$876,"")</f>
        <v/>
      </c>
      <c r="G882" s="245">
        <f>IF(_PENDIENTES!$B$876&lt;&gt;"",_PENDIENTES!$G$876,"")</f>
        <v/>
      </c>
      <c r="H882" s="245">
        <f>IF(_PENDIENTES!$B$876&lt;&gt;"",_PENDIENTES!$H$876,"")</f>
        <v/>
      </c>
      <c r="I882" s="302">
        <f>IF(_PENDIENTES!$B$876&lt;&gt;"",_PENDIENTES!$I$876,"")</f>
        <v/>
      </c>
      <c r="J882" s="301">
        <f>IF(_PENDIENTES!$B$876&lt;&gt;"",_PENDIENTES!$J$876,"")</f>
        <v/>
      </c>
      <c r="K882" s="301">
        <f>IF(_PENDIENTES!$B$876&lt;&gt;"","POR RECOGER","")</f>
        <v/>
      </c>
      <c r="L882" s="301">
        <f>IF(_PENDIENTES!$B$876&lt;&gt;"",_PENDIENTES!$K$876,"")</f>
        <v/>
      </c>
      <c r="M882" s="284">
        <f>IF(_PENDIENTES!$B$876&lt;&gt;"",_PENDIENTES!$B$876,"")</f>
        <v/>
      </c>
      <c r="N882" s="304">
        <f>IF(_PENDIENTES!$B$876&lt;&gt;"",_PENDIENTES!$L$876,"")</f>
        <v/>
      </c>
      <c r="O882" s="284" t="n"/>
      <c r="P882" s="284" t="n"/>
      <c r="Q882" s="284" t="n"/>
      <c r="R882" s="284" t="n"/>
      <c r="S882" s="284" t="n"/>
    </row>
    <row r="883" hidden="1" ht="15.75" customHeight="1" s="195">
      <c r="A883" s="241">
        <f>IF(_PENDIENTES!$B$877&lt;&gt;"",876,"")</f>
        <v/>
      </c>
      <c r="B883" s="236">
        <f>IF(_PENDIENTES!$B$877&lt;&gt;"",_PENDIENTES!$A$877,"")</f>
        <v/>
      </c>
      <c r="C883" s="305">
        <f>IF(_PENDIENTES!$B$877&lt;&gt;"",_PENDIENTES!$C$877,"")</f>
        <v/>
      </c>
      <c r="D883" s="241">
        <f>IF(_PENDIENTES!$B$877&lt;&gt;"",_PENDIENTES!$D$877,"")</f>
        <v/>
      </c>
      <c r="E883" s="307">
        <f>IF(_PENDIENTES!$B$877&lt;&gt;"",_PENDIENTES!$E$877,"")</f>
        <v/>
      </c>
      <c r="F883" s="241">
        <f>IF(_PENDIENTES!$B$877&lt;&gt;"",_PENDIENTES!$F$877,"")</f>
        <v/>
      </c>
      <c r="G883" s="239">
        <f>IF(_PENDIENTES!$B$877&lt;&gt;"",_PENDIENTES!$G$877,"")</f>
        <v/>
      </c>
      <c r="H883" s="239">
        <f>IF(_PENDIENTES!$B$877&lt;&gt;"",_PENDIENTES!$H$877,"")</f>
        <v/>
      </c>
      <c r="I883" s="305">
        <f>IF(_PENDIENTES!$B$877&lt;&gt;"",_PENDIENTES!$I$877,"")</f>
        <v/>
      </c>
      <c r="J883" s="241">
        <f>IF(_PENDIENTES!$B$877&lt;&gt;"",_PENDIENTES!$J$877,"")</f>
        <v/>
      </c>
      <c r="K883" s="241">
        <f>IF(_PENDIENTES!$B$877&lt;&gt;"","POR RECOGER","")</f>
        <v/>
      </c>
      <c r="L883" s="241">
        <f>IF(_PENDIENTES!$B$877&lt;&gt;"",_PENDIENTES!$K$877,"")</f>
        <v/>
      </c>
      <c r="M883" s="284">
        <f>IF(_PENDIENTES!$B$877&lt;&gt;"",_PENDIENTES!$B$877,"")</f>
        <v/>
      </c>
      <c r="N883" s="304">
        <f>IF(_PENDIENTES!$B$877&lt;&gt;"",_PENDIENTES!$L$877,"")</f>
        <v/>
      </c>
      <c r="O883" s="284" t="n"/>
      <c r="P883" s="284" t="n"/>
      <c r="Q883" s="284" t="n"/>
      <c r="R883" s="284" t="n"/>
      <c r="S883" s="284" t="n"/>
    </row>
    <row r="884" hidden="1" ht="15.75" customHeight="1" s="195">
      <c r="A884" s="301">
        <f>IF(_PENDIENTES!$B$878&lt;&gt;"",877,"")</f>
        <v/>
      </c>
      <c r="B884" s="242">
        <f>IF(_PENDIENTES!$B$878&lt;&gt;"",_PENDIENTES!$A$878,"")</f>
        <v/>
      </c>
      <c r="C884" s="302">
        <f>IF(_PENDIENTES!$B$878&lt;&gt;"",_PENDIENTES!$C$878,"")</f>
        <v/>
      </c>
      <c r="D884" s="301">
        <f>IF(_PENDIENTES!$B$878&lt;&gt;"",_PENDIENTES!$D$878,"")</f>
        <v/>
      </c>
      <c r="E884" s="306">
        <f>IF(_PENDIENTES!$B$878&lt;&gt;"",_PENDIENTES!$E$878,"")</f>
        <v/>
      </c>
      <c r="F884" s="301">
        <f>IF(_PENDIENTES!$B$878&lt;&gt;"",_PENDIENTES!$F$878,"")</f>
        <v/>
      </c>
      <c r="G884" s="245">
        <f>IF(_PENDIENTES!$B$878&lt;&gt;"",_PENDIENTES!$G$878,"")</f>
        <v/>
      </c>
      <c r="H884" s="245">
        <f>IF(_PENDIENTES!$B$878&lt;&gt;"",_PENDIENTES!$H$878,"")</f>
        <v/>
      </c>
      <c r="I884" s="302">
        <f>IF(_PENDIENTES!$B$878&lt;&gt;"",_PENDIENTES!$I$878,"")</f>
        <v/>
      </c>
      <c r="J884" s="301">
        <f>IF(_PENDIENTES!$B$878&lt;&gt;"",_PENDIENTES!$J$878,"")</f>
        <v/>
      </c>
      <c r="K884" s="301">
        <f>IF(_PENDIENTES!$B$878&lt;&gt;"","POR RECOGER","")</f>
        <v/>
      </c>
      <c r="L884" s="301">
        <f>IF(_PENDIENTES!$B$878&lt;&gt;"",_PENDIENTES!$K$878,"")</f>
        <v/>
      </c>
      <c r="M884" s="284">
        <f>IF(_PENDIENTES!$B$878&lt;&gt;"",_PENDIENTES!$B$878,"")</f>
        <v/>
      </c>
      <c r="N884" s="304">
        <f>IF(_PENDIENTES!$B$878&lt;&gt;"",_PENDIENTES!$L$878,"")</f>
        <v/>
      </c>
      <c r="O884" s="284" t="n"/>
      <c r="P884" s="284" t="n"/>
      <c r="Q884" s="284" t="n"/>
      <c r="R884" s="284" t="n"/>
      <c r="S884" s="284" t="n"/>
    </row>
    <row r="885" hidden="1" ht="15.75" customHeight="1" s="195">
      <c r="A885" s="241">
        <f>IF(_PENDIENTES!$B$879&lt;&gt;"",878,"")</f>
        <v/>
      </c>
      <c r="B885" s="236">
        <f>IF(_PENDIENTES!$B$879&lt;&gt;"",_PENDIENTES!$A$879,"")</f>
        <v/>
      </c>
      <c r="C885" s="305">
        <f>IF(_PENDIENTES!$B$879&lt;&gt;"",_PENDIENTES!$C$879,"")</f>
        <v/>
      </c>
      <c r="D885" s="241">
        <f>IF(_PENDIENTES!$B$879&lt;&gt;"",_PENDIENTES!$D$879,"")</f>
        <v/>
      </c>
      <c r="E885" s="307">
        <f>IF(_PENDIENTES!$B$879&lt;&gt;"",_PENDIENTES!$E$879,"")</f>
        <v/>
      </c>
      <c r="F885" s="241">
        <f>IF(_PENDIENTES!$B$879&lt;&gt;"",_PENDIENTES!$F$879,"")</f>
        <v/>
      </c>
      <c r="G885" s="239">
        <f>IF(_PENDIENTES!$B$879&lt;&gt;"",_PENDIENTES!$G$879,"")</f>
        <v/>
      </c>
      <c r="H885" s="239">
        <f>IF(_PENDIENTES!$B$879&lt;&gt;"",_PENDIENTES!$H$879,"")</f>
        <v/>
      </c>
      <c r="I885" s="305">
        <f>IF(_PENDIENTES!$B$879&lt;&gt;"",_PENDIENTES!$I$879,"")</f>
        <v/>
      </c>
      <c r="J885" s="241">
        <f>IF(_PENDIENTES!$B$879&lt;&gt;"",_PENDIENTES!$J$879,"")</f>
        <v/>
      </c>
      <c r="K885" s="241">
        <f>IF(_PENDIENTES!$B$879&lt;&gt;"","POR RECOGER","")</f>
        <v/>
      </c>
      <c r="L885" s="241">
        <f>IF(_PENDIENTES!$B$879&lt;&gt;"",_PENDIENTES!$K$879,"")</f>
        <v/>
      </c>
      <c r="M885" s="284">
        <f>IF(_PENDIENTES!$B$879&lt;&gt;"",_PENDIENTES!$B$879,"")</f>
        <v/>
      </c>
      <c r="N885" s="304">
        <f>IF(_PENDIENTES!$B$879&lt;&gt;"",_PENDIENTES!$L$879,"")</f>
        <v/>
      </c>
      <c r="O885" s="284" t="n"/>
      <c r="P885" s="284" t="n"/>
      <c r="Q885" s="284" t="n"/>
      <c r="R885" s="284" t="n"/>
      <c r="S885" s="284" t="n"/>
    </row>
    <row r="886" hidden="1" ht="15.75" customHeight="1" s="195">
      <c r="A886" s="301">
        <f>IF(_PENDIENTES!$B$880&lt;&gt;"",879,"")</f>
        <v/>
      </c>
      <c r="B886" s="242">
        <f>IF(_PENDIENTES!$B$880&lt;&gt;"",_PENDIENTES!$A$880,"")</f>
        <v/>
      </c>
      <c r="C886" s="302">
        <f>IF(_PENDIENTES!$B$880&lt;&gt;"",_PENDIENTES!$C$880,"")</f>
        <v/>
      </c>
      <c r="D886" s="301">
        <f>IF(_PENDIENTES!$B$880&lt;&gt;"",_PENDIENTES!$D$880,"")</f>
        <v/>
      </c>
      <c r="E886" s="306">
        <f>IF(_PENDIENTES!$B$880&lt;&gt;"",_PENDIENTES!$E$880,"")</f>
        <v/>
      </c>
      <c r="F886" s="301">
        <f>IF(_PENDIENTES!$B$880&lt;&gt;"",_PENDIENTES!$F$880,"")</f>
        <v/>
      </c>
      <c r="G886" s="245">
        <f>IF(_PENDIENTES!$B$880&lt;&gt;"",_PENDIENTES!$G$880,"")</f>
        <v/>
      </c>
      <c r="H886" s="245">
        <f>IF(_PENDIENTES!$B$880&lt;&gt;"",_PENDIENTES!$H$880,"")</f>
        <v/>
      </c>
      <c r="I886" s="302">
        <f>IF(_PENDIENTES!$B$880&lt;&gt;"",_PENDIENTES!$I$880,"")</f>
        <v/>
      </c>
      <c r="J886" s="301">
        <f>IF(_PENDIENTES!$B$880&lt;&gt;"",_PENDIENTES!$J$880,"")</f>
        <v/>
      </c>
      <c r="K886" s="301">
        <f>IF(_PENDIENTES!$B$880&lt;&gt;"","POR RECOGER","")</f>
        <v/>
      </c>
      <c r="L886" s="301">
        <f>IF(_PENDIENTES!$B$880&lt;&gt;"",_PENDIENTES!$K$880,"")</f>
        <v/>
      </c>
      <c r="M886" s="284">
        <f>IF(_PENDIENTES!$B$880&lt;&gt;"",_PENDIENTES!$B$880,"")</f>
        <v/>
      </c>
      <c r="N886" s="304">
        <f>IF(_PENDIENTES!$B$880&lt;&gt;"",_PENDIENTES!$L$880,"")</f>
        <v/>
      </c>
      <c r="O886" s="284" t="n"/>
      <c r="P886" s="284" t="n"/>
      <c r="Q886" s="284" t="n"/>
      <c r="R886" s="284" t="n"/>
      <c r="S886" s="284" t="n"/>
    </row>
    <row r="887" hidden="1" ht="15.75" customHeight="1" s="195">
      <c r="A887" s="241">
        <f>IF(_PENDIENTES!$B$881&lt;&gt;"",880,"")</f>
        <v/>
      </c>
      <c r="B887" s="236">
        <f>IF(_PENDIENTES!$B$881&lt;&gt;"",_PENDIENTES!$A$881,"")</f>
        <v/>
      </c>
      <c r="C887" s="305">
        <f>IF(_PENDIENTES!$B$881&lt;&gt;"",_PENDIENTES!$C$881,"")</f>
        <v/>
      </c>
      <c r="D887" s="241">
        <f>IF(_PENDIENTES!$B$881&lt;&gt;"",_PENDIENTES!$D$881,"")</f>
        <v/>
      </c>
      <c r="E887" s="307">
        <f>IF(_PENDIENTES!$B$881&lt;&gt;"",_PENDIENTES!$E$881,"")</f>
        <v/>
      </c>
      <c r="F887" s="241">
        <f>IF(_PENDIENTES!$B$881&lt;&gt;"",_PENDIENTES!$F$881,"")</f>
        <v/>
      </c>
      <c r="G887" s="239">
        <f>IF(_PENDIENTES!$B$881&lt;&gt;"",_PENDIENTES!$G$881,"")</f>
        <v/>
      </c>
      <c r="H887" s="239">
        <f>IF(_PENDIENTES!$B$881&lt;&gt;"",_PENDIENTES!$H$881,"")</f>
        <v/>
      </c>
      <c r="I887" s="305">
        <f>IF(_PENDIENTES!$B$881&lt;&gt;"",_PENDIENTES!$I$881,"")</f>
        <v/>
      </c>
      <c r="J887" s="241">
        <f>IF(_PENDIENTES!$B$881&lt;&gt;"",_PENDIENTES!$J$881,"")</f>
        <v/>
      </c>
      <c r="K887" s="241">
        <f>IF(_PENDIENTES!$B$881&lt;&gt;"","POR RECOGER","")</f>
        <v/>
      </c>
      <c r="L887" s="241">
        <f>IF(_PENDIENTES!$B$881&lt;&gt;"",_PENDIENTES!$K$881,"")</f>
        <v/>
      </c>
      <c r="M887" s="284">
        <f>IF(_PENDIENTES!$B$881&lt;&gt;"",_PENDIENTES!$B$881,"")</f>
        <v/>
      </c>
      <c r="N887" s="304">
        <f>IF(_PENDIENTES!$B$881&lt;&gt;"",_PENDIENTES!$L$881,"")</f>
        <v/>
      </c>
      <c r="O887" s="284" t="n"/>
      <c r="P887" s="284" t="n"/>
      <c r="Q887" s="284" t="n"/>
      <c r="R887" s="284" t="n"/>
      <c r="S887" s="284" t="n"/>
    </row>
    <row r="888" hidden="1" ht="15.75" customHeight="1" s="195">
      <c r="A888" s="301">
        <f>IF(_PENDIENTES!$B$882&lt;&gt;"",881,"")</f>
        <v/>
      </c>
      <c r="B888" s="242">
        <f>IF(_PENDIENTES!$B$882&lt;&gt;"",_PENDIENTES!$A$882,"")</f>
        <v/>
      </c>
      <c r="C888" s="302">
        <f>IF(_PENDIENTES!$B$882&lt;&gt;"",_PENDIENTES!$C$882,"")</f>
        <v/>
      </c>
      <c r="D888" s="301">
        <f>IF(_PENDIENTES!$B$882&lt;&gt;"",_PENDIENTES!$D$882,"")</f>
        <v/>
      </c>
      <c r="E888" s="306">
        <f>IF(_PENDIENTES!$B$882&lt;&gt;"",_PENDIENTES!$E$882,"")</f>
        <v/>
      </c>
      <c r="F888" s="301">
        <f>IF(_PENDIENTES!$B$882&lt;&gt;"",_PENDIENTES!$F$882,"")</f>
        <v/>
      </c>
      <c r="G888" s="245">
        <f>IF(_PENDIENTES!$B$882&lt;&gt;"",_PENDIENTES!$G$882,"")</f>
        <v/>
      </c>
      <c r="H888" s="245">
        <f>IF(_PENDIENTES!$B$882&lt;&gt;"",_PENDIENTES!$H$882,"")</f>
        <v/>
      </c>
      <c r="I888" s="302">
        <f>IF(_PENDIENTES!$B$882&lt;&gt;"",_PENDIENTES!$I$882,"")</f>
        <v/>
      </c>
      <c r="J888" s="301">
        <f>IF(_PENDIENTES!$B$882&lt;&gt;"",_PENDIENTES!$J$882,"")</f>
        <v/>
      </c>
      <c r="K888" s="301">
        <f>IF(_PENDIENTES!$B$882&lt;&gt;"","POR RECOGER","")</f>
        <v/>
      </c>
      <c r="L888" s="301">
        <f>IF(_PENDIENTES!$B$882&lt;&gt;"",_PENDIENTES!$K$882,"")</f>
        <v/>
      </c>
      <c r="M888" s="284">
        <f>IF(_PENDIENTES!$B$882&lt;&gt;"",_PENDIENTES!$B$882,"")</f>
        <v/>
      </c>
      <c r="N888" s="304">
        <f>IF(_PENDIENTES!$B$882&lt;&gt;"",_PENDIENTES!$L$882,"")</f>
        <v/>
      </c>
      <c r="O888" s="284" t="n"/>
      <c r="P888" s="284" t="n"/>
      <c r="Q888" s="284" t="n"/>
      <c r="R888" s="284" t="n"/>
      <c r="S888" s="284" t="n"/>
    </row>
    <row r="889" hidden="1" ht="15.75" customHeight="1" s="195">
      <c r="A889" s="241">
        <f>IF(_PENDIENTES!$B$883&lt;&gt;"",882,"")</f>
        <v/>
      </c>
      <c r="B889" s="236">
        <f>IF(_PENDIENTES!$B$883&lt;&gt;"",_PENDIENTES!$A$883,"")</f>
        <v/>
      </c>
      <c r="C889" s="305">
        <f>IF(_PENDIENTES!$B$883&lt;&gt;"",_PENDIENTES!$C$883,"")</f>
        <v/>
      </c>
      <c r="D889" s="241">
        <f>IF(_PENDIENTES!$B$883&lt;&gt;"",_PENDIENTES!$D$883,"")</f>
        <v/>
      </c>
      <c r="E889" s="307">
        <f>IF(_PENDIENTES!$B$883&lt;&gt;"",_PENDIENTES!$E$883,"")</f>
        <v/>
      </c>
      <c r="F889" s="241">
        <f>IF(_PENDIENTES!$B$883&lt;&gt;"",_PENDIENTES!$F$883,"")</f>
        <v/>
      </c>
      <c r="G889" s="239">
        <f>IF(_PENDIENTES!$B$883&lt;&gt;"",_PENDIENTES!$G$883,"")</f>
        <v/>
      </c>
      <c r="H889" s="239">
        <f>IF(_PENDIENTES!$B$883&lt;&gt;"",_PENDIENTES!$H$883,"")</f>
        <v/>
      </c>
      <c r="I889" s="305">
        <f>IF(_PENDIENTES!$B$883&lt;&gt;"",_PENDIENTES!$I$883,"")</f>
        <v/>
      </c>
      <c r="J889" s="241">
        <f>IF(_PENDIENTES!$B$883&lt;&gt;"",_PENDIENTES!$J$883,"")</f>
        <v/>
      </c>
      <c r="K889" s="241">
        <f>IF(_PENDIENTES!$B$883&lt;&gt;"","POR RECOGER","")</f>
        <v/>
      </c>
      <c r="L889" s="241">
        <f>IF(_PENDIENTES!$B$883&lt;&gt;"",_PENDIENTES!$K$883,"")</f>
        <v/>
      </c>
      <c r="M889" s="284">
        <f>IF(_PENDIENTES!$B$883&lt;&gt;"",_PENDIENTES!$B$883,"")</f>
        <v/>
      </c>
      <c r="N889" s="304">
        <f>IF(_PENDIENTES!$B$883&lt;&gt;"",_PENDIENTES!$L$883,"")</f>
        <v/>
      </c>
      <c r="O889" s="284" t="n"/>
      <c r="P889" s="284" t="n"/>
      <c r="Q889" s="284" t="n"/>
      <c r="R889" s="284" t="n"/>
      <c r="S889" s="284" t="n"/>
    </row>
    <row r="890" hidden="1" ht="15.75" customHeight="1" s="195">
      <c r="A890" s="301">
        <f>IF(_PENDIENTES!$B$884&lt;&gt;"",883,"")</f>
        <v/>
      </c>
      <c r="B890" s="242">
        <f>IF(_PENDIENTES!$B$884&lt;&gt;"",_PENDIENTES!$A$884,"")</f>
        <v/>
      </c>
      <c r="C890" s="302">
        <f>IF(_PENDIENTES!$B$884&lt;&gt;"",_PENDIENTES!$C$884,"")</f>
        <v/>
      </c>
      <c r="D890" s="301">
        <f>IF(_PENDIENTES!$B$884&lt;&gt;"",_PENDIENTES!$D$884,"")</f>
        <v/>
      </c>
      <c r="E890" s="306">
        <f>IF(_PENDIENTES!$B$884&lt;&gt;"",_PENDIENTES!$E$884,"")</f>
        <v/>
      </c>
      <c r="F890" s="301">
        <f>IF(_PENDIENTES!$B$884&lt;&gt;"",_PENDIENTES!$F$884,"")</f>
        <v/>
      </c>
      <c r="G890" s="245">
        <f>IF(_PENDIENTES!$B$884&lt;&gt;"",_PENDIENTES!$G$884,"")</f>
        <v/>
      </c>
      <c r="H890" s="245">
        <f>IF(_PENDIENTES!$B$884&lt;&gt;"",_PENDIENTES!$H$884,"")</f>
        <v/>
      </c>
      <c r="I890" s="302">
        <f>IF(_PENDIENTES!$B$884&lt;&gt;"",_PENDIENTES!$I$884,"")</f>
        <v/>
      </c>
      <c r="J890" s="301">
        <f>IF(_PENDIENTES!$B$884&lt;&gt;"",_PENDIENTES!$J$884,"")</f>
        <v/>
      </c>
      <c r="K890" s="301">
        <f>IF(_PENDIENTES!$B$884&lt;&gt;"","POR RECOGER","")</f>
        <v/>
      </c>
      <c r="L890" s="301">
        <f>IF(_PENDIENTES!$B$884&lt;&gt;"",_PENDIENTES!$K$884,"")</f>
        <v/>
      </c>
      <c r="M890" s="284">
        <f>IF(_PENDIENTES!$B$884&lt;&gt;"",_PENDIENTES!$B$884,"")</f>
        <v/>
      </c>
      <c r="N890" s="304">
        <f>IF(_PENDIENTES!$B$884&lt;&gt;"",_PENDIENTES!$L$884,"")</f>
        <v/>
      </c>
      <c r="O890" s="284" t="n"/>
      <c r="P890" s="284" t="n"/>
      <c r="Q890" s="284" t="n"/>
      <c r="R890" s="284" t="n"/>
      <c r="S890" s="284" t="n"/>
    </row>
    <row r="891" hidden="1" ht="15.75" customHeight="1" s="195">
      <c r="A891" s="241">
        <f>IF(_PENDIENTES!$B$885&lt;&gt;"",884,"")</f>
        <v/>
      </c>
      <c r="B891" s="236">
        <f>IF(_PENDIENTES!$B$885&lt;&gt;"",_PENDIENTES!$A$885,"")</f>
        <v/>
      </c>
      <c r="C891" s="305">
        <f>IF(_PENDIENTES!$B$885&lt;&gt;"",_PENDIENTES!$C$885,"")</f>
        <v/>
      </c>
      <c r="D891" s="241">
        <f>IF(_PENDIENTES!$B$885&lt;&gt;"",_PENDIENTES!$D$885,"")</f>
        <v/>
      </c>
      <c r="E891" s="307">
        <f>IF(_PENDIENTES!$B$885&lt;&gt;"",_PENDIENTES!$E$885,"")</f>
        <v/>
      </c>
      <c r="F891" s="241">
        <f>IF(_PENDIENTES!$B$885&lt;&gt;"",_PENDIENTES!$F$885,"")</f>
        <v/>
      </c>
      <c r="G891" s="239">
        <f>IF(_PENDIENTES!$B$885&lt;&gt;"",_PENDIENTES!$G$885,"")</f>
        <v/>
      </c>
      <c r="H891" s="239">
        <f>IF(_PENDIENTES!$B$885&lt;&gt;"",_PENDIENTES!$H$885,"")</f>
        <v/>
      </c>
      <c r="I891" s="305">
        <f>IF(_PENDIENTES!$B$885&lt;&gt;"",_PENDIENTES!$I$885,"")</f>
        <v/>
      </c>
      <c r="J891" s="241">
        <f>IF(_PENDIENTES!$B$885&lt;&gt;"",_PENDIENTES!$J$885,"")</f>
        <v/>
      </c>
      <c r="K891" s="241">
        <f>IF(_PENDIENTES!$B$885&lt;&gt;"","POR RECOGER","")</f>
        <v/>
      </c>
      <c r="L891" s="241">
        <f>IF(_PENDIENTES!$B$885&lt;&gt;"",_PENDIENTES!$K$885,"")</f>
        <v/>
      </c>
      <c r="M891" s="284">
        <f>IF(_PENDIENTES!$B$885&lt;&gt;"",_PENDIENTES!$B$885,"")</f>
        <v/>
      </c>
      <c r="N891" s="304">
        <f>IF(_PENDIENTES!$B$885&lt;&gt;"",_PENDIENTES!$L$885,"")</f>
        <v/>
      </c>
      <c r="O891" s="284" t="n"/>
      <c r="P891" s="284" t="n"/>
      <c r="Q891" s="284" t="n"/>
      <c r="R891" s="284" t="n"/>
      <c r="S891" s="284" t="n"/>
    </row>
    <row r="892" hidden="1" ht="15.75" customHeight="1" s="195">
      <c r="A892" s="301">
        <f>IF(_PENDIENTES!$B$886&lt;&gt;"",885,"")</f>
        <v/>
      </c>
      <c r="B892" s="242">
        <f>IF(_PENDIENTES!$B$886&lt;&gt;"",_PENDIENTES!$A$886,"")</f>
        <v/>
      </c>
      <c r="C892" s="302">
        <f>IF(_PENDIENTES!$B$886&lt;&gt;"",_PENDIENTES!$C$886,"")</f>
        <v/>
      </c>
      <c r="D892" s="301">
        <f>IF(_PENDIENTES!$B$886&lt;&gt;"",_PENDIENTES!$D$886,"")</f>
        <v/>
      </c>
      <c r="E892" s="306">
        <f>IF(_PENDIENTES!$B$886&lt;&gt;"",_PENDIENTES!$E$886,"")</f>
        <v/>
      </c>
      <c r="F892" s="301">
        <f>IF(_PENDIENTES!$B$886&lt;&gt;"",_PENDIENTES!$F$886,"")</f>
        <v/>
      </c>
      <c r="G892" s="245">
        <f>IF(_PENDIENTES!$B$886&lt;&gt;"",_PENDIENTES!$G$886,"")</f>
        <v/>
      </c>
      <c r="H892" s="245">
        <f>IF(_PENDIENTES!$B$886&lt;&gt;"",_PENDIENTES!$H$886,"")</f>
        <v/>
      </c>
      <c r="I892" s="302">
        <f>IF(_PENDIENTES!$B$886&lt;&gt;"",_PENDIENTES!$I$886,"")</f>
        <v/>
      </c>
      <c r="J892" s="301">
        <f>IF(_PENDIENTES!$B$886&lt;&gt;"",_PENDIENTES!$J$886,"")</f>
        <v/>
      </c>
      <c r="K892" s="301">
        <f>IF(_PENDIENTES!$B$886&lt;&gt;"","POR RECOGER","")</f>
        <v/>
      </c>
      <c r="L892" s="301">
        <f>IF(_PENDIENTES!$B$886&lt;&gt;"",_PENDIENTES!$K$886,"")</f>
        <v/>
      </c>
      <c r="M892" s="284">
        <f>IF(_PENDIENTES!$B$886&lt;&gt;"",_PENDIENTES!$B$886,"")</f>
        <v/>
      </c>
      <c r="N892" s="304">
        <f>IF(_PENDIENTES!$B$886&lt;&gt;"",_PENDIENTES!$L$886,"")</f>
        <v/>
      </c>
      <c r="O892" s="284" t="n"/>
      <c r="P892" s="284" t="n"/>
      <c r="Q892" s="284" t="n"/>
      <c r="R892" s="284" t="n"/>
      <c r="S892" s="284" t="n"/>
    </row>
    <row r="893" hidden="1" ht="15.75" customHeight="1" s="195">
      <c r="A893" s="241">
        <f>IF(_PENDIENTES!$B$887&lt;&gt;"",886,"")</f>
        <v/>
      </c>
      <c r="B893" s="236">
        <f>IF(_PENDIENTES!$B$887&lt;&gt;"",_PENDIENTES!$A$887,"")</f>
        <v/>
      </c>
      <c r="C893" s="305">
        <f>IF(_PENDIENTES!$B$887&lt;&gt;"",_PENDIENTES!$C$887,"")</f>
        <v/>
      </c>
      <c r="D893" s="241">
        <f>IF(_PENDIENTES!$B$887&lt;&gt;"",_PENDIENTES!$D$887,"")</f>
        <v/>
      </c>
      <c r="E893" s="307">
        <f>IF(_PENDIENTES!$B$887&lt;&gt;"",_PENDIENTES!$E$887,"")</f>
        <v/>
      </c>
      <c r="F893" s="241">
        <f>IF(_PENDIENTES!$B$887&lt;&gt;"",_PENDIENTES!$F$887,"")</f>
        <v/>
      </c>
      <c r="G893" s="239">
        <f>IF(_PENDIENTES!$B$887&lt;&gt;"",_PENDIENTES!$G$887,"")</f>
        <v/>
      </c>
      <c r="H893" s="239">
        <f>IF(_PENDIENTES!$B$887&lt;&gt;"",_PENDIENTES!$H$887,"")</f>
        <v/>
      </c>
      <c r="I893" s="305">
        <f>IF(_PENDIENTES!$B$887&lt;&gt;"",_PENDIENTES!$I$887,"")</f>
        <v/>
      </c>
      <c r="J893" s="241">
        <f>IF(_PENDIENTES!$B$887&lt;&gt;"",_PENDIENTES!$J$887,"")</f>
        <v/>
      </c>
      <c r="K893" s="241">
        <f>IF(_PENDIENTES!$B$887&lt;&gt;"","POR RECOGER","")</f>
        <v/>
      </c>
      <c r="L893" s="241">
        <f>IF(_PENDIENTES!$B$887&lt;&gt;"",_PENDIENTES!$K$887,"")</f>
        <v/>
      </c>
      <c r="M893" s="284">
        <f>IF(_PENDIENTES!$B$887&lt;&gt;"",_PENDIENTES!$B$887,"")</f>
        <v/>
      </c>
      <c r="N893" s="304">
        <f>IF(_PENDIENTES!$B$887&lt;&gt;"",_PENDIENTES!$L$887,"")</f>
        <v/>
      </c>
      <c r="O893" s="284" t="n"/>
      <c r="P893" s="284" t="n"/>
      <c r="Q893" s="284" t="n"/>
      <c r="R893" s="284" t="n"/>
      <c r="S893" s="284" t="n"/>
    </row>
    <row r="894" hidden="1" ht="15.75" customHeight="1" s="195">
      <c r="A894" s="301">
        <f>IF(_PENDIENTES!$B$888&lt;&gt;"",887,"")</f>
        <v/>
      </c>
      <c r="B894" s="242">
        <f>IF(_PENDIENTES!$B$888&lt;&gt;"",_PENDIENTES!$A$888,"")</f>
        <v/>
      </c>
      <c r="C894" s="302">
        <f>IF(_PENDIENTES!$B$888&lt;&gt;"",_PENDIENTES!$C$888,"")</f>
        <v/>
      </c>
      <c r="D894" s="301">
        <f>IF(_PENDIENTES!$B$888&lt;&gt;"",_PENDIENTES!$D$888,"")</f>
        <v/>
      </c>
      <c r="E894" s="306">
        <f>IF(_PENDIENTES!$B$888&lt;&gt;"",_PENDIENTES!$E$888,"")</f>
        <v/>
      </c>
      <c r="F894" s="301">
        <f>IF(_PENDIENTES!$B$888&lt;&gt;"",_PENDIENTES!$F$888,"")</f>
        <v/>
      </c>
      <c r="G894" s="245">
        <f>IF(_PENDIENTES!$B$888&lt;&gt;"",_PENDIENTES!$G$888,"")</f>
        <v/>
      </c>
      <c r="H894" s="245">
        <f>IF(_PENDIENTES!$B$888&lt;&gt;"",_PENDIENTES!$H$888,"")</f>
        <v/>
      </c>
      <c r="I894" s="302">
        <f>IF(_PENDIENTES!$B$888&lt;&gt;"",_PENDIENTES!$I$888,"")</f>
        <v/>
      </c>
      <c r="J894" s="301">
        <f>IF(_PENDIENTES!$B$888&lt;&gt;"",_PENDIENTES!$J$888,"")</f>
        <v/>
      </c>
      <c r="K894" s="301">
        <f>IF(_PENDIENTES!$B$888&lt;&gt;"","POR RECOGER","")</f>
        <v/>
      </c>
      <c r="L894" s="301">
        <f>IF(_PENDIENTES!$B$888&lt;&gt;"",_PENDIENTES!$K$888,"")</f>
        <v/>
      </c>
      <c r="M894" s="284">
        <f>IF(_PENDIENTES!$B$888&lt;&gt;"",_PENDIENTES!$B$888,"")</f>
        <v/>
      </c>
      <c r="N894" s="304">
        <f>IF(_PENDIENTES!$B$888&lt;&gt;"",_PENDIENTES!$L$888,"")</f>
        <v/>
      </c>
      <c r="O894" s="284" t="n"/>
      <c r="P894" s="284" t="n"/>
      <c r="Q894" s="284" t="n"/>
      <c r="R894" s="284" t="n"/>
      <c r="S894" s="284" t="n"/>
    </row>
    <row r="895" hidden="1" ht="15.75" customHeight="1" s="195">
      <c r="A895" s="241">
        <f>IF(_PENDIENTES!$B$889&lt;&gt;"",888,"")</f>
        <v/>
      </c>
      <c r="B895" s="236">
        <f>IF(_PENDIENTES!$B$889&lt;&gt;"",_PENDIENTES!$A$889,"")</f>
        <v/>
      </c>
      <c r="C895" s="305">
        <f>IF(_PENDIENTES!$B$889&lt;&gt;"",_PENDIENTES!$C$889,"")</f>
        <v/>
      </c>
      <c r="D895" s="241">
        <f>IF(_PENDIENTES!$B$889&lt;&gt;"",_PENDIENTES!$D$889,"")</f>
        <v/>
      </c>
      <c r="E895" s="307">
        <f>IF(_PENDIENTES!$B$889&lt;&gt;"",_PENDIENTES!$E$889,"")</f>
        <v/>
      </c>
      <c r="F895" s="241">
        <f>IF(_PENDIENTES!$B$889&lt;&gt;"",_PENDIENTES!$F$889,"")</f>
        <v/>
      </c>
      <c r="G895" s="239">
        <f>IF(_PENDIENTES!$B$889&lt;&gt;"",_PENDIENTES!$G$889,"")</f>
        <v/>
      </c>
      <c r="H895" s="239">
        <f>IF(_PENDIENTES!$B$889&lt;&gt;"",_PENDIENTES!$H$889,"")</f>
        <v/>
      </c>
      <c r="I895" s="305">
        <f>IF(_PENDIENTES!$B$889&lt;&gt;"",_PENDIENTES!$I$889,"")</f>
        <v/>
      </c>
      <c r="J895" s="241">
        <f>IF(_PENDIENTES!$B$889&lt;&gt;"",_PENDIENTES!$J$889,"")</f>
        <v/>
      </c>
      <c r="K895" s="241">
        <f>IF(_PENDIENTES!$B$889&lt;&gt;"","POR RECOGER","")</f>
        <v/>
      </c>
      <c r="L895" s="241">
        <f>IF(_PENDIENTES!$B$889&lt;&gt;"",_PENDIENTES!$K$889,"")</f>
        <v/>
      </c>
      <c r="M895" s="284">
        <f>IF(_PENDIENTES!$B$889&lt;&gt;"",_PENDIENTES!$B$889,"")</f>
        <v/>
      </c>
      <c r="N895" s="304">
        <f>IF(_PENDIENTES!$B$889&lt;&gt;"",_PENDIENTES!$L$889,"")</f>
        <v/>
      </c>
      <c r="O895" s="284" t="n"/>
      <c r="P895" s="284" t="n"/>
      <c r="Q895" s="284" t="n"/>
      <c r="R895" s="284" t="n"/>
      <c r="S895" s="284" t="n"/>
    </row>
    <row r="896" hidden="1" ht="15.75" customHeight="1" s="195">
      <c r="A896" s="301">
        <f>IF(_PENDIENTES!$B$890&lt;&gt;"",889,"")</f>
        <v/>
      </c>
      <c r="B896" s="242">
        <f>IF(_PENDIENTES!$B$890&lt;&gt;"",_PENDIENTES!$A$890,"")</f>
        <v/>
      </c>
      <c r="C896" s="302">
        <f>IF(_PENDIENTES!$B$890&lt;&gt;"",_PENDIENTES!$C$890,"")</f>
        <v/>
      </c>
      <c r="D896" s="301">
        <f>IF(_PENDIENTES!$B$890&lt;&gt;"",_PENDIENTES!$D$890,"")</f>
        <v/>
      </c>
      <c r="E896" s="306">
        <f>IF(_PENDIENTES!$B$890&lt;&gt;"",_PENDIENTES!$E$890,"")</f>
        <v/>
      </c>
      <c r="F896" s="301">
        <f>IF(_PENDIENTES!$B$890&lt;&gt;"",_PENDIENTES!$F$890,"")</f>
        <v/>
      </c>
      <c r="G896" s="245">
        <f>IF(_PENDIENTES!$B$890&lt;&gt;"",_PENDIENTES!$G$890,"")</f>
        <v/>
      </c>
      <c r="H896" s="245">
        <f>IF(_PENDIENTES!$B$890&lt;&gt;"",_PENDIENTES!$H$890,"")</f>
        <v/>
      </c>
      <c r="I896" s="302">
        <f>IF(_PENDIENTES!$B$890&lt;&gt;"",_PENDIENTES!$I$890,"")</f>
        <v/>
      </c>
      <c r="J896" s="301">
        <f>IF(_PENDIENTES!$B$890&lt;&gt;"",_PENDIENTES!$J$890,"")</f>
        <v/>
      </c>
      <c r="K896" s="301">
        <f>IF(_PENDIENTES!$B$890&lt;&gt;"","POR RECOGER","")</f>
        <v/>
      </c>
      <c r="L896" s="301">
        <f>IF(_PENDIENTES!$B$890&lt;&gt;"",_PENDIENTES!$K$890,"")</f>
        <v/>
      </c>
      <c r="M896" s="284">
        <f>IF(_PENDIENTES!$B$890&lt;&gt;"",_PENDIENTES!$B$890,"")</f>
        <v/>
      </c>
      <c r="N896" s="304">
        <f>IF(_PENDIENTES!$B$890&lt;&gt;"",_PENDIENTES!$L$890,"")</f>
        <v/>
      </c>
      <c r="O896" s="284" t="n"/>
      <c r="P896" s="284" t="n"/>
      <c r="Q896" s="284" t="n"/>
      <c r="R896" s="284" t="n"/>
      <c r="S896" s="284" t="n"/>
    </row>
    <row r="897" hidden="1" ht="15.75" customHeight="1" s="195">
      <c r="A897" s="241">
        <f>IF(_PENDIENTES!$B$891&lt;&gt;"",890,"")</f>
        <v/>
      </c>
      <c r="B897" s="236">
        <f>IF(_PENDIENTES!$B$891&lt;&gt;"",_PENDIENTES!$A$891,"")</f>
        <v/>
      </c>
      <c r="C897" s="305">
        <f>IF(_PENDIENTES!$B$891&lt;&gt;"",_PENDIENTES!$C$891,"")</f>
        <v/>
      </c>
      <c r="D897" s="241">
        <f>IF(_PENDIENTES!$B$891&lt;&gt;"",_PENDIENTES!$D$891,"")</f>
        <v/>
      </c>
      <c r="E897" s="241">
        <f>IF(_PENDIENTES!$B$891&lt;&gt;"",_PENDIENTES!$E$891,"")</f>
        <v/>
      </c>
      <c r="F897" s="241">
        <f>IF(_PENDIENTES!$B$891&lt;&gt;"",_PENDIENTES!$F$891,"")</f>
        <v/>
      </c>
      <c r="G897" s="239">
        <f>IF(_PENDIENTES!$B$891&lt;&gt;"",_PENDIENTES!$G$891,"")</f>
        <v/>
      </c>
      <c r="H897" s="239">
        <f>IF(_PENDIENTES!$B$891&lt;&gt;"",_PENDIENTES!$H$891,"")</f>
        <v/>
      </c>
      <c r="I897" s="305">
        <f>IF(_PENDIENTES!$B$891&lt;&gt;"",_PENDIENTES!$I$891,"")</f>
        <v/>
      </c>
      <c r="J897" s="241">
        <f>IF(_PENDIENTES!$B$891&lt;&gt;"",_PENDIENTES!$J$891,"")</f>
        <v/>
      </c>
      <c r="K897" s="241">
        <f>IF(_PENDIENTES!$B$891&lt;&gt;"","POR RECOGER","")</f>
        <v/>
      </c>
      <c r="L897" s="241">
        <f>IF(_PENDIENTES!$B$891&lt;&gt;"",_PENDIENTES!$K$891,"")</f>
        <v/>
      </c>
      <c r="M897" s="284">
        <f>IF(_PENDIENTES!$B$891&lt;&gt;"",_PENDIENTES!$B$891,"")</f>
        <v/>
      </c>
      <c r="N897" s="304">
        <f>IF(_PENDIENTES!$B$891&lt;&gt;"",_PENDIENTES!$L$891,"")</f>
        <v/>
      </c>
      <c r="O897" s="284" t="n"/>
      <c r="P897" s="284" t="n"/>
      <c r="Q897" s="284" t="n"/>
      <c r="R897" s="284" t="n"/>
      <c r="S897" s="284" t="n"/>
    </row>
    <row r="898" hidden="1" ht="15.75" customHeight="1" s="195">
      <c r="A898" s="301">
        <f>IF(_PENDIENTES!$B$892&lt;&gt;"",891,"")</f>
        <v/>
      </c>
      <c r="B898" s="242">
        <f>IF(_PENDIENTES!$B$892&lt;&gt;"",_PENDIENTES!$A$892,"")</f>
        <v/>
      </c>
      <c r="C898" s="302">
        <f>IF(_PENDIENTES!$B$892&lt;&gt;"",_PENDIENTES!$C$892,"")</f>
        <v/>
      </c>
      <c r="D898" s="301">
        <f>IF(_PENDIENTES!$B$892&lt;&gt;"",_PENDIENTES!$D$892,"")</f>
        <v/>
      </c>
      <c r="E898" s="306">
        <f>IF(_PENDIENTES!$B$892&lt;&gt;"",_PENDIENTES!$E$892,"")</f>
        <v/>
      </c>
      <c r="F898" s="301">
        <f>IF(_PENDIENTES!$B$892&lt;&gt;"",_PENDIENTES!$F$892,"")</f>
        <v/>
      </c>
      <c r="G898" s="245">
        <f>IF(_PENDIENTES!$B$892&lt;&gt;"",_PENDIENTES!$G$892,"")</f>
        <v/>
      </c>
      <c r="H898" s="245">
        <f>IF(_PENDIENTES!$B$892&lt;&gt;"",_PENDIENTES!$H$892,"")</f>
        <v/>
      </c>
      <c r="I898" s="302">
        <f>IF(_PENDIENTES!$B$892&lt;&gt;"",_PENDIENTES!$I$892,"")</f>
        <v/>
      </c>
      <c r="J898" s="301">
        <f>IF(_PENDIENTES!$B$892&lt;&gt;"",_PENDIENTES!$J$892,"")</f>
        <v/>
      </c>
      <c r="K898" s="301">
        <f>IF(_PENDIENTES!$B$892&lt;&gt;"","POR RECOGER","")</f>
        <v/>
      </c>
      <c r="L898" s="301">
        <f>IF(_PENDIENTES!$B$892&lt;&gt;"",_PENDIENTES!$K$892,"")</f>
        <v/>
      </c>
      <c r="M898" s="284">
        <f>IF(_PENDIENTES!$B$892&lt;&gt;"",_PENDIENTES!$B$892,"")</f>
        <v/>
      </c>
      <c r="N898" s="304">
        <f>IF(_PENDIENTES!$B$892&lt;&gt;"",_PENDIENTES!$L$892,"")</f>
        <v/>
      </c>
      <c r="O898" s="284" t="n"/>
      <c r="P898" s="284" t="n"/>
      <c r="Q898" s="284" t="n"/>
      <c r="R898" s="284" t="n"/>
      <c r="S898" s="284" t="n"/>
    </row>
    <row r="899" hidden="1" ht="15.75" customHeight="1" s="195">
      <c r="A899" s="241">
        <f>IF(_PENDIENTES!$B$893&lt;&gt;"",892,"")</f>
        <v/>
      </c>
      <c r="B899" s="236">
        <f>IF(_PENDIENTES!$B$893&lt;&gt;"",_PENDIENTES!$A$893,"")</f>
        <v/>
      </c>
      <c r="C899" s="305">
        <f>IF(_PENDIENTES!$B$893&lt;&gt;"",_PENDIENTES!$C$893,"")</f>
        <v/>
      </c>
      <c r="D899" s="241">
        <f>IF(_PENDIENTES!$B$893&lt;&gt;"",_PENDIENTES!$D$893,"")</f>
        <v/>
      </c>
      <c r="E899" s="307">
        <f>IF(_PENDIENTES!$B$893&lt;&gt;"",_PENDIENTES!$E$893,"")</f>
        <v/>
      </c>
      <c r="F899" s="241">
        <f>IF(_PENDIENTES!$B$893&lt;&gt;"",_PENDIENTES!$F$893,"")</f>
        <v/>
      </c>
      <c r="G899" s="239">
        <f>IF(_PENDIENTES!$B$893&lt;&gt;"",_PENDIENTES!$G$893,"")</f>
        <v/>
      </c>
      <c r="H899" s="239">
        <f>IF(_PENDIENTES!$B$893&lt;&gt;"",_PENDIENTES!$H$893,"")</f>
        <v/>
      </c>
      <c r="I899" s="305">
        <f>IF(_PENDIENTES!$B$893&lt;&gt;"",_PENDIENTES!$I$893,"")</f>
        <v/>
      </c>
      <c r="J899" s="241">
        <f>IF(_PENDIENTES!$B$893&lt;&gt;"",_PENDIENTES!$J$893,"")</f>
        <v/>
      </c>
      <c r="K899" s="241">
        <f>IF(_PENDIENTES!$B$893&lt;&gt;"","POR RECOGER","")</f>
        <v/>
      </c>
      <c r="L899" s="241">
        <f>IF(_PENDIENTES!$B$893&lt;&gt;"",_PENDIENTES!$K$893,"")</f>
        <v/>
      </c>
      <c r="M899" s="284">
        <f>IF(_PENDIENTES!$B$893&lt;&gt;"",_PENDIENTES!$B$893,"")</f>
        <v/>
      </c>
      <c r="N899" s="304">
        <f>IF(_PENDIENTES!$B$893&lt;&gt;"",_PENDIENTES!$L$893,"")</f>
        <v/>
      </c>
      <c r="O899" s="284" t="n"/>
      <c r="P899" s="284" t="n"/>
      <c r="Q899" s="284" t="n"/>
      <c r="R899" s="284" t="n"/>
      <c r="S899" s="284" t="n"/>
    </row>
    <row r="900" hidden="1" ht="15.75" customHeight="1" s="195">
      <c r="A900" s="301">
        <f>IF(_PENDIENTES!$B$894&lt;&gt;"",893,"")</f>
        <v/>
      </c>
      <c r="B900" s="242">
        <f>IF(_PENDIENTES!$B$894&lt;&gt;"",_PENDIENTES!$A$894,"")</f>
        <v/>
      </c>
      <c r="C900" s="302">
        <f>IF(_PENDIENTES!$B$894&lt;&gt;"",_PENDIENTES!$C$894,"")</f>
        <v/>
      </c>
      <c r="D900" s="301">
        <f>IF(_PENDIENTES!$B$894&lt;&gt;"",_PENDIENTES!$D$894,"")</f>
        <v/>
      </c>
      <c r="E900" s="306">
        <f>IF(_PENDIENTES!$B$894&lt;&gt;"",_PENDIENTES!$E$894,"")</f>
        <v/>
      </c>
      <c r="F900" s="301">
        <f>IF(_PENDIENTES!$B$894&lt;&gt;"",_PENDIENTES!$F$894,"")</f>
        <v/>
      </c>
      <c r="G900" s="245">
        <f>IF(_PENDIENTES!$B$894&lt;&gt;"",_PENDIENTES!$G$894,"")</f>
        <v/>
      </c>
      <c r="H900" s="245">
        <f>IF(_PENDIENTES!$B$894&lt;&gt;"",_PENDIENTES!$H$894,"")</f>
        <v/>
      </c>
      <c r="I900" s="302">
        <f>IF(_PENDIENTES!$B$894&lt;&gt;"",_PENDIENTES!$I$894,"")</f>
        <v/>
      </c>
      <c r="J900" s="301">
        <f>IF(_PENDIENTES!$B$894&lt;&gt;"",_PENDIENTES!$J$894,"")</f>
        <v/>
      </c>
      <c r="K900" s="301">
        <f>IF(_PENDIENTES!$B$894&lt;&gt;"","POR RECOGER","")</f>
        <v/>
      </c>
      <c r="L900" s="301">
        <f>IF(_PENDIENTES!$B$894&lt;&gt;"",_PENDIENTES!$K$894,"")</f>
        <v/>
      </c>
      <c r="M900" s="284">
        <f>IF(_PENDIENTES!$B$894&lt;&gt;"",_PENDIENTES!$B$894,"")</f>
        <v/>
      </c>
      <c r="N900" s="304">
        <f>IF(_PENDIENTES!$B$894&lt;&gt;"",_PENDIENTES!$L$894,"")</f>
        <v/>
      </c>
      <c r="O900" s="284" t="n"/>
      <c r="P900" s="284" t="n"/>
      <c r="Q900" s="284" t="n"/>
      <c r="R900" s="284" t="n"/>
      <c r="S900" s="284" t="n"/>
    </row>
    <row r="901" hidden="1" ht="15.75" customHeight="1" s="195">
      <c r="A901" s="241">
        <f>IF(_PENDIENTES!$B$895&lt;&gt;"",894,"")</f>
        <v/>
      </c>
      <c r="B901" s="236">
        <f>IF(_PENDIENTES!$B$895&lt;&gt;"",_PENDIENTES!$A$895,"")</f>
        <v/>
      </c>
      <c r="C901" s="305">
        <f>IF(_PENDIENTES!$B$895&lt;&gt;"",_PENDIENTES!$C$895,"")</f>
        <v/>
      </c>
      <c r="D901" s="241">
        <f>IF(_PENDIENTES!$B$895&lt;&gt;"",_PENDIENTES!$D$895,"")</f>
        <v/>
      </c>
      <c r="E901" s="307">
        <f>IF(_PENDIENTES!$B$895&lt;&gt;"",_PENDIENTES!$E$895,"")</f>
        <v/>
      </c>
      <c r="F901" s="241">
        <f>IF(_PENDIENTES!$B$895&lt;&gt;"",_PENDIENTES!$F$895,"")</f>
        <v/>
      </c>
      <c r="G901" s="239">
        <f>IF(_PENDIENTES!$B$895&lt;&gt;"",_PENDIENTES!$G$895,"")</f>
        <v/>
      </c>
      <c r="H901" s="239">
        <f>IF(_PENDIENTES!$B$895&lt;&gt;"",_PENDIENTES!$H$895,"")</f>
        <v/>
      </c>
      <c r="I901" s="305">
        <f>IF(_PENDIENTES!$B$895&lt;&gt;"",_PENDIENTES!$I$895,"")</f>
        <v/>
      </c>
      <c r="J901" s="241">
        <f>IF(_PENDIENTES!$B$895&lt;&gt;"",_PENDIENTES!$J$895,"")</f>
        <v/>
      </c>
      <c r="K901" s="241">
        <f>IF(_PENDIENTES!$B$895&lt;&gt;"","POR RECOGER","")</f>
        <v/>
      </c>
      <c r="L901" s="241">
        <f>IF(_PENDIENTES!$B$895&lt;&gt;"",_PENDIENTES!$K$895,"")</f>
        <v/>
      </c>
      <c r="M901" s="284">
        <f>IF(_PENDIENTES!$B$895&lt;&gt;"",_PENDIENTES!$B$895,"")</f>
        <v/>
      </c>
      <c r="N901" s="304">
        <f>IF(_PENDIENTES!$B$895&lt;&gt;"",_PENDIENTES!$L$895,"")</f>
        <v/>
      </c>
      <c r="O901" s="284" t="n"/>
      <c r="P901" s="284" t="n"/>
      <c r="Q901" s="284" t="n"/>
      <c r="R901" s="284" t="n"/>
      <c r="S901" s="284" t="n"/>
    </row>
    <row r="902" hidden="1" ht="15.75" customHeight="1" s="195">
      <c r="A902" s="301">
        <f>IF(_PENDIENTES!$B$896&lt;&gt;"",895,"")</f>
        <v/>
      </c>
      <c r="B902" s="242">
        <f>IF(_PENDIENTES!$B$896&lt;&gt;"",_PENDIENTES!$A$896,"")</f>
        <v/>
      </c>
      <c r="C902" s="302">
        <f>IF(_PENDIENTES!$B$896&lt;&gt;"",_PENDIENTES!$C$896,"")</f>
        <v/>
      </c>
      <c r="D902" s="301">
        <f>IF(_PENDIENTES!$B$896&lt;&gt;"",_PENDIENTES!$D$896,"")</f>
        <v/>
      </c>
      <c r="E902" s="306">
        <f>IF(_PENDIENTES!$B$896&lt;&gt;"",_PENDIENTES!$E$896,"")</f>
        <v/>
      </c>
      <c r="F902" s="301">
        <f>IF(_PENDIENTES!$B$896&lt;&gt;"",_PENDIENTES!$F$896,"")</f>
        <v/>
      </c>
      <c r="G902" s="245">
        <f>IF(_PENDIENTES!$B$896&lt;&gt;"",_PENDIENTES!$G$896,"")</f>
        <v/>
      </c>
      <c r="H902" s="245">
        <f>IF(_PENDIENTES!$B$896&lt;&gt;"",_PENDIENTES!$H$896,"")</f>
        <v/>
      </c>
      <c r="I902" s="302">
        <f>IF(_PENDIENTES!$B$896&lt;&gt;"",_PENDIENTES!$I$896,"")</f>
        <v/>
      </c>
      <c r="J902" s="301">
        <f>IF(_PENDIENTES!$B$896&lt;&gt;"",_PENDIENTES!$J$896,"")</f>
        <v/>
      </c>
      <c r="K902" s="301">
        <f>IF(_PENDIENTES!$B$896&lt;&gt;"","POR RECOGER","")</f>
        <v/>
      </c>
      <c r="L902" s="301">
        <f>IF(_PENDIENTES!$B$896&lt;&gt;"",_PENDIENTES!$K$896,"")</f>
        <v/>
      </c>
      <c r="M902" s="284">
        <f>IF(_PENDIENTES!$B$896&lt;&gt;"",_PENDIENTES!$B$896,"")</f>
        <v/>
      </c>
      <c r="N902" s="304">
        <f>IF(_PENDIENTES!$B$896&lt;&gt;"",_PENDIENTES!$L$896,"")</f>
        <v/>
      </c>
      <c r="O902" s="284" t="n"/>
      <c r="P902" s="284" t="n"/>
      <c r="Q902" s="284" t="n"/>
      <c r="R902" s="284" t="n"/>
      <c r="S902" s="284" t="n"/>
    </row>
    <row r="903" hidden="1" ht="15.75" customHeight="1" s="195">
      <c r="A903" s="241">
        <f>IF(_PENDIENTES!$B$897&lt;&gt;"",896,"")</f>
        <v/>
      </c>
      <c r="B903" s="236">
        <f>IF(_PENDIENTES!$B$897&lt;&gt;"",_PENDIENTES!$A$897,"")</f>
        <v/>
      </c>
      <c r="C903" s="305">
        <f>IF(_PENDIENTES!$B$897&lt;&gt;"",_PENDIENTES!$C$897,"")</f>
        <v/>
      </c>
      <c r="D903" s="241">
        <f>IF(_PENDIENTES!$B$897&lt;&gt;"",_PENDIENTES!$D$897,"")</f>
        <v/>
      </c>
      <c r="E903" s="307">
        <f>IF(_PENDIENTES!$B$897&lt;&gt;"",_PENDIENTES!$E$897,"")</f>
        <v/>
      </c>
      <c r="F903" s="241">
        <f>IF(_PENDIENTES!$B$897&lt;&gt;"",_PENDIENTES!$F$897,"")</f>
        <v/>
      </c>
      <c r="G903" s="239">
        <f>IF(_PENDIENTES!$B$897&lt;&gt;"",_PENDIENTES!$G$897,"")</f>
        <v/>
      </c>
      <c r="H903" s="239">
        <f>IF(_PENDIENTES!$B$897&lt;&gt;"",_PENDIENTES!$H$897,"")</f>
        <v/>
      </c>
      <c r="I903" s="305">
        <f>IF(_PENDIENTES!$B$897&lt;&gt;"",_PENDIENTES!$I$897,"")</f>
        <v/>
      </c>
      <c r="J903" s="241">
        <f>IF(_PENDIENTES!$B$897&lt;&gt;"",_PENDIENTES!$J$897,"")</f>
        <v/>
      </c>
      <c r="K903" s="241">
        <f>IF(_PENDIENTES!$B$897&lt;&gt;"","POR RECOGER","")</f>
        <v/>
      </c>
      <c r="L903" s="241">
        <f>IF(_PENDIENTES!$B$897&lt;&gt;"",_PENDIENTES!$K$897,"")</f>
        <v/>
      </c>
      <c r="M903" s="284">
        <f>IF(_PENDIENTES!$B$897&lt;&gt;"",_PENDIENTES!$B$897,"")</f>
        <v/>
      </c>
      <c r="N903" s="304">
        <f>IF(_PENDIENTES!$B$897&lt;&gt;"",_PENDIENTES!$L$897,"")</f>
        <v/>
      </c>
      <c r="O903" s="284" t="n"/>
      <c r="P903" s="284" t="n"/>
      <c r="Q903" s="284" t="n"/>
      <c r="R903" s="284" t="n"/>
      <c r="S903" s="284" t="n"/>
    </row>
    <row r="904" hidden="1" ht="15.75" customHeight="1" s="195">
      <c r="A904" s="301">
        <f>IF(_PENDIENTES!$B$898&lt;&gt;"",897,"")</f>
        <v/>
      </c>
      <c r="B904" s="242">
        <f>IF(_PENDIENTES!$B$898&lt;&gt;"",_PENDIENTES!$A$898,"")</f>
        <v/>
      </c>
      <c r="C904" s="302">
        <f>IF(_PENDIENTES!$B$898&lt;&gt;"",_PENDIENTES!$C$898,"")</f>
        <v/>
      </c>
      <c r="D904" s="301">
        <f>IF(_PENDIENTES!$B$898&lt;&gt;"",_PENDIENTES!$D$898,"")</f>
        <v/>
      </c>
      <c r="E904" s="306">
        <f>IF(_PENDIENTES!$B$898&lt;&gt;"",_PENDIENTES!$E$898,"")</f>
        <v/>
      </c>
      <c r="F904" s="301">
        <f>IF(_PENDIENTES!$B$898&lt;&gt;"",_PENDIENTES!$F$898,"")</f>
        <v/>
      </c>
      <c r="G904" s="245">
        <f>IF(_PENDIENTES!$B$898&lt;&gt;"",_PENDIENTES!$G$898,"")</f>
        <v/>
      </c>
      <c r="H904" s="245">
        <f>IF(_PENDIENTES!$B$898&lt;&gt;"",_PENDIENTES!$H$898,"")</f>
        <v/>
      </c>
      <c r="I904" s="302">
        <f>IF(_PENDIENTES!$B$898&lt;&gt;"",_PENDIENTES!$I$898,"")</f>
        <v/>
      </c>
      <c r="J904" s="301">
        <f>IF(_PENDIENTES!$B$898&lt;&gt;"",_PENDIENTES!$J$898,"")</f>
        <v/>
      </c>
      <c r="K904" s="301">
        <f>IF(_PENDIENTES!$B$898&lt;&gt;"","POR RECOGER","")</f>
        <v/>
      </c>
      <c r="L904" s="301">
        <f>IF(_PENDIENTES!$B$898&lt;&gt;"",_PENDIENTES!$K$898,"")</f>
        <v/>
      </c>
      <c r="M904" s="284">
        <f>IF(_PENDIENTES!$B$898&lt;&gt;"",_PENDIENTES!$B$898,"")</f>
        <v/>
      </c>
      <c r="N904" s="304">
        <f>IF(_PENDIENTES!$B$898&lt;&gt;"",_PENDIENTES!$L$898,"")</f>
        <v/>
      </c>
      <c r="O904" s="284" t="n"/>
      <c r="P904" s="284" t="n"/>
      <c r="Q904" s="284" t="n"/>
      <c r="R904" s="284" t="n"/>
      <c r="S904" s="284" t="n"/>
    </row>
    <row r="905" hidden="1" ht="15.75" customHeight="1" s="195">
      <c r="A905" s="241">
        <f>IF(_PENDIENTES!$B$899&lt;&gt;"",898,"")</f>
        <v/>
      </c>
      <c r="B905" s="236">
        <f>IF(_PENDIENTES!$B$899&lt;&gt;"",_PENDIENTES!$A$899,"")</f>
        <v/>
      </c>
      <c r="C905" s="305">
        <f>IF(_PENDIENTES!$B$899&lt;&gt;"",_PENDIENTES!$C$899,"")</f>
        <v/>
      </c>
      <c r="D905" s="241">
        <f>IF(_PENDIENTES!$B$899&lt;&gt;"",_PENDIENTES!$D$899,"")</f>
        <v/>
      </c>
      <c r="E905" s="307">
        <f>IF(_PENDIENTES!$B$899&lt;&gt;"",_PENDIENTES!$E$899,"")</f>
        <v/>
      </c>
      <c r="F905" s="241">
        <f>IF(_PENDIENTES!$B$899&lt;&gt;"",_PENDIENTES!$F$899,"")</f>
        <v/>
      </c>
      <c r="G905" s="239">
        <f>IF(_PENDIENTES!$B$899&lt;&gt;"",_PENDIENTES!$G$899,"")</f>
        <v/>
      </c>
      <c r="H905" s="239">
        <f>IF(_PENDIENTES!$B$899&lt;&gt;"",_PENDIENTES!$H$899,"")</f>
        <v/>
      </c>
      <c r="I905" s="305">
        <f>IF(_PENDIENTES!$B$899&lt;&gt;"",_PENDIENTES!$I$899,"")</f>
        <v/>
      </c>
      <c r="J905" s="241">
        <f>IF(_PENDIENTES!$B$899&lt;&gt;"",_PENDIENTES!$J$899,"")</f>
        <v/>
      </c>
      <c r="K905" s="241">
        <f>IF(_PENDIENTES!$B$899&lt;&gt;"","POR RECOGER","")</f>
        <v/>
      </c>
      <c r="L905" s="241">
        <f>IF(_PENDIENTES!$B$899&lt;&gt;"",_PENDIENTES!$K$899,"")</f>
        <v/>
      </c>
      <c r="M905" s="284">
        <f>IF(_PENDIENTES!$B$899&lt;&gt;"",_PENDIENTES!$B$899,"")</f>
        <v/>
      </c>
      <c r="N905" s="304">
        <f>IF(_PENDIENTES!$B$899&lt;&gt;"",_PENDIENTES!$L$899,"")</f>
        <v/>
      </c>
      <c r="O905" s="284" t="n"/>
      <c r="P905" s="284" t="n"/>
      <c r="Q905" s="284" t="n"/>
      <c r="R905" s="284" t="n"/>
      <c r="S905" s="284" t="n"/>
    </row>
    <row r="906" hidden="1" ht="15.75" customHeight="1" s="195">
      <c r="A906" s="301">
        <f>IF(_PENDIENTES!$B$900&lt;&gt;"",899,"")</f>
        <v/>
      </c>
      <c r="B906" s="242">
        <f>IF(_PENDIENTES!$B$900&lt;&gt;"",_PENDIENTES!$A$900,"")</f>
        <v/>
      </c>
      <c r="C906" s="302">
        <f>IF(_PENDIENTES!$B$900&lt;&gt;"",_PENDIENTES!$C$900,"")</f>
        <v/>
      </c>
      <c r="D906" s="301">
        <f>IF(_PENDIENTES!$B$900&lt;&gt;"",_PENDIENTES!$D$900,"")</f>
        <v/>
      </c>
      <c r="E906" s="306">
        <f>IF(_PENDIENTES!$B$900&lt;&gt;"",_PENDIENTES!$E$900,"")</f>
        <v/>
      </c>
      <c r="F906" s="301">
        <f>IF(_PENDIENTES!$B$900&lt;&gt;"",_PENDIENTES!$F$900,"")</f>
        <v/>
      </c>
      <c r="G906" s="245">
        <f>IF(_PENDIENTES!$B$900&lt;&gt;"",_PENDIENTES!$G$900,"")</f>
        <v/>
      </c>
      <c r="H906" s="245">
        <f>IF(_PENDIENTES!$B$900&lt;&gt;"",_PENDIENTES!$H$900,"")</f>
        <v/>
      </c>
      <c r="I906" s="302">
        <f>IF(_PENDIENTES!$B$900&lt;&gt;"",_PENDIENTES!$I$900,"")</f>
        <v/>
      </c>
      <c r="J906" s="301">
        <f>IF(_PENDIENTES!$B$900&lt;&gt;"",_PENDIENTES!$J$900,"")</f>
        <v/>
      </c>
      <c r="K906" s="301">
        <f>IF(_PENDIENTES!$B$900&lt;&gt;"","POR RECOGER","")</f>
        <v/>
      </c>
      <c r="L906" s="301">
        <f>IF(_PENDIENTES!$B$900&lt;&gt;"",_PENDIENTES!$K$900,"")</f>
        <v/>
      </c>
      <c r="M906" s="284">
        <f>IF(_PENDIENTES!$B$900&lt;&gt;"",_PENDIENTES!$B$900,"")</f>
        <v/>
      </c>
      <c r="N906" s="304">
        <f>IF(_PENDIENTES!$B$900&lt;&gt;"",_PENDIENTES!$L$900,"")</f>
        <v/>
      </c>
      <c r="O906" s="284" t="n"/>
      <c r="P906" s="284" t="n"/>
      <c r="Q906" s="284" t="n"/>
      <c r="R906" s="284" t="n"/>
      <c r="S906" s="284" t="n"/>
    </row>
    <row r="907" hidden="1" ht="15.75" customHeight="1" s="195">
      <c r="A907" s="241">
        <f>IF(_PENDIENTES!$B$901&lt;&gt;"",900,"")</f>
        <v/>
      </c>
      <c r="B907" s="236">
        <f>IF(_PENDIENTES!$B$901&lt;&gt;"",_PENDIENTES!$A$901,"")</f>
        <v/>
      </c>
      <c r="C907" s="305">
        <f>IF(_PENDIENTES!$B$901&lt;&gt;"",_PENDIENTES!$C$901,"")</f>
        <v/>
      </c>
      <c r="D907" s="241">
        <f>IF(_PENDIENTES!$B$901&lt;&gt;"",_PENDIENTES!$D$901,"")</f>
        <v/>
      </c>
      <c r="E907" s="307">
        <f>IF(_PENDIENTES!$B$901&lt;&gt;"",_PENDIENTES!$E$901,"")</f>
        <v/>
      </c>
      <c r="F907" s="241">
        <f>IF(_PENDIENTES!$B$901&lt;&gt;"",_PENDIENTES!$F$901,"")</f>
        <v/>
      </c>
      <c r="G907" s="239">
        <f>IF(_PENDIENTES!$B$901&lt;&gt;"",_PENDIENTES!$G$901,"")</f>
        <v/>
      </c>
      <c r="H907" s="239">
        <f>IF(_PENDIENTES!$B$901&lt;&gt;"",_PENDIENTES!$H$901,"")</f>
        <v/>
      </c>
      <c r="I907" s="305">
        <f>IF(_PENDIENTES!$B$901&lt;&gt;"",_PENDIENTES!$I$901,"")</f>
        <v/>
      </c>
      <c r="J907" s="241">
        <f>IF(_PENDIENTES!$B$901&lt;&gt;"",_PENDIENTES!$J$901,"")</f>
        <v/>
      </c>
      <c r="K907" s="241">
        <f>IF(_PENDIENTES!$B$901&lt;&gt;"","POR RECOGER","")</f>
        <v/>
      </c>
      <c r="L907" s="241">
        <f>IF(_PENDIENTES!$B$901&lt;&gt;"",_PENDIENTES!$K$901,"")</f>
        <v/>
      </c>
      <c r="M907" s="284">
        <f>IF(_PENDIENTES!$B$901&lt;&gt;"",_PENDIENTES!$B$901,"")</f>
        <v/>
      </c>
      <c r="N907" s="304">
        <f>IF(_PENDIENTES!$B$901&lt;&gt;"",_PENDIENTES!$L$901,"")</f>
        <v/>
      </c>
      <c r="O907" s="284" t="n"/>
      <c r="P907" s="284" t="n"/>
      <c r="Q907" s="284" t="n"/>
      <c r="R907" s="284" t="n"/>
      <c r="S907" s="284" t="n"/>
    </row>
    <row r="908" hidden="1" ht="15.75" customHeight="1" s="195">
      <c r="A908" s="301">
        <f>IF(_PENDIENTES!$B$902&lt;&gt;"",901,"")</f>
        <v/>
      </c>
      <c r="B908" s="242">
        <f>IF(_PENDIENTES!$B$902&lt;&gt;"",_PENDIENTES!$A$902,"")</f>
        <v/>
      </c>
      <c r="C908" s="302">
        <f>IF(_PENDIENTES!$B$902&lt;&gt;"",_PENDIENTES!$C$902,"")</f>
        <v/>
      </c>
      <c r="D908" s="301">
        <f>IF(_PENDIENTES!$B$902&lt;&gt;"",_PENDIENTES!$D$902,"")</f>
        <v/>
      </c>
      <c r="E908" s="306">
        <f>IF(_PENDIENTES!$B$902&lt;&gt;"",_PENDIENTES!$E$902,"")</f>
        <v/>
      </c>
      <c r="F908" s="301">
        <f>IF(_PENDIENTES!$B$902&lt;&gt;"",_PENDIENTES!$F$902,"")</f>
        <v/>
      </c>
      <c r="G908" s="245">
        <f>IF(_PENDIENTES!$B$902&lt;&gt;"",_PENDIENTES!$G$902,"")</f>
        <v/>
      </c>
      <c r="H908" s="245">
        <f>IF(_PENDIENTES!$B$902&lt;&gt;"",_PENDIENTES!$H$902,"")</f>
        <v/>
      </c>
      <c r="I908" s="302">
        <f>IF(_PENDIENTES!$B$902&lt;&gt;"",_PENDIENTES!$I$902,"")</f>
        <v/>
      </c>
      <c r="J908" s="301">
        <f>IF(_PENDIENTES!$B$902&lt;&gt;"",_PENDIENTES!$J$902,"")</f>
        <v/>
      </c>
      <c r="K908" s="301">
        <f>IF(_PENDIENTES!$B$902&lt;&gt;"","POR RECOGER","")</f>
        <v/>
      </c>
      <c r="L908" s="301">
        <f>IF(_PENDIENTES!$B$902&lt;&gt;"",_PENDIENTES!$K$902,"")</f>
        <v/>
      </c>
      <c r="M908" s="284">
        <f>IF(_PENDIENTES!$B$902&lt;&gt;"",_PENDIENTES!$B$902,"")</f>
        <v/>
      </c>
      <c r="N908" s="304">
        <f>IF(_PENDIENTES!$B$902&lt;&gt;"",_PENDIENTES!$L$902,"")</f>
        <v/>
      </c>
      <c r="O908" s="284" t="n"/>
      <c r="P908" s="284" t="n"/>
      <c r="Q908" s="284" t="n"/>
      <c r="R908" s="284" t="n"/>
      <c r="S908" s="284" t="n"/>
    </row>
    <row r="909" hidden="1" ht="15.75" customHeight="1" s="195">
      <c r="A909" s="241">
        <f>IF(_PENDIENTES!$B$903&lt;&gt;"",902,"")</f>
        <v/>
      </c>
      <c r="B909" s="236">
        <f>IF(_PENDIENTES!$B$903&lt;&gt;"",_PENDIENTES!$A$903,"")</f>
        <v/>
      </c>
      <c r="C909" s="305">
        <f>IF(_PENDIENTES!$B$903&lt;&gt;"",_PENDIENTES!$C$903,"")</f>
        <v/>
      </c>
      <c r="D909" s="241">
        <f>IF(_PENDIENTES!$B$903&lt;&gt;"",_PENDIENTES!$D$903,"")</f>
        <v/>
      </c>
      <c r="E909" s="307">
        <f>IF(_PENDIENTES!$B$903&lt;&gt;"",_PENDIENTES!$E$903,"")</f>
        <v/>
      </c>
      <c r="F909" s="241">
        <f>IF(_PENDIENTES!$B$903&lt;&gt;"",_PENDIENTES!$F$903,"")</f>
        <v/>
      </c>
      <c r="G909" s="239">
        <f>IF(_PENDIENTES!$B$903&lt;&gt;"",_PENDIENTES!$G$903,"")</f>
        <v/>
      </c>
      <c r="H909" s="239">
        <f>IF(_PENDIENTES!$B$903&lt;&gt;"",_PENDIENTES!$H$903,"")</f>
        <v/>
      </c>
      <c r="I909" s="305">
        <f>IF(_PENDIENTES!$B$903&lt;&gt;"",_PENDIENTES!$I$903,"")</f>
        <v/>
      </c>
      <c r="J909" s="241">
        <f>IF(_PENDIENTES!$B$903&lt;&gt;"",_PENDIENTES!$J$903,"")</f>
        <v/>
      </c>
      <c r="K909" s="241">
        <f>IF(_PENDIENTES!$B$903&lt;&gt;"","POR RECOGER","")</f>
        <v/>
      </c>
      <c r="L909" s="241">
        <f>IF(_PENDIENTES!$B$903&lt;&gt;"",_PENDIENTES!$K$903,"")</f>
        <v/>
      </c>
      <c r="M909" s="284">
        <f>IF(_PENDIENTES!$B$903&lt;&gt;"",_PENDIENTES!$B$903,"")</f>
        <v/>
      </c>
      <c r="N909" s="304">
        <f>IF(_PENDIENTES!$B$903&lt;&gt;"",_PENDIENTES!$L$903,"")</f>
        <v/>
      </c>
      <c r="O909" s="284" t="n"/>
      <c r="P909" s="284" t="n"/>
      <c r="Q909" s="284" t="n"/>
      <c r="R909" s="284" t="n"/>
      <c r="S909" s="284" t="n"/>
    </row>
    <row r="910" hidden="1" ht="15.75" customHeight="1" s="195">
      <c r="A910" s="301">
        <f>IF(_PENDIENTES!$B$904&lt;&gt;"",903,"")</f>
        <v/>
      </c>
      <c r="B910" s="242">
        <f>IF(_PENDIENTES!$B$904&lt;&gt;"",_PENDIENTES!$A$904,"")</f>
        <v/>
      </c>
      <c r="C910" s="302">
        <f>IF(_PENDIENTES!$B$904&lt;&gt;"",_PENDIENTES!$C$904,"")</f>
        <v/>
      </c>
      <c r="D910" s="301">
        <f>IF(_PENDIENTES!$B$904&lt;&gt;"",_PENDIENTES!$D$904,"")</f>
        <v/>
      </c>
      <c r="E910" s="306">
        <f>IF(_PENDIENTES!$B$904&lt;&gt;"",_PENDIENTES!$E$904,"")</f>
        <v/>
      </c>
      <c r="F910" s="301">
        <f>IF(_PENDIENTES!$B$904&lt;&gt;"",_PENDIENTES!$F$904,"")</f>
        <v/>
      </c>
      <c r="G910" s="245">
        <f>IF(_PENDIENTES!$B$904&lt;&gt;"",_PENDIENTES!$G$904,"")</f>
        <v/>
      </c>
      <c r="H910" s="245">
        <f>IF(_PENDIENTES!$B$904&lt;&gt;"",_PENDIENTES!$H$904,"")</f>
        <v/>
      </c>
      <c r="I910" s="302">
        <f>IF(_PENDIENTES!$B$904&lt;&gt;"",_PENDIENTES!$I$904,"")</f>
        <v/>
      </c>
      <c r="J910" s="301">
        <f>IF(_PENDIENTES!$B$904&lt;&gt;"",_PENDIENTES!$J$904,"")</f>
        <v/>
      </c>
      <c r="K910" s="301">
        <f>IF(_PENDIENTES!$B$904&lt;&gt;"","POR RECOGER","")</f>
        <v/>
      </c>
      <c r="L910" s="301">
        <f>IF(_PENDIENTES!$B$904&lt;&gt;"",_PENDIENTES!$K$904,"")</f>
        <v/>
      </c>
      <c r="M910" s="284">
        <f>IF(_PENDIENTES!$B$904&lt;&gt;"",_PENDIENTES!$B$904,"")</f>
        <v/>
      </c>
      <c r="N910" s="304">
        <f>IF(_PENDIENTES!$B$904&lt;&gt;"",_PENDIENTES!$L$904,"")</f>
        <v/>
      </c>
      <c r="O910" s="284" t="n"/>
      <c r="P910" s="284" t="n"/>
      <c r="Q910" s="284" t="n"/>
      <c r="R910" s="284" t="n"/>
      <c r="S910" s="284" t="n"/>
    </row>
    <row r="911" hidden="1" ht="15.75" customHeight="1" s="195">
      <c r="A911" s="241">
        <f>IF(_PENDIENTES!$B$905&lt;&gt;"",904,"")</f>
        <v/>
      </c>
      <c r="B911" s="236">
        <f>IF(_PENDIENTES!$B$905&lt;&gt;"",_PENDIENTES!$A$905,"")</f>
        <v/>
      </c>
      <c r="C911" s="305">
        <f>IF(_PENDIENTES!$B$905&lt;&gt;"",_PENDIENTES!$C$905,"")</f>
        <v/>
      </c>
      <c r="D911" s="241">
        <f>IF(_PENDIENTES!$B$905&lt;&gt;"",_PENDIENTES!$D$905,"")</f>
        <v/>
      </c>
      <c r="E911" s="307">
        <f>IF(_PENDIENTES!$B$905&lt;&gt;"",_PENDIENTES!$E$905,"")</f>
        <v/>
      </c>
      <c r="F911" s="241">
        <f>IF(_PENDIENTES!$B$905&lt;&gt;"",_PENDIENTES!$F$905,"")</f>
        <v/>
      </c>
      <c r="G911" s="239">
        <f>IF(_PENDIENTES!$B$905&lt;&gt;"",_PENDIENTES!$G$905,"")</f>
        <v/>
      </c>
      <c r="H911" s="239">
        <f>IF(_PENDIENTES!$B$905&lt;&gt;"",_PENDIENTES!$H$905,"")</f>
        <v/>
      </c>
      <c r="I911" s="305">
        <f>IF(_PENDIENTES!$B$905&lt;&gt;"",_PENDIENTES!$I$905,"")</f>
        <v/>
      </c>
      <c r="J911" s="241">
        <f>IF(_PENDIENTES!$B$905&lt;&gt;"",_PENDIENTES!$J$905,"")</f>
        <v/>
      </c>
      <c r="K911" s="241">
        <f>IF(_PENDIENTES!$B$905&lt;&gt;"","POR RECOGER","")</f>
        <v/>
      </c>
      <c r="L911" s="241">
        <f>IF(_PENDIENTES!$B$905&lt;&gt;"",_PENDIENTES!$K$905,"")</f>
        <v/>
      </c>
      <c r="M911" s="284">
        <f>IF(_PENDIENTES!$B$905&lt;&gt;"",_PENDIENTES!$B$905,"")</f>
        <v/>
      </c>
      <c r="N911" s="304">
        <f>IF(_PENDIENTES!$B$905&lt;&gt;"",_PENDIENTES!$L$905,"")</f>
        <v/>
      </c>
      <c r="O911" s="284" t="n"/>
      <c r="P911" s="284" t="n"/>
      <c r="Q911" s="284" t="n"/>
      <c r="R911" s="284" t="n"/>
      <c r="S911" s="284" t="n"/>
    </row>
    <row r="912" hidden="1" ht="15.75" customHeight="1" s="195">
      <c r="A912" s="301">
        <f>IF(_PENDIENTES!$B$906&lt;&gt;"",905,"")</f>
        <v/>
      </c>
      <c r="B912" s="242">
        <f>IF(_PENDIENTES!$B$906&lt;&gt;"",_PENDIENTES!$A$906,"")</f>
        <v/>
      </c>
      <c r="C912" s="302">
        <f>IF(_PENDIENTES!$B$906&lt;&gt;"",_PENDIENTES!$C$906,"")</f>
        <v/>
      </c>
      <c r="D912" s="301">
        <f>IF(_PENDIENTES!$B$906&lt;&gt;"",_PENDIENTES!$D$906,"")</f>
        <v/>
      </c>
      <c r="E912" s="306">
        <f>IF(_PENDIENTES!$B$906&lt;&gt;"",_PENDIENTES!$E$906,"")</f>
        <v/>
      </c>
      <c r="F912" s="301">
        <f>IF(_PENDIENTES!$B$906&lt;&gt;"",_PENDIENTES!$F$906,"")</f>
        <v/>
      </c>
      <c r="G912" s="245">
        <f>IF(_PENDIENTES!$B$906&lt;&gt;"",_PENDIENTES!$G$906,"")</f>
        <v/>
      </c>
      <c r="H912" s="245">
        <f>IF(_PENDIENTES!$B$906&lt;&gt;"",_PENDIENTES!$H$906,"")</f>
        <v/>
      </c>
      <c r="I912" s="302">
        <f>IF(_PENDIENTES!$B$906&lt;&gt;"",_PENDIENTES!$I$906,"")</f>
        <v/>
      </c>
      <c r="J912" s="301">
        <f>IF(_PENDIENTES!$B$906&lt;&gt;"",_PENDIENTES!$J$906,"")</f>
        <v/>
      </c>
      <c r="K912" s="301">
        <f>IF(_PENDIENTES!$B$906&lt;&gt;"","POR RECOGER","")</f>
        <v/>
      </c>
      <c r="L912" s="301">
        <f>IF(_PENDIENTES!$B$906&lt;&gt;"",_PENDIENTES!$K$906,"")</f>
        <v/>
      </c>
      <c r="M912" s="284">
        <f>IF(_PENDIENTES!$B$906&lt;&gt;"",_PENDIENTES!$B$906,"")</f>
        <v/>
      </c>
      <c r="N912" s="304">
        <f>IF(_PENDIENTES!$B$906&lt;&gt;"",_PENDIENTES!$L$906,"")</f>
        <v/>
      </c>
      <c r="O912" s="284" t="n"/>
      <c r="P912" s="284" t="n"/>
      <c r="Q912" s="284" t="n"/>
      <c r="R912" s="284" t="n"/>
      <c r="S912" s="284" t="n"/>
    </row>
    <row r="913" hidden="1" ht="15.75" customHeight="1" s="195">
      <c r="A913" s="241">
        <f>IF(_PENDIENTES!$B$907&lt;&gt;"",906,"")</f>
        <v/>
      </c>
      <c r="B913" s="236">
        <f>IF(_PENDIENTES!$B$907&lt;&gt;"",_PENDIENTES!$A$907,"")</f>
        <v/>
      </c>
      <c r="C913" s="305">
        <f>IF(_PENDIENTES!$B$907&lt;&gt;"",_PENDIENTES!$C$907,"")</f>
        <v/>
      </c>
      <c r="D913" s="241">
        <f>IF(_PENDIENTES!$B$907&lt;&gt;"",_PENDIENTES!$D$907,"")</f>
        <v/>
      </c>
      <c r="E913" s="307">
        <f>IF(_PENDIENTES!$B$907&lt;&gt;"",_PENDIENTES!$E$907,"")</f>
        <v/>
      </c>
      <c r="F913" s="241">
        <f>IF(_PENDIENTES!$B$907&lt;&gt;"",_PENDIENTES!$F$907,"")</f>
        <v/>
      </c>
      <c r="G913" s="239">
        <f>IF(_PENDIENTES!$B$907&lt;&gt;"",_PENDIENTES!$G$907,"")</f>
        <v/>
      </c>
      <c r="H913" s="239">
        <f>IF(_PENDIENTES!$B$907&lt;&gt;"",_PENDIENTES!$H$907,"")</f>
        <v/>
      </c>
      <c r="I913" s="305">
        <f>IF(_PENDIENTES!$B$907&lt;&gt;"",_PENDIENTES!$I$907,"")</f>
        <v/>
      </c>
      <c r="J913" s="241">
        <f>IF(_PENDIENTES!$B$907&lt;&gt;"",_PENDIENTES!$J$907,"")</f>
        <v/>
      </c>
      <c r="K913" s="241">
        <f>IF(_PENDIENTES!$B$907&lt;&gt;"","POR RECOGER","")</f>
        <v/>
      </c>
      <c r="L913" s="241">
        <f>IF(_PENDIENTES!$B$907&lt;&gt;"",_PENDIENTES!$K$907,"")</f>
        <v/>
      </c>
      <c r="M913" s="284">
        <f>IF(_PENDIENTES!$B$907&lt;&gt;"",_PENDIENTES!$B$907,"")</f>
        <v/>
      </c>
      <c r="N913" s="304">
        <f>IF(_PENDIENTES!$B$907&lt;&gt;"",_PENDIENTES!$L$907,"")</f>
        <v/>
      </c>
      <c r="O913" s="284" t="n"/>
      <c r="P913" s="284" t="n"/>
      <c r="Q913" s="284" t="n"/>
      <c r="R913" s="284" t="n"/>
      <c r="S913" s="284" t="n"/>
    </row>
    <row r="914" hidden="1" ht="15.75" customHeight="1" s="195">
      <c r="A914" s="301">
        <f>IF(_PENDIENTES!$B$908&lt;&gt;"",907,"")</f>
        <v/>
      </c>
      <c r="B914" s="242">
        <f>IF(_PENDIENTES!$B$908&lt;&gt;"",_PENDIENTES!$A$908,"")</f>
        <v/>
      </c>
      <c r="C914" s="302">
        <f>IF(_PENDIENTES!$B$908&lt;&gt;"",_PENDIENTES!$C$908,"")</f>
        <v/>
      </c>
      <c r="D914" s="301">
        <f>IF(_PENDIENTES!$B$908&lt;&gt;"",_PENDIENTES!$D$908,"")</f>
        <v/>
      </c>
      <c r="E914" s="306">
        <f>IF(_PENDIENTES!$B$908&lt;&gt;"",_PENDIENTES!$E$908,"")</f>
        <v/>
      </c>
      <c r="F914" s="301">
        <f>IF(_PENDIENTES!$B$908&lt;&gt;"",_PENDIENTES!$F$908,"")</f>
        <v/>
      </c>
      <c r="G914" s="245">
        <f>IF(_PENDIENTES!$B$908&lt;&gt;"",_PENDIENTES!$G$908,"")</f>
        <v/>
      </c>
      <c r="H914" s="245">
        <f>IF(_PENDIENTES!$B$908&lt;&gt;"",_PENDIENTES!$H$908,"")</f>
        <v/>
      </c>
      <c r="I914" s="302">
        <f>IF(_PENDIENTES!$B$908&lt;&gt;"",_PENDIENTES!$I$908,"")</f>
        <v/>
      </c>
      <c r="J914" s="301">
        <f>IF(_PENDIENTES!$B$908&lt;&gt;"",_PENDIENTES!$J$908,"")</f>
        <v/>
      </c>
      <c r="K914" s="301">
        <f>IF(_PENDIENTES!$B$908&lt;&gt;"","POR RECOGER","")</f>
        <v/>
      </c>
      <c r="L914" s="301">
        <f>IF(_PENDIENTES!$B$908&lt;&gt;"",_PENDIENTES!$K$908,"")</f>
        <v/>
      </c>
      <c r="M914" s="284">
        <f>IF(_PENDIENTES!$B$908&lt;&gt;"",_PENDIENTES!$B$908,"")</f>
        <v/>
      </c>
      <c r="N914" s="304">
        <f>IF(_PENDIENTES!$B$908&lt;&gt;"",_PENDIENTES!$L$908,"")</f>
        <v/>
      </c>
      <c r="O914" s="284" t="n"/>
      <c r="P914" s="284" t="n"/>
      <c r="Q914" s="284" t="n"/>
      <c r="R914" s="284" t="n"/>
      <c r="S914" s="284" t="n"/>
    </row>
    <row r="915" hidden="1" ht="15.75" customHeight="1" s="195">
      <c r="A915" s="241">
        <f>IF(_PENDIENTES!$B$909&lt;&gt;"",908,"")</f>
        <v/>
      </c>
      <c r="B915" s="236">
        <f>IF(_PENDIENTES!$B$909&lt;&gt;"",_PENDIENTES!$A$909,"")</f>
        <v/>
      </c>
      <c r="C915" s="305">
        <f>IF(_PENDIENTES!$B$909&lt;&gt;"",_PENDIENTES!$C$909,"")</f>
        <v/>
      </c>
      <c r="D915" s="241">
        <f>IF(_PENDIENTES!$B$909&lt;&gt;"",_PENDIENTES!$D$909,"")</f>
        <v/>
      </c>
      <c r="E915" s="307">
        <f>IF(_PENDIENTES!$B$909&lt;&gt;"",_PENDIENTES!$E$909,"")</f>
        <v/>
      </c>
      <c r="F915" s="241">
        <f>IF(_PENDIENTES!$B$909&lt;&gt;"",_PENDIENTES!$F$909,"")</f>
        <v/>
      </c>
      <c r="G915" s="239">
        <f>IF(_PENDIENTES!$B$909&lt;&gt;"",_PENDIENTES!$G$909,"")</f>
        <v/>
      </c>
      <c r="H915" s="239">
        <f>IF(_PENDIENTES!$B$909&lt;&gt;"",_PENDIENTES!$H$909,"")</f>
        <v/>
      </c>
      <c r="I915" s="305">
        <f>IF(_PENDIENTES!$B$909&lt;&gt;"",_PENDIENTES!$I$909,"")</f>
        <v/>
      </c>
      <c r="J915" s="241">
        <f>IF(_PENDIENTES!$B$909&lt;&gt;"",_PENDIENTES!$J$909,"")</f>
        <v/>
      </c>
      <c r="K915" s="241">
        <f>IF(_PENDIENTES!$B$909&lt;&gt;"","POR RECOGER","")</f>
        <v/>
      </c>
      <c r="L915" s="241">
        <f>IF(_PENDIENTES!$B$909&lt;&gt;"",_PENDIENTES!$K$909,"")</f>
        <v/>
      </c>
      <c r="M915" s="284">
        <f>IF(_PENDIENTES!$B$909&lt;&gt;"",_PENDIENTES!$B$909,"")</f>
        <v/>
      </c>
      <c r="N915" s="304">
        <f>IF(_PENDIENTES!$B$909&lt;&gt;"",_PENDIENTES!$L$909,"")</f>
        <v/>
      </c>
      <c r="O915" s="284" t="n"/>
      <c r="P915" s="284" t="n"/>
      <c r="Q915" s="284" t="n"/>
      <c r="R915" s="284" t="n"/>
      <c r="S915" s="284" t="n"/>
    </row>
    <row r="916" hidden="1" ht="15.75" customHeight="1" s="195">
      <c r="A916" s="301">
        <f>IF(_PENDIENTES!$B$910&lt;&gt;"",909,"")</f>
        <v/>
      </c>
      <c r="B916" s="242">
        <f>IF(_PENDIENTES!$B$910&lt;&gt;"",_PENDIENTES!$A$910,"")</f>
        <v/>
      </c>
      <c r="C916" s="302">
        <f>IF(_PENDIENTES!$B$910&lt;&gt;"",_PENDIENTES!$C$910,"")</f>
        <v/>
      </c>
      <c r="D916" s="301">
        <f>IF(_PENDIENTES!$B$910&lt;&gt;"",_PENDIENTES!$D$910,"")</f>
        <v/>
      </c>
      <c r="E916" s="306">
        <f>IF(_PENDIENTES!$B$910&lt;&gt;"",_PENDIENTES!$E$910,"")</f>
        <v/>
      </c>
      <c r="F916" s="301">
        <f>IF(_PENDIENTES!$B$910&lt;&gt;"",_PENDIENTES!$F$910,"")</f>
        <v/>
      </c>
      <c r="G916" s="245">
        <f>IF(_PENDIENTES!$B$910&lt;&gt;"",_PENDIENTES!$G$910,"")</f>
        <v/>
      </c>
      <c r="H916" s="245">
        <f>IF(_PENDIENTES!$B$910&lt;&gt;"",_PENDIENTES!$H$910,"")</f>
        <v/>
      </c>
      <c r="I916" s="302">
        <f>IF(_PENDIENTES!$B$910&lt;&gt;"",_PENDIENTES!$I$910,"")</f>
        <v/>
      </c>
      <c r="J916" s="301">
        <f>IF(_PENDIENTES!$B$910&lt;&gt;"",_PENDIENTES!$J$910,"")</f>
        <v/>
      </c>
      <c r="K916" s="301">
        <f>IF(_PENDIENTES!$B$910&lt;&gt;"","POR RECOGER","")</f>
        <v/>
      </c>
      <c r="L916" s="301">
        <f>IF(_PENDIENTES!$B$910&lt;&gt;"",_PENDIENTES!$K$910,"")</f>
        <v/>
      </c>
      <c r="M916" s="284">
        <f>IF(_PENDIENTES!$B$910&lt;&gt;"",_PENDIENTES!$B$910,"")</f>
        <v/>
      </c>
      <c r="N916" s="304">
        <f>IF(_PENDIENTES!$B$910&lt;&gt;"",_PENDIENTES!$L$910,"")</f>
        <v/>
      </c>
      <c r="O916" s="284" t="n"/>
      <c r="P916" s="284" t="n"/>
      <c r="Q916" s="284" t="n"/>
      <c r="R916" s="284" t="n"/>
      <c r="S916" s="284" t="n"/>
    </row>
    <row r="917" hidden="1" ht="15.75" customHeight="1" s="195">
      <c r="A917" s="241">
        <f>IF(_PENDIENTES!$B$911&lt;&gt;"",910,"")</f>
        <v/>
      </c>
      <c r="B917" s="236">
        <f>IF(_PENDIENTES!$B$911&lt;&gt;"",_PENDIENTES!$A$911,"")</f>
        <v/>
      </c>
      <c r="C917" s="305">
        <f>IF(_PENDIENTES!$B$911&lt;&gt;"",_PENDIENTES!$C$911,"")</f>
        <v/>
      </c>
      <c r="D917" s="241">
        <f>IF(_PENDIENTES!$B$911&lt;&gt;"",_PENDIENTES!$D$911,"")</f>
        <v/>
      </c>
      <c r="E917" s="307">
        <f>IF(_PENDIENTES!$B$911&lt;&gt;"",_PENDIENTES!$E$911,"")</f>
        <v/>
      </c>
      <c r="F917" s="241">
        <f>IF(_PENDIENTES!$B$911&lt;&gt;"",_PENDIENTES!$F$911,"")</f>
        <v/>
      </c>
      <c r="G917" s="239">
        <f>IF(_PENDIENTES!$B$911&lt;&gt;"",_PENDIENTES!$G$911,"")</f>
        <v/>
      </c>
      <c r="H917" s="239">
        <f>IF(_PENDIENTES!$B$911&lt;&gt;"",_PENDIENTES!$H$911,"")</f>
        <v/>
      </c>
      <c r="I917" s="305">
        <f>IF(_PENDIENTES!$B$911&lt;&gt;"",_PENDIENTES!$I$911,"")</f>
        <v/>
      </c>
      <c r="J917" s="241">
        <f>IF(_PENDIENTES!$B$911&lt;&gt;"",_PENDIENTES!$J$911,"")</f>
        <v/>
      </c>
      <c r="K917" s="241">
        <f>IF(_PENDIENTES!$B$911&lt;&gt;"","POR RECOGER","")</f>
        <v/>
      </c>
      <c r="L917" s="241">
        <f>IF(_PENDIENTES!$B$911&lt;&gt;"",_PENDIENTES!$K$911,"")</f>
        <v/>
      </c>
      <c r="M917" s="284">
        <f>IF(_PENDIENTES!$B$911&lt;&gt;"",_PENDIENTES!$B$911,"")</f>
        <v/>
      </c>
      <c r="N917" s="304">
        <f>IF(_PENDIENTES!$B$911&lt;&gt;"",_PENDIENTES!$L$911,"")</f>
        <v/>
      </c>
      <c r="O917" s="284" t="n"/>
      <c r="P917" s="284" t="n"/>
      <c r="Q917" s="284" t="n"/>
      <c r="R917" s="284" t="n"/>
      <c r="S917" s="284" t="n"/>
    </row>
    <row r="918" hidden="1" ht="15.75" customHeight="1" s="195">
      <c r="A918" s="301">
        <f>IF(_PENDIENTES!$B$912&lt;&gt;"",911,"")</f>
        <v/>
      </c>
      <c r="B918" s="242">
        <f>IF(_PENDIENTES!$B$912&lt;&gt;"",_PENDIENTES!$A$912,"")</f>
        <v/>
      </c>
      <c r="C918" s="302">
        <f>IF(_PENDIENTES!$B$912&lt;&gt;"",_PENDIENTES!$C$912,"")</f>
        <v/>
      </c>
      <c r="D918" s="301">
        <f>IF(_PENDIENTES!$B$912&lt;&gt;"",_PENDIENTES!$D$912,"")</f>
        <v/>
      </c>
      <c r="E918" s="306">
        <f>IF(_PENDIENTES!$B$912&lt;&gt;"",_PENDIENTES!$E$912,"")</f>
        <v/>
      </c>
      <c r="F918" s="301">
        <f>IF(_PENDIENTES!$B$912&lt;&gt;"",_PENDIENTES!$F$912,"")</f>
        <v/>
      </c>
      <c r="G918" s="245">
        <f>IF(_PENDIENTES!$B$912&lt;&gt;"",_PENDIENTES!$G$912,"")</f>
        <v/>
      </c>
      <c r="H918" s="245">
        <f>IF(_PENDIENTES!$B$912&lt;&gt;"",_PENDIENTES!$H$912,"")</f>
        <v/>
      </c>
      <c r="I918" s="302">
        <f>IF(_PENDIENTES!$B$912&lt;&gt;"",_PENDIENTES!$I$912,"")</f>
        <v/>
      </c>
      <c r="J918" s="301">
        <f>IF(_PENDIENTES!$B$912&lt;&gt;"",_PENDIENTES!$J$912,"")</f>
        <v/>
      </c>
      <c r="K918" s="301">
        <f>IF(_PENDIENTES!$B$912&lt;&gt;"","POR RECOGER","")</f>
        <v/>
      </c>
      <c r="L918" s="301">
        <f>IF(_PENDIENTES!$B$912&lt;&gt;"",_PENDIENTES!$K$912,"")</f>
        <v/>
      </c>
      <c r="M918" s="284">
        <f>IF(_PENDIENTES!$B$912&lt;&gt;"",_PENDIENTES!$B$912,"")</f>
        <v/>
      </c>
      <c r="N918" s="304">
        <f>IF(_PENDIENTES!$B$912&lt;&gt;"",_PENDIENTES!$L$912,"")</f>
        <v/>
      </c>
      <c r="O918" s="284" t="n"/>
      <c r="P918" s="284" t="n"/>
      <c r="Q918" s="284" t="n"/>
      <c r="R918" s="284" t="n"/>
      <c r="S918" s="284" t="n"/>
    </row>
    <row r="919" hidden="1" ht="15.75" customHeight="1" s="195">
      <c r="A919" s="241">
        <f>IF(_PENDIENTES!$B$913&lt;&gt;"",912,"")</f>
        <v/>
      </c>
      <c r="B919" s="236">
        <f>IF(_PENDIENTES!$B$913&lt;&gt;"",_PENDIENTES!$A$913,"")</f>
        <v/>
      </c>
      <c r="C919" s="305">
        <f>IF(_PENDIENTES!$B$913&lt;&gt;"",_PENDIENTES!$C$913,"")</f>
        <v/>
      </c>
      <c r="D919" s="241">
        <f>IF(_PENDIENTES!$B$913&lt;&gt;"",_PENDIENTES!$D$913,"")</f>
        <v/>
      </c>
      <c r="E919" s="307">
        <f>IF(_PENDIENTES!$B$913&lt;&gt;"",_PENDIENTES!$E$913,"")</f>
        <v/>
      </c>
      <c r="F919" s="241">
        <f>IF(_PENDIENTES!$B$913&lt;&gt;"",_PENDIENTES!$F$913,"")</f>
        <v/>
      </c>
      <c r="G919" s="239">
        <f>IF(_PENDIENTES!$B$913&lt;&gt;"",_PENDIENTES!$G$913,"")</f>
        <v/>
      </c>
      <c r="H919" s="239">
        <f>IF(_PENDIENTES!$B$913&lt;&gt;"",_PENDIENTES!$H$913,"")</f>
        <v/>
      </c>
      <c r="I919" s="305">
        <f>IF(_PENDIENTES!$B$913&lt;&gt;"",_PENDIENTES!$I$913,"")</f>
        <v/>
      </c>
      <c r="J919" s="241">
        <f>IF(_PENDIENTES!$B$913&lt;&gt;"",_PENDIENTES!$J$913,"")</f>
        <v/>
      </c>
      <c r="K919" s="241">
        <f>IF(_PENDIENTES!$B$913&lt;&gt;"","POR RECOGER","")</f>
        <v/>
      </c>
      <c r="L919" s="241">
        <f>IF(_PENDIENTES!$B$913&lt;&gt;"",_PENDIENTES!$K$913,"")</f>
        <v/>
      </c>
      <c r="M919" s="284">
        <f>IF(_PENDIENTES!$B$913&lt;&gt;"",_PENDIENTES!$B$913,"")</f>
        <v/>
      </c>
      <c r="N919" s="304">
        <f>IF(_PENDIENTES!$B$913&lt;&gt;"",_PENDIENTES!$L$913,"")</f>
        <v/>
      </c>
      <c r="O919" s="284" t="n"/>
      <c r="P919" s="284" t="n"/>
      <c r="Q919" s="284" t="n"/>
      <c r="R919" s="284" t="n"/>
      <c r="S919" s="284" t="n"/>
    </row>
    <row r="920" hidden="1" ht="15.75" customHeight="1" s="195">
      <c r="A920" s="301">
        <f>IF(_PENDIENTES!$B$914&lt;&gt;"",913,"")</f>
        <v/>
      </c>
      <c r="B920" s="242">
        <f>IF(_PENDIENTES!$B$914&lt;&gt;"",_PENDIENTES!$A$914,"")</f>
        <v/>
      </c>
      <c r="C920" s="302">
        <f>IF(_PENDIENTES!$B$914&lt;&gt;"",_PENDIENTES!$C$914,"")</f>
        <v/>
      </c>
      <c r="D920" s="301">
        <f>IF(_PENDIENTES!$B$914&lt;&gt;"",_PENDIENTES!$D$914,"")</f>
        <v/>
      </c>
      <c r="E920" s="306">
        <f>IF(_PENDIENTES!$B$914&lt;&gt;"",_PENDIENTES!$E$914,"")</f>
        <v/>
      </c>
      <c r="F920" s="301">
        <f>IF(_PENDIENTES!$B$914&lt;&gt;"",_PENDIENTES!$F$914,"")</f>
        <v/>
      </c>
      <c r="G920" s="245">
        <f>IF(_PENDIENTES!$B$914&lt;&gt;"",_PENDIENTES!$G$914,"")</f>
        <v/>
      </c>
      <c r="H920" s="245">
        <f>IF(_PENDIENTES!$B$914&lt;&gt;"",_PENDIENTES!$H$914,"")</f>
        <v/>
      </c>
      <c r="I920" s="302">
        <f>IF(_PENDIENTES!$B$914&lt;&gt;"",_PENDIENTES!$I$914,"")</f>
        <v/>
      </c>
      <c r="J920" s="301">
        <f>IF(_PENDIENTES!$B$914&lt;&gt;"",_PENDIENTES!$J$914,"")</f>
        <v/>
      </c>
      <c r="K920" s="301">
        <f>IF(_PENDIENTES!$B$914&lt;&gt;"","POR RECOGER","")</f>
        <v/>
      </c>
      <c r="L920" s="301">
        <f>IF(_PENDIENTES!$B$914&lt;&gt;"",_PENDIENTES!$K$914,"")</f>
        <v/>
      </c>
      <c r="M920" s="284">
        <f>IF(_PENDIENTES!$B$914&lt;&gt;"",_PENDIENTES!$B$914,"")</f>
        <v/>
      </c>
      <c r="N920" s="304">
        <f>IF(_PENDIENTES!$B$914&lt;&gt;"",_PENDIENTES!$L$914,"")</f>
        <v/>
      </c>
      <c r="O920" s="284" t="n"/>
      <c r="P920" s="284" t="n"/>
      <c r="Q920" s="284" t="n"/>
      <c r="R920" s="284" t="n"/>
      <c r="S920" s="284" t="n"/>
    </row>
    <row r="921" hidden="1" ht="15.75" customHeight="1" s="195">
      <c r="A921" s="241">
        <f>IF(_PENDIENTES!$B$915&lt;&gt;"",914,"")</f>
        <v/>
      </c>
      <c r="B921" s="236">
        <f>IF(_PENDIENTES!$B$915&lt;&gt;"",_PENDIENTES!$A$915,"")</f>
        <v/>
      </c>
      <c r="C921" s="305">
        <f>IF(_PENDIENTES!$B$915&lt;&gt;"",_PENDIENTES!$C$915,"")</f>
        <v/>
      </c>
      <c r="D921" s="241">
        <f>IF(_PENDIENTES!$B$915&lt;&gt;"",_PENDIENTES!$D$915,"")</f>
        <v/>
      </c>
      <c r="E921" s="307">
        <f>IF(_PENDIENTES!$B$915&lt;&gt;"",_PENDIENTES!$E$915,"")</f>
        <v/>
      </c>
      <c r="F921" s="241">
        <f>IF(_PENDIENTES!$B$915&lt;&gt;"",_PENDIENTES!$F$915,"")</f>
        <v/>
      </c>
      <c r="G921" s="239">
        <f>IF(_PENDIENTES!$B$915&lt;&gt;"",_PENDIENTES!$G$915,"")</f>
        <v/>
      </c>
      <c r="H921" s="239">
        <f>IF(_PENDIENTES!$B$915&lt;&gt;"",_PENDIENTES!$H$915,"")</f>
        <v/>
      </c>
      <c r="I921" s="305">
        <f>IF(_PENDIENTES!$B$915&lt;&gt;"",_PENDIENTES!$I$915,"")</f>
        <v/>
      </c>
      <c r="J921" s="241">
        <f>IF(_PENDIENTES!$B$915&lt;&gt;"",_PENDIENTES!$J$915,"")</f>
        <v/>
      </c>
      <c r="K921" s="241">
        <f>IF(_PENDIENTES!$B$915&lt;&gt;"","POR RECOGER","")</f>
        <v/>
      </c>
      <c r="L921" s="241">
        <f>IF(_PENDIENTES!$B$915&lt;&gt;"",_PENDIENTES!$K$915,"")</f>
        <v/>
      </c>
      <c r="M921" s="284">
        <f>IF(_PENDIENTES!$B$915&lt;&gt;"",_PENDIENTES!$B$915,"")</f>
        <v/>
      </c>
      <c r="N921" s="304">
        <f>IF(_PENDIENTES!$B$915&lt;&gt;"",_PENDIENTES!$L$915,"")</f>
        <v/>
      </c>
      <c r="O921" s="284" t="n"/>
      <c r="P921" s="284" t="n"/>
      <c r="Q921" s="284" t="n"/>
      <c r="R921" s="284" t="n"/>
      <c r="S921" s="284" t="n"/>
    </row>
    <row r="922" hidden="1" ht="15.75" customHeight="1" s="195">
      <c r="A922" s="301">
        <f>IF(_PENDIENTES!$B$916&lt;&gt;"",915,"")</f>
        <v/>
      </c>
      <c r="B922" s="242">
        <f>IF(_PENDIENTES!$B$916&lt;&gt;"",_PENDIENTES!$A$916,"")</f>
        <v/>
      </c>
      <c r="C922" s="302">
        <f>IF(_PENDIENTES!$B$916&lt;&gt;"",_PENDIENTES!$C$916,"")</f>
        <v/>
      </c>
      <c r="D922" s="301">
        <f>IF(_PENDIENTES!$B$916&lt;&gt;"",_PENDIENTES!$D$916,"")</f>
        <v/>
      </c>
      <c r="E922" s="306">
        <f>IF(_PENDIENTES!$B$916&lt;&gt;"",_PENDIENTES!$E$916,"")</f>
        <v/>
      </c>
      <c r="F922" s="301">
        <f>IF(_PENDIENTES!$B$916&lt;&gt;"",_PENDIENTES!$F$916,"")</f>
        <v/>
      </c>
      <c r="G922" s="245">
        <f>IF(_PENDIENTES!$B$916&lt;&gt;"",_PENDIENTES!$G$916,"")</f>
        <v/>
      </c>
      <c r="H922" s="245">
        <f>IF(_PENDIENTES!$B$916&lt;&gt;"",_PENDIENTES!$H$916,"")</f>
        <v/>
      </c>
      <c r="I922" s="302">
        <f>IF(_PENDIENTES!$B$916&lt;&gt;"",_PENDIENTES!$I$916,"")</f>
        <v/>
      </c>
      <c r="J922" s="301">
        <f>IF(_PENDIENTES!$B$916&lt;&gt;"",_PENDIENTES!$J$916,"")</f>
        <v/>
      </c>
      <c r="K922" s="301">
        <f>IF(_PENDIENTES!$B$916&lt;&gt;"","POR RECOGER","")</f>
        <v/>
      </c>
      <c r="L922" s="301">
        <f>IF(_PENDIENTES!$B$916&lt;&gt;"",_PENDIENTES!$K$916,"")</f>
        <v/>
      </c>
      <c r="M922" s="284">
        <f>IF(_PENDIENTES!$B$916&lt;&gt;"",_PENDIENTES!$B$916,"")</f>
        <v/>
      </c>
      <c r="N922" s="304">
        <f>IF(_PENDIENTES!$B$916&lt;&gt;"",_PENDIENTES!$L$916,"")</f>
        <v/>
      </c>
      <c r="O922" s="284" t="n"/>
      <c r="P922" s="284" t="n"/>
      <c r="Q922" s="284" t="n"/>
      <c r="R922" s="284" t="n"/>
      <c r="S922" s="284" t="n"/>
    </row>
    <row r="923" hidden="1" ht="15.75" customHeight="1" s="195">
      <c r="A923" s="241">
        <f>IF(_PENDIENTES!$B$917&lt;&gt;"",916,"")</f>
        <v/>
      </c>
      <c r="B923" s="236">
        <f>IF(_PENDIENTES!$B$917&lt;&gt;"",_PENDIENTES!$A$917,"")</f>
        <v/>
      </c>
      <c r="C923" s="305">
        <f>IF(_PENDIENTES!$B$917&lt;&gt;"",_PENDIENTES!$C$917,"")</f>
        <v/>
      </c>
      <c r="D923" s="241">
        <f>IF(_PENDIENTES!$B$917&lt;&gt;"",_PENDIENTES!$D$917,"")</f>
        <v/>
      </c>
      <c r="E923" s="307">
        <f>IF(_PENDIENTES!$B$917&lt;&gt;"",_PENDIENTES!$E$917,"")</f>
        <v/>
      </c>
      <c r="F923" s="241">
        <f>IF(_PENDIENTES!$B$917&lt;&gt;"",_PENDIENTES!$F$917,"")</f>
        <v/>
      </c>
      <c r="G923" s="239">
        <f>IF(_PENDIENTES!$B$917&lt;&gt;"",_PENDIENTES!$G$917,"")</f>
        <v/>
      </c>
      <c r="H923" s="239">
        <f>IF(_PENDIENTES!$B$917&lt;&gt;"",_PENDIENTES!$H$917,"")</f>
        <v/>
      </c>
      <c r="I923" s="305">
        <f>IF(_PENDIENTES!$B$917&lt;&gt;"",_PENDIENTES!$I$917,"")</f>
        <v/>
      </c>
      <c r="J923" s="241">
        <f>IF(_PENDIENTES!$B$917&lt;&gt;"",_PENDIENTES!$J$917,"")</f>
        <v/>
      </c>
      <c r="K923" s="241">
        <f>IF(_PENDIENTES!$B$917&lt;&gt;"","POR RECOGER","")</f>
        <v/>
      </c>
      <c r="L923" s="241">
        <f>IF(_PENDIENTES!$B$917&lt;&gt;"",_PENDIENTES!$K$917,"")</f>
        <v/>
      </c>
      <c r="M923" s="284">
        <f>IF(_PENDIENTES!$B$917&lt;&gt;"",_PENDIENTES!$B$917,"")</f>
        <v/>
      </c>
      <c r="N923" s="304">
        <f>IF(_PENDIENTES!$B$917&lt;&gt;"",_PENDIENTES!$L$917,"")</f>
        <v/>
      </c>
      <c r="O923" s="284" t="n"/>
      <c r="P923" s="284" t="n"/>
      <c r="Q923" s="284" t="n"/>
      <c r="R923" s="284" t="n"/>
      <c r="S923" s="284" t="n"/>
    </row>
    <row r="924" hidden="1" ht="15.75" customHeight="1" s="195">
      <c r="A924" s="301">
        <f>IF(_PENDIENTES!$B$918&lt;&gt;"",917,"")</f>
        <v/>
      </c>
      <c r="B924" s="242">
        <f>IF(_PENDIENTES!$B$918&lt;&gt;"",_PENDIENTES!$A$918,"")</f>
        <v/>
      </c>
      <c r="C924" s="302">
        <f>IF(_PENDIENTES!$B$918&lt;&gt;"",_PENDIENTES!$C$918,"")</f>
        <v/>
      </c>
      <c r="D924" s="301">
        <f>IF(_PENDIENTES!$B$918&lt;&gt;"",_PENDIENTES!$D$918,"")</f>
        <v/>
      </c>
      <c r="E924" s="306">
        <f>IF(_PENDIENTES!$B$918&lt;&gt;"",_PENDIENTES!$E$918,"")</f>
        <v/>
      </c>
      <c r="F924" s="301">
        <f>IF(_PENDIENTES!$B$918&lt;&gt;"",_PENDIENTES!$F$918,"")</f>
        <v/>
      </c>
      <c r="G924" s="245">
        <f>IF(_PENDIENTES!$B$918&lt;&gt;"",_PENDIENTES!$G$918,"")</f>
        <v/>
      </c>
      <c r="H924" s="245">
        <f>IF(_PENDIENTES!$B$918&lt;&gt;"",_PENDIENTES!$H$918,"")</f>
        <v/>
      </c>
      <c r="I924" s="302">
        <f>IF(_PENDIENTES!$B$918&lt;&gt;"",_PENDIENTES!$I$918,"")</f>
        <v/>
      </c>
      <c r="J924" s="301">
        <f>IF(_PENDIENTES!$B$918&lt;&gt;"",_PENDIENTES!$J$918,"")</f>
        <v/>
      </c>
      <c r="K924" s="301">
        <f>IF(_PENDIENTES!$B$918&lt;&gt;"","POR RECOGER","")</f>
        <v/>
      </c>
      <c r="L924" s="301">
        <f>IF(_PENDIENTES!$B$918&lt;&gt;"",_PENDIENTES!$K$918,"")</f>
        <v/>
      </c>
      <c r="M924" s="284">
        <f>IF(_PENDIENTES!$B$918&lt;&gt;"",_PENDIENTES!$B$918,"")</f>
        <v/>
      </c>
      <c r="N924" s="304">
        <f>IF(_PENDIENTES!$B$918&lt;&gt;"",_PENDIENTES!$L$918,"")</f>
        <v/>
      </c>
      <c r="O924" s="284" t="n"/>
      <c r="P924" s="284" t="n"/>
      <c r="Q924" s="284" t="n"/>
      <c r="R924" s="284" t="n"/>
      <c r="S924" s="284" t="n"/>
    </row>
    <row r="925" hidden="1" ht="15.75" customHeight="1" s="195">
      <c r="A925" s="241">
        <f>IF(_PENDIENTES!$B$919&lt;&gt;"",918,"")</f>
        <v/>
      </c>
      <c r="B925" s="236">
        <f>IF(_PENDIENTES!$B$919&lt;&gt;"",_PENDIENTES!$A$919,"")</f>
        <v/>
      </c>
      <c r="C925" s="305">
        <f>IF(_PENDIENTES!$B$919&lt;&gt;"",_PENDIENTES!$C$919,"")</f>
        <v/>
      </c>
      <c r="D925" s="241">
        <f>IF(_PENDIENTES!$B$919&lt;&gt;"",_PENDIENTES!$D$919,"")</f>
        <v/>
      </c>
      <c r="E925" s="307">
        <f>IF(_PENDIENTES!$B$919&lt;&gt;"",_PENDIENTES!$E$919,"")</f>
        <v/>
      </c>
      <c r="F925" s="241">
        <f>IF(_PENDIENTES!$B$919&lt;&gt;"",_PENDIENTES!$F$919,"")</f>
        <v/>
      </c>
      <c r="G925" s="239">
        <f>IF(_PENDIENTES!$B$919&lt;&gt;"",_PENDIENTES!$G$919,"")</f>
        <v/>
      </c>
      <c r="H925" s="239">
        <f>IF(_PENDIENTES!$B$919&lt;&gt;"",_PENDIENTES!$H$919,"")</f>
        <v/>
      </c>
      <c r="I925" s="305">
        <f>IF(_PENDIENTES!$B$919&lt;&gt;"",_PENDIENTES!$I$919,"")</f>
        <v/>
      </c>
      <c r="J925" s="241">
        <f>IF(_PENDIENTES!$B$919&lt;&gt;"",_PENDIENTES!$J$919,"")</f>
        <v/>
      </c>
      <c r="K925" s="241">
        <f>IF(_PENDIENTES!$B$919&lt;&gt;"","POR RECOGER","")</f>
        <v/>
      </c>
      <c r="L925" s="241">
        <f>IF(_PENDIENTES!$B$919&lt;&gt;"",_PENDIENTES!$K$919,"")</f>
        <v/>
      </c>
      <c r="M925" s="284">
        <f>IF(_PENDIENTES!$B$919&lt;&gt;"",_PENDIENTES!$B$919,"")</f>
        <v/>
      </c>
      <c r="N925" s="304">
        <f>IF(_PENDIENTES!$B$919&lt;&gt;"",_PENDIENTES!$L$919,"")</f>
        <v/>
      </c>
      <c r="O925" s="284" t="n"/>
      <c r="P925" s="284" t="n"/>
      <c r="Q925" s="284" t="n"/>
      <c r="R925" s="284" t="n"/>
      <c r="S925" s="284" t="n"/>
    </row>
    <row r="926" hidden="1" ht="15.75" customHeight="1" s="195">
      <c r="A926" s="301">
        <f>IF(_PENDIENTES!$B$920&lt;&gt;"",919,"")</f>
        <v/>
      </c>
      <c r="B926" s="242">
        <f>IF(_PENDIENTES!$B$920&lt;&gt;"",_PENDIENTES!$A$920,"")</f>
        <v/>
      </c>
      <c r="C926" s="302">
        <f>IF(_PENDIENTES!$B$920&lt;&gt;"",_PENDIENTES!$C$920,"")</f>
        <v/>
      </c>
      <c r="D926" s="301">
        <f>IF(_PENDIENTES!$B$920&lt;&gt;"",_PENDIENTES!$D$920,"")</f>
        <v/>
      </c>
      <c r="E926" s="306">
        <f>IF(_PENDIENTES!$B$920&lt;&gt;"",_PENDIENTES!$E$920,"")</f>
        <v/>
      </c>
      <c r="F926" s="301">
        <f>IF(_PENDIENTES!$B$920&lt;&gt;"",_PENDIENTES!$F$920,"")</f>
        <v/>
      </c>
      <c r="G926" s="245">
        <f>IF(_PENDIENTES!$B$920&lt;&gt;"",_PENDIENTES!$G$920,"")</f>
        <v/>
      </c>
      <c r="H926" s="245">
        <f>IF(_PENDIENTES!$B$920&lt;&gt;"",_PENDIENTES!$H$920,"")</f>
        <v/>
      </c>
      <c r="I926" s="302">
        <f>IF(_PENDIENTES!$B$920&lt;&gt;"",_PENDIENTES!$I$920,"")</f>
        <v/>
      </c>
      <c r="J926" s="301">
        <f>IF(_PENDIENTES!$B$920&lt;&gt;"",_PENDIENTES!$J$920,"")</f>
        <v/>
      </c>
      <c r="K926" s="301">
        <f>IF(_PENDIENTES!$B$920&lt;&gt;"","POR RECOGER","")</f>
        <v/>
      </c>
      <c r="L926" s="301">
        <f>IF(_PENDIENTES!$B$920&lt;&gt;"",_PENDIENTES!$K$920,"")</f>
        <v/>
      </c>
      <c r="M926" s="284">
        <f>IF(_PENDIENTES!$B$920&lt;&gt;"",_PENDIENTES!$B$920,"")</f>
        <v/>
      </c>
      <c r="N926" s="304">
        <f>IF(_PENDIENTES!$B$920&lt;&gt;"",_PENDIENTES!$L$920,"")</f>
        <v/>
      </c>
      <c r="O926" s="284" t="n"/>
      <c r="P926" s="284" t="n"/>
      <c r="Q926" s="284" t="n"/>
      <c r="R926" s="284" t="n"/>
      <c r="S926" s="284" t="n"/>
    </row>
    <row r="927" hidden="1" ht="15.75" customHeight="1" s="195">
      <c r="A927" s="241">
        <f>IF(_PENDIENTES!$B$921&lt;&gt;"",920,"")</f>
        <v/>
      </c>
      <c r="B927" s="236">
        <f>IF(_PENDIENTES!$B$921&lt;&gt;"",_PENDIENTES!$A$921,"")</f>
        <v/>
      </c>
      <c r="C927" s="305">
        <f>IF(_PENDIENTES!$B$921&lt;&gt;"",_PENDIENTES!$C$921,"")</f>
        <v/>
      </c>
      <c r="D927" s="241">
        <f>IF(_PENDIENTES!$B$921&lt;&gt;"",_PENDIENTES!$D$921,"")</f>
        <v/>
      </c>
      <c r="E927" s="307">
        <f>IF(_PENDIENTES!$B$921&lt;&gt;"",_PENDIENTES!$E$921,"")</f>
        <v/>
      </c>
      <c r="F927" s="241">
        <f>IF(_PENDIENTES!$B$921&lt;&gt;"",_PENDIENTES!$F$921,"")</f>
        <v/>
      </c>
      <c r="G927" s="239">
        <f>IF(_PENDIENTES!$B$921&lt;&gt;"",_PENDIENTES!$G$921,"")</f>
        <v/>
      </c>
      <c r="H927" s="239">
        <f>IF(_PENDIENTES!$B$921&lt;&gt;"",_PENDIENTES!$H$921,"")</f>
        <v/>
      </c>
      <c r="I927" s="305">
        <f>IF(_PENDIENTES!$B$921&lt;&gt;"",_PENDIENTES!$I$921,"")</f>
        <v/>
      </c>
      <c r="J927" s="241">
        <f>IF(_PENDIENTES!$B$921&lt;&gt;"",_PENDIENTES!$J$921,"")</f>
        <v/>
      </c>
      <c r="K927" s="241">
        <f>IF(_PENDIENTES!$B$921&lt;&gt;"","POR RECOGER","")</f>
        <v/>
      </c>
      <c r="L927" s="241">
        <f>IF(_PENDIENTES!$B$921&lt;&gt;"",_PENDIENTES!$K$921,"")</f>
        <v/>
      </c>
      <c r="M927" s="284">
        <f>IF(_PENDIENTES!$B$921&lt;&gt;"",_PENDIENTES!$B$921,"")</f>
        <v/>
      </c>
      <c r="N927" s="304">
        <f>IF(_PENDIENTES!$B$921&lt;&gt;"",_PENDIENTES!$L$921,"")</f>
        <v/>
      </c>
      <c r="O927" s="284" t="n"/>
      <c r="P927" s="284" t="n"/>
      <c r="Q927" s="284" t="n"/>
      <c r="R927" s="284" t="n"/>
      <c r="S927" s="284" t="n"/>
    </row>
    <row r="928" hidden="1" ht="15.75" customHeight="1" s="195">
      <c r="A928" s="301">
        <f>IF(_PENDIENTES!$B$922&lt;&gt;"",921,"")</f>
        <v/>
      </c>
      <c r="B928" s="242">
        <f>IF(_PENDIENTES!$B$922&lt;&gt;"",_PENDIENTES!$A$922,"")</f>
        <v/>
      </c>
      <c r="C928" s="302">
        <f>IF(_PENDIENTES!$B$922&lt;&gt;"",_PENDIENTES!$C$922,"")</f>
        <v/>
      </c>
      <c r="D928" s="301">
        <f>IF(_PENDIENTES!$B$922&lt;&gt;"",_PENDIENTES!$D$922,"")</f>
        <v/>
      </c>
      <c r="E928" s="306">
        <f>IF(_PENDIENTES!$B$922&lt;&gt;"",_PENDIENTES!$E$922,"")</f>
        <v/>
      </c>
      <c r="F928" s="301">
        <f>IF(_PENDIENTES!$B$922&lt;&gt;"",_PENDIENTES!$F$922,"")</f>
        <v/>
      </c>
      <c r="G928" s="245">
        <f>IF(_PENDIENTES!$B$922&lt;&gt;"",_PENDIENTES!$G$922,"")</f>
        <v/>
      </c>
      <c r="H928" s="245">
        <f>IF(_PENDIENTES!$B$922&lt;&gt;"",_PENDIENTES!$H$922,"")</f>
        <v/>
      </c>
      <c r="I928" s="302">
        <f>IF(_PENDIENTES!$B$922&lt;&gt;"",_PENDIENTES!$I$922,"")</f>
        <v/>
      </c>
      <c r="J928" s="301">
        <f>IF(_PENDIENTES!$B$922&lt;&gt;"",_PENDIENTES!$J$922,"")</f>
        <v/>
      </c>
      <c r="K928" s="301">
        <f>IF(_PENDIENTES!$B$922&lt;&gt;"","POR RECOGER","")</f>
        <v/>
      </c>
      <c r="L928" s="301">
        <f>IF(_PENDIENTES!$B$922&lt;&gt;"",_PENDIENTES!$K$922,"")</f>
        <v/>
      </c>
      <c r="M928" s="284">
        <f>IF(_PENDIENTES!$B$922&lt;&gt;"",_PENDIENTES!$B$922,"")</f>
        <v/>
      </c>
      <c r="N928" s="304">
        <f>IF(_PENDIENTES!$B$922&lt;&gt;"",_PENDIENTES!$L$922,"")</f>
        <v/>
      </c>
      <c r="O928" s="284" t="n"/>
      <c r="P928" s="284" t="n"/>
      <c r="Q928" s="284" t="n"/>
      <c r="R928" s="284" t="n"/>
      <c r="S928" s="284" t="n"/>
    </row>
    <row r="929" hidden="1" ht="15.75" customHeight="1" s="195">
      <c r="A929" s="241">
        <f>IF(_PENDIENTES!$B$923&lt;&gt;"",922,"")</f>
        <v/>
      </c>
      <c r="B929" s="236">
        <f>IF(_PENDIENTES!$B$923&lt;&gt;"",_PENDIENTES!$A$923,"")</f>
        <v/>
      </c>
      <c r="C929" s="305">
        <f>IF(_PENDIENTES!$B$923&lt;&gt;"",_PENDIENTES!$C$923,"")</f>
        <v/>
      </c>
      <c r="D929" s="241">
        <f>IF(_PENDIENTES!$B$923&lt;&gt;"",_PENDIENTES!$D$923,"")</f>
        <v/>
      </c>
      <c r="E929" s="307">
        <f>IF(_PENDIENTES!$B$923&lt;&gt;"",_PENDIENTES!$E$923,"")</f>
        <v/>
      </c>
      <c r="F929" s="241">
        <f>IF(_PENDIENTES!$B$923&lt;&gt;"",_PENDIENTES!$F$923,"")</f>
        <v/>
      </c>
      <c r="G929" s="239">
        <f>IF(_PENDIENTES!$B$923&lt;&gt;"",_PENDIENTES!$G$923,"")</f>
        <v/>
      </c>
      <c r="H929" s="239">
        <f>IF(_PENDIENTES!$B$923&lt;&gt;"",_PENDIENTES!$H$923,"")</f>
        <v/>
      </c>
      <c r="I929" s="305">
        <f>IF(_PENDIENTES!$B$923&lt;&gt;"",_PENDIENTES!$I$923,"")</f>
        <v/>
      </c>
      <c r="J929" s="241">
        <f>IF(_PENDIENTES!$B$923&lt;&gt;"",_PENDIENTES!$J$923,"")</f>
        <v/>
      </c>
      <c r="K929" s="241">
        <f>IF(_PENDIENTES!$B$923&lt;&gt;"","POR RECOGER","")</f>
        <v/>
      </c>
      <c r="L929" s="241">
        <f>IF(_PENDIENTES!$B$923&lt;&gt;"",_PENDIENTES!$K$923,"")</f>
        <v/>
      </c>
      <c r="M929" s="284">
        <f>IF(_PENDIENTES!$B$923&lt;&gt;"",_PENDIENTES!$B$923,"")</f>
        <v/>
      </c>
      <c r="N929" s="304">
        <f>IF(_PENDIENTES!$B$923&lt;&gt;"",_PENDIENTES!$L$923,"")</f>
        <v/>
      </c>
      <c r="O929" s="284" t="n"/>
      <c r="P929" s="284" t="n"/>
      <c r="Q929" s="284" t="n"/>
      <c r="R929" s="284" t="n"/>
      <c r="S929" s="284" t="n"/>
    </row>
    <row r="930" hidden="1" ht="15.75" customHeight="1" s="195">
      <c r="A930" s="301">
        <f>IF(_PENDIENTES!$B$924&lt;&gt;"",923,"")</f>
        <v/>
      </c>
      <c r="B930" s="242">
        <f>IF(_PENDIENTES!$B$924&lt;&gt;"",_PENDIENTES!$A$924,"")</f>
        <v/>
      </c>
      <c r="C930" s="302">
        <f>IF(_PENDIENTES!$B$924&lt;&gt;"",_PENDIENTES!$C$924,"")</f>
        <v/>
      </c>
      <c r="D930" s="301">
        <f>IF(_PENDIENTES!$B$924&lt;&gt;"",_PENDIENTES!$D$924,"")</f>
        <v/>
      </c>
      <c r="E930" s="306">
        <f>IF(_PENDIENTES!$B$924&lt;&gt;"",_PENDIENTES!$E$924,"")</f>
        <v/>
      </c>
      <c r="F930" s="301">
        <f>IF(_PENDIENTES!$B$924&lt;&gt;"",_PENDIENTES!$F$924,"")</f>
        <v/>
      </c>
      <c r="G930" s="245">
        <f>IF(_PENDIENTES!$B$924&lt;&gt;"",_PENDIENTES!$G$924,"")</f>
        <v/>
      </c>
      <c r="H930" s="245">
        <f>IF(_PENDIENTES!$B$924&lt;&gt;"",_PENDIENTES!$H$924,"")</f>
        <v/>
      </c>
      <c r="I930" s="302">
        <f>IF(_PENDIENTES!$B$924&lt;&gt;"",_PENDIENTES!$I$924,"")</f>
        <v/>
      </c>
      <c r="J930" s="301">
        <f>IF(_PENDIENTES!$B$924&lt;&gt;"",_PENDIENTES!$J$924,"")</f>
        <v/>
      </c>
      <c r="K930" s="301">
        <f>IF(_PENDIENTES!$B$924&lt;&gt;"","POR RECOGER","")</f>
        <v/>
      </c>
      <c r="L930" s="301">
        <f>IF(_PENDIENTES!$B$924&lt;&gt;"",_PENDIENTES!$K$924,"")</f>
        <v/>
      </c>
      <c r="M930" s="284">
        <f>IF(_PENDIENTES!$B$924&lt;&gt;"",_PENDIENTES!$B$924,"")</f>
        <v/>
      </c>
      <c r="N930" s="304">
        <f>IF(_PENDIENTES!$B$924&lt;&gt;"",_PENDIENTES!$L$924,"")</f>
        <v/>
      </c>
      <c r="O930" s="284" t="n"/>
      <c r="P930" s="284" t="n"/>
      <c r="Q930" s="284" t="n"/>
      <c r="R930" s="284" t="n"/>
      <c r="S930" s="284" t="n"/>
    </row>
    <row r="931" hidden="1" ht="15.75" customHeight="1" s="195">
      <c r="A931" s="241">
        <f>IF(_PENDIENTES!$B$925&lt;&gt;"",924,"")</f>
        <v/>
      </c>
      <c r="B931" s="236">
        <f>IF(_PENDIENTES!$B$925&lt;&gt;"",_PENDIENTES!$A$925,"")</f>
        <v/>
      </c>
      <c r="C931" s="305">
        <f>IF(_PENDIENTES!$B$925&lt;&gt;"",_PENDIENTES!$C$925,"")</f>
        <v/>
      </c>
      <c r="D931" s="241">
        <f>IF(_PENDIENTES!$B$925&lt;&gt;"",_PENDIENTES!$D$925,"")</f>
        <v/>
      </c>
      <c r="E931" s="307">
        <f>IF(_PENDIENTES!$B$925&lt;&gt;"",_PENDIENTES!$E$925,"")</f>
        <v/>
      </c>
      <c r="F931" s="241">
        <f>IF(_PENDIENTES!$B$925&lt;&gt;"",_PENDIENTES!$F$925,"")</f>
        <v/>
      </c>
      <c r="G931" s="239">
        <f>IF(_PENDIENTES!$B$925&lt;&gt;"",_PENDIENTES!$G$925,"")</f>
        <v/>
      </c>
      <c r="H931" s="239">
        <f>IF(_PENDIENTES!$B$925&lt;&gt;"",_PENDIENTES!$H$925,"")</f>
        <v/>
      </c>
      <c r="I931" s="305">
        <f>IF(_PENDIENTES!$B$925&lt;&gt;"",_PENDIENTES!$I$925,"")</f>
        <v/>
      </c>
      <c r="J931" s="241">
        <f>IF(_PENDIENTES!$B$925&lt;&gt;"",_PENDIENTES!$J$925,"")</f>
        <v/>
      </c>
      <c r="K931" s="241">
        <f>IF(_PENDIENTES!$B$925&lt;&gt;"","POR RECOGER","")</f>
        <v/>
      </c>
      <c r="L931" s="241">
        <f>IF(_PENDIENTES!$B$925&lt;&gt;"",_PENDIENTES!$K$925,"")</f>
        <v/>
      </c>
      <c r="M931" s="284">
        <f>IF(_PENDIENTES!$B$925&lt;&gt;"",_PENDIENTES!$B$925,"")</f>
        <v/>
      </c>
      <c r="N931" s="304">
        <f>IF(_PENDIENTES!$B$925&lt;&gt;"",_PENDIENTES!$L$925,"")</f>
        <v/>
      </c>
      <c r="O931" s="284" t="n"/>
      <c r="P931" s="284" t="n"/>
      <c r="Q931" s="284" t="n"/>
      <c r="R931" s="284" t="n"/>
      <c r="S931" s="284" t="n"/>
    </row>
    <row r="932" hidden="1" ht="15.75" customHeight="1" s="195">
      <c r="A932" s="301">
        <f>IF(_PENDIENTES!$B$926&lt;&gt;"",925,"")</f>
        <v/>
      </c>
      <c r="B932" s="242">
        <f>IF(_PENDIENTES!$B$926&lt;&gt;"",_PENDIENTES!$A$926,"")</f>
        <v/>
      </c>
      <c r="C932" s="302">
        <f>IF(_PENDIENTES!$B$926&lt;&gt;"",_PENDIENTES!$C$926,"")</f>
        <v/>
      </c>
      <c r="D932" s="301">
        <f>IF(_PENDIENTES!$B$926&lt;&gt;"",_PENDIENTES!$D$926,"")</f>
        <v/>
      </c>
      <c r="E932" s="306">
        <f>IF(_PENDIENTES!$B$926&lt;&gt;"",_PENDIENTES!$E$926,"")</f>
        <v/>
      </c>
      <c r="F932" s="301">
        <f>IF(_PENDIENTES!$B$926&lt;&gt;"",_PENDIENTES!$F$926,"")</f>
        <v/>
      </c>
      <c r="G932" s="245">
        <f>IF(_PENDIENTES!$B$926&lt;&gt;"",_PENDIENTES!$G$926,"")</f>
        <v/>
      </c>
      <c r="H932" s="245">
        <f>IF(_PENDIENTES!$B$926&lt;&gt;"",_PENDIENTES!$H$926,"")</f>
        <v/>
      </c>
      <c r="I932" s="302">
        <f>IF(_PENDIENTES!$B$926&lt;&gt;"",_PENDIENTES!$I$926,"")</f>
        <v/>
      </c>
      <c r="J932" s="301">
        <f>IF(_PENDIENTES!$B$926&lt;&gt;"",_PENDIENTES!$J$926,"")</f>
        <v/>
      </c>
      <c r="K932" s="301">
        <f>IF(_PENDIENTES!$B$926&lt;&gt;"","POR RECOGER","")</f>
        <v/>
      </c>
      <c r="L932" s="301">
        <f>IF(_PENDIENTES!$B$926&lt;&gt;"",_PENDIENTES!$K$926,"")</f>
        <v/>
      </c>
      <c r="M932" s="284">
        <f>IF(_PENDIENTES!$B$926&lt;&gt;"",_PENDIENTES!$B$926,"")</f>
        <v/>
      </c>
      <c r="N932" s="304">
        <f>IF(_PENDIENTES!$B$926&lt;&gt;"",_PENDIENTES!$L$926,"")</f>
        <v/>
      </c>
      <c r="O932" s="284" t="n"/>
      <c r="P932" s="284" t="n"/>
      <c r="Q932" s="284" t="n"/>
      <c r="R932" s="284" t="n"/>
      <c r="S932" s="284" t="n"/>
    </row>
    <row r="933" hidden="1" ht="15.75" customHeight="1" s="195">
      <c r="A933" s="241">
        <f>IF(_PENDIENTES!$B$927&lt;&gt;"",926,"")</f>
        <v/>
      </c>
      <c r="B933" s="236">
        <f>IF(_PENDIENTES!$B$927&lt;&gt;"",_PENDIENTES!$A$927,"")</f>
        <v/>
      </c>
      <c r="C933" s="305">
        <f>IF(_PENDIENTES!$B$927&lt;&gt;"",_PENDIENTES!$C$927,"")</f>
        <v/>
      </c>
      <c r="D933" s="241">
        <f>IF(_PENDIENTES!$B$927&lt;&gt;"",_PENDIENTES!$D$927,"")</f>
        <v/>
      </c>
      <c r="E933" s="307">
        <f>IF(_PENDIENTES!$B$927&lt;&gt;"",_PENDIENTES!$E$927,"")</f>
        <v/>
      </c>
      <c r="F933" s="241">
        <f>IF(_PENDIENTES!$B$927&lt;&gt;"",_PENDIENTES!$F$927,"")</f>
        <v/>
      </c>
      <c r="G933" s="239">
        <f>IF(_PENDIENTES!$B$927&lt;&gt;"",_PENDIENTES!$G$927,"")</f>
        <v/>
      </c>
      <c r="H933" s="239">
        <f>IF(_PENDIENTES!$B$927&lt;&gt;"",_PENDIENTES!$H$927,"")</f>
        <v/>
      </c>
      <c r="I933" s="305">
        <f>IF(_PENDIENTES!$B$927&lt;&gt;"",_PENDIENTES!$I$927,"")</f>
        <v/>
      </c>
      <c r="J933" s="241">
        <f>IF(_PENDIENTES!$B$927&lt;&gt;"",_PENDIENTES!$J$927,"")</f>
        <v/>
      </c>
      <c r="K933" s="241">
        <f>IF(_PENDIENTES!$B$927&lt;&gt;"","POR RECOGER","")</f>
        <v/>
      </c>
      <c r="L933" s="241">
        <f>IF(_PENDIENTES!$B$927&lt;&gt;"",_PENDIENTES!$K$927,"")</f>
        <v/>
      </c>
      <c r="M933" s="284">
        <f>IF(_PENDIENTES!$B$927&lt;&gt;"",_PENDIENTES!$B$927,"")</f>
        <v/>
      </c>
      <c r="N933" s="304">
        <f>IF(_PENDIENTES!$B$927&lt;&gt;"",_PENDIENTES!$L$927,"")</f>
        <v/>
      </c>
      <c r="O933" s="284" t="n"/>
      <c r="P933" s="284" t="n"/>
      <c r="Q933" s="284" t="n"/>
      <c r="R933" s="284" t="n"/>
      <c r="S933" s="284" t="n"/>
    </row>
    <row r="934" hidden="1" ht="15.75" customHeight="1" s="195">
      <c r="A934" s="301">
        <f>IF(_PENDIENTES!$B$928&lt;&gt;"",927,"")</f>
        <v/>
      </c>
      <c r="B934" s="242">
        <f>IF(_PENDIENTES!$B$928&lt;&gt;"",_PENDIENTES!$A$928,"")</f>
        <v/>
      </c>
      <c r="C934" s="302">
        <f>IF(_PENDIENTES!$B$928&lt;&gt;"",_PENDIENTES!$C$928,"")</f>
        <v/>
      </c>
      <c r="D934" s="301">
        <f>IF(_PENDIENTES!$B$928&lt;&gt;"",_PENDIENTES!$D$928,"")</f>
        <v/>
      </c>
      <c r="E934" s="306">
        <f>IF(_PENDIENTES!$B$928&lt;&gt;"",_PENDIENTES!$E$928,"")</f>
        <v/>
      </c>
      <c r="F934" s="301">
        <f>IF(_PENDIENTES!$B$928&lt;&gt;"",_PENDIENTES!$F$928,"")</f>
        <v/>
      </c>
      <c r="G934" s="245">
        <f>IF(_PENDIENTES!$B$928&lt;&gt;"",_PENDIENTES!$G$928,"")</f>
        <v/>
      </c>
      <c r="H934" s="245">
        <f>IF(_PENDIENTES!$B$928&lt;&gt;"",_PENDIENTES!$H$928,"")</f>
        <v/>
      </c>
      <c r="I934" s="302">
        <f>IF(_PENDIENTES!$B$928&lt;&gt;"",_PENDIENTES!$I$928,"")</f>
        <v/>
      </c>
      <c r="J934" s="301">
        <f>IF(_PENDIENTES!$B$928&lt;&gt;"",_PENDIENTES!$J$928,"")</f>
        <v/>
      </c>
      <c r="K934" s="301">
        <f>IF(_PENDIENTES!$B$928&lt;&gt;"","POR RECOGER","")</f>
        <v/>
      </c>
      <c r="L934" s="301">
        <f>IF(_PENDIENTES!$B$928&lt;&gt;"",_PENDIENTES!$K$928,"")</f>
        <v/>
      </c>
      <c r="M934" s="284">
        <f>IF(_PENDIENTES!$B$928&lt;&gt;"",_PENDIENTES!$B$928,"")</f>
        <v/>
      </c>
      <c r="N934" s="304">
        <f>IF(_PENDIENTES!$B$928&lt;&gt;"",_PENDIENTES!$L$928,"")</f>
        <v/>
      </c>
      <c r="O934" s="284" t="n"/>
      <c r="P934" s="284" t="n"/>
      <c r="Q934" s="284" t="n"/>
      <c r="R934" s="284" t="n"/>
      <c r="S934" s="284" t="n"/>
    </row>
    <row r="935" hidden="1" ht="15.75" customHeight="1" s="195">
      <c r="A935" s="241">
        <f>IF(_PENDIENTES!$B$929&lt;&gt;"",928,"")</f>
        <v/>
      </c>
      <c r="B935" s="236">
        <f>IF(_PENDIENTES!$B$929&lt;&gt;"",_PENDIENTES!$A$929,"")</f>
        <v/>
      </c>
      <c r="C935" s="305">
        <f>IF(_PENDIENTES!$B$929&lt;&gt;"",_PENDIENTES!$C$929,"")</f>
        <v/>
      </c>
      <c r="D935" s="241">
        <f>IF(_PENDIENTES!$B$929&lt;&gt;"",_PENDIENTES!$D$929,"")</f>
        <v/>
      </c>
      <c r="E935" s="307">
        <f>IF(_PENDIENTES!$B$929&lt;&gt;"",_PENDIENTES!$E$929,"")</f>
        <v/>
      </c>
      <c r="F935" s="241">
        <f>IF(_PENDIENTES!$B$929&lt;&gt;"",_PENDIENTES!$F$929,"")</f>
        <v/>
      </c>
      <c r="G935" s="239">
        <f>IF(_PENDIENTES!$B$929&lt;&gt;"",_PENDIENTES!$G$929,"")</f>
        <v/>
      </c>
      <c r="H935" s="239">
        <f>IF(_PENDIENTES!$B$929&lt;&gt;"",_PENDIENTES!$H$929,"")</f>
        <v/>
      </c>
      <c r="I935" s="305">
        <f>IF(_PENDIENTES!$B$929&lt;&gt;"",_PENDIENTES!$I$929,"")</f>
        <v/>
      </c>
      <c r="J935" s="241">
        <f>IF(_PENDIENTES!$B$929&lt;&gt;"",_PENDIENTES!$J$929,"")</f>
        <v/>
      </c>
      <c r="K935" s="241">
        <f>IF(_PENDIENTES!$B$929&lt;&gt;"","POR RECOGER","")</f>
        <v/>
      </c>
      <c r="L935" s="241">
        <f>IF(_PENDIENTES!$B$929&lt;&gt;"",_PENDIENTES!$K$929,"")</f>
        <v/>
      </c>
      <c r="M935" s="284">
        <f>IF(_PENDIENTES!$B$929&lt;&gt;"",_PENDIENTES!$B$929,"")</f>
        <v/>
      </c>
      <c r="N935" s="304">
        <f>IF(_PENDIENTES!$B$929&lt;&gt;"",_PENDIENTES!$L$929,"")</f>
        <v/>
      </c>
      <c r="O935" s="284" t="n"/>
      <c r="P935" s="284" t="n"/>
      <c r="Q935" s="284" t="n"/>
      <c r="R935" s="284" t="n"/>
      <c r="S935" s="284" t="n"/>
    </row>
    <row r="936" hidden="1" ht="15.75" customHeight="1" s="195">
      <c r="A936" s="301">
        <f>IF(_PENDIENTES!$B$930&lt;&gt;"",929,"")</f>
        <v/>
      </c>
      <c r="B936" s="242">
        <f>IF(_PENDIENTES!$B$930&lt;&gt;"",_PENDIENTES!$A$930,"")</f>
        <v/>
      </c>
      <c r="C936" s="302">
        <f>IF(_PENDIENTES!$B$930&lt;&gt;"",_PENDIENTES!$C$930,"")</f>
        <v/>
      </c>
      <c r="D936" s="301">
        <f>IF(_PENDIENTES!$B$930&lt;&gt;"",_PENDIENTES!$D$930,"")</f>
        <v/>
      </c>
      <c r="E936" s="306">
        <f>IF(_PENDIENTES!$B$930&lt;&gt;"",_PENDIENTES!$E$930,"")</f>
        <v/>
      </c>
      <c r="F936" s="301">
        <f>IF(_PENDIENTES!$B$930&lt;&gt;"",_PENDIENTES!$F$930,"")</f>
        <v/>
      </c>
      <c r="G936" s="245">
        <f>IF(_PENDIENTES!$B$930&lt;&gt;"",_PENDIENTES!$G$930,"")</f>
        <v/>
      </c>
      <c r="H936" s="245">
        <f>IF(_PENDIENTES!$B$930&lt;&gt;"",_PENDIENTES!$H$930,"")</f>
        <v/>
      </c>
      <c r="I936" s="302">
        <f>IF(_PENDIENTES!$B$930&lt;&gt;"",_PENDIENTES!$I$930,"")</f>
        <v/>
      </c>
      <c r="J936" s="301">
        <f>IF(_PENDIENTES!$B$930&lt;&gt;"",_PENDIENTES!$J$930,"")</f>
        <v/>
      </c>
      <c r="K936" s="301">
        <f>IF(_PENDIENTES!$B$930&lt;&gt;"","POR RECOGER","")</f>
        <v/>
      </c>
      <c r="L936" s="301">
        <f>IF(_PENDIENTES!$B$930&lt;&gt;"",_PENDIENTES!$K$930,"")</f>
        <v/>
      </c>
      <c r="M936" s="284">
        <f>IF(_PENDIENTES!$B$930&lt;&gt;"",_PENDIENTES!$B$930,"")</f>
        <v/>
      </c>
      <c r="N936" s="304">
        <f>IF(_PENDIENTES!$B$930&lt;&gt;"",_PENDIENTES!$L$930,"")</f>
        <v/>
      </c>
      <c r="O936" s="284" t="n"/>
      <c r="P936" s="284" t="n"/>
      <c r="Q936" s="284" t="n"/>
      <c r="R936" s="284" t="n"/>
      <c r="S936" s="284" t="n"/>
    </row>
    <row r="937" hidden="1" ht="15.75" customHeight="1" s="195">
      <c r="A937" s="241">
        <f>IF(_PENDIENTES!$B$931&lt;&gt;"",930,"")</f>
        <v/>
      </c>
      <c r="B937" s="236">
        <f>IF(_PENDIENTES!$B$931&lt;&gt;"",_PENDIENTES!$A$931,"")</f>
        <v/>
      </c>
      <c r="C937" s="305">
        <f>IF(_PENDIENTES!$B$931&lt;&gt;"",_PENDIENTES!$C$931,"")</f>
        <v/>
      </c>
      <c r="D937" s="241">
        <f>IF(_PENDIENTES!$B$931&lt;&gt;"",_PENDIENTES!$D$931,"")</f>
        <v/>
      </c>
      <c r="E937" s="307">
        <f>IF(_PENDIENTES!$B$931&lt;&gt;"",_PENDIENTES!$E$931,"")</f>
        <v/>
      </c>
      <c r="F937" s="241">
        <f>IF(_PENDIENTES!$B$931&lt;&gt;"",_PENDIENTES!$F$931,"")</f>
        <v/>
      </c>
      <c r="G937" s="239">
        <f>IF(_PENDIENTES!$B$931&lt;&gt;"",_PENDIENTES!$G$931,"")</f>
        <v/>
      </c>
      <c r="H937" s="239">
        <f>IF(_PENDIENTES!$B$931&lt;&gt;"",_PENDIENTES!$H$931,"")</f>
        <v/>
      </c>
      <c r="I937" s="305">
        <f>IF(_PENDIENTES!$B$931&lt;&gt;"",_PENDIENTES!$I$931,"")</f>
        <v/>
      </c>
      <c r="J937" s="241">
        <f>IF(_PENDIENTES!$B$931&lt;&gt;"",_PENDIENTES!$J$931,"")</f>
        <v/>
      </c>
      <c r="K937" s="241">
        <f>IF(_PENDIENTES!$B$931&lt;&gt;"","POR RECOGER","")</f>
        <v/>
      </c>
      <c r="L937" s="241">
        <f>IF(_PENDIENTES!$B$931&lt;&gt;"",_PENDIENTES!$K$931,"")</f>
        <v/>
      </c>
      <c r="M937" s="284">
        <f>IF(_PENDIENTES!$B$931&lt;&gt;"",_PENDIENTES!$B$931,"")</f>
        <v/>
      </c>
      <c r="N937" s="304">
        <f>IF(_PENDIENTES!$B$931&lt;&gt;"",_PENDIENTES!$L$931,"")</f>
        <v/>
      </c>
      <c r="O937" s="284" t="n"/>
      <c r="P937" s="284" t="n"/>
      <c r="Q937" s="284" t="n"/>
      <c r="R937" s="284" t="n"/>
      <c r="S937" s="284" t="n"/>
    </row>
    <row r="938" hidden="1" ht="15.75" customHeight="1" s="195">
      <c r="A938" s="301">
        <f>IF(_PENDIENTES!$B$932&lt;&gt;"",931,"")</f>
        <v/>
      </c>
      <c r="B938" s="242">
        <f>IF(_PENDIENTES!$B$932&lt;&gt;"",_PENDIENTES!$A$932,"")</f>
        <v/>
      </c>
      <c r="C938" s="302">
        <f>IF(_PENDIENTES!$B$932&lt;&gt;"",_PENDIENTES!$C$932,"")</f>
        <v/>
      </c>
      <c r="D938" s="301">
        <f>IF(_PENDIENTES!$B$932&lt;&gt;"",_PENDIENTES!$D$932,"")</f>
        <v/>
      </c>
      <c r="E938" s="306">
        <f>IF(_PENDIENTES!$B$932&lt;&gt;"",_PENDIENTES!$E$932,"")</f>
        <v/>
      </c>
      <c r="F938" s="301">
        <f>IF(_PENDIENTES!$B$932&lt;&gt;"",_PENDIENTES!$F$932,"")</f>
        <v/>
      </c>
      <c r="G938" s="245">
        <f>IF(_PENDIENTES!$B$932&lt;&gt;"",_PENDIENTES!$G$932,"")</f>
        <v/>
      </c>
      <c r="H938" s="245">
        <f>IF(_PENDIENTES!$B$932&lt;&gt;"",_PENDIENTES!$H$932,"")</f>
        <v/>
      </c>
      <c r="I938" s="302">
        <f>IF(_PENDIENTES!$B$932&lt;&gt;"",_PENDIENTES!$I$932,"")</f>
        <v/>
      </c>
      <c r="J938" s="301">
        <f>IF(_PENDIENTES!$B$932&lt;&gt;"",_PENDIENTES!$J$932,"")</f>
        <v/>
      </c>
      <c r="K938" s="301">
        <f>IF(_PENDIENTES!$B$932&lt;&gt;"","POR RECOGER","")</f>
        <v/>
      </c>
      <c r="L938" s="301">
        <f>IF(_PENDIENTES!$B$932&lt;&gt;"",_PENDIENTES!$K$932,"")</f>
        <v/>
      </c>
      <c r="M938" s="284">
        <f>IF(_PENDIENTES!$B$932&lt;&gt;"",_PENDIENTES!$B$932,"")</f>
        <v/>
      </c>
      <c r="N938" s="304">
        <f>IF(_PENDIENTES!$B$932&lt;&gt;"",_PENDIENTES!$L$932,"")</f>
        <v/>
      </c>
      <c r="O938" s="284" t="n"/>
      <c r="P938" s="284" t="n"/>
      <c r="Q938" s="284" t="n"/>
      <c r="R938" s="284" t="n"/>
      <c r="S938" s="284" t="n"/>
    </row>
    <row r="939" hidden="1" ht="15.75" customHeight="1" s="195">
      <c r="A939" s="241">
        <f>IF(_PENDIENTES!$B$933&lt;&gt;"",932,"")</f>
        <v/>
      </c>
      <c r="B939" s="236">
        <f>IF(_PENDIENTES!$B$933&lt;&gt;"",_PENDIENTES!$A$933,"")</f>
        <v/>
      </c>
      <c r="C939" s="305">
        <f>IF(_PENDIENTES!$B$933&lt;&gt;"",_PENDIENTES!$C$933,"")</f>
        <v/>
      </c>
      <c r="D939" s="241">
        <f>IF(_PENDIENTES!$B$933&lt;&gt;"",_PENDIENTES!$D$933,"")</f>
        <v/>
      </c>
      <c r="E939" s="307">
        <f>IF(_PENDIENTES!$B$933&lt;&gt;"",_PENDIENTES!$E$933,"")</f>
        <v/>
      </c>
      <c r="F939" s="241">
        <f>IF(_PENDIENTES!$B$933&lt;&gt;"",_PENDIENTES!$F$933,"")</f>
        <v/>
      </c>
      <c r="G939" s="239">
        <f>IF(_PENDIENTES!$B$933&lt;&gt;"",_PENDIENTES!$G$933,"")</f>
        <v/>
      </c>
      <c r="H939" s="239">
        <f>IF(_PENDIENTES!$B$933&lt;&gt;"",_PENDIENTES!$H$933,"")</f>
        <v/>
      </c>
      <c r="I939" s="305">
        <f>IF(_PENDIENTES!$B$933&lt;&gt;"",_PENDIENTES!$I$933,"")</f>
        <v/>
      </c>
      <c r="J939" s="241">
        <f>IF(_PENDIENTES!$B$933&lt;&gt;"",_PENDIENTES!$J$933,"")</f>
        <v/>
      </c>
      <c r="K939" s="241">
        <f>IF(_PENDIENTES!$B$933&lt;&gt;"","POR RECOGER","")</f>
        <v/>
      </c>
      <c r="L939" s="241">
        <f>IF(_PENDIENTES!$B$933&lt;&gt;"",_PENDIENTES!$K$933,"")</f>
        <v/>
      </c>
      <c r="M939" s="284">
        <f>IF(_PENDIENTES!$B$933&lt;&gt;"",_PENDIENTES!$B$933,"")</f>
        <v/>
      </c>
      <c r="N939" s="304">
        <f>IF(_PENDIENTES!$B$933&lt;&gt;"",_PENDIENTES!$L$933,"")</f>
        <v/>
      </c>
      <c r="O939" s="284" t="n"/>
      <c r="P939" s="284" t="n"/>
      <c r="Q939" s="284" t="n"/>
      <c r="R939" s="284" t="n"/>
      <c r="S939" s="284" t="n"/>
    </row>
    <row r="940" hidden="1" ht="15.75" customHeight="1" s="195">
      <c r="A940" s="301">
        <f>IF(_PENDIENTES!$B$934&lt;&gt;"",933,"")</f>
        <v/>
      </c>
      <c r="B940" s="242">
        <f>IF(_PENDIENTES!$B$934&lt;&gt;"",_PENDIENTES!$A$934,"")</f>
        <v/>
      </c>
      <c r="C940" s="302">
        <f>IF(_PENDIENTES!$B$934&lt;&gt;"",_PENDIENTES!$C$934,"")</f>
        <v/>
      </c>
      <c r="D940" s="301">
        <f>IF(_PENDIENTES!$B$934&lt;&gt;"",_PENDIENTES!$D$934,"")</f>
        <v/>
      </c>
      <c r="E940" s="306">
        <f>IF(_PENDIENTES!$B$934&lt;&gt;"",_PENDIENTES!$E$934,"")</f>
        <v/>
      </c>
      <c r="F940" s="301">
        <f>IF(_PENDIENTES!$B$934&lt;&gt;"",_PENDIENTES!$F$934,"")</f>
        <v/>
      </c>
      <c r="G940" s="245">
        <f>IF(_PENDIENTES!$B$934&lt;&gt;"",_PENDIENTES!$G$934,"")</f>
        <v/>
      </c>
      <c r="H940" s="245">
        <f>IF(_PENDIENTES!$B$934&lt;&gt;"",_PENDIENTES!$H$934,"")</f>
        <v/>
      </c>
      <c r="I940" s="302">
        <f>IF(_PENDIENTES!$B$934&lt;&gt;"",_PENDIENTES!$I$934,"")</f>
        <v/>
      </c>
      <c r="J940" s="301">
        <f>IF(_PENDIENTES!$B$934&lt;&gt;"",_PENDIENTES!$J$934,"")</f>
        <v/>
      </c>
      <c r="K940" s="301">
        <f>IF(_PENDIENTES!$B$934&lt;&gt;"","POR RECOGER","")</f>
        <v/>
      </c>
      <c r="L940" s="301">
        <f>IF(_PENDIENTES!$B$934&lt;&gt;"",_PENDIENTES!$K$934,"")</f>
        <v/>
      </c>
      <c r="M940" s="284">
        <f>IF(_PENDIENTES!$B$934&lt;&gt;"",_PENDIENTES!$B$934,"")</f>
        <v/>
      </c>
      <c r="N940" s="304">
        <f>IF(_PENDIENTES!$B$934&lt;&gt;"",_PENDIENTES!$L$934,"")</f>
        <v/>
      </c>
      <c r="O940" s="284" t="n"/>
      <c r="P940" s="284" t="n"/>
      <c r="Q940" s="284" t="n"/>
      <c r="R940" s="284" t="n"/>
      <c r="S940" s="284" t="n"/>
    </row>
    <row r="941" hidden="1" ht="15.75" customHeight="1" s="195">
      <c r="A941" s="241">
        <f>IF(_PENDIENTES!$B$935&lt;&gt;"",934,"")</f>
        <v/>
      </c>
      <c r="B941" s="236">
        <f>IF(_PENDIENTES!$B$935&lt;&gt;"",_PENDIENTES!$A$935,"")</f>
        <v/>
      </c>
      <c r="C941" s="305">
        <f>IF(_PENDIENTES!$B$935&lt;&gt;"",_PENDIENTES!$C$935,"")</f>
        <v/>
      </c>
      <c r="D941" s="241">
        <f>IF(_PENDIENTES!$B$935&lt;&gt;"",_PENDIENTES!$D$935,"")</f>
        <v/>
      </c>
      <c r="E941" s="307">
        <f>IF(_PENDIENTES!$B$935&lt;&gt;"",_PENDIENTES!$E$935,"")</f>
        <v/>
      </c>
      <c r="F941" s="241">
        <f>IF(_PENDIENTES!$B$935&lt;&gt;"",_PENDIENTES!$F$935,"")</f>
        <v/>
      </c>
      <c r="G941" s="239">
        <f>IF(_PENDIENTES!$B$935&lt;&gt;"",_PENDIENTES!$G$935,"")</f>
        <v/>
      </c>
      <c r="H941" s="239">
        <f>IF(_PENDIENTES!$B$935&lt;&gt;"",_PENDIENTES!$H$935,"")</f>
        <v/>
      </c>
      <c r="I941" s="305">
        <f>IF(_PENDIENTES!$B$935&lt;&gt;"",_PENDIENTES!$I$935,"")</f>
        <v/>
      </c>
      <c r="J941" s="241">
        <f>IF(_PENDIENTES!$B$935&lt;&gt;"",_PENDIENTES!$J$935,"")</f>
        <v/>
      </c>
      <c r="K941" s="241">
        <f>IF(_PENDIENTES!$B$935&lt;&gt;"","POR RECOGER","")</f>
        <v/>
      </c>
      <c r="L941" s="241">
        <f>IF(_PENDIENTES!$B$935&lt;&gt;"",_PENDIENTES!$K$935,"")</f>
        <v/>
      </c>
      <c r="M941" s="284">
        <f>IF(_PENDIENTES!$B$935&lt;&gt;"",_PENDIENTES!$B$935,"")</f>
        <v/>
      </c>
      <c r="N941" s="304">
        <f>IF(_PENDIENTES!$B$935&lt;&gt;"",_PENDIENTES!$L$935,"")</f>
        <v/>
      </c>
      <c r="O941" s="284" t="n"/>
      <c r="P941" s="284" t="n"/>
      <c r="Q941" s="284" t="n"/>
      <c r="R941" s="284" t="n"/>
      <c r="S941" s="284" t="n"/>
    </row>
    <row r="942" hidden="1" ht="15.75" customHeight="1" s="195">
      <c r="A942" s="301">
        <f>IF(_PENDIENTES!$B$936&lt;&gt;"",935,"")</f>
        <v/>
      </c>
      <c r="B942" s="242">
        <f>IF(_PENDIENTES!$B$936&lt;&gt;"",_PENDIENTES!$A$936,"")</f>
        <v/>
      </c>
      <c r="C942" s="302">
        <f>IF(_PENDIENTES!$B$936&lt;&gt;"",_PENDIENTES!$C$936,"")</f>
        <v/>
      </c>
      <c r="D942" s="301">
        <f>IF(_PENDIENTES!$B$936&lt;&gt;"",_PENDIENTES!$D$936,"")</f>
        <v/>
      </c>
      <c r="E942" s="306">
        <f>IF(_PENDIENTES!$B$936&lt;&gt;"",_PENDIENTES!$E$936,"")</f>
        <v/>
      </c>
      <c r="F942" s="301">
        <f>IF(_PENDIENTES!$B$936&lt;&gt;"",_PENDIENTES!$F$936,"")</f>
        <v/>
      </c>
      <c r="G942" s="245">
        <f>IF(_PENDIENTES!$B$936&lt;&gt;"",_PENDIENTES!$G$936,"")</f>
        <v/>
      </c>
      <c r="H942" s="245">
        <f>IF(_PENDIENTES!$B$936&lt;&gt;"",_PENDIENTES!$H$936,"")</f>
        <v/>
      </c>
      <c r="I942" s="302">
        <f>IF(_PENDIENTES!$B$936&lt;&gt;"",_PENDIENTES!$I$936,"")</f>
        <v/>
      </c>
      <c r="J942" s="301">
        <f>IF(_PENDIENTES!$B$936&lt;&gt;"",_PENDIENTES!$J$936,"")</f>
        <v/>
      </c>
      <c r="K942" s="301">
        <f>IF(_PENDIENTES!$B$936&lt;&gt;"","POR RECOGER","")</f>
        <v/>
      </c>
      <c r="L942" s="301">
        <f>IF(_PENDIENTES!$B$936&lt;&gt;"",_PENDIENTES!$K$936,"")</f>
        <v/>
      </c>
      <c r="M942" s="284">
        <f>IF(_PENDIENTES!$B$936&lt;&gt;"",_PENDIENTES!$B$936,"")</f>
        <v/>
      </c>
      <c r="N942" s="304">
        <f>IF(_PENDIENTES!$B$936&lt;&gt;"",_PENDIENTES!$L$936,"")</f>
        <v/>
      </c>
      <c r="O942" s="284" t="n"/>
      <c r="P942" s="284" t="n"/>
      <c r="Q942" s="284" t="n"/>
      <c r="R942" s="284" t="n"/>
      <c r="S942" s="284" t="n"/>
    </row>
    <row r="943" hidden="1" ht="15.75" customHeight="1" s="195">
      <c r="A943" s="241">
        <f>IF(_PENDIENTES!$B$937&lt;&gt;"",936,"")</f>
        <v/>
      </c>
      <c r="B943" s="236">
        <f>IF(_PENDIENTES!$B$937&lt;&gt;"",_PENDIENTES!$A$937,"")</f>
        <v/>
      </c>
      <c r="C943" s="305">
        <f>IF(_PENDIENTES!$B$937&lt;&gt;"",_PENDIENTES!$C$937,"")</f>
        <v/>
      </c>
      <c r="D943" s="241">
        <f>IF(_PENDIENTES!$B$937&lt;&gt;"",_PENDIENTES!$D$937,"")</f>
        <v/>
      </c>
      <c r="E943" s="307">
        <f>IF(_PENDIENTES!$B$937&lt;&gt;"",_PENDIENTES!$E$937,"")</f>
        <v/>
      </c>
      <c r="F943" s="241">
        <f>IF(_PENDIENTES!$B$937&lt;&gt;"",_PENDIENTES!$F$937,"")</f>
        <v/>
      </c>
      <c r="G943" s="239">
        <f>IF(_PENDIENTES!$B$937&lt;&gt;"",_PENDIENTES!$G$937,"")</f>
        <v/>
      </c>
      <c r="H943" s="239">
        <f>IF(_PENDIENTES!$B$937&lt;&gt;"",_PENDIENTES!$H$937,"")</f>
        <v/>
      </c>
      <c r="I943" s="305">
        <f>IF(_PENDIENTES!$B$937&lt;&gt;"",_PENDIENTES!$I$937,"")</f>
        <v/>
      </c>
      <c r="J943" s="241">
        <f>IF(_PENDIENTES!$B$937&lt;&gt;"",_PENDIENTES!$J$937,"")</f>
        <v/>
      </c>
      <c r="K943" s="241">
        <f>IF(_PENDIENTES!$B$937&lt;&gt;"","POR RECOGER","")</f>
        <v/>
      </c>
      <c r="L943" s="241">
        <f>IF(_PENDIENTES!$B$937&lt;&gt;"",_PENDIENTES!$K$937,"")</f>
        <v/>
      </c>
      <c r="M943" s="284">
        <f>IF(_PENDIENTES!$B$937&lt;&gt;"",_PENDIENTES!$B$937,"")</f>
        <v/>
      </c>
      <c r="N943" s="304">
        <f>IF(_PENDIENTES!$B$937&lt;&gt;"",_PENDIENTES!$L$937,"")</f>
        <v/>
      </c>
      <c r="O943" s="284" t="n"/>
      <c r="P943" s="284" t="n"/>
      <c r="Q943" s="284" t="n"/>
      <c r="R943" s="284" t="n"/>
      <c r="S943" s="284" t="n"/>
    </row>
    <row r="944" hidden="1" ht="15.75" customHeight="1" s="195">
      <c r="A944" s="301">
        <f>IF(_PENDIENTES!$B$938&lt;&gt;"",937,"")</f>
        <v/>
      </c>
      <c r="B944" s="242">
        <f>IF(_PENDIENTES!$B$938&lt;&gt;"",_PENDIENTES!$A$938,"")</f>
        <v/>
      </c>
      <c r="C944" s="302">
        <f>IF(_PENDIENTES!$B$938&lt;&gt;"",_PENDIENTES!$C$938,"")</f>
        <v/>
      </c>
      <c r="D944" s="301">
        <f>IF(_PENDIENTES!$B$938&lt;&gt;"",_PENDIENTES!$D$938,"")</f>
        <v/>
      </c>
      <c r="E944" s="306">
        <f>IF(_PENDIENTES!$B$938&lt;&gt;"",_PENDIENTES!$E$938,"")</f>
        <v/>
      </c>
      <c r="F944" s="301">
        <f>IF(_PENDIENTES!$B$938&lt;&gt;"",_PENDIENTES!$F$938,"")</f>
        <v/>
      </c>
      <c r="G944" s="245">
        <f>IF(_PENDIENTES!$B$938&lt;&gt;"",_PENDIENTES!$G$938,"")</f>
        <v/>
      </c>
      <c r="H944" s="245">
        <f>IF(_PENDIENTES!$B$938&lt;&gt;"",_PENDIENTES!$H$938,"")</f>
        <v/>
      </c>
      <c r="I944" s="302">
        <f>IF(_PENDIENTES!$B$938&lt;&gt;"",_PENDIENTES!$I$938,"")</f>
        <v/>
      </c>
      <c r="J944" s="301">
        <f>IF(_PENDIENTES!$B$938&lt;&gt;"",_PENDIENTES!$J$938,"")</f>
        <v/>
      </c>
      <c r="K944" s="301">
        <f>IF(_PENDIENTES!$B$938&lt;&gt;"","POR RECOGER","")</f>
        <v/>
      </c>
      <c r="L944" s="301">
        <f>IF(_PENDIENTES!$B$938&lt;&gt;"",_PENDIENTES!$K$938,"")</f>
        <v/>
      </c>
      <c r="M944" s="284">
        <f>IF(_PENDIENTES!$B$938&lt;&gt;"",_PENDIENTES!$B$938,"")</f>
        <v/>
      </c>
      <c r="N944" s="304">
        <f>IF(_PENDIENTES!$B$938&lt;&gt;"",_PENDIENTES!$L$938,"")</f>
        <v/>
      </c>
      <c r="O944" s="284" t="n"/>
      <c r="P944" s="284" t="n"/>
      <c r="Q944" s="284" t="n"/>
      <c r="R944" s="284" t="n"/>
      <c r="S944" s="284" t="n"/>
    </row>
    <row r="945" hidden="1" ht="15.75" customHeight="1" s="195">
      <c r="A945" s="241">
        <f>IF(_PENDIENTES!$B$939&lt;&gt;"",938,"")</f>
        <v/>
      </c>
      <c r="B945" s="236">
        <f>IF(_PENDIENTES!$B$939&lt;&gt;"",_PENDIENTES!$A$939,"")</f>
        <v/>
      </c>
      <c r="C945" s="305">
        <f>IF(_PENDIENTES!$B$939&lt;&gt;"",_PENDIENTES!$C$939,"")</f>
        <v/>
      </c>
      <c r="D945" s="241">
        <f>IF(_PENDIENTES!$B$939&lt;&gt;"",_PENDIENTES!$D$939,"")</f>
        <v/>
      </c>
      <c r="E945" s="307">
        <f>IF(_PENDIENTES!$B$939&lt;&gt;"",_PENDIENTES!$E$939,"")</f>
        <v/>
      </c>
      <c r="F945" s="241">
        <f>IF(_PENDIENTES!$B$939&lt;&gt;"",_PENDIENTES!$F$939,"")</f>
        <v/>
      </c>
      <c r="G945" s="239">
        <f>IF(_PENDIENTES!$B$939&lt;&gt;"",_PENDIENTES!$G$939,"")</f>
        <v/>
      </c>
      <c r="H945" s="239">
        <f>IF(_PENDIENTES!$B$939&lt;&gt;"",_PENDIENTES!$H$939,"")</f>
        <v/>
      </c>
      <c r="I945" s="305">
        <f>IF(_PENDIENTES!$B$939&lt;&gt;"",_PENDIENTES!$I$939,"")</f>
        <v/>
      </c>
      <c r="J945" s="241">
        <f>IF(_PENDIENTES!$B$939&lt;&gt;"",_PENDIENTES!$J$939,"")</f>
        <v/>
      </c>
      <c r="K945" s="241">
        <f>IF(_PENDIENTES!$B$939&lt;&gt;"","POR RECOGER","")</f>
        <v/>
      </c>
      <c r="L945" s="241">
        <f>IF(_PENDIENTES!$B$939&lt;&gt;"",_PENDIENTES!$K$939,"")</f>
        <v/>
      </c>
      <c r="M945" s="284">
        <f>IF(_PENDIENTES!$B$939&lt;&gt;"",_PENDIENTES!$B$939,"")</f>
        <v/>
      </c>
      <c r="N945" s="304">
        <f>IF(_PENDIENTES!$B$939&lt;&gt;"",_PENDIENTES!$L$939,"")</f>
        <v/>
      </c>
      <c r="O945" s="284" t="n"/>
      <c r="P945" s="284" t="n"/>
      <c r="Q945" s="284" t="n"/>
      <c r="R945" s="284" t="n"/>
      <c r="S945" s="284" t="n"/>
    </row>
    <row r="946" hidden="1" ht="15.75" customHeight="1" s="195">
      <c r="A946" s="301">
        <f>IF(_PENDIENTES!$B$940&lt;&gt;"",939,"")</f>
        <v/>
      </c>
      <c r="B946" s="242">
        <f>IF(_PENDIENTES!$B$940&lt;&gt;"",_PENDIENTES!$A$940,"")</f>
        <v/>
      </c>
      <c r="C946" s="302">
        <f>IF(_PENDIENTES!$B$940&lt;&gt;"",_PENDIENTES!$C$940,"")</f>
        <v/>
      </c>
      <c r="D946" s="301">
        <f>IF(_PENDIENTES!$B$940&lt;&gt;"",_PENDIENTES!$D$940,"")</f>
        <v/>
      </c>
      <c r="E946" s="306">
        <f>IF(_PENDIENTES!$B$940&lt;&gt;"",_PENDIENTES!$E$940,"")</f>
        <v/>
      </c>
      <c r="F946" s="301">
        <f>IF(_PENDIENTES!$B$940&lt;&gt;"",_PENDIENTES!$F$940,"")</f>
        <v/>
      </c>
      <c r="G946" s="245">
        <f>IF(_PENDIENTES!$B$940&lt;&gt;"",_PENDIENTES!$G$940,"")</f>
        <v/>
      </c>
      <c r="H946" s="245">
        <f>IF(_PENDIENTES!$B$940&lt;&gt;"",_PENDIENTES!$H$940,"")</f>
        <v/>
      </c>
      <c r="I946" s="302">
        <f>IF(_PENDIENTES!$B$940&lt;&gt;"",_PENDIENTES!$I$940,"")</f>
        <v/>
      </c>
      <c r="J946" s="301">
        <f>IF(_PENDIENTES!$B$940&lt;&gt;"",_PENDIENTES!$J$940,"")</f>
        <v/>
      </c>
      <c r="K946" s="301">
        <f>IF(_PENDIENTES!$B$940&lt;&gt;"","POR RECOGER","")</f>
        <v/>
      </c>
      <c r="L946" s="301">
        <f>IF(_PENDIENTES!$B$940&lt;&gt;"",_PENDIENTES!$K$940,"")</f>
        <v/>
      </c>
      <c r="M946" s="284">
        <f>IF(_PENDIENTES!$B$940&lt;&gt;"",_PENDIENTES!$B$940,"")</f>
        <v/>
      </c>
      <c r="N946" s="304">
        <f>IF(_PENDIENTES!$B$940&lt;&gt;"",_PENDIENTES!$L$940,"")</f>
        <v/>
      </c>
      <c r="O946" s="284" t="n"/>
      <c r="P946" s="284" t="n"/>
      <c r="Q946" s="284" t="n"/>
      <c r="R946" s="284" t="n"/>
      <c r="S946" s="284" t="n"/>
    </row>
    <row r="947" hidden="1" ht="15.75" customHeight="1" s="195">
      <c r="A947" s="241">
        <f>IF(_PENDIENTES!$B$941&lt;&gt;"",940,"")</f>
        <v/>
      </c>
      <c r="B947" s="236">
        <f>IF(_PENDIENTES!$B$941&lt;&gt;"",_PENDIENTES!$A$941,"")</f>
        <v/>
      </c>
      <c r="C947" s="305">
        <f>IF(_PENDIENTES!$B$941&lt;&gt;"",_PENDIENTES!$C$941,"")</f>
        <v/>
      </c>
      <c r="D947" s="241">
        <f>IF(_PENDIENTES!$B$941&lt;&gt;"",_PENDIENTES!$D$941,"")</f>
        <v/>
      </c>
      <c r="E947" s="307">
        <f>IF(_PENDIENTES!$B$941&lt;&gt;"",_PENDIENTES!$E$941,"")</f>
        <v/>
      </c>
      <c r="F947" s="241">
        <f>IF(_PENDIENTES!$B$941&lt;&gt;"",_PENDIENTES!$F$941,"")</f>
        <v/>
      </c>
      <c r="G947" s="239">
        <f>IF(_PENDIENTES!$B$941&lt;&gt;"",_PENDIENTES!$G$941,"")</f>
        <v/>
      </c>
      <c r="H947" s="239">
        <f>IF(_PENDIENTES!$B$941&lt;&gt;"",_PENDIENTES!$H$941,"")</f>
        <v/>
      </c>
      <c r="I947" s="305">
        <f>IF(_PENDIENTES!$B$941&lt;&gt;"",_PENDIENTES!$I$941,"")</f>
        <v/>
      </c>
      <c r="J947" s="241">
        <f>IF(_PENDIENTES!$B$941&lt;&gt;"",_PENDIENTES!$J$941,"")</f>
        <v/>
      </c>
      <c r="K947" s="241">
        <f>IF(_PENDIENTES!$B$941&lt;&gt;"","POR RECOGER","")</f>
        <v/>
      </c>
      <c r="L947" s="241">
        <f>IF(_PENDIENTES!$B$941&lt;&gt;"",_PENDIENTES!$K$941,"")</f>
        <v/>
      </c>
      <c r="M947" s="284">
        <f>IF(_PENDIENTES!$B$941&lt;&gt;"",_PENDIENTES!$B$941,"")</f>
        <v/>
      </c>
      <c r="N947" s="304">
        <f>IF(_PENDIENTES!$B$941&lt;&gt;"",_PENDIENTES!$L$941,"")</f>
        <v/>
      </c>
      <c r="O947" s="284" t="n"/>
      <c r="P947" s="284" t="n"/>
      <c r="Q947" s="284" t="n"/>
      <c r="R947" s="284" t="n"/>
      <c r="S947" s="284" t="n"/>
    </row>
    <row r="948" hidden="1" ht="15.75" customHeight="1" s="195">
      <c r="A948" s="301">
        <f>IF(_PENDIENTES!$B$942&lt;&gt;"",941,"")</f>
        <v/>
      </c>
      <c r="B948" s="242">
        <f>IF(_PENDIENTES!$B$942&lt;&gt;"",_PENDIENTES!$A$942,"")</f>
        <v/>
      </c>
      <c r="C948" s="302">
        <f>IF(_PENDIENTES!$B$942&lt;&gt;"",_PENDIENTES!$C$942,"")</f>
        <v/>
      </c>
      <c r="D948" s="301">
        <f>IF(_PENDIENTES!$B$942&lt;&gt;"",_PENDIENTES!$D$942,"")</f>
        <v/>
      </c>
      <c r="E948" s="306">
        <f>IF(_PENDIENTES!$B$942&lt;&gt;"",_PENDIENTES!$E$942,"")</f>
        <v/>
      </c>
      <c r="F948" s="301">
        <f>IF(_PENDIENTES!$B$942&lt;&gt;"",_PENDIENTES!$F$942,"")</f>
        <v/>
      </c>
      <c r="G948" s="245">
        <f>IF(_PENDIENTES!$B$942&lt;&gt;"",_PENDIENTES!$G$942,"")</f>
        <v/>
      </c>
      <c r="H948" s="245">
        <f>IF(_PENDIENTES!$B$942&lt;&gt;"",_PENDIENTES!$H$942,"")</f>
        <v/>
      </c>
      <c r="I948" s="302">
        <f>IF(_PENDIENTES!$B$942&lt;&gt;"",_PENDIENTES!$I$942,"")</f>
        <v/>
      </c>
      <c r="J948" s="301">
        <f>IF(_PENDIENTES!$B$942&lt;&gt;"",_PENDIENTES!$J$942,"")</f>
        <v/>
      </c>
      <c r="K948" s="301">
        <f>IF(_PENDIENTES!$B$942&lt;&gt;"","POR RECOGER","")</f>
        <v/>
      </c>
      <c r="L948" s="301">
        <f>IF(_PENDIENTES!$B$942&lt;&gt;"",_PENDIENTES!$K$942,"")</f>
        <v/>
      </c>
      <c r="M948" s="284">
        <f>IF(_PENDIENTES!$B$942&lt;&gt;"",_PENDIENTES!$B$942,"")</f>
        <v/>
      </c>
      <c r="N948" s="304">
        <f>IF(_PENDIENTES!$B$942&lt;&gt;"",_PENDIENTES!$L$942,"")</f>
        <v/>
      </c>
      <c r="O948" s="284" t="n"/>
      <c r="P948" s="284" t="n"/>
      <c r="Q948" s="284" t="n"/>
      <c r="R948" s="284" t="n"/>
      <c r="S948" s="284" t="n"/>
    </row>
    <row r="949" hidden="1" ht="15.75" customHeight="1" s="195">
      <c r="A949" s="241">
        <f>IF(_PENDIENTES!$B$943&lt;&gt;"",942,"")</f>
        <v/>
      </c>
      <c r="B949" s="236">
        <f>IF(_PENDIENTES!$B$943&lt;&gt;"",_PENDIENTES!$A$943,"")</f>
        <v/>
      </c>
      <c r="C949" s="305">
        <f>IF(_PENDIENTES!$B$943&lt;&gt;"",_PENDIENTES!$C$943,"")</f>
        <v/>
      </c>
      <c r="D949" s="241">
        <f>IF(_PENDIENTES!$B$943&lt;&gt;"",_PENDIENTES!$D$943,"")</f>
        <v/>
      </c>
      <c r="E949" s="307">
        <f>IF(_PENDIENTES!$B$943&lt;&gt;"",_PENDIENTES!$E$943,"")</f>
        <v/>
      </c>
      <c r="F949" s="241">
        <f>IF(_PENDIENTES!$B$943&lt;&gt;"",_PENDIENTES!$F$943,"")</f>
        <v/>
      </c>
      <c r="G949" s="239">
        <f>IF(_PENDIENTES!$B$943&lt;&gt;"",_PENDIENTES!$G$943,"")</f>
        <v/>
      </c>
      <c r="H949" s="239">
        <f>IF(_PENDIENTES!$B$943&lt;&gt;"",_PENDIENTES!$H$943,"")</f>
        <v/>
      </c>
      <c r="I949" s="305">
        <f>IF(_PENDIENTES!$B$943&lt;&gt;"",_PENDIENTES!$I$943,"")</f>
        <v/>
      </c>
      <c r="J949" s="241">
        <f>IF(_PENDIENTES!$B$943&lt;&gt;"",_PENDIENTES!$J$943,"")</f>
        <v/>
      </c>
      <c r="K949" s="241">
        <f>IF(_PENDIENTES!$B$943&lt;&gt;"","POR RECOGER","")</f>
        <v/>
      </c>
      <c r="L949" s="241">
        <f>IF(_PENDIENTES!$B$943&lt;&gt;"",_PENDIENTES!$K$943,"")</f>
        <v/>
      </c>
      <c r="M949" s="284">
        <f>IF(_PENDIENTES!$B$943&lt;&gt;"",_PENDIENTES!$B$943,"")</f>
        <v/>
      </c>
      <c r="N949" s="304">
        <f>IF(_PENDIENTES!$B$943&lt;&gt;"",_PENDIENTES!$L$943,"")</f>
        <v/>
      </c>
      <c r="O949" s="284" t="n"/>
      <c r="P949" s="284" t="n"/>
      <c r="Q949" s="284" t="n"/>
      <c r="R949" s="284" t="n"/>
      <c r="S949" s="284" t="n"/>
    </row>
    <row r="950" hidden="1" ht="15.75" customHeight="1" s="195">
      <c r="A950" s="301">
        <f>IF(_PENDIENTES!$B$944&lt;&gt;"",943,"")</f>
        <v/>
      </c>
      <c r="B950" s="242">
        <f>IF(_PENDIENTES!$B$944&lt;&gt;"",_PENDIENTES!$A$944,"")</f>
        <v/>
      </c>
      <c r="C950" s="302">
        <f>IF(_PENDIENTES!$B$944&lt;&gt;"",_PENDIENTES!$C$944,"")</f>
        <v/>
      </c>
      <c r="D950" s="301">
        <f>IF(_PENDIENTES!$B$944&lt;&gt;"",_PENDIENTES!$D$944,"")</f>
        <v/>
      </c>
      <c r="E950" s="306">
        <f>IF(_PENDIENTES!$B$944&lt;&gt;"",_PENDIENTES!$E$944,"")</f>
        <v/>
      </c>
      <c r="F950" s="301">
        <f>IF(_PENDIENTES!$B$944&lt;&gt;"",_PENDIENTES!$F$944,"")</f>
        <v/>
      </c>
      <c r="G950" s="245">
        <f>IF(_PENDIENTES!$B$944&lt;&gt;"",_PENDIENTES!$G$944,"")</f>
        <v/>
      </c>
      <c r="H950" s="245">
        <f>IF(_PENDIENTES!$B$944&lt;&gt;"",_PENDIENTES!$H$944,"")</f>
        <v/>
      </c>
      <c r="I950" s="302">
        <f>IF(_PENDIENTES!$B$944&lt;&gt;"",_PENDIENTES!$I$944,"")</f>
        <v/>
      </c>
      <c r="J950" s="301">
        <f>IF(_PENDIENTES!$B$944&lt;&gt;"",_PENDIENTES!$J$944,"")</f>
        <v/>
      </c>
      <c r="K950" s="301">
        <f>IF(_PENDIENTES!$B$944&lt;&gt;"","POR RECOGER","")</f>
        <v/>
      </c>
      <c r="L950" s="301">
        <f>IF(_PENDIENTES!$B$944&lt;&gt;"",_PENDIENTES!$K$944,"")</f>
        <v/>
      </c>
      <c r="M950" s="284">
        <f>IF(_PENDIENTES!$B$944&lt;&gt;"",_PENDIENTES!$B$944,"")</f>
        <v/>
      </c>
      <c r="N950" s="304">
        <f>IF(_PENDIENTES!$B$944&lt;&gt;"",_PENDIENTES!$L$944,"")</f>
        <v/>
      </c>
      <c r="O950" s="284" t="n"/>
      <c r="P950" s="284" t="n"/>
      <c r="Q950" s="284" t="n"/>
      <c r="R950" s="284" t="n"/>
      <c r="S950" s="284" t="n"/>
    </row>
    <row r="951" hidden="1" ht="15.75" customHeight="1" s="195">
      <c r="A951" s="241">
        <f>IF(_PENDIENTES!$B$945&lt;&gt;"",944,"")</f>
        <v/>
      </c>
      <c r="B951" s="236">
        <f>IF(_PENDIENTES!$B$945&lt;&gt;"",_PENDIENTES!$A$945,"")</f>
        <v/>
      </c>
      <c r="C951" s="305">
        <f>IF(_PENDIENTES!$B$945&lt;&gt;"",_PENDIENTES!$C$945,"")</f>
        <v/>
      </c>
      <c r="D951" s="241">
        <f>IF(_PENDIENTES!$B$945&lt;&gt;"",_PENDIENTES!$D$945,"")</f>
        <v/>
      </c>
      <c r="E951" s="307">
        <f>IF(_PENDIENTES!$B$945&lt;&gt;"",_PENDIENTES!$E$945,"")</f>
        <v/>
      </c>
      <c r="F951" s="241">
        <f>IF(_PENDIENTES!$B$945&lt;&gt;"",_PENDIENTES!$F$945,"")</f>
        <v/>
      </c>
      <c r="G951" s="239">
        <f>IF(_PENDIENTES!$B$945&lt;&gt;"",_PENDIENTES!$G$945,"")</f>
        <v/>
      </c>
      <c r="H951" s="239">
        <f>IF(_PENDIENTES!$B$945&lt;&gt;"",_PENDIENTES!$H$945,"")</f>
        <v/>
      </c>
      <c r="I951" s="305">
        <f>IF(_PENDIENTES!$B$945&lt;&gt;"",_PENDIENTES!$I$945,"")</f>
        <v/>
      </c>
      <c r="J951" s="241">
        <f>IF(_PENDIENTES!$B$945&lt;&gt;"",_PENDIENTES!$J$945,"")</f>
        <v/>
      </c>
      <c r="K951" s="241">
        <f>IF(_PENDIENTES!$B$945&lt;&gt;"","POR RECOGER","")</f>
        <v/>
      </c>
      <c r="L951" s="241">
        <f>IF(_PENDIENTES!$B$945&lt;&gt;"",_PENDIENTES!$K$945,"")</f>
        <v/>
      </c>
      <c r="M951" s="284">
        <f>IF(_PENDIENTES!$B$945&lt;&gt;"",_PENDIENTES!$B$945,"")</f>
        <v/>
      </c>
      <c r="N951" s="304">
        <f>IF(_PENDIENTES!$B$945&lt;&gt;"",_PENDIENTES!$L$945,"")</f>
        <v/>
      </c>
      <c r="O951" s="284" t="n"/>
      <c r="P951" s="284" t="n"/>
      <c r="Q951" s="284" t="n"/>
      <c r="R951" s="284" t="n"/>
      <c r="S951" s="284" t="n"/>
    </row>
    <row r="952" hidden="1" ht="15.75" customHeight="1" s="195">
      <c r="A952" s="301">
        <f>IF(_PENDIENTES!$B$946&lt;&gt;"",945,"")</f>
        <v/>
      </c>
      <c r="B952" s="242">
        <f>IF(_PENDIENTES!$B$946&lt;&gt;"",_PENDIENTES!$A$946,"")</f>
        <v/>
      </c>
      <c r="C952" s="302">
        <f>IF(_PENDIENTES!$B$946&lt;&gt;"",_PENDIENTES!$C$946,"")</f>
        <v/>
      </c>
      <c r="D952" s="301">
        <f>IF(_PENDIENTES!$B$946&lt;&gt;"",_PENDIENTES!$D$946,"")</f>
        <v/>
      </c>
      <c r="E952" s="306">
        <f>IF(_PENDIENTES!$B$946&lt;&gt;"",_PENDIENTES!$E$946,"")</f>
        <v/>
      </c>
      <c r="F952" s="301">
        <f>IF(_PENDIENTES!$B$946&lt;&gt;"",_PENDIENTES!$F$946,"")</f>
        <v/>
      </c>
      <c r="G952" s="245">
        <f>IF(_PENDIENTES!$B$946&lt;&gt;"",_PENDIENTES!$G$946,"")</f>
        <v/>
      </c>
      <c r="H952" s="245">
        <f>IF(_PENDIENTES!$B$946&lt;&gt;"",_PENDIENTES!$H$946,"")</f>
        <v/>
      </c>
      <c r="I952" s="302">
        <f>IF(_PENDIENTES!$B$946&lt;&gt;"",_PENDIENTES!$I$946,"")</f>
        <v/>
      </c>
      <c r="J952" s="301">
        <f>IF(_PENDIENTES!$B$946&lt;&gt;"",_PENDIENTES!$J$946,"")</f>
        <v/>
      </c>
      <c r="K952" s="301">
        <f>IF(_PENDIENTES!$B$946&lt;&gt;"","POR RECOGER","")</f>
        <v/>
      </c>
      <c r="L952" s="301">
        <f>IF(_PENDIENTES!$B$946&lt;&gt;"",_PENDIENTES!$K$946,"")</f>
        <v/>
      </c>
      <c r="M952" s="284">
        <f>IF(_PENDIENTES!$B$946&lt;&gt;"",_PENDIENTES!$B$946,"")</f>
        <v/>
      </c>
      <c r="N952" s="304">
        <f>IF(_PENDIENTES!$B$946&lt;&gt;"",_PENDIENTES!$L$946,"")</f>
        <v/>
      </c>
      <c r="O952" s="284" t="n"/>
      <c r="P952" s="284" t="n"/>
      <c r="Q952" s="284" t="n"/>
      <c r="R952" s="284" t="n"/>
      <c r="S952" s="284" t="n"/>
    </row>
    <row r="953" hidden="1" ht="15.75" customHeight="1" s="195">
      <c r="A953" s="241">
        <f>IF(_PENDIENTES!$B$947&lt;&gt;"",946,"")</f>
        <v/>
      </c>
      <c r="B953" s="236">
        <f>IF(_PENDIENTES!$B$947&lt;&gt;"",_PENDIENTES!$A$947,"")</f>
        <v/>
      </c>
      <c r="C953" s="305">
        <f>IF(_PENDIENTES!$B$947&lt;&gt;"",_PENDIENTES!$C$947,"")</f>
        <v/>
      </c>
      <c r="D953" s="241">
        <f>IF(_PENDIENTES!$B$947&lt;&gt;"",_PENDIENTES!$D$947,"")</f>
        <v/>
      </c>
      <c r="E953" s="307">
        <f>IF(_PENDIENTES!$B$947&lt;&gt;"",_PENDIENTES!$E$947,"")</f>
        <v/>
      </c>
      <c r="F953" s="241">
        <f>IF(_PENDIENTES!$B$947&lt;&gt;"",_PENDIENTES!$F$947,"")</f>
        <v/>
      </c>
      <c r="G953" s="239">
        <f>IF(_PENDIENTES!$B$947&lt;&gt;"",_PENDIENTES!$G$947,"")</f>
        <v/>
      </c>
      <c r="H953" s="239">
        <f>IF(_PENDIENTES!$B$947&lt;&gt;"",_PENDIENTES!$H$947,"")</f>
        <v/>
      </c>
      <c r="I953" s="305">
        <f>IF(_PENDIENTES!$B$947&lt;&gt;"",_PENDIENTES!$I$947,"")</f>
        <v/>
      </c>
      <c r="J953" s="241">
        <f>IF(_PENDIENTES!$B$947&lt;&gt;"",_PENDIENTES!$J$947,"")</f>
        <v/>
      </c>
      <c r="K953" s="241">
        <f>IF(_PENDIENTES!$B$947&lt;&gt;"","POR RECOGER","")</f>
        <v/>
      </c>
      <c r="L953" s="241">
        <f>IF(_PENDIENTES!$B$947&lt;&gt;"",_PENDIENTES!$K$947,"")</f>
        <v/>
      </c>
      <c r="M953" s="284">
        <f>IF(_PENDIENTES!$B$947&lt;&gt;"",_PENDIENTES!$B$947,"")</f>
        <v/>
      </c>
      <c r="N953" s="304">
        <f>IF(_PENDIENTES!$B$947&lt;&gt;"",_PENDIENTES!$L$947,"")</f>
        <v/>
      </c>
      <c r="O953" s="284" t="n"/>
      <c r="P953" s="284" t="n"/>
      <c r="Q953" s="284" t="n"/>
      <c r="R953" s="284" t="n"/>
      <c r="S953" s="284" t="n"/>
    </row>
    <row r="954" hidden="1" ht="15.75" customHeight="1" s="195">
      <c r="A954" s="301">
        <f>IF(_PENDIENTES!$B$948&lt;&gt;"",947,"")</f>
        <v/>
      </c>
      <c r="B954" s="242">
        <f>IF(_PENDIENTES!$B$948&lt;&gt;"",_PENDIENTES!$A$948,"")</f>
        <v/>
      </c>
      <c r="C954" s="302">
        <f>IF(_PENDIENTES!$B$948&lt;&gt;"",_PENDIENTES!$C$948,"")</f>
        <v/>
      </c>
      <c r="D954" s="301">
        <f>IF(_PENDIENTES!$B$948&lt;&gt;"",_PENDIENTES!$D$948,"")</f>
        <v/>
      </c>
      <c r="E954" s="306">
        <f>IF(_PENDIENTES!$B$948&lt;&gt;"",_PENDIENTES!$E$948,"")</f>
        <v/>
      </c>
      <c r="F954" s="301">
        <f>IF(_PENDIENTES!$B$948&lt;&gt;"",_PENDIENTES!$F$948,"")</f>
        <v/>
      </c>
      <c r="G954" s="245">
        <f>IF(_PENDIENTES!$B$948&lt;&gt;"",_PENDIENTES!$G$948,"")</f>
        <v/>
      </c>
      <c r="H954" s="245">
        <f>IF(_PENDIENTES!$B$948&lt;&gt;"",_PENDIENTES!$H$948,"")</f>
        <v/>
      </c>
      <c r="I954" s="302">
        <f>IF(_PENDIENTES!$B$948&lt;&gt;"",_PENDIENTES!$I$948,"")</f>
        <v/>
      </c>
      <c r="J954" s="301">
        <f>IF(_PENDIENTES!$B$948&lt;&gt;"",_PENDIENTES!$J$948,"")</f>
        <v/>
      </c>
      <c r="K954" s="301">
        <f>IF(_PENDIENTES!$B$948&lt;&gt;"","POR RECOGER","")</f>
        <v/>
      </c>
      <c r="L954" s="301">
        <f>IF(_PENDIENTES!$B$948&lt;&gt;"",_PENDIENTES!$K$948,"")</f>
        <v/>
      </c>
      <c r="M954" s="284">
        <f>IF(_PENDIENTES!$B$948&lt;&gt;"",_PENDIENTES!$B$948,"")</f>
        <v/>
      </c>
      <c r="N954" s="304">
        <f>IF(_PENDIENTES!$B$948&lt;&gt;"",_PENDIENTES!$L$948,"")</f>
        <v/>
      </c>
      <c r="O954" s="284" t="n"/>
      <c r="P954" s="284" t="n"/>
      <c r="Q954" s="284" t="n"/>
      <c r="R954" s="284" t="n"/>
      <c r="S954" s="284" t="n"/>
    </row>
    <row r="955" hidden="1" ht="15.75" customHeight="1" s="195">
      <c r="A955" s="241">
        <f>IF(_PENDIENTES!$B$949&lt;&gt;"",948,"")</f>
        <v/>
      </c>
      <c r="B955" s="236">
        <f>IF(_PENDIENTES!$B$949&lt;&gt;"",_PENDIENTES!$A$949,"")</f>
        <v/>
      </c>
      <c r="C955" s="305">
        <f>IF(_PENDIENTES!$B$949&lt;&gt;"",_PENDIENTES!$C$949,"")</f>
        <v/>
      </c>
      <c r="D955" s="241">
        <f>IF(_PENDIENTES!$B$949&lt;&gt;"",_PENDIENTES!$D$949,"")</f>
        <v/>
      </c>
      <c r="E955" s="307">
        <f>IF(_PENDIENTES!$B$949&lt;&gt;"",_PENDIENTES!$E$949,"")</f>
        <v/>
      </c>
      <c r="F955" s="241">
        <f>IF(_PENDIENTES!$B$949&lt;&gt;"",_PENDIENTES!$F$949,"")</f>
        <v/>
      </c>
      <c r="G955" s="239">
        <f>IF(_PENDIENTES!$B$949&lt;&gt;"",_PENDIENTES!$G$949,"")</f>
        <v/>
      </c>
      <c r="H955" s="239">
        <f>IF(_PENDIENTES!$B$949&lt;&gt;"",_PENDIENTES!$H$949,"")</f>
        <v/>
      </c>
      <c r="I955" s="305">
        <f>IF(_PENDIENTES!$B$949&lt;&gt;"",_PENDIENTES!$I$949,"")</f>
        <v/>
      </c>
      <c r="J955" s="241">
        <f>IF(_PENDIENTES!$B$949&lt;&gt;"",_PENDIENTES!$J$949,"")</f>
        <v/>
      </c>
      <c r="K955" s="241">
        <f>IF(_PENDIENTES!$B$949&lt;&gt;"","POR RECOGER","")</f>
        <v/>
      </c>
      <c r="L955" s="241">
        <f>IF(_PENDIENTES!$B$949&lt;&gt;"",_PENDIENTES!$K$949,"")</f>
        <v/>
      </c>
      <c r="M955" s="284">
        <f>IF(_PENDIENTES!$B$949&lt;&gt;"",_PENDIENTES!$B$949,"")</f>
        <v/>
      </c>
      <c r="N955" s="304">
        <f>IF(_PENDIENTES!$B$949&lt;&gt;"",_PENDIENTES!$L$949,"")</f>
        <v/>
      </c>
      <c r="O955" s="284" t="n"/>
      <c r="P955" s="284" t="n"/>
      <c r="Q955" s="284" t="n"/>
      <c r="R955" s="284" t="n"/>
      <c r="S955" s="284" t="n"/>
    </row>
    <row r="956" hidden="1" ht="15.75" customHeight="1" s="195">
      <c r="A956" s="301">
        <f>IF(_PENDIENTES!$B$950&lt;&gt;"",949,"")</f>
        <v/>
      </c>
      <c r="B956" s="242">
        <f>IF(_PENDIENTES!$B$950&lt;&gt;"",_PENDIENTES!$A$950,"")</f>
        <v/>
      </c>
      <c r="C956" s="302">
        <f>IF(_PENDIENTES!$B$950&lt;&gt;"",_PENDIENTES!$C$950,"")</f>
        <v/>
      </c>
      <c r="D956" s="301">
        <f>IF(_PENDIENTES!$B$950&lt;&gt;"",_PENDIENTES!$D$950,"")</f>
        <v/>
      </c>
      <c r="E956" s="306">
        <f>IF(_PENDIENTES!$B$950&lt;&gt;"",_PENDIENTES!$E$950,"")</f>
        <v/>
      </c>
      <c r="F956" s="301">
        <f>IF(_PENDIENTES!$B$950&lt;&gt;"",_PENDIENTES!$F$950,"")</f>
        <v/>
      </c>
      <c r="G956" s="245">
        <f>IF(_PENDIENTES!$B$950&lt;&gt;"",_PENDIENTES!$G$950,"")</f>
        <v/>
      </c>
      <c r="H956" s="245">
        <f>IF(_PENDIENTES!$B$950&lt;&gt;"",_PENDIENTES!$H$950,"")</f>
        <v/>
      </c>
      <c r="I956" s="302">
        <f>IF(_PENDIENTES!$B$950&lt;&gt;"",_PENDIENTES!$I$950,"")</f>
        <v/>
      </c>
      <c r="J956" s="301">
        <f>IF(_PENDIENTES!$B$950&lt;&gt;"",_PENDIENTES!$J$950,"")</f>
        <v/>
      </c>
      <c r="K956" s="301">
        <f>IF(_PENDIENTES!$B$950&lt;&gt;"","POR RECOGER","")</f>
        <v/>
      </c>
      <c r="L956" s="301">
        <f>IF(_PENDIENTES!$B$950&lt;&gt;"",_PENDIENTES!$K$950,"")</f>
        <v/>
      </c>
      <c r="M956" s="284">
        <f>IF(_PENDIENTES!$B$950&lt;&gt;"",_PENDIENTES!$B$950,"")</f>
        <v/>
      </c>
      <c r="N956" s="304">
        <f>IF(_PENDIENTES!$B$950&lt;&gt;"",_PENDIENTES!$L$950,"")</f>
        <v/>
      </c>
      <c r="O956" s="284" t="n"/>
      <c r="P956" s="284" t="n"/>
      <c r="Q956" s="284" t="n"/>
      <c r="R956" s="284" t="n"/>
      <c r="S956" s="284" t="n"/>
    </row>
    <row r="957" hidden="1" ht="15.75" customHeight="1" s="195">
      <c r="A957" s="241">
        <f>IF(_PENDIENTES!$B$951&lt;&gt;"",950,"")</f>
        <v/>
      </c>
      <c r="B957" s="236">
        <f>IF(_PENDIENTES!$B$951&lt;&gt;"",_PENDIENTES!$A$951,"")</f>
        <v/>
      </c>
      <c r="C957" s="305">
        <f>IF(_PENDIENTES!$B$951&lt;&gt;"",_PENDIENTES!$C$951,"")</f>
        <v/>
      </c>
      <c r="D957" s="241">
        <f>IF(_PENDIENTES!$B$951&lt;&gt;"",_PENDIENTES!$D$951,"")</f>
        <v/>
      </c>
      <c r="E957" s="307">
        <f>IF(_PENDIENTES!$B$951&lt;&gt;"",_PENDIENTES!$E$951,"")</f>
        <v/>
      </c>
      <c r="F957" s="241">
        <f>IF(_PENDIENTES!$B$951&lt;&gt;"",_PENDIENTES!$F$951,"")</f>
        <v/>
      </c>
      <c r="G957" s="239">
        <f>IF(_PENDIENTES!$B$951&lt;&gt;"",_PENDIENTES!$G$951,"")</f>
        <v/>
      </c>
      <c r="H957" s="239">
        <f>IF(_PENDIENTES!$B$951&lt;&gt;"",_PENDIENTES!$H$951,"")</f>
        <v/>
      </c>
      <c r="I957" s="305">
        <f>IF(_PENDIENTES!$B$951&lt;&gt;"",_PENDIENTES!$I$951,"")</f>
        <v/>
      </c>
      <c r="J957" s="241">
        <f>IF(_PENDIENTES!$B$951&lt;&gt;"",_PENDIENTES!$J$951,"")</f>
        <v/>
      </c>
      <c r="K957" s="241">
        <f>IF(_PENDIENTES!$B$951&lt;&gt;"","POR RECOGER","")</f>
        <v/>
      </c>
      <c r="L957" s="241">
        <f>IF(_PENDIENTES!$B$951&lt;&gt;"",_PENDIENTES!$K$951,"")</f>
        <v/>
      </c>
      <c r="M957" s="284">
        <f>IF(_PENDIENTES!$B$951&lt;&gt;"",_PENDIENTES!$B$951,"")</f>
        <v/>
      </c>
      <c r="N957" s="304">
        <f>IF(_PENDIENTES!$B$951&lt;&gt;"",_PENDIENTES!$L$951,"")</f>
        <v/>
      </c>
      <c r="O957" s="284" t="n"/>
      <c r="P957" s="284" t="n"/>
      <c r="Q957" s="284" t="n"/>
      <c r="R957" s="284" t="n"/>
      <c r="S957" s="284" t="n"/>
    </row>
    <row r="958" hidden="1" ht="15.75" customHeight="1" s="195">
      <c r="A958" s="301">
        <f>IF(_PENDIENTES!$B$952&lt;&gt;"",951,"")</f>
        <v/>
      </c>
      <c r="B958" s="242">
        <f>IF(_PENDIENTES!$B$952&lt;&gt;"",_PENDIENTES!$A$952,"")</f>
        <v/>
      </c>
      <c r="C958" s="302">
        <f>IF(_PENDIENTES!$B$952&lt;&gt;"",_PENDIENTES!$C$952,"")</f>
        <v/>
      </c>
      <c r="D958" s="301">
        <f>IF(_PENDIENTES!$B$952&lt;&gt;"",_PENDIENTES!$D$952,"")</f>
        <v/>
      </c>
      <c r="E958" s="306">
        <f>IF(_PENDIENTES!$B$952&lt;&gt;"",_PENDIENTES!$E$952,"")</f>
        <v/>
      </c>
      <c r="F958" s="301">
        <f>IF(_PENDIENTES!$B$952&lt;&gt;"",_PENDIENTES!$F$952,"")</f>
        <v/>
      </c>
      <c r="G958" s="245">
        <f>IF(_PENDIENTES!$B$952&lt;&gt;"",_PENDIENTES!$G$952,"")</f>
        <v/>
      </c>
      <c r="H958" s="245">
        <f>IF(_PENDIENTES!$B$952&lt;&gt;"",_PENDIENTES!$H$952,"")</f>
        <v/>
      </c>
      <c r="I958" s="302">
        <f>IF(_PENDIENTES!$B$952&lt;&gt;"",_PENDIENTES!$I$952,"")</f>
        <v/>
      </c>
      <c r="J958" s="301">
        <f>IF(_PENDIENTES!$B$952&lt;&gt;"",_PENDIENTES!$J$952,"")</f>
        <v/>
      </c>
      <c r="K958" s="301">
        <f>IF(_PENDIENTES!$B$952&lt;&gt;"","POR RECOGER","")</f>
        <v/>
      </c>
      <c r="L958" s="301">
        <f>IF(_PENDIENTES!$B$952&lt;&gt;"",_PENDIENTES!$K$952,"")</f>
        <v/>
      </c>
      <c r="M958" s="284">
        <f>IF(_PENDIENTES!$B$952&lt;&gt;"",_PENDIENTES!$B$952,"")</f>
        <v/>
      </c>
      <c r="N958" s="304">
        <f>IF(_PENDIENTES!$B$952&lt;&gt;"",_PENDIENTES!$L$952,"")</f>
        <v/>
      </c>
      <c r="O958" s="284" t="n"/>
      <c r="P958" s="284" t="n"/>
      <c r="Q958" s="284" t="n"/>
      <c r="R958" s="284" t="n"/>
      <c r="S958" s="284" t="n"/>
    </row>
    <row r="959" hidden="1" ht="15.75" customHeight="1" s="195">
      <c r="A959" s="241">
        <f>IF(_PENDIENTES!$B$953&lt;&gt;"",952,"")</f>
        <v/>
      </c>
      <c r="B959" s="236">
        <f>IF(_PENDIENTES!$B$953&lt;&gt;"",_PENDIENTES!$A$953,"")</f>
        <v/>
      </c>
      <c r="C959" s="305">
        <f>IF(_PENDIENTES!$B$953&lt;&gt;"",_PENDIENTES!$C$953,"")</f>
        <v/>
      </c>
      <c r="D959" s="241">
        <f>IF(_PENDIENTES!$B$953&lt;&gt;"",_PENDIENTES!$D$953,"")</f>
        <v/>
      </c>
      <c r="E959" s="307">
        <f>IF(_PENDIENTES!$B$953&lt;&gt;"",_PENDIENTES!$E$953,"")</f>
        <v/>
      </c>
      <c r="F959" s="241">
        <f>IF(_PENDIENTES!$B$953&lt;&gt;"",_PENDIENTES!$F$953,"")</f>
        <v/>
      </c>
      <c r="G959" s="239">
        <f>IF(_PENDIENTES!$B$953&lt;&gt;"",_PENDIENTES!$G$953,"")</f>
        <v/>
      </c>
      <c r="H959" s="239">
        <f>IF(_PENDIENTES!$B$953&lt;&gt;"",_PENDIENTES!$H$953,"")</f>
        <v/>
      </c>
      <c r="I959" s="305">
        <f>IF(_PENDIENTES!$B$953&lt;&gt;"",_PENDIENTES!$I$953,"")</f>
        <v/>
      </c>
      <c r="J959" s="241">
        <f>IF(_PENDIENTES!$B$953&lt;&gt;"",_PENDIENTES!$J$953,"")</f>
        <v/>
      </c>
      <c r="K959" s="241">
        <f>IF(_PENDIENTES!$B$953&lt;&gt;"","POR RECOGER","")</f>
        <v/>
      </c>
      <c r="L959" s="241">
        <f>IF(_PENDIENTES!$B$953&lt;&gt;"",_PENDIENTES!$K$953,"")</f>
        <v/>
      </c>
      <c r="M959" s="284">
        <f>IF(_PENDIENTES!$B$953&lt;&gt;"",_PENDIENTES!$B$953,"")</f>
        <v/>
      </c>
      <c r="N959" s="304">
        <f>IF(_PENDIENTES!$B$953&lt;&gt;"",_PENDIENTES!$L$953,"")</f>
        <v/>
      </c>
      <c r="O959" s="284" t="n"/>
      <c r="P959" s="284" t="n"/>
      <c r="Q959" s="284" t="n"/>
      <c r="R959" s="284" t="n"/>
      <c r="S959" s="284" t="n"/>
    </row>
    <row r="960" hidden="1" ht="15.75" customHeight="1" s="195">
      <c r="A960" s="301">
        <f>IF(_PENDIENTES!$B$954&lt;&gt;"",953,"")</f>
        <v/>
      </c>
      <c r="B960" s="242">
        <f>IF(_PENDIENTES!$B$954&lt;&gt;"",_PENDIENTES!$A$954,"")</f>
        <v/>
      </c>
      <c r="C960" s="302">
        <f>IF(_PENDIENTES!$B$954&lt;&gt;"",_PENDIENTES!$C$954,"")</f>
        <v/>
      </c>
      <c r="D960" s="301">
        <f>IF(_PENDIENTES!$B$954&lt;&gt;"",_PENDIENTES!$D$954,"")</f>
        <v/>
      </c>
      <c r="E960" s="306">
        <f>IF(_PENDIENTES!$B$954&lt;&gt;"",_PENDIENTES!$E$954,"")</f>
        <v/>
      </c>
      <c r="F960" s="301">
        <f>IF(_PENDIENTES!$B$954&lt;&gt;"",_PENDIENTES!$F$954,"")</f>
        <v/>
      </c>
      <c r="G960" s="245">
        <f>IF(_PENDIENTES!$B$954&lt;&gt;"",_PENDIENTES!$G$954,"")</f>
        <v/>
      </c>
      <c r="H960" s="245">
        <f>IF(_PENDIENTES!$B$954&lt;&gt;"",_PENDIENTES!$H$954,"")</f>
        <v/>
      </c>
      <c r="I960" s="302">
        <f>IF(_PENDIENTES!$B$954&lt;&gt;"",_PENDIENTES!$I$954,"")</f>
        <v/>
      </c>
      <c r="J960" s="301">
        <f>IF(_PENDIENTES!$B$954&lt;&gt;"",_PENDIENTES!$J$954,"")</f>
        <v/>
      </c>
      <c r="K960" s="301">
        <f>IF(_PENDIENTES!$B$954&lt;&gt;"","POR RECOGER","")</f>
        <v/>
      </c>
      <c r="L960" s="301">
        <f>IF(_PENDIENTES!$B$954&lt;&gt;"",_PENDIENTES!$K$954,"")</f>
        <v/>
      </c>
      <c r="M960" s="284">
        <f>IF(_PENDIENTES!$B$954&lt;&gt;"",_PENDIENTES!$B$954,"")</f>
        <v/>
      </c>
      <c r="N960" s="304">
        <f>IF(_PENDIENTES!$B$954&lt;&gt;"",_PENDIENTES!$L$954,"")</f>
        <v/>
      </c>
      <c r="O960" s="284" t="n"/>
      <c r="P960" s="284" t="n"/>
      <c r="Q960" s="284" t="n"/>
      <c r="R960" s="284" t="n"/>
      <c r="S960" s="284" t="n"/>
    </row>
    <row r="961" hidden="1" ht="15.75" customHeight="1" s="195">
      <c r="A961" s="241">
        <f>IF(_PENDIENTES!$B$955&lt;&gt;"",954,"")</f>
        <v/>
      </c>
      <c r="B961" s="236">
        <f>IF(_PENDIENTES!$B$955&lt;&gt;"",_PENDIENTES!$A$955,"")</f>
        <v/>
      </c>
      <c r="C961" s="305">
        <f>IF(_PENDIENTES!$B$955&lt;&gt;"",_PENDIENTES!$C$955,"")</f>
        <v/>
      </c>
      <c r="D961" s="241">
        <f>IF(_PENDIENTES!$B$955&lt;&gt;"",_PENDIENTES!$D$955,"")</f>
        <v/>
      </c>
      <c r="E961" s="307">
        <f>IF(_PENDIENTES!$B$955&lt;&gt;"",_PENDIENTES!$E$955,"")</f>
        <v/>
      </c>
      <c r="F961" s="241">
        <f>IF(_PENDIENTES!$B$955&lt;&gt;"",_PENDIENTES!$F$955,"")</f>
        <v/>
      </c>
      <c r="G961" s="239">
        <f>IF(_PENDIENTES!$B$955&lt;&gt;"",_PENDIENTES!$G$955,"")</f>
        <v/>
      </c>
      <c r="H961" s="239">
        <f>IF(_PENDIENTES!$B$955&lt;&gt;"",_PENDIENTES!$H$955,"")</f>
        <v/>
      </c>
      <c r="I961" s="305">
        <f>IF(_PENDIENTES!$B$955&lt;&gt;"",_PENDIENTES!$I$955,"")</f>
        <v/>
      </c>
      <c r="J961" s="241">
        <f>IF(_PENDIENTES!$B$955&lt;&gt;"",_PENDIENTES!$J$955,"")</f>
        <v/>
      </c>
      <c r="K961" s="241">
        <f>IF(_PENDIENTES!$B$955&lt;&gt;"","POR RECOGER","")</f>
        <v/>
      </c>
      <c r="L961" s="241">
        <f>IF(_PENDIENTES!$B$955&lt;&gt;"",_PENDIENTES!$K$955,"")</f>
        <v/>
      </c>
      <c r="M961" s="284">
        <f>IF(_PENDIENTES!$B$955&lt;&gt;"",_PENDIENTES!$B$955,"")</f>
        <v/>
      </c>
      <c r="N961" s="304">
        <f>IF(_PENDIENTES!$B$955&lt;&gt;"",_PENDIENTES!$L$955,"")</f>
        <v/>
      </c>
      <c r="O961" s="284" t="n"/>
      <c r="P961" s="284" t="n"/>
      <c r="Q961" s="284" t="n"/>
      <c r="R961" s="284" t="n"/>
      <c r="S961" s="284" t="n"/>
    </row>
    <row r="962" hidden="1" ht="15.75" customHeight="1" s="195">
      <c r="A962" s="301">
        <f>IF(_PENDIENTES!$B$956&lt;&gt;"",955,"")</f>
        <v/>
      </c>
      <c r="B962" s="242">
        <f>IF(_PENDIENTES!$B$956&lt;&gt;"",_PENDIENTES!$A$956,"")</f>
        <v/>
      </c>
      <c r="C962" s="302">
        <f>IF(_PENDIENTES!$B$956&lt;&gt;"",_PENDIENTES!$C$956,"")</f>
        <v/>
      </c>
      <c r="D962" s="301">
        <f>IF(_PENDIENTES!$B$956&lt;&gt;"",_PENDIENTES!$D$956,"")</f>
        <v/>
      </c>
      <c r="E962" s="306">
        <f>IF(_PENDIENTES!$B$956&lt;&gt;"",_PENDIENTES!$E$956,"")</f>
        <v/>
      </c>
      <c r="F962" s="301">
        <f>IF(_PENDIENTES!$B$956&lt;&gt;"",_PENDIENTES!$F$956,"")</f>
        <v/>
      </c>
      <c r="G962" s="245">
        <f>IF(_PENDIENTES!$B$956&lt;&gt;"",_PENDIENTES!$G$956,"")</f>
        <v/>
      </c>
      <c r="H962" s="245">
        <f>IF(_PENDIENTES!$B$956&lt;&gt;"",_PENDIENTES!$H$956,"")</f>
        <v/>
      </c>
      <c r="I962" s="302">
        <f>IF(_PENDIENTES!$B$956&lt;&gt;"",_PENDIENTES!$I$956,"")</f>
        <v/>
      </c>
      <c r="J962" s="301">
        <f>IF(_PENDIENTES!$B$956&lt;&gt;"",_PENDIENTES!$J$956,"")</f>
        <v/>
      </c>
      <c r="K962" s="301">
        <f>IF(_PENDIENTES!$B$956&lt;&gt;"","POR RECOGER","")</f>
        <v/>
      </c>
      <c r="L962" s="301">
        <f>IF(_PENDIENTES!$B$956&lt;&gt;"",_PENDIENTES!$K$956,"")</f>
        <v/>
      </c>
      <c r="M962" s="284">
        <f>IF(_PENDIENTES!$B$956&lt;&gt;"",_PENDIENTES!$B$956,"")</f>
        <v/>
      </c>
      <c r="N962" s="304">
        <f>IF(_PENDIENTES!$B$956&lt;&gt;"",_PENDIENTES!$L$956,"")</f>
        <v/>
      </c>
      <c r="O962" s="284" t="n"/>
      <c r="P962" s="284" t="n"/>
      <c r="Q962" s="284" t="n"/>
      <c r="R962" s="284" t="n"/>
      <c r="S962" s="284" t="n"/>
    </row>
    <row r="963" hidden="1" ht="15.75" customHeight="1" s="195">
      <c r="A963" s="241">
        <f>IF(_PENDIENTES!$B$957&lt;&gt;"",956,"")</f>
        <v/>
      </c>
      <c r="B963" s="236">
        <f>IF(_PENDIENTES!$B$957&lt;&gt;"",_PENDIENTES!$A$957,"")</f>
        <v/>
      </c>
      <c r="C963" s="305">
        <f>IF(_PENDIENTES!$B$957&lt;&gt;"",_PENDIENTES!$C$957,"")</f>
        <v/>
      </c>
      <c r="D963" s="241">
        <f>IF(_PENDIENTES!$B$957&lt;&gt;"",_PENDIENTES!$D$957,"")</f>
        <v/>
      </c>
      <c r="E963" s="307">
        <f>IF(_PENDIENTES!$B$957&lt;&gt;"",_PENDIENTES!$E$957,"")</f>
        <v/>
      </c>
      <c r="F963" s="241">
        <f>IF(_PENDIENTES!$B$957&lt;&gt;"",_PENDIENTES!$F$957,"")</f>
        <v/>
      </c>
      <c r="G963" s="239">
        <f>IF(_PENDIENTES!$B$957&lt;&gt;"",_PENDIENTES!$G$957,"")</f>
        <v/>
      </c>
      <c r="H963" s="239">
        <f>IF(_PENDIENTES!$B$957&lt;&gt;"",_PENDIENTES!$H$957,"")</f>
        <v/>
      </c>
      <c r="I963" s="305">
        <f>IF(_PENDIENTES!$B$957&lt;&gt;"",_PENDIENTES!$I$957,"")</f>
        <v/>
      </c>
      <c r="J963" s="241">
        <f>IF(_PENDIENTES!$B$957&lt;&gt;"",_PENDIENTES!$J$957,"")</f>
        <v/>
      </c>
      <c r="K963" s="241">
        <f>IF(_PENDIENTES!$B$957&lt;&gt;"","POR RECOGER","")</f>
        <v/>
      </c>
      <c r="L963" s="241">
        <f>IF(_PENDIENTES!$B$957&lt;&gt;"",_PENDIENTES!$K$957,"")</f>
        <v/>
      </c>
      <c r="M963" s="284">
        <f>IF(_PENDIENTES!$B$957&lt;&gt;"",_PENDIENTES!$B$957,"")</f>
        <v/>
      </c>
      <c r="N963" s="304">
        <f>IF(_PENDIENTES!$B$957&lt;&gt;"",_PENDIENTES!$L$957,"")</f>
        <v/>
      </c>
      <c r="O963" s="284" t="n"/>
      <c r="P963" s="284" t="n"/>
      <c r="Q963" s="284" t="n"/>
      <c r="R963" s="284" t="n"/>
      <c r="S963" s="284" t="n"/>
    </row>
    <row r="964" hidden="1" ht="15.75" customHeight="1" s="195">
      <c r="A964" s="301">
        <f>IF(_PENDIENTES!$B$958&lt;&gt;"",957,"")</f>
        <v/>
      </c>
      <c r="B964" s="242">
        <f>IF(_PENDIENTES!$B$958&lt;&gt;"",_PENDIENTES!$A$958,"")</f>
        <v/>
      </c>
      <c r="C964" s="302">
        <f>IF(_PENDIENTES!$B$958&lt;&gt;"",_PENDIENTES!$C$958,"")</f>
        <v/>
      </c>
      <c r="D964" s="301">
        <f>IF(_PENDIENTES!$B$958&lt;&gt;"",_PENDIENTES!$D$958,"")</f>
        <v/>
      </c>
      <c r="E964" s="306">
        <f>IF(_PENDIENTES!$B$958&lt;&gt;"",_PENDIENTES!$E$958,"")</f>
        <v/>
      </c>
      <c r="F964" s="301">
        <f>IF(_PENDIENTES!$B$958&lt;&gt;"",_PENDIENTES!$F$958,"")</f>
        <v/>
      </c>
      <c r="G964" s="245">
        <f>IF(_PENDIENTES!$B$958&lt;&gt;"",_PENDIENTES!$G$958,"")</f>
        <v/>
      </c>
      <c r="H964" s="245">
        <f>IF(_PENDIENTES!$B$958&lt;&gt;"",_PENDIENTES!$H$958,"")</f>
        <v/>
      </c>
      <c r="I964" s="302">
        <f>IF(_PENDIENTES!$B$958&lt;&gt;"",_PENDIENTES!$I$958,"")</f>
        <v/>
      </c>
      <c r="J964" s="301">
        <f>IF(_PENDIENTES!$B$958&lt;&gt;"",_PENDIENTES!$J$958,"")</f>
        <v/>
      </c>
      <c r="K964" s="301">
        <f>IF(_PENDIENTES!$B$958&lt;&gt;"","POR RECOGER","")</f>
        <v/>
      </c>
      <c r="L964" s="301">
        <f>IF(_PENDIENTES!$B$958&lt;&gt;"",_PENDIENTES!$K$958,"")</f>
        <v/>
      </c>
      <c r="M964" s="284">
        <f>IF(_PENDIENTES!$B$958&lt;&gt;"",_PENDIENTES!$B$958,"")</f>
        <v/>
      </c>
      <c r="N964" s="304">
        <f>IF(_PENDIENTES!$B$958&lt;&gt;"",_PENDIENTES!$L$958,"")</f>
        <v/>
      </c>
      <c r="O964" s="284" t="n"/>
      <c r="P964" s="284" t="n"/>
      <c r="Q964" s="284" t="n"/>
      <c r="R964" s="284" t="n"/>
      <c r="S964" s="284" t="n"/>
    </row>
    <row r="965" hidden="1" ht="15.75" customHeight="1" s="195">
      <c r="A965" s="241">
        <f>IF(_PENDIENTES!$B$959&lt;&gt;"",958,"")</f>
        <v/>
      </c>
      <c r="B965" s="236">
        <f>IF(_PENDIENTES!$B$959&lt;&gt;"",_PENDIENTES!$A$959,"")</f>
        <v/>
      </c>
      <c r="C965" s="305">
        <f>IF(_PENDIENTES!$B$959&lt;&gt;"",_PENDIENTES!$C$959,"")</f>
        <v/>
      </c>
      <c r="D965" s="241">
        <f>IF(_PENDIENTES!$B$959&lt;&gt;"",_PENDIENTES!$D$959,"")</f>
        <v/>
      </c>
      <c r="E965" s="307">
        <f>IF(_PENDIENTES!$B$959&lt;&gt;"",_PENDIENTES!$E$959,"")</f>
        <v/>
      </c>
      <c r="F965" s="241">
        <f>IF(_PENDIENTES!$B$959&lt;&gt;"",_PENDIENTES!$F$959,"")</f>
        <v/>
      </c>
      <c r="G965" s="239">
        <f>IF(_PENDIENTES!$B$959&lt;&gt;"",_PENDIENTES!$G$959,"")</f>
        <v/>
      </c>
      <c r="H965" s="239">
        <f>IF(_PENDIENTES!$B$959&lt;&gt;"",_PENDIENTES!$H$959,"")</f>
        <v/>
      </c>
      <c r="I965" s="305">
        <f>IF(_PENDIENTES!$B$959&lt;&gt;"",_PENDIENTES!$I$959,"")</f>
        <v/>
      </c>
      <c r="J965" s="241">
        <f>IF(_PENDIENTES!$B$959&lt;&gt;"",_PENDIENTES!$J$959,"")</f>
        <v/>
      </c>
      <c r="K965" s="241">
        <f>IF(_PENDIENTES!$B$959&lt;&gt;"","POR RECOGER","")</f>
        <v/>
      </c>
      <c r="L965" s="241">
        <f>IF(_PENDIENTES!$B$959&lt;&gt;"",_PENDIENTES!$K$959,"")</f>
        <v/>
      </c>
      <c r="M965" s="284">
        <f>IF(_PENDIENTES!$B$959&lt;&gt;"",_PENDIENTES!$B$959,"")</f>
        <v/>
      </c>
      <c r="N965" s="304">
        <f>IF(_PENDIENTES!$B$959&lt;&gt;"",_PENDIENTES!$L$959,"")</f>
        <v/>
      </c>
      <c r="O965" s="284" t="n"/>
      <c r="P965" s="284" t="n"/>
      <c r="Q965" s="284" t="n"/>
      <c r="R965" s="284" t="n"/>
      <c r="S965" s="284" t="n"/>
    </row>
    <row r="966" hidden="1" ht="15.75" customHeight="1" s="195">
      <c r="A966" s="301">
        <f>IF(_PENDIENTES!$B$960&lt;&gt;"",959,"")</f>
        <v/>
      </c>
      <c r="B966" s="242">
        <f>IF(_PENDIENTES!$B$960&lt;&gt;"",_PENDIENTES!$A$960,"")</f>
        <v/>
      </c>
      <c r="C966" s="302">
        <f>IF(_PENDIENTES!$B$960&lt;&gt;"",_PENDIENTES!$C$960,"")</f>
        <v/>
      </c>
      <c r="D966" s="301">
        <f>IF(_PENDIENTES!$B$960&lt;&gt;"",_PENDIENTES!$D$960,"")</f>
        <v/>
      </c>
      <c r="E966" s="306">
        <f>IF(_PENDIENTES!$B$960&lt;&gt;"",_PENDIENTES!$E$960,"")</f>
        <v/>
      </c>
      <c r="F966" s="301">
        <f>IF(_PENDIENTES!$B$960&lt;&gt;"",_PENDIENTES!$F$960,"")</f>
        <v/>
      </c>
      <c r="G966" s="245">
        <f>IF(_PENDIENTES!$B$960&lt;&gt;"",_PENDIENTES!$G$960,"")</f>
        <v/>
      </c>
      <c r="H966" s="245">
        <f>IF(_PENDIENTES!$B$960&lt;&gt;"",_PENDIENTES!$H$960,"")</f>
        <v/>
      </c>
      <c r="I966" s="302">
        <f>IF(_PENDIENTES!$B$960&lt;&gt;"",_PENDIENTES!$I$960,"")</f>
        <v/>
      </c>
      <c r="J966" s="301">
        <f>IF(_PENDIENTES!$B$960&lt;&gt;"",_PENDIENTES!$J$960,"")</f>
        <v/>
      </c>
      <c r="K966" s="301">
        <f>IF(_PENDIENTES!$B$960&lt;&gt;"","POR RECOGER","")</f>
        <v/>
      </c>
      <c r="L966" s="301">
        <f>IF(_PENDIENTES!$B$960&lt;&gt;"",_PENDIENTES!$K$960,"")</f>
        <v/>
      </c>
      <c r="M966" s="284">
        <f>IF(_PENDIENTES!$B$960&lt;&gt;"",_PENDIENTES!$B$960,"")</f>
        <v/>
      </c>
      <c r="N966" s="304">
        <f>IF(_PENDIENTES!$B$960&lt;&gt;"",_PENDIENTES!$L$960,"")</f>
        <v/>
      </c>
      <c r="O966" s="284" t="n"/>
      <c r="P966" s="284" t="n"/>
      <c r="Q966" s="284" t="n"/>
      <c r="R966" s="284" t="n"/>
      <c r="S966" s="284" t="n"/>
    </row>
    <row r="967" hidden="1" ht="15.75" customHeight="1" s="195">
      <c r="A967" s="241">
        <f>IF(_PENDIENTES!$B$961&lt;&gt;"",960,"")</f>
        <v/>
      </c>
      <c r="B967" s="236">
        <f>IF(_PENDIENTES!$B$961&lt;&gt;"",_PENDIENTES!$A$961,"")</f>
        <v/>
      </c>
      <c r="C967" s="305">
        <f>IF(_PENDIENTES!$B$961&lt;&gt;"",_PENDIENTES!$C$961,"")</f>
        <v/>
      </c>
      <c r="D967" s="241">
        <f>IF(_PENDIENTES!$B$961&lt;&gt;"",_PENDIENTES!$D$961,"")</f>
        <v/>
      </c>
      <c r="E967" s="307">
        <f>IF(_PENDIENTES!$B$961&lt;&gt;"",_PENDIENTES!$E$961,"")</f>
        <v/>
      </c>
      <c r="F967" s="241">
        <f>IF(_PENDIENTES!$B$961&lt;&gt;"",_PENDIENTES!$F$961,"")</f>
        <v/>
      </c>
      <c r="G967" s="239">
        <f>IF(_PENDIENTES!$B$961&lt;&gt;"",_PENDIENTES!$G$961,"")</f>
        <v/>
      </c>
      <c r="H967" s="239">
        <f>IF(_PENDIENTES!$B$961&lt;&gt;"",_PENDIENTES!$H$961,"")</f>
        <v/>
      </c>
      <c r="I967" s="305">
        <f>IF(_PENDIENTES!$B$961&lt;&gt;"",_PENDIENTES!$I$961,"")</f>
        <v/>
      </c>
      <c r="J967" s="241">
        <f>IF(_PENDIENTES!$B$961&lt;&gt;"",_PENDIENTES!$J$961,"")</f>
        <v/>
      </c>
      <c r="K967" s="241">
        <f>IF(_PENDIENTES!$B$961&lt;&gt;"","POR RECOGER","")</f>
        <v/>
      </c>
      <c r="L967" s="241">
        <f>IF(_PENDIENTES!$B$961&lt;&gt;"",_PENDIENTES!$K$961,"")</f>
        <v/>
      </c>
      <c r="M967" s="284">
        <f>IF(_PENDIENTES!$B$961&lt;&gt;"",_PENDIENTES!$B$961,"")</f>
        <v/>
      </c>
      <c r="N967" s="304">
        <f>IF(_PENDIENTES!$B$961&lt;&gt;"",_PENDIENTES!$L$961,"")</f>
        <v/>
      </c>
      <c r="O967" s="284" t="n"/>
      <c r="P967" s="284" t="n"/>
      <c r="Q967" s="284" t="n"/>
      <c r="R967" s="284" t="n"/>
      <c r="S967" s="284" t="n"/>
    </row>
    <row r="968" hidden="1" ht="15.75" customHeight="1" s="195">
      <c r="A968" s="301">
        <f>IF(_PENDIENTES!$B$962&lt;&gt;"",961,"")</f>
        <v/>
      </c>
      <c r="B968" s="242">
        <f>IF(_PENDIENTES!$B$962&lt;&gt;"",_PENDIENTES!$A$962,"")</f>
        <v/>
      </c>
      <c r="C968" s="302">
        <f>IF(_PENDIENTES!$B$962&lt;&gt;"",_PENDIENTES!$C$962,"")</f>
        <v/>
      </c>
      <c r="D968" s="301">
        <f>IF(_PENDIENTES!$B$962&lt;&gt;"",_PENDIENTES!$D$962,"")</f>
        <v/>
      </c>
      <c r="E968" s="306">
        <f>IF(_PENDIENTES!$B$962&lt;&gt;"",_PENDIENTES!$E$962,"")</f>
        <v/>
      </c>
      <c r="F968" s="301">
        <f>IF(_PENDIENTES!$B$962&lt;&gt;"",_PENDIENTES!$F$962,"")</f>
        <v/>
      </c>
      <c r="G968" s="245">
        <f>IF(_PENDIENTES!$B$962&lt;&gt;"",_PENDIENTES!$G$962,"")</f>
        <v/>
      </c>
      <c r="H968" s="245">
        <f>IF(_PENDIENTES!$B$962&lt;&gt;"",_PENDIENTES!$H$962,"")</f>
        <v/>
      </c>
      <c r="I968" s="302">
        <f>IF(_PENDIENTES!$B$962&lt;&gt;"",_PENDIENTES!$I$962,"")</f>
        <v/>
      </c>
      <c r="J968" s="301">
        <f>IF(_PENDIENTES!$B$962&lt;&gt;"",_PENDIENTES!$J$962,"")</f>
        <v/>
      </c>
      <c r="K968" s="301">
        <f>IF(_PENDIENTES!$B$962&lt;&gt;"","POR RECOGER","")</f>
        <v/>
      </c>
      <c r="L968" s="301">
        <f>IF(_PENDIENTES!$B$962&lt;&gt;"",_PENDIENTES!$K$962,"")</f>
        <v/>
      </c>
      <c r="M968" s="284">
        <f>IF(_PENDIENTES!$B$962&lt;&gt;"",_PENDIENTES!$B$962,"")</f>
        <v/>
      </c>
      <c r="N968" s="304">
        <f>IF(_PENDIENTES!$B$962&lt;&gt;"",_PENDIENTES!$L$962,"")</f>
        <v/>
      </c>
      <c r="O968" s="284" t="n"/>
      <c r="P968" s="284" t="n"/>
      <c r="Q968" s="284" t="n"/>
      <c r="R968" s="284" t="n"/>
      <c r="S968" s="284" t="n"/>
    </row>
    <row r="969" hidden="1" ht="15.75" customHeight="1" s="195">
      <c r="A969" s="241">
        <f>IF(_PENDIENTES!$B$963&lt;&gt;"",962,"")</f>
        <v/>
      </c>
      <c r="B969" s="236">
        <f>IF(_PENDIENTES!$B$963&lt;&gt;"",_PENDIENTES!$A$963,"")</f>
        <v/>
      </c>
      <c r="C969" s="305">
        <f>IF(_PENDIENTES!$B$963&lt;&gt;"",_PENDIENTES!$C$963,"")</f>
        <v/>
      </c>
      <c r="D969" s="241">
        <f>IF(_PENDIENTES!$B$963&lt;&gt;"",_PENDIENTES!$D$963,"")</f>
        <v/>
      </c>
      <c r="E969" s="307">
        <f>IF(_PENDIENTES!$B$963&lt;&gt;"",_PENDIENTES!$E$963,"")</f>
        <v/>
      </c>
      <c r="F969" s="241">
        <f>IF(_PENDIENTES!$B$963&lt;&gt;"",_PENDIENTES!$F$963,"")</f>
        <v/>
      </c>
      <c r="G969" s="239">
        <f>IF(_PENDIENTES!$B$963&lt;&gt;"",_PENDIENTES!$G$963,"")</f>
        <v/>
      </c>
      <c r="H969" s="239">
        <f>IF(_PENDIENTES!$B$963&lt;&gt;"",_PENDIENTES!$H$963,"")</f>
        <v/>
      </c>
      <c r="I969" s="305">
        <f>IF(_PENDIENTES!$B$963&lt;&gt;"",_PENDIENTES!$I$963,"")</f>
        <v/>
      </c>
      <c r="J969" s="241">
        <f>IF(_PENDIENTES!$B$963&lt;&gt;"",_PENDIENTES!$J$963,"")</f>
        <v/>
      </c>
      <c r="K969" s="241">
        <f>IF(_PENDIENTES!$B$963&lt;&gt;"","POR RECOGER","")</f>
        <v/>
      </c>
      <c r="L969" s="241">
        <f>IF(_PENDIENTES!$B$963&lt;&gt;"",_PENDIENTES!$K$963,"")</f>
        <v/>
      </c>
      <c r="M969" s="284">
        <f>IF(_PENDIENTES!$B$963&lt;&gt;"",_PENDIENTES!$B$963,"")</f>
        <v/>
      </c>
      <c r="N969" s="304">
        <f>IF(_PENDIENTES!$B$963&lt;&gt;"",_PENDIENTES!$L$963,"")</f>
        <v/>
      </c>
      <c r="O969" s="284" t="n"/>
      <c r="P969" s="284" t="n"/>
      <c r="Q969" s="284" t="n"/>
      <c r="R969" s="284" t="n"/>
      <c r="S969" s="284" t="n"/>
    </row>
    <row r="970" hidden="1" ht="15.75" customHeight="1" s="195">
      <c r="A970" s="301">
        <f>IF(_PENDIENTES!$B$964&lt;&gt;"",963,"")</f>
        <v/>
      </c>
      <c r="B970" s="242">
        <f>IF(_PENDIENTES!$B$964&lt;&gt;"",_PENDIENTES!$A$964,"")</f>
        <v/>
      </c>
      <c r="C970" s="302">
        <f>IF(_PENDIENTES!$B$964&lt;&gt;"",_PENDIENTES!$C$964,"")</f>
        <v/>
      </c>
      <c r="D970" s="301">
        <f>IF(_PENDIENTES!$B$964&lt;&gt;"",_PENDIENTES!$D$964,"")</f>
        <v/>
      </c>
      <c r="E970" s="306">
        <f>IF(_PENDIENTES!$B$964&lt;&gt;"",_PENDIENTES!$E$964,"")</f>
        <v/>
      </c>
      <c r="F970" s="301">
        <f>IF(_PENDIENTES!$B$964&lt;&gt;"",_PENDIENTES!$F$964,"")</f>
        <v/>
      </c>
      <c r="G970" s="245">
        <f>IF(_PENDIENTES!$B$964&lt;&gt;"",_PENDIENTES!$G$964,"")</f>
        <v/>
      </c>
      <c r="H970" s="245">
        <f>IF(_PENDIENTES!$B$964&lt;&gt;"",_PENDIENTES!$H$964,"")</f>
        <v/>
      </c>
      <c r="I970" s="302">
        <f>IF(_PENDIENTES!$B$964&lt;&gt;"",_PENDIENTES!$I$964,"")</f>
        <v/>
      </c>
      <c r="J970" s="301">
        <f>IF(_PENDIENTES!$B$964&lt;&gt;"",_PENDIENTES!$J$964,"")</f>
        <v/>
      </c>
      <c r="K970" s="301">
        <f>IF(_PENDIENTES!$B$964&lt;&gt;"","POR RECOGER","")</f>
        <v/>
      </c>
      <c r="L970" s="301">
        <f>IF(_PENDIENTES!$B$964&lt;&gt;"",_PENDIENTES!$K$964,"")</f>
        <v/>
      </c>
      <c r="M970" s="284">
        <f>IF(_PENDIENTES!$B$964&lt;&gt;"",_PENDIENTES!$B$964,"")</f>
        <v/>
      </c>
      <c r="N970" s="304">
        <f>IF(_PENDIENTES!$B$964&lt;&gt;"",_PENDIENTES!$L$964,"")</f>
        <v/>
      </c>
      <c r="O970" s="284" t="n"/>
      <c r="P970" s="284" t="n"/>
      <c r="Q970" s="284" t="n"/>
      <c r="R970" s="284" t="n"/>
      <c r="S970" s="284" t="n"/>
    </row>
    <row r="971" hidden="1" ht="15.75" customHeight="1" s="195">
      <c r="A971" s="241">
        <f>IF(_PENDIENTES!$B$965&lt;&gt;"",964,"")</f>
        <v/>
      </c>
      <c r="B971" s="236">
        <f>IF(_PENDIENTES!$B$965&lt;&gt;"",_PENDIENTES!$A$965,"")</f>
        <v/>
      </c>
      <c r="C971" s="305">
        <f>IF(_PENDIENTES!$B$965&lt;&gt;"",_PENDIENTES!$C$965,"")</f>
        <v/>
      </c>
      <c r="D971" s="241">
        <f>IF(_PENDIENTES!$B$965&lt;&gt;"",_PENDIENTES!$D$965,"")</f>
        <v/>
      </c>
      <c r="E971" s="307">
        <f>IF(_PENDIENTES!$B$965&lt;&gt;"",_PENDIENTES!$E$965,"")</f>
        <v/>
      </c>
      <c r="F971" s="241">
        <f>IF(_PENDIENTES!$B$965&lt;&gt;"",_PENDIENTES!$F$965,"")</f>
        <v/>
      </c>
      <c r="G971" s="239">
        <f>IF(_PENDIENTES!$B$965&lt;&gt;"",_PENDIENTES!$G$965,"")</f>
        <v/>
      </c>
      <c r="H971" s="239">
        <f>IF(_PENDIENTES!$B$965&lt;&gt;"",_PENDIENTES!$H$965,"")</f>
        <v/>
      </c>
      <c r="I971" s="305">
        <f>IF(_PENDIENTES!$B$965&lt;&gt;"",_PENDIENTES!$I$965,"")</f>
        <v/>
      </c>
      <c r="J971" s="241">
        <f>IF(_PENDIENTES!$B$965&lt;&gt;"",_PENDIENTES!$J$965,"")</f>
        <v/>
      </c>
      <c r="K971" s="241">
        <f>IF(_PENDIENTES!$B$965&lt;&gt;"","POR RECOGER","")</f>
        <v/>
      </c>
      <c r="L971" s="241">
        <f>IF(_PENDIENTES!$B$965&lt;&gt;"",_PENDIENTES!$K$965,"")</f>
        <v/>
      </c>
      <c r="M971" s="284">
        <f>IF(_PENDIENTES!$B$965&lt;&gt;"",_PENDIENTES!$B$965,"")</f>
        <v/>
      </c>
      <c r="N971" s="304">
        <f>IF(_PENDIENTES!$B$965&lt;&gt;"",_PENDIENTES!$L$965,"")</f>
        <v/>
      </c>
      <c r="O971" s="284" t="n"/>
      <c r="P971" s="284" t="n"/>
      <c r="Q971" s="284" t="n"/>
      <c r="R971" s="284" t="n"/>
      <c r="S971" s="284" t="n"/>
    </row>
    <row r="972" hidden="1" ht="15.75" customHeight="1" s="195">
      <c r="A972" s="301">
        <f>IF(_PENDIENTES!$B$966&lt;&gt;"",965,"")</f>
        <v/>
      </c>
      <c r="B972" s="242">
        <f>IF(_PENDIENTES!$B$966&lt;&gt;"",_PENDIENTES!$A$966,"")</f>
        <v/>
      </c>
      <c r="C972" s="302">
        <f>IF(_PENDIENTES!$B$966&lt;&gt;"",_PENDIENTES!$C$966,"")</f>
        <v/>
      </c>
      <c r="D972" s="301">
        <f>IF(_PENDIENTES!$B$966&lt;&gt;"",_PENDIENTES!$D$966,"")</f>
        <v/>
      </c>
      <c r="E972" s="306">
        <f>IF(_PENDIENTES!$B$966&lt;&gt;"",_PENDIENTES!$E$966,"")</f>
        <v/>
      </c>
      <c r="F972" s="301">
        <f>IF(_PENDIENTES!$B$966&lt;&gt;"",_PENDIENTES!$F$966,"")</f>
        <v/>
      </c>
      <c r="G972" s="245">
        <f>IF(_PENDIENTES!$B$966&lt;&gt;"",_PENDIENTES!$G$966,"")</f>
        <v/>
      </c>
      <c r="H972" s="245">
        <f>IF(_PENDIENTES!$B$966&lt;&gt;"",_PENDIENTES!$H$966,"")</f>
        <v/>
      </c>
      <c r="I972" s="302">
        <f>IF(_PENDIENTES!$B$966&lt;&gt;"",_PENDIENTES!$I$966,"")</f>
        <v/>
      </c>
      <c r="J972" s="301">
        <f>IF(_PENDIENTES!$B$966&lt;&gt;"",_PENDIENTES!$J$966,"")</f>
        <v/>
      </c>
      <c r="K972" s="301">
        <f>IF(_PENDIENTES!$B$966&lt;&gt;"","POR RECOGER","")</f>
        <v/>
      </c>
      <c r="L972" s="301">
        <f>IF(_PENDIENTES!$B$966&lt;&gt;"",_PENDIENTES!$K$966,"")</f>
        <v/>
      </c>
      <c r="M972" s="284">
        <f>IF(_PENDIENTES!$B$966&lt;&gt;"",_PENDIENTES!$B$966,"")</f>
        <v/>
      </c>
      <c r="N972" s="304">
        <f>IF(_PENDIENTES!$B$966&lt;&gt;"",_PENDIENTES!$L$966,"")</f>
        <v/>
      </c>
      <c r="O972" s="284" t="n"/>
      <c r="P972" s="284" t="n"/>
      <c r="Q972" s="284" t="n"/>
      <c r="R972" s="284" t="n"/>
      <c r="S972" s="284" t="n"/>
    </row>
    <row r="973" hidden="1" ht="15.75" customHeight="1" s="195">
      <c r="A973" s="241">
        <f>IF(_PENDIENTES!$B$967&lt;&gt;"",966,"")</f>
        <v/>
      </c>
      <c r="B973" s="236">
        <f>IF(_PENDIENTES!$B$967&lt;&gt;"",_PENDIENTES!$A$967,"")</f>
        <v/>
      </c>
      <c r="C973" s="305">
        <f>IF(_PENDIENTES!$B$967&lt;&gt;"",_PENDIENTES!$C$967,"")</f>
        <v/>
      </c>
      <c r="D973" s="241">
        <f>IF(_PENDIENTES!$B$967&lt;&gt;"",_PENDIENTES!$D$967,"")</f>
        <v/>
      </c>
      <c r="E973" s="307">
        <f>IF(_PENDIENTES!$B$967&lt;&gt;"",_PENDIENTES!$E$967,"")</f>
        <v/>
      </c>
      <c r="F973" s="241">
        <f>IF(_PENDIENTES!$B$967&lt;&gt;"",_PENDIENTES!$F$967,"")</f>
        <v/>
      </c>
      <c r="G973" s="239">
        <f>IF(_PENDIENTES!$B$967&lt;&gt;"",_PENDIENTES!$G$967,"")</f>
        <v/>
      </c>
      <c r="H973" s="239">
        <f>IF(_PENDIENTES!$B$967&lt;&gt;"",_PENDIENTES!$H$967,"")</f>
        <v/>
      </c>
      <c r="I973" s="305">
        <f>IF(_PENDIENTES!$B$967&lt;&gt;"",_PENDIENTES!$I$967,"")</f>
        <v/>
      </c>
      <c r="J973" s="241">
        <f>IF(_PENDIENTES!$B$967&lt;&gt;"",_PENDIENTES!$J$967,"")</f>
        <v/>
      </c>
      <c r="K973" s="241">
        <f>IF(_PENDIENTES!$B$967&lt;&gt;"","POR RECOGER","")</f>
        <v/>
      </c>
      <c r="L973" s="241">
        <f>IF(_PENDIENTES!$B$967&lt;&gt;"",_PENDIENTES!$K$967,"")</f>
        <v/>
      </c>
      <c r="M973" s="284">
        <f>IF(_PENDIENTES!$B$967&lt;&gt;"",_PENDIENTES!$B$967,"")</f>
        <v/>
      </c>
      <c r="N973" s="304">
        <f>IF(_PENDIENTES!$B$967&lt;&gt;"",_PENDIENTES!$L$967,"")</f>
        <v/>
      </c>
      <c r="O973" s="284" t="n"/>
      <c r="P973" s="284" t="n"/>
      <c r="Q973" s="284" t="n"/>
      <c r="R973" s="284" t="n"/>
      <c r="S973" s="284" t="n"/>
    </row>
    <row r="974" hidden="1" ht="15.75" customHeight="1" s="195">
      <c r="A974" s="301">
        <f>IF(_PENDIENTES!$B$968&lt;&gt;"",967,"")</f>
        <v/>
      </c>
      <c r="B974" s="242">
        <f>IF(_PENDIENTES!$B$968&lt;&gt;"",_PENDIENTES!$A$968,"")</f>
        <v/>
      </c>
      <c r="C974" s="302">
        <f>IF(_PENDIENTES!$B$968&lt;&gt;"",_PENDIENTES!$C$968,"")</f>
        <v/>
      </c>
      <c r="D974" s="301">
        <f>IF(_PENDIENTES!$B$968&lt;&gt;"",_PENDIENTES!$D$968,"")</f>
        <v/>
      </c>
      <c r="E974" s="306">
        <f>IF(_PENDIENTES!$B$968&lt;&gt;"",_PENDIENTES!$E$968,"")</f>
        <v/>
      </c>
      <c r="F974" s="301">
        <f>IF(_PENDIENTES!$B$968&lt;&gt;"",_PENDIENTES!$F$968,"")</f>
        <v/>
      </c>
      <c r="G974" s="245">
        <f>IF(_PENDIENTES!$B$968&lt;&gt;"",_PENDIENTES!$G$968,"")</f>
        <v/>
      </c>
      <c r="H974" s="245">
        <f>IF(_PENDIENTES!$B$968&lt;&gt;"",_PENDIENTES!$H$968,"")</f>
        <v/>
      </c>
      <c r="I974" s="302">
        <f>IF(_PENDIENTES!$B$968&lt;&gt;"",_PENDIENTES!$I$968,"")</f>
        <v/>
      </c>
      <c r="J974" s="301">
        <f>IF(_PENDIENTES!$B$968&lt;&gt;"",_PENDIENTES!$J$968,"")</f>
        <v/>
      </c>
      <c r="K974" s="301">
        <f>IF(_PENDIENTES!$B$968&lt;&gt;"","POR RECOGER","")</f>
        <v/>
      </c>
      <c r="L974" s="301">
        <f>IF(_PENDIENTES!$B$968&lt;&gt;"",_PENDIENTES!$K$968,"")</f>
        <v/>
      </c>
      <c r="M974" s="284">
        <f>IF(_PENDIENTES!$B$968&lt;&gt;"",_PENDIENTES!$B$968,"")</f>
        <v/>
      </c>
      <c r="N974" s="304">
        <f>IF(_PENDIENTES!$B$968&lt;&gt;"",_PENDIENTES!$L$968,"")</f>
        <v/>
      </c>
      <c r="O974" s="284" t="n"/>
      <c r="P974" s="284" t="n"/>
      <c r="Q974" s="284" t="n"/>
      <c r="R974" s="284" t="n"/>
      <c r="S974" s="284" t="n"/>
    </row>
    <row r="975" hidden="1" ht="15.75" customHeight="1" s="195">
      <c r="A975" s="241">
        <f>IF(_PENDIENTES!$B$969&lt;&gt;"",968,"")</f>
        <v/>
      </c>
      <c r="B975" s="236">
        <f>IF(_PENDIENTES!$B$969&lt;&gt;"",_PENDIENTES!$A$969,"")</f>
        <v/>
      </c>
      <c r="C975" s="305">
        <f>IF(_PENDIENTES!$B$969&lt;&gt;"",_PENDIENTES!$C$969,"")</f>
        <v/>
      </c>
      <c r="D975" s="241">
        <f>IF(_PENDIENTES!$B$969&lt;&gt;"",_PENDIENTES!$D$969,"")</f>
        <v/>
      </c>
      <c r="E975" s="307">
        <f>IF(_PENDIENTES!$B$969&lt;&gt;"",_PENDIENTES!$E$969,"")</f>
        <v/>
      </c>
      <c r="F975" s="241">
        <f>IF(_PENDIENTES!$B$969&lt;&gt;"",_PENDIENTES!$F$969,"")</f>
        <v/>
      </c>
      <c r="G975" s="239">
        <f>IF(_PENDIENTES!$B$969&lt;&gt;"",_PENDIENTES!$G$969,"")</f>
        <v/>
      </c>
      <c r="H975" s="239">
        <f>IF(_PENDIENTES!$B$969&lt;&gt;"",_PENDIENTES!$H$969,"")</f>
        <v/>
      </c>
      <c r="I975" s="305">
        <f>IF(_PENDIENTES!$B$969&lt;&gt;"",_PENDIENTES!$I$969,"")</f>
        <v/>
      </c>
      <c r="J975" s="241">
        <f>IF(_PENDIENTES!$B$969&lt;&gt;"",_PENDIENTES!$J$969,"")</f>
        <v/>
      </c>
      <c r="K975" s="241">
        <f>IF(_PENDIENTES!$B$969&lt;&gt;"","POR RECOGER","")</f>
        <v/>
      </c>
      <c r="L975" s="241">
        <f>IF(_PENDIENTES!$B$969&lt;&gt;"",_PENDIENTES!$K$969,"")</f>
        <v/>
      </c>
      <c r="M975" s="284">
        <f>IF(_PENDIENTES!$B$969&lt;&gt;"",_PENDIENTES!$B$969,"")</f>
        <v/>
      </c>
      <c r="N975" s="304">
        <f>IF(_PENDIENTES!$B$969&lt;&gt;"",_PENDIENTES!$L$969,"")</f>
        <v/>
      </c>
      <c r="O975" s="284" t="n"/>
      <c r="P975" s="284" t="n"/>
      <c r="Q975" s="284" t="n"/>
      <c r="R975" s="284" t="n"/>
      <c r="S975" s="284" t="n"/>
    </row>
    <row r="976" hidden="1" ht="15.75" customHeight="1" s="195">
      <c r="A976" s="301">
        <f>IF(_PENDIENTES!$B$970&lt;&gt;"",969,"")</f>
        <v/>
      </c>
      <c r="B976" s="242">
        <f>IF(_PENDIENTES!$B$970&lt;&gt;"",_PENDIENTES!$A$970,"")</f>
        <v/>
      </c>
      <c r="C976" s="302">
        <f>IF(_PENDIENTES!$B$970&lt;&gt;"",_PENDIENTES!$C$970,"")</f>
        <v/>
      </c>
      <c r="D976" s="301">
        <f>IF(_PENDIENTES!$B$970&lt;&gt;"",_PENDIENTES!$D$970,"")</f>
        <v/>
      </c>
      <c r="E976" s="306">
        <f>IF(_PENDIENTES!$B$970&lt;&gt;"",_PENDIENTES!$E$970,"")</f>
        <v/>
      </c>
      <c r="F976" s="301">
        <f>IF(_PENDIENTES!$B$970&lt;&gt;"",_PENDIENTES!$F$970,"")</f>
        <v/>
      </c>
      <c r="G976" s="245">
        <f>IF(_PENDIENTES!$B$970&lt;&gt;"",_PENDIENTES!$G$970,"")</f>
        <v/>
      </c>
      <c r="H976" s="245">
        <f>IF(_PENDIENTES!$B$970&lt;&gt;"",_PENDIENTES!$H$970,"")</f>
        <v/>
      </c>
      <c r="I976" s="302">
        <f>IF(_PENDIENTES!$B$970&lt;&gt;"",_PENDIENTES!$I$970,"")</f>
        <v/>
      </c>
      <c r="J976" s="301">
        <f>IF(_PENDIENTES!$B$970&lt;&gt;"",_PENDIENTES!$J$970,"")</f>
        <v/>
      </c>
      <c r="K976" s="301">
        <f>IF(_PENDIENTES!$B$970&lt;&gt;"","POR RECOGER","")</f>
        <v/>
      </c>
      <c r="L976" s="301">
        <f>IF(_PENDIENTES!$B$970&lt;&gt;"",_PENDIENTES!$K$970,"")</f>
        <v/>
      </c>
      <c r="M976" s="284">
        <f>IF(_PENDIENTES!$B$970&lt;&gt;"",_PENDIENTES!$B$970,"")</f>
        <v/>
      </c>
      <c r="N976" s="304">
        <f>IF(_PENDIENTES!$B$970&lt;&gt;"",_PENDIENTES!$L$970,"")</f>
        <v/>
      </c>
      <c r="O976" s="284" t="n"/>
      <c r="P976" s="284" t="n"/>
      <c r="Q976" s="284" t="n"/>
      <c r="R976" s="284" t="n"/>
      <c r="S976" s="284" t="n"/>
    </row>
    <row r="977" hidden="1" ht="15.75" customHeight="1" s="195">
      <c r="A977" s="241">
        <f>IF(_PENDIENTES!$B$971&lt;&gt;"",970,"")</f>
        <v/>
      </c>
      <c r="B977" s="236">
        <f>IF(_PENDIENTES!$B$971&lt;&gt;"",_PENDIENTES!$A$971,"")</f>
        <v/>
      </c>
      <c r="C977" s="305">
        <f>IF(_PENDIENTES!$B$971&lt;&gt;"",_PENDIENTES!$C$971,"")</f>
        <v/>
      </c>
      <c r="D977" s="241">
        <f>IF(_PENDIENTES!$B$971&lt;&gt;"",_PENDIENTES!$D$971,"")</f>
        <v/>
      </c>
      <c r="E977" s="307">
        <f>IF(_PENDIENTES!$B$971&lt;&gt;"",_PENDIENTES!$E$971,"")</f>
        <v/>
      </c>
      <c r="F977" s="241">
        <f>IF(_PENDIENTES!$B$971&lt;&gt;"",_PENDIENTES!$F$971,"")</f>
        <v/>
      </c>
      <c r="G977" s="239">
        <f>IF(_PENDIENTES!$B$971&lt;&gt;"",_PENDIENTES!$G$971,"")</f>
        <v/>
      </c>
      <c r="H977" s="239">
        <f>IF(_PENDIENTES!$B$971&lt;&gt;"",_PENDIENTES!$H$971,"")</f>
        <v/>
      </c>
      <c r="I977" s="305">
        <f>IF(_PENDIENTES!$B$971&lt;&gt;"",_PENDIENTES!$I$971,"")</f>
        <v/>
      </c>
      <c r="J977" s="241">
        <f>IF(_PENDIENTES!$B$971&lt;&gt;"",_PENDIENTES!$J$971,"")</f>
        <v/>
      </c>
      <c r="K977" s="241">
        <f>IF(_PENDIENTES!$B$971&lt;&gt;"","POR RECOGER","")</f>
        <v/>
      </c>
      <c r="L977" s="241">
        <f>IF(_PENDIENTES!$B$971&lt;&gt;"",_PENDIENTES!$K$971,"")</f>
        <v/>
      </c>
      <c r="M977" s="284">
        <f>IF(_PENDIENTES!$B$971&lt;&gt;"",_PENDIENTES!$B$971,"")</f>
        <v/>
      </c>
      <c r="N977" s="304">
        <f>IF(_PENDIENTES!$B$971&lt;&gt;"",_PENDIENTES!$L$971,"")</f>
        <v/>
      </c>
      <c r="O977" s="284" t="n"/>
      <c r="P977" s="284" t="n"/>
      <c r="Q977" s="284" t="n"/>
      <c r="R977" s="284" t="n"/>
      <c r="S977" s="284" t="n"/>
    </row>
    <row r="978" hidden="1" ht="15.75" customHeight="1" s="195">
      <c r="A978" s="301">
        <f>IF(_PENDIENTES!$B$972&lt;&gt;"",971,"")</f>
        <v/>
      </c>
      <c r="B978" s="242">
        <f>IF(_PENDIENTES!$B$972&lt;&gt;"",_PENDIENTES!$A$972,"")</f>
        <v/>
      </c>
      <c r="C978" s="302">
        <f>IF(_PENDIENTES!$B$972&lt;&gt;"",_PENDIENTES!$C$972,"")</f>
        <v/>
      </c>
      <c r="D978" s="301">
        <f>IF(_PENDIENTES!$B$972&lt;&gt;"",_PENDIENTES!$D$972,"")</f>
        <v/>
      </c>
      <c r="E978" s="306">
        <f>IF(_PENDIENTES!$B$972&lt;&gt;"",_PENDIENTES!$E$972,"")</f>
        <v/>
      </c>
      <c r="F978" s="301">
        <f>IF(_PENDIENTES!$B$972&lt;&gt;"",_PENDIENTES!$F$972,"")</f>
        <v/>
      </c>
      <c r="G978" s="245">
        <f>IF(_PENDIENTES!$B$972&lt;&gt;"",_PENDIENTES!$G$972,"")</f>
        <v/>
      </c>
      <c r="H978" s="245">
        <f>IF(_PENDIENTES!$B$972&lt;&gt;"",_PENDIENTES!$H$972,"")</f>
        <v/>
      </c>
      <c r="I978" s="302">
        <f>IF(_PENDIENTES!$B$972&lt;&gt;"",_PENDIENTES!$I$972,"")</f>
        <v/>
      </c>
      <c r="J978" s="301">
        <f>IF(_PENDIENTES!$B$972&lt;&gt;"",_PENDIENTES!$J$972,"")</f>
        <v/>
      </c>
      <c r="K978" s="301">
        <f>IF(_PENDIENTES!$B$972&lt;&gt;"","POR RECOGER","")</f>
        <v/>
      </c>
      <c r="L978" s="301">
        <f>IF(_PENDIENTES!$B$972&lt;&gt;"",_PENDIENTES!$K$972,"")</f>
        <v/>
      </c>
      <c r="M978" s="284">
        <f>IF(_PENDIENTES!$B$972&lt;&gt;"",_PENDIENTES!$B$972,"")</f>
        <v/>
      </c>
      <c r="N978" s="304">
        <f>IF(_PENDIENTES!$B$972&lt;&gt;"",_PENDIENTES!$L$972,"")</f>
        <v/>
      </c>
      <c r="O978" s="284" t="n"/>
      <c r="P978" s="284" t="n"/>
      <c r="Q978" s="284" t="n"/>
      <c r="R978" s="284" t="n"/>
      <c r="S978" s="284" t="n"/>
    </row>
    <row r="979" hidden="1" ht="15.75" customHeight="1" s="195">
      <c r="A979" s="241">
        <f>IF(_PENDIENTES!$B$973&lt;&gt;"",972,"")</f>
        <v/>
      </c>
      <c r="B979" s="236">
        <f>IF(_PENDIENTES!$B$973&lt;&gt;"",_PENDIENTES!$A$973,"")</f>
        <v/>
      </c>
      <c r="C979" s="305">
        <f>IF(_PENDIENTES!$B$973&lt;&gt;"",_PENDIENTES!$C$973,"")</f>
        <v/>
      </c>
      <c r="D979" s="241">
        <f>IF(_PENDIENTES!$B$973&lt;&gt;"",_PENDIENTES!$D$973,"")</f>
        <v/>
      </c>
      <c r="E979" s="307">
        <f>IF(_PENDIENTES!$B$973&lt;&gt;"",_PENDIENTES!$E$973,"")</f>
        <v/>
      </c>
      <c r="F979" s="241">
        <f>IF(_PENDIENTES!$B$973&lt;&gt;"",_PENDIENTES!$F$973,"")</f>
        <v/>
      </c>
      <c r="G979" s="239">
        <f>IF(_PENDIENTES!$B$973&lt;&gt;"",_PENDIENTES!$G$973,"")</f>
        <v/>
      </c>
      <c r="H979" s="239">
        <f>IF(_PENDIENTES!$B$973&lt;&gt;"",_PENDIENTES!$H$973,"")</f>
        <v/>
      </c>
      <c r="I979" s="305">
        <f>IF(_PENDIENTES!$B$973&lt;&gt;"",_PENDIENTES!$I$973,"")</f>
        <v/>
      </c>
      <c r="J979" s="241">
        <f>IF(_PENDIENTES!$B$973&lt;&gt;"",_PENDIENTES!$J$973,"")</f>
        <v/>
      </c>
      <c r="K979" s="241">
        <f>IF(_PENDIENTES!$B$973&lt;&gt;"","POR RECOGER","")</f>
        <v/>
      </c>
      <c r="L979" s="241">
        <f>IF(_PENDIENTES!$B$973&lt;&gt;"",_PENDIENTES!$K$973,"")</f>
        <v/>
      </c>
      <c r="M979" s="284">
        <f>IF(_PENDIENTES!$B$973&lt;&gt;"",_PENDIENTES!$B$973,"")</f>
        <v/>
      </c>
      <c r="N979" s="304">
        <f>IF(_PENDIENTES!$B$973&lt;&gt;"",_PENDIENTES!$L$973,"")</f>
        <v/>
      </c>
      <c r="O979" s="284" t="n"/>
      <c r="P979" s="284" t="n"/>
      <c r="Q979" s="284" t="n"/>
      <c r="R979" s="284" t="n"/>
      <c r="S979" s="284" t="n"/>
    </row>
    <row r="980" hidden="1" ht="15.75" customHeight="1" s="195">
      <c r="A980" s="301">
        <f>IF(_PENDIENTES!$B$974&lt;&gt;"",973,"")</f>
        <v/>
      </c>
      <c r="B980" s="242">
        <f>IF(_PENDIENTES!$B$974&lt;&gt;"",_PENDIENTES!$A$974,"")</f>
        <v/>
      </c>
      <c r="C980" s="302">
        <f>IF(_PENDIENTES!$B$974&lt;&gt;"",_PENDIENTES!$C$974,"")</f>
        <v/>
      </c>
      <c r="D980" s="301">
        <f>IF(_PENDIENTES!$B$974&lt;&gt;"",_PENDIENTES!$D$974,"")</f>
        <v/>
      </c>
      <c r="E980" s="306">
        <f>IF(_PENDIENTES!$B$974&lt;&gt;"",_PENDIENTES!$E$974,"")</f>
        <v/>
      </c>
      <c r="F980" s="301">
        <f>IF(_PENDIENTES!$B$974&lt;&gt;"",_PENDIENTES!$F$974,"")</f>
        <v/>
      </c>
      <c r="G980" s="245">
        <f>IF(_PENDIENTES!$B$974&lt;&gt;"",_PENDIENTES!$G$974,"")</f>
        <v/>
      </c>
      <c r="H980" s="245">
        <f>IF(_PENDIENTES!$B$974&lt;&gt;"",_PENDIENTES!$H$974,"")</f>
        <v/>
      </c>
      <c r="I980" s="302">
        <f>IF(_PENDIENTES!$B$974&lt;&gt;"",_PENDIENTES!$I$974,"")</f>
        <v/>
      </c>
      <c r="J980" s="301">
        <f>IF(_PENDIENTES!$B$974&lt;&gt;"",_PENDIENTES!$J$974,"")</f>
        <v/>
      </c>
      <c r="K980" s="301">
        <f>IF(_PENDIENTES!$B$974&lt;&gt;"","POR RECOGER","")</f>
        <v/>
      </c>
      <c r="L980" s="301">
        <f>IF(_PENDIENTES!$B$974&lt;&gt;"",_PENDIENTES!$K$974,"")</f>
        <v/>
      </c>
      <c r="M980" s="284">
        <f>IF(_PENDIENTES!$B$974&lt;&gt;"",_PENDIENTES!$B$974,"")</f>
        <v/>
      </c>
      <c r="N980" s="304">
        <f>IF(_PENDIENTES!$B$974&lt;&gt;"",_PENDIENTES!$L$974,"")</f>
        <v/>
      </c>
      <c r="O980" s="284" t="n"/>
      <c r="P980" s="284" t="n"/>
      <c r="Q980" s="284" t="n"/>
      <c r="R980" s="284" t="n"/>
      <c r="S980" s="284" t="n"/>
    </row>
    <row r="981" hidden="1" ht="15.75" customHeight="1" s="195">
      <c r="A981" s="241">
        <f>IF(_PENDIENTES!$B$975&lt;&gt;"",974,"")</f>
        <v/>
      </c>
      <c r="B981" s="236">
        <f>IF(_PENDIENTES!$B$975&lt;&gt;"",_PENDIENTES!$A$975,"")</f>
        <v/>
      </c>
      <c r="C981" s="305">
        <f>IF(_PENDIENTES!$B$975&lt;&gt;"",_PENDIENTES!$C$975,"")</f>
        <v/>
      </c>
      <c r="D981" s="241">
        <f>IF(_PENDIENTES!$B$975&lt;&gt;"",_PENDIENTES!$D$975,"")</f>
        <v/>
      </c>
      <c r="E981" s="307">
        <f>IF(_PENDIENTES!$B$975&lt;&gt;"",_PENDIENTES!$E$975,"")</f>
        <v/>
      </c>
      <c r="F981" s="241">
        <f>IF(_PENDIENTES!$B$975&lt;&gt;"",_PENDIENTES!$F$975,"")</f>
        <v/>
      </c>
      <c r="G981" s="239">
        <f>IF(_PENDIENTES!$B$975&lt;&gt;"",_PENDIENTES!$G$975,"")</f>
        <v/>
      </c>
      <c r="H981" s="239">
        <f>IF(_PENDIENTES!$B$975&lt;&gt;"",_PENDIENTES!$H$975,"")</f>
        <v/>
      </c>
      <c r="I981" s="305">
        <f>IF(_PENDIENTES!$B$975&lt;&gt;"",_PENDIENTES!$I$975,"")</f>
        <v/>
      </c>
      <c r="J981" s="241">
        <f>IF(_PENDIENTES!$B$975&lt;&gt;"",_PENDIENTES!$J$975,"")</f>
        <v/>
      </c>
      <c r="K981" s="241">
        <f>IF(_PENDIENTES!$B$975&lt;&gt;"","POR RECOGER","")</f>
        <v/>
      </c>
      <c r="L981" s="241">
        <f>IF(_PENDIENTES!$B$975&lt;&gt;"",_PENDIENTES!$K$975,"")</f>
        <v/>
      </c>
      <c r="M981" s="284">
        <f>IF(_PENDIENTES!$B$975&lt;&gt;"",_PENDIENTES!$B$975,"")</f>
        <v/>
      </c>
      <c r="N981" s="304">
        <f>IF(_PENDIENTES!$B$975&lt;&gt;"",_PENDIENTES!$L$975,"")</f>
        <v/>
      </c>
      <c r="O981" s="284" t="n"/>
      <c r="P981" s="284" t="n"/>
      <c r="Q981" s="284" t="n"/>
      <c r="R981" s="284" t="n"/>
      <c r="S981" s="284" t="n"/>
    </row>
    <row r="982" hidden="1" ht="15.75" customHeight="1" s="195">
      <c r="A982" s="301">
        <f>IF(_PENDIENTES!$B$976&lt;&gt;"",975,"")</f>
        <v/>
      </c>
      <c r="B982" s="242">
        <f>IF(_PENDIENTES!$B$976&lt;&gt;"",_PENDIENTES!$A$976,"")</f>
        <v/>
      </c>
      <c r="C982" s="302">
        <f>IF(_PENDIENTES!$B$976&lt;&gt;"",_PENDIENTES!$C$976,"")</f>
        <v/>
      </c>
      <c r="D982" s="301">
        <f>IF(_PENDIENTES!$B$976&lt;&gt;"",_PENDIENTES!$D$976,"")</f>
        <v/>
      </c>
      <c r="E982" s="306">
        <f>IF(_PENDIENTES!$B$976&lt;&gt;"",_PENDIENTES!$E$976,"")</f>
        <v/>
      </c>
      <c r="F982" s="301">
        <f>IF(_PENDIENTES!$B$976&lt;&gt;"",_PENDIENTES!$F$976,"")</f>
        <v/>
      </c>
      <c r="G982" s="245">
        <f>IF(_PENDIENTES!$B$976&lt;&gt;"",_PENDIENTES!$G$976,"")</f>
        <v/>
      </c>
      <c r="H982" s="245">
        <f>IF(_PENDIENTES!$B$976&lt;&gt;"",_PENDIENTES!$H$976,"")</f>
        <v/>
      </c>
      <c r="I982" s="302">
        <f>IF(_PENDIENTES!$B$976&lt;&gt;"",_PENDIENTES!$I$976,"")</f>
        <v/>
      </c>
      <c r="J982" s="301">
        <f>IF(_PENDIENTES!$B$976&lt;&gt;"",_PENDIENTES!$J$976,"")</f>
        <v/>
      </c>
      <c r="K982" s="301">
        <f>IF(_PENDIENTES!$B$976&lt;&gt;"","POR RECOGER","")</f>
        <v/>
      </c>
      <c r="L982" s="301">
        <f>IF(_PENDIENTES!$B$976&lt;&gt;"",_PENDIENTES!$K$976,"")</f>
        <v/>
      </c>
      <c r="M982" s="284">
        <f>IF(_PENDIENTES!$B$976&lt;&gt;"",_PENDIENTES!$B$976,"")</f>
        <v/>
      </c>
      <c r="N982" s="304">
        <f>IF(_PENDIENTES!$B$976&lt;&gt;"",_PENDIENTES!$L$976,"")</f>
        <v/>
      </c>
      <c r="O982" s="284" t="n"/>
      <c r="P982" s="284" t="n"/>
      <c r="Q982" s="284" t="n"/>
      <c r="R982" s="284" t="n"/>
      <c r="S982" s="284" t="n"/>
    </row>
    <row r="983" hidden="1" ht="15.75" customHeight="1" s="195">
      <c r="A983" s="241">
        <f>IF(_PENDIENTES!$B$977&lt;&gt;"",976,"")</f>
        <v/>
      </c>
      <c r="B983" s="236">
        <f>IF(_PENDIENTES!$B$977&lt;&gt;"",_PENDIENTES!$A$977,"")</f>
        <v/>
      </c>
      <c r="C983" s="305">
        <f>IF(_PENDIENTES!$B$977&lt;&gt;"",_PENDIENTES!$C$977,"")</f>
        <v/>
      </c>
      <c r="D983" s="241">
        <f>IF(_PENDIENTES!$B$977&lt;&gt;"",_PENDIENTES!$D$977,"")</f>
        <v/>
      </c>
      <c r="E983" s="307">
        <f>IF(_PENDIENTES!$B$977&lt;&gt;"",_PENDIENTES!$E$977,"")</f>
        <v/>
      </c>
      <c r="F983" s="241">
        <f>IF(_PENDIENTES!$B$977&lt;&gt;"",_PENDIENTES!$F$977,"")</f>
        <v/>
      </c>
      <c r="G983" s="239">
        <f>IF(_PENDIENTES!$B$977&lt;&gt;"",_PENDIENTES!$G$977,"")</f>
        <v/>
      </c>
      <c r="H983" s="239">
        <f>IF(_PENDIENTES!$B$977&lt;&gt;"",_PENDIENTES!$H$977,"")</f>
        <v/>
      </c>
      <c r="I983" s="305">
        <f>IF(_PENDIENTES!$B$977&lt;&gt;"",_PENDIENTES!$I$977,"")</f>
        <v/>
      </c>
      <c r="J983" s="241">
        <f>IF(_PENDIENTES!$B$977&lt;&gt;"",_PENDIENTES!$J$977,"")</f>
        <v/>
      </c>
      <c r="K983" s="241">
        <f>IF(_PENDIENTES!$B$977&lt;&gt;"","POR RECOGER","")</f>
        <v/>
      </c>
      <c r="L983" s="241">
        <f>IF(_PENDIENTES!$B$977&lt;&gt;"",_PENDIENTES!$K$977,"")</f>
        <v/>
      </c>
      <c r="M983" s="284">
        <f>IF(_PENDIENTES!$B$977&lt;&gt;"",_PENDIENTES!$B$977,"")</f>
        <v/>
      </c>
      <c r="N983" s="304">
        <f>IF(_PENDIENTES!$B$977&lt;&gt;"",_PENDIENTES!$L$977,"")</f>
        <v/>
      </c>
      <c r="O983" s="284" t="n"/>
      <c r="P983" s="284" t="n"/>
      <c r="Q983" s="284" t="n"/>
      <c r="R983" s="284" t="n"/>
      <c r="S983" s="284" t="n"/>
    </row>
    <row r="984" hidden="1" ht="15.75" customHeight="1" s="195">
      <c r="A984" s="301">
        <f>IF(_PENDIENTES!$B$978&lt;&gt;"",977,"")</f>
        <v/>
      </c>
      <c r="B984" s="242">
        <f>IF(_PENDIENTES!$B$978&lt;&gt;"",_PENDIENTES!$A$978,"")</f>
        <v/>
      </c>
      <c r="C984" s="302">
        <f>IF(_PENDIENTES!$B$978&lt;&gt;"",_PENDIENTES!$C$978,"")</f>
        <v/>
      </c>
      <c r="D984" s="301">
        <f>IF(_PENDIENTES!$B$978&lt;&gt;"",_PENDIENTES!$D$978,"")</f>
        <v/>
      </c>
      <c r="E984" s="306">
        <f>IF(_PENDIENTES!$B$978&lt;&gt;"",_PENDIENTES!$E$978,"")</f>
        <v/>
      </c>
      <c r="F984" s="301">
        <f>IF(_PENDIENTES!$B$978&lt;&gt;"",_PENDIENTES!$F$978,"")</f>
        <v/>
      </c>
      <c r="G984" s="245">
        <f>IF(_PENDIENTES!$B$978&lt;&gt;"",_PENDIENTES!$G$978,"")</f>
        <v/>
      </c>
      <c r="H984" s="245">
        <f>IF(_PENDIENTES!$B$978&lt;&gt;"",_PENDIENTES!$H$978,"")</f>
        <v/>
      </c>
      <c r="I984" s="302">
        <f>IF(_PENDIENTES!$B$978&lt;&gt;"",_PENDIENTES!$I$978,"")</f>
        <v/>
      </c>
      <c r="J984" s="301">
        <f>IF(_PENDIENTES!$B$978&lt;&gt;"",_PENDIENTES!$J$978,"")</f>
        <v/>
      </c>
      <c r="K984" s="301">
        <f>IF(_PENDIENTES!$B$978&lt;&gt;"","POR RECOGER","")</f>
        <v/>
      </c>
      <c r="L984" s="301">
        <f>IF(_PENDIENTES!$B$978&lt;&gt;"",_PENDIENTES!$K$978,"")</f>
        <v/>
      </c>
      <c r="M984" s="284">
        <f>IF(_PENDIENTES!$B$978&lt;&gt;"",_PENDIENTES!$B$978,"")</f>
        <v/>
      </c>
      <c r="N984" s="304">
        <f>IF(_PENDIENTES!$B$978&lt;&gt;"",_PENDIENTES!$L$978,"")</f>
        <v/>
      </c>
      <c r="O984" s="284" t="n"/>
      <c r="P984" s="284" t="n"/>
      <c r="Q984" s="284" t="n"/>
      <c r="R984" s="284" t="n"/>
      <c r="S984" s="284" t="n"/>
    </row>
    <row r="985" hidden="1" ht="15.75" customHeight="1" s="195">
      <c r="A985" s="241">
        <f>IF(_PENDIENTES!$B$979&lt;&gt;"",978,"")</f>
        <v/>
      </c>
      <c r="B985" s="236">
        <f>IF(_PENDIENTES!$B$979&lt;&gt;"",_PENDIENTES!$A$979,"")</f>
        <v/>
      </c>
      <c r="C985" s="305">
        <f>IF(_PENDIENTES!$B$979&lt;&gt;"",_PENDIENTES!$C$979,"")</f>
        <v/>
      </c>
      <c r="D985" s="241">
        <f>IF(_PENDIENTES!$B$979&lt;&gt;"",_PENDIENTES!$D$979,"")</f>
        <v/>
      </c>
      <c r="E985" s="307">
        <f>IF(_PENDIENTES!$B$979&lt;&gt;"",_PENDIENTES!$E$979,"")</f>
        <v/>
      </c>
      <c r="F985" s="241">
        <f>IF(_PENDIENTES!$B$979&lt;&gt;"",_PENDIENTES!$F$979,"")</f>
        <v/>
      </c>
      <c r="G985" s="239">
        <f>IF(_PENDIENTES!$B$979&lt;&gt;"",_PENDIENTES!$G$979,"")</f>
        <v/>
      </c>
      <c r="H985" s="239">
        <f>IF(_PENDIENTES!$B$979&lt;&gt;"",_PENDIENTES!$H$979,"")</f>
        <v/>
      </c>
      <c r="I985" s="305">
        <f>IF(_PENDIENTES!$B$979&lt;&gt;"",_PENDIENTES!$I$979,"")</f>
        <v/>
      </c>
      <c r="J985" s="241">
        <f>IF(_PENDIENTES!$B$979&lt;&gt;"",_PENDIENTES!$J$979,"")</f>
        <v/>
      </c>
      <c r="K985" s="241">
        <f>IF(_PENDIENTES!$B$979&lt;&gt;"","POR RECOGER","")</f>
        <v/>
      </c>
      <c r="L985" s="241">
        <f>IF(_PENDIENTES!$B$979&lt;&gt;"",_PENDIENTES!$K$979,"")</f>
        <v/>
      </c>
      <c r="M985" s="284">
        <f>IF(_PENDIENTES!$B$979&lt;&gt;"",_PENDIENTES!$B$979,"")</f>
        <v/>
      </c>
      <c r="N985" s="304">
        <f>IF(_PENDIENTES!$B$979&lt;&gt;"",_PENDIENTES!$L$979,"")</f>
        <v/>
      </c>
      <c r="O985" s="284" t="n"/>
      <c r="P985" s="284" t="n"/>
      <c r="Q985" s="284" t="n"/>
      <c r="R985" s="284" t="n"/>
      <c r="S985" s="284" t="n"/>
    </row>
    <row r="986" hidden="1" ht="15.75" customHeight="1" s="195">
      <c r="A986" s="301">
        <f>IF(_PENDIENTES!$B$980&lt;&gt;"",979,"")</f>
        <v/>
      </c>
      <c r="B986" s="242">
        <f>IF(_PENDIENTES!$B$980&lt;&gt;"",_PENDIENTES!$A$980,"")</f>
        <v/>
      </c>
      <c r="C986" s="302">
        <f>IF(_PENDIENTES!$B$980&lt;&gt;"",_PENDIENTES!$C$980,"")</f>
        <v/>
      </c>
      <c r="D986" s="301">
        <f>IF(_PENDIENTES!$B$980&lt;&gt;"",_PENDIENTES!$D$980,"")</f>
        <v/>
      </c>
      <c r="E986" s="306">
        <f>IF(_PENDIENTES!$B$980&lt;&gt;"",_PENDIENTES!$E$980,"")</f>
        <v/>
      </c>
      <c r="F986" s="301">
        <f>IF(_PENDIENTES!$B$980&lt;&gt;"",_PENDIENTES!$F$980,"")</f>
        <v/>
      </c>
      <c r="G986" s="245">
        <f>IF(_PENDIENTES!$B$980&lt;&gt;"",_PENDIENTES!$G$980,"")</f>
        <v/>
      </c>
      <c r="H986" s="245">
        <f>IF(_PENDIENTES!$B$980&lt;&gt;"",_PENDIENTES!$H$980,"")</f>
        <v/>
      </c>
      <c r="I986" s="302">
        <f>IF(_PENDIENTES!$B$980&lt;&gt;"",_PENDIENTES!$I$980,"")</f>
        <v/>
      </c>
      <c r="J986" s="301">
        <f>IF(_PENDIENTES!$B$980&lt;&gt;"",_PENDIENTES!$J$980,"")</f>
        <v/>
      </c>
      <c r="K986" s="301">
        <f>IF(_PENDIENTES!$B$980&lt;&gt;"","POR RECOGER","")</f>
        <v/>
      </c>
      <c r="L986" s="301">
        <f>IF(_PENDIENTES!$B$980&lt;&gt;"",_PENDIENTES!$K$980,"")</f>
        <v/>
      </c>
      <c r="M986" s="284">
        <f>IF(_PENDIENTES!$B$980&lt;&gt;"",_PENDIENTES!$B$980,"")</f>
        <v/>
      </c>
      <c r="N986" s="304">
        <f>IF(_PENDIENTES!$B$980&lt;&gt;"",_PENDIENTES!$L$980,"")</f>
        <v/>
      </c>
      <c r="O986" s="284" t="n"/>
      <c r="P986" s="284" t="n"/>
      <c r="Q986" s="284" t="n"/>
      <c r="R986" s="284" t="n"/>
      <c r="S986" s="284" t="n"/>
    </row>
    <row r="987" hidden="1" ht="15.75" customHeight="1" s="195">
      <c r="A987" s="241">
        <f>IF(_PENDIENTES!$B$981&lt;&gt;"",980,"")</f>
        <v/>
      </c>
      <c r="B987" s="236">
        <f>IF(_PENDIENTES!$B$981&lt;&gt;"",_PENDIENTES!$A$981,"")</f>
        <v/>
      </c>
      <c r="C987" s="305">
        <f>IF(_PENDIENTES!$B$981&lt;&gt;"",_PENDIENTES!$C$981,"")</f>
        <v/>
      </c>
      <c r="D987" s="241">
        <f>IF(_PENDIENTES!$B$981&lt;&gt;"",_PENDIENTES!$D$981,"")</f>
        <v/>
      </c>
      <c r="E987" s="307">
        <f>IF(_PENDIENTES!$B$981&lt;&gt;"",_PENDIENTES!$E$981,"")</f>
        <v/>
      </c>
      <c r="F987" s="241">
        <f>IF(_PENDIENTES!$B$981&lt;&gt;"",_PENDIENTES!$F$981,"")</f>
        <v/>
      </c>
      <c r="G987" s="239">
        <f>IF(_PENDIENTES!$B$981&lt;&gt;"",_PENDIENTES!$G$981,"")</f>
        <v/>
      </c>
      <c r="H987" s="239">
        <f>IF(_PENDIENTES!$B$981&lt;&gt;"",_PENDIENTES!$H$981,"")</f>
        <v/>
      </c>
      <c r="I987" s="305">
        <f>IF(_PENDIENTES!$B$981&lt;&gt;"",_PENDIENTES!$I$981,"")</f>
        <v/>
      </c>
      <c r="J987" s="241">
        <f>IF(_PENDIENTES!$B$981&lt;&gt;"",_PENDIENTES!$J$981,"")</f>
        <v/>
      </c>
      <c r="K987" s="241">
        <f>IF(_PENDIENTES!$B$981&lt;&gt;"","POR RECOGER","")</f>
        <v/>
      </c>
      <c r="L987" s="241">
        <f>IF(_PENDIENTES!$B$981&lt;&gt;"",_PENDIENTES!$K$981,"")</f>
        <v/>
      </c>
      <c r="M987" s="284">
        <f>IF(_PENDIENTES!$B$981&lt;&gt;"",_PENDIENTES!$B$981,"")</f>
        <v/>
      </c>
      <c r="N987" s="304">
        <f>IF(_PENDIENTES!$B$981&lt;&gt;"",_PENDIENTES!$L$981,"")</f>
        <v/>
      </c>
      <c r="O987" s="284" t="n"/>
      <c r="P987" s="284" t="n"/>
      <c r="Q987" s="284" t="n"/>
      <c r="R987" s="284" t="n"/>
      <c r="S987" s="284" t="n"/>
    </row>
    <row r="988" hidden="1" ht="15.75" customHeight="1" s="195">
      <c r="A988" s="301">
        <f>IF(_PENDIENTES!$B$982&lt;&gt;"",981,"")</f>
        <v/>
      </c>
      <c r="B988" s="242">
        <f>IF(_PENDIENTES!$B$982&lt;&gt;"",_PENDIENTES!$A$982,"")</f>
        <v/>
      </c>
      <c r="C988" s="302">
        <f>IF(_PENDIENTES!$B$982&lt;&gt;"",_PENDIENTES!$C$982,"")</f>
        <v/>
      </c>
      <c r="D988" s="301">
        <f>IF(_PENDIENTES!$B$982&lt;&gt;"",_PENDIENTES!$D$982,"")</f>
        <v/>
      </c>
      <c r="E988" s="306">
        <f>IF(_PENDIENTES!$B$982&lt;&gt;"",_PENDIENTES!$E$982,"")</f>
        <v/>
      </c>
      <c r="F988" s="301">
        <f>IF(_PENDIENTES!$B$982&lt;&gt;"",_PENDIENTES!$F$982,"")</f>
        <v/>
      </c>
      <c r="G988" s="245">
        <f>IF(_PENDIENTES!$B$982&lt;&gt;"",_PENDIENTES!$G$982,"")</f>
        <v/>
      </c>
      <c r="H988" s="245">
        <f>IF(_PENDIENTES!$B$982&lt;&gt;"",_PENDIENTES!$H$982,"")</f>
        <v/>
      </c>
      <c r="I988" s="302">
        <f>IF(_PENDIENTES!$B$982&lt;&gt;"",_PENDIENTES!$I$982,"")</f>
        <v/>
      </c>
      <c r="J988" s="301">
        <f>IF(_PENDIENTES!$B$982&lt;&gt;"",_PENDIENTES!$J$982,"")</f>
        <v/>
      </c>
      <c r="K988" s="301">
        <f>IF(_PENDIENTES!$B$982&lt;&gt;"","POR RECOGER","")</f>
        <v/>
      </c>
      <c r="L988" s="301">
        <f>IF(_PENDIENTES!$B$982&lt;&gt;"",_PENDIENTES!$K$982,"")</f>
        <v/>
      </c>
      <c r="M988" s="284">
        <f>IF(_PENDIENTES!$B$982&lt;&gt;"",_PENDIENTES!$B$982,"")</f>
        <v/>
      </c>
      <c r="N988" s="304">
        <f>IF(_PENDIENTES!$B$982&lt;&gt;"",_PENDIENTES!$L$982,"")</f>
        <v/>
      </c>
      <c r="O988" s="284" t="n"/>
      <c r="P988" s="284" t="n"/>
      <c r="Q988" s="284" t="n"/>
      <c r="R988" s="284" t="n"/>
      <c r="S988" s="284" t="n"/>
    </row>
    <row r="989" hidden="1" ht="15.75" customHeight="1" s="195">
      <c r="A989" s="241">
        <f>IF(_PENDIENTES!$B$983&lt;&gt;"",982,"")</f>
        <v/>
      </c>
      <c r="B989" s="236">
        <f>IF(_PENDIENTES!$B$983&lt;&gt;"",_PENDIENTES!$A$983,"")</f>
        <v/>
      </c>
      <c r="C989" s="305">
        <f>IF(_PENDIENTES!$B$983&lt;&gt;"",_PENDIENTES!$C$983,"")</f>
        <v/>
      </c>
      <c r="D989" s="241">
        <f>IF(_PENDIENTES!$B$983&lt;&gt;"",_PENDIENTES!$D$983,"")</f>
        <v/>
      </c>
      <c r="E989" s="307">
        <f>IF(_PENDIENTES!$B$983&lt;&gt;"",_PENDIENTES!$E$983,"")</f>
        <v/>
      </c>
      <c r="F989" s="241">
        <f>IF(_PENDIENTES!$B$983&lt;&gt;"",_PENDIENTES!$F$983,"")</f>
        <v/>
      </c>
      <c r="G989" s="239">
        <f>IF(_PENDIENTES!$B$983&lt;&gt;"",_PENDIENTES!$G$983,"")</f>
        <v/>
      </c>
      <c r="H989" s="239">
        <f>IF(_PENDIENTES!$B$983&lt;&gt;"",_PENDIENTES!$H$983,"")</f>
        <v/>
      </c>
      <c r="I989" s="305">
        <f>IF(_PENDIENTES!$B$983&lt;&gt;"",_PENDIENTES!$I$983,"")</f>
        <v/>
      </c>
      <c r="J989" s="241">
        <f>IF(_PENDIENTES!$B$983&lt;&gt;"",_PENDIENTES!$J$983,"")</f>
        <v/>
      </c>
      <c r="K989" s="241">
        <f>IF(_PENDIENTES!$B$983&lt;&gt;"","POR RECOGER","")</f>
        <v/>
      </c>
      <c r="L989" s="241">
        <f>IF(_PENDIENTES!$B$983&lt;&gt;"",_PENDIENTES!$K$983,"")</f>
        <v/>
      </c>
      <c r="M989" s="284">
        <f>IF(_PENDIENTES!$B$983&lt;&gt;"",_PENDIENTES!$B$983,"")</f>
        <v/>
      </c>
      <c r="N989" s="304">
        <f>IF(_PENDIENTES!$B$983&lt;&gt;"",_PENDIENTES!$L$983,"")</f>
        <v/>
      </c>
      <c r="O989" s="284" t="n"/>
      <c r="P989" s="284" t="n"/>
      <c r="Q989" s="284" t="n"/>
      <c r="R989" s="284" t="n"/>
      <c r="S989" s="284" t="n"/>
    </row>
    <row r="990" hidden="1" ht="15.75" customHeight="1" s="195">
      <c r="A990" s="301">
        <f>IF(_PENDIENTES!$B$984&lt;&gt;"",983,"")</f>
        <v/>
      </c>
      <c r="B990" s="242">
        <f>IF(_PENDIENTES!$B$984&lt;&gt;"",_PENDIENTES!$A$984,"")</f>
        <v/>
      </c>
      <c r="C990" s="302">
        <f>IF(_PENDIENTES!$B$984&lt;&gt;"",_PENDIENTES!$C$984,"")</f>
        <v/>
      </c>
      <c r="D990" s="301">
        <f>IF(_PENDIENTES!$B$984&lt;&gt;"",_PENDIENTES!$D$984,"")</f>
        <v/>
      </c>
      <c r="E990" s="306">
        <f>IF(_PENDIENTES!$B$984&lt;&gt;"",_PENDIENTES!$E$984,"")</f>
        <v/>
      </c>
      <c r="F990" s="301">
        <f>IF(_PENDIENTES!$B$984&lt;&gt;"",_PENDIENTES!$F$984,"")</f>
        <v/>
      </c>
      <c r="G990" s="245">
        <f>IF(_PENDIENTES!$B$984&lt;&gt;"",_PENDIENTES!$G$984,"")</f>
        <v/>
      </c>
      <c r="H990" s="245">
        <f>IF(_PENDIENTES!$B$984&lt;&gt;"",_PENDIENTES!$H$984,"")</f>
        <v/>
      </c>
      <c r="I990" s="302">
        <f>IF(_PENDIENTES!$B$984&lt;&gt;"",_PENDIENTES!$I$984,"")</f>
        <v/>
      </c>
      <c r="J990" s="301">
        <f>IF(_PENDIENTES!$B$984&lt;&gt;"",_PENDIENTES!$J$984,"")</f>
        <v/>
      </c>
      <c r="K990" s="301">
        <f>IF(_PENDIENTES!$B$984&lt;&gt;"","POR RECOGER","")</f>
        <v/>
      </c>
      <c r="L990" s="301">
        <f>IF(_PENDIENTES!$B$984&lt;&gt;"",_PENDIENTES!$K$984,"")</f>
        <v/>
      </c>
      <c r="M990" s="284">
        <f>IF(_PENDIENTES!$B$984&lt;&gt;"",_PENDIENTES!$B$984,"")</f>
        <v/>
      </c>
      <c r="N990" s="304">
        <f>IF(_PENDIENTES!$B$984&lt;&gt;"",_PENDIENTES!$L$984,"")</f>
        <v/>
      </c>
      <c r="O990" s="284" t="n"/>
      <c r="P990" s="284" t="n"/>
      <c r="Q990" s="284" t="n"/>
      <c r="R990" s="284" t="n"/>
      <c r="S990" s="284" t="n"/>
    </row>
    <row r="991" hidden="1" ht="15.75" customHeight="1" s="195">
      <c r="A991" s="241">
        <f>IF(_PENDIENTES!$B$985&lt;&gt;"",984,"")</f>
        <v/>
      </c>
      <c r="B991" s="236">
        <f>IF(_PENDIENTES!$B$985&lt;&gt;"",_PENDIENTES!$A$985,"")</f>
        <v/>
      </c>
      <c r="C991" s="305">
        <f>IF(_PENDIENTES!$B$985&lt;&gt;"",_PENDIENTES!$C$985,"")</f>
        <v/>
      </c>
      <c r="D991" s="241">
        <f>IF(_PENDIENTES!$B$985&lt;&gt;"",_PENDIENTES!$D$985,"")</f>
        <v/>
      </c>
      <c r="E991" s="307">
        <f>IF(_PENDIENTES!$B$985&lt;&gt;"",_PENDIENTES!$E$985,"")</f>
        <v/>
      </c>
      <c r="F991" s="241">
        <f>IF(_PENDIENTES!$B$985&lt;&gt;"",_PENDIENTES!$F$985,"")</f>
        <v/>
      </c>
      <c r="G991" s="239">
        <f>IF(_PENDIENTES!$B$985&lt;&gt;"",_PENDIENTES!$G$985,"")</f>
        <v/>
      </c>
      <c r="H991" s="239">
        <f>IF(_PENDIENTES!$B$985&lt;&gt;"",_PENDIENTES!$H$985,"")</f>
        <v/>
      </c>
      <c r="I991" s="305">
        <f>IF(_PENDIENTES!$B$985&lt;&gt;"",_PENDIENTES!$I$985,"")</f>
        <v/>
      </c>
      <c r="J991" s="241">
        <f>IF(_PENDIENTES!$B$985&lt;&gt;"",_PENDIENTES!$J$985,"")</f>
        <v/>
      </c>
      <c r="K991" s="241">
        <f>IF(_PENDIENTES!$B$985&lt;&gt;"","POR RECOGER","")</f>
        <v/>
      </c>
      <c r="L991" s="241">
        <f>IF(_PENDIENTES!$B$985&lt;&gt;"",_PENDIENTES!$K$985,"")</f>
        <v/>
      </c>
      <c r="M991" s="284">
        <f>IF(_PENDIENTES!$B$985&lt;&gt;"",_PENDIENTES!$B$985,"")</f>
        <v/>
      </c>
      <c r="N991" s="304">
        <f>IF(_PENDIENTES!$B$985&lt;&gt;"",_PENDIENTES!$L$985,"")</f>
        <v/>
      </c>
      <c r="O991" s="284" t="n"/>
      <c r="P991" s="284" t="n"/>
      <c r="Q991" s="284" t="n"/>
      <c r="R991" s="284" t="n"/>
      <c r="S991" s="284" t="n"/>
    </row>
    <row r="992" hidden="1" ht="15.75" customHeight="1" s="195">
      <c r="A992" s="301">
        <f>IF(_PENDIENTES!$B$986&lt;&gt;"",985,"")</f>
        <v/>
      </c>
      <c r="B992" s="242">
        <f>IF(_PENDIENTES!$B$986&lt;&gt;"",_PENDIENTES!$A$986,"")</f>
        <v/>
      </c>
      <c r="C992" s="302">
        <f>IF(_PENDIENTES!$B$986&lt;&gt;"",_PENDIENTES!$C$986,"")</f>
        <v/>
      </c>
      <c r="D992" s="301">
        <f>IF(_PENDIENTES!$B$986&lt;&gt;"",_PENDIENTES!$D$986,"")</f>
        <v/>
      </c>
      <c r="E992" s="306">
        <f>IF(_PENDIENTES!$B$986&lt;&gt;"",_PENDIENTES!$E$986,"")</f>
        <v/>
      </c>
      <c r="F992" s="301">
        <f>IF(_PENDIENTES!$B$986&lt;&gt;"",_PENDIENTES!$F$986,"")</f>
        <v/>
      </c>
      <c r="G992" s="245">
        <f>IF(_PENDIENTES!$B$986&lt;&gt;"",_PENDIENTES!$G$986,"")</f>
        <v/>
      </c>
      <c r="H992" s="245">
        <f>IF(_PENDIENTES!$B$986&lt;&gt;"",_PENDIENTES!$H$986,"")</f>
        <v/>
      </c>
      <c r="I992" s="302">
        <f>IF(_PENDIENTES!$B$986&lt;&gt;"",_PENDIENTES!$I$986,"")</f>
        <v/>
      </c>
      <c r="J992" s="301">
        <f>IF(_PENDIENTES!$B$986&lt;&gt;"",_PENDIENTES!$J$986,"")</f>
        <v/>
      </c>
      <c r="K992" s="301">
        <f>IF(_PENDIENTES!$B$986&lt;&gt;"","POR RECOGER","")</f>
        <v/>
      </c>
      <c r="L992" s="301">
        <f>IF(_PENDIENTES!$B$986&lt;&gt;"",_PENDIENTES!$K$986,"")</f>
        <v/>
      </c>
      <c r="M992" s="284">
        <f>IF(_PENDIENTES!$B$986&lt;&gt;"",_PENDIENTES!$B$986,"")</f>
        <v/>
      </c>
      <c r="N992" s="304">
        <f>IF(_PENDIENTES!$B$986&lt;&gt;"",_PENDIENTES!$L$986,"")</f>
        <v/>
      </c>
      <c r="O992" s="284" t="n"/>
      <c r="P992" s="284" t="n"/>
      <c r="Q992" s="284" t="n"/>
      <c r="R992" s="284" t="n"/>
      <c r="S992" s="284" t="n"/>
    </row>
    <row r="993" hidden="1" ht="15.75" customHeight="1" s="195">
      <c r="A993" s="241">
        <f>IF(_PENDIENTES!$B$987&lt;&gt;"",986,"")</f>
        <v/>
      </c>
      <c r="B993" s="236">
        <f>IF(_PENDIENTES!$B$987&lt;&gt;"",_PENDIENTES!$A$987,"")</f>
        <v/>
      </c>
      <c r="C993" s="305">
        <f>IF(_PENDIENTES!$B$987&lt;&gt;"",_PENDIENTES!$C$987,"")</f>
        <v/>
      </c>
      <c r="D993" s="241">
        <f>IF(_PENDIENTES!$B$987&lt;&gt;"",_PENDIENTES!$D$987,"")</f>
        <v/>
      </c>
      <c r="E993" s="307">
        <f>IF(_PENDIENTES!$B$987&lt;&gt;"",_PENDIENTES!$E$987,"")</f>
        <v/>
      </c>
      <c r="F993" s="241">
        <f>IF(_PENDIENTES!$B$987&lt;&gt;"",_PENDIENTES!$F$987,"")</f>
        <v/>
      </c>
      <c r="G993" s="239">
        <f>IF(_PENDIENTES!$B$987&lt;&gt;"",_PENDIENTES!$G$987,"")</f>
        <v/>
      </c>
      <c r="H993" s="239">
        <f>IF(_PENDIENTES!$B$987&lt;&gt;"",_PENDIENTES!$H$987,"")</f>
        <v/>
      </c>
      <c r="I993" s="305">
        <f>IF(_PENDIENTES!$B$987&lt;&gt;"",_PENDIENTES!$I$987,"")</f>
        <v/>
      </c>
      <c r="J993" s="241">
        <f>IF(_PENDIENTES!$B$987&lt;&gt;"",_PENDIENTES!$J$987,"")</f>
        <v/>
      </c>
      <c r="K993" s="241">
        <f>IF(_PENDIENTES!$B$987&lt;&gt;"","POR RECOGER","")</f>
        <v/>
      </c>
      <c r="L993" s="241">
        <f>IF(_PENDIENTES!$B$987&lt;&gt;"",_PENDIENTES!$K$987,"")</f>
        <v/>
      </c>
      <c r="M993" s="284">
        <f>IF(_PENDIENTES!$B$987&lt;&gt;"",_PENDIENTES!$B$987,"")</f>
        <v/>
      </c>
      <c r="N993" s="304">
        <f>IF(_PENDIENTES!$B$987&lt;&gt;"",_PENDIENTES!$L$987,"")</f>
        <v/>
      </c>
      <c r="O993" s="284" t="n"/>
      <c r="P993" s="284" t="n"/>
      <c r="Q993" s="284" t="n"/>
      <c r="R993" s="284" t="n"/>
      <c r="S993" s="284" t="n"/>
    </row>
    <row r="994" hidden="1" ht="15.75" customHeight="1" s="195">
      <c r="A994" s="301">
        <f>IF(_PENDIENTES!$B$988&lt;&gt;"",987,"")</f>
        <v/>
      </c>
      <c r="B994" s="242">
        <f>IF(_PENDIENTES!$B$988&lt;&gt;"",_PENDIENTES!$A$988,"")</f>
        <v/>
      </c>
      <c r="C994" s="302">
        <f>IF(_PENDIENTES!$B$988&lt;&gt;"",_PENDIENTES!$C$988,"")</f>
        <v/>
      </c>
      <c r="D994" s="301">
        <f>IF(_PENDIENTES!$B$988&lt;&gt;"",_PENDIENTES!$D$988,"")</f>
        <v/>
      </c>
      <c r="E994" s="306">
        <f>IF(_PENDIENTES!$B$988&lt;&gt;"",_PENDIENTES!$E$988,"")</f>
        <v/>
      </c>
      <c r="F994" s="301">
        <f>IF(_PENDIENTES!$B$988&lt;&gt;"",_PENDIENTES!$F$988,"")</f>
        <v/>
      </c>
      <c r="G994" s="245">
        <f>IF(_PENDIENTES!$B$988&lt;&gt;"",_PENDIENTES!$G$988,"")</f>
        <v/>
      </c>
      <c r="H994" s="245">
        <f>IF(_PENDIENTES!$B$988&lt;&gt;"",_PENDIENTES!$H$988,"")</f>
        <v/>
      </c>
      <c r="I994" s="302">
        <f>IF(_PENDIENTES!$B$988&lt;&gt;"",_PENDIENTES!$I$988,"")</f>
        <v/>
      </c>
      <c r="J994" s="301">
        <f>IF(_PENDIENTES!$B$988&lt;&gt;"",_PENDIENTES!$J$988,"")</f>
        <v/>
      </c>
      <c r="K994" s="301">
        <f>IF(_PENDIENTES!$B$988&lt;&gt;"","POR RECOGER","")</f>
        <v/>
      </c>
      <c r="L994" s="301">
        <f>IF(_PENDIENTES!$B$988&lt;&gt;"",_PENDIENTES!$K$988,"")</f>
        <v/>
      </c>
      <c r="M994" s="284">
        <f>IF(_PENDIENTES!$B$988&lt;&gt;"",_PENDIENTES!$B$988,"")</f>
        <v/>
      </c>
      <c r="N994" s="304">
        <f>IF(_PENDIENTES!$B$988&lt;&gt;"",_PENDIENTES!$L$988,"")</f>
        <v/>
      </c>
      <c r="O994" s="284" t="n"/>
      <c r="P994" s="284" t="n"/>
      <c r="Q994" s="284" t="n"/>
      <c r="R994" s="284" t="n"/>
      <c r="S994" s="284" t="n"/>
    </row>
    <row r="995" hidden="1" ht="15.75" customHeight="1" s="195">
      <c r="A995" s="241">
        <f>IF(_PENDIENTES!$B$989&lt;&gt;"",988,"")</f>
        <v/>
      </c>
      <c r="B995" s="236">
        <f>IF(_PENDIENTES!$B$989&lt;&gt;"",_PENDIENTES!$A$989,"")</f>
        <v/>
      </c>
      <c r="C995" s="305">
        <f>IF(_PENDIENTES!$B$989&lt;&gt;"",_PENDIENTES!$C$989,"")</f>
        <v/>
      </c>
      <c r="D995" s="241">
        <f>IF(_PENDIENTES!$B$989&lt;&gt;"",_PENDIENTES!$D$989,"")</f>
        <v/>
      </c>
      <c r="E995" s="307">
        <f>IF(_PENDIENTES!$B$989&lt;&gt;"",_PENDIENTES!$E$989,"")</f>
        <v/>
      </c>
      <c r="F995" s="241">
        <f>IF(_PENDIENTES!$B$989&lt;&gt;"",_PENDIENTES!$F$989,"")</f>
        <v/>
      </c>
      <c r="G995" s="239">
        <f>IF(_PENDIENTES!$B$989&lt;&gt;"",_PENDIENTES!$G$989,"")</f>
        <v/>
      </c>
      <c r="H995" s="239">
        <f>IF(_PENDIENTES!$B$989&lt;&gt;"",_PENDIENTES!$H$989,"")</f>
        <v/>
      </c>
      <c r="I995" s="305">
        <f>IF(_PENDIENTES!$B$989&lt;&gt;"",_PENDIENTES!$I$989,"")</f>
        <v/>
      </c>
      <c r="J995" s="241">
        <f>IF(_PENDIENTES!$B$989&lt;&gt;"",_PENDIENTES!$J$989,"")</f>
        <v/>
      </c>
      <c r="K995" s="241">
        <f>IF(_PENDIENTES!$B$989&lt;&gt;"","POR RECOGER","")</f>
        <v/>
      </c>
      <c r="L995" s="241">
        <f>IF(_PENDIENTES!$B$989&lt;&gt;"",_PENDIENTES!$K$989,"")</f>
        <v/>
      </c>
      <c r="M995" s="284">
        <f>IF(_PENDIENTES!$B$989&lt;&gt;"",_PENDIENTES!$B$989,"")</f>
        <v/>
      </c>
      <c r="N995" s="304">
        <f>IF(_PENDIENTES!$B$989&lt;&gt;"",_PENDIENTES!$L$989,"")</f>
        <v/>
      </c>
      <c r="O995" s="284" t="n"/>
      <c r="P995" s="284" t="n"/>
      <c r="Q995" s="284" t="n"/>
      <c r="R995" s="284" t="n"/>
      <c r="S995" s="284" t="n"/>
    </row>
    <row r="996" hidden="1" ht="15.75" customHeight="1" s="195">
      <c r="A996" s="301">
        <f>IF(_PENDIENTES!$B$990&lt;&gt;"",989,"")</f>
        <v/>
      </c>
      <c r="B996" s="242">
        <f>IF(_PENDIENTES!$B$990&lt;&gt;"",_PENDIENTES!$A$990,"")</f>
        <v/>
      </c>
      <c r="C996" s="302">
        <f>IF(_PENDIENTES!$B$990&lt;&gt;"",_PENDIENTES!$C$990,"")</f>
        <v/>
      </c>
      <c r="D996" s="301">
        <f>IF(_PENDIENTES!$B$990&lt;&gt;"",_PENDIENTES!$D$990,"")</f>
        <v/>
      </c>
      <c r="E996" s="306">
        <f>IF(_PENDIENTES!$B$990&lt;&gt;"",_PENDIENTES!$E$990,"")</f>
        <v/>
      </c>
      <c r="F996" s="301">
        <f>IF(_PENDIENTES!$B$990&lt;&gt;"",_PENDIENTES!$F$990,"")</f>
        <v/>
      </c>
      <c r="G996" s="245">
        <f>IF(_PENDIENTES!$B$990&lt;&gt;"",_PENDIENTES!$G$990,"")</f>
        <v/>
      </c>
      <c r="H996" s="245">
        <f>IF(_PENDIENTES!$B$990&lt;&gt;"",_PENDIENTES!$H$990,"")</f>
        <v/>
      </c>
      <c r="I996" s="302">
        <f>IF(_PENDIENTES!$B$990&lt;&gt;"",_PENDIENTES!$I$990,"")</f>
        <v/>
      </c>
      <c r="J996" s="301">
        <f>IF(_PENDIENTES!$B$990&lt;&gt;"",_PENDIENTES!$J$990,"")</f>
        <v/>
      </c>
      <c r="K996" s="301">
        <f>IF(_PENDIENTES!$B$990&lt;&gt;"","POR RECOGER","")</f>
        <v/>
      </c>
      <c r="L996" s="301">
        <f>IF(_PENDIENTES!$B$990&lt;&gt;"",_PENDIENTES!$K$990,"")</f>
        <v/>
      </c>
      <c r="M996" s="284">
        <f>IF(_PENDIENTES!$B$990&lt;&gt;"",_PENDIENTES!$B$990,"")</f>
        <v/>
      </c>
      <c r="N996" s="304">
        <f>IF(_PENDIENTES!$B$990&lt;&gt;"",_PENDIENTES!$L$990,"")</f>
        <v/>
      </c>
      <c r="O996" s="284" t="n"/>
      <c r="P996" s="284" t="n"/>
      <c r="Q996" s="284" t="n"/>
      <c r="R996" s="284" t="n"/>
      <c r="S996" s="284" t="n"/>
    </row>
    <row r="997" hidden="1" ht="15.75" customHeight="1" s="195">
      <c r="A997" s="241">
        <f>IF(_PENDIENTES!$B$991&lt;&gt;"",990,"")</f>
        <v/>
      </c>
      <c r="B997" s="236">
        <f>IF(_PENDIENTES!$B$991&lt;&gt;"",_PENDIENTES!$A$991,"")</f>
        <v/>
      </c>
      <c r="C997" s="305">
        <f>IF(_PENDIENTES!$B$991&lt;&gt;"",_PENDIENTES!$C$991,"")</f>
        <v/>
      </c>
      <c r="D997" s="241">
        <f>IF(_PENDIENTES!$B$991&lt;&gt;"",_PENDIENTES!$D$991,"")</f>
        <v/>
      </c>
      <c r="E997" s="307">
        <f>IF(_PENDIENTES!$B$991&lt;&gt;"",_PENDIENTES!$E$991,"")</f>
        <v/>
      </c>
      <c r="F997" s="241">
        <f>IF(_PENDIENTES!$B$991&lt;&gt;"",_PENDIENTES!$F$991,"")</f>
        <v/>
      </c>
      <c r="G997" s="239">
        <f>IF(_PENDIENTES!$B$991&lt;&gt;"",_PENDIENTES!$G$991,"")</f>
        <v/>
      </c>
      <c r="H997" s="239">
        <f>IF(_PENDIENTES!$B$991&lt;&gt;"",_PENDIENTES!$H$991,"")</f>
        <v/>
      </c>
      <c r="I997" s="305">
        <f>IF(_PENDIENTES!$B$991&lt;&gt;"",_PENDIENTES!$I$991,"")</f>
        <v/>
      </c>
      <c r="J997" s="241">
        <f>IF(_PENDIENTES!$B$991&lt;&gt;"",_PENDIENTES!$J$991,"")</f>
        <v/>
      </c>
      <c r="K997" s="241">
        <f>IF(_PENDIENTES!$B$991&lt;&gt;"","POR RECOGER","")</f>
        <v/>
      </c>
      <c r="L997" s="241">
        <f>IF(_PENDIENTES!$B$991&lt;&gt;"",_PENDIENTES!$K$991,"")</f>
        <v/>
      </c>
      <c r="M997" s="284">
        <f>IF(_PENDIENTES!$B$991&lt;&gt;"",_PENDIENTES!$B$991,"")</f>
        <v/>
      </c>
      <c r="N997" s="304">
        <f>IF(_PENDIENTES!$B$991&lt;&gt;"",_PENDIENTES!$L$991,"")</f>
        <v/>
      </c>
      <c r="O997" s="284" t="n"/>
      <c r="P997" s="284" t="n"/>
      <c r="Q997" s="284" t="n"/>
      <c r="R997" s="284" t="n"/>
      <c r="S997" s="284" t="n"/>
    </row>
    <row r="998" hidden="1" ht="15.75" customHeight="1" s="195">
      <c r="A998" s="301">
        <f>IF(_PENDIENTES!$B$992&lt;&gt;"",991,"")</f>
        <v/>
      </c>
      <c r="B998" s="242">
        <f>IF(_PENDIENTES!$B$992&lt;&gt;"",_PENDIENTES!$A$992,"")</f>
        <v/>
      </c>
      <c r="C998" s="302">
        <f>IF(_PENDIENTES!$B$992&lt;&gt;"",_PENDIENTES!$C$992,"")</f>
        <v/>
      </c>
      <c r="D998" s="301">
        <f>IF(_PENDIENTES!$B$992&lt;&gt;"",_PENDIENTES!$D$992,"")</f>
        <v/>
      </c>
      <c r="E998" s="306">
        <f>IF(_PENDIENTES!$B$992&lt;&gt;"",_PENDIENTES!$E$992,"")</f>
        <v/>
      </c>
      <c r="F998" s="301">
        <f>IF(_PENDIENTES!$B$992&lt;&gt;"",_PENDIENTES!$F$992,"")</f>
        <v/>
      </c>
      <c r="G998" s="245">
        <f>IF(_PENDIENTES!$B$992&lt;&gt;"",_PENDIENTES!$G$992,"")</f>
        <v/>
      </c>
      <c r="H998" s="245">
        <f>IF(_PENDIENTES!$B$992&lt;&gt;"",_PENDIENTES!$H$992,"")</f>
        <v/>
      </c>
      <c r="I998" s="302">
        <f>IF(_PENDIENTES!$B$992&lt;&gt;"",_PENDIENTES!$I$992,"")</f>
        <v/>
      </c>
      <c r="J998" s="301">
        <f>IF(_PENDIENTES!$B$992&lt;&gt;"",_PENDIENTES!$J$992,"")</f>
        <v/>
      </c>
      <c r="K998" s="301">
        <f>IF(_PENDIENTES!$B$992&lt;&gt;"","POR RECOGER","")</f>
        <v/>
      </c>
      <c r="L998" s="301">
        <f>IF(_PENDIENTES!$B$992&lt;&gt;"",_PENDIENTES!$K$992,"")</f>
        <v/>
      </c>
      <c r="M998" s="284">
        <f>IF(_PENDIENTES!$B$992&lt;&gt;"",_PENDIENTES!$B$992,"")</f>
        <v/>
      </c>
      <c r="N998" s="304">
        <f>IF(_PENDIENTES!$B$992&lt;&gt;"",_PENDIENTES!$L$992,"")</f>
        <v/>
      </c>
      <c r="O998" s="284" t="n"/>
      <c r="P998" s="284" t="n"/>
      <c r="Q998" s="284" t="n"/>
      <c r="R998" s="284" t="n"/>
      <c r="S998" s="284" t="n"/>
    </row>
    <row r="999" hidden="1" ht="15.75" customHeight="1" s="195">
      <c r="A999" s="241">
        <f>IF(_PENDIENTES!$B$993&lt;&gt;"",992,"")</f>
        <v/>
      </c>
      <c r="B999" s="236">
        <f>IF(_PENDIENTES!$B$993&lt;&gt;"",_PENDIENTES!$A$993,"")</f>
        <v/>
      </c>
      <c r="C999" s="305">
        <f>IF(_PENDIENTES!$B$993&lt;&gt;"",_PENDIENTES!$C$993,"")</f>
        <v/>
      </c>
      <c r="D999" s="241">
        <f>IF(_PENDIENTES!$B$993&lt;&gt;"",_PENDIENTES!$D$993,"")</f>
        <v/>
      </c>
      <c r="E999" s="307">
        <f>IF(_PENDIENTES!$B$993&lt;&gt;"",_PENDIENTES!$E$993,"")</f>
        <v/>
      </c>
      <c r="F999" s="241">
        <f>IF(_PENDIENTES!$B$993&lt;&gt;"",_PENDIENTES!$F$993,"")</f>
        <v/>
      </c>
      <c r="G999" s="239">
        <f>IF(_PENDIENTES!$B$993&lt;&gt;"",_PENDIENTES!$G$993,"")</f>
        <v/>
      </c>
      <c r="H999" s="239">
        <f>IF(_PENDIENTES!$B$993&lt;&gt;"",_PENDIENTES!$H$993,"")</f>
        <v/>
      </c>
      <c r="I999" s="305">
        <f>IF(_PENDIENTES!$B$993&lt;&gt;"",_PENDIENTES!$I$993,"")</f>
        <v/>
      </c>
      <c r="J999" s="241">
        <f>IF(_PENDIENTES!$B$993&lt;&gt;"",_PENDIENTES!$J$993,"")</f>
        <v/>
      </c>
      <c r="K999" s="241">
        <f>IF(_PENDIENTES!$B$993&lt;&gt;"","POR RECOGER","")</f>
        <v/>
      </c>
      <c r="L999" s="241">
        <f>IF(_PENDIENTES!$B$993&lt;&gt;"",_PENDIENTES!$K$993,"")</f>
        <v/>
      </c>
      <c r="M999" s="284">
        <f>IF(_PENDIENTES!$B$993&lt;&gt;"",_PENDIENTES!$B$993,"")</f>
        <v/>
      </c>
      <c r="N999" s="304">
        <f>IF(_PENDIENTES!$B$993&lt;&gt;"",_PENDIENTES!$L$993,"")</f>
        <v/>
      </c>
      <c r="O999" s="284" t="n"/>
      <c r="P999" s="284" t="n"/>
      <c r="Q999" s="284" t="n"/>
      <c r="R999" s="284" t="n"/>
      <c r="S999" s="284" t="n"/>
    </row>
    <row r="1000" hidden="1" ht="15.75" customHeight="1" s="195">
      <c r="A1000" s="301">
        <f>IF(_PENDIENTES!$B$994&lt;&gt;"",993,"")</f>
        <v/>
      </c>
      <c r="B1000" s="242">
        <f>IF(_PENDIENTES!$B$994&lt;&gt;"",_PENDIENTES!$A$994,"")</f>
        <v/>
      </c>
      <c r="C1000" s="302">
        <f>IF(_PENDIENTES!$B$994&lt;&gt;"",_PENDIENTES!$C$994,"")</f>
        <v/>
      </c>
      <c r="D1000" s="301">
        <f>IF(_PENDIENTES!$B$994&lt;&gt;"",_PENDIENTES!$D$994,"")</f>
        <v/>
      </c>
      <c r="E1000" s="306">
        <f>IF(_PENDIENTES!$B$994&lt;&gt;"",_PENDIENTES!$E$994,"")</f>
        <v/>
      </c>
      <c r="F1000" s="301">
        <f>IF(_PENDIENTES!$B$994&lt;&gt;"",_PENDIENTES!$F$994,"")</f>
        <v/>
      </c>
      <c r="G1000" s="245">
        <f>IF(_PENDIENTES!$B$994&lt;&gt;"",_PENDIENTES!$G$994,"")</f>
        <v/>
      </c>
      <c r="H1000" s="245">
        <f>IF(_PENDIENTES!$B$994&lt;&gt;"",_PENDIENTES!$H$994,"")</f>
        <v/>
      </c>
      <c r="I1000" s="302">
        <f>IF(_PENDIENTES!$B$994&lt;&gt;"",_PENDIENTES!$I$994,"")</f>
        <v/>
      </c>
      <c r="J1000" s="301">
        <f>IF(_PENDIENTES!$B$994&lt;&gt;"",_PENDIENTES!$J$994,"")</f>
        <v/>
      </c>
      <c r="K1000" s="301">
        <f>IF(_PENDIENTES!$B$994&lt;&gt;"","POR RECOGER","")</f>
        <v/>
      </c>
      <c r="L1000" s="301">
        <f>IF(_PENDIENTES!$B$994&lt;&gt;"",_PENDIENTES!$K$994,"")</f>
        <v/>
      </c>
      <c r="M1000" s="284">
        <f>IF(_PENDIENTES!$B$994&lt;&gt;"",_PENDIENTES!$B$994,"")</f>
        <v/>
      </c>
      <c r="N1000" s="304">
        <f>IF(_PENDIENTES!$B$994&lt;&gt;"",_PENDIENTES!$L$994,"")</f>
        <v/>
      </c>
      <c r="O1000" s="284" t="n"/>
      <c r="P1000" s="284" t="n"/>
      <c r="Q1000" s="284" t="n"/>
      <c r="R1000" s="284" t="n"/>
      <c r="S1000" s="284" t="n"/>
    </row>
    <row r="1001" hidden="1" ht="15.75" customHeight="1" s="195">
      <c r="A1001" s="241">
        <f>IF(_PENDIENTES!$B$995&lt;&gt;"",994,"")</f>
        <v/>
      </c>
      <c r="B1001" s="236">
        <f>IF(_PENDIENTES!$B$995&lt;&gt;"",_PENDIENTES!$A$995,"")</f>
        <v/>
      </c>
      <c r="C1001" s="305">
        <f>IF(_PENDIENTES!$B$995&lt;&gt;"",_PENDIENTES!$C$995,"")</f>
        <v/>
      </c>
      <c r="D1001" s="241">
        <f>IF(_PENDIENTES!$B$995&lt;&gt;"",_PENDIENTES!$D$995,"")</f>
        <v/>
      </c>
      <c r="E1001" s="307">
        <f>IF(_PENDIENTES!$B$995&lt;&gt;"",_PENDIENTES!$E$995,"")</f>
        <v/>
      </c>
      <c r="F1001" s="241">
        <f>IF(_PENDIENTES!$B$995&lt;&gt;"",_PENDIENTES!$F$995,"")</f>
        <v/>
      </c>
      <c r="G1001" s="239">
        <f>IF(_PENDIENTES!$B$995&lt;&gt;"",_PENDIENTES!$G$995,"")</f>
        <v/>
      </c>
      <c r="H1001" s="239">
        <f>IF(_PENDIENTES!$B$995&lt;&gt;"",_PENDIENTES!$H$995,"")</f>
        <v/>
      </c>
      <c r="I1001" s="305">
        <f>IF(_PENDIENTES!$B$995&lt;&gt;"",_PENDIENTES!$I$995,"")</f>
        <v/>
      </c>
      <c r="J1001" s="241">
        <f>IF(_PENDIENTES!$B$995&lt;&gt;"",_PENDIENTES!$J$995,"")</f>
        <v/>
      </c>
      <c r="K1001" s="241">
        <f>IF(_PENDIENTES!$B$995&lt;&gt;"","POR RECOGER","")</f>
        <v/>
      </c>
      <c r="L1001" s="241">
        <f>IF(_PENDIENTES!$B$995&lt;&gt;"",_PENDIENTES!$K$995,"")</f>
        <v/>
      </c>
      <c r="M1001" s="284">
        <f>IF(_PENDIENTES!$B$995&lt;&gt;"",_PENDIENTES!$B$995,"")</f>
        <v/>
      </c>
      <c r="N1001" s="304">
        <f>IF(_PENDIENTES!$B$995&lt;&gt;"",_PENDIENTES!$L$995,"")</f>
        <v/>
      </c>
      <c r="O1001" s="284" t="n"/>
      <c r="P1001" s="284" t="n"/>
      <c r="Q1001" s="284" t="n"/>
      <c r="R1001" s="284" t="n"/>
      <c r="S1001" s="284" t="n"/>
    </row>
    <row r="1002" hidden="1" ht="15.75" customHeight="1" s="195">
      <c r="A1002" s="301">
        <f>IF(_PENDIENTES!$B$996&lt;&gt;"",995,"")</f>
        <v/>
      </c>
      <c r="B1002" s="242">
        <f>IF(_PENDIENTES!$B$996&lt;&gt;"",_PENDIENTES!$A$996,"")</f>
        <v/>
      </c>
      <c r="C1002" s="302">
        <f>IF(_PENDIENTES!$B$996&lt;&gt;"",_PENDIENTES!$C$996,"")</f>
        <v/>
      </c>
      <c r="D1002" s="301">
        <f>IF(_PENDIENTES!$B$996&lt;&gt;"",_PENDIENTES!$D$996,"")</f>
        <v/>
      </c>
      <c r="E1002" s="306">
        <f>IF(_PENDIENTES!$B$996&lt;&gt;"",_PENDIENTES!$E$996,"")</f>
        <v/>
      </c>
      <c r="F1002" s="301">
        <f>IF(_PENDIENTES!$B$996&lt;&gt;"",_PENDIENTES!$F$996,"")</f>
        <v/>
      </c>
      <c r="G1002" s="245">
        <f>IF(_PENDIENTES!$B$996&lt;&gt;"",_PENDIENTES!$G$996,"")</f>
        <v/>
      </c>
      <c r="H1002" s="245">
        <f>IF(_PENDIENTES!$B$996&lt;&gt;"",_PENDIENTES!$H$996,"")</f>
        <v/>
      </c>
      <c r="I1002" s="302">
        <f>IF(_PENDIENTES!$B$996&lt;&gt;"",_PENDIENTES!$I$996,"")</f>
        <v/>
      </c>
      <c r="J1002" s="301">
        <f>IF(_PENDIENTES!$B$996&lt;&gt;"",_PENDIENTES!$J$996,"")</f>
        <v/>
      </c>
      <c r="K1002" s="301">
        <f>IF(_PENDIENTES!$B$996&lt;&gt;"","POR RECOGER","")</f>
        <v/>
      </c>
      <c r="L1002" s="301">
        <f>IF(_PENDIENTES!$B$996&lt;&gt;"",_PENDIENTES!$K$996,"")</f>
        <v/>
      </c>
      <c r="M1002" s="284">
        <f>IF(_PENDIENTES!$B$996&lt;&gt;"",_PENDIENTES!$B$996,"")</f>
        <v/>
      </c>
      <c r="N1002" s="304">
        <f>IF(_PENDIENTES!$B$996&lt;&gt;"",_PENDIENTES!$L$996,"")</f>
        <v/>
      </c>
      <c r="O1002" s="284" t="n"/>
      <c r="P1002" s="284" t="n"/>
      <c r="Q1002" s="284" t="n"/>
      <c r="R1002" s="284" t="n"/>
      <c r="S1002" s="284" t="n"/>
    </row>
    <row r="1003" hidden="1" ht="15.75" customHeight="1" s="195">
      <c r="A1003" s="241">
        <f>IF(_PENDIENTES!$B$997&lt;&gt;"",996,"")</f>
        <v/>
      </c>
      <c r="B1003" s="236">
        <f>IF(_PENDIENTES!$B$997&lt;&gt;"",_PENDIENTES!$A$997,"")</f>
        <v/>
      </c>
      <c r="C1003" s="305">
        <f>IF(_PENDIENTES!$B$997&lt;&gt;"",_PENDIENTES!$C$997,"")</f>
        <v/>
      </c>
      <c r="D1003" s="241">
        <f>IF(_PENDIENTES!$B$997&lt;&gt;"",_PENDIENTES!$D$997,"")</f>
        <v/>
      </c>
      <c r="E1003" s="241">
        <f>IF(_PENDIENTES!$B$997&lt;&gt;"",_PENDIENTES!$E$997,"")</f>
        <v/>
      </c>
      <c r="F1003" s="241">
        <f>IF(_PENDIENTES!$B$997&lt;&gt;"",_PENDIENTES!$F$997,"")</f>
        <v/>
      </c>
      <c r="G1003" s="239">
        <f>IF(_PENDIENTES!$B$997&lt;&gt;"",_PENDIENTES!$G$997,"")</f>
        <v/>
      </c>
      <c r="H1003" s="239">
        <f>IF(_PENDIENTES!$B$997&lt;&gt;"",_PENDIENTES!$H$997,"")</f>
        <v/>
      </c>
      <c r="I1003" s="305">
        <f>IF(_PENDIENTES!$B$997&lt;&gt;"",_PENDIENTES!$I$997,"")</f>
        <v/>
      </c>
      <c r="J1003" s="241">
        <f>IF(_PENDIENTES!$B$997&lt;&gt;"",_PENDIENTES!$J$997,"")</f>
        <v/>
      </c>
      <c r="K1003" s="241">
        <f>IF(_PENDIENTES!$B$997&lt;&gt;"","POR RECOGER","")</f>
        <v/>
      </c>
      <c r="L1003" s="241">
        <f>IF(_PENDIENTES!$B$997&lt;&gt;"",_PENDIENTES!$K$997,"")</f>
        <v/>
      </c>
      <c r="M1003" s="284">
        <f>IF(_PENDIENTES!$B$997&lt;&gt;"",_PENDIENTES!$B$997,"")</f>
        <v/>
      </c>
      <c r="N1003" s="304">
        <f>IF(_PENDIENTES!$B$997&lt;&gt;"",_PENDIENTES!$L$997,"")</f>
        <v/>
      </c>
      <c r="O1003" s="284" t="n"/>
      <c r="P1003" s="284" t="n"/>
      <c r="Q1003" s="284" t="n"/>
      <c r="R1003" s="284" t="n"/>
      <c r="S1003" s="284" t="n"/>
    </row>
    <row r="1004" hidden="1" ht="15.75" customHeight="1" s="195">
      <c r="A1004" s="301">
        <f>IF(_PENDIENTES!$B$998&lt;&gt;"",997,"")</f>
        <v/>
      </c>
      <c r="B1004" s="242">
        <f>IF(_PENDIENTES!$B$998&lt;&gt;"",_PENDIENTES!$A$998,"")</f>
        <v/>
      </c>
      <c r="C1004" s="302">
        <f>IF(_PENDIENTES!$B$998&lt;&gt;"",_PENDIENTES!$C$998,"")</f>
        <v/>
      </c>
      <c r="D1004" s="301">
        <f>IF(_PENDIENTES!$B$998&lt;&gt;"",_PENDIENTES!$D$998,"")</f>
        <v/>
      </c>
      <c r="E1004" s="306">
        <f>IF(_PENDIENTES!$B$998&lt;&gt;"",_PENDIENTES!$E$998,"")</f>
        <v/>
      </c>
      <c r="F1004" s="301">
        <f>IF(_PENDIENTES!$B$998&lt;&gt;"",_PENDIENTES!$F$998,"")</f>
        <v/>
      </c>
      <c r="G1004" s="245">
        <f>IF(_PENDIENTES!$B$998&lt;&gt;"",_PENDIENTES!$G$998,"")</f>
        <v/>
      </c>
      <c r="H1004" s="245">
        <f>IF(_PENDIENTES!$B$998&lt;&gt;"",_PENDIENTES!$H$998,"")</f>
        <v/>
      </c>
      <c r="I1004" s="302">
        <f>IF(_PENDIENTES!$B$998&lt;&gt;"",_PENDIENTES!$I$998,"")</f>
        <v/>
      </c>
      <c r="J1004" s="301">
        <f>IF(_PENDIENTES!$B$998&lt;&gt;"",_PENDIENTES!$J$998,"")</f>
        <v/>
      </c>
      <c r="K1004" s="301">
        <f>IF(_PENDIENTES!$B$998&lt;&gt;"","POR RECOGER","")</f>
        <v/>
      </c>
      <c r="L1004" s="301">
        <f>IF(_PENDIENTES!$B$998&lt;&gt;"",_PENDIENTES!$K$998,"")</f>
        <v/>
      </c>
      <c r="M1004" s="284">
        <f>IF(_PENDIENTES!$B$998&lt;&gt;"",_PENDIENTES!$B$998,"")</f>
        <v/>
      </c>
      <c r="N1004" s="304">
        <f>IF(_PENDIENTES!$B$998&lt;&gt;"",_PENDIENTES!$L$998,"")</f>
        <v/>
      </c>
      <c r="O1004" s="284" t="n"/>
      <c r="P1004" s="284" t="n"/>
      <c r="Q1004" s="284" t="n"/>
      <c r="R1004" s="284" t="n"/>
      <c r="S1004" s="284" t="n"/>
    </row>
    <row r="1005" hidden="1" ht="15.75" customHeight="1" s="195">
      <c r="A1005" s="241">
        <f>IF(_PENDIENTES!$B$999&lt;&gt;"",998,"")</f>
        <v/>
      </c>
      <c r="B1005" s="236">
        <f>IF(_PENDIENTES!$B$999&lt;&gt;"",_PENDIENTES!$A$999,"")</f>
        <v/>
      </c>
      <c r="C1005" s="305">
        <f>IF(_PENDIENTES!$B$999&lt;&gt;"",_PENDIENTES!$C$999,"")</f>
        <v/>
      </c>
      <c r="D1005" s="241">
        <f>IF(_PENDIENTES!$B$999&lt;&gt;"",_PENDIENTES!$D$999,"")</f>
        <v/>
      </c>
      <c r="E1005" s="307">
        <f>IF(_PENDIENTES!$B$999&lt;&gt;"",_PENDIENTES!$E$999,"")</f>
        <v/>
      </c>
      <c r="F1005" s="241">
        <f>IF(_PENDIENTES!$B$999&lt;&gt;"",_PENDIENTES!$F$999,"")</f>
        <v/>
      </c>
      <c r="G1005" s="239">
        <f>IF(_PENDIENTES!$B$999&lt;&gt;"",_PENDIENTES!$G$999,"")</f>
        <v/>
      </c>
      <c r="H1005" s="239">
        <f>IF(_PENDIENTES!$B$999&lt;&gt;"",_PENDIENTES!$H$999,"")</f>
        <v/>
      </c>
      <c r="I1005" s="305">
        <f>IF(_PENDIENTES!$B$999&lt;&gt;"",_PENDIENTES!$I$999,"")</f>
        <v/>
      </c>
      <c r="J1005" s="241">
        <f>IF(_PENDIENTES!$B$999&lt;&gt;"",_PENDIENTES!$J$999,"")</f>
        <v/>
      </c>
      <c r="K1005" s="241">
        <f>IF(_PENDIENTES!$B$999&lt;&gt;"","POR RECOGER","")</f>
        <v/>
      </c>
      <c r="L1005" s="241">
        <f>IF(_PENDIENTES!$B$999&lt;&gt;"",_PENDIENTES!$K$999,"")</f>
        <v/>
      </c>
      <c r="M1005" s="284">
        <f>IF(_PENDIENTES!$B$999&lt;&gt;"",_PENDIENTES!$B$999,"")</f>
        <v/>
      </c>
      <c r="N1005" s="304">
        <f>IF(_PENDIENTES!$B$999&lt;&gt;"",_PENDIENTES!$L$999,"")</f>
        <v/>
      </c>
      <c r="O1005" s="284" t="n"/>
      <c r="P1005" s="284" t="n"/>
      <c r="Q1005" s="284" t="n"/>
      <c r="R1005" s="284" t="n"/>
      <c r="S1005" s="284" t="n"/>
    </row>
    <row r="1006" hidden="1" ht="15.75" customHeight="1" s="195">
      <c r="A1006" s="301">
        <f>IF(_PENDIENTES!$B$1000&lt;&gt;"",999,"")</f>
        <v/>
      </c>
      <c r="B1006" s="242">
        <f>IF(_PENDIENTES!$B$1000&lt;&gt;"",_PENDIENTES!$A$1000,"")</f>
        <v/>
      </c>
      <c r="C1006" s="302">
        <f>IF(_PENDIENTES!$B$1000&lt;&gt;"",_PENDIENTES!$C$1000,"")</f>
        <v/>
      </c>
      <c r="D1006" s="301">
        <f>IF(_PENDIENTES!$B$1000&lt;&gt;"",_PENDIENTES!$D$1000,"")</f>
        <v/>
      </c>
      <c r="E1006" s="306">
        <f>IF(_PENDIENTES!$B$1000&lt;&gt;"",_PENDIENTES!$E$1000,"")</f>
        <v/>
      </c>
      <c r="F1006" s="301">
        <f>IF(_PENDIENTES!$B$1000&lt;&gt;"",_PENDIENTES!$F$1000,"")</f>
        <v/>
      </c>
      <c r="G1006" s="245">
        <f>IF(_PENDIENTES!$B$1000&lt;&gt;"",_PENDIENTES!$G$1000,"")</f>
        <v/>
      </c>
      <c r="H1006" s="245">
        <f>IF(_PENDIENTES!$B$1000&lt;&gt;"",_PENDIENTES!$H$1000,"")</f>
        <v/>
      </c>
      <c r="I1006" s="302">
        <f>IF(_PENDIENTES!$B$1000&lt;&gt;"",_PENDIENTES!$I$1000,"")</f>
        <v/>
      </c>
      <c r="J1006" s="301">
        <f>IF(_PENDIENTES!$B$1000&lt;&gt;"",_PENDIENTES!$J$1000,"")</f>
        <v/>
      </c>
      <c r="K1006" s="301">
        <f>IF(_PENDIENTES!$B$1000&lt;&gt;"","POR RECOGER","")</f>
        <v/>
      </c>
      <c r="L1006" s="301">
        <f>IF(_PENDIENTES!$B$1000&lt;&gt;"",_PENDIENTES!$K$1000,"")</f>
        <v/>
      </c>
      <c r="M1006" s="284">
        <f>IF(_PENDIENTES!$B$1000&lt;&gt;"",_PENDIENTES!$B$1000,"")</f>
        <v/>
      </c>
      <c r="N1006" s="304">
        <f>IF(_PENDIENTES!$B$1000&lt;&gt;"",_PENDIENTES!$L$1000,"")</f>
        <v/>
      </c>
      <c r="O1006" s="284" t="n"/>
      <c r="P1006" s="284" t="n"/>
      <c r="Q1006" s="284" t="n"/>
      <c r="R1006" s="284" t="n"/>
      <c r="S1006" s="284" t="n"/>
    </row>
    <row r="1007" hidden="1" ht="15.75" customHeight="1" s="195">
      <c r="A1007" s="241">
        <f>IF(_PENDIENTES!$B$1001&lt;&gt;"",1000,"")</f>
        <v/>
      </c>
      <c r="B1007" s="236">
        <f>IF(_PENDIENTES!$B$1001&lt;&gt;"",_PENDIENTES!$A$1001,"")</f>
        <v/>
      </c>
      <c r="C1007" s="305">
        <f>IF(_PENDIENTES!$B$1001&lt;&gt;"",_PENDIENTES!$C$1001,"")</f>
        <v/>
      </c>
      <c r="D1007" s="241">
        <f>IF(_PENDIENTES!$B$1001&lt;&gt;"",_PENDIENTES!$D$1001,"")</f>
        <v/>
      </c>
      <c r="E1007" s="307">
        <f>IF(_PENDIENTES!$B$1001&lt;&gt;"",_PENDIENTES!$E$1001,"")</f>
        <v/>
      </c>
      <c r="F1007" s="241">
        <f>IF(_PENDIENTES!$B$1001&lt;&gt;"",_PENDIENTES!$F$1001,"")</f>
        <v/>
      </c>
      <c r="G1007" s="239">
        <f>IF(_PENDIENTES!$B$1001&lt;&gt;"",_PENDIENTES!$G$1001,"")</f>
        <v/>
      </c>
      <c r="H1007" s="239">
        <f>IF(_PENDIENTES!$B$1001&lt;&gt;"",_PENDIENTES!$H$1001,"")</f>
        <v/>
      </c>
      <c r="I1007" s="305">
        <f>IF(_PENDIENTES!$B$1001&lt;&gt;"",_PENDIENTES!$I$1001,"")</f>
        <v/>
      </c>
      <c r="J1007" s="241">
        <f>IF(_PENDIENTES!$B$1001&lt;&gt;"",_PENDIENTES!$J$1001,"")</f>
        <v/>
      </c>
      <c r="K1007" s="241">
        <f>IF(_PENDIENTES!$B$1001&lt;&gt;"","POR RECOGER","")</f>
        <v/>
      </c>
      <c r="L1007" s="241">
        <f>IF(_PENDIENTES!$B$1001&lt;&gt;"",_PENDIENTES!$K$1001,"")</f>
        <v/>
      </c>
      <c r="M1007" s="284">
        <f>IF(_PENDIENTES!$B$1001&lt;&gt;"",_PENDIENTES!$B$1001,"")</f>
        <v/>
      </c>
      <c r="N1007" s="304">
        <f>IF(_PENDIENTES!$B$1001&lt;&gt;"",_PENDIENTES!$L$1001,"")</f>
        <v/>
      </c>
      <c r="O1007" s="284" t="n"/>
      <c r="P1007" s="284" t="n"/>
      <c r="Q1007" s="284" t="n"/>
      <c r="R1007" s="284" t="n"/>
      <c r="S1007" s="284" t="n"/>
    </row>
    <row r="1008" hidden="1" ht="15.75" customHeight="1" s="195">
      <c r="A1008" s="301">
        <f>IF(_PENDIENTES!$B$1002&lt;&gt;"",1001,"")</f>
        <v/>
      </c>
      <c r="B1008" s="242">
        <f>IF(_PENDIENTES!$B$1002&lt;&gt;"",_PENDIENTES!$A$1002,"")</f>
        <v/>
      </c>
      <c r="C1008" s="302">
        <f>IF(_PENDIENTES!$B$1002&lt;&gt;"",_PENDIENTES!$C$1002,"")</f>
        <v/>
      </c>
      <c r="D1008" s="301">
        <f>IF(_PENDIENTES!$B$1002&lt;&gt;"",_PENDIENTES!$D$1002,"")</f>
        <v/>
      </c>
      <c r="E1008" s="301">
        <f>IF(_PENDIENTES!$B$1002&lt;&gt;"",_PENDIENTES!$E$1002,"")</f>
        <v/>
      </c>
      <c r="F1008" s="301">
        <f>IF(_PENDIENTES!$B$1002&lt;&gt;"",_PENDIENTES!$F$1002,"")</f>
        <v/>
      </c>
      <c r="G1008" s="245">
        <f>IF(_PENDIENTES!$B$1002&lt;&gt;"",_PENDIENTES!$G$1002,"")</f>
        <v/>
      </c>
      <c r="H1008" s="245">
        <f>IF(_PENDIENTES!$B$1002&lt;&gt;"",_PENDIENTES!$H$1002,"")</f>
        <v/>
      </c>
      <c r="I1008" s="302">
        <f>IF(_PENDIENTES!$B$1002&lt;&gt;"",_PENDIENTES!$I$1002,"")</f>
        <v/>
      </c>
      <c r="J1008" s="301">
        <f>IF(_PENDIENTES!$B$1002&lt;&gt;"",_PENDIENTES!$J$1002,"")</f>
        <v/>
      </c>
      <c r="K1008" s="301">
        <f>IF(_PENDIENTES!$B$1002&lt;&gt;"","POR RECOGER","")</f>
        <v/>
      </c>
      <c r="L1008" s="301">
        <f>IF(_PENDIENTES!$B$1002&lt;&gt;"",_PENDIENTES!$K$1002,"")</f>
        <v/>
      </c>
      <c r="M1008" s="284">
        <f>IF(_PENDIENTES!$B$1002&lt;&gt;"",_PENDIENTES!$B$1002,"")</f>
        <v/>
      </c>
      <c r="N1008" s="304">
        <f>IF(_PENDIENTES!$B$1002&lt;&gt;"",_PENDIENTES!$L$1002,"")</f>
        <v/>
      </c>
      <c r="O1008" s="284" t="n"/>
    </row>
    <row r="1009" hidden="1" ht="15.75" customHeight="1" s="195">
      <c r="A1009" s="241">
        <f>IF(_PENDIENTES!$B$1003&lt;&gt;"",1002,"")</f>
        <v/>
      </c>
      <c r="B1009" s="236">
        <f>IF(_PENDIENTES!$B$1003&lt;&gt;"",_PENDIENTES!$A$1003,"")</f>
        <v/>
      </c>
      <c r="C1009" s="305">
        <f>IF(_PENDIENTES!$B$1003&lt;&gt;"",_PENDIENTES!$C$1003,"")</f>
        <v/>
      </c>
      <c r="D1009" s="241">
        <f>IF(_PENDIENTES!$B$1003&lt;&gt;"",_PENDIENTES!$D$1003,"")</f>
        <v/>
      </c>
      <c r="E1009" s="241">
        <f>IF(_PENDIENTES!$B$1003&lt;&gt;"",_PENDIENTES!$E$1003,"")</f>
        <v/>
      </c>
      <c r="F1009" s="241">
        <f>IF(_PENDIENTES!$B$1003&lt;&gt;"",_PENDIENTES!$F$1003,"")</f>
        <v/>
      </c>
      <c r="G1009" s="239">
        <f>IF(_PENDIENTES!$B$1003&lt;&gt;"",_PENDIENTES!$G$1003,"")</f>
        <v/>
      </c>
      <c r="H1009" s="239">
        <f>IF(_PENDIENTES!$B$1003&lt;&gt;"",_PENDIENTES!$H$1003,"")</f>
        <v/>
      </c>
      <c r="I1009" s="305">
        <f>IF(_PENDIENTES!$B$1003&lt;&gt;"",_PENDIENTES!$I$1003,"")</f>
        <v/>
      </c>
      <c r="J1009" s="241">
        <f>IF(_PENDIENTES!$B$1003&lt;&gt;"",_PENDIENTES!$J$1003,"")</f>
        <v/>
      </c>
      <c r="K1009" s="241">
        <f>IF(_PENDIENTES!$B$1003&lt;&gt;"","POR RECOGER","")</f>
        <v/>
      </c>
      <c r="L1009" s="241">
        <f>IF(_PENDIENTES!$B$1003&lt;&gt;"",_PENDIENTES!$K$1003,"")</f>
        <v/>
      </c>
      <c r="M1009" s="284">
        <f>IF(_PENDIENTES!$B$1003&lt;&gt;"",_PENDIENTES!$B$1003,"")</f>
        <v/>
      </c>
      <c r="N1009" s="304">
        <f>IF(_PENDIENTES!$B$1003&lt;&gt;"",_PENDIENTES!$L$1003,"")</f>
        <v/>
      </c>
      <c r="O1009" s="284" t="n"/>
    </row>
    <row r="1010" hidden="1" ht="15.75" customHeight="1" s="195">
      <c r="A1010" s="301">
        <f>IF(_PENDIENTES!$B$1004&lt;&gt;"",1003,"")</f>
        <v/>
      </c>
      <c r="B1010" s="242">
        <f>IF(_PENDIENTES!$B$1004&lt;&gt;"",_PENDIENTES!$A$1004,"")</f>
        <v/>
      </c>
      <c r="C1010" s="302">
        <f>IF(_PENDIENTES!$B$1004&lt;&gt;"",_PENDIENTES!$C$1004,"")</f>
        <v/>
      </c>
      <c r="D1010" s="301">
        <f>IF(_PENDIENTES!$B$1004&lt;&gt;"",_PENDIENTES!$D$1004,"")</f>
        <v/>
      </c>
      <c r="E1010" s="301">
        <f>IF(_PENDIENTES!$B$1004&lt;&gt;"",_PENDIENTES!$E$1004,"")</f>
        <v/>
      </c>
      <c r="F1010" s="301">
        <f>IF(_PENDIENTES!$B$1004&lt;&gt;"",_PENDIENTES!$F$1004,"")</f>
        <v/>
      </c>
      <c r="G1010" s="245">
        <f>IF(_PENDIENTES!$B$1004&lt;&gt;"",_PENDIENTES!$G$1004,"")</f>
        <v/>
      </c>
      <c r="H1010" s="245">
        <f>IF(_PENDIENTES!$B$1004&lt;&gt;"",_PENDIENTES!$H$1004,"")</f>
        <v/>
      </c>
      <c r="I1010" s="302">
        <f>IF(_PENDIENTES!$B$1004&lt;&gt;"",_PENDIENTES!$I$1004,"")</f>
        <v/>
      </c>
      <c r="J1010" s="301">
        <f>IF(_PENDIENTES!$B$1004&lt;&gt;"",_PENDIENTES!$J$1004,"")</f>
        <v/>
      </c>
      <c r="K1010" s="301">
        <f>IF(_PENDIENTES!$B$1004&lt;&gt;"","POR RECOGER","")</f>
        <v/>
      </c>
      <c r="L1010" s="301">
        <f>IF(_PENDIENTES!$B$1004&lt;&gt;"",_PENDIENTES!$K$1004,"")</f>
        <v/>
      </c>
      <c r="M1010" s="284">
        <f>IF(_PENDIENTES!$B$1004&lt;&gt;"",_PENDIENTES!$B$1004,"")</f>
        <v/>
      </c>
      <c r="N1010" s="304">
        <f>IF(_PENDIENTES!$B$1004&lt;&gt;"",_PENDIENTES!$L$1004,"")</f>
        <v/>
      </c>
      <c r="O1010" s="284" t="n"/>
    </row>
    <row r="1011" hidden="1" ht="15.75" customHeight="1" s="195">
      <c r="A1011" s="241">
        <f>IF(_PENDIENTES!$B$1005&lt;&gt;"",1004,"")</f>
        <v/>
      </c>
      <c r="B1011" s="236">
        <f>IF(_PENDIENTES!$B$1005&lt;&gt;"",_PENDIENTES!$A$1005,"")</f>
        <v/>
      </c>
      <c r="C1011" s="305">
        <f>IF(_PENDIENTES!$B$1005&lt;&gt;"",_PENDIENTES!$C$1005,"")</f>
        <v/>
      </c>
      <c r="D1011" s="241">
        <f>IF(_PENDIENTES!$B$1005&lt;&gt;"",_PENDIENTES!$D$1005,"")</f>
        <v/>
      </c>
      <c r="E1011" s="241">
        <f>IF(_PENDIENTES!$B$1005&lt;&gt;"",_PENDIENTES!$E$1005,"")</f>
        <v/>
      </c>
      <c r="F1011" s="241">
        <f>IF(_PENDIENTES!$B$1005&lt;&gt;"",_PENDIENTES!$F$1005,"")</f>
        <v/>
      </c>
      <c r="G1011" s="239">
        <f>IF(_PENDIENTES!$B$1005&lt;&gt;"",_PENDIENTES!$G$1005,"")</f>
        <v/>
      </c>
      <c r="H1011" s="239">
        <f>IF(_PENDIENTES!$B$1005&lt;&gt;"",_PENDIENTES!$H$1005,"")</f>
        <v/>
      </c>
      <c r="I1011" s="305">
        <f>IF(_PENDIENTES!$B$1005&lt;&gt;"",_PENDIENTES!$I$1005,"")</f>
        <v/>
      </c>
      <c r="J1011" s="241">
        <f>IF(_PENDIENTES!$B$1005&lt;&gt;"",_PENDIENTES!$J$1005,"")</f>
        <v/>
      </c>
      <c r="K1011" s="241">
        <f>IF(_PENDIENTES!$B$1005&lt;&gt;"","POR RECOGER","")</f>
        <v/>
      </c>
      <c r="L1011" s="241">
        <f>IF(_PENDIENTES!$B$1005&lt;&gt;"",_PENDIENTES!$K$1005,"")</f>
        <v/>
      </c>
      <c r="M1011" s="284">
        <f>IF(_PENDIENTES!$B$1005&lt;&gt;"",_PENDIENTES!$B$1005,"")</f>
        <v/>
      </c>
      <c r="N1011" s="304">
        <f>IF(_PENDIENTES!$B$1005&lt;&gt;"",_PENDIENTES!$L$1005,"")</f>
        <v/>
      </c>
      <c r="O1011" s="284" t="n"/>
    </row>
    <row r="1012" hidden="1" ht="15.75" customHeight="1" s="195">
      <c r="A1012" s="301">
        <f>IF(_PENDIENTES!$B$1006&lt;&gt;"",1005,"")</f>
        <v/>
      </c>
      <c r="B1012" s="242">
        <f>IF(_PENDIENTES!$B$1006&lt;&gt;"",_PENDIENTES!$A$1006,"")</f>
        <v/>
      </c>
      <c r="C1012" s="302">
        <f>IF(_PENDIENTES!$B$1006&lt;&gt;"",_PENDIENTES!$C$1006,"")</f>
        <v/>
      </c>
      <c r="D1012" s="301">
        <f>IF(_PENDIENTES!$B$1006&lt;&gt;"",_PENDIENTES!$D$1006,"")</f>
        <v/>
      </c>
      <c r="E1012" s="301">
        <f>IF(_PENDIENTES!$B$1006&lt;&gt;"",_PENDIENTES!$E$1006,"")</f>
        <v/>
      </c>
      <c r="F1012" s="301">
        <f>IF(_PENDIENTES!$B$1006&lt;&gt;"",_PENDIENTES!$F$1006,"")</f>
        <v/>
      </c>
      <c r="G1012" s="245">
        <f>IF(_PENDIENTES!$B$1006&lt;&gt;"",_PENDIENTES!$G$1006,"")</f>
        <v/>
      </c>
      <c r="H1012" s="245">
        <f>IF(_PENDIENTES!$B$1006&lt;&gt;"",_PENDIENTES!$H$1006,"")</f>
        <v/>
      </c>
      <c r="I1012" s="302">
        <f>IF(_PENDIENTES!$B$1006&lt;&gt;"",_PENDIENTES!$I$1006,"")</f>
        <v/>
      </c>
      <c r="J1012" s="301">
        <f>IF(_PENDIENTES!$B$1006&lt;&gt;"",_PENDIENTES!$J$1006,"")</f>
        <v/>
      </c>
      <c r="K1012" s="301">
        <f>IF(_PENDIENTES!$B$1006&lt;&gt;"","POR RECOGER","")</f>
        <v/>
      </c>
      <c r="L1012" s="301">
        <f>IF(_PENDIENTES!$B$1006&lt;&gt;"",_PENDIENTES!$K$1006,"")</f>
        <v/>
      </c>
      <c r="M1012" s="284">
        <f>IF(_PENDIENTES!$B$1006&lt;&gt;"",_PENDIENTES!$B$1006,"")</f>
        <v/>
      </c>
      <c r="N1012" s="304">
        <f>IF(_PENDIENTES!$B$1006&lt;&gt;"",_PENDIENTES!$L$1006,"")</f>
        <v/>
      </c>
      <c r="O1012" s="284" t="n"/>
    </row>
    <row r="1013" hidden="1" ht="15.75" customHeight="1" s="195">
      <c r="A1013" s="241">
        <f>IF(_PENDIENTES!$B$1007&lt;&gt;"",1006,"")</f>
        <v/>
      </c>
      <c r="B1013" s="236">
        <f>IF(_PENDIENTES!$B$1007&lt;&gt;"",_PENDIENTES!$A$1007,"")</f>
        <v/>
      </c>
      <c r="C1013" s="305">
        <f>IF(_PENDIENTES!$B$1007&lt;&gt;"",_PENDIENTES!$C$1007,"")</f>
        <v/>
      </c>
      <c r="D1013" s="241">
        <f>IF(_PENDIENTES!$B$1007&lt;&gt;"",_PENDIENTES!$D$1007,"")</f>
        <v/>
      </c>
      <c r="E1013" s="241">
        <f>IF(_PENDIENTES!$B$1007&lt;&gt;"",_PENDIENTES!$E$1007,"")</f>
        <v/>
      </c>
      <c r="F1013" s="241">
        <f>IF(_PENDIENTES!$B$1007&lt;&gt;"",_PENDIENTES!$F$1007,"")</f>
        <v/>
      </c>
      <c r="G1013" s="239">
        <f>IF(_PENDIENTES!$B$1007&lt;&gt;"",_PENDIENTES!$G$1007,"")</f>
        <v/>
      </c>
      <c r="H1013" s="239">
        <f>IF(_PENDIENTES!$B$1007&lt;&gt;"",_PENDIENTES!$H$1007,"")</f>
        <v/>
      </c>
      <c r="I1013" s="305">
        <f>IF(_PENDIENTES!$B$1007&lt;&gt;"",_PENDIENTES!$I$1007,"")</f>
        <v/>
      </c>
      <c r="J1013" s="241">
        <f>IF(_PENDIENTES!$B$1007&lt;&gt;"",_PENDIENTES!$J$1007,"")</f>
        <v/>
      </c>
      <c r="K1013" s="241">
        <f>IF(_PENDIENTES!$B$1007&lt;&gt;"","POR RECOGER","")</f>
        <v/>
      </c>
      <c r="L1013" s="241">
        <f>IF(_PENDIENTES!$B$1007&lt;&gt;"",_PENDIENTES!$K$1007,"")</f>
        <v/>
      </c>
      <c r="M1013" s="284">
        <f>IF(_PENDIENTES!$B$1007&lt;&gt;"",_PENDIENTES!$B$1007,"")</f>
        <v/>
      </c>
      <c r="N1013" s="304">
        <f>IF(_PENDIENTES!$B$1007&lt;&gt;"",_PENDIENTES!$L$1007,"")</f>
        <v/>
      </c>
      <c r="O1013" s="284" t="n"/>
    </row>
    <row r="1014" hidden="1" ht="15.75" customHeight="1" s="195">
      <c r="A1014" s="301">
        <f>IF(_PENDIENTES!$B$1008&lt;&gt;"",1007,"")</f>
        <v/>
      </c>
      <c r="B1014" s="242">
        <f>IF(_PENDIENTES!$B$1008&lt;&gt;"",_PENDIENTES!$A$1008,"")</f>
        <v/>
      </c>
      <c r="C1014" s="302">
        <f>IF(_PENDIENTES!$B$1008&lt;&gt;"",_PENDIENTES!$C$1008,"")</f>
        <v/>
      </c>
      <c r="D1014" s="301">
        <f>IF(_PENDIENTES!$B$1008&lt;&gt;"",_PENDIENTES!$D$1008,"")</f>
        <v/>
      </c>
      <c r="E1014" s="301">
        <f>IF(_PENDIENTES!$B$1008&lt;&gt;"",_PENDIENTES!$E$1008,"")</f>
        <v/>
      </c>
      <c r="F1014" s="301">
        <f>IF(_PENDIENTES!$B$1008&lt;&gt;"",_PENDIENTES!$F$1008,"")</f>
        <v/>
      </c>
      <c r="G1014" s="245">
        <f>IF(_PENDIENTES!$B$1008&lt;&gt;"",_PENDIENTES!$G$1008,"")</f>
        <v/>
      </c>
      <c r="H1014" s="245">
        <f>IF(_PENDIENTES!$B$1008&lt;&gt;"",_PENDIENTES!$H$1008,"")</f>
        <v/>
      </c>
      <c r="I1014" s="302">
        <f>IF(_PENDIENTES!$B$1008&lt;&gt;"",_PENDIENTES!$I$1008,"")</f>
        <v/>
      </c>
      <c r="J1014" s="301">
        <f>IF(_PENDIENTES!$B$1008&lt;&gt;"",_PENDIENTES!$J$1008,"")</f>
        <v/>
      </c>
      <c r="K1014" s="301">
        <f>IF(_PENDIENTES!$B$1008&lt;&gt;"","POR RECOGER","")</f>
        <v/>
      </c>
      <c r="L1014" s="301">
        <f>IF(_PENDIENTES!$B$1008&lt;&gt;"",_PENDIENTES!$K$1008,"")</f>
        <v/>
      </c>
      <c r="M1014" s="284">
        <f>IF(_PENDIENTES!$B$1008&lt;&gt;"",_PENDIENTES!$B$1008,"")</f>
        <v/>
      </c>
      <c r="N1014" s="304">
        <f>IF(_PENDIENTES!$B$1008&lt;&gt;"",_PENDIENTES!$L$1008,"")</f>
        <v/>
      </c>
      <c r="O1014" s="284" t="n"/>
    </row>
    <row r="1015" hidden="1" ht="15.75" customHeight="1" s="195">
      <c r="A1015" s="241">
        <f>IF(_PENDIENTES!$B$1009&lt;&gt;"",1008,"")</f>
        <v/>
      </c>
      <c r="B1015" s="236">
        <f>IF(_PENDIENTES!$B$1009&lt;&gt;"",_PENDIENTES!$A$1009,"")</f>
        <v/>
      </c>
      <c r="C1015" s="305">
        <f>IF(_PENDIENTES!$B$1009&lt;&gt;"",_PENDIENTES!$C$1009,"")</f>
        <v/>
      </c>
      <c r="D1015" s="241">
        <f>IF(_PENDIENTES!$B$1009&lt;&gt;"",_PENDIENTES!$D$1009,"")</f>
        <v/>
      </c>
      <c r="E1015" s="241">
        <f>IF(_PENDIENTES!$B$1009&lt;&gt;"",_PENDIENTES!$E$1009,"")</f>
        <v/>
      </c>
      <c r="F1015" s="241">
        <f>IF(_PENDIENTES!$B$1009&lt;&gt;"",_PENDIENTES!$F$1009,"")</f>
        <v/>
      </c>
      <c r="G1015" s="239">
        <f>IF(_PENDIENTES!$B$1009&lt;&gt;"",_PENDIENTES!$G$1009,"")</f>
        <v/>
      </c>
      <c r="H1015" s="239">
        <f>IF(_PENDIENTES!$B$1009&lt;&gt;"",_PENDIENTES!$H$1009,"")</f>
        <v/>
      </c>
      <c r="I1015" s="305">
        <f>IF(_PENDIENTES!$B$1009&lt;&gt;"",_PENDIENTES!$I$1009,"")</f>
        <v/>
      </c>
      <c r="J1015" s="241">
        <f>IF(_PENDIENTES!$B$1009&lt;&gt;"",_PENDIENTES!$J$1009,"")</f>
        <v/>
      </c>
      <c r="K1015" s="241">
        <f>IF(_PENDIENTES!$B$1009&lt;&gt;"","POR RECOGER","")</f>
        <v/>
      </c>
      <c r="L1015" s="241">
        <f>IF(_PENDIENTES!$B$1009&lt;&gt;"",_PENDIENTES!$K$1009,"")</f>
        <v/>
      </c>
      <c r="M1015" s="284">
        <f>IF(_PENDIENTES!$B$1009&lt;&gt;"",_PENDIENTES!$B$1009,"")</f>
        <v/>
      </c>
      <c r="N1015" s="304">
        <f>IF(_PENDIENTES!$B$1009&lt;&gt;"",_PENDIENTES!$L$1009,"")</f>
        <v/>
      </c>
      <c r="O1015" s="284" t="n"/>
    </row>
    <row r="1016" hidden="1" ht="15.75" customHeight="1" s="195">
      <c r="A1016" s="301">
        <f>IF(_PENDIENTES!$B$1010&lt;&gt;"",1009,"")</f>
        <v/>
      </c>
      <c r="B1016" s="242">
        <f>IF(_PENDIENTES!$B$1010&lt;&gt;"",_PENDIENTES!$A$1010,"")</f>
        <v/>
      </c>
      <c r="C1016" s="302">
        <f>IF(_PENDIENTES!$B$1010&lt;&gt;"",_PENDIENTES!$C$1010,"")</f>
        <v/>
      </c>
      <c r="D1016" s="301">
        <f>IF(_PENDIENTES!$B$1010&lt;&gt;"",_PENDIENTES!$D$1010,"")</f>
        <v/>
      </c>
      <c r="E1016" s="301">
        <f>IF(_PENDIENTES!$B$1010&lt;&gt;"",_PENDIENTES!$E$1010,"")</f>
        <v/>
      </c>
      <c r="F1016" s="301">
        <f>IF(_PENDIENTES!$B$1010&lt;&gt;"",_PENDIENTES!$F$1010,"")</f>
        <v/>
      </c>
      <c r="G1016" s="245">
        <f>IF(_PENDIENTES!$B$1010&lt;&gt;"",_PENDIENTES!$G$1010,"")</f>
        <v/>
      </c>
      <c r="H1016" s="245">
        <f>IF(_PENDIENTES!$B$1010&lt;&gt;"",_PENDIENTES!$H$1010,"")</f>
        <v/>
      </c>
      <c r="I1016" s="302">
        <f>IF(_PENDIENTES!$B$1010&lt;&gt;"",_PENDIENTES!$I$1010,"")</f>
        <v/>
      </c>
      <c r="J1016" s="301">
        <f>IF(_PENDIENTES!$B$1010&lt;&gt;"",_PENDIENTES!$J$1010,"")</f>
        <v/>
      </c>
      <c r="K1016" s="301">
        <f>IF(_PENDIENTES!$B$1010&lt;&gt;"","POR RECOGER","")</f>
        <v/>
      </c>
      <c r="L1016" s="301">
        <f>IF(_PENDIENTES!$B$1010&lt;&gt;"",_PENDIENTES!$K$1010,"")</f>
        <v/>
      </c>
      <c r="M1016" s="284">
        <f>IF(_PENDIENTES!$B$1010&lt;&gt;"",_PENDIENTES!$B$1010,"")</f>
        <v/>
      </c>
      <c r="N1016" s="304">
        <f>IF(_PENDIENTES!$B$1010&lt;&gt;"",_PENDIENTES!$L$1010,"")</f>
        <v/>
      </c>
      <c r="O1016" s="284" t="n"/>
    </row>
    <row r="1017" hidden="1" ht="15.75" customHeight="1" s="195">
      <c r="A1017" s="241">
        <f>IF(_PENDIENTES!$B$1011&lt;&gt;"",1010,"")</f>
        <v/>
      </c>
      <c r="B1017" s="236">
        <f>IF(_PENDIENTES!$B$1011&lt;&gt;"",_PENDIENTES!$A$1011,"")</f>
        <v/>
      </c>
      <c r="C1017" s="305">
        <f>IF(_PENDIENTES!$B$1011&lt;&gt;"",_PENDIENTES!$C$1011,"")</f>
        <v/>
      </c>
      <c r="D1017" s="241">
        <f>IF(_PENDIENTES!$B$1011&lt;&gt;"",_PENDIENTES!$D$1011,"")</f>
        <v/>
      </c>
      <c r="E1017" s="241">
        <f>IF(_PENDIENTES!$B$1011&lt;&gt;"",_PENDIENTES!$E$1011,"")</f>
        <v/>
      </c>
      <c r="F1017" s="241">
        <f>IF(_PENDIENTES!$B$1011&lt;&gt;"",_PENDIENTES!$F$1011,"")</f>
        <v/>
      </c>
      <c r="G1017" s="239">
        <f>IF(_PENDIENTES!$B$1011&lt;&gt;"",_PENDIENTES!$G$1011,"")</f>
        <v/>
      </c>
      <c r="H1017" s="239">
        <f>IF(_PENDIENTES!$B$1011&lt;&gt;"",_PENDIENTES!$H$1011,"")</f>
        <v/>
      </c>
      <c r="I1017" s="305">
        <f>IF(_PENDIENTES!$B$1011&lt;&gt;"",_PENDIENTES!$I$1011,"")</f>
        <v/>
      </c>
      <c r="J1017" s="241">
        <f>IF(_PENDIENTES!$B$1011&lt;&gt;"",_PENDIENTES!$J$1011,"")</f>
        <v/>
      </c>
      <c r="K1017" s="241">
        <f>IF(_PENDIENTES!$B$1011&lt;&gt;"","POR RECOGER","")</f>
        <v/>
      </c>
      <c r="L1017" s="241">
        <f>IF(_PENDIENTES!$B$1011&lt;&gt;"",_PENDIENTES!$K$1011,"")</f>
        <v/>
      </c>
      <c r="M1017" s="284">
        <f>IF(_PENDIENTES!$B$1011&lt;&gt;"",_PENDIENTES!$B$1011,"")</f>
        <v/>
      </c>
      <c r="N1017" s="304">
        <f>IF(_PENDIENTES!$B$1011&lt;&gt;"",_PENDIENTES!$L$1011,"")</f>
        <v/>
      </c>
      <c r="O1017" s="284" t="n"/>
    </row>
    <row r="1018" hidden="1" ht="15.75" customHeight="1" s="195">
      <c r="A1018" s="301">
        <f>IF(_PENDIENTES!$B$1012&lt;&gt;"",1011,"")</f>
        <v/>
      </c>
      <c r="B1018" s="242">
        <f>IF(_PENDIENTES!$B$1012&lt;&gt;"",_PENDIENTES!$A$1012,"")</f>
        <v/>
      </c>
      <c r="C1018" s="302">
        <f>IF(_PENDIENTES!$B$1012&lt;&gt;"",_PENDIENTES!$C$1012,"")</f>
        <v/>
      </c>
      <c r="D1018" s="301">
        <f>IF(_PENDIENTES!$B$1012&lt;&gt;"",_PENDIENTES!$D$1012,"")</f>
        <v/>
      </c>
      <c r="E1018" s="301">
        <f>IF(_PENDIENTES!$B$1012&lt;&gt;"",_PENDIENTES!$E$1012,"")</f>
        <v/>
      </c>
      <c r="F1018" s="301">
        <f>IF(_PENDIENTES!$B$1012&lt;&gt;"",_PENDIENTES!$F$1012,"")</f>
        <v/>
      </c>
      <c r="G1018" s="245">
        <f>IF(_PENDIENTES!$B$1012&lt;&gt;"",_PENDIENTES!$G$1012,"")</f>
        <v/>
      </c>
      <c r="H1018" s="245">
        <f>IF(_PENDIENTES!$B$1012&lt;&gt;"",_PENDIENTES!$H$1012,"")</f>
        <v/>
      </c>
      <c r="I1018" s="302">
        <f>IF(_PENDIENTES!$B$1012&lt;&gt;"",_PENDIENTES!$I$1012,"")</f>
        <v/>
      </c>
      <c r="J1018" s="301">
        <f>IF(_PENDIENTES!$B$1012&lt;&gt;"",_PENDIENTES!$J$1012,"")</f>
        <v/>
      </c>
      <c r="K1018" s="301">
        <f>IF(_PENDIENTES!$B$1012&lt;&gt;"","POR RECOGER","")</f>
        <v/>
      </c>
      <c r="L1018" s="301">
        <f>IF(_PENDIENTES!$B$1012&lt;&gt;"",_PENDIENTES!$K$1012,"")</f>
        <v/>
      </c>
      <c r="M1018" s="284">
        <f>IF(_PENDIENTES!$B$1012&lt;&gt;"",_PENDIENTES!$B$1012,"")</f>
        <v/>
      </c>
      <c r="N1018" s="304">
        <f>IF(_PENDIENTES!$B$1012&lt;&gt;"",_PENDIENTES!$L$1012,"")</f>
        <v/>
      </c>
      <c r="O1018" s="284" t="n"/>
    </row>
    <row r="1019" hidden="1" ht="15.75" customHeight="1" s="195">
      <c r="A1019" s="241">
        <f>IF(_PENDIENTES!$B$1013&lt;&gt;"",1012,"")</f>
        <v/>
      </c>
      <c r="B1019" s="236">
        <f>IF(_PENDIENTES!$B$1013&lt;&gt;"",_PENDIENTES!$A$1013,"")</f>
        <v/>
      </c>
      <c r="C1019" s="305">
        <f>IF(_PENDIENTES!$B$1013&lt;&gt;"",_PENDIENTES!$C$1013,"")</f>
        <v/>
      </c>
      <c r="D1019" s="241">
        <f>IF(_PENDIENTES!$B$1013&lt;&gt;"",_PENDIENTES!$D$1013,"")</f>
        <v/>
      </c>
      <c r="E1019" s="241">
        <f>IF(_PENDIENTES!$B$1013&lt;&gt;"",_PENDIENTES!$E$1013,"")</f>
        <v/>
      </c>
      <c r="F1019" s="241">
        <f>IF(_PENDIENTES!$B$1013&lt;&gt;"",_PENDIENTES!$F$1013,"")</f>
        <v/>
      </c>
      <c r="G1019" s="239">
        <f>IF(_PENDIENTES!$B$1013&lt;&gt;"",_PENDIENTES!$G$1013,"")</f>
        <v/>
      </c>
      <c r="H1019" s="239">
        <f>IF(_PENDIENTES!$B$1013&lt;&gt;"",_PENDIENTES!$H$1013,"")</f>
        <v/>
      </c>
      <c r="I1019" s="305">
        <f>IF(_PENDIENTES!$B$1013&lt;&gt;"",_PENDIENTES!$I$1013,"")</f>
        <v/>
      </c>
      <c r="J1019" s="241">
        <f>IF(_PENDIENTES!$B$1013&lt;&gt;"",_PENDIENTES!$J$1013,"")</f>
        <v/>
      </c>
      <c r="K1019" s="241">
        <f>IF(_PENDIENTES!$B$1013&lt;&gt;"","POR RECOGER","")</f>
        <v/>
      </c>
      <c r="L1019" s="241">
        <f>IF(_PENDIENTES!$B$1013&lt;&gt;"",_PENDIENTES!$K$1013,"")</f>
        <v/>
      </c>
      <c r="M1019" s="284">
        <f>IF(_PENDIENTES!$B$1013&lt;&gt;"",_PENDIENTES!$B$1013,"")</f>
        <v/>
      </c>
      <c r="N1019" s="304">
        <f>IF(_PENDIENTES!$B$1013&lt;&gt;"",_PENDIENTES!$L$1013,"")</f>
        <v/>
      </c>
      <c r="O1019" s="284" t="n"/>
    </row>
    <row r="1020" hidden="1" ht="15.75" customHeight="1" s="195">
      <c r="A1020" s="301">
        <f>IF(_PENDIENTES!$B$1014&lt;&gt;"",1013,"")</f>
        <v/>
      </c>
      <c r="B1020" s="242">
        <f>IF(_PENDIENTES!$B$1014&lt;&gt;"",_PENDIENTES!$A$1014,"")</f>
        <v/>
      </c>
      <c r="C1020" s="302">
        <f>IF(_PENDIENTES!$B$1014&lt;&gt;"",_PENDIENTES!$C$1014,"")</f>
        <v/>
      </c>
      <c r="D1020" s="301">
        <f>IF(_PENDIENTES!$B$1014&lt;&gt;"",_PENDIENTES!$D$1014,"")</f>
        <v/>
      </c>
      <c r="E1020" s="301">
        <f>IF(_PENDIENTES!$B$1014&lt;&gt;"",_PENDIENTES!$E$1014,"")</f>
        <v/>
      </c>
      <c r="F1020" s="301">
        <f>IF(_PENDIENTES!$B$1014&lt;&gt;"",_PENDIENTES!$F$1014,"")</f>
        <v/>
      </c>
      <c r="G1020" s="245">
        <f>IF(_PENDIENTES!$B$1014&lt;&gt;"",_PENDIENTES!$G$1014,"")</f>
        <v/>
      </c>
      <c r="H1020" s="245">
        <f>IF(_PENDIENTES!$B$1014&lt;&gt;"",_PENDIENTES!$H$1014,"")</f>
        <v/>
      </c>
      <c r="I1020" s="302">
        <f>IF(_PENDIENTES!$B$1014&lt;&gt;"",_PENDIENTES!$I$1014,"")</f>
        <v/>
      </c>
      <c r="J1020" s="301">
        <f>IF(_PENDIENTES!$B$1014&lt;&gt;"",_PENDIENTES!$J$1014,"")</f>
        <v/>
      </c>
      <c r="K1020" s="301">
        <f>IF(_PENDIENTES!$B$1014&lt;&gt;"","POR RECOGER","")</f>
        <v/>
      </c>
      <c r="L1020" s="301">
        <f>IF(_PENDIENTES!$B$1014&lt;&gt;"",_PENDIENTES!$K$1014,"")</f>
        <v/>
      </c>
      <c r="M1020" s="284">
        <f>IF(_PENDIENTES!$B$1014&lt;&gt;"",_PENDIENTES!$B$1014,"")</f>
        <v/>
      </c>
      <c r="N1020" s="304">
        <f>IF(_PENDIENTES!$B$1014&lt;&gt;"",_PENDIENTES!$L$1014,"")</f>
        <v/>
      </c>
      <c r="O1020" s="284" t="n"/>
    </row>
    <row r="1021" hidden="1" ht="15.75" customHeight="1" s="195">
      <c r="A1021" s="241">
        <f>IF(_PENDIENTES!$B$1015&lt;&gt;"",1014,"")</f>
        <v/>
      </c>
      <c r="B1021" s="236">
        <f>IF(_PENDIENTES!$B$1015&lt;&gt;"",_PENDIENTES!$A$1015,"")</f>
        <v/>
      </c>
      <c r="C1021" s="305">
        <f>IF(_PENDIENTES!$B$1015&lt;&gt;"",_PENDIENTES!$C$1015,"")</f>
        <v/>
      </c>
      <c r="D1021" s="241">
        <f>IF(_PENDIENTES!$B$1015&lt;&gt;"",_PENDIENTES!$D$1015,"")</f>
        <v/>
      </c>
      <c r="E1021" s="241">
        <f>IF(_PENDIENTES!$B$1015&lt;&gt;"",_PENDIENTES!$E$1015,"")</f>
        <v/>
      </c>
      <c r="F1021" s="241">
        <f>IF(_PENDIENTES!$B$1015&lt;&gt;"",_PENDIENTES!$F$1015,"")</f>
        <v/>
      </c>
      <c r="G1021" s="239">
        <f>IF(_PENDIENTES!$B$1015&lt;&gt;"",_PENDIENTES!$G$1015,"")</f>
        <v/>
      </c>
      <c r="H1021" s="239">
        <f>IF(_PENDIENTES!$B$1015&lt;&gt;"",_PENDIENTES!$H$1015,"")</f>
        <v/>
      </c>
      <c r="I1021" s="305">
        <f>IF(_PENDIENTES!$B$1015&lt;&gt;"",_PENDIENTES!$I$1015,"")</f>
        <v/>
      </c>
      <c r="J1021" s="241">
        <f>IF(_PENDIENTES!$B$1015&lt;&gt;"",_PENDIENTES!$J$1015,"")</f>
        <v/>
      </c>
      <c r="K1021" s="241">
        <f>IF(_PENDIENTES!$B$1015&lt;&gt;"","POR RECOGER","")</f>
        <v/>
      </c>
      <c r="L1021" s="241">
        <f>IF(_PENDIENTES!$B$1015&lt;&gt;"",_PENDIENTES!$K$1015,"")</f>
        <v/>
      </c>
      <c r="M1021" s="284">
        <f>IF(_PENDIENTES!$B$1015&lt;&gt;"",_PENDIENTES!$B$1015,"")</f>
        <v/>
      </c>
      <c r="N1021" s="304">
        <f>IF(_PENDIENTES!$B$1015&lt;&gt;"",_PENDIENTES!$L$1015,"")</f>
        <v/>
      </c>
      <c r="O1021" s="284" t="n"/>
    </row>
    <row r="1022" hidden="1" ht="15.75" customHeight="1" s="195">
      <c r="A1022" s="301">
        <f>IF(_PENDIENTES!$B$1016&lt;&gt;"",1015,"")</f>
        <v/>
      </c>
      <c r="B1022" s="242">
        <f>IF(_PENDIENTES!$B$1016&lt;&gt;"",_PENDIENTES!$A$1016,"")</f>
        <v/>
      </c>
      <c r="C1022" s="302">
        <f>IF(_PENDIENTES!$B$1016&lt;&gt;"",_PENDIENTES!$C$1016,"")</f>
        <v/>
      </c>
      <c r="D1022" s="301">
        <f>IF(_PENDIENTES!$B$1016&lt;&gt;"",_PENDIENTES!$D$1016,"")</f>
        <v/>
      </c>
      <c r="E1022" s="301">
        <f>IF(_PENDIENTES!$B$1016&lt;&gt;"",_PENDIENTES!$E$1016,"")</f>
        <v/>
      </c>
      <c r="F1022" s="301">
        <f>IF(_PENDIENTES!$B$1016&lt;&gt;"",_PENDIENTES!$F$1016,"")</f>
        <v/>
      </c>
      <c r="G1022" s="245">
        <f>IF(_PENDIENTES!$B$1016&lt;&gt;"",_PENDIENTES!$G$1016,"")</f>
        <v/>
      </c>
      <c r="H1022" s="245">
        <f>IF(_PENDIENTES!$B$1016&lt;&gt;"",_PENDIENTES!$H$1016,"")</f>
        <v/>
      </c>
      <c r="I1022" s="302">
        <f>IF(_PENDIENTES!$B$1016&lt;&gt;"",_PENDIENTES!$I$1016,"")</f>
        <v/>
      </c>
      <c r="J1022" s="301">
        <f>IF(_PENDIENTES!$B$1016&lt;&gt;"",_PENDIENTES!$J$1016,"")</f>
        <v/>
      </c>
      <c r="K1022" s="301">
        <f>IF(_PENDIENTES!$B$1016&lt;&gt;"","POR RECOGER","")</f>
        <v/>
      </c>
      <c r="L1022" s="301">
        <f>IF(_PENDIENTES!$B$1016&lt;&gt;"",_PENDIENTES!$K$1016,"")</f>
        <v/>
      </c>
      <c r="M1022" s="284">
        <f>IF(_PENDIENTES!$B$1016&lt;&gt;"",_PENDIENTES!$B$1016,"")</f>
        <v/>
      </c>
      <c r="N1022" s="304">
        <f>IF(_PENDIENTES!$B$1016&lt;&gt;"",_PENDIENTES!$L$1016,"")</f>
        <v/>
      </c>
      <c r="O1022" s="284" t="n"/>
    </row>
    <row r="1023" hidden="1" ht="15.75" customHeight="1" s="195">
      <c r="A1023" s="241">
        <f>IF(_PENDIENTES!$B$1017&lt;&gt;"",1016,"")</f>
        <v/>
      </c>
      <c r="B1023" s="236">
        <f>IF(_PENDIENTES!$B$1017&lt;&gt;"",_PENDIENTES!$A$1017,"")</f>
        <v/>
      </c>
      <c r="C1023" s="305">
        <f>IF(_PENDIENTES!$B$1017&lt;&gt;"",_PENDIENTES!$C$1017,"")</f>
        <v/>
      </c>
      <c r="D1023" s="241">
        <f>IF(_PENDIENTES!$B$1017&lt;&gt;"",_PENDIENTES!$D$1017,"")</f>
        <v/>
      </c>
      <c r="E1023" s="241">
        <f>IF(_PENDIENTES!$B$1017&lt;&gt;"",_PENDIENTES!$E$1017,"")</f>
        <v/>
      </c>
      <c r="F1023" s="241">
        <f>IF(_PENDIENTES!$B$1017&lt;&gt;"",_PENDIENTES!$F$1017,"")</f>
        <v/>
      </c>
      <c r="G1023" s="239">
        <f>IF(_PENDIENTES!$B$1017&lt;&gt;"",_PENDIENTES!$G$1017,"")</f>
        <v/>
      </c>
      <c r="H1023" s="239">
        <f>IF(_PENDIENTES!$B$1017&lt;&gt;"",_PENDIENTES!$H$1017,"")</f>
        <v/>
      </c>
      <c r="I1023" s="305">
        <f>IF(_PENDIENTES!$B$1017&lt;&gt;"",_PENDIENTES!$I$1017,"")</f>
        <v/>
      </c>
      <c r="J1023" s="241">
        <f>IF(_PENDIENTES!$B$1017&lt;&gt;"",_PENDIENTES!$J$1017,"")</f>
        <v/>
      </c>
      <c r="K1023" s="241">
        <f>IF(_PENDIENTES!$B$1017&lt;&gt;"","POR RECOGER","")</f>
        <v/>
      </c>
      <c r="L1023" s="241">
        <f>IF(_PENDIENTES!$B$1017&lt;&gt;"",_PENDIENTES!$K$1017,"")</f>
        <v/>
      </c>
      <c r="M1023" s="284">
        <f>IF(_PENDIENTES!$B$1017&lt;&gt;"",_PENDIENTES!$B$1017,"")</f>
        <v/>
      </c>
      <c r="N1023" s="304">
        <f>IF(_PENDIENTES!$B$1017&lt;&gt;"",_PENDIENTES!$L$1017,"")</f>
        <v/>
      </c>
      <c r="O1023" s="284" t="n"/>
    </row>
    <row r="1024" hidden="1" ht="15.75" customHeight="1" s="195">
      <c r="A1024" s="301">
        <f>IF(_PENDIENTES!$B$1018&lt;&gt;"",1017,"")</f>
        <v/>
      </c>
      <c r="B1024" s="242">
        <f>IF(_PENDIENTES!$B$1018&lt;&gt;"",_PENDIENTES!$A$1018,"")</f>
        <v/>
      </c>
      <c r="C1024" s="302">
        <f>IF(_PENDIENTES!$B$1018&lt;&gt;"",_PENDIENTES!$C$1018,"")</f>
        <v/>
      </c>
      <c r="D1024" s="301">
        <f>IF(_PENDIENTES!$B$1018&lt;&gt;"",_PENDIENTES!$D$1018,"")</f>
        <v/>
      </c>
      <c r="E1024" s="301">
        <f>IF(_PENDIENTES!$B$1018&lt;&gt;"",_PENDIENTES!$E$1018,"")</f>
        <v/>
      </c>
      <c r="F1024" s="301">
        <f>IF(_PENDIENTES!$B$1018&lt;&gt;"",_PENDIENTES!$F$1018,"")</f>
        <v/>
      </c>
      <c r="G1024" s="245">
        <f>IF(_PENDIENTES!$B$1018&lt;&gt;"",_PENDIENTES!$G$1018,"")</f>
        <v/>
      </c>
      <c r="H1024" s="245">
        <f>IF(_PENDIENTES!$B$1018&lt;&gt;"",_PENDIENTES!$H$1018,"")</f>
        <v/>
      </c>
      <c r="I1024" s="302">
        <f>IF(_PENDIENTES!$B$1018&lt;&gt;"",_PENDIENTES!$I$1018,"")</f>
        <v/>
      </c>
      <c r="J1024" s="301">
        <f>IF(_PENDIENTES!$B$1018&lt;&gt;"",_PENDIENTES!$J$1018,"")</f>
        <v/>
      </c>
      <c r="K1024" s="301">
        <f>IF(_PENDIENTES!$B$1018&lt;&gt;"","POR RECOGER","")</f>
        <v/>
      </c>
      <c r="L1024" s="301">
        <f>IF(_PENDIENTES!$B$1018&lt;&gt;"",_PENDIENTES!$K$1018,"")</f>
        <v/>
      </c>
      <c r="M1024" s="284">
        <f>IF(_PENDIENTES!$B$1018&lt;&gt;"",_PENDIENTES!$B$1018,"")</f>
        <v/>
      </c>
      <c r="N1024" s="304">
        <f>IF(_PENDIENTES!$B$1018&lt;&gt;"",_PENDIENTES!$L$1018,"")</f>
        <v/>
      </c>
      <c r="O1024" s="284" t="n"/>
    </row>
    <row r="1025" hidden="1" ht="15.75" customHeight="1" s="195">
      <c r="A1025" s="241">
        <f>IF(_PENDIENTES!$B$1019&lt;&gt;"",1018,"")</f>
        <v/>
      </c>
      <c r="B1025" s="236">
        <f>IF(_PENDIENTES!$B$1019&lt;&gt;"",_PENDIENTES!$A$1019,"")</f>
        <v/>
      </c>
      <c r="C1025" s="305">
        <f>IF(_PENDIENTES!$B$1019&lt;&gt;"",_PENDIENTES!$C$1019,"")</f>
        <v/>
      </c>
      <c r="D1025" s="241">
        <f>IF(_PENDIENTES!$B$1019&lt;&gt;"",_PENDIENTES!$D$1019,"")</f>
        <v/>
      </c>
      <c r="E1025" s="241">
        <f>IF(_PENDIENTES!$B$1019&lt;&gt;"",_PENDIENTES!$E$1019,"")</f>
        <v/>
      </c>
      <c r="F1025" s="241">
        <f>IF(_PENDIENTES!$B$1019&lt;&gt;"",_PENDIENTES!$F$1019,"")</f>
        <v/>
      </c>
      <c r="G1025" s="239">
        <f>IF(_PENDIENTES!$B$1019&lt;&gt;"",_PENDIENTES!$G$1019,"")</f>
        <v/>
      </c>
      <c r="H1025" s="239">
        <f>IF(_PENDIENTES!$B$1019&lt;&gt;"",_PENDIENTES!$H$1019,"")</f>
        <v/>
      </c>
      <c r="I1025" s="305">
        <f>IF(_PENDIENTES!$B$1019&lt;&gt;"",_PENDIENTES!$I$1019,"")</f>
        <v/>
      </c>
      <c r="J1025" s="241">
        <f>IF(_PENDIENTES!$B$1019&lt;&gt;"",_PENDIENTES!$J$1019,"")</f>
        <v/>
      </c>
      <c r="K1025" s="241">
        <f>IF(_PENDIENTES!$B$1019&lt;&gt;"","POR RECOGER","")</f>
        <v/>
      </c>
      <c r="L1025" s="241">
        <f>IF(_PENDIENTES!$B$1019&lt;&gt;"",_PENDIENTES!$K$1019,"")</f>
        <v/>
      </c>
      <c r="M1025" s="284">
        <f>IF(_PENDIENTES!$B$1019&lt;&gt;"",_PENDIENTES!$B$1019,"")</f>
        <v/>
      </c>
      <c r="N1025" s="304">
        <f>IF(_PENDIENTES!$B$1019&lt;&gt;"",_PENDIENTES!$L$1019,"")</f>
        <v/>
      </c>
      <c r="O1025" s="284" t="n"/>
    </row>
    <row r="1026" hidden="1" ht="15.75" customHeight="1" s="195">
      <c r="A1026" s="301">
        <f>IF(_PENDIENTES!$B$1020&lt;&gt;"",1019,"")</f>
        <v/>
      </c>
      <c r="B1026" s="242">
        <f>IF(_PENDIENTES!$B$1020&lt;&gt;"",_PENDIENTES!$A$1020,"")</f>
        <v/>
      </c>
      <c r="C1026" s="302">
        <f>IF(_PENDIENTES!$B$1020&lt;&gt;"",_PENDIENTES!$C$1020,"")</f>
        <v/>
      </c>
      <c r="D1026" s="301">
        <f>IF(_PENDIENTES!$B$1020&lt;&gt;"",_PENDIENTES!$D$1020,"")</f>
        <v/>
      </c>
      <c r="E1026" s="301">
        <f>IF(_PENDIENTES!$B$1020&lt;&gt;"",_PENDIENTES!$E$1020,"")</f>
        <v/>
      </c>
      <c r="F1026" s="301">
        <f>IF(_PENDIENTES!$B$1020&lt;&gt;"",_PENDIENTES!$F$1020,"")</f>
        <v/>
      </c>
      <c r="G1026" s="245">
        <f>IF(_PENDIENTES!$B$1020&lt;&gt;"",_PENDIENTES!$G$1020,"")</f>
        <v/>
      </c>
      <c r="H1026" s="245">
        <f>IF(_PENDIENTES!$B$1020&lt;&gt;"",_PENDIENTES!$H$1020,"")</f>
        <v/>
      </c>
      <c r="I1026" s="302">
        <f>IF(_PENDIENTES!$B$1020&lt;&gt;"",_PENDIENTES!$I$1020,"")</f>
        <v/>
      </c>
      <c r="J1026" s="301">
        <f>IF(_PENDIENTES!$B$1020&lt;&gt;"",_PENDIENTES!$J$1020,"")</f>
        <v/>
      </c>
      <c r="K1026" s="301">
        <f>IF(_PENDIENTES!$B$1020&lt;&gt;"","POR RECOGER","")</f>
        <v/>
      </c>
      <c r="L1026" s="301">
        <f>IF(_PENDIENTES!$B$1020&lt;&gt;"",_PENDIENTES!$K$1020,"")</f>
        <v/>
      </c>
      <c r="M1026" s="284">
        <f>IF(_PENDIENTES!$B$1020&lt;&gt;"",_PENDIENTES!$B$1020,"")</f>
        <v/>
      </c>
      <c r="N1026" s="304">
        <f>IF(_PENDIENTES!$B$1020&lt;&gt;"",_PENDIENTES!$L$1020,"")</f>
        <v/>
      </c>
      <c r="O1026" s="284" t="n"/>
    </row>
    <row r="1027" hidden="1" ht="15.75" customHeight="1" s="195">
      <c r="A1027" s="241">
        <f>IF(_PENDIENTES!$B$1021&lt;&gt;"",1020,"")</f>
        <v/>
      </c>
      <c r="B1027" s="236">
        <f>IF(_PENDIENTES!$B$1021&lt;&gt;"",_PENDIENTES!$A$1021,"")</f>
        <v/>
      </c>
      <c r="C1027" s="305">
        <f>IF(_PENDIENTES!$B$1021&lt;&gt;"",_PENDIENTES!$C$1021,"")</f>
        <v/>
      </c>
      <c r="D1027" s="241">
        <f>IF(_PENDIENTES!$B$1021&lt;&gt;"",_PENDIENTES!$D$1021,"")</f>
        <v/>
      </c>
      <c r="E1027" s="241">
        <f>IF(_PENDIENTES!$B$1021&lt;&gt;"",_PENDIENTES!$E$1021,"")</f>
        <v/>
      </c>
      <c r="F1027" s="241">
        <f>IF(_PENDIENTES!$B$1021&lt;&gt;"",_PENDIENTES!$F$1021,"")</f>
        <v/>
      </c>
      <c r="G1027" s="239">
        <f>IF(_PENDIENTES!$B$1021&lt;&gt;"",_PENDIENTES!$G$1021,"")</f>
        <v/>
      </c>
      <c r="H1027" s="239">
        <f>IF(_PENDIENTES!$B$1021&lt;&gt;"",_PENDIENTES!$H$1021,"")</f>
        <v/>
      </c>
      <c r="I1027" s="305">
        <f>IF(_PENDIENTES!$B$1021&lt;&gt;"",_PENDIENTES!$I$1021,"")</f>
        <v/>
      </c>
      <c r="J1027" s="241">
        <f>IF(_PENDIENTES!$B$1021&lt;&gt;"",_PENDIENTES!$J$1021,"")</f>
        <v/>
      </c>
      <c r="K1027" s="241">
        <f>IF(_PENDIENTES!$B$1021&lt;&gt;"","POR RECOGER","")</f>
        <v/>
      </c>
      <c r="L1027" s="241">
        <f>IF(_PENDIENTES!$B$1021&lt;&gt;"",_PENDIENTES!$K$1021,"")</f>
        <v/>
      </c>
      <c r="M1027" s="284">
        <f>IF(_PENDIENTES!$B$1021&lt;&gt;"",_PENDIENTES!$B$1021,"")</f>
        <v/>
      </c>
      <c r="N1027" s="304">
        <f>IF(_PENDIENTES!$B$1021&lt;&gt;"",_PENDIENTES!$L$1021,"")</f>
        <v/>
      </c>
      <c r="O1027" s="284" t="n"/>
    </row>
    <row r="1028" hidden="1" ht="15.75" customHeight="1" s="195">
      <c r="A1028" s="301">
        <f>IF(_PENDIENTES!$B$1022&lt;&gt;"",1021,"")</f>
        <v/>
      </c>
      <c r="B1028" s="242">
        <f>IF(_PENDIENTES!$B$1022&lt;&gt;"",_PENDIENTES!$A$1022,"")</f>
        <v/>
      </c>
      <c r="C1028" s="302">
        <f>IF(_PENDIENTES!$B$1022&lt;&gt;"",_PENDIENTES!$C$1022,"")</f>
        <v/>
      </c>
      <c r="D1028" s="301">
        <f>IF(_PENDIENTES!$B$1022&lt;&gt;"",_PENDIENTES!$D$1022,"")</f>
        <v/>
      </c>
      <c r="E1028" s="301">
        <f>IF(_PENDIENTES!$B$1022&lt;&gt;"",_PENDIENTES!$E$1022,"")</f>
        <v/>
      </c>
      <c r="F1028" s="301">
        <f>IF(_PENDIENTES!$B$1022&lt;&gt;"",_PENDIENTES!$F$1022,"")</f>
        <v/>
      </c>
      <c r="G1028" s="245">
        <f>IF(_PENDIENTES!$B$1022&lt;&gt;"",_PENDIENTES!$G$1022,"")</f>
        <v/>
      </c>
      <c r="H1028" s="245">
        <f>IF(_PENDIENTES!$B$1022&lt;&gt;"",_PENDIENTES!$H$1022,"")</f>
        <v/>
      </c>
      <c r="I1028" s="302">
        <f>IF(_PENDIENTES!$B$1022&lt;&gt;"",_PENDIENTES!$I$1022,"")</f>
        <v/>
      </c>
      <c r="J1028" s="301">
        <f>IF(_PENDIENTES!$B$1022&lt;&gt;"",_PENDIENTES!$J$1022,"")</f>
        <v/>
      </c>
      <c r="K1028" s="301">
        <f>IF(_PENDIENTES!$B$1022&lt;&gt;"","POR RECOGER","")</f>
        <v/>
      </c>
      <c r="L1028" s="301">
        <f>IF(_PENDIENTES!$B$1022&lt;&gt;"",_PENDIENTES!$K$1022,"")</f>
        <v/>
      </c>
      <c r="M1028" s="284">
        <f>IF(_PENDIENTES!$B$1022&lt;&gt;"",_PENDIENTES!$B$1022,"")</f>
        <v/>
      </c>
      <c r="N1028" s="304">
        <f>IF(_PENDIENTES!$B$1022&lt;&gt;"",_PENDIENTES!$L$1022,"")</f>
        <v/>
      </c>
      <c r="O1028" s="284" t="n"/>
    </row>
    <row r="1029" hidden="1" ht="15.75" customHeight="1" s="195">
      <c r="A1029" s="241">
        <f>IF(_PENDIENTES!$B$1023&lt;&gt;"",1022,"")</f>
        <v/>
      </c>
      <c r="B1029" s="236">
        <f>IF(_PENDIENTES!$B$1023&lt;&gt;"",_PENDIENTES!$A$1023,"")</f>
        <v/>
      </c>
      <c r="C1029" s="305">
        <f>IF(_PENDIENTES!$B$1023&lt;&gt;"",_PENDIENTES!$C$1023,"")</f>
        <v/>
      </c>
      <c r="D1029" s="241">
        <f>IF(_PENDIENTES!$B$1023&lt;&gt;"",_PENDIENTES!$D$1023,"")</f>
        <v/>
      </c>
      <c r="E1029" s="241">
        <f>IF(_PENDIENTES!$B$1023&lt;&gt;"",_PENDIENTES!$E$1023,"")</f>
        <v/>
      </c>
      <c r="F1029" s="241">
        <f>IF(_PENDIENTES!$B$1023&lt;&gt;"",_PENDIENTES!$F$1023,"")</f>
        <v/>
      </c>
      <c r="G1029" s="239">
        <f>IF(_PENDIENTES!$B$1023&lt;&gt;"",_PENDIENTES!$G$1023,"")</f>
        <v/>
      </c>
      <c r="H1029" s="239">
        <f>IF(_PENDIENTES!$B$1023&lt;&gt;"",_PENDIENTES!$H$1023,"")</f>
        <v/>
      </c>
      <c r="I1029" s="305">
        <f>IF(_PENDIENTES!$B$1023&lt;&gt;"",_PENDIENTES!$I$1023,"")</f>
        <v/>
      </c>
      <c r="J1029" s="241">
        <f>IF(_PENDIENTES!$B$1023&lt;&gt;"",_PENDIENTES!$J$1023,"")</f>
        <v/>
      </c>
      <c r="K1029" s="241">
        <f>IF(_PENDIENTES!$B$1023&lt;&gt;"","POR RECOGER","")</f>
        <v/>
      </c>
      <c r="L1029" s="241">
        <f>IF(_PENDIENTES!$B$1023&lt;&gt;"",_PENDIENTES!$K$1023,"")</f>
        <v/>
      </c>
      <c r="M1029" s="284">
        <f>IF(_PENDIENTES!$B$1023&lt;&gt;"",_PENDIENTES!$B$1023,"")</f>
        <v/>
      </c>
      <c r="N1029" s="304">
        <f>IF(_PENDIENTES!$B$1023&lt;&gt;"",_PENDIENTES!$L$1023,"")</f>
        <v/>
      </c>
      <c r="O1029" s="284" t="n"/>
    </row>
    <row r="1030" hidden="1" ht="15.75" customHeight="1" s="195">
      <c r="A1030" s="301">
        <f>IF(_PENDIENTES!$B$1024&lt;&gt;"",1023,"")</f>
        <v/>
      </c>
      <c r="B1030" s="242">
        <f>IF(_PENDIENTES!$B$1024&lt;&gt;"",_PENDIENTES!$A$1024,"")</f>
        <v/>
      </c>
      <c r="C1030" s="302">
        <f>IF(_PENDIENTES!$B$1024&lt;&gt;"",_PENDIENTES!$C$1024,"")</f>
        <v/>
      </c>
      <c r="D1030" s="301">
        <f>IF(_PENDIENTES!$B$1024&lt;&gt;"",_PENDIENTES!$D$1024,"")</f>
        <v/>
      </c>
      <c r="E1030" s="301">
        <f>IF(_PENDIENTES!$B$1024&lt;&gt;"",_PENDIENTES!$E$1024,"")</f>
        <v/>
      </c>
      <c r="F1030" s="301">
        <f>IF(_PENDIENTES!$B$1024&lt;&gt;"",_PENDIENTES!$F$1024,"")</f>
        <v/>
      </c>
      <c r="G1030" s="245">
        <f>IF(_PENDIENTES!$B$1024&lt;&gt;"",_PENDIENTES!$G$1024,"")</f>
        <v/>
      </c>
      <c r="H1030" s="245">
        <f>IF(_PENDIENTES!$B$1024&lt;&gt;"",_PENDIENTES!$H$1024,"")</f>
        <v/>
      </c>
      <c r="I1030" s="302">
        <f>IF(_PENDIENTES!$B$1024&lt;&gt;"",_PENDIENTES!$I$1024,"")</f>
        <v/>
      </c>
      <c r="J1030" s="301">
        <f>IF(_PENDIENTES!$B$1024&lt;&gt;"",_PENDIENTES!$J$1024,"")</f>
        <v/>
      </c>
      <c r="K1030" s="301">
        <f>IF(_PENDIENTES!$B$1024&lt;&gt;"","POR RECOGER","")</f>
        <v/>
      </c>
      <c r="L1030" s="301">
        <f>IF(_PENDIENTES!$B$1024&lt;&gt;"",_PENDIENTES!$K$1024,"")</f>
        <v/>
      </c>
      <c r="M1030" s="284">
        <f>IF(_PENDIENTES!$B$1024&lt;&gt;"",_PENDIENTES!$B$1024,"")</f>
        <v/>
      </c>
      <c r="N1030" s="304">
        <f>IF(_PENDIENTES!$B$1024&lt;&gt;"",_PENDIENTES!$L$1024,"")</f>
        <v/>
      </c>
      <c r="O1030" s="284" t="n"/>
    </row>
    <row r="1031" hidden="1" ht="15.75" customHeight="1" s="195">
      <c r="A1031" s="241">
        <f>IF(_PENDIENTES!$B$1025&lt;&gt;"",1024,"")</f>
        <v/>
      </c>
      <c r="B1031" s="236">
        <f>IF(_PENDIENTES!$B$1025&lt;&gt;"",_PENDIENTES!$A$1025,"")</f>
        <v/>
      </c>
      <c r="C1031" s="305">
        <f>IF(_PENDIENTES!$B$1025&lt;&gt;"",_PENDIENTES!$C$1025,"")</f>
        <v/>
      </c>
      <c r="D1031" s="241">
        <f>IF(_PENDIENTES!$B$1025&lt;&gt;"",_PENDIENTES!$D$1025,"")</f>
        <v/>
      </c>
      <c r="E1031" s="241">
        <f>IF(_PENDIENTES!$B$1025&lt;&gt;"",_PENDIENTES!$E$1025,"")</f>
        <v/>
      </c>
      <c r="F1031" s="241">
        <f>IF(_PENDIENTES!$B$1025&lt;&gt;"",_PENDIENTES!$F$1025,"")</f>
        <v/>
      </c>
      <c r="G1031" s="239">
        <f>IF(_PENDIENTES!$B$1025&lt;&gt;"",_PENDIENTES!$G$1025,"")</f>
        <v/>
      </c>
      <c r="H1031" s="239">
        <f>IF(_PENDIENTES!$B$1025&lt;&gt;"",_PENDIENTES!$H$1025,"")</f>
        <v/>
      </c>
      <c r="I1031" s="305">
        <f>IF(_PENDIENTES!$B$1025&lt;&gt;"",_PENDIENTES!$I$1025,"")</f>
        <v/>
      </c>
      <c r="J1031" s="241">
        <f>IF(_PENDIENTES!$B$1025&lt;&gt;"",_PENDIENTES!$J$1025,"")</f>
        <v/>
      </c>
      <c r="K1031" s="241">
        <f>IF(_PENDIENTES!$B$1025&lt;&gt;"","POR RECOGER","")</f>
        <v/>
      </c>
      <c r="L1031" s="241">
        <f>IF(_PENDIENTES!$B$1025&lt;&gt;"",_PENDIENTES!$K$1025,"")</f>
        <v/>
      </c>
      <c r="M1031" s="284">
        <f>IF(_PENDIENTES!$B$1025&lt;&gt;"",_PENDIENTES!$B$1025,"")</f>
        <v/>
      </c>
      <c r="N1031" s="304">
        <f>IF(_PENDIENTES!$B$1025&lt;&gt;"",_PENDIENTES!$L$1025,"")</f>
        <v/>
      </c>
      <c r="O1031" s="284" t="n"/>
    </row>
    <row r="1032" hidden="1" ht="15.75" customHeight="1" s="195">
      <c r="A1032" s="301">
        <f>IF(_PENDIENTES!$B$1026&lt;&gt;"",1025,"")</f>
        <v/>
      </c>
      <c r="B1032" s="242">
        <f>IF(_PENDIENTES!$B$1026&lt;&gt;"",_PENDIENTES!$A$1026,"")</f>
        <v/>
      </c>
      <c r="C1032" s="302">
        <f>IF(_PENDIENTES!$B$1026&lt;&gt;"",_PENDIENTES!$C$1026,"")</f>
        <v/>
      </c>
      <c r="D1032" s="301">
        <f>IF(_PENDIENTES!$B$1026&lt;&gt;"",_PENDIENTES!$D$1026,"")</f>
        <v/>
      </c>
      <c r="E1032" s="301">
        <f>IF(_PENDIENTES!$B$1026&lt;&gt;"",_PENDIENTES!$E$1026,"")</f>
        <v/>
      </c>
      <c r="F1032" s="301">
        <f>IF(_PENDIENTES!$B$1026&lt;&gt;"",_PENDIENTES!$F$1026,"")</f>
        <v/>
      </c>
      <c r="G1032" s="245">
        <f>IF(_PENDIENTES!$B$1026&lt;&gt;"",_PENDIENTES!$G$1026,"")</f>
        <v/>
      </c>
      <c r="H1032" s="245">
        <f>IF(_PENDIENTES!$B$1026&lt;&gt;"",_PENDIENTES!$H$1026,"")</f>
        <v/>
      </c>
      <c r="I1032" s="302">
        <f>IF(_PENDIENTES!$B$1026&lt;&gt;"",_PENDIENTES!$I$1026,"")</f>
        <v/>
      </c>
      <c r="J1032" s="301">
        <f>IF(_PENDIENTES!$B$1026&lt;&gt;"",_PENDIENTES!$J$1026,"")</f>
        <v/>
      </c>
      <c r="K1032" s="301">
        <f>IF(_PENDIENTES!$B$1026&lt;&gt;"","POR RECOGER","")</f>
        <v/>
      </c>
      <c r="L1032" s="301">
        <f>IF(_PENDIENTES!$B$1026&lt;&gt;"",_PENDIENTES!$K$1026,"")</f>
        <v/>
      </c>
      <c r="M1032" s="284">
        <f>IF(_PENDIENTES!$B$1026&lt;&gt;"",_PENDIENTES!$B$1026,"")</f>
        <v/>
      </c>
      <c r="N1032" s="304">
        <f>IF(_PENDIENTES!$B$1026&lt;&gt;"",_PENDIENTES!$L$1026,"")</f>
        <v/>
      </c>
      <c r="O1032" s="284" t="n"/>
    </row>
    <row r="1033" hidden="1" ht="15.75" customHeight="1" s="195">
      <c r="A1033" s="241">
        <f>IF(_PENDIENTES!$B$1027&lt;&gt;"",1026,"")</f>
        <v/>
      </c>
      <c r="B1033" s="236">
        <f>IF(_PENDIENTES!$B$1027&lt;&gt;"",_PENDIENTES!$A$1027,"")</f>
        <v/>
      </c>
      <c r="C1033" s="305">
        <f>IF(_PENDIENTES!$B$1027&lt;&gt;"",_PENDIENTES!$C$1027,"")</f>
        <v/>
      </c>
      <c r="D1033" s="241">
        <f>IF(_PENDIENTES!$B$1027&lt;&gt;"",_PENDIENTES!$D$1027,"")</f>
        <v/>
      </c>
      <c r="E1033" s="241">
        <f>IF(_PENDIENTES!$B$1027&lt;&gt;"",_PENDIENTES!$E$1027,"")</f>
        <v/>
      </c>
      <c r="F1033" s="241">
        <f>IF(_PENDIENTES!$B$1027&lt;&gt;"",_PENDIENTES!$F$1027,"")</f>
        <v/>
      </c>
      <c r="G1033" s="239">
        <f>IF(_PENDIENTES!$B$1027&lt;&gt;"",_PENDIENTES!$G$1027,"")</f>
        <v/>
      </c>
      <c r="H1033" s="239">
        <f>IF(_PENDIENTES!$B$1027&lt;&gt;"",_PENDIENTES!$H$1027,"")</f>
        <v/>
      </c>
      <c r="I1033" s="305">
        <f>IF(_PENDIENTES!$B$1027&lt;&gt;"",_PENDIENTES!$I$1027,"")</f>
        <v/>
      </c>
      <c r="J1033" s="241">
        <f>IF(_PENDIENTES!$B$1027&lt;&gt;"",_PENDIENTES!$J$1027,"")</f>
        <v/>
      </c>
      <c r="K1033" s="241">
        <f>IF(_PENDIENTES!$B$1027&lt;&gt;"","POR RECOGER","")</f>
        <v/>
      </c>
      <c r="L1033" s="241">
        <f>IF(_PENDIENTES!$B$1027&lt;&gt;"",_PENDIENTES!$K$1027,"")</f>
        <v/>
      </c>
      <c r="M1033" s="284">
        <f>IF(_PENDIENTES!$B$1027&lt;&gt;"",_PENDIENTES!$B$1027,"")</f>
        <v/>
      </c>
      <c r="N1033" s="304">
        <f>IF(_PENDIENTES!$B$1027&lt;&gt;"",_PENDIENTES!$L$1027,"")</f>
        <v/>
      </c>
      <c r="O1033" s="284" t="n"/>
    </row>
    <row r="1034" hidden="1" ht="15.75" customHeight="1" s="195">
      <c r="A1034" s="301">
        <f>IF(_PENDIENTES!$B$1028&lt;&gt;"",1027,"")</f>
        <v/>
      </c>
      <c r="B1034" s="242">
        <f>IF(_PENDIENTES!$B$1028&lt;&gt;"",_PENDIENTES!$A$1028,"")</f>
        <v/>
      </c>
      <c r="C1034" s="302">
        <f>IF(_PENDIENTES!$B$1028&lt;&gt;"",_PENDIENTES!$C$1028,"")</f>
        <v/>
      </c>
      <c r="D1034" s="301">
        <f>IF(_PENDIENTES!$B$1028&lt;&gt;"",_PENDIENTES!$D$1028,"")</f>
        <v/>
      </c>
      <c r="E1034" s="301">
        <f>IF(_PENDIENTES!$B$1028&lt;&gt;"",_PENDIENTES!$E$1028,"")</f>
        <v/>
      </c>
      <c r="F1034" s="301">
        <f>IF(_PENDIENTES!$B$1028&lt;&gt;"",_PENDIENTES!$F$1028,"")</f>
        <v/>
      </c>
      <c r="G1034" s="245">
        <f>IF(_PENDIENTES!$B$1028&lt;&gt;"",_PENDIENTES!$G$1028,"")</f>
        <v/>
      </c>
      <c r="H1034" s="245">
        <f>IF(_PENDIENTES!$B$1028&lt;&gt;"",_PENDIENTES!$H$1028,"")</f>
        <v/>
      </c>
      <c r="I1034" s="302">
        <f>IF(_PENDIENTES!$B$1028&lt;&gt;"",_PENDIENTES!$I$1028,"")</f>
        <v/>
      </c>
      <c r="J1034" s="301">
        <f>IF(_PENDIENTES!$B$1028&lt;&gt;"",_PENDIENTES!$J$1028,"")</f>
        <v/>
      </c>
      <c r="K1034" s="301">
        <f>IF(_PENDIENTES!$B$1028&lt;&gt;"","POR RECOGER","")</f>
        <v/>
      </c>
      <c r="L1034" s="301">
        <f>IF(_PENDIENTES!$B$1028&lt;&gt;"",_PENDIENTES!$K$1028,"")</f>
        <v/>
      </c>
      <c r="M1034" s="284">
        <f>IF(_PENDIENTES!$B$1028&lt;&gt;"",_PENDIENTES!$B$1028,"")</f>
        <v/>
      </c>
      <c r="N1034" s="304">
        <f>IF(_PENDIENTES!$B$1028&lt;&gt;"",_PENDIENTES!$L$1028,"")</f>
        <v/>
      </c>
      <c r="O1034" s="284" t="n"/>
    </row>
    <row r="1035" hidden="1" ht="15.75" customHeight="1" s="195">
      <c r="A1035" s="241">
        <f>IF(_PENDIENTES!$B$1029&lt;&gt;"",1028,"")</f>
        <v/>
      </c>
      <c r="B1035" s="236">
        <f>IF(_PENDIENTES!$B$1029&lt;&gt;"",_PENDIENTES!$A$1029,"")</f>
        <v/>
      </c>
      <c r="C1035" s="305">
        <f>IF(_PENDIENTES!$B$1029&lt;&gt;"",_PENDIENTES!$C$1029,"")</f>
        <v/>
      </c>
      <c r="D1035" s="241">
        <f>IF(_PENDIENTES!$B$1029&lt;&gt;"",_PENDIENTES!$D$1029,"")</f>
        <v/>
      </c>
      <c r="E1035" s="241">
        <f>IF(_PENDIENTES!$B$1029&lt;&gt;"",_PENDIENTES!$E$1029,"")</f>
        <v/>
      </c>
      <c r="F1035" s="241">
        <f>IF(_PENDIENTES!$B$1029&lt;&gt;"",_PENDIENTES!$F$1029,"")</f>
        <v/>
      </c>
      <c r="G1035" s="239">
        <f>IF(_PENDIENTES!$B$1029&lt;&gt;"",_PENDIENTES!$G$1029,"")</f>
        <v/>
      </c>
      <c r="H1035" s="239">
        <f>IF(_PENDIENTES!$B$1029&lt;&gt;"",_PENDIENTES!$H$1029,"")</f>
        <v/>
      </c>
      <c r="I1035" s="305">
        <f>IF(_PENDIENTES!$B$1029&lt;&gt;"",_PENDIENTES!$I$1029,"")</f>
        <v/>
      </c>
      <c r="J1035" s="241">
        <f>IF(_PENDIENTES!$B$1029&lt;&gt;"",_PENDIENTES!$J$1029,"")</f>
        <v/>
      </c>
      <c r="K1035" s="241">
        <f>IF(_PENDIENTES!$B$1029&lt;&gt;"","POR RECOGER","")</f>
        <v/>
      </c>
      <c r="L1035" s="241">
        <f>IF(_PENDIENTES!$B$1029&lt;&gt;"",_PENDIENTES!$K$1029,"")</f>
        <v/>
      </c>
      <c r="M1035" s="284">
        <f>IF(_PENDIENTES!$B$1029&lt;&gt;"",_PENDIENTES!$B$1029,"")</f>
        <v/>
      </c>
      <c r="N1035" s="304">
        <f>IF(_PENDIENTES!$B$1029&lt;&gt;"",_PENDIENTES!$L$1029,"")</f>
        <v/>
      </c>
      <c r="O1035" s="284" t="n"/>
    </row>
    <row r="1036" hidden="1" ht="15.75" customHeight="1" s="195">
      <c r="A1036" s="301">
        <f>IF(_PENDIENTES!$B$1030&lt;&gt;"",1029,"")</f>
        <v/>
      </c>
      <c r="B1036" s="242">
        <f>IF(_PENDIENTES!$B$1030&lt;&gt;"",_PENDIENTES!$A$1030,"")</f>
        <v/>
      </c>
      <c r="C1036" s="302">
        <f>IF(_PENDIENTES!$B$1030&lt;&gt;"",_PENDIENTES!$C$1030,"")</f>
        <v/>
      </c>
      <c r="D1036" s="301">
        <f>IF(_PENDIENTES!$B$1030&lt;&gt;"",_PENDIENTES!$D$1030,"")</f>
        <v/>
      </c>
      <c r="E1036" s="301">
        <f>IF(_PENDIENTES!$B$1030&lt;&gt;"",_PENDIENTES!$E$1030,"")</f>
        <v/>
      </c>
      <c r="F1036" s="301">
        <f>IF(_PENDIENTES!$B$1030&lt;&gt;"",_PENDIENTES!$F$1030,"")</f>
        <v/>
      </c>
      <c r="G1036" s="245">
        <f>IF(_PENDIENTES!$B$1030&lt;&gt;"",_PENDIENTES!$G$1030,"")</f>
        <v/>
      </c>
      <c r="H1036" s="245">
        <f>IF(_PENDIENTES!$B$1030&lt;&gt;"",_PENDIENTES!$H$1030,"")</f>
        <v/>
      </c>
      <c r="I1036" s="302">
        <f>IF(_PENDIENTES!$B$1030&lt;&gt;"",_PENDIENTES!$I$1030,"")</f>
        <v/>
      </c>
      <c r="J1036" s="301">
        <f>IF(_PENDIENTES!$B$1030&lt;&gt;"",_PENDIENTES!$J$1030,"")</f>
        <v/>
      </c>
      <c r="K1036" s="301">
        <f>IF(_PENDIENTES!$B$1030&lt;&gt;"","POR RECOGER","")</f>
        <v/>
      </c>
      <c r="L1036" s="301">
        <f>IF(_PENDIENTES!$B$1030&lt;&gt;"",_PENDIENTES!$K$1030,"")</f>
        <v/>
      </c>
      <c r="M1036" s="284">
        <f>IF(_PENDIENTES!$B$1030&lt;&gt;"",_PENDIENTES!$B$1030,"")</f>
        <v/>
      </c>
      <c r="N1036" s="304">
        <f>IF(_PENDIENTES!$B$1030&lt;&gt;"",_PENDIENTES!$L$1030,"")</f>
        <v/>
      </c>
      <c r="O1036" s="284" t="n"/>
    </row>
    <row r="1037" hidden="1" ht="15.75" customHeight="1" s="195">
      <c r="A1037" s="241">
        <f>IF(_PENDIENTES!$B$1031&lt;&gt;"",1030,"")</f>
        <v/>
      </c>
      <c r="B1037" s="236">
        <f>IF(_PENDIENTES!$B$1031&lt;&gt;"",_PENDIENTES!$A$1031,"")</f>
        <v/>
      </c>
      <c r="C1037" s="305">
        <f>IF(_PENDIENTES!$B$1031&lt;&gt;"",_PENDIENTES!$C$1031,"")</f>
        <v/>
      </c>
      <c r="D1037" s="241">
        <f>IF(_PENDIENTES!$B$1031&lt;&gt;"",_PENDIENTES!$D$1031,"")</f>
        <v/>
      </c>
      <c r="E1037" s="241">
        <f>IF(_PENDIENTES!$B$1031&lt;&gt;"",_PENDIENTES!$E$1031,"")</f>
        <v/>
      </c>
      <c r="F1037" s="241">
        <f>IF(_PENDIENTES!$B$1031&lt;&gt;"",_PENDIENTES!$F$1031,"")</f>
        <v/>
      </c>
      <c r="G1037" s="239">
        <f>IF(_PENDIENTES!$B$1031&lt;&gt;"",_PENDIENTES!$G$1031,"")</f>
        <v/>
      </c>
      <c r="H1037" s="239">
        <f>IF(_PENDIENTES!$B$1031&lt;&gt;"",_PENDIENTES!$H$1031,"")</f>
        <v/>
      </c>
      <c r="I1037" s="305">
        <f>IF(_PENDIENTES!$B$1031&lt;&gt;"",_PENDIENTES!$I$1031,"")</f>
        <v/>
      </c>
      <c r="J1037" s="241">
        <f>IF(_PENDIENTES!$B$1031&lt;&gt;"",_PENDIENTES!$J$1031,"")</f>
        <v/>
      </c>
      <c r="K1037" s="241">
        <f>IF(_PENDIENTES!$B$1031&lt;&gt;"","POR RECOGER","")</f>
        <v/>
      </c>
      <c r="L1037" s="241">
        <f>IF(_PENDIENTES!$B$1031&lt;&gt;"",_PENDIENTES!$K$1031,"")</f>
        <v/>
      </c>
      <c r="M1037" s="284">
        <f>IF(_PENDIENTES!$B$1031&lt;&gt;"",_PENDIENTES!$B$1031,"")</f>
        <v/>
      </c>
      <c r="N1037" s="304">
        <f>IF(_PENDIENTES!$B$1031&lt;&gt;"",_PENDIENTES!$L$1031,"")</f>
        <v/>
      </c>
      <c r="O1037" s="284" t="n"/>
    </row>
    <row r="1038" hidden="1" ht="15.75" customHeight="1" s="195">
      <c r="A1038" s="301">
        <f>IF(_PENDIENTES!$B$1032&lt;&gt;"",1031,"")</f>
        <v/>
      </c>
      <c r="B1038" s="242">
        <f>IF(_PENDIENTES!$B$1032&lt;&gt;"",_PENDIENTES!$A$1032,"")</f>
        <v/>
      </c>
      <c r="C1038" s="302">
        <f>IF(_PENDIENTES!$B$1032&lt;&gt;"",_PENDIENTES!$C$1032,"")</f>
        <v/>
      </c>
      <c r="D1038" s="301">
        <f>IF(_PENDIENTES!$B$1032&lt;&gt;"",_PENDIENTES!$D$1032,"")</f>
        <v/>
      </c>
      <c r="E1038" s="301">
        <f>IF(_PENDIENTES!$B$1032&lt;&gt;"",_PENDIENTES!$E$1032,"")</f>
        <v/>
      </c>
      <c r="F1038" s="301">
        <f>IF(_PENDIENTES!$B$1032&lt;&gt;"",_PENDIENTES!$F$1032,"")</f>
        <v/>
      </c>
      <c r="G1038" s="245">
        <f>IF(_PENDIENTES!$B$1032&lt;&gt;"",_PENDIENTES!$G$1032,"")</f>
        <v/>
      </c>
      <c r="H1038" s="245">
        <f>IF(_PENDIENTES!$B$1032&lt;&gt;"",_PENDIENTES!$H$1032,"")</f>
        <v/>
      </c>
      <c r="I1038" s="302">
        <f>IF(_PENDIENTES!$B$1032&lt;&gt;"",_PENDIENTES!$I$1032,"")</f>
        <v/>
      </c>
      <c r="J1038" s="301">
        <f>IF(_PENDIENTES!$B$1032&lt;&gt;"",_PENDIENTES!$J$1032,"")</f>
        <v/>
      </c>
      <c r="K1038" s="301">
        <f>IF(_PENDIENTES!$B$1032&lt;&gt;"","POR RECOGER","")</f>
        <v/>
      </c>
      <c r="L1038" s="301">
        <f>IF(_PENDIENTES!$B$1032&lt;&gt;"",_PENDIENTES!$K$1032,"")</f>
        <v/>
      </c>
      <c r="M1038" s="284">
        <f>IF(_PENDIENTES!$B$1032&lt;&gt;"",_PENDIENTES!$B$1032,"")</f>
        <v/>
      </c>
      <c r="N1038" s="304">
        <f>IF(_PENDIENTES!$B$1032&lt;&gt;"",_PENDIENTES!$L$1032,"")</f>
        <v/>
      </c>
      <c r="O1038" s="284" t="n"/>
    </row>
    <row r="1039" hidden="1" ht="15.75" customHeight="1" s="195">
      <c r="A1039" s="241">
        <f>IF(_PENDIENTES!$B$1033&lt;&gt;"",1032,"")</f>
        <v/>
      </c>
      <c r="B1039" s="236">
        <f>IF(_PENDIENTES!$B$1033&lt;&gt;"",_PENDIENTES!$A$1033,"")</f>
        <v/>
      </c>
      <c r="C1039" s="305">
        <f>IF(_PENDIENTES!$B$1033&lt;&gt;"",_PENDIENTES!$C$1033,"")</f>
        <v/>
      </c>
      <c r="D1039" s="241">
        <f>IF(_PENDIENTES!$B$1033&lt;&gt;"",_PENDIENTES!$D$1033,"")</f>
        <v/>
      </c>
      <c r="E1039" s="241">
        <f>IF(_PENDIENTES!$B$1033&lt;&gt;"",_PENDIENTES!$E$1033,"")</f>
        <v/>
      </c>
      <c r="F1039" s="241">
        <f>IF(_PENDIENTES!$B$1033&lt;&gt;"",_PENDIENTES!$F$1033,"")</f>
        <v/>
      </c>
      <c r="G1039" s="239">
        <f>IF(_PENDIENTES!$B$1033&lt;&gt;"",_PENDIENTES!$G$1033,"")</f>
        <v/>
      </c>
      <c r="H1039" s="239">
        <f>IF(_PENDIENTES!$B$1033&lt;&gt;"",_PENDIENTES!$H$1033,"")</f>
        <v/>
      </c>
      <c r="I1039" s="305">
        <f>IF(_PENDIENTES!$B$1033&lt;&gt;"",_PENDIENTES!$I$1033,"")</f>
        <v/>
      </c>
      <c r="J1039" s="241">
        <f>IF(_PENDIENTES!$B$1033&lt;&gt;"",_PENDIENTES!$J$1033,"")</f>
        <v/>
      </c>
      <c r="K1039" s="241">
        <f>IF(_PENDIENTES!$B$1033&lt;&gt;"","POR RECOGER","")</f>
        <v/>
      </c>
      <c r="L1039" s="241">
        <f>IF(_PENDIENTES!$B$1033&lt;&gt;"",_PENDIENTES!$K$1033,"")</f>
        <v/>
      </c>
      <c r="M1039" s="284">
        <f>IF(_PENDIENTES!$B$1033&lt;&gt;"",_PENDIENTES!$B$1033,"")</f>
        <v/>
      </c>
      <c r="N1039" s="304">
        <f>IF(_PENDIENTES!$B$1033&lt;&gt;"",_PENDIENTES!$L$1033,"")</f>
        <v/>
      </c>
      <c r="O1039" s="284" t="n"/>
    </row>
    <row r="1040" hidden="1" ht="15.75" customHeight="1" s="195">
      <c r="A1040" s="301">
        <f>IF(_PENDIENTES!$B$1034&lt;&gt;"",1033,"")</f>
        <v/>
      </c>
      <c r="B1040" s="242">
        <f>IF(_PENDIENTES!$B$1034&lt;&gt;"",_PENDIENTES!$A$1034,"")</f>
        <v/>
      </c>
      <c r="C1040" s="302">
        <f>IF(_PENDIENTES!$B$1034&lt;&gt;"",_PENDIENTES!$C$1034,"")</f>
        <v/>
      </c>
      <c r="D1040" s="301">
        <f>IF(_PENDIENTES!$B$1034&lt;&gt;"",_PENDIENTES!$D$1034,"")</f>
        <v/>
      </c>
      <c r="E1040" s="301">
        <f>IF(_PENDIENTES!$B$1034&lt;&gt;"",_PENDIENTES!$E$1034,"")</f>
        <v/>
      </c>
      <c r="F1040" s="301">
        <f>IF(_PENDIENTES!$B$1034&lt;&gt;"",_PENDIENTES!$F$1034,"")</f>
        <v/>
      </c>
      <c r="G1040" s="245">
        <f>IF(_PENDIENTES!$B$1034&lt;&gt;"",_PENDIENTES!$G$1034,"")</f>
        <v/>
      </c>
      <c r="H1040" s="245">
        <f>IF(_PENDIENTES!$B$1034&lt;&gt;"",_PENDIENTES!$H$1034,"")</f>
        <v/>
      </c>
      <c r="I1040" s="302">
        <f>IF(_PENDIENTES!$B$1034&lt;&gt;"",_PENDIENTES!$I$1034,"")</f>
        <v/>
      </c>
      <c r="J1040" s="301">
        <f>IF(_PENDIENTES!$B$1034&lt;&gt;"",_PENDIENTES!$J$1034,"")</f>
        <v/>
      </c>
      <c r="K1040" s="301">
        <f>IF(_PENDIENTES!$B$1034&lt;&gt;"","POR RECOGER","")</f>
        <v/>
      </c>
      <c r="L1040" s="301">
        <f>IF(_PENDIENTES!$B$1034&lt;&gt;"",_PENDIENTES!$K$1034,"")</f>
        <v/>
      </c>
      <c r="M1040" s="284">
        <f>IF(_PENDIENTES!$B$1034&lt;&gt;"",_PENDIENTES!$B$1034,"")</f>
        <v/>
      </c>
      <c r="N1040" s="304">
        <f>IF(_PENDIENTES!$B$1034&lt;&gt;"",_PENDIENTES!$L$1034,"")</f>
        <v/>
      </c>
      <c r="O1040" s="284" t="n"/>
    </row>
    <row r="1041" hidden="1" ht="15.75" customHeight="1" s="195">
      <c r="A1041" s="241">
        <f>IF(_PENDIENTES!$B$1035&lt;&gt;"",1034,"")</f>
        <v/>
      </c>
      <c r="B1041" s="236">
        <f>IF(_PENDIENTES!$B$1035&lt;&gt;"",_PENDIENTES!$A$1035,"")</f>
        <v/>
      </c>
      <c r="C1041" s="305">
        <f>IF(_PENDIENTES!$B$1035&lt;&gt;"",_PENDIENTES!$C$1035,"")</f>
        <v/>
      </c>
      <c r="D1041" s="241">
        <f>IF(_PENDIENTES!$B$1035&lt;&gt;"",_PENDIENTES!$D$1035,"")</f>
        <v/>
      </c>
      <c r="E1041" s="241">
        <f>IF(_PENDIENTES!$B$1035&lt;&gt;"",_PENDIENTES!$E$1035,"")</f>
        <v/>
      </c>
      <c r="F1041" s="241">
        <f>IF(_PENDIENTES!$B$1035&lt;&gt;"",_PENDIENTES!$F$1035,"")</f>
        <v/>
      </c>
      <c r="G1041" s="239">
        <f>IF(_PENDIENTES!$B$1035&lt;&gt;"",_PENDIENTES!$G$1035,"")</f>
        <v/>
      </c>
      <c r="H1041" s="239">
        <f>IF(_PENDIENTES!$B$1035&lt;&gt;"",_PENDIENTES!$H$1035,"")</f>
        <v/>
      </c>
      <c r="I1041" s="305">
        <f>IF(_PENDIENTES!$B$1035&lt;&gt;"",_PENDIENTES!$I$1035,"")</f>
        <v/>
      </c>
      <c r="J1041" s="241">
        <f>IF(_PENDIENTES!$B$1035&lt;&gt;"",_PENDIENTES!$J$1035,"")</f>
        <v/>
      </c>
      <c r="K1041" s="241">
        <f>IF(_PENDIENTES!$B$1035&lt;&gt;"","POR RECOGER","")</f>
        <v/>
      </c>
      <c r="L1041" s="241">
        <f>IF(_PENDIENTES!$B$1035&lt;&gt;"",_PENDIENTES!$K$1035,"")</f>
        <v/>
      </c>
      <c r="M1041" s="284">
        <f>IF(_PENDIENTES!$B$1035&lt;&gt;"",_PENDIENTES!$B$1035,"")</f>
        <v/>
      </c>
      <c r="N1041" s="304">
        <f>IF(_PENDIENTES!$B$1035&lt;&gt;"",_PENDIENTES!$L$1035,"")</f>
        <v/>
      </c>
      <c r="O1041" s="284" t="n"/>
    </row>
    <row r="1042" hidden="1" ht="15.75" customHeight="1" s="195">
      <c r="A1042" s="301">
        <f>IF(_PENDIENTES!$B$1036&lt;&gt;"",1035,"")</f>
        <v/>
      </c>
      <c r="B1042" s="242">
        <f>IF(_PENDIENTES!$B$1036&lt;&gt;"",_PENDIENTES!$A$1036,"")</f>
        <v/>
      </c>
      <c r="C1042" s="302">
        <f>IF(_PENDIENTES!$B$1036&lt;&gt;"",_PENDIENTES!$C$1036,"")</f>
        <v/>
      </c>
      <c r="D1042" s="301">
        <f>IF(_PENDIENTES!$B$1036&lt;&gt;"",_PENDIENTES!$D$1036,"")</f>
        <v/>
      </c>
      <c r="E1042" s="301">
        <f>IF(_PENDIENTES!$B$1036&lt;&gt;"",_PENDIENTES!$E$1036,"")</f>
        <v/>
      </c>
      <c r="F1042" s="301">
        <f>IF(_PENDIENTES!$B$1036&lt;&gt;"",_PENDIENTES!$F$1036,"")</f>
        <v/>
      </c>
      <c r="G1042" s="245">
        <f>IF(_PENDIENTES!$B$1036&lt;&gt;"",_PENDIENTES!$G$1036,"")</f>
        <v/>
      </c>
      <c r="H1042" s="245">
        <f>IF(_PENDIENTES!$B$1036&lt;&gt;"",_PENDIENTES!$H$1036,"")</f>
        <v/>
      </c>
      <c r="I1042" s="302">
        <f>IF(_PENDIENTES!$B$1036&lt;&gt;"",_PENDIENTES!$I$1036,"")</f>
        <v/>
      </c>
      <c r="J1042" s="301">
        <f>IF(_PENDIENTES!$B$1036&lt;&gt;"",_PENDIENTES!$J$1036,"")</f>
        <v/>
      </c>
      <c r="K1042" s="301">
        <f>IF(_PENDIENTES!$B$1036&lt;&gt;"","POR RECOGER","")</f>
        <v/>
      </c>
      <c r="L1042" s="301">
        <f>IF(_PENDIENTES!$B$1036&lt;&gt;"",_PENDIENTES!$K$1036,"")</f>
        <v/>
      </c>
      <c r="M1042" s="284">
        <f>IF(_PENDIENTES!$B$1036&lt;&gt;"",_PENDIENTES!$B$1036,"")</f>
        <v/>
      </c>
      <c r="N1042" s="304">
        <f>IF(_PENDIENTES!$B$1036&lt;&gt;"",_PENDIENTES!$L$1036,"")</f>
        <v/>
      </c>
      <c r="O1042" s="284" t="n"/>
    </row>
    <row r="1043" hidden="1" ht="15.75" customHeight="1" s="195">
      <c r="A1043" s="241">
        <f>IF(_PENDIENTES!$B$1037&lt;&gt;"",1036,"")</f>
        <v/>
      </c>
      <c r="B1043" s="236">
        <f>IF(_PENDIENTES!$B$1037&lt;&gt;"",_PENDIENTES!$A$1037,"")</f>
        <v/>
      </c>
      <c r="C1043" s="305">
        <f>IF(_PENDIENTES!$B$1037&lt;&gt;"",_PENDIENTES!$C$1037,"")</f>
        <v/>
      </c>
      <c r="D1043" s="241">
        <f>IF(_PENDIENTES!$B$1037&lt;&gt;"",_PENDIENTES!$D$1037,"")</f>
        <v/>
      </c>
      <c r="E1043" s="241">
        <f>IF(_PENDIENTES!$B$1037&lt;&gt;"",_PENDIENTES!$E$1037,"")</f>
        <v/>
      </c>
      <c r="F1043" s="241">
        <f>IF(_PENDIENTES!$B$1037&lt;&gt;"",_PENDIENTES!$F$1037,"")</f>
        <v/>
      </c>
      <c r="G1043" s="239">
        <f>IF(_PENDIENTES!$B$1037&lt;&gt;"",_PENDIENTES!$G$1037,"")</f>
        <v/>
      </c>
      <c r="H1043" s="239">
        <f>IF(_PENDIENTES!$B$1037&lt;&gt;"",_PENDIENTES!$H$1037,"")</f>
        <v/>
      </c>
      <c r="I1043" s="305">
        <f>IF(_PENDIENTES!$B$1037&lt;&gt;"",_PENDIENTES!$I$1037,"")</f>
        <v/>
      </c>
      <c r="J1043" s="241">
        <f>IF(_PENDIENTES!$B$1037&lt;&gt;"",_PENDIENTES!$J$1037,"")</f>
        <v/>
      </c>
      <c r="K1043" s="241">
        <f>IF(_PENDIENTES!$B$1037&lt;&gt;"","POR RECOGER","")</f>
        <v/>
      </c>
      <c r="L1043" s="241">
        <f>IF(_PENDIENTES!$B$1037&lt;&gt;"",_PENDIENTES!$K$1037,"")</f>
        <v/>
      </c>
      <c r="M1043" s="284">
        <f>IF(_PENDIENTES!$B$1037&lt;&gt;"",_PENDIENTES!$B$1037,"")</f>
        <v/>
      </c>
      <c r="N1043" s="304">
        <f>IF(_PENDIENTES!$B$1037&lt;&gt;"",_PENDIENTES!$L$1037,"")</f>
        <v/>
      </c>
      <c r="O1043" s="284" t="n"/>
    </row>
    <row r="1044" hidden="1" ht="15.75" customHeight="1" s="195">
      <c r="A1044" s="301">
        <f>IF(_PENDIENTES!$B$1038&lt;&gt;"",1037,"")</f>
        <v/>
      </c>
      <c r="B1044" s="242">
        <f>IF(_PENDIENTES!$B$1038&lt;&gt;"",_PENDIENTES!$A$1038,"")</f>
        <v/>
      </c>
      <c r="C1044" s="302">
        <f>IF(_PENDIENTES!$B$1038&lt;&gt;"",_PENDIENTES!$C$1038,"")</f>
        <v/>
      </c>
      <c r="D1044" s="301">
        <f>IF(_PENDIENTES!$B$1038&lt;&gt;"",_PENDIENTES!$D$1038,"")</f>
        <v/>
      </c>
      <c r="E1044" s="301">
        <f>IF(_PENDIENTES!$B$1038&lt;&gt;"",_PENDIENTES!$E$1038,"")</f>
        <v/>
      </c>
      <c r="F1044" s="301">
        <f>IF(_PENDIENTES!$B$1038&lt;&gt;"",_PENDIENTES!$F$1038,"")</f>
        <v/>
      </c>
      <c r="G1044" s="245">
        <f>IF(_PENDIENTES!$B$1038&lt;&gt;"",_PENDIENTES!$G$1038,"")</f>
        <v/>
      </c>
      <c r="H1044" s="245">
        <f>IF(_PENDIENTES!$B$1038&lt;&gt;"",_PENDIENTES!$H$1038,"")</f>
        <v/>
      </c>
      <c r="I1044" s="302">
        <f>IF(_PENDIENTES!$B$1038&lt;&gt;"",_PENDIENTES!$I$1038,"")</f>
        <v/>
      </c>
      <c r="J1044" s="301">
        <f>IF(_PENDIENTES!$B$1038&lt;&gt;"",_PENDIENTES!$J$1038,"")</f>
        <v/>
      </c>
      <c r="K1044" s="301">
        <f>IF(_PENDIENTES!$B$1038&lt;&gt;"","POR RECOGER","")</f>
        <v/>
      </c>
      <c r="L1044" s="301">
        <f>IF(_PENDIENTES!$B$1038&lt;&gt;"",_PENDIENTES!$K$1038,"")</f>
        <v/>
      </c>
      <c r="M1044" s="284">
        <f>IF(_PENDIENTES!$B$1038&lt;&gt;"",_PENDIENTES!$B$1038,"")</f>
        <v/>
      </c>
      <c r="N1044" s="304">
        <f>IF(_PENDIENTES!$B$1038&lt;&gt;"",_PENDIENTES!$L$1038,"")</f>
        <v/>
      </c>
      <c r="O1044" s="284" t="n"/>
    </row>
    <row r="1045" hidden="1" ht="15.75" customHeight="1" s="195">
      <c r="A1045" s="241">
        <f>IF(_PENDIENTES!$B$1039&lt;&gt;"",1038,"")</f>
        <v/>
      </c>
      <c r="B1045" s="236">
        <f>IF(_PENDIENTES!$B$1039&lt;&gt;"",_PENDIENTES!$A$1039,"")</f>
        <v/>
      </c>
      <c r="C1045" s="305">
        <f>IF(_PENDIENTES!$B$1039&lt;&gt;"",_PENDIENTES!$C$1039,"")</f>
        <v/>
      </c>
      <c r="D1045" s="241">
        <f>IF(_PENDIENTES!$B$1039&lt;&gt;"",_PENDIENTES!$D$1039,"")</f>
        <v/>
      </c>
      <c r="E1045" s="241">
        <f>IF(_PENDIENTES!$B$1039&lt;&gt;"",_PENDIENTES!$E$1039,"")</f>
        <v/>
      </c>
      <c r="F1045" s="241">
        <f>IF(_PENDIENTES!$B$1039&lt;&gt;"",_PENDIENTES!$F$1039,"")</f>
        <v/>
      </c>
      <c r="G1045" s="239">
        <f>IF(_PENDIENTES!$B$1039&lt;&gt;"",_PENDIENTES!$G$1039,"")</f>
        <v/>
      </c>
      <c r="H1045" s="239">
        <f>IF(_PENDIENTES!$B$1039&lt;&gt;"",_PENDIENTES!$H$1039,"")</f>
        <v/>
      </c>
      <c r="I1045" s="305">
        <f>IF(_PENDIENTES!$B$1039&lt;&gt;"",_PENDIENTES!$I$1039,"")</f>
        <v/>
      </c>
      <c r="J1045" s="241">
        <f>IF(_PENDIENTES!$B$1039&lt;&gt;"",_PENDIENTES!$J$1039,"")</f>
        <v/>
      </c>
      <c r="K1045" s="241">
        <f>IF(_PENDIENTES!$B$1039&lt;&gt;"","POR RECOGER","")</f>
        <v/>
      </c>
      <c r="L1045" s="241">
        <f>IF(_PENDIENTES!$B$1039&lt;&gt;"",_PENDIENTES!$K$1039,"")</f>
        <v/>
      </c>
      <c r="M1045" s="284">
        <f>IF(_PENDIENTES!$B$1039&lt;&gt;"",_PENDIENTES!$B$1039,"")</f>
        <v/>
      </c>
      <c r="N1045" s="304">
        <f>IF(_PENDIENTES!$B$1039&lt;&gt;"",_PENDIENTES!$L$1039,"")</f>
        <v/>
      </c>
      <c r="O1045" s="284" t="n"/>
    </row>
    <row r="1046" hidden="1" ht="15.75" customHeight="1" s="195">
      <c r="A1046" s="301">
        <f>IF(_PENDIENTES!$B$1040&lt;&gt;"",1039,"")</f>
        <v/>
      </c>
      <c r="B1046" s="242">
        <f>IF(_PENDIENTES!$B$1040&lt;&gt;"",_PENDIENTES!$A$1040,"")</f>
        <v/>
      </c>
      <c r="C1046" s="302">
        <f>IF(_PENDIENTES!$B$1040&lt;&gt;"",_PENDIENTES!$C$1040,"")</f>
        <v/>
      </c>
      <c r="D1046" s="301">
        <f>IF(_PENDIENTES!$B$1040&lt;&gt;"",_PENDIENTES!$D$1040,"")</f>
        <v/>
      </c>
      <c r="E1046" s="301">
        <f>IF(_PENDIENTES!$B$1040&lt;&gt;"",_PENDIENTES!$E$1040,"")</f>
        <v/>
      </c>
      <c r="F1046" s="301">
        <f>IF(_PENDIENTES!$B$1040&lt;&gt;"",_PENDIENTES!$F$1040,"")</f>
        <v/>
      </c>
      <c r="G1046" s="245">
        <f>IF(_PENDIENTES!$B$1040&lt;&gt;"",_PENDIENTES!$G$1040,"")</f>
        <v/>
      </c>
      <c r="H1046" s="245">
        <f>IF(_PENDIENTES!$B$1040&lt;&gt;"",_PENDIENTES!$H$1040,"")</f>
        <v/>
      </c>
      <c r="I1046" s="302">
        <f>IF(_PENDIENTES!$B$1040&lt;&gt;"",_PENDIENTES!$I$1040,"")</f>
        <v/>
      </c>
      <c r="J1046" s="301">
        <f>IF(_PENDIENTES!$B$1040&lt;&gt;"",_PENDIENTES!$J$1040,"")</f>
        <v/>
      </c>
      <c r="K1046" s="301">
        <f>IF(_PENDIENTES!$B$1040&lt;&gt;"","POR RECOGER","")</f>
        <v/>
      </c>
      <c r="L1046" s="301">
        <f>IF(_PENDIENTES!$B$1040&lt;&gt;"",_PENDIENTES!$K$1040,"")</f>
        <v/>
      </c>
      <c r="M1046" s="284">
        <f>IF(_PENDIENTES!$B$1040&lt;&gt;"",_PENDIENTES!$B$1040,"")</f>
        <v/>
      </c>
      <c r="N1046" s="304">
        <f>IF(_PENDIENTES!$B$1040&lt;&gt;"",_PENDIENTES!$L$1040,"")</f>
        <v/>
      </c>
      <c r="O1046" s="284" t="n"/>
    </row>
    <row r="1047" hidden="1" ht="15.75" customHeight="1" s="195">
      <c r="A1047" s="241">
        <f>IF(_PENDIENTES!$B$1041&lt;&gt;"",1040,"")</f>
        <v/>
      </c>
      <c r="B1047" s="236">
        <f>IF(_PENDIENTES!$B$1041&lt;&gt;"",_PENDIENTES!$A$1041,"")</f>
        <v/>
      </c>
      <c r="C1047" s="305">
        <f>IF(_PENDIENTES!$B$1041&lt;&gt;"",_PENDIENTES!$C$1041,"")</f>
        <v/>
      </c>
      <c r="D1047" s="241">
        <f>IF(_PENDIENTES!$B$1041&lt;&gt;"",_PENDIENTES!$D$1041,"")</f>
        <v/>
      </c>
      <c r="E1047" s="241">
        <f>IF(_PENDIENTES!$B$1041&lt;&gt;"",_PENDIENTES!$E$1041,"")</f>
        <v/>
      </c>
      <c r="F1047" s="241">
        <f>IF(_PENDIENTES!$B$1041&lt;&gt;"",_PENDIENTES!$F$1041,"")</f>
        <v/>
      </c>
      <c r="G1047" s="239">
        <f>IF(_PENDIENTES!$B$1041&lt;&gt;"",_PENDIENTES!$G$1041,"")</f>
        <v/>
      </c>
      <c r="H1047" s="239">
        <f>IF(_PENDIENTES!$B$1041&lt;&gt;"",_PENDIENTES!$H$1041,"")</f>
        <v/>
      </c>
      <c r="I1047" s="305">
        <f>IF(_PENDIENTES!$B$1041&lt;&gt;"",_PENDIENTES!$I$1041,"")</f>
        <v/>
      </c>
      <c r="J1047" s="241">
        <f>IF(_PENDIENTES!$B$1041&lt;&gt;"",_PENDIENTES!$J$1041,"")</f>
        <v/>
      </c>
      <c r="K1047" s="241">
        <f>IF(_PENDIENTES!$B$1041&lt;&gt;"","POR RECOGER","")</f>
        <v/>
      </c>
      <c r="L1047" s="241">
        <f>IF(_PENDIENTES!$B$1041&lt;&gt;"",_PENDIENTES!$K$1041,"")</f>
        <v/>
      </c>
      <c r="M1047" s="284">
        <f>IF(_PENDIENTES!$B$1041&lt;&gt;"",_PENDIENTES!$B$1041,"")</f>
        <v/>
      </c>
      <c r="N1047" s="304">
        <f>IF(_PENDIENTES!$B$1041&lt;&gt;"",_PENDIENTES!$L$1041,"")</f>
        <v/>
      </c>
      <c r="O1047" s="284" t="n"/>
    </row>
    <row r="1048" hidden="1" ht="15.75" customHeight="1" s="195">
      <c r="A1048" s="301">
        <f>IF(_PENDIENTES!$B$1042&lt;&gt;"",1041,"")</f>
        <v/>
      </c>
      <c r="B1048" s="242">
        <f>IF(_PENDIENTES!$B$1042&lt;&gt;"",_PENDIENTES!$A$1042,"")</f>
        <v/>
      </c>
      <c r="C1048" s="302">
        <f>IF(_PENDIENTES!$B$1042&lt;&gt;"",_PENDIENTES!$C$1042,"")</f>
        <v/>
      </c>
      <c r="D1048" s="301">
        <f>IF(_PENDIENTES!$B$1042&lt;&gt;"",_PENDIENTES!$D$1042,"")</f>
        <v/>
      </c>
      <c r="E1048" s="301">
        <f>IF(_PENDIENTES!$B$1042&lt;&gt;"",_PENDIENTES!$E$1042,"")</f>
        <v/>
      </c>
      <c r="F1048" s="301">
        <f>IF(_PENDIENTES!$B$1042&lt;&gt;"",_PENDIENTES!$F$1042,"")</f>
        <v/>
      </c>
      <c r="G1048" s="245">
        <f>IF(_PENDIENTES!$B$1042&lt;&gt;"",_PENDIENTES!$G$1042,"")</f>
        <v/>
      </c>
      <c r="H1048" s="245">
        <f>IF(_PENDIENTES!$B$1042&lt;&gt;"",_PENDIENTES!$H$1042,"")</f>
        <v/>
      </c>
      <c r="I1048" s="302">
        <f>IF(_PENDIENTES!$B$1042&lt;&gt;"",_PENDIENTES!$I$1042,"")</f>
        <v/>
      </c>
      <c r="J1048" s="301">
        <f>IF(_PENDIENTES!$B$1042&lt;&gt;"",_PENDIENTES!$J$1042,"")</f>
        <v/>
      </c>
      <c r="K1048" s="301">
        <f>IF(_PENDIENTES!$B$1042&lt;&gt;"","POR RECOGER","")</f>
        <v/>
      </c>
      <c r="L1048" s="301">
        <f>IF(_PENDIENTES!$B$1042&lt;&gt;"",_PENDIENTES!$K$1042,"")</f>
        <v/>
      </c>
      <c r="M1048" s="284">
        <f>IF(_PENDIENTES!$B$1042&lt;&gt;"",_PENDIENTES!$B$1042,"")</f>
        <v/>
      </c>
      <c r="N1048" s="304">
        <f>IF(_PENDIENTES!$B$1042&lt;&gt;"",_PENDIENTES!$L$1042,"")</f>
        <v/>
      </c>
      <c r="O1048" s="284" t="n"/>
    </row>
    <row r="1049" hidden="1" ht="15.75" customHeight="1" s="195">
      <c r="A1049" s="241">
        <f>IF(_PENDIENTES!$B$1043&lt;&gt;"",1042,"")</f>
        <v/>
      </c>
      <c r="B1049" s="236">
        <f>IF(_PENDIENTES!$B$1043&lt;&gt;"",_PENDIENTES!$A$1043,"")</f>
        <v/>
      </c>
      <c r="C1049" s="305">
        <f>IF(_PENDIENTES!$B$1043&lt;&gt;"",_PENDIENTES!$C$1043,"")</f>
        <v/>
      </c>
      <c r="D1049" s="241">
        <f>IF(_PENDIENTES!$B$1043&lt;&gt;"",_PENDIENTES!$D$1043,"")</f>
        <v/>
      </c>
      <c r="E1049" s="241">
        <f>IF(_PENDIENTES!$B$1043&lt;&gt;"",_PENDIENTES!$E$1043,"")</f>
        <v/>
      </c>
      <c r="F1049" s="241">
        <f>IF(_PENDIENTES!$B$1043&lt;&gt;"",_PENDIENTES!$F$1043,"")</f>
        <v/>
      </c>
      <c r="G1049" s="239">
        <f>IF(_PENDIENTES!$B$1043&lt;&gt;"",_PENDIENTES!$G$1043,"")</f>
        <v/>
      </c>
      <c r="H1049" s="239">
        <f>IF(_PENDIENTES!$B$1043&lt;&gt;"",_PENDIENTES!$H$1043,"")</f>
        <v/>
      </c>
      <c r="I1049" s="305">
        <f>IF(_PENDIENTES!$B$1043&lt;&gt;"",_PENDIENTES!$I$1043,"")</f>
        <v/>
      </c>
      <c r="J1049" s="241">
        <f>IF(_PENDIENTES!$B$1043&lt;&gt;"",_PENDIENTES!$J$1043,"")</f>
        <v/>
      </c>
      <c r="K1049" s="241">
        <f>IF(_PENDIENTES!$B$1043&lt;&gt;"","POR RECOGER","")</f>
        <v/>
      </c>
      <c r="L1049" s="241">
        <f>IF(_PENDIENTES!$B$1043&lt;&gt;"",_PENDIENTES!$K$1043,"")</f>
        <v/>
      </c>
      <c r="M1049" s="284">
        <f>IF(_PENDIENTES!$B$1043&lt;&gt;"",_PENDIENTES!$B$1043,"")</f>
        <v/>
      </c>
      <c r="N1049" s="304">
        <f>IF(_PENDIENTES!$B$1043&lt;&gt;"",_PENDIENTES!$L$1043,"")</f>
        <v/>
      </c>
      <c r="O1049" s="284" t="n"/>
    </row>
    <row r="1050" hidden="1" ht="15.75" customHeight="1" s="195">
      <c r="A1050" s="301">
        <f>IF(_PENDIENTES!$B$1044&lt;&gt;"",1043,"")</f>
        <v/>
      </c>
      <c r="B1050" s="242">
        <f>IF(_PENDIENTES!$B$1044&lt;&gt;"",_PENDIENTES!$A$1044,"")</f>
        <v/>
      </c>
      <c r="C1050" s="302">
        <f>IF(_PENDIENTES!$B$1044&lt;&gt;"",_PENDIENTES!$C$1044,"")</f>
        <v/>
      </c>
      <c r="D1050" s="301">
        <f>IF(_PENDIENTES!$B$1044&lt;&gt;"",_PENDIENTES!$D$1044,"")</f>
        <v/>
      </c>
      <c r="E1050" s="301">
        <f>IF(_PENDIENTES!$B$1044&lt;&gt;"",_PENDIENTES!$E$1044,"")</f>
        <v/>
      </c>
      <c r="F1050" s="301">
        <f>IF(_PENDIENTES!$B$1044&lt;&gt;"",_PENDIENTES!$F$1044,"")</f>
        <v/>
      </c>
      <c r="G1050" s="245">
        <f>IF(_PENDIENTES!$B$1044&lt;&gt;"",_PENDIENTES!$G$1044,"")</f>
        <v/>
      </c>
      <c r="H1050" s="245">
        <f>IF(_PENDIENTES!$B$1044&lt;&gt;"",_PENDIENTES!$H$1044,"")</f>
        <v/>
      </c>
      <c r="I1050" s="302">
        <f>IF(_PENDIENTES!$B$1044&lt;&gt;"",_PENDIENTES!$I$1044,"")</f>
        <v/>
      </c>
      <c r="J1050" s="301">
        <f>IF(_PENDIENTES!$B$1044&lt;&gt;"",_PENDIENTES!$J$1044,"")</f>
        <v/>
      </c>
      <c r="K1050" s="301">
        <f>IF(_PENDIENTES!$B$1044&lt;&gt;"","POR RECOGER","")</f>
        <v/>
      </c>
      <c r="L1050" s="301">
        <f>IF(_PENDIENTES!$B$1044&lt;&gt;"",_PENDIENTES!$K$1044,"")</f>
        <v/>
      </c>
      <c r="M1050" s="284">
        <f>IF(_PENDIENTES!$B$1044&lt;&gt;"",_PENDIENTES!$B$1044,"")</f>
        <v/>
      </c>
      <c r="N1050" s="304">
        <f>IF(_PENDIENTES!$B$1044&lt;&gt;"",_PENDIENTES!$L$1044,"")</f>
        <v/>
      </c>
      <c r="O1050" s="284" t="n"/>
    </row>
    <row r="1051" hidden="1" ht="15.75" customHeight="1" s="195">
      <c r="A1051" s="241">
        <f>IF(_PENDIENTES!$B$1045&lt;&gt;"",1044,"")</f>
        <v/>
      </c>
      <c r="B1051" s="236">
        <f>IF(_PENDIENTES!$B$1045&lt;&gt;"",_PENDIENTES!$A$1045,"")</f>
        <v/>
      </c>
      <c r="C1051" s="305">
        <f>IF(_PENDIENTES!$B$1045&lt;&gt;"",_PENDIENTES!$C$1045,"")</f>
        <v/>
      </c>
      <c r="D1051" s="241">
        <f>IF(_PENDIENTES!$B$1045&lt;&gt;"",_PENDIENTES!$D$1045,"")</f>
        <v/>
      </c>
      <c r="E1051" s="241">
        <f>IF(_PENDIENTES!$B$1045&lt;&gt;"",_PENDIENTES!$E$1045,"")</f>
        <v/>
      </c>
      <c r="F1051" s="241">
        <f>IF(_PENDIENTES!$B$1045&lt;&gt;"",_PENDIENTES!$F$1045,"")</f>
        <v/>
      </c>
      <c r="G1051" s="239">
        <f>IF(_PENDIENTES!$B$1045&lt;&gt;"",_PENDIENTES!$G$1045,"")</f>
        <v/>
      </c>
      <c r="H1051" s="239">
        <f>IF(_PENDIENTES!$B$1045&lt;&gt;"",_PENDIENTES!$H$1045,"")</f>
        <v/>
      </c>
      <c r="I1051" s="305">
        <f>IF(_PENDIENTES!$B$1045&lt;&gt;"",_PENDIENTES!$I$1045,"")</f>
        <v/>
      </c>
      <c r="J1051" s="241">
        <f>IF(_PENDIENTES!$B$1045&lt;&gt;"",_PENDIENTES!$J$1045,"")</f>
        <v/>
      </c>
      <c r="K1051" s="241">
        <f>IF(_PENDIENTES!$B$1045&lt;&gt;"","POR RECOGER","")</f>
        <v/>
      </c>
      <c r="L1051" s="241">
        <f>IF(_PENDIENTES!$B$1045&lt;&gt;"",_PENDIENTES!$K$1045,"")</f>
        <v/>
      </c>
      <c r="M1051" s="284">
        <f>IF(_PENDIENTES!$B$1045&lt;&gt;"",_PENDIENTES!$B$1045,"")</f>
        <v/>
      </c>
      <c r="N1051" s="304">
        <f>IF(_PENDIENTES!$B$1045&lt;&gt;"",_PENDIENTES!$L$1045,"")</f>
        <v/>
      </c>
      <c r="O1051" s="284" t="n"/>
    </row>
    <row r="1052" hidden="1" ht="15.75" customHeight="1" s="195">
      <c r="A1052" s="301">
        <f>IF(_PENDIENTES!$B$1046&lt;&gt;"",1045,"")</f>
        <v/>
      </c>
      <c r="B1052" s="242">
        <f>IF(_PENDIENTES!$B$1046&lt;&gt;"",_PENDIENTES!$A$1046,"")</f>
        <v/>
      </c>
      <c r="C1052" s="302">
        <f>IF(_PENDIENTES!$B$1046&lt;&gt;"",_PENDIENTES!$C$1046,"")</f>
        <v/>
      </c>
      <c r="D1052" s="301">
        <f>IF(_PENDIENTES!$B$1046&lt;&gt;"",_PENDIENTES!$D$1046,"")</f>
        <v/>
      </c>
      <c r="E1052" s="301">
        <f>IF(_PENDIENTES!$B$1046&lt;&gt;"",_PENDIENTES!$E$1046,"")</f>
        <v/>
      </c>
      <c r="F1052" s="301">
        <f>IF(_PENDIENTES!$B$1046&lt;&gt;"",_PENDIENTES!$F$1046,"")</f>
        <v/>
      </c>
      <c r="G1052" s="245">
        <f>IF(_PENDIENTES!$B$1046&lt;&gt;"",_PENDIENTES!$G$1046,"")</f>
        <v/>
      </c>
      <c r="H1052" s="245">
        <f>IF(_PENDIENTES!$B$1046&lt;&gt;"",_PENDIENTES!$H$1046,"")</f>
        <v/>
      </c>
      <c r="I1052" s="302">
        <f>IF(_PENDIENTES!$B$1046&lt;&gt;"",_PENDIENTES!$I$1046,"")</f>
        <v/>
      </c>
      <c r="J1052" s="301">
        <f>IF(_PENDIENTES!$B$1046&lt;&gt;"",_PENDIENTES!$J$1046,"")</f>
        <v/>
      </c>
      <c r="K1052" s="301">
        <f>IF(_PENDIENTES!$B$1046&lt;&gt;"","POR RECOGER","")</f>
        <v/>
      </c>
      <c r="L1052" s="301">
        <f>IF(_PENDIENTES!$B$1046&lt;&gt;"",_PENDIENTES!$K$1046,"")</f>
        <v/>
      </c>
      <c r="M1052" s="284">
        <f>IF(_PENDIENTES!$B$1046&lt;&gt;"",_PENDIENTES!$B$1046,"")</f>
        <v/>
      </c>
      <c r="N1052" s="304">
        <f>IF(_PENDIENTES!$B$1046&lt;&gt;"",_PENDIENTES!$L$1046,"")</f>
        <v/>
      </c>
      <c r="O1052" s="284" t="n"/>
    </row>
    <row r="1053" hidden="1" ht="15.75" customHeight="1" s="195">
      <c r="A1053" s="241">
        <f>IF(_PENDIENTES!$B$1047&lt;&gt;"",1046,"")</f>
        <v/>
      </c>
      <c r="B1053" s="236">
        <f>IF(_PENDIENTES!$B$1047&lt;&gt;"",_PENDIENTES!$A$1047,"")</f>
        <v/>
      </c>
      <c r="C1053" s="305">
        <f>IF(_PENDIENTES!$B$1047&lt;&gt;"",_PENDIENTES!$C$1047,"")</f>
        <v/>
      </c>
      <c r="D1053" s="241">
        <f>IF(_PENDIENTES!$B$1047&lt;&gt;"",_PENDIENTES!$D$1047,"")</f>
        <v/>
      </c>
      <c r="E1053" s="241">
        <f>IF(_PENDIENTES!$B$1047&lt;&gt;"",_PENDIENTES!$E$1047,"")</f>
        <v/>
      </c>
      <c r="F1053" s="241">
        <f>IF(_PENDIENTES!$B$1047&lt;&gt;"",_PENDIENTES!$F$1047,"")</f>
        <v/>
      </c>
      <c r="G1053" s="239">
        <f>IF(_PENDIENTES!$B$1047&lt;&gt;"",_PENDIENTES!$G$1047,"")</f>
        <v/>
      </c>
      <c r="H1053" s="239">
        <f>IF(_PENDIENTES!$B$1047&lt;&gt;"",_PENDIENTES!$H$1047,"")</f>
        <v/>
      </c>
      <c r="I1053" s="305">
        <f>IF(_PENDIENTES!$B$1047&lt;&gt;"",_PENDIENTES!$I$1047,"")</f>
        <v/>
      </c>
      <c r="J1053" s="241">
        <f>IF(_PENDIENTES!$B$1047&lt;&gt;"",_PENDIENTES!$J$1047,"")</f>
        <v/>
      </c>
      <c r="K1053" s="241">
        <f>IF(_PENDIENTES!$B$1047&lt;&gt;"","POR RECOGER","")</f>
        <v/>
      </c>
      <c r="L1053" s="241">
        <f>IF(_PENDIENTES!$B$1047&lt;&gt;"",_PENDIENTES!$K$1047,"")</f>
        <v/>
      </c>
      <c r="M1053" s="284">
        <f>IF(_PENDIENTES!$B$1047&lt;&gt;"",_PENDIENTES!$B$1047,"")</f>
        <v/>
      </c>
      <c r="N1053" s="304">
        <f>IF(_PENDIENTES!$B$1047&lt;&gt;"",_PENDIENTES!$L$1047,"")</f>
        <v/>
      </c>
      <c r="O1053" s="284" t="n"/>
    </row>
    <row r="1054" hidden="1" ht="15.75" customHeight="1" s="195">
      <c r="A1054" s="301">
        <f>IF(_PENDIENTES!$B$1048&lt;&gt;"",1047,"")</f>
        <v/>
      </c>
      <c r="B1054" s="242">
        <f>IF(_PENDIENTES!$B$1048&lt;&gt;"",_PENDIENTES!$A$1048,"")</f>
        <v/>
      </c>
      <c r="C1054" s="302">
        <f>IF(_PENDIENTES!$B$1048&lt;&gt;"",_PENDIENTES!$C$1048,"")</f>
        <v/>
      </c>
      <c r="D1054" s="301">
        <f>IF(_PENDIENTES!$B$1048&lt;&gt;"",_PENDIENTES!$D$1048,"")</f>
        <v/>
      </c>
      <c r="E1054" s="301">
        <f>IF(_PENDIENTES!$B$1048&lt;&gt;"",_PENDIENTES!$E$1048,"")</f>
        <v/>
      </c>
      <c r="F1054" s="301">
        <f>IF(_PENDIENTES!$B$1048&lt;&gt;"",_PENDIENTES!$F$1048,"")</f>
        <v/>
      </c>
      <c r="G1054" s="245">
        <f>IF(_PENDIENTES!$B$1048&lt;&gt;"",_PENDIENTES!$G$1048,"")</f>
        <v/>
      </c>
      <c r="H1054" s="245">
        <f>IF(_PENDIENTES!$B$1048&lt;&gt;"",_PENDIENTES!$H$1048,"")</f>
        <v/>
      </c>
      <c r="I1054" s="302">
        <f>IF(_PENDIENTES!$B$1048&lt;&gt;"",_PENDIENTES!$I$1048,"")</f>
        <v/>
      </c>
      <c r="J1054" s="301">
        <f>IF(_PENDIENTES!$B$1048&lt;&gt;"",_PENDIENTES!$J$1048,"")</f>
        <v/>
      </c>
      <c r="K1054" s="301">
        <f>IF(_PENDIENTES!$B$1048&lt;&gt;"","POR RECOGER","")</f>
        <v/>
      </c>
      <c r="L1054" s="301">
        <f>IF(_PENDIENTES!$B$1048&lt;&gt;"",_PENDIENTES!$K$1048,"")</f>
        <v/>
      </c>
      <c r="M1054" s="284">
        <f>IF(_PENDIENTES!$B$1048&lt;&gt;"",_PENDIENTES!$B$1048,"")</f>
        <v/>
      </c>
      <c r="N1054" s="304">
        <f>IF(_PENDIENTES!$B$1048&lt;&gt;"",_PENDIENTES!$L$1048,"")</f>
        <v/>
      </c>
      <c r="O1054" s="284" t="n"/>
    </row>
    <row r="1055" hidden="1" ht="15.75" customHeight="1" s="195">
      <c r="A1055" s="241">
        <f>IF(_PENDIENTES!$B$1049&lt;&gt;"",1048,"")</f>
        <v/>
      </c>
      <c r="B1055" s="236">
        <f>IF(_PENDIENTES!$B$1049&lt;&gt;"",_PENDIENTES!$A$1049,"")</f>
        <v/>
      </c>
      <c r="C1055" s="305">
        <f>IF(_PENDIENTES!$B$1049&lt;&gt;"",_PENDIENTES!$C$1049,"")</f>
        <v/>
      </c>
      <c r="D1055" s="241">
        <f>IF(_PENDIENTES!$B$1049&lt;&gt;"",_PENDIENTES!$D$1049,"")</f>
        <v/>
      </c>
      <c r="E1055" s="241">
        <f>IF(_PENDIENTES!$B$1049&lt;&gt;"",_PENDIENTES!$E$1049,"")</f>
        <v/>
      </c>
      <c r="F1055" s="241">
        <f>IF(_PENDIENTES!$B$1049&lt;&gt;"",_PENDIENTES!$F$1049,"")</f>
        <v/>
      </c>
      <c r="G1055" s="239">
        <f>IF(_PENDIENTES!$B$1049&lt;&gt;"",_PENDIENTES!$G$1049,"")</f>
        <v/>
      </c>
      <c r="H1055" s="239">
        <f>IF(_PENDIENTES!$B$1049&lt;&gt;"",_PENDIENTES!$H$1049,"")</f>
        <v/>
      </c>
      <c r="I1055" s="305">
        <f>IF(_PENDIENTES!$B$1049&lt;&gt;"",_PENDIENTES!$I$1049,"")</f>
        <v/>
      </c>
      <c r="J1055" s="241">
        <f>IF(_PENDIENTES!$B$1049&lt;&gt;"",_PENDIENTES!$J$1049,"")</f>
        <v/>
      </c>
      <c r="K1055" s="241">
        <f>IF(_PENDIENTES!$B$1049&lt;&gt;"","POR RECOGER","")</f>
        <v/>
      </c>
      <c r="L1055" s="241">
        <f>IF(_PENDIENTES!$B$1049&lt;&gt;"",_PENDIENTES!$K$1049,"")</f>
        <v/>
      </c>
      <c r="M1055" s="284">
        <f>IF(_PENDIENTES!$B$1049&lt;&gt;"",_PENDIENTES!$B$1049,"")</f>
        <v/>
      </c>
      <c r="N1055" s="304">
        <f>IF(_PENDIENTES!$B$1049&lt;&gt;"",_PENDIENTES!$L$1049,"")</f>
        <v/>
      </c>
      <c r="O1055" s="284" t="n"/>
    </row>
    <row r="1056" hidden="1" ht="15.75" customHeight="1" s="195">
      <c r="A1056" s="301">
        <f>IF(_PENDIENTES!$B$1050&lt;&gt;"",1049,"")</f>
        <v/>
      </c>
      <c r="B1056" s="242">
        <f>IF(_PENDIENTES!$B$1050&lt;&gt;"",_PENDIENTES!$A$1050,"")</f>
        <v/>
      </c>
      <c r="C1056" s="302">
        <f>IF(_PENDIENTES!$B$1050&lt;&gt;"",_PENDIENTES!$C$1050,"")</f>
        <v/>
      </c>
      <c r="D1056" s="301">
        <f>IF(_PENDIENTES!$B$1050&lt;&gt;"",_PENDIENTES!$D$1050,"")</f>
        <v/>
      </c>
      <c r="E1056" s="301">
        <f>IF(_PENDIENTES!$B$1050&lt;&gt;"",_PENDIENTES!$E$1050,"")</f>
        <v/>
      </c>
      <c r="F1056" s="301">
        <f>IF(_PENDIENTES!$B$1050&lt;&gt;"",_PENDIENTES!$F$1050,"")</f>
        <v/>
      </c>
      <c r="G1056" s="245">
        <f>IF(_PENDIENTES!$B$1050&lt;&gt;"",_PENDIENTES!$G$1050,"")</f>
        <v/>
      </c>
      <c r="H1056" s="245">
        <f>IF(_PENDIENTES!$B$1050&lt;&gt;"",_PENDIENTES!$H$1050,"")</f>
        <v/>
      </c>
      <c r="I1056" s="302">
        <f>IF(_PENDIENTES!$B$1050&lt;&gt;"",_PENDIENTES!$I$1050,"")</f>
        <v/>
      </c>
      <c r="J1056" s="301">
        <f>IF(_PENDIENTES!$B$1050&lt;&gt;"",_PENDIENTES!$J$1050,"")</f>
        <v/>
      </c>
      <c r="K1056" s="301">
        <f>IF(_PENDIENTES!$B$1050&lt;&gt;"","POR RECOGER","")</f>
        <v/>
      </c>
      <c r="L1056" s="301">
        <f>IF(_PENDIENTES!$B$1050&lt;&gt;"",_PENDIENTES!$K$1050,"")</f>
        <v/>
      </c>
      <c r="M1056" s="284">
        <f>IF(_PENDIENTES!$B$1050&lt;&gt;"",_PENDIENTES!$B$1050,"")</f>
        <v/>
      </c>
      <c r="N1056" s="304">
        <f>IF(_PENDIENTES!$B$1050&lt;&gt;"",_PENDIENTES!$L$1050,"")</f>
        <v/>
      </c>
      <c r="O1056" s="284" t="n"/>
    </row>
    <row r="1057" hidden="1" ht="15.75" customHeight="1" s="195">
      <c r="A1057" s="241">
        <f>IF(_PENDIENTES!$B$1051&lt;&gt;"",1050,"")</f>
        <v/>
      </c>
      <c r="B1057" s="236">
        <f>IF(_PENDIENTES!$B$1051&lt;&gt;"",_PENDIENTES!$A$1051,"")</f>
        <v/>
      </c>
      <c r="C1057" s="305">
        <f>IF(_PENDIENTES!$B$1051&lt;&gt;"",_PENDIENTES!$C$1051,"")</f>
        <v/>
      </c>
      <c r="D1057" s="241">
        <f>IF(_PENDIENTES!$B$1051&lt;&gt;"",_PENDIENTES!$D$1051,"")</f>
        <v/>
      </c>
      <c r="E1057" s="241">
        <f>IF(_PENDIENTES!$B$1051&lt;&gt;"",_PENDIENTES!$E$1051,"")</f>
        <v/>
      </c>
      <c r="F1057" s="241">
        <f>IF(_PENDIENTES!$B$1051&lt;&gt;"",_PENDIENTES!$F$1051,"")</f>
        <v/>
      </c>
      <c r="G1057" s="239">
        <f>IF(_PENDIENTES!$B$1051&lt;&gt;"",_PENDIENTES!$G$1051,"")</f>
        <v/>
      </c>
      <c r="H1057" s="239">
        <f>IF(_PENDIENTES!$B$1051&lt;&gt;"",_PENDIENTES!$H$1051,"")</f>
        <v/>
      </c>
      <c r="I1057" s="305">
        <f>IF(_PENDIENTES!$B$1051&lt;&gt;"",_PENDIENTES!$I$1051,"")</f>
        <v/>
      </c>
      <c r="J1057" s="241">
        <f>IF(_PENDIENTES!$B$1051&lt;&gt;"",_PENDIENTES!$J$1051,"")</f>
        <v/>
      </c>
      <c r="K1057" s="241">
        <f>IF(_PENDIENTES!$B$1051&lt;&gt;"","POR RECOGER","")</f>
        <v/>
      </c>
      <c r="L1057" s="241">
        <f>IF(_PENDIENTES!$B$1051&lt;&gt;"",_PENDIENTES!$K$1051,"")</f>
        <v/>
      </c>
      <c r="M1057" s="284">
        <f>IF(_PENDIENTES!$B$1051&lt;&gt;"",_PENDIENTES!$B$1051,"")</f>
        <v/>
      </c>
      <c r="N1057" s="304">
        <f>IF(_PENDIENTES!$B$1051&lt;&gt;"",_PENDIENTES!$L$1051,"")</f>
        <v/>
      </c>
      <c r="O1057" s="284" t="n"/>
    </row>
    <row r="1058" hidden="1" ht="15.75" customHeight="1" s="195">
      <c r="A1058" s="301">
        <f>IF(_PENDIENTES!$B$1052&lt;&gt;"",1051,"")</f>
        <v/>
      </c>
      <c r="B1058" s="242">
        <f>IF(_PENDIENTES!$B$1052&lt;&gt;"",_PENDIENTES!$A$1052,"")</f>
        <v/>
      </c>
      <c r="C1058" s="302">
        <f>IF(_PENDIENTES!$B$1052&lt;&gt;"",_PENDIENTES!$C$1052,"")</f>
        <v/>
      </c>
      <c r="D1058" s="301">
        <f>IF(_PENDIENTES!$B$1052&lt;&gt;"",_PENDIENTES!$D$1052,"")</f>
        <v/>
      </c>
      <c r="E1058" s="301">
        <f>IF(_PENDIENTES!$B$1052&lt;&gt;"",_PENDIENTES!$E$1052,"")</f>
        <v/>
      </c>
      <c r="F1058" s="301">
        <f>IF(_PENDIENTES!$B$1052&lt;&gt;"",_PENDIENTES!$F$1052,"")</f>
        <v/>
      </c>
      <c r="G1058" s="245">
        <f>IF(_PENDIENTES!$B$1052&lt;&gt;"",_PENDIENTES!$G$1052,"")</f>
        <v/>
      </c>
      <c r="H1058" s="245">
        <f>IF(_PENDIENTES!$B$1052&lt;&gt;"",_PENDIENTES!$H$1052,"")</f>
        <v/>
      </c>
      <c r="I1058" s="302">
        <f>IF(_PENDIENTES!$B$1052&lt;&gt;"",_PENDIENTES!$I$1052,"")</f>
        <v/>
      </c>
      <c r="J1058" s="301">
        <f>IF(_PENDIENTES!$B$1052&lt;&gt;"",_PENDIENTES!$J$1052,"")</f>
        <v/>
      </c>
      <c r="K1058" s="301">
        <f>IF(_PENDIENTES!$B$1052&lt;&gt;"","POR RECOGER","")</f>
        <v/>
      </c>
      <c r="L1058" s="301">
        <f>IF(_PENDIENTES!$B$1052&lt;&gt;"",_PENDIENTES!$K$1052,"")</f>
        <v/>
      </c>
      <c r="M1058" s="284">
        <f>IF(_PENDIENTES!$B$1052&lt;&gt;"",_PENDIENTES!$B$1052,"")</f>
        <v/>
      </c>
      <c r="N1058" s="304">
        <f>IF(_PENDIENTES!$B$1052&lt;&gt;"",_PENDIENTES!$L$1052,"")</f>
        <v/>
      </c>
      <c r="O1058" s="284" t="n"/>
    </row>
    <row r="1059" hidden="1" ht="15.75" customHeight="1" s="195">
      <c r="A1059" s="241">
        <f>IF(_PENDIENTES!$B$1053&lt;&gt;"",1052,"")</f>
        <v/>
      </c>
      <c r="B1059" s="236">
        <f>IF(_PENDIENTES!$B$1053&lt;&gt;"",_PENDIENTES!$A$1053,"")</f>
        <v/>
      </c>
      <c r="C1059" s="305">
        <f>IF(_PENDIENTES!$B$1053&lt;&gt;"",_PENDIENTES!$C$1053,"")</f>
        <v/>
      </c>
      <c r="D1059" s="241">
        <f>IF(_PENDIENTES!$B$1053&lt;&gt;"",_PENDIENTES!$D$1053,"")</f>
        <v/>
      </c>
      <c r="E1059" s="241">
        <f>IF(_PENDIENTES!$B$1053&lt;&gt;"",_PENDIENTES!$E$1053,"")</f>
        <v/>
      </c>
      <c r="F1059" s="241">
        <f>IF(_PENDIENTES!$B$1053&lt;&gt;"",_PENDIENTES!$F$1053,"")</f>
        <v/>
      </c>
      <c r="G1059" s="239">
        <f>IF(_PENDIENTES!$B$1053&lt;&gt;"",_PENDIENTES!$G$1053,"")</f>
        <v/>
      </c>
      <c r="H1059" s="239">
        <f>IF(_PENDIENTES!$B$1053&lt;&gt;"",_PENDIENTES!$H$1053,"")</f>
        <v/>
      </c>
      <c r="I1059" s="305">
        <f>IF(_PENDIENTES!$B$1053&lt;&gt;"",_PENDIENTES!$I$1053,"")</f>
        <v/>
      </c>
      <c r="J1059" s="241">
        <f>IF(_PENDIENTES!$B$1053&lt;&gt;"",_PENDIENTES!$J$1053,"")</f>
        <v/>
      </c>
      <c r="K1059" s="241">
        <f>IF(_PENDIENTES!$B$1053&lt;&gt;"","POR RECOGER","")</f>
        <v/>
      </c>
      <c r="L1059" s="241">
        <f>IF(_PENDIENTES!$B$1053&lt;&gt;"",_PENDIENTES!$K$1053,"")</f>
        <v/>
      </c>
      <c r="M1059" s="284">
        <f>IF(_PENDIENTES!$B$1053&lt;&gt;"",_PENDIENTES!$B$1053,"")</f>
        <v/>
      </c>
      <c r="N1059" s="304">
        <f>IF(_PENDIENTES!$B$1053&lt;&gt;"",_PENDIENTES!$L$1053,"")</f>
        <v/>
      </c>
      <c r="O1059" s="284" t="n"/>
    </row>
    <row r="1060" hidden="1" ht="15.75" customHeight="1" s="195">
      <c r="A1060" s="301">
        <f>IF(_PENDIENTES!$B$1054&lt;&gt;"",1053,"")</f>
        <v/>
      </c>
      <c r="B1060" s="242">
        <f>IF(_PENDIENTES!$B$1054&lt;&gt;"",_PENDIENTES!$A$1054,"")</f>
        <v/>
      </c>
      <c r="C1060" s="302">
        <f>IF(_PENDIENTES!$B$1054&lt;&gt;"",_PENDIENTES!$C$1054,"")</f>
        <v/>
      </c>
      <c r="D1060" s="301">
        <f>IF(_PENDIENTES!$B$1054&lt;&gt;"",_PENDIENTES!$D$1054,"")</f>
        <v/>
      </c>
      <c r="E1060" s="301">
        <f>IF(_PENDIENTES!$B$1054&lt;&gt;"",_PENDIENTES!$E$1054,"")</f>
        <v/>
      </c>
      <c r="F1060" s="301">
        <f>IF(_PENDIENTES!$B$1054&lt;&gt;"",_PENDIENTES!$F$1054,"")</f>
        <v/>
      </c>
      <c r="G1060" s="245">
        <f>IF(_PENDIENTES!$B$1054&lt;&gt;"",_PENDIENTES!$G$1054,"")</f>
        <v/>
      </c>
      <c r="H1060" s="245">
        <f>IF(_PENDIENTES!$B$1054&lt;&gt;"",_PENDIENTES!$H$1054,"")</f>
        <v/>
      </c>
      <c r="I1060" s="302">
        <f>IF(_PENDIENTES!$B$1054&lt;&gt;"",_PENDIENTES!$I$1054,"")</f>
        <v/>
      </c>
      <c r="J1060" s="301">
        <f>IF(_PENDIENTES!$B$1054&lt;&gt;"",_PENDIENTES!$J$1054,"")</f>
        <v/>
      </c>
      <c r="K1060" s="301">
        <f>IF(_PENDIENTES!$B$1054&lt;&gt;"","POR RECOGER","")</f>
        <v/>
      </c>
      <c r="L1060" s="301">
        <f>IF(_PENDIENTES!$B$1054&lt;&gt;"",_PENDIENTES!$K$1054,"")</f>
        <v/>
      </c>
      <c r="M1060" s="284">
        <f>IF(_PENDIENTES!$B$1054&lt;&gt;"",_PENDIENTES!$B$1054,"")</f>
        <v/>
      </c>
      <c r="N1060" s="304">
        <f>IF(_PENDIENTES!$B$1054&lt;&gt;"",_PENDIENTES!$L$1054,"")</f>
        <v/>
      </c>
      <c r="O1060" s="284" t="n"/>
    </row>
    <row r="1061" hidden="1" ht="15.75" customHeight="1" s="195">
      <c r="A1061" s="241">
        <f>IF(_PENDIENTES!$B$1055&lt;&gt;"",1054,"")</f>
        <v/>
      </c>
      <c r="B1061" s="236">
        <f>IF(_PENDIENTES!$B$1055&lt;&gt;"",_PENDIENTES!$A$1055,"")</f>
        <v/>
      </c>
      <c r="C1061" s="305">
        <f>IF(_PENDIENTES!$B$1055&lt;&gt;"",_PENDIENTES!$C$1055,"")</f>
        <v/>
      </c>
      <c r="D1061" s="241">
        <f>IF(_PENDIENTES!$B$1055&lt;&gt;"",_PENDIENTES!$D$1055,"")</f>
        <v/>
      </c>
      <c r="E1061" s="241">
        <f>IF(_PENDIENTES!$B$1055&lt;&gt;"",_PENDIENTES!$E$1055,"")</f>
        <v/>
      </c>
      <c r="F1061" s="241">
        <f>IF(_PENDIENTES!$B$1055&lt;&gt;"",_PENDIENTES!$F$1055,"")</f>
        <v/>
      </c>
      <c r="G1061" s="239">
        <f>IF(_PENDIENTES!$B$1055&lt;&gt;"",_PENDIENTES!$G$1055,"")</f>
        <v/>
      </c>
      <c r="H1061" s="239">
        <f>IF(_PENDIENTES!$B$1055&lt;&gt;"",_PENDIENTES!$H$1055,"")</f>
        <v/>
      </c>
      <c r="I1061" s="305">
        <f>IF(_PENDIENTES!$B$1055&lt;&gt;"",_PENDIENTES!$I$1055,"")</f>
        <v/>
      </c>
      <c r="J1061" s="241">
        <f>IF(_PENDIENTES!$B$1055&lt;&gt;"",_PENDIENTES!$J$1055,"")</f>
        <v/>
      </c>
      <c r="K1061" s="241">
        <f>IF(_PENDIENTES!$B$1055&lt;&gt;"","POR RECOGER","")</f>
        <v/>
      </c>
      <c r="L1061" s="241">
        <f>IF(_PENDIENTES!$B$1055&lt;&gt;"",_PENDIENTES!$K$1055,"")</f>
        <v/>
      </c>
      <c r="M1061" s="284">
        <f>IF(_PENDIENTES!$B$1055&lt;&gt;"",_PENDIENTES!$B$1055,"")</f>
        <v/>
      </c>
      <c r="N1061" s="304">
        <f>IF(_PENDIENTES!$B$1055&lt;&gt;"",_PENDIENTES!$L$1055,"")</f>
        <v/>
      </c>
      <c r="O1061" s="284" t="n"/>
    </row>
    <row r="1062" hidden="1" ht="15.75" customHeight="1" s="195">
      <c r="A1062" s="301">
        <f>IF(_PENDIENTES!$B$1056&lt;&gt;"",1055,"")</f>
        <v/>
      </c>
      <c r="B1062" s="242">
        <f>IF(_PENDIENTES!$B$1056&lt;&gt;"",_PENDIENTES!$A$1056,"")</f>
        <v/>
      </c>
      <c r="C1062" s="302">
        <f>IF(_PENDIENTES!$B$1056&lt;&gt;"",_PENDIENTES!$C$1056,"")</f>
        <v/>
      </c>
      <c r="D1062" s="301">
        <f>IF(_PENDIENTES!$B$1056&lt;&gt;"",_PENDIENTES!$D$1056,"")</f>
        <v/>
      </c>
      <c r="E1062" s="301">
        <f>IF(_PENDIENTES!$B$1056&lt;&gt;"",_PENDIENTES!$E$1056,"")</f>
        <v/>
      </c>
      <c r="F1062" s="301">
        <f>IF(_PENDIENTES!$B$1056&lt;&gt;"",_PENDIENTES!$F$1056,"")</f>
        <v/>
      </c>
      <c r="G1062" s="245">
        <f>IF(_PENDIENTES!$B$1056&lt;&gt;"",_PENDIENTES!$G$1056,"")</f>
        <v/>
      </c>
      <c r="H1062" s="245">
        <f>IF(_PENDIENTES!$B$1056&lt;&gt;"",_PENDIENTES!$H$1056,"")</f>
        <v/>
      </c>
      <c r="I1062" s="302">
        <f>IF(_PENDIENTES!$B$1056&lt;&gt;"",_PENDIENTES!$I$1056,"")</f>
        <v/>
      </c>
      <c r="J1062" s="301">
        <f>IF(_PENDIENTES!$B$1056&lt;&gt;"",_PENDIENTES!$J$1056,"")</f>
        <v/>
      </c>
      <c r="K1062" s="301">
        <f>IF(_PENDIENTES!$B$1056&lt;&gt;"","POR RECOGER","")</f>
        <v/>
      </c>
      <c r="L1062" s="301">
        <f>IF(_PENDIENTES!$B$1056&lt;&gt;"",_PENDIENTES!$K$1056,"")</f>
        <v/>
      </c>
      <c r="M1062" s="284">
        <f>IF(_PENDIENTES!$B$1056&lt;&gt;"",_PENDIENTES!$B$1056,"")</f>
        <v/>
      </c>
      <c r="N1062" s="304">
        <f>IF(_PENDIENTES!$B$1056&lt;&gt;"",_PENDIENTES!$L$1056,"")</f>
        <v/>
      </c>
      <c r="O1062" s="284" t="n"/>
    </row>
    <row r="1063" hidden="1" ht="15.75" customHeight="1" s="195">
      <c r="A1063" s="241">
        <f>IF(_PENDIENTES!$B$1057&lt;&gt;"",1056,"")</f>
        <v/>
      </c>
      <c r="B1063" s="236">
        <f>IF(_PENDIENTES!$B$1057&lt;&gt;"",_PENDIENTES!$A$1057,"")</f>
        <v/>
      </c>
      <c r="C1063" s="305">
        <f>IF(_PENDIENTES!$B$1057&lt;&gt;"",_PENDIENTES!$C$1057,"")</f>
        <v/>
      </c>
      <c r="D1063" s="241">
        <f>IF(_PENDIENTES!$B$1057&lt;&gt;"",_PENDIENTES!$D$1057,"")</f>
        <v/>
      </c>
      <c r="E1063" s="241">
        <f>IF(_PENDIENTES!$B$1057&lt;&gt;"",_PENDIENTES!$E$1057,"")</f>
        <v/>
      </c>
      <c r="F1063" s="241">
        <f>IF(_PENDIENTES!$B$1057&lt;&gt;"",_PENDIENTES!$F$1057,"")</f>
        <v/>
      </c>
      <c r="G1063" s="239">
        <f>IF(_PENDIENTES!$B$1057&lt;&gt;"",_PENDIENTES!$G$1057,"")</f>
        <v/>
      </c>
      <c r="H1063" s="239">
        <f>IF(_PENDIENTES!$B$1057&lt;&gt;"",_PENDIENTES!$H$1057,"")</f>
        <v/>
      </c>
      <c r="I1063" s="305">
        <f>IF(_PENDIENTES!$B$1057&lt;&gt;"",_PENDIENTES!$I$1057,"")</f>
        <v/>
      </c>
      <c r="J1063" s="241">
        <f>IF(_PENDIENTES!$B$1057&lt;&gt;"",_PENDIENTES!$J$1057,"")</f>
        <v/>
      </c>
      <c r="K1063" s="241">
        <f>IF(_PENDIENTES!$B$1057&lt;&gt;"","POR RECOGER","")</f>
        <v/>
      </c>
      <c r="L1063" s="241">
        <f>IF(_PENDIENTES!$B$1057&lt;&gt;"",_PENDIENTES!$K$1057,"")</f>
        <v/>
      </c>
      <c r="M1063" s="284">
        <f>IF(_PENDIENTES!$B$1057&lt;&gt;"",_PENDIENTES!$B$1057,"")</f>
        <v/>
      </c>
      <c r="N1063" s="304">
        <f>IF(_PENDIENTES!$B$1057&lt;&gt;"",_PENDIENTES!$L$1057,"")</f>
        <v/>
      </c>
      <c r="O1063" s="284" t="n"/>
    </row>
    <row r="1064" hidden="1" ht="15.75" customHeight="1" s="195">
      <c r="A1064" s="301">
        <f>IF(_PENDIENTES!$B$1058&lt;&gt;"",1057,"")</f>
        <v/>
      </c>
      <c r="B1064" s="242">
        <f>IF(_PENDIENTES!$B$1058&lt;&gt;"",_PENDIENTES!$A$1058,"")</f>
        <v/>
      </c>
      <c r="C1064" s="302">
        <f>IF(_PENDIENTES!$B$1058&lt;&gt;"",_PENDIENTES!$C$1058,"")</f>
        <v/>
      </c>
      <c r="D1064" s="301">
        <f>IF(_PENDIENTES!$B$1058&lt;&gt;"",_PENDIENTES!$D$1058,"")</f>
        <v/>
      </c>
      <c r="E1064" s="301">
        <f>IF(_PENDIENTES!$B$1058&lt;&gt;"",_PENDIENTES!$E$1058,"")</f>
        <v/>
      </c>
      <c r="F1064" s="301">
        <f>IF(_PENDIENTES!$B$1058&lt;&gt;"",_PENDIENTES!$F$1058,"")</f>
        <v/>
      </c>
      <c r="G1064" s="245">
        <f>IF(_PENDIENTES!$B$1058&lt;&gt;"",_PENDIENTES!$G$1058,"")</f>
        <v/>
      </c>
      <c r="H1064" s="245">
        <f>IF(_PENDIENTES!$B$1058&lt;&gt;"",_PENDIENTES!$H$1058,"")</f>
        <v/>
      </c>
      <c r="I1064" s="302">
        <f>IF(_PENDIENTES!$B$1058&lt;&gt;"",_PENDIENTES!$I$1058,"")</f>
        <v/>
      </c>
      <c r="J1064" s="301">
        <f>IF(_PENDIENTES!$B$1058&lt;&gt;"",_PENDIENTES!$J$1058,"")</f>
        <v/>
      </c>
      <c r="K1064" s="301">
        <f>IF(_PENDIENTES!$B$1058&lt;&gt;"","POR RECOGER","")</f>
        <v/>
      </c>
      <c r="L1064" s="301">
        <f>IF(_PENDIENTES!$B$1058&lt;&gt;"",_PENDIENTES!$K$1058,"")</f>
        <v/>
      </c>
      <c r="M1064" s="284">
        <f>IF(_PENDIENTES!$B$1058&lt;&gt;"",_PENDIENTES!$B$1058,"")</f>
        <v/>
      </c>
      <c r="N1064" s="304">
        <f>IF(_PENDIENTES!$B$1058&lt;&gt;"",_PENDIENTES!$L$1058,"")</f>
        <v/>
      </c>
      <c r="O1064" s="284" t="n"/>
    </row>
    <row r="1065" hidden="1" ht="15.75" customHeight="1" s="195">
      <c r="A1065" s="241">
        <f>IF(_PENDIENTES!$B$1059&lt;&gt;"",1058,"")</f>
        <v/>
      </c>
      <c r="B1065" s="236">
        <f>IF(_PENDIENTES!$B$1059&lt;&gt;"",_PENDIENTES!$A$1059,"")</f>
        <v/>
      </c>
      <c r="C1065" s="305">
        <f>IF(_PENDIENTES!$B$1059&lt;&gt;"",_PENDIENTES!$C$1059,"")</f>
        <v/>
      </c>
      <c r="D1065" s="241">
        <f>IF(_PENDIENTES!$B$1059&lt;&gt;"",_PENDIENTES!$D$1059,"")</f>
        <v/>
      </c>
      <c r="E1065" s="241">
        <f>IF(_PENDIENTES!$B$1059&lt;&gt;"",_PENDIENTES!$E$1059,"")</f>
        <v/>
      </c>
      <c r="F1065" s="241">
        <f>IF(_PENDIENTES!$B$1059&lt;&gt;"",_PENDIENTES!$F$1059,"")</f>
        <v/>
      </c>
      <c r="G1065" s="239">
        <f>IF(_PENDIENTES!$B$1059&lt;&gt;"",_PENDIENTES!$G$1059,"")</f>
        <v/>
      </c>
      <c r="H1065" s="239">
        <f>IF(_PENDIENTES!$B$1059&lt;&gt;"",_PENDIENTES!$H$1059,"")</f>
        <v/>
      </c>
      <c r="I1065" s="305">
        <f>IF(_PENDIENTES!$B$1059&lt;&gt;"",_PENDIENTES!$I$1059,"")</f>
        <v/>
      </c>
      <c r="J1065" s="241">
        <f>IF(_PENDIENTES!$B$1059&lt;&gt;"",_PENDIENTES!$J$1059,"")</f>
        <v/>
      </c>
      <c r="K1065" s="241">
        <f>IF(_PENDIENTES!$B$1059&lt;&gt;"","POR RECOGER","")</f>
        <v/>
      </c>
      <c r="L1065" s="241">
        <f>IF(_PENDIENTES!$B$1059&lt;&gt;"",_PENDIENTES!$K$1059,"")</f>
        <v/>
      </c>
      <c r="M1065" s="284">
        <f>IF(_PENDIENTES!$B$1059&lt;&gt;"",_PENDIENTES!$B$1059,"")</f>
        <v/>
      </c>
      <c r="N1065" s="304">
        <f>IF(_PENDIENTES!$B$1059&lt;&gt;"",_PENDIENTES!$L$1059,"")</f>
        <v/>
      </c>
      <c r="O1065" s="284" t="n"/>
    </row>
    <row r="1066" hidden="1" ht="15.75" customHeight="1" s="195">
      <c r="A1066" s="301">
        <f>IF(_PENDIENTES!$B$1060&lt;&gt;"",1059,"")</f>
        <v/>
      </c>
      <c r="B1066" s="242">
        <f>IF(_PENDIENTES!$B$1060&lt;&gt;"",_PENDIENTES!$A$1060,"")</f>
        <v/>
      </c>
      <c r="C1066" s="302">
        <f>IF(_PENDIENTES!$B$1060&lt;&gt;"",_PENDIENTES!$C$1060,"")</f>
        <v/>
      </c>
      <c r="D1066" s="301">
        <f>IF(_PENDIENTES!$B$1060&lt;&gt;"",_PENDIENTES!$D$1060,"")</f>
        <v/>
      </c>
      <c r="E1066" s="301">
        <f>IF(_PENDIENTES!$B$1060&lt;&gt;"",_PENDIENTES!$E$1060,"")</f>
        <v/>
      </c>
      <c r="F1066" s="301">
        <f>IF(_PENDIENTES!$B$1060&lt;&gt;"",_PENDIENTES!$F$1060,"")</f>
        <v/>
      </c>
      <c r="G1066" s="245">
        <f>IF(_PENDIENTES!$B$1060&lt;&gt;"",_PENDIENTES!$G$1060,"")</f>
        <v/>
      </c>
      <c r="H1066" s="245">
        <f>IF(_PENDIENTES!$B$1060&lt;&gt;"",_PENDIENTES!$H$1060,"")</f>
        <v/>
      </c>
      <c r="I1066" s="302">
        <f>IF(_PENDIENTES!$B$1060&lt;&gt;"",_PENDIENTES!$I$1060,"")</f>
        <v/>
      </c>
      <c r="J1066" s="301">
        <f>IF(_PENDIENTES!$B$1060&lt;&gt;"",_PENDIENTES!$J$1060,"")</f>
        <v/>
      </c>
      <c r="K1066" s="301">
        <f>IF(_PENDIENTES!$B$1060&lt;&gt;"","POR RECOGER","")</f>
        <v/>
      </c>
      <c r="L1066" s="301">
        <f>IF(_PENDIENTES!$B$1060&lt;&gt;"",_PENDIENTES!$K$1060,"")</f>
        <v/>
      </c>
      <c r="M1066" s="284">
        <f>IF(_PENDIENTES!$B$1060&lt;&gt;"",_PENDIENTES!$B$1060,"")</f>
        <v/>
      </c>
      <c r="N1066" s="304">
        <f>IF(_PENDIENTES!$B$1060&lt;&gt;"",_PENDIENTES!$L$1060,"")</f>
        <v/>
      </c>
      <c r="O1066" s="284" t="n"/>
    </row>
    <row r="1067" hidden="1" ht="15.75" customHeight="1" s="195">
      <c r="A1067" s="241">
        <f>IF(_PENDIENTES!$B$1061&lt;&gt;"",1060,"")</f>
        <v/>
      </c>
      <c r="B1067" s="236">
        <f>IF(_PENDIENTES!$B$1061&lt;&gt;"",_PENDIENTES!$A$1061,"")</f>
        <v/>
      </c>
      <c r="C1067" s="305">
        <f>IF(_PENDIENTES!$B$1061&lt;&gt;"",_PENDIENTES!$C$1061,"")</f>
        <v/>
      </c>
      <c r="D1067" s="241">
        <f>IF(_PENDIENTES!$B$1061&lt;&gt;"",_PENDIENTES!$D$1061,"")</f>
        <v/>
      </c>
      <c r="E1067" s="241">
        <f>IF(_PENDIENTES!$B$1061&lt;&gt;"",_PENDIENTES!$E$1061,"")</f>
        <v/>
      </c>
      <c r="F1067" s="241">
        <f>IF(_PENDIENTES!$B$1061&lt;&gt;"",_PENDIENTES!$F$1061,"")</f>
        <v/>
      </c>
      <c r="G1067" s="239">
        <f>IF(_PENDIENTES!$B$1061&lt;&gt;"",_PENDIENTES!$G$1061,"")</f>
        <v/>
      </c>
      <c r="H1067" s="239">
        <f>IF(_PENDIENTES!$B$1061&lt;&gt;"",_PENDIENTES!$H$1061,"")</f>
        <v/>
      </c>
      <c r="I1067" s="305">
        <f>IF(_PENDIENTES!$B$1061&lt;&gt;"",_PENDIENTES!$I$1061,"")</f>
        <v/>
      </c>
      <c r="J1067" s="241">
        <f>IF(_PENDIENTES!$B$1061&lt;&gt;"",_PENDIENTES!$J$1061,"")</f>
        <v/>
      </c>
      <c r="K1067" s="241">
        <f>IF(_PENDIENTES!$B$1061&lt;&gt;"","POR RECOGER","")</f>
        <v/>
      </c>
      <c r="L1067" s="241">
        <f>IF(_PENDIENTES!$B$1061&lt;&gt;"",_PENDIENTES!$K$1061,"")</f>
        <v/>
      </c>
      <c r="M1067" s="284">
        <f>IF(_PENDIENTES!$B$1061&lt;&gt;"",_PENDIENTES!$B$1061,"")</f>
        <v/>
      </c>
      <c r="N1067" s="304">
        <f>IF(_PENDIENTES!$B$1061&lt;&gt;"",_PENDIENTES!$L$1061,"")</f>
        <v/>
      </c>
      <c r="O1067" s="284" t="n"/>
    </row>
    <row r="1068" hidden="1" ht="15.75" customHeight="1" s="195">
      <c r="A1068" s="301">
        <f>IF(_PENDIENTES!$B$1062&lt;&gt;"",1061,"")</f>
        <v/>
      </c>
      <c r="B1068" s="242">
        <f>IF(_PENDIENTES!$B$1062&lt;&gt;"",_PENDIENTES!$A$1062,"")</f>
        <v/>
      </c>
      <c r="C1068" s="302">
        <f>IF(_PENDIENTES!$B$1062&lt;&gt;"",_PENDIENTES!$C$1062,"")</f>
        <v/>
      </c>
      <c r="D1068" s="301">
        <f>IF(_PENDIENTES!$B$1062&lt;&gt;"",_PENDIENTES!$D$1062,"")</f>
        <v/>
      </c>
      <c r="E1068" s="301">
        <f>IF(_PENDIENTES!$B$1062&lt;&gt;"",_PENDIENTES!$E$1062,"")</f>
        <v/>
      </c>
      <c r="F1068" s="301">
        <f>IF(_PENDIENTES!$B$1062&lt;&gt;"",_PENDIENTES!$F$1062,"")</f>
        <v/>
      </c>
      <c r="G1068" s="245">
        <f>IF(_PENDIENTES!$B$1062&lt;&gt;"",_PENDIENTES!$G$1062,"")</f>
        <v/>
      </c>
      <c r="H1068" s="245">
        <f>IF(_PENDIENTES!$B$1062&lt;&gt;"",_PENDIENTES!$H$1062,"")</f>
        <v/>
      </c>
      <c r="I1068" s="302">
        <f>IF(_PENDIENTES!$B$1062&lt;&gt;"",_PENDIENTES!$I$1062,"")</f>
        <v/>
      </c>
      <c r="J1068" s="301">
        <f>IF(_PENDIENTES!$B$1062&lt;&gt;"",_PENDIENTES!$J$1062,"")</f>
        <v/>
      </c>
      <c r="K1068" s="301">
        <f>IF(_PENDIENTES!$B$1062&lt;&gt;"","POR RECOGER","")</f>
        <v/>
      </c>
      <c r="L1068" s="301">
        <f>IF(_PENDIENTES!$B$1062&lt;&gt;"",_PENDIENTES!$K$1062,"")</f>
        <v/>
      </c>
      <c r="M1068" s="284">
        <f>IF(_PENDIENTES!$B$1062&lt;&gt;"",_PENDIENTES!$B$1062,"")</f>
        <v/>
      </c>
      <c r="N1068" s="304">
        <f>IF(_PENDIENTES!$B$1062&lt;&gt;"",_PENDIENTES!$L$1062,"")</f>
        <v/>
      </c>
      <c r="O1068" s="284" t="n"/>
    </row>
    <row r="1069" hidden="1" ht="15.75" customHeight="1" s="195">
      <c r="A1069" s="241">
        <f>IF(_PENDIENTES!$B$1063&lt;&gt;"",1062,"")</f>
        <v/>
      </c>
      <c r="B1069" s="236">
        <f>IF(_PENDIENTES!$B$1063&lt;&gt;"",_PENDIENTES!$A$1063,"")</f>
        <v/>
      </c>
      <c r="C1069" s="305">
        <f>IF(_PENDIENTES!$B$1063&lt;&gt;"",_PENDIENTES!$C$1063,"")</f>
        <v/>
      </c>
      <c r="D1069" s="241">
        <f>IF(_PENDIENTES!$B$1063&lt;&gt;"",_PENDIENTES!$D$1063,"")</f>
        <v/>
      </c>
      <c r="E1069" s="241">
        <f>IF(_PENDIENTES!$B$1063&lt;&gt;"",_PENDIENTES!$E$1063,"")</f>
        <v/>
      </c>
      <c r="F1069" s="241">
        <f>IF(_PENDIENTES!$B$1063&lt;&gt;"",_PENDIENTES!$F$1063,"")</f>
        <v/>
      </c>
      <c r="G1069" s="239">
        <f>IF(_PENDIENTES!$B$1063&lt;&gt;"",_PENDIENTES!$G$1063,"")</f>
        <v/>
      </c>
      <c r="H1069" s="239">
        <f>IF(_PENDIENTES!$B$1063&lt;&gt;"",_PENDIENTES!$H$1063,"")</f>
        <v/>
      </c>
      <c r="I1069" s="305">
        <f>IF(_PENDIENTES!$B$1063&lt;&gt;"",_PENDIENTES!$I$1063,"")</f>
        <v/>
      </c>
      <c r="J1069" s="241">
        <f>IF(_PENDIENTES!$B$1063&lt;&gt;"",_PENDIENTES!$J$1063,"")</f>
        <v/>
      </c>
      <c r="K1069" s="241">
        <f>IF(_PENDIENTES!$B$1063&lt;&gt;"","POR RECOGER","")</f>
        <v/>
      </c>
      <c r="L1069" s="241">
        <f>IF(_PENDIENTES!$B$1063&lt;&gt;"",_PENDIENTES!$K$1063,"")</f>
        <v/>
      </c>
      <c r="M1069" s="284">
        <f>IF(_PENDIENTES!$B$1063&lt;&gt;"",_PENDIENTES!$B$1063,"")</f>
        <v/>
      </c>
      <c r="N1069" s="304">
        <f>IF(_PENDIENTES!$B$1063&lt;&gt;"",_PENDIENTES!$L$1063,"")</f>
        <v/>
      </c>
      <c r="O1069" s="284" t="n"/>
    </row>
    <row r="1070" hidden="1" ht="15.75" customHeight="1" s="195">
      <c r="A1070" s="301">
        <f>IF(_PENDIENTES!$B$1064&lt;&gt;"",1063,"")</f>
        <v/>
      </c>
      <c r="B1070" s="242">
        <f>IF(_PENDIENTES!$B$1064&lt;&gt;"",_PENDIENTES!$A$1064,"")</f>
        <v/>
      </c>
      <c r="C1070" s="302">
        <f>IF(_PENDIENTES!$B$1064&lt;&gt;"",_PENDIENTES!$C$1064,"")</f>
        <v/>
      </c>
      <c r="D1070" s="301">
        <f>IF(_PENDIENTES!$B$1064&lt;&gt;"",_PENDIENTES!$D$1064,"")</f>
        <v/>
      </c>
      <c r="E1070" s="301">
        <f>IF(_PENDIENTES!$B$1064&lt;&gt;"",_PENDIENTES!$E$1064,"")</f>
        <v/>
      </c>
      <c r="F1070" s="301">
        <f>IF(_PENDIENTES!$B$1064&lt;&gt;"",_PENDIENTES!$F$1064,"")</f>
        <v/>
      </c>
      <c r="G1070" s="245">
        <f>IF(_PENDIENTES!$B$1064&lt;&gt;"",_PENDIENTES!$G$1064,"")</f>
        <v/>
      </c>
      <c r="H1070" s="245">
        <f>IF(_PENDIENTES!$B$1064&lt;&gt;"",_PENDIENTES!$H$1064,"")</f>
        <v/>
      </c>
      <c r="I1070" s="302">
        <f>IF(_PENDIENTES!$B$1064&lt;&gt;"",_PENDIENTES!$I$1064,"")</f>
        <v/>
      </c>
      <c r="J1070" s="301">
        <f>IF(_PENDIENTES!$B$1064&lt;&gt;"",_PENDIENTES!$J$1064,"")</f>
        <v/>
      </c>
      <c r="K1070" s="301">
        <f>IF(_PENDIENTES!$B$1064&lt;&gt;"","POR RECOGER","")</f>
        <v/>
      </c>
      <c r="L1070" s="301">
        <f>IF(_PENDIENTES!$B$1064&lt;&gt;"",_PENDIENTES!$K$1064,"")</f>
        <v/>
      </c>
      <c r="M1070" s="284">
        <f>IF(_PENDIENTES!$B$1064&lt;&gt;"",_PENDIENTES!$B$1064,"")</f>
        <v/>
      </c>
      <c r="N1070" s="304">
        <f>IF(_PENDIENTES!$B$1064&lt;&gt;"",_PENDIENTES!$L$1064,"")</f>
        <v/>
      </c>
      <c r="O1070" s="284" t="n"/>
    </row>
    <row r="1071" hidden="1" ht="15.75" customHeight="1" s="195">
      <c r="A1071" s="241">
        <f>IF(_PENDIENTES!$B$1065&lt;&gt;"",1064,"")</f>
        <v/>
      </c>
      <c r="B1071" s="236">
        <f>IF(_PENDIENTES!$B$1065&lt;&gt;"",_PENDIENTES!$A$1065,"")</f>
        <v/>
      </c>
      <c r="C1071" s="305">
        <f>IF(_PENDIENTES!$B$1065&lt;&gt;"",_PENDIENTES!$C$1065,"")</f>
        <v/>
      </c>
      <c r="D1071" s="241">
        <f>IF(_PENDIENTES!$B$1065&lt;&gt;"",_PENDIENTES!$D$1065,"")</f>
        <v/>
      </c>
      <c r="E1071" s="241">
        <f>IF(_PENDIENTES!$B$1065&lt;&gt;"",_PENDIENTES!$E$1065,"")</f>
        <v/>
      </c>
      <c r="F1071" s="241">
        <f>IF(_PENDIENTES!$B$1065&lt;&gt;"",_PENDIENTES!$F$1065,"")</f>
        <v/>
      </c>
      <c r="G1071" s="239">
        <f>IF(_PENDIENTES!$B$1065&lt;&gt;"",_PENDIENTES!$G$1065,"")</f>
        <v/>
      </c>
      <c r="H1071" s="239">
        <f>IF(_PENDIENTES!$B$1065&lt;&gt;"",_PENDIENTES!$H$1065,"")</f>
        <v/>
      </c>
      <c r="I1071" s="305">
        <f>IF(_PENDIENTES!$B$1065&lt;&gt;"",_PENDIENTES!$I$1065,"")</f>
        <v/>
      </c>
      <c r="J1071" s="241">
        <f>IF(_PENDIENTES!$B$1065&lt;&gt;"",_PENDIENTES!$J$1065,"")</f>
        <v/>
      </c>
      <c r="K1071" s="241">
        <f>IF(_PENDIENTES!$B$1065&lt;&gt;"","POR RECOGER","")</f>
        <v/>
      </c>
      <c r="L1071" s="241">
        <f>IF(_PENDIENTES!$B$1065&lt;&gt;"",_PENDIENTES!$K$1065,"")</f>
        <v/>
      </c>
      <c r="M1071" s="284">
        <f>IF(_PENDIENTES!$B$1065&lt;&gt;"",_PENDIENTES!$B$1065,"")</f>
        <v/>
      </c>
      <c r="N1071" s="304">
        <f>IF(_PENDIENTES!$B$1065&lt;&gt;"",_PENDIENTES!$L$1065,"")</f>
        <v/>
      </c>
      <c r="O1071" s="284" t="n"/>
    </row>
    <row r="1072" hidden="1" ht="15.75" customHeight="1" s="195">
      <c r="A1072" s="301">
        <f>IF(_PENDIENTES!$B$1066&lt;&gt;"",1065,"")</f>
        <v/>
      </c>
      <c r="B1072" s="242">
        <f>IF(_PENDIENTES!$B$1066&lt;&gt;"",_PENDIENTES!$A$1066,"")</f>
        <v/>
      </c>
      <c r="C1072" s="302">
        <f>IF(_PENDIENTES!$B$1066&lt;&gt;"",_PENDIENTES!$C$1066,"")</f>
        <v/>
      </c>
      <c r="D1072" s="301">
        <f>IF(_PENDIENTES!$B$1066&lt;&gt;"",_PENDIENTES!$D$1066,"")</f>
        <v/>
      </c>
      <c r="E1072" s="301">
        <f>IF(_PENDIENTES!$B$1066&lt;&gt;"",_PENDIENTES!$E$1066,"")</f>
        <v/>
      </c>
      <c r="F1072" s="301">
        <f>IF(_PENDIENTES!$B$1066&lt;&gt;"",_PENDIENTES!$F$1066,"")</f>
        <v/>
      </c>
      <c r="G1072" s="245">
        <f>IF(_PENDIENTES!$B$1066&lt;&gt;"",_PENDIENTES!$G$1066,"")</f>
        <v/>
      </c>
      <c r="H1072" s="245">
        <f>IF(_PENDIENTES!$B$1066&lt;&gt;"",_PENDIENTES!$H$1066,"")</f>
        <v/>
      </c>
      <c r="I1072" s="302">
        <f>IF(_PENDIENTES!$B$1066&lt;&gt;"",_PENDIENTES!$I$1066,"")</f>
        <v/>
      </c>
      <c r="J1072" s="301">
        <f>IF(_PENDIENTES!$B$1066&lt;&gt;"",_PENDIENTES!$J$1066,"")</f>
        <v/>
      </c>
      <c r="K1072" s="301">
        <f>IF(_PENDIENTES!$B$1066&lt;&gt;"","POR RECOGER","")</f>
        <v/>
      </c>
      <c r="L1072" s="301">
        <f>IF(_PENDIENTES!$B$1066&lt;&gt;"",_PENDIENTES!$K$1066,"")</f>
        <v/>
      </c>
      <c r="M1072" s="284">
        <f>IF(_PENDIENTES!$B$1066&lt;&gt;"",_PENDIENTES!$B$1066,"")</f>
        <v/>
      </c>
      <c r="N1072" s="304">
        <f>IF(_PENDIENTES!$B$1066&lt;&gt;"",_PENDIENTES!$L$1066,"")</f>
        <v/>
      </c>
      <c r="O1072" s="284" t="n"/>
    </row>
    <row r="1073" hidden="1" ht="15.75" customHeight="1" s="195">
      <c r="A1073" s="241">
        <f>IF(_PENDIENTES!$B$1067&lt;&gt;"",1066,"")</f>
        <v/>
      </c>
      <c r="B1073" s="236">
        <f>IF(_PENDIENTES!$B$1067&lt;&gt;"",_PENDIENTES!$A$1067,"")</f>
        <v/>
      </c>
      <c r="C1073" s="305">
        <f>IF(_PENDIENTES!$B$1067&lt;&gt;"",_PENDIENTES!$C$1067,"")</f>
        <v/>
      </c>
      <c r="D1073" s="241">
        <f>IF(_PENDIENTES!$B$1067&lt;&gt;"",_PENDIENTES!$D$1067,"")</f>
        <v/>
      </c>
      <c r="E1073" s="241">
        <f>IF(_PENDIENTES!$B$1067&lt;&gt;"",_PENDIENTES!$E$1067,"")</f>
        <v/>
      </c>
      <c r="F1073" s="241">
        <f>IF(_PENDIENTES!$B$1067&lt;&gt;"",_PENDIENTES!$F$1067,"")</f>
        <v/>
      </c>
      <c r="G1073" s="239">
        <f>IF(_PENDIENTES!$B$1067&lt;&gt;"",_PENDIENTES!$G$1067,"")</f>
        <v/>
      </c>
      <c r="H1073" s="239">
        <f>IF(_PENDIENTES!$B$1067&lt;&gt;"",_PENDIENTES!$H$1067,"")</f>
        <v/>
      </c>
      <c r="I1073" s="305">
        <f>IF(_PENDIENTES!$B$1067&lt;&gt;"",_PENDIENTES!$I$1067,"")</f>
        <v/>
      </c>
      <c r="J1073" s="241">
        <f>IF(_PENDIENTES!$B$1067&lt;&gt;"",_PENDIENTES!$J$1067,"")</f>
        <v/>
      </c>
      <c r="K1073" s="241">
        <f>IF(_PENDIENTES!$B$1067&lt;&gt;"","POR RECOGER","")</f>
        <v/>
      </c>
      <c r="L1073" s="241">
        <f>IF(_PENDIENTES!$B$1067&lt;&gt;"",_PENDIENTES!$K$1067,"")</f>
        <v/>
      </c>
      <c r="M1073" s="284">
        <f>IF(_PENDIENTES!$B$1067&lt;&gt;"",_PENDIENTES!$B$1067,"")</f>
        <v/>
      </c>
      <c r="N1073" s="304">
        <f>IF(_PENDIENTES!$B$1067&lt;&gt;"",_PENDIENTES!$L$1067,"")</f>
        <v/>
      </c>
      <c r="O1073" s="284" t="n"/>
    </row>
    <row r="1074" hidden="1" ht="15.75" customHeight="1" s="195">
      <c r="A1074" s="301">
        <f>IF(_PENDIENTES!$B$1068&lt;&gt;"",1067,"")</f>
        <v/>
      </c>
      <c r="B1074" s="242">
        <f>IF(_PENDIENTES!$B$1068&lt;&gt;"",_PENDIENTES!$A$1068,"")</f>
        <v/>
      </c>
      <c r="C1074" s="302">
        <f>IF(_PENDIENTES!$B$1068&lt;&gt;"",_PENDIENTES!$C$1068,"")</f>
        <v/>
      </c>
      <c r="D1074" s="301">
        <f>IF(_PENDIENTES!$B$1068&lt;&gt;"",_PENDIENTES!$D$1068,"")</f>
        <v/>
      </c>
      <c r="E1074" s="301">
        <f>IF(_PENDIENTES!$B$1068&lt;&gt;"",_PENDIENTES!$E$1068,"")</f>
        <v/>
      </c>
      <c r="F1074" s="301">
        <f>IF(_PENDIENTES!$B$1068&lt;&gt;"",_PENDIENTES!$F$1068,"")</f>
        <v/>
      </c>
      <c r="G1074" s="245">
        <f>IF(_PENDIENTES!$B$1068&lt;&gt;"",_PENDIENTES!$G$1068,"")</f>
        <v/>
      </c>
      <c r="H1074" s="245">
        <f>IF(_PENDIENTES!$B$1068&lt;&gt;"",_PENDIENTES!$H$1068,"")</f>
        <v/>
      </c>
      <c r="I1074" s="302">
        <f>IF(_PENDIENTES!$B$1068&lt;&gt;"",_PENDIENTES!$I$1068,"")</f>
        <v/>
      </c>
      <c r="J1074" s="301">
        <f>IF(_PENDIENTES!$B$1068&lt;&gt;"",_PENDIENTES!$J$1068,"")</f>
        <v/>
      </c>
      <c r="K1074" s="301">
        <f>IF(_PENDIENTES!$B$1068&lt;&gt;"","POR RECOGER","")</f>
        <v/>
      </c>
      <c r="L1074" s="301">
        <f>IF(_PENDIENTES!$B$1068&lt;&gt;"",_PENDIENTES!$K$1068,"")</f>
        <v/>
      </c>
      <c r="M1074" s="284">
        <f>IF(_PENDIENTES!$B$1068&lt;&gt;"",_PENDIENTES!$B$1068,"")</f>
        <v/>
      </c>
      <c r="N1074" s="304">
        <f>IF(_PENDIENTES!$B$1068&lt;&gt;"",_PENDIENTES!$L$1068,"")</f>
        <v/>
      </c>
      <c r="O1074" s="284" t="n"/>
    </row>
    <row r="1075" hidden="1" ht="15.75" customHeight="1" s="195">
      <c r="A1075" s="241">
        <f>IF(_PENDIENTES!$B$1069&lt;&gt;"",1068,"")</f>
        <v/>
      </c>
      <c r="B1075" s="236">
        <f>IF(_PENDIENTES!$B$1069&lt;&gt;"",_PENDIENTES!$A$1069,"")</f>
        <v/>
      </c>
      <c r="C1075" s="305">
        <f>IF(_PENDIENTES!$B$1069&lt;&gt;"",_PENDIENTES!$C$1069,"")</f>
        <v/>
      </c>
      <c r="D1075" s="241">
        <f>IF(_PENDIENTES!$B$1069&lt;&gt;"",_PENDIENTES!$D$1069,"")</f>
        <v/>
      </c>
      <c r="E1075" s="241">
        <f>IF(_PENDIENTES!$B$1069&lt;&gt;"",_PENDIENTES!$E$1069,"")</f>
        <v/>
      </c>
      <c r="F1075" s="241">
        <f>IF(_PENDIENTES!$B$1069&lt;&gt;"",_PENDIENTES!$F$1069,"")</f>
        <v/>
      </c>
      <c r="G1075" s="239">
        <f>IF(_PENDIENTES!$B$1069&lt;&gt;"",_PENDIENTES!$G$1069,"")</f>
        <v/>
      </c>
      <c r="H1075" s="239">
        <f>IF(_PENDIENTES!$B$1069&lt;&gt;"",_PENDIENTES!$H$1069,"")</f>
        <v/>
      </c>
      <c r="I1075" s="305">
        <f>IF(_PENDIENTES!$B$1069&lt;&gt;"",_PENDIENTES!$I$1069,"")</f>
        <v/>
      </c>
      <c r="J1075" s="241">
        <f>IF(_PENDIENTES!$B$1069&lt;&gt;"",_PENDIENTES!$J$1069,"")</f>
        <v/>
      </c>
      <c r="K1075" s="241">
        <f>IF(_PENDIENTES!$B$1069&lt;&gt;"","POR RECOGER","")</f>
        <v/>
      </c>
      <c r="L1075" s="241">
        <f>IF(_PENDIENTES!$B$1069&lt;&gt;"",_PENDIENTES!$K$1069,"")</f>
        <v/>
      </c>
      <c r="M1075" s="284">
        <f>IF(_PENDIENTES!$B$1069&lt;&gt;"",_PENDIENTES!$B$1069,"")</f>
        <v/>
      </c>
      <c r="N1075" s="304">
        <f>IF(_PENDIENTES!$B$1069&lt;&gt;"",_PENDIENTES!$L$1069,"")</f>
        <v/>
      </c>
      <c r="O1075" s="284" t="n"/>
    </row>
    <row r="1076" hidden="1" ht="15.75" customHeight="1" s="195">
      <c r="A1076" s="301">
        <f>IF(_PENDIENTES!$B$1070&lt;&gt;"",1069,"")</f>
        <v/>
      </c>
      <c r="B1076" s="242">
        <f>IF(_PENDIENTES!$B$1070&lt;&gt;"",_PENDIENTES!$A$1070,"")</f>
        <v/>
      </c>
      <c r="C1076" s="302">
        <f>IF(_PENDIENTES!$B$1070&lt;&gt;"",_PENDIENTES!$C$1070,"")</f>
        <v/>
      </c>
      <c r="D1076" s="301">
        <f>IF(_PENDIENTES!$B$1070&lt;&gt;"",_PENDIENTES!$D$1070,"")</f>
        <v/>
      </c>
      <c r="E1076" s="301">
        <f>IF(_PENDIENTES!$B$1070&lt;&gt;"",_PENDIENTES!$E$1070,"")</f>
        <v/>
      </c>
      <c r="F1076" s="301">
        <f>IF(_PENDIENTES!$B$1070&lt;&gt;"",_PENDIENTES!$F$1070,"")</f>
        <v/>
      </c>
      <c r="G1076" s="245">
        <f>IF(_PENDIENTES!$B$1070&lt;&gt;"",_PENDIENTES!$G$1070,"")</f>
        <v/>
      </c>
      <c r="H1076" s="245">
        <f>IF(_PENDIENTES!$B$1070&lt;&gt;"",_PENDIENTES!$H$1070,"")</f>
        <v/>
      </c>
      <c r="I1076" s="302">
        <f>IF(_PENDIENTES!$B$1070&lt;&gt;"",_PENDIENTES!$I$1070,"")</f>
        <v/>
      </c>
      <c r="J1076" s="301">
        <f>IF(_PENDIENTES!$B$1070&lt;&gt;"",_PENDIENTES!$J$1070,"")</f>
        <v/>
      </c>
      <c r="K1076" s="301">
        <f>IF(_PENDIENTES!$B$1070&lt;&gt;"","POR RECOGER","")</f>
        <v/>
      </c>
      <c r="L1076" s="301">
        <f>IF(_PENDIENTES!$B$1070&lt;&gt;"",_PENDIENTES!$K$1070,"")</f>
        <v/>
      </c>
      <c r="M1076" s="284">
        <f>IF(_PENDIENTES!$B$1070&lt;&gt;"",_PENDIENTES!$B$1070,"")</f>
        <v/>
      </c>
      <c r="N1076" s="304">
        <f>IF(_PENDIENTES!$B$1070&lt;&gt;"",_PENDIENTES!$L$1070,"")</f>
        <v/>
      </c>
      <c r="O1076" s="284" t="n"/>
    </row>
    <row r="1077" hidden="1" ht="15.75" customHeight="1" s="195">
      <c r="A1077" s="241">
        <f>IF(_PENDIENTES!$B$1071&lt;&gt;"",1070,"")</f>
        <v/>
      </c>
      <c r="B1077" s="236">
        <f>IF(_PENDIENTES!$B$1071&lt;&gt;"",_PENDIENTES!$A$1071,"")</f>
        <v/>
      </c>
      <c r="C1077" s="305">
        <f>IF(_PENDIENTES!$B$1071&lt;&gt;"",_PENDIENTES!$C$1071,"")</f>
        <v/>
      </c>
      <c r="D1077" s="241">
        <f>IF(_PENDIENTES!$B$1071&lt;&gt;"",_PENDIENTES!$D$1071,"")</f>
        <v/>
      </c>
      <c r="E1077" s="241">
        <f>IF(_PENDIENTES!$B$1071&lt;&gt;"",_PENDIENTES!$E$1071,"")</f>
        <v/>
      </c>
      <c r="F1077" s="241">
        <f>IF(_PENDIENTES!$B$1071&lt;&gt;"",_PENDIENTES!$F$1071,"")</f>
        <v/>
      </c>
      <c r="G1077" s="239">
        <f>IF(_PENDIENTES!$B$1071&lt;&gt;"",_PENDIENTES!$G$1071,"")</f>
        <v/>
      </c>
      <c r="H1077" s="239">
        <f>IF(_PENDIENTES!$B$1071&lt;&gt;"",_PENDIENTES!$H$1071,"")</f>
        <v/>
      </c>
      <c r="I1077" s="305">
        <f>IF(_PENDIENTES!$B$1071&lt;&gt;"",_PENDIENTES!$I$1071,"")</f>
        <v/>
      </c>
      <c r="J1077" s="241">
        <f>IF(_PENDIENTES!$B$1071&lt;&gt;"",_PENDIENTES!$J$1071,"")</f>
        <v/>
      </c>
      <c r="K1077" s="241">
        <f>IF(_PENDIENTES!$B$1071&lt;&gt;"","POR RECOGER","")</f>
        <v/>
      </c>
      <c r="L1077" s="241">
        <f>IF(_PENDIENTES!$B$1071&lt;&gt;"",_PENDIENTES!$K$1071,"")</f>
        <v/>
      </c>
      <c r="M1077" s="284">
        <f>IF(_PENDIENTES!$B$1071&lt;&gt;"",_PENDIENTES!$B$1071,"")</f>
        <v/>
      </c>
      <c r="N1077" s="304">
        <f>IF(_PENDIENTES!$B$1071&lt;&gt;"",_PENDIENTES!$L$1071,"")</f>
        <v/>
      </c>
      <c r="O1077" s="284" t="n"/>
    </row>
    <row r="1078" hidden="1" ht="15.75" customHeight="1" s="195">
      <c r="A1078" s="301">
        <f>IF(_PENDIENTES!$B$1072&lt;&gt;"",1071,"")</f>
        <v/>
      </c>
      <c r="B1078" s="242">
        <f>IF(_PENDIENTES!$B$1072&lt;&gt;"",_PENDIENTES!$A$1072,"")</f>
        <v/>
      </c>
      <c r="C1078" s="302">
        <f>IF(_PENDIENTES!$B$1072&lt;&gt;"",_PENDIENTES!$C$1072,"")</f>
        <v/>
      </c>
      <c r="D1078" s="301">
        <f>IF(_PENDIENTES!$B$1072&lt;&gt;"",_PENDIENTES!$D$1072,"")</f>
        <v/>
      </c>
      <c r="E1078" s="301">
        <f>IF(_PENDIENTES!$B$1072&lt;&gt;"",_PENDIENTES!$E$1072,"")</f>
        <v/>
      </c>
      <c r="F1078" s="301">
        <f>IF(_PENDIENTES!$B$1072&lt;&gt;"",_PENDIENTES!$F$1072,"")</f>
        <v/>
      </c>
      <c r="G1078" s="245">
        <f>IF(_PENDIENTES!$B$1072&lt;&gt;"",_PENDIENTES!$G$1072,"")</f>
        <v/>
      </c>
      <c r="H1078" s="245">
        <f>IF(_PENDIENTES!$B$1072&lt;&gt;"",_PENDIENTES!$H$1072,"")</f>
        <v/>
      </c>
      <c r="I1078" s="302">
        <f>IF(_PENDIENTES!$B$1072&lt;&gt;"",_PENDIENTES!$I$1072,"")</f>
        <v/>
      </c>
      <c r="J1078" s="301">
        <f>IF(_PENDIENTES!$B$1072&lt;&gt;"",_PENDIENTES!$J$1072,"")</f>
        <v/>
      </c>
      <c r="K1078" s="301">
        <f>IF(_PENDIENTES!$B$1072&lt;&gt;"","POR RECOGER","")</f>
        <v/>
      </c>
      <c r="L1078" s="301">
        <f>IF(_PENDIENTES!$B$1072&lt;&gt;"",_PENDIENTES!$K$1072,"")</f>
        <v/>
      </c>
      <c r="M1078" s="284">
        <f>IF(_PENDIENTES!$B$1072&lt;&gt;"",_PENDIENTES!$B$1072,"")</f>
        <v/>
      </c>
      <c r="N1078" s="304">
        <f>IF(_PENDIENTES!$B$1072&lt;&gt;"",_PENDIENTES!$L$1072,"")</f>
        <v/>
      </c>
      <c r="O1078" s="284" t="n"/>
    </row>
    <row r="1079" hidden="1" ht="15.75" customHeight="1" s="195">
      <c r="A1079" s="241">
        <f>IF(_PENDIENTES!$B$1073&lt;&gt;"",1072,"")</f>
        <v/>
      </c>
      <c r="B1079" s="236">
        <f>IF(_PENDIENTES!$B$1073&lt;&gt;"",_PENDIENTES!$A$1073,"")</f>
        <v/>
      </c>
      <c r="C1079" s="305">
        <f>IF(_PENDIENTES!$B$1073&lt;&gt;"",_PENDIENTES!$C$1073,"")</f>
        <v/>
      </c>
      <c r="D1079" s="241">
        <f>IF(_PENDIENTES!$B$1073&lt;&gt;"",_PENDIENTES!$D$1073,"")</f>
        <v/>
      </c>
      <c r="E1079" s="241">
        <f>IF(_PENDIENTES!$B$1073&lt;&gt;"",_PENDIENTES!$E$1073,"")</f>
        <v/>
      </c>
      <c r="F1079" s="241">
        <f>IF(_PENDIENTES!$B$1073&lt;&gt;"",_PENDIENTES!$F$1073,"")</f>
        <v/>
      </c>
      <c r="G1079" s="239">
        <f>IF(_PENDIENTES!$B$1073&lt;&gt;"",_PENDIENTES!$G$1073,"")</f>
        <v/>
      </c>
      <c r="H1079" s="239">
        <f>IF(_PENDIENTES!$B$1073&lt;&gt;"",_PENDIENTES!$H$1073,"")</f>
        <v/>
      </c>
      <c r="I1079" s="305">
        <f>IF(_PENDIENTES!$B$1073&lt;&gt;"",_PENDIENTES!$I$1073,"")</f>
        <v/>
      </c>
      <c r="J1079" s="241">
        <f>IF(_PENDIENTES!$B$1073&lt;&gt;"",_PENDIENTES!$J$1073,"")</f>
        <v/>
      </c>
      <c r="K1079" s="241">
        <f>IF(_PENDIENTES!$B$1073&lt;&gt;"","POR RECOGER","")</f>
        <v/>
      </c>
      <c r="L1079" s="241">
        <f>IF(_PENDIENTES!$B$1073&lt;&gt;"",_PENDIENTES!$K$1073,"")</f>
        <v/>
      </c>
      <c r="M1079" s="284">
        <f>IF(_PENDIENTES!$B$1073&lt;&gt;"",_PENDIENTES!$B$1073,"")</f>
        <v/>
      </c>
      <c r="N1079" s="304">
        <f>IF(_PENDIENTES!$B$1073&lt;&gt;"",_PENDIENTES!$L$1073,"")</f>
        <v/>
      </c>
      <c r="O1079" s="284" t="n"/>
    </row>
    <row r="1080" hidden="1" ht="15.75" customHeight="1" s="195">
      <c r="A1080" s="301">
        <f>IF(_PENDIENTES!$B$1074&lt;&gt;"",1073,"")</f>
        <v/>
      </c>
      <c r="B1080" s="242">
        <f>IF(_PENDIENTES!$B$1074&lt;&gt;"",_PENDIENTES!$A$1074,"")</f>
        <v/>
      </c>
      <c r="C1080" s="302">
        <f>IF(_PENDIENTES!$B$1074&lt;&gt;"",_PENDIENTES!$C$1074,"")</f>
        <v/>
      </c>
      <c r="D1080" s="301">
        <f>IF(_PENDIENTES!$B$1074&lt;&gt;"",_PENDIENTES!$D$1074,"")</f>
        <v/>
      </c>
      <c r="E1080" s="301">
        <f>IF(_PENDIENTES!$B$1074&lt;&gt;"",_PENDIENTES!$E$1074,"")</f>
        <v/>
      </c>
      <c r="F1080" s="301">
        <f>IF(_PENDIENTES!$B$1074&lt;&gt;"",_PENDIENTES!$F$1074,"")</f>
        <v/>
      </c>
      <c r="G1080" s="245">
        <f>IF(_PENDIENTES!$B$1074&lt;&gt;"",_PENDIENTES!$G$1074,"")</f>
        <v/>
      </c>
      <c r="H1080" s="245">
        <f>IF(_PENDIENTES!$B$1074&lt;&gt;"",_PENDIENTES!$H$1074,"")</f>
        <v/>
      </c>
      <c r="I1080" s="302">
        <f>IF(_PENDIENTES!$B$1074&lt;&gt;"",_PENDIENTES!$I$1074,"")</f>
        <v/>
      </c>
      <c r="J1080" s="301">
        <f>IF(_PENDIENTES!$B$1074&lt;&gt;"",_PENDIENTES!$J$1074,"")</f>
        <v/>
      </c>
      <c r="K1080" s="301">
        <f>IF(_PENDIENTES!$B$1074&lt;&gt;"","POR RECOGER","")</f>
        <v/>
      </c>
      <c r="L1080" s="301">
        <f>IF(_PENDIENTES!$B$1074&lt;&gt;"",_PENDIENTES!$K$1074,"")</f>
        <v/>
      </c>
      <c r="M1080" s="284">
        <f>IF(_PENDIENTES!$B$1074&lt;&gt;"",_PENDIENTES!$B$1074,"")</f>
        <v/>
      </c>
      <c r="N1080" s="304">
        <f>IF(_PENDIENTES!$B$1074&lt;&gt;"",_PENDIENTES!$L$1074,"")</f>
        <v/>
      </c>
      <c r="O1080" s="284" t="n"/>
    </row>
    <row r="1081" hidden="1" ht="15.75" customHeight="1" s="195">
      <c r="A1081" s="241">
        <f>IF(_PENDIENTES!$B$1075&lt;&gt;"",1074,"")</f>
        <v/>
      </c>
      <c r="B1081" s="236">
        <f>IF(_PENDIENTES!$B$1075&lt;&gt;"",_PENDIENTES!$A$1075,"")</f>
        <v/>
      </c>
      <c r="C1081" s="305">
        <f>IF(_PENDIENTES!$B$1075&lt;&gt;"",_PENDIENTES!$C$1075,"")</f>
        <v/>
      </c>
      <c r="D1081" s="241">
        <f>IF(_PENDIENTES!$B$1075&lt;&gt;"",_PENDIENTES!$D$1075,"")</f>
        <v/>
      </c>
      <c r="E1081" s="241">
        <f>IF(_PENDIENTES!$B$1075&lt;&gt;"",_PENDIENTES!$E$1075,"")</f>
        <v/>
      </c>
      <c r="F1081" s="241">
        <f>IF(_PENDIENTES!$B$1075&lt;&gt;"",_PENDIENTES!$F$1075,"")</f>
        <v/>
      </c>
      <c r="G1081" s="239">
        <f>IF(_PENDIENTES!$B$1075&lt;&gt;"",_PENDIENTES!$G$1075,"")</f>
        <v/>
      </c>
      <c r="H1081" s="239">
        <f>IF(_PENDIENTES!$B$1075&lt;&gt;"",_PENDIENTES!$H$1075,"")</f>
        <v/>
      </c>
      <c r="I1081" s="305">
        <f>IF(_PENDIENTES!$B$1075&lt;&gt;"",_PENDIENTES!$I$1075,"")</f>
        <v/>
      </c>
      <c r="J1081" s="241">
        <f>IF(_PENDIENTES!$B$1075&lt;&gt;"",_PENDIENTES!$J$1075,"")</f>
        <v/>
      </c>
      <c r="K1081" s="241">
        <f>IF(_PENDIENTES!$B$1075&lt;&gt;"","POR RECOGER","")</f>
        <v/>
      </c>
      <c r="L1081" s="241">
        <f>IF(_PENDIENTES!$B$1075&lt;&gt;"",_PENDIENTES!$K$1075,"")</f>
        <v/>
      </c>
      <c r="M1081" s="284">
        <f>IF(_PENDIENTES!$B$1075&lt;&gt;"",_PENDIENTES!$B$1075,"")</f>
        <v/>
      </c>
      <c r="N1081" s="304">
        <f>IF(_PENDIENTES!$B$1075&lt;&gt;"",_PENDIENTES!$L$1075,"")</f>
        <v/>
      </c>
      <c r="O1081" s="284" t="n"/>
    </row>
    <row r="1082" hidden="1" ht="15.75" customHeight="1" s="195">
      <c r="A1082" s="301">
        <f>IF(_PENDIENTES!$B$1076&lt;&gt;"",1075,"")</f>
        <v/>
      </c>
      <c r="B1082" s="242">
        <f>IF(_PENDIENTES!$B$1076&lt;&gt;"",_PENDIENTES!$A$1076,"")</f>
        <v/>
      </c>
      <c r="C1082" s="302">
        <f>IF(_PENDIENTES!$B$1076&lt;&gt;"",_PENDIENTES!$C$1076,"")</f>
        <v/>
      </c>
      <c r="D1082" s="301">
        <f>IF(_PENDIENTES!$B$1076&lt;&gt;"",_PENDIENTES!$D$1076,"")</f>
        <v/>
      </c>
      <c r="E1082" s="301">
        <f>IF(_PENDIENTES!$B$1076&lt;&gt;"",_PENDIENTES!$E$1076,"")</f>
        <v/>
      </c>
      <c r="F1082" s="301">
        <f>IF(_PENDIENTES!$B$1076&lt;&gt;"",_PENDIENTES!$F$1076,"")</f>
        <v/>
      </c>
      <c r="G1082" s="245">
        <f>IF(_PENDIENTES!$B$1076&lt;&gt;"",_PENDIENTES!$G$1076,"")</f>
        <v/>
      </c>
      <c r="H1082" s="245">
        <f>IF(_PENDIENTES!$B$1076&lt;&gt;"",_PENDIENTES!$H$1076,"")</f>
        <v/>
      </c>
      <c r="I1082" s="302">
        <f>IF(_PENDIENTES!$B$1076&lt;&gt;"",_PENDIENTES!$I$1076,"")</f>
        <v/>
      </c>
      <c r="J1082" s="301">
        <f>IF(_PENDIENTES!$B$1076&lt;&gt;"",_PENDIENTES!$J$1076,"")</f>
        <v/>
      </c>
      <c r="K1082" s="301">
        <f>IF(_PENDIENTES!$B$1076&lt;&gt;"","POR RECOGER","")</f>
        <v/>
      </c>
      <c r="L1082" s="301">
        <f>IF(_PENDIENTES!$B$1076&lt;&gt;"",_PENDIENTES!$K$1076,"")</f>
        <v/>
      </c>
      <c r="M1082" s="284">
        <f>IF(_PENDIENTES!$B$1076&lt;&gt;"",_PENDIENTES!$B$1076,"")</f>
        <v/>
      </c>
      <c r="N1082" s="304">
        <f>IF(_PENDIENTES!$B$1076&lt;&gt;"",_PENDIENTES!$L$1076,"")</f>
        <v/>
      </c>
      <c r="O1082" s="284" t="n"/>
    </row>
    <row r="1083" hidden="1" ht="15.75" customHeight="1" s="195">
      <c r="A1083" s="241">
        <f>IF(_PENDIENTES!$B$1077&lt;&gt;"",1076,"")</f>
        <v/>
      </c>
      <c r="B1083" s="236">
        <f>IF(_PENDIENTES!$B$1077&lt;&gt;"",_PENDIENTES!$A$1077,"")</f>
        <v/>
      </c>
      <c r="C1083" s="305">
        <f>IF(_PENDIENTES!$B$1077&lt;&gt;"",_PENDIENTES!$C$1077,"")</f>
        <v/>
      </c>
      <c r="D1083" s="241">
        <f>IF(_PENDIENTES!$B$1077&lt;&gt;"",_PENDIENTES!$D$1077,"")</f>
        <v/>
      </c>
      <c r="E1083" s="241">
        <f>IF(_PENDIENTES!$B$1077&lt;&gt;"",_PENDIENTES!$E$1077,"")</f>
        <v/>
      </c>
      <c r="F1083" s="241">
        <f>IF(_PENDIENTES!$B$1077&lt;&gt;"",_PENDIENTES!$F$1077,"")</f>
        <v/>
      </c>
      <c r="G1083" s="239">
        <f>IF(_PENDIENTES!$B$1077&lt;&gt;"",_PENDIENTES!$G$1077,"")</f>
        <v/>
      </c>
      <c r="H1083" s="239">
        <f>IF(_PENDIENTES!$B$1077&lt;&gt;"",_PENDIENTES!$H$1077,"")</f>
        <v/>
      </c>
      <c r="I1083" s="305">
        <f>IF(_PENDIENTES!$B$1077&lt;&gt;"",_PENDIENTES!$I$1077,"")</f>
        <v/>
      </c>
      <c r="J1083" s="241">
        <f>IF(_PENDIENTES!$B$1077&lt;&gt;"",_PENDIENTES!$J$1077,"")</f>
        <v/>
      </c>
      <c r="K1083" s="241">
        <f>IF(_PENDIENTES!$B$1077&lt;&gt;"","POR RECOGER","")</f>
        <v/>
      </c>
      <c r="L1083" s="241">
        <f>IF(_PENDIENTES!$B$1077&lt;&gt;"",_PENDIENTES!$K$1077,"")</f>
        <v/>
      </c>
      <c r="M1083" s="284">
        <f>IF(_PENDIENTES!$B$1077&lt;&gt;"",_PENDIENTES!$B$1077,"")</f>
        <v/>
      </c>
      <c r="N1083" s="304">
        <f>IF(_PENDIENTES!$B$1077&lt;&gt;"",_PENDIENTES!$L$1077,"")</f>
        <v/>
      </c>
      <c r="O1083" s="284" t="n"/>
    </row>
    <row r="1084" hidden="1" ht="15.75" customHeight="1" s="195">
      <c r="A1084" s="301">
        <f>IF(_PENDIENTES!$B$1078&lt;&gt;"",1077,"")</f>
        <v/>
      </c>
      <c r="B1084" s="242">
        <f>IF(_PENDIENTES!$B$1078&lt;&gt;"",_PENDIENTES!$A$1078,"")</f>
        <v/>
      </c>
      <c r="C1084" s="302">
        <f>IF(_PENDIENTES!$B$1078&lt;&gt;"",_PENDIENTES!$C$1078,"")</f>
        <v/>
      </c>
      <c r="D1084" s="301">
        <f>IF(_PENDIENTES!$B$1078&lt;&gt;"",_PENDIENTES!$D$1078,"")</f>
        <v/>
      </c>
      <c r="E1084" s="301">
        <f>IF(_PENDIENTES!$B$1078&lt;&gt;"",_PENDIENTES!$E$1078,"")</f>
        <v/>
      </c>
      <c r="F1084" s="301">
        <f>IF(_PENDIENTES!$B$1078&lt;&gt;"",_PENDIENTES!$F$1078,"")</f>
        <v/>
      </c>
      <c r="G1084" s="245">
        <f>IF(_PENDIENTES!$B$1078&lt;&gt;"",_PENDIENTES!$G$1078,"")</f>
        <v/>
      </c>
      <c r="H1084" s="245">
        <f>IF(_PENDIENTES!$B$1078&lt;&gt;"",_PENDIENTES!$H$1078,"")</f>
        <v/>
      </c>
      <c r="I1084" s="302">
        <f>IF(_PENDIENTES!$B$1078&lt;&gt;"",_PENDIENTES!$I$1078,"")</f>
        <v/>
      </c>
      <c r="J1084" s="301">
        <f>IF(_PENDIENTES!$B$1078&lt;&gt;"",_PENDIENTES!$J$1078,"")</f>
        <v/>
      </c>
      <c r="K1084" s="301">
        <f>IF(_PENDIENTES!$B$1078&lt;&gt;"","POR RECOGER","")</f>
        <v/>
      </c>
      <c r="L1084" s="301">
        <f>IF(_PENDIENTES!$B$1078&lt;&gt;"",_PENDIENTES!$K$1078,"")</f>
        <v/>
      </c>
      <c r="M1084" s="284">
        <f>IF(_PENDIENTES!$B$1078&lt;&gt;"",_PENDIENTES!$B$1078,"")</f>
        <v/>
      </c>
      <c r="N1084" s="304">
        <f>IF(_PENDIENTES!$B$1078&lt;&gt;"",_PENDIENTES!$L$1078,"")</f>
        <v/>
      </c>
      <c r="O1084" s="284" t="n"/>
    </row>
    <row r="1085" hidden="1" ht="15.75" customHeight="1" s="195">
      <c r="A1085" s="241">
        <f>IF(_PENDIENTES!$B$1079&lt;&gt;"",1078,"")</f>
        <v/>
      </c>
      <c r="B1085" s="236">
        <f>IF(_PENDIENTES!$B$1079&lt;&gt;"",_PENDIENTES!$A$1079,"")</f>
        <v/>
      </c>
      <c r="C1085" s="305">
        <f>IF(_PENDIENTES!$B$1079&lt;&gt;"",_PENDIENTES!$C$1079,"")</f>
        <v/>
      </c>
      <c r="D1085" s="241">
        <f>IF(_PENDIENTES!$B$1079&lt;&gt;"",_PENDIENTES!$D$1079,"")</f>
        <v/>
      </c>
      <c r="E1085" s="241">
        <f>IF(_PENDIENTES!$B$1079&lt;&gt;"",_PENDIENTES!$E$1079,"")</f>
        <v/>
      </c>
      <c r="F1085" s="241">
        <f>IF(_PENDIENTES!$B$1079&lt;&gt;"",_PENDIENTES!$F$1079,"")</f>
        <v/>
      </c>
      <c r="G1085" s="239">
        <f>IF(_PENDIENTES!$B$1079&lt;&gt;"",_PENDIENTES!$G$1079,"")</f>
        <v/>
      </c>
      <c r="H1085" s="239">
        <f>IF(_PENDIENTES!$B$1079&lt;&gt;"",_PENDIENTES!$H$1079,"")</f>
        <v/>
      </c>
      <c r="I1085" s="305">
        <f>IF(_PENDIENTES!$B$1079&lt;&gt;"",_PENDIENTES!$I$1079,"")</f>
        <v/>
      </c>
      <c r="J1085" s="241">
        <f>IF(_PENDIENTES!$B$1079&lt;&gt;"",_PENDIENTES!$J$1079,"")</f>
        <v/>
      </c>
      <c r="K1085" s="241">
        <f>IF(_PENDIENTES!$B$1079&lt;&gt;"","POR RECOGER","")</f>
        <v/>
      </c>
      <c r="L1085" s="241">
        <f>IF(_PENDIENTES!$B$1079&lt;&gt;"",_PENDIENTES!$K$1079,"")</f>
        <v/>
      </c>
      <c r="M1085" s="284">
        <f>IF(_PENDIENTES!$B$1079&lt;&gt;"",_PENDIENTES!$B$1079,"")</f>
        <v/>
      </c>
      <c r="N1085" s="304">
        <f>IF(_PENDIENTES!$B$1079&lt;&gt;"",_PENDIENTES!$L$1079,"")</f>
        <v/>
      </c>
      <c r="O1085" s="284" t="n"/>
    </row>
    <row r="1086" hidden="1" ht="15.75" customHeight="1" s="195">
      <c r="A1086" s="301">
        <f>IF(_PENDIENTES!$B$1080&lt;&gt;"",1079,"")</f>
        <v/>
      </c>
      <c r="B1086" s="242">
        <f>IF(_PENDIENTES!$B$1080&lt;&gt;"",_PENDIENTES!$A$1080,"")</f>
        <v/>
      </c>
      <c r="C1086" s="302">
        <f>IF(_PENDIENTES!$B$1080&lt;&gt;"",_PENDIENTES!$C$1080,"")</f>
        <v/>
      </c>
      <c r="D1086" s="301">
        <f>IF(_PENDIENTES!$B$1080&lt;&gt;"",_PENDIENTES!$D$1080,"")</f>
        <v/>
      </c>
      <c r="E1086" s="301">
        <f>IF(_PENDIENTES!$B$1080&lt;&gt;"",_PENDIENTES!$E$1080,"")</f>
        <v/>
      </c>
      <c r="F1086" s="301">
        <f>IF(_PENDIENTES!$B$1080&lt;&gt;"",_PENDIENTES!$F$1080,"")</f>
        <v/>
      </c>
      <c r="G1086" s="245">
        <f>IF(_PENDIENTES!$B$1080&lt;&gt;"",_PENDIENTES!$G$1080,"")</f>
        <v/>
      </c>
      <c r="H1086" s="245">
        <f>IF(_PENDIENTES!$B$1080&lt;&gt;"",_PENDIENTES!$H$1080,"")</f>
        <v/>
      </c>
      <c r="I1086" s="302">
        <f>IF(_PENDIENTES!$B$1080&lt;&gt;"",_PENDIENTES!$I$1080,"")</f>
        <v/>
      </c>
      <c r="J1086" s="301">
        <f>IF(_PENDIENTES!$B$1080&lt;&gt;"",_PENDIENTES!$J$1080,"")</f>
        <v/>
      </c>
      <c r="K1086" s="301">
        <f>IF(_PENDIENTES!$B$1080&lt;&gt;"","POR RECOGER","")</f>
        <v/>
      </c>
      <c r="L1086" s="301">
        <f>IF(_PENDIENTES!$B$1080&lt;&gt;"",_PENDIENTES!$K$1080,"")</f>
        <v/>
      </c>
      <c r="M1086" s="284">
        <f>IF(_PENDIENTES!$B$1080&lt;&gt;"",_PENDIENTES!$B$1080,"")</f>
        <v/>
      </c>
      <c r="N1086" s="304">
        <f>IF(_PENDIENTES!$B$1080&lt;&gt;"",_PENDIENTES!$L$1080,"")</f>
        <v/>
      </c>
      <c r="O1086" s="284" t="n"/>
    </row>
    <row r="1087" hidden="1" ht="15.75" customHeight="1" s="195">
      <c r="A1087" s="241">
        <f>IF(_PENDIENTES!$B$1081&lt;&gt;"",1080,"")</f>
        <v/>
      </c>
      <c r="B1087" s="236">
        <f>IF(_PENDIENTES!$B$1081&lt;&gt;"",_PENDIENTES!$A$1081,"")</f>
        <v/>
      </c>
      <c r="C1087" s="305">
        <f>IF(_PENDIENTES!$B$1081&lt;&gt;"",_PENDIENTES!$C$1081,"")</f>
        <v/>
      </c>
      <c r="D1087" s="241">
        <f>IF(_PENDIENTES!$B$1081&lt;&gt;"",_PENDIENTES!$D$1081,"")</f>
        <v/>
      </c>
      <c r="E1087" s="241">
        <f>IF(_PENDIENTES!$B$1081&lt;&gt;"",_PENDIENTES!$E$1081,"")</f>
        <v/>
      </c>
      <c r="F1087" s="241">
        <f>IF(_PENDIENTES!$B$1081&lt;&gt;"",_PENDIENTES!$F$1081,"")</f>
        <v/>
      </c>
      <c r="G1087" s="239">
        <f>IF(_PENDIENTES!$B$1081&lt;&gt;"",_PENDIENTES!$G$1081,"")</f>
        <v/>
      </c>
      <c r="H1087" s="239">
        <f>IF(_PENDIENTES!$B$1081&lt;&gt;"",_PENDIENTES!$H$1081,"")</f>
        <v/>
      </c>
      <c r="I1087" s="305">
        <f>IF(_PENDIENTES!$B$1081&lt;&gt;"",_PENDIENTES!$I$1081,"")</f>
        <v/>
      </c>
      <c r="J1087" s="241">
        <f>IF(_PENDIENTES!$B$1081&lt;&gt;"",_PENDIENTES!$J$1081,"")</f>
        <v/>
      </c>
      <c r="K1087" s="241">
        <f>IF(_PENDIENTES!$B$1081&lt;&gt;"","POR RECOGER","")</f>
        <v/>
      </c>
      <c r="L1087" s="241">
        <f>IF(_PENDIENTES!$B$1081&lt;&gt;"",_PENDIENTES!$K$1081,"")</f>
        <v/>
      </c>
      <c r="M1087" s="284">
        <f>IF(_PENDIENTES!$B$1081&lt;&gt;"",_PENDIENTES!$B$1081,"")</f>
        <v/>
      </c>
      <c r="N1087" s="304">
        <f>IF(_PENDIENTES!$B$1081&lt;&gt;"",_PENDIENTES!$L$1081,"")</f>
        <v/>
      </c>
      <c r="O1087" s="284" t="n"/>
    </row>
    <row r="1088" hidden="1" ht="15.75" customHeight="1" s="195">
      <c r="A1088" s="301">
        <f>IF(_PENDIENTES!$B$1082&lt;&gt;"",1081,"")</f>
        <v/>
      </c>
      <c r="B1088" s="242">
        <f>IF(_PENDIENTES!$B$1082&lt;&gt;"",_PENDIENTES!$A$1082,"")</f>
        <v/>
      </c>
      <c r="C1088" s="302">
        <f>IF(_PENDIENTES!$B$1082&lt;&gt;"",_PENDIENTES!$C$1082,"")</f>
        <v/>
      </c>
      <c r="D1088" s="301">
        <f>IF(_PENDIENTES!$B$1082&lt;&gt;"",_PENDIENTES!$D$1082,"")</f>
        <v/>
      </c>
      <c r="E1088" s="301">
        <f>IF(_PENDIENTES!$B$1082&lt;&gt;"",_PENDIENTES!$E$1082,"")</f>
        <v/>
      </c>
      <c r="F1088" s="301">
        <f>IF(_PENDIENTES!$B$1082&lt;&gt;"",_PENDIENTES!$F$1082,"")</f>
        <v/>
      </c>
      <c r="G1088" s="245">
        <f>IF(_PENDIENTES!$B$1082&lt;&gt;"",_PENDIENTES!$G$1082,"")</f>
        <v/>
      </c>
      <c r="H1088" s="245">
        <f>IF(_PENDIENTES!$B$1082&lt;&gt;"",_PENDIENTES!$H$1082,"")</f>
        <v/>
      </c>
      <c r="I1088" s="302">
        <f>IF(_PENDIENTES!$B$1082&lt;&gt;"",_PENDIENTES!$I$1082,"")</f>
        <v/>
      </c>
      <c r="J1088" s="301">
        <f>IF(_PENDIENTES!$B$1082&lt;&gt;"",_PENDIENTES!$J$1082,"")</f>
        <v/>
      </c>
      <c r="K1088" s="301">
        <f>IF(_PENDIENTES!$B$1082&lt;&gt;"","POR RECOGER","")</f>
        <v/>
      </c>
      <c r="L1088" s="301">
        <f>IF(_PENDIENTES!$B$1082&lt;&gt;"",_PENDIENTES!$K$1082,"")</f>
        <v/>
      </c>
      <c r="M1088" s="284">
        <f>IF(_PENDIENTES!$B$1082&lt;&gt;"",_PENDIENTES!$B$1082,"")</f>
        <v/>
      </c>
      <c r="N1088" s="304">
        <f>IF(_PENDIENTES!$B$1082&lt;&gt;"",_PENDIENTES!$L$1082,"")</f>
        <v/>
      </c>
      <c r="O1088" s="284" t="n"/>
    </row>
    <row r="1089" hidden="1" ht="15.75" customHeight="1" s="195">
      <c r="A1089" s="241">
        <f>IF(_PENDIENTES!$B$1083&lt;&gt;"",1082,"")</f>
        <v/>
      </c>
      <c r="B1089" s="236">
        <f>IF(_PENDIENTES!$B$1083&lt;&gt;"",_PENDIENTES!$A$1083,"")</f>
        <v/>
      </c>
      <c r="C1089" s="305">
        <f>IF(_PENDIENTES!$B$1083&lt;&gt;"",_PENDIENTES!$C$1083,"")</f>
        <v/>
      </c>
      <c r="D1089" s="241">
        <f>IF(_PENDIENTES!$B$1083&lt;&gt;"",_PENDIENTES!$D$1083,"")</f>
        <v/>
      </c>
      <c r="E1089" s="241">
        <f>IF(_PENDIENTES!$B$1083&lt;&gt;"",_PENDIENTES!$E$1083,"")</f>
        <v/>
      </c>
      <c r="F1089" s="241">
        <f>IF(_PENDIENTES!$B$1083&lt;&gt;"",_PENDIENTES!$F$1083,"")</f>
        <v/>
      </c>
      <c r="G1089" s="239">
        <f>IF(_PENDIENTES!$B$1083&lt;&gt;"",_PENDIENTES!$G$1083,"")</f>
        <v/>
      </c>
      <c r="H1089" s="239">
        <f>IF(_PENDIENTES!$B$1083&lt;&gt;"",_PENDIENTES!$H$1083,"")</f>
        <v/>
      </c>
      <c r="I1089" s="305">
        <f>IF(_PENDIENTES!$B$1083&lt;&gt;"",_PENDIENTES!$I$1083,"")</f>
        <v/>
      </c>
      <c r="J1089" s="241">
        <f>IF(_PENDIENTES!$B$1083&lt;&gt;"",_PENDIENTES!$J$1083,"")</f>
        <v/>
      </c>
      <c r="K1089" s="241">
        <f>IF(_PENDIENTES!$B$1083&lt;&gt;"","POR RECOGER","")</f>
        <v/>
      </c>
      <c r="L1089" s="241">
        <f>IF(_PENDIENTES!$B$1083&lt;&gt;"",_PENDIENTES!$K$1083,"")</f>
        <v/>
      </c>
      <c r="M1089" s="284">
        <f>IF(_PENDIENTES!$B$1083&lt;&gt;"",_PENDIENTES!$B$1083,"")</f>
        <v/>
      </c>
      <c r="N1089" s="304">
        <f>IF(_PENDIENTES!$B$1083&lt;&gt;"",_PENDIENTES!$L$1083,"")</f>
        <v/>
      </c>
      <c r="O1089" s="284" t="n"/>
    </row>
    <row r="1090" hidden="1" ht="15.75" customHeight="1" s="195">
      <c r="A1090" s="301">
        <f>IF(_PENDIENTES!$B$1084&lt;&gt;"",1083,"")</f>
        <v/>
      </c>
      <c r="B1090" s="242">
        <f>IF(_PENDIENTES!$B$1084&lt;&gt;"",_PENDIENTES!$A$1084,"")</f>
        <v/>
      </c>
      <c r="C1090" s="302">
        <f>IF(_PENDIENTES!$B$1084&lt;&gt;"",_PENDIENTES!$C$1084,"")</f>
        <v/>
      </c>
      <c r="D1090" s="301">
        <f>IF(_PENDIENTES!$B$1084&lt;&gt;"",_PENDIENTES!$D$1084,"")</f>
        <v/>
      </c>
      <c r="E1090" s="301">
        <f>IF(_PENDIENTES!$B$1084&lt;&gt;"",_PENDIENTES!$E$1084,"")</f>
        <v/>
      </c>
      <c r="F1090" s="301">
        <f>IF(_PENDIENTES!$B$1084&lt;&gt;"",_PENDIENTES!$F$1084,"")</f>
        <v/>
      </c>
      <c r="G1090" s="245">
        <f>IF(_PENDIENTES!$B$1084&lt;&gt;"",_PENDIENTES!$G$1084,"")</f>
        <v/>
      </c>
      <c r="H1090" s="245">
        <f>IF(_PENDIENTES!$B$1084&lt;&gt;"",_PENDIENTES!$H$1084,"")</f>
        <v/>
      </c>
      <c r="I1090" s="302">
        <f>IF(_PENDIENTES!$B$1084&lt;&gt;"",_PENDIENTES!$I$1084,"")</f>
        <v/>
      </c>
      <c r="J1090" s="301">
        <f>IF(_PENDIENTES!$B$1084&lt;&gt;"",_PENDIENTES!$J$1084,"")</f>
        <v/>
      </c>
      <c r="K1090" s="301">
        <f>IF(_PENDIENTES!$B$1084&lt;&gt;"","POR RECOGER","")</f>
        <v/>
      </c>
      <c r="L1090" s="301">
        <f>IF(_PENDIENTES!$B$1084&lt;&gt;"",_PENDIENTES!$K$1084,"")</f>
        <v/>
      </c>
      <c r="M1090" s="284">
        <f>IF(_PENDIENTES!$B$1084&lt;&gt;"",_PENDIENTES!$B$1084,"")</f>
        <v/>
      </c>
      <c r="N1090" s="304">
        <f>IF(_PENDIENTES!$B$1084&lt;&gt;"",_PENDIENTES!$L$1084,"")</f>
        <v/>
      </c>
      <c r="O1090" s="284" t="n"/>
    </row>
    <row r="1091" hidden="1" ht="15.75" customHeight="1" s="195">
      <c r="A1091" s="241">
        <f>IF(_PENDIENTES!$B$1085&lt;&gt;"",1084,"")</f>
        <v/>
      </c>
      <c r="B1091" s="236">
        <f>IF(_PENDIENTES!$B$1085&lt;&gt;"",_PENDIENTES!$A$1085,"")</f>
        <v/>
      </c>
      <c r="C1091" s="305">
        <f>IF(_PENDIENTES!$B$1085&lt;&gt;"",_PENDIENTES!$C$1085,"")</f>
        <v/>
      </c>
      <c r="D1091" s="241">
        <f>IF(_PENDIENTES!$B$1085&lt;&gt;"",_PENDIENTES!$D$1085,"")</f>
        <v/>
      </c>
      <c r="E1091" s="241">
        <f>IF(_PENDIENTES!$B$1085&lt;&gt;"",_PENDIENTES!$E$1085,"")</f>
        <v/>
      </c>
      <c r="F1091" s="241">
        <f>IF(_PENDIENTES!$B$1085&lt;&gt;"",_PENDIENTES!$F$1085,"")</f>
        <v/>
      </c>
      <c r="G1091" s="239">
        <f>IF(_PENDIENTES!$B$1085&lt;&gt;"",_PENDIENTES!$G$1085,"")</f>
        <v/>
      </c>
      <c r="H1091" s="239">
        <f>IF(_PENDIENTES!$B$1085&lt;&gt;"",_PENDIENTES!$H$1085,"")</f>
        <v/>
      </c>
      <c r="I1091" s="305">
        <f>IF(_PENDIENTES!$B$1085&lt;&gt;"",_PENDIENTES!$I$1085,"")</f>
        <v/>
      </c>
      <c r="J1091" s="241">
        <f>IF(_PENDIENTES!$B$1085&lt;&gt;"",_PENDIENTES!$J$1085,"")</f>
        <v/>
      </c>
      <c r="K1091" s="241">
        <f>IF(_PENDIENTES!$B$1085&lt;&gt;"","POR RECOGER","")</f>
        <v/>
      </c>
      <c r="L1091" s="241">
        <f>IF(_PENDIENTES!$B$1085&lt;&gt;"",_PENDIENTES!$K$1085,"")</f>
        <v/>
      </c>
      <c r="M1091" s="284">
        <f>IF(_PENDIENTES!$B$1085&lt;&gt;"",_PENDIENTES!$B$1085,"")</f>
        <v/>
      </c>
      <c r="N1091" s="304">
        <f>IF(_PENDIENTES!$B$1085&lt;&gt;"",_PENDIENTES!$L$1085,"")</f>
        <v/>
      </c>
      <c r="O1091" s="284" t="n"/>
    </row>
    <row r="1092" hidden="1" ht="15.75" customHeight="1" s="195">
      <c r="A1092" s="301">
        <f>IF(_PENDIENTES!$B$1086&lt;&gt;"",1085,"")</f>
        <v/>
      </c>
      <c r="B1092" s="242">
        <f>IF(_PENDIENTES!$B$1086&lt;&gt;"",_PENDIENTES!$A$1086,"")</f>
        <v/>
      </c>
      <c r="C1092" s="302">
        <f>IF(_PENDIENTES!$B$1086&lt;&gt;"",_PENDIENTES!$C$1086,"")</f>
        <v/>
      </c>
      <c r="D1092" s="301">
        <f>IF(_PENDIENTES!$B$1086&lt;&gt;"",_PENDIENTES!$D$1086,"")</f>
        <v/>
      </c>
      <c r="E1092" s="301">
        <f>IF(_PENDIENTES!$B$1086&lt;&gt;"",_PENDIENTES!$E$1086,"")</f>
        <v/>
      </c>
      <c r="F1092" s="301">
        <f>IF(_PENDIENTES!$B$1086&lt;&gt;"",_PENDIENTES!$F$1086,"")</f>
        <v/>
      </c>
      <c r="G1092" s="245">
        <f>IF(_PENDIENTES!$B$1086&lt;&gt;"",_PENDIENTES!$G$1086,"")</f>
        <v/>
      </c>
      <c r="H1092" s="245">
        <f>IF(_PENDIENTES!$B$1086&lt;&gt;"",_PENDIENTES!$H$1086,"")</f>
        <v/>
      </c>
      <c r="I1092" s="302">
        <f>IF(_PENDIENTES!$B$1086&lt;&gt;"",_PENDIENTES!$I$1086,"")</f>
        <v/>
      </c>
      <c r="J1092" s="301">
        <f>IF(_PENDIENTES!$B$1086&lt;&gt;"",_PENDIENTES!$J$1086,"")</f>
        <v/>
      </c>
      <c r="K1092" s="301">
        <f>IF(_PENDIENTES!$B$1086&lt;&gt;"","POR RECOGER","")</f>
        <v/>
      </c>
      <c r="L1092" s="301">
        <f>IF(_PENDIENTES!$B$1086&lt;&gt;"",_PENDIENTES!$K$1086,"")</f>
        <v/>
      </c>
      <c r="M1092" s="284">
        <f>IF(_PENDIENTES!$B$1086&lt;&gt;"",_PENDIENTES!$B$1086,"")</f>
        <v/>
      </c>
      <c r="N1092" s="304">
        <f>IF(_PENDIENTES!$B$1086&lt;&gt;"",_PENDIENTES!$L$1086,"")</f>
        <v/>
      </c>
      <c r="O1092" s="284" t="n"/>
    </row>
    <row r="1093" hidden="1" ht="15.75" customHeight="1" s="195">
      <c r="A1093" s="241">
        <f>IF(_PENDIENTES!$B$1087&lt;&gt;"",1086,"")</f>
        <v/>
      </c>
      <c r="B1093" s="236">
        <f>IF(_PENDIENTES!$B$1087&lt;&gt;"",_PENDIENTES!$A$1087,"")</f>
        <v/>
      </c>
      <c r="C1093" s="305">
        <f>IF(_PENDIENTES!$B$1087&lt;&gt;"",_PENDIENTES!$C$1087,"")</f>
        <v/>
      </c>
      <c r="D1093" s="241">
        <f>IF(_PENDIENTES!$B$1087&lt;&gt;"",_PENDIENTES!$D$1087,"")</f>
        <v/>
      </c>
      <c r="E1093" s="241">
        <f>IF(_PENDIENTES!$B$1087&lt;&gt;"",_PENDIENTES!$E$1087,"")</f>
        <v/>
      </c>
      <c r="F1093" s="241">
        <f>IF(_PENDIENTES!$B$1087&lt;&gt;"",_PENDIENTES!$F$1087,"")</f>
        <v/>
      </c>
      <c r="G1093" s="239">
        <f>IF(_PENDIENTES!$B$1087&lt;&gt;"",_PENDIENTES!$G$1087,"")</f>
        <v/>
      </c>
      <c r="H1093" s="239">
        <f>IF(_PENDIENTES!$B$1087&lt;&gt;"",_PENDIENTES!$H$1087,"")</f>
        <v/>
      </c>
      <c r="I1093" s="305">
        <f>IF(_PENDIENTES!$B$1087&lt;&gt;"",_PENDIENTES!$I$1087,"")</f>
        <v/>
      </c>
      <c r="J1093" s="241">
        <f>IF(_PENDIENTES!$B$1087&lt;&gt;"",_PENDIENTES!$J$1087,"")</f>
        <v/>
      </c>
      <c r="K1093" s="241">
        <f>IF(_PENDIENTES!$B$1087&lt;&gt;"","POR RECOGER","")</f>
        <v/>
      </c>
      <c r="L1093" s="241">
        <f>IF(_PENDIENTES!$B$1087&lt;&gt;"",_PENDIENTES!$K$1087,"")</f>
        <v/>
      </c>
      <c r="M1093" s="284">
        <f>IF(_PENDIENTES!$B$1087&lt;&gt;"",_PENDIENTES!$B$1087,"")</f>
        <v/>
      </c>
      <c r="N1093" s="304">
        <f>IF(_PENDIENTES!$B$1087&lt;&gt;"",_PENDIENTES!$L$1087,"")</f>
        <v/>
      </c>
      <c r="O1093" s="284" t="n"/>
    </row>
    <row r="1094" hidden="1" ht="15.75" customHeight="1" s="195">
      <c r="A1094" s="301">
        <f>IF(_PENDIENTES!$B$1088&lt;&gt;"",1087,"")</f>
        <v/>
      </c>
      <c r="B1094" s="242">
        <f>IF(_PENDIENTES!$B$1088&lt;&gt;"",_PENDIENTES!$A$1088,"")</f>
        <v/>
      </c>
      <c r="C1094" s="302">
        <f>IF(_PENDIENTES!$B$1088&lt;&gt;"",_PENDIENTES!$C$1088,"")</f>
        <v/>
      </c>
      <c r="D1094" s="301">
        <f>IF(_PENDIENTES!$B$1088&lt;&gt;"",_PENDIENTES!$D$1088,"")</f>
        <v/>
      </c>
      <c r="E1094" s="301">
        <f>IF(_PENDIENTES!$B$1088&lt;&gt;"",_PENDIENTES!$E$1088,"")</f>
        <v/>
      </c>
      <c r="F1094" s="301">
        <f>IF(_PENDIENTES!$B$1088&lt;&gt;"",_PENDIENTES!$F$1088,"")</f>
        <v/>
      </c>
      <c r="G1094" s="245">
        <f>IF(_PENDIENTES!$B$1088&lt;&gt;"",_PENDIENTES!$G$1088,"")</f>
        <v/>
      </c>
      <c r="H1094" s="245">
        <f>IF(_PENDIENTES!$B$1088&lt;&gt;"",_PENDIENTES!$H$1088,"")</f>
        <v/>
      </c>
      <c r="I1094" s="302">
        <f>IF(_PENDIENTES!$B$1088&lt;&gt;"",_PENDIENTES!$I$1088,"")</f>
        <v/>
      </c>
      <c r="J1094" s="301">
        <f>IF(_PENDIENTES!$B$1088&lt;&gt;"",_PENDIENTES!$J$1088,"")</f>
        <v/>
      </c>
      <c r="K1094" s="301">
        <f>IF(_PENDIENTES!$B$1088&lt;&gt;"","POR RECOGER","")</f>
        <v/>
      </c>
      <c r="L1094" s="301">
        <f>IF(_PENDIENTES!$B$1088&lt;&gt;"",_PENDIENTES!$K$1088,"")</f>
        <v/>
      </c>
      <c r="M1094" s="284">
        <f>IF(_PENDIENTES!$B$1088&lt;&gt;"",_PENDIENTES!$B$1088,"")</f>
        <v/>
      </c>
      <c r="N1094" s="304">
        <f>IF(_PENDIENTES!$B$1088&lt;&gt;"",_PENDIENTES!$L$1088,"")</f>
        <v/>
      </c>
      <c r="O1094" s="284" t="n"/>
    </row>
    <row r="1095" hidden="1" ht="15.75" customHeight="1" s="195">
      <c r="A1095" s="241">
        <f>IF(_PENDIENTES!$B$1089&lt;&gt;"",1088,"")</f>
        <v/>
      </c>
      <c r="B1095" s="236">
        <f>IF(_PENDIENTES!$B$1089&lt;&gt;"",_PENDIENTES!$A$1089,"")</f>
        <v/>
      </c>
      <c r="C1095" s="305">
        <f>IF(_PENDIENTES!$B$1089&lt;&gt;"",_PENDIENTES!$C$1089,"")</f>
        <v/>
      </c>
      <c r="D1095" s="241">
        <f>IF(_PENDIENTES!$B$1089&lt;&gt;"",_PENDIENTES!$D$1089,"")</f>
        <v/>
      </c>
      <c r="E1095" s="241">
        <f>IF(_PENDIENTES!$B$1089&lt;&gt;"",_PENDIENTES!$E$1089,"")</f>
        <v/>
      </c>
      <c r="F1095" s="241">
        <f>IF(_PENDIENTES!$B$1089&lt;&gt;"",_PENDIENTES!$F$1089,"")</f>
        <v/>
      </c>
      <c r="G1095" s="239">
        <f>IF(_PENDIENTES!$B$1089&lt;&gt;"",_PENDIENTES!$G$1089,"")</f>
        <v/>
      </c>
      <c r="H1095" s="239">
        <f>IF(_PENDIENTES!$B$1089&lt;&gt;"",_PENDIENTES!$H$1089,"")</f>
        <v/>
      </c>
      <c r="I1095" s="305">
        <f>IF(_PENDIENTES!$B$1089&lt;&gt;"",_PENDIENTES!$I$1089,"")</f>
        <v/>
      </c>
      <c r="J1095" s="241">
        <f>IF(_PENDIENTES!$B$1089&lt;&gt;"",_PENDIENTES!$J$1089,"")</f>
        <v/>
      </c>
      <c r="K1095" s="241">
        <f>IF(_PENDIENTES!$B$1089&lt;&gt;"","POR RECOGER","")</f>
        <v/>
      </c>
      <c r="L1095" s="241">
        <f>IF(_PENDIENTES!$B$1089&lt;&gt;"",_PENDIENTES!$K$1089,"")</f>
        <v/>
      </c>
      <c r="M1095" s="284">
        <f>IF(_PENDIENTES!$B$1089&lt;&gt;"",_PENDIENTES!$B$1089,"")</f>
        <v/>
      </c>
      <c r="N1095" s="304">
        <f>IF(_PENDIENTES!$B$1089&lt;&gt;"",_PENDIENTES!$L$1089,"")</f>
        <v/>
      </c>
      <c r="O1095" s="284" t="n"/>
    </row>
    <row r="1096" hidden="1" ht="15.75" customHeight="1" s="195">
      <c r="A1096" s="301">
        <f>IF(_PENDIENTES!$B$1090&lt;&gt;"",1089,"")</f>
        <v/>
      </c>
      <c r="B1096" s="242">
        <f>IF(_PENDIENTES!$B$1090&lt;&gt;"",_PENDIENTES!$A$1090,"")</f>
        <v/>
      </c>
      <c r="C1096" s="302">
        <f>IF(_PENDIENTES!$B$1090&lt;&gt;"",_PENDIENTES!$C$1090,"")</f>
        <v/>
      </c>
      <c r="D1096" s="301">
        <f>IF(_PENDIENTES!$B$1090&lt;&gt;"",_PENDIENTES!$D$1090,"")</f>
        <v/>
      </c>
      <c r="E1096" s="301">
        <f>IF(_PENDIENTES!$B$1090&lt;&gt;"",_PENDIENTES!$E$1090,"")</f>
        <v/>
      </c>
      <c r="F1096" s="301">
        <f>IF(_PENDIENTES!$B$1090&lt;&gt;"",_PENDIENTES!$F$1090,"")</f>
        <v/>
      </c>
      <c r="G1096" s="245">
        <f>IF(_PENDIENTES!$B$1090&lt;&gt;"",_PENDIENTES!$G$1090,"")</f>
        <v/>
      </c>
      <c r="H1096" s="245">
        <f>IF(_PENDIENTES!$B$1090&lt;&gt;"",_PENDIENTES!$H$1090,"")</f>
        <v/>
      </c>
      <c r="I1096" s="302">
        <f>IF(_PENDIENTES!$B$1090&lt;&gt;"",_PENDIENTES!$I$1090,"")</f>
        <v/>
      </c>
      <c r="J1096" s="301">
        <f>IF(_PENDIENTES!$B$1090&lt;&gt;"",_PENDIENTES!$J$1090,"")</f>
        <v/>
      </c>
      <c r="K1096" s="301">
        <f>IF(_PENDIENTES!$B$1090&lt;&gt;"","POR RECOGER","")</f>
        <v/>
      </c>
      <c r="L1096" s="301">
        <f>IF(_PENDIENTES!$B$1090&lt;&gt;"",_PENDIENTES!$K$1090,"")</f>
        <v/>
      </c>
      <c r="M1096" s="284">
        <f>IF(_PENDIENTES!$B$1090&lt;&gt;"",_PENDIENTES!$B$1090,"")</f>
        <v/>
      </c>
      <c r="N1096" s="304">
        <f>IF(_PENDIENTES!$B$1090&lt;&gt;"",_PENDIENTES!$L$1090,"")</f>
        <v/>
      </c>
      <c r="O1096" s="284" t="n"/>
    </row>
    <row r="1097" hidden="1" ht="15.75" customHeight="1" s="195">
      <c r="A1097" s="241">
        <f>IF(_PENDIENTES!$B$1091&lt;&gt;"",1090,"")</f>
        <v/>
      </c>
      <c r="B1097" s="236">
        <f>IF(_PENDIENTES!$B$1091&lt;&gt;"",_PENDIENTES!$A$1091,"")</f>
        <v/>
      </c>
      <c r="C1097" s="305">
        <f>IF(_PENDIENTES!$B$1091&lt;&gt;"",_PENDIENTES!$C$1091,"")</f>
        <v/>
      </c>
      <c r="D1097" s="241">
        <f>IF(_PENDIENTES!$B$1091&lt;&gt;"",_PENDIENTES!$D$1091,"")</f>
        <v/>
      </c>
      <c r="E1097" s="241">
        <f>IF(_PENDIENTES!$B$1091&lt;&gt;"",_PENDIENTES!$E$1091,"")</f>
        <v/>
      </c>
      <c r="F1097" s="241">
        <f>IF(_PENDIENTES!$B$1091&lt;&gt;"",_PENDIENTES!$F$1091,"")</f>
        <v/>
      </c>
      <c r="G1097" s="239">
        <f>IF(_PENDIENTES!$B$1091&lt;&gt;"",_PENDIENTES!$G$1091,"")</f>
        <v/>
      </c>
      <c r="H1097" s="239">
        <f>IF(_PENDIENTES!$B$1091&lt;&gt;"",_PENDIENTES!$H$1091,"")</f>
        <v/>
      </c>
      <c r="I1097" s="305">
        <f>IF(_PENDIENTES!$B$1091&lt;&gt;"",_PENDIENTES!$I$1091,"")</f>
        <v/>
      </c>
      <c r="J1097" s="241">
        <f>IF(_PENDIENTES!$B$1091&lt;&gt;"",_PENDIENTES!$J$1091,"")</f>
        <v/>
      </c>
      <c r="K1097" s="241">
        <f>IF(_PENDIENTES!$B$1091&lt;&gt;"","POR RECOGER","")</f>
        <v/>
      </c>
      <c r="L1097" s="241">
        <f>IF(_PENDIENTES!$B$1091&lt;&gt;"",_PENDIENTES!$K$1091,"")</f>
        <v/>
      </c>
      <c r="M1097" s="284">
        <f>IF(_PENDIENTES!$B$1091&lt;&gt;"",_PENDIENTES!$B$1091,"")</f>
        <v/>
      </c>
      <c r="N1097" s="304">
        <f>IF(_PENDIENTES!$B$1091&lt;&gt;"",_PENDIENTES!$L$1091,"")</f>
        <v/>
      </c>
      <c r="O1097" s="284" t="n"/>
    </row>
    <row r="1098" hidden="1" ht="15.75" customHeight="1" s="195">
      <c r="A1098" s="301">
        <f>IF(_PENDIENTES!$B$1092&lt;&gt;"",1091,"")</f>
        <v/>
      </c>
      <c r="B1098" s="242">
        <f>IF(_PENDIENTES!$B$1092&lt;&gt;"",_PENDIENTES!$A$1092,"")</f>
        <v/>
      </c>
      <c r="C1098" s="302">
        <f>IF(_PENDIENTES!$B$1092&lt;&gt;"",_PENDIENTES!$C$1092,"")</f>
        <v/>
      </c>
      <c r="D1098" s="301">
        <f>IF(_PENDIENTES!$B$1092&lt;&gt;"",_PENDIENTES!$D$1092,"")</f>
        <v/>
      </c>
      <c r="E1098" s="301">
        <f>IF(_PENDIENTES!$B$1092&lt;&gt;"",_PENDIENTES!$E$1092,"")</f>
        <v/>
      </c>
      <c r="F1098" s="301">
        <f>IF(_PENDIENTES!$B$1092&lt;&gt;"",_PENDIENTES!$F$1092,"")</f>
        <v/>
      </c>
      <c r="G1098" s="245">
        <f>IF(_PENDIENTES!$B$1092&lt;&gt;"",_PENDIENTES!$G$1092,"")</f>
        <v/>
      </c>
      <c r="H1098" s="245">
        <f>IF(_PENDIENTES!$B$1092&lt;&gt;"",_PENDIENTES!$H$1092,"")</f>
        <v/>
      </c>
      <c r="I1098" s="302">
        <f>IF(_PENDIENTES!$B$1092&lt;&gt;"",_PENDIENTES!$I$1092,"")</f>
        <v/>
      </c>
      <c r="J1098" s="301">
        <f>IF(_PENDIENTES!$B$1092&lt;&gt;"",_PENDIENTES!$J$1092,"")</f>
        <v/>
      </c>
      <c r="K1098" s="301">
        <f>IF(_PENDIENTES!$B$1092&lt;&gt;"","POR RECOGER","")</f>
        <v/>
      </c>
      <c r="L1098" s="301">
        <f>IF(_PENDIENTES!$B$1092&lt;&gt;"",_PENDIENTES!$K$1092,"")</f>
        <v/>
      </c>
      <c r="M1098" s="284">
        <f>IF(_PENDIENTES!$B$1092&lt;&gt;"",_PENDIENTES!$B$1092,"")</f>
        <v/>
      </c>
      <c r="N1098" s="304">
        <f>IF(_PENDIENTES!$B$1092&lt;&gt;"",_PENDIENTES!$L$1092,"")</f>
        <v/>
      </c>
      <c r="O1098" s="284" t="n"/>
    </row>
    <row r="1099" hidden="1" ht="15.75" customHeight="1" s="195">
      <c r="A1099" s="241">
        <f>IF(_PENDIENTES!$B$1093&lt;&gt;"",1092,"")</f>
        <v/>
      </c>
      <c r="B1099" s="236">
        <f>IF(_PENDIENTES!$B$1093&lt;&gt;"",_PENDIENTES!$A$1093,"")</f>
        <v/>
      </c>
      <c r="C1099" s="305">
        <f>IF(_PENDIENTES!$B$1093&lt;&gt;"",_PENDIENTES!$C$1093,"")</f>
        <v/>
      </c>
      <c r="D1099" s="241">
        <f>IF(_PENDIENTES!$B$1093&lt;&gt;"",_PENDIENTES!$D$1093,"")</f>
        <v/>
      </c>
      <c r="E1099" s="241">
        <f>IF(_PENDIENTES!$B$1093&lt;&gt;"",_PENDIENTES!$E$1093,"")</f>
        <v/>
      </c>
      <c r="F1099" s="241">
        <f>IF(_PENDIENTES!$B$1093&lt;&gt;"",_PENDIENTES!$F$1093,"")</f>
        <v/>
      </c>
      <c r="G1099" s="239">
        <f>IF(_PENDIENTES!$B$1093&lt;&gt;"",_PENDIENTES!$G$1093,"")</f>
        <v/>
      </c>
      <c r="H1099" s="239">
        <f>IF(_PENDIENTES!$B$1093&lt;&gt;"",_PENDIENTES!$H$1093,"")</f>
        <v/>
      </c>
      <c r="I1099" s="305">
        <f>IF(_PENDIENTES!$B$1093&lt;&gt;"",_PENDIENTES!$I$1093,"")</f>
        <v/>
      </c>
      <c r="J1099" s="241">
        <f>IF(_PENDIENTES!$B$1093&lt;&gt;"",_PENDIENTES!$J$1093,"")</f>
        <v/>
      </c>
      <c r="K1099" s="241">
        <f>IF(_PENDIENTES!$B$1093&lt;&gt;"","POR RECOGER","")</f>
        <v/>
      </c>
      <c r="L1099" s="241">
        <f>IF(_PENDIENTES!$B$1093&lt;&gt;"",_PENDIENTES!$K$1093,"")</f>
        <v/>
      </c>
      <c r="M1099" s="284">
        <f>IF(_PENDIENTES!$B$1093&lt;&gt;"",_PENDIENTES!$B$1093,"")</f>
        <v/>
      </c>
      <c r="N1099" s="304">
        <f>IF(_PENDIENTES!$B$1093&lt;&gt;"",_PENDIENTES!$L$1093,"")</f>
        <v/>
      </c>
      <c r="O1099" s="284" t="n"/>
    </row>
    <row r="1100" hidden="1" ht="15.75" customHeight="1" s="195">
      <c r="A1100" s="301">
        <f>IF(_PENDIENTES!$B$1094&lt;&gt;"",1093,"")</f>
        <v/>
      </c>
      <c r="B1100" s="242">
        <f>IF(_PENDIENTES!$B$1094&lt;&gt;"",_PENDIENTES!$A$1094,"")</f>
        <v/>
      </c>
      <c r="C1100" s="302">
        <f>IF(_PENDIENTES!$B$1094&lt;&gt;"",_PENDIENTES!$C$1094,"")</f>
        <v/>
      </c>
      <c r="D1100" s="301">
        <f>IF(_PENDIENTES!$B$1094&lt;&gt;"",_PENDIENTES!$D$1094,"")</f>
        <v/>
      </c>
      <c r="E1100" s="301">
        <f>IF(_PENDIENTES!$B$1094&lt;&gt;"",_PENDIENTES!$E$1094,"")</f>
        <v/>
      </c>
      <c r="F1100" s="301">
        <f>IF(_PENDIENTES!$B$1094&lt;&gt;"",_PENDIENTES!$F$1094,"")</f>
        <v/>
      </c>
      <c r="G1100" s="245">
        <f>IF(_PENDIENTES!$B$1094&lt;&gt;"",_PENDIENTES!$G$1094,"")</f>
        <v/>
      </c>
      <c r="H1100" s="245">
        <f>IF(_PENDIENTES!$B$1094&lt;&gt;"",_PENDIENTES!$H$1094,"")</f>
        <v/>
      </c>
      <c r="I1100" s="302">
        <f>IF(_PENDIENTES!$B$1094&lt;&gt;"",_PENDIENTES!$I$1094,"")</f>
        <v/>
      </c>
      <c r="J1100" s="301">
        <f>IF(_PENDIENTES!$B$1094&lt;&gt;"",_PENDIENTES!$J$1094,"")</f>
        <v/>
      </c>
      <c r="K1100" s="301">
        <f>IF(_PENDIENTES!$B$1094&lt;&gt;"","POR RECOGER","")</f>
        <v/>
      </c>
      <c r="L1100" s="301">
        <f>IF(_PENDIENTES!$B$1094&lt;&gt;"",_PENDIENTES!$K$1094,"")</f>
        <v/>
      </c>
      <c r="M1100" s="284">
        <f>IF(_PENDIENTES!$B$1094&lt;&gt;"",_PENDIENTES!$B$1094,"")</f>
        <v/>
      </c>
      <c r="N1100" s="304">
        <f>IF(_PENDIENTES!$B$1094&lt;&gt;"",_PENDIENTES!$L$1094,"")</f>
        <v/>
      </c>
      <c r="O1100" s="284" t="n"/>
    </row>
    <row r="1101" hidden="1" ht="15.75" customHeight="1" s="195">
      <c r="A1101" s="241">
        <f>IF(_PENDIENTES!$B$1095&lt;&gt;"",1094,"")</f>
        <v/>
      </c>
      <c r="B1101" s="236">
        <f>IF(_PENDIENTES!$B$1095&lt;&gt;"",_PENDIENTES!$A$1095,"")</f>
        <v/>
      </c>
      <c r="C1101" s="305">
        <f>IF(_PENDIENTES!$B$1095&lt;&gt;"",_PENDIENTES!$C$1095,"")</f>
        <v/>
      </c>
      <c r="D1101" s="241">
        <f>IF(_PENDIENTES!$B$1095&lt;&gt;"",_PENDIENTES!$D$1095,"")</f>
        <v/>
      </c>
      <c r="E1101" s="241">
        <f>IF(_PENDIENTES!$B$1095&lt;&gt;"",_PENDIENTES!$E$1095,"")</f>
        <v/>
      </c>
      <c r="F1101" s="241">
        <f>IF(_PENDIENTES!$B$1095&lt;&gt;"",_PENDIENTES!$F$1095,"")</f>
        <v/>
      </c>
      <c r="G1101" s="239">
        <f>IF(_PENDIENTES!$B$1095&lt;&gt;"",_PENDIENTES!$G$1095,"")</f>
        <v/>
      </c>
      <c r="H1101" s="239">
        <f>IF(_PENDIENTES!$B$1095&lt;&gt;"",_PENDIENTES!$H$1095,"")</f>
        <v/>
      </c>
      <c r="I1101" s="305">
        <f>IF(_PENDIENTES!$B$1095&lt;&gt;"",_PENDIENTES!$I$1095,"")</f>
        <v/>
      </c>
      <c r="J1101" s="241">
        <f>IF(_PENDIENTES!$B$1095&lt;&gt;"",_PENDIENTES!$J$1095,"")</f>
        <v/>
      </c>
      <c r="K1101" s="241">
        <f>IF(_PENDIENTES!$B$1095&lt;&gt;"","POR RECOGER","")</f>
        <v/>
      </c>
      <c r="L1101" s="241">
        <f>IF(_PENDIENTES!$B$1095&lt;&gt;"",_PENDIENTES!$K$1095,"")</f>
        <v/>
      </c>
      <c r="M1101" s="284">
        <f>IF(_PENDIENTES!$B$1095&lt;&gt;"",_PENDIENTES!$B$1095,"")</f>
        <v/>
      </c>
      <c r="N1101" s="304">
        <f>IF(_PENDIENTES!$B$1095&lt;&gt;"",_PENDIENTES!$L$1095,"")</f>
        <v/>
      </c>
      <c r="O1101" s="284" t="n"/>
    </row>
    <row r="1102" hidden="1" ht="15.75" customHeight="1" s="195">
      <c r="A1102" s="301">
        <f>IF(_PENDIENTES!$B$1096&lt;&gt;"",1095,"")</f>
        <v/>
      </c>
      <c r="B1102" s="242">
        <f>IF(_PENDIENTES!$B$1096&lt;&gt;"",_PENDIENTES!$A$1096,"")</f>
        <v/>
      </c>
      <c r="C1102" s="302">
        <f>IF(_PENDIENTES!$B$1096&lt;&gt;"",_PENDIENTES!$C$1096,"")</f>
        <v/>
      </c>
      <c r="D1102" s="301">
        <f>IF(_PENDIENTES!$B$1096&lt;&gt;"",_PENDIENTES!$D$1096,"")</f>
        <v/>
      </c>
      <c r="E1102" s="301">
        <f>IF(_PENDIENTES!$B$1096&lt;&gt;"",_PENDIENTES!$E$1096,"")</f>
        <v/>
      </c>
      <c r="F1102" s="301">
        <f>IF(_PENDIENTES!$B$1096&lt;&gt;"",_PENDIENTES!$F$1096,"")</f>
        <v/>
      </c>
      <c r="G1102" s="245">
        <f>IF(_PENDIENTES!$B$1096&lt;&gt;"",_PENDIENTES!$G$1096,"")</f>
        <v/>
      </c>
      <c r="H1102" s="245">
        <f>IF(_PENDIENTES!$B$1096&lt;&gt;"",_PENDIENTES!$H$1096,"")</f>
        <v/>
      </c>
      <c r="I1102" s="302">
        <f>IF(_PENDIENTES!$B$1096&lt;&gt;"",_PENDIENTES!$I$1096,"")</f>
        <v/>
      </c>
      <c r="J1102" s="301">
        <f>IF(_PENDIENTES!$B$1096&lt;&gt;"",_PENDIENTES!$J$1096,"")</f>
        <v/>
      </c>
      <c r="K1102" s="301">
        <f>IF(_PENDIENTES!$B$1096&lt;&gt;"","POR RECOGER","")</f>
        <v/>
      </c>
      <c r="L1102" s="301">
        <f>IF(_PENDIENTES!$B$1096&lt;&gt;"",_PENDIENTES!$K$1096,"")</f>
        <v/>
      </c>
      <c r="M1102" s="284">
        <f>IF(_PENDIENTES!$B$1096&lt;&gt;"",_PENDIENTES!$B$1096,"")</f>
        <v/>
      </c>
      <c r="N1102" s="304">
        <f>IF(_PENDIENTES!$B$1096&lt;&gt;"",_PENDIENTES!$L$1096,"")</f>
        <v/>
      </c>
      <c r="O1102" s="284" t="n"/>
    </row>
    <row r="1103" hidden="1" ht="15.75" customHeight="1" s="195">
      <c r="A1103" s="241">
        <f>IF(_PENDIENTES!$B$1097&lt;&gt;"",1096,"")</f>
        <v/>
      </c>
      <c r="B1103" s="236">
        <f>IF(_PENDIENTES!$B$1097&lt;&gt;"",_PENDIENTES!$A$1097,"")</f>
        <v/>
      </c>
      <c r="C1103" s="305">
        <f>IF(_PENDIENTES!$B$1097&lt;&gt;"",_PENDIENTES!$C$1097,"")</f>
        <v/>
      </c>
      <c r="D1103" s="241">
        <f>IF(_PENDIENTES!$B$1097&lt;&gt;"",_PENDIENTES!$D$1097,"")</f>
        <v/>
      </c>
      <c r="E1103" s="241">
        <f>IF(_PENDIENTES!$B$1097&lt;&gt;"",_PENDIENTES!$E$1097,"")</f>
        <v/>
      </c>
      <c r="F1103" s="241">
        <f>IF(_PENDIENTES!$B$1097&lt;&gt;"",_PENDIENTES!$F$1097,"")</f>
        <v/>
      </c>
      <c r="G1103" s="239">
        <f>IF(_PENDIENTES!$B$1097&lt;&gt;"",_PENDIENTES!$G$1097,"")</f>
        <v/>
      </c>
      <c r="H1103" s="239">
        <f>IF(_PENDIENTES!$B$1097&lt;&gt;"",_PENDIENTES!$H$1097,"")</f>
        <v/>
      </c>
      <c r="I1103" s="305">
        <f>IF(_PENDIENTES!$B$1097&lt;&gt;"",_PENDIENTES!$I$1097,"")</f>
        <v/>
      </c>
      <c r="J1103" s="241">
        <f>IF(_PENDIENTES!$B$1097&lt;&gt;"",_PENDIENTES!$J$1097,"")</f>
        <v/>
      </c>
      <c r="K1103" s="241">
        <f>IF(_PENDIENTES!$B$1097&lt;&gt;"","POR RECOGER","")</f>
        <v/>
      </c>
      <c r="L1103" s="241">
        <f>IF(_PENDIENTES!$B$1097&lt;&gt;"",_PENDIENTES!$K$1097,"")</f>
        <v/>
      </c>
      <c r="M1103" s="284">
        <f>IF(_PENDIENTES!$B$1097&lt;&gt;"",_PENDIENTES!$B$1097,"")</f>
        <v/>
      </c>
      <c r="N1103" s="304">
        <f>IF(_PENDIENTES!$B$1097&lt;&gt;"",_PENDIENTES!$L$1097,"")</f>
        <v/>
      </c>
      <c r="O1103" s="284" t="n"/>
    </row>
    <row r="1104" hidden="1" ht="15.75" customHeight="1" s="195">
      <c r="A1104" s="301">
        <f>IF(_PENDIENTES!$B$1098&lt;&gt;"",1097,"")</f>
        <v/>
      </c>
      <c r="B1104" s="242">
        <f>IF(_PENDIENTES!$B$1098&lt;&gt;"",_PENDIENTES!$A$1098,"")</f>
        <v/>
      </c>
      <c r="C1104" s="302">
        <f>IF(_PENDIENTES!$B$1098&lt;&gt;"",_PENDIENTES!$C$1098,"")</f>
        <v/>
      </c>
      <c r="D1104" s="301">
        <f>IF(_PENDIENTES!$B$1098&lt;&gt;"",_PENDIENTES!$D$1098,"")</f>
        <v/>
      </c>
      <c r="E1104" s="301">
        <f>IF(_PENDIENTES!$B$1098&lt;&gt;"",_PENDIENTES!$E$1098,"")</f>
        <v/>
      </c>
      <c r="F1104" s="301">
        <f>IF(_PENDIENTES!$B$1098&lt;&gt;"",_PENDIENTES!$F$1098,"")</f>
        <v/>
      </c>
      <c r="G1104" s="245">
        <f>IF(_PENDIENTES!$B$1098&lt;&gt;"",_PENDIENTES!$G$1098,"")</f>
        <v/>
      </c>
      <c r="H1104" s="245">
        <f>IF(_PENDIENTES!$B$1098&lt;&gt;"",_PENDIENTES!$H$1098,"")</f>
        <v/>
      </c>
      <c r="I1104" s="302">
        <f>IF(_PENDIENTES!$B$1098&lt;&gt;"",_PENDIENTES!$I$1098,"")</f>
        <v/>
      </c>
      <c r="J1104" s="301">
        <f>IF(_PENDIENTES!$B$1098&lt;&gt;"",_PENDIENTES!$J$1098,"")</f>
        <v/>
      </c>
      <c r="K1104" s="301">
        <f>IF(_PENDIENTES!$B$1098&lt;&gt;"","POR RECOGER","")</f>
        <v/>
      </c>
      <c r="L1104" s="301">
        <f>IF(_PENDIENTES!$B$1098&lt;&gt;"",_PENDIENTES!$K$1098,"")</f>
        <v/>
      </c>
      <c r="M1104" s="284">
        <f>IF(_PENDIENTES!$B$1098&lt;&gt;"",_PENDIENTES!$B$1098,"")</f>
        <v/>
      </c>
      <c r="N1104" s="304">
        <f>IF(_PENDIENTES!$B$1098&lt;&gt;"",_PENDIENTES!$L$1098,"")</f>
        <v/>
      </c>
      <c r="O1104" s="284" t="n"/>
    </row>
    <row r="1105" hidden="1" ht="15.75" customHeight="1" s="195">
      <c r="A1105" s="241">
        <f>IF(_PENDIENTES!$B$1099&lt;&gt;"",1098,"")</f>
        <v/>
      </c>
      <c r="B1105" s="236">
        <f>IF(_PENDIENTES!$B$1099&lt;&gt;"",_PENDIENTES!$A$1099,"")</f>
        <v/>
      </c>
      <c r="C1105" s="305">
        <f>IF(_PENDIENTES!$B$1099&lt;&gt;"",_PENDIENTES!$C$1099,"")</f>
        <v/>
      </c>
      <c r="D1105" s="241">
        <f>IF(_PENDIENTES!$B$1099&lt;&gt;"",_PENDIENTES!$D$1099,"")</f>
        <v/>
      </c>
      <c r="E1105" s="241">
        <f>IF(_PENDIENTES!$B$1099&lt;&gt;"",_PENDIENTES!$E$1099,"")</f>
        <v/>
      </c>
      <c r="F1105" s="241">
        <f>IF(_PENDIENTES!$B$1099&lt;&gt;"",_PENDIENTES!$F$1099,"")</f>
        <v/>
      </c>
      <c r="G1105" s="239">
        <f>IF(_PENDIENTES!$B$1099&lt;&gt;"",_PENDIENTES!$G$1099,"")</f>
        <v/>
      </c>
      <c r="H1105" s="239">
        <f>IF(_PENDIENTES!$B$1099&lt;&gt;"",_PENDIENTES!$H$1099,"")</f>
        <v/>
      </c>
      <c r="I1105" s="305">
        <f>IF(_PENDIENTES!$B$1099&lt;&gt;"",_PENDIENTES!$I$1099,"")</f>
        <v/>
      </c>
      <c r="J1105" s="241">
        <f>IF(_PENDIENTES!$B$1099&lt;&gt;"",_PENDIENTES!$J$1099,"")</f>
        <v/>
      </c>
      <c r="K1105" s="241">
        <f>IF(_PENDIENTES!$B$1099&lt;&gt;"","POR RECOGER","")</f>
        <v/>
      </c>
      <c r="L1105" s="241">
        <f>IF(_PENDIENTES!$B$1099&lt;&gt;"",_PENDIENTES!$K$1099,"")</f>
        <v/>
      </c>
      <c r="M1105" s="284">
        <f>IF(_PENDIENTES!$B$1099&lt;&gt;"",_PENDIENTES!$B$1099,"")</f>
        <v/>
      </c>
      <c r="N1105" s="304">
        <f>IF(_PENDIENTES!$B$1099&lt;&gt;"",_PENDIENTES!$L$1099,"")</f>
        <v/>
      </c>
      <c r="O1105" s="284" t="n"/>
    </row>
    <row r="1106" hidden="1" ht="15.75" customHeight="1" s="195">
      <c r="A1106" s="301">
        <f>IF(_PENDIENTES!$B$1100&lt;&gt;"",1099,"")</f>
        <v/>
      </c>
      <c r="B1106" s="242">
        <f>IF(_PENDIENTES!$B$1100&lt;&gt;"",_PENDIENTES!$A$1100,"")</f>
        <v/>
      </c>
      <c r="C1106" s="302">
        <f>IF(_PENDIENTES!$B$1100&lt;&gt;"",_PENDIENTES!$C$1100,"")</f>
        <v/>
      </c>
      <c r="D1106" s="301">
        <f>IF(_PENDIENTES!$B$1100&lt;&gt;"",_PENDIENTES!$D$1100,"")</f>
        <v/>
      </c>
      <c r="E1106" s="301">
        <f>IF(_PENDIENTES!$B$1100&lt;&gt;"",_PENDIENTES!$E$1100,"")</f>
        <v/>
      </c>
      <c r="F1106" s="301">
        <f>IF(_PENDIENTES!$B$1100&lt;&gt;"",_PENDIENTES!$F$1100,"")</f>
        <v/>
      </c>
      <c r="G1106" s="245">
        <f>IF(_PENDIENTES!$B$1100&lt;&gt;"",_PENDIENTES!$G$1100,"")</f>
        <v/>
      </c>
      <c r="H1106" s="245">
        <f>IF(_PENDIENTES!$B$1100&lt;&gt;"",_PENDIENTES!$H$1100,"")</f>
        <v/>
      </c>
      <c r="I1106" s="302">
        <f>IF(_PENDIENTES!$B$1100&lt;&gt;"",_PENDIENTES!$I$1100,"")</f>
        <v/>
      </c>
      <c r="J1106" s="301">
        <f>IF(_PENDIENTES!$B$1100&lt;&gt;"",_PENDIENTES!$J$1100,"")</f>
        <v/>
      </c>
      <c r="K1106" s="301">
        <f>IF(_PENDIENTES!$B$1100&lt;&gt;"","POR RECOGER","")</f>
        <v/>
      </c>
      <c r="L1106" s="301">
        <f>IF(_PENDIENTES!$B$1100&lt;&gt;"",_PENDIENTES!$K$1100,"")</f>
        <v/>
      </c>
      <c r="M1106" s="284">
        <f>IF(_PENDIENTES!$B$1100&lt;&gt;"",_PENDIENTES!$B$1100,"")</f>
        <v/>
      </c>
      <c r="N1106" s="304">
        <f>IF(_PENDIENTES!$B$1100&lt;&gt;"",_PENDIENTES!$L$1100,"")</f>
        <v/>
      </c>
      <c r="O1106" s="284" t="n"/>
    </row>
    <row r="1107" hidden="1" ht="15.75" customHeight="1" s="195">
      <c r="A1107" s="241">
        <f>IF(_PENDIENTES!$B$1101&lt;&gt;"",1100,"")</f>
        <v/>
      </c>
      <c r="B1107" s="236">
        <f>IF(_PENDIENTES!$B$1101&lt;&gt;"",_PENDIENTES!$A$1101,"")</f>
        <v/>
      </c>
      <c r="C1107" s="305">
        <f>IF(_PENDIENTES!$B$1101&lt;&gt;"",_PENDIENTES!$C$1101,"")</f>
        <v/>
      </c>
      <c r="D1107" s="241">
        <f>IF(_PENDIENTES!$B$1101&lt;&gt;"",_PENDIENTES!$D$1101,"")</f>
        <v/>
      </c>
      <c r="E1107" s="241">
        <f>IF(_PENDIENTES!$B$1101&lt;&gt;"",_PENDIENTES!$E$1101,"")</f>
        <v/>
      </c>
      <c r="F1107" s="241">
        <f>IF(_PENDIENTES!$B$1101&lt;&gt;"",_PENDIENTES!$F$1101,"")</f>
        <v/>
      </c>
      <c r="G1107" s="239">
        <f>IF(_PENDIENTES!$B$1101&lt;&gt;"",_PENDIENTES!$G$1101,"")</f>
        <v/>
      </c>
      <c r="H1107" s="239">
        <f>IF(_PENDIENTES!$B$1101&lt;&gt;"",_PENDIENTES!$H$1101,"")</f>
        <v/>
      </c>
      <c r="I1107" s="305">
        <f>IF(_PENDIENTES!$B$1101&lt;&gt;"",_PENDIENTES!$I$1101,"")</f>
        <v/>
      </c>
      <c r="J1107" s="241">
        <f>IF(_PENDIENTES!$B$1101&lt;&gt;"",_PENDIENTES!$J$1101,"")</f>
        <v/>
      </c>
      <c r="K1107" s="241">
        <f>IF(_PENDIENTES!$B$1101&lt;&gt;"","POR RECOGER","")</f>
        <v/>
      </c>
      <c r="L1107" s="241">
        <f>IF(_PENDIENTES!$B$1101&lt;&gt;"",_PENDIENTES!$K$1101,"")</f>
        <v/>
      </c>
      <c r="M1107" s="284">
        <f>IF(_PENDIENTES!$B$1101&lt;&gt;"",_PENDIENTES!$B$1101,"")</f>
        <v/>
      </c>
      <c r="N1107" s="304">
        <f>IF(_PENDIENTES!$B$1101&lt;&gt;"",_PENDIENTES!$L$1101,"")</f>
        <v/>
      </c>
      <c r="O1107" s="284" t="n"/>
    </row>
    <row r="1108" hidden="1" ht="15.75" customHeight="1" s="195">
      <c r="A1108" s="301">
        <f>IF(_PENDIENTES!$B$1102&lt;&gt;"",1101,"")</f>
        <v/>
      </c>
      <c r="B1108" s="242">
        <f>IF(_PENDIENTES!$B$1102&lt;&gt;"",_PENDIENTES!$A$1102,"")</f>
        <v/>
      </c>
      <c r="C1108" s="302">
        <f>IF(_PENDIENTES!$B$1102&lt;&gt;"",_PENDIENTES!$C$1102,"")</f>
        <v/>
      </c>
      <c r="D1108" s="301">
        <f>IF(_PENDIENTES!$B$1102&lt;&gt;"",_PENDIENTES!$D$1102,"")</f>
        <v/>
      </c>
      <c r="E1108" s="301">
        <f>IF(_PENDIENTES!$B$1102&lt;&gt;"",_PENDIENTES!$E$1102,"")</f>
        <v/>
      </c>
      <c r="F1108" s="301">
        <f>IF(_PENDIENTES!$B$1102&lt;&gt;"",_PENDIENTES!$F$1102,"")</f>
        <v/>
      </c>
      <c r="G1108" s="245">
        <f>IF(_PENDIENTES!$B$1102&lt;&gt;"",_PENDIENTES!$G$1102,"")</f>
        <v/>
      </c>
      <c r="H1108" s="245">
        <f>IF(_PENDIENTES!$B$1102&lt;&gt;"",_PENDIENTES!$H$1102,"")</f>
        <v/>
      </c>
      <c r="I1108" s="302">
        <f>IF(_PENDIENTES!$B$1102&lt;&gt;"",_PENDIENTES!$I$1102,"")</f>
        <v/>
      </c>
      <c r="J1108" s="301">
        <f>IF(_PENDIENTES!$B$1102&lt;&gt;"",_PENDIENTES!$J$1102,"")</f>
        <v/>
      </c>
      <c r="K1108" s="301">
        <f>IF(_PENDIENTES!$B$1102&lt;&gt;"","POR RECOGER","")</f>
        <v/>
      </c>
      <c r="L1108" s="301">
        <f>IF(_PENDIENTES!$B$1102&lt;&gt;"",_PENDIENTES!$K$1102,"")</f>
        <v/>
      </c>
      <c r="M1108" s="284">
        <f>IF(_PENDIENTES!$B$1102&lt;&gt;"",_PENDIENTES!$B$1102,"")</f>
        <v/>
      </c>
      <c r="N1108" s="304">
        <f>IF(_PENDIENTES!$B$1102&lt;&gt;"",_PENDIENTES!$L$1102,"")</f>
        <v/>
      </c>
      <c r="O1108" s="284" t="n"/>
    </row>
    <row r="1109" hidden="1" ht="15.75" customHeight="1" s="195">
      <c r="A1109" s="241">
        <f>IF(_PENDIENTES!$B$1103&lt;&gt;"",1102,"")</f>
        <v/>
      </c>
      <c r="B1109" s="236">
        <f>IF(_PENDIENTES!$B$1103&lt;&gt;"",_PENDIENTES!$A$1103,"")</f>
        <v/>
      </c>
      <c r="C1109" s="305">
        <f>IF(_PENDIENTES!$B$1103&lt;&gt;"",_PENDIENTES!$C$1103,"")</f>
        <v/>
      </c>
      <c r="D1109" s="241">
        <f>IF(_PENDIENTES!$B$1103&lt;&gt;"",_PENDIENTES!$D$1103,"")</f>
        <v/>
      </c>
      <c r="E1109" s="241">
        <f>IF(_PENDIENTES!$B$1103&lt;&gt;"",_PENDIENTES!$E$1103,"")</f>
        <v/>
      </c>
      <c r="F1109" s="241">
        <f>IF(_PENDIENTES!$B$1103&lt;&gt;"",_PENDIENTES!$F$1103,"")</f>
        <v/>
      </c>
      <c r="G1109" s="239">
        <f>IF(_PENDIENTES!$B$1103&lt;&gt;"",_PENDIENTES!$G$1103,"")</f>
        <v/>
      </c>
      <c r="H1109" s="239">
        <f>IF(_PENDIENTES!$B$1103&lt;&gt;"",_PENDIENTES!$H$1103,"")</f>
        <v/>
      </c>
      <c r="I1109" s="305">
        <f>IF(_PENDIENTES!$B$1103&lt;&gt;"",_PENDIENTES!$I$1103,"")</f>
        <v/>
      </c>
      <c r="J1109" s="241">
        <f>IF(_PENDIENTES!$B$1103&lt;&gt;"",_PENDIENTES!$J$1103,"")</f>
        <v/>
      </c>
      <c r="K1109" s="241">
        <f>IF(_PENDIENTES!$B$1103&lt;&gt;"","POR RECOGER","")</f>
        <v/>
      </c>
      <c r="L1109" s="241">
        <f>IF(_PENDIENTES!$B$1103&lt;&gt;"",_PENDIENTES!$K$1103,"")</f>
        <v/>
      </c>
      <c r="M1109" s="284">
        <f>IF(_PENDIENTES!$B$1103&lt;&gt;"",_PENDIENTES!$B$1103,"")</f>
        <v/>
      </c>
      <c r="N1109" s="304">
        <f>IF(_PENDIENTES!$B$1103&lt;&gt;"",_PENDIENTES!$L$1103,"")</f>
        <v/>
      </c>
      <c r="O1109" s="284" t="n"/>
    </row>
    <row r="1110" hidden="1" ht="15.75" customHeight="1" s="195">
      <c r="A1110" s="301">
        <f>IF(_PENDIENTES!$B$1104&lt;&gt;"",1103,"")</f>
        <v/>
      </c>
      <c r="B1110" s="242">
        <f>IF(_PENDIENTES!$B$1104&lt;&gt;"",_PENDIENTES!$A$1104,"")</f>
        <v/>
      </c>
      <c r="C1110" s="302">
        <f>IF(_PENDIENTES!$B$1104&lt;&gt;"",_PENDIENTES!$C$1104,"")</f>
        <v/>
      </c>
      <c r="D1110" s="301">
        <f>IF(_PENDIENTES!$B$1104&lt;&gt;"",_PENDIENTES!$D$1104,"")</f>
        <v/>
      </c>
      <c r="E1110" s="301">
        <f>IF(_PENDIENTES!$B$1104&lt;&gt;"",_PENDIENTES!$E$1104,"")</f>
        <v/>
      </c>
      <c r="F1110" s="301">
        <f>IF(_PENDIENTES!$B$1104&lt;&gt;"",_PENDIENTES!$F$1104,"")</f>
        <v/>
      </c>
      <c r="G1110" s="245">
        <f>IF(_PENDIENTES!$B$1104&lt;&gt;"",_PENDIENTES!$G$1104,"")</f>
        <v/>
      </c>
      <c r="H1110" s="245">
        <f>IF(_PENDIENTES!$B$1104&lt;&gt;"",_PENDIENTES!$H$1104,"")</f>
        <v/>
      </c>
      <c r="I1110" s="302">
        <f>IF(_PENDIENTES!$B$1104&lt;&gt;"",_PENDIENTES!$I$1104,"")</f>
        <v/>
      </c>
      <c r="J1110" s="301">
        <f>IF(_PENDIENTES!$B$1104&lt;&gt;"",_PENDIENTES!$J$1104,"")</f>
        <v/>
      </c>
      <c r="K1110" s="301">
        <f>IF(_PENDIENTES!$B$1104&lt;&gt;"","POR RECOGER","")</f>
        <v/>
      </c>
      <c r="L1110" s="301">
        <f>IF(_PENDIENTES!$B$1104&lt;&gt;"",_PENDIENTES!$K$1104,"")</f>
        <v/>
      </c>
      <c r="M1110" s="284">
        <f>IF(_PENDIENTES!$B$1104&lt;&gt;"",_PENDIENTES!$B$1104,"")</f>
        <v/>
      </c>
      <c r="N1110" s="304">
        <f>IF(_PENDIENTES!$B$1104&lt;&gt;"",_PENDIENTES!$L$1104,"")</f>
        <v/>
      </c>
      <c r="O1110" s="284" t="n"/>
    </row>
    <row r="1111" hidden="1" ht="15.75" customHeight="1" s="195">
      <c r="A1111" s="241">
        <f>IF(_PENDIENTES!$B$1105&lt;&gt;"",1104,"")</f>
        <v/>
      </c>
      <c r="B1111" s="236">
        <f>IF(_PENDIENTES!$B$1105&lt;&gt;"",_PENDIENTES!$A$1105,"")</f>
        <v/>
      </c>
      <c r="C1111" s="305">
        <f>IF(_PENDIENTES!$B$1105&lt;&gt;"",_PENDIENTES!$C$1105,"")</f>
        <v/>
      </c>
      <c r="D1111" s="241">
        <f>IF(_PENDIENTES!$B$1105&lt;&gt;"",_PENDIENTES!$D$1105,"")</f>
        <v/>
      </c>
      <c r="E1111" s="241">
        <f>IF(_PENDIENTES!$B$1105&lt;&gt;"",_PENDIENTES!$E$1105,"")</f>
        <v/>
      </c>
      <c r="F1111" s="241">
        <f>IF(_PENDIENTES!$B$1105&lt;&gt;"",_PENDIENTES!$F$1105,"")</f>
        <v/>
      </c>
      <c r="G1111" s="239">
        <f>IF(_PENDIENTES!$B$1105&lt;&gt;"",_PENDIENTES!$G$1105,"")</f>
        <v/>
      </c>
      <c r="H1111" s="239">
        <f>IF(_PENDIENTES!$B$1105&lt;&gt;"",_PENDIENTES!$H$1105,"")</f>
        <v/>
      </c>
      <c r="I1111" s="305">
        <f>IF(_PENDIENTES!$B$1105&lt;&gt;"",_PENDIENTES!$I$1105,"")</f>
        <v/>
      </c>
      <c r="J1111" s="241">
        <f>IF(_PENDIENTES!$B$1105&lt;&gt;"",_PENDIENTES!$J$1105,"")</f>
        <v/>
      </c>
      <c r="K1111" s="241">
        <f>IF(_PENDIENTES!$B$1105&lt;&gt;"","POR RECOGER","")</f>
        <v/>
      </c>
      <c r="L1111" s="241">
        <f>IF(_PENDIENTES!$B$1105&lt;&gt;"",_PENDIENTES!$K$1105,"")</f>
        <v/>
      </c>
      <c r="M1111" s="284">
        <f>IF(_PENDIENTES!$B$1105&lt;&gt;"",_PENDIENTES!$B$1105,"")</f>
        <v/>
      </c>
      <c r="N1111" s="304">
        <f>IF(_PENDIENTES!$B$1105&lt;&gt;"",_PENDIENTES!$L$1105,"")</f>
        <v/>
      </c>
      <c r="O1111" s="284" t="n"/>
    </row>
    <row r="1112" hidden="1" ht="15.75" customHeight="1" s="195">
      <c r="A1112" s="301">
        <f>IF(_PENDIENTES!$B$1106&lt;&gt;"",1105,"")</f>
        <v/>
      </c>
      <c r="B1112" s="242">
        <f>IF(_PENDIENTES!$B$1106&lt;&gt;"",_PENDIENTES!$A$1106,"")</f>
        <v/>
      </c>
      <c r="C1112" s="302">
        <f>IF(_PENDIENTES!$B$1106&lt;&gt;"",_PENDIENTES!$C$1106,"")</f>
        <v/>
      </c>
      <c r="D1112" s="301">
        <f>IF(_PENDIENTES!$B$1106&lt;&gt;"",_PENDIENTES!$D$1106,"")</f>
        <v/>
      </c>
      <c r="E1112" s="301">
        <f>IF(_PENDIENTES!$B$1106&lt;&gt;"",_PENDIENTES!$E$1106,"")</f>
        <v/>
      </c>
      <c r="F1112" s="301">
        <f>IF(_PENDIENTES!$B$1106&lt;&gt;"",_PENDIENTES!$F$1106,"")</f>
        <v/>
      </c>
      <c r="G1112" s="245">
        <f>IF(_PENDIENTES!$B$1106&lt;&gt;"",_PENDIENTES!$G$1106,"")</f>
        <v/>
      </c>
      <c r="H1112" s="245">
        <f>IF(_PENDIENTES!$B$1106&lt;&gt;"",_PENDIENTES!$H$1106,"")</f>
        <v/>
      </c>
      <c r="I1112" s="302">
        <f>IF(_PENDIENTES!$B$1106&lt;&gt;"",_PENDIENTES!$I$1106,"")</f>
        <v/>
      </c>
      <c r="J1112" s="301">
        <f>IF(_PENDIENTES!$B$1106&lt;&gt;"",_PENDIENTES!$J$1106,"")</f>
        <v/>
      </c>
      <c r="K1112" s="301">
        <f>IF(_PENDIENTES!$B$1106&lt;&gt;"","POR RECOGER","")</f>
        <v/>
      </c>
      <c r="L1112" s="301">
        <f>IF(_PENDIENTES!$B$1106&lt;&gt;"",_PENDIENTES!$K$1106,"")</f>
        <v/>
      </c>
      <c r="M1112" s="284">
        <f>IF(_PENDIENTES!$B$1106&lt;&gt;"",_PENDIENTES!$B$1106,"")</f>
        <v/>
      </c>
      <c r="N1112" s="304">
        <f>IF(_PENDIENTES!$B$1106&lt;&gt;"",_PENDIENTES!$L$1106,"")</f>
        <v/>
      </c>
      <c r="O1112" s="284" t="n"/>
    </row>
    <row r="1113" hidden="1" ht="15.75" customHeight="1" s="195">
      <c r="A1113" s="241">
        <f>IF(_PENDIENTES!$B$1107&lt;&gt;"",1106,"")</f>
        <v/>
      </c>
      <c r="B1113" s="236">
        <f>IF(_PENDIENTES!$B$1107&lt;&gt;"",_PENDIENTES!$A$1107,"")</f>
        <v/>
      </c>
      <c r="C1113" s="305">
        <f>IF(_PENDIENTES!$B$1107&lt;&gt;"",_PENDIENTES!$C$1107,"")</f>
        <v/>
      </c>
      <c r="D1113" s="241">
        <f>IF(_PENDIENTES!$B$1107&lt;&gt;"",_PENDIENTES!$D$1107,"")</f>
        <v/>
      </c>
      <c r="E1113" s="241">
        <f>IF(_PENDIENTES!$B$1107&lt;&gt;"",_PENDIENTES!$E$1107,"")</f>
        <v/>
      </c>
      <c r="F1113" s="241">
        <f>IF(_PENDIENTES!$B$1107&lt;&gt;"",_PENDIENTES!$F$1107,"")</f>
        <v/>
      </c>
      <c r="G1113" s="239">
        <f>IF(_PENDIENTES!$B$1107&lt;&gt;"",_PENDIENTES!$G$1107,"")</f>
        <v/>
      </c>
      <c r="H1113" s="239">
        <f>IF(_PENDIENTES!$B$1107&lt;&gt;"",_PENDIENTES!$H$1107,"")</f>
        <v/>
      </c>
      <c r="I1113" s="305">
        <f>IF(_PENDIENTES!$B$1107&lt;&gt;"",_PENDIENTES!$I$1107,"")</f>
        <v/>
      </c>
      <c r="J1113" s="241">
        <f>IF(_PENDIENTES!$B$1107&lt;&gt;"",_PENDIENTES!$J$1107,"")</f>
        <v/>
      </c>
      <c r="K1113" s="241">
        <f>IF(_PENDIENTES!$B$1107&lt;&gt;"","POR RECOGER","")</f>
        <v/>
      </c>
      <c r="L1113" s="241">
        <f>IF(_PENDIENTES!$B$1107&lt;&gt;"",_PENDIENTES!$K$1107,"")</f>
        <v/>
      </c>
      <c r="M1113" s="284">
        <f>IF(_PENDIENTES!$B$1107&lt;&gt;"",_PENDIENTES!$B$1107,"")</f>
        <v/>
      </c>
      <c r="N1113" s="304">
        <f>IF(_PENDIENTES!$B$1107&lt;&gt;"",_PENDIENTES!$L$1107,"")</f>
        <v/>
      </c>
      <c r="O1113" s="284" t="n"/>
    </row>
    <row r="1114" hidden="1" ht="15.75" customHeight="1" s="195">
      <c r="A1114" s="301">
        <f>IF(_PENDIENTES!$B$1108&lt;&gt;"",1107,"")</f>
        <v/>
      </c>
      <c r="B1114" s="242">
        <f>IF(_PENDIENTES!$B$1108&lt;&gt;"",_PENDIENTES!$A$1108,"")</f>
        <v/>
      </c>
      <c r="C1114" s="302">
        <f>IF(_PENDIENTES!$B$1108&lt;&gt;"",_PENDIENTES!$C$1108,"")</f>
        <v/>
      </c>
      <c r="D1114" s="301">
        <f>IF(_PENDIENTES!$B$1108&lt;&gt;"",_PENDIENTES!$D$1108,"")</f>
        <v/>
      </c>
      <c r="E1114" s="301">
        <f>IF(_PENDIENTES!$B$1108&lt;&gt;"",_PENDIENTES!$E$1108,"")</f>
        <v/>
      </c>
      <c r="F1114" s="301">
        <f>IF(_PENDIENTES!$B$1108&lt;&gt;"",_PENDIENTES!$F$1108,"")</f>
        <v/>
      </c>
      <c r="G1114" s="245">
        <f>IF(_PENDIENTES!$B$1108&lt;&gt;"",_PENDIENTES!$G$1108,"")</f>
        <v/>
      </c>
      <c r="H1114" s="245">
        <f>IF(_PENDIENTES!$B$1108&lt;&gt;"",_PENDIENTES!$H$1108,"")</f>
        <v/>
      </c>
      <c r="I1114" s="302">
        <f>IF(_PENDIENTES!$B$1108&lt;&gt;"",_PENDIENTES!$I$1108,"")</f>
        <v/>
      </c>
      <c r="J1114" s="301">
        <f>IF(_PENDIENTES!$B$1108&lt;&gt;"",_PENDIENTES!$J$1108,"")</f>
        <v/>
      </c>
      <c r="K1114" s="301">
        <f>IF(_PENDIENTES!$B$1108&lt;&gt;"","POR RECOGER","")</f>
        <v/>
      </c>
      <c r="L1114" s="301">
        <f>IF(_PENDIENTES!$B$1108&lt;&gt;"",_PENDIENTES!$K$1108,"")</f>
        <v/>
      </c>
      <c r="M1114" s="284">
        <f>IF(_PENDIENTES!$B$1108&lt;&gt;"",_PENDIENTES!$B$1108,"")</f>
        <v/>
      </c>
      <c r="N1114" s="304">
        <f>IF(_PENDIENTES!$B$1108&lt;&gt;"",_PENDIENTES!$L$1108,"")</f>
        <v/>
      </c>
      <c r="O1114" s="284" t="n"/>
    </row>
    <row r="1115" hidden="1" ht="15.75" customHeight="1" s="195">
      <c r="A1115" s="241">
        <f>IF(_PENDIENTES!$B$1109&lt;&gt;"",1108,"")</f>
        <v/>
      </c>
      <c r="B1115" s="236">
        <f>IF(_PENDIENTES!$B$1109&lt;&gt;"",_PENDIENTES!$A$1109,"")</f>
        <v/>
      </c>
      <c r="C1115" s="305">
        <f>IF(_PENDIENTES!$B$1109&lt;&gt;"",_PENDIENTES!$C$1109,"")</f>
        <v/>
      </c>
      <c r="D1115" s="241">
        <f>IF(_PENDIENTES!$B$1109&lt;&gt;"",_PENDIENTES!$D$1109,"")</f>
        <v/>
      </c>
      <c r="E1115" s="241">
        <f>IF(_PENDIENTES!$B$1109&lt;&gt;"",_PENDIENTES!$E$1109,"")</f>
        <v/>
      </c>
      <c r="F1115" s="241">
        <f>IF(_PENDIENTES!$B$1109&lt;&gt;"",_PENDIENTES!$F$1109,"")</f>
        <v/>
      </c>
      <c r="G1115" s="239">
        <f>IF(_PENDIENTES!$B$1109&lt;&gt;"",_PENDIENTES!$G$1109,"")</f>
        <v/>
      </c>
      <c r="H1115" s="239">
        <f>IF(_PENDIENTES!$B$1109&lt;&gt;"",_PENDIENTES!$H$1109,"")</f>
        <v/>
      </c>
      <c r="I1115" s="305">
        <f>IF(_PENDIENTES!$B$1109&lt;&gt;"",_PENDIENTES!$I$1109,"")</f>
        <v/>
      </c>
      <c r="J1115" s="241">
        <f>IF(_PENDIENTES!$B$1109&lt;&gt;"",_PENDIENTES!$J$1109,"")</f>
        <v/>
      </c>
      <c r="K1115" s="241">
        <f>IF(_PENDIENTES!$B$1109&lt;&gt;"","POR RECOGER","")</f>
        <v/>
      </c>
      <c r="L1115" s="241">
        <f>IF(_PENDIENTES!$B$1109&lt;&gt;"",_PENDIENTES!$K$1109,"")</f>
        <v/>
      </c>
      <c r="M1115" s="284">
        <f>IF(_PENDIENTES!$B$1109&lt;&gt;"",_PENDIENTES!$B$1109,"")</f>
        <v/>
      </c>
      <c r="N1115" s="304">
        <f>IF(_PENDIENTES!$B$1109&lt;&gt;"",_PENDIENTES!$L$1109,"")</f>
        <v/>
      </c>
      <c r="O1115" s="284" t="n"/>
    </row>
    <row r="1116" hidden="1" ht="15.75" customHeight="1" s="195">
      <c r="A1116" s="301">
        <f>IF(_PENDIENTES!$B$1110&lt;&gt;"",1109,"")</f>
        <v/>
      </c>
      <c r="B1116" s="242">
        <f>IF(_PENDIENTES!$B$1110&lt;&gt;"",_PENDIENTES!$A$1110,"")</f>
        <v/>
      </c>
      <c r="C1116" s="302">
        <f>IF(_PENDIENTES!$B$1110&lt;&gt;"",_PENDIENTES!$C$1110,"")</f>
        <v/>
      </c>
      <c r="D1116" s="301">
        <f>IF(_PENDIENTES!$B$1110&lt;&gt;"",_PENDIENTES!$D$1110,"")</f>
        <v/>
      </c>
      <c r="E1116" s="301">
        <f>IF(_PENDIENTES!$B$1110&lt;&gt;"",_PENDIENTES!$E$1110,"")</f>
        <v/>
      </c>
      <c r="F1116" s="301">
        <f>IF(_PENDIENTES!$B$1110&lt;&gt;"",_PENDIENTES!$F$1110,"")</f>
        <v/>
      </c>
      <c r="G1116" s="245">
        <f>IF(_PENDIENTES!$B$1110&lt;&gt;"",_PENDIENTES!$G$1110,"")</f>
        <v/>
      </c>
      <c r="H1116" s="245">
        <f>IF(_PENDIENTES!$B$1110&lt;&gt;"",_PENDIENTES!$H$1110,"")</f>
        <v/>
      </c>
      <c r="I1116" s="302">
        <f>IF(_PENDIENTES!$B$1110&lt;&gt;"",_PENDIENTES!$I$1110,"")</f>
        <v/>
      </c>
      <c r="J1116" s="301">
        <f>IF(_PENDIENTES!$B$1110&lt;&gt;"",_PENDIENTES!$J$1110,"")</f>
        <v/>
      </c>
      <c r="K1116" s="301">
        <f>IF(_PENDIENTES!$B$1110&lt;&gt;"","POR RECOGER","")</f>
        <v/>
      </c>
      <c r="L1116" s="301">
        <f>IF(_PENDIENTES!$B$1110&lt;&gt;"",_PENDIENTES!$K$1110,"")</f>
        <v/>
      </c>
      <c r="M1116" s="284">
        <f>IF(_PENDIENTES!$B$1110&lt;&gt;"",_PENDIENTES!$B$1110,"")</f>
        <v/>
      </c>
      <c r="N1116" s="304">
        <f>IF(_PENDIENTES!$B$1110&lt;&gt;"",_PENDIENTES!$L$1110,"")</f>
        <v/>
      </c>
      <c r="O1116" s="284" t="n"/>
    </row>
    <row r="1117" hidden="1" ht="15.75" customHeight="1" s="195">
      <c r="A1117" s="241">
        <f>IF(_PENDIENTES!$B$1111&lt;&gt;"",1110,"")</f>
        <v/>
      </c>
      <c r="B1117" s="236">
        <f>IF(_PENDIENTES!$B$1111&lt;&gt;"",_PENDIENTES!$A$1111,"")</f>
        <v/>
      </c>
      <c r="C1117" s="305">
        <f>IF(_PENDIENTES!$B$1111&lt;&gt;"",_PENDIENTES!$C$1111,"")</f>
        <v/>
      </c>
      <c r="D1117" s="241">
        <f>IF(_PENDIENTES!$B$1111&lt;&gt;"",_PENDIENTES!$D$1111,"")</f>
        <v/>
      </c>
      <c r="E1117" s="241">
        <f>IF(_PENDIENTES!$B$1111&lt;&gt;"",_PENDIENTES!$E$1111,"")</f>
        <v/>
      </c>
      <c r="F1117" s="241">
        <f>IF(_PENDIENTES!$B$1111&lt;&gt;"",_PENDIENTES!$F$1111,"")</f>
        <v/>
      </c>
      <c r="G1117" s="239">
        <f>IF(_PENDIENTES!$B$1111&lt;&gt;"",_PENDIENTES!$G$1111,"")</f>
        <v/>
      </c>
      <c r="H1117" s="239">
        <f>IF(_PENDIENTES!$B$1111&lt;&gt;"",_PENDIENTES!$H$1111,"")</f>
        <v/>
      </c>
      <c r="I1117" s="305">
        <f>IF(_PENDIENTES!$B$1111&lt;&gt;"",_PENDIENTES!$I$1111,"")</f>
        <v/>
      </c>
      <c r="J1117" s="241">
        <f>IF(_PENDIENTES!$B$1111&lt;&gt;"",_PENDIENTES!$J$1111,"")</f>
        <v/>
      </c>
      <c r="K1117" s="241">
        <f>IF(_PENDIENTES!$B$1111&lt;&gt;"","POR RECOGER","")</f>
        <v/>
      </c>
      <c r="L1117" s="241">
        <f>IF(_PENDIENTES!$B$1111&lt;&gt;"",_PENDIENTES!$K$1111,"")</f>
        <v/>
      </c>
      <c r="M1117" s="284">
        <f>IF(_PENDIENTES!$B$1111&lt;&gt;"",_PENDIENTES!$B$1111,"")</f>
        <v/>
      </c>
      <c r="N1117" s="304">
        <f>IF(_PENDIENTES!$B$1111&lt;&gt;"",_PENDIENTES!$L$1111,"")</f>
        <v/>
      </c>
      <c r="O1117" s="284" t="n"/>
    </row>
    <row r="1118" hidden="1" ht="15.75" customHeight="1" s="195">
      <c r="A1118" s="301">
        <f>IF(_PENDIENTES!$B$1112&lt;&gt;"",1111,"")</f>
        <v/>
      </c>
      <c r="B1118" s="242">
        <f>IF(_PENDIENTES!$B$1112&lt;&gt;"",_PENDIENTES!$A$1112,"")</f>
        <v/>
      </c>
      <c r="C1118" s="302">
        <f>IF(_PENDIENTES!$B$1112&lt;&gt;"",_PENDIENTES!$C$1112,"")</f>
        <v/>
      </c>
      <c r="D1118" s="301">
        <f>IF(_PENDIENTES!$B$1112&lt;&gt;"",_PENDIENTES!$D$1112,"")</f>
        <v/>
      </c>
      <c r="E1118" s="301">
        <f>IF(_PENDIENTES!$B$1112&lt;&gt;"",_PENDIENTES!$E$1112,"")</f>
        <v/>
      </c>
      <c r="F1118" s="301">
        <f>IF(_PENDIENTES!$B$1112&lt;&gt;"",_PENDIENTES!$F$1112,"")</f>
        <v/>
      </c>
      <c r="G1118" s="245">
        <f>IF(_PENDIENTES!$B$1112&lt;&gt;"",_PENDIENTES!$G$1112,"")</f>
        <v/>
      </c>
      <c r="H1118" s="245">
        <f>IF(_PENDIENTES!$B$1112&lt;&gt;"",_PENDIENTES!$H$1112,"")</f>
        <v/>
      </c>
      <c r="I1118" s="302">
        <f>IF(_PENDIENTES!$B$1112&lt;&gt;"",_PENDIENTES!$I$1112,"")</f>
        <v/>
      </c>
      <c r="J1118" s="301">
        <f>IF(_PENDIENTES!$B$1112&lt;&gt;"",_PENDIENTES!$J$1112,"")</f>
        <v/>
      </c>
      <c r="K1118" s="301">
        <f>IF(_PENDIENTES!$B$1112&lt;&gt;"","POR RECOGER","")</f>
        <v/>
      </c>
      <c r="L1118" s="301">
        <f>IF(_PENDIENTES!$B$1112&lt;&gt;"",_PENDIENTES!$K$1112,"")</f>
        <v/>
      </c>
      <c r="M1118" s="284">
        <f>IF(_PENDIENTES!$B$1112&lt;&gt;"",_PENDIENTES!$B$1112,"")</f>
        <v/>
      </c>
      <c r="N1118" s="304">
        <f>IF(_PENDIENTES!$B$1112&lt;&gt;"",_PENDIENTES!$L$1112,"")</f>
        <v/>
      </c>
      <c r="O1118" s="284" t="n"/>
    </row>
    <row r="1119" hidden="1" ht="15.75" customHeight="1" s="195">
      <c r="A1119" s="241">
        <f>IF(_PENDIENTES!$B$1113&lt;&gt;"",1112,"")</f>
        <v/>
      </c>
      <c r="B1119" s="236">
        <f>IF(_PENDIENTES!$B$1113&lt;&gt;"",_PENDIENTES!$A$1113,"")</f>
        <v/>
      </c>
      <c r="C1119" s="305">
        <f>IF(_PENDIENTES!$B$1113&lt;&gt;"",_PENDIENTES!$C$1113,"")</f>
        <v/>
      </c>
      <c r="D1119" s="241">
        <f>IF(_PENDIENTES!$B$1113&lt;&gt;"",_PENDIENTES!$D$1113,"")</f>
        <v/>
      </c>
      <c r="E1119" s="241">
        <f>IF(_PENDIENTES!$B$1113&lt;&gt;"",_PENDIENTES!$E$1113,"")</f>
        <v/>
      </c>
      <c r="F1119" s="241">
        <f>IF(_PENDIENTES!$B$1113&lt;&gt;"",_PENDIENTES!$F$1113,"")</f>
        <v/>
      </c>
      <c r="G1119" s="239">
        <f>IF(_PENDIENTES!$B$1113&lt;&gt;"",_PENDIENTES!$G$1113,"")</f>
        <v/>
      </c>
      <c r="H1119" s="239">
        <f>IF(_PENDIENTES!$B$1113&lt;&gt;"",_PENDIENTES!$H$1113,"")</f>
        <v/>
      </c>
      <c r="I1119" s="305">
        <f>IF(_PENDIENTES!$B$1113&lt;&gt;"",_PENDIENTES!$I$1113,"")</f>
        <v/>
      </c>
      <c r="J1119" s="241">
        <f>IF(_PENDIENTES!$B$1113&lt;&gt;"",_PENDIENTES!$J$1113,"")</f>
        <v/>
      </c>
      <c r="K1119" s="241">
        <f>IF(_PENDIENTES!$B$1113&lt;&gt;"","POR RECOGER","")</f>
        <v/>
      </c>
      <c r="L1119" s="241">
        <f>IF(_PENDIENTES!$B$1113&lt;&gt;"",_PENDIENTES!$K$1113,"")</f>
        <v/>
      </c>
      <c r="M1119" s="284">
        <f>IF(_PENDIENTES!$B$1113&lt;&gt;"",_PENDIENTES!$B$1113,"")</f>
        <v/>
      </c>
      <c r="N1119" s="304">
        <f>IF(_PENDIENTES!$B$1113&lt;&gt;"",_PENDIENTES!$L$1113,"")</f>
        <v/>
      </c>
      <c r="O1119" s="284" t="n"/>
    </row>
    <row r="1120" hidden="1" ht="15.75" customHeight="1" s="195">
      <c r="A1120" s="301">
        <f>IF(_PENDIENTES!$B$1114&lt;&gt;"",1113,"")</f>
        <v/>
      </c>
      <c r="B1120" s="242">
        <f>IF(_PENDIENTES!$B$1114&lt;&gt;"",_PENDIENTES!$A$1114,"")</f>
        <v/>
      </c>
      <c r="C1120" s="302">
        <f>IF(_PENDIENTES!$B$1114&lt;&gt;"",_PENDIENTES!$C$1114,"")</f>
        <v/>
      </c>
      <c r="D1120" s="301">
        <f>IF(_PENDIENTES!$B$1114&lt;&gt;"",_PENDIENTES!$D$1114,"")</f>
        <v/>
      </c>
      <c r="E1120" s="301">
        <f>IF(_PENDIENTES!$B$1114&lt;&gt;"",_PENDIENTES!$E$1114,"")</f>
        <v/>
      </c>
      <c r="F1120" s="301">
        <f>IF(_PENDIENTES!$B$1114&lt;&gt;"",_PENDIENTES!$F$1114,"")</f>
        <v/>
      </c>
      <c r="G1120" s="245">
        <f>IF(_PENDIENTES!$B$1114&lt;&gt;"",_PENDIENTES!$G$1114,"")</f>
        <v/>
      </c>
      <c r="H1120" s="245">
        <f>IF(_PENDIENTES!$B$1114&lt;&gt;"",_PENDIENTES!$H$1114,"")</f>
        <v/>
      </c>
      <c r="I1120" s="302">
        <f>IF(_PENDIENTES!$B$1114&lt;&gt;"",_PENDIENTES!$I$1114,"")</f>
        <v/>
      </c>
      <c r="J1120" s="301">
        <f>IF(_PENDIENTES!$B$1114&lt;&gt;"",_PENDIENTES!$J$1114,"")</f>
        <v/>
      </c>
      <c r="K1120" s="301">
        <f>IF(_PENDIENTES!$B$1114&lt;&gt;"","POR RECOGER","")</f>
        <v/>
      </c>
      <c r="L1120" s="301">
        <f>IF(_PENDIENTES!$B$1114&lt;&gt;"",_PENDIENTES!$K$1114,"")</f>
        <v/>
      </c>
      <c r="M1120" s="284">
        <f>IF(_PENDIENTES!$B$1114&lt;&gt;"",_PENDIENTES!$B$1114,"")</f>
        <v/>
      </c>
      <c r="N1120" s="304">
        <f>IF(_PENDIENTES!$B$1114&lt;&gt;"",_PENDIENTES!$L$1114,"")</f>
        <v/>
      </c>
      <c r="O1120" s="284" t="n"/>
    </row>
    <row r="1121" hidden="1" ht="15.75" customHeight="1" s="195">
      <c r="A1121" s="241">
        <f>IF(_PENDIENTES!$B$1115&lt;&gt;"",1114,"")</f>
        <v/>
      </c>
      <c r="B1121" s="236">
        <f>IF(_PENDIENTES!$B$1115&lt;&gt;"",_PENDIENTES!$A$1115,"")</f>
        <v/>
      </c>
      <c r="C1121" s="305">
        <f>IF(_PENDIENTES!$B$1115&lt;&gt;"",_PENDIENTES!$C$1115,"")</f>
        <v/>
      </c>
      <c r="D1121" s="241">
        <f>IF(_PENDIENTES!$B$1115&lt;&gt;"",_PENDIENTES!$D$1115,"")</f>
        <v/>
      </c>
      <c r="E1121" s="241">
        <f>IF(_PENDIENTES!$B$1115&lt;&gt;"",_PENDIENTES!$E$1115,"")</f>
        <v/>
      </c>
      <c r="F1121" s="241">
        <f>IF(_PENDIENTES!$B$1115&lt;&gt;"",_PENDIENTES!$F$1115,"")</f>
        <v/>
      </c>
      <c r="G1121" s="239">
        <f>IF(_PENDIENTES!$B$1115&lt;&gt;"",_PENDIENTES!$G$1115,"")</f>
        <v/>
      </c>
      <c r="H1121" s="239">
        <f>IF(_PENDIENTES!$B$1115&lt;&gt;"",_PENDIENTES!$H$1115,"")</f>
        <v/>
      </c>
      <c r="I1121" s="305">
        <f>IF(_PENDIENTES!$B$1115&lt;&gt;"",_PENDIENTES!$I$1115,"")</f>
        <v/>
      </c>
      <c r="J1121" s="241">
        <f>IF(_PENDIENTES!$B$1115&lt;&gt;"",_PENDIENTES!$J$1115,"")</f>
        <v/>
      </c>
      <c r="K1121" s="241">
        <f>IF(_PENDIENTES!$B$1115&lt;&gt;"","POR RECOGER","")</f>
        <v/>
      </c>
      <c r="L1121" s="241">
        <f>IF(_PENDIENTES!$B$1115&lt;&gt;"",_PENDIENTES!$K$1115,"")</f>
        <v/>
      </c>
      <c r="M1121" s="284">
        <f>IF(_PENDIENTES!$B$1115&lt;&gt;"",_PENDIENTES!$B$1115,"")</f>
        <v/>
      </c>
      <c r="N1121" s="304">
        <f>IF(_PENDIENTES!$B$1115&lt;&gt;"",_PENDIENTES!$L$1115,"")</f>
        <v/>
      </c>
      <c r="O1121" s="284" t="n"/>
    </row>
    <row r="1122" hidden="1" ht="15.75" customHeight="1" s="195">
      <c r="A1122" s="301">
        <f>IF(_PENDIENTES!$B$1116&lt;&gt;"",1115,"")</f>
        <v/>
      </c>
      <c r="B1122" s="242">
        <f>IF(_PENDIENTES!$B$1116&lt;&gt;"",_PENDIENTES!$A$1116,"")</f>
        <v/>
      </c>
      <c r="C1122" s="302">
        <f>IF(_PENDIENTES!$B$1116&lt;&gt;"",_PENDIENTES!$C$1116,"")</f>
        <v/>
      </c>
      <c r="D1122" s="301">
        <f>IF(_PENDIENTES!$B$1116&lt;&gt;"",_PENDIENTES!$D$1116,"")</f>
        <v/>
      </c>
      <c r="E1122" s="301">
        <f>IF(_PENDIENTES!$B$1116&lt;&gt;"",_PENDIENTES!$E$1116,"")</f>
        <v/>
      </c>
      <c r="F1122" s="301">
        <f>IF(_PENDIENTES!$B$1116&lt;&gt;"",_PENDIENTES!$F$1116,"")</f>
        <v/>
      </c>
      <c r="G1122" s="245">
        <f>IF(_PENDIENTES!$B$1116&lt;&gt;"",_PENDIENTES!$G$1116,"")</f>
        <v/>
      </c>
      <c r="H1122" s="245">
        <f>IF(_PENDIENTES!$B$1116&lt;&gt;"",_PENDIENTES!$H$1116,"")</f>
        <v/>
      </c>
      <c r="I1122" s="302">
        <f>IF(_PENDIENTES!$B$1116&lt;&gt;"",_PENDIENTES!$I$1116,"")</f>
        <v/>
      </c>
      <c r="J1122" s="301">
        <f>IF(_PENDIENTES!$B$1116&lt;&gt;"",_PENDIENTES!$J$1116,"")</f>
        <v/>
      </c>
      <c r="K1122" s="301">
        <f>IF(_PENDIENTES!$B$1116&lt;&gt;"","POR RECOGER","")</f>
        <v/>
      </c>
      <c r="L1122" s="301">
        <f>IF(_PENDIENTES!$B$1116&lt;&gt;"",_PENDIENTES!$K$1116,"")</f>
        <v/>
      </c>
      <c r="M1122" s="284">
        <f>IF(_PENDIENTES!$B$1116&lt;&gt;"",_PENDIENTES!$B$1116,"")</f>
        <v/>
      </c>
      <c r="N1122" s="304">
        <f>IF(_PENDIENTES!$B$1116&lt;&gt;"",_PENDIENTES!$L$1116,"")</f>
        <v/>
      </c>
      <c r="O1122" s="284" t="n"/>
    </row>
    <row r="1123" hidden="1" ht="15.75" customHeight="1" s="195">
      <c r="A1123" s="241">
        <f>IF(_PENDIENTES!$B$1117&lt;&gt;"",1116,"")</f>
        <v/>
      </c>
      <c r="B1123" s="236">
        <f>IF(_PENDIENTES!$B$1117&lt;&gt;"",_PENDIENTES!$A$1117,"")</f>
        <v/>
      </c>
      <c r="C1123" s="305">
        <f>IF(_PENDIENTES!$B$1117&lt;&gt;"",_PENDIENTES!$C$1117,"")</f>
        <v/>
      </c>
      <c r="D1123" s="241">
        <f>IF(_PENDIENTES!$B$1117&lt;&gt;"",_PENDIENTES!$D$1117,"")</f>
        <v/>
      </c>
      <c r="E1123" s="241">
        <f>IF(_PENDIENTES!$B$1117&lt;&gt;"",_PENDIENTES!$E$1117,"")</f>
        <v/>
      </c>
      <c r="F1123" s="241">
        <f>IF(_PENDIENTES!$B$1117&lt;&gt;"",_PENDIENTES!$F$1117,"")</f>
        <v/>
      </c>
      <c r="G1123" s="239">
        <f>IF(_PENDIENTES!$B$1117&lt;&gt;"",_PENDIENTES!$G$1117,"")</f>
        <v/>
      </c>
      <c r="H1123" s="239">
        <f>IF(_PENDIENTES!$B$1117&lt;&gt;"",_PENDIENTES!$H$1117,"")</f>
        <v/>
      </c>
      <c r="I1123" s="305">
        <f>IF(_PENDIENTES!$B$1117&lt;&gt;"",_PENDIENTES!$I$1117,"")</f>
        <v/>
      </c>
      <c r="J1123" s="241">
        <f>IF(_PENDIENTES!$B$1117&lt;&gt;"",_PENDIENTES!$J$1117,"")</f>
        <v/>
      </c>
      <c r="K1123" s="241">
        <f>IF(_PENDIENTES!$B$1117&lt;&gt;"","POR RECOGER","")</f>
        <v/>
      </c>
      <c r="L1123" s="241">
        <f>IF(_PENDIENTES!$B$1117&lt;&gt;"",_PENDIENTES!$K$1117,"")</f>
        <v/>
      </c>
      <c r="M1123" s="284">
        <f>IF(_PENDIENTES!$B$1117&lt;&gt;"",_PENDIENTES!$B$1117,"")</f>
        <v/>
      </c>
      <c r="N1123" s="304">
        <f>IF(_PENDIENTES!$B$1117&lt;&gt;"",_PENDIENTES!$L$1117,"")</f>
        <v/>
      </c>
      <c r="O1123" s="284" t="n"/>
    </row>
    <row r="1124" hidden="1" ht="15.75" customHeight="1" s="195">
      <c r="A1124" s="301">
        <f>IF(_PENDIENTES!$B$1118&lt;&gt;"",1117,"")</f>
        <v/>
      </c>
      <c r="B1124" s="242">
        <f>IF(_PENDIENTES!$B$1118&lt;&gt;"",_PENDIENTES!$A$1118,"")</f>
        <v/>
      </c>
      <c r="C1124" s="302">
        <f>IF(_PENDIENTES!$B$1118&lt;&gt;"",_PENDIENTES!$C$1118,"")</f>
        <v/>
      </c>
      <c r="D1124" s="301">
        <f>IF(_PENDIENTES!$B$1118&lt;&gt;"",_PENDIENTES!$D$1118,"")</f>
        <v/>
      </c>
      <c r="E1124" s="301">
        <f>IF(_PENDIENTES!$B$1118&lt;&gt;"",_PENDIENTES!$E$1118,"")</f>
        <v/>
      </c>
      <c r="F1124" s="301">
        <f>IF(_PENDIENTES!$B$1118&lt;&gt;"",_PENDIENTES!$F$1118,"")</f>
        <v/>
      </c>
      <c r="G1124" s="245">
        <f>IF(_PENDIENTES!$B$1118&lt;&gt;"",_PENDIENTES!$G$1118,"")</f>
        <v/>
      </c>
      <c r="H1124" s="245">
        <f>IF(_PENDIENTES!$B$1118&lt;&gt;"",_PENDIENTES!$H$1118,"")</f>
        <v/>
      </c>
      <c r="I1124" s="302">
        <f>IF(_PENDIENTES!$B$1118&lt;&gt;"",_PENDIENTES!$I$1118,"")</f>
        <v/>
      </c>
      <c r="J1124" s="301">
        <f>IF(_PENDIENTES!$B$1118&lt;&gt;"",_PENDIENTES!$J$1118,"")</f>
        <v/>
      </c>
      <c r="K1124" s="301">
        <f>IF(_PENDIENTES!$B$1118&lt;&gt;"","POR RECOGER","")</f>
        <v/>
      </c>
      <c r="L1124" s="301">
        <f>IF(_PENDIENTES!$B$1118&lt;&gt;"",_PENDIENTES!$K$1118,"")</f>
        <v/>
      </c>
      <c r="M1124" s="284">
        <f>IF(_PENDIENTES!$B$1118&lt;&gt;"",_PENDIENTES!$B$1118,"")</f>
        <v/>
      </c>
      <c r="N1124" s="304">
        <f>IF(_PENDIENTES!$B$1118&lt;&gt;"",_PENDIENTES!$L$1118,"")</f>
        <v/>
      </c>
      <c r="O1124" s="284" t="n"/>
    </row>
    <row r="1125" hidden="1" ht="15.75" customHeight="1" s="195">
      <c r="A1125" s="241">
        <f>IF(_PENDIENTES!$B$1119&lt;&gt;"",1118,"")</f>
        <v/>
      </c>
      <c r="B1125" s="236">
        <f>IF(_PENDIENTES!$B$1119&lt;&gt;"",_PENDIENTES!$A$1119,"")</f>
        <v/>
      </c>
      <c r="C1125" s="305">
        <f>IF(_PENDIENTES!$B$1119&lt;&gt;"",_PENDIENTES!$C$1119,"")</f>
        <v/>
      </c>
      <c r="D1125" s="241">
        <f>IF(_PENDIENTES!$B$1119&lt;&gt;"",_PENDIENTES!$D$1119,"")</f>
        <v/>
      </c>
      <c r="E1125" s="241">
        <f>IF(_PENDIENTES!$B$1119&lt;&gt;"",_PENDIENTES!$E$1119,"")</f>
        <v/>
      </c>
      <c r="F1125" s="241">
        <f>IF(_PENDIENTES!$B$1119&lt;&gt;"",_PENDIENTES!$F$1119,"")</f>
        <v/>
      </c>
      <c r="G1125" s="239">
        <f>IF(_PENDIENTES!$B$1119&lt;&gt;"",_PENDIENTES!$G$1119,"")</f>
        <v/>
      </c>
      <c r="H1125" s="239">
        <f>IF(_PENDIENTES!$B$1119&lt;&gt;"",_PENDIENTES!$H$1119,"")</f>
        <v/>
      </c>
      <c r="I1125" s="305">
        <f>IF(_PENDIENTES!$B$1119&lt;&gt;"",_PENDIENTES!$I$1119,"")</f>
        <v/>
      </c>
      <c r="J1125" s="241">
        <f>IF(_PENDIENTES!$B$1119&lt;&gt;"",_PENDIENTES!$J$1119,"")</f>
        <v/>
      </c>
      <c r="K1125" s="241">
        <f>IF(_PENDIENTES!$B$1119&lt;&gt;"","POR RECOGER","")</f>
        <v/>
      </c>
      <c r="L1125" s="241">
        <f>IF(_PENDIENTES!$B$1119&lt;&gt;"",_PENDIENTES!$K$1119,"")</f>
        <v/>
      </c>
      <c r="M1125" s="284">
        <f>IF(_PENDIENTES!$B$1119&lt;&gt;"",_PENDIENTES!$B$1119,"")</f>
        <v/>
      </c>
      <c r="N1125" s="304">
        <f>IF(_PENDIENTES!$B$1119&lt;&gt;"",_PENDIENTES!$L$1119,"")</f>
        <v/>
      </c>
      <c r="O1125" s="284" t="n"/>
    </row>
    <row r="1126" hidden="1" ht="15.75" customHeight="1" s="195">
      <c r="A1126" s="301">
        <f>IF(_PENDIENTES!$B$1120&lt;&gt;"",1119,"")</f>
        <v/>
      </c>
      <c r="B1126" s="242">
        <f>IF(_PENDIENTES!$B$1120&lt;&gt;"",_PENDIENTES!$A$1120,"")</f>
        <v/>
      </c>
      <c r="C1126" s="302">
        <f>IF(_PENDIENTES!$B$1120&lt;&gt;"",_PENDIENTES!$C$1120,"")</f>
        <v/>
      </c>
      <c r="D1126" s="301">
        <f>IF(_PENDIENTES!$B$1120&lt;&gt;"",_PENDIENTES!$D$1120,"")</f>
        <v/>
      </c>
      <c r="E1126" s="301">
        <f>IF(_PENDIENTES!$B$1120&lt;&gt;"",_PENDIENTES!$E$1120,"")</f>
        <v/>
      </c>
      <c r="F1126" s="301">
        <f>IF(_PENDIENTES!$B$1120&lt;&gt;"",_PENDIENTES!$F$1120,"")</f>
        <v/>
      </c>
      <c r="G1126" s="245">
        <f>IF(_PENDIENTES!$B$1120&lt;&gt;"",_PENDIENTES!$G$1120,"")</f>
        <v/>
      </c>
      <c r="H1126" s="245">
        <f>IF(_PENDIENTES!$B$1120&lt;&gt;"",_PENDIENTES!$H$1120,"")</f>
        <v/>
      </c>
      <c r="I1126" s="302">
        <f>IF(_PENDIENTES!$B$1120&lt;&gt;"",_PENDIENTES!$I$1120,"")</f>
        <v/>
      </c>
      <c r="J1126" s="301">
        <f>IF(_PENDIENTES!$B$1120&lt;&gt;"",_PENDIENTES!$J$1120,"")</f>
        <v/>
      </c>
      <c r="K1126" s="301">
        <f>IF(_PENDIENTES!$B$1120&lt;&gt;"","POR RECOGER","")</f>
        <v/>
      </c>
      <c r="L1126" s="301">
        <f>IF(_PENDIENTES!$B$1120&lt;&gt;"",_PENDIENTES!$K$1120,"")</f>
        <v/>
      </c>
      <c r="M1126" s="284">
        <f>IF(_PENDIENTES!$B$1120&lt;&gt;"",_PENDIENTES!$B$1120,"")</f>
        <v/>
      </c>
      <c r="N1126" s="304">
        <f>IF(_PENDIENTES!$B$1120&lt;&gt;"",_PENDIENTES!$L$1120,"")</f>
        <v/>
      </c>
      <c r="O1126" s="284" t="n"/>
    </row>
    <row r="1127" hidden="1" ht="15.75" customHeight="1" s="195">
      <c r="A1127" s="241">
        <f>IF(_PENDIENTES!$B$1121&lt;&gt;"",1120,"")</f>
        <v/>
      </c>
      <c r="B1127" s="236">
        <f>IF(_PENDIENTES!$B$1121&lt;&gt;"",_PENDIENTES!$A$1121,"")</f>
        <v/>
      </c>
      <c r="C1127" s="305">
        <f>IF(_PENDIENTES!$B$1121&lt;&gt;"",_PENDIENTES!$C$1121,"")</f>
        <v/>
      </c>
      <c r="D1127" s="241">
        <f>IF(_PENDIENTES!$B$1121&lt;&gt;"",_PENDIENTES!$D$1121,"")</f>
        <v/>
      </c>
      <c r="E1127" s="241">
        <f>IF(_PENDIENTES!$B$1121&lt;&gt;"",_PENDIENTES!$E$1121,"")</f>
        <v/>
      </c>
      <c r="F1127" s="241">
        <f>IF(_PENDIENTES!$B$1121&lt;&gt;"",_PENDIENTES!$F$1121,"")</f>
        <v/>
      </c>
      <c r="G1127" s="239">
        <f>IF(_PENDIENTES!$B$1121&lt;&gt;"",_PENDIENTES!$G$1121,"")</f>
        <v/>
      </c>
      <c r="H1127" s="239">
        <f>IF(_PENDIENTES!$B$1121&lt;&gt;"",_PENDIENTES!$H$1121,"")</f>
        <v/>
      </c>
      <c r="I1127" s="305">
        <f>IF(_PENDIENTES!$B$1121&lt;&gt;"",_PENDIENTES!$I$1121,"")</f>
        <v/>
      </c>
      <c r="J1127" s="241">
        <f>IF(_PENDIENTES!$B$1121&lt;&gt;"",_PENDIENTES!$J$1121,"")</f>
        <v/>
      </c>
      <c r="K1127" s="241">
        <f>IF(_PENDIENTES!$B$1121&lt;&gt;"","POR RECOGER","")</f>
        <v/>
      </c>
      <c r="L1127" s="241">
        <f>IF(_PENDIENTES!$B$1121&lt;&gt;"",_PENDIENTES!$K$1121,"")</f>
        <v/>
      </c>
      <c r="M1127" s="284">
        <f>IF(_PENDIENTES!$B$1121&lt;&gt;"",_PENDIENTES!$B$1121,"")</f>
        <v/>
      </c>
      <c r="N1127" s="304">
        <f>IF(_PENDIENTES!$B$1121&lt;&gt;"",_PENDIENTES!$L$1121,"")</f>
        <v/>
      </c>
      <c r="O1127" s="284" t="n"/>
    </row>
    <row r="1128" hidden="1" ht="15.75" customHeight="1" s="195">
      <c r="A1128" s="301">
        <f>IF(_PENDIENTES!$B$1122&lt;&gt;"",1121,"")</f>
        <v/>
      </c>
      <c r="B1128" s="242">
        <f>IF(_PENDIENTES!$B$1122&lt;&gt;"",_PENDIENTES!$A$1122,"")</f>
        <v/>
      </c>
      <c r="C1128" s="302">
        <f>IF(_PENDIENTES!$B$1122&lt;&gt;"",_PENDIENTES!$C$1122,"")</f>
        <v/>
      </c>
      <c r="D1128" s="301">
        <f>IF(_PENDIENTES!$B$1122&lt;&gt;"",_PENDIENTES!$D$1122,"")</f>
        <v/>
      </c>
      <c r="E1128" s="301">
        <f>IF(_PENDIENTES!$B$1122&lt;&gt;"",_PENDIENTES!$E$1122,"")</f>
        <v/>
      </c>
      <c r="F1128" s="301">
        <f>IF(_PENDIENTES!$B$1122&lt;&gt;"",_PENDIENTES!$F$1122,"")</f>
        <v/>
      </c>
      <c r="G1128" s="245">
        <f>IF(_PENDIENTES!$B$1122&lt;&gt;"",_PENDIENTES!$G$1122,"")</f>
        <v/>
      </c>
      <c r="H1128" s="245">
        <f>IF(_PENDIENTES!$B$1122&lt;&gt;"",_PENDIENTES!$H$1122,"")</f>
        <v/>
      </c>
      <c r="I1128" s="302">
        <f>IF(_PENDIENTES!$B$1122&lt;&gt;"",_PENDIENTES!$I$1122,"")</f>
        <v/>
      </c>
      <c r="J1128" s="301">
        <f>IF(_PENDIENTES!$B$1122&lt;&gt;"",_PENDIENTES!$J$1122,"")</f>
        <v/>
      </c>
      <c r="K1128" s="301">
        <f>IF(_PENDIENTES!$B$1122&lt;&gt;"","POR RECOGER","")</f>
        <v/>
      </c>
      <c r="L1128" s="301">
        <f>IF(_PENDIENTES!$B$1122&lt;&gt;"",_PENDIENTES!$K$1122,"")</f>
        <v/>
      </c>
      <c r="M1128" s="284">
        <f>IF(_PENDIENTES!$B$1122&lt;&gt;"",_PENDIENTES!$B$1122,"")</f>
        <v/>
      </c>
      <c r="N1128" s="304">
        <f>IF(_PENDIENTES!$B$1122&lt;&gt;"",_PENDIENTES!$L$1122,"")</f>
        <v/>
      </c>
      <c r="O1128" s="284" t="n"/>
    </row>
    <row r="1129" hidden="1" ht="15.75" customHeight="1" s="195">
      <c r="A1129" s="241">
        <f>IF(_PENDIENTES!$B$1123&lt;&gt;"",1122,"")</f>
        <v/>
      </c>
      <c r="B1129" s="236">
        <f>IF(_PENDIENTES!$B$1123&lt;&gt;"",_PENDIENTES!$A$1123,"")</f>
        <v/>
      </c>
      <c r="C1129" s="305">
        <f>IF(_PENDIENTES!$B$1123&lt;&gt;"",_PENDIENTES!$C$1123,"")</f>
        <v/>
      </c>
      <c r="D1129" s="241">
        <f>IF(_PENDIENTES!$B$1123&lt;&gt;"",_PENDIENTES!$D$1123,"")</f>
        <v/>
      </c>
      <c r="E1129" s="241">
        <f>IF(_PENDIENTES!$B$1123&lt;&gt;"",_PENDIENTES!$E$1123,"")</f>
        <v/>
      </c>
      <c r="F1129" s="241">
        <f>IF(_PENDIENTES!$B$1123&lt;&gt;"",_PENDIENTES!$F$1123,"")</f>
        <v/>
      </c>
      <c r="G1129" s="239">
        <f>IF(_PENDIENTES!$B$1123&lt;&gt;"",_PENDIENTES!$G$1123,"")</f>
        <v/>
      </c>
      <c r="H1129" s="239">
        <f>IF(_PENDIENTES!$B$1123&lt;&gt;"",_PENDIENTES!$H$1123,"")</f>
        <v/>
      </c>
      <c r="I1129" s="305">
        <f>IF(_PENDIENTES!$B$1123&lt;&gt;"",_PENDIENTES!$I$1123,"")</f>
        <v/>
      </c>
      <c r="J1129" s="241">
        <f>IF(_PENDIENTES!$B$1123&lt;&gt;"",_PENDIENTES!$J$1123,"")</f>
        <v/>
      </c>
      <c r="K1129" s="241">
        <f>IF(_PENDIENTES!$B$1123&lt;&gt;"","POR RECOGER","")</f>
        <v/>
      </c>
      <c r="L1129" s="241">
        <f>IF(_PENDIENTES!$B$1123&lt;&gt;"",_PENDIENTES!$K$1123,"")</f>
        <v/>
      </c>
      <c r="M1129" s="284">
        <f>IF(_PENDIENTES!$B$1123&lt;&gt;"",_PENDIENTES!$B$1123,"")</f>
        <v/>
      </c>
      <c r="N1129" s="304">
        <f>IF(_PENDIENTES!$B$1123&lt;&gt;"",_PENDIENTES!$L$1123,"")</f>
        <v/>
      </c>
      <c r="O1129" s="284" t="n"/>
    </row>
    <row r="1130" hidden="1" ht="15.75" customHeight="1" s="195">
      <c r="A1130" s="301">
        <f>IF(_PENDIENTES!$B$1124&lt;&gt;"",1123,"")</f>
        <v/>
      </c>
      <c r="B1130" s="242">
        <f>IF(_PENDIENTES!$B$1124&lt;&gt;"",_PENDIENTES!$A$1124,"")</f>
        <v/>
      </c>
      <c r="C1130" s="302">
        <f>IF(_PENDIENTES!$B$1124&lt;&gt;"",_PENDIENTES!$C$1124,"")</f>
        <v/>
      </c>
      <c r="D1130" s="301">
        <f>IF(_PENDIENTES!$B$1124&lt;&gt;"",_PENDIENTES!$D$1124,"")</f>
        <v/>
      </c>
      <c r="E1130" s="301">
        <f>IF(_PENDIENTES!$B$1124&lt;&gt;"",_PENDIENTES!$E$1124,"")</f>
        <v/>
      </c>
      <c r="F1130" s="301">
        <f>IF(_PENDIENTES!$B$1124&lt;&gt;"",_PENDIENTES!$F$1124,"")</f>
        <v/>
      </c>
      <c r="G1130" s="245">
        <f>IF(_PENDIENTES!$B$1124&lt;&gt;"",_PENDIENTES!$G$1124,"")</f>
        <v/>
      </c>
      <c r="H1130" s="245">
        <f>IF(_PENDIENTES!$B$1124&lt;&gt;"",_PENDIENTES!$H$1124,"")</f>
        <v/>
      </c>
      <c r="I1130" s="302">
        <f>IF(_PENDIENTES!$B$1124&lt;&gt;"",_PENDIENTES!$I$1124,"")</f>
        <v/>
      </c>
      <c r="J1130" s="301">
        <f>IF(_PENDIENTES!$B$1124&lt;&gt;"",_PENDIENTES!$J$1124,"")</f>
        <v/>
      </c>
      <c r="K1130" s="301">
        <f>IF(_PENDIENTES!$B$1124&lt;&gt;"","POR RECOGER","")</f>
        <v/>
      </c>
      <c r="L1130" s="301">
        <f>IF(_PENDIENTES!$B$1124&lt;&gt;"",_PENDIENTES!$K$1124,"")</f>
        <v/>
      </c>
      <c r="M1130" s="284">
        <f>IF(_PENDIENTES!$B$1124&lt;&gt;"",_PENDIENTES!$B$1124,"")</f>
        <v/>
      </c>
      <c r="N1130" s="304">
        <f>IF(_PENDIENTES!$B$1124&lt;&gt;"",_PENDIENTES!$L$1124,"")</f>
        <v/>
      </c>
      <c r="O1130" s="284" t="n"/>
    </row>
    <row r="1131" hidden="1" ht="15.75" customHeight="1" s="195">
      <c r="A1131" s="241">
        <f>IF(_PENDIENTES!$B$1125&lt;&gt;"",1124,"")</f>
        <v/>
      </c>
      <c r="B1131" s="236">
        <f>IF(_PENDIENTES!$B$1125&lt;&gt;"",_PENDIENTES!$A$1125,"")</f>
        <v/>
      </c>
      <c r="C1131" s="305">
        <f>IF(_PENDIENTES!$B$1125&lt;&gt;"",_PENDIENTES!$C$1125,"")</f>
        <v/>
      </c>
      <c r="D1131" s="241">
        <f>IF(_PENDIENTES!$B$1125&lt;&gt;"",_PENDIENTES!$D$1125,"")</f>
        <v/>
      </c>
      <c r="E1131" s="241">
        <f>IF(_PENDIENTES!$B$1125&lt;&gt;"",_PENDIENTES!$E$1125,"")</f>
        <v/>
      </c>
      <c r="F1131" s="241">
        <f>IF(_PENDIENTES!$B$1125&lt;&gt;"",_PENDIENTES!$F$1125,"")</f>
        <v/>
      </c>
      <c r="G1131" s="239">
        <f>IF(_PENDIENTES!$B$1125&lt;&gt;"",_PENDIENTES!$G$1125,"")</f>
        <v/>
      </c>
      <c r="H1131" s="239">
        <f>IF(_PENDIENTES!$B$1125&lt;&gt;"",_PENDIENTES!$H$1125,"")</f>
        <v/>
      </c>
      <c r="I1131" s="305">
        <f>IF(_PENDIENTES!$B$1125&lt;&gt;"",_PENDIENTES!$I$1125,"")</f>
        <v/>
      </c>
      <c r="J1131" s="241">
        <f>IF(_PENDIENTES!$B$1125&lt;&gt;"",_PENDIENTES!$J$1125,"")</f>
        <v/>
      </c>
      <c r="K1131" s="241">
        <f>IF(_PENDIENTES!$B$1125&lt;&gt;"","POR RECOGER","")</f>
        <v/>
      </c>
      <c r="L1131" s="241">
        <f>IF(_PENDIENTES!$B$1125&lt;&gt;"",_PENDIENTES!$K$1125,"")</f>
        <v/>
      </c>
      <c r="M1131" s="284">
        <f>IF(_PENDIENTES!$B$1125&lt;&gt;"",_PENDIENTES!$B$1125,"")</f>
        <v/>
      </c>
      <c r="N1131" s="304">
        <f>IF(_PENDIENTES!$B$1125&lt;&gt;"",_PENDIENTES!$L$1125,"")</f>
        <v/>
      </c>
      <c r="O1131" s="284" t="n"/>
    </row>
    <row r="1132" hidden="1" ht="15.75" customHeight="1" s="195">
      <c r="A1132" s="301">
        <f>IF(_PENDIENTES!$B$1126&lt;&gt;"",1125,"")</f>
        <v/>
      </c>
      <c r="B1132" s="242">
        <f>IF(_PENDIENTES!$B$1126&lt;&gt;"",_PENDIENTES!$A$1126,"")</f>
        <v/>
      </c>
      <c r="C1132" s="302">
        <f>IF(_PENDIENTES!$B$1126&lt;&gt;"",_PENDIENTES!$C$1126,"")</f>
        <v/>
      </c>
      <c r="D1132" s="301">
        <f>IF(_PENDIENTES!$B$1126&lt;&gt;"",_PENDIENTES!$D$1126,"")</f>
        <v/>
      </c>
      <c r="E1132" s="301">
        <f>IF(_PENDIENTES!$B$1126&lt;&gt;"",_PENDIENTES!$E$1126,"")</f>
        <v/>
      </c>
      <c r="F1132" s="301">
        <f>IF(_PENDIENTES!$B$1126&lt;&gt;"",_PENDIENTES!$F$1126,"")</f>
        <v/>
      </c>
      <c r="G1132" s="245">
        <f>IF(_PENDIENTES!$B$1126&lt;&gt;"",_PENDIENTES!$G$1126,"")</f>
        <v/>
      </c>
      <c r="H1132" s="245">
        <f>IF(_PENDIENTES!$B$1126&lt;&gt;"",_PENDIENTES!$H$1126,"")</f>
        <v/>
      </c>
      <c r="I1132" s="302">
        <f>IF(_PENDIENTES!$B$1126&lt;&gt;"",_PENDIENTES!$I$1126,"")</f>
        <v/>
      </c>
      <c r="J1132" s="301">
        <f>IF(_PENDIENTES!$B$1126&lt;&gt;"",_PENDIENTES!$J$1126,"")</f>
        <v/>
      </c>
      <c r="K1132" s="301">
        <f>IF(_PENDIENTES!$B$1126&lt;&gt;"","POR RECOGER","")</f>
        <v/>
      </c>
      <c r="L1132" s="301">
        <f>IF(_PENDIENTES!$B$1126&lt;&gt;"",_PENDIENTES!$K$1126,"")</f>
        <v/>
      </c>
      <c r="M1132" s="284">
        <f>IF(_PENDIENTES!$B$1126&lt;&gt;"",_PENDIENTES!$B$1126,"")</f>
        <v/>
      </c>
      <c r="N1132" s="304">
        <f>IF(_PENDIENTES!$B$1126&lt;&gt;"",_PENDIENTES!$L$1126,"")</f>
        <v/>
      </c>
      <c r="O1132" s="284" t="n"/>
    </row>
    <row r="1133" hidden="1" ht="15.75" customHeight="1" s="195">
      <c r="A1133" s="241">
        <f>IF(_PENDIENTES!$B$1127&lt;&gt;"",1126,"")</f>
        <v/>
      </c>
      <c r="B1133" s="236">
        <f>IF(_PENDIENTES!$B$1127&lt;&gt;"",_PENDIENTES!$A$1127,"")</f>
        <v/>
      </c>
      <c r="C1133" s="305">
        <f>IF(_PENDIENTES!$B$1127&lt;&gt;"",_PENDIENTES!$C$1127,"")</f>
        <v/>
      </c>
      <c r="D1133" s="241">
        <f>IF(_PENDIENTES!$B$1127&lt;&gt;"",_PENDIENTES!$D$1127,"")</f>
        <v/>
      </c>
      <c r="E1133" s="241">
        <f>IF(_PENDIENTES!$B$1127&lt;&gt;"",_PENDIENTES!$E$1127,"")</f>
        <v/>
      </c>
      <c r="F1133" s="241">
        <f>IF(_PENDIENTES!$B$1127&lt;&gt;"",_PENDIENTES!$F$1127,"")</f>
        <v/>
      </c>
      <c r="G1133" s="239">
        <f>IF(_PENDIENTES!$B$1127&lt;&gt;"",_PENDIENTES!$G$1127,"")</f>
        <v/>
      </c>
      <c r="H1133" s="239">
        <f>IF(_PENDIENTES!$B$1127&lt;&gt;"",_PENDIENTES!$H$1127,"")</f>
        <v/>
      </c>
      <c r="I1133" s="305">
        <f>IF(_PENDIENTES!$B$1127&lt;&gt;"",_PENDIENTES!$I$1127,"")</f>
        <v/>
      </c>
      <c r="J1133" s="241">
        <f>IF(_PENDIENTES!$B$1127&lt;&gt;"",_PENDIENTES!$J$1127,"")</f>
        <v/>
      </c>
      <c r="K1133" s="241">
        <f>IF(_PENDIENTES!$B$1127&lt;&gt;"","POR RECOGER","")</f>
        <v/>
      </c>
      <c r="L1133" s="241">
        <f>IF(_PENDIENTES!$B$1127&lt;&gt;"",_PENDIENTES!$K$1127,"")</f>
        <v/>
      </c>
      <c r="M1133" s="284">
        <f>IF(_PENDIENTES!$B$1127&lt;&gt;"",_PENDIENTES!$B$1127,"")</f>
        <v/>
      </c>
      <c r="N1133" s="304">
        <f>IF(_PENDIENTES!$B$1127&lt;&gt;"",_PENDIENTES!$L$1127,"")</f>
        <v/>
      </c>
      <c r="O1133" s="284" t="n"/>
    </row>
    <row r="1134" hidden="1" ht="15.75" customHeight="1" s="195">
      <c r="A1134" s="301">
        <f>IF(_PENDIENTES!$B$1128&lt;&gt;"",1127,"")</f>
        <v/>
      </c>
      <c r="B1134" s="242">
        <f>IF(_PENDIENTES!$B$1128&lt;&gt;"",_PENDIENTES!$A$1128,"")</f>
        <v/>
      </c>
      <c r="C1134" s="302">
        <f>IF(_PENDIENTES!$B$1128&lt;&gt;"",_PENDIENTES!$C$1128,"")</f>
        <v/>
      </c>
      <c r="D1134" s="301">
        <f>IF(_PENDIENTES!$B$1128&lt;&gt;"",_PENDIENTES!$D$1128,"")</f>
        <v/>
      </c>
      <c r="E1134" s="301">
        <f>IF(_PENDIENTES!$B$1128&lt;&gt;"",_PENDIENTES!$E$1128,"")</f>
        <v/>
      </c>
      <c r="F1134" s="301">
        <f>IF(_PENDIENTES!$B$1128&lt;&gt;"",_PENDIENTES!$F$1128,"")</f>
        <v/>
      </c>
      <c r="G1134" s="245">
        <f>IF(_PENDIENTES!$B$1128&lt;&gt;"",_PENDIENTES!$G$1128,"")</f>
        <v/>
      </c>
      <c r="H1134" s="245">
        <f>IF(_PENDIENTES!$B$1128&lt;&gt;"",_PENDIENTES!$H$1128,"")</f>
        <v/>
      </c>
      <c r="I1134" s="302">
        <f>IF(_PENDIENTES!$B$1128&lt;&gt;"",_PENDIENTES!$I$1128,"")</f>
        <v/>
      </c>
      <c r="J1134" s="301">
        <f>IF(_PENDIENTES!$B$1128&lt;&gt;"",_PENDIENTES!$J$1128,"")</f>
        <v/>
      </c>
      <c r="K1134" s="301">
        <f>IF(_PENDIENTES!$B$1128&lt;&gt;"","POR RECOGER","")</f>
        <v/>
      </c>
      <c r="L1134" s="301">
        <f>IF(_PENDIENTES!$B$1128&lt;&gt;"",_PENDIENTES!$K$1128,"")</f>
        <v/>
      </c>
      <c r="M1134" s="284">
        <f>IF(_PENDIENTES!$B$1128&lt;&gt;"",_PENDIENTES!$B$1128,"")</f>
        <v/>
      </c>
      <c r="N1134" s="304">
        <f>IF(_PENDIENTES!$B$1128&lt;&gt;"",_PENDIENTES!$L$1128,"")</f>
        <v/>
      </c>
      <c r="O1134" s="284" t="n"/>
    </row>
    <row r="1135" hidden="1" ht="15.75" customHeight="1" s="195">
      <c r="A1135" s="241">
        <f>IF(_PENDIENTES!$B$1129&lt;&gt;"",1128,"")</f>
        <v/>
      </c>
      <c r="B1135" s="236">
        <f>IF(_PENDIENTES!$B$1129&lt;&gt;"",_PENDIENTES!$A$1129,"")</f>
        <v/>
      </c>
      <c r="C1135" s="305">
        <f>IF(_PENDIENTES!$B$1129&lt;&gt;"",_PENDIENTES!$C$1129,"")</f>
        <v/>
      </c>
      <c r="D1135" s="241">
        <f>IF(_PENDIENTES!$B$1129&lt;&gt;"",_PENDIENTES!$D$1129,"")</f>
        <v/>
      </c>
      <c r="E1135" s="241">
        <f>IF(_PENDIENTES!$B$1129&lt;&gt;"",_PENDIENTES!$E$1129,"")</f>
        <v/>
      </c>
      <c r="F1135" s="241">
        <f>IF(_PENDIENTES!$B$1129&lt;&gt;"",_PENDIENTES!$F$1129,"")</f>
        <v/>
      </c>
      <c r="G1135" s="239">
        <f>IF(_PENDIENTES!$B$1129&lt;&gt;"",_PENDIENTES!$G$1129,"")</f>
        <v/>
      </c>
      <c r="H1135" s="239">
        <f>IF(_PENDIENTES!$B$1129&lt;&gt;"",_PENDIENTES!$H$1129,"")</f>
        <v/>
      </c>
      <c r="I1135" s="305">
        <f>IF(_PENDIENTES!$B$1129&lt;&gt;"",_PENDIENTES!$I$1129,"")</f>
        <v/>
      </c>
      <c r="J1135" s="241">
        <f>IF(_PENDIENTES!$B$1129&lt;&gt;"",_PENDIENTES!$J$1129,"")</f>
        <v/>
      </c>
      <c r="K1135" s="241">
        <f>IF(_PENDIENTES!$B$1129&lt;&gt;"","POR RECOGER","")</f>
        <v/>
      </c>
      <c r="L1135" s="241">
        <f>IF(_PENDIENTES!$B$1129&lt;&gt;"",_PENDIENTES!$K$1129,"")</f>
        <v/>
      </c>
      <c r="M1135" s="284">
        <f>IF(_PENDIENTES!$B$1129&lt;&gt;"",_PENDIENTES!$B$1129,"")</f>
        <v/>
      </c>
      <c r="N1135" s="304">
        <f>IF(_PENDIENTES!$B$1129&lt;&gt;"",_PENDIENTES!$L$1129,"")</f>
        <v/>
      </c>
      <c r="O1135" s="284" t="n"/>
    </row>
    <row r="1136" hidden="1" ht="15.75" customHeight="1" s="195">
      <c r="A1136" s="301">
        <f>IF(_PENDIENTES!$B$1130&lt;&gt;"",1129,"")</f>
        <v/>
      </c>
      <c r="B1136" s="242">
        <f>IF(_PENDIENTES!$B$1130&lt;&gt;"",_PENDIENTES!$A$1130,"")</f>
        <v/>
      </c>
      <c r="C1136" s="302">
        <f>IF(_PENDIENTES!$B$1130&lt;&gt;"",_PENDIENTES!$C$1130,"")</f>
        <v/>
      </c>
      <c r="D1136" s="301">
        <f>IF(_PENDIENTES!$B$1130&lt;&gt;"",_PENDIENTES!$D$1130,"")</f>
        <v/>
      </c>
      <c r="E1136" s="301">
        <f>IF(_PENDIENTES!$B$1130&lt;&gt;"",_PENDIENTES!$E$1130,"")</f>
        <v/>
      </c>
      <c r="F1136" s="301">
        <f>IF(_PENDIENTES!$B$1130&lt;&gt;"",_PENDIENTES!$F$1130,"")</f>
        <v/>
      </c>
      <c r="G1136" s="245">
        <f>IF(_PENDIENTES!$B$1130&lt;&gt;"",_PENDIENTES!$G$1130,"")</f>
        <v/>
      </c>
      <c r="H1136" s="245">
        <f>IF(_PENDIENTES!$B$1130&lt;&gt;"",_PENDIENTES!$H$1130,"")</f>
        <v/>
      </c>
      <c r="I1136" s="302">
        <f>IF(_PENDIENTES!$B$1130&lt;&gt;"",_PENDIENTES!$I$1130,"")</f>
        <v/>
      </c>
      <c r="J1136" s="301">
        <f>IF(_PENDIENTES!$B$1130&lt;&gt;"",_PENDIENTES!$J$1130,"")</f>
        <v/>
      </c>
      <c r="K1136" s="301">
        <f>IF(_PENDIENTES!$B$1130&lt;&gt;"","POR RECOGER","")</f>
        <v/>
      </c>
      <c r="L1136" s="301">
        <f>IF(_PENDIENTES!$B$1130&lt;&gt;"",_PENDIENTES!$K$1130,"")</f>
        <v/>
      </c>
      <c r="M1136" s="284">
        <f>IF(_PENDIENTES!$B$1130&lt;&gt;"",_PENDIENTES!$B$1130,"")</f>
        <v/>
      </c>
      <c r="N1136" s="304">
        <f>IF(_PENDIENTES!$B$1130&lt;&gt;"",_PENDIENTES!$L$1130,"")</f>
        <v/>
      </c>
      <c r="O1136" s="284" t="n"/>
    </row>
    <row r="1137" hidden="1" ht="15.75" customHeight="1" s="195">
      <c r="A1137" s="241">
        <f>IF(_PENDIENTES!$B$1131&lt;&gt;"",1130,"")</f>
        <v/>
      </c>
      <c r="B1137" s="236">
        <f>IF(_PENDIENTES!$B$1131&lt;&gt;"",_PENDIENTES!$A$1131,"")</f>
        <v/>
      </c>
      <c r="C1137" s="305">
        <f>IF(_PENDIENTES!$B$1131&lt;&gt;"",_PENDIENTES!$C$1131,"")</f>
        <v/>
      </c>
      <c r="D1137" s="241">
        <f>IF(_PENDIENTES!$B$1131&lt;&gt;"",_PENDIENTES!$D$1131,"")</f>
        <v/>
      </c>
      <c r="E1137" s="241">
        <f>IF(_PENDIENTES!$B$1131&lt;&gt;"",_PENDIENTES!$E$1131,"")</f>
        <v/>
      </c>
      <c r="F1137" s="241">
        <f>IF(_PENDIENTES!$B$1131&lt;&gt;"",_PENDIENTES!$F$1131,"")</f>
        <v/>
      </c>
      <c r="G1137" s="239">
        <f>IF(_PENDIENTES!$B$1131&lt;&gt;"",_PENDIENTES!$G$1131,"")</f>
        <v/>
      </c>
      <c r="H1137" s="239">
        <f>IF(_PENDIENTES!$B$1131&lt;&gt;"",_PENDIENTES!$H$1131,"")</f>
        <v/>
      </c>
      <c r="I1137" s="305">
        <f>IF(_PENDIENTES!$B$1131&lt;&gt;"",_PENDIENTES!$I$1131,"")</f>
        <v/>
      </c>
      <c r="J1137" s="241">
        <f>IF(_PENDIENTES!$B$1131&lt;&gt;"",_PENDIENTES!$J$1131,"")</f>
        <v/>
      </c>
      <c r="K1137" s="241">
        <f>IF(_PENDIENTES!$B$1131&lt;&gt;"","POR RECOGER","")</f>
        <v/>
      </c>
      <c r="L1137" s="241">
        <f>IF(_PENDIENTES!$B$1131&lt;&gt;"",_PENDIENTES!$K$1131,"")</f>
        <v/>
      </c>
      <c r="M1137" s="284">
        <f>IF(_PENDIENTES!$B$1131&lt;&gt;"",_PENDIENTES!$B$1131,"")</f>
        <v/>
      </c>
      <c r="N1137" s="304">
        <f>IF(_PENDIENTES!$B$1131&lt;&gt;"",_PENDIENTES!$L$1131,"")</f>
        <v/>
      </c>
      <c r="O1137" s="284" t="n"/>
    </row>
    <row r="1138" hidden="1" ht="15.75" customHeight="1" s="195">
      <c r="A1138" s="301">
        <f>IF(_PENDIENTES!$B$1132&lt;&gt;"",1131,"")</f>
        <v/>
      </c>
      <c r="B1138" s="242">
        <f>IF(_PENDIENTES!$B$1132&lt;&gt;"",_PENDIENTES!$A$1132,"")</f>
        <v/>
      </c>
      <c r="C1138" s="302">
        <f>IF(_PENDIENTES!$B$1132&lt;&gt;"",_PENDIENTES!$C$1132,"")</f>
        <v/>
      </c>
      <c r="D1138" s="301">
        <f>IF(_PENDIENTES!$B$1132&lt;&gt;"",_PENDIENTES!$D$1132,"")</f>
        <v/>
      </c>
      <c r="E1138" s="301">
        <f>IF(_PENDIENTES!$B$1132&lt;&gt;"",_PENDIENTES!$E$1132,"")</f>
        <v/>
      </c>
      <c r="F1138" s="301">
        <f>IF(_PENDIENTES!$B$1132&lt;&gt;"",_PENDIENTES!$F$1132,"")</f>
        <v/>
      </c>
      <c r="G1138" s="245">
        <f>IF(_PENDIENTES!$B$1132&lt;&gt;"",_PENDIENTES!$G$1132,"")</f>
        <v/>
      </c>
      <c r="H1138" s="245">
        <f>IF(_PENDIENTES!$B$1132&lt;&gt;"",_PENDIENTES!$H$1132,"")</f>
        <v/>
      </c>
      <c r="I1138" s="302">
        <f>IF(_PENDIENTES!$B$1132&lt;&gt;"",_PENDIENTES!$I$1132,"")</f>
        <v/>
      </c>
      <c r="J1138" s="301">
        <f>IF(_PENDIENTES!$B$1132&lt;&gt;"",_PENDIENTES!$J$1132,"")</f>
        <v/>
      </c>
      <c r="K1138" s="301">
        <f>IF(_PENDIENTES!$B$1132&lt;&gt;"","POR RECOGER","")</f>
        <v/>
      </c>
      <c r="L1138" s="301">
        <f>IF(_PENDIENTES!$B$1132&lt;&gt;"",_PENDIENTES!$K$1132,"")</f>
        <v/>
      </c>
      <c r="M1138" s="284">
        <f>IF(_PENDIENTES!$B$1132&lt;&gt;"",_PENDIENTES!$B$1132,"")</f>
        <v/>
      </c>
      <c r="N1138" s="304">
        <f>IF(_PENDIENTES!$B$1132&lt;&gt;"",_PENDIENTES!$L$1132,"")</f>
        <v/>
      </c>
      <c r="O1138" s="284" t="n"/>
    </row>
    <row r="1139" hidden="1" ht="15.75" customHeight="1" s="195">
      <c r="A1139" s="241">
        <f>IF(_PENDIENTES!$B$1133&lt;&gt;"",1132,"")</f>
        <v/>
      </c>
      <c r="B1139" s="236">
        <f>IF(_PENDIENTES!$B$1133&lt;&gt;"",_PENDIENTES!$A$1133,"")</f>
        <v/>
      </c>
      <c r="C1139" s="305">
        <f>IF(_PENDIENTES!$B$1133&lt;&gt;"",_PENDIENTES!$C$1133,"")</f>
        <v/>
      </c>
      <c r="D1139" s="241">
        <f>IF(_PENDIENTES!$B$1133&lt;&gt;"",_PENDIENTES!$D$1133,"")</f>
        <v/>
      </c>
      <c r="E1139" s="241">
        <f>IF(_PENDIENTES!$B$1133&lt;&gt;"",_PENDIENTES!$E$1133,"")</f>
        <v/>
      </c>
      <c r="F1139" s="241">
        <f>IF(_PENDIENTES!$B$1133&lt;&gt;"",_PENDIENTES!$F$1133,"")</f>
        <v/>
      </c>
      <c r="G1139" s="239">
        <f>IF(_PENDIENTES!$B$1133&lt;&gt;"",_PENDIENTES!$G$1133,"")</f>
        <v/>
      </c>
      <c r="H1139" s="239">
        <f>IF(_PENDIENTES!$B$1133&lt;&gt;"",_PENDIENTES!$H$1133,"")</f>
        <v/>
      </c>
      <c r="I1139" s="305">
        <f>IF(_PENDIENTES!$B$1133&lt;&gt;"",_PENDIENTES!$I$1133,"")</f>
        <v/>
      </c>
      <c r="J1139" s="241">
        <f>IF(_PENDIENTES!$B$1133&lt;&gt;"",_PENDIENTES!$J$1133,"")</f>
        <v/>
      </c>
      <c r="K1139" s="241">
        <f>IF(_PENDIENTES!$B$1133&lt;&gt;"","POR RECOGER","")</f>
        <v/>
      </c>
      <c r="L1139" s="241">
        <f>IF(_PENDIENTES!$B$1133&lt;&gt;"",_PENDIENTES!$K$1133,"")</f>
        <v/>
      </c>
      <c r="M1139" s="284">
        <f>IF(_PENDIENTES!$B$1133&lt;&gt;"",_PENDIENTES!$B$1133,"")</f>
        <v/>
      </c>
      <c r="N1139" s="304">
        <f>IF(_PENDIENTES!$B$1133&lt;&gt;"",_PENDIENTES!$L$1133,"")</f>
        <v/>
      </c>
      <c r="O1139" s="284" t="n"/>
    </row>
    <row r="1140" hidden="1" ht="15.75" customHeight="1" s="195">
      <c r="A1140" s="301">
        <f>IF(_PENDIENTES!$B$1134&lt;&gt;"",1133,"")</f>
        <v/>
      </c>
      <c r="B1140" s="242">
        <f>IF(_PENDIENTES!$B$1134&lt;&gt;"",_PENDIENTES!$A$1134,"")</f>
        <v/>
      </c>
      <c r="C1140" s="302">
        <f>IF(_PENDIENTES!$B$1134&lt;&gt;"",_PENDIENTES!$C$1134,"")</f>
        <v/>
      </c>
      <c r="D1140" s="301">
        <f>IF(_PENDIENTES!$B$1134&lt;&gt;"",_PENDIENTES!$D$1134,"")</f>
        <v/>
      </c>
      <c r="E1140" s="301">
        <f>IF(_PENDIENTES!$B$1134&lt;&gt;"",_PENDIENTES!$E$1134,"")</f>
        <v/>
      </c>
      <c r="F1140" s="301">
        <f>IF(_PENDIENTES!$B$1134&lt;&gt;"",_PENDIENTES!$F$1134,"")</f>
        <v/>
      </c>
      <c r="G1140" s="245">
        <f>IF(_PENDIENTES!$B$1134&lt;&gt;"",_PENDIENTES!$G$1134,"")</f>
        <v/>
      </c>
      <c r="H1140" s="245">
        <f>IF(_PENDIENTES!$B$1134&lt;&gt;"",_PENDIENTES!$H$1134,"")</f>
        <v/>
      </c>
      <c r="I1140" s="302">
        <f>IF(_PENDIENTES!$B$1134&lt;&gt;"",_PENDIENTES!$I$1134,"")</f>
        <v/>
      </c>
      <c r="J1140" s="301">
        <f>IF(_PENDIENTES!$B$1134&lt;&gt;"",_PENDIENTES!$J$1134,"")</f>
        <v/>
      </c>
      <c r="K1140" s="301">
        <f>IF(_PENDIENTES!$B$1134&lt;&gt;"","POR RECOGER","")</f>
        <v/>
      </c>
      <c r="L1140" s="301">
        <f>IF(_PENDIENTES!$B$1134&lt;&gt;"",_PENDIENTES!$K$1134,"")</f>
        <v/>
      </c>
      <c r="M1140" s="284">
        <f>IF(_PENDIENTES!$B$1134&lt;&gt;"",_PENDIENTES!$B$1134,"")</f>
        <v/>
      </c>
      <c r="N1140" s="304">
        <f>IF(_PENDIENTES!$B$1134&lt;&gt;"",_PENDIENTES!$L$1134,"")</f>
        <v/>
      </c>
      <c r="O1140" s="284" t="n"/>
    </row>
    <row r="1141" hidden="1" ht="15.75" customHeight="1" s="195">
      <c r="A1141" s="241">
        <f>IF(_PENDIENTES!$B$1135&lt;&gt;"",1134,"")</f>
        <v/>
      </c>
      <c r="B1141" s="236">
        <f>IF(_PENDIENTES!$B$1135&lt;&gt;"",_PENDIENTES!$A$1135,"")</f>
        <v/>
      </c>
      <c r="C1141" s="305">
        <f>IF(_PENDIENTES!$B$1135&lt;&gt;"",_PENDIENTES!$C$1135,"")</f>
        <v/>
      </c>
      <c r="D1141" s="241">
        <f>IF(_PENDIENTES!$B$1135&lt;&gt;"",_PENDIENTES!$D$1135,"")</f>
        <v/>
      </c>
      <c r="E1141" s="241">
        <f>IF(_PENDIENTES!$B$1135&lt;&gt;"",_PENDIENTES!$E$1135,"")</f>
        <v/>
      </c>
      <c r="F1141" s="241">
        <f>IF(_PENDIENTES!$B$1135&lt;&gt;"",_PENDIENTES!$F$1135,"")</f>
        <v/>
      </c>
      <c r="G1141" s="239">
        <f>IF(_PENDIENTES!$B$1135&lt;&gt;"",_PENDIENTES!$G$1135,"")</f>
        <v/>
      </c>
      <c r="H1141" s="239">
        <f>IF(_PENDIENTES!$B$1135&lt;&gt;"",_PENDIENTES!$H$1135,"")</f>
        <v/>
      </c>
      <c r="I1141" s="305">
        <f>IF(_PENDIENTES!$B$1135&lt;&gt;"",_PENDIENTES!$I$1135,"")</f>
        <v/>
      </c>
      <c r="J1141" s="241">
        <f>IF(_PENDIENTES!$B$1135&lt;&gt;"",_PENDIENTES!$J$1135,"")</f>
        <v/>
      </c>
      <c r="K1141" s="241">
        <f>IF(_PENDIENTES!$B$1135&lt;&gt;"","POR RECOGER","")</f>
        <v/>
      </c>
      <c r="L1141" s="241">
        <f>IF(_PENDIENTES!$B$1135&lt;&gt;"",_PENDIENTES!$K$1135,"")</f>
        <v/>
      </c>
      <c r="M1141" s="284">
        <f>IF(_PENDIENTES!$B$1135&lt;&gt;"",_PENDIENTES!$B$1135,"")</f>
        <v/>
      </c>
      <c r="N1141" s="304">
        <f>IF(_PENDIENTES!$B$1135&lt;&gt;"",_PENDIENTES!$L$1135,"")</f>
        <v/>
      </c>
      <c r="O1141" s="284" t="n"/>
    </row>
    <row r="1142" hidden="1" ht="15.75" customHeight="1" s="195">
      <c r="A1142" s="301">
        <f>IF(_PENDIENTES!$B$1136&lt;&gt;"",1135,"")</f>
        <v/>
      </c>
      <c r="B1142" s="242">
        <f>IF(_PENDIENTES!$B$1136&lt;&gt;"",_PENDIENTES!$A$1136,"")</f>
        <v/>
      </c>
      <c r="C1142" s="302">
        <f>IF(_PENDIENTES!$B$1136&lt;&gt;"",_PENDIENTES!$C$1136,"")</f>
        <v/>
      </c>
      <c r="D1142" s="301">
        <f>IF(_PENDIENTES!$B$1136&lt;&gt;"",_PENDIENTES!$D$1136,"")</f>
        <v/>
      </c>
      <c r="E1142" s="301">
        <f>IF(_PENDIENTES!$B$1136&lt;&gt;"",_PENDIENTES!$E$1136,"")</f>
        <v/>
      </c>
      <c r="F1142" s="301">
        <f>IF(_PENDIENTES!$B$1136&lt;&gt;"",_PENDIENTES!$F$1136,"")</f>
        <v/>
      </c>
      <c r="G1142" s="245">
        <f>IF(_PENDIENTES!$B$1136&lt;&gt;"",_PENDIENTES!$G$1136,"")</f>
        <v/>
      </c>
      <c r="H1142" s="245">
        <f>IF(_PENDIENTES!$B$1136&lt;&gt;"",_PENDIENTES!$H$1136,"")</f>
        <v/>
      </c>
      <c r="I1142" s="302">
        <f>IF(_PENDIENTES!$B$1136&lt;&gt;"",_PENDIENTES!$I$1136,"")</f>
        <v/>
      </c>
      <c r="J1142" s="301">
        <f>IF(_PENDIENTES!$B$1136&lt;&gt;"",_PENDIENTES!$J$1136,"")</f>
        <v/>
      </c>
      <c r="K1142" s="301">
        <f>IF(_PENDIENTES!$B$1136&lt;&gt;"","POR RECOGER","")</f>
        <v/>
      </c>
      <c r="L1142" s="301">
        <f>IF(_PENDIENTES!$B$1136&lt;&gt;"",_PENDIENTES!$K$1136,"")</f>
        <v/>
      </c>
      <c r="M1142" s="284">
        <f>IF(_PENDIENTES!$B$1136&lt;&gt;"",_PENDIENTES!$B$1136,"")</f>
        <v/>
      </c>
      <c r="N1142" s="304">
        <f>IF(_PENDIENTES!$B$1136&lt;&gt;"",_PENDIENTES!$L$1136,"")</f>
        <v/>
      </c>
      <c r="O1142" s="284" t="n"/>
    </row>
    <row r="1143" hidden="1" ht="15.75" customHeight="1" s="195">
      <c r="A1143" s="241">
        <f>IF(_PENDIENTES!$B$1137&lt;&gt;"",1136,"")</f>
        <v/>
      </c>
      <c r="B1143" s="236">
        <f>IF(_PENDIENTES!$B$1137&lt;&gt;"",_PENDIENTES!$A$1137,"")</f>
        <v/>
      </c>
      <c r="C1143" s="305">
        <f>IF(_PENDIENTES!$B$1137&lt;&gt;"",_PENDIENTES!$C$1137,"")</f>
        <v/>
      </c>
      <c r="D1143" s="241">
        <f>IF(_PENDIENTES!$B$1137&lt;&gt;"",_PENDIENTES!$D$1137,"")</f>
        <v/>
      </c>
      <c r="E1143" s="241">
        <f>IF(_PENDIENTES!$B$1137&lt;&gt;"",_PENDIENTES!$E$1137,"")</f>
        <v/>
      </c>
      <c r="F1143" s="241">
        <f>IF(_PENDIENTES!$B$1137&lt;&gt;"",_PENDIENTES!$F$1137,"")</f>
        <v/>
      </c>
      <c r="G1143" s="239">
        <f>IF(_PENDIENTES!$B$1137&lt;&gt;"",_PENDIENTES!$G$1137,"")</f>
        <v/>
      </c>
      <c r="H1143" s="239">
        <f>IF(_PENDIENTES!$B$1137&lt;&gt;"",_PENDIENTES!$H$1137,"")</f>
        <v/>
      </c>
      <c r="I1143" s="305">
        <f>IF(_PENDIENTES!$B$1137&lt;&gt;"",_PENDIENTES!$I$1137,"")</f>
        <v/>
      </c>
      <c r="J1143" s="241">
        <f>IF(_PENDIENTES!$B$1137&lt;&gt;"",_PENDIENTES!$J$1137,"")</f>
        <v/>
      </c>
      <c r="K1143" s="241">
        <f>IF(_PENDIENTES!$B$1137&lt;&gt;"","POR RECOGER","")</f>
        <v/>
      </c>
      <c r="L1143" s="241">
        <f>IF(_PENDIENTES!$B$1137&lt;&gt;"",_PENDIENTES!$K$1137,"")</f>
        <v/>
      </c>
      <c r="M1143" s="284">
        <f>IF(_PENDIENTES!$B$1137&lt;&gt;"",_PENDIENTES!$B$1137,"")</f>
        <v/>
      </c>
      <c r="N1143" s="304">
        <f>IF(_PENDIENTES!$B$1137&lt;&gt;"",_PENDIENTES!$L$1137,"")</f>
        <v/>
      </c>
      <c r="O1143" s="284" t="n"/>
    </row>
    <row r="1144" hidden="1" ht="15.75" customHeight="1" s="195">
      <c r="A1144" s="301">
        <f>IF(_PENDIENTES!$B$1138&lt;&gt;"",1137,"")</f>
        <v/>
      </c>
      <c r="B1144" s="242">
        <f>IF(_PENDIENTES!$B$1138&lt;&gt;"",_PENDIENTES!$A$1138,"")</f>
        <v/>
      </c>
      <c r="C1144" s="302">
        <f>IF(_PENDIENTES!$B$1138&lt;&gt;"",_PENDIENTES!$C$1138,"")</f>
        <v/>
      </c>
      <c r="D1144" s="301">
        <f>IF(_PENDIENTES!$B$1138&lt;&gt;"",_PENDIENTES!$D$1138,"")</f>
        <v/>
      </c>
      <c r="E1144" s="301">
        <f>IF(_PENDIENTES!$B$1138&lt;&gt;"",_PENDIENTES!$E$1138,"")</f>
        <v/>
      </c>
      <c r="F1144" s="301">
        <f>IF(_PENDIENTES!$B$1138&lt;&gt;"",_PENDIENTES!$F$1138,"")</f>
        <v/>
      </c>
      <c r="G1144" s="245">
        <f>IF(_PENDIENTES!$B$1138&lt;&gt;"",_PENDIENTES!$G$1138,"")</f>
        <v/>
      </c>
      <c r="H1144" s="245">
        <f>IF(_PENDIENTES!$B$1138&lt;&gt;"",_PENDIENTES!$H$1138,"")</f>
        <v/>
      </c>
      <c r="I1144" s="302">
        <f>IF(_PENDIENTES!$B$1138&lt;&gt;"",_PENDIENTES!$I$1138,"")</f>
        <v/>
      </c>
      <c r="J1144" s="301">
        <f>IF(_PENDIENTES!$B$1138&lt;&gt;"",_PENDIENTES!$J$1138,"")</f>
        <v/>
      </c>
      <c r="K1144" s="301">
        <f>IF(_PENDIENTES!$B$1138&lt;&gt;"","POR RECOGER","")</f>
        <v/>
      </c>
      <c r="L1144" s="301">
        <f>IF(_PENDIENTES!$B$1138&lt;&gt;"",_PENDIENTES!$K$1138,"")</f>
        <v/>
      </c>
      <c r="M1144" s="284">
        <f>IF(_PENDIENTES!$B$1138&lt;&gt;"",_PENDIENTES!$B$1138,"")</f>
        <v/>
      </c>
      <c r="N1144" s="304">
        <f>IF(_PENDIENTES!$B$1138&lt;&gt;"",_PENDIENTES!$L$1138,"")</f>
        <v/>
      </c>
      <c r="O1144" s="284" t="n"/>
    </row>
    <row r="1145" hidden="1" ht="15.75" customHeight="1" s="195">
      <c r="A1145" s="241">
        <f>IF(_PENDIENTES!$B$1139&lt;&gt;"",1138,"")</f>
        <v/>
      </c>
      <c r="B1145" s="236">
        <f>IF(_PENDIENTES!$B$1139&lt;&gt;"",_PENDIENTES!$A$1139,"")</f>
        <v/>
      </c>
      <c r="C1145" s="305">
        <f>IF(_PENDIENTES!$B$1139&lt;&gt;"",_PENDIENTES!$C$1139,"")</f>
        <v/>
      </c>
      <c r="D1145" s="241">
        <f>IF(_PENDIENTES!$B$1139&lt;&gt;"",_PENDIENTES!$D$1139,"")</f>
        <v/>
      </c>
      <c r="E1145" s="241">
        <f>IF(_PENDIENTES!$B$1139&lt;&gt;"",_PENDIENTES!$E$1139,"")</f>
        <v/>
      </c>
      <c r="F1145" s="241">
        <f>IF(_PENDIENTES!$B$1139&lt;&gt;"",_PENDIENTES!$F$1139,"")</f>
        <v/>
      </c>
      <c r="G1145" s="239">
        <f>IF(_PENDIENTES!$B$1139&lt;&gt;"",_PENDIENTES!$G$1139,"")</f>
        <v/>
      </c>
      <c r="H1145" s="239">
        <f>IF(_PENDIENTES!$B$1139&lt;&gt;"",_PENDIENTES!$H$1139,"")</f>
        <v/>
      </c>
      <c r="I1145" s="305">
        <f>IF(_PENDIENTES!$B$1139&lt;&gt;"",_PENDIENTES!$I$1139,"")</f>
        <v/>
      </c>
      <c r="J1145" s="241">
        <f>IF(_PENDIENTES!$B$1139&lt;&gt;"",_PENDIENTES!$J$1139,"")</f>
        <v/>
      </c>
      <c r="K1145" s="241">
        <f>IF(_PENDIENTES!$B$1139&lt;&gt;"","POR RECOGER","")</f>
        <v/>
      </c>
      <c r="L1145" s="241">
        <f>IF(_PENDIENTES!$B$1139&lt;&gt;"",_PENDIENTES!$K$1139,"")</f>
        <v/>
      </c>
      <c r="M1145" s="284">
        <f>IF(_PENDIENTES!$B$1139&lt;&gt;"",_PENDIENTES!$B$1139,"")</f>
        <v/>
      </c>
      <c r="N1145" s="304">
        <f>IF(_PENDIENTES!$B$1139&lt;&gt;"",_PENDIENTES!$L$1139,"")</f>
        <v/>
      </c>
      <c r="O1145" s="284" t="n"/>
    </row>
    <row r="1146" hidden="1" ht="15.75" customHeight="1" s="195">
      <c r="A1146" s="301">
        <f>IF(_PENDIENTES!$B$1140&lt;&gt;"",1139,"")</f>
        <v/>
      </c>
      <c r="B1146" s="242">
        <f>IF(_PENDIENTES!$B$1140&lt;&gt;"",_PENDIENTES!$A$1140,"")</f>
        <v/>
      </c>
      <c r="C1146" s="302">
        <f>IF(_PENDIENTES!$B$1140&lt;&gt;"",_PENDIENTES!$C$1140,"")</f>
        <v/>
      </c>
      <c r="D1146" s="301">
        <f>IF(_PENDIENTES!$B$1140&lt;&gt;"",_PENDIENTES!$D$1140,"")</f>
        <v/>
      </c>
      <c r="E1146" s="301">
        <f>IF(_PENDIENTES!$B$1140&lt;&gt;"",_PENDIENTES!$E$1140,"")</f>
        <v/>
      </c>
      <c r="F1146" s="301">
        <f>IF(_PENDIENTES!$B$1140&lt;&gt;"",_PENDIENTES!$F$1140,"")</f>
        <v/>
      </c>
      <c r="G1146" s="245">
        <f>IF(_PENDIENTES!$B$1140&lt;&gt;"",_PENDIENTES!$G$1140,"")</f>
        <v/>
      </c>
      <c r="H1146" s="245">
        <f>IF(_PENDIENTES!$B$1140&lt;&gt;"",_PENDIENTES!$H$1140,"")</f>
        <v/>
      </c>
      <c r="I1146" s="302">
        <f>IF(_PENDIENTES!$B$1140&lt;&gt;"",_PENDIENTES!$I$1140,"")</f>
        <v/>
      </c>
      <c r="J1146" s="301">
        <f>IF(_PENDIENTES!$B$1140&lt;&gt;"",_PENDIENTES!$J$1140,"")</f>
        <v/>
      </c>
      <c r="K1146" s="301">
        <f>IF(_PENDIENTES!$B$1140&lt;&gt;"","POR RECOGER","")</f>
        <v/>
      </c>
      <c r="L1146" s="301">
        <f>IF(_PENDIENTES!$B$1140&lt;&gt;"",_PENDIENTES!$K$1140,"")</f>
        <v/>
      </c>
      <c r="M1146" s="284">
        <f>IF(_PENDIENTES!$B$1140&lt;&gt;"",_PENDIENTES!$B$1140,"")</f>
        <v/>
      </c>
      <c r="N1146" s="304">
        <f>IF(_PENDIENTES!$B$1140&lt;&gt;"",_PENDIENTES!$L$1140,"")</f>
        <v/>
      </c>
      <c r="O1146" s="284" t="n"/>
    </row>
    <row r="1147" hidden="1" ht="15.75" customHeight="1" s="195">
      <c r="A1147" s="241">
        <f>IF(_PENDIENTES!$B$1141&lt;&gt;"",1140,"")</f>
        <v/>
      </c>
      <c r="B1147" s="236">
        <f>IF(_PENDIENTES!$B$1141&lt;&gt;"",_PENDIENTES!$A$1141,"")</f>
        <v/>
      </c>
      <c r="C1147" s="305">
        <f>IF(_PENDIENTES!$B$1141&lt;&gt;"",_PENDIENTES!$C$1141,"")</f>
        <v/>
      </c>
      <c r="D1147" s="241">
        <f>IF(_PENDIENTES!$B$1141&lt;&gt;"",_PENDIENTES!$D$1141,"")</f>
        <v/>
      </c>
      <c r="E1147" s="241">
        <f>IF(_PENDIENTES!$B$1141&lt;&gt;"",_PENDIENTES!$E$1141,"")</f>
        <v/>
      </c>
      <c r="F1147" s="241">
        <f>IF(_PENDIENTES!$B$1141&lt;&gt;"",_PENDIENTES!$F$1141,"")</f>
        <v/>
      </c>
      <c r="G1147" s="239">
        <f>IF(_PENDIENTES!$B$1141&lt;&gt;"",_PENDIENTES!$G$1141,"")</f>
        <v/>
      </c>
      <c r="H1147" s="239">
        <f>IF(_PENDIENTES!$B$1141&lt;&gt;"",_PENDIENTES!$H$1141,"")</f>
        <v/>
      </c>
      <c r="I1147" s="305">
        <f>IF(_PENDIENTES!$B$1141&lt;&gt;"",_PENDIENTES!$I$1141,"")</f>
        <v/>
      </c>
      <c r="J1147" s="241">
        <f>IF(_PENDIENTES!$B$1141&lt;&gt;"",_PENDIENTES!$J$1141,"")</f>
        <v/>
      </c>
      <c r="K1147" s="241">
        <f>IF(_PENDIENTES!$B$1141&lt;&gt;"","POR RECOGER","")</f>
        <v/>
      </c>
      <c r="L1147" s="241">
        <f>IF(_PENDIENTES!$B$1141&lt;&gt;"",_PENDIENTES!$K$1141,"")</f>
        <v/>
      </c>
      <c r="M1147" s="284">
        <f>IF(_PENDIENTES!$B$1141&lt;&gt;"",_PENDIENTES!$B$1141,"")</f>
        <v/>
      </c>
      <c r="N1147" s="304">
        <f>IF(_PENDIENTES!$B$1141&lt;&gt;"",_PENDIENTES!$L$1141,"")</f>
        <v/>
      </c>
      <c r="O1147" s="284" t="n"/>
    </row>
    <row r="1148" hidden="1" ht="15.75" customHeight="1" s="195">
      <c r="A1148" s="301">
        <f>IF(_PENDIENTES!$B$1142&lt;&gt;"",1141,"")</f>
        <v/>
      </c>
      <c r="B1148" s="242">
        <f>IF(_PENDIENTES!$B$1142&lt;&gt;"",_PENDIENTES!$A$1142,"")</f>
        <v/>
      </c>
      <c r="C1148" s="302">
        <f>IF(_PENDIENTES!$B$1142&lt;&gt;"",_PENDIENTES!$C$1142,"")</f>
        <v/>
      </c>
      <c r="D1148" s="301">
        <f>IF(_PENDIENTES!$B$1142&lt;&gt;"",_PENDIENTES!$D$1142,"")</f>
        <v/>
      </c>
      <c r="E1148" s="301">
        <f>IF(_PENDIENTES!$B$1142&lt;&gt;"",_PENDIENTES!$E$1142,"")</f>
        <v/>
      </c>
      <c r="F1148" s="301">
        <f>IF(_PENDIENTES!$B$1142&lt;&gt;"",_PENDIENTES!$F$1142,"")</f>
        <v/>
      </c>
      <c r="G1148" s="245">
        <f>IF(_PENDIENTES!$B$1142&lt;&gt;"",_PENDIENTES!$G$1142,"")</f>
        <v/>
      </c>
      <c r="H1148" s="245">
        <f>IF(_PENDIENTES!$B$1142&lt;&gt;"",_PENDIENTES!$H$1142,"")</f>
        <v/>
      </c>
      <c r="I1148" s="302">
        <f>IF(_PENDIENTES!$B$1142&lt;&gt;"",_PENDIENTES!$I$1142,"")</f>
        <v/>
      </c>
      <c r="J1148" s="301">
        <f>IF(_PENDIENTES!$B$1142&lt;&gt;"",_PENDIENTES!$J$1142,"")</f>
        <v/>
      </c>
      <c r="K1148" s="301">
        <f>IF(_PENDIENTES!$B$1142&lt;&gt;"","POR RECOGER","")</f>
        <v/>
      </c>
      <c r="L1148" s="301">
        <f>IF(_PENDIENTES!$B$1142&lt;&gt;"",_PENDIENTES!$K$1142,"")</f>
        <v/>
      </c>
      <c r="M1148" s="284">
        <f>IF(_PENDIENTES!$B$1142&lt;&gt;"",_PENDIENTES!$B$1142,"")</f>
        <v/>
      </c>
      <c r="N1148" s="304">
        <f>IF(_PENDIENTES!$B$1142&lt;&gt;"",_PENDIENTES!$L$1142,"")</f>
        <v/>
      </c>
      <c r="O1148" s="284" t="n"/>
    </row>
    <row r="1149" hidden="1" ht="15.75" customHeight="1" s="195">
      <c r="A1149" s="241">
        <f>IF(_PENDIENTES!$B$1143&lt;&gt;"",1142,"")</f>
        <v/>
      </c>
      <c r="B1149" s="236">
        <f>IF(_PENDIENTES!$B$1143&lt;&gt;"",_PENDIENTES!$A$1143,"")</f>
        <v/>
      </c>
      <c r="C1149" s="305">
        <f>IF(_PENDIENTES!$B$1143&lt;&gt;"",_PENDIENTES!$C$1143,"")</f>
        <v/>
      </c>
      <c r="D1149" s="241">
        <f>IF(_PENDIENTES!$B$1143&lt;&gt;"",_PENDIENTES!$D$1143,"")</f>
        <v/>
      </c>
      <c r="E1149" s="241">
        <f>IF(_PENDIENTES!$B$1143&lt;&gt;"",_PENDIENTES!$E$1143,"")</f>
        <v/>
      </c>
      <c r="F1149" s="241">
        <f>IF(_PENDIENTES!$B$1143&lt;&gt;"",_PENDIENTES!$F$1143,"")</f>
        <v/>
      </c>
      <c r="G1149" s="239">
        <f>IF(_PENDIENTES!$B$1143&lt;&gt;"",_PENDIENTES!$G$1143,"")</f>
        <v/>
      </c>
      <c r="H1149" s="239">
        <f>IF(_PENDIENTES!$B$1143&lt;&gt;"",_PENDIENTES!$H$1143,"")</f>
        <v/>
      </c>
      <c r="I1149" s="305">
        <f>IF(_PENDIENTES!$B$1143&lt;&gt;"",_PENDIENTES!$I$1143,"")</f>
        <v/>
      </c>
      <c r="J1149" s="241">
        <f>IF(_PENDIENTES!$B$1143&lt;&gt;"",_PENDIENTES!$J$1143,"")</f>
        <v/>
      </c>
      <c r="K1149" s="241">
        <f>IF(_PENDIENTES!$B$1143&lt;&gt;"","POR RECOGER","")</f>
        <v/>
      </c>
      <c r="L1149" s="241">
        <f>IF(_PENDIENTES!$B$1143&lt;&gt;"",_PENDIENTES!$K$1143,"")</f>
        <v/>
      </c>
      <c r="M1149" s="284">
        <f>IF(_PENDIENTES!$B$1143&lt;&gt;"",_PENDIENTES!$B$1143,"")</f>
        <v/>
      </c>
      <c r="N1149" s="304">
        <f>IF(_PENDIENTES!$B$1143&lt;&gt;"",_PENDIENTES!$L$1143,"")</f>
        <v/>
      </c>
      <c r="O1149" s="284" t="n"/>
    </row>
    <row r="1150" hidden="1" ht="15.75" customHeight="1" s="195">
      <c r="A1150" s="301">
        <f>IF(_PENDIENTES!$B$1144&lt;&gt;"",1143,"")</f>
        <v/>
      </c>
      <c r="B1150" s="242">
        <f>IF(_PENDIENTES!$B$1144&lt;&gt;"",_PENDIENTES!$A$1144,"")</f>
        <v/>
      </c>
      <c r="C1150" s="302">
        <f>IF(_PENDIENTES!$B$1144&lt;&gt;"",_PENDIENTES!$C$1144,"")</f>
        <v/>
      </c>
      <c r="D1150" s="301">
        <f>IF(_PENDIENTES!$B$1144&lt;&gt;"",_PENDIENTES!$D$1144,"")</f>
        <v/>
      </c>
      <c r="E1150" s="301">
        <f>IF(_PENDIENTES!$B$1144&lt;&gt;"",_PENDIENTES!$E$1144,"")</f>
        <v/>
      </c>
      <c r="F1150" s="301">
        <f>IF(_PENDIENTES!$B$1144&lt;&gt;"",_PENDIENTES!$F$1144,"")</f>
        <v/>
      </c>
      <c r="G1150" s="245">
        <f>IF(_PENDIENTES!$B$1144&lt;&gt;"",_PENDIENTES!$G$1144,"")</f>
        <v/>
      </c>
      <c r="H1150" s="245">
        <f>IF(_PENDIENTES!$B$1144&lt;&gt;"",_PENDIENTES!$H$1144,"")</f>
        <v/>
      </c>
      <c r="I1150" s="302">
        <f>IF(_PENDIENTES!$B$1144&lt;&gt;"",_PENDIENTES!$I$1144,"")</f>
        <v/>
      </c>
      <c r="J1150" s="301">
        <f>IF(_PENDIENTES!$B$1144&lt;&gt;"",_PENDIENTES!$J$1144,"")</f>
        <v/>
      </c>
      <c r="K1150" s="301">
        <f>IF(_PENDIENTES!$B$1144&lt;&gt;"","POR RECOGER","")</f>
        <v/>
      </c>
      <c r="L1150" s="301">
        <f>IF(_PENDIENTES!$B$1144&lt;&gt;"",_PENDIENTES!$K$1144,"")</f>
        <v/>
      </c>
      <c r="M1150" s="284">
        <f>IF(_PENDIENTES!$B$1144&lt;&gt;"",_PENDIENTES!$B$1144,"")</f>
        <v/>
      </c>
      <c r="N1150" s="304">
        <f>IF(_PENDIENTES!$B$1144&lt;&gt;"",_PENDIENTES!$L$1144,"")</f>
        <v/>
      </c>
      <c r="O1150" s="284" t="n"/>
    </row>
    <row r="1151" hidden="1" ht="15.75" customHeight="1" s="195">
      <c r="A1151" s="241">
        <f>IF(_PENDIENTES!$B$1145&lt;&gt;"",1144,"")</f>
        <v/>
      </c>
      <c r="B1151" s="236">
        <f>IF(_PENDIENTES!$B$1145&lt;&gt;"",_PENDIENTES!$A$1145,"")</f>
        <v/>
      </c>
      <c r="C1151" s="305">
        <f>IF(_PENDIENTES!$B$1145&lt;&gt;"",_PENDIENTES!$C$1145,"")</f>
        <v/>
      </c>
      <c r="D1151" s="241">
        <f>IF(_PENDIENTES!$B$1145&lt;&gt;"",_PENDIENTES!$D$1145,"")</f>
        <v/>
      </c>
      <c r="E1151" s="241">
        <f>IF(_PENDIENTES!$B$1145&lt;&gt;"",_PENDIENTES!$E$1145,"")</f>
        <v/>
      </c>
      <c r="F1151" s="241">
        <f>IF(_PENDIENTES!$B$1145&lt;&gt;"",_PENDIENTES!$F$1145,"")</f>
        <v/>
      </c>
      <c r="G1151" s="239">
        <f>IF(_PENDIENTES!$B$1145&lt;&gt;"",_PENDIENTES!$G$1145,"")</f>
        <v/>
      </c>
      <c r="H1151" s="239">
        <f>IF(_PENDIENTES!$B$1145&lt;&gt;"",_PENDIENTES!$H$1145,"")</f>
        <v/>
      </c>
      <c r="I1151" s="305">
        <f>IF(_PENDIENTES!$B$1145&lt;&gt;"",_PENDIENTES!$I$1145,"")</f>
        <v/>
      </c>
      <c r="J1151" s="241">
        <f>IF(_PENDIENTES!$B$1145&lt;&gt;"",_PENDIENTES!$J$1145,"")</f>
        <v/>
      </c>
      <c r="K1151" s="241">
        <f>IF(_PENDIENTES!$B$1145&lt;&gt;"","POR RECOGER","")</f>
        <v/>
      </c>
      <c r="L1151" s="241">
        <f>IF(_PENDIENTES!$B$1145&lt;&gt;"",_PENDIENTES!$K$1145,"")</f>
        <v/>
      </c>
      <c r="M1151" s="284">
        <f>IF(_PENDIENTES!$B$1145&lt;&gt;"",_PENDIENTES!$B$1145,"")</f>
        <v/>
      </c>
      <c r="N1151" s="304">
        <f>IF(_PENDIENTES!$B$1145&lt;&gt;"",_PENDIENTES!$L$1145,"")</f>
        <v/>
      </c>
      <c r="O1151" s="284" t="n"/>
    </row>
    <row r="1152" hidden="1" ht="15.75" customHeight="1" s="195">
      <c r="A1152" s="301">
        <f>IF(_PENDIENTES!$B$1146&lt;&gt;"",1145,"")</f>
        <v/>
      </c>
      <c r="B1152" s="242">
        <f>IF(_PENDIENTES!$B$1146&lt;&gt;"",_PENDIENTES!$A$1146,"")</f>
        <v/>
      </c>
      <c r="C1152" s="302">
        <f>IF(_PENDIENTES!$B$1146&lt;&gt;"",_PENDIENTES!$C$1146,"")</f>
        <v/>
      </c>
      <c r="D1152" s="301">
        <f>IF(_PENDIENTES!$B$1146&lt;&gt;"",_PENDIENTES!$D$1146,"")</f>
        <v/>
      </c>
      <c r="E1152" s="301">
        <f>IF(_PENDIENTES!$B$1146&lt;&gt;"",_PENDIENTES!$E$1146,"")</f>
        <v/>
      </c>
      <c r="F1152" s="301">
        <f>IF(_PENDIENTES!$B$1146&lt;&gt;"",_PENDIENTES!$F$1146,"")</f>
        <v/>
      </c>
      <c r="G1152" s="245">
        <f>IF(_PENDIENTES!$B$1146&lt;&gt;"",_PENDIENTES!$G$1146,"")</f>
        <v/>
      </c>
      <c r="H1152" s="245">
        <f>IF(_PENDIENTES!$B$1146&lt;&gt;"",_PENDIENTES!$H$1146,"")</f>
        <v/>
      </c>
      <c r="I1152" s="302">
        <f>IF(_PENDIENTES!$B$1146&lt;&gt;"",_PENDIENTES!$I$1146,"")</f>
        <v/>
      </c>
      <c r="J1152" s="301">
        <f>IF(_PENDIENTES!$B$1146&lt;&gt;"",_PENDIENTES!$J$1146,"")</f>
        <v/>
      </c>
      <c r="K1152" s="301">
        <f>IF(_PENDIENTES!$B$1146&lt;&gt;"","POR RECOGER","")</f>
        <v/>
      </c>
      <c r="L1152" s="301">
        <f>IF(_PENDIENTES!$B$1146&lt;&gt;"",_PENDIENTES!$K$1146,"")</f>
        <v/>
      </c>
      <c r="M1152" s="284">
        <f>IF(_PENDIENTES!$B$1146&lt;&gt;"",_PENDIENTES!$B$1146,"")</f>
        <v/>
      </c>
      <c r="N1152" s="304">
        <f>IF(_PENDIENTES!$B$1146&lt;&gt;"",_PENDIENTES!$L$1146,"")</f>
        <v/>
      </c>
      <c r="O1152" s="284" t="n"/>
    </row>
    <row r="1153" hidden="1" ht="15.75" customHeight="1" s="195">
      <c r="A1153" s="241">
        <f>IF(_PENDIENTES!$B$1147&lt;&gt;"",1146,"")</f>
        <v/>
      </c>
      <c r="B1153" s="236">
        <f>IF(_PENDIENTES!$B$1147&lt;&gt;"",_PENDIENTES!$A$1147,"")</f>
        <v/>
      </c>
      <c r="C1153" s="305">
        <f>IF(_PENDIENTES!$B$1147&lt;&gt;"",_PENDIENTES!$C$1147,"")</f>
        <v/>
      </c>
      <c r="D1153" s="241">
        <f>IF(_PENDIENTES!$B$1147&lt;&gt;"",_PENDIENTES!$D$1147,"")</f>
        <v/>
      </c>
      <c r="E1153" s="241">
        <f>IF(_PENDIENTES!$B$1147&lt;&gt;"",_PENDIENTES!$E$1147,"")</f>
        <v/>
      </c>
      <c r="F1153" s="241">
        <f>IF(_PENDIENTES!$B$1147&lt;&gt;"",_PENDIENTES!$F$1147,"")</f>
        <v/>
      </c>
      <c r="G1153" s="239">
        <f>IF(_PENDIENTES!$B$1147&lt;&gt;"",_PENDIENTES!$G$1147,"")</f>
        <v/>
      </c>
      <c r="H1153" s="239">
        <f>IF(_PENDIENTES!$B$1147&lt;&gt;"",_PENDIENTES!$H$1147,"")</f>
        <v/>
      </c>
      <c r="I1153" s="305">
        <f>IF(_PENDIENTES!$B$1147&lt;&gt;"",_PENDIENTES!$I$1147,"")</f>
        <v/>
      </c>
      <c r="J1153" s="241">
        <f>IF(_PENDIENTES!$B$1147&lt;&gt;"",_PENDIENTES!$J$1147,"")</f>
        <v/>
      </c>
      <c r="K1153" s="241">
        <f>IF(_PENDIENTES!$B$1147&lt;&gt;"","POR RECOGER","")</f>
        <v/>
      </c>
      <c r="L1153" s="241">
        <f>IF(_PENDIENTES!$B$1147&lt;&gt;"",_PENDIENTES!$K$1147,"")</f>
        <v/>
      </c>
      <c r="M1153" s="284">
        <f>IF(_PENDIENTES!$B$1147&lt;&gt;"",_PENDIENTES!$B$1147,"")</f>
        <v/>
      </c>
      <c r="N1153" s="304">
        <f>IF(_PENDIENTES!$B$1147&lt;&gt;"",_PENDIENTES!$L$1147,"")</f>
        <v/>
      </c>
      <c r="O1153" s="284" t="n"/>
    </row>
    <row r="1154" hidden="1" ht="15.75" customHeight="1" s="195">
      <c r="A1154" s="301">
        <f>IF(_PENDIENTES!$B$1148&lt;&gt;"",1147,"")</f>
        <v/>
      </c>
      <c r="B1154" s="242">
        <f>IF(_PENDIENTES!$B$1148&lt;&gt;"",_PENDIENTES!$A$1148,"")</f>
        <v/>
      </c>
      <c r="C1154" s="302">
        <f>IF(_PENDIENTES!$B$1148&lt;&gt;"",_PENDIENTES!$C$1148,"")</f>
        <v/>
      </c>
      <c r="D1154" s="301">
        <f>IF(_PENDIENTES!$B$1148&lt;&gt;"",_PENDIENTES!$D$1148,"")</f>
        <v/>
      </c>
      <c r="E1154" s="301">
        <f>IF(_PENDIENTES!$B$1148&lt;&gt;"",_PENDIENTES!$E$1148,"")</f>
        <v/>
      </c>
      <c r="F1154" s="301">
        <f>IF(_PENDIENTES!$B$1148&lt;&gt;"",_PENDIENTES!$F$1148,"")</f>
        <v/>
      </c>
      <c r="G1154" s="245">
        <f>IF(_PENDIENTES!$B$1148&lt;&gt;"",_PENDIENTES!$G$1148,"")</f>
        <v/>
      </c>
      <c r="H1154" s="245">
        <f>IF(_PENDIENTES!$B$1148&lt;&gt;"",_PENDIENTES!$H$1148,"")</f>
        <v/>
      </c>
      <c r="I1154" s="302">
        <f>IF(_PENDIENTES!$B$1148&lt;&gt;"",_PENDIENTES!$I$1148,"")</f>
        <v/>
      </c>
      <c r="J1154" s="301">
        <f>IF(_PENDIENTES!$B$1148&lt;&gt;"",_PENDIENTES!$J$1148,"")</f>
        <v/>
      </c>
      <c r="K1154" s="301">
        <f>IF(_PENDIENTES!$B$1148&lt;&gt;"","POR RECOGER","")</f>
        <v/>
      </c>
      <c r="L1154" s="301">
        <f>IF(_PENDIENTES!$B$1148&lt;&gt;"",_PENDIENTES!$K$1148,"")</f>
        <v/>
      </c>
      <c r="M1154" s="284">
        <f>IF(_PENDIENTES!$B$1148&lt;&gt;"",_PENDIENTES!$B$1148,"")</f>
        <v/>
      </c>
      <c r="N1154" s="304">
        <f>IF(_PENDIENTES!$B$1148&lt;&gt;"",_PENDIENTES!$L$1148,"")</f>
        <v/>
      </c>
      <c r="O1154" s="284" t="n"/>
    </row>
    <row r="1155" hidden="1" ht="15.75" customHeight="1" s="195">
      <c r="A1155" s="241">
        <f>IF(_PENDIENTES!$B$1149&lt;&gt;"",1148,"")</f>
        <v/>
      </c>
      <c r="B1155" s="236">
        <f>IF(_PENDIENTES!$B$1149&lt;&gt;"",_PENDIENTES!$A$1149,"")</f>
        <v/>
      </c>
      <c r="C1155" s="305">
        <f>IF(_PENDIENTES!$B$1149&lt;&gt;"",_PENDIENTES!$C$1149,"")</f>
        <v/>
      </c>
      <c r="D1155" s="241">
        <f>IF(_PENDIENTES!$B$1149&lt;&gt;"",_PENDIENTES!$D$1149,"")</f>
        <v/>
      </c>
      <c r="E1155" s="241">
        <f>IF(_PENDIENTES!$B$1149&lt;&gt;"",_PENDIENTES!$E$1149,"")</f>
        <v/>
      </c>
      <c r="F1155" s="241">
        <f>IF(_PENDIENTES!$B$1149&lt;&gt;"",_PENDIENTES!$F$1149,"")</f>
        <v/>
      </c>
      <c r="G1155" s="239">
        <f>IF(_PENDIENTES!$B$1149&lt;&gt;"",_PENDIENTES!$G$1149,"")</f>
        <v/>
      </c>
      <c r="H1155" s="239">
        <f>IF(_PENDIENTES!$B$1149&lt;&gt;"",_PENDIENTES!$H$1149,"")</f>
        <v/>
      </c>
      <c r="I1155" s="305">
        <f>IF(_PENDIENTES!$B$1149&lt;&gt;"",_PENDIENTES!$I$1149,"")</f>
        <v/>
      </c>
      <c r="J1155" s="241">
        <f>IF(_PENDIENTES!$B$1149&lt;&gt;"",_PENDIENTES!$J$1149,"")</f>
        <v/>
      </c>
      <c r="K1155" s="241">
        <f>IF(_PENDIENTES!$B$1149&lt;&gt;"","POR RECOGER","")</f>
        <v/>
      </c>
      <c r="L1155" s="241">
        <f>IF(_PENDIENTES!$B$1149&lt;&gt;"",_PENDIENTES!$K$1149,"")</f>
        <v/>
      </c>
      <c r="M1155" s="284">
        <f>IF(_PENDIENTES!$B$1149&lt;&gt;"",_PENDIENTES!$B$1149,"")</f>
        <v/>
      </c>
      <c r="N1155" s="304">
        <f>IF(_PENDIENTES!$B$1149&lt;&gt;"",_PENDIENTES!$L$1149,"")</f>
        <v/>
      </c>
      <c r="O1155" s="284" t="n"/>
    </row>
    <row r="1156" hidden="1" ht="15.75" customHeight="1" s="195">
      <c r="A1156" s="301">
        <f>IF(_PENDIENTES!$B$1150&lt;&gt;"",1149,"")</f>
        <v/>
      </c>
      <c r="B1156" s="242">
        <f>IF(_PENDIENTES!$B$1150&lt;&gt;"",_PENDIENTES!$A$1150,"")</f>
        <v/>
      </c>
      <c r="C1156" s="302">
        <f>IF(_PENDIENTES!$B$1150&lt;&gt;"",_PENDIENTES!$C$1150,"")</f>
        <v/>
      </c>
      <c r="D1156" s="301">
        <f>IF(_PENDIENTES!$B$1150&lt;&gt;"",_PENDIENTES!$D$1150,"")</f>
        <v/>
      </c>
      <c r="E1156" s="301">
        <f>IF(_PENDIENTES!$B$1150&lt;&gt;"",_PENDIENTES!$E$1150,"")</f>
        <v/>
      </c>
      <c r="F1156" s="301">
        <f>IF(_PENDIENTES!$B$1150&lt;&gt;"",_PENDIENTES!$F$1150,"")</f>
        <v/>
      </c>
      <c r="G1156" s="245">
        <f>IF(_PENDIENTES!$B$1150&lt;&gt;"",_PENDIENTES!$G$1150,"")</f>
        <v/>
      </c>
      <c r="H1156" s="245">
        <f>IF(_PENDIENTES!$B$1150&lt;&gt;"",_PENDIENTES!$H$1150,"")</f>
        <v/>
      </c>
      <c r="I1156" s="302">
        <f>IF(_PENDIENTES!$B$1150&lt;&gt;"",_PENDIENTES!$I$1150,"")</f>
        <v/>
      </c>
      <c r="J1156" s="301">
        <f>IF(_PENDIENTES!$B$1150&lt;&gt;"",_PENDIENTES!$J$1150,"")</f>
        <v/>
      </c>
      <c r="K1156" s="301">
        <f>IF(_PENDIENTES!$B$1150&lt;&gt;"","POR RECOGER","")</f>
        <v/>
      </c>
      <c r="L1156" s="301">
        <f>IF(_PENDIENTES!$B$1150&lt;&gt;"",_PENDIENTES!$K$1150,"")</f>
        <v/>
      </c>
      <c r="M1156" s="284">
        <f>IF(_PENDIENTES!$B$1150&lt;&gt;"",_PENDIENTES!$B$1150,"")</f>
        <v/>
      </c>
      <c r="N1156" s="304">
        <f>IF(_PENDIENTES!$B$1150&lt;&gt;"",_PENDIENTES!$L$1150,"")</f>
        <v/>
      </c>
      <c r="O1156" s="284" t="n"/>
    </row>
    <row r="1157" hidden="1" ht="15.75" customHeight="1" s="195">
      <c r="A1157" s="241">
        <f>IF(_PENDIENTES!$B$1151&lt;&gt;"",1150,"")</f>
        <v/>
      </c>
      <c r="B1157" s="236">
        <f>IF(_PENDIENTES!$B$1151&lt;&gt;"",_PENDIENTES!$A$1151,"")</f>
        <v/>
      </c>
      <c r="C1157" s="305">
        <f>IF(_PENDIENTES!$B$1151&lt;&gt;"",_PENDIENTES!$C$1151,"")</f>
        <v/>
      </c>
      <c r="D1157" s="241">
        <f>IF(_PENDIENTES!$B$1151&lt;&gt;"",_PENDIENTES!$D$1151,"")</f>
        <v/>
      </c>
      <c r="E1157" s="241">
        <f>IF(_PENDIENTES!$B$1151&lt;&gt;"",_PENDIENTES!$E$1151,"")</f>
        <v/>
      </c>
      <c r="F1157" s="241">
        <f>IF(_PENDIENTES!$B$1151&lt;&gt;"",_PENDIENTES!$F$1151,"")</f>
        <v/>
      </c>
      <c r="G1157" s="239">
        <f>IF(_PENDIENTES!$B$1151&lt;&gt;"",_PENDIENTES!$G$1151,"")</f>
        <v/>
      </c>
      <c r="H1157" s="239">
        <f>IF(_PENDIENTES!$B$1151&lt;&gt;"",_PENDIENTES!$H$1151,"")</f>
        <v/>
      </c>
      <c r="I1157" s="305">
        <f>IF(_PENDIENTES!$B$1151&lt;&gt;"",_PENDIENTES!$I$1151,"")</f>
        <v/>
      </c>
      <c r="J1157" s="241">
        <f>IF(_PENDIENTES!$B$1151&lt;&gt;"",_PENDIENTES!$J$1151,"")</f>
        <v/>
      </c>
      <c r="K1157" s="241">
        <f>IF(_PENDIENTES!$B$1151&lt;&gt;"","POR RECOGER","")</f>
        <v/>
      </c>
      <c r="L1157" s="241">
        <f>IF(_PENDIENTES!$B$1151&lt;&gt;"",_PENDIENTES!$K$1151,"")</f>
        <v/>
      </c>
      <c r="M1157" s="284">
        <f>IF(_PENDIENTES!$B$1151&lt;&gt;"",_PENDIENTES!$B$1151,"")</f>
        <v/>
      </c>
      <c r="N1157" s="304">
        <f>IF(_PENDIENTES!$B$1151&lt;&gt;"",_PENDIENTES!$L$1151,"")</f>
        <v/>
      </c>
      <c r="O1157" s="284" t="n"/>
    </row>
    <row r="1158" hidden="1" ht="15.75" customHeight="1" s="195">
      <c r="A1158" s="301">
        <f>IF(_PENDIENTES!$B$1152&lt;&gt;"",1151,"")</f>
        <v/>
      </c>
      <c r="B1158" s="242">
        <f>IF(_PENDIENTES!$B$1152&lt;&gt;"",_PENDIENTES!$A$1152,"")</f>
        <v/>
      </c>
      <c r="C1158" s="302">
        <f>IF(_PENDIENTES!$B$1152&lt;&gt;"",_PENDIENTES!$C$1152,"")</f>
        <v/>
      </c>
      <c r="D1158" s="301">
        <f>IF(_PENDIENTES!$B$1152&lt;&gt;"",_PENDIENTES!$D$1152,"")</f>
        <v/>
      </c>
      <c r="E1158" s="301">
        <f>IF(_PENDIENTES!$B$1152&lt;&gt;"",_PENDIENTES!$E$1152,"")</f>
        <v/>
      </c>
      <c r="F1158" s="301">
        <f>IF(_PENDIENTES!$B$1152&lt;&gt;"",_PENDIENTES!$F$1152,"")</f>
        <v/>
      </c>
      <c r="G1158" s="245">
        <f>IF(_PENDIENTES!$B$1152&lt;&gt;"",_PENDIENTES!$G$1152,"")</f>
        <v/>
      </c>
      <c r="H1158" s="245">
        <f>IF(_PENDIENTES!$B$1152&lt;&gt;"",_PENDIENTES!$H$1152,"")</f>
        <v/>
      </c>
      <c r="I1158" s="302">
        <f>IF(_PENDIENTES!$B$1152&lt;&gt;"",_PENDIENTES!$I$1152,"")</f>
        <v/>
      </c>
      <c r="J1158" s="301">
        <f>IF(_PENDIENTES!$B$1152&lt;&gt;"",_PENDIENTES!$J$1152,"")</f>
        <v/>
      </c>
      <c r="K1158" s="301">
        <f>IF(_PENDIENTES!$B$1152&lt;&gt;"","POR RECOGER","")</f>
        <v/>
      </c>
      <c r="L1158" s="301">
        <f>IF(_PENDIENTES!$B$1152&lt;&gt;"",_PENDIENTES!$K$1152,"")</f>
        <v/>
      </c>
      <c r="M1158" s="284">
        <f>IF(_PENDIENTES!$B$1152&lt;&gt;"",_PENDIENTES!$B$1152,"")</f>
        <v/>
      </c>
      <c r="N1158" s="304">
        <f>IF(_PENDIENTES!$B$1152&lt;&gt;"",_PENDIENTES!$L$1152,"")</f>
        <v/>
      </c>
      <c r="O1158" s="284" t="n"/>
    </row>
    <row r="1159" hidden="1" ht="15.75" customHeight="1" s="195">
      <c r="A1159" s="241">
        <f>IF(_PENDIENTES!$B$1153&lt;&gt;"",1152,"")</f>
        <v/>
      </c>
      <c r="B1159" s="236">
        <f>IF(_PENDIENTES!$B$1153&lt;&gt;"",_PENDIENTES!$A$1153,"")</f>
        <v/>
      </c>
      <c r="C1159" s="305">
        <f>IF(_PENDIENTES!$B$1153&lt;&gt;"",_PENDIENTES!$C$1153,"")</f>
        <v/>
      </c>
      <c r="D1159" s="241">
        <f>IF(_PENDIENTES!$B$1153&lt;&gt;"",_PENDIENTES!$D$1153,"")</f>
        <v/>
      </c>
      <c r="E1159" s="241">
        <f>IF(_PENDIENTES!$B$1153&lt;&gt;"",_PENDIENTES!$E$1153,"")</f>
        <v/>
      </c>
      <c r="F1159" s="241">
        <f>IF(_PENDIENTES!$B$1153&lt;&gt;"",_PENDIENTES!$F$1153,"")</f>
        <v/>
      </c>
      <c r="G1159" s="239">
        <f>IF(_PENDIENTES!$B$1153&lt;&gt;"",_PENDIENTES!$G$1153,"")</f>
        <v/>
      </c>
      <c r="H1159" s="239">
        <f>IF(_PENDIENTES!$B$1153&lt;&gt;"",_PENDIENTES!$H$1153,"")</f>
        <v/>
      </c>
      <c r="I1159" s="305">
        <f>IF(_PENDIENTES!$B$1153&lt;&gt;"",_PENDIENTES!$I$1153,"")</f>
        <v/>
      </c>
      <c r="J1159" s="241">
        <f>IF(_PENDIENTES!$B$1153&lt;&gt;"",_PENDIENTES!$J$1153,"")</f>
        <v/>
      </c>
      <c r="K1159" s="241">
        <f>IF(_PENDIENTES!$B$1153&lt;&gt;"","POR RECOGER","")</f>
        <v/>
      </c>
      <c r="L1159" s="241">
        <f>IF(_PENDIENTES!$B$1153&lt;&gt;"",_PENDIENTES!$K$1153,"")</f>
        <v/>
      </c>
      <c r="M1159" s="284">
        <f>IF(_PENDIENTES!$B$1153&lt;&gt;"",_PENDIENTES!$B$1153,"")</f>
        <v/>
      </c>
      <c r="N1159" s="304">
        <f>IF(_PENDIENTES!$B$1153&lt;&gt;"",_PENDIENTES!$L$1153,"")</f>
        <v/>
      </c>
      <c r="O1159" s="284" t="n"/>
    </row>
    <row r="1160" hidden="1" ht="15.75" customHeight="1" s="195">
      <c r="A1160" s="301">
        <f>IF(_PENDIENTES!$B$1154&lt;&gt;"",1153,"")</f>
        <v/>
      </c>
      <c r="B1160" s="242">
        <f>IF(_PENDIENTES!$B$1154&lt;&gt;"",_PENDIENTES!$A$1154,"")</f>
        <v/>
      </c>
      <c r="C1160" s="302">
        <f>IF(_PENDIENTES!$B$1154&lt;&gt;"",_PENDIENTES!$C$1154,"")</f>
        <v/>
      </c>
      <c r="D1160" s="301">
        <f>IF(_PENDIENTES!$B$1154&lt;&gt;"",_PENDIENTES!$D$1154,"")</f>
        <v/>
      </c>
      <c r="E1160" s="301">
        <f>IF(_PENDIENTES!$B$1154&lt;&gt;"",_PENDIENTES!$E$1154,"")</f>
        <v/>
      </c>
      <c r="F1160" s="301">
        <f>IF(_PENDIENTES!$B$1154&lt;&gt;"",_PENDIENTES!$F$1154,"")</f>
        <v/>
      </c>
      <c r="G1160" s="245">
        <f>IF(_PENDIENTES!$B$1154&lt;&gt;"",_PENDIENTES!$G$1154,"")</f>
        <v/>
      </c>
      <c r="H1160" s="245">
        <f>IF(_PENDIENTES!$B$1154&lt;&gt;"",_PENDIENTES!$H$1154,"")</f>
        <v/>
      </c>
      <c r="I1160" s="302">
        <f>IF(_PENDIENTES!$B$1154&lt;&gt;"",_PENDIENTES!$I$1154,"")</f>
        <v/>
      </c>
      <c r="J1160" s="301">
        <f>IF(_PENDIENTES!$B$1154&lt;&gt;"",_PENDIENTES!$J$1154,"")</f>
        <v/>
      </c>
      <c r="K1160" s="301">
        <f>IF(_PENDIENTES!$B$1154&lt;&gt;"","POR RECOGER","")</f>
        <v/>
      </c>
      <c r="L1160" s="301">
        <f>IF(_PENDIENTES!$B$1154&lt;&gt;"",_PENDIENTES!$K$1154,"")</f>
        <v/>
      </c>
      <c r="M1160" s="284">
        <f>IF(_PENDIENTES!$B$1154&lt;&gt;"",_PENDIENTES!$B$1154,"")</f>
        <v/>
      </c>
      <c r="N1160" s="304">
        <f>IF(_PENDIENTES!$B$1154&lt;&gt;"",_PENDIENTES!$L$1154,"")</f>
        <v/>
      </c>
      <c r="O1160" s="284" t="n"/>
    </row>
    <row r="1161" hidden="1" ht="15.75" customHeight="1" s="195">
      <c r="A1161" s="241">
        <f>IF(_PENDIENTES!$B$1155&lt;&gt;"",1154,"")</f>
        <v/>
      </c>
      <c r="B1161" s="236">
        <f>IF(_PENDIENTES!$B$1155&lt;&gt;"",_PENDIENTES!$A$1155,"")</f>
        <v/>
      </c>
      <c r="C1161" s="305">
        <f>IF(_PENDIENTES!$B$1155&lt;&gt;"",_PENDIENTES!$C$1155,"")</f>
        <v/>
      </c>
      <c r="D1161" s="241">
        <f>IF(_PENDIENTES!$B$1155&lt;&gt;"",_PENDIENTES!$D$1155,"")</f>
        <v/>
      </c>
      <c r="E1161" s="241">
        <f>IF(_PENDIENTES!$B$1155&lt;&gt;"",_PENDIENTES!$E$1155,"")</f>
        <v/>
      </c>
      <c r="F1161" s="241">
        <f>IF(_PENDIENTES!$B$1155&lt;&gt;"",_PENDIENTES!$F$1155,"")</f>
        <v/>
      </c>
      <c r="G1161" s="239">
        <f>IF(_PENDIENTES!$B$1155&lt;&gt;"",_PENDIENTES!$G$1155,"")</f>
        <v/>
      </c>
      <c r="H1161" s="239">
        <f>IF(_PENDIENTES!$B$1155&lt;&gt;"",_PENDIENTES!$H$1155,"")</f>
        <v/>
      </c>
      <c r="I1161" s="305">
        <f>IF(_PENDIENTES!$B$1155&lt;&gt;"",_PENDIENTES!$I$1155,"")</f>
        <v/>
      </c>
      <c r="J1161" s="241">
        <f>IF(_PENDIENTES!$B$1155&lt;&gt;"",_PENDIENTES!$J$1155,"")</f>
        <v/>
      </c>
      <c r="K1161" s="241">
        <f>IF(_PENDIENTES!$B$1155&lt;&gt;"","POR RECOGER","")</f>
        <v/>
      </c>
      <c r="L1161" s="241">
        <f>IF(_PENDIENTES!$B$1155&lt;&gt;"",_PENDIENTES!$K$1155,"")</f>
        <v/>
      </c>
      <c r="M1161" s="284">
        <f>IF(_PENDIENTES!$B$1155&lt;&gt;"",_PENDIENTES!$B$1155,"")</f>
        <v/>
      </c>
      <c r="N1161" s="304">
        <f>IF(_PENDIENTES!$B$1155&lt;&gt;"",_PENDIENTES!$L$1155,"")</f>
        <v/>
      </c>
      <c r="O1161" s="284" t="n"/>
    </row>
    <row r="1162" hidden="1" ht="15.75" customHeight="1" s="195">
      <c r="A1162" s="301">
        <f>IF(_PENDIENTES!$B$1156&lt;&gt;"",1155,"")</f>
        <v/>
      </c>
      <c r="B1162" s="242">
        <f>IF(_PENDIENTES!$B$1156&lt;&gt;"",_PENDIENTES!$A$1156,"")</f>
        <v/>
      </c>
      <c r="C1162" s="302">
        <f>IF(_PENDIENTES!$B$1156&lt;&gt;"",_PENDIENTES!$C$1156,"")</f>
        <v/>
      </c>
      <c r="D1162" s="301">
        <f>IF(_PENDIENTES!$B$1156&lt;&gt;"",_PENDIENTES!$D$1156,"")</f>
        <v/>
      </c>
      <c r="E1162" s="301">
        <f>IF(_PENDIENTES!$B$1156&lt;&gt;"",_PENDIENTES!$E$1156,"")</f>
        <v/>
      </c>
      <c r="F1162" s="301">
        <f>IF(_PENDIENTES!$B$1156&lt;&gt;"",_PENDIENTES!$F$1156,"")</f>
        <v/>
      </c>
      <c r="G1162" s="245">
        <f>IF(_PENDIENTES!$B$1156&lt;&gt;"",_PENDIENTES!$G$1156,"")</f>
        <v/>
      </c>
      <c r="H1162" s="245">
        <f>IF(_PENDIENTES!$B$1156&lt;&gt;"",_PENDIENTES!$H$1156,"")</f>
        <v/>
      </c>
      <c r="I1162" s="302">
        <f>IF(_PENDIENTES!$B$1156&lt;&gt;"",_PENDIENTES!$I$1156,"")</f>
        <v/>
      </c>
      <c r="J1162" s="301">
        <f>IF(_PENDIENTES!$B$1156&lt;&gt;"",_PENDIENTES!$J$1156,"")</f>
        <v/>
      </c>
      <c r="K1162" s="301">
        <f>IF(_PENDIENTES!$B$1156&lt;&gt;"","POR RECOGER","")</f>
        <v/>
      </c>
      <c r="L1162" s="301">
        <f>IF(_PENDIENTES!$B$1156&lt;&gt;"",_PENDIENTES!$K$1156,"")</f>
        <v/>
      </c>
      <c r="M1162" s="284">
        <f>IF(_PENDIENTES!$B$1156&lt;&gt;"",_PENDIENTES!$B$1156,"")</f>
        <v/>
      </c>
      <c r="N1162" s="304">
        <f>IF(_PENDIENTES!$B$1156&lt;&gt;"",_PENDIENTES!$L$1156,"")</f>
        <v/>
      </c>
      <c r="O1162" s="284" t="n"/>
    </row>
    <row r="1163" hidden="1" ht="15.75" customHeight="1" s="195">
      <c r="A1163" s="241">
        <f>IF(_PENDIENTES!$B$1157&lt;&gt;"",1156,"")</f>
        <v/>
      </c>
      <c r="B1163" s="236">
        <f>IF(_PENDIENTES!$B$1157&lt;&gt;"",_PENDIENTES!$A$1157,"")</f>
        <v/>
      </c>
      <c r="C1163" s="305">
        <f>IF(_PENDIENTES!$B$1157&lt;&gt;"",_PENDIENTES!$C$1157,"")</f>
        <v/>
      </c>
      <c r="D1163" s="241">
        <f>IF(_PENDIENTES!$B$1157&lt;&gt;"",_PENDIENTES!$D$1157,"")</f>
        <v/>
      </c>
      <c r="E1163" s="241">
        <f>IF(_PENDIENTES!$B$1157&lt;&gt;"",_PENDIENTES!$E$1157,"")</f>
        <v/>
      </c>
      <c r="F1163" s="241">
        <f>IF(_PENDIENTES!$B$1157&lt;&gt;"",_PENDIENTES!$F$1157,"")</f>
        <v/>
      </c>
      <c r="G1163" s="239">
        <f>IF(_PENDIENTES!$B$1157&lt;&gt;"",_PENDIENTES!$G$1157,"")</f>
        <v/>
      </c>
      <c r="H1163" s="239">
        <f>IF(_PENDIENTES!$B$1157&lt;&gt;"",_PENDIENTES!$H$1157,"")</f>
        <v/>
      </c>
      <c r="I1163" s="305">
        <f>IF(_PENDIENTES!$B$1157&lt;&gt;"",_PENDIENTES!$I$1157,"")</f>
        <v/>
      </c>
      <c r="J1163" s="241">
        <f>IF(_PENDIENTES!$B$1157&lt;&gt;"",_PENDIENTES!$J$1157,"")</f>
        <v/>
      </c>
      <c r="K1163" s="241">
        <f>IF(_PENDIENTES!$B$1157&lt;&gt;"","POR RECOGER","")</f>
        <v/>
      </c>
      <c r="L1163" s="241">
        <f>IF(_PENDIENTES!$B$1157&lt;&gt;"",_PENDIENTES!$K$1157,"")</f>
        <v/>
      </c>
      <c r="M1163" s="284">
        <f>IF(_PENDIENTES!$B$1157&lt;&gt;"",_PENDIENTES!$B$1157,"")</f>
        <v/>
      </c>
      <c r="N1163" s="304">
        <f>IF(_PENDIENTES!$B$1157&lt;&gt;"",_PENDIENTES!$L$1157,"")</f>
        <v/>
      </c>
      <c r="O1163" s="284" t="n"/>
    </row>
    <row r="1164" hidden="1" ht="15.75" customHeight="1" s="195">
      <c r="A1164" s="301">
        <f>IF(_PENDIENTES!$B$1158&lt;&gt;"",1157,"")</f>
        <v/>
      </c>
      <c r="B1164" s="242">
        <f>IF(_PENDIENTES!$B$1158&lt;&gt;"",_PENDIENTES!$A$1158,"")</f>
        <v/>
      </c>
      <c r="C1164" s="302">
        <f>IF(_PENDIENTES!$B$1158&lt;&gt;"",_PENDIENTES!$C$1158,"")</f>
        <v/>
      </c>
      <c r="D1164" s="301">
        <f>IF(_PENDIENTES!$B$1158&lt;&gt;"",_PENDIENTES!$D$1158,"")</f>
        <v/>
      </c>
      <c r="E1164" s="301">
        <f>IF(_PENDIENTES!$B$1158&lt;&gt;"",_PENDIENTES!$E$1158,"")</f>
        <v/>
      </c>
      <c r="F1164" s="301">
        <f>IF(_PENDIENTES!$B$1158&lt;&gt;"",_PENDIENTES!$F$1158,"")</f>
        <v/>
      </c>
      <c r="G1164" s="245">
        <f>IF(_PENDIENTES!$B$1158&lt;&gt;"",_PENDIENTES!$G$1158,"")</f>
        <v/>
      </c>
      <c r="H1164" s="245">
        <f>IF(_PENDIENTES!$B$1158&lt;&gt;"",_PENDIENTES!$H$1158,"")</f>
        <v/>
      </c>
      <c r="I1164" s="302">
        <f>IF(_PENDIENTES!$B$1158&lt;&gt;"",_PENDIENTES!$I$1158,"")</f>
        <v/>
      </c>
      <c r="J1164" s="301">
        <f>IF(_PENDIENTES!$B$1158&lt;&gt;"",_PENDIENTES!$J$1158,"")</f>
        <v/>
      </c>
      <c r="K1164" s="301">
        <f>IF(_PENDIENTES!$B$1158&lt;&gt;"","POR RECOGER","")</f>
        <v/>
      </c>
      <c r="L1164" s="301">
        <f>IF(_PENDIENTES!$B$1158&lt;&gt;"",_PENDIENTES!$K$1158,"")</f>
        <v/>
      </c>
      <c r="M1164" s="284">
        <f>IF(_PENDIENTES!$B$1158&lt;&gt;"",_PENDIENTES!$B$1158,"")</f>
        <v/>
      </c>
      <c r="N1164" s="304">
        <f>IF(_PENDIENTES!$B$1158&lt;&gt;"",_PENDIENTES!$L$1158,"")</f>
        <v/>
      </c>
      <c r="O1164" s="284" t="n"/>
    </row>
    <row r="1165" hidden="1" ht="15.75" customHeight="1" s="195">
      <c r="A1165" s="241">
        <f>IF(_PENDIENTES!$B$1159&lt;&gt;"",1158,"")</f>
        <v/>
      </c>
      <c r="B1165" s="236">
        <f>IF(_PENDIENTES!$B$1159&lt;&gt;"",_PENDIENTES!$A$1159,"")</f>
        <v/>
      </c>
      <c r="C1165" s="305">
        <f>IF(_PENDIENTES!$B$1159&lt;&gt;"",_PENDIENTES!$C$1159,"")</f>
        <v/>
      </c>
      <c r="D1165" s="241">
        <f>IF(_PENDIENTES!$B$1159&lt;&gt;"",_PENDIENTES!$D$1159,"")</f>
        <v/>
      </c>
      <c r="E1165" s="241">
        <f>IF(_PENDIENTES!$B$1159&lt;&gt;"",_PENDIENTES!$E$1159,"")</f>
        <v/>
      </c>
      <c r="F1165" s="241">
        <f>IF(_PENDIENTES!$B$1159&lt;&gt;"",_PENDIENTES!$F$1159,"")</f>
        <v/>
      </c>
      <c r="G1165" s="239">
        <f>IF(_PENDIENTES!$B$1159&lt;&gt;"",_PENDIENTES!$G$1159,"")</f>
        <v/>
      </c>
      <c r="H1165" s="239">
        <f>IF(_PENDIENTES!$B$1159&lt;&gt;"",_PENDIENTES!$H$1159,"")</f>
        <v/>
      </c>
      <c r="I1165" s="305">
        <f>IF(_PENDIENTES!$B$1159&lt;&gt;"",_PENDIENTES!$I$1159,"")</f>
        <v/>
      </c>
      <c r="J1165" s="241">
        <f>IF(_PENDIENTES!$B$1159&lt;&gt;"",_PENDIENTES!$J$1159,"")</f>
        <v/>
      </c>
      <c r="K1165" s="241">
        <f>IF(_PENDIENTES!$B$1159&lt;&gt;"","POR RECOGER","")</f>
        <v/>
      </c>
      <c r="L1165" s="241">
        <f>IF(_PENDIENTES!$B$1159&lt;&gt;"",_PENDIENTES!$K$1159,"")</f>
        <v/>
      </c>
      <c r="M1165" s="284">
        <f>IF(_PENDIENTES!$B$1159&lt;&gt;"",_PENDIENTES!$B$1159,"")</f>
        <v/>
      </c>
      <c r="N1165" s="304">
        <f>IF(_PENDIENTES!$B$1159&lt;&gt;"",_PENDIENTES!$L$1159,"")</f>
        <v/>
      </c>
      <c r="O1165" s="284" t="n"/>
    </row>
    <row r="1166" hidden="1" ht="15.75" customHeight="1" s="195">
      <c r="A1166" s="301">
        <f>IF(_PENDIENTES!$B$1160&lt;&gt;"",1159,"")</f>
        <v/>
      </c>
      <c r="B1166" s="242">
        <f>IF(_PENDIENTES!$B$1160&lt;&gt;"",_PENDIENTES!$A$1160,"")</f>
        <v/>
      </c>
      <c r="C1166" s="302">
        <f>IF(_PENDIENTES!$B$1160&lt;&gt;"",_PENDIENTES!$C$1160,"")</f>
        <v/>
      </c>
      <c r="D1166" s="301">
        <f>IF(_PENDIENTES!$B$1160&lt;&gt;"",_PENDIENTES!$D$1160,"")</f>
        <v/>
      </c>
      <c r="E1166" s="301">
        <f>IF(_PENDIENTES!$B$1160&lt;&gt;"",_PENDIENTES!$E$1160,"")</f>
        <v/>
      </c>
      <c r="F1166" s="301">
        <f>IF(_PENDIENTES!$B$1160&lt;&gt;"",_PENDIENTES!$F$1160,"")</f>
        <v/>
      </c>
      <c r="G1166" s="245">
        <f>IF(_PENDIENTES!$B$1160&lt;&gt;"",_PENDIENTES!$G$1160,"")</f>
        <v/>
      </c>
      <c r="H1166" s="245">
        <f>IF(_PENDIENTES!$B$1160&lt;&gt;"",_PENDIENTES!$H$1160,"")</f>
        <v/>
      </c>
      <c r="I1166" s="302">
        <f>IF(_PENDIENTES!$B$1160&lt;&gt;"",_PENDIENTES!$I$1160,"")</f>
        <v/>
      </c>
      <c r="J1166" s="301">
        <f>IF(_PENDIENTES!$B$1160&lt;&gt;"",_PENDIENTES!$J$1160,"")</f>
        <v/>
      </c>
      <c r="K1166" s="301">
        <f>IF(_PENDIENTES!$B$1160&lt;&gt;"","POR RECOGER","")</f>
        <v/>
      </c>
      <c r="L1166" s="301">
        <f>IF(_PENDIENTES!$B$1160&lt;&gt;"",_PENDIENTES!$K$1160,"")</f>
        <v/>
      </c>
      <c r="M1166" s="284">
        <f>IF(_PENDIENTES!$B$1160&lt;&gt;"",_PENDIENTES!$B$1160,"")</f>
        <v/>
      </c>
      <c r="N1166" s="304">
        <f>IF(_PENDIENTES!$B$1160&lt;&gt;"",_PENDIENTES!$L$1160,"")</f>
        <v/>
      </c>
      <c r="O1166" s="284" t="n"/>
    </row>
    <row r="1167" hidden="1" ht="15.75" customHeight="1" s="195">
      <c r="A1167" s="241">
        <f>IF(_PENDIENTES!$B$1161&lt;&gt;"",1160,"")</f>
        <v/>
      </c>
      <c r="B1167" s="236">
        <f>IF(_PENDIENTES!$B$1161&lt;&gt;"",_PENDIENTES!$A$1161,"")</f>
        <v/>
      </c>
      <c r="C1167" s="305">
        <f>IF(_PENDIENTES!$B$1161&lt;&gt;"",_PENDIENTES!$C$1161,"")</f>
        <v/>
      </c>
      <c r="D1167" s="241">
        <f>IF(_PENDIENTES!$B$1161&lt;&gt;"",_PENDIENTES!$D$1161,"")</f>
        <v/>
      </c>
      <c r="E1167" s="241">
        <f>IF(_PENDIENTES!$B$1161&lt;&gt;"",_PENDIENTES!$E$1161,"")</f>
        <v/>
      </c>
      <c r="F1167" s="241">
        <f>IF(_PENDIENTES!$B$1161&lt;&gt;"",_PENDIENTES!$F$1161,"")</f>
        <v/>
      </c>
      <c r="G1167" s="239">
        <f>IF(_PENDIENTES!$B$1161&lt;&gt;"",_PENDIENTES!$G$1161,"")</f>
        <v/>
      </c>
      <c r="H1167" s="239">
        <f>IF(_PENDIENTES!$B$1161&lt;&gt;"",_PENDIENTES!$H$1161,"")</f>
        <v/>
      </c>
      <c r="I1167" s="305">
        <f>IF(_PENDIENTES!$B$1161&lt;&gt;"",_PENDIENTES!$I$1161,"")</f>
        <v/>
      </c>
      <c r="J1167" s="241">
        <f>IF(_PENDIENTES!$B$1161&lt;&gt;"",_PENDIENTES!$J$1161,"")</f>
        <v/>
      </c>
      <c r="K1167" s="241">
        <f>IF(_PENDIENTES!$B$1161&lt;&gt;"","POR RECOGER","")</f>
        <v/>
      </c>
      <c r="L1167" s="241">
        <f>IF(_PENDIENTES!$B$1161&lt;&gt;"",_PENDIENTES!$K$1161,"")</f>
        <v/>
      </c>
      <c r="M1167" s="284">
        <f>IF(_PENDIENTES!$B$1161&lt;&gt;"",_PENDIENTES!$B$1161,"")</f>
        <v/>
      </c>
      <c r="N1167" s="304">
        <f>IF(_PENDIENTES!$B$1161&lt;&gt;"",_PENDIENTES!$L$1161,"")</f>
        <v/>
      </c>
      <c r="O1167" s="284" t="n"/>
    </row>
    <row r="1168" hidden="1" ht="15.75" customHeight="1" s="195">
      <c r="A1168" s="301">
        <f>IF(_PENDIENTES!$B$1162&lt;&gt;"",1161,"")</f>
        <v/>
      </c>
      <c r="B1168" s="242">
        <f>IF(_PENDIENTES!$B$1162&lt;&gt;"",_PENDIENTES!$A$1162,"")</f>
        <v/>
      </c>
      <c r="C1168" s="302">
        <f>IF(_PENDIENTES!$B$1162&lt;&gt;"",_PENDIENTES!$C$1162,"")</f>
        <v/>
      </c>
      <c r="D1168" s="301">
        <f>IF(_PENDIENTES!$B$1162&lt;&gt;"",_PENDIENTES!$D$1162,"")</f>
        <v/>
      </c>
      <c r="E1168" s="301">
        <f>IF(_PENDIENTES!$B$1162&lt;&gt;"",_PENDIENTES!$E$1162,"")</f>
        <v/>
      </c>
      <c r="F1168" s="301">
        <f>IF(_PENDIENTES!$B$1162&lt;&gt;"",_PENDIENTES!$F$1162,"")</f>
        <v/>
      </c>
      <c r="G1168" s="245">
        <f>IF(_PENDIENTES!$B$1162&lt;&gt;"",_PENDIENTES!$G$1162,"")</f>
        <v/>
      </c>
      <c r="H1168" s="245">
        <f>IF(_PENDIENTES!$B$1162&lt;&gt;"",_PENDIENTES!$H$1162,"")</f>
        <v/>
      </c>
      <c r="I1168" s="302">
        <f>IF(_PENDIENTES!$B$1162&lt;&gt;"",_PENDIENTES!$I$1162,"")</f>
        <v/>
      </c>
      <c r="J1168" s="301">
        <f>IF(_PENDIENTES!$B$1162&lt;&gt;"",_PENDIENTES!$J$1162,"")</f>
        <v/>
      </c>
      <c r="K1168" s="301">
        <f>IF(_PENDIENTES!$B$1162&lt;&gt;"","POR RECOGER","")</f>
        <v/>
      </c>
      <c r="L1168" s="301">
        <f>IF(_PENDIENTES!$B$1162&lt;&gt;"",_PENDIENTES!$K$1162,"")</f>
        <v/>
      </c>
      <c r="M1168" s="284">
        <f>IF(_PENDIENTES!$B$1162&lt;&gt;"",_PENDIENTES!$B$1162,"")</f>
        <v/>
      </c>
      <c r="N1168" s="304">
        <f>IF(_PENDIENTES!$B$1162&lt;&gt;"",_PENDIENTES!$L$1162,"")</f>
        <v/>
      </c>
      <c r="O1168" s="284" t="n"/>
    </row>
    <row r="1169" hidden="1" ht="15.75" customHeight="1" s="195">
      <c r="A1169" s="241">
        <f>IF(_PENDIENTES!$B$1163&lt;&gt;"",1162,"")</f>
        <v/>
      </c>
      <c r="B1169" s="236">
        <f>IF(_PENDIENTES!$B$1163&lt;&gt;"",_PENDIENTES!$A$1163,"")</f>
        <v/>
      </c>
      <c r="C1169" s="305">
        <f>IF(_PENDIENTES!$B$1163&lt;&gt;"",_PENDIENTES!$C$1163,"")</f>
        <v/>
      </c>
      <c r="D1169" s="241">
        <f>IF(_PENDIENTES!$B$1163&lt;&gt;"",_PENDIENTES!$D$1163,"")</f>
        <v/>
      </c>
      <c r="E1169" s="241">
        <f>IF(_PENDIENTES!$B$1163&lt;&gt;"",_PENDIENTES!$E$1163,"")</f>
        <v/>
      </c>
      <c r="F1169" s="241">
        <f>IF(_PENDIENTES!$B$1163&lt;&gt;"",_PENDIENTES!$F$1163,"")</f>
        <v/>
      </c>
      <c r="G1169" s="239">
        <f>IF(_PENDIENTES!$B$1163&lt;&gt;"",_PENDIENTES!$G$1163,"")</f>
        <v/>
      </c>
      <c r="H1169" s="239">
        <f>IF(_PENDIENTES!$B$1163&lt;&gt;"",_PENDIENTES!$H$1163,"")</f>
        <v/>
      </c>
      <c r="I1169" s="305">
        <f>IF(_PENDIENTES!$B$1163&lt;&gt;"",_PENDIENTES!$I$1163,"")</f>
        <v/>
      </c>
      <c r="J1169" s="241">
        <f>IF(_PENDIENTES!$B$1163&lt;&gt;"",_PENDIENTES!$J$1163,"")</f>
        <v/>
      </c>
      <c r="K1169" s="241">
        <f>IF(_PENDIENTES!$B$1163&lt;&gt;"","POR RECOGER","")</f>
        <v/>
      </c>
      <c r="L1169" s="241">
        <f>IF(_PENDIENTES!$B$1163&lt;&gt;"",_PENDIENTES!$K$1163,"")</f>
        <v/>
      </c>
      <c r="M1169" s="284">
        <f>IF(_PENDIENTES!$B$1163&lt;&gt;"",_PENDIENTES!$B$1163,"")</f>
        <v/>
      </c>
      <c r="N1169" s="304">
        <f>IF(_PENDIENTES!$B$1163&lt;&gt;"",_PENDIENTES!$L$1163,"")</f>
        <v/>
      </c>
      <c r="O1169" s="284" t="n"/>
    </row>
    <row r="1170" hidden="1" ht="15.75" customHeight="1" s="195">
      <c r="A1170" s="301">
        <f>IF(_PENDIENTES!$B$1164&lt;&gt;"",1163,"")</f>
        <v/>
      </c>
      <c r="B1170" s="242">
        <f>IF(_PENDIENTES!$B$1164&lt;&gt;"",_PENDIENTES!$A$1164,"")</f>
        <v/>
      </c>
      <c r="C1170" s="302">
        <f>IF(_PENDIENTES!$B$1164&lt;&gt;"",_PENDIENTES!$C$1164,"")</f>
        <v/>
      </c>
      <c r="D1170" s="301">
        <f>IF(_PENDIENTES!$B$1164&lt;&gt;"",_PENDIENTES!$D$1164,"")</f>
        <v/>
      </c>
      <c r="E1170" s="301">
        <f>IF(_PENDIENTES!$B$1164&lt;&gt;"",_PENDIENTES!$E$1164,"")</f>
        <v/>
      </c>
      <c r="F1170" s="301">
        <f>IF(_PENDIENTES!$B$1164&lt;&gt;"",_PENDIENTES!$F$1164,"")</f>
        <v/>
      </c>
      <c r="G1170" s="245">
        <f>IF(_PENDIENTES!$B$1164&lt;&gt;"",_PENDIENTES!$G$1164,"")</f>
        <v/>
      </c>
      <c r="H1170" s="245">
        <f>IF(_PENDIENTES!$B$1164&lt;&gt;"",_PENDIENTES!$H$1164,"")</f>
        <v/>
      </c>
      <c r="I1170" s="302">
        <f>IF(_PENDIENTES!$B$1164&lt;&gt;"",_PENDIENTES!$I$1164,"")</f>
        <v/>
      </c>
      <c r="J1170" s="301">
        <f>IF(_PENDIENTES!$B$1164&lt;&gt;"",_PENDIENTES!$J$1164,"")</f>
        <v/>
      </c>
      <c r="K1170" s="301">
        <f>IF(_PENDIENTES!$B$1164&lt;&gt;"","POR RECOGER","")</f>
        <v/>
      </c>
      <c r="L1170" s="301">
        <f>IF(_PENDIENTES!$B$1164&lt;&gt;"",_PENDIENTES!$K$1164,"")</f>
        <v/>
      </c>
      <c r="M1170" s="284">
        <f>IF(_PENDIENTES!$B$1164&lt;&gt;"",_PENDIENTES!$B$1164,"")</f>
        <v/>
      </c>
      <c r="N1170" s="304">
        <f>IF(_PENDIENTES!$B$1164&lt;&gt;"",_PENDIENTES!$L$1164,"")</f>
        <v/>
      </c>
      <c r="O1170" s="284" t="n"/>
    </row>
    <row r="1171" hidden="1" ht="15.75" customHeight="1" s="195">
      <c r="A1171" s="241">
        <f>IF(_PENDIENTES!$B$1165&lt;&gt;"",1164,"")</f>
        <v/>
      </c>
      <c r="B1171" s="236">
        <f>IF(_PENDIENTES!$B$1165&lt;&gt;"",_PENDIENTES!$A$1165,"")</f>
        <v/>
      </c>
      <c r="C1171" s="305">
        <f>IF(_PENDIENTES!$B$1165&lt;&gt;"",_PENDIENTES!$C$1165,"")</f>
        <v/>
      </c>
      <c r="D1171" s="241">
        <f>IF(_PENDIENTES!$B$1165&lt;&gt;"",_PENDIENTES!$D$1165,"")</f>
        <v/>
      </c>
      <c r="E1171" s="241">
        <f>IF(_PENDIENTES!$B$1165&lt;&gt;"",_PENDIENTES!$E$1165,"")</f>
        <v/>
      </c>
      <c r="F1171" s="241">
        <f>IF(_PENDIENTES!$B$1165&lt;&gt;"",_PENDIENTES!$F$1165,"")</f>
        <v/>
      </c>
      <c r="G1171" s="239">
        <f>IF(_PENDIENTES!$B$1165&lt;&gt;"",_PENDIENTES!$G$1165,"")</f>
        <v/>
      </c>
      <c r="H1171" s="239">
        <f>IF(_PENDIENTES!$B$1165&lt;&gt;"",_PENDIENTES!$H$1165,"")</f>
        <v/>
      </c>
      <c r="I1171" s="305">
        <f>IF(_PENDIENTES!$B$1165&lt;&gt;"",_PENDIENTES!$I$1165,"")</f>
        <v/>
      </c>
      <c r="J1171" s="241">
        <f>IF(_PENDIENTES!$B$1165&lt;&gt;"",_PENDIENTES!$J$1165,"")</f>
        <v/>
      </c>
      <c r="K1171" s="241">
        <f>IF(_PENDIENTES!$B$1165&lt;&gt;"","POR RECOGER","")</f>
        <v/>
      </c>
      <c r="L1171" s="241">
        <f>IF(_PENDIENTES!$B$1165&lt;&gt;"",_PENDIENTES!$K$1165,"")</f>
        <v/>
      </c>
      <c r="M1171" s="284">
        <f>IF(_PENDIENTES!$B$1165&lt;&gt;"",_PENDIENTES!$B$1165,"")</f>
        <v/>
      </c>
      <c r="N1171" s="304">
        <f>IF(_PENDIENTES!$B$1165&lt;&gt;"",_PENDIENTES!$L$1165,"")</f>
        <v/>
      </c>
      <c r="O1171" s="284" t="n"/>
    </row>
    <row r="1172" hidden="1" ht="15.75" customHeight="1" s="195">
      <c r="A1172" s="301">
        <f>IF(_PENDIENTES!$B$1166&lt;&gt;"",1165,"")</f>
        <v/>
      </c>
      <c r="B1172" s="242">
        <f>IF(_PENDIENTES!$B$1166&lt;&gt;"",_PENDIENTES!$A$1166,"")</f>
        <v/>
      </c>
      <c r="C1172" s="302">
        <f>IF(_PENDIENTES!$B$1166&lt;&gt;"",_PENDIENTES!$C$1166,"")</f>
        <v/>
      </c>
      <c r="D1172" s="301">
        <f>IF(_PENDIENTES!$B$1166&lt;&gt;"",_PENDIENTES!$D$1166,"")</f>
        <v/>
      </c>
      <c r="E1172" s="301">
        <f>IF(_PENDIENTES!$B$1166&lt;&gt;"",_PENDIENTES!$E$1166,"")</f>
        <v/>
      </c>
      <c r="F1172" s="301">
        <f>IF(_PENDIENTES!$B$1166&lt;&gt;"",_PENDIENTES!$F$1166,"")</f>
        <v/>
      </c>
      <c r="G1172" s="245">
        <f>IF(_PENDIENTES!$B$1166&lt;&gt;"",_PENDIENTES!$G$1166,"")</f>
        <v/>
      </c>
      <c r="H1172" s="245">
        <f>IF(_PENDIENTES!$B$1166&lt;&gt;"",_PENDIENTES!$H$1166,"")</f>
        <v/>
      </c>
      <c r="I1172" s="302">
        <f>IF(_PENDIENTES!$B$1166&lt;&gt;"",_PENDIENTES!$I$1166,"")</f>
        <v/>
      </c>
      <c r="J1172" s="301">
        <f>IF(_PENDIENTES!$B$1166&lt;&gt;"",_PENDIENTES!$J$1166,"")</f>
        <v/>
      </c>
      <c r="K1172" s="301">
        <f>IF(_PENDIENTES!$B$1166&lt;&gt;"","POR RECOGER","")</f>
        <v/>
      </c>
      <c r="L1172" s="301">
        <f>IF(_PENDIENTES!$B$1166&lt;&gt;"",_PENDIENTES!$K$1166,"")</f>
        <v/>
      </c>
      <c r="M1172" s="284">
        <f>IF(_PENDIENTES!$B$1166&lt;&gt;"",_PENDIENTES!$B$1166,"")</f>
        <v/>
      </c>
      <c r="N1172" s="304">
        <f>IF(_PENDIENTES!$B$1166&lt;&gt;"",_PENDIENTES!$L$1166,"")</f>
        <v/>
      </c>
      <c r="O1172" s="284" t="n"/>
    </row>
    <row r="1173" hidden="1" ht="15.75" customHeight="1" s="195">
      <c r="A1173" s="241">
        <f>IF(_PENDIENTES!$B$1167&lt;&gt;"",1166,"")</f>
        <v/>
      </c>
      <c r="B1173" s="236">
        <f>IF(_PENDIENTES!$B$1167&lt;&gt;"",_PENDIENTES!$A$1167,"")</f>
        <v/>
      </c>
      <c r="C1173" s="305">
        <f>IF(_PENDIENTES!$B$1167&lt;&gt;"",_PENDIENTES!$C$1167,"")</f>
        <v/>
      </c>
      <c r="D1173" s="241">
        <f>IF(_PENDIENTES!$B$1167&lt;&gt;"",_PENDIENTES!$D$1167,"")</f>
        <v/>
      </c>
      <c r="E1173" s="241">
        <f>IF(_PENDIENTES!$B$1167&lt;&gt;"",_PENDIENTES!$E$1167,"")</f>
        <v/>
      </c>
      <c r="F1173" s="241">
        <f>IF(_PENDIENTES!$B$1167&lt;&gt;"",_PENDIENTES!$F$1167,"")</f>
        <v/>
      </c>
      <c r="G1173" s="239">
        <f>IF(_PENDIENTES!$B$1167&lt;&gt;"",_PENDIENTES!$G$1167,"")</f>
        <v/>
      </c>
      <c r="H1173" s="239">
        <f>IF(_PENDIENTES!$B$1167&lt;&gt;"",_PENDIENTES!$H$1167,"")</f>
        <v/>
      </c>
      <c r="I1173" s="305">
        <f>IF(_PENDIENTES!$B$1167&lt;&gt;"",_PENDIENTES!$I$1167,"")</f>
        <v/>
      </c>
      <c r="J1173" s="241">
        <f>IF(_PENDIENTES!$B$1167&lt;&gt;"",_PENDIENTES!$J$1167,"")</f>
        <v/>
      </c>
      <c r="K1173" s="241">
        <f>IF(_PENDIENTES!$B$1167&lt;&gt;"","POR RECOGER","")</f>
        <v/>
      </c>
      <c r="L1173" s="241">
        <f>IF(_PENDIENTES!$B$1167&lt;&gt;"",_PENDIENTES!$K$1167,"")</f>
        <v/>
      </c>
      <c r="M1173" s="284">
        <f>IF(_PENDIENTES!$B$1167&lt;&gt;"",_PENDIENTES!$B$1167,"")</f>
        <v/>
      </c>
      <c r="N1173" s="304">
        <f>IF(_PENDIENTES!$B$1167&lt;&gt;"",_PENDIENTES!$L$1167,"")</f>
        <v/>
      </c>
      <c r="O1173" s="284" t="n"/>
    </row>
    <row r="1174" hidden="1" ht="15.75" customHeight="1" s="195">
      <c r="A1174" s="301">
        <f>IF(_PENDIENTES!$B$1168&lt;&gt;"",1167,"")</f>
        <v/>
      </c>
      <c r="B1174" s="242">
        <f>IF(_PENDIENTES!$B$1168&lt;&gt;"",_PENDIENTES!$A$1168,"")</f>
        <v/>
      </c>
      <c r="C1174" s="302">
        <f>IF(_PENDIENTES!$B$1168&lt;&gt;"",_PENDIENTES!$C$1168,"")</f>
        <v/>
      </c>
      <c r="D1174" s="301">
        <f>IF(_PENDIENTES!$B$1168&lt;&gt;"",_PENDIENTES!$D$1168,"")</f>
        <v/>
      </c>
      <c r="E1174" s="301">
        <f>IF(_PENDIENTES!$B$1168&lt;&gt;"",_PENDIENTES!$E$1168,"")</f>
        <v/>
      </c>
      <c r="F1174" s="301">
        <f>IF(_PENDIENTES!$B$1168&lt;&gt;"",_PENDIENTES!$F$1168,"")</f>
        <v/>
      </c>
      <c r="G1174" s="245">
        <f>IF(_PENDIENTES!$B$1168&lt;&gt;"",_PENDIENTES!$G$1168,"")</f>
        <v/>
      </c>
      <c r="H1174" s="245">
        <f>IF(_PENDIENTES!$B$1168&lt;&gt;"",_PENDIENTES!$H$1168,"")</f>
        <v/>
      </c>
      <c r="I1174" s="302">
        <f>IF(_PENDIENTES!$B$1168&lt;&gt;"",_PENDIENTES!$I$1168,"")</f>
        <v/>
      </c>
      <c r="J1174" s="301">
        <f>IF(_PENDIENTES!$B$1168&lt;&gt;"",_PENDIENTES!$J$1168,"")</f>
        <v/>
      </c>
      <c r="K1174" s="301">
        <f>IF(_PENDIENTES!$B$1168&lt;&gt;"","POR RECOGER","")</f>
        <v/>
      </c>
      <c r="L1174" s="301">
        <f>IF(_PENDIENTES!$B$1168&lt;&gt;"",_PENDIENTES!$K$1168,"")</f>
        <v/>
      </c>
      <c r="M1174" s="284">
        <f>IF(_PENDIENTES!$B$1168&lt;&gt;"",_PENDIENTES!$B$1168,"")</f>
        <v/>
      </c>
      <c r="N1174" s="304">
        <f>IF(_PENDIENTES!$B$1168&lt;&gt;"",_PENDIENTES!$L$1168,"")</f>
        <v/>
      </c>
      <c r="O1174" s="284" t="n"/>
    </row>
    <row r="1175" hidden="1" ht="15.75" customHeight="1" s="195">
      <c r="A1175" s="241">
        <f>IF(_PENDIENTES!$B$1169&lt;&gt;"",1168,"")</f>
        <v/>
      </c>
      <c r="B1175" s="236">
        <f>IF(_PENDIENTES!$B$1169&lt;&gt;"",_PENDIENTES!$A$1169,"")</f>
        <v/>
      </c>
      <c r="C1175" s="305">
        <f>IF(_PENDIENTES!$B$1169&lt;&gt;"",_PENDIENTES!$C$1169,"")</f>
        <v/>
      </c>
      <c r="D1175" s="241">
        <f>IF(_PENDIENTES!$B$1169&lt;&gt;"",_PENDIENTES!$D$1169,"")</f>
        <v/>
      </c>
      <c r="E1175" s="241">
        <f>IF(_PENDIENTES!$B$1169&lt;&gt;"",_PENDIENTES!$E$1169,"")</f>
        <v/>
      </c>
      <c r="F1175" s="241">
        <f>IF(_PENDIENTES!$B$1169&lt;&gt;"",_PENDIENTES!$F$1169,"")</f>
        <v/>
      </c>
      <c r="G1175" s="239">
        <f>IF(_PENDIENTES!$B$1169&lt;&gt;"",_PENDIENTES!$G$1169,"")</f>
        <v/>
      </c>
      <c r="H1175" s="239">
        <f>IF(_PENDIENTES!$B$1169&lt;&gt;"",_PENDIENTES!$H$1169,"")</f>
        <v/>
      </c>
      <c r="I1175" s="305">
        <f>IF(_PENDIENTES!$B$1169&lt;&gt;"",_PENDIENTES!$I$1169,"")</f>
        <v/>
      </c>
      <c r="J1175" s="241">
        <f>IF(_PENDIENTES!$B$1169&lt;&gt;"",_PENDIENTES!$J$1169,"")</f>
        <v/>
      </c>
      <c r="K1175" s="241">
        <f>IF(_PENDIENTES!$B$1169&lt;&gt;"","POR RECOGER","")</f>
        <v/>
      </c>
      <c r="L1175" s="241">
        <f>IF(_PENDIENTES!$B$1169&lt;&gt;"",_PENDIENTES!$K$1169,"")</f>
        <v/>
      </c>
      <c r="M1175" s="284">
        <f>IF(_PENDIENTES!$B$1169&lt;&gt;"",_PENDIENTES!$B$1169,"")</f>
        <v/>
      </c>
      <c r="N1175" s="304">
        <f>IF(_PENDIENTES!$B$1169&lt;&gt;"",_PENDIENTES!$L$1169,"")</f>
        <v/>
      </c>
      <c r="O1175" s="284" t="n"/>
    </row>
    <row r="1176" hidden="1" ht="15.75" customHeight="1" s="195">
      <c r="A1176" s="301">
        <f>IF(_PENDIENTES!$B$1170&lt;&gt;"",1169,"")</f>
        <v/>
      </c>
      <c r="B1176" s="242">
        <f>IF(_PENDIENTES!$B$1170&lt;&gt;"",_PENDIENTES!$A$1170,"")</f>
        <v/>
      </c>
      <c r="C1176" s="302">
        <f>IF(_PENDIENTES!$B$1170&lt;&gt;"",_PENDIENTES!$C$1170,"")</f>
        <v/>
      </c>
      <c r="D1176" s="301">
        <f>IF(_PENDIENTES!$B$1170&lt;&gt;"",_PENDIENTES!$D$1170,"")</f>
        <v/>
      </c>
      <c r="E1176" s="301">
        <f>IF(_PENDIENTES!$B$1170&lt;&gt;"",_PENDIENTES!$E$1170,"")</f>
        <v/>
      </c>
      <c r="F1176" s="301">
        <f>IF(_PENDIENTES!$B$1170&lt;&gt;"",_PENDIENTES!$F$1170,"")</f>
        <v/>
      </c>
      <c r="G1176" s="245">
        <f>IF(_PENDIENTES!$B$1170&lt;&gt;"",_PENDIENTES!$G$1170,"")</f>
        <v/>
      </c>
      <c r="H1176" s="245">
        <f>IF(_PENDIENTES!$B$1170&lt;&gt;"",_PENDIENTES!$H$1170,"")</f>
        <v/>
      </c>
      <c r="I1176" s="302">
        <f>IF(_PENDIENTES!$B$1170&lt;&gt;"",_PENDIENTES!$I$1170,"")</f>
        <v/>
      </c>
      <c r="J1176" s="301">
        <f>IF(_PENDIENTES!$B$1170&lt;&gt;"",_PENDIENTES!$J$1170,"")</f>
        <v/>
      </c>
      <c r="K1176" s="301">
        <f>IF(_PENDIENTES!$B$1170&lt;&gt;"","POR RECOGER","")</f>
        <v/>
      </c>
      <c r="L1176" s="301">
        <f>IF(_PENDIENTES!$B$1170&lt;&gt;"",_PENDIENTES!$K$1170,"")</f>
        <v/>
      </c>
      <c r="M1176" s="284">
        <f>IF(_PENDIENTES!$B$1170&lt;&gt;"",_PENDIENTES!$B$1170,"")</f>
        <v/>
      </c>
      <c r="N1176" s="304">
        <f>IF(_PENDIENTES!$B$1170&lt;&gt;"",_PENDIENTES!$L$1170,"")</f>
        <v/>
      </c>
      <c r="O1176" s="284" t="n"/>
    </row>
    <row r="1177" hidden="1" ht="15.75" customHeight="1" s="195">
      <c r="A1177" s="241">
        <f>IF(_PENDIENTES!$B$1171&lt;&gt;"",1170,"")</f>
        <v/>
      </c>
      <c r="B1177" s="236">
        <f>IF(_PENDIENTES!$B$1171&lt;&gt;"",_PENDIENTES!$A$1171,"")</f>
        <v/>
      </c>
      <c r="C1177" s="305">
        <f>IF(_PENDIENTES!$B$1171&lt;&gt;"",_PENDIENTES!$C$1171,"")</f>
        <v/>
      </c>
      <c r="D1177" s="241">
        <f>IF(_PENDIENTES!$B$1171&lt;&gt;"",_PENDIENTES!$D$1171,"")</f>
        <v/>
      </c>
      <c r="E1177" s="241">
        <f>IF(_PENDIENTES!$B$1171&lt;&gt;"",_PENDIENTES!$E$1171,"")</f>
        <v/>
      </c>
      <c r="F1177" s="241">
        <f>IF(_PENDIENTES!$B$1171&lt;&gt;"",_PENDIENTES!$F$1171,"")</f>
        <v/>
      </c>
      <c r="G1177" s="239">
        <f>IF(_PENDIENTES!$B$1171&lt;&gt;"",_PENDIENTES!$G$1171,"")</f>
        <v/>
      </c>
      <c r="H1177" s="239">
        <f>IF(_PENDIENTES!$B$1171&lt;&gt;"",_PENDIENTES!$H$1171,"")</f>
        <v/>
      </c>
      <c r="I1177" s="305">
        <f>IF(_PENDIENTES!$B$1171&lt;&gt;"",_PENDIENTES!$I$1171,"")</f>
        <v/>
      </c>
      <c r="J1177" s="241">
        <f>IF(_PENDIENTES!$B$1171&lt;&gt;"",_PENDIENTES!$J$1171,"")</f>
        <v/>
      </c>
      <c r="K1177" s="241">
        <f>IF(_PENDIENTES!$B$1171&lt;&gt;"","POR RECOGER","")</f>
        <v/>
      </c>
      <c r="L1177" s="241">
        <f>IF(_PENDIENTES!$B$1171&lt;&gt;"",_PENDIENTES!$K$1171,"")</f>
        <v/>
      </c>
      <c r="M1177" s="284">
        <f>IF(_PENDIENTES!$B$1171&lt;&gt;"",_PENDIENTES!$B$1171,"")</f>
        <v/>
      </c>
      <c r="N1177" s="304">
        <f>IF(_PENDIENTES!$B$1171&lt;&gt;"",_PENDIENTES!$L$1171,"")</f>
        <v/>
      </c>
      <c r="O1177" s="284" t="n"/>
    </row>
    <row r="1178" hidden="1" ht="15.75" customHeight="1" s="195">
      <c r="A1178" s="301">
        <f>IF(_PENDIENTES!$B$1172&lt;&gt;"",1171,"")</f>
        <v/>
      </c>
      <c r="B1178" s="242">
        <f>IF(_PENDIENTES!$B$1172&lt;&gt;"",_PENDIENTES!$A$1172,"")</f>
        <v/>
      </c>
      <c r="C1178" s="302">
        <f>IF(_PENDIENTES!$B$1172&lt;&gt;"",_PENDIENTES!$C$1172,"")</f>
        <v/>
      </c>
      <c r="D1178" s="301">
        <f>IF(_PENDIENTES!$B$1172&lt;&gt;"",_PENDIENTES!$D$1172,"")</f>
        <v/>
      </c>
      <c r="E1178" s="301">
        <f>IF(_PENDIENTES!$B$1172&lt;&gt;"",_PENDIENTES!$E$1172,"")</f>
        <v/>
      </c>
      <c r="F1178" s="301">
        <f>IF(_PENDIENTES!$B$1172&lt;&gt;"",_PENDIENTES!$F$1172,"")</f>
        <v/>
      </c>
      <c r="G1178" s="245">
        <f>IF(_PENDIENTES!$B$1172&lt;&gt;"",_PENDIENTES!$G$1172,"")</f>
        <v/>
      </c>
      <c r="H1178" s="245">
        <f>IF(_PENDIENTES!$B$1172&lt;&gt;"",_PENDIENTES!$H$1172,"")</f>
        <v/>
      </c>
      <c r="I1178" s="302">
        <f>IF(_PENDIENTES!$B$1172&lt;&gt;"",_PENDIENTES!$I$1172,"")</f>
        <v/>
      </c>
      <c r="J1178" s="301">
        <f>IF(_PENDIENTES!$B$1172&lt;&gt;"",_PENDIENTES!$J$1172,"")</f>
        <v/>
      </c>
      <c r="K1178" s="301">
        <f>IF(_PENDIENTES!$B$1172&lt;&gt;"","POR RECOGER","")</f>
        <v/>
      </c>
      <c r="L1178" s="301">
        <f>IF(_PENDIENTES!$B$1172&lt;&gt;"",_PENDIENTES!$K$1172,"")</f>
        <v/>
      </c>
      <c r="M1178" s="284">
        <f>IF(_PENDIENTES!$B$1172&lt;&gt;"",_PENDIENTES!$B$1172,"")</f>
        <v/>
      </c>
      <c r="N1178" s="304">
        <f>IF(_PENDIENTES!$B$1172&lt;&gt;"",_PENDIENTES!$L$1172,"")</f>
        <v/>
      </c>
      <c r="O1178" s="284" t="n"/>
    </row>
    <row r="1179" hidden="1" ht="15.75" customHeight="1" s="195">
      <c r="A1179" s="241">
        <f>IF(_PENDIENTES!$B$1173&lt;&gt;"",1172,"")</f>
        <v/>
      </c>
      <c r="B1179" s="236">
        <f>IF(_PENDIENTES!$B$1173&lt;&gt;"",_PENDIENTES!$A$1173,"")</f>
        <v/>
      </c>
      <c r="C1179" s="305">
        <f>IF(_PENDIENTES!$B$1173&lt;&gt;"",_PENDIENTES!$C$1173,"")</f>
        <v/>
      </c>
      <c r="D1179" s="241">
        <f>IF(_PENDIENTES!$B$1173&lt;&gt;"",_PENDIENTES!$D$1173,"")</f>
        <v/>
      </c>
      <c r="E1179" s="241">
        <f>IF(_PENDIENTES!$B$1173&lt;&gt;"",_PENDIENTES!$E$1173,"")</f>
        <v/>
      </c>
      <c r="F1179" s="241">
        <f>IF(_PENDIENTES!$B$1173&lt;&gt;"",_PENDIENTES!$F$1173,"")</f>
        <v/>
      </c>
      <c r="G1179" s="239">
        <f>IF(_PENDIENTES!$B$1173&lt;&gt;"",_PENDIENTES!$G$1173,"")</f>
        <v/>
      </c>
      <c r="H1179" s="239">
        <f>IF(_PENDIENTES!$B$1173&lt;&gt;"",_PENDIENTES!$H$1173,"")</f>
        <v/>
      </c>
      <c r="I1179" s="305">
        <f>IF(_PENDIENTES!$B$1173&lt;&gt;"",_PENDIENTES!$I$1173,"")</f>
        <v/>
      </c>
      <c r="J1179" s="241">
        <f>IF(_PENDIENTES!$B$1173&lt;&gt;"",_PENDIENTES!$J$1173,"")</f>
        <v/>
      </c>
      <c r="K1179" s="241">
        <f>IF(_PENDIENTES!$B$1173&lt;&gt;"","POR RECOGER","")</f>
        <v/>
      </c>
      <c r="L1179" s="241">
        <f>IF(_PENDIENTES!$B$1173&lt;&gt;"",_PENDIENTES!$K$1173,"")</f>
        <v/>
      </c>
      <c r="M1179" s="284">
        <f>IF(_PENDIENTES!$B$1173&lt;&gt;"",_PENDIENTES!$B$1173,"")</f>
        <v/>
      </c>
      <c r="N1179" s="304">
        <f>IF(_PENDIENTES!$B$1173&lt;&gt;"",_PENDIENTES!$L$1173,"")</f>
        <v/>
      </c>
      <c r="O1179" s="284" t="n"/>
    </row>
    <row r="1180" hidden="1" ht="15.75" customHeight="1" s="195">
      <c r="A1180" s="301">
        <f>IF(_PENDIENTES!$B$1174&lt;&gt;"",1173,"")</f>
        <v/>
      </c>
      <c r="B1180" s="242">
        <f>IF(_PENDIENTES!$B$1174&lt;&gt;"",_PENDIENTES!$A$1174,"")</f>
        <v/>
      </c>
      <c r="C1180" s="302">
        <f>IF(_PENDIENTES!$B$1174&lt;&gt;"",_PENDIENTES!$C$1174,"")</f>
        <v/>
      </c>
      <c r="D1180" s="301">
        <f>IF(_PENDIENTES!$B$1174&lt;&gt;"",_PENDIENTES!$D$1174,"")</f>
        <v/>
      </c>
      <c r="E1180" s="301">
        <f>IF(_PENDIENTES!$B$1174&lt;&gt;"",_PENDIENTES!$E$1174,"")</f>
        <v/>
      </c>
      <c r="F1180" s="301">
        <f>IF(_PENDIENTES!$B$1174&lt;&gt;"",_PENDIENTES!$F$1174,"")</f>
        <v/>
      </c>
      <c r="G1180" s="245">
        <f>IF(_PENDIENTES!$B$1174&lt;&gt;"",_PENDIENTES!$G$1174,"")</f>
        <v/>
      </c>
      <c r="H1180" s="245">
        <f>IF(_PENDIENTES!$B$1174&lt;&gt;"",_PENDIENTES!$H$1174,"")</f>
        <v/>
      </c>
      <c r="I1180" s="302">
        <f>IF(_PENDIENTES!$B$1174&lt;&gt;"",_PENDIENTES!$I$1174,"")</f>
        <v/>
      </c>
      <c r="J1180" s="301">
        <f>IF(_PENDIENTES!$B$1174&lt;&gt;"",_PENDIENTES!$J$1174,"")</f>
        <v/>
      </c>
      <c r="K1180" s="301">
        <f>IF(_PENDIENTES!$B$1174&lt;&gt;"","POR RECOGER","")</f>
        <v/>
      </c>
      <c r="L1180" s="301">
        <f>IF(_PENDIENTES!$B$1174&lt;&gt;"",_PENDIENTES!$K$1174,"")</f>
        <v/>
      </c>
      <c r="M1180" s="284">
        <f>IF(_PENDIENTES!$B$1174&lt;&gt;"",_PENDIENTES!$B$1174,"")</f>
        <v/>
      </c>
      <c r="N1180" s="304">
        <f>IF(_PENDIENTES!$B$1174&lt;&gt;"",_PENDIENTES!$L$1174,"")</f>
        <v/>
      </c>
      <c r="O1180" s="284" t="n"/>
    </row>
    <row r="1181" hidden="1" ht="15.75" customHeight="1" s="195">
      <c r="A1181" s="241">
        <f>IF(_PENDIENTES!$B$1175&lt;&gt;"",1174,"")</f>
        <v/>
      </c>
      <c r="B1181" s="236">
        <f>IF(_PENDIENTES!$B$1175&lt;&gt;"",_PENDIENTES!$A$1175,"")</f>
        <v/>
      </c>
      <c r="C1181" s="305">
        <f>IF(_PENDIENTES!$B$1175&lt;&gt;"",_PENDIENTES!$C$1175,"")</f>
        <v/>
      </c>
      <c r="D1181" s="241">
        <f>IF(_PENDIENTES!$B$1175&lt;&gt;"",_PENDIENTES!$D$1175,"")</f>
        <v/>
      </c>
      <c r="E1181" s="241">
        <f>IF(_PENDIENTES!$B$1175&lt;&gt;"",_PENDIENTES!$E$1175,"")</f>
        <v/>
      </c>
      <c r="F1181" s="241">
        <f>IF(_PENDIENTES!$B$1175&lt;&gt;"",_PENDIENTES!$F$1175,"")</f>
        <v/>
      </c>
      <c r="G1181" s="239">
        <f>IF(_PENDIENTES!$B$1175&lt;&gt;"",_PENDIENTES!$G$1175,"")</f>
        <v/>
      </c>
      <c r="H1181" s="239">
        <f>IF(_PENDIENTES!$B$1175&lt;&gt;"",_PENDIENTES!$H$1175,"")</f>
        <v/>
      </c>
      <c r="I1181" s="305">
        <f>IF(_PENDIENTES!$B$1175&lt;&gt;"",_PENDIENTES!$I$1175,"")</f>
        <v/>
      </c>
      <c r="J1181" s="241">
        <f>IF(_PENDIENTES!$B$1175&lt;&gt;"",_PENDIENTES!$J$1175,"")</f>
        <v/>
      </c>
      <c r="K1181" s="241">
        <f>IF(_PENDIENTES!$B$1175&lt;&gt;"","POR RECOGER","")</f>
        <v/>
      </c>
      <c r="L1181" s="241">
        <f>IF(_PENDIENTES!$B$1175&lt;&gt;"",_PENDIENTES!$K$1175,"")</f>
        <v/>
      </c>
      <c r="M1181" s="284">
        <f>IF(_PENDIENTES!$B$1175&lt;&gt;"",_PENDIENTES!$B$1175,"")</f>
        <v/>
      </c>
      <c r="N1181" s="304">
        <f>IF(_PENDIENTES!$B$1175&lt;&gt;"",_PENDIENTES!$L$1175,"")</f>
        <v/>
      </c>
      <c r="O1181" s="284" t="n"/>
    </row>
    <row r="1182" hidden="1" ht="15.75" customHeight="1" s="195">
      <c r="A1182" s="301">
        <f>IF(_PENDIENTES!$B$1176&lt;&gt;"",1175,"")</f>
        <v/>
      </c>
      <c r="B1182" s="242">
        <f>IF(_PENDIENTES!$B$1176&lt;&gt;"",_PENDIENTES!$A$1176,"")</f>
        <v/>
      </c>
      <c r="C1182" s="302">
        <f>IF(_PENDIENTES!$B$1176&lt;&gt;"",_PENDIENTES!$C$1176,"")</f>
        <v/>
      </c>
      <c r="D1182" s="301">
        <f>IF(_PENDIENTES!$B$1176&lt;&gt;"",_PENDIENTES!$D$1176,"")</f>
        <v/>
      </c>
      <c r="E1182" s="301">
        <f>IF(_PENDIENTES!$B$1176&lt;&gt;"",_PENDIENTES!$E$1176,"")</f>
        <v/>
      </c>
      <c r="F1182" s="301">
        <f>IF(_PENDIENTES!$B$1176&lt;&gt;"",_PENDIENTES!$F$1176,"")</f>
        <v/>
      </c>
      <c r="G1182" s="245">
        <f>IF(_PENDIENTES!$B$1176&lt;&gt;"",_PENDIENTES!$G$1176,"")</f>
        <v/>
      </c>
      <c r="H1182" s="245">
        <f>IF(_PENDIENTES!$B$1176&lt;&gt;"",_PENDIENTES!$H$1176,"")</f>
        <v/>
      </c>
      <c r="I1182" s="302">
        <f>IF(_PENDIENTES!$B$1176&lt;&gt;"",_PENDIENTES!$I$1176,"")</f>
        <v/>
      </c>
      <c r="J1182" s="301">
        <f>IF(_PENDIENTES!$B$1176&lt;&gt;"",_PENDIENTES!$J$1176,"")</f>
        <v/>
      </c>
      <c r="K1182" s="301">
        <f>IF(_PENDIENTES!$B$1176&lt;&gt;"","POR RECOGER","")</f>
        <v/>
      </c>
      <c r="L1182" s="301">
        <f>IF(_PENDIENTES!$B$1176&lt;&gt;"",_PENDIENTES!$K$1176,"")</f>
        <v/>
      </c>
      <c r="M1182" s="284">
        <f>IF(_PENDIENTES!$B$1176&lt;&gt;"",_PENDIENTES!$B$1176,"")</f>
        <v/>
      </c>
      <c r="N1182" s="304">
        <f>IF(_PENDIENTES!$B$1176&lt;&gt;"",_PENDIENTES!$L$1176,"")</f>
        <v/>
      </c>
      <c r="O1182" s="284" t="n"/>
    </row>
    <row r="1183" hidden="1" ht="15.75" customHeight="1" s="195">
      <c r="A1183" s="241">
        <f>IF(_PENDIENTES!$B$1177&lt;&gt;"",1176,"")</f>
        <v/>
      </c>
      <c r="B1183" s="236">
        <f>IF(_PENDIENTES!$B$1177&lt;&gt;"",_PENDIENTES!$A$1177,"")</f>
        <v/>
      </c>
      <c r="C1183" s="305">
        <f>IF(_PENDIENTES!$B$1177&lt;&gt;"",_PENDIENTES!$C$1177,"")</f>
        <v/>
      </c>
      <c r="D1183" s="241">
        <f>IF(_PENDIENTES!$B$1177&lt;&gt;"",_PENDIENTES!$D$1177,"")</f>
        <v/>
      </c>
      <c r="E1183" s="241">
        <f>IF(_PENDIENTES!$B$1177&lt;&gt;"",_PENDIENTES!$E$1177,"")</f>
        <v/>
      </c>
      <c r="F1183" s="241">
        <f>IF(_PENDIENTES!$B$1177&lt;&gt;"",_PENDIENTES!$F$1177,"")</f>
        <v/>
      </c>
      <c r="G1183" s="239">
        <f>IF(_PENDIENTES!$B$1177&lt;&gt;"",_PENDIENTES!$G$1177,"")</f>
        <v/>
      </c>
      <c r="H1183" s="239">
        <f>IF(_PENDIENTES!$B$1177&lt;&gt;"",_PENDIENTES!$H$1177,"")</f>
        <v/>
      </c>
      <c r="I1183" s="305">
        <f>IF(_PENDIENTES!$B$1177&lt;&gt;"",_PENDIENTES!$I$1177,"")</f>
        <v/>
      </c>
      <c r="J1183" s="241">
        <f>IF(_PENDIENTES!$B$1177&lt;&gt;"",_PENDIENTES!$J$1177,"")</f>
        <v/>
      </c>
      <c r="K1183" s="241">
        <f>IF(_PENDIENTES!$B$1177&lt;&gt;"","POR RECOGER","")</f>
        <v/>
      </c>
      <c r="L1183" s="241">
        <f>IF(_PENDIENTES!$B$1177&lt;&gt;"",_PENDIENTES!$K$1177,"")</f>
        <v/>
      </c>
      <c r="M1183" s="284">
        <f>IF(_PENDIENTES!$B$1177&lt;&gt;"",_PENDIENTES!$B$1177,"")</f>
        <v/>
      </c>
      <c r="N1183" s="304">
        <f>IF(_PENDIENTES!$B$1177&lt;&gt;"",_PENDIENTES!$L$1177,"")</f>
        <v/>
      </c>
      <c r="O1183" s="284" t="n"/>
    </row>
    <row r="1184" hidden="1" ht="15.75" customHeight="1" s="195">
      <c r="A1184" s="301">
        <f>IF(_PENDIENTES!$B$1178&lt;&gt;"",1177,"")</f>
        <v/>
      </c>
      <c r="B1184" s="242">
        <f>IF(_PENDIENTES!$B$1178&lt;&gt;"",_PENDIENTES!$A$1178,"")</f>
        <v/>
      </c>
      <c r="C1184" s="302">
        <f>IF(_PENDIENTES!$B$1178&lt;&gt;"",_PENDIENTES!$C$1178,"")</f>
        <v/>
      </c>
      <c r="D1184" s="301">
        <f>IF(_PENDIENTES!$B$1178&lt;&gt;"",_PENDIENTES!$D$1178,"")</f>
        <v/>
      </c>
      <c r="E1184" s="301">
        <f>IF(_PENDIENTES!$B$1178&lt;&gt;"",_PENDIENTES!$E$1178,"")</f>
        <v/>
      </c>
      <c r="F1184" s="301">
        <f>IF(_PENDIENTES!$B$1178&lt;&gt;"",_PENDIENTES!$F$1178,"")</f>
        <v/>
      </c>
      <c r="G1184" s="245">
        <f>IF(_PENDIENTES!$B$1178&lt;&gt;"",_PENDIENTES!$G$1178,"")</f>
        <v/>
      </c>
      <c r="H1184" s="245">
        <f>IF(_PENDIENTES!$B$1178&lt;&gt;"",_PENDIENTES!$H$1178,"")</f>
        <v/>
      </c>
      <c r="I1184" s="302">
        <f>IF(_PENDIENTES!$B$1178&lt;&gt;"",_PENDIENTES!$I$1178,"")</f>
        <v/>
      </c>
      <c r="J1184" s="301">
        <f>IF(_PENDIENTES!$B$1178&lt;&gt;"",_PENDIENTES!$J$1178,"")</f>
        <v/>
      </c>
      <c r="K1184" s="301">
        <f>IF(_PENDIENTES!$B$1178&lt;&gt;"","POR RECOGER","")</f>
        <v/>
      </c>
      <c r="L1184" s="301">
        <f>IF(_PENDIENTES!$B$1178&lt;&gt;"",_PENDIENTES!$K$1178,"")</f>
        <v/>
      </c>
      <c r="M1184" s="284">
        <f>IF(_PENDIENTES!$B$1178&lt;&gt;"",_PENDIENTES!$B$1178,"")</f>
        <v/>
      </c>
      <c r="N1184" s="304">
        <f>IF(_PENDIENTES!$B$1178&lt;&gt;"",_PENDIENTES!$L$1178,"")</f>
        <v/>
      </c>
      <c r="O1184" s="284" t="n"/>
    </row>
    <row r="1185" hidden="1" ht="15.75" customHeight="1" s="195">
      <c r="A1185" s="241">
        <f>IF(_PENDIENTES!$B$1179&lt;&gt;"",1178,"")</f>
        <v/>
      </c>
      <c r="B1185" s="236">
        <f>IF(_PENDIENTES!$B$1179&lt;&gt;"",_PENDIENTES!$A$1179,"")</f>
        <v/>
      </c>
      <c r="C1185" s="305">
        <f>IF(_PENDIENTES!$B$1179&lt;&gt;"",_PENDIENTES!$C$1179,"")</f>
        <v/>
      </c>
      <c r="D1185" s="241">
        <f>IF(_PENDIENTES!$B$1179&lt;&gt;"",_PENDIENTES!$D$1179,"")</f>
        <v/>
      </c>
      <c r="E1185" s="241">
        <f>IF(_PENDIENTES!$B$1179&lt;&gt;"",_PENDIENTES!$E$1179,"")</f>
        <v/>
      </c>
      <c r="F1185" s="241">
        <f>IF(_PENDIENTES!$B$1179&lt;&gt;"",_PENDIENTES!$F$1179,"")</f>
        <v/>
      </c>
      <c r="G1185" s="239">
        <f>IF(_PENDIENTES!$B$1179&lt;&gt;"",_PENDIENTES!$G$1179,"")</f>
        <v/>
      </c>
      <c r="H1185" s="239">
        <f>IF(_PENDIENTES!$B$1179&lt;&gt;"",_PENDIENTES!$H$1179,"")</f>
        <v/>
      </c>
      <c r="I1185" s="305">
        <f>IF(_PENDIENTES!$B$1179&lt;&gt;"",_PENDIENTES!$I$1179,"")</f>
        <v/>
      </c>
      <c r="J1185" s="241">
        <f>IF(_PENDIENTES!$B$1179&lt;&gt;"",_PENDIENTES!$J$1179,"")</f>
        <v/>
      </c>
      <c r="K1185" s="241">
        <f>IF(_PENDIENTES!$B$1179&lt;&gt;"","POR RECOGER","")</f>
        <v/>
      </c>
      <c r="L1185" s="241">
        <f>IF(_PENDIENTES!$B$1179&lt;&gt;"",_PENDIENTES!$K$1179,"")</f>
        <v/>
      </c>
      <c r="M1185" s="284">
        <f>IF(_PENDIENTES!$B$1179&lt;&gt;"",_PENDIENTES!$B$1179,"")</f>
        <v/>
      </c>
      <c r="N1185" s="304">
        <f>IF(_PENDIENTES!$B$1179&lt;&gt;"",_PENDIENTES!$L$1179,"")</f>
        <v/>
      </c>
      <c r="O1185" s="284" t="n"/>
    </row>
    <row r="1186" hidden="1" ht="15.75" customHeight="1" s="195">
      <c r="A1186" s="301">
        <f>IF(_PENDIENTES!$B$1180&lt;&gt;"",1179,"")</f>
        <v/>
      </c>
      <c r="B1186" s="242">
        <f>IF(_PENDIENTES!$B$1180&lt;&gt;"",_PENDIENTES!$A$1180,"")</f>
        <v/>
      </c>
      <c r="C1186" s="302">
        <f>IF(_PENDIENTES!$B$1180&lt;&gt;"",_PENDIENTES!$C$1180,"")</f>
        <v/>
      </c>
      <c r="D1186" s="301">
        <f>IF(_PENDIENTES!$B$1180&lt;&gt;"",_PENDIENTES!$D$1180,"")</f>
        <v/>
      </c>
      <c r="E1186" s="301">
        <f>IF(_PENDIENTES!$B$1180&lt;&gt;"",_PENDIENTES!$E$1180,"")</f>
        <v/>
      </c>
      <c r="F1186" s="301">
        <f>IF(_PENDIENTES!$B$1180&lt;&gt;"",_PENDIENTES!$F$1180,"")</f>
        <v/>
      </c>
      <c r="G1186" s="245">
        <f>IF(_PENDIENTES!$B$1180&lt;&gt;"",_PENDIENTES!$G$1180,"")</f>
        <v/>
      </c>
      <c r="H1186" s="245">
        <f>IF(_PENDIENTES!$B$1180&lt;&gt;"",_PENDIENTES!$H$1180,"")</f>
        <v/>
      </c>
      <c r="I1186" s="302">
        <f>IF(_PENDIENTES!$B$1180&lt;&gt;"",_PENDIENTES!$I$1180,"")</f>
        <v/>
      </c>
      <c r="J1186" s="301">
        <f>IF(_PENDIENTES!$B$1180&lt;&gt;"",_PENDIENTES!$J$1180,"")</f>
        <v/>
      </c>
      <c r="K1186" s="301">
        <f>IF(_PENDIENTES!$B$1180&lt;&gt;"","POR RECOGER","")</f>
        <v/>
      </c>
      <c r="L1186" s="301">
        <f>IF(_PENDIENTES!$B$1180&lt;&gt;"",_PENDIENTES!$K$1180,"")</f>
        <v/>
      </c>
      <c r="M1186" s="284">
        <f>IF(_PENDIENTES!$B$1180&lt;&gt;"",_PENDIENTES!$B$1180,"")</f>
        <v/>
      </c>
      <c r="N1186" s="304">
        <f>IF(_PENDIENTES!$B$1180&lt;&gt;"",_PENDIENTES!$L$1180,"")</f>
        <v/>
      </c>
      <c r="O1186" s="284" t="n"/>
    </row>
    <row r="1187" hidden="1" ht="15.75" customHeight="1" s="195">
      <c r="A1187" s="241">
        <f>IF(_PENDIENTES!$B$1181&lt;&gt;"",1180,"")</f>
        <v/>
      </c>
      <c r="B1187" s="236">
        <f>IF(_PENDIENTES!$B$1181&lt;&gt;"",_PENDIENTES!$A$1181,"")</f>
        <v/>
      </c>
      <c r="C1187" s="305">
        <f>IF(_PENDIENTES!$B$1181&lt;&gt;"",_PENDIENTES!$C$1181,"")</f>
        <v/>
      </c>
      <c r="D1187" s="241">
        <f>IF(_PENDIENTES!$B$1181&lt;&gt;"",_PENDIENTES!$D$1181,"")</f>
        <v/>
      </c>
      <c r="E1187" s="241">
        <f>IF(_PENDIENTES!$B$1181&lt;&gt;"",_PENDIENTES!$E$1181,"")</f>
        <v/>
      </c>
      <c r="F1187" s="241">
        <f>IF(_PENDIENTES!$B$1181&lt;&gt;"",_PENDIENTES!$F$1181,"")</f>
        <v/>
      </c>
      <c r="G1187" s="239">
        <f>IF(_PENDIENTES!$B$1181&lt;&gt;"",_PENDIENTES!$G$1181,"")</f>
        <v/>
      </c>
      <c r="H1187" s="239">
        <f>IF(_PENDIENTES!$B$1181&lt;&gt;"",_PENDIENTES!$H$1181,"")</f>
        <v/>
      </c>
      <c r="I1187" s="305">
        <f>IF(_PENDIENTES!$B$1181&lt;&gt;"",_PENDIENTES!$I$1181,"")</f>
        <v/>
      </c>
      <c r="J1187" s="241">
        <f>IF(_PENDIENTES!$B$1181&lt;&gt;"",_PENDIENTES!$J$1181,"")</f>
        <v/>
      </c>
      <c r="K1187" s="241">
        <f>IF(_PENDIENTES!$B$1181&lt;&gt;"","POR RECOGER","")</f>
        <v/>
      </c>
      <c r="L1187" s="241">
        <f>IF(_PENDIENTES!$B$1181&lt;&gt;"",_PENDIENTES!$K$1181,"")</f>
        <v/>
      </c>
      <c r="M1187" s="284">
        <f>IF(_PENDIENTES!$B$1181&lt;&gt;"",_PENDIENTES!$B$1181,"")</f>
        <v/>
      </c>
      <c r="N1187" s="304">
        <f>IF(_PENDIENTES!$B$1181&lt;&gt;"",_PENDIENTES!$L$1181,"")</f>
        <v/>
      </c>
      <c r="O1187" s="284" t="n"/>
    </row>
    <row r="1188" hidden="1" ht="15.75" customHeight="1" s="195">
      <c r="A1188" s="301">
        <f>IF(_PENDIENTES!$B$1182&lt;&gt;"",1181,"")</f>
        <v/>
      </c>
      <c r="B1188" s="242">
        <f>IF(_PENDIENTES!$B$1182&lt;&gt;"",_PENDIENTES!$A$1182,"")</f>
        <v/>
      </c>
      <c r="C1188" s="302">
        <f>IF(_PENDIENTES!$B$1182&lt;&gt;"",_PENDIENTES!$C$1182,"")</f>
        <v/>
      </c>
      <c r="D1188" s="301">
        <f>IF(_PENDIENTES!$B$1182&lt;&gt;"",_PENDIENTES!$D$1182,"")</f>
        <v/>
      </c>
      <c r="E1188" s="301">
        <f>IF(_PENDIENTES!$B$1182&lt;&gt;"",_PENDIENTES!$E$1182,"")</f>
        <v/>
      </c>
      <c r="F1188" s="301">
        <f>IF(_PENDIENTES!$B$1182&lt;&gt;"",_PENDIENTES!$F$1182,"")</f>
        <v/>
      </c>
      <c r="G1188" s="245">
        <f>IF(_PENDIENTES!$B$1182&lt;&gt;"",_PENDIENTES!$G$1182,"")</f>
        <v/>
      </c>
      <c r="H1188" s="245">
        <f>IF(_PENDIENTES!$B$1182&lt;&gt;"",_PENDIENTES!$H$1182,"")</f>
        <v/>
      </c>
      <c r="I1188" s="302">
        <f>IF(_PENDIENTES!$B$1182&lt;&gt;"",_PENDIENTES!$I$1182,"")</f>
        <v/>
      </c>
      <c r="J1188" s="301">
        <f>IF(_PENDIENTES!$B$1182&lt;&gt;"",_PENDIENTES!$J$1182,"")</f>
        <v/>
      </c>
      <c r="K1188" s="301">
        <f>IF(_PENDIENTES!$B$1182&lt;&gt;"","POR RECOGER","")</f>
        <v/>
      </c>
      <c r="L1188" s="301">
        <f>IF(_PENDIENTES!$B$1182&lt;&gt;"",_PENDIENTES!$K$1182,"")</f>
        <v/>
      </c>
      <c r="M1188" s="284">
        <f>IF(_PENDIENTES!$B$1182&lt;&gt;"",_PENDIENTES!$B$1182,"")</f>
        <v/>
      </c>
      <c r="N1188" s="304">
        <f>IF(_PENDIENTES!$B$1182&lt;&gt;"",_PENDIENTES!$L$1182,"")</f>
        <v/>
      </c>
      <c r="O1188" s="284" t="n"/>
    </row>
    <row r="1189" hidden="1" ht="15.75" customHeight="1" s="195">
      <c r="A1189" s="241">
        <f>IF(_PENDIENTES!$B$1183&lt;&gt;"",1182,"")</f>
        <v/>
      </c>
      <c r="B1189" s="236">
        <f>IF(_PENDIENTES!$B$1183&lt;&gt;"",_PENDIENTES!$A$1183,"")</f>
        <v/>
      </c>
      <c r="C1189" s="305">
        <f>IF(_PENDIENTES!$B$1183&lt;&gt;"",_PENDIENTES!$C$1183,"")</f>
        <v/>
      </c>
      <c r="D1189" s="241">
        <f>IF(_PENDIENTES!$B$1183&lt;&gt;"",_PENDIENTES!$D$1183,"")</f>
        <v/>
      </c>
      <c r="E1189" s="241">
        <f>IF(_PENDIENTES!$B$1183&lt;&gt;"",_PENDIENTES!$E$1183,"")</f>
        <v/>
      </c>
      <c r="F1189" s="241">
        <f>IF(_PENDIENTES!$B$1183&lt;&gt;"",_PENDIENTES!$F$1183,"")</f>
        <v/>
      </c>
      <c r="G1189" s="239">
        <f>IF(_PENDIENTES!$B$1183&lt;&gt;"",_PENDIENTES!$G$1183,"")</f>
        <v/>
      </c>
      <c r="H1189" s="239">
        <f>IF(_PENDIENTES!$B$1183&lt;&gt;"",_PENDIENTES!$H$1183,"")</f>
        <v/>
      </c>
      <c r="I1189" s="305">
        <f>IF(_PENDIENTES!$B$1183&lt;&gt;"",_PENDIENTES!$I$1183,"")</f>
        <v/>
      </c>
      <c r="J1189" s="241">
        <f>IF(_PENDIENTES!$B$1183&lt;&gt;"",_PENDIENTES!$J$1183,"")</f>
        <v/>
      </c>
      <c r="K1189" s="241">
        <f>IF(_PENDIENTES!$B$1183&lt;&gt;"","POR RECOGER","")</f>
        <v/>
      </c>
      <c r="L1189" s="241">
        <f>IF(_PENDIENTES!$B$1183&lt;&gt;"",_PENDIENTES!$K$1183,"")</f>
        <v/>
      </c>
      <c r="M1189" s="284">
        <f>IF(_PENDIENTES!$B$1183&lt;&gt;"",_PENDIENTES!$B$1183,"")</f>
        <v/>
      </c>
      <c r="N1189" s="304">
        <f>IF(_PENDIENTES!$B$1183&lt;&gt;"",_PENDIENTES!$L$1183,"")</f>
        <v/>
      </c>
      <c r="O1189" s="284" t="n"/>
    </row>
    <row r="1190" hidden="1" ht="15.75" customHeight="1" s="195">
      <c r="A1190" s="301">
        <f>IF(_PENDIENTES!$B$1184&lt;&gt;"",1183,"")</f>
        <v/>
      </c>
      <c r="B1190" s="242">
        <f>IF(_PENDIENTES!$B$1184&lt;&gt;"",_PENDIENTES!$A$1184,"")</f>
        <v/>
      </c>
      <c r="C1190" s="302">
        <f>IF(_PENDIENTES!$B$1184&lt;&gt;"",_PENDIENTES!$C$1184,"")</f>
        <v/>
      </c>
      <c r="D1190" s="301">
        <f>IF(_PENDIENTES!$B$1184&lt;&gt;"",_PENDIENTES!$D$1184,"")</f>
        <v/>
      </c>
      <c r="E1190" s="301">
        <f>IF(_PENDIENTES!$B$1184&lt;&gt;"",_PENDIENTES!$E$1184,"")</f>
        <v/>
      </c>
      <c r="F1190" s="301">
        <f>IF(_PENDIENTES!$B$1184&lt;&gt;"",_PENDIENTES!$F$1184,"")</f>
        <v/>
      </c>
      <c r="G1190" s="245">
        <f>IF(_PENDIENTES!$B$1184&lt;&gt;"",_PENDIENTES!$G$1184,"")</f>
        <v/>
      </c>
      <c r="H1190" s="245">
        <f>IF(_PENDIENTES!$B$1184&lt;&gt;"",_PENDIENTES!$H$1184,"")</f>
        <v/>
      </c>
      <c r="I1190" s="302">
        <f>IF(_PENDIENTES!$B$1184&lt;&gt;"",_PENDIENTES!$I$1184,"")</f>
        <v/>
      </c>
      <c r="J1190" s="301">
        <f>IF(_PENDIENTES!$B$1184&lt;&gt;"",_PENDIENTES!$J$1184,"")</f>
        <v/>
      </c>
      <c r="K1190" s="301">
        <f>IF(_PENDIENTES!$B$1184&lt;&gt;"","POR RECOGER","")</f>
        <v/>
      </c>
      <c r="L1190" s="301">
        <f>IF(_PENDIENTES!$B$1184&lt;&gt;"",_PENDIENTES!$K$1184,"")</f>
        <v/>
      </c>
      <c r="M1190" s="284">
        <f>IF(_PENDIENTES!$B$1184&lt;&gt;"",_PENDIENTES!$B$1184,"")</f>
        <v/>
      </c>
      <c r="N1190" s="304">
        <f>IF(_PENDIENTES!$B$1184&lt;&gt;"",_PENDIENTES!$L$1184,"")</f>
        <v/>
      </c>
      <c r="O1190" s="284" t="n"/>
    </row>
    <row r="1191" hidden="1" ht="15.75" customHeight="1" s="195">
      <c r="A1191" s="241">
        <f>IF(_PENDIENTES!$B$1185&lt;&gt;"",1184,"")</f>
        <v/>
      </c>
      <c r="B1191" s="236">
        <f>IF(_PENDIENTES!$B$1185&lt;&gt;"",_PENDIENTES!$A$1185,"")</f>
        <v/>
      </c>
      <c r="C1191" s="305">
        <f>IF(_PENDIENTES!$B$1185&lt;&gt;"",_PENDIENTES!$C$1185,"")</f>
        <v/>
      </c>
      <c r="D1191" s="241">
        <f>IF(_PENDIENTES!$B$1185&lt;&gt;"",_PENDIENTES!$D$1185,"")</f>
        <v/>
      </c>
      <c r="E1191" s="241">
        <f>IF(_PENDIENTES!$B$1185&lt;&gt;"",_PENDIENTES!$E$1185,"")</f>
        <v/>
      </c>
      <c r="F1191" s="241">
        <f>IF(_PENDIENTES!$B$1185&lt;&gt;"",_PENDIENTES!$F$1185,"")</f>
        <v/>
      </c>
      <c r="G1191" s="239">
        <f>IF(_PENDIENTES!$B$1185&lt;&gt;"",_PENDIENTES!$G$1185,"")</f>
        <v/>
      </c>
      <c r="H1191" s="239">
        <f>IF(_PENDIENTES!$B$1185&lt;&gt;"",_PENDIENTES!$H$1185,"")</f>
        <v/>
      </c>
      <c r="I1191" s="305">
        <f>IF(_PENDIENTES!$B$1185&lt;&gt;"",_PENDIENTES!$I$1185,"")</f>
        <v/>
      </c>
      <c r="J1191" s="241">
        <f>IF(_PENDIENTES!$B$1185&lt;&gt;"",_PENDIENTES!$J$1185,"")</f>
        <v/>
      </c>
      <c r="K1191" s="241">
        <f>IF(_PENDIENTES!$B$1185&lt;&gt;"","POR RECOGER","")</f>
        <v/>
      </c>
      <c r="L1191" s="241">
        <f>IF(_PENDIENTES!$B$1185&lt;&gt;"",_PENDIENTES!$K$1185,"")</f>
        <v/>
      </c>
      <c r="M1191" s="284">
        <f>IF(_PENDIENTES!$B$1185&lt;&gt;"",_PENDIENTES!$B$1185,"")</f>
        <v/>
      </c>
      <c r="N1191" s="304">
        <f>IF(_PENDIENTES!$B$1185&lt;&gt;"",_PENDIENTES!$L$1185,"")</f>
        <v/>
      </c>
      <c r="O1191" s="284" t="n"/>
    </row>
    <row r="1192" hidden="1" ht="15.75" customHeight="1" s="195">
      <c r="A1192" s="301">
        <f>IF(_PENDIENTES!$B$1186&lt;&gt;"",1185,"")</f>
        <v/>
      </c>
      <c r="B1192" s="242">
        <f>IF(_PENDIENTES!$B$1186&lt;&gt;"",_PENDIENTES!$A$1186,"")</f>
        <v/>
      </c>
      <c r="C1192" s="302">
        <f>IF(_PENDIENTES!$B$1186&lt;&gt;"",_PENDIENTES!$C$1186,"")</f>
        <v/>
      </c>
      <c r="D1192" s="301">
        <f>IF(_PENDIENTES!$B$1186&lt;&gt;"",_PENDIENTES!$D$1186,"")</f>
        <v/>
      </c>
      <c r="E1192" s="301">
        <f>IF(_PENDIENTES!$B$1186&lt;&gt;"",_PENDIENTES!$E$1186,"")</f>
        <v/>
      </c>
      <c r="F1192" s="301">
        <f>IF(_PENDIENTES!$B$1186&lt;&gt;"",_PENDIENTES!$F$1186,"")</f>
        <v/>
      </c>
      <c r="G1192" s="245">
        <f>IF(_PENDIENTES!$B$1186&lt;&gt;"",_PENDIENTES!$G$1186,"")</f>
        <v/>
      </c>
      <c r="H1192" s="245">
        <f>IF(_PENDIENTES!$B$1186&lt;&gt;"",_PENDIENTES!$H$1186,"")</f>
        <v/>
      </c>
      <c r="I1192" s="302">
        <f>IF(_PENDIENTES!$B$1186&lt;&gt;"",_PENDIENTES!$I$1186,"")</f>
        <v/>
      </c>
      <c r="J1192" s="301">
        <f>IF(_PENDIENTES!$B$1186&lt;&gt;"",_PENDIENTES!$J$1186,"")</f>
        <v/>
      </c>
      <c r="K1192" s="301">
        <f>IF(_PENDIENTES!$B$1186&lt;&gt;"","POR RECOGER","")</f>
        <v/>
      </c>
      <c r="L1192" s="301">
        <f>IF(_PENDIENTES!$B$1186&lt;&gt;"",_PENDIENTES!$K$1186,"")</f>
        <v/>
      </c>
      <c r="M1192" s="284">
        <f>IF(_PENDIENTES!$B$1186&lt;&gt;"",_PENDIENTES!$B$1186,"")</f>
        <v/>
      </c>
      <c r="N1192" s="304">
        <f>IF(_PENDIENTES!$B$1186&lt;&gt;"",_PENDIENTES!$L$1186,"")</f>
        <v/>
      </c>
      <c r="O1192" s="284" t="n"/>
    </row>
    <row r="1193" hidden="1" ht="15.75" customHeight="1" s="195">
      <c r="A1193" s="241">
        <f>IF(_PENDIENTES!$B$1187&lt;&gt;"",1186,"")</f>
        <v/>
      </c>
      <c r="B1193" s="236">
        <f>IF(_PENDIENTES!$B$1187&lt;&gt;"",_PENDIENTES!$A$1187,"")</f>
        <v/>
      </c>
      <c r="C1193" s="305">
        <f>IF(_PENDIENTES!$B$1187&lt;&gt;"",_PENDIENTES!$C$1187,"")</f>
        <v/>
      </c>
      <c r="D1193" s="241">
        <f>IF(_PENDIENTES!$B$1187&lt;&gt;"",_PENDIENTES!$D$1187,"")</f>
        <v/>
      </c>
      <c r="E1193" s="241">
        <f>IF(_PENDIENTES!$B$1187&lt;&gt;"",_PENDIENTES!$E$1187,"")</f>
        <v/>
      </c>
      <c r="F1193" s="241">
        <f>IF(_PENDIENTES!$B$1187&lt;&gt;"",_PENDIENTES!$F$1187,"")</f>
        <v/>
      </c>
      <c r="G1193" s="239">
        <f>IF(_PENDIENTES!$B$1187&lt;&gt;"",_PENDIENTES!$G$1187,"")</f>
        <v/>
      </c>
      <c r="H1193" s="239">
        <f>IF(_PENDIENTES!$B$1187&lt;&gt;"",_PENDIENTES!$H$1187,"")</f>
        <v/>
      </c>
      <c r="I1193" s="305">
        <f>IF(_PENDIENTES!$B$1187&lt;&gt;"",_PENDIENTES!$I$1187,"")</f>
        <v/>
      </c>
      <c r="J1193" s="241">
        <f>IF(_PENDIENTES!$B$1187&lt;&gt;"",_PENDIENTES!$J$1187,"")</f>
        <v/>
      </c>
      <c r="K1193" s="241">
        <f>IF(_PENDIENTES!$B$1187&lt;&gt;"","POR RECOGER","")</f>
        <v/>
      </c>
      <c r="L1193" s="241">
        <f>IF(_PENDIENTES!$B$1187&lt;&gt;"",_PENDIENTES!$K$1187,"")</f>
        <v/>
      </c>
      <c r="M1193" s="284">
        <f>IF(_PENDIENTES!$B$1187&lt;&gt;"",_PENDIENTES!$B$1187,"")</f>
        <v/>
      </c>
      <c r="N1193" s="304">
        <f>IF(_PENDIENTES!$B$1187&lt;&gt;"",_PENDIENTES!$L$1187,"")</f>
        <v/>
      </c>
      <c r="O1193" s="284" t="n"/>
    </row>
    <row r="1194" hidden="1" ht="15.75" customHeight="1" s="195">
      <c r="A1194" s="301">
        <f>IF(_PENDIENTES!$B$1188&lt;&gt;"",1187,"")</f>
        <v/>
      </c>
      <c r="B1194" s="242">
        <f>IF(_PENDIENTES!$B$1188&lt;&gt;"",_PENDIENTES!$A$1188,"")</f>
        <v/>
      </c>
      <c r="C1194" s="302">
        <f>IF(_PENDIENTES!$B$1188&lt;&gt;"",_PENDIENTES!$C$1188,"")</f>
        <v/>
      </c>
      <c r="D1194" s="301">
        <f>IF(_PENDIENTES!$B$1188&lt;&gt;"",_PENDIENTES!$D$1188,"")</f>
        <v/>
      </c>
      <c r="E1194" s="301">
        <f>IF(_PENDIENTES!$B$1188&lt;&gt;"",_PENDIENTES!$E$1188,"")</f>
        <v/>
      </c>
      <c r="F1194" s="301">
        <f>IF(_PENDIENTES!$B$1188&lt;&gt;"",_PENDIENTES!$F$1188,"")</f>
        <v/>
      </c>
      <c r="G1194" s="245">
        <f>IF(_PENDIENTES!$B$1188&lt;&gt;"",_PENDIENTES!$G$1188,"")</f>
        <v/>
      </c>
      <c r="H1194" s="245">
        <f>IF(_PENDIENTES!$B$1188&lt;&gt;"",_PENDIENTES!$H$1188,"")</f>
        <v/>
      </c>
      <c r="I1194" s="302">
        <f>IF(_PENDIENTES!$B$1188&lt;&gt;"",_PENDIENTES!$I$1188,"")</f>
        <v/>
      </c>
      <c r="J1194" s="301">
        <f>IF(_PENDIENTES!$B$1188&lt;&gt;"",_PENDIENTES!$J$1188,"")</f>
        <v/>
      </c>
      <c r="K1194" s="301">
        <f>IF(_PENDIENTES!$B$1188&lt;&gt;"","POR RECOGER","")</f>
        <v/>
      </c>
      <c r="L1194" s="301">
        <f>IF(_PENDIENTES!$B$1188&lt;&gt;"",_PENDIENTES!$K$1188,"")</f>
        <v/>
      </c>
      <c r="M1194" s="284">
        <f>IF(_PENDIENTES!$B$1188&lt;&gt;"",_PENDIENTES!$B$1188,"")</f>
        <v/>
      </c>
      <c r="N1194" s="304">
        <f>IF(_PENDIENTES!$B$1188&lt;&gt;"",_PENDIENTES!$L$1188,"")</f>
        <v/>
      </c>
      <c r="O1194" s="284" t="n"/>
    </row>
    <row r="1195" hidden="1" ht="15.75" customHeight="1" s="195">
      <c r="A1195" s="241">
        <f>IF(_PENDIENTES!$B$1189&lt;&gt;"",1188,"")</f>
        <v/>
      </c>
      <c r="B1195" s="236">
        <f>IF(_PENDIENTES!$B$1189&lt;&gt;"",_PENDIENTES!$A$1189,"")</f>
        <v/>
      </c>
      <c r="C1195" s="305">
        <f>IF(_PENDIENTES!$B$1189&lt;&gt;"",_PENDIENTES!$C$1189,"")</f>
        <v/>
      </c>
      <c r="D1195" s="241">
        <f>IF(_PENDIENTES!$B$1189&lt;&gt;"",_PENDIENTES!$D$1189,"")</f>
        <v/>
      </c>
      <c r="E1195" s="241">
        <f>IF(_PENDIENTES!$B$1189&lt;&gt;"",_PENDIENTES!$E$1189,"")</f>
        <v/>
      </c>
      <c r="F1195" s="241">
        <f>IF(_PENDIENTES!$B$1189&lt;&gt;"",_PENDIENTES!$F$1189,"")</f>
        <v/>
      </c>
      <c r="G1195" s="239">
        <f>IF(_PENDIENTES!$B$1189&lt;&gt;"",_PENDIENTES!$G$1189,"")</f>
        <v/>
      </c>
      <c r="H1195" s="239">
        <f>IF(_PENDIENTES!$B$1189&lt;&gt;"",_PENDIENTES!$H$1189,"")</f>
        <v/>
      </c>
      <c r="I1195" s="305">
        <f>IF(_PENDIENTES!$B$1189&lt;&gt;"",_PENDIENTES!$I$1189,"")</f>
        <v/>
      </c>
      <c r="J1195" s="241">
        <f>IF(_PENDIENTES!$B$1189&lt;&gt;"",_PENDIENTES!$J$1189,"")</f>
        <v/>
      </c>
      <c r="K1195" s="241">
        <f>IF(_PENDIENTES!$B$1189&lt;&gt;"","POR RECOGER","")</f>
        <v/>
      </c>
      <c r="L1195" s="241">
        <f>IF(_PENDIENTES!$B$1189&lt;&gt;"",_PENDIENTES!$K$1189,"")</f>
        <v/>
      </c>
      <c r="M1195" s="284">
        <f>IF(_PENDIENTES!$B$1189&lt;&gt;"",_PENDIENTES!$B$1189,"")</f>
        <v/>
      </c>
      <c r="N1195" s="304">
        <f>IF(_PENDIENTES!$B$1189&lt;&gt;"",_PENDIENTES!$L$1189,"")</f>
        <v/>
      </c>
      <c r="O1195" s="284" t="n"/>
    </row>
    <row r="1196" hidden="1" ht="15.75" customHeight="1" s="195">
      <c r="A1196" s="301">
        <f>IF(_PENDIENTES!$B$1190&lt;&gt;"",1189,"")</f>
        <v/>
      </c>
      <c r="B1196" s="242">
        <f>IF(_PENDIENTES!$B$1190&lt;&gt;"",_PENDIENTES!$A$1190,"")</f>
        <v/>
      </c>
      <c r="C1196" s="302">
        <f>IF(_PENDIENTES!$B$1190&lt;&gt;"",_PENDIENTES!$C$1190,"")</f>
        <v/>
      </c>
      <c r="D1196" s="301">
        <f>IF(_PENDIENTES!$B$1190&lt;&gt;"",_PENDIENTES!$D$1190,"")</f>
        <v/>
      </c>
      <c r="E1196" s="301">
        <f>IF(_PENDIENTES!$B$1190&lt;&gt;"",_PENDIENTES!$E$1190,"")</f>
        <v/>
      </c>
      <c r="F1196" s="301">
        <f>IF(_PENDIENTES!$B$1190&lt;&gt;"",_PENDIENTES!$F$1190,"")</f>
        <v/>
      </c>
      <c r="G1196" s="245">
        <f>IF(_PENDIENTES!$B$1190&lt;&gt;"",_PENDIENTES!$G$1190,"")</f>
        <v/>
      </c>
      <c r="H1196" s="245">
        <f>IF(_PENDIENTES!$B$1190&lt;&gt;"",_PENDIENTES!$H$1190,"")</f>
        <v/>
      </c>
      <c r="I1196" s="302">
        <f>IF(_PENDIENTES!$B$1190&lt;&gt;"",_PENDIENTES!$I$1190,"")</f>
        <v/>
      </c>
      <c r="J1196" s="301">
        <f>IF(_PENDIENTES!$B$1190&lt;&gt;"",_PENDIENTES!$J$1190,"")</f>
        <v/>
      </c>
      <c r="K1196" s="301">
        <f>IF(_PENDIENTES!$B$1190&lt;&gt;"","POR RECOGER","")</f>
        <v/>
      </c>
      <c r="L1196" s="301">
        <f>IF(_PENDIENTES!$B$1190&lt;&gt;"",_PENDIENTES!$K$1190,"")</f>
        <v/>
      </c>
      <c r="M1196" s="284">
        <f>IF(_PENDIENTES!$B$1190&lt;&gt;"",_PENDIENTES!$B$1190,"")</f>
        <v/>
      </c>
      <c r="N1196" s="304">
        <f>IF(_PENDIENTES!$B$1190&lt;&gt;"",_PENDIENTES!$L$1190,"")</f>
        <v/>
      </c>
      <c r="O1196" s="284" t="n"/>
    </row>
    <row r="1197" hidden="1" ht="15.75" customHeight="1" s="195">
      <c r="A1197" s="241">
        <f>IF(_PENDIENTES!$B$1191&lt;&gt;"",1190,"")</f>
        <v/>
      </c>
      <c r="B1197" s="236">
        <f>IF(_PENDIENTES!$B$1191&lt;&gt;"",_PENDIENTES!$A$1191,"")</f>
        <v/>
      </c>
      <c r="C1197" s="305">
        <f>IF(_PENDIENTES!$B$1191&lt;&gt;"",_PENDIENTES!$C$1191,"")</f>
        <v/>
      </c>
      <c r="D1197" s="241">
        <f>IF(_PENDIENTES!$B$1191&lt;&gt;"",_PENDIENTES!$D$1191,"")</f>
        <v/>
      </c>
      <c r="E1197" s="241">
        <f>IF(_PENDIENTES!$B$1191&lt;&gt;"",_PENDIENTES!$E$1191,"")</f>
        <v/>
      </c>
      <c r="F1197" s="241">
        <f>IF(_PENDIENTES!$B$1191&lt;&gt;"",_PENDIENTES!$F$1191,"")</f>
        <v/>
      </c>
      <c r="G1197" s="239">
        <f>IF(_PENDIENTES!$B$1191&lt;&gt;"",_PENDIENTES!$G$1191,"")</f>
        <v/>
      </c>
      <c r="H1197" s="239">
        <f>IF(_PENDIENTES!$B$1191&lt;&gt;"",_PENDIENTES!$H$1191,"")</f>
        <v/>
      </c>
      <c r="I1197" s="305">
        <f>IF(_PENDIENTES!$B$1191&lt;&gt;"",_PENDIENTES!$I$1191,"")</f>
        <v/>
      </c>
      <c r="J1197" s="241">
        <f>IF(_PENDIENTES!$B$1191&lt;&gt;"",_PENDIENTES!$J$1191,"")</f>
        <v/>
      </c>
      <c r="K1197" s="241">
        <f>IF(_PENDIENTES!$B$1191&lt;&gt;"","POR RECOGER","")</f>
        <v/>
      </c>
      <c r="L1197" s="241">
        <f>IF(_PENDIENTES!$B$1191&lt;&gt;"",_PENDIENTES!$K$1191,"")</f>
        <v/>
      </c>
      <c r="M1197" s="284">
        <f>IF(_PENDIENTES!$B$1191&lt;&gt;"",_PENDIENTES!$B$1191,"")</f>
        <v/>
      </c>
      <c r="N1197" s="304">
        <f>IF(_PENDIENTES!$B$1191&lt;&gt;"",_PENDIENTES!$L$1191,"")</f>
        <v/>
      </c>
      <c r="O1197" s="284" t="n"/>
    </row>
    <row r="1198" hidden="1" ht="15.75" customHeight="1" s="195">
      <c r="A1198" s="301">
        <f>IF(_PENDIENTES!$B$1192&lt;&gt;"",1191,"")</f>
        <v/>
      </c>
      <c r="B1198" s="242">
        <f>IF(_PENDIENTES!$B$1192&lt;&gt;"",_PENDIENTES!$A$1192,"")</f>
        <v/>
      </c>
      <c r="C1198" s="302">
        <f>IF(_PENDIENTES!$B$1192&lt;&gt;"",_PENDIENTES!$C$1192,"")</f>
        <v/>
      </c>
      <c r="D1198" s="301">
        <f>IF(_PENDIENTES!$B$1192&lt;&gt;"",_PENDIENTES!$D$1192,"")</f>
        <v/>
      </c>
      <c r="E1198" s="301">
        <f>IF(_PENDIENTES!$B$1192&lt;&gt;"",_PENDIENTES!$E$1192,"")</f>
        <v/>
      </c>
      <c r="F1198" s="301">
        <f>IF(_PENDIENTES!$B$1192&lt;&gt;"",_PENDIENTES!$F$1192,"")</f>
        <v/>
      </c>
      <c r="G1198" s="245">
        <f>IF(_PENDIENTES!$B$1192&lt;&gt;"",_PENDIENTES!$G$1192,"")</f>
        <v/>
      </c>
      <c r="H1198" s="245">
        <f>IF(_PENDIENTES!$B$1192&lt;&gt;"",_PENDIENTES!$H$1192,"")</f>
        <v/>
      </c>
      <c r="I1198" s="302">
        <f>IF(_PENDIENTES!$B$1192&lt;&gt;"",_PENDIENTES!$I$1192,"")</f>
        <v/>
      </c>
      <c r="J1198" s="301">
        <f>IF(_PENDIENTES!$B$1192&lt;&gt;"",_PENDIENTES!$J$1192,"")</f>
        <v/>
      </c>
      <c r="K1198" s="301">
        <f>IF(_PENDIENTES!$B$1192&lt;&gt;"","POR RECOGER","")</f>
        <v/>
      </c>
      <c r="L1198" s="301">
        <f>IF(_PENDIENTES!$B$1192&lt;&gt;"",_PENDIENTES!$K$1192,"")</f>
        <v/>
      </c>
      <c r="M1198" s="284">
        <f>IF(_PENDIENTES!$B$1192&lt;&gt;"",_PENDIENTES!$B$1192,"")</f>
        <v/>
      </c>
      <c r="N1198" s="304">
        <f>IF(_PENDIENTES!$B$1192&lt;&gt;"",_PENDIENTES!$L$1192,"")</f>
        <v/>
      </c>
      <c r="O1198" s="284" t="n"/>
    </row>
    <row r="1199" hidden="1" ht="15.75" customHeight="1" s="195">
      <c r="A1199" s="241">
        <f>IF(_PENDIENTES!$B$1193&lt;&gt;"",1192,"")</f>
        <v/>
      </c>
      <c r="B1199" s="236">
        <f>IF(_PENDIENTES!$B$1193&lt;&gt;"",_PENDIENTES!$A$1193,"")</f>
        <v/>
      </c>
      <c r="C1199" s="305">
        <f>IF(_PENDIENTES!$B$1193&lt;&gt;"",_PENDIENTES!$C$1193,"")</f>
        <v/>
      </c>
      <c r="D1199" s="241">
        <f>IF(_PENDIENTES!$B$1193&lt;&gt;"",_PENDIENTES!$D$1193,"")</f>
        <v/>
      </c>
      <c r="E1199" s="241">
        <f>IF(_PENDIENTES!$B$1193&lt;&gt;"",_PENDIENTES!$E$1193,"")</f>
        <v/>
      </c>
      <c r="F1199" s="241">
        <f>IF(_PENDIENTES!$B$1193&lt;&gt;"",_PENDIENTES!$F$1193,"")</f>
        <v/>
      </c>
      <c r="G1199" s="239">
        <f>IF(_PENDIENTES!$B$1193&lt;&gt;"",_PENDIENTES!$G$1193,"")</f>
        <v/>
      </c>
      <c r="H1199" s="239">
        <f>IF(_PENDIENTES!$B$1193&lt;&gt;"",_PENDIENTES!$H$1193,"")</f>
        <v/>
      </c>
      <c r="I1199" s="305">
        <f>IF(_PENDIENTES!$B$1193&lt;&gt;"",_PENDIENTES!$I$1193,"")</f>
        <v/>
      </c>
      <c r="J1199" s="241">
        <f>IF(_PENDIENTES!$B$1193&lt;&gt;"",_PENDIENTES!$J$1193,"")</f>
        <v/>
      </c>
      <c r="K1199" s="241">
        <f>IF(_PENDIENTES!$B$1193&lt;&gt;"","POR RECOGER","")</f>
        <v/>
      </c>
      <c r="L1199" s="241">
        <f>IF(_PENDIENTES!$B$1193&lt;&gt;"",_PENDIENTES!$K$1193,"")</f>
        <v/>
      </c>
      <c r="M1199" s="284">
        <f>IF(_PENDIENTES!$B$1193&lt;&gt;"",_PENDIENTES!$B$1193,"")</f>
        <v/>
      </c>
      <c r="N1199" s="304">
        <f>IF(_PENDIENTES!$B$1193&lt;&gt;"",_PENDIENTES!$L$1193,"")</f>
        <v/>
      </c>
      <c r="O1199" s="284" t="n"/>
    </row>
    <row r="1200" hidden="1" ht="15.75" customHeight="1" s="195">
      <c r="A1200" s="301">
        <f>IF(_PENDIENTES!$B$1194&lt;&gt;"",1193,"")</f>
        <v/>
      </c>
      <c r="B1200" s="242">
        <f>IF(_PENDIENTES!$B$1194&lt;&gt;"",_PENDIENTES!$A$1194,"")</f>
        <v/>
      </c>
      <c r="C1200" s="302">
        <f>IF(_PENDIENTES!$B$1194&lt;&gt;"",_PENDIENTES!$C$1194,"")</f>
        <v/>
      </c>
      <c r="D1200" s="301">
        <f>IF(_PENDIENTES!$B$1194&lt;&gt;"",_PENDIENTES!$D$1194,"")</f>
        <v/>
      </c>
      <c r="E1200" s="301">
        <f>IF(_PENDIENTES!$B$1194&lt;&gt;"",_PENDIENTES!$E$1194,"")</f>
        <v/>
      </c>
      <c r="F1200" s="301">
        <f>IF(_PENDIENTES!$B$1194&lt;&gt;"",_PENDIENTES!$F$1194,"")</f>
        <v/>
      </c>
      <c r="G1200" s="245">
        <f>IF(_PENDIENTES!$B$1194&lt;&gt;"",_PENDIENTES!$G$1194,"")</f>
        <v/>
      </c>
      <c r="H1200" s="245">
        <f>IF(_PENDIENTES!$B$1194&lt;&gt;"",_PENDIENTES!$H$1194,"")</f>
        <v/>
      </c>
      <c r="I1200" s="302">
        <f>IF(_PENDIENTES!$B$1194&lt;&gt;"",_PENDIENTES!$I$1194,"")</f>
        <v/>
      </c>
      <c r="J1200" s="301">
        <f>IF(_PENDIENTES!$B$1194&lt;&gt;"",_PENDIENTES!$J$1194,"")</f>
        <v/>
      </c>
      <c r="K1200" s="301">
        <f>IF(_PENDIENTES!$B$1194&lt;&gt;"","POR RECOGER","")</f>
        <v/>
      </c>
      <c r="L1200" s="301">
        <f>IF(_PENDIENTES!$B$1194&lt;&gt;"",_PENDIENTES!$K$1194,"")</f>
        <v/>
      </c>
      <c r="M1200" s="284">
        <f>IF(_PENDIENTES!$B$1194&lt;&gt;"",_PENDIENTES!$B$1194,"")</f>
        <v/>
      </c>
      <c r="N1200" s="304">
        <f>IF(_PENDIENTES!$B$1194&lt;&gt;"",_PENDIENTES!$L$1194,"")</f>
        <v/>
      </c>
      <c r="O1200" s="284" t="n"/>
    </row>
    <row r="1201" hidden="1" ht="15.75" customHeight="1" s="195">
      <c r="A1201" s="241">
        <f>IF(_PENDIENTES!$B$1195&lt;&gt;"",1194,"")</f>
        <v/>
      </c>
      <c r="B1201" s="236">
        <f>IF(_PENDIENTES!$B$1195&lt;&gt;"",_PENDIENTES!$A$1195,"")</f>
        <v/>
      </c>
      <c r="C1201" s="305">
        <f>IF(_PENDIENTES!$B$1195&lt;&gt;"",_PENDIENTES!$C$1195,"")</f>
        <v/>
      </c>
      <c r="D1201" s="241">
        <f>IF(_PENDIENTES!$B$1195&lt;&gt;"",_PENDIENTES!$D$1195,"")</f>
        <v/>
      </c>
      <c r="E1201" s="241">
        <f>IF(_PENDIENTES!$B$1195&lt;&gt;"",_PENDIENTES!$E$1195,"")</f>
        <v/>
      </c>
      <c r="F1201" s="241">
        <f>IF(_PENDIENTES!$B$1195&lt;&gt;"",_PENDIENTES!$F$1195,"")</f>
        <v/>
      </c>
      <c r="G1201" s="239">
        <f>IF(_PENDIENTES!$B$1195&lt;&gt;"",_PENDIENTES!$G$1195,"")</f>
        <v/>
      </c>
      <c r="H1201" s="239">
        <f>IF(_PENDIENTES!$B$1195&lt;&gt;"",_PENDIENTES!$H$1195,"")</f>
        <v/>
      </c>
      <c r="I1201" s="305">
        <f>IF(_PENDIENTES!$B$1195&lt;&gt;"",_PENDIENTES!$I$1195,"")</f>
        <v/>
      </c>
      <c r="J1201" s="241">
        <f>IF(_PENDIENTES!$B$1195&lt;&gt;"",_PENDIENTES!$J$1195,"")</f>
        <v/>
      </c>
      <c r="K1201" s="241">
        <f>IF(_PENDIENTES!$B$1195&lt;&gt;"","POR RECOGER","")</f>
        <v/>
      </c>
      <c r="L1201" s="241">
        <f>IF(_PENDIENTES!$B$1195&lt;&gt;"",_PENDIENTES!$K$1195,"")</f>
        <v/>
      </c>
      <c r="M1201" s="284">
        <f>IF(_PENDIENTES!$B$1195&lt;&gt;"",_PENDIENTES!$B$1195,"")</f>
        <v/>
      </c>
      <c r="N1201" s="304">
        <f>IF(_PENDIENTES!$B$1195&lt;&gt;"",_PENDIENTES!$L$1195,"")</f>
        <v/>
      </c>
      <c r="O1201" s="284" t="n"/>
    </row>
    <row r="1202" hidden="1" ht="15.75" customHeight="1" s="195">
      <c r="A1202" s="301">
        <f>IF(_PENDIENTES!$B$1196&lt;&gt;"",1195,"")</f>
        <v/>
      </c>
      <c r="B1202" s="242">
        <f>IF(_PENDIENTES!$B$1196&lt;&gt;"",_PENDIENTES!$A$1196,"")</f>
        <v/>
      </c>
      <c r="C1202" s="302">
        <f>IF(_PENDIENTES!$B$1196&lt;&gt;"",_PENDIENTES!$C$1196,"")</f>
        <v/>
      </c>
      <c r="D1202" s="301">
        <f>IF(_PENDIENTES!$B$1196&lt;&gt;"",_PENDIENTES!$D$1196,"")</f>
        <v/>
      </c>
      <c r="E1202" s="301">
        <f>IF(_PENDIENTES!$B$1196&lt;&gt;"",_PENDIENTES!$E$1196,"")</f>
        <v/>
      </c>
      <c r="F1202" s="301">
        <f>IF(_PENDIENTES!$B$1196&lt;&gt;"",_PENDIENTES!$F$1196,"")</f>
        <v/>
      </c>
      <c r="G1202" s="245">
        <f>IF(_PENDIENTES!$B$1196&lt;&gt;"",_PENDIENTES!$G$1196,"")</f>
        <v/>
      </c>
      <c r="H1202" s="245">
        <f>IF(_PENDIENTES!$B$1196&lt;&gt;"",_PENDIENTES!$H$1196,"")</f>
        <v/>
      </c>
      <c r="I1202" s="302">
        <f>IF(_PENDIENTES!$B$1196&lt;&gt;"",_PENDIENTES!$I$1196,"")</f>
        <v/>
      </c>
      <c r="J1202" s="301">
        <f>IF(_PENDIENTES!$B$1196&lt;&gt;"",_PENDIENTES!$J$1196,"")</f>
        <v/>
      </c>
      <c r="K1202" s="301">
        <f>IF(_PENDIENTES!$B$1196&lt;&gt;"","POR RECOGER","")</f>
        <v/>
      </c>
      <c r="L1202" s="301">
        <f>IF(_PENDIENTES!$B$1196&lt;&gt;"",_PENDIENTES!$K$1196,"")</f>
        <v/>
      </c>
      <c r="M1202" s="284">
        <f>IF(_PENDIENTES!$B$1196&lt;&gt;"",_PENDIENTES!$B$1196,"")</f>
        <v/>
      </c>
      <c r="N1202" s="304">
        <f>IF(_PENDIENTES!$B$1196&lt;&gt;"",_PENDIENTES!$L$1196,"")</f>
        <v/>
      </c>
      <c r="O1202" s="284" t="n"/>
    </row>
    <row r="1203" hidden="1" ht="15.75" customHeight="1" s="195">
      <c r="A1203" s="241">
        <f>IF(_PENDIENTES!$B$1197&lt;&gt;"",1196,"")</f>
        <v/>
      </c>
      <c r="B1203" s="236">
        <f>IF(_PENDIENTES!$B$1197&lt;&gt;"",_PENDIENTES!$A$1197,"")</f>
        <v/>
      </c>
      <c r="C1203" s="305">
        <f>IF(_PENDIENTES!$B$1197&lt;&gt;"",_PENDIENTES!$C$1197,"")</f>
        <v/>
      </c>
      <c r="D1203" s="241">
        <f>IF(_PENDIENTES!$B$1197&lt;&gt;"",_PENDIENTES!$D$1197,"")</f>
        <v/>
      </c>
      <c r="E1203" s="241">
        <f>IF(_PENDIENTES!$B$1197&lt;&gt;"",_PENDIENTES!$E$1197,"")</f>
        <v/>
      </c>
      <c r="F1203" s="241">
        <f>IF(_PENDIENTES!$B$1197&lt;&gt;"",_PENDIENTES!$F$1197,"")</f>
        <v/>
      </c>
      <c r="G1203" s="239">
        <f>IF(_PENDIENTES!$B$1197&lt;&gt;"",_PENDIENTES!$G$1197,"")</f>
        <v/>
      </c>
      <c r="H1203" s="239">
        <f>IF(_PENDIENTES!$B$1197&lt;&gt;"",_PENDIENTES!$H$1197,"")</f>
        <v/>
      </c>
      <c r="I1203" s="305">
        <f>IF(_PENDIENTES!$B$1197&lt;&gt;"",_PENDIENTES!$I$1197,"")</f>
        <v/>
      </c>
      <c r="J1203" s="241">
        <f>IF(_PENDIENTES!$B$1197&lt;&gt;"",_PENDIENTES!$J$1197,"")</f>
        <v/>
      </c>
      <c r="K1203" s="241">
        <f>IF(_PENDIENTES!$B$1197&lt;&gt;"","POR RECOGER","")</f>
        <v/>
      </c>
      <c r="L1203" s="241">
        <f>IF(_PENDIENTES!$B$1197&lt;&gt;"",_PENDIENTES!$K$1197,"")</f>
        <v/>
      </c>
      <c r="M1203" s="284">
        <f>IF(_PENDIENTES!$B$1197&lt;&gt;"",_PENDIENTES!$B$1197,"")</f>
        <v/>
      </c>
      <c r="N1203" s="304">
        <f>IF(_PENDIENTES!$B$1197&lt;&gt;"",_PENDIENTES!$L$1197,"")</f>
        <v/>
      </c>
      <c r="O1203" s="284" t="n"/>
    </row>
    <row r="1204" hidden="1" ht="15.75" customHeight="1" s="195">
      <c r="A1204" s="301">
        <f>IF(_PENDIENTES!$B$1198&lt;&gt;"",1197,"")</f>
        <v/>
      </c>
      <c r="B1204" s="242">
        <f>IF(_PENDIENTES!$B$1198&lt;&gt;"",_PENDIENTES!$A$1198,"")</f>
        <v/>
      </c>
      <c r="C1204" s="302">
        <f>IF(_PENDIENTES!$B$1198&lt;&gt;"",_PENDIENTES!$C$1198,"")</f>
        <v/>
      </c>
      <c r="D1204" s="301">
        <f>IF(_PENDIENTES!$B$1198&lt;&gt;"",_PENDIENTES!$D$1198,"")</f>
        <v/>
      </c>
      <c r="E1204" s="301">
        <f>IF(_PENDIENTES!$B$1198&lt;&gt;"",_PENDIENTES!$E$1198,"")</f>
        <v/>
      </c>
      <c r="F1204" s="301">
        <f>IF(_PENDIENTES!$B$1198&lt;&gt;"",_PENDIENTES!$F$1198,"")</f>
        <v/>
      </c>
      <c r="G1204" s="245">
        <f>IF(_PENDIENTES!$B$1198&lt;&gt;"",_PENDIENTES!$G$1198,"")</f>
        <v/>
      </c>
      <c r="H1204" s="245">
        <f>IF(_PENDIENTES!$B$1198&lt;&gt;"",_PENDIENTES!$H$1198,"")</f>
        <v/>
      </c>
      <c r="I1204" s="302">
        <f>IF(_PENDIENTES!$B$1198&lt;&gt;"",_PENDIENTES!$I$1198,"")</f>
        <v/>
      </c>
      <c r="J1204" s="301">
        <f>IF(_PENDIENTES!$B$1198&lt;&gt;"",_PENDIENTES!$J$1198,"")</f>
        <v/>
      </c>
      <c r="K1204" s="301">
        <f>IF(_PENDIENTES!$B$1198&lt;&gt;"","POR RECOGER","")</f>
        <v/>
      </c>
      <c r="L1204" s="301">
        <f>IF(_PENDIENTES!$B$1198&lt;&gt;"",_PENDIENTES!$K$1198,"")</f>
        <v/>
      </c>
      <c r="M1204" s="284">
        <f>IF(_PENDIENTES!$B$1198&lt;&gt;"",_PENDIENTES!$B$1198,"")</f>
        <v/>
      </c>
      <c r="N1204" s="304">
        <f>IF(_PENDIENTES!$B$1198&lt;&gt;"",_PENDIENTES!$L$1198,"")</f>
        <v/>
      </c>
      <c r="O1204" s="284" t="n"/>
    </row>
    <row r="1205" hidden="1" ht="15.75" customHeight="1" s="195">
      <c r="A1205" s="241">
        <f>IF(_PENDIENTES!$B$1199&lt;&gt;"",1198,"")</f>
        <v/>
      </c>
      <c r="B1205" s="236">
        <f>IF(_PENDIENTES!$B$1199&lt;&gt;"",_PENDIENTES!$A$1199,"")</f>
        <v/>
      </c>
      <c r="C1205" s="305">
        <f>IF(_PENDIENTES!$B$1199&lt;&gt;"",_PENDIENTES!$C$1199,"")</f>
        <v/>
      </c>
      <c r="D1205" s="241">
        <f>IF(_PENDIENTES!$B$1199&lt;&gt;"",_PENDIENTES!$D$1199,"")</f>
        <v/>
      </c>
      <c r="E1205" s="241">
        <f>IF(_PENDIENTES!$B$1199&lt;&gt;"",_PENDIENTES!$E$1199,"")</f>
        <v/>
      </c>
      <c r="F1205" s="241">
        <f>IF(_PENDIENTES!$B$1199&lt;&gt;"",_PENDIENTES!$F$1199,"")</f>
        <v/>
      </c>
      <c r="G1205" s="239">
        <f>IF(_PENDIENTES!$B$1199&lt;&gt;"",_PENDIENTES!$G$1199,"")</f>
        <v/>
      </c>
      <c r="H1205" s="239">
        <f>IF(_PENDIENTES!$B$1199&lt;&gt;"",_PENDIENTES!$H$1199,"")</f>
        <v/>
      </c>
      <c r="I1205" s="305">
        <f>IF(_PENDIENTES!$B$1199&lt;&gt;"",_PENDIENTES!$I$1199,"")</f>
        <v/>
      </c>
      <c r="J1205" s="241">
        <f>IF(_PENDIENTES!$B$1199&lt;&gt;"",_PENDIENTES!$J$1199,"")</f>
        <v/>
      </c>
      <c r="K1205" s="241">
        <f>IF(_PENDIENTES!$B$1199&lt;&gt;"","POR RECOGER","")</f>
        <v/>
      </c>
      <c r="L1205" s="241">
        <f>IF(_PENDIENTES!$B$1199&lt;&gt;"",_PENDIENTES!$K$1199,"")</f>
        <v/>
      </c>
      <c r="M1205" s="284">
        <f>IF(_PENDIENTES!$B$1199&lt;&gt;"",_PENDIENTES!$B$1199,"")</f>
        <v/>
      </c>
      <c r="N1205" s="304">
        <f>IF(_PENDIENTES!$B$1199&lt;&gt;"",_PENDIENTES!$L$1199,"")</f>
        <v/>
      </c>
      <c r="O1205" s="284" t="n"/>
    </row>
    <row r="1206" hidden="1" ht="15.75" customHeight="1" s="195">
      <c r="A1206" s="301">
        <f>IF(_PENDIENTES!$B$1200&lt;&gt;"",1199,"")</f>
        <v/>
      </c>
      <c r="B1206" s="242">
        <f>IF(_PENDIENTES!$B$1200&lt;&gt;"",_PENDIENTES!$A$1200,"")</f>
        <v/>
      </c>
      <c r="C1206" s="302">
        <f>IF(_PENDIENTES!$B$1200&lt;&gt;"",_PENDIENTES!$C$1200,"")</f>
        <v/>
      </c>
      <c r="D1206" s="301">
        <f>IF(_PENDIENTES!$B$1200&lt;&gt;"",_PENDIENTES!$D$1200,"")</f>
        <v/>
      </c>
      <c r="E1206" s="301">
        <f>IF(_PENDIENTES!$B$1200&lt;&gt;"",_PENDIENTES!$E$1200,"")</f>
        <v/>
      </c>
      <c r="F1206" s="301">
        <f>IF(_PENDIENTES!$B$1200&lt;&gt;"",_PENDIENTES!$F$1200,"")</f>
        <v/>
      </c>
      <c r="G1206" s="245">
        <f>IF(_PENDIENTES!$B$1200&lt;&gt;"",_PENDIENTES!$G$1200,"")</f>
        <v/>
      </c>
      <c r="H1206" s="245">
        <f>IF(_PENDIENTES!$B$1200&lt;&gt;"",_PENDIENTES!$H$1200,"")</f>
        <v/>
      </c>
      <c r="I1206" s="302">
        <f>IF(_PENDIENTES!$B$1200&lt;&gt;"",_PENDIENTES!$I$1200,"")</f>
        <v/>
      </c>
      <c r="J1206" s="301">
        <f>IF(_PENDIENTES!$B$1200&lt;&gt;"",_PENDIENTES!$J$1200,"")</f>
        <v/>
      </c>
      <c r="K1206" s="301">
        <f>IF(_PENDIENTES!$B$1200&lt;&gt;"","POR RECOGER","")</f>
        <v/>
      </c>
      <c r="L1206" s="301">
        <f>IF(_PENDIENTES!$B$1200&lt;&gt;"",_PENDIENTES!$K$1200,"")</f>
        <v/>
      </c>
      <c r="M1206" s="284">
        <f>IF(_PENDIENTES!$B$1200&lt;&gt;"",_PENDIENTES!$B$1200,"")</f>
        <v/>
      </c>
      <c r="N1206" s="304">
        <f>IF(_PENDIENTES!$B$1200&lt;&gt;"",_PENDIENTES!$L$1200,"")</f>
        <v/>
      </c>
      <c r="O1206" s="284" t="n"/>
    </row>
    <row r="1207" hidden="1" ht="15.75" customHeight="1" s="195">
      <c r="A1207" s="241">
        <f>IF(_PENDIENTES!$B$1201&lt;&gt;"",1200,"")</f>
        <v/>
      </c>
      <c r="B1207" s="236">
        <f>IF(_PENDIENTES!$B$1201&lt;&gt;"",_PENDIENTES!$A$1201,"")</f>
        <v/>
      </c>
      <c r="C1207" s="305">
        <f>IF(_PENDIENTES!$B$1201&lt;&gt;"",_PENDIENTES!$C$1201,"")</f>
        <v/>
      </c>
      <c r="D1207" s="241">
        <f>IF(_PENDIENTES!$B$1201&lt;&gt;"",_PENDIENTES!$D$1201,"")</f>
        <v/>
      </c>
      <c r="E1207" s="241">
        <f>IF(_PENDIENTES!$B$1201&lt;&gt;"",_PENDIENTES!$E$1201,"")</f>
        <v/>
      </c>
      <c r="F1207" s="241">
        <f>IF(_PENDIENTES!$B$1201&lt;&gt;"",_PENDIENTES!$F$1201,"")</f>
        <v/>
      </c>
      <c r="G1207" s="239">
        <f>IF(_PENDIENTES!$B$1201&lt;&gt;"",_PENDIENTES!$G$1201,"")</f>
        <v/>
      </c>
      <c r="H1207" s="239">
        <f>IF(_PENDIENTES!$B$1201&lt;&gt;"",_PENDIENTES!$H$1201,"")</f>
        <v/>
      </c>
      <c r="I1207" s="305">
        <f>IF(_PENDIENTES!$B$1201&lt;&gt;"",_PENDIENTES!$I$1201,"")</f>
        <v/>
      </c>
      <c r="J1207" s="241">
        <f>IF(_PENDIENTES!$B$1201&lt;&gt;"",_PENDIENTES!$J$1201,"")</f>
        <v/>
      </c>
      <c r="K1207" s="241">
        <f>IF(_PENDIENTES!$B$1201&lt;&gt;"","POR RECOGER","")</f>
        <v/>
      </c>
      <c r="L1207" s="241">
        <f>IF(_PENDIENTES!$B$1201&lt;&gt;"",_PENDIENTES!$K$1201,"")</f>
        <v/>
      </c>
      <c r="M1207" s="284">
        <f>IF(_PENDIENTES!$B$1201&lt;&gt;"",_PENDIENTES!$B$1201,"")</f>
        <v/>
      </c>
      <c r="N1207" s="304">
        <f>IF(_PENDIENTES!$B$1201&lt;&gt;"",_PENDIENTES!$L$1201,"")</f>
        <v/>
      </c>
      <c r="O1207" s="284" t="n"/>
    </row>
    <row r="1208" hidden="1" ht="15.75" customHeight="1" s="195">
      <c r="A1208" s="301">
        <f>IF(_PENDIENTES!$B$1202&lt;&gt;"",1201,"")</f>
        <v/>
      </c>
      <c r="B1208" s="242">
        <f>IF(_PENDIENTES!$B$1202&lt;&gt;"",_PENDIENTES!$A$1202,"")</f>
        <v/>
      </c>
      <c r="C1208" s="302">
        <f>IF(_PENDIENTES!$B$1202&lt;&gt;"",_PENDIENTES!$C$1202,"")</f>
        <v/>
      </c>
      <c r="D1208" s="301">
        <f>IF(_PENDIENTES!$B$1202&lt;&gt;"",_PENDIENTES!$D$1202,"")</f>
        <v/>
      </c>
      <c r="E1208" s="301">
        <f>IF(_PENDIENTES!$B$1202&lt;&gt;"",_PENDIENTES!$E$1202,"")</f>
        <v/>
      </c>
      <c r="F1208" s="301">
        <f>IF(_PENDIENTES!$B$1202&lt;&gt;"",_PENDIENTES!$F$1202,"")</f>
        <v/>
      </c>
      <c r="G1208" s="245">
        <f>IF(_PENDIENTES!$B$1202&lt;&gt;"",_PENDIENTES!$G$1202,"")</f>
        <v/>
      </c>
      <c r="H1208" s="245">
        <f>IF(_PENDIENTES!$B$1202&lt;&gt;"",_PENDIENTES!$H$1202,"")</f>
        <v/>
      </c>
      <c r="I1208" s="302">
        <f>IF(_PENDIENTES!$B$1202&lt;&gt;"",_PENDIENTES!$I$1202,"")</f>
        <v/>
      </c>
      <c r="J1208" s="301">
        <f>IF(_PENDIENTES!$B$1202&lt;&gt;"",_PENDIENTES!$J$1202,"")</f>
        <v/>
      </c>
      <c r="K1208" s="301">
        <f>IF(_PENDIENTES!$B$1202&lt;&gt;"","POR RECOGER","")</f>
        <v/>
      </c>
      <c r="L1208" s="301">
        <f>IF(_PENDIENTES!$B$1202&lt;&gt;"",_PENDIENTES!$K$1202,"")</f>
        <v/>
      </c>
      <c r="M1208" s="284">
        <f>IF(_PENDIENTES!$B$1202&lt;&gt;"",_PENDIENTES!$B$1202,"")</f>
        <v/>
      </c>
      <c r="N1208" s="304">
        <f>IF(_PENDIENTES!$B$1202&lt;&gt;"",_PENDIENTES!$L$1202,"")</f>
        <v/>
      </c>
      <c r="O1208" s="284" t="n"/>
    </row>
    <row r="1209" hidden="1" ht="15.75" customHeight="1" s="195">
      <c r="A1209" s="241">
        <f>IF(_PENDIENTES!$B$1203&lt;&gt;"",1202,"")</f>
        <v/>
      </c>
      <c r="B1209" s="236">
        <f>IF(_PENDIENTES!$B$1203&lt;&gt;"",_PENDIENTES!$A$1203,"")</f>
        <v/>
      </c>
      <c r="C1209" s="305">
        <f>IF(_PENDIENTES!$B$1203&lt;&gt;"",_PENDIENTES!$C$1203,"")</f>
        <v/>
      </c>
      <c r="D1209" s="241">
        <f>IF(_PENDIENTES!$B$1203&lt;&gt;"",_PENDIENTES!$D$1203,"")</f>
        <v/>
      </c>
      <c r="E1209" s="241">
        <f>IF(_PENDIENTES!$B$1203&lt;&gt;"",_PENDIENTES!$E$1203,"")</f>
        <v/>
      </c>
      <c r="F1209" s="241">
        <f>IF(_PENDIENTES!$B$1203&lt;&gt;"",_PENDIENTES!$F$1203,"")</f>
        <v/>
      </c>
      <c r="G1209" s="239">
        <f>IF(_PENDIENTES!$B$1203&lt;&gt;"",_PENDIENTES!$G$1203,"")</f>
        <v/>
      </c>
      <c r="H1209" s="239">
        <f>IF(_PENDIENTES!$B$1203&lt;&gt;"",_PENDIENTES!$H$1203,"")</f>
        <v/>
      </c>
      <c r="I1209" s="305">
        <f>IF(_PENDIENTES!$B$1203&lt;&gt;"",_PENDIENTES!$I$1203,"")</f>
        <v/>
      </c>
      <c r="J1209" s="241">
        <f>IF(_PENDIENTES!$B$1203&lt;&gt;"",_PENDIENTES!$J$1203,"")</f>
        <v/>
      </c>
      <c r="K1209" s="241">
        <f>IF(_PENDIENTES!$B$1203&lt;&gt;"","POR RECOGER","")</f>
        <v/>
      </c>
      <c r="L1209" s="241">
        <f>IF(_PENDIENTES!$B$1203&lt;&gt;"",_PENDIENTES!$K$1203,"")</f>
        <v/>
      </c>
      <c r="M1209" s="284">
        <f>IF(_PENDIENTES!$B$1203&lt;&gt;"",_PENDIENTES!$B$1203,"")</f>
        <v/>
      </c>
      <c r="N1209" s="304">
        <f>IF(_PENDIENTES!$B$1203&lt;&gt;"",_PENDIENTES!$L$1203,"")</f>
        <v/>
      </c>
      <c r="O1209" s="284" t="n"/>
    </row>
    <row r="1210" hidden="1" ht="15.75" customHeight="1" s="195">
      <c r="A1210" s="301">
        <f>IF(_PENDIENTES!$B$1204&lt;&gt;"",1203,"")</f>
        <v/>
      </c>
      <c r="B1210" s="242">
        <f>IF(_PENDIENTES!$B$1204&lt;&gt;"",_PENDIENTES!$A$1204,"")</f>
        <v/>
      </c>
      <c r="C1210" s="302">
        <f>IF(_PENDIENTES!$B$1204&lt;&gt;"",_PENDIENTES!$C$1204,"")</f>
        <v/>
      </c>
      <c r="D1210" s="301">
        <f>IF(_PENDIENTES!$B$1204&lt;&gt;"",_PENDIENTES!$D$1204,"")</f>
        <v/>
      </c>
      <c r="E1210" s="301">
        <f>IF(_PENDIENTES!$B$1204&lt;&gt;"",_PENDIENTES!$E$1204,"")</f>
        <v/>
      </c>
      <c r="F1210" s="301">
        <f>IF(_PENDIENTES!$B$1204&lt;&gt;"",_PENDIENTES!$F$1204,"")</f>
        <v/>
      </c>
      <c r="G1210" s="245">
        <f>IF(_PENDIENTES!$B$1204&lt;&gt;"",_PENDIENTES!$G$1204,"")</f>
        <v/>
      </c>
      <c r="H1210" s="245">
        <f>IF(_PENDIENTES!$B$1204&lt;&gt;"",_PENDIENTES!$H$1204,"")</f>
        <v/>
      </c>
      <c r="I1210" s="302">
        <f>IF(_PENDIENTES!$B$1204&lt;&gt;"",_PENDIENTES!$I$1204,"")</f>
        <v/>
      </c>
      <c r="J1210" s="301">
        <f>IF(_PENDIENTES!$B$1204&lt;&gt;"",_PENDIENTES!$J$1204,"")</f>
        <v/>
      </c>
      <c r="K1210" s="301">
        <f>IF(_PENDIENTES!$B$1204&lt;&gt;"","POR RECOGER","")</f>
        <v/>
      </c>
      <c r="L1210" s="301">
        <f>IF(_PENDIENTES!$B$1204&lt;&gt;"",_PENDIENTES!$K$1204,"")</f>
        <v/>
      </c>
      <c r="M1210" s="284">
        <f>IF(_PENDIENTES!$B$1204&lt;&gt;"",_PENDIENTES!$B$1204,"")</f>
        <v/>
      </c>
      <c r="N1210" s="304">
        <f>IF(_PENDIENTES!$B$1204&lt;&gt;"",_PENDIENTES!$L$1204,"")</f>
        <v/>
      </c>
      <c r="O1210" s="284" t="n"/>
    </row>
    <row r="1211" hidden="1" ht="15.75" customHeight="1" s="195">
      <c r="A1211" s="241">
        <f>IF(_PENDIENTES!$B$1205&lt;&gt;"",1204,"")</f>
        <v/>
      </c>
      <c r="B1211" s="236">
        <f>IF(_PENDIENTES!$B$1205&lt;&gt;"",_PENDIENTES!$A$1205,"")</f>
        <v/>
      </c>
      <c r="C1211" s="305">
        <f>IF(_PENDIENTES!$B$1205&lt;&gt;"",_PENDIENTES!$C$1205,"")</f>
        <v/>
      </c>
      <c r="D1211" s="241">
        <f>IF(_PENDIENTES!$B$1205&lt;&gt;"",_PENDIENTES!$D$1205,"")</f>
        <v/>
      </c>
      <c r="E1211" s="241">
        <f>IF(_PENDIENTES!$B$1205&lt;&gt;"",_PENDIENTES!$E$1205,"")</f>
        <v/>
      </c>
      <c r="F1211" s="241">
        <f>IF(_PENDIENTES!$B$1205&lt;&gt;"",_PENDIENTES!$F$1205,"")</f>
        <v/>
      </c>
      <c r="G1211" s="239">
        <f>IF(_PENDIENTES!$B$1205&lt;&gt;"",_PENDIENTES!$G$1205,"")</f>
        <v/>
      </c>
      <c r="H1211" s="239">
        <f>IF(_PENDIENTES!$B$1205&lt;&gt;"",_PENDIENTES!$H$1205,"")</f>
        <v/>
      </c>
      <c r="I1211" s="305">
        <f>IF(_PENDIENTES!$B$1205&lt;&gt;"",_PENDIENTES!$I$1205,"")</f>
        <v/>
      </c>
      <c r="J1211" s="241">
        <f>IF(_PENDIENTES!$B$1205&lt;&gt;"",_PENDIENTES!$J$1205,"")</f>
        <v/>
      </c>
      <c r="K1211" s="241">
        <f>IF(_PENDIENTES!$B$1205&lt;&gt;"","POR RECOGER","")</f>
        <v/>
      </c>
      <c r="L1211" s="241">
        <f>IF(_PENDIENTES!$B$1205&lt;&gt;"",_PENDIENTES!$K$1205,"")</f>
        <v/>
      </c>
      <c r="M1211" s="284">
        <f>IF(_PENDIENTES!$B$1205&lt;&gt;"",_PENDIENTES!$B$1205,"")</f>
        <v/>
      </c>
      <c r="N1211" s="304">
        <f>IF(_PENDIENTES!$B$1205&lt;&gt;"",_PENDIENTES!$L$1205,"")</f>
        <v/>
      </c>
      <c r="O1211" s="284" t="n"/>
    </row>
    <row r="1212" hidden="1" ht="15.75" customHeight="1" s="195">
      <c r="A1212" s="301">
        <f>IF(_PENDIENTES!$B$1206&lt;&gt;"",1205,"")</f>
        <v/>
      </c>
      <c r="B1212" s="242">
        <f>IF(_PENDIENTES!$B$1206&lt;&gt;"",_PENDIENTES!$A$1206,"")</f>
        <v/>
      </c>
      <c r="C1212" s="302">
        <f>IF(_PENDIENTES!$B$1206&lt;&gt;"",_PENDIENTES!$C$1206,"")</f>
        <v/>
      </c>
      <c r="D1212" s="301">
        <f>IF(_PENDIENTES!$B$1206&lt;&gt;"",_PENDIENTES!$D$1206,"")</f>
        <v/>
      </c>
      <c r="E1212" s="301">
        <f>IF(_PENDIENTES!$B$1206&lt;&gt;"",_PENDIENTES!$E$1206,"")</f>
        <v/>
      </c>
      <c r="F1212" s="301">
        <f>IF(_PENDIENTES!$B$1206&lt;&gt;"",_PENDIENTES!$F$1206,"")</f>
        <v/>
      </c>
      <c r="G1212" s="245">
        <f>IF(_PENDIENTES!$B$1206&lt;&gt;"",_PENDIENTES!$G$1206,"")</f>
        <v/>
      </c>
      <c r="H1212" s="245">
        <f>IF(_PENDIENTES!$B$1206&lt;&gt;"",_PENDIENTES!$H$1206,"")</f>
        <v/>
      </c>
      <c r="I1212" s="302">
        <f>IF(_PENDIENTES!$B$1206&lt;&gt;"",_PENDIENTES!$I$1206,"")</f>
        <v/>
      </c>
      <c r="J1212" s="301">
        <f>IF(_PENDIENTES!$B$1206&lt;&gt;"",_PENDIENTES!$J$1206,"")</f>
        <v/>
      </c>
      <c r="K1212" s="301">
        <f>IF(_PENDIENTES!$B$1206&lt;&gt;"","POR RECOGER","")</f>
        <v/>
      </c>
      <c r="L1212" s="301">
        <f>IF(_PENDIENTES!$B$1206&lt;&gt;"",_PENDIENTES!$K$1206,"")</f>
        <v/>
      </c>
      <c r="M1212" s="284">
        <f>IF(_PENDIENTES!$B$1206&lt;&gt;"",_PENDIENTES!$B$1206,"")</f>
        <v/>
      </c>
      <c r="N1212" s="304">
        <f>IF(_PENDIENTES!$B$1206&lt;&gt;"",_PENDIENTES!$L$1206,"")</f>
        <v/>
      </c>
      <c r="O1212" s="284" t="n"/>
    </row>
    <row r="1213" hidden="1" ht="15.75" customHeight="1" s="195">
      <c r="A1213" s="241">
        <f>IF(_PENDIENTES!$B$1207&lt;&gt;"",1206,"")</f>
        <v/>
      </c>
      <c r="B1213" s="236">
        <f>IF(_PENDIENTES!$B$1207&lt;&gt;"",_PENDIENTES!$A$1207,"")</f>
        <v/>
      </c>
      <c r="C1213" s="305">
        <f>IF(_PENDIENTES!$B$1207&lt;&gt;"",_PENDIENTES!$C$1207,"")</f>
        <v/>
      </c>
      <c r="D1213" s="241">
        <f>IF(_PENDIENTES!$B$1207&lt;&gt;"",_PENDIENTES!$D$1207,"")</f>
        <v/>
      </c>
      <c r="E1213" s="241">
        <f>IF(_PENDIENTES!$B$1207&lt;&gt;"",_PENDIENTES!$E$1207,"")</f>
        <v/>
      </c>
      <c r="F1213" s="241">
        <f>IF(_PENDIENTES!$B$1207&lt;&gt;"",_PENDIENTES!$F$1207,"")</f>
        <v/>
      </c>
      <c r="G1213" s="239">
        <f>IF(_PENDIENTES!$B$1207&lt;&gt;"",_PENDIENTES!$G$1207,"")</f>
        <v/>
      </c>
      <c r="H1213" s="239">
        <f>IF(_PENDIENTES!$B$1207&lt;&gt;"",_PENDIENTES!$H$1207,"")</f>
        <v/>
      </c>
      <c r="I1213" s="305">
        <f>IF(_PENDIENTES!$B$1207&lt;&gt;"",_PENDIENTES!$I$1207,"")</f>
        <v/>
      </c>
      <c r="J1213" s="241">
        <f>IF(_PENDIENTES!$B$1207&lt;&gt;"",_PENDIENTES!$J$1207,"")</f>
        <v/>
      </c>
      <c r="K1213" s="241">
        <f>IF(_PENDIENTES!$B$1207&lt;&gt;"","POR RECOGER","")</f>
        <v/>
      </c>
      <c r="L1213" s="241">
        <f>IF(_PENDIENTES!$B$1207&lt;&gt;"",_PENDIENTES!$K$1207,"")</f>
        <v/>
      </c>
      <c r="M1213" s="284">
        <f>IF(_PENDIENTES!$B$1207&lt;&gt;"",_PENDIENTES!$B$1207,"")</f>
        <v/>
      </c>
      <c r="N1213" s="304">
        <f>IF(_PENDIENTES!$B$1207&lt;&gt;"",_PENDIENTES!$L$1207,"")</f>
        <v/>
      </c>
      <c r="O1213" s="284" t="n"/>
    </row>
    <row r="1214" hidden="1" ht="15.75" customHeight="1" s="195">
      <c r="A1214" s="301">
        <f>IF(_PENDIENTES!$B$1208&lt;&gt;"",1207,"")</f>
        <v/>
      </c>
      <c r="B1214" s="242">
        <f>IF(_PENDIENTES!$B$1208&lt;&gt;"",_PENDIENTES!$A$1208,"")</f>
        <v/>
      </c>
      <c r="C1214" s="302">
        <f>IF(_PENDIENTES!$B$1208&lt;&gt;"",_PENDIENTES!$C$1208,"")</f>
        <v/>
      </c>
      <c r="D1214" s="301">
        <f>IF(_PENDIENTES!$B$1208&lt;&gt;"",_PENDIENTES!$D$1208,"")</f>
        <v/>
      </c>
      <c r="E1214" s="301">
        <f>IF(_PENDIENTES!$B$1208&lt;&gt;"",_PENDIENTES!$E$1208,"")</f>
        <v/>
      </c>
      <c r="F1214" s="301">
        <f>IF(_PENDIENTES!$B$1208&lt;&gt;"",_PENDIENTES!$F$1208,"")</f>
        <v/>
      </c>
      <c r="G1214" s="245">
        <f>IF(_PENDIENTES!$B$1208&lt;&gt;"",_PENDIENTES!$G$1208,"")</f>
        <v/>
      </c>
      <c r="H1214" s="245">
        <f>IF(_PENDIENTES!$B$1208&lt;&gt;"",_PENDIENTES!$H$1208,"")</f>
        <v/>
      </c>
      <c r="I1214" s="302">
        <f>IF(_PENDIENTES!$B$1208&lt;&gt;"",_PENDIENTES!$I$1208,"")</f>
        <v/>
      </c>
      <c r="J1214" s="301">
        <f>IF(_PENDIENTES!$B$1208&lt;&gt;"",_PENDIENTES!$J$1208,"")</f>
        <v/>
      </c>
      <c r="K1214" s="301">
        <f>IF(_PENDIENTES!$B$1208&lt;&gt;"","POR RECOGER","")</f>
        <v/>
      </c>
      <c r="L1214" s="301">
        <f>IF(_PENDIENTES!$B$1208&lt;&gt;"",_PENDIENTES!$K$1208,"")</f>
        <v/>
      </c>
      <c r="M1214" s="284">
        <f>IF(_PENDIENTES!$B$1208&lt;&gt;"",_PENDIENTES!$B$1208,"")</f>
        <v/>
      </c>
      <c r="N1214" s="304">
        <f>IF(_PENDIENTES!$B$1208&lt;&gt;"",_PENDIENTES!$L$1208,"")</f>
        <v/>
      </c>
      <c r="O1214" s="284" t="n"/>
    </row>
    <row r="1215" hidden="1" ht="15.75" customHeight="1" s="195">
      <c r="A1215" s="241">
        <f>IF(_PENDIENTES!$B$1209&lt;&gt;"",1208,"")</f>
        <v/>
      </c>
      <c r="B1215" s="236">
        <f>IF(_PENDIENTES!$B$1209&lt;&gt;"",_PENDIENTES!$A$1209,"")</f>
        <v/>
      </c>
      <c r="C1215" s="305">
        <f>IF(_PENDIENTES!$B$1209&lt;&gt;"",_PENDIENTES!$C$1209,"")</f>
        <v/>
      </c>
      <c r="D1215" s="241">
        <f>IF(_PENDIENTES!$B$1209&lt;&gt;"",_PENDIENTES!$D$1209,"")</f>
        <v/>
      </c>
      <c r="E1215" s="241">
        <f>IF(_PENDIENTES!$B$1209&lt;&gt;"",_PENDIENTES!$E$1209,"")</f>
        <v/>
      </c>
      <c r="F1215" s="241">
        <f>IF(_PENDIENTES!$B$1209&lt;&gt;"",_PENDIENTES!$F$1209,"")</f>
        <v/>
      </c>
      <c r="G1215" s="239">
        <f>IF(_PENDIENTES!$B$1209&lt;&gt;"",_PENDIENTES!$G$1209,"")</f>
        <v/>
      </c>
      <c r="H1215" s="239">
        <f>IF(_PENDIENTES!$B$1209&lt;&gt;"",_PENDIENTES!$H$1209,"")</f>
        <v/>
      </c>
      <c r="I1215" s="305">
        <f>IF(_PENDIENTES!$B$1209&lt;&gt;"",_PENDIENTES!$I$1209,"")</f>
        <v/>
      </c>
      <c r="J1215" s="241">
        <f>IF(_PENDIENTES!$B$1209&lt;&gt;"",_PENDIENTES!$J$1209,"")</f>
        <v/>
      </c>
      <c r="K1215" s="241">
        <f>IF(_PENDIENTES!$B$1209&lt;&gt;"","POR RECOGER","")</f>
        <v/>
      </c>
      <c r="L1215" s="241">
        <f>IF(_PENDIENTES!$B$1209&lt;&gt;"",_PENDIENTES!$K$1209,"")</f>
        <v/>
      </c>
      <c r="M1215" s="284">
        <f>IF(_PENDIENTES!$B$1209&lt;&gt;"",_PENDIENTES!$B$1209,"")</f>
        <v/>
      </c>
      <c r="N1215" s="304">
        <f>IF(_PENDIENTES!$B$1209&lt;&gt;"",_PENDIENTES!$L$1209,"")</f>
        <v/>
      </c>
      <c r="O1215" s="284" t="n"/>
    </row>
    <row r="1216" hidden="1" ht="15.75" customHeight="1" s="195">
      <c r="A1216" s="301">
        <f>IF(_PENDIENTES!$B$1210&lt;&gt;"",1209,"")</f>
        <v/>
      </c>
      <c r="B1216" s="242">
        <f>IF(_PENDIENTES!$B$1210&lt;&gt;"",_PENDIENTES!$A$1210,"")</f>
        <v/>
      </c>
      <c r="C1216" s="302">
        <f>IF(_PENDIENTES!$B$1210&lt;&gt;"",_PENDIENTES!$C$1210,"")</f>
        <v/>
      </c>
      <c r="D1216" s="301">
        <f>IF(_PENDIENTES!$B$1210&lt;&gt;"",_PENDIENTES!$D$1210,"")</f>
        <v/>
      </c>
      <c r="E1216" s="301">
        <f>IF(_PENDIENTES!$B$1210&lt;&gt;"",_PENDIENTES!$E$1210,"")</f>
        <v/>
      </c>
      <c r="F1216" s="301">
        <f>IF(_PENDIENTES!$B$1210&lt;&gt;"",_PENDIENTES!$F$1210,"")</f>
        <v/>
      </c>
      <c r="G1216" s="245">
        <f>IF(_PENDIENTES!$B$1210&lt;&gt;"",_PENDIENTES!$G$1210,"")</f>
        <v/>
      </c>
      <c r="H1216" s="245">
        <f>IF(_PENDIENTES!$B$1210&lt;&gt;"",_PENDIENTES!$H$1210,"")</f>
        <v/>
      </c>
      <c r="I1216" s="302">
        <f>IF(_PENDIENTES!$B$1210&lt;&gt;"",_PENDIENTES!$I$1210,"")</f>
        <v/>
      </c>
      <c r="J1216" s="301">
        <f>IF(_PENDIENTES!$B$1210&lt;&gt;"",_PENDIENTES!$J$1210,"")</f>
        <v/>
      </c>
      <c r="K1216" s="301">
        <f>IF(_PENDIENTES!$B$1210&lt;&gt;"","POR RECOGER","")</f>
        <v/>
      </c>
      <c r="L1216" s="301">
        <f>IF(_PENDIENTES!$B$1210&lt;&gt;"",_PENDIENTES!$K$1210,"")</f>
        <v/>
      </c>
      <c r="M1216" s="284">
        <f>IF(_PENDIENTES!$B$1210&lt;&gt;"",_PENDIENTES!$B$1210,"")</f>
        <v/>
      </c>
      <c r="N1216" s="304">
        <f>IF(_PENDIENTES!$B$1210&lt;&gt;"",_PENDIENTES!$L$1210,"")</f>
        <v/>
      </c>
      <c r="O1216" s="284" t="n"/>
    </row>
    <row r="1217" hidden="1" ht="15.75" customHeight="1" s="195">
      <c r="A1217" s="241">
        <f>IF(_PENDIENTES!$B$1211&lt;&gt;"",1210,"")</f>
        <v/>
      </c>
      <c r="B1217" s="236">
        <f>IF(_PENDIENTES!$B$1211&lt;&gt;"",_PENDIENTES!$A$1211,"")</f>
        <v/>
      </c>
      <c r="C1217" s="305">
        <f>IF(_PENDIENTES!$B$1211&lt;&gt;"",_PENDIENTES!$C$1211,"")</f>
        <v/>
      </c>
      <c r="D1217" s="241">
        <f>IF(_PENDIENTES!$B$1211&lt;&gt;"",_PENDIENTES!$D$1211,"")</f>
        <v/>
      </c>
      <c r="E1217" s="241">
        <f>IF(_PENDIENTES!$B$1211&lt;&gt;"",_PENDIENTES!$E$1211,"")</f>
        <v/>
      </c>
      <c r="F1217" s="241">
        <f>IF(_PENDIENTES!$B$1211&lt;&gt;"",_PENDIENTES!$F$1211,"")</f>
        <v/>
      </c>
      <c r="G1217" s="239">
        <f>IF(_PENDIENTES!$B$1211&lt;&gt;"",_PENDIENTES!$G$1211,"")</f>
        <v/>
      </c>
      <c r="H1217" s="239">
        <f>IF(_PENDIENTES!$B$1211&lt;&gt;"",_PENDIENTES!$H$1211,"")</f>
        <v/>
      </c>
      <c r="I1217" s="305">
        <f>IF(_PENDIENTES!$B$1211&lt;&gt;"",_PENDIENTES!$I$1211,"")</f>
        <v/>
      </c>
      <c r="J1217" s="241">
        <f>IF(_PENDIENTES!$B$1211&lt;&gt;"",_PENDIENTES!$J$1211,"")</f>
        <v/>
      </c>
      <c r="K1217" s="241">
        <f>IF(_PENDIENTES!$B$1211&lt;&gt;"","POR RECOGER","")</f>
        <v/>
      </c>
      <c r="L1217" s="241">
        <f>IF(_PENDIENTES!$B$1211&lt;&gt;"",_PENDIENTES!$K$1211,"")</f>
        <v/>
      </c>
      <c r="M1217" s="284">
        <f>IF(_PENDIENTES!$B$1211&lt;&gt;"",_PENDIENTES!$B$1211,"")</f>
        <v/>
      </c>
      <c r="N1217" s="304">
        <f>IF(_PENDIENTES!$B$1211&lt;&gt;"",_PENDIENTES!$L$1211,"")</f>
        <v/>
      </c>
      <c r="O1217" s="284" t="n"/>
    </row>
    <row r="1218" hidden="1" ht="15.75" customHeight="1" s="195">
      <c r="A1218" s="301">
        <f>IF(_PENDIENTES!$B$1212&lt;&gt;"",1211,"")</f>
        <v/>
      </c>
      <c r="B1218" s="242">
        <f>IF(_PENDIENTES!$B$1212&lt;&gt;"",_PENDIENTES!$A$1212,"")</f>
        <v/>
      </c>
      <c r="C1218" s="302">
        <f>IF(_PENDIENTES!$B$1212&lt;&gt;"",_PENDIENTES!$C$1212,"")</f>
        <v/>
      </c>
      <c r="D1218" s="301">
        <f>IF(_PENDIENTES!$B$1212&lt;&gt;"",_PENDIENTES!$D$1212,"")</f>
        <v/>
      </c>
      <c r="E1218" s="301">
        <f>IF(_PENDIENTES!$B$1212&lt;&gt;"",_PENDIENTES!$E$1212,"")</f>
        <v/>
      </c>
      <c r="F1218" s="301">
        <f>IF(_PENDIENTES!$B$1212&lt;&gt;"",_PENDIENTES!$F$1212,"")</f>
        <v/>
      </c>
      <c r="G1218" s="245">
        <f>IF(_PENDIENTES!$B$1212&lt;&gt;"",_PENDIENTES!$G$1212,"")</f>
        <v/>
      </c>
      <c r="H1218" s="245">
        <f>IF(_PENDIENTES!$B$1212&lt;&gt;"",_PENDIENTES!$H$1212,"")</f>
        <v/>
      </c>
      <c r="I1218" s="302">
        <f>IF(_PENDIENTES!$B$1212&lt;&gt;"",_PENDIENTES!$I$1212,"")</f>
        <v/>
      </c>
      <c r="J1218" s="301">
        <f>IF(_PENDIENTES!$B$1212&lt;&gt;"",_PENDIENTES!$J$1212,"")</f>
        <v/>
      </c>
      <c r="K1218" s="301">
        <f>IF(_PENDIENTES!$B$1212&lt;&gt;"","POR RECOGER","")</f>
        <v/>
      </c>
      <c r="L1218" s="301">
        <f>IF(_PENDIENTES!$B$1212&lt;&gt;"",_PENDIENTES!$K$1212,"")</f>
        <v/>
      </c>
      <c r="M1218" s="284">
        <f>IF(_PENDIENTES!$B$1212&lt;&gt;"",_PENDIENTES!$B$1212,"")</f>
        <v/>
      </c>
      <c r="N1218" s="304">
        <f>IF(_PENDIENTES!$B$1212&lt;&gt;"",_PENDIENTES!$L$1212,"")</f>
        <v/>
      </c>
      <c r="O1218" s="284" t="n"/>
    </row>
    <row r="1219" hidden="1" ht="15.75" customHeight="1" s="195">
      <c r="A1219" s="241">
        <f>IF(_PENDIENTES!$B$1213&lt;&gt;"",1212,"")</f>
        <v/>
      </c>
      <c r="B1219" s="236">
        <f>IF(_PENDIENTES!$B$1213&lt;&gt;"",_PENDIENTES!$A$1213,"")</f>
        <v/>
      </c>
      <c r="C1219" s="305">
        <f>IF(_PENDIENTES!$B$1213&lt;&gt;"",_PENDIENTES!$C$1213,"")</f>
        <v/>
      </c>
      <c r="D1219" s="241">
        <f>IF(_PENDIENTES!$B$1213&lt;&gt;"",_PENDIENTES!$D$1213,"")</f>
        <v/>
      </c>
      <c r="E1219" s="241">
        <f>IF(_PENDIENTES!$B$1213&lt;&gt;"",_PENDIENTES!$E$1213,"")</f>
        <v/>
      </c>
      <c r="F1219" s="241">
        <f>IF(_PENDIENTES!$B$1213&lt;&gt;"",_PENDIENTES!$F$1213,"")</f>
        <v/>
      </c>
      <c r="G1219" s="239">
        <f>IF(_PENDIENTES!$B$1213&lt;&gt;"",_PENDIENTES!$G$1213,"")</f>
        <v/>
      </c>
      <c r="H1219" s="239">
        <f>IF(_PENDIENTES!$B$1213&lt;&gt;"",_PENDIENTES!$H$1213,"")</f>
        <v/>
      </c>
      <c r="I1219" s="305">
        <f>IF(_PENDIENTES!$B$1213&lt;&gt;"",_PENDIENTES!$I$1213,"")</f>
        <v/>
      </c>
      <c r="J1219" s="241">
        <f>IF(_PENDIENTES!$B$1213&lt;&gt;"",_PENDIENTES!$J$1213,"")</f>
        <v/>
      </c>
      <c r="K1219" s="241">
        <f>IF(_PENDIENTES!$B$1213&lt;&gt;"","POR RECOGER","")</f>
        <v/>
      </c>
      <c r="L1219" s="241">
        <f>IF(_PENDIENTES!$B$1213&lt;&gt;"",_PENDIENTES!$K$1213,"")</f>
        <v/>
      </c>
      <c r="M1219" s="284">
        <f>IF(_PENDIENTES!$B$1213&lt;&gt;"",_PENDIENTES!$B$1213,"")</f>
        <v/>
      </c>
      <c r="N1219" s="304">
        <f>IF(_PENDIENTES!$B$1213&lt;&gt;"",_PENDIENTES!$L$1213,"")</f>
        <v/>
      </c>
      <c r="O1219" s="284" t="n"/>
    </row>
    <row r="1220" hidden="1" ht="15.75" customHeight="1" s="195">
      <c r="A1220" s="301">
        <f>IF(_PENDIENTES!$B$1214&lt;&gt;"",1213,"")</f>
        <v/>
      </c>
      <c r="B1220" s="242">
        <f>IF(_PENDIENTES!$B$1214&lt;&gt;"",_PENDIENTES!$A$1214,"")</f>
        <v/>
      </c>
      <c r="C1220" s="302">
        <f>IF(_PENDIENTES!$B$1214&lt;&gt;"",_PENDIENTES!$C$1214,"")</f>
        <v/>
      </c>
      <c r="D1220" s="301">
        <f>IF(_PENDIENTES!$B$1214&lt;&gt;"",_PENDIENTES!$D$1214,"")</f>
        <v/>
      </c>
      <c r="E1220" s="301">
        <f>IF(_PENDIENTES!$B$1214&lt;&gt;"",_PENDIENTES!$E$1214,"")</f>
        <v/>
      </c>
      <c r="F1220" s="301">
        <f>IF(_PENDIENTES!$B$1214&lt;&gt;"",_PENDIENTES!$F$1214,"")</f>
        <v/>
      </c>
      <c r="G1220" s="245">
        <f>IF(_PENDIENTES!$B$1214&lt;&gt;"",_PENDIENTES!$G$1214,"")</f>
        <v/>
      </c>
      <c r="H1220" s="245">
        <f>IF(_PENDIENTES!$B$1214&lt;&gt;"",_PENDIENTES!$H$1214,"")</f>
        <v/>
      </c>
      <c r="I1220" s="302">
        <f>IF(_PENDIENTES!$B$1214&lt;&gt;"",_PENDIENTES!$I$1214,"")</f>
        <v/>
      </c>
      <c r="J1220" s="301">
        <f>IF(_PENDIENTES!$B$1214&lt;&gt;"",_PENDIENTES!$J$1214,"")</f>
        <v/>
      </c>
      <c r="K1220" s="301">
        <f>IF(_PENDIENTES!$B$1214&lt;&gt;"","POR RECOGER","")</f>
        <v/>
      </c>
      <c r="L1220" s="301">
        <f>IF(_PENDIENTES!$B$1214&lt;&gt;"",_PENDIENTES!$K$1214,"")</f>
        <v/>
      </c>
      <c r="M1220" s="284">
        <f>IF(_PENDIENTES!$B$1214&lt;&gt;"",_PENDIENTES!$B$1214,"")</f>
        <v/>
      </c>
      <c r="N1220" s="304">
        <f>IF(_PENDIENTES!$B$1214&lt;&gt;"",_PENDIENTES!$L$1214,"")</f>
        <v/>
      </c>
      <c r="O1220" s="284" t="n"/>
    </row>
    <row r="1221" hidden="1" ht="15.75" customHeight="1" s="195">
      <c r="A1221" s="241">
        <f>IF(_PENDIENTES!$B$1215&lt;&gt;"",1214,"")</f>
        <v/>
      </c>
      <c r="B1221" s="236">
        <f>IF(_PENDIENTES!$B$1215&lt;&gt;"",_PENDIENTES!$A$1215,"")</f>
        <v/>
      </c>
      <c r="C1221" s="305">
        <f>IF(_PENDIENTES!$B$1215&lt;&gt;"",_PENDIENTES!$C$1215,"")</f>
        <v/>
      </c>
      <c r="D1221" s="241">
        <f>IF(_PENDIENTES!$B$1215&lt;&gt;"",_PENDIENTES!$D$1215,"")</f>
        <v/>
      </c>
      <c r="E1221" s="241">
        <f>IF(_PENDIENTES!$B$1215&lt;&gt;"",_PENDIENTES!$E$1215,"")</f>
        <v/>
      </c>
      <c r="F1221" s="241">
        <f>IF(_PENDIENTES!$B$1215&lt;&gt;"",_PENDIENTES!$F$1215,"")</f>
        <v/>
      </c>
      <c r="G1221" s="239">
        <f>IF(_PENDIENTES!$B$1215&lt;&gt;"",_PENDIENTES!$G$1215,"")</f>
        <v/>
      </c>
      <c r="H1221" s="239">
        <f>IF(_PENDIENTES!$B$1215&lt;&gt;"",_PENDIENTES!$H$1215,"")</f>
        <v/>
      </c>
      <c r="I1221" s="305">
        <f>IF(_PENDIENTES!$B$1215&lt;&gt;"",_PENDIENTES!$I$1215,"")</f>
        <v/>
      </c>
      <c r="J1221" s="241">
        <f>IF(_PENDIENTES!$B$1215&lt;&gt;"",_PENDIENTES!$J$1215,"")</f>
        <v/>
      </c>
      <c r="K1221" s="241">
        <f>IF(_PENDIENTES!$B$1215&lt;&gt;"","POR RECOGER","")</f>
        <v/>
      </c>
      <c r="L1221" s="241">
        <f>IF(_PENDIENTES!$B$1215&lt;&gt;"",_PENDIENTES!$K$1215,"")</f>
        <v/>
      </c>
      <c r="M1221" s="284">
        <f>IF(_PENDIENTES!$B$1215&lt;&gt;"",_PENDIENTES!$B$1215,"")</f>
        <v/>
      </c>
      <c r="N1221" s="304">
        <f>IF(_PENDIENTES!$B$1215&lt;&gt;"",_PENDIENTES!$L$1215,"")</f>
        <v/>
      </c>
      <c r="O1221" s="284" t="n"/>
    </row>
    <row r="1222" hidden="1" ht="15.75" customHeight="1" s="195">
      <c r="A1222" s="301">
        <f>IF(_PENDIENTES!$B$1216&lt;&gt;"",1215,"")</f>
        <v/>
      </c>
      <c r="B1222" s="242">
        <f>IF(_PENDIENTES!$B$1216&lt;&gt;"",_PENDIENTES!$A$1216,"")</f>
        <v/>
      </c>
      <c r="C1222" s="302">
        <f>IF(_PENDIENTES!$B$1216&lt;&gt;"",_PENDIENTES!$C$1216,"")</f>
        <v/>
      </c>
      <c r="D1222" s="301">
        <f>IF(_PENDIENTES!$B$1216&lt;&gt;"",_PENDIENTES!$D$1216,"")</f>
        <v/>
      </c>
      <c r="E1222" s="301">
        <f>IF(_PENDIENTES!$B$1216&lt;&gt;"",_PENDIENTES!$E$1216,"")</f>
        <v/>
      </c>
      <c r="F1222" s="301">
        <f>IF(_PENDIENTES!$B$1216&lt;&gt;"",_PENDIENTES!$F$1216,"")</f>
        <v/>
      </c>
      <c r="G1222" s="245">
        <f>IF(_PENDIENTES!$B$1216&lt;&gt;"",_PENDIENTES!$G$1216,"")</f>
        <v/>
      </c>
      <c r="H1222" s="245">
        <f>IF(_PENDIENTES!$B$1216&lt;&gt;"",_PENDIENTES!$H$1216,"")</f>
        <v/>
      </c>
      <c r="I1222" s="302">
        <f>IF(_PENDIENTES!$B$1216&lt;&gt;"",_PENDIENTES!$I$1216,"")</f>
        <v/>
      </c>
      <c r="J1222" s="301">
        <f>IF(_PENDIENTES!$B$1216&lt;&gt;"",_PENDIENTES!$J$1216,"")</f>
        <v/>
      </c>
      <c r="K1222" s="301">
        <f>IF(_PENDIENTES!$B$1216&lt;&gt;"","POR RECOGER","")</f>
        <v/>
      </c>
      <c r="L1222" s="301">
        <f>IF(_PENDIENTES!$B$1216&lt;&gt;"",_PENDIENTES!$K$1216,"")</f>
        <v/>
      </c>
      <c r="M1222" s="284">
        <f>IF(_PENDIENTES!$B$1216&lt;&gt;"",_PENDIENTES!$B$1216,"")</f>
        <v/>
      </c>
      <c r="N1222" s="304">
        <f>IF(_PENDIENTES!$B$1216&lt;&gt;"",_PENDIENTES!$L$1216,"")</f>
        <v/>
      </c>
      <c r="O1222" s="284" t="n"/>
    </row>
    <row r="1223" hidden="1" ht="15.75" customHeight="1" s="195">
      <c r="A1223" s="241">
        <f>IF(_PENDIENTES!$B$1217&lt;&gt;"",1216,"")</f>
        <v/>
      </c>
      <c r="B1223" s="236">
        <f>IF(_PENDIENTES!$B$1217&lt;&gt;"",_PENDIENTES!$A$1217,"")</f>
        <v/>
      </c>
      <c r="C1223" s="305">
        <f>IF(_PENDIENTES!$B$1217&lt;&gt;"",_PENDIENTES!$C$1217,"")</f>
        <v/>
      </c>
      <c r="D1223" s="241">
        <f>IF(_PENDIENTES!$B$1217&lt;&gt;"",_PENDIENTES!$D$1217,"")</f>
        <v/>
      </c>
      <c r="E1223" s="241">
        <f>IF(_PENDIENTES!$B$1217&lt;&gt;"",_PENDIENTES!$E$1217,"")</f>
        <v/>
      </c>
      <c r="F1223" s="241">
        <f>IF(_PENDIENTES!$B$1217&lt;&gt;"",_PENDIENTES!$F$1217,"")</f>
        <v/>
      </c>
      <c r="G1223" s="239">
        <f>IF(_PENDIENTES!$B$1217&lt;&gt;"",_PENDIENTES!$G$1217,"")</f>
        <v/>
      </c>
      <c r="H1223" s="239">
        <f>IF(_PENDIENTES!$B$1217&lt;&gt;"",_PENDIENTES!$H$1217,"")</f>
        <v/>
      </c>
      <c r="I1223" s="305">
        <f>IF(_PENDIENTES!$B$1217&lt;&gt;"",_PENDIENTES!$I$1217,"")</f>
        <v/>
      </c>
      <c r="J1223" s="241">
        <f>IF(_PENDIENTES!$B$1217&lt;&gt;"",_PENDIENTES!$J$1217,"")</f>
        <v/>
      </c>
      <c r="K1223" s="241">
        <f>IF(_PENDIENTES!$B$1217&lt;&gt;"","POR RECOGER","")</f>
        <v/>
      </c>
      <c r="L1223" s="241">
        <f>IF(_PENDIENTES!$B$1217&lt;&gt;"",_PENDIENTES!$K$1217,"")</f>
        <v/>
      </c>
      <c r="M1223" s="284">
        <f>IF(_PENDIENTES!$B$1217&lt;&gt;"",_PENDIENTES!$B$1217,"")</f>
        <v/>
      </c>
      <c r="N1223" s="304">
        <f>IF(_PENDIENTES!$B$1217&lt;&gt;"",_PENDIENTES!$L$1217,"")</f>
        <v/>
      </c>
      <c r="O1223" s="284" t="n"/>
    </row>
    <row r="1224" hidden="1" ht="15.75" customHeight="1" s="195">
      <c r="A1224" s="301">
        <f>IF(_PENDIENTES!$B$1218&lt;&gt;"",1217,"")</f>
        <v/>
      </c>
      <c r="B1224" s="242">
        <f>IF(_PENDIENTES!$B$1218&lt;&gt;"",_PENDIENTES!$A$1218,"")</f>
        <v/>
      </c>
      <c r="C1224" s="302">
        <f>IF(_PENDIENTES!$B$1218&lt;&gt;"",_PENDIENTES!$C$1218,"")</f>
        <v/>
      </c>
      <c r="D1224" s="301">
        <f>IF(_PENDIENTES!$B$1218&lt;&gt;"",_PENDIENTES!$D$1218,"")</f>
        <v/>
      </c>
      <c r="E1224" s="301">
        <f>IF(_PENDIENTES!$B$1218&lt;&gt;"",_PENDIENTES!$E$1218,"")</f>
        <v/>
      </c>
      <c r="F1224" s="301">
        <f>IF(_PENDIENTES!$B$1218&lt;&gt;"",_PENDIENTES!$F$1218,"")</f>
        <v/>
      </c>
      <c r="G1224" s="245">
        <f>IF(_PENDIENTES!$B$1218&lt;&gt;"",_PENDIENTES!$G$1218,"")</f>
        <v/>
      </c>
      <c r="H1224" s="245">
        <f>IF(_PENDIENTES!$B$1218&lt;&gt;"",_PENDIENTES!$H$1218,"")</f>
        <v/>
      </c>
      <c r="I1224" s="302">
        <f>IF(_PENDIENTES!$B$1218&lt;&gt;"",_PENDIENTES!$I$1218,"")</f>
        <v/>
      </c>
      <c r="J1224" s="301">
        <f>IF(_PENDIENTES!$B$1218&lt;&gt;"",_PENDIENTES!$J$1218,"")</f>
        <v/>
      </c>
      <c r="K1224" s="301">
        <f>IF(_PENDIENTES!$B$1218&lt;&gt;"","POR RECOGER","")</f>
        <v/>
      </c>
      <c r="L1224" s="301">
        <f>IF(_PENDIENTES!$B$1218&lt;&gt;"",_PENDIENTES!$K$1218,"")</f>
        <v/>
      </c>
      <c r="M1224" s="284">
        <f>IF(_PENDIENTES!$B$1218&lt;&gt;"",_PENDIENTES!$B$1218,"")</f>
        <v/>
      </c>
      <c r="N1224" s="304">
        <f>IF(_PENDIENTES!$B$1218&lt;&gt;"",_PENDIENTES!$L$1218,"")</f>
        <v/>
      </c>
      <c r="O1224" s="284" t="n"/>
    </row>
    <row r="1225" hidden="1" ht="15.75" customHeight="1" s="195">
      <c r="A1225" s="241">
        <f>IF(_PENDIENTES!$B$1219&lt;&gt;"",1218,"")</f>
        <v/>
      </c>
      <c r="B1225" s="236">
        <f>IF(_PENDIENTES!$B$1219&lt;&gt;"",_PENDIENTES!$A$1219,"")</f>
        <v/>
      </c>
      <c r="C1225" s="305">
        <f>IF(_PENDIENTES!$B$1219&lt;&gt;"",_PENDIENTES!$C$1219,"")</f>
        <v/>
      </c>
      <c r="D1225" s="241">
        <f>IF(_PENDIENTES!$B$1219&lt;&gt;"",_PENDIENTES!$D$1219,"")</f>
        <v/>
      </c>
      <c r="E1225" s="241">
        <f>IF(_PENDIENTES!$B$1219&lt;&gt;"",_PENDIENTES!$E$1219,"")</f>
        <v/>
      </c>
      <c r="F1225" s="241">
        <f>IF(_PENDIENTES!$B$1219&lt;&gt;"",_PENDIENTES!$F$1219,"")</f>
        <v/>
      </c>
      <c r="G1225" s="239">
        <f>IF(_PENDIENTES!$B$1219&lt;&gt;"",_PENDIENTES!$G$1219,"")</f>
        <v/>
      </c>
      <c r="H1225" s="239">
        <f>IF(_PENDIENTES!$B$1219&lt;&gt;"",_PENDIENTES!$H$1219,"")</f>
        <v/>
      </c>
      <c r="I1225" s="305">
        <f>IF(_PENDIENTES!$B$1219&lt;&gt;"",_PENDIENTES!$I$1219,"")</f>
        <v/>
      </c>
      <c r="J1225" s="241">
        <f>IF(_PENDIENTES!$B$1219&lt;&gt;"",_PENDIENTES!$J$1219,"")</f>
        <v/>
      </c>
      <c r="K1225" s="241">
        <f>IF(_PENDIENTES!$B$1219&lt;&gt;"","POR RECOGER","")</f>
        <v/>
      </c>
      <c r="L1225" s="241">
        <f>IF(_PENDIENTES!$B$1219&lt;&gt;"",_PENDIENTES!$K$1219,"")</f>
        <v/>
      </c>
      <c r="M1225" s="284">
        <f>IF(_PENDIENTES!$B$1219&lt;&gt;"",_PENDIENTES!$B$1219,"")</f>
        <v/>
      </c>
      <c r="N1225" s="304">
        <f>IF(_PENDIENTES!$B$1219&lt;&gt;"",_PENDIENTES!$L$1219,"")</f>
        <v/>
      </c>
      <c r="O1225" s="284" t="n"/>
    </row>
    <row r="1226" hidden="1" ht="15.75" customHeight="1" s="195">
      <c r="A1226" s="301">
        <f>IF(_PENDIENTES!$B$1220&lt;&gt;"",1219,"")</f>
        <v/>
      </c>
      <c r="B1226" s="242">
        <f>IF(_PENDIENTES!$B$1220&lt;&gt;"",_PENDIENTES!$A$1220,"")</f>
        <v/>
      </c>
      <c r="C1226" s="302">
        <f>IF(_PENDIENTES!$B$1220&lt;&gt;"",_PENDIENTES!$C$1220,"")</f>
        <v/>
      </c>
      <c r="D1226" s="301">
        <f>IF(_PENDIENTES!$B$1220&lt;&gt;"",_PENDIENTES!$D$1220,"")</f>
        <v/>
      </c>
      <c r="E1226" s="301">
        <f>IF(_PENDIENTES!$B$1220&lt;&gt;"",_PENDIENTES!$E$1220,"")</f>
        <v/>
      </c>
      <c r="F1226" s="301">
        <f>IF(_PENDIENTES!$B$1220&lt;&gt;"",_PENDIENTES!$F$1220,"")</f>
        <v/>
      </c>
      <c r="G1226" s="245">
        <f>IF(_PENDIENTES!$B$1220&lt;&gt;"",_PENDIENTES!$G$1220,"")</f>
        <v/>
      </c>
      <c r="H1226" s="245">
        <f>IF(_PENDIENTES!$B$1220&lt;&gt;"",_PENDIENTES!$H$1220,"")</f>
        <v/>
      </c>
      <c r="I1226" s="302">
        <f>IF(_PENDIENTES!$B$1220&lt;&gt;"",_PENDIENTES!$I$1220,"")</f>
        <v/>
      </c>
      <c r="J1226" s="301">
        <f>IF(_PENDIENTES!$B$1220&lt;&gt;"",_PENDIENTES!$J$1220,"")</f>
        <v/>
      </c>
      <c r="K1226" s="301">
        <f>IF(_PENDIENTES!$B$1220&lt;&gt;"","POR RECOGER","")</f>
        <v/>
      </c>
      <c r="L1226" s="301">
        <f>IF(_PENDIENTES!$B$1220&lt;&gt;"",_PENDIENTES!$K$1220,"")</f>
        <v/>
      </c>
      <c r="M1226" s="284">
        <f>IF(_PENDIENTES!$B$1220&lt;&gt;"",_PENDIENTES!$B$1220,"")</f>
        <v/>
      </c>
      <c r="N1226" s="304">
        <f>IF(_PENDIENTES!$B$1220&lt;&gt;"",_PENDIENTES!$L$1220,"")</f>
        <v/>
      </c>
      <c r="O1226" s="284" t="n"/>
    </row>
    <row r="1227" hidden="1" ht="15.75" customHeight="1" s="195">
      <c r="A1227" s="241">
        <f>IF(_PENDIENTES!$B$1221&lt;&gt;"",1220,"")</f>
        <v/>
      </c>
      <c r="B1227" s="236">
        <f>IF(_PENDIENTES!$B$1221&lt;&gt;"",_PENDIENTES!$A$1221,"")</f>
        <v/>
      </c>
      <c r="C1227" s="305">
        <f>IF(_PENDIENTES!$B$1221&lt;&gt;"",_PENDIENTES!$C$1221,"")</f>
        <v/>
      </c>
      <c r="D1227" s="241">
        <f>IF(_PENDIENTES!$B$1221&lt;&gt;"",_PENDIENTES!$D$1221,"")</f>
        <v/>
      </c>
      <c r="E1227" s="241">
        <f>IF(_PENDIENTES!$B$1221&lt;&gt;"",_PENDIENTES!$E$1221,"")</f>
        <v/>
      </c>
      <c r="F1227" s="241">
        <f>IF(_PENDIENTES!$B$1221&lt;&gt;"",_PENDIENTES!$F$1221,"")</f>
        <v/>
      </c>
      <c r="G1227" s="239">
        <f>IF(_PENDIENTES!$B$1221&lt;&gt;"",_PENDIENTES!$G$1221,"")</f>
        <v/>
      </c>
      <c r="H1227" s="239">
        <f>IF(_PENDIENTES!$B$1221&lt;&gt;"",_PENDIENTES!$H$1221,"")</f>
        <v/>
      </c>
      <c r="I1227" s="305">
        <f>IF(_PENDIENTES!$B$1221&lt;&gt;"",_PENDIENTES!$I$1221,"")</f>
        <v/>
      </c>
      <c r="J1227" s="241">
        <f>IF(_PENDIENTES!$B$1221&lt;&gt;"",_PENDIENTES!$J$1221,"")</f>
        <v/>
      </c>
      <c r="K1227" s="241">
        <f>IF(_PENDIENTES!$B$1221&lt;&gt;"","POR RECOGER","")</f>
        <v/>
      </c>
      <c r="L1227" s="241">
        <f>IF(_PENDIENTES!$B$1221&lt;&gt;"",_PENDIENTES!$K$1221,"")</f>
        <v/>
      </c>
      <c r="M1227" s="284">
        <f>IF(_PENDIENTES!$B$1221&lt;&gt;"",_PENDIENTES!$B$1221,"")</f>
        <v/>
      </c>
      <c r="N1227" s="304">
        <f>IF(_PENDIENTES!$B$1221&lt;&gt;"",_PENDIENTES!$L$1221,"")</f>
        <v/>
      </c>
      <c r="O1227" s="284" t="n"/>
    </row>
    <row r="1228" hidden="1" ht="15.75" customHeight="1" s="195">
      <c r="A1228" s="301">
        <f>IF(_PENDIENTES!$B$1222&lt;&gt;"",1221,"")</f>
        <v/>
      </c>
      <c r="B1228" s="242">
        <f>IF(_PENDIENTES!$B$1222&lt;&gt;"",_PENDIENTES!$A$1222,"")</f>
        <v/>
      </c>
      <c r="C1228" s="302">
        <f>IF(_PENDIENTES!$B$1222&lt;&gt;"",_PENDIENTES!$C$1222,"")</f>
        <v/>
      </c>
      <c r="D1228" s="301">
        <f>IF(_PENDIENTES!$B$1222&lt;&gt;"",_PENDIENTES!$D$1222,"")</f>
        <v/>
      </c>
      <c r="E1228" s="301">
        <f>IF(_PENDIENTES!$B$1222&lt;&gt;"",_PENDIENTES!$E$1222,"")</f>
        <v/>
      </c>
      <c r="F1228" s="301">
        <f>IF(_PENDIENTES!$B$1222&lt;&gt;"",_PENDIENTES!$F$1222,"")</f>
        <v/>
      </c>
      <c r="G1228" s="245">
        <f>IF(_PENDIENTES!$B$1222&lt;&gt;"",_PENDIENTES!$G$1222,"")</f>
        <v/>
      </c>
      <c r="H1228" s="245">
        <f>IF(_PENDIENTES!$B$1222&lt;&gt;"",_PENDIENTES!$H$1222,"")</f>
        <v/>
      </c>
      <c r="I1228" s="302">
        <f>IF(_PENDIENTES!$B$1222&lt;&gt;"",_PENDIENTES!$I$1222,"")</f>
        <v/>
      </c>
      <c r="J1228" s="301">
        <f>IF(_PENDIENTES!$B$1222&lt;&gt;"",_PENDIENTES!$J$1222,"")</f>
        <v/>
      </c>
      <c r="K1228" s="301">
        <f>IF(_PENDIENTES!$B$1222&lt;&gt;"","POR RECOGER","")</f>
        <v/>
      </c>
      <c r="L1228" s="301">
        <f>IF(_PENDIENTES!$B$1222&lt;&gt;"",_PENDIENTES!$K$1222,"")</f>
        <v/>
      </c>
      <c r="M1228" s="284">
        <f>IF(_PENDIENTES!$B$1222&lt;&gt;"",_PENDIENTES!$B$1222,"")</f>
        <v/>
      </c>
      <c r="N1228" s="304">
        <f>IF(_PENDIENTES!$B$1222&lt;&gt;"",_PENDIENTES!$L$1222,"")</f>
        <v/>
      </c>
      <c r="O1228" s="284" t="n"/>
    </row>
    <row r="1229" hidden="1" ht="15.75" customHeight="1" s="195">
      <c r="A1229" s="241">
        <f>IF(_PENDIENTES!$B$1223&lt;&gt;"",1222,"")</f>
        <v/>
      </c>
      <c r="B1229" s="236">
        <f>IF(_PENDIENTES!$B$1223&lt;&gt;"",_PENDIENTES!$A$1223,"")</f>
        <v/>
      </c>
      <c r="C1229" s="305">
        <f>IF(_PENDIENTES!$B$1223&lt;&gt;"",_PENDIENTES!$C$1223,"")</f>
        <v/>
      </c>
      <c r="D1229" s="241">
        <f>IF(_PENDIENTES!$B$1223&lt;&gt;"",_PENDIENTES!$D$1223,"")</f>
        <v/>
      </c>
      <c r="E1229" s="241">
        <f>IF(_PENDIENTES!$B$1223&lt;&gt;"",_PENDIENTES!$E$1223,"")</f>
        <v/>
      </c>
      <c r="F1229" s="241">
        <f>IF(_PENDIENTES!$B$1223&lt;&gt;"",_PENDIENTES!$F$1223,"")</f>
        <v/>
      </c>
      <c r="G1229" s="239">
        <f>IF(_PENDIENTES!$B$1223&lt;&gt;"",_PENDIENTES!$G$1223,"")</f>
        <v/>
      </c>
      <c r="H1229" s="239">
        <f>IF(_PENDIENTES!$B$1223&lt;&gt;"",_PENDIENTES!$H$1223,"")</f>
        <v/>
      </c>
      <c r="I1229" s="305">
        <f>IF(_PENDIENTES!$B$1223&lt;&gt;"",_PENDIENTES!$I$1223,"")</f>
        <v/>
      </c>
      <c r="J1229" s="241">
        <f>IF(_PENDIENTES!$B$1223&lt;&gt;"",_PENDIENTES!$J$1223,"")</f>
        <v/>
      </c>
      <c r="K1229" s="241">
        <f>IF(_PENDIENTES!$B$1223&lt;&gt;"","POR RECOGER","")</f>
        <v/>
      </c>
      <c r="L1229" s="241">
        <f>IF(_PENDIENTES!$B$1223&lt;&gt;"",_PENDIENTES!$K$1223,"")</f>
        <v/>
      </c>
      <c r="M1229" s="284">
        <f>IF(_PENDIENTES!$B$1223&lt;&gt;"",_PENDIENTES!$B$1223,"")</f>
        <v/>
      </c>
      <c r="N1229" s="304">
        <f>IF(_PENDIENTES!$B$1223&lt;&gt;"",_PENDIENTES!$L$1223,"")</f>
        <v/>
      </c>
      <c r="O1229" s="284" t="n"/>
    </row>
    <row r="1230" hidden="1" ht="15.75" customHeight="1" s="195">
      <c r="A1230" s="301">
        <f>IF(_PENDIENTES!$B$1224&lt;&gt;"",1223,"")</f>
        <v/>
      </c>
      <c r="B1230" s="242">
        <f>IF(_PENDIENTES!$B$1224&lt;&gt;"",_PENDIENTES!$A$1224,"")</f>
        <v/>
      </c>
      <c r="C1230" s="302">
        <f>IF(_PENDIENTES!$B$1224&lt;&gt;"",_PENDIENTES!$C$1224,"")</f>
        <v/>
      </c>
      <c r="D1230" s="301">
        <f>IF(_PENDIENTES!$B$1224&lt;&gt;"",_PENDIENTES!$D$1224,"")</f>
        <v/>
      </c>
      <c r="E1230" s="301">
        <f>IF(_PENDIENTES!$B$1224&lt;&gt;"",_PENDIENTES!$E$1224,"")</f>
        <v/>
      </c>
      <c r="F1230" s="301">
        <f>IF(_PENDIENTES!$B$1224&lt;&gt;"",_PENDIENTES!$F$1224,"")</f>
        <v/>
      </c>
      <c r="G1230" s="245">
        <f>IF(_PENDIENTES!$B$1224&lt;&gt;"",_PENDIENTES!$G$1224,"")</f>
        <v/>
      </c>
      <c r="H1230" s="245">
        <f>IF(_PENDIENTES!$B$1224&lt;&gt;"",_PENDIENTES!$H$1224,"")</f>
        <v/>
      </c>
      <c r="I1230" s="302">
        <f>IF(_PENDIENTES!$B$1224&lt;&gt;"",_PENDIENTES!$I$1224,"")</f>
        <v/>
      </c>
      <c r="J1230" s="301">
        <f>IF(_PENDIENTES!$B$1224&lt;&gt;"",_PENDIENTES!$J$1224,"")</f>
        <v/>
      </c>
      <c r="K1230" s="301">
        <f>IF(_PENDIENTES!$B$1224&lt;&gt;"","POR RECOGER","")</f>
        <v/>
      </c>
      <c r="L1230" s="301">
        <f>IF(_PENDIENTES!$B$1224&lt;&gt;"",_PENDIENTES!$K$1224,"")</f>
        <v/>
      </c>
      <c r="M1230" s="284">
        <f>IF(_PENDIENTES!$B$1224&lt;&gt;"",_PENDIENTES!$B$1224,"")</f>
        <v/>
      </c>
      <c r="N1230" s="304">
        <f>IF(_PENDIENTES!$B$1224&lt;&gt;"",_PENDIENTES!$L$1224,"")</f>
        <v/>
      </c>
      <c r="O1230" s="284" t="n"/>
    </row>
    <row r="1231" hidden="1" ht="15.75" customHeight="1" s="195">
      <c r="A1231" s="241">
        <f>IF(_PENDIENTES!$B$1225&lt;&gt;"",1224,"")</f>
        <v/>
      </c>
      <c r="B1231" s="236">
        <f>IF(_PENDIENTES!$B$1225&lt;&gt;"",_PENDIENTES!$A$1225,"")</f>
        <v/>
      </c>
      <c r="C1231" s="305">
        <f>IF(_PENDIENTES!$B$1225&lt;&gt;"",_PENDIENTES!$C$1225,"")</f>
        <v/>
      </c>
      <c r="D1231" s="241">
        <f>IF(_PENDIENTES!$B$1225&lt;&gt;"",_PENDIENTES!$D$1225,"")</f>
        <v/>
      </c>
      <c r="E1231" s="241">
        <f>IF(_PENDIENTES!$B$1225&lt;&gt;"",_PENDIENTES!$E$1225,"")</f>
        <v/>
      </c>
      <c r="F1231" s="241">
        <f>IF(_PENDIENTES!$B$1225&lt;&gt;"",_PENDIENTES!$F$1225,"")</f>
        <v/>
      </c>
      <c r="G1231" s="239">
        <f>IF(_PENDIENTES!$B$1225&lt;&gt;"",_PENDIENTES!$G$1225,"")</f>
        <v/>
      </c>
      <c r="H1231" s="239">
        <f>IF(_PENDIENTES!$B$1225&lt;&gt;"",_PENDIENTES!$H$1225,"")</f>
        <v/>
      </c>
      <c r="I1231" s="305">
        <f>IF(_PENDIENTES!$B$1225&lt;&gt;"",_PENDIENTES!$I$1225,"")</f>
        <v/>
      </c>
      <c r="J1231" s="241">
        <f>IF(_PENDIENTES!$B$1225&lt;&gt;"",_PENDIENTES!$J$1225,"")</f>
        <v/>
      </c>
      <c r="K1231" s="241">
        <f>IF(_PENDIENTES!$B$1225&lt;&gt;"","POR RECOGER","")</f>
        <v/>
      </c>
      <c r="L1231" s="241">
        <f>IF(_PENDIENTES!$B$1225&lt;&gt;"",_PENDIENTES!$K$1225,"")</f>
        <v/>
      </c>
      <c r="M1231" s="284">
        <f>IF(_PENDIENTES!$B$1225&lt;&gt;"",_PENDIENTES!$B$1225,"")</f>
        <v/>
      </c>
      <c r="N1231" s="304">
        <f>IF(_PENDIENTES!$B$1225&lt;&gt;"",_PENDIENTES!$L$1225,"")</f>
        <v/>
      </c>
      <c r="O1231" s="284" t="n"/>
    </row>
    <row r="1232" hidden="1" ht="15.75" customHeight="1" s="195">
      <c r="A1232" s="301">
        <f>IF(_PENDIENTES!$B$1226&lt;&gt;"",1225,"")</f>
        <v/>
      </c>
      <c r="B1232" s="242">
        <f>IF(_PENDIENTES!$B$1226&lt;&gt;"",_PENDIENTES!$A$1226,"")</f>
        <v/>
      </c>
      <c r="C1232" s="302">
        <f>IF(_PENDIENTES!$B$1226&lt;&gt;"",_PENDIENTES!$C$1226,"")</f>
        <v/>
      </c>
      <c r="D1232" s="301">
        <f>IF(_PENDIENTES!$B$1226&lt;&gt;"",_PENDIENTES!$D$1226,"")</f>
        <v/>
      </c>
      <c r="E1232" s="301">
        <f>IF(_PENDIENTES!$B$1226&lt;&gt;"",_PENDIENTES!$E$1226,"")</f>
        <v/>
      </c>
      <c r="F1232" s="301">
        <f>IF(_PENDIENTES!$B$1226&lt;&gt;"",_PENDIENTES!$F$1226,"")</f>
        <v/>
      </c>
      <c r="G1232" s="245">
        <f>IF(_PENDIENTES!$B$1226&lt;&gt;"",_PENDIENTES!$G$1226,"")</f>
        <v/>
      </c>
      <c r="H1232" s="245">
        <f>IF(_PENDIENTES!$B$1226&lt;&gt;"",_PENDIENTES!$H$1226,"")</f>
        <v/>
      </c>
      <c r="I1232" s="302">
        <f>IF(_PENDIENTES!$B$1226&lt;&gt;"",_PENDIENTES!$I$1226,"")</f>
        <v/>
      </c>
      <c r="J1232" s="301">
        <f>IF(_PENDIENTES!$B$1226&lt;&gt;"",_PENDIENTES!$J$1226,"")</f>
        <v/>
      </c>
      <c r="K1232" s="301">
        <f>IF(_PENDIENTES!$B$1226&lt;&gt;"","POR RECOGER","")</f>
        <v/>
      </c>
      <c r="L1232" s="301">
        <f>IF(_PENDIENTES!$B$1226&lt;&gt;"",_PENDIENTES!$K$1226,"")</f>
        <v/>
      </c>
      <c r="M1232" s="284">
        <f>IF(_PENDIENTES!$B$1226&lt;&gt;"",_PENDIENTES!$B$1226,"")</f>
        <v/>
      </c>
      <c r="N1232" s="304">
        <f>IF(_PENDIENTES!$B$1226&lt;&gt;"",_PENDIENTES!$L$1226,"")</f>
        <v/>
      </c>
      <c r="O1232" s="284" t="n"/>
    </row>
    <row r="1233" hidden="1" ht="15.75" customHeight="1" s="195">
      <c r="A1233" s="241">
        <f>IF(_PENDIENTES!$B$1227&lt;&gt;"",1226,"")</f>
        <v/>
      </c>
      <c r="B1233" s="236">
        <f>IF(_PENDIENTES!$B$1227&lt;&gt;"",_PENDIENTES!$A$1227,"")</f>
        <v/>
      </c>
      <c r="C1233" s="305">
        <f>IF(_PENDIENTES!$B$1227&lt;&gt;"",_PENDIENTES!$C$1227,"")</f>
        <v/>
      </c>
      <c r="D1233" s="241">
        <f>IF(_PENDIENTES!$B$1227&lt;&gt;"",_PENDIENTES!$D$1227,"")</f>
        <v/>
      </c>
      <c r="E1233" s="241">
        <f>IF(_PENDIENTES!$B$1227&lt;&gt;"",_PENDIENTES!$E$1227,"")</f>
        <v/>
      </c>
      <c r="F1233" s="241">
        <f>IF(_PENDIENTES!$B$1227&lt;&gt;"",_PENDIENTES!$F$1227,"")</f>
        <v/>
      </c>
      <c r="G1233" s="239">
        <f>IF(_PENDIENTES!$B$1227&lt;&gt;"",_PENDIENTES!$G$1227,"")</f>
        <v/>
      </c>
      <c r="H1233" s="239">
        <f>IF(_PENDIENTES!$B$1227&lt;&gt;"",_PENDIENTES!$H$1227,"")</f>
        <v/>
      </c>
      <c r="I1233" s="305">
        <f>IF(_PENDIENTES!$B$1227&lt;&gt;"",_PENDIENTES!$I$1227,"")</f>
        <v/>
      </c>
      <c r="J1233" s="241">
        <f>IF(_PENDIENTES!$B$1227&lt;&gt;"",_PENDIENTES!$J$1227,"")</f>
        <v/>
      </c>
      <c r="K1233" s="241">
        <f>IF(_PENDIENTES!$B$1227&lt;&gt;"","POR RECOGER","")</f>
        <v/>
      </c>
      <c r="L1233" s="241">
        <f>IF(_PENDIENTES!$B$1227&lt;&gt;"",_PENDIENTES!$K$1227,"")</f>
        <v/>
      </c>
      <c r="M1233" s="284">
        <f>IF(_PENDIENTES!$B$1227&lt;&gt;"",_PENDIENTES!$B$1227,"")</f>
        <v/>
      </c>
      <c r="N1233" s="304">
        <f>IF(_PENDIENTES!$B$1227&lt;&gt;"",_PENDIENTES!$L$1227,"")</f>
        <v/>
      </c>
      <c r="O1233" s="284" t="n"/>
    </row>
    <row r="1234" hidden="1" ht="15.75" customHeight="1" s="195">
      <c r="A1234" s="301">
        <f>IF(_PENDIENTES!$B$1228&lt;&gt;"",1227,"")</f>
        <v/>
      </c>
      <c r="B1234" s="242">
        <f>IF(_PENDIENTES!$B$1228&lt;&gt;"",_PENDIENTES!$A$1228,"")</f>
        <v/>
      </c>
      <c r="C1234" s="302">
        <f>IF(_PENDIENTES!$B$1228&lt;&gt;"",_PENDIENTES!$C$1228,"")</f>
        <v/>
      </c>
      <c r="D1234" s="301">
        <f>IF(_PENDIENTES!$B$1228&lt;&gt;"",_PENDIENTES!$D$1228,"")</f>
        <v/>
      </c>
      <c r="E1234" s="301">
        <f>IF(_PENDIENTES!$B$1228&lt;&gt;"",_PENDIENTES!$E$1228,"")</f>
        <v/>
      </c>
      <c r="F1234" s="301">
        <f>IF(_PENDIENTES!$B$1228&lt;&gt;"",_PENDIENTES!$F$1228,"")</f>
        <v/>
      </c>
      <c r="G1234" s="245">
        <f>IF(_PENDIENTES!$B$1228&lt;&gt;"",_PENDIENTES!$G$1228,"")</f>
        <v/>
      </c>
      <c r="H1234" s="245">
        <f>IF(_PENDIENTES!$B$1228&lt;&gt;"",_PENDIENTES!$H$1228,"")</f>
        <v/>
      </c>
      <c r="I1234" s="302">
        <f>IF(_PENDIENTES!$B$1228&lt;&gt;"",_PENDIENTES!$I$1228,"")</f>
        <v/>
      </c>
      <c r="J1234" s="301">
        <f>IF(_PENDIENTES!$B$1228&lt;&gt;"",_PENDIENTES!$J$1228,"")</f>
        <v/>
      </c>
      <c r="K1234" s="301">
        <f>IF(_PENDIENTES!$B$1228&lt;&gt;"","POR RECOGER","")</f>
        <v/>
      </c>
      <c r="L1234" s="301">
        <f>IF(_PENDIENTES!$B$1228&lt;&gt;"",_PENDIENTES!$K$1228,"")</f>
        <v/>
      </c>
      <c r="M1234" s="284">
        <f>IF(_PENDIENTES!$B$1228&lt;&gt;"",_PENDIENTES!$B$1228,"")</f>
        <v/>
      </c>
      <c r="N1234" s="304">
        <f>IF(_PENDIENTES!$B$1228&lt;&gt;"",_PENDIENTES!$L$1228,"")</f>
        <v/>
      </c>
      <c r="O1234" s="284" t="n"/>
    </row>
    <row r="1235" hidden="1" ht="15.75" customHeight="1" s="195">
      <c r="A1235" s="241">
        <f>IF(_PENDIENTES!$B$1229&lt;&gt;"",1228,"")</f>
        <v/>
      </c>
      <c r="B1235" s="236">
        <f>IF(_PENDIENTES!$B$1229&lt;&gt;"",_PENDIENTES!$A$1229,"")</f>
        <v/>
      </c>
      <c r="C1235" s="305">
        <f>IF(_PENDIENTES!$B$1229&lt;&gt;"",_PENDIENTES!$C$1229,"")</f>
        <v/>
      </c>
      <c r="D1235" s="241">
        <f>IF(_PENDIENTES!$B$1229&lt;&gt;"",_PENDIENTES!$D$1229,"")</f>
        <v/>
      </c>
      <c r="E1235" s="241">
        <f>IF(_PENDIENTES!$B$1229&lt;&gt;"",_PENDIENTES!$E$1229,"")</f>
        <v/>
      </c>
      <c r="F1235" s="241">
        <f>IF(_PENDIENTES!$B$1229&lt;&gt;"",_PENDIENTES!$F$1229,"")</f>
        <v/>
      </c>
      <c r="G1235" s="239">
        <f>IF(_PENDIENTES!$B$1229&lt;&gt;"",_PENDIENTES!$G$1229,"")</f>
        <v/>
      </c>
      <c r="H1235" s="239">
        <f>IF(_PENDIENTES!$B$1229&lt;&gt;"",_PENDIENTES!$H$1229,"")</f>
        <v/>
      </c>
      <c r="I1235" s="305">
        <f>IF(_PENDIENTES!$B$1229&lt;&gt;"",_PENDIENTES!$I$1229,"")</f>
        <v/>
      </c>
      <c r="J1235" s="241">
        <f>IF(_PENDIENTES!$B$1229&lt;&gt;"",_PENDIENTES!$J$1229,"")</f>
        <v/>
      </c>
      <c r="K1235" s="241">
        <f>IF(_PENDIENTES!$B$1229&lt;&gt;"","POR RECOGER","")</f>
        <v/>
      </c>
      <c r="L1235" s="241">
        <f>IF(_PENDIENTES!$B$1229&lt;&gt;"",_PENDIENTES!$K$1229,"")</f>
        <v/>
      </c>
      <c r="M1235" s="284">
        <f>IF(_PENDIENTES!$B$1229&lt;&gt;"",_PENDIENTES!$B$1229,"")</f>
        <v/>
      </c>
      <c r="N1235" s="304">
        <f>IF(_PENDIENTES!$B$1229&lt;&gt;"",_PENDIENTES!$L$1229,"")</f>
        <v/>
      </c>
      <c r="O1235" s="284" t="n"/>
    </row>
    <row r="1236" hidden="1" ht="15.75" customHeight="1" s="195">
      <c r="A1236" s="301">
        <f>IF(_PENDIENTES!$B$1230&lt;&gt;"",1229,"")</f>
        <v/>
      </c>
      <c r="B1236" s="242">
        <f>IF(_PENDIENTES!$B$1230&lt;&gt;"",_PENDIENTES!$A$1230,"")</f>
        <v/>
      </c>
      <c r="C1236" s="302">
        <f>IF(_PENDIENTES!$B$1230&lt;&gt;"",_PENDIENTES!$C$1230,"")</f>
        <v/>
      </c>
      <c r="D1236" s="301">
        <f>IF(_PENDIENTES!$B$1230&lt;&gt;"",_PENDIENTES!$D$1230,"")</f>
        <v/>
      </c>
      <c r="E1236" s="301">
        <f>IF(_PENDIENTES!$B$1230&lt;&gt;"",_PENDIENTES!$E$1230,"")</f>
        <v/>
      </c>
      <c r="F1236" s="301">
        <f>IF(_PENDIENTES!$B$1230&lt;&gt;"",_PENDIENTES!$F$1230,"")</f>
        <v/>
      </c>
      <c r="G1236" s="245">
        <f>IF(_PENDIENTES!$B$1230&lt;&gt;"",_PENDIENTES!$G$1230,"")</f>
        <v/>
      </c>
      <c r="H1236" s="245">
        <f>IF(_PENDIENTES!$B$1230&lt;&gt;"",_PENDIENTES!$H$1230,"")</f>
        <v/>
      </c>
      <c r="I1236" s="302">
        <f>IF(_PENDIENTES!$B$1230&lt;&gt;"",_PENDIENTES!$I$1230,"")</f>
        <v/>
      </c>
      <c r="J1236" s="301">
        <f>IF(_PENDIENTES!$B$1230&lt;&gt;"",_PENDIENTES!$J$1230,"")</f>
        <v/>
      </c>
      <c r="K1236" s="301">
        <f>IF(_PENDIENTES!$B$1230&lt;&gt;"","POR RECOGER","")</f>
        <v/>
      </c>
      <c r="L1236" s="301">
        <f>IF(_PENDIENTES!$B$1230&lt;&gt;"",_PENDIENTES!$K$1230,"")</f>
        <v/>
      </c>
      <c r="M1236" s="284">
        <f>IF(_PENDIENTES!$B$1230&lt;&gt;"",_PENDIENTES!$B$1230,"")</f>
        <v/>
      </c>
      <c r="N1236" s="304">
        <f>IF(_PENDIENTES!$B$1230&lt;&gt;"",_PENDIENTES!$L$1230,"")</f>
        <v/>
      </c>
      <c r="O1236" s="284" t="n"/>
    </row>
    <row r="1237" hidden="1" ht="15.75" customHeight="1" s="195">
      <c r="A1237" s="241">
        <f>IF(_PENDIENTES!$B$1231&lt;&gt;"",1230,"")</f>
        <v/>
      </c>
      <c r="B1237" s="236">
        <f>IF(_PENDIENTES!$B$1231&lt;&gt;"",_PENDIENTES!$A$1231,"")</f>
        <v/>
      </c>
      <c r="C1237" s="305">
        <f>IF(_PENDIENTES!$B$1231&lt;&gt;"",_PENDIENTES!$C$1231,"")</f>
        <v/>
      </c>
      <c r="D1237" s="241">
        <f>IF(_PENDIENTES!$B$1231&lt;&gt;"",_PENDIENTES!$D$1231,"")</f>
        <v/>
      </c>
      <c r="E1237" s="241">
        <f>IF(_PENDIENTES!$B$1231&lt;&gt;"",_PENDIENTES!$E$1231,"")</f>
        <v/>
      </c>
      <c r="F1237" s="241">
        <f>IF(_PENDIENTES!$B$1231&lt;&gt;"",_PENDIENTES!$F$1231,"")</f>
        <v/>
      </c>
      <c r="G1237" s="239">
        <f>IF(_PENDIENTES!$B$1231&lt;&gt;"",_PENDIENTES!$G$1231,"")</f>
        <v/>
      </c>
      <c r="H1237" s="239">
        <f>IF(_PENDIENTES!$B$1231&lt;&gt;"",_PENDIENTES!$H$1231,"")</f>
        <v/>
      </c>
      <c r="I1237" s="305">
        <f>IF(_PENDIENTES!$B$1231&lt;&gt;"",_PENDIENTES!$I$1231,"")</f>
        <v/>
      </c>
      <c r="J1237" s="241">
        <f>IF(_PENDIENTES!$B$1231&lt;&gt;"",_PENDIENTES!$J$1231,"")</f>
        <v/>
      </c>
      <c r="K1237" s="241">
        <f>IF(_PENDIENTES!$B$1231&lt;&gt;"","POR RECOGER","")</f>
        <v/>
      </c>
      <c r="L1237" s="241">
        <f>IF(_PENDIENTES!$B$1231&lt;&gt;"",_PENDIENTES!$K$1231,"")</f>
        <v/>
      </c>
      <c r="M1237" s="284">
        <f>IF(_PENDIENTES!$B$1231&lt;&gt;"",_PENDIENTES!$B$1231,"")</f>
        <v/>
      </c>
      <c r="N1237" s="304">
        <f>IF(_PENDIENTES!$B$1231&lt;&gt;"",_PENDIENTES!$L$1231,"")</f>
        <v/>
      </c>
      <c r="O1237" s="284" t="n"/>
    </row>
    <row r="1238" hidden="1" ht="15.75" customHeight="1" s="195">
      <c r="A1238" s="301">
        <f>IF(_PENDIENTES!$B$1232&lt;&gt;"",1231,"")</f>
        <v/>
      </c>
      <c r="B1238" s="242">
        <f>IF(_PENDIENTES!$B$1232&lt;&gt;"",_PENDIENTES!$A$1232,"")</f>
        <v/>
      </c>
      <c r="C1238" s="302">
        <f>IF(_PENDIENTES!$B$1232&lt;&gt;"",_PENDIENTES!$C$1232,"")</f>
        <v/>
      </c>
      <c r="D1238" s="301">
        <f>IF(_PENDIENTES!$B$1232&lt;&gt;"",_PENDIENTES!$D$1232,"")</f>
        <v/>
      </c>
      <c r="E1238" s="301">
        <f>IF(_PENDIENTES!$B$1232&lt;&gt;"",_PENDIENTES!$E$1232,"")</f>
        <v/>
      </c>
      <c r="F1238" s="301">
        <f>IF(_PENDIENTES!$B$1232&lt;&gt;"",_PENDIENTES!$F$1232,"")</f>
        <v/>
      </c>
      <c r="G1238" s="245">
        <f>IF(_PENDIENTES!$B$1232&lt;&gt;"",_PENDIENTES!$G$1232,"")</f>
        <v/>
      </c>
      <c r="H1238" s="245">
        <f>IF(_PENDIENTES!$B$1232&lt;&gt;"",_PENDIENTES!$H$1232,"")</f>
        <v/>
      </c>
      <c r="I1238" s="302">
        <f>IF(_PENDIENTES!$B$1232&lt;&gt;"",_PENDIENTES!$I$1232,"")</f>
        <v/>
      </c>
      <c r="J1238" s="301">
        <f>IF(_PENDIENTES!$B$1232&lt;&gt;"",_PENDIENTES!$J$1232,"")</f>
        <v/>
      </c>
      <c r="K1238" s="301">
        <f>IF(_PENDIENTES!$B$1232&lt;&gt;"","POR RECOGER","")</f>
        <v/>
      </c>
      <c r="L1238" s="301">
        <f>IF(_PENDIENTES!$B$1232&lt;&gt;"",_PENDIENTES!$K$1232,"")</f>
        <v/>
      </c>
      <c r="M1238" s="284">
        <f>IF(_PENDIENTES!$B$1232&lt;&gt;"",_PENDIENTES!$B$1232,"")</f>
        <v/>
      </c>
      <c r="N1238" s="304">
        <f>IF(_PENDIENTES!$B$1232&lt;&gt;"",_PENDIENTES!$L$1232,"")</f>
        <v/>
      </c>
      <c r="O1238" s="284" t="n"/>
    </row>
    <row r="1239" hidden="1" ht="15.75" customHeight="1" s="195">
      <c r="A1239" s="241">
        <f>IF(_PENDIENTES!$B$1233&lt;&gt;"",1232,"")</f>
        <v/>
      </c>
      <c r="B1239" s="236">
        <f>IF(_PENDIENTES!$B$1233&lt;&gt;"",_PENDIENTES!$A$1233,"")</f>
        <v/>
      </c>
      <c r="C1239" s="305">
        <f>IF(_PENDIENTES!$B$1233&lt;&gt;"",_PENDIENTES!$C$1233,"")</f>
        <v/>
      </c>
      <c r="D1239" s="241">
        <f>IF(_PENDIENTES!$B$1233&lt;&gt;"",_PENDIENTES!$D$1233,"")</f>
        <v/>
      </c>
      <c r="E1239" s="241">
        <f>IF(_PENDIENTES!$B$1233&lt;&gt;"",_PENDIENTES!$E$1233,"")</f>
        <v/>
      </c>
      <c r="F1239" s="241">
        <f>IF(_PENDIENTES!$B$1233&lt;&gt;"",_PENDIENTES!$F$1233,"")</f>
        <v/>
      </c>
      <c r="G1239" s="239">
        <f>IF(_PENDIENTES!$B$1233&lt;&gt;"",_PENDIENTES!$G$1233,"")</f>
        <v/>
      </c>
      <c r="H1239" s="239">
        <f>IF(_PENDIENTES!$B$1233&lt;&gt;"",_PENDIENTES!$H$1233,"")</f>
        <v/>
      </c>
      <c r="I1239" s="305">
        <f>IF(_PENDIENTES!$B$1233&lt;&gt;"",_PENDIENTES!$I$1233,"")</f>
        <v/>
      </c>
      <c r="J1239" s="241">
        <f>IF(_PENDIENTES!$B$1233&lt;&gt;"",_PENDIENTES!$J$1233,"")</f>
        <v/>
      </c>
      <c r="K1239" s="241">
        <f>IF(_PENDIENTES!$B$1233&lt;&gt;"","POR RECOGER","")</f>
        <v/>
      </c>
      <c r="L1239" s="241">
        <f>IF(_PENDIENTES!$B$1233&lt;&gt;"",_PENDIENTES!$K$1233,"")</f>
        <v/>
      </c>
      <c r="M1239" s="284">
        <f>IF(_PENDIENTES!$B$1233&lt;&gt;"",_PENDIENTES!$B$1233,"")</f>
        <v/>
      </c>
      <c r="N1239" s="304">
        <f>IF(_PENDIENTES!$B$1233&lt;&gt;"",_PENDIENTES!$L$1233,"")</f>
        <v/>
      </c>
      <c r="O1239" s="284" t="n"/>
    </row>
    <row r="1240" hidden="1" ht="15.75" customHeight="1" s="195">
      <c r="A1240" s="301">
        <f>IF(_PENDIENTES!$B$1234&lt;&gt;"",1233,"")</f>
        <v/>
      </c>
      <c r="B1240" s="242">
        <f>IF(_PENDIENTES!$B$1234&lt;&gt;"",_PENDIENTES!$A$1234,"")</f>
        <v/>
      </c>
      <c r="C1240" s="302">
        <f>IF(_PENDIENTES!$B$1234&lt;&gt;"",_PENDIENTES!$C$1234,"")</f>
        <v/>
      </c>
      <c r="D1240" s="301">
        <f>IF(_PENDIENTES!$B$1234&lt;&gt;"",_PENDIENTES!$D$1234,"")</f>
        <v/>
      </c>
      <c r="E1240" s="301">
        <f>IF(_PENDIENTES!$B$1234&lt;&gt;"",_PENDIENTES!$E$1234,"")</f>
        <v/>
      </c>
      <c r="F1240" s="301">
        <f>IF(_PENDIENTES!$B$1234&lt;&gt;"",_PENDIENTES!$F$1234,"")</f>
        <v/>
      </c>
      <c r="G1240" s="245">
        <f>IF(_PENDIENTES!$B$1234&lt;&gt;"",_PENDIENTES!$G$1234,"")</f>
        <v/>
      </c>
      <c r="H1240" s="245">
        <f>IF(_PENDIENTES!$B$1234&lt;&gt;"",_PENDIENTES!$H$1234,"")</f>
        <v/>
      </c>
      <c r="I1240" s="302">
        <f>IF(_PENDIENTES!$B$1234&lt;&gt;"",_PENDIENTES!$I$1234,"")</f>
        <v/>
      </c>
      <c r="J1240" s="301">
        <f>IF(_PENDIENTES!$B$1234&lt;&gt;"",_PENDIENTES!$J$1234,"")</f>
        <v/>
      </c>
      <c r="K1240" s="301">
        <f>IF(_PENDIENTES!$B$1234&lt;&gt;"","POR RECOGER","")</f>
        <v/>
      </c>
      <c r="L1240" s="301">
        <f>IF(_PENDIENTES!$B$1234&lt;&gt;"",_PENDIENTES!$K$1234,"")</f>
        <v/>
      </c>
      <c r="M1240" s="284">
        <f>IF(_PENDIENTES!$B$1234&lt;&gt;"",_PENDIENTES!$B$1234,"")</f>
        <v/>
      </c>
      <c r="N1240" s="304">
        <f>IF(_PENDIENTES!$B$1234&lt;&gt;"",_PENDIENTES!$L$1234,"")</f>
        <v/>
      </c>
      <c r="O1240" s="284" t="n"/>
    </row>
    <row r="1241" hidden="1" ht="15.75" customHeight="1" s="195">
      <c r="A1241" s="241">
        <f>IF(_PENDIENTES!$B$1235&lt;&gt;"",1234,"")</f>
        <v/>
      </c>
      <c r="B1241" s="236">
        <f>IF(_PENDIENTES!$B$1235&lt;&gt;"",_PENDIENTES!$A$1235,"")</f>
        <v/>
      </c>
      <c r="C1241" s="305">
        <f>IF(_PENDIENTES!$B$1235&lt;&gt;"",_PENDIENTES!$C$1235,"")</f>
        <v/>
      </c>
      <c r="D1241" s="241">
        <f>IF(_PENDIENTES!$B$1235&lt;&gt;"",_PENDIENTES!$D$1235,"")</f>
        <v/>
      </c>
      <c r="E1241" s="241">
        <f>IF(_PENDIENTES!$B$1235&lt;&gt;"",_PENDIENTES!$E$1235,"")</f>
        <v/>
      </c>
      <c r="F1241" s="241">
        <f>IF(_PENDIENTES!$B$1235&lt;&gt;"",_PENDIENTES!$F$1235,"")</f>
        <v/>
      </c>
      <c r="G1241" s="239">
        <f>IF(_PENDIENTES!$B$1235&lt;&gt;"",_PENDIENTES!$G$1235,"")</f>
        <v/>
      </c>
      <c r="H1241" s="239">
        <f>IF(_PENDIENTES!$B$1235&lt;&gt;"",_PENDIENTES!$H$1235,"")</f>
        <v/>
      </c>
      <c r="I1241" s="305">
        <f>IF(_PENDIENTES!$B$1235&lt;&gt;"",_PENDIENTES!$I$1235,"")</f>
        <v/>
      </c>
      <c r="J1241" s="241">
        <f>IF(_PENDIENTES!$B$1235&lt;&gt;"",_PENDIENTES!$J$1235,"")</f>
        <v/>
      </c>
      <c r="K1241" s="241">
        <f>IF(_PENDIENTES!$B$1235&lt;&gt;"","POR RECOGER","")</f>
        <v/>
      </c>
      <c r="L1241" s="241">
        <f>IF(_PENDIENTES!$B$1235&lt;&gt;"",_PENDIENTES!$K$1235,"")</f>
        <v/>
      </c>
      <c r="M1241" s="284">
        <f>IF(_PENDIENTES!$B$1235&lt;&gt;"",_PENDIENTES!$B$1235,"")</f>
        <v/>
      </c>
      <c r="N1241" s="304">
        <f>IF(_PENDIENTES!$B$1235&lt;&gt;"",_PENDIENTES!$L$1235,"")</f>
        <v/>
      </c>
      <c r="O1241" s="284" t="n"/>
    </row>
    <row r="1242" hidden="1" ht="15.75" customHeight="1" s="195">
      <c r="A1242" s="301">
        <f>IF(_PENDIENTES!$B$1236&lt;&gt;"",1235,"")</f>
        <v/>
      </c>
      <c r="B1242" s="242">
        <f>IF(_PENDIENTES!$B$1236&lt;&gt;"",_PENDIENTES!$A$1236,"")</f>
        <v/>
      </c>
      <c r="C1242" s="302">
        <f>IF(_PENDIENTES!$B$1236&lt;&gt;"",_PENDIENTES!$C$1236,"")</f>
        <v/>
      </c>
      <c r="D1242" s="301">
        <f>IF(_PENDIENTES!$B$1236&lt;&gt;"",_PENDIENTES!$D$1236,"")</f>
        <v/>
      </c>
      <c r="E1242" s="301">
        <f>IF(_PENDIENTES!$B$1236&lt;&gt;"",_PENDIENTES!$E$1236,"")</f>
        <v/>
      </c>
      <c r="F1242" s="301">
        <f>IF(_PENDIENTES!$B$1236&lt;&gt;"",_PENDIENTES!$F$1236,"")</f>
        <v/>
      </c>
      <c r="G1242" s="245">
        <f>IF(_PENDIENTES!$B$1236&lt;&gt;"",_PENDIENTES!$G$1236,"")</f>
        <v/>
      </c>
      <c r="H1242" s="245">
        <f>IF(_PENDIENTES!$B$1236&lt;&gt;"",_PENDIENTES!$H$1236,"")</f>
        <v/>
      </c>
      <c r="I1242" s="302">
        <f>IF(_PENDIENTES!$B$1236&lt;&gt;"",_PENDIENTES!$I$1236,"")</f>
        <v/>
      </c>
      <c r="J1242" s="301">
        <f>IF(_PENDIENTES!$B$1236&lt;&gt;"",_PENDIENTES!$J$1236,"")</f>
        <v/>
      </c>
      <c r="K1242" s="301">
        <f>IF(_PENDIENTES!$B$1236&lt;&gt;"","POR RECOGER","")</f>
        <v/>
      </c>
      <c r="L1242" s="301">
        <f>IF(_PENDIENTES!$B$1236&lt;&gt;"",_PENDIENTES!$K$1236,"")</f>
        <v/>
      </c>
      <c r="M1242" s="284">
        <f>IF(_PENDIENTES!$B$1236&lt;&gt;"",_PENDIENTES!$B$1236,"")</f>
        <v/>
      </c>
      <c r="N1242" s="304">
        <f>IF(_PENDIENTES!$B$1236&lt;&gt;"",_PENDIENTES!$L$1236,"")</f>
        <v/>
      </c>
      <c r="O1242" s="284" t="n"/>
    </row>
    <row r="1243" hidden="1" ht="15.75" customHeight="1" s="195">
      <c r="A1243" s="241">
        <f>IF(_PENDIENTES!$B$1237&lt;&gt;"",1236,"")</f>
        <v/>
      </c>
      <c r="B1243" s="236">
        <f>IF(_PENDIENTES!$B$1237&lt;&gt;"",_PENDIENTES!$A$1237,"")</f>
        <v/>
      </c>
      <c r="C1243" s="305">
        <f>IF(_PENDIENTES!$B$1237&lt;&gt;"",_PENDIENTES!$C$1237,"")</f>
        <v/>
      </c>
      <c r="D1243" s="241">
        <f>IF(_PENDIENTES!$B$1237&lt;&gt;"",_PENDIENTES!$D$1237,"")</f>
        <v/>
      </c>
      <c r="E1243" s="241">
        <f>IF(_PENDIENTES!$B$1237&lt;&gt;"",_PENDIENTES!$E$1237,"")</f>
        <v/>
      </c>
      <c r="F1243" s="241">
        <f>IF(_PENDIENTES!$B$1237&lt;&gt;"",_PENDIENTES!$F$1237,"")</f>
        <v/>
      </c>
      <c r="G1243" s="239">
        <f>IF(_PENDIENTES!$B$1237&lt;&gt;"",_PENDIENTES!$G$1237,"")</f>
        <v/>
      </c>
      <c r="H1243" s="239">
        <f>IF(_PENDIENTES!$B$1237&lt;&gt;"",_PENDIENTES!$H$1237,"")</f>
        <v/>
      </c>
      <c r="I1243" s="305">
        <f>IF(_PENDIENTES!$B$1237&lt;&gt;"",_PENDIENTES!$I$1237,"")</f>
        <v/>
      </c>
      <c r="J1243" s="241">
        <f>IF(_PENDIENTES!$B$1237&lt;&gt;"",_PENDIENTES!$J$1237,"")</f>
        <v/>
      </c>
      <c r="K1243" s="241">
        <f>IF(_PENDIENTES!$B$1237&lt;&gt;"","POR RECOGER","")</f>
        <v/>
      </c>
      <c r="L1243" s="241">
        <f>IF(_PENDIENTES!$B$1237&lt;&gt;"",_PENDIENTES!$K$1237,"")</f>
        <v/>
      </c>
      <c r="M1243" s="284">
        <f>IF(_PENDIENTES!$B$1237&lt;&gt;"",_PENDIENTES!$B$1237,"")</f>
        <v/>
      </c>
      <c r="N1243" s="304">
        <f>IF(_PENDIENTES!$B$1237&lt;&gt;"",_PENDIENTES!$L$1237,"")</f>
        <v/>
      </c>
      <c r="O1243" s="284" t="n"/>
    </row>
    <row r="1244" hidden="1" ht="15.75" customHeight="1" s="195">
      <c r="A1244" s="301">
        <f>IF(_PENDIENTES!$B$1238&lt;&gt;"",1237,"")</f>
        <v/>
      </c>
      <c r="B1244" s="242">
        <f>IF(_PENDIENTES!$B$1238&lt;&gt;"",_PENDIENTES!$A$1238,"")</f>
        <v/>
      </c>
      <c r="C1244" s="302">
        <f>IF(_PENDIENTES!$B$1238&lt;&gt;"",_PENDIENTES!$C$1238,"")</f>
        <v/>
      </c>
      <c r="D1244" s="301">
        <f>IF(_PENDIENTES!$B$1238&lt;&gt;"",_PENDIENTES!$D$1238,"")</f>
        <v/>
      </c>
      <c r="E1244" s="301">
        <f>IF(_PENDIENTES!$B$1238&lt;&gt;"",_PENDIENTES!$E$1238,"")</f>
        <v/>
      </c>
      <c r="F1244" s="301">
        <f>IF(_PENDIENTES!$B$1238&lt;&gt;"",_PENDIENTES!$F$1238,"")</f>
        <v/>
      </c>
      <c r="G1244" s="245">
        <f>IF(_PENDIENTES!$B$1238&lt;&gt;"",_PENDIENTES!$G$1238,"")</f>
        <v/>
      </c>
      <c r="H1244" s="245">
        <f>IF(_PENDIENTES!$B$1238&lt;&gt;"",_PENDIENTES!$H$1238,"")</f>
        <v/>
      </c>
      <c r="I1244" s="302">
        <f>IF(_PENDIENTES!$B$1238&lt;&gt;"",_PENDIENTES!$I$1238,"")</f>
        <v/>
      </c>
      <c r="J1244" s="301">
        <f>IF(_PENDIENTES!$B$1238&lt;&gt;"",_PENDIENTES!$J$1238,"")</f>
        <v/>
      </c>
      <c r="K1244" s="301">
        <f>IF(_PENDIENTES!$B$1238&lt;&gt;"","POR RECOGER","")</f>
        <v/>
      </c>
      <c r="L1244" s="301">
        <f>IF(_PENDIENTES!$B$1238&lt;&gt;"",_PENDIENTES!$K$1238,"")</f>
        <v/>
      </c>
      <c r="M1244" s="284">
        <f>IF(_PENDIENTES!$B$1238&lt;&gt;"",_PENDIENTES!$B$1238,"")</f>
        <v/>
      </c>
      <c r="N1244" s="304">
        <f>IF(_PENDIENTES!$B$1238&lt;&gt;"",_PENDIENTES!$L$1238,"")</f>
        <v/>
      </c>
      <c r="O1244" s="284" t="n"/>
    </row>
    <row r="1245" hidden="1" ht="15.75" customHeight="1" s="195">
      <c r="A1245" s="241">
        <f>IF(_PENDIENTES!$B$1239&lt;&gt;"",1238,"")</f>
        <v/>
      </c>
      <c r="B1245" s="236">
        <f>IF(_PENDIENTES!$B$1239&lt;&gt;"",_PENDIENTES!$A$1239,"")</f>
        <v/>
      </c>
      <c r="C1245" s="305">
        <f>IF(_PENDIENTES!$B$1239&lt;&gt;"",_PENDIENTES!$C$1239,"")</f>
        <v/>
      </c>
      <c r="D1245" s="241">
        <f>IF(_PENDIENTES!$B$1239&lt;&gt;"",_PENDIENTES!$D$1239,"")</f>
        <v/>
      </c>
      <c r="E1245" s="241">
        <f>IF(_PENDIENTES!$B$1239&lt;&gt;"",_PENDIENTES!$E$1239,"")</f>
        <v/>
      </c>
      <c r="F1245" s="241">
        <f>IF(_PENDIENTES!$B$1239&lt;&gt;"",_PENDIENTES!$F$1239,"")</f>
        <v/>
      </c>
      <c r="G1245" s="239">
        <f>IF(_PENDIENTES!$B$1239&lt;&gt;"",_PENDIENTES!$G$1239,"")</f>
        <v/>
      </c>
      <c r="H1245" s="239">
        <f>IF(_PENDIENTES!$B$1239&lt;&gt;"",_PENDIENTES!$H$1239,"")</f>
        <v/>
      </c>
      <c r="I1245" s="305">
        <f>IF(_PENDIENTES!$B$1239&lt;&gt;"",_PENDIENTES!$I$1239,"")</f>
        <v/>
      </c>
      <c r="J1245" s="241">
        <f>IF(_PENDIENTES!$B$1239&lt;&gt;"",_PENDIENTES!$J$1239,"")</f>
        <v/>
      </c>
      <c r="K1245" s="241">
        <f>IF(_PENDIENTES!$B$1239&lt;&gt;"","POR RECOGER","")</f>
        <v/>
      </c>
      <c r="L1245" s="241">
        <f>IF(_PENDIENTES!$B$1239&lt;&gt;"",_PENDIENTES!$K$1239,"")</f>
        <v/>
      </c>
      <c r="M1245" s="284">
        <f>IF(_PENDIENTES!$B$1239&lt;&gt;"",_PENDIENTES!$B$1239,"")</f>
        <v/>
      </c>
      <c r="N1245" s="304">
        <f>IF(_PENDIENTES!$B$1239&lt;&gt;"",_PENDIENTES!$L$1239,"")</f>
        <v/>
      </c>
      <c r="O1245" s="284" t="n"/>
    </row>
    <row r="1246" hidden="1" ht="15.75" customHeight="1" s="195">
      <c r="A1246" s="301">
        <f>IF(_PENDIENTES!$B$1240&lt;&gt;"",1239,"")</f>
        <v/>
      </c>
      <c r="B1246" s="242">
        <f>IF(_PENDIENTES!$B$1240&lt;&gt;"",_PENDIENTES!$A$1240,"")</f>
        <v/>
      </c>
      <c r="C1246" s="302">
        <f>IF(_PENDIENTES!$B$1240&lt;&gt;"",_PENDIENTES!$C$1240,"")</f>
        <v/>
      </c>
      <c r="D1246" s="301">
        <f>IF(_PENDIENTES!$B$1240&lt;&gt;"",_PENDIENTES!$D$1240,"")</f>
        <v/>
      </c>
      <c r="E1246" s="301">
        <f>IF(_PENDIENTES!$B$1240&lt;&gt;"",_PENDIENTES!$E$1240,"")</f>
        <v/>
      </c>
      <c r="F1246" s="301">
        <f>IF(_PENDIENTES!$B$1240&lt;&gt;"",_PENDIENTES!$F$1240,"")</f>
        <v/>
      </c>
      <c r="G1246" s="245">
        <f>IF(_PENDIENTES!$B$1240&lt;&gt;"",_PENDIENTES!$G$1240,"")</f>
        <v/>
      </c>
      <c r="H1246" s="245">
        <f>IF(_PENDIENTES!$B$1240&lt;&gt;"",_PENDIENTES!$H$1240,"")</f>
        <v/>
      </c>
      <c r="I1246" s="302">
        <f>IF(_PENDIENTES!$B$1240&lt;&gt;"",_PENDIENTES!$I$1240,"")</f>
        <v/>
      </c>
      <c r="J1246" s="301">
        <f>IF(_PENDIENTES!$B$1240&lt;&gt;"",_PENDIENTES!$J$1240,"")</f>
        <v/>
      </c>
      <c r="K1246" s="301">
        <f>IF(_PENDIENTES!$B$1240&lt;&gt;"","POR RECOGER","")</f>
        <v/>
      </c>
      <c r="L1246" s="301">
        <f>IF(_PENDIENTES!$B$1240&lt;&gt;"",_PENDIENTES!$K$1240,"")</f>
        <v/>
      </c>
      <c r="M1246" s="284">
        <f>IF(_PENDIENTES!$B$1240&lt;&gt;"",_PENDIENTES!$B$1240,"")</f>
        <v/>
      </c>
      <c r="N1246" s="304">
        <f>IF(_PENDIENTES!$B$1240&lt;&gt;"",_PENDIENTES!$L$1240,"")</f>
        <v/>
      </c>
      <c r="O1246" s="284" t="n"/>
    </row>
    <row r="1247" hidden="1" ht="15.75" customHeight="1" s="195">
      <c r="A1247" s="241">
        <f>IF(_PENDIENTES!$B$1241&lt;&gt;"",1240,"")</f>
        <v/>
      </c>
      <c r="B1247" s="236">
        <f>IF(_PENDIENTES!$B$1241&lt;&gt;"",_PENDIENTES!$A$1241,"")</f>
        <v/>
      </c>
      <c r="C1247" s="305">
        <f>IF(_PENDIENTES!$B$1241&lt;&gt;"",_PENDIENTES!$C$1241,"")</f>
        <v/>
      </c>
      <c r="D1247" s="241">
        <f>IF(_PENDIENTES!$B$1241&lt;&gt;"",_PENDIENTES!$D$1241,"")</f>
        <v/>
      </c>
      <c r="E1247" s="241">
        <f>IF(_PENDIENTES!$B$1241&lt;&gt;"",_PENDIENTES!$E$1241,"")</f>
        <v/>
      </c>
      <c r="F1247" s="241">
        <f>IF(_PENDIENTES!$B$1241&lt;&gt;"",_PENDIENTES!$F$1241,"")</f>
        <v/>
      </c>
      <c r="G1247" s="239">
        <f>IF(_PENDIENTES!$B$1241&lt;&gt;"",_PENDIENTES!$G$1241,"")</f>
        <v/>
      </c>
      <c r="H1247" s="239">
        <f>IF(_PENDIENTES!$B$1241&lt;&gt;"",_PENDIENTES!$H$1241,"")</f>
        <v/>
      </c>
      <c r="I1247" s="305">
        <f>IF(_PENDIENTES!$B$1241&lt;&gt;"",_PENDIENTES!$I$1241,"")</f>
        <v/>
      </c>
      <c r="J1247" s="241">
        <f>IF(_PENDIENTES!$B$1241&lt;&gt;"",_PENDIENTES!$J$1241,"")</f>
        <v/>
      </c>
      <c r="K1247" s="241">
        <f>IF(_PENDIENTES!$B$1241&lt;&gt;"","POR RECOGER","")</f>
        <v/>
      </c>
      <c r="L1247" s="241">
        <f>IF(_PENDIENTES!$B$1241&lt;&gt;"",_PENDIENTES!$K$1241,"")</f>
        <v/>
      </c>
      <c r="M1247" s="284">
        <f>IF(_PENDIENTES!$B$1241&lt;&gt;"",_PENDIENTES!$B$1241,"")</f>
        <v/>
      </c>
      <c r="N1247" s="304">
        <f>IF(_PENDIENTES!$B$1241&lt;&gt;"",_PENDIENTES!$L$1241,"")</f>
        <v/>
      </c>
      <c r="O1247" s="284" t="n"/>
    </row>
    <row r="1248" hidden="1" ht="15.75" customHeight="1" s="195">
      <c r="A1248" s="301">
        <f>IF(_PENDIENTES!$B$1242&lt;&gt;"",1241,"")</f>
        <v/>
      </c>
      <c r="B1248" s="242">
        <f>IF(_PENDIENTES!$B$1242&lt;&gt;"",_PENDIENTES!$A$1242,"")</f>
        <v/>
      </c>
      <c r="C1248" s="302">
        <f>IF(_PENDIENTES!$B$1242&lt;&gt;"",_PENDIENTES!$C$1242,"")</f>
        <v/>
      </c>
      <c r="D1248" s="301">
        <f>IF(_PENDIENTES!$B$1242&lt;&gt;"",_PENDIENTES!$D$1242,"")</f>
        <v/>
      </c>
      <c r="E1248" s="301">
        <f>IF(_PENDIENTES!$B$1242&lt;&gt;"",_PENDIENTES!$E$1242,"")</f>
        <v/>
      </c>
      <c r="F1248" s="301">
        <f>IF(_PENDIENTES!$B$1242&lt;&gt;"",_PENDIENTES!$F$1242,"")</f>
        <v/>
      </c>
      <c r="G1248" s="245">
        <f>IF(_PENDIENTES!$B$1242&lt;&gt;"",_PENDIENTES!$G$1242,"")</f>
        <v/>
      </c>
      <c r="H1248" s="245">
        <f>IF(_PENDIENTES!$B$1242&lt;&gt;"",_PENDIENTES!$H$1242,"")</f>
        <v/>
      </c>
      <c r="I1248" s="302">
        <f>IF(_PENDIENTES!$B$1242&lt;&gt;"",_PENDIENTES!$I$1242,"")</f>
        <v/>
      </c>
      <c r="J1248" s="301">
        <f>IF(_PENDIENTES!$B$1242&lt;&gt;"",_PENDIENTES!$J$1242,"")</f>
        <v/>
      </c>
      <c r="K1248" s="301">
        <f>IF(_PENDIENTES!$B$1242&lt;&gt;"","POR RECOGER","")</f>
        <v/>
      </c>
      <c r="L1248" s="301">
        <f>IF(_PENDIENTES!$B$1242&lt;&gt;"",_PENDIENTES!$K$1242,"")</f>
        <v/>
      </c>
      <c r="M1248" s="284">
        <f>IF(_PENDIENTES!$B$1242&lt;&gt;"",_PENDIENTES!$B$1242,"")</f>
        <v/>
      </c>
      <c r="N1248" s="304">
        <f>IF(_PENDIENTES!$B$1242&lt;&gt;"",_PENDIENTES!$L$1242,"")</f>
        <v/>
      </c>
      <c r="O1248" s="284" t="n"/>
    </row>
    <row r="1249" hidden="1" ht="15.75" customHeight="1" s="195">
      <c r="A1249" s="241">
        <f>IF(_PENDIENTES!$B$1243&lt;&gt;"",1242,"")</f>
        <v/>
      </c>
      <c r="B1249" s="236">
        <f>IF(_PENDIENTES!$B$1243&lt;&gt;"",_PENDIENTES!$A$1243,"")</f>
        <v/>
      </c>
      <c r="C1249" s="305">
        <f>IF(_PENDIENTES!$B$1243&lt;&gt;"",_PENDIENTES!$C$1243,"")</f>
        <v/>
      </c>
      <c r="D1249" s="241">
        <f>IF(_PENDIENTES!$B$1243&lt;&gt;"",_PENDIENTES!$D$1243,"")</f>
        <v/>
      </c>
      <c r="E1249" s="241">
        <f>IF(_PENDIENTES!$B$1243&lt;&gt;"",_PENDIENTES!$E$1243,"")</f>
        <v/>
      </c>
      <c r="F1249" s="241">
        <f>IF(_PENDIENTES!$B$1243&lt;&gt;"",_PENDIENTES!$F$1243,"")</f>
        <v/>
      </c>
      <c r="G1249" s="239">
        <f>IF(_PENDIENTES!$B$1243&lt;&gt;"",_PENDIENTES!$G$1243,"")</f>
        <v/>
      </c>
      <c r="H1249" s="239">
        <f>IF(_PENDIENTES!$B$1243&lt;&gt;"",_PENDIENTES!$H$1243,"")</f>
        <v/>
      </c>
      <c r="I1249" s="305">
        <f>IF(_PENDIENTES!$B$1243&lt;&gt;"",_PENDIENTES!$I$1243,"")</f>
        <v/>
      </c>
      <c r="J1249" s="241">
        <f>IF(_PENDIENTES!$B$1243&lt;&gt;"",_PENDIENTES!$J$1243,"")</f>
        <v/>
      </c>
      <c r="K1249" s="241">
        <f>IF(_PENDIENTES!$B$1243&lt;&gt;"","POR RECOGER","")</f>
        <v/>
      </c>
      <c r="L1249" s="241">
        <f>IF(_PENDIENTES!$B$1243&lt;&gt;"",_PENDIENTES!$K$1243,"")</f>
        <v/>
      </c>
      <c r="M1249" s="284">
        <f>IF(_PENDIENTES!$B$1243&lt;&gt;"",_PENDIENTES!$B$1243,"")</f>
        <v/>
      </c>
      <c r="N1249" s="304">
        <f>IF(_PENDIENTES!$B$1243&lt;&gt;"",_PENDIENTES!$L$1243,"")</f>
        <v/>
      </c>
      <c r="O1249" s="284" t="n"/>
    </row>
    <row r="1250" hidden="1" ht="15.75" customHeight="1" s="195">
      <c r="A1250" s="301">
        <f>IF(_PENDIENTES!$B$1244&lt;&gt;"",1243,"")</f>
        <v/>
      </c>
      <c r="B1250" s="242">
        <f>IF(_PENDIENTES!$B$1244&lt;&gt;"",_PENDIENTES!$A$1244,"")</f>
        <v/>
      </c>
      <c r="C1250" s="302">
        <f>IF(_PENDIENTES!$B$1244&lt;&gt;"",_PENDIENTES!$C$1244,"")</f>
        <v/>
      </c>
      <c r="D1250" s="301">
        <f>IF(_PENDIENTES!$B$1244&lt;&gt;"",_PENDIENTES!$D$1244,"")</f>
        <v/>
      </c>
      <c r="E1250" s="301">
        <f>IF(_PENDIENTES!$B$1244&lt;&gt;"",_PENDIENTES!$E$1244,"")</f>
        <v/>
      </c>
      <c r="F1250" s="301">
        <f>IF(_PENDIENTES!$B$1244&lt;&gt;"",_PENDIENTES!$F$1244,"")</f>
        <v/>
      </c>
      <c r="G1250" s="245">
        <f>IF(_PENDIENTES!$B$1244&lt;&gt;"",_PENDIENTES!$G$1244,"")</f>
        <v/>
      </c>
      <c r="H1250" s="245">
        <f>IF(_PENDIENTES!$B$1244&lt;&gt;"",_PENDIENTES!$H$1244,"")</f>
        <v/>
      </c>
      <c r="I1250" s="302">
        <f>IF(_PENDIENTES!$B$1244&lt;&gt;"",_PENDIENTES!$I$1244,"")</f>
        <v/>
      </c>
      <c r="J1250" s="301">
        <f>IF(_PENDIENTES!$B$1244&lt;&gt;"",_PENDIENTES!$J$1244,"")</f>
        <v/>
      </c>
      <c r="K1250" s="301">
        <f>IF(_PENDIENTES!$B$1244&lt;&gt;"","POR RECOGER","")</f>
        <v/>
      </c>
      <c r="L1250" s="301">
        <f>IF(_PENDIENTES!$B$1244&lt;&gt;"",_PENDIENTES!$K$1244,"")</f>
        <v/>
      </c>
      <c r="M1250" s="284">
        <f>IF(_PENDIENTES!$B$1244&lt;&gt;"",_PENDIENTES!$B$1244,"")</f>
        <v/>
      </c>
      <c r="N1250" s="304">
        <f>IF(_PENDIENTES!$B$1244&lt;&gt;"",_PENDIENTES!$L$1244,"")</f>
        <v/>
      </c>
      <c r="O1250" s="284" t="n"/>
    </row>
    <row r="1251" hidden="1" ht="15.75" customHeight="1" s="195">
      <c r="A1251" s="241">
        <f>IF(_PENDIENTES!$B$1245&lt;&gt;"",1244,"")</f>
        <v/>
      </c>
      <c r="B1251" s="236">
        <f>IF(_PENDIENTES!$B$1245&lt;&gt;"",_PENDIENTES!$A$1245,"")</f>
        <v/>
      </c>
      <c r="C1251" s="305">
        <f>IF(_PENDIENTES!$B$1245&lt;&gt;"",_PENDIENTES!$C$1245,"")</f>
        <v/>
      </c>
      <c r="D1251" s="241">
        <f>IF(_PENDIENTES!$B$1245&lt;&gt;"",_PENDIENTES!$D$1245,"")</f>
        <v/>
      </c>
      <c r="E1251" s="241">
        <f>IF(_PENDIENTES!$B$1245&lt;&gt;"",_PENDIENTES!$E$1245,"")</f>
        <v/>
      </c>
      <c r="F1251" s="241">
        <f>IF(_PENDIENTES!$B$1245&lt;&gt;"",_PENDIENTES!$F$1245,"")</f>
        <v/>
      </c>
      <c r="G1251" s="239">
        <f>IF(_PENDIENTES!$B$1245&lt;&gt;"",_PENDIENTES!$G$1245,"")</f>
        <v/>
      </c>
      <c r="H1251" s="239">
        <f>IF(_PENDIENTES!$B$1245&lt;&gt;"",_PENDIENTES!$H$1245,"")</f>
        <v/>
      </c>
      <c r="I1251" s="305">
        <f>IF(_PENDIENTES!$B$1245&lt;&gt;"",_PENDIENTES!$I$1245,"")</f>
        <v/>
      </c>
      <c r="J1251" s="241">
        <f>IF(_PENDIENTES!$B$1245&lt;&gt;"",_PENDIENTES!$J$1245,"")</f>
        <v/>
      </c>
      <c r="K1251" s="241">
        <f>IF(_PENDIENTES!$B$1245&lt;&gt;"","POR RECOGER","")</f>
        <v/>
      </c>
      <c r="L1251" s="241">
        <f>IF(_PENDIENTES!$B$1245&lt;&gt;"",_PENDIENTES!$K$1245,"")</f>
        <v/>
      </c>
      <c r="M1251" s="284">
        <f>IF(_PENDIENTES!$B$1245&lt;&gt;"",_PENDIENTES!$B$1245,"")</f>
        <v/>
      </c>
      <c r="N1251" s="304">
        <f>IF(_PENDIENTES!$B$1245&lt;&gt;"",_PENDIENTES!$L$1245,"")</f>
        <v/>
      </c>
      <c r="O1251" s="284" t="n"/>
    </row>
    <row r="1252" hidden="1" ht="15.75" customHeight="1" s="195">
      <c r="A1252" s="301">
        <f>IF(_PENDIENTES!$B$1246&lt;&gt;"",1245,"")</f>
        <v/>
      </c>
      <c r="B1252" s="242">
        <f>IF(_PENDIENTES!$B$1246&lt;&gt;"",_PENDIENTES!$A$1246,"")</f>
        <v/>
      </c>
      <c r="C1252" s="302">
        <f>IF(_PENDIENTES!$B$1246&lt;&gt;"",_PENDIENTES!$C$1246,"")</f>
        <v/>
      </c>
      <c r="D1252" s="301">
        <f>IF(_PENDIENTES!$B$1246&lt;&gt;"",_PENDIENTES!$D$1246,"")</f>
        <v/>
      </c>
      <c r="E1252" s="301">
        <f>IF(_PENDIENTES!$B$1246&lt;&gt;"",_PENDIENTES!$E$1246,"")</f>
        <v/>
      </c>
      <c r="F1252" s="301">
        <f>IF(_PENDIENTES!$B$1246&lt;&gt;"",_PENDIENTES!$F$1246,"")</f>
        <v/>
      </c>
      <c r="G1252" s="245">
        <f>IF(_PENDIENTES!$B$1246&lt;&gt;"",_PENDIENTES!$G$1246,"")</f>
        <v/>
      </c>
      <c r="H1252" s="245">
        <f>IF(_PENDIENTES!$B$1246&lt;&gt;"",_PENDIENTES!$H$1246,"")</f>
        <v/>
      </c>
      <c r="I1252" s="302">
        <f>IF(_PENDIENTES!$B$1246&lt;&gt;"",_PENDIENTES!$I$1246,"")</f>
        <v/>
      </c>
      <c r="J1252" s="301">
        <f>IF(_PENDIENTES!$B$1246&lt;&gt;"",_PENDIENTES!$J$1246,"")</f>
        <v/>
      </c>
      <c r="K1252" s="301">
        <f>IF(_PENDIENTES!$B$1246&lt;&gt;"","POR RECOGER","")</f>
        <v/>
      </c>
      <c r="L1252" s="301">
        <f>IF(_PENDIENTES!$B$1246&lt;&gt;"",_PENDIENTES!$K$1246,"")</f>
        <v/>
      </c>
      <c r="M1252" s="284">
        <f>IF(_PENDIENTES!$B$1246&lt;&gt;"",_PENDIENTES!$B$1246,"")</f>
        <v/>
      </c>
      <c r="N1252" s="304">
        <f>IF(_PENDIENTES!$B$1246&lt;&gt;"",_PENDIENTES!$L$1246,"")</f>
        <v/>
      </c>
      <c r="O1252" s="284" t="n"/>
    </row>
    <row r="1253" hidden="1" ht="15.75" customHeight="1" s="195">
      <c r="A1253" s="241">
        <f>IF(_PENDIENTES!$B$1247&lt;&gt;"",1246,"")</f>
        <v/>
      </c>
      <c r="B1253" s="236">
        <f>IF(_PENDIENTES!$B$1247&lt;&gt;"",_PENDIENTES!$A$1247,"")</f>
        <v/>
      </c>
      <c r="C1253" s="305">
        <f>IF(_PENDIENTES!$B$1247&lt;&gt;"",_PENDIENTES!$C$1247,"")</f>
        <v/>
      </c>
      <c r="D1253" s="241">
        <f>IF(_PENDIENTES!$B$1247&lt;&gt;"",_PENDIENTES!$D$1247,"")</f>
        <v/>
      </c>
      <c r="E1253" s="241">
        <f>IF(_PENDIENTES!$B$1247&lt;&gt;"",_PENDIENTES!$E$1247,"")</f>
        <v/>
      </c>
      <c r="F1253" s="241">
        <f>IF(_PENDIENTES!$B$1247&lt;&gt;"",_PENDIENTES!$F$1247,"")</f>
        <v/>
      </c>
      <c r="G1253" s="239">
        <f>IF(_PENDIENTES!$B$1247&lt;&gt;"",_PENDIENTES!$G$1247,"")</f>
        <v/>
      </c>
      <c r="H1253" s="239">
        <f>IF(_PENDIENTES!$B$1247&lt;&gt;"",_PENDIENTES!$H$1247,"")</f>
        <v/>
      </c>
      <c r="I1253" s="305">
        <f>IF(_PENDIENTES!$B$1247&lt;&gt;"",_PENDIENTES!$I$1247,"")</f>
        <v/>
      </c>
      <c r="J1253" s="241">
        <f>IF(_PENDIENTES!$B$1247&lt;&gt;"",_PENDIENTES!$J$1247,"")</f>
        <v/>
      </c>
      <c r="K1253" s="241">
        <f>IF(_PENDIENTES!$B$1247&lt;&gt;"","POR RECOGER","")</f>
        <v/>
      </c>
      <c r="L1253" s="241">
        <f>IF(_PENDIENTES!$B$1247&lt;&gt;"",_PENDIENTES!$K$1247,"")</f>
        <v/>
      </c>
      <c r="M1253" s="284">
        <f>IF(_PENDIENTES!$B$1247&lt;&gt;"",_PENDIENTES!$B$1247,"")</f>
        <v/>
      </c>
      <c r="N1253" s="304">
        <f>IF(_PENDIENTES!$B$1247&lt;&gt;"",_PENDIENTES!$L$1247,"")</f>
        <v/>
      </c>
      <c r="O1253" s="284" t="n"/>
    </row>
    <row r="1254" hidden="1" ht="15.75" customHeight="1" s="195">
      <c r="A1254" s="301">
        <f>IF(_PENDIENTES!$B$1248&lt;&gt;"",1247,"")</f>
        <v/>
      </c>
      <c r="B1254" s="242">
        <f>IF(_PENDIENTES!$B$1248&lt;&gt;"",_PENDIENTES!$A$1248,"")</f>
        <v/>
      </c>
      <c r="C1254" s="302">
        <f>IF(_PENDIENTES!$B$1248&lt;&gt;"",_PENDIENTES!$C$1248,"")</f>
        <v/>
      </c>
      <c r="D1254" s="301">
        <f>IF(_PENDIENTES!$B$1248&lt;&gt;"",_PENDIENTES!$D$1248,"")</f>
        <v/>
      </c>
      <c r="E1254" s="301">
        <f>IF(_PENDIENTES!$B$1248&lt;&gt;"",_PENDIENTES!$E$1248,"")</f>
        <v/>
      </c>
      <c r="F1254" s="301">
        <f>IF(_PENDIENTES!$B$1248&lt;&gt;"",_PENDIENTES!$F$1248,"")</f>
        <v/>
      </c>
      <c r="G1254" s="245">
        <f>IF(_PENDIENTES!$B$1248&lt;&gt;"",_PENDIENTES!$G$1248,"")</f>
        <v/>
      </c>
      <c r="H1254" s="245">
        <f>IF(_PENDIENTES!$B$1248&lt;&gt;"",_PENDIENTES!$H$1248,"")</f>
        <v/>
      </c>
      <c r="I1254" s="302">
        <f>IF(_PENDIENTES!$B$1248&lt;&gt;"",_PENDIENTES!$I$1248,"")</f>
        <v/>
      </c>
      <c r="J1254" s="301">
        <f>IF(_PENDIENTES!$B$1248&lt;&gt;"",_PENDIENTES!$J$1248,"")</f>
        <v/>
      </c>
      <c r="K1254" s="301">
        <f>IF(_PENDIENTES!$B$1248&lt;&gt;"","POR RECOGER","")</f>
        <v/>
      </c>
      <c r="L1254" s="301">
        <f>IF(_PENDIENTES!$B$1248&lt;&gt;"",_PENDIENTES!$K$1248,"")</f>
        <v/>
      </c>
      <c r="M1254" s="284">
        <f>IF(_PENDIENTES!$B$1248&lt;&gt;"",_PENDIENTES!$B$1248,"")</f>
        <v/>
      </c>
      <c r="N1254" s="304">
        <f>IF(_PENDIENTES!$B$1248&lt;&gt;"",_PENDIENTES!$L$1248,"")</f>
        <v/>
      </c>
      <c r="O1254" s="284" t="n"/>
    </row>
    <row r="1255" hidden="1" ht="15.75" customHeight="1" s="195">
      <c r="A1255" s="241">
        <f>IF(_PENDIENTES!$B$1249&lt;&gt;"",1248,"")</f>
        <v/>
      </c>
      <c r="B1255" s="236">
        <f>IF(_PENDIENTES!$B$1249&lt;&gt;"",_PENDIENTES!$A$1249,"")</f>
        <v/>
      </c>
      <c r="C1255" s="305">
        <f>IF(_PENDIENTES!$B$1249&lt;&gt;"",_PENDIENTES!$C$1249,"")</f>
        <v/>
      </c>
      <c r="D1255" s="241">
        <f>IF(_PENDIENTES!$B$1249&lt;&gt;"",_PENDIENTES!$D$1249,"")</f>
        <v/>
      </c>
      <c r="E1255" s="241">
        <f>IF(_PENDIENTES!$B$1249&lt;&gt;"",_PENDIENTES!$E$1249,"")</f>
        <v/>
      </c>
      <c r="F1255" s="241">
        <f>IF(_PENDIENTES!$B$1249&lt;&gt;"",_PENDIENTES!$F$1249,"")</f>
        <v/>
      </c>
      <c r="G1255" s="239">
        <f>IF(_PENDIENTES!$B$1249&lt;&gt;"",_PENDIENTES!$G$1249,"")</f>
        <v/>
      </c>
      <c r="H1255" s="239">
        <f>IF(_PENDIENTES!$B$1249&lt;&gt;"",_PENDIENTES!$H$1249,"")</f>
        <v/>
      </c>
      <c r="I1255" s="305">
        <f>IF(_PENDIENTES!$B$1249&lt;&gt;"",_PENDIENTES!$I$1249,"")</f>
        <v/>
      </c>
      <c r="J1255" s="241">
        <f>IF(_PENDIENTES!$B$1249&lt;&gt;"",_PENDIENTES!$J$1249,"")</f>
        <v/>
      </c>
      <c r="K1255" s="241">
        <f>IF(_PENDIENTES!$B$1249&lt;&gt;"","POR RECOGER","")</f>
        <v/>
      </c>
      <c r="L1255" s="241">
        <f>IF(_PENDIENTES!$B$1249&lt;&gt;"",_PENDIENTES!$K$1249,"")</f>
        <v/>
      </c>
      <c r="M1255" s="284">
        <f>IF(_PENDIENTES!$B$1249&lt;&gt;"",_PENDIENTES!$B$1249,"")</f>
        <v/>
      </c>
      <c r="N1255" s="304">
        <f>IF(_PENDIENTES!$B$1249&lt;&gt;"",_PENDIENTES!$L$1249,"")</f>
        <v/>
      </c>
      <c r="O1255" s="284" t="n"/>
    </row>
    <row r="1256" hidden="1" ht="15.75" customHeight="1" s="195">
      <c r="A1256" s="301">
        <f>IF(_PENDIENTES!$B$1250&lt;&gt;"",1249,"")</f>
        <v/>
      </c>
      <c r="B1256" s="242">
        <f>IF(_PENDIENTES!$B$1250&lt;&gt;"",_PENDIENTES!$A$1250,"")</f>
        <v/>
      </c>
      <c r="C1256" s="302">
        <f>IF(_PENDIENTES!$B$1250&lt;&gt;"",_PENDIENTES!$C$1250,"")</f>
        <v/>
      </c>
      <c r="D1256" s="301">
        <f>IF(_PENDIENTES!$B$1250&lt;&gt;"",_PENDIENTES!$D$1250,"")</f>
        <v/>
      </c>
      <c r="E1256" s="301">
        <f>IF(_PENDIENTES!$B$1250&lt;&gt;"",_PENDIENTES!$E$1250,"")</f>
        <v/>
      </c>
      <c r="F1256" s="301">
        <f>IF(_PENDIENTES!$B$1250&lt;&gt;"",_PENDIENTES!$F$1250,"")</f>
        <v/>
      </c>
      <c r="G1256" s="245">
        <f>IF(_PENDIENTES!$B$1250&lt;&gt;"",_PENDIENTES!$G$1250,"")</f>
        <v/>
      </c>
      <c r="H1256" s="245">
        <f>IF(_PENDIENTES!$B$1250&lt;&gt;"",_PENDIENTES!$H$1250,"")</f>
        <v/>
      </c>
      <c r="I1256" s="302">
        <f>IF(_PENDIENTES!$B$1250&lt;&gt;"",_PENDIENTES!$I$1250,"")</f>
        <v/>
      </c>
      <c r="J1256" s="301">
        <f>IF(_PENDIENTES!$B$1250&lt;&gt;"",_PENDIENTES!$J$1250,"")</f>
        <v/>
      </c>
      <c r="K1256" s="301">
        <f>IF(_PENDIENTES!$B$1250&lt;&gt;"","POR RECOGER","")</f>
        <v/>
      </c>
      <c r="L1256" s="301">
        <f>IF(_PENDIENTES!$B$1250&lt;&gt;"",_PENDIENTES!$K$1250,"")</f>
        <v/>
      </c>
      <c r="M1256" s="284">
        <f>IF(_PENDIENTES!$B$1250&lt;&gt;"",_PENDIENTES!$B$1250,"")</f>
        <v/>
      </c>
      <c r="N1256" s="304">
        <f>IF(_PENDIENTES!$B$1250&lt;&gt;"",_PENDIENTES!$L$1250,"")</f>
        <v/>
      </c>
      <c r="O1256" s="284" t="n"/>
    </row>
    <row r="1257" hidden="1" ht="15.75" customHeight="1" s="195">
      <c r="A1257" s="241">
        <f>IF(_PENDIENTES!$B$1251&lt;&gt;"",1250,"")</f>
        <v/>
      </c>
      <c r="B1257" s="236">
        <f>IF(_PENDIENTES!$B$1251&lt;&gt;"",_PENDIENTES!$A$1251,"")</f>
        <v/>
      </c>
      <c r="C1257" s="305">
        <f>IF(_PENDIENTES!$B$1251&lt;&gt;"",_PENDIENTES!$C$1251,"")</f>
        <v/>
      </c>
      <c r="D1257" s="241">
        <f>IF(_PENDIENTES!$B$1251&lt;&gt;"",_PENDIENTES!$D$1251,"")</f>
        <v/>
      </c>
      <c r="E1257" s="241">
        <f>IF(_PENDIENTES!$B$1251&lt;&gt;"",_PENDIENTES!$E$1251,"")</f>
        <v/>
      </c>
      <c r="F1257" s="241">
        <f>IF(_PENDIENTES!$B$1251&lt;&gt;"",_PENDIENTES!$F$1251,"")</f>
        <v/>
      </c>
      <c r="G1257" s="239">
        <f>IF(_PENDIENTES!$B$1251&lt;&gt;"",_PENDIENTES!$G$1251,"")</f>
        <v/>
      </c>
      <c r="H1257" s="239">
        <f>IF(_PENDIENTES!$B$1251&lt;&gt;"",_PENDIENTES!$H$1251,"")</f>
        <v/>
      </c>
      <c r="I1257" s="305">
        <f>IF(_PENDIENTES!$B$1251&lt;&gt;"",_PENDIENTES!$I$1251,"")</f>
        <v/>
      </c>
      <c r="J1257" s="241">
        <f>IF(_PENDIENTES!$B$1251&lt;&gt;"",_PENDIENTES!$J$1251,"")</f>
        <v/>
      </c>
      <c r="K1257" s="241">
        <f>IF(_PENDIENTES!$B$1251&lt;&gt;"","POR RECOGER","")</f>
        <v/>
      </c>
      <c r="L1257" s="241">
        <f>IF(_PENDIENTES!$B$1251&lt;&gt;"",_PENDIENTES!$K$1251,"")</f>
        <v/>
      </c>
      <c r="M1257" s="284">
        <f>IF(_PENDIENTES!$B$1251&lt;&gt;"",_PENDIENTES!$B$1251,"")</f>
        <v/>
      </c>
      <c r="N1257" s="304">
        <f>IF(_PENDIENTES!$B$1251&lt;&gt;"",_PENDIENTES!$L$1251,"")</f>
        <v/>
      </c>
      <c r="O1257" s="284" t="n"/>
    </row>
    <row r="1258" hidden="1" ht="15.75" customHeight="1" s="195">
      <c r="A1258" s="301">
        <f>IF(_PENDIENTES!$B$1252&lt;&gt;"",1251,"")</f>
        <v/>
      </c>
      <c r="B1258" s="242">
        <f>IF(_PENDIENTES!$B$1252&lt;&gt;"",_PENDIENTES!$A$1252,"")</f>
        <v/>
      </c>
      <c r="C1258" s="302">
        <f>IF(_PENDIENTES!$B$1252&lt;&gt;"",_PENDIENTES!$C$1252,"")</f>
        <v/>
      </c>
      <c r="D1258" s="301">
        <f>IF(_PENDIENTES!$B$1252&lt;&gt;"",_PENDIENTES!$D$1252,"")</f>
        <v/>
      </c>
      <c r="E1258" s="301">
        <f>IF(_PENDIENTES!$B$1252&lt;&gt;"",_PENDIENTES!$E$1252,"")</f>
        <v/>
      </c>
      <c r="F1258" s="301">
        <f>IF(_PENDIENTES!$B$1252&lt;&gt;"",_PENDIENTES!$F$1252,"")</f>
        <v/>
      </c>
      <c r="G1258" s="245">
        <f>IF(_PENDIENTES!$B$1252&lt;&gt;"",_PENDIENTES!$G$1252,"")</f>
        <v/>
      </c>
      <c r="H1258" s="245">
        <f>IF(_PENDIENTES!$B$1252&lt;&gt;"",_PENDIENTES!$H$1252,"")</f>
        <v/>
      </c>
      <c r="I1258" s="302">
        <f>IF(_PENDIENTES!$B$1252&lt;&gt;"",_PENDIENTES!$I$1252,"")</f>
        <v/>
      </c>
      <c r="J1258" s="301">
        <f>IF(_PENDIENTES!$B$1252&lt;&gt;"",_PENDIENTES!$J$1252,"")</f>
        <v/>
      </c>
      <c r="K1258" s="301">
        <f>IF(_PENDIENTES!$B$1252&lt;&gt;"","POR RECOGER","")</f>
        <v/>
      </c>
      <c r="L1258" s="301">
        <f>IF(_PENDIENTES!$B$1252&lt;&gt;"",_PENDIENTES!$K$1252,"")</f>
        <v/>
      </c>
      <c r="M1258" s="284">
        <f>IF(_PENDIENTES!$B$1252&lt;&gt;"",_PENDIENTES!$B$1252,"")</f>
        <v/>
      </c>
      <c r="N1258" s="304">
        <f>IF(_PENDIENTES!$B$1252&lt;&gt;"",_PENDIENTES!$L$1252,"")</f>
        <v/>
      </c>
      <c r="O1258" s="284" t="n"/>
    </row>
    <row r="1259" hidden="1" ht="15.75" customHeight="1" s="195">
      <c r="A1259" s="241">
        <f>IF(_PENDIENTES!$B$1253&lt;&gt;"",1252,"")</f>
        <v/>
      </c>
      <c r="B1259" s="236">
        <f>IF(_PENDIENTES!$B$1253&lt;&gt;"",_PENDIENTES!$A$1253,"")</f>
        <v/>
      </c>
      <c r="C1259" s="305">
        <f>IF(_PENDIENTES!$B$1253&lt;&gt;"",_PENDIENTES!$C$1253,"")</f>
        <v/>
      </c>
      <c r="D1259" s="241">
        <f>IF(_PENDIENTES!$B$1253&lt;&gt;"",_PENDIENTES!$D$1253,"")</f>
        <v/>
      </c>
      <c r="E1259" s="241">
        <f>IF(_PENDIENTES!$B$1253&lt;&gt;"",_PENDIENTES!$E$1253,"")</f>
        <v/>
      </c>
      <c r="F1259" s="241">
        <f>IF(_PENDIENTES!$B$1253&lt;&gt;"",_PENDIENTES!$F$1253,"")</f>
        <v/>
      </c>
      <c r="G1259" s="239">
        <f>IF(_PENDIENTES!$B$1253&lt;&gt;"",_PENDIENTES!$G$1253,"")</f>
        <v/>
      </c>
      <c r="H1259" s="239">
        <f>IF(_PENDIENTES!$B$1253&lt;&gt;"",_PENDIENTES!$H$1253,"")</f>
        <v/>
      </c>
      <c r="I1259" s="305">
        <f>IF(_PENDIENTES!$B$1253&lt;&gt;"",_PENDIENTES!$I$1253,"")</f>
        <v/>
      </c>
      <c r="J1259" s="241">
        <f>IF(_PENDIENTES!$B$1253&lt;&gt;"",_PENDIENTES!$J$1253,"")</f>
        <v/>
      </c>
      <c r="K1259" s="241">
        <f>IF(_PENDIENTES!$B$1253&lt;&gt;"","POR RECOGER","")</f>
        <v/>
      </c>
      <c r="L1259" s="241">
        <f>IF(_PENDIENTES!$B$1253&lt;&gt;"",_PENDIENTES!$K$1253,"")</f>
        <v/>
      </c>
      <c r="M1259" s="284">
        <f>IF(_PENDIENTES!$B$1253&lt;&gt;"",_PENDIENTES!$B$1253,"")</f>
        <v/>
      </c>
      <c r="N1259" s="304">
        <f>IF(_PENDIENTES!$B$1253&lt;&gt;"",_PENDIENTES!$L$1253,"")</f>
        <v/>
      </c>
      <c r="O1259" s="284" t="n"/>
    </row>
    <row r="1260" hidden="1" ht="15.75" customHeight="1" s="195">
      <c r="A1260" s="301">
        <f>IF(_PENDIENTES!$B$1254&lt;&gt;"",1253,"")</f>
        <v/>
      </c>
      <c r="B1260" s="242">
        <f>IF(_PENDIENTES!$B$1254&lt;&gt;"",_PENDIENTES!$A$1254,"")</f>
        <v/>
      </c>
      <c r="C1260" s="302">
        <f>IF(_PENDIENTES!$B$1254&lt;&gt;"",_PENDIENTES!$C$1254,"")</f>
        <v/>
      </c>
      <c r="D1260" s="301">
        <f>IF(_PENDIENTES!$B$1254&lt;&gt;"",_PENDIENTES!$D$1254,"")</f>
        <v/>
      </c>
      <c r="E1260" s="301">
        <f>IF(_PENDIENTES!$B$1254&lt;&gt;"",_PENDIENTES!$E$1254,"")</f>
        <v/>
      </c>
      <c r="F1260" s="301">
        <f>IF(_PENDIENTES!$B$1254&lt;&gt;"",_PENDIENTES!$F$1254,"")</f>
        <v/>
      </c>
      <c r="G1260" s="245">
        <f>IF(_PENDIENTES!$B$1254&lt;&gt;"",_PENDIENTES!$G$1254,"")</f>
        <v/>
      </c>
      <c r="H1260" s="245">
        <f>IF(_PENDIENTES!$B$1254&lt;&gt;"",_PENDIENTES!$H$1254,"")</f>
        <v/>
      </c>
      <c r="I1260" s="302">
        <f>IF(_PENDIENTES!$B$1254&lt;&gt;"",_PENDIENTES!$I$1254,"")</f>
        <v/>
      </c>
      <c r="J1260" s="301">
        <f>IF(_PENDIENTES!$B$1254&lt;&gt;"",_PENDIENTES!$J$1254,"")</f>
        <v/>
      </c>
      <c r="K1260" s="301">
        <f>IF(_PENDIENTES!$B$1254&lt;&gt;"","POR RECOGER","")</f>
        <v/>
      </c>
      <c r="L1260" s="301">
        <f>IF(_PENDIENTES!$B$1254&lt;&gt;"",_PENDIENTES!$K$1254,"")</f>
        <v/>
      </c>
      <c r="M1260" s="284">
        <f>IF(_PENDIENTES!$B$1254&lt;&gt;"",_PENDIENTES!$B$1254,"")</f>
        <v/>
      </c>
      <c r="N1260" s="304">
        <f>IF(_PENDIENTES!$B$1254&lt;&gt;"",_PENDIENTES!$L$1254,"")</f>
        <v/>
      </c>
      <c r="O1260" s="284" t="n"/>
    </row>
    <row r="1261" hidden="1" ht="15.75" customHeight="1" s="195">
      <c r="A1261" s="241">
        <f>IF(_PENDIENTES!$B$1255&lt;&gt;"",1254,"")</f>
        <v/>
      </c>
      <c r="B1261" s="236">
        <f>IF(_PENDIENTES!$B$1255&lt;&gt;"",_PENDIENTES!$A$1255,"")</f>
        <v/>
      </c>
      <c r="C1261" s="305">
        <f>IF(_PENDIENTES!$B$1255&lt;&gt;"",_PENDIENTES!$C$1255,"")</f>
        <v/>
      </c>
      <c r="D1261" s="241">
        <f>IF(_PENDIENTES!$B$1255&lt;&gt;"",_PENDIENTES!$D$1255,"")</f>
        <v/>
      </c>
      <c r="E1261" s="241">
        <f>IF(_PENDIENTES!$B$1255&lt;&gt;"",_PENDIENTES!$E$1255,"")</f>
        <v/>
      </c>
      <c r="F1261" s="241">
        <f>IF(_PENDIENTES!$B$1255&lt;&gt;"",_PENDIENTES!$F$1255,"")</f>
        <v/>
      </c>
      <c r="G1261" s="239">
        <f>IF(_PENDIENTES!$B$1255&lt;&gt;"",_PENDIENTES!$G$1255,"")</f>
        <v/>
      </c>
      <c r="H1261" s="239">
        <f>IF(_PENDIENTES!$B$1255&lt;&gt;"",_PENDIENTES!$H$1255,"")</f>
        <v/>
      </c>
      <c r="I1261" s="305">
        <f>IF(_PENDIENTES!$B$1255&lt;&gt;"",_PENDIENTES!$I$1255,"")</f>
        <v/>
      </c>
      <c r="J1261" s="241">
        <f>IF(_PENDIENTES!$B$1255&lt;&gt;"",_PENDIENTES!$J$1255,"")</f>
        <v/>
      </c>
      <c r="K1261" s="241">
        <f>IF(_PENDIENTES!$B$1255&lt;&gt;"","POR RECOGER","")</f>
        <v/>
      </c>
      <c r="L1261" s="241">
        <f>IF(_PENDIENTES!$B$1255&lt;&gt;"",_PENDIENTES!$K$1255,"")</f>
        <v/>
      </c>
      <c r="M1261" s="284">
        <f>IF(_PENDIENTES!$B$1255&lt;&gt;"",_PENDIENTES!$B$1255,"")</f>
        <v/>
      </c>
      <c r="N1261" s="304">
        <f>IF(_PENDIENTES!$B$1255&lt;&gt;"",_PENDIENTES!$L$1255,"")</f>
        <v/>
      </c>
      <c r="O1261" s="284" t="n"/>
    </row>
    <row r="1262" hidden="1" ht="15.75" customHeight="1" s="195">
      <c r="A1262" s="301">
        <f>IF(_PENDIENTES!$B$1256&lt;&gt;"",1255,"")</f>
        <v/>
      </c>
      <c r="B1262" s="242">
        <f>IF(_PENDIENTES!$B$1256&lt;&gt;"",_PENDIENTES!$A$1256,"")</f>
        <v/>
      </c>
      <c r="C1262" s="302">
        <f>IF(_PENDIENTES!$B$1256&lt;&gt;"",_PENDIENTES!$C$1256,"")</f>
        <v/>
      </c>
      <c r="D1262" s="301">
        <f>IF(_PENDIENTES!$B$1256&lt;&gt;"",_PENDIENTES!$D$1256,"")</f>
        <v/>
      </c>
      <c r="E1262" s="301">
        <f>IF(_PENDIENTES!$B$1256&lt;&gt;"",_PENDIENTES!$E$1256,"")</f>
        <v/>
      </c>
      <c r="F1262" s="301">
        <f>IF(_PENDIENTES!$B$1256&lt;&gt;"",_PENDIENTES!$F$1256,"")</f>
        <v/>
      </c>
      <c r="G1262" s="245">
        <f>IF(_PENDIENTES!$B$1256&lt;&gt;"",_PENDIENTES!$G$1256,"")</f>
        <v/>
      </c>
      <c r="H1262" s="245">
        <f>IF(_PENDIENTES!$B$1256&lt;&gt;"",_PENDIENTES!$H$1256,"")</f>
        <v/>
      </c>
      <c r="I1262" s="302">
        <f>IF(_PENDIENTES!$B$1256&lt;&gt;"",_PENDIENTES!$I$1256,"")</f>
        <v/>
      </c>
      <c r="J1262" s="301">
        <f>IF(_PENDIENTES!$B$1256&lt;&gt;"",_PENDIENTES!$J$1256,"")</f>
        <v/>
      </c>
      <c r="K1262" s="301">
        <f>IF(_PENDIENTES!$B$1256&lt;&gt;"","POR RECOGER","")</f>
        <v/>
      </c>
      <c r="L1262" s="301">
        <f>IF(_PENDIENTES!$B$1256&lt;&gt;"",_PENDIENTES!$K$1256,"")</f>
        <v/>
      </c>
      <c r="M1262" s="284">
        <f>IF(_PENDIENTES!$B$1256&lt;&gt;"",_PENDIENTES!$B$1256,"")</f>
        <v/>
      </c>
      <c r="N1262" s="304">
        <f>IF(_PENDIENTES!$B$1256&lt;&gt;"",_PENDIENTES!$L$1256,"")</f>
        <v/>
      </c>
      <c r="O1262" s="284" t="n"/>
    </row>
    <row r="1263" hidden="1" ht="15.75" customHeight="1" s="195">
      <c r="A1263" s="241">
        <f>IF(_PENDIENTES!$B$1257&lt;&gt;"",1256,"")</f>
        <v/>
      </c>
      <c r="B1263" s="236">
        <f>IF(_PENDIENTES!$B$1257&lt;&gt;"",_PENDIENTES!$A$1257,"")</f>
        <v/>
      </c>
      <c r="C1263" s="305">
        <f>IF(_PENDIENTES!$B$1257&lt;&gt;"",_PENDIENTES!$C$1257,"")</f>
        <v/>
      </c>
      <c r="D1263" s="241">
        <f>IF(_PENDIENTES!$B$1257&lt;&gt;"",_PENDIENTES!$D$1257,"")</f>
        <v/>
      </c>
      <c r="E1263" s="241">
        <f>IF(_PENDIENTES!$B$1257&lt;&gt;"",_PENDIENTES!$E$1257,"")</f>
        <v/>
      </c>
      <c r="F1263" s="241">
        <f>IF(_PENDIENTES!$B$1257&lt;&gt;"",_PENDIENTES!$F$1257,"")</f>
        <v/>
      </c>
      <c r="G1263" s="239">
        <f>IF(_PENDIENTES!$B$1257&lt;&gt;"",_PENDIENTES!$G$1257,"")</f>
        <v/>
      </c>
      <c r="H1263" s="239">
        <f>IF(_PENDIENTES!$B$1257&lt;&gt;"",_PENDIENTES!$H$1257,"")</f>
        <v/>
      </c>
      <c r="I1263" s="305">
        <f>IF(_PENDIENTES!$B$1257&lt;&gt;"",_PENDIENTES!$I$1257,"")</f>
        <v/>
      </c>
      <c r="J1263" s="241">
        <f>IF(_PENDIENTES!$B$1257&lt;&gt;"",_PENDIENTES!$J$1257,"")</f>
        <v/>
      </c>
      <c r="K1263" s="241">
        <f>IF(_PENDIENTES!$B$1257&lt;&gt;"","POR RECOGER","")</f>
        <v/>
      </c>
      <c r="L1263" s="241">
        <f>IF(_PENDIENTES!$B$1257&lt;&gt;"",_PENDIENTES!$K$1257,"")</f>
        <v/>
      </c>
      <c r="M1263" s="284">
        <f>IF(_PENDIENTES!$B$1257&lt;&gt;"",_PENDIENTES!$B$1257,"")</f>
        <v/>
      </c>
      <c r="N1263" s="304">
        <f>IF(_PENDIENTES!$B$1257&lt;&gt;"",_PENDIENTES!$L$1257,"")</f>
        <v/>
      </c>
      <c r="O1263" s="284" t="n"/>
    </row>
    <row r="1264" hidden="1" ht="15.75" customHeight="1" s="195">
      <c r="A1264" s="301">
        <f>IF(_PENDIENTES!$B$1258&lt;&gt;"",1257,"")</f>
        <v/>
      </c>
      <c r="B1264" s="242">
        <f>IF(_PENDIENTES!$B$1258&lt;&gt;"",_PENDIENTES!$A$1258,"")</f>
        <v/>
      </c>
      <c r="C1264" s="302">
        <f>IF(_PENDIENTES!$B$1258&lt;&gt;"",_PENDIENTES!$C$1258,"")</f>
        <v/>
      </c>
      <c r="D1264" s="301">
        <f>IF(_PENDIENTES!$B$1258&lt;&gt;"",_PENDIENTES!$D$1258,"")</f>
        <v/>
      </c>
      <c r="E1264" s="301">
        <f>IF(_PENDIENTES!$B$1258&lt;&gt;"",_PENDIENTES!$E$1258,"")</f>
        <v/>
      </c>
      <c r="F1264" s="301">
        <f>IF(_PENDIENTES!$B$1258&lt;&gt;"",_PENDIENTES!$F$1258,"")</f>
        <v/>
      </c>
      <c r="G1264" s="245">
        <f>IF(_PENDIENTES!$B$1258&lt;&gt;"",_PENDIENTES!$G$1258,"")</f>
        <v/>
      </c>
      <c r="H1264" s="245">
        <f>IF(_PENDIENTES!$B$1258&lt;&gt;"",_PENDIENTES!$H$1258,"")</f>
        <v/>
      </c>
      <c r="I1264" s="302">
        <f>IF(_PENDIENTES!$B$1258&lt;&gt;"",_PENDIENTES!$I$1258,"")</f>
        <v/>
      </c>
      <c r="J1264" s="301">
        <f>IF(_PENDIENTES!$B$1258&lt;&gt;"",_PENDIENTES!$J$1258,"")</f>
        <v/>
      </c>
      <c r="K1264" s="301">
        <f>IF(_PENDIENTES!$B$1258&lt;&gt;"","POR RECOGER","")</f>
        <v/>
      </c>
      <c r="L1264" s="301">
        <f>IF(_PENDIENTES!$B$1258&lt;&gt;"",_PENDIENTES!$K$1258,"")</f>
        <v/>
      </c>
      <c r="M1264" s="284">
        <f>IF(_PENDIENTES!$B$1258&lt;&gt;"",_PENDIENTES!$B$1258,"")</f>
        <v/>
      </c>
      <c r="N1264" s="304">
        <f>IF(_PENDIENTES!$B$1258&lt;&gt;"",_PENDIENTES!$L$1258,"")</f>
        <v/>
      </c>
      <c r="O1264" s="284" t="n"/>
    </row>
    <row r="1265" hidden="1" ht="15.75" customHeight="1" s="195">
      <c r="A1265" s="241">
        <f>IF(_PENDIENTES!$B$1259&lt;&gt;"",1258,"")</f>
        <v/>
      </c>
      <c r="B1265" s="236">
        <f>IF(_PENDIENTES!$B$1259&lt;&gt;"",_PENDIENTES!$A$1259,"")</f>
        <v/>
      </c>
      <c r="C1265" s="305">
        <f>IF(_PENDIENTES!$B$1259&lt;&gt;"",_PENDIENTES!$C$1259,"")</f>
        <v/>
      </c>
      <c r="D1265" s="241">
        <f>IF(_PENDIENTES!$B$1259&lt;&gt;"",_PENDIENTES!$D$1259,"")</f>
        <v/>
      </c>
      <c r="E1265" s="241">
        <f>IF(_PENDIENTES!$B$1259&lt;&gt;"",_PENDIENTES!$E$1259,"")</f>
        <v/>
      </c>
      <c r="F1265" s="241">
        <f>IF(_PENDIENTES!$B$1259&lt;&gt;"",_PENDIENTES!$F$1259,"")</f>
        <v/>
      </c>
      <c r="G1265" s="239">
        <f>IF(_PENDIENTES!$B$1259&lt;&gt;"",_PENDIENTES!$G$1259,"")</f>
        <v/>
      </c>
      <c r="H1265" s="239">
        <f>IF(_PENDIENTES!$B$1259&lt;&gt;"",_PENDIENTES!$H$1259,"")</f>
        <v/>
      </c>
      <c r="I1265" s="305">
        <f>IF(_PENDIENTES!$B$1259&lt;&gt;"",_PENDIENTES!$I$1259,"")</f>
        <v/>
      </c>
      <c r="J1265" s="241">
        <f>IF(_PENDIENTES!$B$1259&lt;&gt;"",_PENDIENTES!$J$1259,"")</f>
        <v/>
      </c>
      <c r="K1265" s="241">
        <f>IF(_PENDIENTES!$B$1259&lt;&gt;"","POR RECOGER","")</f>
        <v/>
      </c>
      <c r="L1265" s="241">
        <f>IF(_PENDIENTES!$B$1259&lt;&gt;"",_PENDIENTES!$K$1259,"")</f>
        <v/>
      </c>
      <c r="M1265" s="284">
        <f>IF(_PENDIENTES!$B$1259&lt;&gt;"",_PENDIENTES!$B$1259,"")</f>
        <v/>
      </c>
      <c r="N1265" s="304">
        <f>IF(_PENDIENTES!$B$1259&lt;&gt;"",_PENDIENTES!$L$1259,"")</f>
        <v/>
      </c>
      <c r="O1265" s="284" t="n"/>
    </row>
    <row r="1266" hidden="1" ht="15.75" customHeight="1" s="195">
      <c r="A1266" s="301">
        <f>IF(_PENDIENTES!$B$1260&lt;&gt;"",1259,"")</f>
        <v/>
      </c>
      <c r="B1266" s="242">
        <f>IF(_PENDIENTES!$B$1260&lt;&gt;"",_PENDIENTES!$A$1260,"")</f>
        <v/>
      </c>
      <c r="C1266" s="302">
        <f>IF(_PENDIENTES!$B$1260&lt;&gt;"",_PENDIENTES!$C$1260,"")</f>
        <v/>
      </c>
      <c r="D1266" s="301">
        <f>IF(_PENDIENTES!$B$1260&lt;&gt;"",_PENDIENTES!$D$1260,"")</f>
        <v/>
      </c>
      <c r="E1266" s="301">
        <f>IF(_PENDIENTES!$B$1260&lt;&gt;"",_PENDIENTES!$E$1260,"")</f>
        <v/>
      </c>
      <c r="F1266" s="301">
        <f>IF(_PENDIENTES!$B$1260&lt;&gt;"",_PENDIENTES!$F$1260,"")</f>
        <v/>
      </c>
      <c r="G1266" s="245">
        <f>IF(_PENDIENTES!$B$1260&lt;&gt;"",_PENDIENTES!$G$1260,"")</f>
        <v/>
      </c>
      <c r="H1266" s="245">
        <f>IF(_PENDIENTES!$B$1260&lt;&gt;"",_PENDIENTES!$H$1260,"")</f>
        <v/>
      </c>
      <c r="I1266" s="302">
        <f>IF(_PENDIENTES!$B$1260&lt;&gt;"",_PENDIENTES!$I$1260,"")</f>
        <v/>
      </c>
      <c r="J1266" s="301">
        <f>IF(_PENDIENTES!$B$1260&lt;&gt;"",_PENDIENTES!$J$1260,"")</f>
        <v/>
      </c>
      <c r="K1266" s="301">
        <f>IF(_PENDIENTES!$B$1260&lt;&gt;"","POR RECOGER","")</f>
        <v/>
      </c>
      <c r="L1266" s="301">
        <f>IF(_PENDIENTES!$B$1260&lt;&gt;"",_PENDIENTES!$K$1260,"")</f>
        <v/>
      </c>
      <c r="M1266" s="284">
        <f>IF(_PENDIENTES!$B$1260&lt;&gt;"",_PENDIENTES!$B$1260,"")</f>
        <v/>
      </c>
      <c r="N1266" s="304">
        <f>IF(_PENDIENTES!$B$1260&lt;&gt;"",_PENDIENTES!$L$1260,"")</f>
        <v/>
      </c>
      <c r="O1266" s="284" t="n"/>
    </row>
    <row r="1267" hidden="1" ht="15.75" customHeight="1" s="195">
      <c r="A1267" s="241">
        <f>IF(_PENDIENTES!$B$1261&lt;&gt;"",1260,"")</f>
        <v/>
      </c>
      <c r="B1267" s="236">
        <f>IF(_PENDIENTES!$B$1261&lt;&gt;"",_PENDIENTES!$A$1261,"")</f>
        <v/>
      </c>
      <c r="C1267" s="305">
        <f>IF(_PENDIENTES!$B$1261&lt;&gt;"",_PENDIENTES!$C$1261,"")</f>
        <v/>
      </c>
      <c r="D1267" s="241">
        <f>IF(_PENDIENTES!$B$1261&lt;&gt;"",_PENDIENTES!$D$1261,"")</f>
        <v/>
      </c>
      <c r="E1267" s="241">
        <f>IF(_PENDIENTES!$B$1261&lt;&gt;"",_PENDIENTES!$E$1261,"")</f>
        <v/>
      </c>
      <c r="F1267" s="241">
        <f>IF(_PENDIENTES!$B$1261&lt;&gt;"",_PENDIENTES!$F$1261,"")</f>
        <v/>
      </c>
      <c r="G1267" s="239">
        <f>IF(_PENDIENTES!$B$1261&lt;&gt;"",_PENDIENTES!$G$1261,"")</f>
        <v/>
      </c>
      <c r="H1267" s="239">
        <f>IF(_PENDIENTES!$B$1261&lt;&gt;"",_PENDIENTES!$H$1261,"")</f>
        <v/>
      </c>
      <c r="I1267" s="305">
        <f>IF(_PENDIENTES!$B$1261&lt;&gt;"",_PENDIENTES!$I$1261,"")</f>
        <v/>
      </c>
      <c r="J1267" s="241">
        <f>IF(_PENDIENTES!$B$1261&lt;&gt;"",_PENDIENTES!$J$1261,"")</f>
        <v/>
      </c>
      <c r="K1267" s="241">
        <f>IF(_PENDIENTES!$B$1261&lt;&gt;"","POR RECOGER","")</f>
        <v/>
      </c>
      <c r="L1267" s="241">
        <f>IF(_PENDIENTES!$B$1261&lt;&gt;"",_PENDIENTES!$K$1261,"")</f>
        <v/>
      </c>
      <c r="M1267" s="284">
        <f>IF(_PENDIENTES!$B$1261&lt;&gt;"",_PENDIENTES!$B$1261,"")</f>
        <v/>
      </c>
      <c r="N1267" s="304">
        <f>IF(_PENDIENTES!$B$1261&lt;&gt;"",_PENDIENTES!$L$1261,"")</f>
        <v/>
      </c>
      <c r="O1267" s="284" t="n"/>
    </row>
    <row r="1268" ht="15" customHeight="1" s="195">
      <c r="A1268" s="284" t="n"/>
      <c r="B1268" s="284" t="n"/>
      <c r="C1268" s="284" t="n"/>
      <c r="D1268" s="284" t="n"/>
      <c r="E1268" s="284" t="n"/>
      <c r="F1268" s="284" t="n"/>
      <c r="G1268" s="284" t="n"/>
      <c r="H1268" s="284" t="n"/>
      <c r="I1268" s="284" t="n"/>
      <c r="J1268" s="284" t="n"/>
      <c r="K1268" s="284" t="n"/>
      <c r="L1268" s="309" t="n"/>
      <c r="M1268" s="284" t="n"/>
      <c r="N1268" s="284" t="n"/>
      <c r="O1268" s="284" t="n"/>
    </row>
    <row r="1269" ht="15" customHeight="1" s="195">
      <c r="A1269" s="284" t="n"/>
      <c r="B1269" s="284" t="n"/>
      <c r="C1269" s="284" t="n"/>
      <c r="D1269" s="284" t="n"/>
      <c r="E1269" s="284" t="n"/>
      <c r="F1269" s="284" t="n"/>
      <c r="G1269" s="284" t="n"/>
      <c r="H1269" s="284" t="n"/>
      <c r="I1269" s="284" t="n"/>
      <c r="J1269" s="284" t="n"/>
      <c r="K1269" s="284" t="n"/>
      <c r="L1269" s="309" t="n"/>
      <c r="M1269" s="284" t="n"/>
      <c r="N1269" s="284" t="n"/>
      <c r="O1269" s="284" t="n"/>
    </row>
    <row r="1270" ht="15" customHeight="1" s="195">
      <c r="A1270" s="284" t="n"/>
      <c r="B1270" s="284" t="n"/>
      <c r="C1270" s="284" t="n"/>
      <c r="D1270" s="284" t="n"/>
      <c r="E1270" s="284" t="n"/>
      <c r="F1270" s="284" t="n"/>
      <c r="G1270" s="284" t="n"/>
      <c r="H1270" s="284" t="n"/>
      <c r="I1270" s="284" t="n"/>
      <c r="J1270" s="284" t="n"/>
      <c r="K1270" s="284" t="n"/>
      <c r="L1270" s="309" t="n"/>
      <c r="M1270" s="284" t="n"/>
      <c r="N1270" s="284" t="n"/>
      <c r="O1270" s="284" t="n"/>
    </row>
    <row r="1271" ht="15" customHeight="1" s="195">
      <c r="A1271" s="284" t="n"/>
      <c r="B1271" s="284" t="n"/>
      <c r="C1271" s="284" t="n"/>
      <c r="D1271" s="284" t="n"/>
      <c r="E1271" s="284" t="n"/>
      <c r="F1271" s="284" t="n"/>
      <c r="G1271" s="284" t="n"/>
      <c r="H1271" s="284" t="n"/>
      <c r="I1271" s="284" t="n"/>
      <c r="J1271" s="284" t="n"/>
      <c r="K1271" s="284" t="n"/>
      <c r="L1271" s="309" t="n"/>
      <c r="M1271" s="284" t="n"/>
      <c r="N1271" s="284" t="n"/>
      <c r="O1271" s="284" t="n"/>
    </row>
    <row r="1272" ht="15" customHeight="1" s="195">
      <c r="A1272" s="284" t="n"/>
      <c r="B1272" s="284" t="n"/>
      <c r="C1272" s="284" t="n"/>
      <c r="D1272" s="284" t="n"/>
      <c r="E1272" s="284" t="n"/>
      <c r="F1272" s="284" t="n"/>
      <c r="G1272" s="284" t="n"/>
      <c r="H1272" s="284" t="n"/>
      <c r="I1272" s="284" t="n"/>
      <c r="J1272" s="284" t="n"/>
      <c r="K1272" s="284" t="n"/>
      <c r="L1272" s="309" t="n"/>
      <c r="M1272" s="284" t="n"/>
      <c r="N1272" s="284" t="n"/>
      <c r="O1272" s="284" t="n"/>
    </row>
    <row r="1273" ht="15" customHeight="1" s="195">
      <c r="A1273" s="284" t="n"/>
      <c r="B1273" s="284" t="n"/>
      <c r="C1273" s="284" t="n"/>
      <c r="D1273" s="284" t="n"/>
      <c r="E1273" s="284" t="n"/>
      <c r="F1273" s="284" t="n"/>
      <c r="G1273" s="284" t="n"/>
      <c r="H1273" s="284" t="n"/>
      <c r="I1273" s="284" t="n"/>
      <c r="J1273" s="284" t="n"/>
      <c r="K1273" s="284" t="n"/>
      <c r="L1273" s="309" t="n"/>
      <c r="M1273" s="284" t="n"/>
      <c r="N1273" s="284" t="n"/>
      <c r="O1273" s="284" t="n"/>
    </row>
    <row r="1274" ht="15" customHeight="1" s="195">
      <c r="A1274" s="284" t="n"/>
      <c r="B1274" s="284" t="n"/>
      <c r="C1274" s="284" t="n"/>
      <c r="D1274" s="284" t="n"/>
      <c r="E1274" s="284" t="n"/>
      <c r="F1274" s="284" t="n"/>
      <c r="G1274" s="284" t="n"/>
      <c r="H1274" s="284" t="n"/>
      <c r="I1274" s="284" t="n"/>
      <c r="J1274" s="284" t="n"/>
      <c r="K1274" s="284" t="n"/>
      <c r="L1274" s="309" t="n"/>
      <c r="M1274" s="284" t="n"/>
      <c r="N1274" s="284" t="n"/>
      <c r="O1274" s="284" t="n"/>
    </row>
    <row r="1275" ht="15" customHeight="1" s="195">
      <c r="A1275" s="284" t="n"/>
      <c r="B1275" s="284" t="n"/>
      <c r="C1275" s="284" t="n"/>
      <c r="D1275" s="284" t="n"/>
      <c r="E1275" s="284" t="n"/>
      <c r="F1275" s="284" t="n"/>
      <c r="G1275" s="284" t="n"/>
      <c r="H1275" s="284" t="n"/>
      <c r="I1275" s="284" t="n"/>
      <c r="J1275" s="284" t="n"/>
      <c r="K1275" s="284" t="n"/>
      <c r="L1275" s="309" t="n"/>
      <c r="M1275" s="284" t="n"/>
      <c r="N1275" s="284" t="n"/>
      <c r="O1275" s="284" t="n"/>
    </row>
    <row r="1276" ht="15" customHeight="1" s="195">
      <c r="A1276" s="284" t="n"/>
      <c r="B1276" s="284" t="n"/>
      <c r="C1276" s="284" t="n"/>
      <c r="D1276" s="284" t="n"/>
      <c r="E1276" s="284" t="n"/>
      <c r="F1276" s="284" t="n"/>
      <c r="G1276" s="284" t="n"/>
      <c r="H1276" s="284" t="n"/>
      <c r="I1276" s="284" t="n"/>
      <c r="J1276" s="284" t="n"/>
      <c r="K1276" s="284" t="n"/>
      <c r="L1276" s="309" t="n"/>
      <c r="M1276" s="284" t="n"/>
      <c r="N1276" s="284" t="n"/>
      <c r="O1276" s="284" t="n"/>
    </row>
    <row r="1277" ht="15" customHeight="1" s="195">
      <c r="A1277" s="284" t="n"/>
      <c r="B1277" s="284" t="n"/>
      <c r="C1277" s="284" t="n"/>
      <c r="D1277" s="284" t="n"/>
      <c r="E1277" s="284" t="n"/>
      <c r="F1277" s="284" t="n"/>
      <c r="G1277" s="284" t="n"/>
      <c r="H1277" s="284" t="n"/>
      <c r="I1277" s="284" t="n"/>
      <c r="J1277" s="284" t="n"/>
      <c r="K1277" s="284" t="n"/>
      <c r="L1277" s="309" t="n"/>
      <c r="M1277" s="284" t="n"/>
      <c r="N1277" s="284" t="n"/>
      <c r="O1277" s="284" t="n"/>
    </row>
    <row r="1278" ht="15" customHeight="1" s="195">
      <c r="A1278" s="284" t="n"/>
      <c r="B1278" s="284" t="n"/>
      <c r="C1278" s="284" t="n"/>
      <c r="D1278" s="284" t="n"/>
      <c r="E1278" s="284" t="n"/>
      <c r="F1278" s="284" t="n"/>
      <c r="G1278" s="284" t="n"/>
      <c r="H1278" s="284" t="n"/>
      <c r="I1278" s="284" t="n"/>
      <c r="J1278" s="284" t="n"/>
      <c r="K1278" s="284" t="n"/>
      <c r="L1278" s="309" t="n"/>
      <c r="M1278" s="284" t="n"/>
      <c r="N1278" s="284" t="n"/>
      <c r="O1278" s="284" t="n"/>
    </row>
    <row r="1279" ht="15" customHeight="1" s="195">
      <c r="A1279" s="284" t="n"/>
      <c r="B1279" s="284" t="n"/>
      <c r="C1279" s="284" t="n"/>
      <c r="D1279" s="284" t="n"/>
      <c r="E1279" s="284" t="n"/>
      <c r="F1279" s="284" t="n"/>
      <c r="G1279" s="284" t="n"/>
      <c r="H1279" s="284" t="n"/>
      <c r="I1279" s="284" t="n"/>
      <c r="J1279" s="284" t="n"/>
      <c r="K1279" s="284" t="n"/>
      <c r="L1279" s="309" t="n"/>
      <c r="M1279" s="284" t="n"/>
      <c r="N1279" s="284" t="n"/>
      <c r="O1279" s="284" t="n"/>
    </row>
    <row r="1280" ht="15" customHeight="1" s="195">
      <c r="A1280" s="284" t="n"/>
      <c r="B1280" s="284" t="n"/>
      <c r="C1280" s="284" t="n"/>
      <c r="D1280" s="284" t="n"/>
      <c r="E1280" s="284" t="n"/>
      <c r="F1280" s="284" t="n"/>
      <c r="G1280" s="284" t="n"/>
      <c r="H1280" s="284" t="n"/>
      <c r="I1280" s="284" t="n"/>
      <c r="J1280" s="284" t="n"/>
      <c r="K1280" s="284" t="n"/>
      <c r="L1280" s="309" t="n"/>
      <c r="M1280" s="284" t="n"/>
      <c r="N1280" s="284" t="n"/>
      <c r="O1280" s="284" t="n"/>
    </row>
    <row r="1281" ht="15" customHeight="1" s="195">
      <c r="A1281" s="284" t="n"/>
      <c r="B1281" s="284" t="n"/>
      <c r="C1281" s="284" t="n"/>
      <c r="D1281" s="284" t="n"/>
      <c r="E1281" s="284" t="n"/>
      <c r="F1281" s="284" t="n"/>
      <c r="G1281" s="284" t="n"/>
      <c r="H1281" s="284" t="n"/>
      <c r="I1281" s="284" t="n"/>
      <c r="J1281" s="284" t="n"/>
      <c r="K1281" s="284" t="n"/>
      <c r="L1281" s="309" t="n"/>
      <c r="M1281" s="284" t="n"/>
      <c r="N1281" s="284" t="n"/>
      <c r="O1281" s="284" t="n"/>
    </row>
    <row r="1282" ht="15" customHeight="1" s="195">
      <c r="A1282" s="284" t="n"/>
      <c r="B1282" s="284" t="n"/>
      <c r="C1282" s="284" t="n"/>
      <c r="D1282" s="284" t="n"/>
      <c r="E1282" s="284" t="n"/>
      <c r="F1282" s="284" t="n"/>
      <c r="G1282" s="284" t="n"/>
      <c r="H1282" s="284" t="n"/>
      <c r="I1282" s="284" t="n"/>
      <c r="J1282" s="284" t="n"/>
      <c r="K1282" s="284" t="n"/>
      <c r="L1282" s="309" t="n"/>
      <c r="M1282" s="284" t="n"/>
      <c r="N1282" s="284" t="n"/>
      <c r="O1282" s="284" t="n"/>
    </row>
    <row r="1283" ht="15" customHeight="1" s="195">
      <c r="A1283" s="284" t="n"/>
      <c r="B1283" s="284" t="n"/>
      <c r="C1283" s="284" t="n"/>
      <c r="D1283" s="284" t="n"/>
      <c r="E1283" s="284" t="n"/>
      <c r="F1283" s="284" t="n"/>
      <c r="G1283" s="284" t="n"/>
      <c r="H1283" s="284" t="n"/>
      <c r="I1283" s="284" t="n"/>
      <c r="J1283" s="284" t="n"/>
      <c r="K1283" s="284" t="n"/>
      <c r="L1283" s="309" t="n"/>
      <c r="M1283" s="284" t="n"/>
      <c r="N1283" s="284" t="n"/>
      <c r="O1283" s="284" t="n"/>
    </row>
    <row r="1284" ht="15" customHeight="1" s="195">
      <c r="A1284" s="284" t="n"/>
      <c r="B1284" s="284" t="n"/>
      <c r="C1284" s="284" t="n"/>
      <c r="D1284" s="284" t="n"/>
      <c r="E1284" s="284" t="n"/>
      <c r="F1284" s="284" t="n"/>
      <c r="G1284" s="284" t="n"/>
      <c r="H1284" s="284" t="n"/>
      <c r="I1284" s="284" t="n"/>
      <c r="J1284" s="284" t="n"/>
      <c r="K1284" s="284" t="n"/>
      <c r="L1284" s="309" t="n"/>
      <c r="M1284" s="284" t="n"/>
      <c r="N1284" s="284" t="n"/>
      <c r="O1284" s="284" t="n"/>
    </row>
    <row r="1285" ht="15" customHeight="1" s="195">
      <c r="A1285" s="284" t="n"/>
      <c r="B1285" s="284" t="n"/>
      <c r="C1285" s="284" t="n"/>
      <c r="D1285" s="284" t="n"/>
      <c r="E1285" s="284" t="n"/>
      <c r="F1285" s="284" t="n"/>
      <c r="G1285" s="284" t="n"/>
      <c r="H1285" s="284" t="n"/>
      <c r="I1285" s="284" t="n"/>
      <c r="J1285" s="284" t="n"/>
      <c r="K1285" s="284" t="n"/>
      <c r="L1285" s="309" t="n"/>
      <c r="M1285" s="284" t="n"/>
      <c r="N1285" s="284" t="n"/>
      <c r="O1285" s="284" t="n"/>
    </row>
    <row r="1286" ht="15" customHeight="1" s="195">
      <c r="A1286" s="284" t="n"/>
      <c r="B1286" s="284" t="n"/>
      <c r="C1286" s="284" t="n"/>
      <c r="D1286" s="284" t="n"/>
      <c r="E1286" s="284" t="n"/>
      <c r="F1286" s="284" t="n"/>
      <c r="G1286" s="284" t="n"/>
      <c r="H1286" s="284" t="n"/>
      <c r="I1286" s="284" t="n"/>
      <c r="J1286" s="284" t="n"/>
      <c r="K1286" s="284" t="n"/>
      <c r="L1286" s="309" t="n"/>
      <c r="M1286" s="284" t="n"/>
      <c r="N1286" s="284" t="n"/>
      <c r="O1286" s="284" t="n"/>
    </row>
    <row r="1287" ht="15" customHeight="1" s="195">
      <c r="A1287" s="284" t="n"/>
      <c r="B1287" s="284" t="n"/>
      <c r="C1287" s="284" t="n"/>
      <c r="D1287" s="284" t="n"/>
      <c r="E1287" s="284" t="n"/>
      <c r="F1287" s="284" t="n"/>
      <c r="G1287" s="284" t="n"/>
      <c r="H1287" s="284" t="n"/>
      <c r="I1287" s="284" t="n"/>
      <c r="J1287" s="284" t="n"/>
      <c r="K1287" s="284" t="n"/>
      <c r="L1287" s="309" t="n"/>
      <c r="M1287" s="284" t="n"/>
      <c r="N1287" s="284" t="n"/>
      <c r="O1287" s="284" t="n"/>
    </row>
    <row r="1288" ht="15" customHeight="1" s="195">
      <c r="A1288" s="284" t="n"/>
      <c r="B1288" s="284" t="n"/>
      <c r="C1288" s="284" t="n"/>
      <c r="D1288" s="284" t="n"/>
      <c r="E1288" s="284" t="n"/>
      <c r="F1288" s="284" t="n"/>
      <c r="G1288" s="284" t="n"/>
      <c r="H1288" s="284" t="n"/>
      <c r="I1288" s="284" t="n"/>
      <c r="J1288" s="284" t="n"/>
      <c r="K1288" s="284" t="n"/>
      <c r="L1288" s="309" t="n"/>
      <c r="M1288" s="284" t="n"/>
      <c r="N1288" s="284" t="n"/>
      <c r="O1288" s="284" t="n"/>
    </row>
    <row r="1289" ht="15" customHeight="1" s="195">
      <c r="A1289" s="284" t="n"/>
      <c r="B1289" s="284" t="n"/>
      <c r="C1289" s="284" t="n"/>
      <c r="D1289" s="284" t="n"/>
      <c r="E1289" s="284" t="n"/>
      <c r="F1289" s="284" t="n"/>
      <c r="G1289" s="284" t="n"/>
      <c r="H1289" s="284" t="n"/>
      <c r="I1289" s="284" t="n"/>
      <c r="J1289" s="284" t="n"/>
      <c r="K1289" s="284" t="n"/>
      <c r="L1289" s="309" t="n"/>
      <c r="M1289" s="284" t="n"/>
      <c r="N1289" s="284" t="n"/>
      <c r="O1289" s="284" t="n"/>
    </row>
    <row r="1290" ht="15" customHeight="1" s="195">
      <c r="A1290" s="284" t="n"/>
      <c r="B1290" s="284" t="n"/>
      <c r="C1290" s="284" t="n"/>
      <c r="D1290" s="284" t="n"/>
      <c r="E1290" s="284" t="n"/>
      <c r="F1290" s="284" t="n"/>
      <c r="G1290" s="284" t="n"/>
      <c r="H1290" s="284" t="n"/>
      <c r="I1290" s="284" t="n"/>
      <c r="J1290" s="284" t="n"/>
      <c r="K1290" s="284" t="n"/>
      <c r="L1290" s="309" t="n"/>
      <c r="M1290" s="284" t="n"/>
      <c r="N1290" s="284" t="n"/>
      <c r="O1290" s="284" t="n"/>
    </row>
    <row r="1291" ht="15" customHeight="1" s="195">
      <c r="A1291" s="284" t="n"/>
      <c r="B1291" s="284" t="n"/>
      <c r="C1291" s="284" t="n"/>
      <c r="D1291" s="284" t="n"/>
      <c r="E1291" s="284" t="n"/>
      <c r="F1291" s="284" t="n"/>
      <c r="G1291" s="284" t="n"/>
      <c r="H1291" s="284" t="n"/>
      <c r="I1291" s="284" t="n"/>
      <c r="J1291" s="284" t="n"/>
      <c r="K1291" s="284" t="n"/>
      <c r="L1291" s="309" t="n"/>
      <c r="M1291" s="284" t="n"/>
      <c r="N1291" s="284" t="n"/>
      <c r="O1291" s="284" t="n"/>
    </row>
    <row r="1292" ht="15" customHeight="1" s="195">
      <c r="A1292" s="284" t="n"/>
      <c r="B1292" s="284" t="n"/>
      <c r="C1292" s="284" t="n"/>
      <c r="D1292" s="284" t="n"/>
      <c r="E1292" s="284" t="n"/>
      <c r="F1292" s="284" t="n"/>
      <c r="G1292" s="284" t="n"/>
      <c r="H1292" s="284" t="n"/>
      <c r="I1292" s="284" t="n"/>
      <c r="J1292" s="284" t="n"/>
      <c r="K1292" s="284" t="n"/>
      <c r="L1292" s="309" t="n"/>
      <c r="M1292" s="284" t="n"/>
      <c r="N1292" s="284" t="n"/>
      <c r="O1292" s="284" t="n"/>
    </row>
    <row r="1293" ht="15" customHeight="1" s="195">
      <c r="A1293" s="284" t="n"/>
      <c r="B1293" s="284" t="n"/>
      <c r="C1293" s="284" t="n"/>
      <c r="D1293" s="284" t="n"/>
      <c r="E1293" s="284" t="n"/>
      <c r="F1293" s="284" t="n"/>
      <c r="G1293" s="284" t="n"/>
      <c r="H1293" s="284" t="n"/>
      <c r="I1293" s="284" t="n"/>
      <c r="J1293" s="284" t="n"/>
      <c r="K1293" s="284" t="n"/>
      <c r="L1293" s="309" t="n"/>
      <c r="M1293" s="284" t="n"/>
      <c r="N1293" s="284" t="n"/>
      <c r="O1293" s="284" t="n"/>
    </row>
    <row r="1294" ht="15" customHeight="1" s="195">
      <c r="A1294" s="284" t="n"/>
      <c r="B1294" s="284" t="n"/>
      <c r="C1294" s="284" t="n"/>
      <c r="D1294" s="284" t="n"/>
      <c r="E1294" s="284" t="n"/>
      <c r="F1294" s="284" t="n"/>
      <c r="G1294" s="284" t="n"/>
      <c r="H1294" s="284" t="n"/>
      <c r="I1294" s="284" t="n"/>
      <c r="J1294" s="284" t="n"/>
      <c r="K1294" s="284" t="n"/>
      <c r="L1294" s="309" t="n"/>
      <c r="M1294" s="284" t="n"/>
      <c r="N1294" s="284" t="n"/>
      <c r="O1294" s="284" t="n"/>
    </row>
    <row r="1295" ht="15" customHeight="1" s="195">
      <c r="A1295" s="284" t="n"/>
      <c r="B1295" s="284" t="n"/>
      <c r="C1295" s="284" t="n"/>
      <c r="D1295" s="284" t="n"/>
      <c r="E1295" s="284" t="n"/>
      <c r="F1295" s="284" t="n"/>
      <c r="G1295" s="284" t="n"/>
      <c r="H1295" s="284" t="n"/>
      <c r="I1295" s="284" t="n"/>
      <c r="J1295" s="284" t="n"/>
      <c r="K1295" s="284" t="n"/>
      <c r="L1295" s="309" t="n"/>
      <c r="M1295" s="284" t="n"/>
      <c r="N1295" s="284" t="n"/>
      <c r="O1295" s="284" t="n"/>
    </row>
    <row r="1296" ht="15" customHeight="1" s="195">
      <c r="A1296" s="284" t="n"/>
      <c r="B1296" s="284" t="n"/>
      <c r="C1296" s="284" t="n"/>
      <c r="D1296" s="284" t="n"/>
      <c r="E1296" s="284" t="n"/>
      <c r="F1296" s="284" t="n"/>
      <c r="G1296" s="284" t="n"/>
      <c r="H1296" s="284" t="n"/>
      <c r="I1296" s="284" t="n"/>
      <c r="J1296" s="284" t="n"/>
      <c r="K1296" s="284" t="n"/>
      <c r="L1296" s="309" t="n"/>
      <c r="M1296" s="284" t="n"/>
      <c r="N1296" s="284" t="n"/>
      <c r="O1296" s="284" t="n"/>
    </row>
    <row r="1297" ht="15" customHeight="1" s="195">
      <c r="A1297" s="284" t="n"/>
      <c r="B1297" s="284" t="n"/>
      <c r="C1297" s="284" t="n"/>
      <c r="D1297" s="284" t="n"/>
      <c r="E1297" s="284" t="n"/>
      <c r="F1297" s="284" t="n"/>
      <c r="G1297" s="284" t="n"/>
      <c r="H1297" s="284" t="n"/>
      <c r="I1297" s="284" t="n"/>
      <c r="J1297" s="284" t="n"/>
      <c r="K1297" s="284" t="n"/>
      <c r="L1297" s="309" t="n"/>
      <c r="M1297" s="284" t="n"/>
      <c r="N1297" s="284" t="n"/>
      <c r="O1297" s="284" t="n"/>
    </row>
    <row r="1298" ht="15" customHeight="1" s="195">
      <c r="A1298" s="284" t="n"/>
      <c r="B1298" s="284" t="n"/>
      <c r="C1298" s="284" t="n"/>
      <c r="D1298" s="284" t="n"/>
      <c r="E1298" s="284" t="n"/>
      <c r="F1298" s="284" t="n"/>
      <c r="G1298" s="284" t="n"/>
      <c r="H1298" s="284" t="n"/>
      <c r="I1298" s="284" t="n"/>
      <c r="J1298" s="284" t="n"/>
      <c r="K1298" s="284" t="n"/>
      <c r="L1298" s="309" t="n"/>
      <c r="M1298" s="284" t="n"/>
      <c r="N1298" s="284" t="n"/>
      <c r="O1298" s="284" t="n"/>
    </row>
    <row r="1299" ht="15" customHeight="1" s="195">
      <c r="A1299" s="284" t="n"/>
      <c r="B1299" s="284" t="n"/>
      <c r="C1299" s="284" t="n"/>
      <c r="D1299" s="284" t="n"/>
      <c r="E1299" s="284" t="n"/>
      <c r="F1299" s="284" t="n"/>
      <c r="G1299" s="284" t="n"/>
      <c r="H1299" s="284" t="n"/>
      <c r="I1299" s="284" t="n"/>
      <c r="J1299" s="284" t="n"/>
      <c r="K1299" s="284" t="n"/>
      <c r="L1299" s="309" t="n"/>
      <c r="M1299" s="284" t="n"/>
      <c r="N1299" s="284" t="n"/>
      <c r="O1299" s="284" t="n"/>
    </row>
    <row r="1300" ht="15" customHeight="1" s="195">
      <c r="A1300" s="284" t="n"/>
      <c r="B1300" s="284" t="n"/>
      <c r="C1300" s="284" t="n"/>
      <c r="D1300" s="284" t="n"/>
      <c r="E1300" s="284" t="n"/>
      <c r="F1300" s="284" t="n"/>
      <c r="G1300" s="284" t="n"/>
      <c r="H1300" s="284" t="n"/>
      <c r="I1300" s="284" t="n"/>
      <c r="J1300" s="284" t="n"/>
      <c r="K1300" s="284" t="n"/>
      <c r="L1300" s="309" t="n"/>
      <c r="M1300" s="284" t="n"/>
      <c r="N1300" s="284" t="n"/>
      <c r="O1300" s="284" t="n"/>
    </row>
    <row r="1301" ht="15" customHeight="1" s="195">
      <c r="A1301" s="284" t="n"/>
      <c r="B1301" s="284" t="n"/>
      <c r="C1301" s="284" t="n"/>
      <c r="D1301" s="284" t="n"/>
      <c r="E1301" s="284" t="n"/>
      <c r="F1301" s="284" t="n"/>
      <c r="G1301" s="284" t="n"/>
      <c r="H1301" s="284" t="n"/>
      <c r="I1301" s="284" t="n"/>
      <c r="J1301" s="284" t="n"/>
      <c r="K1301" s="284" t="n"/>
      <c r="L1301" s="309" t="n"/>
      <c r="M1301" s="284" t="n"/>
      <c r="N1301" s="284" t="n"/>
      <c r="O1301" s="284" t="n"/>
    </row>
    <row r="1302" ht="15" customHeight="1" s="195">
      <c r="A1302" s="284" t="n"/>
      <c r="B1302" s="284" t="n"/>
      <c r="C1302" s="284" t="n"/>
      <c r="D1302" s="284" t="n"/>
      <c r="E1302" s="284" t="n"/>
      <c r="F1302" s="284" t="n"/>
      <c r="G1302" s="284" t="n"/>
      <c r="H1302" s="284" t="n"/>
      <c r="I1302" s="284" t="n"/>
      <c r="J1302" s="284" t="n"/>
      <c r="K1302" s="284" t="n"/>
      <c r="L1302" s="309" t="n"/>
      <c r="M1302" s="284" t="n"/>
      <c r="N1302" s="284" t="n"/>
      <c r="O1302" s="284" t="n"/>
    </row>
    <row r="1303" ht="15" customHeight="1" s="195">
      <c r="A1303" s="284" t="n"/>
      <c r="B1303" s="284" t="n"/>
      <c r="C1303" s="284" t="n"/>
      <c r="D1303" s="284" t="n"/>
      <c r="E1303" s="284" t="n"/>
      <c r="F1303" s="284" t="n"/>
      <c r="G1303" s="284" t="n"/>
      <c r="H1303" s="284" t="n"/>
      <c r="I1303" s="284" t="n"/>
      <c r="J1303" s="284" t="n"/>
      <c r="K1303" s="284" t="n"/>
      <c r="L1303" s="309" t="n"/>
      <c r="M1303" s="284" t="n"/>
      <c r="N1303" s="284" t="n"/>
      <c r="O1303" s="284" t="n"/>
    </row>
    <row r="1304" ht="15" customHeight="1" s="195">
      <c r="A1304" s="284" t="n"/>
      <c r="B1304" s="284" t="n"/>
      <c r="C1304" s="284" t="n"/>
      <c r="D1304" s="284" t="n"/>
      <c r="E1304" s="284" t="n"/>
      <c r="F1304" s="284" t="n"/>
      <c r="G1304" s="284" t="n"/>
      <c r="H1304" s="284" t="n"/>
      <c r="I1304" s="284" t="n"/>
      <c r="J1304" s="284" t="n"/>
      <c r="K1304" s="284" t="n"/>
      <c r="L1304" s="309" t="n"/>
      <c r="M1304" s="284" t="n"/>
      <c r="N1304" s="284" t="n"/>
      <c r="O1304" s="284" t="n"/>
    </row>
    <row r="1305" ht="15" customHeight="1" s="195">
      <c r="A1305" s="284" t="n"/>
      <c r="B1305" s="284" t="n"/>
      <c r="C1305" s="284" t="n"/>
      <c r="D1305" s="284" t="n"/>
      <c r="E1305" s="284" t="n"/>
      <c r="F1305" s="284" t="n"/>
      <c r="G1305" s="284" t="n"/>
      <c r="H1305" s="284" t="n"/>
      <c r="I1305" s="284" t="n"/>
      <c r="J1305" s="284" t="n"/>
      <c r="K1305" s="284" t="n"/>
      <c r="L1305" s="309" t="n"/>
      <c r="M1305" s="284" t="n"/>
      <c r="N1305" s="284" t="n"/>
      <c r="O1305" s="284" t="n"/>
    </row>
    <row r="1306" ht="15" customHeight="1" s="195">
      <c r="A1306" s="284" t="n"/>
      <c r="B1306" s="284" t="n"/>
      <c r="C1306" s="284" t="n"/>
      <c r="D1306" s="284" t="n"/>
      <c r="E1306" s="284" t="n"/>
      <c r="F1306" s="284" t="n"/>
      <c r="G1306" s="284" t="n"/>
      <c r="H1306" s="284" t="n"/>
      <c r="I1306" s="284" t="n"/>
      <c r="J1306" s="284" t="n"/>
      <c r="K1306" s="284" t="n"/>
      <c r="L1306" s="309" t="n"/>
      <c r="M1306" s="284" t="n"/>
      <c r="N1306" s="284" t="n"/>
      <c r="O1306" s="284" t="n"/>
    </row>
    <row r="1307" ht="15" customHeight="1" s="195">
      <c r="A1307" s="284" t="n"/>
      <c r="B1307" s="284" t="n"/>
      <c r="C1307" s="284" t="n"/>
      <c r="D1307" s="284" t="n"/>
      <c r="E1307" s="284" t="n"/>
      <c r="F1307" s="284" t="n"/>
      <c r="G1307" s="284" t="n"/>
      <c r="H1307" s="284" t="n"/>
      <c r="I1307" s="284" t="n"/>
      <c r="J1307" s="284" t="n"/>
      <c r="K1307" s="284" t="n"/>
      <c r="L1307" s="309" t="n"/>
      <c r="M1307" s="284" t="n"/>
      <c r="N1307" s="284" t="n"/>
      <c r="O1307" s="284" t="n"/>
    </row>
    <row r="1308" ht="15" customHeight="1" s="195">
      <c r="A1308" s="284" t="n"/>
      <c r="B1308" s="284" t="n"/>
      <c r="C1308" s="284" t="n"/>
      <c r="D1308" s="284" t="n"/>
      <c r="E1308" s="284" t="n"/>
      <c r="F1308" s="284" t="n"/>
      <c r="G1308" s="284" t="n"/>
      <c r="H1308" s="284" t="n"/>
      <c r="I1308" s="284" t="n"/>
      <c r="J1308" s="284" t="n"/>
      <c r="K1308" s="284" t="n"/>
      <c r="L1308" s="309" t="n"/>
      <c r="M1308" s="284" t="n"/>
      <c r="N1308" s="284" t="n"/>
      <c r="O1308" s="284" t="n"/>
    </row>
    <row r="1309" ht="15" customHeight="1" s="195">
      <c r="A1309" s="284" t="n"/>
      <c r="B1309" s="284" t="n"/>
      <c r="C1309" s="284" t="n"/>
      <c r="D1309" s="284" t="n"/>
      <c r="E1309" s="284" t="n"/>
      <c r="F1309" s="284" t="n"/>
      <c r="G1309" s="284" t="n"/>
      <c r="H1309" s="284" t="n"/>
      <c r="I1309" s="284" t="n"/>
      <c r="J1309" s="284" t="n"/>
      <c r="K1309" s="284" t="n"/>
      <c r="L1309" s="309" t="n"/>
      <c r="M1309" s="284" t="n"/>
      <c r="N1309" s="284" t="n"/>
      <c r="O1309" s="284" t="n"/>
    </row>
    <row r="1310" ht="15" customHeight="1" s="195">
      <c r="A1310" s="284" t="n"/>
      <c r="B1310" s="284" t="n"/>
      <c r="C1310" s="284" t="n"/>
      <c r="D1310" s="284" t="n"/>
      <c r="E1310" s="284" t="n"/>
      <c r="F1310" s="284" t="n"/>
      <c r="G1310" s="284" t="n"/>
      <c r="H1310" s="284" t="n"/>
      <c r="I1310" s="284" t="n"/>
      <c r="J1310" s="284" t="n"/>
      <c r="K1310" s="284" t="n"/>
      <c r="L1310" s="309" t="n"/>
      <c r="M1310" s="284" t="n"/>
      <c r="N1310" s="284" t="n"/>
      <c r="O1310" s="284" t="n"/>
    </row>
    <row r="1311" ht="15" customHeight="1" s="195">
      <c r="A1311" s="284" t="n"/>
      <c r="B1311" s="284" t="n"/>
      <c r="C1311" s="284" t="n"/>
      <c r="D1311" s="284" t="n"/>
      <c r="E1311" s="284" t="n"/>
      <c r="F1311" s="284" t="n"/>
      <c r="G1311" s="284" t="n"/>
      <c r="H1311" s="284" t="n"/>
      <c r="I1311" s="284" t="n"/>
      <c r="J1311" s="284" t="n"/>
      <c r="K1311" s="284" t="n"/>
      <c r="L1311" s="309" t="n"/>
      <c r="M1311" s="284" t="n"/>
      <c r="N1311" s="284" t="n"/>
      <c r="O1311" s="284" t="n"/>
    </row>
    <row r="1312" ht="15" customHeight="1" s="195">
      <c r="A1312" s="284" t="n"/>
      <c r="B1312" s="284" t="n"/>
      <c r="C1312" s="284" t="n"/>
      <c r="D1312" s="284" t="n"/>
      <c r="E1312" s="284" t="n"/>
      <c r="F1312" s="284" t="n"/>
      <c r="G1312" s="284" t="n"/>
      <c r="H1312" s="284" t="n"/>
      <c r="I1312" s="284" t="n"/>
      <c r="J1312" s="284" t="n"/>
      <c r="K1312" s="284" t="n"/>
      <c r="L1312" s="309" t="n"/>
      <c r="M1312" s="284" t="n"/>
      <c r="N1312" s="284" t="n"/>
      <c r="O1312" s="284" t="n"/>
    </row>
    <row r="1313" ht="15" customHeight="1" s="195">
      <c r="A1313" s="284" t="n"/>
      <c r="B1313" s="284" t="n"/>
      <c r="C1313" s="284" t="n"/>
      <c r="D1313" s="284" t="n"/>
      <c r="E1313" s="284" t="n"/>
      <c r="F1313" s="284" t="n"/>
      <c r="G1313" s="284" t="n"/>
      <c r="H1313" s="284" t="n"/>
      <c r="I1313" s="284" t="n"/>
      <c r="J1313" s="284" t="n"/>
      <c r="K1313" s="284" t="n"/>
      <c r="L1313" s="309" t="n"/>
      <c r="M1313" s="284" t="n"/>
      <c r="N1313" s="284" t="n"/>
      <c r="O1313" s="284" t="n"/>
    </row>
    <row r="1314" ht="15" customHeight="1" s="195">
      <c r="A1314" s="284" t="n"/>
      <c r="B1314" s="284" t="n"/>
      <c r="C1314" s="284" t="n"/>
      <c r="D1314" s="284" t="n"/>
      <c r="E1314" s="284" t="n"/>
      <c r="F1314" s="284" t="n"/>
      <c r="G1314" s="284" t="n"/>
      <c r="H1314" s="284" t="n"/>
      <c r="I1314" s="284" t="n"/>
      <c r="J1314" s="284" t="n"/>
      <c r="K1314" s="284" t="n"/>
      <c r="L1314" s="309" t="n"/>
      <c r="M1314" s="284" t="n"/>
      <c r="N1314" s="284" t="n"/>
      <c r="O1314" s="284" t="n"/>
    </row>
    <row r="1315" ht="15" customHeight="1" s="195">
      <c r="A1315" s="284" t="n"/>
      <c r="B1315" s="284" t="n"/>
      <c r="C1315" s="284" t="n"/>
      <c r="D1315" s="284" t="n"/>
      <c r="E1315" s="284" t="n"/>
      <c r="F1315" s="284" t="n"/>
      <c r="G1315" s="284" t="n"/>
      <c r="H1315" s="284" t="n"/>
      <c r="I1315" s="284" t="n"/>
      <c r="J1315" s="284" t="n"/>
      <c r="K1315" s="284" t="n"/>
      <c r="L1315" s="309" t="n"/>
      <c r="M1315" s="284" t="n"/>
      <c r="N1315" s="284" t="n"/>
      <c r="O1315" s="284" t="n"/>
    </row>
    <row r="1316" ht="15" customHeight="1" s="195">
      <c r="A1316" s="284" t="n"/>
      <c r="B1316" s="284" t="n"/>
      <c r="C1316" s="284" t="n"/>
      <c r="D1316" s="284" t="n"/>
      <c r="E1316" s="284" t="n"/>
      <c r="F1316" s="284" t="n"/>
      <c r="G1316" s="284" t="n"/>
      <c r="H1316" s="284" t="n"/>
      <c r="I1316" s="284" t="n"/>
      <c r="J1316" s="284" t="n"/>
      <c r="K1316" s="284" t="n"/>
      <c r="L1316" s="309" t="n"/>
      <c r="M1316" s="284" t="n"/>
      <c r="N1316" s="284" t="n"/>
      <c r="O1316" s="284" t="n"/>
    </row>
    <row r="1317" ht="15" customHeight="1" s="195">
      <c r="A1317" s="284" t="n"/>
      <c r="B1317" s="284" t="n"/>
      <c r="C1317" s="284" t="n"/>
      <c r="D1317" s="284" t="n"/>
      <c r="E1317" s="284" t="n"/>
      <c r="F1317" s="284" t="n"/>
      <c r="G1317" s="284" t="n"/>
      <c r="H1317" s="284" t="n"/>
      <c r="I1317" s="284" t="n"/>
      <c r="J1317" s="284" t="n"/>
      <c r="K1317" s="284" t="n"/>
      <c r="L1317" s="309" t="n"/>
      <c r="M1317" s="284" t="n"/>
      <c r="N1317" s="284" t="n"/>
      <c r="O1317" s="284" t="n"/>
    </row>
    <row r="1318" ht="15" customHeight="1" s="195">
      <c r="A1318" s="284" t="n"/>
      <c r="B1318" s="284" t="n"/>
      <c r="C1318" s="284" t="n"/>
      <c r="D1318" s="284" t="n"/>
      <c r="E1318" s="284" t="n"/>
      <c r="F1318" s="284" t="n"/>
      <c r="G1318" s="284" t="n"/>
      <c r="H1318" s="284" t="n"/>
      <c r="I1318" s="284" t="n"/>
      <c r="J1318" s="284" t="n"/>
      <c r="K1318" s="284" t="n"/>
      <c r="L1318" s="309" t="n"/>
      <c r="M1318" s="284" t="n"/>
      <c r="N1318" s="284" t="n"/>
      <c r="O1318" s="284" t="n"/>
    </row>
    <row r="1319" ht="15" customHeight="1" s="195">
      <c r="A1319" s="284" t="n"/>
      <c r="B1319" s="284" t="n"/>
      <c r="C1319" s="284" t="n"/>
      <c r="D1319" s="284" t="n"/>
      <c r="E1319" s="284" t="n"/>
      <c r="F1319" s="284" t="n"/>
      <c r="G1319" s="284" t="n"/>
      <c r="H1319" s="284" t="n"/>
      <c r="I1319" s="284" t="n"/>
      <c r="J1319" s="284" t="n"/>
      <c r="K1319" s="284" t="n"/>
      <c r="L1319" s="309" t="n"/>
      <c r="M1319" s="284" t="n"/>
      <c r="N1319" s="284" t="n"/>
      <c r="O1319" s="284" t="n"/>
    </row>
    <row r="1320" ht="15" customHeight="1" s="195">
      <c r="A1320" s="284" t="n"/>
      <c r="B1320" s="284" t="n"/>
      <c r="C1320" s="284" t="n"/>
      <c r="D1320" s="284" t="n"/>
      <c r="E1320" s="284" t="n"/>
      <c r="F1320" s="284" t="n"/>
      <c r="G1320" s="284" t="n"/>
      <c r="H1320" s="284" t="n"/>
      <c r="I1320" s="284" t="n"/>
      <c r="J1320" s="284" t="n"/>
      <c r="K1320" s="284" t="n"/>
      <c r="L1320" s="309" t="n"/>
      <c r="M1320" s="284" t="n"/>
      <c r="N1320" s="284" t="n"/>
      <c r="O1320" s="284" t="n"/>
    </row>
    <row r="1321" ht="15" customHeight="1" s="195">
      <c r="A1321" s="284" t="n"/>
      <c r="B1321" s="284" t="n"/>
      <c r="C1321" s="284" t="n"/>
      <c r="D1321" s="284" t="n"/>
      <c r="E1321" s="284" t="n"/>
      <c r="F1321" s="284" t="n"/>
      <c r="G1321" s="284" t="n"/>
      <c r="H1321" s="284" t="n"/>
      <c r="I1321" s="284" t="n"/>
      <c r="J1321" s="284" t="n"/>
      <c r="K1321" s="284" t="n"/>
      <c r="L1321" s="309" t="n"/>
      <c r="M1321" s="284" t="n"/>
      <c r="N1321" s="284" t="n"/>
      <c r="O1321" s="284" t="n"/>
    </row>
    <row r="1322" ht="24" customHeight="1" s="195">
      <c r="A1322" s="284" t="n"/>
      <c r="B1322" s="284" t="n"/>
      <c r="C1322" s="284" t="n"/>
      <c r="D1322" s="284" t="n"/>
      <c r="E1322" s="284" t="n"/>
      <c r="F1322" s="284" t="n"/>
      <c r="G1322" s="284" t="n"/>
      <c r="H1322" s="284" t="n"/>
      <c r="I1322" s="284" t="n"/>
      <c r="J1322" s="284" t="n"/>
      <c r="K1322" s="284" t="n"/>
      <c r="L1322" s="309" t="n"/>
      <c r="M1322" s="284" t="n"/>
      <c r="N1322" s="284" t="n"/>
      <c r="O1322" s="284" t="n"/>
    </row>
    <row r="1323" ht="15" customHeight="1" s="195">
      <c r="A1323" s="284" t="n"/>
      <c r="B1323" s="284" t="n"/>
      <c r="C1323" s="284" t="n"/>
      <c r="D1323" s="284" t="n"/>
      <c r="E1323" s="284" t="n"/>
      <c r="F1323" s="284" t="n"/>
      <c r="G1323" s="284" t="n"/>
      <c r="H1323" s="284" t="n"/>
      <c r="I1323" s="284" t="n"/>
      <c r="J1323" s="284" t="n"/>
      <c r="K1323" s="284" t="n"/>
      <c r="L1323" s="309" t="n"/>
      <c r="M1323" s="284" t="n"/>
      <c r="N1323" s="284" t="n"/>
      <c r="O1323" s="284" t="n"/>
    </row>
    <row r="1324" ht="15" customHeight="1" s="195">
      <c r="A1324" s="284" t="n"/>
      <c r="B1324" s="284" t="n"/>
      <c r="C1324" s="284" t="n"/>
      <c r="D1324" s="284" t="n"/>
      <c r="E1324" s="284" t="n"/>
      <c r="F1324" s="284" t="n"/>
      <c r="G1324" s="284" t="n"/>
      <c r="H1324" s="284" t="n"/>
      <c r="I1324" s="284" t="n"/>
      <c r="J1324" s="284" t="n"/>
      <c r="K1324" s="284" t="n"/>
      <c r="L1324" s="309" t="n"/>
      <c r="M1324" s="284" t="n"/>
      <c r="N1324" s="284" t="n"/>
      <c r="O1324" s="284" t="n"/>
    </row>
    <row r="1325" ht="15" customHeight="1" s="195">
      <c r="A1325" s="284" t="n"/>
      <c r="B1325" s="284" t="n"/>
      <c r="C1325" s="284" t="n"/>
      <c r="D1325" s="284" t="n"/>
      <c r="E1325" s="284" t="n"/>
      <c r="F1325" s="284" t="n"/>
      <c r="G1325" s="284" t="n"/>
      <c r="H1325" s="284" t="n"/>
      <c r="I1325" s="284" t="n"/>
      <c r="J1325" s="284" t="n"/>
      <c r="K1325" s="284" t="n"/>
      <c r="L1325" s="309" t="n"/>
      <c r="M1325" s="284" t="n"/>
      <c r="N1325" s="284" t="n"/>
      <c r="O1325" s="284" t="n"/>
    </row>
    <row r="1326" ht="15" customHeight="1" s="195">
      <c r="A1326" s="284" t="n"/>
      <c r="B1326" s="284" t="n"/>
      <c r="C1326" s="284" t="n"/>
      <c r="D1326" s="284" t="n"/>
      <c r="E1326" s="284" t="n"/>
      <c r="F1326" s="284" t="n"/>
      <c r="G1326" s="284" t="n"/>
      <c r="H1326" s="284" t="n"/>
      <c r="I1326" s="284" t="n"/>
      <c r="J1326" s="284" t="n"/>
      <c r="K1326" s="284" t="n"/>
      <c r="L1326" s="309" t="n"/>
      <c r="M1326" s="284" t="n"/>
      <c r="N1326" s="284" t="n"/>
      <c r="O1326" s="284" t="n"/>
    </row>
    <row r="1327" ht="15" customHeight="1" s="195">
      <c r="A1327" s="284" t="n"/>
      <c r="B1327" s="284" t="n"/>
      <c r="C1327" s="284" t="n"/>
      <c r="D1327" s="284" t="n"/>
      <c r="E1327" s="284" t="n"/>
      <c r="F1327" s="284" t="n"/>
      <c r="G1327" s="284" t="n"/>
      <c r="H1327" s="284" t="n"/>
      <c r="I1327" s="284" t="n"/>
      <c r="J1327" s="284" t="n"/>
      <c r="K1327" s="284" t="n"/>
      <c r="L1327" s="309" t="n"/>
      <c r="M1327" s="284" t="n"/>
      <c r="N1327" s="284" t="n"/>
      <c r="O1327" s="284" t="n"/>
    </row>
    <row r="1328" ht="15" customHeight="1" s="195">
      <c r="A1328" s="284" t="n"/>
      <c r="B1328" s="284" t="n"/>
      <c r="C1328" s="284" t="n"/>
      <c r="D1328" s="284" t="n"/>
      <c r="E1328" s="284" t="n"/>
      <c r="F1328" s="284" t="n"/>
      <c r="G1328" s="284" t="n"/>
      <c r="H1328" s="284" t="n"/>
      <c r="I1328" s="284" t="n"/>
      <c r="J1328" s="284" t="n"/>
      <c r="K1328" s="284" t="n"/>
      <c r="L1328" s="309" t="n"/>
      <c r="M1328" s="284" t="n"/>
      <c r="N1328" s="284" t="n"/>
      <c r="O1328" s="284" t="n"/>
    </row>
    <row r="1329" ht="15" customHeight="1" s="195">
      <c r="A1329" s="284" t="n"/>
      <c r="B1329" s="284" t="n"/>
      <c r="C1329" s="284" t="n"/>
      <c r="D1329" s="284" t="n"/>
      <c r="E1329" s="284" t="n"/>
      <c r="F1329" s="284" t="n"/>
      <c r="G1329" s="284" t="n"/>
      <c r="H1329" s="284" t="n"/>
      <c r="I1329" s="284" t="n"/>
      <c r="J1329" s="284" t="n"/>
      <c r="K1329" s="284" t="n"/>
      <c r="L1329" s="309" t="n"/>
      <c r="M1329" s="284" t="n"/>
      <c r="N1329" s="284" t="n"/>
      <c r="O1329" s="284" t="n"/>
    </row>
    <row r="1330" ht="15" customHeight="1" s="195">
      <c r="A1330" s="284" t="n"/>
      <c r="B1330" s="284" t="n"/>
      <c r="C1330" s="284" t="n"/>
      <c r="D1330" s="284" t="n"/>
      <c r="E1330" s="284" t="n"/>
      <c r="F1330" s="284" t="n"/>
      <c r="G1330" s="284" t="n"/>
      <c r="H1330" s="284" t="n"/>
      <c r="I1330" s="284" t="n"/>
      <c r="J1330" s="284" t="n"/>
      <c r="K1330" s="284" t="n"/>
      <c r="L1330" s="309" t="n"/>
      <c r="M1330" s="284" t="n"/>
      <c r="N1330" s="284" t="n"/>
      <c r="O1330" s="284" t="n"/>
    </row>
    <row r="1331" ht="15" customHeight="1" s="195">
      <c r="A1331" s="284" t="n"/>
      <c r="B1331" s="284" t="n"/>
      <c r="C1331" s="284" t="n"/>
      <c r="D1331" s="284" t="n"/>
      <c r="E1331" s="284" t="n"/>
      <c r="F1331" s="284" t="n"/>
      <c r="G1331" s="284" t="n"/>
      <c r="H1331" s="284" t="n"/>
      <c r="I1331" s="284" t="n"/>
      <c r="J1331" s="284" t="n"/>
      <c r="K1331" s="284" t="n"/>
      <c r="L1331" s="309" t="n"/>
      <c r="M1331" s="284" t="n"/>
      <c r="N1331" s="284" t="n"/>
      <c r="O1331" s="284" t="n"/>
    </row>
    <row r="1332" ht="15" customHeight="1" s="195">
      <c r="A1332" s="284" t="n"/>
      <c r="B1332" s="284" t="n"/>
      <c r="C1332" s="284" t="n"/>
      <c r="D1332" s="284" t="n"/>
      <c r="E1332" s="284" t="n"/>
      <c r="F1332" s="284" t="n"/>
      <c r="G1332" s="284" t="n"/>
      <c r="H1332" s="284" t="n"/>
      <c r="I1332" s="284" t="n"/>
      <c r="J1332" s="284" t="n"/>
      <c r="K1332" s="284" t="n"/>
      <c r="L1332" s="309" t="n"/>
      <c r="M1332" s="284" t="n"/>
      <c r="N1332" s="284" t="n"/>
      <c r="O1332" s="284" t="n"/>
    </row>
    <row r="1333" ht="15" customHeight="1" s="195">
      <c r="A1333" s="284" t="n"/>
      <c r="B1333" s="284" t="n"/>
      <c r="C1333" s="284" t="n"/>
      <c r="D1333" s="284" t="n"/>
      <c r="E1333" s="284" t="n"/>
      <c r="F1333" s="284" t="n"/>
      <c r="G1333" s="284" t="n"/>
      <c r="H1333" s="284" t="n"/>
      <c r="I1333" s="284" t="n"/>
      <c r="J1333" s="284" t="n"/>
      <c r="K1333" s="284" t="n"/>
      <c r="L1333" s="309" t="n"/>
      <c r="M1333" s="284" t="n"/>
      <c r="N1333" s="284" t="n"/>
      <c r="O1333" s="284" t="n"/>
    </row>
    <row r="1334" ht="15" customHeight="1" s="195">
      <c r="A1334" s="284" t="n"/>
      <c r="B1334" s="284" t="n"/>
      <c r="C1334" s="284" t="n"/>
      <c r="D1334" s="284" t="n"/>
      <c r="E1334" s="284" t="n"/>
      <c r="F1334" s="284" t="n"/>
      <c r="G1334" s="284" t="n"/>
      <c r="H1334" s="284" t="n"/>
      <c r="I1334" s="284" t="n"/>
      <c r="J1334" s="284" t="n"/>
      <c r="K1334" s="284" t="n"/>
      <c r="L1334" s="309" t="n"/>
      <c r="M1334" s="284" t="n"/>
      <c r="N1334" s="284" t="n"/>
      <c r="O1334" s="284" t="n"/>
    </row>
    <row r="1335" ht="15" customHeight="1" s="195">
      <c r="A1335" s="284" t="n"/>
      <c r="B1335" s="284" t="n"/>
      <c r="C1335" s="284" t="n"/>
      <c r="D1335" s="284" t="n"/>
      <c r="E1335" s="284" t="n"/>
      <c r="F1335" s="284" t="n"/>
      <c r="G1335" s="284" t="n"/>
      <c r="H1335" s="284" t="n"/>
      <c r="I1335" s="284" t="n"/>
      <c r="J1335" s="284" t="n"/>
      <c r="K1335" s="284" t="n"/>
      <c r="L1335" s="309" t="n"/>
      <c r="M1335" s="284" t="n"/>
      <c r="N1335" s="284" t="n"/>
      <c r="O1335" s="284" t="n"/>
    </row>
    <row r="1336" ht="15" customHeight="1" s="195">
      <c r="A1336" s="284" t="n"/>
      <c r="B1336" s="284" t="n"/>
      <c r="C1336" s="284" t="n"/>
      <c r="D1336" s="284" t="n"/>
      <c r="E1336" s="284" t="n"/>
      <c r="F1336" s="284" t="n"/>
      <c r="G1336" s="284" t="n"/>
      <c r="H1336" s="284" t="n"/>
      <c r="I1336" s="284" t="n"/>
      <c r="J1336" s="284" t="n"/>
      <c r="K1336" s="284" t="n"/>
      <c r="L1336" s="309" t="n"/>
      <c r="M1336" s="284" t="n"/>
      <c r="N1336" s="284" t="n"/>
      <c r="O1336" s="284" t="n"/>
    </row>
    <row r="1337" ht="15" customHeight="1" s="195">
      <c r="A1337" s="284" t="n"/>
      <c r="B1337" s="284" t="n"/>
      <c r="C1337" s="284" t="n"/>
      <c r="D1337" s="284" t="n"/>
      <c r="E1337" s="284" t="n"/>
      <c r="F1337" s="284" t="n"/>
      <c r="G1337" s="284" t="n"/>
      <c r="H1337" s="284" t="n"/>
      <c r="I1337" s="284" t="n"/>
      <c r="J1337" s="284" t="n"/>
      <c r="K1337" s="284" t="n"/>
      <c r="L1337" s="309" t="n"/>
      <c r="M1337" s="284" t="n"/>
      <c r="N1337" s="284" t="n"/>
      <c r="O1337" s="284" t="n"/>
    </row>
    <row r="1338" ht="15" customHeight="1" s="195">
      <c r="A1338" s="284" t="n"/>
      <c r="B1338" s="284" t="n"/>
      <c r="C1338" s="284" t="n"/>
      <c r="D1338" s="284" t="n"/>
      <c r="E1338" s="284" t="n"/>
      <c r="F1338" s="284" t="n"/>
      <c r="G1338" s="284" t="n"/>
      <c r="H1338" s="284" t="n"/>
      <c r="I1338" s="284" t="n"/>
      <c r="J1338" s="284" t="n"/>
      <c r="K1338" s="284" t="n"/>
      <c r="L1338" s="309" t="n"/>
      <c r="M1338" s="284" t="n"/>
      <c r="N1338" s="284" t="n"/>
      <c r="O1338" s="284" t="n"/>
    </row>
    <row r="1339" ht="15" customHeight="1" s="195">
      <c r="A1339" s="284" t="n"/>
      <c r="B1339" s="284" t="n"/>
      <c r="C1339" s="284" t="n"/>
      <c r="D1339" s="284" t="n"/>
      <c r="E1339" s="284" t="n"/>
      <c r="F1339" s="284" t="n"/>
      <c r="G1339" s="284" t="n"/>
      <c r="H1339" s="284" t="n"/>
      <c r="I1339" s="284" t="n"/>
      <c r="J1339" s="284" t="n"/>
      <c r="K1339" s="284" t="n"/>
      <c r="L1339" s="309" t="n"/>
      <c r="M1339" s="284" t="n"/>
      <c r="N1339" s="284" t="n"/>
      <c r="O1339" s="284" t="n"/>
    </row>
    <row r="1340" ht="15" customHeight="1" s="195">
      <c r="A1340" s="284" t="n"/>
      <c r="B1340" s="284" t="n"/>
      <c r="C1340" s="284" t="n"/>
      <c r="D1340" s="284" t="n"/>
      <c r="E1340" s="284" t="n"/>
      <c r="F1340" s="284" t="n"/>
      <c r="G1340" s="284" t="n"/>
      <c r="H1340" s="284" t="n"/>
      <c r="I1340" s="284" t="n"/>
      <c r="J1340" s="284" t="n"/>
      <c r="K1340" s="284" t="n"/>
      <c r="L1340" s="309" t="n"/>
      <c r="M1340" s="284" t="n"/>
      <c r="N1340" s="284" t="n"/>
      <c r="O1340" s="284" t="n"/>
    </row>
    <row r="1341" ht="15" customHeight="1" s="195">
      <c r="A1341" s="284" t="n"/>
      <c r="B1341" s="284" t="n"/>
      <c r="C1341" s="284" t="n"/>
      <c r="D1341" s="284" t="n"/>
      <c r="E1341" s="284" t="n"/>
      <c r="F1341" s="284" t="n"/>
      <c r="G1341" s="284" t="n"/>
      <c r="H1341" s="284" t="n"/>
      <c r="I1341" s="284" t="n"/>
      <c r="J1341" s="284" t="n"/>
      <c r="K1341" s="284" t="n"/>
      <c r="L1341" s="309" t="n"/>
      <c r="M1341" s="284" t="n"/>
      <c r="N1341" s="284" t="n"/>
      <c r="O1341" s="284" t="n"/>
    </row>
    <row r="1342" ht="15" customHeight="1" s="195">
      <c r="A1342" s="284" t="n"/>
      <c r="B1342" s="284" t="n"/>
      <c r="C1342" s="284" t="n"/>
      <c r="D1342" s="284" t="n"/>
      <c r="E1342" s="284" t="n"/>
      <c r="F1342" s="284" t="n"/>
      <c r="G1342" s="284" t="n"/>
      <c r="H1342" s="284" t="n"/>
      <c r="I1342" s="284" t="n"/>
      <c r="J1342" s="284" t="n"/>
      <c r="K1342" s="284" t="n"/>
      <c r="L1342" s="309" t="n"/>
      <c r="M1342" s="284" t="n"/>
      <c r="N1342" s="284" t="n"/>
      <c r="O1342" s="284" t="n"/>
    </row>
    <row r="1343" ht="15" customHeight="1" s="195">
      <c r="A1343" s="284" t="n"/>
      <c r="B1343" s="284" t="n"/>
      <c r="C1343" s="284" t="n"/>
      <c r="D1343" s="284" t="n"/>
      <c r="E1343" s="284" t="n"/>
      <c r="F1343" s="284" t="n"/>
      <c r="G1343" s="284" t="n"/>
      <c r="H1343" s="284" t="n"/>
      <c r="I1343" s="284" t="n"/>
      <c r="J1343" s="284" t="n"/>
      <c r="K1343" s="284" t="n"/>
      <c r="L1343" s="309" t="n"/>
      <c r="M1343" s="284" t="n"/>
      <c r="N1343" s="284" t="n"/>
      <c r="O1343" s="284" t="n"/>
    </row>
    <row r="1344" ht="15" customHeight="1" s="195">
      <c r="A1344" s="284" t="n"/>
      <c r="B1344" s="284" t="n"/>
      <c r="C1344" s="284" t="n"/>
      <c r="D1344" s="284" t="n"/>
      <c r="E1344" s="284" t="n"/>
      <c r="F1344" s="284" t="n"/>
      <c r="G1344" s="284" t="n"/>
      <c r="H1344" s="284" t="n"/>
      <c r="I1344" s="284" t="n"/>
      <c r="J1344" s="284" t="n"/>
      <c r="K1344" s="284" t="n"/>
      <c r="L1344" s="309" t="n"/>
      <c r="M1344" s="284" t="n"/>
      <c r="N1344" s="284" t="n"/>
      <c r="O1344" s="284" t="n"/>
    </row>
    <row r="1345" ht="15" customHeight="1" s="195">
      <c r="A1345" s="284" t="n"/>
      <c r="B1345" s="284" t="n"/>
      <c r="C1345" s="284" t="n"/>
      <c r="D1345" s="284" t="n"/>
      <c r="E1345" s="284" t="n"/>
      <c r="F1345" s="284" t="n"/>
      <c r="G1345" s="284" t="n"/>
      <c r="H1345" s="284" t="n"/>
      <c r="I1345" s="284" t="n"/>
      <c r="J1345" s="284" t="n"/>
      <c r="K1345" s="284" t="n"/>
      <c r="L1345" s="309" t="n"/>
      <c r="M1345" s="284" t="n"/>
      <c r="N1345" s="284" t="n"/>
      <c r="O1345" s="284" t="n"/>
    </row>
    <row r="1346" ht="15" customHeight="1" s="195">
      <c r="A1346" s="284" t="n"/>
      <c r="B1346" s="284" t="n"/>
      <c r="C1346" s="284" t="n"/>
      <c r="D1346" s="284" t="n"/>
      <c r="E1346" s="284" t="n"/>
      <c r="F1346" s="284" t="n"/>
      <c r="G1346" s="284" t="n"/>
      <c r="H1346" s="284" t="n"/>
      <c r="I1346" s="284" t="n"/>
      <c r="J1346" s="284" t="n"/>
      <c r="K1346" s="284" t="n"/>
      <c r="L1346" s="309" t="n"/>
      <c r="M1346" s="284" t="n"/>
      <c r="N1346" s="284" t="n"/>
      <c r="O1346" s="284" t="n"/>
    </row>
    <row r="1347" ht="15" customHeight="1" s="195">
      <c r="A1347" s="284" t="n"/>
      <c r="B1347" s="284" t="n"/>
      <c r="C1347" s="284" t="n"/>
      <c r="D1347" s="284" t="n"/>
      <c r="E1347" s="284" t="n"/>
      <c r="F1347" s="284" t="n"/>
      <c r="G1347" s="284" t="n"/>
      <c r="H1347" s="284" t="n"/>
      <c r="I1347" s="284" t="n"/>
      <c r="J1347" s="284" t="n"/>
      <c r="K1347" s="284" t="n"/>
      <c r="L1347" s="309" t="n"/>
      <c r="M1347" s="284" t="n"/>
      <c r="N1347" s="284" t="n"/>
      <c r="O1347" s="284" t="n"/>
    </row>
    <row r="1348" ht="15" customHeight="1" s="195">
      <c r="A1348" s="284" t="n"/>
      <c r="B1348" s="284" t="n"/>
      <c r="C1348" s="284" t="n"/>
      <c r="D1348" s="284" t="n"/>
      <c r="E1348" s="284" t="n"/>
      <c r="F1348" s="284" t="n"/>
      <c r="G1348" s="284" t="n"/>
      <c r="H1348" s="284" t="n"/>
      <c r="I1348" s="284" t="n"/>
      <c r="J1348" s="284" t="n"/>
      <c r="K1348" s="284" t="n"/>
      <c r="L1348" s="309" t="n"/>
      <c r="M1348" s="284" t="n"/>
      <c r="N1348" s="284" t="n"/>
      <c r="O1348" s="284" t="n"/>
    </row>
    <row r="1349" ht="15" customHeight="1" s="195">
      <c r="A1349" s="284" t="n"/>
      <c r="B1349" s="284" t="n"/>
      <c r="C1349" s="284" t="n"/>
      <c r="D1349" s="284" t="n"/>
      <c r="E1349" s="284" t="n"/>
      <c r="F1349" s="284" t="n"/>
      <c r="G1349" s="284" t="n"/>
      <c r="H1349" s="284" t="n"/>
      <c r="I1349" s="284" t="n"/>
      <c r="J1349" s="284" t="n"/>
      <c r="K1349" s="284" t="n"/>
      <c r="L1349" s="309" t="n"/>
      <c r="M1349" s="284" t="n"/>
      <c r="N1349" s="284" t="n"/>
      <c r="O1349" s="284" t="n"/>
    </row>
    <row r="1350" ht="15" customHeight="1" s="195">
      <c r="A1350" s="284" t="n"/>
      <c r="B1350" s="284" t="n"/>
      <c r="C1350" s="284" t="n"/>
      <c r="D1350" s="284" t="n"/>
      <c r="E1350" s="284" t="n"/>
      <c r="F1350" s="284" t="n"/>
      <c r="G1350" s="284" t="n"/>
      <c r="H1350" s="284" t="n"/>
      <c r="I1350" s="284" t="n"/>
      <c r="J1350" s="284" t="n"/>
      <c r="K1350" s="284" t="n"/>
      <c r="L1350" s="309" t="n"/>
      <c r="M1350" s="284" t="n"/>
      <c r="N1350" s="284" t="n"/>
      <c r="O1350" s="284" t="n"/>
    </row>
    <row r="1351" ht="15" customHeight="1" s="195">
      <c r="A1351" s="284" t="n"/>
      <c r="B1351" s="284" t="n"/>
      <c r="C1351" s="284" t="n"/>
      <c r="D1351" s="284" t="n"/>
      <c r="E1351" s="284" t="n"/>
      <c r="F1351" s="284" t="n"/>
      <c r="G1351" s="284" t="n"/>
      <c r="H1351" s="284" t="n"/>
      <c r="I1351" s="284" t="n"/>
      <c r="J1351" s="284" t="n"/>
      <c r="K1351" s="284" t="n"/>
      <c r="L1351" s="309" t="n"/>
      <c r="M1351" s="284" t="n"/>
      <c r="N1351" s="284" t="n"/>
      <c r="O1351" s="284" t="n"/>
    </row>
    <row r="1352" ht="15" customHeight="1" s="195">
      <c r="A1352" s="284" t="n"/>
      <c r="B1352" s="284" t="n"/>
      <c r="C1352" s="284" t="n"/>
      <c r="D1352" s="284" t="n"/>
      <c r="E1352" s="284" t="n"/>
      <c r="F1352" s="284" t="n"/>
      <c r="G1352" s="284" t="n"/>
      <c r="H1352" s="284" t="n"/>
      <c r="I1352" s="284" t="n"/>
      <c r="J1352" s="284" t="n"/>
      <c r="K1352" s="284" t="n"/>
      <c r="L1352" s="309" t="n"/>
      <c r="M1352" s="284" t="n"/>
      <c r="N1352" s="284" t="n"/>
      <c r="O1352" s="284" t="n"/>
    </row>
    <row r="1353" ht="15" customHeight="1" s="195">
      <c r="A1353" s="284" t="n"/>
      <c r="B1353" s="284" t="n"/>
      <c r="C1353" s="284" t="n"/>
      <c r="D1353" s="284" t="n"/>
      <c r="E1353" s="284" t="n"/>
      <c r="F1353" s="284" t="n"/>
      <c r="G1353" s="284" t="n"/>
      <c r="H1353" s="284" t="n"/>
      <c r="I1353" s="284" t="n"/>
      <c r="J1353" s="284" t="n"/>
      <c r="K1353" s="284" t="n"/>
      <c r="L1353" s="309" t="n"/>
      <c r="M1353" s="284" t="n"/>
      <c r="N1353" s="284" t="n"/>
      <c r="O1353" s="284" t="n"/>
    </row>
    <row r="1354" ht="15" customHeight="1" s="195">
      <c r="A1354" s="284" t="n"/>
      <c r="B1354" s="284" t="n"/>
      <c r="C1354" s="284" t="n"/>
      <c r="D1354" s="284" t="n"/>
      <c r="E1354" s="284" t="n"/>
      <c r="F1354" s="284" t="n"/>
      <c r="G1354" s="284" t="n"/>
      <c r="H1354" s="284" t="n"/>
      <c r="I1354" s="284" t="n"/>
      <c r="J1354" s="284" t="n"/>
      <c r="K1354" s="284" t="n"/>
      <c r="L1354" s="309" t="n"/>
      <c r="M1354" s="284" t="n"/>
      <c r="N1354" s="284" t="n"/>
      <c r="O1354" s="284" t="n"/>
    </row>
    <row r="1355" ht="15" customHeight="1" s="195">
      <c r="A1355" s="284" t="n"/>
      <c r="B1355" s="284" t="n"/>
      <c r="C1355" s="284" t="n"/>
      <c r="D1355" s="284" t="n"/>
      <c r="E1355" s="284" t="n"/>
      <c r="F1355" s="284" t="n"/>
      <c r="G1355" s="284" t="n"/>
      <c r="H1355" s="284" t="n"/>
      <c r="I1355" s="284" t="n"/>
      <c r="J1355" s="284" t="n"/>
      <c r="K1355" s="284" t="n"/>
      <c r="L1355" s="309" t="n"/>
      <c r="M1355" s="284" t="n"/>
      <c r="N1355" s="284" t="n"/>
      <c r="O1355" s="284" t="n"/>
    </row>
    <row r="1356" ht="15" customHeight="1" s="195">
      <c r="A1356" s="284" t="n"/>
      <c r="B1356" s="284" t="n"/>
      <c r="C1356" s="284" t="n"/>
      <c r="D1356" s="284" t="n"/>
      <c r="E1356" s="284" t="n"/>
      <c r="F1356" s="284" t="n"/>
      <c r="G1356" s="284" t="n"/>
      <c r="H1356" s="284" t="n"/>
      <c r="I1356" s="284" t="n"/>
      <c r="J1356" s="284" t="n"/>
      <c r="K1356" s="284" t="n"/>
      <c r="L1356" s="309" t="n"/>
      <c r="M1356" s="284" t="n"/>
      <c r="N1356" s="284" t="n"/>
      <c r="O1356" s="284" t="n"/>
    </row>
    <row r="1357" ht="15" customHeight="1" s="195">
      <c r="A1357" s="284" t="n"/>
      <c r="B1357" s="284" t="n"/>
      <c r="C1357" s="284" t="n"/>
      <c r="D1357" s="284" t="n"/>
      <c r="E1357" s="284" t="n"/>
      <c r="F1357" s="284" t="n"/>
      <c r="G1357" s="284" t="n"/>
      <c r="H1357" s="284" t="n"/>
      <c r="I1357" s="284" t="n"/>
      <c r="J1357" s="284" t="n"/>
      <c r="K1357" s="284" t="n"/>
      <c r="L1357" s="309" t="n"/>
      <c r="M1357" s="284" t="n"/>
      <c r="N1357" s="284" t="n"/>
      <c r="O1357" s="284" t="n"/>
    </row>
    <row r="1358" ht="15" customHeight="1" s="195">
      <c r="A1358" s="284" t="n"/>
      <c r="B1358" s="284" t="n"/>
      <c r="C1358" s="284" t="n"/>
      <c r="D1358" s="284" t="n"/>
      <c r="E1358" s="284" t="n"/>
      <c r="F1358" s="284" t="n"/>
      <c r="G1358" s="284" t="n"/>
      <c r="H1358" s="284" t="n"/>
      <c r="I1358" s="284" t="n"/>
      <c r="J1358" s="284" t="n"/>
      <c r="K1358" s="284" t="n"/>
      <c r="L1358" s="309" t="n"/>
      <c r="M1358" s="284" t="n"/>
      <c r="N1358" s="284" t="n"/>
      <c r="O1358" s="284" t="n"/>
    </row>
    <row r="1359" ht="15" customHeight="1" s="195">
      <c r="A1359" s="284" t="n"/>
      <c r="B1359" s="284" t="n"/>
      <c r="C1359" s="284" t="n"/>
      <c r="D1359" s="284" t="n"/>
      <c r="E1359" s="284" t="n"/>
      <c r="F1359" s="284" t="n"/>
      <c r="G1359" s="284" t="n"/>
      <c r="H1359" s="284" t="n"/>
      <c r="I1359" s="284" t="n"/>
      <c r="J1359" s="284" t="n"/>
      <c r="K1359" s="284" t="n"/>
      <c r="L1359" s="309" t="n"/>
      <c r="M1359" s="284" t="n"/>
      <c r="N1359" s="284" t="n"/>
      <c r="O1359" s="284" t="n"/>
    </row>
    <row r="1360" ht="15" customHeight="1" s="195">
      <c r="A1360" s="284" t="n"/>
      <c r="B1360" s="284" t="n"/>
      <c r="C1360" s="284" t="n"/>
      <c r="D1360" s="284" t="n"/>
      <c r="E1360" s="284" t="n"/>
      <c r="F1360" s="284" t="n"/>
      <c r="G1360" s="284" t="n"/>
      <c r="H1360" s="284" t="n"/>
      <c r="I1360" s="284" t="n"/>
      <c r="J1360" s="284" t="n"/>
      <c r="K1360" s="284" t="n"/>
      <c r="L1360" s="309" t="n"/>
      <c r="M1360" s="284" t="n"/>
      <c r="N1360" s="284" t="n"/>
      <c r="O1360" s="284" t="n"/>
    </row>
    <row r="1361" ht="15" customHeight="1" s="195">
      <c r="A1361" s="284" t="n"/>
      <c r="B1361" s="284" t="n"/>
      <c r="C1361" s="284" t="n"/>
      <c r="D1361" s="284" t="n"/>
      <c r="E1361" s="284" t="n"/>
      <c r="F1361" s="284" t="n"/>
      <c r="G1361" s="284" t="n"/>
      <c r="H1361" s="284" t="n"/>
      <c r="I1361" s="284" t="n"/>
      <c r="J1361" s="284" t="n"/>
      <c r="K1361" s="284" t="n"/>
      <c r="L1361" s="309" t="n"/>
      <c r="M1361" s="284" t="n"/>
      <c r="N1361" s="284" t="n"/>
      <c r="O1361" s="284" t="n"/>
    </row>
    <row r="1362" ht="15" customHeight="1" s="195">
      <c r="A1362" s="284" t="n"/>
      <c r="B1362" s="284" t="n"/>
      <c r="C1362" s="284" t="n"/>
      <c r="D1362" s="284" t="n"/>
      <c r="E1362" s="284" t="n"/>
      <c r="F1362" s="284" t="n"/>
      <c r="G1362" s="284" t="n"/>
      <c r="H1362" s="284" t="n"/>
      <c r="I1362" s="284" t="n"/>
      <c r="J1362" s="284" t="n"/>
      <c r="K1362" s="284" t="n"/>
      <c r="L1362" s="309" t="n"/>
      <c r="M1362" s="284" t="n"/>
      <c r="N1362" s="284" t="n"/>
      <c r="O1362" s="284" t="n"/>
    </row>
    <row r="1363" ht="15" customHeight="1" s="195">
      <c r="A1363" s="284" t="n"/>
      <c r="B1363" s="284" t="n"/>
      <c r="C1363" s="284" t="n"/>
      <c r="D1363" s="284" t="n"/>
      <c r="E1363" s="284" t="n"/>
      <c r="F1363" s="284" t="n"/>
      <c r="G1363" s="284" t="n"/>
      <c r="H1363" s="284" t="n"/>
      <c r="I1363" s="284" t="n"/>
      <c r="J1363" s="284" t="n"/>
      <c r="K1363" s="284" t="n"/>
      <c r="L1363" s="309" t="n"/>
      <c r="M1363" s="284" t="n"/>
      <c r="N1363" s="284" t="n"/>
      <c r="O1363" s="284" t="n"/>
    </row>
    <row r="1364" ht="15" customHeight="1" s="195">
      <c r="A1364" s="284" t="n"/>
      <c r="B1364" s="284" t="n"/>
      <c r="C1364" s="284" t="n"/>
      <c r="D1364" s="284" t="n"/>
      <c r="E1364" s="284" t="n"/>
      <c r="F1364" s="284" t="n"/>
      <c r="G1364" s="284" t="n"/>
      <c r="H1364" s="284" t="n"/>
      <c r="I1364" s="284" t="n"/>
      <c r="J1364" s="284" t="n"/>
      <c r="K1364" s="284" t="n"/>
      <c r="L1364" s="309" t="n"/>
      <c r="M1364" s="284" t="n"/>
      <c r="N1364" s="284" t="n"/>
      <c r="O1364" s="284" t="n"/>
    </row>
    <row r="1365" ht="15" customHeight="1" s="195">
      <c r="A1365" s="284" t="n"/>
      <c r="B1365" s="284" t="n"/>
      <c r="C1365" s="284" t="n"/>
      <c r="D1365" s="284" t="n"/>
      <c r="E1365" s="284" t="n"/>
      <c r="F1365" s="284" t="n"/>
      <c r="G1365" s="284" t="n"/>
      <c r="H1365" s="284" t="n"/>
      <c r="I1365" s="284" t="n"/>
      <c r="J1365" s="284" t="n"/>
      <c r="K1365" s="284" t="n"/>
      <c r="L1365" s="309" t="n"/>
      <c r="M1365" s="284" t="n"/>
      <c r="N1365" s="284" t="n"/>
      <c r="O1365" s="284" t="n"/>
    </row>
    <row r="1366" ht="15" customHeight="1" s="195">
      <c r="A1366" s="284" t="n"/>
      <c r="B1366" s="284" t="n"/>
      <c r="C1366" s="284" t="n"/>
      <c r="D1366" s="284" t="n"/>
      <c r="E1366" s="284" t="n"/>
      <c r="F1366" s="284" t="n"/>
      <c r="G1366" s="284" t="n"/>
      <c r="H1366" s="284" t="n"/>
      <c r="I1366" s="284" t="n"/>
      <c r="J1366" s="284" t="n"/>
      <c r="K1366" s="284" t="n"/>
      <c r="L1366" s="309" t="n"/>
      <c r="M1366" s="284" t="n"/>
      <c r="N1366" s="284" t="n"/>
      <c r="O1366" s="284" t="n"/>
    </row>
    <row r="1367" ht="15" customHeight="1" s="195">
      <c r="A1367" s="284" t="n"/>
      <c r="B1367" s="284" t="n"/>
      <c r="C1367" s="284" t="n"/>
      <c r="D1367" s="284" t="n"/>
      <c r="E1367" s="284" t="n"/>
      <c r="F1367" s="284" t="n"/>
      <c r="G1367" s="284" t="n"/>
      <c r="H1367" s="284" t="n"/>
      <c r="I1367" s="284" t="n"/>
      <c r="J1367" s="284" t="n"/>
      <c r="K1367" s="284" t="n"/>
      <c r="L1367" s="309" t="n"/>
      <c r="M1367" s="284" t="n"/>
      <c r="N1367" s="284" t="n"/>
      <c r="O1367" s="284" t="n"/>
    </row>
    <row r="1368" ht="15" customHeight="1" s="195">
      <c r="A1368" s="284" t="n"/>
      <c r="B1368" s="284" t="n"/>
      <c r="C1368" s="284" t="n"/>
      <c r="D1368" s="284" t="n"/>
      <c r="E1368" s="284" t="n"/>
      <c r="F1368" s="284" t="n"/>
      <c r="G1368" s="284" t="n"/>
      <c r="H1368" s="284" t="n"/>
      <c r="I1368" s="284" t="n"/>
      <c r="J1368" s="284" t="n"/>
      <c r="K1368" s="284" t="n"/>
      <c r="L1368" s="309" t="n"/>
      <c r="M1368" s="284" t="n"/>
      <c r="N1368" s="284" t="n"/>
      <c r="O1368" s="284" t="n"/>
    </row>
    <row r="1369" ht="15" customHeight="1" s="195">
      <c r="A1369" s="284" t="n"/>
      <c r="B1369" s="284" t="n"/>
      <c r="C1369" s="284" t="n"/>
      <c r="D1369" s="284" t="n"/>
      <c r="E1369" s="284" t="n"/>
      <c r="F1369" s="284" t="n"/>
      <c r="G1369" s="284" t="n"/>
      <c r="H1369" s="284" t="n"/>
      <c r="I1369" s="284" t="n"/>
      <c r="J1369" s="284" t="n"/>
      <c r="K1369" s="284" t="n"/>
      <c r="L1369" s="309" t="n"/>
      <c r="M1369" s="284" t="n"/>
      <c r="N1369" s="284" t="n"/>
      <c r="O1369" s="284" t="n"/>
    </row>
    <row r="1370" ht="15" customHeight="1" s="195">
      <c r="A1370" s="284" t="n"/>
      <c r="B1370" s="284" t="n"/>
      <c r="C1370" s="284" t="n"/>
      <c r="D1370" s="284" t="n"/>
      <c r="E1370" s="284" t="n"/>
      <c r="F1370" s="284" t="n"/>
      <c r="G1370" s="284" t="n"/>
      <c r="H1370" s="284" t="n"/>
      <c r="I1370" s="284" t="n"/>
      <c r="J1370" s="284" t="n"/>
      <c r="K1370" s="284" t="n"/>
      <c r="L1370" s="309" t="n"/>
      <c r="M1370" s="284" t="n"/>
      <c r="N1370" s="284" t="n"/>
      <c r="O1370" s="284" t="n"/>
    </row>
    <row r="1371" ht="15" customHeight="1" s="195">
      <c r="A1371" s="284" t="n"/>
      <c r="B1371" s="284" t="n"/>
      <c r="C1371" s="284" t="n"/>
      <c r="D1371" s="284" t="n"/>
      <c r="E1371" s="284" t="n"/>
      <c r="F1371" s="284" t="n"/>
      <c r="G1371" s="284" t="n"/>
      <c r="H1371" s="284" t="n"/>
      <c r="I1371" s="284" t="n"/>
      <c r="J1371" s="284" t="n"/>
      <c r="K1371" s="284" t="n"/>
      <c r="L1371" s="309" t="n"/>
      <c r="M1371" s="284" t="n"/>
      <c r="N1371" s="284" t="n"/>
      <c r="O1371" s="284" t="n"/>
    </row>
    <row r="1372" ht="15" customHeight="1" s="195">
      <c r="A1372" s="284" t="n"/>
      <c r="B1372" s="284" t="n"/>
      <c r="C1372" s="284" t="n"/>
      <c r="D1372" s="284" t="n"/>
      <c r="E1372" s="284" t="n"/>
      <c r="F1372" s="284" t="n"/>
      <c r="G1372" s="284" t="n"/>
      <c r="H1372" s="284" t="n"/>
      <c r="I1372" s="284" t="n"/>
      <c r="J1372" s="284" t="n"/>
      <c r="K1372" s="284" t="n"/>
      <c r="L1372" s="309" t="n"/>
      <c r="M1372" s="284" t="n"/>
      <c r="N1372" s="284" t="n"/>
      <c r="O1372" s="284" t="n"/>
    </row>
    <row r="1373" ht="15" customHeight="1" s="195">
      <c r="A1373" s="284" t="n"/>
      <c r="B1373" s="284" t="n"/>
      <c r="C1373" s="284" t="n"/>
      <c r="D1373" s="284" t="n"/>
      <c r="E1373" s="284" t="n"/>
      <c r="F1373" s="284" t="n"/>
      <c r="G1373" s="284" t="n"/>
      <c r="H1373" s="284" t="n"/>
      <c r="I1373" s="284" t="n"/>
      <c r="J1373" s="284" t="n"/>
      <c r="K1373" s="284" t="n"/>
      <c r="L1373" s="309" t="n"/>
      <c r="M1373" s="284" t="n"/>
      <c r="N1373" s="284" t="n"/>
      <c r="O1373" s="284" t="n"/>
    </row>
    <row r="1374" ht="15" customHeight="1" s="195">
      <c r="A1374" s="284" t="n"/>
      <c r="B1374" s="284" t="n"/>
      <c r="C1374" s="284" t="n"/>
      <c r="D1374" s="284" t="n"/>
      <c r="E1374" s="284" t="n"/>
      <c r="F1374" s="284" t="n"/>
      <c r="G1374" s="284" t="n"/>
      <c r="H1374" s="284" t="n"/>
      <c r="I1374" s="284" t="n"/>
      <c r="J1374" s="284" t="n"/>
      <c r="K1374" s="284" t="n"/>
      <c r="L1374" s="309" t="n"/>
      <c r="M1374" s="284" t="n"/>
      <c r="N1374" s="284" t="n"/>
      <c r="O1374" s="284" t="n"/>
    </row>
    <row r="1375" ht="15" customHeight="1" s="195">
      <c r="A1375" s="284" t="n"/>
      <c r="B1375" s="284" t="n"/>
      <c r="C1375" s="284" t="n"/>
      <c r="D1375" s="284" t="n"/>
      <c r="E1375" s="284" t="n"/>
      <c r="F1375" s="284" t="n"/>
      <c r="G1375" s="284" t="n"/>
      <c r="H1375" s="284" t="n"/>
      <c r="I1375" s="284" t="n"/>
      <c r="J1375" s="284" t="n"/>
      <c r="K1375" s="284" t="n"/>
      <c r="L1375" s="309" t="n"/>
      <c r="M1375" s="284" t="n"/>
      <c r="N1375" s="284" t="n"/>
      <c r="O1375" s="284" t="n"/>
    </row>
    <row r="1376" ht="15" customHeight="1" s="195">
      <c r="A1376" s="284" t="n"/>
      <c r="B1376" s="284" t="n"/>
      <c r="C1376" s="284" t="n"/>
      <c r="D1376" s="284" t="n"/>
      <c r="E1376" s="284" t="n"/>
      <c r="F1376" s="284" t="n"/>
      <c r="G1376" s="284" t="n"/>
      <c r="H1376" s="284" t="n"/>
      <c r="I1376" s="284" t="n"/>
      <c r="J1376" s="284" t="n"/>
      <c r="K1376" s="284" t="n"/>
      <c r="L1376" s="309" t="n"/>
      <c r="M1376" s="284" t="n"/>
      <c r="N1376" s="284" t="n"/>
      <c r="O1376" s="284" t="n"/>
    </row>
    <row r="1377" ht="15" customHeight="1" s="195">
      <c r="A1377" s="284" t="n"/>
      <c r="B1377" s="284" t="n"/>
      <c r="C1377" s="284" t="n"/>
      <c r="D1377" s="284" t="n"/>
      <c r="E1377" s="284" t="n"/>
      <c r="F1377" s="284" t="n"/>
      <c r="G1377" s="284" t="n"/>
      <c r="H1377" s="284" t="n"/>
      <c r="I1377" s="284" t="n"/>
      <c r="J1377" s="284" t="n"/>
      <c r="K1377" s="284" t="n"/>
      <c r="L1377" s="309" t="n"/>
      <c r="M1377" s="284" t="n"/>
      <c r="N1377" s="284" t="n"/>
      <c r="O1377" s="284" t="n"/>
    </row>
    <row r="1378" ht="15" customHeight="1" s="195">
      <c r="A1378" s="284" t="n"/>
      <c r="B1378" s="284" t="n"/>
      <c r="C1378" s="284" t="n"/>
      <c r="D1378" s="284" t="n"/>
      <c r="E1378" s="284" t="n"/>
      <c r="F1378" s="284" t="n"/>
      <c r="G1378" s="284" t="n"/>
      <c r="H1378" s="284" t="n"/>
      <c r="I1378" s="284" t="n"/>
      <c r="J1378" s="284" t="n"/>
      <c r="K1378" s="284" t="n"/>
      <c r="L1378" s="309" t="n"/>
      <c r="M1378" s="284" t="n"/>
      <c r="N1378" s="284" t="n"/>
      <c r="O1378" s="284" t="n"/>
    </row>
    <row r="1379" ht="15" customHeight="1" s="195">
      <c r="A1379" s="284" t="n"/>
      <c r="B1379" s="284" t="n"/>
      <c r="C1379" s="284" t="n"/>
      <c r="D1379" s="284" t="n"/>
      <c r="E1379" s="284" t="n"/>
      <c r="F1379" s="284" t="n"/>
      <c r="G1379" s="284" t="n"/>
      <c r="H1379" s="284" t="n"/>
      <c r="I1379" s="284" t="n"/>
      <c r="J1379" s="284" t="n"/>
      <c r="K1379" s="284" t="n"/>
      <c r="L1379" s="309" t="n"/>
      <c r="M1379" s="284" t="n"/>
      <c r="N1379" s="284" t="n"/>
      <c r="O1379" s="284" t="n"/>
    </row>
    <row r="1380" ht="15" customHeight="1" s="195">
      <c r="A1380" s="284" t="n"/>
      <c r="B1380" s="284" t="n"/>
      <c r="C1380" s="284" t="n"/>
      <c r="D1380" s="284" t="n"/>
      <c r="E1380" s="284" t="n"/>
      <c r="F1380" s="284" t="n"/>
      <c r="G1380" s="284" t="n"/>
      <c r="H1380" s="284" t="n"/>
      <c r="I1380" s="284" t="n"/>
      <c r="J1380" s="284" t="n"/>
      <c r="K1380" s="284" t="n"/>
      <c r="L1380" s="309" t="n"/>
      <c r="M1380" s="284" t="n"/>
      <c r="N1380" s="284" t="n"/>
      <c r="O1380" s="284" t="n"/>
    </row>
    <row r="1381" ht="15" customHeight="1" s="195">
      <c r="A1381" s="284" t="n"/>
      <c r="B1381" s="284" t="n"/>
      <c r="C1381" s="284" t="n"/>
      <c r="D1381" s="284" t="n"/>
      <c r="E1381" s="284" t="n"/>
      <c r="F1381" s="284" t="n"/>
      <c r="G1381" s="284" t="n"/>
      <c r="H1381" s="284" t="n"/>
      <c r="I1381" s="284" t="n"/>
      <c r="J1381" s="284" t="n"/>
      <c r="K1381" s="284" t="n"/>
      <c r="L1381" s="309" t="n"/>
      <c r="M1381" s="284" t="n"/>
      <c r="N1381" s="284" t="n"/>
      <c r="O1381" s="284" t="n"/>
    </row>
    <row r="1382" ht="15" customHeight="1" s="195">
      <c r="A1382" s="284" t="n"/>
      <c r="B1382" s="284" t="n"/>
      <c r="C1382" s="284" t="n"/>
      <c r="D1382" s="284" t="n"/>
      <c r="E1382" s="284" t="n"/>
      <c r="F1382" s="284" t="n"/>
      <c r="G1382" s="284" t="n"/>
      <c r="H1382" s="284" t="n"/>
      <c r="I1382" s="284" t="n"/>
      <c r="J1382" s="284" t="n"/>
      <c r="K1382" s="284" t="n"/>
      <c r="L1382" s="309" t="n"/>
      <c r="M1382" s="284" t="n"/>
      <c r="N1382" s="284" t="n"/>
      <c r="O1382" s="284" t="n"/>
    </row>
    <row r="1383" ht="15" customHeight="1" s="195">
      <c r="A1383" s="284" t="n"/>
      <c r="B1383" s="284" t="n"/>
      <c r="C1383" s="284" t="n"/>
      <c r="D1383" s="284" t="n"/>
      <c r="E1383" s="284" t="n"/>
      <c r="F1383" s="284" t="n"/>
      <c r="G1383" s="284" t="n"/>
      <c r="H1383" s="284" t="n"/>
      <c r="I1383" s="284" t="n"/>
      <c r="J1383" s="284" t="n"/>
      <c r="K1383" s="284" t="n"/>
      <c r="L1383" s="309" t="n"/>
      <c r="M1383" s="284" t="n"/>
      <c r="N1383" s="284" t="n"/>
      <c r="O1383" s="284" t="n"/>
    </row>
    <row r="1384" ht="15" customHeight="1" s="195">
      <c r="A1384" s="284" t="n"/>
      <c r="B1384" s="284" t="n"/>
      <c r="C1384" s="284" t="n"/>
      <c r="D1384" s="284" t="n"/>
      <c r="E1384" s="284" t="n"/>
      <c r="F1384" s="284" t="n"/>
      <c r="G1384" s="284" t="n"/>
      <c r="H1384" s="284" t="n"/>
      <c r="I1384" s="284" t="n"/>
      <c r="J1384" s="284" t="n"/>
      <c r="K1384" s="284" t="n"/>
      <c r="L1384" s="309" t="n"/>
      <c r="M1384" s="284" t="n"/>
      <c r="N1384" s="284" t="n"/>
      <c r="O1384" s="284" t="n"/>
    </row>
    <row r="1385" ht="15" customHeight="1" s="195">
      <c r="A1385" s="284" t="n"/>
      <c r="B1385" s="284" t="n"/>
      <c r="C1385" s="284" t="n"/>
      <c r="D1385" s="284" t="n"/>
      <c r="E1385" s="284" t="n"/>
      <c r="F1385" s="284" t="n"/>
      <c r="G1385" s="284" t="n"/>
      <c r="H1385" s="284" t="n"/>
      <c r="I1385" s="284" t="n"/>
      <c r="J1385" s="284" t="n"/>
      <c r="K1385" s="284" t="n"/>
      <c r="L1385" s="309" t="n"/>
      <c r="M1385" s="284" t="n"/>
      <c r="N1385" s="284" t="n"/>
      <c r="O1385" s="284" t="n"/>
    </row>
    <row r="1386" ht="15" customHeight="1" s="195">
      <c r="A1386" s="284" t="n"/>
      <c r="B1386" s="284" t="n"/>
      <c r="C1386" s="284" t="n"/>
      <c r="D1386" s="284" t="n"/>
      <c r="E1386" s="284" t="n"/>
      <c r="F1386" s="284" t="n"/>
      <c r="G1386" s="284" t="n"/>
      <c r="H1386" s="284" t="n"/>
      <c r="I1386" s="284" t="n"/>
      <c r="J1386" s="284" t="n"/>
      <c r="K1386" s="284" t="n"/>
      <c r="L1386" s="309" t="n"/>
      <c r="M1386" s="284" t="n"/>
      <c r="N1386" s="284" t="n"/>
      <c r="O1386" s="284" t="n"/>
    </row>
    <row r="1387" ht="15" customHeight="1" s="195">
      <c r="A1387" s="284" t="n"/>
      <c r="B1387" s="284" t="n"/>
      <c r="C1387" s="284" t="n"/>
      <c r="D1387" s="284" t="n"/>
      <c r="E1387" s="284" t="n"/>
      <c r="F1387" s="284" t="n"/>
      <c r="G1387" s="284" t="n"/>
      <c r="H1387" s="284" t="n"/>
      <c r="I1387" s="284" t="n"/>
      <c r="J1387" s="284" t="n"/>
      <c r="K1387" s="284" t="n"/>
      <c r="L1387" s="309" t="n"/>
      <c r="M1387" s="284" t="n"/>
      <c r="N1387" s="284" t="n"/>
      <c r="O1387" s="284" t="n"/>
    </row>
    <row r="1388" ht="15" customHeight="1" s="195">
      <c r="A1388" s="284" t="n"/>
      <c r="B1388" s="284" t="n"/>
      <c r="C1388" s="284" t="n"/>
      <c r="D1388" s="284" t="n"/>
      <c r="E1388" s="284" t="n"/>
      <c r="F1388" s="284" t="n"/>
      <c r="G1388" s="284" t="n"/>
      <c r="H1388" s="284" t="n"/>
      <c r="I1388" s="284" t="n"/>
      <c r="J1388" s="284" t="n"/>
      <c r="K1388" s="284" t="n"/>
      <c r="L1388" s="309" t="n"/>
      <c r="M1388" s="284" t="n"/>
      <c r="N1388" s="284" t="n"/>
      <c r="O1388" s="284" t="n"/>
    </row>
    <row r="1389" ht="15" customHeight="1" s="195">
      <c r="A1389" s="284" t="n"/>
      <c r="B1389" s="284" t="n"/>
      <c r="C1389" s="284" t="n"/>
      <c r="D1389" s="284" t="n"/>
      <c r="E1389" s="284" t="n"/>
      <c r="F1389" s="284" t="n"/>
      <c r="G1389" s="284" t="n"/>
      <c r="H1389" s="284" t="n"/>
      <c r="I1389" s="284" t="n"/>
      <c r="J1389" s="284" t="n"/>
      <c r="K1389" s="284" t="n"/>
      <c r="L1389" s="309" t="n"/>
      <c r="M1389" s="284" t="n"/>
      <c r="N1389" s="284" t="n"/>
      <c r="O1389" s="284" t="n"/>
    </row>
    <row r="1390" ht="15" customHeight="1" s="195">
      <c r="A1390" s="284" t="n"/>
      <c r="B1390" s="284" t="n"/>
      <c r="C1390" s="284" t="n"/>
      <c r="D1390" s="284" t="n"/>
      <c r="E1390" s="284" t="n"/>
      <c r="F1390" s="284" t="n"/>
      <c r="G1390" s="284" t="n"/>
      <c r="H1390" s="284" t="n"/>
      <c r="I1390" s="284" t="n"/>
      <c r="J1390" s="284" t="n"/>
      <c r="K1390" s="284" t="n"/>
      <c r="L1390" s="309" t="n"/>
      <c r="M1390" s="284" t="n"/>
      <c r="N1390" s="284" t="n"/>
      <c r="O1390" s="284" t="n"/>
    </row>
    <row r="1391" ht="15" customHeight="1" s="195">
      <c r="A1391" s="284" t="n"/>
      <c r="B1391" s="284" t="n"/>
      <c r="C1391" s="284" t="n"/>
      <c r="D1391" s="284" t="n"/>
      <c r="E1391" s="284" t="n"/>
      <c r="F1391" s="284" t="n"/>
      <c r="G1391" s="284" t="n"/>
      <c r="H1391" s="284" t="n"/>
      <c r="I1391" s="284" t="n"/>
      <c r="J1391" s="284" t="n"/>
      <c r="K1391" s="284" t="n"/>
      <c r="L1391" s="309" t="n"/>
      <c r="M1391" s="284" t="n"/>
      <c r="N1391" s="284" t="n"/>
      <c r="O1391" s="284" t="n"/>
    </row>
    <row r="1392" ht="15" customHeight="1" s="195">
      <c r="A1392" s="284" t="n"/>
      <c r="B1392" s="284" t="n"/>
      <c r="C1392" s="284" t="n"/>
      <c r="D1392" s="284" t="n"/>
      <c r="E1392" s="284" t="n"/>
      <c r="F1392" s="284" t="n"/>
      <c r="G1392" s="284" t="n"/>
      <c r="H1392" s="284" t="n"/>
      <c r="I1392" s="284" t="n"/>
      <c r="J1392" s="284" t="n"/>
      <c r="K1392" s="284" t="n"/>
      <c r="L1392" s="309" t="n"/>
      <c r="M1392" s="284" t="n"/>
      <c r="N1392" s="284" t="n"/>
      <c r="O1392" s="284" t="n"/>
    </row>
    <row r="1393" ht="15" customHeight="1" s="195">
      <c r="A1393" s="284" t="n"/>
      <c r="B1393" s="284" t="n"/>
      <c r="C1393" s="284" t="n"/>
      <c r="D1393" s="284" t="n"/>
      <c r="E1393" s="284" t="n"/>
      <c r="F1393" s="284" t="n"/>
      <c r="G1393" s="284" t="n"/>
      <c r="H1393" s="284" t="n"/>
      <c r="I1393" s="284" t="n"/>
      <c r="J1393" s="284" t="n"/>
      <c r="K1393" s="284" t="n"/>
      <c r="L1393" s="309" t="n"/>
      <c r="M1393" s="284" t="n"/>
      <c r="N1393" s="284" t="n"/>
      <c r="O1393" s="284" t="n"/>
    </row>
    <row r="1394" ht="15" customHeight="1" s="195">
      <c r="A1394" s="284" t="n"/>
      <c r="B1394" s="284" t="n"/>
      <c r="C1394" s="284" t="n"/>
      <c r="D1394" s="284" t="n"/>
      <c r="E1394" s="284" t="n"/>
      <c r="F1394" s="284" t="n"/>
      <c r="G1394" s="284" t="n"/>
      <c r="H1394" s="284" t="n"/>
      <c r="I1394" s="284" t="n"/>
      <c r="J1394" s="284" t="n"/>
      <c r="K1394" s="284" t="n"/>
      <c r="L1394" s="309" t="n"/>
      <c r="M1394" s="284" t="n"/>
      <c r="N1394" s="284" t="n"/>
      <c r="O1394" s="284" t="n"/>
    </row>
    <row r="1395" ht="15" customHeight="1" s="195">
      <c r="A1395" s="284" t="n"/>
      <c r="B1395" s="284" t="n"/>
      <c r="C1395" s="284" t="n"/>
      <c r="D1395" s="284" t="n"/>
      <c r="E1395" s="284" t="n"/>
      <c r="F1395" s="284" t="n"/>
      <c r="G1395" s="284" t="n"/>
      <c r="H1395" s="284" t="n"/>
      <c r="I1395" s="284" t="n"/>
      <c r="J1395" s="284" t="n"/>
      <c r="K1395" s="284" t="n"/>
      <c r="L1395" s="309" t="n"/>
      <c r="M1395" s="284" t="n"/>
      <c r="N1395" s="284" t="n"/>
      <c r="O1395" s="284" t="n"/>
    </row>
    <row r="1396" ht="15" customHeight="1" s="195">
      <c r="A1396" s="284" t="n"/>
      <c r="B1396" s="284" t="n"/>
      <c r="C1396" s="284" t="n"/>
      <c r="D1396" s="284" t="n"/>
      <c r="E1396" s="284" t="n"/>
      <c r="F1396" s="284" t="n"/>
      <c r="G1396" s="284" t="n"/>
      <c r="H1396" s="284" t="n"/>
      <c r="I1396" s="284" t="n"/>
      <c r="J1396" s="284" t="n"/>
      <c r="K1396" s="284" t="n"/>
      <c r="L1396" s="309" t="n"/>
      <c r="M1396" s="284" t="n"/>
      <c r="N1396" s="284" t="n"/>
      <c r="O1396" s="284" t="n"/>
    </row>
    <row r="1397" ht="15" customHeight="1" s="195">
      <c r="A1397" s="284" t="n"/>
      <c r="B1397" s="284" t="n"/>
      <c r="C1397" s="284" t="n"/>
      <c r="D1397" s="284" t="n"/>
      <c r="E1397" s="284" t="n"/>
      <c r="F1397" s="284" t="n"/>
      <c r="G1397" s="284" t="n"/>
      <c r="H1397" s="284" t="n"/>
      <c r="I1397" s="284" t="n"/>
      <c r="J1397" s="284" t="n"/>
      <c r="K1397" s="284" t="n"/>
      <c r="L1397" s="309" t="n"/>
      <c r="M1397" s="284" t="n"/>
      <c r="N1397" s="284" t="n"/>
      <c r="O1397" s="284" t="n"/>
    </row>
    <row r="1398" ht="15" customHeight="1" s="195">
      <c r="A1398" s="284" t="n"/>
      <c r="B1398" s="284" t="n"/>
      <c r="C1398" s="284" t="n"/>
      <c r="D1398" s="284" t="n"/>
      <c r="E1398" s="284" t="n"/>
      <c r="F1398" s="284" t="n"/>
      <c r="G1398" s="284" t="n"/>
      <c r="H1398" s="284" t="n"/>
      <c r="I1398" s="284" t="n"/>
      <c r="J1398" s="284" t="n"/>
      <c r="K1398" s="284" t="n"/>
      <c r="L1398" s="309" t="n"/>
      <c r="M1398" s="284" t="n"/>
      <c r="N1398" s="284" t="n"/>
      <c r="O1398" s="284" t="n"/>
    </row>
    <row r="1399" ht="15" customHeight="1" s="195">
      <c r="A1399" s="284" t="n"/>
      <c r="B1399" s="284" t="n"/>
      <c r="C1399" s="284" t="n"/>
      <c r="D1399" s="284" t="n"/>
      <c r="E1399" s="284" t="n"/>
      <c r="F1399" s="284" t="n"/>
      <c r="G1399" s="284" t="n"/>
      <c r="H1399" s="284" t="n"/>
      <c r="I1399" s="284" t="n"/>
      <c r="J1399" s="284" t="n"/>
      <c r="K1399" s="284" t="n"/>
      <c r="L1399" s="309" t="n"/>
      <c r="M1399" s="284" t="n"/>
      <c r="N1399" s="284" t="n"/>
      <c r="O1399" s="284" t="n"/>
    </row>
  </sheetData>
  <autoFilter ref="A6:M245"/>
  <mergeCells count="10">
    <mergeCell ref="A2:L2"/>
    <mergeCell ref="A1:L1"/>
    <mergeCell ref="A3:D3"/>
    <mergeCell ref="C5:D5"/>
    <mergeCell ref="A5:B5"/>
    <mergeCell ref="E5:F5"/>
    <mergeCell ref="G5:H5"/>
    <mergeCell ref="I5:J5"/>
    <mergeCell ref="K5:L5"/>
    <mergeCell ref="E3:J3"/>
  </mergeCells>
  <dataValidations count="1">
    <dataValidation sqref="E3" showDropDown="0" showInputMessage="0" showErrorMessage="0" allowBlank="1" type="list" errorStyle="stop" operator="between">
      <formula1>_PENDIENTES!$O$1:$O$39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4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baseColWidth="8" defaultColWidth="14.43359375" defaultRowHeight="15" zeroHeight="0" outlineLevelRow="0"/>
  <cols>
    <col width="14" customWidth="1" style="194" min="1" max="1"/>
    <col width="38" customWidth="1" style="194" min="2" max="2"/>
    <col width="24" customWidth="1" style="194" min="3" max="3"/>
    <col width="8.710000000000001" customWidth="1" style="194" min="4" max="6"/>
  </cols>
  <sheetData>
    <row r="1" ht="27.75" customHeight="1" s="195">
      <c r="A1" s="310" t="inlineStr">
        <is>
          <t>CATALOGO DE IPRESS - UE 0725 (210 EESS)</t>
        </is>
      </c>
      <c r="G1" s="194" t="n"/>
      <c r="H1" s="194" t="n"/>
      <c r="I1" s="194" t="n"/>
      <c r="J1" s="194" t="n"/>
      <c r="K1" s="194" t="n"/>
      <c r="L1" s="194" t="n"/>
      <c r="M1" s="194" t="n"/>
      <c r="N1" s="194" t="n"/>
      <c r="O1" s="194" t="n"/>
      <c r="P1" s="194" t="n"/>
      <c r="Q1" s="194" t="n"/>
      <c r="R1" s="194" t="n"/>
      <c r="S1" s="194" t="n"/>
      <c r="T1" s="194" t="n"/>
      <c r="U1" s="194" t="n"/>
      <c r="V1" s="194" t="n"/>
      <c r="W1" s="194" t="n"/>
      <c r="X1" s="194" t="n"/>
      <c r="Y1" s="194" t="n"/>
      <c r="Z1" s="194" t="n"/>
    </row>
    <row r="2" ht="19.5" customHeight="1" s="195">
      <c r="A2" s="311" t="inlineStr">
        <is>
          <t>CODIGO RENAES</t>
        </is>
      </c>
      <c r="B2" s="312" t="inlineStr">
        <is>
          <t>NOMBRE IPRESS</t>
        </is>
      </c>
      <c r="C2" s="313" t="inlineStr">
        <is>
          <t>MICRORED</t>
        </is>
      </c>
      <c r="G2" s="194" t="n"/>
      <c r="H2" s="194" t="n"/>
      <c r="I2" s="194" t="n"/>
      <c r="J2" s="194" t="n"/>
      <c r="K2" s="194" t="n"/>
      <c r="L2" s="194" t="n"/>
      <c r="M2" s="194" t="n"/>
      <c r="N2" s="194" t="n"/>
      <c r="O2" s="194" t="n"/>
      <c r="P2" s="194" t="n"/>
      <c r="Q2" s="194" t="n"/>
      <c r="R2" s="194" t="n"/>
      <c r="S2" s="194" t="n"/>
      <c r="T2" s="194" t="n"/>
      <c r="U2" s="194" t="n"/>
      <c r="V2" s="194" t="n"/>
      <c r="W2" s="194" t="n"/>
      <c r="X2" s="194" t="n"/>
      <c r="Y2" s="194" t="n"/>
      <c r="Z2" s="194" t="n"/>
    </row>
    <row r="3" ht="15" customHeight="1" s="195">
      <c r="A3" s="218" t="inlineStr">
        <is>
          <t>6754</t>
        </is>
      </c>
      <c r="B3" s="265" t="inlineStr">
        <is>
          <t>9 DE ENERO</t>
        </is>
      </c>
      <c r="C3" s="266" t="inlineStr">
        <is>
          <t>CHACHAPOYAS</t>
        </is>
      </c>
      <c r="G3" s="194" t="n"/>
      <c r="H3" s="194" t="n"/>
      <c r="I3" s="194" t="n"/>
      <c r="J3" s="194" t="n"/>
      <c r="K3" s="194" t="n"/>
      <c r="L3" s="194" t="n"/>
      <c r="M3" s="194" t="n"/>
      <c r="N3" s="194" t="n"/>
      <c r="O3" s="194" t="n"/>
      <c r="P3" s="194" t="n"/>
      <c r="Q3" s="194" t="n"/>
      <c r="R3" s="194" t="n"/>
      <c r="S3" s="194" t="n"/>
      <c r="T3" s="194" t="n"/>
      <c r="U3" s="194" t="n"/>
      <c r="V3" s="194" t="n"/>
      <c r="W3" s="194" t="n"/>
      <c r="X3" s="194" t="n"/>
      <c r="Y3" s="194" t="n"/>
      <c r="Z3" s="194" t="n"/>
    </row>
    <row r="4" ht="15" customHeight="1" s="195">
      <c r="A4" s="211" t="inlineStr">
        <is>
          <t>6990</t>
        </is>
      </c>
      <c r="B4" s="268" t="inlineStr">
        <is>
          <t>ACHAMAL</t>
        </is>
      </c>
      <c r="C4" s="269" t="inlineStr">
        <is>
          <t>TOTORA</t>
        </is>
      </c>
      <c r="G4" s="194" t="n"/>
      <c r="H4" s="194" t="n"/>
      <c r="I4" s="194" t="n"/>
      <c r="J4" s="194" t="n"/>
      <c r="K4" s="194" t="n"/>
      <c r="L4" s="194" t="n"/>
      <c r="M4" s="194" t="n"/>
      <c r="N4" s="194" t="n"/>
      <c r="O4" s="194" t="n"/>
      <c r="P4" s="194" t="n"/>
      <c r="Q4" s="194" t="n"/>
      <c r="R4" s="194" t="n"/>
      <c r="S4" s="194" t="n"/>
      <c r="T4" s="194" t="n"/>
      <c r="U4" s="194" t="n"/>
      <c r="V4" s="194" t="n"/>
      <c r="W4" s="194" t="n"/>
      <c r="X4" s="194" t="n"/>
      <c r="Y4" s="194" t="n"/>
      <c r="Z4" s="194" t="n"/>
    </row>
    <row r="5" ht="15" customHeight="1" s="195">
      <c r="A5" s="218" t="inlineStr">
        <is>
          <t>7172</t>
        </is>
      </c>
      <c r="B5" s="265" t="inlineStr">
        <is>
          <t>AGUA SANTA</t>
        </is>
      </c>
      <c r="C5" s="266" t="inlineStr">
        <is>
          <t>SANTO TOMAS</t>
        </is>
      </c>
      <c r="G5" s="194" t="n"/>
      <c r="H5" s="194" t="n"/>
      <c r="I5" s="194" t="n"/>
      <c r="J5" s="194" t="n"/>
      <c r="K5" s="194" t="n"/>
      <c r="L5" s="194" t="n"/>
      <c r="M5" s="194" t="n"/>
      <c r="N5" s="194" t="n"/>
      <c r="O5" s="194" t="n"/>
      <c r="P5" s="194" t="n"/>
      <c r="Q5" s="194" t="n"/>
      <c r="R5" s="194" t="n"/>
      <c r="S5" s="194" t="n"/>
      <c r="T5" s="194" t="n"/>
      <c r="U5" s="194" t="n"/>
      <c r="V5" s="194" t="n"/>
      <c r="W5" s="194" t="n"/>
      <c r="X5" s="194" t="n"/>
      <c r="Y5" s="194" t="n"/>
      <c r="Z5" s="194" t="n"/>
    </row>
    <row r="6" ht="15" customHeight="1" s="195">
      <c r="A6" s="211" t="inlineStr">
        <is>
          <t>4912</t>
        </is>
      </c>
      <c r="B6" s="268" t="inlineStr">
        <is>
          <t>ASUNCION GONCHA</t>
        </is>
      </c>
      <c r="C6" s="269" t="inlineStr">
        <is>
          <t>JUMBILLA</t>
        </is>
      </c>
      <c r="G6" s="194" t="n"/>
      <c r="H6" s="194" t="n"/>
      <c r="I6" s="194" t="n"/>
      <c r="J6" s="194" t="n"/>
      <c r="K6" s="194" t="n"/>
      <c r="L6" s="194" t="n"/>
      <c r="M6" s="194" t="n"/>
      <c r="N6" s="194" t="n"/>
      <c r="O6" s="194" t="n"/>
      <c r="P6" s="194" t="n"/>
      <c r="Q6" s="194" t="n"/>
      <c r="R6" s="194" t="n"/>
      <c r="S6" s="194" t="n"/>
      <c r="T6" s="194" t="n"/>
      <c r="U6" s="194" t="n"/>
      <c r="V6" s="194" t="n"/>
      <c r="W6" s="194" t="n"/>
      <c r="X6" s="194" t="n"/>
      <c r="Y6" s="194" t="n"/>
      <c r="Z6" s="194" t="n"/>
    </row>
    <row r="7" ht="15" customHeight="1" s="195">
      <c r="A7" s="218" t="inlineStr">
        <is>
          <t>7175</t>
        </is>
      </c>
      <c r="B7" s="265" t="inlineStr">
        <is>
          <t>ATUEN</t>
        </is>
      </c>
      <c r="C7" s="266" t="inlineStr">
        <is>
          <t>LEIMEBAMBA</t>
        </is>
      </c>
      <c r="G7" s="194" t="n"/>
      <c r="H7" s="194" t="n"/>
      <c r="I7" s="194" t="n"/>
      <c r="J7" s="194" t="n"/>
      <c r="K7" s="194" t="n"/>
      <c r="L7" s="194" t="n"/>
      <c r="M7" s="194" t="n"/>
      <c r="N7" s="194" t="n"/>
      <c r="O7" s="194" t="n"/>
      <c r="P7" s="194" t="n"/>
      <c r="Q7" s="194" t="n"/>
      <c r="R7" s="194" t="n"/>
      <c r="S7" s="194" t="n"/>
      <c r="T7" s="194" t="n"/>
      <c r="U7" s="194" t="n"/>
      <c r="V7" s="194" t="n"/>
      <c r="W7" s="194" t="n"/>
      <c r="X7" s="194" t="n"/>
      <c r="Y7" s="194" t="n"/>
      <c r="Z7" s="194" t="n"/>
    </row>
    <row r="8" ht="15" customHeight="1" s="195">
      <c r="A8" s="211" t="inlineStr">
        <is>
          <t>27354</t>
        </is>
      </c>
      <c r="B8" s="268" t="inlineStr">
        <is>
          <t>AYLLU SACHAPUYOS</t>
        </is>
      </c>
      <c r="C8" s="269" t="inlineStr">
        <is>
          <t>AYLLU SACHAPUYOS</t>
        </is>
      </c>
      <c r="G8" s="194" t="n"/>
      <c r="H8" s="194" t="n"/>
      <c r="I8" s="194" t="n"/>
      <c r="J8" s="194" t="n"/>
      <c r="K8" s="194" t="n"/>
      <c r="L8" s="194" t="n"/>
      <c r="M8" s="194" t="n"/>
      <c r="N8" s="194" t="n"/>
      <c r="O8" s="194" t="n"/>
      <c r="P8" s="194" t="n"/>
      <c r="Q8" s="194" t="n"/>
      <c r="R8" s="194" t="n"/>
      <c r="S8" s="194" t="n"/>
      <c r="T8" s="194" t="n"/>
      <c r="U8" s="194" t="n"/>
      <c r="V8" s="194" t="n"/>
      <c r="W8" s="194" t="n"/>
      <c r="X8" s="194" t="n"/>
      <c r="Y8" s="194" t="n"/>
      <c r="Z8" s="194" t="n"/>
    </row>
    <row r="9" ht="15" customHeight="1" s="195">
      <c r="A9" s="218" t="inlineStr">
        <is>
          <t>7206</t>
        </is>
      </c>
      <c r="B9" s="265" t="inlineStr">
        <is>
          <t>BALERIANA</t>
        </is>
      </c>
      <c r="C9" s="266" t="inlineStr">
        <is>
          <t>MARIA</t>
        </is>
      </c>
      <c r="G9" s="194" t="n"/>
      <c r="H9" s="194" t="n"/>
      <c r="I9" s="194" t="n"/>
      <c r="J9" s="194" t="n"/>
      <c r="K9" s="194" t="n"/>
      <c r="L9" s="194" t="n"/>
      <c r="M9" s="194" t="n"/>
      <c r="N9" s="194" t="n"/>
      <c r="O9" s="194" t="n"/>
      <c r="P9" s="194" t="n"/>
      <c r="Q9" s="194" t="n"/>
      <c r="R9" s="194" t="n"/>
      <c r="S9" s="194" t="n"/>
      <c r="T9" s="194" t="n"/>
      <c r="U9" s="194" t="n"/>
      <c r="V9" s="194" t="n"/>
      <c r="W9" s="194" t="n"/>
      <c r="X9" s="194" t="n"/>
      <c r="Y9" s="194" t="n"/>
      <c r="Z9" s="194" t="n"/>
    </row>
    <row r="10" ht="15" customHeight="1" s="195">
      <c r="A10" s="211" t="inlineStr">
        <is>
          <t>4856</t>
        </is>
      </c>
      <c r="B10" s="268" t="inlineStr">
        <is>
          <t>BALZAS</t>
        </is>
      </c>
      <c r="C10" s="269" t="inlineStr">
        <is>
          <t>LEIMEBAMBA</t>
        </is>
      </c>
      <c r="G10" s="194" t="n"/>
      <c r="H10" s="194" t="n"/>
      <c r="I10" s="194" t="n"/>
      <c r="J10" s="194" t="n"/>
      <c r="K10" s="194" t="n"/>
      <c r="L10" s="194" t="n"/>
      <c r="M10" s="194" t="n"/>
      <c r="N10" s="194" t="n"/>
      <c r="O10" s="194" t="n"/>
      <c r="P10" s="194" t="n"/>
      <c r="Q10" s="194" t="n"/>
      <c r="R10" s="194" t="n"/>
      <c r="S10" s="194" t="n"/>
      <c r="T10" s="194" t="n"/>
      <c r="U10" s="194" t="n"/>
      <c r="V10" s="194" t="n"/>
      <c r="W10" s="194" t="n"/>
      <c r="X10" s="194" t="n"/>
      <c r="Y10" s="194" t="n"/>
      <c r="Z10" s="194" t="n"/>
    </row>
    <row r="11" ht="15" customHeight="1" s="195">
      <c r="A11" s="218" t="inlineStr">
        <is>
          <t>7334</t>
        </is>
      </c>
      <c r="B11" s="265" t="inlineStr">
        <is>
          <t>BUENA VISTA</t>
        </is>
      </c>
      <c r="C11" s="266" t="inlineStr">
        <is>
          <t>MARIA</t>
        </is>
      </c>
      <c r="G11" s="194" t="n"/>
      <c r="H11" s="194" t="n"/>
      <c r="I11" s="194" t="n"/>
      <c r="J11" s="194" t="n"/>
      <c r="K11" s="194" t="n"/>
      <c r="L11" s="194" t="n"/>
      <c r="M11" s="194" t="n"/>
      <c r="N11" s="194" t="n"/>
      <c r="O11" s="194" t="n"/>
      <c r="P11" s="194" t="n"/>
      <c r="Q11" s="194" t="n"/>
      <c r="R11" s="194" t="n"/>
      <c r="S11" s="194" t="n"/>
      <c r="T11" s="194" t="n"/>
      <c r="U11" s="194" t="n"/>
      <c r="V11" s="194" t="n"/>
      <c r="W11" s="194" t="n"/>
      <c r="X11" s="194" t="n"/>
      <c r="Y11" s="194" t="n"/>
      <c r="Z11" s="194" t="n"/>
    </row>
    <row r="12" ht="15" customHeight="1" s="195">
      <c r="A12" s="211" t="inlineStr">
        <is>
          <t>4937</t>
        </is>
      </c>
      <c r="B12" s="268" t="inlineStr">
        <is>
          <t>BUENOS AIRES</t>
        </is>
      </c>
      <c r="C12" s="269" t="inlineStr">
        <is>
          <t>POMACOCHAS</t>
        </is>
      </c>
      <c r="G12" s="194" t="n"/>
      <c r="H12" s="194" t="n"/>
      <c r="I12" s="194" t="n"/>
      <c r="J12" s="194" t="n"/>
      <c r="K12" s="194" t="n"/>
      <c r="L12" s="194" t="n"/>
      <c r="M12" s="194" t="n"/>
      <c r="N12" s="194" t="n"/>
      <c r="O12" s="194" t="n"/>
      <c r="P12" s="194" t="n"/>
      <c r="Q12" s="194" t="n"/>
      <c r="R12" s="194" t="n"/>
      <c r="S12" s="194" t="n"/>
      <c r="T12" s="194" t="n"/>
      <c r="U12" s="194" t="n"/>
      <c r="V12" s="194" t="n"/>
      <c r="W12" s="194" t="n"/>
      <c r="X12" s="194" t="n"/>
      <c r="Y12" s="194" t="n"/>
      <c r="Z12" s="194" t="n"/>
    </row>
    <row r="13" ht="15" customHeight="1" s="195">
      <c r="A13" s="218" t="inlineStr">
        <is>
          <t>7070</t>
        </is>
      </c>
      <c r="B13" s="265" t="inlineStr">
        <is>
          <t>BUIQUIL</t>
        </is>
      </c>
      <c r="C13" s="266" t="inlineStr">
        <is>
          <t>YERBABUENA</t>
        </is>
      </c>
      <c r="G13" s="194" t="n"/>
      <c r="H13" s="194" t="n"/>
      <c r="I13" s="194" t="n"/>
      <c r="J13" s="194" t="n"/>
      <c r="K13" s="194" t="n"/>
      <c r="L13" s="194" t="n"/>
      <c r="M13" s="194" t="n"/>
      <c r="N13" s="194" t="n"/>
      <c r="O13" s="194" t="n"/>
      <c r="P13" s="194" t="n"/>
      <c r="Q13" s="194" t="n"/>
      <c r="R13" s="194" t="n"/>
      <c r="S13" s="194" t="n"/>
      <c r="T13" s="194" t="n"/>
      <c r="U13" s="194" t="n"/>
      <c r="V13" s="194" t="n"/>
      <c r="W13" s="194" t="n"/>
      <c r="X13" s="194" t="n"/>
      <c r="Y13" s="194" t="n"/>
      <c r="Z13" s="194" t="n"/>
    </row>
    <row r="14" ht="15" customHeight="1" s="195">
      <c r="A14" s="211" t="inlineStr">
        <is>
          <t>4845</t>
        </is>
      </c>
      <c r="B14" s="268" t="inlineStr">
        <is>
          <t>CALDERA</t>
        </is>
      </c>
      <c r="C14" s="269" t="inlineStr">
        <is>
          <t>COLLONCE</t>
        </is>
      </c>
      <c r="G14" s="194" t="n"/>
      <c r="H14" s="194" t="n"/>
      <c r="I14" s="194" t="n"/>
      <c r="J14" s="194" t="n"/>
      <c r="K14" s="194" t="n"/>
      <c r="L14" s="194" t="n"/>
      <c r="M14" s="194" t="n"/>
      <c r="N14" s="194" t="n"/>
      <c r="O14" s="194" t="n"/>
      <c r="P14" s="194" t="n"/>
      <c r="Q14" s="194" t="n"/>
      <c r="R14" s="194" t="n"/>
      <c r="S14" s="194" t="n"/>
      <c r="T14" s="194" t="n"/>
      <c r="U14" s="194" t="n"/>
      <c r="V14" s="194" t="n"/>
      <c r="W14" s="194" t="n"/>
      <c r="X14" s="194" t="n"/>
      <c r="Y14" s="194" t="n"/>
      <c r="Z14" s="194" t="n"/>
    </row>
    <row r="15" ht="15" customHeight="1" s="195">
      <c r="A15" s="218" t="inlineStr">
        <is>
          <t>13019</t>
        </is>
      </c>
      <c r="B15" s="265" t="inlineStr">
        <is>
          <t>CAMELIN</t>
        </is>
      </c>
      <c r="C15" s="266" t="inlineStr">
        <is>
          <t>LUYA</t>
        </is>
      </c>
      <c r="G15" s="194" t="n"/>
      <c r="H15" s="194" t="n"/>
      <c r="I15" s="194" t="n"/>
      <c r="J15" s="194" t="n"/>
      <c r="K15" s="194" t="n"/>
      <c r="L15" s="194" t="n"/>
      <c r="M15" s="194" t="n"/>
      <c r="N15" s="194" t="n"/>
      <c r="O15" s="194" t="n"/>
      <c r="P15" s="194" t="n"/>
      <c r="Q15" s="194" t="n"/>
      <c r="R15" s="194" t="n"/>
      <c r="S15" s="194" t="n"/>
      <c r="T15" s="194" t="n"/>
      <c r="U15" s="194" t="n"/>
      <c r="V15" s="194" t="n"/>
      <c r="W15" s="194" t="n"/>
      <c r="X15" s="194" t="n"/>
      <c r="Y15" s="194" t="n"/>
      <c r="Z15" s="194" t="n"/>
    </row>
    <row r="16" ht="15" customHeight="1" s="195">
      <c r="A16" s="211" t="inlineStr">
        <is>
          <t>4873</t>
        </is>
      </c>
      <c r="B16" s="268" t="inlineStr">
        <is>
          <t>CAMPORREDONDO</t>
        </is>
      </c>
      <c r="C16" s="269" t="inlineStr">
        <is>
          <t>CAMPORREDONDO</t>
        </is>
      </c>
      <c r="G16" s="194" t="n"/>
      <c r="H16" s="194" t="n"/>
      <c r="I16" s="194" t="n"/>
      <c r="J16" s="194" t="n"/>
      <c r="K16" s="194" t="n"/>
      <c r="L16" s="194" t="n"/>
      <c r="M16" s="194" t="n"/>
      <c r="N16" s="194" t="n"/>
      <c r="O16" s="194" t="n"/>
      <c r="P16" s="194" t="n"/>
      <c r="Q16" s="194" t="n"/>
      <c r="R16" s="194" t="n"/>
      <c r="S16" s="194" t="n"/>
      <c r="T16" s="194" t="n"/>
      <c r="U16" s="194" t="n"/>
      <c r="V16" s="194" t="n"/>
      <c r="W16" s="194" t="n"/>
      <c r="X16" s="194" t="n"/>
      <c r="Y16" s="194" t="n"/>
      <c r="Z16" s="194" t="n"/>
    </row>
    <row r="17" ht="15" customHeight="1" s="195">
      <c r="A17" s="218" t="inlineStr">
        <is>
          <t>7176</t>
        </is>
      </c>
      <c r="B17" s="265" t="inlineStr">
        <is>
          <t>CANAAN</t>
        </is>
      </c>
      <c r="C17" s="266" t="inlineStr">
        <is>
          <t>ZARUMILLA</t>
        </is>
      </c>
      <c r="G17" s="194" t="n"/>
      <c r="H17" s="194" t="n"/>
      <c r="I17" s="194" t="n"/>
      <c r="J17" s="194" t="n"/>
      <c r="K17" s="194" t="n"/>
      <c r="L17" s="194" t="n"/>
      <c r="M17" s="194" t="n"/>
      <c r="N17" s="194" t="n"/>
      <c r="O17" s="194" t="n"/>
      <c r="P17" s="194" t="n"/>
      <c r="Q17" s="194" t="n"/>
      <c r="R17" s="194" t="n"/>
      <c r="S17" s="194" t="n"/>
      <c r="T17" s="194" t="n"/>
      <c r="U17" s="194" t="n"/>
      <c r="V17" s="194" t="n"/>
      <c r="W17" s="194" t="n"/>
      <c r="X17" s="194" t="n"/>
      <c r="Y17" s="194" t="n"/>
      <c r="Z17" s="194" t="n"/>
    </row>
    <row r="18" ht="15" customHeight="1" s="195">
      <c r="A18" s="211" t="inlineStr">
        <is>
          <t>4933</t>
        </is>
      </c>
      <c r="B18" s="268" t="inlineStr">
        <is>
          <t>CARRERA</t>
        </is>
      </c>
      <c r="C18" s="269" t="inlineStr">
        <is>
          <t>PEDRO RUIZ GALLO</t>
        </is>
      </c>
      <c r="G18" s="194" t="n"/>
      <c r="H18" s="194" t="n"/>
      <c r="I18" s="194" t="n"/>
      <c r="J18" s="194" t="n"/>
      <c r="K18" s="194" t="n"/>
      <c r="L18" s="194" t="n"/>
      <c r="M18" s="194" t="n"/>
      <c r="N18" s="194" t="n"/>
      <c r="O18" s="194" t="n"/>
      <c r="P18" s="194" t="n"/>
      <c r="Q18" s="194" t="n"/>
      <c r="R18" s="194" t="n"/>
      <c r="S18" s="194" t="n"/>
      <c r="T18" s="194" t="n"/>
      <c r="U18" s="194" t="n"/>
      <c r="V18" s="194" t="n"/>
      <c r="W18" s="194" t="n"/>
      <c r="X18" s="194" t="n"/>
      <c r="Y18" s="194" t="n"/>
      <c r="Z18" s="194" t="n"/>
    </row>
    <row r="19" ht="15" customHeight="1" s="195">
      <c r="A19" s="218" t="inlineStr">
        <is>
          <t>9667</t>
        </is>
      </c>
      <c r="B19" s="265" t="inlineStr">
        <is>
          <t>CASMAL</t>
        </is>
      </c>
      <c r="C19" s="266" t="inlineStr">
        <is>
          <t>MOLINOPAMPA</t>
        </is>
      </c>
      <c r="G19" s="194" t="n"/>
      <c r="H19" s="194" t="n"/>
      <c r="I19" s="194" t="n"/>
      <c r="J19" s="194" t="n"/>
      <c r="K19" s="194" t="n"/>
      <c r="L19" s="194" t="n"/>
      <c r="M19" s="194" t="n"/>
      <c r="N19" s="194" t="n"/>
      <c r="O19" s="194" t="n"/>
      <c r="P19" s="194" t="n"/>
      <c r="Q19" s="194" t="n"/>
      <c r="R19" s="194" t="n"/>
      <c r="S19" s="194" t="n"/>
      <c r="T19" s="194" t="n"/>
      <c r="U19" s="194" t="n"/>
      <c r="V19" s="194" t="n"/>
      <c r="W19" s="194" t="n"/>
      <c r="X19" s="194" t="n"/>
      <c r="Y19" s="194" t="n"/>
      <c r="Z19" s="194" t="n"/>
    </row>
    <row r="20" ht="15" customHeight="1" s="195">
      <c r="A20" s="211" t="inlineStr">
        <is>
          <t>7153</t>
        </is>
      </c>
      <c r="B20" s="268" t="inlineStr">
        <is>
          <t>CELCHO CUZCO</t>
        </is>
      </c>
      <c r="C20" s="269" t="inlineStr">
        <is>
          <t>OCALLI</t>
        </is>
      </c>
      <c r="G20" s="194" t="n"/>
      <c r="H20" s="194" t="n"/>
      <c r="I20" s="194" t="n"/>
      <c r="J20" s="194" t="n"/>
      <c r="K20" s="194" t="n"/>
      <c r="L20" s="194" t="n"/>
      <c r="M20" s="194" t="n"/>
      <c r="N20" s="194" t="n"/>
      <c r="O20" s="194" t="n"/>
      <c r="P20" s="194" t="n"/>
      <c r="Q20" s="194" t="n"/>
      <c r="R20" s="194" t="n"/>
      <c r="S20" s="194" t="n"/>
      <c r="T20" s="194" t="n"/>
      <c r="U20" s="194" t="n"/>
      <c r="V20" s="194" t="n"/>
      <c r="W20" s="194" t="n"/>
      <c r="X20" s="194" t="n"/>
      <c r="Y20" s="194" t="n"/>
      <c r="Z20" s="194" t="n"/>
    </row>
    <row r="21" ht="15" customHeight="1" s="195">
      <c r="A21" s="218" t="inlineStr">
        <is>
          <t>7378</t>
        </is>
      </c>
      <c r="B21" s="265" t="inlineStr">
        <is>
          <t>CHAYUYAKU</t>
        </is>
      </c>
      <c r="C21" s="266" t="inlineStr">
        <is>
          <t>POMACOCHAS</t>
        </is>
      </c>
      <c r="G21" s="194" t="n"/>
      <c r="H21" s="194" t="n"/>
      <c r="I21" s="194" t="n"/>
      <c r="J21" s="194" t="n"/>
      <c r="K21" s="194" t="n"/>
      <c r="L21" s="194" t="n"/>
      <c r="M21" s="194" t="n"/>
      <c r="N21" s="194" t="n"/>
      <c r="O21" s="194" t="n"/>
      <c r="P21" s="194" t="n"/>
      <c r="Q21" s="194" t="n"/>
      <c r="R21" s="194" t="n"/>
      <c r="S21" s="194" t="n"/>
      <c r="T21" s="194" t="n"/>
      <c r="U21" s="194" t="n"/>
      <c r="V21" s="194" t="n"/>
      <c r="W21" s="194" t="n"/>
      <c r="X21" s="194" t="n"/>
      <c r="Y21" s="194" t="n"/>
      <c r="Z21" s="194" t="n"/>
    </row>
    <row r="22" ht="15" customHeight="1" s="195">
      <c r="A22" s="211" t="inlineStr">
        <is>
          <t>4878</t>
        </is>
      </c>
      <c r="B22" s="268" t="inlineStr">
        <is>
          <t>CHETO</t>
        </is>
      </c>
      <c r="C22" s="269" t="inlineStr">
        <is>
          <t>PIPUS</t>
        </is>
      </c>
      <c r="G22" s="194" t="n"/>
      <c r="H22" s="194" t="n"/>
      <c r="I22" s="194" t="n"/>
      <c r="J22" s="194" t="n"/>
      <c r="K22" s="194" t="n"/>
      <c r="L22" s="194" t="n"/>
      <c r="M22" s="194" t="n"/>
      <c r="N22" s="194" t="n"/>
      <c r="O22" s="194" t="n"/>
      <c r="P22" s="194" t="n"/>
      <c r="Q22" s="194" t="n"/>
      <c r="R22" s="194" t="n"/>
      <c r="S22" s="194" t="n"/>
      <c r="T22" s="194" t="n"/>
      <c r="U22" s="194" t="n"/>
      <c r="V22" s="194" t="n"/>
      <c r="W22" s="194" t="n"/>
      <c r="X22" s="194" t="n"/>
      <c r="Y22" s="194" t="n"/>
      <c r="Z22" s="194" t="n"/>
    </row>
    <row r="23" ht="15" customHeight="1" s="195">
      <c r="A23" s="218" t="inlineStr">
        <is>
          <t>4860</t>
        </is>
      </c>
      <c r="B23" s="265" t="inlineStr">
        <is>
          <t>CHILCHOS</t>
        </is>
      </c>
      <c r="C23" s="266" t="inlineStr">
        <is>
          <t>LEIMEBAMBA</t>
        </is>
      </c>
      <c r="G23" s="194" t="n"/>
      <c r="H23" s="194" t="n"/>
      <c r="I23" s="194" t="n"/>
      <c r="J23" s="194" t="n"/>
      <c r="K23" s="194" t="n"/>
      <c r="L23" s="194" t="n"/>
      <c r="M23" s="194" t="n"/>
      <c r="N23" s="194" t="n"/>
      <c r="O23" s="194" t="n"/>
      <c r="P23" s="194" t="n"/>
      <c r="Q23" s="194" t="n"/>
      <c r="R23" s="194" t="n"/>
      <c r="S23" s="194" t="n"/>
      <c r="T23" s="194" t="n"/>
      <c r="U23" s="194" t="n"/>
      <c r="V23" s="194" t="n"/>
      <c r="W23" s="194" t="n"/>
      <c r="X23" s="194" t="n"/>
      <c r="Y23" s="194" t="n"/>
      <c r="Z23" s="194" t="n"/>
    </row>
    <row r="24" ht="15" customHeight="1" s="195">
      <c r="A24" s="211" t="inlineStr">
        <is>
          <t>4880</t>
        </is>
      </c>
      <c r="B24" s="268" t="inlineStr">
        <is>
          <t>CHILIQUIN</t>
        </is>
      </c>
      <c r="C24" s="269" t="inlineStr">
        <is>
          <t>PIPUS</t>
        </is>
      </c>
      <c r="G24" s="194" t="n"/>
      <c r="H24" s="194" t="n"/>
      <c r="I24" s="194" t="n"/>
      <c r="J24" s="194" t="n"/>
      <c r="K24" s="194" t="n"/>
      <c r="L24" s="194" t="n"/>
      <c r="M24" s="194" t="n"/>
      <c r="N24" s="194" t="n"/>
      <c r="O24" s="194" t="n"/>
      <c r="P24" s="194" t="n"/>
      <c r="Q24" s="194" t="n"/>
      <c r="R24" s="194" t="n"/>
      <c r="S24" s="194" t="n"/>
      <c r="T24" s="194" t="n"/>
      <c r="U24" s="194" t="n"/>
      <c r="V24" s="194" t="n"/>
      <c r="W24" s="194" t="n"/>
      <c r="X24" s="194" t="n"/>
      <c r="Y24" s="194" t="n"/>
      <c r="Z24" s="194" t="n"/>
    </row>
    <row r="25" ht="15" customHeight="1" s="195">
      <c r="A25" s="218" t="inlineStr">
        <is>
          <t>4953</t>
        </is>
      </c>
      <c r="B25" s="265" t="inlineStr">
        <is>
          <t>CHIRIMOTO</t>
        </is>
      </c>
      <c r="C25" s="266" t="inlineStr">
        <is>
          <t>TOTORA</t>
        </is>
      </c>
      <c r="G25" s="194" t="n"/>
      <c r="H25" s="194" t="n"/>
      <c r="I25" s="194" t="n"/>
      <c r="J25" s="194" t="n"/>
      <c r="K25" s="194" t="n"/>
      <c r="L25" s="194" t="n"/>
      <c r="M25" s="194" t="n"/>
      <c r="N25" s="194" t="n"/>
      <c r="O25" s="194" t="n"/>
      <c r="P25" s="194" t="n"/>
      <c r="Q25" s="194" t="n"/>
      <c r="R25" s="194" t="n"/>
      <c r="S25" s="194" t="n"/>
      <c r="T25" s="194" t="n"/>
      <c r="U25" s="194" t="n"/>
      <c r="V25" s="194" t="n"/>
      <c r="W25" s="194" t="n"/>
      <c r="X25" s="194" t="n"/>
      <c r="Y25" s="194" t="n"/>
      <c r="Z25" s="194" t="n"/>
    </row>
    <row r="26" ht="15" customHeight="1" s="195">
      <c r="A26" s="211" t="inlineStr">
        <is>
          <t>4915</t>
        </is>
      </c>
      <c r="B26" s="268" t="inlineStr">
        <is>
          <t>CHISQUILLA</t>
        </is>
      </c>
      <c r="C26" s="269" t="inlineStr">
        <is>
          <t>JUMBILLA</t>
        </is>
      </c>
      <c r="G26" s="194" t="n"/>
      <c r="H26" s="194" t="n"/>
      <c r="I26" s="194" t="n"/>
      <c r="J26" s="194" t="n"/>
      <c r="K26" s="194" t="n"/>
      <c r="L26" s="194" t="n"/>
      <c r="M26" s="194" t="n"/>
      <c r="N26" s="194" t="n"/>
      <c r="O26" s="194" t="n"/>
      <c r="P26" s="194" t="n"/>
      <c r="Q26" s="194" t="n"/>
      <c r="R26" s="194" t="n"/>
      <c r="S26" s="194" t="n"/>
      <c r="T26" s="194" t="n"/>
      <c r="U26" s="194" t="n"/>
      <c r="V26" s="194" t="n"/>
      <c r="W26" s="194" t="n"/>
      <c r="X26" s="194" t="n"/>
      <c r="Y26" s="194" t="n"/>
      <c r="Z26" s="194" t="n"/>
    </row>
    <row r="27" ht="15" customHeight="1" s="195">
      <c r="A27" s="218" t="inlineStr">
        <is>
          <t>4867</t>
        </is>
      </c>
      <c r="B27" s="265" t="inlineStr">
        <is>
          <t>CHOCTA</t>
        </is>
      </c>
      <c r="C27" s="266" t="inlineStr">
        <is>
          <t>LUYA</t>
        </is>
      </c>
      <c r="G27" s="194" t="n"/>
      <c r="H27" s="194" t="n"/>
      <c r="I27" s="194" t="n"/>
      <c r="J27" s="194" t="n"/>
      <c r="K27" s="194" t="n"/>
      <c r="L27" s="194" t="n"/>
      <c r="M27" s="194" t="n"/>
      <c r="N27" s="194" t="n"/>
      <c r="O27" s="194" t="n"/>
      <c r="P27" s="194" t="n"/>
      <c r="Q27" s="194" t="n"/>
      <c r="R27" s="194" t="n"/>
      <c r="S27" s="194" t="n"/>
      <c r="T27" s="194" t="n"/>
      <c r="U27" s="194" t="n"/>
      <c r="V27" s="194" t="n"/>
      <c r="W27" s="194" t="n"/>
      <c r="X27" s="194" t="n"/>
      <c r="Y27" s="194" t="n"/>
      <c r="Z27" s="194" t="n"/>
    </row>
    <row r="28" ht="15" customHeight="1" s="195">
      <c r="A28" s="211" t="inlineStr">
        <is>
          <t>4898</t>
        </is>
      </c>
      <c r="B28" s="268" t="inlineStr">
        <is>
          <t>CHOCTAMAL</t>
        </is>
      </c>
      <c r="C28" s="269" t="inlineStr">
        <is>
          <t>TINGO</t>
        </is>
      </c>
      <c r="G28" s="194" t="n"/>
      <c r="H28" s="194" t="n"/>
      <c r="I28" s="194" t="n"/>
      <c r="J28" s="194" t="n"/>
      <c r="K28" s="194" t="n"/>
      <c r="L28" s="194" t="n"/>
      <c r="M28" s="194" t="n"/>
      <c r="N28" s="194" t="n"/>
      <c r="O28" s="194" t="n"/>
      <c r="P28" s="194" t="n"/>
      <c r="Q28" s="194" t="n"/>
      <c r="R28" s="194" t="n"/>
      <c r="S28" s="194" t="n"/>
      <c r="T28" s="194" t="n"/>
      <c r="U28" s="194" t="n"/>
      <c r="V28" s="194" t="n"/>
      <c r="W28" s="194" t="n"/>
      <c r="X28" s="194" t="n"/>
      <c r="Y28" s="194" t="n"/>
      <c r="Z28" s="194" t="n"/>
    </row>
    <row r="29" ht="15" customHeight="1" s="195">
      <c r="A29" s="218" t="inlineStr">
        <is>
          <t>7445</t>
        </is>
      </c>
      <c r="B29" s="265" t="inlineStr">
        <is>
          <t>CHONTAPAMPA DE MILPUC</t>
        </is>
      </c>
      <c r="C29" s="266" t="inlineStr">
        <is>
          <t>OMIA</t>
        </is>
      </c>
      <c r="G29" s="194" t="n"/>
      <c r="H29" s="194" t="n"/>
      <c r="I29" s="194" t="n"/>
      <c r="J29" s="194" t="n"/>
      <c r="K29" s="194" t="n"/>
      <c r="L29" s="194" t="n"/>
      <c r="M29" s="194" t="n"/>
      <c r="N29" s="194" t="n"/>
      <c r="O29" s="194" t="n"/>
      <c r="P29" s="194" t="n"/>
      <c r="Q29" s="194" t="n"/>
      <c r="R29" s="194" t="n"/>
      <c r="S29" s="194" t="n"/>
      <c r="T29" s="194" t="n"/>
      <c r="U29" s="194" t="n"/>
      <c r="V29" s="194" t="n"/>
      <c r="W29" s="194" t="n"/>
      <c r="X29" s="194" t="n"/>
      <c r="Y29" s="194" t="n"/>
      <c r="Z29" s="194" t="n"/>
    </row>
    <row r="30" ht="15" customHeight="1" s="195">
      <c r="A30" s="211" t="inlineStr">
        <is>
          <t>7446</t>
        </is>
      </c>
      <c r="B30" s="268" t="inlineStr">
        <is>
          <t>CHONTAPAMPA DE HUAMBO</t>
        </is>
      </c>
      <c r="C30" s="269" t="inlineStr">
        <is>
          <t>HUAMBO</t>
        </is>
      </c>
      <c r="G30" s="194" t="n"/>
      <c r="H30" s="194" t="n"/>
      <c r="I30" s="194" t="n"/>
      <c r="J30" s="194" t="n"/>
      <c r="K30" s="194" t="n"/>
      <c r="L30" s="194" t="n"/>
      <c r="M30" s="194" t="n"/>
      <c r="N30" s="194" t="n"/>
      <c r="O30" s="194" t="n"/>
      <c r="P30" s="194" t="n"/>
      <c r="Q30" s="194" t="n"/>
      <c r="R30" s="194" t="n"/>
      <c r="S30" s="194" t="n"/>
      <c r="T30" s="194" t="n"/>
      <c r="U30" s="194" t="n"/>
      <c r="V30" s="194" t="n"/>
      <c r="W30" s="194" t="n"/>
      <c r="X30" s="194" t="n"/>
      <c r="Y30" s="194" t="n"/>
      <c r="Z30" s="194" t="n"/>
    </row>
    <row r="31" ht="15" customHeight="1" s="195">
      <c r="A31" s="218" t="inlineStr">
        <is>
          <t>6988</t>
        </is>
      </c>
      <c r="B31" s="265" t="inlineStr">
        <is>
          <t>CHONTAPAMPA DE QUINJALCA</t>
        </is>
      </c>
      <c r="C31" s="266" t="inlineStr">
        <is>
          <t>PIPUS</t>
        </is>
      </c>
      <c r="G31" s="194" t="n"/>
      <c r="H31" s="194" t="n"/>
      <c r="I31" s="194" t="n"/>
      <c r="J31" s="194" t="n"/>
      <c r="K31" s="194" t="n"/>
      <c r="L31" s="194" t="n"/>
      <c r="M31" s="194" t="n"/>
      <c r="N31" s="194" t="n"/>
      <c r="O31" s="194" t="n"/>
      <c r="P31" s="194" t="n"/>
      <c r="Q31" s="194" t="n"/>
      <c r="R31" s="194" t="n"/>
      <c r="S31" s="194" t="n"/>
      <c r="T31" s="194" t="n"/>
      <c r="U31" s="194" t="n"/>
      <c r="V31" s="194" t="n"/>
      <c r="W31" s="194" t="n"/>
      <c r="X31" s="194" t="n"/>
      <c r="Y31" s="194" t="n"/>
      <c r="Z31" s="194" t="n"/>
    </row>
    <row r="32" ht="15" customHeight="1" s="195">
      <c r="A32" s="211" t="inlineStr">
        <is>
          <t>4923</t>
        </is>
      </c>
      <c r="B32" s="268" t="inlineStr">
        <is>
          <t>CHOSGON</t>
        </is>
      </c>
      <c r="C32" s="269" t="inlineStr">
        <is>
          <t>PEDRO RUIZ GALLO</t>
        </is>
      </c>
      <c r="G32" s="194" t="n"/>
      <c r="H32" s="194" t="n"/>
      <c r="I32" s="194" t="n"/>
      <c r="J32" s="194" t="n"/>
      <c r="K32" s="194" t="n"/>
      <c r="L32" s="194" t="n"/>
      <c r="M32" s="194" t="n"/>
      <c r="N32" s="194" t="n"/>
      <c r="O32" s="194" t="n"/>
      <c r="P32" s="194" t="n"/>
      <c r="Q32" s="194" t="n"/>
      <c r="R32" s="194" t="n"/>
      <c r="S32" s="194" t="n"/>
      <c r="T32" s="194" t="n"/>
      <c r="U32" s="194" t="n"/>
      <c r="V32" s="194" t="n"/>
      <c r="W32" s="194" t="n"/>
      <c r="X32" s="194" t="n"/>
      <c r="Y32" s="194" t="n"/>
      <c r="Z32" s="194" t="n"/>
    </row>
    <row r="33" ht="15" customHeight="1" s="195">
      <c r="A33" s="218" t="inlineStr">
        <is>
          <t>7066</t>
        </is>
      </c>
      <c r="B33" s="265" t="inlineStr">
        <is>
          <t>CHUILON</t>
        </is>
      </c>
      <c r="C33" s="266" t="inlineStr">
        <is>
          <t>MARIA</t>
        </is>
      </c>
      <c r="G33" s="194" t="n"/>
      <c r="H33" s="194" t="n"/>
      <c r="I33" s="194" t="n"/>
      <c r="J33" s="194" t="n"/>
      <c r="K33" s="194" t="n"/>
      <c r="L33" s="194" t="n"/>
      <c r="M33" s="194" t="n"/>
      <c r="N33" s="194" t="n"/>
      <c r="O33" s="194" t="n"/>
      <c r="P33" s="194" t="n"/>
      <c r="Q33" s="194" t="n"/>
      <c r="R33" s="194" t="n"/>
      <c r="S33" s="194" t="n"/>
      <c r="T33" s="194" t="n"/>
      <c r="U33" s="194" t="n"/>
      <c r="V33" s="194" t="n"/>
      <c r="W33" s="194" t="n"/>
      <c r="X33" s="194" t="n"/>
      <c r="Y33" s="194" t="n"/>
      <c r="Z33" s="194" t="n"/>
    </row>
    <row r="34" ht="15" customHeight="1" s="195">
      <c r="A34" s="211" t="inlineStr">
        <is>
          <t>7068</t>
        </is>
      </c>
      <c r="B34" s="268" t="inlineStr">
        <is>
          <t>CHUMBOL</t>
        </is>
      </c>
      <c r="C34" s="269" t="inlineStr">
        <is>
          <t>LEIMEBAMBA</t>
        </is>
      </c>
      <c r="G34" s="194" t="n"/>
      <c r="H34" s="194" t="n"/>
      <c r="I34" s="194" t="n"/>
      <c r="J34" s="194" t="n"/>
      <c r="K34" s="194" t="n"/>
      <c r="L34" s="194" t="n"/>
      <c r="M34" s="194" t="n"/>
      <c r="N34" s="194" t="n"/>
      <c r="O34" s="194" t="n"/>
      <c r="P34" s="194" t="n"/>
      <c r="Q34" s="194" t="n"/>
      <c r="R34" s="194" t="n"/>
      <c r="S34" s="194" t="n"/>
      <c r="T34" s="194" t="n"/>
      <c r="U34" s="194" t="n"/>
      <c r="V34" s="194" t="n"/>
      <c r="W34" s="194" t="n"/>
      <c r="X34" s="194" t="n"/>
      <c r="Y34" s="194" t="n"/>
      <c r="Z34" s="194" t="n"/>
    </row>
    <row r="35" ht="15" customHeight="1" s="195">
      <c r="A35" s="218" t="inlineStr">
        <is>
          <t>4858</t>
        </is>
      </c>
      <c r="B35" s="265" t="inlineStr">
        <is>
          <t>CHUQUIBAMBA</t>
        </is>
      </c>
      <c r="C35" s="266" t="inlineStr">
        <is>
          <t>LEIMEBAMBA</t>
        </is>
      </c>
      <c r="G35" s="194" t="n"/>
      <c r="H35" s="194" t="n"/>
      <c r="I35" s="194" t="n"/>
      <c r="J35" s="194" t="n"/>
      <c r="K35" s="194" t="n"/>
      <c r="L35" s="194" t="n"/>
      <c r="M35" s="194" t="n"/>
      <c r="N35" s="194" t="n"/>
      <c r="O35" s="194" t="n"/>
      <c r="P35" s="194" t="n"/>
      <c r="Q35" s="194" t="n"/>
      <c r="R35" s="194" t="n"/>
      <c r="S35" s="194" t="n"/>
      <c r="T35" s="194" t="n"/>
      <c r="U35" s="194" t="n"/>
      <c r="V35" s="194" t="n"/>
      <c r="W35" s="194" t="n"/>
      <c r="X35" s="194" t="n"/>
      <c r="Y35" s="194" t="n"/>
      <c r="Z35" s="194" t="n"/>
    </row>
    <row r="36" ht="15" customHeight="1" s="195">
      <c r="A36" s="211" t="inlineStr">
        <is>
          <t>4919</t>
        </is>
      </c>
      <c r="B36" s="268" t="inlineStr">
        <is>
          <t>CHURUJA</t>
        </is>
      </c>
      <c r="C36" s="269" t="inlineStr">
        <is>
          <t>PEDRO RUIZ GALLO</t>
        </is>
      </c>
      <c r="G36" s="194" t="n"/>
      <c r="H36" s="194" t="n"/>
      <c r="I36" s="194" t="n"/>
      <c r="J36" s="194" t="n"/>
      <c r="K36" s="194" t="n"/>
      <c r="L36" s="194" t="n"/>
      <c r="M36" s="194" t="n"/>
      <c r="N36" s="194" t="n"/>
      <c r="O36" s="194" t="n"/>
      <c r="P36" s="194" t="n"/>
      <c r="Q36" s="194" t="n"/>
      <c r="R36" s="194" t="n"/>
      <c r="S36" s="194" t="n"/>
      <c r="T36" s="194" t="n"/>
      <c r="U36" s="194" t="n"/>
      <c r="V36" s="194" t="n"/>
      <c r="W36" s="194" t="n"/>
      <c r="X36" s="194" t="n"/>
      <c r="Y36" s="194" t="n"/>
      <c r="Z36" s="194" t="n"/>
    </row>
    <row r="37" ht="15" customHeight="1" s="195">
      <c r="A37" s="218" t="inlineStr">
        <is>
          <t>4885</t>
        </is>
      </c>
      <c r="B37" s="265" t="inlineStr">
        <is>
          <t>COCABAMBA</t>
        </is>
      </c>
      <c r="C37" s="266" t="inlineStr">
        <is>
          <t>MARIA</t>
        </is>
      </c>
      <c r="G37" s="194" t="n"/>
      <c r="H37" s="194" t="n"/>
      <c r="I37" s="194" t="n"/>
      <c r="J37" s="194" t="n"/>
      <c r="K37" s="194" t="n"/>
      <c r="L37" s="194" t="n"/>
      <c r="M37" s="194" t="n"/>
      <c r="N37" s="194" t="n"/>
      <c r="O37" s="194" t="n"/>
      <c r="P37" s="194" t="n"/>
      <c r="Q37" s="194" t="n"/>
      <c r="R37" s="194" t="n"/>
      <c r="S37" s="194" t="n"/>
      <c r="T37" s="194" t="n"/>
      <c r="U37" s="194" t="n"/>
      <c r="V37" s="194" t="n"/>
      <c r="W37" s="194" t="n"/>
      <c r="X37" s="194" t="n"/>
      <c r="Y37" s="194" t="n"/>
      <c r="Z37" s="194" t="n"/>
    </row>
    <row r="38" ht="15" customHeight="1" s="195">
      <c r="A38" s="211" t="inlineStr">
        <is>
          <t>4929</t>
        </is>
      </c>
      <c r="B38" s="268" t="inlineStr">
        <is>
          <t>COCACHIMBA</t>
        </is>
      </c>
      <c r="C38" s="269" t="inlineStr">
        <is>
          <t>PEDRO RUIZ GALLO</t>
        </is>
      </c>
      <c r="G38" s="194" t="n"/>
      <c r="H38" s="194" t="n"/>
      <c r="I38" s="194" t="n"/>
      <c r="J38" s="194" t="n"/>
      <c r="K38" s="194" t="n"/>
      <c r="L38" s="194" t="n"/>
      <c r="M38" s="194" t="n"/>
      <c r="N38" s="194" t="n"/>
      <c r="O38" s="194" t="n"/>
      <c r="P38" s="194" t="n"/>
      <c r="Q38" s="194" t="n"/>
      <c r="R38" s="194" t="n"/>
      <c r="S38" s="194" t="n"/>
      <c r="T38" s="194" t="n"/>
      <c r="U38" s="194" t="n"/>
      <c r="V38" s="194" t="n"/>
      <c r="W38" s="194" t="n"/>
      <c r="X38" s="194" t="n"/>
      <c r="Y38" s="194" t="n"/>
      <c r="Z38" s="194" t="n"/>
    </row>
    <row r="39" ht="15" customHeight="1" s="195">
      <c r="A39" s="218" t="inlineStr">
        <is>
          <t>9670</t>
        </is>
      </c>
      <c r="B39" s="265" t="inlineStr">
        <is>
          <t>COCHA</t>
        </is>
      </c>
      <c r="C39" s="266" t="inlineStr">
        <is>
          <t>CHACHAPOYAS</t>
        </is>
      </c>
      <c r="G39" s="194" t="n"/>
      <c r="H39" s="194" t="n"/>
      <c r="I39" s="194" t="n"/>
      <c r="J39" s="194" t="n"/>
      <c r="K39" s="194" t="n"/>
      <c r="L39" s="194" t="n"/>
      <c r="M39" s="194" t="n"/>
      <c r="N39" s="194" t="n"/>
      <c r="O39" s="194" t="n"/>
      <c r="P39" s="194" t="n"/>
      <c r="Q39" s="194" t="n"/>
      <c r="R39" s="194" t="n"/>
      <c r="S39" s="194" t="n"/>
      <c r="T39" s="194" t="n"/>
      <c r="U39" s="194" t="n"/>
      <c r="V39" s="194" t="n"/>
      <c r="W39" s="194" t="n"/>
      <c r="X39" s="194" t="n"/>
      <c r="Y39" s="194" t="n"/>
      <c r="Z39" s="194" t="n"/>
    </row>
    <row r="40" ht="15" customHeight="1" s="195">
      <c r="A40" s="211" t="inlineStr">
        <is>
          <t>7174</t>
        </is>
      </c>
      <c r="B40" s="268" t="inlineStr">
        <is>
          <t>COCHABAMBA</t>
        </is>
      </c>
      <c r="C40" s="269" t="inlineStr">
        <is>
          <t>LEIMEBAMBA</t>
        </is>
      </c>
      <c r="G40" s="194" t="n"/>
      <c r="H40" s="194" t="n"/>
      <c r="I40" s="194" t="n"/>
      <c r="J40" s="194" t="n"/>
      <c r="K40" s="194" t="n"/>
      <c r="L40" s="194" t="n"/>
      <c r="M40" s="194" t="n"/>
      <c r="N40" s="194" t="n"/>
      <c r="O40" s="194" t="n"/>
      <c r="P40" s="194" t="n"/>
      <c r="Q40" s="194" t="n"/>
      <c r="R40" s="194" t="n"/>
      <c r="S40" s="194" t="n"/>
      <c r="T40" s="194" t="n"/>
      <c r="U40" s="194" t="n"/>
      <c r="V40" s="194" t="n"/>
      <c r="W40" s="194" t="n"/>
      <c r="X40" s="194" t="n"/>
      <c r="Y40" s="194" t="n"/>
      <c r="Z40" s="194" t="n"/>
    </row>
    <row r="41" ht="15" customHeight="1" s="195">
      <c r="A41" s="218" t="inlineStr">
        <is>
          <t>4942</t>
        </is>
      </c>
      <c r="B41" s="265" t="inlineStr">
        <is>
          <t>COCHAMAL</t>
        </is>
      </c>
      <c r="C41" s="266" t="inlineStr">
        <is>
          <t>LONGAR</t>
        </is>
      </c>
      <c r="G41" s="194" t="n"/>
      <c r="H41" s="194" t="n"/>
      <c r="I41" s="194" t="n"/>
      <c r="J41" s="194" t="n"/>
      <c r="K41" s="194" t="n"/>
      <c r="L41" s="194" t="n"/>
      <c r="M41" s="194" t="n"/>
      <c r="N41" s="194" t="n"/>
      <c r="O41" s="194" t="n"/>
      <c r="P41" s="194" t="n"/>
      <c r="Q41" s="194" t="n"/>
      <c r="R41" s="194" t="n"/>
      <c r="S41" s="194" t="n"/>
      <c r="T41" s="194" t="n"/>
      <c r="U41" s="194" t="n"/>
      <c r="V41" s="194" t="n"/>
      <c r="W41" s="194" t="n"/>
      <c r="X41" s="194" t="n"/>
      <c r="Y41" s="194" t="n"/>
      <c r="Z41" s="194" t="n"/>
    </row>
    <row r="42" ht="15" customHeight="1" s="195">
      <c r="A42" s="211" t="inlineStr">
        <is>
          <t>4874</t>
        </is>
      </c>
      <c r="B42" s="268" t="inlineStr">
        <is>
          <t>COCOCHO</t>
        </is>
      </c>
      <c r="C42" s="269" t="inlineStr">
        <is>
          <t>CAMPORREDONDO</t>
        </is>
      </c>
      <c r="G42" s="194" t="n"/>
      <c r="H42" s="194" t="n"/>
      <c r="I42" s="194" t="n"/>
      <c r="J42" s="194" t="n"/>
      <c r="K42" s="194" t="n"/>
      <c r="L42" s="194" t="n"/>
      <c r="M42" s="194" t="n"/>
      <c r="N42" s="194" t="n"/>
      <c r="O42" s="194" t="n"/>
      <c r="P42" s="194" t="n"/>
      <c r="Q42" s="194" t="n"/>
      <c r="R42" s="194" t="n"/>
      <c r="S42" s="194" t="n"/>
      <c r="T42" s="194" t="n"/>
      <c r="U42" s="194" t="n"/>
      <c r="V42" s="194" t="n"/>
      <c r="W42" s="194" t="n"/>
      <c r="X42" s="194" t="n"/>
      <c r="Y42" s="194" t="n"/>
      <c r="Z42" s="194" t="n"/>
    </row>
    <row r="43" ht="15" customHeight="1" s="195">
      <c r="A43" s="218" t="inlineStr">
        <is>
          <t>4895</t>
        </is>
      </c>
      <c r="B43" s="265" t="inlineStr">
        <is>
          <t>COLCAMAR</t>
        </is>
      </c>
      <c r="C43" s="266" t="inlineStr">
        <is>
          <t>CHACHAPOYAS</t>
        </is>
      </c>
      <c r="G43" s="194" t="n"/>
      <c r="H43" s="194" t="n"/>
      <c r="I43" s="194" t="n"/>
      <c r="J43" s="194" t="n"/>
      <c r="K43" s="194" t="n"/>
      <c r="L43" s="194" t="n"/>
      <c r="M43" s="194" t="n"/>
      <c r="N43" s="194" t="n"/>
      <c r="O43" s="194" t="n"/>
      <c r="P43" s="194" t="n"/>
      <c r="Q43" s="194" t="n"/>
      <c r="R43" s="194" t="n"/>
      <c r="S43" s="194" t="n"/>
      <c r="T43" s="194" t="n"/>
      <c r="U43" s="194" t="n"/>
      <c r="V43" s="194" t="n"/>
      <c r="W43" s="194" t="n"/>
      <c r="X43" s="194" t="n"/>
      <c r="Y43" s="194" t="n"/>
      <c r="Z43" s="194" t="n"/>
    </row>
    <row r="44" ht="15" customHeight="1" s="195">
      <c r="A44" s="211" t="inlineStr">
        <is>
          <t>4843</t>
        </is>
      </c>
      <c r="B44" s="268" t="inlineStr">
        <is>
          <t>COLLONCE</t>
        </is>
      </c>
      <c r="C44" s="269" t="inlineStr">
        <is>
          <t>COLLONCE</t>
        </is>
      </c>
      <c r="G44" s="194" t="n"/>
      <c r="H44" s="194" t="n"/>
      <c r="I44" s="194" t="n"/>
      <c r="J44" s="194" t="n"/>
      <c r="K44" s="194" t="n"/>
      <c r="L44" s="194" t="n"/>
      <c r="M44" s="194" t="n"/>
      <c r="N44" s="194" t="n"/>
      <c r="O44" s="194" t="n"/>
      <c r="P44" s="194" t="n"/>
      <c r="Q44" s="194" t="n"/>
      <c r="R44" s="194" t="n"/>
      <c r="S44" s="194" t="n"/>
      <c r="T44" s="194" t="n"/>
      <c r="U44" s="194" t="n"/>
      <c r="V44" s="194" t="n"/>
      <c r="W44" s="194" t="n"/>
      <c r="X44" s="194" t="n"/>
      <c r="Y44" s="194" t="n"/>
      <c r="Z44" s="194" t="n"/>
    </row>
    <row r="45" ht="15" customHeight="1" s="195">
      <c r="A45" s="218" t="inlineStr">
        <is>
          <t>7332</t>
        </is>
      </c>
      <c r="B45" s="265" t="inlineStr">
        <is>
          <t>COLMATA</t>
        </is>
      </c>
      <c r="C45" s="266" t="inlineStr">
        <is>
          <t>LUYA</t>
        </is>
      </c>
      <c r="G45" s="194" t="n"/>
      <c r="H45" s="194" t="n"/>
      <c r="I45" s="194" t="n"/>
      <c r="J45" s="194" t="n"/>
      <c r="K45" s="194" t="n"/>
      <c r="L45" s="194" t="n"/>
      <c r="M45" s="194" t="n"/>
      <c r="N45" s="194" t="n"/>
      <c r="O45" s="194" t="n"/>
      <c r="P45" s="194" t="n"/>
      <c r="Q45" s="194" t="n"/>
      <c r="R45" s="194" t="n"/>
      <c r="S45" s="194" t="n"/>
      <c r="T45" s="194" t="n"/>
      <c r="U45" s="194" t="n"/>
      <c r="V45" s="194" t="n"/>
      <c r="W45" s="194" t="n"/>
      <c r="X45" s="194" t="n"/>
      <c r="Y45" s="194" t="n"/>
      <c r="Z45" s="194" t="n"/>
    </row>
    <row r="46" ht="15" customHeight="1" s="195">
      <c r="A46" s="211" t="inlineStr">
        <is>
          <t>7260</t>
        </is>
      </c>
      <c r="B46" s="268" t="inlineStr">
        <is>
          <t>COMBOCA</t>
        </is>
      </c>
      <c r="C46" s="269" t="inlineStr">
        <is>
          <t>PEDRO RUIZ GALLO</t>
        </is>
      </c>
      <c r="G46" s="194" t="n"/>
      <c r="H46" s="194" t="n"/>
      <c r="I46" s="194" t="n"/>
      <c r="J46" s="194" t="n"/>
      <c r="K46" s="194" t="n"/>
      <c r="L46" s="194" t="n"/>
      <c r="M46" s="194" t="n"/>
      <c r="N46" s="194" t="n"/>
      <c r="O46" s="194" t="n"/>
      <c r="P46" s="194" t="n"/>
      <c r="Q46" s="194" t="n"/>
      <c r="R46" s="194" t="n"/>
      <c r="S46" s="194" t="n"/>
      <c r="T46" s="194" t="n"/>
      <c r="U46" s="194" t="n"/>
      <c r="V46" s="194" t="n"/>
      <c r="W46" s="194" t="n"/>
      <c r="X46" s="194" t="n"/>
      <c r="Y46" s="194" t="n"/>
      <c r="Z46" s="194" t="n"/>
    </row>
    <row r="47" ht="15" customHeight="1" s="195">
      <c r="A47" s="218" t="inlineStr">
        <is>
          <t>4863</t>
        </is>
      </c>
      <c r="B47" s="265" t="inlineStr">
        <is>
          <t>CONILA COHECHAN</t>
        </is>
      </c>
      <c r="C47" s="266" t="inlineStr">
        <is>
          <t>LUYA</t>
        </is>
      </c>
      <c r="G47" s="194" t="n"/>
      <c r="H47" s="194" t="n"/>
      <c r="I47" s="194" t="n"/>
      <c r="J47" s="194" t="n"/>
      <c r="K47" s="194" t="n"/>
      <c r="L47" s="194" t="n"/>
      <c r="M47" s="194" t="n"/>
      <c r="N47" s="194" t="n"/>
      <c r="O47" s="194" t="n"/>
      <c r="P47" s="194" t="n"/>
      <c r="Q47" s="194" t="n"/>
      <c r="R47" s="194" t="n"/>
      <c r="S47" s="194" t="n"/>
      <c r="T47" s="194" t="n"/>
      <c r="U47" s="194" t="n"/>
      <c r="V47" s="194" t="n"/>
      <c r="W47" s="194" t="n"/>
      <c r="X47" s="194" t="n"/>
      <c r="Y47" s="194" t="n"/>
      <c r="Z47" s="194" t="n"/>
    </row>
    <row r="48" ht="15" customHeight="1" s="195">
      <c r="A48" s="211" t="inlineStr">
        <is>
          <t>7380</t>
        </is>
      </c>
      <c r="B48" s="268" t="inlineStr">
        <is>
          <t>COROBAMBA</t>
        </is>
      </c>
      <c r="C48" s="269" t="inlineStr">
        <is>
          <t>LUYA</t>
        </is>
      </c>
      <c r="G48" s="194" t="n"/>
      <c r="H48" s="194" t="n"/>
      <c r="I48" s="194" t="n"/>
      <c r="J48" s="194" t="n"/>
      <c r="K48" s="194" t="n"/>
      <c r="L48" s="194" t="n"/>
      <c r="M48" s="194" t="n"/>
      <c r="N48" s="194" t="n"/>
      <c r="O48" s="194" t="n"/>
      <c r="P48" s="194" t="n"/>
      <c r="Q48" s="194" t="n"/>
      <c r="R48" s="194" t="n"/>
      <c r="S48" s="194" t="n"/>
      <c r="T48" s="194" t="n"/>
      <c r="U48" s="194" t="n"/>
      <c r="V48" s="194" t="n"/>
      <c r="W48" s="194" t="n"/>
      <c r="X48" s="194" t="n"/>
      <c r="Y48" s="194" t="n"/>
      <c r="Z48" s="194" t="n"/>
    </row>
    <row r="49" ht="15" customHeight="1" s="195">
      <c r="A49" s="218" t="inlineStr">
        <is>
          <t>4916</t>
        </is>
      </c>
      <c r="B49" s="265" t="inlineStr">
        <is>
          <t>COROSHA</t>
        </is>
      </c>
      <c r="C49" s="266" t="inlineStr">
        <is>
          <t>JUMBILLA</t>
        </is>
      </c>
      <c r="G49" s="194" t="n"/>
      <c r="H49" s="194" t="n"/>
      <c r="I49" s="194" t="n"/>
      <c r="J49" s="194" t="n"/>
      <c r="K49" s="194" t="n"/>
      <c r="L49" s="194" t="n"/>
      <c r="M49" s="194" t="n"/>
      <c r="N49" s="194" t="n"/>
      <c r="O49" s="194" t="n"/>
      <c r="P49" s="194" t="n"/>
      <c r="Q49" s="194" t="n"/>
      <c r="R49" s="194" t="n"/>
      <c r="S49" s="194" t="n"/>
      <c r="T49" s="194" t="n"/>
      <c r="U49" s="194" t="n"/>
      <c r="V49" s="194" t="n"/>
      <c r="W49" s="194" t="n"/>
      <c r="X49" s="194" t="n"/>
      <c r="Y49" s="194" t="n"/>
      <c r="Z49" s="194" t="n"/>
    </row>
    <row r="50" ht="15" customHeight="1" s="195">
      <c r="A50" s="211" t="inlineStr">
        <is>
          <t>7062</t>
        </is>
      </c>
      <c r="B50" s="268" t="inlineStr">
        <is>
          <t>CRUZPATA</t>
        </is>
      </c>
      <c r="C50" s="269" t="inlineStr">
        <is>
          <t>LAMUD</t>
        </is>
      </c>
      <c r="G50" s="194" t="n"/>
      <c r="H50" s="194" t="n"/>
      <c r="I50" s="194" t="n"/>
      <c r="J50" s="194" t="n"/>
      <c r="K50" s="194" t="n"/>
      <c r="L50" s="194" t="n"/>
      <c r="M50" s="194" t="n"/>
      <c r="N50" s="194" t="n"/>
      <c r="O50" s="194" t="n"/>
      <c r="P50" s="194" t="n"/>
      <c r="Q50" s="194" t="n"/>
      <c r="R50" s="194" t="n"/>
      <c r="S50" s="194" t="n"/>
      <c r="T50" s="194" t="n"/>
      <c r="U50" s="194" t="n"/>
      <c r="V50" s="194" t="n"/>
      <c r="W50" s="194" t="n"/>
      <c r="X50" s="194" t="n"/>
      <c r="Y50" s="194" t="n"/>
      <c r="Z50" s="194" t="n"/>
    </row>
    <row r="51" ht="15" customHeight="1" s="195">
      <c r="A51" s="218" t="inlineStr">
        <is>
          <t>7071</t>
        </is>
      </c>
      <c r="B51" s="265" t="inlineStr">
        <is>
          <t>CUELCHO</t>
        </is>
      </c>
      <c r="C51" s="266" t="inlineStr">
        <is>
          <t>PIPUS</t>
        </is>
      </c>
      <c r="G51" s="194" t="n"/>
      <c r="H51" s="194" t="n"/>
      <c r="I51" s="194" t="n"/>
      <c r="J51" s="194" t="n"/>
      <c r="K51" s="194" t="n"/>
      <c r="L51" s="194" t="n"/>
      <c r="M51" s="194" t="n"/>
      <c r="N51" s="194" t="n"/>
      <c r="O51" s="194" t="n"/>
      <c r="P51" s="194" t="n"/>
      <c r="Q51" s="194" t="n"/>
      <c r="R51" s="194" t="n"/>
      <c r="S51" s="194" t="n"/>
      <c r="T51" s="194" t="n"/>
      <c r="U51" s="194" t="n"/>
      <c r="V51" s="194" t="n"/>
      <c r="W51" s="194" t="n"/>
      <c r="X51" s="194" t="n"/>
      <c r="Y51" s="194" t="n"/>
      <c r="Z51" s="194" t="n"/>
    </row>
    <row r="52" ht="15" customHeight="1" s="195">
      <c r="A52" s="211" t="inlineStr">
        <is>
          <t>7379</t>
        </is>
      </c>
      <c r="B52" s="268" t="inlineStr">
        <is>
          <t>CUEMAL</t>
        </is>
      </c>
      <c r="C52" s="269" t="inlineStr">
        <is>
          <t>LAMUD</t>
        </is>
      </c>
      <c r="G52" s="194" t="n"/>
      <c r="H52" s="194" t="n"/>
      <c r="I52" s="194" t="n"/>
      <c r="J52" s="194" t="n"/>
      <c r="K52" s="194" t="n"/>
      <c r="L52" s="194" t="n"/>
      <c r="M52" s="194" t="n"/>
      <c r="N52" s="194" t="n"/>
      <c r="O52" s="194" t="n"/>
      <c r="P52" s="194" t="n"/>
      <c r="Q52" s="194" t="n"/>
      <c r="R52" s="194" t="n"/>
      <c r="S52" s="194" t="n"/>
      <c r="T52" s="194" t="n"/>
      <c r="U52" s="194" t="n"/>
      <c r="V52" s="194" t="n"/>
      <c r="W52" s="194" t="n"/>
      <c r="X52" s="194" t="n"/>
      <c r="Y52" s="194" t="n"/>
      <c r="Z52" s="194" t="n"/>
    </row>
    <row r="53" ht="15" customHeight="1" s="195">
      <c r="A53" s="218" t="inlineStr">
        <is>
          <t>7281</t>
        </is>
      </c>
      <c r="B53" s="265" t="inlineStr">
        <is>
          <t>CUEYQUETA</t>
        </is>
      </c>
      <c r="C53" s="266" t="inlineStr">
        <is>
          <t>YERBABUENA</t>
        </is>
      </c>
      <c r="G53" s="194" t="n"/>
      <c r="H53" s="194" t="n"/>
      <c r="I53" s="194" t="n"/>
      <c r="J53" s="194" t="n"/>
      <c r="K53" s="194" t="n"/>
      <c r="L53" s="194" t="n"/>
      <c r="M53" s="194" t="n"/>
      <c r="N53" s="194" t="n"/>
      <c r="O53" s="194" t="n"/>
      <c r="P53" s="194" t="n"/>
      <c r="Q53" s="194" t="n"/>
      <c r="R53" s="194" t="n"/>
      <c r="S53" s="194" t="n"/>
      <c r="T53" s="194" t="n"/>
      <c r="U53" s="194" t="n"/>
      <c r="V53" s="194" t="n"/>
      <c r="W53" s="194" t="n"/>
      <c r="X53" s="194" t="n"/>
      <c r="Y53" s="194" t="n"/>
      <c r="Z53" s="194" t="n"/>
    </row>
    <row r="54" ht="15" customHeight="1" s="195">
      <c r="A54" s="211" t="inlineStr">
        <is>
          <t>4920</t>
        </is>
      </c>
      <c r="B54" s="268" t="inlineStr">
        <is>
          <t>CUISPES</t>
        </is>
      </c>
      <c r="C54" s="269" t="inlineStr">
        <is>
          <t>PEDRO RUIZ GALLO</t>
        </is>
      </c>
      <c r="G54" s="194" t="n"/>
      <c r="H54" s="194" t="n"/>
      <c r="I54" s="194" t="n"/>
      <c r="J54" s="194" t="n"/>
      <c r="K54" s="194" t="n"/>
      <c r="L54" s="194" t="n"/>
      <c r="M54" s="194" t="n"/>
      <c r="N54" s="194" t="n"/>
      <c r="O54" s="194" t="n"/>
      <c r="P54" s="194" t="n"/>
      <c r="Q54" s="194" t="n"/>
      <c r="R54" s="194" t="n"/>
      <c r="S54" s="194" t="n"/>
      <c r="T54" s="194" t="n"/>
      <c r="U54" s="194" t="n"/>
      <c r="V54" s="194" t="n"/>
      <c r="W54" s="194" t="n"/>
      <c r="X54" s="194" t="n"/>
      <c r="Y54" s="194" t="n"/>
      <c r="Z54" s="194" t="n"/>
    </row>
    <row r="55" ht="15" customHeight="1" s="195">
      <c r="A55" s="218" t="inlineStr">
        <is>
          <t>7261</t>
        </is>
      </c>
      <c r="B55" s="265" t="inlineStr">
        <is>
          <t>DUNIA CHICO</t>
        </is>
      </c>
      <c r="C55" s="266" t="inlineStr">
        <is>
          <t>PEDRO RUIZ GALLO</t>
        </is>
      </c>
      <c r="G55" s="194" t="n"/>
      <c r="H55" s="194" t="n"/>
      <c r="I55" s="194" t="n"/>
      <c r="J55" s="194" t="n"/>
      <c r="K55" s="194" t="n"/>
      <c r="L55" s="194" t="n"/>
      <c r="M55" s="194" t="n"/>
      <c r="N55" s="194" t="n"/>
      <c r="O55" s="194" t="n"/>
      <c r="P55" s="194" t="n"/>
      <c r="Q55" s="194" t="n"/>
      <c r="R55" s="194" t="n"/>
      <c r="S55" s="194" t="n"/>
      <c r="T55" s="194" t="n"/>
      <c r="U55" s="194" t="n"/>
      <c r="V55" s="194" t="n"/>
      <c r="W55" s="194" t="n"/>
      <c r="X55" s="194" t="n"/>
      <c r="Y55" s="194" t="n"/>
      <c r="Z55" s="194" t="n"/>
    </row>
    <row r="56" ht="15" customHeight="1" s="195">
      <c r="A56" s="211" t="inlineStr">
        <is>
          <t>4907</t>
        </is>
      </c>
      <c r="B56" s="268" t="inlineStr">
        <is>
          <t>DURAZNOPAMPA</t>
        </is>
      </c>
      <c r="C56" s="269" t="inlineStr">
        <is>
          <t>YERBABUENA</t>
        </is>
      </c>
      <c r="G56" s="194" t="n"/>
      <c r="H56" s="194" t="n"/>
      <c r="I56" s="194" t="n"/>
      <c r="J56" s="194" t="n"/>
      <c r="K56" s="194" t="n"/>
      <c r="L56" s="194" t="n"/>
      <c r="M56" s="194" t="n"/>
      <c r="N56" s="194" t="n"/>
      <c r="O56" s="194" t="n"/>
      <c r="P56" s="194" t="n"/>
      <c r="Q56" s="194" t="n"/>
      <c r="R56" s="194" t="n"/>
      <c r="S56" s="194" t="n"/>
      <c r="T56" s="194" t="n"/>
      <c r="U56" s="194" t="n"/>
      <c r="V56" s="194" t="n"/>
      <c r="W56" s="194" t="n"/>
      <c r="X56" s="194" t="n"/>
      <c r="Y56" s="194" t="n"/>
      <c r="Z56" s="194" t="n"/>
    </row>
    <row r="57" ht="15" customHeight="1" s="195">
      <c r="A57" s="218" t="inlineStr">
        <is>
          <t>7054</t>
        </is>
      </c>
      <c r="B57" s="265" t="inlineStr">
        <is>
          <t>EL DORADO</t>
        </is>
      </c>
      <c r="C57" s="266" t="inlineStr">
        <is>
          <t>POMACOCHAS</t>
        </is>
      </c>
      <c r="G57" s="194" t="n"/>
      <c r="H57" s="194" t="n"/>
      <c r="I57" s="194" t="n"/>
      <c r="J57" s="194" t="n"/>
      <c r="K57" s="194" t="n"/>
      <c r="L57" s="194" t="n"/>
      <c r="M57" s="194" t="n"/>
      <c r="N57" s="194" t="n"/>
      <c r="O57" s="194" t="n"/>
      <c r="P57" s="194" t="n"/>
      <c r="Q57" s="194" t="n"/>
      <c r="R57" s="194" t="n"/>
      <c r="S57" s="194" t="n"/>
      <c r="T57" s="194" t="n"/>
      <c r="U57" s="194" t="n"/>
      <c r="V57" s="194" t="n"/>
      <c r="W57" s="194" t="n"/>
      <c r="X57" s="194" t="n"/>
      <c r="Y57" s="194" t="n"/>
      <c r="Z57" s="194" t="n"/>
    </row>
    <row r="58" ht="15" customHeight="1" s="195">
      <c r="A58" s="211" t="inlineStr">
        <is>
          <t>7382</t>
        </is>
      </c>
      <c r="B58" s="268" t="inlineStr">
        <is>
          <t>EL GUAMBO</t>
        </is>
      </c>
      <c r="C58" s="269" t="inlineStr">
        <is>
          <t>ZARUMILLA</t>
        </is>
      </c>
      <c r="G58" s="194" t="n"/>
      <c r="H58" s="194" t="n"/>
      <c r="I58" s="194" t="n"/>
      <c r="J58" s="194" t="n"/>
      <c r="K58" s="194" t="n"/>
      <c r="L58" s="194" t="n"/>
      <c r="M58" s="194" t="n"/>
      <c r="N58" s="194" t="n"/>
      <c r="O58" s="194" t="n"/>
      <c r="P58" s="194" t="n"/>
      <c r="Q58" s="194" t="n"/>
      <c r="R58" s="194" t="n"/>
      <c r="S58" s="194" t="n"/>
      <c r="T58" s="194" t="n"/>
      <c r="U58" s="194" t="n"/>
      <c r="V58" s="194" t="n"/>
      <c r="W58" s="194" t="n"/>
      <c r="X58" s="194" t="n"/>
      <c r="Y58" s="194" t="n"/>
      <c r="Z58" s="194" t="n"/>
    </row>
    <row r="59" ht="15" customHeight="1" s="195">
      <c r="A59" s="218" t="inlineStr">
        <is>
          <t>6991</t>
        </is>
      </c>
      <c r="B59" s="265" t="inlineStr">
        <is>
          <t>EL LIBANO</t>
        </is>
      </c>
      <c r="C59" s="266" t="inlineStr">
        <is>
          <t>NUEVO CHIRIMOTO</t>
        </is>
      </c>
      <c r="G59" s="194" t="n"/>
      <c r="H59" s="194" t="n"/>
      <c r="I59" s="194" t="n"/>
      <c r="J59" s="194" t="n"/>
      <c r="K59" s="194" t="n"/>
      <c r="L59" s="194" t="n"/>
      <c r="M59" s="194" t="n"/>
      <c r="N59" s="194" t="n"/>
      <c r="O59" s="194" t="n"/>
      <c r="P59" s="194" t="n"/>
      <c r="Q59" s="194" t="n"/>
      <c r="R59" s="194" t="n"/>
      <c r="S59" s="194" t="n"/>
      <c r="T59" s="194" t="n"/>
      <c r="U59" s="194" t="n"/>
      <c r="V59" s="194" t="n"/>
      <c r="W59" s="194" t="n"/>
      <c r="X59" s="194" t="n"/>
      <c r="Y59" s="194" t="n"/>
      <c r="Z59" s="194" t="n"/>
    </row>
    <row r="60" ht="15" customHeight="1" s="195">
      <c r="A60" s="211" t="inlineStr">
        <is>
          <t>4911</t>
        </is>
      </c>
      <c r="B60" s="268" t="inlineStr">
        <is>
          <t>EL MANGO</t>
        </is>
      </c>
      <c r="C60" s="269" t="inlineStr">
        <is>
          <t>YERBABUENA</t>
        </is>
      </c>
      <c r="G60" s="194" t="n"/>
      <c r="H60" s="194" t="n"/>
      <c r="I60" s="194" t="n"/>
      <c r="J60" s="194" t="n"/>
      <c r="K60" s="194" t="n"/>
      <c r="L60" s="194" t="n"/>
      <c r="M60" s="194" t="n"/>
      <c r="N60" s="194" t="n"/>
      <c r="O60" s="194" t="n"/>
      <c r="P60" s="194" t="n"/>
      <c r="Q60" s="194" t="n"/>
      <c r="R60" s="194" t="n"/>
      <c r="S60" s="194" t="n"/>
      <c r="T60" s="194" t="n"/>
      <c r="U60" s="194" t="n"/>
      <c r="V60" s="194" t="n"/>
      <c r="W60" s="194" t="n"/>
      <c r="X60" s="194" t="n"/>
      <c r="Y60" s="194" t="n"/>
      <c r="Z60" s="194" t="n"/>
    </row>
    <row r="61" ht="15" customHeight="1" s="195">
      <c r="A61" s="218" t="inlineStr">
        <is>
          <t>7038</t>
        </is>
      </c>
      <c r="B61" s="265" t="inlineStr">
        <is>
          <t>EL MOLINO</t>
        </is>
      </c>
      <c r="C61" s="266" t="inlineStr">
        <is>
          <t>CHACHAPOYAS</t>
        </is>
      </c>
      <c r="G61" s="194" t="n"/>
      <c r="H61" s="194" t="n"/>
      <c r="I61" s="194" t="n"/>
      <c r="J61" s="194" t="n"/>
      <c r="K61" s="194" t="n"/>
      <c r="L61" s="194" t="n"/>
      <c r="M61" s="194" t="n"/>
      <c r="N61" s="194" t="n"/>
      <c r="O61" s="194" t="n"/>
      <c r="P61" s="194" t="n"/>
      <c r="Q61" s="194" t="n"/>
      <c r="R61" s="194" t="n"/>
      <c r="S61" s="194" t="n"/>
      <c r="T61" s="194" t="n"/>
      <c r="U61" s="194" t="n"/>
      <c r="V61" s="194" t="n"/>
      <c r="W61" s="194" t="n"/>
      <c r="X61" s="194" t="n"/>
      <c r="Y61" s="194" t="n"/>
      <c r="Z61" s="194" t="n"/>
    </row>
    <row r="62" ht="15" customHeight="1" s="195">
      <c r="A62" s="211" t="inlineStr">
        <is>
          <t>7181</t>
        </is>
      </c>
      <c r="B62" s="268" t="inlineStr">
        <is>
          <t>EL PALTO</t>
        </is>
      </c>
      <c r="C62" s="269" t="inlineStr">
        <is>
          <t>CAMPORREDONDO</t>
        </is>
      </c>
      <c r="G62" s="194" t="n"/>
      <c r="H62" s="194" t="n"/>
      <c r="I62" s="194" t="n"/>
      <c r="J62" s="194" t="n"/>
      <c r="K62" s="194" t="n"/>
      <c r="L62" s="194" t="n"/>
      <c r="M62" s="194" t="n"/>
      <c r="N62" s="194" t="n"/>
      <c r="O62" s="194" t="n"/>
      <c r="P62" s="194" t="n"/>
      <c r="Q62" s="194" t="n"/>
      <c r="R62" s="194" t="n"/>
      <c r="S62" s="194" t="n"/>
      <c r="T62" s="194" t="n"/>
      <c r="U62" s="194" t="n"/>
      <c r="V62" s="194" t="n"/>
      <c r="W62" s="194" t="n"/>
      <c r="X62" s="194" t="n"/>
      <c r="Y62" s="194" t="n"/>
      <c r="Z62" s="194" t="n"/>
    </row>
    <row r="63" ht="15" customHeight="1" s="195">
      <c r="A63" s="218" t="inlineStr">
        <is>
          <t>25129</t>
        </is>
      </c>
      <c r="B63" s="265" t="inlineStr">
        <is>
          <t>EL PUENTE</t>
        </is>
      </c>
      <c r="C63" s="266" t="inlineStr">
        <is>
          <t>YERBABUENA</t>
        </is>
      </c>
      <c r="G63" s="194" t="n"/>
      <c r="H63" s="194" t="n"/>
      <c r="I63" s="194" t="n"/>
      <c r="J63" s="194" t="n"/>
      <c r="K63" s="194" t="n"/>
      <c r="L63" s="194" t="n"/>
      <c r="M63" s="194" t="n"/>
      <c r="N63" s="194" t="n"/>
      <c r="O63" s="194" t="n"/>
      <c r="P63" s="194" t="n"/>
      <c r="Q63" s="194" t="n"/>
      <c r="R63" s="194" t="n"/>
      <c r="S63" s="194" t="n"/>
      <c r="T63" s="194" t="n"/>
      <c r="U63" s="194" t="n"/>
      <c r="V63" s="194" t="n"/>
      <c r="W63" s="194" t="n"/>
      <c r="X63" s="194" t="n"/>
      <c r="Y63" s="194" t="n"/>
      <c r="Z63" s="194" t="n"/>
    </row>
    <row r="64" ht="15" customHeight="1" s="195">
      <c r="A64" s="211" t="inlineStr">
        <is>
          <t>7419</t>
        </is>
      </c>
      <c r="B64" s="268" t="inlineStr">
        <is>
          <t>EL REJO</t>
        </is>
      </c>
      <c r="C64" s="269" t="inlineStr">
        <is>
          <t>TINGO</t>
        </is>
      </c>
      <c r="G64" s="194" t="n"/>
      <c r="H64" s="194" t="n"/>
      <c r="I64" s="194" t="n"/>
      <c r="J64" s="194" t="n"/>
      <c r="K64" s="194" t="n"/>
      <c r="L64" s="194" t="n"/>
      <c r="M64" s="194" t="n"/>
      <c r="N64" s="194" t="n"/>
      <c r="O64" s="194" t="n"/>
      <c r="P64" s="194" t="n"/>
      <c r="Q64" s="194" t="n"/>
      <c r="R64" s="194" t="n"/>
      <c r="S64" s="194" t="n"/>
      <c r="T64" s="194" t="n"/>
      <c r="U64" s="194" t="n"/>
      <c r="V64" s="194" t="n"/>
      <c r="W64" s="194" t="n"/>
      <c r="X64" s="194" t="n"/>
      <c r="Y64" s="194" t="n"/>
      <c r="Z64" s="194" t="n"/>
    </row>
    <row r="65" ht="15" customHeight="1" s="195">
      <c r="A65" s="218" t="inlineStr">
        <is>
          <t>4952</t>
        </is>
      </c>
      <c r="B65" s="265" t="inlineStr">
        <is>
          <t>EL TRIUNFO</t>
        </is>
      </c>
      <c r="C65" s="266" t="inlineStr">
        <is>
          <t>TOTORA</t>
        </is>
      </c>
      <c r="G65" s="194" t="n"/>
      <c r="H65" s="194" t="n"/>
      <c r="I65" s="194" t="n"/>
      <c r="J65" s="194" t="n"/>
      <c r="K65" s="194" t="n"/>
      <c r="L65" s="194" t="n"/>
      <c r="M65" s="194" t="n"/>
      <c r="N65" s="194" t="n"/>
      <c r="O65" s="194" t="n"/>
      <c r="P65" s="194" t="n"/>
      <c r="Q65" s="194" t="n"/>
      <c r="R65" s="194" t="n"/>
      <c r="S65" s="194" t="n"/>
      <c r="T65" s="194" t="n"/>
      <c r="U65" s="194" t="n"/>
      <c r="V65" s="194" t="n"/>
      <c r="W65" s="194" t="n"/>
      <c r="X65" s="194" t="n"/>
      <c r="Y65" s="194" t="n"/>
      <c r="Z65" s="194" t="n"/>
    </row>
    <row r="66" ht="15" customHeight="1" s="195">
      <c r="A66" s="211" t="inlineStr">
        <is>
          <t>4921</t>
        </is>
      </c>
      <c r="B66" s="268" t="inlineStr">
        <is>
          <t>FANRRE</t>
        </is>
      </c>
      <c r="C66" s="269" t="inlineStr">
        <is>
          <t>PEDRO RUIZ GALLO</t>
        </is>
      </c>
      <c r="G66" s="194" t="n"/>
      <c r="H66" s="194" t="n"/>
      <c r="I66" s="194" t="n"/>
      <c r="J66" s="194" t="n"/>
      <c r="K66" s="194" t="n"/>
      <c r="L66" s="194" t="n"/>
      <c r="M66" s="194" t="n"/>
      <c r="N66" s="194" t="n"/>
      <c r="O66" s="194" t="n"/>
      <c r="P66" s="194" t="n"/>
      <c r="Q66" s="194" t="n"/>
      <c r="R66" s="194" t="n"/>
      <c r="S66" s="194" t="n"/>
      <c r="T66" s="194" t="n"/>
      <c r="U66" s="194" t="n"/>
      <c r="V66" s="194" t="n"/>
      <c r="W66" s="194" t="n"/>
      <c r="X66" s="194" t="n"/>
      <c r="Y66" s="194" t="n"/>
      <c r="Z66" s="194" t="n"/>
    </row>
    <row r="67" ht="15" customHeight="1" s="195">
      <c r="A67" s="218" t="inlineStr">
        <is>
          <t>9680</t>
        </is>
      </c>
      <c r="B67" s="265" t="inlineStr">
        <is>
          <t>GARZAYACU</t>
        </is>
      </c>
      <c r="C67" s="266" t="inlineStr">
        <is>
          <t>POMACOCHAS</t>
        </is>
      </c>
      <c r="G67" s="194" t="n"/>
      <c r="H67" s="194" t="n"/>
      <c r="I67" s="194" t="n"/>
      <c r="J67" s="194" t="n"/>
      <c r="K67" s="194" t="n"/>
      <c r="L67" s="194" t="n"/>
      <c r="M67" s="194" t="n"/>
      <c r="N67" s="194" t="n"/>
      <c r="O67" s="194" t="n"/>
      <c r="P67" s="194" t="n"/>
      <c r="Q67" s="194" t="n"/>
      <c r="R67" s="194" t="n"/>
      <c r="S67" s="194" t="n"/>
      <c r="T67" s="194" t="n"/>
      <c r="U67" s="194" t="n"/>
      <c r="V67" s="194" t="n"/>
      <c r="W67" s="194" t="n"/>
      <c r="X67" s="194" t="n"/>
      <c r="Y67" s="194" t="n"/>
      <c r="Z67" s="194" t="n"/>
    </row>
    <row r="68" ht="15" customHeight="1" s="195">
      <c r="A68" s="211" t="inlineStr">
        <is>
          <t>4857</t>
        </is>
      </c>
      <c r="B68" s="268" t="inlineStr">
        <is>
          <t>GOLLON</t>
        </is>
      </c>
      <c r="C68" s="269" t="inlineStr">
        <is>
          <t>LEIMEBAMBA</t>
        </is>
      </c>
      <c r="G68" s="194" t="n"/>
      <c r="H68" s="194" t="n"/>
      <c r="I68" s="194" t="n"/>
      <c r="J68" s="194" t="n"/>
      <c r="K68" s="194" t="n"/>
      <c r="L68" s="194" t="n"/>
      <c r="M68" s="194" t="n"/>
      <c r="N68" s="194" t="n"/>
      <c r="O68" s="194" t="n"/>
      <c r="P68" s="194" t="n"/>
      <c r="Q68" s="194" t="n"/>
      <c r="R68" s="194" t="n"/>
      <c r="S68" s="194" t="n"/>
      <c r="T68" s="194" t="n"/>
      <c r="U68" s="194" t="n"/>
      <c r="V68" s="194" t="n"/>
      <c r="W68" s="194" t="n"/>
      <c r="X68" s="194" t="n"/>
      <c r="Y68" s="194" t="n"/>
      <c r="Z68" s="194" t="n"/>
    </row>
    <row r="69" ht="15" customHeight="1" s="195">
      <c r="A69" s="218" t="inlineStr">
        <is>
          <t>4868</t>
        </is>
      </c>
      <c r="B69" s="265" t="inlineStr">
        <is>
          <t>GRANADA</t>
        </is>
      </c>
      <c r="C69" s="266" t="inlineStr">
        <is>
          <t>MOLINOPAMPA</t>
        </is>
      </c>
      <c r="G69" s="194" t="n"/>
      <c r="H69" s="194" t="n"/>
      <c r="I69" s="194" t="n"/>
      <c r="J69" s="194" t="n"/>
      <c r="K69" s="194" t="n"/>
      <c r="L69" s="194" t="n"/>
      <c r="M69" s="194" t="n"/>
      <c r="N69" s="194" t="n"/>
      <c r="O69" s="194" t="n"/>
      <c r="P69" s="194" t="n"/>
      <c r="Q69" s="194" t="n"/>
      <c r="R69" s="194" t="n"/>
      <c r="S69" s="194" t="n"/>
      <c r="T69" s="194" t="n"/>
      <c r="U69" s="194" t="n"/>
      <c r="V69" s="194" t="n"/>
      <c r="W69" s="194" t="n"/>
      <c r="X69" s="194" t="n"/>
      <c r="Y69" s="194" t="n"/>
      <c r="Z69" s="194" t="n"/>
    </row>
    <row r="70" ht="15" customHeight="1" s="195">
      <c r="A70" s="211" t="inlineStr">
        <is>
          <t>4875</t>
        </is>
      </c>
      <c r="B70" s="268" t="inlineStr">
        <is>
          <t>GUADALUPE</t>
        </is>
      </c>
      <c r="C70" s="269" t="inlineStr">
        <is>
          <t>CAMPORREDONDO</t>
        </is>
      </c>
      <c r="G70" s="194" t="n"/>
      <c r="H70" s="194" t="n"/>
      <c r="I70" s="194" t="n"/>
      <c r="J70" s="194" t="n"/>
      <c r="K70" s="194" t="n"/>
      <c r="L70" s="194" t="n"/>
      <c r="M70" s="194" t="n"/>
      <c r="N70" s="194" t="n"/>
      <c r="O70" s="194" t="n"/>
      <c r="P70" s="194" t="n"/>
      <c r="Q70" s="194" t="n"/>
      <c r="R70" s="194" t="n"/>
      <c r="S70" s="194" t="n"/>
      <c r="T70" s="194" t="n"/>
      <c r="U70" s="194" t="n"/>
      <c r="V70" s="194" t="n"/>
      <c r="W70" s="194" t="n"/>
      <c r="X70" s="194" t="n"/>
      <c r="Y70" s="194" t="n"/>
      <c r="Z70" s="194" t="n"/>
    </row>
    <row r="71" ht="15" customHeight="1" s="195">
      <c r="A71" s="218" t="inlineStr">
        <is>
          <t>4934</t>
        </is>
      </c>
      <c r="B71" s="265" t="inlineStr">
        <is>
          <t>GUALULO</t>
        </is>
      </c>
      <c r="C71" s="266" t="inlineStr">
        <is>
          <t>POMACOCHAS</t>
        </is>
      </c>
      <c r="G71" s="194" t="n"/>
      <c r="H71" s="194" t="n"/>
      <c r="I71" s="194" t="n"/>
      <c r="J71" s="194" t="n"/>
      <c r="K71" s="194" t="n"/>
      <c r="L71" s="194" t="n"/>
      <c r="M71" s="194" t="n"/>
      <c r="N71" s="194" t="n"/>
      <c r="O71" s="194" t="n"/>
      <c r="P71" s="194" t="n"/>
      <c r="Q71" s="194" t="n"/>
      <c r="R71" s="194" t="n"/>
      <c r="S71" s="194" t="n"/>
      <c r="T71" s="194" t="n"/>
      <c r="U71" s="194" t="n"/>
      <c r="V71" s="194" t="n"/>
      <c r="W71" s="194" t="n"/>
      <c r="X71" s="194" t="n"/>
      <c r="Y71" s="194" t="n"/>
      <c r="Z71" s="194" t="n"/>
    </row>
    <row r="72" ht="15" customHeight="1" s="195">
      <c r="A72" s="211" t="inlineStr">
        <is>
          <t>7039</t>
        </is>
      </c>
      <c r="B72" s="268" t="inlineStr">
        <is>
          <t>HIGOS URCO</t>
        </is>
      </c>
      <c r="C72" s="269" t="inlineStr">
        <is>
          <t>CHACHAPOYAS</t>
        </is>
      </c>
      <c r="G72" s="194" t="n"/>
      <c r="H72" s="194" t="n"/>
      <c r="I72" s="194" t="n"/>
      <c r="J72" s="194" t="n"/>
      <c r="K72" s="194" t="n"/>
      <c r="L72" s="194" t="n"/>
      <c r="M72" s="194" t="n"/>
      <c r="N72" s="194" t="n"/>
      <c r="O72" s="194" t="n"/>
      <c r="P72" s="194" t="n"/>
      <c r="Q72" s="194" t="n"/>
      <c r="R72" s="194" t="n"/>
      <c r="S72" s="194" t="n"/>
      <c r="T72" s="194" t="n"/>
      <c r="U72" s="194" t="n"/>
      <c r="V72" s="194" t="n"/>
      <c r="W72" s="194" t="n"/>
      <c r="X72" s="194" t="n"/>
      <c r="Y72" s="194" t="n"/>
      <c r="Z72" s="194" t="n"/>
    </row>
    <row r="73" ht="15" customHeight="1" s="195">
      <c r="A73" s="218" t="inlineStr">
        <is>
          <t>4943</t>
        </is>
      </c>
      <c r="B73" s="265" t="inlineStr">
        <is>
          <t>HUAMBO</t>
        </is>
      </c>
      <c r="C73" s="266" t="inlineStr">
        <is>
          <t>HUAMBO</t>
        </is>
      </c>
      <c r="G73" s="194" t="n"/>
      <c r="H73" s="194" t="n"/>
      <c r="I73" s="194" t="n"/>
      <c r="J73" s="194" t="n"/>
      <c r="K73" s="194" t="n"/>
      <c r="L73" s="194" t="n"/>
      <c r="M73" s="194" t="n"/>
      <c r="N73" s="194" t="n"/>
      <c r="O73" s="194" t="n"/>
      <c r="P73" s="194" t="n"/>
      <c r="Q73" s="194" t="n"/>
      <c r="R73" s="194" t="n"/>
      <c r="S73" s="194" t="n"/>
      <c r="T73" s="194" t="n"/>
      <c r="U73" s="194" t="n"/>
      <c r="V73" s="194" t="n"/>
      <c r="W73" s="194" t="n"/>
      <c r="X73" s="194" t="n"/>
      <c r="Y73" s="194" t="n"/>
      <c r="Z73" s="194" t="n"/>
    </row>
    <row r="74" ht="15" customHeight="1" s="195">
      <c r="A74" s="211" t="inlineStr">
        <is>
          <t>4841</t>
        </is>
      </c>
      <c r="B74" s="268" t="inlineStr">
        <is>
          <t>HUANCAS</t>
        </is>
      </c>
      <c r="C74" s="269" t="inlineStr">
        <is>
          <t>CHACHAPOYAS</t>
        </is>
      </c>
      <c r="G74" s="194" t="n"/>
      <c r="H74" s="194" t="n"/>
      <c r="I74" s="194" t="n"/>
      <c r="J74" s="194" t="n"/>
      <c r="K74" s="194" t="n"/>
      <c r="L74" s="194" t="n"/>
      <c r="M74" s="194" t="n"/>
      <c r="N74" s="194" t="n"/>
      <c r="O74" s="194" t="n"/>
      <c r="P74" s="194" t="n"/>
      <c r="Q74" s="194" t="n"/>
      <c r="R74" s="194" t="n"/>
      <c r="S74" s="194" t="n"/>
      <c r="T74" s="194" t="n"/>
      <c r="U74" s="194" t="n"/>
      <c r="V74" s="194" t="n"/>
      <c r="W74" s="194" t="n"/>
      <c r="X74" s="194" t="n"/>
      <c r="Y74" s="194" t="n"/>
      <c r="Z74" s="194" t="n"/>
    </row>
    <row r="75" ht="15" customHeight="1" s="195">
      <c r="A75" s="218" t="inlineStr">
        <is>
          <t>4848</t>
        </is>
      </c>
      <c r="B75" s="265" t="inlineStr">
        <is>
          <t>HUARANGUILLO</t>
        </is>
      </c>
      <c r="C75" s="266" t="inlineStr">
        <is>
          <t>COLLONCE</t>
        </is>
      </c>
      <c r="G75" s="194" t="n"/>
      <c r="H75" s="194" t="n"/>
      <c r="I75" s="194" t="n"/>
      <c r="J75" s="194" t="n"/>
      <c r="K75" s="194" t="n"/>
      <c r="L75" s="194" t="n"/>
      <c r="M75" s="194" t="n"/>
      <c r="N75" s="194" t="n"/>
      <c r="O75" s="194" t="n"/>
      <c r="P75" s="194" t="n"/>
      <c r="Q75" s="194" t="n"/>
      <c r="R75" s="194" t="n"/>
      <c r="S75" s="194" t="n"/>
      <c r="T75" s="194" t="n"/>
      <c r="U75" s="194" t="n"/>
      <c r="V75" s="194" t="n"/>
      <c r="W75" s="194" t="n"/>
      <c r="X75" s="194" t="n"/>
      <c r="Y75" s="194" t="n"/>
      <c r="Z75" s="194" t="n"/>
    </row>
    <row r="76" ht="15" customHeight="1" s="195">
      <c r="A76" s="211" t="inlineStr">
        <is>
          <t>4914</t>
        </is>
      </c>
      <c r="B76" s="268" t="inlineStr">
        <is>
          <t>INGENIO</t>
        </is>
      </c>
      <c r="C76" s="269" t="inlineStr">
        <is>
          <t>PEDRO RUIZ GALLO</t>
        </is>
      </c>
      <c r="G76" s="194" t="n"/>
      <c r="H76" s="194" t="n"/>
      <c r="I76" s="194" t="n"/>
      <c r="J76" s="194" t="n"/>
      <c r="K76" s="194" t="n"/>
      <c r="L76" s="194" t="n"/>
      <c r="M76" s="194" t="n"/>
      <c r="N76" s="194" t="n"/>
      <c r="O76" s="194" t="n"/>
      <c r="P76" s="194" t="n"/>
      <c r="Q76" s="194" t="n"/>
      <c r="R76" s="194" t="n"/>
      <c r="S76" s="194" t="n"/>
      <c r="T76" s="194" t="n"/>
      <c r="U76" s="194" t="n"/>
      <c r="V76" s="194" t="n"/>
      <c r="W76" s="194" t="n"/>
      <c r="X76" s="194" t="n"/>
      <c r="Y76" s="194" t="n"/>
      <c r="Z76" s="194" t="n"/>
    </row>
    <row r="77" ht="15" customHeight="1" s="195">
      <c r="A77" s="218" t="inlineStr">
        <is>
          <t>4864</t>
        </is>
      </c>
      <c r="B77" s="265" t="inlineStr">
        <is>
          <t>INGUILPATA</t>
        </is>
      </c>
      <c r="C77" s="266" t="inlineStr">
        <is>
          <t>LUYA</t>
        </is>
      </c>
      <c r="G77" s="194" t="n"/>
      <c r="H77" s="194" t="n"/>
      <c r="I77" s="194" t="n"/>
      <c r="J77" s="194" t="n"/>
      <c r="K77" s="194" t="n"/>
      <c r="L77" s="194" t="n"/>
      <c r="M77" s="194" t="n"/>
      <c r="N77" s="194" t="n"/>
      <c r="O77" s="194" t="n"/>
      <c r="P77" s="194" t="n"/>
      <c r="Q77" s="194" t="n"/>
      <c r="R77" s="194" t="n"/>
      <c r="S77" s="194" t="n"/>
      <c r="T77" s="194" t="n"/>
      <c r="U77" s="194" t="n"/>
      <c r="V77" s="194" t="n"/>
      <c r="W77" s="194" t="n"/>
      <c r="X77" s="194" t="n"/>
      <c r="Y77" s="194" t="n"/>
      <c r="Z77" s="194" t="n"/>
    </row>
    <row r="78" ht="15" customHeight="1" s="195">
      <c r="A78" s="211" t="inlineStr">
        <is>
          <t>29068</t>
        </is>
      </c>
      <c r="B78" s="268" t="inlineStr">
        <is>
          <t>INTEGRAMENTE HUAYABAMBA</t>
        </is>
      </c>
      <c r="C78" s="269" t="inlineStr">
        <is>
          <t>C.S M MENDOZA</t>
        </is>
      </c>
      <c r="G78" s="194" t="n"/>
      <c r="H78" s="194" t="n"/>
      <c r="I78" s="194" t="n"/>
      <c r="J78" s="194" t="n"/>
      <c r="K78" s="194" t="n"/>
      <c r="L78" s="194" t="n"/>
      <c r="M78" s="194" t="n"/>
      <c r="N78" s="194" t="n"/>
      <c r="O78" s="194" t="n"/>
      <c r="P78" s="194" t="n"/>
      <c r="Q78" s="194" t="n"/>
      <c r="R78" s="194" t="n"/>
      <c r="S78" s="194" t="n"/>
      <c r="T78" s="194" t="n"/>
      <c r="U78" s="194" t="n"/>
      <c r="V78" s="194" t="n"/>
      <c r="W78" s="194" t="n"/>
      <c r="X78" s="194" t="n"/>
      <c r="Y78" s="194" t="n"/>
      <c r="Z78" s="194" t="n"/>
    </row>
    <row r="79" ht="15" customHeight="1" s="195">
      <c r="A79" s="218" t="inlineStr">
        <is>
          <t>4941</t>
        </is>
      </c>
      <c r="B79" s="265" t="inlineStr">
        <is>
          <t>IZCUCHACA</t>
        </is>
      </c>
      <c r="C79" s="266" t="inlineStr">
        <is>
          <t>LONGAR</t>
        </is>
      </c>
      <c r="G79" s="194" t="n"/>
      <c r="H79" s="194" t="n"/>
      <c r="I79" s="194" t="n"/>
      <c r="J79" s="194" t="n"/>
      <c r="K79" s="194" t="n"/>
      <c r="L79" s="194" t="n"/>
      <c r="M79" s="194" t="n"/>
      <c r="N79" s="194" t="n"/>
      <c r="O79" s="194" t="n"/>
      <c r="P79" s="194" t="n"/>
      <c r="Q79" s="194" t="n"/>
      <c r="R79" s="194" t="n"/>
      <c r="S79" s="194" t="n"/>
      <c r="T79" s="194" t="n"/>
      <c r="U79" s="194" t="n"/>
      <c r="V79" s="194" t="n"/>
      <c r="W79" s="194" t="n"/>
      <c r="X79" s="194" t="n"/>
      <c r="Y79" s="194" t="n"/>
      <c r="Z79" s="194" t="n"/>
    </row>
    <row r="80" ht="15" customHeight="1" s="195">
      <c r="A80" s="211" t="inlineStr">
        <is>
          <t>4905</t>
        </is>
      </c>
      <c r="B80" s="268" t="inlineStr">
        <is>
          <t>JALCA GRANDE</t>
        </is>
      </c>
      <c r="C80" s="269" t="inlineStr">
        <is>
          <t>YERBABUENA</t>
        </is>
      </c>
      <c r="G80" s="194" t="n"/>
      <c r="H80" s="194" t="n"/>
      <c r="I80" s="194" t="n"/>
      <c r="J80" s="194" t="n"/>
      <c r="K80" s="194" t="n"/>
      <c r="L80" s="194" t="n"/>
      <c r="M80" s="194" t="n"/>
      <c r="N80" s="194" t="n"/>
      <c r="O80" s="194" t="n"/>
      <c r="P80" s="194" t="n"/>
      <c r="Q80" s="194" t="n"/>
      <c r="R80" s="194" t="n"/>
      <c r="S80" s="194" t="n"/>
      <c r="T80" s="194" t="n"/>
      <c r="U80" s="194" t="n"/>
      <c r="V80" s="194" t="n"/>
      <c r="W80" s="194" t="n"/>
      <c r="X80" s="194" t="n"/>
      <c r="Y80" s="194" t="n"/>
      <c r="Z80" s="194" t="n"/>
    </row>
    <row r="81" ht="15" customHeight="1" s="195">
      <c r="A81" s="218" t="inlineStr">
        <is>
          <t>11725</t>
        </is>
      </c>
      <c r="B81" s="265" t="inlineStr">
        <is>
          <t>JAVRULOT</t>
        </is>
      </c>
      <c r="C81" s="266" t="inlineStr">
        <is>
          <t>NUEVO CHIRIMOTO</t>
        </is>
      </c>
      <c r="G81" s="194" t="n"/>
      <c r="H81" s="194" t="n"/>
      <c r="I81" s="194" t="n"/>
      <c r="J81" s="194" t="n"/>
      <c r="K81" s="194" t="n"/>
      <c r="L81" s="194" t="n"/>
      <c r="M81" s="194" t="n"/>
      <c r="N81" s="194" t="n"/>
      <c r="O81" s="194" t="n"/>
      <c r="P81" s="194" t="n"/>
      <c r="Q81" s="194" t="n"/>
      <c r="R81" s="194" t="n"/>
      <c r="S81" s="194" t="n"/>
      <c r="T81" s="194" t="n"/>
      <c r="U81" s="194" t="n"/>
      <c r="V81" s="194" t="n"/>
      <c r="W81" s="194" t="n"/>
      <c r="X81" s="194" t="n"/>
      <c r="Y81" s="194" t="n"/>
      <c r="Z81" s="194" t="n"/>
    </row>
    <row r="82" ht="15" customHeight="1" s="195">
      <c r="A82" s="211" t="inlineStr">
        <is>
          <t>4917</t>
        </is>
      </c>
      <c r="B82" s="268" t="inlineStr">
        <is>
          <t>JUMBILLA</t>
        </is>
      </c>
      <c r="C82" s="269" t="inlineStr">
        <is>
          <t>JUMBILLA</t>
        </is>
      </c>
      <c r="G82" s="194" t="n"/>
      <c r="H82" s="194" t="n"/>
      <c r="I82" s="194" t="n"/>
      <c r="J82" s="194" t="n"/>
      <c r="K82" s="194" t="n"/>
      <c r="L82" s="194" t="n"/>
      <c r="M82" s="194" t="n"/>
      <c r="N82" s="194" t="n"/>
      <c r="O82" s="194" t="n"/>
      <c r="P82" s="194" t="n"/>
      <c r="Q82" s="194" t="n"/>
      <c r="R82" s="194" t="n"/>
      <c r="S82" s="194" t="n"/>
      <c r="T82" s="194" t="n"/>
      <c r="U82" s="194" t="n"/>
      <c r="V82" s="194" t="n"/>
      <c r="W82" s="194" t="n"/>
      <c r="X82" s="194" t="n"/>
      <c r="Y82" s="194" t="n"/>
      <c r="Z82" s="194" t="n"/>
    </row>
    <row r="83" ht="15" customHeight="1" s="195">
      <c r="A83" s="218" t="inlineStr">
        <is>
          <t>7064</t>
        </is>
      </c>
      <c r="B83" s="265" t="inlineStr">
        <is>
          <t>KUELAP</t>
        </is>
      </c>
      <c r="C83" s="266" t="inlineStr">
        <is>
          <t>TINGO</t>
        </is>
      </c>
      <c r="G83" s="194" t="n"/>
      <c r="H83" s="194" t="n"/>
      <c r="I83" s="194" t="n"/>
      <c r="J83" s="194" t="n"/>
      <c r="K83" s="194" t="n"/>
      <c r="L83" s="194" t="n"/>
      <c r="M83" s="194" t="n"/>
      <c r="N83" s="194" t="n"/>
      <c r="O83" s="194" t="n"/>
      <c r="P83" s="194" t="n"/>
      <c r="Q83" s="194" t="n"/>
      <c r="R83" s="194" t="n"/>
      <c r="S83" s="194" t="n"/>
      <c r="T83" s="194" t="n"/>
      <c r="U83" s="194" t="n"/>
      <c r="V83" s="194" t="n"/>
      <c r="W83" s="194" t="n"/>
      <c r="X83" s="194" t="n"/>
      <c r="Y83" s="194" t="n"/>
      <c r="Z83" s="194" t="n"/>
    </row>
    <row r="84" ht="15" customHeight="1" s="195">
      <c r="A84" s="211" t="inlineStr">
        <is>
          <t>7052</t>
        </is>
      </c>
      <c r="B84" s="268" t="inlineStr">
        <is>
          <t>LA COCA</t>
        </is>
      </c>
      <c r="C84" s="269" t="inlineStr">
        <is>
          <t>PEDRO RUIZ GALLO</t>
        </is>
      </c>
      <c r="G84" s="194" t="n"/>
      <c r="H84" s="194" t="n"/>
      <c r="I84" s="194" t="n"/>
      <c r="J84" s="194" t="n"/>
      <c r="K84" s="194" t="n"/>
      <c r="L84" s="194" t="n"/>
      <c r="M84" s="194" t="n"/>
      <c r="N84" s="194" t="n"/>
      <c r="O84" s="194" t="n"/>
      <c r="P84" s="194" t="n"/>
      <c r="Q84" s="194" t="n"/>
      <c r="R84" s="194" t="n"/>
      <c r="S84" s="194" t="n"/>
      <c r="T84" s="194" t="n"/>
      <c r="U84" s="194" t="n"/>
      <c r="V84" s="194" t="n"/>
      <c r="W84" s="194" t="n"/>
      <c r="X84" s="194" t="n"/>
      <c r="Y84" s="194" t="n"/>
      <c r="Z84" s="194" t="n"/>
    </row>
    <row r="85" ht="15" customHeight="1" s="195">
      <c r="A85" s="218" t="inlineStr">
        <is>
          <t>4939</t>
        </is>
      </c>
      <c r="B85" s="265" t="inlineStr">
        <is>
          <t>LA ESPERANZA</t>
        </is>
      </c>
      <c r="C85" s="266" t="inlineStr">
        <is>
          <t>POMACOCHAS</t>
        </is>
      </c>
      <c r="G85" s="194" t="n"/>
      <c r="H85" s="194" t="n"/>
      <c r="I85" s="194" t="n"/>
      <c r="J85" s="194" t="n"/>
      <c r="K85" s="194" t="n"/>
      <c r="L85" s="194" t="n"/>
      <c r="M85" s="194" t="n"/>
      <c r="N85" s="194" t="n"/>
      <c r="O85" s="194" t="n"/>
      <c r="P85" s="194" t="n"/>
      <c r="Q85" s="194" t="n"/>
      <c r="R85" s="194" t="n"/>
      <c r="S85" s="194" t="n"/>
      <c r="T85" s="194" t="n"/>
      <c r="U85" s="194" t="n"/>
      <c r="V85" s="194" t="n"/>
      <c r="W85" s="194" t="n"/>
      <c r="X85" s="194" t="n"/>
      <c r="Y85" s="194" t="n"/>
      <c r="Z85" s="194" t="n"/>
    </row>
    <row r="86" ht="15" customHeight="1" s="195">
      <c r="A86" s="211" t="inlineStr">
        <is>
          <t>7051</t>
        </is>
      </c>
      <c r="B86" s="268" t="inlineStr">
        <is>
          <t>LA FLORIDA DE SHIPASBAMBA</t>
        </is>
      </c>
      <c r="C86" s="269" t="inlineStr">
        <is>
          <t>PEDRO RUIZ GALLO</t>
        </is>
      </c>
      <c r="G86" s="194" t="n"/>
      <c r="H86" s="194" t="n"/>
      <c r="I86" s="194" t="n"/>
      <c r="J86" s="194" t="n"/>
      <c r="K86" s="194" t="n"/>
      <c r="L86" s="194" t="n"/>
      <c r="M86" s="194" t="n"/>
      <c r="N86" s="194" t="n"/>
      <c r="O86" s="194" t="n"/>
      <c r="P86" s="194" t="n"/>
      <c r="Q86" s="194" t="n"/>
      <c r="R86" s="194" t="n"/>
      <c r="S86" s="194" t="n"/>
      <c r="T86" s="194" t="n"/>
      <c r="U86" s="194" t="n"/>
      <c r="V86" s="194" t="n"/>
      <c r="W86" s="194" t="n"/>
      <c r="X86" s="194" t="n"/>
      <c r="Y86" s="194" t="n"/>
      <c r="Z86" s="194" t="n"/>
    </row>
    <row r="87" ht="15" customHeight="1" s="195">
      <c r="A87" s="218" t="inlineStr">
        <is>
          <t>7055</t>
        </is>
      </c>
      <c r="B87" s="265" t="inlineStr">
        <is>
          <t>LA FLORIDA DE YAMBRASBAMBA</t>
        </is>
      </c>
      <c r="C87" s="266" t="inlineStr">
        <is>
          <t>POMACOCHAS</t>
        </is>
      </c>
      <c r="G87" s="194" t="n"/>
      <c r="H87" s="194" t="n"/>
      <c r="I87" s="194" t="n"/>
      <c r="J87" s="194" t="n"/>
      <c r="K87" s="194" t="n"/>
      <c r="L87" s="194" t="n"/>
      <c r="M87" s="194" t="n"/>
      <c r="N87" s="194" t="n"/>
      <c r="O87" s="194" t="n"/>
      <c r="P87" s="194" t="n"/>
      <c r="Q87" s="194" t="n"/>
      <c r="R87" s="194" t="n"/>
      <c r="S87" s="194" t="n"/>
      <c r="T87" s="194" t="n"/>
      <c r="U87" s="194" t="n"/>
      <c r="V87" s="194" t="n"/>
      <c r="W87" s="194" t="n"/>
      <c r="X87" s="194" t="n"/>
      <c r="Y87" s="194" t="n"/>
      <c r="Z87" s="194" t="n"/>
    </row>
    <row r="88" ht="15" customHeight="1" s="195">
      <c r="A88" s="211" t="inlineStr">
        <is>
          <t>7333</t>
        </is>
      </c>
      <c r="B88" s="268" t="inlineStr">
        <is>
          <t>LA LIBERTAD</t>
        </is>
      </c>
      <c r="C88" s="269" t="inlineStr">
        <is>
          <t>CAMPORREDONDO</t>
        </is>
      </c>
      <c r="G88" s="194" t="n"/>
      <c r="H88" s="194" t="n"/>
      <c r="I88" s="194" t="n"/>
      <c r="J88" s="194" t="n"/>
      <c r="K88" s="194" t="n"/>
      <c r="L88" s="194" t="n"/>
      <c r="M88" s="194" t="n"/>
      <c r="N88" s="194" t="n"/>
      <c r="O88" s="194" t="n"/>
      <c r="P88" s="194" t="n"/>
      <c r="Q88" s="194" t="n"/>
      <c r="R88" s="194" t="n"/>
      <c r="S88" s="194" t="n"/>
      <c r="T88" s="194" t="n"/>
      <c r="U88" s="194" t="n"/>
      <c r="V88" s="194" t="n"/>
      <c r="W88" s="194" t="n"/>
      <c r="X88" s="194" t="n"/>
      <c r="Y88" s="194" t="n"/>
      <c r="Z88" s="194" t="n"/>
    </row>
    <row r="89" ht="15" customHeight="1" s="195">
      <c r="A89" s="218" t="inlineStr">
        <is>
          <t>7067</t>
        </is>
      </c>
      <c r="B89" s="265" t="inlineStr">
        <is>
          <t>LA MORADA</t>
        </is>
      </c>
      <c r="C89" s="266" t="inlineStr">
        <is>
          <t>LEIMEBAMBA</t>
        </is>
      </c>
      <c r="G89" s="194" t="n"/>
      <c r="H89" s="194" t="n"/>
      <c r="I89" s="194" t="n"/>
      <c r="J89" s="194" t="n"/>
      <c r="K89" s="194" t="n"/>
      <c r="L89" s="194" t="n"/>
      <c r="M89" s="194" t="n"/>
      <c r="N89" s="194" t="n"/>
      <c r="O89" s="194" t="n"/>
      <c r="P89" s="194" t="n"/>
      <c r="Q89" s="194" t="n"/>
      <c r="R89" s="194" t="n"/>
      <c r="S89" s="194" t="n"/>
      <c r="T89" s="194" t="n"/>
      <c r="U89" s="194" t="n"/>
      <c r="V89" s="194" t="n"/>
      <c r="W89" s="194" t="n"/>
      <c r="X89" s="194" t="n"/>
      <c r="Y89" s="194" t="n"/>
      <c r="Z89" s="194" t="n"/>
    </row>
    <row r="90" ht="15" customHeight="1" s="195">
      <c r="A90" s="211" t="inlineStr">
        <is>
          <t>7073</t>
        </is>
      </c>
      <c r="B90" s="268" t="inlineStr">
        <is>
          <t>LA PRIMAVERA</t>
        </is>
      </c>
      <c r="C90" s="269" t="inlineStr">
        <is>
          <t>NUEVO CHIRIMOTO</t>
        </is>
      </c>
      <c r="G90" s="194" t="n"/>
      <c r="H90" s="194" t="n"/>
      <c r="I90" s="194" t="n"/>
      <c r="J90" s="194" t="n"/>
      <c r="K90" s="194" t="n"/>
      <c r="L90" s="194" t="n"/>
      <c r="M90" s="194" t="n"/>
      <c r="N90" s="194" t="n"/>
      <c r="O90" s="194" t="n"/>
      <c r="P90" s="194" t="n"/>
      <c r="Q90" s="194" t="n"/>
      <c r="R90" s="194" t="n"/>
      <c r="S90" s="194" t="n"/>
      <c r="T90" s="194" t="n"/>
      <c r="U90" s="194" t="n"/>
      <c r="V90" s="194" t="n"/>
      <c r="W90" s="194" t="n"/>
      <c r="X90" s="194" t="n"/>
      <c r="Y90" s="194" t="n"/>
      <c r="Z90" s="194" t="n"/>
    </row>
    <row r="91" ht="15" customHeight="1" s="195">
      <c r="A91" s="218" t="inlineStr">
        <is>
          <t>4850</t>
        </is>
      </c>
      <c r="B91" s="265" t="inlineStr">
        <is>
          <t>LAMUD</t>
        </is>
      </c>
      <c r="C91" s="266" t="inlineStr">
        <is>
          <t>LAMUD</t>
        </is>
      </c>
      <c r="G91" s="194" t="n"/>
      <c r="H91" s="194" t="n"/>
      <c r="I91" s="194" t="n"/>
      <c r="J91" s="194" t="n"/>
      <c r="K91" s="194" t="n"/>
      <c r="L91" s="194" t="n"/>
      <c r="M91" s="194" t="n"/>
      <c r="N91" s="194" t="n"/>
      <c r="O91" s="194" t="n"/>
      <c r="P91" s="194" t="n"/>
      <c r="Q91" s="194" t="n"/>
      <c r="R91" s="194" t="n"/>
      <c r="S91" s="194" t="n"/>
      <c r="T91" s="194" t="n"/>
      <c r="U91" s="194" t="n"/>
      <c r="V91" s="194" t="n"/>
      <c r="W91" s="194" t="n"/>
      <c r="X91" s="194" t="n"/>
      <c r="Y91" s="194" t="n"/>
      <c r="Z91" s="194" t="n"/>
    </row>
    <row r="92" ht="15" customHeight="1" s="195">
      <c r="A92" s="211" t="inlineStr">
        <is>
          <t>9679</t>
        </is>
      </c>
      <c r="B92" s="268" t="inlineStr">
        <is>
          <t>LAS PALMAS</t>
        </is>
      </c>
      <c r="C92" s="269" t="inlineStr">
        <is>
          <t>JUMBILLA</t>
        </is>
      </c>
      <c r="G92" s="194" t="n"/>
      <c r="H92" s="194" t="n"/>
      <c r="I92" s="194" t="n"/>
      <c r="J92" s="194" t="n"/>
      <c r="K92" s="194" t="n"/>
      <c r="L92" s="194" t="n"/>
      <c r="M92" s="194" t="n"/>
      <c r="N92" s="194" t="n"/>
      <c r="O92" s="194" t="n"/>
      <c r="P92" s="194" t="n"/>
      <c r="Q92" s="194" t="n"/>
      <c r="R92" s="194" t="n"/>
      <c r="S92" s="194" t="n"/>
      <c r="T92" s="194" t="n"/>
      <c r="U92" s="194" t="n"/>
      <c r="V92" s="194" t="n"/>
      <c r="W92" s="194" t="n"/>
      <c r="X92" s="194" t="n"/>
      <c r="Y92" s="194" t="n"/>
      <c r="Z92" s="194" t="n"/>
    </row>
    <row r="93" ht="15" customHeight="1" s="195">
      <c r="A93" s="218" t="inlineStr">
        <is>
          <t>4948</t>
        </is>
      </c>
      <c r="B93" s="265" t="inlineStr">
        <is>
          <t>LEGIA CHICO</t>
        </is>
      </c>
      <c r="C93" s="266" t="inlineStr">
        <is>
          <t>ZARUMILLA</t>
        </is>
      </c>
      <c r="G93" s="194" t="n"/>
      <c r="H93" s="194" t="n"/>
      <c r="I93" s="194" t="n"/>
      <c r="J93" s="194" t="n"/>
      <c r="K93" s="194" t="n"/>
      <c r="L93" s="194" t="n"/>
      <c r="M93" s="194" t="n"/>
      <c r="N93" s="194" t="n"/>
      <c r="O93" s="194" t="n"/>
      <c r="P93" s="194" t="n"/>
      <c r="Q93" s="194" t="n"/>
      <c r="R93" s="194" t="n"/>
      <c r="S93" s="194" t="n"/>
      <c r="T93" s="194" t="n"/>
      <c r="U93" s="194" t="n"/>
      <c r="V93" s="194" t="n"/>
      <c r="W93" s="194" t="n"/>
      <c r="X93" s="194" t="n"/>
      <c r="Y93" s="194" t="n"/>
      <c r="Z93" s="194" t="n"/>
    </row>
    <row r="94" ht="15" customHeight="1" s="195">
      <c r="A94" s="211" t="inlineStr">
        <is>
          <t>4842</t>
        </is>
      </c>
      <c r="B94" s="268" t="inlineStr">
        <is>
          <t>LEVANTO</t>
        </is>
      </c>
      <c r="C94" s="269" t="inlineStr">
        <is>
          <t>CHACHAPOYAS</t>
        </is>
      </c>
      <c r="G94" s="194" t="n"/>
      <c r="H94" s="194" t="n"/>
      <c r="I94" s="194" t="n"/>
      <c r="J94" s="194" t="n"/>
      <c r="K94" s="194" t="n"/>
      <c r="L94" s="194" t="n"/>
      <c r="M94" s="194" t="n"/>
      <c r="N94" s="194" t="n"/>
      <c r="O94" s="194" t="n"/>
      <c r="P94" s="194" t="n"/>
      <c r="Q94" s="194" t="n"/>
      <c r="R94" s="194" t="n"/>
      <c r="S94" s="194" t="n"/>
      <c r="T94" s="194" t="n"/>
      <c r="U94" s="194" t="n"/>
      <c r="V94" s="194" t="n"/>
      <c r="W94" s="194" t="n"/>
      <c r="X94" s="194" t="n"/>
      <c r="Y94" s="194" t="n"/>
      <c r="Z94" s="194" t="n"/>
    </row>
    <row r="95" ht="15" customHeight="1" s="195">
      <c r="A95" s="218" t="inlineStr">
        <is>
          <t>4859</t>
        </is>
      </c>
      <c r="B95" s="265" t="inlineStr">
        <is>
          <t>LEYMEBAMBA</t>
        </is>
      </c>
      <c r="C95" s="266" t="inlineStr">
        <is>
          <t>LEIMEBAMBA</t>
        </is>
      </c>
      <c r="G95" s="194" t="n"/>
      <c r="H95" s="194" t="n"/>
      <c r="I95" s="194" t="n"/>
      <c r="J95" s="194" t="n"/>
      <c r="K95" s="194" t="n"/>
      <c r="L95" s="194" t="n"/>
      <c r="M95" s="194" t="n"/>
      <c r="N95" s="194" t="n"/>
      <c r="O95" s="194" t="n"/>
      <c r="P95" s="194" t="n"/>
      <c r="Q95" s="194" t="n"/>
      <c r="R95" s="194" t="n"/>
      <c r="S95" s="194" t="n"/>
      <c r="T95" s="194" t="n"/>
      <c r="U95" s="194" t="n"/>
      <c r="V95" s="194" t="n"/>
      <c r="W95" s="194" t="n"/>
      <c r="X95" s="194" t="n"/>
      <c r="Y95" s="194" t="n"/>
      <c r="Z95" s="194" t="n"/>
    </row>
    <row r="96" ht="15" customHeight="1" s="195">
      <c r="A96" s="211" t="inlineStr">
        <is>
          <t>4955</t>
        </is>
      </c>
      <c r="B96" s="268" t="inlineStr">
        <is>
          <t>LIMABAMBA</t>
        </is>
      </c>
      <c r="C96" s="269" t="inlineStr">
        <is>
          <t>TOTORA</t>
        </is>
      </c>
      <c r="G96" s="194" t="n"/>
      <c r="H96" s="194" t="n"/>
      <c r="I96" s="194" t="n"/>
      <c r="J96" s="194" t="n"/>
      <c r="K96" s="194" t="n"/>
      <c r="L96" s="194" t="n"/>
      <c r="M96" s="194" t="n"/>
      <c r="N96" s="194" t="n"/>
      <c r="O96" s="194" t="n"/>
      <c r="P96" s="194" t="n"/>
      <c r="Q96" s="194" t="n"/>
      <c r="R96" s="194" t="n"/>
      <c r="S96" s="194" t="n"/>
      <c r="T96" s="194" t="n"/>
      <c r="U96" s="194" t="n"/>
      <c r="V96" s="194" t="n"/>
      <c r="W96" s="194" t="n"/>
      <c r="X96" s="194" t="n"/>
      <c r="Y96" s="194" t="n"/>
      <c r="Z96" s="194" t="n"/>
    </row>
    <row r="97" ht="15" customHeight="1" s="195">
      <c r="A97" s="218" t="inlineStr">
        <is>
          <t>4890</t>
        </is>
      </c>
      <c r="B97" s="265" t="inlineStr">
        <is>
          <t>LLACTAPAMPA</t>
        </is>
      </c>
      <c r="C97" s="266" t="inlineStr">
        <is>
          <t>SANTO TOMAS</t>
        </is>
      </c>
      <c r="G97" s="194" t="n"/>
      <c r="H97" s="194" t="n"/>
      <c r="I97" s="194" t="n"/>
      <c r="J97" s="194" t="n"/>
      <c r="K97" s="194" t="n"/>
      <c r="L97" s="194" t="n"/>
      <c r="M97" s="194" t="n"/>
      <c r="N97" s="194" t="n"/>
      <c r="O97" s="194" t="n"/>
      <c r="P97" s="194" t="n"/>
      <c r="Q97" s="194" t="n"/>
      <c r="R97" s="194" t="n"/>
      <c r="S97" s="194" t="n"/>
      <c r="T97" s="194" t="n"/>
      <c r="U97" s="194" t="n"/>
      <c r="V97" s="194" t="n"/>
      <c r="W97" s="194" t="n"/>
      <c r="X97" s="194" t="n"/>
      <c r="Y97" s="194" t="n"/>
      <c r="Z97" s="194" t="n"/>
    </row>
    <row r="98" ht="15" customHeight="1" s="195">
      <c r="A98" s="211" t="inlineStr">
        <is>
          <t>4944</t>
        </is>
      </c>
      <c r="B98" s="268" t="inlineStr">
        <is>
          <t>LONGAR</t>
        </is>
      </c>
      <c r="C98" s="269" t="inlineStr">
        <is>
          <t>LONGAR</t>
        </is>
      </c>
      <c r="G98" s="194" t="n"/>
      <c r="H98" s="194" t="n"/>
      <c r="I98" s="194" t="n"/>
      <c r="J98" s="194" t="n"/>
      <c r="K98" s="194" t="n"/>
      <c r="L98" s="194" t="n"/>
      <c r="M98" s="194" t="n"/>
      <c r="N98" s="194" t="n"/>
      <c r="O98" s="194" t="n"/>
      <c r="P98" s="194" t="n"/>
      <c r="Q98" s="194" t="n"/>
      <c r="R98" s="194" t="n"/>
      <c r="S98" s="194" t="n"/>
      <c r="T98" s="194" t="n"/>
      <c r="U98" s="194" t="n"/>
      <c r="V98" s="194" t="n"/>
      <c r="W98" s="194" t="n"/>
      <c r="X98" s="194" t="n"/>
      <c r="Y98" s="194" t="n"/>
      <c r="Z98" s="194" t="n"/>
    </row>
    <row r="99" ht="15" customHeight="1" s="195">
      <c r="A99" s="218" t="inlineStr">
        <is>
          <t>4897</t>
        </is>
      </c>
      <c r="B99" s="265" t="inlineStr">
        <is>
          <t>LONGUITA</t>
        </is>
      </c>
      <c r="C99" s="266" t="inlineStr">
        <is>
          <t>TINGO</t>
        </is>
      </c>
      <c r="G99" s="194" t="n"/>
      <c r="H99" s="194" t="n"/>
      <c r="I99" s="194" t="n"/>
      <c r="J99" s="194" t="n"/>
      <c r="K99" s="194" t="n"/>
      <c r="L99" s="194" t="n"/>
      <c r="M99" s="194" t="n"/>
      <c r="N99" s="194" t="n"/>
      <c r="O99" s="194" t="n"/>
      <c r="P99" s="194" t="n"/>
      <c r="Q99" s="194" t="n"/>
      <c r="R99" s="194" t="n"/>
      <c r="S99" s="194" t="n"/>
      <c r="T99" s="194" t="n"/>
      <c r="U99" s="194" t="n"/>
      <c r="V99" s="194" t="n"/>
      <c r="W99" s="194" t="n"/>
      <c r="X99" s="194" t="n"/>
      <c r="Y99" s="194" t="n"/>
      <c r="Z99" s="194" t="n"/>
    </row>
    <row r="100" ht="15" customHeight="1" s="195">
      <c r="A100" s="211" t="inlineStr">
        <is>
          <t>4865</t>
        </is>
      </c>
      <c r="B100" s="268" t="inlineStr">
        <is>
          <t>LONYA CHICO</t>
        </is>
      </c>
      <c r="C100" s="269" t="inlineStr">
        <is>
          <t>LUYA</t>
        </is>
      </c>
      <c r="G100" s="194" t="n"/>
      <c r="H100" s="194" t="n"/>
      <c r="I100" s="194" t="n"/>
      <c r="J100" s="194" t="n"/>
      <c r="K100" s="194" t="n"/>
      <c r="L100" s="194" t="n"/>
      <c r="M100" s="194" t="n"/>
      <c r="N100" s="194" t="n"/>
      <c r="O100" s="194" t="n"/>
      <c r="P100" s="194" t="n"/>
      <c r="Q100" s="194" t="n"/>
      <c r="R100" s="194" t="n"/>
      <c r="S100" s="194" t="n"/>
      <c r="T100" s="194" t="n"/>
      <c r="U100" s="194" t="n"/>
      <c r="V100" s="194" t="n"/>
      <c r="W100" s="194" t="n"/>
      <c r="X100" s="194" t="n"/>
      <c r="Y100" s="194" t="n"/>
      <c r="Z100" s="194" t="n"/>
    </row>
    <row r="101" ht="15" customHeight="1" s="195">
      <c r="A101" s="218" t="inlineStr">
        <is>
          <t>4866</t>
        </is>
      </c>
      <c r="B101" s="265" t="inlineStr">
        <is>
          <t>LUYA</t>
        </is>
      </c>
      <c r="C101" s="266" t="inlineStr">
        <is>
          <t>LUYA</t>
        </is>
      </c>
      <c r="G101" s="194" t="n"/>
      <c r="H101" s="194" t="n"/>
      <c r="I101" s="194" t="n"/>
      <c r="J101" s="194" t="n"/>
      <c r="K101" s="194" t="n"/>
      <c r="L101" s="194" t="n"/>
      <c r="M101" s="194" t="n"/>
      <c r="N101" s="194" t="n"/>
      <c r="O101" s="194" t="n"/>
      <c r="P101" s="194" t="n"/>
      <c r="Q101" s="194" t="n"/>
      <c r="R101" s="194" t="n"/>
      <c r="S101" s="194" t="n"/>
      <c r="T101" s="194" t="n"/>
      <c r="U101" s="194" t="n"/>
      <c r="V101" s="194" t="n"/>
      <c r="W101" s="194" t="n"/>
      <c r="X101" s="194" t="n"/>
      <c r="Y101" s="194" t="n"/>
      <c r="Z101" s="194" t="n"/>
    </row>
    <row r="102" ht="15" customHeight="1" s="195">
      <c r="A102" s="211" t="inlineStr">
        <is>
          <t>4851</t>
        </is>
      </c>
      <c r="B102" s="268" t="inlineStr">
        <is>
          <t>LUYA VIEJO</t>
        </is>
      </c>
      <c r="C102" s="269" t="inlineStr">
        <is>
          <t>LAMUD</t>
        </is>
      </c>
      <c r="G102" s="194" t="n"/>
      <c r="H102" s="194" t="n"/>
      <c r="I102" s="194" t="n"/>
      <c r="J102" s="194" t="n"/>
      <c r="K102" s="194" t="n"/>
      <c r="L102" s="194" t="n"/>
      <c r="M102" s="194" t="n"/>
      <c r="N102" s="194" t="n"/>
      <c r="O102" s="194" t="n"/>
      <c r="P102" s="194" t="n"/>
      <c r="Q102" s="194" t="n"/>
      <c r="R102" s="194" t="n"/>
      <c r="S102" s="194" t="n"/>
      <c r="T102" s="194" t="n"/>
      <c r="U102" s="194" t="n"/>
      <c r="V102" s="194" t="n"/>
      <c r="W102" s="194" t="n"/>
      <c r="X102" s="194" t="n"/>
      <c r="Y102" s="194" t="n"/>
      <c r="Z102" s="194" t="n"/>
    </row>
    <row r="103" ht="15" customHeight="1" s="195">
      <c r="A103" s="218" t="inlineStr">
        <is>
          <t>7075</t>
        </is>
      </c>
      <c r="B103" s="265" t="inlineStr">
        <is>
          <t>LUZ DEL ORIENTE</t>
        </is>
      </c>
      <c r="C103" s="266" t="inlineStr">
        <is>
          <t>ZARUMILLA</t>
        </is>
      </c>
      <c r="G103" s="194" t="n"/>
      <c r="H103" s="194" t="n"/>
      <c r="I103" s="194" t="n"/>
      <c r="J103" s="194" t="n"/>
      <c r="K103" s="194" t="n"/>
      <c r="L103" s="194" t="n"/>
      <c r="M103" s="194" t="n"/>
      <c r="N103" s="194" t="n"/>
      <c r="O103" s="194" t="n"/>
      <c r="P103" s="194" t="n"/>
      <c r="Q103" s="194" t="n"/>
      <c r="R103" s="194" t="n"/>
      <c r="S103" s="194" t="n"/>
      <c r="T103" s="194" t="n"/>
      <c r="U103" s="194" t="n"/>
      <c r="V103" s="194" t="n"/>
      <c r="W103" s="194" t="n"/>
      <c r="X103" s="194" t="n"/>
      <c r="Y103" s="194" t="n"/>
      <c r="Z103" s="194" t="n"/>
    </row>
    <row r="104" ht="15" customHeight="1" s="195">
      <c r="A104" s="211" t="inlineStr">
        <is>
          <t>4891</t>
        </is>
      </c>
      <c r="B104" s="268" t="inlineStr">
        <is>
          <t>MAGDALENA</t>
        </is>
      </c>
      <c r="C104" s="269" t="inlineStr">
        <is>
          <t>TINGO</t>
        </is>
      </c>
      <c r="G104" s="194" t="n"/>
      <c r="H104" s="194" t="n"/>
      <c r="I104" s="194" t="n"/>
      <c r="J104" s="194" t="n"/>
      <c r="K104" s="194" t="n"/>
      <c r="L104" s="194" t="n"/>
      <c r="M104" s="194" t="n"/>
      <c r="N104" s="194" t="n"/>
      <c r="O104" s="194" t="n"/>
      <c r="P104" s="194" t="n"/>
      <c r="Q104" s="194" t="n"/>
      <c r="R104" s="194" t="n"/>
      <c r="S104" s="194" t="n"/>
      <c r="T104" s="194" t="n"/>
      <c r="U104" s="194" t="n"/>
      <c r="V104" s="194" t="n"/>
      <c r="W104" s="194" t="n"/>
      <c r="X104" s="194" t="n"/>
      <c r="Y104" s="194" t="n"/>
      <c r="Z104" s="194" t="n"/>
    </row>
    <row r="105" ht="15" customHeight="1" s="195">
      <c r="A105" s="218" t="inlineStr">
        <is>
          <t>4892</t>
        </is>
      </c>
      <c r="B105" s="265" t="inlineStr">
        <is>
          <t>MAINO</t>
        </is>
      </c>
      <c r="C105" s="266" t="inlineStr">
        <is>
          <t>TINGO</t>
        </is>
      </c>
      <c r="G105" s="194" t="n"/>
      <c r="H105" s="194" t="n"/>
      <c r="I105" s="194" t="n"/>
      <c r="J105" s="194" t="n"/>
      <c r="K105" s="194" t="n"/>
      <c r="L105" s="194" t="n"/>
      <c r="M105" s="194" t="n"/>
      <c r="N105" s="194" t="n"/>
      <c r="O105" s="194" t="n"/>
      <c r="P105" s="194" t="n"/>
      <c r="Q105" s="194" t="n"/>
      <c r="R105" s="194" t="n"/>
      <c r="S105" s="194" t="n"/>
      <c r="T105" s="194" t="n"/>
      <c r="U105" s="194" t="n"/>
      <c r="V105" s="194" t="n"/>
      <c r="W105" s="194" t="n"/>
      <c r="X105" s="194" t="n"/>
      <c r="Y105" s="194" t="n"/>
      <c r="Z105" s="194" t="n"/>
    </row>
    <row r="106" ht="15" customHeight="1" s="195">
      <c r="A106" s="211" t="inlineStr">
        <is>
          <t>4889</t>
        </is>
      </c>
      <c r="B106" s="268" t="inlineStr">
        <is>
          <t>MARAYPATA</t>
        </is>
      </c>
      <c r="C106" s="269" t="inlineStr">
        <is>
          <t>SANTO TOMAS</t>
        </is>
      </c>
      <c r="G106" s="194" t="n"/>
      <c r="H106" s="194" t="n"/>
      <c r="I106" s="194" t="n"/>
      <c r="J106" s="194" t="n"/>
      <c r="K106" s="194" t="n"/>
      <c r="L106" s="194" t="n"/>
      <c r="M106" s="194" t="n"/>
      <c r="N106" s="194" t="n"/>
      <c r="O106" s="194" t="n"/>
      <c r="P106" s="194" t="n"/>
      <c r="Q106" s="194" t="n"/>
      <c r="R106" s="194" t="n"/>
      <c r="S106" s="194" t="n"/>
      <c r="T106" s="194" t="n"/>
      <c r="U106" s="194" t="n"/>
      <c r="V106" s="194" t="n"/>
      <c r="W106" s="194" t="n"/>
      <c r="X106" s="194" t="n"/>
      <c r="Y106" s="194" t="n"/>
      <c r="Z106" s="194" t="n"/>
    </row>
    <row r="107" ht="15" customHeight="1" s="195">
      <c r="A107" s="218" t="inlineStr">
        <is>
          <t>4899</t>
        </is>
      </c>
      <c r="B107" s="265" t="inlineStr">
        <is>
          <t>MARIA</t>
        </is>
      </c>
      <c r="C107" s="266" t="inlineStr">
        <is>
          <t>MARIA</t>
        </is>
      </c>
      <c r="G107" s="194" t="n"/>
      <c r="H107" s="194" t="n"/>
      <c r="I107" s="194" t="n"/>
      <c r="J107" s="194" t="n"/>
      <c r="K107" s="194" t="n"/>
      <c r="L107" s="194" t="n"/>
      <c r="M107" s="194" t="n"/>
      <c r="N107" s="194" t="n"/>
      <c r="O107" s="194" t="n"/>
      <c r="P107" s="194" t="n"/>
      <c r="Q107" s="194" t="n"/>
      <c r="R107" s="194" t="n"/>
      <c r="S107" s="194" t="n"/>
      <c r="T107" s="194" t="n"/>
      <c r="U107" s="194" t="n"/>
      <c r="V107" s="194" t="n"/>
      <c r="W107" s="194" t="n"/>
      <c r="X107" s="194" t="n"/>
      <c r="Y107" s="194" t="n"/>
      <c r="Z107" s="194" t="n"/>
    </row>
    <row r="108" ht="15" customHeight="1" s="195">
      <c r="A108" s="211" t="inlineStr">
        <is>
          <t>4950</t>
        </is>
      </c>
      <c r="B108" s="268" t="inlineStr">
        <is>
          <t>MARIA AUXILIADORA</t>
        </is>
      </c>
      <c r="C108" s="269" t="inlineStr">
        <is>
          <t>HOSPITAL MARIA AUXILIADORA</t>
        </is>
      </c>
      <c r="G108" s="194" t="n"/>
      <c r="H108" s="194" t="n"/>
      <c r="I108" s="194" t="n"/>
      <c r="J108" s="194" t="n"/>
      <c r="K108" s="194" t="n"/>
      <c r="L108" s="194" t="n"/>
      <c r="M108" s="194" t="n"/>
      <c r="N108" s="194" t="n"/>
      <c r="O108" s="194" t="n"/>
      <c r="P108" s="194" t="n"/>
      <c r="Q108" s="194" t="n"/>
      <c r="R108" s="194" t="n"/>
      <c r="S108" s="194" t="n"/>
      <c r="T108" s="194" t="n"/>
      <c r="U108" s="194" t="n"/>
      <c r="V108" s="194" t="n"/>
      <c r="W108" s="194" t="n"/>
      <c r="X108" s="194" t="n"/>
      <c r="Y108" s="194" t="n"/>
      <c r="Z108" s="194" t="n"/>
    </row>
    <row r="109" ht="15" customHeight="1" s="195">
      <c r="A109" s="218" t="inlineStr">
        <is>
          <t>27352</t>
        </is>
      </c>
      <c r="B109" s="265" t="inlineStr">
        <is>
          <t>MARIA DOLORES QUISPE VILCHEZ</t>
        </is>
      </c>
      <c r="C109" s="266" t="inlineStr">
        <is>
          <t>CHACHAPOYAS</t>
        </is>
      </c>
      <c r="G109" s="194" t="n"/>
      <c r="H109" s="194" t="n"/>
      <c r="I109" s="194" t="n"/>
      <c r="J109" s="194" t="n"/>
      <c r="K109" s="194" t="n"/>
      <c r="L109" s="194" t="n"/>
      <c r="M109" s="194" t="n"/>
      <c r="N109" s="194" t="n"/>
      <c r="O109" s="194" t="n"/>
      <c r="P109" s="194" t="n"/>
      <c r="Q109" s="194" t="n"/>
      <c r="R109" s="194" t="n"/>
      <c r="S109" s="194" t="n"/>
      <c r="T109" s="194" t="n"/>
      <c r="U109" s="194" t="n"/>
      <c r="V109" s="194" t="n"/>
      <c r="W109" s="194" t="n"/>
      <c r="X109" s="194" t="n"/>
      <c r="Y109" s="194" t="n"/>
      <c r="Z109" s="194" t="n"/>
    </row>
    <row r="110" ht="15" customHeight="1" s="195">
      <c r="A110" s="211" t="inlineStr">
        <is>
          <t>4945</t>
        </is>
      </c>
      <c r="B110" s="268" t="inlineStr">
        <is>
          <t>MARISCAL BENAVIDES</t>
        </is>
      </c>
      <c r="C110" s="269" t="inlineStr">
        <is>
          <t>LONGAR</t>
        </is>
      </c>
      <c r="G110" s="194" t="n"/>
      <c r="H110" s="194" t="n"/>
      <c r="I110" s="194" t="n"/>
      <c r="J110" s="194" t="n"/>
      <c r="K110" s="194" t="n"/>
      <c r="L110" s="194" t="n"/>
      <c r="M110" s="194" t="n"/>
      <c r="N110" s="194" t="n"/>
      <c r="O110" s="194" t="n"/>
      <c r="P110" s="194" t="n"/>
      <c r="Q110" s="194" t="n"/>
      <c r="R110" s="194" t="n"/>
      <c r="S110" s="194" t="n"/>
      <c r="T110" s="194" t="n"/>
      <c r="U110" s="194" t="n"/>
      <c r="V110" s="194" t="n"/>
      <c r="W110" s="194" t="n"/>
      <c r="X110" s="194" t="n"/>
      <c r="Y110" s="194" t="n"/>
      <c r="Z110" s="194" t="n"/>
    </row>
    <row r="111" ht="15" customHeight="1" s="195">
      <c r="A111" s="218" t="inlineStr">
        <is>
          <t>11723</t>
        </is>
      </c>
      <c r="B111" s="265" t="inlineStr">
        <is>
          <t>MASHUYACU</t>
        </is>
      </c>
      <c r="C111" s="266" t="inlineStr">
        <is>
          <t>NUEVO CHIRIMOTO</t>
        </is>
      </c>
      <c r="G111" s="194" t="n"/>
      <c r="H111" s="194" t="n"/>
      <c r="I111" s="194" t="n"/>
      <c r="J111" s="194" t="n"/>
      <c r="K111" s="194" t="n"/>
      <c r="L111" s="194" t="n"/>
      <c r="M111" s="194" t="n"/>
      <c r="N111" s="194" t="n"/>
      <c r="O111" s="194" t="n"/>
      <c r="P111" s="194" t="n"/>
      <c r="Q111" s="194" t="n"/>
      <c r="R111" s="194" t="n"/>
      <c r="S111" s="194" t="n"/>
      <c r="T111" s="194" t="n"/>
      <c r="U111" s="194" t="n"/>
      <c r="V111" s="194" t="n"/>
      <c r="W111" s="194" t="n"/>
      <c r="X111" s="194" t="n"/>
      <c r="Y111" s="194" t="n"/>
      <c r="Z111" s="194" t="n"/>
    </row>
    <row r="112" ht="15" customHeight="1" s="195">
      <c r="A112" s="211" t="inlineStr">
        <is>
          <t>4930</t>
        </is>
      </c>
      <c r="B112" s="268" t="inlineStr">
        <is>
          <t>MATIAZA RIMACHI</t>
        </is>
      </c>
      <c r="C112" s="269" t="inlineStr">
        <is>
          <t>PEDRO RUIZ GALLO</t>
        </is>
      </c>
      <c r="G112" s="194" t="n"/>
      <c r="H112" s="194" t="n"/>
      <c r="I112" s="194" t="n"/>
      <c r="J112" s="194" t="n"/>
      <c r="K112" s="194" t="n"/>
      <c r="L112" s="194" t="n"/>
      <c r="M112" s="194" t="n"/>
      <c r="N112" s="194" t="n"/>
      <c r="O112" s="194" t="n"/>
      <c r="P112" s="194" t="n"/>
      <c r="Q112" s="194" t="n"/>
      <c r="R112" s="194" t="n"/>
      <c r="S112" s="194" t="n"/>
      <c r="T112" s="194" t="n"/>
      <c r="U112" s="194" t="n"/>
      <c r="V112" s="194" t="n"/>
      <c r="W112" s="194" t="n"/>
      <c r="X112" s="194" t="n"/>
      <c r="Y112" s="194" t="n"/>
      <c r="Z112" s="194" t="n"/>
    </row>
    <row r="113" ht="15" customHeight="1" s="195">
      <c r="A113" s="218" t="inlineStr">
        <is>
          <t>9894</t>
        </is>
      </c>
      <c r="B113" s="265" t="inlineStr">
        <is>
          <t>MEMBRILLO</t>
        </is>
      </c>
      <c r="C113" s="266" t="inlineStr">
        <is>
          <t>TINGO</t>
        </is>
      </c>
      <c r="G113" s="194" t="n"/>
      <c r="H113" s="194" t="n"/>
      <c r="I113" s="194" t="n"/>
      <c r="J113" s="194" t="n"/>
      <c r="K113" s="194" t="n"/>
      <c r="L113" s="194" t="n"/>
      <c r="M113" s="194" t="n"/>
      <c r="N113" s="194" t="n"/>
      <c r="O113" s="194" t="n"/>
      <c r="P113" s="194" t="n"/>
      <c r="Q113" s="194" t="n"/>
      <c r="R113" s="194" t="n"/>
      <c r="S113" s="194" t="n"/>
      <c r="T113" s="194" t="n"/>
      <c r="U113" s="194" t="n"/>
      <c r="V113" s="194" t="n"/>
      <c r="W113" s="194" t="n"/>
      <c r="X113" s="194" t="n"/>
      <c r="Y113" s="194" t="n"/>
      <c r="Z113" s="194" t="n"/>
    </row>
    <row r="114" ht="15" customHeight="1" s="195">
      <c r="A114" s="211" t="inlineStr">
        <is>
          <t>4894</t>
        </is>
      </c>
      <c r="B114" s="268" t="inlineStr">
        <is>
          <t>MENDAN</t>
        </is>
      </c>
      <c r="C114" s="269" t="inlineStr">
        <is>
          <t>MARIA</t>
        </is>
      </c>
      <c r="G114" s="194" t="n"/>
      <c r="H114" s="194" t="n"/>
      <c r="I114" s="194" t="n"/>
      <c r="J114" s="194" t="n"/>
      <c r="K114" s="194" t="n"/>
      <c r="L114" s="194" t="n"/>
      <c r="M114" s="194" t="n"/>
      <c r="N114" s="194" t="n"/>
      <c r="O114" s="194" t="n"/>
      <c r="P114" s="194" t="n"/>
      <c r="Q114" s="194" t="n"/>
      <c r="R114" s="194" t="n"/>
      <c r="S114" s="194" t="n"/>
      <c r="T114" s="194" t="n"/>
      <c r="U114" s="194" t="n"/>
      <c r="V114" s="194" t="n"/>
      <c r="W114" s="194" t="n"/>
      <c r="X114" s="194" t="n"/>
      <c r="Y114" s="194" t="n"/>
      <c r="Z114" s="194" t="n"/>
    </row>
    <row r="115" ht="15" customHeight="1" s="195">
      <c r="A115" s="218" t="inlineStr">
        <is>
          <t>7335</t>
        </is>
      </c>
      <c r="B115" s="265" t="inlineStr">
        <is>
          <t>MICHINA</t>
        </is>
      </c>
      <c r="C115" s="266" t="inlineStr">
        <is>
          <t>LONGAR</t>
        </is>
      </c>
      <c r="G115" s="194" t="n"/>
      <c r="H115" s="194" t="n"/>
      <c r="I115" s="194" t="n"/>
      <c r="J115" s="194" t="n"/>
      <c r="K115" s="194" t="n"/>
      <c r="L115" s="194" t="n"/>
      <c r="M115" s="194" t="n"/>
      <c r="N115" s="194" t="n"/>
      <c r="O115" s="194" t="n"/>
      <c r="P115" s="194" t="n"/>
      <c r="Q115" s="194" t="n"/>
      <c r="R115" s="194" t="n"/>
      <c r="S115" s="194" t="n"/>
      <c r="T115" s="194" t="n"/>
      <c r="U115" s="194" t="n"/>
      <c r="V115" s="194" t="n"/>
      <c r="W115" s="194" t="n"/>
      <c r="X115" s="194" t="n"/>
      <c r="Y115" s="194" t="n"/>
      <c r="Z115" s="194" t="n"/>
    </row>
    <row r="116" ht="15" customHeight="1" s="195">
      <c r="A116" s="211" t="inlineStr">
        <is>
          <t>4956</t>
        </is>
      </c>
      <c r="B116" s="268" t="inlineStr">
        <is>
          <t>MILPUC</t>
        </is>
      </c>
      <c r="C116" s="269" t="inlineStr">
        <is>
          <t>TOTORA</t>
        </is>
      </c>
      <c r="G116" s="194" t="n"/>
      <c r="H116" s="194" t="n"/>
      <c r="I116" s="194" t="n"/>
      <c r="J116" s="194" t="n"/>
      <c r="K116" s="194" t="n"/>
      <c r="L116" s="194" t="n"/>
      <c r="M116" s="194" t="n"/>
      <c r="N116" s="194" t="n"/>
      <c r="O116" s="194" t="n"/>
      <c r="P116" s="194" t="n"/>
      <c r="Q116" s="194" t="n"/>
      <c r="R116" s="194" t="n"/>
      <c r="S116" s="194" t="n"/>
      <c r="T116" s="194" t="n"/>
      <c r="U116" s="194" t="n"/>
      <c r="V116" s="194" t="n"/>
      <c r="W116" s="194" t="n"/>
      <c r="X116" s="194" t="n"/>
      <c r="Y116" s="194" t="n"/>
      <c r="Z116" s="194" t="n"/>
    </row>
    <row r="117" ht="15" customHeight="1" s="195">
      <c r="A117" s="218" t="inlineStr">
        <is>
          <t>4883</t>
        </is>
      </c>
      <c r="B117" s="265" t="inlineStr">
        <is>
          <t>MITO</t>
        </is>
      </c>
      <c r="C117" s="266" t="inlineStr">
        <is>
          <t>PIPUS</t>
        </is>
      </c>
      <c r="G117" s="194" t="n"/>
      <c r="H117" s="194" t="n"/>
      <c r="I117" s="194" t="n"/>
      <c r="J117" s="194" t="n"/>
      <c r="K117" s="194" t="n"/>
      <c r="L117" s="194" t="n"/>
      <c r="M117" s="194" t="n"/>
      <c r="N117" s="194" t="n"/>
      <c r="O117" s="194" t="n"/>
      <c r="P117" s="194" t="n"/>
      <c r="Q117" s="194" t="n"/>
      <c r="R117" s="194" t="n"/>
      <c r="S117" s="194" t="n"/>
      <c r="T117" s="194" t="n"/>
      <c r="U117" s="194" t="n"/>
      <c r="V117" s="194" t="n"/>
      <c r="W117" s="194" t="n"/>
      <c r="X117" s="194" t="n"/>
      <c r="Y117" s="194" t="n"/>
      <c r="Z117" s="194" t="n"/>
    </row>
    <row r="118" ht="15" customHeight="1" s="195">
      <c r="A118" s="211" t="inlineStr">
        <is>
          <t>4869</t>
        </is>
      </c>
      <c r="B118" s="268" t="inlineStr">
        <is>
          <t>MOLINOPAMPA</t>
        </is>
      </c>
      <c r="C118" s="269" t="inlineStr">
        <is>
          <t>MOLINOPAMPA</t>
        </is>
      </c>
      <c r="G118" s="194" t="n"/>
      <c r="H118" s="194" t="n"/>
      <c r="I118" s="194" t="n"/>
      <c r="J118" s="194" t="n"/>
      <c r="K118" s="194" t="n"/>
      <c r="L118" s="194" t="n"/>
      <c r="M118" s="194" t="n"/>
      <c r="N118" s="194" t="n"/>
      <c r="O118" s="194" t="n"/>
      <c r="P118" s="194" t="n"/>
      <c r="Q118" s="194" t="n"/>
      <c r="R118" s="194" t="n"/>
      <c r="S118" s="194" t="n"/>
      <c r="T118" s="194" t="n"/>
      <c r="U118" s="194" t="n"/>
      <c r="V118" s="194" t="n"/>
      <c r="W118" s="194" t="n"/>
      <c r="X118" s="194" t="n"/>
      <c r="Y118" s="194" t="n"/>
      <c r="Z118" s="194" t="n"/>
    </row>
    <row r="119" ht="15" customHeight="1" s="195">
      <c r="A119" s="218" t="inlineStr">
        <is>
          <t>7074</t>
        </is>
      </c>
      <c r="B119" s="265" t="inlineStr">
        <is>
          <t>MONTEALEGRE</t>
        </is>
      </c>
      <c r="C119" s="266" t="inlineStr">
        <is>
          <t>TOTORA</t>
        </is>
      </c>
      <c r="G119" s="194" t="n"/>
      <c r="H119" s="194" t="n"/>
      <c r="I119" s="194" t="n"/>
      <c r="J119" s="194" t="n"/>
      <c r="K119" s="194" t="n"/>
      <c r="L119" s="194" t="n"/>
      <c r="M119" s="194" t="n"/>
      <c r="N119" s="194" t="n"/>
      <c r="O119" s="194" t="n"/>
      <c r="P119" s="194" t="n"/>
      <c r="Q119" s="194" t="n"/>
      <c r="R119" s="194" t="n"/>
      <c r="S119" s="194" t="n"/>
      <c r="T119" s="194" t="n"/>
      <c r="U119" s="194" t="n"/>
      <c r="V119" s="194" t="n"/>
      <c r="W119" s="194" t="n"/>
      <c r="X119" s="194" t="n"/>
      <c r="Y119" s="194" t="n"/>
      <c r="Z119" s="194" t="n"/>
    </row>
    <row r="120" ht="15" customHeight="1" s="195">
      <c r="A120" s="211" t="inlineStr">
        <is>
          <t>4909</t>
        </is>
      </c>
      <c r="B120" s="268" t="inlineStr">
        <is>
          <t>MONTEVIDEO</t>
        </is>
      </c>
      <c r="C120" s="269" t="inlineStr">
        <is>
          <t>YERBABUENA</t>
        </is>
      </c>
      <c r="G120" s="194" t="n"/>
      <c r="H120" s="194" t="n"/>
      <c r="I120" s="194" t="n"/>
      <c r="J120" s="194" t="n"/>
      <c r="K120" s="194" t="n"/>
      <c r="L120" s="194" t="n"/>
      <c r="M120" s="194" t="n"/>
      <c r="N120" s="194" t="n"/>
      <c r="O120" s="194" t="n"/>
      <c r="P120" s="194" t="n"/>
      <c r="Q120" s="194" t="n"/>
      <c r="R120" s="194" t="n"/>
      <c r="S120" s="194" t="n"/>
      <c r="T120" s="194" t="n"/>
      <c r="U120" s="194" t="n"/>
      <c r="V120" s="194" t="n"/>
      <c r="W120" s="194" t="n"/>
      <c r="X120" s="194" t="n"/>
      <c r="Y120" s="194" t="n"/>
      <c r="Z120" s="194" t="n"/>
    </row>
    <row r="121" ht="15" customHeight="1" s="195">
      <c r="A121" s="218" t="inlineStr">
        <is>
          <t>4951</t>
        </is>
      </c>
      <c r="B121" s="265" t="inlineStr">
        <is>
          <t>NUEVA ESPERANZA</t>
        </is>
      </c>
      <c r="C121" s="266" t="inlineStr">
        <is>
          <t>TOTORA</t>
        </is>
      </c>
      <c r="G121" s="194" t="n"/>
      <c r="H121" s="194" t="n"/>
      <c r="I121" s="194" t="n"/>
      <c r="J121" s="194" t="n"/>
      <c r="K121" s="194" t="n"/>
      <c r="L121" s="194" t="n"/>
      <c r="M121" s="194" t="n"/>
      <c r="N121" s="194" t="n"/>
      <c r="O121" s="194" t="n"/>
      <c r="P121" s="194" t="n"/>
      <c r="Q121" s="194" t="n"/>
      <c r="R121" s="194" t="n"/>
      <c r="S121" s="194" t="n"/>
      <c r="T121" s="194" t="n"/>
      <c r="U121" s="194" t="n"/>
      <c r="V121" s="194" t="n"/>
      <c r="W121" s="194" t="n"/>
      <c r="X121" s="194" t="n"/>
      <c r="Y121" s="194" t="n"/>
      <c r="Z121" s="194" t="n"/>
    </row>
    <row r="122" ht="15" customHeight="1" s="195">
      <c r="A122" s="211" t="inlineStr">
        <is>
          <t>7076</t>
        </is>
      </c>
      <c r="B122" s="268" t="inlineStr">
        <is>
          <t>NUEVO CHACHAPOYAS</t>
        </is>
      </c>
      <c r="C122" s="269" t="inlineStr">
        <is>
          <t>ZARUMILLA</t>
        </is>
      </c>
      <c r="G122" s="194" t="n"/>
      <c r="H122" s="194" t="n"/>
      <c r="I122" s="194" t="n"/>
      <c r="J122" s="194" t="n"/>
      <c r="K122" s="194" t="n"/>
      <c r="L122" s="194" t="n"/>
      <c r="M122" s="194" t="n"/>
      <c r="N122" s="194" t="n"/>
      <c r="O122" s="194" t="n"/>
      <c r="P122" s="194" t="n"/>
      <c r="Q122" s="194" t="n"/>
      <c r="R122" s="194" t="n"/>
      <c r="S122" s="194" t="n"/>
      <c r="T122" s="194" t="n"/>
      <c r="U122" s="194" t="n"/>
      <c r="V122" s="194" t="n"/>
      <c r="W122" s="194" t="n"/>
      <c r="X122" s="194" t="n"/>
      <c r="Y122" s="194" t="n"/>
      <c r="Z122" s="194" t="n"/>
    </row>
    <row r="123" ht="15" customHeight="1" s="195">
      <c r="A123" s="218" t="inlineStr">
        <is>
          <t>4947</t>
        </is>
      </c>
      <c r="B123" s="265" t="inlineStr">
        <is>
          <t>NUEVO CHIRIMOTO</t>
        </is>
      </c>
      <c r="C123" s="266" t="inlineStr">
        <is>
          <t>NUEVO CHIRIMOTO</t>
        </is>
      </c>
      <c r="G123" s="194" t="n"/>
      <c r="H123" s="194" t="n"/>
      <c r="I123" s="194" t="n"/>
      <c r="J123" s="194" t="n"/>
      <c r="K123" s="194" t="n"/>
      <c r="L123" s="194" t="n"/>
      <c r="M123" s="194" t="n"/>
      <c r="N123" s="194" t="n"/>
      <c r="O123" s="194" t="n"/>
      <c r="P123" s="194" t="n"/>
      <c r="Q123" s="194" t="n"/>
      <c r="R123" s="194" t="n"/>
      <c r="S123" s="194" t="n"/>
      <c r="T123" s="194" t="n"/>
      <c r="U123" s="194" t="n"/>
      <c r="V123" s="194" t="n"/>
      <c r="W123" s="194" t="n"/>
      <c r="X123" s="194" t="n"/>
      <c r="Y123" s="194" t="n"/>
      <c r="Z123" s="194" t="n"/>
    </row>
    <row r="124" ht="15" customHeight="1" s="195">
      <c r="A124" s="211" t="inlineStr">
        <is>
          <t>7061</t>
        </is>
      </c>
      <c r="B124" s="268" t="inlineStr">
        <is>
          <t>NUEVO CHOTA</t>
        </is>
      </c>
      <c r="C124" s="269" t="inlineStr">
        <is>
          <t>COLLONCE</t>
        </is>
      </c>
      <c r="G124" s="194" t="n"/>
      <c r="H124" s="194" t="n"/>
      <c r="I124" s="194" t="n"/>
      <c r="J124" s="194" t="n"/>
      <c r="K124" s="194" t="n"/>
      <c r="L124" s="194" t="n"/>
      <c r="M124" s="194" t="n"/>
      <c r="N124" s="194" t="n"/>
      <c r="O124" s="194" t="n"/>
      <c r="P124" s="194" t="n"/>
      <c r="Q124" s="194" t="n"/>
      <c r="R124" s="194" t="n"/>
      <c r="S124" s="194" t="n"/>
      <c r="T124" s="194" t="n"/>
      <c r="U124" s="194" t="n"/>
      <c r="V124" s="194" t="n"/>
      <c r="W124" s="194" t="n"/>
      <c r="X124" s="194" t="n"/>
      <c r="Y124" s="194" t="n"/>
      <c r="Z124" s="194" t="n"/>
    </row>
    <row r="125" ht="15" customHeight="1" s="195">
      <c r="A125" s="218" t="inlineStr">
        <is>
          <t>34934</t>
        </is>
      </c>
      <c r="B125" s="265" t="inlineStr">
        <is>
          <t>NUEVO CUMBA</t>
        </is>
      </c>
      <c r="C125" s="266" t="inlineStr">
        <is>
          <t>PEDRO RUIZ GALLO</t>
        </is>
      </c>
      <c r="G125" s="194" t="n"/>
      <c r="H125" s="194" t="n"/>
      <c r="I125" s="194" t="n"/>
      <c r="J125" s="194" t="n"/>
      <c r="K125" s="194" t="n"/>
      <c r="L125" s="194" t="n"/>
      <c r="M125" s="194" t="n"/>
      <c r="N125" s="194" t="n"/>
      <c r="O125" s="194" t="n"/>
      <c r="P125" s="194" t="n"/>
      <c r="Q125" s="194" t="n"/>
      <c r="R125" s="194" t="n"/>
      <c r="S125" s="194" t="n"/>
      <c r="T125" s="194" t="n"/>
      <c r="U125" s="194" t="n"/>
      <c r="V125" s="194" t="n"/>
      <c r="W125" s="194" t="n"/>
      <c r="X125" s="194" t="n"/>
      <c r="Y125" s="194" t="n"/>
      <c r="Z125" s="194" t="n"/>
    </row>
    <row r="126" ht="15" customHeight="1" s="195">
      <c r="A126" s="211" t="inlineStr">
        <is>
          <t>6989</t>
        </is>
      </c>
      <c r="B126" s="268" t="inlineStr">
        <is>
          <t>NUEVO HORIZONTE</t>
        </is>
      </c>
      <c r="C126" s="269" t="inlineStr">
        <is>
          <t>HUAMBO</t>
        </is>
      </c>
      <c r="G126" s="194" t="n"/>
      <c r="H126" s="194" t="n"/>
      <c r="I126" s="194" t="n"/>
      <c r="J126" s="194" t="n"/>
      <c r="K126" s="194" t="n"/>
      <c r="L126" s="194" t="n"/>
      <c r="M126" s="194" t="n"/>
      <c r="N126" s="194" t="n"/>
      <c r="O126" s="194" t="n"/>
      <c r="P126" s="194" t="n"/>
      <c r="Q126" s="194" t="n"/>
      <c r="R126" s="194" t="n"/>
      <c r="S126" s="194" t="n"/>
      <c r="T126" s="194" t="n"/>
      <c r="U126" s="194" t="n"/>
      <c r="V126" s="194" t="n"/>
      <c r="W126" s="194" t="n"/>
      <c r="X126" s="194" t="n"/>
      <c r="Y126" s="194" t="n"/>
      <c r="Z126" s="194" t="n"/>
    </row>
    <row r="127" ht="15" customHeight="1" s="195">
      <c r="A127" s="218" t="inlineStr">
        <is>
          <t>7274</t>
        </is>
      </c>
      <c r="B127" s="265" t="inlineStr">
        <is>
          <t>NUEVO LUYA</t>
        </is>
      </c>
      <c r="C127" s="266" t="inlineStr">
        <is>
          <t>LUYA</t>
        </is>
      </c>
      <c r="G127" s="194" t="n"/>
      <c r="H127" s="194" t="n"/>
      <c r="I127" s="194" t="n"/>
      <c r="J127" s="194" t="n"/>
      <c r="K127" s="194" t="n"/>
      <c r="L127" s="194" t="n"/>
      <c r="M127" s="194" t="n"/>
      <c r="N127" s="194" t="n"/>
      <c r="O127" s="194" t="n"/>
      <c r="P127" s="194" t="n"/>
      <c r="Q127" s="194" t="n"/>
      <c r="R127" s="194" t="n"/>
      <c r="S127" s="194" t="n"/>
      <c r="T127" s="194" t="n"/>
      <c r="U127" s="194" t="n"/>
      <c r="V127" s="194" t="n"/>
      <c r="W127" s="194" t="n"/>
      <c r="X127" s="194" t="n"/>
      <c r="Y127" s="194" t="n"/>
      <c r="Z127" s="194" t="n"/>
    </row>
    <row r="128" ht="15" customHeight="1" s="195">
      <c r="A128" s="211" t="inlineStr">
        <is>
          <t>7421</t>
        </is>
      </c>
      <c r="B128" s="268" t="inlineStr">
        <is>
          <t>NUEVO OLMAL</t>
        </is>
      </c>
      <c r="C128" s="269" t="inlineStr">
        <is>
          <t>PIPUS</t>
        </is>
      </c>
      <c r="G128" s="194" t="n"/>
      <c r="H128" s="194" t="n"/>
      <c r="I128" s="194" t="n"/>
      <c r="J128" s="194" t="n"/>
      <c r="K128" s="194" t="n"/>
      <c r="L128" s="194" t="n"/>
      <c r="M128" s="194" t="n"/>
      <c r="N128" s="194" t="n"/>
      <c r="O128" s="194" t="n"/>
      <c r="P128" s="194" t="n"/>
      <c r="Q128" s="194" t="n"/>
      <c r="R128" s="194" t="n"/>
      <c r="S128" s="194" t="n"/>
      <c r="T128" s="194" t="n"/>
      <c r="U128" s="194" t="n"/>
      <c r="V128" s="194" t="n"/>
      <c r="W128" s="194" t="n"/>
      <c r="X128" s="194" t="n"/>
      <c r="Y128" s="194" t="n"/>
      <c r="Z128" s="194" t="n"/>
    </row>
    <row r="129" ht="15" customHeight="1" s="195">
      <c r="A129" s="218" t="inlineStr">
        <is>
          <t>11169</t>
        </is>
      </c>
      <c r="B129" s="265" t="inlineStr">
        <is>
          <t>NUEVO OMIA</t>
        </is>
      </c>
      <c r="C129" s="266" t="inlineStr">
        <is>
          <t>POMACOCHAS</t>
        </is>
      </c>
      <c r="G129" s="194" t="n"/>
      <c r="H129" s="194" t="n"/>
      <c r="I129" s="194" t="n"/>
      <c r="J129" s="194" t="n"/>
      <c r="K129" s="194" t="n"/>
      <c r="L129" s="194" t="n"/>
      <c r="M129" s="194" t="n"/>
      <c r="N129" s="194" t="n"/>
      <c r="O129" s="194" t="n"/>
      <c r="P129" s="194" t="n"/>
      <c r="Q129" s="194" t="n"/>
      <c r="R129" s="194" t="n"/>
      <c r="S129" s="194" t="n"/>
      <c r="T129" s="194" t="n"/>
      <c r="U129" s="194" t="n"/>
      <c r="V129" s="194" t="n"/>
      <c r="W129" s="194" t="n"/>
      <c r="X129" s="194" t="n"/>
      <c r="Y129" s="194" t="n"/>
      <c r="Z129" s="194" t="n"/>
    </row>
    <row r="130" ht="15" customHeight="1" s="195">
      <c r="A130" s="211" t="inlineStr">
        <is>
          <t>4876</t>
        </is>
      </c>
      <c r="B130" s="268" t="inlineStr">
        <is>
          <t>OCALLI</t>
        </is>
      </c>
      <c r="C130" s="269" t="inlineStr">
        <is>
          <t>OCALLI</t>
        </is>
      </c>
      <c r="G130" s="194" t="n"/>
      <c r="H130" s="194" t="n"/>
      <c r="I130" s="194" t="n"/>
      <c r="J130" s="194" t="n"/>
      <c r="K130" s="194" t="n"/>
      <c r="L130" s="194" t="n"/>
      <c r="M130" s="194" t="n"/>
      <c r="N130" s="194" t="n"/>
      <c r="O130" s="194" t="n"/>
      <c r="P130" s="194" t="n"/>
      <c r="Q130" s="194" t="n"/>
      <c r="R130" s="194" t="n"/>
      <c r="S130" s="194" t="n"/>
      <c r="T130" s="194" t="n"/>
      <c r="U130" s="194" t="n"/>
      <c r="V130" s="194" t="n"/>
      <c r="W130" s="194" t="n"/>
      <c r="X130" s="194" t="n"/>
      <c r="Y130" s="194" t="n"/>
      <c r="Z130" s="194" t="n"/>
    </row>
    <row r="131" ht="15" customHeight="1" s="195">
      <c r="A131" s="218" t="inlineStr">
        <is>
          <t>4871</t>
        </is>
      </c>
      <c r="B131" s="265" t="inlineStr">
        <is>
          <t>OLLEROS</t>
        </is>
      </c>
      <c r="C131" s="266" t="inlineStr">
        <is>
          <t>MOLINOPAMPA</t>
        </is>
      </c>
      <c r="G131" s="194" t="n"/>
      <c r="H131" s="194" t="n"/>
      <c r="I131" s="194" t="n"/>
      <c r="J131" s="194" t="n"/>
      <c r="K131" s="194" t="n"/>
      <c r="L131" s="194" t="n"/>
      <c r="M131" s="194" t="n"/>
      <c r="N131" s="194" t="n"/>
      <c r="O131" s="194" t="n"/>
      <c r="P131" s="194" t="n"/>
      <c r="Q131" s="194" t="n"/>
      <c r="R131" s="194" t="n"/>
      <c r="S131" s="194" t="n"/>
      <c r="T131" s="194" t="n"/>
      <c r="U131" s="194" t="n"/>
      <c r="V131" s="194" t="n"/>
      <c r="W131" s="194" t="n"/>
      <c r="X131" s="194" t="n"/>
      <c r="Y131" s="194" t="n"/>
      <c r="Z131" s="194" t="n"/>
    </row>
    <row r="132" ht="15" customHeight="1" s="195">
      <c r="A132" s="211" t="inlineStr">
        <is>
          <t>4946</t>
        </is>
      </c>
      <c r="B132" s="268" t="inlineStr">
        <is>
          <t>OMIA</t>
        </is>
      </c>
      <c r="C132" s="269" t="inlineStr">
        <is>
          <t>OMIA</t>
        </is>
      </c>
      <c r="G132" s="194" t="n"/>
      <c r="H132" s="194" t="n"/>
      <c r="I132" s="194" t="n"/>
      <c r="J132" s="194" t="n"/>
      <c r="K132" s="194" t="n"/>
      <c r="L132" s="194" t="n"/>
      <c r="M132" s="194" t="n"/>
      <c r="N132" s="194" t="n"/>
      <c r="O132" s="194" t="n"/>
      <c r="P132" s="194" t="n"/>
      <c r="Q132" s="194" t="n"/>
      <c r="R132" s="194" t="n"/>
      <c r="S132" s="194" t="n"/>
      <c r="T132" s="194" t="n"/>
      <c r="U132" s="194" t="n"/>
      <c r="V132" s="194" t="n"/>
      <c r="W132" s="194" t="n"/>
      <c r="X132" s="194" t="n"/>
      <c r="Y132" s="194" t="n"/>
      <c r="Z132" s="194" t="n"/>
    </row>
    <row r="133" ht="15" customHeight="1" s="195">
      <c r="A133" s="218" t="inlineStr">
        <is>
          <t>7282</t>
        </is>
      </c>
      <c r="B133" s="265" t="inlineStr">
        <is>
          <t>OQUISH</t>
        </is>
      </c>
      <c r="C133" s="266" t="inlineStr">
        <is>
          <t>LONGAR</t>
        </is>
      </c>
      <c r="G133" s="194" t="n"/>
      <c r="H133" s="194" t="n"/>
      <c r="I133" s="194" t="n"/>
      <c r="J133" s="194" t="n"/>
      <c r="K133" s="194" t="n"/>
      <c r="L133" s="194" t="n"/>
      <c r="M133" s="194" t="n"/>
      <c r="N133" s="194" t="n"/>
      <c r="O133" s="194" t="n"/>
      <c r="P133" s="194" t="n"/>
      <c r="Q133" s="194" t="n"/>
      <c r="R133" s="194" t="n"/>
      <c r="S133" s="194" t="n"/>
      <c r="T133" s="194" t="n"/>
      <c r="U133" s="194" t="n"/>
      <c r="V133" s="194" t="n"/>
      <c r="W133" s="194" t="n"/>
      <c r="X133" s="194" t="n"/>
      <c r="Y133" s="194" t="n"/>
      <c r="Z133" s="194" t="n"/>
    </row>
    <row r="134" ht="15" customHeight="1" s="195">
      <c r="A134" s="211" t="inlineStr">
        <is>
          <t>4853</t>
        </is>
      </c>
      <c r="B134" s="268" t="inlineStr">
        <is>
          <t>PACLAS</t>
        </is>
      </c>
      <c r="C134" s="269" t="inlineStr">
        <is>
          <t>LAMUD</t>
        </is>
      </c>
      <c r="G134" s="194" t="n"/>
      <c r="H134" s="194" t="n"/>
      <c r="I134" s="194" t="n"/>
      <c r="J134" s="194" t="n"/>
      <c r="K134" s="194" t="n"/>
      <c r="L134" s="194" t="n"/>
      <c r="M134" s="194" t="n"/>
      <c r="N134" s="194" t="n"/>
      <c r="O134" s="194" t="n"/>
      <c r="P134" s="194" t="n"/>
      <c r="Q134" s="194" t="n"/>
      <c r="R134" s="194" t="n"/>
      <c r="S134" s="194" t="n"/>
      <c r="T134" s="194" t="n"/>
      <c r="U134" s="194" t="n"/>
      <c r="V134" s="194" t="n"/>
      <c r="W134" s="194" t="n"/>
      <c r="X134" s="194" t="n"/>
      <c r="Y134" s="194" t="n"/>
      <c r="Z134" s="194" t="n"/>
    </row>
    <row r="135" ht="15" customHeight="1" s="195">
      <c r="A135" s="218" t="inlineStr">
        <is>
          <t>14169</t>
        </is>
      </c>
      <c r="B135" s="265" t="inlineStr">
        <is>
          <t>PAUJIL</t>
        </is>
      </c>
      <c r="C135" s="266" t="inlineStr">
        <is>
          <t>NUEVO CHIRIMOTO</t>
        </is>
      </c>
      <c r="G135" s="194" t="n"/>
      <c r="H135" s="194" t="n"/>
      <c r="I135" s="194" t="n"/>
      <c r="J135" s="194" t="n"/>
      <c r="K135" s="194" t="n"/>
      <c r="L135" s="194" t="n"/>
      <c r="M135" s="194" t="n"/>
      <c r="N135" s="194" t="n"/>
      <c r="O135" s="194" t="n"/>
      <c r="P135" s="194" t="n"/>
      <c r="Q135" s="194" t="n"/>
      <c r="R135" s="194" t="n"/>
      <c r="S135" s="194" t="n"/>
      <c r="T135" s="194" t="n"/>
      <c r="U135" s="194" t="n"/>
      <c r="V135" s="194" t="n"/>
      <c r="W135" s="194" t="n"/>
      <c r="X135" s="194" t="n"/>
      <c r="Y135" s="194" t="n"/>
      <c r="Z135" s="194" t="n"/>
    </row>
    <row r="136" ht="15" customHeight="1" s="195">
      <c r="A136" s="211" t="inlineStr">
        <is>
          <t>7037</t>
        </is>
      </c>
      <c r="B136" s="268" t="inlineStr">
        <is>
          <t>PEDRO CASTRO ALVA</t>
        </is>
      </c>
      <c r="C136" s="269" t="inlineStr">
        <is>
          <t>CHACHAPOYAS</t>
        </is>
      </c>
      <c r="G136" s="194" t="n"/>
      <c r="H136" s="194" t="n"/>
      <c r="I136" s="194" t="n"/>
      <c r="J136" s="194" t="n"/>
      <c r="K136" s="194" t="n"/>
      <c r="L136" s="194" t="n"/>
      <c r="M136" s="194" t="n"/>
      <c r="N136" s="194" t="n"/>
      <c r="O136" s="194" t="n"/>
      <c r="P136" s="194" t="n"/>
      <c r="Q136" s="194" t="n"/>
      <c r="R136" s="194" t="n"/>
      <c r="S136" s="194" t="n"/>
      <c r="T136" s="194" t="n"/>
      <c r="U136" s="194" t="n"/>
      <c r="V136" s="194" t="n"/>
      <c r="W136" s="194" t="n"/>
      <c r="X136" s="194" t="n"/>
      <c r="Y136" s="194" t="n"/>
      <c r="Z136" s="194" t="n"/>
    </row>
    <row r="137" ht="15" customHeight="1" s="195">
      <c r="A137" s="218" t="inlineStr">
        <is>
          <t>4922</t>
        </is>
      </c>
      <c r="B137" s="265" t="inlineStr">
        <is>
          <t>PEDRO RUIZ GALLO</t>
        </is>
      </c>
      <c r="C137" s="266" t="inlineStr">
        <is>
          <t>PEDRO RUIZ GALLO</t>
        </is>
      </c>
      <c r="G137" s="194" t="n"/>
      <c r="H137" s="194" t="n"/>
      <c r="I137" s="194" t="n"/>
      <c r="J137" s="194" t="n"/>
      <c r="K137" s="194" t="n"/>
      <c r="L137" s="194" t="n"/>
      <c r="M137" s="194" t="n"/>
      <c r="N137" s="194" t="n"/>
      <c r="O137" s="194" t="n"/>
      <c r="P137" s="194" t="n"/>
      <c r="Q137" s="194" t="n"/>
      <c r="R137" s="194" t="n"/>
      <c r="S137" s="194" t="n"/>
      <c r="T137" s="194" t="n"/>
      <c r="U137" s="194" t="n"/>
      <c r="V137" s="194" t="n"/>
      <c r="W137" s="194" t="n"/>
      <c r="X137" s="194" t="n"/>
      <c r="Y137" s="194" t="n"/>
      <c r="Z137" s="194" t="n"/>
    </row>
    <row r="138" ht="15" customHeight="1" s="195">
      <c r="A138" s="211" t="inlineStr">
        <is>
          <t>7280</t>
        </is>
      </c>
      <c r="B138" s="268" t="inlineStr">
        <is>
          <t>PENGOTE</t>
        </is>
      </c>
      <c r="C138" s="269" t="inlineStr">
        <is>
          <t>YERBABUENA</t>
        </is>
      </c>
      <c r="G138" s="194" t="n"/>
      <c r="H138" s="194" t="n"/>
      <c r="I138" s="194" t="n"/>
      <c r="J138" s="194" t="n"/>
      <c r="K138" s="194" t="n"/>
      <c r="L138" s="194" t="n"/>
      <c r="M138" s="194" t="n"/>
      <c r="N138" s="194" t="n"/>
      <c r="O138" s="194" t="n"/>
      <c r="P138" s="194" t="n"/>
      <c r="Q138" s="194" t="n"/>
      <c r="R138" s="194" t="n"/>
      <c r="S138" s="194" t="n"/>
      <c r="T138" s="194" t="n"/>
      <c r="U138" s="194" t="n"/>
      <c r="V138" s="194" t="n"/>
      <c r="W138" s="194" t="n"/>
      <c r="X138" s="194" t="n"/>
      <c r="Y138" s="194" t="n"/>
      <c r="Z138" s="194" t="n"/>
    </row>
    <row r="139" ht="15" customHeight="1" s="195">
      <c r="A139" s="218" t="inlineStr">
        <is>
          <t>7056</t>
        </is>
      </c>
      <c r="B139" s="265" t="inlineStr">
        <is>
          <t>PERLA DE IMAZA</t>
        </is>
      </c>
      <c r="C139" s="266" t="inlineStr">
        <is>
          <t>POMACOCHAS</t>
        </is>
      </c>
      <c r="G139" s="194" t="n"/>
      <c r="H139" s="194" t="n"/>
      <c r="I139" s="194" t="n"/>
      <c r="J139" s="194" t="n"/>
      <c r="K139" s="194" t="n"/>
      <c r="L139" s="194" t="n"/>
      <c r="M139" s="194" t="n"/>
      <c r="N139" s="194" t="n"/>
      <c r="O139" s="194" t="n"/>
      <c r="P139" s="194" t="n"/>
      <c r="Q139" s="194" t="n"/>
      <c r="R139" s="194" t="n"/>
      <c r="S139" s="194" t="n"/>
      <c r="T139" s="194" t="n"/>
      <c r="U139" s="194" t="n"/>
      <c r="V139" s="194" t="n"/>
      <c r="W139" s="194" t="n"/>
      <c r="X139" s="194" t="n"/>
      <c r="Y139" s="194" t="n"/>
      <c r="Z139" s="194" t="n"/>
    </row>
    <row r="140" ht="15" customHeight="1" s="195">
      <c r="A140" s="211" t="inlineStr">
        <is>
          <t>4881</t>
        </is>
      </c>
      <c r="B140" s="268" t="inlineStr">
        <is>
          <t>PIPUS</t>
        </is>
      </c>
      <c r="C140" s="269" t="inlineStr">
        <is>
          <t>PIPUS</t>
        </is>
      </c>
      <c r="G140" s="194" t="n"/>
      <c r="H140" s="194" t="n"/>
      <c r="I140" s="194" t="n"/>
      <c r="J140" s="194" t="n"/>
      <c r="K140" s="194" t="n"/>
      <c r="L140" s="194" t="n"/>
      <c r="M140" s="194" t="n"/>
      <c r="N140" s="194" t="n"/>
      <c r="O140" s="194" t="n"/>
      <c r="P140" s="194" t="n"/>
      <c r="Q140" s="194" t="n"/>
      <c r="R140" s="194" t="n"/>
      <c r="S140" s="194" t="n"/>
      <c r="T140" s="194" t="n"/>
      <c r="U140" s="194" t="n"/>
      <c r="V140" s="194" t="n"/>
      <c r="W140" s="194" t="n"/>
      <c r="X140" s="194" t="n"/>
      <c r="Y140" s="194" t="n"/>
      <c r="Z140" s="194" t="n"/>
    </row>
    <row r="141" ht="15" customHeight="1" s="195">
      <c r="A141" s="218" t="inlineStr">
        <is>
          <t>4846</t>
        </is>
      </c>
      <c r="B141" s="265" t="inlineStr">
        <is>
          <t>PIRCAPAMPA</t>
        </is>
      </c>
      <c r="C141" s="266" t="inlineStr">
        <is>
          <t>TINGO</t>
        </is>
      </c>
      <c r="G141" s="194" t="n"/>
      <c r="H141" s="194" t="n"/>
      <c r="I141" s="194" t="n"/>
      <c r="J141" s="194" t="n"/>
      <c r="K141" s="194" t="n"/>
      <c r="L141" s="194" t="n"/>
      <c r="M141" s="194" t="n"/>
      <c r="N141" s="194" t="n"/>
      <c r="O141" s="194" t="n"/>
      <c r="P141" s="194" t="n"/>
      <c r="Q141" s="194" t="n"/>
      <c r="R141" s="194" t="n"/>
      <c r="S141" s="194" t="n"/>
      <c r="T141" s="194" t="n"/>
      <c r="U141" s="194" t="n"/>
      <c r="V141" s="194" t="n"/>
      <c r="W141" s="194" t="n"/>
      <c r="X141" s="194" t="n"/>
      <c r="Y141" s="194" t="n"/>
      <c r="Z141" s="194" t="n"/>
    </row>
    <row r="142" ht="15" customHeight="1" s="195">
      <c r="A142" s="211" t="inlineStr">
        <is>
          <t>4902</t>
        </is>
      </c>
      <c r="B142" s="268" t="inlineStr">
        <is>
          <t>PISUQUIA</t>
        </is>
      </c>
      <c r="C142" s="269" t="inlineStr">
        <is>
          <t>TINGO</t>
        </is>
      </c>
      <c r="G142" s="194" t="n"/>
      <c r="H142" s="194" t="n"/>
      <c r="I142" s="194" t="n"/>
      <c r="J142" s="194" t="n"/>
      <c r="K142" s="194" t="n"/>
      <c r="L142" s="194" t="n"/>
      <c r="M142" s="194" t="n"/>
      <c r="N142" s="194" t="n"/>
      <c r="O142" s="194" t="n"/>
      <c r="P142" s="194" t="n"/>
      <c r="Q142" s="194" t="n"/>
      <c r="R142" s="194" t="n"/>
      <c r="S142" s="194" t="n"/>
      <c r="T142" s="194" t="n"/>
      <c r="U142" s="194" t="n"/>
      <c r="V142" s="194" t="n"/>
      <c r="W142" s="194" t="n"/>
      <c r="X142" s="194" t="n"/>
      <c r="Y142" s="194" t="n"/>
      <c r="Z142" s="194" t="n"/>
    </row>
    <row r="143" ht="15" customHeight="1" s="195">
      <c r="A143" s="218" t="inlineStr">
        <is>
          <t>9130</t>
        </is>
      </c>
      <c r="B143" s="265" t="inlineStr">
        <is>
          <t>PLAYA JUMETH</t>
        </is>
      </c>
      <c r="C143" s="266" t="inlineStr">
        <is>
          <t>OCALLI</t>
        </is>
      </c>
      <c r="G143" s="194" t="n"/>
      <c r="H143" s="194" t="n"/>
      <c r="I143" s="194" t="n"/>
      <c r="J143" s="194" t="n"/>
      <c r="K143" s="194" t="n"/>
      <c r="L143" s="194" t="n"/>
      <c r="M143" s="194" t="n"/>
      <c r="N143" s="194" t="n"/>
      <c r="O143" s="194" t="n"/>
      <c r="P143" s="194" t="n"/>
      <c r="Q143" s="194" t="n"/>
      <c r="R143" s="194" t="n"/>
      <c r="S143" s="194" t="n"/>
      <c r="T143" s="194" t="n"/>
      <c r="U143" s="194" t="n"/>
      <c r="V143" s="194" t="n"/>
      <c r="W143" s="194" t="n"/>
      <c r="X143" s="194" t="n"/>
      <c r="Y143" s="194" t="n"/>
      <c r="Z143" s="194" t="n"/>
    </row>
    <row r="144" ht="15" customHeight="1" s="195">
      <c r="A144" s="211" t="inlineStr">
        <is>
          <t>4861</t>
        </is>
      </c>
      <c r="B144" s="268" t="inlineStr">
        <is>
          <t>PLAZAPAMPA</t>
        </is>
      </c>
      <c r="C144" s="269" t="inlineStr">
        <is>
          <t>LEIMEBAMBA</t>
        </is>
      </c>
      <c r="G144" s="194" t="n"/>
      <c r="H144" s="194" t="n"/>
      <c r="I144" s="194" t="n"/>
      <c r="J144" s="194" t="n"/>
      <c r="K144" s="194" t="n"/>
      <c r="L144" s="194" t="n"/>
      <c r="M144" s="194" t="n"/>
      <c r="N144" s="194" t="n"/>
      <c r="O144" s="194" t="n"/>
      <c r="P144" s="194" t="n"/>
      <c r="Q144" s="194" t="n"/>
      <c r="R144" s="194" t="n"/>
      <c r="S144" s="194" t="n"/>
      <c r="T144" s="194" t="n"/>
      <c r="U144" s="194" t="n"/>
      <c r="V144" s="194" t="n"/>
      <c r="W144" s="194" t="n"/>
      <c r="X144" s="194" t="n"/>
      <c r="Y144" s="194" t="n"/>
      <c r="Z144" s="194" t="n"/>
    </row>
    <row r="145" ht="15" customHeight="1" s="195">
      <c r="A145" s="218" t="inlineStr">
        <is>
          <t>4932</t>
        </is>
      </c>
      <c r="B145" s="265" t="inlineStr">
        <is>
          <t>POMACOCHAS</t>
        </is>
      </c>
      <c r="C145" s="266" t="inlineStr">
        <is>
          <t>POMACOCHAS</t>
        </is>
      </c>
      <c r="G145" s="194" t="n"/>
      <c r="H145" s="194" t="n"/>
      <c r="I145" s="194" t="n"/>
      <c r="J145" s="194" t="n"/>
      <c r="K145" s="194" t="n"/>
      <c r="L145" s="194" t="n"/>
      <c r="M145" s="194" t="n"/>
      <c r="N145" s="194" t="n"/>
      <c r="O145" s="194" t="n"/>
      <c r="P145" s="194" t="n"/>
      <c r="Q145" s="194" t="n"/>
      <c r="R145" s="194" t="n"/>
      <c r="S145" s="194" t="n"/>
      <c r="T145" s="194" t="n"/>
      <c r="U145" s="194" t="n"/>
      <c r="V145" s="194" t="n"/>
      <c r="W145" s="194" t="n"/>
      <c r="X145" s="194" t="n"/>
      <c r="Y145" s="194" t="n"/>
      <c r="Z145" s="194" t="n"/>
    </row>
    <row r="146" ht="15" customHeight="1" s="195">
      <c r="A146" s="211" t="inlineStr">
        <is>
          <t>4896</t>
        </is>
      </c>
      <c r="B146" s="268" t="inlineStr">
        <is>
          <t>PONAYA</t>
        </is>
      </c>
      <c r="C146" s="269" t="inlineStr">
        <is>
          <t>CHACHAPOYAS</t>
        </is>
      </c>
      <c r="G146" s="194" t="n"/>
      <c r="H146" s="194" t="n"/>
      <c r="I146" s="194" t="n"/>
      <c r="J146" s="194" t="n"/>
      <c r="K146" s="194" t="n"/>
      <c r="L146" s="194" t="n"/>
      <c r="M146" s="194" t="n"/>
      <c r="N146" s="194" t="n"/>
      <c r="O146" s="194" t="n"/>
      <c r="P146" s="194" t="n"/>
      <c r="Q146" s="194" t="n"/>
      <c r="R146" s="194" t="n"/>
      <c r="S146" s="194" t="n"/>
      <c r="T146" s="194" t="n"/>
      <c r="U146" s="194" t="n"/>
      <c r="V146" s="194" t="n"/>
      <c r="W146" s="194" t="n"/>
      <c r="X146" s="194" t="n"/>
      <c r="Y146" s="194" t="n"/>
      <c r="Z146" s="194" t="n"/>
    </row>
    <row r="147" ht="15" customHeight="1" s="195">
      <c r="A147" s="218" t="inlineStr">
        <is>
          <t>4936</t>
        </is>
      </c>
      <c r="B147" s="265" t="inlineStr">
        <is>
          <t>PROGRESO</t>
        </is>
      </c>
      <c r="C147" s="266" t="inlineStr">
        <is>
          <t>POMACOCHAS</t>
        </is>
      </c>
      <c r="G147" s="194" t="n"/>
      <c r="H147" s="194" t="n"/>
      <c r="I147" s="194" t="n"/>
      <c r="J147" s="194" t="n"/>
      <c r="K147" s="194" t="n"/>
      <c r="L147" s="194" t="n"/>
      <c r="M147" s="194" t="n"/>
      <c r="N147" s="194" t="n"/>
      <c r="O147" s="194" t="n"/>
      <c r="P147" s="194" t="n"/>
      <c r="Q147" s="194" t="n"/>
      <c r="R147" s="194" t="n"/>
      <c r="S147" s="194" t="n"/>
      <c r="T147" s="194" t="n"/>
      <c r="U147" s="194" t="n"/>
      <c r="V147" s="194" t="n"/>
      <c r="W147" s="194" t="n"/>
      <c r="X147" s="194" t="n"/>
      <c r="Y147" s="194" t="n"/>
      <c r="Z147" s="194" t="n"/>
    </row>
    <row r="148" ht="15" customHeight="1" s="195">
      <c r="A148" s="211" t="inlineStr">
        <is>
          <t>4849</t>
        </is>
      </c>
      <c r="B148" s="268" t="inlineStr">
        <is>
          <t>PROVIDENCIA</t>
        </is>
      </c>
      <c r="C148" s="269" t="inlineStr">
        <is>
          <t>COLLONCE</t>
        </is>
      </c>
      <c r="G148" s="194" t="n"/>
      <c r="H148" s="194" t="n"/>
      <c r="I148" s="194" t="n"/>
      <c r="J148" s="194" t="n"/>
      <c r="K148" s="194" t="n"/>
      <c r="L148" s="194" t="n"/>
      <c r="M148" s="194" t="n"/>
      <c r="N148" s="194" t="n"/>
      <c r="O148" s="194" t="n"/>
      <c r="P148" s="194" t="n"/>
      <c r="Q148" s="194" t="n"/>
      <c r="R148" s="194" t="n"/>
      <c r="S148" s="194" t="n"/>
      <c r="T148" s="194" t="n"/>
      <c r="U148" s="194" t="n"/>
      <c r="V148" s="194" t="n"/>
      <c r="W148" s="194" t="n"/>
      <c r="X148" s="194" t="n"/>
      <c r="Y148" s="194" t="n"/>
      <c r="Z148" s="194" t="n"/>
    </row>
    <row r="149" ht="15" customHeight="1" s="195">
      <c r="A149" s="218" t="inlineStr">
        <is>
          <t>9671</t>
        </is>
      </c>
      <c r="B149" s="265" t="inlineStr">
        <is>
          <t>PUEBLO NUEVO</t>
        </is>
      </c>
      <c r="C149" s="266" t="inlineStr">
        <is>
          <t>TINGO</t>
        </is>
      </c>
      <c r="G149" s="194" t="n"/>
      <c r="H149" s="194" t="n"/>
      <c r="I149" s="194" t="n"/>
      <c r="J149" s="194" t="n"/>
      <c r="K149" s="194" t="n"/>
      <c r="L149" s="194" t="n"/>
      <c r="M149" s="194" t="n"/>
      <c r="N149" s="194" t="n"/>
      <c r="O149" s="194" t="n"/>
      <c r="P149" s="194" t="n"/>
      <c r="Q149" s="194" t="n"/>
      <c r="R149" s="194" t="n"/>
      <c r="S149" s="194" t="n"/>
      <c r="T149" s="194" t="n"/>
      <c r="U149" s="194" t="n"/>
      <c r="V149" s="194" t="n"/>
      <c r="W149" s="194" t="n"/>
      <c r="X149" s="194" t="n"/>
      <c r="Y149" s="194" t="n"/>
      <c r="Z149" s="194" t="n"/>
    </row>
    <row r="150" ht="15" customHeight="1" s="195">
      <c r="A150" s="211" t="inlineStr">
        <is>
          <t>7069</t>
        </is>
      </c>
      <c r="B150" s="268" t="inlineStr">
        <is>
          <t>QUELUCAS</t>
        </is>
      </c>
      <c r="C150" s="269" t="inlineStr">
        <is>
          <t>YERBABUENA</t>
        </is>
      </c>
      <c r="G150" s="194" t="n"/>
      <c r="H150" s="194" t="n"/>
      <c r="I150" s="194" t="n"/>
      <c r="J150" s="194" t="n"/>
      <c r="K150" s="194" t="n"/>
      <c r="L150" s="194" t="n"/>
      <c r="M150" s="194" t="n"/>
      <c r="N150" s="194" t="n"/>
      <c r="O150" s="194" t="n"/>
      <c r="P150" s="194" t="n"/>
      <c r="Q150" s="194" t="n"/>
      <c r="R150" s="194" t="n"/>
      <c r="S150" s="194" t="n"/>
      <c r="T150" s="194" t="n"/>
      <c r="U150" s="194" t="n"/>
      <c r="V150" s="194" t="n"/>
      <c r="W150" s="194" t="n"/>
      <c r="X150" s="194" t="n"/>
      <c r="Y150" s="194" t="n"/>
      <c r="Z150" s="194" t="n"/>
    </row>
    <row r="151" ht="15" customHeight="1" s="195">
      <c r="A151" s="218" t="inlineStr">
        <is>
          <t>6987</t>
        </is>
      </c>
      <c r="B151" s="265" t="inlineStr">
        <is>
          <t>QUILLILLIC</t>
        </is>
      </c>
      <c r="C151" s="266" t="inlineStr">
        <is>
          <t>CHACHAPOYAS</t>
        </is>
      </c>
      <c r="G151" s="194" t="n"/>
      <c r="H151" s="194" t="n"/>
      <c r="I151" s="194" t="n"/>
      <c r="J151" s="194" t="n"/>
      <c r="K151" s="194" t="n"/>
      <c r="L151" s="194" t="n"/>
      <c r="M151" s="194" t="n"/>
      <c r="N151" s="194" t="n"/>
      <c r="O151" s="194" t="n"/>
      <c r="P151" s="194" t="n"/>
      <c r="Q151" s="194" t="n"/>
      <c r="R151" s="194" t="n"/>
      <c r="S151" s="194" t="n"/>
      <c r="T151" s="194" t="n"/>
      <c r="U151" s="194" t="n"/>
      <c r="V151" s="194" t="n"/>
      <c r="W151" s="194" t="n"/>
      <c r="X151" s="194" t="n"/>
      <c r="Y151" s="194" t="n"/>
      <c r="Z151" s="194" t="n"/>
    </row>
    <row r="152" ht="15" customHeight="1" s="195">
      <c r="A152" s="211" t="inlineStr">
        <is>
          <t>4906</t>
        </is>
      </c>
      <c r="B152" s="268" t="inlineStr">
        <is>
          <t>QUILLUNYA</t>
        </is>
      </c>
      <c r="C152" s="269" t="inlineStr">
        <is>
          <t>YERBABUENA</t>
        </is>
      </c>
      <c r="G152" s="194" t="n"/>
      <c r="H152" s="194" t="n"/>
      <c r="I152" s="194" t="n"/>
      <c r="J152" s="194" t="n"/>
      <c r="K152" s="194" t="n"/>
      <c r="L152" s="194" t="n"/>
      <c r="M152" s="194" t="n"/>
      <c r="N152" s="194" t="n"/>
      <c r="O152" s="194" t="n"/>
      <c r="P152" s="194" t="n"/>
      <c r="Q152" s="194" t="n"/>
      <c r="R152" s="194" t="n"/>
      <c r="S152" s="194" t="n"/>
      <c r="T152" s="194" t="n"/>
      <c r="U152" s="194" t="n"/>
      <c r="V152" s="194" t="n"/>
      <c r="W152" s="194" t="n"/>
      <c r="X152" s="194" t="n"/>
      <c r="Y152" s="194" t="n"/>
      <c r="Z152" s="194" t="n"/>
    </row>
    <row r="153" ht="15" customHeight="1" s="195">
      <c r="A153" s="218" t="inlineStr">
        <is>
          <t>4872</t>
        </is>
      </c>
      <c r="B153" s="265" t="inlineStr">
        <is>
          <t>QUINJALCA</t>
        </is>
      </c>
      <c r="C153" s="266" t="inlineStr">
        <is>
          <t>MOLINOPAMPA</t>
        </is>
      </c>
      <c r="G153" s="194" t="n"/>
      <c r="H153" s="194" t="n"/>
      <c r="I153" s="194" t="n"/>
      <c r="J153" s="194" t="n"/>
      <c r="K153" s="194" t="n"/>
      <c r="L153" s="194" t="n"/>
      <c r="M153" s="194" t="n"/>
      <c r="N153" s="194" t="n"/>
      <c r="O153" s="194" t="n"/>
      <c r="P153" s="194" t="n"/>
      <c r="Q153" s="194" t="n"/>
      <c r="R153" s="194" t="n"/>
      <c r="S153" s="194" t="n"/>
      <c r="T153" s="194" t="n"/>
      <c r="U153" s="194" t="n"/>
      <c r="V153" s="194" t="n"/>
      <c r="W153" s="194" t="n"/>
      <c r="X153" s="194" t="n"/>
      <c r="Y153" s="194" t="n"/>
      <c r="Z153" s="194" t="n"/>
    </row>
    <row r="154" ht="15" customHeight="1" s="195">
      <c r="A154" s="211" t="inlineStr">
        <is>
          <t>4877</t>
        </is>
      </c>
      <c r="B154" s="268" t="inlineStr">
        <is>
          <t>QUISPE</t>
        </is>
      </c>
      <c r="C154" s="269" t="inlineStr">
        <is>
          <t>OCALLI</t>
        </is>
      </c>
      <c r="G154" s="194" t="n"/>
      <c r="H154" s="194" t="n"/>
      <c r="I154" s="194" t="n"/>
      <c r="J154" s="194" t="n"/>
      <c r="K154" s="194" t="n"/>
      <c r="L154" s="194" t="n"/>
      <c r="M154" s="194" t="n"/>
      <c r="N154" s="194" t="n"/>
      <c r="O154" s="194" t="n"/>
      <c r="P154" s="194" t="n"/>
      <c r="Q154" s="194" t="n"/>
      <c r="R154" s="194" t="n"/>
      <c r="S154" s="194" t="n"/>
      <c r="T154" s="194" t="n"/>
      <c r="U154" s="194" t="n"/>
      <c r="V154" s="194" t="n"/>
      <c r="W154" s="194" t="n"/>
      <c r="X154" s="194" t="n"/>
      <c r="Y154" s="194" t="n"/>
      <c r="Z154" s="194" t="n"/>
    </row>
    <row r="155" ht="15" customHeight="1" s="195">
      <c r="A155" s="218" t="inlineStr">
        <is>
          <t>4893</t>
        </is>
      </c>
      <c r="B155" s="265" t="inlineStr">
        <is>
          <t>QUISQUIS</t>
        </is>
      </c>
      <c r="C155" s="266" t="inlineStr">
        <is>
          <t>MARIA</t>
        </is>
      </c>
      <c r="G155" s="194" t="n"/>
      <c r="H155" s="194" t="n"/>
      <c r="I155" s="194" t="n"/>
      <c r="J155" s="194" t="n"/>
      <c r="K155" s="194" t="n"/>
      <c r="L155" s="194" t="n"/>
      <c r="M155" s="194" t="n"/>
      <c r="N155" s="194" t="n"/>
      <c r="O155" s="194" t="n"/>
      <c r="P155" s="194" t="n"/>
      <c r="Q155" s="194" t="n"/>
      <c r="R155" s="194" t="n"/>
      <c r="S155" s="194" t="n"/>
      <c r="T155" s="194" t="n"/>
      <c r="U155" s="194" t="n"/>
      <c r="V155" s="194" t="n"/>
      <c r="W155" s="194" t="n"/>
      <c r="X155" s="194" t="n"/>
      <c r="Y155" s="194" t="n"/>
      <c r="Z155" s="194" t="n"/>
    </row>
    <row r="156" ht="15" customHeight="1" s="195">
      <c r="A156" s="211" t="inlineStr">
        <is>
          <t>7279</t>
        </is>
      </c>
      <c r="B156" s="268" t="inlineStr">
        <is>
          <t>QUITACHI</t>
        </is>
      </c>
      <c r="C156" s="269" t="inlineStr">
        <is>
          <t>PIPUS</t>
        </is>
      </c>
      <c r="G156" s="194" t="n"/>
      <c r="H156" s="194" t="n"/>
      <c r="I156" s="194" t="n"/>
      <c r="J156" s="194" t="n"/>
      <c r="K156" s="194" t="n"/>
      <c r="L156" s="194" t="n"/>
      <c r="M156" s="194" t="n"/>
      <c r="N156" s="194" t="n"/>
      <c r="O156" s="194" t="n"/>
      <c r="P156" s="194" t="n"/>
      <c r="Q156" s="194" t="n"/>
      <c r="R156" s="194" t="n"/>
      <c r="S156" s="194" t="n"/>
      <c r="T156" s="194" t="n"/>
      <c r="U156" s="194" t="n"/>
      <c r="V156" s="194" t="n"/>
      <c r="W156" s="194" t="n"/>
      <c r="X156" s="194" t="n"/>
      <c r="Y156" s="194" t="n"/>
      <c r="Z156" s="194" t="n"/>
    </row>
    <row r="157" ht="15" customHeight="1" s="195">
      <c r="A157" s="218" t="inlineStr">
        <is>
          <t>4926</t>
        </is>
      </c>
      <c r="B157" s="265" t="inlineStr">
        <is>
          <t>RECTA</t>
        </is>
      </c>
      <c r="C157" s="266" t="inlineStr">
        <is>
          <t>JUMBILLA</t>
        </is>
      </c>
      <c r="G157" s="194" t="n"/>
      <c r="H157" s="194" t="n"/>
      <c r="I157" s="194" t="n"/>
      <c r="J157" s="194" t="n"/>
      <c r="K157" s="194" t="n"/>
      <c r="L157" s="194" t="n"/>
      <c r="M157" s="194" t="n"/>
      <c r="N157" s="194" t="n"/>
      <c r="O157" s="194" t="n"/>
      <c r="P157" s="194" t="n"/>
      <c r="Q157" s="194" t="n"/>
      <c r="R157" s="194" t="n"/>
      <c r="S157" s="194" t="n"/>
      <c r="T157" s="194" t="n"/>
      <c r="U157" s="194" t="n"/>
      <c r="V157" s="194" t="n"/>
      <c r="W157" s="194" t="n"/>
      <c r="X157" s="194" t="n"/>
      <c r="Y157" s="194" t="n"/>
      <c r="Z157" s="194" t="n"/>
    </row>
    <row r="158" ht="15" customHeight="1" s="195">
      <c r="A158" s="211" t="inlineStr">
        <is>
          <t>7057</t>
        </is>
      </c>
      <c r="B158" s="268" t="inlineStr">
        <is>
          <t>SALAS</t>
        </is>
      </c>
      <c r="C158" s="269" t="inlineStr">
        <is>
          <t>POMACOCHAS</t>
        </is>
      </c>
      <c r="G158" s="194" t="n"/>
      <c r="H158" s="194" t="n"/>
      <c r="I158" s="194" t="n"/>
      <c r="J158" s="194" t="n"/>
      <c r="K158" s="194" t="n"/>
      <c r="L158" s="194" t="n"/>
      <c r="M158" s="194" t="n"/>
      <c r="N158" s="194" t="n"/>
      <c r="O158" s="194" t="n"/>
      <c r="P158" s="194" t="n"/>
      <c r="Q158" s="194" t="n"/>
      <c r="R158" s="194" t="n"/>
      <c r="S158" s="194" t="n"/>
      <c r="T158" s="194" t="n"/>
      <c r="U158" s="194" t="n"/>
      <c r="V158" s="194" t="n"/>
      <c r="W158" s="194" t="n"/>
      <c r="X158" s="194" t="n"/>
      <c r="Y158" s="194" t="n"/>
      <c r="Z158" s="194" t="n"/>
    </row>
    <row r="159" ht="15" customHeight="1" s="195">
      <c r="A159" s="218" t="inlineStr">
        <is>
          <t>4913</t>
        </is>
      </c>
      <c r="B159" s="265" t="inlineStr">
        <is>
          <t>SALAZAR</t>
        </is>
      </c>
      <c r="C159" s="266" t="inlineStr">
        <is>
          <t>PEDRO RUIZ GALLO</t>
        </is>
      </c>
      <c r="G159" s="194" t="n"/>
      <c r="H159" s="194" t="n"/>
      <c r="I159" s="194" t="n"/>
      <c r="J159" s="194" t="n"/>
      <c r="K159" s="194" t="n"/>
      <c r="L159" s="194" t="n"/>
      <c r="M159" s="194" t="n"/>
      <c r="N159" s="194" t="n"/>
      <c r="O159" s="194" t="n"/>
      <c r="P159" s="194" t="n"/>
      <c r="Q159" s="194" t="n"/>
      <c r="R159" s="194" t="n"/>
      <c r="S159" s="194" t="n"/>
      <c r="T159" s="194" t="n"/>
      <c r="U159" s="194" t="n"/>
      <c r="V159" s="194" t="n"/>
      <c r="W159" s="194" t="n"/>
      <c r="X159" s="194" t="n"/>
      <c r="Y159" s="194" t="n"/>
      <c r="Z159" s="194" t="n"/>
    </row>
    <row r="160" ht="15" customHeight="1" s="195">
      <c r="A160" s="211" t="inlineStr">
        <is>
          <t>7077</t>
        </is>
      </c>
      <c r="B160" s="268" t="inlineStr">
        <is>
          <t>SAN ANTONIO</t>
        </is>
      </c>
      <c r="C160" s="269" t="inlineStr">
        <is>
          <t>ZARUMILLA</t>
        </is>
      </c>
      <c r="G160" s="194" t="n"/>
      <c r="H160" s="194" t="n"/>
      <c r="I160" s="194" t="n"/>
      <c r="J160" s="194" t="n"/>
      <c r="K160" s="194" t="n"/>
      <c r="L160" s="194" t="n"/>
      <c r="M160" s="194" t="n"/>
      <c r="N160" s="194" t="n"/>
      <c r="O160" s="194" t="n"/>
      <c r="P160" s="194" t="n"/>
      <c r="Q160" s="194" t="n"/>
      <c r="R160" s="194" t="n"/>
      <c r="S160" s="194" t="n"/>
      <c r="T160" s="194" t="n"/>
      <c r="U160" s="194" t="n"/>
      <c r="V160" s="194" t="n"/>
      <c r="W160" s="194" t="n"/>
      <c r="X160" s="194" t="n"/>
      <c r="Y160" s="194" t="n"/>
      <c r="Z160" s="194" t="n"/>
    </row>
    <row r="161" ht="15" customHeight="1" s="195">
      <c r="A161" s="218" t="inlineStr">
        <is>
          <t>4927</t>
        </is>
      </c>
      <c r="B161" s="265" t="inlineStr">
        <is>
          <t>SAN CARLOS</t>
        </is>
      </c>
      <c r="C161" s="266" t="inlineStr">
        <is>
          <t>PEDRO RUIZ GALLO</t>
        </is>
      </c>
      <c r="G161" s="194" t="n"/>
      <c r="H161" s="194" t="n"/>
      <c r="I161" s="194" t="n"/>
      <c r="J161" s="194" t="n"/>
      <c r="K161" s="194" t="n"/>
      <c r="L161" s="194" t="n"/>
      <c r="M161" s="194" t="n"/>
      <c r="N161" s="194" t="n"/>
      <c r="O161" s="194" t="n"/>
      <c r="P161" s="194" t="n"/>
      <c r="Q161" s="194" t="n"/>
      <c r="R161" s="194" t="n"/>
      <c r="S161" s="194" t="n"/>
      <c r="T161" s="194" t="n"/>
      <c r="U161" s="194" t="n"/>
      <c r="V161" s="194" t="n"/>
      <c r="W161" s="194" t="n"/>
      <c r="X161" s="194" t="n"/>
      <c r="Y161" s="194" t="n"/>
      <c r="Z161" s="194" t="n"/>
    </row>
    <row r="162" ht="15" customHeight="1" s="195">
      <c r="A162" s="211" t="inlineStr">
        <is>
          <t>4852</t>
        </is>
      </c>
      <c r="B162" s="268" t="inlineStr">
        <is>
          <t>SAN CRISTOBAL DE OLTO</t>
        </is>
      </c>
      <c r="C162" s="269" t="inlineStr">
        <is>
          <t>LAMUD</t>
        </is>
      </c>
      <c r="G162" s="194" t="n"/>
      <c r="H162" s="194" t="n"/>
      <c r="I162" s="194" t="n"/>
      <c r="J162" s="194" t="n"/>
      <c r="K162" s="194" t="n"/>
      <c r="L162" s="194" t="n"/>
      <c r="M162" s="194" t="n"/>
      <c r="N162" s="194" t="n"/>
      <c r="O162" s="194" t="n"/>
      <c r="P162" s="194" t="n"/>
      <c r="Q162" s="194" t="n"/>
      <c r="R162" s="194" t="n"/>
      <c r="S162" s="194" t="n"/>
      <c r="T162" s="194" t="n"/>
      <c r="U162" s="194" t="n"/>
      <c r="V162" s="194" t="n"/>
      <c r="W162" s="194" t="n"/>
      <c r="X162" s="194" t="n"/>
      <c r="Y162" s="194" t="n"/>
      <c r="Z162" s="194" t="n"/>
    </row>
    <row r="163" ht="15" customHeight="1" s="195">
      <c r="A163" s="218" t="inlineStr">
        <is>
          <t>4862</t>
        </is>
      </c>
      <c r="B163" s="265" t="inlineStr">
        <is>
          <t>SAN FRANCISCO DEL YESO</t>
        </is>
      </c>
      <c r="C163" s="266" t="inlineStr">
        <is>
          <t>LEIMEBAMBA</t>
        </is>
      </c>
      <c r="G163" s="194" t="n"/>
      <c r="H163" s="194" t="n"/>
      <c r="I163" s="194" t="n"/>
      <c r="J163" s="194" t="n"/>
      <c r="K163" s="194" t="n"/>
      <c r="L163" s="194" t="n"/>
      <c r="M163" s="194" t="n"/>
      <c r="N163" s="194" t="n"/>
      <c r="O163" s="194" t="n"/>
      <c r="P163" s="194" t="n"/>
      <c r="Q163" s="194" t="n"/>
      <c r="R163" s="194" t="n"/>
      <c r="S163" s="194" t="n"/>
      <c r="T163" s="194" t="n"/>
      <c r="U163" s="194" t="n"/>
      <c r="V163" s="194" t="n"/>
      <c r="W163" s="194" t="n"/>
      <c r="X163" s="194" t="n"/>
      <c r="Y163" s="194" t="n"/>
      <c r="Z163" s="194" t="n"/>
    </row>
    <row r="164" ht="15" customHeight="1" s="195">
      <c r="A164" s="211" t="inlineStr">
        <is>
          <t>4931</t>
        </is>
      </c>
      <c r="B164" s="268" t="inlineStr">
        <is>
          <t>SAN ISIDRO DE QUIUCMAL</t>
        </is>
      </c>
      <c r="C164" s="269" t="inlineStr">
        <is>
          <t>PEDRO RUIZ GALLO</t>
        </is>
      </c>
      <c r="G164" s="194" t="n"/>
      <c r="H164" s="194" t="n"/>
      <c r="I164" s="194" t="n"/>
      <c r="J164" s="194" t="n"/>
      <c r="K164" s="194" t="n"/>
      <c r="L164" s="194" t="n"/>
      <c r="M164" s="194" t="n"/>
      <c r="N164" s="194" t="n"/>
      <c r="O164" s="194" t="n"/>
      <c r="P164" s="194" t="n"/>
      <c r="Q164" s="194" t="n"/>
      <c r="R164" s="194" t="n"/>
      <c r="S164" s="194" t="n"/>
      <c r="T164" s="194" t="n"/>
      <c r="U164" s="194" t="n"/>
      <c r="V164" s="194" t="n"/>
      <c r="W164" s="194" t="n"/>
      <c r="X164" s="194" t="n"/>
      <c r="Y164" s="194" t="n"/>
      <c r="Z164" s="194" t="n"/>
    </row>
    <row r="165" ht="15" customHeight="1" s="195">
      <c r="A165" s="218" t="inlineStr">
        <is>
          <t>4840</t>
        </is>
      </c>
      <c r="B165" s="265" t="inlineStr">
        <is>
          <t>SAN ISIDRO DE UTCUBAMBA</t>
        </is>
      </c>
      <c r="C165" s="266" t="inlineStr">
        <is>
          <t>CHACHAPOYAS</t>
        </is>
      </c>
      <c r="G165" s="194" t="n"/>
      <c r="H165" s="194" t="n"/>
      <c r="I165" s="194" t="n"/>
      <c r="J165" s="194" t="n"/>
      <c r="K165" s="194" t="n"/>
      <c r="L165" s="194" t="n"/>
      <c r="M165" s="194" t="n"/>
      <c r="N165" s="194" t="n"/>
      <c r="O165" s="194" t="n"/>
      <c r="P165" s="194" t="n"/>
      <c r="Q165" s="194" t="n"/>
      <c r="R165" s="194" t="n"/>
      <c r="S165" s="194" t="n"/>
      <c r="T165" s="194" t="n"/>
      <c r="U165" s="194" t="n"/>
      <c r="V165" s="194" t="n"/>
      <c r="W165" s="194" t="n"/>
      <c r="X165" s="194" t="n"/>
      <c r="Y165" s="194" t="n"/>
      <c r="Z165" s="194" t="n"/>
    </row>
    <row r="166" ht="15" customHeight="1" s="195">
      <c r="A166" s="211" t="inlineStr">
        <is>
          <t>4924</t>
        </is>
      </c>
      <c r="B166" s="268" t="inlineStr">
        <is>
          <t>SAN JERONIMO</t>
        </is>
      </c>
      <c r="C166" s="269" t="inlineStr">
        <is>
          <t>PEDRO RUIZ GALLO</t>
        </is>
      </c>
      <c r="G166" s="194" t="n"/>
      <c r="H166" s="194" t="n"/>
      <c r="I166" s="194" t="n"/>
      <c r="J166" s="194" t="n"/>
      <c r="K166" s="194" t="n"/>
      <c r="L166" s="194" t="n"/>
      <c r="M166" s="194" t="n"/>
      <c r="N166" s="194" t="n"/>
      <c r="O166" s="194" t="n"/>
      <c r="P166" s="194" t="n"/>
      <c r="Q166" s="194" t="n"/>
      <c r="R166" s="194" t="n"/>
      <c r="S166" s="194" t="n"/>
      <c r="T166" s="194" t="n"/>
      <c r="U166" s="194" t="n"/>
      <c r="V166" s="194" t="n"/>
      <c r="W166" s="194" t="n"/>
      <c r="X166" s="194" t="n"/>
      <c r="Y166" s="194" t="n"/>
      <c r="Z166" s="194" t="n"/>
    </row>
    <row r="167" ht="15" customHeight="1" s="195">
      <c r="A167" s="218" t="inlineStr">
        <is>
          <t>4870</t>
        </is>
      </c>
      <c r="B167" s="265" t="inlineStr">
        <is>
          <t>SAN JOSE</t>
        </is>
      </c>
      <c r="C167" s="266" t="inlineStr">
        <is>
          <t>MOLINOPAMPA</t>
        </is>
      </c>
      <c r="G167" s="194" t="n"/>
      <c r="H167" s="194" t="n"/>
      <c r="I167" s="194" t="n"/>
      <c r="J167" s="194" t="n"/>
      <c r="K167" s="194" t="n"/>
      <c r="L167" s="194" t="n"/>
      <c r="M167" s="194" t="n"/>
      <c r="N167" s="194" t="n"/>
      <c r="O167" s="194" t="n"/>
      <c r="P167" s="194" t="n"/>
      <c r="Q167" s="194" t="n"/>
      <c r="R167" s="194" t="n"/>
      <c r="S167" s="194" t="n"/>
      <c r="T167" s="194" t="n"/>
      <c r="U167" s="194" t="n"/>
      <c r="V167" s="194" t="n"/>
      <c r="W167" s="194" t="n"/>
      <c r="X167" s="194" t="n"/>
      <c r="Y167" s="194" t="n"/>
      <c r="Z167" s="194" t="n"/>
    </row>
    <row r="168" ht="15" customHeight="1" s="195">
      <c r="A168" s="211" t="inlineStr">
        <is>
          <t>21934</t>
        </is>
      </c>
      <c r="B168" s="268" t="inlineStr">
        <is>
          <t>SAN JOSE DE POMACOCHAS</t>
        </is>
      </c>
      <c r="C168" s="269" t="inlineStr">
        <is>
          <t>POMACOCHAS</t>
        </is>
      </c>
      <c r="G168" s="194" t="n"/>
      <c r="H168" s="194" t="n"/>
      <c r="I168" s="194" t="n"/>
      <c r="J168" s="194" t="n"/>
      <c r="K168" s="194" t="n"/>
      <c r="L168" s="194" t="n"/>
      <c r="M168" s="194" t="n"/>
      <c r="N168" s="194" t="n"/>
      <c r="O168" s="194" t="n"/>
      <c r="P168" s="194" t="n"/>
      <c r="Q168" s="194" t="n"/>
      <c r="R168" s="194" t="n"/>
      <c r="S168" s="194" t="n"/>
      <c r="T168" s="194" t="n"/>
      <c r="U168" s="194" t="n"/>
      <c r="V168" s="194" t="n"/>
      <c r="W168" s="194" t="n"/>
      <c r="X168" s="194" t="n"/>
      <c r="Y168" s="194" t="n"/>
      <c r="Z168" s="194" t="n"/>
    </row>
    <row r="169" ht="15" customHeight="1" s="195">
      <c r="A169" s="218" t="inlineStr">
        <is>
          <t>30972</t>
        </is>
      </c>
      <c r="B169" s="265" t="inlineStr">
        <is>
          <t>SAN JOSE DE YAMBRASBAMBA</t>
        </is>
      </c>
      <c r="C169" s="266" t="inlineStr">
        <is>
          <t>POMACOCHAS</t>
        </is>
      </c>
      <c r="G169" s="194" t="n"/>
      <c r="H169" s="194" t="n"/>
      <c r="I169" s="194" t="n"/>
      <c r="J169" s="194" t="n"/>
      <c r="K169" s="194" t="n"/>
      <c r="L169" s="194" t="n"/>
      <c r="M169" s="194" t="n"/>
      <c r="N169" s="194" t="n"/>
      <c r="O169" s="194" t="n"/>
      <c r="P169" s="194" t="n"/>
      <c r="Q169" s="194" t="n"/>
      <c r="R169" s="194" t="n"/>
      <c r="S169" s="194" t="n"/>
      <c r="T169" s="194" t="n"/>
      <c r="U169" s="194" t="n"/>
      <c r="V169" s="194" t="n"/>
      <c r="W169" s="194" t="n"/>
      <c r="X169" s="194" t="n"/>
      <c r="Y169" s="194" t="n"/>
      <c r="Z169" s="194" t="n"/>
    </row>
    <row r="170" ht="15" customHeight="1" s="195">
      <c r="A170" s="211" t="inlineStr">
        <is>
          <t>4910</t>
        </is>
      </c>
      <c r="B170" s="268" t="inlineStr">
        <is>
          <t>SAN JUAN DE LOPECANCHA</t>
        </is>
      </c>
      <c r="C170" s="269" t="inlineStr">
        <is>
          <t>YERBABUENA</t>
        </is>
      </c>
      <c r="G170" s="194" t="n"/>
      <c r="H170" s="194" t="n"/>
      <c r="I170" s="194" t="n"/>
      <c r="J170" s="194" t="n"/>
      <c r="K170" s="194" t="n"/>
      <c r="L170" s="194" t="n"/>
      <c r="M170" s="194" t="n"/>
      <c r="N170" s="194" t="n"/>
      <c r="O170" s="194" t="n"/>
      <c r="P170" s="194" t="n"/>
      <c r="Q170" s="194" t="n"/>
      <c r="R170" s="194" t="n"/>
      <c r="S170" s="194" t="n"/>
      <c r="T170" s="194" t="n"/>
      <c r="U170" s="194" t="n"/>
      <c r="V170" s="194" t="n"/>
      <c r="W170" s="194" t="n"/>
      <c r="X170" s="194" t="n"/>
      <c r="Y170" s="194" t="n"/>
      <c r="Z170" s="194" t="n"/>
    </row>
    <row r="171" ht="15" customHeight="1" s="195">
      <c r="A171" s="218" t="inlineStr">
        <is>
          <t>4844</t>
        </is>
      </c>
      <c r="B171" s="265" t="inlineStr">
        <is>
          <t>SAN JUAN DE OCUMAL</t>
        </is>
      </c>
      <c r="C171" s="266" t="inlineStr">
        <is>
          <t>COLLONCE</t>
        </is>
      </c>
      <c r="G171" s="194" t="n"/>
      <c r="H171" s="194" t="n"/>
      <c r="I171" s="194" t="n"/>
      <c r="J171" s="194" t="n"/>
      <c r="K171" s="194" t="n"/>
      <c r="L171" s="194" t="n"/>
      <c r="M171" s="194" t="n"/>
      <c r="N171" s="194" t="n"/>
      <c r="O171" s="194" t="n"/>
      <c r="P171" s="194" t="n"/>
      <c r="Q171" s="194" t="n"/>
      <c r="R171" s="194" t="n"/>
      <c r="S171" s="194" t="n"/>
      <c r="T171" s="194" t="n"/>
      <c r="U171" s="194" t="n"/>
      <c r="V171" s="194" t="n"/>
      <c r="W171" s="194" t="n"/>
      <c r="X171" s="194" t="n"/>
      <c r="Y171" s="194" t="n"/>
      <c r="Z171" s="194" t="n"/>
    </row>
    <row r="172" ht="15" customHeight="1" s="195">
      <c r="A172" s="211" t="inlineStr">
        <is>
          <t>9844</t>
        </is>
      </c>
      <c r="B172" s="268" t="inlineStr">
        <is>
          <t>SAN JUAN DE PROVIDENCIA</t>
        </is>
      </c>
      <c r="C172" s="269" t="inlineStr">
        <is>
          <t>PEDRO RUIZ GALLO</t>
        </is>
      </c>
      <c r="G172" s="194" t="n"/>
      <c r="H172" s="194" t="n"/>
      <c r="I172" s="194" t="n"/>
      <c r="J172" s="194" t="n"/>
      <c r="K172" s="194" t="n"/>
      <c r="L172" s="194" t="n"/>
      <c r="M172" s="194" t="n"/>
      <c r="N172" s="194" t="n"/>
      <c r="O172" s="194" t="n"/>
      <c r="P172" s="194" t="n"/>
      <c r="Q172" s="194" t="n"/>
      <c r="R172" s="194" t="n"/>
      <c r="S172" s="194" t="n"/>
      <c r="T172" s="194" t="n"/>
      <c r="U172" s="194" t="n"/>
      <c r="V172" s="194" t="n"/>
      <c r="W172" s="194" t="n"/>
      <c r="X172" s="194" t="n"/>
      <c r="Y172" s="194" t="n"/>
      <c r="Z172" s="194" t="n"/>
    </row>
    <row r="173" ht="15" customHeight="1" s="195">
      <c r="A173" s="218" t="inlineStr">
        <is>
          <t>4918</t>
        </is>
      </c>
      <c r="B173" s="265" t="inlineStr">
        <is>
          <t>SAN MIGUEL DE LA REYNA</t>
        </is>
      </c>
      <c r="C173" s="266" t="inlineStr">
        <is>
          <t>JUMBILLA</t>
        </is>
      </c>
      <c r="G173" s="194" t="n"/>
      <c r="H173" s="194" t="n"/>
      <c r="I173" s="194" t="n"/>
      <c r="J173" s="194" t="n"/>
      <c r="K173" s="194" t="n"/>
      <c r="L173" s="194" t="n"/>
      <c r="M173" s="194" t="n"/>
      <c r="N173" s="194" t="n"/>
      <c r="O173" s="194" t="n"/>
      <c r="P173" s="194" t="n"/>
      <c r="Q173" s="194" t="n"/>
      <c r="R173" s="194" t="n"/>
      <c r="S173" s="194" t="n"/>
      <c r="T173" s="194" t="n"/>
      <c r="U173" s="194" t="n"/>
      <c r="V173" s="194" t="n"/>
      <c r="W173" s="194" t="n"/>
      <c r="X173" s="194" t="n"/>
      <c r="Y173" s="194" t="n"/>
      <c r="Z173" s="194" t="n"/>
    </row>
    <row r="174" ht="15" customHeight="1" s="195">
      <c r="A174" s="211" t="inlineStr">
        <is>
          <t>4847</t>
        </is>
      </c>
      <c r="B174" s="268" t="inlineStr">
        <is>
          <t>SAN MIGUEL DE PORO PORO</t>
        </is>
      </c>
      <c r="C174" s="269" t="inlineStr">
        <is>
          <t>TINGO</t>
        </is>
      </c>
      <c r="G174" s="194" t="n"/>
      <c r="H174" s="194" t="n"/>
      <c r="I174" s="194" t="n"/>
      <c r="J174" s="194" t="n"/>
      <c r="K174" s="194" t="n"/>
      <c r="L174" s="194" t="n"/>
      <c r="M174" s="194" t="n"/>
      <c r="N174" s="194" t="n"/>
      <c r="O174" s="194" t="n"/>
      <c r="P174" s="194" t="n"/>
      <c r="Q174" s="194" t="n"/>
      <c r="R174" s="194" t="n"/>
      <c r="S174" s="194" t="n"/>
      <c r="T174" s="194" t="n"/>
      <c r="U174" s="194" t="n"/>
      <c r="V174" s="194" t="n"/>
      <c r="W174" s="194" t="n"/>
      <c r="X174" s="194" t="n"/>
      <c r="Y174" s="194" t="n"/>
      <c r="Z174" s="194" t="n"/>
    </row>
    <row r="175" ht="15" customHeight="1" s="195">
      <c r="A175" s="218" t="inlineStr">
        <is>
          <t>4928</t>
        </is>
      </c>
      <c r="B175" s="265" t="inlineStr">
        <is>
          <t>SAN PABLO DE VALERA</t>
        </is>
      </c>
      <c r="C175" s="266" t="inlineStr">
        <is>
          <t>PEDRO RUIZ GALLO</t>
        </is>
      </c>
      <c r="G175" s="194" t="n"/>
      <c r="H175" s="194" t="n"/>
      <c r="I175" s="194" t="n"/>
      <c r="J175" s="194" t="n"/>
      <c r="K175" s="194" t="n"/>
      <c r="L175" s="194" t="n"/>
      <c r="M175" s="194" t="n"/>
      <c r="N175" s="194" t="n"/>
      <c r="O175" s="194" t="n"/>
      <c r="P175" s="194" t="n"/>
      <c r="Q175" s="194" t="n"/>
      <c r="R175" s="194" t="n"/>
      <c r="S175" s="194" t="n"/>
      <c r="T175" s="194" t="n"/>
      <c r="U175" s="194" t="n"/>
      <c r="V175" s="194" t="n"/>
      <c r="W175" s="194" t="n"/>
      <c r="X175" s="194" t="n"/>
      <c r="Y175" s="194" t="n"/>
      <c r="Z175" s="194" t="n"/>
    </row>
    <row r="176" ht="15" customHeight="1" s="195">
      <c r="A176" s="211" t="inlineStr">
        <is>
          <t>9674</t>
        </is>
      </c>
      <c r="B176" s="268" t="inlineStr">
        <is>
          <t>SAN PEDRO Y SAN PABLO</t>
        </is>
      </c>
      <c r="C176" s="269" t="inlineStr">
        <is>
          <t>COLLONCE</t>
        </is>
      </c>
      <c r="G176" s="194" t="n"/>
      <c r="H176" s="194" t="n"/>
      <c r="I176" s="194" t="n"/>
      <c r="J176" s="194" t="n"/>
      <c r="K176" s="194" t="n"/>
      <c r="L176" s="194" t="n"/>
      <c r="M176" s="194" t="n"/>
      <c r="N176" s="194" t="n"/>
      <c r="O176" s="194" t="n"/>
      <c r="P176" s="194" t="n"/>
      <c r="Q176" s="194" t="n"/>
      <c r="R176" s="194" t="n"/>
      <c r="S176" s="194" t="n"/>
      <c r="T176" s="194" t="n"/>
      <c r="U176" s="194" t="n"/>
      <c r="V176" s="194" t="n"/>
      <c r="W176" s="194" t="n"/>
      <c r="X176" s="194" t="n"/>
      <c r="Y176" s="194" t="n"/>
      <c r="Z176" s="194" t="n"/>
    </row>
    <row r="177" ht="15" customHeight="1" s="195">
      <c r="A177" s="218" t="inlineStr">
        <is>
          <t>7065</t>
        </is>
      </c>
      <c r="B177" s="265" t="inlineStr">
        <is>
          <t>SAN RAMON</t>
        </is>
      </c>
      <c r="C177" s="266" t="inlineStr">
        <is>
          <t>TINGO</t>
        </is>
      </c>
      <c r="G177" s="194" t="n"/>
      <c r="H177" s="194" t="n"/>
      <c r="I177" s="194" t="n"/>
      <c r="J177" s="194" t="n"/>
      <c r="K177" s="194" t="n"/>
      <c r="L177" s="194" t="n"/>
      <c r="M177" s="194" t="n"/>
      <c r="N177" s="194" t="n"/>
      <c r="O177" s="194" t="n"/>
      <c r="P177" s="194" t="n"/>
      <c r="Q177" s="194" t="n"/>
      <c r="R177" s="194" t="n"/>
      <c r="S177" s="194" t="n"/>
      <c r="T177" s="194" t="n"/>
      <c r="U177" s="194" t="n"/>
      <c r="V177" s="194" t="n"/>
      <c r="W177" s="194" t="n"/>
      <c r="X177" s="194" t="n"/>
      <c r="Y177" s="194" t="n"/>
      <c r="Z177" s="194" t="n"/>
    </row>
    <row r="178" ht="15" customHeight="1" s="195">
      <c r="A178" s="211" t="inlineStr">
        <is>
          <t>4888</t>
        </is>
      </c>
      <c r="B178" s="268" t="inlineStr">
        <is>
          <t>SAN SALVADOR</t>
        </is>
      </c>
      <c r="C178" s="269" t="inlineStr">
        <is>
          <t>SANTO TOMAS</t>
        </is>
      </c>
      <c r="G178" s="194" t="n"/>
      <c r="H178" s="194" t="n"/>
      <c r="I178" s="194" t="n"/>
      <c r="J178" s="194" t="n"/>
      <c r="K178" s="194" t="n"/>
      <c r="L178" s="194" t="n"/>
      <c r="M178" s="194" t="n"/>
      <c r="N178" s="194" t="n"/>
      <c r="O178" s="194" t="n"/>
      <c r="P178" s="194" t="n"/>
      <c r="Q178" s="194" t="n"/>
      <c r="R178" s="194" t="n"/>
      <c r="S178" s="194" t="n"/>
      <c r="T178" s="194" t="n"/>
      <c r="U178" s="194" t="n"/>
      <c r="V178" s="194" t="n"/>
      <c r="W178" s="194" t="n"/>
      <c r="X178" s="194" t="n"/>
      <c r="Y178" s="194" t="n"/>
      <c r="Z178" s="194" t="n"/>
    </row>
    <row r="179" ht="15" customHeight="1" s="195">
      <c r="A179" s="218" t="inlineStr">
        <is>
          <t>4854</t>
        </is>
      </c>
      <c r="B179" s="265" t="inlineStr">
        <is>
          <t>SANTA CATALINA</t>
        </is>
      </c>
      <c r="C179" s="266" t="inlineStr">
        <is>
          <t>LAMUD</t>
        </is>
      </c>
      <c r="G179" s="194" t="n"/>
      <c r="H179" s="194" t="n"/>
      <c r="I179" s="194" t="n"/>
      <c r="J179" s="194" t="n"/>
      <c r="K179" s="194" t="n"/>
      <c r="L179" s="194" t="n"/>
      <c r="M179" s="194" t="n"/>
      <c r="N179" s="194" t="n"/>
      <c r="O179" s="194" t="n"/>
      <c r="P179" s="194" t="n"/>
      <c r="Q179" s="194" t="n"/>
      <c r="R179" s="194" t="n"/>
      <c r="S179" s="194" t="n"/>
      <c r="T179" s="194" t="n"/>
      <c r="U179" s="194" t="n"/>
      <c r="V179" s="194" t="n"/>
      <c r="W179" s="194" t="n"/>
      <c r="X179" s="194" t="n"/>
      <c r="Y179" s="194" t="n"/>
      <c r="Z179" s="194" t="n"/>
    </row>
    <row r="180" ht="15" customHeight="1" s="195">
      <c r="A180" s="211" t="inlineStr">
        <is>
          <t>4957</t>
        </is>
      </c>
      <c r="B180" s="268" t="inlineStr">
        <is>
          <t>SANTA ROSA</t>
        </is>
      </c>
      <c r="C180" s="269" t="inlineStr">
        <is>
          <t>TOTORA</t>
        </is>
      </c>
      <c r="G180" s="194" t="n"/>
      <c r="H180" s="194" t="n"/>
      <c r="I180" s="194" t="n"/>
      <c r="J180" s="194" t="n"/>
      <c r="K180" s="194" t="n"/>
      <c r="L180" s="194" t="n"/>
      <c r="M180" s="194" t="n"/>
      <c r="N180" s="194" t="n"/>
      <c r="O180" s="194" t="n"/>
      <c r="P180" s="194" t="n"/>
      <c r="Q180" s="194" t="n"/>
      <c r="R180" s="194" t="n"/>
      <c r="S180" s="194" t="n"/>
      <c r="T180" s="194" t="n"/>
      <c r="U180" s="194" t="n"/>
      <c r="V180" s="194" t="n"/>
      <c r="W180" s="194" t="n"/>
      <c r="X180" s="194" t="n"/>
      <c r="Y180" s="194" t="n"/>
      <c r="Z180" s="194" t="n"/>
    </row>
    <row r="181" ht="15" customHeight="1" s="195">
      <c r="A181" s="218" t="inlineStr">
        <is>
          <t>4887</t>
        </is>
      </c>
      <c r="B181" s="265" t="inlineStr">
        <is>
          <t>SANTO TOMAS</t>
        </is>
      </c>
      <c r="C181" s="266" t="inlineStr">
        <is>
          <t>SANTO TOMAS</t>
        </is>
      </c>
      <c r="G181" s="194" t="n"/>
      <c r="H181" s="194" t="n"/>
      <c r="I181" s="194" t="n"/>
      <c r="J181" s="194" t="n"/>
      <c r="K181" s="194" t="n"/>
      <c r="L181" s="194" t="n"/>
      <c r="M181" s="194" t="n"/>
      <c r="N181" s="194" t="n"/>
      <c r="O181" s="194" t="n"/>
      <c r="P181" s="194" t="n"/>
      <c r="Q181" s="194" t="n"/>
      <c r="R181" s="194" t="n"/>
      <c r="S181" s="194" t="n"/>
      <c r="T181" s="194" t="n"/>
      <c r="U181" s="194" t="n"/>
      <c r="V181" s="194" t="n"/>
      <c r="W181" s="194" t="n"/>
      <c r="X181" s="194" t="n"/>
      <c r="Y181" s="194" t="n"/>
      <c r="Z181" s="194" t="n"/>
    </row>
    <row r="182" ht="15" customHeight="1" s="195">
      <c r="A182" s="211" t="inlineStr">
        <is>
          <t>7201</t>
        </is>
      </c>
      <c r="B182" s="268" t="inlineStr">
        <is>
          <t>SANTO TORIBIO</t>
        </is>
      </c>
      <c r="C182" s="269" t="inlineStr">
        <is>
          <t>ZARUMILLA</t>
        </is>
      </c>
      <c r="G182" s="194" t="n"/>
      <c r="H182" s="194" t="n"/>
      <c r="I182" s="194" t="n"/>
      <c r="J182" s="194" t="n"/>
      <c r="K182" s="194" t="n"/>
      <c r="L182" s="194" t="n"/>
      <c r="M182" s="194" t="n"/>
      <c r="N182" s="194" t="n"/>
      <c r="O182" s="194" t="n"/>
      <c r="P182" s="194" t="n"/>
      <c r="Q182" s="194" t="n"/>
      <c r="R182" s="194" t="n"/>
      <c r="S182" s="194" t="n"/>
      <c r="T182" s="194" t="n"/>
      <c r="U182" s="194" t="n"/>
      <c r="V182" s="194" t="n"/>
      <c r="W182" s="194" t="n"/>
      <c r="X182" s="194" t="n"/>
      <c r="Y182" s="194" t="n"/>
      <c r="Z182" s="194" t="n"/>
    </row>
    <row r="183" ht="15" customHeight="1" s="195">
      <c r="A183" s="218" t="inlineStr">
        <is>
          <t>7148</t>
        </is>
      </c>
      <c r="B183" s="265" t="inlineStr">
        <is>
          <t>SAULLAMUR</t>
        </is>
      </c>
      <c r="C183" s="266" t="inlineStr">
        <is>
          <t>LEIMEBAMBA</t>
        </is>
      </c>
      <c r="G183" s="194" t="n"/>
      <c r="H183" s="194" t="n"/>
      <c r="I183" s="194" t="n"/>
      <c r="J183" s="194" t="n"/>
      <c r="K183" s="194" t="n"/>
      <c r="L183" s="194" t="n"/>
      <c r="M183" s="194" t="n"/>
      <c r="N183" s="194" t="n"/>
      <c r="O183" s="194" t="n"/>
      <c r="P183" s="194" t="n"/>
      <c r="Q183" s="194" t="n"/>
      <c r="R183" s="194" t="n"/>
      <c r="S183" s="194" t="n"/>
      <c r="T183" s="194" t="n"/>
      <c r="U183" s="194" t="n"/>
      <c r="V183" s="194" t="n"/>
      <c r="W183" s="194" t="n"/>
      <c r="X183" s="194" t="n"/>
      <c r="Y183" s="194" t="n"/>
      <c r="Z183" s="194" t="n"/>
    </row>
    <row r="184" ht="15" customHeight="1" s="195">
      <c r="A184" s="211" t="inlineStr">
        <is>
          <t>7072</t>
        </is>
      </c>
      <c r="B184" s="268" t="inlineStr">
        <is>
          <t>SENGACHE</t>
        </is>
      </c>
      <c r="C184" s="269" t="inlineStr">
        <is>
          <t>PIPUS</t>
        </is>
      </c>
      <c r="G184" s="194" t="n"/>
      <c r="H184" s="194" t="n"/>
      <c r="I184" s="194" t="n"/>
      <c r="J184" s="194" t="n"/>
      <c r="K184" s="194" t="n"/>
      <c r="L184" s="194" t="n"/>
      <c r="M184" s="194" t="n"/>
      <c r="N184" s="194" t="n"/>
      <c r="O184" s="194" t="n"/>
      <c r="P184" s="194" t="n"/>
      <c r="Q184" s="194" t="n"/>
      <c r="R184" s="194" t="n"/>
      <c r="S184" s="194" t="n"/>
      <c r="T184" s="194" t="n"/>
      <c r="U184" s="194" t="n"/>
      <c r="V184" s="194" t="n"/>
      <c r="W184" s="194" t="n"/>
      <c r="X184" s="194" t="n"/>
      <c r="Y184" s="194" t="n"/>
      <c r="Z184" s="194" t="n"/>
    </row>
    <row r="185" ht="15" customHeight="1" s="195">
      <c r="A185" s="218" t="inlineStr">
        <is>
          <t>29271</t>
        </is>
      </c>
      <c r="B185" s="265" t="inlineStr">
        <is>
          <t>SENOR DE GUALAMITA</t>
        </is>
      </c>
      <c r="C185" s="266" t="inlineStr">
        <is>
          <t>SENOR DE GUALAMITA</t>
        </is>
      </c>
      <c r="G185" s="194" t="n"/>
      <c r="H185" s="194" t="n"/>
      <c r="I185" s="194" t="n"/>
      <c r="J185" s="194" t="n"/>
      <c r="K185" s="194" t="n"/>
      <c r="L185" s="194" t="n"/>
      <c r="M185" s="194" t="n"/>
      <c r="N185" s="194" t="n"/>
      <c r="O185" s="194" t="n"/>
      <c r="P185" s="194" t="n"/>
      <c r="Q185" s="194" t="n"/>
      <c r="R185" s="194" t="n"/>
      <c r="S185" s="194" t="n"/>
      <c r="T185" s="194" t="n"/>
      <c r="U185" s="194" t="n"/>
      <c r="V185" s="194" t="n"/>
      <c r="W185" s="194" t="n"/>
      <c r="X185" s="194" t="n"/>
      <c r="Y185" s="194" t="n"/>
      <c r="Z185" s="194" t="n"/>
    </row>
    <row r="186" ht="15" customHeight="1" s="195">
      <c r="A186" s="211" t="inlineStr">
        <is>
          <t>13131</t>
        </is>
      </c>
      <c r="B186" s="268" t="inlineStr">
        <is>
          <t>SENOR DE LOS MILAGROS</t>
        </is>
      </c>
      <c r="C186" s="269" t="inlineStr">
        <is>
          <t>CHACHAPOYAS</t>
        </is>
      </c>
      <c r="G186" s="194" t="n"/>
      <c r="H186" s="194" t="n"/>
      <c r="I186" s="194" t="n"/>
      <c r="J186" s="194" t="n"/>
      <c r="K186" s="194" t="n"/>
      <c r="L186" s="194" t="n"/>
      <c r="M186" s="194" t="n"/>
      <c r="N186" s="194" t="n"/>
      <c r="O186" s="194" t="n"/>
      <c r="P186" s="194" t="n"/>
      <c r="Q186" s="194" t="n"/>
      <c r="R186" s="194" t="n"/>
      <c r="S186" s="194" t="n"/>
      <c r="T186" s="194" t="n"/>
      <c r="U186" s="194" t="n"/>
      <c r="V186" s="194" t="n"/>
      <c r="W186" s="194" t="n"/>
      <c r="X186" s="194" t="n"/>
      <c r="Y186" s="194" t="n"/>
      <c r="Z186" s="194" t="n"/>
    </row>
    <row r="187" ht="15" customHeight="1" s="195">
      <c r="A187" s="218" t="inlineStr">
        <is>
          <t>4935</t>
        </is>
      </c>
      <c r="B187" s="265" t="inlineStr">
        <is>
          <t>SHISPASBAMBA</t>
        </is>
      </c>
      <c r="C187" s="266" t="inlineStr">
        <is>
          <t>PEDRO RUIZ GALLO</t>
        </is>
      </c>
      <c r="G187" s="194" t="n"/>
      <c r="H187" s="194" t="n"/>
      <c r="I187" s="194" t="n"/>
      <c r="J187" s="194" t="n"/>
      <c r="K187" s="194" t="n"/>
      <c r="L187" s="194" t="n"/>
      <c r="M187" s="194" t="n"/>
      <c r="N187" s="194" t="n"/>
      <c r="O187" s="194" t="n"/>
      <c r="P187" s="194" t="n"/>
      <c r="Q187" s="194" t="n"/>
      <c r="R187" s="194" t="n"/>
      <c r="S187" s="194" t="n"/>
      <c r="T187" s="194" t="n"/>
      <c r="U187" s="194" t="n"/>
      <c r="V187" s="194" t="n"/>
      <c r="W187" s="194" t="n"/>
      <c r="X187" s="194" t="n"/>
      <c r="Y187" s="194" t="n"/>
      <c r="Z187" s="194" t="n"/>
    </row>
    <row r="188" ht="15" customHeight="1" s="195">
      <c r="A188" s="211" t="inlineStr">
        <is>
          <t>7063</t>
        </is>
      </c>
      <c r="B188" s="268" t="inlineStr">
        <is>
          <t>SHIPATA</t>
        </is>
      </c>
      <c r="C188" s="269" t="inlineStr">
        <is>
          <t>LUYA</t>
        </is>
      </c>
      <c r="G188" s="194" t="n"/>
      <c r="H188" s="194" t="n"/>
      <c r="I188" s="194" t="n"/>
      <c r="J188" s="194" t="n"/>
      <c r="K188" s="194" t="n"/>
      <c r="L188" s="194" t="n"/>
      <c r="M188" s="194" t="n"/>
      <c r="N188" s="194" t="n"/>
      <c r="O188" s="194" t="n"/>
      <c r="P188" s="194" t="n"/>
      <c r="Q188" s="194" t="n"/>
      <c r="R188" s="194" t="n"/>
      <c r="S188" s="194" t="n"/>
      <c r="T188" s="194" t="n"/>
      <c r="U188" s="194" t="n"/>
      <c r="V188" s="194" t="n"/>
      <c r="W188" s="194" t="n"/>
      <c r="X188" s="194" t="n"/>
      <c r="Y188" s="194" t="n"/>
      <c r="Z188" s="194" t="n"/>
    </row>
    <row r="189" ht="15" customHeight="1" s="195">
      <c r="A189" s="218" t="inlineStr">
        <is>
          <t>11727</t>
        </is>
      </c>
      <c r="B189" s="265" t="inlineStr">
        <is>
          <t>SHUCUSH</t>
        </is>
      </c>
      <c r="C189" s="266" t="inlineStr">
        <is>
          <t>LONGAR</t>
        </is>
      </c>
      <c r="G189" s="194" t="n"/>
      <c r="H189" s="194" t="n"/>
      <c r="I189" s="194" t="n"/>
      <c r="J189" s="194" t="n"/>
      <c r="K189" s="194" t="n"/>
      <c r="L189" s="194" t="n"/>
      <c r="M189" s="194" t="n"/>
      <c r="N189" s="194" t="n"/>
      <c r="O189" s="194" t="n"/>
      <c r="P189" s="194" t="n"/>
      <c r="Q189" s="194" t="n"/>
      <c r="R189" s="194" t="n"/>
      <c r="S189" s="194" t="n"/>
      <c r="T189" s="194" t="n"/>
      <c r="U189" s="194" t="n"/>
      <c r="V189" s="194" t="n"/>
      <c r="W189" s="194" t="n"/>
      <c r="X189" s="194" t="n"/>
      <c r="Y189" s="194" t="n"/>
      <c r="Z189" s="194" t="n"/>
    </row>
    <row r="190" ht="15" customHeight="1" s="195">
      <c r="A190" s="211" t="inlineStr">
        <is>
          <t>4882</t>
        </is>
      </c>
      <c r="B190" s="268" t="inlineStr">
        <is>
          <t>SOLOCO</t>
        </is>
      </c>
      <c r="C190" s="269" t="inlineStr">
        <is>
          <t>PIPUS</t>
        </is>
      </c>
      <c r="G190" s="194" t="n"/>
      <c r="H190" s="194" t="n"/>
      <c r="I190" s="194" t="n"/>
      <c r="J190" s="194" t="n"/>
      <c r="K190" s="194" t="n"/>
      <c r="L190" s="194" t="n"/>
      <c r="M190" s="194" t="n"/>
      <c r="N190" s="194" t="n"/>
      <c r="O190" s="194" t="n"/>
      <c r="P190" s="194" t="n"/>
      <c r="Q190" s="194" t="n"/>
      <c r="R190" s="194" t="n"/>
      <c r="S190" s="194" t="n"/>
      <c r="T190" s="194" t="n"/>
      <c r="U190" s="194" t="n"/>
      <c r="V190" s="194" t="n"/>
      <c r="W190" s="194" t="n"/>
      <c r="X190" s="194" t="n"/>
      <c r="Y190" s="194" t="n"/>
      <c r="Z190" s="194" t="n"/>
    </row>
    <row r="191" ht="15" customHeight="1" s="195">
      <c r="A191" s="218" t="inlineStr">
        <is>
          <t>4884</t>
        </is>
      </c>
      <c r="B191" s="265" t="inlineStr">
        <is>
          <t>SONCHE</t>
        </is>
      </c>
      <c r="C191" s="266" t="inlineStr">
        <is>
          <t>PIPUS</t>
        </is>
      </c>
      <c r="G191" s="194" t="n"/>
      <c r="H191" s="194" t="n"/>
      <c r="I191" s="194" t="n"/>
      <c r="J191" s="194" t="n"/>
      <c r="K191" s="194" t="n"/>
      <c r="L191" s="194" t="n"/>
      <c r="M191" s="194" t="n"/>
      <c r="N191" s="194" t="n"/>
      <c r="O191" s="194" t="n"/>
      <c r="P191" s="194" t="n"/>
      <c r="Q191" s="194" t="n"/>
      <c r="R191" s="194" t="n"/>
      <c r="S191" s="194" t="n"/>
      <c r="T191" s="194" t="n"/>
      <c r="U191" s="194" t="n"/>
      <c r="V191" s="194" t="n"/>
      <c r="W191" s="194" t="n"/>
      <c r="X191" s="194" t="n"/>
      <c r="Y191" s="194" t="n"/>
      <c r="Z191" s="194" t="n"/>
    </row>
    <row r="192" ht="15" customHeight="1" s="195">
      <c r="A192" s="211" t="inlineStr">
        <is>
          <t>4908</t>
        </is>
      </c>
      <c r="B192" s="268" t="inlineStr">
        <is>
          <t>TACTA</t>
        </is>
      </c>
      <c r="C192" s="269" t="inlineStr">
        <is>
          <t>YERBABUENA</t>
        </is>
      </c>
      <c r="G192" s="194" t="n"/>
      <c r="H192" s="194" t="n"/>
      <c r="I192" s="194" t="n"/>
      <c r="J192" s="194" t="n"/>
      <c r="K192" s="194" t="n"/>
      <c r="L192" s="194" t="n"/>
      <c r="M192" s="194" t="n"/>
      <c r="N192" s="194" t="n"/>
      <c r="O192" s="194" t="n"/>
      <c r="P192" s="194" t="n"/>
      <c r="Q192" s="194" t="n"/>
      <c r="R192" s="194" t="n"/>
      <c r="S192" s="194" t="n"/>
      <c r="T192" s="194" t="n"/>
      <c r="U192" s="194" t="n"/>
      <c r="V192" s="194" t="n"/>
      <c r="W192" s="194" t="n"/>
      <c r="X192" s="194" t="n"/>
      <c r="Y192" s="194" t="n"/>
      <c r="Z192" s="194" t="n"/>
    </row>
    <row r="193" ht="15" customHeight="1" s="195">
      <c r="A193" s="218" t="inlineStr">
        <is>
          <t>7059</t>
        </is>
      </c>
      <c r="B193" s="265" t="inlineStr">
        <is>
          <t>TACTAMAL</t>
        </is>
      </c>
      <c r="C193" s="266" t="inlineStr">
        <is>
          <t>OCALLI</t>
        </is>
      </c>
      <c r="G193" s="194" t="n"/>
      <c r="H193" s="194" t="n"/>
      <c r="I193" s="194" t="n"/>
      <c r="J193" s="194" t="n"/>
      <c r="K193" s="194" t="n"/>
      <c r="L193" s="194" t="n"/>
      <c r="M193" s="194" t="n"/>
      <c r="N193" s="194" t="n"/>
      <c r="O193" s="194" t="n"/>
      <c r="P193" s="194" t="n"/>
      <c r="Q193" s="194" t="n"/>
      <c r="R193" s="194" t="n"/>
      <c r="S193" s="194" t="n"/>
      <c r="T193" s="194" t="n"/>
      <c r="U193" s="194" t="n"/>
      <c r="V193" s="194" t="n"/>
      <c r="W193" s="194" t="n"/>
      <c r="X193" s="194" t="n"/>
      <c r="Y193" s="194" t="n"/>
      <c r="Z193" s="194" t="n"/>
    </row>
    <row r="194" ht="15" customHeight="1" s="195">
      <c r="A194" s="211" t="inlineStr">
        <is>
          <t>4839</t>
        </is>
      </c>
      <c r="B194" s="268" t="inlineStr">
        <is>
          <t>TAQUIA</t>
        </is>
      </c>
      <c r="C194" s="269" t="inlineStr">
        <is>
          <t>CHACHAPOYAS</t>
        </is>
      </c>
      <c r="G194" s="194" t="n"/>
      <c r="H194" s="194" t="n"/>
      <c r="I194" s="194" t="n"/>
      <c r="J194" s="194" t="n"/>
      <c r="K194" s="194" t="n"/>
      <c r="L194" s="194" t="n"/>
      <c r="M194" s="194" t="n"/>
      <c r="N194" s="194" t="n"/>
      <c r="O194" s="194" t="n"/>
      <c r="P194" s="194" t="n"/>
      <c r="Q194" s="194" t="n"/>
      <c r="R194" s="194" t="n"/>
      <c r="S194" s="194" t="n"/>
      <c r="T194" s="194" t="n"/>
      <c r="U194" s="194" t="n"/>
      <c r="V194" s="194" t="n"/>
      <c r="W194" s="194" t="n"/>
      <c r="X194" s="194" t="n"/>
      <c r="Y194" s="194" t="n"/>
      <c r="Z194" s="194" t="n"/>
    </row>
    <row r="195" ht="15" customHeight="1" s="195">
      <c r="A195" s="218" t="inlineStr">
        <is>
          <t>4903</t>
        </is>
      </c>
      <c r="B195" s="265" t="inlineStr">
        <is>
          <t>TINGO</t>
        </is>
      </c>
      <c r="C195" s="266" t="inlineStr">
        <is>
          <t>TINGO</t>
        </is>
      </c>
      <c r="G195" s="194" t="n"/>
      <c r="H195" s="194" t="n"/>
      <c r="I195" s="194" t="n"/>
      <c r="J195" s="194" t="n"/>
      <c r="K195" s="194" t="n"/>
      <c r="L195" s="194" t="n"/>
      <c r="M195" s="194" t="n"/>
      <c r="N195" s="194" t="n"/>
      <c r="O195" s="194" t="n"/>
      <c r="P195" s="194" t="n"/>
      <c r="Q195" s="194" t="n"/>
      <c r="R195" s="194" t="n"/>
      <c r="S195" s="194" t="n"/>
      <c r="T195" s="194" t="n"/>
      <c r="U195" s="194" t="n"/>
      <c r="V195" s="194" t="n"/>
      <c r="W195" s="194" t="n"/>
      <c r="X195" s="194" t="n"/>
      <c r="Y195" s="194" t="n"/>
      <c r="Z195" s="194" t="n"/>
    </row>
    <row r="196" ht="15" customHeight="1" s="195">
      <c r="A196" s="211" t="inlineStr">
        <is>
          <t>7381</t>
        </is>
      </c>
      <c r="B196" s="268" t="inlineStr">
        <is>
          <t>TINTIN</t>
        </is>
      </c>
      <c r="C196" s="269" t="inlineStr">
        <is>
          <t>SANTO TOMAS</t>
        </is>
      </c>
      <c r="G196" s="194" t="n"/>
      <c r="H196" s="194" t="n"/>
      <c r="I196" s="194" t="n"/>
      <c r="J196" s="194" t="n"/>
      <c r="K196" s="194" t="n"/>
      <c r="L196" s="194" t="n"/>
      <c r="M196" s="194" t="n"/>
      <c r="N196" s="194" t="n"/>
      <c r="O196" s="194" t="n"/>
      <c r="P196" s="194" t="n"/>
      <c r="Q196" s="194" t="n"/>
      <c r="R196" s="194" t="n"/>
      <c r="S196" s="194" t="n"/>
      <c r="T196" s="194" t="n"/>
      <c r="U196" s="194" t="n"/>
      <c r="V196" s="194" t="n"/>
      <c r="W196" s="194" t="n"/>
      <c r="X196" s="194" t="n"/>
      <c r="Y196" s="194" t="n"/>
      <c r="Z196" s="194" t="n"/>
    </row>
    <row r="197" ht="15" customHeight="1" s="195">
      <c r="A197" s="218" t="inlineStr">
        <is>
          <t>4949</t>
        </is>
      </c>
      <c r="B197" s="265" t="inlineStr">
        <is>
          <t>TOCUYA</t>
        </is>
      </c>
      <c r="C197" s="266" t="inlineStr">
        <is>
          <t>OMIA</t>
        </is>
      </c>
      <c r="G197" s="194" t="n"/>
      <c r="H197" s="194" t="n"/>
      <c r="I197" s="194" t="n"/>
      <c r="J197" s="194" t="n"/>
      <c r="K197" s="194" t="n"/>
      <c r="L197" s="194" t="n"/>
      <c r="M197" s="194" t="n"/>
      <c r="N197" s="194" t="n"/>
      <c r="O197" s="194" t="n"/>
      <c r="P197" s="194" t="n"/>
      <c r="Q197" s="194" t="n"/>
      <c r="R197" s="194" t="n"/>
      <c r="S197" s="194" t="n"/>
      <c r="T197" s="194" t="n"/>
      <c r="U197" s="194" t="n"/>
      <c r="V197" s="194" t="n"/>
      <c r="W197" s="194" t="n"/>
      <c r="X197" s="194" t="n"/>
      <c r="Y197" s="194" t="n"/>
      <c r="Z197" s="194" t="n"/>
    </row>
    <row r="198" ht="15" customHeight="1" s="195">
      <c r="A198" s="211" t="inlineStr">
        <is>
          <t>4958</t>
        </is>
      </c>
      <c r="B198" s="268" t="inlineStr">
        <is>
          <t>TOTORA</t>
        </is>
      </c>
      <c r="C198" s="269" t="inlineStr">
        <is>
          <t>TOTORA</t>
        </is>
      </c>
      <c r="G198" s="194" t="n"/>
      <c r="H198" s="194" t="n"/>
      <c r="I198" s="194" t="n"/>
      <c r="J198" s="194" t="n"/>
      <c r="K198" s="194" t="n"/>
      <c r="L198" s="194" t="n"/>
      <c r="M198" s="194" t="n"/>
      <c r="N198" s="194" t="n"/>
      <c r="O198" s="194" t="n"/>
      <c r="P198" s="194" t="n"/>
      <c r="Q198" s="194" t="n"/>
      <c r="R198" s="194" t="n"/>
      <c r="S198" s="194" t="n"/>
      <c r="T198" s="194" t="n"/>
      <c r="U198" s="194" t="n"/>
      <c r="V198" s="194" t="n"/>
      <c r="W198" s="194" t="n"/>
      <c r="X198" s="194" t="n"/>
      <c r="Y198" s="194" t="n"/>
      <c r="Z198" s="194" t="n"/>
    </row>
    <row r="199" ht="15" customHeight="1" s="195">
      <c r="A199" s="218" t="inlineStr">
        <is>
          <t>4901</t>
        </is>
      </c>
      <c r="B199" s="265" t="inlineStr">
        <is>
          <t>TRIBULON</t>
        </is>
      </c>
      <c r="C199" s="266" t="inlineStr">
        <is>
          <t>TINGO</t>
        </is>
      </c>
      <c r="G199" s="194" t="n"/>
      <c r="H199" s="194" t="n"/>
      <c r="I199" s="194" t="n"/>
      <c r="J199" s="194" t="n"/>
      <c r="K199" s="194" t="n"/>
      <c r="L199" s="194" t="n"/>
      <c r="M199" s="194" t="n"/>
      <c r="N199" s="194" t="n"/>
      <c r="O199" s="194" t="n"/>
      <c r="P199" s="194" t="n"/>
      <c r="Q199" s="194" t="n"/>
      <c r="R199" s="194" t="n"/>
      <c r="S199" s="194" t="n"/>
      <c r="T199" s="194" t="n"/>
      <c r="U199" s="194" t="n"/>
      <c r="V199" s="194" t="n"/>
      <c r="W199" s="194" t="n"/>
      <c r="X199" s="194" t="n"/>
      <c r="Y199" s="194" t="n"/>
      <c r="Z199" s="194" t="n"/>
    </row>
    <row r="200" ht="15" customHeight="1" s="195">
      <c r="A200" s="211" t="inlineStr">
        <is>
          <t>4855</t>
        </is>
      </c>
      <c r="B200" s="268" t="inlineStr">
        <is>
          <t>TRITA</t>
        </is>
      </c>
      <c r="C200" s="269" t="inlineStr">
        <is>
          <t>LAMUD</t>
        </is>
      </c>
      <c r="G200" s="194" t="n"/>
      <c r="H200" s="194" t="n"/>
      <c r="I200" s="194" t="n"/>
      <c r="J200" s="194" t="n"/>
      <c r="K200" s="194" t="n"/>
      <c r="L200" s="194" t="n"/>
      <c r="M200" s="194" t="n"/>
      <c r="N200" s="194" t="n"/>
      <c r="O200" s="194" t="n"/>
      <c r="P200" s="194" t="n"/>
      <c r="Q200" s="194" t="n"/>
      <c r="R200" s="194" t="n"/>
      <c r="S200" s="194" t="n"/>
      <c r="T200" s="194" t="n"/>
      <c r="U200" s="194" t="n"/>
      <c r="V200" s="194" t="n"/>
      <c r="W200" s="194" t="n"/>
      <c r="X200" s="194" t="n"/>
      <c r="Y200" s="194" t="n"/>
      <c r="Z200" s="194" t="n"/>
    </row>
    <row r="201" ht="15" customHeight="1" s="195">
      <c r="A201" s="218" t="inlineStr">
        <is>
          <t>7058</t>
        </is>
      </c>
      <c r="B201" s="265" t="inlineStr">
        <is>
          <t>VILLA HERMOSA</t>
        </is>
      </c>
      <c r="C201" s="266" t="inlineStr">
        <is>
          <t>POMACOCHAS</t>
        </is>
      </c>
      <c r="G201" s="194" t="n"/>
      <c r="H201" s="194" t="n"/>
      <c r="I201" s="194" t="n"/>
      <c r="J201" s="194" t="n"/>
      <c r="K201" s="194" t="n"/>
      <c r="L201" s="194" t="n"/>
      <c r="M201" s="194" t="n"/>
      <c r="N201" s="194" t="n"/>
      <c r="O201" s="194" t="n"/>
      <c r="P201" s="194" t="n"/>
      <c r="Q201" s="194" t="n"/>
      <c r="R201" s="194" t="n"/>
      <c r="S201" s="194" t="n"/>
      <c r="T201" s="194" t="n"/>
      <c r="U201" s="194" t="n"/>
      <c r="V201" s="194" t="n"/>
      <c r="W201" s="194" t="n"/>
      <c r="X201" s="194" t="n"/>
      <c r="Y201" s="194" t="n"/>
      <c r="Z201" s="194" t="n"/>
    </row>
    <row r="202" ht="15" customHeight="1" s="195">
      <c r="A202" s="211" t="inlineStr">
        <is>
          <t>35428</t>
        </is>
      </c>
      <c r="B202" s="268" t="inlineStr">
        <is>
          <t>VIRGEN DE ASUNTA</t>
        </is>
      </c>
      <c r="C202" s="269" t="inlineStr">
        <is>
          <t>CHACHAPOYAS</t>
        </is>
      </c>
      <c r="G202" s="194" t="n"/>
      <c r="H202" s="194" t="n"/>
      <c r="I202" s="194" t="n"/>
      <c r="J202" s="194" t="n"/>
      <c r="K202" s="194" t="n"/>
      <c r="L202" s="194" t="n"/>
      <c r="M202" s="194" t="n"/>
      <c r="N202" s="194" t="n"/>
      <c r="O202" s="194" t="n"/>
      <c r="P202" s="194" t="n"/>
      <c r="Q202" s="194" t="n"/>
      <c r="R202" s="194" t="n"/>
      <c r="S202" s="194" t="n"/>
      <c r="T202" s="194" t="n"/>
      <c r="U202" s="194" t="n"/>
      <c r="V202" s="194" t="n"/>
      <c r="W202" s="194" t="n"/>
      <c r="X202" s="194" t="n"/>
      <c r="Y202" s="194" t="n"/>
      <c r="Z202" s="194" t="n"/>
    </row>
    <row r="203" ht="15" customHeight="1" s="195">
      <c r="A203" s="218" t="inlineStr">
        <is>
          <t>4940</t>
        </is>
      </c>
      <c r="B203" s="265" t="inlineStr">
        <is>
          <t>VISTA ALEGRE</t>
        </is>
      </c>
      <c r="C203" s="266" t="inlineStr">
        <is>
          <t>POMACOCHAS</t>
        </is>
      </c>
      <c r="G203" s="194" t="n"/>
      <c r="H203" s="194" t="n"/>
      <c r="I203" s="194" t="n"/>
      <c r="J203" s="194" t="n"/>
      <c r="K203" s="194" t="n"/>
      <c r="L203" s="194" t="n"/>
      <c r="M203" s="194" t="n"/>
      <c r="N203" s="194" t="n"/>
      <c r="O203" s="194" t="n"/>
      <c r="P203" s="194" t="n"/>
      <c r="Q203" s="194" t="n"/>
      <c r="R203" s="194" t="n"/>
      <c r="S203" s="194" t="n"/>
      <c r="T203" s="194" t="n"/>
      <c r="U203" s="194" t="n"/>
      <c r="V203" s="194" t="n"/>
      <c r="W203" s="194" t="n"/>
      <c r="X203" s="194" t="n"/>
      <c r="Y203" s="194" t="n"/>
      <c r="Z203" s="194" t="n"/>
    </row>
    <row r="204" ht="15" customHeight="1" s="195">
      <c r="A204" s="211" t="inlineStr">
        <is>
          <t>7244</t>
        </is>
      </c>
      <c r="B204" s="268" t="inlineStr">
        <is>
          <t>VISTA HERMOSA</t>
        </is>
      </c>
      <c r="C204" s="269" t="inlineStr">
        <is>
          <t>COLLONCE</t>
        </is>
      </c>
      <c r="G204" s="194" t="n"/>
      <c r="H204" s="194" t="n"/>
      <c r="I204" s="194" t="n"/>
      <c r="J204" s="194" t="n"/>
      <c r="K204" s="194" t="n"/>
      <c r="L204" s="194" t="n"/>
      <c r="M204" s="194" t="n"/>
      <c r="N204" s="194" t="n"/>
      <c r="O204" s="194" t="n"/>
      <c r="P204" s="194" t="n"/>
      <c r="Q204" s="194" t="n"/>
      <c r="R204" s="194" t="n"/>
      <c r="S204" s="194" t="n"/>
      <c r="T204" s="194" t="n"/>
      <c r="U204" s="194" t="n"/>
      <c r="V204" s="194" t="n"/>
      <c r="W204" s="194" t="n"/>
      <c r="X204" s="194" t="n"/>
      <c r="Y204" s="194" t="n"/>
      <c r="Z204" s="194" t="n"/>
    </row>
    <row r="205" ht="15" customHeight="1" s="195">
      <c r="A205" s="218" t="inlineStr">
        <is>
          <t>7252</t>
        </is>
      </c>
      <c r="B205" s="265" t="inlineStr">
        <is>
          <t>VISTA HERMOZA DE OMIA</t>
        </is>
      </c>
      <c r="C205" s="266" t="inlineStr">
        <is>
          <t>ZARUMILLA</t>
        </is>
      </c>
      <c r="G205" s="194" t="n"/>
      <c r="H205" s="194" t="n"/>
      <c r="I205" s="194" t="n"/>
      <c r="J205" s="194" t="n"/>
      <c r="K205" s="194" t="n"/>
      <c r="L205" s="194" t="n"/>
      <c r="M205" s="194" t="n"/>
      <c r="N205" s="194" t="n"/>
      <c r="O205" s="194" t="n"/>
      <c r="P205" s="194" t="n"/>
      <c r="Q205" s="194" t="n"/>
      <c r="R205" s="194" t="n"/>
      <c r="S205" s="194" t="n"/>
      <c r="T205" s="194" t="n"/>
      <c r="U205" s="194" t="n"/>
      <c r="V205" s="194" t="n"/>
      <c r="W205" s="194" t="n"/>
      <c r="X205" s="194" t="n"/>
      <c r="Y205" s="194" t="n"/>
      <c r="Z205" s="194" t="n"/>
    </row>
    <row r="206" ht="15" customHeight="1" s="195">
      <c r="A206" s="211" t="inlineStr">
        <is>
          <t>4879</t>
        </is>
      </c>
      <c r="B206" s="268" t="inlineStr">
        <is>
          <t>VITUYA</t>
        </is>
      </c>
      <c r="C206" s="269" t="inlineStr">
        <is>
          <t>PIPUS</t>
        </is>
      </c>
      <c r="G206" s="194" t="n"/>
      <c r="H206" s="194" t="n"/>
      <c r="I206" s="194" t="n"/>
      <c r="J206" s="194" t="n"/>
      <c r="K206" s="194" t="n"/>
      <c r="L206" s="194" t="n"/>
      <c r="M206" s="194" t="n"/>
      <c r="N206" s="194" t="n"/>
      <c r="O206" s="194" t="n"/>
      <c r="P206" s="194" t="n"/>
      <c r="Q206" s="194" t="n"/>
      <c r="R206" s="194" t="n"/>
      <c r="S206" s="194" t="n"/>
      <c r="T206" s="194" t="n"/>
      <c r="U206" s="194" t="n"/>
      <c r="V206" s="194" t="n"/>
      <c r="W206" s="194" t="n"/>
      <c r="X206" s="194" t="n"/>
      <c r="Y206" s="194" t="n"/>
      <c r="Z206" s="194" t="n"/>
    </row>
    <row r="207" ht="15" customHeight="1" s="195">
      <c r="A207" s="218" t="inlineStr">
        <is>
          <t>4938</t>
        </is>
      </c>
      <c r="B207" s="265" t="inlineStr">
        <is>
          <t>YAMBRASBAMBA</t>
        </is>
      </c>
      <c r="C207" s="266" t="inlineStr">
        <is>
          <t>POMACOCHAS</t>
        </is>
      </c>
      <c r="G207" s="194" t="n"/>
      <c r="H207" s="194" t="n"/>
      <c r="I207" s="194" t="n"/>
      <c r="J207" s="194" t="n"/>
      <c r="K207" s="194" t="n"/>
      <c r="L207" s="194" t="n"/>
      <c r="M207" s="194" t="n"/>
      <c r="N207" s="194" t="n"/>
      <c r="O207" s="194" t="n"/>
      <c r="P207" s="194" t="n"/>
      <c r="Q207" s="194" t="n"/>
      <c r="R207" s="194" t="n"/>
      <c r="S207" s="194" t="n"/>
      <c r="T207" s="194" t="n"/>
      <c r="U207" s="194" t="n"/>
      <c r="V207" s="194" t="n"/>
      <c r="W207" s="194" t="n"/>
      <c r="X207" s="194" t="n"/>
      <c r="Y207" s="194" t="n"/>
      <c r="Z207" s="194" t="n"/>
    </row>
    <row r="208" ht="15" customHeight="1" s="195">
      <c r="A208" s="211" t="inlineStr">
        <is>
          <t>7060</t>
        </is>
      </c>
      <c r="B208" s="268" t="inlineStr">
        <is>
          <t>YAULICACHI</t>
        </is>
      </c>
      <c r="C208" s="269" t="inlineStr">
        <is>
          <t>COLLONCE</t>
        </is>
      </c>
      <c r="G208" s="194" t="n"/>
      <c r="H208" s="194" t="n"/>
      <c r="I208" s="194" t="n"/>
      <c r="J208" s="194" t="n"/>
      <c r="K208" s="194" t="n"/>
      <c r="L208" s="194" t="n"/>
      <c r="M208" s="194" t="n"/>
      <c r="N208" s="194" t="n"/>
      <c r="O208" s="194" t="n"/>
      <c r="P208" s="194" t="n"/>
      <c r="Q208" s="194" t="n"/>
      <c r="R208" s="194" t="n"/>
      <c r="S208" s="194" t="n"/>
      <c r="T208" s="194" t="n"/>
      <c r="U208" s="194" t="n"/>
      <c r="V208" s="194" t="n"/>
      <c r="W208" s="194" t="n"/>
      <c r="X208" s="194" t="n"/>
      <c r="Y208" s="194" t="n"/>
      <c r="Z208" s="194" t="n"/>
    </row>
    <row r="209" ht="15" customHeight="1" s="195">
      <c r="A209" s="218" t="inlineStr">
        <is>
          <t>4904</t>
        </is>
      </c>
      <c r="B209" s="265" t="inlineStr">
        <is>
          <t>YERBABUENA</t>
        </is>
      </c>
      <c r="C209" s="266" t="inlineStr">
        <is>
          <t>YERBABUENA</t>
        </is>
      </c>
      <c r="G209" s="194" t="n"/>
      <c r="H209" s="194" t="n"/>
      <c r="I209" s="194" t="n"/>
      <c r="J209" s="194" t="n"/>
      <c r="K209" s="194" t="n"/>
      <c r="L209" s="194" t="n"/>
      <c r="M209" s="194" t="n"/>
      <c r="N209" s="194" t="n"/>
      <c r="O209" s="194" t="n"/>
      <c r="P209" s="194" t="n"/>
      <c r="Q209" s="194" t="n"/>
      <c r="R209" s="194" t="n"/>
      <c r="S209" s="194" t="n"/>
      <c r="T209" s="194" t="n"/>
      <c r="U209" s="194" t="n"/>
      <c r="V209" s="194" t="n"/>
      <c r="W209" s="194" t="n"/>
      <c r="X209" s="194" t="n"/>
      <c r="Y209" s="194" t="n"/>
      <c r="Z209" s="194" t="n"/>
    </row>
    <row r="210" ht="15" customHeight="1" s="195">
      <c r="A210" s="211" t="inlineStr">
        <is>
          <t>4886</t>
        </is>
      </c>
      <c r="B210" s="268" t="inlineStr">
        <is>
          <t>YOMBLON DE COCABAMBA</t>
        </is>
      </c>
      <c r="C210" s="269" t="inlineStr">
        <is>
          <t>MARIA</t>
        </is>
      </c>
      <c r="G210" s="194" t="n"/>
      <c r="H210" s="194" t="n"/>
      <c r="I210" s="194" t="n"/>
      <c r="J210" s="194" t="n"/>
      <c r="K210" s="194" t="n"/>
      <c r="L210" s="194" t="n"/>
      <c r="M210" s="194" t="n"/>
      <c r="N210" s="194" t="n"/>
      <c r="O210" s="194" t="n"/>
      <c r="P210" s="194" t="n"/>
      <c r="Q210" s="194" t="n"/>
      <c r="R210" s="194" t="n"/>
      <c r="S210" s="194" t="n"/>
      <c r="T210" s="194" t="n"/>
      <c r="U210" s="194" t="n"/>
      <c r="V210" s="194" t="n"/>
      <c r="W210" s="194" t="n"/>
      <c r="X210" s="194" t="n"/>
      <c r="Y210" s="194" t="n"/>
      <c r="Z210" s="194" t="n"/>
    </row>
    <row r="211" ht="15" customHeight="1" s="195">
      <c r="A211" s="218" t="inlineStr">
        <is>
          <t>4900</t>
        </is>
      </c>
      <c r="B211" s="265" t="inlineStr">
        <is>
          <t>YOMBLON DE PISUQUIA</t>
        </is>
      </c>
      <c r="C211" s="266" t="inlineStr">
        <is>
          <t>TINGO</t>
        </is>
      </c>
      <c r="G211" s="194" t="n"/>
      <c r="H211" s="194" t="n"/>
      <c r="I211" s="194" t="n"/>
      <c r="J211" s="194" t="n"/>
      <c r="K211" s="194" t="n"/>
      <c r="L211" s="194" t="n"/>
      <c r="M211" s="194" t="n"/>
      <c r="N211" s="194" t="n"/>
      <c r="O211" s="194" t="n"/>
      <c r="P211" s="194" t="n"/>
      <c r="Q211" s="194" t="n"/>
      <c r="R211" s="194" t="n"/>
      <c r="S211" s="194" t="n"/>
      <c r="T211" s="194" t="n"/>
      <c r="U211" s="194" t="n"/>
      <c r="V211" s="194" t="n"/>
      <c r="W211" s="194" t="n"/>
      <c r="X211" s="194" t="n"/>
      <c r="Y211" s="194" t="n"/>
      <c r="Z211" s="194" t="n"/>
    </row>
    <row r="212" ht="15" customHeight="1" s="195">
      <c r="A212" s="314" t="inlineStr">
        <is>
          <t>4954</t>
        </is>
      </c>
      <c r="B212" s="315" t="inlineStr">
        <is>
          <t>ZARUMILLA</t>
        </is>
      </c>
      <c r="C212" s="316" t="inlineStr">
        <is>
          <t>ZARUMILLA</t>
        </is>
      </c>
      <c r="G212" s="194" t="n"/>
      <c r="H212" s="194" t="n"/>
      <c r="I212" s="194" t="n"/>
      <c r="J212" s="194" t="n"/>
      <c r="K212" s="194" t="n"/>
      <c r="L212" s="194" t="n"/>
      <c r="M212" s="194" t="n"/>
      <c r="N212" s="194" t="n"/>
      <c r="O212" s="194" t="n"/>
      <c r="P212" s="194" t="n"/>
      <c r="Q212" s="194" t="n"/>
      <c r="R212" s="194" t="n"/>
      <c r="S212" s="194" t="n"/>
      <c r="T212" s="194" t="n"/>
      <c r="U212" s="194" t="n"/>
      <c r="V212" s="194" t="n"/>
      <c r="W212" s="194" t="n"/>
      <c r="X212" s="194" t="n"/>
      <c r="Y212" s="194" t="n"/>
      <c r="Z212" s="194" t="n"/>
    </row>
    <row r="213" ht="15.75" customHeight="1" s="195">
      <c r="G213" s="194" t="n"/>
      <c r="H213" s="194" t="n"/>
      <c r="I213" s="194" t="n"/>
      <c r="J213" s="194" t="n"/>
      <c r="K213" s="194" t="n"/>
      <c r="L213" s="194" t="n"/>
      <c r="M213" s="194" t="n"/>
      <c r="N213" s="194" t="n"/>
      <c r="O213" s="194" t="n"/>
      <c r="P213" s="194" t="n"/>
      <c r="Q213" s="194" t="n"/>
      <c r="R213" s="194" t="n"/>
      <c r="S213" s="194" t="n"/>
      <c r="T213" s="194" t="n"/>
      <c r="U213" s="194" t="n"/>
      <c r="V213" s="194" t="n"/>
      <c r="W213" s="194" t="n"/>
      <c r="X213" s="194" t="n"/>
      <c r="Y213" s="194" t="n"/>
      <c r="Z213" s="194" t="n"/>
    </row>
    <row r="214" ht="15.75" customHeight="1" s="195">
      <c r="G214" s="194" t="n"/>
      <c r="H214" s="194" t="n"/>
      <c r="I214" s="194" t="n"/>
      <c r="J214" s="194" t="n"/>
      <c r="K214" s="194" t="n"/>
      <c r="L214" s="194" t="n"/>
      <c r="M214" s="194" t="n"/>
      <c r="N214" s="194" t="n"/>
      <c r="O214" s="194" t="n"/>
      <c r="P214" s="194" t="n"/>
      <c r="Q214" s="194" t="n"/>
      <c r="R214" s="194" t="n"/>
      <c r="S214" s="194" t="n"/>
      <c r="T214" s="194" t="n"/>
      <c r="U214" s="194" t="n"/>
      <c r="V214" s="194" t="n"/>
      <c r="W214" s="194" t="n"/>
      <c r="X214" s="194" t="n"/>
      <c r="Y214" s="194" t="n"/>
      <c r="Z214" s="194" t="n"/>
    </row>
    <row r="215" ht="15.75" customHeight="1" s="195">
      <c r="G215" s="194" t="n"/>
      <c r="H215" s="194" t="n"/>
      <c r="I215" s="194" t="n"/>
      <c r="J215" s="194" t="n"/>
      <c r="K215" s="194" t="n"/>
      <c r="L215" s="194" t="n"/>
      <c r="M215" s="194" t="n"/>
      <c r="N215" s="194" t="n"/>
      <c r="O215" s="194" t="n"/>
      <c r="P215" s="194" t="n"/>
      <c r="Q215" s="194" t="n"/>
      <c r="R215" s="194" t="n"/>
      <c r="S215" s="194" t="n"/>
      <c r="T215" s="194" t="n"/>
      <c r="U215" s="194" t="n"/>
      <c r="V215" s="194" t="n"/>
      <c r="W215" s="194" t="n"/>
      <c r="X215" s="194" t="n"/>
      <c r="Y215" s="194" t="n"/>
      <c r="Z215" s="194" t="n"/>
    </row>
    <row r="216" ht="15.75" customHeight="1" s="195">
      <c r="G216" s="194" t="n"/>
      <c r="H216" s="194" t="n"/>
      <c r="I216" s="194" t="n"/>
      <c r="J216" s="194" t="n"/>
      <c r="K216" s="194" t="n"/>
      <c r="L216" s="194" t="n"/>
      <c r="M216" s="194" t="n"/>
      <c r="N216" s="194" t="n"/>
      <c r="O216" s="194" t="n"/>
      <c r="P216" s="194" t="n"/>
      <c r="Q216" s="194" t="n"/>
      <c r="R216" s="194" t="n"/>
      <c r="S216" s="194" t="n"/>
      <c r="T216" s="194" t="n"/>
      <c r="U216" s="194" t="n"/>
      <c r="V216" s="194" t="n"/>
      <c r="W216" s="194" t="n"/>
      <c r="X216" s="194" t="n"/>
      <c r="Y216" s="194" t="n"/>
      <c r="Z216" s="194" t="n"/>
    </row>
    <row r="217" ht="15.75" customHeight="1" s="195">
      <c r="G217" s="194" t="n"/>
      <c r="H217" s="194" t="n"/>
      <c r="I217" s="194" t="n"/>
      <c r="J217" s="194" t="n"/>
      <c r="K217" s="194" t="n"/>
      <c r="L217" s="194" t="n"/>
      <c r="M217" s="194" t="n"/>
      <c r="N217" s="194" t="n"/>
      <c r="O217" s="194" t="n"/>
      <c r="P217" s="194" t="n"/>
      <c r="Q217" s="194" t="n"/>
      <c r="R217" s="194" t="n"/>
      <c r="S217" s="194" t="n"/>
      <c r="T217" s="194" t="n"/>
      <c r="U217" s="194" t="n"/>
      <c r="V217" s="194" t="n"/>
      <c r="W217" s="194" t="n"/>
      <c r="X217" s="194" t="n"/>
      <c r="Y217" s="194" t="n"/>
      <c r="Z217" s="194" t="n"/>
    </row>
    <row r="218" ht="15.75" customHeight="1" s="195">
      <c r="G218" s="194" t="n"/>
      <c r="H218" s="194" t="n"/>
      <c r="I218" s="194" t="n"/>
      <c r="J218" s="194" t="n"/>
      <c r="K218" s="194" t="n"/>
      <c r="L218" s="194" t="n"/>
      <c r="M218" s="194" t="n"/>
      <c r="N218" s="194" t="n"/>
      <c r="O218" s="194" t="n"/>
      <c r="P218" s="194" t="n"/>
      <c r="Q218" s="194" t="n"/>
      <c r="R218" s="194" t="n"/>
      <c r="S218" s="194" t="n"/>
      <c r="T218" s="194" t="n"/>
      <c r="U218" s="194" t="n"/>
      <c r="V218" s="194" t="n"/>
      <c r="W218" s="194" t="n"/>
      <c r="X218" s="194" t="n"/>
      <c r="Y218" s="194" t="n"/>
      <c r="Z218" s="194" t="n"/>
    </row>
    <row r="219" ht="15.75" customHeight="1" s="195">
      <c r="G219" s="194" t="n"/>
      <c r="H219" s="194" t="n"/>
      <c r="I219" s="194" t="n"/>
      <c r="J219" s="194" t="n"/>
      <c r="K219" s="194" t="n"/>
      <c r="L219" s="194" t="n"/>
      <c r="M219" s="194" t="n"/>
      <c r="N219" s="194" t="n"/>
      <c r="O219" s="194" t="n"/>
      <c r="P219" s="194" t="n"/>
      <c r="Q219" s="194" t="n"/>
      <c r="R219" s="194" t="n"/>
      <c r="S219" s="194" t="n"/>
      <c r="T219" s="194" t="n"/>
      <c r="U219" s="194" t="n"/>
      <c r="V219" s="194" t="n"/>
      <c r="W219" s="194" t="n"/>
      <c r="X219" s="194" t="n"/>
      <c r="Y219" s="194" t="n"/>
      <c r="Z219" s="194" t="n"/>
    </row>
    <row r="220" ht="15.75" customHeight="1" s="195">
      <c r="G220" s="194" t="n"/>
      <c r="H220" s="194" t="n"/>
      <c r="I220" s="194" t="n"/>
      <c r="J220" s="194" t="n"/>
      <c r="K220" s="194" t="n"/>
      <c r="L220" s="194" t="n"/>
      <c r="M220" s="194" t="n"/>
      <c r="N220" s="194" t="n"/>
      <c r="O220" s="194" t="n"/>
      <c r="P220" s="194" t="n"/>
      <c r="Q220" s="194" t="n"/>
      <c r="R220" s="194" t="n"/>
      <c r="S220" s="194" t="n"/>
      <c r="T220" s="194" t="n"/>
      <c r="U220" s="194" t="n"/>
      <c r="V220" s="194" t="n"/>
      <c r="W220" s="194" t="n"/>
      <c r="X220" s="194" t="n"/>
      <c r="Y220" s="194" t="n"/>
      <c r="Z220" s="194" t="n"/>
    </row>
    <row r="221" ht="15.75" customHeight="1" s="195">
      <c r="G221" s="194" t="n"/>
      <c r="H221" s="194" t="n"/>
      <c r="I221" s="194" t="n"/>
      <c r="J221" s="194" t="n"/>
      <c r="K221" s="194" t="n"/>
      <c r="L221" s="194" t="n"/>
      <c r="M221" s="194" t="n"/>
      <c r="N221" s="194" t="n"/>
      <c r="O221" s="194" t="n"/>
      <c r="P221" s="194" t="n"/>
      <c r="Q221" s="194" t="n"/>
      <c r="R221" s="194" t="n"/>
      <c r="S221" s="194" t="n"/>
      <c r="T221" s="194" t="n"/>
      <c r="U221" s="194" t="n"/>
      <c r="V221" s="194" t="n"/>
      <c r="W221" s="194" t="n"/>
      <c r="X221" s="194" t="n"/>
      <c r="Y221" s="194" t="n"/>
      <c r="Z221" s="194" t="n"/>
    </row>
    <row r="222" ht="15.75" customHeight="1" s="195">
      <c r="G222" s="194" t="n"/>
      <c r="H222" s="194" t="n"/>
      <c r="I222" s="194" t="n"/>
      <c r="J222" s="194" t="n"/>
      <c r="K222" s="194" t="n"/>
      <c r="L222" s="194" t="n"/>
      <c r="M222" s="194" t="n"/>
      <c r="N222" s="194" t="n"/>
      <c r="O222" s="194" t="n"/>
      <c r="P222" s="194" t="n"/>
      <c r="Q222" s="194" t="n"/>
      <c r="R222" s="194" t="n"/>
      <c r="S222" s="194" t="n"/>
      <c r="T222" s="194" t="n"/>
      <c r="U222" s="194" t="n"/>
      <c r="V222" s="194" t="n"/>
      <c r="W222" s="194" t="n"/>
      <c r="X222" s="194" t="n"/>
      <c r="Y222" s="194" t="n"/>
      <c r="Z222" s="194" t="n"/>
    </row>
    <row r="223" ht="15.75" customHeight="1" s="195">
      <c r="G223" s="194" t="n"/>
      <c r="H223" s="194" t="n"/>
      <c r="I223" s="194" t="n"/>
      <c r="J223" s="194" t="n"/>
      <c r="K223" s="194" t="n"/>
      <c r="L223" s="194" t="n"/>
      <c r="M223" s="194" t="n"/>
      <c r="N223" s="194" t="n"/>
      <c r="O223" s="194" t="n"/>
      <c r="P223" s="194" t="n"/>
      <c r="Q223" s="194" t="n"/>
      <c r="R223" s="194" t="n"/>
      <c r="S223" s="194" t="n"/>
      <c r="T223" s="194" t="n"/>
      <c r="U223" s="194" t="n"/>
      <c r="V223" s="194" t="n"/>
      <c r="W223" s="194" t="n"/>
      <c r="X223" s="194" t="n"/>
      <c r="Y223" s="194" t="n"/>
      <c r="Z223" s="194" t="n"/>
    </row>
    <row r="224" ht="15.75" customHeight="1" s="195">
      <c r="G224" s="194" t="n"/>
      <c r="H224" s="194" t="n"/>
      <c r="I224" s="194" t="n"/>
      <c r="J224" s="194" t="n"/>
      <c r="K224" s="194" t="n"/>
      <c r="L224" s="194" t="n"/>
      <c r="M224" s="194" t="n"/>
      <c r="N224" s="194" t="n"/>
      <c r="O224" s="194" t="n"/>
      <c r="P224" s="194" t="n"/>
      <c r="Q224" s="194" t="n"/>
      <c r="R224" s="194" t="n"/>
      <c r="S224" s="194" t="n"/>
      <c r="T224" s="194" t="n"/>
      <c r="U224" s="194" t="n"/>
      <c r="V224" s="194" t="n"/>
      <c r="W224" s="194" t="n"/>
      <c r="X224" s="194" t="n"/>
      <c r="Y224" s="194" t="n"/>
      <c r="Z224" s="194" t="n"/>
    </row>
    <row r="225" ht="15.75" customHeight="1" s="195">
      <c r="G225" s="194" t="n"/>
      <c r="H225" s="194" t="n"/>
      <c r="I225" s="194" t="n"/>
      <c r="J225" s="194" t="n"/>
      <c r="K225" s="194" t="n"/>
      <c r="L225" s="194" t="n"/>
      <c r="M225" s="194" t="n"/>
      <c r="N225" s="194" t="n"/>
      <c r="O225" s="194" t="n"/>
      <c r="P225" s="194" t="n"/>
      <c r="Q225" s="194" t="n"/>
      <c r="R225" s="194" t="n"/>
      <c r="S225" s="194" t="n"/>
      <c r="T225" s="194" t="n"/>
      <c r="U225" s="194" t="n"/>
      <c r="V225" s="194" t="n"/>
      <c r="W225" s="194" t="n"/>
      <c r="X225" s="194" t="n"/>
      <c r="Y225" s="194" t="n"/>
      <c r="Z225" s="194" t="n"/>
    </row>
    <row r="226" ht="15.75" customHeight="1" s="195">
      <c r="G226" s="194" t="n"/>
      <c r="H226" s="194" t="n"/>
      <c r="I226" s="194" t="n"/>
      <c r="J226" s="194" t="n"/>
      <c r="K226" s="194" t="n"/>
      <c r="L226" s="194" t="n"/>
      <c r="M226" s="194" t="n"/>
      <c r="N226" s="194" t="n"/>
      <c r="O226" s="194" t="n"/>
      <c r="P226" s="194" t="n"/>
      <c r="Q226" s="194" t="n"/>
      <c r="R226" s="194" t="n"/>
      <c r="S226" s="194" t="n"/>
      <c r="T226" s="194" t="n"/>
      <c r="U226" s="194" t="n"/>
      <c r="V226" s="194" t="n"/>
      <c r="W226" s="194" t="n"/>
      <c r="X226" s="194" t="n"/>
      <c r="Y226" s="194" t="n"/>
      <c r="Z226" s="194" t="n"/>
    </row>
    <row r="227" ht="15.75" customHeight="1" s="195">
      <c r="G227" s="194" t="n"/>
      <c r="H227" s="194" t="n"/>
      <c r="I227" s="194" t="n"/>
      <c r="J227" s="194" t="n"/>
      <c r="K227" s="194" t="n"/>
      <c r="L227" s="194" t="n"/>
      <c r="M227" s="194" t="n"/>
      <c r="N227" s="194" t="n"/>
      <c r="O227" s="194" t="n"/>
      <c r="P227" s="194" t="n"/>
      <c r="Q227" s="194" t="n"/>
      <c r="R227" s="194" t="n"/>
      <c r="S227" s="194" t="n"/>
      <c r="T227" s="194" t="n"/>
      <c r="U227" s="194" t="n"/>
      <c r="V227" s="194" t="n"/>
      <c r="W227" s="194" t="n"/>
      <c r="X227" s="194" t="n"/>
      <c r="Y227" s="194" t="n"/>
      <c r="Z227" s="194" t="n"/>
    </row>
    <row r="228" ht="15.75" customHeight="1" s="195">
      <c r="G228" s="194" t="n"/>
      <c r="H228" s="194" t="n"/>
      <c r="I228" s="194" t="n"/>
      <c r="J228" s="194" t="n"/>
      <c r="K228" s="194" t="n"/>
      <c r="L228" s="194" t="n"/>
      <c r="M228" s="194" t="n"/>
      <c r="N228" s="194" t="n"/>
      <c r="O228" s="194" t="n"/>
      <c r="P228" s="194" t="n"/>
      <c r="Q228" s="194" t="n"/>
      <c r="R228" s="194" t="n"/>
      <c r="S228" s="194" t="n"/>
      <c r="T228" s="194" t="n"/>
      <c r="U228" s="194" t="n"/>
      <c r="V228" s="194" t="n"/>
      <c r="W228" s="194" t="n"/>
      <c r="X228" s="194" t="n"/>
      <c r="Y228" s="194" t="n"/>
      <c r="Z228" s="194" t="n"/>
    </row>
    <row r="229" ht="15.75" customHeight="1" s="195">
      <c r="G229" s="194" t="n"/>
      <c r="H229" s="194" t="n"/>
      <c r="I229" s="194" t="n"/>
      <c r="J229" s="194" t="n"/>
      <c r="K229" s="194" t="n"/>
      <c r="L229" s="194" t="n"/>
      <c r="M229" s="194" t="n"/>
      <c r="N229" s="194" t="n"/>
      <c r="O229" s="194" t="n"/>
      <c r="P229" s="194" t="n"/>
      <c r="Q229" s="194" t="n"/>
      <c r="R229" s="194" t="n"/>
      <c r="S229" s="194" t="n"/>
      <c r="T229" s="194" t="n"/>
      <c r="U229" s="194" t="n"/>
      <c r="V229" s="194" t="n"/>
      <c r="W229" s="194" t="n"/>
      <c r="X229" s="194" t="n"/>
      <c r="Y229" s="194" t="n"/>
      <c r="Z229" s="194" t="n"/>
    </row>
    <row r="230" ht="15.75" customHeight="1" s="195">
      <c r="G230" s="194" t="n"/>
      <c r="H230" s="194" t="n"/>
      <c r="I230" s="194" t="n"/>
      <c r="J230" s="194" t="n"/>
      <c r="K230" s="194" t="n"/>
      <c r="L230" s="194" t="n"/>
      <c r="M230" s="194" t="n"/>
      <c r="N230" s="194" t="n"/>
      <c r="O230" s="194" t="n"/>
      <c r="P230" s="194" t="n"/>
      <c r="Q230" s="194" t="n"/>
      <c r="R230" s="194" t="n"/>
      <c r="S230" s="194" t="n"/>
      <c r="T230" s="194" t="n"/>
      <c r="U230" s="194" t="n"/>
      <c r="V230" s="194" t="n"/>
      <c r="W230" s="194" t="n"/>
      <c r="X230" s="194" t="n"/>
      <c r="Y230" s="194" t="n"/>
      <c r="Z230" s="194" t="n"/>
    </row>
    <row r="231" ht="15.75" customHeight="1" s="195">
      <c r="G231" s="194" t="n"/>
      <c r="H231" s="194" t="n"/>
      <c r="I231" s="194" t="n"/>
      <c r="J231" s="194" t="n"/>
      <c r="K231" s="194" t="n"/>
      <c r="L231" s="194" t="n"/>
      <c r="M231" s="194" t="n"/>
      <c r="N231" s="194" t="n"/>
      <c r="O231" s="194" t="n"/>
      <c r="P231" s="194" t="n"/>
      <c r="Q231" s="194" t="n"/>
      <c r="R231" s="194" t="n"/>
      <c r="S231" s="194" t="n"/>
      <c r="T231" s="194" t="n"/>
      <c r="U231" s="194" t="n"/>
      <c r="V231" s="194" t="n"/>
      <c r="W231" s="194" t="n"/>
      <c r="X231" s="194" t="n"/>
      <c r="Y231" s="194" t="n"/>
      <c r="Z231" s="194" t="n"/>
    </row>
    <row r="232" ht="15.75" customHeight="1" s="195">
      <c r="G232" s="194" t="n"/>
      <c r="H232" s="194" t="n"/>
      <c r="I232" s="194" t="n"/>
      <c r="J232" s="194" t="n"/>
      <c r="K232" s="194" t="n"/>
      <c r="L232" s="194" t="n"/>
      <c r="M232" s="194" t="n"/>
      <c r="N232" s="194" t="n"/>
      <c r="O232" s="194" t="n"/>
      <c r="P232" s="194" t="n"/>
      <c r="Q232" s="194" t="n"/>
      <c r="R232" s="194" t="n"/>
      <c r="S232" s="194" t="n"/>
      <c r="T232" s="194" t="n"/>
      <c r="U232" s="194" t="n"/>
      <c r="V232" s="194" t="n"/>
      <c r="W232" s="194" t="n"/>
      <c r="X232" s="194" t="n"/>
      <c r="Y232" s="194" t="n"/>
      <c r="Z232" s="194" t="n"/>
    </row>
    <row r="233" ht="15.75" customHeight="1" s="195">
      <c r="G233" s="194" t="n"/>
      <c r="H233" s="194" t="n"/>
      <c r="I233" s="194" t="n"/>
      <c r="J233" s="194" t="n"/>
      <c r="K233" s="194" t="n"/>
      <c r="L233" s="194" t="n"/>
      <c r="M233" s="194" t="n"/>
      <c r="N233" s="194" t="n"/>
      <c r="O233" s="194" t="n"/>
      <c r="P233" s="194" t="n"/>
      <c r="Q233" s="194" t="n"/>
      <c r="R233" s="194" t="n"/>
      <c r="S233" s="194" t="n"/>
      <c r="T233" s="194" t="n"/>
      <c r="U233" s="194" t="n"/>
      <c r="V233" s="194" t="n"/>
      <c r="W233" s="194" t="n"/>
      <c r="X233" s="194" t="n"/>
      <c r="Y233" s="194" t="n"/>
      <c r="Z233" s="194" t="n"/>
    </row>
    <row r="234" ht="15.75" customHeight="1" s="195">
      <c r="G234" s="194" t="n"/>
      <c r="H234" s="194" t="n"/>
      <c r="I234" s="194" t="n"/>
      <c r="J234" s="194" t="n"/>
      <c r="K234" s="194" t="n"/>
      <c r="L234" s="194" t="n"/>
      <c r="M234" s="194" t="n"/>
      <c r="N234" s="194" t="n"/>
      <c r="O234" s="194" t="n"/>
      <c r="P234" s="194" t="n"/>
      <c r="Q234" s="194" t="n"/>
      <c r="R234" s="194" t="n"/>
      <c r="S234" s="194" t="n"/>
      <c r="T234" s="194" t="n"/>
      <c r="U234" s="194" t="n"/>
      <c r="V234" s="194" t="n"/>
      <c r="W234" s="194" t="n"/>
      <c r="X234" s="194" t="n"/>
      <c r="Y234" s="194" t="n"/>
      <c r="Z234" s="194" t="n"/>
    </row>
    <row r="235" ht="15.75" customHeight="1" s="195">
      <c r="G235" s="194" t="n"/>
      <c r="H235" s="194" t="n"/>
      <c r="I235" s="194" t="n"/>
      <c r="J235" s="194" t="n"/>
      <c r="K235" s="194" t="n"/>
      <c r="L235" s="194" t="n"/>
      <c r="M235" s="194" t="n"/>
      <c r="N235" s="194" t="n"/>
      <c r="O235" s="194" t="n"/>
      <c r="P235" s="194" t="n"/>
      <c r="Q235" s="194" t="n"/>
      <c r="R235" s="194" t="n"/>
      <c r="S235" s="194" t="n"/>
      <c r="T235" s="194" t="n"/>
      <c r="U235" s="194" t="n"/>
      <c r="V235" s="194" t="n"/>
      <c r="W235" s="194" t="n"/>
      <c r="X235" s="194" t="n"/>
      <c r="Y235" s="194" t="n"/>
      <c r="Z235" s="194" t="n"/>
    </row>
    <row r="236" ht="15.75" customHeight="1" s="195">
      <c r="G236" s="194" t="n"/>
      <c r="H236" s="194" t="n"/>
      <c r="I236" s="194" t="n"/>
      <c r="J236" s="194" t="n"/>
      <c r="K236" s="194" t="n"/>
      <c r="L236" s="194" t="n"/>
      <c r="M236" s="194" t="n"/>
      <c r="N236" s="194" t="n"/>
      <c r="O236" s="194" t="n"/>
      <c r="P236" s="194" t="n"/>
      <c r="Q236" s="194" t="n"/>
      <c r="R236" s="194" t="n"/>
      <c r="S236" s="194" t="n"/>
      <c r="T236" s="194" t="n"/>
      <c r="U236" s="194" t="n"/>
      <c r="V236" s="194" t="n"/>
      <c r="W236" s="194" t="n"/>
      <c r="X236" s="194" t="n"/>
      <c r="Y236" s="194" t="n"/>
      <c r="Z236" s="194" t="n"/>
    </row>
    <row r="237" ht="15.75" customHeight="1" s="195">
      <c r="G237" s="194" t="n"/>
      <c r="H237" s="194" t="n"/>
      <c r="I237" s="194" t="n"/>
      <c r="J237" s="194" t="n"/>
      <c r="K237" s="194" t="n"/>
      <c r="L237" s="194" t="n"/>
      <c r="M237" s="194" t="n"/>
      <c r="N237" s="194" t="n"/>
      <c r="O237" s="194" t="n"/>
      <c r="P237" s="194" t="n"/>
      <c r="Q237" s="194" t="n"/>
      <c r="R237" s="194" t="n"/>
      <c r="S237" s="194" t="n"/>
      <c r="T237" s="194" t="n"/>
      <c r="U237" s="194" t="n"/>
      <c r="V237" s="194" t="n"/>
      <c r="W237" s="194" t="n"/>
      <c r="X237" s="194" t="n"/>
      <c r="Y237" s="194" t="n"/>
      <c r="Z237" s="194" t="n"/>
    </row>
    <row r="238" ht="15.75" customHeight="1" s="195">
      <c r="G238" s="194" t="n"/>
      <c r="H238" s="194" t="n"/>
      <c r="I238" s="194" t="n"/>
      <c r="J238" s="194" t="n"/>
      <c r="K238" s="194" t="n"/>
      <c r="L238" s="194" t="n"/>
      <c r="M238" s="194" t="n"/>
      <c r="N238" s="194" t="n"/>
      <c r="O238" s="194" t="n"/>
      <c r="P238" s="194" t="n"/>
      <c r="Q238" s="194" t="n"/>
      <c r="R238" s="194" t="n"/>
      <c r="S238" s="194" t="n"/>
      <c r="T238" s="194" t="n"/>
      <c r="U238" s="194" t="n"/>
      <c r="V238" s="194" t="n"/>
      <c r="W238" s="194" t="n"/>
      <c r="X238" s="194" t="n"/>
      <c r="Y238" s="194" t="n"/>
      <c r="Z238" s="194" t="n"/>
    </row>
    <row r="239" ht="15.75" customHeight="1" s="195">
      <c r="G239" s="194" t="n"/>
      <c r="H239" s="194" t="n"/>
      <c r="I239" s="194" t="n"/>
      <c r="J239" s="194" t="n"/>
      <c r="K239" s="194" t="n"/>
      <c r="L239" s="194" t="n"/>
      <c r="M239" s="194" t="n"/>
      <c r="N239" s="194" t="n"/>
      <c r="O239" s="194" t="n"/>
      <c r="P239" s="194" t="n"/>
      <c r="Q239" s="194" t="n"/>
      <c r="R239" s="194" t="n"/>
      <c r="S239" s="194" t="n"/>
      <c r="T239" s="194" t="n"/>
      <c r="U239" s="194" t="n"/>
      <c r="V239" s="194" t="n"/>
      <c r="W239" s="194" t="n"/>
      <c r="X239" s="194" t="n"/>
      <c r="Y239" s="194" t="n"/>
      <c r="Z239" s="194" t="n"/>
    </row>
    <row r="240" ht="15.75" customHeight="1" s="195">
      <c r="G240" s="194" t="n"/>
      <c r="H240" s="194" t="n"/>
      <c r="I240" s="194" t="n"/>
      <c r="J240" s="194" t="n"/>
      <c r="K240" s="194" t="n"/>
      <c r="L240" s="194" t="n"/>
      <c r="M240" s="194" t="n"/>
      <c r="N240" s="194" t="n"/>
      <c r="O240" s="194" t="n"/>
      <c r="P240" s="194" t="n"/>
      <c r="Q240" s="194" t="n"/>
      <c r="R240" s="194" t="n"/>
      <c r="S240" s="194" t="n"/>
      <c r="T240" s="194" t="n"/>
      <c r="U240" s="194" t="n"/>
      <c r="V240" s="194" t="n"/>
      <c r="W240" s="194" t="n"/>
      <c r="X240" s="194" t="n"/>
      <c r="Y240" s="194" t="n"/>
      <c r="Z240" s="194" t="n"/>
    </row>
    <row r="241" ht="15.75" customHeight="1" s="195">
      <c r="G241" s="194" t="n"/>
      <c r="H241" s="194" t="n"/>
      <c r="I241" s="194" t="n"/>
      <c r="J241" s="194" t="n"/>
      <c r="K241" s="194" t="n"/>
      <c r="L241" s="194" t="n"/>
      <c r="M241" s="194" t="n"/>
      <c r="N241" s="194" t="n"/>
      <c r="O241" s="194" t="n"/>
      <c r="P241" s="194" t="n"/>
      <c r="Q241" s="194" t="n"/>
      <c r="R241" s="194" t="n"/>
      <c r="S241" s="194" t="n"/>
      <c r="T241" s="194" t="n"/>
      <c r="U241" s="194" t="n"/>
      <c r="V241" s="194" t="n"/>
      <c r="W241" s="194" t="n"/>
      <c r="X241" s="194" t="n"/>
      <c r="Y241" s="194" t="n"/>
      <c r="Z241" s="194" t="n"/>
    </row>
    <row r="242" ht="15.75" customHeight="1" s="195">
      <c r="G242" s="194" t="n"/>
      <c r="H242" s="194" t="n"/>
      <c r="I242" s="194" t="n"/>
      <c r="J242" s="194" t="n"/>
      <c r="K242" s="194" t="n"/>
      <c r="L242" s="194" t="n"/>
      <c r="M242" s="194" t="n"/>
      <c r="N242" s="194" t="n"/>
      <c r="O242" s="194" t="n"/>
      <c r="P242" s="194" t="n"/>
      <c r="Q242" s="194" t="n"/>
      <c r="R242" s="194" t="n"/>
      <c r="S242" s="194" t="n"/>
      <c r="T242" s="194" t="n"/>
      <c r="U242" s="194" t="n"/>
      <c r="V242" s="194" t="n"/>
      <c r="W242" s="194" t="n"/>
      <c r="X242" s="194" t="n"/>
      <c r="Y242" s="194" t="n"/>
      <c r="Z242" s="194" t="n"/>
    </row>
    <row r="243" ht="15.75" customHeight="1" s="195">
      <c r="G243" s="194" t="n"/>
      <c r="H243" s="194" t="n"/>
      <c r="I243" s="194" t="n"/>
      <c r="J243" s="194" t="n"/>
      <c r="K243" s="194" t="n"/>
      <c r="L243" s="194" t="n"/>
      <c r="M243" s="194" t="n"/>
      <c r="N243" s="194" t="n"/>
      <c r="O243" s="194" t="n"/>
      <c r="P243" s="194" t="n"/>
      <c r="Q243" s="194" t="n"/>
      <c r="R243" s="194" t="n"/>
      <c r="S243" s="194" t="n"/>
      <c r="T243" s="194" t="n"/>
      <c r="U243" s="194" t="n"/>
      <c r="V243" s="194" t="n"/>
      <c r="W243" s="194" t="n"/>
      <c r="X243" s="194" t="n"/>
      <c r="Y243" s="194" t="n"/>
      <c r="Z243" s="194" t="n"/>
    </row>
    <row r="244" ht="15.75" customHeight="1" s="195">
      <c r="G244" s="194" t="n"/>
      <c r="H244" s="194" t="n"/>
      <c r="I244" s="194" t="n"/>
      <c r="J244" s="194" t="n"/>
      <c r="K244" s="194" t="n"/>
      <c r="L244" s="194" t="n"/>
      <c r="M244" s="194" t="n"/>
      <c r="N244" s="194" t="n"/>
      <c r="O244" s="194" t="n"/>
      <c r="P244" s="194" t="n"/>
      <c r="Q244" s="194" t="n"/>
      <c r="R244" s="194" t="n"/>
      <c r="S244" s="194" t="n"/>
      <c r="T244" s="194" t="n"/>
      <c r="U244" s="194" t="n"/>
      <c r="V244" s="194" t="n"/>
      <c r="W244" s="194" t="n"/>
      <c r="X244" s="194" t="n"/>
      <c r="Y244" s="194" t="n"/>
      <c r="Z244" s="194" t="n"/>
    </row>
    <row r="245" ht="15.75" customHeight="1" s="195">
      <c r="G245" s="194" t="n"/>
      <c r="H245" s="194" t="n"/>
      <c r="I245" s="194" t="n"/>
      <c r="J245" s="194" t="n"/>
      <c r="K245" s="194" t="n"/>
      <c r="L245" s="194" t="n"/>
      <c r="M245" s="194" t="n"/>
      <c r="N245" s="194" t="n"/>
      <c r="O245" s="194" t="n"/>
      <c r="P245" s="194" t="n"/>
      <c r="Q245" s="194" t="n"/>
      <c r="R245" s="194" t="n"/>
      <c r="S245" s="194" t="n"/>
      <c r="T245" s="194" t="n"/>
      <c r="U245" s="194" t="n"/>
      <c r="V245" s="194" t="n"/>
      <c r="W245" s="194" t="n"/>
      <c r="X245" s="194" t="n"/>
      <c r="Y245" s="194" t="n"/>
      <c r="Z245" s="194" t="n"/>
    </row>
    <row r="246" ht="15.75" customHeight="1" s="195">
      <c r="G246" s="194" t="n"/>
      <c r="H246" s="194" t="n"/>
      <c r="I246" s="194" t="n"/>
      <c r="J246" s="194" t="n"/>
      <c r="K246" s="194" t="n"/>
      <c r="L246" s="194" t="n"/>
      <c r="M246" s="194" t="n"/>
      <c r="N246" s="194" t="n"/>
      <c r="O246" s="194" t="n"/>
      <c r="P246" s="194" t="n"/>
      <c r="Q246" s="194" t="n"/>
      <c r="R246" s="194" t="n"/>
      <c r="S246" s="194" t="n"/>
      <c r="T246" s="194" t="n"/>
      <c r="U246" s="194" t="n"/>
      <c r="V246" s="194" t="n"/>
      <c r="W246" s="194" t="n"/>
      <c r="X246" s="194" t="n"/>
      <c r="Y246" s="194" t="n"/>
      <c r="Z246" s="194" t="n"/>
    </row>
    <row r="247" ht="15.75" customHeight="1" s="195">
      <c r="G247" s="194" t="n"/>
      <c r="H247" s="194" t="n"/>
      <c r="I247" s="194" t="n"/>
      <c r="J247" s="194" t="n"/>
      <c r="K247" s="194" t="n"/>
      <c r="L247" s="194" t="n"/>
      <c r="M247" s="194" t="n"/>
      <c r="N247" s="194" t="n"/>
      <c r="O247" s="194" t="n"/>
      <c r="P247" s="194" t="n"/>
      <c r="Q247" s="194" t="n"/>
      <c r="R247" s="194" t="n"/>
      <c r="S247" s="194" t="n"/>
      <c r="T247" s="194" t="n"/>
      <c r="U247" s="194" t="n"/>
      <c r="V247" s="194" t="n"/>
      <c r="W247" s="194" t="n"/>
      <c r="X247" s="194" t="n"/>
      <c r="Y247" s="194" t="n"/>
      <c r="Z247" s="194" t="n"/>
    </row>
    <row r="248" ht="15.75" customHeight="1" s="195">
      <c r="G248" s="194" t="n"/>
      <c r="H248" s="194" t="n"/>
      <c r="I248" s="194" t="n"/>
      <c r="J248" s="194" t="n"/>
      <c r="K248" s="194" t="n"/>
      <c r="L248" s="194" t="n"/>
      <c r="M248" s="194" t="n"/>
      <c r="N248" s="194" t="n"/>
      <c r="O248" s="194" t="n"/>
      <c r="P248" s="194" t="n"/>
      <c r="Q248" s="194" t="n"/>
      <c r="R248" s="194" t="n"/>
      <c r="S248" s="194" t="n"/>
      <c r="T248" s="194" t="n"/>
      <c r="U248" s="194" t="n"/>
      <c r="V248" s="194" t="n"/>
      <c r="W248" s="194" t="n"/>
      <c r="X248" s="194" t="n"/>
      <c r="Y248" s="194" t="n"/>
      <c r="Z248" s="194" t="n"/>
    </row>
    <row r="249" ht="15.75" customHeight="1" s="195">
      <c r="G249" s="194" t="n"/>
      <c r="H249" s="194" t="n"/>
      <c r="I249" s="194" t="n"/>
      <c r="J249" s="194" t="n"/>
      <c r="K249" s="194" t="n"/>
      <c r="L249" s="194" t="n"/>
      <c r="M249" s="194" t="n"/>
      <c r="N249" s="194" t="n"/>
      <c r="O249" s="194" t="n"/>
      <c r="P249" s="194" t="n"/>
      <c r="Q249" s="194" t="n"/>
      <c r="R249" s="194" t="n"/>
      <c r="S249" s="194" t="n"/>
      <c r="T249" s="194" t="n"/>
      <c r="U249" s="194" t="n"/>
      <c r="V249" s="194" t="n"/>
      <c r="W249" s="194" t="n"/>
      <c r="X249" s="194" t="n"/>
      <c r="Y249" s="194" t="n"/>
      <c r="Z249" s="194" t="n"/>
    </row>
    <row r="250" ht="15.75" customHeight="1" s="195">
      <c r="G250" s="194" t="n"/>
      <c r="H250" s="194" t="n"/>
      <c r="I250" s="194" t="n"/>
      <c r="J250" s="194" t="n"/>
      <c r="K250" s="194" t="n"/>
      <c r="L250" s="194" t="n"/>
      <c r="M250" s="194" t="n"/>
      <c r="N250" s="194" t="n"/>
      <c r="O250" s="194" t="n"/>
      <c r="P250" s="194" t="n"/>
      <c r="Q250" s="194" t="n"/>
      <c r="R250" s="194" t="n"/>
      <c r="S250" s="194" t="n"/>
      <c r="T250" s="194" t="n"/>
      <c r="U250" s="194" t="n"/>
      <c r="V250" s="194" t="n"/>
      <c r="W250" s="194" t="n"/>
      <c r="X250" s="194" t="n"/>
      <c r="Y250" s="194" t="n"/>
      <c r="Z250" s="194" t="n"/>
    </row>
    <row r="251" ht="15.75" customHeight="1" s="195">
      <c r="G251" s="194" t="n"/>
      <c r="H251" s="194" t="n"/>
      <c r="I251" s="194" t="n"/>
      <c r="J251" s="194" t="n"/>
      <c r="K251" s="194" t="n"/>
      <c r="L251" s="194" t="n"/>
      <c r="M251" s="194" t="n"/>
      <c r="N251" s="194" t="n"/>
      <c r="O251" s="194" t="n"/>
      <c r="P251" s="194" t="n"/>
      <c r="Q251" s="194" t="n"/>
      <c r="R251" s="194" t="n"/>
      <c r="S251" s="194" t="n"/>
      <c r="T251" s="194" t="n"/>
      <c r="U251" s="194" t="n"/>
      <c r="V251" s="194" t="n"/>
      <c r="W251" s="194" t="n"/>
      <c r="X251" s="194" t="n"/>
      <c r="Y251" s="194" t="n"/>
      <c r="Z251" s="194" t="n"/>
    </row>
    <row r="252" ht="15.75" customHeight="1" s="195">
      <c r="G252" s="194" t="n"/>
      <c r="H252" s="194" t="n"/>
      <c r="I252" s="194" t="n"/>
      <c r="J252" s="194" t="n"/>
      <c r="K252" s="194" t="n"/>
      <c r="L252" s="194" t="n"/>
      <c r="M252" s="194" t="n"/>
      <c r="N252" s="194" t="n"/>
      <c r="O252" s="194" t="n"/>
      <c r="P252" s="194" t="n"/>
      <c r="Q252" s="194" t="n"/>
      <c r="R252" s="194" t="n"/>
      <c r="S252" s="194" t="n"/>
      <c r="T252" s="194" t="n"/>
      <c r="U252" s="194" t="n"/>
      <c r="V252" s="194" t="n"/>
      <c r="W252" s="194" t="n"/>
      <c r="X252" s="194" t="n"/>
      <c r="Y252" s="194" t="n"/>
      <c r="Z252" s="194" t="n"/>
    </row>
    <row r="253" ht="15.75" customHeight="1" s="195">
      <c r="G253" s="194" t="n"/>
      <c r="H253" s="194" t="n"/>
      <c r="I253" s="194" t="n"/>
      <c r="J253" s="194" t="n"/>
      <c r="K253" s="194" t="n"/>
      <c r="L253" s="194" t="n"/>
      <c r="M253" s="194" t="n"/>
      <c r="N253" s="194" t="n"/>
      <c r="O253" s="194" t="n"/>
      <c r="P253" s="194" t="n"/>
      <c r="Q253" s="194" t="n"/>
      <c r="R253" s="194" t="n"/>
      <c r="S253" s="194" t="n"/>
      <c r="T253" s="194" t="n"/>
      <c r="U253" s="194" t="n"/>
      <c r="V253" s="194" t="n"/>
      <c r="W253" s="194" t="n"/>
      <c r="X253" s="194" t="n"/>
      <c r="Y253" s="194" t="n"/>
      <c r="Z253" s="194" t="n"/>
    </row>
    <row r="254" ht="15.75" customHeight="1" s="195">
      <c r="G254" s="194" t="n"/>
      <c r="H254" s="194" t="n"/>
      <c r="I254" s="194" t="n"/>
      <c r="J254" s="194" t="n"/>
      <c r="K254" s="194" t="n"/>
      <c r="L254" s="194" t="n"/>
      <c r="M254" s="194" t="n"/>
      <c r="N254" s="194" t="n"/>
      <c r="O254" s="194" t="n"/>
      <c r="P254" s="194" t="n"/>
      <c r="Q254" s="194" t="n"/>
      <c r="R254" s="194" t="n"/>
      <c r="S254" s="194" t="n"/>
      <c r="T254" s="194" t="n"/>
      <c r="U254" s="194" t="n"/>
      <c r="V254" s="194" t="n"/>
      <c r="W254" s="194" t="n"/>
      <c r="X254" s="194" t="n"/>
      <c r="Y254" s="194" t="n"/>
      <c r="Z254" s="194" t="n"/>
    </row>
    <row r="255" ht="15.75" customHeight="1" s="195">
      <c r="G255" s="194" t="n"/>
      <c r="H255" s="194" t="n"/>
      <c r="I255" s="194" t="n"/>
      <c r="J255" s="194" t="n"/>
      <c r="K255" s="194" t="n"/>
      <c r="L255" s="194" t="n"/>
      <c r="M255" s="194" t="n"/>
      <c r="N255" s="194" t="n"/>
      <c r="O255" s="194" t="n"/>
      <c r="P255" s="194" t="n"/>
      <c r="Q255" s="194" t="n"/>
      <c r="R255" s="194" t="n"/>
      <c r="S255" s="194" t="n"/>
      <c r="T255" s="194" t="n"/>
      <c r="U255" s="194" t="n"/>
      <c r="V255" s="194" t="n"/>
      <c r="W255" s="194" t="n"/>
      <c r="X255" s="194" t="n"/>
      <c r="Y255" s="194" t="n"/>
      <c r="Z255" s="194" t="n"/>
    </row>
    <row r="256" ht="15.75" customHeight="1" s="195">
      <c r="G256" s="194" t="n"/>
      <c r="H256" s="194" t="n"/>
      <c r="I256" s="194" t="n"/>
      <c r="J256" s="194" t="n"/>
      <c r="K256" s="194" t="n"/>
      <c r="L256" s="194" t="n"/>
      <c r="M256" s="194" t="n"/>
      <c r="N256" s="194" t="n"/>
      <c r="O256" s="194" t="n"/>
      <c r="P256" s="194" t="n"/>
      <c r="Q256" s="194" t="n"/>
      <c r="R256" s="194" t="n"/>
      <c r="S256" s="194" t="n"/>
      <c r="T256" s="194" t="n"/>
      <c r="U256" s="194" t="n"/>
      <c r="V256" s="194" t="n"/>
      <c r="W256" s="194" t="n"/>
      <c r="X256" s="194" t="n"/>
      <c r="Y256" s="194" t="n"/>
      <c r="Z256" s="194" t="n"/>
    </row>
    <row r="257" ht="15.75" customHeight="1" s="195">
      <c r="G257" s="194" t="n"/>
      <c r="H257" s="194" t="n"/>
      <c r="I257" s="194" t="n"/>
      <c r="J257" s="194" t="n"/>
      <c r="K257" s="194" t="n"/>
      <c r="L257" s="194" t="n"/>
      <c r="M257" s="194" t="n"/>
      <c r="N257" s="194" t="n"/>
      <c r="O257" s="194" t="n"/>
      <c r="P257" s="194" t="n"/>
      <c r="Q257" s="194" t="n"/>
      <c r="R257" s="194" t="n"/>
      <c r="S257" s="194" t="n"/>
      <c r="T257" s="194" t="n"/>
      <c r="U257" s="194" t="n"/>
      <c r="V257" s="194" t="n"/>
      <c r="W257" s="194" t="n"/>
      <c r="X257" s="194" t="n"/>
      <c r="Y257" s="194" t="n"/>
      <c r="Z257" s="194" t="n"/>
    </row>
    <row r="258" ht="15.75" customHeight="1" s="195">
      <c r="G258" s="194" t="n"/>
      <c r="H258" s="194" t="n"/>
      <c r="I258" s="194" t="n"/>
      <c r="J258" s="194" t="n"/>
      <c r="K258" s="194" t="n"/>
      <c r="L258" s="194" t="n"/>
      <c r="M258" s="194" t="n"/>
      <c r="N258" s="194" t="n"/>
      <c r="O258" s="194" t="n"/>
      <c r="P258" s="194" t="n"/>
      <c r="Q258" s="194" t="n"/>
      <c r="R258" s="194" t="n"/>
      <c r="S258" s="194" t="n"/>
      <c r="T258" s="194" t="n"/>
      <c r="U258" s="194" t="n"/>
      <c r="V258" s="194" t="n"/>
      <c r="W258" s="194" t="n"/>
      <c r="X258" s="194" t="n"/>
      <c r="Y258" s="194" t="n"/>
      <c r="Z258" s="194" t="n"/>
    </row>
    <row r="259" ht="15.75" customHeight="1" s="195">
      <c r="G259" s="194" t="n"/>
      <c r="H259" s="194" t="n"/>
      <c r="I259" s="194" t="n"/>
      <c r="J259" s="194" t="n"/>
      <c r="K259" s="194" t="n"/>
      <c r="L259" s="194" t="n"/>
      <c r="M259" s="194" t="n"/>
      <c r="N259" s="194" t="n"/>
      <c r="O259" s="194" t="n"/>
      <c r="P259" s="194" t="n"/>
      <c r="Q259" s="194" t="n"/>
      <c r="R259" s="194" t="n"/>
      <c r="S259" s="194" t="n"/>
      <c r="T259" s="194" t="n"/>
      <c r="U259" s="194" t="n"/>
      <c r="V259" s="194" t="n"/>
      <c r="W259" s="194" t="n"/>
      <c r="X259" s="194" t="n"/>
      <c r="Y259" s="194" t="n"/>
      <c r="Z259" s="194" t="n"/>
    </row>
    <row r="260" ht="15.75" customHeight="1" s="195">
      <c r="G260" s="194" t="n"/>
      <c r="H260" s="194" t="n"/>
      <c r="I260" s="194" t="n"/>
      <c r="J260" s="194" t="n"/>
      <c r="K260" s="194" t="n"/>
      <c r="L260" s="194" t="n"/>
      <c r="M260" s="194" t="n"/>
      <c r="N260" s="194" t="n"/>
      <c r="O260" s="194" t="n"/>
      <c r="P260" s="194" t="n"/>
      <c r="Q260" s="194" t="n"/>
      <c r="R260" s="194" t="n"/>
      <c r="S260" s="194" t="n"/>
      <c r="T260" s="194" t="n"/>
      <c r="U260" s="194" t="n"/>
      <c r="V260" s="194" t="n"/>
      <c r="W260" s="194" t="n"/>
      <c r="X260" s="194" t="n"/>
      <c r="Y260" s="194" t="n"/>
      <c r="Z260" s="194" t="n"/>
    </row>
    <row r="261" ht="15.75" customHeight="1" s="195">
      <c r="G261" s="194" t="n"/>
      <c r="H261" s="194" t="n"/>
      <c r="I261" s="194" t="n"/>
      <c r="J261" s="194" t="n"/>
      <c r="K261" s="194" t="n"/>
      <c r="L261" s="194" t="n"/>
      <c r="M261" s="194" t="n"/>
      <c r="N261" s="194" t="n"/>
      <c r="O261" s="194" t="n"/>
      <c r="P261" s="194" t="n"/>
      <c r="Q261" s="194" t="n"/>
      <c r="R261" s="194" t="n"/>
      <c r="S261" s="194" t="n"/>
      <c r="T261" s="194" t="n"/>
      <c r="U261" s="194" t="n"/>
      <c r="V261" s="194" t="n"/>
      <c r="W261" s="194" t="n"/>
      <c r="X261" s="194" t="n"/>
      <c r="Y261" s="194" t="n"/>
      <c r="Z261" s="194" t="n"/>
    </row>
    <row r="262" ht="15.75" customHeight="1" s="195">
      <c r="G262" s="194" t="n"/>
      <c r="H262" s="194" t="n"/>
      <c r="I262" s="194" t="n"/>
      <c r="J262" s="194" t="n"/>
      <c r="K262" s="194" t="n"/>
      <c r="L262" s="194" t="n"/>
      <c r="M262" s="194" t="n"/>
      <c r="N262" s="194" t="n"/>
      <c r="O262" s="194" t="n"/>
      <c r="P262" s="194" t="n"/>
      <c r="Q262" s="194" t="n"/>
      <c r="R262" s="194" t="n"/>
      <c r="S262" s="194" t="n"/>
      <c r="T262" s="194" t="n"/>
      <c r="U262" s="194" t="n"/>
      <c r="V262" s="194" t="n"/>
      <c r="W262" s="194" t="n"/>
      <c r="X262" s="194" t="n"/>
      <c r="Y262" s="194" t="n"/>
      <c r="Z262" s="194" t="n"/>
    </row>
    <row r="263" ht="15.75" customHeight="1" s="195">
      <c r="G263" s="194" t="n"/>
      <c r="H263" s="194" t="n"/>
      <c r="I263" s="194" t="n"/>
      <c r="J263" s="194" t="n"/>
      <c r="K263" s="194" t="n"/>
      <c r="L263" s="194" t="n"/>
      <c r="M263" s="194" t="n"/>
      <c r="N263" s="194" t="n"/>
      <c r="O263" s="194" t="n"/>
      <c r="P263" s="194" t="n"/>
      <c r="Q263" s="194" t="n"/>
      <c r="R263" s="194" t="n"/>
      <c r="S263" s="194" t="n"/>
      <c r="T263" s="194" t="n"/>
      <c r="U263" s="194" t="n"/>
      <c r="V263" s="194" t="n"/>
      <c r="W263" s="194" t="n"/>
      <c r="X263" s="194" t="n"/>
      <c r="Y263" s="194" t="n"/>
      <c r="Z263" s="194" t="n"/>
    </row>
    <row r="264" ht="15.75" customHeight="1" s="195">
      <c r="G264" s="194" t="n"/>
      <c r="H264" s="194" t="n"/>
      <c r="I264" s="194" t="n"/>
      <c r="J264" s="194" t="n"/>
      <c r="K264" s="194" t="n"/>
      <c r="L264" s="194" t="n"/>
      <c r="M264" s="194" t="n"/>
      <c r="N264" s="194" t="n"/>
      <c r="O264" s="194" t="n"/>
      <c r="P264" s="194" t="n"/>
      <c r="Q264" s="194" t="n"/>
      <c r="R264" s="194" t="n"/>
      <c r="S264" s="194" t="n"/>
      <c r="T264" s="194" t="n"/>
      <c r="U264" s="194" t="n"/>
      <c r="V264" s="194" t="n"/>
      <c r="W264" s="194" t="n"/>
      <c r="X264" s="194" t="n"/>
      <c r="Y264" s="194" t="n"/>
      <c r="Z264" s="194" t="n"/>
    </row>
    <row r="265" ht="15.75" customHeight="1" s="195">
      <c r="G265" s="194" t="n"/>
      <c r="H265" s="194" t="n"/>
      <c r="I265" s="194" t="n"/>
      <c r="J265" s="194" t="n"/>
      <c r="K265" s="194" t="n"/>
      <c r="L265" s="194" t="n"/>
      <c r="M265" s="194" t="n"/>
      <c r="N265" s="194" t="n"/>
      <c r="O265" s="194" t="n"/>
      <c r="P265" s="194" t="n"/>
      <c r="Q265" s="194" t="n"/>
      <c r="R265" s="194" t="n"/>
      <c r="S265" s="194" t="n"/>
      <c r="T265" s="194" t="n"/>
      <c r="U265" s="194" t="n"/>
      <c r="V265" s="194" t="n"/>
      <c r="W265" s="194" t="n"/>
      <c r="X265" s="194" t="n"/>
      <c r="Y265" s="194" t="n"/>
      <c r="Z265" s="194" t="n"/>
    </row>
    <row r="266" ht="15.75" customHeight="1" s="195">
      <c r="G266" s="194" t="n"/>
      <c r="H266" s="194" t="n"/>
      <c r="I266" s="194" t="n"/>
      <c r="J266" s="194" t="n"/>
      <c r="K266" s="194" t="n"/>
      <c r="L266" s="194" t="n"/>
      <c r="M266" s="194" t="n"/>
      <c r="N266" s="194" t="n"/>
      <c r="O266" s="194" t="n"/>
      <c r="P266" s="194" t="n"/>
      <c r="Q266" s="194" t="n"/>
      <c r="R266" s="194" t="n"/>
      <c r="S266" s="194" t="n"/>
      <c r="T266" s="194" t="n"/>
      <c r="U266" s="194" t="n"/>
      <c r="V266" s="194" t="n"/>
      <c r="W266" s="194" t="n"/>
      <c r="X266" s="194" t="n"/>
      <c r="Y266" s="194" t="n"/>
      <c r="Z266" s="194" t="n"/>
    </row>
    <row r="267" ht="15.75" customHeight="1" s="195">
      <c r="G267" s="194" t="n"/>
      <c r="H267" s="194" t="n"/>
      <c r="I267" s="194" t="n"/>
      <c r="J267" s="194" t="n"/>
      <c r="K267" s="194" t="n"/>
      <c r="L267" s="194" t="n"/>
      <c r="M267" s="194" t="n"/>
      <c r="N267" s="194" t="n"/>
      <c r="O267" s="194" t="n"/>
      <c r="P267" s="194" t="n"/>
      <c r="Q267" s="194" t="n"/>
      <c r="R267" s="194" t="n"/>
      <c r="S267" s="194" t="n"/>
      <c r="T267" s="194" t="n"/>
      <c r="U267" s="194" t="n"/>
      <c r="V267" s="194" t="n"/>
      <c r="W267" s="194" t="n"/>
      <c r="X267" s="194" t="n"/>
      <c r="Y267" s="194" t="n"/>
      <c r="Z267" s="194" t="n"/>
    </row>
    <row r="268" ht="15.75" customHeight="1" s="195">
      <c r="G268" s="194" t="n"/>
      <c r="H268" s="194" t="n"/>
      <c r="I268" s="194" t="n"/>
      <c r="J268" s="194" t="n"/>
      <c r="K268" s="194" t="n"/>
      <c r="L268" s="194" t="n"/>
      <c r="M268" s="194" t="n"/>
      <c r="N268" s="194" t="n"/>
      <c r="O268" s="194" t="n"/>
      <c r="P268" s="194" t="n"/>
      <c r="Q268" s="194" t="n"/>
      <c r="R268" s="194" t="n"/>
      <c r="S268" s="194" t="n"/>
      <c r="T268" s="194" t="n"/>
      <c r="U268" s="194" t="n"/>
      <c r="V268" s="194" t="n"/>
      <c r="W268" s="194" t="n"/>
      <c r="X268" s="194" t="n"/>
      <c r="Y268" s="194" t="n"/>
      <c r="Z268" s="194" t="n"/>
    </row>
    <row r="269" ht="15.75" customHeight="1" s="195">
      <c r="G269" s="194" t="n"/>
      <c r="H269" s="194" t="n"/>
      <c r="I269" s="194" t="n"/>
      <c r="J269" s="194" t="n"/>
      <c r="K269" s="194" t="n"/>
      <c r="L269" s="194" t="n"/>
      <c r="M269" s="194" t="n"/>
      <c r="N269" s="194" t="n"/>
      <c r="O269" s="194" t="n"/>
      <c r="P269" s="194" t="n"/>
      <c r="Q269" s="194" t="n"/>
      <c r="R269" s="194" t="n"/>
      <c r="S269" s="194" t="n"/>
      <c r="T269" s="194" t="n"/>
      <c r="U269" s="194" t="n"/>
      <c r="V269" s="194" t="n"/>
      <c r="W269" s="194" t="n"/>
      <c r="X269" s="194" t="n"/>
      <c r="Y269" s="194" t="n"/>
      <c r="Z269" s="194" t="n"/>
    </row>
    <row r="270" ht="15.75" customHeight="1" s="195">
      <c r="G270" s="194" t="n"/>
      <c r="H270" s="194" t="n"/>
      <c r="I270" s="194" t="n"/>
      <c r="J270" s="194" t="n"/>
      <c r="K270" s="194" t="n"/>
      <c r="L270" s="194" t="n"/>
      <c r="M270" s="194" t="n"/>
      <c r="N270" s="194" t="n"/>
      <c r="O270" s="194" t="n"/>
      <c r="P270" s="194" t="n"/>
      <c r="Q270" s="194" t="n"/>
      <c r="R270" s="194" t="n"/>
      <c r="S270" s="194" t="n"/>
      <c r="T270" s="194" t="n"/>
      <c r="U270" s="194" t="n"/>
      <c r="V270" s="194" t="n"/>
      <c r="W270" s="194" t="n"/>
      <c r="X270" s="194" t="n"/>
      <c r="Y270" s="194" t="n"/>
      <c r="Z270" s="194" t="n"/>
    </row>
    <row r="271" ht="15.75" customHeight="1" s="195">
      <c r="G271" s="194" t="n"/>
      <c r="H271" s="194" t="n"/>
      <c r="I271" s="194" t="n"/>
      <c r="J271" s="194" t="n"/>
      <c r="K271" s="194" t="n"/>
      <c r="L271" s="194" t="n"/>
      <c r="M271" s="194" t="n"/>
      <c r="N271" s="194" t="n"/>
      <c r="O271" s="194" t="n"/>
      <c r="P271" s="194" t="n"/>
      <c r="Q271" s="194" t="n"/>
      <c r="R271" s="194" t="n"/>
      <c r="S271" s="194" t="n"/>
      <c r="T271" s="194" t="n"/>
      <c r="U271" s="194" t="n"/>
      <c r="V271" s="194" t="n"/>
      <c r="W271" s="194" t="n"/>
      <c r="X271" s="194" t="n"/>
      <c r="Y271" s="194" t="n"/>
      <c r="Z271" s="194" t="n"/>
    </row>
    <row r="272" ht="15.75" customHeight="1" s="195">
      <c r="G272" s="194" t="n"/>
      <c r="H272" s="194" t="n"/>
      <c r="I272" s="194" t="n"/>
      <c r="J272" s="194" t="n"/>
      <c r="K272" s="194" t="n"/>
      <c r="L272" s="194" t="n"/>
      <c r="M272" s="194" t="n"/>
      <c r="N272" s="194" t="n"/>
      <c r="O272" s="194" t="n"/>
      <c r="P272" s="194" t="n"/>
      <c r="Q272" s="194" t="n"/>
      <c r="R272" s="194" t="n"/>
      <c r="S272" s="194" t="n"/>
      <c r="T272" s="194" t="n"/>
      <c r="U272" s="194" t="n"/>
      <c r="V272" s="194" t="n"/>
      <c r="W272" s="194" t="n"/>
      <c r="X272" s="194" t="n"/>
      <c r="Y272" s="194" t="n"/>
      <c r="Z272" s="194" t="n"/>
    </row>
    <row r="273" ht="15.75" customHeight="1" s="195">
      <c r="G273" s="194" t="n"/>
      <c r="H273" s="194" t="n"/>
      <c r="I273" s="194" t="n"/>
      <c r="J273" s="194" t="n"/>
      <c r="K273" s="194" t="n"/>
      <c r="L273" s="194" t="n"/>
      <c r="M273" s="194" t="n"/>
      <c r="N273" s="194" t="n"/>
      <c r="O273" s="194" t="n"/>
      <c r="P273" s="194" t="n"/>
      <c r="Q273" s="194" t="n"/>
      <c r="R273" s="194" t="n"/>
      <c r="S273" s="194" t="n"/>
      <c r="T273" s="194" t="n"/>
      <c r="U273" s="194" t="n"/>
      <c r="V273" s="194" t="n"/>
      <c r="W273" s="194" t="n"/>
      <c r="X273" s="194" t="n"/>
      <c r="Y273" s="194" t="n"/>
      <c r="Z273" s="194" t="n"/>
    </row>
    <row r="274" ht="15.75" customHeight="1" s="195">
      <c r="G274" s="194" t="n"/>
      <c r="H274" s="194" t="n"/>
      <c r="I274" s="194" t="n"/>
      <c r="J274" s="194" t="n"/>
      <c r="K274" s="194" t="n"/>
      <c r="L274" s="194" t="n"/>
      <c r="M274" s="194" t="n"/>
      <c r="N274" s="194" t="n"/>
      <c r="O274" s="194" t="n"/>
      <c r="P274" s="194" t="n"/>
      <c r="Q274" s="194" t="n"/>
      <c r="R274" s="194" t="n"/>
      <c r="S274" s="194" t="n"/>
      <c r="T274" s="194" t="n"/>
      <c r="U274" s="194" t="n"/>
      <c r="V274" s="194" t="n"/>
      <c r="W274" s="194" t="n"/>
      <c r="X274" s="194" t="n"/>
      <c r="Y274" s="194" t="n"/>
      <c r="Z274" s="194" t="n"/>
    </row>
    <row r="275" ht="15.75" customHeight="1" s="195">
      <c r="G275" s="194" t="n"/>
      <c r="H275" s="194" t="n"/>
      <c r="I275" s="194" t="n"/>
      <c r="J275" s="194" t="n"/>
      <c r="K275" s="194" t="n"/>
      <c r="L275" s="194" t="n"/>
      <c r="M275" s="194" t="n"/>
      <c r="N275" s="194" t="n"/>
      <c r="O275" s="194" t="n"/>
      <c r="P275" s="194" t="n"/>
      <c r="Q275" s="194" t="n"/>
      <c r="R275" s="194" t="n"/>
      <c r="S275" s="194" t="n"/>
      <c r="T275" s="194" t="n"/>
      <c r="U275" s="194" t="n"/>
      <c r="V275" s="194" t="n"/>
      <c r="W275" s="194" t="n"/>
      <c r="X275" s="194" t="n"/>
      <c r="Y275" s="194" t="n"/>
      <c r="Z275" s="194" t="n"/>
    </row>
    <row r="276" ht="15.75" customHeight="1" s="195">
      <c r="G276" s="194" t="n"/>
      <c r="H276" s="194" t="n"/>
      <c r="I276" s="194" t="n"/>
      <c r="J276" s="194" t="n"/>
      <c r="K276" s="194" t="n"/>
      <c r="L276" s="194" t="n"/>
      <c r="M276" s="194" t="n"/>
      <c r="N276" s="194" t="n"/>
      <c r="O276" s="194" t="n"/>
      <c r="P276" s="194" t="n"/>
      <c r="Q276" s="194" t="n"/>
      <c r="R276" s="194" t="n"/>
      <c r="S276" s="194" t="n"/>
      <c r="T276" s="194" t="n"/>
      <c r="U276" s="194" t="n"/>
      <c r="V276" s="194" t="n"/>
      <c r="W276" s="194" t="n"/>
      <c r="X276" s="194" t="n"/>
      <c r="Y276" s="194" t="n"/>
      <c r="Z276" s="194" t="n"/>
    </row>
    <row r="277" ht="15.75" customHeight="1" s="195">
      <c r="G277" s="194" t="n"/>
      <c r="H277" s="194" t="n"/>
      <c r="I277" s="194" t="n"/>
      <c r="J277" s="194" t="n"/>
      <c r="K277" s="194" t="n"/>
      <c r="L277" s="194" t="n"/>
      <c r="M277" s="194" t="n"/>
      <c r="N277" s="194" t="n"/>
      <c r="O277" s="194" t="n"/>
      <c r="P277" s="194" t="n"/>
      <c r="Q277" s="194" t="n"/>
      <c r="R277" s="194" t="n"/>
      <c r="S277" s="194" t="n"/>
      <c r="T277" s="194" t="n"/>
      <c r="U277" s="194" t="n"/>
      <c r="V277" s="194" t="n"/>
      <c r="W277" s="194" t="n"/>
      <c r="X277" s="194" t="n"/>
      <c r="Y277" s="194" t="n"/>
      <c r="Z277" s="194" t="n"/>
    </row>
    <row r="278" ht="15.75" customHeight="1" s="195">
      <c r="G278" s="194" t="n"/>
      <c r="H278" s="194" t="n"/>
      <c r="I278" s="194" t="n"/>
      <c r="J278" s="194" t="n"/>
      <c r="K278" s="194" t="n"/>
      <c r="L278" s="194" t="n"/>
      <c r="M278" s="194" t="n"/>
      <c r="N278" s="194" t="n"/>
      <c r="O278" s="194" t="n"/>
      <c r="P278" s="194" t="n"/>
      <c r="Q278" s="194" t="n"/>
      <c r="R278" s="194" t="n"/>
      <c r="S278" s="194" t="n"/>
      <c r="T278" s="194" t="n"/>
      <c r="U278" s="194" t="n"/>
      <c r="V278" s="194" t="n"/>
      <c r="W278" s="194" t="n"/>
      <c r="X278" s="194" t="n"/>
      <c r="Y278" s="194" t="n"/>
      <c r="Z278" s="194" t="n"/>
    </row>
    <row r="279" ht="15.75" customHeight="1" s="195">
      <c r="G279" s="194" t="n"/>
      <c r="H279" s="194" t="n"/>
      <c r="I279" s="194" t="n"/>
      <c r="J279" s="194" t="n"/>
      <c r="K279" s="194" t="n"/>
      <c r="L279" s="194" t="n"/>
      <c r="M279" s="194" t="n"/>
      <c r="N279" s="194" t="n"/>
      <c r="O279" s="194" t="n"/>
      <c r="P279" s="194" t="n"/>
      <c r="Q279" s="194" t="n"/>
      <c r="R279" s="194" t="n"/>
      <c r="S279" s="194" t="n"/>
      <c r="T279" s="194" t="n"/>
      <c r="U279" s="194" t="n"/>
      <c r="V279" s="194" t="n"/>
      <c r="W279" s="194" t="n"/>
      <c r="X279" s="194" t="n"/>
      <c r="Y279" s="194" t="n"/>
      <c r="Z279" s="194" t="n"/>
    </row>
    <row r="280" ht="15.75" customHeight="1" s="195">
      <c r="G280" s="194" t="n"/>
      <c r="H280" s="194" t="n"/>
      <c r="I280" s="194" t="n"/>
      <c r="J280" s="194" t="n"/>
      <c r="K280" s="194" t="n"/>
      <c r="L280" s="194" t="n"/>
      <c r="M280" s="194" t="n"/>
      <c r="N280" s="194" t="n"/>
      <c r="O280" s="194" t="n"/>
      <c r="P280" s="194" t="n"/>
      <c r="Q280" s="194" t="n"/>
      <c r="R280" s="194" t="n"/>
      <c r="S280" s="194" t="n"/>
      <c r="T280" s="194" t="n"/>
      <c r="U280" s="194" t="n"/>
      <c r="V280" s="194" t="n"/>
      <c r="W280" s="194" t="n"/>
      <c r="X280" s="194" t="n"/>
      <c r="Y280" s="194" t="n"/>
      <c r="Z280" s="194" t="n"/>
    </row>
    <row r="281" ht="15.75" customHeight="1" s="195">
      <c r="G281" s="194" t="n"/>
      <c r="H281" s="194" t="n"/>
      <c r="I281" s="194" t="n"/>
      <c r="J281" s="194" t="n"/>
      <c r="K281" s="194" t="n"/>
      <c r="L281" s="194" t="n"/>
      <c r="M281" s="194" t="n"/>
      <c r="N281" s="194" t="n"/>
      <c r="O281" s="194" t="n"/>
      <c r="P281" s="194" t="n"/>
      <c r="Q281" s="194" t="n"/>
      <c r="R281" s="194" t="n"/>
      <c r="S281" s="194" t="n"/>
      <c r="T281" s="194" t="n"/>
      <c r="U281" s="194" t="n"/>
      <c r="V281" s="194" t="n"/>
      <c r="W281" s="194" t="n"/>
      <c r="X281" s="194" t="n"/>
      <c r="Y281" s="194" t="n"/>
      <c r="Z281" s="194" t="n"/>
    </row>
    <row r="282" ht="15.75" customHeight="1" s="195">
      <c r="G282" s="194" t="n"/>
      <c r="H282" s="194" t="n"/>
      <c r="I282" s="194" t="n"/>
      <c r="J282" s="194" t="n"/>
      <c r="K282" s="194" t="n"/>
      <c r="L282" s="194" t="n"/>
      <c r="M282" s="194" t="n"/>
      <c r="N282" s="194" t="n"/>
      <c r="O282" s="194" t="n"/>
      <c r="P282" s="194" t="n"/>
      <c r="Q282" s="194" t="n"/>
      <c r="R282" s="194" t="n"/>
      <c r="S282" s="194" t="n"/>
      <c r="T282" s="194" t="n"/>
      <c r="U282" s="194" t="n"/>
      <c r="V282" s="194" t="n"/>
      <c r="W282" s="194" t="n"/>
      <c r="X282" s="194" t="n"/>
      <c r="Y282" s="194" t="n"/>
      <c r="Z282" s="194" t="n"/>
    </row>
    <row r="283" ht="15.75" customHeight="1" s="195">
      <c r="G283" s="194" t="n"/>
      <c r="H283" s="194" t="n"/>
      <c r="I283" s="194" t="n"/>
      <c r="J283" s="194" t="n"/>
      <c r="K283" s="194" t="n"/>
      <c r="L283" s="194" t="n"/>
      <c r="M283" s="194" t="n"/>
      <c r="N283" s="194" t="n"/>
      <c r="O283" s="194" t="n"/>
      <c r="P283" s="194" t="n"/>
      <c r="Q283" s="194" t="n"/>
      <c r="R283" s="194" t="n"/>
      <c r="S283" s="194" t="n"/>
      <c r="T283" s="194" t="n"/>
      <c r="U283" s="194" t="n"/>
      <c r="V283" s="194" t="n"/>
      <c r="W283" s="194" t="n"/>
      <c r="X283" s="194" t="n"/>
      <c r="Y283" s="194" t="n"/>
      <c r="Z283" s="194" t="n"/>
    </row>
    <row r="284" ht="15.75" customHeight="1" s="195">
      <c r="G284" s="194" t="n"/>
      <c r="H284" s="194" t="n"/>
      <c r="I284" s="194" t="n"/>
      <c r="J284" s="194" t="n"/>
      <c r="K284" s="194" t="n"/>
      <c r="L284" s="194" t="n"/>
      <c r="M284" s="194" t="n"/>
      <c r="N284" s="194" t="n"/>
      <c r="O284" s="194" t="n"/>
      <c r="P284" s="194" t="n"/>
      <c r="Q284" s="194" t="n"/>
      <c r="R284" s="194" t="n"/>
      <c r="S284" s="194" t="n"/>
      <c r="T284" s="194" t="n"/>
      <c r="U284" s="194" t="n"/>
      <c r="V284" s="194" t="n"/>
      <c r="W284" s="194" t="n"/>
      <c r="X284" s="194" t="n"/>
      <c r="Y284" s="194" t="n"/>
      <c r="Z284" s="194" t="n"/>
    </row>
    <row r="285" ht="15.75" customHeight="1" s="195">
      <c r="G285" s="194" t="n"/>
      <c r="H285" s="194" t="n"/>
      <c r="I285" s="194" t="n"/>
      <c r="J285" s="194" t="n"/>
      <c r="K285" s="194" t="n"/>
      <c r="L285" s="194" t="n"/>
      <c r="M285" s="194" t="n"/>
      <c r="N285" s="194" t="n"/>
      <c r="O285" s="194" t="n"/>
      <c r="P285" s="194" t="n"/>
      <c r="Q285" s="194" t="n"/>
      <c r="R285" s="194" t="n"/>
      <c r="S285" s="194" t="n"/>
      <c r="T285" s="194" t="n"/>
      <c r="U285" s="194" t="n"/>
      <c r="V285" s="194" t="n"/>
      <c r="W285" s="194" t="n"/>
      <c r="X285" s="194" t="n"/>
      <c r="Y285" s="194" t="n"/>
      <c r="Z285" s="194" t="n"/>
    </row>
    <row r="286" ht="15.75" customHeight="1" s="195">
      <c r="G286" s="194" t="n"/>
      <c r="H286" s="194" t="n"/>
      <c r="I286" s="194" t="n"/>
      <c r="J286" s="194" t="n"/>
      <c r="K286" s="194" t="n"/>
      <c r="L286" s="194" t="n"/>
      <c r="M286" s="194" t="n"/>
      <c r="N286" s="194" t="n"/>
      <c r="O286" s="194" t="n"/>
      <c r="P286" s="194" t="n"/>
      <c r="Q286" s="194" t="n"/>
      <c r="R286" s="194" t="n"/>
      <c r="S286" s="194" t="n"/>
      <c r="T286" s="194" t="n"/>
      <c r="U286" s="194" t="n"/>
      <c r="V286" s="194" t="n"/>
      <c r="W286" s="194" t="n"/>
      <c r="X286" s="194" t="n"/>
      <c r="Y286" s="194" t="n"/>
      <c r="Z286" s="194" t="n"/>
    </row>
    <row r="287" ht="15.75" customHeight="1" s="195">
      <c r="G287" s="194" t="n"/>
      <c r="H287" s="194" t="n"/>
      <c r="I287" s="194" t="n"/>
      <c r="J287" s="194" t="n"/>
      <c r="K287" s="194" t="n"/>
      <c r="L287" s="194" t="n"/>
      <c r="M287" s="194" t="n"/>
      <c r="N287" s="194" t="n"/>
      <c r="O287" s="194" t="n"/>
      <c r="P287" s="194" t="n"/>
      <c r="Q287" s="194" t="n"/>
      <c r="R287" s="194" t="n"/>
      <c r="S287" s="194" t="n"/>
      <c r="T287" s="194" t="n"/>
      <c r="U287" s="194" t="n"/>
      <c r="V287" s="194" t="n"/>
      <c r="W287" s="194" t="n"/>
      <c r="X287" s="194" t="n"/>
      <c r="Y287" s="194" t="n"/>
      <c r="Z287" s="194" t="n"/>
    </row>
    <row r="288" ht="15.75" customHeight="1" s="195">
      <c r="G288" s="194" t="n"/>
      <c r="H288" s="194" t="n"/>
      <c r="I288" s="194" t="n"/>
      <c r="J288" s="194" t="n"/>
      <c r="K288" s="194" t="n"/>
      <c r="L288" s="194" t="n"/>
      <c r="M288" s="194" t="n"/>
      <c r="N288" s="194" t="n"/>
      <c r="O288" s="194" t="n"/>
      <c r="P288" s="194" t="n"/>
      <c r="Q288" s="194" t="n"/>
      <c r="R288" s="194" t="n"/>
      <c r="S288" s="194" t="n"/>
      <c r="T288" s="194" t="n"/>
      <c r="U288" s="194" t="n"/>
      <c r="V288" s="194" t="n"/>
      <c r="W288" s="194" t="n"/>
      <c r="X288" s="194" t="n"/>
      <c r="Y288" s="194" t="n"/>
      <c r="Z288" s="194" t="n"/>
    </row>
    <row r="289" ht="15.75" customHeight="1" s="195">
      <c r="G289" s="194" t="n"/>
      <c r="H289" s="194" t="n"/>
      <c r="I289" s="194" t="n"/>
      <c r="J289" s="194" t="n"/>
      <c r="K289" s="194" t="n"/>
      <c r="L289" s="194" t="n"/>
      <c r="M289" s="194" t="n"/>
      <c r="N289" s="194" t="n"/>
      <c r="O289" s="194" t="n"/>
      <c r="P289" s="194" t="n"/>
      <c r="Q289" s="194" t="n"/>
      <c r="R289" s="194" t="n"/>
      <c r="S289" s="194" t="n"/>
      <c r="T289" s="194" t="n"/>
      <c r="U289" s="194" t="n"/>
      <c r="V289" s="194" t="n"/>
      <c r="W289" s="194" t="n"/>
      <c r="X289" s="194" t="n"/>
      <c r="Y289" s="194" t="n"/>
      <c r="Z289" s="194" t="n"/>
    </row>
    <row r="290" ht="15.75" customHeight="1" s="195">
      <c r="G290" s="194" t="n"/>
      <c r="H290" s="194" t="n"/>
      <c r="I290" s="194" t="n"/>
      <c r="J290" s="194" t="n"/>
      <c r="K290" s="194" t="n"/>
      <c r="L290" s="194" t="n"/>
      <c r="M290" s="194" t="n"/>
      <c r="N290" s="194" t="n"/>
      <c r="O290" s="194" t="n"/>
      <c r="P290" s="194" t="n"/>
      <c r="Q290" s="194" t="n"/>
      <c r="R290" s="194" t="n"/>
      <c r="S290" s="194" t="n"/>
      <c r="T290" s="194" t="n"/>
      <c r="U290" s="194" t="n"/>
      <c r="V290" s="194" t="n"/>
      <c r="W290" s="194" t="n"/>
      <c r="X290" s="194" t="n"/>
      <c r="Y290" s="194" t="n"/>
      <c r="Z290" s="194" t="n"/>
    </row>
    <row r="291" ht="15.75" customHeight="1" s="195">
      <c r="G291" s="194" t="n"/>
      <c r="H291" s="194" t="n"/>
      <c r="I291" s="194" t="n"/>
      <c r="J291" s="194" t="n"/>
      <c r="K291" s="194" t="n"/>
      <c r="L291" s="194" t="n"/>
      <c r="M291" s="194" t="n"/>
      <c r="N291" s="194" t="n"/>
      <c r="O291" s="194" t="n"/>
      <c r="P291" s="194" t="n"/>
      <c r="Q291" s="194" t="n"/>
      <c r="R291" s="194" t="n"/>
      <c r="S291" s="194" t="n"/>
      <c r="T291" s="194" t="n"/>
      <c r="U291" s="194" t="n"/>
      <c r="V291" s="194" t="n"/>
      <c r="W291" s="194" t="n"/>
      <c r="X291" s="194" t="n"/>
      <c r="Y291" s="194" t="n"/>
      <c r="Z291" s="194" t="n"/>
    </row>
    <row r="292" ht="15.75" customHeight="1" s="195">
      <c r="G292" s="194" t="n"/>
      <c r="H292" s="194" t="n"/>
      <c r="I292" s="194" t="n"/>
      <c r="J292" s="194" t="n"/>
      <c r="K292" s="194" t="n"/>
      <c r="L292" s="194" t="n"/>
      <c r="M292" s="194" t="n"/>
      <c r="N292" s="194" t="n"/>
      <c r="O292" s="194" t="n"/>
      <c r="P292" s="194" t="n"/>
      <c r="Q292" s="194" t="n"/>
      <c r="R292" s="194" t="n"/>
      <c r="S292" s="194" t="n"/>
      <c r="T292" s="194" t="n"/>
      <c r="U292" s="194" t="n"/>
      <c r="V292" s="194" t="n"/>
      <c r="W292" s="194" t="n"/>
      <c r="X292" s="194" t="n"/>
      <c r="Y292" s="194" t="n"/>
      <c r="Z292" s="194" t="n"/>
    </row>
    <row r="293" ht="15.75" customHeight="1" s="195">
      <c r="G293" s="194" t="n"/>
      <c r="H293" s="194" t="n"/>
      <c r="I293" s="194" t="n"/>
      <c r="J293" s="194" t="n"/>
      <c r="K293" s="194" t="n"/>
      <c r="L293" s="194" t="n"/>
      <c r="M293" s="194" t="n"/>
      <c r="N293" s="194" t="n"/>
      <c r="O293" s="194" t="n"/>
      <c r="P293" s="194" t="n"/>
      <c r="Q293" s="194" t="n"/>
      <c r="R293" s="194" t="n"/>
      <c r="S293" s="194" t="n"/>
      <c r="T293" s="194" t="n"/>
      <c r="U293" s="194" t="n"/>
      <c r="V293" s="194" t="n"/>
      <c r="W293" s="194" t="n"/>
      <c r="X293" s="194" t="n"/>
      <c r="Y293" s="194" t="n"/>
      <c r="Z293" s="194" t="n"/>
    </row>
    <row r="294" ht="15.75" customHeight="1" s="195">
      <c r="G294" s="194" t="n"/>
      <c r="H294" s="194" t="n"/>
      <c r="I294" s="194" t="n"/>
      <c r="J294" s="194" t="n"/>
      <c r="K294" s="194" t="n"/>
      <c r="L294" s="194" t="n"/>
      <c r="M294" s="194" t="n"/>
      <c r="N294" s="194" t="n"/>
      <c r="O294" s="194" t="n"/>
      <c r="P294" s="194" t="n"/>
      <c r="Q294" s="194" t="n"/>
      <c r="R294" s="194" t="n"/>
      <c r="S294" s="194" t="n"/>
      <c r="T294" s="194" t="n"/>
      <c r="U294" s="194" t="n"/>
      <c r="V294" s="194" t="n"/>
      <c r="W294" s="194" t="n"/>
      <c r="X294" s="194" t="n"/>
      <c r="Y294" s="194" t="n"/>
      <c r="Z294" s="194" t="n"/>
    </row>
    <row r="295" ht="15.75" customHeight="1" s="195">
      <c r="G295" s="194" t="n"/>
      <c r="H295" s="194" t="n"/>
      <c r="I295" s="194" t="n"/>
      <c r="J295" s="194" t="n"/>
      <c r="K295" s="194" t="n"/>
      <c r="L295" s="194" t="n"/>
      <c r="M295" s="194" t="n"/>
      <c r="N295" s="194" t="n"/>
      <c r="O295" s="194" t="n"/>
      <c r="P295" s="194" t="n"/>
      <c r="Q295" s="194" t="n"/>
      <c r="R295" s="194" t="n"/>
      <c r="S295" s="194" t="n"/>
      <c r="T295" s="194" t="n"/>
      <c r="U295" s="194" t="n"/>
      <c r="V295" s="194" t="n"/>
      <c r="W295" s="194" t="n"/>
      <c r="X295" s="194" t="n"/>
      <c r="Y295" s="194" t="n"/>
      <c r="Z295" s="194" t="n"/>
    </row>
    <row r="296" ht="15.75" customHeight="1" s="195">
      <c r="G296" s="194" t="n"/>
      <c r="H296" s="194" t="n"/>
      <c r="I296" s="194" t="n"/>
      <c r="J296" s="194" t="n"/>
      <c r="K296" s="194" t="n"/>
      <c r="L296" s="194" t="n"/>
      <c r="M296" s="194" t="n"/>
      <c r="N296" s="194" t="n"/>
      <c r="O296" s="194" t="n"/>
      <c r="P296" s="194" t="n"/>
      <c r="Q296" s="194" t="n"/>
      <c r="R296" s="194" t="n"/>
      <c r="S296" s="194" t="n"/>
      <c r="T296" s="194" t="n"/>
      <c r="U296" s="194" t="n"/>
      <c r="V296" s="194" t="n"/>
      <c r="W296" s="194" t="n"/>
      <c r="X296" s="194" t="n"/>
      <c r="Y296" s="194" t="n"/>
      <c r="Z296" s="194" t="n"/>
    </row>
    <row r="297" ht="15.75" customHeight="1" s="195">
      <c r="G297" s="194" t="n"/>
      <c r="H297" s="194" t="n"/>
      <c r="I297" s="194" t="n"/>
      <c r="J297" s="194" t="n"/>
      <c r="K297" s="194" t="n"/>
      <c r="L297" s="194" t="n"/>
      <c r="M297" s="194" t="n"/>
      <c r="N297" s="194" t="n"/>
      <c r="O297" s="194" t="n"/>
      <c r="P297" s="194" t="n"/>
      <c r="Q297" s="194" t="n"/>
      <c r="R297" s="194" t="n"/>
      <c r="S297" s="194" t="n"/>
      <c r="T297" s="194" t="n"/>
      <c r="U297" s="194" t="n"/>
      <c r="V297" s="194" t="n"/>
      <c r="W297" s="194" t="n"/>
      <c r="X297" s="194" t="n"/>
      <c r="Y297" s="194" t="n"/>
      <c r="Z297" s="194" t="n"/>
    </row>
    <row r="298" ht="15.75" customHeight="1" s="195">
      <c r="G298" s="194" t="n"/>
      <c r="H298" s="194" t="n"/>
      <c r="I298" s="194" t="n"/>
      <c r="J298" s="194" t="n"/>
      <c r="K298" s="194" t="n"/>
      <c r="L298" s="194" t="n"/>
      <c r="M298" s="194" t="n"/>
      <c r="N298" s="194" t="n"/>
      <c r="O298" s="194" t="n"/>
      <c r="P298" s="194" t="n"/>
      <c r="Q298" s="194" t="n"/>
      <c r="R298" s="194" t="n"/>
      <c r="S298" s="194" t="n"/>
      <c r="T298" s="194" t="n"/>
      <c r="U298" s="194" t="n"/>
      <c r="V298" s="194" t="n"/>
      <c r="W298" s="194" t="n"/>
      <c r="X298" s="194" t="n"/>
      <c r="Y298" s="194" t="n"/>
      <c r="Z298" s="194" t="n"/>
    </row>
    <row r="299" ht="15.75" customHeight="1" s="195">
      <c r="G299" s="194" t="n"/>
      <c r="H299" s="194" t="n"/>
      <c r="I299" s="194" t="n"/>
      <c r="J299" s="194" t="n"/>
      <c r="K299" s="194" t="n"/>
      <c r="L299" s="194" t="n"/>
      <c r="M299" s="194" t="n"/>
      <c r="N299" s="194" t="n"/>
      <c r="O299" s="194" t="n"/>
      <c r="P299" s="194" t="n"/>
      <c r="Q299" s="194" t="n"/>
      <c r="R299" s="194" t="n"/>
      <c r="S299" s="194" t="n"/>
      <c r="T299" s="194" t="n"/>
      <c r="U299" s="194" t="n"/>
      <c r="V299" s="194" t="n"/>
      <c r="W299" s="194" t="n"/>
      <c r="X299" s="194" t="n"/>
      <c r="Y299" s="194" t="n"/>
      <c r="Z299" s="194" t="n"/>
    </row>
    <row r="300" ht="15.75" customHeight="1" s="195">
      <c r="G300" s="194" t="n"/>
      <c r="H300" s="194" t="n"/>
      <c r="I300" s="194" t="n"/>
      <c r="J300" s="194" t="n"/>
      <c r="K300" s="194" t="n"/>
      <c r="L300" s="194" t="n"/>
      <c r="M300" s="194" t="n"/>
      <c r="N300" s="194" t="n"/>
      <c r="O300" s="194" t="n"/>
      <c r="P300" s="194" t="n"/>
      <c r="Q300" s="194" t="n"/>
      <c r="R300" s="194" t="n"/>
      <c r="S300" s="194" t="n"/>
      <c r="T300" s="194" t="n"/>
      <c r="U300" s="194" t="n"/>
      <c r="V300" s="194" t="n"/>
      <c r="W300" s="194" t="n"/>
      <c r="X300" s="194" t="n"/>
      <c r="Y300" s="194" t="n"/>
      <c r="Z300" s="194" t="n"/>
    </row>
    <row r="301" ht="15.75" customHeight="1" s="195">
      <c r="G301" s="194" t="n"/>
      <c r="H301" s="194" t="n"/>
      <c r="I301" s="194" t="n"/>
      <c r="J301" s="194" t="n"/>
      <c r="K301" s="194" t="n"/>
      <c r="L301" s="194" t="n"/>
      <c r="M301" s="194" t="n"/>
      <c r="N301" s="194" t="n"/>
      <c r="O301" s="194" t="n"/>
      <c r="P301" s="194" t="n"/>
      <c r="Q301" s="194" t="n"/>
      <c r="R301" s="194" t="n"/>
      <c r="S301" s="194" t="n"/>
      <c r="T301" s="194" t="n"/>
      <c r="U301" s="194" t="n"/>
      <c r="V301" s="194" t="n"/>
      <c r="W301" s="194" t="n"/>
      <c r="X301" s="194" t="n"/>
      <c r="Y301" s="194" t="n"/>
      <c r="Z301" s="194" t="n"/>
    </row>
    <row r="302" ht="15.75" customHeight="1" s="195">
      <c r="G302" s="194" t="n"/>
      <c r="H302" s="194" t="n"/>
      <c r="I302" s="194" t="n"/>
      <c r="J302" s="194" t="n"/>
      <c r="K302" s="194" t="n"/>
      <c r="L302" s="194" t="n"/>
      <c r="M302" s="194" t="n"/>
      <c r="N302" s="194" t="n"/>
      <c r="O302" s="194" t="n"/>
      <c r="P302" s="194" t="n"/>
      <c r="Q302" s="194" t="n"/>
      <c r="R302" s="194" t="n"/>
      <c r="S302" s="194" t="n"/>
      <c r="T302" s="194" t="n"/>
      <c r="U302" s="194" t="n"/>
      <c r="V302" s="194" t="n"/>
      <c r="W302" s="194" t="n"/>
      <c r="X302" s="194" t="n"/>
      <c r="Y302" s="194" t="n"/>
      <c r="Z302" s="194" t="n"/>
    </row>
    <row r="303" ht="15.75" customHeight="1" s="195">
      <c r="G303" s="194" t="n"/>
      <c r="H303" s="194" t="n"/>
      <c r="I303" s="194" t="n"/>
      <c r="J303" s="194" t="n"/>
      <c r="K303" s="194" t="n"/>
      <c r="L303" s="194" t="n"/>
      <c r="M303" s="194" t="n"/>
      <c r="N303" s="194" t="n"/>
      <c r="O303" s="194" t="n"/>
      <c r="P303" s="194" t="n"/>
      <c r="Q303" s="194" t="n"/>
      <c r="R303" s="194" t="n"/>
      <c r="S303" s="194" t="n"/>
      <c r="T303" s="194" t="n"/>
      <c r="U303" s="194" t="n"/>
      <c r="V303" s="194" t="n"/>
      <c r="W303" s="194" t="n"/>
      <c r="X303" s="194" t="n"/>
      <c r="Y303" s="194" t="n"/>
      <c r="Z303" s="194" t="n"/>
    </row>
    <row r="304" ht="15.75" customHeight="1" s="195">
      <c r="G304" s="194" t="n"/>
      <c r="H304" s="194" t="n"/>
      <c r="I304" s="194" t="n"/>
      <c r="J304" s="194" t="n"/>
      <c r="K304" s="194" t="n"/>
      <c r="L304" s="194" t="n"/>
      <c r="M304" s="194" t="n"/>
      <c r="N304" s="194" t="n"/>
      <c r="O304" s="194" t="n"/>
      <c r="P304" s="194" t="n"/>
      <c r="Q304" s="194" t="n"/>
      <c r="R304" s="194" t="n"/>
      <c r="S304" s="194" t="n"/>
      <c r="T304" s="194" t="n"/>
      <c r="U304" s="194" t="n"/>
      <c r="V304" s="194" t="n"/>
      <c r="W304" s="194" t="n"/>
      <c r="X304" s="194" t="n"/>
      <c r="Y304" s="194" t="n"/>
      <c r="Z304" s="194" t="n"/>
    </row>
    <row r="305" ht="15.75" customHeight="1" s="195">
      <c r="G305" s="194" t="n"/>
      <c r="H305" s="194" t="n"/>
      <c r="I305" s="194" t="n"/>
      <c r="J305" s="194" t="n"/>
      <c r="K305" s="194" t="n"/>
      <c r="L305" s="194" t="n"/>
      <c r="M305" s="194" t="n"/>
      <c r="N305" s="194" t="n"/>
      <c r="O305" s="194" t="n"/>
      <c r="P305" s="194" t="n"/>
      <c r="Q305" s="194" t="n"/>
      <c r="R305" s="194" t="n"/>
      <c r="S305" s="194" t="n"/>
      <c r="T305" s="194" t="n"/>
      <c r="U305" s="194" t="n"/>
      <c r="V305" s="194" t="n"/>
      <c r="W305" s="194" t="n"/>
      <c r="X305" s="194" t="n"/>
      <c r="Y305" s="194" t="n"/>
      <c r="Z305" s="194" t="n"/>
    </row>
    <row r="306" ht="15.75" customHeight="1" s="195">
      <c r="G306" s="194" t="n"/>
      <c r="H306" s="194" t="n"/>
      <c r="I306" s="194" t="n"/>
      <c r="J306" s="194" t="n"/>
      <c r="K306" s="194" t="n"/>
      <c r="L306" s="194" t="n"/>
      <c r="M306" s="194" t="n"/>
      <c r="N306" s="194" t="n"/>
      <c r="O306" s="194" t="n"/>
      <c r="P306" s="194" t="n"/>
      <c r="Q306" s="194" t="n"/>
      <c r="R306" s="194" t="n"/>
      <c r="S306" s="194" t="n"/>
      <c r="T306" s="194" t="n"/>
      <c r="U306" s="194" t="n"/>
      <c r="V306" s="194" t="n"/>
      <c r="W306" s="194" t="n"/>
      <c r="X306" s="194" t="n"/>
      <c r="Y306" s="194" t="n"/>
      <c r="Z306" s="194" t="n"/>
    </row>
    <row r="307" ht="15.75" customHeight="1" s="195">
      <c r="G307" s="194" t="n"/>
      <c r="H307" s="194" t="n"/>
      <c r="I307" s="194" t="n"/>
      <c r="J307" s="194" t="n"/>
      <c r="K307" s="194" t="n"/>
      <c r="L307" s="194" t="n"/>
      <c r="M307" s="194" t="n"/>
      <c r="N307" s="194" t="n"/>
      <c r="O307" s="194" t="n"/>
      <c r="P307" s="194" t="n"/>
      <c r="Q307" s="194" t="n"/>
      <c r="R307" s="194" t="n"/>
      <c r="S307" s="194" t="n"/>
      <c r="T307" s="194" t="n"/>
      <c r="U307" s="194" t="n"/>
      <c r="V307" s="194" t="n"/>
      <c r="W307" s="194" t="n"/>
      <c r="X307" s="194" t="n"/>
      <c r="Y307" s="194" t="n"/>
      <c r="Z307" s="194" t="n"/>
    </row>
    <row r="308" ht="15.75" customHeight="1" s="195">
      <c r="G308" s="194" t="n"/>
      <c r="H308" s="194" t="n"/>
      <c r="I308" s="194" t="n"/>
      <c r="J308" s="194" t="n"/>
      <c r="K308" s="194" t="n"/>
      <c r="L308" s="194" t="n"/>
      <c r="M308" s="194" t="n"/>
      <c r="N308" s="194" t="n"/>
      <c r="O308" s="194" t="n"/>
      <c r="P308" s="194" t="n"/>
      <c r="Q308" s="194" t="n"/>
      <c r="R308" s="194" t="n"/>
      <c r="S308" s="194" t="n"/>
      <c r="T308" s="194" t="n"/>
      <c r="U308" s="194" t="n"/>
      <c r="V308" s="194" t="n"/>
      <c r="W308" s="194" t="n"/>
      <c r="X308" s="194" t="n"/>
      <c r="Y308" s="194" t="n"/>
      <c r="Z308" s="194" t="n"/>
    </row>
    <row r="309" ht="15.75" customHeight="1" s="195">
      <c r="G309" s="194" t="n"/>
      <c r="H309" s="194" t="n"/>
      <c r="I309" s="194" t="n"/>
      <c r="J309" s="194" t="n"/>
      <c r="K309" s="194" t="n"/>
      <c r="L309" s="194" t="n"/>
      <c r="M309" s="194" t="n"/>
      <c r="N309" s="194" t="n"/>
      <c r="O309" s="194" t="n"/>
      <c r="P309" s="194" t="n"/>
      <c r="Q309" s="194" t="n"/>
      <c r="R309" s="194" t="n"/>
      <c r="S309" s="194" t="n"/>
      <c r="T309" s="194" t="n"/>
      <c r="U309" s="194" t="n"/>
      <c r="V309" s="194" t="n"/>
      <c r="W309" s="194" t="n"/>
      <c r="X309" s="194" t="n"/>
      <c r="Y309" s="194" t="n"/>
      <c r="Z309" s="194" t="n"/>
    </row>
    <row r="310" ht="15.75" customHeight="1" s="195">
      <c r="G310" s="194" t="n"/>
      <c r="H310" s="194" t="n"/>
      <c r="I310" s="194" t="n"/>
      <c r="J310" s="194" t="n"/>
      <c r="K310" s="194" t="n"/>
      <c r="L310" s="194" t="n"/>
      <c r="M310" s="194" t="n"/>
      <c r="N310" s="194" t="n"/>
      <c r="O310" s="194" t="n"/>
      <c r="P310" s="194" t="n"/>
      <c r="Q310" s="194" t="n"/>
      <c r="R310" s="194" t="n"/>
      <c r="S310" s="194" t="n"/>
      <c r="T310" s="194" t="n"/>
      <c r="U310" s="194" t="n"/>
      <c r="V310" s="194" t="n"/>
      <c r="W310" s="194" t="n"/>
      <c r="X310" s="194" t="n"/>
      <c r="Y310" s="194" t="n"/>
      <c r="Z310" s="194" t="n"/>
    </row>
    <row r="311" ht="15.75" customHeight="1" s="195">
      <c r="G311" s="194" t="n"/>
      <c r="H311" s="194" t="n"/>
      <c r="I311" s="194" t="n"/>
      <c r="J311" s="194" t="n"/>
      <c r="K311" s="194" t="n"/>
      <c r="L311" s="194" t="n"/>
      <c r="M311" s="194" t="n"/>
      <c r="N311" s="194" t="n"/>
      <c r="O311" s="194" t="n"/>
      <c r="P311" s="194" t="n"/>
      <c r="Q311" s="194" t="n"/>
      <c r="R311" s="194" t="n"/>
      <c r="S311" s="194" t="n"/>
      <c r="T311" s="194" t="n"/>
      <c r="U311" s="194" t="n"/>
      <c r="V311" s="194" t="n"/>
      <c r="W311" s="194" t="n"/>
      <c r="X311" s="194" t="n"/>
      <c r="Y311" s="194" t="n"/>
      <c r="Z311" s="194" t="n"/>
    </row>
    <row r="312" ht="15.75" customHeight="1" s="195">
      <c r="G312" s="194" t="n"/>
      <c r="H312" s="194" t="n"/>
      <c r="I312" s="194" t="n"/>
      <c r="J312" s="194" t="n"/>
      <c r="K312" s="194" t="n"/>
      <c r="L312" s="194" t="n"/>
      <c r="M312" s="194" t="n"/>
      <c r="N312" s="194" t="n"/>
      <c r="O312" s="194" t="n"/>
      <c r="P312" s="194" t="n"/>
      <c r="Q312" s="194" t="n"/>
      <c r="R312" s="194" t="n"/>
      <c r="S312" s="194" t="n"/>
      <c r="T312" s="194" t="n"/>
      <c r="U312" s="194" t="n"/>
      <c r="V312" s="194" t="n"/>
      <c r="W312" s="194" t="n"/>
      <c r="X312" s="194" t="n"/>
      <c r="Y312" s="194" t="n"/>
      <c r="Z312" s="194" t="n"/>
    </row>
    <row r="313" ht="15.75" customHeight="1" s="195">
      <c r="G313" s="194" t="n"/>
      <c r="H313" s="194" t="n"/>
      <c r="I313" s="194" t="n"/>
      <c r="J313" s="194" t="n"/>
      <c r="K313" s="194" t="n"/>
      <c r="L313" s="194" t="n"/>
      <c r="M313" s="194" t="n"/>
      <c r="N313" s="194" t="n"/>
      <c r="O313" s="194" t="n"/>
      <c r="P313" s="194" t="n"/>
      <c r="Q313" s="194" t="n"/>
      <c r="R313" s="194" t="n"/>
      <c r="S313" s="194" t="n"/>
      <c r="T313" s="194" t="n"/>
      <c r="U313" s="194" t="n"/>
      <c r="V313" s="194" t="n"/>
      <c r="W313" s="194" t="n"/>
      <c r="X313" s="194" t="n"/>
      <c r="Y313" s="194" t="n"/>
      <c r="Z313" s="194" t="n"/>
    </row>
    <row r="314" ht="15.75" customHeight="1" s="195">
      <c r="G314" s="194" t="n"/>
      <c r="H314" s="194" t="n"/>
      <c r="I314" s="194" t="n"/>
      <c r="J314" s="194" t="n"/>
      <c r="K314" s="194" t="n"/>
      <c r="L314" s="194" t="n"/>
      <c r="M314" s="194" t="n"/>
      <c r="N314" s="194" t="n"/>
      <c r="O314" s="194" t="n"/>
      <c r="P314" s="194" t="n"/>
      <c r="Q314" s="194" t="n"/>
      <c r="R314" s="194" t="n"/>
      <c r="S314" s="194" t="n"/>
      <c r="T314" s="194" t="n"/>
      <c r="U314" s="194" t="n"/>
      <c r="V314" s="194" t="n"/>
      <c r="W314" s="194" t="n"/>
      <c r="X314" s="194" t="n"/>
      <c r="Y314" s="194" t="n"/>
      <c r="Z314" s="194" t="n"/>
    </row>
    <row r="315" ht="15.75" customHeight="1" s="195">
      <c r="G315" s="194" t="n"/>
      <c r="H315" s="194" t="n"/>
      <c r="I315" s="194" t="n"/>
      <c r="J315" s="194" t="n"/>
      <c r="K315" s="194" t="n"/>
      <c r="L315" s="194" t="n"/>
      <c r="M315" s="194" t="n"/>
      <c r="N315" s="194" t="n"/>
      <c r="O315" s="194" t="n"/>
      <c r="P315" s="194" t="n"/>
      <c r="Q315" s="194" t="n"/>
      <c r="R315" s="194" t="n"/>
      <c r="S315" s="194" t="n"/>
      <c r="T315" s="194" t="n"/>
      <c r="U315" s="194" t="n"/>
      <c r="V315" s="194" t="n"/>
      <c r="W315" s="194" t="n"/>
      <c r="X315" s="194" t="n"/>
      <c r="Y315" s="194" t="n"/>
      <c r="Z315" s="194" t="n"/>
    </row>
    <row r="316" ht="15.75" customHeight="1" s="195">
      <c r="G316" s="194" t="n"/>
      <c r="H316" s="194" t="n"/>
      <c r="I316" s="194" t="n"/>
      <c r="J316" s="194" t="n"/>
      <c r="K316" s="194" t="n"/>
      <c r="L316" s="194" t="n"/>
      <c r="M316" s="194" t="n"/>
      <c r="N316" s="194" t="n"/>
      <c r="O316" s="194" t="n"/>
      <c r="P316" s="194" t="n"/>
      <c r="Q316" s="194" t="n"/>
      <c r="R316" s="194" t="n"/>
      <c r="S316" s="194" t="n"/>
      <c r="T316" s="194" t="n"/>
      <c r="U316" s="194" t="n"/>
      <c r="V316" s="194" t="n"/>
      <c r="W316" s="194" t="n"/>
      <c r="X316" s="194" t="n"/>
      <c r="Y316" s="194" t="n"/>
      <c r="Z316" s="194" t="n"/>
    </row>
    <row r="317" ht="15.75" customHeight="1" s="195">
      <c r="G317" s="194" t="n"/>
      <c r="H317" s="194" t="n"/>
      <c r="I317" s="194" t="n"/>
      <c r="J317" s="194" t="n"/>
      <c r="K317" s="194" t="n"/>
      <c r="L317" s="194" t="n"/>
      <c r="M317" s="194" t="n"/>
      <c r="N317" s="194" t="n"/>
      <c r="O317" s="194" t="n"/>
      <c r="P317" s="194" t="n"/>
      <c r="Q317" s="194" t="n"/>
      <c r="R317" s="194" t="n"/>
      <c r="S317" s="194" t="n"/>
      <c r="T317" s="194" t="n"/>
      <c r="U317" s="194" t="n"/>
      <c r="V317" s="194" t="n"/>
      <c r="W317" s="194" t="n"/>
      <c r="X317" s="194" t="n"/>
      <c r="Y317" s="194" t="n"/>
      <c r="Z317" s="194" t="n"/>
    </row>
    <row r="318" ht="15.75" customHeight="1" s="195">
      <c r="G318" s="194" t="n"/>
      <c r="H318" s="194" t="n"/>
      <c r="I318" s="194" t="n"/>
      <c r="J318" s="194" t="n"/>
      <c r="K318" s="194" t="n"/>
      <c r="L318" s="194" t="n"/>
      <c r="M318" s="194" t="n"/>
      <c r="N318" s="194" t="n"/>
      <c r="O318" s="194" t="n"/>
      <c r="P318" s="194" t="n"/>
      <c r="Q318" s="194" t="n"/>
      <c r="R318" s="194" t="n"/>
      <c r="S318" s="194" t="n"/>
      <c r="T318" s="194" t="n"/>
      <c r="U318" s="194" t="n"/>
      <c r="V318" s="194" t="n"/>
      <c r="W318" s="194" t="n"/>
      <c r="X318" s="194" t="n"/>
      <c r="Y318" s="194" t="n"/>
      <c r="Z318" s="194" t="n"/>
    </row>
    <row r="319" ht="15.75" customHeight="1" s="195">
      <c r="G319" s="194" t="n"/>
      <c r="H319" s="194" t="n"/>
      <c r="I319" s="194" t="n"/>
      <c r="J319" s="194" t="n"/>
      <c r="K319" s="194" t="n"/>
      <c r="L319" s="194" t="n"/>
      <c r="M319" s="194" t="n"/>
      <c r="N319" s="194" t="n"/>
      <c r="O319" s="194" t="n"/>
      <c r="P319" s="194" t="n"/>
      <c r="Q319" s="194" t="n"/>
      <c r="R319" s="194" t="n"/>
      <c r="S319" s="194" t="n"/>
      <c r="T319" s="194" t="n"/>
      <c r="U319" s="194" t="n"/>
      <c r="V319" s="194" t="n"/>
      <c r="W319" s="194" t="n"/>
      <c r="X319" s="194" t="n"/>
      <c r="Y319" s="194" t="n"/>
      <c r="Z319" s="194" t="n"/>
    </row>
    <row r="320" ht="15.75" customHeight="1" s="195">
      <c r="G320" s="194" t="n"/>
      <c r="H320" s="194" t="n"/>
      <c r="I320" s="194" t="n"/>
      <c r="J320" s="194" t="n"/>
      <c r="K320" s="194" t="n"/>
      <c r="L320" s="194" t="n"/>
      <c r="M320" s="194" t="n"/>
      <c r="N320" s="194" t="n"/>
      <c r="O320" s="194" t="n"/>
      <c r="P320" s="194" t="n"/>
      <c r="Q320" s="194" t="n"/>
      <c r="R320" s="194" t="n"/>
      <c r="S320" s="194" t="n"/>
      <c r="T320" s="194" t="n"/>
      <c r="U320" s="194" t="n"/>
      <c r="V320" s="194" t="n"/>
      <c r="W320" s="194" t="n"/>
      <c r="X320" s="194" t="n"/>
      <c r="Y320" s="194" t="n"/>
      <c r="Z320" s="194" t="n"/>
    </row>
    <row r="321" ht="15.75" customHeight="1" s="195">
      <c r="G321" s="194" t="n"/>
      <c r="H321" s="194" t="n"/>
      <c r="I321" s="194" t="n"/>
      <c r="J321" s="194" t="n"/>
      <c r="K321" s="194" t="n"/>
      <c r="L321" s="194" t="n"/>
      <c r="M321" s="194" t="n"/>
      <c r="N321" s="194" t="n"/>
      <c r="O321" s="194" t="n"/>
      <c r="P321" s="194" t="n"/>
      <c r="Q321" s="194" t="n"/>
      <c r="R321" s="194" t="n"/>
      <c r="S321" s="194" t="n"/>
      <c r="T321" s="194" t="n"/>
      <c r="U321" s="194" t="n"/>
      <c r="V321" s="194" t="n"/>
      <c r="W321" s="194" t="n"/>
      <c r="X321" s="194" t="n"/>
      <c r="Y321" s="194" t="n"/>
      <c r="Z321" s="194" t="n"/>
    </row>
    <row r="322" ht="15.75" customHeight="1" s="195">
      <c r="G322" s="194" t="n"/>
      <c r="H322" s="194" t="n"/>
      <c r="I322" s="194" t="n"/>
      <c r="J322" s="194" t="n"/>
      <c r="K322" s="194" t="n"/>
      <c r="L322" s="194" t="n"/>
      <c r="M322" s="194" t="n"/>
      <c r="N322" s="194" t="n"/>
      <c r="O322" s="194" t="n"/>
      <c r="P322" s="194" t="n"/>
      <c r="Q322" s="194" t="n"/>
      <c r="R322" s="194" t="n"/>
      <c r="S322" s="194" t="n"/>
      <c r="T322" s="194" t="n"/>
      <c r="U322" s="194" t="n"/>
      <c r="V322" s="194" t="n"/>
      <c r="W322" s="194" t="n"/>
      <c r="X322" s="194" t="n"/>
      <c r="Y322" s="194" t="n"/>
      <c r="Z322" s="194" t="n"/>
    </row>
    <row r="323" ht="15.75" customHeight="1" s="195">
      <c r="G323" s="194" t="n"/>
      <c r="H323" s="194" t="n"/>
      <c r="I323" s="194" t="n"/>
      <c r="J323" s="194" t="n"/>
      <c r="K323" s="194" t="n"/>
      <c r="L323" s="194" t="n"/>
      <c r="M323" s="194" t="n"/>
      <c r="N323" s="194" t="n"/>
      <c r="O323" s="194" t="n"/>
      <c r="P323" s="194" t="n"/>
      <c r="Q323" s="194" t="n"/>
      <c r="R323" s="194" t="n"/>
      <c r="S323" s="194" t="n"/>
      <c r="T323" s="194" t="n"/>
      <c r="U323" s="194" t="n"/>
      <c r="V323" s="194" t="n"/>
      <c r="W323" s="194" t="n"/>
      <c r="X323" s="194" t="n"/>
      <c r="Y323" s="194" t="n"/>
      <c r="Z323" s="194" t="n"/>
    </row>
    <row r="324" ht="15.75" customHeight="1" s="195">
      <c r="G324" s="194" t="n"/>
      <c r="H324" s="194" t="n"/>
      <c r="I324" s="194" t="n"/>
      <c r="J324" s="194" t="n"/>
      <c r="K324" s="194" t="n"/>
      <c r="L324" s="194" t="n"/>
      <c r="M324" s="194" t="n"/>
      <c r="N324" s="194" t="n"/>
      <c r="O324" s="194" t="n"/>
      <c r="P324" s="194" t="n"/>
      <c r="Q324" s="194" t="n"/>
      <c r="R324" s="194" t="n"/>
      <c r="S324" s="194" t="n"/>
      <c r="T324" s="194" t="n"/>
      <c r="U324" s="194" t="n"/>
      <c r="V324" s="194" t="n"/>
      <c r="W324" s="194" t="n"/>
      <c r="X324" s="194" t="n"/>
      <c r="Y324" s="194" t="n"/>
      <c r="Z324" s="194" t="n"/>
    </row>
    <row r="325" ht="15.75" customHeight="1" s="195">
      <c r="G325" s="194" t="n"/>
      <c r="H325" s="194" t="n"/>
      <c r="I325" s="194" t="n"/>
      <c r="J325" s="194" t="n"/>
      <c r="K325" s="194" t="n"/>
      <c r="L325" s="194" t="n"/>
      <c r="M325" s="194" t="n"/>
      <c r="N325" s="194" t="n"/>
      <c r="O325" s="194" t="n"/>
      <c r="P325" s="194" t="n"/>
      <c r="Q325" s="194" t="n"/>
      <c r="R325" s="194" t="n"/>
      <c r="S325" s="194" t="n"/>
      <c r="T325" s="194" t="n"/>
      <c r="U325" s="194" t="n"/>
      <c r="V325" s="194" t="n"/>
      <c r="W325" s="194" t="n"/>
      <c r="X325" s="194" t="n"/>
      <c r="Y325" s="194" t="n"/>
      <c r="Z325" s="194" t="n"/>
    </row>
    <row r="326" ht="15.75" customHeight="1" s="195">
      <c r="G326" s="194" t="n"/>
      <c r="H326" s="194" t="n"/>
      <c r="I326" s="194" t="n"/>
      <c r="J326" s="194" t="n"/>
      <c r="K326" s="194" t="n"/>
      <c r="L326" s="194" t="n"/>
      <c r="M326" s="194" t="n"/>
      <c r="N326" s="194" t="n"/>
      <c r="O326" s="194" t="n"/>
      <c r="P326" s="194" t="n"/>
      <c r="Q326" s="194" t="n"/>
      <c r="R326" s="194" t="n"/>
      <c r="S326" s="194" t="n"/>
      <c r="T326" s="194" t="n"/>
      <c r="U326" s="194" t="n"/>
      <c r="V326" s="194" t="n"/>
      <c r="W326" s="194" t="n"/>
      <c r="X326" s="194" t="n"/>
      <c r="Y326" s="194" t="n"/>
      <c r="Z326" s="194" t="n"/>
    </row>
    <row r="327" ht="15.75" customHeight="1" s="195">
      <c r="G327" s="194" t="n"/>
      <c r="H327" s="194" t="n"/>
      <c r="I327" s="194" t="n"/>
      <c r="J327" s="194" t="n"/>
      <c r="K327" s="194" t="n"/>
      <c r="L327" s="194" t="n"/>
      <c r="M327" s="194" t="n"/>
      <c r="N327" s="194" t="n"/>
      <c r="O327" s="194" t="n"/>
      <c r="P327" s="194" t="n"/>
      <c r="Q327" s="194" t="n"/>
      <c r="R327" s="194" t="n"/>
      <c r="S327" s="194" t="n"/>
      <c r="T327" s="194" t="n"/>
      <c r="U327" s="194" t="n"/>
      <c r="V327" s="194" t="n"/>
      <c r="W327" s="194" t="n"/>
      <c r="X327" s="194" t="n"/>
      <c r="Y327" s="194" t="n"/>
      <c r="Z327" s="194" t="n"/>
    </row>
    <row r="328" ht="15.75" customHeight="1" s="195">
      <c r="G328" s="194" t="n"/>
      <c r="H328" s="194" t="n"/>
      <c r="I328" s="194" t="n"/>
      <c r="J328" s="194" t="n"/>
      <c r="K328" s="194" t="n"/>
      <c r="L328" s="194" t="n"/>
      <c r="M328" s="194" t="n"/>
      <c r="N328" s="194" t="n"/>
      <c r="O328" s="194" t="n"/>
      <c r="P328" s="194" t="n"/>
      <c r="Q328" s="194" t="n"/>
      <c r="R328" s="194" t="n"/>
      <c r="S328" s="194" t="n"/>
      <c r="T328" s="194" t="n"/>
      <c r="U328" s="194" t="n"/>
      <c r="V328" s="194" t="n"/>
      <c r="W328" s="194" t="n"/>
      <c r="X328" s="194" t="n"/>
      <c r="Y328" s="194" t="n"/>
      <c r="Z328" s="194" t="n"/>
    </row>
    <row r="329" ht="15.75" customHeight="1" s="195">
      <c r="G329" s="194" t="n"/>
      <c r="H329" s="194" t="n"/>
      <c r="I329" s="194" t="n"/>
      <c r="J329" s="194" t="n"/>
      <c r="K329" s="194" t="n"/>
      <c r="L329" s="194" t="n"/>
      <c r="M329" s="194" t="n"/>
      <c r="N329" s="194" t="n"/>
      <c r="O329" s="194" t="n"/>
      <c r="P329" s="194" t="n"/>
      <c r="Q329" s="194" t="n"/>
      <c r="R329" s="194" t="n"/>
      <c r="S329" s="194" t="n"/>
      <c r="T329" s="194" t="n"/>
      <c r="U329" s="194" t="n"/>
      <c r="V329" s="194" t="n"/>
      <c r="W329" s="194" t="n"/>
      <c r="X329" s="194" t="n"/>
      <c r="Y329" s="194" t="n"/>
      <c r="Z329" s="194" t="n"/>
    </row>
    <row r="330" ht="15.75" customHeight="1" s="195">
      <c r="G330" s="194" t="n"/>
      <c r="H330" s="194" t="n"/>
      <c r="I330" s="194" t="n"/>
      <c r="J330" s="194" t="n"/>
      <c r="K330" s="194" t="n"/>
      <c r="L330" s="194" t="n"/>
      <c r="M330" s="194" t="n"/>
      <c r="N330" s="194" t="n"/>
      <c r="O330" s="194" t="n"/>
      <c r="P330" s="194" t="n"/>
      <c r="Q330" s="194" t="n"/>
      <c r="R330" s="194" t="n"/>
      <c r="S330" s="194" t="n"/>
      <c r="T330" s="194" t="n"/>
      <c r="U330" s="194" t="n"/>
      <c r="V330" s="194" t="n"/>
      <c r="W330" s="194" t="n"/>
      <c r="X330" s="194" t="n"/>
      <c r="Y330" s="194" t="n"/>
      <c r="Z330" s="194" t="n"/>
    </row>
    <row r="331" ht="15.75" customHeight="1" s="195">
      <c r="G331" s="194" t="n"/>
      <c r="H331" s="194" t="n"/>
      <c r="I331" s="194" t="n"/>
      <c r="J331" s="194" t="n"/>
      <c r="K331" s="194" t="n"/>
      <c r="L331" s="194" t="n"/>
      <c r="M331" s="194" t="n"/>
      <c r="N331" s="194" t="n"/>
      <c r="O331" s="194" t="n"/>
      <c r="P331" s="194" t="n"/>
      <c r="Q331" s="194" t="n"/>
      <c r="R331" s="194" t="n"/>
      <c r="S331" s="194" t="n"/>
      <c r="T331" s="194" t="n"/>
      <c r="U331" s="194" t="n"/>
      <c r="V331" s="194" t="n"/>
      <c r="W331" s="194" t="n"/>
      <c r="X331" s="194" t="n"/>
      <c r="Y331" s="194" t="n"/>
      <c r="Z331" s="194" t="n"/>
    </row>
    <row r="332" ht="15.75" customHeight="1" s="195">
      <c r="G332" s="194" t="n"/>
      <c r="H332" s="194" t="n"/>
      <c r="I332" s="194" t="n"/>
      <c r="J332" s="194" t="n"/>
      <c r="K332" s="194" t="n"/>
      <c r="L332" s="194" t="n"/>
      <c r="M332" s="194" t="n"/>
      <c r="N332" s="194" t="n"/>
      <c r="O332" s="194" t="n"/>
      <c r="P332" s="194" t="n"/>
      <c r="Q332" s="194" t="n"/>
      <c r="R332" s="194" t="n"/>
      <c r="S332" s="194" t="n"/>
      <c r="T332" s="194" t="n"/>
      <c r="U332" s="194" t="n"/>
      <c r="V332" s="194" t="n"/>
      <c r="W332" s="194" t="n"/>
      <c r="X332" s="194" t="n"/>
      <c r="Y332" s="194" t="n"/>
      <c r="Z332" s="194" t="n"/>
    </row>
    <row r="333" ht="15.75" customHeight="1" s="195">
      <c r="G333" s="194" t="n"/>
      <c r="H333" s="194" t="n"/>
      <c r="I333" s="194" t="n"/>
      <c r="J333" s="194" t="n"/>
      <c r="K333" s="194" t="n"/>
      <c r="L333" s="194" t="n"/>
      <c r="M333" s="194" t="n"/>
      <c r="N333" s="194" t="n"/>
      <c r="O333" s="194" t="n"/>
      <c r="P333" s="194" t="n"/>
      <c r="Q333" s="194" t="n"/>
      <c r="R333" s="194" t="n"/>
      <c r="S333" s="194" t="n"/>
      <c r="T333" s="194" t="n"/>
      <c r="U333" s="194" t="n"/>
      <c r="V333" s="194" t="n"/>
      <c r="W333" s="194" t="n"/>
      <c r="X333" s="194" t="n"/>
      <c r="Y333" s="194" t="n"/>
      <c r="Z333" s="194" t="n"/>
    </row>
    <row r="334" ht="15.75" customHeight="1" s="195">
      <c r="G334" s="194" t="n"/>
      <c r="H334" s="194" t="n"/>
      <c r="I334" s="194" t="n"/>
      <c r="J334" s="194" t="n"/>
      <c r="K334" s="194" t="n"/>
      <c r="L334" s="194" t="n"/>
      <c r="M334" s="194" t="n"/>
      <c r="N334" s="194" t="n"/>
      <c r="O334" s="194" t="n"/>
      <c r="P334" s="194" t="n"/>
      <c r="Q334" s="194" t="n"/>
      <c r="R334" s="194" t="n"/>
      <c r="S334" s="194" t="n"/>
      <c r="T334" s="194" t="n"/>
      <c r="U334" s="194" t="n"/>
      <c r="V334" s="194" t="n"/>
      <c r="W334" s="194" t="n"/>
      <c r="X334" s="194" t="n"/>
      <c r="Y334" s="194" t="n"/>
      <c r="Z334" s="194" t="n"/>
    </row>
    <row r="335" ht="15.75" customHeight="1" s="195">
      <c r="G335" s="194" t="n"/>
      <c r="H335" s="194" t="n"/>
      <c r="I335" s="194" t="n"/>
      <c r="J335" s="194" t="n"/>
      <c r="K335" s="194" t="n"/>
      <c r="L335" s="194" t="n"/>
      <c r="M335" s="194" t="n"/>
      <c r="N335" s="194" t="n"/>
      <c r="O335" s="194" t="n"/>
      <c r="P335" s="194" t="n"/>
      <c r="Q335" s="194" t="n"/>
      <c r="R335" s="194" t="n"/>
      <c r="S335" s="194" t="n"/>
      <c r="T335" s="194" t="n"/>
      <c r="U335" s="194" t="n"/>
      <c r="V335" s="194" t="n"/>
      <c r="W335" s="194" t="n"/>
      <c r="X335" s="194" t="n"/>
      <c r="Y335" s="194" t="n"/>
      <c r="Z335" s="194" t="n"/>
    </row>
    <row r="336" ht="15.75" customHeight="1" s="195">
      <c r="G336" s="194" t="n"/>
      <c r="H336" s="194" t="n"/>
      <c r="I336" s="194" t="n"/>
      <c r="J336" s="194" t="n"/>
      <c r="K336" s="194" t="n"/>
      <c r="L336" s="194" t="n"/>
      <c r="M336" s="194" t="n"/>
      <c r="N336" s="194" t="n"/>
      <c r="O336" s="194" t="n"/>
      <c r="P336" s="194" t="n"/>
      <c r="Q336" s="194" t="n"/>
      <c r="R336" s="194" t="n"/>
      <c r="S336" s="194" t="n"/>
      <c r="T336" s="194" t="n"/>
      <c r="U336" s="194" t="n"/>
      <c r="V336" s="194" t="n"/>
      <c r="W336" s="194" t="n"/>
      <c r="X336" s="194" t="n"/>
      <c r="Y336" s="194" t="n"/>
      <c r="Z336" s="194" t="n"/>
    </row>
    <row r="337" ht="15.75" customHeight="1" s="195">
      <c r="G337" s="194" t="n"/>
      <c r="H337" s="194" t="n"/>
      <c r="I337" s="194" t="n"/>
      <c r="J337" s="194" t="n"/>
      <c r="K337" s="194" t="n"/>
      <c r="L337" s="194" t="n"/>
      <c r="M337" s="194" t="n"/>
      <c r="N337" s="194" t="n"/>
      <c r="O337" s="194" t="n"/>
      <c r="P337" s="194" t="n"/>
      <c r="Q337" s="194" t="n"/>
      <c r="R337" s="194" t="n"/>
      <c r="S337" s="194" t="n"/>
      <c r="T337" s="194" t="n"/>
      <c r="U337" s="194" t="n"/>
      <c r="V337" s="194" t="n"/>
      <c r="W337" s="194" t="n"/>
      <c r="X337" s="194" t="n"/>
      <c r="Y337" s="194" t="n"/>
      <c r="Z337" s="194" t="n"/>
    </row>
    <row r="338" ht="15.75" customHeight="1" s="195">
      <c r="G338" s="194" t="n"/>
      <c r="H338" s="194" t="n"/>
      <c r="I338" s="194" t="n"/>
      <c r="J338" s="194" t="n"/>
      <c r="K338" s="194" t="n"/>
      <c r="L338" s="194" t="n"/>
      <c r="M338" s="194" t="n"/>
      <c r="N338" s="194" t="n"/>
      <c r="O338" s="194" t="n"/>
      <c r="P338" s="194" t="n"/>
      <c r="Q338" s="194" t="n"/>
      <c r="R338" s="194" t="n"/>
      <c r="S338" s="194" t="n"/>
      <c r="T338" s="194" t="n"/>
      <c r="U338" s="194" t="n"/>
      <c r="V338" s="194" t="n"/>
      <c r="W338" s="194" t="n"/>
      <c r="X338" s="194" t="n"/>
      <c r="Y338" s="194" t="n"/>
      <c r="Z338" s="194" t="n"/>
    </row>
    <row r="339" ht="15.75" customHeight="1" s="195">
      <c r="G339" s="194" t="n"/>
      <c r="H339" s="194" t="n"/>
      <c r="I339" s="194" t="n"/>
      <c r="J339" s="194" t="n"/>
      <c r="K339" s="194" t="n"/>
      <c r="L339" s="194" t="n"/>
      <c r="M339" s="194" t="n"/>
      <c r="N339" s="194" t="n"/>
      <c r="O339" s="194" t="n"/>
      <c r="P339" s="194" t="n"/>
      <c r="Q339" s="194" t="n"/>
      <c r="R339" s="194" t="n"/>
      <c r="S339" s="194" t="n"/>
      <c r="T339" s="194" t="n"/>
      <c r="U339" s="194" t="n"/>
      <c r="V339" s="194" t="n"/>
      <c r="W339" s="194" t="n"/>
      <c r="X339" s="194" t="n"/>
      <c r="Y339" s="194" t="n"/>
      <c r="Z339" s="194" t="n"/>
    </row>
    <row r="340" ht="15.75" customHeight="1" s="195">
      <c r="G340" s="194" t="n"/>
      <c r="H340" s="194" t="n"/>
      <c r="I340" s="194" t="n"/>
      <c r="J340" s="194" t="n"/>
      <c r="K340" s="194" t="n"/>
      <c r="L340" s="194" t="n"/>
      <c r="M340" s="194" t="n"/>
      <c r="N340" s="194" t="n"/>
      <c r="O340" s="194" t="n"/>
      <c r="P340" s="194" t="n"/>
      <c r="Q340" s="194" t="n"/>
      <c r="R340" s="194" t="n"/>
      <c r="S340" s="194" t="n"/>
      <c r="T340" s="194" t="n"/>
      <c r="U340" s="194" t="n"/>
      <c r="V340" s="194" t="n"/>
      <c r="W340" s="194" t="n"/>
      <c r="X340" s="194" t="n"/>
      <c r="Y340" s="194" t="n"/>
      <c r="Z340" s="194" t="n"/>
    </row>
    <row r="341" ht="15.75" customHeight="1" s="195">
      <c r="G341" s="194" t="n"/>
      <c r="H341" s="194" t="n"/>
      <c r="I341" s="194" t="n"/>
      <c r="J341" s="194" t="n"/>
      <c r="K341" s="194" t="n"/>
      <c r="L341" s="194" t="n"/>
      <c r="M341" s="194" t="n"/>
      <c r="N341" s="194" t="n"/>
      <c r="O341" s="194" t="n"/>
      <c r="P341" s="194" t="n"/>
      <c r="Q341" s="194" t="n"/>
      <c r="R341" s="194" t="n"/>
      <c r="S341" s="194" t="n"/>
      <c r="T341" s="194" t="n"/>
      <c r="U341" s="194" t="n"/>
      <c r="V341" s="194" t="n"/>
      <c r="W341" s="194" t="n"/>
      <c r="X341" s="194" t="n"/>
      <c r="Y341" s="194" t="n"/>
      <c r="Z341" s="194" t="n"/>
    </row>
    <row r="342" ht="15.75" customHeight="1" s="195">
      <c r="G342" s="194" t="n"/>
      <c r="H342" s="194" t="n"/>
      <c r="I342" s="194" t="n"/>
      <c r="J342" s="194" t="n"/>
      <c r="K342" s="194" t="n"/>
      <c r="L342" s="194" t="n"/>
      <c r="M342" s="194" t="n"/>
      <c r="N342" s="194" t="n"/>
      <c r="O342" s="194" t="n"/>
      <c r="P342" s="194" t="n"/>
      <c r="Q342" s="194" t="n"/>
      <c r="R342" s="194" t="n"/>
      <c r="S342" s="194" t="n"/>
      <c r="T342" s="194" t="n"/>
      <c r="U342" s="194" t="n"/>
      <c r="V342" s="194" t="n"/>
      <c r="W342" s="194" t="n"/>
      <c r="X342" s="194" t="n"/>
      <c r="Y342" s="194" t="n"/>
      <c r="Z342" s="194" t="n"/>
    </row>
    <row r="343" ht="15.75" customHeight="1" s="195">
      <c r="G343" s="194" t="n"/>
      <c r="H343" s="194" t="n"/>
      <c r="I343" s="194" t="n"/>
      <c r="J343" s="194" t="n"/>
      <c r="K343" s="194" t="n"/>
      <c r="L343" s="194" t="n"/>
      <c r="M343" s="194" t="n"/>
      <c r="N343" s="194" t="n"/>
      <c r="O343" s="194" t="n"/>
      <c r="P343" s="194" t="n"/>
      <c r="Q343" s="194" t="n"/>
      <c r="R343" s="194" t="n"/>
      <c r="S343" s="194" t="n"/>
      <c r="T343" s="194" t="n"/>
      <c r="U343" s="194" t="n"/>
      <c r="V343" s="194" t="n"/>
      <c r="W343" s="194" t="n"/>
      <c r="X343" s="194" t="n"/>
      <c r="Y343" s="194" t="n"/>
      <c r="Z343" s="194" t="n"/>
    </row>
    <row r="344" ht="15.75" customHeight="1" s="195">
      <c r="G344" s="194" t="n"/>
      <c r="H344" s="194" t="n"/>
      <c r="I344" s="194" t="n"/>
      <c r="J344" s="194" t="n"/>
      <c r="K344" s="194" t="n"/>
      <c r="L344" s="194" t="n"/>
      <c r="M344" s="194" t="n"/>
      <c r="N344" s="194" t="n"/>
      <c r="O344" s="194" t="n"/>
      <c r="P344" s="194" t="n"/>
      <c r="Q344" s="194" t="n"/>
      <c r="R344" s="194" t="n"/>
      <c r="S344" s="194" t="n"/>
      <c r="T344" s="194" t="n"/>
      <c r="U344" s="194" t="n"/>
      <c r="V344" s="194" t="n"/>
      <c r="W344" s="194" t="n"/>
      <c r="X344" s="194" t="n"/>
      <c r="Y344" s="194" t="n"/>
      <c r="Z344" s="194" t="n"/>
    </row>
    <row r="345" ht="15.75" customHeight="1" s="195">
      <c r="G345" s="194" t="n"/>
      <c r="H345" s="194" t="n"/>
      <c r="I345" s="194" t="n"/>
      <c r="J345" s="194" t="n"/>
      <c r="K345" s="194" t="n"/>
      <c r="L345" s="194" t="n"/>
      <c r="M345" s="194" t="n"/>
      <c r="N345" s="194" t="n"/>
      <c r="O345" s="194" t="n"/>
      <c r="P345" s="194" t="n"/>
      <c r="Q345" s="194" t="n"/>
      <c r="R345" s="194" t="n"/>
      <c r="S345" s="194" t="n"/>
      <c r="T345" s="194" t="n"/>
      <c r="U345" s="194" t="n"/>
      <c r="V345" s="194" t="n"/>
      <c r="W345" s="194" t="n"/>
      <c r="X345" s="194" t="n"/>
      <c r="Y345" s="194" t="n"/>
      <c r="Z345" s="194" t="n"/>
    </row>
    <row r="346" ht="15.75" customHeight="1" s="195">
      <c r="G346" s="194" t="n"/>
      <c r="H346" s="194" t="n"/>
      <c r="I346" s="194" t="n"/>
      <c r="J346" s="194" t="n"/>
      <c r="K346" s="194" t="n"/>
      <c r="L346" s="194" t="n"/>
      <c r="M346" s="194" t="n"/>
      <c r="N346" s="194" t="n"/>
      <c r="O346" s="194" t="n"/>
      <c r="P346" s="194" t="n"/>
      <c r="Q346" s="194" t="n"/>
      <c r="R346" s="194" t="n"/>
      <c r="S346" s="194" t="n"/>
      <c r="T346" s="194" t="n"/>
      <c r="U346" s="194" t="n"/>
      <c r="V346" s="194" t="n"/>
      <c r="W346" s="194" t="n"/>
      <c r="X346" s="194" t="n"/>
      <c r="Y346" s="194" t="n"/>
      <c r="Z346" s="194" t="n"/>
    </row>
    <row r="347" ht="15.75" customHeight="1" s="195">
      <c r="G347" s="194" t="n"/>
      <c r="H347" s="194" t="n"/>
      <c r="I347" s="194" t="n"/>
      <c r="J347" s="194" t="n"/>
      <c r="K347" s="194" t="n"/>
      <c r="L347" s="194" t="n"/>
      <c r="M347" s="194" t="n"/>
      <c r="N347" s="194" t="n"/>
      <c r="O347" s="194" t="n"/>
      <c r="P347" s="194" t="n"/>
      <c r="Q347" s="194" t="n"/>
      <c r="R347" s="194" t="n"/>
      <c r="S347" s="194" t="n"/>
      <c r="T347" s="194" t="n"/>
      <c r="U347" s="194" t="n"/>
      <c r="V347" s="194" t="n"/>
      <c r="W347" s="194" t="n"/>
      <c r="X347" s="194" t="n"/>
      <c r="Y347" s="194" t="n"/>
      <c r="Z347" s="194" t="n"/>
    </row>
    <row r="348" ht="15.75" customHeight="1" s="195">
      <c r="G348" s="194" t="n"/>
      <c r="H348" s="194" t="n"/>
      <c r="I348" s="194" t="n"/>
      <c r="J348" s="194" t="n"/>
      <c r="K348" s="194" t="n"/>
      <c r="L348" s="194" t="n"/>
      <c r="M348" s="194" t="n"/>
      <c r="N348" s="194" t="n"/>
      <c r="O348" s="194" t="n"/>
      <c r="P348" s="194" t="n"/>
      <c r="Q348" s="194" t="n"/>
      <c r="R348" s="194" t="n"/>
      <c r="S348" s="194" t="n"/>
      <c r="T348" s="194" t="n"/>
      <c r="U348" s="194" t="n"/>
      <c r="V348" s="194" t="n"/>
      <c r="W348" s="194" t="n"/>
      <c r="X348" s="194" t="n"/>
      <c r="Y348" s="194" t="n"/>
      <c r="Z348" s="194" t="n"/>
    </row>
    <row r="349" ht="15.75" customHeight="1" s="195">
      <c r="G349" s="194" t="n"/>
      <c r="H349" s="194" t="n"/>
      <c r="I349" s="194" t="n"/>
      <c r="J349" s="194" t="n"/>
      <c r="K349" s="194" t="n"/>
      <c r="L349" s="194" t="n"/>
      <c r="M349" s="194" t="n"/>
      <c r="N349" s="194" t="n"/>
      <c r="O349" s="194" t="n"/>
      <c r="P349" s="194" t="n"/>
      <c r="Q349" s="194" t="n"/>
      <c r="R349" s="194" t="n"/>
      <c r="S349" s="194" t="n"/>
      <c r="T349" s="194" t="n"/>
      <c r="U349" s="194" t="n"/>
      <c r="V349" s="194" t="n"/>
      <c r="W349" s="194" t="n"/>
      <c r="X349" s="194" t="n"/>
      <c r="Y349" s="194" t="n"/>
      <c r="Z349" s="194" t="n"/>
    </row>
    <row r="350" ht="15.75" customHeight="1" s="195">
      <c r="G350" s="194" t="n"/>
      <c r="H350" s="194" t="n"/>
      <c r="I350" s="194" t="n"/>
      <c r="J350" s="194" t="n"/>
      <c r="K350" s="194" t="n"/>
      <c r="L350" s="194" t="n"/>
      <c r="M350" s="194" t="n"/>
      <c r="N350" s="194" t="n"/>
      <c r="O350" s="194" t="n"/>
      <c r="P350" s="194" t="n"/>
      <c r="Q350" s="194" t="n"/>
      <c r="R350" s="194" t="n"/>
      <c r="S350" s="194" t="n"/>
      <c r="T350" s="194" t="n"/>
      <c r="U350" s="194" t="n"/>
      <c r="V350" s="194" t="n"/>
      <c r="W350" s="194" t="n"/>
      <c r="X350" s="194" t="n"/>
      <c r="Y350" s="194" t="n"/>
      <c r="Z350" s="194" t="n"/>
    </row>
    <row r="351" ht="15.75" customHeight="1" s="195">
      <c r="G351" s="194" t="n"/>
      <c r="H351" s="194" t="n"/>
      <c r="I351" s="194" t="n"/>
      <c r="J351" s="194" t="n"/>
      <c r="K351" s="194" t="n"/>
      <c r="L351" s="194" t="n"/>
      <c r="M351" s="194" t="n"/>
      <c r="N351" s="194" t="n"/>
      <c r="O351" s="194" t="n"/>
      <c r="P351" s="194" t="n"/>
      <c r="Q351" s="194" t="n"/>
      <c r="R351" s="194" t="n"/>
      <c r="S351" s="194" t="n"/>
      <c r="T351" s="194" t="n"/>
      <c r="U351" s="194" t="n"/>
      <c r="V351" s="194" t="n"/>
      <c r="W351" s="194" t="n"/>
      <c r="X351" s="194" t="n"/>
      <c r="Y351" s="194" t="n"/>
      <c r="Z351" s="194" t="n"/>
    </row>
    <row r="352" ht="15.75" customHeight="1" s="195">
      <c r="G352" s="194" t="n"/>
      <c r="H352" s="194" t="n"/>
      <c r="I352" s="194" t="n"/>
      <c r="J352" s="194" t="n"/>
      <c r="K352" s="194" t="n"/>
      <c r="L352" s="194" t="n"/>
      <c r="M352" s="194" t="n"/>
      <c r="N352" s="194" t="n"/>
      <c r="O352" s="194" t="n"/>
      <c r="P352" s="194" t="n"/>
      <c r="Q352" s="194" t="n"/>
      <c r="R352" s="194" t="n"/>
      <c r="S352" s="194" t="n"/>
      <c r="T352" s="194" t="n"/>
      <c r="U352" s="194" t="n"/>
      <c r="V352" s="194" t="n"/>
      <c r="W352" s="194" t="n"/>
      <c r="X352" s="194" t="n"/>
      <c r="Y352" s="194" t="n"/>
      <c r="Z352" s="194" t="n"/>
    </row>
    <row r="353" ht="15.75" customHeight="1" s="195">
      <c r="G353" s="194" t="n"/>
      <c r="H353" s="194" t="n"/>
      <c r="I353" s="194" t="n"/>
      <c r="J353" s="194" t="n"/>
      <c r="K353" s="194" t="n"/>
      <c r="L353" s="194" t="n"/>
      <c r="M353" s="194" t="n"/>
      <c r="N353" s="194" t="n"/>
      <c r="O353" s="194" t="n"/>
      <c r="P353" s="194" t="n"/>
      <c r="Q353" s="194" t="n"/>
      <c r="R353" s="194" t="n"/>
      <c r="S353" s="194" t="n"/>
      <c r="T353" s="194" t="n"/>
      <c r="U353" s="194" t="n"/>
      <c r="V353" s="194" t="n"/>
      <c r="W353" s="194" t="n"/>
      <c r="X353" s="194" t="n"/>
      <c r="Y353" s="194" t="n"/>
      <c r="Z353" s="194" t="n"/>
    </row>
    <row r="354" ht="15.75" customHeight="1" s="195">
      <c r="G354" s="194" t="n"/>
      <c r="H354" s="194" t="n"/>
      <c r="I354" s="194" t="n"/>
      <c r="J354" s="194" t="n"/>
      <c r="K354" s="194" t="n"/>
      <c r="L354" s="194" t="n"/>
      <c r="M354" s="194" t="n"/>
      <c r="N354" s="194" t="n"/>
      <c r="O354" s="194" t="n"/>
      <c r="P354" s="194" t="n"/>
      <c r="Q354" s="194" t="n"/>
      <c r="R354" s="194" t="n"/>
      <c r="S354" s="194" t="n"/>
      <c r="T354" s="194" t="n"/>
      <c r="U354" s="194" t="n"/>
      <c r="V354" s="194" t="n"/>
      <c r="W354" s="194" t="n"/>
      <c r="X354" s="194" t="n"/>
      <c r="Y354" s="194" t="n"/>
      <c r="Z354" s="194" t="n"/>
    </row>
    <row r="355" ht="15.75" customHeight="1" s="195">
      <c r="G355" s="194" t="n"/>
      <c r="H355" s="194" t="n"/>
      <c r="I355" s="194" t="n"/>
      <c r="J355" s="194" t="n"/>
      <c r="K355" s="194" t="n"/>
      <c r="L355" s="194" t="n"/>
      <c r="M355" s="194" t="n"/>
      <c r="N355" s="194" t="n"/>
      <c r="O355" s="194" t="n"/>
      <c r="P355" s="194" t="n"/>
      <c r="Q355" s="194" t="n"/>
      <c r="R355" s="194" t="n"/>
      <c r="S355" s="194" t="n"/>
      <c r="T355" s="194" t="n"/>
      <c r="U355" s="194" t="n"/>
      <c r="V355" s="194" t="n"/>
      <c r="W355" s="194" t="n"/>
      <c r="X355" s="194" t="n"/>
      <c r="Y355" s="194" t="n"/>
      <c r="Z355" s="194" t="n"/>
    </row>
    <row r="356" ht="15.75" customHeight="1" s="195">
      <c r="G356" s="194" t="n"/>
      <c r="H356" s="194" t="n"/>
      <c r="I356" s="194" t="n"/>
      <c r="J356" s="194" t="n"/>
      <c r="K356" s="194" t="n"/>
      <c r="L356" s="194" t="n"/>
      <c r="M356" s="194" t="n"/>
      <c r="N356" s="194" t="n"/>
      <c r="O356" s="194" t="n"/>
      <c r="P356" s="194" t="n"/>
      <c r="Q356" s="194" t="n"/>
      <c r="R356" s="194" t="n"/>
      <c r="S356" s="194" t="n"/>
      <c r="T356" s="194" t="n"/>
      <c r="U356" s="194" t="n"/>
      <c r="V356" s="194" t="n"/>
      <c r="W356" s="194" t="n"/>
      <c r="X356" s="194" t="n"/>
      <c r="Y356" s="194" t="n"/>
      <c r="Z356" s="194" t="n"/>
    </row>
    <row r="357" ht="15.75" customHeight="1" s="195">
      <c r="G357" s="194" t="n"/>
      <c r="H357" s="194" t="n"/>
      <c r="I357" s="194" t="n"/>
      <c r="J357" s="194" t="n"/>
      <c r="K357" s="194" t="n"/>
      <c r="L357" s="194" t="n"/>
      <c r="M357" s="194" t="n"/>
      <c r="N357" s="194" t="n"/>
      <c r="O357" s="194" t="n"/>
      <c r="P357" s="194" t="n"/>
      <c r="Q357" s="194" t="n"/>
      <c r="R357" s="194" t="n"/>
      <c r="S357" s="194" t="n"/>
      <c r="T357" s="194" t="n"/>
      <c r="U357" s="194" t="n"/>
      <c r="V357" s="194" t="n"/>
      <c r="W357" s="194" t="n"/>
      <c r="X357" s="194" t="n"/>
      <c r="Y357" s="194" t="n"/>
      <c r="Z357" s="194" t="n"/>
    </row>
    <row r="358" ht="15.75" customHeight="1" s="195">
      <c r="G358" s="194" t="n"/>
      <c r="H358" s="194" t="n"/>
      <c r="I358" s="194" t="n"/>
      <c r="J358" s="194" t="n"/>
      <c r="K358" s="194" t="n"/>
      <c r="L358" s="194" t="n"/>
      <c r="M358" s="194" t="n"/>
      <c r="N358" s="194" t="n"/>
      <c r="O358" s="194" t="n"/>
      <c r="P358" s="194" t="n"/>
      <c r="Q358" s="194" t="n"/>
      <c r="R358" s="194" t="n"/>
      <c r="S358" s="194" t="n"/>
      <c r="T358" s="194" t="n"/>
      <c r="U358" s="194" t="n"/>
      <c r="V358" s="194" t="n"/>
      <c r="W358" s="194" t="n"/>
      <c r="X358" s="194" t="n"/>
      <c r="Y358" s="194" t="n"/>
      <c r="Z358" s="194" t="n"/>
    </row>
    <row r="359" ht="15.75" customHeight="1" s="195">
      <c r="G359" s="194" t="n"/>
      <c r="H359" s="194" t="n"/>
      <c r="I359" s="194" t="n"/>
      <c r="J359" s="194" t="n"/>
      <c r="K359" s="194" t="n"/>
      <c r="L359" s="194" t="n"/>
      <c r="M359" s="194" t="n"/>
      <c r="N359" s="194" t="n"/>
      <c r="O359" s="194" t="n"/>
      <c r="P359" s="194" t="n"/>
      <c r="Q359" s="194" t="n"/>
      <c r="R359" s="194" t="n"/>
      <c r="S359" s="194" t="n"/>
      <c r="T359" s="194" t="n"/>
      <c r="U359" s="194" t="n"/>
      <c r="V359" s="194" t="n"/>
      <c r="W359" s="194" t="n"/>
      <c r="X359" s="194" t="n"/>
      <c r="Y359" s="194" t="n"/>
      <c r="Z359" s="194" t="n"/>
    </row>
    <row r="360" ht="15.75" customHeight="1" s="195">
      <c r="G360" s="194" t="n"/>
      <c r="H360" s="194" t="n"/>
      <c r="I360" s="194" t="n"/>
      <c r="J360" s="194" t="n"/>
      <c r="K360" s="194" t="n"/>
      <c r="L360" s="194" t="n"/>
      <c r="M360" s="194" t="n"/>
      <c r="N360" s="194" t="n"/>
      <c r="O360" s="194" t="n"/>
      <c r="P360" s="194" t="n"/>
      <c r="Q360" s="194" t="n"/>
      <c r="R360" s="194" t="n"/>
      <c r="S360" s="194" t="n"/>
      <c r="T360" s="194" t="n"/>
      <c r="U360" s="194" t="n"/>
      <c r="V360" s="194" t="n"/>
      <c r="W360" s="194" t="n"/>
      <c r="X360" s="194" t="n"/>
      <c r="Y360" s="194" t="n"/>
      <c r="Z360" s="194" t="n"/>
    </row>
    <row r="361" ht="15.75" customHeight="1" s="195">
      <c r="G361" s="194" t="n"/>
      <c r="H361" s="194" t="n"/>
      <c r="I361" s="194" t="n"/>
      <c r="J361" s="194" t="n"/>
      <c r="K361" s="194" t="n"/>
      <c r="L361" s="194" t="n"/>
      <c r="M361" s="194" t="n"/>
      <c r="N361" s="194" t="n"/>
      <c r="O361" s="194" t="n"/>
      <c r="P361" s="194" t="n"/>
      <c r="Q361" s="194" t="n"/>
      <c r="R361" s="194" t="n"/>
      <c r="S361" s="194" t="n"/>
      <c r="T361" s="194" t="n"/>
      <c r="U361" s="194" t="n"/>
      <c r="V361" s="194" t="n"/>
      <c r="W361" s="194" t="n"/>
      <c r="X361" s="194" t="n"/>
      <c r="Y361" s="194" t="n"/>
      <c r="Z361" s="194" t="n"/>
    </row>
    <row r="362" ht="15.75" customHeight="1" s="195">
      <c r="G362" s="194" t="n"/>
      <c r="H362" s="194" t="n"/>
      <c r="I362" s="194" t="n"/>
      <c r="J362" s="194" t="n"/>
      <c r="K362" s="194" t="n"/>
      <c r="L362" s="194" t="n"/>
      <c r="M362" s="194" t="n"/>
      <c r="N362" s="194" t="n"/>
      <c r="O362" s="194" t="n"/>
      <c r="P362" s="194" t="n"/>
      <c r="Q362" s="194" t="n"/>
      <c r="R362" s="194" t="n"/>
      <c r="S362" s="194" t="n"/>
      <c r="T362" s="194" t="n"/>
      <c r="U362" s="194" t="n"/>
      <c r="V362" s="194" t="n"/>
      <c r="W362" s="194" t="n"/>
      <c r="X362" s="194" t="n"/>
      <c r="Y362" s="194" t="n"/>
      <c r="Z362" s="194" t="n"/>
    </row>
    <row r="363" ht="15.75" customHeight="1" s="195">
      <c r="G363" s="194" t="n"/>
      <c r="H363" s="194" t="n"/>
      <c r="I363" s="194" t="n"/>
      <c r="J363" s="194" t="n"/>
      <c r="K363" s="194" t="n"/>
      <c r="L363" s="194" t="n"/>
      <c r="M363" s="194" t="n"/>
      <c r="N363" s="194" t="n"/>
      <c r="O363" s="194" t="n"/>
      <c r="P363" s="194" t="n"/>
      <c r="Q363" s="194" t="n"/>
      <c r="R363" s="194" t="n"/>
      <c r="S363" s="194" t="n"/>
      <c r="T363" s="194" t="n"/>
      <c r="U363" s="194" t="n"/>
      <c r="V363" s="194" t="n"/>
      <c r="W363" s="194" t="n"/>
      <c r="X363" s="194" t="n"/>
      <c r="Y363" s="194" t="n"/>
      <c r="Z363" s="194" t="n"/>
    </row>
    <row r="364" ht="15.75" customHeight="1" s="195">
      <c r="G364" s="194" t="n"/>
      <c r="H364" s="194" t="n"/>
      <c r="I364" s="194" t="n"/>
      <c r="J364" s="194" t="n"/>
      <c r="K364" s="194" t="n"/>
      <c r="L364" s="194" t="n"/>
      <c r="M364" s="194" t="n"/>
      <c r="N364" s="194" t="n"/>
      <c r="O364" s="194" t="n"/>
      <c r="P364" s="194" t="n"/>
      <c r="Q364" s="194" t="n"/>
      <c r="R364" s="194" t="n"/>
      <c r="S364" s="194" t="n"/>
      <c r="T364" s="194" t="n"/>
      <c r="U364" s="194" t="n"/>
      <c r="V364" s="194" t="n"/>
      <c r="W364" s="194" t="n"/>
      <c r="X364" s="194" t="n"/>
      <c r="Y364" s="194" t="n"/>
      <c r="Z364" s="194" t="n"/>
    </row>
    <row r="365" ht="15.75" customHeight="1" s="195">
      <c r="G365" s="194" t="n"/>
      <c r="H365" s="194" t="n"/>
      <c r="I365" s="194" t="n"/>
      <c r="J365" s="194" t="n"/>
      <c r="K365" s="194" t="n"/>
      <c r="L365" s="194" t="n"/>
      <c r="M365" s="194" t="n"/>
      <c r="N365" s="194" t="n"/>
      <c r="O365" s="194" t="n"/>
      <c r="P365" s="194" t="n"/>
      <c r="Q365" s="194" t="n"/>
      <c r="R365" s="194" t="n"/>
      <c r="S365" s="194" t="n"/>
      <c r="T365" s="194" t="n"/>
      <c r="U365" s="194" t="n"/>
      <c r="V365" s="194" t="n"/>
      <c r="W365" s="194" t="n"/>
      <c r="X365" s="194" t="n"/>
      <c r="Y365" s="194" t="n"/>
      <c r="Z365" s="194" t="n"/>
    </row>
    <row r="366" ht="15.75" customHeight="1" s="195">
      <c r="G366" s="194" t="n"/>
      <c r="H366" s="194" t="n"/>
      <c r="I366" s="194" t="n"/>
      <c r="J366" s="194" t="n"/>
      <c r="K366" s="194" t="n"/>
      <c r="L366" s="194" t="n"/>
      <c r="M366" s="194" t="n"/>
      <c r="N366" s="194" t="n"/>
      <c r="O366" s="194" t="n"/>
      <c r="P366" s="194" t="n"/>
      <c r="Q366" s="194" t="n"/>
      <c r="R366" s="194" t="n"/>
      <c r="S366" s="194" t="n"/>
      <c r="T366" s="194" t="n"/>
      <c r="U366" s="194" t="n"/>
      <c r="V366" s="194" t="n"/>
      <c r="W366" s="194" t="n"/>
      <c r="X366" s="194" t="n"/>
      <c r="Y366" s="194" t="n"/>
      <c r="Z366" s="194" t="n"/>
    </row>
    <row r="367" ht="15.75" customHeight="1" s="195">
      <c r="G367" s="194" t="n"/>
      <c r="H367" s="194" t="n"/>
      <c r="I367" s="194" t="n"/>
      <c r="J367" s="194" t="n"/>
      <c r="K367" s="194" t="n"/>
      <c r="L367" s="194" t="n"/>
      <c r="M367" s="194" t="n"/>
      <c r="N367" s="194" t="n"/>
      <c r="O367" s="194" t="n"/>
      <c r="P367" s="194" t="n"/>
      <c r="Q367" s="194" t="n"/>
      <c r="R367" s="194" t="n"/>
      <c r="S367" s="194" t="n"/>
      <c r="T367" s="194" t="n"/>
      <c r="U367" s="194" t="n"/>
      <c r="V367" s="194" t="n"/>
      <c r="W367" s="194" t="n"/>
      <c r="X367" s="194" t="n"/>
      <c r="Y367" s="194" t="n"/>
      <c r="Z367" s="194" t="n"/>
    </row>
    <row r="368" ht="15.75" customHeight="1" s="195">
      <c r="G368" s="194" t="n"/>
      <c r="H368" s="194" t="n"/>
      <c r="I368" s="194" t="n"/>
      <c r="J368" s="194" t="n"/>
      <c r="K368" s="194" t="n"/>
      <c r="L368" s="194" t="n"/>
      <c r="M368" s="194" t="n"/>
      <c r="N368" s="194" t="n"/>
      <c r="O368" s="194" t="n"/>
      <c r="P368" s="194" t="n"/>
      <c r="Q368" s="194" t="n"/>
      <c r="R368" s="194" t="n"/>
      <c r="S368" s="194" t="n"/>
      <c r="T368" s="194" t="n"/>
      <c r="U368" s="194" t="n"/>
      <c r="V368" s="194" t="n"/>
      <c r="W368" s="194" t="n"/>
      <c r="X368" s="194" t="n"/>
      <c r="Y368" s="194" t="n"/>
      <c r="Z368" s="194" t="n"/>
    </row>
    <row r="369" ht="15.75" customHeight="1" s="195">
      <c r="G369" s="194" t="n"/>
      <c r="H369" s="194" t="n"/>
      <c r="I369" s="194" t="n"/>
      <c r="J369" s="194" t="n"/>
      <c r="K369" s="194" t="n"/>
      <c r="L369" s="194" t="n"/>
      <c r="M369" s="194" t="n"/>
      <c r="N369" s="194" t="n"/>
      <c r="O369" s="194" t="n"/>
      <c r="P369" s="194" t="n"/>
      <c r="Q369" s="194" t="n"/>
      <c r="R369" s="194" t="n"/>
      <c r="S369" s="194" t="n"/>
      <c r="T369" s="194" t="n"/>
      <c r="U369" s="194" t="n"/>
      <c r="V369" s="194" t="n"/>
      <c r="W369" s="194" t="n"/>
      <c r="X369" s="194" t="n"/>
      <c r="Y369" s="194" t="n"/>
      <c r="Z369" s="194" t="n"/>
    </row>
    <row r="370" ht="15.75" customHeight="1" s="195">
      <c r="G370" s="194" t="n"/>
      <c r="H370" s="194" t="n"/>
      <c r="I370" s="194" t="n"/>
      <c r="J370" s="194" t="n"/>
      <c r="K370" s="194" t="n"/>
      <c r="L370" s="194" t="n"/>
      <c r="M370" s="194" t="n"/>
      <c r="N370" s="194" t="n"/>
      <c r="O370" s="194" t="n"/>
      <c r="P370" s="194" t="n"/>
      <c r="Q370" s="194" t="n"/>
      <c r="R370" s="194" t="n"/>
      <c r="S370" s="194" t="n"/>
      <c r="T370" s="194" t="n"/>
      <c r="U370" s="194" t="n"/>
      <c r="V370" s="194" t="n"/>
      <c r="W370" s="194" t="n"/>
      <c r="X370" s="194" t="n"/>
      <c r="Y370" s="194" t="n"/>
      <c r="Z370" s="194" t="n"/>
    </row>
    <row r="371" ht="15.75" customHeight="1" s="195">
      <c r="G371" s="194" t="n"/>
      <c r="H371" s="194" t="n"/>
      <c r="I371" s="194" t="n"/>
      <c r="J371" s="194" t="n"/>
      <c r="K371" s="194" t="n"/>
      <c r="L371" s="194" t="n"/>
      <c r="M371" s="194" t="n"/>
      <c r="N371" s="194" t="n"/>
      <c r="O371" s="194" t="n"/>
      <c r="P371" s="194" t="n"/>
      <c r="Q371" s="194" t="n"/>
      <c r="R371" s="194" t="n"/>
      <c r="S371" s="194" t="n"/>
      <c r="T371" s="194" t="n"/>
      <c r="U371" s="194" t="n"/>
      <c r="V371" s="194" t="n"/>
      <c r="W371" s="194" t="n"/>
      <c r="X371" s="194" t="n"/>
      <c r="Y371" s="194" t="n"/>
      <c r="Z371" s="194" t="n"/>
    </row>
    <row r="372" ht="15.75" customHeight="1" s="195">
      <c r="G372" s="194" t="n"/>
      <c r="H372" s="194" t="n"/>
      <c r="I372" s="194" t="n"/>
      <c r="J372" s="194" t="n"/>
      <c r="K372" s="194" t="n"/>
      <c r="L372" s="194" t="n"/>
      <c r="M372" s="194" t="n"/>
      <c r="N372" s="194" t="n"/>
      <c r="O372" s="194" t="n"/>
      <c r="P372" s="194" t="n"/>
      <c r="Q372" s="194" t="n"/>
      <c r="R372" s="194" t="n"/>
      <c r="S372" s="194" t="n"/>
      <c r="T372" s="194" t="n"/>
      <c r="U372" s="194" t="n"/>
      <c r="V372" s="194" t="n"/>
      <c r="W372" s="194" t="n"/>
      <c r="X372" s="194" t="n"/>
      <c r="Y372" s="194" t="n"/>
      <c r="Z372" s="194" t="n"/>
    </row>
    <row r="373" ht="15.75" customHeight="1" s="195">
      <c r="G373" s="194" t="n"/>
      <c r="H373" s="194" t="n"/>
      <c r="I373" s="194" t="n"/>
      <c r="J373" s="194" t="n"/>
      <c r="K373" s="194" t="n"/>
      <c r="L373" s="194" t="n"/>
      <c r="M373" s="194" t="n"/>
      <c r="N373" s="194" t="n"/>
      <c r="O373" s="194" t="n"/>
      <c r="P373" s="194" t="n"/>
      <c r="Q373" s="194" t="n"/>
      <c r="R373" s="194" t="n"/>
      <c r="S373" s="194" t="n"/>
      <c r="T373" s="194" t="n"/>
      <c r="U373" s="194" t="n"/>
      <c r="V373" s="194" t="n"/>
      <c r="W373" s="194" t="n"/>
      <c r="X373" s="194" t="n"/>
      <c r="Y373" s="194" t="n"/>
      <c r="Z373" s="194" t="n"/>
    </row>
    <row r="374" ht="15.75" customHeight="1" s="195">
      <c r="G374" s="194" t="n"/>
      <c r="H374" s="194" t="n"/>
      <c r="I374" s="194" t="n"/>
      <c r="J374" s="194" t="n"/>
      <c r="K374" s="194" t="n"/>
      <c r="L374" s="194" t="n"/>
      <c r="M374" s="194" t="n"/>
      <c r="N374" s="194" t="n"/>
      <c r="O374" s="194" t="n"/>
      <c r="P374" s="194" t="n"/>
      <c r="Q374" s="194" t="n"/>
      <c r="R374" s="194" t="n"/>
      <c r="S374" s="194" t="n"/>
      <c r="T374" s="194" t="n"/>
      <c r="U374" s="194" t="n"/>
      <c r="V374" s="194" t="n"/>
      <c r="W374" s="194" t="n"/>
      <c r="X374" s="194" t="n"/>
      <c r="Y374" s="194" t="n"/>
      <c r="Z374" s="194" t="n"/>
    </row>
    <row r="375" ht="15.75" customHeight="1" s="195">
      <c r="G375" s="194" t="n"/>
      <c r="H375" s="194" t="n"/>
      <c r="I375" s="194" t="n"/>
      <c r="J375" s="194" t="n"/>
      <c r="K375" s="194" t="n"/>
      <c r="L375" s="194" t="n"/>
      <c r="M375" s="194" t="n"/>
      <c r="N375" s="194" t="n"/>
      <c r="O375" s="194" t="n"/>
      <c r="P375" s="194" t="n"/>
      <c r="Q375" s="194" t="n"/>
      <c r="R375" s="194" t="n"/>
      <c r="S375" s="194" t="n"/>
      <c r="T375" s="194" t="n"/>
      <c r="U375" s="194" t="n"/>
      <c r="V375" s="194" t="n"/>
      <c r="W375" s="194" t="n"/>
      <c r="X375" s="194" t="n"/>
      <c r="Y375" s="194" t="n"/>
      <c r="Z375" s="194" t="n"/>
    </row>
    <row r="376" ht="15.75" customHeight="1" s="195">
      <c r="G376" s="194" t="n"/>
      <c r="H376" s="194" t="n"/>
      <c r="I376" s="194" t="n"/>
      <c r="J376" s="194" t="n"/>
      <c r="K376" s="194" t="n"/>
      <c r="L376" s="194" t="n"/>
      <c r="M376" s="194" t="n"/>
      <c r="N376" s="194" t="n"/>
      <c r="O376" s="194" t="n"/>
      <c r="P376" s="194" t="n"/>
      <c r="Q376" s="194" t="n"/>
      <c r="R376" s="194" t="n"/>
      <c r="S376" s="194" t="n"/>
      <c r="T376" s="194" t="n"/>
      <c r="U376" s="194" t="n"/>
      <c r="V376" s="194" t="n"/>
      <c r="W376" s="194" t="n"/>
      <c r="X376" s="194" t="n"/>
      <c r="Y376" s="194" t="n"/>
      <c r="Z376" s="194" t="n"/>
    </row>
    <row r="377" ht="15.75" customHeight="1" s="195">
      <c r="G377" s="194" t="n"/>
      <c r="H377" s="194" t="n"/>
      <c r="I377" s="194" t="n"/>
      <c r="J377" s="194" t="n"/>
      <c r="K377" s="194" t="n"/>
      <c r="L377" s="194" t="n"/>
      <c r="M377" s="194" t="n"/>
      <c r="N377" s="194" t="n"/>
      <c r="O377" s="194" t="n"/>
      <c r="P377" s="194" t="n"/>
      <c r="Q377" s="194" t="n"/>
      <c r="R377" s="194" t="n"/>
      <c r="S377" s="194" t="n"/>
      <c r="T377" s="194" t="n"/>
      <c r="U377" s="194" t="n"/>
      <c r="V377" s="194" t="n"/>
      <c r="W377" s="194" t="n"/>
      <c r="X377" s="194" t="n"/>
      <c r="Y377" s="194" t="n"/>
      <c r="Z377" s="194" t="n"/>
    </row>
    <row r="378" ht="15.75" customHeight="1" s="195">
      <c r="G378" s="194" t="n"/>
      <c r="H378" s="194" t="n"/>
      <c r="I378" s="194" t="n"/>
      <c r="J378" s="194" t="n"/>
      <c r="K378" s="194" t="n"/>
      <c r="L378" s="194" t="n"/>
      <c r="M378" s="194" t="n"/>
      <c r="N378" s="194" t="n"/>
      <c r="O378" s="194" t="n"/>
      <c r="P378" s="194" t="n"/>
      <c r="Q378" s="194" t="n"/>
      <c r="R378" s="194" t="n"/>
      <c r="S378" s="194" t="n"/>
      <c r="T378" s="194" t="n"/>
      <c r="U378" s="194" t="n"/>
      <c r="V378" s="194" t="n"/>
      <c r="W378" s="194" t="n"/>
      <c r="X378" s="194" t="n"/>
      <c r="Y378" s="194" t="n"/>
      <c r="Z378" s="194" t="n"/>
    </row>
    <row r="379" ht="15.75" customHeight="1" s="195">
      <c r="G379" s="194" t="n"/>
      <c r="H379" s="194" t="n"/>
      <c r="I379" s="194" t="n"/>
      <c r="J379" s="194" t="n"/>
      <c r="K379" s="194" t="n"/>
      <c r="L379" s="194" t="n"/>
      <c r="M379" s="194" t="n"/>
      <c r="N379" s="194" t="n"/>
      <c r="O379" s="194" t="n"/>
      <c r="P379" s="194" t="n"/>
      <c r="Q379" s="194" t="n"/>
      <c r="R379" s="194" t="n"/>
      <c r="S379" s="194" t="n"/>
      <c r="T379" s="194" t="n"/>
      <c r="U379" s="194" t="n"/>
      <c r="V379" s="194" t="n"/>
      <c r="W379" s="194" t="n"/>
      <c r="X379" s="194" t="n"/>
      <c r="Y379" s="194" t="n"/>
      <c r="Z379" s="194" t="n"/>
    </row>
    <row r="380" ht="15.75" customHeight="1" s="195">
      <c r="G380" s="194" t="n"/>
      <c r="H380" s="194" t="n"/>
      <c r="I380" s="194" t="n"/>
      <c r="J380" s="194" t="n"/>
      <c r="K380" s="194" t="n"/>
      <c r="L380" s="194" t="n"/>
      <c r="M380" s="194" t="n"/>
      <c r="N380" s="194" t="n"/>
      <c r="O380" s="194" t="n"/>
      <c r="P380" s="194" t="n"/>
      <c r="Q380" s="194" t="n"/>
      <c r="R380" s="194" t="n"/>
      <c r="S380" s="194" t="n"/>
      <c r="T380" s="194" t="n"/>
      <c r="U380" s="194" t="n"/>
      <c r="V380" s="194" t="n"/>
      <c r="W380" s="194" t="n"/>
      <c r="X380" s="194" t="n"/>
      <c r="Y380" s="194" t="n"/>
      <c r="Z380" s="194" t="n"/>
    </row>
    <row r="381" ht="15.75" customHeight="1" s="195">
      <c r="G381" s="194" t="n"/>
      <c r="H381" s="194" t="n"/>
      <c r="I381" s="194" t="n"/>
      <c r="J381" s="194" t="n"/>
      <c r="K381" s="194" t="n"/>
      <c r="L381" s="194" t="n"/>
      <c r="M381" s="194" t="n"/>
      <c r="N381" s="194" t="n"/>
      <c r="O381" s="194" t="n"/>
      <c r="P381" s="194" t="n"/>
      <c r="Q381" s="194" t="n"/>
      <c r="R381" s="194" t="n"/>
      <c r="S381" s="194" t="n"/>
      <c r="T381" s="194" t="n"/>
      <c r="U381" s="194" t="n"/>
      <c r="V381" s="194" t="n"/>
      <c r="W381" s="194" t="n"/>
      <c r="X381" s="194" t="n"/>
      <c r="Y381" s="194" t="n"/>
      <c r="Z381" s="194" t="n"/>
    </row>
    <row r="382" ht="15.75" customHeight="1" s="195">
      <c r="G382" s="194" t="n"/>
      <c r="H382" s="194" t="n"/>
      <c r="I382" s="194" t="n"/>
      <c r="J382" s="194" t="n"/>
      <c r="K382" s="194" t="n"/>
      <c r="L382" s="194" t="n"/>
      <c r="M382" s="194" t="n"/>
      <c r="N382" s="194" t="n"/>
      <c r="O382" s="194" t="n"/>
      <c r="P382" s="194" t="n"/>
      <c r="Q382" s="194" t="n"/>
      <c r="R382" s="194" t="n"/>
      <c r="S382" s="194" t="n"/>
      <c r="T382" s="194" t="n"/>
      <c r="U382" s="194" t="n"/>
      <c r="V382" s="194" t="n"/>
      <c r="W382" s="194" t="n"/>
      <c r="X382" s="194" t="n"/>
      <c r="Y382" s="194" t="n"/>
      <c r="Z382" s="194" t="n"/>
    </row>
    <row r="383" ht="15.75" customHeight="1" s="195">
      <c r="G383" s="194" t="n"/>
      <c r="H383" s="194" t="n"/>
      <c r="I383" s="194" t="n"/>
      <c r="J383" s="194" t="n"/>
      <c r="K383" s="194" t="n"/>
      <c r="L383" s="194" t="n"/>
      <c r="M383" s="194" t="n"/>
      <c r="N383" s="194" t="n"/>
      <c r="O383" s="194" t="n"/>
      <c r="P383" s="194" t="n"/>
      <c r="Q383" s="194" t="n"/>
      <c r="R383" s="194" t="n"/>
      <c r="S383" s="194" t="n"/>
      <c r="T383" s="194" t="n"/>
      <c r="U383" s="194" t="n"/>
      <c r="V383" s="194" t="n"/>
      <c r="W383" s="194" t="n"/>
      <c r="X383" s="194" t="n"/>
      <c r="Y383" s="194" t="n"/>
      <c r="Z383" s="194" t="n"/>
    </row>
    <row r="384" ht="15.75" customHeight="1" s="195">
      <c r="G384" s="194" t="n"/>
      <c r="H384" s="194" t="n"/>
      <c r="I384" s="194" t="n"/>
      <c r="J384" s="194" t="n"/>
      <c r="K384" s="194" t="n"/>
      <c r="L384" s="194" t="n"/>
      <c r="M384" s="194" t="n"/>
      <c r="N384" s="194" t="n"/>
      <c r="O384" s="194" t="n"/>
      <c r="P384" s="194" t="n"/>
      <c r="Q384" s="194" t="n"/>
      <c r="R384" s="194" t="n"/>
      <c r="S384" s="194" t="n"/>
      <c r="T384" s="194" t="n"/>
      <c r="U384" s="194" t="n"/>
      <c r="V384" s="194" t="n"/>
      <c r="W384" s="194" t="n"/>
      <c r="X384" s="194" t="n"/>
      <c r="Y384" s="194" t="n"/>
      <c r="Z384" s="194" t="n"/>
    </row>
    <row r="385" ht="15.75" customHeight="1" s="195">
      <c r="G385" s="194" t="n"/>
      <c r="H385" s="194" t="n"/>
      <c r="I385" s="194" t="n"/>
      <c r="J385" s="194" t="n"/>
      <c r="K385" s="194" t="n"/>
      <c r="L385" s="194" t="n"/>
      <c r="M385" s="194" t="n"/>
      <c r="N385" s="194" t="n"/>
      <c r="O385" s="194" t="n"/>
      <c r="P385" s="194" t="n"/>
      <c r="Q385" s="194" t="n"/>
      <c r="R385" s="194" t="n"/>
      <c r="S385" s="194" t="n"/>
      <c r="T385" s="194" t="n"/>
      <c r="U385" s="194" t="n"/>
      <c r="V385" s="194" t="n"/>
      <c r="W385" s="194" t="n"/>
      <c r="X385" s="194" t="n"/>
      <c r="Y385" s="194" t="n"/>
      <c r="Z385" s="194" t="n"/>
    </row>
    <row r="386" ht="15.75" customHeight="1" s="195">
      <c r="G386" s="194" t="n"/>
      <c r="H386" s="194" t="n"/>
      <c r="I386" s="194" t="n"/>
      <c r="J386" s="194" t="n"/>
      <c r="K386" s="194" t="n"/>
      <c r="L386" s="194" t="n"/>
      <c r="M386" s="194" t="n"/>
      <c r="N386" s="194" t="n"/>
      <c r="O386" s="194" t="n"/>
      <c r="P386" s="194" t="n"/>
      <c r="Q386" s="194" t="n"/>
      <c r="R386" s="194" t="n"/>
      <c r="S386" s="194" t="n"/>
      <c r="T386" s="194" t="n"/>
      <c r="U386" s="194" t="n"/>
      <c r="V386" s="194" t="n"/>
      <c r="W386" s="194" t="n"/>
      <c r="X386" s="194" t="n"/>
      <c r="Y386" s="194" t="n"/>
      <c r="Z386" s="194" t="n"/>
    </row>
    <row r="387" ht="15.75" customHeight="1" s="195">
      <c r="G387" s="194" t="n"/>
      <c r="H387" s="194" t="n"/>
      <c r="I387" s="194" t="n"/>
      <c r="J387" s="194" t="n"/>
      <c r="K387" s="194" t="n"/>
      <c r="L387" s="194" t="n"/>
      <c r="M387" s="194" t="n"/>
      <c r="N387" s="194" t="n"/>
      <c r="O387" s="194" t="n"/>
      <c r="P387" s="194" t="n"/>
      <c r="Q387" s="194" t="n"/>
      <c r="R387" s="194" t="n"/>
      <c r="S387" s="194" t="n"/>
      <c r="T387" s="194" t="n"/>
      <c r="U387" s="194" t="n"/>
      <c r="V387" s="194" t="n"/>
      <c r="W387" s="194" t="n"/>
      <c r="X387" s="194" t="n"/>
      <c r="Y387" s="194" t="n"/>
      <c r="Z387" s="194" t="n"/>
    </row>
    <row r="388" ht="15.75" customHeight="1" s="195">
      <c r="G388" s="194" t="n"/>
      <c r="H388" s="194" t="n"/>
      <c r="I388" s="194" t="n"/>
      <c r="J388" s="194" t="n"/>
      <c r="K388" s="194" t="n"/>
      <c r="L388" s="194" t="n"/>
      <c r="M388" s="194" t="n"/>
      <c r="N388" s="194" t="n"/>
      <c r="O388" s="194" t="n"/>
      <c r="P388" s="194" t="n"/>
      <c r="Q388" s="194" t="n"/>
      <c r="R388" s="194" t="n"/>
      <c r="S388" s="194" t="n"/>
      <c r="T388" s="194" t="n"/>
      <c r="U388" s="194" t="n"/>
      <c r="V388" s="194" t="n"/>
      <c r="W388" s="194" t="n"/>
      <c r="X388" s="194" t="n"/>
      <c r="Y388" s="194" t="n"/>
      <c r="Z388" s="194" t="n"/>
    </row>
    <row r="389" ht="15.75" customHeight="1" s="195">
      <c r="G389" s="194" t="n"/>
      <c r="H389" s="194" t="n"/>
      <c r="I389" s="194" t="n"/>
      <c r="J389" s="194" t="n"/>
      <c r="K389" s="194" t="n"/>
      <c r="L389" s="194" t="n"/>
      <c r="M389" s="194" t="n"/>
      <c r="N389" s="194" t="n"/>
      <c r="O389" s="194" t="n"/>
      <c r="P389" s="194" t="n"/>
      <c r="Q389" s="194" t="n"/>
      <c r="R389" s="194" t="n"/>
      <c r="S389" s="194" t="n"/>
      <c r="T389" s="194" t="n"/>
      <c r="U389" s="194" t="n"/>
      <c r="V389" s="194" t="n"/>
      <c r="W389" s="194" t="n"/>
      <c r="X389" s="194" t="n"/>
      <c r="Y389" s="194" t="n"/>
      <c r="Z389" s="194" t="n"/>
    </row>
    <row r="390" ht="15.75" customHeight="1" s="195">
      <c r="G390" s="194" t="n"/>
      <c r="H390" s="194" t="n"/>
      <c r="I390" s="194" t="n"/>
      <c r="J390" s="194" t="n"/>
      <c r="K390" s="194" t="n"/>
      <c r="L390" s="194" t="n"/>
      <c r="M390" s="194" t="n"/>
      <c r="N390" s="194" t="n"/>
      <c r="O390" s="194" t="n"/>
      <c r="P390" s="194" t="n"/>
      <c r="Q390" s="194" t="n"/>
      <c r="R390" s="194" t="n"/>
      <c r="S390" s="194" t="n"/>
      <c r="T390" s="194" t="n"/>
      <c r="U390" s="194" t="n"/>
      <c r="V390" s="194" t="n"/>
      <c r="W390" s="194" t="n"/>
      <c r="X390" s="194" t="n"/>
      <c r="Y390" s="194" t="n"/>
      <c r="Z390" s="194" t="n"/>
    </row>
    <row r="391" ht="15.75" customHeight="1" s="195">
      <c r="G391" s="194" t="n"/>
      <c r="H391" s="194" t="n"/>
      <c r="I391" s="194" t="n"/>
      <c r="J391" s="194" t="n"/>
      <c r="K391" s="194" t="n"/>
      <c r="L391" s="194" t="n"/>
      <c r="M391" s="194" t="n"/>
      <c r="N391" s="194" t="n"/>
      <c r="O391" s="194" t="n"/>
      <c r="P391" s="194" t="n"/>
      <c r="Q391" s="194" t="n"/>
      <c r="R391" s="194" t="n"/>
      <c r="S391" s="194" t="n"/>
      <c r="T391" s="194" t="n"/>
      <c r="U391" s="194" t="n"/>
      <c r="V391" s="194" t="n"/>
      <c r="W391" s="194" t="n"/>
      <c r="X391" s="194" t="n"/>
      <c r="Y391" s="194" t="n"/>
      <c r="Z391" s="194" t="n"/>
    </row>
    <row r="392" ht="15.75" customHeight="1" s="195">
      <c r="G392" s="194" t="n"/>
      <c r="H392" s="194" t="n"/>
      <c r="I392" s="194" t="n"/>
      <c r="J392" s="194" t="n"/>
      <c r="K392" s="194" t="n"/>
      <c r="L392" s="194" t="n"/>
      <c r="M392" s="194" t="n"/>
      <c r="N392" s="194" t="n"/>
      <c r="O392" s="194" t="n"/>
      <c r="P392" s="194" t="n"/>
      <c r="Q392" s="194" t="n"/>
      <c r="R392" s="194" t="n"/>
      <c r="S392" s="194" t="n"/>
      <c r="T392" s="194" t="n"/>
      <c r="U392" s="194" t="n"/>
      <c r="V392" s="194" t="n"/>
      <c r="W392" s="194" t="n"/>
      <c r="X392" s="194" t="n"/>
      <c r="Y392" s="194" t="n"/>
      <c r="Z392" s="194" t="n"/>
    </row>
    <row r="393" ht="15.75" customHeight="1" s="195">
      <c r="G393" s="194" t="n"/>
      <c r="H393" s="194" t="n"/>
      <c r="I393" s="194" t="n"/>
      <c r="J393" s="194" t="n"/>
      <c r="K393" s="194" t="n"/>
      <c r="L393" s="194" t="n"/>
      <c r="M393" s="194" t="n"/>
      <c r="N393" s="194" t="n"/>
      <c r="O393" s="194" t="n"/>
      <c r="P393" s="194" t="n"/>
      <c r="Q393" s="194" t="n"/>
      <c r="R393" s="194" t="n"/>
      <c r="S393" s="194" t="n"/>
      <c r="T393" s="194" t="n"/>
      <c r="U393" s="194" t="n"/>
      <c r="V393" s="194" t="n"/>
      <c r="W393" s="194" t="n"/>
      <c r="X393" s="194" t="n"/>
      <c r="Y393" s="194" t="n"/>
      <c r="Z393" s="194" t="n"/>
    </row>
    <row r="394" ht="15.75" customHeight="1" s="195">
      <c r="G394" s="194" t="n"/>
      <c r="H394" s="194" t="n"/>
      <c r="I394" s="194" t="n"/>
      <c r="J394" s="194" t="n"/>
      <c r="K394" s="194" t="n"/>
      <c r="L394" s="194" t="n"/>
      <c r="M394" s="194" t="n"/>
      <c r="N394" s="194" t="n"/>
      <c r="O394" s="194" t="n"/>
      <c r="P394" s="194" t="n"/>
      <c r="Q394" s="194" t="n"/>
      <c r="R394" s="194" t="n"/>
      <c r="S394" s="194" t="n"/>
      <c r="T394" s="194" t="n"/>
      <c r="U394" s="194" t="n"/>
      <c r="V394" s="194" t="n"/>
      <c r="W394" s="194" t="n"/>
      <c r="X394" s="194" t="n"/>
      <c r="Y394" s="194" t="n"/>
      <c r="Z394" s="194" t="n"/>
    </row>
    <row r="395" ht="15.75" customHeight="1" s="195">
      <c r="G395" s="194" t="n"/>
      <c r="H395" s="194" t="n"/>
      <c r="I395" s="194" t="n"/>
      <c r="J395" s="194" t="n"/>
      <c r="K395" s="194" t="n"/>
      <c r="L395" s="194" t="n"/>
      <c r="M395" s="194" t="n"/>
      <c r="N395" s="194" t="n"/>
      <c r="O395" s="194" t="n"/>
      <c r="P395" s="194" t="n"/>
      <c r="Q395" s="194" t="n"/>
      <c r="R395" s="194" t="n"/>
      <c r="S395" s="194" t="n"/>
      <c r="T395" s="194" t="n"/>
      <c r="U395" s="194" t="n"/>
      <c r="V395" s="194" t="n"/>
      <c r="W395" s="194" t="n"/>
      <c r="X395" s="194" t="n"/>
      <c r="Y395" s="194" t="n"/>
      <c r="Z395" s="194" t="n"/>
    </row>
    <row r="396" ht="15.75" customHeight="1" s="195">
      <c r="G396" s="194" t="n"/>
      <c r="H396" s="194" t="n"/>
      <c r="I396" s="194" t="n"/>
      <c r="J396" s="194" t="n"/>
      <c r="K396" s="194" t="n"/>
      <c r="L396" s="194" t="n"/>
      <c r="M396" s="194" t="n"/>
      <c r="N396" s="194" t="n"/>
      <c r="O396" s="194" t="n"/>
      <c r="P396" s="194" t="n"/>
      <c r="Q396" s="194" t="n"/>
      <c r="R396" s="194" t="n"/>
      <c r="S396" s="194" t="n"/>
      <c r="T396" s="194" t="n"/>
      <c r="U396" s="194" t="n"/>
      <c r="V396" s="194" t="n"/>
      <c r="W396" s="194" t="n"/>
      <c r="X396" s="194" t="n"/>
      <c r="Y396" s="194" t="n"/>
      <c r="Z396" s="194" t="n"/>
    </row>
    <row r="397" ht="15.75" customHeight="1" s="195">
      <c r="G397" s="194" t="n"/>
      <c r="H397" s="194" t="n"/>
      <c r="I397" s="194" t="n"/>
      <c r="J397" s="194" t="n"/>
      <c r="K397" s="194" t="n"/>
      <c r="L397" s="194" t="n"/>
      <c r="M397" s="194" t="n"/>
      <c r="N397" s="194" t="n"/>
      <c r="O397" s="194" t="n"/>
      <c r="P397" s="194" t="n"/>
      <c r="Q397" s="194" t="n"/>
      <c r="R397" s="194" t="n"/>
      <c r="S397" s="194" t="n"/>
      <c r="T397" s="194" t="n"/>
      <c r="U397" s="194" t="n"/>
      <c r="V397" s="194" t="n"/>
      <c r="W397" s="194" t="n"/>
      <c r="X397" s="194" t="n"/>
      <c r="Y397" s="194" t="n"/>
      <c r="Z397" s="194" t="n"/>
    </row>
    <row r="398" ht="15.75" customHeight="1" s="195">
      <c r="G398" s="194" t="n"/>
      <c r="H398" s="194" t="n"/>
      <c r="I398" s="194" t="n"/>
      <c r="J398" s="194" t="n"/>
      <c r="K398" s="194" t="n"/>
      <c r="L398" s="194" t="n"/>
      <c r="M398" s="194" t="n"/>
      <c r="N398" s="194" t="n"/>
      <c r="O398" s="194" t="n"/>
      <c r="P398" s="194" t="n"/>
      <c r="Q398" s="194" t="n"/>
      <c r="R398" s="194" t="n"/>
      <c r="S398" s="194" t="n"/>
      <c r="T398" s="194" t="n"/>
      <c r="U398" s="194" t="n"/>
      <c r="V398" s="194" t="n"/>
      <c r="W398" s="194" t="n"/>
      <c r="X398" s="194" t="n"/>
      <c r="Y398" s="194" t="n"/>
      <c r="Z398" s="194" t="n"/>
    </row>
    <row r="399" ht="15.75" customHeight="1" s="195">
      <c r="G399" s="194" t="n"/>
      <c r="H399" s="194" t="n"/>
      <c r="I399" s="194" t="n"/>
      <c r="J399" s="194" t="n"/>
      <c r="K399" s="194" t="n"/>
      <c r="L399" s="194" t="n"/>
      <c r="M399" s="194" t="n"/>
      <c r="N399" s="194" t="n"/>
      <c r="O399" s="194" t="n"/>
      <c r="P399" s="194" t="n"/>
      <c r="Q399" s="194" t="n"/>
      <c r="R399" s="194" t="n"/>
      <c r="S399" s="194" t="n"/>
      <c r="T399" s="194" t="n"/>
      <c r="U399" s="194" t="n"/>
      <c r="V399" s="194" t="n"/>
      <c r="W399" s="194" t="n"/>
      <c r="X399" s="194" t="n"/>
      <c r="Y399" s="194" t="n"/>
      <c r="Z399" s="194" t="n"/>
    </row>
    <row r="400" ht="15.75" customHeight="1" s="195">
      <c r="G400" s="194" t="n"/>
      <c r="H400" s="194" t="n"/>
      <c r="I400" s="194" t="n"/>
      <c r="J400" s="194" t="n"/>
      <c r="K400" s="194" t="n"/>
      <c r="L400" s="194" t="n"/>
      <c r="M400" s="194" t="n"/>
      <c r="N400" s="194" t="n"/>
      <c r="O400" s="194" t="n"/>
      <c r="P400" s="194" t="n"/>
      <c r="Q400" s="194" t="n"/>
      <c r="R400" s="194" t="n"/>
      <c r="S400" s="194" t="n"/>
      <c r="T400" s="194" t="n"/>
      <c r="U400" s="194" t="n"/>
      <c r="V400" s="194" t="n"/>
      <c r="W400" s="194" t="n"/>
      <c r="X400" s="194" t="n"/>
      <c r="Y400" s="194" t="n"/>
      <c r="Z400" s="194" t="n"/>
    </row>
    <row r="401" ht="15.75" customHeight="1" s="195">
      <c r="G401" s="194" t="n"/>
      <c r="H401" s="194" t="n"/>
      <c r="I401" s="194" t="n"/>
      <c r="J401" s="194" t="n"/>
      <c r="K401" s="194" t="n"/>
      <c r="L401" s="194" t="n"/>
      <c r="M401" s="194" t="n"/>
      <c r="N401" s="194" t="n"/>
      <c r="O401" s="194" t="n"/>
      <c r="P401" s="194" t="n"/>
      <c r="Q401" s="194" t="n"/>
      <c r="R401" s="194" t="n"/>
      <c r="S401" s="194" t="n"/>
      <c r="T401" s="194" t="n"/>
      <c r="U401" s="194" t="n"/>
      <c r="V401" s="194" t="n"/>
      <c r="W401" s="194" t="n"/>
      <c r="X401" s="194" t="n"/>
      <c r="Y401" s="194" t="n"/>
      <c r="Z401" s="194" t="n"/>
    </row>
    <row r="402" ht="15.75" customHeight="1" s="195">
      <c r="G402" s="194" t="n"/>
      <c r="H402" s="194" t="n"/>
      <c r="I402" s="194" t="n"/>
      <c r="J402" s="194" t="n"/>
      <c r="K402" s="194" t="n"/>
      <c r="L402" s="194" t="n"/>
      <c r="M402" s="194" t="n"/>
      <c r="N402" s="194" t="n"/>
      <c r="O402" s="194" t="n"/>
      <c r="P402" s="194" t="n"/>
      <c r="Q402" s="194" t="n"/>
      <c r="R402" s="194" t="n"/>
      <c r="S402" s="194" t="n"/>
      <c r="T402" s="194" t="n"/>
      <c r="U402" s="194" t="n"/>
      <c r="V402" s="194" t="n"/>
      <c r="W402" s="194" t="n"/>
      <c r="X402" s="194" t="n"/>
      <c r="Y402" s="194" t="n"/>
      <c r="Z402" s="194" t="n"/>
    </row>
    <row r="403" ht="15.75" customHeight="1" s="195">
      <c r="G403" s="194" t="n"/>
      <c r="H403" s="194" t="n"/>
      <c r="I403" s="194" t="n"/>
      <c r="J403" s="194" t="n"/>
      <c r="K403" s="194" t="n"/>
      <c r="L403" s="194" t="n"/>
      <c r="M403" s="194" t="n"/>
      <c r="N403" s="194" t="n"/>
      <c r="O403" s="194" t="n"/>
      <c r="P403" s="194" t="n"/>
      <c r="Q403" s="194" t="n"/>
      <c r="R403" s="194" t="n"/>
      <c r="S403" s="194" t="n"/>
      <c r="T403" s="194" t="n"/>
      <c r="U403" s="194" t="n"/>
      <c r="V403" s="194" t="n"/>
      <c r="W403" s="194" t="n"/>
      <c r="X403" s="194" t="n"/>
      <c r="Y403" s="194" t="n"/>
      <c r="Z403" s="194" t="n"/>
    </row>
    <row r="404" ht="15.75" customHeight="1" s="195">
      <c r="G404" s="194" t="n"/>
      <c r="H404" s="194" t="n"/>
      <c r="I404" s="194" t="n"/>
      <c r="J404" s="194" t="n"/>
      <c r="K404" s="194" t="n"/>
      <c r="L404" s="194" t="n"/>
      <c r="M404" s="194" t="n"/>
      <c r="N404" s="194" t="n"/>
      <c r="O404" s="194" t="n"/>
      <c r="P404" s="194" t="n"/>
      <c r="Q404" s="194" t="n"/>
      <c r="R404" s="194" t="n"/>
      <c r="S404" s="194" t="n"/>
      <c r="T404" s="194" t="n"/>
      <c r="U404" s="194" t="n"/>
      <c r="V404" s="194" t="n"/>
      <c r="W404" s="194" t="n"/>
      <c r="X404" s="194" t="n"/>
      <c r="Y404" s="194" t="n"/>
      <c r="Z404" s="194" t="n"/>
    </row>
    <row r="405" ht="15.75" customHeight="1" s="195">
      <c r="G405" s="194" t="n"/>
      <c r="H405" s="194" t="n"/>
      <c r="I405" s="194" t="n"/>
      <c r="J405" s="194" t="n"/>
      <c r="K405" s="194" t="n"/>
      <c r="L405" s="194" t="n"/>
      <c r="M405" s="194" t="n"/>
      <c r="N405" s="194" t="n"/>
      <c r="O405" s="194" t="n"/>
      <c r="P405" s="194" t="n"/>
      <c r="Q405" s="194" t="n"/>
      <c r="R405" s="194" t="n"/>
      <c r="S405" s="194" t="n"/>
      <c r="T405" s="194" t="n"/>
      <c r="U405" s="194" t="n"/>
      <c r="V405" s="194" t="n"/>
      <c r="W405" s="194" t="n"/>
      <c r="X405" s="194" t="n"/>
      <c r="Y405" s="194" t="n"/>
      <c r="Z405" s="194" t="n"/>
    </row>
    <row r="406" ht="15.75" customHeight="1" s="195">
      <c r="G406" s="194" t="n"/>
      <c r="H406" s="194" t="n"/>
      <c r="I406" s="194" t="n"/>
      <c r="J406" s="194" t="n"/>
      <c r="K406" s="194" t="n"/>
      <c r="L406" s="194" t="n"/>
      <c r="M406" s="194" t="n"/>
      <c r="N406" s="194" t="n"/>
      <c r="O406" s="194" t="n"/>
      <c r="P406" s="194" t="n"/>
      <c r="Q406" s="194" t="n"/>
      <c r="R406" s="194" t="n"/>
      <c r="S406" s="194" t="n"/>
      <c r="T406" s="194" t="n"/>
      <c r="U406" s="194" t="n"/>
      <c r="V406" s="194" t="n"/>
      <c r="W406" s="194" t="n"/>
      <c r="X406" s="194" t="n"/>
      <c r="Y406" s="194" t="n"/>
      <c r="Z406" s="194" t="n"/>
    </row>
    <row r="407" ht="15.75" customHeight="1" s="195">
      <c r="G407" s="194" t="n"/>
      <c r="H407" s="194" t="n"/>
      <c r="I407" s="194" t="n"/>
      <c r="J407" s="194" t="n"/>
      <c r="K407" s="194" t="n"/>
      <c r="L407" s="194" t="n"/>
      <c r="M407" s="194" t="n"/>
      <c r="N407" s="194" t="n"/>
      <c r="O407" s="194" t="n"/>
      <c r="P407" s="194" t="n"/>
      <c r="Q407" s="194" t="n"/>
      <c r="R407" s="194" t="n"/>
      <c r="S407" s="194" t="n"/>
      <c r="T407" s="194" t="n"/>
      <c r="U407" s="194" t="n"/>
      <c r="V407" s="194" t="n"/>
      <c r="W407" s="194" t="n"/>
      <c r="X407" s="194" t="n"/>
      <c r="Y407" s="194" t="n"/>
      <c r="Z407" s="194" t="n"/>
    </row>
    <row r="408" ht="15.75" customHeight="1" s="195">
      <c r="G408" s="194" t="n"/>
      <c r="H408" s="194" t="n"/>
      <c r="I408" s="194" t="n"/>
      <c r="J408" s="194" t="n"/>
      <c r="K408" s="194" t="n"/>
      <c r="L408" s="194" t="n"/>
      <c r="M408" s="194" t="n"/>
      <c r="N408" s="194" t="n"/>
      <c r="O408" s="194" t="n"/>
      <c r="P408" s="194" t="n"/>
      <c r="Q408" s="194" t="n"/>
      <c r="R408" s="194" t="n"/>
      <c r="S408" s="194" t="n"/>
      <c r="T408" s="194" t="n"/>
      <c r="U408" s="194" t="n"/>
      <c r="V408" s="194" t="n"/>
      <c r="W408" s="194" t="n"/>
      <c r="X408" s="194" t="n"/>
      <c r="Y408" s="194" t="n"/>
      <c r="Z408" s="194" t="n"/>
    </row>
    <row r="409" ht="15.75" customHeight="1" s="195">
      <c r="G409" s="194" t="n"/>
      <c r="H409" s="194" t="n"/>
      <c r="I409" s="194" t="n"/>
      <c r="J409" s="194" t="n"/>
      <c r="K409" s="194" t="n"/>
      <c r="L409" s="194" t="n"/>
      <c r="M409" s="194" t="n"/>
      <c r="N409" s="194" t="n"/>
      <c r="O409" s="194" t="n"/>
      <c r="P409" s="194" t="n"/>
      <c r="Q409" s="194" t="n"/>
      <c r="R409" s="194" t="n"/>
      <c r="S409" s="194" t="n"/>
      <c r="T409" s="194" t="n"/>
      <c r="U409" s="194" t="n"/>
      <c r="V409" s="194" t="n"/>
      <c r="W409" s="194" t="n"/>
      <c r="X409" s="194" t="n"/>
      <c r="Y409" s="194" t="n"/>
      <c r="Z409" s="194" t="n"/>
    </row>
    <row r="410" ht="15.75" customHeight="1" s="195">
      <c r="G410" s="194" t="n"/>
      <c r="H410" s="194" t="n"/>
      <c r="I410" s="194" t="n"/>
      <c r="J410" s="194" t="n"/>
      <c r="K410" s="194" t="n"/>
      <c r="L410" s="194" t="n"/>
      <c r="M410" s="194" t="n"/>
      <c r="N410" s="194" t="n"/>
      <c r="O410" s="194" t="n"/>
      <c r="P410" s="194" t="n"/>
      <c r="Q410" s="194" t="n"/>
      <c r="R410" s="194" t="n"/>
      <c r="S410" s="194" t="n"/>
      <c r="T410" s="194" t="n"/>
      <c r="U410" s="194" t="n"/>
      <c r="V410" s="194" t="n"/>
      <c r="W410" s="194" t="n"/>
      <c r="X410" s="194" t="n"/>
      <c r="Y410" s="194" t="n"/>
      <c r="Z410" s="194" t="n"/>
    </row>
    <row r="411" ht="15.75" customHeight="1" s="195">
      <c r="G411" s="194" t="n"/>
      <c r="H411" s="194" t="n"/>
      <c r="I411" s="194" t="n"/>
      <c r="J411" s="194" t="n"/>
      <c r="K411" s="194" t="n"/>
      <c r="L411" s="194" t="n"/>
      <c r="M411" s="194" t="n"/>
      <c r="N411" s="194" t="n"/>
      <c r="O411" s="194" t="n"/>
      <c r="P411" s="194" t="n"/>
      <c r="Q411" s="194" t="n"/>
      <c r="R411" s="194" t="n"/>
      <c r="S411" s="194" t="n"/>
      <c r="T411" s="194" t="n"/>
      <c r="U411" s="194" t="n"/>
      <c r="V411" s="194" t="n"/>
      <c r="W411" s="194" t="n"/>
      <c r="X411" s="194" t="n"/>
      <c r="Y411" s="194" t="n"/>
      <c r="Z411" s="194" t="n"/>
    </row>
    <row r="412" ht="15.75" customHeight="1" s="195">
      <c r="G412" s="194" t="n"/>
      <c r="H412" s="194" t="n"/>
      <c r="I412" s="194" t="n"/>
      <c r="J412" s="194" t="n"/>
      <c r="K412" s="194" t="n"/>
      <c r="L412" s="194" t="n"/>
      <c r="M412" s="194" t="n"/>
      <c r="N412" s="194" t="n"/>
      <c r="O412" s="194" t="n"/>
      <c r="P412" s="194" t="n"/>
      <c r="Q412" s="194" t="n"/>
      <c r="R412" s="194" t="n"/>
      <c r="S412" s="194" t="n"/>
      <c r="T412" s="194" t="n"/>
      <c r="U412" s="194" t="n"/>
      <c r="V412" s="194" t="n"/>
      <c r="W412" s="194" t="n"/>
      <c r="X412" s="194" t="n"/>
      <c r="Y412" s="194" t="n"/>
      <c r="Z412" s="194" t="n"/>
    </row>
    <row r="413" ht="15.75" customHeight="1" s="195"/>
    <row r="414" ht="15.75" customHeight="1" s="195"/>
    <row r="415" ht="15.75" customHeight="1" s="195"/>
    <row r="416" ht="15.75" customHeight="1" s="195"/>
    <row r="417" ht="15.75" customHeight="1" s="195"/>
    <row r="418" ht="15.75" customHeight="1" s="195"/>
    <row r="419" ht="15.75" customHeight="1" s="195"/>
    <row r="420" ht="15.75" customHeight="1" s="195"/>
    <row r="421" ht="15.75" customHeight="1" s="195"/>
    <row r="422" ht="15.75" customHeight="1" s="195"/>
    <row r="423" ht="15.75" customHeight="1" s="195"/>
    <row r="424" ht="15.75" customHeight="1" s="195"/>
    <row r="425" ht="15.75" customHeight="1" s="195"/>
    <row r="426" ht="15.75" customHeight="1" s="195"/>
    <row r="427" ht="15.75" customHeight="1" s="195"/>
    <row r="428" ht="15.75" customHeight="1" s="195"/>
    <row r="429" ht="15.75" customHeight="1" s="195"/>
    <row r="430" ht="15.75" customHeight="1" s="195"/>
    <row r="431" ht="15.75" customHeight="1" s="195"/>
    <row r="432" ht="15.75" customHeight="1" s="195"/>
    <row r="433" ht="15.75" customHeight="1" s="195"/>
    <row r="434" ht="15.75" customHeight="1" s="195"/>
    <row r="435" ht="15.75" customHeight="1" s="195"/>
    <row r="436" ht="15.75" customHeight="1" s="195"/>
    <row r="437" ht="15.75" customHeight="1" s="195"/>
    <row r="438" ht="15.75" customHeight="1" s="195"/>
    <row r="439" ht="15.75" customHeight="1" s="195"/>
    <row r="440" ht="15.75" customHeight="1" s="195"/>
    <row r="441" ht="15.75" customHeight="1" s="195"/>
    <row r="442" ht="15.75" customHeight="1" s="195"/>
    <row r="443" ht="15.75" customHeight="1" s="195"/>
    <row r="444" ht="15.75" customHeight="1" s="195"/>
    <row r="445" ht="15.75" customHeight="1" s="195"/>
    <row r="446" ht="15.75" customHeight="1" s="195"/>
    <row r="447" ht="15.75" customHeight="1" s="195"/>
    <row r="448" ht="15.75" customHeight="1" s="195"/>
    <row r="449" ht="15.75" customHeight="1" s="195"/>
    <row r="450" ht="15.75" customHeight="1" s="195"/>
    <row r="451" ht="15.75" customHeight="1" s="195"/>
    <row r="452" ht="15.75" customHeight="1" s="195"/>
    <row r="453" ht="15.75" customHeight="1" s="195"/>
    <row r="454" ht="15.75" customHeight="1" s="195"/>
    <row r="455" ht="15.75" customHeight="1" s="195"/>
    <row r="456" ht="15.75" customHeight="1" s="195"/>
    <row r="457" ht="15.75" customHeight="1" s="195"/>
    <row r="458" ht="15.75" customHeight="1" s="195"/>
    <row r="459" ht="15.75" customHeight="1" s="195"/>
    <row r="460" ht="15.75" customHeight="1" s="195"/>
    <row r="461" ht="15.75" customHeight="1" s="195"/>
    <row r="462" ht="15.75" customHeight="1" s="195"/>
    <row r="463" ht="15.75" customHeight="1" s="195"/>
    <row r="464" ht="15.75" customHeight="1" s="195"/>
    <row r="465" ht="15.75" customHeight="1" s="195"/>
    <row r="466" ht="15.75" customHeight="1" s="195"/>
    <row r="467" ht="15.75" customHeight="1" s="195"/>
    <row r="468" ht="15.75" customHeight="1" s="195"/>
    <row r="469" ht="15.75" customHeight="1" s="195"/>
    <row r="470" ht="15.75" customHeight="1" s="195"/>
    <row r="471" ht="15.75" customHeight="1" s="195"/>
    <row r="472" ht="15.75" customHeight="1" s="195"/>
    <row r="473" ht="15.75" customHeight="1" s="195"/>
    <row r="474" ht="15.75" customHeight="1" s="195"/>
    <row r="475" ht="15.75" customHeight="1" s="195"/>
    <row r="476" ht="15.75" customHeight="1" s="195"/>
    <row r="477" ht="15.75" customHeight="1" s="195"/>
    <row r="478" ht="15.75" customHeight="1" s="195"/>
    <row r="479" ht="15.75" customHeight="1" s="195"/>
    <row r="480" ht="15.75" customHeight="1" s="195"/>
    <row r="481" ht="15.75" customHeight="1" s="195"/>
    <row r="482" ht="15.75" customHeight="1" s="195"/>
    <row r="483" ht="15.75" customHeight="1" s="195"/>
    <row r="484" ht="15.75" customHeight="1" s="195"/>
    <row r="485" ht="15.75" customHeight="1" s="195"/>
    <row r="486" ht="15.75" customHeight="1" s="195"/>
    <row r="487" ht="15.75" customHeight="1" s="195"/>
    <row r="488" ht="15.75" customHeight="1" s="195"/>
    <row r="489" ht="15.75" customHeight="1" s="195"/>
    <row r="490" ht="15.75" customHeight="1" s="195"/>
    <row r="491" ht="15.75" customHeight="1" s="195"/>
    <row r="492" ht="15.75" customHeight="1" s="195"/>
    <row r="493" ht="15.75" customHeight="1" s="195"/>
    <row r="494" ht="15.75" customHeight="1" s="195"/>
    <row r="495" ht="15.75" customHeight="1" s="195"/>
    <row r="496" ht="15.75" customHeight="1" s="195"/>
    <row r="497" ht="15.75" customHeight="1" s="195"/>
    <row r="498" ht="15.75" customHeight="1" s="195"/>
    <row r="499" ht="15.75" customHeight="1" s="195"/>
    <row r="500" ht="15.75" customHeight="1" s="195"/>
    <row r="501" ht="15.75" customHeight="1" s="195"/>
    <row r="502" ht="15.75" customHeight="1" s="195"/>
    <row r="503" ht="15.75" customHeight="1" s="195"/>
    <row r="504" ht="15.75" customHeight="1" s="195"/>
    <row r="505" ht="15.75" customHeight="1" s="195"/>
    <row r="506" ht="15.75" customHeight="1" s="195"/>
    <row r="507" ht="15.75" customHeight="1" s="195"/>
    <row r="508" ht="15.75" customHeight="1" s="195"/>
    <row r="509" ht="15.75" customHeight="1" s="195"/>
    <row r="510" ht="15.75" customHeight="1" s="195"/>
    <row r="511" ht="15.75" customHeight="1" s="195"/>
    <row r="512" ht="15.75" customHeight="1" s="195"/>
    <row r="513" ht="15.75" customHeight="1" s="195"/>
    <row r="514" ht="15.75" customHeight="1" s="195"/>
    <row r="515" ht="15.75" customHeight="1" s="195"/>
    <row r="516" ht="15.75" customHeight="1" s="195"/>
    <row r="517" ht="15.75" customHeight="1" s="195"/>
    <row r="518" ht="15.75" customHeight="1" s="195"/>
    <row r="519" ht="15.75" customHeight="1" s="195"/>
    <row r="520" ht="15.75" customHeight="1" s="195"/>
    <row r="521" ht="15.75" customHeight="1" s="195"/>
    <row r="522" ht="15.75" customHeight="1" s="195"/>
    <row r="523" ht="15.75" customHeight="1" s="195"/>
    <row r="524" ht="15.75" customHeight="1" s="195"/>
    <row r="525" ht="15.75" customHeight="1" s="195"/>
    <row r="526" ht="15.75" customHeight="1" s="195"/>
    <row r="527" ht="15.75" customHeight="1" s="195"/>
    <row r="528" ht="15.75" customHeight="1" s="195"/>
    <row r="529" ht="15.75" customHeight="1" s="195"/>
    <row r="530" ht="15.75" customHeight="1" s="195"/>
    <row r="531" ht="15.75" customHeight="1" s="195"/>
    <row r="532" ht="15.75" customHeight="1" s="195"/>
    <row r="533" ht="15.75" customHeight="1" s="195"/>
    <row r="534" ht="15.75" customHeight="1" s="195"/>
    <row r="535" ht="15.75" customHeight="1" s="195"/>
    <row r="536" ht="15.75" customHeight="1" s="195"/>
    <row r="537" ht="15.75" customHeight="1" s="195"/>
    <row r="538" ht="15.75" customHeight="1" s="195"/>
    <row r="539" ht="15.75" customHeight="1" s="195"/>
    <row r="540" ht="15.75" customHeight="1" s="195"/>
    <row r="541" ht="15.75" customHeight="1" s="195"/>
    <row r="542" ht="15.75" customHeight="1" s="195"/>
    <row r="543" ht="15.75" customHeight="1" s="195"/>
    <row r="544" ht="15.75" customHeight="1" s="195"/>
    <row r="545" ht="15.75" customHeight="1" s="195"/>
    <row r="546" ht="15.75" customHeight="1" s="195"/>
    <row r="547" ht="15.75" customHeight="1" s="195"/>
    <row r="548" ht="15.75" customHeight="1" s="195"/>
    <row r="549" ht="15.75" customHeight="1" s="195"/>
    <row r="550" ht="15.75" customHeight="1" s="195"/>
    <row r="551" ht="15.75" customHeight="1" s="195"/>
    <row r="552" ht="15.75" customHeight="1" s="195"/>
    <row r="553" ht="15.75" customHeight="1" s="195"/>
    <row r="554" ht="15.75" customHeight="1" s="195"/>
    <row r="555" ht="15.75" customHeight="1" s="195"/>
    <row r="556" ht="15.75" customHeight="1" s="195"/>
    <row r="557" ht="15.75" customHeight="1" s="195"/>
    <row r="558" ht="15.75" customHeight="1" s="195"/>
    <row r="559" ht="15.75" customHeight="1" s="195"/>
    <row r="560" ht="15.75" customHeight="1" s="195"/>
    <row r="561" ht="15.75" customHeight="1" s="195"/>
    <row r="562" ht="15.75" customHeight="1" s="195"/>
    <row r="563" ht="15.75" customHeight="1" s="195"/>
    <row r="564" ht="15.75" customHeight="1" s="195"/>
    <row r="565" ht="15.75" customHeight="1" s="195"/>
    <row r="566" ht="15.75" customHeight="1" s="195"/>
    <row r="567" ht="15.75" customHeight="1" s="195"/>
    <row r="568" ht="15.75" customHeight="1" s="195"/>
    <row r="569" ht="15.75" customHeight="1" s="195"/>
    <row r="570" ht="15.75" customHeight="1" s="195"/>
    <row r="571" ht="15.75" customHeight="1" s="195"/>
    <row r="572" ht="15.75" customHeight="1" s="195"/>
    <row r="573" ht="15.75" customHeight="1" s="195"/>
    <row r="574" ht="15.75" customHeight="1" s="195"/>
    <row r="575" ht="15.75" customHeight="1" s="195"/>
    <row r="576" ht="15.75" customHeight="1" s="195"/>
    <row r="577" ht="15.75" customHeight="1" s="195"/>
    <row r="578" ht="15.75" customHeight="1" s="195"/>
    <row r="579" ht="15.75" customHeight="1" s="195"/>
    <row r="580" ht="15.75" customHeight="1" s="195"/>
    <row r="581" ht="15.75" customHeight="1" s="195"/>
    <row r="582" ht="15.75" customHeight="1" s="195"/>
    <row r="583" ht="15.75" customHeight="1" s="195"/>
    <row r="584" ht="15.75" customHeight="1" s="195"/>
    <row r="585" ht="15.75" customHeight="1" s="195"/>
    <row r="586" ht="15.75" customHeight="1" s="195"/>
    <row r="587" ht="15.75" customHeight="1" s="195"/>
    <row r="588" ht="15.75" customHeight="1" s="195"/>
    <row r="589" ht="15.75" customHeight="1" s="195"/>
    <row r="590" ht="15.75" customHeight="1" s="195"/>
    <row r="591" ht="15.75" customHeight="1" s="195"/>
    <row r="592" ht="15.75" customHeight="1" s="195"/>
    <row r="593" ht="15.75" customHeight="1" s="195"/>
    <row r="594" ht="15.75" customHeight="1" s="195"/>
    <row r="595" ht="15.75" customHeight="1" s="195"/>
    <row r="596" ht="15.75" customHeight="1" s="195"/>
    <row r="597" ht="15.75" customHeight="1" s="195"/>
    <row r="598" ht="15.75" customHeight="1" s="195"/>
    <row r="599" ht="15.75" customHeight="1" s="195"/>
    <row r="600" ht="15.75" customHeight="1" s="195"/>
    <row r="601" ht="15.75" customHeight="1" s="195"/>
    <row r="602" ht="15.75" customHeight="1" s="195"/>
    <row r="603" ht="15.75" customHeight="1" s="195"/>
    <row r="604" ht="15.75" customHeight="1" s="195"/>
    <row r="605" ht="15.75" customHeight="1" s="195"/>
    <row r="606" ht="15.75" customHeight="1" s="195"/>
    <row r="607" ht="15.75" customHeight="1" s="195"/>
    <row r="608" ht="15.75" customHeight="1" s="195"/>
    <row r="609" ht="15.75" customHeight="1" s="195"/>
    <row r="610" ht="15.75" customHeight="1" s="195"/>
    <row r="611" ht="15.75" customHeight="1" s="195"/>
    <row r="612" ht="15.75" customHeight="1" s="195"/>
    <row r="613" ht="15.75" customHeight="1" s="195"/>
    <row r="614" ht="15.75" customHeight="1" s="195"/>
    <row r="615" ht="15.75" customHeight="1" s="195"/>
    <row r="616" ht="15.75" customHeight="1" s="195"/>
    <row r="617" ht="15.75" customHeight="1" s="195"/>
    <row r="618" ht="15.75" customHeight="1" s="195"/>
    <row r="619" ht="15.75" customHeight="1" s="195"/>
    <row r="620" ht="15.75" customHeight="1" s="195"/>
    <row r="621" ht="15.75" customHeight="1" s="195"/>
    <row r="622" ht="15.75" customHeight="1" s="195"/>
    <row r="623" ht="15.75" customHeight="1" s="195"/>
    <row r="624" ht="15.75" customHeight="1" s="195"/>
    <row r="625" ht="15.75" customHeight="1" s="195"/>
    <row r="626" ht="15.75" customHeight="1" s="195"/>
    <row r="627" ht="15.75" customHeight="1" s="195"/>
    <row r="628" ht="15.75" customHeight="1" s="195"/>
    <row r="629" ht="15.75" customHeight="1" s="195"/>
    <row r="630" ht="15.75" customHeight="1" s="195"/>
    <row r="631" ht="15.75" customHeight="1" s="195"/>
    <row r="632" ht="15.75" customHeight="1" s="195"/>
    <row r="633" ht="15.75" customHeight="1" s="195"/>
    <row r="634" ht="15.75" customHeight="1" s="195"/>
    <row r="635" ht="15.75" customHeight="1" s="195"/>
    <row r="636" ht="15.75" customHeight="1" s="195"/>
    <row r="637" ht="15.75" customHeight="1" s="195"/>
    <row r="638" ht="15.75" customHeight="1" s="195"/>
    <row r="639" ht="15.75" customHeight="1" s="195"/>
    <row r="640" ht="15.75" customHeight="1" s="195"/>
    <row r="641" ht="15.75" customHeight="1" s="195"/>
    <row r="642" ht="15.75" customHeight="1" s="195"/>
    <row r="643" ht="15.75" customHeight="1" s="195"/>
    <row r="644" ht="15.75" customHeight="1" s="195"/>
    <row r="645" ht="15.75" customHeight="1" s="195"/>
    <row r="646" ht="15.75" customHeight="1" s="195"/>
    <row r="647" ht="15.75" customHeight="1" s="195"/>
    <row r="648" ht="15.75" customHeight="1" s="195"/>
    <row r="649" ht="15.75" customHeight="1" s="195"/>
    <row r="650" ht="15.75" customHeight="1" s="195"/>
    <row r="651" ht="15.75" customHeight="1" s="195"/>
    <row r="652" ht="15.75" customHeight="1" s="195"/>
    <row r="653" ht="15.75" customHeight="1" s="195"/>
    <row r="654" ht="15.75" customHeight="1" s="195"/>
    <row r="655" ht="15.75" customHeight="1" s="195"/>
    <row r="656" ht="15.75" customHeight="1" s="195"/>
    <row r="657" ht="15.75" customHeight="1" s="195"/>
    <row r="658" ht="15.75" customHeight="1" s="195"/>
    <row r="659" ht="15.75" customHeight="1" s="195"/>
    <row r="660" ht="15.75" customHeight="1" s="195"/>
    <row r="661" ht="15.75" customHeight="1" s="195"/>
    <row r="662" ht="15.75" customHeight="1" s="195"/>
    <row r="663" ht="15.75" customHeight="1" s="195"/>
    <row r="664" ht="15.75" customHeight="1" s="195"/>
    <row r="665" ht="15.75" customHeight="1" s="195"/>
    <row r="666" ht="15.75" customHeight="1" s="195"/>
    <row r="667" ht="15.75" customHeight="1" s="195"/>
    <row r="668" ht="15.75" customHeight="1" s="195"/>
    <row r="669" ht="15.75" customHeight="1" s="195"/>
    <row r="670" ht="15.75" customHeight="1" s="195"/>
    <row r="671" ht="15.75" customHeight="1" s="195"/>
    <row r="672" ht="15.75" customHeight="1" s="195"/>
    <row r="673" ht="15.75" customHeight="1" s="195"/>
    <row r="674" ht="15.75" customHeight="1" s="195"/>
    <row r="675" ht="15.75" customHeight="1" s="195"/>
    <row r="676" ht="15.75" customHeight="1" s="195"/>
    <row r="677" ht="15.75" customHeight="1" s="195"/>
    <row r="678" ht="15.75" customHeight="1" s="195"/>
    <row r="679" ht="15.75" customHeight="1" s="195"/>
    <row r="680" ht="15.75" customHeight="1" s="195"/>
    <row r="681" ht="15.75" customHeight="1" s="195"/>
    <row r="682" ht="15.75" customHeight="1" s="195"/>
    <row r="683" ht="15.75" customHeight="1" s="195"/>
    <row r="684" ht="15.75" customHeight="1" s="195"/>
    <row r="685" ht="15.75" customHeight="1" s="195"/>
    <row r="686" ht="15.75" customHeight="1" s="195"/>
    <row r="687" ht="15.75" customHeight="1" s="195"/>
    <row r="688" ht="15.75" customHeight="1" s="195"/>
    <row r="689" ht="15.75" customHeight="1" s="195"/>
    <row r="690" ht="15.75" customHeight="1" s="195"/>
    <row r="691" ht="15.75" customHeight="1" s="195"/>
    <row r="692" ht="15.75" customHeight="1" s="195"/>
    <row r="693" ht="15.75" customHeight="1" s="195"/>
    <row r="694" ht="15.75" customHeight="1" s="195"/>
    <row r="695" ht="15.75" customHeight="1" s="195"/>
    <row r="696" ht="15.75" customHeight="1" s="195"/>
    <row r="697" ht="15.75" customHeight="1" s="195"/>
    <row r="698" ht="15.75" customHeight="1" s="195"/>
    <row r="699" ht="15.75" customHeight="1" s="195"/>
    <row r="700" ht="15.75" customHeight="1" s="195"/>
    <row r="701" ht="15.75" customHeight="1" s="195"/>
    <row r="702" ht="15.75" customHeight="1" s="195"/>
    <row r="703" ht="15.75" customHeight="1" s="195"/>
    <row r="704" ht="15.75" customHeight="1" s="195"/>
    <row r="705" ht="15.75" customHeight="1" s="195"/>
    <row r="706" ht="15.75" customHeight="1" s="195"/>
    <row r="707" ht="15.75" customHeight="1" s="195"/>
    <row r="708" ht="15.75" customHeight="1" s="195"/>
    <row r="709" ht="15.75" customHeight="1" s="195"/>
    <row r="710" ht="15.75" customHeight="1" s="195"/>
    <row r="711" ht="15.75" customHeight="1" s="195"/>
    <row r="712" ht="15.75" customHeight="1" s="195"/>
    <row r="713" ht="15.75" customHeight="1" s="195"/>
    <row r="714" ht="15.75" customHeight="1" s="195"/>
    <row r="715" ht="15.75" customHeight="1" s="195"/>
    <row r="716" ht="15.75" customHeight="1" s="195"/>
    <row r="717" ht="15.75" customHeight="1" s="195"/>
    <row r="718" ht="15.75" customHeight="1" s="195"/>
    <row r="719" ht="15.75" customHeight="1" s="195"/>
    <row r="720" ht="15.75" customHeight="1" s="195"/>
    <row r="721" ht="15.75" customHeight="1" s="195"/>
    <row r="722" ht="15.75" customHeight="1" s="195"/>
    <row r="723" ht="15.75" customHeight="1" s="195"/>
    <row r="724" ht="15.75" customHeight="1" s="195"/>
    <row r="725" ht="15.75" customHeight="1" s="195"/>
    <row r="726" ht="15.75" customHeight="1" s="195"/>
    <row r="727" ht="15.75" customHeight="1" s="195"/>
    <row r="728" ht="15.75" customHeight="1" s="195"/>
    <row r="729" ht="15.75" customHeight="1" s="195"/>
    <row r="730" ht="15.75" customHeight="1" s="195"/>
    <row r="731" ht="15.75" customHeight="1" s="195"/>
    <row r="732" ht="15.75" customHeight="1" s="195"/>
    <row r="733" ht="15.75" customHeight="1" s="195"/>
    <row r="734" ht="15.75" customHeight="1" s="195"/>
    <row r="735" ht="15.75" customHeight="1" s="195"/>
    <row r="736" ht="15.75" customHeight="1" s="195"/>
    <row r="737" ht="15.75" customHeight="1" s="195"/>
    <row r="738" ht="15.75" customHeight="1" s="195"/>
    <row r="739" ht="15.75" customHeight="1" s="195"/>
    <row r="740" ht="15.75" customHeight="1" s="195"/>
    <row r="741" ht="15.75" customHeight="1" s="195"/>
    <row r="742" ht="15.75" customHeight="1" s="195"/>
    <row r="743" ht="15.75" customHeight="1" s="195"/>
    <row r="744" ht="15.75" customHeight="1" s="195"/>
    <row r="745" ht="15.75" customHeight="1" s="195"/>
    <row r="746" ht="15.75" customHeight="1" s="195"/>
    <row r="747" ht="15.75" customHeight="1" s="195"/>
    <row r="748" ht="15.75" customHeight="1" s="195"/>
    <row r="749" ht="15.75" customHeight="1" s="195"/>
    <row r="750" ht="15.75" customHeight="1" s="195"/>
    <row r="751" ht="15.75" customHeight="1" s="195"/>
    <row r="752" ht="15.75" customHeight="1" s="195"/>
    <row r="753" ht="15.75" customHeight="1" s="195"/>
    <row r="754" ht="15.75" customHeight="1" s="195"/>
    <row r="755" ht="15.75" customHeight="1" s="195"/>
    <row r="756" ht="15.75" customHeight="1" s="195"/>
    <row r="757" ht="15.75" customHeight="1" s="195"/>
    <row r="758" ht="15.75" customHeight="1" s="195"/>
    <row r="759" ht="15.75" customHeight="1" s="195"/>
    <row r="760" ht="15.75" customHeight="1" s="195"/>
    <row r="761" ht="15.75" customHeight="1" s="195"/>
    <row r="762" ht="15.75" customHeight="1" s="195"/>
    <row r="763" ht="15.75" customHeight="1" s="195"/>
    <row r="764" ht="15.75" customHeight="1" s="195"/>
    <row r="765" ht="15.75" customHeight="1" s="195"/>
    <row r="766" ht="15.75" customHeight="1" s="195"/>
    <row r="767" ht="15.75" customHeight="1" s="195"/>
    <row r="768" ht="15.75" customHeight="1" s="195"/>
    <row r="769" ht="15.75" customHeight="1" s="195"/>
    <row r="770" ht="15.75" customHeight="1" s="195"/>
    <row r="771" ht="15.75" customHeight="1" s="195"/>
    <row r="772" ht="15.75" customHeight="1" s="195"/>
    <row r="773" ht="15.75" customHeight="1" s="195"/>
    <row r="774" ht="15.75" customHeight="1" s="195"/>
    <row r="775" ht="15.75" customHeight="1" s="195"/>
    <row r="776" ht="15.75" customHeight="1" s="195"/>
    <row r="777" ht="15.75" customHeight="1" s="195"/>
    <row r="778" ht="15.75" customHeight="1" s="195"/>
    <row r="779" ht="15.75" customHeight="1" s="195"/>
    <row r="780" ht="15.75" customHeight="1" s="195"/>
    <row r="781" ht="15.75" customHeight="1" s="195"/>
    <row r="782" ht="15.75" customHeight="1" s="195"/>
    <row r="783" ht="15.75" customHeight="1" s="195"/>
    <row r="784" ht="15.75" customHeight="1" s="195"/>
    <row r="785" ht="15.75" customHeight="1" s="195"/>
    <row r="786" ht="15.75" customHeight="1" s="195"/>
    <row r="787" ht="15.75" customHeight="1" s="195"/>
    <row r="788" ht="15.75" customHeight="1" s="195"/>
    <row r="789" ht="15.75" customHeight="1" s="195"/>
    <row r="790" ht="15.75" customHeight="1" s="195"/>
    <row r="791" ht="15.75" customHeight="1" s="195"/>
    <row r="792" ht="15.75" customHeight="1" s="195"/>
    <row r="793" ht="15.75" customHeight="1" s="195"/>
    <row r="794" ht="15.75" customHeight="1" s="195"/>
    <row r="795" ht="15.75" customHeight="1" s="195"/>
    <row r="796" ht="15.75" customHeight="1" s="195"/>
    <row r="797" ht="15.75" customHeight="1" s="195"/>
    <row r="798" ht="15.75" customHeight="1" s="195"/>
    <row r="799" ht="15.75" customHeight="1" s="195"/>
    <row r="800" ht="15.75" customHeight="1" s="195"/>
    <row r="801" ht="15.75" customHeight="1" s="195"/>
    <row r="802" ht="15.75" customHeight="1" s="195"/>
    <row r="803" ht="15.75" customHeight="1" s="195"/>
    <row r="804" ht="15.75" customHeight="1" s="195"/>
    <row r="805" ht="15.75" customHeight="1" s="195"/>
    <row r="806" ht="15.75" customHeight="1" s="195"/>
    <row r="807" ht="15.75" customHeight="1" s="195"/>
    <row r="808" ht="15.75" customHeight="1" s="195"/>
    <row r="809" ht="15.75" customHeight="1" s="195"/>
    <row r="810" ht="15.75" customHeight="1" s="195"/>
    <row r="811" ht="15.75" customHeight="1" s="195"/>
    <row r="812" ht="15.75" customHeight="1" s="195"/>
    <row r="813" ht="15.75" customHeight="1" s="195"/>
    <row r="814" ht="15.75" customHeight="1" s="195"/>
    <row r="815" ht="15.75" customHeight="1" s="195"/>
    <row r="816" ht="15.75" customHeight="1" s="195"/>
    <row r="817" ht="15.75" customHeight="1" s="195"/>
    <row r="818" ht="15.75" customHeight="1" s="195"/>
    <row r="819" ht="15.75" customHeight="1" s="195"/>
    <row r="820" ht="15.75" customHeight="1" s="195"/>
    <row r="821" ht="15.75" customHeight="1" s="195"/>
    <row r="822" ht="15.75" customHeight="1" s="195"/>
    <row r="823" ht="15.75" customHeight="1" s="195"/>
    <row r="824" ht="15.75" customHeight="1" s="195"/>
    <row r="825" ht="15.75" customHeight="1" s="195"/>
    <row r="826" ht="15.75" customHeight="1" s="195"/>
    <row r="827" ht="15.75" customHeight="1" s="195"/>
    <row r="828" ht="15.75" customHeight="1" s="195"/>
    <row r="829" ht="15.75" customHeight="1" s="195"/>
    <row r="830" ht="15.75" customHeight="1" s="195"/>
    <row r="831" ht="15.75" customHeight="1" s="195"/>
    <row r="832" ht="15.75" customHeight="1" s="195"/>
    <row r="833" ht="15.75" customHeight="1" s="195"/>
    <row r="834" ht="15.75" customHeight="1" s="195"/>
    <row r="835" ht="15.75" customHeight="1" s="195"/>
    <row r="836" ht="15.75" customHeight="1" s="195"/>
    <row r="837" ht="15.75" customHeight="1" s="195"/>
    <row r="838" ht="15.75" customHeight="1" s="195"/>
    <row r="839" ht="15.75" customHeight="1" s="195"/>
    <row r="840" ht="15.75" customHeight="1" s="195"/>
    <row r="841" ht="15.75" customHeight="1" s="195"/>
    <row r="842" ht="15.75" customHeight="1" s="195"/>
    <row r="843" ht="15.75" customHeight="1" s="195"/>
    <row r="844" ht="15.75" customHeight="1" s="195"/>
    <row r="845" ht="15.75" customHeight="1" s="195"/>
    <row r="846" ht="15.75" customHeight="1" s="195"/>
    <row r="847" ht="15.75" customHeight="1" s="195"/>
    <row r="848" ht="15.75" customHeight="1" s="195"/>
    <row r="849" ht="15.75" customHeight="1" s="195"/>
    <row r="850" ht="15.75" customHeight="1" s="195"/>
    <row r="851" ht="15.75" customHeight="1" s="195"/>
    <row r="852" ht="15.75" customHeight="1" s="195"/>
    <row r="853" ht="15.75" customHeight="1" s="195"/>
    <row r="854" ht="15.75" customHeight="1" s="195"/>
    <row r="855" ht="15.75" customHeight="1" s="195"/>
    <row r="856" ht="15.75" customHeight="1" s="195"/>
    <row r="857" ht="15.75" customHeight="1" s="195"/>
    <row r="858" ht="15.75" customHeight="1" s="195"/>
    <row r="859" ht="15.75" customHeight="1" s="195"/>
    <row r="860" ht="15.75" customHeight="1" s="195"/>
    <row r="861" ht="15.75" customHeight="1" s="195"/>
    <row r="862" ht="15.75" customHeight="1" s="195"/>
    <row r="863" ht="15.75" customHeight="1" s="195"/>
    <row r="864" ht="15.75" customHeight="1" s="195"/>
    <row r="865" ht="15.75" customHeight="1" s="195"/>
    <row r="866" ht="15.75" customHeight="1" s="195"/>
    <row r="867" ht="15.75" customHeight="1" s="195"/>
    <row r="868" ht="15.75" customHeight="1" s="195"/>
    <row r="869" ht="15.75" customHeight="1" s="195"/>
    <row r="870" ht="15.75" customHeight="1" s="195"/>
    <row r="871" ht="15.75" customHeight="1" s="195"/>
    <row r="872" ht="15.75" customHeight="1" s="195"/>
    <row r="873" ht="15.75" customHeight="1" s="195"/>
    <row r="874" ht="15.75" customHeight="1" s="195"/>
    <row r="875" ht="15.75" customHeight="1" s="195"/>
    <row r="876" ht="15.75" customHeight="1" s="195"/>
    <row r="877" ht="15.75" customHeight="1" s="195"/>
    <row r="878" ht="15.75" customHeight="1" s="195"/>
    <row r="879" ht="15.75" customHeight="1" s="195"/>
    <row r="880" ht="15.75" customHeight="1" s="195"/>
    <row r="881" ht="15.75" customHeight="1" s="195"/>
    <row r="882" ht="15.75" customHeight="1" s="195"/>
    <row r="883" ht="15.75" customHeight="1" s="195"/>
    <row r="884" ht="15.75" customHeight="1" s="195"/>
    <row r="885" ht="15.75" customHeight="1" s="195"/>
    <row r="886" ht="15.75" customHeight="1" s="195"/>
    <row r="887" ht="15.75" customHeight="1" s="195"/>
    <row r="888" ht="15.75" customHeight="1" s="195"/>
    <row r="889" ht="15.75" customHeight="1" s="195"/>
    <row r="890" ht="15.75" customHeight="1" s="195"/>
    <row r="891" ht="15.75" customHeight="1" s="195"/>
    <row r="892" ht="15.75" customHeight="1" s="195"/>
    <row r="893" ht="15.75" customHeight="1" s="195"/>
    <row r="894" ht="15.75" customHeight="1" s="195"/>
    <row r="895" ht="15.75" customHeight="1" s="195"/>
    <row r="896" ht="15.75" customHeight="1" s="195"/>
    <row r="897" ht="15.75" customHeight="1" s="195"/>
    <row r="898" ht="15.75" customHeight="1" s="195"/>
    <row r="899" ht="15.75" customHeight="1" s="195"/>
    <row r="900" ht="15.75" customHeight="1" s="195"/>
    <row r="901" ht="15.75" customHeight="1" s="195"/>
    <row r="902" ht="15.75" customHeight="1" s="195"/>
    <row r="903" ht="15.75" customHeight="1" s="195"/>
    <row r="904" ht="15.75" customHeight="1" s="195"/>
    <row r="905" ht="15.75" customHeight="1" s="195"/>
    <row r="906" ht="15.75" customHeight="1" s="195"/>
    <row r="907" ht="15.75" customHeight="1" s="195"/>
    <row r="908" ht="15.75" customHeight="1" s="195"/>
    <row r="909" ht="15.75" customHeight="1" s="195"/>
    <row r="910" ht="15.75" customHeight="1" s="195"/>
    <row r="911" ht="15.75" customHeight="1" s="195"/>
    <row r="912" ht="15.75" customHeight="1" s="195"/>
    <row r="913" ht="15.75" customHeight="1" s="195"/>
    <row r="914" ht="15.75" customHeight="1" s="195"/>
    <row r="915" ht="15.75" customHeight="1" s="195"/>
    <row r="916" ht="15.75" customHeight="1" s="195"/>
    <row r="917" ht="15.75" customHeight="1" s="195"/>
    <row r="918" ht="15.75" customHeight="1" s="195"/>
    <row r="919" ht="15.75" customHeight="1" s="195"/>
    <row r="920" ht="15.75" customHeight="1" s="195"/>
    <row r="921" ht="15.75" customHeight="1" s="195"/>
    <row r="922" ht="15.75" customHeight="1" s="195"/>
    <row r="923" ht="15.75" customHeight="1" s="195"/>
    <row r="924" ht="15.75" customHeight="1" s="195"/>
    <row r="925" ht="15.75" customHeight="1" s="195"/>
    <row r="926" ht="15.75" customHeight="1" s="195"/>
    <row r="927" ht="15.75" customHeight="1" s="195"/>
    <row r="928" ht="15.75" customHeight="1" s="195"/>
    <row r="929" ht="15.75" customHeight="1" s="195"/>
    <row r="930" ht="15.75" customHeight="1" s="195"/>
    <row r="931" ht="15.75" customHeight="1" s="195"/>
    <row r="932" ht="15.75" customHeight="1" s="195"/>
    <row r="933" ht="15.75" customHeight="1" s="195"/>
    <row r="934" ht="15.75" customHeight="1" s="195"/>
    <row r="935" ht="15.75" customHeight="1" s="195"/>
    <row r="936" ht="15.75" customHeight="1" s="195"/>
    <row r="937" ht="15.75" customHeight="1" s="195"/>
    <row r="938" ht="15.75" customHeight="1" s="195"/>
    <row r="939" ht="15.75" customHeight="1" s="195"/>
    <row r="940" ht="15.75" customHeight="1" s="195"/>
    <row r="941" ht="15.75" customHeight="1" s="195"/>
    <row r="942" ht="15.75" customHeight="1" s="195"/>
    <row r="943" ht="15.75" customHeight="1" s="195"/>
    <row r="944" ht="15.75" customHeight="1" s="195"/>
    <row r="945" ht="15.75" customHeight="1" s="195"/>
    <row r="946" ht="15.75" customHeight="1" s="195"/>
    <row r="947" ht="15.75" customHeight="1" s="195"/>
    <row r="948" ht="15.75" customHeight="1" s="195"/>
    <row r="949" ht="15.75" customHeight="1" s="195"/>
    <row r="950" ht="15.75" customHeight="1" s="195"/>
    <row r="951" ht="15.75" customHeight="1" s="195"/>
    <row r="952" ht="15.75" customHeight="1" s="195"/>
    <row r="953" ht="15.75" customHeight="1" s="195"/>
    <row r="954" ht="15.75" customHeight="1" s="195"/>
    <row r="955" ht="15.75" customHeight="1" s="195"/>
    <row r="956" ht="15.75" customHeight="1" s="195"/>
    <row r="957" ht="15.75" customHeight="1" s="195"/>
    <row r="958" ht="15.75" customHeight="1" s="195"/>
    <row r="959" ht="15.75" customHeight="1" s="195"/>
    <row r="960" ht="15.75" customHeight="1" s="195"/>
    <row r="961" ht="15.75" customHeight="1" s="195"/>
    <row r="962" ht="15.75" customHeight="1" s="195"/>
    <row r="963" ht="15.75" customHeight="1" s="195"/>
    <row r="964" ht="15.75" customHeight="1" s="195"/>
    <row r="965" ht="15.75" customHeight="1" s="195"/>
    <row r="966" ht="15.75" customHeight="1" s="195"/>
    <row r="967" ht="15.75" customHeight="1" s="195"/>
    <row r="968" ht="15.75" customHeight="1" s="195"/>
    <row r="969" ht="15.75" customHeight="1" s="195"/>
    <row r="970" ht="15.75" customHeight="1" s="195"/>
    <row r="971" ht="15.75" customHeight="1" s="195"/>
    <row r="972" ht="15.75" customHeight="1" s="195"/>
    <row r="973" ht="15.75" customHeight="1" s="195"/>
    <row r="974" ht="15.75" customHeight="1" s="195"/>
    <row r="975" ht="15.75" customHeight="1" s="195"/>
    <row r="976" ht="15.75" customHeight="1" s="195"/>
    <row r="977" ht="15.75" customHeight="1" s="195"/>
    <row r="978" ht="15.75" customHeight="1" s="195"/>
    <row r="979" ht="15.75" customHeight="1" s="195"/>
    <row r="980" ht="15.75" customHeight="1" s="195"/>
    <row r="981" ht="15.75" customHeight="1" s="195"/>
    <row r="982" ht="15.75" customHeight="1" s="195"/>
    <row r="983" ht="15.75" customHeight="1" s="195"/>
    <row r="984" ht="15.75" customHeight="1" s="195"/>
    <row r="985" ht="15.75" customHeight="1" s="195"/>
    <row r="986" ht="15.75" customHeight="1" s="195"/>
    <row r="987" ht="15.75" customHeight="1" s="195"/>
    <row r="988" ht="15.75" customHeight="1" s="195"/>
    <row r="989" ht="15.75" customHeight="1" s="195"/>
    <row r="990" ht="15.75" customHeight="1" s="195"/>
    <row r="991" ht="15.75" customHeight="1" s="195"/>
    <row r="992" ht="15.75" customHeight="1" s="195"/>
    <row r="993" ht="15.75" customHeight="1" s="195"/>
    <row r="994" ht="15.75" customHeight="1" s="195"/>
    <row r="995" ht="15.75" customHeight="1" s="195"/>
    <row r="996" ht="15.75" customHeight="1" s="195"/>
    <row r="997" ht="15.75" customHeight="1" s="195"/>
    <row r="998" ht="15.75" customHeight="1" s="195"/>
    <row r="999" ht="15.75" customHeight="1" s="195"/>
    <row r="1000" ht="15.75" customHeight="1" s="195"/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C5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14.43359375" defaultRowHeight="15" zeroHeight="0" outlineLevelRow="0"/>
  <cols>
    <col width="5" customWidth="1" style="194" min="1" max="1"/>
    <col width="14" customWidth="1" style="194" min="2" max="2"/>
    <col width="8" customWidth="1" style="194" min="3" max="3"/>
    <col width="28" customWidth="1" style="194" min="4" max="4"/>
    <col width="7" customWidth="1" style="194" min="5" max="5"/>
    <col width="14" customWidth="1" style="194" min="6" max="6"/>
    <col width="12" customWidth="1" style="194" min="7" max="7"/>
    <col width="10" customWidth="1" style="194" min="8" max="8"/>
    <col width="30" customWidth="1" style="194" min="9" max="9"/>
    <col width="10" customWidth="1" style="194" min="10" max="10"/>
    <col width="12" customWidth="1" style="194" min="11" max="11"/>
    <col width="10" customWidth="1" style="194" min="12" max="13"/>
    <col width="14" customWidth="1" style="194" min="14" max="15"/>
    <col width="28" customWidth="1" style="194" min="16" max="16"/>
    <col width="12" customWidth="1" style="194" min="17" max="18"/>
    <col width="16" customWidth="1" style="194" min="19" max="19"/>
    <col width="12" customWidth="1" style="194" min="20" max="21"/>
    <col width="14" customWidth="1" style="194" min="22" max="23"/>
    <col width="8" customWidth="1" style="194" min="24" max="24"/>
    <col width="22" customWidth="1" style="194" min="25" max="25"/>
    <col width="8.710000000000001" customWidth="1" style="194" min="26" max="29"/>
  </cols>
  <sheetData>
    <row r="1" ht="27.75" customHeight="1" s="195">
      <c r="A1" s="317" t="inlineStr">
        <is>
          <t>REPORTE DE TRASLADO DE PACIENTES SIS DEL MES DE ENERO 2025 PARA REPOSICION DE COMBUSTIBLE</t>
        </is>
      </c>
    </row>
    <row r="2" ht="21.75" customHeight="1" s="195">
      <c r="A2" s="318" t="inlineStr">
        <is>
          <t>TOTAL PETROLEO (gal):</t>
        </is>
      </c>
      <c r="D2" s="319">
        <f>IFERROR(SUMPRODUCT((K4:K113="PETROLEO")*ISNUMBER(M4:M113)*M4:M113),0)</f>
        <v/>
      </c>
      <c r="G2" s="318" t="inlineStr">
        <is>
          <t>TOTAL GASOLINA (gal):</t>
        </is>
      </c>
      <c r="J2" s="319">
        <f>IFERROR(SUMPRODUCT((K4:K113="GASOLINA")*ISNUMBER(M4:M113)*M4:M113),0)</f>
        <v/>
      </c>
      <c r="M2" s="318" t="inlineStr">
        <is>
          <t>TOTAL SOLES S/.:</t>
        </is>
      </c>
      <c r="P2" s="320">
        <f>IFERROR(SUMPRODUCT(ISNUMBER(M4:M113)*L4:L113*M4:M113),0)</f>
        <v/>
      </c>
      <c r="S2" s="318" t="inlineStr">
        <is>
          <t>N TRASLADOS:</t>
        </is>
      </c>
      <c r="U2" s="321">
        <f>SUBTOTAL(2,A4:A113)</f>
        <v/>
      </c>
      <c r="W2" s="322" t="inlineStr">
        <is>
          <t>↑ Al filtrar por EESS los totales cambian automáticamente</t>
        </is>
      </c>
    </row>
    <row r="3" ht="3.75" customHeight="1" s="195">
      <c r="A3" s="323" t="n"/>
      <c r="B3" s="323" t="n"/>
      <c r="C3" s="323" t="n"/>
      <c r="D3" s="323" t="n"/>
      <c r="E3" s="323" t="n"/>
      <c r="F3" s="323" t="n"/>
      <c r="G3" s="323" t="n"/>
      <c r="H3" s="323" t="n"/>
      <c r="I3" s="323" t="n"/>
      <c r="J3" s="323" t="n"/>
      <c r="K3" s="323" t="n"/>
      <c r="L3" s="323" t="n"/>
      <c r="M3" s="323" t="n"/>
      <c r="N3" s="323" t="n"/>
      <c r="O3" s="323" t="n"/>
      <c r="P3" s="323" t="n"/>
      <c r="Q3" s="323" t="n"/>
      <c r="R3" s="323" t="n"/>
      <c r="S3" s="323" t="n"/>
      <c r="T3" s="323" t="n"/>
      <c r="U3" s="323" t="n"/>
      <c r="V3" s="323" t="n"/>
      <c r="W3" s="323" t="n"/>
      <c r="X3" s="323" t="n"/>
      <c r="Y3" s="324" t="inlineStr">
        <is>
          <t>DEVOLVER A
(IPRESS DESTINO)</t>
        </is>
      </c>
    </row>
    <row r="4" ht="19.5" customHeight="1" s="195">
      <c r="A4" s="325" t="inlineStr">
        <is>
          <t>COLUMNAS EN AZUL = AUTO (no editar) | Ingrese: N, NRO FORMATO, AFILIADO, TIPO DOC, NRO DOC, FECHA TRASLADO, COD RENAES, COD REFERENCIA, DNI CONDUCTOR, PRECIO GAL, GALONES, FECHA ENTREGA, CIE-10, ESTADO FUA, FECHA DIGITACION, OFICIO, O/C, META, OBSERVACION</t>
        </is>
      </c>
    </row>
    <row r="5" ht="30" customHeight="1" s="195">
      <c r="A5" s="326" t="inlineStr">
        <is>
          <t>N</t>
        </is>
      </c>
      <c r="B5" s="327" t="inlineStr">
        <is>
          <t>NRO FORMATO
ATENCION</t>
        </is>
      </c>
      <c r="C5" s="327" t="inlineStr">
        <is>
          <t>UNIDAD
EJECUTORA</t>
        </is>
      </c>
      <c r="D5" s="327" t="inlineStr">
        <is>
          <t>AFILIADO</t>
        </is>
      </c>
      <c r="E5" s="327" t="inlineStr">
        <is>
          <t>TIPO
DOC</t>
        </is>
      </c>
      <c r="F5" s="327" t="inlineStr">
        <is>
          <t>NRO
DOCUMENTO</t>
        </is>
      </c>
      <c r="G5" s="327" t="inlineStr">
        <is>
          <t>FECHA
TRASLADO</t>
        </is>
      </c>
      <c r="H5" s="327" t="inlineStr">
        <is>
          <t>COD
RENAES</t>
        </is>
      </c>
      <c r="I5" s="328" t="inlineStr">
        <is>
          <t>DESCRIPCION
EESS</t>
        </is>
      </c>
      <c r="J5" s="327" t="inlineStr">
        <is>
          <t>COD EESS
REFERENCIA</t>
        </is>
      </c>
      <c r="K5" s="328" t="inlineStr">
        <is>
          <t>TIPO DE
COMBUSTIBLE</t>
        </is>
      </c>
      <c r="L5" s="327" t="inlineStr">
        <is>
          <t>PRECIO
GAL S/.</t>
        </is>
      </c>
      <c r="M5" s="327" t="inlineStr">
        <is>
          <t>GALONES</t>
        </is>
      </c>
      <c r="N5" s="328" t="inlineStr">
        <is>
          <t>TOTAL
COMBUSTIBLE S/.</t>
        </is>
      </c>
      <c r="O5" s="327" t="inlineStr">
        <is>
          <t>DNI
CONDUCTOR</t>
        </is>
      </c>
      <c r="P5" s="329">
        <f>IFERROR(VLOOKUP(TEXT(O5,"0"),CONDUCTORES!$A$3:$G$100,2,0),"")</f>
        <v/>
      </c>
      <c r="Q5" s="329">
        <f>IFERROR(VLOOKUP(TEXT(O5,"0"),CONDUCTORES!$A$3:$H$100,6,0),"")</f>
        <v/>
      </c>
      <c r="R5" s="327" t="inlineStr">
        <is>
          <t>FECHA DE
ENTREGA</t>
        </is>
      </c>
      <c r="S5" s="327" t="inlineStr">
        <is>
          <t>CODIGO DE
DIAGNOSTICO</t>
        </is>
      </c>
      <c r="T5" s="327" t="inlineStr">
        <is>
          <t>ESTADO
FUA</t>
        </is>
      </c>
      <c r="U5" s="327" t="inlineStr">
        <is>
          <t>FECHA
DIGITACION</t>
        </is>
      </c>
      <c r="V5" s="327" t="inlineStr">
        <is>
          <t>OFICIO</t>
        </is>
      </c>
      <c r="W5" s="327" t="inlineStr">
        <is>
          <t>O/C</t>
        </is>
      </c>
      <c r="X5" s="327" t="inlineStr">
        <is>
          <t>META</t>
        </is>
      </c>
      <c r="Y5" s="330" t="inlineStr">
        <is>
          <t>OBSERVACION</t>
        </is>
      </c>
    </row>
    <row r="6" ht="15.75" customHeight="1" s="195">
      <c r="A6" s="301" t="n">
        <v>1</v>
      </c>
      <c r="B6" s="302" t="inlineStr">
        <is>
          <t>00090006</t>
        </is>
      </c>
      <c r="C6" s="301" t="inlineStr">
        <is>
          <t>REGION</t>
        </is>
      </c>
      <c r="D6" s="302" t="inlineStr">
        <is>
          <t>FUANTES LOPEZ ANYELI GABRIELA</t>
        </is>
      </c>
      <c r="E6" s="301" t="inlineStr">
        <is>
          <t>DNI</t>
        </is>
      </c>
      <c r="F6" s="301" t="inlineStr">
        <is>
          <t>63391895</t>
        </is>
      </c>
      <c r="G6" s="331" t="n">
        <v>45675</v>
      </c>
      <c r="H6" s="301" t="inlineStr">
        <is>
          <t>4954</t>
        </is>
      </c>
      <c r="I6" s="332">
        <f>IFERROR(VLOOKUP(TEXT(H6,"0"),IPRESS!$A$3:$B$212,2,0),"")</f>
        <v/>
      </c>
      <c r="J6" s="301" t="inlineStr">
        <is>
          <t>4838</t>
        </is>
      </c>
      <c r="K6" s="332">
        <f>IFERROR(VLOOKUP(TEXT(O6,"0"),CONDUCTORES!$A$3:$G$100,7,0),"")</f>
        <v/>
      </c>
      <c r="L6" s="245" t="n">
        <v>20.25</v>
      </c>
      <c r="M6" s="245" t="n">
        <v>6</v>
      </c>
      <c r="N6" s="333">
        <f>IFERROR(IF(L6*M6=0,"",L6*M6),"")</f>
        <v/>
      </c>
      <c r="O6" s="280" t="n"/>
      <c r="P6" s="332">
        <f>IFERROR(VLOOKUP(TEXT(O6,"0"),CONDUCTORES!$A$3:$G$100,2,0),"")</f>
        <v/>
      </c>
      <c r="Q6" s="332">
        <f>IFERROR(VLOOKUP(TEXT(O6,"0"),CONDUCTORES!$A$3:$H$100,6,0),"")</f>
        <v/>
      </c>
      <c r="R6" s="334" t="inlineStr">
        <is>
          <t>ATENDIDO 01/07/2025</t>
        </is>
      </c>
      <c r="S6" s="302" t="inlineStr">
        <is>
          <t>R100-K802</t>
        </is>
      </c>
      <c r="T6" s="335" t="inlineStr">
        <is>
          <t>APROBADO</t>
        </is>
      </c>
      <c r="U6" s="331" t="n">
        <v>45698</v>
      </c>
      <c r="V6" s="301" t="inlineStr">
        <is>
          <t>3041-2025</t>
        </is>
      </c>
      <c r="W6" s="301" t="inlineStr">
        <is>
          <t>3479.0</t>
        </is>
      </c>
      <c r="X6" s="301" t="inlineStr">
        <is>
          <t>189.0</t>
        </is>
      </c>
      <c r="Y6" s="280" t="n"/>
    </row>
    <row r="7" ht="15.75" customHeight="1" s="195">
      <c r="A7" s="241" t="n">
        <v>2</v>
      </c>
      <c r="B7" s="305" t="inlineStr">
        <is>
          <t>00090007</t>
        </is>
      </c>
      <c r="C7" s="241" t="inlineStr">
        <is>
          <t>REGION</t>
        </is>
      </c>
      <c r="D7" s="305" t="inlineStr">
        <is>
          <t>BURGA BACA MARLITH</t>
        </is>
      </c>
      <c r="E7" s="241" t="inlineStr">
        <is>
          <t>DNI</t>
        </is>
      </c>
      <c r="F7" s="241" t="inlineStr">
        <is>
          <t>77063161</t>
        </is>
      </c>
      <c r="G7" s="336" t="n">
        <v>45680</v>
      </c>
      <c r="H7" s="241" t="inlineStr">
        <is>
          <t>4954</t>
        </is>
      </c>
      <c r="I7" s="332">
        <f>IFERROR(VLOOKUP(TEXT(H7,"0"),IPRESS!$A$3:$B$212,2,0),"")</f>
        <v/>
      </c>
      <c r="J7" s="241" t="inlineStr">
        <is>
          <t>4950</t>
        </is>
      </c>
      <c r="K7" s="332">
        <f>IFERROR(VLOOKUP(TEXT(O7,"0"),CONDUCTORES!$A$3:$G$100,7,0),"")</f>
        <v/>
      </c>
      <c r="L7" s="239" t="n">
        <v>20.25</v>
      </c>
      <c r="M7" s="239" t="n">
        <v>6</v>
      </c>
      <c r="N7" s="333">
        <f>IFERROR(IF(L7*M7=0,"",L7*M7),"")</f>
        <v/>
      </c>
      <c r="O7" s="334" t="n"/>
      <c r="P7" s="332">
        <f>IFERROR(VLOOKUP(TEXT(O7,"0"),CONDUCTORES!$A$3:$G$100,2,0),"")</f>
        <v/>
      </c>
      <c r="Q7" s="332">
        <f>IFERROR(VLOOKUP(TEXT(O7,"0"),CONDUCTORES!$A$3:$H$100,6,0),"")</f>
        <v/>
      </c>
      <c r="R7" s="280" t="inlineStr">
        <is>
          <t>ATENDIDO 01/07/2025</t>
        </is>
      </c>
      <c r="S7" s="305" t="inlineStr">
        <is>
          <t>O603</t>
        </is>
      </c>
      <c r="T7" s="335" t="inlineStr">
        <is>
          <t>APROBADO</t>
        </is>
      </c>
      <c r="U7" s="336" t="n">
        <v>45698</v>
      </c>
      <c r="V7" s="241" t="inlineStr">
        <is>
          <t>3041-2025</t>
        </is>
      </c>
      <c r="W7" s="241" t="inlineStr">
        <is>
          <t>3479.0</t>
        </is>
      </c>
      <c r="X7" s="241" t="inlineStr">
        <is>
          <t>189.0</t>
        </is>
      </c>
      <c r="Y7" s="280" t="n"/>
    </row>
    <row r="8" ht="15.75" customHeight="1" s="195">
      <c r="A8" s="301" t="n">
        <v>3</v>
      </c>
      <c r="B8" s="302" t="inlineStr">
        <is>
          <t>000000010</t>
        </is>
      </c>
      <c r="C8" s="301" t="inlineStr">
        <is>
          <t>REGION</t>
        </is>
      </c>
      <c r="D8" s="302" t="inlineStr">
        <is>
          <t>ARRUE IBERICO JUAN FRANCISCO</t>
        </is>
      </c>
      <c r="E8" s="301" t="inlineStr">
        <is>
          <t>DNI</t>
        </is>
      </c>
      <c r="F8" s="301" t="inlineStr">
        <is>
          <t>48008043</t>
        </is>
      </c>
      <c r="G8" s="331" t="n">
        <v>45688</v>
      </c>
      <c r="H8" s="301" t="inlineStr">
        <is>
          <t>4954</t>
        </is>
      </c>
      <c r="I8" s="332">
        <f>IFERROR(VLOOKUP(TEXT(H8,"0"),IPRESS!$A$3:$B$212,2,0),"")</f>
        <v/>
      </c>
      <c r="J8" s="301" t="inlineStr">
        <is>
          <t>4950</t>
        </is>
      </c>
      <c r="K8" s="332">
        <f>IFERROR(VLOOKUP(TEXT(O8,"0"),CONDUCTORES!$A$3:$G$100,7,0),"")</f>
        <v/>
      </c>
      <c r="L8" s="245" t="n">
        <v>20.25</v>
      </c>
      <c r="M8" s="245" t="n">
        <v>6</v>
      </c>
      <c r="N8" s="333">
        <f>IFERROR(IF(L8*M8=0,"",L8*M8),"")</f>
        <v/>
      </c>
      <c r="O8" s="280" t="n"/>
      <c r="P8" s="332">
        <f>IFERROR(VLOOKUP(TEXT(O8,"0"),CONDUCTORES!$A$3:$G$100,2,0),"")</f>
        <v/>
      </c>
      <c r="Q8" s="332">
        <f>IFERROR(VLOOKUP(TEXT(O8,"0"),CONDUCTORES!$A$3:$H$100,6,0),"")</f>
        <v/>
      </c>
      <c r="R8" s="334" t="inlineStr">
        <is>
          <t>ATENDIDO 01/07/2025</t>
        </is>
      </c>
      <c r="S8" s="302" t="inlineStr">
        <is>
          <t>F99X,F209</t>
        </is>
      </c>
      <c r="T8" s="301" t="n"/>
      <c r="U8" s="331" t="n">
        <v>45709</v>
      </c>
      <c r="V8" s="301" t="inlineStr">
        <is>
          <t>3041-2025</t>
        </is>
      </c>
      <c r="W8" s="301" t="inlineStr">
        <is>
          <t>3479.0</t>
        </is>
      </c>
      <c r="X8" s="301" t="inlineStr">
        <is>
          <t>189.0</t>
        </is>
      </c>
      <c r="Y8" s="280" t="n"/>
    </row>
    <row r="9" ht="15.75" customHeight="1" s="195">
      <c r="A9" s="241" t="n">
        <v>4</v>
      </c>
      <c r="B9" s="305" t="inlineStr">
        <is>
          <t>000000008</t>
        </is>
      </c>
      <c r="C9" s="241" t="inlineStr">
        <is>
          <t>REGION</t>
        </is>
      </c>
      <c r="D9" s="305" t="inlineStr">
        <is>
          <t>RIVA TRIGOSO SEGUNDO GUILLERMO</t>
        </is>
      </c>
      <c r="E9" s="241" t="inlineStr">
        <is>
          <t>DNI</t>
        </is>
      </c>
      <c r="F9" s="241" t="inlineStr">
        <is>
          <t>33950725</t>
        </is>
      </c>
      <c r="G9" s="336" t="n">
        <v>45685</v>
      </c>
      <c r="H9" s="241" t="inlineStr">
        <is>
          <t>4954</t>
        </is>
      </c>
      <c r="I9" s="332">
        <f>IFERROR(VLOOKUP(TEXT(H9,"0"),IPRESS!$A$3:$B$212,2,0),"")</f>
        <v/>
      </c>
      <c r="J9" s="241" t="inlineStr">
        <is>
          <t>4950</t>
        </is>
      </c>
      <c r="K9" s="332">
        <f>IFERROR(VLOOKUP(TEXT(O9,"0"),CONDUCTORES!$A$3:$G$100,7,0),"")</f>
        <v/>
      </c>
      <c r="L9" s="239" t="n">
        <v>20.25</v>
      </c>
      <c r="M9" s="239" t="n">
        <v>6</v>
      </c>
      <c r="N9" s="333">
        <f>IFERROR(IF(L9*M9=0,"",L9*M9),"")</f>
        <v/>
      </c>
      <c r="O9" s="334" t="n"/>
      <c r="P9" s="332">
        <f>IFERROR(VLOOKUP(TEXT(O9,"0"),CONDUCTORES!$A$3:$G$100,2,0),"")</f>
        <v/>
      </c>
      <c r="Q9" s="332">
        <f>IFERROR(VLOOKUP(TEXT(O9,"0"),CONDUCTORES!$A$3:$H$100,6,0),"")</f>
        <v/>
      </c>
      <c r="R9" s="280" t="inlineStr">
        <is>
          <t>ATENDIDO 01/07/2025</t>
        </is>
      </c>
      <c r="S9" s="305" t="inlineStr">
        <is>
          <t>S223,I939</t>
        </is>
      </c>
      <c r="T9" s="241" t="n"/>
      <c r="U9" s="336" t="n">
        <v>45721</v>
      </c>
      <c r="V9" s="241" t="inlineStr">
        <is>
          <t>3041-2025</t>
        </is>
      </c>
      <c r="W9" s="241" t="inlineStr">
        <is>
          <t>3479.0</t>
        </is>
      </c>
      <c r="X9" s="241" t="inlineStr">
        <is>
          <t>189.0</t>
        </is>
      </c>
      <c r="Y9" s="280" t="n"/>
    </row>
    <row r="10" ht="15.75" customHeight="1" s="195">
      <c r="A10" s="301" t="n">
        <v>5</v>
      </c>
      <c r="B10" s="302" t="inlineStr">
        <is>
          <t>000000002</t>
        </is>
      </c>
      <c r="C10" s="301" t="inlineStr">
        <is>
          <t>REGION</t>
        </is>
      </c>
      <c r="D10" s="302" t="inlineStr">
        <is>
          <t>TAFUR TRUJILLO ESTER</t>
        </is>
      </c>
      <c r="E10" s="301" t="inlineStr">
        <is>
          <t>DNI</t>
        </is>
      </c>
      <c r="F10" s="301" t="inlineStr">
        <is>
          <t>80695099</t>
        </is>
      </c>
      <c r="G10" s="331" t="n">
        <v>45687</v>
      </c>
      <c r="H10" s="301" t="inlineStr">
        <is>
          <t>4888</t>
        </is>
      </c>
      <c r="I10" s="332">
        <f>IFERROR(VLOOKUP(TEXT(H10,"0"),IPRESS!$A$3:$B$212,2,0),"")</f>
        <v/>
      </c>
      <c r="J10" s="301" t="inlineStr">
        <is>
          <t>4838</t>
        </is>
      </c>
      <c r="K10" s="332">
        <f>IFERROR(VLOOKUP(TEXT(O10,"0"),CONDUCTORES!$A$3:$G$100,7,0),"")</f>
        <v/>
      </c>
      <c r="L10" s="245" t="n">
        <v>18.18</v>
      </c>
      <c r="M10" s="245" t="n">
        <v>10</v>
      </c>
      <c r="N10" s="333">
        <f>IFERROR(IF(L10*M10=0,"",L10*M10),"")</f>
        <v/>
      </c>
      <c r="O10" s="280" t="n"/>
      <c r="P10" s="332">
        <f>IFERROR(VLOOKUP(TEXT(O10,"0"),CONDUCTORES!$A$3:$G$100,2,0),"")</f>
        <v/>
      </c>
      <c r="Q10" s="332">
        <f>IFERROR(VLOOKUP(TEXT(O10,"0"),CONDUCTORES!$A$3:$H$100,6,0),"")</f>
        <v/>
      </c>
      <c r="R10" s="334" t="inlineStr">
        <is>
          <t>ATENDIDO 09/10/2025</t>
        </is>
      </c>
      <c r="S10" s="302" t="inlineStr">
        <is>
          <t>A059,T784</t>
        </is>
      </c>
      <c r="T10" s="301" t="n"/>
      <c r="U10" s="331" t="n">
        <v>45721</v>
      </c>
      <c r="V10" s="301" t="n"/>
      <c r="W10" s="301" t="n"/>
      <c r="X10" s="301" t="n"/>
      <c r="Y10" s="280" t="n"/>
    </row>
    <row r="11" ht="15.75" customHeight="1" s="195">
      <c r="A11" s="241" t="n">
        <v>6</v>
      </c>
      <c r="B11" s="305" t="inlineStr">
        <is>
          <t>000000003</t>
        </is>
      </c>
      <c r="C11" s="241" t="inlineStr">
        <is>
          <t>REGION</t>
        </is>
      </c>
      <c r="D11" s="305" t="inlineStr">
        <is>
          <t>VALLE CHAVEZ ROMINA MIRSEL</t>
        </is>
      </c>
      <c r="E11" s="241" t="inlineStr">
        <is>
          <t>DNI</t>
        </is>
      </c>
      <c r="F11" s="241" t="inlineStr">
        <is>
          <t>60229576</t>
        </is>
      </c>
      <c r="G11" s="336" t="n">
        <v>45677</v>
      </c>
      <c r="H11" s="241" t="inlineStr">
        <is>
          <t>4895</t>
        </is>
      </c>
      <c r="I11" s="332">
        <f>IFERROR(VLOOKUP(TEXT(H11,"0"),IPRESS!$A$3:$B$212,2,0),"")</f>
        <v/>
      </c>
      <c r="J11" s="241" t="inlineStr">
        <is>
          <t>4838</t>
        </is>
      </c>
      <c r="K11" s="332">
        <f>IFERROR(VLOOKUP(TEXT(O11,"0"),CONDUCTORES!$A$3:$G$100,7,0),"")</f>
        <v/>
      </c>
      <c r="L11" s="239" t="n">
        <v>18.18</v>
      </c>
      <c r="M11" s="239" t="n">
        <v>8</v>
      </c>
      <c r="N11" s="333">
        <f>IFERROR(IF(L11*M11=0,"",L11*M11),"")</f>
        <v/>
      </c>
      <c r="O11" s="334" t="n"/>
      <c r="P11" s="332">
        <f>IFERROR(VLOOKUP(TEXT(O11,"0"),CONDUCTORES!$A$3:$G$100,2,0),"")</f>
        <v/>
      </c>
      <c r="Q11" s="332">
        <f>IFERROR(VLOOKUP(TEXT(O11,"0"),CONDUCTORES!$A$3:$H$100,6,0),"")</f>
        <v/>
      </c>
      <c r="R11" s="280" t="inlineStr">
        <is>
          <t>ATENDIDIO 20/06/2025</t>
        </is>
      </c>
      <c r="S11" s="305" t="inlineStr">
        <is>
          <t>O300</t>
        </is>
      </c>
      <c r="T11" s="241" t="n"/>
      <c r="U11" s="336" t="n">
        <v>45721</v>
      </c>
      <c r="V11" s="241" t="inlineStr">
        <is>
          <t>2888-2025</t>
        </is>
      </c>
      <c r="W11" s="241" t="inlineStr">
        <is>
          <t>CONTRATO N° 001-2025 DYT</t>
        </is>
      </c>
      <c r="X11" s="241" t="inlineStr">
        <is>
          <t>267.0</t>
        </is>
      </c>
      <c r="Y11" s="280" t="n"/>
    </row>
    <row r="12" ht="15.75" customHeight="1" s="195">
      <c r="A12" s="301" t="n">
        <v>7</v>
      </c>
      <c r="B12" s="302" t="inlineStr">
        <is>
          <t>00000001</t>
        </is>
      </c>
      <c r="C12" s="301" t="inlineStr">
        <is>
          <t>REGION</t>
        </is>
      </c>
      <c r="D12" s="302" t="inlineStr">
        <is>
          <t>FUENTES COLVAQUE ELIZABETH</t>
        </is>
      </c>
      <c r="E12" s="301" t="inlineStr">
        <is>
          <t>DNI</t>
        </is>
      </c>
      <c r="F12" s="301" t="inlineStr">
        <is>
          <t>74858351</t>
        </is>
      </c>
      <c r="G12" s="331" t="n">
        <v>45678</v>
      </c>
      <c r="H12" s="301" t="inlineStr">
        <is>
          <t>4873</t>
        </is>
      </c>
      <c r="I12" s="332">
        <f>IFERROR(VLOOKUP(TEXT(H12,"0"),IPRESS!$A$3:$B$212,2,0),"")</f>
        <v/>
      </c>
      <c r="J12" s="301" t="inlineStr">
        <is>
          <t>4838</t>
        </is>
      </c>
      <c r="K12" s="332">
        <f>IFERROR(VLOOKUP(TEXT(O12,"0"),CONDUCTORES!$A$3:$G$100,7,0),"")</f>
        <v/>
      </c>
      <c r="L12" s="245" t="n">
        <v>18.18</v>
      </c>
      <c r="M12" s="245" t="n">
        <v>20</v>
      </c>
      <c r="N12" s="333">
        <f>IFERROR(IF(L12*M12=0,"",L12*M12),"")</f>
        <v/>
      </c>
      <c r="O12" s="280" t="n"/>
      <c r="P12" s="332">
        <f>IFERROR(VLOOKUP(TEXT(O12,"0"),CONDUCTORES!$A$3:$G$100,2,0),"")</f>
        <v/>
      </c>
      <c r="Q12" s="332">
        <f>IFERROR(VLOOKUP(TEXT(O12,"0"),CONDUCTORES!$A$3:$H$100,6,0),"")</f>
        <v/>
      </c>
      <c r="R12" s="334" t="inlineStr">
        <is>
          <t>ATENDIDO 03-04-2025</t>
        </is>
      </c>
      <c r="S12" s="302" t="inlineStr">
        <is>
          <t>O603,O429</t>
        </is>
      </c>
      <c r="T12" s="301" t="n"/>
      <c r="U12" s="331" t="n">
        <v>45705</v>
      </c>
      <c r="V12" s="301" t="inlineStr">
        <is>
          <t>0000108-ADENDA N° 001-2025DRSA/OEA.OABAST</t>
        </is>
      </c>
      <c r="W12" s="301" t="inlineStr">
        <is>
          <t>2025.0</t>
        </is>
      </c>
      <c r="X12" s="301" t="inlineStr">
        <is>
          <t>256.0</t>
        </is>
      </c>
      <c r="Y12" s="280" t="n"/>
    </row>
    <row r="13" ht="15.75" customHeight="1" s="195">
      <c r="A13" s="241" t="n">
        <v>8</v>
      </c>
      <c r="B13" s="305" t="inlineStr">
        <is>
          <t>000000009</t>
        </is>
      </c>
      <c r="C13" s="241" t="inlineStr">
        <is>
          <t>REGION</t>
        </is>
      </c>
      <c r="D13" s="305" t="inlineStr">
        <is>
          <t>LOJA MORI CECILIA MARGUIT</t>
        </is>
      </c>
      <c r="E13" s="241" t="inlineStr">
        <is>
          <t>DNI</t>
        </is>
      </c>
      <c r="F13" s="241" t="inlineStr">
        <is>
          <t>73375465</t>
        </is>
      </c>
      <c r="G13" s="336" t="n">
        <v>45672</v>
      </c>
      <c r="H13" s="241" t="inlineStr">
        <is>
          <t>4887</t>
        </is>
      </c>
      <c r="I13" s="332">
        <f>IFERROR(VLOOKUP(TEXT(H13,"0"),IPRESS!$A$3:$B$212,2,0),"")</f>
        <v/>
      </c>
      <c r="J13" s="241" t="inlineStr">
        <is>
          <t>4838</t>
        </is>
      </c>
      <c r="K13" s="332">
        <f>IFERROR(VLOOKUP(TEXT(O13,"0"),CONDUCTORES!$A$3:$G$100,7,0),"")</f>
        <v/>
      </c>
      <c r="L13" s="239" t="n">
        <v>18.18</v>
      </c>
      <c r="M13" s="239" t="n">
        <v>10</v>
      </c>
      <c r="N13" s="333">
        <f>IFERROR(IF(L13*M13=0,"",L13*M13),"")</f>
        <v/>
      </c>
      <c r="O13" s="334" t="n"/>
      <c r="P13" s="332">
        <f>IFERROR(VLOOKUP(TEXT(O13,"0"),CONDUCTORES!$A$3:$G$100,2,0),"")</f>
        <v/>
      </c>
      <c r="Q13" s="332">
        <f>IFERROR(VLOOKUP(TEXT(O13,"0"),CONDUCTORES!$A$3:$H$100,6,0),"")</f>
        <v/>
      </c>
      <c r="R13" s="280" t="inlineStr">
        <is>
          <t>ATENDIDO 12/05/2025</t>
        </is>
      </c>
      <c r="S13" s="305" t="inlineStr">
        <is>
          <t>Z359-O629</t>
        </is>
      </c>
      <c r="T13" s="335" t="inlineStr">
        <is>
          <t>APROBADO</t>
        </is>
      </c>
      <c r="U13" s="336" t="n">
        <v>45691</v>
      </c>
      <c r="V13" s="241" t="inlineStr">
        <is>
          <t>OFICO  1937-2025</t>
        </is>
      </c>
      <c r="W13" s="241" t="inlineStr">
        <is>
          <t>0000108- ADENDA N°001-2025 DRSA/OEA-O.ABAST</t>
        </is>
      </c>
      <c r="X13" s="241" t="inlineStr">
        <is>
          <t>256.0</t>
        </is>
      </c>
      <c r="Y13" s="280" t="n"/>
    </row>
    <row r="14" ht="15.75" customHeight="1" s="195">
      <c r="A14" s="301" t="n">
        <v>9</v>
      </c>
      <c r="B14" s="302" t="inlineStr">
        <is>
          <t>000000007</t>
        </is>
      </c>
      <c r="C14" s="301" t="inlineStr">
        <is>
          <t>REGION</t>
        </is>
      </c>
      <c r="D14" s="302" t="inlineStr">
        <is>
          <t>TAFUR BAZAN EMELY ALEXANDRA</t>
        </is>
      </c>
      <c r="E14" s="301" t="inlineStr">
        <is>
          <t>DNI</t>
        </is>
      </c>
      <c r="F14" s="301" t="inlineStr">
        <is>
          <t>94059688</t>
        </is>
      </c>
      <c r="G14" s="331" t="n">
        <v>45675</v>
      </c>
      <c r="H14" s="301" t="inlineStr">
        <is>
          <t>4887</t>
        </is>
      </c>
      <c r="I14" s="332">
        <f>IFERROR(VLOOKUP(TEXT(H14,"0"),IPRESS!$A$3:$B$212,2,0),"")</f>
        <v/>
      </c>
      <c r="J14" s="301" t="inlineStr">
        <is>
          <t>4838</t>
        </is>
      </c>
      <c r="K14" s="332">
        <f>IFERROR(VLOOKUP(TEXT(O14,"0"),CONDUCTORES!$A$3:$G$100,7,0),"")</f>
        <v/>
      </c>
      <c r="L14" s="245" t="n">
        <v>18.18</v>
      </c>
      <c r="M14" s="245" t="n">
        <v>10</v>
      </c>
      <c r="N14" s="333">
        <f>IFERROR(IF(L14*M14=0,"",L14*M14),"")</f>
        <v/>
      </c>
      <c r="O14" s="280" t="n"/>
      <c r="P14" s="332">
        <f>IFERROR(VLOOKUP(TEXT(O14,"0"),CONDUCTORES!$A$3:$G$100,2,0),"")</f>
        <v/>
      </c>
      <c r="Q14" s="332">
        <f>IFERROR(VLOOKUP(TEXT(O14,"0"),CONDUCTORES!$A$3:$H$100,6,0),"")</f>
        <v/>
      </c>
      <c r="R14" s="334" t="inlineStr">
        <is>
          <t>ATENDIDO 12/05/2025</t>
        </is>
      </c>
      <c r="S14" s="302" t="inlineStr">
        <is>
          <t>R17X-A419</t>
        </is>
      </c>
      <c r="T14" s="335" t="inlineStr">
        <is>
          <t>APROBADO</t>
        </is>
      </c>
      <c r="U14" s="331" t="n">
        <v>45692</v>
      </c>
      <c r="V14" s="301" t="inlineStr">
        <is>
          <t>OFICO  1937-2025</t>
        </is>
      </c>
      <c r="W14" s="301" t="inlineStr">
        <is>
          <t>0000108- ADENDA N°001-2025 DRSA/OEA-O.ABAST</t>
        </is>
      </c>
      <c r="X14" s="301" t="inlineStr">
        <is>
          <t>256.0</t>
        </is>
      </c>
      <c r="Y14" s="280" t="n"/>
    </row>
    <row r="15" ht="15.75" customHeight="1" s="195">
      <c r="A15" s="241" t="n">
        <v>10</v>
      </c>
      <c r="B15" s="305" t="inlineStr">
        <is>
          <t>000000008</t>
        </is>
      </c>
      <c r="C15" s="241" t="inlineStr">
        <is>
          <t>REGION</t>
        </is>
      </c>
      <c r="D15" s="305" t="inlineStr">
        <is>
          <t>VALQUI DE BUSTAMANTE MARIA DIONICIA</t>
        </is>
      </c>
      <c r="E15" s="241" t="inlineStr">
        <is>
          <t>DNI</t>
        </is>
      </c>
      <c r="F15" s="241" t="inlineStr">
        <is>
          <t>33806181</t>
        </is>
      </c>
      <c r="G15" s="336" t="n">
        <v>45684</v>
      </c>
      <c r="H15" s="241" t="inlineStr">
        <is>
          <t>4887</t>
        </is>
      </c>
      <c r="I15" s="332">
        <f>IFERROR(VLOOKUP(TEXT(H15,"0"),IPRESS!$A$3:$B$212,2,0),"")</f>
        <v/>
      </c>
      <c r="J15" s="241" t="inlineStr">
        <is>
          <t>4838</t>
        </is>
      </c>
      <c r="K15" s="332">
        <f>IFERROR(VLOOKUP(TEXT(O15,"0"),CONDUCTORES!$A$3:$G$100,7,0),"")</f>
        <v/>
      </c>
      <c r="L15" s="239" t="n">
        <v>18.18</v>
      </c>
      <c r="M15" s="239" t="n">
        <v>10</v>
      </c>
      <c r="N15" s="333">
        <f>IFERROR(IF(L15*M15=0,"",L15*M15),"")</f>
        <v/>
      </c>
      <c r="O15" s="334" t="n"/>
      <c r="P15" s="332">
        <f>IFERROR(VLOOKUP(TEXT(O15,"0"),CONDUCTORES!$A$3:$G$100,2,0),"")</f>
        <v/>
      </c>
      <c r="Q15" s="332">
        <f>IFERROR(VLOOKUP(TEXT(O15,"0"),CONDUCTORES!$A$3:$H$100,6,0),"")</f>
        <v/>
      </c>
      <c r="R15" s="280" t="inlineStr">
        <is>
          <t>ATENDIDO 12/05/2025</t>
        </is>
      </c>
      <c r="S15" s="305" t="inlineStr">
        <is>
          <t>K819-R101</t>
        </is>
      </c>
      <c r="T15" s="335" t="inlineStr">
        <is>
          <t>APROBADO</t>
        </is>
      </c>
      <c r="U15" s="336" t="n">
        <v>45705</v>
      </c>
      <c r="V15" s="241" t="inlineStr">
        <is>
          <t>OFICO  1937-2025</t>
        </is>
      </c>
      <c r="W15" s="241" t="inlineStr">
        <is>
          <t>0000108- ADENDA N°001-2025 DRSA/OEA-O.ABAST</t>
        </is>
      </c>
      <c r="X15" s="241" t="inlineStr">
        <is>
          <t>256.0</t>
        </is>
      </c>
      <c r="Y15" s="280" t="n"/>
    </row>
    <row r="16" ht="15.75" customHeight="1" s="195">
      <c r="A16" s="301" t="n">
        <v>11</v>
      </c>
      <c r="B16" s="302" t="inlineStr">
        <is>
          <t>00000001</t>
        </is>
      </c>
      <c r="C16" s="301" t="inlineStr">
        <is>
          <t>REGION</t>
        </is>
      </c>
      <c r="D16" s="302" t="inlineStr">
        <is>
          <t>CHUQUIPIONDO GUAMAN YBARISTA</t>
        </is>
      </c>
      <c r="E16" s="301" t="inlineStr">
        <is>
          <t>DNI</t>
        </is>
      </c>
      <c r="F16" s="301" t="inlineStr">
        <is>
          <t>45148187</t>
        </is>
      </c>
      <c r="G16" s="331" t="n">
        <v>45680</v>
      </c>
      <c r="H16" s="301" t="inlineStr">
        <is>
          <t>4895</t>
        </is>
      </c>
      <c r="I16" s="332">
        <f>IFERROR(VLOOKUP(TEXT(H16,"0"),IPRESS!$A$3:$B$212,2,0),"")</f>
        <v/>
      </c>
      <c r="J16" s="301" t="inlineStr">
        <is>
          <t>4838</t>
        </is>
      </c>
      <c r="K16" s="332">
        <f>IFERROR(VLOOKUP(TEXT(O16,"0"),CONDUCTORES!$A$3:$G$100,7,0),"")</f>
        <v/>
      </c>
      <c r="L16" s="245" t="n">
        <v>18.18</v>
      </c>
      <c r="M16" s="245" t="n">
        <v>8</v>
      </c>
      <c r="N16" s="333">
        <f>IFERROR(IF(L16*M16=0,"",L16*M16),"")</f>
        <v/>
      </c>
      <c r="O16" s="280" t="n"/>
      <c r="P16" s="332">
        <f>IFERROR(VLOOKUP(TEXT(O16,"0"),CONDUCTORES!$A$3:$G$100,2,0),"")</f>
        <v/>
      </c>
      <c r="Q16" s="332">
        <f>IFERROR(VLOOKUP(TEXT(O16,"0"),CONDUCTORES!$A$3:$H$100,6,0),"")</f>
        <v/>
      </c>
      <c r="R16" s="334" t="inlineStr">
        <is>
          <t>ATENDIDO 13/05/2025</t>
        </is>
      </c>
      <c r="S16" s="302" t="inlineStr">
        <is>
          <t>K828</t>
        </is>
      </c>
      <c r="T16" s="335" t="inlineStr">
        <is>
          <t>APROBADO</t>
        </is>
      </c>
      <c r="U16" s="331" t="n">
        <v>45705</v>
      </c>
      <c r="V16" s="301" t="n"/>
      <c r="W16" s="301" t="n"/>
      <c r="X16" s="301" t="n"/>
      <c r="Y16" s="280" t="n"/>
    </row>
    <row r="17" ht="15.75" customHeight="1" s="195">
      <c r="A17" s="337" t="n">
        <v>12</v>
      </c>
      <c r="B17" s="338" t="inlineStr">
        <is>
          <t>000000002</t>
        </is>
      </c>
      <c r="C17" s="337" t="inlineStr">
        <is>
          <t>REGION</t>
        </is>
      </c>
      <c r="D17" s="338" t="inlineStr">
        <is>
          <t>BARDALES CHUQUIPA JOSE</t>
        </is>
      </c>
      <c r="E17" s="337" t="inlineStr">
        <is>
          <t>DNI</t>
        </is>
      </c>
      <c r="F17" s="337" t="inlineStr">
        <is>
          <t>33422417</t>
        </is>
      </c>
      <c r="G17" s="339" t="n">
        <v>45674</v>
      </c>
      <c r="H17" s="337" t="inlineStr">
        <is>
          <t>4869</t>
        </is>
      </c>
      <c r="I17" s="332">
        <f>IFERROR(VLOOKUP(TEXT(H17,"0"),IPRESS!$A$3:$B$212,2,0),"")</f>
        <v/>
      </c>
      <c r="J17" s="337" t="inlineStr">
        <is>
          <t>4838</t>
        </is>
      </c>
      <c r="K17" s="332">
        <f>IFERROR(VLOOKUP(TEXT(O17,"0"),CONDUCTORES!$A$3:$G$100,7,0),"")</f>
        <v/>
      </c>
      <c r="L17" s="340" t="n">
        <v>17.95</v>
      </c>
      <c r="M17" s="340" t="n">
        <v>8</v>
      </c>
      <c r="N17" s="333">
        <f>IFERROR(IF(L17*M17=0,"",L17*M17),"")</f>
        <v/>
      </c>
      <c r="O17" s="334" t="n"/>
      <c r="P17" s="332">
        <f>IFERROR(VLOOKUP(TEXT(O17,"0"),CONDUCTORES!$A$3:$G$100,2,0),"")</f>
        <v/>
      </c>
      <c r="Q17" s="332">
        <f>IFERROR(VLOOKUP(TEXT(O17,"0"),CONDUCTORES!$A$3:$H$100,6,0),"")</f>
        <v/>
      </c>
      <c r="R17" s="341" t="inlineStr">
        <is>
          <t>ATENDIDO 13/05/2025</t>
        </is>
      </c>
      <c r="S17" s="338" t="inlineStr">
        <is>
          <t>K922</t>
        </is>
      </c>
      <c r="T17" s="335" t="inlineStr">
        <is>
          <t>APROBADO</t>
        </is>
      </c>
      <c r="U17" s="339" t="n">
        <v>45691</v>
      </c>
      <c r="V17" s="337" t="inlineStr">
        <is>
          <t>OFICIO 1940-2025</t>
        </is>
      </c>
      <c r="W17" s="337" t="inlineStr">
        <is>
          <t>0000108- ADENDA N°001-2025 DRSA/OEA-O.ABAST</t>
        </is>
      </c>
      <c r="X17" s="337" t="inlineStr">
        <is>
          <t>257.0</t>
        </is>
      </c>
      <c r="Y17" s="280" t="n"/>
    </row>
    <row r="18" ht="15.75" customHeight="1" s="195">
      <c r="A18" s="337" t="n">
        <v>13</v>
      </c>
      <c r="B18" s="338" t="inlineStr">
        <is>
          <t>00000003</t>
        </is>
      </c>
      <c r="C18" s="337" t="inlineStr">
        <is>
          <t>REGION</t>
        </is>
      </c>
      <c r="D18" s="338" t="inlineStr">
        <is>
          <t>MONTOYA SOPLA FRANCISCO</t>
        </is>
      </c>
      <c r="E18" s="337" t="inlineStr">
        <is>
          <t>DNI</t>
        </is>
      </c>
      <c r="F18" s="337" t="inlineStr">
        <is>
          <t>33422421</t>
        </is>
      </c>
      <c r="G18" s="339" t="n">
        <v>45676</v>
      </c>
      <c r="H18" s="337" t="inlineStr">
        <is>
          <t>4869</t>
        </is>
      </c>
      <c r="I18" s="332">
        <f>IFERROR(VLOOKUP(TEXT(H18,"0"),IPRESS!$A$3:$B$212,2,0),"")</f>
        <v/>
      </c>
      <c r="J18" s="337" t="inlineStr">
        <is>
          <t>4838</t>
        </is>
      </c>
      <c r="K18" s="332">
        <f>IFERROR(VLOOKUP(TEXT(O18,"0"),CONDUCTORES!$A$3:$G$100,7,0),"")</f>
        <v/>
      </c>
      <c r="L18" s="340" t="n">
        <v>17.95</v>
      </c>
      <c r="M18" s="340" t="n">
        <v>8</v>
      </c>
      <c r="N18" s="333">
        <f>IFERROR(IF(L18*M18=0,"",L18*M18),"")</f>
        <v/>
      </c>
      <c r="O18" s="280" t="n"/>
      <c r="P18" s="332">
        <f>IFERROR(VLOOKUP(TEXT(O18,"0"),CONDUCTORES!$A$3:$G$100,2,0),"")</f>
        <v/>
      </c>
      <c r="Q18" s="332">
        <f>IFERROR(VLOOKUP(TEXT(O18,"0"),CONDUCTORES!$A$3:$H$100,6,0),"")</f>
        <v/>
      </c>
      <c r="R18" s="341" t="inlineStr">
        <is>
          <t>ATENDIDO 13/05/2025</t>
        </is>
      </c>
      <c r="S18" s="338" t="inlineStr">
        <is>
          <t>J189-J969</t>
        </is>
      </c>
      <c r="T18" s="335" t="inlineStr">
        <is>
          <t>APROBADO</t>
        </is>
      </c>
      <c r="U18" s="339" t="n">
        <v>45698</v>
      </c>
      <c r="V18" s="337" t="inlineStr">
        <is>
          <t>OFICIO 1940-2025</t>
        </is>
      </c>
      <c r="W18" s="337" t="inlineStr">
        <is>
          <t>0000108- ADENDA N°001-2025 DRSA/OEA-O.ABAST</t>
        </is>
      </c>
      <c r="X18" s="337" t="inlineStr">
        <is>
          <t>257.0</t>
        </is>
      </c>
      <c r="Y18" s="280" t="n"/>
    </row>
    <row r="19" ht="15.75" customHeight="1" s="195">
      <c r="A19" s="337" t="n">
        <v>14</v>
      </c>
      <c r="B19" s="338" t="inlineStr">
        <is>
          <t>000000004</t>
        </is>
      </c>
      <c r="C19" s="337" t="inlineStr">
        <is>
          <t>REGION</t>
        </is>
      </c>
      <c r="D19" s="338" t="inlineStr">
        <is>
          <t>SOPLA CULQUI HOMERO</t>
        </is>
      </c>
      <c r="E19" s="337" t="inlineStr">
        <is>
          <t>DNI</t>
        </is>
      </c>
      <c r="F19" s="337" t="inlineStr">
        <is>
          <t>33426435</t>
        </is>
      </c>
      <c r="G19" s="339" t="n">
        <v>45684</v>
      </c>
      <c r="H19" s="337" t="inlineStr">
        <is>
          <t>4689</t>
        </is>
      </c>
      <c r="I19" s="332">
        <f>IFERROR(VLOOKUP(TEXT(H19,"0"),IPRESS!$A$3:$B$212,2,0),"")</f>
        <v/>
      </c>
      <c r="J19" s="337" t="inlineStr">
        <is>
          <t>4838</t>
        </is>
      </c>
      <c r="K19" s="332">
        <f>IFERROR(VLOOKUP(TEXT(O19,"0"),CONDUCTORES!$A$3:$G$100,7,0),"")</f>
        <v/>
      </c>
      <c r="L19" s="340" t="n">
        <v>17.95</v>
      </c>
      <c r="M19" s="340" t="n">
        <v>8</v>
      </c>
      <c r="N19" s="333">
        <f>IFERROR(IF(L19*M19=0,"",L19*M19),"")</f>
        <v/>
      </c>
      <c r="O19" s="334" t="n"/>
      <c r="P19" s="332">
        <f>IFERROR(VLOOKUP(TEXT(O19,"0"),CONDUCTORES!$A$3:$G$100,2,0),"")</f>
        <v/>
      </c>
      <c r="Q19" s="332">
        <f>IFERROR(VLOOKUP(TEXT(O19,"0"),CONDUCTORES!$A$3:$H$100,6,0),"")</f>
        <v/>
      </c>
      <c r="R19" s="341" t="inlineStr">
        <is>
          <t>ATENDIDO 13/05/2025</t>
        </is>
      </c>
      <c r="S19" s="338" t="inlineStr">
        <is>
          <t>S029-S099</t>
        </is>
      </c>
      <c r="T19" s="335" t="inlineStr">
        <is>
          <t>APROBADO</t>
        </is>
      </c>
      <c r="U19" s="339" t="n">
        <v>45705</v>
      </c>
      <c r="V19" s="337" t="inlineStr">
        <is>
          <t>OFICIO 1940-2025</t>
        </is>
      </c>
      <c r="W19" s="337" t="inlineStr">
        <is>
          <t>0000108- ADENDA N°001-2025 DRSA/OEA-O.ABAST</t>
        </is>
      </c>
      <c r="X19" s="337" t="inlineStr">
        <is>
          <t>257.0</t>
        </is>
      </c>
      <c r="Y19" s="280" t="n"/>
    </row>
    <row r="20" ht="15.75" customHeight="1" s="195">
      <c r="A20" s="301" t="n">
        <v>15</v>
      </c>
      <c r="B20" s="302" t="inlineStr">
        <is>
          <t>00000005</t>
        </is>
      </c>
      <c r="C20" s="301" t="inlineStr">
        <is>
          <t>REGION</t>
        </is>
      </c>
      <c r="D20" s="302" t="inlineStr">
        <is>
          <t>CADENILLAS ALTAMIRANO LUZ MARITHA</t>
        </is>
      </c>
      <c r="E20" s="301" t="inlineStr">
        <is>
          <t>DNI</t>
        </is>
      </c>
      <c r="F20" s="301" t="inlineStr">
        <is>
          <t>48683561</t>
        </is>
      </c>
      <c r="G20" s="331" t="n">
        <v>45677</v>
      </c>
      <c r="H20" s="301" t="inlineStr">
        <is>
          <t>4932</t>
        </is>
      </c>
      <c r="I20" s="332">
        <f>IFERROR(VLOOKUP(TEXT(H20,"0"),IPRESS!$A$3:$B$212,2,0),"")</f>
        <v/>
      </c>
      <c r="J20" s="301" t="inlineStr">
        <is>
          <t>4838</t>
        </is>
      </c>
      <c r="K20" s="332">
        <f>IFERROR(VLOOKUP(TEXT(O20,"0"),CONDUCTORES!$A$3:$G$100,7,0),"")</f>
        <v/>
      </c>
      <c r="L20" s="245" t="n">
        <v>18.18</v>
      </c>
      <c r="M20" s="245" t="n">
        <v>8</v>
      </c>
      <c r="N20" s="333">
        <f>IFERROR(IF(L20*M20=0,"",L20*M20),"")</f>
        <v/>
      </c>
      <c r="O20" s="280" t="n"/>
      <c r="P20" s="332">
        <f>IFERROR(VLOOKUP(TEXT(O20,"0"),CONDUCTORES!$A$3:$G$100,2,0),"")</f>
        <v/>
      </c>
      <c r="Q20" s="332">
        <f>IFERROR(VLOOKUP(TEXT(O20,"0"),CONDUCTORES!$A$3:$H$100,6,0),"")</f>
        <v/>
      </c>
      <c r="R20" s="334" t="inlineStr">
        <is>
          <t>ATENDIDO 13/05/2025</t>
        </is>
      </c>
      <c r="S20" s="302" t="inlineStr">
        <is>
          <t>Z359-O639-O234</t>
        </is>
      </c>
      <c r="T20" s="335" t="inlineStr">
        <is>
          <t>APROBADO</t>
        </is>
      </c>
      <c r="U20" s="331" t="n">
        <v>45698</v>
      </c>
      <c r="V20" s="301" t="inlineStr">
        <is>
          <t>OFICIO 1957-2025</t>
        </is>
      </c>
      <c r="W20" s="301" t="inlineStr">
        <is>
          <t>0000108- ADENDA N°001-2025 DRSA/OEA-O.ABAST</t>
        </is>
      </c>
      <c r="X20" s="301" t="inlineStr">
        <is>
          <t>256.0</t>
        </is>
      </c>
      <c r="Y20" s="280" t="n"/>
    </row>
    <row r="21" ht="15.75" customHeight="1" s="195">
      <c r="A21" s="241" t="n">
        <v>16</v>
      </c>
      <c r="B21" s="305" t="inlineStr">
        <is>
          <t>00000006</t>
        </is>
      </c>
      <c r="C21" s="241" t="inlineStr">
        <is>
          <t>REGION</t>
        </is>
      </c>
      <c r="D21" s="305" t="inlineStr">
        <is>
          <t>ACUÑA MORALES YANALI</t>
        </is>
      </c>
      <c r="E21" s="241" t="inlineStr">
        <is>
          <t>DNI</t>
        </is>
      </c>
      <c r="F21" s="241" t="inlineStr">
        <is>
          <t>60374095</t>
        </is>
      </c>
      <c r="G21" s="336" t="n">
        <v>45679</v>
      </c>
      <c r="H21" s="241" t="inlineStr">
        <is>
          <t>4932</t>
        </is>
      </c>
      <c r="I21" s="332">
        <f>IFERROR(VLOOKUP(TEXT(H21,"0"),IPRESS!$A$3:$B$212,2,0),"")</f>
        <v/>
      </c>
      <c r="J21" s="241" t="inlineStr">
        <is>
          <t>4838</t>
        </is>
      </c>
      <c r="K21" s="332">
        <f>IFERROR(VLOOKUP(TEXT(O21,"0"),CONDUCTORES!$A$3:$G$100,7,0),"")</f>
        <v/>
      </c>
      <c r="L21" s="239" t="n">
        <v>18.18</v>
      </c>
      <c r="M21" s="239" t="n">
        <v>8</v>
      </c>
      <c r="N21" s="333">
        <f>IFERROR(IF(L21*M21=0,"",L21*M21),"")</f>
        <v/>
      </c>
      <c r="O21" s="334" t="n"/>
      <c r="P21" s="332">
        <f>IFERROR(VLOOKUP(TEXT(O21,"0"),CONDUCTORES!$A$3:$G$100,2,0),"")</f>
        <v/>
      </c>
      <c r="Q21" s="332">
        <f>IFERROR(VLOOKUP(TEXT(O21,"0"),CONDUCTORES!$A$3:$H$100,6,0),"")</f>
        <v/>
      </c>
      <c r="R21" s="280" t="inlineStr">
        <is>
          <t>ATENDIDO 13/05/2025</t>
        </is>
      </c>
      <c r="S21" s="305" t="inlineStr">
        <is>
          <t>O651-O324-Z359</t>
        </is>
      </c>
      <c r="T21" s="335" t="inlineStr">
        <is>
          <t>APROBADO</t>
        </is>
      </c>
      <c r="U21" s="336" t="n">
        <v>45698</v>
      </c>
      <c r="V21" s="241" t="inlineStr">
        <is>
          <t>OFICIO 1957-2025</t>
        </is>
      </c>
      <c r="W21" s="241" t="inlineStr">
        <is>
          <t>0000108- ADENDA N°001-2025 DRSA/OEA-O.ABAST</t>
        </is>
      </c>
      <c r="X21" s="241" t="inlineStr">
        <is>
          <t>256.0</t>
        </is>
      </c>
      <c r="Y21" s="280" t="n"/>
    </row>
    <row r="22" ht="15.75" customHeight="1" s="195">
      <c r="A22" s="301" t="n">
        <v>17</v>
      </c>
      <c r="B22" s="302" t="inlineStr">
        <is>
          <t>00000009</t>
        </is>
      </c>
      <c r="C22" s="301" t="inlineStr">
        <is>
          <t>REGION</t>
        </is>
      </c>
      <c r="D22" s="302" t="inlineStr">
        <is>
          <t>YNGA ARCE ASUNTA</t>
        </is>
      </c>
      <c r="E22" s="301" t="inlineStr">
        <is>
          <t>DNI</t>
        </is>
      </c>
      <c r="F22" s="301" t="inlineStr">
        <is>
          <t>42056399</t>
        </is>
      </c>
      <c r="G22" s="331" t="n">
        <v>45682</v>
      </c>
      <c r="H22" s="301" t="inlineStr">
        <is>
          <t>4932</t>
        </is>
      </c>
      <c r="I22" s="332">
        <f>IFERROR(VLOOKUP(TEXT(H22,"0"),IPRESS!$A$3:$B$212,2,0),"")</f>
        <v/>
      </c>
      <c r="J22" s="301" t="inlineStr">
        <is>
          <t>4838</t>
        </is>
      </c>
      <c r="K22" s="332">
        <f>IFERROR(VLOOKUP(TEXT(O22,"0"),CONDUCTORES!$A$3:$G$100,7,0),"")</f>
        <v/>
      </c>
      <c r="L22" s="245" t="n">
        <v>18.18</v>
      </c>
      <c r="M22" s="245" t="n">
        <v>8</v>
      </c>
      <c r="N22" s="333">
        <f>IFERROR(IF(L22*M22=0,"",L22*M22),"")</f>
        <v/>
      </c>
      <c r="O22" s="280" t="n"/>
      <c r="P22" s="332">
        <f>IFERROR(VLOOKUP(TEXT(O22,"0"),CONDUCTORES!$A$3:$G$100,2,0),"")</f>
        <v/>
      </c>
      <c r="Q22" s="332">
        <f>IFERROR(VLOOKUP(TEXT(O22,"0"),CONDUCTORES!$A$3:$H$100,6,0),"")</f>
        <v/>
      </c>
      <c r="R22" s="334" t="inlineStr">
        <is>
          <t>ATENDIDO 13/05/2025</t>
        </is>
      </c>
      <c r="S22" s="302" t="inlineStr">
        <is>
          <t>O60X</t>
        </is>
      </c>
      <c r="T22" s="335" t="inlineStr">
        <is>
          <t>APROBADO</t>
        </is>
      </c>
      <c r="U22" s="331" t="n">
        <v>45705</v>
      </c>
      <c r="V22" s="301" t="inlineStr">
        <is>
          <t>OFICIO 1957-2025</t>
        </is>
      </c>
      <c r="W22" s="301" t="inlineStr">
        <is>
          <t>0000108- ADENDA N°001-2025 DRSA/OEA-O.ABAST</t>
        </is>
      </c>
      <c r="X22" s="301" t="inlineStr">
        <is>
          <t>256.0</t>
        </is>
      </c>
      <c r="Y22" s="280" t="n"/>
    </row>
    <row r="23" ht="15.75" customHeight="1" s="195">
      <c r="A23" s="241" t="n">
        <v>18</v>
      </c>
      <c r="B23" s="305" t="inlineStr">
        <is>
          <t>00000007</t>
        </is>
      </c>
      <c r="C23" s="241" t="inlineStr">
        <is>
          <t>REGION</t>
        </is>
      </c>
      <c r="D23" s="305" t="inlineStr">
        <is>
          <t>CERDAN ZAMORA CLEOTILDE</t>
        </is>
      </c>
      <c r="E23" s="241" t="inlineStr">
        <is>
          <t>DNI</t>
        </is>
      </c>
      <c r="F23" s="241" t="inlineStr">
        <is>
          <t>27564431</t>
        </is>
      </c>
      <c r="G23" s="336" t="n">
        <v>45669</v>
      </c>
      <c r="H23" s="241" t="inlineStr">
        <is>
          <t>4932</t>
        </is>
      </c>
      <c r="I23" s="332">
        <f>IFERROR(VLOOKUP(TEXT(H23,"0"),IPRESS!$A$3:$B$212,2,0),"")</f>
        <v/>
      </c>
      <c r="J23" s="241" t="inlineStr">
        <is>
          <t>4838</t>
        </is>
      </c>
      <c r="K23" s="332">
        <f>IFERROR(VLOOKUP(TEXT(O23,"0"),CONDUCTORES!$A$3:$G$100,7,0),"")</f>
        <v/>
      </c>
      <c r="L23" s="239" t="n">
        <v>18.18</v>
      </c>
      <c r="M23" s="239" t="n">
        <v>8</v>
      </c>
      <c r="N23" s="333">
        <f>IFERROR(IF(L23*M23=0,"",L23*M23),"")</f>
        <v/>
      </c>
      <c r="O23" s="334" t="n"/>
      <c r="P23" s="332">
        <f>IFERROR(VLOOKUP(TEXT(O23,"0"),CONDUCTORES!$A$3:$G$100,2,0),"")</f>
        <v/>
      </c>
      <c r="Q23" s="332">
        <f>IFERROR(VLOOKUP(TEXT(O23,"0"),CONDUCTORES!$A$3:$H$100,6,0),"")</f>
        <v/>
      </c>
      <c r="R23" s="280" t="inlineStr">
        <is>
          <t>ATENDIDO 13/05/2025</t>
        </is>
      </c>
      <c r="S23" s="305" t="inlineStr">
        <is>
          <t>R104-K830</t>
        </is>
      </c>
      <c r="T23" s="335" t="inlineStr">
        <is>
          <t>APROBADO</t>
        </is>
      </c>
      <c r="U23" s="336" t="n">
        <v>45705</v>
      </c>
      <c r="V23" s="241" t="inlineStr">
        <is>
          <t>OFICIO 1957-2025</t>
        </is>
      </c>
      <c r="W23" s="241" t="inlineStr">
        <is>
          <t>0000108- ADENDA N°001-2025 DRSA/OEA-O.ABAST</t>
        </is>
      </c>
      <c r="X23" s="241" t="inlineStr">
        <is>
          <t>256.0</t>
        </is>
      </c>
      <c r="Y23" s="280" t="n"/>
    </row>
    <row r="24" ht="15.75" customHeight="1" s="195">
      <c r="A24" s="301" t="n">
        <v>19</v>
      </c>
      <c r="B24" s="302" t="inlineStr">
        <is>
          <t>00000008</t>
        </is>
      </c>
      <c r="C24" s="301" t="inlineStr">
        <is>
          <t>REGION</t>
        </is>
      </c>
      <c r="D24" s="302" t="inlineStr">
        <is>
          <t>CASTILLO QUIROZ AYLEN ALEXANDRA</t>
        </is>
      </c>
      <c r="E24" s="301" t="inlineStr">
        <is>
          <t>DNI</t>
        </is>
      </c>
      <c r="F24" s="301" t="inlineStr">
        <is>
          <t>78227119</t>
        </is>
      </c>
      <c r="G24" s="331" t="n">
        <v>45681</v>
      </c>
      <c r="H24" s="301" t="inlineStr">
        <is>
          <t>4932</t>
        </is>
      </c>
      <c r="I24" s="332">
        <f>IFERROR(VLOOKUP(TEXT(H24,"0"),IPRESS!$A$3:$B$212,2,0),"")</f>
        <v/>
      </c>
      <c r="J24" s="301" t="inlineStr">
        <is>
          <t>4838</t>
        </is>
      </c>
      <c r="K24" s="332">
        <f>IFERROR(VLOOKUP(TEXT(O24,"0"),CONDUCTORES!$A$3:$G$100,7,0),"")</f>
        <v/>
      </c>
      <c r="L24" s="245" t="n">
        <v>18.18</v>
      </c>
      <c r="M24" s="245" t="n">
        <v>8</v>
      </c>
      <c r="N24" s="333">
        <f>IFERROR(IF(L24*M24=0,"",L24*M24),"")</f>
        <v/>
      </c>
      <c r="O24" s="280" t="n"/>
      <c r="P24" s="332">
        <f>IFERROR(VLOOKUP(TEXT(O24,"0"),CONDUCTORES!$A$3:$G$100,2,0),"")</f>
        <v/>
      </c>
      <c r="Q24" s="332">
        <f>IFERROR(VLOOKUP(TEXT(O24,"0"),CONDUCTORES!$A$3:$H$100,6,0),"")</f>
        <v/>
      </c>
      <c r="R24" s="334" t="inlineStr">
        <is>
          <t>ATENDIDO 13/05/2025</t>
        </is>
      </c>
      <c r="S24" s="302" t="inlineStr">
        <is>
          <t>K37X</t>
        </is>
      </c>
      <c r="T24" s="335" t="inlineStr">
        <is>
          <t>APROBADO</t>
        </is>
      </c>
      <c r="U24" s="331" t="n">
        <v>45705</v>
      </c>
      <c r="V24" s="301" t="inlineStr">
        <is>
          <t>OFICIO 1957-2025</t>
        </is>
      </c>
      <c r="W24" s="301" t="inlineStr">
        <is>
          <t>0000108- ADENDA N°001-2025 DRSA/OEA-O.ABAST</t>
        </is>
      </c>
      <c r="X24" s="301" t="inlineStr">
        <is>
          <t>256.0</t>
        </is>
      </c>
      <c r="Y24" s="280" t="n"/>
    </row>
    <row r="25" ht="15.75" customHeight="1" s="195">
      <c r="A25" s="241" t="n">
        <v>20</v>
      </c>
      <c r="B25" s="305" t="inlineStr">
        <is>
          <t>000000010</t>
        </is>
      </c>
      <c r="C25" s="241" t="inlineStr">
        <is>
          <t>REGION</t>
        </is>
      </c>
      <c r="D25" s="305" t="inlineStr">
        <is>
          <t>ALTAMIRANO SANCHEZ PATROCINIA</t>
        </is>
      </c>
      <c r="E25" s="241" t="inlineStr">
        <is>
          <t>DNI</t>
        </is>
      </c>
      <c r="F25" s="241" t="inlineStr">
        <is>
          <t>80250474</t>
        </is>
      </c>
      <c r="G25" s="336" t="n">
        <v>45687</v>
      </c>
      <c r="H25" s="241" t="inlineStr">
        <is>
          <t>4932</t>
        </is>
      </c>
      <c r="I25" s="332">
        <f>IFERROR(VLOOKUP(TEXT(H25,"0"),IPRESS!$A$3:$B$212,2,0),"")</f>
        <v/>
      </c>
      <c r="J25" s="241" t="inlineStr">
        <is>
          <t>4838</t>
        </is>
      </c>
      <c r="K25" s="332">
        <f>IFERROR(VLOOKUP(TEXT(O25,"0"),CONDUCTORES!$A$3:$G$100,7,0),"")</f>
        <v/>
      </c>
      <c r="L25" s="239" t="n">
        <v>18.18</v>
      </c>
      <c r="M25" s="239" t="n">
        <v>8</v>
      </c>
      <c r="N25" s="333">
        <f>IFERROR(IF(L25*M25=0,"",L25*M25),"")</f>
        <v/>
      </c>
      <c r="O25" s="334" t="n"/>
      <c r="P25" s="332">
        <f>IFERROR(VLOOKUP(TEXT(O25,"0"),CONDUCTORES!$A$3:$G$100,2,0),"")</f>
        <v/>
      </c>
      <c r="Q25" s="332">
        <f>IFERROR(VLOOKUP(TEXT(O25,"0"),CONDUCTORES!$A$3:$H$100,6,0),"")</f>
        <v/>
      </c>
      <c r="R25" s="280" t="inlineStr">
        <is>
          <t>ATENDIDO 13/05/2025</t>
        </is>
      </c>
      <c r="S25" s="305" t="inlineStr">
        <is>
          <t>N111,E119,N739,K830,K359</t>
        </is>
      </c>
      <c r="T25" s="241" t="n"/>
      <c r="U25" s="336" t="n">
        <v>45721</v>
      </c>
      <c r="V25" s="241" t="inlineStr">
        <is>
          <t>OFICIO 1957-2025</t>
        </is>
      </c>
      <c r="W25" s="241" t="inlineStr">
        <is>
          <t>0000108- ADENDA N°001-2025 DRSA/OEA-O.ABAST</t>
        </is>
      </c>
      <c r="X25" s="241" t="inlineStr">
        <is>
          <t>256.0</t>
        </is>
      </c>
      <c r="Y25" s="280" t="n"/>
    </row>
    <row r="26" ht="15.75" customHeight="1" s="195">
      <c r="A26" s="301" t="n">
        <v>21</v>
      </c>
      <c r="B26" s="302" t="inlineStr">
        <is>
          <t>00000001</t>
        </is>
      </c>
      <c r="C26" s="301" t="inlineStr">
        <is>
          <t>REGION</t>
        </is>
      </c>
      <c r="D26" s="302" t="inlineStr">
        <is>
          <t>CASTREJON HIDALGO MELANY ARIANA</t>
        </is>
      </c>
      <c r="E26" s="301" t="inlineStr">
        <is>
          <t>DNI</t>
        </is>
      </c>
      <c r="F26" s="301" t="inlineStr">
        <is>
          <t>63396718</t>
        </is>
      </c>
      <c r="G26" s="331" t="n">
        <v>45680</v>
      </c>
      <c r="H26" s="301" t="inlineStr">
        <is>
          <t>4903</t>
        </is>
      </c>
      <c r="I26" s="332">
        <f>IFERROR(VLOOKUP(TEXT(H26,"0"),IPRESS!$A$3:$B$212,2,0),"")</f>
        <v/>
      </c>
      <c r="J26" s="301" t="inlineStr">
        <is>
          <t>4838</t>
        </is>
      </c>
      <c r="K26" s="332">
        <f>IFERROR(VLOOKUP(TEXT(O26,"0"),CONDUCTORES!$A$3:$G$100,7,0),"")</f>
        <v/>
      </c>
      <c r="L26" s="245" t="n">
        <v>18.18</v>
      </c>
      <c r="M26" s="245" t="n">
        <v>5</v>
      </c>
      <c r="N26" s="333">
        <f>IFERROR(IF(L26*M26=0,"",L26*M26),"")</f>
        <v/>
      </c>
      <c r="O26" s="280" t="n"/>
      <c r="P26" s="332">
        <f>IFERROR(VLOOKUP(TEXT(O26,"0"),CONDUCTORES!$A$3:$G$100,2,0),"")</f>
        <v/>
      </c>
      <c r="Q26" s="332">
        <f>IFERROR(VLOOKUP(TEXT(O26,"0"),CONDUCTORES!$A$3:$H$100,6,0),"")</f>
        <v/>
      </c>
      <c r="R26" s="334" t="inlineStr">
        <is>
          <t>ATENDIDO 14/05/2025</t>
        </is>
      </c>
      <c r="S26" s="302" t="inlineStr">
        <is>
          <t>G510</t>
        </is>
      </c>
      <c r="T26" s="335" t="inlineStr">
        <is>
          <t>APROBADO</t>
        </is>
      </c>
      <c r="U26" s="331" t="n">
        <v>45698</v>
      </c>
      <c r="V26" s="301" t="n"/>
      <c r="W26" s="301" t="inlineStr">
        <is>
          <t>0000108- ADENDA N°001-2025 DRSA/OEA-O.ABAST</t>
        </is>
      </c>
      <c r="X26" s="301" t="inlineStr">
        <is>
          <t>256.0</t>
        </is>
      </c>
      <c r="Y26" s="280" t="n"/>
    </row>
    <row r="27" ht="15.75" customHeight="1" s="195">
      <c r="A27" s="241" t="n">
        <v>22</v>
      </c>
      <c r="B27" s="305" t="inlineStr">
        <is>
          <t>000000002</t>
        </is>
      </c>
      <c r="C27" s="241" t="inlineStr">
        <is>
          <t>REGION</t>
        </is>
      </c>
      <c r="D27" s="305" t="inlineStr">
        <is>
          <t>RAMIREZ RAMOS JUSTINIANO</t>
        </is>
      </c>
      <c r="E27" s="241" t="inlineStr">
        <is>
          <t>DNI</t>
        </is>
      </c>
      <c r="F27" s="241" t="inlineStr">
        <is>
          <t>1028346</t>
        </is>
      </c>
      <c r="G27" s="336" t="n">
        <v>45667</v>
      </c>
      <c r="H27" s="241" t="inlineStr">
        <is>
          <t>4903</t>
        </is>
      </c>
      <c r="I27" s="332">
        <f>IFERROR(VLOOKUP(TEXT(H27,"0"),IPRESS!$A$3:$B$212,2,0),"")</f>
        <v/>
      </c>
      <c r="J27" s="241" t="inlineStr">
        <is>
          <t>4838</t>
        </is>
      </c>
      <c r="K27" s="332">
        <f>IFERROR(VLOOKUP(TEXT(O27,"0"),CONDUCTORES!$A$3:$G$100,7,0),"")</f>
        <v/>
      </c>
      <c r="L27" s="239" t="n">
        <v>18.18</v>
      </c>
      <c r="M27" s="239" t="n">
        <v>5</v>
      </c>
      <c r="N27" s="333">
        <f>IFERROR(IF(L27*M27=0,"",L27*M27),"")</f>
        <v/>
      </c>
      <c r="O27" s="334" t="n"/>
      <c r="P27" s="332">
        <f>IFERROR(VLOOKUP(TEXT(O27,"0"),CONDUCTORES!$A$3:$G$100,2,0),"")</f>
        <v/>
      </c>
      <c r="Q27" s="332">
        <f>IFERROR(VLOOKUP(TEXT(O27,"0"),CONDUCTORES!$A$3:$H$100,6,0),"")</f>
        <v/>
      </c>
      <c r="R27" s="280" t="inlineStr">
        <is>
          <t>ATENDIDO 14/05/2025</t>
        </is>
      </c>
      <c r="S27" s="305" t="inlineStr">
        <is>
          <t>S373-R31X-R33X</t>
        </is>
      </c>
      <c r="T27" s="335" t="inlineStr">
        <is>
          <t>APROBADO</t>
        </is>
      </c>
      <c r="U27" s="336" t="n">
        <v>45705</v>
      </c>
      <c r="V27" s="241" t="n"/>
      <c r="W27" s="241" t="inlineStr">
        <is>
          <t>0000108- ADENDA N°001-2025 DRSA/OEA-O.ABAST</t>
        </is>
      </c>
      <c r="X27" s="241" t="inlineStr">
        <is>
          <t>256.0</t>
        </is>
      </c>
      <c r="Y27" s="280" t="n"/>
    </row>
    <row r="28" ht="15.75" customHeight="1" s="195">
      <c r="A28" s="301" t="n">
        <v>23</v>
      </c>
      <c r="B28" s="302" t="inlineStr">
        <is>
          <t>000000003</t>
        </is>
      </c>
      <c r="C28" s="301" t="inlineStr">
        <is>
          <t>REGION</t>
        </is>
      </c>
      <c r="D28" s="302" t="inlineStr">
        <is>
          <t>HORNA CHAVEZ AMADO ALADINO</t>
        </is>
      </c>
      <c r="E28" s="301" t="inlineStr">
        <is>
          <t>DNI</t>
        </is>
      </c>
      <c r="F28" s="301" t="inlineStr">
        <is>
          <t>33807660</t>
        </is>
      </c>
      <c r="G28" s="331" t="n">
        <v>45673</v>
      </c>
      <c r="H28" s="301" t="inlineStr">
        <is>
          <t>4903</t>
        </is>
      </c>
      <c r="I28" s="332">
        <f>IFERROR(VLOOKUP(TEXT(H28,"0"),IPRESS!$A$3:$B$212,2,0),"")</f>
        <v/>
      </c>
      <c r="J28" s="301" t="inlineStr">
        <is>
          <t>4838</t>
        </is>
      </c>
      <c r="K28" s="332">
        <f>IFERROR(VLOOKUP(TEXT(O28,"0"),CONDUCTORES!$A$3:$G$100,7,0),"")</f>
        <v/>
      </c>
      <c r="L28" s="245" t="n">
        <v>18.18</v>
      </c>
      <c r="M28" s="245" t="n">
        <v>5</v>
      </c>
      <c r="N28" s="333">
        <f>IFERROR(IF(L28*M28=0,"",L28*M28),"")</f>
        <v/>
      </c>
      <c r="O28" s="280" t="n"/>
      <c r="P28" s="332">
        <f>IFERROR(VLOOKUP(TEXT(O28,"0"),CONDUCTORES!$A$3:$G$100,2,0),"")</f>
        <v/>
      </c>
      <c r="Q28" s="332">
        <f>IFERROR(VLOOKUP(TEXT(O28,"0"),CONDUCTORES!$A$3:$H$100,6,0),"")</f>
        <v/>
      </c>
      <c r="R28" s="334" t="inlineStr">
        <is>
          <t>ATENDIDO 14/05/2025</t>
        </is>
      </c>
      <c r="S28" s="302" t="inlineStr">
        <is>
          <t>S681</t>
        </is>
      </c>
      <c r="T28" s="301" t="n"/>
      <c r="U28" s="331" t="n">
        <v>45721</v>
      </c>
      <c r="V28" s="301" t="n"/>
      <c r="W28" s="301" t="inlineStr">
        <is>
          <t>0000108- ADENDA N°001-2025 DRSA/OEA-O.ABAST</t>
        </is>
      </c>
      <c r="X28" s="301" t="inlineStr">
        <is>
          <t>256.0</t>
        </is>
      </c>
      <c r="Y28" s="280" t="n"/>
    </row>
    <row r="29" ht="15.75" customHeight="1" s="195">
      <c r="A29" s="241" t="n">
        <v>24</v>
      </c>
      <c r="B29" s="305" t="inlineStr">
        <is>
          <t>000000006</t>
        </is>
      </c>
      <c r="C29" s="241" t="inlineStr">
        <is>
          <t>REGION</t>
        </is>
      </c>
      <c r="D29" s="305" t="inlineStr">
        <is>
          <t>VALLEJOS ZUTA MILIAN</t>
        </is>
      </c>
      <c r="E29" s="241" t="inlineStr">
        <is>
          <t>DNI</t>
        </is>
      </c>
      <c r="F29" s="241" t="inlineStr">
        <is>
          <t>73592967</t>
        </is>
      </c>
      <c r="G29" s="336" t="n">
        <v>45662</v>
      </c>
      <c r="H29" s="241" t="inlineStr">
        <is>
          <t>4850</t>
        </is>
      </c>
      <c r="I29" s="332">
        <f>IFERROR(VLOOKUP(TEXT(H29,"0"),IPRESS!$A$3:$B$212,2,0),"")</f>
        <v/>
      </c>
      <c r="J29" s="241" t="inlineStr">
        <is>
          <t>4838</t>
        </is>
      </c>
      <c r="K29" s="332">
        <f>IFERROR(VLOOKUP(TEXT(O29,"0"),CONDUCTORES!$A$3:$G$100,7,0),"")</f>
        <v/>
      </c>
      <c r="L29" s="239" t="n">
        <v>18.18</v>
      </c>
      <c r="M29" s="239" t="n">
        <v>4</v>
      </c>
      <c r="N29" s="333">
        <f>IFERROR(IF(L29*M29=0,"",L29*M29),"")</f>
        <v/>
      </c>
      <c r="O29" s="334" t="n"/>
      <c r="P29" s="332">
        <f>IFERROR(VLOOKUP(TEXT(O29,"0"),CONDUCTORES!$A$3:$G$100,2,0),"")</f>
        <v/>
      </c>
      <c r="Q29" s="332">
        <f>IFERROR(VLOOKUP(TEXT(O29,"0"),CONDUCTORES!$A$3:$H$100,6,0),"")</f>
        <v/>
      </c>
      <c r="R29" s="280" t="inlineStr">
        <is>
          <t>ATENDIDO 16/05/2025</t>
        </is>
      </c>
      <c r="S29" s="305" t="inlineStr">
        <is>
          <t>F103</t>
        </is>
      </c>
      <c r="T29" s="335" t="inlineStr">
        <is>
          <t>APROBADO</t>
        </is>
      </c>
      <c r="U29" s="336" t="n">
        <v>45691</v>
      </c>
      <c r="V29" s="241" t="n"/>
      <c r="W29" s="241" t="inlineStr">
        <is>
          <t>0000108- ADENDA N°001-2025 DRSA/OEA-O.ABAST</t>
        </is>
      </c>
      <c r="X29" s="241" t="inlineStr">
        <is>
          <t>256.0</t>
        </is>
      </c>
      <c r="Y29" s="280" t="n"/>
    </row>
    <row r="30" ht="15.75" customHeight="1" s="195">
      <c r="A30" s="301" t="n">
        <v>25</v>
      </c>
      <c r="B30" s="302" t="inlineStr">
        <is>
          <t>00000011</t>
        </is>
      </c>
      <c r="C30" s="301" t="inlineStr">
        <is>
          <t>REGION</t>
        </is>
      </c>
      <c r="D30" s="302" t="inlineStr">
        <is>
          <t>FERNANDEZ POQUIS MAYELIT ISABEL</t>
        </is>
      </c>
      <c r="E30" s="301" t="inlineStr">
        <is>
          <t>DNI</t>
        </is>
      </c>
      <c r="F30" s="301" t="inlineStr">
        <is>
          <t>75482623</t>
        </is>
      </c>
      <c r="G30" s="331" t="n">
        <v>45683</v>
      </c>
      <c r="H30" s="301" t="inlineStr">
        <is>
          <t>4850</t>
        </is>
      </c>
      <c r="I30" s="332">
        <f>IFERROR(VLOOKUP(TEXT(H30,"0"),IPRESS!$A$3:$B$212,2,0),"")</f>
        <v/>
      </c>
      <c r="J30" s="301" t="inlineStr">
        <is>
          <t>4838</t>
        </is>
      </c>
      <c r="K30" s="332">
        <f>IFERROR(VLOOKUP(TEXT(O30,"0"),CONDUCTORES!$A$3:$G$100,7,0),"")</f>
        <v/>
      </c>
      <c r="L30" s="245" t="n">
        <v>18.18</v>
      </c>
      <c r="M30" s="245" t="n">
        <v>4</v>
      </c>
      <c r="N30" s="333">
        <f>IFERROR(IF(L30*M30=0,"",L30*M30),"")</f>
        <v/>
      </c>
      <c r="O30" s="280" t="n"/>
      <c r="P30" s="332">
        <f>IFERROR(VLOOKUP(TEXT(O30,"0"),CONDUCTORES!$A$3:$G$100,2,0),"")</f>
        <v/>
      </c>
      <c r="Q30" s="332">
        <f>IFERROR(VLOOKUP(TEXT(O30,"0"),CONDUCTORES!$A$3:$H$100,6,0),"")</f>
        <v/>
      </c>
      <c r="R30" s="334" t="inlineStr">
        <is>
          <t>ATENDIDO 16/05/2025</t>
        </is>
      </c>
      <c r="S30" s="302" t="inlineStr">
        <is>
          <t>Z359-O623-O234</t>
        </is>
      </c>
      <c r="T30" s="335" t="inlineStr">
        <is>
          <t>APROBADO</t>
        </is>
      </c>
      <c r="U30" s="331" t="n">
        <v>45705</v>
      </c>
      <c r="V30" s="301" t="n"/>
      <c r="W30" s="301" t="inlineStr">
        <is>
          <t>0000108- ADENDA N°001-2025 DRSA/OEA-O.ABAST</t>
        </is>
      </c>
      <c r="X30" s="301" t="inlineStr">
        <is>
          <t>256.0</t>
        </is>
      </c>
      <c r="Y30" s="280" t="n"/>
    </row>
    <row r="31" ht="15.75" customHeight="1" s="195">
      <c r="A31" s="241" t="n">
        <v>26</v>
      </c>
      <c r="B31" s="305" t="inlineStr">
        <is>
          <t>00000007</t>
        </is>
      </c>
      <c r="C31" s="241" t="inlineStr">
        <is>
          <t>REGION</t>
        </is>
      </c>
      <c r="D31" s="305" t="inlineStr">
        <is>
          <t>SANCHEZ PISCO DIANA ELIZABETH</t>
        </is>
      </c>
      <c r="E31" s="241" t="inlineStr">
        <is>
          <t>DNI</t>
        </is>
      </c>
      <c r="F31" s="241" t="inlineStr">
        <is>
          <t>75977944</t>
        </is>
      </c>
      <c r="G31" s="336" t="n">
        <v>45669</v>
      </c>
      <c r="H31" s="241" t="inlineStr">
        <is>
          <t>4850</t>
        </is>
      </c>
      <c r="I31" s="332">
        <f>IFERROR(VLOOKUP(TEXT(H31,"0"),IPRESS!$A$3:$B$212,2,0),"")</f>
        <v/>
      </c>
      <c r="J31" s="241" t="inlineStr">
        <is>
          <t>4838</t>
        </is>
      </c>
      <c r="K31" s="332">
        <f>IFERROR(VLOOKUP(TEXT(O31,"0"),CONDUCTORES!$A$3:$G$100,7,0),"")</f>
        <v/>
      </c>
      <c r="L31" s="239" t="n">
        <v>18.18</v>
      </c>
      <c r="M31" s="239" t="n">
        <v>4</v>
      </c>
      <c r="N31" s="333">
        <f>IFERROR(IF(L31*M31=0,"",L31*M31),"")</f>
        <v/>
      </c>
      <c r="O31" s="334" t="n"/>
      <c r="P31" s="332">
        <f>IFERROR(VLOOKUP(TEXT(O31,"0"),CONDUCTORES!$A$3:$G$100,2,0),"")</f>
        <v/>
      </c>
      <c r="Q31" s="332">
        <f>IFERROR(VLOOKUP(TEXT(O31,"0"),CONDUCTORES!$A$3:$H$100,6,0),"")</f>
        <v/>
      </c>
      <c r="R31" s="280" t="inlineStr">
        <is>
          <t>ATENDIDO 16/05/2025</t>
        </is>
      </c>
      <c r="S31" s="305" t="inlineStr">
        <is>
          <t>R104-K359-K810</t>
        </is>
      </c>
      <c r="T31" s="335" t="inlineStr">
        <is>
          <t>APROBADO</t>
        </is>
      </c>
      <c r="U31" s="336" t="n">
        <v>45705</v>
      </c>
      <c r="V31" s="241" t="n"/>
      <c r="W31" s="241" t="inlineStr">
        <is>
          <t>0000108- ADENDA N°001-2025 DRSA/OEA-O.ABAST</t>
        </is>
      </c>
      <c r="X31" s="241" t="inlineStr">
        <is>
          <t>256.0</t>
        </is>
      </c>
      <c r="Y31" s="280" t="n"/>
    </row>
    <row r="32" ht="15.75" customHeight="1" s="195">
      <c r="A32" s="301" t="n">
        <v>27</v>
      </c>
      <c r="B32" s="302" t="inlineStr">
        <is>
          <t>00000010</t>
        </is>
      </c>
      <c r="C32" s="301" t="inlineStr">
        <is>
          <t>REGION</t>
        </is>
      </c>
      <c r="D32" s="302" t="inlineStr">
        <is>
          <t xml:space="preserve">LLANOS MEDINA FRANCISCO </t>
        </is>
      </c>
      <c r="E32" s="301" t="inlineStr">
        <is>
          <t>DNI</t>
        </is>
      </c>
      <c r="F32" s="301" t="inlineStr">
        <is>
          <t>33793261</t>
        </is>
      </c>
      <c r="G32" s="331" t="n">
        <v>45681</v>
      </c>
      <c r="H32" s="301" t="inlineStr">
        <is>
          <t>4850</t>
        </is>
      </c>
      <c r="I32" s="332">
        <f>IFERROR(VLOOKUP(TEXT(H32,"0"),IPRESS!$A$3:$B$212,2,0),"")</f>
        <v/>
      </c>
      <c r="J32" s="301" t="inlineStr">
        <is>
          <t>4838</t>
        </is>
      </c>
      <c r="K32" s="332">
        <f>IFERROR(VLOOKUP(TEXT(O32,"0"),CONDUCTORES!$A$3:$G$100,7,0),"")</f>
        <v/>
      </c>
      <c r="L32" s="245" t="n">
        <v>18.18</v>
      </c>
      <c r="M32" s="245" t="n">
        <v>4</v>
      </c>
      <c r="N32" s="333">
        <f>IFERROR(IF(L32*M32=0,"",L32*M32),"")</f>
        <v/>
      </c>
      <c r="O32" s="280" t="n"/>
      <c r="P32" s="332">
        <f>IFERROR(VLOOKUP(TEXT(O32,"0"),CONDUCTORES!$A$3:$G$100,2,0),"")</f>
        <v/>
      </c>
      <c r="Q32" s="332">
        <f>IFERROR(VLOOKUP(TEXT(O32,"0"),CONDUCTORES!$A$3:$H$100,6,0),"")</f>
        <v/>
      </c>
      <c r="R32" s="334" t="inlineStr">
        <is>
          <t>ATENDIDO 16/05/2025</t>
        </is>
      </c>
      <c r="S32" s="302" t="inlineStr">
        <is>
          <t>S822-I10X-E119</t>
        </is>
      </c>
      <c r="T32" s="335" t="inlineStr">
        <is>
          <t>APROBADO</t>
        </is>
      </c>
      <c r="U32" s="331" t="n">
        <v>45705</v>
      </c>
      <c r="V32" s="301" t="n"/>
      <c r="W32" s="301" t="inlineStr">
        <is>
          <t>0000108- ADENDA N°001-2025 DRSA/OEA-O.ABAST</t>
        </is>
      </c>
      <c r="X32" s="301" t="inlineStr">
        <is>
          <t>256.0</t>
        </is>
      </c>
      <c r="Y32" s="280" t="n"/>
    </row>
    <row r="33" ht="15.75" customHeight="1" s="195">
      <c r="A33" s="241" t="n">
        <v>28</v>
      </c>
      <c r="B33" s="305" t="inlineStr">
        <is>
          <t>00000008</t>
        </is>
      </c>
      <c r="C33" s="241" t="inlineStr">
        <is>
          <t>REGION</t>
        </is>
      </c>
      <c r="D33" s="305" t="inlineStr">
        <is>
          <t>CUEVA GRANDEZ EDWIN</t>
        </is>
      </c>
      <c r="E33" s="241" t="inlineStr">
        <is>
          <t>DNI</t>
        </is>
      </c>
      <c r="F33" s="241" t="inlineStr">
        <is>
          <t>7256446</t>
        </is>
      </c>
      <c r="G33" s="336" t="n">
        <v>45670</v>
      </c>
      <c r="H33" s="241" t="inlineStr">
        <is>
          <t>4850</t>
        </is>
      </c>
      <c r="I33" s="332">
        <f>IFERROR(VLOOKUP(TEXT(H33,"0"),IPRESS!$A$3:$B$212,2,0),"")</f>
        <v/>
      </c>
      <c r="J33" s="241" t="inlineStr">
        <is>
          <t>4838</t>
        </is>
      </c>
      <c r="K33" s="332">
        <f>IFERROR(VLOOKUP(TEXT(O33,"0"),CONDUCTORES!$A$3:$G$100,7,0),"")</f>
        <v/>
      </c>
      <c r="L33" s="239" t="n">
        <v>18.18</v>
      </c>
      <c r="M33" s="239" t="n">
        <v>4</v>
      </c>
      <c r="N33" s="333">
        <f>IFERROR(IF(L33*M33=0,"",L33*M33),"")</f>
        <v/>
      </c>
      <c r="O33" s="334" t="n"/>
      <c r="P33" s="332">
        <f>IFERROR(VLOOKUP(TEXT(O33,"0"),CONDUCTORES!$A$3:$G$100,2,0),"")</f>
        <v/>
      </c>
      <c r="Q33" s="332">
        <f>IFERROR(VLOOKUP(TEXT(O33,"0"),CONDUCTORES!$A$3:$H$100,6,0),"")</f>
        <v/>
      </c>
      <c r="R33" s="280" t="inlineStr">
        <is>
          <t>ATENDIDO 16/05/2025</t>
        </is>
      </c>
      <c r="S33" s="305" t="inlineStr">
        <is>
          <t>S701-S730</t>
        </is>
      </c>
      <c r="T33" s="335" t="inlineStr">
        <is>
          <t>APROBADO</t>
        </is>
      </c>
      <c r="U33" s="336" t="n">
        <v>45705</v>
      </c>
      <c r="V33" s="241" t="n"/>
      <c r="W33" s="241" t="inlineStr">
        <is>
          <t>0000108- ADENDA N°001-2025 DRSA/OEA-O.ABAST</t>
        </is>
      </c>
      <c r="X33" s="241" t="inlineStr">
        <is>
          <t>256.0</t>
        </is>
      </c>
      <c r="Y33" s="280" t="n"/>
    </row>
    <row r="34" ht="15.75" customHeight="1" s="195">
      <c r="A34" s="301" t="n">
        <v>29</v>
      </c>
      <c r="B34" s="302" t="inlineStr">
        <is>
          <t>00000009</t>
        </is>
      </c>
      <c r="C34" s="301" t="inlineStr">
        <is>
          <t>REGION</t>
        </is>
      </c>
      <c r="D34" s="302" t="inlineStr">
        <is>
          <t>POQUIOMA BAUTISTA MILAGRITOS</t>
        </is>
      </c>
      <c r="E34" s="301" t="inlineStr">
        <is>
          <t>DNI</t>
        </is>
      </c>
      <c r="F34" s="301" t="inlineStr">
        <is>
          <t>60364491</t>
        </is>
      </c>
      <c r="G34" s="331" t="n">
        <v>45675</v>
      </c>
      <c r="H34" s="301" t="inlineStr">
        <is>
          <t>4850</t>
        </is>
      </c>
      <c r="I34" s="332">
        <f>IFERROR(VLOOKUP(TEXT(H34,"0"),IPRESS!$A$3:$B$212,2,0),"")</f>
        <v/>
      </c>
      <c r="J34" s="301" t="inlineStr">
        <is>
          <t>4838</t>
        </is>
      </c>
      <c r="K34" s="332">
        <f>IFERROR(VLOOKUP(TEXT(O34,"0"),CONDUCTORES!$A$3:$G$100,7,0),"")</f>
        <v/>
      </c>
      <c r="L34" s="245" t="n">
        <v>18.18</v>
      </c>
      <c r="M34" s="245" t="n">
        <v>4</v>
      </c>
      <c r="N34" s="333">
        <f>IFERROR(IF(L34*M34=0,"",L34*M34),"")</f>
        <v/>
      </c>
      <c r="O34" s="280" t="n"/>
      <c r="P34" s="332">
        <f>IFERROR(VLOOKUP(TEXT(O34,"0"),CONDUCTORES!$A$3:$G$100,2,0),"")</f>
        <v/>
      </c>
      <c r="Q34" s="332">
        <f>IFERROR(VLOOKUP(TEXT(O34,"0"),CONDUCTORES!$A$3:$H$100,6,0),"")</f>
        <v/>
      </c>
      <c r="R34" s="334" t="inlineStr">
        <is>
          <t>ATENDIDO 16/05/2025</t>
        </is>
      </c>
      <c r="S34" s="302" t="inlineStr">
        <is>
          <t>Z359-O479-O48X</t>
        </is>
      </c>
      <c r="T34" s="335" t="inlineStr">
        <is>
          <t>APROBADO</t>
        </is>
      </c>
      <c r="U34" s="331" t="n">
        <v>45705</v>
      </c>
      <c r="V34" s="301" t="n"/>
      <c r="W34" s="301" t="inlineStr">
        <is>
          <t>0000108- ADENDA N°001-2025 DRSA/OEA-O.ABAST</t>
        </is>
      </c>
      <c r="X34" s="301" t="inlineStr">
        <is>
          <t>256.0</t>
        </is>
      </c>
      <c r="Y34" s="280" t="n"/>
    </row>
    <row r="35" ht="15.75" customHeight="1" s="195">
      <c r="A35" s="241" t="n">
        <v>30</v>
      </c>
      <c r="B35" s="305" t="inlineStr">
        <is>
          <t>00000024</t>
        </is>
      </c>
      <c r="C35" s="241" t="inlineStr">
        <is>
          <t>REGION</t>
        </is>
      </c>
      <c r="D35" s="305" t="inlineStr">
        <is>
          <t>MONTOYA COLLAZOS FRED KEVIN</t>
        </is>
      </c>
      <c r="E35" s="241" t="inlineStr">
        <is>
          <t>DNI</t>
        </is>
      </c>
      <c r="F35" s="241" t="inlineStr">
        <is>
          <t>46065777</t>
        </is>
      </c>
      <c r="G35" s="336" t="n">
        <v>45678</v>
      </c>
      <c r="H35" s="241" t="inlineStr">
        <is>
          <t>4950</t>
        </is>
      </c>
      <c r="I35" s="332">
        <f>IFERROR(VLOOKUP(TEXT(H35,"0"),IPRESS!$A$3:$B$212,2,0),"")</f>
        <v/>
      </c>
      <c r="J35" s="241" t="inlineStr">
        <is>
          <t>4838</t>
        </is>
      </c>
      <c r="K35" s="332">
        <f>IFERROR(VLOOKUP(TEXT(O35,"0"),CONDUCTORES!$A$3:$G$100,7,0),"")</f>
        <v/>
      </c>
      <c r="L35" s="239" t="n">
        <v>20.25</v>
      </c>
      <c r="M35" s="239" t="n">
        <v>7</v>
      </c>
      <c r="N35" s="333">
        <f>IFERROR(IF(L35*M35=0,"",L35*M35),"")</f>
        <v/>
      </c>
      <c r="O35" s="334" t="n"/>
      <c r="P35" s="332">
        <f>IFERROR(VLOOKUP(TEXT(O35,"0"),CONDUCTORES!$A$3:$G$100,2,0),"")</f>
        <v/>
      </c>
      <c r="Q35" s="332">
        <f>IFERROR(VLOOKUP(TEXT(O35,"0"),CONDUCTORES!$A$3:$H$100,6,0),"")</f>
        <v/>
      </c>
      <c r="R35" s="280" t="inlineStr">
        <is>
          <t>ATENDIDO 17/06/2025</t>
        </is>
      </c>
      <c r="S35" s="305" t="inlineStr">
        <is>
          <t>T000-I159</t>
        </is>
      </c>
      <c r="T35" s="335" t="inlineStr">
        <is>
          <t>APROBADO</t>
        </is>
      </c>
      <c r="U35" s="336" t="n">
        <v>45698</v>
      </c>
      <c r="V35" s="241" t="n"/>
      <c r="W35" s="241" t="inlineStr">
        <is>
          <t>0000108- ADENDA N°001-2025 DRSA/OEA-O.ABAST</t>
        </is>
      </c>
      <c r="X35" s="241" t="inlineStr">
        <is>
          <t>256.0</t>
        </is>
      </c>
      <c r="Y35" s="280" t="n"/>
    </row>
    <row r="36" ht="15.75" customHeight="1" s="195">
      <c r="A36" s="301" t="n">
        <v>31</v>
      </c>
      <c r="B36" s="302" t="inlineStr">
        <is>
          <t>00000025</t>
        </is>
      </c>
      <c r="C36" s="301" t="inlineStr">
        <is>
          <t>REGION</t>
        </is>
      </c>
      <c r="D36" s="302" t="inlineStr">
        <is>
          <t>HUAMAN VARGAS DAVID ARON</t>
        </is>
      </c>
      <c r="E36" s="301" t="inlineStr">
        <is>
          <t>DNI</t>
        </is>
      </c>
      <c r="F36" s="301" t="inlineStr">
        <is>
          <t>91537652</t>
        </is>
      </c>
      <c r="G36" s="331" t="n">
        <v>45679</v>
      </c>
      <c r="H36" s="301" t="inlineStr">
        <is>
          <t>4950</t>
        </is>
      </c>
      <c r="I36" s="332">
        <f>IFERROR(VLOOKUP(TEXT(H36,"0"),IPRESS!$A$3:$B$212,2,0),"")</f>
        <v/>
      </c>
      <c r="J36" s="301" t="inlineStr">
        <is>
          <t>4838</t>
        </is>
      </c>
      <c r="K36" s="332">
        <f>IFERROR(VLOOKUP(TEXT(O36,"0"),CONDUCTORES!$A$3:$G$100,7,0),"")</f>
        <v/>
      </c>
      <c r="L36" s="245" t="n">
        <v>20.25</v>
      </c>
      <c r="M36" s="245" t="n">
        <v>7</v>
      </c>
      <c r="N36" s="333">
        <f>IFERROR(IF(L36*M36=0,"",L36*M36),"")</f>
        <v/>
      </c>
      <c r="O36" s="280" t="n"/>
      <c r="P36" s="332">
        <f>IFERROR(VLOOKUP(TEXT(O36,"0"),CONDUCTORES!$A$3:$G$100,2,0),"")</f>
        <v/>
      </c>
      <c r="Q36" s="332">
        <f>IFERROR(VLOOKUP(TEXT(O36,"0"),CONDUCTORES!$A$3:$H$100,6,0),"")</f>
        <v/>
      </c>
      <c r="R36" s="334" t="inlineStr">
        <is>
          <t>ATENDIDO 17/06/2025</t>
        </is>
      </c>
      <c r="S36" s="302" t="inlineStr">
        <is>
          <t>K359</t>
        </is>
      </c>
      <c r="T36" s="335" t="inlineStr">
        <is>
          <t>APROBADO</t>
        </is>
      </c>
      <c r="U36" s="331" t="n">
        <v>45698</v>
      </c>
      <c r="V36" s="301" t="n"/>
      <c r="W36" s="301" t="inlineStr">
        <is>
          <t>3479.0</t>
        </is>
      </c>
      <c r="X36" s="301" t="inlineStr">
        <is>
          <t>189.0</t>
        </is>
      </c>
      <c r="Y36" s="280" t="n"/>
    </row>
    <row r="37" ht="15.75" customHeight="1" s="195">
      <c r="A37" s="241" t="n">
        <v>32</v>
      </c>
      <c r="B37" s="305" t="inlineStr">
        <is>
          <t>00000026</t>
        </is>
      </c>
      <c r="C37" s="241" t="inlineStr">
        <is>
          <t>REGION</t>
        </is>
      </c>
      <c r="D37" s="305" t="inlineStr">
        <is>
          <t>CARRERA ORIHUELA SOFIA</t>
        </is>
      </c>
      <c r="E37" s="241" t="inlineStr">
        <is>
          <t>DNI</t>
        </is>
      </c>
      <c r="F37" s="241" t="inlineStr">
        <is>
          <t>90782875</t>
        </is>
      </c>
      <c r="G37" s="336" t="n">
        <v>45680</v>
      </c>
      <c r="H37" s="241" t="inlineStr">
        <is>
          <t>4950</t>
        </is>
      </c>
      <c r="I37" s="332">
        <f>IFERROR(VLOOKUP(TEXT(H37,"0"),IPRESS!$A$3:$B$212,2,0),"")</f>
        <v/>
      </c>
      <c r="J37" s="241" t="inlineStr">
        <is>
          <t>4838</t>
        </is>
      </c>
      <c r="K37" s="332">
        <f>IFERROR(VLOOKUP(TEXT(O37,"0"),CONDUCTORES!$A$3:$G$100,7,0),"")</f>
        <v/>
      </c>
      <c r="L37" s="239" t="n">
        <v>20.25</v>
      </c>
      <c r="M37" s="239" t="n">
        <v>6</v>
      </c>
      <c r="N37" s="333">
        <f>IFERROR(IF(L37*M37=0,"",L37*M37),"")</f>
        <v/>
      </c>
      <c r="O37" s="334" t="n"/>
      <c r="P37" s="332">
        <f>IFERROR(VLOOKUP(TEXT(O37,"0"),CONDUCTORES!$A$3:$G$100,2,0),"")</f>
        <v/>
      </c>
      <c r="Q37" s="332">
        <f>IFERROR(VLOOKUP(TEXT(O37,"0"),CONDUCTORES!$A$3:$H$100,6,0),"")</f>
        <v/>
      </c>
      <c r="R37" s="280" t="inlineStr">
        <is>
          <t>ATENDIDO 17/06/2025</t>
        </is>
      </c>
      <c r="S37" s="305" t="inlineStr">
        <is>
          <t>K922-N390</t>
        </is>
      </c>
      <c r="T37" s="335" t="inlineStr">
        <is>
          <t>APROBADO</t>
        </is>
      </c>
      <c r="U37" s="336" t="n">
        <v>45698</v>
      </c>
      <c r="V37" s="241" t="n"/>
      <c r="W37" s="241" t="inlineStr">
        <is>
          <t>3479.0</t>
        </is>
      </c>
      <c r="X37" s="241" t="inlineStr">
        <is>
          <t>189.0</t>
        </is>
      </c>
      <c r="Y37" s="280" t="n"/>
    </row>
    <row r="38" ht="15.75" customHeight="1" s="195">
      <c r="A38" s="301" t="n">
        <v>33</v>
      </c>
      <c r="B38" s="302" t="inlineStr">
        <is>
          <t>00000029</t>
        </is>
      </c>
      <c r="C38" s="301" t="inlineStr">
        <is>
          <t>REGION</t>
        </is>
      </c>
      <c r="D38" s="302" t="inlineStr">
        <is>
          <t>SANTILLAN TOCHON MAYLLURI</t>
        </is>
      </c>
      <c r="E38" s="301" t="inlineStr">
        <is>
          <t>DNI</t>
        </is>
      </c>
      <c r="F38" s="301" t="inlineStr">
        <is>
          <t>70941307</t>
        </is>
      </c>
      <c r="G38" s="331" t="n">
        <v>45683</v>
      </c>
      <c r="H38" s="301" t="inlineStr">
        <is>
          <t>4950</t>
        </is>
      </c>
      <c r="I38" s="332">
        <f>IFERROR(VLOOKUP(TEXT(H38,"0"),IPRESS!$A$3:$B$212,2,0),"")</f>
        <v/>
      </c>
      <c r="J38" s="301" t="inlineStr">
        <is>
          <t>4838</t>
        </is>
      </c>
      <c r="K38" s="332">
        <f>IFERROR(VLOOKUP(TEXT(O38,"0"),CONDUCTORES!$A$3:$G$100,7,0),"")</f>
        <v/>
      </c>
      <c r="L38" s="245" t="n">
        <v>20.25</v>
      </c>
      <c r="M38" s="245" t="n">
        <v>7</v>
      </c>
      <c r="N38" s="333">
        <f>IFERROR(IF(L38*M38=0,"",L38*M38),"")</f>
        <v/>
      </c>
      <c r="O38" s="280" t="n"/>
      <c r="P38" s="332">
        <f>IFERROR(VLOOKUP(TEXT(O38,"0"),CONDUCTORES!$A$3:$G$100,2,0),"")</f>
        <v/>
      </c>
      <c r="Q38" s="332">
        <f>IFERROR(VLOOKUP(TEXT(O38,"0"),CONDUCTORES!$A$3:$H$100,6,0),"")</f>
        <v/>
      </c>
      <c r="R38" s="334" t="inlineStr">
        <is>
          <t>ATENDIDO 17/06/2025</t>
        </is>
      </c>
      <c r="S38" s="302" t="inlineStr">
        <is>
          <t>S728</t>
        </is>
      </c>
      <c r="T38" s="335" t="inlineStr">
        <is>
          <t>APROBADO</t>
        </is>
      </c>
      <c r="U38" s="331" t="n">
        <v>45705</v>
      </c>
      <c r="V38" s="301" t="n"/>
      <c r="W38" s="301" t="inlineStr">
        <is>
          <t>3479.0</t>
        </is>
      </c>
      <c r="X38" s="301" t="inlineStr">
        <is>
          <t>189.0</t>
        </is>
      </c>
      <c r="Y38" s="280" t="n"/>
    </row>
    <row r="39" ht="15.75" customHeight="1" s="195">
      <c r="A39" s="241" t="n">
        <v>34</v>
      </c>
      <c r="B39" s="305" t="inlineStr">
        <is>
          <t>000000027</t>
        </is>
      </c>
      <c r="C39" s="241" t="inlineStr">
        <is>
          <t>REGION</t>
        </is>
      </c>
      <c r="D39" s="305" t="inlineStr">
        <is>
          <t>ZAMORA PEREZ APOLONIA</t>
        </is>
      </c>
      <c r="E39" s="241" t="inlineStr">
        <is>
          <t>DNI</t>
        </is>
      </c>
      <c r="F39" s="241" t="inlineStr">
        <is>
          <t>43264292</t>
        </is>
      </c>
      <c r="G39" s="336" t="n">
        <v>45682</v>
      </c>
      <c r="H39" s="241" t="inlineStr">
        <is>
          <t>4950</t>
        </is>
      </c>
      <c r="I39" s="332">
        <f>IFERROR(VLOOKUP(TEXT(H39,"0"),IPRESS!$A$3:$B$212,2,0),"")</f>
        <v/>
      </c>
      <c r="J39" s="241" t="inlineStr">
        <is>
          <t>4838</t>
        </is>
      </c>
      <c r="K39" s="332">
        <f>IFERROR(VLOOKUP(TEXT(O39,"0"),CONDUCTORES!$A$3:$G$100,7,0),"")</f>
        <v/>
      </c>
      <c r="L39" s="239" t="n">
        <v>20.25</v>
      </c>
      <c r="M39" s="239" t="n">
        <v>6</v>
      </c>
      <c r="N39" s="333">
        <f>IFERROR(IF(L39*M39=0,"",L39*M39),"")</f>
        <v/>
      </c>
      <c r="O39" s="334" t="n"/>
      <c r="P39" s="332">
        <f>IFERROR(VLOOKUP(TEXT(O39,"0"),CONDUCTORES!$A$3:$G$100,2,0),"")</f>
        <v/>
      </c>
      <c r="Q39" s="332">
        <f>IFERROR(VLOOKUP(TEXT(O39,"0"),CONDUCTORES!$A$3:$H$100,6,0),"")</f>
        <v/>
      </c>
      <c r="R39" s="280" t="inlineStr">
        <is>
          <t>ATENDIDO 17/06/2025</t>
        </is>
      </c>
      <c r="S39" s="305" t="inlineStr">
        <is>
          <t>S009-S223-S001</t>
        </is>
      </c>
      <c r="T39" s="335" t="inlineStr">
        <is>
          <t>APROBADO</t>
        </is>
      </c>
      <c r="U39" s="336" t="n">
        <v>45705</v>
      </c>
      <c r="V39" s="241" t="n"/>
      <c r="W39" s="241" t="inlineStr">
        <is>
          <t>3479.0</t>
        </is>
      </c>
      <c r="X39" s="241" t="inlineStr">
        <is>
          <t>189.0</t>
        </is>
      </c>
      <c r="Y39" s="280" t="n"/>
    </row>
    <row r="40" ht="15.75" customHeight="1" s="195">
      <c r="A40" s="301" t="n">
        <v>35</v>
      </c>
      <c r="B40" s="302" t="inlineStr">
        <is>
          <t>000000028</t>
        </is>
      </c>
      <c r="C40" s="301" t="inlineStr">
        <is>
          <t>REGION</t>
        </is>
      </c>
      <c r="D40" s="302" t="inlineStr">
        <is>
          <t>ARBILDO MESIA SIMONA</t>
        </is>
      </c>
      <c r="E40" s="301" t="inlineStr">
        <is>
          <t>DNI</t>
        </is>
      </c>
      <c r="F40" s="301" t="inlineStr">
        <is>
          <t>48245498</t>
        </is>
      </c>
      <c r="G40" s="331" t="n">
        <v>45682</v>
      </c>
      <c r="H40" s="301" t="inlineStr">
        <is>
          <t>4950</t>
        </is>
      </c>
      <c r="I40" s="332">
        <f>IFERROR(VLOOKUP(TEXT(H40,"0"),IPRESS!$A$3:$B$212,2,0),"")</f>
        <v/>
      </c>
      <c r="J40" s="301" t="inlineStr">
        <is>
          <t>4838</t>
        </is>
      </c>
      <c r="K40" s="332">
        <f>IFERROR(VLOOKUP(TEXT(O40,"0"),CONDUCTORES!$A$3:$G$100,7,0),"")</f>
        <v/>
      </c>
      <c r="L40" s="245" t="n">
        <v>20.25</v>
      </c>
      <c r="M40" s="245" t="n">
        <v>7</v>
      </c>
      <c r="N40" s="333">
        <f>IFERROR(IF(L40*M40=0,"",L40*M40),"")</f>
        <v/>
      </c>
      <c r="O40" s="280" t="n"/>
      <c r="P40" s="332">
        <f>IFERROR(VLOOKUP(TEXT(O40,"0"),CONDUCTORES!$A$3:$G$100,2,0),"")</f>
        <v/>
      </c>
      <c r="Q40" s="332">
        <f>IFERROR(VLOOKUP(TEXT(O40,"0"),CONDUCTORES!$A$3:$H$100,6,0),"")</f>
        <v/>
      </c>
      <c r="R40" s="334" t="inlineStr">
        <is>
          <t>ATENDIDO 17/06/2025</t>
        </is>
      </c>
      <c r="S40" s="302" t="inlineStr">
        <is>
          <t>I499</t>
        </is>
      </c>
      <c r="T40" s="335" t="inlineStr">
        <is>
          <t>APROBADO</t>
        </is>
      </c>
      <c r="U40" s="331" t="n">
        <v>45705</v>
      </c>
      <c r="V40" s="301" t="n"/>
      <c r="W40" s="301" t="inlineStr">
        <is>
          <t>3479.0</t>
        </is>
      </c>
      <c r="X40" s="301" t="inlineStr">
        <is>
          <t>189.0</t>
        </is>
      </c>
      <c r="Y40" s="280" t="n"/>
    </row>
    <row r="41" ht="15.75" customHeight="1" s="195">
      <c r="A41" s="241" t="n">
        <v>36</v>
      </c>
      <c r="B41" s="305" t="inlineStr">
        <is>
          <t>000000033</t>
        </is>
      </c>
      <c r="C41" s="241" t="inlineStr">
        <is>
          <t>REGION</t>
        </is>
      </c>
      <c r="D41" s="305" t="inlineStr">
        <is>
          <t>HUAMAN CARO MARIA DOLORES</t>
        </is>
      </c>
      <c r="E41" s="241" t="inlineStr">
        <is>
          <t>DNI</t>
        </is>
      </c>
      <c r="F41" s="241" t="inlineStr">
        <is>
          <t>47651398</t>
        </is>
      </c>
      <c r="G41" s="336" t="n">
        <v>45687</v>
      </c>
      <c r="H41" s="241" t="inlineStr">
        <is>
          <t>4950</t>
        </is>
      </c>
      <c r="I41" s="332">
        <f>IFERROR(VLOOKUP(TEXT(H41,"0"),IPRESS!$A$3:$B$212,2,0),"")</f>
        <v/>
      </c>
      <c r="J41" s="241" t="inlineStr">
        <is>
          <t>4838</t>
        </is>
      </c>
      <c r="K41" s="332">
        <f>IFERROR(VLOOKUP(TEXT(O41,"0"),CONDUCTORES!$A$3:$G$100,7,0),"")</f>
        <v/>
      </c>
      <c r="L41" s="239" t="n">
        <v>20.25</v>
      </c>
      <c r="M41" s="239" t="n">
        <v>7</v>
      </c>
      <c r="N41" s="333">
        <f>IFERROR(IF(L41*M41=0,"",L41*M41),"")</f>
        <v/>
      </c>
      <c r="O41" s="334" t="n"/>
      <c r="P41" s="332">
        <f>IFERROR(VLOOKUP(TEXT(O41,"0"),CONDUCTORES!$A$3:$G$100,2,0),"")</f>
        <v/>
      </c>
      <c r="Q41" s="332">
        <f>IFERROR(VLOOKUP(TEXT(O41,"0"),CONDUCTORES!$A$3:$H$100,6,0),"")</f>
        <v/>
      </c>
      <c r="R41" s="280" t="inlineStr">
        <is>
          <t>ATENDIDO 17/06/2025</t>
        </is>
      </c>
      <c r="S41" s="305" t="inlineStr">
        <is>
          <t>O364</t>
        </is>
      </c>
      <c r="T41" s="241" t="n"/>
      <c r="U41" s="336" t="n">
        <v>45721</v>
      </c>
      <c r="V41" s="241" t="n"/>
      <c r="W41" s="241" t="inlineStr">
        <is>
          <t>3479.0</t>
        </is>
      </c>
      <c r="X41" s="241" t="inlineStr">
        <is>
          <t>189.0</t>
        </is>
      </c>
      <c r="Y41" s="280" t="n"/>
    </row>
    <row r="42" ht="15.75" customHeight="1" s="195">
      <c r="A42" s="301" t="n">
        <v>37</v>
      </c>
      <c r="B42" s="302" t="inlineStr">
        <is>
          <t>000000032</t>
        </is>
      </c>
      <c r="C42" s="301" t="inlineStr">
        <is>
          <t>REGION</t>
        </is>
      </c>
      <c r="D42" s="302" t="inlineStr">
        <is>
          <t>RIVA TRIGOSO SEGUNDO GUILLERMO</t>
        </is>
      </c>
      <c r="E42" s="301" t="inlineStr">
        <is>
          <t>DNI</t>
        </is>
      </c>
      <c r="F42" s="301" t="inlineStr">
        <is>
          <t>33950725</t>
        </is>
      </c>
      <c r="G42" s="331" t="n">
        <v>45687</v>
      </c>
      <c r="H42" s="301" t="inlineStr">
        <is>
          <t>4950</t>
        </is>
      </c>
      <c r="I42" s="332">
        <f>IFERROR(VLOOKUP(TEXT(H42,"0"),IPRESS!$A$3:$B$212,2,0),"")</f>
        <v/>
      </c>
      <c r="J42" s="301" t="inlineStr">
        <is>
          <t>4838</t>
        </is>
      </c>
      <c r="K42" s="332">
        <f>IFERROR(VLOOKUP(TEXT(O42,"0"),CONDUCTORES!$A$3:$G$100,7,0),"")</f>
        <v/>
      </c>
      <c r="L42" s="245" t="n">
        <v>20.25</v>
      </c>
      <c r="M42" s="245" t="n">
        <v>7</v>
      </c>
      <c r="N42" s="333">
        <f>IFERROR(IF(L42*M42=0,"",L42*M42),"")</f>
        <v/>
      </c>
      <c r="O42" s="280" t="n"/>
      <c r="P42" s="332">
        <f>IFERROR(VLOOKUP(TEXT(O42,"0"),CONDUCTORES!$A$3:$G$100,2,0),"")</f>
        <v/>
      </c>
      <c r="Q42" s="332">
        <f>IFERROR(VLOOKUP(TEXT(O42,"0"),CONDUCTORES!$A$3:$H$100,6,0),"")</f>
        <v/>
      </c>
      <c r="R42" s="334" t="inlineStr">
        <is>
          <t>ATENDIDO 17/06/2025</t>
        </is>
      </c>
      <c r="S42" s="302" t="inlineStr">
        <is>
          <t>S270</t>
        </is>
      </c>
      <c r="T42" s="301" t="n"/>
      <c r="U42" s="331" t="n">
        <v>45721</v>
      </c>
      <c r="V42" s="301" t="n"/>
      <c r="W42" s="301" t="inlineStr">
        <is>
          <t>3479.0</t>
        </is>
      </c>
      <c r="X42" s="301" t="inlineStr">
        <is>
          <t>189.0</t>
        </is>
      </c>
      <c r="Y42" s="280" t="n"/>
    </row>
    <row r="43" ht="15.75" customHeight="1" s="195">
      <c r="A43" s="241" t="n">
        <v>38</v>
      </c>
      <c r="B43" s="305" t="inlineStr">
        <is>
          <t>000000001</t>
        </is>
      </c>
      <c r="C43" s="241" t="inlineStr">
        <is>
          <t>REGION</t>
        </is>
      </c>
      <c r="D43" s="305" t="inlineStr">
        <is>
          <t>PEREZ MEJIA FANNY</t>
        </is>
      </c>
      <c r="E43" s="241" t="inlineStr">
        <is>
          <t>DNI</t>
        </is>
      </c>
      <c r="F43" s="241" t="inlineStr">
        <is>
          <t>45373431</t>
        </is>
      </c>
      <c r="G43" s="336" t="n">
        <v>45672</v>
      </c>
      <c r="H43" s="241" t="inlineStr">
        <is>
          <t>4859</t>
        </is>
      </c>
      <c r="I43" s="332">
        <f>IFERROR(VLOOKUP(TEXT(H43,"0"),IPRESS!$A$3:$B$212,2,0),"")</f>
        <v/>
      </c>
      <c r="J43" s="241" t="inlineStr">
        <is>
          <t>4838</t>
        </is>
      </c>
      <c r="K43" s="332">
        <f>IFERROR(VLOOKUP(TEXT(O43,"0"),CONDUCTORES!$A$3:$G$100,7,0),"")</f>
        <v/>
      </c>
      <c r="L43" s="239" t="n">
        <v>18.18</v>
      </c>
      <c r="M43" s="239" t="n">
        <v>6</v>
      </c>
      <c r="N43" s="333">
        <f>IFERROR(IF(L43*M43=0,"",L43*M43),"")</f>
        <v/>
      </c>
      <c r="O43" s="334" t="n"/>
      <c r="P43" s="332">
        <f>IFERROR(VLOOKUP(TEXT(O43,"0"),CONDUCTORES!$A$3:$G$100,2,0),"")</f>
        <v/>
      </c>
      <c r="Q43" s="332">
        <f>IFERROR(VLOOKUP(TEXT(O43,"0"),CONDUCTORES!$A$3:$H$100,6,0),"")</f>
        <v/>
      </c>
      <c r="R43" s="280" t="inlineStr">
        <is>
          <t>ATENDIDO 17/06/2025</t>
        </is>
      </c>
      <c r="S43" s="305" t="inlineStr">
        <is>
          <t>O429</t>
        </is>
      </c>
      <c r="T43" s="335" t="inlineStr">
        <is>
          <t>APROBADO</t>
        </is>
      </c>
      <c r="U43" s="336" t="n">
        <v>45698</v>
      </c>
      <c r="V43" s="241" t="n"/>
      <c r="W43" s="241" t="inlineStr">
        <is>
          <t>CONTRATO N° 001-2025 DYT</t>
        </is>
      </c>
      <c r="X43" s="241" t="inlineStr">
        <is>
          <t>285.0</t>
        </is>
      </c>
      <c r="Y43" s="280" t="n"/>
    </row>
    <row r="44" ht="15.75" customHeight="1" s="195">
      <c r="A44" s="301" t="n">
        <v>39</v>
      </c>
      <c r="B44" s="302" t="inlineStr">
        <is>
          <t>00000002</t>
        </is>
      </c>
      <c r="C44" s="301" t="inlineStr">
        <is>
          <t>REGION</t>
        </is>
      </c>
      <c r="D44" s="302" t="inlineStr">
        <is>
          <t>IZQUIERDO RODRIGUEZ FELIPE SANTIAGO</t>
        </is>
      </c>
      <c r="E44" s="301" t="inlineStr">
        <is>
          <t>DNI</t>
        </is>
      </c>
      <c r="F44" s="301" t="inlineStr">
        <is>
          <t>42214433</t>
        </is>
      </c>
      <c r="G44" s="331" t="n">
        <v>45660</v>
      </c>
      <c r="H44" s="301" t="inlineStr">
        <is>
          <t>4859</t>
        </is>
      </c>
      <c r="I44" s="332">
        <f>IFERROR(VLOOKUP(TEXT(H44,"0"),IPRESS!$A$3:$B$212,2,0),"")</f>
        <v/>
      </c>
      <c r="J44" s="301" t="inlineStr">
        <is>
          <t>4838</t>
        </is>
      </c>
      <c r="K44" s="332">
        <f>IFERROR(VLOOKUP(TEXT(O44,"0"),CONDUCTORES!$A$3:$G$100,7,0),"")</f>
        <v/>
      </c>
      <c r="L44" s="245" t="n">
        <v>18.18</v>
      </c>
      <c r="M44" s="245" t="n">
        <v>6</v>
      </c>
      <c r="N44" s="333">
        <f>IFERROR(IF(L44*M44=0,"",L44*M44),"")</f>
        <v/>
      </c>
      <c r="O44" s="280" t="n"/>
      <c r="P44" s="332">
        <f>IFERROR(VLOOKUP(TEXT(O44,"0"),CONDUCTORES!$A$3:$G$100,2,0),"")</f>
        <v/>
      </c>
      <c r="Q44" s="332">
        <f>IFERROR(VLOOKUP(TEXT(O44,"0"),CONDUCTORES!$A$3:$H$100,6,0),"")</f>
        <v/>
      </c>
      <c r="R44" s="334" t="inlineStr">
        <is>
          <t>ATENDIDO 17/06/2025</t>
        </is>
      </c>
      <c r="S44" s="302" t="inlineStr">
        <is>
          <t>R101-K359</t>
        </is>
      </c>
      <c r="T44" s="335" t="inlineStr">
        <is>
          <t>APROBADO</t>
        </is>
      </c>
      <c r="U44" s="331" t="n">
        <v>45698</v>
      </c>
      <c r="V44" s="301" t="n"/>
      <c r="W44" s="301" t="inlineStr">
        <is>
          <t>CONTRATO N° 001-2025 DYT</t>
        </is>
      </c>
      <c r="X44" s="301" t="inlineStr">
        <is>
          <t>285.0</t>
        </is>
      </c>
      <c r="Y44" s="280" t="n"/>
    </row>
    <row r="45" ht="15.75" customHeight="1" s="195">
      <c r="A45" s="241" t="n">
        <v>40</v>
      </c>
      <c r="B45" s="305" t="inlineStr">
        <is>
          <t>00000003</t>
        </is>
      </c>
      <c r="C45" s="241" t="inlineStr">
        <is>
          <t>REGION</t>
        </is>
      </c>
      <c r="D45" s="305" t="inlineStr">
        <is>
          <t>PEREZ ALVA FRANCISCA KELLY</t>
        </is>
      </c>
      <c r="E45" s="241" t="inlineStr">
        <is>
          <t>DNI</t>
        </is>
      </c>
      <c r="F45" s="241" t="inlineStr">
        <is>
          <t>76382054</t>
        </is>
      </c>
      <c r="G45" s="336" t="n">
        <v>45680</v>
      </c>
      <c r="H45" s="241" t="inlineStr">
        <is>
          <t>4859</t>
        </is>
      </c>
      <c r="I45" s="332">
        <f>IFERROR(VLOOKUP(TEXT(H45,"0"),IPRESS!$A$3:$B$212,2,0),"")</f>
        <v/>
      </c>
      <c r="J45" s="241" t="inlineStr">
        <is>
          <t>4838</t>
        </is>
      </c>
      <c r="K45" s="332">
        <f>IFERROR(VLOOKUP(TEXT(O45,"0"),CONDUCTORES!$A$3:$G$100,7,0),"")</f>
        <v/>
      </c>
      <c r="L45" s="239" t="n">
        <v>18.18</v>
      </c>
      <c r="M45" s="239" t="n">
        <v>6</v>
      </c>
      <c r="N45" s="333">
        <f>IFERROR(IF(L45*M45=0,"",L45*M45),"")</f>
        <v/>
      </c>
      <c r="O45" s="334" t="n"/>
      <c r="P45" s="332">
        <f>IFERROR(VLOOKUP(TEXT(O45,"0"),CONDUCTORES!$A$3:$G$100,2,0),"")</f>
        <v/>
      </c>
      <c r="Q45" s="332">
        <f>IFERROR(VLOOKUP(TEXT(O45,"0"),CONDUCTORES!$A$3:$H$100,6,0),"")</f>
        <v/>
      </c>
      <c r="R45" s="280" t="inlineStr">
        <is>
          <t>ATENDIDO 17/06/2025</t>
        </is>
      </c>
      <c r="S45" s="305" t="inlineStr">
        <is>
          <t>Z359-O429</t>
        </is>
      </c>
      <c r="T45" s="335" t="inlineStr">
        <is>
          <t>APROBADO</t>
        </is>
      </c>
      <c r="U45" s="336" t="n">
        <v>45698</v>
      </c>
      <c r="V45" s="241" t="n"/>
      <c r="W45" s="241" t="inlineStr">
        <is>
          <t>CONTRATO N° 001-2025 DYT</t>
        </is>
      </c>
      <c r="X45" s="241" t="inlineStr">
        <is>
          <t>285.0</t>
        </is>
      </c>
      <c r="Y45" s="280" t="n"/>
    </row>
    <row r="46" ht="15.75" customHeight="1" s="195">
      <c r="A46" s="301" t="n">
        <v>41</v>
      </c>
      <c r="B46" s="302" t="inlineStr">
        <is>
          <t>00000004</t>
        </is>
      </c>
      <c r="C46" s="301" t="inlineStr">
        <is>
          <t>REGION</t>
        </is>
      </c>
      <c r="D46" s="302" t="inlineStr">
        <is>
          <t>QUISPE CAMPOS ROSALIA</t>
        </is>
      </c>
      <c r="E46" s="301" t="inlineStr">
        <is>
          <t>DNI</t>
        </is>
      </c>
      <c r="F46" s="301" t="inlineStr">
        <is>
          <t>485739823</t>
        </is>
      </c>
      <c r="G46" s="331" t="n">
        <v>45681</v>
      </c>
      <c r="H46" s="301" t="inlineStr">
        <is>
          <t>4859</t>
        </is>
      </c>
      <c r="I46" s="332">
        <f>IFERROR(VLOOKUP(TEXT(H46,"0"),IPRESS!$A$3:$B$212,2,0),"")</f>
        <v/>
      </c>
      <c r="J46" s="301" t="inlineStr">
        <is>
          <t>4838</t>
        </is>
      </c>
      <c r="K46" s="332">
        <f>IFERROR(VLOOKUP(TEXT(O46,"0"),CONDUCTORES!$A$3:$G$100,7,0),"")</f>
        <v/>
      </c>
      <c r="L46" s="245" t="n">
        <v>18.18</v>
      </c>
      <c r="M46" s="245" t="n">
        <v>6</v>
      </c>
      <c r="N46" s="333">
        <f>IFERROR(IF(L46*M46=0,"",L46*M46),"")</f>
        <v/>
      </c>
      <c r="O46" s="280" t="n"/>
      <c r="P46" s="332">
        <f>IFERROR(VLOOKUP(TEXT(O46,"0"),CONDUCTORES!$A$3:$G$100,2,0),"")</f>
        <v/>
      </c>
      <c r="Q46" s="332">
        <f>IFERROR(VLOOKUP(TEXT(O46,"0"),CONDUCTORES!$A$3:$H$100,6,0),"")</f>
        <v/>
      </c>
      <c r="R46" s="334" t="inlineStr">
        <is>
          <t>ATENDIDO 17/06/2025</t>
        </is>
      </c>
      <c r="S46" s="302" t="inlineStr">
        <is>
          <t>I960-I679-I110-I509</t>
        </is>
      </c>
      <c r="T46" s="335" t="inlineStr">
        <is>
          <t>APROBADO</t>
        </is>
      </c>
      <c r="U46" s="331" t="n">
        <v>45705</v>
      </c>
      <c r="V46" s="301" t="n"/>
      <c r="W46" s="301" t="inlineStr">
        <is>
          <t>CONTRATO N° 001-2025 DYT</t>
        </is>
      </c>
      <c r="X46" s="301" t="inlineStr">
        <is>
          <t>285.0</t>
        </is>
      </c>
      <c r="Y46" s="280" t="n"/>
    </row>
    <row r="47" ht="15.75" customHeight="1" s="195">
      <c r="A47" s="241" t="n">
        <v>42</v>
      </c>
      <c r="B47" s="305" t="inlineStr">
        <is>
          <t>000000005</t>
        </is>
      </c>
      <c r="C47" s="241" t="inlineStr">
        <is>
          <t>REGION</t>
        </is>
      </c>
      <c r="D47" s="305" t="inlineStr">
        <is>
          <t>ATALAYA CHACON REYDA</t>
        </is>
      </c>
      <c r="E47" s="241" t="inlineStr">
        <is>
          <t>DNI</t>
        </is>
      </c>
      <c r="F47" s="241" t="inlineStr">
        <is>
          <t>42339499</t>
        </is>
      </c>
      <c r="G47" s="336" t="n">
        <v>45688</v>
      </c>
      <c r="H47" s="241" t="inlineStr">
        <is>
          <t>4859</t>
        </is>
      </c>
      <c r="I47" s="332">
        <f>IFERROR(VLOOKUP(TEXT(H47,"0"),IPRESS!$A$3:$B$212,2,0),"")</f>
        <v/>
      </c>
      <c r="J47" s="241" t="inlineStr">
        <is>
          <t>4838</t>
        </is>
      </c>
      <c r="K47" s="332">
        <f>IFERROR(VLOOKUP(TEXT(O47,"0"),CONDUCTORES!$A$3:$G$100,7,0),"")</f>
        <v/>
      </c>
      <c r="L47" s="239" t="n">
        <v>18.18</v>
      </c>
      <c r="M47" s="239" t="n">
        <v>6</v>
      </c>
      <c r="N47" s="333">
        <f>IFERROR(IF(L47*M47=0,"",L47*M47),"")</f>
        <v/>
      </c>
      <c r="O47" s="334" t="n"/>
      <c r="P47" s="332">
        <f>IFERROR(VLOOKUP(TEXT(O47,"0"),CONDUCTORES!$A$3:$G$100,2,0),"")</f>
        <v/>
      </c>
      <c r="Q47" s="332">
        <f>IFERROR(VLOOKUP(TEXT(O47,"0"),CONDUCTORES!$A$3:$H$100,6,0),"")</f>
        <v/>
      </c>
      <c r="R47" s="280" t="inlineStr">
        <is>
          <t>ATENDIDO 17/06/2025</t>
        </is>
      </c>
      <c r="S47" s="305" t="inlineStr">
        <is>
          <t>S010,S069</t>
        </is>
      </c>
      <c r="T47" s="241" t="n"/>
      <c r="U47" s="336" t="n">
        <v>45721</v>
      </c>
      <c r="V47" s="241" t="n"/>
      <c r="W47" s="241" t="inlineStr">
        <is>
          <t>CONTRATO N° 001-2025 DYT</t>
        </is>
      </c>
      <c r="X47" s="241" t="inlineStr">
        <is>
          <t>285.0</t>
        </is>
      </c>
      <c r="Y47" s="280" t="n"/>
    </row>
    <row r="48" ht="15.75" customHeight="1" s="195">
      <c r="A48" s="301" t="n">
        <v>43</v>
      </c>
      <c r="B48" s="302" t="inlineStr">
        <is>
          <t>000000019</t>
        </is>
      </c>
      <c r="C48" s="301" t="inlineStr">
        <is>
          <t>REGION</t>
        </is>
      </c>
      <c r="D48" s="302" t="inlineStr">
        <is>
          <t>DAVILA ALVA JANNA VALERIA</t>
        </is>
      </c>
      <c r="E48" s="301" t="inlineStr">
        <is>
          <t>DNI</t>
        </is>
      </c>
      <c r="F48" s="301" t="inlineStr">
        <is>
          <t>79577991</t>
        </is>
      </c>
      <c r="G48" s="331" t="n">
        <v>45661</v>
      </c>
      <c r="H48" s="301" t="inlineStr">
        <is>
          <t>7060</t>
        </is>
      </c>
      <c r="I48" s="332">
        <f>IFERROR(VLOOKUP(TEXT(H48,"0"),IPRESS!$A$3:$B$212,2,0),"")</f>
        <v/>
      </c>
      <c r="J48" s="301" t="inlineStr">
        <is>
          <t>4838</t>
        </is>
      </c>
      <c r="K48" s="332">
        <f>IFERROR(VLOOKUP(TEXT(O48,"0"),CONDUCTORES!$A$3:$G$100,7,0),"")</f>
        <v/>
      </c>
      <c r="L48" s="245" t="n">
        <v>18.18</v>
      </c>
      <c r="M48" s="245" t="n">
        <v>20</v>
      </c>
      <c r="N48" s="333">
        <f>IFERROR(IF(L48*M48=0,"",L48*M48),"")</f>
        <v/>
      </c>
      <c r="O48" s="280" t="n"/>
      <c r="P48" s="332">
        <f>IFERROR(VLOOKUP(TEXT(O48,"0"),CONDUCTORES!$A$3:$G$100,2,0),"")</f>
        <v/>
      </c>
      <c r="Q48" s="332">
        <f>IFERROR(VLOOKUP(TEXT(O48,"0"),CONDUCTORES!$A$3:$H$100,6,0),"")</f>
        <v/>
      </c>
      <c r="R48" s="334" t="inlineStr">
        <is>
          <t>ATENDIDO 18/06/2025</t>
        </is>
      </c>
      <c r="S48" s="302" t="inlineStr">
        <is>
          <t>R103-K359-I880</t>
        </is>
      </c>
      <c r="T48" s="335" t="inlineStr">
        <is>
          <t>APROBADO</t>
        </is>
      </c>
      <c r="U48" s="331" t="n">
        <v>45671</v>
      </c>
      <c r="V48" s="301" t="inlineStr">
        <is>
          <t>00024-2025</t>
        </is>
      </c>
      <c r="W48" s="301" t="inlineStr">
        <is>
          <t>539-2024</t>
        </is>
      </c>
      <c r="X48" s="301" t="inlineStr">
        <is>
          <t>163.0</t>
        </is>
      </c>
      <c r="Y48" s="280" t="n"/>
    </row>
    <row r="49" ht="15.75" customHeight="1" s="195">
      <c r="A49" s="241" t="n">
        <v>44</v>
      </c>
      <c r="B49" s="305" t="inlineStr">
        <is>
          <t>000000001</t>
        </is>
      </c>
      <c r="C49" s="241" t="inlineStr">
        <is>
          <t>REGION</t>
        </is>
      </c>
      <c r="D49" s="305" t="inlineStr">
        <is>
          <t>BRICEÑO TUESTA JOSE MARTIN</t>
        </is>
      </c>
      <c r="E49" s="241" t="inlineStr">
        <is>
          <t>DNI</t>
        </is>
      </c>
      <c r="F49" s="241" t="inlineStr">
        <is>
          <t>74627761</t>
        </is>
      </c>
      <c r="G49" s="336" t="n">
        <v>45675</v>
      </c>
      <c r="H49" s="241" t="inlineStr">
        <is>
          <t>7060</t>
        </is>
      </c>
      <c r="I49" s="332">
        <f>IFERROR(VLOOKUP(TEXT(H49,"0"),IPRESS!$A$3:$B$212,2,0),"")</f>
        <v/>
      </c>
      <c r="J49" s="241" t="inlineStr">
        <is>
          <t>4838</t>
        </is>
      </c>
      <c r="K49" s="332">
        <f>IFERROR(VLOOKUP(TEXT(O49,"0"),CONDUCTORES!$A$3:$G$100,7,0),"")</f>
        <v/>
      </c>
      <c r="L49" s="239" t="n">
        <v>18.18</v>
      </c>
      <c r="M49" s="239" t="n">
        <v>20</v>
      </c>
      <c r="N49" s="333">
        <f>IFERROR(IF(L49*M49=0,"",L49*M49),"")</f>
        <v/>
      </c>
      <c r="O49" s="334" t="n"/>
      <c r="P49" s="332">
        <f>IFERROR(VLOOKUP(TEXT(O49,"0"),CONDUCTORES!$A$3:$G$100,2,0),"")</f>
        <v/>
      </c>
      <c r="Q49" s="332">
        <f>IFERROR(VLOOKUP(TEXT(O49,"0"),CONDUCTORES!$A$3:$H$100,6,0),"")</f>
        <v/>
      </c>
      <c r="R49" s="280" t="inlineStr">
        <is>
          <t>ATENDIDO 18/06/2025</t>
        </is>
      </c>
      <c r="S49" s="305" t="inlineStr">
        <is>
          <t>F200</t>
        </is>
      </c>
      <c r="T49" s="335" t="inlineStr">
        <is>
          <t>APROBADO</t>
        </is>
      </c>
      <c r="U49" s="336" t="n">
        <v>45684</v>
      </c>
      <c r="V49" s="241" t="inlineStr">
        <is>
          <t>0041-2025</t>
        </is>
      </c>
      <c r="W49" s="241" t="inlineStr">
        <is>
          <t>539-2024</t>
        </is>
      </c>
      <c r="X49" s="241" t="inlineStr">
        <is>
          <t>163.0</t>
        </is>
      </c>
      <c r="Y49" s="280" t="n"/>
    </row>
    <row r="50" ht="15.75" customHeight="1" s="195">
      <c r="A50" s="301" t="n">
        <v>45</v>
      </c>
      <c r="B50" s="302" t="inlineStr">
        <is>
          <t>000000001</t>
        </is>
      </c>
      <c r="C50" s="301" t="inlineStr">
        <is>
          <t>REGION</t>
        </is>
      </c>
      <c r="D50" s="302" t="inlineStr">
        <is>
          <t>AGUILAR SALAZAR PEDRO</t>
        </is>
      </c>
      <c r="E50" s="301" t="inlineStr">
        <is>
          <t>DNI</t>
        </is>
      </c>
      <c r="F50" s="301" t="inlineStr">
        <is>
          <t>33799034</t>
        </is>
      </c>
      <c r="G50" s="331" t="n">
        <v>45660</v>
      </c>
      <c r="H50" s="301" t="inlineStr">
        <is>
          <t>7060</t>
        </is>
      </c>
      <c r="I50" s="332">
        <f>IFERROR(VLOOKUP(TEXT(H50,"0"),IPRESS!$A$3:$B$212,2,0),"")</f>
        <v/>
      </c>
      <c r="J50" s="301" t="inlineStr">
        <is>
          <t>4838</t>
        </is>
      </c>
      <c r="K50" s="332">
        <f>IFERROR(VLOOKUP(TEXT(O50,"0"),CONDUCTORES!$A$3:$G$100,7,0),"")</f>
        <v/>
      </c>
      <c r="L50" s="245" t="n">
        <v>18.18</v>
      </c>
      <c r="M50" s="245" t="n">
        <v>20</v>
      </c>
      <c r="N50" s="333">
        <f>IFERROR(IF(L50*M50=0,"",L50*M50),"")</f>
        <v/>
      </c>
      <c r="O50" s="280" t="n"/>
      <c r="P50" s="332">
        <f>IFERROR(VLOOKUP(TEXT(O50,"0"),CONDUCTORES!$A$3:$G$100,2,0),"")</f>
        <v/>
      </c>
      <c r="Q50" s="332">
        <f>IFERROR(VLOOKUP(TEXT(O50,"0"),CONDUCTORES!$A$3:$H$100,6,0),"")</f>
        <v/>
      </c>
      <c r="R50" s="334" t="inlineStr">
        <is>
          <t>ATENDIDO 18/06/2025</t>
        </is>
      </c>
      <c r="S50" s="302" t="inlineStr">
        <is>
          <t>G932-H401</t>
        </is>
      </c>
      <c r="T50" s="335" t="inlineStr">
        <is>
          <t>APROBADO</t>
        </is>
      </c>
      <c r="U50" s="331" t="n">
        <v>45684</v>
      </c>
      <c r="V50" s="301" t="inlineStr">
        <is>
          <t>0041-2025</t>
        </is>
      </c>
      <c r="W50" s="301" t="inlineStr">
        <is>
          <t>539-2024</t>
        </is>
      </c>
      <c r="X50" s="301" t="inlineStr">
        <is>
          <t>163.0</t>
        </is>
      </c>
      <c r="Y50" s="280" t="n"/>
    </row>
    <row r="51" ht="15.75" customHeight="1" s="195">
      <c r="A51" s="241" t="n">
        <v>46</v>
      </c>
      <c r="B51" s="305" t="inlineStr">
        <is>
          <t>000000002</t>
        </is>
      </c>
      <c r="C51" s="241" t="inlineStr">
        <is>
          <t>REGION</t>
        </is>
      </c>
      <c r="D51" s="305" t="inlineStr">
        <is>
          <t>LOPEZ GUADALUPE NARDY FIORELA</t>
        </is>
      </c>
      <c r="E51" s="241" t="inlineStr">
        <is>
          <t>DNI</t>
        </is>
      </c>
      <c r="F51" s="241" t="inlineStr">
        <is>
          <t>79521364</t>
        </is>
      </c>
      <c r="G51" s="336" t="n">
        <v>45666</v>
      </c>
      <c r="H51" s="241" t="inlineStr">
        <is>
          <t>7060</t>
        </is>
      </c>
      <c r="I51" s="332">
        <f>IFERROR(VLOOKUP(TEXT(H51,"0"),IPRESS!$A$3:$B$212,2,0),"")</f>
        <v/>
      </c>
      <c r="J51" s="241" t="inlineStr">
        <is>
          <t>4838</t>
        </is>
      </c>
      <c r="K51" s="332">
        <f>IFERROR(VLOOKUP(TEXT(O51,"0"),CONDUCTORES!$A$3:$G$100,7,0),"")</f>
        <v/>
      </c>
      <c r="L51" s="239" t="n">
        <v>18.18</v>
      </c>
      <c r="M51" s="239" t="n">
        <v>20</v>
      </c>
      <c r="N51" s="333">
        <f>IFERROR(IF(L51*M51=0,"",L51*M51),"")</f>
        <v/>
      </c>
      <c r="O51" s="334" t="n"/>
      <c r="P51" s="332">
        <f>IFERROR(VLOOKUP(TEXT(O51,"0"),CONDUCTORES!$A$3:$G$100,2,0),"")</f>
        <v/>
      </c>
      <c r="Q51" s="332">
        <f>IFERROR(VLOOKUP(TEXT(O51,"0"),CONDUCTORES!$A$3:$H$100,6,0),"")</f>
        <v/>
      </c>
      <c r="R51" s="280" t="inlineStr">
        <is>
          <t>ATENDIDO 18/06/2025</t>
        </is>
      </c>
      <c r="S51" s="305" t="inlineStr">
        <is>
          <t>D610</t>
        </is>
      </c>
      <c r="T51" s="335" t="inlineStr">
        <is>
          <t>APROBADO</t>
        </is>
      </c>
      <c r="U51" s="336" t="n">
        <v>45684</v>
      </c>
      <c r="V51" s="241" t="inlineStr">
        <is>
          <t>0041-2025</t>
        </is>
      </c>
      <c r="W51" s="241" t="inlineStr">
        <is>
          <t>539-2024</t>
        </is>
      </c>
      <c r="X51" s="241" t="inlineStr">
        <is>
          <t>163.0</t>
        </is>
      </c>
      <c r="Y51" s="280" t="n"/>
    </row>
    <row r="52" ht="15.75" customHeight="1" s="195">
      <c r="A52" s="301" t="n">
        <v>47</v>
      </c>
      <c r="B52" s="302" t="inlineStr">
        <is>
          <t>000000003</t>
        </is>
      </c>
      <c r="C52" s="301" t="inlineStr">
        <is>
          <t>REGION</t>
        </is>
      </c>
      <c r="D52" s="302" t="inlineStr">
        <is>
          <t>GUEVARA ZUTA MARLITH</t>
        </is>
      </c>
      <c r="E52" s="301" t="inlineStr">
        <is>
          <t>DNI</t>
        </is>
      </c>
      <c r="F52" s="301" t="inlineStr">
        <is>
          <t>74914342</t>
        </is>
      </c>
      <c r="G52" s="331" t="n">
        <v>45674</v>
      </c>
      <c r="H52" s="301" t="inlineStr">
        <is>
          <t>4843</t>
        </is>
      </c>
      <c r="I52" s="332">
        <f>IFERROR(VLOOKUP(TEXT(H52,"0"),IPRESS!$A$3:$B$212,2,0),"")</f>
        <v/>
      </c>
      <c r="J52" s="301" t="inlineStr">
        <is>
          <t>4838</t>
        </is>
      </c>
      <c r="K52" s="332">
        <f>IFERROR(VLOOKUP(TEXT(O52,"0"),CONDUCTORES!$A$3:$G$100,7,0),"")</f>
        <v/>
      </c>
      <c r="L52" s="245" t="n">
        <v>18.18</v>
      </c>
      <c r="M52" s="245" t="n">
        <v>20</v>
      </c>
      <c r="N52" s="333">
        <f>IFERROR(IF(L52*M52=0,"",L52*M52),"")</f>
        <v/>
      </c>
      <c r="O52" s="280" t="n"/>
      <c r="P52" s="332">
        <f>IFERROR(VLOOKUP(TEXT(O52,"0"),CONDUCTORES!$A$3:$G$100,2,0),"")</f>
        <v/>
      </c>
      <c r="Q52" s="332">
        <f>IFERROR(VLOOKUP(TEXT(O52,"0"),CONDUCTORES!$A$3:$H$100,6,0),"")</f>
        <v/>
      </c>
      <c r="R52" s="334" t="inlineStr">
        <is>
          <t>ATENDIDO 18/06/2025</t>
        </is>
      </c>
      <c r="S52" s="302" t="inlineStr">
        <is>
          <t>Z359-O759</t>
        </is>
      </c>
      <c r="T52" s="335" t="inlineStr">
        <is>
          <t>APROBADO</t>
        </is>
      </c>
      <c r="U52" s="331" t="n">
        <v>45691</v>
      </c>
      <c r="V52" s="301" t="inlineStr">
        <is>
          <t>0041-2025</t>
        </is>
      </c>
      <c r="W52" s="301" t="inlineStr">
        <is>
          <t>539-2024</t>
        </is>
      </c>
      <c r="X52" s="301" t="inlineStr">
        <is>
          <t>163.0</t>
        </is>
      </c>
      <c r="Y52" s="280" t="n"/>
    </row>
    <row r="53" ht="15.75" customHeight="1" s="195">
      <c r="A53" s="241" t="n">
        <v>48</v>
      </c>
      <c r="B53" s="305" t="inlineStr">
        <is>
          <t>00000003</t>
        </is>
      </c>
      <c r="C53" s="241" t="inlineStr">
        <is>
          <t>REGION</t>
        </is>
      </c>
      <c r="D53" s="305" t="inlineStr">
        <is>
          <t>FERNANDEZ CHUQUIDEN ROSALITH</t>
        </is>
      </c>
      <c r="E53" s="241" t="inlineStr">
        <is>
          <t>DNI</t>
        </is>
      </c>
      <c r="F53" s="241" t="inlineStr">
        <is>
          <t>73531189</t>
        </is>
      </c>
      <c r="G53" s="336" t="n">
        <v>45679</v>
      </c>
      <c r="H53" s="241" t="inlineStr">
        <is>
          <t>4876</t>
        </is>
      </c>
      <c r="I53" s="332">
        <f>IFERROR(VLOOKUP(TEXT(H53,"0"),IPRESS!$A$3:$B$212,2,0),"")</f>
        <v/>
      </c>
      <c r="J53" s="241" t="inlineStr">
        <is>
          <t>4838</t>
        </is>
      </c>
      <c r="K53" s="332">
        <f>IFERROR(VLOOKUP(TEXT(O53,"0"),CONDUCTORES!$A$3:$G$100,7,0),"")</f>
        <v/>
      </c>
      <c r="L53" s="239" t="n">
        <v>18.18</v>
      </c>
      <c r="M53" s="239" t="n">
        <v>30</v>
      </c>
      <c r="N53" s="333">
        <f>IFERROR(IF(L53*M53=0,"",L53*M53),"")</f>
        <v/>
      </c>
      <c r="O53" s="334" t="n"/>
      <c r="P53" s="332">
        <f>IFERROR(VLOOKUP(TEXT(O53,"0"),CONDUCTORES!$A$3:$G$100,2,0),"")</f>
        <v/>
      </c>
      <c r="Q53" s="332">
        <f>IFERROR(VLOOKUP(TEXT(O53,"0"),CONDUCTORES!$A$3:$H$100,6,0),"")</f>
        <v/>
      </c>
      <c r="R53" s="280" t="inlineStr">
        <is>
          <t>ATENDIDO 19/05/2025</t>
        </is>
      </c>
      <c r="S53" s="305" t="inlineStr">
        <is>
          <t>Z359-O321-O429</t>
        </is>
      </c>
      <c r="T53" s="335" t="inlineStr">
        <is>
          <t>APROBADO</t>
        </is>
      </c>
      <c r="U53" s="336" t="n">
        <v>45698</v>
      </c>
      <c r="V53" s="241" t="n"/>
      <c r="W53" s="241" t="inlineStr">
        <is>
          <t>0000108- ADENDA N°001-2025 DRSA/OEA-O.ABAST</t>
        </is>
      </c>
      <c r="X53" s="241" t="inlineStr">
        <is>
          <t>256.0</t>
        </is>
      </c>
      <c r="Y53" s="280" t="n"/>
    </row>
    <row r="54" ht="15.75" customHeight="1" s="195">
      <c r="A54" s="301" t="n">
        <v>49</v>
      </c>
      <c r="B54" s="302" t="inlineStr">
        <is>
          <t>000000004</t>
        </is>
      </c>
      <c r="C54" s="301" t="inlineStr">
        <is>
          <t>REGION</t>
        </is>
      </c>
      <c r="D54" s="302" t="inlineStr">
        <is>
          <t>PUERTA HUAMAN MARLENI</t>
        </is>
      </c>
      <c r="E54" s="301" t="inlineStr">
        <is>
          <t>DNI</t>
        </is>
      </c>
      <c r="F54" s="301" t="inlineStr">
        <is>
          <t>45735382</t>
        </is>
      </c>
      <c r="G54" s="331" t="n">
        <v>45677</v>
      </c>
      <c r="H54" s="301" t="inlineStr">
        <is>
          <t>4904</t>
        </is>
      </c>
      <c r="I54" s="332">
        <f>IFERROR(VLOOKUP(TEXT(H54,"0"),IPRESS!$A$3:$B$212,2,0),"")</f>
        <v/>
      </c>
      <c r="J54" s="301" t="inlineStr">
        <is>
          <t>4838</t>
        </is>
      </c>
      <c r="K54" s="332">
        <f>IFERROR(VLOOKUP(TEXT(O54,"0"),CONDUCTORES!$A$3:$G$100,7,0),"")</f>
        <v/>
      </c>
      <c r="L54" s="245" t="n">
        <v>18.18</v>
      </c>
      <c r="M54" s="245" t="n">
        <v>8</v>
      </c>
      <c r="N54" s="333">
        <f>IFERROR(IF(L54*M54=0,"",L54*M54),"")</f>
        <v/>
      </c>
      <c r="O54" s="280" t="n"/>
      <c r="P54" s="332">
        <f>IFERROR(VLOOKUP(TEXT(O54,"0"),CONDUCTORES!$A$3:$G$100,2,0),"")</f>
        <v/>
      </c>
      <c r="Q54" s="332">
        <f>IFERROR(VLOOKUP(TEXT(O54,"0"),CONDUCTORES!$A$3:$H$100,6,0),"")</f>
        <v/>
      </c>
      <c r="R54" s="334" t="inlineStr">
        <is>
          <t>ATENDIDO 19/05/2025</t>
        </is>
      </c>
      <c r="S54" s="302" t="inlineStr">
        <is>
          <t>O429</t>
        </is>
      </c>
      <c r="T54" s="335" t="inlineStr">
        <is>
          <t>APROBADO</t>
        </is>
      </c>
      <c r="U54" s="331" t="n">
        <v>45705</v>
      </c>
      <c r="V54" s="301" t="n"/>
      <c r="W54" s="301" t="inlineStr">
        <is>
          <t>0000108- ADENDA N°001-2025 DRSA/OEA-O.ABAST</t>
        </is>
      </c>
      <c r="X54" s="301" t="inlineStr">
        <is>
          <t>256.0</t>
        </is>
      </c>
      <c r="Y54" s="280" t="n"/>
    </row>
    <row r="55" ht="15.75" customHeight="1" s="195">
      <c r="A55" s="241" t="n">
        <v>50</v>
      </c>
      <c r="B55" s="305" t="inlineStr">
        <is>
          <t>000000001</t>
        </is>
      </c>
      <c r="C55" s="241" t="inlineStr">
        <is>
          <t>REGION</t>
        </is>
      </c>
      <c r="D55" s="305" t="inlineStr">
        <is>
          <t>ALVARADO JANAMPA LENIN BENITO</t>
        </is>
      </c>
      <c r="E55" s="241" t="inlineStr">
        <is>
          <t>DNI</t>
        </is>
      </c>
      <c r="F55" s="241" t="inlineStr">
        <is>
          <t>76187839</t>
        </is>
      </c>
      <c r="G55" s="336" t="n">
        <v>45666</v>
      </c>
      <c r="H55" s="241" t="inlineStr">
        <is>
          <t>4904</t>
        </is>
      </c>
      <c r="I55" s="332">
        <f>IFERROR(VLOOKUP(TEXT(H55,"0"),IPRESS!$A$3:$B$212,2,0),"")</f>
        <v/>
      </c>
      <c r="J55" s="241" t="inlineStr">
        <is>
          <t>4838</t>
        </is>
      </c>
      <c r="K55" s="332">
        <f>IFERROR(VLOOKUP(TEXT(O55,"0"),CONDUCTORES!$A$3:$G$100,7,0),"")</f>
        <v/>
      </c>
      <c r="L55" s="239" t="n">
        <v>18.18</v>
      </c>
      <c r="M55" s="239" t="n">
        <v>8</v>
      </c>
      <c r="N55" s="333">
        <f>IFERROR(IF(L55*M55=0,"",L55*M55),"")</f>
        <v/>
      </c>
      <c r="O55" s="334" t="n"/>
      <c r="P55" s="332">
        <f>IFERROR(VLOOKUP(TEXT(O55,"0"),CONDUCTORES!$A$3:$G$100,2,0),"")</f>
        <v/>
      </c>
      <c r="Q55" s="332">
        <f>IFERROR(VLOOKUP(TEXT(O55,"0"),CONDUCTORES!$A$3:$H$100,6,0),"")</f>
        <v/>
      </c>
      <c r="R55" s="280" t="inlineStr">
        <is>
          <t>ATENDIDO 19/05/2025</t>
        </is>
      </c>
      <c r="S55" s="305" t="inlineStr">
        <is>
          <t>S022-I678</t>
        </is>
      </c>
      <c r="T55" s="335" t="inlineStr">
        <is>
          <t>APROBADO</t>
        </is>
      </c>
      <c r="U55" s="336" t="n">
        <v>45705</v>
      </c>
      <c r="V55" s="241" t="n"/>
      <c r="W55" s="241" t="inlineStr">
        <is>
          <t>0000108- ADENDA N°001-2025 DRSA/OEA-O.ABAST</t>
        </is>
      </c>
      <c r="X55" s="241" t="inlineStr">
        <is>
          <t>256.0</t>
        </is>
      </c>
      <c r="Y55" s="280" t="n"/>
    </row>
    <row r="56" ht="15.75" customHeight="1" s="195">
      <c r="A56" s="301" t="n">
        <v>51</v>
      </c>
      <c r="B56" s="302" t="inlineStr">
        <is>
          <t>000000002</t>
        </is>
      </c>
      <c r="C56" s="301" t="inlineStr">
        <is>
          <t>REGION</t>
        </is>
      </c>
      <c r="D56" s="302" t="inlineStr">
        <is>
          <t>VERGARAY RAMIREZ NESTOR LUCAS</t>
        </is>
      </c>
      <c r="E56" s="301" t="inlineStr">
        <is>
          <t>DNI</t>
        </is>
      </c>
      <c r="F56" s="301" t="inlineStr">
        <is>
          <t>33421499</t>
        </is>
      </c>
      <c r="G56" s="331" t="n">
        <v>45670</v>
      </c>
      <c r="H56" s="301" t="inlineStr">
        <is>
          <t>4904</t>
        </is>
      </c>
      <c r="I56" s="332">
        <f>IFERROR(VLOOKUP(TEXT(H56,"0"),IPRESS!$A$3:$B$212,2,0),"")</f>
        <v/>
      </c>
      <c r="J56" s="301" t="inlineStr">
        <is>
          <t>4838</t>
        </is>
      </c>
      <c r="K56" s="332">
        <f>IFERROR(VLOOKUP(TEXT(O56,"0"),CONDUCTORES!$A$3:$G$100,7,0),"")</f>
        <v/>
      </c>
      <c r="L56" s="245" t="n">
        <v>18.18</v>
      </c>
      <c r="M56" s="245" t="n">
        <v>8</v>
      </c>
      <c r="N56" s="333">
        <f>IFERROR(IF(L56*M56=0,"",L56*M56),"")</f>
        <v/>
      </c>
      <c r="O56" s="280" t="n"/>
      <c r="P56" s="332">
        <f>IFERROR(VLOOKUP(TEXT(O56,"0"),CONDUCTORES!$A$3:$G$100,2,0),"")</f>
        <v/>
      </c>
      <c r="Q56" s="332">
        <f>IFERROR(VLOOKUP(TEXT(O56,"0"),CONDUCTORES!$A$3:$H$100,6,0),"")</f>
        <v/>
      </c>
      <c r="R56" s="334" t="inlineStr">
        <is>
          <t>ATENDIDO 19/05/2025</t>
        </is>
      </c>
      <c r="S56" s="302" t="inlineStr">
        <is>
          <t>A419-N170-R601</t>
        </is>
      </c>
      <c r="T56" s="335" t="inlineStr">
        <is>
          <t>APROBADO</t>
        </is>
      </c>
      <c r="U56" s="331" t="n">
        <v>45705</v>
      </c>
      <c r="V56" s="301" t="n"/>
      <c r="W56" s="301" t="inlineStr">
        <is>
          <t>0000108- ADENDA N°001-2025 DRSA/OEA-O.ABAST</t>
        </is>
      </c>
      <c r="X56" s="301" t="inlineStr">
        <is>
          <t>256.0</t>
        </is>
      </c>
      <c r="Y56" s="280" t="n"/>
    </row>
    <row r="57" ht="15.75" customHeight="1" s="195">
      <c r="A57" s="241" t="n">
        <v>52</v>
      </c>
      <c r="B57" s="305" t="inlineStr">
        <is>
          <t>000000003</t>
        </is>
      </c>
      <c r="C57" s="241" t="inlineStr">
        <is>
          <t>REGION</t>
        </is>
      </c>
      <c r="D57" s="305" t="inlineStr">
        <is>
          <t xml:space="preserve">HUAMAN ROJAS ROBINSON </t>
        </is>
      </c>
      <c r="E57" s="241" t="inlineStr">
        <is>
          <t>DNI</t>
        </is>
      </c>
      <c r="F57" s="241" t="inlineStr">
        <is>
          <t>75934907</t>
        </is>
      </c>
      <c r="G57" s="336" t="n">
        <v>45672</v>
      </c>
      <c r="H57" s="241" t="inlineStr">
        <is>
          <t>4904</t>
        </is>
      </c>
      <c r="I57" s="332">
        <f>IFERROR(VLOOKUP(TEXT(H57,"0"),IPRESS!$A$3:$B$212,2,0),"")</f>
        <v/>
      </c>
      <c r="J57" s="241" t="inlineStr">
        <is>
          <t>4838</t>
        </is>
      </c>
      <c r="K57" s="332">
        <f>IFERROR(VLOOKUP(TEXT(O57,"0"),CONDUCTORES!$A$3:$G$100,7,0),"")</f>
        <v/>
      </c>
      <c r="L57" s="239" t="n">
        <v>18.18</v>
      </c>
      <c r="M57" s="239" t="n">
        <v>8</v>
      </c>
      <c r="N57" s="333">
        <f>IFERROR(IF(L57*M57=0,"",L57*M57),"")</f>
        <v/>
      </c>
      <c r="O57" s="334" t="n"/>
      <c r="P57" s="332">
        <f>IFERROR(VLOOKUP(TEXT(O57,"0"),CONDUCTORES!$A$3:$G$100,2,0),"")</f>
        <v/>
      </c>
      <c r="Q57" s="332">
        <f>IFERROR(VLOOKUP(TEXT(O57,"0"),CONDUCTORES!$A$3:$H$100,6,0),"")</f>
        <v/>
      </c>
      <c r="R57" s="280" t="inlineStr">
        <is>
          <t>ATENDIDO 19/05/2025</t>
        </is>
      </c>
      <c r="S57" s="305" t="inlineStr">
        <is>
          <t>T210-G822</t>
        </is>
      </c>
      <c r="T57" s="335" t="inlineStr">
        <is>
          <t>APROBADO</t>
        </is>
      </c>
      <c r="U57" s="336" t="n">
        <v>45705</v>
      </c>
      <c r="V57" s="241" t="n"/>
      <c r="W57" s="241" t="inlineStr">
        <is>
          <t>0000108- ADENDA N°001-2025 DRSA/OEA-O.ABAST</t>
        </is>
      </c>
      <c r="X57" s="241" t="inlineStr">
        <is>
          <t>256.0</t>
        </is>
      </c>
      <c r="Y57" s="280" t="n"/>
    </row>
    <row r="58" ht="15.75" customHeight="1" s="195">
      <c r="A58" s="301" t="n">
        <v>53</v>
      </c>
      <c r="B58" s="302" t="inlineStr">
        <is>
          <t>000000003</t>
        </is>
      </c>
      <c r="C58" s="301" t="inlineStr">
        <is>
          <t>REGION</t>
        </is>
      </c>
      <c r="D58" s="302" t="inlineStr">
        <is>
          <t>PUERTA GUIOP DUBERLITH</t>
        </is>
      </c>
      <c r="E58" s="301" t="inlineStr">
        <is>
          <t>DNI</t>
        </is>
      </c>
      <c r="F58" s="301" t="inlineStr">
        <is>
          <t>75056301</t>
        </is>
      </c>
      <c r="G58" s="331" t="n">
        <v>45672</v>
      </c>
      <c r="H58" s="301" t="inlineStr">
        <is>
          <t>4905</t>
        </is>
      </c>
      <c r="I58" s="332">
        <f>IFERROR(VLOOKUP(TEXT(H58,"0"),IPRESS!$A$3:$B$212,2,0),"")</f>
        <v/>
      </c>
      <c r="J58" s="301" t="inlineStr">
        <is>
          <t>4838</t>
        </is>
      </c>
      <c r="K58" s="332">
        <f>IFERROR(VLOOKUP(TEXT(O58,"0"),CONDUCTORES!$A$3:$G$100,7,0),"")</f>
        <v/>
      </c>
      <c r="L58" s="245" t="n">
        <v>18.18</v>
      </c>
      <c r="M58" s="245" t="n">
        <v>8</v>
      </c>
      <c r="N58" s="333">
        <f>IFERROR(IF(L58*M58=0,"",L58*M58),"")</f>
        <v/>
      </c>
      <c r="O58" s="280" t="n"/>
      <c r="P58" s="332">
        <f>IFERROR(VLOOKUP(TEXT(O58,"0"),CONDUCTORES!$A$3:$G$100,2,0),"")</f>
        <v/>
      </c>
      <c r="Q58" s="332">
        <f>IFERROR(VLOOKUP(TEXT(O58,"0"),CONDUCTORES!$A$3:$H$100,6,0),"")</f>
        <v/>
      </c>
      <c r="R58" s="334" t="inlineStr">
        <is>
          <t>ATENDIDO 19/06/2025</t>
        </is>
      </c>
      <c r="S58" s="302" t="inlineStr">
        <is>
          <t>Z359-0438</t>
        </is>
      </c>
      <c r="T58" s="335" t="inlineStr">
        <is>
          <t>APROBADO</t>
        </is>
      </c>
      <c r="U58" s="331" t="n">
        <v>45691</v>
      </c>
      <c r="V58" s="301" t="n"/>
      <c r="W58" s="301" t="inlineStr">
        <is>
          <t>0000108- ADENDA N°001-2025 DRSA/OEA-O.ABAST</t>
        </is>
      </c>
      <c r="X58" s="301" t="inlineStr">
        <is>
          <t>256.0</t>
        </is>
      </c>
      <c r="Y58" s="280" t="n"/>
    </row>
    <row r="59" ht="15.75" customHeight="1" s="195">
      <c r="A59" s="241" t="n">
        <v>54</v>
      </c>
      <c r="B59" s="305" t="inlineStr">
        <is>
          <t>000000004</t>
        </is>
      </c>
      <c r="C59" s="241" t="inlineStr">
        <is>
          <t>REGION</t>
        </is>
      </c>
      <c r="D59" s="305" t="inlineStr">
        <is>
          <t>HUAMAN REYNOSO ERMELINDA</t>
        </is>
      </c>
      <c r="E59" s="241" t="inlineStr">
        <is>
          <t>DNI</t>
        </is>
      </c>
      <c r="F59" s="241" t="inlineStr">
        <is>
          <t>45250156</t>
        </is>
      </c>
      <c r="G59" s="336" t="n">
        <v>45674</v>
      </c>
      <c r="H59" s="241" t="inlineStr">
        <is>
          <t>4905</t>
        </is>
      </c>
      <c r="I59" s="332">
        <f>IFERROR(VLOOKUP(TEXT(H59,"0"),IPRESS!$A$3:$B$212,2,0),"")</f>
        <v/>
      </c>
      <c r="J59" s="241" t="inlineStr">
        <is>
          <t>4838</t>
        </is>
      </c>
      <c r="K59" s="332">
        <f>IFERROR(VLOOKUP(TEXT(O59,"0"),CONDUCTORES!$A$3:$G$100,7,0),"")</f>
        <v/>
      </c>
      <c r="L59" s="239" t="n">
        <v>18.18</v>
      </c>
      <c r="M59" s="239" t="n">
        <v>8</v>
      </c>
      <c r="N59" s="333">
        <f>IFERROR(IF(L59*M59=0,"",L59*M59),"")</f>
        <v/>
      </c>
      <c r="O59" s="334" t="n"/>
      <c r="P59" s="332">
        <f>IFERROR(VLOOKUP(TEXT(O59,"0"),CONDUCTORES!$A$3:$G$100,2,0),"")</f>
        <v/>
      </c>
      <c r="Q59" s="332">
        <f>IFERROR(VLOOKUP(TEXT(O59,"0"),CONDUCTORES!$A$3:$H$100,6,0),"")</f>
        <v/>
      </c>
      <c r="R59" s="280" t="inlineStr">
        <is>
          <t>ATENDIDO 19/06/2025</t>
        </is>
      </c>
      <c r="S59" s="305" t="inlineStr">
        <is>
          <t>Z359-Z368-O429</t>
        </is>
      </c>
      <c r="T59" s="335" t="inlineStr">
        <is>
          <t>APROBADO</t>
        </is>
      </c>
      <c r="U59" s="336" t="n">
        <v>45691</v>
      </c>
      <c r="V59" s="241" t="n"/>
      <c r="W59" s="241" t="inlineStr">
        <is>
          <t>0000108- ADENDA N°001-2025 DRSA/OEA-O.ABAST</t>
        </is>
      </c>
      <c r="X59" s="241" t="inlineStr">
        <is>
          <t>256.0</t>
        </is>
      </c>
      <c r="Y59" s="280" t="n"/>
    </row>
    <row r="60" ht="15.75" customHeight="1" s="195">
      <c r="A60" s="301" t="n">
        <v>55</v>
      </c>
      <c r="B60" s="302" t="inlineStr">
        <is>
          <t>000000005</t>
        </is>
      </c>
      <c r="C60" s="301" t="inlineStr">
        <is>
          <t>REGION</t>
        </is>
      </c>
      <c r="D60" s="302" t="inlineStr">
        <is>
          <t>HUAMAN CRUZ MANUEL</t>
        </is>
      </c>
      <c r="E60" s="301" t="inlineStr">
        <is>
          <t>DNI</t>
        </is>
      </c>
      <c r="F60" s="301" t="inlineStr">
        <is>
          <t>33416588</t>
        </is>
      </c>
      <c r="G60" s="331" t="n">
        <v>45684</v>
      </c>
      <c r="H60" s="301" t="inlineStr">
        <is>
          <t>4905</t>
        </is>
      </c>
      <c r="I60" s="332">
        <f>IFERROR(VLOOKUP(TEXT(H60,"0"),IPRESS!$A$3:$B$212,2,0),"")</f>
        <v/>
      </c>
      <c r="J60" s="301" t="inlineStr">
        <is>
          <t>4838</t>
        </is>
      </c>
      <c r="K60" s="332">
        <f>IFERROR(VLOOKUP(TEXT(O60,"0"),CONDUCTORES!$A$3:$G$100,7,0),"")</f>
        <v/>
      </c>
      <c r="L60" s="245" t="n">
        <v>18.18</v>
      </c>
      <c r="M60" s="245" t="n">
        <v>8</v>
      </c>
      <c r="N60" s="333">
        <f>IFERROR(IF(L60*M60=0,"",L60*M60),"")</f>
        <v/>
      </c>
      <c r="O60" s="280" t="n"/>
      <c r="P60" s="332">
        <f>IFERROR(VLOOKUP(TEXT(O60,"0"),CONDUCTORES!$A$3:$G$100,2,0),"")</f>
        <v/>
      </c>
      <c r="Q60" s="332">
        <f>IFERROR(VLOOKUP(TEXT(O60,"0"),CONDUCTORES!$A$3:$H$100,6,0),"")</f>
        <v/>
      </c>
      <c r="R60" s="334" t="inlineStr">
        <is>
          <t>ATENDIDO 19/06/2025</t>
        </is>
      </c>
      <c r="S60" s="302" t="inlineStr">
        <is>
          <t>J159,I639,R060</t>
        </is>
      </c>
      <c r="T60" s="301" t="n"/>
      <c r="U60" s="331" t="n">
        <v>45721</v>
      </c>
      <c r="V60" s="301" t="n"/>
      <c r="W60" s="301" t="inlineStr">
        <is>
          <t>0000108- ADENDA N°001-2025 DRSA/OEA-O.ABAST</t>
        </is>
      </c>
      <c r="X60" s="301" t="inlineStr">
        <is>
          <t>256.0</t>
        </is>
      </c>
      <c r="Y60" s="280" t="n"/>
    </row>
    <row r="61" ht="15.75" customHeight="1" s="195">
      <c r="A61" s="241" t="n">
        <v>56</v>
      </c>
      <c r="B61" s="305" t="inlineStr">
        <is>
          <t>000000001</t>
        </is>
      </c>
      <c r="C61" s="241" t="inlineStr">
        <is>
          <t>REGION</t>
        </is>
      </c>
      <c r="D61" s="305" t="inlineStr">
        <is>
          <t>EDQUEN MUÑOZ ANA CELY</t>
        </is>
      </c>
      <c r="E61" s="241" t="inlineStr">
        <is>
          <t>DNI</t>
        </is>
      </c>
      <c r="F61" s="241" t="inlineStr">
        <is>
          <t>48403967</t>
        </is>
      </c>
      <c r="G61" s="336" t="n">
        <v>45688</v>
      </c>
      <c r="H61" s="241" t="inlineStr">
        <is>
          <t>4916</t>
        </is>
      </c>
      <c r="I61" s="332">
        <f>IFERROR(VLOOKUP(TEXT(H61,"0"),IPRESS!$A$3:$B$212,2,0),"")</f>
        <v/>
      </c>
      <c r="J61" s="241" t="inlineStr">
        <is>
          <t>4838</t>
        </is>
      </c>
      <c r="K61" s="332">
        <f>IFERROR(VLOOKUP(TEXT(O61,"0"),CONDUCTORES!$A$3:$G$100,7,0),"")</f>
        <v/>
      </c>
      <c r="L61" s="239" t="n">
        <v>18.18</v>
      </c>
      <c r="M61" s="239" t="n">
        <v>15</v>
      </c>
      <c r="N61" s="333">
        <f>IFERROR(IF(L61*M61=0,"",L61*M61),"")</f>
        <v/>
      </c>
      <c r="O61" s="334" t="n"/>
      <c r="P61" s="332">
        <f>IFERROR(VLOOKUP(TEXT(O61,"0"),CONDUCTORES!$A$3:$G$100,2,0),"")</f>
        <v/>
      </c>
      <c r="Q61" s="332">
        <f>IFERROR(VLOOKUP(TEXT(O61,"0"),CONDUCTORES!$A$3:$H$100,6,0),"")</f>
        <v/>
      </c>
      <c r="R61" s="280" t="inlineStr">
        <is>
          <t>ATENDIDO 20/06/2025</t>
        </is>
      </c>
      <c r="S61" s="305" t="inlineStr">
        <is>
          <t>Z359,O440,O342</t>
        </is>
      </c>
      <c r="T61" s="241" t="n"/>
      <c r="U61" s="336" t="n">
        <v>45721</v>
      </c>
      <c r="V61" s="241" t="n"/>
      <c r="W61" s="241" t="n"/>
      <c r="X61" s="241" t="n"/>
      <c r="Y61" s="280" t="n"/>
    </row>
    <row r="62" ht="15.75" customHeight="1" s="195">
      <c r="A62" s="301" t="n">
        <v>57</v>
      </c>
      <c r="B62" s="302" t="inlineStr">
        <is>
          <t>00000001</t>
        </is>
      </c>
      <c r="C62" s="301" t="inlineStr">
        <is>
          <t>REGION</t>
        </is>
      </c>
      <c r="D62" s="302" t="inlineStr">
        <is>
          <t>LLATANCE ACOSTA KEILY</t>
        </is>
      </c>
      <c r="E62" s="301" t="inlineStr">
        <is>
          <t>DNI</t>
        </is>
      </c>
      <c r="F62" s="301" t="inlineStr">
        <is>
          <t>74428497</t>
        </is>
      </c>
      <c r="G62" s="331" t="n">
        <v>45688</v>
      </c>
      <c r="H62" s="301" t="inlineStr">
        <is>
          <t>4955</t>
        </is>
      </c>
      <c r="I62" s="332">
        <f>IFERROR(VLOOKUP(TEXT(H62,"0"),IPRESS!$A$3:$B$212,2,0),"")</f>
        <v/>
      </c>
      <c r="J62" s="301" t="inlineStr">
        <is>
          <t>4950</t>
        </is>
      </c>
      <c r="K62" s="332">
        <f>IFERROR(VLOOKUP(TEXT(O62,"0"),CONDUCTORES!$A$3:$G$100,7,0),"")</f>
        <v/>
      </c>
      <c r="L62" s="245" t="n">
        <v>20.25</v>
      </c>
      <c r="M62" s="245" t="n">
        <v>8</v>
      </c>
      <c r="N62" s="333">
        <f>IFERROR(IF(L62*M62=0,"",L62*M62),"")</f>
        <v/>
      </c>
      <c r="O62" s="280" t="n"/>
      <c r="P62" s="332">
        <f>IFERROR(VLOOKUP(TEXT(O62,"0"),CONDUCTORES!$A$3:$G$100,2,0),"")</f>
        <v/>
      </c>
      <c r="Q62" s="332">
        <f>IFERROR(VLOOKUP(TEXT(O62,"0"),CONDUCTORES!$A$3:$H$100,6,0),"")</f>
        <v/>
      </c>
      <c r="R62" s="334" t="inlineStr">
        <is>
          <t>ATENDIDO 20/06/2025</t>
        </is>
      </c>
      <c r="S62" s="302" t="inlineStr">
        <is>
          <t>O429</t>
        </is>
      </c>
      <c r="T62" s="301" t="n"/>
      <c r="U62" s="331" t="n">
        <v>45729</v>
      </c>
      <c r="V62" s="301" t="n"/>
      <c r="W62" s="301" t="n"/>
      <c r="X62" s="301" t="n"/>
      <c r="Y62" s="280" t="n"/>
    </row>
    <row r="63" ht="15.75" customHeight="1" s="195">
      <c r="A63" s="241" t="n">
        <v>58</v>
      </c>
      <c r="B63" s="305" t="inlineStr">
        <is>
          <t>00000002</t>
        </is>
      </c>
      <c r="C63" s="241" t="inlineStr">
        <is>
          <t>REGION</t>
        </is>
      </c>
      <c r="D63" s="305" t="inlineStr">
        <is>
          <t>MEDINA ALTAMIRANO EDELITA</t>
        </is>
      </c>
      <c r="E63" s="241" t="inlineStr">
        <is>
          <t>DNI</t>
        </is>
      </c>
      <c r="F63" s="241" t="inlineStr">
        <is>
          <t>74858358</t>
        </is>
      </c>
      <c r="G63" s="336" t="n">
        <v>45661</v>
      </c>
      <c r="H63" s="241" t="inlineStr">
        <is>
          <t>4874</t>
        </is>
      </c>
      <c r="I63" s="332">
        <f>IFERROR(VLOOKUP(TEXT(H63,"0"),IPRESS!$A$3:$B$212,2,0),"")</f>
        <v/>
      </c>
      <c r="J63" s="241" t="inlineStr">
        <is>
          <t>4838</t>
        </is>
      </c>
      <c r="K63" s="332">
        <f>IFERROR(VLOOKUP(TEXT(O63,"0"),CONDUCTORES!$A$3:$G$100,7,0),"")</f>
        <v/>
      </c>
      <c r="L63" s="239" t="n">
        <v>18.18</v>
      </c>
      <c r="M63" s="239" t="n">
        <v>25</v>
      </c>
      <c r="N63" s="333">
        <f>IFERROR(IF(L63*M63=0,"",L63*M63),"")</f>
        <v/>
      </c>
      <c r="O63" s="334" t="n"/>
      <c r="P63" s="332">
        <f>IFERROR(VLOOKUP(TEXT(O63,"0"),CONDUCTORES!$A$3:$G$100,2,0),"")</f>
        <v/>
      </c>
      <c r="Q63" s="332">
        <f>IFERROR(VLOOKUP(TEXT(O63,"0"),CONDUCTORES!$A$3:$H$100,6,0),"")</f>
        <v/>
      </c>
      <c r="R63" s="280" t="inlineStr">
        <is>
          <t>ATENDIDO 30/04/2025</t>
        </is>
      </c>
      <c r="S63" s="305" t="inlineStr">
        <is>
          <t>O85X</t>
        </is>
      </c>
      <c r="T63" s="335" t="inlineStr">
        <is>
          <t>APROBADO</t>
        </is>
      </c>
      <c r="U63" s="336" t="n">
        <v>45705</v>
      </c>
      <c r="V63" s="241" t="inlineStr">
        <is>
          <t>OFICIO 1716-2025</t>
        </is>
      </c>
      <c r="W63" s="241" t="inlineStr">
        <is>
          <t>0000108- ADENDA N°001-2025 DRSA/OEA-O.ABAST</t>
        </is>
      </c>
      <c r="X63" s="241" t="inlineStr">
        <is>
          <t>256.0</t>
        </is>
      </c>
      <c r="Y63" s="280" t="n"/>
    </row>
    <row r="64" ht="15.75" customHeight="1" s="195">
      <c r="A64" s="301" t="n">
        <v>59</v>
      </c>
      <c r="B64" s="302" t="inlineStr">
        <is>
          <t>00000008</t>
        </is>
      </c>
      <c r="C64" s="301" t="inlineStr">
        <is>
          <t>REGION</t>
        </is>
      </c>
      <c r="D64" s="302" t="inlineStr">
        <is>
          <t>AMPUERO ROJAS MIGUEL ROQUE</t>
        </is>
      </c>
      <c r="E64" s="301" t="inlineStr">
        <is>
          <t>DNI</t>
        </is>
      </c>
      <c r="F64" s="301" t="inlineStr">
        <is>
          <t>33797700</t>
        </is>
      </c>
      <c r="G64" s="331" t="n">
        <v>45671</v>
      </c>
      <c r="H64" s="301" t="inlineStr">
        <is>
          <t>4866</t>
        </is>
      </c>
      <c r="I64" s="332">
        <f>IFERROR(VLOOKUP(TEXT(H64,"0"),IPRESS!$A$3:$B$212,2,0),"")</f>
        <v/>
      </c>
      <c r="J64" s="301" t="inlineStr">
        <is>
          <t>4838</t>
        </is>
      </c>
      <c r="K64" s="332">
        <f>IFERROR(VLOOKUP(TEXT(O64,"0"),CONDUCTORES!$A$3:$G$100,7,0),"")</f>
        <v/>
      </c>
      <c r="L64" s="245" t="n">
        <v>18.18</v>
      </c>
      <c r="M64" s="245" t="n">
        <v>4</v>
      </c>
      <c r="N64" s="333">
        <f>IFERROR(IF(L64*M64=0,"",L64*M64),"")</f>
        <v/>
      </c>
      <c r="O64" s="280" t="n"/>
      <c r="P64" s="332">
        <f>IFERROR(VLOOKUP(TEXT(O64,"0"),CONDUCTORES!$A$3:$G$100,2,0),"")</f>
        <v/>
      </c>
      <c r="Q64" s="332">
        <f>IFERROR(VLOOKUP(TEXT(O64,"0"),CONDUCTORES!$A$3:$H$100,6,0),"")</f>
        <v/>
      </c>
      <c r="R64" s="334" t="inlineStr">
        <is>
          <t>ATENDIDO EL 05/05/2025</t>
        </is>
      </c>
      <c r="S64" s="302" t="inlineStr">
        <is>
          <t>K922-J129</t>
        </is>
      </c>
      <c r="T64" s="335" t="inlineStr">
        <is>
          <t>APROBADO</t>
        </is>
      </c>
      <c r="U64" s="331" t="n">
        <v>45698</v>
      </c>
      <c r="V64" s="301" t="inlineStr">
        <is>
          <t>OFICIO 1771-2025</t>
        </is>
      </c>
      <c r="W64" s="301" t="inlineStr">
        <is>
          <t>0000108- ADENDA N°001-2025 DRSA/OEA-O.ABAST</t>
        </is>
      </c>
      <c r="X64" s="301" t="inlineStr">
        <is>
          <t>256.0</t>
        </is>
      </c>
      <c r="Y64" s="280" t="n"/>
    </row>
    <row r="65" ht="15.75" customHeight="1" s="195">
      <c r="A65" s="241" t="n">
        <v>60</v>
      </c>
      <c r="B65" s="305" t="inlineStr">
        <is>
          <t>00000009</t>
        </is>
      </c>
      <c r="C65" s="241" t="inlineStr">
        <is>
          <t>REGION</t>
        </is>
      </c>
      <c r="D65" s="305" t="inlineStr">
        <is>
          <t>CHAPPA ROJAS ORLANDO</t>
        </is>
      </c>
      <c r="E65" s="241" t="inlineStr">
        <is>
          <t>DNI</t>
        </is>
      </c>
      <c r="F65" s="241" t="inlineStr">
        <is>
          <t>46258008</t>
        </is>
      </c>
      <c r="G65" s="336" t="n">
        <v>45676</v>
      </c>
      <c r="H65" s="241" t="inlineStr">
        <is>
          <t>4866</t>
        </is>
      </c>
      <c r="I65" s="332">
        <f>IFERROR(VLOOKUP(TEXT(H65,"0"),IPRESS!$A$3:$B$212,2,0),"")</f>
        <v/>
      </c>
      <c r="J65" s="241" t="inlineStr">
        <is>
          <t>4838</t>
        </is>
      </c>
      <c r="K65" s="332">
        <f>IFERROR(VLOOKUP(TEXT(O65,"0"),CONDUCTORES!$A$3:$G$100,7,0),"")</f>
        <v/>
      </c>
      <c r="L65" s="239" t="n">
        <v>18.18</v>
      </c>
      <c r="M65" s="239" t="n">
        <v>4</v>
      </c>
      <c r="N65" s="333">
        <f>IFERROR(IF(L65*M65=0,"",L65*M65),"")</f>
        <v/>
      </c>
      <c r="O65" s="334" t="n"/>
      <c r="P65" s="332">
        <f>IFERROR(VLOOKUP(TEXT(O65,"0"),CONDUCTORES!$A$3:$G$100,2,0),"")</f>
        <v/>
      </c>
      <c r="Q65" s="332">
        <f>IFERROR(VLOOKUP(TEXT(O65,"0"),CONDUCTORES!$A$3:$H$100,6,0),"")</f>
        <v/>
      </c>
      <c r="R65" s="280" t="inlineStr">
        <is>
          <t>ATENDIDO EL 05/05/2025</t>
        </is>
      </c>
      <c r="S65" s="305" t="inlineStr">
        <is>
          <t>S069</t>
        </is>
      </c>
      <c r="T65" s="335" t="inlineStr">
        <is>
          <t>APROBADO</t>
        </is>
      </c>
      <c r="U65" s="336" t="n">
        <v>45698</v>
      </c>
      <c r="V65" s="241" t="inlineStr">
        <is>
          <t>OFICIO 1771-2025</t>
        </is>
      </c>
      <c r="W65" s="241" t="inlineStr">
        <is>
          <t>0000108- ADENDA N°001-2025 DRSA/OEA-O.ABAST</t>
        </is>
      </c>
      <c r="X65" s="241" t="inlineStr">
        <is>
          <t>256.0</t>
        </is>
      </c>
      <c r="Y65" s="280" t="n"/>
    </row>
    <row r="66" ht="15.75" customHeight="1" s="195">
      <c r="A66" s="301" t="n">
        <v>61</v>
      </c>
      <c r="B66" s="302" t="inlineStr">
        <is>
          <t>00000010</t>
        </is>
      </c>
      <c r="C66" s="301" t="inlineStr">
        <is>
          <t>REGION</t>
        </is>
      </c>
      <c r="D66" s="302" t="inlineStr">
        <is>
          <t>RAMIREZ YALTA LUIS</t>
        </is>
      </c>
      <c r="E66" s="301" t="inlineStr">
        <is>
          <t>DNI</t>
        </is>
      </c>
      <c r="F66" s="301" t="inlineStr">
        <is>
          <t>33792653</t>
        </is>
      </c>
      <c r="G66" s="331" t="n">
        <v>45679</v>
      </c>
      <c r="H66" s="301" t="inlineStr">
        <is>
          <t>4866</t>
        </is>
      </c>
      <c r="I66" s="332">
        <f>IFERROR(VLOOKUP(TEXT(H66,"0"),IPRESS!$A$3:$B$212,2,0),"")</f>
        <v/>
      </c>
      <c r="J66" s="301" t="inlineStr">
        <is>
          <t>4838</t>
        </is>
      </c>
      <c r="K66" s="332">
        <f>IFERROR(VLOOKUP(TEXT(O66,"0"),CONDUCTORES!$A$3:$G$100,7,0),"")</f>
        <v/>
      </c>
      <c r="L66" s="245" t="n">
        <v>18.18</v>
      </c>
      <c r="M66" s="245" t="n">
        <v>4</v>
      </c>
      <c r="N66" s="333">
        <f>IFERROR(IF(L66*M66=0,"",L66*M66),"")</f>
        <v/>
      </c>
      <c r="O66" s="280" t="n"/>
      <c r="P66" s="332">
        <f>IFERROR(VLOOKUP(TEXT(O66,"0"),CONDUCTORES!$A$3:$G$100,2,0),"")</f>
        <v/>
      </c>
      <c r="Q66" s="332">
        <f>IFERROR(VLOOKUP(TEXT(O66,"0"),CONDUCTORES!$A$3:$H$100,6,0),"")</f>
        <v/>
      </c>
      <c r="R66" s="334" t="inlineStr">
        <is>
          <t>ATENDIDO EL 05/05/2025</t>
        </is>
      </c>
      <c r="S66" s="302" t="inlineStr">
        <is>
          <t>J960-K703-I500</t>
        </is>
      </c>
      <c r="T66" s="335" t="inlineStr">
        <is>
          <t>APROBADO</t>
        </is>
      </c>
      <c r="U66" s="331" t="n">
        <v>45698</v>
      </c>
      <c r="V66" s="301" t="inlineStr">
        <is>
          <t>OFICIO 1771-2025</t>
        </is>
      </c>
      <c r="W66" s="301" t="inlineStr">
        <is>
          <t>0000108- ADENDA N°001-2025 DRSA/OEA-O.ABAST</t>
        </is>
      </c>
      <c r="X66" s="301" t="inlineStr">
        <is>
          <t>256.0</t>
        </is>
      </c>
      <c r="Y66" s="280" t="n"/>
    </row>
    <row r="67" ht="15.75" customHeight="1" s="195">
      <c r="A67" s="241" t="n">
        <v>62</v>
      </c>
      <c r="B67" s="305" t="inlineStr">
        <is>
          <t>00000011</t>
        </is>
      </c>
      <c r="C67" s="241" t="inlineStr">
        <is>
          <t>REGION</t>
        </is>
      </c>
      <c r="D67" s="305" t="inlineStr">
        <is>
          <t>VELAYARCE SANTILLAN ROBINSON</t>
        </is>
      </c>
      <c r="E67" s="241" t="inlineStr">
        <is>
          <t>DNI</t>
        </is>
      </c>
      <c r="F67" s="241" t="inlineStr">
        <is>
          <t>73691856</t>
        </is>
      </c>
      <c r="G67" s="336" t="n">
        <v>45682</v>
      </c>
      <c r="H67" s="241" t="inlineStr">
        <is>
          <t>4866</t>
        </is>
      </c>
      <c r="I67" s="332">
        <f>IFERROR(VLOOKUP(TEXT(H67,"0"),IPRESS!$A$3:$B$212,2,0),"")</f>
        <v/>
      </c>
      <c r="J67" s="241" t="inlineStr">
        <is>
          <t>4838</t>
        </is>
      </c>
      <c r="K67" s="332">
        <f>IFERROR(VLOOKUP(TEXT(O67,"0"),CONDUCTORES!$A$3:$G$100,7,0),"")</f>
        <v/>
      </c>
      <c r="L67" s="239" t="n">
        <v>18.18</v>
      </c>
      <c r="M67" s="239" t="n">
        <v>4</v>
      </c>
      <c r="N67" s="333">
        <f>IFERROR(IF(L67*M67=0,"",L67*M67),"")</f>
        <v/>
      </c>
      <c r="O67" s="334" t="n"/>
      <c r="P67" s="332">
        <f>IFERROR(VLOOKUP(TEXT(O67,"0"),CONDUCTORES!$A$3:$G$100,2,0),"")</f>
        <v/>
      </c>
      <c r="Q67" s="332">
        <f>IFERROR(VLOOKUP(TEXT(O67,"0"),CONDUCTORES!$A$3:$H$100,6,0),"")</f>
        <v/>
      </c>
      <c r="R67" s="280" t="inlineStr">
        <is>
          <t>ATENDIDO EL 05/05/2025</t>
        </is>
      </c>
      <c r="S67" s="305" t="inlineStr">
        <is>
          <t>S564</t>
        </is>
      </c>
      <c r="T67" s="335" t="inlineStr">
        <is>
          <t>APROBADO</t>
        </is>
      </c>
      <c r="U67" s="336" t="n">
        <v>45705</v>
      </c>
      <c r="V67" s="241" t="inlineStr">
        <is>
          <t>OFICIO 1771-2025</t>
        </is>
      </c>
      <c r="W67" s="241" t="inlineStr">
        <is>
          <t>0000108- ADENDA N°001-2025 DRSA/OEA-O.ABAST</t>
        </is>
      </c>
      <c r="X67" s="241" t="inlineStr">
        <is>
          <t>256.0</t>
        </is>
      </c>
      <c r="Y67" s="280" t="n"/>
    </row>
    <row r="68" ht="15.75" customHeight="1" s="195">
      <c r="A68" s="337" t="n">
        <v>63</v>
      </c>
      <c r="B68" s="338" t="inlineStr">
        <is>
          <t>000000004</t>
        </is>
      </c>
      <c r="C68" s="337" t="inlineStr">
        <is>
          <t>REGION</t>
        </is>
      </c>
      <c r="D68" s="338" t="inlineStr">
        <is>
          <t>GUEVARA CHAVEZ GILMA</t>
        </is>
      </c>
      <c r="E68" s="337" t="inlineStr">
        <is>
          <t>DNI</t>
        </is>
      </c>
      <c r="F68" s="337" t="inlineStr">
        <is>
          <t>74591222</t>
        </is>
      </c>
      <c r="G68" s="339" t="n">
        <v>45660</v>
      </c>
      <c r="H68" s="337" t="inlineStr">
        <is>
          <t>4922</t>
        </is>
      </c>
      <c r="I68" s="332">
        <f>IFERROR(VLOOKUP(TEXT(H68,"0"),IPRESS!$A$3:$B$212,2,0),"")</f>
        <v/>
      </c>
      <c r="J68" s="337" t="inlineStr">
        <is>
          <t>4838</t>
        </is>
      </c>
      <c r="K68" s="332">
        <f>IFERROR(VLOOKUP(TEXT(O68,"0"),CONDUCTORES!$A$3:$G$100,7,0),"")</f>
        <v/>
      </c>
      <c r="L68" s="340" t="n">
        <v>17.95</v>
      </c>
      <c r="M68" s="340" t="n">
        <v>6</v>
      </c>
      <c r="N68" s="333">
        <f>IFERROR(IF(L68*M68=0,"",L68*M68),"")</f>
        <v/>
      </c>
      <c r="O68" s="280" t="n"/>
      <c r="P68" s="332">
        <f>IFERROR(VLOOKUP(TEXT(O68,"0"),CONDUCTORES!$A$3:$G$100,2,0),"")</f>
        <v/>
      </c>
      <c r="Q68" s="332">
        <f>IFERROR(VLOOKUP(TEXT(O68,"0"),CONDUCTORES!$A$3:$H$100,6,0),"")</f>
        <v/>
      </c>
      <c r="R68" s="341" t="inlineStr">
        <is>
          <t>ATENDIDO EL 11/04/2025</t>
        </is>
      </c>
      <c r="S68" s="338" t="inlineStr">
        <is>
          <t>O601</t>
        </is>
      </c>
      <c r="T68" s="335" t="inlineStr">
        <is>
          <t>APROBADO</t>
        </is>
      </c>
      <c r="U68" s="339" t="n">
        <v>45692</v>
      </c>
      <c r="V68" s="337" t="inlineStr">
        <is>
          <t>1461-2025</t>
        </is>
      </c>
      <c r="W68" s="337" t="inlineStr">
        <is>
          <t>915-AÑO 2022</t>
        </is>
      </c>
      <c r="X68" s="337" t="inlineStr">
        <is>
          <t>102.0</t>
        </is>
      </c>
      <c r="Y68" s="280" t="n"/>
    </row>
    <row r="69" ht="15.75" customHeight="1" s="195">
      <c r="A69" s="337" t="n">
        <v>64</v>
      </c>
      <c r="B69" s="338" t="inlineStr">
        <is>
          <t>000000008</t>
        </is>
      </c>
      <c r="C69" s="337" t="inlineStr">
        <is>
          <t>REGION</t>
        </is>
      </c>
      <c r="D69" s="338" t="inlineStr">
        <is>
          <t>HERNANDEZ DELGADO BLANCA ARACELY</t>
        </is>
      </c>
      <c r="E69" s="337" t="inlineStr">
        <is>
          <t>DNI</t>
        </is>
      </c>
      <c r="F69" s="337" t="inlineStr">
        <is>
          <t>49080611</t>
        </is>
      </c>
      <c r="G69" s="339" t="n">
        <v>45684</v>
      </c>
      <c r="H69" s="337" t="inlineStr">
        <is>
          <t>4922</t>
        </is>
      </c>
      <c r="I69" s="332">
        <f>IFERROR(VLOOKUP(TEXT(H69,"0"),IPRESS!$A$3:$B$212,2,0),"")</f>
        <v/>
      </c>
      <c r="J69" s="337" t="inlineStr">
        <is>
          <t>4838</t>
        </is>
      </c>
      <c r="K69" s="332">
        <f>IFERROR(VLOOKUP(TEXT(O69,"0"),CONDUCTORES!$A$3:$G$100,7,0),"")</f>
        <v/>
      </c>
      <c r="L69" s="340" t="n">
        <v>17.95</v>
      </c>
      <c r="M69" s="340" t="n">
        <v>6</v>
      </c>
      <c r="N69" s="333">
        <f>IFERROR(IF(L69*M69=0,"",L69*M69),"")</f>
        <v/>
      </c>
      <c r="O69" s="334" t="n"/>
      <c r="P69" s="332">
        <f>IFERROR(VLOOKUP(TEXT(O69,"0"),CONDUCTORES!$A$3:$G$100,2,0),"")</f>
        <v/>
      </c>
      <c r="Q69" s="332">
        <f>IFERROR(VLOOKUP(TEXT(O69,"0"),CONDUCTORES!$A$3:$H$100,6,0),"")</f>
        <v/>
      </c>
      <c r="R69" s="341" t="inlineStr">
        <is>
          <t>ATENDIDO EL 11/04/2025</t>
        </is>
      </c>
      <c r="S69" s="338" t="inlineStr">
        <is>
          <t>R572-A419-J159</t>
        </is>
      </c>
      <c r="T69" s="335" t="inlineStr">
        <is>
          <t>APROBADO</t>
        </is>
      </c>
      <c r="U69" s="339" t="n">
        <v>45705</v>
      </c>
      <c r="V69" s="337" t="inlineStr">
        <is>
          <t>1461-2025</t>
        </is>
      </c>
      <c r="W69" s="337" t="inlineStr">
        <is>
          <t>915-AÑO 2022</t>
        </is>
      </c>
      <c r="X69" s="337" t="inlineStr">
        <is>
          <t>102.0</t>
        </is>
      </c>
      <c r="Y69" s="280" t="n"/>
    </row>
    <row r="70" ht="15.75" customHeight="1" s="195">
      <c r="A70" s="301" t="n">
        <v>65</v>
      </c>
      <c r="B70" s="302" t="inlineStr">
        <is>
          <t>000000009</t>
        </is>
      </c>
      <c r="C70" s="301" t="inlineStr">
        <is>
          <t>REGION</t>
        </is>
      </c>
      <c r="D70" s="302" t="inlineStr">
        <is>
          <t>GOMEZ REAP UVELINDA</t>
        </is>
      </c>
      <c r="E70" s="301" t="inlineStr">
        <is>
          <t>DNI</t>
        </is>
      </c>
      <c r="F70" s="301" t="inlineStr">
        <is>
          <t>46013537</t>
        </is>
      </c>
      <c r="G70" s="331" t="n">
        <v>45684</v>
      </c>
      <c r="H70" s="301" t="inlineStr">
        <is>
          <t>4922</t>
        </is>
      </c>
      <c r="I70" s="332">
        <f>IFERROR(VLOOKUP(TEXT(H70,"0"),IPRESS!$A$3:$B$212,2,0),"")</f>
        <v/>
      </c>
      <c r="J70" s="301" t="inlineStr">
        <is>
          <t>4838</t>
        </is>
      </c>
      <c r="K70" s="332">
        <f>IFERROR(VLOOKUP(TEXT(O70,"0"),CONDUCTORES!$A$3:$G$100,7,0),"")</f>
        <v/>
      </c>
      <c r="L70" s="245" t="n">
        <v>18.18</v>
      </c>
      <c r="M70" s="245" t="n">
        <v>6</v>
      </c>
      <c r="N70" s="333">
        <f>IFERROR(IF(L70*M70=0,"",L70*M70),"")</f>
        <v/>
      </c>
      <c r="O70" s="280" t="n"/>
      <c r="P70" s="332">
        <f>IFERROR(VLOOKUP(TEXT(O70,"0"),CONDUCTORES!$A$3:$G$100,2,0),"")</f>
        <v/>
      </c>
      <c r="Q70" s="332">
        <f>IFERROR(VLOOKUP(TEXT(O70,"0"),CONDUCTORES!$A$3:$H$100,6,0),"")</f>
        <v/>
      </c>
      <c r="R70" s="334" t="inlineStr">
        <is>
          <t>ATENDIDO EL 11/04/2025</t>
        </is>
      </c>
      <c r="S70" s="302" t="inlineStr">
        <is>
          <t>O034-D509</t>
        </is>
      </c>
      <c r="T70" s="335" t="inlineStr">
        <is>
          <t>APROBADO</t>
        </is>
      </c>
      <c r="U70" s="331" t="n">
        <v>45705</v>
      </c>
      <c r="V70" s="301" t="inlineStr">
        <is>
          <t>0000108-ADENDA N° 001-2025DRSA/OEA.OABAST</t>
        </is>
      </c>
      <c r="W70" s="301" t="inlineStr">
        <is>
          <t>2025.0</t>
        </is>
      </c>
      <c r="X70" s="301" t="inlineStr">
        <is>
          <t>256.0</t>
        </is>
      </c>
      <c r="Y70" s="280" t="n"/>
    </row>
    <row r="71" ht="15.75" customHeight="1" s="195">
      <c r="A71" s="241" t="n">
        <v>66</v>
      </c>
      <c r="B71" s="305" t="inlineStr">
        <is>
          <t>000000002</t>
        </is>
      </c>
      <c r="C71" s="241" t="inlineStr">
        <is>
          <t>REGION</t>
        </is>
      </c>
      <c r="D71" s="305" t="inlineStr">
        <is>
          <t>CHAUCA MENDOZA LUIS ELIAS</t>
        </is>
      </c>
      <c r="E71" s="241" t="inlineStr">
        <is>
          <t>DNI</t>
        </is>
      </c>
      <c r="F71" s="241" t="inlineStr">
        <is>
          <t>62692386</t>
        </is>
      </c>
      <c r="G71" s="336" t="n">
        <v>45661</v>
      </c>
      <c r="H71" s="241" t="inlineStr">
        <is>
          <t>4887</t>
        </is>
      </c>
      <c r="I71" s="332">
        <f>IFERROR(VLOOKUP(TEXT(H71,"0"),IPRESS!$A$3:$B$212,2,0),"")</f>
        <v/>
      </c>
      <c r="J71" s="241" t="inlineStr">
        <is>
          <t>4838</t>
        </is>
      </c>
      <c r="K71" s="332">
        <f>IFERROR(VLOOKUP(TEXT(O71,"0"),CONDUCTORES!$A$3:$G$100,7,0),"")</f>
        <v/>
      </c>
      <c r="L71" s="239" t="n">
        <v>18.18</v>
      </c>
      <c r="M71" s="239" t="n">
        <v>10</v>
      </c>
      <c r="N71" s="333">
        <f>IFERROR(IF(L71*M71=0,"",L71*M71),"")</f>
        <v/>
      </c>
      <c r="O71" s="334" t="n"/>
      <c r="P71" s="332">
        <f>IFERROR(VLOOKUP(TEXT(O71,"0"),CONDUCTORES!$A$3:$G$100,2,0),"")</f>
        <v/>
      </c>
      <c r="Q71" s="332">
        <f>IFERROR(VLOOKUP(TEXT(O71,"0"),CONDUCTORES!$A$3:$H$100,6,0),"")</f>
        <v/>
      </c>
      <c r="R71" s="280" t="inlineStr">
        <is>
          <t>ATENDIDO EL 14/01/2025</t>
        </is>
      </c>
      <c r="S71" s="305" t="inlineStr">
        <is>
          <t>S818-L039-K603</t>
        </is>
      </c>
      <c r="T71" s="335" t="inlineStr">
        <is>
          <t>APROBADO</t>
        </is>
      </c>
      <c r="U71" s="336" t="n">
        <v>45671</v>
      </c>
      <c r="V71" s="241" t="inlineStr">
        <is>
          <t>0026-2025</t>
        </is>
      </c>
      <c r="W71" s="241" t="inlineStr">
        <is>
          <t>539-2024</t>
        </is>
      </c>
      <c r="X71" s="241" t="inlineStr">
        <is>
          <t>163.0</t>
        </is>
      </c>
      <c r="Y71" s="280" t="n"/>
    </row>
    <row r="72" ht="15.75" customHeight="1" s="195">
      <c r="A72" s="301" t="n">
        <v>67</v>
      </c>
      <c r="B72" s="302" t="inlineStr">
        <is>
          <t>000000003</t>
        </is>
      </c>
      <c r="C72" s="301" t="inlineStr">
        <is>
          <t>REGION</t>
        </is>
      </c>
      <c r="D72" s="302" t="inlineStr">
        <is>
          <t>TRUJILLO GOMEZ JUSTINA</t>
        </is>
      </c>
      <c r="E72" s="301" t="inlineStr">
        <is>
          <t>DNI</t>
        </is>
      </c>
      <c r="F72" s="301" t="inlineStr">
        <is>
          <t>33805880</t>
        </is>
      </c>
      <c r="G72" s="331" t="n">
        <v>45663</v>
      </c>
      <c r="H72" s="301" t="inlineStr">
        <is>
          <t>4887</t>
        </is>
      </c>
      <c r="I72" s="332">
        <f>IFERROR(VLOOKUP(TEXT(H72,"0"),IPRESS!$A$3:$B$212,2,0),"")</f>
        <v/>
      </c>
      <c r="J72" s="301" t="inlineStr">
        <is>
          <t>4838</t>
        </is>
      </c>
      <c r="K72" s="332">
        <f>IFERROR(VLOOKUP(TEXT(O72,"0"),CONDUCTORES!$A$3:$G$100,7,0),"")</f>
        <v/>
      </c>
      <c r="L72" s="245" t="n">
        <v>18.18</v>
      </c>
      <c r="M72" s="245" t="n">
        <v>10</v>
      </c>
      <c r="N72" s="333">
        <f>IFERROR(IF(L72*M72=0,"",L72*M72),"")</f>
        <v/>
      </c>
      <c r="O72" s="280" t="n"/>
      <c r="P72" s="332">
        <f>IFERROR(VLOOKUP(TEXT(O72,"0"),CONDUCTORES!$A$3:$G$100,2,0),"")</f>
        <v/>
      </c>
      <c r="Q72" s="332">
        <f>IFERROR(VLOOKUP(TEXT(O72,"0"),CONDUCTORES!$A$3:$H$100,6,0),"")</f>
        <v/>
      </c>
      <c r="R72" s="334" t="inlineStr">
        <is>
          <t>ATENDIDO EL 14/01/2025</t>
        </is>
      </c>
      <c r="S72" s="302" t="inlineStr">
        <is>
          <t>K922</t>
        </is>
      </c>
      <c r="T72" s="335" t="inlineStr">
        <is>
          <t>APROBADO</t>
        </is>
      </c>
      <c r="U72" s="331" t="n">
        <v>45671</v>
      </c>
      <c r="V72" s="301" t="inlineStr">
        <is>
          <t>0026-2025</t>
        </is>
      </c>
      <c r="W72" s="301" t="inlineStr">
        <is>
          <t>539-2024</t>
        </is>
      </c>
      <c r="X72" s="301" t="inlineStr">
        <is>
          <t>163.0</t>
        </is>
      </c>
      <c r="Y72" s="280" t="n"/>
    </row>
    <row r="73" ht="15.75" customHeight="1" s="195">
      <c r="A73" s="241" t="n">
        <v>68</v>
      </c>
      <c r="B73" s="305" t="inlineStr">
        <is>
          <t>000000030</t>
        </is>
      </c>
      <c r="C73" s="241" t="inlineStr">
        <is>
          <t>REGION</t>
        </is>
      </c>
      <c r="D73" s="305" t="inlineStr">
        <is>
          <t>CRUZ ZAGACETA LUIS ENRIQUE</t>
        </is>
      </c>
      <c r="E73" s="241" t="inlineStr">
        <is>
          <t>DNI</t>
        </is>
      </c>
      <c r="F73" s="241" t="inlineStr">
        <is>
          <t>46403545</t>
        </is>
      </c>
      <c r="G73" s="336" t="n">
        <v>45661</v>
      </c>
      <c r="H73" s="241" t="inlineStr">
        <is>
          <t>4903</t>
        </is>
      </c>
      <c r="I73" s="332">
        <f>IFERROR(VLOOKUP(TEXT(H73,"0"),IPRESS!$A$3:$B$212,2,0),"")</f>
        <v/>
      </c>
      <c r="J73" s="241" t="inlineStr">
        <is>
          <t>4838</t>
        </is>
      </c>
      <c r="K73" s="332">
        <f>IFERROR(VLOOKUP(TEXT(O73,"0"),CONDUCTORES!$A$3:$G$100,7,0),"")</f>
        <v/>
      </c>
      <c r="L73" s="239" t="n">
        <v>18.18</v>
      </c>
      <c r="M73" s="239" t="n">
        <v>5</v>
      </c>
      <c r="N73" s="333">
        <f>IFERROR(IF(L73*M73=0,"",L73*M73),"")</f>
        <v/>
      </c>
      <c r="O73" s="334" t="n"/>
      <c r="P73" s="332">
        <f>IFERROR(VLOOKUP(TEXT(O73,"0"),CONDUCTORES!$A$3:$G$100,2,0),"")</f>
        <v/>
      </c>
      <c r="Q73" s="332">
        <f>IFERROR(VLOOKUP(TEXT(O73,"0"),CONDUCTORES!$A$3:$H$100,6,0),"")</f>
        <v/>
      </c>
      <c r="R73" s="280" t="inlineStr">
        <is>
          <t>ATENDIDO EL 14/01/2025</t>
        </is>
      </c>
      <c r="S73" s="305" t="inlineStr">
        <is>
          <t>K297-R101-K85</t>
        </is>
      </c>
      <c r="T73" s="335" t="inlineStr">
        <is>
          <t>APROBADO</t>
        </is>
      </c>
      <c r="U73" s="336" t="n">
        <v>45671</v>
      </c>
      <c r="V73" s="241" t="inlineStr">
        <is>
          <t>0025-2025</t>
        </is>
      </c>
      <c r="W73" s="241" t="inlineStr">
        <is>
          <t>539-2024</t>
        </is>
      </c>
      <c r="X73" s="241" t="inlineStr">
        <is>
          <t>163.0</t>
        </is>
      </c>
      <c r="Y73" s="280" t="n"/>
    </row>
    <row r="74" ht="15.75" customHeight="1" s="195">
      <c r="A74" s="301" t="n">
        <v>69</v>
      </c>
      <c r="B74" s="302" t="inlineStr">
        <is>
          <t>000000031</t>
        </is>
      </c>
      <c r="C74" s="301" t="inlineStr">
        <is>
          <t>REGION</t>
        </is>
      </c>
      <c r="D74" s="302" t="inlineStr">
        <is>
          <t>VELA VILLANUEVA YESSICA</t>
        </is>
      </c>
      <c r="E74" s="301" t="inlineStr">
        <is>
          <t>DNI</t>
        </is>
      </c>
      <c r="F74" s="301" t="inlineStr">
        <is>
          <t>62002491</t>
        </is>
      </c>
      <c r="G74" s="331" t="n">
        <v>45663</v>
      </c>
      <c r="H74" s="301" t="inlineStr">
        <is>
          <t>4903</t>
        </is>
      </c>
      <c r="I74" s="332">
        <f>IFERROR(VLOOKUP(TEXT(H74,"0"),IPRESS!$A$3:$B$212,2,0),"")</f>
        <v/>
      </c>
      <c r="J74" s="301" t="inlineStr">
        <is>
          <t>4838</t>
        </is>
      </c>
      <c r="K74" s="332">
        <f>IFERROR(VLOOKUP(TEXT(O74,"0"),CONDUCTORES!$A$3:$G$100,7,0),"")</f>
        <v/>
      </c>
      <c r="L74" s="245" t="n">
        <v>18.18</v>
      </c>
      <c r="M74" s="245" t="n">
        <v>5</v>
      </c>
      <c r="N74" s="333">
        <f>IFERROR(IF(L74*M74=0,"",L74*M74),"")</f>
        <v/>
      </c>
      <c r="O74" s="280" t="n"/>
      <c r="P74" s="332">
        <f>IFERROR(VLOOKUP(TEXT(O74,"0"),CONDUCTORES!$A$3:$G$100,2,0),"")</f>
        <v/>
      </c>
      <c r="Q74" s="332">
        <f>IFERROR(VLOOKUP(TEXT(O74,"0"),CONDUCTORES!$A$3:$H$100,6,0),"")</f>
        <v/>
      </c>
      <c r="R74" s="334" t="inlineStr">
        <is>
          <t>ATENDIDO EL 14/01/2025</t>
        </is>
      </c>
      <c r="S74" s="302" t="inlineStr">
        <is>
          <t>R100-K359</t>
        </is>
      </c>
      <c r="T74" s="335" t="inlineStr">
        <is>
          <t>APROBADO</t>
        </is>
      </c>
      <c r="U74" s="331" t="n">
        <v>45671</v>
      </c>
      <c r="V74" s="301" t="inlineStr">
        <is>
          <t>0025-2025</t>
        </is>
      </c>
      <c r="W74" s="301" t="inlineStr">
        <is>
          <t>539-2024</t>
        </is>
      </c>
      <c r="X74" s="301" t="inlineStr">
        <is>
          <t>163.0</t>
        </is>
      </c>
      <c r="Y74" s="280" t="n"/>
    </row>
    <row r="75" ht="15.75" customHeight="1" s="195">
      <c r="A75" s="337" t="n">
        <v>70</v>
      </c>
      <c r="B75" s="338" t="inlineStr">
        <is>
          <t xml:space="preserve">                                         000000077</t>
        </is>
      </c>
      <c r="C75" s="337" t="inlineStr">
        <is>
          <t>REGION</t>
        </is>
      </c>
      <c r="D75" s="338" t="inlineStr">
        <is>
          <t>VELA CANLLA GLADYS</t>
        </is>
      </c>
      <c r="E75" s="337" t="inlineStr">
        <is>
          <t>DNI</t>
        </is>
      </c>
      <c r="F75" s="337" t="inlineStr">
        <is>
          <t>70159556</t>
        </is>
      </c>
      <c r="G75" s="339" t="n">
        <v>45660</v>
      </c>
      <c r="H75" s="337" t="inlineStr">
        <is>
          <t>4922</t>
        </is>
      </c>
      <c r="I75" s="332">
        <f>IFERROR(VLOOKUP(TEXT(H75,"0"),IPRESS!$A$3:$B$212,2,0),"")</f>
        <v/>
      </c>
      <c r="J75" s="337" t="inlineStr">
        <is>
          <t>4838</t>
        </is>
      </c>
      <c r="K75" s="332">
        <f>IFERROR(VLOOKUP(TEXT(O75,"0"),CONDUCTORES!$A$3:$G$100,7,0),"")</f>
        <v/>
      </c>
      <c r="L75" s="340" t="n">
        <v>17.95</v>
      </c>
      <c r="M75" s="340" t="n">
        <v>6</v>
      </c>
      <c r="N75" s="333">
        <f>IFERROR(IF(L75*M75=0,"",L75*M75),"")</f>
        <v/>
      </c>
      <c r="O75" s="334" t="n"/>
      <c r="P75" s="332">
        <f>IFERROR(VLOOKUP(TEXT(O75,"0"),CONDUCTORES!$A$3:$G$100,2,0),"")</f>
        <v/>
      </c>
      <c r="Q75" s="332">
        <f>IFERROR(VLOOKUP(TEXT(O75,"0"),CONDUCTORES!$A$3:$H$100,6,0),"")</f>
        <v/>
      </c>
      <c r="R75" s="341" t="inlineStr">
        <is>
          <t>ATENDIDO EL 20/01/2025</t>
        </is>
      </c>
      <c r="S75" s="338" t="inlineStr">
        <is>
          <t>O48</t>
        </is>
      </c>
      <c r="T75" s="335" t="inlineStr">
        <is>
          <t>APROBADO</t>
        </is>
      </c>
      <c r="U75" s="339" t="n">
        <v>45677</v>
      </c>
      <c r="V75" s="337" t="inlineStr">
        <is>
          <t>0035-2025</t>
        </is>
      </c>
      <c r="W75" s="337" t="inlineStr">
        <is>
          <t>539-2024</t>
        </is>
      </c>
      <c r="X75" s="337" t="inlineStr">
        <is>
          <t>6.0</t>
        </is>
      </c>
      <c r="Y75" s="280" t="n"/>
    </row>
    <row r="76" ht="15.75" customHeight="1" s="195">
      <c r="A76" s="337" t="n">
        <v>71</v>
      </c>
      <c r="B76" s="338" t="inlineStr">
        <is>
          <t>000000078</t>
        </is>
      </c>
      <c r="C76" s="337" t="inlineStr">
        <is>
          <t>REGION</t>
        </is>
      </c>
      <c r="D76" s="338" t="inlineStr">
        <is>
          <t>VARGAS PORTOCARRERO AGLIBERTO</t>
        </is>
      </c>
      <c r="E76" s="337" t="inlineStr">
        <is>
          <t>DNI</t>
        </is>
      </c>
      <c r="F76" s="337" t="inlineStr">
        <is>
          <t>33732730</t>
        </is>
      </c>
      <c r="G76" s="339" t="n">
        <v>45667</v>
      </c>
      <c r="H76" s="337" t="inlineStr">
        <is>
          <t>4922</t>
        </is>
      </c>
      <c r="I76" s="332">
        <f>IFERROR(VLOOKUP(TEXT(H76,"0"),IPRESS!$A$3:$B$212,2,0),"")</f>
        <v/>
      </c>
      <c r="J76" s="337" t="inlineStr">
        <is>
          <t>4838</t>
        </is>
      </c>
      <c r="K76" s="332">
        <f>IFERROR(VLOOKUP(TEXT(O76,"0"),CONDUCTORES!$A$3:$G$100,7,0),"")</f>
        <v/>
      </c>
      <c r="L76" s="340" t="n">
        <v>17.95</v>
      </c>
      <c r="M76" s="340" t="n">
        <v>6</v>
      </c>
      <c r="N76" s="333">
        <f>IFERROR(IF(L76*M76=0,"",L76*M76),"")</f>
        <v/>
      </c>
      <c r="O76" s="280" t="n"/>
      <c r="P76" s="332">
        <f>IFERROR(VLOOKUP(TEXT(O76,"0"),CONDUCTORES!$A$3:$G$100,2,0),"")</f>
        <v/>
      </c>
      <c r="Q76" s="332">
        <f>IFERROR(VLOOKUP(TEXT(O76,"0"),CONDUCTORES!$A$3:$H$100,6,0),"")</f>
        <v/>
      </c>
      <c r="R76" s="341" t="inlineStr">
        <is>
          <t>ATENDIDO EL 20/01/2025</t>
        </is>
      </c>
      <c r="S76" s="338" t="inlineStr">
        <is>
          <t>I64X</t>
        </is>
      </c>
      <c r="T76" s="335" t="inlineStr">
        <is>
          <t>APROBADO</t>
        </is>
      </c>
      <c r="U76" s="339" t="n">
        <v>45677</v>
      </c>
      <c r="V76" s="337" t="inlineStr">
        <is>
          <t>0035-2025</t>
        </is>
      </c>
      <c r="W76" s="337" t="inlineStr">
        <is>
          <t>539-2024</t>
        </is>
      </c>
      <c r="X76" s="337" t="inlineStr">
        <is>
          <t>6.0</t>
        </is>
      </c>
      <c r="Y76" s="280" t="n"/>
    </row>
    <row r="77" ht="15.75" customHeight="1" s="195">
      <c r="A77" s="337" t="n">
        <v>72</v>
      </c>
      <c r="B77" s="338" t="inlineStr">
        <is>
          <t>000000079</t>
        </is>
      </c>
      <c r="C77" s="337" t="inlineStr">
        <is>
          <t>REGION</t>
        </is>
      </c>
      <c r="D77" s="338" t="inlineStr">
        <is>
          <t>CAMPOS DAVILA DAYANNA SAMYRA</t>
        </is>
      </c>
      <c r="E77" s="337" t="inlineStr">
        <is>
          <t>DNI</t>
        </is>
      </c>
      <c r="F77" s="337" t="inlineStr">
        <is>
          <t>61100452</t>
        </is>
      </c>
      <c r="G77" s="339" t="n">
        <v>45667</v>
      </c>
      <c r="H77" s="337" t="inlineStr">
        <is>
          <t>4922</t>
        </is>
      </c>
      <c r="I77" s="332">
        <f>IFERROR(VLOOKUP(TEXT(H77,"0"),IPRESS!$A$3:$B$212,2,0),"")</f>
        <v/>
      </c>
      <c r="J77" s="337" t="inlineStr">
        <is>
          <t>4838</t>
        </is>
      </c>
      <c r="K77" s="332">
        <f>IFERROR(VLOOKUP(TEXT(O77,"0"),CONDUCTORES!$A$3:$G$100,7,0),"")</f>
        <v/>
      </c>
      <c r="L77" s="340" t="n">
        <v>17.95</v>
      </c>
      <c r="M77" s="340" t="n">
        <v>6</v>
      </c>
      <c r="N77" s="333">
        <f>IFERROR(IF(L77*M77=0,"",L77*M77),"")</f>
        <v/>
      </c>
      <c r="O77" s="334" t="n"/>
      <c r="P77" s="332">
        <f>IFERROR(VLOOKUP(TEXT(O77,"0"),CONDUCTORES!$A$3:$G$100,2,0),"")</f>
        <v/>
      </c>
      <c r="Q77" s="332">
        <f>IFERROR(VLOOKUP(TEXT(O77,"0"),CONDUCTORES!$A$3:$H$100,6,0),"")</f>
        <v/>
      </c>
      <c r="R77" s="341" t="inlineStr">
        <is>
          <t>ATENDIDO EL 20/01/2025</t>
        </is>
      </c>
      <c r="S77" s="338" t="inlineStr">
        <is>
          <t>O63.</t>
        </is>
      </c>
      <c r="T77" s="335" t="inlineStr">
        <is>
          <t>APROBADO</t>
        </is>
      </c>
      <c r="U77" s="339" t="n">
        <v>45677</v>
      </c>
      <c r="V77" s="337" t="inlineStr">
        <is>
          <t>0035-2025</t>
        </is>
      </c>
      <c r="W77" s="337" t="inlineStr">
        <is>
          <t>539-2024</t>
        </is>
      </c>
      <c r="X77" s="337" t="inlineStr">
        <is>
          <t>6.0</t>
        </is>
      </c>
      <c r="Y77" s="280" t="n"/>
    </row>
    <row r="78" ht="15.75" customHeight="1" s="195">
      <c r="A78" s="337" t="n">
        <v>73</v>
      </c>
      <c r="B78" s="338" t="inlineStr">
        <is>
          <t>000000080</t>
        </is>
      </c>
      <c r="C78" s="337" t="inlineStr">
        <is>
          <t>REGION</t>
        </is>
      </c>
      <c r="D78" s="338" t="inlineStr">
        <is>
          <t>CONCHE ARISTA NILDA</t>
        </is>
      </c>
      <c r="E78" s="337" t="inlineStr">
        <is>
          <t>DNI</t>
        </is>
      </c>
      <c r="F78" s="337" t="inlineStr">
        <is>
          <t>80249399</t>
        </is>
      </c>
      <c r="G78" s="339" t="n">
        <v>45668</v>
      </c>
      <c r="H78" s="337" t="inlineStr">
        <is>
          <t>4922</t>
        </is>
      </c>
      <c r="I78" s="332">
        <f>IFERROR(VLOOKUP(TEXT(H78,"0"),IPRESS!$A$3:$B$212,2,0),"")</f>
        <v/>
      </c>
      <c r="J78" s="337" t="inlineStr">
        <is>
          <t>4838</t>
        </is>
      </c>
      <c r="K78" s="332">
        <f>IFERROR(VLOOKUP(TEXT(O78,"0"),CONDUCTORES!$A$3:$G$100,7,0),"")</f>
        <v/>
      </c>
      <c r="L78" s="340" t="n">
        <v>17.95</v>
      </c>
      <c r="M78" s="340" t="n">
        <v>6</v>
      </c>
      <c r="N78" s="333">
        <f>IFERROR(IF(L78*M78=0,"",L78*M78),"")</f>
        <v/>
      </c>
      <c r="O78" s="280" t="n"/>
      <c r="P78" s="332">
        <f>IFERROR(VLOOKUP(TEXT(O78,"0"),CONDUCTORES!$A$3:$G$100,2,0),"")</f>
        <v/>
      </c>
      <c r="Q78" s="332">
        <f>IFERROR(VLOOKUP(TEXT(O78,"0"),CONDUCTORES!$A$3:$H$100,6,0),"")</f>
        <v/>
      </c>
      <c r="R78" s="341" t="inlineStr">
        <is>
          <t>ATENDIDO EL 20/01/2025</t>
        </is>
      </c>
      <c r="S78" s="338" t="inlineStr">
        <is>
          <t>K56</t>
        </is>
      </c>
      <c r="T78" s="335" t="inlineStr">
        <is>
          <t>APROBADO</t>
        </is>
      </c>
      <c r="U78" s="339" t="n">
        <v>45677</v>
      </c>
      <c r="V78" s="337" t="inlineStr">
        <is>
          <t>0035-2025</t>
        </is>
      </c>
      <c r="W78" s="337" t="inlineStr">
        <is>
          <t>539-2024</t>
        </is>
      </c>
      <c r="X78" s="337" t="inlineStr">
        <is>
          <t>6.0</t>
        </is>
      </c>
      <c r="Y78" s="280" t="n"/>
    </row>
    <row r="79" ht="15.75" customHeight="1" s="195">
      <c r="A79" s="337" t="n">
        <v>74</v>
      </c>
      <c r="B79" s="338" t="inlineStr">
        <is>
          <t>000000001</t>
        </is>
      </c>
      <c r="C79" s="337" t="inlineStr">
        <is>
          <t>REGION</t>
        </is>
      </c>
      <c r="D79" s="338" t="inlineStr">
        <is>
          <t>LLAJA CHASQUIBOL EPIFANIA</t>
        </is>
      </c>
      <c r="E79" s="337" t="inlineStr">
        <is>
          <t>DNI</t>
        </is>
      </c>
      <c r="F79" s="337" t="inlineStr">
        <is>
          <t>45732355</t>
        </is>
      </c>
      <c r="G79" s="339" t="n">
        <v>45671</v>
      </c>
      <c r="H79" s="337" t="inlineStr">
        <is>
          <t>4922</t>
        </is>
      </c>
      <c r="I79" s="332">
        <f>IFERROR(VLOOKUP(TEXT(H79,"0"),IPRESS!$A$3:$B$212,2,0),"")</f>
        <v/>
      </c>
      <c r="J79" s="337" t="inlineStr">
        <is>
          <t>4838</t>
        </is>
      </c>
      <c r="K79" s="332">
        <f>IFERROR(VLOOKUP(TEXT(O79,"0"),CONDUCTORES!$A$3:$G$100,7,0),"")</f>
        <v/>
      </c>
      <c r="L79" s="340" t="n">
        <v>17.95</v>
      </c>
      <c r="M79" s="340" t="n">
        <v>6</v>
      </c>
      <c r="N79" s="333">
        <f>IFERROR(IF(L79*M79=0,"",L79*M79),"")</f>
        <v/>
      </c>
      <c r="O79" s="334" t="n"/>
      <c r="P79" s="332">
        <f>IFERROR(VLOOKUP(TEXT(O79,"0"),CONDUCTORES!$A$3:$G$100,2,0),"")</f>
        <v/>
      </c>
      <c r="Q79" s="332">
        <f>IFERROR(VLOOKUP(TEXT(O79,"0"),CONDUCTORES!$A$3:$H$100,6,0),"")</f>
        <v/>
      </c>
      <c r="R79" s="341" t="inlineStr">
        <is>
          <t>ATENDIDO EL 20/01/2025</t>
        </is>
      </c>
      <c r="S79" s="338" t="inlineStr">
        <is>
          <t>O36-O41</t>
        </is>
      </c>
      <c r="T79" s="335" t="inlineStr">
        <is>
          <t>APROBADO</t>
        </is>
      </c>
      <c r="U79" s="339" t="n">
        <v>45677</v>
      </c>
      <c r="V79" s="337" t="inlineStr">
        <is>
          <t>0035-2025</t>
        </is>
      </c>
      <c r="W79" s="337" t="inlineStr">
        <is>
          <t>539-2024</t>
        </is>
      </c>
      <c r="X79" s="337" t="inlineStr">
        <is>
          <t>6.0</t>
        </is>
      </c>
      <c r="Y79" s="280" t="n"/>
    </row>
    <row r="80" ht="15.75" customHeight="1" s="195">
      <c r="A80" s="301" t="n">
        <v>75</v>
      </c>
      <c r="B80" s="302" t="inlineStr">
        <is>
          <t>000000008</t>
        </is>
      </c>
      <c r="C80" s="301" t="inlineStr">
        <is>
          <t>REGION</t>
        </is>
      </c>
      <c r="D80" s="302" t="inlineStr">
        <is>
          <t>GUADALUPE ALVA FLOR EDELMIRA</t>
        </is>
      </c>
      <c r="E80" s="301" t="inlineStr">
        <is>
          <t>DNI</t>
        </is>
      </c>
      <c r="F80" s="301" t="inlineStr">
        <is>
          <t>41696252</t>
        </is>
      </c>
      <c r="G80" s="331" t="n">
        <v>45664</v>
      </c>
      <c r="H80" s="301" t="inlineStr">
        <is>
          <t>4888</t>
        </is>
      </c>
      <c r="I80" s="332">
        <f>IFERROR(VLOOKUP(TEXT(H80,"0"),IPRESS!$A$3:$B$212,2,0),"")</f>
        <v/>
      </c>
      <c r="J80" s="301" t="inlineStr">
        <is>
          <t>4838</t>
        </is>
      </c>
      <c r="K80" s="332">
        <f>IFERROR(VLOOKUP(TEXT(O80,"0"),CONDUCTORES!$A$3:$G$100,7,0),"")</f>
        <v/>
      </c>
      <c r="L80" s="245" t="n">
        <v>18.18</v>
      </c>
      <c r="M80" s="245" t="n">
        <v>10</v>
      </c>
      <c r="N80" s="333">
        <f>IFERROR(IF(L80*M80=0,"",L80*M80),"")</f>
        <v/>
      </c>
      <c r="O80" s="280" t="n"/>
      <c r="P80" s="332">
        <f>IFERROR(VLOOKUP(TEXT(O80,"0"),CONDUCTORES!$A$3:$G$100,2,0),"")</f>
        <v/>
      </c>
      <c r="Q80" s="332">
        <f>IFERROR(VLOOKUP(TEXT(O80,"0"),CONDUCTORES!$A$3:$H$100,6,0),"")</f>
        <v/>
      </c>
      <c r="R80" s="334" t="inlineStr">
        <is>
          <t>ATENDIDO EL 20/01/2025</t>
        </is>
      </c>
      <c r="S80" s="302" t="inlineStr">
        <is>
          <t>Z359-O200</t>
        </is>
      </c>
      <c r="T80" s="335" t="inlineStr">
        <is>
          <t>APROBADO</t>
        </is>
      </c>
      <c r="U80" s="331" t="n">
        <v>45677</v>
      </c>
      <c r="V80" s="301" t="inlineStr">
        <is>
          <t>0036-2025</t>
        </is>
      </c>
      <c r="W80" s="301" t="inlineStr">
        <is>
          <t>539-2024</t>
        </is>
      </c>
      <c r="X80" s="301" t="inlineStr">
        <is>
          <t>163.0</t>
        </is>
      </c>
      <c r="Y80" s="280" t="n"/>
    </row>
    <row r="81" ht="15.75" customHeight="1" s="195">
      <c r="A81" s="241" t="n">
        <v>76</v>
      </c>
      <c r="B81" s="305" t="inlineStr">
        <is>
          <t>000000035</t>
        </is>
      </c>
      <c r="C81" s="241" t="inlineStr">
        <is>
          <t>REGION</t>
        </is>
      </c>
      <c r="D81" s="305" t="inlineStr">
        <is>
          <t>ZAVALETA CHAVEZ DOMINGO</t>
        </is>
      </c>
      <c r="E81" s="241" t="inlineStr">
        <is>
          <t>DNI</t>
        </is>
      </c>
      <c r="F81" s="241" t="inlineStr">
        <is>
          <t>33814108</t>
        </is>
      </c>
      <c r="G81" s="336" t="n">
        <v>45663</v>
      </c>
      <c r="H81" s="241" t="inlineStr">
        <is>
          <t>4903</t>
        </is>
      </c>
      <c r="I81" s="332">
        <f>IFERROR(VLOOKUP(TEXT(H81,"0"),IPRESS!$A$3:$B$212,2,0),"")</f>
        <v/>
      </c>
      <c r="J81" s="241" t="inlineStr">
        <is>
          <t>4838</t>
        </is>
      </c>
      <c r="K81" s="332">
        <f>IFERROR(VLOOKUP(TEXT(O81,"0"),CONDUCTORES!$A$3:$G$100,7,0),"")</f>
        <v/>
      </c>
      <c r="L81" s="239" t="n">
        <v>18.18</v>
      </c>
      <c r="M81" s="239" t="n">
        <v>5</v>
      </c>
      <c r="N81" s="333">
        <f>IFERROR(IF(L81*M81=0,"",L81*M81),"")</f>
        <v/>
      </c>
      <c r="O81" s="334" t="n"/>
      <c r="P81" s="332">
        <f>IFERROR(VLOOKUP(TEXT(O81,"0"),CONDUCTORES!$A$3:$G$100,2,0),"")</f>
        <v/>
      </c>
      <c r="Q81" s="332">
        <f>IFERROR(VLOOKUP(TEXT(O81,"0"),CONDUCTORES!$A$3:$H$100,6,0),"")</f>
        <v/>
      </c>
      <c r="R81" s="280" t="inlineStr">
        <is>
          <t>ATENDIDO EL 20/01/2025</t>
        </is>
      </c>
      <c r="S81" s="305" t="inlineStr">
        <is>
          <t>R100-K359</t>
        </is>
      </c>
      <c r="T81" s="335" t="inlineStr">
        <is>
          <t>APROBADO</t>
        </is>
      </c>
      <c r="U81" s="336" t="n">
        <v>45677</v>
      </c>
      <c r="V81" s="241" t="inlineStr">
        <is>
          <t>0034-2025</t>
        </is>
      </c>
      <c r="W81" s="241" t="inlineStr">
        <is>
          <t>539-2024</t>
        </is>
      </c>
      <c r="X81" s="241" t="inlineStr">
        <is>
          <t>163.0</t>
        </is>
      </c>
      <c r="Y81" s="280" t="n"/>
    </row>
    <row r="82" ht="15.75" customHeight="1" s="195">
      <c r="A82" s="301" t="n">
        <v>77</v>
      </c>
      <c r="B82" s="302" t="inlineStr">
        <is>
          <t>000000021</t>
        </is>
      </c>
      <c r="C82" s="301" t="inlineStr">
        <is>
          <t>REGION</t>
        </is>
      </c>
      <c r="D82" s="302" t="inlineStr">
        <is>
          <t>ENCINA VILCA ARMINDA</t>
        </is>
      </c>
      <c r="E82" s="301" t="inlineStr">
        <is>
          <t>DNI</t>
        </is>
      </c>
      <c r="F82" s="301" t="inlineStr">
        <is>
          <t>33422834</t>
        </is>
      </c>
      <c r="G82" s="331" t="n">
        <v>45673</v>
      </c>
      <c r="H82" s="301" t="inlineStr">
        <is>
          <t>4950</t>
        </is>
      </c>
      <c r="I82" s="332">
        <f>IFERROR(VLOOKUP(TEXT(H82,"0"),IPRESS!$A$3:$B$212,2,0),"")</f>
        <v/>
      </c>
      <c r="J82" s="301" t="inlineStr">
        <is>
          <t>4838</t>
        </is>
      </c>
      <c r="K82" s="332">
        <f>IFERROR(VLOOKUP(TEXT(O82,"0"),CONDUCTORES!$A$3:$G$100,7,0),"")</f>
        <v/>
      </c>
      <c r="L82" s="245" t="n">
        <v>20.25</v>
      </c>
      <c r="M82" s="245" t="n">
        <v>7</v>
      </c>
      <c r="N82" s="333">
        <f>IFERROR(IF(L82*M82=0,"",L82*M82),"")</f>
        <v/>
      </c>
      <c r="O82" s="280" t="n"/>
      <c r="P82" s="332">
        <f>IFERROR(VLOOKUP(TEXT(O82,"0"),CONDUCTORES!$A$3:$G$100,2,0),"")</f>
        <v/>
      </c>
      <c r="Q82" s="332">
        <f>IFERROR(VLOOKUP(TEXT(O82,"0"),CONDUCTORES!$A$3:$H$100,6,0),"")</f>
        <v/>
      </c>
      <c r="R82" s="334" t="inlineStr">
        <is>
          <t>ATENDIDO EL 24/01/2025</t>
        </is>
      </c>
      <c r="S82" s="302" t="inlineStr">
        <is>
          <t>I64X</t>
        </is>
      </c>
      <c r="T82" s="335" t="inlineStr">
        <is>
          <t>APROBADO</t>
        </is>
      </c>
      <c r="U82" s="331" t="n">
        <v>45680</v>
      </c>
      <c r="V82" s="301" t="inlineStr">
        <is>
          <t>0040-2025</t>
        </is>
      </c>
      <c r="W82" s="301" t="inlineStr">
        <is>
          <t>438-2024</t>
        </is>
      </c>
      <c r="X82" s="301" t="inlineStr">
        <is>
          <t>91.0</t>
        </is>
      </c>
      <c r="Y82" s="280" t="n"/>
    </row>
    <row r="83" ht="15.75" customHeight="1" s="195">
      <c r="A83" s="241" t="n">
        <v>78</v>
      </c>
      <c r="B83" s="305" t="inlineStr">
        <is>
          <t>000000019</t>
        </is>
      </c>
      <c r="C83" s="241" t="inlineStr">
        <is>
          <t>REGION</t>
        </is>
      </c>
      <c r="D83" s="305" t="inlineStr">
        <is>
          <t>LIZARDO GRANDEZ WALDIR DECIDERIO</t>
        </is>
      </c>
      <c r="E83" s="241" t="inlineStr">
        <is>
          <t>DNI</t>
        </is>
      </c>
      <c r="F83" s="241" t="inlineStr">
        <is>
          <t>33941904</t>
        </is>
      </c>
      <c r="G83" s="336" t="n">
        <v>45667</v>
      </c>
      <c r="H83" s="241" t="inlineStr">
        <is>
          <t>4950</t>
        </is>
      </c>
      <c r="I83" s="332">
        <f>IFERROR(VLOOKUP(TEXT(H83,"0"),IPRESS!$A$3:$B$212,2,0),"")</f>
        <v/>
      </c>
      <c r="J83" s="241" t="inlineStr">
        <is>
          <t>4838</t>
        </is>
      </c>
      <c r="K83" s="332">
        <f>IFERROR(VLOOKUP(TEXT(O83,"0"),CONDUCTORES!$A$3:$G$100,7,0),"")</f>
        <v/>
      </c>
      <c r="L83" s="239" t="n">
        <v>20.25</v>
      </c>
      <c r="M83" s="239" t="n">
        <v>7</v>
      </c>
      <c r="N83" s="333">
        <f>IFERROR(IF(L83*M83=0,"",L83*M83),"")</f>
        <v/>
      </c>
      <c r="O83" s="334" t="n"/>
      <c r="P83" s="332">
        <f>IFERROR(VLOOKUP(TEXT(O83,"0"),CONDUCTORES!$A$3:$G$100,2,0),"")</f>
        <v/>
      </c>
      <c r="Q83" s="332">
        <f>IFERROR(VLOOKUP(TEXT(O83,"0"),CONDUCTORES!$A$3:$H$100,6,0),"")</f>
        <v/>
      </c>
      <c r="R83" s="280" t="inlineStr">
        <is>
          <t>ATENDIDO EL 24/01/2025</t>
        </is>
      </c>
      <c r="S83" s="305" t="inlineStr">
        <is>
          <t>K359/I10X</t>
        </is>
      </c>
      <c r="T83" s="335" t="inlineStr">
        <is>
          <t>APROBADO</t>
        </is>
      </c>
      <c r="U83" s="336" t="n">
        <v>45680</v>
      </c>
      <c r="V83" s="241" t="inlineStr">
        <is>
          <t>0040-2025</t>
        </is>
      </c>
      <c r="W83" s="241" t="inlineStr">
        <is>
          <t>438-2024</t>
        </is>
      </c>
      <c r="X83" s="241" t="inlineStr">
        <is>
          <t>91.0</t>
        </is>
      </c>
      <c r="Y83" s="280" t="n"/>
    </row>
    <row r="84" ht="15.75" customHeight="1" s="195">
      <c r="A84" s="301" t="n">
        <v>79</v>
      </c>
      <c r="B84" s="302" t="inlineStr">
        <is>
          <t>000000018</t>
        </is>
      </c>
      <c r="C84" s="301" t="inlineStr">
        <is>
          <t>REGION</t>
        </is>
      </c>
      <c r="D84" s="302" t="inlineStr">
        <is>
          <t>RIVA TAFUR IGINIO ANTONIO</t>
        </is>
      </c>
      <c r="E84" s="301" t="inlineStr">
        <is>
          <t>DNI</t>
        </is>
      </c>
      <c r="F84" s="301" t="inlineStr">
        <is>
          <t>60683760</t>
        </is>
      </c>
      <c r="G84" s="331" t="n">
        <v>45666</v>
      </c>
      <c r="H84" s="301" t="inlineStr">
        <is>
          <t>4950</t>
        </is>
      </c>
      <c r="I84" s="332">
        <f>IFERROR(VLOOKUP(TEXT(H84,"0"),IPRESS!$A$3:$B$212,2,0),"")</f>
        <v/>
      </c>
      <c r="J84" s="301" t="inlineStr">
        <is>
          <t>4838</t>
        </is>
      </c>
      <c r="K84" s="332">
        <f>IFERROR(VLOOKUP(TEXT(O84,"0"),CONDUCTORES!$A$3:$G$100,7,0),"")</f>
        <v/>
      </c>
      <c r="L84" s="245" t="n">
        <v>20.25</v>
      </c>
      <c r="M84" s="245" t="n">
        <v>7</v>
      </c>
      <c r="N84" s="333">
        <f>IFERROR(IF(L84*M84=0,"",L84*M84),"")</f>
        <v/>
      </c>
      <c r="O84" s="280" t="n"/>
      <c r="P84" s="332">
        <f>IFERROR(VLOOKUP(TEXT(O84,"0"),CONDUCTORES!$A$3:$G$100,2,0),"")</f>
        <v/>
      </c>
      <c r="Q84" s="332">
        <f>IFERROR(VLOOKUP(TEXT(O84,"0"),CONDUCTORES!$A$3:$H$100,6,0),"")</f>
        <v/>
      </c>
      <c r="R84" s="334" t="inlineStr">
        <is>
          <t>ATENDIDO EL 24/01/2025</t>
        </is>
      </c>
      <c r="S84" s="302" t="inlineStr">
        <is>
          <t>N200/L509/B829</t>
        </is>
      </c>
      <c r="T84" s="335" t="inlineStr">
        <is>
          <t>APROBADO</t>
        </is>
      </c>
      <c r="U84" s="331" t="n">
        <v>45680</v>
      </c>
      <c r="V84" s="301" t="inlineStr">
        <is>
          <t>0040-2025</t>
        </is>
      </c>
      <c r="W84" s="301" t="inlineStr">
        <is>
          <t>438-2024</t>
        </is>
      </c>
      <c r="X84" s="301" t="inlineStr">
        <is>
          <t>91.0</t>
        </is>
      </c>
      <c r="Y84" s="280" t="n"/>
    </row>
    <row r="85" ht="15.75" customHeight="1" s="195">
      <c r="A85" s="241" t="n">
        <v>80</v>
      </c>
      <c r="B85" s="305" t="inlineStr">
        <is>
          <t>000000020</t>
        </is>
      </c>
      <c r="C85" s="241" t="inlineStr">
        <is>
          <t>REGION</t>
        </is>
      </c>
      <c r="D85" s="305" t="inlineStr">
        <is>
          <t>MEJIA RUBIO ROSALIA</t>
        </is>
      </c>
      <c r="E85" s="241" t="inlineStr">
        <is>
          <t>DNI</t>
        </is>
      </c>
      <c r="F85" s="241" t="inlineStr">
        <is>
          <t>60030067</t>
        </is>
      </c>
      <c r="G85" s="336" t="n">
        <v>45669</v>
      </c>
      <c r="H85" s="241" t="inlineStr">
        <is>
          <t>4950</t>
        </is>
      </c>
      <c r="I85" s="332">
        <f>IFERROR(VLOOKUP(TEXT(H85,"0"),IPRESS!$A$3:$B$212,2,0),"")</f>
        <v/>
      </c>
      <c r="J85" s="241" t="inlineStr">
        <is>
          <t>4838</t>
        </is>
      </c>
      <c r="K85" s="332">
        <f>IFERROR(VLOOKUP(TEXT(O85,"0"),CONDUCTORES!$A$3:$G$100,7,0),"")</f>
        <v/>
      </c>
      <c r="L85" s="239" t="n">
        <v>20.25</v>
      </c>
      <c r="M85" s="239" t="n">
        <v>7</v>
      </c>
      <c r="N85" s="333">
        <f>IFERROR(IF(L85*M85=0,"",L85*M85),"")</f>
        <v/>
      </c>
      <c r="O85" s="334" t="n"/>
      <c r="P85" s="332">
        <f>IFERROR(VLOOKUP(TEXT(O85,"0"),CONDUCTORES!$A$3:$G$100,2,0),"")</f>
        <v/>
      </c>
      <c r="Q85" s="332">
        <f>IFERROR(VLOOKUP(TEXT(O85,"0"),CONDUCTORES!$A$3:$H$100,6,0),"")</f>
        <v/>
      </c>
      <c r="R85" s="280" t="inlineStr">
        <is>
          <t>ATENDIDO EL 24/01/2025</t>
        </is>
      </c>
      <c r="S85" s="305" t="inlineStr">
        <is>
          <t>O411</t>
        </is>
      </c>
      <c r="T85" s="335" t="inlineStr">
        <is>
          <t>APROBADO</t>
        </is>
      </c>
      <c r="U85" s="336" t="n">
        <v>45680</v>
      </c>
      <c r="V85" s="241" t="inlineStr">
        <is>
          <t>0040-2025</t>
        </is>
      </c>
      <c r="W85" s="241" t="inlineStr">
        <is>
          <t>438-2024</t>
        </is>
      </c>
      <c r="X85" s="241" t="inlineStr">
        <is>
          <t>91.0</t>
        </is>
      </c>
      <c r="Y85" s="280" t="n"/>
    </row>
    <row r="86" ht="15.75" customHeight="1" s="195">
      <c r="A86" s="301" t="n">
        <v>81</v>
      </c>
      <c r="B86" s="302" t="inlineStr">
        <is>
          <t>000000016</t>
        </is>
      </c>
      <c r="C86" s="301" t="inlineStr">
        <is>
          <t>REGION</t>
        </is>
      </c>
      <c r="D86" s="302" t="inlineStr">
        <is>
          <t>RODRIGUEZ PORTOCARRERO DANIEL</t>
        </is>
      </c>
      <c r="E86" s="301" t="inlineStr">
        <is>
          <t>DNI</t>
        </is>
      </c>
      <c r="F86" s="301" t="inlineStr">
        <is>
          <t>77531942</t>
        </is>
      </c>
      <c r="G86" s="331" t="n">
        <v>45663</v>
      </c>
      <c r="H86" s="301" t="inlineStr">
        <is>
          <t>4950</t>
        </is>
      </c>
      <c r="I86" s="332">
        <f>IFERROR(VLOOKUP(TEXT(H86,"0"),IPRESS!$A$3:$B$212,2,0),"")</f>
        <v/>
      </c>
      <c r="J86" s="301" t="inlineStr">
        <is>
          <t>4838</t>
        </is>
      </c>
      <c r="K86" s="332">
        <f>IFERROR(VLOOKUP(TEXT(O86,"0"),CONDUCTORES!$A$3:$G$100,7,0),"")</f>
        <v/>
      </c>
      <c r="L86" s="245" t="n">
        <v>20.25</v>
      </c>
      <c r="M86" s="245" t="n">
        <v>7</v>
      </c>
      <c r="N86" s="333">
        <f>IFERROR(IF(L86*M86=0,"",L86*M86),"")</f>
        <v/>
      </c>
      <c r="O86" s="280" t="n"/>
      <c r="P86" s="332">
        <f>IFERROR(VLOOKUP(TEXT(O86,"0"),CONDUCTORES!$A$3:$G$100,2,0),"")</f>
        <v/>
      </c>
      <c r="Q86" s="332">
        <f>IFERROR(VLOOKUP(TEXT(O86,"0"),CONDUCTORES!$A$3:$H$100,6,0),"")</f>
        <v/>
      </c>
      <c r="R86" s="334" t="inlineStr">
        <is>
          <t>ATENDIDO EL 24/01/2025</t>
        </is>
      </c>
      <c r="S86" s="302" t="inlineStr">
        <is>
          <t>F232</t>
        </is>
      </c>
      <c r="T86" s="335" t="inlineStr">
        <is>
          <t>APROBADO</t>
        </is>
      </c>
      <c r="U86" s="331" t="n">
        <v>45680</v>
      </c>
      <c r="V86" s="301" t="inlineStr">
        <is>
          <t>0040-2025</t>
        </is>
      </c>
      <c r="W86" s="301" t="inlineStr">
        <is>
          <t>438-2024</t>
        </is>
      </c>
      <c r="X86" s="301" t="inlineStr">
        <is>
          <t>91.0</t>
        </is>
      </c>
      <c r="Y86" s="280" t="n"/>
    </row>
    <row r="87" ht="15.75" customHeight="1" s="195">
      <c r="A87" s="241" t="n">
        <v>82</v>
      </c>
      <c r="B87" s="305" t="inlineStr">
        <is>
          <t>000000015</t>
        </is>
      </c>
      <c r="C87" s="241" t="inlineStr">
        <is>
          <t>REGION</t>
        </is>
      </c>
      <c r="D87" s="305" t="inlineStr">
        <is>
          <t xml:space="preserve">MUÑOZ SALAZAR MANUEL </t>
        </is>
      </c>
      <c r="E87" s="241" t="inlineStr">
        <is>
          <t>DNI</t>
        </is>
      </c>
      <c r="F87" s="241" t="inlineStr">
        <is>
          <t>33942255</t>
        </is>
      </c>
      <c r="G87" s="336" t="n">
        <v>45663</v>
      </c>
      <c r="H87" s="241" t="inlineStr">
        <is>
          <t>4950</t>
        </is>
      </c>
      <c r="I87" s="332">
        <f>IFERROR(VLOOKUP(TEXT(H87,"0"),IPRESS!$A$3:$B$212,2,0),"")</f>
        <v/>
      </c>
      <c r="J87" s="241" t="inlineStr">
        <is>
          <t>4838</t>
        </is>
      </c>
      <c r="K87" s="332">
        <f>IFERROR(VLOOKUP(TEXT(O87,"0"),CONDUCTORES!$A$3:$G$100,7,0),"")</f>
        <v/>
      </c>
      <c r="L87" s="239" t="n">
        <v>20.25</v>
      </c>
      <c r="M87" s="239" t="n">
        <v>7</v>
      </c>
      <c r="N87" s="333">
        <f>IFERROR(IF(L87*M87=0,"",L87*M87),"")</f>
        <v/>
      </c>
      <c r="O87" s="334" t="n"/>
      <c r="P87" s="332">
        <f>IFERROR(VLOOKUP(TEXT(O87,"0"),CONDUCTORES!$A$3:$G$100,2,0),"")</f>
        <v/>
      </c>
      <c r="Q87" s="332">
        <f>IFERROR(VLOOKUP(TEXT(O87,"0"),CONDUCTORES!$A$3:$H$100,6,0),"")</f>
        <v/>
      </c>
      <c r="R87" s="280" t="inlineStr">
        <is>
          <t>ATENDIDO EL 24/01/2025</t>
        </is>
      </c>
      <c r="S87" s="305" t="inlineStr">
        <is>
          <t>K830</t>
        </is>
      </c>
      <c r="T87" s="335" t="inlineStr">
        <is>
          <t>APROBADO</t>
        </is>
      </c>
      <c r="U87" s="336" t="n">
        <v>45680</v>
      </c>
      <c r="V87" s="241" t="inlineStr">
        <is>
          <t>0040-2025</t>
        </is>
      </c>
      <c r="W87" s="241" t="inlineStr">
        <is>
          <t>438-2024</t>
        </is>
      </c>
      <c r="X87" s="241" t="inlineStr">
        <is>
          <t>91.0</t>
        </is>
      </c>
      <c r="Y87" s="280" t="n"/>
    </row>
    <row r="88" ht="15.75" customHeight="1" s="195">
      <c r="A88" s="301" t="n">
        <v>83</v>
      </c>
      <c r="B88" s="302" t="inlineStr">
        <is>
          <t>000000014</t>
        </is>
      </c>
      <c r="C88" s="301" t="inlineStr">
        <is>
          <t>REGION</t>
        </is>
      </c>
      <c r="D88" s="302" t="inlineStr">
        <is>
          <t>OCAÑA BELLASMIN ANDY FIDELINA</t>
        </is>
      </c>
      <c r="E88" s="301" t="inlineStr">
        <is>
          <t>DNI</t>
        </is>
      </c>
      <c r="F88" s="301" t="inlineStr">
        <is>
          <t>75765426</t>
        </is>
      </c>
      <c r="G88" s="331" t="n">
        <v>45662</v>
      </c>
      <c r="H88" s="301" t="inlineStr">
        <is>
          <t>4950</t>
        </is>
      </c>
      <c r="I88" s="332">
        <f>IFERROR(VLOOKUP(TEXT(H88,"0"),IPRESS!$A$3:$B$212,2,0),"")</f>
        <v/>
      </c>
      <c r="J88" s="301" t="inlineStr">
        <is>
          <t>4838</t>
        </is>
      </c>
      <c r="K88" s="332">
        <f>IFERROR(VLOOKUP(TEXT(O88,"0"),CONDUCTORES!$A$3:$G$100,7,0),"")</f>
        <v/>
      </c>
      <c r="L88" s="245" t="n">
        <v>20.25</v>
      </c>
      <c r="M88" s="245" t="n">
        <v>7</v>
      </c>
      <c r="N88" s="333">
        <f>IFERROR(IF(L88*M88=0,"",L88*M88),"")</f>
        <v/>
      </c>
      <c r="O88" s="280" t="n"/>
      <c r="P88" s="332">
        <f>IFERROR(VLOOKUP(TEXT(O88,"0"),CONDUCTORES!$A$3:$G$100,2,0),"")</f>
        <v/>
      </c>
      <c r="Q88" s="332">
        <f>IFERROR(VLOOKUP(TEXT(O88,"0"),CONDUCTORES!$A$3:$H$100,6,0),"")</f>
        <v/>
      </c>
      <c r="R88" s="334" t="inlineStr">
        <is>
          <t>ATENDIDO EL 24/01/2025</t>
        </is>
      </c>
      <c r="S88" s="302" t="inlineStr">
        <is>
          <t>O329</t>
        </is>
      </c>
      <c r="T88" s="335" t="inlineStr">
        <is>
          <t>APROBADO</t>
        </is>
      </c>
      <c r="U88" s="331" t="n">
        <v>45680</v>
      </c>
      <c r="V88" s="301" t="inlineStr">
        <is>
          <t>0040-2025</t>
        </is>
      </c>
      <c r="W88" s="301" t="inlineStr">
        <is>
          <t>438-2024</t>
        </is>
      </c>
      <c r="X88" s="301" t="inlineStr">
        <is>
          <t>91.0</t>
        </is>
      </c>
      <c r="Y88" s="280" t="n"/>
    </row>
    <row r="89" ht="15.75" customHeight="1" s="195">
      <c r="A89" s="241" t="n">
        <v>84</v>
      </c>
      <c r="B89" s="305" t="inlineStr">
        <is>
          <t>000000013</t>
        </is>
      </c>
      <c r="C89" s="241" t="inlineStr">
        <is>
          <t>REGION</t>
        </is>
      </c>
      <c r="D89" s="305" t="inlineStr">
        <is>
          <t>HUAMAN HUAMAN EXIQUEL</t>
        </is>
      </c>
      <c r="E89" s="241" t="inlineStr">
        <is>
          <t>DNI</t>
        </is>
      </c>
      <c r="F89" s="241" t="inlineStr">
        <is>
          <t>80301693</t>
        </is>
      </c>
      <c r="G89" s="336" t="n">
        <v>45661</v>
      </c>
      <c r="H89" s="241" t="inlineStr">
        <is>
          <t>4950</t>
        </is>
      </c>
      <c r="I89" s="332">
        <f>IFERROR(VLOOKUP(TEXT(H89,"0"),IPRESS!$A$3:$B$212,2,0),"")</f>
        <v/>
      </c>
      <c r="J89" s="241" t="inlineStr">
        <is>
          <t>4838</t>
        </is>
      </c>
      <c r="K89" s="332">
        <f>IFERROR(VLOOKUP(TEXT(O89,"0"),CONDUCTORES!$A$3:$G$100,7,0),"")</f>
        <v/>
      </c>
      <c r="L89" s="239" t="n">
        <v>20.25</v>
      </c>
      <c r="M89" s="239" t="n">
        <v>7</v>
      </c>
      <c r="N89" s="333">
        <f>IFERROR(IF(L89*M89=0,"",L89*M89),"")</f>
        <v/>
      </c>
      <c r="O89" s="334" t="n"/>
      <c r="P89" s="332">
        <f>IFERROR(VLOOKUP(TEXT(O89,"0"),CONDUCTORES!$A$3:$G$100,2,0),"")</f>
        <v/>
      </c>
      <c r="Q89" s="332">
        <f>IFERROR(VLOOKUP(TEXT(O89,"0"),CONDUCTORES!$A$3:$H$100,6,0),"")</f>
        <v/>
      </c>
      <c r="R89" s="280" t="inlineStr">
        <is>
          <t>ATENDIDO EL 24/01/2025</t>
        </is>
      </c>
      <c r="S89" s="305" t="inlineStr">
        <is>
          <t>K359/I10X</t>
        </is>
      </c>
      <c r="T89" s="335" t="inlineStr">
        <is>
          <t>APROBADO</t>
        </is>
      </c>
      <c r="U89" s="336" t="n">
        <v>45680</v>
      </c>
      <c r="V89" s="241" t="inlineStr">
        <is>
          <t>0040-2025</t>
        </is>
      </c>
      <c r="W89" s="241" t="inlineStr">
        <is>
          <t>438-2024</t>
        </is>
      </c>
      <c r="X89" s="241" t="inlineStr">
        <is>
          <t>91.0</t>
        </is>
      </c>
      <c r="Y89" s="280" t="n"/>
    </row>
    <row r="90" ht="15.75" customHeight="1" s="195">
      <c r="A90" s="301" t="n">
        <v>85</v>
      </c>
      <c r="B90" s="302" t="inlineStr">
        <is>
          <t>000000012</t>
        </is>
      </c>
      <c r="C90" s="301" t="inlineStr">
        <is>
          <t>REGION</t>
        </is>
      </c>
      <c r="D90" s="302" t="inlineStr">
        <is>
          <t>MARIN ALVARADO IAN DARIEL</t>
        </is>
      </c>
      <c r="E90" s="301" t="inlineStr">
        <is>
          <t>DNI</t>
        </is>
      </c>
      <c r="F90" s="301" t="inlineStr">
        <is>
          <t>92545819</t>
        </is>
      </c>
      <c r="G90" s="331" t="n">
        <v>45660</v>
      </c>
      <c r="H90" s="301" t="inlineStr">
        <is>
          <t>4950</t>
        </is>
      </c>
      <c r="I90" s="332">
        <f>IFERROR(VLOOKUP(TEXT(H90,"0"),IPRESS!$A$3:$B$212,2,0),"")</f>
        <v/>
      </c>
      <c r="J90" s="301" t="inlineStr">
        <is>
          <t>4838</t>
        </is>
      </c>
      <c r="K90" s="332">
        <f>IFERROR(VLOOKUP(TEXT(O90,"0"),CONDUCTORES!$A$3:$G$100,7,0),"")</f>
        <v/>
      </c>
      <c r="L90" s="245" t="n">
        <v>20.25</v>
      </c>
      <c r="M90" s="245" t="n">
        <v>7</v>
      </c>
      <c r="N90" s="333">
        <f>IFERROR(IF(L90*M90=0,"",L90*M90),"")</f>
        <v/>
      </c>
      <c r="O90" s="280" t="n"/>
      <c r="P90" s="332">
        <f>IFERROR(VLOOKUP(TEXT(O90,"0"),CONDUCTORES!$A$3:$G$100,2,0),"")</f>
        <v/>
      </c>
      <c r="Q90" s="332">
        <f>IFERROR(VLOOKUP(TEXT(O90,"0"),CONDUCTORES!$A$3:$H$100,6,0),"")</f>
        <v/>
      </c>
      <c r="R90" s="334" t="inlineStr">
        <is>
          <t>ATENDIDO EL 24/01/2025</t>
        </is>
      </c>
      <c r="S90" s="302" t="inlineStr">
        <is>
          <t>T172</t>
        </is>
      </c>
      <c r="T90" s="335" t="inlineStr">
        <is>
          <t>APROBADO</t>
        </is>
      </c>
      <c r="U90" s="331" t="n">
        <v>45680</v>
      </c>
      <c r="V90" s="301" t="inlineStr">
        <is>
          <t>0040-2025</t>
        </is>
      </c>
      <c r="W90" s="301" t="inlineStr">
        <is>
          <t>438-2024</t>
        </is>
      </c>
      <c r="X90" s="301" t="inlineStr">
        <is>
          <t>91.0</t>
        </is>
      </c>
      <c r="Y90" s="280" t="n"/>
    </row>
    <row r="91" ht="15.75" customHeight="1" s="195">
      <c r="A91" s="241" t="n">
        <v>86</v>
      </c>
      <c r="B91" s="305" t="inlineStr">
        <is>
          <t>000000017</t>
        </is>
      </c>
      <c r="C91" s="241" t="inlineStr">
        <is>
          <t>REGION</t>
        </is>
      </c>
      <c r="D91" s="305" t="inlineStr">
        <is>
          <t>HERRERA ALVAREZ ANDRIU</t>
        </is>
      </c>
      <c r="E91" s="241" t="inlineStr">
        <is>
          <t>DNI</t>
        </is>
      </c>
      <c r="F91" s="241" t="inlineStr">
        <is>
          <t>63224416</t>
        </is>
      </c>
      <c r="G91" s="336" t="n">
        <v>45664</v>
      </c>
      <c r="H91" s="241" t="inlineStr">
        <is>
          <t>4950</t>
        </is>
      </c>
      <c r="I91" s="332">
        <f>IFERROR(VLOOKUP(TEXT(H91,"0"),IPRESS!$A$3:$B$212,2,0),"")</f>
        <v/>
      </c>
      <c r="J91" s="241" t="inlineStr">
        <is>
          <t>4838</t>
        </is>
      </c>
      <c r="K91" s="332">
        <f>IFERROR(VLOOKUP(TEXT(O91,"0"),CONDUCTORES!$A$3:$G$100,7,0),"")</f>
        <v/>
      </c>
      <c r="L91" s="239" t="n">
        <v>20.25</v>
      </c>
      <c r="M91" s="239" t="n">
        <v>7</v>
      </c>
      <c r="N91" s="333">
        <f>IFERROR(IF(L91*M91=0,"",L91*M91),"")</f>
        <v/>
      </c>
      <c r="O91" s="334" t="n"/>
      <c r="P91" s="332">
        <f>IFERROR(VLOOKUP(TEXT(O91,"0"),CONDUCTORES!$A$3:$G$100,2,0),"")</f>
        <v/>
      </c>
      <c r="Q91" s="332">
        <f>IFERROR(VLOOKUP(TEXT(O91,"0"),CONDUCTORES!$A$3:$H$100,6,0),"")</f>
        <v/>
      </c>
      <c r="R91" s="280" t="inlineStr">
        <is>
          <t>ATENDIDO EL 24/01/2025</t>
        </is>
      </c>
      <c r="S91" s="305" t="inlineStr">
        <is>
          <t>K359/A010</t>
        </is>
      </c>
      <c r="T91" s="335" t="inlineStr">
        <is>
          <t>APROBADO</t>
        </is>
      </c>
      <c r="U91" s="336" t="n">
        <v>45680</v>
      </c>
      <c r="V91" s="241" t="inlineStr">
        <is>
          <t>0040-2025</t>
        </is>
      </c>
      <c r="W91" s="241" t="inlineStr">
        <is>
          <t>438-2024</t>
        </is>
      </c>
      <c r="X91" s="241" t="inlineStr">
        <is>
          <t>91.0</t>
        </is>
      </c>
      <c r="Y91" s="280" t="n"/>
    </row>
    <row r="92" ht="15.75" customHeight="1" s="195">
      <c r="A92" s="337" t="n">
        <v>87</v>
      </c>
      <c r="B92" s="338" t="inlineStr">
        <is>
          <t>000000005</t>
        </is>
      </c>
      <c r="C92" s="337" t="inlineStr">
        <is>
          <t>REGION</t>
        </is>
      </c>
      <c r="D92" s="338" t="inlineStr">
        <is>
          <t>GUERRERO VELASQUEZ MAGALI</t>
        </is>
      </c>
      <c r="E92" s="337" t="inlineStr">
        <is>
          <t>DNI</t>
        </is>
      </c>
      <c r="F92" s="337" t="inlineStr">
        <is>
          <t>77139134</t>
        </is>
      </c>
      <c r="G92" s="339" t="n">
        <v>45675</v>
      </c>
      <c r="H92" s="337" t="inlineStr">
        <is>
          <t>4922</t>
        </is>
      </c>
      <c r="I92" s="332">
        <f>IFERROR(VLOOKUP(TEXT(H92,"0"),IPRESS!$A$3:$B$212,2,0),"")</f>
        <v/>
      </c>
      <c r="J92" s="337" t="inlineStr">
        <is>
          <t>4838</t>
        </is>
      </c>
      <c r="K92" s="332">
        <f>IFERROR(VLOOKUP(TEXT(O92,"0"),CONDUCTORES!$A$3:$G$100,7,0),"")</f>
        <v/>
      </c>
      <c r="L92" s="340" t="n">
        <v>17.95</v>
      </c>
      <c r="M92" s="340" t="n">
        <v>6</v>
      </c>
      <c r="N92" s="333">
        <f>IFERROR(IF(L92*M92=0,"",L92*M92),"")</f>
        <v/>
      </c>
      <c r="O92" s="280" t="n"/>
      <c r="P92" s="332">
        <f>IFERROR(VLOOKUP(TEXT(O92,"0"),CONDUCTORES!$A$3:$G$100,2,0),"")</f>
        <v/>
      </c>
      <c r="Q92" s="332">
        <f>IFERROR(VLOOKUP(TEXT(O92,"0"),CONDUCTORES!$A$3:$H$100,6,0),"")</f>
        <v/>
      </c>
      <c r="R92" s="341" t="inlineStr">
        <is>
          <t>ATENDIDO EL 27/01/2025</t>
        </is>
      </c>
      <c r="S92" s="338" t="inlineStr">
        <is>
          <t>R17-K83</t>
        </is>
      </c>
      <c r="T92" s="335" t="inlineStr">
        <is>
          <t>APROBADO</t>
        </is>
      </c>
      <c r="U92" s="339" t="n">
        <v>45684</v>
      </c>
      <c r="V92" s="337" t="inlineStr">
        <is>
          <t>0044-2025</t>
        </is>
      </c>
      <c r="W92" s="337" t="inlineStr">
        <is>
          <t>539-2024</t>
        </is>
      </c>
      <c r="X92" s="337" t="inlineStr">
        <is>
          <t>6.0</t>
        </is>
      </c>
      <c r="Y92" s="280" t="n"/>
    </row>
    <row r="93" ht="15.75" customHeight="1" s="195">
      <c r="A93" s="337" t="n">
        <v>88</v>
      </c>
      <c r="B93" s="338" t="inlineStr">
        <is>
          <t>000000007</t>
        </is>
      </c>
      <c r="C93" s="337" t="inlineStr">
        <is>
          <t>REGION</t>
        </is>
      </c>
      <c r="D93" s="338" t="inlineStr">
        <is>
          <t>FERNANDEZ TARRILLO MELQUIADES</t>
        </is>
      </c>
      <c r="E93" s="337" t="inlineStr">
        <is>
          <t>DNI</t>
        </is>
      </c>
      <c r="F93" s="337" t="inlineStr">
        <is>
          <t>33646370</t>
        </is>
      </c>
      <c r="G93" s="339" t="n">
        <v>45676</v>
      </c>
      <c r="H93" s="337" t="inlineStr">
        <is>
          <t>4922</t>
        </is>
      </c>
      <c r="I93" s="332">
        <f>IFERROR(VLOOKUP(TEXT(H93,"0"),IPRESS!$A$3:$B$212,2,0),"")</f>
        <v/>
      </c>
      <c r="J93" s="337" t="inlineStr">
        <is>
          <t>4838</t>
        </is>
      </c>
      <c r="K93" s="332">
        <f>IFERROR(VLOOKUP(TEXT(O93,"0"),CONDUCTORES!$A$3:$G$100,7,0),"")</f>
        <v/>
      </c>
      <c r="L93" s="340" t="n">
        <v>17.95</v>
      </c>
      <c r="M93" s="340" t="n">
        <v>6</v>
      </c>
      <c r="N93" s="333">
        <f>IFERROR(IF(L93*M93=0,"",L93*M93),"")</f>
        <v/>
      </c>
      <c r="O93" s="334" t="n"/>
      <c r="P93" s="332">
        <f>IFERROR(VLOOKUP(TEXT(O93,"0"),CONDUCTORES!$A$3:$G$100,2,0),"")</f>
        <v/>
      </c>
      <c r="Q93" s="332">
        <f>IFERROR(VLOOKUP(TEXT(O93,"0"),CONDUCTORES!$A$3:$H$100,6,0),"")</f>
        <v/>
      </c>
      <c r="R93" s="341" t="inlineStr">
        <is>
          <t>ATENDIDO EL 27/01/2025</t>
        </is>
      </c>
      <c r="S93" s="338" t="inlineStr">
        <is>
          <t>A41.9-E11.6</t>
        </is>
      </c>
      <c r="T93" s="335" t="inlineStr">
        <is>
          <t>APROBADO</t>
        </is>
      </c>
      <c r="U93" s="339" t="n">
        <v>45684</v>
      </c>
      <c r="V93" s="337" t="inlineStr">
        <is>
          <t>0044-2025</t>
        </is>
      </c>
      <c r="W93" s="337" t="inlineStr">
        <is>
          <t>539-2024</t>
        </is>
      </c>
      <c r="X93" s="337" t="inlineStr">
        <is>
          <t>6.0</t>
        </is>
      </c>
      <c r="Y93" s="280" t="n"/>
    </row>
    <row r="94" ht="15.75" customHeight="1" s="195">
      <c r="A94" s="337" t="n">
        <v>89</v>
      </c>
      <c r="B94" s="338" t="inlineStr">
        <is>
          <t>000000003</t>
        </is>
      </c>
      <c r="C94" s="337" t="inlineStr">
        <is>
          <t>REGION</t>
        </is>
      </c>
      <c r="D94" s="338" t="inlineStr">
        <is>
          <t>CALERO MENDOZA DE TORRES MARTHA</t>
        </is>
      </c>
      <c r="E94" s="337" t="inlineStr">
        <is>
          <t>DNI</t>
        </is>
      </c>
      <c r="F94" s="337" t="inlineStr">
        <is>
          <t>9203576</t>
        </is>
      </c>
      <c r="G94" s="339" t="n">
        <v>45674</v>
      </c>
      <c r="H94" s="337" t="inlineStr">
        <is>
          <t>4922</t>
        </is>
      </c>
      <c r="I94" s="332">
        <f>IFERROR(VLOOKUP(TEXT(H94,"0"),IPRESS!$A$3:$B$212,2,0),"")</f>
        <v/>
      </c>
      <c r="J94" s="337" t="inlineStr">
        <is>
          <t>4838</t>
        </is>
      </c>
      <c r="K94" s="332">
        <f>IFERROR(VLOOKUP(TEXT(O94,"0"),CONDUCTORES!$A$3:$G$100,7,0),"")</f>
        <v/>
      </c>
      <c r="L94" s="340" t="n">
        <v>17.95</v>
      </c>
      <c r="M94" s="340" t="n">
        <v>6</v>
      </c>
      <c r="N94" s="333">
        <f>IFERROR(IF(L94*M94=0,"",L94*M94),"")</f>
        <v/>
      </c>
      <c r="O94" s="280" t="n"/>
      <c r="P94" s="332">
        <f>IFERROR(VLOOKUP(TEXT(O94,"0"),CONDUCTORES!$A$3:$G$100,2,0),"")</f>
        <v/>
      </c>
      <c r="Q94" s="332">
        <f>IFERROR(VLOOKUP(TEXT(O94,"0"),CONDUCTORES!$A$3:$H$100,6,0),"")</f>
        <v/>
      </c>
      <c r="R94" s="341" t="inlineStr">
        <is>
          <t>ATENDIDO EL 27/01/2025</t>
        </is>
      </c>
      <c r="S94" s="338" t="inlineStr">
        <is>
          <t>J96.0-N10X</t>
        </is>
      </c>
      <c r="T94" s="335" t="inlineStr">
        <is>
          <t>APROBADO</t>
        </is>
      </c>
      <c r="U94" s="339" t="n">
        <v>45684</v>
      </c>
      <c r="V94" s="337" t="inlineStr">
        <is>
          <t>0044-2025</t>
        </is>
      </c>
      <c r="W94" s="337" t="inlineStr">
        <is>
          <t>539-2024</t>
        </is>
      </c>
      <c r="X94" s="337" t="inlineStr">
        <is>
          <t>6.0</t>
        </is>
      </c>
      <c r="Y94" s="280" t="n"/>
    </row>
    <row r="95" ht="15.75" customHeight="1" s="195">
      <c r="A95" s="241" t="n">
        <v>90</v>
      </c>
      <c r="B95" s="305" t="inlineStr">
        <is>
          <t>000000003</t>
        </is>
      </c>
      <c r="C95" s="241" t="inlineStr">
        <is>
          <t>REGION</t>
        </is>
      </c>
      <c r="D95" s="305" t="inlineStr">
        <is>
          <t>CAMPOS VASQUEZ DELCI YOLA</t>
        </is>
      </c>
      <c r="E95" s="241" t="inlineStr">
        <is>
          <t>DNI</t>
        </is>
      </c>
      <c r="F95" s="241" t="inlineStr">
        <is>
          <t>45870693</t>
        </is>
      </c>
      <c r="G95" s="336" t="n">
        <v>45673</v>
      </c>
      <c r="H95" s="241" t="inlineStr">
        <is>
          <t>4932</t>
        </is>
      </c>
      <c r="I95" s="332">
        <f>IFERROR(VLOOKUP(TEXT(H95,"0"),IPRESS!$A$3:$B$212,2,0),"")</f>
        <v/>
      </c>
      <c r="J95" s="241" t="inlineStr">
        <is>
          <t>4838</t>
        </is>
      </c>
      <c r="K95" s="332">
        <f>IFERROR(VLOOKUP(TEXT(O95,"0"),CONDUCTORES!$A$3:$G$100,7,0),"")</f>
        <v/>
      </c>
      <c r="L95" s="239" t="n">
        <v>18.18</v>
      </c>
      <c r="M95" s="239" t="n">
        <v>8</v>
      </c>
      <c r="N95" s="333">
        <f>IFERROR(IF(L95*M95=0,"",L95*M95),"")</f>
        <v/>
      </c>
      <c r="O95" s="334" t="n"/>
      <c r="P95" s="332">
        <f>IFERROR(VLOOKUP(TEXT(O95,"0"),CONDUCTORES!$A$3:$G$100,2,0),"")</f>
        <v/>
      </c>
      <c r="Q95" s="332">
        <f>IFERROR(VLOOKUP(TEXT(O95,"0"),CONDUCTORES!$A$3:$H$100,6,0),"")</f>
        <v/>
      </c>
      <c r="R95" s="280" t="inlineStr">
        <is>
          <t>ATENDIDO EL 27/01/2025</t>
        </is>
      </c>
      <c r="S95" s="305" t="inlineStr">
        <is>
          <t>Z359-O469</t>
        </is>
      </c>
      <c r="T95" s="335" t="inlineStr">
        <is>
          <t>APROBADO</t>
        </is>
      </c>
      <c r="U95" s="336" t="n">
        <v>45684</v>
      </c>
      <c r="V95" s="241" t="inlineStr">
        <is>
          <t>0045-2025</t>
        </is>
      </c>
      <c r="W95" s="241" t="inlineStr">
        <is>
          <t>539-2024</t>
        </is>
      </c>
      <c r="X95" s="241" t="inlineStr">
        <is>
          <t>163.0</t>
        </is>
      </c>
      <c r="Y95" s="280" t="n"/>
    </row>
    <row r="96" ht="15.75" customHeight="1" s="195">
      <c r="A96" s="301" t="n">
        <v>91</v>
      </c>
      <c r="B96" s="302" t="inlineStr">
        <is>
          <t>000000004</t>
        </is>
      </c>
      <c r="C96" s="301" t="inlineStr">
        <is>
          <t>REGION</t>
        </is>
      </c>
      <c r="D96" s="302" t="inlineStr">
        <is>
          <t>PEREZ GUEVARA NELVA ARACELI</t>
        </is>
      </c>
      <c r="E96" s="301" t="inlineStr">
        <is>
          <t>DNI</t>
        </is>
      </c>
      <c r="F96" s="301" t="inlineStr">
        <is>
          <t>61675206</t>
        </is>
      </c>
      <c r="G96" s="331" t="n">
        <v>45676</v>
      </c>
      <c r="H96" s="301" t="inlineStr">
        <is>
          <t>4932</t>
        </is>
      </c>
      <c r="I96" s="332">
        <f>IFERROR(VLOOKUP(TEXT(H96,"0"),IPRESS!$A$3:$B$212,2,0),"")</f>
        <v/>
      </c>
      <c r="J96" s="301" t="inlineStr">
        <is>
          <t>4838</t>
        </is>
      </c>
      <c r="K96" s="332">
        <f>IFERROR(VLOOKUP(TEXT(O96,"0"),CONDUCTORES!$A$3:$G$100,7,0),"")</f>
        <v/>
      </c>
      <c r="L96" s="245" t="n">
        <v>18.18</v>
      </c>
      <c r="M96" s="245" t="n">
        <v>8</v>
      </c>
      <c r="N96" s="333">
        <f>IFERROR(IF(L96*M96=0,"",L96*M96),"")</f>
        <v/>
      </c>
      <c r="O96" s="280" t="n"/>
      <c r="P96" s="332">
        <f>IFERROR(VLOOKUP(TEXT(O96,"0"),CONDUCTORES!$A$3:$G$100,2,0),"")</f>
        <v/>
      </c>
      <c r="Q96" s="332">
        <f>IFERROR(VLOOKUP(TEXT(O96,"0"),CONDUCTORES!$A$3:$H$100,6,0),"")</f>
        <v/>
      </c>
      <c r="R96" s="334" t="inlineStr">
        <is>
          <t>ATENDIDO EL 27/01/2025</t>
        </is>
      </c>
      <c r="S96" s="302" t="inlineStr">
        <is>
          <t>Z359-O639</t>
        </is>
      </c>
      <c r="T96" s="335" t="inlineStr">
        <is>
          <t>APROBADO</t>
        </is>
      </c>
      <c r="U96" s="331" t="n">
        <v>45684</v>
      </c>
      <c r="V96" s="301" t="inlineStr">
        <is>
          <t>0045-2025</t>
        </is>
      </c>
      <c r="W96" s="301" t="inlineStr">
        <is>
          <t>539-2024</t>
        </is>
      </c>
      <c r="X96" s="301" t="inlineStr">
        <is>
          <t>163.0</t>
        </is>
      </c>
      <c r="Y96" s="280" t="n"/>
    </row>
    <row r="97" ht="15.75" customHeight="1" s="195">
      <c r="A97" s="241" t="n">
        <v>92</v>
      </c>
      <c r="B97" s="305" t="inlineStr">
        <is>
          <t>000000001</t>
        </is>
      </c>
      <c r="C97" s="241" t="inlineStr">
        <is>
          <t>REGION</t>
        </is>
      </c>
      <c r="D97" s="305" t="inlineStr">
        <is>
          <t>RITUAY MORI MADELEYNE</t>
        </is>
      </c>
      <c r="E97" s="241" t="inlineStr">
        <is>
          <t>DNI</t>
        </is>
      </c>
      <c r="F97" s="241" t="inlineStr">
        <is>
          <t>61670354</t>
        </is>
      </c>
      <c r="G97" s="336" t="n">
        <v>45672</v>
      </c>
      <c r="H97" s="241" t="inlineStr">
        <is>
          <t>4888</t>
        </is>
      </c>
      <c r="I97" s="332">
        <f>IFERROR(VLOOKUP(TEXT(H97,"0"),IPRESS!$A$3:$B$212,2,0),"")</f>
        <v/>
      </c>
      <c r="J97" s="241" t="inlineStr">
        <is>
          <t>4838</t>
        </is>
      </c>
      <c r="K97" s="332">
        <f>IFERROR(VLOOKUP(TEXT(O97,"0"),CONDUCTORES!$A$3:$G$100,7,0),"")</f>
        <v/>
      </c>
      <c r="L97" s="239" t="n">
        <v>18.18</v>
      </c>
      <c r="M97" s="239" t="n">
        <v>10</v>
      </c>
      <c r="N97" s="333">
        <f>IFERROR(IF(L97*M97=0,"",L97*M97),"")</f>
        <v/>
      </c>
      <c r="O97" s="334" t="n"/>
      <c r="P97" s="332">
        <f>IFERROR(VLOOKUP(TEXT(O97,"0"),CONDUCTORES!$A$3:$G$100,2,0),"")</f>
        <v/>
      </c>
      <c r="Q97" s="332">
        <f>IFERROR(VLOOKUP(TEXT(O97,"0"),CONDUCTORES!$A$3:$H$100,6,0),"")</f>
        <v/>
      </c>
      <c r="R97" s="280" t="inlineStr">
        <is>
          <t>ATENDIDO EL 27/01/2025</t>
        </is>
      </c>
      <c r="S97" s="305" t="n"/>
      <c r="T97" s="335" t="inlineStr">
        <is>
          <t>APROBADO</t>
        </is>
      </c>
      <c r="U97" s="336" t="n">
        <v>45684</v>
      </c>
      <c r="V97" s="241" t="inlineStr">
        <is>
          <t>0043-2025</t>
        </is>
      </c>
      <c r="W97" s="241" t="inlineStr">
        <is>
          <t>539-2024</t>
        </is>
      </c>
      <c r="X97" s="241" t="inlineStr">
        <is>
          <t>163.0</t>
        </is>
      </c>
      <c r="Y97" s="280" t="n"/>
    </row>
    <row r="98" ht="15.75" customHeight="1" s="195">
      <c r="A98" s="301" t="n">
        <v>93</v>
      </c>
      <c r="B98" s="302" t="inlineStr">
        <is>
          <t>000000005</t>
        </is>
      </c>
      <c r="C98" s="301" t="inlineStr">
        <is>
          <t>REGION</t>
        </is>
      </c>
      <c r="D98" s="302" t="inlineStr">
        <is>
          <t xml:space="preserve">YNGA MAS JHISELA </t>
        </is>
      </c>
      <c r="E98" s="301" t="inlineStr">
        <is>
          <t>DNI</t>
        </is>
      </c>
      <c r="F98" s="301" t="inlineStr">
        <is>
          <t>72803478</t>
        </is>
      </c>
      <c r="G98" s="331" t="n">
        <v>45666</v>
      </c>
      <c r="H98" s="301" t="inlineStr">
        <is>
          <t>4887</t>
        </is>
      </c>
      <c r="I98" s="332">
        <f>IFERROR(VLOOKUP(TEXT(H98,"0"),IPRESS!$A$3:$B$212,2,0),"")</f>
        <v/>
      </c>
      <c r="J98" s="301" t="inlineStr">
        <is>
          <t>4838</t>
        </is>
      </c>
      <c r="K98" s="332">
        <f>IFERROR(VLOOKUP(TEXT(O98,"0"),CONDUCTORES!$A$3:$G$100,7,0),"")</f>
        <v/>
      </c>
      <c r="L98" s="245" t="n">
        <v>18.18</v>
      </c>
      <c r="M98" s="245" t="n">
        <v>10</v>
      </c>
      <c r="N98" s="333">
        <f>IFERROR(IF(L98*M98=0,"",L98*M98),"")</f>
        <v/>
      </c>
      <c r="O98" s="280" t="n"/>
      <c r="P98" s="332">
        <f>IFERROR(VLOOKUP(TEXT(O98,"0"),CONDUCTORES!$A$3:$G$100,2,0),"")</f>
        <v/>
      </c>
      <c r="Q98" s="332">
        <f>IFERROR(VLOOKUP(TEXT(O98,"0"),CONDUCTORES!$A$3:$H$100,6,0),"")</f>
        <v/>
      </c>
      <c r="R98" s="334" t="inlineStr">
        <is>
          <t>ATENDIDO EL 27/01/2025</t>
        </is>
      </c>
      <c r="S98" s="302" t="n"/>
      <c r="T98" s="335" t="inlineStr">
        <is>
          <t>APROBADO</t>
        </is>
      </c>
      <c r="U98" s="331" t="n">
        <v>45684</v>
      </c>
      <c r="V98" s="301" t="inlineStr">
        <is>
          <t>0043-2025</t>
        </is>
      </c>
      <c r="W98" s="301" t="inlineStr">
        <is>
          <t>539-2024</t>
        </is>
      </c>
      <c r="X98" s="301" t="inlineStr">
        <is>
          <t>163.0</t>
        </is>
      </c>
      <c r="Y98" s="280" t="n"/>
    </row>
    <row r="99" ht="15.75" customHeight="1" s="195">
      <c r="A99" s="241" t="n">
        <v>94</v>
      </c>
      <c r="B99" s="305" t="inlineStr">
        <is>
          <t>00000022</t>
        </is>
      </c>
      <c r="C99" s="241" t="inlineStr">
        <is>
          <t>REGION</t>
        </is>
      </c>
      <c r="D99" s="305" t="inlineStr">
        <is>
          <t>ACOSTA GRANDEZ JOSELITO</t>
        </is>
      </c>
      <c r="E99" s="241" t="inlineStr">
        <is>
          <t>DNI</t>
        </is>
      </c>
      <c r="F99" s="241" t="inlineStr">
        <is>
          <t>43755881</t>
        </is>
      </c>
      <c r="G99" s="336" t="n">
        <v>45673</v>
      </c>
      <c r="H99" s="241" t="inlineStr">
        <is>
          <t>4950</t>
        </is>
      </c>
      <c r="I99" s="332">
        <f>IFERROR(VLOOKUP(TEXT(H99,"0"),IPRESS!$A$3:$B$212,2,0),"")</f>
        <v/>
      </c>
      <c r="J99" s="241" t="inlineStr">
        <is>
          <t>4838</t>
        </is>
      </c>
      <c r="K99" s="332">
        <f>IFERROR(VLOOKUP(TEXT(O99,"0"),CONDUCTORES!$A$3:$G$100,7,0),"")</f>
        <v/>
      </c>
      <c r="L99" s="239" t="n">
        <v>20.25</v>
      </c>
      <c r="M99" s="239" t="n">
        <v>7</v>
      </c>
      <c r="N99" s="333">
        <f>IFERROR(IF(L99*M99=0,"",L99*M99),"")</f>
        <v/>
      </c>
      <c r="O99" s="334" t="n"/>
      <c r="P99" s="332">
        <f>IFERROR(VLOOKUP(TEXT(O99,"0"),CONDUCTORES!$A$3:$G$100,2,0),"")</f>
        <v/>
      </c>
      <c r="Q99" s="332">
        <f>IFERROR(VLOOKUP(TEXT(O99,"0"),CONDUCTORES!$A$3:$H$100,6,0),"")</f>
        <v/>
      </c>
      <c r="R99" s="280" t="inlineStr">
        <is>
          <t>ATENDIDO EL 28/01/2025</t>
        </is>
      </c>
      <c r="S99" s="305" t="inlineStr">
        <is>
          <t>T793</t>
        </is>
      </c>
      <c r="T99" s="335" t="inlineStr">
        <is>
          <t>APROBADO</t>
        </is>
      </c>
      <c r="U99" s="336" t="n">
        <v>45698</v>
      </c>
      <c r="V99" s="241" t="inlineStr">
        <is>
          <t>0046-2025</t>
        </is>
      </c>
      <c r="W99" s="241" t="inlineStr">
        <is>
          <t>438-2024</t>
        </is>
      </c>
      <c r="X99" s="241" t="inlineStr">
        <is>
          <t>91.0</t>
        </is>
      </c>
      <c r="Y99" s="280" t="n"/>
    </row>
    <row r="100" ht="15.75" customHeight="1" s="195">
      <c r="A100" s="301" t="n">
        <v>95</v>
      </c>
      <c r="B100" s="302" t="inlineStr">
        <is>
          <t>00000023</t>
        </is>
      </c>
      <c r="C100" s="301" t="inlineStr">
        <is>
          <t>REGION</t>
        </is>
      </c>
      <c r="D100" s="302" t="inlineStr">
        <is>
          <t>NOVOA TAFUR EDITHA CONSUELO</t>
        </is>
      </c>
      <c r="E100" s="301" t="inlineStr">
        <is>
          <t>DNI</t>
        </is>
      </c>
      <c r="F100" s="301" t="inlineStr">
        <is>
          <t>33951427</t>
        </is>
      </c>
      <c r="G100" s="331" t="n">
        <v>45676</v>
      </c>
      <c r="H100" s="301" t="inlineStr">
        <is>
          <t>4950</t>
        </is>
      </c>
      <c r="I100" s="332">
        <f>IFERROR(VLOOKUP(TEXT(H100,"0"),IPRESS!$A$3:$B$212,2,0),"")</f>
        <v/>
      </c>
      <c r="J100" s="301" t="inlineStr">
        <is>
          <t>4838</t>
        </is>
      </c>
      <c r="K100" s="332">
        <f>IFERROR(VLOOKUP(TEXT(O100,"0"),CONDUCTORES!$A$3:$G$100,7,0),"")</f>
        <v/>
      </c>
      <c r="L100" s="245" t="n">
        <v>20.25</v>
      </c>
      <c r="M100" s="245" t="n">
        <v>7</v>
      </c>
      <c r="N100" s="333">
        <f>IFERROR(IF(L100*M100=0,"",L100*M100),"")</f>
        <v/>
      </c>
      <c r="O100" s="280" t="n"/>
      <c r="P100" s="332">
        <f>IFERROR(VLOOKUP(TEXT(O100,"0"),CONDUCTORES!$A$3:$G$100,2,0),"")</f>
        <v/>
      </c>
      <c r="Q100" s="332">
        <f>IFERROR(VLOOKUP(TEXT(O100,"0"),CONDUCTORES!$A$3:$H$100,6,0),"")</f>
        <v/>
      </c>
      <c r="R100" s="334" t="inlineStr">
        <is>
          <t>ATENDIDO EL 28/01/2025</t>
        </is>
      </c>
      <c r="S100" s="302" t="inlineStr">
        <is>
          <t>J961-I500</t>
        </is>
      </c>
      <c r="T100" s="335" t="inlineStr">
        <is>
          <t>APROBADO</t>
        </is>
      </c>
      <c r="U100" s="331" t="n">
        <v>45698</v>
      </c>
      <c r="V100" s="301" t="inlineStr">
        <is>
          <t>0046-2025</t>
        </is>
      </c>
      <c r="W100" s="301" t="inlineStr">
        <is>
          <t>438-2024</t>
        </is>
      </c>
      <c r="X100" s="301" t="inlineStr">
        <is>
          <t>91.0</t>
        </is>
      </c>
      <c r="Y100" s="280" t="n"/>
    </row>
    <row r="101" ht="15.75" customHeight="1" s="195">
      <c r="A101" s="241" t="n">
        <v>96</v>
      </c>
      <c r="B101" s="305" t="inlineStr">
        <is>
          <t>000000001</t>
        </is>
      </c>
      <c r="C101" s="241" t="inlineStr">
        <is>
          <t>REGION</t>
        </is>
      </c>
      <c r="D101" s="305" t="inlineStr">
        <is>
          <t>CULQUI CAJA KELLY LLEZENIA</t>
        </is>
      </c>
      <c r="E101" s="241" t="inlineStr">
        <is>
          <t>DNI</t>
        </is>
      </c>
      <c r="F101" s="241" t="inlineStr">
        <is>
          <t>60708292</t>
        </is>
      </c>
      <c r="G101" s="336" t="n">
        <v>45667</v>
      </c>
      <c r="H101" s="241" t="inlineStr">
        <is>
          <t>4905</t>
        </is>
      </c>
      <c r="I101" s="332">
        <f>IFERROR(VLOOKUP(TEXT(H101,"0"),IPRESS!$A$3:$B$212,2,0),"")</f>
        <v/>
      </c>
      <c r="J101" s="241" t="inlineStr">
        <is>
          <t>4838</t>
        </is>
      </c>
      <c r="K101" s="332">
        <f>IFERROR(VLOOKUP(TEXT(O101,"0"),CONDUCTORES!$A$3:$G$100,7,0),"")</f>
        <v/>
      </c>
      <c r="L101" s="239" t="n">
        <v>18.18</v>
      </c>
      <c r="M101" s="239" t="n">
        <v>8</v>
      </c>
      <c r="N101" s="333">
        <f>IFERROR(IF(L101*M101=0,"",L101*M101),"")</f>
        <v/>
      </c>
      <c r="O101" s="334" t="n"/>
      <c r="P101" s="332">
        <f>IFERROR(VLOOKUP(TEXT(O101,"0"),CONDUCTORES!$A$3:$G$100,2,0),"")</f>
        <v/>
      </c>
      <c r="Q101" s="332">
        <f>IFERROR(VLOOKUP(TEXT(O101,"0"),CONDUCTORES!$A$3:$H$100,6,0),"")</f>
        <v/>
      </c>
      <c r="R101" s="280" t="inlineStr">
        <is>
          <t>ATENDIDO EL 28/01/2025</t>
        </is>
      </c>
      <c r="S101" s="305" t="inlineStr">
        <is>
          <t>Z359</t>
        </is>
      </c>
      <c r="T101" s="335" t="inlineStr">
        <is>
          <t>APROBADO</t>
        </is>
      </c>
      <c r="U101" s="280" t="inlineStr">
        <is>
          <t>ATENDIDO EL 28/01/2025</t>
        </is>
      </c>
      <c r="V101" s="241" t="inlineStr">
        <is>
          <t>0050-2025</t>
        </is>
      </c>
      <c r="W101" s="241" t="inlineStr">
        <is>
          <t>539-2024</t>
        </is>
      </c>
      <c r="X101" s="241" t="inlineStr">
        <is>
          <t>163.0</t>
        </is>
      </c>
      <c r="Y101" s="280" t="n"/>
    </row>
    <row r="102" ht="15.75" customHeight="1" s="195">
      <c r="A102" s="301" t="n">
        <v>97</v>
      </c>
      <c r="B102" s="302" t="inlineStr">
        <is>
          <t>000000002</t>
        </is>
      </c>
      <c r="C102" s="301" t="inlineStr">
        <is>
          <t>REGION</t>
        </is>
      </c>
      <c r="D102" s="302" t="inlineStr">
        <is>
          <t>CULQUI CHOCTALIN KELLY</t>
        </is>
      </c>
      <c r="E102" s="301" t="inlineStr">
        <is>
          <t>DNI</t>
        </is>
      </c>
      <c r="F102" s="301" t="inlineStr">
        <is>
          <t>47266742</t>
        </is>
      </c>
      <c r="G102" s="331" t="n">
        <v>45668</v>
      </c>
      <c r="H102" s="301" t="inlineStr">
        <is>
          <t>4905</t>
        </is>
      </c>
      <c r="I102" s="332">
        <f>IFERROR(VLOOKUP(TEXT(H102,"0"),IPRESS!$A$3:$B$212,2,0),"")</f>
        <v/>
      </c>
      <c r="J102" s="301" t="inlineStr">
        <is>
          <t>4838</t>
        </is>
      </c>
      <c r="K102" s="332">
        <f>IFERROR(VLOOKUP(TEXT(O102,"0"),CONDUCTORES!$A$3:$G$100,7,0),"")</f>
        <v/>
      </c>
      <c r="L102" s="245" t="n">
        <v>18.18</v>
      </c>
      <c r="M102" s="245" t="n">
        <v>8</v>
      </c>
      <c r="N102" s="333">
        <f>IFERROR(IF(L102*M102=0,"",L102*M102),"")</f>
        <v/>
      </c>
      <c r="O102" s="280" t="n"/>
      <c r="P102" s="332">
        <f>IFERROR(VLOOKUP(TEXT(O102,"0"),CONDUCTORES!$A$3:$G$100,2,0),"")</f>
        <v/>
      </c>
      <c r="Q102" s="332">
        <f>IFERROR(VLOOKUP(TEXT(O102,"0"),CONDUCTORES!$A$3:$H$100,6,0),"")</f>
        <v/>
      </c>
      <c r="R102" s="334" t="inlineStr">
        <is>
          <t>ATENDIDO EL 28/01/2025</t>
        </is>
      </c>
      <c r="S102" s="302" t="inlineStr">
        <is>
          <t>N939</t>
        </is>
      </c>
      <c r="T102" s="335" t="inlineStr">
        <is>
          <t>APROBADO</t>
        </is>
      </c>
      <c r="U102" s="334" t="inlineStr">
        <is>
          <t>ATENDIDO EL 28/01/2025</t>
        </is>
      </c>
      <c r="V102" s="301" t="inlineStr">
        <is>
          <t>0050-2025</t>
        </is>
      </c>
      <c r="W102" s="301" t="inlineStr">
        <is>
          <t>539-2024</t>
        </is>
      </c>
      <c r="X102" s="301" t="inlineStr">
        <is>
          <t>163.0</t>
        </is>
      </c>
      <c r="Y102" s="280" t="n"/>
    </row>
    <row r="103" ht="15.75" customHeight="1" s="195">
      <c r="A103" s="241" t="n">
        <v>98</v>
      </c>
      <c r="B103" s="305" t="inlineStr">
        <is>
          <t>000000006</t>
        </is>
      </c>
      <c r="C103" s="241" t="inlineStr">
        <is>
          <t>REGION</t>
        </is>
      </c>
      <c r="D103" s="305" t="inlineStr">
        <is>
          <t>SANTILLAN CHAVEZ MICHAEL ELEODOR</t>
        </is>
      </c>
      <c r="E103" s="241" t="inlineStr">
        <is>
          <t>DNI</t>
        </is>
      </c>
      <c r="F103" s="241" t="inlineStr">
        <is>
          <t>43153211</t>
        </is>
      </c>
      <c r="G103" s="336" t="n">
        <v>45663</v>
      </c>
      <c r="H103" s="241" t="inlineStr">
        <is>
          <t>4866</t>
        </is>
      </c>
      <c r="I103" s="332">
        <f>IFERROR(VLOOKUP(TEXT(H103,"0"),IPRESS!$A$3:$B$212,2,0),"")</f>
        <v/>
      </c>
      <c r="J103" s="241" t="inlineStr">
        <is>
          <t>4838</t>
        </is>
      </c>
      <c r="K103" s="332">
        <f>IFERROR(VLOOKUP(TEXT(O103,"0"),CONDUCTORES!$A$3:$G$100,7,0),"")</f>
        <v/>
      </c>
      <c r="L103" s="239" t="n">
        <v>18.18</v>
      </c>
      <c r="M103" s="239" t="n">
        <v>4</v>
      </c>
      <c r="N103" s="333">
        <f>IFERROR(IF(L103*M103=0,"",L103*M103),"")</f>
        <v/>
      </c>
      <c r="O103" s="334" t="n"/>
      <c r="P103" s="332">
        <f>IFERROR(VLOOKUP(TEXT(O103,"0"),CONDUCTORES!$A$3:$G$100,2,0),"")</f>
        <v/>
      </c>
      <c r="Q103" s="332">
        <f>IFERROR(VLOOKUP(TEXT(O103,"0"),CONDUCTORES!$A$3:$H$100,6,0),"")</f>
        <v/>
      </c>
      <c r="R103" s="280" t="inlineStr">
        <is>
          <t>ATENDIDO EL 28/01/2025</t>
        </is>
      </c>
      <c r="S103" s="305" t="inlineStr">
        <is>
          <t>J960-R18X-K920</t>
        </is>
      </c>
      <c r="T103" s="335" t="inlineStr">
        <is>
          <t>APROBADO</t>
        </is>
      </c>
      <c r="U103" s="280" t="inlineStr">
        <is>
          <t>ATENDIDO EL 28/01/2025</t>
        </is>
      </c>
      <c r="V103" s="241" t="inlineStr">
        <is>
          <t>0054-2025</t>
        </is>
      </c>
      <c r="W103" s="241" t="inlineStr">
        <is>
          <t>539-2024</t>
        </is>
      </c>
      <c r="X103" s="241" t="inlineStr">
        <is>
          <t>163.0</t>
        </is>
      </c>
      <c r="Y103" s="280" t="n"/>
    </row>
    <row r="104" ht="15.75" customHeight="1" s="195">
      <c r="A104" s="301" t="n">
        <v>99</v>
      </c>
      <c r="B104" s="302" t="inlineStr">
        <is>
          <t>000000005</t>
        </is>
      </c>
      <c r="C104" s="301" t="inlineStr">
        <is>
          <t>REGION</t>
        </is>
      </c>
      <c r="D104" s="302" t="inlineStr">
        <is>
          <t>CHAVEZ HERRERA LEONIDAS</t>
        </is>
      </c>
      <c r="E104" s="301" t="inlineStr">
        <is>
          <t>DNI</t>
        </is>
      </c>
      <c r="F104" s="301" t="inlineStr">
        <is>
          <t>33791266</t>
        </is>
      </c>
      <c r="G104" s="331" t="n">
        <v>45659</v>
      </c>
      <c r="H104" s="301" t="inlineStr">
        <is>
          <t>4866</t>
        </is>
      </c>
      <c r="I104" s="332">
        <f>IFERROR(VLOOKUP(TEXT(H104,"0"),IPRESS!$A$3:$B$212,2,0),"")</f>
        <v/>
      </c>
      <c r="J104" s="301" t="inlineStr">
        <is>
          <t>4838</t>
        </is>
      </c>
      <c r="K104" s="332">
        <f>IFERROR(VLOOKUP(TEXT(O104,"0"),CONDUCTORES!$A$3:$G$100,7,0),"")</f>
        <v/>
      </c>
      <c r="L104" s="245" t="n">
        <v>18.18</v>
      </c>
      <c r="M104" s="245" t="n">
        <v>4</v>
      </c>
      <c r="N104" s="333">
        <f>IFERROR(IF(L104*M104=0,"",L104*M104),"")</f>
        <v/>
      </c>
      <c r="O104" s="280" t="n"/>
      <c r="P104" s="332">
        <f>IFERROR(VLOOKUP(TEXT(O104,"0"),CONDUCTORES!$A$3:$G$100,2,0),"")</f>
        <v/>
      </c>
      <c r="Q104" s="332">
        <f>IFERROR(VLOOKUP(TEXT(O104,"0"),CONDUCTORES!$A$3:$H$100,6,0),"")</f>
        <v/>
      </c>
      <c r="R104" s="334" t="inlineStr">
        <is>
          <t>ATENDIDO EL 28/01/2025</t>
        </is>
      </c>
      <c r="S104" s="302" t="inlineStr">
        <is>
          <t>R100-N324</t>
        </is>
      </c>
      <c r="T104" s="335" t="inlineStr">
        <is>
          <t>APROBADO</t>
        </is>
      </c>
      <c r="U104" s="334" t="inlineStr">
        <is>
          <t>ATENDIDO EL 28/01/2025</t>
        </is>
      </c>
      <c r="V104" s="301" t="inlineStr">
        <is>
          <t>0054-2025</t>
        </is>
      </c>
      <c r="W104" s="301" t="inlineStr">
        <is>
          <t>539-2024</t>
        </is>
      </c>
      <c r="X104" s="301" t="inlineStr">
        <is>
          <t>163.0</t>
        </is>
      </c>
      <c r="Y104" s="280" t="n"/>
    </row>
    <row r="105" ht="15.75" customHeight="1" s="195">
      <c r="A105" s="241" t="n">
        <v>100</v>
      </c>
      <c r="B105" s="305" t="inlineStr">
        <is>
          <t>000000007</t>
        </is>
      </c>
      <c r="C105" s="241" t="inlineStr">
        <is>
          <t>REGION</t>
        </is>
      </c>
      <c r="D105" s="305" t="inlineStr">
        <is>
          <t>CHAPPA CHUQUIZUTA KELY MERCEDES</t>
        </is>
      </c>
      <c r="E105" s="241" t="inlineStr">
        <is>
          <t>DNI</t>
        </is>
      </c>
      <c r="F105" s="241" t="inlineStr">
        <is>
          <t>73474762</t>
        </is>
      </c>
      <c r="G105" s="336" t="n">
        <v>45672</v>
      </c>
      <c r="H105" s="241" t="inlineStr">
        <is>
          <t>4866</t>
        </is>
      </c>
      <c r="I105" s="332">
        <f>IFERROR(VLOOKUP(TEXT(H105,"0"),IPRESS!$A$3:$B$212,2,0),"")</f>
        <v/>
      </c>
      <c r="J105" s="241" t="inlineStr">
        <is>
          <t>4838</t>
        </is>
      </c>
      <c r="K105" s="332">
        <f>IFERROR(VLOOKUP(TEXT(O105,"0"),CONDUCTORES!$A$3:$G$100,7,0),"")</f>
        <v/>
      </c>
      <c r="L105" s="239" t="n">
        <v>18.18</v>
      </c>
      <c r="M105" s="239" t="n">
        <v>4</v>
      </c>
      <c r="N105" s="333">
        <f>IFERROR(IF(L105*M105=0,"",L105*M105),"")</f>
        <v/>
      </c>
      <c r="O105" s="334" t="n"/>
      <c r="P105" s="332">
        <f>IFERROR(VLOOKUP(TEXT(O105,"0"),CONDUCTORES!$A$3:$G$100,2,0),"")</f>
        <v/>
      </c>
      <c r="Q105" s="332">
        <f>IFERROR(VLOOKUP(TEXT(O105,"0"),CONDUCTORES!$A$3:$H$100,6,0),"")</f>
        <v/>
      </c>
      <c r="R105" s="280" t="inlineStr">
        <is>
          <t>ATENDIDO EL 28/01/2025</t>
        </is>
      </c>
      <c r="S105" s="305" t="inlineStr">
        <is>
          <t>O342</t>
        </is>
      </c>
      <c r="T105" s="335" t="inlineStr">
        <is>
          <t>APROBADO</t>
        </is>
      </c>
      <c r="U105" s="280" t="inlineStr">
        <is>
          <t>ATENDIDO EL 28/01/2025</t>
        </is>
      </c>
      <c r="V105" s="241" t="inlineStr">
        <is>
          <t>0054-2025</t>
        </is>
      </c>
      <c r="W105" s="241" t="inlineStr">
        <is>
          <t>539-2024</t>
        </is>
      </c>
      <c r="X105" s="241" t="inlineStr">
        <is>
          <t>163.0</t>
        </is>
      </c>
      <c r="Y105" s="280" t="n"/>
    </row>
    <row r="106" ht="15.75" customHeight="1" s="195">
      <c r="A106" s="337" t="n">
        <v>101</v>
      </c>
      <c r="B106" s="338" t="inlineStr">
        <is>
          <t>000000001</t>
        </is>
      </c>
      <c r="C106" s="337" t="inlineStr">
        <is>
          <t>REGION</t>
        </is>
      </c>
      <c r="D106" s="338" t="inlineStr">
        <is>
          <t>MAS GASLAC EINER</t>
        </is>
      </c>
      <c r="E106" s="337" t="inlineStr">
        <is>
          <t>DNI</t>
        </is>
      </c>
      <c r="F106" s="337" t="inlineStr">
        <is>
          <t>76827194</t>
        </is>
      </c>
      <c r="G106" s="339" t="n">
        <v>45664</v>
      </c>
      <c r="H106" s="337" t="inlineStr">
        <is>
          <t>4869</t>
        </is>
      </c>
      <c r="I106" s="332">
        <f>IFERROR(VLOOKUP(TEXT(H106,"0"),IPRESS!$A$3:$B$212,2,0),"")</f>
        <v/>
      </c>
      <c r="J106" s="337" t="inlineStr">
        <is>
          <t>4838</t>
        </is>
      </c>
      <c r="K106" s="332">
        <f>IFERROR(VLOOKUP(TEXT(O106,"0"),CONDUCTORES!$A$3:$G$100,7,0),"")</f>
        <v/>
      </c>
      <c r="L106" s="340" t="n">
        <v>18.18</v>
      </c>
      <c r="M106" s="340" t="n">
        <v>8</v>
      </c>
      <c r="N106" s="333">
        <f>IFERROR(IF(L106*M106=0,"",L106*M106),"")</f>
        <v/>
      </c>
      <c r="O106" s="280" t="n"/>
      <c r="P106" s="332">
        <f>IFERROR(VLOOKUP(TEXT(O106,"0"),CONDUCTORES!$A$3:$G$100,2,0),"")</f>
        <v/>
      </c>
      <c r="Q106" s="332">
        <f>IFERROR(VLOOKUP(TEXT(O106,"0"),CONDUCTORES!$A$3:$H$100,6,0),"")</f>
        <v/>
      </c>
      <c r="R106" s="341" t="inlineStr">
        <is>
          <t>ATENDIDO EL 28/01/2025</t>
        </is>
      </c>
      <c r="S106" s="338" t="inlineStr">
        <is>
          <t>S680</t>
        </is>
      </c>
      <c r="T106" s="335" t="inlineStr">
        <is>
          <t>APROBADO</t>
        </is>
      </c>
      <c r="U106" s="341" t="inlineStr">
        <is>
          <t>ATENDIDO EL 28/01/2025</t>
        </is>
      </c>
      <c r="V106" s="337" t="inlineStr">
        <is>
          <t>0051-2025</t>
        </is>
      </c>
      <c r="W106" s="337" t="inlineStr">
        <is>
          <t>539-2024</t>
        </is>
      </c>
      <c r="X106" s="337" t="inlineStr">
        <is>
          <t>6.0</t>
        </is>
      </c>
      <c r="Y106" s="280" t="n"/>
    </row>
    <row r="107" ht="15.75" customHeight="1" s="195">
      <c r="A107" s="337" t="n">
        <v>102</v>
      </c>
      <c r="B107" s="338" t="inlineStr">
        <is>
          <t>000000002</t>
        </is>
      </c>
      <c r="C107" s="337" t="inlineStr">
        <is>
          <t>REGION</t>
        </is>
      </c>
      <c r="D107" s="338" t="inlineStr">
        <is>
          <t>YANA BRICEÑO SILVIA</t>
        </is>
      </c>
      <c r="E107" s="337" t="inlineStr">
        <is>
          <t>DNI</t>
        </is>
      </c>
      <c r="F107" s="337" t="inlineStr">
        <is>
          <t>73731630</t>
        </is>
      </c>
      <c r="G107" s="339" t="n">
        <v>45671</v>
      </c>
      <c r="H107" s="337" t="inlineStr">
        <is>
          <t>4922</t>
        </is>
      </c>
      <c r="I107" s="332">
        <f>IFERROR(VLOOKUP(TEXT(H107,"0"),IPRESS!$A$3:$B$212,2,0),"")</f>
        <v/>
      </c>
      <c r="J107" s="337" t="inlineStr">
        <is>
          <t>4838</t>
        </is>
      </c>
      <c r="K107" s="332">
        <f>IFERROR(VLOOKUP(TEXT(O107,"0"),CONDUCTORES!$A$3:$G$100,7,0),"")</f>
        <v/>
      </c>
      <c r="L107" s="340" t="n">
        <v>17.95</v>
      </c>
      <c r="M107" s="340" t="n">
        <v>6</v>
      </c>
      <c r="N107" s="333">
        <f>IFERROR(IF(L107*M107=0,"",L107*M107),"")</f>
        <v/>
      </c>
      <c r="O107" s="334" t="n"/>
      <c r="P107" s="332">
        <f>IFERROR(VLOOKUP(TEXT(O107,"0"),CONDUCTORES!$A$3:$G$100,2,0),"")</f>
        <v/>
      </c>
      <c r="Q107" s="332">
        <f>IFERROR(VLOOKUP(TEXT(O107,"0"),CONDUCTORES!$A$3:$H$100,6,0),"")</f>
        <v/>
      </c>
      <c r="R107" s="341" t="inlineStr">
        <is>
          <t>ATENDIDO EL 28/01/2025</t>
        </is>
      </c>
      <c r="S107" s="338" t="inlineStr">
        <is>
          <t>R104-K37X</t>
        </is>
      </c>
      <c r="T107" s="335" t="inlineStr">
        <is>
          <t>APROBADO</t>
        </is>
      </c>
      <c r="U107" s="341" t="inlineStr">
        <is>
          <t>ATENDIDO EL 28/01/2025</t>
        </is>
      </c>
      <c r="V107" s="337" t="inlineStr">
        <is>
          <t>0053-2025</t>
        </is>
      </c>
      <c r="W107" s="337" t="inlineStr">
        <is>
          <t>539-2024</t>
        </is>
      </c>
      <c r="X107" s="337" t="inlineStr">
        <is>
          <t>6.0</t>
        </is>
      </c>
      <c r="Y107" s="280" t="n"/>
    </row>
    <row r="108" ht="15.75" customHeight="1" s="195">
      <c r="A108" s="301" t="n">
        <v>103</v>
      </c>
      <c r="B108" s="302" t="inlineStr">
        <is>
          <t>000000001</t>
        </is>
      </c>
      <c r="C108" s="301" t="inlineStr">
        <is>
          <t>REGION</t>
        </is>
      </c>
      <c r="D108" s="302" t="inlineStr">
        <is>
          <t>GALVEZ IZQUIERDO RN</t>
        </is>
      </c>
      <c r="E108" s="301" t="inlineStr">
        <is>
          <t>DNI</t>
        </is>
      </c>
      <c r="F108" s="301" t="inlineStr">
        <is>
          <t>10959416</t>
        </is>
      </c>
      <c r="G108" s="331" t="n">
        <v>45662</v>
      </c>
      <c r="H108" s="301" t="inlineStr">
        <is>
          <t>4932</t>
        </is>
      </c>
      <c r="I108" s="332">
        <f>IFERROR(VLOOKUP(TEXT(H108,"0"),IPRESS!$A$3:$B$212,2,0),"")</f>
        <v/>
      </c>
      <c r="J108" s="301" t="inlineStr">
        <is>
          <t>4838</t>
        </is>
      </c>
      <c r="K108" s="332">
        <f>IFERROR(VLOOKUP(TEXT(O108,"0"),CONDUCTORES!$A$3:$G$100,7,0),"")</f>
        <v/>
      </c>
      <c r="L108" s="245" t="n">
        <v>18.18</v>
      </c>
      <c r="M108" s="245" t="n">
        <v>8</v>
      </c>
      <c r="N108" s="333">
        <f>IFERROR(IF(L108*M108=0,"",L108*M108),"")</f>
        <v/>
      </c>
      <c r="O108" s="280" t="n"/>
      <c r="P108" s="332">
        <f>IFERROR(VLOOKUP(TEXT(O108,"0"),CONDUCTORES!$A$3:$G$100,2,0),"")</f>
        <v/>
      </c>
      <c r="Q108" s="332">
        <f>IFERROR(VLOOKUP(TEXT(O108,"0"),CONDUCTORES!$A$3:$H$100,6,0),"")</f>
        <v/>
      </c>
      <c r="R108" s="334" t="inlineStr">
        <is>
          <t>ATENDIDO EL 28/01/2025</t>
        </is>
      </c>
      <c r="S108" s="302" t="inlineStr">
        <is>
          <t>P073-P050</t>
        </is>
      </c>
      <c r="T108" s="335" t="inlineStr">
        <is>
          <t>APROBADO</t>
        </is>
      </c>
      <c r="U108" s="334" t="inlineStr">
        <is>
          <t>ATENDIDO EL 28/01/2025</t>
        </is>
      </c>
      <c r="V108" s="301" t="inlineStr">
        <is>
          <t>0049-2025</t>
        </is>
      </c>
      <c r="W108" s="301" t="inlineStr">
        <is>
          <t>539-2024</t>
        </is>
      </c>
      <c r="X108" s="301" t="inlineStr">
        <is>
          <t>163.0</t>
        </is>
      </c>
      <c r="Y108" s="280" t="n"/>
    </row>
    <row r="109" ht="15.75" customHeight="1" s="195">
      <c r="A109" s="241" t="n">
        <v>104</v>
      </c>
      <c r="B109" s="305" t="inlineStr">
        <is>
          <t>000000002</t>
        </is>
      </c>
      <c r="C109" s="241" t="inlineStr">
        <is>
          <t>REGION</t>
        </is>
      </c>
      <c r="D109" s="305" t="inlineStr">
        <is>
          <t>BAZAN GUEVARA ELISABET</t>
        </is>
      </c>
      <c r="E109" s="241" t="inlineStr">
        <is>
          <t>DNI</t>
        </is>
      </c>
      <c r="F109" s="241" t="inlineStr">
        <is>
          <t>46977938</t>
        </is>
      </c>
      <c r="G109" s="336" t="n">
        <v>45667</v>
      </c>
      <c r="H109" s="241" t="inlineStr">
        <is>
          <t>4932</t>
        </is>
      </c>
      <c r="I109" s="332">
        <f>IFERROR(VLOOKUP(TEXT(H109,"0"),IPRESS!$A$3:$B$212,2,0),"")</f>
        <v/>
      </c>
      <c r="J109" s="241" t="inlineStr">
        <is>
          <t>4838</t>
        </is>
      </c>
      <c r="K109" s="332">
        <f>IFERROR(VLOOKUP(TEXT(O109,"0"),CONDUCTORES!$A$3:$G$100,7,0),"")</f>
        <v/>
      </c>
      <c r="L109" s="239" t="n">
        <v>18.18</v>
      </c>
      <c r="M109" s="239" t="n">
        <v>8</v>
      </c>
      <c r="N109" s="333">
        <f>IFERROR(IF(L109*M109=0,"",L109*M109),"")</f>
        <v/>
      </c>
      <c r="O109" s="334" t="n"/>
      <c r="P109" s="332">
        <f>IFERROR(VLOOKUP(TEXT(O109,"0"),CONDUCTORES!$A$3:$G$100,2,0),"")</f>
        <v/>
      </c>
      <c r="Q109" s="332">
        <f>IFERROR(VLOOKUP(TEXT(O109,"0"),CONDUCTORES!$A$3:$H$100,6,0),"")</f>
        <v/>
      </c>
      <c r="R109" s="280" t="inlineStr">
        <is>
          <t>ATENDIDO EL 28/01/2025</t>
        </is>
      </c>
      <c r="S109" s="305" t="inlineStr">
        <is>
          <t>O48X</t>
        </is>
      </c>
      <c r="T109" s="335" t="inlineStr">
        <is>
          <t>APROBADO</t>
        </is>
      </c>
      <c r="U109" s="280" t="inlineStr">
        <is>
          <t>ATENDIDO EL 28/01/2025</t>
        </is>
      </c>
      <c r="V109" s="241" t="inlineStr">
        <is>
          <t>0049-2025</t>
        </is>
      </c>
      <c r="W109" s="241" t="inlineStr">
        <is>
          <t>539-2024</t>
        </is>
      </c>
      <c r="X109" s="241" t="inlineStr">
        <is>
          <t>163.0</t>
        </is>
      </c>
      <c r="Y109" s="280" t="n"/>
    </row>
    <row r="110" ht="15.75" customHeight="1" s="195">
      <c r="A110" s="301" t="n">
        <v>105</v>
      </c>
      <c r="B110" s="302" t="inlineStr">
        <is>
          <t>000000004</t>
        </is>
      </c>
      <c r="C110" s="301" t="inlineStr">
        <is>
          <t>REGION</t>
        </is>
      </c>
      <c r="D110" s="302" t="inlineStr">
        <is>
          <t>TENORIO PUELLES YAHAIRA</t>
        </is>
      </c>
      <c r="E110" s="301" t="inlineStr">
        <is>
          <t>DNI</t>
        </is>
      </c>
      <c r="F110" s="301" t="inlineStr">
        <is>
          <t>74431770</t>
        </is>
      </c>
      <c r="G110" s="331" t="n">
        <v>45671</v>
      </c>
      <c r="H110" s="301" t="inlineStr">
        <is>
          <t>4887</t>
        </is>
      </c>
      <c r="I110" s="332">
        <f>IFERROR(VLOOKUP(TEXT(H110,"0"),IPRESS!$A$3:$B$212,2,0),"")</f>
        <v/>
      </c>
      <c r="J110" s="301" t="inlineStr">
        <is>
          <t>4838</t>
        </is>
      </c>
      <c r="K110" s="332">
        <f>IFERROR(VLOOKUP(TEXT(O110,"0"),CONDUCTORES!$A$3:$G$100,7,0),"")</f>
        <v/>
      </c>
      <c r="L110" s="245" t="n">
        <v>18.18</v>
      </c>
      <c r="M110" s="245" t="n">
        <v>10</v>
      </c>
      <c r="N110" s="333">
        <f>IFERROR(IF(L110*M110=0,"",L110*M110),"")</f>
        <v/>
      </c>
      <c r="O110" s="280" t="n"/>
      <c r="P110" s="332">
        <f>IFERROR(VLOOKUP(TEXT(O110,"0"),CONDUCTORES!$A$3:$G$100,2,0),"")</f>
        <v/>
      </c>
      <c r="Q110" s="332">
        <f>IFERROR(VLOOKUP(TEXT(O110,"0"),CONDUCTORES!$A$3:$H$100,6,0),"")</f>
        <v/>
      </c>
      <c r="R110" s="334" t="inlineStr">
        <is>
          <t>ATENDIDO EL 28/01/2025</t>
        </is>
      </c>
      <c r="S110" s="302" t="inlineStr">
        <is>
          <t>Z359-O628</t>
        </is>
      </c>
      <c r="T110" s="335" t="inlineStr">
        <is>
          <t>APROBADO</t>
        </is>
      </c>
      <c r="U110" s="334" t="inlineStr">
        <is>
          <t>ATENDIDO EL 28/01/2025</t>
        </is>
      </c>
      <c r="V110" s="301" t="inlineStr">
        <is>
          <t>0052-2025</t>
        </is>
      </c>
      <c r="W110" s="301" t="inlineStr">
        <is>
          <t>539-2024</t>
        </is>
      </c>
      <c r="X110" s="301" t="inlineStr">
        <is>
          <t>163.0</t>
        </is>
      </c>
      <c r="Y110" s="280" t="n"/>
    </row>
    <row r="111" ht="15.75" customHeight="1" s="195">
      <c r="A111" s="241" t="n">
        <v>106</v>
      </c>
      <c r="B111" s="305" t="inlineStr">
        <is>
          <t>000009005</t>
        </is>
      </c>
      <c r="C111" s="241" t="inlineStr">
        <is>
          <t>REGION</t>
        </is>
      </c>
      <c r="D111" s="305" t="inlineStr">
        <is>
          <t>ACOSTA GRANDEZ JOSELITO</t>
        </is>
      </c>
      <c r="E111" s="241" t="inlineStr">
        <is>
          <t>DNI</t>
        </is>
      </c>
      <c r="F111" s="241" t="inlineStr">
        <is>
          <t>43755881</t>
        </is>
      </c>
      <c r="G111" s="336" t="n">
        <v>45668</v>
      </c>
      <c r="H111" s="241" t="inlineStr">
        <is>
          <t>4954</t>
        </is>
      </c>
      <c r="I111" s="332">
        <f>IFERROR(VLOOKUP(TEXT(H111,"0"),IPRESS!$A$3:$B$212,2,0),"")</f>
        <v/>
      </c>
      <c r="J111" s="241" t="inlineStr">
        <is>
          <t>4950</t>
        </is>
      </c>
      <c r="K111" s="332">
        <f>IFERROR(VLOOKUP(TEXT(O111,"0"),CONDUCTORES!$A$3:$G$100,7,0),"")</f>
        <v/>
      </c>
      <c r="L111" s="239" t="n">
        <v>18.18</v>
      </c>
      <c r="M111" s="239" t="n">
        <v>6</v>
      </c>
      <c r="N111" s="333">
        <f>IFERROR(IF(L111*M111=0,"",L111*M111),"")</f>
        <v/>
      </c>
      <c r="O111" s="334" t="n"/>
      <c r="P111" s="332">
        <f>IFERROR(VLOOKUP(TEXT(O111,"0"),CONDUCTORES!$A$3:$G$100,2,0),"")</f>
        <v/>
      </c>
      <c r="Q111" s="332">
        <f>IFERROR(VLOOKUP(TEXT(O111,"0"),CONDUCTORES!$A$3:$H$100,6,0),"")</f>
        <v/>
      </c>
      <c r="R111" s="280" t="inlineStr">
        <is>
          <t>ATENDIDO EL 28/01/2025</t>
        </is>
      </c>
      <c r="S111" s="305" t="inlineStr">
        <is>
          <t>T141</t>
        </is>
      </c>
      <c r="T111" s="335" t="inlineStr">
        <is>
          <t>APROBADO</t>
        </is>
      </c>
      <c r="U111" s="280" t="inlineStr">
        <is>
          <t>ATENDIDO EL 28/01/2025</t>
        </is>
      </c>
      <c r="V111" s="241" t="inlineStr">
        <is>
          <t>0048-2025</t>
        </is>
      </c>
      <c r="W111" s="241" t="inlineStr">
        <is>
          <t>438-2024</t>
        </is>
      </c>
      <c r="X111" s="241" t="inlineStr">
        <is>
          <t>91.0</t>
        </is>
      </c>
      <c r="Y111" s="280" t="n"/>
    </row>
    <row r="112" ht="15" customHeight="1" s="195">
      <c r="A112" s="280" t="n"/>
      <c r="B112" s="280" t="n"/>
      <c r="C112" s="280" t="n"/>
      <c r="D112" s="280" t="n"/>
      <c r="E112" s="280" t="n"/>
      <c r="F112" s="280" t="n"/>
      <c r="G112" s="280" t="n"/>
      <c r="H112" s="280" t="n"/>
      <c r="I112" s="332">
        <f>IFERROR(VLOOKUP(TEXT(H112,"0"),IPRESS!$A$3:$B$212,2,0),"")</f>
        <v/>
      </c>
      <c r="J112" s="280" t="n"/>
      <c r="K112" s="332">
        <f>IFERROR(VLOOKUP(TEXT(O112,"0"),CONDUCTORES!$A$3:$G$54,7,0),"")</f>
        <v/>
      </c>
      <c r="L112" s="280" t="n"/>
      <c r="M112" s="280" t="n"/>
      <c r="N112" s="333">
        <f>IFERROR(IF(L112*M112=0,"",L112*M112),"")</f>
        <v/>
      </c>
      <c r="O112" s="280" t="n"/>
      <c r="P112" s="332">
        <f>IFERROR(VLOOKUP(TEXT(O112,"0"),CONDUCTORES!$A$3:$G$54,2,0),"")</f>
        <v/>
      </c>
      <c r="Q112" s="332">
        <f>IFERROR(VLOOKUP(TEXT(O112,"0"),CONDUCTORES!$A$3:$H$54,6,0),"")</f>
        <v/>
      </c>
      <c r="R112" s="280" t="n"/>
      <c r="S112" s="280" t="n"/>
      <c r="T112" s="280" t="n"/>
      <c r="U112" s="280" t="n"/>
      <c r="V112" s="280" t="n"/>
      <c r="W112" s="280" t="n"/>
      <c r="X112" s="280" t="n"/>
      <c r="Y112" s="280" t="n"/>
    </row>
    <row r="113" ht="24" customHeight="1" s="195">
      <c r="A113" s="342" t="inlineStr">
        <is>
          <t>SUBTOTAL (cambia al filtrar por EESS) →</t>
        </is>
      </c>
      <c r="K113" s="343" t="n"/>
      <c r="L113" s="280" t="n"/>
      <c r="M113" s="344">
        <f>SUBTOTAL(9,M4:M111)</f>
        <v/>
      </c>
      <c r="N113" s="344">
        <f>SUBTOTAL(9,N4:N111)</f>
        <v/>
      </c>
      <c r="O113" s="280" t="n"/>
      <c r="P113" s="332">
        <f>IFERROR(VLOOKUP(TEXT(O113,"0"),CONDUCTORES!$A$3:$G$100,2,0),"")</f>
        <v/>
      </c>
      <c r="Q113" s="332">
        <f>IFERROR(VLOOKUP(TEXT(O113,"0"),CONDUCTORES!$A$3:$H$100,6,0),"")</f>
        <v/>
      </c>
      <c r="R113" s="280" t="n"/>
      <c r="S113" s="280" t="n"/>
      <c r="T113" s="280" t="n"/>
      <c r="U113" s="280" t="n"/>
      <c r="V113" s="280" t="n"/>
      <c r="W113" s="280" t="n"/>
      <c r="X113" s="280" t="n"/>
      <c r="Y113" s="280" t="n"/>
    </row>
    <row r="114" ht="15" customHeight="1" s="195">
      <c r="A114" s="280" t="n"/>
      <c r="B114" s="280" t="n"/>
      <c r="C114" s="280" t="n"/>
      <c r="D114" s="280" t="n"/>
      <c r="E114" s="280" t="n"/>
      <c r="F114" s="280" t="n"/>
      <c r="G114" s="280" t="n"/>
      <c r="H114" s="280" t="n"/>
      <c r="I114" s="343" t="n"/>
      <c r="J114" s="280" t="n"/>
      <c r="K114" s="343" t="n"/>
      <c r="L114" s="280" t="n"/>
      <c r="M114" s="280" t="n"/>
      <c r="N114" s="345" t="n"/>
      <c r="O114" s="280" t="n"/>
      <c r="P114" s="343" t="n"/>
      <c r="Q114" s="343" t="n"/>
      <c r="R114" s="280" t="n"/>
      <c r="S114" s="280" t="n"/>
      <c r="T114" s="280" t="n"/>
      <c r="U114" s="280" t="n"/>
      <c r="V114" s="280" t="n"/>
      <c r="W114" s="280" t="n"/>
      <c r="X114" s="280" t="n"/>
      <c r="Y114" s="280" t="n"/>
    </row>
    <row r="115" ht="15" customHeight="1" s="195">
      <c r="A115" s="334" t="n"/>
      <c r="B115" s="334" t="n"/>
      <c r="C115" s="334" t="n"/>
      <c r="D115" s="334" t="n"/>
      <c r="E115" s="334" t="n"/>
      <c r="F115" s="334" t="n"/>
      <c r="G115" s="334" t="n"/>
      <c r="H115" s="334" t="n"/>
      <c r="I115" s="343" t="n"/>
      <c r="J115" s="334" t="n"/>
      <c r="K115" s="343" t="n"/>
      <c r="L115" s="334" t="n"/>
      <c r="M115" s="334" t="n"/>
      <c r="N115" s="345" t="n"/>
      <c r="O115" s="334" t="n"/>
      <c r="P115" s="343" t="n"/>
      <c r="Q115" s="343" t="n"/>
      <c r="R115" s="334" t="n"/>
      <c r="S115" s="334" t="n"/>
      <c r="T115" s="334" t="n"/>
      <c r="U115" s="334" t="n"/>
      <c r="V115" s="334" t="n"/>
      <c r="W115" s="334" t="n"/>
      <c r="X115" s="334" t="n"/>
      <c r="Y115" s="334" t="n"/>
    </row>
    <row r="116" ht="15" customHeight="1" s="195">
      <c r="A116" s="280" t="n"/>
      <c r="B116" s="280" t="n"/>
      <c r="C116" s="280" t="n"/>
      <c r="D116" s="280" t="n"/>
      <c r="E116" s="280" t="n"/>
      <c r="F116" s="280" t="n"/>
      <c r="G116" s="280" t="n"/>
      <c r="H116" s="280" t="n"/>
      <c r="I116" s="343" t="n"/>
      <c r="J116" s="280" t="n"/>
      <c r="K116" s="343" t="n"/>
      <c r="L116" s="280" t="n"/>
      <c r="M116" s="280" t="n"/>
      <c r="N116" s="345" t="n"/>
      <c r="O116" s="280" t="n"/>
      <c r="P116" s="343" t="n"/>
      <c r="Q116" s="343" t="n"/>
      <c r="R116" s="280" t="n"/>
      <c r="S116" s="280" t="n"/>
      <c r="T116" s="280" t="n"/>
      <c r="U116" s="280" t="n"/>
      <c r="V116" s="280" t="n"/>
      <c r="W116" s="280" t="n"/>
      <c r="X116" s="280" t="n"/>
      <c r="Y116" s="280" t="n"/>
    </row>
    <row r="117" ht="15" customHeight="1" s="195">
      <c r="A117" s="334" t="n"/>
      <c r="B117" s="334" t="n"/>
      <c r="C117" s="334" t="n"/>
      <c r="D117" s="334" t="n"/>
      <c r="E117" s="334" t="n"/>
      <c r="F117" s="334" t="n"/>
      <c r="G117" s="334" t="n"/>
      <c r="H117" s="334" t="n"/>
      <c r="I117" s="343" t="n"/>
      <c r="J117" s="334" t="n"/>
      <c r="K117" s="343" t="n"/>
      <c r="L117" s="334" t="n"/>
      <c r="M117" s="334" t="n"/>
      <c r="N117" s="345" t="n"/>
      <c r="O117" s="334" t="n"/>
      <c r="P117" s="343" t="n"/>
      <c r="Q117" s="343" t="n"/>
      <c r="R117" s="334" t="n"/>
      <c r="S117" s="334" t="n"/>
      <c r="T117" s="334" t="n"/>
      <c r="U117" s="334" t="n"/>
      <c r="V117" s="334" t="n"/>
      <c r="W117" s="334" t="n"/>
      <c r="X117" s="334" t="n"/>
      <c r="Y117" s="334" t="n"/>
    </row>
    <row r="118" ht="15" customHeight="1" s="195">
      <c r="A118" s="280" t="n"/>
      <c r="B118" s="280" t="n"/>
      <c r="C118" s="280" t="n"/>
      <c r="D118" s="280" t="n"/>
      <c r="E118" s="280" t="n"/>
      <c r="F118" s="280" t="n"/>
      <c r="G118" s="280" t="n"/>
      <c r="H118" s="280" t="n"/>
      <c r="I118" s="332">
        <f>IFERROR(VLOOKUP(TEXT(H118,"0"),IPRESS!$A$3:$B$212,2,0),"")</f>
        <v/>
      </c>
      <c r="J118" s="280" t="n"/>
      <c r="K118" s="332">
        <f>IFERROR(VLOOKUP(TEXT(O118,"0"),CONDUCTORES!$A$3:$G$54,7,0),"")</f>
        <v/>
      </c>
      <c r="L118" s="280" t="n"/>
      <c r="M118" s="280" t="n"/>
      <c r="N118" s="333">
        <f>IFERROR(IF(L118*M118=0,"",L118*M118),"")</f>
        <v/>
      </c>
      <c r="O118" s="280" t="n"/>
      <c r="P118" s="332">
        <f>IFERROR(VLOOKUP(TEXT(O118,"0"),CONDUCTORES!$A$3:$G$54,2,0),"")</f>
        <v/>
      </c>
      <c r="Q118" s="332">
        <f>IFERROR(VLOOKUP(TEXT(O118,"0"),CONDUCTORES!$A$3:$H$54,6,0),"")</f>
        <v/>
      </c>
      <c r="R118" s="280" t="n"/>
      <c r="S118" s="280" t="n"/>
      <c r="T118" s="280" t="n"/>
      <c r="U118" s="280" t="n"/>
      <c r="V118" s="280" t="n"/>
      <c r="W118" s="280" t="n"/>
      <c r="X118" s="280" t="n"/>
      <c r="Y118" s="280" t="n"/>
    </row>
    <row r="119" ht="15" customHeight="1" s="195">
      <c r="A119" s="334" t="n"/>
      <c r="B119" s="334" t="n"/>
      <c r="C119" s="334" t="n"/>
      <c r="D119" s="334" t="n"/>
      <c r="E119" s="334" t="n"/>
      <c r="F119" s="334" t="n"/>
      <c r="G119" s="334" t="n"/>
      <c r="H119" s="334" t="n"/>
      <c r="I119" s="332">
        <f>IFERROR(VLOOKUP(TEXT(H119,"0"),IPRESS!$A$3:$B$212,2,0),"")</f>
        <v/>
      </c>
      <c r="J119" s="334" t="n"/>
      <c r="K119" s="332">
        <f>IFERROR(VLOOKUP(TEXT(O119,"0"),CONDUCTORES!$A$3:$G$54,7,0),"")</f>
        <v/>
      </c>
      <c r="L119" s="334" t="n"/>
      <c r="M119" s="334" t="n"/>
      <c r="N119" s="333">
        <f>IFERROR(IF(L119*M119=0,"",L119*M119),"")</f>
        <v/>
      </c>
      <c r="O119" s="334" t="n"/>
      <c r="P119" s="332">
        <f>IFERROR(VLOOKUP(TEXT(O119,"0"),CONDUCTORES!$A$3:$G$54,2,0),"")</f>
        <v/>
      </c>
      <c r="Q119" s="332">
        <f>IFERROR(VLOOKUP(TEXT(O119,"0"),CONDUCTORES!$A$3:$H$54,6,0),"")</f>
        <v/>
      </c>
      <c r="R119" s="334" t="n"/>
      <c r="S119" s="334" t="n"/>
      <c r="T119" s="334" t="n"/>
      <c r="U119" s="334" t="n"/>
      <c r="V119" s="334" t="n"/>
      <c r="W119" s="334" t="n"/>
      <c r="X119" s="334" t="n"/>
      <c r="Y119" s="334" t="n"/>
    </row>
    <row r="120" ht="15" customHeight="1" s="195">
      <c r="A120" s="280" t="n"/>
      <c r="B120" s="280" t="n"/>
      <c r="C120" s="280" t="n"/>
      <c r="D120" s="280" t="n"/>
      <c r="E120" s="280" t="n"/>
      <c r="F120" s="280" t="n"/>
      <c r="G120" s="280" t="n"/>
      <c r="H120" s="280" t="n"/>
      <c r="I120" s="332">
        <f>IFERROR(VLOOKUP(TEXT(H120,"0"),IPRESS!$A$3:$B$212,2,0),"")</f>
        <v/>
      </c>
      <c r="J120" s="280" t="n"/>
      <c r="K120" s="332">
        <f>IFERROR(VLOOKUP(TEXT(O120,"0"),CONDUCTORES!$A$3:$G$54,7,0),"")</f>
        <v/>
      </c>
      <c r="L120" s="280" t="n"/>
      <c r="M120" s="280" t="n"/>
      <c r="N120" s="333">
        <f>IFERROR(IF(L120*M120=0,"",L120*M120),"")</f>
        <v/>
      </c>
      <c r="O120" s="280" t="n"/>
      <c r="P120" s="332">
        <f>IFERROR(VLOOKUP(TEXT(O120,"0"),CONDUCTORES!$A$3:$G$54,2,0),"")</f>
        <v/>
      </c>
      <c r="Q120" s="332">
        <f>IFERROR(VLOOKUP(TEXT(O120,"0"),CONDUCTORES!$A$3:$H$54,6,0),"")</f>
        <v/>
      </c>
      <c r="R120" s="280" t="n"/>
      <c r="S120" s="280" t="n"/>
      <c r="T120" s="280" t="n"/>
      <c r="U120" s="280" t="n"/>
      <c r="V120" s="280" t="n"/>
      <c r="W120" s="280" t="n"/>
      <c r="X120" s="280" t="n"/>
      <c r="Y120" s="280" t="n"/>
    </row>
    <row r="121" ht="15" customHeight="1" s="195">
      <c r="A121" s="334" t="n"/>
      <c r="B121" s="334" t="n"/>
      <c r="C121" s="334" t="n"/>
      <c r="D121" s="334" t="n"/>
      <c r="E121" s="334" t="n"/>
      <c r="F121" s="334" t="n"/>
      <c r="G121" s="334" t="n"/>
      <c r="H121" s="334" t="n"/>
      <c r="I121" s="332">
        <f>IFERROR(VLOOKUP(TEXT(H121,"0"),IPRESS!$A$3:$B$212,2,0),"")</f>
        <v/>
      </c>
      <c r="J121" s="334" t="n"/>
      <c r="K121" s="332">
        <f>IFERROR(VLOOKUP(TEXT(O121,"0"),CONDUCTORES!$A$3:$G$54,7,0),"")</f>
        <v/>
      </c>
      <c r="L121" s="334" t="n"/>
      <c r="M121" s="334" t="n"/>
      <c r="N121" s="333">
        <f>IFERROR(IF(L121*M121=0,"",L121*M121),"")</f>
        <v/>
      </c>
      <c r="O121" s="334" t="n"/>
      <c r="P121" s="332">
        <f>IFERROR(VLOOKUP(TEXT(O121,"0"),CONDUCTORES!$A$3:$G$54,2,0),"")</f>
        <v/>
      </c>
      <c r="Q121" s="332">
        <f>IFERROR(VLOOKUP(TEXT(O121,"0"),CONDUCTORES!$A$3:$H$54,6,0),"")</f>
        <v/>
      </c>
      <c r="R121" s="334" t="n"/>
      <c r="S121" s="334" t="n"/>
      <c r="T121" s="334" t="n"/>
      <c r="U121" s="334" t="n"/>
      <c r="V121" s="334" t="n"/>
      <c r="W121" s="334" t="n"/>
      <c r="X121" s="334" t="n"/>
      <c r="Y121" s="334" t="n"/>
    </row>
    <row r="122" ht="15" customHeight="1" s="195">
      <c r="A122" s="280" t="n"/>
      <c r="B122" s="280" t="n"/>
      <c r="C122" s="280" t="n"/>
      <c r="D122" s="280" t="n"/>
      <c r="E122" s="280" t="n"/>
      <c r="F122" s="280" t="n"/>
      <c r="G122" s="280" t="n"/>
      <c r="H122" s="280" t="n"/>
      <c r="I122" s="332">
        <f>IFERROR(VLOOKUP(TEXT(H122,"0"),IPRESS!$A$3:$B$212,2,0),"")</f>
        <v/>
      </c>
      <c r="J122" s="280" t="n"/>
      <c r="K122" s="332">
        <f>IFERROR(VLOOKUP(TEXT(O122,"0"),CONDUCTORES!$A$3:$G$54,7,0),"")</f>
        <v/>
      </c>
      <c r="L122" s="280" t="n"/>
      <c r="M122" s="280" t="n"/>
      <c r="N122" s="333">
        <f>IFERROR(IF(L122*M122=0,"",L122*M122),"")</f>
        <v/>
      </c>
      <c r="O122" s="280" t="n"/>
      <c r="P122" s="332">
        <f>IFERROR(VLOOKUP(TEXT(O122,"0"),CONDUCTORES!$A$3:$G$54,2,0),"")</f>
        <v/>
      </c>
      <c r="Q122" s="332">
        <f>IFERROR(VLOOKUP(TEXT(O122,"0"),CONDUCTORES!$A$3:$H$54,6,0),"")</f>
        <v/>
      </c>
      <c r="R122" s="280" t="n"/>
      <c r="S122" s="280" t="n"/>
      <c r="T122" s="280" t="n"/>
      <c r="U122" s="280" t="n"/>
      <c r="V122" s="280" t="n"/>
      <c r="W122" s="280" t="n"/>
      <c r="X122" s="280" t="n"/>
      <c r="Y122" s="280" t="n"/>
    </row>
    <row r="123" ht="15" customHeight="1" s="195">
      <c r="A123" s="334" t="n"/>
      <c r="B123" s="334" t="n"/>
      <c r="C123" s="334" t="n"/>
      <c r="D123" s="334" t="n"/>
      <c r="E123" s="334" t="n"/>
      <c r="F123" s="334" t="n"/>
      <c r="G123" s="334" t="n"/>
      <c r="H123" s="334" t="n"/>
      <c r="I123" s="332">
        <f>IFERROR(VLOOKUP(TEXT(H123,"0"),IPRESS!$A$3:$B$212,2,0),"")</f>
        <v/>
      </c>
      <c r="J123" s="334" t="n"/>
      <c r="K123" s="332">
        <f>IFERROR(VLOOKUP(TEXT(O123,"0"),CONDUCTORES!$A$3:$G$54,7,0),"")</f>
        <v/>
      </c>
      <c r="L123" s="334" t="n"/>
      <c r="M123" s="334" t="n"/>
      <c r="N123" s="333">
        <f>IFERROR(IF(L123*M123=0,"",L123*M123),"")</f>
        <v/>
      </c>
      <c r="O123" s="334" t="n"/>
      <c r="P123" s="332">
        <f>IFERROR(VLOOKUP(TEXT(O123,"0"),CONDUCTORES!$A$3:$G$54,2,0),"")</f>
        <v/>
      </c>
      <c r="Q123" s="332">
        <f>IFERROR(VLOOKUP(TEXT(O123,"0"),CONDUCTORES!$A$3:$H$54,6,0),"")</f>
        <v/>
      </c>
      <c r="R123" s="334" t="n"/>
      <c r="S123" s="334" t="n"/>
      <c r="T123" s="334" t="n"/>
      <c r="U123" s="334" t="n"/>
      <c r="V123" s="334" t="n"/>
      <c r="W123" s="334" t="n"/>
      <c r="X123" s="334" t="n"/>
      <c r="Y123" s="334" t="n"/>
    </row>
    <row r="124" ht="15" customHeight="1" s="195">
      <c r="A124" s="280" t="n"/>
      <c r="B124" s="280" t="n"/>
      <c r="C124" s="280" t="n"/>
      <c r="D124" s="280" t="n"/>
      <c r="E124" s="280" t="n"/>
      <c r="F124" s="280" t="n"/>
      <c r="G124" s="280" t="n"/>
      <c r="H124" s="280" t="n"/>
      <c r="I124" s="332">
        <f>IFERROR(VLOOKUP(TEXT(H124,"0"),IPRESS!$A$3:$B$212,2,0),"")</f>
        <v/>
      </c>
      <c r="J124" s="280" t="n"/>
      <c r="K124" s="332">
        <f>IFERROR(VLOOKUP(TEXT(O124,"0"),CONDUCTORES!$A$3:$G$54,7,0),"")</f>
        <v/>
      </c>
      <c r="L124" s="280" t="n"/>
      <c r="M124" s="280" t="n"/>
      <c r="N124" s="333">
        <f>IFERROR(IF(L124*M124=0,"",L124*M124),"")</f>
        <v/>
      </c>
      <c r="O124" s="280" t="n"/>
      <c r="P124" s="332">
        <f>IFERROR(VLOOKUP(TEXT(O124,"0"),CONDUCTORES!$A$3:$G$54,2,0),"")</f>
        <v/>
      </c>
      <c r="Q124" s="332">
        <f>IFERROR(VLOOKUP(TEXT(O124,"0"),CONDUCTORES!$A$3:$H$54,6,0),"")</f>
        <v/>
      </c>
      <c r="R124" s="280" t="n"/>
      <c r="S124" s="280" t="n"/>
      <c r="T124" s="280" t="n"/>
      <c r="U124" s="280" t="n"/>
      <c r="V124" s="280" t="n"/>
      <c r="W124" s="280" t="n"/>
      <c r="X124" s="280" t="n"/>
      <c r="Y124" s="280" t="n"/>
    </row>
    <row r="125" ht="15" customHeight="1" s="195">
      <c r="A125" s="334" t="n"/>
      <c r="B125" s="334" t="n"/>
      <c r="C125" s="334" t="n"/>
      <c r="D125" s="334" t="n"/>
      <c r="E125" s="334" t="n"/>
      <c r="F125" s="334" t="n"/>
      <c r="G125" s="334" t="n"/>
      <c r="H125" s="334" t="n"/>
      <c r="I125" s="332">
        <f>IFERROR(VLOOKUP(TEXT(H125,"0"),IPRESS!$A$3:$B$212,2,0),"")</f>
        <v/>
      </c>
      <c r="J125" s="334" t="n"/>
      <c r="K125" s="332">
        <f>IFERROR(VLOOKUP(TEXT(O125,"0"),CONDUCTORES!$A$3:$G$54,7,0),"")</f>
        <v/>
      </c>
      <c r="L125" s="334" t="n"/>
      <c r="M125" s="334" t="n"/>
      <c r="N125" s="333">
        <f>IFERROR(IF(L125*M125=0,"",L125*M125),"")</f>
        <v/>
      </c>
      <c r="O125" s="334" t="n"/>
      <c r="P125" s="332">
        <f>IFERROR(VLOOKUP(TEXT(O125,"0"),CONDUCTORES!$A$3:$G$54,2,0),"")</f>
        <v/>
      </c>
      <c r="Q125" s="332">
        <f>IFERROR(VLOOKUP(TEXT(O125,"0"),CONDUCTORES!$A$3:$H$54,6,0),"")</f>
        <v/>
      </c>
      <c r="R125" s="334" t="n"/>
      <c r="S125" s="334" t="n"/>
      <c r="T125" s="334" t="n"/>
      <c r="U125" s="334" t="n"/>
      <c r="V125" s="334" t="n"/>
      <c r="W125" s="334" t="n"/>
      <c r="X125" s="334" t="n"/>
      <c r="Y125" s="334" t="n"/>
    </row>
    <row r="126" ht="15" customHeight="1" s="195">
      <c r="A126" s="280" t="n"/>
      <c r="B126" s="280" t="n"/>
      <c r="C126" s="280" t="n"/>
      <c r="D126" s="280" t="n"/>
      <c r="E126" s="280" t="n"/>
      <c r="F126" s="280" t="n"/>
      <c r="G126" s="280" t="n"/>
      <c r="H126" s="280" t="n"/>
      <c r="I126" s="332">
        <f>IFERROR(VLOOKUP(TEXT(H126,"0"),IPRESS!$A$3:$B$212,2,0),"")</f>
        <v/>
      </c>
      <c r="J126" s="280" t="n"/>
      <c r="K126" s="332">
        <f>IFERROR(VLOOKUP(TEXT(O126,"0"),CONDUCTORES!$A$3:$G$54,7,0),"")</f>
        <v/>
      </c>
      <c r="L126" s="280" t="n"/>
      <c r="M126" s="280" t="n"/>
      <c r="N126" s="333">
        <f>IFERROR(IF(L126*M126=0,"",L126*M126),"")</f>
        <v/>
      </c>
      <c r="O126" s="280" t="n"/>
      <c r="P126" s="332">
        <f>IFERROR(VLOOKUP(TEXT(O126,"0"),CONDUCTORES!$A$3:$G$54,2,0),"")</f>
        <v/>
      </c>
      <c r="Q126" s="332">
        <f>IFERROR(VLOOKUP(TEXT(O126,"0"),CONDUCTORES!$A$3:$H$54,6,0),"")</f>
        <v/>
      </c>
      <c r="R126" s="280" t="n"/>
      <c r="S126" s="280" t="n"/>
      <c r="T126" s="280" t="n"/>
      <c r="U126" s="280" t="n"/>
      <c r="V126" s="280" t="n"/>
      <c r="W126" s="280" t="n"/>
      <c r="X126" s="280" t="n"/>
      <c r="Y126" s="280" t="n"/>
    </row>
    <row r="127" ht="15" customHeight="1" s="195">
      <c r="A127" s="334" t="n"/>
      <c r="B127" s="334" t="n"/>
      <c r="C127" s="334" t="n"/>
      <c r="D127" s="334" t="n"/>
      <c r="E127" s="334" t="n"/>
      <c r="F127" s="334" t="n"/>
      <c r="G127" s="334" t="n"/>
      <c r="H127" s="334" t="n"/>
      <c r="I127" s="332">
        <f>IFERROR(VLOOKUP(TEXT(H127,"0"),IPRESS!$A$3:$B$212,2,0),"")</f>
        <v/>
      </c>
      <c r="J127" s="334" t="n"/>
      <c r="K127" s="332">
        <f>IFERROR(VLOOKUP(TEXT(O127,"0"),CONDUCTORES!$A$3:$G$54,7,0),"")</f>
        <v/>
      </c>
      <c r="L127" s="334" t="n"/>
      <c r="M127" s="334" t="n"/>
      <c r="N127" s="333">
        <f>IFERROR(IF(L127*M127=0,"",L127*M127),"")</f>
        <v/>
      </c>
      <c r="O127" s="334" t="n"/>
      <c r="P127" s="332">
        <f>IFERROR(VLOOKUP(TEXT(O127,"0"),CONDUCTORES!$A$3:$G$54,2,0),"")</f>
        <v/>
      </c>
      <c r="Q127" s="332">
        <f>IFERROR(VLOOKUP(TEXT(O127,"0"),CONDUCTORES!$A$3:$H$54,6,0),"")</f>
        <v/>
      </c>
      <c r="R127" s="334" t="n"/>
      <c r="S127" s="334" t="n"/>
      <c r="T127" s="334" t="n"/>
      <c r="U127" s="334" t="n"/>
      <c r="V127" s="334" t="n"/>
      <c r="W127" s="334" t="n"/>
      <c r="X127" s="334" t="n"/>
      <c r="Y127" s="334" t="n"/>
    </row>
    <row r="128" ht="15" customHeight="1" s="195">
      <c r="A128" s="280" t="n"/>
      <c r="B128" s="280" t="n"/>
      <c r="C128" s="280" t="n"/>
      <c r="D128" s="280" t="n"/>
      <c r="E128" s="280" t="n"/>
      <c r="F128" s="280" t="n"/>
      <c r="G128" s="280" t="n"/>
      <c r="H128" s="280" t="n"/>
      <c r="I128" s="332">
        <f>IFERROR(VLOOKUP(TEXT(H128,"0"),IPRESS!$A$3:$B$212,2,0),"")</f>
        <v/>
      </c>
      <c r="J128" s="280" t="n"/>
      <c r="K128" s="332">
        <f>IFERROR(VLOOKUP(TEXT(O128,"0"),CONDUCTORES!$A$3:$G$54,7,0),"")</f>
        <v/>
      </c>
      <c r="L128" s="280" t="n"/>
      <c r="M128" s="280" t="n"/>
      <c r="N128" s="333">
        <f>IFERROR(IF(L128*M128=0,"",L128*M128),"")</f>
        <v/>
      </c>
      <c r="O128" s="280" t="n"/>
      <c r="P128" s="332">
        <f>IFERROR(VLOOKUP(TEXT(O128,"0"),CONDUCTORES!$A$3:$G$54,2,0),"")</f>
        <v/>
      </c>
      <c r="Q128" s="332">
        <f>IFERROR(VLOOKUP(TEXT(O128,"0"),CONDUCTORES!$A$3:$H$54,6,0),"")</f>
        <v/>
      </c>
      <c r="R128" s="280" t="n"/>
      <c r="S128" s="280" t="n"/>
      <c r="T128" s="280" t="n"/>
      <c r="U128" s="280" t="n"/>
      <c r="V128" s="280" t="n"/>
      <c r="W128" s="280" t="n"/>
      <c r="X128" s="280" t="n"/>
      <c r="Y128" s="280" t="n"/>
    </row>
    <row r="129" ht="15" customHeight="1" s="195">
      <c r="A129" s="334" t="n"/>
      <c r="B129" s="334" t="n"/>
      <c r="C129" s="334" t="n"/>
      <c r="D129" s="334" t="n"/>
      <c r="E129" s="334" t="n"/>
      <c r="F129" s="334" t="n"/>
      <c r="G129" s="334" t="n"/>
      <c r="H129" s="334" t="n"/>
      <c r="I129" s="332">
        <f>IFERROR(VLOOKUP(TEXT(H129,"0"),IPRESS!$A$3:$B$212,2,0),"")</f>
        <v/>
      </c>
      <c r="J129" s="334" t="n"/>
      <c r="K129" s="332">
        <f>IFERROR(VLOOKUP(TEXT(O129,"0"),CONDUCTORES!$A$3:$G$54,7,0),"")</f>
        <v/>
      </c>
      <c r="L129" s="334" t="n"/>
      <c r="M129" s="334" t="n"/>
      <c r="N129" s="333">
        <f>IFERROR(IF(L129*M129=0,"",L129*M129),"")</f>
        <v/>
      </c>
      <c r="O129" s="334" t="n"/>
      <c r="P129" s="332">
        <f>IFERROR(VLOOKUP(TEXT(O129,"0"),CONDUCTORES!$A$3:$G$54,2,0),"")</f>
        <v/>
      </c>
      <c r="Q129" s="332">
        <f>IFERROR(VLOOKUP(TEXT(O129,"0"),CONDUCTORES!$A$3:$H$54,6,0),"")</f>
        <v/>
      </c>
      <c r="R129" s="334" t="n"/>
      <c r="S129" s="334" t="n"/>
      <c r="T129" s="334" t="n"/>
      <c r="U129" s="334" t="n"/>
      <c r="V129" s="334" t="n"/>
      <c r="W129" s="334" t="n"/>
      <c r="X129" s="334" t="n"/>
      <c r="Y129" s="334" t="n"/>
    </row>
    <row r="130" ht="15" customHeight="1" s="195">
      <c r="A130" s="280" t="n"/>
      <c r="B130" s="280" t="n"/>
      <c r="C130" s="280" t="n"/>
      <c r="D130" s="280" t="n"/>
      <c r="E130" s="280" t="n"/>
      <c r="F130" s="280" t="n"/>
      <c r="G130" s="280" t="n"/>
      <c r="H130" s="280" t="n"/>
      <c r="I130" s="332">
        <f>IFERROR(VLOOKUP(TEXT(H130,"0"),IPRESS!$A$3:$B$212,2,0),"")</f>
        <v/>
      </c>
      <c r="J130" s="280" t="n"/>
      <c r="K130" s="332">
        <f>IFERROR(VLOOKUP(TEXT(O130,"0"),CONDUCTORES!$A$3:$G$54,7,0),"")</f>
        <v/>
      </c>
      <c r="L130" s="280" t="n"/>
      <c r="M130" s="280" t="n"/>
      <c r="N130" s="333">
        <f>IFERROR(IF(L130*M130=0,"",L130*M130),"")</f>
        <v/>
      </c>
      <c r="O130" s="280" t="n"/>
      <c r="P130" s="332">
        <f>IFERROR(VLOOKUP(TEXT(O130,"0"),CONDUCTORES!$A$3:$G$54,2,0),"")</f>
        <v/>
      </c>
      <c r="Q130" s="332">
        <f>IFERROR(VLOOKUP(TEXT(O130,"0"),CONDUCTORES!$A$3:$H$54,6,0),"")</f>
        <v/>
      </c>
      <c r="R130" s="280" t="n"/>
      <c r="S130" s="280" t="n"/>
      <c r="T130" s="280" t="n"/>
      <c r="U130" s="280" t="n"/>
      <c r="V130" s="280" t="n"/>
      <c r="W130" s="280" t="n"/>
      <c r="X130" s="280" t="n"/>
      <c r="Y130" s="280" t="n"/>
    </row>
    <row r="131" ht="15" customHeight="1" s="195">
      <c r="A131" s="334" t="n"/>
      <c r="B131" s="334" t="n"/>
      <c r="C131" s="334" t="n"/>
      <c r="D131" s="334" t="n"/>
      <c r="E131" s="334" t="n"/>
      <c r="F131" s="334" t="n"/>
      <c r="G131" s="334" t="n"/>
      <c r="H131" s="334" t="n"/>
      <c r="I131" s="332">
        <f>IFERROR(VLOOKUP(TEXT(H131,"0"),IPRESS!$A$3:$B$212,2,0),"")</f>
        <v/>
      </c>
      <c r="J131" s="334" t="n"/>
      <c r="K131" s="332">
        <f>IFERROR(VLOOKUP(TEXT(O131,"0"),CONDUCTORES!$A$3:$G$54,7,0),"")</f>
        <v/>
      </c>
      <c r="L131" s="334" t="n"/>
      <c r="M131" s="334" t="n"/>
      <c r="N131" s="333">
        <f>IFERROR(IF(L131*M131=0,"",L131*M131),"")</f>
        <v/>
      </c>
      <c r="O131" s="334" t="n"/>
      <c r="P131" s="332">
        <f>IFERROR(VLOOKUP(TEXT(O131,"0"),CONDUCTORES!$A$3:$G$54,2,0),"")</f>
        <v/>
      </c>
      <c r="Q131" s="332">
        <f>IFERROR(VLOOKUP(TEXT(O131,"0"),CONDUCTORES!$A$3:$H$54,6,0),"")</f>
        <v/>
      </c>
      <c r="R131" s="334" t="n"/>
      <c r="S131" s="334" t="n"/>
      <c r="T131" s="334" t="n"/>
      <c r="U131" s="334" t="n"/>
      <c r="V131" s="334" t="n"/>
      <c r="W131" s="334" t="n"/>
      <c r="X131" s="334" t="n"/>
      <c r="Y131" s="334" t="n"/>
    </row>
    <row r="132" ht="15" customHeight="1" s="195">
      <c r="A132" s="280" t="n"/>
      <c r="B132" s="280" t="n"/>
      <c r="C132" s="280" t="n"/>
      <c r="D132" s="280" t="n"/>
      <c r="E132" s="280" t="n"/>
      <c r="F132" s="280" t="n"/>
      <c r="G132" s="280" t="n"/>
      <c r="H132" s="280" t="n"/>
      <c r="I132" s="332">
        <f>IFERROR(VLOOKUP(TEXT(H132,"0"),IPRESS!$A$3:$B$212,2,0),"")</f>
        <v/>
      </c>
      <c r="J132" s="280" t="n"/>
      <c r="K132" s="332">
        <f>IFERROR(VLOOKUP(TEXT(O132,"0"),CONDUCTORES!$A$3:$G$54,7,0),"")</f>
        <v/>
      </c>
      <c r="L132" s="280" t="n"/>
      <c r="M132" s="280" t="n"/>
      <c r="N132" s="333">
        <f>IFERROR(IF(L132*M132=0,"",L132*M132),"")</f>
        <v/>
      </c>
      <c r="O132" s="280" t="n"/>
      <c r="P132" s="332">
        <f>IFERROR(VLOOKUP(TEXT(O132,"0"),CONDUCTORES!$A$3:$G$54,2,0),"")</f>
        <v/>
      </c>
      <c r="Q132" s="332">
        <f>IFERROR(VLOOKUP(TEXT(O132,"0"),CONDUCTORES!$A$3:$H$54,6,0),"")</f>
        <v/>
      </c>
      <c r="R132" s="280" t="n"/>
      <c r="S132" s="280" t="n"/>
      <c r="T132" s="280" t="n"/>
      <c r="U132" s="280" t="n"/>
      <c r="V132" s="280" t="n"/>
      <c r="W132" s="280" t="n"/>
      <c r="X132" s="280" t="n"/>
      <c r="Y132" s="280" t="n"/>
    </row>
    <row r="133" ht="15" customHeight="1" s="195">
      <c r="A133" s="334" t="n"/>
      <c r="B133" s="334" t="n"/>
      <c r="C133" s="334" t="n"/>
      <c r="D133" s="334" t="n"/>
      <c r="E133" s="334" t="n"/>
      <c r="F133" s="334" t="n"/>
      <c r="G133" s="334" t="n"/>
      <c r="H133" s="334" t="n"/>
      <c r="I133" s="332">
        <f>IFERROR(VLOOKUP(TEXT(H133,"0"),IPRESS!$A$3:$B$212,2,0),"")</f>
        <v/>
      </c>
      <c r="J133" s="334" t="n"/>
      <c r="K133" s="332">
        <f>IFERROR(VLOOKUP(TEXT(O133,"0"),CONDUCTORES!$A$3:$G$54,7,0),"")</f>
        <v/>
      </c>
      <c r="L133" s="334" t="n"/>
      <c r="M133" s="334" t="n"/>
      <c r="N133" s="333">
        <f>IFERROR(IF(L133*M133=0,"",L133*M133),"")</f>
        <v/>
      </c>
      <c r="O133" s="334" t="n"/>
      <c r="P133" s="332">
        <f>IFERROR(VLOOKUP(TEXT(O133,"0"),CONDUCTORES!$A$3:$G$54,2,0),"")</f>
        <v/>
      </c>
      <c r="Q133" s="332">
        <f>IFERROR(VLOOKUP(TEXT(O133,"0"),CONDUCTORES!$A$3:$H$54,6,0),"")</f>
        <v/>
      </c>
      <c r="R133" s="334" t="n"/>
      <c r="S133" s="334" t="n"/>
      <c r="T133" s="334" t="n"/>
      <c r="U133" s="334" t="n"/>
      <c r="V133" s="334" t="n"/>
      <c r="W133" s="334" t="n"/>
      <c r="X133" s="334" t="n"/>
      <c r="Y133" s="334" t="n"/>
    </row>
    <row r="134" ht="15" customHeight="1" s="195">
      <c r="A134" s="280" t="n"/>
      <c r="B134" s="280" t="n"/>
      <c r="C134" s="280" t="n"/>
      <c r="D134" s="280" t="n"/>
      <c r="E134" s="280" t="n"/>
      <c r="F134" s="280" t="n"/>
      <c r="G134" s="280" t="n"/>
      <c r="H134" s="280" t="n"/>
      <c r="I134" s="332">
        <f>IFERROR(VLOOKUP(TEXT(H134,"0"),IPRESS!$A$3:$B$212,2,0),"")</f>
        <v/>
      </c>
      <c r="J134" s="280" t="n"/>
      <c r="K134" s="332">
        <f>IFERROR(VLOOKUP(TEXT(O134,"0"),CONDUCTORES!$A$3:$G$54,7,0),"")</f>
        <v/>
      </c>
      <c r="L134" s="280" t="n"/>
      <c r="M134" s="280" t="n"/>
      <c r="N134" s="333">
        <f>IFERROR(IF(L134*M134=0,"",L134*M134),"")</f>
        <v/>
      </c>
      <c r="O134" s="280" t="n"/>
      <c r="P134" s="332">
        <f>IFERROR(VLOOKUP(TEXT(O134,"0"),CONDUCTORES!$A$3:$G$54,2,0),"")</f>
        <v/>
      </c>
      <c r="Q134" s="332">
        <f>IFERROR(VLOOKUP(TEXT(O134,"0"),CONDUCTORES!$A$3:$H$54,6,0),"")</f>
        <v/>
      </c>
      <c r="R134" s="280" t="n"/>
      <c r="S134" s="280" t="n"/>
      <c r="T134" s="280" t="n"/>
      <c r="U134" s="280" t="n"/>
      <c r="V134" s="280" t="n"/>
      <c r="W134" s="280" t="n"/>
      <c r="X134" s="280" t="n"/>
      <c r="Y134" s="280" t="n"/>
    </row>
    <row r="135" ht="15" customHeight="1" s="195">
      <c r="A135" s="334" t="n"/>
      <c r="B135" s="334" t="n"/>
      <c r="C135" s="334" t="n"/>
      <c r="D135" s="334" t="n"/>
      <c r="E135" s="334" t="n"/>
      <c r="F135" s="334" t="n"/>
      <c r="G135" s="334" t="n"/>
      <c r="H135" s="334" t="n"/>
      <c r="I135" s="332">
        <f>IFERROR(VLOOKUP(TEXT(H135,"0"),IPRESS!$A$3:$B$212,2,0),"")</f>
        <v/>
      </c>
      <c r="J135" s="334" t="n"/>
      <c r="K135" s="332">
        <f>IFERROR(VLOOKUP(TEXT(O135,"0"),CONDUCTORES!$A$3:$G$54,7,0),"")</f>
        <v/>
      </c>
      <c r="L135" s="334" t="n"/>
      <c r="M135" s="334" t="n"/>
      <c r="N135" s="333">
        <f>IFERROR(IF(L135*M135=0,"",L135*M135),"")</f>
        <v/>
      </c>
      <c r="O135" s="334" t="n"/>
      <c r="P135" s="332">
        <f>IFERROR(VLOOKUP(TEXT(O135,"0"),CONDUCTORES!$A$3:$G$54,2,0),"")</f>
        <v/>
      </c>
      <c r="Q135" s="332">
        <f>IFERROR(VLOOKUP(TEXT(O135,"0"),CONDUCTORES!$A$3:$H$54,6,0),"")</f>
        <v/>
      </c>
      <c r="R135" s="334" t="n"/>
      <c r="S135" s="334" t="n"/>
      <c r="T135" s="334" t="n"/>
      <c r="U135" s="334" t="n"/>
      <c r="V135" s="334" t="n"/>
      <c r="W135" s="334" t="n"/>
      <c r="X135" s="334" t="n"/>
      <c r="Y135" s="334" t="n"/>
    </row>
    <row r="136" ht="15" customHeight="1" s="195">
      <c r="A136" s="280" t="n"/>
      <c r="B136" s="280" t="n"/>
      <c r="C136" s="280" t="n"/>
      <c r="D136" s="280" t="n"/>
      <c r="E136" s="280" t="n"/>
      <c r="F136" s="280" t="n"/>
      <c r="G136" s="280" t="n"/>
      <c r="H136" s="280" t="n"/>
      <c r="I136" s="332">
        <f>IFERROR(VLOOKUP(TEXT(H136,"0"),IPRESS!$A$3:$B$212,2,0),"")</f>
        <v/>
      </c>
      <c r="J136" s="280" t="n"/>
      <c r="K136" s="332">
        <f>IFERROR(VLOOKUP(TEXT(O136,"0"),CONDUCTORES!$A$3:$G$54,7,0),"")</f>
        <v/>
      </c>
      <c r="L136" s="280" t="n"/>
      <c r="M136" s="280" t="n"/>
      <c r="N136" s="333">
        <f>IFERROR(IF(L136*M136=0,"",L136*M136),"")</f>
        <v/>
      </c>
      <c r="O136" s="280" t="n"/>
      <c r="P136" s="332">
        <f>IFERROR(VLOOKUP(TEXT(O136,"0"),CONDUCTORES!$A$3:$G$54,2,0),"")</f>
        <v/>
      </c>
      <c r="Q136" s="332">
        <f>IFERROR(VLOOKUP(TEXT(O136,"0"),CONDUCTORES!$A$3:$H$54,6,0),"")</f>
        <v/>
      </c>
      <c r="R136" s="280" t="n"/>
      <c r="S136" s="280" t="n"/>
      <c r="T136" s="280" t="n"/>
      <c r="U136" s="280" t="n"/>
      <c r="V136" s="280" t="n"/>
      <c r="W136" s="280" t="n"/>
      <c r="X136" s="280" t="n"/>
      <c r="Y136" s="280" t="n"/>
    </row>
    <row r="137" ht="15" customHeight="1" s="195">
      <c r="A137" s="334" t="n"/>
      <c r="B137" s="334" t="n"/>
      <c r="C137" s="334" t="n"/>
      <c r="D137" s="334" t="n"/>
      <c r="E137" s="334" t="n"/>
      <c r="F137" s="334" t="n"/>
      <c r="G137" s="334" t="n"/>
      <c r="H137" s="334" t="n"/>
      <c r="I137" s="332">
        <f>IFERROR(VLOOKUP(TEXT(H137,"0"),IPRESS!$A$3:$B$212,2,0),"")</f>
        <v/>
      </c>
      <c r="J137" s="334" t="n"/>
      <c r="K137" s="332">
        <f>IFERROR(VLOOKUP(TEXT(O137,"0"),CONDUCTORES!$A$3:$G$54,7,0),"")</f>
        <v/>
      </c>
      <c r="L137" s="334" t="n"/>
      <c r="M137" s="334" t="n"/>
      <c r="N137" s="333">
        <f>IFERROR(IF(L137*M137=0,"",L137*M137),"")</f>
        <v/>
      </c>
      <c r="O137" s="334" t="n"/>
      <c r="P137" s="332">
        <f>IFERROR(VLOOKUP(TEXT(O137,"0"),CONDUCTORES!$A$3:$G$54,2,0),"")</f>
        <v/>
      </c>
      <c r="Q137" s="332">
        <f>IFERROR(VLOOKUP(TEXT(O137,"0"),CONDUCTORES!$A$3:$H$54,6,0),"")</f>
        <v/>
      </c>
      <c r="R137" s="334" t="n"/>
      <c r="S137" s="334" t="n"/>
      <c r="T137" s="334" t="n"/>
      <c r="U137" s="334" t="n"/>
      <c r="V137" s="334" t="n"/>
      <c r="W137" s="334" t="n"/>
      <c r="X137" s="334" t="n"/>
      <c r="Y137" s="334" t="n"/>
    </row>
    <row r="138" ht="15" customHeight="1" s="195">
      <c r="A138" s="280" t="n"/>
      <c r="B138" s="280" t="n"/>
      <c r="C138" s="280" t="n"/>
      <c r="D138" s="280" t="n"/>
      <c r="E138" s="280" t="n"/>
      <c r="F138" s="280" t="n"/>
      <c r="G138" s="280" t="n"/>
      <c r="H138" s="280" t="n"/>
      <c r="I138" s="332">
        <f>IFERROR(VLOOKUP(TEXT(H138,"0"),IPRESS!$A$3:$B$212,2,0),"")</f>
        <v/>
      </c>
      <c r="J138" s="280" t="n"/>
      <c r="K138" s="332">
        <f>IFERROR(VLOOKUP(TEXT(O138,"0"),CONDUCTORES!$A$3:$G$54,7,0),"")</f>
        <v/>
      </c>
      <c r="L138" s="280" t="n"/>
      <c r="M138" s="280" t="n"/>
      <c r="N138" s="333">
        <f>IFERROR(IF(L138*M138=0,"",L138*M138),"")</f>
        <v/>
      </c>
      <c r="O138" s="280" t="n"/>
      <c r="P138" s="332">
        <f>IFERROR(VLOOKUP(TEXT(O138,"0"),CONDUCTORES!$A$3:$G$54,2,0),"")</f>
        <v/>
      </c>
      <c r="Q138" s="332">
        <f>IFERROR(VLOOKUP(TEXT(O138,"0"),CONDUCTORES!$A$3:$H$54,6,0),"")</f>
        <v/>
      </c>
      <c r="R138" s="280" t="n"/>
      <c r="S138" s="280" t="n"/>
      <c r="T138" s="280" t="n"/>
      <c r="U138" s="280" t="n"/>
      <c r="V138" s="280" t="n"/>
      <c r="W138" s="280" t="n"/>
      <c r="X138" s="280" t="n"/>
      <c r="Y138" s="280" t="n"/>
    </row>
    <row r="139" ht="15" customHeight="1" s="195">
      <c r="A139" s="334" t="n"/>
      <c r="B139" s="334" t="n"/>
      <c r="C139" s="334" t="n"/>
      <c r="D139" s="334" t="n"/>
      <c r="E139" s="334" t="n"/>
      <c r="F139" s="334" t="n"/>
      <c r="G139" s="334" t="n"/>
      <c r="H139" s="334" t="n"/>
      <c r="I139" s="332">
        <f>IFERROR(VLOOKUP(TEXT(H139,"0"),IPRESS!$A$3:$B$212,2,0),"")</f>
        <v/>
      </c>
      <c r="J139" s="334" t="n"/>
      <c r="K139" s="332">
        <f>IFERROR(VLOOKUP(TEXT(O139,"0"),CONDUCTORES!$A$3:$G$54,7,0),"")</f>
        <v/>
      </c>
      <c r="L139" s="334" t="n"/>
      <c r="M139" s="334" t="n"/>
      <c r="N139" s="333">
        <f>IFERROR(IF(L139*M139=0,"",L139*M139),"")</f>
        <v/>
      </c>
      <c r="O139" s="334" t="n"/>
      <c r="P139" s="332">
        <f>IFERROR(VLOOKUP(TEXT(O139,"0"),CONDUCTORES!$A$3:$G$54,2,0),"")</f>
        <v/>
      </c>
      <c r="Q139" s="332">
        <f>IFERROR(VLOOKUP(TEXT(O139,"0"),CONDUCTORES!$A$3:$H$54,6,0),"")</f>
        <v/>
      </c>
      <c r="R139" s="334" t="n"/>
      <c r="S139" s="334" t="n"/>
      <c r="T139" s="334" t="n"/>
      <c r="U139" s="334" t="n"/>
      <c r="V139" s="334" t="n"/>
      <c r="W139" s="334" t="n"/>
      <c r="X139" s="334" t="n"/>
      <c r="Y139" s="334" t="n"/>
    </row>
    <row r="140" ht="15" customHeight="1" s="195">
      <c r="A140" s="280" t="n"/>
      <c r="B140" s="280" t="n"/>
      <c r="C140" s="280" t="n"/>
      <c r="D140" s="280" t="n"/>
      <c r="E140" s="280" t="n"/>
      <c r="F140" s="280" t="n"/>
      <c r="G140" s="280" t="n"/>
      <c r="H140" s="280" t="n"/>
      <c r="I140" s="332">
        <f>IFERROR(VLOOKUP(TEXT(H140,"0"),IPRESS!$A$3:$B$212,2,0),"")</f>
        <v/>
      </c>
      <c r="J140" s="280" t="n"/>
      <c r="K140" s="332">
        <f>IFERROR(VLOOKUP(TEXT(O140,"0"),CONDUCTORES!$A$3:$G$54,7,0),"")</f>
        <v/>
      </c>
      <c r="L140" s="280" t="n"/>
      <c r="M140" s="280" t="n"/>
      <c r="N140" s="333">
        <f>IFERROR(IF(L140*M140=0,"",L140*M140),"")</f>
        <v/>
      </c>
      <c r="O140" s="280" t="n"/>
      <c r="P140" s="332">
        <f>IFERROR(VLOOKUP(TEXT(O140,"0"),CONDUCTORES!$A$3:$G$54,2,0),"")</f>
        <v/>
      </c>
      <c r="Q140" s="332">
        <f>IFERROR(VLOOKUP(TEXT(O140,"0"),CONDUCTORES!$A$3:$H$54,6,0),"")</f>
        <v/>
      </c>
      <c r="R140" s="280" t="n"/>
      <c r="S140" s="280" t="n"/>
      <c r="T140" s="280" t="n"/>
      <c r="U140" s="280" t="n"/>
      <c r="V140" s="280" t="n"/>
      <c r="W140" s="280" t="n"/>
      <c r="X140" s="280" t="n"/>
      <c r="Y140" s="280" t="n"/>
    </row>
    <row r="141" ht="15" customHeight="1" s="195">
      <c r="A141" s="334" t="n"/>
      <c r="B141" s="334" t="n"/>
      <c r="C141" s="334" t="n"/>
      <c r="D141" s="334" t="n"/>
      <c r="E141" s="334" t="n"/>
      <c r="F141" s="334" t="n"/>
      <c r="G141" s="334" t="n"/>
      <c r="H141" s="334" t="n"/>
      <c r="I141" s="332">
        <f>IFERROR(VLOOKUP(TEXT(H141,"0"),IPRESS!$A$3:$B$212,2,0),"")</f>
        <v/>
      </c>
      <c r="J141" s="334" t="n"/>
      <c r="K141" s="332">
        <f>IFERROR(VLOOKUP(TEXT(O141,"0"),CONDUCTORES!$A$3:$G$54,7,0),"")</f>
        <v/>
      </c>
      <c r="L141" s="334" t="n"/>
      <c r="M141" s="334" t="n"/>
      <c r="N141" s="333">
        <f>IFERROR(IF(L141*M141=0,"",L141*M141),"")</f>
        <v/>
      </c>
      <c r="O141" s="334" t="n"/>
      <c r="P141" s="332">
        <f>IFERROR(VLOOKUP(TEXT(O141,"0"),CONDUCTORES!$A$3:$G$54,2,0),"")</f>
        <v/>
      </c>
      <c r="Q141" s="332">
        <f>IFERROR(VLOOKUP(TEXT(O141,"0"),CONDUCTORES!$A$3:$H$54,6,0),"")</f>
        <v/>
      </c>
      <c r="R141" s="334" t="n"/>
      <c r="S141" s="334" t="n"/>
      <c r="T141" s="334" t="n"/>
      <c r="U141" s="334" t="n"/>
      <c r="V141" s="334" t="n"/>
      <c r="W141" s="334" t="n"/>
      <c r="X141" s="334" t="n"/>
      <c r="Y141" s="334" t="n"/>
    </row>
    <row r="142" ht="15" customHeight="1" s="195">
      <c r="A142" s="280" t="n"/>
      <c r="B142" s="280" t="n"/>
      <c r="C142" s="280" t="n"/>
      <c r="D142" s="280" t="n"/>
      <c r="E142" s="280" t="n"/>
      <c r="F142" s="280" t="n"/>
      <c r="G142" s="280" t="n"/>
      <c r="H142" s="280" t="n"/>
      <c r="I142" s="332">
        <f>IFERROR(VLOOKUP(TEXT(H142,"0"),IPRESS!$A$3:$B$212,2,0),"")</f>
        <v/>
      </c>
      <c r="J142" s="280" t="n"/>
      <c r="K142" s="332">
        <f>IFERROR(VLOOKUP(TEXT(O142,"0"),CONDUCTORES!$A$3:$G$54,7,0),"")</f>
        <v/>
      </c>
      <c r="L142" s="280" t="n"/>
      <c r="M142" s="280" t="n"/>
      <c r="N142" s="333">
        <f>IFERROR(IF(L142*M142=0,"",L142*M142),"")</f>
        <v/>
      </c>
      <c r="O142" s="280" t="n"/>
      <c r="P142" s="332">
        <f>IFERROR(VLOOKUP(TEXT(O142,"0"),CONDUCTORES!$A$3:$G$54,2,0),"")</f>
        <v/>
      </c>
      <c r="Q142" s="332">
        <f>IFERROR(VLOOKUP(TEXT(O142,"0"),CONDUCTORES!$A$3:$H$54,6,0),"")</f>
        <v/>
      </c>
      <c r="R142" s="280" t="n"/>
      <c r="S142" s="280" t="n"/>
      <c r="T142" s="280" t="n"/>
      <c r="U142" s="280" t="n"/>
      <c r="V142" s="280" t="n"/>
      <c r="W142" s="280" t="n"/>
      <c r="X142" s="280" t="n"/>
      <c r="Y142" s="280" t="n"/>
    </row>
    <row r="143" ht="15" customHeight="1" s="195">
      <c r="A143" s="334" t="n"/>
      <c r="B143" s="334" t="n"/>
      <c r="C143" s="334" t="n"/>
      <c r="D143" s="334" t="n"/>
      <c r="E143" s="334" t="n"/>
      <c r="F143" s="334" t="n"/>
      <c r="G143" s="334" t="n"/>
      <c r="H143" s="334" t="n"/>
      <c r="I143" s="332">
        <f>IFERROR(VLOOKUP(TEXT(H143,"0"),IPRESS!$A$3:$B$212,2,0),"")</f>
        <v/>
      </c>
      <c r="J143" s="334" t="n"/>
      <c r="K143" s="332">
        <f>IFERROR(VLOOKUP(TEXT(O143,"0"),CONDUCTORES!$A$3:$G$54,7,0),"")</f>
        <v/>
      </c>
      <c r="L143" s="334" t="n"/>
      <c r="M143" s="334" t="n"/>
      <c r="N143" s="333">
        <f>IFERROR(IF(L143*M143=0,"",L143*M143),"")</f>
        <v/>
      </c>
      <c r="O143" s="334" t="n"/>
      <c r="P143" s="332">
        <f>IFERROR(VLOOKUP(TEXT(O143,"0"),CONDUCTORES!$A$3:$G$54,2,0),"")</f>
        <v/>
      </c>
      <c r="Q143" s="332">
        <f>IFERROR(VLOOKUP(TEXT(O143,"0"),CONDUCTORES!$A$3:$H$54,6,0),"")</f>
        <v/>
      </c>
      <c r="R143" s="334" t="n"/>
      <c r="S143" s="334" t="n"/>
      <c r="T143" s="334" t="n"/>
      <c r="U143" s="334" t="n"/>
      <c r="V143" s="334" t="n"/>
      <c r="W143" s="334" t="n"/>
      <c r="X143" s="334" t="n"/>
      <c r="Y143" s="334" t="n"/>
    </row>
    <row r="144" ht="15" customHeight="1" s="195">
      <c r="A144" s="280" t="n"/>
      <c r="B144" s="280" t="n"/>
      <c r="C144" s="280" t="n"/>
      <c r="D144" s="280" t="n"/>
      <c r="E144" s="280" t="n"/>
      <c r="F144" s="280" t="n"/>
      <c r="G144" s="280" t="n"/>
      <c r="H144" s="280" t="n"/>
      <c r="I144" s="332">
        <f>IFERROR(VLOOKUP(TEXT(H144,"0"),IPRESS!$A$3:$B$212,2,0),"")</f>
        <v/>
      </c>
      <c r="J144" s="280" t="n"/>
      <c r="K144" s="332">
        <f>IFERROR(VLOOKUP(TEXT(O144,"0"),CONDUCTORES!$A$3:$G$54,7,0),"")</f>
        <v/>
      </c>
      <c r="L144" s="280" t="n"/>
      <c r="M144" s="280" t="n"/>
      <c r="N144" s="333">
        <f>IFERROR(IF(L144*M144=0,"",L144*M144),"")</f>
        <v/>
      </c>
      <c r="O144" s="280" t="n"/>
      <c r="P144" s="332">
        <f>IFERROR(VLOOKUP(TEXT(O144,"0"),CONDUCTORES!$A$3:$G$54,2,0),"")</f>
        <v/>
      </c>
      <c r="Q144" s="332">
        <f>IFERROR(VLOOKUP(TEXT(O144,"0"),CONDUCTORES!$A$3:$H$54,6,0),"")</f>
        <v/>
      </c>
      <c r="R144" s="280" t="n"/>
      <c r="S144" s="280" t="n"/>
      <c r="T144" s="280" t="n"/>
      <c r="U144" s="280" t="n"/>
      <c r="V144" s="280" t="n"/>
      <c r="W144" s="280" t="n"/>
      <c r="X144" s="280" t="n"/>
      <c r="Y144" s="280" t="n"/>
    </row>
    <row r="145" ht="15" customHeight="1" s="195">
      <c r="A145" s="334" t="n"/>
      <c r="B145" s="334" t="n"/>
      <c r="C145" s="334" t="n"/>
      <c r="D145" s="334" t="n"/>
      <c r="E145" s="334" t="n"/>
      <c r="F145" s="334" t="n"/>
      <c r="G145" s="334" t="n"/>
      <c r="H145" s="334" t="n"/>
      <c r="I145" s="332">
        <f>IFERROR(VLOOKUP(TEXT(H145,"0"),IPRESS!$A$3:$B$212,2,0),"")</f>
        <v/>
      </c>
      <c r="J145" s="334" t="n"/>
      <c r="K145" s="332">
        <f>IFERROR(VLOOKUP(TEXT(O145,"0"),CONDUCTORES!$A$3:$G$54,7,0),"")</f>
        <v/>
      </c>
      <c r="L145" s="334" t="n"/>
      <c r="M145" s="334" t="n"/>
      <c r="N145" s="333">
        <f>IFERROR(IF(L145*M145=0,"",L145*M145),"")</f>
        <v/>
      </c>
      <c r="O145" s="334" t="n"/>
      <c r="P145" s="332">
        <f>IFERROR(VLOOKUP(TEXT(O145,"0"),CONDUCTORES!$A$3:$G$54,2,0),"")</f>
        <v/>
      </c>
      <c r="Q145" s="332">
        <f>IFERROR(VLOOKUP(TEXT(O145,"0"),CONDUCTORES!$A$3:$H$54,6,0),"")</f>
        <v/>
      </c>
      <c r="R145" s="334" t="n"/>
      <c r="S145" s="334" t="n"/>
      <c r="T145" s="334" t="n"/>
      <c r="U145" s="334" t="n"/>
      <c r="V145" s="334" t="n"/>
      <c r="W145" s="334" t="n"/>
      <c r="X145" s="334" t="n"/>
      <c r="Y145" s="334" t="n"/>
    </row>
    <row r="146" ht="15" customHeight="1" s="195">
      <c r="A146" s="280" t="n"/>
      <c r="B146" s="280" t="n"/>
      <c r="C146" s="280" t="n"/>
      <c r="D146" s="280" t="n"/>
      <c r="E146" s="280" t="n"/>
      <c r="F146" s="280" t="n"/>
      <c r="G146" s="280" t="n"/>
      <c r="H146" s="280" t="n"/>
      <c r="I146" s="332">
        <f>IFERROR(VLOOKUP(TEXT(H146,"0"),IPRESS!$A$3:$B$212,2,0),"")</f>
        <v/>
      </c>
      <c r="J146" s="280" t="n"/>
      <c r="K146" s="332">
        <f>IFERROR(VLOOKUP(TEXT(O146,"0"),CONDUCTORES!$A$3:$G$54,7,0),"")</f>
        <v/>
      </c>
      <c r="L146" s="280" t="n"/>
      <c r="M146" s="280" t="n"/>
      <c r="N146" s="333">
        <f>IFERROR(IF(L146*M146=0,"",L146*M146),"")</f>
        <v/>
      </c>
      <c r="O146" s="280" t="n"/>
      <c r="P146" s="332">
        <f>IFERROR(VLOOKUP(TEXT(O146,"0"),CONDUCTORES!$A$3:$G$54,2,0),"")</f>
        <v/>
      </c>
      <c r="Q146" s="332">
        <f>IFERROR(VLOOKUP(TEXT(O146,"0"),CONDUCTORES!$A$3:$H$54,6,0),"")</f>
        <v/>
      </c>
      <c r="R146" s="280" t="n"/>
      <c r="S146" s="280" t="n"/>
      <c r="T146" s="280" t="n"/>
      <c r="U146" s="280" t="n"/>
      <c r="V146" s="280" t="n"/>
      <c r="W146" s="280" t="n"/>
      <c r="X146" s="280" t="n"/>
      <c r="Y146" s="280" t="n"/>
    </row>
    <row r="147" ht="15" customHeight="1" s="195">
      <c r="A147" s="334" t="n"/>
      <c r="B147" s="334" t="n"/>
      <c r="C147" s="334" t="n"/>
      <c r="D147" s="334" t="n"/>
      <c r="E147" s="334" t="n"/>
      <c r="F147" s="334" t="n"/>
      <c r="G147" s="334" t="n"/>
      <c r="H147" s="334" t="n"/>
      <c r="I147" s="332">
        <f>IFERROR(VLOOKUP(TEXT(H147,"0"),IPRESS!$A$3:$B$212,2,0),"")</f>
        <v/>
      </c>
      <c r="J147" s="334" t="n"/>
      <c r="K147" s="332">
        <f>IFERROR(VLOOKUP(TEXT(O147,"0"),CONDUCTORES!$A$3:$G$54,7,0),"")</f>
        <v/>
      </c>
      <c r="L147" s="334" t="n"/>
      <c r="M147" s="334" t="n"/>
      <c r="N147" s="333">
        <f>IFERROR(IF(L147*M147=0,"",L147*M147),"")</f>
        <v/>
      </c>
      <c r="O147" s="334" t="n"/>
      <c r="P147" s="332">
        <f>IFERROR(VLOOKUP(TEXT(O147,"0"),CONDUCTORES!$A$3:$G$54,2,0),"")</f>
        <v/>
      </c>
      <c r="Q147" s="332">
        <f>IFERROR(VLOOKUP(TEXT(O147,"0"),CONDUCTORES!$A$3:$H$54,6,0),"")</f>
        <v/>
      </c>
      <c r="R147" s="334" t="n"/>
      <c r="S147" s="334" t="n"/>
      <c r="T147" s="334" t="n"/>
      <c r="U147" s="334" t="n"/>
      <c r="V147" s="334" t="n"/>
      <c r="W147" s="334" t="n"/>
      <c r="X147" s="334" t="n"/>
      <c r="Y147" s="334" t="n"/>
    </row>
    <row r="148" ht="15" customHeight="1" s="195">
      <c r="A148" s="280" t="n"/>
      <c r="B148" s="280" t="n"/>
      <c r="C148" s="280" t="n"/>
      <c r="D148" s="280" t="n"/>
      <c r="E148" s="280" t="n"/>
      <c r="F148" s="280" t="n"/>
      <c r="G148" s="280" t="n"/>
      <c r="H148" s="280" t="n"/>
      <c r="I148" s="332">
        <f>IFERROR(VLOOKUP(TEXT(H148,"0"),IPRESS!$A$3:$B$212,2,0),"")</f>
        <v/>
      </c>
      <c r="J148" s="280" t="n"/>
      <c r="K148" s="332">
        <f>IFERROR(VLOOKUP(TEXT(O148,"0"),CONDUCTORES!$A$3:$G$54,7,0),"")</f>
        <v/>
      </c>
      <c r="L148" s="280" t="n"/>
      <c r="M148" s="280" t="n"/>
      <c r="N148" s="333">
        <f>IFERROR(IF(L148*M148=0,"",L148*M148),"")</f>
        <v/>
      </c>
      <c r="O148" s="280" t="n"/>
      <c r="P148" s="332">
        <f>IFERROR(VLOOKUP(TEXT(O148,"0"),CONDUCTORES!$A$3:$G$54,2,0),"")</f>
        <v/>
      </c>
      <c r="Q148" s="332">
        <f>IFERROR(VLOOKUP(TEXT(O148,"0"),CONDUCTORES!$A$3:$H$54,6,0),"")</f>
        <v/>
      </c>
      <c r="R148" s="280" t="n"/>
      <c r="S148" s="280" t="n"/>
      <c r="T148" s="280" t="n"/>
      <c r="U148" s="280" t="n"/>
      <c r="V148" s="280" t="n"/>
      <c r="W148" s="280" t="n"/>
      <c r="X148" s="280" t="n"/>
      <c r="Y148" s="280" t="n"/>
    </row>
    <row r="149" ht="15" customHeight="1" s="195">
      <c r="A149" s="334" t="n"/>
      <c r="B149" s="334" t="n"/>
      <c r="C149" s="334" t="n"/>
      <c r="D149" s="334" t="n"/>
      <c r="E149" s="334" t="n"/>
      <c r="F149" s="334" t="n"/>
      <c r="G149" s="334" t="n"/>
      <c r="H149" s="334" t="n"/>
      <c r="I149" s="332">
        <f>IFERROR(VLOOKUP(TEXT(H149,"0"),IPRESS!$A$3:$B$212,2,0),"")</f>
        <v/>
      </c>
      <c r="J149" s="334" t="n"/>
      <c r="K149" s="332">
        <f>IFERROR(VLOOKUP(TEXT(O149,"0"),CONDUCTORES!$A$3:$G$54,7,0),"")</f>
        <v/>
      </c>
      <c r="L149" s="334" t="n"/>
      <c r="M149" s="334" t="n"/>
      <c r="N149" s="333">
        <f>IFERROR(IF(L149*M149=0,"",L149*M149),"")</f>
        <v/>
      </c>
      <c r="O149" s="334" t="n"/>
      <c r="P149" s="332">
        <f>IFERROR(VLOOKUP(TEXT(O149,"0"),CONDUCTORES!$A$3:$G$54,2,0),"")</f>
        <v/>
      </c>
      <c r="Q149" s="332">
        <f>IFERROR(VLOOKUP(TEXT(O149,"0"),CONDUCTORES!$A$3:$H$54,6,0),"")</f>
        <v/>
      </c>
      <c r="R149" s="334" t="n"/>
      <c r="S149" s="334" t="n"/>
      <c r="T149" s="334" t="n"/>
      <c r="U149" s="334" t="n"/>
      <c r="V149" s="334" t="n"/>
      <c r="W149" s="334" t="n"/>
      <c r="X149" s="334" t="n"/>
      <c r="Y149" s="334" t="n"/>
    </row>
    <row r="150" ht="15" customHeight="1" s="195">
      <c r="A150" s="280" t="n"/>
      <c r="B150" s="280" t="n"/>
      <c r="C150" s="280" t="n"/>
      <c r="D150" s="280" t="n"/>
      <c r="E150" s="280" t="n"/>
      <c r="F150" s="280" t="n"/>
      <c r="G150" s="280" t="n"/>
      <c r="H150" s="280" t="n"/>
      <c r="I150" s="332">
        <f>IFERROR(VLOOKUP(TEXT(H150,"0"),IPRESS!$A$3:$B$212,2,0),"")</f>
        <v/>
      </c>
      <c r="J150" s="280" t="n"/>
      <c r="K150" s="332">
        <f>IFERROR(VLOOKUP(TEXT(O150,"0"),CONDUCTORES!$A$3:$G$54,7,0),"")</f>
        <v/>
      </c>
      <c r="L150" s="280" t="n"/>
      <c r="M150" s="280" t="n"/>
      <c r="N150" s="333">
        <f>IFERROR(IF(L150*M150=0,"",L150*M150),"")</f>
        <v/>
      </c>
      <c r="O150" s="280" t="n"/>
      <c r="P150" s="332">
        <f>IFERROR(VLOOKUP(TEXT(O150,"0"),CONDUCTORES!$A$3:$G$54,2,0),"")</f>
        <v/>
      </c>
      <c r="Q150" s="332">
        <f>IFERROR(VLOOKUP(TEXT(O150,"0"),CONDUCTORES!$A$3:$H$54,6,0),"")</f>
        <v/>
      </c>
      <c r="R150" s="280" t="n"/>
      <c r="S150" s="280" t="n"/>
      <c r="T150" s="280" t="n"/>
      <c r="U150" s="280" t="n"/>
      <c r="V150" s="280" t="n"/>
      <c r="W150" s="280" t="n"/>
      <c r="X150" s="280" t="n"/>
      <c r="Y150" s="280" t="n"/>
    </row>
    <row r="151" ht="15" customHeight="1" s="195">
      <c r="A151" s="334" t="n"/>
      <c r="B151" s="334" t="n"/>
      <c r="C151" s="334" t="n"/>
      <c r="D151" s="334" t="n"/>
      <c r="E151" s="334" t="n"/>
      <c r="F151" s="334" t="n"/>
      <c r="G151" s="334" t="n"/>
      <c r="H151" s="334" t="n"/>
      <c r="I151" s="332">
        <f>IFERROR(VLOOKUP(TEXT(H151,"0"),IPRESS!$A$3:$B$212,2,0),"")</f>
        <v/>
      </c>
      <c r="J151" s="334" t="n"/>
      <c r="K151" s="332">
        <f>IFERROR(VLOOKUP(TEXT(O151,"0"),CONDUCTORES!$A$3:$G$54,7,0),"")</f>
        <v/>
      </c>
      <c r="L151" s="334" t="n"/>
      <c r="M151" s="334" t="n"/>
      <c r="N151" s="333">
        <f>IFERROR(IF(L151*M151=0,"",L151*M151),"")</f>
        <v/>
      </c>
      <c r="O151" s="334" t="n"/>
      <c r="P151" s="332">
        <f>IFERROR(VLOOKUP(TEXT(O151,"0"),CONDUCTORES!$A$3:$G$54,2,0),"")</f>
        <v/>
      </c>
      <c r="Q151" s="332">
        <f>IFERROR(VLOOKUP(TEXT(O151,"0"),CONDUCTORES!$A$3:$H$54,6,0),"")</f>
        <v/>
      </c>
      <c r="R151" s="334" t="n"/>
      <c r="S151" s="334" t="n"/>
      <c r="T151" s="334" t="n"/>
      <c r="U151" s="334" t="n"/>
      <c r="V151" s="334" t="n"/>
      <c r="W151" s="334" t="n"/>
      <c r="X151" s="334" t="n"/>
      <c r="Y151" s="334" t="n"/>
    </row>
    <row r="152" ht="15" customHeight="1" s="195">
      <c r="A152" s="280" t="n"/>
      <c r="B152" s="280" t="n"/>
      <c r="C152" s="280" t="n"/>
      <c r="D152" s="280" t="n"/>
      <c r="E152" s="280" t="n"/>
      <c r="F152" s="280" t="n"/>
      <c r="G152" s="280" t="n"/>
      <c r="H152" s="280" t="n"/>
      <c r="I152" s="332">
        <f>IFERROR(VLOOKUP(TEXT(H152,"0"),IPRESS!$A$3:$B$212,2,0),"")</f>
        <v/>
      </c>
      <c r="J152" s="280" t="n"/>
      <c r="K152" s="332">
        <f>IFERROR(VLOOKUP(TEXT(O152,"0"),CONDUCTORES!$A$3:$G$54,7,0),"")</f>
        <v/>
      </c>
      <c r="L152" s="280" t="n"/>
      <c r="M152" s="280" t="n"/>
      <c r="N152" s="333">
        <f>IFERROR(IF(L152*M152=0,"",L152*M152),"")</f>
        <v/>
      </c>
      <c r="O152" s="280" t="n"/>
      <c r="P152" s="332">
        <f>IFERROR(VLOOKUP(TEXT(O152,"0"),CONDUCTORES!$A$3:$G$54,2,0),"")</f>
        <v/>
      </c>
      <c r="Q152" s="332">
        <f>IFERROR(VLOOKUP(TEXT(O152,"0"),CONDUCTORES!$A$3:$H$54,6,0),"")</f>
        <v/>
      </c>
      <c r="R152" s="280" t="n"/>
      <c r="S152" s="280" t="n"/>
      <c r="T152" s="280" t="n"/>
      <c r="U152" s="280" t="n"/>
      <c r="V152" s="280" t="n"/>
      <c r="W152" s="280" t="n"/>
      <c r="X152" s="280" t="n"/>
      <c r="Y152" s="280" t="n"/>
    </row>
    <row r="153" ht="15" customHeight="1" s="195">
      <c r="A153" s="334" t="n"/>
      <c r="B153" s="334" t="n"/>
      <c r="C153" s="334" t="n"/>
      <c r="D153" s="334" t="n"/>
      <c r="E153" s="334" t="n"/>
      <c r="F153" s="334" t="n"/>
      <c r="G153" s="334" t="n"/>
      <c r="H153" s="334" t="n"/>
      <c r="I153" s="332">
        <f>IFERROR(VLOOKUP(TEXT(H153,"0"),IPRESS!$A$3:$B$212,2,0),"")</f>
        <v/>
      </c>
      <c r="J153" s="334" t="n"/>
      <c r="K153" s="332">
        <f>IFERROR(VLOOKUP(TEXT(O153,"0"),CONDUCTORES!$A$3:$G$54,7,0),"")</f>
        <v/>
      </c>
      <c r="L153" s="334" t="n"/>
      <c r="M153" s="334" t="n"/>
      <c r="N153" s="333">
        <f>IFERROR(IF(L153*M153=0,"",L153*M153),"")</f>
        <v/>
      </c>
      <c r="O153" s="334" t="n"/>
      <c r="P153" s="332">
        <f>IFERROR(VLOOKUP(TEXT(O153,"0"),CONDUCTORES!$A$3:$G$54,2,0),"")</f>
        <v/>
      </c>
      <c r="Q153" s="332">
        <f>IFERROR(VLOOKUP(TEXT(O153,"0"),CONDUCTORES!$A$3:$H$54,6,0),"")</f>
        <v/>
      </c>
      <c r="R153" s="334" t="n"/>
      <c r="S153" s="334" t="n"/>
      <c r="T153" s="334" t="n"/>
      <c r="U153" s="334" t="n"/>
      <c r="V153" s="334" t="n"/>
      <c r="W153" s="334" t="n"/>
      <c r="X153" s="334" t="n"/>
      <c r="Y153" s="334" t="n"/>
    </row>
    <row r="154" ht="15" customHeight="1" s="195">
      <c r="A154" s="280" t="n"/>
      <c r="B154" s="280" t="n"/>
      <c r="C154" s="280" t="n"/>
      <c r="D154" s="280" t="n"/>
      <c r="E154" s="280" t="n"/>
      <c r="F154" s="280" t="n"/>
      <c r="G154" s="280" t="n"/>
      <c r="H154" s="280" t="n"/>
      <c r="I154" s="332">
        <f>IFERROR(VLOOKUP(TEXT(H154,"0"),IPRESS!$A$3:$B$212,2,0),"")</f>
        <v/>
      </c>
      <c r="J154" s="280" t="n"/>
      <c r="K154" s="332">
        <f>IFERROR(VLOOKUP(TEXT(O154,"0"),CONDUCTORES!$A$3:$G$54,7,0),"")</f>
        <v/>
      </c>
      <c r="L154" s="280" t="n"/>
      <c r="M154" s="280" t="n"/>
      <c r="N154" s="333">
        <f>IFERROR(IF(L154*M154=0,"",L154*M154),"")</f>
        <v/>
      </c>
      <c r="O154" s="280" t="n"/>
      <c r="P154" s="332">
        <f>IFERROR(VLOOKUP(TEXT(O154,"0"),CONDUCTORES!$A$3:$G$54,2,0),"")</f>
        <v/>
      </c>
      <c r="Q154" s="332">
        <f>IFERROR(VLOOKUP(TEXT(O154,"0"),CONDUCTORES!$A$3:$H$54,6,0),"")</f>
        <v/>
      </c>
      <c r="R154" s="280" t="n"/>
      <c r="S154" s="280" t="n"/>
      <c r="T154" s="280" t="n"/>
      <c r="U154" s="280" t="n"/>
      <c r="V154" s="280" t="n"/>
      <c r="W154" s="280" t="n"/>
      <c r="X154" s="280" t="n"/>
      <c r="Y154" s="280" t="n"/>
    </row>
    <row r="155" ht="15" customHeight="1" s="195">
      <c r="A155" s="334" t="n"/>
      <c r="B155" s="334" t="n"/>
      <c r="C155" s="334" t="n"/>
      <c r="D155" s="334" t="n"/>
      <c r="E155" s="334" t="n"/>
      <c r="F155" s="334" t="n"/>
      <c r="G155" s="334" t="n"/>
      <c r="H155" s="334" t="n"/>
      <c r="I155" s="332">
        <f>IFERROR(VLOOKUP(TEXT(H155,"0"),IPRESS!$A$3:$B$212,2,0),"")</f>
        <v/>
      </c>
      <c r="J155" s="334" t="n"/>
      <c r="K155" s="332">
        <f>IFERROR(VLOOKUP(TEXT(O155,"0"),CONDUCTORES!$A$3:$G$54,7,0),"")</f>
        <v/>
      </c>
      <c r="L155" s="334" t="n"/>
      <c r="M155" s="334" t="n"/>
      <c r="N155" s="333">
        <f>IFERROR(IF(L155*M155=0,"",L155*M155),"")</f>
        <v/>
      </c>
      <c r="O155" s="334" t="n"/>
      <c r="P155" s="332">
        <f>IFERROR(VLOOKUP(TEXT(O155,"0"),CONDUCTORES!$A$3:$G$54,2,0),"")</f>
        <v/>
      </c>
      <c r="Q155" s="332">
        <f>IFERROR(VLOOKUP(TEXT(O155,"0"),CONDUCTORES!$A$3:$H$54,6,0),"")</f>
        <v/>
      </c>
      <c r="R155" s="334" t="n"/>
      <c r="S155" s="334" t="n"/>
      <c r="T155" s="334" t="n"/>
      <c r="U155" s="334" t="n"/>
      <c r="V155" s="334" t="n"/>
      <c r="W155" s="334" t="n"/>
      <c r="X155" s="334" t="n"/>
      <c r="Y155" s="334" t="n"/>
    </row>
    <row r="156" ht="15" customHeight="1" s="195">
      <c r="A156" s="280" t="n"/>
      <c r="B156" s="280" t="n"/>
      <c r="C156" s="280" t="n"/>
      <c r="D156" s="280" t="n"/>
      <c r="E156" s="280" t="n"/>
      <c r="F156" s="280" t="n"/>
      <c r="G156" s="280" t="n"/>
      <c r="H156" s="280" t="n"/>
      <c r="I156" s="332">
        <f>IFERROR(VLOOKUP(TEXT(H156,"0"),IPRESS!$A$3:$B$212,2,0),"")</f>
        <v/>
      </c>
      <c r="J156" s="280" t="n"/>
      <c r="K156" s="332">
        <f>IFERROR(VLOOKUP(TEXT(O156,"0"),CONDUCTORES!$A$3:$G$54,7,0),"")</f>
        <v/>
      </c>
      <c r="L156" s="280" t="n"/>
      <c r="M156" s="280" t="n"/>
      <c r="N156" s="333">
        <f>IFERROR(IF(L156*M156=0,"",L156*M156),"")</f>
        <v/>
      </c>
      <c r="O156" s="280" t="n"/>
      <c r="P156" s="332">
        <f>IFERROR(VLOOKUP(TEXT(O156,"0"),CONDUCTORES!$A$3:$G$54,2,0),"")</f>
        <v/>
      </c>
      <c r="Q156" s="332">
        <f>IFERROR(VLOOKUP(TEXT(O156,"0"),CONDUCTORES!$A$3:$H$54,6,0),"")</f>
        <v/>
      </c>
      <c r="R156" s="280" t="n"/>
      <c r="S156" s="280" t="n"/>
      <c r="T156" s="280" t="n"/>
      <c r="U156" s="280" t="n"/>
      <c r="V156" s="280" t="n"/>
      <c r="W156" s="280" t="n"/>
      <c r="X156" s="280" t="n"/>
      <c r="Y156" s="280" t="n"/>
    </row>
    <row r="157" ht="15" customHeight="1" s="195">
      <c r="A157" s="334" t="n"/>
      <c r="B157" s="334" t="n"/>
      <c r="C157" s="334" t="n"/>
      <c r="D157" s="334" t="n"/>
      <c r="E157" s="334" t="n"/>
      <c r="F157" s="334" t="n"/>
      <c r="G157" s="334" t="n"/>
      <c r="H157" s="334" t="n"/>
      <c r="I157" s="332">
        <f>IFERROR(VLOOKUP(TEXT(H157,"0"),IPRESS!$A$3:$B$212,2,0),"")</f>
        <v/>
      </c>
      <c r="J157" s="334" t="n"/>
      <c r="K157" s="332">
        <f>IFERROR(VLOOKUP(TEXT(O157,"0"),CONDUCTORES!$A$3:$G$54,7,0),"")</f>
        <v/>
      </c>
      <c r="L157" s="334" t="n"/>
      <c r="M157" s="334" t="n"/>
      <c r="N157" s="333">
        <f>IFERROR(IF(L157*M157=0,"",L157*M157),"")</f>
        <v/>
      </c>
      <c r="O157" s="334" t="n"/>
      <c r="P157" s="332">
        <f>IFERROR(VLOOKUP(TEXT(O157,"0"),CONDUCTORES!$A$3:$G$54,2,0),"")</f>
        <v/>
      </c>
      <c r="Q157" s="332">
        <f>IFERROR(VLOOKUP(TEXT(O157,"0"),CONDUCTORES!$A$3:$H$54,6,0),"")</f>
        <v/>
      </c>
      <c r="R157" s="334" t="n"/>
      <c r="S157" s="334" t="n"/>
      <c r="T157" s="334" t="n"/>
      <c r="U157" s="334" t="n"/>
      <c r="V157" s="334" t="n"/>
      <c r="W157" s="334" t="n"/>
      <c r="X157" s="334" t="n"/>
      <c r="Y157" s="334" t="n"/>
    </row>
    <row r="158" ht="15" customHeight="1" s="195">
      <c r="A158" s="280" t="n"/>
      <c r="B158" s="280" t="n"/>
      <c r="C158" s="280" t="n"/>
      <c r="D158" s="280" t="n"/>
      <c r="E158" s="280" t="n"/>
      <c r="F158" s="280" t="n"/>
      <c r="G158" s="280" t="n"/>
      <c r="H158" s="280" t="n"/>
      <c r="I158" s="332">
        <f>IFERROR(VLOOKUP(TEXT(H158,"0"),IPRESS!$A$3:$B$212,2,0),"")</f>
        <v/>
      </c>
      <c r="J158" s="280" t="n"/>
      <c r="K158" s="332">
        <f>IFERROR(VLOOKUP(TEXT(O158,"0"),CONDUCTORES!$A$3:$G$54,7,0),"")</f>
        <v/>
      </c>
      <c r="L158" s="280" t="n"/>
      <c r="M158" s="280" t="n"/>
      <c r="N158" s="333">
        <f>IFERROR(IF(L158*M158=0,"",L158*M158),"")</f>
        <v/>
      </c>
      <c r="O158" s="280" t="n"/>
      <c r="P158" s="332">
        <f>IFERROR(VLOOKUP(TEXT(O158,"0"),CONDUCTORES!$A$3:$G$54,2,0),"")</f>
        <v/>
      </c>
      <c r="Q158" s="332">
        <f>IFERROR(VLOOKUP(TEXT(O158,"0"),CONDUCTORES!$A$3:$H$54,6,0),"")</f>
        <v/>
      </c>
      <c r="R158" s="280" t="n"/>
      <c r="S158" s="280" t="n"/>
      <c r="T158" s="280" t="n"/>
      <c r="U158" s="280" t="n"/>
      <c r="V158" s="280" t="n"/>
      <c r="W158" s="280" t="n"/>
      <c r="X158" s="280" t="n"/>
      <c r="Y158" s="280" t="n"/>
    </row>
    <row r="159" ht="15" customHeight="1" s="195">
      <c r="A159" s="334" t="n"/>
      <c r="B159" s="334" t="n"/>
      <c r="C159" s="334" t="n"/>
      <c r="D159" s="334" t="n"/>
      <c r="E159" s="334" t="n"/>
      <c r="F159" s="334" t="n"/>
      <c r="G159" s="334" t="n"/>
      <c r="H159" s="334" t="n"/>
      <c r="I159" s="332">
        <f>IFERROR(VLOOKUP(TEXT(H159,"0"),IPRESS!$A$3:$B$212,2,0),"")</f>
        <v/>
      </c>
      <c r="J159" s="334" t="n"/>
      <c r="K159" s="332">
        <f>IFERROR(VLOOKUP(TEXT(O159,"0"),CONDUCTORES!$A$3:$G$54,7,0),"")</f>
        <v/>
      </c>
      <c r="L159" s="334" t="n"/>
      <c r="M159" s="334" t="n"/>
      <c r="N159" s="333">
        <f>IFERROR(IF(L159*M159=0,"",L159*M159),"")</f>
        <v/>
      </c>
      <c r="O159" s="334" t="n"/>
      <c r="P159" s="332">
        <f>IFERROR(VLOOKUP(TEXT(O159,"0"),CONDUCTORES!$A$3:$G$54,2,0),"")</f>
        <v/>
      </c>
      <c r="Q159" s="332">
        <f>IFERROR(VLOOKUP(TEXT(O159,"0"),CONDUCTORES!$A$3:$H$54,6,0),"")</f>
        <v/>
      </c>
      <c r="R159" s="334" t="n"/>
      <c r="S159" s="334" t="n"/>
      <c r="T159" s="334" t="n"/>
      <c r="U159" s="334" t="n"/>
      <c r="V159" s="334" t="n"/>
      <c r="W159" s="334" t="n"/>
      <c r="X159" s="334" t="n"/>
      <c r="Y159" s="334" t="n"/>
    </row>
    <row r="160" ht="15" customHeight="1" s="195">
      <c r="A160" s="280" t="n"/>
      <c r="B160" s="280" t="n"/>
      <c r="C160" s="280" t="n"/>
      <c r="D160" s="280" t="n"/>
      <c r="E160" s="280" t="n"/>
      <c r="F160" s="280" t="n"/>
      <c r="G160" s="280" t="n"/>
      <c r="H160" s="280" t="n"/>
      <c r="I160" s="332">
        <f>IFERROR(VLOOKUP(TEXT(H160,"0"),IPRESS!$A$3:$B$212,2,0),"")</f>
        <v/>
      </c>
      <c r="J160" s="280" t="n"/>
      <c r="K160" s="332">
        <f>IFERROR(VLOOKUP(TEXT(O160,"0"),CONDUCTORES!$A$3:$G$54,7,0),"")</f>
        <v/>
      </c>
      <c r="L160" s="280" t="n"/>
      <c r="M160" s="280" t="n"/>
      <c r="N160" s="333">
        <f>IFERROR(IF(L160*M160=0,"",L160*M160),"")</f>
        <v/>
      </c>
      <c r="O160" s="280" t="n"/>
      <c r="P160" s="332">
        <f>IFERROR(VLOOKUP(TEXT(O160,"0"),CONDUCTORES!$A$3:$G$54,2,0),"")</f>
        <v/>
      </c>
      <c r="Q160" s="332">
        <f>IFERROR(VLOOKUP(TEXT(O160,"0"),CONDUCTORES!$A$3:$H$54,6,0),"")</f>
        <v/>
      </c>
      <c r="R160" s="280" t="n"/>
      <c r="S160" s="280" t="n"/>
      <c r="T160" s="280" t="n"/>
      <c r="U160" s="280" t="n"/>
      <c r="V160" s="280" t="n"/>
      <c r="W160" s="280" t="n"/>
      <c r="X160" s="280" t="n"/>
      <c r="Y160" s="280" t="n"/>
    </row>
    <row r="161" ht="15" customHeight="1" s="195">
      <c r="A161" s="334" t="n"/>
      <c r="B161" s="334" t="n"/>
      <c r="C161" s="334" t="n"/>
      <c r="D161" s="334" t="n"/>
      <c r="E161" s="334" t="n"/>
      <c r="F161" s="334" t="n"/>
      <c r="G161" s="334" t="n"/>
      <c r="H161" s="334" t="n"/>
      <c r="I161" s="332">
        <f>IFERROR(VLOOKUP(TEXT(H161,"0"),IPRESS!$A$3:$B$212,2,0),"")</f>
        <v/>
      </c>
      <c r="J161" s="334" t="n"/>
      <c r="K161" s="332">
        <f>IFERROR(VLOOKUP(TEXT(O161,"0"),CONDUCTORES!$A$3:$G$54,7,0),"")</f>
        <v/>
      </c>
      <c r="L161" s="334" t="n"/>
      <c r="M161" s="334" t="n"/>
      <c r="N161" s="333">
        <f>IFERROR(IF(L161*M161=0,"",L161*M161),"")</f>
        <v/>
      </c>
      <c r="O161" s="334" t="n"/>
      <c r="P161" s="332">
        <f>IFERROR(VLOOKUP(TEXT(O161,"0"),CONDUCTORES!$A$3:$G$54,2,0),"")</f>
        <v/>
      </c>
      <c r="Q161" s="332">
        <f>IFERROR(VLOOKUP(TEXT(O161,"0"),CONDUCTORES!$A$3:$H$54,6,0),"")</f>
        <v/>
      </c>
      <c r="R161" s="334" t="n"/>
      <c r="S161" s="334" t="n"/>
      <c r="T161" s="334" t="n"/>
      <c r="U161" s="334" t="n"/>
      <c r="V161" s="334" t="n"/>
      <c r="W161" s="334" t="n"/>
      <c r="X161" s="334" t="n"/>
      <c r="Y161" s="334" t="n"/>
    </row>
    <row r="162" ht="15" customHeight="1" s="195">
      <c r="A162" s="280" t="n"/>
      <c r="B162" s="280" t="n"/>
      <c r="C162" s="280" t="n"/>
      <c r="D162" s="280" t="n"/>
      <c r="E162" s="280" t="n"/>
      <c r="F162" s="280" t="n"/>
      <c r="G162" s="280" t="n"/>
      <c r="H162" s="280" t="n"/>
      <c r="I162" s="332">
        <f>IFERROR(VLOOKUP(TEXT(H162,"0"),IPRESS!$A$3:$B$212,2,0),"")</f>
        <v/>
      </c>
      <c r="J162" s="280" t="n"/>
      <c r="K162" s="332">
        <f>IFERROR(VLOOKUP(TEXT(O162,"0"),CONDUCTORES!$A$3:$G$54,7,0),"")</f>
        <v/>
      </c>
      <c r="L162" s="280" t="n"/>
      <c r="M162" s="280" t="n"/>
      <c r="N162" s="333">
        <f>IFERROR(IF(L162*M162=0,"",L162*M162),"")</f>
        <v/>
      </c>
      <c r="O162" s="280" t="n"/>
      <c r="P162" s="332">
        <f>IFERROR(VLOOKUP(TEXT(O162,"0"),CONDUCTORES!$A$3:$G$54,2,0),"")</f>
        <v/>
      </c>
      <c r="Q162" s="332">
        <f>IFERROR(VLOOKUP(TEXT(O162,"0"),CONDUCTORES!$A$3:$H$54,6,0),"")</f>
        <v/>
      </c>
      <c r="R162" s="280" t="n"/>
      <c r="S162" s="280" t="n"/>
      <c r="T162" s="280" t="n"/>
      <c r="U162" s="280" t="n"/>
      <c r="V162" s="280" t="n"/>
      <c r="W162" s="280" t="n"/>
      <c r="X162" s="280" t="n"/>
      <c r="Y162" s="280" t="n"/>
    </row>
    <row r="163" ht="15" customHeight="1" s="195">
      <c r="A163" s="334" t="n"/>
      <c r="B163" s="334" t="n"/>
      <c r="C163" s="334" t="n"/>
      <c r="D163" s="334" t="n"/>
      <c r="E163" s="334" t="n"/>
      <c r="F163" s="334" t="n"/>
      <c r="G163" s="334" t="n"/>
      <c r="H163" s="334" t="n"/>
      <c r="I163" s="332">
        <f>IFERROR(VLOOKUP(TEXT(H163,"0"),IPRESS!$A$3:$B$212,2,0),"")</f>
        <v/>
      </c>
      <c r="J163" s="334" t="n"/>
      <c r="K163" s="332">
        <f>IFERROR(VLOOKUP(TEXT(O163,"0"),CONDUCTORES!$A$3:$G$54,7,0),"")</f>
        <v/>
      </c>
      <c r="L163" s="334" t="n"/>
      <c r="M163" s="334" t="n"/>
      <c r="N163" s="333">
        <f>IFERROR(IF(L163*M163=0,"",L163*M163),"")</f>
        <v/>
      </c>
      <c r="O163" s="334" t="n"/>
      <c r="P163" s="332">
        <f>IFERROR(VLOOKUP(TEXT(O163,"0"),CONDUCTORES!$A$3:$G$54,2,0),"")</f>
        <v/>
      </c>
      <c r="Q163" s="332">
        <f>IFERROR(VLOOKUP(TEXT(O163,"0"),CONDUCTORES!$A$3:$H$54,6,0),"")</f>
        <v/>
      </c>
      <c r="R163" s="334" t="n"/>
      <c r="S163" s="334" t="n"/>
      <c r="T163" s="334" t="n"/>
      <c r="U163" s="334" t="n"/>
      <c r="V163" s="334" t="n"/>
      <c r="W163" s="334" t="n"/>
      <c r="X163" s="334" t="n"/>
      <c r="Y163" s="334" t="n"/>
    </row>
    <row r="164" ht="15" customHeight="1" s="195">
      <c r="A164" s="280" t="n"/>
      <c r="B164" s="280" t="n"/>
      <c r="C164" s="280" t="n"/>
      <c r="D164" s="280" t="n"/>
      <c r="E164" s="280" t="n"/>
      <c r="F164" s="280" t="n"/>
      <c r="G164" s="280" t="n"/>
      <c r="H164" s="280" t="n"/>
      <c r="I164" s="332">
        <f>IFERROR(VLOOKUP(TEXT(H164,"0"),IPRESS!$A$3:$B$212,2,0),"")</f>
        <v/>
      </c>
      <c r="J164" s="280" t="n"/>
      <c r="K164" s="332">
        <f>IFERROR(VLOOKUP(TEXT(O164,"0"),CONDUCTORES!$A$3:$G$54,7,0),"")</f>
        <v/>
      </c>
      <c r="L164" s="280" t="n"/>
      <c r="M164" s="280" t="n"/>
      <c r="N164" s="333">
        <f>IFERROR(IF(L164*M164=0,"",L164*M164),"")</f>
        <v/>
      </c>
      <c r="O164" s="280" t="n"/>
      <c r="P164" s="332">
        <f>IFERROR(VLOOKUP(TEXT(O164,"0"),CONDUCTORES!$A$3:$G$54,2,0),"")</f>
        <v/>
      </c>
      <c r="Q164" s="332">
        <f>IFERROR(VLOOKUP(TEXT(O164,"0"),CONDUCTORES!$A$3:$H$54,6,0),"")</f>
        <v/>
      </c>
      <c r="R164" s="280" t="n"/>
      <c r="S164" s="280" t="n"/>
      <c r="T164" s="280" t="n"/>
      <c r="U164" s="280" t="n"/>
      <c r="V164" s="280" t="n"/>
      <c r="W164" s="280" t="n"/>
      <c r="X164" s="280" t="n"/>
      <c r="Y164" s="280" t="n"/>
    </row>
    <row r="165" ht="15" customHeight="1" s="195">
      <c r="A165" s="334" t="n"/>
      <c r="B165" s="334" t="n"/>
      <c r="C165" s="334" t="n"/>
      <c r="D165" s="334" t="n"/>
      <c r="E165" s="334" t="n"/>
      <c r="F165" s="334" t="n"/>
      <c r="G165" s="334" t="n"/>
      <c r="H165" s="334" t="n"/>
      <c r="I165" s="332">
        <f>IFERROR(VLOOKUP(TEXT(H165,"0"),IPRESS!$A$3:$B$212,2,0),"")</f>
        <v/>
      </c>
      <c r="J165" s="334" t="n"/>
      <c r="K165" s="332">
        <f>IFERROR(VLOOKUP(TEXT(O165,"0"),CONDUCTORES!$A$3:$G$54,7,0),"")</f>
        <v/>
      </c>
      <c r="L165" s="334" t="n"/>
      <c r="M165" s="334" t="n"/>
      <c r="N165" s="333">
        <f>IFERROR(IF(L165*M165=0,"",L165*M165),"")</f>
        <v/>
      </c>
      <c r="O165" s="334" t="n"/>
      <c r="P165" s="332">
        <f>IFERROR(VLOOKUP(TEXT(O165,"0"),CONDUCTORES!$A$3:$G$54,2,0),"")</f>
        <v/>
      </c>
      <c r="Q165" s="332">
        <f>IFERROR(VLOOKUP(TEXT(O165,"0"),CONDUCTORES!$A$3:$H$54,6,0),"")</f>
        <v/>
      </c>
      <c r="R165" s="334" t="n"/>
      <c r="S165" s="334" t="n"/>
      <c r="T165" s="334" t="n"/>
      <c r="U165" s="334" t="n"/>
      <c r="V165" s="334" t="n"/>
      <c r="W165" s="334" t="n"/>
      <c r="X165" s="334" t="n"/>
      <c r="Y165" s="334" t="n"/>
    </row>
    <row r="166" ht="15" customHeight="1" s="195">
      <c r="A166" s="280" t="n"/>
      <c r="B166" s="280" t="n"/>
      <c r="C166" s="280" t="n"/>
      <c r="D166" s="280" t="n"/>
      <c r="E166" s="280" t="n"/>
      <c r="F166" s="280" t="n"/>
      <c r="G166" s="280" t="n"/>
      <c r="H166" s="280" t="n"/>
      <c r="I166" s="332">
        <f>IFERROR(VLOOKUP(TEXT(H166,"0"),IPRESS!$A$3:$B$212,2,0),"")</f>
        <v/>
      </c>
      <c r="J166" s="280" t="n"/>
      <c r="K166" s="332">
        <f>IFERROR(VLOOKUP(TEXT(O166,"0"),CONDUCTORES!$A$3:$G$54,7,0),"")</f>
        <v/>
      </c>
      <c r="L166" s="280" t="n"/>
      <c r="M166" s="280" t="n"/>
      <c r="N166" s="333">
        <f>IFERROR(IF(L166*M166=0,"",L166*M166),"")</f>
        <v/>
      </c>
      <c r="O166" s="280" t="n"/>
      <c r="P166" s="332">
        <f>IFERROR(VLOOKUP(TEXT(O166,"0"),CONDUCTORES!$A$3:$G$54,2,0),"")</f>
        <v/>
      </c>
      <c r="Q166" s="332">
        <f>IFERROR(VLOOKUP(TEXT(O166,"0"),CONDUCTORES!$A$3:$H$54,6,0),"")</f>
        <v/>
      </c>
      <c r="R166" s="280" t="n"/>
      <c r="S166" s="280" t="n"/>
      <c r="T166" s="280" t="n"/>
      <c r="U166" s="280" t="n"/>
      <c r="V166" s="280" t="n"/>
      <c r="W166" s="280" t="n"/>
      <c r="X166" s="280" t="n"/>
      <c r="Y166" s="280" t="n"/>
    </row>
    <row r="167" ht="15" customHeight="1" s="195">
      <c r="A167" s="334" t="n"/>
      <c r="B167" s="334" t="n"/>
      <c r="C167" s="334" t="n"/>
      <c r="D167" s="334" t="n"/>
      <c r="E167" s="334" t="n"/>
      <c r="F167" s="334" t="n"/>
      <c r="G167" s="334" t="n"/>
      <c r="H167" s="334" t="n"/>
      <c r="I167" s="332">
        <f>IFERROR(VLOOKUP(TEXT(H167,"0"),IPRESS!$A$3:$B$212,2,0),"")</f>
        <v/>
      </c>
      <c r="J167" s="334" t="n"/>
      <c r="K167" s="332">
        <f>IFERROR(VLOOKUP(TEXT(O167,"0"),CONDUCTORES!$A$3:$G$54,7,0),"")</f>
        <v/>
      </c>
      <c r="L167" s="334" t="n"/>
      <c r="M167" s="334" t="n"/>
      <c r="N167" s="333">
        <f>IFERROR(IF(L167*M167=0,"",L167*M167),"")</f>
        <v/>
      </c>
      <c r="O167" s="334" t="n"/>
      <c r="P167" s="332">
        <f>IFERROR(VLOOKUP(TEXT(O167,"0"),CONDUCTORES!$A$3:$G$54,2,0),"")</f>
        <v/>
      </c>
      <c r="Q167" s="332">
        <f>IFERROR(VLOOKUP(TEXT(O167,"0"),CONDUCTORES!$A$3:$H$54,6,0),"")</f>
        <v/>
      </c>
      <c r="R167" s="334" t="n"/>
      <c r="S167" s="334" t="n"/>
      <c r="T167" s="334" t="n"/>
      <c r="U167" s="334" t="n"/>
      <c r="V167" s="334" t="n"/>
      <c r="W167" s="334" t="n"/>
      <c r="X167" s="334" t="n"/>
      <c r="Y167" s="334" t="n"/>
    </row>
    <row r="168" ht="15" customHeight="1" s="195">
      <c r="A168" s="280" t="n"/>
      <c r="B168" s="280" t="n"/>
      <c r="C168" s="280" t="n"/>
      <c r="D168" s="280" t="n"/>
      <c r="E168" s="280" t="n"/>
      <c r="F168" s="280" t="n"/>
      <c r="G168" s="280" t="n"/>
      <c r="H168" s="280" t="n"/>
      <c r="I168" s="332">
        <f>IFERROR(VLOOKUP(TEXT(H168,"0"),IPRESS!$A$3:$B$212,2,0),"")</f>
        <v/>
      </c>
      <c r="J168" s="280" t="n"/>
      <c r="K168" s="332">
        <f>IFERROR(VLOOKUP(TEXT(O168,"0"),CONDUCTORES!$A$3:$G$54,7,0),"")</f>
        <v/>
      </c>
      <c r="L168" s="280" t="n"/>
      <c r="M168" s="280" t="n"/>
      <c r="N168" s="333">
        <f>IFERROR(IF(L168*M168=0,"",L168*M168),"")</f>
        <v/>
      </c>
      <c r="O168" s="280" t="n"/>
      <c r="P168" s="332">
        <f>IFERROR(VLOOKUP(TEXT(O168,"0"),CONDUCTORES!$A$3:$G$54,2,0),"")</f>
        <v/>
      </c>
      <c r="Q168" s="332">
        <f>IFERROR(VLOOKUP(TEXT(O168,"0"),CONDUCTORES!$A$3:$H$54,6,0),"")</f>
        <v/>
      </c>
      <c r="R168" s="280" t="n"/>
      <c r="S168" s="280" t="n"/>
      <c r="T168" s="280" t="n"/>
      <c r="U168" s="280" t="n"/>
      <c r="V168" s="280" t="n"/>
      <c r="W168" s="280" t="n"/>
      <c r="X168" s="280" t="n"/>
      <c r="Y168" s="280" t="n"/>
    </row>
    <row r="169" ht="15" customHeight="1" s="195">
      <c r="A169" s="334" t="n"/>
      <c r="B169" s="334" t="n"/>
      <c r="C169" s="334" t="n"/>
      <c r="D169" s="334" t="n"/>
      <c r="E169" s="334" t="n"/>
      <c r="F169" s="334" t="n"/>
      <c r="G169" s="334" t="n"/>
      <c r="H169" s="334" t="n"/>
      <c r="I169" s="332">
        <f>IFERROR(VLOOKUP(TEXT(H169,"0"),IPRESS!$A$3:$B$212,2,0),"")</f>
        <v/>
      </c>
      <c r="J169" s="334" t="n"/>
      <c r="K169" s="332">
        <f>IFERROR(VLOOKUP(TEXT(O169,"0"),CONDUCTORES!$A$3:$G$54,7,0),"")</f>
        <v/>
      </c>
      <c r="L169" s="334" t="n"/>
      <c r="M169" s="334" t="n"/>
      <c r="N169" s="333">
        <f>IFERROR(IF(L169*M169=0,"",L169*M169),"")</f>
        <v/>
      </c>
      <c r="O169" s="334" t="n"/>
      <c r="P169" s="332">
        <f>IFERROR(VLOOKUP(TEXT(O169,"0"),CONDUCTORES!$A$3:$G$54,2,0),"")</f>
        <v/>
      </c>
      <c r="Q169" s="332">
        <f>IFERROR(VLOOKUP(TEXT(O169,"0"),CONDUCTORES!$A$3:$H$54,6,0),"")</f>
        <v/>
      </c>
      <c r="R169" s="334" t="n"/>
      <c r="S169" s="334" t="n"/>
      <c r="T169" s="334" t="n"/>
      <c r="U169" s="334" t="n"/>
      <c r="V169" s="334" t="n"/>
      <c r="W169" s="334" t="n"/>
      <c r="X169" s="334" t="n"/>
      <c r="Y169" s="334" t="n"/>
    </row>
    <row r="170" ht="15" customHeight="1" s="195">
      <c r="A170" s="280" t="n"/>
      <c r="B170" s="280" t="n"/>
      <c r="C170" s="280" t="n"/>
      <c r="D170" s="280" t="n"/>
      <c r="E170" s="280" t="n"/>
      <c r="F170" s="280" t="n"/>
      <c r="G170" s="280" t="n"/>
      <c r="H170" s="280" t="n"/>
      <c r="I170" s="332">
        <f>IFERROR(VLOOKUP(TEXT(H170,"0"),IPRESS!$A$3:$B$212,2,0),"")</f>
        <v/>
      </c>
      <c r="J170" s="280" t="n"/>
      <c r="K170" s="332">
        <f>IFERROR(VLOOKUP(TEXT(O170,"0"),CONDUCTORES!$A$3:$G$54,7,0),"")</f>
        <v/>
      </c>
      <c r="L170" s="280" t="n"/>
      <c r="M170" s="280" t="n"/>
      <c r="N170" s="333">
        <f>IFERROR(IF(L170*M170=0,"",L170*M170),"")</f>
        <v/>
      </c>
      <c r="O170" s="280" t="n"/>
      <c r="P170" s="332">
        <f>IFERROR(VLOOKUP(TEXT(O170,"0"),CONDUCTORES!$A$3:$G$54,2,0),"")</f>
        <v/>
      </c>
      <c r="Q170" s="332">
        <f>IFERROR(VLOOKUP(TEXT(O170,"0"),CONDUCTORES!$A$3:$H$54,6,0),"")</f>
        <v/>
      </c>
      <c r="R170" s="280" t="n"/>
      <c r="S170" s="280" t="n"/>
      <c r="T170" s="280" t="n"/>
      <c r="U170" s="280" t="n"/>
      <c r="V170" s="280" t="n"/>
      <c r="W170" s="280" t="n"/>
      <c r="X170" s="280" t="n"/>
      <c r="Y170" s="280" t="n"/>
    </row>
    <row r="171" ht="15" customHeight="1" s="195">
      <c r="A171" s="334" t="n"/>
      <c r="B171" s="334" t="n"/>
      <c r="C171" s="334" t="n"/>
      <c r="D171" s="334" t="n"/>
      <c r="E171" s="334" t="n"/>
      <c r="F171" s="334" t="n"/>
      <c r="G171" s="334" t="n"/>
      <c r="H171" s="334" t="n"/>
      <c r="I171" s="332">
        <f>IFERROR(VLOOKUP(TEXT(H171,"0"),IPRESS!$A$3:$B$212,2,0),"")</f>
        <v/>
      </c>
      <c r="J171" s="334" t="n"/>
      <c r="K171" s="332">
        <f>IFERROR(VLOOKUP(TEXT(O171,"0"),CONDUCTORES!$A$3:$G$54,7,0),"")</f>
        <v/>
      </c>
      <c r="L171" s="334" t="n"/>
      <c r="M171" s="334" t="n"/>
      <c r="N171" s="333">
        <f>IFERROR(IF(L171*M171=0,"",L171*M171),"")</f>
        <v/>
      </c>
      <c r="O171" s="334" t="n"/>
      <c r="P171" s="332">
        <f>IFERROR(VLOOKUP(TEXT(O171,"0"),CONDUCTORES!$A$3:$G$54,2,0),"")</f>
        <v/>
      </c>
      <c r="Q171" s="332">
        <f>IFERROR(VLOOKUP(TEXT(O171,"0"),CONDUCTORES!$A$3:$H$54,6,0),"")</f>
        <v/>
      </c>
      <c r="R171" s="334" t="n"/>
      <c r="S171" s="334" t="n"/>
      <c r="T171" s="334" t="n"/>
      <c r="U171" s="334" t="n"/>
      <c r="V171" s="334" t="n"/>
      <c r="W171" s="334" t="n"/>
      <c r="X171" s="334" t="n"/>
      <c r="Y171" s="334" t="n"/>
    </row>
    <row r="172" ht="15" customHeight="1" s="195">
      <c r="A172" s="280" t="n"/>
      <c r="B172" s="280" t="n"/>
      <c r="C172" s="280" t="n"/>
      <c r="D172" s="280" t="n"/>
      <c r="E172" s="280" t="n"/>
      <c r="F172" s="280" t="n"/>
      <c r="G172" s="280" t="n"/>
      <c r="H172" s="280" t="n"/>
      <c r="I172" s="332">
        <f>IFERROR(VLOOKUP(TEXT(H172,"0"),IPRESS!$A$3:$B$212,2,0),"")</f>
        <v/>
      </c>
      <c r="J172" s="280" t="n"/>
      <c r="K172" s="332">
        <f>IFERROR(VLOOKUP(TEXT(O172,"0"),CONDUCTORES!$A$3:$G$54,7,0),"")</f>
        <v/>
      </c>
      <c r="L172" s="280" t="n"/>
      <c r="M172" s="280" t="n"/>
      <c r="N172" s="333">
        <f>IFERROR(IF(L172*M172=0,"",L172*M172),"")</f>
        <v/>
      </c>
      <c r="O172" s="280" t="n"/>
      <c r="P172" s="332">
        <f>IFERROR(VLOOKUP(TEXT(O172,"0"),CONDUCTORES!$A$3:$G$54,2,0),"")</f>
        <v/>
      </c>
      <c r="Q172" s="332">
        <f>IFERROR(VLOOKUP(TEXT(O172,"0"),CONDUCTORES!$A$3:$H$54,6,0),"")</f>
        <v/>
      </c>
      <c r="R172" s="280" t="n"/>
      <c r="S172" s="280" t="n"/>
      <c r="T172" s="280" t="n"/>
      <c r="U172" s="280" t="n"/>
      <c r="V172" s="280" t="n"/>
      <c r="W172" s="280" t="n"/>
      <c r="X172" s="280" t="n"/>
      <c r="Y172" s="280" t="n"/>
    </row>
    <row r="173" ht="15" customHeight="1" s="195">
      <c r="A173" s="334" t="n"/>
      <c r="B173" s="334" t="n"/>
      <c r="C173" s="334" t="n"/>
      <c r="D173" s="334" t="n"/>
      <c r="E173" s="334" t="n"/>
      <c r="F173" s="334" t="n"/>
      <c r="G173" s="334" t="n"/>
      <c r="H173" s="334" t="n"/>
      <c r="I173" s="332">
        <f>IFERROR(VLOOKUP(TEXT(H173,"0"),IPRESS!$A$3:$B$212,2,0),"")</f>
        <v/>
      </c>
      <c r="J173" s="334" t="n"/>
      <c r="K173" s="332">
        <f>IFERROR(VLOOKUP(TEXT(O173,"0"),CONDUCTORES!$A$3:$G$54,7,0),"")</f>
        <v/>
      </c>
      <c r="L173" s="334" t="n"/>
      <c r="M173" s="334" t="n"/>
      <c r="N173" s="333">
        <f>IFERROR(IF(L173*M173=0,"",L173*M173),"")</f>
        <v/>
      </c>
      <c r="O173" s="334" t="n"/>
      <c r="P173" s="332">
        <f>IFERROR(VLOOKUP(TEXT(O173,"0"),CONDUCTORES!$A$3:$G$54,2,0),"")</f>
        <v/>
      </c>
      <c r="Q173" s="332">
        <f>IFERROR(VLOOKUP(TEXT(O173,"0"),CONDUCTORES!$A$3:$H$54,6,0),"")</f>
        <v/>
      </c>
      <c r="R173" s="334" t="n"/>
      <c r="S173" s="334" t="n"/>
      <c r="T173" s="334" t="n"/>
      <c r="U173" s="334" t="n"/>
      <c r="V173" s="334" t="n"/>
      <c r="W173" s="334" t="n"/>
      <c r="X173" s="334" t="n"/>
      <c r="Y173" s="334" t="n"/>
    </row>
    <row r="174" ht="15" customHeight="1" s="195">
      <c r="A174" s="280" t="n"/>
      <c r="B174" s="280" t="n"/>
      <c r="C174" s="280" t="n"/>
      <c r="D174" s="280" t="n"/>
      <c r="E174" s="280" t="n"/>
      <c r="F174" s="280" t="n"/>
      <c r="G174" s="280" t="n"/>
      <c r="H174" s="280" t="n"/>
      <c r="I174" s="332">
        <f>IFERROR(VLOOKUP(TEXT(H174,"0"),IPRESS!$A$3:$B$212,2,0),"")</f>
        <v/>
      </c>
      <c r="J174" s="280" t="n"/>
      <c r="K174" s="332">
        <f>IFERROR(VLOOKUP(TEXT(O174,"0"),CONDUCTORES!$A$3:$G$54,7,0),"")</f>
        <v/>
      </c>
      <c r="L174" s="280" t="n"/>
      <c r="M174" s="280" t="n"/>
      <c r="N174" s="333">
        <f>IFERROR(IF(L174*M174=0,"",L174*M174),"")</f>
        <v/>
      </c>
      <c r="O174" s="280" t="n"/>
      <c r="P174" s="332">
        <f>IFERROR(VLOOKUP(TEXT(O174,"0"),CONDUCTORES!$A$3:$G$54,2,0),"")</f>
        <v/>
      </c>
      <c r="Q174" s="332">
        <f>IFERROR(VLOOKUP(TEXT(O174,"0"),CONDUCTORES!$A$3:$H$54,6,0),"")</f>
        <v/>
      </c>
      <c r="R174" s="280" t="n"/>
      <c r="S174" s="280" t="n"/>
      <c r="T174" s="280" t="n"/>
      <c r="U174" s="280" t="n"/>
      <c r="V174" s="280" t="n"/>
      <c r="W174" s="280" t="n"/>
      <c r="X174" s="280" t="n"/>
      <c r="Y174" s="280" t="n"/>
    </row>
    <row r="175" ht="15" customHeight="1" s="195">
      <c r="A175" s="334" t="n"/>
      <c r="B175" s="334" t="n"/>
      <c r="C175" s="334" t="n"/>
      <c r="D175" s="334" t="n"/>
      <c r="E175" s="334" t="n"/>
      <c r="F175" s="334" t="n"/>
      <c r="G175" s="334" t="n"/>
      <c r="H175" s="334" t="n"/>
      <c r="I175" s="332">
        <f>IFERROR(VLOOKUP(TEXT(H175,"0"),IPRESS!$A$3:$B$212,2,0),"")</f>
        <v/>
      </c>
      <c r="J175" s="334" t="n"/>
      <c r="K175" s="332">
        <f>IFERROR(VLOOKUP(TEXT(O175,"0"),CONDUCTORES!$A$3:$G$54,7,0),"")</f>
        <v/>
      </c>
      <c r="L175" s="334" t="n"/>
      <c r="M175" s="334" t="n"/>
      <c r="N175" s="333">
        <f>IFERROR(IF(L175*M175=0,"",L175*M175),"")</f>
        <v/>
      </c>
      <c r="O175" s="334" t="n"/>
      <c r="P175" s="332">
        <f>IFERROR(VLOOKUP(TEXT(O175,"0"),CONDUCTORES!$A$3:$G$54,2,0),"")</f>
        <v/>
      </c>
      <c r="Q175" s="332">
        <f>IFERROR(VLOOKUP(TEXT(O175,"0"),CONDUCTORES!$A$3:$H$54,6,0),"")</f>
        <v/>
      </c>
      <c r="R175" s="334" t="n"/>
      <c r="S175" s="334" t="n"/>
      <c r="T175" s="334" t="n"/>
      <c r="U175" s="334" t="n"/>
      <c r="V175" s="334" t="n"/>
      <c r="W175" s="334" t="n"/>
      <c r="X175" s="334" t="n"/>
      <c r="Y175" s="334" t="n"/>
    </row>
    <row r="176" ht="15" customHeight="1" s="195">
      <c r="A176" s="280" t="n"/>
      <c r="B176" s="280" t="n"/>
      <c r="C176" s="280" t="n"/>
      <c r="D176" s="280" t="n"/>
      <c r="E176" s="280" t="n"/>
      <c r="F176" s="280" t="n"/>
      <c r="G176" s="280" t="n"/>
      <c r="H176" s="280" t="n"/>
      <c r="I176" s="332">
        <f>IFERROR(VLOOKUP(TEXT(H176,"0"),IPRESS!$A$3:$B$212,2,0),"")</f>
        <v/>
      </c>
      <c r="J176" s="280" t="n"/>
      <c r="K176" s="332">
        <f>IFERROR(VLOOKUP(TEXT(O176,"0"),CONDUCTORES!$A$3:$G$54,7,0),"")</f>
        <v/>
      </c>
      <c r="L176" s="280" t="n"/>
      <c r="M176" s="280" t="n"/>
      <c r="N176" s="333">
        <f>IFERROR(IF(L176*M176=0,"",L176*M176),"")</f>
        <v/>
      </c>
      <c r="O176" s="280" t="n"/>
      <c r="P176" s="332">
        <f>IFERROR(VLOOKUP(TEXT(O176,"0"),CONDUCTORES!$A$3:$G$54,2,0),"")</f>
        <v/>
      </c>
      <c r="Q176" s="332">
        <f>IFERROR(VLOOKUP(TEXT(O176,"0"),CONDUCTORES!$A$3:$H$54,6,0),"")</f>
        <v/>
      </c>
      <c r="R176" s="280" t="n"/>
      <c r="S176" s="280" t="n"/>
      <c r="T176" s="280" t="n"/>
      <c r="U176" s="280" t="n"/>
      <c r="V176" s="280" t="n"/>
      <c r="W176" s="280" t="n"/>
      <c r="X176" s="280" t="n"/>
      <c r="Y176" s="280" t="n"/>
    </row>
    <row r="177" ht="15" customHeight="1" s="195">
      <c r="A177" s="334" t="n"/>
      <c r="B177" s="334" t="n"/>
      <c r="C177" s="334" t="n"/>
      <c r="D177" s="334" t="n"/>
      <c r="E177" s="334" t="n"/>
      <c r="F177" s="334" t="n"/>
      <c r="G177" s="334" t="n"/>
      <c r="H177" s="334" t="n"/>
      <c r="I177" s="332">
        <f>IFERROR(VLOOKUP(TEXT(H177,"0"),IPRESS!$A$3:$B$212,2,0),"")</f>
        <v/>
      </c>
      <c r="J177" s="334" t="n"/>
      <c r="K177" s="332">
        <f>IFERROR(VLOOKUP(TEXT(O177,"0"),CONDUCTORES!$A$3:$G$54,7,0),"")</f>
        <v/>
      </c>
      <c r="L177" s="334" t="n"/>
      <c r="M177" s="334" t="n"/>
      <c r="N177" s="333">
        <f>IFERROR(IF(L177*M177=0,"",L177*M177),"")</f>
        <v/>
      </c>
      <c r="O177" s="334" t="n"/>
      <c r="P177" s="332">
        <f>IFERROR(VLOOKUP(TEXT(O177,"0"),CONDUCTORES!$A$3:$G$54,2,0),"")</f>
        <v/>
      </c>
      <c r="Q177" s="332">
        <f>IFERROR(VLOOKUP(TEXT(O177,"0"),CONDUCTORES!$A$3:$H$54,6,0),"")</f>
        <v/>
      </c>
      <c r="R177" s="334" t="n"/>
      <c r="S177" s="334" t="n"/>
      <c r="T177" s="334" t="n"/>
      <c r="U177" s="334" t="n"/>
      <c r="V177" s="334" t="n"/>
      <c r="W177" s="334" t="n"/>
      <c r="X177" s="334" t="n"/>
      <c r="Y177" s="334" t="n"/>
    </row>
    <row r="178" ht="15" customHeight="1" s="195">
      <c r="A178" s="280" t="n"/>
      <c r="B178" s="280" t="n"/>
      <c r="C178" s="280" t="n"/>
      <c r="D178" s="280" t="n"/>
      <c r="E178" s="280" t="n"/>
      <c r="F178" s="280" t="n"/>
      <c r="G178" s="280" t="n"/>
      <c r="H178" s="280" t="n"/>
      <c r="I178" s="332">
        <f>IFERROR(VLOOKUP(TEXT(H178,"0"),IPRESS!$A$3:$B$212,2,0),"")</f>
        <v/>
      </c>
      <c r="J178" s="280" t="n"/>
      <c r="K178" s="332">
        <f>IFERROR(VLOOKUP(TEXT(O178,"0"),CONDUCTORES!$A$3:$G$54,7,0),"")</f>
        <v/>
      </c>
      <c r="L178" s="280" t="n"/>
      <c r="M178" s="280" t="n"/>
      <c r="N178" s="333">
        <f>IFERROR(IF(L178*M178=0,"",L178*M178),"")</f>
        <v/>
      </c>
      <c r="O178" s="280" t="n"/>
      <c r="P178" s="332">
        <f>IFERROR(VLOOKUP(TEXT(O178,"0"),CONDUCTORES!$A$3:$G$54,2,0),"")</f>
        <v/>
      </c>
      <c r="Q178" s="332">
        <f>IFERROR(VLOOKUP(TEXT(O178,"0"),CONDUCTORES!$A$3:$H$54,6,0),"")</f>
        <v/>
      </c>
      <c r="R178" s="280" t="n"/>
      <c r="S178" s="280" t="n"/>
      <c r="T178" s="280" t="n"/>
      <c r="U178" s="280" t="n"/>
      <c r="V178" s="280" t="n"/>
      <c r="W178" s="280" t="n"/>
      <c r="X178" s="280" t="n"/>
      <c r="Y178" s="280" t="n"/>
    </row>
    <row r="179" ht="15" customHeight="1" s="195">
      <c r="A179" s="334" t="n"/>
      <c r="B179" s="334" t="n"/>
      <c r="C179" s="334" t="n"/>
      <c r="D179" s="334" t="n"/>
      <c r="E179" s="334" t="n"/>
      <c r="F179" s="334" t="n"/>
      <c r="G179" s="334" t="n"/>
      <c r="H179" s="334" t="n"/>
      <c r="I179" s="332">
        <f>IFERROR(VLOOKUP(TEXT(H179,"0"),IPRESS!$A$3:$B$212,2,0),"")</f>
        <v/>
      </c>
      <c r="J179" s="334" t="n"/>
      <c r="K179" s="332">
        <f>IFERROR(VLOOKUP(TEXT(O179,"0"),CONDUCTORES!$A$3:$G$54,7,0),"")</f>
        <v/>
      </c>
      <c r="L179" s="334" t="n"/>
      <c r="M179" s="334" t="n"/>
      <c r="N179" s="333">
        <f>IFERROR(IF(L179*M179=0,"",L179*M179),"")</f>
        <v/>
      </c>
      <c r="O179" s="334" t="n"/>
      <c r="P179" s="332">
        <f>IFERROR(VLOOKUP(TEXT(O179,"0"),CONDUCTORES!$A$3:$G$54,2,0),"")</f>
        <v/>
      </c>
      <c r="Q179" s="332">
        <f>IFERROR(VLOOKUP(TEXT(O179,"0"),CONDUCTORES!$A$3:$H$54,6,0),"")</f>
        <v/>
      </c>
      <c r="R179" s="334" t="n"/>
      <c r="S179" s="334" t="n"/>
      <c r="T179" s="334" t="n"/>
      <c r="U179" s="334" t="n"/>
      <c r="V179" s="334" t="n"/>
      <c r="W179" s="334" t="n"/>
      <c r="X179" s="334" t="n"/>
      <c r="Y179" s="334" t="n"/>
    </row>
    <row r="180" ht="15" customHeight="1" s="195">
      <c r="A180" s="280" t="n"/>
      <c r="B180" s="280" t="n"/>
      <c r="C180" s="280" t="n"/>
      <c r="D180" s="280" t="n"/>
      <c r="E180" s="280" t="n"/>
      <c r="F180" s="280" t="n"/>
      <c r="G180" s="280" t="n"/>
      <c r="H180" s="280" t="n"/>
      <c r="I180" s="332">
        <f>IFERROR(VLOOKUP(TEXT(H180,"0"),IPRESS!$A$3:$B$212,2,0),"")</f>
        <v/>
      </c>
      <c r="J180" s="280" t="n"/>
      <c r="K180" s="332">
        <f>IFERROR(VLOOKUP(TEXT(O180,"0"),CONDUCTORES!$A$3:$G$54,7,0),"")</f>
        <v/>
      </c>
      <c r="L180" s="280" t="n"/>
      <c r="M180" s="280" t="n"/>
      <c r="N180" s="333">
        <f>IFERROR(IF(L180*M180=0,"",L180*M180),"")</f>
        <v/>
      </c>
      <c r="O180" s="280" t="n"/>
      <c r="P180" s="332">
        <f>IFERROR(VLOOKUP(TEXT(O180,"0"),CONDUCTORES!$A$3:$G$54,2,0),"")</f>
        <v/>
      </c>
      <c r="Q180" s="332">
        <f>IFERROR(VLOOKUP(TEXT(O180,"0"),CONDUCTORES!$A$3:$H$54,6,0),"")</f>
        <v/>
      </c>
      <c r="R180" s="280" t="n"/>
      <c r="S180" s="280" t="n"/>
      <c r="T180" s="280" t="n"/>
      <c r="U180" s="280" t="n"/>
      <c r="V180" s="280" t="n"/>
      <c r="W180" s="280" t="n"/>
      <c r="X180" s="280" t="n"/>
      <c r="Y180" s="280" t="n"/>
    </row>
    <row r="181" ht="15" customHeight="1" s="195">
      <c r="A181" s="334" t="n"/>
      <c r="B181" s="334" t="n"/>
      <c r="C181" s="334" t="n"/>
      <c r="D181" s="334" t="n"/>
      <c r="E181" s="334" t="n"/>
      <c r="F181" s="334" t="n"/>
      <c r="G181" s="334" t="n"/>
      <c r="H181" s="334" t="n"/>
      <c r="I181" s="332">
        <f>IFERROR(VLOOKUP(TEXT(H181,"0"),IPRESS!$A$3:$B$212,2,0),"")</f>
        <v/>
      </c>
      <c r="J181" s="334" t="n"/>
      <c r="K181" s="332">
        <f>IFERROR(VLOOKUP(TEXT(O181,"0"),CONDUCTORES!$A$3:$G$54,7,0),"")</f>
        <v/>
      </c>
      <c r="L181" s="334" t="n"/>
      <c r="M181" s="334" t="n"/>
      <c r="N181" s="333">
        <f>IFERROR(IF(L181*M181=0,"",L181*M181),"")</f>
        <v/>
      </c>
      <c r="O181" s="334" t="n"/>
      <c r="P181" s="332">
        <f>IFERROR(VLOOKUP(TEXT(O181,"0"),CONDUCTORES!$A$3:$G$54,2,0),"")</f>
        <v/>
      </c>
      <c r="Q181" s="332">
        <f>IFERROR(VLOOKUP(TEXT(O181,"0"),CONDUCTORES!$A$3:$H$54,6,0),"")</f>
        <v/>
      </c>
      <c r="R181" s="334" t="n"/>
      <c r="S181" s="334" t="n"/>
      <c r="T181" s="334" t="n"/>
      <c r="U181" s="334" t="n"/>
      <c r="V181" s="334" t="n"/>
      <c r="W181" s="334" t="n"/>
      <c r="X181" s="334" t="n"/>
      <c r="Y181" s="334" t="n"/>
    </row>
    <row r="182" ht="15" customHeight="1" s="195">
      <c r="A182" s="280" t="n"/>
      <c r="B182" s="280" t="n"/>
      <c r="C182" s="280" t="n"/>
      <c r="D182" s="280" t="n"/>
      <c r="E182" s="280" t="n"/>
      <c r="F182" s="280" t="n"/>
      <c r="G182" s="280" t="n"/>
      <c r="H182" s="280" t="n"/>
      <c r="I182" s="332">
        <f>IFERROR(VLOOKUP(TEXT(H182,"0"),IPRESS!$A$3:$B$212,2,0),"")</f>
        <v/>
      </c>
      <c r="J182" s="280" t="n"/>
      <c r="K182" s="332">
        <f>IFERROR(VLOOKUP(TEXT(O182,"0"),CONDUCTORES!$A$3:$G$54,7,0),"")</f>
        <v/>
      </c>
      <c r="L182" s="280" t="n"/>
      <c r="M182" s="280" t="n"/>
      <c r="N182" s="333">
        <f>IFERROR(IF(L182*M182=0,"",L182*M182),"")</f>
        <v/>
      </c>
      <c r="O182" s="280" t="n"/>
      <c r="P182" s="332">
        <f>IFERROR(VLOOKUP(TEXT(O182,"0"),CONDUCTORES!$A$3:$G$54,2,0),"")</f>
        <v/>
      </c>
      <c r="Q182" s="332">
        <f>IFERROR(VLOOKUP(TEXT(O182,"0"),CONDUCTORES!$A$3:$H$54,6,0),"")</f>
        <v/>
      </c>
      <c r="R182" s="280" t="n"/>
      <c r="S182" s="280" t="n"/>
      <c r="T182" s="280" t="n"/>
      <c r="U182" s="280" t="n"/>
      <c r="V182" s="280" t="n"/>
      <c r="W182" s="280" t="n"/>
      <c r="X182" s="280" t="n"/>
      <c r="Y182" s="280" t="n"/>
    </row>
    <row r="183" ht="15" customHeight="1" s="195">
      <c r="A183" s="334" t="n"/>
      <c r="B183" s="334" t="n"/>
      <c r="C183" s="334" t="n"/>
      <c r="D183" s="334" t="n"/>
      <c r="E183" s="334" t="n"/>
      <c r="F183" s="334" t="n"/>
      <c r="G183" s="334" t="n"/>
      <c r="H183" s="334" t="n"/>
      <c r="I183" s="332">
        <f>IFERROR(VLOOKUP(TEXT(H183,"0"),IPRESS!$A$3:$B$212,2,0),"")</f>
        <v/>
      </c>
      <c r="J183" s="334" t="n"/>
      <c r="K183" s="332">
        <f>IFERROR(VLOOKUP(TEXT(O183,"0"),CONDUCTORES!$A$3:$G$54,7,0),"")</f>
        <v/>
      </c>
      <c r="L183" s="334" t="n"/>
      <c r="M183" s="334" t="n"/>
      <c r="N183" s="333">
        <f>IFERROR(IF(L183*M183=0,"",L183*M183),"")</f>
        <v/>
      </c>
      <c r="O183" s="334" t="n"/>
      <c r="P183" s="332">
        <f>IFERROR(VLOOKUP(TEXT(O183,"0"),CONDUCTORES!$A$3:$G$54,2,0),"")</f>
        <v/>
      </c>
      <c r="Q183" s="332">
        <f>IFERROR(VLOOKUP(TEXT(O183,"0"),CONDUCTORES!$A$3:$H$54,6,0),"")</f>
        <v/>
      </c>
      <c r="R183" s="334" t="n"/>
      <c r="S183" s="334" t="n"/>
      <c r="T183" s="334" t="n"/>
      <c r="U183" s="334" t="n"/>
      <c r="V183" s="334" t="n"/>
      <c r="W183" s="334" t="n"/>
      <c r="X183" s="334" t="n"/>
      <c r="Y183" s="334" t="n"/>
    </row>
    <row r="184" ht="15" customHeight="1" s="195">
      <c r="A184" s="280" t="n"/>
      <c r="B184" s="280" t="n"/>
      <c r="C184" s="280" t="n"/>
      <c r="D184" s="280" t="n"/>
      <c r="E184" s="280" t="n"/>
      <c r="F184" s="280" t="n"/>
      <c r="G184" s="280" t="n"/>
      <c r="H184" s="280" t="n"/>
      <c r="I184" s="332">
        <f>IFERROR(VLOOKUP(TEXT(H184,"0"),IPRESS!$A$3:$B$212,2,0),"")</f>
        <v/>
      </c>
      <c r="J184" s="280" t="n"/>
      <c r="K184" s="332">
        <f>IFERROR(VLOOKUP(TEXT(O184,"0"),CONDUCTORES!$A$3:$G$54,7,0),"")</f>
        <v/>
      </c>
      <c r="L184" s="280" t="n"/>
      <c r="M184" s="280" t="n"/>
      <c r="N184" s="333">
        <f>IFERROR(IF(L184*M184=0,"",L184*M184),"")</f>
        <v/>
      </c>
      <c r="O184" s="280" t="n"/>
      <c r="P184" s="332">
        <f>IFERROR(VLOOKUP(TEXT(O184,"0"),CONDUCTORES!$A$3:$G$54,2,0),"")</f>
        <v/>
      </c>
      <c r="Q184" s="332">
        <f>IFERROR(VLOOKUP(TEXT(O184,"0"),CONDUCTORES!$A$3:$H$54,6,0),"")</f>
        <v/>
      </c>
      <c r="R184" s="280" t="n"/>
      <c r="S184" s="280" t="n"/>
      <c r="T184" s="280" t="n"/>
      <c r="U184" s="280" t="n"/>
      <c r="V184" s="280" t="n"/>
      <c r="W184" s="280" t="n"/>
      <c r="X184" s="280" t="n"/>
      <c r="Y184" s="280" t="n"/>
    </row>
    <row r="185" ht="15" customHeight="1" s="195">
      <c r="A185" s="334" t="n"/>
      <c r="B185" s="334" t="n"/>
      <c r="C185" s="334" t="n"/>
      <c r="D185" s="334" t="n"/>
      <c r="E185" s="334" t="n"/>
      <c r="F185" s="334" t="n"/>
      <c r="G185" s="334" t="n"/>
      <c r="H185" s="334" t="n"/>
      <c r="I185" s="332">
        <f>IFERROR(VLOOKUP(TEXT(H185,"0"),IPRESS!$A$3:$B$212,2,0),"")</f>
        <v/>
      </c>
      <c r="J185" s="334" t="n"/>
      <c r="K185" s="332">
        <f>IFERROR(VLOOKUP(TEXT(O185,"0"),CONDUCTORES!$A$3:$G$54,7,0),"")</f>
        <v/>
      </c>
      <c r="L185" s="334" t="n"/>
      <c r="M185" s="334" t="n"/>
      <c r="N185" s="333">
        <f>IFERROR(IF(L185*M185=0,"",L185*M185),"")</f>
        <v/>
      </c>
      <c r="O185" s="334" t="n"/>
      <c r="P185" s="332">
        <f>IFERROR(VLOOKUP(TEXT(O185,"0"),CONDUCTORES!$A$3:$G$54,2,0),"")</f>
        <v/>
      </c>
      <c r="Q185" s="332">
        <f>IFERROR(VLOOKUP(TEXT(O185,"0"),CONDUCTORES!$A$3:$H$54,6,0),"")</f>
        <v/>
      </c>
      <c r="R185" s="334" t="n"/>
      <c r="S185" s="334" t="n"/>
      <c r="T185" s="334" t="n"/>
      <c r="U185" s="334" t="n"/>
      <c r="V185" s="334" t="n"/>
      <c r="W185" s="334" t="n"/>
      <c r="X185" s="334" t="n"/>
      <c r="Y185" s="334" t="n"/>
    </row>
    <row r="186" ht="15" customHeight="1" s="195">
      <c r="A186" s="280" t="n"/>
      <c r="B186" s="280" t="n"/>
      <c r="C186" s="280" t="n"/>
      <c r="D186" s="280" t="n"/>
      <c r="E186" s="280" t="n"/>
      <c r="F186" s="280" t="n"/>
      <c r="G186" s="280" t="n"/>
      <c r="H186" s="280" t="n"/>
      <c r="I186" s="332">
        <f>IFERROR(VLOOKUP(TEXT(H186,"0"),IPRESS!$A$3:$B$212,2,0),"")</f>
        <v/>
      </c>
      <c r="J186" s="280" t="n"/>
      <c r="K186" s="332">
        <f>IFERROR(VLOOKUP(TEXT(O186,"0"),CONDUCTORES!$A$3:$G$54,7,0),"")</f>
        <v/>
      </c>
      <c r="L186" s="280" t="n"/>
      <c r="M186" s="280" t="n"/>
      <c r="N186" s="333">
        <f>IFERROR(IF(L186*M186=0,"",L186*M186),"")</f>
        <v/>
      </c>
      <c r="O186" s="280" t="n"/>
      <c r="P186" s="332">
        <f>IFERROR(VLOOKUP(TEXT(O186,"0"),CONDUCTORES!$A$3:$G$54,2,0),"")</f>
        <v/>
      </c>
      <c r="Q186" s="332">
        <f>IFERROR(VLOOKUP(TEXT(O186,"0"),CONDUCTORES!$A$3:$H$54,6,0),"")</f>
        <v/>
      </c>
      <c r="R186" s="280" t="n"/>
      <c r="S186" s="280" t="n"/>
      <c r="T186" s="280" t="n"/>
      <c r="U186" s="280" t="n"/>
      <c r="V186" s="280" t="n"/>
      <c r="W186" s="280" t="n"/>
      <c r="X186" s="280" t="n"/>
      <c r="Y186" s="280" t="n"/>
    </row>
    <row r="187" ht="15" customHeight="1" s="195">
      <c r="A187" s="334" t="n"/>
      <c r="B187" s="334" t="n"/>
      <c r="C187" s="334" t="n"/>
      <c r="D187" s="334" t="n"/>
      <c r="E187" s="334" t="n"/>
      <c r="F187" s="334" t="n"/>
      <c r="G187" s="334" t="n"/>
      <c r="H187" s="334" t="n"/>
      <c r="I187" s="332">
        <f>IFERROR(VLOOKUP(TEXT(H187,"0"),IPRESS!$A$3:$B$212,2,0),"")</f>
        <v/>
      </c>
      <c r="J187" s="334" t="n"/>
      <c r="K187" s="332">
        <f>IFERROR(VLOOKUP(TEXT(O187,"0"),CONDUCTORES!$A$3:$G$54,7,0),"")</f>
        <v/>
      </c>
      <c r="L187" s="334" t="n"/>
      <c r="M187" s="334" t="n"/>
      <c r="N187" s="333">
        <f>IFERROR(IF(L187*M187=0,"",L187*M187),"")</f>
        <v/>
      </c>
      <c r="O187" s="334" t="n"/>
      <c r="P187" s="332">
        <f>IFERROR(VLOOKUP(TEXT(O187,"0"),CONDUCTORES!$A$3:$G$54,2,0),"")</f>
        <v/>
      </c>
      <c r="Q187" s="332">
        <f>IFERROR(VLOOKUP(TEXT(O187,"0"),CONDUCTORES!$A$3:$H$54,6,0),"")</f>
        <v/>
      </c>
      <c r="R187" s="334" t="n"/>
      <c r="S187" s="334" t="n"/>
      <c r="T187" s="334" t="n"/>
      <c r="U187" s="334" t="n"/>
      <c r="V187" s="334" t="n"/>
      <c r="W187" s="334" t="n"/>
      <c r="X187" s="334" t="n"/>
      <c r="Y187" s="334" t="n"/>
    </row>
    <row r="188" ht="15" customHeight="1" s="195">
      <c r="A188" s="280" t="n"/>
      <c r="B188" s="280" t="n"/>
      <c r="C188" s="280" t="n"/>
      <c r="D188" s="280" t="n"/>
      <c r="E188" s="280" t="n"/>
      <c r="F188" s="280" t="n"/>
      <c r="G188" s="280" t="n"/>
      <c r="H188" s="280" t="n"/>
      <c r="I188" s="332">
        <f>IFERROR(VLOOKUP(TEXT(H188,"0"),IPRESS!$A$3:$B$212,2,0),"")</f>
        <v/>
      </c>
      <c r="J188" s="280" t="n"/>
      <c r="K188" s="332">
        <f>IFERROR(VLOOKUP(TEXT(O188,"0"),CONDUCTORES!$A$3:$G$54,7,0),"")</f>
        <v/>
      </c>
      <c r="L188" s="280" t="n"/>
      <c r="M188" s="280" t="n"/>
      <c r="N188" s="333">
        <f>IFERROR(IF(L188*M188=0,"",L188*M188),"")</f>
        <v/>
      </c>
      <c r="O188" s="280" t="n"/>
      <c r="P188" s="332">
        <f>IFERROR(VLOOKUP(TEXT(O188,"0"),CONDUCTORES!$A$3:$G$54,2,0),"")</f>
        <v/>
      </c>
      <c r="Q188" s="332">
        <f>IFERROR(VLOOKUP(TEXT(O188,"0"),CONDUCTORES!$A$3:$H$54,6,0),"")</f>
        <v/>
      </c>
      <c r="R188" s="280" t="n"/>
      <c r="S188" s="280" t="n"/>
      <c r="T188" s="280" t="n"/>
      <c r="U188" s="280" t="n"/>
      <c r="V188" s="280" t="n"/>
      <c r="W188" s="280" t="n"/>
      <c r="X188" s="280" t="n"/>
      <c r="Y188" s="280" t="n"/>
    </row>
    <row r="189" ht="15" customHeight="1" s="195">
      <c r="A189" s="334" t="n"/>
      <c r="B189" s="334" t="n"/>
      <c r="C189" s="334" t="n"/>
      <c r="D189" s="334" t="n"/>
      <c r="E189" s="334" t="n"/>
      <c r="F189" s="334" t="n"/>
      <c r="G189" s="334" t="n"/>
      <c r="H189" s="334" t="n"/>
      <c r="I189" s="332">
        <f>IFERROR(VLOOKUP(TEXT(H189,"0"),IPRESS!$A$3:$B$212,2,0),"")</f>
        <v/>
      </c>
      <c r="J189" s="334" t="n"/>
      <c r="K189" s="332">
        <f>IFERROR(VLOOKUP(TEXT(O189,"0"),CONDUCTORES!$A$3:$G$54,7,0),"")</f>
        <v/>
      </c>
      <c r="L189" s="334" t="n"/>
      <c r="M189" s="334" t="n"/>
      <c r="N189" s="333">
        <f>IFERROR(IF(L189*M189=0,"",L189*M189),"")</f>
        <v/>
      </c>
      <c r="O189" s="334" t="n"/>
      <c r="P189" s="332">
        <f>IFERROR(VLOOKUP(TEXT(O189,"0"),CONDUCTORES!$A$3:$G$54,2,0),"")</f>
        <v/>
      </c>
      <c r="Q189" s="332">
        <f>IFERROR(VLOOKUP(TEXT(O189,"0"),CONDUCTORES!$A$3:$H$54,6,0),"")</f>
        <v/>
      </c>
      <c r="R189" s="334" t="n"/>
      <c r="S189" s="334" t="n"/>
      <c r="T189" s="334" t="n"/>
      <c r="U189" s="334" t="n"/>
      <c r="V189" s="334" t="n"/>
      <c r="W189" s="334" t="n"/>
      <c r="X189" s="334" t="n"/>
      <c r="Y189" s="334" t="n"/>
    </row>
    <row r="190" ht="15" customHeight="1" s="195">
      <c r="A190" s="280" t="n"/>
      <c r="B190" s="280" t="n"/>
      <c r="C190" s="280" t="n"/>
      <c r="D190" s="280" t="n"/>
      <c r="E190" s="280" t="n"/>
      <c r="F190" s="280" t="n"/>
      <c r="G190" s="280" t="n"/>
      <c r="H190" s="280" t="n"/>
      <c r="I190" s="332">
        <f>IFERROR(VLOOKUP(TEXT(H190,"0"),IPRESS!$A$3:$B$212,2,0),"")</f>
        <v/>
      </c>
      <c r="J190" s="280" t="n"/>
      <c r="K190" s="332">
        <f>IFERROR(VLOOKUP(TEXT(O190,"0"),CONDUCTORES!$A$3:$G$54,7,0),"")</f>
        <v/>
      </c>
      <c r="L190" s="280" t="n"/>
      <c r="M190" s="280" t="n"/>
      <c r="N190" s="333">
        <f>IFERROR(IF(L190*M190=0,"",L190*M190),"")</f>
        <v/>
      </c>
      <c r="O190" s="280" t="n"/>
      <c r="P190" s="332">
        <f>IFERROR(VLOOKUP(TEXT(O190,"0"),CONDUCTORES!$A$3:$G$54,2,0),"")</f>
        <v/>
      </c>
      <c r="Q190" s="332">
        <f>IFERROR(VLOOKUP(TEXT(O190,"0"),CONDUCTORES!$A$3:$H$54,6,0),"")</f>
        <v/>
      </c>
      <c r="R190" s="280" t="n"/>
      <c r="S190" s="280" t="n"/>
      <c r="T190" s="280" t="n"/>
      <c r="U190" s="280" t="n"/>
      <c r="V190" s="280" t="n"/>
      <c r="W190" s="280" t="n"/>
      <c r="X190" s="280" t="n"/>
      <c r="Y190" s="280" t="n"/>
    </row>
    <row r="191" ht="15" customHeight="1" s="195">
      <c r="A191" s="334" t="n"/>
      <c r="B191" s="334" t="n"/>
      <c r="C191" s="334" t="n"/>
      <c r="D191" s="334" t="n"/>
      <c r="E191" s="334" t="n"/>
      <c r="F191" s="334" t="n"/>
      <c r="G191" s="334" t="n"/>
      <c r="H191" s="334" t="n"/>
      <c r="I191" s="332">
        <f>IFERROR(VLOOKUP(TEXT(H191,"0"),IPRESS!$A$3:$B$212,2,0),"")</f>
        <v/>
      </c>
      <c r="J191" s="334" t="n"/>
      <c r="K191" s="332">
        <f>IFERROR(VLOOKUP(TEXT(O191,"0"),CONDUCTORES!$A$3:$G$54,7,0),"")</f>
        <v/>
      </c>
      <c r="L191" s="334" t="n"/>
      <c r="M191" s="334" t="n"/>
      <c r="N191" s="333">
        <f>IFERROR(IF(L191*M191=0,"",L191*M191),"")</f>
        <v/>
      </c>
      <c r="O191" s="334" t="n"/>
      <c r="P191" s="332">
        <f>IFERROR(VLOOKUP(TEXT(O191,"0"),CONDUCTORES!$A$3:$G$54,2,0),"")</f>
        <v/>
      </c>
      <c r="Q191" s="332">
        <f>IFERROR(VLOOKUP(TEXT(O191,"0"),CONDUCTORES!$A$3:$H$54,6,0),"")</f>
        <v/>
      </c>
      <c r="R191" s="334" t="n"/>
      <c r="S191" s="334" t="n"/>
      <c r="T191" s="334" t="n"/>
      <c r="U191" s="334" t="n"/>
      <c r="V191" s="334" t="n"/>
      <c r="W191" s="334" t="n"/>
      <c r="X191" s="334" t="n"/>
      <c r="Y191" s="334" t="n"/>
    </row>
    <row r="192" ht="15" customHeight="1" s="195">
      <c r="A192" s="280" t="n"/>
      <c r="B192" s="280" t="n"/>
      <c r="C192" s="280" t="n"/>
      <c r="D192" s="280" t="n"/>
      <c r="E192" s="280" t="n"/>
      <c r="F192" s="280" t="n"/>
      <c r="G192" s="280" t="n"/>
      <c r="H192" s="280" t="n"/>
      <c r="I192" s="332">
        <f>IFERROR(VLOOKUP(TEXT(H192,"0"),IPRESS!$A$3:$B$212,2,0),"")</f>
        <v/>
      </c>
      <c r="J192" s="280" t="n"/>
      <c r="K192" s="332">
        <f>IFERROR(VLOOKUP(TEXT(O192,"0"),CONDUCTORES!$A$3:$G$54,7,0),"")</f>
        <v/>
      </c>
      <c r="L192" s="280" t="n"/>
      <c r="M192" s="280" t="n"/>
      <c r="N192" s="333">
        <f>IFERROR(IF(L192*M192=0,"",L192*M192),"")</f>
        <v/>
      </c>
      <c r="O192" s="280" t="n"/>
      <c r="P192" s="332">
        <f>IFERROR(VLOOKUP(TEXT(O192,"0"),CONDUCTORES!$A$3:$G$54,2,0),"")</f>
        <v/>
      </c>
      <c r="Q192" s="332">
        <f>IFERROR(VLOOKUP(TEXT(O192,"0"),CONDUCTORES!$A$3:$H$54,6,0),"")</f>
        <v/>
      </c>
      <c r="R192" s="280" t="n"/>
      <c r="S192" s="280" t="n"/>
      <c r="T192" s="280" t="n"/>
      <c r="U192" s="280" t="n"/>
      <c r="V192" s="280" t="n"/>
      <c r="W192" s="280" t="n"/>
      <c r="X192" s="280" t="n"/>
      <c r="Y192" s="280" t="n"/>
    </row>
    <row r="193" ht="15" customHeight="1" s="195">
      <c r="A193" s="334" t="n"/>
      <c r="B193" s="334" t="n"/>
      <c r="C193" s="334" t="n"/>
      <c r="D193" s="334" t="n"/>
      <c r="E193" s="334" t="n"/>
      <c r="F193" s="334" t="n"/>
      <c r="G193" s="334" t="n"/>
      <c r="H193" s="334" t="n"/>
      <c r="I193" s="332">
        <f>IFERROR(VLOOKUP(TEXT(H193,"0"),IPRESS!$A$3:$B$212,2,0),"")</f>
        <v/>
      </c>
      <c r="J193" s="334" t="n"/>
      <c r="K193" s="332">
        <f>IFERROR(VLOOKUP(TEXT(O193,"0"),CONDUCTORES!$A$3:$G$54,7,0),"")</f>
        <v/>
      </c>
      <c r="L193" s="334" t="n"/>
      <c r="M193" s="334" t="n"/>
      <c r="N193" s="333">
        <f>IFERROR(IF(L193*M193=0,"",L193*M193),"")</f>
        <v/>
      </c>
      <c r="O193" s="334" t="n"/>
      <c r="P193" s="332">
        <f>IFERROR(VLOOKUP(TEXT(O193,"0"),CONDUCTORES!$A$3:$G$54,2,0),"")</f>
        <v/>
      </c>
      <c r="Q193" s="332">
        <f>IFERROR(VLOOKUP(TEXT(O193,"0"),CONDUCTORES!$A$3:$H$54,6,0),"")</f>
        <v/>
      </c>
      <c r="R193" s="334" t="n"/>
      <c r="S193" s="334" t="n"/>
      <c r="T193" s="334" t="n"/>
      <c r="U193" s="334" t="n"/>
      <c r="V193" s="334" t="n"/>
      <c r="W193" s="334" t="n"/>
      <c r="X193" s="334" t="n"/>
      <c r="Y193" s="334" t="n"/>
    </row>
    <row r="194" ht="15" customHeight="1" s="195">
      <c r="A194" s="280" t="n"/>
      <c r="B194" s="280" t="n"/>
      <c r="C194" s="280" t="n"/>
      <c r="D194" s="280" t="n"/>
      <c r="E194" s="280" t="n"/>
      <c r="F194" s="280" t="n"/>
      <c r="G194" s="280" t="n"/>
      <c r="H194" s="280" t="n"/>
      <c r="I194" s="332">
        <f>IFERROR(VLOOKUP(TEXT(H194,"0"),IPRESS!$A$3:$B$212,2,0),"")</f>
        <v/>
      </c>
      <c r="J194" s="280" t="n"/>
      <c r="K194" s="332">
        <f>IFERROR(VLOOKUP(TEXT(O194,"0"),CONDUCTORES!$A$3:$G$54,7,0),"")</f>
        <v/>
      </c>
      <c r="L194" s="280" t="n"/>
      <c r="M194" s="280" t="n"/>
      <c r="N194" s="333">
        <f>IFERROR(IF(L194*M194=0,"",L194*M194),"")</f>
        <v/>
      </c>
      <c r="O194" s="280" t="n"/>
      <c r="P194" s="332">
        <f>IFERROR(VLOOKUP(TEXT(O194,"0"),CONDUCTORES!$A$3:$G$54,2,0),"")</f>
        <v/>
      </c>
      <c r="Q194" s="332">
        <f>IFERROR(VLOOKUP(TEXT(O194,"0"),CONDUCTORES!$A$3:$H$54,6,0),"")</f>
        <v/>
      </c>
      <c r="R194" s="280" t="n"/>
      <c r="S194" s="280" t="n"/>
      <c r="T194" s="280" t="n"/>
      <c r="U194" s="280" t="n"/>
      <c r="V194" s="280" t="n"/>
      <c r="W194" s="280" t="n"/>
      <c r="X194" s="280" t="n"/>
      <c r="Y194" s="280" t="n"/>
    </row>
    <row r="195" ht="15" customHeight="1" s="195">
      <c r="A195" s="334" t="n"/>
      <c r="B195" s="334" t="n"/>
      <c r="C195" s="334" t="n"/>
      <c r="D195" s="334" t="n"/>
      <c r="E195" s="334" t="n"/>
      <c r="F195" s="334" t="n"/>
      <c r="G195" s="334" t="n"/>
      <c r="H195" s="334" t="n"/>
      <c r="I195" s="332">
        <f>IFERROR(VLOOKUP(TEXT(H195,"0"),IPRESS!$A$3:$B$212,2,0),"")</f>
        <v/>
      </c>
      <c r="J195" s="334" t="n"/>
      <c r="K195" s="332">
        <f>IFERROR(VLOOKUP(TEXT(O195,"0"),CONDUCTORES!$A$3:$G$54,7,0),"")</f>
        <v/>
      </c>
      <c r="L195" s="334" t="n"/>
      <c r="M195" s="334" t="n"/>
      <c r="N195" s="333">
        <f>IFERROR(IF(L195*M195=0,"",L195*M195),"")</f>
        <v/>
      </c>
      <c r="O195" s="334" t="n"/>
      <c r="P195" s="332">
        <f>IFERROR(VLOOKUP(TEXT(O195,"0"),CONDUCTORES!$A$3:$G$54,2,0),"")</f>
        <v/>
      </c>
      <c r="Q195" s="332">
        <f>IFERROR(VLOOKUP(TEXT(O195,"0"),CONDUCTORES!$A$3:$H$54,6,0),"")</f>
        <v/>
      </c>
      <c r="R195" s="334" t="n"/>
      <c r="S195" s="334" t="n"/>
      <c r="T195" s="334" t="n"/>
      <c r="U195" s="334" t="n"/>
      <c r="V195" s="334" t="n"/>
      <c r="W195" s="334" t="n"/>
      <c r="X195" s="334" t="n"/>
      <c r="Y195" s="334" t="n"/>
    </row>
    <row r="196" ht="15" customHeight="1" s="195">
      <c r="A196" s="280" t="n"/>
      <c r="B196" s="280" t="n"/>
      <c r="C196" s="280" t="n"/>
      <c r="D196" s="280" t="n"/>
      <c r="E196" s="280" t="n"/>
      <c r="F196" s="280" t="n"/>
      <c r="G196" s="280" t="n"/>
      <c r="H196" s="280" t="n"/>
      <c r="I196" s="332">
        <f>IFERROR(VLOOKUP(TEXT(H196,"0"),IPRESS!$A$3:$B$212,2,0),"")</f>
        <v/>
      </c>
      <c r="J196" s="280" t="n"/>
      <c r="K196" s="332">
        <f>IFERROR(VLOOKUP(TEXT(O196,"0"),CONDUCTORES!$A$3:$G$54,7,0),"")</f>
        <v/>
      </c>
      <c r="L196" s="280" t="n"/>
      <c r="M196" s="280" t="n"/>
      <c r="N196" s="333">
        <f>IFERROR(IF(L196*M196=0,"",L196*M196),"")</f>
        <v/>
      </c>
      <c r="O196" s="280" t="n"/>
      <c r="P196" s="332">
        <f>IFERROR(VLOOKUP(TEXT(O196,"0"),CONDUCTORES!$A$3:$G$54,2,0),"")</f>
        <v/>
      </c>
      <c r="Q196" s="332">
        <f>IFERROR(VLOOKUP(TEXT(O196,"0"),CONDUCTORES!$A$3:$H$54,6,0),"")</f>
        <v/>
      </c>
      <c r="R196" s="280" t="n"/>
      <c r="S196" s="280" t="n"/>
      <c r="T196" s="280" t="n"/>
      <c r="U196" s="280" t="n"/>
      <c r="V196" s="280" t="n"/>
      <c r="W196" s="280" t="n"/>
      <c r="X196" s="280" t="n"/>
      <c r="Y196" s="280" t="n"/>
    </row>
    <row r="197" ht="15" customHeight="1" s="195">
      <c r="A197" s="334" t="n"/>
      <c r="B197" s="334" t="n"/>
      <c r="C197" s="334" t="n"/>
      <c r="D197" s="334" t="n"/>
      <c r="E197" s="334" t="n"/>
      <c r="F197" s="334" t="n"/>
      <c r="G197" s="334" t="n"/>
      <c r="H197" s="334" t="n"/>
      <c r="I197" s="332">
        <f>IFERROR(VLOOKUP(TEXT(H197,"0"),IPRESS!$A$3:$B$212,2,0),"")</f>
        <v/>
      </c>
      <c r="J197" s="334" t="n"/>
      <c r="K197" s="332">
        <f>IFERROR(VLOOKUP(TEXT(O197,"0"),CONDUCTORES!$A$3:$G$54,7,0),"")</f>
        <v/>
      </c>
      <c r="L197" s="334" t="n"/>
      <c r="M197" s="334" t="n"/>
      <c r="N197" s="333">
        <f>IFERROR(IF(L197*M197=0,"",L197*M197),"")</f>
        <v/>
      </c>
      <c r="O197" s="334" t="n"/>
      <c r="P197" s="332">
        <f>IFERROR(VLOOKUP(TEXT(O197,"0"),CONDUCTORES!$A$3:$G$54,2,0),"")</f>
        <v/>
      </c>
      <c r="Q197" s="332">
        <f>IFERROR(VLOOKUP(TEXT(O197,"0"),CONDUCTORES!$A$3:$H$54,6,0),"")</f>
        <v/>
      </c>
      <c r="R197" s="334" t="n"/>
      <c r="S197" s="334" t="n"/>
      <c r="T197" s="334" t="n"/>
      <c r="U197" s="334" t="n"/>
      <c r="V197" s="334" t="n"/>
      <c r="W197" s="334" t="n"/>
      <c r="X197" s="334" t="n"/>
      <c r="Y197" s="334" t="n"/>
    </row>
    <row r="198" ht="15" customHeight="1" s="195">
      <c r="A198" s="280" t="n"/>
      <c r="B198" s="280" t="n"/>
      <c r="C198" s="280" t="n"/>
      <c r="D198" s="280" t="n"/>
      <c r="E198" s="280" t="n"/>
      <c r="F198" s="280" t="n"/>
      <c r="G198" s="280" t="n"/>
      <c r="H198" s="280" t="n"/>
      <c r="I198" s="332">
        <f>IFERROR(VLOOKUP(TEXT(H198,"0"),IPRESS!$A$3:$B$212,2,0),"")</f>
        <v/>
      </c>
      <c r="J198" s="280" t="n"/>
      <c r="K198" s="332">
        <f>IFERROR(VLOOKUP(TEXT(O198,"0"),CONDUCTORES!$A$3:$G$54,7,0),"")</f>
        <v/>
      </c>
      <c r="L198" s="280" t="n"/>
      <c r="M198" s="280" t="n"/>
      <c r="N198" s="333">
        <f>IFERROR(IF(L198*M198=0,"",L198*M198),"")</f>
        <v/>
      </c>
      <c r="O198" s="280" t="n"/>
      <c r="P198" s="332">
        <f>IFERROR(VLOOKUP(TEXT(O198,"0"),CONDUCTORES!$A$3:$G$54,2,0),"")</f>
        <v/>
      </c>
      <c r="Q198" s="332">
        <f>IFERROR(VLOOKUP(TEXT(O198,"0"),CONDUCTORES!$A$3:$H$54,6,0),"")</f>
        <v/>
      </c>
      <c r="R198" s="280" t="n"/>
      <c r="S198" s="280" t="n"/>
      <c r="T198" s="280" t="n"/>
      <c r="U198" s="280" t="n"/>
      <c r="V198" s="280" t="n"/>
      <c r="W198" s="280" t="n"/>
      <c r="X198" s="280" t="n"/>
      <c r="Y198" s="280" t="n"/>
    </row>
    <row r="199" ht="15" customHeight="1" s="195">
      <c r="A199" s="334" t="n"/>
      <c r="B199" s="334" t="n"/>
      <c r="C199" s="334" t="n"/>
      <c r="D199" s="334" t="n"/>
      <c r="E199" s="334" t="n"/>
      <c r="F199" s="334" t="n"/>
      <c r="G199" s="334" t="n"/>
      <c r="H199" s="334" t="n"/>
      <c r="I199" s="332">
        <f>IFERROR(VLOOKUP(TEXT(H199,"0"),IPRESS!$A$3:$B$212,2,0),"")</f>
        <v/>
      </c>
      <c r="J199" s="334" t="n"/>
      <c r="K199" s="332">
        <f>IFERROR(VLOOKUP(TEXT(O199,"0"),CONDUCTORES!$A$3:$G$54,7,0),"")</f>
        <v/>
      </c>
      <c r="L199" s="334" t="n"/>
      <c r="M199" s="334" t="n"/>
      <c r="N199" s="333">
        <f>IFERROR(IF(L199*M199=0,"",L199*M199),"")</f>
        <v/>
      </c>
      <c r="O199" s="334" t="n"/>
      <c r="P199" s="332">
        <f>IFERROR(VLOOKUP(TEXT(O199,"0"),CONDUCTORES!$A$3:$G$54,2,0),"")</f>
        <v/>
      </c>
      <c r="Q199" s="332">
        <f>IFERROR(VLOOKUP(TEXT(O199,"0"),CONDUCTORES!$A$3:$H$54,6,0),"")</f>
        <v/>
      </c>
      <c r="R199" s="334" t="n"/>
      <c r="S199" s="334" t="n"/>
      <c r="T199" s="334" t="n"/>
      <c r="U199" s="334" t="n"/>
      <c r="V199" s="334" t="n"/>
      <c r="W199" s="334" t="n"/>
      <c r="X199" s="334" t="n"/>
      <c r="Y199" s="334" t="n"/>
    </row>
    <row r="200" ht="15" customHeight="1" s="195">
      <c r="A200" s="280" t="n"/>
      <c r="B200" s="280" t="n"/>
      <c r="C200" s="280" t="n"/>
      <c r="D200" s="280" t="n"/>
      <c r="E200" s="280" t="n"/>
      <c r="F200" s="280" t="n"/>
      <c r="G200" s="280" t="n"/>
      <c r="H200" s="280" t="n"/>
      <c r="I200" s="332">
        <f>IFERROR(VLOOKUP(TEXT(H200,"0"),IPRESS!$A$3:$B$212,2,0),"")</f>
        <v/>
      </c>
      <c r="J200" s="280" t="n"/>
      <c r="K200" s="332">
        <f>IFERROR(VLOOKUP(TEXT(O200,"0"),CONDUCTORES!$A$3:$G$54,7,0),"")</f>
        <v/>
      </c>
      <c r="L200" s="280" t="n"/>
      <c r="M200" s="280" t="n"/>
      <c r="N200" s="333">
        <f>IFERROR(IF(L200*M200=0,"",L200*M200),"")</f>
        <v/>
      </c>
      <c r="O200" s="280" t="n"/>
      <c r="P200" s="332">
        <f>IFERROR(VLOOKUP(TEXT(O200,"0"),CONDUCTORES!$A$3:$G$54,2,0),"")</f>
        <v/>
      </c>
      <c r="Q200" s="332">
        <f>IFERROR(VLOOKUP(TEXT(O200,"0"),CONDUCTORES!$A$3:$H$54,6,0),"")</f>
        <v/>
      </c>
      <c r="R200" s="280" t="n"/>
      <c r="S200" s="280" t="n"/>
      <c r="T200" s="280" t="n"/>
      <c r="U200" s="280" t="n"/>
      <c r="V200" s="280" t="n"/>
      <c r="W200" s="280" t="n"/>
      <c r="X200" s="280" t="n"/>
      <c r="Y200" s="280" t="n"/>
    </row>
    <row r="201" ht="15" customHeight="1" s="195">
      <c r="A201" s="334" t="n"/>
      <c r="B201" s="334" t="n"/>
      <c r="C201" s="334" t="n"/>
      <c r="D201" s="334" t="n"/>
      <c r="E201" s="334" t="n"/>
      <c r="F201" s="334" t="n"/>
      <c r="G201" s="334" t="n"/>
      <c r="H201" s="334" t="n"/>
      <c r="I201" s="332">
        <f>IFERROR(VLOOKUP(TEXT(H201,"0"),IPRESS!$A$3:$B$212,2,0),"")</f>
        <v/>
      </c>
      <c r="J201" s="334" t="n"/>
      <c r="K201" s="332">
        <f>IFERROR(VLOOKUP(TEXT(O201,"0"),CONDUCTORES!$A$3:$G$54,7,0),"")</f>
        <v/>
      </c>
      <c r="L201" s="334" t="n"/>
      <c r="M201" s="334" t="n"/>
      <c r="N201" s="333">
        <f>IFERROR(IF(L201*M201=0,"",L201*M201),"")</f>
        <v/>
      </c>
      <c r="O201" s="334" t="n"/>
      <c r="P201" s="332">
        <f>IFERROR(VLOOKUP(TEXT(O201,"0"),CONDUCTORES!$A$3:$G$54,2,0),"")</f>
        <v/>
      </c>
      <c r="Q201" s="332">
        <f>IFERROR(VLOOKUP(TEXT(O201,"0"),CONDUCTORES!$A$3:$H$54,6,0),"")</f>
        <v/>
      </c>
      <c r="R201" s="334" t="n"/>
      <c r="S201" s="334" t="n"/>
      <c r="T201" s="334" t="n"/>
      <c r="U201" s="334" t="n"/>
      <c r="V201" s="334" t="n"/>
      <c r="W201" s="334" t="n"/>
      <c r="X201" s="334" t="n"/>
      <c r="Y201" s="334" t="n"/>
    </row>
    <row r="202" ht="15" customHeight="1" s="195">
      <c r="A202" s="280" t="n"/>
      <c r="B202" s="280" t="n"/>
      <c r="C202" s="280" t="n"/>
      <c r="D202" s="280" t="n"/>
      <c r="E202" s="280" t="n"/>
      <c r="F202" s="280" t="n"/>
      <c r="G202" s="280" t="n"/>
      <c r="H202" s="280" t="n"/>
      <c r="I202" s="332">
        <f>IFERROR(VLOOKUP(TEXT(H202,"0"),IPRESS!$A$3:$B$212,2,0),"")</f>
        <v/>
      </c>
      <c r="J202" s="280" t="n"/>
      <c r="K202" s="332">
        <f>IFERROR(VLOOKUP(TEXT(O202,"0"),CONDUCTORES!$A$3:$G$54,7,0),"")</f>
        <v/>
      </c>
      <c r="L202" s="280" t="n"/>
      <c r="M202" s="280" t="n"/>
      <c r="N202" s="333">
        <f>IFERROR(IF(L202*M202=0,"",L202*M202),"")</f>
        <v/>
      </c>
      <c r="O202" s="280" t="n"/>
      <c r="P202" s="332">
        <f>IFERROR(VLOOKUP(TEXT(O202,"0"),CONDUCTORES!$A$3:$G$54,2,0),"")</f>
        <v/>
      </c>
      <c r="Q202" s="332">
        <f>IFERROR(VLOOKUP(TEXT(O202,"0"),CONDUCTORES!$A$3:$H$54,6,0),"")</f>
        <v/>
      </c>
      <c r="R202" s="280" t="n"/>
      <c r="S202" s="280" t="n"/>
      <c r="T202" s="280" t="n"/>
      <c r="U202" s="280" t="n"/>
      <c r="V202" s="280" t="n"/>
      <c r="W202" s="280" t="n"/>
      <c r="X202" s="280" t="n"/>
      <c r="Y202" s="280" t="n"/>
    </row>
    <row r="203" ht="15" customHeight="1" s="195">
      <c r="A203" s="334" t="n"/>
      <c r="B203" s="334" t="n"/>
      <c r="C203" s="334" t="n"/>
      <c r="D203" s="334" t="n"/>
      <c r="E203" s="334" t="n"/>
      <c r="F203" s="334" t="n"/>
      <c r="G203" s="334" t="n"/>
      <c r="H203" s="334" t="n"/>
      <c r="I203" s="332">
        <f>IFERROR(VLOOKUP(TEXT(H203,"0"),IPRESS!$A$3:$B$212,2,0),"")</f>
        <v/>
      </c>
      <c r="J203" s="334" t="n"/>
      <c r="K203" s="332">
        <f>IFERROR(VLOOKUP(TEXT(O203,"0"),CONDUCTORES!$A$3:$G$54,7,0),"")</f>
        <v/>
      </c>
      <c r="L203" s="334" t="n"/>
      <c r="M203" s="334" t="n"/>
      <c r="N203" s="333">
        <f>IFERROR(IF(L203*M203=0,"",L203*M203),"")</f>
        <v/>
      </c>
      <c r="O203" s="334" t="n"/>
      <c r="P203" s="332">
        <f>IFERROR(VLOOKUP(TEXT(O203,"0"),CONDUCTORES!$A$3:$G$54,2,0),"")</f>
        <v/>
      </c>
      <c r="Q203" s="332">
        <f>IFERROR(VLOOKUP(TEXT(O203,"0"),CONDUCTORES!$A$3:$H$54,6,0),"")</f>
        <v/>
      </c>
      <c r="R203" s="334" t="n"/>
      <c r="S203" s="334" t="n"/>
      <c r="T203" s="334" t="n"/>
      <c r="U203" s="334" t="n"/>
      <c r="V203" s="334" t="n"/>
      <c r="W203" s="334" t="n"/>
      <c r="X203" s="334" t="n"/>
      <c r="Y203" s="334" t="n"/>
    </row>
    <row r="204" ht="15" customHeight="1" s="195">
      <c r="A204" s="280" t="n"/>
      <c r="B204" s="280" t="n"/>
      <c r="C204" s="280" t="n"/>
      <c r="D204" s="280" t="n"/>
      <c r="E204" s="280" t="n"/>
      <c r="F204" s="280" t="n"/>
      <c r="G204" s="280" t="n"/>
      <c r="H204" s="280" t="n"/>
      <c r="I204" s="332">
        <f>IFERROR(VLOOKUP(TEXT(H204,"0"),IPRESS!$A$3:$B$212,2,0),"")</f>
        <v/>
      </c>
      <c r="J204" s="280" t="n"/>
      <c r="K204" s="332">
        <f>IFERROR(VLOOKUP(TEXT(O204,"0"),CONDUCTORES!$A$3:$G$54,7,0),"")</f>
        <v/>
      </c>
      <c r="L204" s="280" t="n"/>
      <c r="M204" s="280" t="n"/>
      <c r="N204" s="333">
        <f>IFERROR(IF(L204*M204=0,"",L204*M204),"")</f>
        <v/>
      </c>
      <c r="O204" s="280" t="n"/>
      <c r="P204" s="332">
        <f>IFERROR(VLOOKUP(TEXT(O204,"0"),CONDUCTORES!$A$3:$G$54,2,0),"")</f>
        <v/>
      </c>
      <c r="Q204" s="332">
        <f>IFERROR(VLOOKUP(TEXT(O204,"0"),CONDUCTORES!$A$3:$H$54,6,0),"")</f>
        <v/>
      </c>
      <c r="R204" s="280" t="n"/>
      <c r="S204" s="280" t="n"/>
      <c r="T204" s="280" t="n"/>
      <c r="U204" s="280" t="n"/>
      <c r="V204" s="280" t="n"/>
      <c r="W204" s="280" t="n"/>
      <c r="X204" s="280" t="n"/>
      <c r="Y204" s="280" t="n"/>
    </row>
    <row r="205" ht="15" customHeight="1" s="195">
      <c r="A205" s="334" t="n"/>
      <c r="B205" s="334" t="n"/>
      <c r="C205" s="334" t="n"/>
      <c r="D205" s="334" t="n"/>
      <c r="E205" s="334" t="n"/>
      <c r="F205" s="334" t="n"/>
      <c r="G205" s="334" t="n"/>
      <c r="H205" s="334" t="n"/>
      <c r="I205" s="332">
        <f>IFERROR(VLOOKUP(TEXT(H205,"0"),IPRESS!$A$3:$B$212,2,0),"")</f>
        <v/>
      </c>
      <c r="J205" s="334" t="n"/>
      <c r="K205" s="332">
        <f>IFERROR(VLOOKUP(TEXT(O205,"0"),CONDUCTORES!$A$3:$G$54,7,0),"")</f>
        <v/>
      </c>
      <c r="L205" s="334" t="n"/>
      <c r="M205" s="334" t="n"/>
      <c r="N205" s="333">
        <f>IFERROR(IF(L205*M205=0,"",L205*M205),"")</f>
        <v/>
      </c>
      <c r="O205" s="334" t="n"/>
      <c r="P205" s="332">
        <f>IFERROR(VLOOKUP(TEXT(O205,"0"),CONDUCTORES!$A$3:$G$54,2,0),"")</f>
        <v/>
      </c>
      <c r="Q205" s="332">
        <f>IFERROR(VLOOKUP(TEXT(O205,"0"),CONDUCTORES!$A$3:$H$54,6,0),"")</f>
        <v/>
      </c>
      <c r="R205" s="334" t="n"/>
      <c r="S205" s="334" t="n"/>
      <c r="T205" s="334" t="n"/>
      <c r="U205" s="334" t="n"/>
      <c r="V205" s="334" t="n"/>
      <c r="W205" s="334" t="n"/>
      <c r="X205" s="334" t="n"/>
      <c r="Y205" s="334" t="n"/>
    </row>
    <row r="206" ht="15" customHeight="1" s="195">
      <c r="A206" s="280" t="n"/>
      <c r="B206" s="280" t="n"/>
      <c r="C206" s="280" t="n"/>
      <c r="D206" s="280" t="n"/>
      <c r="E206" s="280" t="n"/>
      <c r="F206" s="280" t="n"/>
      <c r="G206" s="280" t="n"/>
      <c r="H206" s="280" t="n"/>
      <c r="I206" s="332">
        <f>IFERROR(VLOOKUP(TEXT(H206,"0"),IPRESS!$A$3:$B$212,2,0),"")</f>
        <v/>
      </c>
      <c r="J206" s="280" t="n"/>
      <c r="K206" s="332">
        <f>IFERROR(VLOOKUP(TEXT(O206,"0"),CONDUCTORES!$A$3:$G$54,7,0),"")</f>
        <v/>
      </c>
      <c r="L206" s="280" t="n"/>
      <c r="M206" s="280" t="n"/>
      <c r="N206" s="333">
        <f>IFERROR(IF(L206*M206=0,"",L206*M206),"")</f>
        <v/>
      </c>
      <c r="O206" s="280" t="n"/>
      <c r="P206" s="332">
        <f>IFERROR(VLOOKUP(TEXT(O206,"0"),CONDUCTORES!$A$3:$G$54,2,0),"")</f>
        <v/>
      </c>
      <c r="Q206" s="332">
        <f>IFERROR(VLOOKUP(TEXT(O206,"0"),CONDUCTORES!$A$3:$H$54,6,0),"")</f>
        <v/>
      </c>
      <c r="R206" s="280" t="n"/>
      <c r="S206" s="280" t="n"/>
      <c r="T206" s="280" t="n"/>
      <c r="U206" s="280" t="n"/>
      <c r="V206" s="280" t="n"/>
      <c r="W206" s="280" t="n"/>
      <c r="X206" s="280" t="n"/>
      <c r="Y206" s="280" t="n"/>
    </row>
    <row r="207" ht="15" customHeight="1" s="195">
      <c r="A207" s="334" t="n"/>
      <c r="B207" s="334" t="n"/>
      <c r="C207" s="334" t="n"/>
      <c r="D207" s="334" t="n"/>
      <c r="E207" s="334" t="n"/>
      <c r="F207" s="334" t="n"/>
      <c r="G207" s="334" t="n"/>
      <c r="H207" s="334" t="n"/>
      <c r="I207" s="332">
        <f>IFERROR(VLOOKUP(TEXT(H207,"0"),IPRESS!$A$3:$B$212,2,0),"")</f>
        <v/>
      </c>
      <c r="J207" s="334" t="n"/>
      <c r="K207" s="332">
        <f>IFERROR(VLOOKUP(TEXT(O207,"0"),CONDUCTORES!$A$3:$G$54,7,0),"")</f>
        <v/>
      </c>
      <c r="L207" s="334" t="n"/>
      <c r="M207" s="334" t="n"/>
      <c r="N207" s="333">
        <f>IFERROR(IF(L207*M207=0,"",L207*M207),"")</f>
        <v/>
      </c>
      <c r="O207" s="334" t="n"/>
      <c r="P207" s="332">
        <f>IFERROR(VLOOKUP(TEXT(O207,"0"),CONDUCTORES!$A$3:$G$54,2,0),"")</f>
        <v/>
      </c>
      <c r="Q207" s="332">
        <f>IFERROR(VLOOKUP(TEXT(O207,"0"),CONDUCTORES!$A$3:$H$54,6,0),"")</f>
        <v/>
      </c>
      <c r="R207" s="334" t="n"/>
      <c r="S207" s="334" t="n"/>
      <c r="T207" s="334" t="n"/>
      <c r="U207" s="334" t="n"/>
      <c r="V207" s="334" t="n"/>
      <c r="W207" s="334" t="n"/>
      <c r="X207" s="334" t="n"/>
      <c r="Y207" s="334" t="n"/>
    </row>
    <row r="208" ht="15" customHeight="1" s="195">
      <c r="A208" s="280" t="n"/>
      <c r="B208" s="280" t="n"/>
      <c r="C208" s="280" t="n"/>
      <c r="D208" s="280" t="n"/>
      <c r="E208" s="280" t="n"/>
      <c r="F208" s="280" t="n"/>
      <c r="G208" s="280" t="n"/>
      <c r="H208" s="280" t="n"/>
      <c r="I208" s="332">
        <f>IFERROR(VLOOKUP(TEXT(H208,"0"),IPRESS!$A$3:$B$212,2,0),"")</f>
        <v/>
      </c>
      <c r="J208" s="280" t="n"/>
      <c r="K208" s="332">
        <f>IFERROR(VLOOKUP(TEXT(O208,"0"),CONDUCTORES!$A$3:$G$54,7,0),"")</f>
        <v/>
      </c>
      <c r="L208" s="280" t="n"/>
      <c r="M208" s="280" t="n"/>
      <c r="N208" s="333">
        <f>IFERROR(IF(L208*M208=0,"",L208*M208),"")</f>
        <v/>
      </c>
      <c r="O208" s="280" t="n"/>
      <c r="P208" s="332">
        <f>IFERROR(VLOOKUP(TEXT(O208,"0"),CONDUCTORES!$A$3:$G$54,2,0),"")</f>
        <v/>
      </c>
      <c r="Q208" s="332">
        <f>IFERROR(VLOOKUP(TEXT(O208,"0"),CONDUCTORES!$A$3:$H$54,6,0),"")</f>
        <v/>
      </c>
      <c r="R208" s="280" t="n"/>
      <c r="S208" s="280" t="n"/>
      <c r="T208" s="280" t="n"/>
      <c r="U208" s="280" t="n"/>
      <c r="V208" s="280" t="n"/>
      <c r="W208" s="280" t="n"/>
      <c r="X208" s="280" t="n"/>
      <c r="Y208" s="280" t="n"/>
    </row>
    <row r="209" ht="15" customHeight="1" s="195">
      <c r="A209" s="334" t="n"/>
      <c r="B209" s="334" t="n"/>
      <c r="C209" s="334" t="n"/>
      <c r="D209" s="334" t="n"/>
      <c r="E209" s="334" t="n"/>
      <c r="F209" s="334" t="n"/>
      <c r="G209" s="334" t="n"/>
      <c r="H209" s="334" t="n"/>
      <c r="I209" s="332">
        <f>IFERROR(VLOOKUP(TEXT(H209,"0"),IPRESS!$A$3:$B$212,2,0),"")</f>
        <v/>
      </c>
      <c r="J209" s="334" t="n"/>
      <c r="K209" s="332">
        <f>IFERROR(VLOOKUP(TEXT(O209,"0"),CONDUCTORES!$A$3:$G$54,7,0),"")</f>
        <v/>
      </c>
      <c r="L209" s="334" t="n"/>
      <c r="M209" s="334" t="n"/>
      <c r="N209" s="333">
        <f>IFERROR(IF(L209*M209=0,"",L209*M209),"")</f>
        <v/>
      </c>
      <c r="O209" s="334" t="n"/>
      <c r="P209" s="332">
        <f>IFERROR(VLOOKUP(TEXT(O209,"0"),CONDUCTORES!$A$3:$G$54,2,0),"")</f>
        <v/>
      </c>
      <c r="Q209" s="332">
        <f>IFERROR(VLOOKUP(TEXT(O209,"0"),CONDUCTORES!$A$3:$H$54,6,0),"")</f>
        <v/>
      </c>
      <c r="R209" s="334" t="n"/>
      <c r="S209" s="334" t="n"/>
      <c r="T209" s="334" t="n"/>
      <c r="U209" s="334" t="n"/>
      <c r="V209" s="334" t="n"/>
      <c r="W209" s="334" t="n"/>
      <c r="X209" s="334" t="n"/>
      <c r="Y209" s="334" t="n"/>
    </row>
    <row r="210" ht="15" customHeight="1" s="195">
      <c r="A210" s="280" t="n"/>
      <c r="B210" s="280" t="n"/>
      <c r="C210" s="280" t="n"/>
      <c r="D210" s="280" t="n"/>
      <c r="E210" s="280" t="n"/>
      <c r="F210" s="280" t="n"/>
      <c r="G210" s="280" t="n"/>
      <c r="H210" s="280" t="n"/>
      <c r="I210" s="332">
        <f>IFERROR(VLOOKUP(TEXT(H210,"0"),IPRESS!$A$3:$B$212,2,0),"")</f>
        <v/>
      </c>
      <c r="J210" s="280" t="n"/>
      <c r="K210" s="332">
        <f>IFERROR(VLOOKUP(TEXT(O210,"0"),CONDUCTORES!$A$3:$G$54,7,0),"")</f>
        <v/>
      </c>
      <c r="L210" s="280" t="n"/>
      <c r="M210" s="280" t="n"/>
      <c r="N210" s="333">
        <f>IFERROR(IF(L210*M210=0,"",L210*M210),"")</f>
        <v/>
      </c>
      <c r="O210" s="280" t="n"/>
      <c r="P210" s="332">
        <f>IFERROR(VLOOKUP(TEXT(O210,"0"),CONDUCTORES!$A$3:$G$54,2,0),"")</f>
        <v/>
      </c>
      <c r="Q210" s="332">
        <f>IFERROR(VLOOKUP(TEXT(O210,"0"),CONDUCTORES!$A$3:$H$54,6,0),"")</f>
        <v/>
      </c>
      <c r="R210" s="280" t="n"/>
      <c r="S210" s="280" t="n"/>
      <c r="T210" s="280" t="n"/>
      <c r="U210" s="280" t="n"/>
      <c r="V210" s="280" t="n"/>
      <c r="W210" s="280" t="n"/>
      <c r="X210" s="280" t="n"/>
      <c r="Y210" s="280" t="n"/>
    </row>
    <row r="211" ht="15" customHeight="1" s="195">
      <c r="A211" s="334" t="n"/>
      <c r="B211" s="334" t="n"/>
      <c r="C211" s="334" t="n"/>
      <c r="D211" s="334" t="n"/>
      <c r="E211" s="334" t="n"/>
      <c r="F211" s="334" t="n"/>
      <c r="G211" s="334" t="n"/>
      <c r="H211" s="334" t="n"/>
      <c r="I211" s="332">
        <f>IFERROR(VLOOKUP(TEXT(H211,"0"),IPRESS!$A$3:$B$212,2,0),"")</f>
        <v/>
      </c>
      <c r="J211" s="334" t="n"/>
      <c r="K211" s="332">
        <f>IFERROR(VLOOKUP(TEXT(O211,"0"),CONDUCTORES!$A$3:$G$54,7,0),"")</f>
        <v/>
      </c>
      <c r="L211" s="334" t="n"/>
      <c r="M211" s="334" t="n"/>
      <c r="N211" s="333">
        <f>IFERROR(IF(L211*M211=0,"",L211*M211),"")</f>
        <v/>
      </c>
      <c r="O211" s="334" t="n"/>
      <c r="P211" s="332">
        <f>IFERROR(VLOOKUP(TEXT(O211,"0"),CONDUCTORES!$A$3:$G$54,2,0),"")</f>
        <v/>
      </c>
      <c r="Q211" s="332">
        <f>IFERROR(VLOOKUP(TEXT(O211,"0"),CONDUCTORES!$A$3:$H$54,6,0),"")</f>
        <v/>
      </c>
      <c r="R211" s="334" t="n"/>
      <c r="S211" s="334" t="n"/>
      <c r="T211" s="334" t="n"/>
      <c r="U211" s="334" t="n"/>
      <c r="V211" s="334" t="n"/>
      <c r="W211" s="334" t="n"/>
      <c r="X211" s="334" t="n"/>
      <c r="Y211" s="334" t="n"/>
    </row>
    <row r="212" ht="15" customHeight="1" s="195">
      <c r="A212" s="280" t="n"/>
      <c r="B212" s="280" t="n"/>
      <c r="C212" s="280" t="n"/>
      <c r="D212" s="280" t="n"/>
      <c r="E212" s="280" t="n"/>
      <c r="F212" s="280" t="n"/>
      <c r="G212" s="280" t="n"/>
      <c r="H212" s="280" t="n"/>
      <c r="I212" s="332">
        <f>IFERROR(VLOOKUP(TEXT(H212,"0"),IPRESS!$A$3:$B$212,2,0),"")</f>
        <v/>
      </c>
      <c r="J212" s="280" t="n"/>
      <c r="K212" s="332">
        <f>IFERROR(VLOOKUP(TEXT(O212,"0"),CONDUCTORES!$A$3:$G$54,7,0),"")</f>
        <v/>
      </c>
      <c r="L212" s="280" t="n"/>
      <c r="M212" s="280" t="n"/>
      <c r="N212" s="333">
        <f>IFERROR(IF(L212*M212=0,"",L212*M212),"")</f>
        <v/>
      </c>
      <c r="O212" s="280" t="n"/>
      <c r="P212" s="332">
        <f>IFERROR(VLOOKUP(TEXT(O212,"0"),CONDUCTORES!$A$3:$G$54,2,0),"")</f>
        <v/>
      </c>
      <c r="Q212" s="332">
        <f>IFERROR(VLOOKUP(TEXT(O212,"0"),CONDUCTORES!$A$3:$H$54,6,0),"")</f>
        <v/>
      </c>
      <c r="R212" s="280" t="n"/>
      <c r="S212" s="280" t="n"/>
      <c r="T212" s="280" t="n"/>
      <c r="U212" s="280" t="n"/>
      <c r="V212" s="280" t="n"/>
      <c r="W212" s="280" t="n"/>
      <c r="X212" s="280" t="n"/>
      <c r="Y212" s="280" t="n"/>
    </row>
    <row r="213" ht="15" customHeight="1" s="195">
      <c r="A213" s="334" t="n"/>
      <c r="B213" s="334" t="n"/>
      <c r="C213" s="334" t="n"/>
      <c r="D213" s="334" t="n"/>
      <c r="E213" s="334" t="n"/>
      <c r="F213" s="334" t="n"/>
      <c r="G213" s="334" t="n"/>
      <c r="H213" s="334" t="n"/>
      <c r="I213" s="332">
        <f>IFERROR(VLOOKUP(TEXT(H213,"0"),IPRESS!$A$3:$B$212,2,0),"")</f>
        <v/>
      </c>
      <c r="J213" s="334" t="n"/>
      <c r="K213" s="332">
        <f>IFERROR(VLOOKUP(TEXT(O213,"0"),CONDUCTORES!$A$3:$G$54,7,0),"")</f>
        <v/>
      </c>
      <c r="L213" s="334" t="n"/>
      <c r="M213" s="334" t="n"/>
      <c r="N213" s="333">
        <f>IFERROR(IF(L213*M213=0,"",L213*M213),"")</f>
        <v/>
      </c>
      <c r="O213" s="334" t="n"/>
      <c r="P213" s="332">
        <f>IFERROR(VLOOKUP(TEXT(O213,"0"),CONDUCTORES!$A$3:$G$54,2,0),"")</f>
        <v/>
      </c>
      <c r="Q213" s="332">
        <f>IFERROR(VLOOKUP(TEXT(O213,"0"),CONDUCTORES!$A$3:$H$54,6,0),"")</f>
        <v/>
      </c>
      <c r="R213" s="334" t="n"/>
      <c r="S213" s="334" t="n"/>
      <c r="T213" s="334" t="n"/>
      <c r="U213" s="334" t="n"/>
      <c r="V213" s="334" t="n"/>
      <c r="W213" s="334" t="n"/>
      <c r="X213" s="334" t="n"/>
      <c r="Y213" s="334" t="n"/>
    </row>
    <row r="214" ht="15" customHeight="1" s="195">
      <c r="A214" s="280" t="n"/>
      <c r="B214" s="280" t="n"/>
      <c r="C214" s="280" t="n"/>
      <c r="D214" s="280" t="n"/>
      <c r="E214" s="280" t="n"/>
      <c r="F214" s="280" t="n"/>
      <c r="G214" s="280" t="n"/>
      <c r="H214" s="280" t="n"/>
      <c r="I214" s="332">
        <f>IFERROR(VLOOKUP(TEXT(H214,"0"),IPRESS!$A$3:$B$212,2,0),"")</f>
        <v/>
      </c>
      <c r="J214" s="280" t="n"/>
      <c r="K214" s="332">
        <f>IFERROR(VLOOKUP(TEXT(O214,"0"),CONDUCTORES!$A$3:$G$54,7,0),"")</f>
        <v/>
      </c>
      <c r="L214" s="280" t="n"/>
      <c r="M214" s="280" t="n"/>
      <c r="N214" s="333">
        <f>IFERROR(IF(L214*M214=0,"",L214*M214),"")</f>
        <v/>
      </c>
      <c r="O214" s="280" t="n"/>
      <c r="P214" s="332">
        <f>IFERROR(VLOOKUP(TEXT(O214,"0"),CONDUCTORES!$A$3:$G$54,2,0),"")</f>
        <v/>
      </c>
      <c r="Q214" s="332">
        <f>IFERROR(VLOOKUP(TEXT(O214,"0"),CONDUCTORES!$A$3:$H$54,6,0),"")</f>
        <v/>
      </c>
      <c r="R214" s="280" t="n"/>
      <c r="S214" s="280" t="n"/>
      <c r="T214" s="280" t="n"/>
      <c r="U214" s="280" t="n"/>
      <c r="V214" s="280" t="n"/>
      <c r="W214" s="280" t="n"/>
      <c r="X214" s="280" t="n"/>
      <c r="Y214" s="280" t="n"/>
    </row>
    <row r="215" ht="15" customHeight="1" s="195">
      <c r="A215" s="334" t="n"/>
      <c r="B215" s="334" t="n"/>
      <c r="C215" s="334" t="n"/>
      <c r="D215" s="334" t="n"/>
      <c r="E215" s="334" t="n"/>
      <c r="F215" s="334" t="n"/>
      <c r="G215" s="334" t="n"/>
      <c r="H215" s="334" t="n"/>
      <c r="I215" s="332">
        <f>IFERROR(VLOOKUP(TEXT(H215,"0"),IPRESS!$A$3:$B$212,2,0),"")</f>
        <v/>
      </c>
      <c r="J215" s="334" t="n"/>
      <c r="K215" s="332">
        <f>IFERROR(VLOOKUP(TEXT(O215,"0"),CONDUCTORES!$A$3:$G$54,7,0),"")</f>
        <v/>
      </c>
      <c r="L215" s="334" t="n"/>
      <c r="M215" s="334" t="n"/>
      <c r="N215" s="333">
        <f>IFERROR(IF(L215*M215=0,"",L215*M215),"")</f>
        <v/>
      </c>
      <c r="O215" s="334" t="n"/>
      <c r="P215" s="332">
        <f>IFERROR(VLOOKUP(TEXT(O215,"0"),CONDUCTORES!$A$3:$G$54,2,0),"")</f>
        <v/>
      </c>
      <c r="Q215" s="332">
        <f>IFERROR(VLOOKUP(TEXT(O215,"0"),CONDUCTORES!$A$3:$H$54,6,0),"")</f>
        <v/>
      </c>
      <c r="R215" s="334" t="n"/>
      <c r="S215" s="334" t="n"/>
      <c r="T215" s="334" t="n"/>
      <c r="U215" s="334" t="n"/>
      <c r="V215" s="334" t="n"/>
      <c r="W215" s="334" t="n"/>
      <c r="X215" s="334" t="n"/>
      <c r="Y215" s="334" t="n"/>
    </row>
    <row r="216" ht="15" customHeight="1" s="195">
      <c r="A216" s="280" t="n"/>
      <c r="B216" s="280" t="n"/>
      <c r="C216" s="280" t="n"/>
      <c r="D216" s="280" t="n"/>
      <c r="E216" s="280" t="n"/>
      <c r="F216" s="280" t="n"/>
      <c r="G216" s="280" t="n"/>
      <c r="H216" s="280" t="n"/>
      <c r="I216" s="332">
        <f>IFERROR(VLOOKUP(TEXT(H216,"0"),IPRESS!$A$3:$B$212,2,0),"")</f>
        <v/>
      </c>
      <c r="J216" s="280" t="n"/>
      <c r="K216" s="332">
        <f>IFERROR(VLOOKUP(TEXT(O216,"0"),CONDUCTORES!$A$3:$G$54,7,0),"")</f>
        <v/>
      </c>
      <c r="L216" s="280" t="n"/>
      <c r="M216" s="280" t="n"/>
      <c r="N216" s="333">
        <f>IFERROR(IF(L216*M216=0,"",L216*M216),"")</f>
        <v/>
      </c>
      <c r="O216" s="280" t="n"/>
      <c r="P216" s="332">
        <f>IFERROR(VLOOKUP(TEXT(O216,"0"),CONDUCTORES!$A$3:$G$54,2,0),"")</f>
        <v/>
      </c>
      <c r="Q216" s="332">
        <f>IFERROR(VLOOKUP(TEXT(O216,"0"),CONDUCTORES!$A$3:$H$54,6,0),"")</f>
        <v/>
      </c>
      <c r="R216" s="280" t="n"/>
      <c r="S216" s="280" t="n"/>
      <c r="T216" s="280" t="n"/>
      <c r="U216" s="280" t="n"/>
      <c r="V216" s="280" t="n"/>
      <c r="W216" s="280" t="n"/>
      <c r="X216" s="280" t="n"/>
      <c r="Y216" s="280" t="n"/>
    </row>
    <row r="217" ht="15" customHeight="1" s="195">
      <c r="A217" s="334" t="n"/>
      <c r="B217" s="334" t="n"/>
      <c r="C217" s="334" t="n"/>
      <c r="D217" s="334" t="n"/>
      <c r="E217" s="334" t="n"/>
      <c r="F217" s="334" t="n"/>
      <c r="G217" s="334" t="n"/>
      <c r="H217" s="334" t="n"/>
      <c r="I217" s="332">
        <f>IFERROR(VLOOKUP(TEXT(H217,"0"),IPRESS!$A$3:$B$212,2,0),"")</f>
        <v/>
      </c>
      <c r="J217" s="334" t="n"/>
      <c r="K217" s="332">
        <f>IFERROR(VLOOKUP(TEXT(O217,"0"),CONDUCTORES!$A$3:$G$54,7,0),"")</f>
        <v/>
      </c>
      <c r="L217" s="334" t="n"/>
      <c r="M217" s="334" t="n"/>
      <c r="N217" s="333">
        <f>IFERROR(IF(L217*M217=0,"",L217*M217),"")</f>
        <v/>
      </c>
      <c r="O217" s="334" t="n"/>
      <c r="P217" s="332">
        <f>IFERROR(VLOOKUP(TEXT(O217,"0"),CONDUCTORES!$A$3:$G$54,2,0),"")</f>
        <v/>
      </c>
      <c r="Q217" s="332">
        <f>IFERROR(VLOOKUP(TEXT(O217,"0"),CONDUCTORES!$A$3:$H$54,6,0),"")</f>
        <v/>
      </c>
      <c r="R217" s="334" t="n"/>
      <c r="S217" s="334" t="n"/>
      <c r="T217" s="334" t="n"/>
      <c r="U217" s="334" t="n"/>
      <c r="V217" s="334" t="n"/>
      <c r="W217" s="334" t="n"/>
      <c r="X217" s="334" t="n"/>
      <c r="Y217" s="334" t="n"/>
    </row>
    <row r="218" ht="15" customHeight="1" s="195">
      <c r="A218" s="280" t="n"/>
      <c r="B218" s="280" t="n"/>
      <c r="C218" s="280" t="n"/>
      <c r="D218" s="280" t="n"/>
      <c r="E218" s="280" t="n"/>
      <c r="F218" s="280" t="n"/>
      <c r="G218" s="280" t="n"/>
      <c r="H218" s="280" t="n"/>
      <c r="I218" s="332">
        <f>IFERROR(VLOOKUP(TEXT(H218,"0"),IPRESS!$A$3:$B$212,2,0),"")</f>
        <v/>
      </c>
      <c r="J218" s="280" t="n"/>
      <c r="K218" s="332">
        <f>IFERROR(VLOOKUP(TEXT(O218,"0"),CONDUCTORES!$A$3:$G$54,7,0),"")</f>
        <v/>
      </c>
      <c r="L218" s="280" t="n"/>
      <c r="M218" s="280" t="n"/>
      <c r="N218" s="333">
        <f>IFERROR(IF(L218*M218=0,"",L218*M218),"")</f>
        <v/>
      </c>
      <c r="O218" s="280" t="n"/>
      <c r="P218" s="332">
        <f>IFERROR(VLOOKUP(TEXT(O218,"0"),CONDUCTORES!$A$3:$G$54,2,0),"")</f>
        <v/>
      </c>
      <c r="Q218" s="332">
        <f>IFERROR(VLOOKUP(TEXT(O218,"0"),CONDUCTORES!$A$3:$H$54,6,0),"")</f>
        <v/>
      </c>
      <c r="R218" s="280" t="n"/>
      <c r="S218" s="280" t="n"/>
      <c r="T218" s="280" t="n"/>
      <c r="U218" s="280" t="n"/>
      <c r="V218" s="280" t="n"/>
      <c r="W218" s="280" t="n"/>
      <c r="X218" s="280" t="n"/>
      <c r="Y218" s="280" t="n"/>
    </row>
    <row r="219" ht="15" customHeight="1" s="195">
      <c r="A219" s="334" t="n"/>
      <c r="B219" s="334" t="n"/>
      <c r="C219" s="334" t="n"/>
      <c r="D219" s="334" t="n"/>
      <c r="E219" s="334" t="n"/>
      <c r="F219" s="334" t="n"/>
      <c r="G219" s="334" t="n"/>
      <c r="H219" s="334" t="n"/>
      <c r="I219" s="332">
        <f>IFERROR(VLOOKUP(TEXT(H219,"0"),IPRESS!$A$3:$B$212,2,0),"")</f>
        <v/>
      </c>
      <c r="J219" s="334" t="n"/>
      <c r="K219" s="332">
        <f>IFERROR(VLOOKUP(TEXT(O219,"0"),CONDUCTORES!$A$3:$G$54,7,0),"")</f>
        <v/>
      </c>
      <c r="L219" s="334" t="n"/>
      <c r="M219" s="334" t="n"/>
      <c r="N219" s="333">
        <f>IFERROR(IF(L219*M219=0,"",L219*M219),"")</f>
        <v/>
      </c>
      <c r="O219" s="334" t="n"/>
      <c r="P219" s="332">
        <f>IFERROR(VLOOKUP(TEXT(O219,"0"),CONDUCTORES!$A$3:$G$54,2,0),"")</f>
        <v/>
      </c>
      <c r="Q219" s="332">
        <f>IFERROR(VLOOKUP(TEXT(O219,"0"),CONDUCTORES!$A$3:$H$54,6,0),"")</f>
        <v/>
      </c>
      <c r="R219" s="334" t="n"/>
      <c r="S219" s="334" t="n"/>
      <c r="T219" s="334" t="n"/>
      <c r="U219" s="334" t="n"/>
      <c r="V219" s="334" t="n"/>
      <c r="W219" s="334" t="n"/>
      <c r="X219" s="334" t="n"/>
      <c r="Y219" s="334" t="n"/>
    </row>
    <row r="220" ht="15" customHeight="1" s="195">
      <c r="A220" s="280" t="n"/>
      <c r="B220" s="280" t="n"/>
      <c r="C220" s="280" t="n"/>
      <c r="D220" s="280" t="n"/>
      <c r="E220" s="280" t="n"/>
      <c r="F220" s="280" t="n"/>
      <c r="G220" s="280" t="n"/>
      <c r="H220" s="280" t="n"/>
      <c r="I220" s="332">
        <f>IFERROR(VLOOKUP(TEXT(H220,"0"),IPRESS!$A$3:$B$212,2,0),"")</f>
        <v/>
      </c>
      <c r="J220" s="280" t="n"/>
      <c r="K220" s="332">
        <f>IFERROR(VLOOKUP(TEXT(O220,"0"),CONDUCTORES!$A$3:$G$54,7,0),"")</f>
        <v/>
      </c>
      <c r="L220" s="280" t="n"/>
      <c r="M220" s="280" t="n"/>
      <c r="N220" s="333">
        <f>IFERROR(IF(L220*M220=0,"",L220*M220),"")</f>
        <v/>
      </c>
      <c r="O220" s="280" t="n"/>
      <c r="P220" s="332">
        <f>IFERROR(VLOOKUP(TEXT(O220,"0"),CONDUCTORES!$A$3:$G$54,2,0),"")</f>
        <v/>
      </c>
      <c r="Q220" s="332">
        <f>IFERROR(VLOOKUP(TEXT(O220,"0"),CONDUCTORES!$A$3:$H$54,6,0),"")</f>
        <v/>
      </c>
      <c r="R220" s="280" t="n"/>
      <c r="S220" s="280" t="n"/>
      <c r="T220" s="280" t="n"/>
      <c r="U220" s="280" t="n"/>
      <c r="V220" s="280" t="n"/>
      <c r="W220" s="280" t="n"/>
      <c r="X220" s="280" t="n"/>
      <c r="Y220" s="280" t="n"/>
    </row>
    <row r="221" ht="15" customHeight="1" s="195">
      <c r="A221" s="334" t="n"/>
      <c r="B221" s="334" t="n"/>
      <c r="C221" s="334" t="n"/>
      <c r="D221" s="334" t="n"/>
      <c r="E221" s="334" t="n"/>
      <c r="F221" s="334" t="n"/>
      <c r="G221" s="334" t="n"/>
      <c r="H221" s="334" t="n"/>
      <c r="I221" s="332">
        <f>IFERROR(VLOOKUP(TEXT(H221,"0"),IPRESS!$A$3:$B$212,2,0),"")</f>
        <v/>
      </c>
      <c r="J221" s="334" t="n"/>
      <c r="K221" s="332">
        <f>IFERROR(VLOOKUP(TEXT(O221,"0"),CONDUCTORES!$A$3:$G$54,7,0),"")</f>
        <v/>
      </c>
      <c r="L221" s="334" t="n"/>
      <c r="M221" s="334" t="n"/>
      <c r="N221" s="333">
        <f>IFERROR(IF(L221*M221=0,"",L221*M221),"")</f>
        <v/>
      </c>
      <c r="O221" s="334" t="n"/>
      <c r="P221" s="332">
        <f>IFERROR(VLOOKUP(TEXT(O221,"0"),CONDUCTORES!$A$3:$G$54,2,0),"")</f>
        <v/>
      </c>
      <c r="Q221" s="332">
        <f>IFERROR(VLOOKUP(TEXT(O221,"0"),CONDUCTORES!$A$3:$H$54,6,0),"")</f>
        <v/>
      </c>
      <c r="R221" s="334" t="n"/>
      <c r="S221" s="334" t="n"/>
      <c r="T221" s="334" t="n"/>
      <c r="U221" s="334" t="n"/>
      <c r="V221" s="334" t="n"/>
      <c r="W221" s="334" t="n"/>
      <c r="X221" s="334" t="n"/>
      <c r="Y221" s="334" t="n"/>
    </row>
    <row r="222" ht="15" customHeight="1" s="195">
      <c r="A222" s="280" t="n"/>
      <c r="B222" s="280" t="n"/>
      <c r="C222" s="280" t="n"/>
      <c r="D222" s="280" t="n"/>
      <c r="E222" s="280" t="n"/>
      <c r="F222" s="280" t="n"/>
      <c r="G222" s="280" t="n"/>
      <c r="H222" s="280" t="n"/>
      <c r="I222" s="332">
        <f>IFERROR(VLOOKUP(TEXT(H222,"0"),IPRESS!$A$3:$B$212,2,0),"")</f>
        <v/>
      </c>
      <c r="J222" s="280" t="n"/>
      <c r="K222" s="332">
        <f>IFERROR(VLOOKUP(TEXT(O222,"0"),CONDUCTORES!$A$3:$G$54,7,0),"")</f>
        <v/>
      </c>
      <c r="L222" s="280" t="n"/>
      <c r="M222" s="280" t="n"/>
      <c r="N222" s="333">
        <f>IFERROR(IF(L222*M222=0,"",L222*M222),"")</f>
        <v/>
      </c>
      <c r="O222" s="280" t="n"/>
      <c r="P222" s="332">
        <f>IFERROR(VLOOKUP(TEXT(O222,"0"),CONDUCTORES!$A$3:$G$54,2,0),"")</f>
        <v/>
      </c>
      <c r="Q222" s="332">
        <f>IFERROR(VLOOKUP(TEXT(O222,"0"),CONDUCTORES!$A$3:$H$54,6,0),"")</f>
        <v/>
      </c>
      <c r="R222" s="280" t="n"/>
      <c r="S222" s="280" t="n"/>
      <c r="T222" s="280" t="n"/>
      <c r="U222" s="280" t="n"/>
      <c r="V222" s="280" t="n"/>
      <c r="W222" s="280" t="n"/>
      <c r="X222" s="280" t="n"/>
      <c r="Y222" s="280" t="n"/>
    </row>
    <row r="223" ht="15" customHeight="1" s="195">
      <c r="A223" s="334" t="n"/>
      <c r="B223" s="334" t="n"/>
      <c r="C223" s="334" t="n"/>
      <c r="D223" s="334" t="n"/>
      <c r="E223" s="334" t="n"/>
      <c r="F223" s="334" t="n"/>
      <c r="G223" s="334" t="n"/>
      <c r="H223" s="334" t="n"/>
      <c r="I223" s="332">
        <f>IFERROR(VLOOKUP(TEXT(H223,"0"),IPRESS!$A$3:$B$212,2,0),"")</f>
        <v/>
      </c>
      <c r="J223" s="334" t="n"/>
      <c r="K223" s="332">
        <f>IFERROR(VLOOKUP(TEXT(O223,"0"),CONDUCTORES!$A$3:$G$54,7,0),"")</f>
        <v/>
      </c>
      <c r="L223" s="334" t="n"/>
      <c r="M223" s="334" t="n"/>
      <c r="N223" s="333">
        <f>IFERROR(IF(L223*M223=0,"",L223*M223),"")</f>
        <v/>
      </c>
      <c r="O223" s="334" t="n"/>
      <c r="P223" s="332">
        <f>IFERROR(VLOOKUP(TEXT(O223,"0"),CONDUCTORES!$A$3:$G$54,2,0),"")</f>
        <v/>
      </c>
      <c r="Q223" s="332">
        <f>IFERROR(VLOOKUP(TEXT(O223,"0"),CONDUCTORES!$A$3:$H$54,6,0),"")</f>
        <v/>
      </c>
      <c r="R223" s="334" t="n"/>
      <c r="S223" s="334" t="n"/>
      <c r="T223" s="334" t="n"/>
      <c r="U223" s="334" t="n"/>
      <c r="V223" s="334" t="n"/>
      <c r="W223" s="334" t="n"/>
      <c r="X223" s="334" t="n"/>
      <c r="Y223" s="334" t="n"/>
    </row>
    <row r="224" ht="15" customHeight="1" s="195">
      <c r="A224" s="280" t="n"/>
      <c r="B224" s="280" t="n"/>
      <c r="C224" s="280" t="n"/>
      <c r="D224" s="280" t="n"/>
      <c r="E224" s="280" t="n"/>
      <c r="F224" s="280" t="n"/>
      <c r="G224" s="280" t="n"/>
      <c r="H224" s="280" t="n"/>
      <c r="I224" s="332">
        <f>IFERROR(VLOOKUP(TEXT(H224,"0"),IPRESS!$A$3:$B$212,2,0),"")</f>
        <v/>
      </c>
      <c r="J224" s="280" t="n"/>
      <c r="K224" s="332">
        <f>IFERROR(VLOOKUP(TEXT(O224,"0"),CONDUCTORES!$A$3:$G$54,7,0),"")</f>
        <v/>
      </c>
      <c r="L224" s="280" t="n"/>
      <c r="M224" s="280" t="n"/>
      <c r="N224" s="333">
        <f>IFERROR(IF(L224*M224=0,"",L224*M224),"")</f>
        <v/>
      </c>
      <c r="O224" s="280" t="n"/>
      <c r="P224" s="332">
        <f>IFERROR(VLOOKUP(TEXT(O224,"0"),CONDUCTORES!$A$3:$G$54,2,0),"")</f>
        <v/>
      </c>
      <c r="Q224" s="332">
        <f>IFERROR(VLOOKUP(TEXT(O224,"0"),CONDUCTORES!$A$3:$H$54,6,0),"")</f>
        <v/>
      </c>
      <c r="R224" s="280" t="n"/>
      <c r="S224" s="280" t="n"/>
      <c r="T224" s="280" t="n"/>
      <c r="U224" s="280" t="n"/>
      <c r="V224" s="280" t="n"/>
      <c r="W224" s="280" t="n"/>
      <c r="X224" s="280" t="n"/>
      <c r="Y224" s="280" t="n"/>
    </row>
    <row r="225" ht="15" customHeight="1" s="195">
      <c r="A225" s="334" t="n"/>
      <c r="B225" s="334" t="n"/>
      <c r="C225" s="334" t="n"/>
      <c r="D225" s="334" t="n"/>
      <c r="E225" s="334" t="n"/>
      <c r="F225" s="334" t="n"/>
      <c r="G225" s="334" t="n"/>
      <c r="H225" s="334" t="n"/>
      <c r="I225" s="332">
        <f>IFERROR(VLOOKUP(TEXT(H225,"0"),IPRESS!$A$3:$B$212,2,0),"")</f>
        <v/>
      </c>
      <c r="J225" s="334" t="n"/>
      <c r="K225" s="332">
        <f>IFERROR(VLOOKUP(TEXT(O225,"0"),CONDUCTORES!$A$3:$G$54,7,0),"")</f>
        <v/>
      </c>
      <c r="L225" s="334" t="n"/>
      <c r="M225" s="334" t="n"/>
      <c r="N225" s="333">
        <f>IFERROR(IF(L225*M225=0,"",L225*M225),"")</f>
        <v/>
      </c>
      <c r="O225" s="334" t="n"/>
      <c r="P225" s="332">
        <f>IFERROR(VLOOKUP(TEXT(O225,"0"),CONDUCTORES!$A$3:$G$54,2,0),"")</f>
        <v/>
      </c>
      <c r="Q225" s="332">
        <f>IFERROR(VLOOKUP(TEXT(O225,"0"),CONDUCTORES!$A$3:$H$54,6,0),"")</f>
        <v/>
      </c>
      <c r="R225" s="334" t="n"/>
      <c r="S225" s="334" t="n"/>
      <c r="T225" s="334" t="n"/>
      <c r="U225" s="334" t="n"/>
      <c r="V225" s="334" t="n"/>
      <c r="W225" s="334" t="n"/>
      <c r="X225" s="334" t="n"/>
      <c r="Y225" s="334" t="n"/>
    </row>
    <row r="226" ht="15" customHeight="1" s="195">
      <c r="A226" s="280" t="n"/>
      <c r="B226" s="280" t="n"/>
      <c r="C226" s="280" t="n"/>
      <c r="D226" s="280" t="n"/>
      <c r="E226" s="280" t="n"/>
      <c r="F226" s="280" t="n"/>
      <c r="G226" s="280" t="n"/>
      <c r="H226" s="280" t="n"/>
      <c r="I226" s="332">
        <f>IFERROR(VLOOKUP(TEXT(H226,"0"),IPRESS!$A$3:$B$212,2,0),"")</f>
        <v/>
      </c>
      <c r="J226" s="280" t="n"/>
      <c r="K226" s="332">
        <f>IFERROR(VLOOKUP(TEXT(O226,"0"),CONDUCTORES!$A$3:$G$54,7,0),"")</f>
        <v/>
      </c>
      <c r="L226" s="280" t="n"/>
      <c r="M226" s="280" t="n"/>
      <c r="N226" s="333">
        <f>IFERROR(IF(L226*M226=0,"",L226*M226),"")</f>
        <v/>
      </c>
      <c r="O226" s="280" t="n"/>
      <c r="P226" s="332">
        <f>IFERROR(VLOOKUP(TEXT(O226,"0"),CONDUCTORES!$A$3:$G$54,2,0),"")</f>
        <v/>
      </c>
      <c r="Q226" s="332">
        <f>IFERROR(VLOOKUP(TEXT(O226,"0"),CONDUCTORES!$A$3:$H$54,6,0),"")</f>
        <v/>
      </c>
      <c r="R226" s="280" t="n"/>
      <c r="S226" s="280" t="n"/>
      <c r="T226" s="280" t="n"/>
      <c r="U226" s="280" t="n"/>
      <c r="V226" s="280" t="n"/>
      <c r="W226" s="280" t="n"/>
      <c r="X226" s="280" t="n"/>
      <c r="Y226" s="280" t="n"/>
    </row>
    <row r="227" ht="15" customHeight="1" s="195">
      <c r="A227" s="334" t="n"/>
      <c r="B227" s="334" t="n"/>
      <c r="C227" s="334" t="n"/>
      <c r="D227" s="334" t="n"/>
      <c r="E227" s="334" t="n"/>
      <c r="F227" s="334" t="n"/>
      <c r="G227" s="334" t="n"/>
      <c r="H227" s="334" t="n"/>
      <c r="I227" s="332">
        <f>IFERROR(VLOOKUP(TEXT(H227,"0"),IPRESS!$A$3:$B$212,2,0),"")</f>
        <v/>
      </c>
      <c r="J227" s="334" t="n"/>
      <c r="K227" s="332">
        <f>IFERROR(VLOOKUP(TEXT(O227,"0"),CONDUCTORES!$A$3:$G$54,7,0),"")</f>
        <v/>
      </c>
      <c r="L227" s="334" t="n"/>
      <c r="M227" s="334" t="n"/>
      <c r="N227" s="333">
        <f>IFERROR(IF(L227*M227=0,"",L227*M227),"")</f>
        <v/>
      </c>
      <c r="O227" s="334" t="n"/>
      <c r="P227" s="332">
        <f>IFERROR(VLOOKUP(TEXT(O227,"0"),CONDUCTORES!$A$3:$G$54,2,0),"")</f>
        <v/>
      </c>
      <c r="Q227" s="332">
        <f>IFERROR(VLOOKUP(TEXT(O227,"0"),CONDUCTORES!$A$3:$H$54,6,0),"")</f>
        <v/>
      </c>
      <c r="R227" s="334" t="n"/>
      <c r="S227" s="334" t="n"/>
      <c r="T227" s="334" t="n"/>
      <c r="U227" s="334" t="n"/>
      <c r="V227" s="334" t="n"/>
      <c r="W227" s="334" t="n"/>
      <c r="X227" s="334" t="n"/>
      <c r="Y227" s="334" t="n"/>
    </row>
    <row r="228" ht="15" customHeight="1" s="195">
      <c r="A228" s="280" t="n"/>
      <c r="B228" s="280" t="n"/>
      <c r="C228" s="280" t="n"/>
      <c r="D228" s="280" t="n"/>
      <c r="E228" s="280" t="n"/>
      <c r="F228" s="280" t="n"/>
      <c r="G228" s="280" t="n"/>
      <c r="H228" s="280" t="n"/>
      <c r="I228" s="332">
        <f>IFERROR(VLOOKUP(TEXT(H228,"0"),IPRESS!$A$3:$B$212,2,0),"")</f>
        <v/>
      </c>
      <c r="J228" s="280" t="n"/>
      <c r="K228" s="332">
        <f>IFERROR(VLOOKUP(TEXT(O228,"0"),CONDUCTORES!$A$3:$G$54,7,0),"")</f>
        <v/>
      </c>
      <c r="L228" s="280" t="n"/>
      <c r="M228" s="280" t="n"/>
      <c r="N228" s="333">
        <f>IFERROR(IF(L228*M228=0,"",L228*M228),"")</f>
        <v/>
      </c>
      <c r="O228" s="280" t="n"/>
      <c r="P228" s="332">
        <f>IFERROR(VLOOKUP(TEXT(O228,"0"),CONDUCTORES!$A$3:$G$54,2,0),"")</f>
        <v/>
      </c>
      <c r="Q228" s="332">
        <f>IFERROR(VLOOKUP(TEXT(O228,"0"),CONDUCTORES!$A$3:$H$54,6,0),"")</f>
        <v/>
      </c>
      <c r="R228" s="280" t="n"/>
      <c r="S228" s="280" t="n"/>
      <c r="T228" s="280" t="n"/>
      <c r="U228" s="280" t="n"/>
      <c r="V228" s="280" t="n"/>
      <c r="W228" s="280" t="n"/>
      <c r="X228" s="280" t="n"/>
      <c r="Y228" s="280" t="n"/>
    </row>
    <row r="229" ht="15" customHeight="1" s="195">
      <c r="A229" s="334" t="n"/>
      <c r="B229" s="334" t="n"/>
      <c r="C229" s="334" t="n"/>
      <c r="D229" s="334" t="n"/>
      <c r="E229" s="334" t="n"/>
      <c r="F229" s="334" t="n"/>
      <c r="G229" s="334" t="n"/>
      <c r="H229" s="334" t="n"/>
      <c r="I229" s="332">
        <f>IFERROR(VLOOKUP(TEXT(H229,"0"),IPRESS!$A$3:$B$212,2,0),"")</f>
        <v/>
      </c>
      <c r="J229" s="334" t="n"/>
      <c r="K229" s="332">
        <f>IFERROR(VLOOKUP(TEXT(O229,"0"),CONDUCTORES!$A$3:$G$54,7,0),"")</f>
        <v/>
      </c>
      <c r="L229" s="334" t="n"/>
      <c r="M229" s="334" t="n"/>
      <c r="N229" s="333">
        <f>IFERROR(IF(L229*M229=0,"",L229*M229),"")</f>
        <v/>
      </c>
      <c r="O229" s="334" t="n"/>
      <c r="P229" s="332">
        <f>IFERROR(VLOOKUP(TEXT(O229,"0"),CONDUCTORES!$A$3:$G$54,2,0),"")</f>
        <v/>
      </c>
      <c r="Q229" s="332">
        <f>IFERROR(VLOOKUP(TEXT(O229,"0"),CONDUCTORES!$A$3:$H$54,6,0),"")</f>
        <v/>
      </c>
      <c r="R229" s="334" t="n"/>
      <c r="S229" s="334" t="n"/>
      <c r="T229" s="334" t="n"/>
      <c r="U229" s="334" t="n"/>
      <c r="V229" s="334" t="n"/>
      <c r="W229" s="334" t="n"/>
      <c r="X229" s="334" t="n"/>
      <c r="Y229" s="334" t="n"/>
    </row>
    <row r="230" ht="15" customHeight="1" s="195">
      <c r="A230" s="280" t="n"/>
      <c r="B230" s="280" t="n"/>
      <c r="C230" s="280" t="n"/>
      <c r="D230" s="280" t="n"/>
      <c r="E230" s="280" t="n"/>
      <c r="F230" s="280" t="n"/>
      <c r="G230" s="280" t="n"/>
      <c r="H230" s="280" t="n"/>
      <c r="I230" s="332">
        <f>IFERROR(VLOOKUP(TEXT(H230,"0"),IPRESS!$A$3:$B$212,2,0),"")</f>
        <v/>
      </c>
      <c r="J230" s="280" t="n"/>
      <c r="K230" s="332">
        <f>IFERROR(VLOOKUP(TEXT(O230,"0"),CONDUCTORES!$A$3:$G$54,7,0),"")</f>
        <v/>
      </c>
      <c r="L230" s="280" t="n"/>
      <c r="M230" s="280" t="n"/>
      <c r="N230" s="333">
        <f>IFERROR(IF(L230*M230=0,"",L230*M230),"")</f>
        <v/>
      </c>
      <c r="O230" s="280" t="n"/>
      <c r="P230" s="332">
        <f>IFERROR(VLOOKUP(TEXT(O230,"0"),CONDUCTORES!$A$3:$G$54,2,0),"")</f>
        <v/>
      </c>
      <c r="Q230" s="332">
        <f>IFERROR(VLOOKUP(TEXT(O230,"0"),CONDUCTORES!$A$3:$H$54,6,0),"")</f>
        <v/>
      </c>
      <c r="R230" s="280" t="n"/>
      <c r="S230" s="280" t="n"/>
      <c r="T230" s="280" t="n"/>
      <c r="U230" s="280" t="n"/>
      <c r="V230" s="280" t="n"/>
      <c r="W230" s="280" t="n"/>
      <c r="X230" s="280" t="n"/>
      <c r="Y230" s="280" t="n"/>
    </row>
    <row r="231" ht="15" customHeight="1" s="195">
      <c r="A231" s="334" t="n"/>
      <c r="B231" s="334" t="n"/>
      <c r="C231" s="334" t="n"/>
      <c r="D231" s="334" t="n"/>
      <c r="E231" s="334" t="n"/>
      <c r="F231" s="334" t="n"/>
      <c r="G231" s="334" t="n"/>
      <c r="H231" s="334" t="n"/>
      <c r="I231" s="332">
        <f>IFERROR(VLOOKUP(TEXT(H231,"0"),IPRESS!$A$3:$B$212,2,0),"")</f>
        <v/>
      </c>
      <c r="J231" s="334" t="n"/>
      <c r="K231" s="332">
        <f>IFERROR(VLOOKUP(TEXT(O231,"0"),CONDUCTORES!$A$3:$G$54,7,0),"")</f>
        <v/>
      </c>
      <c r="L231" s="334" t="n"/>
      <c r="M231" s="334" t="n"/>
      <c r="N231" s="333">
        <f>IFERROR(IF(L231*M231=0,"",L231*M231),"")</f>
        <v/>
      </c>
      <c r="O231" s="334" t="n"/>
      <c r="P231" s="332">
        <f>IFERROR(VLOOKUP(TEXT(O231,"0"),CONDUCTORES!$A$3:$G$54,2,0),"")</f>
        <v/>
      </c>
      <c r="Q231" s="332">
        <f>IFERROR(VLOOKUP(TEXT(O231,"0"),CONDUCTORES!$A$3:$H$54,6,0),"")</f>
        <v/>
      </c>
      <c r="R231" s="334" t="n"/>
      <c r="S231" s="334" t="n"/>
      <c r="T231" s="334" t="n"/>
      <c r="U231" s="334" t="n"/>
      <c r="V231" s="334" t="n"/>
      <c r="W231" s="334" t="n"/>
      <c r="X231" s="334" t="n"/>
      <c r="Y231" s="334" t="n"/>
    </row>
    <row r="232" ht="15" customHeight="1" s="195">
      <c r="A232" s="280" t="n"/>
      <c r="B232" s="280" t="n"/>
      <c r="C232" s="280" t="n"/>
      <c r="D232" s="280" t="n"/>
      <c r="E232" s="280" t="n"/>
      <c r="F232" s="280" t="n"/>
      <c r="G232" s="280" t="n"/>
      <c r="H232" s="280" t="n"/>
      <c r="I232" s="332">
        <f>IFERROR(VLOOKUP(TEXT(H232,"0"),IPRESS!$A$3:$B$212,2,0),"")</f>
        <v/>
      </c>
      <c r="J232" s="280" t="n"/>
      <c r="K232" s="332">
        <f>IFERROR(VLOOKUP(TEXT(O232,"0"),CONDUCTORES!$A$3:$G$54,7,0),"")</f>
        <v/>
      </c>
      <c r="L232" s="280" t="n"/>
      <c r="M232" s="280" t="n"/>
      <c r="N232" s="333">
        <f>IFERROR(IF(L232*M232=0,"",L232*M232),"")</f>
        <v/>
      </c>
      <c r="O232" s="280" t="n"/>
      <c r="P232" s="332">
        <f>IFERROR(VLOOKUP(TEXT(O232,"0"),CONDUCTORES!$A$3:$G$54,2,0),"")</f>
        <v/>
      </c>
      <c r="Q232" s="332">
        <f>IFERROR(VLOOKUP(TEXT(O232,"0"),CONDUCTORES!$A$3:$H$54,6,0),"")</f>
        <v/>
      </c>
      <c r="R232" s="280" t="n"/>
      <c r="S232" s="280" t="n"/>
      <c r="T232" s="280" t="n"/>
      <c r="U232" s="280" t="n"/>
      <c r="V232" s="280" t="n"/>
      <c r="W232" s="280" t="n"/>
      <c r="X232" s="280" t="n"/>
      <c r="Y232" s="280" t="n"/>
    </row>
    <row r="233" ht="15" customHeight="1" s="195">
      <c r="A233" s="334" t="n"/>
      <c r="B233" s="334" t="n"/>
      <c r="C233" s="334" t="n"/>
      <c r="D233" s="334" t="n"/>
      <c r="E233" s="334" t="n"/>
      <c r="F233" s="334" t="n"/>
      <c r="G233" s="334" t="n"/>
      <c r="H233" s="334" t="n"/>
      <c r="I233" s="332">
        <f>IFERROR(VLOOKUP(TEXT(H233,"0"),IPRESS!$A$3:$B$212,2,0),"")</f>
        <v/>
      </c>
      <c r="J233" s="334" t="n"/>
      <c r="K233" s="332">
        <f>IFERROR(VLOOKUP(TEXT(O233,"0"),CONDUCTORES!$A$3:$G$54,7,0),"")</f>
        <v/>
      </c>
      <c r="L233" s="334" t="n"/>
      <c r="M233" s="334" t="n"/>
      <c r="N233" s="333">
        <f>IFERROR(IF(L233*M233=0,"",L233*M233),"")</f>
        <v/>
      </c>
      <c r="O233" s="334" t="n"/>
      <c r="P233" s="332">
        <f>IFERROR(VLOOKUP(TEXT(O233,"0"),CONDUCTORES!$A$3:$G$54,2,0),"")</f>
        <v/>
      </c>
      <c r="Q233" s="332">
        <f>IFERROR(VLOOKUP(TEXT(O233,"0"),CONDUCTORES!$A$3:$H$54,6,0),"")</f>
        <v/>
      </c>
      <c r="R233" s="334" t="n"/>
      <c r="S233" s="334" t="n"/>
      <c r="T233" s="334" t="n"/>
      <c r="U233" s="334" t="n"/>
      <c r="V233" s="334" t="n"/>
      <c r="W233" s="334" t="n"/>
      <c r="X233" s="334" t="n"/>
      <c r="Y233" s="334" t="n"/>
    </row>
    <row r="234" ht="15" customHeight="1" s="195">
      <c r="A234" s="280" t="n"/>
      <c r="B234" s="280" t="n"/>
      <c r="C234" s="280" t="n"/>
      <c r="D234" s="280" t="n"/>
      <c r="E234" s="280" t="n"/>
      <c r="F234" s="280" t="n"/>
      <c r="G234" s="280" t="n"/>
      <c r="H234" s="280" t="n"/>
      <c r="I234" s="332">
        <f>IFERROR(VLOOKUP(TEXT(H234,"0"),IPRESS!$A$3:$B$212,2,0),"")</f>
        <v/>
      </c>
      <c r="J234" s="280" t="n"/>
      <c r="K234" s="332">
        <f>IFERROR(VLOOKUP(TEXT(O234,"0"),CONDUCTORES!$A$3:$G$54,7,0),"")</f>
        <v/>
      </c>
      <c r="L234" s="280" t="n"/>
      <c r="M234" s="280" t="n"/>
      <c r="N234" s="333">
        <f>IFERROR(IF(L234*M234=0,"",L234*M234),"")</f>
        <v/>
      </c>
      <c r="O234" s="280" t="n"/>
      <c r="P234" s="332">
        <f>IFERROR(VLOOKUP(TEXT(O234,"0"),CONDUCTORES!$A$3:$G$54,2,0),"")</f>
        <v/>
      </c>
      <c r="Q234" s="332">
        <f>IFERROR(VLOOKUP(TEXT(O234,"0"),CONDUCTORES!$A$3:$H$54,6,0),"")</f>
        <v/>
      </c>
      <c r="R234" s="280" t="n"/>
      <c r="S234" s="280" t="n"/>
      <c r="T234" s="280" t="n"/>
      <c r="U234" s="280" t="n"/>
      <c r="V234" s="280" t="n"/>
      <c r="W234" s="280" t="n"/>
      <c r="X234" s="280" t="n"/>
      <c r="Y234" s="280" t="n"/>
    </row>
    <row r="235" ht="15" customHeight="1" s="195">
      <c r="A235" s="334" t="n"/>
      <c r="B235" s="334" t="n"/>
      <c r="C235" s="334" t="n"/>
      <c r="D235" s="334" t="n"/>
      <c r="E235" s="334" t="n"/>
      <c r="F235" s="334" t="n"/>
      <c r="G235" s="334" t="n"/>
      <c r="H235" s="334" t="n"/>
      <c r="I235" s="332">
        <f>IFERROR(VLOOKUP(TEXT(H235,"0"),IPRESS!$A$3:$B$212,2,0),"")</f>
        <v/>
      </c>
      <c r="J235" s="334" t="n"/>
      <c r="K235" s="332">
        <f>IFERROR(VLOOKUP(TEXT(O235,"0"),CONDUCTORES!$A$3:$G$54,7,0),"")</f>
        <v/>
      </c>
      <c r="L235" s="334" t="n"/>
      <c r="M235" s="334" t="n"/>
      <c r="N235" s="333">
        <f>IFERROR(IF(L235*M235=0,"",L235*M235),"")</f>
        <v/>
      </c>
      <c r="O235" s="334" t="n"/>
      <c r="P235" s="332">
        <f>IFERROR(VLOOKUP(TEXT(O235,"0"),CONDUCTORES!$A$3:$G$54,2,0),"")</f>
        <v/>
      </c>
      <c r="Q235" s="332">
        <f>IFERROR(VLOOKUP(TEXT(O235,"0"),CONDUCTORES!$A$3:$H$54,6,0),"")</f>
        <v/>
      </c>
      <c r="R235" s="334" t="n"/>
      <c r="S235" s="334" t="n"/>
      <c r="T235" s="334" t="n"/>
      <c r="U235" s="334" t="n"/>
      <c r="V235" s="334" t="n"/>
      <c r="W235" s="334" t="n"/>
      <c r="X235" s="334" t="n"/>
      <c r="Y235" s="334" t="n"/>
    </row>
    <row r="236" ht="15" customHeight="1" s="195">
      <c r="A236" s="280" t="n"/>
      <c r="B236" s="280" t="n"/>
      <c r="C236" s="280" t="n"/>
      <c r="D236" s="280" t="n"/>
      <c r="E236" s="280" t="n"/>
      <c r="F236" s="280" t="n"/>
      <c r="G236" s="280" t="n"/>
      <c r="H236" s="280" t="n"/>
      <c r="I236" s="332">
        <f>IFERROR(VLOOKUP(TEXT(H236,"0"),IPRESS!$A$3:$B$212,2,0),"")</f>
        <v/>
      </c>
      <c r="J236" s="280" t="n"/>
      <c r="K236" s="332">
        <f>IFERROR(VLOOKUP(TEXT(O236,"0"),CONDUCTORES!$A$3:$G$54,7,0),"")</f>
        <v/>
      </c>
      <c r="L236" s="280" t="n"/>
      <c r="M236" s="280" t="n"/>
      <c r="N236" s="333">
        <f>IFERROR(IF(L236*M236=0,"",L236*M236),"")</f>
        <v/>
      </c>
      <c r="O236" s="280" t="n"/>
      <c r="P236" s="332">
        <f>IFERROR(VLOOKUP(TEXT(O236,"0"),CONDUCTORES!$A$3:$G$54,2,0),"")</f>
        <v/>
      </c>
      <c r="Q236" s="332">
        <f>IFERROR(VLOOKUP(TEXT(O236,"0"),CONDUCTORES!$A$3:$H$54,6,0),"")</f>
        <v/>
      </c>
      <c r="R236" s="280" t="n"/>
      <c r="S236" s="280" t="n"/>
      <c r="T236" s="280" t="n"/>
      <c r="U236" s="280" t="n"/>
      <c r="V236" s="280" t="n"/>
      <c r="W236" s="280" t="n"/>
      <c r="X236" s="280" t="n"/>
      <c r="Y236" s="280" t="n"/>
    </row>
    <row r="237" ht="15" customHeight="1" s="195">
      <c r="A237" s="334" t="n"/>
      <c r="B237" s="334" t="n"/>
      <c r="C237" s="334" t="n"/>
      <c r="D237" s="334" t="n"/>
      <c r="E237" s="334" t="n"/>
      <c r="F237" s="334" t="n"/>
      <c r="G237" s="334" t="n"/>
      <c r="H237" s="334" t="n"/>
      <c r="I237" s="332">
        <f>IFERROR(VLOOKUP(TEXT(H237,"0"),IPRESS!$A$3:$B$212,2,0),"")</f>
        <v/>
      </c>
      <c r="J237" s="334" t="n"/>
      <c r="K237" s="332">
        <f>IFERROR(VLOOKUP(TEXT(O237,"0"),CONDUCTORES!$A$3:$G$54,7,0),"")</f>
        <v/>
      </c>
      <c r="L237" s="334" t="n"/>
      <c r="M237" s="334" t="n"/>
      <c r="N237" s="333">
        <f>IFERROR(IF(L237*M237=0,"",L237*M237),"")</f>
        <v/>
      </c>
      <c r="O237" s="334" t="n"/>
      <c r="P237" s="332">
        <f>IFERROR(VLOOKUP(TEXT(O237,"0"),CONDUCTORES!$A$3:$G$54,2,0),"")</f>
        <v/>
      </c>
      <c r="Q237" s="332">
        <f>IFERROR(VLOOKUP(TEXT(O237,"0"),CONDUCTORES!$A$3:$H$54,6,0),"")</f>
        <v/>
      </c>
      <c r="R237" s="334" t="n"/>
      <c r="S237" s="334" t="n"/>
      <c r="T237" s="334" t="n"/>
      <c r="U237" s="334" t="n"/>
      <c r="V237" s="334" t="n"/>
      <c r="W237" s="334" t="n"/>
      <c r="X237" s="334" t="n"/>
      <c r="Y237" s="334" t="n"/>
    </row>
    <row r="238" ht="15" customHeight="1" s="195">
      <c r="A238" s="280" t="n"/>
      <c r="B238" s="280" t="n"/>
      <c r="C238" s="280" t="n"/>
      <c r="D238" s="280" t="n"/>
      <c r="E238" s="280" t="n"/>
      <c r="F238" s="280" t="n"/>
      <c r="G238" s="280" t="n"/>
      <c r="H238" s="280" t="n"/>
      <c r="I238" s="332">
        <f>IFERROR(VLOOKUP(TEXT(H238,"0"),IPRESS!$A$3:$B$212,2,0),"")</f>
        <v/>
      </c>
      <c r="J238" s="280" t="n"/>
      <c r="K238" s="332">
        <f>IFERROR(VLOOKUP(TEXT(O238,"0"),CONDUCTORES!$A$3:$G$54,7,0),"")</f>
        <v/>
      </c>
      <c r="L238" s="280" t="n"/>
      <c r="M238" s="280" t="n"/>
      <c r="N238" s="333">
        <f>IFERROR(IF(L238*M238=0,"",L238*M238),"")</f>
        <v/>
      </c>
      <c r="O238" s="280" t="n"/>
      <c r="P238" s="332">
        <f>IFERROR(VLOOKUP(TEXT(O238,"0"),CONDUCTORES!$A$3:$G$54,2,0),"")</f>
        <v/>
      </c>
      <c r="Q238" s="332">
        <f>IFERROR(VLOOKUP(TEXT(O238,"0"),CONDUCTORES!$A$3:$H$54,6,0),"")</f>
        <v/>
      </c>
      <c r="R238" s="280" t="n"/>
      <c r="S238" s="280" t="n"/>
      <c r="T238" s="280" t="n"/>
      <c r="U238" s="280" t="n"/>
      <c r="V238" s="280" t="n"/>
      <c r="W238" s="280" t="n"/>
      <c r="X238" s="280" t="n"/>
      <c r="Y238" s="280" t="n"/>
    </row>
    <row r="239" ht="15" customHeight="1" s="195">
      <c r="A239" s="334" t="n"/>
      <c r="B239" s="334" t="n"/>
      <c r="C239" s="334" t="n"/>
      <c r="D239" s="334" t="n"/>
      <c r="E239" s="334" t="n"/>
      <c r="F239" s="334" t="n"/>
      <c r="G239" s="334" t="n"/>
      <c r="H239" s="334" t="n"/>
      <c r="I239" s="332">
        <f>IFERROR(VLOOKUP(TEXT(H239,"0"),IPRESS!$A$3:$B$212,2,0),"")</f>
        <v/>
      </c>
      <c r="J239" s="334" t="n"/>
      <c r="K239" s="332">
        <f>IFERROR(VLOOKUP(TEXT(O239,"0"),CONDUCTORES!$A$3:$G$54,7,0),"")</f>
        <v/>
      </c>
      <c r="L239" s="334" t="n"/>
      <c r="M239" s="334" t="n"/>
      <c r="N239" s="333">
        <f>IFERROR(IF(L239*M239=0,"",L239*M239),"")</f>
        <v/>
      </c>
      <c r="O239" s="334" t="n"/>
      <c r="P239" s="332">
        <f>IFERROR(VLOOKUP(TEXT(O239,"0"),CONDUCTORES!$A$3:$G$54,2,0),"")</f>
        <v/>
      </c>
      <c r="Q239" s="332">
        <f>IFERROR(VLOOKUP(TEXT(O239,"0"),CONDUCTORES!$A$3:$H$54,6,0),"")</f>
        <v/>
      </c>
      <c r="R239" s="334" t="n"/>
      <c r="S239" s="334" t="n"/>
      <c r="T239" s="334" t="n"/>
      <c r="U239" s="334" t="n"/>
      <c r="V239" s="334" t="n"/>
      <c r="W239" s="334" t="n"/>
      <c r="X239" s="334" t="n"/>
      <c r="Y239" s="334" t="n"/>
    </row>
    <row r="240" ht="15" customHeight="1" s="195">
      <c r="A240" s="280" t="n"/>
      <c r="B240" s="280" t="n"/>
      <c r="C240" s="280" t="n"/>
      <c r="D240" s="280" t="n"/>
      <c r="E240" s="280" t="n"/>
      <c r="F240" s="280" t="n"/>
      <c r="G240" s="280" t="n"/>
      <c r="H240" s="280" t="n"/>
      <c r="I240" s="332">
        <f>IFERROR(VLOOKUP(TEXT(H240,"0"),IPRESS!$A$3:$B$212,2,0),"")</f>
        <v/>
      </c>
      <c r="J240" s="280" t="n"/>
      <c r="K240" s="332">
        <f>IFERROR(VLOOKUP(TEXT(O240,"0"),CONDUCTORES!$A$3:$G$54,7,0),"")</f>
        <v/>
      </c>
      <c r="L240" s="280" t="n"/>
      <c r="M240" s="280" t="n"/>
      <c r="N240" s="333">
        <f>IFERROR(IF(L240*M240=0,"",L240*M240),"")</f>
        <v/>
      </c>
      <c r="O240" s="280" t="n"/>
      <c r="P240" s="332">
        <f>IFERROR(VLOOKUP(TEXT(O240,"0"),CONDUCTORES!$A$3:$G$54,2,0),"")</f>
        <v/>
      </c>
      <c r="Q240" s="332">
        <f>IFERROR(VLOOKUP(TEXT(O240,"0"),CONDUCTORES!$A$3:$H$54,6,0),"")</f>
        <v/>
      </c>
      <c r="R240" s="280" t="n"/>
      <c r="S240" s="280" t="n"/>
      <c r="T240" s="280" t="n"/>
      <c r="U240" s="280" t="n"/>
      <c r="V240" s="280" t="n"/>
      <c r="W240" s="280" t="n"/>
      <c r="X240" s="280" t="n"/>
      <c r="Y240" s="280" t="n"/>
    </row>
    <row r="241" ht="15" customHeight="1" s="195">
      <c r="A241" s="334" t="n"/>
      <c r="B241" s="334" t="n"/>
      <c r="C241" s="334" t="n"/>
      <c r="D241" s="334" t="n"/>
      <c r="E241" s="334" t="n"/>
      <c r="F241" s="334" t="n"/>
      <c r="G241" s="334" t="n"/>
      <c r="H241" s="334" t="n"/>
      <c r="I241" s="332">
        <f>IFERROR(VLOOKUP(TEXT(H241,"0"),IPRESS!$A$3:$B$212,2,0),"")</f>
        <v/>
      </c>
      <c r="J241" s="334" t="n"/>
      <c r="K241" s="332">
        <f>IFERROR(VLOOKUP(TEXT(O241,"0"),CONDUCTORES!$A$3:$G$54,7,0),"")</f>
        <v/>
      </c>
      <c r="L241" s="334" t="n"/>
      <c r="M241" s="334" t="n"/>
      <c r="N241" s="333">
        <f>IFERROR(IF(L241*M241=0,"",L241*M241),"")</f>
        <v/>
      </c>
      <c r="O241" s="334" t="n"/>
      <c r="P241" s="332">
        <f>IFERROR(VLOOKUP(TEXT(O241,"0"),CONDUCTORES!$A$3:$G$54,2,0),"")</f>
        <v/>
      </c>
      <c r="Q241" s="332">
        <f>IFERROR(VLOOKUP(TEXT(O241,"0"),CONDUCTORES!$A$3:$H$54,6,0),"")</f>
        <v/>
      </c>
      <c r="R241" s="334" t="n"/>
      <c r="S241" s="334" t="n"/>
      <c r="T241" s="334" t="n"/>
      <c r="U241" s="334" t="n"/>
      <c r="V241" s="334" t="n"/>
      <c r="W241" s="334" t="n"/>
      <c r="X241" s="334" t="n"/>
      <c r="Y241" s="334" t="n"/>
    </row>
    <row r="242" ht="15" customHeight="1" s="195">
      <c r="A242" s="280" t="n"/>
      <c r="B242" s="280" t="n"/>
      <c r="C242" s="280" t="n"/>
      <c r="D242" s="280" t="n"/>
      <c r="E242" s="280" t="n"/>
      <c r="F242" s="280" t="n"/>
      <c r="G242" s="280" t="n"/>
      <c r="H242" s="280" t="n"/>
      <c r="I242" s="332">
        <f>IFERROR(VLOOKUP(TEXT(H242,"0"),IPRESS!$A$3:$B$212,2,0),"")</f>
        <v/>
      </c>
      <c r="J242" s="280" t="n"/>
      <c r="K242" s="332">
        <f>IFERROR(VLOOKUP(TEXT(O242,"0"),CONDUCTORES!$A$3:$G$54,7,0),"")</f>
        <v/>
      </c>
      <c r="L242" s="280" t="n"/>
      <c r="M242" s="280" t="n"/>
      <c r="N242" s="333">
        <f>IFERROR(IF(L242*M242=0,"",L242*M242),"")</f>
        <v/>
      </c>
      <c r="O242" s="280" t="n"/>
      <c r="P242" s="332">
        <f>IFERROR(VLOOKUP(TEXT(O242,"0"),CONDUCTORES!$A$3:$G$54,2,0),"")</f>
        <v/>
      </c>
      <c r="Q242" s="332">
        <f>IFERROR(VLOOKUP(TEXT(O242,"0"),CONDUCTORES!$A$3:$H$54,6,0),"")</f>
        <v/>
      </c>
      <c r="R242" s="280" t="n"/>
      <c r="S242" s="280" t="n"/>
      <c r="T242" s="280" t="n"/>
      <c r="U242" s="280" t="n"/>
      <c r="V242" s="280" t="n"/>
      <c r="W242" s="280" t="n"/>
      <c r="X242" s="280" t="n"/>
      <c r="Y242" s="280" t="n"/>
    </row>
    <row r="243" ht="15" customHeight="1" s="195">
      <c r="A243" s="334" t="n"/>
      <c r="B243" s="334" t="n"/>
      <c r="C243" s="334" t="n"/>
      <c r="D243" s="334" t="n"/>
      <c r="E243" s="334" t="n"/>
      <c r="F243" s="334" t="n"/>
      <c r="G243" s="334" t="n"/>
      <c r="H243" s="334" t="n"/>
      <c r="I243" s="332">
        <f>IFERROR(VLOOKUP(TEXT(H243,"0"),IPRESS!$A$3:$B$212,2,0),"")</f>
        <v/>
      </c>
      <c r="J243" s="334" t="n"/>
      <c r="K243" s="332">
        <f>IFERROR(VLOOKUP(TEXT(O243,"0"),CONDUCTORES!$A$3:$G$54,7,0),"")</f>
        <v/>
      </c>
      <c r="L243" s="334" t="n"/>
      <c r="M243" s="334" t="n"/>
      <c r="N243" s="333">
        <f>IFERROR(IF(L243*M243=0,"",L243*M243),"")</f>
        <v/>
      </c>
      <c r="O243" s="334" t="n"/>
      <c r="P243" s="332">
        <f>IFERROR(VLOOKUP(TEXT(O243,"0"),CONDUCTORES!$A$3:$G$54,2,0),"")</f>
        <v/>
      </c>
      <c r="Q243" s="332">
        <f>IFERROR(VLOOKUP(TEXT(O243,"0"),CONDUCTORES!$A$3:$H$54,6,0),"")</f>
        <v/>
      </c>
      <c r="R243" s="334" t="n"/>
      <c r="S243" s="334" t="n"/>
      <c r="T243" s="334" t="n"/>
      <c r="U243" s="334" t="n"/>
      <c r="V243" s="334" t="n"/>
      <c r="W243" s="334" t="n"/>
      <c r="X243" s="334" t="n"/>
      <c r="Y243" s="334" t="n"/>
    </row>
    <row r="244" ht="15" customHeight="1" s="195">
      <c r="A244" s="280" t="n"/>
      <c r="B244" s="280" t="n"/>
      <c r="C244" s="280" t="n"/>
      <c r="D244" s="280" t="n"/>
      <c r="E244" s="280" t="n"/>
      <c r="F244" s="280" t="n"/>
      <c r="G244" s="280" t="n"/>
      <c r="H244" s="280" t="n"/>
      <c r="I244" s="332">
        <f>IFERROR(VLOOKUP(TEXT(H244,"0"),IPRESS!$A$3:$B$212,2,0),"")</f>
        <v/>
      </c>
      <c r="J244" s="280" t="n"/>
      <c r="K244" s="332">
        <f>IFERROR(VLOOKUP(TEXT(O244,"0"),CONDUCTORES!$A$3:$G$54,7,0),"")</f>
        <v/>
      </c>
      <c r="L244" s="280" t="n"/>
      <c r="M244" s="280" t="n"/>
      <c r="N244" s="333">
        <f>IFERROR(IF(L244*M244=0,"",L244*M244),"")</f>
        <v/>
      </c>
      <c r="O244" s="280" t="n"/>
      <c r="P244" s="332">
        <f>IFERROR(VLOOKUP(TEXT(O244,"0"),CONDUCTORES!$A$3:$G$54,2,0),"")</f>
        <v/>
      </c>
      <c r="Q244" s="332">
        <f>IFERROR(VLOOKUP(TEXT(O244,"0"),CONDUCTORES!$A$3:$H$54,6,0),"")</f>
        <v/>
      </c>
      <c r="R244" s="280" t="n"/>
      <c r="S244" s="280" t="n"/>
      <c r="T244" s="280" t="n"/>
      <c r="U244" s="280" t="n"/>
      <c r="V244" s="280" t="n"/>
      <c r="W244" s="280" t="n"/>
      <c r="X244" s="280" t="n"/>
      <c r="Y244" s="280" t="n"/>
    </row>
    <row r="245" ht="15" customHeight="1" s="195">
      <c r="A245" s="334" t="n"/>
      <c r="B245" s="334" t="n"/>
      <c r="C245" s="334" t="n"/>
      <c r="D245" s="334" t="n"/>
      <c r="E245" s="334" t="n"/>
      <c r="F245" s="334" t="n"/>
      <c r="G245" s="334" t="n"/>
      <c r="H245" s="334" t="n"/>
      <c r="I245" s="332">
        <f>IFERROR(VLOOKUP(TEXT(H245,"0"),IPRESS!$A$3:$B$212,2,0),"")</f>
        <v/>
      </c>
      <c r="J245" s="334" t="n"/>
      <c r="K245" s="332">
        <f>IFERROR(VLOOKUP(TEXT(O245,"0"),CONDUCTORES!$A$3:$G$54,7,0),"")</f>
        <v/>
      </c>
      <c r="L245" s="334" t="n"/>
      <c r="M245" s="334" t="n"/>
      <c r="N245" s="333">
        <f>IFERROR(IF(L245*M245=0,"",L245*M245),"")</f>
        <v/>
      </c>
      <c r="O245" s="334" t="n"/>
      <c r="P245" s="332">
        <f>IFERROR(VLOOKUP(TEXT(O245,"0"),CONDUCTORES!$A$3:$G$54,2,0),"")</f>
        <v/>
      </c>
      <c r="Q245" s="332">
        <f>IFERROR(VLOOKUP(TEXT(O245,"0"),CONDUCTORES!$A$3:$H$54,6,0),"")</f>
        <v/>
      </c>
      <c r="R245" s="334" t="n"/>
      <c r="S245" s="334" t="n"/>
      <c r="T245" s="334" t="n"/>
      <c r="U245" s="334" t="n"/>
      <c r="V245" s="334" t="n"/>
      <c r="W245" s="334" t="n"/>
      <c r="X245" s="334" t="n"/>
      <c r="Y245" s="334" t="n"/>
    </row>
    <row r="246" ht="15" customHeight="1" s="195">
      <c r="A246" s="280" t="n"/>
      <c r="B246" s="280" t="n"/>
      <c r="C246" s="280" t="n"/>
      <c r="D246" s="280" t="n"/>
      <c r="E246" s="280" t="n"/>
      <c r="F246" s="280" t="n"/>
      <c r="G246" s="280" t="n"/>
      <c r="H246" s="280" t="n"/>
      <c r="I246" s="332">
        <f>IFERROR(VLOOKUP(TEXT(H246,"0"),IPRESS!$A$3:$B$212,2,0),"")</f>
        <v/>
      </c>
      <c r="J246" s="280" t="n"/>
      <c r="K246" s="332">
        <f>IFERROR(VLOOKUP(TEXT(O246,"0"),CONDUCTORES!$A$3:$G$54,7,0),"")</f>
        <v/>
      </c>
      <c r="L246" s="280" t="n"/>
      <c r="M246" s="280" t="n"/>
      <c r="N246" s="333">
        <f>IFERROR(IF(L246*M246=0,"",L246*M246),"")</f>
        <v/>
      </c>
      <c r="O246" s="280" t="n"/>
      <c r="P246" s="332">
        <f>IFERROR(VLOOKUP(TEXT(O246,"0"),CONDUCTORES!$A$3:$G$54,2,0),"")</f>
        <v/>
      </c>
      <c r="Q246" s="332">
        <f>IFERROR(VLOOKUP(TEXT(O246,"0"),CONDUCTORES!$A$3:$H$54,6,0),"")</f>
        <v/>
      </c>
      <c r="R246" s="280" t="n"/>
      <c r="S246" s="280" t="n"/>
      <c r="T246" s="280" t="n"/>
      <c r="U246" s="280" t="n"/>
      <c r="V246" s="280" t="n"/>
      <c r="W246" s="280" t="n"/>
      <c r="X246" s="280" t="n"/>
      <c r="Y246" s="280" t="n"/>
    </row>
    <row r="247" ht="15" customHeight="1" s="195">
      <c r="A247" s="334" t="n"/>
      <c r="B247" s="334" t="n"/>
      <c r="C247" s="334" t="n"/>
      <c r="D247" s="334" t="n"/>
      <c r="E247" s="334" t="n"/>
      <c r="F247" s="334" t="n"/>
      <c r="G247" s="334" t="n"/>
      <c r="H247" s="334" t="n"/>
      <c r="I247" s="332">
        <f>IFERROR(VLOOKUP(TEXT(H247,"0"),IPRESS!$A$3:$B$212,2,0),"")</f>
        <v/>
      </c>
      <c r="J247" s="334" t="n"/>
      <c r="K247" s="332">
        <f>IFERROR(VLOOKUP(TEXT(O247,"0"),CONDUCTORES!$A$3:$G$54,7,0),"")</f>
        <v/>
      </c>
      <c r="L247" s="334" t="n"/>
      <c r="M247" s="334" t="n"/>
      <c r="N247" s="333">
        <f>IFERROR(IF(L247*M247=0,"",L247*M247),"")</f>
        <v/>
      </c>
      <c r="O247" s="334" t="n"/>
      <c r="P247" s="332">
        <f>IFERROR(VLOOKUP(TEXT(O247,"0"),CONDUCTORES!$A$3:$G$54,2,0),"")</f>
        <v/>
      </c>
      <c r="Q247" s="332">
        <f>IFERROR(VLOOKUP(TEXT(O247,"0"),CONDUCTORES!$A$3:$H$54,6,0),"")</f>
        <v/>
      </c>
      <c r="R247" s="334" t="n"/>
      <c r="S247" s="334" t="n"/>
      <c r="T247" s="334" t="n"/>
      <c r="U247" s="334" t="n"/>
      <c r="V247" s="334" t="n"/>
      <c r="W247" s="334" t="n"/>
      <c r="X247" s="334" t="n"/>
      <c r="Y247" s="334" t="n"/>
    </row>
    <row r="248" ht="15" customHeight="1" s="195">
      <c r="A248" s="280" t="n"/>
      <c r="B248" s="280" t="n"/>
      <c r="C248" s="280" t="n"/>
      <c r="D248" s="280" t="n"/>
      <c r="E248" s="280" t="n"/>
      <c r="F248" s="280" t="n"/>
      <c r="G248" s="280" t="n"/>
      <c r="H248" s="280" t="n"/>
      <c r="I248" s="332">
        <f>IFERROR(VLOOKUP(TEXT(H248,"0"),IPRESS!$A$3:$B$212,2,0),"")</f>
        <v/>
      </c>
      <c r="J248" s="280" t="n"/>
      <c r="K248" s="332">
        <f>IFERROR(VLOOKUP(TEXT(O248,"0"),CONDUCTORES!$A$3:$G$54,7,0),"")</f>
        <v/>
      </c>
      <c r="L248" s="280" t="n"/>
      <c r="M248" s="280" t="n"/>
      <c r="N248" s="333">
        <f>IFERROR(IF(L248*M248=0,"",L248*M248),"")</f>
        <v/>
      </c>
      <c r="O248" s="280" t="n"/>
      <c r="P248" s="332">
        <f>IFERROR(VLOOKUP(TEXT(O248,"0"),CONDUCTORES!$A$3:$G$54,2,0),"")</f>
        <v/>
      </c>
      <c r="Q248" s="332">
        <f>IFERROR(VLOOKUP(TEXT(O248,"0"),CONDUCTORES!$A$3:$H$54,6,0),"")</f>
        <v/>
      </c>
      <c r="R248" s="280" t="n"/>
      <c r="S248" s="280" t="n"/>
      <c r="T248" s="280" t="n"/>
      <c r="U248" s="280" t="n"/>
      <c r="V248" s="280" t="n"/>
      <c r="W248" s="280" t="n"/>
      <c r="X248" s="280" t="n"/>
      <c r="Y248" s="280" t="n"/>
    </row>
    <row r="249" ht="15" customHeight="1" s="195">
      <c r="A249" s="334" t="n"/>
      <c r="B249" s="334" t="n"/>
      <c r="C249" s="334" t="n"/>
      <c r="D249" s="334" t="n"/>
      <c r="E249" s="334" t="n"/>
      <c r="F249" s="334" t="n"/>
      <c r="G249" s="334" t="n"/>
      <c r="H249" s="334" t="n"/>
      <c r="I249" s="332">
        <f>IFERROR(VLOOKUP(TEXT(H249,"0"),IPRESS!$A$3:$B$212,2,0),"")</f>
        <v/>
      </c>
      <c r="J249" s="334" t="n"/>
      <c r="K249" s="332">
        <f>IFERROR(VLOOKUP(TEXT(O249,"0"),CONDUCTORES!$A$3:$G$54,7,0),"")</f>
        <v/>
      </c>
      <c r="L249" s="334" t="n"/>
      <c r="M249" s="334" t="n"/>
      <c r="N249" s="333">
        <f>IFERROR(IF(L249*M249=0,"",L249*M249),"")</f>
        <v/>
      </c>
      <c r="O249" s="334" t="n"/>
      <c r="P249" s="332">
        <f>IFERROR(VLOOKUP(TEXT(O249,"0"),CONDUCTORES!$A$3:$G$54,2,0),"")</f>
        <v/>
      </c>
      <c r="Q249" s="332">
        <f>IFERROR(VLOOKUP(TEXT(O249,"0"),CONDUCTORES!$A$3:$H$54,6,0),"")</f>
        <v/>
      </c>
      <c r="R249" s="334" t="n"/>
      <c r="S249" s="334" t="n"/>
      <c r="T249" s="334" t="n"/>
      <c r="U249" s="334" t="n"/>
      <c r="V249" s="334" t="n"/>
      <c r="W249" s="334" t="n"/>
      <c r="X249" s="334" t="n"/>
      <c r="Y249" s="334" t="n"/>
    </row>
    <row r="250" ht="15" customHeight="1" s="195">
      <c r="A250" s="280" t="n"/>
      <c r="B250" s="280" t="n"/>
      <c r="C250" s="280" t="n"/>
      <c r="D250" s="280" t="n"/>
      <c r="E250" s="280" t="n"/>
      <c r="F250" s="280" t="n"/>
      <c r="G250" s="280" t="n"/>
      <c r="H250" s="280" t="n"/>
      <c r="I250" s="332">
        <f>IFERROR(VLOOKUP(TEXT(H250,"0"),IPRESS!$A$3:$B$212,2,0),"")</f>
        <v/>
      </c>
      <c r="J250" s="280" t="n"/>
      <c r="K250" s="332">
        <f>IFERROR(VLOOKUP(TEXT(O250,"0"),CONDUCTORES!$A$3:$G$54,7,0),"")</f>
        <v/>
      </c>
      <c r="L250" s="280" t="n"/>
      <c r="M250" s="280" t="n"/>
      <c r="N250" s="333">
        <f>IFERROR(IF(L250*M250=0,"",L250*M250),"")</f>
        <v/>
      </c>
      <c r="O250" s="280" t="n"/>
      <c r="P250" s="332">
        <f>IFERROR(VLOOKUP(TEXT(O250,"0"),CONDUCTORES!$A$3:$G$54,2,0),"")</f>
        <v/>
      </c>
      <c r="Q250" s="332">
        <f>IFERROR(VLOOKUP(TEXT(O250,"0"),CONDUCTORES!$A$3:$H$54,6,0),"")</f>
        <v/>
      </c>
      <c r="R250" s="280" t="n"/>
      <c r="S250" s="280" t="n"/>
      <c r="T250" s="280" t="n"/>
      <c r="U250" s="280" t="n"/>
      <c r="V250" s="280" t="n"/>
      <c r="W250" s="280" t="n"/>
      <c r="X250" s="280" t="n"/>
      <c r="Y250" s="280" t="n"/>
    </row>
    <row r="251" ht="15" customHeight="1" s="195">
      <c r="A251" s="334" t="n"/>
      <c r="B251" s="334" t="n"/>
      <c r="C251" s="334" t="n"/>
      <c r="D251" s="334" t="n"/>
      <c r="E251" s="334" t="n"/>
      <c r="F251" s="334" t="n"/>
      <c r="G251" s="334" t="n"/>
      <c r="H251" s="334" t="n"/>
      <c r="I251" s="332">
        <f>IFERROR(VLOOKUP(TEXT(H251,"0"),IPRESS!$A$3:$B$212,2,0),"")</f>
        <v/>
      </c>
      <c r="J251" s="334" t="n"/>
      <c r="K251" s="332">
        <f>IFERROR(VLOOKUP(TEXT(O251,"0"),CONDUCTORES!$A$3:$G$54,7,0),"")</f>
        <v/>
      </c>
      <c r="L251" s="334" t="n"/>
      <c r="M251" s="334" t="n"/>
      <c r="N251" s="333">
        <f>IFERROR(IF(L251*M251=0,"",L251*M251),"")</f>
        <v/>
      </c>
      <c r="O251" s="334" t="n"/>
      <c r="P251" s="332">
        <f>IFERROR(VLOOKUP(TEXT(O251,"0"),CONDUCTORES!$A$3:$G$54,2,0),"")</f>
        <v/>
      </c>
      <c r="Q251" s="332">
        <f>IFERROR(VLOOKUP(TEXT(O251,"0"),CONDUCTORES!$A$3:$H$54,6,0),"")</f>
        <v/>
      </c>
      <c r="R251" s="334" t="n"/>
      <c r="S251" s="334" t="n"/>
      <c r="T251" s="334" t="n"/>
      <c r="U251" s="334" t="n"/>
      <c r="V251" s="334" t="n"/>
      <c r="W251" s="334" t="n"/>
      <c r="X251" s="334" t="n"/>
      <c r="Y251" s="334" t="n"/>
    </row>
    <row r="252" ht="15" customHeight="1" s="195">
      <c r="A252" s="280" t="n"/>
      <c r="B252" s="280" t="n"/>
      <c r="C252" s="280" t="n"/>
      <c r="D252" s="280" t="n"/>
      <c r="E252" s="280" t="n"/>
      <c r="F252" s="280" t="n"/>
      <c r="G252" s="280" t="n"/>
      <c r="H252" s="280" t="n"/>
      <c r="I252" s="332">
        <f>IFERROR(VLOOKUP(TEXT(H252,"0"),IPRESS!$A$3:$B$212,2,0),"")</f>
        <v/>
      </c>
      <c r="J252" s="280" t="n"/>
      <c r="K252" s="332">
        <f>IFERROR(VLOOKUP(TEXT(O252,"0"),CONDUCTORES!$A$3:$G$54,7,0),"")</f>
        <v/>
      </c>
      <c r="L252" s="280" t="n"/>
      <c r="M252" s="280" t="n"/>
      <c r="N252" s="333">
        <f>IFERROR(IF(L252*M252=0,"",L252*M252),"")</f>
        <v/>
      </c>
      <c r="O252" s="280" t="n"/>
      <c r="P252" s="332">
        <f>IFERROR(VLOOKUP(TEXT(O252,"0"),CONDUCTORES!$A$3:$G$54,2,0),"")</f>
        <v/>
      </c>
      <c r="Q252" s="332">
        <f>IFERROR(VLOOKUP(TEXT(O252,"0"),CONDUCTORES!$A$3:$H$54,6,0),"")</f>
        <v/>
      </c>
      <c r="R252" s="280" t="n"/>
      <c r="S252" s="280" t="n"/>
      <c r="T252" s="280" t="n"/>
      <c r="U252" s="280" t="n"/>
      <c r="V252" s="280" t="n"/>
      <c r="W252" s="280" t="n"/>
      <c r="X252" s="280" t="n"/>
      <c r="Y252" s="280" t="n"/>
    </row>
    <row r="253" ht="15" customHeight="1" s="195">
      <c r="A253" s="334" t="n"/>
      <c r="B253" s="334" t="n"/>
      <c r="C253" s="334" t="n"/>
      <c r="D253" s="334" t="n"/>
      <c r="E253" s="334" t="n"/>
      <c r="F253" s="334" t="n"/>
      <c r="G253" s="334" t="n"/>
      <c r="H253" s="334" t="n"/>
      <c r="I253" s="332">
        <f>IFERROR(VLOOKUP(TEXT(H253,"0"),IPRESS!$A$3:$B$212,2,0),"")</f>
        <v/>
      </c>
      <c r="J253" s="334" t="n"/>
      <c r="K253" s="332">
        <f>IFERROR(VLOOKUP(TEXT(O253,"0"),CONDUCTORES!$A$3:$G$54,7,0),"")</f>
        <v/>
      </c>
      <c r="L253" s="334" t="n"/>
      <c r="M253" s="334" t="n"/>
      <c r="N253" s="333">
        <f>IFERROR(IF(L253*M253=0,"",L253*M253),"")</f>
        <v/>
      </c>
      <c r="O253" s="334" t="n"/>
      <c r="P253" s="332">
        <f>IFERROR(VLOOKUP(TEXT(O253,"0"),CONDUCTORES!$A$3:$G$54,2,0),"")</f>
        <v/>
      </c>
      <c r="Q253" s="332">
        <f>IFERROR(VLOOKUP(TEXT(O253,"0"),CONDUCTORES!$A$3:$H$54,6,0),"")</f>
        <v/>
      </c>
      <c r="R253" s="334" t="n"/>
      <c r="S253" s="334" t="n"/>
      <c r="T253" s="334" t="n"/>
      <c r="U253" s="334" t="n"/>
      <c r="V253" s="334" t="n"/>
      <c r="W253" s="334" t="n"/>
      <c r="X253" s="334" t="n"/>
      <c r="Y253" s="334" t="n"/>
    </row>
    <row r="254" ht="15" customHeight="1" s="195">
      <c r="A254" s="280" t="n"/>
      <c r="B254" s="280" t="n"/>
      <c r="C254" s="280" t="n"/>
      <c r="D254" s="280" t="n"/>
      <c r="E254" s="280" t="n"/>
      <c r="F254" s="280" t="n"/>
      <c r="G254" s="280" t="n"/>
      <c r="H254" s="280" t="n"/>
      <c r="I254" s="332">
        <f>IFERROR(VLOOKUP(TEXT(H254,"0"),IPRESS!$A$3:$B$212,2,0),"")</f>
        <v/>
      </c>
      <c r="J254" s="280" t="n"/>
      <c r="K254" s="332">
        <f>IFERROR(VLOOKUP(TEXT(O254,"0"),CONDUCTORES!$A$3:$G$54,7,0),"")</f>
        <v/>
      </c>
      <c r="L254" s="280" t="n"/>
      <c r="M254" s="280" t="n"/>
      <c r="N254" s="333">
        <f>IFERROR(IF(L254*M254=0,"",L254*M254),"")</f>
        <v/>
      </c>
      <c r="O254" s="280" t="n"/>
      <c r="P254" s="332">
        <f>IFERROR(VLOOKUP(TEXT(O254,"0"),CONDUCTORES!$A$3:$G$54,2,0),"")</f>
        <v/>
      </c>
      <c r="Q254" s="332">
        <f>IFERROR(VLOOKUP(TEXT(O254,"0"),CONDUCTORES!$A$3:$H$54,6,0),"")</f>
        <v/>
      </c>
      <c r="R254" s="280" t="n"/>
      <c r="S254" s="280" t="n"/>
      <c r="T254" s="280" t="n"/>
      <c r="U254" s="280" t="n"/>
      <c r="V254" s="280" t="n"/>
      <c r="W254" s="280" t="n"/>
      <c r="X254" s="280" t="n"/>
      <c r="Y254" s="280" t="n"/>
    </row>
    <row r="255" ht="15" customHeight="1" s="195">
      <c r="A255" s="334" t="n"/>
      <c r="B255" s="334" t="n"/>
      <c r="C255" s="334" t="n"/>
      <c r="D255" s="334" t="n"/>
      <c r="E255" s="334" t="n"/>
      <c r="F255" s="334" t="n"/>
      <c r="G255" s="334" t="n"/>
      <c r="H255" s="334" t="n"/>
      <c r="I255" s="332">
        <f>IFERROR(VLOOKUP(TEXT(H255,"0"),IPRESS!$A$3:$B$212,2,0),"")</f>
        <v/>
      </c>
      <c r="J255" s="334" t="n"/>
      <c r="K255" s="332">
        <f>IFERROR(VLOOKUP(TEXT(O255,"0"),CONDUCTORES!$A$3:$G$54,7,0),"")</f>
        <v/>
      </c>
      <c r="L255" s="334" t="n"/>
      <c r="M255" s="334" t="n"/>
      <c r="N255" s="333">
        <f>IFERROR(IF(L255*M255=0,"",L255*M255),"")</f>
        <v/>
      </c>
      <c r="O255" s="334" t="n"/>
      <c r="P255" s="332">
        <f>IFERROR(VLOOKUP(TEXT(O255,"0"),CONDUCTORES!$A$3:$G$54,2,0),"")</f>
        <v/>
      </c>
      <c r="Q255" s="332">
        <f>IFERROR(VLOOKUP(TEXT(O255,"0"),CONDUCTORES!$A$3:$H$54,6,0),"")</f>
        <v/>
      </c>
      <c r="R255" s="334" t="n"/>
      <c r="S255" s="334" t="n"/>
      <c r="T255" s="334" t="n"/>
      <c r="U255" s="334" t="n"/>
      <c r="V255" s="334" t="n"/>
      <c r="W255" s="334" t="n"/>
      <c r="X255" s="334" t="n"/>
      <c r="Y255" s="334" t="n"/>
    </row>
    <row r="256" ht="15" customHeight="1" s="195">
      <c r="A256" s="280" t="n"/>
      <c r="B256" s="280" t="n"/>
      <c r="C256" s="280" t="n"/>
      <c r="D256" s="280" t="n"/>
      <c r="E256" s="280" t="n"/>
      <c r="F256" s="280" t="n"/>
      <c r="G256" s="280" t="n"/>
      <c r="H256" s="280" t="n"/>
      <c r="I256" s="332">
        <f>IFERROR(VLOOKUP(TEXT(H256,"0"),IPRESS!$A$3:$B$212,2,0),"")</f>
        <v/>
      </c>
      <c r="J256" s="280" t="n"/>
      <c r="K256" s="332">
        <f>IFERROR(VLOOKUP(TEXT(O256,"0"),CONDUCTORES!$A$3:$G$54,7,0),"")</f>
        <v/>
      </c>
      <c r="L256" s="280" t="n"/>
      <c r="M256" s="280" t="n"/>
      <c r="N256" s="333">
        <f>IFERROR(IF(L256*M256=0,"",L256*M256),"")</f>
        <v/>
      </c>
      <c r="O256" s="280" t="n"/>
      <c r="P256" s="332">
        <f>IFERROR(VLOOKUP(TEXT(O256,"0"),CONDUCTORES!$A$3:$G$54,2,0),"")</f>
        <v/>
      </c>
      <c r="Q256" s="332">
        <f>IFERROR(VLOOKUP(TEXT(O256,"0"),CONDUCTORES!$A$3:$H$54,6,0),"")</f>
        <v/>
      </c>
      <c r="R256" s="280" t="n"/>
      <c r="S256" s="280" t="n"/>
      <c r="T256" s="280" t="n"/>
      <c r="U256" s="280" t="n"/>
      <c r="V256" s="280" t="n"/>
      <c r="W256" s="280" t="n"/>
      <c r="X256" s="280" t="n"/>
      <c r="Y256" s="280" t="n"/>
    </row>
    <row r="257" ht="15" customHeight="1" s="195">
      <c r="A257" s="334" t="n"/>
      <c r="B257" s="334" t="n"/>
      <c r="C257" s="334" t="n"/>
      <c r="D257" s="334" t="n"/>
      <c r="E257" s="334" t="n"/>
      <c r="F257" s="334" t="n"/>
      <c r="G257" s="334" t="n"/>
      <c r="H257" s="334" t="n"/>
      <c r="I257" s="332">
        <f>IFERROR(VLOOKUP(TEXT(H257,"0"),IPRESS!$A$3:$B$212,2,0),"")</f>
        <v/>
      </c>
      <c r="J257" s="334" t="n"/>
      <c r="K257" s="332">
        <f>IFERROR(VLOOKUP(TEXT(O257,"0"),CONDUCTORES!$A$3:$G$54,7,0),"")</f>
        <v/>
      </c>
      <c r="L257" s="334" t="n"/>
      <c r="M257" s="334" t="n"/>
      <c r="N257" s="333">
        <f>IFERROR(IF(L257*M257=0,"",L257*M257),"")</f>
        <v/>
      </c>
      <c r="O257" s="334" t="n"/>
      <c r="P257" s="332">
        <f>IFERROR(VLOOKUP(TEXT(O257,"0"),CONDUCTORES!$A$3:$G$54,2,0),"")</f>
        <v/>
      </c>
      <c r="Q257" s="332">
        <f>IFERROR(VLOOKUP(TEXT(O257,"0"),CONDUCTORES!$A$3:$H$54,6,0),"")</f>
        <v/>
      </c>
      <c r="R257" s="334" t="n"/>
      <c r="S257" s="334" t="n"/>
      <c r="T257" s="334" t="n"/>
      <c r="U257" s="334" t="n"/>
      <c r="V257" s="334" t="n"/>
      <c r="W257" s="334" t="n"/>
      <c r="X257" s="334" t="n"/>
      <c r="Y257" s="334" t="n"/>
    </row>
    <row r="258" ht="15" customHeight="1" s="195">
      <c r="A258" s="280" t="n"/>
      <c r="B258" s="280" t="n"/>
      <c r="C258" s="280" t="n"/>
      <c r="D258" s="280" t="n"/>
      <c r="E258" s="280" t="n"/>
      <c r="F258" s="280" t="n"/>
      <c r="G258" s="280" t="n"/>
      <c r="H258" s="280" t="n"/>
      <c r="I258" s="332">
        <f>IFERROR(VLOOKUP(TEXT(H258,"0"),IPRESS!$A$3:$B$212,2,0),"")</f>
        <v/>
      </c>
      <c r="J258" s="280" t="n"/>
      <c r="K258" s="332">
        <f>IFERROR(VLOOKUP(TEXT(O258,"0"),CONDUCTORES!$A$3:$G$54,7,0),"")</f>
        <v/>
      </c>
      <c r="L258" s="280" t="n"/>
      <c r="M258" s="280" t="n"/>
      <c r="N258" s="333">
        <f>IFERROR(IF(L258*M258=0,"",L258*M258),"")</f>
        <v/>
      </c>
      <c r="O258" s="280" t="n"/>
      <c r="P258" s="332">
        <f>IFERROR(VLOOKUP(TEXT(O258,"0"),CONDUCTORES!$A$3:$G$54,2,0),"")</f>
        <v/>
      </c>
      <c r="Q258" s="332">
        <f>IFERROR(VLOOKUP(TEXT(O258,"0"),CONDUCTORES!$A$3:$H$54,6,0),"")</f>
        <v/>
      </c>
      <c r="R258" s="280" t="n"/>
      <c r="S258" s="280" t="n"/>
      <c r="T258" s="280" t="n"/>
      <c r="U258" s="280" t="n"/>
      <c r="V258" s="280" t="n"/>
      <c r="W258" s="280" t="n"/>
      <c r="X258" s="280" t="n"/>
      <c r="Y258" s="280" t="n"/>
    </row>
    <row r="259" ht="15" customHeight="1" s="195">
      <c r="A259" s="334" t="n"/>
      <c r="B259" s="334" t="n"/>
      <c r="C259" s="334" t="n"/>
      <c r="D259" s="334" t="n"/>
      <c r="E259" s="334" t="n"/>
      <c r="F259" s="334" t="n"/>
      <c r="G259" s="334" t="n"/>
      <c r="H259" s="334" t="n"/>
      <c r="I259" s="332">
        <f>IFERROR(VLOOKUP(TEXT(H259,"0"),IPRESS!$A$3:$B$212,2,0),"")</f>
        <v/>
      </c>
      <c r="J259" s="334" t="n"/>
      <c r="K259" s="332">
        <f>IFERROR(VLOOKUP(TEXT(O259,"0"),CONDUCTORES!$A$3:$G$54,7,0),"")</f>
        <v/>
      </c>
      <c r="L259" s="334" t="n"/>
      <c r="M259" s="334" t="n"/>
      <c r="N259" s="333">
        <f>IFERROR(IF(L259*M259=0,"",L259*M259),"")</f>
        <v/>
      </c>
      <c r="O259" s="334" t="n"/>
      <c r="P259" s="332">
        <f>IFERROR(VLOOKUP(TEXT(O259,"0"),CONDUCTORES!$A$3:$G$54,2,0),"")</f>
        <v/>
      </c>
      <c r="Q259" s="332">
        <f>IFERROR(VLOOKUP(TEXT(O259,"0"),CONDUCTORES!$A$3:$H$54,6,0),"")</f>
        <v/>
      </c>
      <c r="R259" s="334" t="n"/>
      <c r="S259" s="334" t="n"/>
      <c r="T259" s="334" t="n"/>
      <c r="U259" s="334" t="n"/>
      <c r="V259" s="334" t="n"/>
      <c r="W259" s="334" t="n"/>
      <c r="X259" s="334" t="n"/>
      <c r="Y259" s="334" t="n"/>
    </row>
    <row r="260" ht="15" customHeight="1" s="195">
      <c r="A260" s="280" t="n"/>
      <c r="B260" s="280" t="n"/>
      <c r="C260" s="280" t="n"/>
      <c r="D260" s="280" t="n"/>
      <c r="E260" s="280" t="n"/>
      <c r="F260" s="280" t="n"/>
      <c r="G260" s="280" t="n"/>
      <c r="H260" s="280" t="n"/>
      <c r="I260" s="332">
        <f>IFERROR(VLOOKUP(TEXT(H260,"0"),IPRESS!$A$3:$B$212,2,0),"")</f>
        <v/>
      </c>
      <c r="J260" s="280" t="n"/>
      <c r="K260" s="332">
        <f>IFERROR(VLOOKUP(TEXT(O260,"0"),CONDUCTORES!$A$3:$G$54,7,0),"")</f>
        <v/>
      </c>
      <c r="L260" s="280" t="n"/>
      <c r="M260" s="280" t="n"/>
      <c r="N260" s="333">
        <f>IFERROR(IF(L260*M260=0,"",L260*M260),"")</f>
        <v/>
      </c>
      <c r="O260" s="280" t="n"/>
      <c r="P260" s="332">
        <f>IFERROR(VLOOKUP(TEXT(O260,"0"),CONDUCTORES!$A$3:$G$54,2,0),"")</f>
        <v/>
      </c>
      <c r="Q260" s="332">
        <f>IFERROR(VLOOKUP(TEXT(O260,"0"),CONDUCTORES!$A$3:$H$54,6,0),"")</f>
        <v/>
      </c>
      <c r="R260" s="280" t="n"/>
      <c r="S260" s="280" t="n"/>
      <c r="T260" s="280" t="n"/>
      <c r="U260" s="280" t="n"/>
      <c r="V260" s="280" t="n"/>
      <c r="W260" s="280" t="n"/>
      <c r="X260" s="280" t="n"/>
      <c r="Y260" s="280" t="n"/>
    </row>
    <row r="261" ht="15" customHeight="1" s="195">
      <c r="A261" s="334" t="n"/>
      <c r="B261" s="334" t="n"/>
      <c r="C261" s="334" t="n"/>
      <c r="D261" s="334" t="n"/>
      <c r="E261" s="334" t="n"/>
      <c r="F261" s="334" t="n"/>
      <c r="G261" s="334" t="n"/>
      <c r="H261" s="334" t="n"/>
      <c r="I261" s="332">
        <f>IFERROR(VLOOKUP(TEXT(H261,"0"),IPRESS!$A$3:$B$212,2,0),"")</f>
        <v/>
      </c>
      <c r="J261" s="334" t="n"/>
      <c r="K261" s="332">
        <f>IFERROR(VLOOKUP(TEXT(O261,"0"),CONDUCTORES!$A$3:$G$54,7,0),"")</f>
        <v/>
      </c>
      <c r="L261" s="334" t="n"/>
      <c r="M261" s="334" t="n"/>
      <c r="N261" s="333">
        <f>IFERROR(IF(L261*M261=0,"",L261*M261),"")</f>
        <v/>
      </c>
      <c r="O261" s="334" t="n"/>
      <c r="P261" s="332">
        <f>IFERROR(VLOOKUP(TEXT(O261,"0"),CONDUCTORES!$A$3:$G$54,2,0),"")</f>
        <v/>
      </c>
      <c r="Q261" s="332">
        <f>IFERROR(VLOOKUP(TEXT(O261,"0"),CONDUCTORES!$A$3:$H$54,6,0),"")</f>
        <v/>
      </c>
      <c r="R261" s="334" t="n"/>
      <c r="S261" s="334" t="n"/>
      <c r="T261" s="334" t="n"/>
      <c r="U261" s="334" t="n"/>
      <c r="V261" s="334" t="n"/>
      <c r="W261" s="334" t="n"/>
      <c r="X261" s="334" t="n"/>
      <c r="Y261" s="334" t="n"/>
    </row>
    <row r="262" ht="15" customHeight="1" s="195">
      <c r="A262" s="280" t="n"/>
      <c r="B262" s="280" t="n"/>
      <c r="C262" s="280" t="n"/>
      <c r="D262" s="280" t="n"/>
      <c r="E262" s="280" t="n"/>
      <c r="F262" s="280" t="n"/>
      <c r="G262" s="280" t="n"/>
      <c r="H262" s="280" t="n"/>
      <c r="I262" s="332">
        <f>IFERROR(VLOOKUP(TEXT(H262,"0"),IPRESS!$A$3:$B$212,2,0),"")</f>
        <v/>
      </c>
      <c r="J262" s="280" t="n"/>
      <c r="K262" s="332">
        <f>IFERROR(VLOOKUP(TEXT(O262,"0"),CONDUCTORES!$A$3:$G$54,7,0),"")</f>
        <v/>
      </c>
      <c r="L262" s="280" t="n"/>
      <c r="M262" s="280" t="n"/>
      <c r="N262" s="333">
        <f>IFERROR(IF(L262*M262=0,"",L262*M262),"")</f>
        <v/>
      </c>
      <c r="O262" s="280" t="n"/>
      <c r="P262" s="332">
        <f>IFERROR(VLOOKUP(TEXT(O262,"0"),CONDUCTORES!$A$3:$G$54,2,0),"")</f>
        <v/>
      </c>
      <c r="Q262" s="332">
        <f>IFERROR(VLOOKUP(TEXT(O262,"0"),CONDUCTORES!$A$3:$H$54,6,0),"")</f>
        <v/>
      </c>
      <c r="R262" s="280" t="n"/>
      <c r="S262" s="280" t="n"/>
      <c r="T262" s="280" t="n"/>
      <c r="U262" s="280" t="n"/>
      <c r="V262" s="280" t="n"/>
      <c r="W262" s="280" t="n"/>
      <c r="X262" s="280" t="n"/>
      <c r="Y262" s="280" t="n"/>
    </row>
    <row r="263" ht="15" customHeight="1" s="195">
      <c r="A263" s="334" t="n"/>
      <c r="B263" s="334" t="n"/>
      <c r="C263" s="334" t="n"/>
      <c r="D263" s="334" t="n"/>
      <c r="E263" s="334" t="n"/>
      <c r="F263" s="334" t="n"/>
      <c r="G263" s="334" t="n"/>
      <c r="H263" s="334" t="n"/>
      <c r="I263" s="332">
        <f>IFERROR(VLOOKUP(TEXT(H263,"0"),IPRESS!$A$3:$B$212,2,0),"")</f>
        <v/>
      </c>
      <c r="J263" s="334" t="n"/>
      <c r="K263" s="332">
        <f>IFERROR(VLOOKUP(TEXT(O263,"0"),CONDUCTORES!$A$3:$G$54,7,0),"")</f>
        <v/>
      </c>
      <c r="L263" s="334" t="n"/>
      <c r="M263" s="334" t="n"/>
      <c r="N263" s="333">
        <f>IFERROR(IF(L263*M263=0,"",L263*M263),"")</f>
        <v/>
      </c>
      <c r="O263" s="334" t="n"/>
      <c r="P263" s="332">
        <f>IFERROR(VLOOKUP(TEXT(O263,"0"),CONDUCTORES!$A$3:$G$54,2,0),"")</f>
        <v/>
      </c>
      <c r="Q263" s="332">
        <f>IFERROR(VLOOKUP(TEXT(O263,"0"),CONDUCTORES!$A$3:$H$54,6,0),"")</f>
        <v/>
      </c>
      <c r="R263" s="334" t="n"/>
      <c r="S263" s="334" t="n"/>
      <c r="T263" s="334" t="n"/>
      <c r="U263" s="334" t="n"/>
      <c r="V263" s="334" t="n"/>
      <c r="W263" s="334" t="n"/>
      <c r="X263" s="334" t="n"/>
      <c r="Y263" s="334" t="n"/>
    </row>
    <row r="264" ht="15" customHeight="1" s="195">
      <c r="A264" s="280" t="n"/>
      <c r="B264" s="280" t="n"/>
      <c r="C264" s="280" t="n"/>
      <c r="D264" s="280" t="n"/>
      <c r="E264" s="280" t="n"/>
      <c r="F264" s="280" t="n"/>
      <c r="G264" s="280" t="n"/>
      <c r="H264" s="280" t="n"/>
      <c r="I264" s="332">
        <f>IFERROR(VLOOKUP(TEXT(H264,"0"),IPRESS!$A$3:$B$212,2,0),"")</f>
        <v/>
      </c>
      <c r="J264" s="280" t="n"/>
      <c r="K264" s="332">
        <f>IFERROR(VLOOKUP(TEXT(O264,"0"),CONDUCTORES!$A$3:$G$54,7,0),"")</f>
        <v/>
      </c>
      <c r="L264" s="280" t="n"/>
      <c r="M264" s="280" t="n"/>
      <c r="N264" s="333">
        <f>IFERROR(IF(L264*M264=0,"",L264*M264),"")</f>
        <v/>
      </c>
      <c r="O264" s="280" t="n"/>
      <c r="P264" s="332">
        <f>IFERROR(VLOOKUP(TEXT(O264,"0"),CONDUCTORES!$A$3:$G$54,2,0),"")</f>
        <v/>
      </c>
      <c r="Q264" s="332">
        <f>IFERROR(VLOOKUP(TEXT(O264,"0"),CONDUCTORES!$A$3:$H$54,6,0),"")</f>
        <v/>
      </c>
      <c r="R264" s="280" t="n"/>
      <c r="S264" s="280" t="n"/>
      <c r="T264" s="280" t="n"/>
      <c r="U264" s="280" t="n"/>
      <c r="V264" s="280" t="n"/>
      <c r="W264" s="280" t="n"/>
      <c r="X264" s="280" t="n"/>
      <c r="Y264" s="280" t="n"/>
    </row>
    <row r="265" ht="15" customHeight="1" s="195">
      <c r="A265" s="334" t="n"/>
      <c r="B265" s="334" t="n"/>
      <c r="C265" s="334" t="n"/>
      <c r="D265" s="334" t="n"/>
      <c r="E265" s="334" t="n"/>
      <c r="F265" s="334" t="n"/>
      <c r="G265" s="334" t="n"/>
      <c r="H265" s="334" t="n"/>
      <c r="I265" s="332">
        <f>IFERROR(VLOOKUP(TEXT(H265,"0"),IPRESS!$A$3:$B$212,2,0),"")</f>
        <v/>
      </c>
      <c r="J265" s="334" t="n"/>
      <c r="K265" s="332">
        <f>IFERROR(VLOOKUP(TEXT(O265,"0"),CONDUCTORES!$A$3:$G$54,7,0),"")</f>
        <v/>
      </c>
      <c r="L265" s="334" t="n"/>
      <c r="M265" s="334" t="n"/>
      <c r="N265" s="333">
        <f>IFERROR(IF(L265*M265=0,"",L265*M265),"")</f>
        <v/>
      </c>
      <c r="O265" s="334" t="n"/>
      <c r="P265" s="332">
        <f>IFERROR(VLOOKUP(TEXT(O265,"0"),CONDUCTORES!$A$3:$G$54,2,0),"")</f>
        <v/>
      </c>
      <c r="Q265" s="332">
        <f>IFERROR(VLOOKUP(TEXT(O265,"0"),CONDUCTORES!$A$3:$H$54,6,0),"")</f>
        <v/>
      </c>
      <c r="R265" s="334" t="n"/>
      <c r="S265" s="334" t="n"/>
      <c r="T265" s="334" t="n"/>
      <c r="U265" s="334" t="n"/>
      <c r="V265" s="334" t="n"/>
      <c r="W265" s="334" t="n"/>
      <c r="X265" s="334" t="n"/>
      <c r="Y265" s="334" t="n"/>
    </row>
    <row r="266" ht="15" customHeight="1" s="195">
      <c r="A266" s="280" t="n"/>
      <c r="B266" s="280" t="n"/>
      <c r="C266" s="280" t="n"/>
      <c r="D266" s="280" t="n"/>
      <c r="E266" s="280" t="n"/>
      <c r="F266" s="280" t="n"/>
      <c r="G266" s="280" t="n"/>
      <c r="H266" s="280" t="n"/>
      <c r="I266" s="332">
        <f>IFERROR(VLOOKUP(TEXT(H266,"0"),IPRESS!$A$3:$B$212,2,0),"")</f>
        <v/>
      </c>
      <c r="J266" s="280" t="n"/>
      <c r="K266" s="332">
        <f>IFERROR(VLOOKUP(TEXT(O266,"0"),CONDUCTORES!$A$3:$G$54,7,0),"")</f>
        <v/>
      </c>
      <c r="L266" s="280" t="n"/>
      <c r="M266" s="280" t="n"/>
      <c r="N266" s="333">
        <f>IFERROR(IF(L266*M266=0,"",L266*M266),"")</f>
        <v/>
      </c>
      <c r="O266" s="280" t="n"/>
      <c r="P266" s="332">
        <f>IFERROR(VLOOKUP(TEXT(O266,"0"),CONDUCTORES!$A$3:$G$54,2,0),"")</f>
        <v/>
      </c>
      <c r="Q266" s="332">
        <f>IFERROR(VLOOKUP(TEXT(O266,"0"),CONDUCTORES!$A$3:$H$54,6,0),"")</f>
        <v/>
      </c>
      <c r="R266" s="280" t="n"/>
      <c r="S266" s="280" t="n"/>
      <c r="T266" s="280" t="n"/>
      <c r="U266" s="280" t="n"/>
      <c r="V266" s="280" t="n"/>
      <c r="W266" s="280" t="n"/>
      <c r="X266" s="280" t="n"/>
      <c r="Y266" s="280" t="n"/>
    </row>
    <row r="267" ht="15" customHeight="1" s="195">
      <c r="A267" s="334" t="n"/>
      <c r="B267" s="334" t="n"/>
      <c r="C267" s="334" t="n"/>
      <c r="D267" s="334" t="n"/>
      <c r="E267" s="334" t="n"/>
      <c r="F267" s="334" t="n"/>
      <c r="G267" s="334" t="n"/>
      <c r="H267" s="334" t="n"/>
      <c r="I267" s="332">
        <f>IFERROR(VLOOKUP(TEXT(H267,"0"),IPRESS!$A$3:$B$212,2,0),"")</f>
        <v/>
      </c>
      <c r="J267" s="334" t="n"/>
      <c r="K267" s="332">
        <f>IFERROR(VLOOKUP(TEXT(O267,"0"),CONDUCTORES!$A$3:$G$54,7,0),"")</f>
        <v/>
      </c>
      <c r="L267" s="334" t="n"/>
      <c r="M267" s="334" t="n"/>
      <c r="N267" s="333">
        <f>IFERROR(IF(L267*M267=0,"",L267*M267),"")</f>
        <v/>
      </c>
      <c r="O267" s="334" t="n"/>
      <c r="P267" s="332">
        <f>IFERROR(VLOOKUP(TEXT(O267,"0"),CONDUCTORES!$A$3:$G$54,2,0),"")</f>
        <v/>
      </c>
      <c r="Q267" s="332">
        <f>IFERROR(VLOOKUP(TEXT(O267,"0"),CONDUCTORES!$A$3:$H$54,6,0),"")</f>
        <v/>
      </c>
      <c r="R267" s="334" t="n"/>
      <c r="S267" s="334" t="n"/>
      <c r="T267" s="334" t="n"/>
      <c r="U267" s="334" t="n"/>
      <c r="V267" s="334" t="n"/>
      <c r="W267" s="334" t="n"/>
      <c r="X267" s="334" t="n"/>
      <c r="Y267" s="334" t="n"/>
    </row>
    <row r="268" ht="15" customHeight="1" s="195">
      <c r="A268" s="280" t="n"/>
      <c r="B268" s="280" t="n"/>
      <c r="C268" s="280" t="n"/>
      <c r="D268" s="280" t="n"/>
      <c r="E268" s="280" t="n"/>
      <c r="F268" s="280" t="n"/>
      <c r="G268" s="280" t="n"/>
      <c r="H268" s="280" t="n"/>
      <c r="I268" s="332">
        <f>IFERROR(VLOOKUP(TEXT(H268,"0"),IPRESS!$A$3:$B$212,2,0),"")</f>
        <v/>
      </c>
      <c r="J268" s="280" t="n"/>
      <c r="K268" s="332">
        <f>IFERROR(VLOOKUP(TEXT(O268,"0"),CONDUCTORES!$A$3:$G$54,7,0),"")</f>
        <v/>
      </c>
      <c r="L268" s="280" t="n"/>
      <c r="M268" s="280" t="n"/>
      <c r="N268" s="333">
        <f>IFERROR(IF(L268*M268=0,"",L268*M268),"")</f>
        <v/>
      </c>
      <c r="O268" s="280" t="n"/>
      <c r="P268" s="332">
        <f>IFERROR(VLOOKUP(TEXT(O268,"0"),CONDUCTORES!$A$3:$G$54,2,0),"")</f>
        <v/>
      </c>
      <c r="Q268" s="332">
        <f>IFERROR(VLOOKUP(TEXT(O268,"0"),CONDUCTORES!$A$3:$H$54,6,0),"")</f>
        <v/>
      </c>
      <c r="R268" s="280" t="n"/>
      <c r="S268" s="280" t="n"/>
      <c r="T268" s="280" t="n"/>
      <c r="U268" s="280" t="n"/>
      <c r="V268" s="280" t="n"/>
      <c r="W268" s="280" t="n"/>
      <c r="X268" s="280" t="n"/>
      <c r="Y268" s="280" t="n"/>
    </row>
    <row r="269" ht="15" customHeight="1" s="195">
      <c r="A269" s="334" t="n"/>
      <c r="B269" s="334" t="n"/>
      <c r="C269" s="334" t="n"/>
      <c r="D269" s="334" t="n"/>
      <c r="E269" s="334" t="n"/>
      <c r="F269" s="334" t="n"/>
      <c r="G269" s="334" t="n"/>
      <c r="H269" s="334" t="n"/>
      <c r="I269" s="332">
        <f>IFERROR(VLOOKUP(TEXT(H269,"0"),IPRESS!$A$3:$B$212,2,0),"")</f>
        <v/>
      </c>
      <c r="J269" s="334" t="n"/>
      <c r="K269" s="332">
        <f>IFERROR(VLOOKUP(TEXT(O269,"0"),CONDUCTORES!$A$3:$G$54,7,0),"")</f>
        <v/>
      </c>
      <c r="L269" s="334" t="n"/>
      <c r="M269" s="334" t="n"/>
      <c r="N269" s="333">
        <f>IFERROR(IF(L269*M269=0,"",L269*M269),"")</f>
        <v/>
      </c>
      <c r="O269" s="334" t="n"/>
      <c r="P269" s="332">
        <f>IFERROR(VLOOKUP(TEXT(O269,"0"),CONDUCTORES!$A$3:$G$54,2,0),"")</f>
        <v/>
      </c>
      <c r="Q269" s="332">
        <f>IFERROR(VLOOKUP(TEXT(O269,"0"),CONDUCTORES!$A$3:$H$54,6,0),"")</f>
        <v/>
      </c>
      <c r="R269" s="334" t="n"/>
      <c r="S269" s="334" t="n"/>
      <c r="T269" s="334" t="n"/>
      <c r="U269" s="334" t="n"/>
      <c r="V269" s="334" t="n"/>
      <c r="W269" s="334" t="n"/>
      <c r="X269" s="334" t="n"/>
      <c r="Y269" s="334" t="n"/>
    </row>
    <row r="270" ht="15" customHeight="1" s="195">
      <c r="A270" s="280" t="n"/>
      <c r="B270" s="280" t="n"/>
      <c r="C270" s="280" t="n"/>
      <c r="D270" s="280" t="n"/>
      <c r="E270" s="280" t="n"/>
      <c r="F270" s="280" t="n"/>
      <c r="G270" s="280" t="n"/>
      <c r="H270" s="280" t="n"/>
      <c r="I270" s="332">
        <f>IFERROR(VLOOKUP(TEXT(H270,"0"),IPRESS!$A$3:$B$212,2,0),"")</f>
        <v/>
      </c>
      <c r="J270" s="280" t="n"/>
      <c r="K270" s="332">
        <f>IFERROR(VLOOKUP(TEXT(O270,"0"),CONDUCTORES!$A$3:$G$54,7,0),"")</f>
        <v/>
      </c>
      <c r="L270" s="280" t="n"/>
      <c r="M270" s="280" t="n"/>
      <c r="N270" s="333">
        <f>IFERROR(IF(L270*M270=0,"",L270*M270),"")</f>
        <v/>
      </c>
      <c r="O270" s="280" t="n"/>
      <c r="P270" s="332">
        <f>IFERROR(VLOOKUP(TEXT(O270,"0"),CONDUCTORES!$A$3:$G$54,2,0),"")</f>
        <v/>
      </c>
      <c r="Q270" s="332">
        <f>IFERROR(VLOOKUP(TEXT(O270,"0"),CONDUCTORES!$A$3:$H$54,6,0),"")</f>
        <v/>
      </c>
      <c r="R270" s="280" t="n"/>
      <c r="S270" s="280" t="n"/>
      <c r="T270" s="280" t="n"/>
      <c r="U270" s="280" t="n"/>
      <c r="V270" s="280" t="n"/>
      <c r="W270" s="280" t="n"/>
      <c r="X270" s="280" t="n"/>
      <c r="Y270" s="280" t="n"/>
    </row>
    <row r="271" ht="15" customHeight="1" s="195">
      <c r="A271" s="334" t="n"/>
      <c r="B271" s="334" t="n"/>
      <c r="C271" s="334" t="n"/>
      <c r="D271" s="334" t="n"/>
      <c r="E271" s="334" t="n"/>
      <c r="F271" s="334" t="n"/>
      <c r="G271" s="334" t="n"/>
      <c r="H271" s="334" t="n"/>
      <c r="I271" s="332">
        <f>IFERROR(VLOOKUP(TEXT(H271,"0"),IPRESS!$A$3:$B$212,2,0),"")</f>
        <v/>
      </c>
      <c r="J271" s="334" t="n"/>
      <c r="K271" s="332">
        <f>IFERROR(VLOOKUP(TEXT(O271,"0"),CONDUCTORES!$A$3:$G$54,7,0),"")</f>
        <v/>
      </c>
      <c r="L271" s="334" t="n"/>
      <c r="M271" s="334" t="n"/>
      <c r="N271" s="333">
        <f>IFERROR(IF(L271*M271=0,"",L271*M271),"")</f>
        <v/>
      </c>
      <c r="O271" s="334" t="n"/>
      <c r="P271" s="332">
        <f>IFERROR(VLOOKUP(TEXT(O271,"0"),CONDUCTORES!$A$3:$G$54,2,0),"")</f>
        <v/>
      </c>
      <c r="Q271" s="332">
        <f>IFERROR(VLOOKUP(TEXT(O271,"0"),CONDUCTORES!$A$3:$H$54,6,0),"")</f>
        <v/>
      </c>
      <c r="R271" s="334" t="n"/>
      <c r="S271" s="334" t="n"/>
      <c r="T271" s="334" t="n"/>
      <c r="U271" s="334" t="n"/>
      <c r="V271" s="334" t="n"/>
      <c r="W271" s="334" t="n"/>
      <c r="X271" s="334" t="n"/>
      <c r="Y271" s="334" t="n"/>
    </row>
    <row r="272" ht="15" customHeight="1" s="195">
      <c r="A272" s="280" t="n"/>
      <c r="B272" s="280" t="n"/>
      <c r="C272" s="280" t="n"/>
      <c r="D272" s="280" t="n"/>
      <c r="E272" s="280" t="n"/>
      <c r="F272" s="280" t="n"/>
      <c r="G272" s="280" t="n"/>
      <c r="H272" s="280" t="n"/>
      <c r="I272" s="332">
        <f>IFERROR(VLOOKUP(TEXT(H272,"0"),IPRESS!$A$3:$B$212,2,0),"")</f>
        <v/>
      </c>
      <c r="J272" s="280" t="n"/>
      <c r="K272" s="332">
        <f>IFERROR(VLOOKUP(TEXT(O272,"0"),CONDUCTORES!$A$3:$G$54,7,0),"")</f>
        <v/>
      </c>
      <c r="L272" s="280" t="n"/>
      <c r="M272" s="280" t="n"/>
      <c r="N272" s="333">
        <f>IFERROR(IF(L272*M272=0,"",L272*M272),"")</f>
        <v/>
      </c>
      <c r="O272" s="280" t="n"/>
      <c r="P272" s="332">
        <f>IFERROR(VLOOKUP(TEXT(O272,"0"),CONDUCTORES!$A$3:$G$54,2,0),"")</f>
        <v/>
      </c>
      <c r="Q272" s="332">
        <f>IFERROR(VLOOKUP(TEXT(O272,"0"),CONDUCTORES!$A$3:$H$54,6,0),"")</f>
        <v/>
      </c>
      <c r="R272" s="280" t="n"/>
      <c r="S272" s="280" t="n"/>
      <c r="T272" s="280" t="n"/>
      <c r="U272" s="280" t="n"/>
      <c r="V272" s="280" t="n"/>
      <c r="W272" s="280" t="n"/>
      <c r="X272" s="280" t="n"/>
      <c r="Y272" s="280" t="n"/>
    </row>
    <row r="273" ht="15" customHeight="1" s="195">
      <c r="A273" s="334" t="n"/>
      <c r="B273" s="334" t="n"/>
      <c r="C273" s="334" t="n"/>
      <c r="D273" s="334" t="n"/>
      <c r="E273" s="334" t="n"/>
      <c r="F273" s="334" t="n"/>
      <c r="G273" s="334" t="n"/>
      <c r="H273" s="334" t="n"/>
      <c r="I273" s="332">
        <f>IFERROR(VLOOKUP(TEXT(H273,"0"),IPRESS!$A$3:$B$212,2,0),"")</f>
        <v/>
      </c>
      <c r="J273" s="334" t="n"/>
      <c r="K273" s="332">
        <f>IFERROR(VLOOKUP(TEXT(O273,"0"),CONDUCTORES!$A$3:$G$54,7,0),"")</f>
        <v/>
      </c>
      <c r="L273" s="334" t="n"/>
      <c r="M273" s="334" t="n"/>
      <c r="N273" s="333">
        <f>IFERROR(IF(L273*M273=0,"",L273*M273),"")</f>
        <v/>
      </c>
      <c r="O273" s="334" t="n"/>
      <c r="P273" s="332">
        <f>IFERROR(VLOOKUP(TEXT(O273,"0"),CONDUCTORES!$A$3:$G$54,2,0),"")</f>
        <v/>
      </c>
      <c r="Q273" s="332">
        <f>IFERROR(VLOOKUP(TEXT(O273,"0"),CONDUCTORES!$A$3:$H$54,6,0),"")</f>
        <v/>
      </c>
      <c r="R273" s="334" t="n"/>
      <c r="S273" s="334" t="n"/>
      <c r="T273" s="334" t="n"/>
      <c r="U273" s="334" t="n"/>
      <c r="V273" s="334" t="n"/>
      <c r="W273" s="334" t="n"/>
      <c r="X273" s="334" t="n"/>
      <c r="Y273" s="334" t="n"/>
    </row>
    <row r="274" ht="15" customHeight="1" s="195">
      <c r="A274" s="280" t="n"/>
      <c r="B274" s="280" t="n"/>
      <c r="C274" s="280" t="n"/>
      <c r="D274" s="280" t="n"/>
      <c r="E274" s="280" t="n"/>
      <c r="F274" s="280" t="n"/>
      <c r="G274" s="280" t="n"/>
      <c r="H274" s="280" t="n"/>
      <c r="I274" s="332">
        <f>IFERROR(VLOOKUP(TEXT(H274,"0"),IPRESS!$A$3:$B$212,2,0),"")</f>
        <v/>
      </c>
      <c r="J274" s="280" t="n"/>
      <c r="K274" s="332">
        <f>IFERROR(VLOOKUP(TEXT(O274,"0"),CONDUCTORES!$A$3:$G$54,7,0),"")</f>
        <v/>
      </c>
      <c r="L274" s="280" t="n"/>
      <c r="M274" s="280" t="n"/>
      <c r="N274" s="333">
        <f>IFERROR(IF(L274*M274=0,"",L274*M274),"")</f>
        <v/>
      </c>
      <c r="O274" s="280" t="n"/>
      <c r="P274" s="332">
        <f>IFERROR(VLOOKUP(TEXT(O274,"0"),CONDUCTORES!$A$3:$G$54,2,0),"")</f>
        <v/>
      </c>
      <c r="Q274" s="332">
        <f>IFERROR(VLOOKUP(TEXT(O274,"0"),CONDUCTORES!$A$3:$H$54,6,0),"")</f>
        <v/>
      </c>
      <c r="R274" s="280" t="n"/>
      <c r="S274" s="280" t="n"/>
      <c r="T274" s="280" t="n"/>
      <c r="U274" s="280" t="n"/>
      <c r="V274" s="280" t="n"/>
      <c r="W274" s="280" t="n"/>
      <c r="X274" s="280" t="n"/>
      <c r="Y274" s="280" t="n"/>
    </row>
    <row r="275" ht="15" customHeight="1" s="195">
      <c r="A275" s="334" t="n"/>
      <c r="B275" s="334" t="n"/>
      <c r="C275" s="334" t="n"/>
      <c r="D275" s="334" t="n"/>
      <c r="E275" s="334" t="n"/>
      <c r="F275" s="334" t="n"/>
      <c r="G275" s="334" t="n"/>
      <c r="H275" s="334" t="n"/>
      <c r="I275" s="332">
        <f>IFERROR(VLOOKUP(TEXT(H275,"0"),IPRESS!$A$3:$B$212,2,0),"")</f>
        <v/>
      </c>
      <c r="J275" s="334" t="n"/>
      <c r="K275" s="332">
        <f>IFERROR(VLOOKUP(TEXT(O275,"0"),CONDUCTORES!$A$3:$G$54,7,0),"")</f>
        <v/>
      </c>
      <c r="L275" s="334" t="n"/>
      <c r="M275" s="334" t="n"/>
      <c r="N275" s="333">
        <f>IFERROR(IF(L275*M275=0,"",L275*M275),"")</f>
        <v/>
      </c>
      <c r="O275" s="334" t="n"/>
      <c r="P275" s="332">
        <f>IFERROR(VLOOKUP(TEXT(O275,"0"),CONDUCTORES!$A$3:$G$54,2,0),"")</f>
        <v/>
      </c>
      <c r="Q275" s="332">
        <f>IFERROR(VLOOKUP(TEXT(O275,"0"),CONDUCTORES!$A$3:$H$54,6,0),"")</f>
        <v/>
      </c>
      <c r="R275" s="334" t="n"/>
      <c r="S275" s="334" t="n"/>
      <c r="T275" s="334" t="n"/>
      <c r="U275" s="334" t="n"/>
      <c r="V275" s="334" t="n"/>
      <c r="W275" s="334" t="n"/>
      <c r="X275" s="334" t="n"/>
      <c r="Y275" s="334" t="n"/>
    </row>
    <row r="276" ht="15" customHeight="1" s="195">
      <c r="A276" s="280" t="n"/>
      <c r="B276" s="280" t="n"/>
      <c r="C276" s="280" t="n"/>
      <c r="D276" s="280" t="n"/>
      <c r="E276" s="280" t="n"/>
      <c r="F276" s="280" t="n"/>
      <c r="G276" s="280" t="n"/>
      <c r="H276" s="280" t="n"/>
      <c r="I276" s="332">
        <f>IFERROR(VLOOKUP(TEXT(H276,"0"),IPRESS!$A$3:$B$212,2,0),"")</f>
        <v/>
      </c>
      <c r="J276" s="280" t="n"/>
      <c r="K276" s="332">
        <f>IFERROR(VLOOKUP(TEXT(O276,"0"),CONDUCTORES!$A$3:$G$54,7,0),"")</f>
        <v/>
      </c>
      <c r="L276" s="280" t="n"/>
      <c r="M276" s="280" t="n"/>
      <c r="N276" s="333">
        <f>IFERROR(IF(L276*M276=0,"",L276*M276),"")</f>
        <v/>
      </c>
      <c r="O276" s="280" t="n"/>
      <c r="P276" s="332">
        <f>IFERROR(VLOOKUP(TEXT(O276,"0"),CONDUCTORES!$A$3:$G$54,2,0),"")</f>
        <v/>
      </c>
      <c r="Q276" s="332">
        <f>IFERROR(VLOOKUP(TEXT(O276,"0"),CONDUCTORES!$A$3:$H$54,6,0),"")</f>
        <v/>
      </c>
      <c r="R276" s="280" t="n"/>
      <c r="S276" s="280" t="n"/>
      <c r="T276" s="280" t="n"/>
      <c r="U276" s="280" t="n"/>
      <c r="V276" s="280" t="n"/>
      <c r="W276" s="280" t="n"/>
      <c r="X276" s="280" t="n"/>
      <c r="Y276" s="280" t="n"/>
    </row>
    <row r="277" ht="15" customHeight="1" s="195">
      <c r="A277" s="334" t="n"/>
      <c r="B277" s="334" t="n"/>
      <c r="C277" s="334" t="n"/>
      <c r="D277" s="334" t="n"/>
      <c r="E277" s="334" t="n"/>
      <c r="F277" s="334" t="n"/>
      <c r="G277" s="334" t="n"/>
      <c r="H277" s="334" t="n"/>
      <c r="I277" s="332">
        <f>IFERROR(VLOOKUP(TEXT(H277,"0"),IPRESS!$A$3:$B$212,2,0),"")</f>
        <v/>
      </c>
      <c r="J277" s="334" t="n"/>
      <c r="K277" s="332">
        <f>IFERROR(VLOOKUP(TEXT(O277,"0"),CONDUCTORES!$A$3:$G$54,7,0),"")</f>
        <v/>
      </c>
      <c r="L277" s="334" t="n"/>
      <c r="M277" s="334" t="n"/>
      <c r="N277" s="333">
        <f>IFERROR(IF(L277*M277=0,"",L277*M277),"")</f>
        <v/>
      </c>
      <c r="O277" s="334" t="n"/>
      <c r="P277" s="332">
        <f>IFERROR(VLOOKUP(TEXT(O277,"0"),CONDUCTORES!$A$3:$G$54,2,0),"")</f>
        <v/>
      </c>
      <c r="Q277" s="332">
        <f>IFERROR(VLOOKUP(TEXT(O277,"0"),CONDUCTORES!$A$3:$H$54,6,0),"")</f>
        <v/>
      </c>
      <c r="R277" s="334" t="n"/>
      <c r="S277" s="334" t="n"/>
      <c r="T277" s="334" t="n"/>
      <c r="U277" s="334" t="n"/>
      <c r="V277" s="334" t="n"/>
      <c r="W277" s="334" t="n"/>
      <c r="X277" s="334" t="n"/>
      <c r="Y277" s="334" t="n"/>
    </row>
    <row r="278" ht="15" customHeight="1" s="195">
      <c r="A278" s="280" t="n"/>
      <c r="B278" s="280" t="n"/>
      <c r="C278" s="280" t="n"/>
      <c r="D278" s="280" t="n"/>
      <c r="E278" s="280" t="n"/>
      <c r="F278" s="280" t="n"/>
      <c r="G278" s="280" t="n"/>
      <c r="H278" s="280" t="n"/>
      <c r="I278" s="332">
        <f>IFERROR(VLOOKUP(TEXT(H278,"0"),IPRESS!$A$3:$B$212,2,0),"")</f>
        <v/>
      </c>
      <c r="J278" s="280" t="n"/>
      <c r="K278" s="332">
        <f>IFERROR(VLOOKUP(TEXT(O278,"0"),CONDUCTORES!$A$3:$G$54,7,0),"")</f>
        <v/>
      </c>
      <c r="L278" s="280" t="n"/>
      <c r="M278" s="280" t="n"/>
      <c r="N278" s="333">
        <f>IFERROR(IF(L278*M278=0,"",L278*M278),"")</f>
        <v/>
      </c>
      <c r="O278" s="280" t="n"/>
      <c r="P278" s="332">
        <f>IFERROR(VLOOKUP(TEXT(O278,"0"),CONDUCTORES!$A$3:$G$54,2,0),"")</f>
        <v/>
      </c>
      <c r="Q278" s="332">
        <f>IFERROR(VLOOKUP(TEXT(O278,"0"),CONDUCTORES!$A$3:$H$54,6,0),"")</f>
        <v/>
      </c>
      <c r="R278" s="280" t="n"/>
      <c r="S278" s="280" t="n"/>
      <c r="T278" s="280" t="n"/>
      <c r="U278" s="280" t="n"/>
      <c r="V278" s="280" t="n"/>
      <c r="W278" s="280" t="n"/>
      <c r="X278" s="280" t="n"/>
      <c r="Y278" s="280" t="n"/>
    </row>
    <row r="279" ht="15" customHeight="1" s="195">
      <c r="A279" s="334" t="n"/>
      <c r="B279" s="334" t="n"/>
      <c r="C279" s="334" t="n"/>
      <c r="D279" s="334" t="n"/>
      <c r="E279" s="334" t="n"/>
      <c r="F279" s="334" t="n"/>
      <c r="G279" s="334" t="n"/>
      <c r="H279" s="334" t="n"/>
      <c r="I279" s="332">
        <f>IFERROR(VLOOKUP(TEXT(H279,"0"),IPRESS!$A$3:$B$212,2,0),"")</f>
        <v/>
      </c>
      <c r="J279" s="334" t="n"/>
      <c r="K279" s="332">
        <f>IFERROR(VLOOKUP(TEXT(O279,"0"),CONDUCTORES!$A$3:$G$54,7,0),"")</f>
        <v/>
      </c>
      <c r="L279" s="334" t="n"/>
      <c r="M279" s="334" t="n"/>
      <c r="N279" s="333">
        <f>IFERROR(IF(L279*M279=0,"",L279*M279),"")</f>
        <v/>
      </c>
      <c r="O279" s="334" t="n"/>
      <c r="P279" s="332">
        <f>IFERROR(VLOOKUP(TEXT(O279,"0"),CONDUCTORES!$A$3:$G$54,2,0),"")</f>
        <v/>
      </c>
      <c r="Q279" s="332">
        <f>IFERROR(VLOOKUP(TEXT(O279,"0"),CONDUCTORES!$A$3:$H$54,6,0),"")</f>
        <v/>
      </c>
      <c r="R279" s="334" t="n"/>
      <c r="S279" s="334" t="n"/>
      <c r="T279" s="334" t="n"/>
      <c r="U279" s="334" t="n"/>
      <c r="V279" s="334" t="n"/>
      <c r="W279" s="334" t="n"/>
      <c r="X279" s="334" t="n"/>
      <c r="Y279" s="334" t="n"/>
    </row>
    <row r="280" ht="15" customHeight="1" s="195">
      <c r="A280" s="280" t="n"/>
      <c r="B280" s="280" t="n"/>
      <c r="C280" s="280" t="n"/>
      <c r="D280" s="280" t="n"/>
      <c r="E280" s="280" t="n"/>
      <c r="F280" s="280" t="n"/>
      <c r="G280" s="280" t="n"/>
      <c r="H280" s="280" t="n"/>
      <c r="I280" s="332">
        <f>IFERROR(VLOOKUP(TEXT(H280,"0"),IPRESS!$A$3:$B$212,2,0),"")</f>
        <v/>
      </c>
      <c r="J280" s="280" t="n"/>
      <c r="K280" s="332">
        <f>IFERROR(VLOOKUP(TEXT(O280,"0"),CONDUCTORES!$A$3:$G$54,7,0),"")</f>
        <v/>
      </c>
      <c r="L280" s="280" t="n"/>
      <c r="M280" s="280" t="n"/>
      <c r="N280" s="333">
        <f>IFERROR(IF(L280*M280=0,"",L280*M280),"")</f>
        <v/>
      </c>
      <c r="O280" s="280" t="n"/>
      <c r="P280" s="332">
        <f>IFERROR(VLOOKUP(TEXT(O280,"0"),CONDUCTORES!$A$3:$G$54,2,0),"")</f>
        <v/>
      </c>
      <c r="Q280" s="332">
        <f>IFERROR(VLOOKUP(TEXT(O280,"0"),CONDUCTORES!$A$3:$H$54,6,0),"")</f>
        <v/>
      </c>
      <c r="R280" s="280" t="n"/>
      <c r="S280" s="280" t="n"/>
      <c r="T280" s="280" t="n"/>
      <c r="U280" s="280" t="n"/>
      <c r="V280" s="280" t="n"/>
      <c r="W280" s="280" t="n"/>
      <c r="X280" s="280" t="n"/>
      <c r="Y280" s="280" t="n"/>
    </row>
    <row r="281" ht="15" customHeight="1" s="195">
      <c r="A281" s="334" t="n"/>
      <c r="B281" s="334" t="n"/>
      <c r="C281" s="334" t="n"/>
      <c r="D281" s="334" t="n"/>
      <c r="E281" s="334" t="n"/>
      <c r="F281" s="334" t="n"/>
      <c r="G281" s="334" t="n"/>
      <c r="H281" s="334" t="n"/>
      <c r="I281" s="332">
        <f>IFERROR(VLOOKUP(TEXT(H281,"0"),IPRESS!$A$3:$B$212,2,0),"")</f>
        <v/>
      </c>
      <c r="J281" s="334" t="n"/>
      <c r="K281" s="332">
        <f>IFERROR(VLOOKUP(TEXT(O281,"0"),CONDUCTORES!$A$3:$G$54,7,0),"")</f>
        <v/>
      </c>
      <c r="L281" s="334" t="n"/>
      <c r="M281" s="334" t="n"/>
      <c r="N281" s="333">
        <f>IFERROR(IF(L281*M281=0,"",L281*M281),"")</f>
        <v/>
      </c>
      <c r="O281" s="334" t="n"/>
      <c r="P281" s="332">
        <f>IFERROR(VLOOKUP(TEXT(O281,"0"),CONDUCTORES!$A$3:$G$54,2,0),"")</f>
        <v/>
      </c>
      <c r="Q281" s="332">
        <f>IFERROR(VLOOKUP(TEXT(O281,"0"),CONDUCTORES!$A$3:$H$54,6,0),"")</f>
        <v/>
      </c>
      <c r="R281" s="334" t="n"/>
      <c r="S281" s="334" t="n"/>
      <c r="T281" s="334" t="n"/>
      <c r="U281" s="334" t="n"/>
      <c r="V281" s="334" t="n"/>
      <c r="W281" s="334" t="n"/>
      <c r="X281" s="334" t="n"/>
      <c r="Y281" s="334" t="n"/>
    </row>
    <row r="282" ht="15" customHeight="1" s="195">
      <c r="A282" s="280" t="n"/>
      <c r="B282" s="280" t="n"/>
      <c r="C282" s="280" t="n"/>
      <c r="D282" s="280" t="n"/>
      <c r="E282" s="280" t="n"/>
      <c r="F282" s="280" t="n"/>
      <c r="G282" s="280" t="n"/>
      <c r="H282" s="280" t="n"/>
      <c r="I282" s="332">
        <f>IFERROR(VLOOKUP(TEXT(H282,"0"),IPRESS!$A$3:$B$212,2,0),"")</f>
        <v/>
      </c>
      <c r="J282" s="280" t="n"/>
      <c r="K282" s="332">
        <f>IFERROR(VLOOKUP(TEXT(O282,"0"),CONDUCTORES!$A$3:$G$54,7,0),"")</f>
        <v/>
      </c>
      <c r="L282" s="280" t="n"/>
      <c r="M282" s="280" t="n"/>
      <c r="N282" s="333">
        <f>IFERROR(IF(L282*M282=0,"",L282*M282),"")</f>
        <v/>
      </c>
      <c r="O282" s="280" t="n"/>
      <c r="P282" s="332">
        <f>IFERROR(VLOOKUP(TEXT(O282,"0"),CONDUCTORES!$A$3:$G$54,2,0),"")</f>
        <v/>
      </c>
      <c r="Q282" s="332">
        <f>IFERROR(VLOOKUP(TEXT(O282,"0"),CONDUCTORES!$A$3:$H$54,6,0),"")</f>
        <v/>
      </c>
      <c r="R282" s="280" t="n"/>
      <c r="S282" s="280" t="n"/>
      <c r="T282" s="280" t="n"/>
      <c r="U282" s="280" t="n"/>
      <c r="V282" s="280" t="n"/>
      <c r="W282" s="280" t="n"/>
      <c r="X282" s="280" t="n"/>
      <c r="Y282" s="280" t="n"/>
    </row>
    <row r="283" ht="15" customHeight="1" s="195">
      <c r="A283" s="334" t="n"/>
      <c r="B283" s="334" t="n"/>
      <c r="C283" s="334" t="n"/>
      <c r="D283" s="334" t="n"/>
      <c r="E283" s="334" t="n"/>
      <c r="F283" s="334" t="n"/>
      <c r="G283" s="334" t="n"/>
      <c r="H283" s="334" t="n"/>
      <c r="I283" s="332">
        <f>IFERROR(VLOOKUP(TEXT(H283,"0"),IPRESS!$A$3:$B$212,2,0),"")</f>
        <v/>
      </c>
      <c r="J283" s="334" t="n"/>
      <c r="K283" s="332">
        <f>IFERROR(VLOOKUP(TEXT(O283,"0"),CONDUCTORES!$A$3:$G$54,7,0),"")</f>
        <v/>
      </c>
      <c r="L283" s="334" t="n"/>
      <c r="M283" s="334" t="n"/>
      <c r="N283" s="333">
        <f>IFERROR(IF(L283*M283=0,"",L283*M283),"")</f>
        <v/>
      </c>
      <c r="O283" s="334" t="n"/>
      <c r="P283" s="332">
        <f>IFERROR(VLOOKUP(TEXT(O283,"0"),CONDUCTORES!$A$3:$G$54,2,0),"")</f>
        <v/>
      </c>
      <c r="Q283" s="332">
        <f>IFERROR(VLOOKUP(TEXT(O283,"0"),CONDUCTORES!$A$3:$H$54,6,0),"")</f>
        <v/>
      </c>
      <c r="R283" s="334" t="n"/>
      <c r="S283" s="334" t="n"/>
      <c r="T283" s="334" t="n"/>
      <c r="U283" s="334" t="n"/>
      <c r="V283" s="334" t="n"/>
      <c r="W283" s="334" t="n"/>
      <c r="X283" s="334" t="n"/>
      <c r="Y283" s="334" t="n"/>
    </row>
    <row r="284" ht="15" customHeight="1" s="195">
      <c r="A284" s="280" t="n"/>
      <c r="B284" s="280" t="n"/>
      <c r="C284" s="280" t="n"/>
      <c r="D284" s="280" t="n"/>
      <c r="E284" s="280" t="n"/>
      <c r="F284" s="280" t="n"/>
      <c r="G284" s="280" t="n"/>
      <c r="H284" s="280" t="n"/>
      <c r="I284" s="332">
        <f>IFERROR(VLOOKUP(TEXT(H284,"0"),IPRESS!$A$3:$B$212,2,0),"")</f>
        <v/>
      </c>
      <c r="J284" s="280" t="n"/>
      <c r="K284" s="332">
        <f>IFERROR(VLOOKUP(TEXT(O284,"0"),CONDUCTORES!$A$3:$G$54,7,0),"")</f>
        <v/>
      </c>
      <c r="L284" s="280" t="n"/>
      <c r="M284" s="280" t="n"/>
      <c r="N284" s="333">
        <f>IFERROR(IF(L284*M284=0,"",L284*M284),"")</f>
        <v/>
      </c>
      <c r="O284" s="280" t="n"/>
      <c r="P284" s="332">
        <f>IFERROR(VLOOKUP(TEXT(O284,"0"),CONDUCTORES!$A$3:$G$54,2,0),"")</f>
        <v/>
      </c>
      <c r="Q284" s="332">
        <f>IFERROR(VLOOKUP(TEXT(O284,"0"),CONDUCTORES!$A$3:$H$54,6,0),"")</f>
        <v/>
      </c>
      <c r="R284" s="280" t="n"/>
      <c r="S284" s="280" t="n"/>
      <c r="T284" s="280" t="n"/>
      <c r="U284" s="280" t="n"/>
      <c r="V284" s="280" t="n"/>
      <c r="W284" s="280" t="n"/>
      <c r="X284" s="280" t="n"/>
      <c r="Y284" s="280" t="n"/>
    </row>
    <row r="285" ht="15" customHeight="1" s="195">
      <c r="A285" s="334" t="n"/>
      <c r="B285" s="334" t="n"/>
      <c r="C285" s="334" t="n"/>
      <c r="D285" s="334" t="n"/>
      <c r="E285" s="334" t="n"/>
      <c r="F285" s="334" t="n"/>
      <c r="G285" s="334" t="n"/>
      <c r="H285" s="334" t="n"/>
      <c r="I285" s="332">
        <f>IFERROR(VLOOKUP(TEXT(H285,"0"),IPRESS!$A$3:$B$212,2,0),"")</f>
        <v/>
      </c>
      <c r="J285" s="334" t="n"/>
      <c r="K285" s="332">
        <f>IFERROR(VLOOKUP(TEXT(O285,"0"),CONDUCTORES!$A$3:$G$54,7,0),"")</f>
        <v/>
      </c>
      <c r="L285" s="334" t="n"/>
      <c r="M285" s="334" t="n"/>
      <c r="N285" s="333">
        <f>IFERROR(IF(L285*M285=0,"",L285*M285),"")</f>
        <v/>
      </c>
      <c r="O285" s="334" t="n"/>
      <c r="P285" s="332">
        <f>IFERROR(VLOOKUP(TEXT(O285,"0"),CONDUCTORES!$A$3:$G$54,2,0),"")</f>
        <v/>
      </c>
      <c r="Q285" s="332">
        <f>IFERROR(VLOOKUP(TEXT(O285,"0"),CONDUCTORES!$A$3:$H$54,6,0),"")</f>
        <v/>
      </c>
      <c r="R285" s="334" t="n"/>
      <c r="S285" s="334" t="n"/>
      <c r="T285" s="334" t="n"/>
      <c r="U285" s="334" t="n"/>
      <c r="V285" s="334" t="n"/>
      <c r="W285" s="334" t="n"/>
      <c r="X285" s="334" t="n"/>
      <c r="Y285" s="334" t="n"/>
    </row>
    <row r="286" ht="15" customHeight="1" s="195">
      <c r="A286" s="280" t="n"/>
      <c r="B286" s="280" t="n"/>
      <c r="C286" s="280" t="n"/>
      <c r="D286" s="280" t="n"/>
      <c r="E286" s="280" t="n"/>
      <c r="F286" s="280" t="n"/>
      <c r="G286" s="280" t="n"/>
      <c r="H286" s="280" t="n"/>
      <c r="I286" s="332">
        <f>IFERROR(VLOOKUP(TEXT(H286,"0"),IPRESS!$A$3:$B$212,2,0),"")</f>
        <v/>
      </c>
      <c r="J286" s="280" t="n"/>
      <c r="K286" s="332">
        <f>IFERROR(VLOOKUP(TEXT(O286,"0"),CONDUCTORES!$A$3:$G$54,7,0),"")</f>
        <v/>
      </c>
      <c r="L286" s="280" t="n"/>
      <c r="M286" s="280" t="n"/>
      <c r="N286" s="333">
        <f>IFERROR(IF(L286*M286=0,"",L286*M286),"")</f>
        <v/>
      </c>
      <c r="O286" s="280" t="n"/>
      <c r="P286" s="332">
        <f>IFERROR(VLOOKUP(TEXT(O286,"0"),CONDUCTORES!$A$3:$G$54,2,0),"")</f>
        <v/>
      </c>
      <c r="Q286" s="332">
        <f>IFERROR(VLOOKUP(TEXT(O286,"0"),CONDUCTORES!$A$3:$H$54,6,0),"")</f>
        <v/>
      </c>
      <c r="R286" s="280" t="n"/>
      <c r="S286" s="280" t="n"/>
      <c r="T286" s="280" t="n"/>
      <c r="U286" s="280" t="n"/>
      <c r="V286" s="280" t="n"/>
      <c r="W286" s="280" t="n"/>
      <c r="X286" s="280" t="n"/>
      <c r="Y286" s="280" t="n"/>
    </row>
    <row r="287" ht="15" customHeight="1" s="195">
      <c r="A287" s="334" t="n"/>
      <c r="B287" s="334" t="n"/>
      <c r="C287" s="334" t="n"/>
      <c r="D287" s="334" t="n"/>
      <c r="E287" s="334" t="n"/>
      <c r="F287" s="334" t="n"/>
      <c r="G287" s="334" t="n"/>
      <c r="H287" s="334" t="n"/>
      <c r="I287" s="332">
        <f>IFERROR(VLOOKUP(TEXT(H287,"0"),IPRESS!$A$3:$B$212,2,0),"")</f>
        <v/>
      </c>
      <c r="J287" s="334" t="n"/>
      <c r="K287" s="332">
        <f>IFERROR(VLOOKUP(TEXT(O287,"0"),CONDUCTORES!$A$3:$G$54,7,0),"")</f>
        <v/>
      </c>
      <c r="L287" s="334" t="n"/>
      <c r="M287" s="334" t="n"/>
      <c r="N287" s="333">
        <f>IFERROR(IF(L287*M287=0,"",L287*M287),"")</f>
        <v/>
      </c>
      <c r="O287" s="334" t="n"/>
      <c r="P287" s="332">
        <f>IFERROR(VLOOKUP(TEXT(O287,"0"),CONDUCTORES!$A$3:$G$54,2,0),"")</f>
        <v/>
      </c>
      <c r="Q287" s="332">
        <f>IFERROR(VLOOKUP(TEXT(O287,"0"),CONDUCTORES!$A$3:$H$54,6,0),"")</f>
        <v/>
      </c>
      <c r="R287" s="334" t="n"/>
      <c r="S287" s="334" t="n"/>
      <c r="T287" s="334" t="n"/>
      <c r="U287" s="334" t="n"/>
      <c r="V287" s="334" t="n"/>
      <c r="W287" s="334" t="n"/>
      <c r="X287" s="334" t="n"/>
      <c r="Y287" s="334" t="n"/>
    </row>
    <row r="288" ht="15" customHeight="1" s="195">
      <c r="A288" s="280" t="n"/>
      <c r="B288" s="280" t="n"/>
      <c r="C288" s="280" t="n"/>
      <c r="D288" s="280" t="n"/>
      <c r="E288" s="280" t="n"/>
      <c r="F288" s="280" t="n"/>
      <c r="G288" s="280" t="n"/>
      <c r="H288" s="280" t="n"/>
      <c r="I288" s="332">
        <f>IFERROR(VLOOKUP(TEXT(H288,"0"),IPRESS!$A$3:$B$212,2,0),"")</f>
        <v/>
      </c>
      <c r="J288" s="280" t="n"/>
      <c r="K288" s="332">
        <f>IFERROR(VLOOKUP(TEXT(O288,"0"),CONDUCTORES!$A$3:$G$54,7,0),"")</f>
        <v/>
      </c>
      <c r="L288" s="280" t="n"/>
      <c r="M288" s="280" t="n"/>
      <c r="N288" s="333">
        <f>IFERROR(IF(L288*M288=0,"",L288*M288),"")</f>
        <v/>
      </c>
      <c r="O288" s="280" t="n"/>
      <c r="P288" s="332">
        <f>IFERROR(VLOOKUP(TEXT(O288,"0"),CONDUCTORES!$A$3:$G$54,2,0),"")</f>
        <v/>
      </c>
      <c r="Q288" s="332">
        <f>IFERROR(VLOOKUP(TEXT(O288,"0"),CONDUCTORES!$A$3:$H$54,6,0),"")</f>
        <v/>
      </c>
      <c r="R288" s="280" t="n"/>
      <c r="S288" s="280" t="n"/>
      <c r="T288" s="280" t="n"/>
      <c r="U288" s="280" t="n"/>
      <c r="V288" s="280" t="n"/>
      <c r="W288" s="280" t="n"/>
      <c r="X288" s="280" t="n"/>
      <c r="Y288" s="280" t="n"/>
    </row>
    <row r="289" ht="15" customHeight="1" s="195">
      <c r="A289" s="334" t="n"/>
      <c r="B289" s="334" t="n"/>
      <c r="C289" s="334" t="n"/>
      <c r="D289" s="334" t="n"/>
      <c r="E289" s="334" t="n"/>
      <c r="F289" s="334" t="n"/>
      <c r="G289" s="334" t="n"/>
      <c r="H289" s="334" t="n"/>
      <c r="I289" s="332">
        <f>IFERROR(VLOOKUP(TEXT(H289,"0"),IPRESS!$A$3:$B$212,2,0),"")</f>
        <v/>
      </c>
      <c r="J289" s="334" t="n"/>
      <c r="K289" s="332">
        <f>IFERROR(VLOOKUP(TEXT(O289,"0"),CONDUCTORES!$A$3:$G$54,7,0),"")</f>
        <v/>
      </c>
      <c r="L289" s="334" t="n"/>
      <c r="M289" s="334" t="n"/>
      <c r="N289" s="333">
        <f>IFERROR(IF(L289*M289=0,"",L289*M289),"")</f>
        <v/>
      </c>
      <c r="O289" s="334" t="n"/>
      <c r="P289" s="332">
        <f>IFERROR(VLOOKUP(TEXT(O289,"0"),CONDUCTORES!$A$3:$G$54,2,0),"")</f>
        <v/>
      </c>
      <c r="Q289" s="332">
        <f>IFERROR(VLOOKUP(TEXT(O289,"0"),CONDUCTORES!$A$3:$H$54,6,0),"")</f>
        <v/>
      </c>
      <c r="R289" s="334" t="n"/>
      <c r="S289" s="334" t="n"/>
      <c r="T289" s="334" t="n"/>
      <c r="U289" s="334" t="n"/>
      <c r="V289" s="334" t="n"/>
      <c r="W289" s="334" t="n"/>
      <c r="X289" s="334" t="n"/>
      <c r="Y289" s="334" t="n"/>
    </row>
    <row r="290" ht="15" customHeight="1" s="195">
      <c r="A290" s="280" t="n"/>
      <c r="B290" s="280" t="n"/>
      <c r="C290" s="280" t="n"/>
      <c r="D290" s="280" t="n"/>
      <c r="E290" s="280" t="n"/>
      <c r="F290" s="280" t="n"/>
      <c r="G290" s="280" t="n"/>
      <c r="H290" s="280" t="n"/>
      <c r="I290" s="332">
        <f>IFERROR(VLOOKUP(TEXT(H290,"0"),IPRESS!$A$3:$B$212,2,0),"")</f>
        <v/>
      </c>
      <c r="J290" s="280" t="n"/>
      <c r="K290" s="332">
        <f>IFERROR(VLOOKUP(TEXT(O290,"0"),CONDUCTORES!$A$3:$G$54,7,0),"")</f>
        <v/>
      </c>
      <c r="L290" s="280" t="n"/>
      <c r="M290" s="280" t="n"/>
      <c r="N290" s="333">
        <f>IFERROR(IF(L290*M290=0,"",L290*M290),"")</f>
        <v/>
      </c>
      <c r="O290" s="280" t="n"/>
      <c r="P290" s="332">
        <f>IFERROR(VLOOKUP(TEXT(O290,"0"),CONDUCTORES!$A$3:$G$54,2,0),"")</f>
        <v/>
      </c>
      <c r="Q290" s="332">
        <f>IFERROR(VLOOKUP(TEXT(O290,"0"),CONDUCTORES!$A$3:$H$54,6,0),"")</f>
        <v/>
      </c>
      <c r="R290" s="280" t="n"/>
      <c r="S290" s="280" t="n"/>
      <c r="T290" s="280" t="n"/>
      <c r="U290" s="280" t="n"/>
      <c r="V290" s="280" t="n"/>
      <c r="W290" s="280" t="n"/>
      <c r="X290" s="280" t="n"/>
      <c r="Y290" s="280" t="n"/>
    </row>
    <row r="291" ht="15" customHeight="1" s="195">
      <c r="A291" s="334" t="n"/>
      <c r="B291" s="334" t="n"/>
      <c r="C291" s="334" t="n"/>
      <c r="D291" s="334" t="n"/>
      <c r="E291" s="334" t="n"/>
      <c r="F291" s="334" t="n"/>
      <c r="G291" s="334" t="n"/>
      <c r="H291" s="334" t="n"/>
      <c r="I291" s="332">
        <f>IFERROR(VLOOKUP(TEXT(H291,"0"),IPRESS!$A$3:$B$212,2,0),"")</f>
        <v/>
      </c>
      <c r="J291" s="334" t="n"/>
      <c r="K291" s="332">
        <f>IFERROR(VLOOKUP(TEXT(O291,"0"),CONDUCTORES!$A$3:$G$54,7,0),"")</f>
        <v/>
      </c>
      <c r="L291" s="334" t="n"/>
      <c r="M291" s="334" t="n"/>
      <c r="N291" s="333">
        <f>IFERROR(IF(L291*M291=0,"",L291*M291),"")</f>
        <v/>
      </c>
      <c r="O291" s="334" t="n"/>
      <c r="P291" s="332">
        <f>IFERROR(VLOOKUP(TEXT(O291,"0"),CONDUCTORES!$A$3:$G$54,2,0),"")</f>
        <v/>
      </c>
      <c r="Q291" s="332">
        <f>IFERROR(VLOOKUP(TEXT(O291,"0"),CONDUCTORES!$A$3:$H$54,6,0),"")</f>
        <v/>
      </c>
      <c r="R291" s="334" t="n"/>
      <c r="S291" s="334" t="n"/>
      <c r="T291" s="334" t="n"/>
      <c r="U291" s="334" t="n"/>
      <c r="V291" s="334" t="n"/>
      <c r="W291" s="334" t="n"/>
      <c r="X291" s="334" t="n"/>
      <c r="Y291" s="334" t="n"/>
    </row>
    <row r="292" ht="15" customHeight="1" s="195">
      <c r="A292" s="280" t="n"/>
      <c r="B292" s="280" t="n"/>
      <c r="C292" s="280" t="n"/>
      <c r="D292" s="280" t="n"/>
      <c r="E292" s="280" t="n"/>
      <c r="F292" s="280" t="n"/>
      <c r="G292" s="280" t="n"/>
      <c r="H292" s="280" t="n"/>
      <c r="I292" s="332">
        <f>IFERROR(VLOOKUP(TEXT(H292,"0"),IPRESS!$A$3:$B$212,2,0),"")</f>
        <v/>
      </c>
      <c r="J292" s="280" t="n"/>
      <c r="K292" s="332">
        <f>IFERROR(VLOOKUP(TEXT(O292,"0"),CONDUCTORES!$A$3:$G$54,7,0),"")</f>
        <v/>
      </c>
      <c r="L292" s="280" t="n"/>
      <c r="M292" s="280" t="n"/>
      <c r="N292" s="333">
        <f>IFERROR(IF(L292*M292=0,"",L292*M292),"")</f>
        <v/>
      </c>
      <c r="O292" s="280" t="n"/>
      <c r="P292" s="332">
        <f>IFERROR(VLOOKUP(TEXT(O292,"0"),CONDUCTORES!$A$3:$G$54,2,0),"")</f>
        <v/>
      </c>
      <c r="Q292" s="332">
        <f>IFERROR(VLOOKUP(TEXT(O292,"0"),CONDUCTORES!$A$3:$H$54,6,0),"")</f>
        <v/>
      </c>
      <c r="R292" s="280" t="n"/>
      <c r="S292" s="280" t="n"/>
      <c r="T292" s="280" t="n"/>
      <c r="U292" s="280" t="n"/>
      <c r="V292" s="280" t="n"/>
      <c r="W292" s="280" t="n"/>
      <c r="X292" s="280" t="n"/>
      <c r="Y292" s="280" t="n"/>
    </row>
    <row r="293" ht="15" customHeight="1" s="195">
      <c r="A293" s="334" t="n"/>
      <c r="B293" s="334" t="n"/>
      <c r="C293" s="334" t="n"/>
      <c r="D293" s="334" t="n"/>
      <c r="E293" s="334" t="n"/>
      <c r="F293" s="334" t="n"/>
      <c r="G293" s="334" t="n"/>
      <c r="H293" s="334" t="n"/>
      <c r="I293" s="332">
        <f>IFERROR(VLOOKUP(TEXT(H293,"0"),IPRESS!$A$3:$B$212,2,0),"")</f>
        <v/>
      </c>
      <c r="J293" s="334" t="n"/>
      <c r="K293" s="332">
        <f>IFERROR(VLOOKUP(TEXT(O293,"0"),CONDUCTORES!$A$3:$G$54,7,0),"")</f>
        <v/>
      </c>
      <c r="L293" s="334" t="n"/>
      <c r="M293" s="334" t="n"/>
      <c r="N293" s="333">
        <f>IFERROR(IF(L293*M293=0,"",L293*M293),"")</f>
        <v/>
      </c>
      <c r="O293" s="334" t="n"/>
      <c r="P293" s="332">
        <f>IFERROR(VLOOKUP(TEXT(O293,"0"),CONDUCTORES!$A$3:$G$54,2,0),"")</f>
        <v/>
      </c>
      <c r="Q293" s="332">
        <f>IFERROR(VLOOKUP(TEXT(O293,"0"),CONDUCTORES!$A$3:$H$54,6,0),"")</f>
        <v/>
      </c>
      <c r="R293" s="334" t="n"/>
      <c r="S293" s="334" t="n"/>
      <c r="T293" s="334" t="n"/>
      <c r="U293" s="334" t="n"/>
      <c r="V293" s="334" t="n"/>
      <c r="W293" s="334" t="n"/>
      <c r="X293" s="334" t="n"/>
      <c r="Y293" s="334" t="n"/>
    </row>
    <row r="294" ht="15" customHeight="1" s="195">
      <c r="A294" s="280" t="n"/>
      <c r="B294" s="280" t="n"/>
      <c r="C294" s="280" t="n"/>
      <c r="D294" s="280" t="n"/>
      <c r="E294" s="280" t="n"/>
      <c r="F294" s="280" t="n"/>
      <c r="G294" s="280" t="n"/>
      <c r="H294" s="280" t="n"/>
      <c r="I294" s="332">
        <f>IFERROR(VLOOKUP(TEXT(H294,"0"),IPRESS!$A$3:$B$212,2,0),"")</f>
        <v/>
      </c>
      <c r="J294" s="280" t="n"/>
      <c r="K294" s="332">
        <f>IFERROR(VLOOKUP(TEXT(O294,"0"),CONDUCTORES!$A$3:$G$54,7,0),"")</f>
        <v/>
      </c>
      <c r="L294" s="280" t="n"/>
      <c r="M294" s="280" t="n"/>
      <c r="N294" s="333">
        <f>IFERROR(IF(L294*M294=0,"",L294*M294),"")</f>
        <v/>
      </c>
      <c r="O294" s="280" t="n"/>
      <c r="P294" s="332">
        <f>IFERROR(VLOOKUP(TEXT(O294,"0"),CONDUCTORES!$A$3:$G$54,2,0),"")</f>
        <v/>
      </c>
      <c r="Q294" s="332">
        <f>IFERROR(VLOOKUP(TEXT(O294,"0"),CONDUCTORES!$A$3:$H$54,6,0),"")</f>
        <v/>
      </c>
      <c r="R294" s="280" t="n"/>
      <c r="S294" s="280" t="n"/>
      <c r="T294" s="280" t="n"/>
      <c r="U294" s="280" t="n"/>
      <c r="V294" s="280" t="n"/>
      <c r="W294" s="280" t="n"/>
      <c r="X294" s="280" t="n"/>
      <c r="Y294" s="280" t="n"/>
    </row>
    <row r="295" ht="15" customHeight="1" s="195">
      <c r="A295" s="334" t="n"/>
      <c r="B295" s="334" t="n"/>
      <c r="C295" s="334" t="n"/>
      <c r="D295" s="334" t="n"/>
      <c r="E295" s="334" t="n"/>
      <c r="F295" s="334" t="n"/>
      <c r="G295" s="334" t="n"/>
      <c r="H295" s="334" t="n"/>
      <c r="I295" s="332">
        <f>IFERROR(VLOOKUP(TEXT(H295,"0"),IPRESS!$A$3:$B$212,2,0),"")</f>
        <v/>
      </c>
      <c r="J295" s="334" t="n"/>
      <c r="K295" s="332">
        <f>IFERROR(VLOOKUP(TEXT(O295,"0"),CONDUCTORES!$A$3:$G$54,7,0),"")</f>
        <v/>
      </c>
      <c r="L295" s="334" t="n"/>
      <c r="M295" s="334" t="n"/>
      <c r="N295" s="333">
        <f>IFERROR(IF(L295*M295=0,"",L295*M295),"")</f>
        <v/>
      </c>
      <c r="O295" s="334" t="n"/>
      <c r="P295" s="332">
        <f>IFERROR(VLOOKUP(TEXT(O295,"0"),CONDUCTORES!$A$3:$G$54,2,0),"")</f>
        <v/>
      </c>
      <c r="Q295" s="332">
        <f>IFERROR(VLOOKUP(TEXT(O295,"0"),CONDUCTORES!$A$3:$H$54,6,0),"")</f>
        <v/>
      </c>
      <c r="R295" s="334" t="n"/>
      <c r="S295" s="334" t="n"/>
      <c r="T295" s="334" t="n"/>
      <c r="U295" s="334" t="n"/>
      <c r="V295" s="334" t="n"/>
      <c r="W295" s="334" t="n"/>
      <c r="X295" s="334" t="n"/>
      <c r="Y295" s="334" t="n"/>
    </row>
    <row r="296" ht="15" customHeight="1" s="195">
      <c r="A296" s="280" t="n"/>
      <c r="B296" s="280" t="n"/>
      <c r="C296" s="280" t="n"/>
      <c r="D296" s="280" t="n"/>
      <c r="E296" s="280" t="n"/>
      <c r="F296" s="280" t="n"/>
      <c r="G296" s="280" t="n"/>
      <c r="H296" s="280" t="n"/>
      <c r="I296" s="332">
        <f>IFERROR(VLOOKUP(TEXT(H296,"0"),IPRESS!$A$3:$B$212,2,0),"")</f>
        <v/>
      </c>
      <c r="J296" s="280" t="n"/>
      <c r="K296" s="332">
        <f>IFERROR(VLOOKUP(TEXT(O296,"0"),CONDUCTORES!$A$3:$G$54,7,0),"")</f>
        <v/>
      </c>
      <c r="L296" s="280" t="n"/>
      <c r="M296" s="280" t="n"/>
      <c r="N296" s="333">
        <f>IFERROR(IF(L296*M296=0,"",L296*M296),"")</f>
        <v/>
      </c>
      <c r="O296" s="280" t="n"/>
      <c r="P296" s="332">
        <f>IFERROR(VLOOKUP(TEXT(O296,"0"),CONDUCTORES!$A$3:$G$54,2,0),"")</f>
        <v/>
      </c>
      <c r="Q296" s="332">
        <f>IFERROR(VLOOKUP(TEXT(O296,"0"),CONDUCTORES!$A$3:$H$54,6,0),"")</f>
        <v/>
      </c>
      <c r="R296" s="280" t="n"/>
      <c r="S296" s="280" t="n"/>
      <c r="T296" s="280" t="n"/>
      <c r="U296" s="280" t="n"/>
      <c r="V296" s="280" t="n"/>
      <c r="W296" s="280" t="n"/>
      <c r="X296" s="280" t="n"/>
      <c r="Y296" s="280" t="n"/>
    </row>
    <row r="297" ht="15" customHeight="1" s="195">
      <c r="A297" s="334" t="n"/>
      <c r="B297" s="334" t="n"/>
      <c r="C297" s="334" t="n"/>
      <c r="D297" s="334" t="n"/>
      <c r="E297" s="334" t="n"/>
      <c r="F297" s="334" t="n"/>
      <c r="G297" s="334" t="n"/>
      <c r="H297" s="334" t="n"/>
      <c r="I297" s="332">
        <f>IFERROR(VLOOKUP(TEXT(H297,"0"),IPRESS!$A$3:$B$212,2,0),"")</f>
        <v/>
      </c>
      <c r="J297" s="334" t="n"/>
      <c r="K297" s="332">
        <f>IFERROR(VLOOKUP(TEXT(O297,"0"),CONDUCTORES!$A$3:$G$54,7,0),"")</f>
        <v/>
      </c>
      <c r="L297" s="334" t="n"/>
      <c r="M297" s="334" t="n"/>
      <c r="N297" s="333">
        <f>IFERROR(IF(L297*M297=0,"",L297*M297),"")</f>
        <v/>
      </c>
      <c r="O297" s="334" t="n"/>
      <c r="P297" s="332">
        <f>IFERROR(VLOOKUP(TEXT(O297,"0"),CONDUCTORES!$A$3:$G$54,2,0),"")</f>
        <v/>
      </c>
      <c r="Q297" s="332">
        <f>IFERROR(VLOOKUP(TEXT(O297,"0"),CONDUCTORES!$A$3:$H$54,6,0),"")</f>
        <v/>
      </c>
      <c r="R297" s="334" t="n"/>
      <c r="S297" s="334" t="n"/>
      <c r="T297" s="334" t="n"/>
      <c r="U297" s="334" t="n"/>
      <c r="V297" s="334" t="n"/>
      <c r="W297" s="334" t="n"/>
      <c r="X297" s="334" t="n"/>
      <c r="Y297" s="334" t="n"/>
    </row>
    <row r="298" ht="15" customHeight="1" s="195">
      <c r="A298" s="280" t="n"/>
      <c r="B298" s="280" t="n"/>
      <c r="C298" s="280" t="n"/>
      <c r="D298" s="280" t="n"/>
      <c r="E298" s="280" t="n"/>
      <c r="F298" s="280" t="n"/>
      <c r="G298" s="280" t="n"/>
      <c r="H298" s="280" t="n"/>
      <c r="I298" s="332">
        <f>IFERROR(VLOOKUP(TEXT(H298,"0"),IPRESS!$A$3:$B$212,2,0),"")</f>
        <v/>
      </c>
      <c r="J298" s="280" t="n"/>
      <c r="K298" s="332">
        <f>IFERROR(VLOOKUP(TEXT(O298,"0"),CONDUCTORES!$A$3:$G$54,7,0),"")</f>
        <v/>
      </c>
      <c r="L298" s="280" t="n"/>
      <c r="M298" s="280" t="n"/>
      <c r="N298" s="333">
        <f>IFERROR(IF(L298*M298=0,"",L298*M298),"")</f>
        <v/>
      </c>
      <c r="O298" s="280" t="n"/>
      <c r="P298" s="332">
        <f>IFERROR(VLOOKUP(TEXT(O298,"0"),CONDUCTORES!$A$3:$G$54,2,0),"")</f>
        <v/>
      </c>
      <c r="Q298" s="332">
        <f>IFERROR(VLOOKUP(TEXT(O298,"0"),CONDUCTORES!$A$3:$H$54,6,0),"")</f>
        <v/>
      </c>
      <c r="R298" s="280" t="n"/>
      <c r="S298" s="280" t="n"/>
      <c r="T298" s="280" t="n"/>
      <c r="U298" s="280" t="n"/>
      <c r="V298" s="280" t="n"/>
      <c r="W298" s="280" t="n"/>
      <c r="X298" s="280" t="n"/>
      <c r="Y298" s="280" t="n"/>
    </row>
    <row r="299" ht="15" customHeight="1" s="195">
      <c r="A299" s="334" t="n"/>
      <c r="B299" s="334" t="n"/>
      <c r="C299" s="334" t="n"/>
      <c r="D299" s="334" t="n"/>
      <c r="E299" s="334" t="n"/>
      <c r="F299" s="334" t="n"/>
      <c r="G299" s="334" t="n"/>
      <c r="H299" s="334" t="n"/>
      <c r="I299" s="332">
        <f>IFERROR(VLOOKUP(TEXT(H299,"0"),IPRESS!$A$3:$B$212,2,0),"")</f>
        <v/>
      </c>
      <c r="J299" s="334" t="n"/>
      <c r="K299" s="332">
        <f>IFERROR(VLOOKUP(TEXT(O299,"0"),CONDUCTORES!$A$3:$G$54,7,0),"")</f>
        <v/>
      </c>
      <c r="L299" s="334" t="n"/>
      <c r="M299" s="334" t="n"/>
      <c r="N299" s="333">
        <f>IFERROR(IF(L299*M299=0,"",L299*M299),"")</f>
        <v/>
      </c>
      <c r="O299" s="334" t="n"/>
      <c r="P299" s="332">
        <f>IFERROR(VLOOKUP(TEXT(O299,"0"),CONDUCTORES!$A$3:$G$54,2,0),"")</f>
        <v/>
      </c>
      <c r="Q299" s="332">
        <f>IFERROR(VLOOKUP(TEXT(O299,"0"),CONDUCTORES!$A$3:$H$54,6,0),"")</f>
        <v/>
      </c>
      <c r="R299" s="334" t="n"/>
      <c r="S299" s="334" t="n"/>
      <c r="T299" s="334" t="n"/>
      <c r="U299" s="334" t="n"/>
      <c r="V299" s="334" t="n"/>
      <c r="W299" s="334" t="n"/>
      <c r="X299" s="334" t="n"/>
      <c r="Y299" s="334" t="n"/>
    </row>
    <row r="300" ht="15" customHeight="1" s="195">
      <c r="A300" s="280" t="n"/>
      <c r="B300" s="280" t="n"/>
      <c r="C300" s="280" t="n"/>
      <c r="D300" s="280" t="n"/>
      <c r="E300" s="280" t="n"/>
      <c r="F300" s="280" t="n"/>
      <c r="G300" s="280" t="n"/>
      <c r="H300" s="280" t="n"/>
      <c r="I300" s="332">
        <f>IFERROR(VLOOKUP(TEXT(H300,"0"),IPRESS!$A$3:$B$212,2,0),"")</f>
        <v/>
      </c>
      <c r="J300" s="280" t="n"/>
      <c r="K300" s="332">
        <f>IFERROR(VLOOKUP(TEXT(O300,"0"),CONDUCTORES!$A$3:$G$54,7,0),"")</f>
        <v/>
      </c>
      <c r="L300" s="280" t="n"/>
      <c r="M300" s="280" t="n"/>
      <c r="N300" s="333">
        <f>IFERROR(IF(L300*M300=0,"",L300*M300),"")</f>
        <v/>
      </c>
      <c r="O300" s="280" t="n"/>
      <c r="P300" s="332">
        <f>IFERROR(VLOOKUP(TEXT(O300,"0"),CONDUCTORES!$A$3:$G$54,2,0),"")</f>
        <v/>
      </c>
      <c r="Q300" s="332">
        <f>IFERROR(VLOOKUP(TEXT(O300,"0"),CONDUCTORES!$A$3:$H$54,6,0),"")</f>
        <v/>
      </c>
      <c r="R300" s="280" t="n"/>
      <c r="S300" s="280" t="n"/>
      <c r="T300" s="280" t="n"/>
      <c r="U300" s="280" t="n"/>
      <c r="V300" s="280" t="n"/>
      <c r="W300" s="280" t="n"/>
      <c r="X300" s="280" t="n"/>
      <c r="Y300" s="280" t="n"/>
    </row>
    <row r="301" ht="15" customHeight="1" s="195">
      <c r="A301" s="334" t="n"/>
      <c r="B301" s="334" t="n"/>
      <c r="C301" s="334" t="n"/>
      <c r="D301" s="334" t="n"/>
      <c r="E301" s="334" t="n"/>
      <c r="F301" s="334" t="n"/>
      <c r="G301" s="334" t="n"/>
      <c r="H301" s="334" t="n"/>
      <c r="I301" s="332">
        <f>IFERROR(VLOOKUP(TEXT(H301,"0"),IPRESS!$A$3:$B$212,2,0),"")</f>
        <v/>
      </c>
      <c r="J301" s="334" t="n"/>
      <c r="K301" s="332">
        <f>IFERROR(VLOOKUP(TEXT(O301,"0"),CONDUCTORES!$A$3:$G$54,7,0),"")</f>
        <v/>
      </c>
      <c r="L301" s="334" t="n"/>
      <c r="M301" s="334" t="n"/>
      <c r="N301" s="333">
        <f>IFERROR(IF(L301*M301=0,"",L301*M301),"")</f>
        <v/>
      </c>
      <c r="O301" s="334" t="n"/>
      <c r="P301" s="332">
        <f>IFERROR(VLOOKUP(TEXT(O301,"0"),CONDUCTORES!$A$3:$G$54,2,0),"")</f>
        <v/>
      </c>
      <c r="Q301" s="332">
        <f>IFERROR(VLOOKUP(TEXT(O301,"0"),CONDUCTORES!$A$3:$H$54,6,0),"")</f>
        <v/>
      </c>
      <c r="R301" s="334" t="n"/>
      <c r="S301" s="334" t="n"/>
      <c r="T301" s="334" t="n"/>
      <c r="U301" s="334" t="n"/>
      <c r="V301" s="334" t="n"/>
      <c r="W301" s="334" t="n"/>
      <c r="X301" s="334" t="n"/>
      <c r="Y301" s="334" t="n"/>
    </row>
    <row r="302" ht="15" customHeight="1" s="195">
      <c r="A302" s="280" t="n"/>
      <c r="B302" s="280" t="n"/>
      <c r="C302" s="280" t="n"/>
      <c r="D302" s="280" t="n"/>
      <c r="E302" s="280" t="n"/>
      <c r="F302" s="280" t="n"/>
      <c r="G302" s="280" t="n"/>
      <c r="H302" s="280" t="n"/>
      <c r="I302" s="332">
        <f>IFERROR(VLOOKUP(TEXT(H302,"0"),IPRESS!$A$3:$B$212,2,0),"")</f>
        <v/>
      </c>
      <c r="J302" s="280" t="n"/>
      <c r="K302" s="332">
        <f>IFERROR(VLOOKUP(TEXT(O302,"0"),CONDUCTORES!$A$3:$G$54,7,0),"")</f>
        <v/>
      </c>
      <c r="L302" s="280" t="n"/>
      <c r="M302" s="280" t="n"/>
      <c r="N302" s="333">
        <f>IFERROR(IF(L302*M302=0,"",L302*M302),"")</f>
        <v/>
      </c>
      <c r="O302" s="280" t="n"/>
      <c r="P302" s="332">
        <f>IFERROR(VLOOKUP(TEXT(O302,"0"),CONDUCTORES!$A$3:$G$54,2,0),"")</f>
        <v/>
      </c>
      <c r="Q302" s="332">
        <f>IFERROR(VLOOKUP(TEXT(O302,"0"),CONDUCTORES!$A$3:$H$54,6,0),"")</f>
        <v/>
      </c>
      <c r="R302" s="280" t="n"/>
      <c r="S302" s="280" t="n"/>
      <c r="T302" s="280" t="n"/>
      <c r="U302" s="280" t="n"/>
      <c r="V302" s="280" t="n"/>
      <c r="W302" s="280" t="n"/>
      <c r="X302" s="280" t="n"/>
      <c r="Y302" s="280" t="n"/>
    </row>
    <row r="303" ht="15" customHeight="1" s="195">
      <c r="A303" s="334" t="n"/>
      <c r="B303" s="334" t="n"/>
      <c r="C303" s="334" t="n"/>
      <c r="D303" s="334" t="n"/>
      <c r="E303" s="334" t="n"/>
      <c r="F303" s="334" t="n"/>
      <c r="G303" s="334" t="n"/>
      <c r="H303" s="334" t="n"/>
      <c r="I303" s="332">
        <f>IFERROR(VLOOKUP(TEXT(H303,"0"),IPRESS!$A$3:$B$212,2,0),"")</f>
        <v/>
      </c>
      <c r="J303" s="334" t="n"/>
      <c r="K303" s="332">
        <f>IFERROR(VLOOKUP(TEXT(O303,"0"),CONDUCTORES!$A$3:$G$54,7,0),"")</f>
        <v/>
      </c>
      <c r="L303" s="334" t="n"/>
      <c r="M303" s="334" t="n"/>
      <c r="N303" s="333">
        <f>IFERROR(IF(L303*M303=0,"",L303*M303),"")</f>
        <v/>
      </c>
      <c r="O303" s="334" t="n"/>
      <c r="P303" s="332">
        <f>IFERROR(VLOOKUP(TEXT(O303,"0"),CONDUCTORES!$A$3:$G$54,2,0),"")</f>
        <v/>
      </c>
      <c r="Q303" s="332">
        <f>IFERROR(VLOOKUP(TEXT(O303,"0"),CONDUCTORES!$A$3:$H$54,6,0),"")</f>
        <v/>
      </c>
      <c r="R303" s="334" t="n"/>
      <c r="S303" s="334" t="n"/>
      <c r="T303" s="334" t="n"/>
      <c r="U303" s="334" t="n"/>
      <c r="V303" s="334" t="n"/>
      <c r="W303" s="334" t="n"/>
      <c r="X303" s="334" t="n"/>
      <c r="Y303" s="334" t="n"/>
    </row>
    <row r="304" ht="15" customHeight="1" s="195">
      <c r="A304" s="280" t="n"/>
      <c r="B304" s="280" t="n"/>
      <c r="C304" s="280" t="n"/>
      <c r="D304" s="280" t="n"/>
      <c r="E304" s="280" t="n"/>
      <c r="F304" s="280" t="n"/>
      <c r="G304" s="280" t="n"/>
      <c r="H304" s="280" t="n"/>
      <c r="I304" s="332">
        <f>IFERROR(VLOOKUP(TEXT(H304,"0"),IPRESS!$A$3:$B$212,2,0),"")</f>
        <v/>
      </c>
      <c r="J304" s="280" t="n"/>
      <c r="K304" s="332">
        <f>IFERROR(VLOOKUP(TEXT(O304,"0"),CONDUCTORES!$A$3:$G$54,7,0),"")</f>
        <v/>
      </c>
      <c r="L304" s="280" t="n"/>
      <c r="M304" s="280" t="n"/>
      <c r="N304" s="333">
        <f>IFERROR(IF(L304*M304=0,"",L304*M304),"")</f>
        <v/>
      </c>
      <c r="O304" s="280" t="n"/>
      <c r="P304" s="332">
        <f>IFERROR(VLOOKUP(TEXT(O304,"0"),CONDUCTORES!$A$3:$G$54,2,0),"")</f>
        <v/>
      </c>
      <c r="Q304" s="332">
        <f>IFERROR(VLOOKUP(TEXT(O304,"0"),CONDUCTORES!$A$3:$H$54,6,0),"")</f>
        <v/>
      </c>
      <c r="R304" s="280" t="n"/>
      <c r="S304" s="280" t="n"/>
      <c r="T304" s="280" t="n"/>
      <c r="U304" s="280" t="n"/>
      <c r="V304" s="280" t="n"/>
      <c r="W304" s="280" t="n"/>
      <c r="X304" s="280" t="n"/>
      <c r="Y304" s="280" t="n"/>
    </row>
    <row r="305" ht="15" customHeight="1" s="195">
      <c r="A305" s="334" t="n"/>
      <c r="B305" s="334" t="n"/>
      <c r="C305" s="334" t="n"/>
      <c r="D305" s="334" t="n"/>
      <c r="E305" s="334" t="n"/>
      <c r="F305" s="334" t="n"/>
      <c r="G305" s="334" t="n"/>
      <c r="H305" s="334" t="n"/>
      <c r="I305" s="332">
        <f>IFERROR(VLOOKUP(TEXT(H305,"0"),IPRESS!$A$3:$B$212,2,0),"")</f>
        <v/>
      </c>
      <c r="J305" s="334" t="n"/>
      <c r="K305" s="332">
        <f>IFERROR(VLOOKUP(TEXT(O305,"0"),CONDUCTORES!$A$3:$G$54,7,0),"")</f>
        <v/>
      </c>
      <c r="L305" s="334" t="n"/>
      <c r="M305" s="334" t="n"/>
      <c r="N305" s="333">
        <f>IFERROR(IF(L305*M305=0,"",L305*M305),"")</f>
        <v/>
      </c>
      <c r="O305" s="334" t="n"/>
      <c r="P305" s="332">
        <f>IFERROR(VLOOKUP(TEXT(O305,"0"),CONDUCTORES!$A$3:$G$54,2,0),"")</f>
        <v/>
      </c>
      <c r="Q305" s="332">
        <f>IFERROR(VLOOKUP(TEXT(O305,"0"),CONDUCTORES!$A$3:$H$54,6,0),"")</f>
        <v/>
      </c>
      <c r="R305" s="334" t="n"/>
      <c r="S305" s="334" t="n"/>
      <c r="T305" s="334" t="n"/>
      <c r="U305" s="334" t="n"/>
      <c r="V305" s="334" t="n"/>
      <c r="W305" s="334" t="n"/>
      <c r="X305" s="334" t="n"/>
      <c r="Y305" s="334" t="n"/>
    </row>
    <row r="306" ht="15" customHeight="1" s="195">
      <c r="A306" s="280" t="n"/>
      <c r="B306" s="280" t="n"/>
      <c r="C306" s="280" t="n"/>
      <c r="D306" s="280" t="n"/>
      <c r="E306" s="280" t="n"/>
      <c r="F306" s="280" t="n"/>
      <c r="G306" s="280" t="n"/>
      <c r="H306" s="280" t="n"/>
      <c r="I306" s="332">
        <f>IFERROR(VLOOKUP(TEXT(H306,"0"),IPRESS!$A$3:$B$212,2,0),"")</f>
        <v/>
      </c>
      <c r="J306" s="280" t="n"/>
      <c r="K306" s="332">
        <f>IFERROR(VLOOKUP(TEXT(O306,"0"),CONDUCTORES!$A$3:$G$54,7,0),"")</f>
        <v/>
      </c>
      <c r="L306" s="280" t="n"/>
      <c r="M306" s="280" t="n"/>
      <c r="N306" s="333">
        <f>IFERROR(IF(L306*M306=0,"",L306*M306),"")</f>
        <v/>
      </c>
      <c r="O306" s="280" t="n"/>
      <c r="P306" s="332">
        <f>IFERROR(VLOOKUP(TEXT(O306,"0"),CONDUCTORES!$A$3:$G$54,2,0),"")</f>
        <v/>
      </c>
      <c r="Q306" s="332">
        <f>IFERROR(VLOOKUP(TEXT(O306,"0"),CONDUCTORES!$A$3:$H$54,6,0),"")</f>
        <v/>
      </c>
      <c r="R306" s="280" t="n"/>
      <c r="S306" s="280" t="n"/>
      <c r="T306" s="280" t="n"/>
      <c r="U306" s="280" t="n"/>
      <c r="V306" s="280" t="n"/>
      <c r="W306" s="280" t="n"/>
      <c r="X306" s="280" t="n"/>
      <c r="Y306" s="280" t="n"/>
    </row>
    <row r="307" ht="15" customHeight="1" s="195">
      <c r="A307" s="334" t="n"/>
      <c r="B307" s="334" t="n"/>
      <c r="C307" s="334" t="n"/>
      <c r="D307" s="334" t="n"/>
      <c r="E307" s="334" t="n"/>
      <c r="F307" s="334" t="n"/>
      <c r="G307" s="334" t="n"/>
      <c r="H307" s="334" t="n"/>
      <c r="I307" s="332">
        <f>IFERROR(VLOOKUP(TEXT(H307,"0"),IPRESS!$A$3:$B$212,2,0),"")</f>
        <v/>
      </c>
      <c r="J307" s="334" t="n"/>
      <c r="K307" s="332">
        <f>IFERROR(VLOOKUP(TEXT(O307,"0"),CONDUCTORES!$A$3:$G$54,7,0),"")</f>
        <v/>
      </c>
      <c r="L307" s="334" t="n"/>
      <c r="M307" s="334" t="n"/>
      <c r="N307" s="333">
        <f>IFERROR(IF(L307*M307=0,"",L307*M307),"")</f>
        <v/>
      </c>
      <c r="O307" s="334" t="n"/>
      <c r="P307" s="332">
        <f>IFERROR(VLOOKUP(TEXT(O307,"0"),CONDUCTORES!$A$3:$G$54,2,0),"")</f>
        <v/>
      </c>
      <c r="Q307" s="332">
        <f>IFERROR(VLOOKUP(TEXT(O307,"0"),CONDUCTORES!$A$3:$H$54,6,0),"")</f>
        <v/>
      </c>
      <c r="R307" s="334" t="n"/>
      <c r="S307" s="334" t="n"/>
      <c r="T307" s="334" t="n"/>
      <c r="U307" s="334" t="n"/>
      <c r="V307" s="334" t="n"/>
      <c r="W307" s="334" t="n"/>
      <c r="X307" s="334" t="n"/>
      <c r="Y307" s="334" t="n"/>
    </row>
    <row r="308" ht="15" customHeight="1" s="195">
      <c r="A308" s="280" t="n"/>
      <c r="B308" s="280" t="n"/>
      <c r="C308" s="280" t="n"/>
      <c r="D308" s="280" t="n"/>
      <c r="E308" s="280" t="n"/>
      <c r="F308" s="280" t="n"/>
      <c r="G308" s="280" t="n"/>
      <c r="H308" s="280" t="n"/>
      <c r="I308" s="332">
        <f>IFERROR(VLOOKUP(TEXT(H308,"0"),IPRESS!$A$3:$B$212,2,0),"")</f>
        <v/>
      </c>
      <c r="J308" s="280" t="n"/>
      <c r="K308" s="332">
        <f>IFERROR(VLOOKUP(TEXT(O308,"0"),CONDUCTORES!$A$3:$G$54,7,0),"")</f>
        <v/>
      </c>
      <c r="L308" s="280" t="n"/>
      <c r="M308" s="280" t="n"/>
      <c r="N308" s="333">
        <f>IFERROR(IF(L308*M308=0,"",L308*M308),"")</f>
        <v/>
      </c>
      <c r="O308" s="280" t="n"/>
      <c r="P308" s="332">
        <f>IFERROR(VLOOKUP(TEXT(O308,"0"),CONDUCTORES!$A$3:$G$54,2,0),"")</f>
        <v/>
      </c>
      <c r="Q308" s="332">
        <f>IFERROR(VLOOKUP(TEXT(O308,"0"),CONDUCTORES!$A$3:$H$54,6,0),"")</f>
        <v/>
      </c>
      <c r="R308" s="280" t="n"/>
      <c r="S308" s="280" t="n"/>
      <c r="T308" s="280" t="n"/>
      <c r="U308" s="280" t="n"/>
      <c r="V308" s="280" t="n"/>
      <c r="W308" s="280" t="n"/>
      <c r="X308" s="280" t="n"/>
      <c r="Y308" s="280" t="n"/>
    </row>
    <row r="309" ht="15" customHeight="1" s="195">
      <c r="A309" s="334" t="n"/>
      <c r="B309" s="334" t="n"/>
      <c r="C309" s="334" t="n"/>
      <c r="D309" s="334" t="n"/>
      <c r="E309" s="334" t="n"/>
      <c r="F309" s="334" t="n"/>
      <c r="G309" s="334" t="n"/>
      <c r="H309" s="334" t="n"/>
      <c r="I309" s="332">
        <f>IFERROR(VLOOKUP(TEXT(H309,"0"),IPRESS!$A$3:$B$212,2,0),"")</f>
        <v/>
      </c>
      <c r="J309" s="334" t="n"/>
      <c r="K309" s="332">
        <f>IFERROR(VLOOKUP(TEXT(O309,"0"),CONDUCTORES!$A$3:$G$54,7,0),"")</f>
        <v/>
      </c>
      <c r="L309" s="334" t="n"/>
      <c r="M309" s="334" t="n"/>
      <c r="N309" s="333">
        <f>IFERROR(IF(L309*M309=0,"",L309*M309),"")</f>
        <v/>
      </c>
      <c r="O309" s="334" t="n"/>
      <c r="P309" s="332">
        <f>IFERROR(VLOOKUP(TEXT(O309,"0"),CONDUCTORES!$A$3:$G$54,2,0),"")</f>
        <v/>
      </c>
      <c r="Q309" s="332">
        <f>IFERROR(VLOOKUP(TEXT(O309,"0"),CONDUCTORES!$A$3:$H$54,6,0),"")</f>
        <v/>
      </c>
      <c r="R309" s="334" t="n"/>
      <c r="S309" s="334" t="n"/>
      <c r="T309" s="334" t="n"/>
      <c r="U309" s="334" t="n"/>
      <c r="V309" s="334" t="n"/>
      <c r="W309" s="334" t="n"/>
      <c r="X309" s="334" t="n"/>
      <c r="Y309" s="334" t="n"/>
    </row>
    <row r="310" ht="15" customHeight="1" s="195">
      <c r="A310" s="280" t="n"/>
      <c r="B310" s="280" t="n"/>
      <c r="C310" s="280" t="n"/>
      <c r="D310" s="280" t="n"/>
      <c r="E310" s="280" t="n"/>
      <c r="F310" s="280" t="n"/>
      <c r="G310" s="280" t="n"/>
      <c r="H310" s="280" t="n"/>
      <c r="I310" s="332">
        <f>IFERROR(VLOOKUP(TEXT(H310,"0"),IPRESS!$A$3:$B$212,2,0),"")</f>
        <v/>
      </c>
      <c r="J310" s="280" t="n"/>
      <c r="K310" s="332">
        <f>IFERROR(VLOOKUP(TEXT(O310,"0"),CONDUCTORES!$A$3:$G$54,7,0),"")</f>
        <v/>
      </c>
      <c r="L310" s="280" t="n"/>
      <c r="M310" s="280" t="n"/>
      <c r="N310" s="333">
        <f>IFERROR(IF(L310*M310=0,"",L310*M310),"")</f>
        <v/>
      </c>
      <c r="O310" s="280" t="n"/>
      <c r="P310" s="332">
        <f>IFERROR(VLOOKUP(TEXT(O310,"0"),CONDUCTORES!$A$3:$G$54,2,0),"")</f>
        <v/>
      </c>
      <c r="Q310" s="332">
        <f>IFERROR(VLOOKUP(TEXT(O310,"0"),CONDUCTORES!$A$3:$H$54,6,0),"")</f>
        <v/>
      </c>
      <c r="R310" s="280" t="n"/>
      <c r="S310" s="280" t="n"/>
      <c r="T310" s="280" t="n"/>
      <c r="U310" s="280" t="n"/>
      <c r="V310" s="280" t="n"/>
      <c r="W310" s="280" t="n"/>
      <c r="X310" s="280" t="n"/>
      <c r="Y310" s="280" t="n"/>
    </row>
    <row r="311" ht="15" customHeight="1" s="195">
      <c r="A311" s="334" t="n"/>
      <c r="B311" s="334" t="n"/>
      <c r="C311" s="334" t="n"/>
      <c r="D311" s="334" t="n"/>
      <c r="E311" s="334" t="n"/>
      <c r="F311" s="334" t="n"/>
      <c r="G311" s="334" t="n"/>
      <c r="H311" s="334" t="n"/>
      <c r="I311" s="332">
        <f>IFERROR(VLOOKUP(TEXT(H311,"0"),IPRESS!$A$3:$B$212,2,0),"")</f>
        <v/>
      </c>
      <c r="J311" s="334" t="n"/>
      <c r="K311" s="332">
        <f>IFERROR(VLOOKUP(TEXT(O311,"0"),CONDUCTORES!$A$3:$G$54,7,0),"")</f>
        <v/>
      </c>
      <c r="L311" s="334" t="n"/>
      <c r="M311" s="334" t="n"/>
      <c r="N311" s="333">
        <f>IFERROR(IF(L311*M311=0,"",L311*M311),"")</f>
        <v/>
      </c>
      <c r="O311" s="334" t="n"/>
      <c r="P311" s="332">
        <f>IFERROR(VLOOKUP(TEXT(O311,"0"),CONDUCTORES!$A$3:$G$54,2,0),"")</f>
        <v/>
      </c>
      <c r="Q311" s="332">
        <f>IFERROR(VLOOKUP(TEXT(O311,"0"),CONDUCTORES!$A$3:$H$54,6,0),"")</f>
        <v/>
      </c>
      <c r="R311" s="334" t="n"/>
      <c r="S311" s="334" t="n"/>
      <c r="T311" s="334" t="n"/>
      <c r="U311" s="334" t="n"/>
      <c r="V311" s="334" t="n"/>
      <c r="W311" s="334" t="n"/>
      <c r="X311" s="334" t="n"/>
      <c r="Y311" s="334" t="n"/>
    </row>
    <row r="312" ht="15" customHeight="1" s="195">
      <c r="A312" s="280" t="n"/>
      <c r="B312" s="280" t="n"/>
      <c r="C312" s="280" t="n"/>
      <c r="D312" s="280" t="n"/>
      <c r="E312" s="280" t="n"/>
      <c r="F312" s="280" t="n"/>
      <c r="G312" s="280" t="n"/>
      <c r="H312" s="280" t="n"/>
      <c r="I312" s="332">
        <f>IFERROR(VLOOKUP(TEXT(H312,"0"),IPRESS!$A$3:$B$212,2,0),"")</f>
        <v/>
      </c>
      <c r="J312" s="280" t="n"/>
      <c r="K312" s="332">
        <f>IFERROR(VLOOKUP(TEXT(O312,"0"),CONDUCTORES!$A$3:$G$54,7,0),"")</f>
        <v/>
      </c>
      <c r="L312" s="280" t="n"/>
      <c r="M312" s="280" t="n"/>
      <c r="N312" s="333">
        <f>IFERROR(IF(L312*M312=0,"",L312*M312),"")</f>
        <v/>
      </c>
      <c r="O312" s="280" t="n"/>
      <c r="P312" s="332">
        <f>IFERROR(VLOOKUP(TEXT(O312,"0"),CONDUCTORES!$A$3:$G$54,2,0),"")</f>
        <v/>
      </c>
      <c r="Q312" s="332">
        <f>IFERROR(VLOOKUP(TEXT(O312,"0"),CONDUCTORES!$A$3:$H$54,6,0),"")</f>
        <v/>
      </c>
      <c r="R312" s="280" t="n"/>
      <c r="S312" s="280" t="n"/>
      <c r="T312" s="280" t="n"/>
      <c r="U312" s="280" t="n"/>
      <c r="V312" s="280" t="n"/>
      <c r="W312" s="280" t="n"/>
      <c r="X312" s="280" t="n"/>
      <c r="Y312" s="280" t="n"/>
    </row>
    <row r="313" ht="15" customHeight="1" s="195">
      <c r="A313" s="334" t="n"/>
      <c r="B313" s="334" t="n"/>
      <c r="C313" s="334" t="n"/>
      <c r="D313" s="334" t="n"/>
      <c r="E313" s="334" t="n"/>
      <c r="F313" s="334" t="n"/>
      <c r="G313" s="334" t="n"/>
      <c r="H313" s="334" t="n"/>
      <c r="I313" s="332">
        <f>IFERROR(VLOOKUP(TEXT(H313,"0"),IPRESS!$A$3:$B$212,2,0),"")</f>
        <v/>
      </c>
      <c r="J313" s="334" t="n"/>
      <c r="K313" s="332">
        <f>IFERROR(VLOOKUP(TEXT(O313,"0"),CONDUCTORES!$A$3:$G$54,7,0),"")</f>
        <v/>
      </c>
      <c r="L313" s="334" t="n"/>
      <c r="M313" s="334" t="n"/>
      <c r="N313" s="333">
        <f>IFERROR(IF(L313*M313=0,"",L313*M313),"")</f>
        <v/>
      </c>
      <c r="O313" s="334" t="n"/>
      <c r="P313" s="332">
        <f>IFERROR(VLOOKUP(TEXT(O313,"0"),CONDUCTORES!$A$3:$G$54,2,0),"")</f>
        <v/>
      </c>
      <c r="Q313" s="332">
        <f>IFERROR(VLOOKUP(TEXT(O313,"0"),CONDUCTORES!$A$3:$H$54,6,0),"")</f>
        <v/>
      </c>
      <c r="R313" s="334" t="n"/>
      <c r="S313" s="334" t="n"/>
      <c r="T313" s="334" t="n"/>
      <c r="U313" s="334" t="n"/>
      <c r="V313" s="334" t="n"/>
      <c r="W313" s="334" t="n"/>
      <c r="X313" s="334" t="n"/>
      <c r="Y313" s="334" t="n"/>
    </row>
    <row r="314" ht="15" customHeight="1" s="195">
      <c r="A314" s="280" t="n"/>
      <c r="B314" s="280" t="n"/>
      <c r="C314" s="280" t="n"/>
      <c r="D314" s="280" t="n"/>
      <c r="E314" s="280" t="n"/>
      <c r="F314" s="280" t="n"/>
      <c r="G314" s="280" t="n"/>
      <c r="H314" s="280" t="n"/>
      <c r="I314" s="332">
        <f>IFERROR(VLOOKUP(TEXT(H314,"0"),IPRESS!$A$3:$B$212,2,0),"")</f>
        <v/>
      </c>
      <c r="J314" s="280" t="n"/>
      <c r="K314" s="332">
        <f>IFERROR(VLOOKUP(TEXT(O314,"0"),CONDUCTORES!$A$3:$G$54,7,0),"")</f>
        <v/>
      </c>
      <c r="L314" s="280" t="n"/>
      <c r="M314" s="280" t="n"/>
      <c r="N314" s="333">
        <f>IFERROR(IF(L314*M314=0,"",L314*M314),"")</f>
        <v/>
      </c>
      <c r="O314" s="280" t="n"/>
      <c r="P314" s="332">
        <f>IFERROR(VLOOKUP(TEXT(O314,"0"),CONDUCTORES!$A$3:$G$54,2,0),"")</f>
        <v/>
      </c>
      <c r="Q314" s="332">
        <f>IFERROR(VLOOKUP(TEXT(O314,"0"),CONDUCTORES!$A$3:$H$54,6,0),"")</f>
        <v/>
      </c>
      <c r="R314" s="280" t="n"/>
      <c r="S314" s="280" t="n"/>
      <c r="T314" s="280" t="n"/>
      <c r="U314" s="280" t="n"/>
      <c r="V314" s="280" t="n"/>
      <c r="W314" s="280" t="n"/>
      <c r="X314" s="280" t="n"/>
      <c r="Y314" s="280" t="n"/>
    </row>
    <row r="315" ht="15" customHeight="1" s="195">
      <c r="A315" s="334" t="n"/>
      <c r="B315" s="334" t="n"/>
      <c r="C315" s="334" t="n"/>
      <c r="D315" s="334" t="n"/>
      <c r="E315" s="334" t="n"/>
      <c r="F315" s="334" t="n"/>
      <c r="G315" s="334" t="n"/>
      <c r="H315" s="334" t="n"/>
      <c r="I315" s="332">
        <f>IFERROR(VLOOKUP(TEXT(H315,"0"),IPRESS!$A$3:$B$212,2,0),"")</f>
        <v/>
      </c>
      <c r="J315" s="334" t="n"/>
      <c r="K315" s="332">
        <f>IFERROR(VLOOKUP(TEXT(O315,"0"),CONDUCTORES!$A$3:$G$54,7,0),"")</f>
        <v/>
      </c>
      <c r="L315" s="334" t="n"/>
      <c r="M315" s="334" t="n"/>
      <c r="N315" s="333">
        <f>IFERROR(IF(L315*M315=0,"",L315*M315),"")</f>
        <v/>
      </c>
      <c r="O315" s="334" t="n"/>
      <c r="P315" s="332">
        <f>IFERROR(VLOOKUP(TEXT(O315,"0"),CONDUCTORES!$A$3:$G$54,2,0),"")</f>
        <v/>
      </c>
      <c r="Q315" s="332">
        <f>IFERROR(VLOOKUP(TEXT(O315,"0"),CONDUCTORES!$A$3:$H$54,6,0),"")</f>
        <v/>
      </c>
      <c r="R315" s="334" t="n"/>
      <c r="S315" s="334" t="n"/>
      <c r="T315" s="334" t="n"/>
      <c r="U315" s="334" t="n"/>
      <c r="V315" s="334" t="n"/>
      <c r="W315" s="334" t="n"/>
      <c r="X315" s="334" t="n"/>
      <c r="Y315" s="334" t="n"/>
    </row>
    <row r="316" ht="15" customHeight="1" s="195">
      <c r="A316" s="280" t="n"/>
      <c r="B316" s="280" t="n"/>
      <c r="C316" s="280" t="n"/>
      <c r="D316" s="280" t="n"/>
      <c r="E316" s="280" t="n"/>
      <c r="F316" s="280" t="n"/>
      <c r="G316" s="280" t="n"/>
      <c r="H316" s="280" t="n"/>
      <c r="I316" s="332">
        <f>IFERROR(VLOOKUP(TEXT(H316,"0"),IPRESS!$A$3:$B$212,2,0),"")</f>
        <v/>
      </c>
      <c r="J316" s="280" t="n"/>
      <c r="K316" s="332">
        <f>IFERROR(VLOOKUP(TEXT(O316,"0"),CONDUCTORES!$A$3:$G$54,7,0),"")</f>
        <v/>
      </c>
      <c r="L316" s="280" t="n"/>
      <c r="M316" s="280" t="n"/>
      <c r="N316" s="333">
        <f>IFERROR(IF(L316*M316=0,"",L316*M316),"")</f>
        <v/>
      </c>
      <c r="O316" s="280" t="n"/>
      <c r="P316" s="332">
        <f>IFERROR(VLOOKUP(TEXT(O316,"0"),CONDUCTORES!$A$3:$G$54,2,0),"")</f>
        <v/>
      </c>
      <c r="Q316" s="332">
        <f>IFERROR(VLOOKUP(TEXT(O316,"0"),CONDUCTORES!$A$3:$H$54,6,0),"")</f>
        <v/>
      </c>
      <c r="R316" s="280" t="n"/>
      <c r="S316" s="280" t="n"/>
      <c r="T316" s="280" t="n"/>
      <c r="U316" s="280" t="n"/>
      <c r="V316" s="280" t="n"/>
      <c r="W316" s="280" t="n"/>
      <c r="X316" s="280" t="n"/>
      <c r="Y316" s="280" t="n"/>
    </row>
    <row r="317" ht="15" customHeight="1" s="195">
      <c r="A317" s="334" t="n"/>
      <c r="B317" s="334" t="n"/>
      <c r="C317" s="334" t="n"/>
      <c r="D317" s="334" t="n"/>
      <c r="E317" s="334" t="n"/>
      <c r="F317" s="334" t="n"/>
      <c r="G317" s="334" t="n"/>
      <c r="H317" s="334" t="n"/>
      <c r="I317" s="332">
        <f>IFERROR(VLOOKUP(TEXT(H317,"0"),IPRESS!$A$3:$B$212,2,0),"")</f>
        <v/>
      </c>
      <c r="J317" s="334" t="n"/>
      <c r="K317" s="332">
        <f>IFERROR(VLOOKUP(TEXT(O317,"0"),CONDUCTORES!$A$3:$G$54,7,0),"")</f>
        <v/>
      </c>
      <c r="L317" s="334" t="n"/>
      <c r="M317" s="334" t="n"/>
      <c r="N317" s="333">
        <f>IFERROR(IF(L317*M317=0,"",L317*M317),"")</f>
        <v/>
      </c>
      <c r="O317" s="334" t="n"/>
      <c r="P317" s="332">
        <f>IFERROR(VLOOKUP(TEXT(O317,"0"),CONDUCTORES!$A$3:$G$54,2,0),"")</f>
        <v/>
      </c>
      <c r="Q317" s="332">
        <f>IFERROR(VLOOKUP(TEXT(O317,"0"),CONDUCTORES!$A$3:$H$54,6,0),"")</f>
        <v/>
      </c>
      <c r="R317" s="334" t="n"/>
      <c r="S317" s="334" t="n"/>
      <c r="T317" s="334" t="n"/>
      <c r="U317" s="334" t="n"/>
      <c r="V317" s="334" t="n"/>
      <c r="W317" s="334" t="n"/>
      <c r="X317" s="334" t="n"/>
      <c r="Y317" s="334" t="n"/>
    </row>
    <row r="318" ht="15" customHeight="1" s="195">
      <c r="A318" s="280" t="n"/>
      <c r="B318" s="280" t="n"/>
      <c r="C318" s="280" t="n"/>
      <c r="D318" s="280" t="n"/>
      <c r="E318" s="280" t="n"/>
      <c r="F318" s="280" t="n"/>
      <c r="G318" s="280" t="n"/>
      <c r="H318" s="280" t="n"/>
      <c r="I318" s="332">
        <f>IFERROR(VLOOKUP(TEXT(H318,"0"),IPRESS!$A$3:$B$212,2,0),"")</f>
        <v/>
      </c>
      <c r="J318" s="280" t="n"/>
      <c r="K318" s="332">
        <f>IFERROR(VLOOKUP(TEXT(O318,"0"),CONDUCTORES!$A$3:$G$54,7,0),"")</f>
        <v/>
      </c>
      <c r="L318" s="280" t="n"/>
      <c r="M318" s="280" t="n"/>
      <c r="N318" s="333">
        <f>IFERROR(IF(L318*M318=0,"",L318*M318),"")</f>
        <v/>
      </c>
      <c r="O318" s="280" t="n"/>
      <c r="P318" s="332">
        <f>IFERROR(VLOOKUP(TEXT(O318,"0"),CONDUCTORES!$A$3:$G$54,2,0),"")</f>
        <v/>
      </c>
      <c r="Q318" s="332">
        <f>IFERROR(VLOOKUP(TEXT(O318,"0"),CONDUCTORES!$A$3:$H$54,6,0),"")</f>
        <v/>
      </c>
      <c r="R318" s="280" t="n"/>
      <c r="S318" s="280" t="n"/>
      <c r="T318" s="280" t="n"/>
      <c r="U318" s="280" t="n"/>
      <c r="V318" s="280" t="n"/>
      <c r="W318" s="280" t="n"/>
      <c r="X318" s="280" t="n"/>
      <c r="Y318" s="280" t="n"/>
    </row>
    <row r="319" ht="15" customHeight="1" s="195">
      <c r="A319" s="334" t="n"/>
      <c r="B319" s="334" t="n"/>
      <c r="C319" s="334" t="n"/>
      <c r="D319" s="334" t="n"/>
      <c r="E319" s="334" t="n"/>
      <c r="F319" s="334" t="n"/>
      <c r="G319" s="334" t="n"/>
      <c r="H319" s="334" t="n"/>
      <c r="I319" s="332">
        <f>IFERROR(VLOOKUP(TEXT(H319,"0"),IPRESS!$A$3:$B$212,2,0),"")</f>
        <v/>
      </c>
      <c r="J319" s="334" t="n"/>
      <c r="K319" s="332">
        <f>IFERROR(VLOOKUP(TEXT(O319,"0"),CONDUCTORES!$A$3:$G$54,7,0),"")</f>
        <v/>
      </c>
      <c r="L319" s="334" t="n"/>
      <c r="M319" s="334" t="n"/>
      <c r="N319" s="333">
        <f>IFERROR(IF(L319*M319=0,"",L319*M319),"")</f>
        <v/>
      </c>
      <c r="O319" s="334" t="n"/>
      <c r="P319" s="332">
        <f>IFERROR(VLOOKUP(TEXT(O319,"0"),CONDUCTORES!$A$3:$G$54,2,0),"")</f>
        <v/>
      </c>
      <c r="Q319" s="332">
        <f>IFERROR(VLOOKUP(TEXT(O319,"0"),CONDUCTORES!$A$3:$H$54,6,0),"")</f>
        <v/>
      </c>
      <c r="R319" s="334" t="n"/>
      <c r="S319" s="334" t="n"/>
      <c r="T319" s="334" t="n"/>
      <c r="U319" s="334" t="n"/>
      <c r="V319" s="334" t="n"/>
      <c r="W319" s="334" t="n"/>
      <c r="X319" s="334" t="n"/>
      <c r="Y319" s="334" t="n"/>
    </row>
    <row r="320" ht="15" customHeight="1" s="195">
      <c r="A320" s="280" t="n"/>
      <c r="B320" s="280" t="n"/>
      <c r="C320" s="280" t="n"/>
      <c r="D320" s="280" t="n"/>
      <c r="E320" s="280" t="n"/>
      <c r="F320" s="280" t="n"/>
      <c r="G320" s="280" t="n"/>
      <c r="H320" s="280" t="n"/>
      <c r="I320" s="332">
        <f>IFERROR(VLOOKUP(TEXT(H320,"0"),IPRESS!$A$3:$B$212,2,0),"")</f>
        <v/>
      </c>
      <c r="J320" s="280" t="n"/>
      <c r="K320" s="332">
        <f>IFERROR(VLOOKUP(TEXT(O320,"0"),CONDUCTORES!$A$3:$G$54,7,0),"")</f>
        <v/>
      </c>
      <c r="L320" s="280" t="n"/>
      <c r="M320" s="280" t="n"/>
      <c r="N320" s="333">
        <f>IFERROR(IF(L320*M320=0,"",L320*M320),"")</f>
        <v/>
      </c>
      <c r="O320" s="280" t="n"/>
      <c r="P320" s="332">
        <f>IFERROR(VLOOKUP(TEXT(O320,"0"),CONDUCTORES!$A$3:$G$54,2,0),"")</f>
        <v/>
      </c>
      <c r="Q320" s="332">
        <f>IFERROR(VLOOKUP(TEXT(O320,"0"),CONDUCTORES!$A$3:$H$54,6,0),"")</f>
        <v/>
      </c>
      <c r="R320" s="280" t="n"/>
      <c r="S320" s="280" t="n"/>
      <c r="T320" s="280" t="n"/>
      <c r="U320" s="280" t="n"/>
      <c r="V320" s="280" t="n"/>
      <c r="W320" s="280" t="n"/>
      <c r="X320" s="280" t="n"/>
      <c r="Y320" s="280" t="n"/>
    </row>
    <row r="321" ht="15" customHeight="1" s="195">
      <c r="A321" s="334" t="n"/>
      <c r="B321" s="334" t="n"/>
      <c r="C321" s="334" t="n"/>
      <c r="D321" s="334" t="n"/>
      <c r="E321" s="334" t="n"/>
      <c r="F321" s="334" t="n"/>
      <c r="G321" s="334" t="n"/>
      <c r="H321" s="334" t="n"/>
      <c r="I321" s="332">
        <f>IFERROR(VLOOKUP(TEXT(H321,"0"),IPRESS!$A$3:$B$212,2,0),"")</f>
        <v/>
      </c>
      <c r="J321" s="334" t="n"/>
      <c r="K321" s="332">
        <f>IFERROR(VLOOKUP(TEXT(O321,"0"),CONDUCTORES!$A$3:$G$54,7,0),"")</f>
        <v/>
      </c>
      <c r="L321" s="334" t="n"/>
      <c r="M321" s="334" t="n"/>
      <c r="N321" s="333">
        <f>IFERROR(IF(L321*M321=0,"",L321*M321),"")</f>
        <v/>
      </c>
      <c r="O321" s="334" t="n"/>
      <c r="P321" s="332">
        <f>IFERROR(VLOOKUP(TEXT(O321,"0"),CONDUCTORES!$A$3:$G$54,2,0),"")</f>
        <v/>
      </c>
      <c r="Q321" s="332">
        <f>IFERROR(VLOOKUP(TEXT(O321,"0"),CONDUCTORES!$A$3:$H$54,6,0),"")</f>
        <v/>
      </c>
      <c r="R321" s="334" t="n"/>
      <c r="S321" s="334" t="n"/>
      <c r="T321" s="334" t="n"/>
      <c r="U321" s="334" t="n"/>
      <c r="V321" s="334" t="n"/>
      <c r="W321" s="334" t="n"/>
      <c r="X321" s="334" t="n"/>
      <c r="Y321" s="334" t="n"/>
    </row>
    <row r="322" ht="15" customHeight="1" s="195">
      <c r="A322" s="280" t="n"/>
      <c r="B322" s="280" t="n"/>
      <c r="C322" s="280" t="n"/>
      <c r="D322" s="280" t="n"/>
      <c r="E322" s="280" t="n"/>
      <c r="F322" s="280" t="n"/>
      <c r="G322" s="280" t="n"/>
      <c r="H322" s="280" t="n"/>
      <c r="I322" s="332">
        <f>IFERROR(VLOOKUP(TEXT(H322,"0"),IPRESS!$A$3:$B$212,2,0),"")</f>
        <v/>
      </c>
      <c r="J322" s="280" t="n"/>
      <c r="K322" s="332">
        <f>IFERROR(VLOOKUP(TEXT(O322,"0"),CONDUCTORES!$A$3:$G$54,7,0),"")</f>
        <v/>
      </c>
      <c r="L322" s="280" t="n"/>
      <c r="M322" s="280" t="n"/>
      <c r="N322" s="333">
        <f>IFERROR(IF(L322*M322=0,"",L322*M322),"")</f>
        <v/>
      </c>
      <c r="O322" s="280" t="n"/>
      <c r="P322" s="332">
        <f>IFERROR(VLOOKUP(TEXT(O322,"0"),CONDUCTORES!$A$3:$G$54,2,0),"")</f>
        <v/>
      </c>
      <c r="Q322" s="332">
        <f>IFERROR(VLOOKUP(TEXT(O322,"0"),CONDUCTORES!$A$3:$H$54,6,0),"")</f>
        <v/>
      </c>
      <c r="R322" s="280" t="n"/>
      <c r="S322" s="280" t="n"/>
      <c r="T322" s="280" t="n"/>
      <c r="U322" s="280" t="n"/>
      <c r="V322" s="280" t="n"/>
      <c r="W322" s="280" t="n"/>
      <c r="X322" s="280" t="n"/>
      <c r="Y322" s="280" t="n"/>
    </row>
    <row r="323" ht="15" customHeight="1" s="195">
      <c r="A323" s="334" t="n"/>
      <c r="B323" s="334" t="n"/>
      <c r="C323" s="334" t="n"/>
      <c r="D323" s="334" t="n"/>
      <c r="E323" s="334" t="n"/>
      <c r="F323" s="334" t="n"/>
      <c r="G323" s="334" t="n"/>
      <c r="H323" s="334" t="n"/>
      <c r="I323" s="332">
        <f>IFERROR(VLOOKUP(TEXT(H323,"0"),IPRESS!$A$3:$B$212,2,0),"")</f>
        <v/>
      </c>
      <c r="J323" s="334" t="n"/>
      <c r="K323" s="332">
        <f>IFERROR(VLOOKUP(TEXT(O323,"0"),CONDUCTORES!$A$3:$G$54,7,0),"")</f>
        <v/>
      </c>
      <c r="L323" s="334" t="n"/>
      <c r="M323" s="334" t="n"/>
      <c r="N323" s="333">
        <f>IFERROR(IF(L323*M323=0,"",L323*M323),"")</f>
        <v/>
      </c>
      <c r="O323" s="334" t="n"/>
      <c r="P323" s="332">
        <f>IFERROR(VLOOKUP(TEXT(O323,"0"),CONDUCTORES!$A$3:$G$54,2,0),"")</f>
        <v/>
      </c>
      <c r="Q323" s="332">
        <f>IFERROR(VLOOKUP(TEXT(O323,"0"),CONDUCTORES!$A$3:$H$54,6,0),"")</f>
        <v/>
      </c>
      <c r="R323" s="334" t="n"/>
      <c r="S323" s="334" t="n"/>
      <c r="T323" s="334" t="n"/>
      <c r="U323" s="334" t="n"/>
      <c r="V323" s="334" t="n"/>
      <c r="W323" s="334" t="n"/>
      <c r="X323" s="334" t="n"/>
      <c r="Y323" s="334" t="n"/>
    </row>
    <row r="324" ht="15" customHeight="1" s="195">
      <c r="A324" s="280" t="n"/>
      <c r="B324" s="280" t="n"/>
      <c r="C324" s="280" t="n"/>
      <c r="D324" s="280" t="n"/>
      <c r="E324" s="280" t="n"/>
      <c r="F324" s="280" t="n"/>
      <c r="G324" s="280" t="n"/>
      <c r="H324" s="280" t="n"/>
      <c r="I324" s="332">
        <f>IFERROR(VLOOKUP(TEXT(H324,"0"),IPRESS!$A$3:$B$212,2,0),"")</f>
        <v/>
      </c>
      <c r="J324" s="280" t="n"/>
      <c r="K324" s="332">
        <f>IFERROR(VLOOKUP(TEXT(O324,"0"),CONDUCTORES!$A$3:$G$54,7,0),"")</f>
        <v/>
      </c>
      <c r="L324" s="280" t="n"/>
      <c r="M324" s="280" t="n"/>
      <c r="N324" s="333">
        <f>IFERROR(IF(L324*M324=0,"",L324*M324),"")</f>
        <v/>
      </c>
      <c r="O324" s="280" t="n"/>
      <c r="P324" s="332">
        <f>IFERROR(VLOOKUP(TEXT(O324,"0"),CONDUCTORES!$A$3:$G$54,2,0),"")</f>
        <v/>
      </c>
      <c r="Q324" s="332">
        <f>IFERROR(VLOOKUP(TEXT(O324,"0"),CONDUCTORES!$A$3:$H$54,6,0),"")</f>
        <v/>
      </c>
      <c r="R324" s="280" t="n"/>
      <c r="S324" s="280" t="n"/>
      <c r="T324" s="280" t="n"/>
      <c r="U324" s="280" t="n"/>
      <c r="V324" s="280" t="n"/>
      <c r="W324" s="280" t="n"/>
      <c r="X324" s="280" t="n"/>
      <c r="Y324" s="280" t="n"/>
    </row>
    <row r="325" ht="15" customHeight="1" s="195">
      <c r="A325" s="334" t="n"/>
      <c r="B325" s="334" t="n"/>
      <c r="C325" s="334" t="n"/>
      <c r="D325" s="334" t="n"/>
      <c r="E325" s="334" t="n"/>
      <c r="F325" s="334" t="n"/>
      <c r="G325" s="334" t="n"/>
      <c r="H325" s="334" t="n"/>
      <c r="I325" s="332">
        <f>IFERROR(VLOOKUP(TEXT(H325,"0"),IPRESS!$A$3:$B$212,2,0),"")</f>
        <v/>
      </c>
      <c r="J325" s="334" t="n"/>
      <c r="K325" s="332">
        <f>IFERROR(VLOOKUP(TEXT(O325,"0"),CONDUCTORES!$A$3:$G$54,7,0),"")</f>
        <v/>
      </c>
      <c r="L325" s="334" t="n"/>
      <c r="M325" s="334" t="n"/>
      <c r="N325" s="333">
        <f>IFERROR(IF(L325*M325=0,"",L325*M325),"")</f>
        <v/>
      </c>
      <c r="O325" s="334" t="n"/>
      <c r="P325" s="332">
        <f>IFERROR(VLOOKUP(TEXT(O325,"0"),CONDUCTORES!$A$3:$G$54,2,0),"")</f>
        <v/>
      </c>
      <c r="Q325" s="332">
        <f>IFERROR(VLOOKUP(TEXT(O325,"0"),CONDUCTORES!$A$3:$H$54,6,0),"")</f>
        <v/>
      </c>
      <c r="R325" s="334" t="n"/>
      <c r="S325" s="334" t="n"/>
      <c r="T325" s="334" t="n"/>
      <c r="U325" s="334" t="n"/>
      <c r="V325" s="334" t="n"/>
      <c r="W325" s="334" t="n"/>
      <c r="X325" s="334" t="n"/>
      <c r="Y325" s="334" t="n"/>
    </row>
    <row r="326" ht="15" customHeight="1" s="195">
      <c r="A326" s="280" t="n"/>
      <c r="B326" s="280" t="n"/>
      <c r="C326" s="280" t="n"/>
      <c r="D326" s="280" t="n"/>
      <c r="E326" s="280" t="n"/>
      <c r="F326" s="280" t="n"/>
      <c r="G326" s="280" t="n"/>
      <c r="H326" s="280" t="n"/>
      <c r="I326" s="332">
        <f>IFERROR(VLOOKUP(TEXT(H326,"0"),IPRESS!$A$3:$B$212,2,0),"")</f>
        <v/>
      </c>
      <c r="J326" s="280" t="n"/>
      <c r="K326" s="332">
        <f>IFERROR(VLOOKUP(TEXT(O326,"0"),CONDUCTORES!$A$3:$G$54,7,0),"")</f>
        <v/>
      </c>
      <c r="L326" s="280" t="n"/>
      <c r="M326" s="280" t="n"/>
      <c r="N326" s="333">
        <f>IFERROR(IF(L326*M326=0,"",L326*M326),"")</f>
        <v/>
      </c>
      <c r="O326" s="280" t="n"/>
      <c r="P326" s="332">
        <f>IFERROR(VLOOKUP(TEXT(O326,"0"),CONDUCTORES!$A$3:$G$54,2,0),"")</f>
        <v/>
      </c>
      <c r="Q326" s="332">
        <f>IFERROR(VLOOKUP(TEXT(O326,"0"),CONDUCTORES!$A$3:$H$54,6,0),"")</f>
        <v/>
      </c>
      <c r="R326" s="280" t="n"/>
      <c r="S326" s="280" t="n"/>
      <c r="T326" s="280" t="n"/>
      <c r="U326" s="280" t="n"/>
      <c r="V326" s="280" t="n"/>
      <c r="W326" s="280" t="n"/>
      <c r="X326" s="280" t="n"/>
      <c r="Y326" s="280" t="n"/>
    </row>
    <row r="327" ht="15" customHeight="1" s="195">
      <c r="A327" s="334" t="n"/>
      <c r="B327" s="334" t="n"/>
      <c r="C327" s="334" t="n"/>
      <c r="D327" s="334" t="n"/>
      <c r="E327" s="334" t="n"/>
      <c r="F327" s="334" t="n"/>
      <c r="G327" s="334" t="n"/>
      <c r="H327" s="334" t="n"/>
      <c r="I327" s="332">
        <f>IFERROR(VLOOKUP(TEXT(H327,"0"),IPRESS!$A$3:$B$212,2,0),"")</f>
        <v/>
      </c>
      <c r="J327" s="334" t="n"/>
      <c r="K327" s="332">
        <f>IFERROR(VLOOKUP(TEXT(O327,"0"),CONDUCTORES!$A$3:$G$54,7,0),"")</f>
        <v/>
      </c>
      <c r="L327" s="334" t="n"/>
      <c r="M327" s="334" t="n"/>
      <c r="N327" s="333">
        <f>IFERROR(IF(L327*M327=0,"",L327*M327),"")</f>
        <v/>
      </c>
      <c r="O327" s="334" t="n"/>
      <c r="P327" s="332">
        <f>IFERROR(VLOOKUP(TEXT(O327,"0"),CONDUCTORES!$A$3:$G$54,2,0),"")</f>
        <v/>
      </c>
      <c r="Q327" s="332">
        <f>IFERROR(VLOOKUP(TEXT(O327,"0"),CONDUCTORES!$A$3:$H$54,6,0),"")</f>
        <v/>
      </c>
      <c r="R327" s="334" t="n"/>
      <c r="S327" s="334" t="n"/>
      <c r="T327" s="334" t="n"/>
      <c r="U327" s="334" t="n"/>
      <c r="V327" s="334" t="n"/>
      <c r="W327" s="334" t="n"/>
      <c r="X327" s="334" t="n"/>
      <c r="Y327" s="334" t="n"/>
    </row>
    <row r="328" ht="15" customHeight="1" s="195">
      <c r="A328" s="280" t="n"/>
      <c r="B328" s="280" t="n"/>
      <c r="C328" s="280" t="n"/>
      <c r="D328" s="280" t="n"/>
      <c r="E328" s="280" t="n"/>
      <c r="F328" s="280" t="n"/>
      <c r="G328" s="280" t="n"/>
      <c r="H328" s="280" t="n"/>
      <c r="I328" s="332">
        <f>IFERROR(VLOOKUP(TEXT(H328,"0"),IPRESS!$A$3:$B$212,2,0),"")</f>
        <v/>
      </c>
      <c r="J328" s="280" t="n"/>
      <c r="K328" s="332">
        <f>IFERROR(VLOOKUP(TEXT(O328,"0"),CONDUCTORES!$A$3:$G$54,7,0),"")</f>
        <v/>
      </c>
      <c r="L328" s="280" t="n"/>
      <c r="M328" s="280" t="n"/>
      <c r="N328" s="333">
        <f>IFERROR(IF(L328*M328=0,"",L328*M328),"")</f>
        <v/>
      </c>
      <c r="O328" s="280" t="n"/>
      <c r="P328" s="332">
        <f>IFERROR(VLOOKUP(TEXT(O328,"0"),CONDUCTORES!$A$3:$G$54,2,0),"")</f>
        <v/>
      </c>
      <c r="Q328" s="332">
        <f>IFERROR(VLOOKUP(TEXT(O328,"0"),CONDUCTORES!$A$3:$H$54,6,0),"")</f>
        <v/>
      </c>
      <c r="R328" s="280" t="n"/>
      <c r="S328" s="280" t="n"/>
      <c r="T328" s="280" t="n"/>
      <c r="U328" s="280" t="n"/>
      <c r="V328" s="280" t="n"/>
      <c r="W328" s="280" t="n"/>
      <c r="X328" s="280" t="n"/>
      <c r="Y328" s="280" t="n"/>
    </row>
    <row r="329" ht="15" customHeight="1" s="195">
      <c r="A329" s="334" t="n"/>
      <c r="B329" s="334" t="n"/>
      <c r="C329" s="334" t="n"/>
      <c r="D329" s="334" t="n"/>
      <c r="E329" s="334" t="n"/>
      <c r="F329" s="334" t="n"/>
      <c r="G329" s="334" t="n"/>
      <c r="H329" s="334" t="n"/>
      <c r="I329" s="332">
        <f>IFERROR(VLOOKUP(TEXT(H329,"0"),IPRESS!$A$3:$B$212,2,0),"")</f>
        <v/>
      </c>
      <c r="J329" s="334" t="n"/>
      <c r="K329" s="332">
        <f>IFERROR(VLOOKUP(TEXT(O329,"0"),CONDUCTORES!$A$3:$G$54,7,0),"")</f>
        <v/>
      </c>
      <c r="L329" s="334" t="n"/>
      <c r="M329" s="334" t="n"/>
      <c r="N329" s="333">
        <f>IFERROR(IF(L329*M329=0,"",L329*M329),"")</f>
        <v/>
      </c>
      <c r="O329" s="334" t="n"/>
      <c r="P329" s="332">
        <f>IFERROR(VLOOKUP(TEXT(O329,"0"),CONDUCTORES!$A$3:$G$54,2,0),"")</f>
        <v/>
      </c>
      <c r="Q329" s="332">
        <f>IFERROR(VLOOKUP(TEXT(O329,"0"),CONDUCTORES!$A$3:$H$54,6,0),"")</f>
        <v/>
      </c>
      <c r="R329" s="334" t="n"/>
      <c r="S329" s="334" t="n"/>
      <c r="T329" s="334" t="n"/>
      <c r="U329" s="334" t="n"/>
      <c r="V329" s="334" t="n"/>
      <c r="W329" s="334" t="n"/>
      <c r="X329" s="334" t="n"/>
      <c r="Y329" s="334" t="n"/>
    </row>
    <row r="330" ht="15" customHeight="1" s="195">
      <c r="A330" s="280" t="n"/>
      <c r="B330" s="280" t="n"/>
      <c r="C330" s="280" t="n"/>
      <c r="D330" s="280" t="n"/>
      <c r="E330" s="280" t="n"/>
      <c r="F330" s="280" t="n"/>
      <c r="G330" s="280" t="n"/>
      <c r="H330" s="280" t="n"/>
      <c r="I330" s="332">
        <f>IFERROR(VLOOKUP(TEXT(H330,"0"),IPRESS!$A$3:$B$212,2,0),"")</f>
        <v/>
      </c>
      <c r="J330" s="280" t="n"/>
      <c r="K330" s="332">
        <f>IFERROR(VLOOKUP(TEXT(O330,"0"),CONDUCTORES!$A$3:$G$54,7,0),"")</f>
        <v/>
      </c>
      <c r="L330" s="280" t="n"/>
      <c r="M330" s="280" t="n"/>
      <c r="N330" s="333">
        <f>IFERROR(IF(L330*M330=0,"",L330*M330),"")</f>
        <v/>
      </c>
      <c r="O330" s="280" t="n"/>
      <c r="P330" s="332">
        <f>IFERROR(VLOOKUP(TEXT(O330,"0"),CONDUCTORES!$A$3:$G$54,2,0),"")</f>
        <v/>
      </c>
      <c r="Q330" s="332">
        <f>IFERROR(VLOOKUP(TEXT(O330,"0"),CONDUCTORES!$A$3:$H$54,6,0),"")</f>
        <v/>
      </c>
      <c r="R330" s="280" t="n"/>
      <c r="S330" s="280" t="n"/>
      <c r="T330" s="280" t="n"/>
      <c r="U330" s="280" t="n"/>
      <c r="V330" s="280" t="n"/>
      <c r="W330" s="280" t="n"/>
      <c r="X330" s="280" t="n"/>
      <c r="Y330" s="280" t="n"/>
    </row>
    <row r="331" ht="15" customHeight="1" s="195">
      <c r="A331" s="334" t="n"/>
      <c r="B331" s="334" t="n"/>
      <c r="C331" s="334" t="n"/>
      <c r="D331" s="334" t="n"/>
      <c r="E331" s="334" t="n"/>
      <c r="F331" s="334" t="n"/>
      <c r="G331" s="334" t="n"/>
      <c r="H331" s="334" t="n"/>
      <c r="I331" s="332">
        <f>IFERROR(VLOOKUP(TEXT(H331,"0"),IPRESS!$A$3:$B$212,2,0),"")</f>
        <v/>
      </c>
      <c r="J331" s="334" t="n"/>
      <c r="K331" s="332">
        <f>IFERROR(VLOOKUP(TEXT(O331,"0"),CONDUCTORES!$A$3:$G$54,7,0),"")</f>
        <v/>
      </c>
      <c r="L331" s="334" t="n"/>
      <c r="M331" s="334" t="n"/>
      <c r="N331" s="333">
        <f>IFERROR(IF(L331*M331=0,"",L331*M331),"")</f>
        <v/>
      </c>
      <c r="O331" s="334" t="n"/>
      <c r="P331" s="332">
        <f>IFERROR(VLOOKUP(TEXT(O331,"0"),CONDUCTORES!$A$3:$G$54,2,0),"")</f>
        <v/>
      </c>
      <c r="Q331" s="332">
        <f>IFERROR(VLOOKUP(TEXT(O331,"0"),CONDUCTORES!$A$3:$H$54,6,0),"")</f>
        <v/>
      </c>
      <c r="R331" s="334" t="n"/>
      <c r="S331" s="334" t="n"/>
      <c r="T331" s="334" t="n"/>
      <c r="U331" s="334" t="n"/>
      <c r="V331" s="334" t="n"/>
      <c r="W331" s="334" t="n"/>
      <c r="X331" s="334" t="n"/>
      <c r="Y331" s="334" t="n"/>
    </row>
    <row r="332" ht="15" customHeight="1" s="195">
      <c r="A332" s="280" t="n"/>
      <c r="B332" s="280" t="n"/>
      <c r="C332" s="280" t="n"/>
      <c r="D332" s="280" t="n"/>
      <c r="E332" s="280" t="n"/>
      <c r="F332" s="280" t="n"/>
      <c r="G332" s="280" t="n"/>
      <c r="H332" s="280" t="n"/>
      <c r="I332" s="332">
        <f>IFERROR(VLOOKUP(TEXT(H332,"0"),IPRESS!$A$3:$B$212,2,0),"")</f>
        <v/>
      </c>
      <c r="J332" s="280" t="n"/>
      <c r="K332" s="332">
        <f>IFERROR(VLOOKUP(TEXT(O332,"0"),CONDUCTORES!$A$3:$G$54,7,0),"")</f>
        <v/>
      </c>
      <c r="L332" s="280" t="n"/>
      <c r="M332" s="280" t="n"/>
      <c r="N332" s="333">
        <f>IFERROR(IF(L332*M332=0,"",L332*M332),"")</f>
        <v/>
      </c>
      <c r="O332" s="280" t="n"/>
      <c r="P332" s="332">
        <f>IFERROR(VLOOKUP(TEXT(O332,"0"),CONDUCTORES!$A$3:$G$54,2,0),"")</f>
        <v/>
      </c>
      <c r="Q332" s="332">
        <f>IFERROR(VLOOKUP(TEXT(O332,"0"),CONDUCTORES!$A$3:$H$54,6,0),"")</f>
        <v/>
      </c>
      <c r="R332" s="280" t="n"/>
      <c r="S332" s="280" t="n"/>
      <c r="T332" s="280" t="n"/>
      <c r="U332" s="280" t="n"/>
      <c r="V332" s="280" t="n"/>
      <c r="W332" s="280" t="n"/>
      <c r="X332" s="280" t="n"/>
      <c r="Y332" s="280" t="n"/>
    </row>
    <row r="333" ht="15" customHeight="1" s="195">
      <c r="A333" s="334" t="n"/>
      <c r="B333" s="334" t="n"/>
      <c r="C333" s="334" t="n"/>
      <c r="D333" s="334" t="n"/>
      <c r="E333" s="334" t="n"/>
      <c r="F333" s="334" t="n"/>
      <c r="G333" s="334" t="n"/>
      <c r="H333" s="334" t="n"/>
      <c r="I333" s="332">
        <f>IFERROR(VLOOKUP(TEXT(H333,"0"),IPRESS!$A$3:$B$212,2,0),"")</f>
        <v/>
      </c>
      <c r="J333" s="334" t="n"/>
      <c r="K333" s="332">
        <f>IFERROR(VLOOKUP(TEXT(O333,"0"),CONDUCTORES!$A$3:$G$54,7,0),"")</f>
        <v/>
      </c>
      <c r="L333" s="334" t="n"/>
      <c r="M333" s="334" t="n"/>
      <c r="N333" s="333">
        <f>IFERROR(IF(L333*M333=0,"",L333*M333),"")</f>
        <v/>
      </c>
      <c r="O333" s="334" t="n"/>
      <c r="P333" s="332">
        <f>IFERROR(VLOOKUP(TEXT(O333,"0"),CONDUCTORES!$A$3:$G$54,2,0),"")</f>
        <v/>
      </c>
      <c r="Q333" s="332">
        <f>IFERROR(VLOOKUP(TEXT(O333,"0"),CONDUCTORES!$A$3:$H$54,6,0),"")</f>
        <v/>
      </c>
      <c r="R333" s="334" t="n"/>
      <c r="S333" s="334" t="n"/>
      <c r="T333" s="334" t="n"/>
      <c r="U333" s="334" t="n"/>
      <c r="V333" s="334" t="n"/>
      <c r="W333" s="334" t="n"/>
      <c r="X333" s="334" t="n"/>
      <c r="Y333" s="334" t="n"/>
    </row>
    <row r="334" ht="15" customHeight="1" s="195">
      <c r="A334" s="280" t="n"/>
      <c r="B334" s="280" t="n"/>
      <c r="C334" s="280" t="n"/>
      <c r="D334" s="280" t="n"/>
      <c r="E334" s="280" t="n"/>
      <c r="F334" s="280" t="n"/>
      <c r="G334" s="280" t="n"/>
      <c r="H334" s="280" t="n"/>
      <c r="I334" s="332">
        <f>IFERROR(VLOOKUP(TEXT(H334,"0"),IPRESS!$A$3:$B$212,2,0),"")</f>
        <v/>
      </c>
      <c r="J334" s="280" t="n"/>
      <c r="K334" s="332">
        <f>IFERROR(VLOOKUP(TEXT(O334,"0"),CONDUCTORES!$A$3:$G$54,7,0),"")</f>
        <v/>
      </c>
      <c r="L334" s="280" t="n"/>
      <c r="M334" s="280" t="n"/>
      <c r="N334" s="333">
        <f>IFERROR(IF(L334*M334=0,"",L334*M334),"")</f>
        <v/>
      </c>
      <c r="O334" s="280" t="n"/>
      <c r="P334" s="332">
        <f>IFERROR(VLOOKUP(TEXT(O334,"0"),CONDUCTORES!$A$3:$G$54,2,0),"")</f>
        <v/>
      </c>
      <c r="Q334" s="332">
        <f>IFERROR(VLOOKUP(TEXT(O334,"0"),CONDUCTORES!$A$3:$H$54,6,0),"")</f>
        <v/>
      </c>
      <c r="R334" s="280" t="n"/>
      <c r="S334" s="280" t="n"/>
      <c r="T334" s="280" t="n"/>
      <c r="U334" s="280" t="n"/>
      <c r="V334" s="280" t="n"/>
      <c r="W334" s="280" t="n"/>
      <c r="X334" s="280" t="n"/>
      <c r="Y334" s="280" t="n"/>
    </row>
    <row r="335" ht="15" customHeight="1" s="195">
      <c r="A335" s="334" t="n"/>
      <c r="B335" s="334" t="n"/>
      <c r="C335" s="334" t="n"/>
      <c r="D335" s="334" t="n"/>
      <c r="E335" s="334" t="n"/>
      <c r="F335" s="334" t="n"/>
      <c r="G335" s="334" t="n"/>
      <c r="H335" s="334" t="n"/>
      <c r="I335" s="332">
        <f>IFERROR(VLOOKUP(TEXT(H335,"0"),IPRESS!$A$3:$B$212,2,0),"")</f>
        <v/>
      </c>
      <c r="J335" s="334" t="n"/>
      <c r="K335" s="332">
        <f>IFERROR(VLOOKUP(TEXT(O335,"0"),CONDUCTORES!$A$3:$G$54,7,0),"")</f>
        <v/>
      </c>
      <c r="L335" s="334" t="n"/>
      <c r="M335" s="334" t="n"/>
      <c r="N335" s="333">
        <f>IFERROR(IF(L335*M335=0,"",L335*M335),"")</f>
        <v/>
      </c>
      <c r="O335" s="334" t="n"/>
      <c r="P335" s="332">
        <f>IFERROR(VLOOKUP(TEXT(O335,"0"),CONDUCTORES!$A$3:$G$54,2,0),"")</f>
        <v/>
      </c>
      <c r="Q335" s="332">
        <f>IFERROR(VLOOKUP(TEXT(O335,"0"),CONDUCTORES!$A$3:$H$54,6,0),"")</f>
        <v/>
      </c>
      <c r="R335" s="334" t="n"/>
      <c r="S335" s="334" t="n"/>
      <c r="T335" s="334" t="n"/>
      <c r="U335" s="334" t="n"/>
      <c r="V335" s="334" t="n"/>
      <c r="W335" s="334" t="n"/>
      <c r="X335" s="334" t="n"/>
      <c r="Y335" s="334" t="n"/>
    </row>
    <row r="336" ht="15" customHeight="1" s="195">
      <c r="A336" s="280" t="n"/>
      <c r="B336" s="280" t="n"/>
      <c r="C336" s="280" t="n"/>
      <c r="D336" s="280" t="n"/>
      <c r="E336" s="280" t="n"/>
      <c r="F336" s="280" t="n"/>
      <c r="G336" s="280" t="n"/>
      <c r="H336" s="280" t="n"/>
      <c r="I336" s="332">
        <f>IFERROR(VLOOKUP(TEXT(H336,"0"),IPRESS!$A$3:$B$212,2,0),"")</f>
        <v/>
      </c>
      <c r="J336" s="280" t="n"/>
      <c r="K336" s="332">
        <f>IFERROR(VLOOKUP(TEXT(O336,"0"),CONDUCTORES!$A$3:$G$54,7,0),"")</f>
        <v/>
      </c>
      <c r="L336" s="280" t="n"/>
      <c r="M336" s="280" t="n"/>
      <c r="N336" s="333">
        <f>IFERROR(IF(L336*M336=0,"",L336*M336),"")</f>
        <v/>
      </c>
      <c r="O336" s="280" t="n"/>
      <c r="P336" s="332">
        <f>IFERROR(VLOOKUP(TEXT(O336,"0"),CONDUCTORES!$A$3:$G$54,2,0),"")</f>
        <v/>
      </c>
      <c r="Q336" s="332">
        <f>IFERROR(VLOOKUP(TEXT(O336,"0"),CONDUCTORES!$A$3:$H$54,6,0),"")</f>
        <v/>
      </c>
      <c r="R336" s="280" t="n"/>
      <c r="S336" s="280" t="n"/>
      <c r="T336" s="280" t="n"/>
      <c r="U336" s="280" t="n"/>
      <c r="V336" s="280" t="n"/>
      <c r="W336" s="280" t="n"/>
      <c r="X336" s="280" t="n"/>
      <c r="Y336" s="280" t="n"/>
    </row>
    <row r="337" ht="15" customHeight="1" s="195">
      <c r="A337" s="334" t="n"/>
      <c r="B337" s="334" t="n"/>
      <c r="C337" s="334" t="n"/>
      <c r="D337" s="334" t="n"/>
      <c r="E337" s="334" t="n"/>
      <c r="F337" s="334" t="n"/>
      <c r="G337" s="334" t="n"/>
      <c r="H337" s="334" t="n"/>
      <c r="I337" s="332">
        <f>IFERROR(VLOOKUP(TEXT(H337,"0"),IPRESS!$A$3:$B$212,2,0),"")</f>
        <v/>
      </c>
      <c r="J337" s="334" t="n"/>
      <c r="K337" s="332">
        <f>IFERROR(VLOOKUP(TEXT(O337,"0"),CONDUCTORES!$A$3:$G$54,7,0),"")</f>
        <v/>
      </c>
      <c r="L337" s="334" t="n"/>
      <c r="M337" s="334" t="n"/>
      <c r="N337" s="333">
        <f>IFERROR(IF(L337*M337=0,"",L337*M337),"")</f>
        <v/>
      </c>
      <c r="O337" s="334" t="n"/>
      <c r="P337" s="332">
        <f>IFERROR(VLOOKUP(TEXT(O337,"0"),CONDUCTORES!$A$3:$G$54,2,0),"")</f>
        <v/>
      </c>
      <c r="Q337" s="332">
        <f>IFERROR(VLOOKUP(TEXT(O337,"0"),CONDUCTORES!$A$3:$H$54,6,0),"")</f>
        <v/>
      </c>
      <c r="R337" s="334" t="n"/>
      <c r="S337" s="334" t="n"/>
      <c r="T337" s="334" t="n"/>
      <c r="U337" s="334" t="n"/>
      <c r="V337" s="334" t="n"/>
      <c r="W337" s="334" t="n"/>
      <c r="X337" s="334" t="n"/>
      <c r="Y337" s="334" t="n"/>
    </row>
    <row r="338" ht="15" customHeight="1" s="195">
      <c r="A338" s="280" t="n"/>
      <c r="B338" s="280" t="n"/>
      <c r="C338" s="280" t="n"/>
      <c r="D338" s="280" t="n"/>
      <c r="E338" s="280" t="n"/>
      <c r="F338" s="280" t="n"/>
      <c r="G338" s="280" t="n"/>
      <c r="H338" s="280" t="n"/>
      <c r="I338" s="332">
        <f>IFERROR(VLOOKUP(TEXT(H338,"0"),IPRESS!$A$3:$B$212,2,0),"")</f>
        <v/>
      </c>
      <c r="J338" s="280" t="n"/>
      <c r="K338" s="332">
        <f>IFERROR(VLOOKUP(TEXT(O338,"0"),CONDUCTORES!$A$3:$G$54,7,0),"")</f>
        <v/>
      </c>
      <c r="L338" s="280" t="n"/>
      <c r="M338" s="280" t="n"/>
      <c r="N338" s="333">
        <f>IFERROR(IF(L338*M338=0,"",L338*M338),"")</f>
        <v/>
      </c>
      <c r="O338" s="280" t="n"/>
      <c r="P338" s="332">
        <f>IFERROR(VLOOKUP(TEXT(O338,"0"),CONDUCTORES!$A$3:$G$54,2,0),"")</f>
        <v/>
      </c>
      <c r="Q338" s="332">
        <f>IFERROR(VLOOKUP(TEXT(O338,"0"),CONDUCTORES!$A$3:$H$54,6,0),"")</f>
        <v/>
      </c>
      <c r="R338" s="280" t="n"/>
      <c r="S338" s="280" t="n"/>
      <c r="T338" s="280" t="n"/>
      <c r="U338" s="280" t="n"/>
      <c r="V338" s="280" t="n"/>
      <c r="W338" s="280" t="n"/>
      <c r="X338" s="280" t="n"/>
      <c r="Y338" s="280" t="n"/>
    </row>
    <row r="339" ht="15" customHeight="1" s="195">
      <c r="A339" s="334" t="n"/>
      <c r="B339" s="334" t="n"/>
      <c r="C339" s="334" t="n"/>
      <c r="D339" s="334" t="n"/>
      <c r="E339" s="334" t="n"/>
      <c r="F339" s="334" t="n"/>
      <c r="G339" s="334" t="n"/>
      <c r="H339" s="334" t="n"/>
      <c r="I339" s="332">
        <f>IFERROR(VLOOKUP(TEXT(H339,"0"),IPRESS!$A$3:$B$212,2,0),"")</f>
        <v/>
      </c>
      <c r="J339" s="334" t="n"/>
      <c r="K339" s="332">
        <f>IFERROR(VLOOKUP(TEXT(O339,"0"),CONDUCTORES!$A$3:$G$54,7,0),"")</f>
        <v/>
      </c>
      <c r="L339" s="334" t="n"/>
      <c r="M339" s="334" t="n"/>
      <c r="N339" s="333">
        <f>IFERROR(IF(L339*M339=0,"",L339*M339),"")</f>
        <v/>
      </c>
      <c r="O339" s="334" t="n"/>
      <c r="P339" s="332">
        <f>IFERROR(VLOOKUP(TEXT(O339,"0"),CONDUCTORES!$A$3:$G$54,2,0),"")</f>
        <v/>
      </c>
      <c r="Q339" s="332">
        <f>IFERROR(VLOOKUP(TEXT(O339,"0"),CONDUCTORES!$A$3:$H$54,6,0),"")</f>
        <v/>
      </c>
      <c r="R339" s="334" t="n"/>
      <c r="S339" s="334" t="n"/>
      <c r="T339" s="334" t="n"/>
      <c r="U339" s="334" t="n"/>
      <c r="V339" s="334" t="n"/>
      <c r="W339" s="334" t="n"/>
      <c r="X339" s="334" t="n"/>
      <c r="Y339" s="334" t="n"/>
    </row>
    <row r="340" ht="15" customHeight="1" s="195">
      <c r="A340" s="280" t="n"/>
      <c r="B340" s="280" t="n"/>
      <c r="C340" s="280" t="n"/>
      <c r="D340" s="280" t="n"/>
      <c r="E340" s="280" t="n"/>
      <c r="F340" s="280" t="n"/>
      <c r="G340" s="280" t="n"/>
      <c r="H340" s="280" t="n"/>
      <c r="I340" s="332">
        <f>IFERROR(VLOOKUP(TEXT(H340,"0"),IPRESS!$A$3:$B$212,2,0),"")</f>
        <v/>
      </c>
      <c r="J340" s="280" t="n"/>
      <c r="K340" s="332">
        <f>IFERROR(VLOOKUP(TEXT(O340,"0"),CONDUCTORES!$A$3:$G$54,7,0),"")</f>
        <v/>
      </c>
      <c r="L340" s="280" t="n"/>
      <c r="M340" s="280" t="n"/>
      <c r="N340" s="333">
        <f>IFERROR(IF(L340*M340=0,"",L340*M340),"")</f>
        <v/>
      </c>
      <c r="O340" s="280" t="n"/>
      <c r="P340" s="332">
        <f>IFERROR(VLOOKUP(TEXT(O340,"0"),CONDUCTORES!$A$3:$G$54,2,0),"")</f>
        <v/>
      </c>
      <c r="Q340" s="332">
        <f>IFERROR(VLOOKUP(TEXT(O340,"0"),CONDUCTORES!$A$3:$H$54,6,0),"")</f>
        <v/>
      </c>
      <c r="R340" s="280" t="n"/>
      <c r="S340" s="280" t="n"/>
      <c r="T340" s="280" t="n"/>
      <c r="U340" s="280" t="n"/>
      <c r="V340" s="280" t="n"/>
      <c r="W340" s="280" t="n"/>
      <c r="X340" s="280" t="n"/>
      <c r="Y340" s="280" t="n"/>
    </row>
    <row r="341" ht="15" customHeight="1" s="195">
      <c r="A341" s="334" t="n"/>
      <c r="B341" s="334" t="n"/>
      <c r="C341" s="334" t="n"/>
      <c r="D341" s="334" t="n"/>
      <c r="E341" s="334" t="n"/>
      <c r="F341" s="334" t="n"/>
      <c r="G341" s="334" t="n"/>
      <c r="H341" s="334" t="n"/>
      <c r="I341" s="332">
        <f>IFERROR(VLOOKUP(TEXT(H341,"0"),IPRESS!$A$3:$B$212,2,0),"")</f>
        <v/>
      </c>
      <c r="J341" s="334" t="n"/>
      <c r="K341" s="332">
        <f>IFERROR(VLOOKUP(TEXT(O341,"0"),CONDUCTORES!$A$3:$G$54,7,0),"")</f>
        <v/>
      </c>
      <c r="L341" s="334" t="n"/>
      <c r="M341" s="334" t="n"/>
      <c r="N341" s="333">
        <f>IFERROR(IF(L341*M341=0,"",L341*M341),"")</f>
        <v/>
      </c>
      <c r="O341" s="334" t="n"/>
      <c r="P341" s="332">
        <f>IFERROR(VLOOKUP(TEXT(O341,"0"),CONDUCTORES!$A$3:$G$54,2,0),"")</f>
        <v/>
      </c>
      <c r="Q341" s="332">
        <f>IFERROR(VLOOKUP(TEXT(O341,"0"),CONDUCTORES!$A$3:$H$54,6,0),"")</f>
        <v/>
      </c>
      <c r="R341" s="334" t="n"/>
      <c r="S341" s="334" t="n"/>
      <c r="T341" s="334" t="n"/>
      <c r="U341" s="334" t="n"/>
      <c r="V341" s="334" t="n"/>
      <c r="W341" s="334" t="n"/>
      <c r="X341" s="334" t="n"/>
      <c r="Y341" s="334" t="n"/>
    </row>
    <row r="342" ht="15" customHeight="1" s="195">
      <c r="A342" s="280" t="n"/>
      <c r="B342" s="280" t="n"/>
      <c r="C342" s="280" t="n"/>
      <c r="D342" s="280" t="n"/>
      <c r="E342" s="280" t="n"/>
      <c r="F342" s="280" t="n"/>
      <c r="G342" s="280" t="n"/>
      <c r="H342" s="280" t="n"/>
      <c r="I342" s="332">
        <f>IFERROR(VLOOKUP(TEXT(H342,"0"),IPRESS!$A$3:$B$212,2,0),"")</f>
        <v/>
      </c>
      <c r="J342" s="280" t="n"/>
      <c r="K342" s="332">
        <f>IFERROR(VLOOKUP(TEXT(O342,"0"),CONDUCTORES!$A$3:$G$54,7,0),"")</f>
        <v/>
      </c>
      <c r="L342" s="280" t="n"/>
      <c r="M342" s="280" t="n"/>
      <c r="N342" s="333">
        <f>IFERROR(IF(L342*M342=0,"",L342*M342),"")</f>
        <v/>
      </c>
      <c r="O342" s="280" t="n"/>
      <c r="P342" s="332">
        <f>IFERROR(VLOOKUP(TEXT(O342,"0"),CONDUCTORES!$A$3:$G$54,2,0),"")</f>
        <v/>
      </c>
      <c r="Q342" s="332">
        <f>IFERROR(VLOOKUP(TEXT(O342,"0"),CONDUCTORES!$A$3:$H$54,6,0),"")</f>
        <v/>
      </c>
      <c r="R342" s="280" t="n"/>
      <c r="S342" s="280" t="n"/>
      <c r="T342" s="280" t="n"/>
      <c r="U342" s="280" t="n"/>
      <c r="V342" s="280" t="n"/>
      <c r="W342" s="280" t="n"/>
      <c r="X342" s="280" t="n"/>
      <c r="Y342" s="280" t="n"/>
    </row>
    <row r="343" ht="15" customHeight="1" s="195">
      <c r="A343" s="334" t="n"/>
      <c r="B343" s="334" t="n"/>
      <c r="C343" s="334" t="n"/>
      <c r="D343" s="334" t="n"/>
      <c r="E343" s="334" t="n"/>
      <c r="F343" s="334" t="n"/>
      <c r="G343" s="334" t="n"/>
      <c r="H343" s="334" t="n"/>
      <c r="I343" s="332">
        <f>IFERROR(VLOOKUP(TEXT(H343,"0"),IPRESS!$A$3:$B$212,2,0),"")</f>
        <v/>
      </c>
      <c r="J343" s="334" t="n"/>
      <c r="K343" s="332">
        <f>IFERROR(VLOOKUP(TEXT(O343,"0"),CONDUCTORES!$A$3:$G$54,7,0),"")</f>
        <v/>
      </c>
      <c r="L343" s="334" t="n"/>
      <c r="M343" s="334" t="n"/>
      <c r="N343" s="333">
        <f>IFERROR(IF(L343*M343=0,"",L343*M343),"")</f>
        <v/>
      </c>
      <c r="O343" s="334" t="n"/>
      <c r="P343" s="332">
        <f>IFERROR(VLOOKUP(TEXT(O343,"0"),CONDUCTORES!$A$3:$G$54,2,0),"")</f>
        <v/>
      </c>
      <c r="Q343" s="332">
        <f>IFERROR(VLOOKUP(TEXT(O343,"0"),CONDUCTORES!$A$3:$H$54,6,0),"")</f>
        <v/>
      </c>
      <c r="R343" s="334" t="n"/>
      <c r="S343" s="334" t="n"/>
      <c r="T343" s="334" t="n"/>
      <c r="U343" s="334" t="n"/>
      <c r="V343" s="334" t="n"/>
      <c r="W343" s="334" t="n"/>
      <c r="X343" s="334" t="n"/>
      <c r="Y343" s="334" t="n"/>
    </row>
    <row r="344" ht="15" customHeight="1" s="195">
      <c r="A344" s="280" t="n"/>
      <c r="B344" s="280" t="n"/>
      <c r="C344" s="280" t="n"/>
      <c r="D344" s="280" t="n"/>
      <c r="E344" s="280" t="n"/>
      <c r="F344" s="280" t="n"/>
      <c r="G344" s="280" t="n"/>
      <c r="H344" s="280" t="n"/>
      <c r="I344" s="332">
        <f>IFERROR(VLOOKUP(TEXT(H344,"0"),IPRESS!$A$3:$B$212,2,0),"")</f>
        <v/>
      </c>
      <c r="J344" s="280" t="n"/>
      <c r="K344" s="332">
        <f>IFERROR(VLOOKUP(TEXT(O344,"0"),CONDUCTORES!$A$3:$G$54,7,0),"")</f>
        <v/>
      </c>
      <c r="L344" s="280" t="n"/>
      <c r="M344" s="280" t="n"/>
      <c r="N344" s="333">
        <f>IFERROR(IF(L344*M344=0,"",L344*M344),"")</f>
        <v/>
      </c>
      <c r="O344" s="280" t="n"/>
      <c r="P344" s="332">
        <f>IFERROR(VLOOKUP(TEXT(O344,"0"),CONDUCTORES!$A$3:$G$54,2,0),"")</f>
        <v/>
      </c>
      <c r="Q344" s="332">
        <f>IFERROR(VLOOKUP(TEXT(O344,"0"),CONDUCTORES!$A$3:$H$54,6,0),"")</f>
        <v/>
      </c>
      <c r="R344" s="280" t="n"/>
      <c r="S344" s="280" t="n"/>
      <c r="T344" s="280" t="n"/>
      <c r="U344" s="280" t="n"/>
      <c r="V344" s="280" t="n"/>
      <c r="W344" s="280" t="n"/>
      <c r="X344" s="280" t="n"/>
      <c r="Y344" s="280" t="n"/>
    </row>
    <row r="345" ht="15" customHeight="1" s="195">
      <c r="A345" s="334" t="n"/>
      <c r="B345" s="334" t="n"/>
      <c r="C345" s="334" t="n"/>
      <c r="D345" s="334" t="n"/>
      <c r="E345" s="334" t="n"/>
      <c r="F345" s="334" t="n"/>
      <c r="G345" s="334" t="n"/>
      <c r="H345" s="334" t="n"/>
      <c r="I345" s="332">
        <f>IFERROR(VLOOKUP(TEXT(H345,"0"),IPRESS!$A$3:$B$212,2,0),"")</f>
        <v/>
      </c>
      <c r="J345" s="334" t="n"/>
      <c r="K345" s="332">
        <f>IFERROR(VLOOKUP(TEXT(O345,"0"),CONDUCTORES!$A$3:$G$54,7,0),"")</f>
        <v/>
      </c>
      <c r="L345" s="334" t="n"/>
      <c r="M345" s="334" t="n"/>
      <c r="N345" s="333">
        <f>IFERROR(IF(L345*M345=0,"",L345*M345),"")</f>
        <v/>
      </c>
      <c r="O345" s="334" t="n"/>
      <c r="P345" s="332">
        <f>IFERROR(VLOOKUP(TEXT(O345,"0"),CONDUCTORES!$A$3:$G$54,2,0),"")</f>
        <v/>
      </c>
      <c r="Q345" s="332">
        <f>IFERROR(VLOOKUP(TEXT(O345,"0"),CONDUCTORES!$A$3:$H$54,6,0),"")</f>
        <v/>
      </c>
      <c r="R345" s="334" t="n"/>
      <c r="S345" s="334" t="n"/>
      <c r="T345" s="334" t="n"/>
      <c r="U345" s="334" t="n"/>
      <c r="V345" s="334" t="n"/>
      <c r="W345" s="334" t="n"/>
      <c r="X345" s="334" t="n"/>
      <c r="Y345" s="334" t="n"/>
    </row>
    <row r="346" ht="15" customHeight="1" s="195">
      <c r="A346" s="280" t="n"/>
      <c r="B346" s="280" t="n"/>
      <c r="C346" s="280" t="n"/>
      <c r="D346" s="280" t="n"/>
      <c r="E346" s="280" t="n"/>
      <c r="F346" s="280" t="n"/>
      <c r="G346" s="280" t="n"/>
      <c r="H346" s="280" t="n"/>
      <c r="I346" s="332">
        <f>IFERROR(VLOOKUP(TEXT(H346,"0"),IPRESS!$A$3:$B$212,2,0),"")</f>
        <v/>
      </c>
      <c r="J346" s="280" t="n"/>
      <c r="K346" s="332">
        <f>IFERROR(VLOOKUP(TEXT(O346,"0"),CONDUCTORES!$A$3:$G$54,7,0),"")</f>
        <v/>
      </c>
      <c r="L346" s="280" t="n"/>
      <c r="M346" s="280" t="n"/>
      <c r="N346" s="333">
        <f>IFERROR(IF(L346*M346=0,"",L346*M346),"")</f>
        <v/>
      </c>
      <c r="O346" s="280" t="n"/>
      <c r="P346" s="332">
        <f>IFERROR(VLOOKUP(TEXT(O346,"0"),CONDUCTORES!$A$3:$G$54,2,0),"")</f>
        <v/>
      </c>
      <c r="Q346" s="332">
        <f>IFERROR(VLOOKUP(TEXT(O346,"0"),CONDUCTORES!$A$3:$H$54,6,0),"")</f>
        <v/>
      </c>
      <c r="R346" s="280" t="n"/>
      <c r="S346" s="280" t="n"/>
      <c r="T346" s="280" t="n"/>
      <c r="U346" s="280" t="n"/>
      <c r="V346" s="280" t="n"/>
      <c r="W346" s="280" t="n"/>
      <c r="X346" s="280" t="n"/>
      <c r="Y346" s="280" t="n"/>
    </row>
    <row r="347" ht="15" customHeight="1" s="195">
      <c r="A347" s="334" t="n"/>
      <c r="B347" s="334" t="n"/>
      <c r="C347" s="334" t="n"/>
      <c r="D347" s="334" t="n"/>
      <c r="E347" s="334" t="n"/>
      <c r="F347" s="334" t="n"/>
      <c r="G347" s="334" t="n"/>
      <c r="H347" s="334" t="n"/>
      <c r="I347" s="332">
        <f>IFERROR(VLOOKUP(TEXT(H347,"0"),IPRESS!$A$3:$B$212,2,0),"")</f>
        <v/>
      </c>
      <c r="J347" s="334" t="n"/>
      <c r="K347" s="332">
        <f>IFERROR(VLOOKUP(TEXT(O347,"0"),CONDUCTORES!$A$3:$G$54,7,0),"")</f>
        <v/>
      </c>
      <c r="L347" s="334" t="n"/>
      <c r="M347" s="334" t="n"/>
      <c r="N347" s="333">
        <f>IFERROR(IF(L347*M347=0,"",L347*M347),"")</f>
        <v/>
      </c>
      <c r="O347" s="334" t="n"/>
      <c r="P347" s="332">
        <f>IFERROR(VLOOKUP(TEXT(O347,"0"),CONDUCTORES!$A$3:$G$54,2,0),"")</f>
        <v/>
      </c>
      <c r="Q347" s="332">
        <f>IFERROR(VLOOKUP(TEXT(O347,"0"),CONDUCTORES!$A$3:$H$54,6,0),"")</f>
        <v/>
      </c>
      <c r="R347" s="334" t="n"/>
      <c r="S347" s="334" t="n"/>
      <c r="T347" s="334" t="n"/>
      <c r="U347" s="334" t="n"/>
      <c r="V347" s="334" t="n"/>
      <c r="W347" s="334" t="n"/>
      <c r="X347" s="334" t="n"/>
      <c r="Y347" s="334" t="n"/>
    </row>
    <row r="348" ht="15" customHeight="1" s="195">
      <c r="A348" s="280" t="n"/>
      <c r="B348" s="280" t="n"/>
      <c r="C348" s="280" t="n"/>
      <c r="D348" s="280" t="n"/>
      <c r="E348" s="280" t="n"/>
      <c r="F348" s="280" t="n"/>
      <c r="G348" s="280" t="n"/>
      <c r="H348" s="280" t="n"/>
      <c r="I348" s="332">
        <f>IFERROR(VLOOKUP(TEXT(H348,"0"),IPRESS!$A$3:$B$212,2,0),"")</f>
        <v/>
      </c>
      <c r="J348" s="280" t="n"/>
      <c r="K348" s="332">
        <f>IFERROR(VLOOKUP(TEXT(O348,"0"),CONDUCTORES!$A$3:$G$54,7,0),"")</f>
        <v/>
      </c>
      <c r="L348" s="280" t="n"/>
      <c r="M348" s="280" t="n"/>
      <c r="N348" s="333">
        <f>IFERROR(IF(L348*M348=0,"",L348*M348),"")</f>
        <v/>
      </c>
      <c r="O348" s="280" t="n"/>
      <c r="P348" s="332">
        <f>IFERROR(VLOOKUP(TEXT(O348,"0"),CONDUCTORES!$A$3:$G$54,2,0),"")</f>
        <v/>
      </c>
      <c r="Q348" s="332">
        <f>IFERROR(VLOOKUP(TEXT(O348,"0"),CONDUCTORES!$A$3:$H$54,6,0),"")</f>
        <v/>
      </c>
      <c r="R348" s="280" t="n"/>
      <c r="S348" s="280" t="n"/>
      <c r="T348" s="280" t="n"/>
      <c r="U348" s="280" t="n"/>
      <c r="V348" s="280" t="n"/>
      <c r="W348" s="280" t="n"/>
      <c r="X348" s="280" t="n"/>
      <c r="Y348" s="280" t="n"/>
    </row>
    <row r="349" ht="15" customHeight="1" s="195">
      <c r="A349" s="334" t="n"/>
      <c r="B349" s="334" t="n"/>
      <c r="C349" s="334" t="n"/>
      <c r="D349" s="334" t="n"/>
      <c r="E349" s="334" t="n"/>
      <c r="F349" s="334" t="n"/>
      <c r="G349" s="334" t="n"/>
      <c r="H349" s="334" t="n"/>
      <c r="I349" s="332">
        <f>IFERROR(VLOOKUP(TEXT(H349,"0"),IPRESS!$A$3:$B$212,2,0),"")</f>
        <v/>
      </c>
      <c r="J349" s="334" t="n"/>
      <c r="K349" s="332">
        <f>IFERROR(VLOOKUP(TEXT(O349,"0"),CONDUCTORES!$A$3:$G$54,7,0),"")</f>
        <v/>
      </c>
      <c r="L349" s="334" t="n"/>
      <c r="M349" s="334" t="n"/>
      <c r="N349" s="333">
        <f>IFERROR(IF(L349*M349=0,"",L349*M349),"")</f>
        <v/>
      </c>
      <c r="O349" s="334" t="n"/>
      <c r="P349" s="332">
        <f>IFERROR(VLOOKUP(TEXT(O349,"0"),CONDUCTORES!$A$3:$G$54,2,0),"")</f>
        <v/>
      </c>
      <c r="Q349" s="332">
        <f>IFERROR(VLOOKUP(TEXT(O349,"0"),CONDUCTORES!$A$3:$H$54,6,0),"")</f>
        <v/>
      </c>
      <c r="R349" s="334" t="n"/>
      <c r="S349" s="334" t="n"/>
      <c r="T349" s="334" t="n"/>
      <c r="U349" s="334" t="n"/>
      <c r="V349" s="334" t="n"/>
      <c r="W349" s="334" t="n"/>
      <c r="X349" s="334" t="n"/>
      <c r="Y349" s="334" t="n"/>
    </row>
    <row r="350" ht="15" customHeight="1" s="195">
      <c r="A350" s="280" t="n"/>
      <c r="B350" s="280" t="n"/>
      <c r="C350" s="280" t="n"/>
      <c r="D350" s="280" t="n"/>
      <c r="E350" s="280" t="n"/>
      <c r="F350" s="280" t="n"/>
      <c r="G350" s="280" t="n"/>
      <c r="H350" s="280" t="n"/>
      <c r="I350" s="332">
        <f>IFERROR(VLOOKUP(TEXT(H350,"0"),IPRESS!$A$3:$B$212,2,0),"")</f>
        <v/>
      </c>
      <c r="J350" s="280" t="n"/>
      <c r="K350" s="332">
        <f>IFERROR(VLOOKUP(TEXT(O350,"0"),CONDUCTORES!$A$3:$G$54,7,0),"")</f>
        <v/>
      </c>
      <c r="L350" s="280" t="n"/>
      <c r="M350" s="280" t="n"/>
      <c r="N350" s="333">
        <f>IFERROR(IF(L350*M350=0,"",L350*M350),"")</f>
        <v/>
      </c>
      <c r="O350" s="280" t="n"/>
      <c r="P350" s="332">
        <f>IFERROR(VLOOKUP(TEXT(O350,"0"),CONDUCTORES!$A$3:$G$54,2,0),"")</f>
        <v/>
      </c>
      <c r="Q350" s="332">
        <f>IFERROR(VLOOKUP(TEXT(O350,"0"),CONDUCTORES!$A$3:$H$54,6,0),"")</f>
        <v/>
      </c>
      <c r="R350" s="280" t="n"/>
      <c r="S350" s="280" t="n"/>
      <c r="T350" s="280" t="n"/>
      <c r="U350" s="280" t="n"/>
      <c r="V350" s="280" t="n"/>
      <c r="W350" s="280" t="n"/>
      <c r="X350" s="280" t="n"/>
      <c r="Y350" s="280" t="n"/>
    </row>
    <row r="351" ht="15" customHeight="1" s="195">
      <c r="A351" s="334" t="n"/>
      <c r="B351" s="334" t="n"/>
      <c r="C351" s="334" t="n"/>
      <c r="D351" s="334" t="n"/>
      <c r="E351" s="334" t="n"/>
      <c r="F351" s="334" t="n"/>
      <c r="G351" s="334" t="n"/>
      <c r="H351" s="334" t="n"/>
      <c r="I351" s="332">
        <f>IFERROR(VLOOKUP(TEXT(H351,"0"),IPRESS!$A$3:$B$212,2,0),"")</f>
        <v/>
      </c>
      <c r="J351" s="334" t="n"/>
      <c r="K351" s="332">
        <f>IFERROR(VLOOKUP(TEXT(O351,"0"),CONDUCTORES!$A$3:$G$54,7,0),"")</f>
        <v/>
      </c>
      <c r="L351" s="334" t="n"/>
      <c r="M351" s="334" t="n"/>
      <c r="N351" s="333">
        <f>IFERROR(IF(L351*M351=0,"",L351*M351),"")</f>
        <v/>
      </c>
      <c r="O351" s="334" t="n"/>
      <c r="P351" s="332">
        <f>IFERROR(VLOOKUP(TEXT(O351,"0"),CONDUCTORES!$A$3:$G$54,2,0),"")</f>
        <v/>
      </c>
      <c r="Q351" s="332">
        <f>IFERROR(VLOOKUP(TEXT(O351,"0"),CONDUCTORES!$A$3:$H$54,6,0),"")</f>
        <v/>
      </c>
      <c r="R351" s="334" t="n"/>
      <c r="S351" s="334" t="n"/>
      <c r="T351" s="334" t="n"/>
      <c r="U351" s="334" t="n"/>
      <c r="V351" s="334" t="n"/>
      <c r="W351" s="334" t="n"/>
      <c r="X351" s="334" t="n"/>
      <c r="Y351" s="334" t="n"/>
    </row>
    <row r="352" ht="15" customHeight="1" s="195">
      <c r="A352" s="280" t="n"/>
      <c r="B352" s="280" t="n"/>
      <c r="C352" s="280" t="n"/>
      <c r="D352" s="280" t="n"/>
      <c r="E352" s="280" t="n"/>
      <c r="F352" s="280" t="n"/>
      <c r="G352" s="280" t="n"/>
      <c r="H352" s="280" t="n"/>
      <c r="I352" s="332">
        <f>IFERROR(VLOOKUP(TEXT(H352,"0"),IPRESS!$A$3:$B$212,2,0),"")</f>
        <v/>
      </c>
      <c r="J352" s="280" t="n"/>
      <c r="K352" s="332">
        <f>IFERROR(VLOOKUP(TEXT(O352,"0"),CONDUCTORES!$A$3:$G$54,7,0),"")</f>
        <v/>
      </c>
      <c r="L352" s="280" t="n"/>
      <c r="M352" s="280" t="n"/>
      <c r="N352" s="333">
        <f>IFERROR(IF(L352*M352=0,"",L352*M352),"")</f>
        <v/>
      </c>
      <c r="O352" s="280" t="n"/>
      <c r="P352" s="332">
        <f>IFERROR(VLOOKUP(TEXT(O352,"0"),CONDUCTORES!$A$3:$G$54,2,0),"")</f>
        <v/>
      </c>
      <c r="Q352" s="332">
        <f>IFERROR(VLOOKUP(TEXT(O352,"0"),CONDUCTORES!$A$3:$H$54,6,0),"")</f>
        <v/>
      </c>
      <c r="R352" s="280" t="n"/>
      <c r="S352" s="280" t="n"/>
      <c r="T352" s="280" t="n"/>
      <c r="U352" s="280" t="n"/>
      <c r="V352" s="280" t="n"/>
      <c r="W352" s="280" t="n"/>
      <c r="X352" s="280" t="n"/>
      <c r="Y352" s="280" t="n"/>
    </row>
    <row r="353" ht="15" customHeight="1" s="195">
      <c r="A353" s="334" t="n"/>
      <c r="B353" s="334" t="n"/>
      <c r="C353" s="334" t="n"/>
      <c r="D353" s="334" t="n"/>
      <c r="E353" s="334" t="n"/>
      <c r="F353" s="334" t="n"/>
      <c r="G353" s="334" t="n"/>
      <c r="H353" s="334" t="n"/>
      <c r="I353" s="332">
        <f>IFERROR(VLOOKUP(TEXT(H353,"0"),IPRESS!$A$3:$B$212,2,0),"")</f>
        <v/>
      </c>
      <c r="J353" s="334" t="n"/>
      <c r="K353" s="332">
        <f>IFERROR(VLOOKUP(TEXT(O353,"0"),CONDUCTORES!$A$3:$G$54,7,0),"")</f>
        <v/>
      </c>
      <c r="L353" s="334" t="n"/>
      <c r="M353" s="334" t="n"/>
      <c r="N353" s="333">
        <f>IFERROR(IF(L353*M353=0,"",L353*M353),"")</f>
        <v/>
      </c>
      <c r="O353" s="334" t="n"/>
      <c r="P353" s="332">
        <f>IFERROR(VLOOKUP(TEXT(O353,"0"),CONDUCTORES!$A$3:$G$54,2,0),"")</f>
        <v/>
      </c>
      <c r="Q353" s="332">
        <f>IFERROR(VLOOKUP(TEXT(O353,"0"),CONDUCTORES!$A$3:$H$54,6,0),"")</f>
        <v/>
      </c>
      <c r="R353" s="334" t="n"/>
      <c r="S353" s="334" t="n"/>
      <c r="T353" s="334" t="n"/>
      <c r="U353" s="334" t="n"/>
      <c r="V353" s="334" t="n"/>
      <c r="W353" s="334" t="n"/>
      <c r="X353" s="334" t="n"/>
      <c r="Y353" s="334" t="n"/>
    </row>
    <row r="354" ht="15" customHeight="1" s="195">
      <c r="A354" s="280" t="n"/>
      <c r="B354" s="280" t="n"/>
      <c r="C354" s="280" t="n"/>
      <c r="D354" s="280" t="n"/>
      <c r="E354" s="280" t="n"/>
      <c r="F354" s="280" t="n"/>
      <c r="G354" s="280" t="n"/>
      <c r="H354" s="280" t="n"/>
      <c r="I354" s="332">
        <f>IFERROR(VLOOKUP(TEXT(H354,"0"),IPRESS!$A$3:$B$212,2,0),"")</f>
        <v/>
      </c>
      <c r="J354" s="280" t="n"/>
      <c r="K354" s="332">
        <f>IFERROR(VLOOKUP(TEXT(O354,"0"),CONDUCTORES!$A$3:$G$54,7,0),"")</f>
        <v/>
      </c>
      <c r="L354" s="280" t="n"/>
      <c r="M354" s="280" t="n"/>
      <c r="N354" s="333">
        <f>IFERROR(IF(L354*M354=0,"",L354*M354),"")</f>
        <v/>
      </c>
      <c r="O354" s="280" t="n"/>
      <c r="P354" s="332">
        <f>IFERROR(VLOOKUP(TEXT(O354,"0"),CONDUCTORES!$A$3:$G$54,2,0),"")</f>
        <v/>
      </c>
      <c r="Q354" s="332">
        <f>IFERROR(VLOOKUP(TEXT(O354,"0"),CONDUCTORES!$A$3:$H$54,6,0),"")</f>
        <v/>
      </c>
      <c r="R354" s="280" t="n"/>
      <c r="S354" s="280" t="n"/>
      <c r="T354" s="280" t="n"/>
      <c r="U354" s="280" t="n"/>
      <c r="V354" s="280" t="n"/>
      <c r="W354" s="280" t="n"/>
      <c r="X354" s="280" t="n"/>
      <c r="Y354" s="280" t="n"/>
    </row>
    <row r="355" ht="15" customHeight="1" s="195">
      <c r="A355" s="334" t="n"/>
      <c r="B355" s="334" t="n"/>
      <c r="C355" s="334" t="n"/>
      <c r="D355" s="334" t="n"/>
      <c r="E355" s="334" t="n"/>
      <c r="F355" s="334" t="n"/>
      <c r="G355" s="334" t="n"/>
      <c r="H355" s="334" t="n"/>
      <c r="I355" s="332">
        <f>IFERROR(VLOOKUP(TEXT(H355,"0"),IPRESS!$A$3:$B$212,2,0),"")</f>
        <v/>
      </c>
      <c r="J355" s="334" t="n"/>
      <c r="K355" s="332">
        <f>IFERROR(VLOOKUP(TEXT(O355,"0"),CONDUCTORES!$A$3:$G$54,7,0),"")</f>
        <v/>
      </c>
      <c r="L355" s="334" t="n"/>
      <c r="M355" s="334" t="n"/>
      <c r="N355" s="333">
        <f>IFERROR(IF(L355*M355=0,"",L355*M355),"")</f>
        <v/>
      </c>
      <c r="O355" s="334" t="n"/>
      <c r="P355" s="332">
        <f>IFERROR(VLOOKUP(TEXT(O355,"0"),CONDUCTORES!$A$3:$G$54,2,0),"")</f>
        <v/>
      </c>
      <c r="Q355" s="332">
        <f>IFERROR(VLOOKUP(TEXT(O355,"0"),CONDUCTORES!$A$3:$H$54,6,0),"")</f>
        <v/>
      </c>
      <c r="R355" s="334" t="n"/>
      <c r="S355" s="334" t="n"/>
      <c r="T355" s="334" t="n"/>
      <c r="U355" s="334" t="n"/>
      <c r="V355" s="334" t="n"/>
      <c r="W355" s="334" t="n"/>
      <c r="X355" s="334" t="n"/>
      <c r="Y355" s="334" t="n"/>
    </row>
    <row r="356" ht="15" customHeight="1" s="195">
      <c r="A356" s="280" t="n"/>
      <c r="B356" s="280" t="n"/>
      <c r="C356" s="280" t="n"/>
      <c r="D356" s="280" t="n"/>
      <c r="E356" s="280" t="n"/>
      <c r="F356" s="280" t="n"/>
      <c r="G356" s="280" t="n"/>
      <c r="H356" s="280" t="n"/>
      <c r="I356" s="332">
        <f>IFERROR(VLOOKUP(TEXT(H356,"0"),IPRESS!$A$3:$B$212,2,0),"")</f>
        <v/>
      </c>
      <c r="J356" s="280" t="n"/>
      <c r="K356" s="332">
        <f>IFERROR(VLOOKUP(TEXT(O356,"0"),CONDUCTORES!$A$3:$G$54,7,0),"")</f>
        <v/>
      </c>
      <c r="L356" s="280" t="n"/>
      <c r="M356" s="280" t="n"/>
      <c r="N356" s="333">
        <f>IFERROR(IF(L356*M356=0,"",L356*M356),"")</f>
        <v/>
      </c>
      <c r="O356" s="280" t="n"/>
      <c r="P356" s="332">
        <f>IFERROR(VLOOKUP(TEXT(O356,"0"),CONDUCTORES!$A$3:$G$54,2,0),"")</f>
        <v/>
      </c>
      <c r="Q356" s="332">
        <f>IFERROR(VLOOKUP(TEXT(O356,"0"),CONDUCTORES!$A$3:$H$54,6,0),"")</f>
        <v/>
      </c>
      <c r="R356" s="280" t="n"/>
      <c r="S356" s="280" t="n"/>
      <c r="T356" s="280" t="n"/>
      <c r="U356" s="280" t="n"/>
      <c r="V356" s="280" t="n"/>
      <c r="W356" s="280" t="n"/>
      <c r="X356" s="280" t="n"/>
      <c r="Y356" s="280" t="n"/>
    </row>
    <row r="357" ht="15" customHeight="1" s="195">
      <c r="A357" s="334" t="n"/>
      <c r="B357" s="334" t="n"/>
      <c r="C357" s="334" t="n"/>
      <c r="D357" s="334" t="n"/>
      <c r="E357" s="334" t="n"/>
      <c r="F357" s="334" t="n"/>
      <c r="G357" s="334" t="n"/>
      <c r="H357" s="334" t="n"/>
      <c r="I357" s="332">
        <f>IFERROR(VLOOKUP(TEXT(H357,"0"),IPRESS!$A$3:$B$212,2,0),"")</f>
        <v/>
      </c>
      <c r="J357" s="334" t="n"/>
      <c r="K357" s="332">
        <f>IFERROR(VLOOKUP(TEXT(O357,"0"),CONDUCTORES!$A$3:$G$54,7,0),"")</f>
        <v/>
      </c>
      <c r="L357" s="334" t="n"/>
      <c r="M357" s="334" t="n"/>
      <c r="N357" s="333">
        <f>IFERROR(IF(L357*M357=0,"",L357*M357),"")</f>
        <v/>
      </c>
      <c r="O357" s="334" t="n"/>
      <c r="P357" s="332">
        <f>IFERROR(VLOOKUP(TEXT(O357,"0"),CONDUCTORES!$A$3:$G$54,2,0),"")</f>
        <v/>
      </c>
      <c r="Q357" s="332">
        <f>IFERROR(VLOOKUP(TEXT(O357,"0"),CONDUCTORES!$A$3:$H$54,6,0),"")</f>
        <v/>
      </c>
      <c r="R357" s="334" t="n"/>
      <c r="S357" s="334" t="n"/>
      <c r="T357" s="334" t="n"/>
      <c r="U357" s="334" t="n"/>
      <c r="V357" s="334" t="n"/>
      <c r="W357" s="334" t="n"/>
      <c r="X357" s="334" t="n"/>
      <c r="Y357" s="334" t="n"/>
    </row>
    <row r="358" ht="15" customHeight="1" s="195">
      <c r="A358" s="280" t="n"/>
      <c r="B358" s="280" t="n"/>
      <c r="C358" s="280" t="n"/>
      <c r="D358" s="280" t="n"/>
      <c r="E358" s="280" t="n"/>
      <c r="F358" s="280" t="n"/>
      <c r="G358" s="280" t="n"/>
      <c r="H358" s="280" t="n"/>
      <c r="I358" s="332">
        <f>IFERROR(VLOOKUP(TEXT(H358,"0"),IPRESS!$A$3:$B$212,2,0),"")</f>
        <v/>
      </c>
      <c r="J358" s="280" t="n"/>
      <c r="K358" s="332">
        <f>IFERROR(VLOOKUP(TEXT(O358,"0"),CONDUCTORES!$A$3:$G$54,7,0),"")</f>
        <v/>
      </c>
      <c r="L358" s="280" t="n"/>
      <c r="M358" s="280" t="n"/>
      <c r="N358" s="333">
        <f>IFERROR(IF(L358*M358=0,"",L358*M358),"")</f>
        <v/>
      </c>
      <c r="O358" s="280" t="n"/>
      <c r="P358" s="332">
        <f>IFERROR(VLOOKUP(TEXT(O358,"0"),CONDUCTORES!$A$3:$G$54,2,0),"")</f>
        <v/>
      </c>
      <c r="Q358" s="332">
        <f>IFERROR(VLOOKUP(TEXT(O358,"0"),CONDUCTORES!$A$3:$H$54,6,0),"")</f>
        <v/>
      </c>
      <c r="R358" s="280" t="n"/>
      <c r="S358" s="280" t="n"/>
      <c r="T358" s="280" t="n"/>
      <c r="U358" s="280" t="n"/>
      <c r="V358" s="280" t="n"/>
      <c r="W358" s="280" t="n"/>
      <c r="X358" s="280" t="n"/>
      <c r="Y358" s="280" t="n"/>
    </row>
    <row r="359" ht="15" customHeight="1" s="195">
      <c r="A359" s="334" t="n"/>
      <c r="B359" s="334" t="n"/>
      <c r="C359" s="334" t="n"/>
      <c r="D359" s="334" t="n"/>
      <c r="E359" s="334" t="n"/>
      <c r="F359" s="334" t="n"/>
      <c r="G359" s="334" t="n"/>
      <c r="H359" s="334" t="n"/>
      <c r="I359" s="332">
        <f>IFERROR(VLOOKUP(TEXT(H359,"0"),IPRESS!$A$3:$B$212,2,0),"")</f>
        <v/>
      </c>
      <c r="J359" s="334" t="n"/>
      <c r="K359" s="332">
        <f>IFERROR(VLOOKUP(TEXT(O359,"0"),CONDUCTORES!$A$3:$G$54,7,0),"")</f>
        <v/>
      </c>
      <c r="L359" s="334" t="n"/>
      <c r="M359" s="334" t="n"/>
      <c r="N359" s="333">
        <f>IFERROR(IF(L359*M359=0,"",L359*M359),"")</f>
        <v/>
      </c>
      <c r="O359" s="334" t="n"/>
      <c r="P359" s="332">
        <f>IFERROR(VLOOKUP(TEXT(O359,"0"),CONDUCTORES!$A$3:$G$54,2,0),"")</f>
        <v/>
      </c>
      <c r="Q359" s="332">
        <f>IFERROR(VLOOKUP(TEXT(O359,"0"),CONDUCTORES!$A$3:$H$54,6,0),"")</f>
        <v/>
      </c>
      <c r="R359" s="334" t="n"/>
      <c r="S359" s="334" t="n"/>
      <c r="T359" s="334" t="n"/>
      <c r="U359" s="334" t="n"/>
      <c r="V359" s="334" t="n"/>
      <c r="W359" s="334" t="n"/>
      <c r="X359" s="334" t="n"/>
      <c r="Y359" s="334" t="n"/>
    </row>
    <row r="360" ht="15" customHeight="1" s="195">
      <c r="A360" s="280" t="n"/>
      <c r="B360" s="280" t="n"/>
      <c r="C360" s="280" t="n"/>
      <c r="D360" s="280" t="n"/>
      <c r="E360" s="280" t="n"/>
      <c r="F360" s="280" t="n"/>
      <c r="G360" s="280" t="n"/>
      <c r="H360" s="280" t="n"/>
      <c r="I360" s="332">
        <f>IFERROR(VLOOKUP(TEXT(H360,"0"),IPRESS!$A$3:$B$212,2,0),"")</f>
        <v/>
      </c>
      <c r="J360" s="280" t="n"/>
      <c r="K360" s="332">
        <f>IFERROR(VLOOKUP(TEXT(O360,"0"),CONDUCTORES!$A$3:$G$54,7,0),"")</f>
        <v/>
      </c>
      <c r="L360" s="280" t="n"/>
      <c r="M360" s="280" t="n"/>
      <c r="N360" s="333">
        <f>IFERROR(IF(L360*M360=0,"",L360*M360),"")</f>
        <v/>
      </c>
      <c r="O360" s="280" t="n"/>
      <c r="P360" s="332">
        <f>IFERROR(VLOOKUP(TEXT(O360,"0"),CONDUCTORES!$A$3:$G$54,2,0),"")</f>
        <v/>
      </c>
      <c r="Q360" s="332">
        <f>IFERROR(VLOOKUP(TEXT(O360,"0"),CONDUCTORES!$A$3:$H$54,6,0),"")</f>
        <v/>
      </c>
      <c r="R360" s="280" t="n"/>
      <c r="S360" s="280" t="n"/>
      <c r="T360" s="280" t="n"/>
      <c r="U360" s="280" t="n"/>
      <c r="V360" s="280" t="n"/>
      <c r="W360" s="280" t="n"/>
      <c r="X360" s="280" t="n"/>
      <c r="Y360" s="280" t="n"/>
    </row>
    <row r="361" ht="15" customHeight="1" s="195">
      <c r="A361" s="334" t="n"/>
      <c r="B361" s="334" t="n"/>
      <c r="C361" s="334" t="n"/>
      <c r="D361" s="334" t="n"/>
      <c r="E361" s="334" t="n"/>
      <c r="F361" s="334" t="n"/>
      <c r="G361" s="334" t="n"/>
      <c r="H361" s="334" t="n"/>
      <c r="I361" s="332">
        <f>IFERROR(VLOOKUP(TEXT(H361,"0"),IPRESS!$A$3:$B$212,2,0),"")</f>
        <v/>
      </c>
      <c r="J361" s="334" t="n"/>
      <c r="K361" s="332">
        <f>IFERROR(VLOOKUP(TEXT(O361,"0"),CONDUCTORES!$A$3:$G$54,7,0),"")</f>
        <v/>
      </c>
      <c r="L361" s="334" t="n"/>
      <c r="M361" s="334" t="n"/>
      <c r="N361" s="333">
        <f>IFERROR(IF(L361*M361=0,"",L361*M361),"")</f>
        <v/>
      </c>
      <c r="O361" s="334" t="n"/>
      <c r="P361" s="332">
        <f>IFERROR(VLOOKUP(TEXT(O361,"0"),CONDUCTORES!$A$3:$G$54,2,0),"")</f>
        <v/>
      </c>
      <c r="Q361" s="332">
        <f>IFERROR(VLOOKUP(TEXT(O361,"0"),CONDUCTORES!$A$3:$H$54,6,0),"")</f>
        <v/>
      </c>
      <c r="R361" s="334" t="n"/>
      <c r="S361" s="334" t="n"/>
      <c r="T361" s="334" t="n"/>
      <c r="U361" s="334" t="n"/>
      <c r="V361" s="334" t="n"/>
      <c r="W361" s="334" t="n"/>
      <c r="X361" s="334" t="n"/>
      <c r="Y361" s="334" t="n"/>
    </row>
    <row r="362" ht="15" customHeight="1" s="195">
      <c r="A362" s="280" t="n"/>
      <c r="B362" s="280" t="n"/>
      <c r="C362" s="280" t="n"/>
      <c r="D362" s="280" t="n"/>
      <c r="E362" s="280" t="n"/>
      <c r="F362" s="280" t="n"/>
      <c r="G362" s="280" t="n"/>
      <c r="H362" s="280" t="n"/>
      <c r="I362" s="332">
        <f>IFERROR(VLOOKUP(TEXT(H362,"0"),IPRESS!$A$3:$B$212,2,0),"")</f>
        <v/>
      </c>
      <c r="J362" s="280" t="n"/>
      <c r="K362" s="332">
        <f>IFERROR(VLOOKUP(TEXT(O362,"0"),CONDUCTORES!$A$3:$G$54,7,0),"")</f>
        <v/>
      </c>
      <c r="L362" s="280" t="n"/>
      <c r="M362" s="280" t="n"/>
      <c r="N362" s="333">
        <f>IFERROR(IF(L362*M362=0,"",L362*M362),"")</f>
        <v/>
      </c>
      <c r="O362" s="280" t="n"/>
      <c r="P362" s="332">
        <f>IFERROR(VLOOKUP(TEXT(O362,"0"),CONDUCTORES!$A$3:$G$54,2,0),"")</f>
        <v/>
      </c>
      <c r="Q362" s="332">
        <f>IFERROR(VLOOKUP(TEXT(O362,"0"),CONDUCTORES!$A$3:$H$54,6,0),"")</f>
        <v/>
      </c>
      <c r="R362" s="280" t="n"/>
      <c r="S362" s="280" t="n"/>
      <c r="T362" s="280" t="n"/>
      <c r="U362" s="280" t="n"/>
      <c r="V362" s="280" t="n"/>
      <c r="W362" s="280" t="n"/>
      <c r="X362" s="280" t="n"/>
      <c r="Y362" s="280" t="n"/>
    </row>
    <row r="363" ht="15" customHeight="1" s="195">
      <c r="A363" s="334" t="n"/>
      <c r="B363" s="334" t="n"/>
      <c r="C363" s="334" t="n"/>
      <c r="D363" s="334" t="n"/>
      <c r="E363" s="334" t="n"/>
      <c r="F363" s="334" t="n"/>
      <c r="G363" s="334" t="n"/>
      <c r="H363" s="334" t="n"/>
      <c r="I363" s="332">
        <f>IFERROR(VLOOKUP(TEXT(H363,"0"),IPRESS!$A$3:$B$212,2,0),"")</f>
        <v/>
      </c>
      <c r="J363" s="334" t="n"/>
      <c r="K363" s="332">
        <f>IFERROR(VLOOKUP(TEXT(O363,"0"),CONDUCTORES!$A$3:$G$54,7,0),"")</f>
        <v/>
      </c>
      <c r="L363" s="334" t="n"/>
      <c r="M363" s="334" t="n"/>
      <c r="N363" s="333">
        <f>IFERROR(IF(L363*M363=0,"",L363*M363),"")</f>
        <v/>
      </c>
      <c r="O363" s="334" t="n"/>
      <c r="P363" s="332">
        <f>IFERROR(VLOOKUP(TEXT(O363,"0"),CONDUCTORES!$A$3:$G$54,2,0),"")</f>
        <v/>
      </c>
      <c r="Q363" s="332">
        <f>IFERROR(VLOOKUP(TEXT(O363,"0"),CONDUCTORES!$A$3:$H$54,6,0),"")</f>
        <v/>
      </c>
      <c r="R363" s="334" t="n"/>
      <c r="S363" s="334" t="n"/>
      <c r="T363" s="334" t="n"/>
      <c r="U363" s="334" t="n"/>
      <c r="V363" s="334" t="n"/>
      <c r="W363" s="334" t="n"/>
      <c r="X363" s="334" t="n"/>
      <c r="Y363" s="334" t="n"/>
    </row>
    <row r="364" ht="15" customHeight="1" s="195">
      <c r="A364" s="280" t="n"/>
      <c r="B364" s="280" t="n"/>
      <c r="C364" s="280" t="n"/>
      <c r="D364" s="280" t="n"/>
      <c r="E364" s="280" t="n"/>
      <c r="F364" s="280" t="n"/>
      <c r="G364" s="280" t="n"/>
      <c r="H364" s="280" t="n"/>
      <c r="I364" s="332">
        <f>IFERROR(VLOOKUP(TEXT(H364,"0"),IPRESS!$A$3:$B$212,2,0),"")</f>
        <v/>
      </c>
      <c r="J364" s="280" t="n"/>
      <c r="K364" s="332">
        <f>IFERROR(VLOOKUP(TEXT(O364,"0"),CONDUCTORES!$A$3:$G$54,7,0),"")</f>
        <v/>
      </c>
      <c r="L364" s="280" t="n"/>
      <c r="M364" s="280" t="n"/>
      <c r="N364" s="333">
        <f>IFERROR(IF(L364*M364=0,"",L364*M364),"")</f>
        <v/>
      </c>
      <c r="O364" s="280" t="n"/>
      <c r="P364" s="332">
        <f>IFERROR(VLOOKUP(TEXT(O364,"0"),CONDUCTORES!$A$3:$G$54,2,0),"")</f>
        <v/>
      </c>
      <c r="Q364" s="332">
        <f>IFERROR(VLOOKUP(TEXT(O364,"0"),CONDUCTORES!$A$3:$H$54,6,0),"")</f>
        <v/>
      </c>
      <c r="R364" s="280" t="n"/>
      <c r="S364" s="280" t="n"/>
      <c r="T364" s="280" t="n"/>
      <c r="U364" s="280" t="n"/>
      <c r="V364" s="280" t="n"/>
      <c r="W364" s="280" t="n"/>
      <c r="X364" s="280" t="n"/>
      <c r="Y364" s="280" t="n"/>
    </row>
    <row r="365" ht="15" customHeight="1" s="195">
      <c r="A365" s="334" t="n"/>
      <c r="B365" s="334" t="n"/>
      <c r="C365" s="334" t="n"/>
      <c r="D365" s="334" t="n"/>
      <c r="E365" s="334" t="n"/>
      <c r="F365" s="334" t="n"/>
      <c r="G365" s="334" t="n"/>
      <c r="H365" s="334" t="n"/>
      <c r="I365" s="332">
        <f>IFERROR(VLOOKUP(TEXT(H365,"0"),IPRESS!$A$3:$B$212,2,0),"")</f>
        <v/>
      </c>
      <c r="J365" s="334" t="n"/>
      <c r="K365" s="332">
        <f>IFERROR(VLOOKUP(TEXT(O365,"0"),CONDUCTORES!$A$3:$G$54,7,0),"")</f>
        <v/>
      </c>
      <c r="L365" s="334" t="n"/>
      <c r="M365" s="334" t="n"/>
      <c r="N365" s="333">
        <f>IFERROR(IF(L365*M365=0,"",L365*M365),"")</f>
        <v/>
      </c>
      <c r="O365" s="334" t="n"/>
      <c r="P365" s="332">
        <f>IFERROR(VLOOKUP(TEXT(O365,"0"),CONDUCTORES!$A$3:$G$54,2,0),"")</f>
        <v/>
      </c>
      <c r="Q365" s="332">
        <f>IFERROR(VLOOKUP(TEXT(O365,"0"),CONDUCTORES!$A$3:$H$54,6,0),"")</f>
        <v/>
      </c>
      <c r="R365" s="334" t="n"/>
      <c r="S365" s="334" t="n"/>
      <c r="T365" s="334" t="n"/>
      <c r="U365" s="334" t="n"/>
      <c r="V365" s="334" t="n"/>
      <c r="W365" s="334" t="n"/>
      <c r="X365" s="334" t="n"/>
      <c r="Y365" s="334" t="n"/>
    </row>
    <row r="366" ht="15" customHeight="1" s="195">
      <c r="A366" s="280" t="n"/>
      <c r="B366" s="280" t="n"/>
      <c r="C366" s="280" t="n"/>
      <c r="D366" s="280" t="n"/>
      <c r="E366" s="280" t="n"/>
      <c r="F366" s="280" t="n"/>
      <c r="G366" s="280" t="n"/>
      <c r="H366" s="280" t="n"/>
      <c r="I366" s="332">
        <f>IFERROR(VLOOKUP(TEXT(H366,"0"),IPRESS!$A$3:$B$212,2,0),"")</f>
        <v/>
      </c>
      <c r="J366" s="280" t="n"/>
      <c r="K366" s="332">
        <f>IFERROR(VLOOKUP(TEXT(O366,"0"),CONDUCTORES!$A$3:$G$54,7,0),"")</f>
        <v/>
      </c>
      <c r="L366" s="280" t="n"/>
      <c r="M366" s="280" t="n"/>
      <c r="N366" s="333">
        <f>IFERROR(IF(L366*M366=0,"",L366*M366),"")</f>
        <v/>
      </c>
      <c r="O366" s="280" t="n"/>
      <c r="P366" s="332">
        <f>IFERROR(VLOOKUP(TEXT(O366,"0"),CONDUCTORES!$A$3:$G$54,2,0),"")</f>
        <v/>
      </c>
      <c r="Q366" s="332">
        <f>IFERROR(VLOOKUP(TEXT(O366,"0"),CONDUCTORES!$A$3:$H$54,6,0),"")</f>
        <v/>
      </c>
      <c r="R366" s="280" t="n"/>
      <c r="S366" s="280" t="n"/>
      <c r="T366" s="280" t="n"/>
      <c r="U366" s="280" t="n"/>
      <c r="V366" s="280" t="n"/>
      <c r="W366" s="280" t="n"/>
      <c r="X366" s="280" t="n"/>
      <c r="Y366" s="280" t="n"/>
    </row>
    <row r="367" ht="15" customHeight="1" s="195">
      <c r="A367" s="334" t="n"/>
      <c r="B367" s="334" t="n"/>
      <c r="C367" s="334" t="n"/>
      <c r="D367" s="334" t="n"/>
      <c r="E367" s="334" t="n"/>
      <c r="F367" s="334" t="n"/>
      <c r="G367" s="334" t="n"/>
      <c r="H367" s="334" t="n"/>
      <c r="I367" s="332">
        <f>IFERROR(VLOOKUP(TEXT(H367,"0"),IPRESS!$A$3:$B$212,2,0),"")</f>
        <v/>
      </c>
      <c r="J367" s="334" t="n"/>
      <c r="K367" s="332">
        <f>IFERROR(VLOOKUP(TEXT(O367,"0"),CONDUCTORES!$A$3:$G$54,7,0),"")</f>
        <v/>
      </c>
      <c r="L367" s="334" t="n"/>
      <c r="M367" s="334" t="n"/>
      <c r="N367" s="333">
        <f>IFERROR(IF(L367*M367=0,"",L367*M367),"")</f>
        <v/>
      </c>
      <c r="O367" s="334" t="n"/>
      <c r="P367" s="332">
        <f>IFERROR(VLOOKUP(TEXT(O367,"0"),CONDUCTORES!$A$3:$G$54,2,0),"")</f>
        <v/>
      </c>
      <c r="Q367" s="332">
        <f>IFERROR(VLOOKUP(TEXT(O367,"0"),CONDUCTORES!$A$3:$H$54,6,0),"")</f>
        <v/>
      </c>
      <c r="R367" s="334" t="n"/>
      <c r="S367" s="334" t="n"/>
      <c r="T367" s="334" t="n"/>
      <c r="U367" s="334" t="n"/>
      <c r="V367" s="334" t="n"/>
      <c r="W367" s="334" t="n"/>
      <c r="X367" s="334" t="n"/>
      <c r="Y367" s="334" t="n"/>
    </row>
    <row r="368" ht="15" customHeight="1" s="195">
      <c r="A368" s="280" t="n"/>
      <c r="B368" s="280" t="n"/>
      <c r="C368" s="280" t="n"/>
      <c r="D368" s="280" t="n"/>
      <c r="E368" s="280" t="n"/>
      <c r="F368" s="280" t="n"/>
      <c r="G368" s="280" t="n"/>
      <c r="H368" s="280" t="n"/>
      <c r="I368" s="332">
        <f>IFERROR(VLOOKUP(TEXT(H368,"0"),IPRESS!$A$3:$B$212,2,0),"")</f>
        <v/>
      </c>
      <c r="J368" s="280" t="n"/>
      <c r="K368" s="332">
        <f>IFERROR(VLOOKUP(TEXT(O368,"0"),CONDUCTORES!$A$3:$G$54,7,0),"")</f>
        <v/>
      </c>
      <c r="L368" s="280" t="n"/>
      <c r="M368" s="280" t="n"/>
      <c r="N368" s="333">
        <f>IFERROR(IF(L368*M368=0,"",L368*M368),"")</f>
        <v/>
      </c>
      <c r="O368" s="280" t="n"/>
      <c r="P368" s="332">
        <f>IFERROR(VLOOKUP(TEXT(O368,"0"),CONDUCTORES!$A$3:$G$54,2,0),"")</f>
        <v/>
      </c>
      <c r="Q368" s="332">
        <f>IFERROR(VLOOKUP(TEXT(O368,"0"),CONDUCTORES!$A$3:$H$54,6,0),"")</f>
        <v/>
      </c>
      <c r="R368" s="280" t="n"/>
      <c r="S368" s="280" t="n"/>
      <c r="T368" s="280" t="n"/>
      <c r="U368" s="280" t="n"/>
      <c r="V368" s="280" t="n"/>
      <c r="W368" s="280" t="n"/>
      <c r="X368" s="280" t="n"/>
      <c r="Y368" s="280" t="n"/>
    </row>
    <row r="369" ht="15" customHeight="1" s="195">
      <c r="A369" s="334" t="n"/>
      <c r="B369" s="334" t="n"/>
      <c r="C369" s="334" t="n"/>
      <c r="D369" s="334" t="n"/>
      <c r="E369" s="334" t="n"/>
      <c r="F369" s="334" t="n"/>
      <c r="G369" s="334" t="n"/>
      <c r="H369" s="334" t="n"/>
      <c r="I369" s="332">
        <f>IFERROR(VLOOKUP(TEXT(H369,"0"),IPRESS!$A$3:$B$212,2,0),"")</f>
        <v/>
      </c>
      <c r="J369" s="334" t="n"/>
      <c r="K369" s="332">
        <f>IFERROR(VLOOKUP(TEXT(O369,"0"),CONDUCTORES!$A$3:$G$54,7,0),"")</f>
        <v/>
      </c>
      <c r="L369" s="334" t="n"/>
      <c r="M369" s="334" t="n"/>
      <c r="N369" s="333">
        <f>IFERROR(IF(L369*M369=0,"",L369*M369),"")</f>
        <v/>
      </c>
      <c r="O369" s="334" t="n"/>
      <c r="P369" s="332">
        <f>IFERROR(VLOOKUP(TEXT(O369,"0"),CONDUCTORES!$A$3:$G$54,2,0),"")</f>
        <v/>
      </c>
      <c r="Q369" s="332">
        <f>IFERROR(VLOOKUP(TEXT(O369,"0"),CONDUCTORES!$A$3:$H$54,6,0),"")</f>
        <v/>
      </c>
      <c r="R369" s="334" t="n"/>
      <c r="S369" s="334" t="n"/>
      <c r="T369" s="334" t="n"/>
      <c r="U369" s="334" t="n"/>
      <c r="V369" s="334" t="n"/>
      <c r="W369" s="334" t="n"/>
      <c r="X369" s="334" t="n"/>
      <c r="Y369" s="334" t="n"/>
    </row>
    <row r="370" ht="15" customHeight="1" s="195">
      <c r="A370" s="280" t="n"/>
      <c r="B370" s="280" t="n"/>
      <c r="C370" s="280" t="n"/>
      <c r="D370" s="280" t="n"/>
      <c r="E370" s="280" t="n"/>
      <c r="F370" s="280" t="n"/>
      <c r="G370" s="280" t="n"/>
      <c r="H370" s="280" t="n"/>
      <c r="I370" s="332">
        <f>IFERROR(VLOOKUP(TEXT(H370,"0"),IPRESS!$A$3:$B$212,2,0),"")</f>
        <v/>
      </c>
      <c r="J370" s="280" t="n"/>
      <c r="K370" s="332">
        <f>IFERROR(VLOOKUP(TEXT(O370,"0"),CONDUCTORES!$A$3:$G$54,7,0),"")</f>
        <v/>
      </c>
      <c r="L370" s="280" t="n"/>
      <c r="M370" s="280" t="n"/>
      <c r="N370" s="333">
        <f>IFERROR(IF(L370*M370=0,"",L370*M370),"")</f>
        <v/>
      </c>
      <c r="O370" s="280" t="n"/>
      <c r="P370" s="332">
        <f>IFERROR(VLOOKUP(TEXT(O370,"0"),CONDUCTORES!$A$3:$G$54,2,0),"")</f>
        <v/>
      </c>
      <c r="Q370" s="332">
        <f>IFERROR(VLOOKUP(TEXT(O370,"0"),CONDUCTORES!$A$3:$H$54,6,0),"")</f>
        <v/>
      </c>
      <c r="R370" s="280" t="n"/>
      <c r="S370" s="280" t="n"/>
      <c r="T370" s="280" t="n"/>
      <c r="U370" s="280" t="n"/>
      <c r="V370" s="280" t="n"/>
      <c r="W370" s="280" t="n"/>
      <c r="X370" s="280" t="n"/>
      <c r="Y370" s="280" t="n"/>
    </row>
    <row r="371" ht="15" customHeight="1" s="195">
      <c r="A371" s="334" t="n"/>
      <c r="B371" s="334" t="n"/>
      <c r="C371" s="334" t="n"/>
      <c r="D371" s="334" t="n"/>
      <c r="E371" s="334" t="n"/>
      <c r="F371" s="334" t="n"/>
      <c r="G371" s="334" t="n"/>
      <c r="H371" s="334" t="n"/>
      <c r="I371" s="332">
        <f>IFERROR(VLOOKUP(TEXT(H371,"0"),IPRESS!$A$3:$B$212,2,0),"")</f>
        <v/>
      </c>
      <c r="J371" s="334" t="n"/>
      <c r="K371" s="332">
        <f>IFERROR(VLOOKUP(TEXT(O371,"0"),CONDUCTORES!$A$3:$G$54,7,0),"")</f>
        <v/>
      </c>
      <c r="L371" s="334" t="n"/>
      <c r="M371" s="334" t="n"/>
      <c r="N371" s="333">
        <f>IFERROR(IF(L371*M371=0,"",L371*M371),"")</f>
        <v/>
      </c>
      <c r="O371" s="334" t="n"/>
      <c r="P371" s="332">
        <f>IFERROR(VLOOKUP(TEXT(O371,"0"),CONDUCTORES!$A$3:$G$54,2,0),"")</f>
        <v/>
      </c>
      <c r="Q371" s="332">
        <f>IFERROR(VLOOKUP(TEXT(O371,"0"),CONDUCTORES!$A$3:$H$54,6,0),"")</f>
        <v/>
      </c>
      <c r="R371" s="334" t="n"/>
      <c r="S371" s="334" t="n"/>
      <c r="T371" s="334" t="n"/>
      <c r="U371" s="334" t="n"/>
      <c r="V371" s="334" t="n"/>
      <c r="W371" s="334" t="n"/>
      <c r="X371" s="334" t="n"/>
      <c r="Y371" s="334" t="n"/>
    </row>
    <row r="372" ht="15" customHeight="1" s="195">
      <c r="A372" s="280" t="n"/>
      <c r="B372" s="280" t="n"/>
      <c r="C372" s="280" t="n"/>
      <c r="D372" s="280" t="n"/>
      <c r="E372" s="280" t="n"/>
      <c r="F372" s="280" t="n"/>
      <c r="G372" s="280" t="n"/>
      <c r="H372" s="280" t="n"/>
      <c r="I372" s="332">
        <f>IFERROR(VLOOKUP(TEXT(H372,"0"),IPRESS!$A$3:$B$212,2,0),"")</f>
        <v/>
      </c>
      <c r="J372" s="280" t="n"/>
      <c r="K372" s="332">
        <f>IFERROR(VLOOKUP(TEXT(O372,"0"),CONDUCTORES!$A$3:$G$54,7,0),"")</f>
        <v/>
      </c>
      <c r="L372" s="280" t="n"/>
      <c r="M372" s="280" t="n"/>
      <c r="N372" s="333">
        <f>IFERROR(IF(L372*M372=0,"",L372*M372),"")</f>
        <v/>
      </c>
      <c r="O372" s="280" t="n"/>
      <c r="P372" s="332">
        <f>IFERROR(VLOOKUP(TEXT(O372,"0"),CONDUCTORES!$A$3:$G$54,2,0),"")</f>
        <v/>
      </c>
      <c r="Q372" s="332">
        <f>IFERROR(VLOOKUP(TEXT(O372,"0"),CONDUCTORES!$A$3:$H$54,6,0),"")</f>
        <v/>
      </c>
      <c r="R372" s="280" t="n"/>
      <c r="S372" s="280" t="n"/>
      <c r="T372" s="280" t="n"/>
      <c r="U372" s="280" t="n"/>
      <c r="V372" s="280" t="n"/>
      <c r="W372" s="280" t="n"/>
      <c r="X372" s="280" t="n"/>
      <c r="Y372" s="280" t="n"/>
    </row>
    <row r="373" ht="15" customHeight="1" s="195">
      <c r="A373" s="334" t="n"/>
      <c r="B373" s="334" t="n"/>
      <c r="C373" s="334" t="n"/>
      <c r="D373" s="334" t="n"/>
      <c r="E373" s="334" t="n"/>
      <c r="F373" s="334" t="n"/>
      <c r="G373" s="334" t="n"/>
      <c r="H373" s="334" t="n"/>
      <c r="I373" s="332">
        <f>IFERROR(VLOOKUP(TEXT(H373,"0"),IPRESS!$A$3:$B$212,2,0),"")</f>
        <v/>
      </c>
      <c r="J373" s="334" t="n"/>
      <c r="K373" s="332">
        <f>IFERROR(VLOOKUP(TEXT(O373,"0"),CONDUCTORES!$A$3:$G$54,7,0),"")</f>
        <v/>
      </c>
      <c r="L373" s="334" t="n"/>
      <c r="M373" s="334" t="n"/>
      <c r="N373" s="333">
        <f>IFERROR(IF(L373*M373=0,"",L373*M373),"")</f>
        <v/>
      </c>
      <c r="O373" s="334" t="n"/>
      <c r="P373" s="332">
        <f>IFERROR(VLOOKUP(TEXT(O373,"0"),CONDUCTORES!$A$3:$G$54,2,0),"")</f>
        <v/>
      </c>
      <c r="Q373" s="332">
        <f>IFERROR(VLOOKUP(TEXT(O373,"0"),CONDUCTORES!$A$3:$H$54,6,0),"")</f>
        <v/>
      </c>
      <c r="R373" s="334" t="n"/>
      <c r="S373" s="334" t="n"/>
      <c r="T373" s="334" t="n"/>
      <c r="U373" s="334" t="n"/>
      <c r="V373" s="334" t="n"/>
      <c r="W373" s="334" t="n"/>
      <c r="X373" s="334" t="n"/>
      <c r="Y373" s="334" t="n"/>
    </row>
    <row r="374" ht="15" customHeight="1" s="195">
      <c r="A374" s="280" t="n"/>
      <c r="B374" s="280" t="n"/>
      <c r="C374" s="280" t="n"/>
      <c r="D374" s="280" t="n"/>
      <c r="E374" s="280" t="n"/>
      <c r="F374" s="280" t="n"/>
      <c r="G374" s="280" t="n"/>
      <c r="H374" s="280" t="n"/>
      <c r="I374" s="332">
        <f>IFERROR(VLOOKUP(TEXT(H374,"0"),IPRESS!$A$3:$B$212,2,0),"")</f>
        <v/>
      </c>
      <c r="J374" s="280" t="n"/>
      <c r="K374" s="332">
        <f>IFERROR(VLOOKUP(TEXT(O374,"0"),CONDUCTORES!$A$3:$G$54,7,0),"")</f>
        <v/>
      </c>
      <c r="L374" s="280" t="n"/>
      <c r="M374" s="280" t="n"/>
      <c r="N374" s="333">
        <f>IFERROR(IF(L374*M374=0,"",L374*M374),"")</f>
        <v/>
      </c>
      <c r="O374" s="280" t="n"/>
      <c r="P374" s="332">
        <f>IFERROR(VLOOKUP(TEXT(O374,"0"),CONDUCTORES!$A$3:$G$54,2,0),"")</f>
        <v/>
      </c>
      <c r="Q374" s="332">
        <f>IFERROR(VLOOKUP(TEXT(O374,"0"),CONDUCTORES!$A$3:$H$54,6,0),"")</f>
        <v/>
      </c>
      <c r="R374" s="280" t="n"/>
      <c r="S374" s="280" t="n"/>
      <c r="T374" s="280" t="n"/>
      <c r="U374" s="280" t="n"/>
      <c r="V374" s="280" t="n"/>
      <c r="W374" s="280" t="n"/>
      <c r="X374" s="280" t="n"/>
      <c r="Y374" s="280" t="n"/>
    </row>
    <row r="375" ht="15" customHeight="1" s="195">
      <c r="A375" s="334" t="n"/>
      <c r="B375" s="334" t="n"/>
      <c r="C375" s="334" t="n"/>
      <c r="D375" s="334" t="n"/>
      <c r="E375" s="334" t="n"/>
      <c r="F375" s="334" t="n"/>
      <c r="G375" s="334" t="n"/>
      <c r="H375" s="334" t="n"/>
      <c r="I375" s="332">
        <f>IFERROR(VLOOKUP(TEXT(H375,"0"),IPRESS!$A$3:$B$212,2,0),"")</f>
        <v/>
      </c>
      <c r="J375" s="334" t="n"/>
      <c r="K375" s="332">
        <f>IFERROR(VLOOKUP(TEXT(O375,"0"),CONDUCTORES!$A$3:$G$54,7,0),"")</f>
        <v/>
      </c>
      <c r="L375" s="334" t="n"/>
      <c r="M375" s="334" t="n"/>
      <c r="N375" s="333">
        <f>IFERROR(IF(L375*M375=0,"",L375*M375),"")</f>
        <v/>
      </c>
      <c r="O375" s="334" t="n"/>
      <c r="P375" s="332">
        <f>IFERROR(VLOOKUP(TEXT(O375,"0"),CONDUCTORES!$A$3:$G$54,2,0),"")</f>
        <v/>
      </c>
      <c r="Q375" s="332">
        <f>IFERROR(VLOOKUP(TEXT(O375,"0"),CONDUCTORES!$A$3:$H$54,6,0),"")</f>
        <v/>
      </c>
      <c r="R375" s="334" t="n"/>
      <c r="S375" s="334" t="n"/>
      <c r="T375" s="334" t="n"/>
      <c r="U375" s="334" t="n"/>
      <c r="V375" s="334" t="n"/>
      <c r="W375" s="334" t="n"/>
      <c r="X375" s="334" t="n"/>
      <c r="Y375" s="334" t="n"/>
    </row>
    <row r="376" ht="15" customHeight="1" s="195">
      <c r="A376" s="280" t="n"/>
      <c r="B376" s="280" t="n"/>
      <c r="C376" s="280" t="n"/>
      <c r="D376" s="280" t="n"/>
      <c r="E376" s="280" t="n"/>
      <c r="F376" s="280" t="n"/>
      <c r="G376" s="280" t="n"/>
      <c r="H376" s="280" t="n"/>
      <c r="I376" s="332">
        <f>IFERROR(VLOOKUP(TEXT(H376,"0"),IPRESS!$A$3:$B$212,2,0),"")</f>
        <v/>
      </c>
      <c r="J376" s="280" t="n"/>
      <c r="K376" s="332">
        <f>IFERROR(VLOOKUP(TEXT(O376,"0"),CONDUCTORES!$A$3:$G$54,7,0),"")</f>
        <v/>
      </c>
      <c r="L376" s="280" t="n"/>
      <c r="M376" s="280" t="n"/>
      <c r="N376" s="333">
        <f>IFERROR(IF(L376*M376=0,"",L376*M376),"")</f>
        <v/>
      </c>
      <c r="O376" s="280" t="n"/>
      <c r="P376" s="332">
        <f>IFERROR(VLOOKUP(TEXT(O376,"0"),CONDUCTORES!$A$3:$G$54,2,0),"")</f>
        <v/>
      </c>
      <c r="Q376" s="332">
        <f>IFERROR(VLOOKUP(TEXT(O376,"0"),CONDUCTORES!$A$3:$H$54,6,0),"")</f>
        <v/>
      </c>
      <c r="R376" s="280" t="n"/>
      <c r="S376" s="280" t="n"/>
      <c r="T376" s="280" t="n"/>
      <c r="U376" s="280" t="n"/>
      <c r="V376" s="280" t="n"/>
      <c r="W376" s="280" t="n"/>
      <c r="X376" s="280" t="n"/>
      <c r="Y376" s="280" t="n"/>
    </row>
    <row r="377" ht="15" customHeight="1" s="195">
      <c r="A377" s="334" t="n"/>
      <c r="B377" s="334" t="n"/>
      <c r="C377" s="334" t="n"/>
      <c r="D377" s="334" t="n"/>
      <c r="E377" s="334" t="n"/>
      <c r="F377" s="334" t="n"/>
      <c r="G377" s="334" t="n"/>
      <c r="H377" s="334" t="n"/>
      <c r="I377" s="332">
        <f>IFERROR(VLOOKUP(TEXT(H377,"0"),IPRESS!$A$3:$B$212,2,0),"")</f>
        <v/>
      </c>
      <c r="J377" s="334" t="n"/>
      <c r="K377" s="332">
        <f>IFERROR(VLOOKUP(TEXT(O377,"0"),CONDUCTORES!$A$3:$G$54,7,0),"")</f>
        <v/>
      </c>
      <c r="L377" s="334" t="n"/>
      <c r="M377" s="334" t="n"/>
      <c r="N377" s="333">
        <f>IFERROR(IF(L377*M377=0,"",L377*M377),"")</f>
        <v/>
      </c>
      <c r="O377" s="334" t="n"/>
      <c r="P377" s="332">
        <f>IFERROR(VLOOKUP(TEXT(O377,"0"),CONDUCTORES!$A$3:$G$54,2,0),"")</f>
        <v/>
      </c>
      <c r="Q377" s="332">
        <f>IFERROR(VLOOKUP(TEXT(O377,"0"),CONDUCTORES!$A$3:$H$54,6,0),"")</f>
        <v/>
      </c>
      <c r="R377" s="334" t="n"/>
      <c r="S377" s="334" t="n"/>
      <c r="T377" s="334" t="n"/>
      <c r="U377" s="334" t="n"/>
      <c r="V377" s="334" t="n"/>
      <c r="W377" s="334" t="n"/>
      <c r="X377" s="334" t="n"/>
      <c r="Y377" s="334" t="n"/>
    </row>
    <row r="378" ht="15" customHeight="1" s="195">
      <c r="A378" s="280" t="n"/>
      <c r="B378" s="280" t="n"/>
      <c r="C378" s="280" t="n"/>
      <c r="D378" s="280" t="n"/>
      <c r="E378" s="280" t="n"/>
      <c r="F378" s="280" t="n"/>
      <c r="G378" s="280" t="n"/>
      <c r="H378" s="280" t="n"/>
      <c r="I378" s="332">
        <f>IFERROR(VLOOKUP(TEXT(H378,"0"),IPRESS!$A$3:$B$212,2,0),"")</f>
        <v/>
      </c>
      <c r="J378" s="280" t="n"/>
      <c r="K378" s="332">
        <f>IFERROR(VLOOKUP(TEXT(O378,"0"),CONDUCTORES!$A$3:$G$54,7,0),"")</f>
        <v/>
      </c>
      <c r="L378" s="280" t="n"/>
      <c r="M378" s="280" t="n"/>
      <c r="N378" s="333">
        <f>IFERROR(IF(L378*M378=0,"",L378*M378),"")</f>
        <v/>
      </c>
      <c r="O378" s="280" t="n"/>
      <c r="P378" s="332">
        <f>IFERROR(VLOOKUP(TEXT(O378,"0"),CONDUCTORES!$A$3:$G$54,2,0),"")</f>
        <v/>
      </c>
      <c r="Q378" s="332">
        <f>IFERROR(VLOOKUP(TEXT(O378,"0"),CONDUCTORES!$A$3:$H$54,6,0),"")</f>
        <v/>
      </c>
      <c r="R378" s="280" t="n"/>
      <c r="S378" s="280" t="n"/>
      <c r="T378" s="280" t="n"/>
      <c r="U378" s="280" t="n"/>
      <c r="V378" s="280" t="n"/>
      <c r="W378" s="280" t="n"/>
      <c r="X378" s="280" t="n"/>
      <c r="Y378" s="280" t="n"/>
    </row>
    <row r="379" ht="15" customHeight="1" s="195">
      <c r="A379" s="334" t="n"/>
      <c r="B379" s="334" t="n"/>
      <c r="C379" s="334" t="n"/>
      <c r="D379" s="334" t="n"/>
      <c r="E379" s="334" t="n"/>
      <c r="F379" s="334" t="n"/>
      <c r="G379" s="334" t="n"/>
      <c r="H379" s="334" t="n"/>
      <c r="I379" s="332">
        <f>IFERROR(VLOOKUP(TEXT(H379,"0"),IPRESS!$A$3:$B$212,2,0),"")</f>
        <v/>
      </c>
      <c r="J379" s="334" t="n"/>
      <c r="K379" s="332">
        <f>IFERROR(VLOOKUP(TEXT(O379,"0"),CONDUCTORES!$A$3:$G$54,7,0),"")</f>
        <v/>
      </c>
      <c r="L379" s="334" t="n"/>
      <c r="M379" s="334" t="n"/>
      <c r="N379" s="333">
        <f>IFERROR(IF(L379*M379=0,"",L379*M379),"")</f>
        <v/>
      </c>
      <c r="O379" s="334" t="n"/>
      <c r="P379" s="332">
        <f>IFERROR(VLOOKUP(TEXT(O379,"0"),CONDUCTORES!$A$3:$G$54,2,0),"")</f>
        <v/>
      </c>
      <c r="Q379" s="332">
        <f>IFERROR(VLOOKUP(TEXT(O379,"0"),CONDUCTORES!$A$3:$H$54,6,0),"")</f>
        <v/>
      </c>
      <c r="R379" s="334" t="n"/>
      <c r="S379" s="334" t="n"/>
      <c r="T379" s="334" t="n"/>
      <c r="U379" s="334" t="n"/>
      <c r="V379" s="334" t="n"/>
      <c r="W379" s="334" t="n"/>
      <c r="X379" s="334" t="n"/>
      <c r="Y379" s="334" t="n"/>
    </row>
    <row r="380" ht="15" customHeight="1" s="195">
      <c r="A380" s="280" t="n"/>
      <c r="B380" s="280" t="n"/>
      <c r="C380" s="280" t="n"/>
      <c r="D380" s="280" t="n"/>
      <c r="E380" s="280" t="n"/>
      <c r="F380" s="280" t="n"/>
      <c r="G380" s="280" t="n"/>
      <c r="H380" s="280" t="n"/>
      <c r="I380" s="332">
        <f>IFERROR(VLOOKUP(TEXT(H380,"0"),IPRESS!$A$3:$B$212,2,0),"")</f>
        <v/>
      </c>
      <c r="J380" s="280" t="n"/>
      <c r="K380" s="332">
        <f>IFERROR(VLOOKUP(TEXT(O380,"0"),CONDUCTORES!$A$3:$G$54,7,0),"")</f>
        <v/>
      </c>
      <c r="L380" s="280" t="n"/>
      <c r="M380" s="280" t="n"/>
      <c r="N380" s="333">
        <f>IFERROR(IF(L380*M380=0,"",L380*M380),"")</f>
        <v/>
      </c>
      <c r="O380" s="280" t="n"/>
      <c r="P380" s="332">
        <f>IFERROR(VLOOKUP(TEXT(O380,"0"),CONDUCTORES!$A$3:$G$54,2,0),"")</f>
        <v/>
      </c>
      <c r="Q380" s="332">
        <f>IFERROR(VLOOKUP(TEXT(O380,"0"),CONDUCTORES!$A$3:$H$54,6,0),"")</f>
        <v/>
      </c>
      <c r="R380" s="280" t="n"/>
      <c r="S380" s="280" t="n"/>
      <c r="T380" s="280" t="n"/>
      <c r="U380" s="280" t="n"/>
      <c r="V380" s="280" t="n"/>
      <c r="W380" s="280" t="n"/>
      <c r="X380" s="280" t="n"/>
      <c r="Y380" s="280" t="n"/>
    </row>
    <row r="381" ht="15" customHeight="1" s="195">
      <c r="A381" s="334" t="n"/>
      <c r="B381" s="334" t="n"/>
      <c r="C381" s="334" t="n"/>
      <c r="D381" s="334" t="n"/>
      <c r="E381" s="334" t="n"/>
      <c r="F381" s="334" t="n"/>
      <c r="G381" s="334" t="n"/>
      <c r="H381" s="334" t="n"/>
      <c r="I381" s="332">
        <f>IFERROR(VLOOKUP(TEXT(H381,"0"),IPRESS!$A$3:$B$212,2,0),"")</f>
        <v/>
      </c>
      <c r="J381" s="334" t="n"/>
      <c r="K381" s="332">
        <f>IFERROR(VLOOKUP(TEXT(O381,"0"),CONDUCTORES!$A$3:$G$54,7,0),"")</f>
        <v/>
      </c>
      <c r="L381" s="334" t="n"/>
      <c r="M381" s="334" t="n"/>
      <c r="N381" s="333">
        <f>IFERROR(IF(L381*M381=0,"",L381*M381),"")</f>
        <v/>
      </c>
      <c r="O381" s="334" t="n"/>
      <c r="P381" s="332">
        <f>IFERROR(VLOOKUP(TEXT(O381,"0"),CONDUCTORES!$A$3:$G$54,2,0),"")</f>
        <v/>
      </c>
      <c r="Q381" s="332">
        <f>IFERROR(VLOOKUP(TEXT(O381,"0"),CONDUCTORES!$A$3:$H$54,6,0),"")</f>
        <v/>
      </c>
      <c r="R381" s="334" t="n"/>
      <c r="S381" s="334" t="n"/>
      <c r="T381" s="334" t="n"/>
      <c r="U381" s="334" t="n"/>
      <c r="V381" s="334" t="n"/>
      <c r="W381" s="334" t="n"/>
      <c r="X381" s="334" t="n"/>
      <c r="Y381" s="334" t="n"/>
    </row>
    <row r="382" ht="15" customHeight="1" s="195">
      <c r="A382" s="280" t="n"/>
      <c r="B382" s="280" t="n"/>
      <c r="C382" s="280" t="n"/>
      <c r="D382" s="280" t="n"/>
      <c r="E382" s="280" t="n"/>
      <c r="F382" s="280" t="n"/>
      <c r="G382" s="280" t="n"/>
      <c r="H382" s="280" t="n"/>
      <c r="I382" s="332">
        <f>IFERROR(VLOOKUP(TEXT(H382,"0"),IPRESS!$A$3:$B$212,2,0),"")</f>
        <v/>
      </c>
      <c r="J382" s="280" t="n"/>
      <c r="K382" s="332">
        <f>IFERROR(VLOOKUP(TEXT(O382,"0"),CONDUCTORES!$A$3:$G$54,7,0),"")</f>
        <v/>
      </c>
      <c r="L382" s="280" t="n"/>
      <c r="M382" s="280" t="n"/>
      <c r="N382" s="333">
        <f>IFERROR(IF(L382*M382=0,"",L382*M382),"")</f>
        <v/>
      </c>
      <c r="O382" s="280" t="n"/>
      <c r="P382" s="332">
        <f>IFERROR(VLOOKUP(TEXT(O382,"0"),CONDUCTORES!$A$3:$G$54,2,0),"")</f>
        <v/>
      </c>
      <c r="Q382" s="332">
        <f>IFERROR(VLOOKUP(TEXT(O382,"0"),CONDUCTORES!$A$3:$H$54,6,0),"")</f>
        <v/>
      </c>
      <c r="R382" s="280" t="n"/>
      <c r="S382" s="280" t="n"/>
      <c r="T382" s="280" t="n"/>
      <c r="U382" s="280" t="n"/>
      <c r="V382" s="280" t="n"/>
      <c r="W382" s="280" t="n"/>
      <c r="X382" s="280" t="n"/>
      <c r="Y382" s="280" t="n"/>
    </row>
    <row r="383" ht="15" customHeight="1" s="195">
      <c r="A383" s="334" t="n"/>
      <c r="B383" s="334" t="n"/>
      <c r="C383" s="334" t="n"/>
      <c r="D383" s="334" t="n"/>
      <c r="E383" s="334" t="n"/>
      <c r="F383" s="334" t="n"/>
      <c r="G383" s="334" t="n"/>
      <c r="H383" s="334" t="n"/>
      <c r="I383" s="332">
        <f>IFERROR(VLOOKUP(TEXT(H383,"0"),IPRESS!$A$3:$B$212,2,0),"")</f>
        <v/>
      </c>
      <c r="J383" s="334" t="n"/>
      <c r="K383" s="332">
        <f>IFERROR(VLOOKUP(TEXT(O383,"0"),CONDUCTORES!$A$3:$G$54,7,0),"")</f>
        <v/>
      </c>
      <c r="L383" s="334" t="n"/>
      <c r="M383" s="334" t="n"/>
      <c r="N383" s="333">
        <f>IFERROR(IF(L383*M383=0,"",L383*M383),"")</f>
        <v/>
      </c>
      <c r="O383" s="334" t="n"/>
      <c r="P383" s="332">
        <f>IFERROR(VLOOKUP(TEXT(O383,"0"),CONDUCTORES!$A$3:$G$54,2,0),"")</f>
        <v/>
      </c>
      <c r="Q383" s="332">
        <f>IFERROR(VLOOKUP(TEXT(O383,"0"),CONDUCTORES!$A$3:$H$54,6,0),"")</f>
        <v/>
      </c>
      <c r="R383" s="334" t="n"/>
      <c r="S383" s="334" t="n"/>
      <c r="T383" s="334" t="n"/>
      <c r="U383" s="334" t="n"/>
      <c r="V383" s="334" t="n"/>
      <c r="W383" s="334" t="n"/>
      <c r="X383" s="334" t="n"/>
      <c r="Y383" s="334" t="n"/>
    </row>
    <row r="384" ht="15" customHeight="1" s="195">
      <c r="A384" s="280" t="n"/>
      <c r="B384" s="280" t="n"/>
      <c r="C384" s="280" t="n"/>
      <c r="D384" s="280" t="n"/>
      <c r="E384" s="280" t="n"/>
      <c r="F384" s="280" t="n"/>
      <c r="G384" s="280" t="n"/>
      <c r="H384" s="280" t="n"/>
      <c r="I384" s="332">
        <f>IFERROR(VLOOKUP(TEXT(H384,"0"),IPRESS!$A$3:$B$212,2,0),"")</f>
        <v/>
      </c>
      <c r="J384" s="280" t="n"/>
      <c r="K384" s="332">
        <f>IFERROR(VLOOKUP(TEXT(O384,"0"),CONDUCTORES!$A$3:$G$54,7,0),"")</f>
        <v/>
      </c>
      <c r="L384" s="280" t="n"/>
      <c r="M384" s="280" t="n"/>
      <c r="N384" s="333">
        <f>IFERROR(IF(L384*M384=0,"",L384*M384),"")</f>
        <v/>
      </c>
      <c r="O384" s="280" t="n"/>
      <c r="P384" s="332">
        <f>IFERROR(VLOOKUP(TEXT(O384,"0"),CONDUCTORES!$A$3:$G$54,2,0),"")</f>
        <v/>
      </c>
      <c r="Q384" s="332">
        <f>IFERROR(VLOOKUP(TEXT(O384,"0"),CONDUCTORES!$A$3:$H$54,6,0),"")</f>
        <v/>
      </c>
      <c r="R384" s="280" t="n"/>
      <c r="S384" s="280" t="n"/>
      <c r="T384" s="280" t="n"/>
      <c r="U384" s="280" t="n"/>
      <c r="V384" s="280" t="n"/>
      <c r="W384" s="280" t="n"/>
      <c r="X384" s="280" t="n"/>
      <c r="Y384" s="280" t="n"/>
    </row>
    <row r="385" ht="15" customHeight="1" s="195">
      <c r="A385" s="334" t="n"/>
      <c r="B385" s="334" t="n"/>
      <c r="C385" s="334" t="n"/>
      <c r="D385" s="334" t="n"/>
      <c r="E385" s="334" t="n"/>
      <c r="F385" s="334" t="n"/>
      <c r="G385" s="334" t="n"/>
      <c r="H385" s="334" t="n"/>
      <c r="I385" s="332">
        <f>IFERROR(VLOOKUP(TEXT(H385,"0"),IPRESS!$A$3:$B$212,2,0),"")</f>
        <v/>
      </c>
      <c r="J385" s="334" t="n"/>
      <c r="K385" s="332">
        <f>IFERROR(VLOOKUP(TEXT(O385,"0"),CONDUCTORES!$A$3:$G$54,7,0),"")</f>
        <v/>
      </c>
      <c r="L385" s="334" t="n"/>
      <c r="M385" s="334" t="n"/>
      <c r="N385" s="333">
        <f>IFERROR(IF(L385*M385=0,"",L385*M385),"")</f>
        <v/>
      </c>
      <c r="O385" s="334" t="n"/>
      <c r="P385" s="332">
        <f>IFERROR(VLOOKUP(TEXT(O385,"0"),CONDUCTORES!$A$3:$G$54,2,0),"")</f>
        <v/>
      </c>
      <c r="Q385" s="332">
        <f>IFERROR(VLOOKUP(TEXT(O385,"0"),CONDUCTORES!$A$3:$H$54,6,0),"")</f>
        <v/>
      </c>
      <c r="R385" s="334" t="n"/>
      <c r="S385" s="334" t="n"/>
      <c r="T385" s="334" t="n"/>
      <c r="U385" s="334" t="n"/>
      <c r="V385" s="334" t="n"/>
      <c r="W385" s="334" t="n"/>
      <c r="X385" s="334" t="n"/>
      <c r="Y385" s="334" t="n"/>
    </row>
    <row r="386" ht="15" customHeight="1" s="195">
      <c r="A386" s="280" t="n"/>
      <c r="B386" s="280" t="n"/>
      <c r="C386" s="280" t="n"/>
      <c r="D386" s="280" t="n"/>
      <c r="E386" s="280" t="n"/>
      <c r="F386" s="280" t="n"/>
      <c r="G386" s="280" t="n"/>
      <c r="H386" s="280" t="n"/>
      <c r="I386" s="332">
        <f>IFERROR(VLOOKUP(TEXT(H386,"0"),IPRESS!$A$3:$B$212,2,0),"")</f>
        <v/>
      </c>
      <c r="J386" s="280" t="n"/>
      <c r="K386" s="332">
        <f>IFERROR(VLOOKUP(TEXT(O386,"0"),CONDUCTORES!$A$3:$G$54,7,0),"")</f>
        <v/>
      </c>
      <c r="L386" s="280" t="n"/>
      <c r="M386" s="280" t="n"/>
      <c r="N386" s="333">
        <f>IFERROR(IF(L386*M386=0,"",L386*M386),"")</f>
        <v/>
      </c>
      <c r="O386" s="280" t="n"/>
      <c r="P386" s="332">
        <f>IFERROR(VLOOKUP(TEXT(O386,"0"),CONDUCTORES!$A$3:$G$54,2,0),"")</f>
        <v/>
      </c>
      <c r="Q386" s="332">
        <f>IFERROR(VLOOKUP(TEXT(O386,"0"),CONDUCTORES!$A$3:$H$54,6,0),"")</f>
        <v/>
      </c>
      <c r="R386" s="280" t="n"/>
      <c r="S386" s="280" t="n"/>
      <c r="T386" s="280" t="n"/>
      <c r="U386" s="280" t="n"/>
      <c r="V386" s="280" t="n"/>
      <c r="W386" s="280" t="n"/>
      <c r="X386" s="280" t="n"/>
      <c r="Y386" s="280" t="n"/>
    </row>
    <row r="387" ht="15" customHeight="1" s="195">
      <c r="A387" s="334" t="n"/>
      <c r="B387" s="334" t="n"/>
      <c r="C387" s="334" t="n"/>
      <c r="D387" s="334" t="n"/>
      <c r="E387" s="334" t="n"/>
      <c r="F387" s="334" t="n"/>
      <c r="G387" s="334" t="n"/>
      <c r="H387" s="334" t="n"/>
      <c r="I387" s="332">
        <f>IFERROR(VLOOKUP(TEXT(H387,"0"),IPRESS!$A$3:$B$212,2,0),"")</f>
        <v/>
      </c>
      <c r="J387" s="334" t="n"/>
      <c r="K387" s="332">
        <f>IFERROR(VLOOKUP(TEXT(O387,"0"),CONDUCTORES!$A$3:$G$54,7,0),"")</f>
        <v/>
      </c>
      <c r="L387" s="334" t="n"/>
      <c r="M387" s="334" t="n"/>
      <c r="N387" s="333">
        <f>IFERROR(IF(L387*M387=0,"",L387*M387),"")</f>
        <v/>
      </c>
      <c r="O387" s="334" t="n"/>
      <c r="P387" s="332">
        <f>IFERROR(VLOOKUP(TEXT(O387,"0"),CONDUCTORES!$A$3:$G$54,2,0),"")</f>
        <v/>
      </c>
      <c r="Q387" s="332">
        <f>IFERROR(VLOOKUP(TEXT(O387,"0"),CONDUCTORES!$A$3:$H$54,6,0),"")</f>
        <v/>
      </c>
      <c r="R387" s="334" t="n"/>
      <c r="S387" s="334" t="n"/>
      <c r="T387" s="334" t="n"/>
      <c r="U387" s="334" t="n"/>
      <c r="V387" s="334" t="n"/>
      <c r="W387" s="334" t="n"/>
      <c r="X387" s="334" t="n"/>
      <c r="Y387" s="334" t="n"/>
    </row>
    <row r="388" ht="15" customHeight="1" s="195">
      <c r="A388" s="280" t="n"/>
      <c r="B388" s="280" t="n"/>
      <c r="C388" s="280" t="n"/>
      <c r="D388" s="280" t="n"/>
      <c r="E388" s="280" t="n"/>
      <c r="F388" s="280" t="n"/>
      <c r="G388" s="280" t="n"/>
      <c r="H388" s="280" t="n"/>
      <c r="I388" s="332">
        <f>IFERROR(VLOOKUP(TEXT(H388,"0"),IPRESS!$A$3:$B$212,2,0),"")</f>
        <v/>
      </c>
      <c r="J388" s="280" t="n"/>
      <c r="K388" s="332">
        <f>IFERROR(VLOOKUP(TEXT(O388,"0"),CONDUCTORES!$A$3:$G$54,7,0),"")</f>
        <v/>
      </c>
      <c r="L388" s="280" t="n"/>
      <c r="M388" s="280" t="n"/>
      <c r="N388" s="333">
        <f>IFERROR(IF(L388*M388=0,"",L388*M388),"")</f>
        <v/>
      </c>
      <c r="O388" s="280" t="n"/>
      <c r="P388" s="332">
        <f>IFERROR(VLOOKUP(TEXT(O388,"0"),CONDUCTORES!$A$3:$G$54,2,0),"")</f>
        <v/>
      </c>
      <c r="Q388" s="332">
        <f>IFERROR(VLOOKUP(TEXT(O388,"0"),CONDUCTORES!$A$3:$H$54,6,0),"")</f>
        <v/>
      </c>
      <c r="R388" s="280" t="n"/>
      <c r="S388" s="280" t="n"/>
      <c r="T388" s="280" t="n"/>
      <c r="U388" s="280" t="n"/>
      <c r="V388" s="280" t="n"/>
      <c r="W388" s="280" t="n"/>
      <c r="X388" s="280" t="n"/>
      <c r="Y388" s="280" t="n"/>
    </row>
    <row r="389" ht="15" customHeight="1" s="195">
      <c r="A389" s="334" t="n"/>
      <c r="B389" s="334" t="n"/>
      <c r="C389" s="334" t="n"/>
      <c r="D389" s="334" t="n"/>
      <c r="E389" s="334" t="n"/>
      <c r="F389" s="334" t="n"/>
      <c r="G389" s="334" t="n"/>
      <c r="H389" s="334" t="n"/>
      <c r="I389" s="332">
        <f>IFERROR(VLOOKUP(TEXT(H389,"0"),IPRESS!$A$3:$B$212,2,0),"")</f>
        <v/>
      </c>
      <c r="J389" s="334" t="n"/>
      <c r="K389" s="332">
        <f>IFERROR(VLOOKUP(TEXT(O389,"0"),CONDUCTORES!$A$3:$G$54,7,0),"")</f>
        <v/>
      </c>
      <c r="L389" s="334" t="n"/>
      <c r="M389" s="334" t="n"/>
      <c r="N389" s="333">
        <f>IFERROR(IF(L389*M389=0,"",L389*M389),"")</f>
        <v/>
      </c>
      <c r="O389" s="334" t="n"/>
      <c r="P389" s="332">
        <f>IFERROR(VLOOKUP(TEXT(O389,"0"),CONDUCTORES!$A$3:$G$54,2,0),"")</f>
        <v/>
      </c>
      <c r="Q389" s="332">
        <f>IFERROR(VLOOKUP(TEXT(O389,"0"),CONDUCTORES!$A$3:$H$54,6,0),"")</f>
        <v/>
      </c>
      <c r="R389" s="334" t="n"/>
      <c r="S389" s="334" t="n"/>
      <c r="T389" s="334" t="n"/>
      <c r="U389" s="334" t="n"/>
      <c r="V389" s="334" t="n"/>
      <c r="W389" s="334" t="n"/>
      <c r="X389" s="334" t="n"/>
      <c r="Y389" s="334" t="n"/>
    </row>
    <row r="390" ht="15" customHeight="1" s="195">
      <c r="A390" s="280" t="n"/>
      <c r="B390" s="280" t="n"/>
      <c r="C390" s="280" t="n"/>
      <c r="D390" s="280" t="n"/>
      <c r="E390" s="280" t="n"/>
      <c r="F390" s="280" t="n"/>
      <c r="G390" s="280" t="n"/>
      <c r="H390" s="280" t="n"/>
      <c r="I390" s="332">
        <f>IFERROR(VLOOKUP(TEXT(H390,"0"),IPRESS!$A$3:$B$212,2,0),"")</f>
        <v/>
      </c>
      <c r="J390" s="280" t="n"/>
      <c r="K390" s="332">
        <f>IFERROR(VLOOKUP(TEXT(O390,"0"),CONDUCTORES!$A$3:$G$54,7,0),"")</f>
        <v/>
      </c>
      <c r="L390" s="280" t="n"/>
      <c r="M390" s="280" t="n"/>
      <c r="N390" s="333">
        <f>IFERROR(IF(L390*M390=0,"",L390*M390),"")</f>
        <v/>
      </c>
      <c r="O390" s="280" t="n"/>
      <c r="P390" s="332">
        <f>IFERROR(VLOOKUP(TEXT(O390,"0"),CONDUCTORES!$A$3:$G$54,2,0),"")</f>
        <v/>
      </c>
      <c r="Q390" s="332">
        <f>IFERROR(VLOOKUP(TEXT(O390,"0"),CONDUCTORES!$A$3:$H$54,6,0),"")</f>
        <v/>
      </c>
      <c r="R390" s="280" t="n"/>
      <c r="S390" s="280" t="n"/>
      <c r="T390" s="280" t="n"/>
      <c r="U390" s="280" t="n"/>
      <c r="V390" s="280" t="n"/>
      <c r="W390" s="280" t="n"/>
      <c r="X390" s="280" t="n"/>
      <c r="Y390" s="280" t="n"/>
    </row>
    <row r="391" ht="15" customHeight="1" s="195">
      <c r="A391" s="334" t="n"/>
      <c r="B391" s="334" t="n"/>
      <c r="C391" s="334" t="n"/>
      <c r="D391" s="334" t="n"/>
      <c r="E391" s="334" t="n"/>
      <c r="F391" s="334" t="n"/>
      <c r="G391" s="334" t="n"/>
      <c r="H391" s="334" t="n"/>
      <c r="I391" s="332">
        <f>IFERROR(VLOOKUP(TEXT(H391,"0"),IPRESS!$A$3:$B$212,2,0),"")</f>
        <v/>
      </c>
      <c r="J391" s="334" t="n"/>
      <c r="K391" s="332">
        <f>IFERROR(VLOOKUP(TEXT(O391,"0"),CONDUCTORES!$A$3:$G$54,7,0),"")</f>
        <v/>
      </c>
      <c r="L391" s="334" t="n"/>
      <c r="M391" s="334" t="n"/>
      <c r="N391" s="333">
        <f>IFERROR(IF(L391*M391=0,"",L391*M391),"")</f>
        <v/>
      </c>
      <c r="O391" s="334" t="n"/>
      <c r="P391" s="332">
        <f>IFERROR(VLOOKUP(TEXT(O391,"0"),CONDUCTORES!$A$3:$G$54,2,0),"")</f>
        <v/>
      </c>
      <c r="Q391" s="332">
        <f>IFERROR(VLOOKUP(TEXT(O391,"0"),CONDUCTORES!$A$3:$H$54,6,0),"")</f>
        <v/>
      </c>
      <c r="R391" s="334" t="n"/>
      <c r="S391" s="334" t="n"/>
      <c r="T391" s="334" t="n"/>
      <c r="U391" s="334" t="n"/>
      <c r="V391" s="334" t="n"/>
      <c r="W391" s="334" t="n"/>
      <c r="X391" s="334" t="n"/>
      <c r="Y391" s="334" t="n"/>
    </row>
    <row r="392" ht="15" customHeight="1" s="195">
      <c r="A392" s="280" t="n"/>
      <c r="B392" s="280" t="n"/>
      <c r="C392" s="280" t="n"/>
      <c r="D392" s="280" t="n"/>
      <c r="E392" s="280" t="n"/>
      <c r="F392" s="280" t="n"/>
      <c r="G392" s="280" t="n"/>
      <c r="H392" s="280" t="n"/>
      <c r="I392" s="332">
        <f>IFERROR(VLOOKUP(TEXT(H392,"0"),IPRESS!$A$3:$B$212,2,0),"")</f>
        <v/>
      </c>
      <c r="J392" s="280" t="n"/>
      <c r="K392" s="332">
        <f>IFERROR(VLOOKUP(TEXT(O392,"0"),CONDUCTORES!$A$3:$G$54,7,0),"")</f>
        <v/>
      </c>
      <c r="L392" s="280" t="n"/>
      <c r="M392" s="280" t="n"/>
      <c r="N392" s="333">
        <f>IFERROR(IF(L392*M392=0,"",L392*M392),"")</f>
        <v/>
      </c>
      <c r="O392" s="280" t="n"/>
      <c r="P392" s="332">
        <f>IFERROR(VLOOKUP(TEXT(O392,"0"),CONDUCTORES!$A$3:$G$54,2,0),"")</f>
        <v/>
      </c>
      <c r="Q392" s="332">
        <f>IFERROR(VLOOKUP(TEXT(O392,"0"),CONDUCTORES!$A$3:$H$54,6,0),"")</f>
        <v/>
      </c>
      <c r="R392" s="280" t="n"/>
      <c r="S392" s="280" t="n"/>
      <c r="T392" s="280" t="n"/>
      <c r="U392" s="280" t="n"/>
      <c r="V392" s="280" t="n"/>
      <c r="W392" s="280" t="n"/>
      <c r="X392" s="280" t="n"/>
      <c r="Y392" s="280" t="n"/>
    </row>
    <row r="393" ht="15" customHeight="1" s="195">
      <c r="A393" s="334" t="n"/>
      <c r="B393" s="334" t="n"/>
      <c r="C393" s="334" t="n"/>
      <c r="D393" s="334" t="n"/>
      <c r="E393" s="334" t="n"/>
      <c r="F393" s="334" t="n"/>
      <c r="G393" s="334" t="n"/>
      <c r="H393" s="334" t="n"/>
      <c r="I393" s="332">
        <f>IFERROR(VLOOKUP(TEXT(H393,"0"),IPRESS!$A$3:$B$212,2,0),"")</f>
        <v/>
      </c>
      <c r="J393" s="334" t="n"/>
      <c r="K393" s="332">
        <f>IFERROR(VLOOKUP(TEXT(O393,"0"),CONDUCTORES!$A$3:$G$54,7,0),"")</f>
        <v/>
      </c>
      <c r="L393" s="334" t="n"/>
      <c r="M393" s="334" t="n"/>
      <c r="N393" s="333">
        <f>IFERROR(IF(L393*M393=0,"",L393*M393),"")</f>
        <v/>
      </c>
      <c r="O393" s="334" t="n"/>
      <c r="P393" s="332">
        <f>IFERROR(VLOOKUP(TEXT(O393,"0"),CONDUCTORES!$A$3:$G$54,2,0),"")</f>
        <v/>
      </c>
      <c r="Q393" s="332">
        <f>IFERROR(VLOOKUP(TEXT(O393,"0"),CONDUCTORES!$A$3:$H$54,6,0),"")</f>
        <v/>
      </c>
      <c r="R393" s="334" t="n"/>
      <c r="S393" s="334" t="n"/>
      <c r="T393" s="334" t="n"/>
      <c r="U393" s="334" t="n"/>
      <c r="V393" s="334" t="n"/>
      <c r="W393" s="334" t="n"/>
      <c r="X393" s="334" t="n"/>
      <c r="Y393" s="334" t="n"/>
    </row>
    <row r="394" ht="15" customHeight="1" s="195">
      <c r="A394" s="280" t="n"/>
      <c r="B394" s="280" t="n"/>
      <c r="C394" s="280" t="n"/>
      <c r="D394" s="280" t="n"/>
      <c r="E394" s="280" t="n"/>
      <c r="F394" s="280" t="n"/>
      <c r="G394" s="280" t="n"/>
      <c r="H394" s="280" t="n"/>
      <c r="I394" s="332">
        <f>IFERROR(VLOOKUP(TEXT(H394,"0"),IPRESS!$A$3:$B$212,2,0),"")</f>
        <v/>
      </c>
      <c r="J394" s="280" t="n"/>
      <c r="K394" s="332">
        <f>IFERROR(VLOOKUP(TEXT(O394,"0"),CONDUCTORES!$A$3:$G$54,7,0),"")</f>
        <v/>
      </c>
      <c r="L394" s="280" t="n"/>
      <c r="M394" s="280" t="n"/>
      <c r="N394" s="333">
        <f>IFERROR(IF(L394*M394=0,"",L394*M394),"")</f>
        <v/>
      </c>
      <c r="O394" s="280" t="n"/>
      <c r="P394" s="332">
        <f>IFERROR(VLOOKUP(TEXT(O394,"0"),CONDUCTORES!$A$3:$G$54,2,0),"")</f>
        <v/>
      </c>
      <c r="Q394" s="332">
        <f>IFERROR(VLOOKUP(TEXT(O394,"0"),CONDUCTORES!$A$3:$H$54,6,0),"")</f>
        <v/>
      </c>
      <c r="R394" s="280" t="n"/>
      <c r="S394" s="280" t="n"/>
      <c r="T394" s="280" t="n"/>
      <c r="U394" s="280" t="n"/>
      <c r="V394" s="280" t="n"/>
      <c r="W394" s="280" t="n"/>
      <c r="X394" s="280" t="n"/>
      <c r="Y394" s="280" t="n"/>
    </row>
    <row r="395" ht="15" customHeight="1" s="195">
      <c r="A395" s="334" t="n"/>
      <c r="B395" s="334" t="n"/>
      <c r="C395" s="334" t="n"/>
      <c r="D395" s="334" t="n"/>
      <c r="E395" s="334" t="n"/>
      <c r="F395" s="334" t="n"/>
      <c r="G395" s="334" t="n"/>
      <c r="H395" s="334" t="n"/>
      <c r="I395" s="332">
        <f>IFERROR(VLOOKUP(TEXT(H395,"0"),IPRESS!$A$3:$B$212,2,0),"")</f>
        <v/>
      </c>
      <c r="J395" s="334" t="n"/>
      <c r="K395" s="332">
        <f>IFERROR(VLOOKUP(TEXT(O395,"0"),CONDUCTORES!$A$3:$G$54,7,0),"")</f>
        <v/>
      </c>
      <c r="L395" s="334" t="n"/>
      <c r="M395" s="334" t="n"/>
      <c r="N395" s="333">
        <f>IFERROR(IF(L395*M395=0,"",L395*M395),"")</f>
        <v/>
      </c>
      <c r="O395" s="334" t="n"/>
      <c r="P395" s="332">
        <f>IFERROR(VLOOKUP(TEXT(O395,"0"),CONDUCTORES!$A$3:$G$54,2,0),"")</f>
        <v/>
      </c>
      <c r="Q395" s="332">
        <f>IFERROR(VLOOKUP(TEXT(O395,"0"),CONDUCTORES!$A$3:$H$54,6,0),"")</f>
        <v/>
      </c>
      <c r="R395" s="334" t="n"/>
      <c r="S395" s="334" t="n"/>
      <c r="T395" s="334" t="n"/>
      <c r="U395" s="334" t="n"/>
      <c r="V395" s="334" t="n"/>
      <c r="W395" s="334" t="n"/>
      <c r="X395" s="334" t="n"/>
      <c r="Y395" s="334" t="n"/>
    </row>
    <row r="396" ht="15" customHeight="1" s="195">
      <c r="A396" s="280" t="n"/>
      <c r="B396" s="280" t="n"/>
      <c r="C396" s="280" t="n"/>
      <c r="D396" s="280" t="n"/>
      <c r="E396" s="280" t="n"/>
      <c r="F396" s="280" t="n"/>
      <c r="G396" s="280" t="n"/>
      <c r="H396" s="280" t="n"/>
      <c r="I396" s="332">
        <f>IFERROR(VLOOKUP(TEXT(H396,"0"),IPRESS!$A$3:$B$212,2,0),"")</f>
        <v/>
      </c>
      <c r="J396" s="280" t="n"/>
      <c r="K396" s="332">
        <f>IFERROR(VLOOKUP(TEXT(O396,"0"),CONDUCTORES!$A$3:$G$54,7,0),"")</f>
        <v/>
      </c>
      <c r="L396" s="280" t="n"/>
      <c r="M396" s="280" t="n"/>
      <c r="N396" s="333">
        <f>IFERROR(IF(L396*M396=0,"",L396*M396),"")</f>
        <v/>
      </c>
      <c r="O396" s="280" t="n"/>
      <c r="P396" s="332">
        <f>IFERROR(VLOOKUP(TEXT(O396,"0"),CONDUCTORES!$A$3:$G$54,2,0),"")</f>
        <v/>
      </c>
      <c r="Q396" s="332">
        <f>IFERROR(VLOOKUP(TEXT(O396,"0"),CONDUCTORES!$A$3:$H$54,6,0),"")</f>
        <v/>
      </c>
      <c r="R396" s="280" t="n"/>
      <c r="S396" s="280" t="n"/>
      <c r="T396" s="280" t="n"/>
      <c r="U396" s="280" t="n"/>
      <c r="V396" s="280" t="n"/>
      <c r="W396" s="280" t="n"/>
      <c r="X396" s="280" t="n"/>
      <c r="Y396" s="280" t="n"/>
    </row>
    <row r="397" ht="15" customHeight="1" s="195">
      <c r="A397" s="334" t="n"/>
      <c r="B397" s="334" t="n"/>
      <c r="C397" s="334" t="n"/>
      <c r="D397" s="334" t="n"/>
      <c r="E397" s="334" t="n"/>
      <c r="F397" s="334" t="n"/>
      <c r="G397" s="334" t="n"/>
      <c r="H397" s="334" t="n"/>
      <c r="I397" s="332">
        <f>IFERROR(VLOOKUP(TEXT(H397,"0"),IPRESS!$A$3:$B$212,2,0),"")</f>
        <v/>
      </c>
      <c r="J397" s="334" t="n"/>
      <c r="K397" s="332">
        <f>IFERROR(VLOOKUP(TEXT(O397,"0"),CONDUCTORES!$A$3:$G$54,7,0),"")</f>
        <v/>
      </c>
      <c r="L397" s="334" t="n"/>
      <c r="M397" s="334" t="n"/>
      <c r="N397" s="333">
        <f>IFERROR(IF(L397*M397=0,"",L397*M397),"")</f>
        <v/>
      </c>
      <c r="O397" s="334" t="n"/>
      <c r="P397" s="332">
        <f>IFERROR(VLOOKUP(TEXT(O397,"0"),CONDUCTORES!$A$3:$G$54,2,0),"")</f>
        <v/>
      </c>
      <c r="Q397" s="332">
        <f>IFERROR(VLOOKUP(TEXT(O397,"0"),CONDUCTORES!$A$3:$H$54,6,0),"")</f>
        <v/>
      </c>
      <c r="R397" s="334" t="n"/>
      <c r="S397" s="334" t="n"/>
      <c r="T397" s="334" t="n"/>
      <c r="U397" s="334" t="n"/>
      <c r="V397" s="334" t="n"/>
      <c r="W397" s="334" t="n"/>
      <c r="X397" s="334" t="n"/>
      <c r="Y397" s="334" t="n"/>
    </row>
    <row r="398" ht="15" customHeight="1" s="195">
      <c r="A398" s="280" t="n"/>
      <c r="B398" s="280" t="n"/>
      <c r="C398" s="280" t="n"/>
      <c r="D398" s="280" t="n"/>
      <c r="E398" s="280" t="n"/>
      <c r="F398" s="280" t="n"/>
      <c r="G398" s="280" t="n"/>
      <c r="H398" s="280" t="n"/>
      <c r="I398" s="332">
        <f>IFERROR(VLOOKUP(TEXT(H398,"0"),IPRESS!$A$3:$B$212,2,0),"")</f>
        <v/>
      </c>
      <c r="J398" s="280" t="n"/>
      <c r="K398" s="332">
        <f>IFERROR(VLOOKUP(TEXT(O398,"0"),CONDUCTORES!$A$3:$G$54,7,0),"")</f>
        <v/>
      </c>
      <c r="L398" s="280" t="n"/>
      <c r="M398" s="280" t="n"/>
      <c r="N398" s="333">
        <f>IFERROR(IF(L398*M398=0,"",L398*M398),"")</f>
        <v/>
      </c>
      <c r="O398" s="280" t="n"/>
      <c r="P398" s="332">
        <f>IFERROR(VLOOKUP(TEXT(O398,"0"),CONDUCTORES!$A$3:$G$54,2,0),"")</f>
        <v/>
      </c>
      <c r="Q398" s="332">
        <f>IFERROR(VLOOKUP(TEXT(O398,"0"),CONDUCTORES!$A$3:$H$54,6,0),"")</f>
        <v/>
      </c>
      <c r="R398" s="280" t="n"/>
      <c r="S398" s="280" t="n"/>
      <c r="T398" s="280" t="n"/>
      <c r="U398" s="280" t="n"/>
      <c r="V398" s="280" t="n"/>
      <c r="W398" s="280" t="n"/>
      <c r="X398" s="280" t="n"/>
      <c r="Y398" s="280" t="n"/>
    </row>
    <row r="399" ht="15" customHeight="1" s="195">
      <c r="A399" s="334" t="n"/>
      <c r="B399" s="334" t="n"/>
      <c r="C399" s="334" t="n"/>
      <c r="D399" s="334" t="n"/>
      <c r="E399" s="334" t="n"/>
      <c r="F399" s="334" t="n"/>
      <c r="G399" s="334" t="n"/>
      <c r="H399" s="334" t="n"/>
      <c r="I399" s="332">
        <f>IFERROR(VLOOKUP(TEXT(H399,"0"),IPRESS!$A$3:$B$212,2,0),"")</f>
        <v/>
      </c>
      <c r="J399" s="334" t="n"/>
      <c r="K399" s="332">
        <f>IFERROR(VLOOKUP(TEXT(O399,"0"),CONDUCTORES!$A$3:$G$54,7,0),"")</f>
        <v/>
      </c>
      <c r="L399" s="334" t="n"/>
      <c r="M399" s="334" t="n"/>
      <c r="N399" s="333">
        <f>IFERROR(IF(L399*M399=0,"",L399*M399),"")</f>
        <v/>
      </c>
      <c r="O399" s="334" t="n"/>
      <c r="P399" s="332">
        <f>IFERROR(VLOOKUP(TEXT(O399,"0"),CONDUCTORES!$A$3:$G$54,2,0),"")</f>
        <v/>
      </c>
      <c r="Q399" s="332">
        <f>IFERROR(VLOOKUP(TEXT(O399,"0"),CONDUCTORES!$A$3:$H$54,6,0),"")</f>
        <v/>
      </c>
      <c r="R399" s="334" t="n"/>
      <c r="S399" s="334" t="n"/>
      <c r="T399" s="334" t="n"/>
      <c r="U399" s="334" t="n"/>
      <c r="V399" s="334" t="n"/>
      <c r="W399" s="334" t="n"/>
      <c r="X399" s="334" t="n"/>
      <c r="Y399" s="334" t="n"/>
    </row>
    <row r="400" ht="15" customHeight="1" s="195">
      <c r="A400" s="280" t="n"/>
      <c r="B400" s="280" t="n"/>
      <c r="C400" s="280" t="n"/>
      <c r="D400" s="280" t="n"/>
      <c r="E400" s="280" t="n"/>
      <c r="F400" s="280" t="n"/>
      <c r="G400" s="280" t="n"/>
      <c r="H400" s="280" t="n"/>
      <c r="I400" s="332">
        <f>IFERROR(VLOOKUP(TEXT(H400,"0"),IPRESS!$A$3:$B$212,2,0),"")</f>
        <v/>
      </c>
      <c r="J400" s="280" t="n"/>
      <c r="K400" s="332">
        <f>IFERROR(VLOOKUP(TEXT(O400,"0"),CONDUCTORES!$A$3:$G$54,7,0),"")</f>
        <v/>
      </c>
      <c r="L400" s="280" t="n"/>
      <c r="M400" s="280" t="n"/>
      <c r="N400" s="333">
        <f>IFERROR(IF(L400*M400=0,"",L400*M400),"")</f>
        <v/>
      </c>
      <c r="O400" s="280" t="n"/>
      <c r="P400" s="332">
        <f>IFERROR(VLOOKUP(TEXT(O400,"0"),CONDUCTORES!$A$3:$G$54,2,0),"")</f>
        <v/>
      </c>
      <c r="Q400" s="332">
        <f>IFERROR(VLOOKUP(TEXT(O400,"0"),CONDUCTORES!$A$3:$H$54,6,0),"")</f>
        <v/>
      </c>
      <c r="R400" s="280" t="n"/>
      <c r="S400" s="280" t="n"/>
      <c r="T400" s="280" t="n"/>
      <c r="U400" s="280" t="n"/>
      <c r="V400" s="280" t="n"/>
      <c r="W400" s="280" t="n"/>
      <c r="X400" s="280" t="n"/>
      <c r="Y400" s="280" t="n"/>
    </row>
    <row r="401" ht="15" customHeight="1" s="195">
      <c r="A401" s="334" t="n"/>
      <c r="B401" s="334" t="n"/>
      <c r="C401" s="334" t="n"/>
      <c r="D401" s="334" t="n"/>
      <c r="E401" s="334" t="n"/>
      <c r="F401" s="334" t="n"/>
      <c r="G401" s="334" t="n"/>
      <c r="H401" s="334" t="n"/>
      <c r="I401" s="332">
        <f>IFERROR(VLOOKUP(TEXT(H401,"0"),IPRESS!$A$3:$B$212,2,0),"")</f>
        <v/>
      </c>
      <c r="J401" s="334" t="n"/>
      <c r="K401" s="332">
        <f>IFERROR(VLOOKUP(TEXT(O401,"0"),CONDUCTORES!$A$3:$G$54,7,0),"")</f>
        <v/>
      </c>
      <c r="L401" s="334" t="n"/>
      <c r="M401" s="334" t="n"/>
      <c r="N401" s="333">
        <f>IFERROR(IF(L401*M401=0,"",L401*M401),"")</f>
        <v/>
      </c>
      <c r="O401" s="334" t="n"/>
      <c r="P401" s="332">
        <f>IFERROR(VLOOKUP(TEXT(O401,"0"),CONDUCTORES!$A$3:$G$54,2,0),"")</f>
        <v/>
      </c>
      <c r="Q401" s="332">
        <f>IFERROR(VLOOKUP(TEXT(O401,"0"),CONDUCTORES!$A$3:$H$54,6,0),"")</f>
        <v/>
      </c>
      <c r="R401" s="334" t="n"/>
      <c r="S401" s="334" t="n"/>
      <c r="T401" s="334" t="n"/>
      <c r="U401" s="334" t="n"/>
      <c r="V401" s="334" t="n"/>
      <c r="W401" s="334" t="n"/>
      <c r="X401" s="334" t="n"/>
      <c r="Y401" s="334" t="n"/>
    </row>
    <row r="402" ht="15" customHeight="1" s="195">
      <c r="A402" s="280" t="n"/>
      <c r="B402" s="280" t="n"/>
      <c r="C402" s="280" t="n"/>
      <c r="D402" s="280" t="n"/>
      <c r="E402" s="280" t="n"/>
      <c r="F402" s="280" t="n"/>
      <c r="G402" s="280" t="n"/>
      <c r="H402" s="280" t="n"/>
      <c r="I402" s="332">
        <f>IFERROR(VLOOKUP(TEXT(H402,"0"),IPRESS!$A$3:$B$212,2,0),"")</f>
        <v/>
      </c>
      <c r="J402" s="280" t="n"/>
      <c r="K402" s="332">
        <f>IFERROR(VLOOKUP(TEXT(O402,"0"),CONDUCTORES!$A$3:$G$54,7,0),"")</f>
        <v/>
      </c>
      <c r="L402" s="280" t="n"/>
      <c r="M402" s="280" t="n"/>
      <c r="N402" s="333">
        <f>IFERROR(IF(L402*M402=0,"",L402*M402),"")</f>
        <v/>
      </c>
      <c r="O402" s="280" t="n"/>
      <c r="P402" s="332">
        <f>IFERROR(VLOOKUP(TEXT(O402,"0"),CONDUCTORES!$A$3:$G$54,2,0),"")</f>
        <v/>
      </c>
      <c r="Q402" s="332">
        <f>IFERROR(VLOOKUP(TEXT(O402,"0"),CONDUCTORES!$A$3:$H$54,6,0),"")</f>
        <v/>
      </c>
      <c r="R402" s="280" t="n"/>
      <c r="S402" s="280" t="n"/>
      <c r="T402" s="280" t="n"/>
      <c r="U402" s="280" t="n"/>
      <c r="V402" s="280" t="n"/>
      <c r="W402" s="280" t="n"/>
      <c r="X402" s="280" t="n"/>
      <c r="Y402" s="280" t="n"/>
    </row>
    <row r="403" ht="15" customHeight="1" s="195">
      <c r="A403" s="334" t="n"/>
      <c r="B403" s="334" t="n"/>
      <c r="C403" s="334" t="n"/>
      <c r="D403" s="334" t="n"/>
      <c r="E403" s="334" t="n"/>
      <c r="F403" s="334" t="n"/>
      <c r="G403" s="334" t="n"/>
      <c r="H403" s="334" t="n"/>
      <c r="I403" s="332">
        <f>IFERROR(VLOOKUP(TEXT(H403,"0"),IPRESS!$A$3:$B$212,2,0),"")</f>
        <v/>
      </c>
      <c r="J403" s="334" t="n"/>
      <c r="K403" s="332">
        <f>IFERROR(VLOOKUP(TEXT(O403,"0"),CONDUCTORES!$A$3:$G$54,7,0),"")</f>
        <v/>
      </c>
      <c r="L403" s="334" t="n"/>
      <c r="M403" s="334" t="n"/>
      <c r="N403" s="333">
        <f>IFERROR(IF(L403*M403=0,"",L403*M403),"")</f>
        <v/>
      </c>
      <c r="O403" s="334" t="n"/>
      <c r="P403" s="332">
        <f>IFERROR(VLOOKUP(TEXT(O403,"0"),CONDUCTORES!$A$3:$G$54,2,0),"")</f>
        <v/>
      </c>
      <c r="Q403" s="332">
        <f>IFERROR(VLOOKUP(TEXT(O403,"0"),CONDUCTORES!$A$3:$H$54,6,0),"")</f>
        <v/>
      </c>
      <c r="R403" s="334" t="n"/>
      <c r="S403" s="334" t="n"/>
      <c r="T403" s="334" t="n"/>
      <c r="U403" s="334" t="n"/>
      <c r="V403" s="334" t="n"/>
      <c r="W403" s="334" t="n"/>
      <c r="X403" s="334" t="n"/>
      <c r="Y403" s="334" t="n"/>
    </row>
    <row r="404" ht="15" customHeight="1" s="195">
      <c r="A404" s="280" t="n"/>
      <c r="B404" s="280" t="n"/>
      <c r="C404" s="280" t="n"/>
      <c r="D404" s="280" t="n"/>
      <c r="E404" s="280" t="n"/>
      <c r="F404" s="280" t="n"/>
      <c r="G404" s="280" t="n"/>
      <c r="H404" s="280" t="n"/>
      <c r="I404" s="332">
        <f>IFERROR(VLOOKUP(TEXT(H404,"0"),IPRESS!$A$3:$B$212,2,0),"")</f>
        <v/>
      </c>
      <c r="J404" s="280" t="n"/>
      <c r="K404" s="332">
        <f>IFERROR(VLOOKUP(TEXT(O404,"0"),CONDUCTORES!$A$3:$G$54,7,0),"")</f>
        <v/>
      </c>
      <c r="L404" s="280" t="n"/>
      <c r="M404" s="280" t="n"/>
      <c r="N404" s="333">
        <f>IFERROR(IF(L404*M404=0,"",L404*M404),"")</f>
        <v/>
      </c>
      <c r="O404" s="280" t="n"/>
      <c r="P404" s="332">
        <f>IFERROR(VLOOKUP(TEXT(O404,"0"),CONDUCTORES!$A$3:$G$54,2,0),"")</f>
        <v/>
      </c>
      <c r="Q404" s="332">
        <f>IFERROR(VLOOKUP(TEXT(O404,"0"),CONDUCTORES!$A$3:$H$54,6,0),"")</f>
        <v/>
      </c>
      <c r="R404" s="280" t="n"/>
      <c r="S404" s="280" t="n"/>
      <c r="T404" s="280" t="n"/>
      <c r="U404" s="280" t="n"/>
      <c r="V404" s="280" t="n"/>
      <c r="W404" s="280" t="n"/>
      <c r="X404" s="280" t="n"/>
      <c r="Y404" s="280" t="n"/>
    </row>
    <row r="405" ht="15" customHeight="1" s="195">
      <c r="A405" s="334" t="n"/>
      <c r="B405" s="334" t="n"/>
      <c r="C405" s="334" t="n"/>
      <c r="D405" s="334" t="n"/>
      <c r="E405" s="334" t="n"/>
      <c r="F405" s="334" t="n"/>
      <c r="G405" s="334" t="n"/>
      <c r="H405" s="334" t="n"/>
      <c r="I405" s="332">
        <f>IFERROR(VLOOKUP(TEXT(H405,"0"),IPRESS!$A$3:$B$212,2,0),"")</f>
        <v/>
      </c>
      <c r="J405" s="334" t="n"/>
      <c r="K405" s="332">
        <f>IFERROR(VLOOKUP(TEXT(O405,"0"),CONDUCTORES!$A$3:$G$54,7,0),"")</f>
        <v/>
      </c>
      <c r="L405" s="334" t="n"/>
      <c r="M405" s="334" t="n"/>
      <c r="N405" s="333">
        <f>IFERROR(IF(L405*M405=0,"",L405*M405),"")</f>
        <v/>
      </c>
      <c r="O405" s="334" t="n"/>
      <c r="P405" s="332">
        <f>IFERROR(VLOOKUP(TEXT(O405,"0"),CONDUCTORES!$A$3:$G$54,2,0),"")</f>
        <v/>
      </c>
      <c r="Q405" s="332">
        <f>IFERROR(VLOOKUP(TEXT(O405,"0"),CONDUCTORES!$A$3:$H$54,6,0),"")</f>
        <v/>
      </c>
      <c r="R405" s="334" t="n"/>
      <c r="S405" s="334" t="n"/>
      <c r="T405" s="334" t="n"/>
      <c r="U405" s="334" t="n"/>
      <c r="V405" s="334" t="n"/>
      <c r="W405" s="334" t="n"/>
      <c r="X405" s="334" t="n"/>
      <c r="Y405" s="334" t="n"/>
    </row>
    <row r="406" ht="15" customHeight="1" s="195">
      <c r="A406" s="280" t="n"/>
      <c r="B406" s="280" t="n"/>
      <c r="C406" s="280" t="n"/>
      <c r="D406" s="280" t="n"/>
      <c r="E406" s="280" t="n"/>
      <c r="F406" s="280" t="n"/>
      <c r="G406" s="280" t="n"/>
      <c r="H406" s="280" t="n"/>
      <c r="I406" s="332">
        <f>IFERROR(VLOOKUP(TEXT(H406,"0"),IPRESS!$A$3:$B$212,2,0),"")</f>
        <v/>
      </c>
      <c r="J406" s="280" t="n"/>
      <c r="K406" s="332">
        <f>IFERROR(VLOOKUP(TEXT(O406,"0"),CONDUCTORES!$A$3:$G$54,7,0),"")</f>
        <v/>
      </c>
      <c r="L406" s="280" t="n"/>
      <c r="M406" s="280" t="n"/>
      <c r="N406" s="333">
        <f>IFERROR(IF(L406*M406=0,"",L406*M406),"")</f>
        <v/>
      </c>
      <c r="O406" s="280" t="n"/>
      <c r="P406" s="332">
        <f>IFERROR(VLOOKUP(TEXT(O406,"0"),CONDUCTORES!$A$3:$G$54,2,0),"")</f>
        <v/>
      </c>
      <c r="Q406" s="332">
        <f>IFERROR(VLOOKUP(TEXT(O406,"0"),CONDUCTORES!$A$3:$H$54,6,0),"")</f>
        <v/>
      </c>
      <c r="R406" s="280" t="n"/>
      <c r="S406" s="280" t="n"/>
      <c r="T406" s="280" t="n"/>
      <c r="U406" s="280" t="n"/>
      <c r="V406" s="280" t="n"/>
      <c r="W406" s="280" t="n"/>
      <c r="X406" s="280" t="n"/>
      <c r="Y406" s="280" t="n"/>
    </row>
    <row r="407" ht="15" customHeight="1" s="195">
      <c r="A407" s="334" t="n"/>
      <c r="B407" s="334" t="n"/>
      <c r="C407" s="334" t="n"/>
      <c r="D407" s="334" t="n"/>
      <c r="E407" s="334" t="n"/>
      <c r="F407" s="334" t="n"/>
      <c r="G407" s="334" t="n"/>
      <c r="H407" s="334" t="n"/>
      <c r="I407" s="332">
        <f>IFERROR(VLOOKUP(TEXT(H407,"0"),IPRESS!$A$3:$B$212,2,0),"")</f>
        <v/>
      </c>
      <c r="J407" s="334" t="n"/>
      <c r="K407" s="332">
        <f>IFERROR(VLOOKUP(TEXT(O407,"0"),CONDUCTORES!$A$3:$G$54,7,0),"")</f>
        <v/>
      </c>
      <c r="L407" s="334" t="n"/>
      <c r="M407" s="334" t="n"/>
      <c r="N407" s="333">
        <f>IFERROR(IF(L407*M407=0,"",L407*M407),"")</f>
        <v/>
      </c>
      <c r="O407" s="334" t="n"/>
      <c r="P407" s="332">
        <f>IFERROR(VLOOKUP(TEXT(O407,"0"),CONDUCTORES!$A$3:$G$54,2,0),"")</f>
        <v/>
      </c>
      <c r="Q407" s="332">
        <f>IFERROR(VLOOKUP(TEXT(O407,"0"),CONDUCTORES!$A$3:$H$54,6,0),"")</f>
        <v/>
      </c>
      <c r="R407" s="334" t="n"/>
      <c r="S407" s="334" t="n"/>
      <c r="T407" s="334" t="n"/>
      <c r="U407" s="334" t="n"/>
      <c r="V407" s="334" t="n"/>
      <c r="W407" s="334" t="n"/>
      <c r="X407" s="334" t="n"/>
      <c r="Y407" s="334" t="n"/>
    </row>
    <row r="408" ht="15" customHeight="1" s="195">
      <c r="A408" s="280" t="n"/>
      <c r="B408" s="280" t="n"/>
      <c r="C408" s="280" t="n"/>
      <c r="D408" s="280" t="n"/>
      <c r="E408" s="280" t="n"/>
      <c r="F408" s="280" t="n"/>
      <c r="G408" s="280" t="n"/>
      <c r="H408" s="280" t="n"/>
      <c r="I408" s="332">
        <f>IFERROR(VLOOKUP(TEXT(H408,"0"),IPRESS!$A$3:$B$212,2,0),"")</f>
        <v/>
      </c>
      <c r="J408" s="280" t="n"/>
      <c r="K408" s="332">
        <f>IFERROR(VLOOKUP(TEXT(O408,"0"),CONDUCTORES!$A$3:$G$54,7,0),"")</f>
        <v/>
      </c>
      <c r="L408" s="280" t="n"/>
      <c r="M408" s="280" t="n"/>
      <c r="N408" s="333">
        <f>IFERROR(IF(L408*M408=0,"",L408*M408),"")</f>
        <v/>
      </c>
      <c r="O408" s="280" t="n"/>
      <c r="P408" s="332">
        <f>IFERROR(VLOOKUP(TEXT(O408,"0"),CONDUCTORES!$A$3:$G$54,2,0),"")</f>
        <v/>
      </c>
      <c r="Q408" s="332">
        <f>IFERROR(VLOOKUP(TEXT(O408,"0"),CONDUCTORES!$A$3:$H$54,6,0),"")</f>
        <v/>
      </c>
      <c r="R408" s="280" t="n"/>
      <c r="S408" s="280" t="n"/>
      <c r="T408" s="280" t="n"/>
      <c r="U408" s="280" t="n"/>
      <c r="V408" s="280" t="n"/>
      <c r="W408" s="280" t="n"/>
      <c r="X408" s="280" t="n"/>
      <c r="Y408" s="280" t="n"/>
    </row>
    <row r="409" ht="15" customHeight="1" s="195">
      <c r="A409" s="334" t="n"/>
      <c r="B409" s="334" t="n"/>
      <c r="C409" s="334" t="n"/>
      <c r="D409" s="334" t="n"/>
      <c r="E409" s="334" t="n"/>
      <c r="F409" s="334" t="n"/>
      <c r="G409" s="334" t="n"/>
      <c r="H409" s="334" t="n"/>
      <c r="I409" s="332">
        <f>IFERROR(VLOOKUP(TEXT(H409,"0"),IPRESS!$A$3:$B$212,2,0),"")</f>
        <v/>
      </c>
      <c r="J409" s="334" t="n"/>
      <c r="K409" s="332">
        <f>IFERROR(VLOOKUP(TEXT(O409,"0"),CONDUCTORES!$A$3:$G$54,7,0),"")</f>
        <v/>
      </c>
      <c r="L409" s="334" t="n"/>
      <c r="M409" s="334" t="n"/>
      <c r="N409" s="333">
        <f>IFERROR(IF(L409*M409=0,"",L409*M409),"")</f>
        <v/>
      </c>
      <c r="O409" s="334" t="n"/>
      <c r="P409" s="332">
        <f>IFERROR(VLOOKUP(TEXT(O409,"0"),CONDUCTORES!$A$3:$G$54,2,0),"")</f>
        <v/>
      </c>
      <c r="Q409" s="332">
        <f>IFERROR(VLOOKUP(TEXT(O409,"0"),CONDUCTORES!$A$3:$H$54,6,0),"")</f>
        <v/>
      </c>
      <c r="R409" s="334" t="n"/>
      <c r="S409" s="334" t="n"/>
      <c r="T409" s="334" t="n"/>
      <c r="U409" s="334" t="n"/>
      <c r="V409" s="334" t="n"/>
      <c r="W409" s="334" t="n"/>
      <c r="X409" s="334" t="n"/>
      <c r="Y409" s="334" t="n"/>
    </row>
    <row r="410" ht="15" customHeight="1" s="195">
      <c r="A410" s="280" t="n"/>
      <c r="B410" s="280" t="n"/>
      <c r="C410" s="280" t="n"/>
      <c r="D410" s="280" t="n"/>
      <c r="E410" s="280" t="n"/>
      <c r="F410" s="280" t="n"/>
      <c r="G410" s="280" t="n"/>
      <c r="H410" s="280" t="n"/>
      <c r="I410" s="332">
        <f>IFERROR(VLOOKUP(TEXT(H410,"0"),IPRESS!$A$3:$B$212,2,0),"")</f>
        <v/>
      </c>
      <c r="J410" s="280" t="n"/>
      <c r="K410" s="332">
        <f>IFERROR(VLOOKUP(TEXT(O410,"0"),CONDUCTORES!$A$3:$G$54,7,0),"")</f>
        <v/>
      </c>
      <c r="L410" s="280" t="n"/>
      <c r="M410" s="280" t="n"/>
      <c r="N410" s="333">
        <f>IFERROR(IF(L410*M410=0,"",L410*M410),"")</f>
        <v/>
      </c>
      <c r="O410" s="280" t="n"/>
      <c r="P410" s="332">
        <f>IFERROR(VLOOKUP(TEXT(O410,"0"),CONDUCTORES!$A$3:$G$54,2,0),"")</f>
        <v/>
      </c>
      <c r="Q410" s="332">
        <f>IFERROR(VLOOKUP(TEXT(O410,"0"),CONDUCTORES!$A$3:$H$54,6,0),"")</f>
        <v/>
      </c>
      <c r="R410" s="280" t="n"/>
      <c r="S410" s="280" t="n"/>
      <c r="T410" s="280" t="n"/>
      <c r="U410" s="280" t="n"/>
      <c r="V410" s="280" t="n"/>
      <c r="W410" s="280" t="n"/>
      <c r="X410" s="280" t="n"/>
      <c r="Y410" s="280" t="n"/>
    </row>
    <row r="411" ht="15" customHeight="1" s="195">
      <c r="A411" s="334" t="n"/>
      <c r="B411" s="334" t="n"/>
      <c r="C411" s="334" t="n"/>
      <c r="D411" s="334" t="n"/>
      <c r="E411" s="334" t="n"/>
      <c r="F411" s="334" t="n"/>
      <c r="G411" s="334" t="n"/>
      <c r="H411" s="334" t="n"/>
      <c r="I411" s="332">
        <f>IFERROR(VLOOKUP(TEXT(H411,"0"),IPRESS!$A$3:$B$212,2,0),"")</f>
        <v/>
      </c>
      <c r="J411" s="334" t="n"/>
      <c r="K411" s="332">
        <f>IFERROR(VLOOKUP(TEXT(O411,"0"),CONDUCTORES!$A$3:$G$54,7,0),"")</f>
        <v/>
      </c>
      <c r="L411" s="334" t="n"/>
      <c r="M411" s="334" t="n"/>
      <c r="N411" s="333">
        <f>IFERROR(IF(L411*M411=0,"",L411*M411),"")</f>
        <v/>
      </c>
      <c r="O411" s="334" t="n"/>
      <c r="P411" s="332">
        <f>IFERROR(VLOOKUP(TEXT(O411,"0"),CONDUCTORES!$A$3:$G$54,2,0),"")</f>
        <v/>
      </c>
      <c r="Q411" s="332">
        <f>IFERROR(VLOOKUP(TEXT(O411,"0"),CONDUCTORES!$A$3:$H$54,6,0),"")</f>
        <v/>
      </c>
      <c r="R411" s="334" t="n"/>
      <c r="S411" s="334" t="n"/>
      <c r="T411" s="334" t="n"/>
      <c r="U411" s="334" t="n"/>
      <c r="V411" s="334" t="n"/>
      <c r="W411" s="334" t="n"/>
      <c r="X411" s="334" t="n"/>
      <c r="Y411" s="334" t="n"/>
    </row>
    <row r="412" ht="15" customHeight="1" s="195">
      <c r="A412" s="280" t="n"/>
      <c r="B412" s="280" t="n"/>
      <c r="C412" s="280" t="n"/>
      <c r="D412" s="280" t="n"/>
      <c r="E412" s="280" t="n"/>
      <c r="F412" s="280" t="n"/>
      <c r="G412" s="280" t="n"/>
      <c r="H412" s="280" t="n"/>
      <c r="I412" s="332">
        <f>IFERROR(VLOOKUP(TEXT(H412,"0"),IPRESS!$A$3:$B$212,2,0),"")</f>
        <v/>
      </c>
      <c r="J412" s="280" t="n"/>
      <c r="K412" s="332">
        <f>IFERROR(VLOOKUP(TEXT(O412,"0"),CONDUCTORES!$A$3:$G$54,7,0),"")</f>
        <v/>
      </c>
      <c r="L412" s="280" t="n"/>
      <c r="M412" s="280" t="n"/>
      <c r="N412" s="333">
        <f>IFERROR(IF(L412*M412=0,"",L412*M412),"")</f>
        <v/>
      </c>
      <c r="O412" s="280" t="n"/>
      <c r="P412" s="332">
        <f>IFERROR(VLOOKUP(TEXT(O412,"0"),CONDUCTORES!$A$3:$G$54,2,0),"")</f>
        <v/>
      </c>
      <c r="Q412" s="332">
        <f>IFERROR(VLOOKUP(TEXT(O412,"0"),CONDUCTORES!$A$3:$H$54,6,0),"")</f>
        <v/>
      </c>
      <c r="R412" s="280" t="n"/>
      <c r="S412" s="280" t="n"/>
      <c r="T412" s="280" t="n"/>
      <c r="U412" s="280" t="n"/>
      <c r="V412" s="280" t="n"/>
      <c r="W412" s="280" t="n"/>
      <c r="X412" s="280" t="n"/>
      <c r="Y412" s="280" t="n"/>
    </row>
    <row r="413" ht="15" customHeight="1" s="195">
      <c r="A413" s="334" t="n"/>
      <c r="B413" s="334" t="n"/>
      <c r="C413" s="334" t="n"/>
      <c r="D413" s="334" t="n"/>
      <c r="E413" s="334" t="n"/>
      <c r="F413" s="334" t="n"/>
      <c r="G413" s="334" t="n"/>
      <c r="H413" s="334" t="n"/>
      <c r="I413" s="332">
        <f>IFERROR(VLOOKUP(TEXT(H413,"0"),IPRESS!$A$3:$B$212,2,0),"")</f>
        <v/>
      </c>
      <c r="J413" s="334" t="n"/>
      <c r="K413" s="332">
        <f>IFERROR(VLOOKUP(TEXT(O413,"0"),CONDUCTORES!$A$3:$G$54,7,0),"")</f>
        <v/>
      </c>
      <c r="L413" s="334" t="n"/>
      <c r="M413" s="334" t="n"/>
      <c r="N413" s="333">
        <f>IFERROR(IF(L413*M413=0,"",L413*M413),"")</f>
        <v/>
      </c>
      <c r="O413" s="334" t="n"/>
      <c r="P413" s="332">
        <f>IFERROR(VLOOKUP(TEXT(O413,"0"),CONDUCTORES!$A$3:$G$54,2,0),"")</f>
        <v/>
      </c>
      <c r="Q413" s="332">
        <f>IFERROR(VLOOKUP(TEXT(O413,"0"),CONDUCTORES!$A$3:$H$54,6,0),"")</f>
        <v/>
      </c>
      <c r="R413" s="334" t="n"/>
      <c r="S413" s="334" t="n"/>
      <c r="T413" s="334" t="n"/>
      <c r="U413" s="334" t="n"/>
      <c r="V413" s="334" t="n"/>
      <c r="W413" s="334" t="n"/>
      <c r="X413" s="334" t="n"/>
      <c r="Y413" s="334" t="n"/>
    </row>
    <row r="414" ht="15" customHeight="1" s="195">
      <c r="A414" s="280" t="n"/>
      <c r="B414" s="280" t="n"/>
      <c r="C414" s="280" t="n"/>
      <c r="D414" s="280" t="n"/>
      <c r="E414" s="280" t="n"/>
      <c r="F414" s="280" t="n"/>
      <c r="G414" s="280" t="n"/>
      <c r="H414" s="280" t="n"/>
      <c r="I414" s="332">
        <f>IFERROR(VLOOKUP(TEXT(H414,"0"),IPRESS!$A$3:$B$212,2,0),"")</f>
        <v/>
      </c>
      <c r="J414" s="280" t="n"/>
      <c r="K414" s="332">
        <f>IFERROR(VLOOKUP(TEXT(O414,"0"),CONDUCTORES!$A$3:$G$54,7,0),"")</f>
        <v/>
      </c>
      <c r="L414" s="280" t="n"/>
      <c r="M414" s="280" t="n"/>
      <c r="N414" s="333">
        <f>IFERROR(IF(L414*M414=0,"",L414*M414),"")</f>
        <v/>
      </c>
      <c r="O414" s="280" t="n"/>
      <c r="P414" s="332">
        <f>IFERROR(VLOOKUP(TEXT(O414,"0"),CONDUCTORES!$A$3:$G$54,2,0),"")</f>
        <v/>
      </c>
      <c r="Q414" s="332">
        <f>IFERROR(VLOOKUP(TEXT(O414,"0"),CONDUCTORES!$A$3:$H$54,6,0),"")</f>
        <v/>
      </c>
      <c r="R414" s="280" t="n"/>
      <c r="S414" s="280" t="n"/>
      <c r="T414" s="280" t="n"/>
      <c r="U414" s="280" t="n"/>
      <c r="V414" s="280" t="n"/>
      <c r="W414" s="280" t="n"/>
      <c r="X414" s="280" t="n"/>
      <c r="Y414" s="280" t="n"/>
    </row>
    <row r="415" ht="15" customHeight="1" s="195">
      <c r="A415" s="334" t="n"/>
      <c r="B415" s="334" t="n"/>
      <c r="C415" s="334" t="n"/>
      <c r="D415" s="334" t="n"/>
      <c r="E415" s="334" t="n"/>
      <c r="F415" s="334" t="n"/>
      <c r="G415" s="334" t="n"/>
      <c r="H415" s="334" t="n"/>
      <c r="I415" s="332">
        <f>IFERROR(VLOOKUP(TEXT(H415,"0"),IPRESS!$A$3:$B$212,2,0),"")</f>
        <v/>
      </c>
      <c r="J415" s="334" t="n"/>
      <c r="K415" s="332">
        <f>IFERROR(VLOOKUP(TEXT(O415,"0"),CONDUCTORES!$A$3:$G$54,7,0),"")</f>
        <v/>
      </c>
      <c r="L415" s="334" t="n"/>
      <c r="M415" s="334" t="n"/>
      <c r="N415" s="333">
        <f>IFERROR(IF(L415*M415=0,"",L415*M415),"")</f>
        <v/>
      </c>
      <c r="O415" s="334" t="n"/>
      <c r="P415" s="332">
        <f>IFERROR(VLOOKUP(TEXT(O415,"0"),CONDUCTORES!$A$3:$G$54,2,0),"")</f>
        <v/>
      </c>
      <c r="Q415" s="332">
        <f>IFERROR(VLOOKUP(TEXT(O415,"0"),CONDUCTORES!$A$3:$H$54,6,0),"")</f>
        <v/>
      </c>
      <c r="R415" s="334" t="n"/>
      <c r="S415" s="334" t="n"/>
      <c r="T415" s="334" t="n"/>
      <c r="U415" s="334" t="n"/>
      <c r="V415" s="334" t="n"/>
      <c r="W415" s="334" t="n"/>
      <c r="X415" s="334" t="n"/>
      <c r="Y415" s="334" t="n"/>
    </row>
    <row r="416" ht="15" customHeight="1" s="195">
      <c r="A416" s="280" t="n"/>
      <c r="B416" s="280" t="n"/>
      <c r="C416" s="280" t="n"/>
      <c r="D416" s="280" t="n"/>
      <c r="E416" s="280" t="n"/>
      <c r="F416" s="280" t="n"/>
      <c r="G416" s="280" t="n"/>
      <c r="H416" s="280" t="n"/>
      <c r="I416" s="332">
        <f>IFERROR(VLOOKUP(TEXT(H416,"0"),IPRESS!$A$3:$B$212,2,0),"")</f>
        <v/>
      </c>
      <c r="J416" s="280" t="n"/>
      <c r="K416" s="332">
        <f>IFERROR(VLOOKUP(TEXT(O416,"0"),CONDUCTORES!$A$3:$G$54,7,0),"")</f>
        <v/>
      </c>
      <c r="L416" s="280" t="n"/>
      <c r="M416" s="280" t="n"/>
      <c r="N416" s="333">
        <f>IFERROR(IF(L416*M416=0,"",L416*M416),"")</f>
        <v/>
      </c>
      <c r="O416" s="280" t="n"/>
      <c r="P416" s="332">
        <f>IFERROR(VLOOKUP(TEXT(O416,"0"),CONDUCTORES!$A$3:$G$54,2,0),"")</f>
        <v/>
      </c>
      <c r="Q416" s="332">
        <f>IFERROR(VLOOKUP(TEXT(O416,"0"),CONDUCTORES!$A$3:$H$54,6,0),"")</f>
        <v/>
      </c>
      <c r="R416" s="280" t="n"/>
      <c r="S416" s="280" t="n"/>
      <c r="T416" s="280" t="n"/>
      <c r="U416" s="280" t="n"/>
      <c r="V416" s="280" t="n"/>
      <c r="W416" s="280" t="n"/>
      <c r="X416" s="280" t="n"/>
      <c r="Y416" s="280" t="n"/>
    </row>
    <row r="417" ht="15" customHeight="1" s="195">
      <c r="A417" s="334" t="n"/>
      <c r="B417" s="334" t="n"/>
      <c r="C417" s="334" t="n"/>
      <c r="D417" s="334" t="n"/>
      <c r="E417" s="334" t="n"/>
      <c r="F417" s="334" t="n"/>
      <c r="G417" s="334" t="n"/>
      <c r="H417" s="334" t="n"/>
      <c r="I417" s="332">
        <f>IFERROR(VLOOKUP(TEXT(H417,"0"),IPRESS!$A$3:$B$212,2,0),"")</f>
        <v/>
      </c>
      <c r="J417" s="334" t="n"/>
      <c r="K417" s="332">
        <f>IFERROR(VLOOKUP(TEXT(O417,"0"),CONDUCTORES!$A$3:$G$54,7,0),"")</f>
        <v/>
      </c>
      <c r="L417" s="334" t="n"/>
      <c r="M417" s="334" t="n"/>
      <c r="N417" s="333">
        <f>IFERROR(IF(L417*M417=0,"",L417*M417),"")</f>
        <v/>
      </c>
      <c r="O417" s="334" t="n"/>
      <c r="P417" s="332">
        <f>IFERROR(VLOOKUP(TEXT(O417,"0"),CONDUCTORES!$A$3:$G$54,2,0),"")</f>
        <v/>
      </c>
      <c r="Q417" s="332">
        <f>IFERROR(VLOOKUP(TEXT(O417,"0"),CONDUCTORES!$A$3:$H$54,6,0),"")</f>
        <v/>
      </c>
      <c r="R417" s="334" t="n"/>
      <c r="S417" s="334" t="n"/>
      <c r="T417" s="334" t="n"/>
      <c r="U417" s="334" t="n"/>
      <c r="V417" s="334" t="n"/>
      <c r="W417" s="334" t="n"/>
      <c r="X417" s="334" t="n"/>
      <c r="Y417" s="334" t="n"/>
    </row>
    <row r="418" ht="15" customHeight="1" s="195">
      <c r="A418" s="280" t="n"/>
      <c r="B418" s="280" t="n"/>
      <c r="C418" s="280" t="n"/>
      <c r="D418" s="280" t="n"/>
      <c r="E418" s="280" t="n"/>
      <c r="F418" s="280" t="n"/>
      <c r="G418" s="280" t="n"/>
      <c r="H418" s="280" t="n"/>
      <c r="I418" s="332">
        <f>IFERROR(VLOOKUP(TEXT(H418,"0"),IPRESS!$A$3:$B$212,2,0),"")</f>
        <v/>
      </c>
      <c r="J418" s="280" t="n"/>
      <c r="K418" s="332">
        <f>IFERROR(VLOOKUP(TEXT(O418,"0"),CONDUCTORES!$A$3:$G$54,7,0),"")</f>
        <v/>
      </c>
      <c r="L418" s="280" t="n"/>
      <c r="M418" s="280" t="n"/>
      <c r="N418" s="333">
        <f>IFERROR(IF(L418*M418=0,"",L418*M418),"")</f>
        <v/>
      </c>
      <c r="O418" s="280" t="n"/>
      <c r="P418" s="332">
        <f>IFERROR(VLOOKUP(TEXT(O418,"0"),CONDUCTORES!$A$3:$G$54,2,0),"")</f>
        <v/>
      </c>
      <c r="Q418" s="332">
        <f>IFERROR(VLOOKUP(TEXT(O418,"0"),CONDUCTORES!$A$3:$H$54,6,0),"")</f>
        <v/>
      </c>
      <c r="R418" s="280" t="n"/>
      <c r="S418" s="280" t="n"/>
      <c r="T418" s="280" t="n"/>
      <c r="U418" s="280" t="n"/>
      <c r="V418" s="280" t="n"/>
      <c r="W418" s="280" t="n"/>
      <c r="X418" s="280" t="n"/>
      <c r="Y418" s="280" t="n"/>
    </row>
    <row r="419" ht="15" customHeight="1" s="195">
      <c r="A419" s="334" t="n"/>
      <c r="B419" s="334" t="n"/>
      <c r="C419" s="334" t="n"/>
      <c r="D419" s="334" t="n"/>
      <c r="E419" s="334" t="n"/>
      <c r="F419" s="334" t="n"/>
      <c r="G419" s="334" t="n"/>
      <c r="H419" s="334" t="n"/>
      <c r="I419" s="332">
        <f>IFERROR(VLOOKUP(TEXT(H419,"0"),IPRESS!$A$3:$B$212,2,0),"")</f>
        <v/>
      </c>
      <c r="J419" s="334" t="n"/>
      <c r="K419" s="332">
        <f>IFERROR(VLOOKUP(TEXT(O419,"0"),CONDUCTORES!$A$3:$G$54,7,0),"")</f>
        <v/>
      </c>
      <c r="L419" s="334" t="n"/>
      <c r="M419" s="334" t="n"/>
      <c r="N419" s="333">
        <f>IFERROR(IF(L419*M419=0,"",L419*M419),"")</f>
        <v/>
      </c>
      <c r="O419" s="334" t="n"/>
      <c r="P419" s="332">
        <f>IFERROR(VLOOKUP(TEXT(O419,"0"),CONDUCTORES!$A$3:$G$54,2,0),"")</f>
        <v/>
      </c>
      <c r="Q419" s="332">
        <f>IFERROR(VLOOKUP(TEXT(O419,"0"),CONDUCTORES!$A$3:$H$54,6,0),"")</f>
        <v/>
      </c>
      <c r="R419" s="334" t="n"/>
      <c r="S419" s="334" t="n"/>
      <c r="T419" s="334" t="n"/>
      <c r="U419" s="334" t="n"/>
      <c r="V419" s="334" t="n"/>
      <c r="W419" s="334" t="n"/>
      <c r="X419" s="334" t="n"/>
      <c r="Y419" s="334" t="n"/>
    </row>
    <row r="420" ht="15" customHeight="1" s="195">
      <c r="A420" s="280" t="n"/>
      <c r="B420" s="280" t="n"/>
      <c r="C420" s="280" t="n"/>
      <c r="D420" s="280" t="n"/>
      <c r="E420" s="280" t="n"/>
      <c r="F420" s="280" t="n"/>
      <c r="G420" s="280" t="n"/>
      <c r="H420" s="280" t="n"/>
      <c r="I420" s="332">
        <f>IFERROR(VLOOKUP(TEXT(H420,"0"),IPRESS!$A$3:$B$212,2,0),"")</f>
        <v/>
      </c>
      <c r="J420" s="280" t="n"/>
      <c r="K420" s="332">
        <f>IFERROR(VLOOKUP(TEXT(O420,"0"),CONDUCTORES!$A$3:$G$54,7,0),"")</f>
        <v/>
      </c>
      <c r="L420" s="280" t="n"/>
      <c r="M420" s="280" t="n"/>
      <c r="N420" s="333">
        <f>IFERROR(IF(L420*M420=0,"",L420*M420),"")</f>
        <v/>
      </c>
      <c r="O420" s="280" t="n"/>
      <c r="P420" s="332">
        <f>IFERROR(VLOOKUP(TEXT(O420,"0"),CONDUCTORES!$A$3:$G$54,2,0),"")</f>
        <v/>
      </c>
      <c r="Q420" s="332">
        <f>IFERROR(VLOOKUP(TEXT(O420,"0"),CONDUCTORES!$A$3:$H$54,6,0),"")</f>
        <v/>
      </c>
      <c r="R420" s="280" t="n"/>
      <c r="S420" s="280" t="n"/>
      <c r="T420" s="280" t="n"/>
      <c r="U420" s="280" t="n"/>
      <c r="V420" s="280" t="n"/>
      <c r="W420" s="280" t="n"/>
      <c r="X420" s="280" t="n"/>
      <c r="Y420" s="280" t="n"/>
    </row>
    <row r="421" ht="15" customHeight="1" s="195">
      <c r="A421" s="334" t="n"/>
      <c r="B421" s="334" t="n"/>
      <c r="C421" s="334" t="n"/>
      <c r="D421" s="334" t="n"/>
      <c r="E421" s="334" t="n"/>
      <c r="F421" s="334" t="n"/>
      <c r="G421" s="334" t="n"/>
      <c r="H421" s="334" t="n"/>
      <c r="I421" s="332">
        <f>IFERROR(VLOOKUP(TEXT(H421,"0"),IPRESS!$A$3:$B$212,2,0),"")</f>
        <v/>
      </c>
      <c r="J421" s="334" t="n"/>
      <c r="K421" s="332">
        <f>IFERROR(VLOOKUP(TEXT(O421,"0"),CONDUCTORES!$A$3:$G$54,7,0),"")</f>
        <v/>
      </c>
      <c r="L421" s="334" t="n"/>
      <c r="M421" s="334" t="n"/>
      <c r="N421" s="333">
        <f>IFERROR(IF(L421*M421=0,"",L421*M421),"")</f>
        <v/>
      </c>
      <c r="O421" s="334" t="n"/>
      <c r="P421" s="332">
        <f>IFERROR(VLOOKUP(TEXT(O421,"0"),CONDUCTORES!$A$3:$G$54,2,0),"")</f>
        <v/>
      </c>
      <c r="Q421" s="332">
        <f>IFERROR(VLOOKUP(TEXT(O421,"0"),CONDUCTORES!$A$3:$H$54,6,0),"")</f>
        <v/>
      </c>
      <c r="R421" s="334" t="n"/>
      <c r="S421" s="334" t="n"/>
      <c r="T421" s="334" t="n"/>
      <c r="U421" s="334" t="n"/>
      <c r="V421" s="334" t="n"/>
      <c r="W421" s="334" t="n"/>
      <c r="X421" s="334" t="n"/>
      <c r="Y421" s="334" t="n"/>
    </row>
    <row r="422" ht="15" customHeight="1" s="195">
      <c r="A422" s="280" t="n"/>
      <c r="B422" s="280" t="n"/>
      <c r="C422" s="280" t="n"/>
      <c r="D422" s="280" t="n"/>
      <c r="E422" s="280" t="n"/>
      <c r="F422" s="280" t="n"/>
      <c r="G422" s="280" t="n"/>
      <c r="H422" s="280" t="n"/>
      <c r="I422" s="332">
        <f>IFERROR(VLOOKUP(TEXT(H422,"0"),IPRESS!$A$3:$B$212,2,0),"")</f>
        <v/>
      </c>
      <c r="J422" s="280" t="n"/>
      <c r="K422" s="332">
        <f>IFERROR(VLOOKUP(TEXT(O422,"0"),CONDUCTORES!$A$3:$G$54,7,0),"")</f>
        <v/>
      </c>
      <c r="L422" s="280" t="n"/>
      <c r="M422" s="280" t="n"/>
      <c r="N422" s="333">
        <f>IFERROR(IF(L422*M422=0,"",L422*M422),"")</f>
        <v/>
      </c>
      <c r="O422" s="280" t="n"/>
      <c r="P422" s="332">
        <f>IFERROR(VLOOKUP(TEXT(O422,"0"),CONDUCTORES!$A$3:$G$54,2,0),"")</f>
        <v/>
      </c>
      <c r="Q422" s="332">
        <f>IFERROR(VLOOKUP(TEXT(O422,"0"),CONDUCTORES!$A$3:$H$54,6,0),"")</f>
        <v/>
      </c>
      <c r="R422" s="280" t="n"/>
      <c r="S422" s="280" t="n"/>
      <c r="T422" s="280" t="n"/>
      <c r="U422" s="280" t="n"/>
      <c r="V422" s="280" t="n"/>
      <c r="W422" s="280" t="n"/>
      <c r="X422" s="280" t="n"/>
      <c r="Y422" s="280" t="n"/>
    </row>
    <row r="423" ht="15" customHeight="1" s="195">
      <c r="A423" s="334" t="n"/>
      <c r="B423" s="334" t="n"/>
      <c r="C423" s="334" t="n"/>
      <c r="D423" s="334" t="n"/>
      <c r="E423" s="334" t="n"/>
      <c r="F423" s="334" t="n"/>
      <c r="G423" s="334" t="n"/>
      <c r="H423" s="334" t="n"/>
      <c r="I423" s="332">
        <f>IFERROR(VLOOKUP(TEXT(H423,"0"),IPRESS!$A$3:$B$212,2,0),"")</f>
        <v/>
      </c>
      <c r="J423" s="334" t="n"/>
      <c r="K423" s="332">
        <f>IFERROR(VLOOKUP(TEXT(O423,"0"),CONDUCTORES!$A$3:$G$54,7,0),"")</f>
        <v/>
      </c>
      <c r="L423" s="334" t="n"/>
      <c r="M423" s="334" t="n"/>
      <c r="N423" s="333">
        <f>IFERROR(IF(L423*M423=0,"",L423*M423),"")</f>
        <v/>
      </c>
      <c r="O423" s="334" t="n"/>
      <c r="P423" s="332">
        <f>IFERROR(VLOOKUP(TEXT(O423,"0"),CONDUCTORES!$A$3:$G$54,2,0),"")</f>
        <v/>
      </c>
      <c r="Q423" s="332">
        <f>IFERROR(VLOOKUP(TEXT(O423,"0"),CONDUCTORES!$A$3:$H$54,6,0),"")</f>
        <v/>
      </c>
      <c r="R423" s="334" t="n"/>
      <c r="S423" s="334" t="n"/>
      <c r="T423" s="334" t="n"/>
      <c r="U423" s="334" t="n"/>
      <c r="V423" s="334" t="n"/>
      <c r="W423" s="334" t="n"/>
      <c r="X423" s="334" t="n"/>
      <c r="Y423" s="334" t="n"/>
    </row>
    <row r="424" ht="15" customHeight="1" s="195">
      <c r="A424" s="280" t="n"/>
      <c r="B424" s="280" t="n"/>
      <c r="C424" s="280" t="n"/>
      <c r="D424" s="280" t="n"/>
      <c r="E424" s="280" t="n"/>
      <c r="F424" s="280" t="n"/>
      <c r="G424" s="280" t="n"/>
      <c r="H424" s="280" t="n"/>
      <c r="I424" s="332">
        <f>IFERROR(VLOOKUP(TEXT(H424,"0"),IPRESS!$A$3:$B$212,2,0),"")</f>
        <v/>
      </c>
      <c r="J424" s="280" t="n"/>
      <c r="K424" s="332">
        <f>IFERROR(VLOOKUP(TEXT(O424,"0"),CONDUCTORES!$A$3:$G$54,7,0),"")</f>
        <v/>
      </c>
      <c r="L424" s="280" t="n"/>
      <c r="M424" s="280" t="n"/>
      <c r="N424" s="333">
        <f>IFERROR(IF(L424*M424=0,"",L424*M424),"")</f>
        <v/>
      </c>
      <c r="O424" s="280" t="n"/>
      <c r="P424" s="332">
        <f>IFERROR(VLOOKUP(TEXT(O424,"0"),CONDUCTORES!$A$3:$G$54,2,0),"")</f>
        <v/>
      </c>
      <c r="Q424" s="332">
        <f>IFERROR(VLOOKUP(TEXT(O424,"0"),CONDUCTORES!$A$3:$H$54,6,0),"")</f>
        <v/>
      </c>
      <c r="R424" s="280" t="n"/>
      <c r="S424" s="280" t="n"/>
      <c r="T424" s="280" t="n"/>
      <c r="U424" s="280" t="n"/>
      <c r="V424" s="280" t="n"/>
      <c r="W424" s="280" t="n"/>
      <c r="X424" s="280" t="n"/>
      <c r="Y424" s="280" t="n"/>
    </row>
    <row r="425" ht="15" customHeight="1" s="195">
      <c r="A425" s="334" t="n"/>
      <c r="B425" s="334" t="n"/>
      <c r="C425" s="334" t="n"/>
      <c r="D425" s="334" t="n"/>
      <c r="E425" s="334" t="n"/>
      <c r="F425" s="334" t="n"/>
      <c r="G425" s="334" t="n"/>
      <c r="H425" s="334" t="n"/>
      <c r="I425" s="332">
        <f>IFERROR(VLOOKUP(TEXT(H425,"0"),IPRESS!$A$3:$B$212,2,0),"")</f>
        <v/>
      </c>
      <c r="J425" s="334" t="n"/>
      <c r="K425" s="332">
        <f>IFERROR(VLOOKUP(TEXT(O425,"0"),CONDUCTORES!$A$3:$G$54,7,0),"")</f>
        <v/>
      </c>
      <c r="L425" s="334" t="n"/>
      <c r="M425" s="334" t="n"/>
      <c r="N425" s="333">
        <f>IFERROR(IF(L425*M425=0,"",L425*M425),"")</f>
        <v/>
      </c>
      <c r="O425" s="334" t="n"/>
      <c r="P425" s="332">
        <f>IFERROR(VLOOKUP(TEXT(O425,"0"),CONDUCTORES!$A$3:$G$54,2,0),"")</f>
        <v/>
      </c>
      <c r="Q425" s="332">
        <f>IFERROR(VLOOKUP(TEXT(O425,"0"),CONDUCTORES!$A$3:$H$54,6,0),"")</f>
        <v/>
      </c>
      <c r="R425" s="334" t="n"/>
      <c r="S425" s="334" t="n"/>
      <c r="T425" s="334" t="n"/>
      <c r="U425" s="334" t="n"/>
      <c r="V425" s="334" t="n"/>
      <c r="W425" s="334" t="n"/>
      <c r="X425" s="334" t="n"/>
      <c r="Y425" s="334" t="n"/>
    </row>
    <row r="426" ht="15" customHeight="1" s="195">
      <c r="A426" s="280" t="n"/>
      <c r="B426" s="280" t="n"/>
      <c r="C426" s="280" t="n"/>
      <c r="D426" s="280" t="n"/>
      <c r="E426" s="280" t="n"/>
      <c r="F426" s="280" t="n"/>
      <c r="G426" s="280" t="n"/>
      <c r="H426" s="280" t="n"/>
      <c r="I426" s="332">
        <f>IFERROR(VLOOKUP(TEXT(H426,"0"),IPRESS!$A$3:$B$212,2,0),"")</f>
        <v/>
      </c>
      <c r="J426" s="280" t="n"/>
      <c r="K426" s="332">
        <f>IFERROR(VLOOKUP(TEXT(O426,"0"),CONDUCTORES!$A$3:$G$54,7,0),"")</f>
        <v/>
      </c>
      <c r="L426" s="280" t="n"/>
      <c r="M426" s="280" t="n"/>
      <c r="N426" s="333">
        <f>IFERROR(IF(L426*M426=0,"",L426*M426),"")</f>
        <v/>
      </c>
      <c r="O426" s="280" t="n"/>
      <c r="P426" s="332">
        <f>IFERROR(VLOOKUP(TEXT(O426,"0"),CONDUCTORES!$A$3:$G$54,2,0),"")</f>
        <v/>
      </c>
      <c r="Q426" s="332">
        <f>IFERROR(VLOOKUP(TEXT(O426,"0"),CONDUCTORES!$A$3:$H$54,6,0),"")</f>
        <v/>
      </c>
      <c r="R426" s="280" t="n"/>
      <c r="S426" s="280" t="n"/>
      <c r="T426" s="280" t="n"/>
      <c r="U426" s="280" t="n"/>
      <c r="V426" s="280" t="n"/>
      <c r="W426" s="280" t="n"/>
      <c r="X426" s="280" t="n"/>
      <c r="Y426" s="280" t="n"/>
    </row>
    <row r="427" ht="15" customHeight="1" s="195">
      <c r="A427" s="334" t="n"/>
      <c r="B427" s="334" t="n"/>
      <c r="C427" s="334" t="n"/>
      <c r="D427" s="334" t="n"/>
      <c r="E427" s="334" t="n"/>
      <c r="F427" s="334" t="n"/>
      <c r="G427" s="334" t="n"/>
      <c r="H427" s="334" t="n"/>
      <c r="I427" s="332">
        <f>IFERROR(VLOOKUP(TEXT(H427,"0"),IPRESS!$A$3:$B$212,2,0),"")</f>
        <v/>
      </c>
      <c r="J427" s="334" t="n"/>
      <c r="K427" s="332">
        <f>IFERROR(VLOOKUP(TEXT(O427,"0"),CONDUCTORES!$A$3:$G$54,7,0),"")</f>
        <v/>
      </c>
      <c r="L427" s="334" t="n"/>
      <c r="M427" s="334" t="n"/>
      <c r="N427" s="333">
        <f>IFERROR(IF(L427*M427=0,"",L427*M427),"")</f>
        <v/>
      </c>
      <c r="O427" s="334" t="n"/>
      <c r="P427" s="332">
        <f>IFERROR(VLOOKUP(TEXT(O427,"0"),CONDUCTORES!$A$3:$G$54,2,0),"")</f>
        <v/>
      </c>
      <c r="Q427" s="332">
        <f>IFERROR(VLOOKUP(TEXT(O427,"0"),CONDUCTORES!$A$3:$H$54,6,0),"")</f>
        <v/>
      </c>
      <c r="R427" s="334" t="n"/>
      <c r="S427" s="334" t="n"/>
      <c r="T427" s="334" t="n"/>
      <c r="U427" s="334" t="n"/>
      <c r="V427" s="334" t="n"/>
      <c r="W427" s="334" t="n"/>
      <c r="X427" s="334" t="n"/>
      <c r="Y427" s="334" t="n"/>
    </row>
    <row r="428" ht="15" customHeight="1" s="195">
      <c r="A428" s="280" t="n"/>
      <c r="B428" s="280" t="n"/>
      <c r="C428" s="280" t="n"/>
      <c r="D428" s="280" t="n"/>
      <c r="E428" s="280" t="n"/>
      <c r="F428" s="280" t="n"/>
      <c r="G428" s="280" t="n"/>
      <c r="H428" s="280" t="n"/>
      <c r="I428" s="332">
        <f>IFERROR(VLOOKUP(TEXT(H428,"0"),IPRESS!$A$3:$B$212,2,0),"")</f>
        <v/>
      </c>
      <c r="J428" s="280" t="n"/>
      <c r="K428" s="332">
        <f>IFERROR(VLOOKUP(TEXT(O428,"0"),CONDUCTORES!$A$3:$G$54,7,0),"")</f>
        <v/>
      </c>
      <c r="L428" s="280" t="n"/>
      <c r="M428" s="280" t="n"/>
      <c r="N428" s="333">
        <f>IFERROR(IF(L428*M428=0,"",L428*M428),"")</f>
        <v/>
      </c>
      <c r="O428" s="280" t="n"/>
      <c r="P428" s="332">
        <f>IFERROR(VLOOKUP(TEXT(O428,"0"),CONDUCTORES!$A$3:$G$54,2,0),"")</f>
        <v/>
      </c>
      <c r="Q428" s="332">
        <f>IFERROR(VLOOKUP(TEXT(O428,"0"),CONDUCTORES!$A$3:$H$54,6,0),"")</f>
        <v/>
      </c>
      <c r="R428" s="280" t="n"/>
      <c r="S428" s="280" t="n"/>
      <c r="T428" s="280" t="n"/>
      <c r="U428" s="280" t="n"/>
      <c r="V428" s="280" t="n"/>
      <c r="W428" s="280" t="n"/>
      <c r="X428" s="280" t="n"/>
      <c r="Y428" s="280" t="n"/>
    </row>
    <row r="429" ht="15" customHeight="1" s="195">
      <c r="A429" s="334" t="n"/>
      <c r="B429" s="334" t="n"/>
      <c r="C429" s="334" t="n"/>
      <c r="D429" s="334" t="n"/>
      <c r="E429" s="334" t="n"/>
      <c r="F429" s="334" t="n"/>
      <c r="G429" s="334" t="n"/>
      <c r="H429" s="334" t="n"/>
      <c r="I429" s="332">
        <f>IFERROR(VLOOKUP(TEXT(H429,"0"),IPRESS!$A$3:$B$212,2,0),"")</f>
        <v/>
      </c>
      <c r="J429" s="334" t="n"/>
      <c r="K429" s="332">
        <f>IFERROR(VLOOKUP(TEXT(O429,"0"),CONDUCTORES!$A$3:$G$54,7,0),"")</f>
        <v/>
      </c>
      <c r="L429" s="334" t="n"/>
      <c r="M429" s="334" t="n"/>
      <c r="N429" s="333">
        <f>IFERROR(IF(L429*M429=0,"",L429*M429),"")</f>
        <v/>
      </c>
      <c r="O429" s="334" t="n"/>
      <c r="P429" s="332">
        <f>IFERROR(VLOOKUP(TEXT(O429,"0"),CONDUCTORES!$A$3:$G$54,2,0),"")</f>
        <v/>
      </c>
      <c r="Q429" s="332">
        <f>IFERROR(VLOOKUP(TEXT(O429,"0"),CONDUCTORES!$A$3:$H$54,6,0),"")</f>
        <v/>
      </c>
      <c r="R429" s="334" t="n"/>
      <c r="S429" s="334" t="n"/>
      <c r="T429" s="334" t="n"/>
      <c r="U429" s="334" t="n"/>
      <c r="V429" s="334" t="n"/>
      <c r="W429" s="334" t="n"/>
      <c r="X429" s="334" t="n"/>
      <c r="Y429" s="334" t="n"/>
    </row>
    <row r="430" ht="15" customHeight="1" s="195">
      <c r="A430" s="280" t="n"/>
      <c r="B430" s="280" t="n"/>
      <c r="C430" s="280" t="n"/>
      <c r="D430" s="280" t="n"/>
      <c r="E430" s="280" t="n"/>
      <c r="F430" s="280" t="n"/>
      <c r="G430" s="280" t="n"/>
      <c r="H430" s="280" t="n"/>
      <c r="I430" s="332">
        <f>IFERROR(VLOOKUP(TEXT(H430,"0"),IPRESS!$A$3:$B$212,2,0),"")</f>
        <v/>
      </c>
      <c r="J430" s="280" t="n"/>
      <c r="K430" s="332">
        <f>IFERROR(VLOOKUP(TEXT(O430,"0"),CONDUCTORES!$A$3:$G$54,7,0),"")</f>
        <v/>
      </c>
      <c r="L430" s="280" t="n"/>
      <c r="M430" s="280" t="n"/>
      <c r="N430" s="333">
        <f>IFERROR(IF(L430*M430=0,"",L430*M430),"")</f>
        <v/>
      </c>
      <c r="O430" s="280" t="n"/>
      <c r="P430" s="332">
        <f>IFERROR(VLOOKUP(TEXT(O430,"0"),CONDUCTORES!$A$3:$G$54,2,0),"")</f>
        <v/>
      </c>
      <c r="Q430" s="332">
        <f>IFERROR(VLOOKUP(TEXT(O430,"0"),CONDUCTORES!$A$3:$H$54,6,0),"")</f>
        <v/>
      </c>
      <c r="R430" s="280" t="n"/>
      <c r="S430" s="280" t="n"/>
      <c r="T430" s="280" t="n"/>
      <c r="U430" s="280" t="n"/>
      <c r="V430" s="280" t="n"/>
      <c r="W430" s="280" t="n"/>
      <c r="X430" s="280" t="n"/>
      <c r="Y430" s="280" t="n"/>
    </row>
    <row r="431" ht="15" customHeight="1" s="195">
      <c r="A431" s="334" t="n"/>
      <c r="B431" s="334" t="n"/>
      <c r="C431" s="334" t="n"/>
      <c r="D431" s="334" t="n"/>
      <c r="E431" s="334" t="n"/>
      <c r="F431" s="334" t="n"/>
      <c r="G431" s="334" t="n"/>
      <c r="H431" s="334" t="n"/>
      <c r="I431" s="332">
        <f>IFERROR(VLOOKUP(TEXT(H431,"0"),IPRESS!$A$3:$B$212,2,0),"")</f>
        <v/>
      </c>
      <c r="J431" s="334" t="n"/>
      <c r="K431" s="332">
        <f>IFERROR(VLOOKUP(TEXT(O431,"0"),CONDUCTORES!$A$3:$G$54,7,0),"")</f>
        <v/>
      </c>
      <c r="L431" s="334" t="n"/>
      <c r="M431" s="334" t="n"/>
      <c r="N431" s="333">
        <f>IFERROR(IF(L431*M431=0,"",L431*M431),"")</f>
        <v/>
      </c>
      <c r="O431" s="334" t="n"/>
      <c r="P431" s="332">
        <f>IFERROR(VLOOKUP(TEXT(O431,"0"),CONDUCTORES!$A$3:$G$54,2,0),"")</f>
        <v/>
      </c>
      <c r="Q431" s="332">
        <f>IFERROR(VLOOKUP(TEXT(O431,"0"),CONDUCTORES!$A$3:$H$54,6,0),"")</f>
        <v/>
      </c>
      <c r="R431" s="334" t="n"/>
      <c r="S431" s="334" t="n"/>
      <c r="T431" s="334" t="n"/>
      <c r="U431" s="334" t="n"/>
      <c r="V431" s="334" t="n"/>
      <c r="W431" s="334" t="n"/>
      <c r="X431" s="334" t="n"/>
      <c r="Y431" s="334" t="n"/>
    </row>
    <row r="432" ht="15" customHeight="1" s="195">
      <c r="A432" s="280" t="n"/>
      <c r="B432" s="280" t="n"/>
      <c r="C432" s="280" t="n"/>
      <c r="D432" s="280" t="n"/>
      <c r="E432" s="280" t="n"/>
      <c r="F432" s="280" t="n"/>
      <c r="G432" s="280" t="n"/>
      <c r="H432" s="280" t="n"/>
      <c r="I432" s="332">
        <f>IFERROR(VLOOKUP(TEXT(H432,"0"),IPRESS!$A$3:$B$212,2,0),"")</f>
        <v/>
      </c>
      <c r="J432" s="280" t="n"/>
      <c r="K432" s="332">
        <f>IFERROR(VLOOKUP(TEXT(O432,"0"),CONDUCTORES!$A$3:$G$54,7,0),"")</f>
        <v/>
      </c>
      <c r="L432" s="280" t="n"/>
      <c r="M432" s="280" t="n"/>
      <c r="N432" s="333">
        <f>IFERROR(IF(L432*M432=0,"",L432*M432),"")</f>
        <v/>
      </c>
      <c r="O432" s="280" t="n"/>
      <c r="P432" s="332">
        <f>IFERROR(VLOOKUP(TEXT(O432,"0"),CONDUCTORES!$A$3:$G$54,2,0),"")</f>
        <v/>
      </c>
      <c r="Q432" s="332">
        <f>IFERROR(VLOOKUP(TEXT(O432,"0"),CONDUCTORES!$A$3:$H$54,6,0),"")</f>
        <v/>
      </c>
      <c r="R432" s="280" t="n"/>
      <c r="S432" s="280" t="n"/>
      <c r="T432" s="280" t="n"/>
      <c r="U432" s="280" t="n"/>
      <c r="V432" s="280" t="n"/>
      <c r="W432" s="280" t="n"/>
      <c r="X432" s="280" t="n"/>
      <c r="Y432" s="280" t="n"/>
    </row>
    <row r="433" ht="15" customHeight="1" s="195">
      <c r="A433" s="334" t="n"/>
      <c r="B433" s="334" t="n"/>
      <c r="C433" s="334" t="n"/>
      <c r="D433" s="334" t="n"/>
      <c r="E433" s="334" t="n"/>
      <c r="F433" s="334" t="n"/>
      <c r="G433" s="334" t="n"/>
      <c r="H433" s="334" t="n"/>
      <c r="I433" s="332">
        <f>IFERROR(VLOOKUP(TEXT(H433,"0"),IPRESS!$A$3:$B$212,2,0),"")</f>
        <v/>
      </c>
      <c r="J433" s="334" t="n"/>
      <c r="K433" s="332">
        <f>IFERROR(VLOOKUP(TEXT(O433,"0"),CONDUCTORES!$A$3:$G$54,7,0),"")</f>
        <v/>
      </c>
      <c r="L433" s="334" t="n"/>
      <c r="M433" s="334" t="n"/>
      <c r="N433" s="333">
        <f>IFERROR(IF(L433*M433=0,"",L433*M433),"")</f>
        <v/>
      </c>
      <c r="O433" s="334" t="n"/>
      <c r="P433" s="332">
        <f>IFERROR(VLOOKUP(TEXT(O433,"0"),CONDUCTORES!$A$3:$G$54,2,0),"")</f>
        <v/>
      </c>
      <c r="Q433" s="332">
        <f>IFERROR(VLOOKUP(TEXT(O433,"0"),CONDUCTORES!$A$3:$H$54,6,0),"")</f>
        <v/>
      </c>
      <c r="R433" s="334" t="n"/>
      <c r="S433" s="334" t="n"/>
      <c r="T433" s="334" t="n"/>
      <c r="U433" s="334" t="n"/>
      <c r="V433" s="334" t="n"/>
      <c r="W433" s="334" t="n"/>
      <c r="X433" s="334" t="n"/>
      <c r="Y433" s="334" t="n"/>
    </row>
    <row r="434" ht="15" customHeight="1" s="195">
      <c r="A434" s="280" t="n"/>
      <c r="B434" s="280" t="n"/>
      <c r="C434" s="280" t="n"/>
      <c r="D434" s="280" t="n"/>
      <c r="E434" s="280" t="n"/>
      <c r="F434" s="280" t="n"/>
      <c r="G434" s="280" t="n"/>
      <c r="H434" s="280" t="n"/>
      <c r="I434" s="332">
        <f>IFERROR(VLOOKUP(TEXT(H434,"0"),IPRESS!$A$3:$B$212,2,0),"")</f>
        <v/>
      </c>
      <c r="J434" s="280" t="n"/>
      <c r="K434" s="332">
        <f>IFERROR(VLOOKUP(TEXT(O434,"0"),CONDUCTORES!$A$3:$G$54,7,0),"")</f>
        <v/>
      </c>
      <c r="L434" s="280" t="n"/>
      <c r="M434" s="280" t="n"/>
      <c r="N434" s="333">
        <f>IFERROR(IF(L434*M434=0,"",L434*M434),"")</f>
        <v/>
      </c>
      <c r="O434" s="280" t="n"/>
      <c r="P434" s="332">
        <f>IFERROR(VLOOKUP(TEXT(O434,"0"),CONDUCTORES!$A$3:$G$54,2,0),"")</f>
        <v/>
      </c>
      <c r="Q434" s="332">
        <f>IFERROR(VLOOKUP(TEXT(O434,"0"),CONDUCTORES!$A$3:$H$54,6,0),"")</f>
        <v/>
      </c>
      <c r="R434" s="280" t="n"/>
      <c r="S434" s="280" t="n"/>
      <c r="T434" s="280" t="n"/>
      <c r="U434" s="280" t="n"/>
      <c r="V434" s="280" t="n"/>
      <c r="W434" s="280" t="n"/>
      <c r="X434" s="280" t="n"/>
      <c r="Y434" s="280" t="n"/>
    </row>
    <row r="435" ht="15" customHeight="1" s="195">
      <c r="A435" s="334" t="n"/>
      <c r="B435" s="334" t="n"/>
      <c r="C435" s="334" t="n"/>
      <c r="D435" s="334" t="n"/>
      <c r="E435" s="334" t="n"/>
      <c r="F435" s="334" t="n"/>
      <c r="G435" s="334" t="n"/>
      <c r="H435" s="334" t="n"/>
      <c r="I435" s="332">
        <f>IFERROR(VLOOKUP(TEXT(H435,"0"),IPRESS!$A$3:$B$212,2,0),"")</f>
        <v/>
      </c>
      <c r="J435" s="334" t="n"/>
      <c r="K435" s="332">
        <f>IFERROR(VLOOKUP(TEXT(O435,"0"),CONDUCTORES!$A$3:$G$54,7,0),"")</f>
        <v/>
      </c>
      <c r="L435" s="334" t="n"/>
      <c r="M435" s="334" t="n"/>
      <c r="N435" s="333">
        <f>IFERROR(IF(L435*M435=0,"",L435*M435),"")</f>
        <v/>
      </c>
      <c r="O435" s="334" t="n"/>
      <c r="P435" s="332">
        <f>IFERROR(VLOOKUP(TEXT(O435,"0"),CONDUCTORES!$A$3:$G$54,2,0),"")</f>
        <v/>
      </c>
      <c r="Q435" s="332">
        <f>IFERROR(VLOOKUP(TEXT(O435,"0"),CONDUCTORES!$A$3:$H$54,6,0),"")</f>
        <v/>
      </c>
      <c r="R435" s="334" t="n"/>
      <c r="S435" s="334" t="n"/>
      <c r="T435" s="334" t="n"/>
      <c r="U435" s="334" t="n"/>
      <c r="V435" s="334" t="n"/>
      <c r="W435" s="334" t="n"/>
      <c r="X435" s="334" t="n"/>
      <c r="Y435" s="334" t="n"/>
    </row>
    <row r="436" ht="15" customHeight="1" s="195">
      <c r="A436" s="280" t="n"/>
      <c r="B436" s="280" t="n"/>
      <c r="C436" s="280" t="n"/>
      <c r="D436" s="280" t="n"/>
      <c r="E436" s="280" t="n"/>
      <c r="F436" s="280" t="n"/>
      <c r="G436" s="280" t="n"/>
      <c r="H436" s="280" t="n"/>
      <c r="I436" s="332">
        <f>IFERROR(VLOOKUP(TEXT(H436,"0"),IPRESS!$A$3:$B$212,2,0),"")</f>
        <v/>
      </c>
      <c r="J436" s="280" t="n"/>
      <c r="K436" s="332">
        <f>IFERROR(VLOOKUP(TEXT(O436,"0"),CONDUCTORES!$A$3:$G$54,7,0),"")</f>
        <v/>
      </c>
      <c r="L436" s="280" t="n"/>
      <c r="M436" s="280" t="n"/>
      <c r="N436" s="333">
        <f>IFERROR(IF(L436*M436=0,"",L436*M436),"")</f>
        <v/>
      </c>
      <c r="O436" s="280" t="n"/>
      <c r="P436" s="332">
        <f>IFERROR(VLOOKUP(TEXT(O436,"0"),CONDUCTORES!$A$3:$G$54,2,0),"")</f>
        <v/>
      </c>
      <c r="Q436" s="332">
        <f>IFERROR(VLOOKUP(TEXT(O436,"0"),CONDUCTORES!$A$3:$H$54,6,0),"")</f>
        <v/>
      </c>
      <c r="R436" s="280" t="n"/>
      <c r="S436" s="280" t="n"/>
      <c r="T436" s="280" t="n"/>
      <c r="U436" s="280" t="n"/>
      <c r="V436" s="280" t="n"/>
      <c r="W436" s="280" t="n"/>
      <c r="X436" s="280" t="n"/>
      <c r="Y436" s="280" t="n"/>
    </row>
    <row r="437" ht="15" customHeight="1" s="195">
      <c r="A437" s="334" t="n"/>
      <c r="B437" s="334" t="n"/>
      <c r="C437" s="334" t="n"/>
      <c r="D437" s="334" t="n"/>
      <c r="E437" s="334" t="n"/>
      <c r="F437" s="334" t="n"/>
      <c r="G437" s="334" t="n"/>
      <c r="H437" s="334" t="n"/>
      <c r="I437" s="332">
        <f>IFERROR(VLOOKUP(TEXT(H437,"0"),IPRESS!$A$3:$B$212,2,0),"")</f>
        <v/>
      </c>
      <c r="J437" s="334" t="n"/>
      <c r="K437" s="332">
        <f>IFERROR(VLOOKUP(TEXT(O437,"0"),CONDUCTORES!$A$3:$G$54,7,0),"")</f>
        <v/>
      </c>
      <c r="L437" s="334" t="n"/>
      <c r="M437" s="334" t="n"/>
      <c r="N437" s="333">
        <f>IFERROR(IF(L437*M437=0,"",L437*M437),"")</f>
        <v/>
      </c>
      <c r="O437" s="334" t="n"/>
      <c r="P437" s="332">
        <f>IFERROR(VLOOKUP(TEXT(O437,"0"),CONDUCTORES!$A$3:$G$54,2,0),"")</f>
        <v/>
      </c>
      <c r="Q437" s="332">
        <f>IFERROR(VLOOKUP(TEXT(O437,"0"),CONDUCTORES!$A$3:$H$54,6,0),"")</f>
        <v/>
      </c>
      <c r="R437" s="334" t="n"/>
      <c r="S437" s="334" t="n"/>
      <c r="T437" s="334" t="n"/>
      <c r="U437" s="334" t="n"/>
      <c r="V437" s="334" t="n"/>
      <c r="W437" s="334" t="n"/>
      <c r="X437" s="334" t="n"/>
      <c r="Y437" s="334" t="n"/>
    </row>
    <row r="438" ht="15" customHeight="1" s="195">
      <c r="A438" s="280" t="n"/>
      <c r="B438" s="280" t="n"/>
      <c r="C438" s="280" t="n"/>
      <c r="D438" s="280" t="n"/>
      <c r="E438" s="280" t="n"/>
      <c r="F438" s="280" t="n"/>
      <c r="G438" s="280" t="n"/>
      <c r="H438" s="280" t="n"/>
      <c r="I438" s="332">
        <f>IFERROR(VLOOKUP(TEXT(H438,"0"),IPRESS!$A$3:$B$212,2,0),"")</f>
        <v/>
      </c>
      <c r="J438" s="280" t="n"/>
      <c r="K438" s="332">
        <f>IFERROR(VLOOKUP(TEXT(O438,"0"),CONDUCTORES!$A$3:$G$54,7,0),"")</f>
        <v/>
      </c>
      <c r="L438" s="280" t="n"/>
      <c r="M438" s="280" t="n"/>
      <c r="N438" s="333">
        <f>IFERROR(IF(L438*M438=0,"",L438*M438),"")</f>
        <v/>
      </c>
      <c r="O438" s="280" t="n"/>
      <c r="P438" s="332">
        <f>IFERROR(VLOOKUP(TEXT(O438,"0"),CONDUCTORES!$A$3:$G$54,2,0),"")</f>
        <v/>
      </c>
      <c r="Q438" s="332">
        <f>IFERROR(VLOOKUP(TEXT(O438,"0"),CONDUCTORES!$A$3:$H$54,6,0),"")</f>
        <v/>
      </c>
      <c r="R438" s="280" t="n"/>
      <c r="S438" s="280" t="n"/>
      <c r="T438" s="280" t="n"/>
      <c r="U438" s="280" t="n"/>
      <c r="V438" s="280" t="n"/>
      <c r="W438" s="280" t="n"/>
      <c r="X438" s="280" t="n"/>
      <c r="Y438" s="280" t="n"/>
    </row>
    <row r="439" ht="15" customHeight="1" s="195">
      <c r="A439" s="334" t="n"/>
      <c r="B439" s="334" t="n"/>
      <c r="C439" s="334" t="n"/>
      <c r="D439" s="334" t="n"/>
      <c r="E439" s="334" t="n"/>
      <c r="F439" s="334" t="n"/>
      <c r="G439" s="334" t="n"/>
      <c r="H439" s="334" t="n"/>
      <c r="I439" s="332">
        <f>IFERROR(VLOOKUP(TEXT(H439,"0"),IPRESS!$A$3:$B$212,2,0),"")</f>
        <v/>
      </c>
      <c r="J439" s="334" t="n"/>
      <c r="K439" s="332">
        <f>IFERROR(VLOOKUP(TEXT(O439,"0"),CONDUCTORES!$A$3:$G$54,7,0),"")</f>
        <v/>
      </c>
      <c r="L439" s="334" t="n"/>
      <c r="M439" s="334" t="n"/>
      <c r="N439" s="333">
        <f>IFERROR(IF(L439*M439=0,"",L439*M439),"")</f>
        <v/>
      </c>
      <c r="O439" s="334" t="n"/>
      <c r="P439" s="332">
        <f>IFERROR(VLOOKUP(TEXT(O439,"0"),CONDUCTORES!$A$3:$G$54,2,0),"")</f>
        <v/>
      </c>
      <c r="Q439" s="332">
        <f>IFERROR(VLOOKUP(TEXT(O439,"0"),CONDUCTORES!$A$3:$H$54,6,0),"")</f>
        <v/>
      </c>
      <c r="R439" s="334" t="n"/>
      <c r="S439" s="334" t="n"/>
      <c r="T439" s="334" t="n"/>
      <c r="U439" s="334" t="n"/>
      <c r="V439" s="334" t="n"/>
      <c r="W439" s="334" t="n"/>
      <c r="X439" s="334" t="n"/>
      <c r="Y439" s="334" t="n"/>
    </row>
    <row r="440" ht="15" customHeight="1" s="195">
      <c r="A440" s="280" t="n"/>
      <c r="B440" s="280" t="n"/>
      <c r="C440" s="280" t="n"/>
      <c r="D440" s="280" t="n"/>
      <c r="E440" s="280" t="n"/>
      <c r="F440" s="280" t="n"/>
      <c r="G440" s="280" t="n"/>
      <c r="H440" s="280" t="n"/>
      <c r="I440" s="332">
        <f>IFERROR(VLOOKUP(TEXT(H440,"0"),IPRESS!$A$3:$B$212,2,0),"")</f>
        <v/>
      </c>
      <c r="J440" s="280" t="n"/>
      <c r="K440" s="332">
        <f>IFERROR(VLOOKUP(TEXT(O440,"0"),CONDUCTORES!$A$3:$G$54,7,0),"")</f>
        <v/>
      </c>
      <c r="L440" s="280" t="n"/>
      <c r="M440" s="280" t="n"/>
      <c r="N440" s="333">
        <f>IFERROR(IF(L440*M440=0,"",L440*M440),"")</f>
        <v/>
      </c>
      <c r="O440" s="280" t="n"/>
      <c r="P440" s="332">
        <f>IFERROR(VLOOKUP(TEXT(O440,"0"),CONDUCTORES!$A$3:$G$54,2,0),"")</f>
        <v/>
      </c>
      <c r="Q440" s="332">
        <f>IFERROR(VLOOKUP(TEXT(O440,"0"),CONDUCTORES!$A$3:$H$54,6,0),"")</f>
        <v/>
      </c>
      <c r="R440" s="280" t="n"/>
      <c r="S440" s="280" t="n"/>
      <c r="T440" s="280" t="n"/>
      <c r="U440" s="280" t="n"/>
      <c r="V440" s="280" t="n"/>
      <c r="W440" s="280" t="n"/>
      <c r="X440" s="280" t="n"/>
      <c r="Y440" s="280" t="n"/>
    </row>
    <row r="441" ht="15" customHeight="1" s="195">
      <c r="A441" s="334" t="n"/>
      <c r="B441" s="334" t="n"/>
      <c r="C441" s="334" t="n"/>
      <c r="D441" s="334" t="n"/>
      <c r="E441" s="334" t="n"/>
      <c r="F441" s="334" t="n"/>
      <c r="G441" s="334" t="n"/>
      <c r="H441" s="334" t="n"/>
      <c r="I441" s="332">
        <f>IFERROR(VLOOKUP(TEXT(H441,"0"),IPRESS!$A$3:$B$212,2,0),"")</f>
        <v/>
      </c>
      <c r="J441" s="334" t="n"/>
      <c r="K441" s="332">
        <f>IFERROR(VLOOKUP(TEXT(O441,"0"),CONDUCTORES!$A$3:$G$54,7,0),"")</f>
        <v/>
      </c>
      <c r="L441" s="334" t="n"/>
      <c r="M441" s="334" t="n"/>
      <c r="N441" s="333">
        <f>IFERROR(IF(L441*M441=0,"",L441*M441),"")</f>
        <v/>
      </c>
      <c r="O441" s="334" t="n"/>
      <c r="P441" s="332">
        <f>IFERROR(VLOOKUP(TEXT(O441,"0"),CONDUCTORES!$A$3:$G$54,2,0),"")</f>
        <v/>
      </c>
      <c r="Q441" s="332">
        <f>IFERROR(VLOOKUP(TEXT(O441,"0"),CONDUCTORES!$A$3:$H$54,6,0),"")</f>
        <v/>
      </c>
      <c r="R441" s="334" t="n"/>
      <c r="S441" s="334" t="n"/>
      <c r="T441" s="334" t="n"/>
      <c r="U441" s="334" t="n"/>
      <c r="V441" s="334" t="n"/>
      <c r="W441" s="334" t="n"/>
      <c r="X441" s="334" t="n"/>
      <c r="Y441" s="334" t="n"/>
    </row>
    <row r="442" ht="15" customHeight="1" s="195">
      <c r="A442" s="280" t="n"/>
      <c r="B442" s="280" t="n"/>
      <c r="C442" s="280" t="n"/>
      <c r="D442" s="280" t="n"/>
      <c r="E442" s="280" t="n"/>
      <c r="F442" s="280" t="n"/>
      <c r="G442" s="280" t="n"/>
      <c r="H442" s="280" t="n"/>
      <c r="I442" s="332">
        <f>IFERROR(VLOOKUP(TEXT(H442,"0"),IPRESS!$A$3:$B$212,2,0),"")</f>
        <v/>
      </c>
      <c r="J442" s="280" t="n"/>
      <c r="K442" s="332">
        <f>IFERROR(VLOOKUP(TEXT(O442,"0"),CONDUCTORES!$A$3:$G$54,7,0),"")</f>
        <v/>
      </c>
      <c r="L442" s="280" t="n"/>
      <c r="M442" s="280" t="n"/>
      <c r="N442" s="333">
        <f>IFERROR(IF(L442*M442=0,"",L442*M442),"")</f>
        <v/>
      </c>
      <c r="O442" s="280" t="n"/>
      <c r="P442" s="332">
        <f>IFERROR(VLOOKUP(TEXT(O442,"0"),CONDUCTORES!$A$3:$G$54,2,0),"")</f>
        <v/>
      </c>
      <c r="Q442" s="332">
        <f>IFERROR(VLOOKUP(TEXT(O442,"0"),CONDUCTORES!$A$3:$H$54,6,0),"")</f>
        <v/>
      </c>
      <c r="R442" s="280" t="n"/>
      <c r="S442" s="280" t="n"/>
      <c r="T442" s="280" t="n"/>
      <c r="U442" s="280" t="n"/>
      <c r="V442" s="280" t="n"/>
      <c r="W442" s="280" t="n"/>
      <c r="X442" s="280" t="n"/>
      <c r="Y442" s="280" t="n"/>
    </row>
    <row r="443" ht="15" customHeight="1" s="195">
      <c r="A443" s="334" t="n"/>
      <c r="B443" s="334" t="n"/>
      <c r="C443" s="334" t="n"/>
      <c r="D443" s="334" t="n"/>
      <c r="E443" s="334" t="n"/>
      <c r="F443" s="334" t="n"/>
      <c r="G443" s="334" t="n"/>
      <c r="H443" s="334" t="n"/>
      <c r="I443" s="332">
        <f>IFERROR(VLOOKUP(TEXT(H443,"0"),IPRESS!$A$3:$B$212,2,0),"")</f>
        <v/>
      </c>
      <c r="J443" s="334" t="n"/>
      <c r="K443" s="332">
        <f>IFERROR(VLOOKUP(TEXT(O443,"0"),CONDUCTORES!$A$3:$G$54,7,0),"")</f>
        <v/>
      </c>
      <c r="L443" s="334" t="n"/>
      <c r="M443" s="334" t="n"/>
      <c r="N443" s="333">
        <f>IFERROR(IF(L443*M443=0,"",L443*M443),"")</f>
        <v/>
      </c>
      <c r="O443" s="334" t="n"/>
      <c r="P443" s="332">
        <f>IFERROR(VLOOKUP(TEXT(O443,"0"),CONDUCTORES!$A$3:$G$54,2,0),"")</f>
        <v/>
      </c>
      <c r="Q443" s="332">
        <f>IFERROR(VLOOKUP(TEXT(O443,"0"),CONDUCTORES!$A$3:$H$54,6,0),"")</f>
        <v/>
      </c>
      <c r="R443" s="334" t="n"/>
      <c r="S443" s="334" t="n"/>
      <c r="T443" s="334" t="n"/>
      <c r="U443" s="334" t="n"/>
      <c r="V443" s="334" t="n"/>
      <c r="W443" s="334" t="n"/>
      <c r="X443" s="334" t="n"/>
      <c r="Y443" s="334" t="n"/>
    </row>
    <row r="444" ht="15" customHeight="1" s="195">
      <c r="A444" s="280" t="n"/>
      <c r="B444" s="280" t="n"/>
      <c r="C444" s="280" t="n"/>
      <c r="D444" s="280" t="n"/>
      <c r="E444" s="280" t="n"/>
      <c r="F444" s="280" t="n"/>
      <c r="G444" s="280" t="n"/>
      <c r="H444" s="280" t="n"/>
      <c r="I444" s="332">
        <f>IFERROR(VLOOKUP(TEXT(H444,"0"),IPRESS!$A$3:$B$212,2,0),"")</f>
        <v/>
      </c>
      <c r="J444" s="280" t="n"/>
      <c r="K444" s="332">
        <f>IFERROR(VLOOKUP(TEXT(O444,"0"),CONDUCTORES!$A$3:$G$54,7,0),"")</f>
        <v/>
      </c>
      <c r="L444" s="280" t="n"/>
      <c r="M444" s="280" t="n"/>
      <c r="N444" s="333">
        <f>IFERROR(IF(L444*M444=0,"",L444*M444),"")</f>
        <v/>
      </c>
      <c r="O444" s="280" t="n"/>
      <c r="P444" s="332">
        <f>IFERROR(VLOOKUP(TEXT(O444,"0"),CONDUCTORES!$A$3:$G$54,2,0),"")</f>
        <v/>
      </c>
      <c r="Q444" s="332">
        <f>IFERROR(VLOOKUP(TEXT(O444,"0"),CONDUCTORES!$A$3:$H$54,6,0),"")</f>
        <v/>
      </c>
      <c r="R444" s="280" t="n"/>
      <c r="S444" s="280" t="n"/>
      <c r="T444" s="280" t="n"/>
      <c r="U444" s="280" t="n"/>
      <c r="V444" s="280" t="n"/>
      <c r="W444" s="280" t="n"/>
      <c r="X444" s="280" t="n"/>
      <c r="Y444" s="280" t="n"/>
    </row>
    <row r="445" ht="15" customHeight="1" s="195">
      <c r="A445" s="334" t="n"/>
      <c r="B445" s="334" t="n"/>
      <c r="C445" s="334" t="n"/>
      <c r="D445" s="334" t="n"/>
      <c r="E445" s="334" t="n"/>
      <c r="F445" s="334" t="n"/>
      <c r="G445" s="334" t="n"/>
      <c r="H445" s="334" t="n"/>
      <c r="I445" s="332">
        <f>IFERROR(VLOOKUP(TEXT(H445,"0"),IPRESS!$A$3:$B$212,2,0),"")</f>
        <v/>
      </c>
      <c r="J445" s="334" t="n"/>
      <c r="K445" s="332">
        <f>IFERROR(VLOOKUP(TEXT(O445,"0"),CONDUCTORES!$A$3:$G$54,7,0),"")</f>
        <v/>
      </c>
      <c r="L445" s="334" t="n"/>
      <c r="M445" s="334" t="n"/>
      <c r="N445" s="333">
        <f>IFERROR(IF(L445*M445=0,"",L445*M445),"")</f>
        <v/>
      </c>
      <c r="O445" s="334" t="n"/>
      <c r="P445" s="332">
        <f>IFERROR(VLOOKUP(TEXT(O445,"0"),CONDUCTORES!$A$3:$G$54,2,0),"")</f>
        <v/>
      </c>
      <c r="Q445" s="332">
        <f>IFERROR(VLOOKUP(TEXT(O445,"0"),CONDUCTORES!$A$3:$H$54,6,0),"")</f>
        <v/>
      </c>
      <c r="R445" s="334" t="n"/>
      <c r="S445" s="334" t="n"/>
      <c r="T445" s="334" t="n"/>
      <c r="U445" s="334" t="n"/>
      <c r="V445" s="334" t="n"/>
      <c r="W445" s="334" t="n"/>
      <c r="X445" s="334" t="n"/>
      <c r="Y445" s="334" t="n"/>
    </row>
    <row r="446" ht="15" customHeight="1" s="195">
      <c r="A446" s="280" t="n"/>
      <c r="B446" s="280" t="n"/>
      <c r="C446" s="280" t="n"/>
      <c r="D446" s="280" t="n"/>
      <c r="E446" s="280" t="n"/>
      <c r="F446" s="280" t="n"/>
      <c r="G446" s="280" t="n"/>
      <c r="H446" s="280" t="n"/>
      <c r="I446" s="332">
        <f>IFERROR(VLOOKUP(TEXT(H446,"0"),IPRESS!$A$3:$B$212,2,0),"")</f>
        <v/>
      </c>
      <c r="J446" s="280" t="n"/>
      <c r="K446" s="332">
        <f>IFERROR(VLOOKUP(TEXT(O446,"0"),CONDUCTORES!$A$3:$G$54,7,0),"")</f>
        <v/>
      </c>
      <c r="L446" s="280" t="n"/>
      <c r="M446" s="280" t="n"/>
      <c r="N446" s="333">
        <f>IFERROR(IF(L446*M446=0,"",L446*M446),"")</f>
        <v/>
      </c>
      <c r="O446" s="280" t="n"/>
      <c r="P446" s="332">
        <f>IFERROR(VLOOKUP(TEXT(O446,"0"),CONDUCTORES!$A$3:$G$54,2,0),"")</f>
        <v/>
      </c>
      <c r="Q446" s="332">
        <f>IFERROR(VLOOKUP(TEXT(O446,"0"),CONDUCTORES!$A$3:$H$54,6,0),"")</f>
        <v/>
      </c>
      <c r="R446" s="280" t="n"/>
      <c r="S446" s="280" t="n"/>
      <c r="T446" s="280" t="n"/>
      <c r="U446" s="280" t="n"/>
      <c r="V446" s="280" t="n"/>
      <c r="W446" s="280" t="n"/>
      <c r="X446" s="280" t="n"/>
      <c r="Y446" s="280" t="n"/>
    </row>
    <row r="447" ht="15" customHeight="1" s="195">
      <c r="A447" s="334" t="n"/>
      <c r="B447" s="334" t="n"/>
      <c r="C447" s="334" t="n"/>
      <c r="D447" s="334" t="n"/>
      <c r="E447" s="334" t="n"/>
      <c r="F447" s="334" t="n"/>
      <c r="G447" s="334" t="n"/>
      <c r="H447" s="334" t="n"/>
      <c r="I447" s="332">
        <f>IFERROR(VLOOKUP(TEXT(H447,"0"),IPRESS!$A$3:$B$212,2,0),"")</f>
        <v/>
      </c>
      <c r="J447" s="334" t="n"/>
      <c r="K447" s="332">
        <f>IFERROR(VLOOKUP(TEXT(O447,"0"),CONDUCTORES!$A$3:$G$54,7,0),"")</f>
        <v/>
      </c>
      <c r="L447" s="334" t="n"/>
      <c r="M447" s="334" t="n"/>
      <c r="N447" s="333">
        <f>IFERROR(IF(L447*M447=0,"",L447*M447),"")</f>
        <v/>
      </c>
      <c r="O447" s="334" t="n"/>
      <c r="P447" s="332">
        <f>IFERROR(VLOOKUP(TEXT(O447,"0"),CONDUCTORES!$A$3:$G$54,2,0),"")</f>
        <v/>
      </c>
      <c r="Q447" s="332">
        <f>IFERROR(VLOOKUP(TEXT(O447,"0"),CONDUCTORES!$A$3:$H$54,6,0),"")</f>
        <v/>
      </c>
      <c r="R447" s="334" t="n"/>
      <c r="S447" s="334" t="n"/>
      <c r="T447" s="334" t="n"/>
      <c r="U447" s="334" t="n"/>
      <c r="V447" s="334" t="n"/>
      <c r="W447" s="334" t="n"/>
      <c r="X447" s="334" t="n"/>
      <c r="Y447" s="334" t="n"/>
    </row>
    <row r="448" ht="15" customHeight="1" s="195">
      <c r="A448" s="280" t="n"/>
      <c r="B448" s="280" t="n"/>
      <c r="C448" s="280" t="n"/>
      <c r="D448" s="280" t="n"/>
      <c r="E448" s="280" t="n"/>
      <c r="F448" s="280" t="n"/>
      <c r="G448" s="280" t="n"/>
      <c r="H448" s="280" t="n"/>
      <c r="I448" s="332">
        <f>IFERROR(VLOOKUP(TEXT(H448,"0"),IPRESS!$A$3:$B$212,2,0),"")</f>
        <v/>
      </c>
      <c r="J448" s="280" t="n"/>
      <c r="K448" s="332">
        <f>IFERROR(VLOOKUP(TEXT(O448,"0"),CONDUCTORES!$A$3:$G$54,7,0),"")</f>
        <v/>
      </c>
      <c r="L448" s="280" t="n"/>
      <c r="M448" s="280" t="n"/>
      <c r="N448" s="333">
        <f>IFERROR(IF(L448*M448=0,"",L448*M448),"")</f>
        <v/>
      </c>
      <c r="O448" s="280" t="n"/>
      <c r="P448" s="332">
        <f>IFERROR(VLOOKUP(TEXT(O448,"0"),CONDUCTORES!$A$3:$G$54,2,0),"")</f>
        <v/>
      </c>
      <c r="Q448" s="332">
        <f>IFERROR(VLOOKUP(TEXT(O448,"0"),CONDUCTORES!$A$3:$H$54,6,0),"")</f>
        <v/>
      </c>
      <c r="R448" s="280" t="n"/>
      <c r="S448" s="280" t="n"/>
      <c r="T448" s="280" t="n"/>
      <c r="U448" s="280" t="n"/>
      <c r="V448" s="280" t="n"/>
      <c r="W448" s="280" t="n"/>
      <c r="X448" s="280" t="n"/>
      <c r="Y448" s="280" t="n"/>
    </row>
    <row r="449" ht="15" customHeight="1" s="195">
      <c r="A449" s="334" t="n"/>
      <c r="B449" s="334" t="n"/>
      <c r="C449" s="334" t="n"/>
      <c r="D449" s="334" t="n"/>
      <c r="E449" s="334" t="n"/>
      <c r="F449" s="334" t="n"/>
      <c r="G449" s="334" t="n"/>
      <c r="H449" s="334" t="n"/>
      <c r="I449" s="332">
        <f>IFERROR(VLOOKUP(TEXT(H449,"0"),IPRESS!$A$3:$B$212,2,0),"")</f>
        <v/>
      </c>
      <c r="J449" s="334" t="n"/>
      <c r="K449" s="332">
        <f>IFERROR(VLOOKUP(TEXT(O449,"0"),CONDUCTORES!$A$3:$G$54,7,0),"")</f>
        <v/>
      </c>
      <c r="L449" s="334" t="n"/>
      <c r="M449" s="334" t="n"/>
      <c r="N449" s="333">
        <f>IFERROR(IF(L449*M449=0,"",L449*M449),"")</f>
        <v/>
      </c>
      <c r="O449" s="334" t="n"/>
      <c r="P449" s="332">
        <f>IFERROR(VLOOKUP(TEXT(O449,"0"),CONDUCTORES!$A$3:$G$54,2,0),"")</f>
        <v/>
      </c>
      <c r="Q449" s="332">
        <f>IFERROR(VLOOKUP(TEXT(O449,"0"),CONDUCTORES!$A$3:$H$54,6,0),"")</f>
        <v/>
      </c>
      <c r="R449" s="334" t="n"/>
      <c r="S449" s="334" t="n"/>
      <c r="T449" s="334" t="n"/>
      <c r="U449" s="334" t="n"/>
      <c r="V449" s="334" t="n"/>
      <c r="W449" s="334" t="n"/>
      <c r="X449" s="334" t="n"/>
      <c r="Y449" s="334" t="n"/>
    </row>
    <row r="450" ht="15" customHeight="1" s="195">
      <c r="A450" s="280" t="n"/>
      <c r="B450" s="280" t="n"/>
      <c r="C450" s="280" t="n"/>
      <c r="D450" s="280" t="n"/>
      <c r="E450" s="280" t="n"/>
      <c r="F450" s="280" t="n"/>
      <c r="G450" s="280" t="n"/>
      <c r="H450" s="280" t="n"/>
      <c r="I450" s="332">
        <f>IFERROR(VLOOKUP(TEXT(H450,"0"),IPRESS!$A$3:$B$212,2,0),"")</f>
        <v/>
      </c>
      <c r="J450" s="280" t="n"/>
      <c r="K450" s="332">
        <f>IFERROR(VLOOKUP(TEXT(O450,"0"),CONDUCTORES!$A$3:$G$54,7,0),"")</f>
        <v/>
      </c>
      <c r="L450" s="280" t="n"/>
      <c r="M450" s="280" t="n"/>
      <c r="N450" s="333">
        <f>IFERROR(IF(L450*M450=0,"",L450*M450),"")</f>
        <v/>
      </c>
      <c r="O450" s="280" t="n"/>
      <c r="P450" s="332">
        <f>IFERROR(VLOOKUP(TEXT(O450,"0"),CONDUCTORES!$A$3:$G$54,2,0),"")</f>
        <v/>
      </c>
      <c r="Q450" s="332">
        <f>IFERROR(VLOOKUP(TEXT(O450,"0"),CONDUCTORES!$A$3:$H$54,6,0),"")</f>
        <v/>
      </c>
      <c r="R450" s="280" t="n"/>
      <c r="S450" s="280" t="n"/>
      <c r="T450" s="280" t="n"/>
      <c r="U450" s="280" t="n"/>
      <c r="V450" s="280" t="n"/>
      <c r="W450" s="280" t="n"/>
      <c r="X450" s="280" t="n"/>
      <c r="Y450" s="280" t="n"/>
    </row>
    <row r="451" ht="15" customHeight="1" s="195">
      <c r="A451" s="334" t="n"/>
      <c r="B451" s="334" t="n"/>
      <c r="C451" s="334" t="n"/>
      <c r="D451" s="334" t="n"/>
      <c r="E451" s="334" t="n"/>
      <c r="F451" s="334" t="n"/>
      <c r="G451" s="334" t="n"/>
      <c r="H451" s="334" t="n"/>
      <c r="I451" s="332">
        <f>IFERROR(VLOOKUP(TEXT(H451,"0"),IPRESS!$A$3:$B$212,2,0),"")</f>
        <v/>
      </c>
      <c r="J451" s="334" t="n"/>
      <c r="K451" s="332">
        <f>IFERROR(VLOOKUP(TEXT(O451,"0"),CONDUCTORES!$A$3:$G$54,7,0),"")</f>
        <v/>
      </c>
      <c r="L451" s="334" t="n"/>
      <c r="M451" s="334" t="n"/>
      <c r="N451" s="333">
        <f>IFERROR(IF(L451*M451=0,"",L451*M451),"")</f>
        <v/>
      </c>
      <c r="O451" s="334" t="n"/>
      <c r="P451" s="332">
        <f>IFERROR(VLOOKUP(TEXT(O451,"0"),CONDUCTORES!$A$3:$G$54,2,0),"")</f>
        <v/>
      </c>
      <c r="Q451" s="332">
        <f>IFERROR(VLOOKUP(TEXT(O451,"0"),CONDUCTORES!$A$3:$H$54,6,0),"")</f>
        <v/>
      </c>
      <c r="R451" s="334" t="n"/>
      <c r="S451" s="334" t="n"/>
      <c r="T451" s="334" t="n"/>
      <c r="U451" s="334" t="n"/>
      <c r="V451" s="334" t="n"/>
      <c r="W451" s="334" t="n"/>
      <c r="X451" s="334" t="n"/>
      <c r="Y451" s="334" t="n"/>
    </row>
    <row r="452" ht="15" customHeight="1" s="195">
      <c r="A452" s="280" t="n"/>
      <c r="B452" s="280" t="n"/>
      <c r="C452" s="280" t="n"/>
      <c r="D452" s="280" t="n"/>
      <c r="E452" s="280" t="n"/>
      <c r="F452" s="280" t="n"/>
      <c r="G452" s="280" t="n"/>
      <c r="H452" s="280" t="n"/>
      <c r="I452" s="332">
        <f>IFERROR(VLOOKUP(TEXT(H452,"0"),IPRESS!$A$3:$B$212,2,0),"")</f>
        <v/>
      </c>
      <c r="J452" s="280" t="n"/>
      <c r="K452" s="332">
        <f>IFERROR(VLOOKUP(TEXT(O452,"0"),CONDUCTORES!$A$3:$G$54,7,0),"")</f>
        <v/>
      </c>
      <c r="L452" s="280" t="n"/>
      <c r="M452" s="280" t="n"/>
      <c r="N452" s="333">
        <f>IFERROR(IF(L452*M452=0,"",L452*M452),"")</f>
        <v/>
      </c>
      <c r="O452" s="280" t="n"/>
      <c r="P452" s="332">
        <f>IFERROR(VLOOKUP(TEXT(O452,"0"),CONDUCTORES!$A$3:$G$54,2,0),"")</f>
        <v/>
      </c>
      <c r="Q452" s="332">
        <f>IFERROR(VLOOKUP(TEXT(O452,"0"),CONDUCTORES!$A$3:$H$54,6,0),"")</f>
        <v/>
      </c>
      <c r="R452" s="280" t="n"/>
      <c r="S452" s="280" t="n"/>
      <c r="T452" s="280" t="n"/>
      <c r="U452" s="280" t="n"/>
      <c r="V452" s="280" t="n"/>
      <c r="W452" s="280" t="n"/>
      <c r="X452" s="280" t="n"/>
      <c r="Y452" s="280" t="n"/>
    </row>
    <row r="453" ht="15" customHeight="1" s="195">
      <c r="A453" s="334" t="n"/>
      <c r="B453" s="334" t="n"/>
      <c r="C453" s="334" t="n"/>
      <c r="D453" s="334" t="n"/>
      <c r="E453" s="334" t="n"/>
      <c r="F453" s="334" t="n"/>
      <c r="G453" s="334" t="n"/>
      <c r="H453" s="334" t="n"/>
      <c r="I453" s="332">
        <f>IFERROR(VLOOKUP(TEXT(H453,"0"),IPRESS!$A$3:$B$212,2,0),"")</f>
        <v/>
      </c>
      <c r="J453" s="334" t="n"/>
      <c r="K453" s="332">
        <f>IFERROR(VLOOKUP(TEXT(O453,"0"),CONDUCTORES!$A$3:$G$54,7,0),"")</f>
        <v/>
      </c>
      <c r="L453" s="334" t="n"/>
      <c r="M453" s="334" t="n"/>
      <c r="N453" s="333">
        <f>IFERROR(IF(L453*M453=0,"",L453*M453),"")</f>
        <v/>
      </c>
      <c r="O453" s="334" t="n"/>
      <c r="P453" s="332">
        <f>IFERROR(VLOOKUP(TEXT(O453,"0"),CONDUCTORES!$A$3:$G$54,2,0),"")</f>
        <v/>
      </c>
      <c r="Q453" s="332">
        <f>IFERROR(VLOOKUP(TEXT(O453,"0"),CONDUCTORES!$A$3:$H$54,6,0),"")</f>
        <v/>
      </c>
      <c r="R453" s="334" t="n"/>
      <c r="S453" s="334" t="n"/>
      <c r="T453" s="334" t="n"/>
      <c r="U453" s="334" t="n"/>
      <c r="V453" s="334" t="n"/>
      <c r="W453" s="334" t="n"/>
      <c r="X453" s="334" t="n"/>
      <c r="Y453" s="334" t="n"/>
    </row>
    <row r="454" ht="15" customHeight="1" s="195">
      <c r="A454" s="280" t="n"/>
      <c r="B454" s="280" t="n"/>
      <c r="C454" s="280" t="n"/>
      <c r="D454" s="280" t="n"/>
      <c r="E454" s="280" t="n"/>
      <c r="F454" s="280" t="n"/>
      <c r="G454" s="280" t="n"/>
      <c r="H454" s="280" t="n"/>
      <c r="I454" s="332">
        <f>IFERROR(VLOOKUP(TEXT(H454,"0"),IPRESS!$A$3:$B$212,2,0),"")</f>
        <v/>
      </c>
      <c r="J454" s="280" t="n"/>
      <c r="K454" s="332">
        <f>IFERROR(VLOOKUP(TEXT(O454,"0"),CONDUCTORES!$A$3:$G$54,7,0),"")</f>
        <v/>
      </c>
      <c r="L454" s="280" t="n"/>
      <c r="M454" s="280" t="n"/>
      <c r="N454" s="333">
        <f>IFERROR(IF(L454*M454=0,"",L454*M454),"")</f>
        <v/>
      </c>
      <c r="O454" s="280" t="n"/>
      <c r="P454" s="332">
        <f>IFERROR(VLOOKUP(TEXT(O454,"0"),CONDUCTORES!$A$3:$G$54,2,0),"")</f>
        <v/>
      </c>
      <c r="Q454" s="332">
        <f>IFERROR(VLOOKUP(TEXT(O454,"0"),CONDUCTORES!$A$3:$H$54,6,0),"")</f>
        <v/>
      </c>
      <c r="R454" s="280" t="n"/>
      <c r="S454" s="280" t="n"/>
      <c r="T454" s="280" t="n"/>
      <c r="U454" s="280" t="n"/>
      <c r="V454" s="280" t="n"/>
      <c r="W454" s="280" t="n"/>
      <c r="X454" s="280" t="n"/>
      <c r="Y454" s="280" t="n"/>
    </row>
    <row r="455" ht="15" customHeight="1" s="195">
      <c r="A455" s="334" t="n"/>
      <c r="B455" s="334" t="n"/>
      <c r="C455" s="334" t="n"/>
      <c r="D455" s="334" t="n"/>
      <c r="E455" s="334" t="n"/>
      <c r="F455" s="334" t="n"/>
      <c r="G455" s="334" t="n"/>
      <c r="H455" s="334" t="n"/>
      <c r="I455" s="332">
        <f>IFERROR(VLOOKUP(TEXT(H455,"0"),IPRESS!$A$3:$B$212,2,0),"")</f>
        <v/>
      </c>
      <c r="J455" s="334" t="n"/>
      <c r="K455" s="332">
        <f>IFERROR(VLOOKUP(TEXT(O455,"0"),CONDUCTORES!$A$3:$G$54,7,0),"")</f>
        <v/>
      </c>
      <c r="L455" s="334" t="n"/>
      <c r="M455" s="334" t="n"/>
      <c r="N455" s="333">
        <f>IFERROR(IF(L455*M455=0,"",L455*M455),"")</f>
        <v/>
      </c>
      <c r="O455" s="334" t="n"/>
      <c r="P455" s="332">
        <f>IFERROR(VLOOKUP(TEXT(O455,"0"),CONDUCTORES!$A$3:$G$54,2,0),"")</f>
        <v/>
      </c>
      <c r="Q455" s="332">
        <f>IFERROR(VLOOKUP(TEXT(O455,"0"),CONDUCTORES!$A$3:$H$54,6,0),"")</f>
        <v/>
      </c>
      <c r="R455" s="334" t="n"/>
      <c r="S455" s="334" t="n"/>
      <c r="T455" s="334" t="n"/>
      <c r="U455" s="334" t="n"/>
      <c r="V455" s="334" t="n"/>
      <c r="W455" s="334" t="n"/>
      <c r="X455" s="334" t="n"/>
      <c r="Y455" s="334" t="n"/>
    </row>
    <row r="456" ht="15" customHeight="1" s="195">
      <c r="A456" s="280" t="n"/>
      <c r="B456" s="280" t="n"/>
      <c r="C456" s="280" t="n"/>
      <c r="D456" s="280" t="n"/>
      <c r="E456" s="280" t="n"/>
      <c r="F456" s="280" t="n"/>
      <c r="G456" s="280" t="n"/>
      <c r="H456" s="280" t="n"/>
      <c r="I456" s="332">
        <f>IFERROR(VLOOKUP(TEXT(H456,"0"),IPRESS!$A$3:$B$212,2,0),"")</f>
        <v/>
      </c>
      <c r="J456" s="280" t="n"/>
      <c r="K456" s="332">
        <f>IFERROR(VLOOKUP(TEXT(O456,"0"),CONDUCTORES!$A$3:$G$54,7,0),"")</f>
        <v/>
      </c>
      <c r="L456" s="280" t="n"/>
      <c r="M456" s="280" t="n"/>
      <c r="N456" s="333">
        <f>IFERROR(IF(L456*M456=0,"",L456*M456),"")</f>
        <v/>
      </c>
      <c r="O456" s="280" t="n"/>
      <c r="P456" s="332">
        <f>IFERROR(VLOOKUP(TEXT(O456,"0"),CONDUCTORES!$A$3:$G$54,2,0),"")</f>
        <v/>
      </c>
      <c r="Q456" s="332">
        <f>IFERROR(VLOOKUP(TEXT(O456,"0"),CONDUCTORES!$A$3:$H$54,6,0),"")</f>
        <v/>
      </c>
      <c r="R456" s="280" t="n"/>
      <c r="S456" s="280" t="n"/>
      <c r="T456" s="280" t="n"/>
      <c r="U456" s="280" t="n"/>
      <c r="V456" s="280" t="n"/>
      <c r="W456" s="280" t="n"/>
      <c r="X456" s="280" t="n"/>
      <c r="Y456" s="280" t="n"/>
    </row>
    <row r="457" ht="15" customHeight="1" s="195">
      <c r="A457" s="334" t="n"/>
      <c r="B457" s="334" t="n"/>
      <c r="C457" s="334" t="n"/>
      <c r="D457" s="334" t="n"/>
      <c r="E457" s="334" t="n"/>
      <c r="F457" s="334" t="n"/>
      <c r="G457" s="334" t="n"/>
      <c r="H457" s="334" t="n"/>
      <c r="I457" s="332">
        <f>IFERROR(VLOOKUP(TEXT(H457,"0"),IPRESS!$A$3:$B$212,2,0),"")</f>
        <v/>
      </c>
      <c r="J457" s="334" t="n"/>
      <c r="K457" s="332">
        <f>IFERROR(VLOOKUP(TEXT(O457,"0"),CONDUCTORES!$A$3:$G$54,7,0),"")</f>
        <v/>
      </c>
      <c r="L457" s="334" t="n"/>
      <c r="M457" s="334" t="n"/>
      <c r="N457" s="333">
        <f>IFERROR(IF(L457*M457=0,"",L457*M457),"")</f>
        <v/>
      </c>
      <c r="O457" s="334" t="n"/>
      <c r="P457" s="332">
        <f>IFERROR(VLOOKUP(TEXT(O457,"0"),CONDUCTORES!$A$3:$G$54,2,0),"")</f>
        <v/>
      </c>
      <c r="Q457" s="332">
        <f>IFERROR(VLOOKUP(TEXT(O457,"0"),CONDUCTORES!$A$3:$H$54,6,0),"")</f>
        <v/>
      </c>
      <c r="R457" s="334" t="n"/>
      <c r="S457" s="334" t="n"/>
      <c r="T457" s="334" t="n"/>
      <c r="U457" s="334" t="n"/>
      <c r="V457" s="334" t="n"/>
      <c r="W457" s="334" t="n"/>
      <c r="X457" s="334" t="n"/>
      <c r="Y457" s="334" t="n"/>
    </row>
    <row r="458" ht="15" customHeight="1" s="195">
      <c r="A458" s="280" t="n"/>
      <c r="B458" s="280" t="n"/>
      <c r="C458" s="280" t="n"/>
      <c r="D458" s="280" t="n"/>
      <c r="E458" s="280" t="n"/>
      <c r="F458" s="280" t="n"/>
      <c r="G458" s="280" t="n"/>
      <c r="H458" s="280" t="n"/>
      <c r="I458" s="332">
        <f>IFERROR(VLOOKUP(TEXT(H458,"0"),IPRESS!$A$3:$B$212,2,0),"")</f>
        <v/>
      </c>
      <c r="J458" s="280" t="n"/>
      <c r="K458" s="332">
        <f>IFERROR(VLOOKUP(TEXT(O458,"0"),CONDUCTORES!$A$3:$G$54,7,0),"")</f>
        <v/>
      </c>
      <c r="L458" s="280" t="n"/>
      <c r="M458" s="280" t="n"/>
      <c r="N458" s="333">
        <f>IFERROR(IF(L458*M458=0,"",L458*M458),"")</f>
        <v/>
      </c>
      <c r="O458" s="280" t="n"/>
      <c r="P458" s="332">
        <f>IFERROR(VLOOKUP(TEXT(O458,"0"),CONDUCTORES!$A$3:$G$54,2,0),"")</f>
        <v/>
      </c>
      <c r="Q458" s="332">
        <f>IFERROR(VLOOKUP(TEXT(O458,"0"),CONDUCTORES!$A$3:$H$54,6,0),"")</f>
        <v/>
      </c>
      <c r="R458" s="280" t="n"/>
      <c r="S458" s="280" t="n"/>
      <c r="T458" s="280" t="n"/>
      <c r="U458" s="280" t="n"/>
      <c r="V458" s="280" t="n"/>
      <c r="W458" s="280" t="n"/>
      <c r="X458" s="280" t="n"/>
      <c r="Y458" s="280" t="n"/>
    </row>
    <row r="459" ht="15" customHeight="1" s="195">
      <c r="A459" s="334" t="n"/>
      <c r="B459" s="334" t="n"/>
      <c r="C459" s="334" t="n"/>
      <c r="D459" s="334" t="n"/>
      <c r="E459" s="334" t="n"/>
      <c r="F459" s="334" t="n"/>
      <c r="G459" s="334" t="n"/>
      <c r="H459" s="334" t="n"/>
      <c r="I459" s="332">
        <f>IFERROR(VLOOKUP(TEXT(H459,"0"),IPRESS!$A$3:$B$212,2,0),"")</f>
        <v/>
      </c>
      <c r="J459" s="334" t="n"/>
      <c r="K459" s="332">
        <f>IFERROR(VLOOKUP(TEXT(O459,"0"),CONDUCTORES!$A$3:$G$54,7,0),"")</f>
        <v/>
      </c>
      <c r="L459" s="334" t="n"/>
      <c r="M459" s="334" t="n"/>
      <c r="N459" s="333">
        <f>IFERROR(IF(L459*M459=0,"",L459*M459),"")</f>
        <v/>
      </c>
      <c r="O459" s="334" t="n"/>
      <c r="P459" s="332">
        <f>IFERROR(VLOOKUP(TEXT(O459,"0"),CONDUCTORES!$A$3:$G$54,2,0),"")</f>
        <v/>
      </c>
      <c r="Q459" s="332">
        <f>IFERROR(VLOOKUP(TEXT(O459,"0"),CONDUCTORES!$A$3:$H$54,6,0),"")</f>
        <v/>
      </c>
      <c r="R459" s="334" t="n"/>
      <c r="S459" s="334" t="n"/>
      <c r="T459" s="334" t="n"/>
      <c r="U459" s="334" t="n"/>
      <c r="V459" s="334" t="n"/>
      <c r="W459" s="334" t="n"/>
      <c r="X459" s="334" t="n"/>
      <c r="Y459" s="334" t="n"/>
    </row>
    <row r="460" ht="15" customHeight="1" s="195">
      <c r="A460" s="280" t="n"/>
      <c r="B460" s="280" t="n"/>
      <c r="C460" s="280" t="n"/>
      <c r="D460" s="280" t="n"/>
      <c r="E460" s="280" t="n"/>
      <c r="F460" s="280" t="n"/>
      <c r="G460" s="280" t="n"/>
      <c r="H460" s="280" t="n"/>
      <c r="I460" s="332">
        <f>IFERROR(VLOOKUP(TEXT(H460,"0"),IPRESS!$A$3:$B$212,2,0),"")</f>
        <v/>
      </c>
      <c r="J460" s="280" t="n"/>
      <c r="K460" s="332">
        <f>IFERROR(VLOOKUP(TEXT(O460,"0"),CONDUCTORES!$A$3:$G$54,7,0),"")</f>
        <v/>
      </c>
      <c r="L460" s="280" t="n"/>
      <c r="M460" s="280" t="n"/>
      <c r="N460" s="333">
        <f>IFERROR(IF(L460*M460=0,"",L460*M460),"")</f>
        <v/>
      </c>
      <c r="O460" s="280" t="n"/>
      <c r="P460" s="332">
        <f>IFERROR(VLOOKUP(TEXT(O460,"0"),CONDUCTORES!$A$3:$G$54,2,0),"")</f>
        <v/>
      </c>
      <c r="Q460" s="332">
        <f>IFERROR(VLOOKUP(TEXT(O460,"0"),CONDUCTORES!$A$3:$H$54,6,0),"")</f>
        <v/>
      </c>
      <c r="R460" s="280" t="n"/>
      <c r="S460" s="280" t="n"/>
      <c r="T460" s="280" t="n"/>
      <c r="U460" s="280" t="n"/>
      <c r="V460" s="280" t="n"/>
      <c r="W460" s="280" t="n"/>
      <c r="X460" s="280" t="n"/>
      <c r="Y460" s="280" t="n"/>
    </row>
    <row r="461" ht="15" customHeight="1" s="195">
      <c r="A461" s="334" t="n"/>
      <c r="B461" s="334" t="n"/>
      <c r="C461" s="334" t="n"/>
      <c r="D461" s="334" t="n"/>
      <c r="E461" s="334" t="n"/>
      <c r="F461" s="334" t="n"/>
      <c r="G461" s="334" t="n"/>
      <c r="H461" s="334" t="n"/>
      <c r="I461" s="332">
        <f>IFERROR(VLOOKUP(TEXT(H461,"0"),IPRESS!$A$3:$B$212,2,0),"")</f>
        <v/>
      </c>
      <c r="J461" s="334" t="n"/>
      <c r="K461" s="332">
        <f>IFERROR(VLOOKUP(TEXT(O461,"0"),CONDUCTORES!$A$3:$G$54,7,0),"")</f>
        <v/>
      </c>
      <c r="L461" s="334" t="n"/>
      <c r="M461" s="334" t="n"/>
      <c r="N461" s="333">
        <f>IFERROR(IF(L461*M461=0,"",L461*M461),"")</f>
        <v/>
      </c>
      <c r="O461" s="334" t="n"/>
      <c r="P461" s="332">
        <f>IFERROR(VLOOKUP(TEXT(O461,"0"),CONDUCTORES!$A$3:$G$54,2,0),"")</f>
        <v/>
      </c>
      <c r="Q461" s="332">
        <f>IFERROR(VLOOKUP(TEXT(O461,"0"),CONDUCTORES!$A$3:$H$54,6,0),"")</f>
        <v/>
      </c>
      <c r="R461" s="334" t="n"/>
      <c r="S461" s="334" t="n"/>
      <c r="T461" s="334" t="n"/>
      <c r="U461" s="334" t="n"/>
      <c r="V461" s="334" t="n"/>
      <c r="W461" s="334" t="n"/>
      <c r="X461" s="334" t="n"/>
      <c r="Y461" s="334" t="n"/>
    </row>
    <row r="462" ht="15" customHeight="1" s="195">
      <c r="A462" s="280" t="n"/>
      <c r="B462" s="280" t="n"/>
      <c r="C462" s="280" t="n"/>
      <c r="D462" s="280" t="n"/>
      <c r="E462" s="280" t="n"/>
      <c r="F462" s="280" t="n"/>
      <c r="G462" s="280" t="n"/>
      <c r="H462" s="280" t="n"/>
      <c r="I462" s="332">
        <f>IFERROR(VLOOKUP(TEXT(H462,"0"),IPRESS!$A$3:$B$212,2,0),"")</f>
        <v/>
      </c>
      <c r="J462" s="280" t="n"/>
      <c r="K462" s="332">
        <f>IFERROR(VLOOKUP(TEXT(O462,"0"),CONDUCTORES!$A$3:$G$54,7,0),"")</f>
        <v/>
      </c>
      <c r="L462" s="280" t="n"/>
      <c r="M462" s="280" t="n"/>
      <c r="N462" s="333">
        <f>IFERROR(IF(L462*M462=0,"",L462*M462),"")</f>
        <v/>
      </c>
      <c r="O462" s="280" t="n"/>
      <c r="P462" s="332">
        <f>IFERROR(VLOOKUP(TEXT(O462,"0"),CONDUCTORES!$A$3:$G$54,2,0),"")</f>
        <v/>
      </c>
      <c r="Q462" s="332">
        <f>IFERROR(VLOOKUP(TEXT(O462,"0"),CONDUCTORES!$A$3:$H$54,6,0),"")</f>
        <v/>
      </c>
      <c r="R462" s="280" t="n"/>
      <c r="S462" s="280" t="n"/>
      <c r="T462" s="280" t="n"/>
      <c r="U462" s="280" t="n"/>
      <c r="V462" s="280" t="n"/>
      <c r="W462" s="280" t="n"/>
      <c r="X462" s="280" t="n"/>
      <c r="Y462" s="280" t="n"/>
    </row>
    <row r="463" ht="15" customHeight="1" s="195">
      <c r="A463" s="334" t="n"/>
      <c r="B463" s="334" t="n"/>
      <c r="C463" s="334" t="n"/>
      <c r="D463" s="334" t="n"/>
      <c r="E463" s="334" t="n"/>
      <c r="F463" s="334" t="n"/>
      <c r="G463" s="334" t="n"/>
      <c r="H463" s="334" t="n"/>
      <c r="I463" s="332">
        <f>IFERROR(VLOOKUP(TEXT(H463,"0"),IPRESS!$A$3:$B$212,2,0),"")</f>
        <v/>
      </c>
      <c r="J463" s="334" t="n"/>
      <c r="K463" s="332">
        <f>IFERROR(VLOOKUP(TEXT(O463,"0"),CONDUCTORES!$A$3:$G$54,7,0),"")</f>
        <v/>
      </c>
      <c r="L463" s="334" t="n"/>
      <c r="M463" s="334" t="n"/>
      <c r="N463" s="333">
        <f>IFERROR(IF(L463*M463=0,"",L463*M463),"")</f>
        <v/>
      </c>
      <c r="O463" s="334" t="n"/>
      <c r="P463" s="332">
        <f>IFERROR(VLOOKUP(TEXT(O463,"0"),CONDUCTORES!$A$3:$G$54,2,0),"")</f>
        <v/>
      </c>
      <c r="Q463" s="332">
        <f>IFERROR(VLOOKUP(TEXT(O463,"0"),CONDUCTORES!$A$3:$H$54,6,0),"")</f>
        <v/>
      </c>
      <c r="R463" s="334" t="n"/>
      <c r="S463" s="334" t="n"/>
      <c r="T463" s="334" t="n"/>
      <c r="U463" s="334" t="n"/>
      <c r="V463" s="334" t="n"/>
      <c r="W463" s="334" t="n"/>
      <c r="X463" s="334" t="n"/>
      <c r="Y463" s="334" t="n"/>
    </row>
    <row r="464" ht="15" customHeight="1" s="195">
      <c r="A464" s="280" t="n"/>
      <c r="B464" s="280" t="n"/>
      <c r="C464" s="280" t="n"/>
      <c r="D464" s="280" t="n"/>
      <c r="E464" s="280" t="n"/>
      <c r="F464" s="280" t="n"/>
      <c r="G464" s="280" t="n"/>
      <c r="H464" s="280" t="n"/>
      <c r="I464" s="332">
        <f>IFERROR(VLOOKUP(TEXT(H464,"0"),IPRESS!$A$3:$B$212,2,0),"")</f>
        <v/>
      </c>
      <c r="J464" s="280" t="n"/>
      <c r="K464" s="332">
        <f>IFERROR(VLOOKUP(TEXT(O464,"0"),CONDUCTORES!$A$3:$G$54,7,0),"")</f>
        <v/>
      </c>
      <c r="L464" s="280" t="n"/>
      <c r="M464" s="280" t="n"/>
      <c r="N464" s="333">
        <f>IFERROR(IF(L464*M464=0,"",L464*M464),"")</f>
        <v/>
      </c>
      <c r="O464" s="280" t="n"/>
      <c r="P464" s="332">
        <f>IFERROR(VLOOKUP(TEXT(O464,"0"),CONDUCTORES!$A$3:$G$54,2,0),"")</f>
        <v/>
      </c>
      <c r="Q464" s="332">
        <f>IFERROR(VLOOKUP(TEXT(O464,"0"),CONDUCTORES!$A$3:$H$54,6,0),"")</f>
        <v/>
      </c>
      <c r="R464" s="280" t="n"/>
      <c r="S464" s="280" t="n"/>
      <c r="T464" s="280" t="n"/>
      <c r="U464" s="280" t="n"/>
      <c r="V464" s="280" t="n"/>
      <c r="W464" s="280" t="n"/>
      <c r="X464" s="280" t="n"/>
      <c r="Y464" s="280" t="n"/>
    </row>
    <row r="465" ht="15" customHeight="1" s="195">
      <c r="A465" s="334" t="n"/>
      <c r="B465" s="334" t="n"/>
      <c r="C465" s="334" t="n"/>
      <c r="D465" s="334" t="n"/>
      <c r="E465" s="334" t="n"/>
      <c r="F465" s="334" t="n"/>
      <c r="G465" s="334" t="n"/>
      <c r="H465" s="334" t="n"/>
      <c r="I465" s="332">
        <f>IFERROR(VLOOKUP(TEXT(H465,"0"),IPRESS!$A$3:$B$212,2,0),"")</f>
        <v/>
      </c>
      <c r="J465" s="334" t="n"/>
      <c r="K465" s="332">
        <f>IFERROR(VLOOKUP(TEXT(O465,"0"),CONDUCTORES!$A$3:$G$54,7,0),"")</f>
        <v/>
      </c>
      <c r="L465" s="334" t="n"/>
      <c r="M465" s="334" t="n"/>
      <c r="N465" s="333">
        <f>IFERROR(IF(L465*M465=0,"",L465*M465),"")</f>
        <v/>
      </c>
      <c r="O465" s="334" t="n"/>
      <c r="P465" s="332">
        <f>IFERROR(VLOOKUP(TEXT(O465,"0"),CONDUCTORES!$A$3:$G$54,2,0),"")</f>
        <v/>
      </c>
      <c r="Q465" s="332">
        <f>IFERROR(VLOOKUP(TEXT(O465,"0"),CONDUCTORES!$A$3:$H$54,6,0),"")</f>
        <v/>
      </c>
      <c r="R465" s="334" t="n"/>
      <c r="S465" s="334" t="n"/>
      <c r="T465" s="334" t="n"/>
      <c r="U465" s="334" t="n"/>
      <c r="V465" s="334" t="n"/>
      <c r="W465" s="334" t="n"/>
      <c r="X465" s="334" t="n"/>
      <c r="Y465" s="334" t="n"/>
    </row>
    <row r="466" ht="15" customHeight="1" s="195">
      <c r="A466" s="280" t="n"/>
      <c r="B466" s="280" t="n"/>
      <c r="C466" s="280" t="n"/>
      <c r="D466" s="280" t="n"/>
      <c r="E466" s="280" t="n"/>
      <c r="F466" s="280" t="n"/>
      <c r="G466" s="280" t="n"/>
      <c r="H466" s="280" t="n"/>
      <c r="I466" s="332">
        <f>IFERROR(VLOOKUP(TEXT(H466,"0"),IPRESS!$A$3:$B$212,2,0),"")</f>
        <v/>
      </c>
      <c r="J466" s="280" t="n"/>
      <c r="K466" s="332">
        <f>IFERROR(VLOOKUP(TEXT(O466,"0"),CONDUCTORES!$A$3:$G$54,7,0),"")</f>
        <v/>
      </c>
      <c r="L466" s="280" t="n"/>
      <c r="M466" s="280" t="n"/>
      <c r="N466" s="333">
        <f>IFERROR(IF(L466*M466=0,"",L466*M466),"")</f>
        <v/>
      </c>
      <c r="O466" s="280" t="n"/>
      <c r="P466" s="332">
        <f>IFERROR(VLOOKUP(TEXT(O466,"0"),CONDUCTORES!$A$3:$G$54,2,0),"")</f>
        <v/>
      </c>
      <c r="Q466" s="332">
        <f>IFERROR(VLOOKUP(TEXT(O466,"0"),CONDUCTORES!$A$3:$H$54,6,0),"")</f>
        <v/>
      </c>
      <c r="R466" s="280" t="n"/>
      <c r="S466" s="280" t="n"/>
      <c r="T466" s="280" t="n"/>
      <c r="U466" s="280" t="n"/>
      <c r="V466" s="280" t="n"/>
      <c r="W466" s="280" t="n"/>
      <c r="X466" s="280" t="n"/>
      <c r="Y466" s="280" t="n"/>
    </row>
    <row r="467" ht="15" customHeight="1" s="195">
      <c r="A467" s="334" t="n"/>
      <c r="B467" s="334" t="n"/>
      <c r="C467" s="334" t="n"/>
      <c r="D467" s="334" t="n"/>
      <c r="E467" s="334" t="n"/>
      <c r="F467" s="334" t="n"/>
      <c r="G467" s="334" t="n"/>
      <c r="H467" s="334" t="n"/>
      <c r="I467" s="332">
        <f>IFERROR(VLOOKUP(TEXT(H467,"0"),IPRESS!$A$3:$B$212,2,0),"")</f>
        <v/>
      </c>
      <c r="J467" s="334" t="n"/>
      <c r="K467" s="332">
        <f>IFERROR(VLOOKUP(TEXT(O467,"0"),CONDUCTORES!$A$3:$G$54,7,0),"")</f>
        <v/>
      </c>
      <c r="L467" s="334" t="n"/>
      <c r="M467" s="334" t="n"/>
      <c r="N467" s="333">
        <f>IFERROR(IF(L467*M467=0,"",L467*M467),"")</f>
        <v/>
      </c>
      <c r="O467" s="334" t="n"/>
      <c r="P467" s="332">
        <f>IFERROR(VLOOKUP(TEXT(O467,"0"),CONDUCTORES!$A$3:$G$54,2,0),"")</f>
        <v/>
      </c>
      <c r="Q467" s="332">
        <f>IFERROR(VLOOKUP(TEXT(O467,"0"),CONDUCTORES!$A$3:$H$54,6,0),"")</f>
        <v/>
      </c>
      <c r="R467" s="334" t="n"/>
      <c r="S467" s="334" t="n"/>
      <c r="T467" s="334" t="n"/>
      <c r="U467" s="334" t="n"/>
      <c r="V467" s="334" t="n"/>
      <c r="W467" s="334" t="n"/>
      <c r="X467" s="334" t="n"/>
      <c r="Y467" s="334" t="n"/>
    </row>
    <row r="468" ht="15" customHeight="1" s="195">
      <c r="A468" s="280" t="n"/>
      <c r="B468" s="280" t="n"/>
      <c r="C468" s="280" t="n"/>
      <c r="D468" s="280" t="n"/>
      <c r="E468" s="280" t="n"/>
      <c r="F468" s="280" t="n"/>
      <c r="G468" s="280" t="n"/>
      <c r="H468" s="280" t="n"/>
      <c r="I468" s="332">
        <f>IFERROR(VLOOKUP(TEXT(H468,"0"),IPRESS!$A$3:$B$212,2,0),"")</f>
        <v/>
      </c>
      <c r="J468" s="280" t="n"/>
      <c r="K468" s="332">
        <f>IFERROR(VLOOKUP(TEXT(O468,"0"),CONDUCTORES!$A$3:$G$54,7,0),"")</f>
        <v/>
      </c>
      <c r="L468" s="280" t="n"/>
      <c r="M468" s="280" t="n"/>
      <c r="N468" s="333">
        <f>IFERROR(IF(L468*M468=0,"",L468*M468),"")</f>
        <v/>
      </c>
      <c r="O468" s="280" t="n"/>
      <c r="P468" s="332">
        <f>IFERROR(VLOOKUP(TEXT(O468,"0"),CONDUCTORES!$A$3:$G$54,2,0),"")</f>
        <v/>
      </c>
      <c r="Q468" s="332">
        <f>IFERROR(VLOOKUP(TEXT(O468,"0"),CONDUCTORES!$A$3:$H$54,6,0),"")</f>
        <v/>
      </c>
      <c r="R468" s="280" t="n"/>
      <c r="S468" s="280" t="n"/>
      <c r="T468" s="280" t="n"/>
      <c r="U468" s="280" t="n"/>
      <c r="V468" s="280" t="n"/>
      <c r="W468" s="280" t="n"/>
      <c r="X468" s="280" t="n"/>
      <c r="Y468" s="280" t="n"/>
    </row>
    <row r="469" ht="15" customHeight="1" s="195">
      <c r="A469" s="334" t="n"/>
      <c r="B469" s="334" t="n"/>
      <c r="C469" s="334" t="n"/>
      <c r="D469" s="334" t="n"/>
      <c r="E469" s="334" t="n"/>
      <c r="F469" s="334" t="n"/>
      <c r="G469" s="334" t="n"/>
      <c r="H469" s="334" t="n"/>
      <c r="I469" s="332">
        <f>IFERROR(VLOOKUP(TEXT(H469,"0"),IPRESS!$A$3:$B$212,2,0),"")</f>
        <v/>
      </c>
      <c r="J469" s="334" t="n"/>
      <c r="K469" s="332">
        <f>IFERROR(VLOOKUP(TEXT(O469,"0"),CONDUCTORES!$A$3:$G$54,7,0),"")</f>
        <v/>
      </c>
      <c r="L469" s="334" t="n"/>
      <c r="M469" s="334" t="n"/>
      <c r="N469" s="333">
        <f>IFERROR(IF(L469*M469=0,"",L469*M469),"")</f>
        <v/>
      </c>
      <c r="O469" s="334" t="n"/>
      <c r="P469" s="332">
        <f>IFERROR(VLOOKUP(TEXT(O469,"0"),CONDUCTORES!$A$3:$G$54,2,0),"")</f>
        <v/>
      </c>
      <c r="Q469" s="332">
        <f>IFERROR(VLOOKUP(TEXT(O469,"0"),CONDUCTORES!$A$3:$H$54,6,0),"")</f>
        <v/>
      </c>
      <c r="R469" s="334" t="n"/>
      <c r="S469" s="334" t="n"/>
      <c r="T469" s="334" t="n"/>
      <c r="U469" s="334" t="n"/>
      <c r="V469" s="334" t="n"/>
      <c r="W469" s="334" t="n"/>
      <c r="X469" s="334" t="n"/>
      <c r="Y469" s="334" t="n"/>
    </row>
    <row r="470" ht="15" customHeight="1" s="195">
      <c r="A470" s="280" t="n"/>
      <c r="B470" s="280" t="n"/>
      <c r="C470" s="280" t="n"/>
      <c r="D470" s="280" t="n"/>
      <c r="E470" s="280" t="n"/>
      <c r="F470" s="280" t="n"/>
      <c r="G470" s="280" t="n"/>
      <c r="H470" s="280" t="n"/>
      <c r="I470" s="332">
        <f>IFERROR(VLOOKUP(TEXT(H470,"0"),IPRESS!$A$3:$B$212,2,0),"")</f>
        <v/>
      </c>
      <c r="J470" s="280" t="n"/>
      <c r="K470" s="332">
        <f>IFERROR(VLOOKUP(TEXT(O470,"0"),CONDUCTORES!$A$3:$G$54,7,0),"")</f>
        <v/>
      </c>
      <c r="L470" s="280" t="n"/>
      <c r="M470" s="280" t="n"/>
      <c r="N470" s="333">
        <f>IFERROR(IF(L470*M470=0,"",L470*M470),"")</f>
        <v/>
      </c>
      <c r="O470" s="280" t="n"/>
      <c r="P470" s="332">
        <f>IFERROR(VLOOKUP(TEXT(O470,"0"),CONDUCTORES!$A$3:$G$54,2,0),"")</f>
        <v/>
      </c>
      <c r="Q470" s="332">
        <f>IFERROR(VLOOKUP(TEXT(O470,"0"),CONDUCTORES!$A$3:$H$54,6,0),"")</f>
        <v/>
      </c>
      <c r="R470" s="280" t="n"/>
      <c r="S470" s="280" t="n"/>
      <c r="T470" s="280" t="n"/>
      <c r="U470" s="280" t="n"/>
      <c r="V470" s="280" t="n"/>
      <c r="W470" s="280" t="n"/>
      <c r="X470" s="280" t="n"/>
      <c r="Y470" s="280" t="n"/>
    </row>
    <row r="471" ht="15" customHeight="1" s="195">
      <c r="A471" s="334" t="n"/>
      <c r="B471" s="334" t="n"/>
      <c r="C471" s="334" t="n"/>
      <c r="D471" s="334" t="n"/>
      <c r="E471" s="334" t="n"/>
      <c r="F471" s="334" t="n"/>
      <c r="G471" s="334" t="n"/>
      <c r="H471" s="334" t="n"/>
      <c r="I471" s="332">
        <f>IFERROR(VLOOKUP(TEXT(H471,"0"),IPRESS!$A$3:$B$212,2,0),"")</f>
        <v/>
      </c>
      <c r="J471" s="334" t="n"/>
      <c r="K471" s="332">
        <f>IFERROR(VLOOKUP(TEXT(O471,"0"),CONDUCTORES!$A$3:$G$54,7,0),"")</f>
        <v/>
      </c>
      <c r="L471" s="334" t="n"/>
      <c r="M471" s="334" t="n"/>
      <c r="N471" s="333">
        <f>IFERROR(IF(L471*M471=0,"",L471*M471),"")</f>
        <v/>
      </c>
      <c r="O471" s="334" t="n"/>
      <c r="P471" s="332">
        <f>IFERROR(VLOOKUP(TEXT(O471,"0"),CONDUCTORES!$A$3:$G$54,2,0),"")</f>
        <v/>
      </c>
      <c r="Q471" s="332">
        <f>IFERROR(VLOOKUP(TEXT(O471,"0"),CONDUCTORES!$A$3:$H$54,6,0),"")</f>
        <v/>
      </c>
      <c r="R471" s="334" t="n"/>
      <c r="S471" s="334" t="n"/>
      <c r="T471" s="334" t="n"/>
      <c r="U471" s="334" t="n"/>
      <c r="V471" s="334" t="n"/>
      <c r="W471" s="334" t="n"/>
      <c r="X471" s="334" t="n"/>
      <c r="Y471" s="334" t="n"/>
    </row>
    <row r="472" ht="15" customHeight="1" s="195">
      <c r="A472" s="280" t="n"/>
      <c r="B472" s="280" t="n"/>
      <c r="C472" s="280" t="n"/>
      <c r="D472" s="280" t="n"/>
      <c r="E472" s="280" t="n"/>
      <c r="F472" s="280" t="n"/>
      <c r="G472" s="280" t="n"/>
      <c r="H472" s="280" t="n"/>
      <c r="I472" s="332">
        <f>IFERROR(VLOOKUP(TEXT(H472,"0"),IPRESS!$A$3:$B$212,2,0),"")</f>
        <v/>
      </c>
      <c r="J472" s="280" t="n"/>
      <c r="K472" s="332">
        <f>IFERROR(VLOOKUP(TEXT(O472,"0"),CONDUCTORES!$A$3:$G$54,7,0),"")</f>
        <v/>
      </c>
      <c r="L472" s="280" t="n"/>
      <c r="M472" s="280" t="n"/>
      <c r="N472" s="333">
        <f>IFERROR(IF(L472*M472=0,"",L472*M472),"")</f>
        <v/>
      </c>
      <c r="O472" s="280" t="n"/>
      <c r="P472" s="332">
        <f>IFERROR(VLOOKUP(TEXT(O472,"0"),CONDUCTORES!$A$3:$G$54,2,0),"")</f>
        <v/>
      </c>
      <c r="Q472" s="332">
        <f>IFERROR(VLOOKUP(TEXT(O472,"0"),CONDUCTORES!$A$3:$H$54,6,0),"")</f>
        <v/>
      </c>
      <c r="R472" s="280" t="n"/>
      <c r="S472" s="280" t="n"/>
      <c r="T472" s="280" t="n"/>
      <c r="U472" s="280" t="n"/>
      <c r="V472" s="280" t="n"/>
      <c r="W472" s="280" t="n"/>
      <c r="X472" s="280" t="n"/>
      <c r="Y472" s="280" t="n"/>
    </row>
    <row r="473" ht="15" customHeight="1" s="195">
      <c r="A473" s="334" t="n"/>
      <c r="B473" s="334" t="n"/>
      <c r="C473" s="334" t="n"/>
      <c r="D473" s="334" t="n"/>
      <c r="E473" s="334" t="n"/>
      <c r="F473" s="334" t="n"/>
      <c r="G473" s="334" t="n"/>
      <c r="H473" s="334" t="n"/>
      <c r="I473" s="332">
        <f>IFERROR(VLOOKUP(TEXT(H473,"0"),IPRESS!$A$3:$B$212,2,0),"")</f>
        <v/>
      </c>
      <c r="J473" s="334" t="n"/>
      <c r="K473" s="332">
        <f>IFERROR(VLOOKUP(TEXT(O473,"0"),CONDUCTORES!$A$3:$G$54,7,0),"")</f>
        <v/>
      </c>
      <c r="L473" s="334" t="n"/>
      <c r="M473" s="334" t="n"/>
      <c r="N473" s="333">
        <f>IFERROR(IF(L473*M473=0,"",L473*M473),"")</f>
        <v/>
      </c>
      <c r="O473" s="334" t="n"/>
      <c r="P473" s="332">
        <f>IFERROR(VLOOKUP(TEXT(O473,"0"),CONDUCTORES!$A$3:$G$54,2,0),"")</f>
        <v/>
      </c>
      <c r="Q473" s="332">
        <f>IFERROR(VLOOKUP(TEXT(O473,"0"),CONDUCTORES!$A$3:$H$54,6,0),"")</f>
        <v/>
      </c>
      <c r="R473" s="334" t="n"/>
      <c r="S473" s="334" t="n"/>
      <c r="T473" s="334" t="n"/>
      <c r="U473" s="334" t="n"/>
      <c r="V473" s="334" t="n"/>
      <c r="W473" s="334" t="n"/>
      <c r="X473" s="334" t="n"/>
      <c r="Y473" s="334" t="n"/>
    </row>
    <row r="474" ht="15" customHeight="1" s="195">
      <c r="A474" s="280" t="n"/>
      <c r="B474" s="280" t="n"/>
      <c r="C474" s="280" t="n"/>
      <c r="D474" s="280" t="n"/>
      <c r="E474" s="280" t="n"/>
      <c r="F474" s="280" t="n"/>
      <c r="G474" s="280" t="n"/>
      <c r="H474" s="280" t="n"/>
      <c r="I474" s="332">
        <f>IFERROR(VLOOKUP(TEXT(H474,"0"),IPRESS!$A$3:$B$212,2,0),"")</f>
        <v/>
      </c>
      <c r="J474" s="280" t="n"/>
      <c r="K474" s="332">
        <f>IFERROR(VLOOKUP(TEXT(O474,"0"),CONDUCTORES!$A$3:$G$54,7,0),"")</f>
        <v/>
      </c>
      <c r="L474" s="280" t="n"/>
      <c r="M474" s="280" t="n"/>
      <c r="N474" s="333">
        <f>IFERROR(IF(L474*M474=0,"",L474*M474),"")</f>
        <v/>
      </c>
      <c r="O474" s="280" t="n"/>
      <c r="P474" s="332">
        <f>IFERROR(VLOOKUP(TEXT(O474,"0"),CONDUCTORES!$A$3:$G$54,2,0),"")</f>
        <v/>
      </c>
      <c r="Q474" s="332">
        <f>IFERROR(VLOOKUP(TEXT(O474,"0"),CONDUCTORES!$A$3:$H$54,6,0),"")</f>
        <v/>
      </c>
      <c r="R474" s="280" t="n"/>
      <c r="S474" s="280" t="n"/>
      <c r="T474" s="280" t="n"/>
      <c r="U474" s="280" t="n"/>
      <c r="V474" s="280" t="n"/>
      <c r="W474" s="280" t="n"/>
      <c r="X474" s="280" t="n"/>
      <c r="Y474" s="280" t="n"/>
    </row>
    <row r="475" ht="15" customHeight="1" s="195">
      <c r="A475" s="334" t="n"/>
      <c r="B475" s="334" t="n"/>
      <c r="C475" s="334" t="n"/>
      <c r="D475" s="334" t="n"/>
      <c r="E475" s="334" t="n"/>
      <c r="F475" s="334" t="n"/>
      <c r="G475" s="334" t="n"/>
      <c r="H475" s="334" t="n"/>
      <c r="I475" s="332">
        <f>IFERROR(VLOOKUP(TEXT(H475,"0"),IPRESS!$A$3:$B$212,2,0),"")</f>
        <v/>
      </c>
      <c r="J475" s="334" t="n"/>
      <c r="K475" s="332">
        <f>IFERROR(VLOOKUP(TEXT(O475,"0"),CONDUCTORES!$A$3:$G$54,7,0),"")</f>
        <v/>
      </c>
      <c r="L475" s="334" t="n"/>
      <c r="M475" s="334" t="n"/>
      <c r="N475" s="333">
        <f>IFERROR(IF(L475*M475=0,"",L475*M475),"")</f>
        <v/>
      </c>
      <c r="O475" s="334" t="n"/>
      <c r="P475" s="332">
        <f>IFERROR(VLOOKUP(TEXT(O475,"0"),CONDUCTORES!$A$3:$G$54,2,0),"")</f>
        <v/>
      </c>
      <c r="Q475" s="332">
        <f>IFERROR(VLOOKUP(TEXT(O475,"0"),CONDUCTORES!$A$3:$H$54,6,0),"")</f>
        <v/>
      </c>
      <c r="R475" s="334" t="n"/>
      <c r="S475" s="334" t="n"/>
      <c r="T475" s="334" t="n"/>
      <c r="U475" s="334" t="n"/>
      <c r="V475" s="334" t="n"/>
      <c r="W475" s="334" t="n"/>
      <c r="X475" s="334" t="n"/>
      <c r="Y475" s="334" t="n"/>
    </row>
    <row r="476" ht="15" customHeight="1" s="195">
      <c r="A476" s="280" t="n"/>
      <c r="B476" s="280" t="n"/>
      <c r="C476" s="280" t="n"/>
      <c r="D476" s="280" t="n"/>
      <c r="E476" s="280" t="n"/>
      <c r="F476" s="280" t="n"/>
      <c r="G476" s="280" t="n"/>
      <c r="H476" s="280" t="n"/>
      <c r="I476" s="332">
        <f>IFERROR(VLOOKUP(TEXT(H476,"0"),IPRESS!$A$3:$B$212,2,0),"")</f>
        <v/>
      </c>
      <c r="J476" s="280" t="n"/>
      <c r="K476" s="332">
        <f>IFERROR(VLOOKUP(TEXT(O476,"0"),CONDUCTORES!$A$3:$G$54,7,0),"")</f>
        <v/>
      </c>
      <c r="L476" s="280" t="n"/>
      <c r="M476" s="280" t="n"/>
      <c r="N476" s="333">
        <f>IFERROR(IF(L476*M476=0,"",L476*M476),"")</f>
        <v/>
      </c>
      <c r="O476" s="280" t="n"/>
      <c r="P476" s="332">
        <f>IFERROR(VLOOKUP(TEXT(O476,"0"),CONDUCTORES!$A$3:$G$54,2,0),"")</f>
        <v/>
      </c>
      <c r="Q476" s="332">
        <f>IFERROR(VLOOKUP(TEXT(O476,"0"),CONDUCTORES!$A$3:$H$54,6,0),"")</f>
        <v/>
      </c>
      <c r="R476" s="280" t="n"/>
      <c r="S476" s="280" t="n"/>
      <c r="T476" s="280" t="n"/>
      <c r="U476" s="280" t="n"/>
      <c r="V476" s="280" t="n"/>
      <c r="W476" s="280" t="n"/>
      <c r="X476" s="280" t="n"/>
      <c r="Y476" s="280" t="n"/>
    </row>
    <row r="477" ht="15" customHeight="1" s="195">
      <c r="A477" s="334" t="n"/>
      <c r="B477" s="334" t="n"/>
      <c r="C477" s="334" t="n"/>
      <c r="D477" s="334" t="n"/>
      <c r="E477" s="334" t="n"/>
      <c r="F477" s="334" t="n"/>
      <c r="G477" s="334" t="n"/>
      <c r="H477" s="334" t="n"/>
      <c r="I477" s="332">
        <f>IFERROR(VLOOKUP(TEXT(H477,"0"),IPRESS!$A$3:$B$212,2,0),"")</f>
        <v/>
      </c>
      <c r="J477" s="334" t="n"/>
      <c r="K477" s="332">
        <f>IFERROR(VLOOKUP(TEXT(O477,"0"),CONDUCTORES!$A$3:$G$54,7,0),"")</f>
        <v/>
      </c>
      <c r="L477" s="334" t="n"/>
      <c r="M477" s="334" t="n"/>
      <c r="N477" s="333">
        <f>IFERROR(IF(L477*M477=0,"",L477*M477),"")</f>
        <v/>
      </c>
      <c r="O477" s="334" t="n"/>
      <c r="P477" s="332">
        <f>IFERROR(VLOOKUP(TEXT(O477,"0"),CONDUCTORES!$A$3:$G$54,2,0),"")</f>
        <v/>
      </c>
      <c r="Q477" s="332">
        <f>IFERROR(VLOOKUP(TEXT(O477,"0"),CONDUCTORES!$A$3:$H$54,6,0),"")</f>
        <v/>
      </c>
      <c r="R477" s="334" t="n"/>
      <c r="S477" s="334" t="n"/>
      <c r="T477" s="334" t="n"/>
      <c r="U477" s="334" t="n"/>
      <c r="V477" s="334" t="n"/>
      <c r="W477" s="334" t="n"/>
      <c r="X477" s="334" t="n"/>
      <c r="Y477" s="334" t="n"/>
    </row>
    <row r="478" ht="15" customHeight="1" s="195">
      <c r="A478" s="280" t="n"/>
      <c r="B478" s="280" t="n"/>
      <c r="C478" s="280" t="n"/>
      <c r="D478" s="280" t="n"/>
      <c r="E478" s="280" t="n"/>
      <c r="F478" s="280" t="n"/>
      <c r="G478" s="280" t="n"/>
      <c r="H478" s="280" t="n"/>
      <c r="I478" s="332">
        <f>IFERROR(VLOOKUP(TEXT(H478,"0"),IPRESS!$A$3:$B$212,2,0),"")</f>
        <v/>
      </c>
      <c r="J478" s="280" t="n"/>
      <c r="K478" s="332">
        <f>IFERROR(VLOOKUP(TEXT(O478,"0"),CONDUCTORES!$A$3:$G$54,7,0),"")</f>
        <v/>
      </c>
      <c r="L478" s="280" t="n"/>
      <c r="M478" s="280" t="n"/>
      <c r="N478" s="333">
        <f>IFERROR(IF(L478*M478=0,"",L478*M478),"")</f>
        <v/>
      </c>
      <c r="O478" s="280" t="n"/>
      <c r="P478" s="332">
        <f>IFERROR(VLOOKUP(TEXT(O478,"0"),CONDUCTORES!$A$3:$G$54,2,0),"")</f>
        <v/>
      </c>
      <c r="Q478" s="332">
        <f>IFERROR(VLOOKUP(TEXT(O478,"0"),CONDUCTORES!$A$3:$H$54,6,0),"")</f>
        <v/>
      </c>
      <c r="R478" s="280" t="n"/>
      <c r="S478" s="280" t="n"/>
      <c r="T478" s="280" t="n"/>
      <c r="U478" s="280" t="n"/>
      <c r="V478" s="280" t="n"/>
      <c r="W478" s="280" t="n"/>
      <c r="X478" s="280" t="n"/>
      <c r="Y478" s="280" t="n"/>
    </row>
    <row r="479" ht="15" customHeight="1" s="195">
      <c r="A479" s="334" t="n"/>
      <c r="B479" s="334" t="n"/>
      <c r="C479" s="334" t="n"/>
      <c r="D479" s="334" t="n"/>
      <c r="E479" s="334" t="n"/>
      <c r="F479" s="334" t="n"/>
      <c r="G479" s="334" t="n"/>
      <c r="H479" s="334" t="n"/>
      <c r="I479" s="332">
        <f>IFERROR(VLOOKUP(TEXT(H479,"0"),IPRESS!$A$3:$B$212,2,0),"")</f>
        <v/>
      </c>
      <c r="J479" s="334" t="n"/>
      <c r="K479" s="332">
        <f>IFERROR(VLOOKUP(TEXT(O479,"0"),CONDUCTORES!$A$3:$G$54,7,0),"")</f>
        <v/>
      </c>
      <c r="L479" s="334" t="n"/>
      <c r="M479" s="334" t="n"/>
      <c r="N479" s="333">
        <f>IFERROR(IF(L479*M479=0,"",L479*M479),"")</f>
        <v/>
      </c>
      <c r="O479" s="334" t="n"/>
      <c r="P479" s="332">
        <f>IFERROR(VLOOKUP(TEXT(O479,"0"),CONDUCTORES!$A$3:$G$54,2,0),"")</f>
        <v/>
      </c>
      <c r="Q479" s="332">
        <f>IFERROR(VLOOKUP(TEXT(O479,"0"),CONDUCTORES!$A$3:$H$54,6,0),"")</f>
        <v/>
      </c>
      <c r="R479" s="334" t="n"/>
      <c r="S479" s="334" t="n"/>
      <c r="T479" s="334" t="n"/>
      <c r="U479" s="334" t="n"/>
      <c r="V479" s="334" t="n"/>
      <c r="W479" s="334" t="n"/>
      <c r="X479" s="334" t="n"/>
      <c r="Y479" s="334" t="n"/>
    </row>
    <row r="480" ht="15" customHeight="1" s="195">
      <c r="A480" s="280" t="n"/>
      <c r="B480" s="280" t="n"/>
      <c r="C480" s="280" t="n"/>
      <c r="D480" s="280" t="n"/>
      <c r="E480" s="280" t="n"/>
      <c r="F480" s="280" t="n"/>
      <c r="G480" s="280" t="n"/>
      <c r="H480" s="280" t="n"/>
      <c r="I480" s="332">
        <f>IFERROR(VLOOKUP(TEXT(H480,"0"),IPRESS!$A$3:$B$212,2,0),"")</f>
        <v/>
      </c>
      <c r="J480" s="280" t="n"/>
      <c r="K480" s="332">
        <f>IFERROR(VLOOKUP(TEXT(O480,"0"),CONDUCTORES!$A$3:$G$54,7,0),"")</f>
        <v/>
      </c>
      <c r="L480" s="280" t="n"/>
      <c r="M480" s="280" t="n"/>
      <c r="N480" s="333">
        <f>IFERROR(IF(L480*M480=0,"",L480*M480),"")</f>
        <v/>
      </c>
      <c r="O480" s="280" t="n"/>
      <c r="P480" s="332">
        <f>IFERROR(VLOOKUP(TEXT(O480,"0"),CONDUCTORES!$A$3:$G$54,2,0),"")</f>
        <v/>
      </c>
      <c r="Q480" s="332">
        <f>IFERROR(VLOOKUP(TEXT(O480,"0"),CONDUCTORES!$A$3:$H$54,6,0),"")</f>
        <v/>
      </c>
      <c r="R480" s="280" t="n"/>
      <c r="S480" s="280" t="n"/>
      <c r="T480" s="280" t="n"/>
      <c r="U480" s="280" t="n"/>
      <c r="V480" s="280" t="n"/>
      <c r="W480" s="280" t="n"/>
      <c r="X480" s="280" t="n"/>
      <c r="Y480" s="280" t="n"/>
    </row>
    <row r="481" ht="15" customHeight="1" s="195">
      <c r="A481" s="334" t="n"/>
      <c r="B481" s="334" t="n"/>
      <c r="C481" s="334" t="n"/>
      <c r="D481" s="334" t="n"/>
      <c r="E481" s="334" t="n"/>
      <c r="F481" s="334" t="n"/>
      <c r="G481" s="334" t="n"/>
      <c r="H481" s="334" t="n"/>
      <c r="I481" s="332">
        <f>IFERROR(VLOOKUP(TEXT(H481,"0"),IPRESS!$A$3:$B$212,2,0),"")</f>
        <v/>
      </c>
      <c r="J481" s="334" t="n"/>
      <c r="K481" s="332">
        <f>IFERROR(VLOOKUP(TEXT(O481,"0"),CONDUCTORES!$A$3:$G$54,7,0),"")</f>
        <v/>
      </c>
      <c r="L481" s="334" t="n"/>
      <c r="M481" s="334" t="n"/>
      <c r="N481" s="333">
        <f>IFERROR(IF(L481*M481=0,"",L481*M481),"")</f>
        <v/>
      </c>
      <c r="O481" s="334" t="n"/>
      <c r="P481" s="332">
        <f>IFERROR(VLOOKUP(TEXT(O481,"0"),CONDUCTORES!$A$3:$G$54,2,0),"")</f>
        <v/>
      </c>
      <c r="Q481" s="332">
        <f>IFERROR(VLOOKUP(TEXT(O481,"0"),CONDUCTORES!$A$3:$H$54,6,0),"")</f>
        <v/>
      </c>
      <c r="R481" s="334" t="n"/>
      <c r="S481" s="334" t="n"/>
      <c r="T481" s="334" t="n"/>
      <c r="U481" s="334" t="n"/>
      <c r="V481" s="334" t="n"/>
      <c r="W481" s="334" t="n"/>
      <c r="X481" s="334" t="n"/>
      <c r="Y481" s="334" t="n"/>
    </row>
    <row r="482" ht="15" customHeight="1" s="195">
      <c r="A482" s="280" t="n"/>
      <c r="B482" s="280" t="n"/>
      <c r="C482" s="280" t="n"/>
      <c r="D482" s="280" t="n"/>
      <c r="E482" s="280" t="n"/>
      <c r="F482" s="280" t="n"/>
      <c r="G482" s="280" t="n"/>
      <c r="H482" s="280" t="n"/>
      <c r="I482" s="332">
        <f>IFERROR(VLOOKUP(TEXT(H482,"0"),IPRESS!$A$3:$B$212,2,0),"")</f>
        <v/>
      </c>
      <c r="J482" s="280" t="n"/>
      <c r="K482" s="332">
        <f>IFERROR(VLOOKUP(TEXT(O482,"0"),CONDUCTORES!$A$3:$G$54,7,0),"")</f>
        <v/>
      </c>
      <c r="L482" s="280" t="n"/>
      <c r="M482" s="280" t="n"/>
      <c r="N482" s="333">
        <f>IFERROR(IF(L482*M482=0,"",L482*M482),"")</f>
        <v/>
      </c>
      <c r="O482" s="280" t="n"/>
      <c r="P482" s="332">
        <f>IFERROR(VLOOKUP(TEXT(O482,"0"),CONDUCTORES!$A$3:$G$54,2,0),"")</f>
        <v/>
      </c>
      <c r="Q482" s="332">
        <f>IFERROR(VLOOKUP(TEXT(O482,"0"),CONDUCTORES!$A$3:$H$54,6,0),"")</f>
        <v/>
      </c>
      <c r="R482" s="280" t="n"/>
      <c r="S482" s="280" t="n"/>
      <c r="T482" s="280" t="n"/>
      <c r="U482" s="280" t="n"/>
      <c r="V482" s="280" t="n"/>
      <c r="W482" s="280" t="n"/>
      <c r="X482" s="280" t="n"/>
      <c r="Y482" s="280" t="n"/>
    </row>
    <row r="483" ht="15" customHeight="1" s="195">
      <c r="A483" s="334" t="n"/>
      <c r="B483" s="334" t="n"/>
      <c r="C483" s="334" t="n"/>
      <c r="D483" s="334" t="n"/>
      <c r="E483" s="334" t="n"/>
      <c r="F483" s="334" t="n"/>
      <c r="G483" s="334" t="n"/>
      <c r="H483" s="334" t="n"/>
      <c r="I483" s="332">
        <f>IFERROR(VLOOKUP(TEXT(H483,"0"),IPRESS!$A$3:$B$212,2,0),"")</f>
        <v/>
      </c>
      <c r="J483" s="334" t="n"/>
      <c r="K483" s="332">
        <f>IFERROR(VLOOKUP(TEXT(O483,"0"),CONDUCTORES!$A$3:$G$54,7,0),"")</f>
        <v/>
      </c>
      <c r="L483" s="334" t="n"/>
      <c r="M483" s="334" t="n"/>
      <c r="N483" s="333">
        <f>IFERROR(IF(L483*M483=0,"",L483*M483),"")</f>
        <v/>
      </c>
      <c r="O483" s="334" t="n"/>
      <c r="P483" s="332">
        <f>IFERROR(VLOOKUP(TEXT(O483,"0"),CONDUCTORES!$A$3:$G$54,2,0),"")</f>
        <v/>
      </c>
      <c r="Q483" s="332">
        <f>IFERROR(VLOOKUP(TEXT(O483,"0"),CONDUCTORES!$A$3:$H$54,6,0),"")</f>
        <v/>
      </c>
      <c r="R483" s="334" t="n"/>
      <c r="S483" s="334" t="n"/>
      <c r="T483" s="334" t="n"/>
      <c r="U483" s="334" t="n"/>
      <c r="V483" s="334" t="n"/>
      <c r="W483" s="334" t="n"/>
      <c r="X483" s="334" t="n"/>
      <c r="Y483" s="334" t="n"/>
    </row>
    <row r="484" ht="15" customHeight="1" s="195">
      <c r="A484" s="280" t="n"/>
      <c r="B484" s="280" t="n"/>
      <c r="C484" s="280" t="n"/>
      <c r="D484" s="280" t="n"/>
      <c r="E484" s="280" t="n"/>
      <c r="F484" s="280" t="n"/>
      <c r="G484" s="280" t="n"/>
      <c r="H484" s="280" t="n"/>
      <c r="I484" s="332">
        <f>IFERROR(VLOOKUP(TEXT(H484,"0"),IPRESS!$A$3:$B$212,2,0),"")</f>
        <v/>
      </c>
      <c r="J484" s="280" t="n"/>
      <c r="K484" s="332">
        <f>IFERROR(VLOOKUP(TEXT(O484,"0"),CONDUCTORES!$A$3:$G$54,7,0),"")</f>
        <v/>
      </c>
      <c r="L484" s="280" t="n"/>
      <c r="M484" s="280" t="n"/>
      <c r="N484" s="333">
        <f>IFERROR(IF(L484*M484=0,"",L484*M484),"")</f>
        <v/>
      </c>
      <c r="O484" s="280" t="n"/>
      <c r="P484" s="332">
        <f>IFERROR(VLOOKUP(TEXT(O484,"0"),CONDUCTORES!$A$3:$G$54,2,0),"")</f>
        <v/>
      </c>
      <c r="Q484" s="332">
        <f>IFERROR(VLOOKUP(TEXT(O484,"0"),CONDUCTORES!$A$3:$H$54,6,0),"")</f>
        <v/>
      </c>
      <c r="R484" s="280" t="n"/>
      <c r="S484" s="280" t="n"/>
      <c r="T484" s="280" t="n"/>
      <c r="U484" s="280" t="n"/>
      <c r="V484" s="280" t="n"/>
      <c r="W484" s="280" t="n"/>
      <c r="X484" s="280" t="n"/>
      <c r="Y484" s="280" t="n"/>
    </row>
    <row r="485" ht="15" customHeight="1" s="195">
      <c r="A485" s="334" t="n"/>
      <c r="B485" s="334" t="n"/>
      <c r="C485" s="334" t="n"/>
      <c r="D485" s="334" t="n"/>
      <c r="E485" s="334" t="n"/>
      <c r="F485" s="334" t="n"/>
      <c r="G485" s="334" t="n"/>
      <c r="H485" s="334" t="n"/>
      <c r="I485" s="332">
        <f>IFERROR(VLOOKUP(TEXT(H485,"0"),IPRESS!$A$3:$B$212,2,0),"")</f>
        <v/>
      </c>
      <c r="J485" s="334" t="n"/>
      <c r="K485" s="332">
        <f>IFERROR(VLOOKUP(TEXT(O485,"0"),CONDUCTORES!$A$3:$G$54,7,0),"")</f>
        <v/>
      </c>
      <c r="L485" s="334" t="n"/>
      <c r="M485" s="334" t="n"/>
      <c r="N485" s="333">
        <f>IFERROR(IF(L485*M485=0,"",L485*M485),"")</f>
        <v/>
      </c>
      <c r="O485" s="334" t="n"/>
      <c r="P485" s="332">
        <f>IFERROR(VLOOKUP(TEXT(O485,"0"),CONDUCTORES!$A$3:$G$54,2,0),"")</f>
        <v/>
      </c>
      <c r="Q485" s="332">
        <f>IFERROR(VLOOKUP(TEXT(O485,"0"),CONDUCTORES!$A$3:$H$54,6,0),"")</f>
        <v/>
      </c>
      <c r="R485" s="334" t="n"/>
      <c r="S485" s="334" t="n"/>
      <c r="T485" s="334" t="n"/>
      <c r="U485" s="334" t="n"/>
      <c r="V485" s="334" t="n"/>
      <c r="W485" s="334" t="n"/>
      <c r="X485" s="334" t="n"/>
      <c r="Y485" s="334" t="n"/>
    </row>
    <row r="486" ht="15" customHeight="1" s="195">
      <c r="A486" s="280" t="n"/>
      <c r="B486" s="280" t="n"/>
      <c r="C486" s="280" t="n"/>
      <c r="D486" s="280" t="n"/>
      <c r="E486" s="280" t="n"/>
      <c r="F486" s="280" t="n"/>
      <c r="G486" s="280" t="n"/>
      <c r="H486" s="280" t="n"/>
      <c r="I486" s="332">
        <f>IFERROR(VLOOKUP(TEXT(H486,"0"),IPRESS!$A$3:$B$212,2,0),"")</f>
        <v/>
      </c>
      <c r="J486" s="280" t="n"/>
      <c r="K486" s="332">
        <f>IFERROR(VLOOKUP(TEXT(O486,"0"),CONDUCTORES!$A$3:$G$54,7,0),"")</f>
        <v/>
      </c>
      <c r="L486" s="280" t="n"/>
      <c r="M486" s="280" t="n"/>
      <c r="N486" s="333">
        <f>IFERROR(IF(L486*M486=0,"",L486*M486),"")</f>
        <v/>
      </c>
      <c r="O486" s="280" t="n"/>
      <c r="P486" s="332">
        <f>IFERROR(VLOOKUP(TEXT(O486,"0"),CONDUCTORES!$A$3:$G$54,2,0),"")</f>
        <v/>
      </c>
      <c r="Q486" s="332">
        <f>IFERROR(VLOOKUP(TEXT(O486,"0"),CONDUCTORES!$A$3:$H$54,6,0),"")</f>
        <v/>
      </c>
      <c r="R486" s="280" t="n"/>
      <c r="S486" s="280" t="n"/>
      <c r="T486" s="280" t="n"/>
      <c r="U486" s="280" t="n"/>
      <c r="V486" s="280" t="n"/>
      <c r="W486" s="280" t="n"/>
      <c r="X486" s="280" t="n"/>
      <c r="Y486" s="280" t="n"/>
    </row>
    <row r="487" ht="15" customHeight="1" s="195">
      <c r="A487" s="334" t="n"/>
      <c r="B487" s="334" t="n"/>
      <c r="C487" s="334" t="n"/>
      <c r="D487" s="334" t="n"/>
      <c r="E487" s="334" t="n"/>
      <c r="F487" s="334" t="n"/>
      <c r="G487" s="334" t="n"/>
      <c r="H487" s="334" t="n"/>
      <c r="I487" s="332">
        <f>IFERROR(VLOOKUP(TEXT(H487,"0"),IPRESS!$A$3:$B$212,2,0),"")</f>
        <v/>
      </c>
      <c r="J487" s="334" t="n"/>
      <c r="K487" s="332">
        <f>IFERROR(VLOOKUP(TEXT(O487,"0"),CONDUCTORES!$A$3:$G$54,7,0),"")</f>
        <v/>
      </c>
      <c r="L487" s="334" t="n"/>
      <c r="M487" s="334" t="n"/>
      <c r="N487" s="333">
        <f>IFERROR(IF(L487*M487=0,"",L487*M487),"")</f>
        <v/>
      </c>
      <c r="O487" s="334" t="n"/>
      <c r="P487" s="332">
        <f>IFERROR(VLOOKUP(TEXT(O487,"0"),CONDUCTORES!$A$3:$G$54,2,0),"")</f>
        <v/>
      </c>
      <c r="Q487" s="332">
        <f>IFERROR(VLOOKUP(TEXT(O487,"0"),CONDUCTORES!$A$3:$H$54,6,0),"")</f>
        <v/>
      </c>
      <c r="R487" s="334" t="n"/>
      <c r="S487" s="334" t="n"/>
      <c r="T487" s="334" t="n"/>
      <c r="U487" s="334" t="n"/>
      <c r="V487" s="334" t="n"/>
      <c r="W487" s="334" t="n"/>
      <c r="X487" s="334" t="n"/>
      <c r="Y487" s="334" t="n"/>
    </row>
    <row r="488" ht="15" customHeight="1" s="195">
      <c r="A488" s="280" t="n"/>
      <c r="B488" s="280" t="n"/>
      <c r="C488" s="280" t="n"/>
      <c r="D488" s="280" t="n"/>
      <c r="E488" s="280" t="n"/>
      <c r="F488" s="280" t="n"/>
      <c r="G488" s="280" t="n"/>
      <c r="H488" s="280" t="n"/>
      <c r="I488" s="332">
        <f>IFERROR(VLOOKUP(TEXT(H488,"0"),IPRESS!$A$3:$B$212,2,0),"")</f>
        <v/>
      </c>
      <c r="J488" s="280" t="n"/>
      <c r="K488" s="332">
        <f>IFERROR(VLOOKUP(TEXT(O488,"0"),CONDUCTORES!$A$3:$G$54,7,0),"")</f>
        <v/>
      </c>
      <c r="L488" s="280" t="n"/>
      <c r="M488" s="280" t="n"/>
      <c r="N488" s="333">
        <f>IFERROR(IF(L488*M488=0,"",L488*M488),"")</f>
        <v/>
      </c>
      <c r="O488" s="280" t="n"/>
      <c r="P488" s="332">
        <f>IFERROR(VLOOKUP(TEXT(O488,"0"),CONDUCTORES!$A$3:$G$54,2,0),"")</f>
        <v/>
      </c>
      <c r="Q488" s="332">
        <f>IFERROR(VLOOKUP(TEXT(O488,"0"),CONDUCTORES!$A$3:$H$54,6,0),"")</f>
        <v/>
      </c>
      <c r="R488" s="280" t="n"/>
      <c r="S488" s="280" t="n"/>
      <c r="T488" s="280" t="n"/>
      <c r="U488" s="280" t="n"/>
      <c r="V488" s="280" t="n"/>
      <c r="W488" s="280" t="n"/>
      <c r="X488" s="280" t="n"/>
      <c r="Y488" s="280" t="n"/>
    </row>
    <row r="489" ht="15" customHeight="1" s="195">
      <c r="A489" s="334" t="n"/>
      <c r="B489" s="334" t="n"/>
      <c r="C489" s="334" t="n"/>
      <c r="D489" s="334" t="n"/>
      <c r="E489" s="334" t="n"/>
      <c r="F489" s="334" t="n"/>
      <c r="G489" s="334" t="n"/>
      <c r="H489" s="334" t="n"/>
      <c r="I489" s="332">
        <f>IFERROR(VLOOKUP(TEXT(H489,"0"),IPRESS!$A$3:$B$212,2,0),"")</f>
        <v/>
      </c>
      <c r="J489" s="334" t="n"/>
      <c r="K489" s="332">
        <f>IFERROR(VLOOKUP(TEXT(O489,"0"),CONDUCTORES!$A$3:$G$54,7,0),"")</f>
        <v/>
      </c>
      <c r="L489" s="334" t="n"/>
      <c r="M489" s="334" t="n"/>
      <c r="N489" s="333">
        <f>IFERROR(IF(L489*M489=0,"",L489*M489),"")</f>
        <v/>
      </c>
      <c r="O489" s="334" t="n"/>
      <c r="P489" s="332">
        <f>IFERROR(VLOOKUP(TEXT(O489,"0"),CONDUCTORES!$A$3:$G$54,2,0),"")</f>
        <v/>
      </c>
      <c r="Q489" s="332">
        <f>IFERROR(VLOOKUP(TEXT(O489,"0"),CONDUCTORES!$A$3:$H$54,6,0),"")</f>
        <v/>
      </c>
      <c r="R489" s="334" t="n"/>
      <c r="S489" s="334" t="n"/>
      <c r="T489" s="334" t="n"/>
      <c r="U489" s="334" t="n"/>
      <c r="V489" s="334" t="n"/>
      <c r="W489" s="334" t="n"/>
      <c r="X489" s="334" t="n"/>
      <c r="Y489" s="334" t="n"/>
    </row>
    <row r="490" ht="15" customHeight="1" s="195">
      <c r="A490" s="280" t="n"/>
      <c r="B490" s="280" t="n"/>
      <c r="C490" s="280" t="n"/>
      <c r="D490" s="280" t="n"/>
      <c r="E490" s="280" t="n"/>
      <c r="F490" s="280" t="n"/>
      <c r="G490" s="280" t="n"/>
      <c r="H490" s="280" t="n"/>
      <c r="I490" s="332">
        <f>IFERROR(VLOOKUP(TEXT(H490,"0"),IPRESS!$A$3:$B$212,2,0),"")</f>
        <v/>
      </c>
      <c r="J490" s="280" t="n"/>
      <c r="K490" s="332">
        <f>IFERROR(VLOOKUP(TEXT(O490,"0"),CONDUCTORES!$A$3:$G$54,7,0),"")</f>
        <v/>
      </c>
      <c r="L490" s="280" t="n"/>
      <c r="M490" s="280" t="n"/>
      <c r="N490" s="333">
        <f>IFERROR(IF(L490*M490=0,"",L490*M490),"")</f>
        <v/>
      </c>
      <c r="O490" s="280" t="n"/>
      <c r="P490" s="332">
        <f>IFERROR(VLOOKUP(TEXT(O490,"0"),CONDUCTORES!$A$3:$G$54,2,0),"")</f>
        <v/>
      </c>
      <c r="Q490" s="332">
        <f>IFERROR(VLOOKUP(TEXT(O490,"0"),CONDUCTORES!$A$3:$H$54,6,0),"")</f>
        <v/>
      </c>
      <c r="R490" s="280" t="n"/>
      <c r="S490" s="280" t="n"/>
      <c r="T490" s="280" t="n"/>
      <c r="U490" s="280" t="n"/>
      <c r="V490" s="280" t="n"/>
      <c r="W490" s="280" t="n"/>
      <c r="X490" s="280" t="n"/>
      <c r="Y490" s="280" t="n"/>
    </row>
    <row r="491" ht="15" customHeight="1" s="195">
      <c r="A491" s="334" t="n"/>
      <c r="B491" s="334" t="n"/>
      <c r="C491" s="334" t="n"/>
      <c r="D491" s="334" t="n"/>
      <c r="E491" s="334" t="n"/>
      <c r="F491" s="334" t="n"/>
      <c r="G491" s="334" t="n"/>
      <c r="H491" s="334" t="n"/>
      <c r="I491" s="332">
        <f>IFERROR(VLOOKUP(TEXT(H491,"0"),IPRESS!$A$3:$B$212,2,0),"")</f>
        <v/>
      </c>
      <c r="J491" s="334" t="n"/>
      <c r="K491" s="332">
        <f>IFERROR(VLOOKUP(TEXT(O491,"0"),CONDUCTORES!$A$3:$G$54,7,0),"")</f>
        <v/>
      </c>
      <c r="L491" s="334" t="n"/>
      <c r="M491" s="334" t="n"/>
      <c r="N491" s="333">
        <f>IFERROR(IF(L491*M491=0,"",L491*M491),"")</f>
        <v/>
      </c>
      <c r="O491" s="334" t="n"/>
      <c r="P491" s="332">
        <f>IFERROR(VLOOKUP(TEXT(O491,"0"),CONDUCTORES!$A$3:$G$54,2,0),"")</f>
        <v/>
      </c>
      <c r="Q491" s="332">
        <f>IFERROR(VLOOKUP(TEXT(O491,"0"),CONDUCTORES!$A$3:$H$54,6,0),"")</f>
        <v/>
      </c>
      <c r="R491" s="334" t="n"/>
      <c r="S491" s="334" t="n"/>
      <c r="T491" s="334" t="n"/>
      <c r="U491" s="334" t="n"/>
      <c r="V491" s="334" t="n"/>
      <c r="W491" s="334" t="n"/>
      <c r="X491" s="334" t="n"/>
      <c r="Y491" s="334" t="n"/>
    </row>
    <row r="492" ht="15" customHeight="1" s="195">
      <c r="A492" s="280" t="n"/>
      <c r="B492" s="280" t="n"/>
      <c r="C492" s="280" t="n"/>
      <c r="D492" s="280" t="n"/>
      <c r="E492" s="280" t="n"/>
      <c r="F492" s="280" t="n"/>
      <c r="G492" s="280" t="n"/>
      <c r="H492" s="280" t="n"/>
      <c r="I492" s="332">
        <f>IFERROR(VLOOKUP(TEXT(H492,"0"),IPRESS!$A$3:$B$212,2,0),"")</f>
        <v/>
      </c>
      <c r="J492" s="280" t="n"/>
      <c r="K492" s="332">
        <f>IFERROR(VLOOKUP(TEXT(O492,"0"),CONDUCTORES!$A$3:$G$54,7,0),"")</f>
        <v/>
      </c>
      <c r="L492" s="280" t="n"/>
      <c r="M492" s="280" t="n"/>
      <c r="N492" s="333">
        <f>IFERROR(IF(L492*M492=0,"",L492*M492),"")</f>
        <v/>
      </c>
      <c r="O492" s="280" t="n"/>
      <c r="P492" s="332">
        <f>IFERROR(VLOOKUP(TEXT(O492,"0"),CONDUCTORES!$A$3:$G$54,2,0),"")</f>
        <v/>
      </c>
      <c r="Q492" s="332">
        <f>IFERROR(VLOOKUP(TEXT(O492,"0"),CONDUCTORES!$A$3:$H$54,6,0),"")</f>
        <v/>
      </c>
      <c r="R492" s="280" t="n"/>
      <c r="S492" s="280" t="n"/>
      <c r="T492" s="280" t="n"/>
      <c r="U492" s="280" t="n"/>
      <c r="V492" s="280" t="n"/>
      <c r="W492" s="280" t="n"/>
      <c r="X492" s="280" t="n"/>
      <c r="Y492" s="280" t="n"/>
    </row>
    <row r="493" ht="15" customHeight="1" s="195">
      <c r="A493" s="334" t="n"/>
      <c r="B493" s="334" t="n"/>
      <c r="C493" s="334" t="n"/>
      <c r="D493" s="334" t="n"/>
      <c r="E493" s="334" t="n"/>
      <c r="F493" s="334" t="n"/>
      <c r="G493" s="334" t="n"/>
      <c r="H493" s="334" t="n"/>
      <c r="I493" s="332">
        <f>IFERROR(VLOOKUP(TEXT(H493,"0"),IPRESS!$A$3:$B$212,2,0),"")</f>
        <v/>
      </c>
      <c r="J493" s="334" t="n"/>
      <c r="K493" s="332">
        <f>IFERROR(VLOOKUP(TEXT(O493,"0"),CONDUCTORES!$A$3:$G$54,7,0),"")</f>
        <v/>
      </c>
      <c r="L493" s="334" t="n"/>
      <c r="M493" s="334" t="n"/>
      <c r="N493" s="333">
        <f>IFERROR(IF(L493*M493=0,"",L493*M493),"")</f>
        <v/>
      </c>
      <c r="O493" s="334" t="n"/>
      <c r="P493" s="332">
        <f>IFERROR(VLOOKUP(TEXT(O493,"0"),CONDUCTORES!$A$3:$G$54,2,0),"")</f>
        <v/>
      </c>
      <c r="Q493" s="332">
        <f>IFERROR(VLOOKUP(TEXT(O493,"0"),CONDUCTORES!$A$3:$H$54,6,0),"")</f>
        <v/>
      </c>
      <c r="R493" s="334" t="n"/>
      <c r="S493" s="334" t="n"/>
      <c r="T493" s="334" t="n"/>
      <c r="U493" s="334" t="n"/>
      <c r="V493" s="334" t="n"/>
      <c r="W493" s="334" t="n"/>
      <c r="X493" s="334" t="n"/>
      <c r="Y493" s="334" t="n"/>
    </row>
    <row r="494" ht="15" customHeight="1" s="195">
      <c r="A494" s="280" t="n"/>
      <c r="B494" s="280" t="n"/>
      <c r="C494" s="280" t="n"/>
      <c r="D494" s="280" t="n"/>
      <c r="E494" s="280" t="n"/>
      <c r="F494" s="280" t="n"/>
      <c r="G494" s="280" t="n"/>
      <c r="H494" s="280" t="n"/>
      <c r="I494" s="332">
        <f>IFERROR(VLOOKUP(TEXT(H494,"0"),IPRESS!$A$3:$B$212,2,0),"")</f>
        <v/>
      </c>
      <c r="J494" s="280" t="n"/>
      <c r="K494" s="332">
        <f>IFERROR(VLOOKUP(TEXT(O494,"0"),CONDUCTORES!$A$3:$G$54,7,0),"")</f>
        <v/>
      </c>
      <c r="L494" s="280" t="n"/>
      <c r="M494" s="280" t="n"/>
      <c r="N494" s="333">
        <f>IFERROR(IF(L494*M494=0,"",L494*M494),"")</f>
        <v/>
      </c>
      <c r="O494" s="280" t="n"/>
      <c r="P494" s="332">
        <f>IFERROR(VLOOKUP(TEXT(O494,"0"),CONDUCTORES!$A$3:$G$54,2,0),"")</f>
        <v/>
      </c>
      <c r="Q494" s="332">
        <f>IFERROR(VLOOKUP(TEXT(O494,"0"),CONDUCTORES!$A$3:$H$54,6,0),"")</f>
        <v/>
      </c>
      <c r="R494" s="280" t="n"/>
      <c r="S494" s="280" t="n"/>
      <c r="T494" s="280" t="n"/>
      <c r="U494" s="280" t="n"/>
      <c r="V494" s="280" t="n"/>
      <c r="W494" s="280" t="n"/>
      <c r="X494" s="280" t="n"/>
      <c r="Y494" s="280" t="n"/>
    </row>
    <row r="495" ht="15" customHeight="1" s="195">
      <c r="A495" s="334" t="n"/>
      <c r="B495" s="334" t="n"/>
      <c r="C495" s="334" t="n"/>
      <c r="D495" s="334" t="n"/>
      <c r="E495" s="334" t="n"/>
      <c r="F495" s="334" t="n"/>
      <c r="G495" s="334" t="n"/>
      <c r="H495" s="334" t="n"/>
      <c r="I495" s="332">
        <f>IFERROR(VLOOKUP(TEXT(H495,"0"),IPRESS!$A$3:$B$212,2,0),"")</f>
        <v/>
      </c>
      <c r="J495" s="334" t="n"/>
      <c r="K495" s="332">
        <f>IFERROR(VLOOKUP(TEXT(O495,"0"),CONDUCTORES!$A$3:$G$54,7,0),"")</f>
        <v/>
      </c>
      <c r="L495" s="334" t="n"/>
      <c r="M495" s="334" t="n"/>
      <c r="N495" s="333">
        <f>IFERROR(IF(L495*M495=0,"",L495*M495),"")</f>
        <v/>
      </c>
      <c r="O495" s="334" t="n"/>
      <c r="P495" s="332">
        <f>IFERROR(VLOOKUP(TEXT(O495,"0"),CONDUCTORES!$A$3:$G$54,2,0),"")</f>
        <v/>
      </c>
      <c r="Q495" s="332">
        <f>IFERROR(VLOOKUP(TEXT(O495,"0"),CONDUCTORES!$A$3:$H$54,6,0),"")</f>
        <v/>
      </c>
      <c r="R495" s="334" t="n"/>
      <c r="S495" s="334" t="n"/>
      <c r="T495" s="334" t="n"/>
      <c r="U495" s="334" t="n"/>
      <c r="V495" s="334" t="n"/>
      <c r="W495" s="334" t="n"/>
      <c r="X495" s="334" t="n"/>
      <c r="Y495" s="334" t="n"/>
    </row>
    <row r="496" ht="15" customHeight="1" s="195">
      <c r="A496" s="280" t="n"/>
      <c r="B496" s="280" t="n"/>
      <c r="C496" s="280" t="n"/>
      <c r="D496" s="280" t="n"/>
      <c r="E496" s="280" t="n"/>
      <c r="F496" s="280" t="n"/>
      <c r="G496" s="280" t="n"/>
      <c r="H496" s="280" t="n"/>
      <c r="I496" s="332">
        <f>IFERROR(VLOOKUP(TEXT(H496,"0"),IPRESS!$A$3:$B$212,2,0),"")</f>
        <v/>
      </c>
      <c r="J496" s="280" t="n"/>
      <c r="K496" s="332">
        <f>IFERROR(VLOOKUP(TEXT(O496,"0"),CONDUCTORES!$A$3:$G$54,7,0),"")</f>
        <v/>
      </c>
      <c r="L496" s="280" t="n"/>
      <c r="M496" s="280" t="n"/>
      <c r="N496" s="333">
        <f>IFERROR(IF(L496*M496=0,"",L496*M496),"")</f>
        <v/>
      </c>
      <c r="O496" s="280" t="n"/>
      <c r="P496" s="332">
        <f>IFERROR(VLOOKUP(TEXT(O496,"0"),CONDUCTORES!$A$3:$G$54,2,0),"")</f>
        <v/>
      </c>
      <c r="Q496" s="332">
        <f>IFERROR(VLOOKUP(TEXT(O496,"0"),CONDUCTORES!$A$3:$H$54,6,0),"")</f>
        <v/>
      </c>
      <c r="R496" s="280" t="n"/>
      <c r="S496" s="280" t="n"/>
      <c r="T496" s="280" t="n"/>
      <c r="U496" s="280" t="n"/>
      <c r="V496" s="280" t="n"/>
      <c r="W496" s="280" t="n"/>
      <c r="X496" s="280" t="n"/>
      <c r="Y496" s="280" t="n"/>
    </row>
    <row r="497" ht="15" customHeight="1" s="195">
      <c r="A497" s="334" t="n"/>
      <c r="B497" s="334" t="n"/>
      <c r="C497" s="334" t="n"/>
      <c r="D497" s="334" t="n"/>
      <c r="E497" s="334" t="n"/>
      <c r="F497" s="334" t="n"/>
      <c r="G497" s="334" t="n"/>
      <c r="H497" s="334" t="n"/>
      <c r="I497" s="332">
        <f>IFERROR(VLOOKUP(TEXT(H497,"0"),IPRESS!$A$3:$B$212,2,0),"")</f>
        <v/>
      </c>
      <c r="J497" s="334" t="n"/>
      <c r="K497" s="332">
        <f>IFERROR(VLOOKUP(TEXT(O497,"0"),CONDUCTORES!$A$3:$G$54,7,0),"")</f>
        <v/>
      </c>
      <c r="L497" s="334" t="n"/>
      <c r="M497" s="334" t="n"/>
      <c r="N497" s="333">
        <f>IFERROR(IF(L497*M497=0,"",L497*M497),"")</f>
        <v/>
      </c>
      <c r="O497" s="334" t="n"/>
      <c r="P497" s="332">
        <f>IFERROR(VLOOKUP(TEXT(O497,"0"),CONDUCTORES!$A$3:$G$54,2,0),"")</f>
        <v/>
      </c>
      <c r="Q497" s="332">
        <f>IFERROR(VLOOKUP(TEXT(O497,"0"),CONDUCTORES!$A$3:$H$54,6,0),"")</f>
        <v/>
      </c>
      <c r="R497" s="334" t="n"/>
      <c r="S497" s="334" t="n"/>
      <c r="T497" s="334" t="n"/>
      <c r="U497" s="334" t="n"/>
      <c r="V497" s="334" t="n"/>
      <c r="W497" s="334" t="n"/>
      <c r="X497" s="334" t="n"/>
      <c r="Y497" s="334" t="n"/>
    </row>
    <row r="498" ht="15" customHeight="1" s="195">
      <c r="A498" s="280" t="n"/>
      <c r="B498" s="280" t="n"/>
      <c r="C498" s="280" t="n"/>
      <c r="D498" s="280" t="n"/>
      <c r="E498" s="280" t="n"/>
      <c r="F498" s="280" t="n"/>
      <c r="G498" s="280" t="n"/>
      <c r="H498" s="280" t="n"/>
      <c r="I498" s="332">
        <f>IFERROR(VLOOKUP(TEXT(H498,"0"),IPRESS!$A$3:$B$212,2,0),"")</f>
        <v/>
      </c>
      <c r="J498" s="280" t="n"/>
      <c r="K498" s="332">
        <f>IFERROR(VLOOKUP(TEXT(O498,"0"),CONDUCTORES!$A$3:$G$54,7,0),"")</f>
        <v/>
      </c>
      <c r="L498" s="280" t="n"/>
      <c r="M498" s="280" t="n"/>
      <c r="N498" s="333">
        <f>IFERROR(IF(L498*M498=0,"",L498*M498),"")</f>
        <v/>
      </c>
      <c r="O498" s="280" t="n"/>
      <c r="P498" s="332">
        <f>IFERROR(VLOOKUP(TEXT(O498,"0"),CONDUCTORES!$A$3:$G$54,2,0),"")</f>
        <v/>
      </c>
      <c r="Q498" s="332">
        <f>IFERROR(VLOOKUP(TEXT(O498,"0"),CONDUCTORES!$A$3:$H$54,6,0),"")</f>
        <v/>
      </c>
      <c r="R498" s="280" t="n"/>
      <c r="S498" s="280" t="n"/>
      <c r="T498" s="280" t="n"/>
      <c r="U498" s="280" t="n"/>
      <c r="V498" s="280" t="n"/>
      <c r="W498" s="280" t="n"/>
      <c r="X498" s="280" t="n"/>
      <c r="Y498" s="280" t="n"/>
    </row>
    <row r="499" ht="15" customHeight="1" s="195">
      <c r="A499" s="334" t="n"/>
      <c r="B499" s="334" t="n"/>
      <c r="C499" s="334" t="n"/>
      <c r="D499" s="334" t="n"/>
      <c r="E499" s="334" t="n"/>
      <c r="F499" s="334" t="n"/>
      <c r="G499" s="334" t="n"/>
      <c r="H499" s="334" t="n"/>
      <c r="I499" s="332">
        <f>IFERROR(VLOOKUP(TEXT(H499,"0"),IPRESS!$A$3:$B$212,2,0),"")</f>
        <v/>
      </c>
      <c r="J499" s="334" t="n"/>
      <c r="K499" s="332">
        <f>IFERROR(VLOOKUP(TEXT(O499,"0"),CONDUCTORES!$A$3:$G$54,7,0),"")</f>
        <v/>
      </c>
      <c r="L499" s="334" t="n"/>
      <c r="M499" s="334" t="n"/>
      <c r="N499" s="333">
        <f>IFERROR(IF(L499*M499=0,"",L499*M499),"")</f>
        <v/>
      </c>
      <c r="O499" s="334" t="n"/>
      <c r="P499" s="332">
        <f>IFERROR(VLOOKUP(TEXT(O499,"0"),CONDUCTORES!$A$3:$G$54,2,0),"")</f>
        <v/>
      </c>
      <c r="Q499" s="332">
        <f>IFERROR(VLOOKUP(TEXT(O499,"0"),CONDUCTORES!$A$3:$H$54,6,0),"")</f>
        <v/>
      </c>
      <c r="R499" s="334" t="n"/>
      <c r="S499" s="334" t="n"/>
      <c r="T499" s="334" t="n"/>
      <c r="U499" s="334" t="n"/>
      <c r="V499" s="334" t="n"/>
      <c r="W499" s="334" t="n"/>
      <c r="X499" s="334" t="n"/>
      <c r="Y499" s="334" t="n"/>
    </row>
    <row r="500" ht="15" customHeight="1" s="195">
      <c r="A500" s="280" t="n"/>
      <c r="B500" s="280" t="n"/>
      <c r="C500" s="280" t="n"/>
      <c r="D500" s="280" t="n"/>
      <c r="E500" s="280" t="n"/>
      <c r="F500" s="280" t="n"/>
      <c r="G500" s="280" t="n"/>
      <c r="H500" s="280" t="n"/>
      <c r="I500" s="332">
        <f>IFERROR(VLOOKUP(TEXT(H500,"0"),IPRESS!$A$3:$B$212,2,0),"")</f>
        <v/>
      </c>
      <c r="J500" s="280" t="n"/>
      <c r="K500" s="332">
        <f>IFERROR(VLOOKUP(TEXT(O500,"0"),CONDUCTORES!$A$3:$G$54,7,0),"")</f>
        <v/>
      </c>
      <c r="L500" s="280" t="n"/>
      <c r="M500" s="280" t="n"/>
      <c r="N500" s="333">
        <f>IFERROR(IF(L500*M500=0,"",L500*M500),"")</f>
        <v/>
      </c>
      <c r="O500" s="280" t="n"/>
      <c r="P500" s="332">
        <f>IFERROR(VLOOKUP(TEXT(O500,"0"),CONDUCTORES!$A$3:$G$54,2,0),"")</f>
        <v/>
      </c>
      <c r="Q500" s="332">
        <f>IFERROR(VLOOKUP(TEXT(O500,"0"),CONDUCTORES!$A$3:$H$54,6,0),"")</f>
        <v/>
      </c>
      <c r="R500" s="280" t="n"/>
      <c r="S500" s="280" t="n"/>
      <c r="T500" s="280" t="n"/>
      <c r="U500" s="280" t="n"/>
      <c r="V500" s="280" t="n"/>
      <c r="W500" s="280" t="n"/>
      <c r="X500" s="280" t="n"/>
      <c r="Y500" s="280" t="n"/>
    </row>
    <row r="501" ht="15" customHeight="1" s="195">
      <c r="A501" s="334" t="n"/>
      <c r="B501" s="334" t="n"/>
      <c r="C501" s="334" t="n"/>
      <c r="D501" s="334" t="n"/>
      <c r="E501" s="334" t="n"/>
      <c r="F501" s="334" t="n"/>
      <c r="G501" s="334" t="n"/>
      <c r="H501" s="334" t="n"/>
      <c r="I501" s="332">
        <f>IFERROR(VLOOKUP(TEXT(H501,"0"),IPRESS!$A$3:$B$212,2,0),"")</f>
        <v/>
      </c>
      <c r="J501" s="334" t="n"/>
      <c r="K501" s="332">
        <f>IFERROR(VLOOKUP(TEXT(O501,"0"),CONDUCTORES!$A$3:$G$54,7,0),"")</f>
        <v/>
      </c>
      <c r="L501" s="334" t="n"/>
      <c r="M501" s="334" t="n"/>
      <c r="N501" s="333">
        <f>IFERROR(IF(L501*M501=0,"",L501*M501),"")</f>
        <v/>
      </c>
      <c r="O501" s="334" t="n"/>
      <c r="P501" s="332">
        <f>IFERROR(VLOOKUP(TEXT(O501,"0"),CONDUCTORES!$A$3:$G$54,2,0),"")</f>
        <v/>
      </c>
      <c r="Q501" s="332">
        <f>IFERROR(VLOOKUP(TEXT(O501,"0"),CONDUCTORES!$A$3:$H$54,6,0),"")</f>
        <v/>
      </c>
      <c r="R501" s="334" t="n"/>
      <c r="S501" s="334" t="n"/>
      <c r="T501" s="334" t="n"/>
      <c r="U501" s="334" t="n"/>
      <c r="V501" s="334" t="n"/>
      <c r="W501" s="334" t="n"/>
      <c r="X501" s="334" t="n"/>
      <c r="Y501" s="334" t="n"/>
    </row>
    <row r="502" ht="15" customHeight="1" s="195">
      <c r="A502" s="280" t="n"/>
      <c r="B502" s="280" t="n"/>
      <c r="C502" s="280" t="n"/>
      <c r="D502" s="280" t="n"/>
      <c r="E502" s="280" t="n"/>
      <c r="F502" s="280" t="n"/>
      <c r="G502" s="280" t="n"/>
      <c r="H502" s="280" t="n"/>
      <c r="I502" s="332">
        <f>IFERROR(VLOOKUP(TEXT(H502,"0"),IPRESS!$A$3:$B$212,2,0),"")</f>
        <v/>
      </c>
      <c r="J502" s="280" t="n"/>
      <c r="K502" s="332">
        <f>IFERROR(VLOOKUP(TEXT(O502,"0"),CONDUCTORES!$A$3:$G$54,7,0),"")</f>
        <v/>
      </c>
      <c r="L502" s="280" t="n"/>
      <c r="M502" s="280" t="n"/>
      <c r="N502" s="333">
        <f>IFERROR(IF(L502*M502=0,"",L502*M502),"")</f>
        <v/>
      </c>
      <c r="O502" s="280" t="n"/>
      <c r="P502" s="332">
        <f>IFERROR(VLOOKUP(TEXT(O502,"0"),CONDUCTORES!$A$3:$G$54,2,0),"")</f>
        <v/>
      </c>
      <c r="Q502" s="332">
        <f>IFERROR(VLOOKUP(TEXT(O502,"0"),CONDUCTORES!$A$3:$H$54,6,0),"")</f>
        <v/>
      </c>
      <c r="R502" s="280" t="n"/>
      <c r="S502" s="280" t="n"/>
      <c r="T502" s="280" t="n"/>
      <c r="U502" s="280" t="n"/>
      <c r="V502" s="280" t="n"/>
      <c r="W502" s="280" t="n"/>
      <c r="X502" s="280" t="n"/>
      <c r="Y502" s="280" t="n"/>
    </row>
    <row r="503" ht="15" customHeight="1" s="195">
      <c r="A503" s="334" t="n"/>
      <c r="B503" s="334" t="n"/>
      <c r="C503" s="334" t="n"/>
      <c r="D503" s="334" t="n"/>
      <c r="E503" s="334" t="n"/>
      <c r="F503" s="334" t="n"/>
      <c r="G503" s="334" t="n"/>
      <c r="H503" s="334" t="n"/>
      <c r="I503" s="332">
        <f>IFERROR(VLOOKUP(TEXT(H503,"0"),IPRESS!$A$3:$B$212,2,0),"")</f>
        <v/>
      </c>
      <c r="J503" s="334" t="n"/>
      <c r="K503" s="332">
        <f>IFERROR(VLOOKUP(TEXT(O503,"0"),CONDUCTORES!$A$3:$G$54,7,0),"")</f>
        <v/>
      </c>
      <c r="L503" s="334" t="n"/>
      <c r="M503" s="334" t="n"/>
      <c r="N503" s="333">
        <f>IFERROR(IF(L503*M503=0,"",L503*M503),"")</f>
        <v/>
      </c>
      <c r="O503" s="334" t="n"/>
      <c r="P503" s="332">
        <f>IFERROR(VLOOKUP(TEXT(O503,"0"),CONDUCTORES!$A$3:$G$54,2,0),"")</f>
        <v/>
      </c>
      <c r="Q503" s="332">
        <f>IFERROR(VLOOKUP(TEXT(O503,"0"),CONDUCTORES!$A$3:$H$54,6,0),"")</f>
        <v/>
      </c>
      <c r="R503" s="334" t="n"/>
      <c r="S503" s="334" t="n"/>
      <c r="T503" s="334" t="n"/>
      <c r="U503" s="334" t="n"/>
      <c r="V503" s="334" t="n"/>
      <c r="W503" s="334" t="n"/>
      <c r="X503" s="334" t="n"/>
      <c r="Y503" s="334" t="n"/>
    </row>
    <row r="504" ht="15" customHeight="1" s="195">
      <c r="A504" s="280" t="n"/>
      <c r="B504" s="280" t="n"/>
      <c r="C504" s="280" t="n"/>
      <c r="D504" s="280" t="n"/>
      <c r="E504" s="280" t="n"/>
      <c r="F504" s="280" t="n"/>
      <c r="G504" s="280" t="n"/>
      <c r="H504" s="280" t="n"/>
      <c r="I504" s="332">
        <f>IFERROR(VLOOKUP(TEXT(H504,"0"),IPRESS!$A$3:$B$212,2,0),"")</f>
        <v/>
      </c>
      <c r="J504" s="280" t="n"/>
      <c r="K504" s="332">
        <f>IFERROR(VLOOKUP(TEXT(O504,"0"),CONDUCTORES!$A$3:$G$54,7,0),"")</f>
        <v/>
      </c>
      <c r="L504" s="280" t="n"/>
      <c r="M504" s="280" t="n"/>
      <c r="N504" s="333">
        <f>IFERROR(IF(L504*M504=0,"",L504*M504),"")</f>
        <v/>
      </c>
      <c r="O504" s="280" t="n"/>
      <c r="P504" s="332">
        <f>IFERROR(VLOOKUP(TEXT(O504,"0"),CONDUCTORES!$A$3:$G$54,2,0),"")</f>
        <v/>
      </c>
      <c r="Q504" s="332">
        <f>IFERROR(VLOOKUP(TEXT(O504,"0"),CONDUCTORES!$A$3:$H$54,6,0),"")</f>
        <v/>
      </c>
      <c r="R504" s="280" t="n"/>
      <c r="S504" s="280" t="n"/>
      <c r="T504" s="280" t="n"/>
      <c r="U504" s="280" t="n"/>
      <c r="V504" s="280" t="n"/>
      <c r="W504" s="280" t="n"/>
      <c r="X504" s="280" t="n"/>
      <c r="Y504" s="280" t="n"/>
    </row>
    <row r="505" ht="15" customHeight="1" s="195">
      <c r="A505" s="334" t="n"/>
      <c r="B505" s="334" t="n"/>
      <c r="C505" s="334" t="n"/>
      <c r="D505" s="334" t="n"/>
      <c r="E505" s="334" t="n"/>
      <c r="F505" s="334" t="n"/>
      <c r="G505" s="334" t="n"/>
      <c r="H505" s="334" t="n"/>
      <c r="I505" s="332">
        <f>IFERROR(VLOOKUP(TEXT(H505,"0"),IPRESS!$A$3:$B$212,2,0),"")</f>
        <v/>
      </c>
      <c r="J505" s="334" t="n"/>
      <c r="K505" s="332">
        <f>IFERROR(VLOOKUP(TEXT(O505,"0"),CONDUCTORES!$A$3:$G$54,7,0),"")</f>
        <v/>
      </c>
      <c r="L505" s="334" t="n"/>
      <c r="M505" s="334" t="n"/>
      <c r="N505" s="333">
        <f>IFERROR(IF(L505*M505=0,"",L505*M505),"")</f>
        <v/>
      </c>
      <c r="O505" s="334" t="n"/>
      <c r="P505" s="332">
        <f>IFERROR(VLOOKUP(TEXT(O505,"0"),CONDUCTORES!$A$3:$G$54,2,0),"")</f>
        <v/>
      </c>
      <c r="Q505" s="332">
        <f>IFERROR(VLOOKUP(TEXT(O505,"0"),CONDUCTORES!$A$3:$H$54,6,0),"")</f>
        <v/>
      </c>
      <c r="R505" s="334" t="n"/>
      <c r="S505" s="334" t="n"/>
      <c r="T505" s="334" t="n"/>
      <c r="U505" s="334" t="n"/>
      <c r="V505" s="334" t="n"/>
      <c r="W505" s="334" t="n"/>
      <c r="X505" s="334" t="n"/>
      <c r="Y505" s="334" t="n"/>
    </row>
    <row r="506" ht="21.75" customHeight="1" s="195">
      <c r="A506" s="346" t="inlineStr">
        <is>
          <t>TOTALES DEL MES</t>
        </is>
      </c>
      <c r="M506" s="320">
        <f>SUM(M6:M505)</f>
        <v/>
      </c>
      <c r="N506" s="320">
        <f>SUM(N6:N505)</f>
        <v/>
      </c>
    </row>
    <row r="507" ht="15.75" customHeight="1" s="195"/>
    <row r="508" ht="15.75" customHeight="1" s="195"/>
    <row r="509" ht="15.75" customHeight="1" s="195"/>
    <row r="510" ht="15.75" customHeight="1" s="195"/>
    <row r="511" ht="15.75" customHeight="1" s="195"/>
    <row r="512" ht="15.75" customHeight="1" s="195"/>
    <row r="513" ht="15.75" customHeight="1" s="195"/>
    <row r="514" ht="15.75" customHeight="1" s="195"/>
    <row r="515" ht="15.75" customHeight="1" s="195"/>
    <row r="516" ht="15.75" customHeight="1" s="195"/>
    <row r="517" ht="15.75" customHeight="1" s="195"/>
    <row r="518" ht="15.75" customHeight="1" s="195"/>
    <row r="519" ht="15.75" customHeight="1" s="195"/>
    <row r="520" ht="15.75" customHeight="1" s="195"/>
    <row r="521" ht="15.75" customHeight="1" s="195"/>
    <row r="522" ht="15.75" customHeight="1" s="195"/>
    <row r="523" ht="15.75" customHeight="1" s="195"/>
    <row r="524" ht="15.75" customHeight="1" s="195"/>
    <row r="525" ht="15.75" customHeight="1" s="195"/>
    <row r="526" ht="15.75" customHeight="1" s="195"/>
    <row r="527" ht="15.75" customHeight="1" s="195"/>
    <row r="528" ht="15.75" customHeight="1" s="195"/>
    <row r="529" ht="15.75" customHeight="1" s="195"/>
    <row r="530" ht="15.75" customHeight="1" s="195"/>
    <row r="531" ht="15.75" customHeight="1" s="195"/>
    <row r="532" ht="15.75" customHeight="1" s="195"/>
    <row r="533" ht="15.75" customHeight="1" s="195"/>
    <row r="534" ht="15.75" customHeight="1" s="195"/>
    <row r="535" ht="15.75" customHeight="1" s="195"/>
    <row r="536" ht="15.75" customHeight="1" s="195"/>
    <row r="537" ht="15.75" customHeight="1" s="195"/>
    <row r="538" ht="15.75" customHeight="1" s="195"/>
    <row r="539" ht="15.75" customHeight="1" s="195"/>
    <row r="540" ht="15.75" customHeight="1" s="195"/>
    <row r="541" ht="15.75" customHeight="1" s="195"/>
    <row r="542" ht="15.75" customHeight="1" s="195"/>
    <row r="543" ht="15.75" customHeight="1" s="195"/>
    <row r="544" ht="15.75" customHeight="1" s="195"/>
    <row r="545" ht="15.75" customHeight="1" s="195"/>
    <row r="546" ht="15.75" customHeight="1" s="195"/>
    <row r="547" ht="15.75" customHeight="1" s="195"/>
    <row r="548" ht="15.75" customHeight="1" s="195"/>
    <row r="549" ht="15.75" customHeight="1" s="195"/>
    <row r="550" ht="15.75" customHeight="1" s="195"/>
    <row r="551" ht="15.75" customHeight="1" s="195"/>
    <row r="552" ht="15.75" customHeight="1" s="195"/>
    <row r="553" ht="15.75" customHeight="1" s="195"/>
    <row r="554" ht="15.75" customHeight="1" s="195"/>
    <row r="555" ht="15.75" customHeight="1" s="195"/>
    <row r="556" ht="15.75" customHeight="1" s="195"/>
    <row r="557" ht="15.75" customHeight="1" s="195"/>
    <row r="558" ht="15.75" customHeight="1" s="195"/>
    <row r="559" ht="15.75" customHeight="1" s="195"/>
    <row r="560" ht="15.75" customHeight="1" s="195"/>
    <row r="561" ht="15.75" customHeight="1" s="195"/>
    <row r="562" ht="15.75" customHeight="1" s="195"/>
    <row r="563" ht="15.75" customHeight="1" s="195"/>
    <row r="564" ht="15.75" customHeight="1" s="195"/>
    <row r="565" ht="15.75" customHeight="1" s="195"/>
    <row r="566" ht="15.75" customHeight="1" s="195"/>
    <row r="567" ht="15.75" customHeight="1" s="195"/>
    <row r="568" ht="15.75" customHeight="1" s="195"/>
    <row r="569" ht="15.75" customHeight="1" s="195"/>
    <row r="570" ht="15.75" customHeight="1" s="195"/>
    <row r="571" ht="15.75" customHeight="1" s="195"/>
    <row r="572" ht="15.75" customHeight="1" s="195"/>
    <row r="573" ht="15.75" customHeight="1" s="195"/>
    <row r="574" ht="15.75" customHeight="1" s="195"/>
    <row r="575" ht="15.75" customHeight="1" s="195"/>
    <row r="576" ht="15.75" customHeight="1" s="195"/>
    <row r="577" ht="15.75" customHeight="1" s="195"/>
    <row r="578" ht="15.75" customHeight="1" s="195"/>
    <row r="579" ht="15.75" customHeight="1" s="195"/>
    <row r="580" ht="15.75" customHeight="1" s="195"/>
    <row r="581" ht="15.75" customHeight="1" s="195"/>
    <row r="582" ht="15.75" customHeight="1" s="195"/>
    <row r="583" ht="15.75" customHeight="1" s="195"/>
    <row r="584" ht="15.75" customHeight="1" s="195"/>
    <row r="585" ht="15.75" customHeight="1" s="195"/>
    <row r="586" ht="15.75" customHeight="1" s="195"/>
    <row r="587" ht="15.75" customHeight="1" s="195"/>
    <row r="588" ht="15.75" customHeight="1" s="195"/>
    <row r="589" ht="15.75" customHeight="1" s="195"/>
    <row r="590" ht="15.75" customHeight="1" s="195"/>
    <row r="591" ht="15.75" customHeight="1" s="195"/>
    <row r="592" ht="15.75" customHeight="1" s="195"/>
    <row r="593" ht="15.75" customHeight="1" s="195"/>
    <row r="594" ht="15.75" customHeight="1" s="195"/>
    <row r="595" ht="15.75" customHeight="1" s="195"/>
    <row r="596" ht="15.75" customHeight="1" s="195"/>
    <row r="597" ht="15.75" customHeight="1" s="195"/>
    <row r="598" ht="15.75" customHeight="1" s="195"/>
    <row r="599" ht="15.75" customHeight="1" s="195"/>
    <row r="600" ht="15.75" customHeight="1" s="195"/>
    <row r="601" ht="15.75" customHeight="1" s="195"/>
    <row r="602" ht="15.75" customHeight="1" s="195"/>
    <row r="603" ht="15.75" customHeight="1" s="195"/>
    <row r="604" ht="15.75" customHeight="1" s="195"/>
    <row r="605" ht="15.75" customHeight="1" s="195"/>
    <row r="606" ht="15.75" customHeight="1" s="195"/>
    <row r="607" ht="15.75" customHeight="1" s="195"/>
    <row r="608" ht="15.75" customHeight="1" s="195"/>
    <row r="609" ht="15.75" customHeight="1" s="195"/>
    <row r="610" ht="15.75" customHeight="1" s="195"/>
    <row r="611" ht="15.75" customHeight="1" s="195"/>
    <row r="612" ht="15.75" customHeight="1" s="195"/>
    <row r="613" ht="15.75" customHeight="1" s="195"/>
    <row r="614" ht="15.75" customHeight="1" s="195"/>
    <row r="615" ht="15.75" customHeight="1" s="195"/>
    <row r="616" ht="15.75" customHeight="1" s="195"/>
    <row r="617" ht="15.75" customHeight="1" s="195"/>
    <row r="618" ht="15.75" customHeight="1" s="195"/>
    <row r="619" ht="15.75" customHeight="1" s="195"/>
    <row r="620" ht="15.75" customHeight="1" s="195"/>
    <row r="621" ht="15.75" customHeight="1" s="195"/>
    <row r="622" ht="15.75" customHeight="1" s="195"/>
    <row r="623" ht="15.75" customHeight="1" s="195"/>
    <row r="624" ht="15.75" customHeight="1" s="195"/>
    <row r="625" ht="15.75" customHeight="1" s="195"/>
    <row r="626" ht="15.75" customHeight="1" s="195"/>
    <row r="627" ht="15.75" customHeight="1" s="195"/>
    <row r="628" ht="15.75" customHeight="1" s="195"/>
    <row r="629" ht="15.75" customHeight="1" s="195"/>
    <row r="630" ht="15.75" customHeight="1" s="195"/>
    <row r="631" ht="15.75" customHeight="1" s="195"/>
    <row r="632" ht="15.75" customHeight="1" s="195"/>
    <row r="633" ht="15.75" customHeight="1" s="195"/>
    <row r="634" ht="15.75" customHeight="1" s="195"/>
    <row r="635" ht="15.75" customHeight="1" s="195"/>
    <row r="636" ht="15.75" customHeight="1" s="195"/>
    <row r="637" ht="15.75" customHeight="1" s="195"/>
    <row r="638" ht="15.75" customHeight="1" s="195"/>
    <row r="639" ht="15.75" customHeight="1" s="195"/>
    <row r="640" ht="15.75" customHeight="1" s="195"/>
    <row r="641" ht="15.75" customHeight="1" s="195"/>
    <row r="642" ht="15.75" customHeight="1" s="195"/>
    <row r="643" ht="15.75" customHeight="1" s="195"/>
    <row r="644" ht="15.75" customHeight="1" s="195"/>
    <row r="645" ht="15.75" customHeight="1" s="195"/>
    <row r="646" ht="15.75" customHeight="1" s="195"/>
    <row r="647" ht="15.75" customHeight="1" s="195"/>
    <row r="648" ht="15.75" customHeight="1" s="195"/>
    <row r="649" ht="15.75" customHeight="1" s="195"/>
    <row r="650" ht="15.75" customHeight="1" s="195"/>
    <row r="651" ht="15.75" customHeight="1" s="195"/>
    <row r="652" ht="15.75" customHeight="1" s="195"/>
    <row r="653" ht="15.75" customHeight="1" s="195"/>
    <row r="654" ht="15.75" customHeight="1" s="195"/>
    <row r="655" ht="15.75" customHeight="1" s="195"/>
    <row r="656" ht="15.75" customHeight="1" s="195"/>
    <row r="657" ht="15.75" customHeight="1" s="195"/>
    <row r="658" ht="15.75" customHeight="1" s="195"/>
    <row r="659" ht="15.75" customHeight="1" s="195"/>
    <row r="660" ht="15.75" customHeight="1" s="195"/>
    <row r="661" ht="15.75" customHeight="1" s="195"/>
    <row r="662" ht="15.75" customHeight="1" s="195"/>
    <row r="663" ht="15.75" customHeight="1" s="195"/>
    <row r="664" ht="15.75" customHeight="1" s="195"/>
    <row r="665" ht="15.75" customHeight="1" s="195"/>
    <row r="666" ht="15.75" customHeight="1" s="195"/>
    <row r="667" ht="15.75" customHeight="1" s="195"/>
    <row r="668" ht="15.75" customHeight="1" s="195"/>
    <row r="669" ht="15.75" customHeight="1" s="195"/>
    <row r="670" ht="15.75" customHeight="1" s="195"/>
    <row r="671" ht="15.75" customHeight="1" s="195"/>
    <row r="672" ht="15.75" customHeight="1" s="195"/>
    <row r="673" ht="15.75" customHeight="1" s="195"/>
    <row r="674" ht="15.75" customHeight="1" s="195"/>
    <row r="675" ht="15.75" customHeight="1" s="195"/>
    <row r="676" ht="15.75" customHeight="1" s="195"/>
    <row r="677" ht="15.75" customHeight="1" s="195"/>
    <row r="678" ht="15.75" customHeight="1" s="195"/>
    <row r="679" ht="15.75" customHeight="1" s="195"/>
    <row r="680" ht="15.75" customHeight="1" s="195"/>
    <row r="681" ht="15.75" customHeight="1" s="195"/>
    <row r="682" ht="15.75" customHeight="1" s="195"/>
    <row r="683" ht="15.75" customHeight="1" s="195"/>
    <row r="684" ht="15.75" customHeight="1" s="195"/>
    <row r="685" ht="15.75" customHeight="1" s="195"/>
    <row r="686" ht="15.75" customHeight="1" s="195"/>
    <row r="687" ht="15.75" customHeight="1" s="195"/>
    <row r="688" ht="15.75" customHeight="1" s="195"/>
    <row r="689" ht="15.75" customHeight="1" s="195"/>
    <row r="690" ht="15.75" customHeight="1" s="195"/>
    <row r="691" ht="15.75" customHeight="1" s="195"/>
    <row r="692" ht="15.75" customHeight="1" s="195"/>
    <row r="693" ht="15.75" customHeight="1" s="195"/>
    <row r="694" ht="15.75" customHeight="1" s="195"/>
    <row r="695" ht="15.75" customHeight="1" s="195"/>
    <row r="696" ht="15.75" customHeight="1" s="195"/>
    <row r="697" ht="15.75" customHeight="1" s="195"/>
    <row r="698" ht="15.75" customHeight="1" s="195"/>
    <row r="699" ht="15.75" customHeight="1" s="195"/>
    <row r="700" ht="15.75" customHeight="1" s="195"/>
    <row r="701" ht="15.75" customHeight="1" s="195"/>
    <row r="702" ht="15.75" customHeight="1" s="195"/>
    <row r="703" ht="15.75" customHeight="1" s="195"/>
    <row r="704" ht="15.75" customHeight="1" s="195"/>
    <row r="705" ht="15.75" customHeight="1" s="195"/>
    <row r="706" ht="15.75" customHeight="1" s="195"/>
    <row r="707" ht="15.75" customHeight="1" s="195"/>
    <row r="708" ht="15.75" customHeight="1" s="195"/>
    <row r="709" ht="15.75" customHeight="1" s="195"/>
    <row r="710" ht="15.75" customHeight="1" s="195"/>
    <row r="711" ht="15.75" customHeight="1" s="195"/>
    <row r="712" ht="15.75" customHeight="1" s="195"/>
    <row r="713" ht="15.75" customHeight="1" s="195"/>
    <row r="714" ht="15.75" customHeight="1" s="195"/>
    <row r="715" ht="15.75" customHeight="1" s="195"/>
    <row r="716" ht="15.75" customHeight="1" s="195"/>
    <row r="717" ht="15.75" customHeight="1" s="195"/>
    <row r="718" ht="15.75" customHeight="1" s="195"/>
    <row r="719" ht="15.75" customHeight="1" s="195"/>
    <row r="720" ht="15.75" customHeight="1" s="195"/>
    <row r="721" ht="15.75" customHeight="1" s="195"/>
    <row r="722" ht="15.75" customHeight="1" s="195"/>
    <row r="723" ht="15.75" customHeight="1" s="195"/>
    <row r="724" ht="15.75" customHeight="1" s="195"/>
    <row r="725" ht="15.75" customHeight="1" s="195"/>
    <row r="726" ht="15.75" customHeight="1" s="195"/>
    <row r="727" ht="15.75" customHeight="1" s="195"/>
    <row r="728" ht="15.75" customHeight="1" s="195"/>
    <row r="729" ht="15.75" customHeight="1" s="195"/>
    <row r="730" ht="15.75" customHeight="1" s="195"/>
    <row r="731" ht="15.75" customHeight="1" s="195"/>
    <row r="732" ht="15.75" customHeight="1" s="195"/>
    <row r="733" ht="15.75" customHeight="1" s="195"/>
    <row r="734" ht="15.75" customHeight="1" s="195"/>
    <row r="735" ht="15.75" customHeight="1" s="195"/>
    <row r="736" ht="15.75" customHeight="1" s="195"/>
    <row r="737" ht="15.75" customHeight="1" s="195"/>
    <row r="738" ht="15.75" customHeight="1" s="195"/>
    <row r="739" ht="15.75" customHeight="1" s="195"/>
    <row r="740" ht="15.75" customHeight="1" s="195"/>
    <row r="741" ht="15.75" customHeight="1" s="195"/>
    <row r="742" ht="15.75" customHeight="1" s="195"/>
    <row r="743" ht="15.75" customHeight="1" s="195"/>
    <row r="744" ht="15.75" customHeight="1" s="195"/>
    <row r="745" ht="15.75" customHeight="1" s="195"/>
    <row r="746" ht="15.75" customHeight="1" s="195"/>
    <row r="747" ht="15.75" customHeight="1" s="195"/>
    <row r="748" ht="15.75" customHeight="1" s="195"/>
    <row r="749" ht="15.75" customHeight="1" s="195"/>
    <row r="750" ht="15.75" customHeight="1" s="195"/>
    <row r="751" ht="15.75" customHeight="1" s="195"/>
    <row r="752" ht="15.75" customHeight="1" s="195"/>
    <row r="753" ht="15.75" customHeight="1" s="195"/>
    <row r="754" ht="15.75" customHeight="1" s="195"/>
    <row r="755" ht="15.75" customHeight="1" s="195"/>
    <row r="756" ht="15.75" customHeight="1" s="195"/>
    <row r="757" ht="15.75" customHeight="1" s="195"/>
    <row r="758" ht="15.75" customHeight="1" s="195"/>
    <row r="759" ht="15.75" customHeight="1" s="195"/>
    <row r="760" ht="15.75" customHeight="1" s="195"/>
    <row r="761" ht="15.75" customHeight="1" s="195"/>
    <row r="762" ht="15.75" customHeight="1" s="195"/>
    <row r="763" ht="15.75" customHeight="1" s="195"/>
    <row r="764" ht="15.75" customHeight="1" s="195"/>
    <row r="765" ht="15.75" customHeight="1" s="195"/>
    <row r="766" ht="15.75" customHeight="1" s="195"/>
    <row r="767" ht="15.75" customHeight="1" s="195"/>
    <row r="768" ht="15.75" customHeight="1" s="195"/>
    <row r="769" ht="15.75" customHeight="1" s="195"/>
    <row r="770" ht="15.75" customHeight="1" s="195"/>
    <row r="771" ht="15.75" customHeight="1" s="195"/>
    <row r="772" ht="15.75" customHeight="1" s="195"/>
    <row r="773" ht="15.75" customHeight="1" s="195"/>
    <row r="774" ht="15.75" customHeight="1" s="195"/>
    <row r="775" ht="15.75" customHeight="1" s="195"/>
    <row r="776" ht="15.75" customHeight="1" s="195"/>
    <row r="777" ht="15.75" customHeight="1" s="195"/>
    <row r="778" ht="15.75" customHeight="1" s="195"/>
    <row r="779" ht="15.75" customHeight="1" s="195"/>
    <row r="780" ht="15.75" customHeight="1" s="195"/>
    <row r="781" ht="15.75" customHeight="1" s="195"/>
    <row r="782" ht="15.75" customHeight="1" s="195"/>
    <row r="783" ht="15.75" customHeight="1" s="195"/>
    <row r="784" ht="15.75" customHeight="1" s="195"/>
    <row r="785" ht="15.75" customHeight="1" s="195"/>
    <row r="786" ht="15.75" customHeight="1" s="195"/>
    <row r="787" ht="15.75" customHeight="1" s="195"/>
    <row r="788" ht="15.75" customHeight="1" s="195"/>
    <row r="789" ht="15.75" customHeight="1" s="195"/>
    <row r="790" ht="15.75" customHeight="1" s="195"/>
    <row r="791" ht="15.75" customHeight="1" s="195"/>
    <row r="792" ht="15.75" customHeight="1" s="195"/>
    <row r="793" ht="15.75" customHeight="1" s="195"/>
    <row r="794" ht="15.75" customHeight="1" s="195"/>
    <row r="795" ht="15.75" customHeight="1" s="195"/>
    <row r="796" ht="15.75" customHeight="1" s="195"/>
    <row r="797" ht="15.75" customHeight="1" s="195"/>
    <row r="798" ht="15.75" customHeight="1" s="195"/>
    <row r="799" ht="15.75" customHeight="1" s="195"/>
    <row r="800" ht="15.75" customHeight="1" s="195"/>
    <row r="801" ht="15.75" customHeight="1" s="195"/>
    <row r="802" ht="15.75" customHeight="1" s="195"/>
    <row r="803" ht="15.75" customHeight="1" s="195"/>
    <row r="804" ht="15.75" customHeight="1" s="195"/>
    <row r="805" ht="15.75" customHeight="1" s="195"/>
    <row r="806" ht="15.75" customHeight="1" s="195"/>
    <row r="807" ht="15.75" customHeight="1" s="195"/>
    <row r="808" ht="15.75" customHeight="1" s="195"/>
    <row r="809" ht="15.75" customHeight="1" s="195"/>
    <row r="810" ht="15.75" customHeight="1" s="195"/>
    <row r="811" ht="15.75" customHeight="1" s="195"/>
    <row r="812" ht="15.75" customHeight="1" s="195"/>
    <row r="813" ht="15.75" customHeight="1" s="195"/>
    <row r="814" ht="15.75" customHeight="1" s="195"/>
    <row r="815" ht="15.75" customHeight="1" s="195"/>
    <row r="816" ht="15.75" customHeight="1" s="195"/>
    <row r="817" ht="15.75" customHeight="1" s="195"/>
    <row r="818" ht="15.75" customHeight="1" s="195"/>
    <row r="819" ht="15.75" customHeight="1" s="195"/>
    <row r="820" ht="15.75" customHeight="1" s="195"/>
    <row r="821" ht="15.75" customHeight="1" s="195"/>
    <row r="822" ht="15.75" customHeight="1" s="195"/>
    <row r="823" ht="15.75" customHeight="1" s="195"/>
    <row r="824" ht="15.75" customHeight="1" s="195"/>
    <row r="825" ht="15.75" customHeight="1" s="195"/>
    <row r="826" ht="15.75" customHeight="1" s="195"/>
    <row r="827" ht="15.75" customHeight="1" s="195"/>
    <row r="828" ht="15.75" customHeight="1" s="195"/>
    <row r="829" ht="15.75" customHeight="1" s="195"/>
    <row r="830" ht="15.75" customHeight="1" s="195"/>
    <row r="831" ht="15.75" customHeight="1" s="195"/>
    <row r="832" ht="15.75" customHeight="1" s="195"/>
    <row r="833" ht="15.75" customHeight="1" s="195"/>
    <row r="834" ht="15.75" customHeight="1" s="195"/>
    <row r="835" ht="15.75" customHeight="1" s="195"/>
    <row r="836" ht="15.75" customHeight="1" s="195"/>
    <row r="837" ht="15.75" customHeight="1" s="195"/>
    <row r="838" ht="15.75" customHeight="1" s="195"/>
    <row r="839" ht="15.75" customHeight="1" s="195"/>
    <row r="840" ht="15.75" customHeight="1" s="195"/>
    <row r="841" ht="15.75" customHeight="1" s="195"/>
    <row r="842" ht="15.75" customHeight="1" s="195"/>
    <row r="843" ht="15.75" customHeight="1" s="195"/>
    <row r="844" ht="15.75" customHeight="1" s="195"/>
    <row r="845" ht="15.75" customHeight="1" s="195"/>
    <row r="846" ht="15.75" customHeight="1" s="195"/>
    <row r="847" ht="15.75" customHeight="1" s="195"/>
    <row r="848" ht="15.75" customHeight="1" s="195"/>
    <row r="849" ht="15.75" customHeight="1" s="195"/>
    <row r="850" ht="15.75" customHeight="1" s="195"/>
    <row r="851" ht="15.75" customHeight="1" s="195"/>
    <row r="852" ht="15.75" customHeight="1" s="195"/>
    <row r="853" ht="15.75" customHeight="1" s="195"/>
    <row r="854" ht="15.75" customHeight="1" s="195"/>
    <row r="855" ht="15.75" customHeight="1" s="195"/>
    <row r="856" ht="15.75" customHeight="1" s="195"/>
    <row r="857" ht="15.75" customHeight="1" s="195"/>
    <row r="858" ht="15.75" customHeight="1" s="195"/>
    <row r="859" ht="15.75" customHeight="1" s="195"/>
    <row r="860" ht="15.75" customHeight="1" s="195"/>
    <row r="861" ht="15.75" customHeight="1" s="195"/>
    <row r="862" ht="15.75" customHeight="1" s="195"/>
    <row r="863" ht="15.75" customHeight="1" s="195"/>
    <row r="864" ht="15.75" customHeight="1" s="195"/>
    <row r="865" ht="15.75" customHeight="1" s="195"/>
    <row r="866" ht="15.75" customHeight="1" s="195"/>
    <row r="867" ht="15.75" customHeight="1" s="195"/>
    <row r="868" ht="15.75" customHeight="1" s="195"/>
    <row r="869" ht="15.75" customHeight="1" s="195"/>
    <row r="870" ht="15.75" customHeight="1" s="195"/>
    <row r="871" ht="15.75" customHeight="1" s="195"/>
    <row r="872" ht="15.75" customHeight="1" s="195"/>
    <row r="873" ht="15.75" customHeight="1" s="195"/>
    <row r="874" ht="15.75" customHeight="1" s="195"/>
    <row r="875" ht="15.75" customHeight="1" s="195"/>
    <row r="876" ht="15.75" customHeight="1" s="195"/>
    <row r="877" ht="15.75" customHeight="1" s="195"/>
    <row r="878" ht="15.75" customHeight="1" s="195"/>
    <row r="879" ht="15.75" customHeight="1" s="195"/>
    <row r="880" ht="15.75" customHeight="1" s="195"/>
    <row r="881" ht="15.75" customHeight="1" s="195"/>
    <row r="882" ht="15.75" customHeight="1" s="195"/>
    <row r="883" ht="15.75" customHeight="1" s="195"/>
    <row r="884" ht="15.75" customHeight="1" s="195"/>
    <row r="885" ht="15.75" customHeight="1" s="195"/>
    <row r="886" ht="15.75" customHeight="1" s="195"/>
    <row r="887" ht="15.75" customHeight="1" s="195"/>
    <row r="888" ht="15.75" customHeight="1" s="195"/>
    <row r="889" ht="15.75" customHeight="1" s="195"/>
    <row r="890" ht="15.75" customHeight="1" s="195"/>
    <row r="891" ht="15.75" customHeight="1" s="195"/>
    <row r="892" ht="15.75" customHeight="1" s="195"/>
    <row r="893" ht="15.75" customHeight="1" s="195"/>
    <row r="894" ht="15.75" customHeight="1" s="195"/>
    <row r="895" ht="15.75" customHeight="1" s="195"/>
    <row r="896" ht="15.75" customHeight="1" s="195"/>
    <row r="897" ht="15.75" customHeight="1" s="195"/>
    <row r="898" ht="15.75" customHeight="1" s="195"/>
    <row r="899" ht="15.75" customHeight="1" s="195"/>
    <row r="900" ht="15.75" customHeight="1" s="195"/>
    <row r="901" ht="15.75" customHeight="1" s="195"/>
    <row r="902" ht="15.75" customHeight="1" s="195"/>
    <row r="903" ht="15.75" customHeight="1" s="195"/>
    <row r="904" ht="15.75" customHeight="1" s="195"/>
    <row r="905" ht="15.75" customHeight="1" s="195"/>
    <row r="906" ht="15.75" customHeight="1" s="195"/>
    <row r="907" ht="15.75" customHeight="1" s="195"/>
    <row r="908" ht="15.75" customHeight="1" s="195"/>
    <row r="909" ht="15.75" customHeight="1" s="195"/>
    <row r="910" ht="15.75" customHeight="1" s="195"/>
    <row r="911" ht="15.75" customHeight="1" s="195"/>
    <row r="912" ht="15.75" customHeight="1" s="195"/>
    <row r="913" ht="15.75" customHeight="1" s="195"/>
    <row r="914" ht="15.75" customHeight="1" s="195"/>
    <row r="915" ht="15.75" customHeight="1" s="195"/>
    <row r="916" ht="15.75" customHeight="1" s="195"/>
    <row r="917" ht="15.75" customHeight="1" s="195"/>
    <row r="918" ht="15.75" customHeight="1" s="195"/>
    <row r="919" ht="15.75" customHeight="1" s="195"/>
    <row r="920" ht="15.75" customHeight="1" s="195"/>
    <row r="921" ht="15.75" customHeight="1" s="195"/>
    <row r="922" ht="15.75" customHeight="1" s="195"/>
    <row r="923" ht="15.75" customHeight="1" s="195"/>
    <row r="924" ht="15.75" customHeight="1" s="195"/>
    <row r="925" ht="15.75" customHeight="1" s="195"/>
    <row r="926" ht="15.75" customHeight="1" s="195"/>
    <row r="927" ht="15.75" customHeight="1" s="195"/>
    <row r="928" ht="15.75" customHeight="1" s="195"/>
    <row r="929" ht="15.75" customHeight="1" s="195"/>
    <row r="930" ht="15.75" customHeight="1" s="195"/>
    <row r="931" ht="15.75" customHeight="1" s="195"/>
    <row r="932" ht="15.75" customHeight="1" s="195"/>
    <row r="933" ht="15.75" customHeight="1" s="195"/>
    <row r="934" ht="15.75" customHeight="1" s="195"/>
    <row r="935" ht="15.75" customHeight="1" s="195"/>
    <row r="936" ht="15.75" customHeight="1" s="195"/>
    <row r="937" ht="15.75" customHeight="1" s="195"/>
    <row r="938" ht="15.75" customHeight="1" s="195"/>
    <row r="939" ht="15.75" customHeight="1" s="195"/>
    <row r="940" ht="15.75" customHeight="1" s="195"/>
    <row r="941" ht="15.75" customHeight="1" s="195"/>
    <row r="942" ht="15.75" customHeight="1" s="195"/>
    <row r="943" ht="15.75" customHeight="1" s="195"/>
    <row r="944" ht="15.75" customHeight="1" s="195"/>
    <row r="945" ht="15.75" customHeight="1" s="195"/>
    <row r="946" ht="15.75" customHeight="1" s="195"/>
    <row r="947" ht="15.75" customHeight="1" s="195"/>
    <row r="948" ht="15.75" customHeight="1" s="195"/>
    <row r="949" ht="15.75" customHeight="1" s="195"/>
    <row r="950" ht="15.75" customHeight="1" s="195"/>
    <row r="951" ht="15.75" customHeight="1" s="195"/>
    <row r="952" ht="15.75" customHeight="1" s="195"/>
    <row r="953" ht="15.75" customHeight="1" s="195"/>
    <row r="954" ht="15.75" customHeight="1" s="195"/>
    <row r="955" ht="15.75" customHeight="1" s="195"/>
    <row r="956" ht="15.75" customHeight="1" s="195"/>
    <row r="957" ht="15.75" customHeight="1" s="195"/>
    <row r="958" ht="15.75" customHeight="1" s="195"/>
    <row r="959" ht="15.75" customHeight="1" s="195"/>
    <row r="960" ht="15.75" customHeight="1" s="195"/>
    <row r="961" ht="15.75" customHeight="1" s="195"/>
    <row r="962" ht="15.75" customHeight="1" s="195"/>
    <row r="963" ht="15.75" customHeight="1" s="195"/>
    <row r="964" ht="15.75" customHeight="1" s="195"/>
    <row r="965" ht="15.75" customHeight="1" s="195"/>
    <row r="966" ht="15.75" customHeight="1" s="195"/>
    <row r="967" ht="15.75" customHeight="1" s="195"/>
    <row r="968" ht="15.75" customHeight="1" s="195"/>
    <row r="969" ht="15.75" customHeight="1" s="195"/>
    <row r="970" ht="15.75" customHeight="1" s="195"/>
    <row r="971" ht="15.75" customHeight="1" s="195"/>
    <row r="972" ht="15.75" customHeight="1" s="195"/>
    <row r="973" ht="15.75" customHeight="1" s="195"/>
    <row r="974" ht="15.75" customHeight="1" s="195"/>
    <row r="975" ht="15.75" customHeight="1" s="195"/>
    <row r="976" ht="15.75" customHeight="1" s="195"/>
    <row r="977" ht="15.75" customHeight="1" s="195"/>
    <row r="978" ht="15.75" customHeight="1" s="195"/>
    <row r="979" ht="15.75" customHeight="1" s="195"/>
    <row r="980" ht="15.75" customHeight="1" s="195"/>
    <row r="981" ht="15.75" customHeight="1" s="195"/>
    <row r="982" ht="15.75" customHeight="1" s="195"/>
    <row r="983" ht="15.75" customHeight="1" s="195"/>
    <row r="984" ht="15.75" customHeight="1" s="195"/>
    <row r="985" ht="15.75" customHeight="1" s="195"/>
    <row r="986" ht="15.75" customHeight="1" s="195"/>
    <row r="987" ht="15.75" customHeight="1" s="195"/>
    <row r="988" ht="15.75" customHeight="1" s="195"/>
    <row r="989" ht="15.75" customHeight="1" s="195"/>
    <row r="990" ht="15.75" customHeight="1" s="195"/>
    <row r="991" ht="15.75" customHeight="1" s="195"/>
    <row r="992" ht="15.75" customHeight="1" s="195"/>
    <row r="993" ht="15.75" customHeight="1" s="195"/>
    <row r="994" ht="15.75" customHeight="1" s="195"/>
    <row r="995" ht="15.75" customHeight="1" s="195"/>
    <row r="996" ht="15.75" customHeight="1" s="195"/>
    <row r="997" ht="15.75" customHeight="1" s="195"/>
    <row r="998" ht="15.75" customHeight="1" s="195"/>
    <row r="999" ht="15.75" customHeight="1" s="195"/>
    <row r="1000" ht="15.75" customHeight="1" s="195"/>
  </sheetData>
  <mergeCells count="13">
    <mergeCell ref="D2:F2"/>
    <mergeCell ref="G2:I2"/>
    <mergeCell ref="S2:T2"/>
    <mergeCell ref="J2:L2"/>
    <mergeCell ref="A506:G506"/>
    <mergeCell ref="U2:V2"/>
    <mergeCell ref="P2:R2"/>
    <mergeCell ref="A1:Y1"/>
    <mergeCell ref="W2:AC2"/>
    <mergeCell ref="A113:J113"/>
    <mergeCell ref="A4:Y4"/>
    <mergeCell ref="M2:O2"/>
    <mergeCell ref="A2:C2"/>
  </mergeCells>
  <conditionalFormatting sqref="T6:T505">
    <cfRule type="expression" rank="0" priority="2" equalAverage="0" aboveAverage="0" dxfId="0" text="" percent="0" bottom="0">
      <formula>EXACT(T6,"APROBADO")</formula>
    </cfRule>
    <cfRule type="expression" rank="0" priority="3" equalAverage="0" aboveAverage="0" dxfId="7" text="" percent="0" bottom="0">
      <formula>EXACT(T6,"PENDIENTE")</formula>
    </cfRule>
  </conditionalFormatting>
  <conditionalFormatting sqref="K6:K505">
    <cfRule type="expression" rank="0" priority="4" equalAverage="0" aboveAverage="0" dxfId="8" text="" percent="0" bottom="0">
      <formula>EXACT(K6,"GASOLINA")</formula>
    </cfRule>
  </conditionalFormatting>
  <conditionalFormatting sqref="Y4:Y130">
    <cfRule type="expression" rank="0" priority="5" equalAverage="0" aboveAverage="0" dxfId="9" text="" percent="0" bottom="0">
      <formula>Y4&lt;&gt;""</formula>
    </cfRule>
  </conditionalFormatting>
  <dataValidations count="4">
    <dataValidation sqref="Y5:Y130" showDropDown="0" showInputMessage="0" showErrorMessage="0" allowBlank="1" type="list" errorStyle="stop" operator="between">
      <formula1>CONDUCTORES!$H$3:$H$104</formula1>
      <formula2>0</formula2>
    </dataValidation>
    <dataValidation sqref="K6:K505" showDropDown="0" showInputMessage="0" showErrorMessage="0" allowBlank="1" type="list" errorStyle="stop" operator="between">
      <formula1>"PETROLEO,GASOLINA"</formula1>
      <formula2>0</formula2>
    </dataValidation>
    <dataValidation sqref="E6:E112 E114:E505" showDropDown="0" showInputMessage="0" showErrorMessage="0" allowBlank="1" type="list" errorStyle="stop" operator="between">
      <formula1>"DNI,CE,PASAPORTE"</formula1>
      <formula2>0</formula2>
    </dataValidation>
    <dataValidation sqref="T6:T505" showDropDown="0" showInputMessage="0" showErrorMessage="0" allowBlank="1" type="list" errorStyle="stop" operator="between">
      <formula1>"APROBADO,PENDIENTE,OBSERVADO"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C5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14.43359375" defaultRowHeight="15" zeroHeight="0" outlineLevelRow="0"/>
  <cols>
    <col width="5" customWidth="1" style="194" min="1" max="1"/>
    <col width="14" customWidth="1" style="194" min="2" max="2"/>
    <col width="8" customWidth="1" style="194" min="3" max="3"/>
    <col width="28" customWidth="1" style="194" min="4" max="4"/>
    <col width="7" customWidth="1" style="194" min="5" max="5"/>
    <col width="14" customWidth="1" style="194" min="6" max="6"/>
    <col width="12" customWidth="1" style="194" min="7" max="7"/>
    <col width="10" customWidth="1" style="194" min="8" max="8"/>
    <col width="30" customWidth="1" style="194" min="9" max="9"/>
    <col width="10" customWidth="1" style="194" min="10" max="10"/>
    <col width="12" customWidth="1" style="194" min="11" max="11"/>
    <col width="10" customWidth="1" style="194" min="12" max="13"/>
    <col width="14" customWidth="1" style="194" min="14" max="15"/>
    <col width="28" customWidth="1" style="194" min="16" max="16"/>
    <col width="12" customWidth="1" style="194" min="17" max="18"/>
    <col width="16" customWidth="1" style="194" min="19" max="19"/>
    <col width="12" customWidth="1" style="194" min="20" max="21"/>
    <col width="14" customWidth="1" style="194" min="22" max="23"/>
    <col width="8" customWidth="1" style="194" min="24" max="24"/>
    <col width="22" customWidth="1" style="194" min="25" max="25"/>
    <col width="8.710000000000001" customWidth="1" style="194" min="26" max="29"/>
  </cols>
  <sheetData>
    <row r="1" ht="27.75" customHeight="1" s="195">
      <c r="A1" s="317" t="inlineStr">
        <is>
          <t>REPORTE DE TRASLADO DE PACIENTES SIS DEL MES DE FEBRERO 2025 PARA REPOSICION DE COMBUSTIBLE</t>
        </is>
      </c>
    </row>
    <row r="2" ht="21.75" customHeight="1" s="195">
      <c r="A2" s="318" t="inlineStr">
        <is>
          <t>TOTAL PETROLEO (gal):</t>
        </is>
      </c>
      <c r="D2" s="319">
        <f>IFERROR(SUMPRODUCT((K4:K102="PETROLEO")*ISNUMBER(M4:M102)*M4:M102),0)</f>
        <v/>
      </c>
      <c r="G2" s="318" t="inlineStr">
        <is>
          <t>TOTAL GASOLINA (gal):</t>
        </is>
      </c>
      <c r="J2" s="319">
        <f>IFERROR(SUMPRODUCT((K4:K102="GASOLINA")*ISNUMBER(M4:M102)*M4:M102),0)</f>
        <v/>
      </c>
      <c r="M2" s="318" t="inlineStr">
        <is>
          <t>TOTAL SOLES S/.:</t>
        </is>
      </c>
      <c r="P2" s="320">
        <f>IFERROR(SUMPRODUCT(ISNUMBER(M4:M102)*L4:L102*M4:M102),0)</f>
        <v/>
      </c>
      <c r="S2" s="318" t="inlineStr">
        <is>
          <t>N TRASLADOS:</t>
        </is>
      </c>
      <c r="U2" s="321">
        <f>SUBTOTAL(2,A4:A102)</f>
        <v/>
      </c>
      <c r="W2" s="322" t="inlineStr">
        <is>
          <t>↑ Al filtrar por EESS los totales cambian automáticamente</t>
        </is>
      </c>
    </row>
    <row r="3" ht="3.75" customHeight="1" s="195">
      <c r="A3" s="323" t="n"/>
      <c r="B3" s="323" t="n"/>
      <c r="C3" s="323" t="n"/>
      <c r="D3" s="323" t="n"/>
      <c r="E3" s="323" t="n"/>
      <c r="F3" s="323" t="n"/>
      <c r="G3" s="323" t="n"/>
      <c r="H3" s="323" t="n"/>
      <c r="I3" s="323" t="n"/>
      <c r="J3" s="323" t="n"/>
      <c r="K3" s="323" t="n"/>
      <c r="L3" s="323" t="n"/>
      <c r="M3" s="323" t="n"/>
      <c r="N3" s="323" t="n"/>
      <c r="O3" s="323" t="n"/>
      <c r="P3" s="323" t="n"/>
      <c r="Q3" s="323" t="n"/>
      <c r="R3" s="323" t="n"/>
      <c r="S3" s="323" t="n"/>
      <c r="T3" s="323" t="n"/>
      <c r="U3" s="323" t="n"/>
      <c r="V3" s="323" t="n"/>
      <c r="W3" s="323" t="n"/>
      <c r="X3" s="323" t="n"/>
      <c r="Y3" s="324" t="inlineStr">
        <is>
          <t>DEVOLVER A
(IPRESS DESTINO)</t>
        </is>
      </c>
    </row>
    <row r="4" ht="19.5" customHeight="1" s="195">
      <c r="A4" s="325" t="inlineStr">
        <is>
          <t>COLUMNAS EN AZUL = AUTO (no editar) | Ingrese: N, NRO FORMATO, AFILIADO, TIPO DOC, NRO DOC, FECHA TRASLADO, COD RENAES, COD REFERENCIA, DNI CONDUCTOR, PRECIO GAL, GALONES, FECHA ENTREGA, CIE-10, ESTADO FUA, FECHA DIGITACION, OFICIO, O/C, META, OBSERVACION</t>
        </is>
      </c>
    </row>
    <row r="5" ht="30" customHeight="1" s="195">
      <c r="A5" s="326" t="inlineStr">
        <is>
          <t>N</t>
        </is>
      </c>
      <c r="B5" s="327" t="inlineStr">
        <is>
          <t>NRO FORMATO
ATENCION</t>
        </is>
      </c>
      <c r="C5" s="327" t="inlineStr">
        <is>
          <t>UNIDAD
EJECUTORA</t>
        </is>
      </c>
      <c r="D5" s="327" t="inlineStr">
        <is>
          <t>AFILIADO</t>
        </is>
      </c>
      <c r="E5" s="327" t="inlineStr">
        <is>
          <t>TIPO
DOC</t>
        </is>
      </c>
      <c r="F5" s="327" t="inlineStr">
        <is>
          <t>NRO
DOCUMENTO</t>
        </is>
      </c>
      <c r="G5" s="327" t="inlineStr">
        <is>
          <t>FECHA
TRASLADO</t>
        </is>
      </c>
      <c r="H5" s="327" t="inlineStr">
        <is>
          <t>COD
RENAES</t>
        </is>
      </c>
      <c r="I5" s="328" t="inlineStr">
        <is>
          <t>DESCRIPCION
EESS</t>
        </is>
      </c>
      <c r="J5" s="327" t="inlineStr">
        <is>
          <t>COD EESS
REFERENCIA</t>
        </is>
      </c>
      <c r="K5" s="328" t="inlineStr">
        <is>
          <t>TIPO DE
COMBUSTIBLE</t>
        </is>
      </c>
      <c r="L5" s="327" t="inlineStr">
        <is>
          <t>PRECIO
GAL S/.</t>
        </is>
      </c>
      <c r="M5" s="327" t="inlineStr">
        <is>
          <t>GALONES</t>
        </is>
      </c>
      <c r="N5" s="328" t="inlineStr">
        <is>
          <t>TOTAL
COMBUSTIBLE S/.</t>
        </is>
      </c>
      <c r="O5" s="327" t="inlineStr">
        <is>
          <t>DNI
CONDUCTOR</t>
        </is>
      </c>
      <c r="P5" s="329">
        <f>IFERROR(VLOOKUP(TEXT(O5,"0"),CONDUCTORES!$A$3:$G$100,2,0),"")</f>
        <v/>
      </c>
      <c r="Q5" s="329">
        <f>IFERROR(VLOOKUP(TEXT(O5,"0"),CONDUCTORES!$A$3:$H$100,6,0),"")</f>
        <v/>
      </c>
      <c r="R5" s="327" t="inlineStr">
        <is>
          <t>FECHA DE
ENTREGA</t>
        </is>
      </c>
      <c r="S5" s="327" t="inlineStr">
        <is>
          <t>CODIGO DE
DIAGNOSTICO</t>
        </is>
      </c>
      <c r="T5" s="327" t="inlineStr">
        <is>
          <t>ESTADO
FUA</t>
        </is>
      </c>
      <c r="U5" s="327" t="inlineStr">
        <is>
          <t>FECHA
DIGITACION</t>
        </is>
      </c>
      <c r="V5" s="327" t="inlineStr">
        <is>
          <t>OFICIO</t>
        </is>
      </c>
      <c r="W5" s="327" t="inlineStr">
        <is>
          <t>O/C</t>
        </is>
      </c>
      <c r="X5" s="327" t="inlineStr">
        <is>
          <t>META</t>
        </is>
      </c>
      <c r="Y5" s="330" t="inlineStr">
        <is>
          <t>OBSERVACION</t>
        </is>
      </c>
    </row>
    <row r="6" ht="15.75" customHeight="1" s="195">
      <c r="A6" s="337" t="n">
        <v>1</v>
      </c>
      <c r="B6" s="338" t="inlineStr">
        <is>
          <t>00000001</t>
        </is>
      </c>
      <c r="C6" s="337" t="inlineStr">
        <is>
          <t>REGION</t>
        </is>
      </c>
      <c r="D6" s="338" t="inlineStr">
        <is>
          <t>CRUZ DEZA NELSA LIZET</t>
        </is>
      </c>
      <c r="E6" s="337" t="inlineStr">
        <is>
          <t>DNI</t>
        </is>
      </c>
      <c r="F6" s="337" t="inlineStr">
        <is>
          <t>62126640</t>
        </is>
      </c>
      <c r="G6" s="339" t="n">
        <v>45696</v>
      </c>
      <c r="H6" s="337" t="inlineStr">
        <is>
          <t>4937</t>
        </is>
      </c>
      <c r="I6" s="332">
        <f>IFERROR(VLOOKUP(TEXT(H6,"0"),IPRESS!$A$3:$B$212,2,0),"")</f>
        <v/>
      </c>
      <c r="J6" s="337" t="inlineStr">
        <is>
          <t>4932</t>
        </is>
      </c>
      <c r="K6" s="332">
        <f>IFERROR(VLOOKUP(TEXT(O6,"0"),CONDUCTORES!$A$3:$G$100,7,0),"")</f>
        <v/>
      </c>
      <c r="L6" s="340" t="n">
        <v>17.95</v>
      </c>
      <c r="M6" s="340" t="n">
        <v>5</v>
      </c>
      <c r="N6" s="333">
        <f>IFERROR(IF(L6*M6=0,"",L6*M6),"")</f>
        <v/>
      </c>
      <c r="O6" s="280" t="n"/>
      <c r="P6" s="332">
        <f>IFERROR(VLOOKUP(TEXT(O6,"0"),CONDUCTORES!$A$3:$G$100,2,0),"")</f>
        <v/>
      </c>
      <c r="Q6" s="332">
        <f>IFERROR(VLOOKUP(TEXT(O6,"0"),CONDUCTORES!$A$3:$H$100,6,0),"")</f>
        <v/>
      </c>
      <c r="R6" s="341" t="inlineStr">
        <is>
          <t>ATENDIDO 22/04/2025</t>
        </is>
      </c>
      <c r="S6" s="338" t="inlineStr">
        <is>
          <t>A09X,Z359</t>
        </is>
      </c>
      <c r="T6" s="337" t="n"/>
      <c r="U6" s="339" t="n">
        <v>45728</v>
      </c>
      <c r="V6" s="337" t="inlineStr">
        <is>
          <t>1614-2025</t>
        </is>
      </c>
      <c r="W6" s="337" t="inlineStr">
        <is>
          <t>0000108- ADENDA N°001-2025 DRSA/OEA-O.ABAST</t>
        </is>
      </c>
      <c r="X6" s="337" t="inlineStr">
        <is>
          <t>251.0</t>
        </is>
      </c>
      <c r="Y6" s="280" t="n"/>
    </row>
    <row r="7" ht="15.75" customHeight="1" s="195">
      <c r="A7" s="337" t="n">
        <v>2</v>
      </c>
      <c r="B7" s="338" t="inlineStr">
        <is>
          <t>00000002</t>
        </is>
      </c>
      <c r="C7" s="337" t="inlineStr">
        <is>
          <t>REGION</t>
        </is>
      </c>
      <c r="D7" s="338" t="inlineStr">
        <is>
          <t>RODRIGUEZ TICLLA LUZ THALIA</t>
        </is>
      </c>
      <c r="E7" s="337" t="inlineStr">
        <is>
          <t>DNI</t>
        </is>
      </c>
      <c r="F7" s="337" t="inlineStr">
        <is>
          <t>76738971</t>
        </is>
      </c>
      <c r="G7" s="339" t="n">
        <v>45707</v>
      </c>
      <c r="H7" s="337" t="inlineStr">
        <is>
          <t>4937</t>
        </is>
      </c>
      <c r="I7" s="332">
        <f>IFERROR(VLOOKUP(TEXT(H7,"0"),IPRESS!$A$3:$B$212,2,0),"")</f>
        <v/>
      </c>
      <c r="J7" s="337" t="inlineStr">
        <is>
          <t>4932</t>
        </is>
      </c>
      <c r="K7" s="332">
        <f>IFERROR(VLOOKUP(TEXT(O7,"0"),CONDUCTORES!$A$3:$G$100,7,0),"")</f>
        <v/>
      </c>
      <c r="L7" s="340" t="n">
        <v>17.95</v>
      </c>
      <c r="M7" s="340" t="n">
        <v>5</v>
      </c>
      <c r="N7" s="333">
        <f>IFERROR(IF(L7*M7=0,"",L7*M7),"")</f>
        <v/>
      </c>
      <c r="O7" s="334" t="n"/>
      <c r="P7" s="332">
        <f>IFERROR(VLOOKUP(TEXT(O7,"0"),CONDUCTORES!$A$3:$G$100,2,0),"")</f>
        <v/>
      </c>
      <c r="Q7" s="332">
        <f>IFERROR(VLOOKUP(TEXT(O7,"0"),CONDUCTORES!$A$3:$H$100,6,0),"")</f>
        <v/>
      </c>
      <c r="R7" s="341" t="inlineStr">
        <is>
          <t>ATENDIDO 22/04/2025</t>
        </is>
      </c>
      <c r="S7" s="338" t="inlineStr">
        <is>
          <t>O623</t>
        </is>
      </c>
      <c r="T7" s="337" t="n"/>
      <c r="U7" s="339" t="n">
        <v>45727</v>
      </c>
      <c r="V7" s="337" t="inlineStr">
        <is>
          <t>1614-2025</t>
        </is>
      </c>
      <c r="W7" s="337" t="inlineStr">
        <is>
          <t>0000108- ADENDA N°001-2025 DRSA/OEA-O.ABAST</t>
        </is>
      </c>
      <c r="X7" s="337" t="inlineStr">
        <is>
          <t>251.0</t>
        </is>
      </c>
      <c r="Y7" s="280" t="n"/>
    </row>
    <row r="8" ht="15.75" customHeight="1" s="195">
      <c r="A8" s="337" t="n">
        <v>3</v>
      </c>
      <c r="B8" s="338" t="inlineStr">
        <is>
          <t>00000009</t>
        </is>
      </c>
      <c r="C8" s="337" t="inlineStr">
        <is>
          <t>REGION</t>
        </is>
      </c>
      <c r="D8" s="338" t="inlineStr">
        <is>
          <t>CAYAO CASAS ELSA MARILU</t>
        </is>
      </c>
      <c r="E8" s="337" t="inlineStr">
        <is>
          <t>DNI</t>
        </is>
      </c>
      <c r="F8" s="337" t="inlineStr">
        <is>
          <t>60322673</t>
        </is>
      </c>
      <c r="G8" s="339" t="n">
        <v>45715</v>
      </c>
      <c r="H8" s="337" t="inlineStr">
        <is>
          <t>4937</t>
        </is>
      </c>
      <c r="I8" s="332">
        <f>IFERROR(VLOOKUP(TEXT(H8,"0"),IPRESS!$A$3:$B$212,2,0),"")</f>
        <v/>
      </c>
      <c r="J8" s="337" t="inlineStr">
        <is>
          <t>4932</t>
        </is>
      </c>
      <c r="K8" s="332">
        <f>IFERROR(VLOOKUP(TEXT(O8,"0"),CONDUCTORES!$A$3:$G$100,7,0),"")</f>
        <v/>
      </c>
      <c r="L8" s="340" t="n">
        <v>17.95</v>
      </c>
      <c r="M8" s="340" t="n">
        <v>5</v>
      </c>
      <c r="N8" s="333">
        <f>IFERROR(IF(L8*M8=0,"",L8*M8),"")</f>
        <v/>
      </c>
      <c r="O8" s="280" t="n"/>
      <c r="P8" s="332">
        <f>IFERROR(VLOOKUP(TEXT(O8,"0"),CONDUCTORES!$A$3:$G$100,2,0),"")</f>
        <v/>
      </c>
      <c r="Q8" s="332">
        <f>IFERROR(VLOOKUP(TEXT(O8,"0"),CONDUCTORES!$A$3:$H$100,6,0),"")</f>
        <v/>
      </c>
      <c r="R8" s="341" t="inlineStr">
        <is>
          <t>ATENDIDO 22/04/2025</t>
        </is>
      </c>
      <c r="S8" s="338" t="inlineStr">
        <is>
          <t>Z359,O479,O234</t>
        </is>
      </c>
      <c r="T8" s="337" t="n"/>
      <c r="U8" s="339" t="n">
        <v>45737</v>
      </c>
      <c r="V8" s="337" t="inlineStr">
        <is>
          <t>1614-2025</t>
        </is>
      </c>
      <c r="W8" s="337" t="inlineStr">
        <is>
          <t>0000108- ADENDA N°001-2025 DRSA/OEA-O.ABAST</t>
        </is>
      </c>
      <c r="X8" s="337" t="inlineStr">
        <is>
          <t>251.0</t>
        </is>
      </c>
      <c r="Y8" s="280" t="n"/>
    </row>
    <row r="9" ht="15.75" customHeight="1" s="195">
      <c r="A9" s="337" t="n">
        <v>4</v>
      </c>
      <c r="B9" s="338" t="inlineStr">
        <is>
          <t>00000010</t>
        </is>
      </c>
      <c r="C9" s="337" t="inlineStr">
        <is>
          <t>REGION</t>
        </is>
      </c>
      <c r="D9" s="338" t="inlineStr">
        <is>
          <t>BUSTAMANTE DE PEREZ EUFEMIA</t>
        </is>
      </c>
      <c r="E9" s="337" t="inlineStr">
        <is>
          <t>DNI</t>
        </is>
      </c>
      <c r="F9" s="337" t="inlineStr">
        <is>
          <t>27062680</t>
        </is>
      </c>
      <c r="G9" s="339" t="n">
        <v>45716</v>
      </c>
      <c r="H9" s="337" t="inlineStr">
        <is>
          <t>4937</t>
        </is>
      </c>
      <c r="I9" s="332">
        <f>IFERROR(VLOOKUP(TEXT(H9,"0"),IPRESS!$A$3:$B$212,2,0),"")</f>
        <v/>
      </c>
      <c r="J9" s="337" t="inlineStr">
        <is>
          <t>4932</t>
        </is>
      </c>
      <c r="K9" s="332">
        <f>IFERROR(VLOOKUP(TEXT(O9,"0"),CONDUCTORES!$A$3:$G$100,7,0),"")</f>
        <v/>
      </c>
      <c r="L9" s="340" t="n">
        <v>17.95</v>
      </c>
      <c r="M9" s="340" t="n">
        <v>5</v>
      </c>
      <c r="N9" s="333">
        <f>IFERROR(IF(L9*M9=0,"",L9*M9),"")</f>
        <v/>
      </c>
      <c r="O9" s="334" t="n"/>
      <c r="P9" s="332">
        <f>IFERROR(VLOOKUP(TEXT(O9,"0"),CONDUCTORES!$A$3:$G$100,2,0),"")</f>
        <v/>
      </c>
      <c r="Q9" s="332">
        <f>IFERROR(VLOOKUP(TEXT(O9,"0"),CONDUCTORES!$A$3:$H$100,6,0),"")</f>
        <v/>
      </c>
      <c r="R9" s="341" t="inlineStr">
        <is>
          <t>ATENDIDO 22/04/2025</t>
        </is>
      </c>
      <c r="S9" s="338" t="inlineStr">
        <is>
          <t>K539</t>
        </is>
      </c>
      <c r="T9" s="337" t="n"/>
      <c r="U9" s="339" t="n">
        <v>45737</v>
      </c>
      <c r="V9" s="337" t="inlineStr">
        <is>
          <t>1614-2025</t>
        </is>
      </c>
      <c r="W9" s="337" t="inlineStr">
        <is>
          <t>0000108- ADENDA N°001-2025 DRSA/OEA-O.ABAST</t>
        </is>
      </c>
      <c r="X9" s="337" t="inlineStr">
        <is>
          <t>251.0</t>
        </is>
      </c>
      <c r="Y9" s="280" t="n"/>
    </row>
    <row r="10" ht="15.75" customHeight="1" s="195">
      <c r="A10" s="337" t="n">
        <v>5</v>
      </c>
      <c r="B10" s="338" t="inlineStr">
        <is>
          <t>00000011</t>
        </is>
      </c>
      <c r="C10" s="337" t="inlineStr">
        <is>
          <t>REGION</t>
        </is>
      </c>
      <c r="D10" s="338" t="inlineStr">
        <is>
          <t>CHAVEZ LOPEZ JAMIL DAVILMAR</t>
        </is>
      </c>
      <c r="E10" s="337" t="inlineStr">
        <is>
          <t>DNI</t>
        </is>
      </c>
      <c r="F10" s="337" t="inlineStr">
        <is>
          <t>60322670</t>
        </is>
      </c>
      <c r="G10" s="339" t="n">
        <v>45716</v>
      </c>
      <c r="H10" s="337" t="inlineStr">
        <is>
          <t>4937</t>
        </is>
      </c>
      <c r="I10" s="332">
        <f>IFERROR(VLOOKUP(TEXT(H10,"0"),IPRESS!$A$3:$B$212,2,0),"")</f>
        <v/>
      </c>
      <c r="J10" s="337" t="inlineStr">
        <is>
          <t>4932</t>
        </is>
      </c>
      <c r="K10" s="332">
        <f>IFERROR(VLOOKUP(TEXT(O10,"0"),CONDUCTORES!$A$3:$G$100,7,0),"")</f>
        <v/>
      </c>
      <c r="L10" s="340" t="n">
        <v>17.95</v>
      </c>
      <c r="M10" s="340" t="n">
        <v>5</v>
      </c>
      <c r="N10" s="333">
        <f>IFERROR(IF(L10*M10=0,"",L10*M10),"")</f>
        <v/>
      </c>
      <c r="O10" s="280" t="n"/>
      <c r="P10" s="332">
        <f>IFERROR(VLOOKUP(TEXT(O10,"0"),CONDUCTORES!$A$3:$G$100,2,0),"")</f>
        <v/>
      </c>
      <c r="Q10" s="332">
        <f>IFERROR(VLOOKUP(TEXT(O10,"0"),CONDUCTORES!$A$3:$H$100,6,0),"")</f>
        <v/>
      </c>
      <c r="R10" s="341" t="inlineStr">
        <is>
          <t>ATENDIDO 22/04/2025</t>
        </is>
      </c>
      <c r="S10" s="338" t="inlineStr">
        <is>
          <t>K359</t>
        </is>
      </c>
      <c r="T10" s="337" t="n"/>
      <c r="U10" s="339" t="n">
        <v>45737</v>
      </c>
      <c r="V10" s="337" t="inlineStr">
        <is>
          <t>1614-2025</t>
        </is>
      </c>
      <c r="W10" s="337" t="inlineStr">
        <is>
          <t>0000108- ADENDA N°001-2025 DRSA/OEA-O.ABAST</t>
        </is>
      </c>
      <c r="X10" s="337" t="inlineStr">
        <is>
          <t>251.0</t>
        </is>
      </c>
      <c r="Y10" s="280" t="n"/>
    </row>
    <row r="11" ht="15.75" customHeight="1" s="195">
      <c r="A11" s="241" t="n">
        <v>6</v>
      </c>
      <c r="B11" s="305" t="inlineStr">
        <is>
          <t>00000016</t>
        </is>
      </c>
      <c r="C11" s="241" t="inlineStr">
        <is>
          <t>REGION</t>
        </is>
      </c>
      <c r="D11" s="305" t="inlineStr">
        <is>
          <t>HUAMAN LUMBA ERIKA JHUMERI</t>
        </is>
      </c>
      <c r="E11" s="241" t="inlineStr">
        <is>
          <t>DNI</t>
        </is>
      </c>
      <c r="F11" s="241" t="inlineStr">
        <is>
          <t>61575071</t>
        </is>
      </c>
      <c r="G11" s="336" t="n">
        <v>45715</v>
      </c>
      <c r="H11" s="241" t="inlineStr">
        <is>
          <t>4873</t>
        </is>
      </c>
      <c r="I11" s="332">
        <f>IFERROR(VLOOKUP(TEXT(H11,"0"),IPRESS!$A$3:$B$212,2,0),"")</f>
        <v/>
      </c>
      <c r="J11" s="241" t="inlineStr">
        <is>
          <t>4838</t>
        </is>
      </c>
      <c r="K11" s="332">
        <f>IFERROR(VLOOKUP(TEXT(O11,"0"),CONDUCTORES!$A$3:$G$100,7,0),"")</f>
        <v/>
      </c>
      <c r="L11" s="239" t="n">
        <v>18.18</v>
      </c>
      <c r="M11" s="239" t="n">
        <v>20</v>
      </c>
      <c r="N11" s="333">
        <f>IFERROR(IF(L11*M11=0,"",L11*M11),"")</f>
        <v/>
      </c>
      <c r="O11" s="334" t="n"/>
      <c r="P11" s="332">
        <f>IFERROR(VLOOKUP(TEXT(O11,"0"),CONDUCTORES!$A$3:$G$100,2,0),"")</f>
        <v/>
      </c>
      <c r="Q11" s="332">
        <f>IFERROR(VLOOKUP(TEXT(O11,"0"),CONDUCTORES!$A$3:$H$100,6,0),"")</f>
        <v/>
      </c>
      <c r="R11" s="280" t="inlineStr">
        <is>
          <t>ATENDIDO 23/05/2025</t>
        </is>
      </c>
      <c r="S11" s="305" t="inlineStr">
        <is>
          <t>O366</t>
        </is>
      </c>
      <c r="T11" s="241" t="n"/>
      <c r="U11" s="336" t="n">
        <v>45749</v>
      </c>
      <c r="V11" s="241" t="n"/>
      <c r="W11" s="241" t="n"/>
      <c r="X11" s="241" t="n"/>
      <c r="Y11" s="280" t="n"/>
    </row>
    <row r="12" ht="15.75" customHeight="1" s="195">
      <c r="A12" s="301" t="n">
        <v>7</v>
      </c>
      <c r="B12" s="302" t="inlineStr">
        <is>
          <t>00000013</t>
        </is>
      </c>
      <c r="C12" s="301" t="inlineStr">
        <is>
          <t>REGION</t>
        </is>
      </c>
      <c r="D12" s="302" t="inlineStr">
        <is>
          <t>AGUILAR VISALOT ROSIO</t>
        </is>
      </c>
      <c r="E12" s="301" t="inlineStr">
        <is>
          <t>DNI</t>
        </is>
      </c>
      <c r="F12" s="301" t="inlineStr">
        <is>
          <t>45809943</t>
        </is>
      </c>
      <c r="G12" s="331" t="n">
        <v>45712</v>
      </c>
      <c r="H12" s="301" t="inlineStr">
        <is>
          <t>4873</t>
        </is>
      </c>
      <c r="I12" s="332">
        <f>IFERROR(VLOOKUP(TEXT(H12,"0"),IPRESS!$A$3:$B$212,2,0),"")</f>
        <v/>
      </c>
      <c r="J12" s="301" t="inlineStr">
        <is>
          <t>4838</t>
        </is>
      </c>
      <c r="K12" s="332">
        <f>IFERROR(VLOOKUP(TEXT(O12,"0"),CONDUCTORES!$A$3:$G$100,7,0),"")</f>
        <v/>
      </c>
      <c r="L12" s="245" t="n">
        <v>18.18</v>
      </c>
      <c r="M12" s="245" t="n">
        <v>20</v>
      </c>
      <c r="N12" s="333">
        <f>IFERROR(IF(L12*M12=0,"",L12*M12),"")</f>
        <v/>
      </c>
      <c r="O12" s="280" t="n"/>
      <c r="P12" s="332">
        <f>IFERROR(VLOOKUP(TEXT(O12,"0"),CONDUCTORES!$A$3:$G$100,2,0),"")</f>
        <v/>
      </c>
      <c r="Q12" s="332">
        <f>IFERROR(VLOOKUP(TEXT(O12,"0"),CONDUCTORES!$A$3:$H$100,6,0),"")</f>
        <v/>
      </c>
      <c r="R12" s="334" t="inlineStr">
        <is>
          <t>ATENDIDO 10-04-2025</t>
        </is>
      </c>
      <c r="S12" s="302" t="inlineStr">
        <is>
          <t>O342,O345</t>
        </is>
      </c>
      <c r="T12" s="301" t="n"/>
      <c r="U12" s="331" t="n">
        <v>45744</v>
      </c>
      <c r="V12" s="301" t="inlineStr">
        <is>
          <t>0000108-ADENDA N° 001-2025DRSA/OEA.OABAST</t>
        </is>
      </c>
      <c r="W12" s="301" t="inlineStr">
        <is>
          <t>0000108- ADENDA N°001-2025 DRSA/OEA-O.ABAST</t>
        </is>
      </c>
      <c r="X12" s="301" t="inlineStr">
        <is>
          <t>256.0</t>
        </is>
      </c>
      <c r="Y12" s="280" t="n"/>
    </row>
    <row r="13" ht="15.75" customHeight="1" s="195">
      <c r="A13" s="241" t="n">
        <v>8</v>
      </c>
      <c r="B13" s="305" t="inlineStr">
        <is>
          <t>00000015</t>
        </is>
      </c>
      <c r="C13" s="241" t="inlineStr">
        <is>
          <t>REGION</t>
        </is>
      </c>
      <c r="D13" s="305" t="inlineStr">
        <is>
          <t>FUNTES COLVAQUE ELIZABETH</t>
        </is>
      </c>
      <c r="E13" s="241" t="inlineStr">
        <is>
          <t>DNI</t>
        </is>
      </c>
      <c r="F13" s="241" t="inlineStr">
        <is>
          <t>74858371</t>
        </is>
      </c>
      <c r="G13" s="336" t="n">
        <v>45709</v>
      </c>
      <c r="H13" s="241" t="inlineStr">
        <is>
          <t>4873</t>
        </is>
      </c>
      <c r="I13" s="332">
        <f>IFERROR(VLOOKUP(TEXT(H13,"0"),IPRESS!$A$3:$B$212,2,0),"")</f>
        <v/>
      </c>
      <c r="J13" s="241" t="inlineStr">
        <is>
          <t>4838</t>
        </is>
      </c>
      <c r="K13" s="332">
        <f>IFERROR(VLOOKUP(TEXT(O13,"0"),CONDUCTORES!$A$3:$G$100,7,0),"")</f>
        <v/>
      </c>
      <c r="L13" s="239" t="n">
        <v>18.18</v>
      </c>
      <c r="M13" s="239" t="n">
        <v>25</v>
      </c>
      <c r="N13" s="333">
        <f>IFERROR(IF(L13*M13=0,"",L13*M13),"")</f>
        <v/>
      </c>
      <c r="O13" s="334" t="n"/>
      <c r="P13" s="332">
        <f>IFERROR(VLOOKUP(TEXT(O13,"0"),CONDUCTORES!$A$3:$G$100,2,0),"")</f>
        <v/>
      </c>
      <c r="Q13" s="332">
        <f>IFERROR(VLOOKUP(TEXT(O13,"0"),CONDUCTORES!$A$3:$H$100,6,0),"")</f>
        <v/>
      </c>
      <c r="R13" s="280" t="inlineStr">
        <is>
          <t>ATENDIDO 10-04-2025</t>
        </is>
      </c>
      <c r="S13" s="305" t="inlineStr">
        <is>
          <t>Z359,O680,Q209,O331</t>
        </is>
      </c>
      <c r="T13" s="241" t="n"/>
      <c r="U13" s="336" t="n">
        <v>45744</v>
      </c>
      <c r="V13" s="241" t="inlineStr">
        <is>
          <t>0000108-ADENDA N° 001-2025DRSA/OEA.OABAST</t>
        </is>
      </c>
      <c r="W13" s="241" t="inlineStr">
        <is>
          <t>0000108- ADENDA N°001-2025 DRSA/OEA-O.ABAST</t>
        </is>
      </c>
      <c r="X13" s="241" t="inlineStr">
        <is>
          <t>256.0</t>
        </is>
      </c>
      <c r="Y13" s="280" t="n"/>
    </row>
    <row r="14" ht="15.75" customHeight="1" s="195">
      <c r="A14" s="301" t="n">
        <v>9</v>
      </c>
      <c r="B14" s="302" t="inlineStr">
        <is>
          <t>00000003</t>
        </is>
      </c>
      <c r="C14" s="301" t="inlineStr">
        <is>
          <t>REGION</t>
        </is>
      </c>
      <c r="D14" s="302" t="inlineStr">
        <is>
          <t>CHUQUIMANGO DELGADO ANACELLY</t>
        </is>
      </c>
      <c r="E14" s="301" t="inlineStr">
        <is>
          <t>DNI</t>
        </is>
      </c>
      <c r="F14" s="301" t="inlineStr">
        <is>
          <t>71825474</t>
        </is>
      </c>
      <c r="G14" s="331" t="n">
        <v>45696</v>
      </c>
      <c r="H14" s="301" t="inlineStr">
        <is>
          <t>4874</t>
        </is>
      </c>
      <c r="I14" s="332">
        <f>IFERROR(VLOOKUP(TEXT(H14,"0"),IPRESS!$A$3:$B$212,2,0),"")</f>
        <v/>
      </c>
      <c r="J14" s="301" t="inlineStr">
        <is>
          <t>4838</t>
        </is>
      </c>
      <c r="K14" s="332">
        <f>IFERROR(VLOOKUP(TEXT(O14,"0"),CONDUCTORES!$A$3:$G$100,7,0),"")</f>
        <v/>
      </c>
      <c r="L14" s="245" t="n">
        <v>18.18</v>
      </c>
      <c r="M14" s="245" t="n">
        <v>30</v>
      </c>
      <c r="N14" s="333">
        <f>IFERROR(IF(L14*M14=0,"",L14*M14),"")</f>
        <v/>
      </c>
      <c r="O14" s="280" t="n"/>
      <c r="P14" s="332">
        <f>IFERROR(VLOOKUP(TEXT(O14,"0"),CONDUCTORES!$A$3:$G$100,2,0),"")</f>
        <v/>
      </c>
      <c r="Q14" s="332">
        <f>IFERROR(VLOOKUP(TEXT(O14,"0"),CONDUCTORES!$A$3:$H$100,6,0),"")</f>
        <v/>
      </c>
      <c r="R14" s="334" t="inlineStr">
        <is>
          <t>ATENDIDO 30/04/2025</t>
        </is>
      </c>
      <c r="S14" s="302" t="inlineStr">
        <is>
          <t>R103,O009</t>
        </is>
      </c>
      <c r="T14" s="301" t="n"/>
      <c r="U14" s="331" t="n">
        <v>45721</v>
      </c>
      <c r="V14" s="301" t="inlineStr">
        <is>
          <t>OFICIO 1716-2025</t>
        </is>
      </c>
      <c r="W14" s="301" t="inlineStr">
        <is>
          <t>0000108- ADENDA N°001-2025 DRSA/OEA-O.ABAST</t>
        </is>
      </c>
      <c r="X14" s="301" t="inlineStr">
        <is>
          <t>256.0</t>
        </is>
      </c>
      <c r="Y14" s="280" t="n"/>
    </row>
    <row r="15" ht="15.75" customHeight="1" s="195">
      <c r="A15" s="241" t="n">
        <v>10</v>
      </c>
      <c r="B15" s="305" t="inlineStr">
        <is>
          <t>00000004</t>
        </is>
      </c>
      <c r="C15" s="241" t="inlineStr">
        <is>
          <t>REGION</t>
        </is>
      </c>
      <c r="D15" s="305" t="inlineStr">
        <is>
          <t>DELGADO FERNANDEZ ANDREA SAJU</t>
        </is>
      </c>
      <c r="E15" s="241" t="inlineStr">
        <is>
          <t>DNI</t>
        </is>
      </c>
      <c r="F15" s="241" t="inlineStr">
        <is>
          <t>60596890</t>
        </is>
      </c>
      <c r="G15" s="336" t="n">
        <v>45700</v>
      </c>
      <c r="H15" s="241" t="inlineStr">
        <is>
          <t>4874</t>
        </is>
      </c>
      <c r="I15" s="332">
        <f>IFERROR(VLOOKUP(TEXT(H15,"0"),IPRESS!$A$3:$B$212,2,0),"")</f>
        <v/>
      </c>
      <c r="J15" s="241" t="inlineStr">
        <is>
          <t>5125</t>
        </is>
      </c>
      <c r="K15" s="332">
        <f>IFERROR(VLOOKUP(TEXT(O15,"0"),CONDUCTORES!$A$3:$G$100,7,0),"")</f>
        <v/>
      </c>
      <c r="L15" s="239" t="n">
        <v>18.18</v>
      </c>
      <c r="M15" s="239" t="n">
        <v>22</v>
      </c>
      <c r="N15" s="333">
        <f>IFERROR(IF(L15*M15=0,"",L15*M15),"")</f>
        <v/>
      </c>
      <c r="O15" s="334" t="n"/>
      <c r="P15" s="332">
        <f>IFERROR(VLOOKUP(TEXT(O15,"0"),CONDUCTORES!$A$3:$G$100,2,0),"")</f>
        <v/>
      </c>
      <c r="Q15" s="332">
        <f>IFERROR(VLOOKUP(TEXT(O15,"0"),CONDUCTORES!$A$3:$H$100,6,0),"")</f>
        <v/>
      </c>
      <c r="R15" s="280" t="inlineStr">
        <is>
          <t>ATENDIDO 30/04/2025</t>
        </is>
      </c>
      <c r="S15" s="305" t="inlineStr">
        <is>
          <t>Z359,O470</t>
        </is>
      </c>
      <c r="T15" s="241" t="n"/>
      <c r="U15" s="336" t="n">
        <v>45744</v>
      </c>
      <c r="V15" s="241" t="inlineStr">
        <is>
          <t>OFICIO 1716-2026</t>
        </is>
      </c>
      <c r="W15" s="241" t="inlineStr">
        <is>
          <t>0000108- ADENDA N°001-2025 DRSA/OEA-O.ABAST</t>
        </is>
      </c>
      <c r="X15" s="241" t="inlineStr">
        <is>
          <t>256.0</t>
        </is>
      </c>
      <c r="Y15" s="280" t="n"/>
    </row>
    <row r="16" ht="15.75" customHeight="1" s="195">
      <c r="A16" s="301" t="n">
        <v>11</v>
      </c>
      <c r="B16" s="302" t="inlineStr">
        <is>
          <t>00000005</t>
        </is>
      </c>
      <c r="C16" s="301" t="inlineStr">
        <is>
          <t>REGION</t>
        </is>
      </c>
      <c r="D16" s="302" t="inlineStr">
        <is>
          <t>HEREDIA TANTALEAN LUIS ENRIQUE</t>
        </is>
      </c>
      <c r="E16" s="301" t="inlineStr">
        <is>
          <t>DNI</t>
        </is>
      </c>
      <c r="F16" s="301" t="inlineStr">
        <is>
          <t>78374131</t>
        </is>
      </c>
      <c r="G16" s="331" t="n">
        <v>45703</v>
      </c>
      <c r="H16" s="301" t="inlineStr">
        <is>
          <t>4874</t>
        </is>
      </c>
      <c r="I16" s="332">
        <f>IFERROR(VLOOKUP(TEXT(H16,"0"),IPRESS!$A$3:$B$212,2,0),"")</f>
        <v/>
      </c>
      <c r="J16" s="301" t="inlineStr">
        <is>
          <t>4838</t>
        </is>
      </c>
      <c r="K16" s="332">
        <f>IFERROR(VLOOKUP(TEXT(O16,"0"),CONDUCTORES!$A$3:$G$100,7,0),"")</f>
        <v/>
      </c>
      <c r="L16" s="245" t="n">
        <v>18.18</v>
      </c>
      <c r="M16" s="245" t="n">
        <v>25</v>
      </c>
      <c r="N16" s="333">
        <f>IFERROR(IF(L16*M16=0,"",L16*M16),"")</f>
        <v/>
      </c>
      <c r="O16" s="280" t="n"/>
      <c r="P16" s="332">
        <f>IFERROR(VLOOKUP(TEXT(O16,"0"),CONDUCTORES!$A$3:$G$100,2,0),"")</f>
        <v/>
      </c>
      <c r="Q16" s="332">
        <f>IFERROR(VLOOKUP(TEXT(O16,"0"),CONDUCTORES!$A$3:$H$100,6,0),"")</f>
        <v/>
      </c>
      <c r="R16" s="334" t="inlineStr">
        <is>
          <t>ATENDIDO 30/04/2025</t>
        </is>
      </c>
      <c r="S16" s="302" t="inlineStr">
        <is>
          <t>T07X,S069,S369</t>
        </is>
      </c>
      <c r="T16" s="301" t="n"/>
      <c r="U16" s="331" t="n">
        <v>45727</v>
      </c>
      <c r="V16" s="301" t="inlineStr">
        <is>
          <t>OFICIO 1716-2027</t>
        </is>
      </c>
      <c r="W16" s="301" t="inlineStr">
        <is>
          <t>0000108- ADENDA N°001-2025 DRSA/OEA-O.ABAST</t>
        </is>
      </c>
      <c r="X16" s="301" t="inlineStr">
        <is>
          <t>256.0</t>
        </is>
      </c>
      <c r="Y16" s="280" t="n"/>
    </row>
    <row r="17" ht="15.75" customHeight="1" s="195">
      <c r="A17" s="241" t="n">
        <v>12</v>
      </c>
      <c r="B17" s="305" t="inlineStr">
        <is>
          <t>00000006</t>
        </is>
      </c>
      <c r="C17" s="241" t="inlineStr">
        <is>
          <t>REGION</t>
        </is>
      </c>
      <c r="D17" s="305" t="inlineStr">
        <is>
          <t>HOYOS INGA BEDERCITA</t>
        </is>
      </c>
      <c r="E17" s="241" t="inlineStr">
        <is>
          <t>DNI</t>
        </is>
      </c>
      <c r="F17" s="241" t="inlineStr">
        <is>
          <t>74758278</t>
        </is>
      </c>
      <c r="G17" s="336" t="n">
        <v>45704</v>
      </c>
      <c r="H17" s="241" t="inlineStr">
        <is>
          <t>4874</t>
        </is>
      </c>
      <c r="I17" s="332">
        <f>IFERROR(VLOOKUP(TEXT(H17,"0"),IPRESS!$A$3:$B$212,2,0),"")</f>
        <v/>
      </c>
      <c r="J17" s="241" t="inlineStr">
        <is>
          <t>4838</t>
        </is>
      </c>
      <c r="K17" s="332">
        <f>IFERROR(VLOOKUP(TEXT(O17,"0"),CONDUCTORES!$A$3:$G$100,7,0),"")</f>
        <v/>
      </c>
      <c r="L17" s="239" t="n">
        <v>18.18</v>
      </c>
      <c r="M17" s="239" t="n">
        <v>25</v>
      </c>
      <c r="N17" s="333">
        <f>IFERROR(IF(L17*M17=0,"",L17*M17),"")</f>
        <v/>
      </c>
      <c r="O17" s="334" t="n"/>
      <c r="P17" s="332">
        <f>IFERROR(VLOOKUP(TEXT(O17,"0"),CONDUCTORES!$A$3:$G$100,2,0),"")</f>
        <v/>
      </c>
      <c r="Q17" s="332">
        <f>IFERROR(VLOOKUP(TEXT(O17,"0"),CONDUCTORES!$A$3:$H$100,6,0),"")</f>
        <v/>
      </c>
      <c r="R17" s="280" t="inlineStr">
        <is>
          <t>ATENDIDO 30/04/2025</t>
        </is>
      </c>
      <c r="S17" s="305" t="inlineStr">
        <is>
          <t>D500,K922</t>
        </is>
      </c>
      <c r="T17" s="241" t="n"/>
      <c r="U17" s="336" t="n">
        <v>45707</v>
      </c>
      <c r="V17" s="241" t="inlineStr">
        <is>
          <t>OFICIO 1716-2028</t>
        </is>
      </c>
      <c r="W17" s="241" t="inlineStr">
        <is>
          <t>0000108- ADENDA N°001-2025 DRSA/OEA-O.ABAST</t>
        </is>
      </c>
      <c r="X17" s="241" t="inlineStr">
        <is>
          <t>256.0</t>
        </is>
      </c>
      <c r="Y17" s="280" t="n"/>
    </row>
    <row r="18" ht="15.75" customHeight="1" s="195">
      <c r="A18" s="301" t="n">
        <v>13</v>
      </c>
      <c r="B18" s="302" t="inlineStr">
        <is>
          <t>00000014</t>
        </is>
      </c>
      <c r="C18" s="301" t="inlineStr">
        <is>
          <t>REGION</t>
        </is>
      </c>
      <c r="D18" s="302" t="inlineStr">
        <is>
          <t>ALTAMIRANO BUSTAMANTE MARIA</t>
        </is>
      </c>
      <c r="E18" s="301" t="inlineStr">
        <is>
          <t>DNI</t>
        </is>
      </c>
      <c r="F18" s="301" t="inlineStr">
        <is>
          <t>80403291</t>
        </is>
      </c>
      <c r="G18" s="331" t="n">
        <v>45715</v>
      </c>
      <c r="H18" s="301" t="inlineStr">
        <is>
          <t>4874</t>
        </is>
      </c>
      <c r="I18" s="332">
        <f>IFERROR(VLOOKUP(TEXT(H18,"0"),IPRESS!$A$3:$B$212,2,0),"")</f>
        <v/>
      </c>
      <c r="J18" s="301" t="inlineStr">
        <is>
          <t>4838</t>
        </is>
      </c>
      <c r="K18" s="332">
        <f>IFERROR(VLOOKUP(TEXT(O18,"0"),CONDUCTORES!$A$3:$G$100,7,0),"")</f>
        <v/>
      </c>
      <c r="L18" s="245" t="n">
        <v>18.18</v>
      </c>
      <c r="M18" s="245" t="n">
        <v>28</v>
      </c>
      <c r="N18" s="333">
        <f>IFERROR(IF(L18*M18=0,"",L18*M18),"")</f>
        <v/>
      </c>
      <c r="O18" s="280" t="n"/>
      <c r="P18" s="332">
        <f>IFERROR(VLOOKUP(TEXT(O18,"0"),CONDUCTORES!$A$3:$G$100,2,0),"")</f>
        <v/>
      </c>
      <c r="Q18" s="332">
        <f>IFERROR(VLOOKUP(TEXT(O18,"0"),CONDUCTORES!$A$3:$H$100,6,0),"")</f>
        <v/>
      </c>
      <c r="R18" s="334" t="inlineStr">
        <is>
          <t>ATENDIDO 17/06/2025</t>
        </is>
      </c>
      <c r="S18" s="302" t="inlineStr">
        <is>
          <t>G409,G418,R739</t>
        </is>
      </c>
      <c r="T18" s="301" t="n"/>
      <c r="U18" s="331" t="n">
        <v>45744</v>
      </c>
      <c r="V18" s="301" t="n"/>
      <c r="W18" s="301" t="n"/>
      <c r="X18" s="301" t="n"/>
      <c r="Y18" s="280" t="n"/>
    </row>
    <row r="19" ht="15.75" customHeight="1" s="195">
      <c r="A19" s="241" t="n">
        <v>14</v>
      </c>
      <c r="B19" s="305" t="inlineStr">
        <is>
          <t>00000004</t>
        </is>
      </c>
      <c r="C19" s="241" t="inlineStr">
        <is>
          <t>REGION</t>
        </is>
      </c>
      <c r="D19" s="305" t="inlineStr">
        <is>
          <t>QUITO YLIQUIN ANTONIA</t>
        </is>
      </c>
      <c r="E19" s="241" t="inlineStr">
        <is>
          <t>DNI</t>
        </is>
      </c>
      <c r="F19" s="241" t="inlineStr">
        <is>
          <t>33406869</t>
        </is>
      </c>
      <c r="G19" s="336" t="n">
        <v>45705</v>
      </c>
      <c r="H19" s="241" t="inlineStr">
        <is>
          <t>4895</t>
        </is>
      </c>
      <c r="I19" s="332">
        <f>IFERROR(VLOOKUP(TEXT(H19,"0"),IPRESS!$A$3:$B$212,2,0),"")</f>
        <v/>
      </c>
      <c r="J19" s="241" t="inlineStr">
        <is>
          <t>4838</t>
        </is>
      </c>
      <c r="K19" s="332">
        <f>IFERROR(VLOOKUP(TEXT(O19,"0"),CONDUCTORES!$A$3:$G$100,7,0),"")</f>
        <v/>
      </c>
      <c r="L19" s="239" t="n">
        <v>18.18</v>
      </c>
      <c r="M19" s="239" t="n">
        <v>8</v>
      </c>
      <c r="N19" s="333">
        <f>IFERROR(IF(L19*M19=0,"",L19*M19),"")</f>
        <v/>
      </c>
      <c r="O19" s="334" t="n"/>
      <c r="P19" s="332">
        <f>IFERROR(VLOOKUP(TEXT(O19,"0"),CONDUCTORES!$A$3:$G$100,2,0),"")</f>
        <v/>
      </c>
      <c r="Q19" s="332">
        <f>IFERROR(VLOOKUP(TEXT(O19,"0"),CONDUCTORES!$A$3:$H$100,6,0),"")</f>
        <v/>
      </c>
      <c r="R19" s="280" t="inlineStr">
        <is>
          <t>ATENDIDO 20/06/2025</t>
        </is>
      </c>
      <c r="S19" s="305" t="inlineStr">
        <is>
          <t>K429,K566</t>
        </is>
      </c>
      <c r="T19" s="241" t="n"/>
      <c r="U19" s="336" t="n">
        <v>45716</v>
      </c>
      <c r="V19" s="241" t="n"/>
      <c r="W19" s="241" t="n"/>
      <c r="X19" s="241" t="n"/>
      <c r="Y19" s="280" t="n"/>
    </row>
    <row r="20" ht="15.75" customHeight="1" s="195">
      <c r="A20" s="301" t="n">
        <v>15</v>
      </c>
      <c r="B20" s="302" t="inlineStr">
        <is>
          <t>00000005</t>
        </is>
      </c>
      <c r="C20" s="301" t="inlineStr">
        <is>
          <t>REGION</t>
        </is>
      </c>
      <c r="D20" s="302" t="inlineStr">
        <is>
          <t>ILIQUIN CHAVEZ JUANA</t>
        </is>
      </c>
      <c r="E20" s="301" t="inlineStr">
        <is>
          <t>DNI</t>
        </is>
      </c>
      <c r="F20" s="301" t="inlineStr">
        <is>
          <t>47009588</t>
        </is>
      </c>
      <c r="G20" s="331" t="n">
        <v>45708</v>
      </c>
      <c r="H20" s="301" t="inlineStr">
        <is>
          <t>4895</t>
        </is>
      </c>
      <c r="I20" s="332">
        <f>IFERROR(VLOOKUP(TEXT(H20,"0"),IPRESS!$A$3:$B$212,2,0),"")</f>
        <v/>
      </c>
      <c r="J20" s="301" t="inlineStr">
        <is>
          <t>4838</t>
        </is>
      </c>
      <c r="K20" s="332">
        <f>IFERROR(VLOOKUP(TEXT(O20,"0"),CONDUCTORES!$A$3:$G$100,7,0),"")</f>
        <v/>
      </c>
      <c r="L20" s="245" t="n">
        <v>18.18</v>
      </c>
      <c r="M20" s="245" t="n">
        <v>8</v>
      </c>
      <c r="N20" s="333">
        <f>IFERROR(IF(L20*M20=0,"",L20*M20),"")</f>
        <v/>
      </c>
      <c r="O20" s="280" t="n"/>
      <c r="P20" s="332">
        <f>IFERROR(VLOOKUP(TEXT(O20,"0"),CONDUCTORES!$A$3:$G$100,2,0),"")</f>
        <v/>
      </c>
      <c r="Q20" s="332">
        <f>IFERROR(VLOOKUP(TEXT(O20,"0"),CONDUCTORES!$A$3:$H$100,6,0),"")</f>
        <v/>
      </c>
      <c r="R20" s="334" t="inlineStr">
        <is>
          <t>ATENDIDO 20/06/2025</t>
        </is>
      </c>
      <c r="S20" s="302" t="inlineStr">
        <is>
          <t>O268</t>
        </is>
      </c>
      <c r="T20" s="301" t="n"/>
      <c r="U20" s="331" t="n">
        <v>45716</v>
      </c>
      <c r="V20" s="301" t="n"/>
      <c r="W20" s="301" t="n"/>
      <c r="X20" s="301" t="n"/>
      <c r="Y20" s="280" t="n"/>
    </row>
    <row r="21" ht="15.75" customHeight="1" s="195">
      <c r="A21" s="241" t="n">
        <v>16</v>
      </c>
      <c r="B21" s="305" t="inlineStr">
        <is>
          <t>00000022</t>
        </is>
      </c>
      <c r="C21" s="241" t="inlineStr">
        <is>
          <t>REGION</t>
        </is>
      </c>
      <c r="D21" s="305" t="inlineStr">
        <is>
          <t>MENDOZA ZUTA NELSI</t>
        </is>
      </c>
      <c r="E21" s="241" t="inlineStr">
        <is>
          <t>DNI</t>
        </is>
      </c>
      <c r="F21" s="241" t="inlineStr">
        <is>
          <t>73758592</t>
        </is>
      </c>
      <c r="G21" s="336" t="n">
        <v>45715</v>
      </c>
      <c r="H21" s="241" t="inlineStr">
        <is>
          <t>4895</t>
        </is>
      </c>
      <c r="I21" s="332">
        <f>IFERROR(VLOOKUP(TEXT(H21,"0"),IPRESS!$A$3:$B$212,2,0),"")</f>
        <v/>
      </c>
      <c r="J21" s="241" t="inlineStr">
        <is>
          <t>4838</t>
        </is>
      </c>
      <c r="K21" s="332">
        <f>IFERROR(VLOOKUP(TEXT(O21,"0"),CONDUCTORES!$A$3:$G$100,7,0),"")</f>
        <v/>
      </c>
      <c r="L21" s="239" t="n">
        <v>18.18</v>
      </c>
      <c r="M21" s="239" t="n">
        <v>7</v>
      </c>
      <c r="N21" s="333">
        <f>IFERROR(IF(L21*M21=0,"",L21*M21),"")</f>
        <v/>
      </c>
      <c r="O21" s="334" t="n"/>
      <c r="P21" s="332">
        <f>IFERROR(VLOOKUP(TEXT(O21,"0"),CONDUCTORES!$A$3:$G$100,2,0),"")</f>
        <v/>
      </c>
      <c r="Q21" s="332">
        <f>IFERROR(VLOOKUP(TEXT(O21,"0"),CONDUCTORES!$A$3:$H$100,6,0),"")</f>
        <v/>
      </c>
      <c r="R21" s="280" t="inlineStr">
        <is>
          <t>ATENDIDO 20/06/2025</t>
        </is>
      </c>
      <c r="S21" s="305" t="inlineStr">
        <is>
          <t>O268</t>
        </is>
      </c>
      <c r="T21" s="241" t="n"/>
      <c r="U21" s="336" t="n">
        <v>45737</v>
      </c>
      <c r="V21" s="241" t="n"/>
      <c r="W21" s="241" t="n"/>
      <c r="X21" s="241" t="n"/>
      <c r="Y21" s="280" t="n"/>
    </row>
    <row r="22" ht="15.75" customHeight="1" s="195">
      <c r="A22" s="301" t="n">
        <v>17</v>
      </c>
      <c r="B22" s="302" t="inlineStr">
        <is>
          <t>00000004</t>
        </is>
      </c>
      <c r="C22" s="301" t="inlineStr">
        <is>
          <t>REGION</t>
        </is>
      </c>
      <c r="D22" s="302" t="inlineStr">
        <is>
          <t>LOPEZ CIEZA OLGA MERCEDES</t>
        </is>
      </c>
      <c r="E22" s="301" t="inlineStr">
        <is>
          <t>DNI</t>
        </is>
      </c>
      <c r="F22" s="301" t="inlineStr">
        <is>
          <t>45737334</t>
        </is>
      </c>
      <c r="G22" s="331" t="n">
        <v>45693</v>
      </c>
      <c r="H22" s="301" t="inlineStr">
        <is>
          <t>4843</t>
        </is>
      </c>
      <c r="I22" s="332">
        <f>IFERROR(VLOOKUP(TEXT(H22,"0"),IPRESS!$A$3:$B$212,2,0),"")</f>
        <v/>
      </c>
      <c r="J22" s="301" t="inlineStr">
        <is>
          <t>4838</t>
        </is>
      </c>
      <c r="K22" s="332">
        <f>IFERROR(VLOOKUP(TEXT(O22,"0"),CONDUCTORES!$A$3:$G$100,7,0),"")</f>
        <v/>
      </c>
      <c r="L22" s="245" t="n">
        <v>18.18</v>
      </c>
      <c r="M22" s="245" t="n">
        <v>20</v>
      </c>
      <c r="N22" s="333">
        <f>IFERROR(IF(L22*M22=0,"",L22*M22),"")</f>
        <v/>
      </c>
      <c r="O22" s="280" t="n"/>
      <c r="P22" s="332">
        <f>IFERROR(VLOOKUP(TEXT(O22,"0"),CONDUCTORES!$A$3:$G$100,2,0),"")</f>
        <v/>
      </c>
      <c r="Q22" s="332">
        <f>IFERROR(VLOOKUP(TEXT(O22,"0"),CONDUCTORES!$A$3:$H$100,6,0),"")</f>
        <v/>
      </c>
      <c r="R22" s="334" t="inlineStr">
        <is>
          <t>ATENDIDO 18/06/2025</t>
        </is>
      </c>
      <c r="S22" s="302" t="inlineStr">
        <is>
          <t>K359</t>
        </is>
      </c>
      <c r="T22" s="301" t="n"/>
      <c r="U22" s="331" t="n">
        <v>45722</v>
      </c>
      <c r="V22" s="301" t="n"/>
      <c r="W22" s="301" t="n"/>
      <c r="X22" s="301" t="n"/>
      <c r="Y22" s="280" t="n"/>
    </row>
    <row r="23" ht="15.75" customHeight="1" s="195">
      <c r="A23" s="241" t="n">
        <v>18</v>
      </c>
      <c r="B23" s="305" t="inlineStr">
        <is>
          <t>00000005</t>
        </is>
      </c>
      <c r="C23" s="241" t="inlineStr">
        <is>
          <t>REGION</t>
        </is>
      </c>
      <c r="D23" s="305" t="inlineStr">
        <is>
          <t>LOPEZ GUADALUPE NARDY FIORELA</t>
        </is>
      </c>
      <c r="E23" s="241" t="inlineStr">
        <is>
          <t>DNI</t>
        </is>
      </c>
      <c r="F23" s="241" t="inlineStr">
        <is>
          <t>79521364</t>
        </is>
      </c>
      <c r="G23" s="336" t="n">
        <v>45709</v>
      </c>
      <c r="H23" s="241" t="inlineStr">
        <is>
          <t>4843</t>
        </is>
      </c>
      <c r="I23" s="332">
        <f>IFERROR(VLOOKUP(TEXT(H23,"0"),IPRESS!$A$3:$B$212,2,0),"")</f>
        <v/>
      </c>
      <c r="J23" s="241" t="inlineStr">
        <is>
          <t>4838</t>
        </is>
      </c>
      <c r="K23" s="332">
        <f>IFERROR(VLOOKUP(TEXT(O23,"0"),CONDUCTORES!$A$3:$G$100,7,0),"")</f>
        <v/>
      </c>
      <c r="L23" s="239" t="n">
        <v>18.18</v>
      </c>
      <c r="M23" s="239" t="n">
        <v>20</v>
      </c>
      <c r="N23" s="333">
        <f>IFERROR(IF(L23*M23=0,"",L23*M23),"")</f>
        <v/>
      </c>
      <c r="O23" s="334" t="n"/>
      <c r="P23" s="332">
        <f>IFERROR(VLOOKUP(TEXT(O23,"0"),CONDUCTORES!$A$3:$G$100,2,0),"")</f>
        <v/>
      </c>
      <c r="Q23" s="332">
        <f>IFERROR(VLOOKUP(TEXT(O23,"0"),CONDUCTORES!$A$3:$H$100,6,0),"")</f>
        <v/>
      </c>
      <c r="R23" s="280" t="inlineStr">
        <is>
          <t>ATENDIDO 18/06/2025</t>
        </is>
      </c>
      <c r="S23" s="305" t="inlineStr">
        <is>
          <t>D610</t>
        </is>
      </c>
      <c r="T23" s="241" t="n"/>
      <c r="U23" s="336" t="n">
        <v>45736</v>
      </c>
      <c r="V23" s="241" t="n"/>
      <c r="W23" s="241" t="n"/>
      <c r="X23" s="241" t="n"/>
      <c r="Y23" s="280" t="n"/>
    </row>
    <row r="24" ht="15.75" customHeight="1" s="195">
      <c r="A24" s="301" t="n">
        <v>19</v>
      </c>
      <c r="B24" s="302" t="inlineStr">
        <is>
          <t>00000002</t>
        </is>
      </c>
      <c r="C24" s="301" t="inlineStr">
        <is>
          <t>REGION</t>
        </is>
      </c>
      <c r="D24" s="302" t="inlineStr">
        <is>
          <t>MIRANDA FERNENDEZ MARIA MARIANA</t>
        </is>
      </c>
      <c r="E24" s="301" t="inlineStr">
        <is>
          <t>DNI</t>
        </is>
      </c>
      <c r="F24" s="301" t="inlineStr">
        <is>
          <t>43967650</t>
        </is>
      </c>
      <c r="G24" s="331" t="n">
        <v>45714</v>
      </c>
      <c r="H24" s="301" t="inlineStr">
        <is>
          <t>4916</t>
        </is>
      </c>
      <c r="I24" s="332">
        <f>IFERROR(VLOOKUP(TEXT(H24,"0"),IPRESS!$A$3:$B$212,2,0),"")</f>
        <v/>
      </c>
      <c r="J24" s="301" t="inlineStr">
        <is>
          <t>4838</t>
        </is>
      </c>
      <c r="K24" s="332">
        <f>IFERROR(VLOOKUP(TEXT(O24,"0"),CONDUCTORES!$A$3:$G$100,7,0),"")</f>
        <v/>
      </c>
      <c r="L24" s="245" t="n">
        <v>18.18</v>
      </c>
      <c r="M24" s="245" t="n">
        <v>15</v>
      </c>
      <c r="N24" s="333">
        <f>IFERROR(IF(L24*M24=0,"",L24*M24),"")</f>
        <v/>
      </c>
      <c r="O24" s="280" t="n"/>
      <c r="P24" s="332">
        <f>IFERROR(VLOOKUP(TEXT(O24,"0"),CONDUCTORES!$A$3:$G$100,2,0),"")</f>
        <v/>
      </c>
      <c r="Q24" s="332">
        <f>IFERROR(VLOOKUP(TEXT(O24,"0"),CONDUCTORES!$A$3:$H$100,6,0),"")</f>
        <v/>
      </c>
      <c r="R24" s="334" t="inlineStr">
        <is>
          <t>ATENDIDO 20/06/2025</t>
        </is>
      </c>
      <c r="S24" s="302" t="inlineStr">
        <is>
          <t>Z359,O342</t>
        </is>
      </c>
      <c r="T24" s="301" t="n"/>
      <c r="U24" s="331" t="n">
        <v>45730</v>
      </c>
      <c r="V24" s="301" t="n"/>
      <c r="W24" s="301" t="n"/>
      <c r="X24" s="301" t="n"/>
      <c r="Y24" s="280" t="n"/>
    </row>
    <row r="25" ht="15.75" customHeight="1" s="195">
      <c r="A25" s="241" t="n">
        <v>20</v>
      </c>
      <c r="B25" s="305" t="inlineStr">
        <is>
          <t>00000001</t>
        </is>
      </c>
      <c r="C25" s="241" t="inlineStr">
        <is>
          <t>REGION</t>
        </is>
      </c>
      <c r="D25" s="305" t="inlineStr">
        <is>
          <t>CHUGDEN LLATAS WILLIAN</t>
        </is>
      </c>
      <c r="E25" s="241" t="inlineStr">
        <is>
          <t>DNI</t>
        </is>
      </c>
      <c r="F25" s="241" t="inlineStr">
        <is>
          <t>48598588</t>
        </is>
      </c>
      <c r="G25" s="336" t="n">
        <v>45702</v>
      </c>
      <c r="H25" s="241" t="inlineStr">
        <is>
          <t>4875</t>
        </is>
      </c>
      <c r="I25" s="332">
        <f>IFERROR(VLOOKUP(TEXT(H25,"0"),IPRESS!$A$3:$B$212,2,0),"")</f>
        <v/>
      </c>
      <c r="J25" s="241" t="inlineStr">
        <is>
          <t>4838</t>
        </is>
      </c>
      <c r="K25" s="332">
        <f>IFERROR(VLOOKUP(TEXT(O25,"0"),CONDUCTORES!$A$3:$G$100,7,0),"")</f>
        <v/>
      </c>
      <c r="L25" s="239" t="n">
        <v>18.18</v>
      </c>
      <c r="M25" s="239" t="n">
        <v>25</v>
      </c>
      <c r="N25" s="333">
        <f>IFERROR(IF(L25*M25=0,"",L25*M25),"")</f>
        <v/>
      </c>
      <c r="O25" s="334" t="n"/>
      <c r="P25" s="332">
        <f>IFERROR(VLOOKUP(TEXT(O25,"0"),CONDUCTORES!$A$3:$G$100,2,0),"")</f>
        <v/>
      </c>
      <c r="Q25" s="332">
        <f>IFERROR(VLOOKUP(TEXT(O25,"0"),CONDUCTORES!$A$3:$H$100,6,0),"")</f>
        <v/>
      </c>
      <c r="R25" s="280" t="inlineStr">
        <is>
          <t>ATENDIDO 10-04-2025</t>
        </is>
      </c>
      <c r="S25" s="305" t="inlineStr">
        <is>
          <t>K566,E86X,G710</t>
        </is>
      </c>
      <c r="T25" s="241" t="n"/>
      <c r="U25" s="336" t="n">
        <v>45737</v>
      </c>
      <c r="V25" s="241" t="inlineStr">
        <is>
          <t>0000108-ADENDA N° 001-2025DRSA/OEA.OABAST</t>
        </is>
      </c>
      <c r="W25" s="241" t="inlineStr">
        <is>
          <t>0000108- ADENDA N°001-2025 DRSA/OEA-O.ABAST</t>
        </is>
      </c>
      <c r="X25" s="241" t="inlineStr">
        <is>
          <t>256.0</t>
        </is>
      </c>
      <c r="Y25" s="280" t="n"/>
    </row>
    <row r="26" ht="15.75" customHeight="1" s="195">
      <c r="A26" s="301" t="n">
        <v>21</v>
      </c>
      <c r="B26" s="302" t="inlineStr">
        <is>
          <t>00000001</t>
        </is>
      </c>
      <c r="C26" s="301" t="inlineStr">
        <is>
          <t>REGION</t>
        </is>
      </c>
      <c r="D26" s="302" t="inlineStr">
        <is>
          <t>VARGAS TUESTA ROICER IVAN</t>
        </is>
      </c>
      <c r="E26" s="301" t="inlineStr">
        <is>
          <t>DNI</t>
        </is>
      </c>
      <c r="F26" s="301" t="inlineStr">
        <is>
          <t>73178969</t>
        </is>
      </c>
      <c r="G26" s="331" t="n">
        <v>45693</v>
      </c>
      <c r="H26" s="301" t="inlineStr">
        <is>
          <t>4943</t>
        </is>
      </c>
      <c r="I26" s="332">
        <f>IFERROR(VLOOKUP(TEXT(H26,"0"),IPRESS!$A$3:$B$212,2,0),"")</f>
        <v/>
      </c>
      <c r="J26" s="301" t="inlineStr">
        <is>
          <t>4950</t>
        </is>
      </c>
      <c r="K26" s="332">
        <f>IFERROR(VLOOKUP(TEXT(O26,"0"),CONDUCTORES!$A$3:$G$100,7,0),"")</f>
        <v/>
      </c>
      <c r="L26" s="245" t="n">
        <v>20.25</v>
      </c>
      <c r="M26" s="245" t="n">
        <v>3</v>
      </c>
      <c r="N26" s="333">
        <f>IFERROR(IF(L26*M26=0,"",L26*M26),"")</f>
        <v/>
      </c>
      <c r="O26" s="280" t="n"/>
      <c r="P26" s="332">
        <f>IFERROR(VLOOKUP(TEXT(O26,"0"),CONDUCTORES!$A$3:$G$100,2,0),"")</f>
        <v/>
      </c>
      <c r="Q26" s="332">
        <f>IFERROR(VLOOKUP(TEXT(O26,"0"),CONDUCTORES!$A$3:$H$100,6,0),"")</f>
        <v/>
      </c>
      <c r="R26" s="334" t="inlineStr">
        <is>
          <t>ATENDIDO 25/06/2025</t>
        </is>
      </c>
      <c r="S26" s="302" t="inlineStr">
        <is>
          <t>S829</t>
        </is>
      </c>
      <c r="T26" s="301" t="n"/>
      <c r="U26" s="331" t="n">
        <v>45737</v>
      </c>
      <c r="V26" s="301" t="n"/>
      <c r="W26" s="301" t="n"/>
      <c r="X26" s="301" t="n"/>
      <c r="Y26" s="280" t="n"/>
    </row>
    <row r="27" ht="15.75" customHeight="1" s="195">
      <c r="A27" s="241" t="n">
        <v>22</v>
      </c>
      <c r="B27" s="305" t="inlineStr">
        <is>
          <t>00000006</t>
        </is>
      </c>
      <c r="C27" s="241" t="inlineStr">
        <is>
          <t>REGION</t>
        </is>
      </c>
      <c r="D27" s="305" t="inlineStr">
        <is>
          <t>HUAMAN HUAMAN FANNY</t>
        </is>
      </c>
      <c r="E27" s="241" t="inlineStr">
        <is>
          <t>DNI</t>
        </is>
      </c>
      <c r="F27" s="241" t="inlineStr">
        <is>
          <t>60635505</t>
        </is>
      </c>
      <c r="G27" s="336" t="n">
        <v>45689</v>
      </c>
      <c r="H27" s="241" t="inlineStr">
        <is>
          <t>4905</t>
        </is>
      </c>
      <c r="I27" s="332">
        <f>IFERROR(VLOOKUP(TEXT(H27,"0"),IPRESS!$A$3:$B$212,2,0),"")</f>
        <v/>
      </c>
      <c r="J27" s="241" t="inlineStr">
        <is>
          <t>4838</t>
        </is>
      </c>
      <c r="K27" s="332">
        <f>IFERROR(VLOOKUP(TEXT(O27,"0"),CONDUCTORES!$A$3:$G$100,7,0),"")</f>
        <v/>
      </c>
      <c r="L27" s="239" t="n">
        <v>18.18</v>
      </c>
      <c r="M27" s="239" t="n">
        <v>8</v>
      </c>
      <c r="N27" s="333">
        <f>IFERROR(IF(L27*M27=0,"",L27*M27),"")</f>
        <v/>
      </c>
      <c r="O27" s="334" t="n"/>
      <c r="P27" s="332">
        <f>IFERROR(VLOOKUP(TEXT(O27,"0"),CONDUCTORES!$A$3:$G$100,2,0),"")</f>
        <v/>
      </c>
      <c r="Q27" s="332">
        <f>IFERROR(VLOOKUP(TEXT(O27,"0"),CONDUCTORES!$A$3:$H$100,6,0),"")</f>
        <v/>
      </c>
      <c r="R27" s="280" t="inlineStr">
        <is>
          <t>ATENDIDO 19/06/2025</t>
        </is>
      </c>
      <c r="S27" s="305" t="inlineStr">
        <is>
          <t>O639,Z359,P051</t>
        </is>
      </c>
      <c r="T27" s="241" t="n"/>
      <c r="U27" s="336" t="n">
        <v>45737</v>
      </c>
      <c r="V27" s="241" t="n"/>
      <c r="W27" s="241" t="n"/>
      <c r="X27" s="241" t="n"/>
      <c r="Y27" s="280" t="n"/>
    </row>
    <row r="28" ht="15.75" customHeight="1" s="195">
      <c r="A28" s="301" t="n">
        <v>23</v>
      </c>
      <c r="B28" s="302" t="inlineStr">
        <is>
          <t>00000001</t>
        </is>
      </c>
      <c r="C28" s="301" t="inlineStr">
        <is>
          <t>REGION</t>
        </is>
      </c>
      <c r="D28" s="302" t="inlineStr">
        <is>
          <t>OCAMPO NUNCEVAY YURI</t>
        </is>
      </c>
      <c r="E28" s="301" t="inlineStr">
        <is>
          <t>DNI</t>
        </is>
      </c>
      <c r="F28" s="301" t="inlineStr">
        <is>
          <t>43039840</t>
        </is>
      </c>
      <c r="G28" s="331" t="n">
        <v>45694</v>
      </c>
      <c r="H28" s="301" t="inlineStr">
        <is>
          <t>4917</t>
        </is>
      </c>
      <c r="I28" s="332">
        <f>IFERROR(VLOOKUP(TEXT(H28,"0"),IPRESS!$A$3:$B$212,2,0),"")</f>
        <v/>
      </c>
      <c r="J28" s="301" t="inlineStr">
        <is>
          <t>4828</t>
        </is>
      </c>
      <c r="K28" s="332">
        <f>IFERROR(VLOOKUP(TEXT(O28,"0"),CONDUCTORES!$A$3:$G$100,7,0),"")</f>
        <v/>
      </c>
      <c r="L28" s="245" t="n">
        <v>18.18</v>
      </c>
      <c r="M28" s="245" t="n">
        <v>15</v>
      </c>
      <c r="N28" s="333">
        <f>IFERROR(IF(L28*M28=0,"",L28*M28),"")</f>
        <v/>
      </c>
      <c r="O28" s="280" t="n"/>
      <c r="P28" s="332">
        <f>IFERROR(VLOOKUP(TEXT(O28,"0"),CONDUCTORES!$A$3:$G$100,2,0),"")</f>
        <v/>
      </c>
      <c r="Q28" s="332">
        <f>IFERROR(VLOOKUP(TEXT(O28,"0"),CONDUCTORES!$A$3:$H$100,6,0),"")</f>
        <v/>
      </c>
      <c r="R28" s="334" t="inlineStr">
        <is>
          <t>ATENDIDO 25/04/2025</t>
        </is>
      </c>
      <c r="S28" s="302" t="inlineStr">
        <is>
          <t>O13X,O149</t>
        </is>
      </c>
      <c r="T28" s="301" t="n"/>
      <c r="U28" s="331" t="n">
        <v>45721</v>
      </c>
      <c r="V28" s="301" t="n"/>
      <c r="W28" s="301" t="n"/>
      <c r="X28" s="301" t="n"/>
      <c r="Y28" s="280" t="n"/>
    </row>
    <row r="29" ht="15.75" customHeight="1" s="195">
      <c r="A29" s="241" t="n">
        <v>24</v>
      </c>
      <c r="B29" s="305" t="inlineStr">
        <is>
          <t>00000002</t>
        </is>
      </c>
      <c r="C29" s="241" t="inlineStr">
        <is>
          <t>REGION</t>
        </is>
      </c>
      <c r="D29" s="305" t="inlineStr">
        <is>
          <t>CAVA MASLUCAN MARIA AMANDA</t>
        </is>
      </c>
      <c r="E29" s="241" t="inlineStr">
        <is>
          <t>DNI</t>
        </is>
      </c>
      <c r="F29" s="241" t="inlineStr">
        <is>
          <t>33720114</t>
        </is>
      </c>
      <c r="G29" s="336" t="n">
        <v>45702</v>
      </c>
      <c r="H29" s="241" t="inlineStr">
        <is>
          <t>4917</t>
        </is>
      </c>
      <c r="I29" s="332">
        <f>IFERROR(VLOOKUP(TEXT(H29,"0"),IPRESS!$A$3:$B$212,2,0),"")</f>
        <v/>
      </c>
      <c r="J29" s="241" t="inlineStr">
        <is>
          <t>4838</t>
        </is>
      </c>
      <c r="K29" s="332">
        <f>IFERROR(VLOOKUP(TEXT(O29,"0"),CONDUCTORES!$A$3:$G$100,7,0),"")</f>
        <v/>
      </c>
      <c r="L29" s="239" t="n">
        <v>18.18</v>
      </c>
      <c r="M29" s="239" t="n">
        <v>15</v>
      </c>
      <c r="N29" s="333">
        <f>IFERROR(IF(L29*M29=0,"",L29*M29),"")</f>
        <v/>
      </c>
      <c r="O29" s="334" t="n"/>
      <c r="P29" s="332">
        <f>IFERROR(VLOOKUP(TEXT(O29,"0"),CONDUCTORES!$A$3:$G$100,2,0),"")</f>
        <v/>
      </c>
      <c r="Q29" s="332">
        <f>IFERROR(VLOOKUP(TEXT(O29,"0"),CONDUCTORES!$A$3:$H$100,6,0),"")</f>
        <v/>
      </c>
      <c r="R29" s="280" t="inlineStr">
        <is>
          <t>ATENDIDO 25/04/2025</t>
        </is>
      </c>
      <c r="S29" s="305" t="inlineStr">
        <is>
          <t>S700,S720</t>
        </is>
      </c>
      <c r="T29" s="241" t="n"/>
      <c r="U29" s="336" t="n">
        <v>45737</v>
      </c>
      <c r="V29" s="241" t="n"/>
      <c r="W29" s="241" t="n"/>
      <c r="X29" s="241" t="n"/>
      <c r="Y29" s="280" t="n"/>
    </row>
    <row r="30" ht="15.75" customHeight="1" s="195">
      <c r="A30" s="301" t="n">
        <v>25</v>
      </c>
      <c r="B30" s="302" t="inlineStr">
        <is>
          <t>00000012</t>
        </is>
      </c>
      <c r="C30" s="301" t="inlineStr">
        <is>
          <t>REGION</t>
        </is>
      </c>
      <c r="D30" s="302" t="inlineStr">
        <is>
          <t>CRUZ PIZARRO GIOVANI</t>
        </is>
      </c>
      <c r="E30" s="301" t="inlineStr">
        <is>
          <t>DNI</t>
        </is>
      </c>
      <c r="F30" s="301" t="inlineStr">
        <is>
          <t>46841357</t>
        </is>
      </c>
      <c r="G30" s="331" t="n">
        <v>45692</v>
      </c>
      <c r="H30" s="301" t="inlineStr">
        <is>
          <t>4850</t>
        </is>
      </c>
      <c r="I30" s="332">
        <f>IFERROR(VLOOKUP(TEXT(H30,"0"),IPRESS!$A$3:$B$212,2,0),"")</f>
        <v/>
      </c>
      <c r="J30" s="301" t="inlineStr">
        <is>
          <t>4838</t>
        </is>
      </c>
      <c r="K30" s="332">
        <f>IFERROR(VLOOKUP(TEXT(O30,"0"),CONDUCTORES!$A$3:$G$100,7,0),"")</f>
        <v/>
      </c>
      <c r="L30" s="245" t="n">
        <v>18.18</v>
      </c>
      <c r="M30" s="245" t="n">
        <v>4</v>
      </c>
      <c r="N30" s="333">
        <f>IFERROR(IF(L30*M30=0,"",L30*M30),"")</f>
        <v/>
      </c>
      <c r="O30" s="280" t="n"/>
      <c r="P30" s="332">
        <f>IFERROR(VLOOKUP(TEXT(O30,"0"),CONDUCTORES!$A$3:$G$100,2,0),"")</f>
        <v/>
      </c>
      <c r="Q30" s="332">
        <f>IFERROR(VLOOKUP(TEXT(O30,"0"),CONDUCTORES!$A$3:$H$100,6,0),"")</f>
        <v/>
      </c>
      <c r="R30" s="334" t="inlineStr">
        <is>
          <t>ATENDIDO 16/05/2025</t>
        </is>
      </c>
      <c r="S30" s="302" t="inlineStr">
        <is>
          <t>Z359,O629,O630</t>
        </is>
      </c>
      <c r="T30" s="301" t="n"/>
      <c r="U30" s="331" t="n">
        <v>45737</v>
      </c>
      <c r="V30" s="301" t="n"/>
      <c r="W30" s="301" t="n"/>
      <c r="X30" s="301" t="n"/>
      <c r="Y30" s="280" t="n"/>
    </row>
    <row r="31" ht="15.75" customHeight="1" s="195">
      <c r="A31" s="241" t="n">
        <v>26</v>
      </c>
      <c r="B31" s="305" t="inlineStr">
        <is>
          <t>00000013</t>
        </is>
      </c>
      <c r="C31" s="241" t="inlineStr">
        <is>
          <t>REGION</t>
        </is>
      </c>
      <c r="D31" s="305" t="inlineStr">
        <is>
          <t>CHUMBE ROJAS MARIA CRUZ</t>
        </is>
      </c>
      <c r="E31" s="241" t="inlineStr">
        <is>
          <t>DNI</t>
        </is>
      </c>
      <c r="F31" s="241" t="inlineStr">
        <is>
          <t>41396842</t>
        </is>
      </c>
      <c r="G31" s="336" t="n">
        <v>45692</v>
      </c>
      <c r="H31" s="241" t="inlineStr">
        <is>
          <t>4850</t>
        </is>
      </c>
      <c r="I31" s="332">
        <f>IFERROR(VLOOKUP(TEXT(H31,"0"),IPRESS!$A$3:$B$212,2,0),"")</f>
        <v/>
      </c>
      <c r="J31" s="241" t="inlineStr">
        <is>
          <t>4838</t>
        </is>
      </c>
      <c r="K31" s="332">
        <f>IFERROR(VLOOKUP(TEXT(O31,"0"),CONDUCTORES!$A$3:$G$100,7,0),"")</f>
        <v/>
      </c>
      <c r="L31" s="239" t="n">
        <v>18.18</v>
      </c>
      <c r="M31" s="239" t="n">
        <v>4</v>
      </c>
      <c r="N31" s="333">
        <f>IFERROR(IF(L31*M31=0,"",L31*M31),"")</f>
        <v/>
      </c>
      <c r="O31" s="334" t="n"/>
      <c r="P31" s="332">
        <f>IFERROR(VLOOKUP(TEXT(O31,"0"),CONDUCTORES!$A$3:$G$100,2,0),"")</f>
        <v/>
      </c>
      <c r="Q31" s="332">
        <f>IFERROR(VLOOKUP(TEXT(O31,"0"),CONDUCTORES!$A$3:$H$100,6,0),"")</f>
        <v/>
      </c>
      <c r="R31" s="280" t="inlineStr">
        <is>
          <t>ATENDIDO 16/05/2025</t>
        </is>
      </c>
      <c r="S31" s="305" t="inlineStr">
        <is>
          <t>R103,K37X</t>
        </is>
      </c>
      <c r="T31" s="241" t="n"/>
      <c r="U31" s="336" t="n">
        <v>45727</v>
      </c>
      <c r="V31" s="241" t="n"/>
      <c r="W31" s="241" t="n"/>
      <c r="X31" s="241" t="n"/>
      <c r="Y31" s="280" t="n"/>
    </row>
    <row r="32" ht="15.75" customHeight="1" s="195">
      <c r="A32" s="301" t="n">
        <v>27</v>
      </c>
      <c r="B32" s="302" t="inlineStr">
        <is>
          <t>00000014</t>
        </is>
      </c>
      <c r="C32" s="301" t="inlineStr">
        <is>
          <t>REGION</t>
        </is>
      </c>
      <c r="D32" s="302" t="inlineStr">
        <is>
          <t>FERNANDEZ POQUIS MAYELIT ISABEL</t>
        </is>
      </c>
      <c r="E32" s="301" t="inlineStr">
        <is>
          <t>DNI</t>
        </is>
      </c>
      <c r="F32" s="301" t="inlineStr">
        <is>
          <t>75482623</t>
        </is>
      </c>
      <c r="G32" s="331" t="n">
        <v>45707</v>
      </c>
      <c r="H32" s="301" t="inlineStr">
        <is>
          <t>4850</t>
        </is>
      </c>
      <c r="I32" s="332">
        <f>IFERROR(VLOOKUP(TEXT(H32,"0"),IPRESS!$A$3:$B$212,2,0),"")</f>
        <v/>
      </c>
      <c r="J32" s="301" t="inlineStr">
        <is>
          <t>4838</t>
        </is>
      </c>
      <c r="K32" s="332">
        <f>IFERROR(VLOOKUP(TEXT(O32,"0"),CONDUCTORES!$A$3:$G$100,7,0),"")</f>
        <v/>
      </c>
      <c r="L32" s="245" t="n">
        <v>18.18</v>
      </c>
      <c r="M32" s="245" t="n">
        <v>4</v>
      </c>
      <c r="N32" s="333">
        <f>IFERROR(IF(L32*M32=0,"",L32*M32),"")</f>
        <v/>
      </c>
      <c r="O32" s="280" t="n"/>
      <c r="P32" s="332">
        <f>IFERROR(VLOOKUP(TEXT(O32,"0"),CONDUCTORES!$A$3:$G$100,2,0),"")</f>
        <v/>
      </c>
      <c r="Q32" s="332">
        <f>IFERROR(VLOOKUP(TEXT(O32,"0"),CONDUCTORES!$A$3:$H$100,6,0),"")</f>
        <v/>
      </c>
      <c r="R32" s="334" t="inlineStr">
        <is>
          <t>ATENDIDO 16/05/2025</t>
        </is>
      </c>
      <c r="S32" s="302" t="inlineStr">
        <is>
          <t>Z359,O600,O321</t>
        </is>
      </c>
      <c r="T32" s="301" t="n"/>
      <c r="U32" s="331" t="n">
        <v>45727</v>
      </c>
      <c r="V32" s="301" t="n"/>
      <c r="W32" s="301" t="n"/>
      <c r="X32" s="301" t="n"/>
      <c r="Y32" s="280" t="n"/>
    </row>
    <row r="33" ht="15.75" customHeight="1" s="195">
      <c r="A33" s="241" t="n">
        <v>28</v>
      </c>
      <c r="B33" s="305" t="inlineStr">
        <is>
          <t>00000010</t>
        </is>
      </c>
      <c r="C33" s="241" t="inlineStr">
        <is>
          <t>REGION</t>
        </is>
      </c>
      <c r="D33" s="305" t="inlineStr">
        <is>
          <t>CORONADO GUEVARA ADITA MARILU</t>
        </is>
      </c>
      <c r="E33" s="241" t="inlineStr">
        <is>
          <t>DNI</t>
        </is>
      </c>
      <c r="F33" s="241" t="inlineStr">
        <is>
          <t>60031072</t>
        </is>
      </c>
      <c r="G33" s="336" t="n">
        <v>45699</v>
      </c>
      <c r="H33" s="241" t="inlineStr">
        <is>
          <t>4859</t>
        </is>
      </c>
      <c r="I33" s="332">
        <f>IFERROR(VLOOKUP(TEXT(H33,"0"),IPRESS!$A$3:$B$212,2,0),"")</f>
        <v/>
      </c>
      <c r="J33" s="241" t="inlineStr">
        <is>
          <t>4838</t>
        </is>
      </c>
      <c r="K33" s="332">
        <f>IFERROR(VLOOKUP(TEXT(O33,"0"),CONDUCTORES!$A$3:$G$100,7,0),"")</f>
        <v/>
      </c>
      <c r="L33" s="239" t="n">
        <v>18.18</v>
      </c>
      <c r="M33" s="239" t="n">
        <v>6</v>
      </c>
      <c r="N33" s="333">
        <f>IFERROR(IF(L33*M33=0,"",L33*M33),"")</f>
        <v/>
      </c>
      <c r="O33" s="334" t="n"/>
      <c r="P33" s="332">
        <f>IFERROR(VLOOKUP(TEXT(O33,"0"),CONDUCTORES!$A$3:$G$100,2,0),"")</f>
        <v/>
      </c>
      <c r="Q33" s="332">
        <f>IFERROR(VLOOKUP(TEXT(O33,"0"),CONDUCTORES!$A$3:$H$100,6,0),"")</f>
        <v/>
      </c>
      <c r="R33" s="280" t="inlineStr">
        <is>
          <t>ATENDIDO  17/06/2025</t>
        </is>
      </c>
      <c r="S33" s="305" t="inlineStr">
        <is>
          <t>Z359,629</t>
        </is>
      </c>
      <c r="T33" s="241" t="n"/>
      <c r="U33" s="336" t="n">
        <v>45709</v>
      </c>
      <c r="V33" s="241" t="n"/>
      <c r="W33" s="241" t="inlineStr">
        <is>
          <t>CONTRATO N° 001-2025 DYT</t>
        </is>
      </c>
      <c r="X33" s="241" t="inlineStr">
        <is>
          <t>285.0</t>
        </is>
      </c>
      <c r="Y33" s="280" t="n"/>
    </row>
    <row r="34" ht="15.75" customHeight="1" s="195">
      <c r="A34" s="301" t="n">
        <v>29</v>
      </c>
      <c r="B34" s="302" t="inlineStr">
        <is>
          <t>00000008</t>
        </is>
      </c>
      <c r="C34" s="301" t="inlineStr">
        <is>
          <t>REGION</t>
        </is>
      </c>
      <c r="D34" s="302" t="inlineStr">
        <is>
          <t>ROJAS HERRERA JILMAN ROBERTO</t>
        </is>
      </c>
      <c r="E34" s="301" t="inlineStr">
        <is>
          <t>DNI</t>
        </is>
      </c>
      <c r="F34" s="301" t="inlineStr">
        <is>
          <t>77377411</t>
        </is>
      </c>
      <c r="G34" s="331" t="n">
        <v>45694</v>
      </c>
      <c r="H34" s="301" t="inlineStr">
        <is>
          <t>4859</t>
        </is>
      </c>
      <c r="I34" s="332">
        <f>IFERROR(VLOOKUP(TEXT(H34,"0"),IPRESS!$A$3:$B$212,2,0),"")</f>
        <v/>
      </c>
      <c r="J34" s="301" t="inlineStr">
        <is>
          <t>4838</t>
        </is>
      </c>
      <c r="K34" s="332">
        <f>IFERROR(VLOOKUP(TEXT(O34,"0"),CONDUCTORES!$A$3:$G$100,7,0),"")</f>
        <v/>
      </c>
      <c r="L34" s="245" t="n">
        <v>18.18</v>
      </c>
      <c r="M34" s="245" t="n">
        <v>6</v>
      </c>
      <c r="N34" s="333">
        <f>IFERROR(IF(L34*M34=0,"",L34*M34),"")</f>
        <v/>
      </c>
      <c r="O34" s="280" t="n"/>
      <c r="P34" s="332">
        <f>IFERROR(VLOOKUP(TEXT(O34,"0"),CONDUCTORES!$A$3:$G$100,2,0),"")</f>
        <v/>
      </c>
      <c r="Q34" s="332">
        <f>IFERROR(VLOOKUP(TEXT(O34,"0"),CONDUCTORES!$A$3:$H$100,6,0),"")</f>
        <v/>
      </c>
      <c r="R34" s="334" t="inlineStr">
        <is>
          <t>ATENDIDO  17/06/2025</t>
        </is>
      </c>
      <c r="S34" s="302" t="inlineStr">
        <is>
          <t>R104,K359</t>
        </is>
      </c>
      <c r="T34" s="301" t="n"/>
      <c r="U34" s="331" t="n">
        <v>45721</v>
      </c>
      <c r="V34" s="301" t="n"/>
      <c r="W34" s="301" t="inlineStr">
        <is>
          <t>CONTRATO N° 001-2025 DYT</t>
        </is>
      </c>
      <c r="X34" s="301" t="inlineStr">
        <is>
          <t>285.0</t>
        </is>
      </c>
      <c r="Y34" s="280" t="n"/>
    </row>
    <row r="35" ht="15.75" customHeight="1" s="195">
      <c r="A35" s="241" t="n">
        <v>30</v>
      </c>
      <c r="B35" s="305" t="inlineStr">
        <is>
          <t>00000009</t>
        </is>
      </c>
      <c r="C35" s="241" t="inlineStr">
        <is>
          <t>REGION</t>
        </is>
      </c>
      <c r="D35" s="305" t="inlineStr">
        <is>
          <t>MARQUEZ RAMIREZ GABRIELA DEL PILAR</t>
        </is>
      </c>
      <c r="E35" s="241" t="inlineStr">
        <is>
          <t>DNI</t>
        </is>
      </c>
      <c r="F35" s="241" t="inlineStr">
        <is>
          <t>74237437</t>
        </is>
      </c>
      <c r="G35" s="336" t="n">
        <v>45696</v>
      </c>
      <c r="H35" s="241" t="inlineStr">
        <is>
          <t>4859</t>
        </is>
      </c>
      <c r="I35" s="332">
        <f>IFERROR(VLOOKUP(TEXT(H35,"0"),IPRESS!$A$3:$B$212,2,0),"")</f>
        <v/>
      </c>
      <c r="J35" s="241" t="inlineStr">
        <is>
          <t>4838</t>
        </is>
      </c>
      <c r="K35" s="332">
        <f>IFERROR(VLOOKUP(TEXT(O35,"0"),CONDUCTORES!$A$3:$G$100,7,0),"")</f>
        <v/>
      </c>
      <c r="L35" s="239" t="n">
        <v>18.18</v>
      </c>
      <c r="M35" s="239" t="n">
        <v>6</v>
      </c>
      <c r="N35" s="333">
        <f>IFERROR(IF(L35*M35=0,"",L35*M35),"")</f>
        <v/>
      </c>
      <c r="O35" s="334" t="n"/>
      <c r="P35" s="332">
        <f>IFERROR(VLOOKUP(TEXT(O35,"0"),CONDUCTORES!$A$3:$G$100,2,0),"")</f>
        <v/>
      </c>
      <c r="Q35" s="332">
        <f>IFERROR(VLOOKUP(TEXT(O35,"0"),CONDUCTORES!$A$3:$H$100,6,0),"")</f>
        <v/>
      </c>
      <c r="R35" s="280" t="inlineStr">
        <is>
          <t>ATENDIDO  17/06/2025</t>
        </is>
      </c>
      <c r="S35" s="305" t="inlineStr">
        <is>
          <t>O600</t>
        </is>
      </c>
      <c r="T35" s="241" t="n"/>
      <c r="U35" s="336" t="n">
        <v>45721</v>
      </c>
      <c r="V35" s="241" t="n"/>
      <c r="W35" s="241" t="inlineStr">
        <is>
          <t>CONTRATO N° 001-2025 DYT</t>
        </is>
      </c>
      <c r="X35" s="241" t="inlineStr">
        <is>
          <t>285.0</t>
        </is>
      </c>
      <c r="Y35" s="280" t="n"/>
    </row>
    <row r="36" ht="15.75" customHeight="1" s="195">
      <c r="A36" s="301" t="n">
        <v>31</v>
      </c>
      <c r="B36" s="302" t="inlineStr">
        <is>
          <t>00000007</t>
        </is>
      </c>
      <c r="C36" s="301" t="inlineStr">
        <is>
          <t>REGION</t>
        </is>
      </c>
      <c r="D36" s="302" t="inlineStr">
        <is>
          <t>RODRIGUEZ CHAVEZ SANTOS</t>
        </is>
      </c>
      <c r="E36" s="301" t="inlineStr">
        <is>
          <t>DNI</t>
        </is>
      </c>
      <c r="F36" s="301" t="inlineStr">
        <is>
          <t>43912225</t>
        </is>
      </c>
      <c r="G36" s="331" t="n">
        <v>45693</v>
      </c>
      <c r="H36" s="301" t="inlineStr">
        <is>
          <t>4859</t>
        </is>
      </c>
      <c r="I36" s="332">
        <f>IFERROR(VLOOKUP(TEXT(H36,"0"),IPRESS!$A$3:$B$212,2,0),"")</f>
        <v/>
      </c>
      <c r="J36" s="301" t="inlineStr">
        <is>
          <t>4838</t>
        </is>
      </c>
      <c r="K36" s="332">
        <f>IFERROR(VLOOKUP(TEXT(O36,"0"),CONDUCTORES!$A$3:$G$100,7,0),"")</f>
        <v/>
      </c>
      <c r="L36" s="245" t="n">
        <v>18.18</v>
      </c>
      <c r="M36" s="245" t="n">
        <v>6</v>
      </c>
      <c r="N36" s="333">
        <f>IFERROR(IF(L36*M36=0,"",L36*M36),"")</f>
        <v/>
      </c>
      <c r="O36" s="280" t="n"/>
      <c r="P36" s="332">
        <f>IFERROR(VLOOKUP(TEXT(O36,"0"),CONDUCTORES!$A$3:$G$100,2,0),"")</f>
        <v/>
      </c>
      <c r="Q36" s="332">
        <f>IFERROR(VLOOKUP(TEXT(O36,"0"),CONDUCTORES!$A$3:$H$100,6,0),"")</f>
        <v/>
      </c>
      <c r="R36" s="334" t="inlineStr">
        <is>
          <t>ATENDIDO  17/06/2025</t>
        </is>
      </c>
      <c r="S36" s="302" t="inlineStr">
        <is>
          <t>R104,K359</t>
        </is>
      </c>
      <c r="T36" s="301" t="n"/>
      <c r="U36" s="331" t="n">
        <v>45737</v>
      </c>
      <c r="V36" s="301" t="n"/>
      <c r="W36" s="301" t="inlineStr">
        <is>
          <t>CONTRATO N° 001-2025 DYT</t>
        </is>
      </c>
      <c r="X36" s="301" t="inlineStr">
        <is>
          <t>285.0</t>
        </is>
      </c>
      <c r="Y36" s="280" t="n"/>
    </row>
    <row r="37" ht="15.75" customHeight="1" s="195">
      <c r="A37" s="241" t="n">
        <v>32</v>
      </c>
      <c r="B37" s="305" t="inlineStr">
        <is>
          <t>00000006</t>
        </is>
      </c>
      <c r="C37" s="241" t="inlineStr">
        <is>
          <t>REGION</t>
        </is>
      </c>
      <c r="D37" s="305" t="inlineStr">
        <is>
          <t>BUSTAMANTE ATALAYA KEILITA ORTENCIA</t>
        </is>
      </c>
      <c r="E37" s="241" t="inlineStr">
        <is>
          <t>DNI</t>
        </is>
      </c>
      <c r="F37" s="241" t="inlineStr">
        <is>
          <t>62006947</t>
        </is>
      </c>
      <c r="G37" s="336" t="n">
        <v>45690</v>
      </c>
      <c r="H37" s="241" t="inlineStr">
        <is>
          <t>4859</t>
        </is>
      </c>
      <c r="I37" s="332">
        <f>IFERROR(VLOOKUP(TEXT(H37,"0"),IPRESS!$A$3:$B$212,2,0),"")</f>
        <v/>
      </c>
      <c r="J37" s="241" t="inlineStr">
        <is>
          <t>4838</t>
        </is>
      </c>
      <c r="K37" s="332">
        <f>IFERROR(VLOOKUP(TEXT(O37,"0"),CONDUCTORES!$A$3:$G$100,7,0),"")</f>
        <v/>
      </c>
      <c r="L37" s="239" t="n">
        <v>18.18</v>
      </c>
      <c r="M37" s="239" t="n">
        <v>6</v>
      </c>
      <c r="N37" s="333">
        <f>IFERROR(IF(L37*M37=0,"",L37*M37),"")</f>
        <v/>
      </c>
      <c r="O37" s="334" t="n"/>
      <c r="P37" s="332">
        <f>IFERROR(VLOOKUP(TEXT(O37,"0"),CONDUCTORES!$A$3:$G$100,2,0),"")</f>
        <v/>
      </c>
      <c r="Q37" s="332">
        <f>IFERROR(VLOOKUP(TEXT(O37,"0"),CONDUCTORES!$A$3:$H$100,6,0),"")</f>
        <v/>
      </c>
      <c r="R37" s="280" t="inlineStr">
        <is>
          <t>ATENDIDO  17/06/2025</t>
        </is>
      </c>
      <c r="S37" s="305" t="inlineStr">
        <is>
          <t>O470,Z359</t>
        </is>
      </c>
      <c r="T37" s="241" t="n"/>
      <c r="U37" s="336" t="n">
        <v>45737</v>
      </c>
      <c r="V37" s="241" t="n"/>
      <c r="W37" s="241" t="inlineStr">
        <is>
          <t>CONTRATO N° 001-2025 DYT</t>
        </is>
      </c>
      <c r="X37" s="241" t="inlineStr">
        <is>
          <t>285.0</t>
        </is>
      </c>
      <c r="Y37" s="280" t="n"/>
    </row>
    <row r="38" ht="15.75" customHeight="1" s="195">
      <c r="A38" s="301" t="n">
        <v>33</v>
      </c>
      <c r="B38" s="302" t="inlineStr">
        <is>
          <t>00000002</t>
        </is>
      </c>
      <c r="C38" s="301" t="inlineStr">
        <is>
          <t>REGION</t>
        </is>
      </c>
      <c r="D38" s="302" t="inlineStr">
        <is>
          <t>LOPEZ HUAMAN TEODORICA DE JESUS</t>
        </is>
      </c>
      <c r="E38" s="301" t="inlineStr">
        <is>
          <t>DNI</t>
        </is>
      </c>
      <c r="F38" s="301" t="inlineStr">
        <is>
          <t>33947133</t>
        </is>
      </c>
      <c r="G38" s="331" t="n">
        <v>45708</v>
      </c>
      <c r="H38" s="301" t="inlineStr">
        <is>
          <t>4955</t>
        </is>
      </c>
      <c r="I38" s="332">
        <f>IFERROR(VLOOKUP(TEXT(H38,"0"),IPRESS!$A$3:$B$212,2,0),"")</f>
        <v/>
      </c>
      <c r="J38" s="301" t="inlineStr">
        <is>
          <t>4950</t>
        </is>
      </c>
      <c r="K38" s="332">
        <f>IFERROR(VLOOKUP(TEXT(O38,"0"),CONDUCTORES!$A$3:$G$100,7,0),"")</f>
        <v/>
      </c>
      <c r="L38" s="245" t="n">
        <v>20.25</v>
      </c>
      <c r="M38" s="245" t="n">
        <v>8</v>
      </c>
      <c r="N38" s="333">
        <f>IFERROR(IF(L38*M38=0,"",L38*M38),"")</f>
        <v/>
      </c>
      <c r="O38" s="280" t="n"/>
      <c r="P38" s="332">
        <f>IFERROR(VLOOKUP(TEXT(O38,"0"),CONDUCTORES!$A$3:$G$100,2,0),"")</f>
        <v/>
      </c>
      <c r="Q38" s="332">
        <f>IFERROR(VLOOKUP(TEXT(O38,"0"),CONDUCTORES!$A$3:$H$100,6,0),"")</f>
        <v/>
      </c>
      <c r="R38" s="334" t="inlineStr">
        <is>
          <t>ATENDIDO 20/06/2025</t>
        </is>
      </c>
      <c r="S38" s="302" t="inlineStr">
        <is>
          <t>D509,R101</t>
        </is>
      </c>
      <c r="T38" s="301" t="n"/>
      <c r="U38" s="331" t="n">
        <v>45729</v>
      </c>
      <c r="V38" s="301" t="n"/>
      <c r="W38" s="301" t="n"/>
      <c r="X38" s="301" t="n"/>
      <c r="Y38" s="280" t="n"/>
    </row>
    <row r="39" ht="15.75" customHeight="1" s="195">
      <c r="A39" s="241" t="n">
        <v>34</v>
      </c>
      <c r="B39" s="305" t="inlineStr">
        <is>
          <t>00000012</t>
        </is>
      </c>
      <c r="C39" s="241" t="inlineStr">
        <is>
          <t>REGION</t>
        </is>
      </c>
      <c r="D39" s="305" t="inlineStr">
        <is>
          <t>AMPUERO ROJAS MIGUEL ROQUE</t>
        </is>
      </c>
      <c r="E39" s="241" t="inlineStr">
        <is>
          <t>DNI</t>
        </is>
      </c>
      <c r="F39" s="241" t="inlineStr">
        <is>
          <t>33797700</t>
        </is>
      </c>
      <c r="G39" s="336" t="n">
        <v>45700</v>
      </c>
      <c r="H39" s="241" t="inlineStr">
        <is>
          <t>4866</t>
        </is>
      </c>
      <c r="I39" s="332">
        <f>IFERROR(VLOOKUP(TEXT(H39,"0"),IPRESS!$A$3:$B$212,2,0),"")</f>
        <v/>
      </c>
      <c r="J39" s="241" t="inlineStr">
        <is>
          <t>4838</t>
        </is>
      </c>
      <c r="K39" s="332">
        <f>IFERROR(VLOOKUP(TEXT(O39,"0"),CONDUCTORES!$A$3:$G$100,7,0),"")</f>
        <v/>
      </c>
      <c r="L39" s="239" t="n">
        <v>18.18</v>
      </c>
      <c r="M39" s="239" t="n">
        <v>4</v>
      </c>
      <c r="N39" s="333">
        <f>IFERROR(IF(L39*M39=0,"",L39*M39),"")</f>
        <v/>
      </c>
      <c r="O39" s="334" t="n"/>
      <c r="P39" s="332">
        <f>IFERROR(VLOOKUP(TEXT(O39,"0"),CONDUCTORES!$A$3:$G$100,2,0),"")</f>
        <v/>
      </c>
      <c r="Q39" s="332">
        <f>IFERROR(VLOOKUP(TEXT(O39,"0"),CONDUCTORES!$A$3:$H$100,6,0),"")</f>
        <v/>
      </c>
      <c r="R39" s="280" t="inlineStr">
        <is>
          <t>ATENDIDO 05/05/2025</t>
        </is>
      </c>
      <c r="S39" s="305" t="inlineStr">
        <is>
          <t>J189,J960</t>
        </is>
      </c>
      <c r="T39" s="241" t="n"/>
      <c r="U39" s="336" t="n">
        <v>45720</v>
      </c>
      <c r="V39" s="241" t="inlineStr">
        <is>
          <t>OFICIO 1771-2025</t>
        </is>
      </c>
      <c r="W39" s="241" t="inlineStr">
        <is>
          <t>0000108- ADENDA N°001-2025 DRSA/OEA-O.ABAST</t>
        </is>
      </c>
      <c r="X39" s="241" t="inlineStr">
        <is>
          <t>256.0</t>
        </is>
      </c>
      <c r="Y39" s="280" t="n"/>
    </row>
    <row r="40" ht="15.75" customHeight="1" s="195">
      <c r="A40" s="301" t="n">
        <v>35</v>
      </c>
      <c r="B40" s="302" t="inlineStr">
        <is>
          <t>00000013</t>
        </is>
      </c>
      <c r="C40" s="301" t="inlineStr">
        <is>
          <t>REGION</t>
        </is>
      </c>
      <c r="D40" s="302" t="inlineStr">
        <is>
          <t>ROJAS BUELOT JEYLI MILAGROS</t>
        </is>
      </c>
      <c r="E40" s="301" t="inlineStr">
        <is>
          <t>DNI</t>
        </is>
      </c>
      <c r="F40" s="301" t="inlineStr">
        <is>
          <t>76356648</t>
        </is>
      </c>
      <c r="G40" s="331" t="n">
        <v>45696</v>
      </c>
      <c r="H40" s="301" t="inlineStr">
        <is>
          <t>4866</t>
        </is>
      </c>
      <c r="I40" s="332">
        <f>IFERROR(VLOOKUP(TEXT(H40,"0"),IPRESS!$A$3:$B$212,2,0),"")</f>
        <v/>
      </c>
      <c r="J40" s="301" t="inlineStr">
        <is>
          <t>4838</t>
        </is>
      </c>
      <c r="K40" s="332">
        <f>IFERROR(VLOOKUP(TEXT(O40,"0"),CONDUCTORES!$A$3:$G$100,7,0),"")</f>
        <v/>
      </c>
      <c r="L40" s="245" t="n">
        <v>18.18</v>
      </c>
      <c r="M40" s="245" t="n">
        <v>4</v>
      </c>
      <c r="N40" s="333">
        <f>IFERROR(IF(L40*M40=0,"",L40*M40),"")</f>
        <v/>
      </c>
      <c r="O40" s="280" t="n"/>
      <c r="P40" s="332">
        <f>IFERROR(VLOOKUP(TEXT(O40,"0"),CONDUCTORES!$A$3:$G$100,2,0),"")</f>
        <v/>
      </c>
      <c r="Q40" s="332">
        <f>IFERROR(VLOOKUP(TEXT(O40,"0"),CONDUCTORES!$A$3:$H$100,6,0),"")</f>
        <v/>
      </c>
      <c r="R40" s="334" t="inlineStr">
        <is>
          <t>ATENDIDO 05/05/2025</t>
        </is>
      </c>
      <c r="S40" s="302" t="inlineStr">
        <is>
          <t>O034</t>
        </is>
      </c>
      <c r="T40" s="301" t="n"/>
      <c r="U40" s="331" t="n">
        <v>45721</v>
      </c>
      <c r="V40" s="301" t="inlineStr">
        <is>
          <t>OFICIO 1771-2025</t>
        </is>
      </c>
      <c r="W40" s="301" t="inlineStr">
        <is>
          <t>0000108- ADENDA N°001-2025 DRSA/OEA-O.ABAST</t>
        </is>
      </c>
      <c r="X40" s="301" t="inlineStr">
        <is>
          <t>256.0</t>
        </is>
      </c>
      <c r="Y40" s="280" t="n"/>
    </row>
    <row r="41" ht="15.75" customHeight="1" s="195">
      <c r="A41" s="241" t="n">
        <v>36</v>
      </c>
      <c r="B41" s="305" t="inlineStr">
        <is>
          <t>00000014</t>
        </is>
      </c>
      <c r="C41" s="241" t="inlineStr">
        <is>
          <t>REGION</t>
        </is>
      </c>
      <c r="D41" s="305" t="inlineStr">
        <is>
          <t>CHOCA ROJAS SAMUEL</t>
        </is>
      </c>
      <c r="E41" s="241" t="inlineStr">
        <is>
          <t>DNI</t>
        </is>
      </c>
      <c r="F41" s="241" t="inlineStr">
        <is>
          <t>72708247</t>
        </is>
      </c>
      <c r="G41" s="336" t="n">
        <v>45702</v>
      </c>
      <c r="H41" s="241" t="inlineStr">
        <is>
          <t>4866</t>
        </is>
      </c>
      <c r="I41" s="332">
        <f>IFERROR(VLOOKUP(TEXT(H41,"0"),IPRESS!$A$3:$B$212,2,0),"")</f>
        <v/>
      </c>
      <c r="J41" s="241" t="inlineStr">
        <is>
          <t>4838</t>
        </is>
      </c>
      <c r="K41" s="332">
        <f>IFERROR(VLOOKUP(TEXT(O41,"0"),CONDUCTORES!$A$3:$G$100,7,0),"")</f>
        <v/>
      </c>
      <c r="L41" s="239" t="n">
        <v>18.18</v>
      </c>
      <c r="M41" s="239" t="n">
        <v>4</v>
      </c>
      <c r="N41" s="333">
        <f>IFERROR(IF(L41*M41=0,"",L41*M41),"")</f>
        <v/>
      </c>
      <c r="O41" s="334" t="n"/>
      <c r="P41" s="332">
        <f>IFERROR(VLOOKUP(TEXT(O41,"0"),CONDUCTORES!$A$3:$G$100,2,0),"")</f>
        <v/>
      </c>
      <c r="Q41" s="332">
        <f>IFERROR(VLOOKUP(TEXT(O41,"0"),CONDUCTORES!$A$3:$H$100,6,0),"")</f>
        <v/>
      </c>
      <c r="R41" s="280" t="inlineStr">
        <is>
          <t>ATENDIDO 05/05/2025</t>
        </is>
      </c>
      <c r="S41" s="305" t="inlineStr">
        <is>
          <t>R100,K359</t>
        </is>
      </c>
      <c r="T41" s="241" t="n"/>
      <c r="U41" s="336" t="n">
        <v>45737</v>
      </c>
      <c r="V41" s="241" t="inlineStr">
        <is>
          <t>OFICIO 1771-2025</t>
        </is>
      </c>
      <c r="W41" s="241" t="inlineStr">
        <is>
          <t>0000108- ADENDA N°001-2025 DRSA/OEA-O.ABAST</t>
        </is>
      </c>
      <c r="X41" s="241" t="inlineStr">
        <is>
          <t>256.0</t>
        </is>
      </c>
      <c r="Y41" s="280" t="n"/>
    </row>
    <row r="42" ht="15.75" customHeight="1" s="195">
      <c r="A42" s="301" t="n">
        <v>37</v>
      </c>
      <c r="B42" s="302" t="inlineStr">
        <is>
          <t>00000015</t>
        </is>
      </c>
      <c r="C42" s="301" t="inlineStr">
        <is>
          <t>REGION</t>
        </is>
      </c>
      <c r="D42" s="302" t="inlineStr">
        <is>
          <t>MEDINA CHALAS CELIA</t>
        </is>
      </c>
      <c r="E42" s="301" t="inlineStr">
        <is>
          <t>DNI</t>
        </is>
      </c>
      <c r="F42" s="301" t="inlineStr">
        <is>
          <t>77073895</t>
        </is>
      </c>
      <c r="G42" s="331" t="n">
        <v>45702</v>
      </c>
      <c r="H42" s="301" t="inlineStr">
        <is>
          <t>4866</t>
        </is>
      </c>
      <c r="I42" s="332">
        <f>IFERROR(VLOOKUP(TEXT(H42,"0"),IPRESS!$A$3:$B$212,2,0),"")</f>
        <v/>
      </c>
      <c r="J42" s="301" t="inlineStr">
        <is>
          <t>4838</t>
        </is>
      </c>
      <c r="K42" s="332">
        <f>IFERROR(VLOOKUP(TEXT(O42,"0"),CONDUCTORES!$A$3:$G$100,7,0),"")</f>
        <v/>
      </c>
      <c r="L42" s="245" t="n">
        <v>18.18</v>
      </c>
      <c r="M42" s="245" t="n">
        <v>4</v>
      </c>
      <c r="N42" s="333">
        <f>IFERROR(IF(L42*M42=0,"",L42*M42),"")</f>
        <v/>
      </c>
      <c r="O42" s="280" t="n"/>
      <c r="P42" s="332">
        <f>IFERROR(VLOOKUP(TEXT(O42,"0"),CONDUCTORES!$A$3:$G$100,2,0),"")</f>
        <v/>
      </c>
      <c r="Q42" s="332">
        <f>IFERROR(VLOOKUP(TEXT(O42,"0"),CONDUCTORES!$A$3:$H$100,6,0),"")</f>
        <v/>
      </c>
      <c r="R42" s="334" t="inlineStr">
        <is>
          <t>ATENDIDO 05/05/2025</t>
        </is>
      </c>
      <c r="S42" s="302" t="inlineStr">
        <is>
          <t xml:space="preserve">O639 </t>
        </is>
      </c>
      <c r="T42" s="301" t="n"/>
      <c r="U42" s="331" t="n">
        <v>45737</v>
      </c>
      <c r="V42" s="301" t="inlineStr">
        <is>
          <t>OFICIO 1771-2025</t>
        </is>
      </c>
      <c r="W42" s="301" t="inlineStr">
        <is>
          <t>0000108- ADENDA N°001-2025 DRSA/OEA-O.ABAST</t>
        </is>
      </c>
      <c r="X42" s="301" t="inlineStr">
        <is>
          <t>256.0</t>
        </is>
      </c>
      <c r="Y42" s="280" t="n"/>
    </row>
    <row r="43" ht="15.75" customHeight="1" s="195">
      <c r="A43" s="241" t="n">
        <v>38</v>
      </c>
      <c r="B43" s="305" t="inlineStr">
        <is>
          <t>00000016</t>
        </is>
      </c>
      <c r="C43" s="241" t="inlineStr">
        <is>
          <t>REGION</t>
        </is>
      </c>
      <c r="D43" s="305" t="inlineStr">
        <is>
          <t>VILCA CHUQUIZUTA LLORDANI</t>
        </is>
      </c>
      <c r="E43" s="241" t="inlineStr">
        <is>
          <t>DNI</t>
        </is>
      </c>
      <c r="F43" s="241" t="inlineStr">
        <is>
          <t>74412017</t>
        </is>
      </c>
      <c r="G43" s="336" t="n">
        <v>45706</v>
      </c>
      <c r="H43" s="241" t="inlineStr">
        <is>
          <t>4866</t>
        </is>
      </c>
      <c r="I43" s="332">
        <f>IFERROR(VLOOKUP(TEXT(H43,"0"),IPRESS!$A$3:$B$212,2,0),"")</f>
        <v/>
      </c>
      <c r="J43" s="241" t="inlineStr">
        <is>
          <t>4838</t>
        </is>
      </c>
      <c r="K43" s="332">
        <f>IFERROR(VLOOKUP(TEXT(O43,"0"),CONDUCTORES!$A$3:$G$100,7,0),"")</f>
        <v/>
      </c>
      <c r="L43" s="239" t="n">
        <v>18.18</v>
      </c>
      <c r="M43" s="239" t="n">
        <v>4</v>
      </c>
      <c r="N43" s="333">
        <f>IFERROR(IF(L43*M43=0,"",L43*M43),"")</f>
        <v/>
      </c>
      <c r="O43" s="334" t="n"/>
      <c r="P43" s="332">
        <f>IFERROR(VLOOKUP(TEXT(O43,"0"),CONDUCTORES!$A$3:$G$100,2,0),"")</f>
        <v/>
      </c>
      <c r="Q43" s="332">
        <f>IFERROR(VLOOKUP(TEXT(O43,"0"),CONDUCTORES!$A$3:$H$100,6,0),"")</f>
        <v/>
      </c>
      <c r="R43" s="280" t="inlineStr">
        <is>
          <t>ATENDIDO 05/05/2025</t>
        </is>
      </c>
      <c r="S43" s="305" t="inlineStr">
        <is>
          <t>O801</t>
        </is>
      </c>
      <c r="T43" s="241" t="n"/>
      <c r="U43" s="336" t="n">
        <v>45720</v>
      </c>
      <c r="V43" s="241" t="inlineStr">
        <is>
          <t>OFICIO 1771-2025</t>
        </is>
      </c>
      <c r="W43" s="241" t="inlineStr">
        <is>
          <t>0000108- ADENDA N°001-2025 DRSA/OEA-O.ABAST</t>
        </is>
      </c>
      <c r="X43" s="241" t="inlineStr">
        <is>
          <t>256.0</t>
        </is>
      </c>
      <c r="Y43" s="280" t="n"/>
    </row>
    <row r="44" ht="15.75" customHeight="1" s="195">
      <c r="A44" s="301" t="n">
        <v>39</v>
      </c>
      <c r="B44" s="302" t="inlineStr">
        <is>
          <t>00000017</t>
        </is>
      </c>
      <c r="C44" s="301" t="inlineStr">
        <is>
          <t>REGION</t>
        </is>
      </c>
      <c r="D44" s="302" t="inlineStr">
        <is>
          <t>CHUQUIZUTA CHUQUIZUTA MARLENI</t>
        </is>
      </c>
      <c r="E44" s="301" t="inlineStr">
        <is>
          <t>DNI</t>
        </is>
      </c>
      <c r="F44" s="301" t="inlineStr">
        <is>
          <t>42724860</t>
        </is>
      </c>
      <c r="G44" s="331" t="n">
        <v>45707</v>
      </c>
      <c r="H44" s="301" t="inlineStr">
        <is>
          <t>4866</t>
        </is>
      </c>
      <c r="I44" s="332">
        <f>IFERROR(VLOOKUP(TEXT(H44,"0"),IPRESS!$A$3:$B$212,2,0),"")</f>
        <v/>
      </c>
      <c r="J44" s="301" t="inlineStr">
        <is>
          <t>4838</t>
        </is>
      </c>
      <c r="K44" s="332">
        <f>IFERROR(VLOOKUP(TEXT(O44,"0"),CONDUCTORES!$A$3:$G$100,7,0),"")</f>
        <v/>
      </c>
      <c r="L44" s="245" t="n">
        <v>18.18</v>
      </c>
      <c r="M44" s="245" t="n">
        <v>4</v>
      </c>
      <c r="N44" s="333">
        <f>IFERROR(IF(L44*M44=0,"",L44*M44),"")</f>
        <v/>
      </c>
      <c r="O44" s="280" t="n"/>
      <c r="P44" s="332">
        <f>IFERROR(VLOOKUP(TEXT(O44,"0"),CONDUCTORES!$A$3:$G$100,2,0),"")</f>
        <v/>
      </c>
      <c r="Q44" s="332">
        <f>IFERROR(VLOOKUP(TEXT(O44,"0"),CONDUCTORES!$A$3:$H$100,6,0),"")</f>
        <v/>
      </c>
      <c r="R44" s="334" t="inlineStr">
        <is>
          <t>ATENDIDO 05/05/2025</t>
        </is>
      </c>
      <c r="S44" s="302" t="inlineStr">
        <is>
          <t>O149,O698</t>
        </is>
      </c>
      <c r="T44" s="301" t="n"/>
      <c r="U44" s="331" t="n">
        <v>45720</v>
      </c>
      <c r="V44" s="301" t="inlineStr">
        <is>
          <t>OFICIO 1771-2025</t>
        </is>
      </c>
      <c r="W44" s="301" t="inlineStr">
        <is>
          <t>0000108- ADENDA N°001-2025 DRSA/OEA-O.ABAST</t>
        </is>
      </c>
      <c r="X44" s="301" t="inlineStr">
        <is>
          <t>256.0</t>
        </is>
      </c>
      <c r="Y44" s="280" t="n"/>
    </row>
    <row r="45" ht="15.75" customHeight="1" s="195">
      <c r="A45" s="241" t="n">
        <v>40</v>
      </c>
      <c r="B45" s="305" t="inlineStr">
        <is>
          <t>00000018</t>
        </is>
      </c>
      <c r="C45" s="241" t="inlineStr">
        <is>
          <t>REGION</t>
        </is>
      </c>
      <c r="D45" s="305" t="inlineStr">
        <is>
          <t>MENDOZA CHUQUIZUTA ROSA</t>
        </is>
      </c>
      <c r="E45" s="241" t="inlineStr">
        <is>
          <t>DNI</t>
        </is>
      </c>
      <c r="F45" s="241" t="inlineStr">
        <is>
          <t>48250069</t>
        </is>
      </c>
      <c r="G45" s="336" t="n">
        <v>45712</v>
      </c>
      <c r="H45" s="241" t="inlineStr">
        <is>
          <t>4866</t>
        </is>
      </c>
      <c r="I45" s="332">
        <f>IFERROR(VLOOKUP(TEXT(H45,"0"),IPRESS!$A$3:$B$212,2,0),"")</f>
        <v/>
      </c>
      <c r="J45" s="241" t="inlineStr">
        <is>
          <t>4838</t>
        </is>
      </c>
      <c r="K45" s="332">
        <f>IFERROR(VLOOKUP(TEXT(O45,"0"),CONDUCTORES!$A$3:$G$100,7,0),"")</f>
        <v/>
      </c>
      <c r="L45" s="239" t="n">
        <v>18.18</v>
      </c>
      <c r="M45" s="239" t="n">
        <v>4</v>
      </c>
      <c r="N45" s="333">
        <f>IFERROR(IF(L45*M45=0,"",L45*M45),"")</f>
        <v/>
      </c>
      <c r="O45" s="334" t="n"/>
      <c r="P45" s="332">
        <f>IFERROR(VLOOKUP(TEXT(O45,"0"),CONDUCTORES!$A$3:$G$100,2,0),"")</f>
        <v/>
      </c>
      <c r="Q45" s="332">
        <f>IFERROR(VLOOKUP(TEXT(O45,"0"),CONDUCTORES!$A$3:$H$100,6,0),"")</f>
        <v/>
      </c>
      <c r="R45" s="280" t="inlineStr">
        <is>
          <t>ATENDIDO 05/05/2025</t>
        </is>
      </c>
      <c r="S45" s="305" t="inlineStr">
        <is>
          <t>S799,S720</t>
        </is>
      </c>
      <c r="T45" s="241" t="n"/>
      <c r="U45" s="336" t="n">
        <v>45722</v>
      </c>
      <c r="V45" s="241" t="inlineStr">
        <is>
          <t>OFICIO 1771-2025</t>
        </is>
      </c>
      <c r="W45" s="241" t="inlineStr">
        <is>
          <t>0000108- ADENDA N°001-2025 DRSA/OEA-O.ABAST</t>
        </is>
      </c>
      <c r="X45" s="241" t="inlineStr">
        <is>
          <t>256.0</t>
        </is>
      </c>
      <c r="Y45" s="280" t="n"/>
    </row>
    <row r="46" ht="15.75" customHeight="1" s="195">
      <c r="A46" s="301" t="n">
        <v>41</v>
      </c>
      <c r="B46" s="302" t="inlineStr">
        <is>
          <t>00000045</t>
        </is>
      </c>
      <c r="C46" s="301" t="inlineStr">
        <is>
          <t>REGION</t>
        </is>
      </c>
      <c r="D46" s="302" t="inlineStr">
        <is>
          <t>TRAUCO POQUIOMA HILDEBRANDO</t>
        </is>
      </c>
      <c r="E46" s="301" t="inlineStr">
        <is>
          <t>DNI</t>
        </is>
      </c>
      <c r="F46" s="301" t="inlineStr">
        <is>
          <t>33787297</t>
        </is>
      </c>
      <c r="G46" s="331" t="n">
        <v>45715</v>
      </c>
      <c r="H46" s="301" t="inlineStr">
        <is>
          <t>4866</t>
        </is>
      </c>
      <c r="I46" s="332">
        <f>IFERROR(VLOOKUP(TEXT(H46,"0"),IPRESS!$A$3:$B$212,2,0),"")</f>
        <v/>
      </c>
      <c r="J46" s="301" t="inlineStr">
        <is>
          <t>4838</t>
        </is>
      </c>
      <c r="K46" s="332">
        <f>IFERROR(VLOOKUP(TEXT(O46,"0"),CONDUCTORES!$A$3:$G$100,7,0),"")</f>
        <v/>
      </c>
      <c r="L46" s="245" t="n">
        <v>18.18</v>
      </c>
      <c r="M46" s="245" t="n">
        <v>4</v>
      </c>
      <c r="N46" s="333">
        <f>IFERROR(IF(L46*M46=0,"",L46*M46),"")</f>
        <v/>
      </c>
      <c r="O46" s="280" t="n"/>
      <c r="P46" s="332">
        <f>IFERROR(VLOOKUP(TEXT(O46,"0"),CONDUCTORES!$A$3:$G$100,2,0),"")</f>
        <v/>
      </c>
      <c r="Q46" s="332">
        <f>IFERROR(VLOOKUP(TEXT(O46,"0"),CONDUCTORES!$A$3:$H$100,6,0),"")</f>
        <v/>
      </c>
      <c r="R46" s="334" t="inlineStr">
        <is>
          <t>ATENDIDO 05/05/2025</t>
        </is>
      </c>
      <c r="S46" s="302" t="inlineStr">
        <is>
          <t>S223,S019,I318</t>
        </is>
      </c>
      <c r="T46" s="301" t="n"/>
      <c r="U46" s="331" t="n">
        <v>45736</v>
      </c>
      <c r="V46" s="301" t="inlineStr">
        <is>
          <t>OFICIO 1771-2025</t>
        </is>
      </c>
      <c r="W46" s="301" t="inlineStr">
        <is>
          <t>0000108- ADENDA N°001-2025 DRSA/OEA-O.ABAST</t>
        </is>
      </c>
      <c r="X46" s="301" t="inlineStr">
        <is>
          <t>256.0</t>
        </is>
      </c>
      <c r="Y46" s="280" t="n"/>
    </row>
    <row r="47" ht="15.75" customHeight="1" s="195">
      <c r="A47" s="241" t="n">
        <v>42</v>
      </c>
      <c r="B47" s="305" t="inlineStr">
        <is>
          <t>00000038</t>
        </is>
      </c>
      <c r="C47" s="241" t="inlineStr">
        <is>
          <t>REGION</t>
        </is>
      </c>
      <c r="D47" s="305" t="inlineStr">
        <is>
          <t>CASTRO RUIZ TERESITA DEL NIÑO JESUS</t>
        </is>
      </c>
      <c r="E47" s="241" t="inlineStr">
        <is>
          <t>DNI</t>
        </is>
      </c>
      <c r="F47" s="241" t="inlineStr">
        <is>
          <t>33945444</t>
        </is>
      </c>
      <c r="G47" s="336" t="n">
        <v>45699</v>
      </c>
      <c r="H47" s="241" t="inlineStr">
        <is>
          <t>4950</t>
        </is>
      </c>
      <c r="I47" s="332">
        <f>IFERROR(VLOOKUP(TEXT(H47,"0"),IPRESS!$A$3:$B$212,2,0),"")</f>
        <v/>
      </c>
      <c r="J47" s="241" t="inlineStr">
        <is>
          <t>4838</t>
        </is>
      </c>
      <c r="K47" s="332">
        <f>IFERROR(VLOOKUP(TEXT(O47,"0"),CONDUCTORES!$A$3:$G$100,7,0),"")</f>
        <v/>
      </c>
      <c r="L47" s="239" t="n">
        <v>20.25</v>
      </c>
      <c r="M47" s="239" t="n">
        <v>7</v>
      </c>
      <c r="N47" s="333">
        <f>IFERROR(IF(L47*M47=0,"",L47*M47),"")</f>
        <v/>
      </c>
      <c r="O47" s="334" t="n"/>
      <c r="P47" s="332">
        <f>IFERROR(VLOOKUP(TEXT(O47,"0"),CONDUCTORES!$A$3:$G$100,2,0),"")</f>
        <v/>
      </c>
      <c r="Q47" s="332">
        <f>IFERROR(VLOOKUP(TEXT(O47,"0"),CONDUCTORES!$A$3:$H$100,6,0),"")</f>
        <v/>
      </c>
      <c r="R47" s="280" t="inlineStr">
        <is>
          <t>ENTREGADO 17/06/2025</t>
        </is>
      </c>
      <c r="S47" s="305" t="inlineStr">
        <is>
          <t>I64X,G819,J189,R33X</t>
        </is>
      </c>
      <c r="T47" s="241" t="n"/>
      <c r="U47" s="336" t="n">
        <v>45707</v>
      </c>
      <c r="V47" s="241" t="n"/>
      <c r="W47" s="241" t="inlineStr">
        <is>
          <t>3479.0</t>
        </is>
      </c>
      <c r="X47" s="241" t="inlineStr">
        <is>
          <t>189.0</t>
        </is>
      </c>
      <c r="Y47" s="280" t="n"/>
    </row>
    <row r="48" ht="15.75" customHeight="1" s="195">
      <c r="A48" s="301" t="n">
        <v>43</v>
      </c>
      <c r="B48" s="302" t="inlineStr">
        <is>
          <t>00000035</t>
        </is>
      </c>
      <c r="C48" s="301" t="inlineStr">
        <is>
          <t>REGION</t>
        </is>
      </c>
      <c r="D48" s="302" t="inlineStr">
        <is>
          <t>VARGAS TUESTA ROICER IVAN</t>
        </is>
      </c>
      <c r="E48" s="301" t="inlineStr">
        <is>
          <t>DNI</t>
        </is>
      </c>
      <c r="F48" s="301" t="inlineStr">
        <is>
          <t>73178969</t>
        </is>
      </c>
      <c r="G48" s="331" t="n">
        <v>45694</v>
      </c>
      <c r="H48" s="301" t="inlineStr">
        <is>
          <t>4950</t>
        </is>
      </c>
      <c r="I48" s="332">
        <f>IFERROR(VLOOKUP(TEXT(H48,"0"),IPRESS!$A$3:$B$212,2,0),"")</f>
        <v/>
      </c>
      <c r="J48" s="301" t="inlineStr">
        <is>
          <t>4838</t>
        </is>
      </c>
      <c r="K48" s="332">
        <f>IFERROR(VLOOKUP(TEXT(O48,"0"),CONDUCTORES!$A$3:$G$100,7,0),"")</f>
        <v/>
      </c>
      <c r="L48" s="245" t="n">
        <v>20.25</v>
      </c>
      <c r="M48" s="245" t="n">
        <v>10</v>
      </c>
      <c r="N48" s="333">
        <f>IFERROR(IF(L48*M48=0,"",L48*M48),"")</f>
        <v/>
      </c>
      <c r="O48" s="280" t="n"/>
      <c r="P48" s="332">
        <f>IFERROR(VLOOKUP(TEXT(O48,"0"),CONDUCTORES!$A$3:$G$100,2,0),"")</f>
        <v/>
      </c>
      <c r="Q48" s="332">
        <f>IFERROR(VLOOKUP(TEXT(O48,"0"),CONDUCTORES!$A$3:$H$100,6,0),"")</f>
        <v/>
      </c>
      <c r="R48" s="334" t="inlineStr">
        <is>
          <t>ENTREGADO 17/06/2025</t>
        </is>
      </c>
      <c r="S48" s="302" t="inlineStr">
        <is>
          <t>S822</t>
        </is>
      </c>
      <c r="T48" s="301" t="n"/>
      <c r="U48" s="331" t="n">
        <v>45721</v>
      </c>
      <c r="V48" s="301" t="n"/>
      <c r="W48" s="301" t="inlineStr">
        <is>
          <t>3479.0</t>
        </is>
      </c>
      <c r="X48" s="301" t="inlineStr">
        <is>
          <t>189.0</t>
        </is>
      </c>
      <c r="Y48" s="280" t="n"/>
    </row>
    <row r="49" ht="15.75" customHeight="1" s="195">
      <c r="A49" s="241" t="n">
        <v>44</v>
      </c>
      <c r="B49" s="305" t="inlineStr">
        <is>
          <t>00000036</t>
        </is>
      </c>
      <c r="C49" s="241" t="inlineStr">
        <is>
          <t>REGION</t>
        </is>
      </c>
      <c r="D49" s="305" t="inlineStr">
        <is>
          <t>MELENDEZ LOPEZ MARIA ASUNTA</t>
        </is>
      </c>
      <c r="E49" s="241" t="inlineStr">
        <is>
          <t>DNI</t>
        </is>
      </c>
      <c r="F49" s="241" t="inlineStr">
        <is>
          <t>6089097</t>
        </is>
      </c>
      <c r="G49" s="336" t="n">
        <v>45696</v>
      </c>
      <c r="H49" s="241" t="inlineStr">
        <is>
          <t>4950</t>
        </is>
      </c>
      <c r="I49" s="332">
        <f>IFERROR(VLOOKUP(TEXT(H49,"0"),IPRESS!$A$3:$B$212,2,0),"")</f>
        <v/>
      </c>
      <c r="J49" s="241" t="inlineStr">
        <is>
          <t>4838</t>
        </is>
      </c>
      <c r="K49" s="332">
        <f>IFERROR(VLOOKUP(TEXT(O49,"0"),CONDUCTORES!$A$3:$G$100,7,0),"")</f>
        <v/>
      </c>
      <c r="L49" s="239" t="n">
        <v>20.25</v>
      </c>
      <c r="M49" s="239" t="n">
        <v>7</v>
      </c>
      <c r="N49" s="333">
        <f>IFERROR(IF(L49*M49=0,"",L49*M49),"")</f>
        <v/>
      </c>
      <c r="O49" s="334" t="n"/>
      <c r="P49" s="332">
        <f>IFERROR(VLOOKUP(TEXT(O49,"0"),CONDUCTORES!$A$3:$G$100,2,0),"")</f>
        <v/>
      </c>
      <c r="Q49" s="332">
        <f>IFERROR(VLOOKUP(TEXT(O49,"0"),CONDUCTORES!$A$3:$H$100,6,0),"")</f>
        <v/>
      </c>
      <c r="R49" s="280" t="inlineStr">
        <is>
          <t>ENTREGADO 17/06/2025</t>
        </is>
      </c>
      <c r="S49" s="305" t="inlineStr">
        <is>
          <t>R104,K37X</t>
        </is>
      </c>
      <c r="T49" s="241" t="n"/>
      <c r="U49" s="336" t="n">
        <v>45728</v>
      </c>
      <c r="V49" s="241" t="n"/>
      <c r="W49" s="241" t="inlineStr">
        <is>
          <t>3479.0</t>
        </is>
      </c>
      <c r="X49" s="241" t="inlineStr">
        <is>
          <t>189.0</t>
        </is>
      </c>
      <c r="Y49" s="280" t="n"/>
    </row>
    <row r="50" ht="15.75" customHeight="1" s="195">
      <c r="A50" s="301" t="n">
        <v>45</v>
      </c>
      <c r="B50" s="302" t="inlineStr">
        <is>
          <t>00000037</t>
        </is>
      </c>
      <c r="C50" s="301" t="inlineStr">
        <is>
          <t>REGION</t>
        </is>
      </c>
      <c r="D50" s="302" t="inlineStr">
        <is>
          <t>LOPEZ GUEVARA FELIPE</t>
        </is>
      </c>
      <c r="E50" s="301" t="inlineStr">
        <is>
          <t>DNI</t>
        </is>
      </c>
      <c r="F50" s="301" t="inlineStr">
        <is>
          <t>33788748</t>
        </is>
      </c>
      <c r="G50" s="331" t="n">
        <v>45698</v>
      </c>
      <c r="H50" s="301" t="inlineStr">
        <is>
          <t>4950</t>
        </is>
      </c>
      <c r="I50" s="332">
        <f>IFERROR(VLOOKUP(TEXT(H50,"0"),IPRESS!$A$3:$B$212,2,0),"")</f>
        <v/>
      </c>
      <c r="J50" s="301" t="inlineStr">
        <is>
          <t>4838</t>
        </is>
      </c>
      <c r="K50" s="332">
        <f>IFERROR(VLOOKUP(TEXT(O50,"0"),CONDUCTORES!$A$3:$G$100,7,0),"")</f>
        <v/>
      </c>
      <c r="L50" s="245" t="n">
        <v>20.25</v>
      </c>
      <c r="M50" s="245" t="n">
        <v>7</v>
      </c>
      <c r="N50" s="333">
        <f>IFERROR(IF(L50*M50=0,"",L50*M50),"")</f>
        <v/>
      </c>
      <c r="O50" s="280" t="n"/>
      <c r="P50" s="332">
        <f>IFERROR(VLOOKUP(TEXT(O50,"0"),CONDUCTORES!$A$3:$G$100,2,0),"")</f>
        <v/>
      </c>
      <c r="Q50" s="332">
        <f>IFERROR(VLOOKUP(TEXT(O50,"0"),CONDUCTORES!$A$3:$H$100,6,0),"")</f>
        <v/>
      </c>
      <c r="R50" s="334" t="inlineStr">
        <is>
          <t>ENTREGADO 17/06/2025</t>
        </is>
      </c>
      <c r="S50" s="302" t="inlineStr">
        <is>
          <t>S062</t>
        </is>
      </c>
      <c r="T50" s="301" t="n"/>
      <c r="U50" s="331" t="n">
        <v>45737</v>
      </c>
      <c r="V50" s="301" t="n"/>
      <c r="W50" s="301" t="inlineStr">
        <is>
          <t>3479.0</t>
        </is>
      </c>
      <c r="X50" s="301" t="inlineStr">
        <is>
          <t>189.0</t>
        </is>
      </c>
      <c r="Y50" s="280" t="n"/>
    </row>
    <row r="51" ht="15.75" customHeight="1" s="195">
      <c r="A51" s="241" t="n">
        <v>46</v>
      </c>
      <c r="B51" s="305" t="inlineStr">
        <is>
          <t>00000034</t>
        </is>
      </c>
      <c r="C51" s="241" t="inlineStr">
        <is>
          <t>REGION</t>
        </is>
      </c>
      <c r="D51" s="305" t="inlineStr">
        <is>
          <t>ARRUE IBERICO JUAN FRANCISCO</t>
        </is>
      </c>
      <c r="E51" s="241" t="inlineStr">
        <is>
          <t>DNI</t>
        </is>
      </c>
      <c r="F51" s="241" t="inlineStr">
        <is>
          <t>48008043</t>
        </is>
      </c>
      <c r="G51" s="336" t="n">
        <v>45689</v>
      </c>
      <c r="H51" s="241" t="inlineStr">
        <is>
          <t>4950</t>
        </is>
      </c>
      <c r="I51" s="332">
        <f>IFERROR(VLOOKUP(TEXT(H51,"0"),IPRESS!$A$3:$B$212,2,0),"")</f>
        <v/>
      </c>
      <c r="J51" s="241" t="inlineStr">
        <is>
          <t>4838</t>
        </is>
      </c>
      <c r="K51" s="332">
        <f>IFERROR(VLOOKUP(TEXT(O51,"0"),CONDUCTORES!$A$3:$G$100,7,0),"")</f>
        <v/>
      </c>
      <c r="L51" s="239" t="n">
        <v>20.25</v>
      </c>
      <c r="M51" s="239" t="n">
        <v>7</v>
      </c>
      <c r="N51" s="333">
        <f>IFERROR(IF(L51*M51=0,"",L51*M51),"")</f>
        <v/>
      </c>
      <c r="O51" s="334" t="n"/>
      <c r="P51" s="332">
        <f>IFERROR(VLOOKUP(TEXT(O51,"0"),CONDUCTORES!$A$3:$G$100,2,0),"")</f>
        <v/>
      </c>
      <c r="Q51" s="332">
        <f>IFERROR(VLOOKUP(TEXT(O51,"0"),CONDUCTORES!$A$3:$H$100,6,0),"")</f>
        <v/>
      </c>
      <c r="R51" s="280" t="inlineStr">
        <is>
          <t>ENTREGADO 17/06/2025</t>
        </is>
      </c>
      <c r="S51" s="305" t="inlineStr">
        <is>
          <t>F09X,F209</t>
        </is>
      </c>
      <c r="T51" s="241" t="n"/>
      <c r="U51" s="336" t="n">
        <v>45737</v>
      </c>
      <c r="V51" s="241" t="n"/>
      <c r="W51" s="241" t="inlineStr">
        <is>
          <t>3479.0</t>
        </is>
      </c>
      <c r="X51" s="241" t="inlineStr">
        <is>
          <t>189.0</t>
        </is>
      </c>
      <c r="Y51" s="280" t="n"/>
    </row>
    <row r="52" ht="15.75" customHeight="1" s="195">
      <c r="A52" s="301" t="n">
        <v>47</v>
      </c>
      <c r="B52" s="302" t="inlineStr">
        <is>
          <t>00000039</t>
        </is>
      </c>
      <c r="C52" s="301" t="inlineStr">
        <is>
          <t>REGION</t>
        </is>
      </c>
      <c r="D52" s="302" t="inlineStr">
        <is>
          <t>TAFUR SALDAÑA REYES HOMERO</t>
        </is>
      </c>
      <c r="E52" s="301" t="inlineStr">
        <is>
          <t>DNI</t>
        </is>
      </c>
      <c r="F52" s="301" t="inlineStr">
        <is>
          <t>33949302</t>
        </is>
      </c>
      <c r="G52" s="331" t="n">
        <v>45700</v>
      </c>
      <c r="H52" s="301" t="inlineStr">
        <is>
          <t>4950</t>
        </is>
      </c>
      <c r="I52" s="332">
        <f>IFERROR(VLOOKUP(TEXT(H52,"0"),IPRESS!$A$3:$B$212,2,0),"")</f>
        <v/>
      </c>
      <c r="J52" s="301" t="inlineStr">
        <is>
          <t>4838</t>
        </is>
      </c>
      <c r="K52" s="332">
        <f>IFERROR(VLOOKUP(TEXT(O52,"0"),CONDUCTORES!$A$3:$G$100,7,0),"")</f>
        <v/>
      </c>
      <c r="L52" s="245" t="n">
        <v>20.25</v>
      </c>
      <c r="M52" s="245" t="n">
        <v>7</v>
      </c>
      <c r="N52" s="333">
        <f>IFERROR(IF(L52*M52=0,"",L52*M52),"")</f>
        <v/>
      </c>
      <c r="O52" s="280" t="n"/>
      <c r="P52" s="332">
        <f>IFERROR(VLOOKUP(TEXT(O52,"0"),CONDUCTORES!$A$3:$G$100,2,0),"")</f>
        <v/>
      </c>
      <c r="Q52" s="332">
        <f>IFERROR(VLOOKUP(TEXT(O52,"0"),CONDUCTORES!$A$3:$H$100,6,0),"")</f>
        <v/>
      </c>
      <c r="R52" s="334" t="inlineStr">
        <is>
          <t>ENTREGADO 17/06/2025</t>
        </is>
      </c>
      <c r="S52" s="302" t="inlineStr">
        <is>
          <t>I209</t>
        </is>
      </c>
      <c r="T52" s="301" t="n"/>
      <c r="U52" s="331" t="n">
        <v>45744</v>
      </c>
      <c r="V52" s="301" t="n"/>
      <c r="W52" s="301" t="inlineStr">
        <is>
          <t>3479.0</t>
        </is>
      </c>
      <c r="X52" s="301" t="inlineStr">
        <is>
          <t>189.0</t>
        </is>
      </c>
      <c r="Y52" s="280" t="n"/>
    </row>
    <row r="53" ht="15.75" customHeight="1" s="195">
      <c r="A53" s="241" t="n">
        <v>48</v>
      </c>
      <c r="B53" s="305" t="inlineStr">
        <is>
          <t>00000040</t>
        </is>
      </c>
      <c r="C53" s="241" t="inlineStr">
        <is>
          <t>REGION</t>
        </is>
      </c>
      <c r="D53" s="305" t="inlineStr">
        <is>
          <t>LOPEZ FERNANDEZ GILMER DOLORES</t>
        </is>
      </c>
      <c r="E53" s="241" t="inlineStr">
        <is>
          <t>DNI</t>
        </is>
      </c>
      <c r="F53" s="241" t="inlineStr">
        <is>
          <t>33947393</t>
        </is>
      </c>
      <c r="G53" s="336" t="n">
        <v>45702</v>
      </c>
      <c r="H53" s="241" t="inlineStr">
        <is>
          <t>4950</t>
        </is>
      </c>
      <c r="I53" s="332">
        <f>IFERROR(VLOOKUP(TEXT(H53,"0"),IPRESS!$A$3:$B$212,2,0),"")</f>
        <v/>
      </c>
      <c r="J53" s="241" t="inlineStr">
        <is>
          <t>4838</t>
        </is>
      </c>
      <c r="K53" s="332">
        <f>IFERROR(VLOOKUP(TEXT(O53,"0"),CONDUCTORES!$A$3:$G$100,7,0),"")</f>
        <v/>
      </c>
      <c r="L53" s="239" t="n">
        <v>20.25</v>
      </c>
      <c r="M53" s="239" t="n">
        <v>7</v>
      </c>
      <c r="N53" s="333">
        <f>IFERROR(IF(L53*M53=0,"",L53*M53),"")</f>
        <v/>
      </c>
      <c r="O53" s="334" t="n"/>
      <c r="P53" s="332">
        <f>IFERROR(VLOOKUP(TEXT(O53,"0"),CONDUCTORES!$A$3:$G$100,2,0),"")</f>
        <v/>
      </c>
      <c r="Q53" s="332">
        <f>IFERROR(VLOOKUP(TEXT(O53,"0"),CONDUCTORES!$A$3:$H$100,6,0),"")</f>
        <v/>
      </c>
      <c r="R53" s="280" t="inlineStr">
        <is>
          <t>ENTREGADO 17/06/2025</t>
        </is>
      </c>
      <c r="S53" s="305" t="inlineStr">
        <is>
          <t>S829</t>
        </is>
      </c>
      <c r="T53" s="241" t="n"/>
      <c r="U53" s="336" t="n">
        <v>45737</v>
      </c>
      <c r="V53" s="241" t="n"/>
      <c r="W53" s="241" t="inlineStr">
        <is>
          <t>3479.0</t>
        </is>
      </c>
      <c r="X53" s="241" t="inlineStr">
        <is>
          <t>189.0</t>
        </is>
      </c>
      <c r="Y53" s="280" t="n"/>
    </row>
    <row r="54" ht="15.75" customHeight="1" s="195">
      <c r="A54" s="301" t="n">
        <v>49</v>
      </c>
      <c r="B54" s="302" t="inlineStr">
        <is>
          <t>00000041</t>
        </is>
      </c>
      <c r="C54" s="301" t="inlineStr">
        <is>
          <t>REGION</t>
        </is>
      </c>
      <c r="D54" s="302" t="inlineStr">
        <is>
          <t>GUEVARA EPIQUEN DOYLA ELVIRA</t>
        </is>
      </c>
      <c r="E54" s="301" t="inlineStr">
        <is>
          <t>DNI</t>
        </is>
      </c>
      <c r="F54" s="301" t="inlineStr">
        <is>
          <t>45254957</t>
        </is>
      </c>
      <c r="G54" s="331" t="n">
        <v>45703</v>
      </c>
      <c r="H54" s="301" t="inlineStr">
        <is>
          <t>4950</t>
        </is>
      </c>
      <c r="I54" s="332">
        <f>IFERROR(VLOOKUP(TEXT(H54,"0"),IPRESS!$A$3:$B$212,2,0),"")</f>
        <v/>
      </c>
      <c r="J54" s="301" t="inlineStr">
        <is>
          <t>4838</t>
        </is>
      </c>
      <c r="K54" s="332">
        <f>IFERROR(VLOOKUP(TEXT(O54,"0"),CONDUCTORES!$A$3:$G$100,7,0),"")</f>
        <v/>
      </c>
      <c r="L54" s="245" t="n">
        <v>20.25</v>
      </c>
      <c r="M54" s="245" t="n">
        <v>7</v>
      </c>
      <c r="N54" s="333">
        <f>IFERROR(IF(L54*M54=0,"",L54*M54),"")</f>
        <v/>
      </c>
      <c r="O54" s="280" t="n"/>
      <c r="P54" s="332">
        <f>IFERROR(VLOOKUP(TEXT(O54,"0"),CONDUCTORES!$A$3:$G$100,2,0),"")</f>
        <v/>
      </c>
      <c r="Q54" s="332">
        <f>IFERROR(VLOOKUP(TEXT(O54,"0"),CONDUCTORES!$A$3:$H$100,6,0),"")</f>
        <v/>
      </c>
      <c r="R54" s="334" t="inlineStr">
        <is>
          <t>ENTREGADO 17/06/2025</t>
        </is>
      </c>
      <c r="S54" s="302" t="inlineStr">
        <is>
          <t>O234,O141</t>
        </is>
      </c>
      <c r="T54" s="301" t="n"/>
      <c r="U54" s="331" t="n">
        <v>45707</v>
      </c>
      <c r="V54" s="301" t="n"/>
      <c r="W54" s="301" t="inlineStr">
        <is>
          <t>3479.0</t>
        </is>
      </c>
      <c r="X54" s="301" t="inlineStr">
        <is>
          <t>189.0</t>
        </is>
      </c>
      <c r="Y54" s="280" t="n"/>
    </row>
    <row r="55" ht="15.75" customHeight="1" s="195">
      <c r="A55" s="241" t="n">
        <v>50</v>
      </c>
      <c r="B55" s="305" t="inlineStr">
        <is>
          <t>00000042</t>
        </is>
      </c>
      <c r="C55" s="241" t="inlineStr">
        <is>
          <t>REGION</t>
        </is>
      </c>
      <c r="D55" s="305" t="inlineStr">
        <is>
          <t>VELA ENCINA JHEINER</t>
        </is>
      </c>
      <c r="E55" s="241" t="inlineStr">
        <is>
          <t>DNI</t>
        </is>
      </c>
      <c r="F55" s="241" t="inlineStr">
        <is>
          <t>61670371</t>
        </is>
      </c>
      <c r="G55" s="336" t="n">
        <v>45703</v>
      </c>
      <c r="H55" s="241" t="inlineStr">
        <is>
          <t>4950</t>
        </is>
      </c>
      <c r="I55" s="332">
        <f>IFERROR(VLOOKUP(TEXT(H55,"0"),IPRESS!$A$3:$B$212,2,0),"")</f>
        <v/>
      </c>
      <c r="J55" s="241" t="inlineStr">
        <is>
          <t>4838</t>
        </is>
      </c>
      <c r="K55" s="332">
        <f>IFERROR(VLOOKUP(TEXT(O55,"0"),CONDUCTORES!$A$3:$G$100,7,0),"")</f>
        <v/>
      </c>
      <c r="L55" s="239" t="n">
        <v>20.25</v>
      </c>
      <c r="M55" s="239" t="n">
        <v>7</v>
      </c>
      <c r="N55" s="333">
        <f>IFERROR(IF(L55*M55=0,"",L55*M55),"")</f>
        <v/>
      </c>
      <c r="O55" s="334" t="n"/>
      <c r="P55" s="332">
        <f>IFERROR(VLOOKUP(TEXT(O55,"0"),CONDUCTORES!$A$3:$G$100,2,0),"")</f>
        <v/>
      </c>
      <c r="Q55" s="332">
        <f>IFERROR(VLOOKUP(TEXT(O55,"0"),CONDUCTORES!$A$3:$H$100,6,0),"")</f>
        <v/>
      </c>
      <c r="R55" s="280" t="inlineStr">
        <is>
          <t>ENTREGADO 17/06/2025</t>
        </is>
      </c>
      <c r="S55" s="305" t="inlineStr">
        <is>
          <t>T630</t>
        </is>
      </c>
      <c r="T55" s="241" t="n"/>
      <c r="U55" s="336" t="n">
        <v>45707</v>
      </c>
      <c r="V55" s="241" t="n"/>
      <c r="W55" s="241" t="inlineStr">
        <is>
          <t>3479.0</t>
        </is>
      </c>
      <c r="X55" s="241" t="inlineStr">
        <is>
          <t>189.0</t>
        </is>
      </c>
      <c r="Y55" s="280" t="n"/>
    </row>
    <row r="56" ht="15.75" customHeight="1" s="195">
      <c r="A56" s="301" t="n">
        <v>51</v>
      </c>
      <c r="B56" s="302" t="inlineStr">
        <is>
          <t>00000043</t>
        </is>
      </c>
      <c r="C56" s="301" t="inlineStr">
        <is>
          <t>REGION</t>
        </is>
      </c>
      <c r="D56" s="302" t="inlineStr">
        <is>
          <t>TORRES GOMEZ MANUEL</t>
        </is>
      </c>
      <c r="E56" s="301" t="inlineStr">
        <is>
          <t>DNI</t>
        </is>
      </c>
      <c r="F56" s="301" t="inlineStr">
        <is>
          <t>33940367</t>
        </is>
      </c>
      <c r="G56" s="331" t="n">
        <v>45706</v>
      </c>
      <c r="H56" s="301" t="inlineStr">
        <is>
          <t>4950</t>
        </is>
      </c>
      <c r="I56" s="332">
        <f>IFERROR(VLOOKUP(TEXT(H56,"0"),IPRESS!$A$3:$B$212,2,0),"")</f>
        <v/>
      </c>
      <c r="J56" s="301" t="inlineStr">
        <is>
          <t>4838</t>
        </is>
      </c>
      <c r="K56" s="332">
        <f>IFERROR(VLOOKUP(TEXT(O56,"0"),CONDUCTORES!$A$3:$G$100,7,0),"")</f>
        <v/>
      </c>
      <c r="L56" s="245" t="n">
        <v>20.25</v>
      </c>
      <c r="M56" s="245" t="n">
        <v>7</v>
      </c>
      <c r="N56" s="333">
        <f>IFERROR(IF(L56*M56=0,"",L56*M56),"")</f>
        <v/>
      </c>
      <c r="O56" s="280" t="n"/>
      <c r="P56" s="332">
        <f>IFERROR(VLOOKUP(TEXT(O56,"0"),CONDUCTORES!$A$3:$G$100,2,0),"")</f>
        <v/>
      </c>
      <c r="Q56" s="332">
        <f>IFERROR(VLOOKUP(TEXT(O56,"0"),CONDUCTORES!$A$3:$H$100,6,0),"")</f>
        <v/>
      </c>
      <c r="R56" s="334" t="inlineStr">
        <is>
          <t>ENTREGADO 17/06/2025</t>
        </is>
      </c>
      <c r="S56" s="302" t="inlineStr">
        <is>
          <t>S720,I10X</t>
        </is>
      </c>
      <c r="T56" s="301" t="n"/>
      <c r="U56" s="331" t="n">
        <v>45715</v>
      </c>
      <c r="V56" s="301" t="n"/>
      <c r="W56" s="301" t="inlineStr">
        <is>
          <t>3479.0</t>
        </is>
      </c>
      <c r="X56" s="301" t="inlineStr">
        <is>
          <t>189.0</t>
        </is>
      </c>
      <c r="Y56" s="280" t="n"/>
    </row>
    <row r="57" ht="15.75" customHeight="1" s="195">
      <c r="A57" s="241" t="n">
        <v>52</v>
      </c>
      <c r="B57" s="305" t="inlineStr">
        <is>
          <t>00000044</t>
        </is>
      </c>
      <c r="C57" s="241" t="inlineStr">
        <is>
          <t>REGION</t>
        </is>
      </c>
      <c r="D57" s="305" t="inlineStr">
        <is>
          <t>D'ARRIGO ALVA LESLY KAREN</t>
        </is>
      </c>
      <c r="E57" s="241" t="inlineStr">
        <is>
          <t>DNI</t>
        </is>
      </c>
      <c r="F57" s="241" t="inlineStr">
        <is>
          <t>46660766</t>
        </is>
      </c>
      <c r="G57" s="336" t="n">
        <v>45707</v>
      </c>
      <c r="H57" s="241" t="inlineStr">
        <is>
          <t>4950</t>
        </is>
      </c>
      <c r="I57" s="332">
        <f>IFERROR(VLOOKUP(TEXT(H57,"0"),IPRESS!$A$3:$B$212,2,0),"")</f>
        <v/>
      </c>
      <c r="J57" s="241" t="inlineStr">
        <is>
          <t>4838</t>
        </is>
      </c>
      <c r="K57" s="332">
        <f>IFERROR(VLOOKUP(TEXT(O57,"0"),CONDUCTORES!$A$3:$G$100,7,0),"")</f>
        <v/>
      </c>
      <c r="L57" s="239" t="n">
        <v>20.25</v>
      </c>
      <c r="M57" s="239" t="n">
        <v>7</v>
      </c>
      <c r="N57" s="333">
        <f>IFERROR(IF(L57*M57=0,"",L57*M57),"")</f>
        <v/>
      </c>
      <c r="O57" s="334" t="n"/>
      <c r="P57" s="332">
        <f>IFERROR(VLOOKUP(TEXT(O57,"0"),CONDUCTORES!$A$3:$G$100,2,0),"")</f>
        <v/>
      </c>
      <c r="Q57" s="332">
        <f>IFERROR(VLOOKUP(TEXT(O57,"0"),CONDUCTORES!$A$3:$H$100,6,0),"")</f>
        <v/>
      </c>
      <c r="R57" s="280" t="inlineStr">
        <is>
          <t>ENTREGADO 17/06/2025</t>
        </is>
      </c>
      <c r="S57" s="305" t="inlineStr">
        <is>
          <t>O459,O990</t>
        </is>
      </c>
      <c r="T57" s="241" t="n"/>
      <c r="U57" s="336" t="n">
        <v>45715</v>
      </c>
      <c r="V57" s="241" t="n"/>
      <c r="W57" s="241" t="inlineStr">
        <is>
          <t>3479.0</t>
        </is>
      </c>
      <c r="X57" s="241" t="inlineStr">
        <is>
          <t>189.0</t>
        </is>
      </c>
      <c r="Y57" s="280" t="n"/>
    </row>
    <row r="58" ht="15.75" customHeight="1" s="195">
      <c r="A58" s="301" t="n">
        <v>53</v>
      </c>
      <c r="B58" s="302" t="inlineStr">
        <is>
          <t>00000045</t>
        </is>
      </c>
      <c r="C58" s="301" t="inlineStr">
        <is>
          <t>REGION</t>
        </is>
      </c>
      <c r="D58" s="302" t="inlineStr">
        <is>
          <t>TINEO LOZANO ZARA LUCILA</t>
        </is>
      </c>
      <c r="E58" s="301" t="inlineStr">
        <is>
          <t>DNI</t>
        </is>
      </c>
      <c r="F58" s="301" t="inlineStr">
        <is>
          <t>40717063</t>
        </is>
      </c>
      <c r="G58" s="331" t="n">
        <v>45707</v>
      </c>
      <c r="H58" s="301" t="inlineStr">
        <is>
          <t>4950</t>
        </is>
      </c>
      <c r="I58" s="332">
        <f>IFERROR(VLOOKUP(TEXT(H58,"0"),IPRESS!$A$3:$B$212,2,0),"")</f>
        <v/>
      </c>
      <c r="J58" s="301" t="inlineStr">
        <is>
          <t>4838</t>
        </is>
      </c>
      <c r="K58" s="332">
        <f>IFERROR(VLOOKUP(TEXT(O58,"0"),CONDUCTORES!$A$3:$G$100,7,0),"")</f>
        <v/>
      </c>
      <c r="L58" s="245" t="n">
        <v>20.25</v>
      </c>
      <c r="M58" s="245" t="n">
        <v>7</v>
      </c>
      <c r="N58" s="333">
        <f>IFERROR(IF(L58*M58=0,"",L58*M58),"")</f>
        <v/>
      </c>
      <c r="O58" s="280" t="n"/>
      <c r="P58" s="332">
        <f>IFERROR(VLOOKUP(TEXT(O58,"0"),CONDUCTORES!$A$3:$G$100,2,0),"")</f>
        <v/>
      </c>
      <c r="Q58" s="332">
        <f>IFERROR(VLOOKUP(TEXT(O58,"0"),CONDUCTORES!$A$3:$H$100,6,0),"")</f>
        <v/>
      </c>
      <c r="R58" s="334" t="inlineStr">
        <is>
          <t>ENTREGADO 17/06/2025</t>
        </is>
      </c>
      <c r="S58" s="302" t="inlineStr">
        <is>
          <t>Z359,O470,O420</t>
        </is>
      </c>
      <c r="T58" s="301" t="n"/>
      <c r="U58" s="331" t="n">
        <v>45715</v>
      </c>
      <c r="V58" s="301" t="n"/>
      <c r="W58" s="301" t="inlineStr">
        <is>
          <t>3479.0</t>
        </is>
      </c>
      <c r="X58" s="301" t="inlineStr">
        <is>
          <t>189.0</t>
        </is>
      </c>
      <c r="Y58" s="280" t="n"/>
    </row>
    <row r="59" ht="15.75" customHeight="1" s="195">
      <c r="A59" s="241" t="n">
        <v>54</v>
      </c>
      <c r="B59" s="305" t="inlineStr">
        <is>
          <t>00000046</t>
        </is>
      </c>
      <c r="C59" s="241" t="inlineStr">
        <is>
          <t>REGION</t>
        </is>
      </c>
      <c r="D59" s="305" t="inlineStr">
        <is>
          <t>HUAMAN ROJAS JILVER</t>
        </is>
      </c>
      <c r="E59" s="241" t="inlineStr">
        <is>
          <t>DNI</t>
        </is>
      </c>
      <c r="F59" s="241" t="inlineStr">
        <is>
          <t>42319688</t>
        </is>
      </c>
      <c r="G59" s="336" t="n">
        <v>45709</v>
      </c>
      <c r="H59" s="241" t="inlineStr">
        <is>
          <t>4950</t>
        </is>
      </c>
      <c r="I59" s="332">
        <f>IFERROR(VLOOKUP(TEXT(H59,"0"),IPRESS!$A$3:$B$212,2,0),"")</f>
        <v/>
      </c>
      <c r="J59" s="241" t="inlineStr">
        <is>
          <t>4838</t>
        </is>
      </c>
      <c r="K59" s="332">
        <f>IFERROR(VLOOKUP(TEXT(O59,"0"),CONDUCTORES!$A$3:$G$100,7,0),"")</f>
        <v/>
      </c>
      <c r="L59" s="239" t="n">
        <v>20.25</v>
      </c>
      <c r="M59" s="239" t="n">
        <v>7</v>
      </c>
      <c r="N59" s="333">
        <f>IFERROR(IF(L59*M59=0,"",L59*M59),"")</f>
        <v/>
      </c>
      <c r="O59" s="334" t="n"/>
      <c r="P59" s="332">
        <f>IFERROR(VLOOKUP(TEXT(O59,"0"),CONDUCTORES!$A$3:$G$100,2,0),"")</f>
        <v/>
      </c>
      <c r="Q59" s="332">
        <f>IFERROR(VLOOKUP(TEXT(O59,"0"),CONDUCTORES!$A$3:$H$100,6,0),"")</f>
        <v/>
      </c>
      <c r="R59" s="280" t="inlineStr">
        <is>
          <t>ENTREGADO 17/06/2025</t>
        </is>
      </c>
      <c r="S59" s="305" t="inlineStr">
        <is>
          <t>K359</t>
        </is>
      </c>
      <c r="T59" s="241" t="n"/>
      <c r="U59" s="336" t="n">
        <v>45715</v>
      </c>
      <c r="V59" s="241" t="n"/>
      <c r="W59" s="241" t="inlineStr">
        <is>
          <t>3479.0</t>
        </is>
      </c>
      <c r="X59" s="241" t="inlineStr">
        <is>
          <t>189.0</t>
        </is>
      </c>
      <c r="Y59" s="280" t="n"/>
    </row>
    <row r="60" ht="15.75" customHeight="1" s="195">
      <c r="A60" s="301" t="n">
        <v>55</v>
      </c>
      <c r="B60" s="302" t="inlineStr">
        <is>
          <t>00000047</t>
        </is>
      </c>
      <c r="C60" s="301" t="inlineStr">
        <is>
          <t>REGION</t>
        </is>
      </c>
      <c r="D60" s="302" t="inlineStr">
        <is>
          <t>ARBILDO TEJADA ALQUIMEDES</t>
        </is>
      </c>
      <c r="E60" s="301" t="inlineStr">
        <is>
          <t>DNI</t>
        </is>
      </c>
      <c r="F60" s="301" t="inlineStr">
        <is>
          <t>7679458</t>
        </is>
      </c>
      <c r="G60" s="331" t="n">
        <v>45710</v>
      </c>
      <c r="H60" s="301" t="inlineStr">
        <is>
          <t>4950</t>
        </is>
      </c>
      <c r="I60" s="332">
        <f>IFERROR(VLOOKUP(TEXT(H60,"0"),IPRESS!$A$3:$B$212,2,0),"")</f>
        <v/>
      </c>
      <c r="J60" s="301" t="inlineStr">
        <is>
          <t>4838</t>
        </is>
      </c>
      <c r="K60" s="332">
        <f>IFERROR(VLOOKUP(TEXT(O60,"0"),CONDUCTORES!$A$3:$G$100,7,0),"")</f>
        <v/>
      </c>
      <c r="L60" s="245" t="n">
        <v>20.25</v>
      </c>
      <c r="M60" s="245" t="n">
        <v>7</v>
      </c>
      <c r="N60" s="333">
        <f>IFERROR(IF(L60*M60=0,"",L60*M60),"")</f>
        <v/>
      </c>
      <c r="O60" s="280" t="n"/>
      <c r="P60" s="332">
        <f>IFERROR(VLOOKUP(TEXT(O60,"0"),CONDUCTORES!$A$3:$G$100,2,0),"")</f>
        <v/>
      </c>
      <c r="Q60" s="332">
        <f>IFERROR(VLOOKUP(TEXT(O60,"0"),CONDUCTORES!$A$3:$H$100,6,0),"")</f>
        <v/>
      </c>
      <c r="R60" s="334" t="inlineStr">
        <is>
          <t>ENTREGADO 17/06/2025</t>
        </is>
      </c>
      <c r="S60" s="302" t="inlineStr">
        <is>
          <t>S659</t>
        </is>
      </c>
      <c r="T60" s="301" t="n"/>
      <c r="U60" s="331" t="n">
        <v>45715</v>
      </c>
      <c r="V60" s="301" t="n"/>
      <c r="W60" s="301" t="inlineStr">
        <is>
          <t>3479.0</t>
        </is>
      </c>
      <c r="X60" s="301" t="inlineStr">
        <is>
          <t>189.0</t>
        </is>
      </c>
      <c r="Y60" s="280" t="n"/>
    </row>
    <row r="61" ht="15.75" customHeight="1" s="195">
      <c r="A61" s="241" t="n">
        <v>56</v>
      </c>
      <c r="B61" s="305" t="inlineStr">
        <is>
          <t>00000048</t>
        </is>
      </c>
      <c r="C61" s="241" t="inlineStr">
        <is>
          <t>REGION</t>
        </is>
      </c>
      <c r="D61" s="305" t="inlineStr">
        <is>
          <t>MENDOZA ARISTA JOSE ELIAS</t>
        </is>
      </c>
      <c r="E61" s="241" t="inlineStr">
        <is>
          <t>DNI</t>
        </is>
      </c>
      <c r="F61" s="241" t="inlineStr">
        <is>
          <t>33948279</t>
        </is>
      </c>
      <c r="G61" s="336" t="n">
        <v>45712</v>
      </c>
      <c r="H61" s="241" t="inlineStr">
        <is>
          <t>4950</t>
        </is>
      </c>
      <c r="I61" s="332">
        <f>IFERROR(VLOOKUP(TEXT(H61,"0"),IPRESS!$A$3:$B$212,2,0),"")</f>
        <v/>
      </c>
      <c r="J61" s="241" t="inlineStr">
        <is>
          <t>4838</t>
        </is>
      </c>
      <c r="K61" s="332">
        <f>IFERROR(VLOOKUP(TEXT(O61,"0"),CONDUCTORES!$A$3:$G$100,7,0),"")</f>
        <v/>
      </c>
      <c r="L61" s="239" t="n">
        <v>20.25</v>
      </c>
      <c r="M61" s="239" t="n">
        <v>7</v>
      </c>
      <c r="N61" s="333">
        <f>IFERROR(IF(L61*M61=0,"",L61*M61),"")</f>
        <v/>
      </c>
      <c r="O61" s="334" t="n"/>
      <c r="P61" s="332">
        <f>IFERROR(VLOOKUP(TEXT(O61,"0"),CONDUCTORES!$A$3:$G$100,2,0),"")</f>
        <v/>
      </c>
      <c r="Q61" s="332">
        <f>IFERROR(VLOOKUP(TEXT(O61,"0"),CONDUCTORES!$A$3:$H$100,6,0),"")</f>
        <v/>
      </c>
      <c r="R61" s="280" t="inlineStr">
        <is>
          <t>ENTREGADO 17/06/2025</t>
        </is>
      </c>
      <c r="S61" s="305" t="inlineStr">
        <is>
          <t>N189,I10X</t>
        </is>
      </c>
      <c r="T61" s="241" t="n"/>
      <c r="U61" s="336" t="n">
        <v>45730</v>
      </c>
      <c r="V61" s="241" t="n"/>
      <c r="W61" s="241" t="inlineStr">
        <is>
          <t>3479.0</t>
        </is>
      </c>
      <c r="X61" s="241" t="inlineStr">
        <is>
          <t>189.0</t>
        </is>
      </c>
      <c r="Y61" s="280" t="n"/>
    </row>
    <row r="62" ht="15.75" customHeight="1" s="195">
      <c r="A62" s="301" t="n">
        <v>57</v>
      </c>
      <c r="B62" s="302" t="inlineStr">
        <is>
          <t>00000049</t>
        </is>
      </c>
      <c r="C62" s="301" t="inlineStr">
        <is>
          <t>REGION</t>
        </is>
      </c>
      <c r="D62" s="302" t="inlineStr">
        <is>
          <t>VARGAS ARISTA ADRIEL CAMILO</t>
        </is>
      </c>
      <c r="E62" s="301" t="inlineStr">
        <is>
          <t>DNI</t>
        </is>
      </c>
      <c r="F62" s="301" t="inlineStr">
        <is>
          <t>93172259</t>
        </is>
      </c>
      <c r="G62" s="331" t="n">
        <v>45714</v>
      </c>
      <c r="H62" s="301" t="inlineStr">
        <is>
          <t>4950</t>
        </is>
      </c>
      <c r="I62" s="332">
        <f>IFERROR(VLOOKUP(TEXT(H62,"0"),IPRESS!$A$3:$B$212,2,0),"")</f>
        <v/>
      </c>
      <c r="J62" s="301" t="inlineStr">
        <is>
          <t>4838</t>
        </is>
      </c>
      <c r="K62" s="332">
        <f>IFERROR(VLOOKUP(TEXT(O62,"0"),CONDUCTORES!$A$3:$G$100,7,0),"")</f>
        <v/>
      </c>
      <c r="L62" s="245" t="n">
        <v>20.25</v>
      </c>
      <c r="M62" s="245" t="n">
        <v>7</v>
      </c>
      <c r="N62" s="333">
        <f>IFERROR(IF(L62*M62=0,"",L62*M62),"")</f>
        <v/>
      </c>
      <c r="O62" s="280" t="n"/>
      <c r="P62" s="332">
        <f>IFERROR(VLOOKUP(TEXT(O62,"0"),CONDUCTORES!$A$3:$G$100,2,0),"")</f>
        <v/>
      </c>
      <c r="Q62" s="332">
        <f>IFERROR(VLOOKUP(TEXT(O62,"0"),CONDUCTORES!$A$3:$H$100,6,0),"")</f>
        <v/>
      </c>
      <c r="R62" s="334" t="inlineStr">
        <is>
          <t>ENTREGADO 17/06/2025</t>
        </is>
      </c>
      <c r="S62" s="302" t="inlineStr">
        <is>
          <t>A09X</t>
        </is>
      </c>
      <c r="T62" s="301" t="n"/>
      <c r="U62" s="331" t="n">
        <v>45730</v>
      </c>
      <c r="V62" s="301" t="n"/>
      <c r="W62" s="301" t="inlineStr">
        <is>
          <t>3479.0</t>
        </is>
      </c>
      <c r="X62" s="301" t="inlineStr">
        <is>
          <t>189.0</t>
        </is>
      </c>
      <c r="Y62" s="280" t="n"/>
    </row>
    <row r="63" ht="15.75" customHeight="1" s="195">
      <c r="A63" s="241" t="n">
        <v>58</v>
      </c>
      <c r="B63" s="305" t="inlineStr">
        <is>
          <t>00000050</t>
        </is>
      </c>
      <c r="C63" s="241" t="inlineStr">
        <is>
          <t>REGION</t>
        </is>
      </c>
      <c r="D63" s="305" t="inlineStr">
        <is>
          <t>LOPEZ LIDIA VICTORIA</t>
        </is>
      </c>
      <c r="E63" s="241" t="inlineStr">
        <is>
          <t>DNI</t>
        </is>
      </c>
      <c r="F63" s="241" t="inlineStr">
        <is>
          <t>48255595</t>
        </is>
      </c>
      <c r="G63" s="336" t="n">
        <v>45715</v>
      </c>
      <c r="H63" s="241" t="inlineStr">
        <is>
          <t>4950</t>
        </is>
      </c>
      <c r="I63" s="332">
        <f>IFERROR(VLOOKUP(TEXT(H63,"0"),IPRESS!$A$3:$B$212,2,0),"")</f>
        <v/>
      </c>
      <c r="J63" s="241" t="inlineStr">
        <is>
          <t>4838</t>
        </is>
      </c>
      <c r="K63" s="332">
        <f>IFERROR(VLOOKUP(TEXT(O63,"0"),CONDUCTORES!$A$3:$G$100,7,0),"")</f>
        <v/>
      </c>
      <c r="L63" s="239" t="n">
        <v>20.25</v>
      </c>
      <c r="M63" s="239" t="n">
        <v>6</v>
      </c>
      <c r="N63" s="333">
        <f>IFERROR(IF(L63*M63=0,"",L63*M63),"")</f>
        <v/>
      </c>
      <c r="O63" s="334" t="n"/>
      <c r="P63" s="332">
        <f>IFERROR(VLOOKUP(TEXT(O63,"0"),CONDUCTORES!$A$3:$G$100,2,0),"")</f>
        <v/>
      </c>
      <c r="Q63" s="332">
        <f>IFERROR(VLOOKUP(TEXT(O63,"0"),CONDUCTORES!$A$3:$H$100,6,0),"")</f>
        <v/>
      </c>
      <c r="R63" s="280" t="inlineStr">
        <is>
          <t>ENTREGADO 17/06/2025</t>
        </is>
      </c>
      <c r="S63" s="305" t="inlineStr">
        <is>
          <t>I679</t>
        </is>
      </c>
      <c r="T63" s="241" t="n"/>
      <c r="U63" s="336" t="n">
        <v>45730</v>
      </c>
      <c r="V63" s="241" t="n"/>
      <c r="W63" s="241" t="inlineStr">
        <is>
          <t>3479.0</t>
        </is>
      </c>
      <c r="X63" s="241" t="inlineStr">
        <is>
          <t>189.0</t>
        </is>
      </c>
      <c r="Y63" s="280" t="n"/>
    </row>
    <row r="64" ht="15.75" customHeight="1" s="195">
      <c r="A64" s="301" t="n">
        <v>59</v>
      </c>
      <c r="B64" s="302" t="inlineStr">
        <is>
          <t>00000051</t>
        </is>
      </c>
      <c r="C64" s="301" t="inlineStr">
        <is>
          <t>REGION</t>
        </is>
      </c>
      <c r="D64" s="302" t="inlineStr">
        <is>
          <t>SANCHEZ ALTAMIRANO JOSE DILVER</t>
        </is>
      </c>
      <c r="E64" s="301" t="inlineStr">
        <is>
          <t>DNI</t>
        </is>
      </c>
      <c r="F64" s="301" t="inlineStr">
        <is>
          <t>73254472</t>
        </is>
      </c>
      <c r="G64" s="331" t="n">
        <v>45716</v>
      </c>
      <c r="H64" s="301" t="inlineStr">
        <is>
          <t>4950</t>
        </is>
      </c>
      <c r="I64" s="332">
        <f>IFERROR(VLOOKUP(TEXT(H64,"0"),IPRESS!$A$3:$B$212,2,0),"")</f>
        <v/>
      </c>
      <c r="J64" s="301" t="inlineStr">
        <is>
          <t>4838</t>
        </is>
      </c>
      <c r="K64" s="332">
        <f>IFERROR(VLOOKUP(TEXT(O64,"0"),CONDUCTORES!$A$3:$G$100,7,0),"")</f>
        <v/>
      </c>
      <c r="L64" s="245" t="n">
        <v>20.25</v>
      </c>
      <c r="M64" s="245" t="n">
        <v>7</v>
      </c>
      <c r="N64" s="333">
        <f>IFERROR(IF(L64*M64=0,"",L64*M64),"")</f>
        <v/>
      </c>
      <c r="O64" s="280" t="n"/>
      <c r="P64" s="332">
        <f>IFERROR(VLOOKUP(TEXT(O64,"0"),CONDUCTORES!$A$3:$G$100,2,0),"")</f>
        <v/>
      </c>
      <c r="Q64" s="332">
        <f>IFERROR(VLOOKUP(TEXT(O64,"0"),CONDUCTORES!$A$3:$H$100,6,0),"")</f>
        <v/>
      </c>
      <c r="R64" s="334" t="inlineStr">
        <is>
          <t>ENTREGADO 17/06/2025</t>
        </is>
      </c>
      <c r="S64" s="302" t="inlineStr">
        <is>
          <t>A970</t>
        </is>
      </c>
      <c r="T64" s="301" t="n"/>
      <c r="U64" s="331" t="n">
        <v>45737</v>
      </c>
      <c r="V64" s="301" t="n"/>
      <c r="W64" s="301" t="inlineStr">
        <is>
          <t>3479.0</t>
        </is>
      </c>
      <c r="X64" s="301" t="inlineStr">
        <is>
          <t>189.0</t>
        </is>
      </c>
      <c r="Y64" s="280" t="n"/>
    </row>
    <row r="65" ht="15.75" customHeight="1" s="195">
      <c r="A65" s="241" t="n">
        <v>60</v>
      </c>
      <c r="B65" s="305" t="inlineStr">
        <is>
          <t>00000055</t>
        </is>
      </c>
      <c r="C65" s="241" t="inlineStr">
        <is>
          <t>REGION</t>
        </is>
      </c>
      <c r="D65" s="305" t="inlineStr">
        <is>
          <t>TIRADO VASQUEZ SANTOS YANET</t>
        </is>
      </c>
      <c r="E65" s="241" t="inlineStr">
        <is>
          <t>DNI</t>
        </is>
      </c>
      <c r="F65" s="241" t="inlineStr">
        <is>
          <t>46838177</t>
        </is>
      </c>
      <c r="G65" s="336" t="n">
        <v>45716</v>
      </c>
      <c r="H65" s="241" t="inlineStr">
        <is>
          <t>4950</t>
        </is>
      </c>
      <c r="I65" s="332">
        <f>IFERROR(VLOOKUP(TEXT(H65,"0"),IPRESS!$A$3:$B$212,2,0),"")</f>
        <v/>
      </c>
      <c r="J65" s="241" t="inlineStr">
        <is>
          <t>4838</t>
        </is>
      </c>
      <c r="K65" s="332">
        <f>IFERROR(VLOOKUP(TEXT(O65,"0"),CONDUCTORES!$A$3:$G$100,7,0),"")</f>
        <v/>
      </c>
      <c r="L65" s="239" t="n">
        <v>20.25</v>
      </c>
      <c r="M65" s="239" t="n">
        <v>7</v>
      </c>
      <c r="N65" s="333">
        <f>IFERROR(IF(L65*M65=0,"",L65*M65),"")</f>
        <v/>
      </c>
      <c r="O65" s="334" t="n"/>
      <c r="P65" s="332">
        <f>IFERROR(VLOOKUP(TEXT(O65,"0"),CONDUCTORES!$A$3:$G$100,2,0),"")</f>
        <v/>
      </c>
      <c r="Q65" s="332">
        <f>IFERROR(VLOOKUP(TEXT(O65,"0"),CONDUCTORES!$A$3:$H$100,6,0),"")</f>
        <v/>
      </c>
      <c r="R65" s="280" t="inlineStr">
        <is>
          <t>ENTREGADO 17/06/2025</t>
        </is>
      </c>
      <c r="S65" s="305" t="inlineStr">
        <is>
          <t>Z348,O479,O639,O69X</t>
        </is>
      </c>
      <c r="T65" s="241" t="n"/>
      <c r="U65" s="336" t="n">
        <v>45744</v>
      </c>
      <c r="V65" s="241" t="n"/>
      <c r="W65" s="241" t="inlineStr">
        <is>
          <t>3479.0</t>
        </is>
      </c>
      <c r="X65" s="241" t="inlineStr">
        <is>
          <t>189.0</t>
        </is>
      </c>
      <c r="Y65" s="280" t="n"/>
    </row>
    <row r="66" ht="15.75" customHeight="1" s="195">
      <c r="A66" s="337" t="n">
        <v>61</v>
      </c>
      <c r="B66" s="338" t="inlineStr">
        <is>
          <t>00000016</t>
        </is>
      </c>
      <c r="C66" s="337" t="inlineStr">
        <is>
          <t>REGION</t>
        </is>
      </c>
      <c r="D66" s="338" t="inlineStr">
        <is>
          <t>HUAMAN ROJAS REYMON PABLO</t>
        </is>
      </c>
      <c r="E66" s="337" t="inlineStr">
        <is>
          <t>DNI</t>
        </is>
      </c>
      <c r="F66" s="337" t="inlineStr">
        <is>
          <t>60253183</t>
        </is>
      </c>
      <c r="G66" s="339" t="n">
        <v>45715</v>
      </c>
      <c r="H66" s="337" t="inlineStr">
        <is>
          <t>4869</t>
        </is>
      </c>
      <c r="I66" s="332">
        <f>IFERROR(VLOOKUP(TEXT(H66,"0"),IPRESS!$A$3:$B$212,2,0),"")</f>
        <v/>
      </c>
      <c r="J66" s="337" t="inlineStr">
        <is>
          <t>4838</t>
        </is>
      </c>
      <c r="K66" s="332">
        <f>IFERROR(VLOOKUP(TEXT(O66,"0"),CONDUCTORES!$A$3:$G$100,7,0),"")</f>
        <v/>
      </c>
      <c r="L66" s="340" t="n">
        <v>17.95</v>
      </c>
      <c r="M66" s="340" t="n">
        <v>8</v>
      </c>
      <c r="N66" s="333">
        <f>IFERROR(IF(L66*M66=0,"",L66*M66),"")</f>
        <v/>
      </c>
      <c r="O66" s="280" t="n"/>
      <c r="P66" s="332">
        <f>IFERROR(VLOOKUP(TEXT(O66,"0"),CONDUCTORES!$A$3:$G$100,2,0),"")</f>
        <v/>
      </c>
      <c r="Q66" s="332">
        <f>IFERROR(VLOOKUP(TEXT(O66,"0"),CONDUCTORES!$A$3:$H$100,6,0),"")</f>
        <v/>
      </c>
      <c r="R66" s="339" t="n">
        <v>45790</v>
      </c>
      <c r="S66" s="338" t="inlineStr">
        <is>
          <t>S681</t>
        </is>
      </c>
      <c r="T66" s="337" t="n"/>
      <c r="U66" s="339" t="n">
        <v>45744</v>
      </c>
      <c r="V66" s="337" t="inlineStr">
        <is>
          <t>OFICIO 1940-2025</t>
        </is>
      </c>
      <c r="W66" s="337" t="inlineStr">
        <is>
          <t>0000108- ADENDA N°001-2025 DRSA/OEA-O.ABAST</t>
        </is>
      </c>
      <c r="X66" s="337" t="inlineStr">
        <is>
          <t>257.0</t>
        </is>
      </c>
      <c r="Y66" s="280" t="n"/>
    </row>
    <row r="67" ht="15.75" customHeight="1" s="195">
      <c r="A67" s="241" t="n">
        <v>62</v>
      </c>
      <c r="B67" s="305" t="inlineStr">
        <is>
          <t>00000005</t>
        </is>
      </c>
      <c r="C67" s="241" t="inlineStr">
        <is>
          <t>REGION</t>
        </is>
      </c>
      <c r="D67" s="305" t="inlineStr">
        <is>
          <t>BENAL HUAMAN ANABEL</t>
        </is>
      </c>
      <c r="E67" s="241" t="inlineStr">
        <is>
          <t>DNI</t>
        </is>
      </c>
      <c r="F67" s="241" t="inlineStr">
        <is>
          <t>62112396</t>
        </is>
      </c>
      <c r="G67" s="336" t="n">
        <v>45690</v>
      </c>
      <c r="H67" s="241" t="inlineStr">
        <is>
          <t>4876</t>
        </is>
      </c>
      <c r="I67" s="332">
        <f>IFERROR(VLOOKUP(TEXT(H67,"0"),IPRESS!$A$3:$B$212,2,0),"")</f>
        <v/>
      </c>
      <c r="J67" s="241" t="inlineStr">
        <is>
          <t>4838</t>
        </is>
      </c>
      <c r="K67" s="332">
        <f>IFERROR(VLOOKUP(TEXT(O67,"0"),CONDUCTORES!$A$3:$G$100,7,0),"")</f>
        <v/>
      </c>
      <c r="L67" s="239" t="n">
        <v>18.18</v>
      </c>
      <c r="M67" s="239" t="n">
        <v>20</v>
      </c>
      <c r="N67" s="333">
        <f>IFERROR(IF(L67*M67=0,"",L67*M67),"")</f>
        <v/>
      </c>
      <c r="O67" s="334" t="n"/>
      <c r="P67" s="332">
        <f>IFERROR(VLOOKUP(TEXT(O67,"0"),CONDUCTORES!$A$3:$G$100,2,0),"")</f>
        <v/>
      </c>
      <c r="Q67" s="332">
        <f>IFERROR(VLOOKUP(TEXT(O67,"0"),CONDUCTORES!$A$3:$H$100,6,0),"")</f>
        <v/>
      </c>
      <c r="R67" s="336" t="n">
        <v>45825</v>
      </c>
      <c r="S67" s="305" t="inlineStr">
        <is>
          <t>O339</t>
        </is>
      </c>
      <c r="T67" s="241" t="n"/>
      <c r="U67" s="336" t="n">
        <v>45721</v>
      </c>
      <c r="V67" s="241" t="n"/>
      <c r="W67" s="241" t="n"/>
      <c r="X67" s="241" t="n"/>
      <c r="Y67" s="280" t="n"/>
    </row>
    <row r="68" ht="15.75" customHeight="1" s="195">
      <c r="A68" s="301" t="n">
        <v>63</v>
      </c>
      <c r="B68" s="302" t="inlineStr">
        <is>
          <t>00000008</t>
        </is>
      </c>
      <c r="C68" s="301" t="inlineStr">
        <is>
          <t>REGION</t>
        </is>
      </c>
      <c r="D68" s="302" t="inlineStr">
        <is>
          <t>TISNADO CHALAS FLORECITA</t>
        </is>
      </c>
      <c r="E68" s="301" t="inlineStr">
        <is>
          <t>DNI</t>
        </is>
      </c>
      <c r="F68" s="301" t="inlineStr">
        <is>
          <t>43035322</t>
        </is>
      </c>
      <c r="G68" s="331" t="n">
        <v>45704</v>
      </c>
      <c r="H68" s="301" t="inlineStr">
        <is>
          <t>4876</t>
        </is>
      </c>
      <c r="I68" s="332">
        <f>IFERROR(VLOOKUP(TEXT(H68,"0"),IPRESS!$A$3:$B$212,2,0),"")</f>
        <v/>
      </c>
      <c r="J68" s="301" t="inlineStr">
        <is>
          <t>4838</t>
        </is>
      </c>
      <c r="K68" s="332">
        <f>IFERROR(VLOOKUP(TEXT(O68,"0"),CONDUCTORES!$A$3:$G$100,7,0),"")</f>
        <v/>
      </c>
      <c r="L68" s="245" t="n">
        <v>18.18</v>
      </c>
      <c r="M68" s="245" t="n">
        <v>20</v>
      </c>
      <c r="N68" s="333">
        <f>IFERROR(IF(L68*M68=0,"",L68*M68),"")</f>
        <v/>
      </c>
      <c r="O68" s="280" t="n"/>
      <c r="P68" s="332">
        <f>IFERROR(VLOOKUP(TEXT(O68,"0"),CONDUCTORES!$A$3:$G$100,2,0),"")</f>
        <v/>
      </c>
      <c r="Q68" s="332">
        <f>IFERROR(VLOOKUP(TEXT(O68,"0"),CONDUCTORES!$A$3:$H$100,6,0),"")</f>
        <v/>
      </c>
      <c r="R68" s="331" t="n">
        <v>45825</v>
      </c>
      <c r="S68" s="302" t="inlineStr">
        <is>
          <t>O034</t>
        </is>
      </c>
      <c r="T68" s="301" t="n"/>
      <c r="U68" s="331" t="n">
        <v>45737</v>
      </c>
      <c r="V68" s="301" t="n"/>
      <c r="W68" s="301" t="n"/>
      <c r="X68" s="301" t="n"/>
      <c r="Y68" s="280" t="n"/>
    </row>
    <row r="69" ht="15.75" customHeight="1" s="195">
      <c r="A69" s="241" t="n">
        <v>64</v>
      </c>
      <c r="B69" s="305" t="inlineStr">
        <is>
          <t>0000019</t>
        </is>
      </c>
      <c r="C69" s="241" t="inlineStr">
        <is>
          <t>REGION</t>
        </is>
      </c>
      <c r="D69" s="305" t="inlineStr">
        <is>
          <t xml:space="preserve">ARBILDO TEJADA ALQUIMEDES </t>
        </is>
      </c>
      <c r="E69" s="241" t="inlineStr">
        <is>
          <t>DNI</t>
        </is>
      </c>
      <c r="F69" s="241" t="inlineStr">
        <is>
          <t>7679458</t>
        </is>
      </c>
      <c r="G69" s="336" t="n">
        <v>45710</v>
      </c>
      <c r="H69" s="241" t="inlineStr">
        <is>
          <t>4946</t>
        </is>
      </c>
      <c r="I69" s="332">
        <f>IFERROR(VLOOKUP(TEXT(H69,"0"),IPRESS!$A$3:$B$212,2,0),"")</f>
        <v/>
      </c>
      <c r="J69" s="241" t="inlineStr">
        <is>
          <t>4950</t>
        </is>
      </c>
      <c r="K69" s="332">
        <f>IFERROR(VLOOKUP(TEXT(O69,"0"),CONDUCTORES!$A$3:$G$100,7,0),"")</f>
        <v/>
      </c>
      <c r="L69" s="239" t="n">
        <v>20.25</v>
      </c>
      <c r="M69" s="239" t="n">
        <v>3</v>
      </c>
      <c r="N69" s="333">
        <f>IFERROR(IF(L69*M69=0,"",L69*M69),"")</f>
        <v/>
      </c>
      <c r="O69" s="334" t="n"/>
      <c r="P69" s="332">
        <f>IFERROR(VLOOKUP(TEXT(O69,"0"),CONDUCTORES!$A$3:$G$100,2,0),"")</f>
        <v/>
      </c>
      <c r="Q69" s="332">
        <f>IFERROR(VLOOKUP(TEXT(O69,"0"),CONDUCTORES!$A$3:$H$100,6,0),"")</f>
        <v/>
      </c>
      <c r="R69" s="336" t="n">
        <v>45839</v>
      </c>
      <c r="S69" s="305" t="inlineStr">
        <is>
          <t>S619,S659</t>
        </is>
      </c>
      <c r="T69" s="241" t="n"/>
      <c r="U69" s="336" t="n">
        <v>45749</v>
      </c>
      <c r="V69" s="241" t="n"/>
      <c r="W69" s="241" t="n"/>
      <c r="X69" s="241" t="n"/>
      <c r="Y69" s="280" t="n"/>
    </row>
    <row r="70" ht="15.75" customHeight="1" s="195">
      <c r="A70" s="337" t="n">
        <v>65</v>
      </c>
      <c r="B70" s="338" t="inlineStr">
        <is>
          <t>00000011</t>
        </is>
      </c>
      <c r="C70" s="337" t="inlineStr">
        <is>
          <t>REGION</t>
        </is>
      </c>
      <c r="D70" s="338" t="inlineStr">
        <is>
          <t>GARCIA HUAMAN ELGA ROXANA</t>
        </is>
      </c>
      <c r="E70" s="337" t="inlineStr">
        <is>
          <t>DNI</t>
        </is>
      </c>
      <c r="F70" s="337" t="inlineStr">
        <is>
          <t>48010991</t>
        </is>
      </c>
      <c r="G70" s="339" t="n">
        <v>45695</v>
      </c>
      <c r="H70" s="337" t="inlineStr">
        <is>
          <t>4922</t>
        </is>
      </c>
      <c r="I70" s="332">
        <f>IFERROR(VLOOKUP(TEXT(H70,"0"),IPRESS!$A$3:$B$212,2,0),"")</f>
        <v/>
      </c>
      <c r="J70" s="337" t="inlineStr">
        <is>
          <t>4838</t>
        </is>
      </c>
      <c r="K70" s="332">
        <f>IFERROR(VLOOKUP(TEXT(O70,"0"),CONDUCTORES!$A$3:$G$100,7,0),"")</f>
        <v/>
      </c>
      <c r="L70" s="340" t="n">
        <v>17.95</v>
      </c>
      <c r="M70" s="340" t="n">
        <v>6</v>
      </c>
      <c r="N70" s="333">
        <f>IFERROR(IF(L70*M70=0,"",L70*M70),"")</f>
        <v/>
      </c>
      <c r="O70" s="280" t="n"/>
      <c r="P70" s="332">
        <f>IFERROR(VLOOKUP(TEXT(O70,"0"),CONDUCTORES!$A$3:$G$100,2,0),"")</f>
        <v/>
      </c>
      <c r="Q70" s="332">
        <f>IFERROR(VLOOKUP(TEXT(O70,"0"),CONDUCTORES!$A$3:$H$100,6,0),"")</f>
        <v/>
      </c>
      <c r="R70" s="341" t="inlineStr">
        <is>
          <t>ATENDIDO 11/04/2025</t>
        </is>
      </c>
      <c r="S70" s="338" t="inlineStr">
        <is>
          <t>O13X,O429</t>
        </is>
      </c>
      <c r="T70" s="337" t="n"/>
      <c r="U70" s="339" t="n">
        <v>45721</v>
      </c>
      <c r="V70" s="337" t="inlineStr">
        <is>
          <t>1461-2025</t>
        </is>
      </c>
      <c r="W70" s="337" t="inlineStr">
        <is>
          <t>915-AÑO 2022</t>
        </is>
      </c>
      <c r="X70" s="337" t="inlineStr">
        <is>
          <t>102.0</t>
        </is>
      </c>
      <c r="Y70" s="280" t="n"/>
    </row>
    <row r="71" ht="15.75" customHeight="1" s="195">
      <c r="A71" s="337" t="n">
        <v>66</v>
      </c>
      <c r="B71" s="338" t="inlineStr">
        <is>
          <t>00000013</t>
        </is>
      </c>
      <c r="C71" s="337" t="inlineStr">
        <is>
          <t>REGION</t>
        </is>
      </c>
      <c r="D71" s="338" t="inlineStr">
        <is>
          <t>CARRANZA CERCADO ELISA</t>
        </is>
      </c>
      <c r="E71" s="337" t="inlineStr">
        <is>
          <t>DNI</t>
        </is>
      </c>
      <c r="F71" s="337" t="inlineStr">
        <is>
          <t>60361453</t>
        </is>
      </c>
      <c r="G71" s="339" t="n">
        <v>45698</v>
      </c>
      <c r="H71" s="337" t="inlineStr">
        <is>
          <t>4922</t>
        </is>
      </c>
      <c r="I71" s="332">
        <f>IFERROR(VLOOKUP(TEXT(H71,"0"),IPRESS!$A$3:$B$212,2,0),"")</f>
        <v/>
      </c>
      <c r="J71" s="337" t="inlineStr">
        <is>
          <t>4838</t>
        </is>
      </c>
      <c r="K71" s="332">
        <f>IFERROR(VLOOKUP(TEXT(O71,"0"),CONDUCTORES!$A$3:$G$100,7,0),"")</f>
        <v/>
      </c>
      <c r="L71" s="340" t="n">
        <v>17.95</v>
      </c>
      <c r="M71" s="340" t="n">
        <v>6</v>
      </c>
      <c r="N71" s="333">
        <f>IFERROR(IF(L71*M71=0,"",L71*M71),"")</f>
        <v/>
      </c>
      <c r="O71" s="334" t="n"/>
      <c r="P71" s="332">
        <f>IFERROR(VLOOKUP(TEXT(O71,"0"),CONDUCTORES!$A$3:$G$100,2,0),"")</f>
        <v/>
      </c>
      <c r="Q71" s="332">
        <f>IFERROR(VLOOKUP(TEXT(O71,"0"),CONDUCTORES!$A$3:$H$100,6,0),"")</f>
        <v/>
      </c>
      <c r="R71" s="341" t="inlineStr">
        <is>
          <t>ATENDIDO 11/04/2025</t>
        </is>
      </c>
      <c r="S71" s="338" t="inlineStr">
        <is>
          <t>Z359</t>
        </is>
      </c>
      <c r="T71" s="337" t="n"/>
      <c r="U71" s="339" t="n">
        <v>45737</v>
      </c>
      <c r="V71" s="337" t="inlineStr">
        <is>
          <t>1461-2025</t>
        </is>
      </c>
      <c r="W71" s="337" t="inlineStr">
        <is>
          <t>915-AÑO 2022</t>
        </is>
      </c>
      <c r="X71" s="337" t="inlineStr">
        <is>
          <t>102.0</t>
        </is>
      </c>
      <c r="Y71" s="280" t="n"/>
    </row>
    <row r="72" ht="15.75" customHeight="1" s="195">
      <c r="A72" s="337" t="n">
        <v>67</v>
      </c>
      <c r="B72" s="338" t="inlineStr">
        <is>
          <t>00000010</t>
        </is>
      </c>
      <c r="C72" s="337" t="inlineStr">
        <is>
          <t>REGION</t>
        </is>
      </c>
      <c r="D72" s="338" t="inlineStr">
        <is>
          <t>GUTIERREZ BUELOT MARINA</t>
        </is>
      </c>
      <c r="E72" s="337" t="inlineStr">
        <is>
          <t>DNI</t>
        </is>
      </c>
      <c r="F72" s="337" t="inlineStr">
        <is>
          <t>47525669</t>
        </is>
      </c>
      <c r="G72" s="339" t="n">
        <v>45693</v>
      </c>
      <c r="H72" s="337" t="inlineStr">
        <is>
          <t>4922</t>
        </is>
      </c>
      <c r="I72" s="332">
        <f>IFERROR(VLOOKUP(TEXT(H72,"0"),IPRESS!$A$3:$B$212,2,0),"")</f>
        <v/>
      </c>
      <c r="J72" s="337" t="inlineStr">
        <is>
          <t>4838</t>
        </is>
      </c>
      <c r="K72" s="332">
        <f>IFERROR(VLOOKUP(TEXT(O72,"0"),CONDUCTORES!$A$3:$G$100,7,0),"")</f>
        <v/>
      </c>
      <c r="L72" s="340" t="n">
        <v>17.95</v>
      </c>
      <c r="M72" s="340" t="n">
        <v>6</v>
      </c>
      <c r="N72" s="333">
        <f>IFERROR(IF(L72*M72=0,"",L72*M72),"")</f>
        <v/>
      </c>
      <c r="O72" s="280" t="n"/>
      <c r="P72" s="332">
        <f>IFERROR(VLOOKUP(TEXT(O72,"0"),CONDUCTORES!$A$3:$G$100,2,0),"")</f>
        <v/>
      </c>
      <c r="Q72" s="332">
        <f>IFERROR(VLOOKUP(TEXT(O72,"0"),CONDUCTORES!$A$3:$H$100,6,0),"")</f>
        <v/>
      </c>
      <c r="R72" s="341" t="inlineStr">
        <is>
          <t>ATENDIDO 11/04/2025</t>
        </is>
      </c>
      <c r="S72" s="338" t="inlineStr">
        <is>
          <t>O759</t>
        </is>
      </c>
      <c r="T72" s="337" t="n"/>
      <c r="U72" s="339" t="n">
        <v>45737</v>
      </c>
      <c r="V72" s="337" t="inlineStr">
        <is>
          <t>1461-2025</t>
        </is>
      </c>
      <c r="W72" s="337" t="inlineStr">
        <is>
          <t>915-AÑO 2022</t>
        </is>
      </c>
      <c r="X72" s="337" t="inlineStr">
        <is>
          <t>102.0</t>
        </is>
      </c>
      <c r="Y72" s="280" t="n"/>
    </row>
    <row r="73" ht="15.75" customHeight="1" s="195">
      <c r="A73" s="337" t="n">
        <v>68</v>
      </c>
      <c r="B73" s="338" t="inlineStr">
        <is>
          <t>00000015</t>
        </is>
      </c>
      <c r="C73" s="337" t="inlineStr">
        <is>
          <t>REGION</t>
        </is>
      </c>
      <c r="D73" s="338" t="inlineStr">
        <is>
          <t>LOPEZ MESTANZA ELITA ESTHER</t>
        </is>
      </c>
      <c r="E73" s="337" t="inlineStr">
        <is>
          <t>DNI</t>
        </is>
      </c>
      <c r="F73" s="337" t="inlineStr">
        <is>
          <t>62135790</t>
        </is>
      </c>
      <c r="G73" s="339" t="n">
        <v>45703</v>
      </c>
      <c r="H73" s="337" t="inlineStr">
        <is>
          <t>4922</t>
        </is>
      </c>
      <c r="I73" s="332">
        <f>IFERROR(VLOOKUP(TEXT(H73,"0"),IPRESS!$A$3:$B$212,2,0),"")</f>
        <v/>
      </c>
      <c r="J73" s="337" t="inlineStr">
        <is>
          <t>4838</t>
        </is>
      </c>
      <c r="K73" s="332">
        <f>IFERROR(VLOOKUP(TEXT(O73,"0"),CONDUCTORES!$A$3:$G$100,7,0),"")</f>
        <v/>
      </c>
      <c r="L73" s="340" t="n">
        <v>17.95</v>
      </c>
      <c r="M73" s="340" t="n">
        <v>6</v>
      </c>
      <c r="N73" s="333">
        <f>IFERROR(IF(L73*M73=0,"",L73*M73),"")</f>
        <v/>
      </c>
      <c r="O73" s="334" t="n"/>
      <c r="P73" s="332">
        <f>IFERROR(VLOOKUP(TEXT(O73,"0"),CONDUCTORES!$A$3:$G$100,2,0),"")</f>
        <v/>
      </c>
      <c r="Q73" s="332">
        <f>IFERROR(VLOOKUP(TEXT(O73,"0"),CONDUCTORES!$A$3:$H$100,6,0),"")</f>
        <v/>
      </c>
      <c r="R73" s="341" t="inlineStr">
        <is>
          <t>ATENDIDO 11/04/2025</t>
        </is>
      </c>
      <c r="S73" s="338" t="inlineStr">
        <is>
          <t>R104,K37X,R51X</t>
        </is>
      </c>
      <c r="T73" s="337" t="n"/>
      <c r="U73" s="339" t="n">
        <v>45714</v>
      </c>
      <c r="V73" s="337" t="inlineStr">
        <is>
          <t>1461-2025</t>
        </is>
      </c>
      <c r="W73" s="337" t="inlineStr">
        <is>
          <t>915-AÑO 2022</t>
        </is>
      </c>
      <c r="X73" s="337" t="inlineStr">
        <is>
          <t>102.0</t>
        </is>
      </c>
      <c r="Y73" s="280" t="n"/>
    </row>
    <row r="74" ht="15.75" customHeight="1" s="195">
      <c r="A74" s="337" t="n">
        <v>69</v>
      </c>
      <c r="B74" s="338" t="inlineStr">
        <is>
          <t>00000016</t>
        </is>
      </c>
      <c r="C74" s="337" t="inlineStr">
        <is>
          <t>REGION</t>
        </is>
      </c>
      <c r="D74" s="338" t="inlineStr">
        <is>
          <t>MALUQUIZ CARRANZA ANI</t>
        </is>
      </c>
      <c r="E74" s="337" t="inlineStr">
        <is>
          <t>DNI</t>
        </is>
      </c>
      <c r="F74" s="337" t="inlineStr">
        <is>
          <t>78803200</t>
        </is>
      </c>
      <c r="G74" s="339" t="n">
        <v>45704</v>
      </c>
      <c r="H74" s="337" t="inlineStr">
        <is>
          <t>4922</t>
        </is>
      </c>
      <c r="I74" s="332">
        <f>IFERROR(VLOOKUP(TEXT(H74,"0"),IPRESS!$A$3:$B$212,2,0),"")</f>
        <v/>
      </c>
      <c r="J74" s="337" t="inlineStr">
        <is>
          <t>4838</t>
        </is>
      </c>
      <c r="K74" s="332">
        <f>IFERROR(VLOOKUP(TEXT(O74,"0"),CONDUCTORES!$A$3:$G$100,7,0),"")</f>
        <v/>
      </c>
      <c r="L74" s="340" t="n">
        <v>17.95</v>
      </c>
      <c r="M74" s="340" t="n">
        <v>6</v>
      </c>
      <c r="N74" s="333">
        <f>IFERROR(IF(L74*M74=0,"",L74*M74),"")</f>
        <v/>
      </c>
      <c r="O74" s="280" t="n"/>
      <c r="P74" s="332">
        <f>IFERROR(VLOOKUP(TEXT(O74,"0"),CONDUCTORES!$A$3:$G$100,2,0),"")</f>
        <v/>
      </c>
      <c r="Q74" s="332">
        <f>IFERROR(VLOOKUP(TEXT(O74,"0"),CONDUCTORES!$A$3:$H$100,6,0),"")</f>
        <v/>
      </c>
      <c r="R74" s="341" t="inlineStr">
        <is>
          <t>ATENDIDO 11/04/2025</t>
        </is>
      </c>
      <c r="S74" s="338" t="inlineStr">
        <is>
          <t>Z359,O339,O149,O234</t>
        </is>
      </c>
      <c r="T74" s="337" t="n"/>
      <c r="U74" s="339" t="n">
        <v>45707</v>
      </c>
      <c r="V74" s="337" t="inlineStr">
        <is>
          <t>1461-2025</t>
        </is>
      </c>
      <c r="W74" s="337" t="inlineStr">
        <is>
          <t>915-AÑO 2022</t>
        </is>
      </c>
      <c r="X74" s="337" t="inlineStr">
        <is>
          <t>102.0</t>
        </is>
      </c>
      <c r="Y74" s="280" t="n"/>
    </row>
    <row r="75" ht="15.75" customHeight="1" s="195">
      <c r="A75" s="337" t="n">
        <v>70</v>
      </c>
      <c r="B75" s="338" t="inlineStr">
        <is>
          <t>00000017</t>
        </is>
      </c>
      <c r="C75" s="337" t="inlineStr">
        <is>
          <t>REGION</t>
        </is>
      </c>
      <c r="D75" s="338" t="inlineStr">
        <is>
          <t>DAVILA MALUQUIZ ALISSON AYTANA KALESSI</t>
        </is>
      </c>
      <c r="E75" s="337" t="inlineStr">
        <is>
          <t>DNI</t>
        </is>
      </c>
      <c r="F75" s="337" t="inlineStr">
        <is>
          <t>94144933</t>
        </is>
      </c>
      <c r="G75" s="339" t="n">
        <v>45708</v>
      </c>
      <c r="H75" s="337" t="inlineStr">
        <is>
          <t>4922</t>
        </is>
      </c>
      <c r="I75" s="332">
        <f>IFERROR(VLOOKUP(TEXT(H75,"0"),IPRESS!$A$3:$B$212,2,0),"")</f>
        <v/>
      </c>
      <c r="J75" s="337" t="inlineStr">
        <is>
          <t>4838</t>
        </is>
      </c>
      <c r="K75" s="332">
        <f>IFERROR(VLOOKUP(TEXT(O75,"0"),CONDUCTORES!$A$3:$G$100,7,0),"")</f>
        <v/>
      </c>
      <c r="L75" s="340" t="n">
        <v>17.95</v>
      </c>
      <c r="M75" s="340" t="n">
        <v>6</v>
      </c>
      <c r="N75" s="333">
        <f>IFERROR(IF(L75*M75=0,"",L75*M75),"")</f>
        <v/>
      </c>
      <c r="O75" s="334" t="n"/>
      <c r="P75" s="332">
        <f>IFERROR(VLOOKUP(TEXT(O75,"0"),CONDUCTORES!$A$3:$G$100,2,0),"")</f>
        <v/>
      </c>
      <c r="Q75" s="332">
        <f>IFERROR(VLOOKUP(TEXT(O75,"0"),CONDUCTORES!$A$3:$H$100,6,0),"")</f>
        <v/>
      </c>
      <c r="R75" s="341" t="inlineStr">
        <is>
          <t>ATENDIDO 11/04/2025</t>
        </is>
      </c>
      <c r="S75" s="338" t="inlineStr">
        <is>
          <t>P704</t>
        </is>
      </c>
      <c r="T75" s="337" t="n"/>
      <c r="U75" s="339" t="n">
        <v>45730</v>
      </c>
      <c r="V75" s="337" t="inlineStr">
        <is>
          <t>1461-2025</t>
        </is>
      </c>
      <c r="W75" s="337" t="inlineStr">
        <is>
          <t>915-AÑO 2022</t>
        </is>
      </c>
      <c r="X75" s="337" t="inlineStr">
        <is>
          <t>102.0</t>
        </is>
      </c>
      <c r="Y75" s="280" t="n"/>
    </row>
    <row r="76" ht="15.75" customHeight="1" s="195">
      <c r="A76" s="337" t="n">
        <v>71</v>
      </c>
      <c r="B76" s="338" t="inlineStr">
        <is>
          <t>00000019</t>
        </is>
      </c>
      <c r="C76" s="337" t="inlineStr">
        <is>
          <t>REGION</t>
        </is>
      </c>
      <c r="D76" s="338" t="inlineStr">
        <is>
          <t>TRIGOSO TUESTA SUSANA</t>
        </is>
      </c>
      <c r="E76" s="337" t="inlineStr">
        <is>
          <t>DNI</t>
        </is>
      </c>
      <c r="F76" s="337" t="inlineStr">
        <is>
          <t>41103560</t>
        </is>
      </c>
      <c r="G76" s="339" t="n">
        <v>45712</v>
      </c>
      <c r="H76" s="337" t="inlineStr">
        <is>
          <t>4922</t>
        </is>
      </c>
      <c r="I76" s="332">
        <f>IFERROR(VLOOKUP(TEXT(H76,"0"),IPRESS!$A$3:$B$212,2,0),"")</f>
        <v/>
      </c>
      <c r="J76" s="337" t="inlineStr">
        <is>
          <t>4838</t>
        </is>
      </c>
      <c r="K76" s="332">
        <f>IFERROR(VLOOKUP(TEXT(O76,"0"),CONDUCTORES!$A$3:$G$100,7,0),"")</f>
        <v/>
      </c>
      <c r="L76" s="340" t="n">
        <v>17.95</v>
      </c>
      <c r="M76" s="340" t="n">
        <v>6</v>
      </c>
      <c r="N76" s="333">
        <f>IFERROR(IF(L76*M76=0,"",L76*M76),"")</f>
        <v/>
      </c>
      <c r="O76" s="280" t="n"/>
      <c r="P76" s="332">
        <f>IFERROR(VLOOKUP(TEXT(O76,"0"),CONDUCTORES!$A$3:$G$100,2,0),"")</f>
        <v/>
      </c>
      <c r="Q76" s="332">
        <f>IFERROR(VLOOKUP(TEXT(O76,"0"),CONDUCTORES!$A$3:$H$100,6,0),"")</f>
        <v/>
      </c>
      <c r="R76" s="341" t="inlineStr">
        <is>
          <t>ATENDIDO 11/04/2025</t>
        </is>
      </c>
      <c r="S76" s="338" t="inlineStr">
        <is>
          <t>I48X,J960,E119</t>
        </is>
      </c>
      <c r="T76" s="337" t="n"/>
      <c r="U76" s="339" t="n">
        <v>45730</v>
      </c>
      <c r="V76" s="337" t="inlineStr">
        <is>
          <t>1461-2025</t>
        </is>
      </c>
      <c r="W76" s="337" t="inlineStr">
        <is>
          <t>915-AÑO 2022</t>
        </is>
      </c>
      <c r="X76" s="337" t="inlineStr">
        <is>
          <t>102.0</t>
        </is>
      </c>
      <c r="Y76" s="280" t="n"/>
    </row>
    <row r="77" ht="15.75" customHeight="1" s="195">
      <c r="A77" s="241" t="n">
        <v>72</v>
      </c>
      <c r="B77" s="305" t="inlineStr">
        <is>
          <t>00000012</t>
        </is>
      </c>
      <c r="C77" s="241" t="inlineStr">
        <is>
          <t>REGION</t>
        </is>
      </c>
      <c r="D77" s="305" t="inlineStr">
        <is>
          <t>COMECA SANCHEZ DANIEL</t>
        </is>
      </c>
      <c r="E77" s="241" t="inlineStr">
        <is>
          <t>DNI</t>
        </is>
      </c>
      <c r="F77" s="241" t="inlineStr">
        <is>
          <t>33730721</t>
        </is>
      </c>
      <c r="G77" s="336" t="n">
        <v>45696</v>
      </c>
      <c r="H77" s="241" t="inlineStr">
        <is>
          <t>4922</t>
        </is>
      </c>
      <c r="I77" s="332">
        <f>IFERROR(VLOOKUP(TEXT(H77,"0"),IPRESS!$A$3:$B$212,2,0),"")</f>
        <v/>
      </c>
      <c r="J77" s="241" t="inlineStr">
        <is>
          <t>4838</t>
        </is>
      </c>
      <c r="K77" s="332">
        <f>IFERROR(VLOOKUP(TEXT(O77,"0"),CONDUCTORES!$A$3:$G$100,7,0),"")</f>
        <v/>
      </c>
      <c r="L77" s="239" t="n">
        <v>18.18</v>
      </c>
      <c r="M77" s="239" t="n">
        <v>6</v>
      </c>
      <c r="N77" s="333">
        <f>IFERROR(IF(L77*M77=0,"",L77*M77),"")</f>
        <v/>
      </c>
      <c r="O77" s="334" t="n"/>
      <c r="P77" s="332">
        <f>IFERROR(VLOOKUP(TEXT(O77,"0"),CONDUCTORES!$A$3:$G$100,2,0),"")</f>
        <v/>
      </c>
      <c r="Q77" s="332">
        <f>IFERROR(VLOOKUP(TEXT(O77,"0"),CONDUCTORES!$A$3:$H$100,6,0),"")</f>
        <v/>
      </c>
      <c r="R77" s="280" t="inlineStr">
        <is>
          <t>ATENDIDO 11/04/2025</t>
        </is>
      </c>
      <c r="S77" s="305" t="inlineStr">
        <is>
          <t>R102,K359</t>
        </is>
      </c>
      <c r="T77" s="241" t="n"/>
      <c r="U77" s="336" t="n">
        <v>45728</v>
      </c>
      <c r="V77" s="241" t="inlineStr">
        <is>
          <t>0000108-ADENDA N° 001-2025DRSA/OEA.OABAST</t>
        </is>
      </c>
      <c r="W77" s="241" t="inlineStr">
        <is>
          <t>0000108- ADENDA N°001-2025 DRSA/OEA-O.ABAST</t>
        </is>
      </c>
      <c r="X77" s="241" t="inlineStr">
        <is>
          <t>256.0</t>
        </is>
      </c>
      <c r="Y77" s="280" t="n"/>
    </row>
    <row r="78" ht="15.75" customHeight="1" s="195">
      <c r="A78" s="301" t="n">
        <v>73</v>
      </c>
      <c r="B78" s="302" t="inlineStr">
        <is>
          <t>00000014</t>
        </is>
      </c>
      <c r="C78" s="301" t="inlineStr">
        <is>
          <t>REGION</t>
        </is>
      </c>
      <c r="D78" s="302" t="inlineStr">
        <is>
          <t>CARRASCO DAVILA MERLI LUZDINA</t>
        </is>
      </c>
      <c r="E78" s="301" t="inlineStr">
        <is>
          <t>DNI</t>
        </is>
      </c>
      <c r="F78" s="301" t="inlineStr">
        <is>
          <t>73977905</t>
        </is>
      </c>
      <c r="G78" s="331" t="n">
        <v>45699</v>
      </c>
      <c r="H78" s="301" t="inlineStr">
        <is>
          <t>4922</t>
        </is>
      </c>
      <c r="I78" s="332">
        <f>IFERROR(VLOOKUP(TEXT(H78,"0"),IPRESS!$A$3:$B$212,2,0),"")</f>
        <v/>
      </c>
      <c r="J78" s="301" t="inlineStr">
        <is>
          <t>4838</t>
        </is>
      </c>
      <c r="K78" s="332">
        <f>IFERROR(VLOOKUP(TEXT(O78,"0"),CONDUCTORES!$A$3:$G$100,7,0),"")</f>
        <v/>
      </c>
      <c r="L78" s="245" t="n">
        <v>18.18</v>
      </c>
      <c r="M78" s="245" t="n">
        <v>6</v>
      </c>
      <c r="N78" s="333">
        <f>IFERROR(IF(L78*M78=0,"",L78*M78),"")</f>
        <v/>
      </c>
      <c r="O78" s="280" t="n"/>
      <c r="P78" s="332">
        <f>IFERROR(VLOOKUP(TEXT(O78,"0"),CONDUCTORES!$A$3:$G$100,2,0),"")</f>
        <v/>
      </c>
      <c r="Q78" s="332">
        <f>IFERROR(VLOOKUP(TEXT(O78,"0"),CONDUCTORES!$A$3:$H$100,6,0),"")</f>
        <v/>
      </c>
      <c r="R78" s="334" t="inlineStr">
        <is>
          <t>ATENDIDO 11/04/2025</t>
        </is>
      </c>
      <c r="S78" s="302" t="inlineStr">
        <is>
          <t>J180,J459</t>
        </is>
      </c>
      <c r="T78" s="301" t="n"/>
      <c r="U78" s="331" t="n">
        <v>45737</v>
      </c>
      <c r="V78" s="301" t="inlineStr">
        <is>
          <t>0000108-ADENDA N° 001-2025DRSA/OEA.OABAST</t>
        </is>
      </c>
      <c r="W78" s="301" t="inlineStr">
        <is>
          <t>0000108- ADENDA N°001-2025 DRSA/OEA-O.ABAST</t>
        </is>
      </c>
      <c r="X78" s="301" t="inlineStr">
        <is>
          <t>256.0</t>
        </is>
      </c>
      <c r="Y78" s="280" t="n"/>
    </row>
    <row r="79" ht="15.75" customHeight="1" s="195">
      <c r="A79" s="241" t="n">
        <v>74</v>
      </c>
      <c r="B79" s="305" t="inlineStr">
        <is>
          <t>00000018</t>
        </is>
      </c>
      <c r="C79" s="241" t="inlineStr">
        <is>
          <t>REGION</t>
        </is>
      </c>
      <c r="D79" s="305" t="inlineStr">
        <is>
          <t>ALARCON SALAS TITO MARCOS</t>
        </is>
      </c>
      <c r="E79" s="241" t="inlineStr">
        <is>
          <t>DNI</t>
        </is>
      </c>
      <c r="F79" s="241" t="inlineStr">
        <is>
          <t>8649812</t>
        </is>
      </c>
      <c r="G79" s="336" t="n">
        <v>45711</v>
      </c>
      <c r="H79" s="241" t="inlineStr">
        <is>
          <t>4922</t>
        </is>
      </c>
      <c r="I79" s="332">
        <f>IFERROR(VLOOKUP(TEXT(H79,"0"),IPRESS!$A$3:$B$212,2,0),"")</f>
        <v/>
      </c>
      <c r="J79" s="241" t="inlineStr">
        <is>
          <t>4838</t>
        </is>
      </c>
      <c r="K79" s="332">
        <f>IFERROR(VLOOKUP(TEXT(O79,"0"),CONDUCTORES!$A$3:$G$100,7,0),"")</f>
        <v/>
      </c>
      <c r="L79" s="239" t="n">
        <v>18.18</v>
      </c>
      <c r="M79" s="239" t="n">
        <v>6</v>
      </c>
      <c r="N79" s="333">
        <f>IFERROR(IF(L79*M79=0,"",L79*M79),"")</f>
        <v/>
      </c>
      <c r="O79" s="334" t="n"/>
      <c r="P79" s="332">
        <f>IFERROR(VLOOKUP(TEXT(O79,"0"),CONDUCTORES!$A$3:$G$100,2,0),"")</f>
        <v/>
      </c>
      <c r="Q79" s="332">
        <f>IFERROR(VLOOKUP(TEXT(O79,"0"),CONDUCTORES!$A$3:$H$100,6,0),"")</f>
        <v/>
      </c>
      <c r="R79" s="280" t="inlineStr">
        <is>
          <t>ATENDIDO 11/04/2025</t>
        </is>
      </c>
      <c r="S79" s="305" t="inlineStr">
        <is>
          <t>I219</t>
        </is>
      </c>
      <c r="T79" s="241" t="n"/>
      <c r="U79" s="336" t="n">
        <v>45730</v>
      </c>
      <c r="V79" s="241" t="inlineStr">
        <is>
          <t>0000108-ADENDA N° 001-2025DRSA/OEA.OABAST</t>
        </is>
      </c>
      <c r="W79" s="241" t="inlineStr">
        <is>
          <t>0000108- ADENDA N°001-2025 DRSA/OEA-O.ABAST</t>
        </is>
      </c>
      <c r="X79" s="241" t="inlineStr">
        <is>
          <t>256.0</t>
        </is>
      </c>
      <c r="Y79" s="280" t="n"/>
    </row>
    <row r="80" ht="15.75" customHeight="1" s="195">
      <c r="A80" s="301" t="n">
        <v>75</v>
      </c>
      <c r="B80" s="302" t="inlineStr">
        <is>
          <t>00000020</t>
        </is>
      </c>
      <c r="C80" s="301" t="inlineStr">
        <is>
          <t>REGION</t>
        </is>
      </c>
      <c r="D80" s="302" t="inlineStr">
        <is>
          <t>TELLO GUEVARON LEONILDA</t>
        </is>
      </c>
      <c r="E80" s="301" t="inlineStr">
        <is>
          <t>DNI</t>
        </is>
      </c>
      <c r="F80" s="301" t="inlineStr">
        <is>
          <t>33732096</t>
        </is>
      </c>
      <c r="G80" s="331" t="n">
        <v>45714</v>
      </c>
      <c r="H80" s="301" t="inlineStr">
        <is>
          <t>4922</t>
        </is>
      </c>
      <c r="I80" s="332">
        <f>IFERROR(VLOOKUP(TEXT(H80,"0"),IPRESS!$A$3:$B$212,2,0),"")</f>
        <v/>
      </c>
      <c r="J80" s="301" t="inlineStr">
        <is>
          <t>4838</t>
        </is>
      </c>
      <c r="K80" s="332">
        <f>IFERROR(VLOOKUP(TEXT(O80,"0"),CONDUCTORES!$A$3:$G$100,7,0),"")</f>
        <v/>
      </c>
      <c r="L80" s="245" t="n">
        <v>18.18</v>
      </c>
      <c r="M80" s="245" t="n">
        <v>6</v>
      </c>
      <c r="N80" s="333">
        <f>IFERROR(IF(L80*M80=0,"",L80*M80),"")</f>
        <v/>
      </c>
      <c r="O80" s="280" t="n"/>
      <c r="P80" s="332">
        <f>IFERROR(VLOOKUP(TEXT(O80,"0"),CONDUCTORES!$A$3:$G$100,2,0),"")</f>
        <v/>
      </c>
      <c r="Q80" s="332">
        <f>IFERROR(VLOOKUP(TEXT(O80,"0"),CONDUCTORES!$A$3:$H$100,6,0),"")</f>
        <v/>
      </c>
      <c r="R80" s="334" t="inlineStr">
        <is>
          <t>ATENDIDO 11/04/2025</t>
        </is>
      </c>
      <c r="S80" s="302" t="inlineStr">
        <is>
          <t>M250,S620</t>
        </is>
      </c>
      <c r="T80" s="301" t="n"/>
      <c r="U80" s="331" t="n">
        <v>45730</v>
      </c>
      <c r="V80" s="301" t="inlineStr">
        <is>
          <t>0000108-ADENDA N° 001-2025DRSA/OEA.OABAST</t>
        </is>
      </c>
      <c r="W80" s="301" t="inlineStr">
        <is>
          <t>0000108- ADENDA N°001-2025 DRSA/OEA-O.ABAST</t>
        </is>
      </c>
      <c r="X80" s="301" t="inlineStr">
        <is>
          <t>256.0</t>
        </is>
      </c>
      <c r="Y80" s="280" t="n"/>
    </row>
    <row r="81" ht="15.75" customHeight="1" s="195">
      <c r="A81" s="241" t="n">
        <v>76</v>
      </c>
      <c r="B81" s="305" t="inlineStr">
        <is>
          <t>00000067</t>
        </is>
      </c>
      <c r="C81" s="241" t="inlineStr">
        <is>
          <t>REGION</t>
        </is>
      </c>
      <c r="D81" s="305" t="inlineStr">
        <is>
          <t>ACUÑA MORALES FLOR GLADIS</t>
        </is>
      </c>
      <c r="E81" s="241" t="inlineStr">
        <is>
          <t>DNI</t>
        </is>
      </c>
      <c r="F81" s="241" t="inlineStr">
        <is>
          <t>74955572</t>
        </is>
      </c>
      <c r="G81" s="336" t="n">
        <v>45715</v>
      </c>
      <c r="H81" s="241" t="inlineStr">
        <is>
          <t>4932</t>
        </is>
      </c>
      <c r="I81" s="332">
        <f>IFERROR(VLOOKUP(TEXT(H81,"0"),IPRESS!$A$3:$B$212,2,0),"")</f>
        <v/>
      </c>
      <c r="J81" s="241" t="inlineStr">
        <is>
          <t>4838</t>
        </is>
      </c>
      <c r="K81" s="332">
        <f>IFERROR(VLOOKUP(TEXT(O81,"0"),CONDUCTORES!$A$3:$G$100,7,0),"")</f>
        <v/>
      </c>
      <c r="L81" s="239" t="n">
        <v>18.18</v>
      </c>
      <c r="M81" s="239" t="n">
        <v>8</v>
      </c>
      <c r="N81" s="333">
        <f>IFERROR(IF(L81*M81=0,"",L81*M81),"")</f>
        <v/>
      </c>
      <c r="O81" s="334" t="n"/>
      <c r="P81" s="332">
        <f>IFERROR(VLOOKUP(TEXT(O81,"0"),CONDUCTORES!$A$3:$G$100,2,0),"")</f>
        <v/>
      </c>
      <c r="Q81" s="332">
        <f>IFERROR(VLOOKUP(TEXT(O81,"0"),CONDUCTORES!$A$3:$H$100,6,0),"")</f>
        <v/>
      </c>
      <c r="R81" s="336" t="n">
        <v>45790</v>
      </c>
      <c r="S81" s="305" t="inlineStr">
        <is>
          <t>Z359,O651</t>
        </is>
      </c>
      <c r="T81" s="241" t="n"/>
      <c r="U81" s="336" t="n">
        <v>45737</v>
      </c>
      <c r="V81" s="241" t="inlineStr">
        <is>
          <t>OFICIO 1957-2025</t>
        </is>
      </c>
      <c r="W81" s="241" t="inlineStr">
        <is>
          <t>0000108- ADENDA N°001-2025 DRSA/OEA-O.ABAST</t>
        </is>
      </c>
      <c r="X81" s="241" t="inlineStr">
        <is>
          <t>256.0</t>
        </is>
      </c>
      <c r="Y81" s="280" t="n"/>
    </row>
    <row r="82" ht="15.75" customHeight="1" s="195">
      <c r="A82" s="301" t="n">
        <v>77</v>
      </c>
      <c r="B82" s="302" t="inlineStr">
        <is>
          <t>00000010</t>
        </is>
      </c>
      <c r="C82" s="301" t="inlineStr">
        <is>
          <t>REGION</t>
        </is>
      </c>
      <c r="D82" s="302" t="inlineStr">
        <is>
          <t>ZUTA VELA ROSA LASTEÑA</t>
        </is>
      </c>
      <c r="E82" s="301" t="inlineStr">
        <is>
          <t>DNI</t>
        </is>
      </c>
      <c r="F82" s="301" t="inlineStr">
        <is>
          <t>47036916</t>
        </is>
      </c>
      <c r="G82" s="331" t="n">
        <v>45694</v>
      </c>
      <c r="H82" s="301" t="inlineStr">
        <is>
          <t>4887</t>
        </is>
      </c>
      <c r="I82" s="332">
        <f>IFERROR(VLOOKUP(TEXT(H82,"0"),IPRESS!$A$3:$B$212,2,0),"")</f>
        <v/>
      </c>
      <c r="J82" s="301" t="inlineStr">
        <is>
          <t>4838</t>
        </is>
      </c>
      <c r="K82" s="332">
        <f>IFERROR(VLOOKUP(TEXT(O82,"0"),CONDUCTORES!$A$3:$G$100,7,0),"")</f>
        <v/>
      </c>
      <c r="L82" s="245" t="n">
        <v>18.18</v>
      </c>
      <c r="M82" s="245" t="n">
        <v>10</v>
      </c>
      <c r="N82" s="333">
        <f>IFERROR(IF(L82*M82=0,"",L82*M82),"")</f>
        <v/>
      </c>
      <c r="O82" s="280" t="n"/>
      <c r="P82" s="332">
        <f>IFERROR(VLOOKUP(TEXT(O82,"0"),CONDUCTORES!$A$3:$G$100,2,0),"")</f>
        <v/>
      </c>
      <c r="Q82" s="332">
        <f>IFERROR(VLOOKUP(TEXT(O82,"0"),CONDUCTORES!$A$3:$H$100,6,0),"")</f>
        <v/>
      </c>
      <c r="R82" s="331" t="n">
        <v>45789</v>
      </c>
      <c r="S82" s="302" t="inlineStr">
        <is>
          <t>Z359,O628</t>
        </is>
      </c>
      <c r="T82" s="301" t="n"/>
      <c r="U82" s="331" t="n">
        <v>45721</v>
      </c>
      <c r="V82" s="301" t="inlineStr">
        <is>
          <t>OFICO  1937-2025</t>
        </is>
      </c>
      <c r="W82" s="301" t="inlineStr">
        <is>
          <t>0000108- ADENDA N°001-2025 DRSA/OEA-O.ABAST</t>
        </is>
      </c>
      <c r="X82" s="301" t="inlineStr">
        <is>
          <t>256.0</t>
        </is>
      </c>
      <c r="Y82" s="280" t="n"/>
    </row>
    <row r="83" ht="15.75" customHeight="1" s="195">
      <c r="A83" s="241" t="n">
        <v>78</v>
      </c>
      <c r="B83" s="305" t="inlineStr">
        <is>
          <t>00000011</t>
        </is>
      </c>
      <c r="C83" s="241" t="inlineStr">
        <is>
          <t>REGION</t>
        </is>
      </c>
      <c r="D83" s="305" t="inlineStr">
        <is>
          <t>GOMEZ RITUAY CORINA</t>
        </is>
      </c>
      <c r="E83" s="241" t="inlineStr">
        <is>
          <t>DNI</t>
        </is>
      </c>
      <c r="F83" s="241" t="inlineStr">
        <is>
          <t>45530648</t>
        </is>
      </c>
      <c r="G83" s="336" t="n">
        <v>45697</v>
      </c>
      <c r="H83" s="241" t="inlineStr">
        <is>
          <t>4887</t>
        </is>
      </c>
      <c r="I83" s="332">
        <f>IFERROR(VLOOKUP(TEXT(H83,"0"),IPRESS!$A$3:$B$212,2,0),"")</f>
        <v/>
      </c>
      <c r="J83" s="241" t="inlineStr">
        <is>
          <t>4838</t>
        </is>
      </c>
      <c r="K83" s="332">
        <f>IFERROR(VLOOKUP(TEXT(O83,"0"),CONDUCTORES!$A$3:$G$100,7,0),"")</f>
        <v/>
      </c>
      <c r="L83" s="239" t="n">
        <v>18.18</v>
      </c>
      <c r="M83" s="239" t="n">
        <v>10</v>
      </c>
      <c r="N83" s="333">
        <f>IFERROR(IF(L83*M83=0,"",L83*M83),"")</f>
        <v/>
      </c>
      <c r="O83" s="334" t="n"/>
      <c r="P83" s="332">
        <f>IFERROR(VLOOKUP(TEXT(O83,"0"),CONDUCTORES!$A$3:$G$100,2,0),"")</f>
        <v/>
      </c>
      <c r="Q83" s="332">
        <f>IFERROR(VLOOKUP(TEXT(O83,"0"),CONDUCTORES!$A$3:$H$100,6,0),"")</f>
        <v/>
      </c>
      <c r="R83" s="336" t="n">
        <v>45789</v>
      </c>
      <c r="S83" s="305" t="inlineStr">
        <is>
          <t>O628,O420,Z359</t>
        </is>
      </c>
      <c r="T83" s="241" t="n"/>
      <c r="U83" s="336" t="n">
        <v>45728</v>
      </c>
      <c r="V83" s="241" t="inlineStr">
        <is>
          <t>OFICO  1937-2025</t>
        </is>
      </c>
      <c r="W83" s="241" t="inlineStr">
        <is>
          <t>0000108- ADENDA N°001-2025 DRSA/OEA-O.ABAST</t>
        </is>
      </c>
      <c r="X83" s="241" t="inlineStr">
        <is>
          <t>256.0</t>
        </is>
      </c>
      <c r="Y83" s="280" t="n"/>
    </row>
    <row r="84" ht="15.75" customHeight="1" s="195">
      <c r="A84" s="301" t="n">
        <v>79</v>
      </c>
      <c r="B84" s="302" t="inlineStr">
        <is>
          <t>00000012</t>
        </is>
      </c>
      <c r="C84" s="301" t="inlineStr">
        <is>
          <t>REGION</t>
        </is>
      </c>
      <c r="D84" s="302" t="inlineStr">
        <is>
          <t>TRUJILLO ZAVALETA ANGEL</t>
        </is>
      </c>
      <c r="E84" s="301" t="inlineStr">
        <is>
          <t>DNI</t>
        </is>
      </c>
      <c r="F84" s="301" t="inlineStr">
        <is>
          <t>45367122</t>
        </is>
      </c>
      <c r="G84" s="331" t="n">
        <v>45708</v>
      </c>
      <c r="H84" s="301" t="inlineStr">
        <is>
          <t>4887</t>
        </is>
      </c>
      <c r="I84" s="332">
        <f>IFERROR(VLOOKUP(TEXT(H84,"0"),IPRESS!$A$3:$B$212,2,0),"")</f>
        <v/>
      </c>
      <c r="J84" s="301" t="inlineStr">
        <is>
          <t>4838</t>
        </is>
      </c>
      <c r="K84" s="332">
        <f>IFERROR(VLOOKUP(TEXT(O84,"0"),CONDUCTORES!$A$3:$G$100,7,0),"")</f>
        <v/>
      </c>
      <c r="L84" s="245" t="n">
        <v>18.18</v>
      </c>
      <c r="M84" s="245" t="n">
        <v>10</v>
      </c>
      <c r="N84" s="333">
        <f>IFERROR(IF(L84*M84=0,"",L84*M84),"")</f>
        <v/>
      </c>
      <c r="O84" s="280" t="n"/>
      <c r="P84" s="332">
        <f>IFERROR(VLOOKUP(TEXT(O84,"0"),CONDUCTORES!$A$3:$G$100,2,0),"")</f>
        <v/>
      </c>
      <c r="Q84" s="332">
        <f>IFERROR(VLOOKUP(TEXT(O84,"0"),CONDUCTORES!$A$3:$H$100,6,0),"")</f>
        <v/>
      </c>
      <c r="R84" s="331" t="n">
        <v>45789</v>
      </c>
      <c r="S84" s="302" t="inlineStr">
        <is>
          <t>R568,B690,R520</t>
        </is>
      </c>
      <c r="T84" s="301" t="n"/>
      <c r="U84" s="331" t="n">
        <v>45726</v>
      </c>
      <c r="V84" s="301" t="inlineStr">
        <is>
          <t>OFICO  1937-2025</t>
        </is>
      </c>
      <c r="W84" s="301" t="inlineStr">
        <is>
          <t>0000108- ADENDA N°001-2025 DRSA/OEA-O.ABAST</t>
        </is>
      </c>
      <c r="X84" s="301" t="inlineStr">
        <is>
          <t>256.0</t>
        </is>
      </c>
      <c r="Y84" s="280" t="n"/>
    </row>
    <row r="85" ht="15.75" customHeight="1" s="195">
      <c r="A85" s="241" t="n">
        <v>80</v>
      </c>
      <c r="B85" s="305" t="inlineStr">
        <is>
          <t>00000013</t>
        </is>
      </c>
      <c r="C85" s="241" t="inlineStr">
        <is>
          <t>REGION</t>
        </is>
      </c>
      <c r="D85" s="305" t="inlineStr">
        <is>
          <t>LOJA MORI MARTINA</t>
        </is>
      </c>
      <c r="E85" s="241" t="inlineStr">
        <is>
          <t>DNI</t>
        </is>
      </c>
      <c r="F85" s="241" t="inlineStr">
        <is>
          <t>48689798</t>
        </is>
      </c>
      <c r="G85" s="336" t="n">
        <v>45711</v>
      </c>
      <c r="H85" s="241" t="inlineStr">
        <is>
          <t>4887</t>
        </is>
      </c>
      <c r="I85" s="332">
        <f>IFERROR(VLOOKUP(TEXT(H85,"0"),IPRESS!$A$3:$B$212,2,0),"")</f>
        <v/>
      </c>
      <c r="J85" s="241" t="inlineStr">
        <is>
          <t>4838</t>
        </is>
      </c>
      <c r="K85" s="332">
        <f>IFERROR(VLOOKUP(TEXT(O85,"0"),CONDUCTORES!$A$3:$G$100,7,0),"")</f>
        <v/>
      </c>
      <c r="L85" s="239" t="n">
        <v>18.18</v>
      </c>
      <c r="M85" s="239" t="n">
        <v>10</v>
      </c>
      <c r="N85" s="333">
        <f>IFERROR(IF(L85*M85=0,"",L85*M85),"")</f>
        <v/>
      </c>
      <c r="O85" s="334" t="n"/>
      <c r="P85" s="332">
        <f>IFERROR(VLOOKUP(TEXT(O85,"0"),CONDUCTORES!$A$3:$G$100,2,0),"")</f>
        <v/>
      </c>
      <c r="Q85" s="332">
        <f>IFERROR(VLOOKUP(TEXT(O85,"0"),CONDUCTORES!$A$3:$H$100,6,0),"")</f>
        <v/>
      </c>
      <c r="R85" s="336" t="n">
        <v>45789</v>
      </c>
      <c r="S85" s="305" t="inlineStr">
        <is>
          <t>R100,K566,K420</t>
        </is>
      </c>
      <c r="T85" s="241" t="n"/>
      <c r="U85" s="336" t="n">
        <v>45726</v>
      </c>
      <c r="V85" s="241" t="inlineStr">
        <is>
          <t>OFICO  1937-2025</t>
        </is>
      </c>
      <c r="W85" s="241" t="inlineStr">
        <is>
          <t>0000108- ADENDA N°001-2025 DRSA/OEA-O.ABAST</t>
        </is>
      </c>
      <c r="X85" s="241" t="inlineStr">
        <is>
          <t>256.0</t>
        </is>
      </c>
      <c r="Y85" s="280" t="n"/>
    </row>
    <row r="86" ht="15.75" customHeight="1" s="195">
      <c r="A86" s="301" t="n">
        <v>81</v>
      </c>
      <c r="B86" s="302" t="inlineStr">
        <is>
          <t>00000004</t>
        </is>
      </c>
      <c r="C86" s="301" t="inlineStr">
        <is>
          <t>REGION</t>
        </is>
      </c>
      <c r="D86" s="302" t="inlineStr">
        <is>
          <t>HUAMALCA CHAVEZ EISTEN GABRIEL</t>
        </is>
      </c>
      <c r="E86" s="301" t="inlineStr">
        <is>
          <t>DNI</t>
        </is>
      </c>
      <c r="F86" s="301" t="inlineStr">
        <is>
          <t>91325760</t>
        </is>
      </c>
      <c r="G86" s="331" t="n">
        <v>45694</v>
      </c>
      <c r="H86" s="301" t="inlineStr">
        <is>
          <t>4903</t>
        </is>
      </c>
      <c r="I86" s="332">
        <f>IFERROR(VLOOKUP(TEXT(H86,"0"),IPRESS!$A$3:$B$212,2,0),"")</f>
        <v/>
      </c>
      <c r="J86" s="301" t="inlineStr">
        <is>
          <t>4838</t>
        </is>
      </c>
      <c r="K86" s="332">
        <f>IFERROR(VLOOKUP(TEXT(O86,"0"),CONDUCTORES!$A$3:$G$100,7,0),"")</f>
        <v/>
      </c>
      <c r="L86" s="245" t="n">
        <v>18.18</v>
      </c>
      <c r="M86" s="245" t="n">
        <v>5</v>
      </c>
      <c r="N86" s="333">
        <f>IFERROR(IF(L86*M86=0,"",L86*M86),"")</f>
        <v/>
      </c>
      <c r="O86" s="280" t="n"/>
      <c r="P86" s="332">
        <f>IFERROR(VLOOKUP(TEXT(O86,"0"),CONDUCTORES!$A$3:$G$100,2,0),"")</f>
        <v/>
      </c>
      <c r="Q86" s="332">
        <f>IFERROR(VLOOKUP(TEXT(O86,"0"),CONDUCTORES!$A$3:$H$100,6,0),"")</f>
        <v/>
      </c>
      <c r="R86" s="331" t="n">
        <v>45791</v>
      </c>
      <c r="S86" s="302" t="inlineStr">
        <is>
          <t>S531</t>
        </is>
      </c>
      <c r="T86" s="301" t="n"/>
      <c r="U86" s="331" t="n">
        <v>45721</v>
      </c>
      <c r="V86" s="301" t="inlineStr">
        <is>
          <t>OFICIO1971-2025</t>
        </is>
      </c>
      <c r="W86" s="301" t="inlineStr">
        <is>
          <t>0000108- ADENDA N°001-2025 DRSA/OEA-O.ABAST</t>
        </is>
      </c>
      <c r="X86" s="301" t="inlineStr">
        <is>
          <t>256.0</t>
        </is>
      </c>
      <c r="Y86" s="280" t="n"/>
    </row>
    <row r="87" ht="15.75" customHeight="1" s="195">
      <c r="A87" s="241" t="n">
        <v>82</v>
      </c>
      <c r="B87" s="305" t="inlineStr">
        <is>
          <t>00000005</t>
        </is>
      </c>
      <c r="C87" s="241" t="inlineStr">
        <is>
          <t>REGION</t>
        </is>
      </c>
      <c r="D87" s="305" t="inlineStr">
        <is>
          <t>JALCA PICON ARISTIDES VENTURA</t>
        </is>
      </c>
      <c r="E87" s="241" t="inlineStr">
        <is>
          <t>DNI</t>
        </is>
      </c>
      <c r="F87" s="241" t="inlineStr">
        <is>
          <t>33420096</t>
        </is>
      </c>
      <c r="G87" s="336" t="n">
        <v>45694</v>
      </c>
      <c r="H87" s="241" t="inlineStr">
        <is>
          <t>4903</t>
        </is>
      </c>
      <c r="I87" s="332">
        <f>IFERROR(VLOOKUP(TEXT(H87,"0"),IPRESS!$A$3:$B$212,2,0),"")</f>
        <v/>
      </c>
      <c r="J87" s="241" t="inlineStr">
        <is>
          <t>4838</t>
        </is>
      </c>
      <c r="K87" s="332">
        <f>IFERROR(VLOOKUP(TEXT(O87,"0"),CONDUCTORES!$A$3:$G$100,7,0),"")</f>
        <v/>
      </c>
      <c r="L87" s="239" t="n">
        <v>18.18</v>
      </c>
      <c r="M87" s="239" t="n">
        <v>5</v>
      </c>
      <c r="N87" s="333">
        <f>IFERROR(IF(L87*M87=0,"",L87*M87),"")</f>
        <v/>
      </c>
      <c r="O87" s="334" t="n"/>
      <c r="P87" s="332">
        <f>IFERROR(VLOOKUP(TEXT(O87,"0"),CONDUCTORES!$A$3:$G$100,2,0),"")</f>
        <v/>
      </c>
      <c r="Q87" s="332">
        <f>IFERROR(VLOOKUP(TEXT(O87,"0"),CONDUCTORES!$A$3:$H$100,6,0),"")</f>
        <v/>
      </c>
      <c r="R87" s="336" t="n">
        <v>45791</v>
      </c>
      <c r="S87" s="305" t="inlineStr">
        <is>
          <t>I639,G459</t>
        </is>
      </c>
      <c r="T87" s="241" t="n"/>
      <c r="U87" s="336" t="n">
        <v>45721</v>
      </c>
      <c r="V87" s="241" t="inlineStr">
        <is>
          <t>OFICIO1971-2025</t>
        </is>
      </c>
      <c r="W87" s="241" t="inlineStr">
        <is>
          <t>0000108- ADENDA N°001-2025 DRSA/OEA-O.ABAST</t>
        </is>
      </c>
      <c r="X87" s="241" t="inlineStr">
        <is>
          <t>256.0</t>
        </is>
      </c>
      <c r="Y87" s="280" t="n"/>
    </row>
    <row r="88" ht="15.75" customHeight="1" s="195">
      <c r="A88" s="301" t="n">
        <v>83</v>
      </c>
      <c r="B88" s="302" t="inlineStr">
        <is>
          <t>00000006</t>
        </is>
      </c>
      <c r="C88" s="301" t="inlineStr">
        <is>
          <t>REGION</t>
        </is>
      </c>
      <c r="D88" s="302" t="inlineStr">
        <is>
          <t>MORI MUÑOZ CLARA MARCELINA</t>
        </is>
      </c>
      <c r="E88" s="301" t="inlineStr">
        <is>
          <t>DNI</t>
        </is>
      </c>
      <c r="F88" s="301" t="inlineStr">
        <is>
          <t>33431576</t>
        </is>
      </c>
      <c r="G88" s="331" t="n">
        <v>45706</v>
      </c>
      <c r="H88" s="301" t="inlineStr">
        <is>
          <t>4903</t>
        </is>
      </c>
      <c r="I88" s="332">
        <f>IFERROR(VLOOKUP(TEXT(H88,"0"),IPRESS!$A$3:$B$212,2,0),"")</f>
        <v/>
      </c>
      <c r="J88" s="301" t="inlineStr">
        <is>
          <t>4838</t>
        </is>
      </c>
      <c r="K88" s="332">
        <f>IFERROR(VLOOKUP(TEXT(O88,"0"),CONDUCTORES!$A$3:$G$100,7,0),"")</f>
        <v/>
      </c>
      <c r="L88" s="245" t="n">
        <v>18.18</v>
      </c>
      <c r="M88" s="245" t="n">
        <v>5</v>
      </c>
      <c r="N88" s="333">
        <f>IFERROR(IF(L88*M88=0,"",L88*M88),"")</f>
        <v/>
      </c>
      <c r="O88" s="280" t="n"/>
      <c r="P88" s="332">
        <f>IFERROR(VLOOKUP(TEXT(O88,"0"),CONDUCTORES!$A$3:$G$100,2,0),"")</f>
        <v/>
      </c>
      <c r="Q88" s="332">
        <f>IFERROR(VLOOKUP(TEXT(O88,"0"),CONDUCTORES!$A$3:$H$100,6,0),"")</f>
        <v/>
      </c>
      <c r="R88" s="331" t="n">
        <v>45791</v>
      </c>
      <c r="S88" s="302" t="inlineStr">
        <is>
          <t>G510</t>
        </is>
      </c>
      <c r="T88" s="301" t="n"/>
      <c r="U88" s="331" t="n">
        <v>45714</v>
      </c>
      <c r="V88" s="301" t="inlineStr">
        <is>
          <t>OFICIO1971-2025</t>
        </is>
      </c>
      <c r="W88" s="301" t="inlineStr">
        <is>
          <t>0000108- ADENDA N°001-2025 DRSA/OEA-O.ABAST</t>
        </is>
      </c>
      <c r="X88" s="301" t="inlineStr">
        <is>
          <t>256.0</t>
        </is>
      </c>
      <c r="Y88" s="280" t="n"/>
    </row>
    <row r="89" ht="15.75" customHeight="1" s="195">
      <c r="A89" s="241" t="n">
        <v>84</v>
      </c>
      <c r="B89" s="305" t="inlineStr">
        <is>
          <t>00000007</t>
        </is>
      </c>
      <c r="C89" s="241" t="inlineStr">
        <is>
          <t>REGION</t>
        </is>
      </c>
      <c r="D89" s="305" t="inlineStr">
        <is>
          <t>ALVA TORREJON NOEMI</t>
        </is>
      </c>
      <c r="E89" s="241" t="inlineStr">
        <is>
          <t>DNI</t>
        </is>
      </c>
      <c r="F89" s="241" t="inlineStr">
        <is>
          <t>72919258</t>
        </is>
      </c>
      <c r="G89" s="336" t="n">
        <v>45709</v>
      </c>
      <c r="H89" s="241" t="inlineStr">
        <is>
          <t>4903</t>
        </is>
      </c>
      <c r="I89" s="332">
        <f>IFERROR(VLOOKUP(TEXT(H89,"0"),IPRESS!$A$3:$B$212,2,0),"")</f>
        <v/>
      </c>
      <c r="J89" s="241" t="inlineStr">
        <is>
          <t>4838</t>
        </is>
      </c>
      <c r="K89" s="332">
        <f>IFERROR(VLOOKUP(TEXT(O89,"0"),CONDUCTORES!$A$3:$G$100,7,0),"")</f>
        <v/>
      </c>
      <c r="L89" s="239" t="n">
        <v>18.18</v>
      </c>
      <c r="M89" s="239" t="n">
        <v>5</v>
      </c>
      <c r="N89" s="333">
        <f>IFERROR(IF(L89*M89=0,"",L89*M89),"")</f>
        <v/>
      </c>
      <c r="O89" s="334" t="n"/>
      <c r="P89" s="332">
        <f>IFERROR(VLOOKUP(TEXT(O89,"0"),CONDUCTORES!$A$3:$G$100,2,0),"")</f>
        <v/>
      </c>
      <c r="Q89" s="332">
        <f>IFERROR(VLOOKUP(TEXT(O89,"0"),CONDUCTORES!$A$3:$H$100,6,0),"")</f>
        <v/>
      </c>
      <c r="R89" s="336" t="n">
        <v>45791</v>
      </c>
      <c r="S89" s="305" t="inlineStr">
        <is>
          <t>S062</t>
        </is>
      </c>
      <c r="T89" s="241" t="n"/>
      <c r="U89" s="336" t="n">
        <v>45736</v>
      </c>
      <c r="V89" s="241" t="inlineStr">
        <is>
          <t>OFICIO1971-2025</t>
        </is>
      </c>
      <c r="W89" s="241" t="inlineStr">
        <is>
          <t>0000108- ADENDA N°001-2025 DRSA/OEA-O.ABAST</t>
        </is>
      </c>
      <c r="X89" s="241" t="inlineStr">
        <is>
          <t>256.0</t>
        </is>
      </c>
      <c r="Y89" s="280" t="n"/>
    </row>
    <row r="90" ht="15.75" customHeight="1" s="195">
      <c r="A90" s="301" t="n">
        <v>85</v>
      </c>
      <c r="B90" s="302" t="inlineStr">
        <is>
          <t>00000001</t>
        </is>
      </c>
      <c r="C90" s="301" t="inlineStr">
        <is>
          <t>REGION</t>
        </is>
      </c>
      <c r="D90" s="302" t="inlineStr">
        <is>
          <t>MENDOZA GUEVARA LORENZA</t>
        </is>
      </c>
      <c r="E90" s="301" t="inlineStr">
        <is>
          <t>DNI</t>
        </is>
      </c>
      <c r="F90" s="301" t="inlineStr">
        <is>
          <t>44320104</t>
        </is>
      </c>
      <c r="G90" s="331" t="n">
        <v>45692</v>
      </c>
      <c r="H90" s="301" t="inlineStr">
        <is>
          <t>7244</t>
        </is>
      </c>
      <c r="I90" s="332">
        <f>IFERROR(VLOOKUP(TEXT(H90,"0"),IPRESS!$A$3:$B$212,2,0),"")</f>
        <v/>
      </c>
      <c r="J90" s="301" t="inlineStr">
        <is>
          <t>4838</t>
        </is>
      </c>
      <c r="K90" s="332">
        <f>IFERROR(VLOOKUP(TEXT(O90,"0"),CONDUCTORES!$A$3:$G$100,7,0),"")</f>
        <v/>
      </c>
      <c r="L90" s="245" t="n">
        <v>18.18</v>
      </c>
      <c r="M90" s="245" t="n">
        <v>20</v>
      </c>
      <c r="N90" s="333">
        <f>IFERROR(IF(L90*M90=0,"",L90*M90),"")</f>
        <v/>
      </c>
      <c r="O90" s="280" t="n"/>
      <c r="P90" s="332">
        <f>IFERROR(VLOOKUP(TEXT(O90,"0"),CONDUCTORES!$A$3:$G$100,2,0),"")</f>
        <v/>
      </c>
      <c r="Q90" s="332">
        <f>IFERROR(VLOOKUP(TEXT(O90,"0"),CONDUCTORES!$A$3:$H$100,6,0),"")</f>
        <v/>
      </c>
      <c r="R90" s="334" t="inlineStr">
        <is>
          <t>ATENDIDO 18/06/2025</t>
        </is>
      </c>
      <c r="S90" s="302" t="inlineStr">
        <is>
          <t>S729</t>
        </is>
      </c>
      <c r="T90" s="301" t="n"/>
      <c r="U90" s="331" t="n">
        <v>45721</v>
      </c>
      <c r="V90" s="301" t="n"/>
      <c r="W90" s="301" t="n"/>
      <c r="X90" s="301" t="n"/>
      <c r="Y90" s="280" t="n"/>
    </row>
    <row r="91" ht="15.75" customHeight="1" s="195">
      <c r="A91" s="241" t="n">
        <v>86</v>
      </c>
      <c r="B91" s="305" t="inlineStr">
        <is>
          <t>00000001</t>
        </is>
      </c>
      <c r="C91" s="241" t="inlineStr">
        <is>
          <t>REGION</t>
        </is>
      </c>
      <c r="D91" s="305" t="inlineStr">
        <is>
          <t>IRIGOIN DELGADO ALVARINO</t>
        </is>
      </c>
      <c r="E91" s="241" t="inlineStr">
        <is>
          <t>DNI</t>
        </is>
      </c>
      <c r="F91" s="241" t="inlineStr">
        <is>
          <t>33649369</t>
        </is>
      </c>
      <c r="G91" s="336" t="n">
        <v>45696</v>
      </c>
      <c r="H91" s="241" t="inlineStr">
        <is>
          <t>4938</t>
        </is>
      </c>
      <c r="I91" s="332">
        <f>IFERROR(VLOOKUP(TEXT(H91,"0"),IPRESS!$A$3:$B$212,2,0),"")</f>
        <v/>
      </c>
      <c r="J91" s="241" t="inlineStr">
        <is>
          <t>4932</t>
        </is>
      </c>
      <c r="K91" s="332">
        <f>IFERROR(VLOOKUP(TEXT(O91,"0"),CONDUCTORES!$A$3:$G$100,7,0),"")</f>
        <v/>
      </c>
      <c r="L91" s="239" t="n">
        <v>18.18</v>
      </c>
      <c r="M91" s="239" t="n">
        <v>4</v>
      </c>
      <c r="N91" s="333">
        <f>IFERROR(IF(L91*M91=0,"",L91*M91),"")</f>
        <v/>
      </c>
      <c r="O91" s="334" t="n"/>
      <c r="P91" s="332">
        <f>IFERROR(VLOOKUP(TEXT(O91,"0"),CONDUCTORES!$A$3:$G$100,2,0),"")</f>
        <v/>
      </c>
      <c r="Q91" s="332">
        <f>IFERROR(VLOOKUP(TEXT(O91,"0"),CONDUCTORES!$A$3:$H$100,6,0),"")</f>
        <v/>
      </c>
      <c r="R91" s="336" t="n">
        <v>45826</v>
      </c>
      <c r="S91" s="305" t="inlineStr">
        <is>
          <t>C168</t>
        </is>
      </c>
      <c r="T91" s="241" t="n"/>
      <c r="U91" s="336" t="n">
        <v>45721</v>
      </c>
      <c r="V91" s="241" t="n"/>
      <c r="W91" s="241" t="n"/>
      <c r="X91" s="241" t="n"/>
      <c r="Y91" s="280" t="n"/>
    </row>
    <row r="92" ht="15.75" customHeight="1" s="195">
      <c r="A92" s="301" t="n">
        <v>87</v>
      </c>
      <c r="B92" s="302" t="inlineStr">
        <is>
          <t>00000002</t>
        </is>
      </c>
      <c r="C92" s="301" t="inlineStr">
        <is>
          <t>REGION</t>
        </is>
      </c>
      <c r="D92" s="302" t="inlineStr">
        <is>
          <t>VALLE ARCE OLIVIA</t>
        </is>
      </c>
      <c r="E92" s="301" t="inlineStr">
        <is>
          <t>DNI</t>
        </is>
      </c>
      <c r="F92" s="301" t="inlineStr">
        <is>
          <t>33731656</t>
        </is>
      </c>
      <c r="G92" s="331" t="n">
        <v>45698</v>
      </c>
      <c r="H92" s="301" t="inlineStr">
        <is>
          <t>4938</t>
        </is>
      </c>
      <c r="I92" s="332">
        <f>IFERROR(VLOOKUP(TEXT(H92,"0"),IPRESS!$A$3:$B$212,2,0),"")</f>
        <v/>
      </c>
      <c r="J92" s="301" t="inlineStr">
        <is>
          <t>4932</t>
        </is>
      </c>
      <c r="K92" s="332">
        <f>IFERROR(VLOOKUP(TEXT(O92,"0"),CONDUCTORES!$A$3:$G$100,7,0),"")</f>
        <v/>
      </c>
      <c r="L92" s="245" t="n">
        <v>18.18</v>
      </c>
      <c r="M92" s="245" t="n">
        <v>4</v>
      </c>
      <c r="N92" s="333">
        <f>IFERROR(IF(L92*M92=0,"",L92*M92),"")</f>
        <v/>
      </c>
      <c r="O92" s="280" t="n"/>
      <c r="P92" s="332">
        <f>IFERROR(VLOOKUP(TEXT(O92,"0"),CONDUCTORES!$A$3:$G$100,2,0),"")</f>
        <v/>
      </c>
      <c r="Q92" s="332">
        <f>IFERROR(VLOOKUP(TEXT(O92,"0"),CONDUCTORES!$A$3:$H$100,6,0),"")</f>
        <v/>
      </c>
      <c r="R92" s="331" t="n">
        <v>45826</v>
      </c>
      <c r="S92" s="302" t="inlineStr">
        <is>
          <t>I10X,M545</t>
        </is>
      </c>
      <c r="T92" s="301" t="n"/>
      <c r="U92" s="331" t="n">
        <v>45721</v>
      </c>
      <c r="V92" s="301" t="n"/>
      <c r="W92" s="301" t="n"/>
      <c r="X92" s="301" t="n"/>
      <c r="Y92" s="280" t="n"/>
    </row>
    <row r="93" ht="15.75" customHeight="1" s="195">
      <c r="A93" s="241" t="n">
        <v>88</v>
      </c>
      <c r="B93" s="305" t="inlineStr">
        <is>
          <t>00000008</t>
        </is>
      </c>
      <c r="C93" s="241" t="inlineStr">
        <is>
          <t>REGION</t>
        </is>
      </c>
      <c r="D93" s="305" t="inlineStr">
        <is>
          <t>VELA GARCIA GLENIS</t>
        </is>
      </c>
      <c r="E93" s="241" t="inlineStr">
        <is>
          <t>DNI</t>
        </is>
      </c>
      <c r="F93" s="241" t="inlineStr">
        <is>
          <t>75709186</t>
        </is>
      </c>
      <c r="G93" s="336" t="n">
        <v>45698</v>
      </c>
      <c r="H93" s="241" t="inlineStr">
        <is>
          <t>4904</t>
        </is>
      </c>
      <c r="I93" s="332">
        <f>IFERROR(VLOOKUP(TEXT(H93,"0"),IPRESS!$A$3:$B$212,2,0),"")</f>
        <v/>
      </c>
      <c r="J93" s="241" t="inlineStr">
        <is>
          <t>4838</t>
        </is>
      </c>
      <c r="K93" s="332">
        <f>IFERROR(VLOOKUP(TEXT(O93,"0"),CONDUCTORES!$A$3:$G$100,7,0),"")</f>
        <v/>
      </c>
      <c r="L93" s="239" t="n">
        <v>18.18</v>
      </c>
      <c r="M93" s="239" t="n">
        <v>8</v>
      </c>
      <c r="N93" s="333">
        <f>IFERROR(IF(L93*M93=0,"",L93*M93),"")</f>
        <v/>
      </c>
      <c r="O93" s="334" t="n"/>
      <c r="P93" s="332">
        <f>IFERROR(VLOOKUP(TEXT(O93,"0"),CONDUCTORES!$A$3:$G$100,2,0),"")</f>
        <v/>
      </c>
      <c r="Q93" s="332">
        <f>IFERROR(VLOOKUP(TEXT(O93,"0"),CONDUCTORES!$A$3:$H$100,6,0),"")</f>
        <v/>
      </c>
      <c r="R93" s="336" t="n">
        <v>45796</v>
      </c>
      <c r="S93" s="305" t="inlineStr">
        <is>
          <t>O429</t>
        </is>
      </c>
      <c r="T93" s="241" t="n"/>
      <c r="U93" s="336" t="n">
        <v>45709</v>
      </c>
      <c r="V93" s="241" t="n"/>
      <c r="W93" s="241" t="n"/>
      <c r="X93" s="241" t="n"/>
      <c r="Y93" s="280" t="n"/>
    </row>
    <row r="94" ht="15.75" customHeight="1" s="195">
      <c r="A94" s="301" t="n">
        <v>89</v>
      </c>
      <c r="B94" s="302" t="inlineStr">
        <is>
          <t>00000009</t>
        </is>
      </c>
      <c r="C94" s="301" t="inlineStr">
        <is>
          <t>REGION</t>
        </is>
      </c>
      <c r="D94" s="302" t="inlineStr">
        <is>
          <t>TUCTO PUSCAN ELEUTERIO</t>
        </is>
      </c>
      <c r="E94" s="301" t="inlineStr">
        <is>
          <t>DNI</t>
        </is>
      </c>
      <c r="F94" s="301" t="inlineStr">
        <is>
          <t>33416675</t>
        </is>
      </c>
      <c r="G94" s="331" t="n">
        <v>45700</v>
      </c>
      <c r="H94" s="301" t="inlineStr">
        <is>
          <t>1904</t>
        </is>
      </c>
      <c r="I94" s="332">
        <f>IFERROR(VLOOKUP(TEXT(H94,"0"),IPRESS!$A$3:$B$212,2,0),"")</f>
        <v/>
      </c>
      <c r="J94" s="301" t="inlineStr">
        <is>
          <t>4838</t>
        </is>
      </c>
      <c r="K94" s="332">
        <f>IFERROR(VLOOKUP(TEXT(O94,"0"),CONDUCTORES!$A$3:$G$100,7,0),"")</f>
        <v/>
      </c>
      <c r="L94" s="245" t="n">
        <v>18.18</v>
      </c>
      <c r="M94" s="245" t="n">
        <v>8</v>
      </c>
      <c r="N94" s="333">
        <f>IFERROR(IF(L94*M94=0,"",L94*M94),"")</f>
        <v/>
      </c>
      <c r="O94" s="280" t="n"/>
      <c r="P94" s="332">
        <f>IFERROR(VLOOKUP(TEXT(O94,"0"),CONDUCTORES!$A$3:$G$100,2,0),"")</f>
        <v/>
      </c>
      <c r="Q94" s="332">
        <f>IFERROR(VLOOKUP(TEXT(O94,"0"),CONDUCTORES!$A$3:$H$100,6,0),"")</f>
        <v/>
      </c>
      <c r="R94" s="331" t="n">
        <v>45796</v>
      </c>
      <c r="S94" s="302" t="inlineStr">
        <is>
          <t>T060</t>
        </is>
      </c>
      <c r="T94" s="301" t="n"/>
      <c r="U94" s="331" t="n">
        <v>45721</v>
      </c>
      <c r="V94" s="301" t="n"/>
      <c r="W94" s="301" t="n"/>
      <c r="X94" s="301" t="n"/>
      <c r="Y94" s="280" t="n"/>
    </row>
    <row r="95" ht="15.75" customHeight="1" s="195">
      <c r="A95" s="241" t="n">
        <v>90</v>
      </c>
      <c r="B95" s="305" t="inlineStr">
        <is>
          <t>00000007</t>
        </is>
      </c>
      <c r="C95" s="241" t="inlineStr">
        <is>
          <t>REGION</t>
        </is>
      </c>
      <c r="D95" s="305" t="inlineStr">
        <is>
          <t>ROJAS HUAMAN REGINA</t>
        </is>
      </c>
      <c r="E95" s="241" t="inlineStr">
        <is>
          <t>DNI</t>
        </is>
      </c>
      <c r="F95" s="241" t="inlineStr">
        <is>
          <t>46481311</t>
        </is>
      </c>
      <c r="G95" s="336" t="n">
        <v>45689</v>
      </c>
      <c r="H95" s="241" t="inlineStr">
        <is>
          <t>4904</t>
        </is>
      </c>
      <c r="I95" s="332">
        <f>IFERROR(VLOOKUP(TEXT(H95,"0"),IPRESS!$A$3:$B$212,2,0),"")</f>
        <v/>
      </c>
      <c r="J95" s="241" t="inlineStr">
        <is>
          <t>4838</t>
        </is>
      </c>
      <c r="K95" s="332">
        <f>IFERROR(VLOOKUP(TEXT(O95,"0"),CONDUCTORES!$A$3:$G$100,7,0),"")</f>
        <v/>
      </c>
      <c r="L95" s="239" t="n">
        <v>18.18</v>
      </c>
      <c r="M95" s="239" t="n">
        <v>8</v>
      </c>
      <c r="N95" s="333">
        <f>IFERROR(IF(L95*M95=0,"",L95*M95),"")</f>
        <v/>
      </c>
      <c r="O95" s="334" t="n"/>
      <c r="P95" s="332">
        <f>IFERROR(VLOOKUP(TEXT(O95,"0"),CONDUCTORES!$A$3:$G$100,2,0),"")</f>
        <v/>
      </c>
      <c r="Q95" s="332">
        <f>IFERROR(VLOOKUP(TEXT(O95,"0"),CONDUCTORES!$A$3:$H$100,6,0),"")</f>
        <v/>
      </c>
      <c r="R95" s="336" t="n">
        <v>45796</v>
      </c>
      <c r="S95" s="305" t="inlineStr">
        <is>
          <t>A419,A153</t>
        </is>
      </c>
      <c r="T95" s="241" t="n"/>
      <c r="U95" s="336" t="n">
        <v>45737</v>
      </c>
      <c r="V95" s="241" t="n"/>
      <c r="W95" s="241" t="n"/>
      <c r="X95" s="241" t="n"/>
      <c r="Y95" s="280" t="n"/>
    </row>
    <row r="96" ht="15.75" customHeight="1" s="195">
      <c r="A96" s="301" t="n">
        <v>91</v>
      </c>
      <c r="B96" s="302" t="inlineStr">
        <is>
          <t>00000010</t>
        </is>
      </c>
      <c r="C96" s="301" t="inlineStr">
        <is>
          <t>REGION</t>
        </is>
      </c>
      <c r="D96" s="302" t="inlineStr">
        <is>
          <t>TOCAS TRUJILLO LUCIANITA</t>
        </is>
      </c>
      <c r="E96" s="301" t="inlineStr">
        <is>
          <t>DNI</t>
        </is>
      </c>
      <c r="F96" s="301" t="inlineStr">
        <is>
          <t>74622616</t>
        </is>
      </c>
      <c r="G96" s="331" t="n">
        <v>45702</v>
      </c>
      <c r="H96" s="301" t="inlineStr">
        <is>
          <t>4904</t>
        </is>
      </c>
      <c r="I96" s="332">
        <f>IFERROR(VLOOKUP(TEXT(H96,"0"),IPRESS!$A$3:$B$212,2,0),"")</f>
        <v/>
      </c>
      <c r="J96" s="301" t="inlineStr">
        <is>
          <t>4838</t>
        </is>
      </c>
      <c r="K96" s="332">
        <f>IFERROR(VLOOKUP(TEXT(O96,"0"),CONDUCTORES!$A$3:$G$100,7,0),"")</f>
        <v/>
      </c>
      <c r="L96" s="245" t="n">
        <v>18.18</v>
      </c>
      <c r="M96" s="245" t="n">
        <v>8</v>
      </c>
      <c r="N96" s="333">
        <f>IFERROR(IF(L96*M96=0,"",L96*M96),"")</f>
        <v/>
      </c>
      <c r="O96" s="280" t="n"/>
      <c r="P96" s="332">
        <f>IFERROR(VLOOKUP(TEXT(O96,"0"),CONDUCTORES!$A$3:$G$100,2,0),"")</f>
        <v/>
      </c>
      <c r="Q96" s="332">
        <f>IFERROR(VLOOKUP(TEXT(O96,"0"),CONDUCTORES!$A$3:$H$100,6,0),"")</f>
        <v/>
      </c>
      <c r="R96" s="331" t="n">
        <v>45796</v>
      </c>
      <c r="S96" s="302" t="inlineStr">
        <is>
          <t>O603</t>
        </is>
      </c>
      <c r="T96" s="301" t="n"/>
      <c r="U96" s="331" t="n">
        <v>45744</v>
      </c>
      <c r="V96" s="301" t="n"/>
      <c r="W96" s="301" t="n"/>
      <c r="X96" s="301" t="n"/>
      <c r="Y96" s="280" t="n"/>
    </row>
    <row r="97" ht="15.75" customHeight="1" s="195">
      <c r="A97" s="241" t="n">
        <v>92</v>
      </c>
      <c r="B97" s="305" t="inlineStr">
        <is>
          <t>00000011</t>
        </is>
      </c>
      <c r="C97" s="241" t="inlineStr">
        <is>
          <t>REGION</t>
        </is>
      </c>
      <c r="D97" s="305" t="inlineStr">
        <is>
          <t>MAICELO LLAJA TEOFINA</t>
        </is>
      </c>
      <c r="E97" s="241" t="inlineStr">
        <is>
          <t>DNI</t>
        </is>
      </c>
      <c r="F97" s="241" t="inlineStr">
        <is>
          <t>48396585</t>
        </is>
      </c>
      <c r="G97" s="336" t="n">
        <v>45701</v>
      </c>
      <c r="H97" s="241" t="inlineStr">
        <is>
          <t>4904</t>
        </is>
      </c>
      <c r="I97" s="332">
        <f>IFERROR(VLOOKUP(TEXT(H97,"0"),IPRESS!$A$3:$B$212,2,0),"")</f>
        <v/>
      </c>
      <c r="J97" s="241" t="inlineStr">
        <is>
          <t>4838</t>
        </is>
      </c>
      <c r="K97" s="332">
        <f>IFERROR(VLOOKUP(TEXT(O97,"0"),CONDUCTORES!$A$3:$G$100,7,0),"")</f>
        <v/>
      </c>
      <c r="L97" s="239" t="n">
        <v>18.18</v>
      </c>
      <c r="M97" s="239" t="n">
        <v>8</v>
      </c>
      <c r="N97" s="333">
        <f>IFERROR(IF(L97*M97=0,"",L97*M97),"")</f>
        <v/>
      </c>
      <c r="O97" s="334" t="n"/>
      <c r="P97" s="332">
        <f>IFERROR(VLOOKUP(TEXT(O97,"0"),CONDUCTORES!$A$3:$G$100,2,0),"")</f>
        <v/>
      </c>
      <c r="Q97" s="332">
        <f>IFERROR(VLOOKUP(TEXT(O97,"0"),CONDUCTORES!$A$3:$H$100,6,0),"")</f>
        <v/>
      </c>
      <c r="R97" s="336" t="n">
        <v>45796</v>
      </c>
      <c r="S97" s="305" t="inlineStr">
        <is>
          <t>J441,I498,N189</t>
        </is>
      </c>
      <c r="T97" s="241" t="n"/>
      <c r="U97" s="336" t="n">
        <v>45730</v>
      </c>
      <c r="V97" s="241" t="n"/>
      <c r="W97" s="241" t="n"/>
      <c r="X97" s="241" t="n"/>
      <c r="Y97" s="280" t="n"/>
    </row>
    <row r="98" ht="15.75" customHeight="1" s="195">
      <c r="A98" s="301" t="n">
        <v>93</v>
      </c>
      <c r="B98" s="302" t="inlineStr">
        <is>
          <t>00000011</t>
        </is>
      </c>
      <c r="C98" s="301" t="inlineStr">
        <is>
          <t>REGION</t>
        </is>
      </c>
      <c r="D98" s="302" t="inlineStr">
        <is>
          <t>ARRIAGA DE LOPEZ MARIA ERNESTINA</t>
        </is>
      </c>
      <c r="E98" s="301" t="inlineStr">
        <is>
          <t>DNI</t>
        </is>
      </c>
      <c r="F98" s="301" t="inlineStr">
        <is>
          <t>33946779</t>
        </is>
      </c>
      <c r="G98" s="331" t="n">
        <v>45699</v>
      </c>
      <c r="H98" s="301" t="inlineStr">
        <is>
          <t>4954</t>
        </is>
      </c>
      <c r="I98" s="332">
        <f>IFERROR(VLOOKUP(TEXT(H98,"0"),IPRESS!$A$3:$B$212,2,0),"")</f>
        <v/>
      </c>
      <c r="J98" s="301" t="inlineStr">
        <is>
          <t>4950</t>
        </is>
      </c>
      <c r="K98" s="332">
        <f>IFERROR(VLOOKUP(TEXT(O98,"0"),CONDUCTORES!$A$3:$G$100,7,0),"")</f>
        <v/>
      </c>
      <c r="L98" s="245" t="n">
        <v>20.25</v>
      </c>
      <c r="M98" s="245" t="n">
        <v>6</v>
      </c>
      <c r="N98" s="333">
        <f>IFERROR(IF(L98*M98=0,"",L98*M98),"")</f>
        <v/>
      </c>
      <c r="O98" s="280" t="n"/>
      <c r="P98" s="332">
        <f>IFERROR(VLOOKUP(TEXT(O98,"0"),CONDUCTORES!$A$3:$G$100,2,0),"")</f>
        <v/>
      </c>
      <c r="Q98" s="332">
        <f>IFERROR(VLOOKUP(TEXT(O98,"0"),CONDUCTORES!$A$3:$H$100,6,0),"")</f>
        <v/>
      </c>
      <c r="R98" s="331" t="n">
        <v>45839</v>
      </c>
      <c r="S98" s="302" t="inlineStr">
        <is>
          <t>I10X,J189</t>
        </is>
      </c>
      <c r="T98" s="301" t="n"/>
      <c r="U98" s="331" t="n">
        <v>45709</v>
      </c>
      <c r="V98" s="301" t="n"/>
      <c r="W98" s="301" t="n"/>
      <c r="X98" s="301" t="n"/>
      <c r="Y98" s="280" t="n"/>
    </row>
    <row r="99" ht="15.75" customHeight="1" s="195">
      <c r="A99" s="241" t="n">
        <v>94</v>
      </c>
      <c r="B99" s="305" t="inlineStr">
        <is>
          <t>00000009</t>
        </is>
      </c>
      <c r="C99" s="241" t="inlineStr">
        <is>
          <t>REGION</t>
        </is>
      </c>
      <c r="D99" s="305" t="inlineStr">
        <is>
          <t>VARGAS COLLAZOS MARILI</t>
        </is>
      </c>
      <c r="E99" s="241" t="inlineStr">
        <is>
          <t>DNI</t>
        </is>
      </c>
      <c r="F99" s="241" t="inlineStr">
        <is>
          <t>48633540</t>
        </is>
      </c>
      <c r="G99" s="336" t="n">
        <v>45692</v>
      </c>
      <c r="H99" s="241" t="inlineStr">
        <is>
          <t>4954</t>
        </is>
      </c>
      <c r="I99" s="332">
        <f>IFERROR(VLOOKUP(TEXT(H99,"0"),IPRESS!$A$3:$B$212,2,0),"")</f>
        <v/>
      </c>
      <c r="J99" s="241" t="inlineStr">
        <is>
          <t>4950</t>
        </is>
      </c>
      <c r="K99" s="332">
        <f>IFERROR(VLOOKUP(TEXT(O99,"0"),CONDUCTORES!$A$3:$G$100,7,0),"")</f>
        <v/>
      </c>
      <c r="L99" s="239" t="n">
        <v>20.25</v>
      </c>
      <c r="M99" s="239" t="n">
        <v>6</v>
      </c>
      <c r="N99" s="333">
        <f>IFERROR(IF(L99*M99=0,"",L99*M99),"")</f>
        <v/>
      </c>
      <c r="O99" s="334" t="n"/>
      <c r="P99" s="332">
        <f>IFERROR(VLOOKUP(TEXT(O99,"0"),CONDUCTORES!$A$3:$G$100,2,0),"")</f>
        <v/>
      </c>
      <c r="Q99" s="332">
        <f>IFERROR(VLOOKUP(TEXT(O99,"0"),CONDUCTORES!$A$3:$H$100,6,0),"")</f>
        <v/>
      </c>
      <c r="R99" s="336" t="n">
        <v>45839</v>
      </c>
      <c r="S99" s="305" t="inlineStr">
        <is>
          <t>Z359,O429</t>
        </is>
      </c>
      <c r="T99" s="241" t="n"/>
      <c r="U99" s="336" t="n">
        <v>45737</v>
      </c>
      <c r="V99" s="241" t="n"/>
      <c r="W99" s="241" t="n"/>
      <c r="X99" s="241" t="n"/>
      <c r="Y99" s="280" t="n"/>
    </row>
    <row r="100" ht="15.75" customHeight="1" s="195">
      <c r="A100" s="301" t="n">
        <v>95</v>
      </c>
      <c r="B100" s="302" t="inlineStr">
        <is>
          <t>00000012</t>
        </is>
      </c>
      <c r="C100" s="301" t="inlineStr">
        <is>
          <t>REGION</t>
        </is>
      </c>
      <c r="D100" s="302" t="inlineStr">
        <is>
          <t>CORDOVA RUIZ SARAI</t>
        </is>
      </c>
      <c r="E100" s="301" t="inlineStr">
        <is>
          <t>DNI</t>
        </is>
      </c>
      <c r="F100" s="301" t="inlineStr">
        <is>
          <t>46539091</t>
        </is>
      </c>
      <c r="G100" s="331" t="n">
        <v>45703</v>
      </c>
      <c r="H100" s="301" t="inlineStr">
        <is>
          <t>4954</t>
        </is>
      </c>
      <c r="I100" s="332">
        <f>IFERROR(VLOOKUP(TEXT(H100,"0"),IPRESS!$A$3:$B$212,2,0),"")</f>
        <v/>
      </c>
      <c r="J100" s="301" t="inlineStr">
        <is>
          <t>4950</t>
        </is>
      </c>
      <c r="K100" s="332">
        <f>IFERROR(VLOOKUP(TEXT(O100,"0"),CONDUCTORES!$A$3:$G$100,7,0),"")</f>
        <v/>
      </c>
      <c r="L100" s="245" t="n">
        <v>20.25</v>
      </c>
      <c r="M100" s="245" t="n">
        <v>6</v>
      </c>
      <c r="N100" s="333">
        <f>IFERROR(IF(L100*M100=0,"",L100*M100),"")</f>
        <v/>
      </c>
      <c r="O100" s="280" t="n"/>
      <c r="P100" s="332">
        <f>IFERROR(VLOOKUP(TEXT(O100,"0"),CONDUCTORES!$A$3:$G$100,2,0),"")</f>
        <v/>
      </c>
      <c r="Q100" s="332">
        <f>IFERROR(VLOOKUP(TEXT(O100,"0"),CONDUCTORES!$A$3:$H$100,6,0),"")</f>
        <v/>
      </c>
      <c r="R100" s="331" t="n">
        <v>45839</v>
      </c>
      <c r="S100" s="302" t="inlineStr">
        <is>
          <t>O200</t>
        </is>
      </c>
      <c r="T100" s="301" t="n"/>
      <c r="U100" s="331" t="n">
        <v>45720</v>
      </c>
      <c r="V100" s="301" t="n"/>
      <c r="W100" s="301" t="n"/>
      <c r="X100" s="301" t="n"/>
      <c r="Y100" s="280" t="n"/>
    </row>
    <row r="101" ht="15" customHeight="1" s="195">
      <c r="A101" s="334" t="n"/>
      <c r="B101" s="334" t="n"/>
      <c r="C101" s="334" t="n"/>
      <c r="D101" s="334" t="n"/>
      <c r="E101" s="334" t="n"/>
      <c r="F101" s="334" t="n"/>
      <c r="G101" s="334" t="n"/>
      <c r="H101" s="334" t="n"/>
      <c r="I101" s="332">
        <f>IFERROR(VLOOKUP(TEXT(H101,"0"),IPRESS!$A$3:$B$212,2,0),"")</f>
        <v/>
      </c>
      <c r="J101" s="334" t="n"/>
      <c r="K101" s="332">
        <f>IFERROR(VLOOKUP(TEXT(O101,"0"),CONDUCTORES!$A$3:$G$54,7,0),"")</f>
        <v/>
      </c>
      <c r="L101" s="334" t="n"/>
      <c r="M101" s="334" t="n"/>
      <c r="N101" s="333">
        <f>IFERROR(IF(L101*M101=0,"",L101*M101),"")</f>
        <v/>
      </c>
      <c r="O101" s="334" t="n"/>
      <c r="P101" s="332">
        <f>IFERROR(VLOOKUP(TEXT(O101,"0"),CONDUCTORES!$A$3:$G$54,2,0),"")</f>
        <v/>
      </c>
      <c r="Q101" s="332">
        <f>IFERROR(VLOOKUP(TEXT(O101,"0"),CONDUCTORES!$A$3:$H$54,6,0),"")</f>
        <v/>
      </c>
      <c r="R101" s="334" t="n"/>
      <c r="S101" s="334" t="n"/>
      <c r="T101" s="334" t="n"/>
      <c r="U101" s="334" t="n"/>
      <c r="V101" s="334" t="n"/>
      <c r="W101" s="334" t="n"/>
      <c r="X101" s="334" t="n"/>
      <c r="Y101" s="334" t="n"/>
    </row>
    <row r="102" ht="24" customHeight="1" s="195">
      <c r="A102" s="342" t="inlineStr">
        <is>
          <t>SUBTOTAL (cambia al filtrar por EESS) →</t>
        </is>
      </c>
      <c r="K102" s="343" t="n"/>
      <c r="L102" s="280" t="n"/>
      <c r="M102" s="344">
        <f>SUBTOTAL(9,M4:M100)</f>
        <v/>
      </c>
      <c r="N102" s="344">
        <f>SUBTOTAL(9,N4:N100)</f>
        <v/>
      </c>
      <c r="O102" s="280" t="n"/>
      <c r="P102" s="332">
        <f>IFERROR(VLOOKUP(TEXT(O102,"0"),CONDUCTORES!$A$3:$G$100,2,0),"")</f>
        <v/>
      </c>
      <c r="Q102" s="332">
        <f>IFERROR(VLOOKUP(TEXT(O102,"0"),CONDUCTORES!$A$3:$H$100,6,0),"")</f>
        <v/>
      </c>
      <c r="R102" s="280" t="n"/>
      <c r="S102" s="280" t="n"/>
      <c r="T102" s="280" t="n"/>
      <c r="U102" s="280" t="n"/>
      <c r="V102" s="280" t="n"/>
      <c r="W102" s="280" t="n"/>
      <c r="X102" s="280" t="n"/>
      <c r="Y102" s="280" t="n"/>
    </row>
    <row r="103" ht="15" customHeight="1" s="195">
      <c r="A103" s="334" t="n"/>
      <c r="B103" s="334" t="n"/>
      <c r="C103" s="334" t="n"/>
      <c r="D103" s="334" t="n"/>
      <c r="E103" s="334" t="n"/>
      <c r="F103" s="334" t="n"/>
      <c r="G103" s="334" t="n"/>
      <c r="H103" s="334" t="n"/>
      <c r="I103" s="343" t="n"/>
      <c r="J103" s="334" t="n"/>
      <c r="K103" s="343" t="n"/>
      <c r="L103" s="334" t="n"/>
      <c r="M103" s="334" t="n"/>
      <c r="N103" s="345" t="n"/>
      <c r="O103" s="334" t="n"/>
      <c r="P103" s="343" t="n"/>
      <c r="Q103" s="343" t="n"/>
      <c r="R103" s="334" t="n"/>
      <c r="S103" s="334" t="n"/>
      <c r="T103" s="334" t="n"/>
      <c r="U103" s="334" t="n"/>
      <c r="V103" s="334" t="n"/>
      <c r="W103" s="334" t="n"/>
      <c r="X103" s="334" t="n"/>
      <c r="Y103" s="334" t="n"/>
    </row>
    <row r="104" ht="15" customHeight="1" s="195">
      <c r="A104" s="280" t="n"/>
      <c r="B104" s="280" t="n"/>
      <c r="C104" s="280" t="n"/>
      <c r="D104" s="280" t="n"/>
      <c r="E104" s="280" t="n"/>
      <c r="F104" s="280" t="n"/>
      <c r="G104" s="280" t="n"/>
      <c r="H104" s="280" t="n"/>
      <c r="I104" s="343" t="n"/>
      <c r="J104" s="280" t="n"/>
      <c r="K104" s="343" t="n"/>
      <c r="L104" s="280" t="n"/>
      <c r="M104" s="280" t="n"/>
      <c r="N104" s="345" t="n"/>
      <c r="O104" s="280" t="n"/>
      <c r="P104" s="343" t="n"/>
      <c r="Q104" s="343" t="n"/>
      <c r="R104" s="280" t="n"/>
      <c r="S104" s="280" t="n"/>
      <c r="T104" s="280" t="n"/>
      <c r="U104" s="280" t="n"/>
      <c r="V104" s="280" t="n"/>
      <c r="W104" s="280" t="n"/>
      <c r="X104" s="280" t="n"/>
      <c r="Y104" s="280" t="n"/>
    </row>
    <row r="105" ht="15" customHeight="1" s="195">
      <c r="A105" s="334" t="n"/>
      <c r="B105" s="334" t="n"/>
      <c r="C105" s="334" t="n"/>
      <c r="D105" s="334" t="n"/>
      <c r="E105" s="334" t="n"/>
      <c r="F105" s="334" t="n"/>
      <c r="G105" s="334" t="n"/>
      <c r="H105" s="334" t="n"/>
      <c r="I105" s="343" t="n"/>
      <c r="J105" s="334" t="n"/>
      <c r="K105" s="343" t="n"/>
      <c r="L105" s="334" t="n"/>
      <c r="M105" s="334" t="n"/>
      <c r="N105" s="345" t="n"/>
      <c r="O105" s="334" t="n"/>
      <c r="P105" s="343" t="n"/>
      <c r="Q105" s="343" t="n"/>
      <c r="R105" s="334" t="n"/>
      <c r="S105" s="334" t="n"/>
      <c r="T105" s="334" t="n"/>
      <c r="U105" s="334" t="n"/>
      <c r="V105" s="334" t="n"/>
      <c r="W105" s="334" t="n"/>
      <c r="X105" s="334" t="n"/>
      <c r="Y105" s="334" t="n"/>
    </row>
    <row r="106" ht="15" customHeight="1" s="195">
      <c r="A106" s="280" t="n"/>
      <c r="B106" s="280" t="n"/>
      <c r="C106" s="280" t="n"/>
      <c r="D106" s="280" t="n"/>
      <c r="E106" s="280" t="n"/>
      <c r="F106" s="280" t="n"/>
      <c r="G106" s="280" t="n"/>
      <c r="H106" s="280" t="n"/>
      <c r="I106" s="343" t="n"/>
      <c r="J106" s="280" t="n"/>
      <c r="K106" s="343" t="n"/>
      <c r="L106" s="280" t="n"/>
      <c r="M106" s="280" t="n"/>
      <c r="N106" s="345" t="n"/>
      <c r="O106" s="280" t="n"/>
      <c r="P106" s="343" t="n"/>
      <c r="Q106" s="343" t="n"/>
      <c r="R106" s="280" t="n"/>
      <c r="S106" s="280" t="n"/>
      <c r="T106" s="280" t="n"/>
      <c r="U106" s="280" t="n"/>
      <c r="V106" s="280" t="n"/>
      <c r="W106" s="280" t="n"/>
      <c r="X106" s="280" t="n"/>
      <c r="Y106" s="280" t="n"/>
    </row>
    <row r="107" ht="15" customHeight="1" s="195">
      <c r="A107" s="334" t="n"/>
      <c r="B107" s="334" t="n"/>
      <c r="C107" s="334" t="n"/>
      <c r="D107" s="334" t="n"/>
      <c r="E107" s="334" t="n"/>
      <c r="F107" s="334" t="n"/>
      <c r="G107" s="334" t="n"/>
      <c r="H107" s="334" t="n"/>
      <c r="I107" s="332">
        <f>IFERROR(VLOOKUP(TEXT(H107,"0"),IPRESS!$A$3:$B$212,2,0),"")</f>
        <v/>
      </c>
      <c r="J107" s="334" t="n"/>
      <c r="K107" s="332">
        <f>IFERROR(VLOOKUP(TEXT(O107,"0"),CONDUCTORES!$A$3:$G$54,7,0),"")</f>
        <v/>
      </c>
      <c r="L107" s="334" t="n"/>
      <c r="M107" s="334" t="n"/>
      <c r="N107" s="333">
        <f>IFERROR(IF(L107*M107=0,"",L107*M107),"")</f>
        <v/>
      </c>
      <c r="O107" s="334" t="n"/>
      <c r="P107" s="332">
        <f>IFERROR(VLOOKUP(TEXT(O107,"0"),CONDUCTORES!$A$3:$G$54,2,0),"")</f>
        <v/>
      </c>
      <c r="Q107" s="332">
        <f>IFERROR(VLOOKUP(TEXT(O107,"0"),CONDUCTORES!$A$3:$H$54,6,0),"")</f>
        <v/>
      </c>
      <c r="R107" s="334" t="n"/>
      <c r="S107" s="334" t="n"/>
      <c r="T107" s="334" t="n"/>
      <c r="U107" s="334" t="n"/>
      <c r="V107" s="334" t="n"/>
      <c r="W107" s="334" t="n"/>
      <c r="X107" s="334" t="n"/>
      <c r="Y107" s="334" t="n"/>
    </row>
    <row r="108" ht="15" customHeight="1" s="195">
      <c r="A108" s="280" t="n"/>
      <c r="B108" s="280" t="n"/>
      <c r="C108" s="280" t="n"/>
      <c r="D108" s="280" t="n"/>
      <c r="E108" s="280" t="n"/>
      <c r="F108" s="280" t="n"/>
      <c r="G108" s="280" t="n"/>
      <c r="H108" s="280" t="n"/>
      <c r="I108" s="332">
        <f>IFERROR(VLOOKUP(TEXT(H108,"0"),IPRESS!$A$3:$B$212,2,0),"")</f>
        <v/>
      </c>
      <c r="J108" s="280" t="n"/>
      <c r="K108" s="332">
        <f>IFERROR(VLOOKUP(TEXT(O108,"0"),CONDUCTORES!$A$3:$G$54,7,0),"")</f>
        <v/>
      </c>
      <c r="L108" s="280" t="n"/>
      <c r="M108" s="280" t="n"/>
      <c r="N108" s="333">
        <f>IFERROR(IF(L108*M108=0,"",L108*M108),"")</f>
        <v/>
      </c>
      <c r="O108" s="280" t="n"/>
      <c r="P108" s="332">
        <f>IFERROR(VLOOKUP(TEXT(O108,"0"),CONDUCTORES!$A$3:$G$54,2,0),"")</f>
        <v/>
      </c>
      <c r="Q108" s="332">
        <f>IFERROR(VLOOKUP(TEXT(O108,"0"),CONDUCTORES!$A$3:$H$54,6,0),"")</f>
        <v/>
      </c>
      <c r="R108" s="280" t="n"/>
      <c r="S108" s="280" t="n"/>
      <c r="T108" s="280" t="n"/>
      <c r="U108" s="280" t="n"/>
      <c r="V108" s="280" t="n"/>
      <c r="W108" s="280" t="n"/>
      <c r="X108" s="280" t="n"/>
      <c r="Y108" s="280" t="n"/>
    </row>
    <row r="109" ht="15" customHeight="1" s="195">
      <c r="A109" s="334" t="n"/>
      <c r="B109" s="334" t="n"/>
      <c r="C109" s="334" t="n"/>
      <c r="D109" s="334" t="n"/>
      <c r="E109" s="334" t="n"/>
      <c r="F109" s="334" t="n"/>
      <c r="G109" s="334" t="n"/>
      <c r="H109" s="334" t="n"/>
      <c r="I109" s="332">
        <f>IFERROR(VLOOKUP(TEXT(H109,"0"),IPRESS!$A$3:$B$212,2,0),"")</f>
        <v/>
      </c>
      <c r="J109" s="334" t="n"/>
      <c r="K109" s="332">
        <f>IFERROR(VLOOKUP(TEXT(O109,"0"),CONDUCTORES!$A$3:$G$54,7,0),"")</f>
        <v/>
      </c>
      <c r="L109" s="334" t="n"/>
      <c r="M109" s="334" t="n"/>
      <c r="N109" s="333">
        <f>IFERROR(IF(L109*M109=0,"",L109*M109),"")</f>
        <v/>
      </c>
      <c r="O109" s="334" t="n"/>
      <c r="P109" s="332">
        <f>IFERROR(VLOOKUP(TEXT(O109,"0"),CONDUCTORES!$A$3:$G$54,2,0),"")</f>
        <v/>
      </c>
      <c r="Q109" s="332">
        <f>IFERROR(VLOOKUP(TEXT(O109,"0"),CONDUCTORES!$A$3:$H$54,6,0),"")</f>
        <v/>
      </c>
      <c r="R109" s="334" t="n"/>
      <c r="S109" s="334" t="n"/>
      <c r="T109" s="334" t="n"/>
      <c r="U109" s="334" t="n"/>
      <c r="V109" s="334" t="n"/>
      <c r="W109" s="334" t="n"/>
      <c r="X109" s="334" t="n"/>
      <c r="Y109" s="334" t="n"/>
    </row>
    <row r="110" ht="15" customHeight="1" s="195">
      <c r="A110" s="280" t="n"/>
      <c r="B110" s="280" t="n"/>
      <c r="C110" s="280" t="n"/>
      <c r="D110" s="280" t="n"/>
      <c r="E110" s="280" t="n"/>
      <c r="F110" s="280" t="n"/>
      <c r="G110" s="280" t="n"/>
      <c r="H110" s="280" t="n"/>
      <c r="I110" s="332">
        <f>IFERROR(VLOOKUP(TEXT(H110,"0"),IPRESS!$A$3:$B$212,2,0),"")</f>
        <v/>
      </c>
      <c r="J110" s="280" t="n"/>
      <c r="K110" s="332">
        <f>IFERROR(VLOOKUP(TEXT(O110,"0"),CONDUCTORES!$A$3:$G$54,7,0),"")</f>
        <v/>
      </c>
      <c r="L110" s="280" t="n"/>
      <c r="M110" s="280" t="n"/>
      <c r="N110" s="333">
        <f>IFERROR(IF(L110*M110=0,"",L110*M110),"")</f>
        <v/>
      </c>
      <c r="O110" s="280" t="n"/>
      <c r="P110" s="332">
        <f>IFERROR(VLOOKUP(TEXT(O110,"0"),CONDUCTORES!$A$3:$G$54,2,0),"")</f>
        <v/>
      </c>
      <c r="Q110" s="332">
        <f>IFERROR(VLOOKUP(TEXT(O110,"0"),CONDUCTORES!$A$3:$H$54,6,0),"")</f>
        <v/>
      </c>
      <c r="R110" s="280" t="n"/>
      <c r="S110" s="280" t="n"/>
      <c r="T110" s="280" t="n"/>
      <c r="U110" s="280" t="n"/>
      <c r="V110" s="280" t="n"/>
      <c r="W110" s="280" t="n"/>
      <c r="X110" s="280" t="n"/>
      <c r="Y110" s="280" t="n"/>
    </row>
    <row r="111" ht="15" customHeight="1" s="195">
      <c r="A111" s="334" t="n"/>
      <c r="B111" s="334" t="n"/>
      <c r="C111" s="334" t="n"/>
      <c r="D111" s="334" t="n"/>
      <c r="E111" s="334" t="n"/>
      <c r="F111" s="334" t="n"/>
      <c r="G111" s="334" t="n"/>
      <c r="H111" s="334" t="n"/>
      <c r="I111" s="332">
        <f>IFERROR(VLOOKUP(TEXT(H111,"0"),IPRESS!$A$3:$B$212,2,0),"")</f>
        <v/>
      </c>
      <c r="J111" s="334" t="n"/>
      <c r="K111" s="332">
        <f>IFERROR(VLOOKUP(TEXT(O111,"0"),CONDUCTORES!$A$3:$G$54,7,0),"")</f>
        <v/>
      </c>
      <c r="L111" s="334" t="n"/>
      <c r="M111" s="334" t="n"/>
      <c r="N111" s="333">
        <f>IFERROR(IF(L111*M111=0,"",L111*M111),"")</f>
        <v/>
      </c>
      <c r="O111" s="334" t="n"/>
      <c r="P111" s="332">
        <f>IFERROR(VLOOKUP(TEXT(O111,"0"),CONDUCTORES!$A$3:$G$54,2,0),"")</f>
        <v/>
      </c>
      <c r="Q111" s="332">
        <f>IFERROR(VLOOKUP(TEXT(O111,"0"),CONDUCTORES!$A$3:$H$54,6,0),"")</f>
        <v/>
      </c>
      <c r="R111" s="334" t="n"/>
      <c r="S111" s="334" t="n"/>
      <c r="T111" s="334" t="n"/>
      <c r="U111" s="334" t="n"/>
      <c r="V111" s="334" t="n"/>
      <c r="W111" s="334" t="n"/>
      <c r="X111" s="334" t="n"/>
      <c r="Y111" s="334" t="n"/>
    </row>
    <row r="112" ht="15" customHeight="1" s="195">
      <c r="A112" s="280" t="n"/>
      <c r="B112" s="280" t="n"/>
      <c r="C112" s="280" t="n"/>
      <c r="D112" s="280" t="n"/>
      <c r="E112" s="280" t="n"/>
      <c r="F112" s="280" t="n"/>
      <c r="G112" s="280" t="n"/>
      <c r="H112" s="280" t="n"/>
      <c r="I112" s="332">
        <f>IFERROR(VLOOKUP(TEXT(H112,"0"),IPRESS!$A$3:$B$212,2,0),"")</f>
        <v/>
      </c>
      <c r="J112" s="280" t="n"/>
      <c r="K112" s="332">
        <f>IFERROR(VLOOKUP(TEXT(O112,"0"),CONDUCTORES!$A$3:$G$54,7,0),"")</f>
        <v/>
      </c>
      <c r="L112" s="280" t="n"/>
      <c r="M112" s="280" t="n"/>
      <c r="N112" s="333">
        <f>IFERROR(IF(L112*M112=0,"",L112*M112),"")</f>
        <v/>
      </c>
      <c r="O112" s="280" t="n"/>
      <c r="P112" s="332">
        <f>IFERROR(VLOOKUP(TEXT(O112,"0"),CONDUCTORES!$A$3:$G$54,2,0),"")</f>
        <v/>
      </c>
      <c r="Q112" s="332">
        <f>IFERROR(VLOOKUP(TEXT(O112,"0"),CONDUCTORES!$A$3:$H$54,6,0),"")</f>
        <v/>
      </c>
      <c r="R112" s="280" t="n"/>
      <c r="S112" s="280" t="n"/>
      <c r="T112" s="280" t="n"/>
      <c r="U112" s="280" t="n"/>
      <c r="V112" s="280" t="n"/>
      <c r="W112" s="280" t="n"/>
      <c r="X112" s="280" t="n"/>
      <c r="Y112" s="280" t="n"/>
    </row>
    <row r="113" ht="15" customHeight="1" s="195">
      <c r="A113" s="334" t="n"/>
      <c r="B113" s="334" t="n"/>
      <c r="C113" s="334" t="n"/>
      <c r="D113" s="334" t="n"/>
      <c r="E113" s="334" t="n"/>
      <c r="F113" s="334" t="n"/>
      <c r="G113" s="334" t="n"/>
      <c r="H113" s="334" t="n"/>
      <c r="I113" s="332">
        <f>IFERROR(VLOOKUP(TEXT(H113,"0"),IPRESS!$A$3:$B$212,2,0),"")</f>
        <v/>
      </c>
      <c r="J113" s="334" t="n"/>
      <c r="K113" s="332">
        <f>IFERROR(VLOOKUP(TEXT(O113,"0"),CONDUCTORES!$A$3:$G$54,7,0),"")</f>
        <v/>
      </c>
      <c r="L113" s="334" t="n"/>
      <c r="M113" s="334" t="n"/>
      <c r="N113" s="333">
        <f>IFERROR(IF(L113*M113=0,"",L113*M113),"")</f>
        <v/>
      </c>
      <c r="O113" s="334" t="n"/>
      <c r="P113" s="332">
        <f>IFERROR(VLOOKUP(TEXT(O113,"0"),CONDUCTORES!$A$3:$G$54,2,0),"")</f>
        <v/>
      </c>
      <c r="Q113" s="332">
        <f>IFERROR(VLOOKUP(TEXT(O113,"0"),CONDUCTORES!$A$3:$H$54,6,0),"")</f>
        <v/>
      </c>
      <c r="R113" s="334" t="n"/>
      <c r="S113" s="334" t="n"/>
      <c r="T113" s="334" t="n"/>
      <c r="U113" s="334" t="n"/>
      <c r="V113" s="334" t="n"/>
      <c r="W113" s="334" t="n"/>
      <c r="X113" s="334" t="n"/>
      <c r="Y113" s="334" t="n"/>
    </row>
    <row r="114" ht="15" customHeight="1" s="195">
      <c r="A114" s="280" t="n"/>
      <c r="B114" s="280" t="n"/>
      <c r="C114" s="280" t="n"/>
      <c r="D114" s="280" t="n"/>
      <c r="E114" s="280" t="n"/>
      <c r="F114" s="280" t="n"/>
      <c r="G114" s="280" t="n"/>
      <c r="H114" s="280" t="n"/>
      <c r="I114" s="332">
        <f>IFERROR(VLOOKUP(TEXT(H114,"0"),IPRESS!$A$3:$B$212,2,0),"")</f>
        <v/>
      </c>
      <c r="J114" s="280" t="n"/>
      <c r="K114" s="332">
        <f>IFERROR(VLOOKUP(TEXT(O114,"0"),CONDUCTORES!$A$3:$G$54,7,0),"")</f>
        <v/>
      </c>
      <c r="L114" s="280" t="n"/>
      <c r="M114" s="280" t="n"/>
      <c r="N114" s="333">
        <f>IFERROR(IF(L114*M114=0,"",L114*M114),"")</f>
        <v/>
      </c>
      <c r="O114" s="280" t="n"/>
      <c r="P114" s="332">
        <f>IFERROR(VLOOKUP(TEXT(O114,"0"),CONDUCTORES!$A$3:$G$54,2,0),"")</f>
        <v/>
      </c>
      <c r="Q114" s="332">
        <f>IFERROR(VLOOKUP(TEXT(O114,"0"),CONDUCTORES!$A$3:$H$54,6,0),"")</f>
        <v/>
      </c>
      <c r="R114" s="280" t="n"/>
      <c r="S114" s="280" t="n"/>
      <c r="T114" s="280" t="n"/>
      <c r="U114" s="280" t="n"/>
      <c r="V114" s="280" t="n"/>
      <c r="W114" s="280" t="n"/>
      <c r="X114" s="280" t="n"/>
      <c r="Y114" s="280" t="n"/>
    </row>
    <row r="115" ht="15" customHeight="1" s="195">
      <c r="A115" s="334" t="n"/>
      <c r="B115" s="334" t="n"/>
      <c r="C115" s="334" t="n"/>
      <c r="D115" s="334" t="n"/>
      <c r="E115" s="334" t="n"/>
      <c r="F115" s="334" t="n"/>
      <c r="G115" s="334" t="n"/>
      <c r="H115" s="334" t="n"/>
      <c r="I115" s="332">
        <f>IFERROR(VLOOKUP(TEXT(H115,"0"),IPRESS!$A$3:$B$212,2,0),"")</f>
        <v/>
      </c>
      <c r="J115" s="334" t="n"/>
      <c r="K115" s="332">
        <f>IFERROR(VLOOKUP(TEXT(O115,"0"),CONDUCTORES!$A$3:$G$54,7,0),"")</f>
        <v/>
      </c>
      <c r="L115" s="334" t="n"/>
      <c r="M115" s="334" t="n"/>
      <c r="N115" s="333">
        <f>IFERROR(IF(L115*M115=0,"",L115*M115),"")</f>
        <v/>
      </c>
      <c r="O115" s="334" t="n"/>
      <c r="P115" s="332">
        <f>IFERROR(VLOOKUP(TEXT(O115,"0"),CONDUCTORES!$A$3:$G$54,2,0),"")</f>
        <v/>
      </c>
      <c r="Q115" s="332">
        <f>IFERROR(VLOOKUP(TEXT(O115,"0"),CONDUCTORES!$A$3:$H$54,6,0),"")</f>
        <v/>
      </c>
      <c r="R115" s="334" t="n"/>
      <c r="S115" s="334" t="n"/>
      <c r="T115" s="334" t="n"/>
      <c r="U115" s="334" t="n"/>
      <c r="V115" s="334" t="n"/>
      <c r="W115" s="334" t="n"/>
      <c r="X115" s="334" t="n"/>
      <c r="Y115" s="334" t="n"/>
    </row>
    <row r="116" ht="15" customHeight="1" s="195">
      <c r="A116" s="280" t="n"/>
      <c r="B116" s="280" t="n"/>
      <c r="C116" s="280" t="n"/>
      <c r="D116" s="280" t="n"/>
      <c r="E116" s="280" t="n"/>
      <c r="F116" s="280" t="n"/>
      <c r="G116" s="280" t="n"/>
      <c r="H116" s="280" t="n"/>
      <c r="I116" s="332">
        <f>IFERROR(VLOOKUP(TEXT(H116,"0"),IPRESS!$A$3:$B$212,2,0),"")</f>
        <v/>
      </c>
      <c r="J116" s="280" t="n"/>
      <c r="K116" s="332">
        <f>IFERROR(VLOOKUP(TEXT(O116,"0"),CONDUCTORES!$A$3:$G$54,7,0),"")</f>
        <v/>
      </c>
      <c r="L116" s="280" t="n"/>
      <c r="M116" s="280" t="n"/>
      <c r="N116" s="333">
        <f>IFERROR(IF(L116*M116=0,"",L116*M116),"")</f>
        <v/>
      </c>
      <c r="O116" s="280" t="n"/>
      <c r="P116" s="332">
        <f>IFERROR(VLOOKUP(TEXT(O116,"0"),CONDUCTORES!$A$3:$G$54,2,0),"")</f>
        <v/>
      </c>
      <c r="Q116" s="332">
        <f>IFERROR(VLOOKUP(TEXT(O116,"0"),CONDUCTORES!$A$3:$H$54,6,0),"")</f>
        <v/>
      </c>
      <c r="R116" s="280" t="n"/>
      <c r="S116" s="280" t="n"/>
      <c r="T116" s="280" t="n"/>
      <c r="U116" s="280" t="n"/>
      <c r="V116" s="280" t="n"/>
      <c r="W116" s="280" t="n"/>
      <c r="X116" s="280" t="n"/>
      <c r="Y116" s="280" t="n"/>
    </row>
    <row r="117" ht="15" customHeight="1" s="195">
      <c r="A117" s="334" t="n"/>
      <c r="B117" s="334" t="n"/>
      <c r="C117" s="334" t="n"/>
      <c r="D117" s="334" t="n"/>
      <c r="E117" s="334" t="n"/>
      <c r="F117" s="334" t="n"/>
      <c r="G117" s="334" t="n"/>
      <c r="H117" s="334" t="n"/>
      <c r="I117" s="332">
        <f>IFERROR(VLOOKUP(TEXT(H117,"0"),IPRESS!$A$3:$B$212,2,0),"")</f>
        <v/>
      </c>
      <c r="J117" s="334" t="n"/>
      <c r="K117" s="332">
        <f>IFERROR(VLOOKUP(TEXT(O117,"0"),CONDUCTORES!$A$3:$G$54,7,0),"")</f>
        <v/>
      </c>
      <c r="L117" s="334" t="n"/>
      <c r="M117" s="334" t="n"/>
      <c r="N117" s="333">
        <f>IFERROR(IF(L117*M117=0,"",L117*M117),"")</f>
        <v/>
      </c>
      <c r="O117" s="334" t="n"/>
      <c r="P117" s="332">
        <f>IFERROR(VLOOKUP(TEXT(O117,"0"),CONDUCTORES!$A$3:$G$54,2,0),"")</f>
        <v/>
      </c>
      <c r="Q117" s="332">
        <f>IFERROR(VLOOKUP(TEXT(O117,"0"),CONDUCTORES!$A$3:$H$54,6,0),"")</f>
        <v/>
      </c>
      <c r="R117" s="334" t="n"/>
      <c r="S117" s="334" t="n"/>
      <c r="T117" s="334" t="n"/>
      <c r="U117" s="334" t="n"/>
      <c r="V117" s="334" t="n"/>
      <c r="W117" s="334" t="n"/>
      <c r="X117" s="334" t="n"/>
      <c r="Y117" s="334" t="n"/>
    </row>
    <row r="118" ht="15" customHeight="1" s="195">
      <c r="A118" s="280" t="n"/>
      <c r="B118" s="280" t="n"/>
      <c r="C118" s="280" t="n"/>
      <c r="D118" s="280" t="n"/>
      <c r="E118" s="280" t="n"/>
      <c r="F118" s="280" t="n"/>
      <c r="G118" s="280" t="n"/>
      <c r="H118" s="280" t="n"/>
      <c r="I118" s="332">
        <f>IFERROR(VLOOKUP(TEXT(H118,"0"),IPRESS!$A$3:$B$212,2,0),"")</f>
        <v/>
      </c>
      <c r="J118" s="280" t="n"/>
      <c r="K118" s="332">
        <f>IFERROR(VLOOKUP(TEXT(O118,"0"),CONDUCTORES!$A$3:$G$54,7,0),"")</f>
        <v/>
      </c>
      <c r="L118" s="280" t="n"/>
      <c r="M118" s="280" t="n"/>
      <c r="N118" s="333">
        <f>IFERROR(IF(L118*M118=0,"",L118*M118),"")</f>
        <v/>
      </c>
      <c r="O118" s="280" t="n"/>
      <c r="P118" s="332">
        <f>IFERROR(VLOOKUP(TEXT(O118,"0"),CONDUCTORES!$A$3:$G$54,2,0),"")</f>
        <v/>
      </c>
      <c r="Q118" s="332">
        <f>IFERROR(VLOOKUP(TEXT(O118,"0"),CONDUCTORES!$A$3:$H$54,6,0),"")</f>
        <v/>
      </c>
      <c r="R118" s="280" t="n"/>
      <c r="S118" s="280" t="n"/>
      <c r="T118" s="280" t="n"/>
      <c r="U118" s="280" t="n"/>
      <c r="V118" s="280" t="n"/>
      <c r="W118" s="280" t="n"/>
      <c r="X118" s="280" t="n"/>
      <c r="Y118" s="280" t="n"/>
    </row>
    <row r="119" ht="15" customHeight="1" s="195">
      <c r="A119" s="334" t="n"/>
      <c r="B119" s="334" t="n"/>
      <c r="C119" s="334" t="n"/>
      <c r="D119" s="334" t="n"/>
      <c r="E119" s="334" t="n"/>
      <c r="F119" s="334" t="n"/>
      <c r="G119" s="334" t="n"/>
      <c r="H119" s="334" t="n"/>
      <c r="I119" s="332">
        <f>IFERROR(VLOOKUP(TEXT(H119,"0"),IPRESS!$A$3:$B$212,2,0),"")</f>
        <v/>
      </c>
      <c r="J119" s="334" t="n"/>
      <c r="K119" s="332">
        <f>IFERROR(VLOOKUP(TEXT(O119,"0"),CONDUCTORES!$A$3:$G$54,7,0),"")</f>
        <v/>
      </c>
      <c r="L119" s="334" t="n"/>
      <c r="M119" s="334" t="n"/>
      <c r="N119" s="333">
        <f>IFERROR(IF(L119*M119=0,"",L119*M119),"")</f>
        <v/>
      </c>
      <c r="O119" s="334" t="n"/>
      <c r="P119" s="332">
        <f>IFERROR(VLOOKUP(TEXT(O119,"0"),CONDUCTORES!$A$3:$G$54,2,0),"")</f>
        <v/>
      </c>
      <c r="Q119" s="332">
        <f>IFERROR(VLOOKUP(TEXT(O119,"0"),CONDUCTORES!$A$3:$H$54,6,0),"")</f>
        <v/>
      </c>
      <c r="R119" s="334" t="n"/>
      <c r="S119" s="334" t="n"/>
      <c r="T119" s="334" t="n"/>
      <c r="U119" s="334" t="n"/>
      <c r="V119" s="334" t="n"/>
      <c r="W119" s="334" t="n"/>
      <c r="X119" s="334" t="n"/>
      <c r="Y119" s="334" t="n"/>
    </row>
    <row r="120" ht="15" customHeight="1" s="195">
      <c r="A120" s="280" t="n"/>
      <c r="B120" s="280" t="n"/>
      <c r="C120" s="280" t="n"/>
      <c r="D120" s="280" t="n"/>
      <c r="E120" s="280" t="n"/>
      <c r="F120" s="280" t="n"/>
      <c r="G120" s="280" t="n"/>
      <c r="H120" s="280" t="n"/>
      <c r="I120" s="332">
        <f>IFERROR(VLOOKUP(TEXT(H120,"0"),IPRESS!$A$3:$B$212,2,0),"")</f>
        <v/>
      </c>
      <c r="J120" s="280" t="n"/>
      <c r="K120" s="332">
        <f>IFERROR(VLOOKUP(TEXT(O120,"0"),CONDUCTORES!$A$3:$G$54,7,0),"")</f>
        <v/>
      </c>
      <c r="L120" s="280" t="n"/>
      <c r="M120" s="280" t="n"/>
      <c r="N120" s="333">
        <f>IFERROR(IF(L120*M120=0,"",L120*M120),"")</f>
        <v/>
      </c>
      <c r="O120" s="280" t="n"/>
      <c r="P120" s="332">
        <f>IFERROR(VLOOKUP(TEXT(O120,"0"),CONDUCTORES!$A$3:$G$54,2,0),"")</f>
        <v/>
      </c>
      <c r="Q120" s="332">
        <f>IFERROR(VLOOKUP(TEXT(O120,"0"),CONDUCTORES!$A$3:$H$54,6,0),"")</f>
        <v/>
      </c>
      <c r="R120" s="280" t="n"/>
      <c r="S120" s="280" t="n"/>
      <c r="T120" s="280" t="n"/>
      <c r="U120" s="280" t="n"/>
      <c r="V120" s="280" t="n"/>
      <c r="W120" s="280" t="n"/>
      <c r="X120" s="280" t="n"/>
      <c r="Y120" s="280" t="n"/>
    </row>
    <row r="121" ht="15" customHeight="1" s="195">
      <c r="A121" s="334" t="n"/>
      <c r="B121" s="334" t="n"/>
      <c r="C121" s="334" t="n"/>
      <c r="D121" s="334" t="n"/>
      <c r="E121" s="334" t="n"/>
      <c r="F121" s="334" t="n"/>
      <c r="G121" s="334" t="n"/>
      <c r="H121" s="334" t="n"/>
      <c r="I121" s="332">
        <f>IFERROR(VLOOKUP(TEXT(H121,"0"),IPRESS!$A$3:$B$212,2,0),"")</f>
        <v/>
      </c>
      <c r="J121" s="334" t="n"/>
      <c r="K121" s="332">
        <f>IFERROR(VLOOKUP(TEXT(O121,"0"),CONDUCTORES!$A$3:$G$54,7,0),"")</f>
        <v/>
      </c>
      <c r="L121" s="334" t="n"/>
      <c r="M121" s="334" t="n"/>
      <c r="N121" s="333">
        <f>IFERROR(IF(L121*M121=0,"",L121*M121),"")</f>
        <v/>
      </c>
      <c r="O121" s="334" t="n"/>
      <c r="P121" s="332">
        <f>IFERROR(VLOOKUP(TEXT(O121,"0"),CONDUCTORES!$A$3:$G$54,2,0),"")</f>
        <v/>
      </c>
      <c r="Q121" s="332">
        <f>IFERROR(VLOOKUP(TEXT(O121,"0"),CONDUCTORES!$A$3:$H$54,6,0),"")</f>
        <v/>
      </c>
      <c r="R121" s="334" t="n"/>
      <c r="S121" s="334" t="n"/>
      <c r="T121" s="334" t="n"/>
      <c r="U121" s="334" t="n"/>
      <c r="V121" s="334" t="n"/>
      <c r="W121" s="334" t="n"/>
      <c r="X121" s="334" t="n"/>
      <c r="Y121" s="334" t="n"/>
    </row>
    <row r="122" ht="15" customHeight="1" s="195">
      <c r="A122" s="280" t="n"/>
      <c r="B122" s="280" t="n"/>
      <c r="C122" s="280" t="n"/>
      <c r="D122" s="280" t="n"/>
      <c r="E122" s="280" t="n"/>
      <c r="F122" s="280" t="n"/>
      <c r="G122" s="280" t="n"/>
      <c r="H122" s="280" t="n"/>
      <c r="I122" s="332">
        <f>IFERROR(VLOOKUP(TEXT(H122,"0"),IPRESS!$A$3:$B$212,2,0),"")</f>
        <v/>
      </c>
      <c r="J122" s="280" t="n"/>
      <c r="K122" s="332">
        <f>IFERROR(VLOOKUP(TEXT(O122,"0"),CONDUCTORES!$A$3:$G$54,7,0),"")</f>
        <v/>
      </c>
      <c r="L122" s="280" t="n"/>
      <c r="M122" s="280" t="n"/>
      <c r="N122" s="333">
        <f>IFERROR(IF(L122*M122=0,"",L122*M122),"")</f>
        <v/>
      </c>
      <c r="O122" s="280" t="n"/>
      <c r="P122" s="332">
        <f>IFERROR(VLOOKUP(TEXT(O122,"0"),CONDUCTORES!$A$3:$G$54,2,0),"")</f>
        <v/>
      </c>
      <c r="Q122" s="332">
        <f>IFERROR(VLOOKUP(TEXT(O122,"0"),CONDUCTORES!$A$3:$H$54,6,0),"")</f>
        <v/>
      </c>
      <c r="R122" s="280" t="n"/>
      <c r="S122" s="280" t="n"/>
      <c r="T122" s="280" t="n"/>
      <c r="U122" s="280" t="n"/>
      <c r="V122" s="280" t="n"/>
      <c r="W122" s="280" t="n"/>
      <c r="X122" s="280" t="n"/>
      <c r="Y122" s="280" t="n"/>
    </row>
    <row r="123" ht="15" customHeight="1" s="195">
      <c r="A123" s="334" t="n"/>
      <c r="B123" s="334" t="n"/>
      <c r="C123" s="334" t="n"/>
      <c r="D123" s="334" t="n"/>
      <c r="E123" s="334" t="n"/>
      <c r="F123" s="334" t="n"/>
      <c r="G123" s="334" t="n"/>
      <c r="H123" s="334" t="n"/>
      <c r="I123" s="332">
        <f>IFERROR(VLOOKUP(TEXT(H123,"0"),IPRESS!$A$3:$B$212,2,0),"")</f>
        <v/>
      </c>
      <c r="J123" s="334" t="n"/>
      <c r="K123" s="332">
        <f>IFERROR(VLOOKUP(TEXT(O123,"0"),CONDUCTORES!$A$3:$G$54,7,0),"")</f>
        <v/>
      </c>
      <c r="L123" s="334" t="n"/>
      <c r="M123" s="334" t="n"/>
      <c r="N123" s="333">
        <f>IFERROR(IF(L123*M123=0,"",L123*M123),"")</f>
        <v/>
      </c>
      <c r="O123" s="334" t="n"/>
      <c r="P123" s="332">
        <f>IFERROR(VLOOKUP(TEXT(O123,"0"),CONDUCTORES!$A$3:$G$54,2,0),"")</f>
        <v/>
      </c>
      <c r="Q123" s="332">
        <f>IFERROR(VLOOKUP(TEXT(O123,"0"),CONDUCTORES!$A$3:$H$54,6,0),"")</f>
        <v/>
      </c>
      <c r="R123" s="334" t="n"/>
      <c r="S123" s="334" t="n"/>
      <c r="T123" s="334" t="n"/>
      <c r="U123" s="334" t="n"/>
      <c r="V123" s="334" t="n"/>
      <c r="W123" s="334" t="n"/>
      <c r="X123" s="334" t="n"/>
      <c r="Y123" s="334" t="n"/>
    </row>
    <row r="124" ht="15" customHeight="1" s="195">
      <c r="A124" s="280" t="n"/>
      <c r="B124" s="280" t="n"/>
      <c r="C124" s="280" t="n"/>
      <c r="D124" s="280" t="n"/>
      <c r="E124" s="280" t="n"/>
      <c r="F124" s="280" t="n"/>
      <c r="G124" s="280" t="n"/>
      <c r="H124" s="280" t="n"/>
      <c r="I124" s="332">
        <f>IFERROR(VLOOKUP(TEXT(H124,"0"),IPRESS!$A$3:$B$212,2,0),"")</f>
        <v/>
      </c>
      <c r="J124" s="280" t="n"/>
      <c r="K124" s="332">
        <f>IFERROR(VLOOKUP(TEXT(O124,"0"),CONDUCTORES!$A$3:$G$54,7,0),"")</f>
        <v/>
      </c>
      <c r="L124" s="280" t="n"/>
      <c r="M124" s="280" t="n"/>
      <c r="N124" s="333">
        <f>IFERROR(IF(L124*M124=0,"",L124*M124),"")</f>
        <v/>
      </c>
      <c r="O124" s="280" t="n"/>
      <c r="P124" s="332">
        <f>IFERROR(VLOOKUP(TEXT(O124,"0"),CONDUCTORES!$A$3:$G$54,2,0),"")</f>
        <v/>
      </c>
      <c r="Q124" s="332">
        <f>IFERROR(VLOOKUP(TEXT(O124,"0"),CONDUCTORES!$A$3:$H$54,6,0),"")</f>
        <v/>
      </c>
      <c r="R124" s="280" t="n"/>
      <c r="S124" s="280" t="n"/>
      <c r="T124" s="280" t="n"/>
      <c r="U124" s="280" t="n"/>
      <c r="V124" s="280" t="n"/>
      <c r="W124" s="280" t="n"/>
      <c r="X124" s="280" t="n"/>
      <c r="Y124" s="280" t="n"/>
    </row>
    <row r="125" ht="15" customHeight="1" s="195">
      <c r="A125" s="334" t="n"/>
      <c r="B125" s="334" t="n"/>
      <c r="C125" s="334" t="n"/>
      <c r="D125" s="334" t="n"/>
      <c r="E125" s="334" t="n"/>
      <c r="F125" s="334" t="n"/>
      <c r="G125" s="334" t="n"/>
      <c r="H125" s="334" t="n"/>
      <c r="I125" s="332">
        <f>IFERROR(VLOOKUP(TEXT(H125,"0"),IPRESS!$A$3:$B$212,2,0),"")</f>
        <v/>
      </c>
      <c r="J125" s="334" t="n"/>
      <c r="K125" s="332">
        <f>IFERROR(VLOOKUP(TEXT(O125,"0"),CONDUCTORES!$A$3:$G$54,7,0),"")</f>
        <v/>
      </c>
      <c r="L125" s="334" t="n"/>
      <c r="M125" s="334" t="n"/>
      <c r="N125" s="333">
        <f>IFERROR(IF(L125*M125=0,"",L125*M125),"")</f>
        <v/>
      </c>
      <c r="O125" s="334" t="n"/>
      <c r="P125" s="332">
        <f>IFERROR(VLOOKUP(TEXT(O125,"0"),CONDUCTORES!$A$3:$G$54,2,0),"")</f>
        <v/>
      </c>
      <c r="Q125" s="332">
        <f>IFERROR(VLOOKUP(TEXT(O125,"0"),CONDUCTORES!$A$3:$H$54,6,0),"")</f>
        <v/>
      </c>
      <c r="R125" s="334" t="n"/>
      <c r="S125" s="334" t="n"/>
      <c r="T125" s="334" t="n"/>
      <c r="U125" s="334" t="n"/>
      <c r="V125" s="334" t="n"/>
      <c r="W125" s="334" t="n"/>
      <c r="X125" s="334" t="n"/>
      <c r="Y125" s="334" t="n"/>
    </row>
    <row r="126" ht="15" customHeight="1" s="195">
      <c r="A126" s="280" t="n"/>
      <c r="B126" s="280" t="n"/>
      <c r="C126" s="280" t="n"/>
      <c r="D126" s="280" t="n"/>
      <c r="E126" s="280" t="n"/>
      <c r="F126" s="280" t="n"/>
      <c r="G126" s="280" t="n"/>
      <c r="H126" s="280" t="n"/>
      <c r="I126" s="332">
        <f>IFERROR(VLOOKUP(TEXT(H126,"0"),IPRESS!$A$3:$B$212,2,0),"")</f>
        <v/>
      </c>
      <c r="J126" s="280" t="n"/>
      <c r="K126" s="332">
        <f>IFERROR(VLOOKUP(TEXT(O126,"0"),CONDUCTORES!$A$3:$G$54,7,0),"")</f>
        <v/>
      </c>
      <c r="L126" s="280" t="n"/>
      <c r="M126" s="280" t="n"/>
      <c r="N126" s="333">
        <f>IFERROR(IF(L126*M126=0,"",L126*M126),"")</f>
        <v/>
      </c>
      <c r="O126" s="280" t="n"/>
      <c r="P126" s="332">
        <f>IFERROR(VLOOKUP(TEXT(O126,"0"),CONDUCTORES!$A$3:$G$54,2,0),"")</f>
        <v/>
      </c>
      <c r="Q126" s="332">
        <f>IFERROR(VLOOKUP(TEXT(O126,"0"),CONDUCTORES!$A$3:$H$54,6,0),"")</f>
        <v/>
      </c>
      <c r="R126" s="280" t="n"/>
      <c r="S126" s="280" t="n"/>
      <c r="T126" s="280" t="n"/>
      <c r="U126" s="280" t="n"/>
      <c r="V126" s="280" t="n"/>
      <c r="W126" s="280" t="n"/>
      <c r="X126" s="280" t="n"/>
      <c r="Y126" s="280" t="n"/>
    </row>
    <row r="127" ht="15" customHeight="1" s="195">
      <c r="A127" s="334" t="n"/>
      <c r="B127" s="334" t="n"/>
      <c r="C127" s="334" t="n"/>
      <c r="D127" s="334" t="n"/>
      <c r="E127" s="334" t="n"/>
      <c r="F127" s="334" t="n"/>
      <c r="G127" s="334" t="n"/>
      <c r="H127" s="334" t="n"/>
      <c r="I127" s="332">
        <f>IFERROR(VLOOKUP(TEXT(H127,"0"),IPRESS!$A$3:$B$212,2,0),"")</f>
        <v/>
      </c>
      <c r="J127" s="334" t="n"/>
      <c r="K127" s="332">
        <f>IFERROR(VLOOKUP(TEXT(O127,"0"),CONDUCTORES!$A$3:$G$54,7,0),"")</f>
        <v/>
      </c>
      <c r="L127" s="334" t="n"/>
      <c r="M127" s="334" t="n"/>
      <c r="N127" s="333">
        <f>IFERROR(IF(L127*M127=0,"",L127*M127),"")</f>
        <v/>
      </c>
      <c r="O127" s="334" t="n"/>
      <c r="P127" s="332">
        <f>IFERROR(VLOOKUP(TEXT(O127,"0"),CONDUCTORES!$A$3:$G$54,2,0),"")</f>
        <v/>
      </c>
      <c r="Q127" s="332">
        <f>IFERROR(VLOOKUP(TEXT(O127,"0"),CONDUCTORES!$A$3:$H$54,6,0),"")</f>
        <v/>
      </c>
      <c r="R127" s="334" t="n"/>
      <c r="S127" s="334" t="n"/>
      <c r="T127" s="334" t="n"/>
      <c r="U127" s="334" t="n"/>
      <c r="V127" s="334" t="n"/>
      <c r="W127" s="334" t="n"/>
      <c r="X127" s="334" t="n"/>
      <c r="Y127" s="334" t="n"/>
    </row>
    <row r="128" ht="15" customHeight="1" s="195">
      <c r="A128" s="280" t="n"/>
      <c r="B128" s="280" t="n"/>
      <c r="C128" s="280" t="n"/>
      <c r="D128" s="280" t="n"/>
      <c r="E128" s="280" t="n"/>
      <c r="F128" s="280" t="n"/>
      <c r="G128" s="280" t="n"/>
      <c r="H128" s="280" t="n"/>
      <c r="I128" s="332">
        <f>IFERROR(VLOOKUP(TEXT(H128,"0"),IPRESS!$A$3:$B$212,2,0),"")</f>
        <v/>
      </c>
      <c r="J128" s="280" t="n"/>
      <c r="K128" s="332">
        <f>IFERROR(VLOOKUP(TEXT(O128,"0"),CONDUCTORES!$A$3:$G$54,7,0),"")</f>
        <v/>
      </c>
      <c r="L128" s="280" t="n"/>
      <c r="M128" s="280" t="n"/>
      <c r="N128" s="333">
        <f>IFERROR(IF(L128*M128=0,"",L128*M128),"")</f>
        <v/>
      </c>
      <c r="O128" s="280" t="n"/>
      <c r="P128" s="332">
        <f>IFERROR(VLOOKUP(TEXT(O128,"0"),CONDUCTORES!$A$3:$G$54,2,0),"")</f>
        <v/>
      </c>
      <c r="Q128" s="332">
        <f>IFERROR(VLOOKUP(TEXT(O128,"0"),CONDUCTORES!$A$3:$H$54,6,0),"")</f>
        <v/>
      </c>
      <c r="R128" s="280" t="n"/>
      <c r="S128" s="280" t="n"/>
      <c r="T128" s="280" t="n"/>
      <c r="U128" s="280" t="n"/>
      <c r="V128" s="280" t="n"/>
      <c r="W128" s="280" t="n"/>
      <c r="X128" s="280" t="n"/>
      <c r="Y128" s="280" t="n"/>
    </row>
    <row r="129" ht="15" customHeight="1" s="195">
      <c r="A129" s="334" t="n"/>
      <c r="B129" s="334" t="n"/>
      <c r="C129" s="334" t="n"/>
      <c r="D129" s="334" t="n"/>
      <c r="E129" s="334" t="n"/>
      <c r="F129" s="334" t="n"/>
      <c r="G129" s="334" t="n"/>
      <c r="H129" s="334" t="n"/>
      <c r="I129" s="332">
        <f>IFERROR(VLOOKUP(TEXT(H129,"0"),IPRESS!$A$3:$B$212,2,0),"")</f>
        <v/>
      </c>
      <c r="J129" s="334" t="n"/>
      <c r="K129" s="332">
        <f>IFERROR(VLOOKUP(TEXT(O129,"0"),CONDUCTORES!$A$3:$G$54,7,0),"")</f>
        <v/>
      </c>
      <c r="L129" s="334" t="n"/>
      <c r="M129" s="334" t="n"/>
      <c r="N129" s="333">
        <f>IFERROR(IF(L129*M129=0,"",L129*M129),"")</f>
        <v/>
      </c>
      <c r="O129" s="334" t="n"/>
      <c r="P129" s="332">
        <f>IFERROR(VLOOKUP(TEXT(O129,"0"),CONDUCTORES!$A$3:$G$54,2,0),"")</f>
        <v/>
      </c>
      <c r="Q129" s="332">
        <f>IFERROR(VLOOKUP(TEXT(O129,"0"),CONDUCTORES!$A$3:$H$54,6,0),"")</f>
        <v/>
      </c>
      <c r="R129" s="334" t="n"/>
      <c r="S129" s="334" t="n"/>
      <c r="T129" s="334" t="n"/>
      <c r="U129" s="334" t="n"/>
      <c r="V129" s="334" t="n"/>
      <c r="W129" s="334" t="n"/>
      <c r="X129" s="334" t="n"/>
      <c r="Y129" s="334" t="n"/>
    </row>
    <row r="130" ht="15" customHeight="1" s="195">
      <c r="A130" s="280" t="n"/>
      <c r="B130" s="280" t="n"/>
      <c r="C130" s="280" t="n"/>
      <c r="D130" s="280" t="n"/>
      <c r="E130" s="280" t="n"/>
      <c r="F130" s="280" t="n"/>
      <c r="G130" s="280" t="n"/>
      <c r="H130" s="280" t="n"/>
      <c r="I130" s="332">
        <f>IFERROR(VLOOKUP(TEXT(H130,"0"),IPRESS!$A$3:$B$212,2,0),"")</f>
        <v/>
      </c>
      <c r="J130" s="280" t="n"/>
      <c r="K130" s="332">
        <f>IFERROR(VLOOKUP(TEXT(O130,"0"),CONDUCTORES!$A$3:$G$54,7,0),"")</f>
        <v/>
      </c>
      <c r="L130" s="280" t="n"/>
      <c r="M130" s="280" t="n"/>
      <c r="N130" s="333">
        <f>IFERROR(IF(L130*M130=0,"",L130*M130),"")</f>
        <v/>
      </c>
      <c r="O130" s="280" t="n"/>
      <c r="P130" s="332">
        <f>IFERROR(VLOOKUP(TEXT(O130,"0"),CONDUCTORES!$A$3:$G$54,2,0),"")</f>
        <v/>
      </c>
      <c r="Q130" s="332">
        <f>IFERROR(VLOOKUP(TEXT(O130,"0"),CONDUCTORES!$A$3:$H$54,6,0),"")</f>
        <v/>
      </c>
      <c r="R130" s="280" t="n"/>
      <c r="S130" s="280" t="n"/>
      <c r="T130" s="280" t="n"/>
      <c r="U130" s="280" t="n"/>
      <c r="V130" s="280" t="n"/>
      <c r="W130" s="280" t="n"/>
      <c r="X130" s="280" t="n"/>
      <c r="Y130" s="280" t="n"/>
    </row>
    <row r="131" ht="15" customHeight="1" s="195">
      <c r="A131" s="334" t="n"/>
      <c r="B131" s="334" t="n"/>
      <c r="C131" s="334" t="n"/>
      <c r="D131" s="334" t="n"/>
      <c r="E131" s="334" t="n"/>
      <c r="F131" s="334" t="n"/>
      <c r="G131" s="334" t="n"/>
      <c r="H131" s="334" t="n"/>
      <c r="I131" s="332">
        <f>IFERROR(VLOOKUP(TEXT(H131,"0"),IPRESS!$A$3:$B$212,2,0),"")</f>
        <v/>
      </c>
      <c r="J131" s="334" t="n"/>
      <c r="K131" s="332">
        <f>IFERROR(VLOOKUP(TEXT(O131,"0"),CONDUCTORES!$A$3:$G$54,7,0),"")</f>
        <v/>
      </c>
      <c r="L131" s="334" t="n"/>
      <c r="M131" s="334" t="n"/>
      <c r="N131" s="333">
        <f>IFERROR(IF(L131*M131=0,"",L131*M131),"")</f>
        <v/>
      </c>
      <c r="O131" s="334" t="n"/>
      <c r="P131" s="332">
        <f>IFERROR(VLOOKUP(TEXT(O131,"0"),CONDUCTORES!$A$3:$G$54,2,0),"")</f>
        <v/>
      </c>
      <c r="Q131" s="332">
        <f>IFERROR(VLOOKUP(TEXT(O131,"0"),CONDUCTORES!$A$3:$H$54,6,0),"")</f>
        <v/>
      </c>
      <c r="R131" s="334" t="n"/>
      <c r="S131" s="334" t="n"/>
      <c r="T131" s="334" t="n"/>
      <c r="U131" s="334" t="n"/>
      <c r="V131" s="334" t="n"/>
      <c r="W131" s="334" t="n"/>
      <c r="X131" s="334" t="n"/>
      <c r="Y131" s="334" t="n"/>
    </row>
    <row r="132" ht="15" customHeight="1" s="195">
      <c r="A132" s="280" t="n"/>
      <c r="B132" s="280" t="n"/>
      <c r="C132" s="280" t="n"/>
      <c r="D132" s="280" t="n"/>
      <c r="E132" s="280" t="n"/>
      <c r="F132" s="280" t="n"/>
      <c r="G132" s="280" t="n"/>
      <c r="H132" s="280" t="n"/>
      <c r="I132" s="332">
        <f>IFERROR(VLOOKUP(TEXT(H132,"0"),IPRESS!$A$3:$B$212,2,0),"")</f>
        <v/>
      </c>
      <c r="J132" s="280" t="n"/>
      <c r="K132" s="332">
        <f>IFERROR(VLOOKUP(TEXT(O132,"0"),CONDUCTORES!$A$3:$G$54,7,0),"")</f>
        <v/>
      </c>
      <c r="L132" s="280" t="n"/>
      <c r="M132" s="280" t="n"/>
      <c r="N132" s="333">
        <f>IFERROR(IF(L132*M132=0,"",L132*M132),"")</f>
        <v/>
      </c>
      <c r="O132" s="280" t="n"/>
      <c r="P132" s="332">
        <f>IFERROR(VLOOKUP(TEXT(O132,"0"),CONDUCTORES!$A$3:$G$54,2,0),"")</f>
        <v/>
      </c>
      <c r="Q132" s="332">
        <f>IFERROR(VLOOKUP(TEXT(O132,"0"),CONDUCTORES!$A$3:$H$54,6,0),"")</f>
        <v/>
      </c>
      <c r="R132" s="280" t="n"/>
      <c r="S132" s="280" t="n"/>
      <c r="T132" s="280" t="n"/>
      <c r="U132" s="280" t="n"/>
      <c r="V132" s="280" t="n"/>
      <c r="W132" s="280" t="n"/>
      <c r="X132" s="280" t="n"/>
      <c r="Y132" s="280" t="n"/>
    </row>
    <row r="133" ht="15" customHeight="1" s="195">
      <c r="A133" s="334" t="n"/>
      <c r="B133" s="334" t="n"/>
      <c r="C133" s="334" t="n"/>
      <c r="D133" s="334" t="n"/>
      <c r="E133" s="334" t="n"/>
      <c r="F133" s="334" t="n"/>
      <c r="G133" s="334" t="n"/>
      <c r="H133" s="334" t="n"/>
      <c r="I133" s="332">
        <f>IFERROR(VLOOKUP(TEXT(H133,"0"),IPRESS!$A$3:$B$212,2,0),"")</f>
        <v/>
      </c>
      <c r="J133" s="334" t="n"/>
      <c r="K133" s="332">
        <f>IFERROR(VLOOKUP(TEXT(O133,"0"),CONDUCTORES!$A$3:$G$54,7,0),"")</f>
        <v/>
      </c>
      <c r="L133" s="334" t="n"/>
      <c r="M133" s="334" t="n"/>
      <c r="N133" s="333">
        <f>IFERROR(IF(L133*M133=0,"",L133*M133),"")</f>
        <v/>
      </c>
      <c r="O133" s="334" t="n"/>
      <c r="P133" s="332">
        <f>IFERROR(VLOOKUP(TEXT(O133,"0"),CONDUCTORES!$A$3:$G$54,2,0),"")</f>
        <v/>
      </c>
      <c r="Q133" s="332">
        <f>IFERROR(VLOOKUP(TEXT(O133,"0"),CONDUCTORES!$A$3:$H$54,6,0),"")</f>
        <v/>
      </c>
      <c r="R133" s="334" t="n"/>
      <c r="S133" s="334" t="n"/>
      <c r="T133" s="334" t="n"/>
      <c r="U133" s="334" t="n"/>
      <c r="V133" s="334" t="n"/>
      <c r="W133" s="334" t="n"/>
      <c r="X133" s="334" t="n"/>
      <c r="Y133" s="334" t="n"/>
    </row>
    <row r="134" ht="15" customHeight="1" s="195">
      <c r="A134" s="280" t="n"/>
      <c r="B134" s="280" t="n"/>
      <c r="C134" s="280" t="n"/>
      <c r="D134" s="280" t="n"/>
      <c r="E134" s="280" t="n"/>
      <c r="F134" s="280" t="n"/>
      <c r="G134" s="280" t="n"/>
      <c r="H134" s="280" t="n"/>
      <c r="I134" s="332">
        <f>IFERROR(VLOOKUP(TEXT(H134,"0"),IPRESS!$A$3:$B$212,2,0),"")</f>
        <v/>
      </c>
      <c r="J134" s="280" t="n"/>
      <c r="K134" s="332">
        <f>IFERROR(VLOOKUP(TEXT(O134,"0"),CONDUCTORES!$A$3:$G$54,7,0),"")</f>
        <v/>
      </c>
      <c r="L134" s="280" t="n"/>
      <c r="M134" s="280" t="n"/>
      <c r="N134" s="333">
        <f>IFERROR(IF(L134*M134=0,"",L134*M134),"")</f>
        <v/>
      </c>
      <c r="O134" s="280" t="n"/>
      <c r="P134" s="332">
        <f>IFERROR(VLOOKUP(TEXT(O134,"0"),CONDUCTORES!$A$3:$G$54,2,0),"")</f>
        <v/>
      </c>
      <c r="Q134" s="332">
        <f>IFERROR(VLOOKUP(TEXT(O134,"0"),CONDUCTORES!$A$3:$H$54,6,0),"")</f>
        <v/>
      </c>
      <c r="R134" s="280" t="n"/>
      <c r="S134" s="280" t="n"/>
      <c r="T134" s="280" t="n"/>
      <c r="U134" s="280" t="n"/>
      <c r="V134" s="280" t="n"/>
      <c r="W134" s="280" t="n"/>
      <c r="X134" s="280" t="n"/>
      <c r="Y134" s="280" t="n"/>
    </row>
    <row r="135" ht="15" customHeight="1" s="195">
      <c r="A135" s="334" t="n"/>
      <c r="B135" s="334" t="n"/>
      <c r="C135" s="334" t="n"/>
      <c r="D135" s="334" t="n"/>
      <c r="E135" s="334" t="n"/>
      <c r="F135" s="334" t="n"/>
      <c r="G135" s="334" t="n"/>
      <c r="H135" s="334" t="n"/>
      <c r="I135" s="332">
        <f>IFERROR(VLOOKUP(TEXT(H135,"0"),IPRESS!$A$3:$B$212,2,0),"")</f>
        <v/>
      </c>
      <c r="J135" s="334" t="n"/>
      <c r="K135" s="332">
        <f>IFERROR(VLOOKUP(TEXT(O135,"0"),CONDUCTORES!$A$3:$G$54,7,0),"")</f>
        <v/>
      </c>
      <c r="L135" s="334" t="n"/>
      <c r="M135" s="334" t="n"/>
      <c r="N135" s="333">
        <f>IFERROR(IF(L135*M135=0,"",L135*M135),"")</f>
        <v/>
      </c>
      <c r="O135" s="334" t="n"/>
      <c r="P135" s="332">
        <f>IFERROR(VLOOKUP(TEXT(O135,"0"),CONDUCTORES!$A$3:$G$54,2,0),"")</f>
        <v/>
      </c>
      <c r="Q135" s="332">
        <f>IFERROR(VLOOKUP(TEXT(O135,"0"),CONDUCTORES!$A$3:$H$54,6,0),"")</f>
        <v/>
      </c>
      <c r="R135" s="334" t="n"/>
      <c r="S135" s="334" t="n"/>
      <c r="T135" s="334" t="n"/>
      <c r="U135" s="334" t="n"/>
      <c r="V135" s="334" t="n"/>
      <c r="W135" s="334" t="n"/>
      <c r="X135" s="334" t="n"/>
      <c r="Y135" s="334" t="n"/>
    </row>
    <row r="136" ht="15" customHeight="1" s="195">
      <c r="A136" s="280" t="n"/>
      <c r="B136" s="280" t="n"/>
      <c r="C136" s="280" t="n"/>
      <c r="D136" s="280" t="n"/>
      <c r="E136" s="280" t="n"/>
      <c r="F136" s="280" t="n"/>
      <c r="G136" s="280" t="n"/>
      <c r="H136" s="280" t="n"/>
      <c r="I136" s="332">
        <f>IFERROR(VLOOKUP(TEXT(H136,"0"),IPRESS!$A$3:$B$212,2,0),"")</f>
        <v/>
      </c>
      <c r="J136" s="280" t="n"/>
      <c r="K136" s="332">
        <f>IFERROR(VLOOKUP(TEXT(O136,"0"),CONDUCTORES!$A$3:$G$54,7,0),"")</f>
        <v/>
      </c>
      <c r="L136" s="280" t="n"/>
      <c r="M136" s="280" t="n"/>
      <c r="N136" s="333">
        <f>IFERROR(IF(L136*M136=0,"",L136*M136),"")</f>
        <v/>
      </c>
      <c r="O136" s="280" t="n"/>
      <c r="P136" s="332">
        <f>IFERROR(VLOOKUP(TEXT(O136,"0"),CONDUCTORES!$A$3:$G$54,2,0),"")</f>
        <v/>
      </c>
      <c r="Q136" s="332">
        <f>IFERROR(VLOOKUP(TEXT(O136,"0"),CONDUCTORES!$A$3:$H$54,6,0),"")</f>
        <v/>
      </c>
      <c r="R136" s="280" t="n"/>
      <c r="S136" s="280" t="n"/>
      <c r="T136" s="280" t="n"/>
      <c r="U136" s="280" t="n"/>
      <c r="V136" s="280" t="n"/>
      <c r="W136" s="280" t="n"/>
      <c r="X136" s="280" t="n"/>
      <c r="Y136" s="280" t="n"/>
    </row>
    <row r="137" ht="15" customHeight="1" s="195">
      <c r="A137" s="334" t="n"/>
      <c r="B137" s="334" t="n"/>
      <c r="C137" s="334" t="n"/>
      <c r="D137" s="334" t="n"/>
      <c r="E137" s="334" t="n"/>
      <c r="F137" s="334" t="n"/>
      <c r="G137" s="334" t="n"/>
      <c r="H137" s="334" t="n"/>
      <c r="I137" s="332">
        <f>IFERROR(VLOOKUP(TEXT(H137,"0"),IPRESS!$A$3:$B$212,2,0),"")</f>
        <v/>
      </c>
      <c r="J137" s="334" t="n"/>
      <c r="K137" s="332">
        <f>IFERROR(VLOOKUP(TEXT(O137,"0"),CONDUCTORES!$A$3:$G$54,7,0),"")</f>
        <v/>
      </c>
      <c r="L137" s="334" t="n"/>
      <c r="M137" s="334" t="n"/>
      <c r="N137" s="333">
        <f>IFERROR(IF(L137*M137=0,"",L137*M137),"")</f>
        <v/>
      </c>
      <c r="O137" s="334" t="n"/>
      <c r="P137" s="332">
        <f>IFERROR(VLOOKUP(TEXT(O137,"0"),CONDUCTORES!$A$3:$G$54,2,0),"")</f>
        <v/>
      </c>
      <c r="Q137" s="332">
        <f>IFERROR(VLOOKUP(TEXT(O137,"0"),CONDUCTORES!$A$3:$H$54,6,0),"")</f>
        <v/>
      </c>
      <c r="R137" s="334" t="n"/>
      <c r="S137" s="334" t="n"/>
      <c r="T137" s="334" t="n"/>
      <c r="U137" s="334" t="n"/>
      <c r="V137" s="334" t="n"/>
      <c r="W137" s="334" t="n"/>
      <c r="X137" s="334" t="n"/>
      <c r="Y137" s="334" t="n"/>
    </row>
    <row r="138" ht="15" customHeight="1" s="195">
      <c r="A138" s="280" t="n"/>
      <c r="B138" s="280" t="n"/>
      <c r="C138" s="280" t="n"/>
      <c r="D138" s="280" t="n"/>
      <c r="E138" s="280" t="n"/>
      <c r="F138" s="280" t="n"/>
      <c r="G138" s="280" t="n"/>
      <c r="H138" s="280" t="n"/>
      <c r="I138" s="332">
        <f>IFERROR(VLOOKUP(TEXT(H138,"0"),IPRESS!$A$3:$B$212,2,0),"")</f>
        <v/>
      </c>
      <c r="J138" s="280" t="n"/>
      <c r="K138" s="332">
        <f>IFERROR(VLOOKUP(TEXT(O138,"0"),CONDUCTORES!$A$3:$G$54,7,0),"")</f>
        <v/>
      </c>
      <c r="L138" s="280" t="n"/>
      <c r="M138" s="280" t="n"/>
      <c r="N138" s="333">
        <f>IFERROR(IF(L138*M138=0,"",L138*M138),"")</f>
        <v/>
      </c>
      <c r="O138" s="280" t="n"/>
      <c r="P138" s="332">
        <f>IFERROR(VLOOKUP(TEXT(O138,"0"),CONDUCTORES!$A$3:$G$54,2,0),"")</f>
        <v/>
      </c>
      <c r="Q138" s="332">
        <f>IFERROR(VLOOKUP(TEXT(O138,"0"),CONDUCTORES!$A$3:$H$54,6,0),"")</f>
        <v/>
      </c>
      <c r="R138" s="280" t="n"/>
      <c r="S138" s="280" t="n"/>
      <c r="T138" s="280" t="n"/>
      <c r="U138" s="280" t="n"/>
      <c r="V138" s="280" t="n"/>
      <c r="W138" s="280" t="n"/>
      <c r="X138" s="280" t="n"/>
      <c r="Y138" s="280" t="n"/>
    </row>
    <row r="139" ht="15" customHeight="1" s="195">
      <c r="A139" s="334" t="n"/>
      <c r="B139" s="334" t="n"/>
      <c r="C139" s="334" t="n"/>
      <c r="D139" s="334" t="n"/>
      <c r="E139" s="334" t="n"/>
      <c r="F139" s="334" t="n"/>
      <c r="G139" s="334" t="n"/>
      <c r="H139" s="334" t="n"/>
      <c r="I139" s="332">
        <f>IFERROR(VLOOKUP(TEXT(H139,"0"),IPRESS!$A$3:$B$212,2,0),"")</f>
        <v/>
      </c>
      <c r="J139" s="334" t="n"/>
      <c r="K139" s="332">
        <f>IFERROR(VLOOKUP(TEXT(O139,"0"),CONDUCTORES!$A$3:$G$54,7,0),"")</f>
        <v/>
      </c>
      <c r="L139" s="334" t="n"/>
      <c r="M139" s="334" t="n"/>
      <c r="N139" s="333">
        <f>IFERROR(IF(L139*M139=0,"",L139*M139),"")</f>
        <v/>
      </c>
      <c r="O139" s="334" t="n"/>
      <c r="P139" s="332">
        <f>IFERROR(VLOOKUP(TEXT(O139,"0"),CONDUCTORES!$A$3:$G$54,2,0),"")</f>
        <v/>
      </c>
      <c r="Q139" s="332">
        <f>IFERROR(VLOOKUP(TEXT(O139,"0"),CONDUCTORES!$A$3:$H$54,6,0),"")</f>
        <v/>
      </c>
      <c r="R139" s="334" t="n"/>
      <c r="S139" s="334" t="n"/>
      <c r="T139" s="334" t="n"/>
      <c r="U139" s="334" t="n"/>
      <c r="V139" s="334" t="n"/>
      <c r="W139" s="334" t="n"/>
      <c r="X139" s="334" t="n"/>
      <c r="Y139" s="334" t="n"/>
    </row>
    <row r="140" ht="15" customHeight="1" s="195">
      <c r="A140" s="280" t="n"/>
      <c r="B140" s="280" t="n"/>
      <c r="C140" s="280" t="n"/>
      <c r="D140" s="280" t="n"/>
      <c r="E140" s="280" t="n"/>
      <c r="F140" s="280" t="n"/>
      <c r="G140" s="280" t="n"/>
      <c r="H140" s="280" t="n"/>
      <c r="I140" s="332">
        <f>IFERROR(VLOOKUP(TEXT(H140,"0"),IPRESS!$A$3:$B$212,2,0),"")</f>
        <v/>
      </c>
      <c r="J140" s="280" t="n"/>
      <c r="K140" s="332">
        <f>IFERROR(VLOOKUP(TEXT(O140,"0"),CONDUCTORES!$A$3:$G$54,7,0),"")</f>
        <v/>
      </c>
      <c r="L140" s="280" t="n"/>
      <c r="M140" s="280" t="n"/>
      <c r="N140" s="333">
        <f>IFERROR(IF(L140*M140=0,"",L140*M140),"")</f>
        <v/>
      </c>
      <c r="O140" s="280" t="n"/>
      <c r="P140" s="332">
        <f>IFERROR(VLOOKUP(TEXT(O140,"0"),CONDUCTORES!$A$3:$G$54,2,0),"")</f>
        <v/>
      </c>
      <c r="Q140" s="332">
        <f>IFERROR(VLOOKUP(TEXT(O140,"0"),CONDUCTORES!$A$3:$H$54,6,0),"")</f>
        <v/>
      </c>
      <c r="R140" s="280" t="n"/>
      <c r="S140" s="280" t="n"/>
      <c r="T140" s="280" t="n"/>
      <c r="U140" s="280" t="n"/>
      <c r="V140" s="280" t="n"/>
      <c r="W140" s="280" t="n"/>
      <c r="X140" s="280" t="n"/>
      <c r="Y140" s="280" t="n"/>
    </row>
    <row r="141" ht="15" customHeight="1" s="195">
      <c r="A141" s="334" t="n"/>
      <c r="B141" s="334" t="n"/>
      <c r="C141" s="334" t="n"/>
      <c r="D141" s="334" t="n"/>
      <c r="E141" s="334" t="n"/>
      <c r="F141" s="334" t="n"/>
      <c r="G141" s="334" t="n"/>
      <c r="H141" s="334" t="n"/>
      <c r="I141" s="332">
        <f>IFERROR(VLOOKUP(TEXT(H141,"0"),IPRESS!$A$3:$B$212,2,0),"")</f>
        <v/>
      </c>
      <c r="J141" s="334" t="n"/>
      <c r="K141" s="332">
        <f>IFERROR(VLOOKUP(TEXT(O141,"0"),CONDUCTORES!$A$3:$G$54,7,0),"")</f>
        <v/>
      </c>
      <c r="L141" s="334" t="n"/>
      <c r="M141" s="334" t="n"/>
      <c r="N141" s="333">
        <f>IFERROR(IF(L141*M141=0,"",L141*M141),"")</f>
        <v/>
      </c>
      <c r="O141" s="334" t="n"/>
      <c r="P141" s="332">
        <f>IFERROR(VLOOKUP(TEXT(O141,"0"),CONDUCTORES!$A$3:$G$54,2,0),"")</f>
        <v/>
      </c>
      <c r="Q141" s="332">
        <f>IFERROR(VLOOKUP(TEXT(O141,"0"),CONDUCTORES!$A$3:$H$54,6,0),"")</f>
        <v/>
      </c>
      <c r="R141" s="334" t="n"/>
      <c r="S141" s="334" t="n"/>
      <c r="T141" s="334" t="n"/>
      <c r="U141" s="334" t="n"/>
      <c r="V141" s="334" t="n"/>
      <c r="W141" s="334" t="n"/>
      <c r="X141" s="334" t="n"/>
      <c r="Y141" s="334" t="n"/>
    </row>
    <row r="142" ht="15" customHeight="1" s="195">
      <c r="A142" s="280" t="n"/>
      <c r="B142" s="280" t="n"/>
      <c r="C142" s="280" t="n"/>
      <c r="D142" s="280" t="n"/>
      <c r="E142" s="280" t="n"/>
      <c r="F142" s="280" t="n"/>
      <c r="G142" s="280" t="n"/>
      <c r="H142" s="280" t="n"/>
      <c r="I142" s="332">
        <f>IFERROR(VLOOKUP(TEXT(H142,"0"),IPRESS!$A$3:$B$212,2,0),"")</f>
        <v/>
      </c>
      <c r="J142" s="280" t="n"/>
      <c r="K142" s="332">
        <f>IFERROR(VLOOKUP(TEXT(O142,"0"),CONDUCTORES!$A$3:$G$54,7,0),"")</f>
        <v/>
      </c>
      <c r="L142" s="280" t="n"/>
      <c r="M142" s="280" t="n"/>
      <c r="N142" s="333">
        <f>IFERROR(IF(L142*M142=0,"",L142*M142),"")</f>
        <v/>
      </c>
      <c r="O142" s="280" t="n"/>
      <c r="P142" s="332">
        <f>IFERROR(VLOOKUP(TEXT(O142,"0"),CONDUCTORES!$A$3:$G$54,2,0),"")</f>
        <v/>
      </c>
      <c r="Q142" s="332">
        <f>IFERROR(VLOOKUP(TEXT(O142,"0"),CONDUCTORES!$A$3:$H$54,6,0),"")</f>
        <v/>
      </c>
      <c r="R142" s="280" t="n"/>
      <c r="S142" s="280" t="n"/>
      <c r="T142" s="280" t="n"/>
      <c r="U142" s="280" t="n"/>
      <c r="V142" s="280" t="n"/>
      <c r="W142" s="280" t="n"/>
      <c r="X142" s="280" t="n"/>
      <c r="Y142" s="280" t="n"/>
    </row>
    <row r="143" ht="15" customHeight="1" s="195">
      <c r="A143" s="334" t="n"/>
      <c r="B143" s="334" t="n"/>
      <c r="C143" s="334" t="n"/>
      <c r="D143" s="334" t="n"/>
      <c r="E143" s="334" t="n"/>
      <c r="F143" s="334" t="n"/>
      <c r="G143" s="334" t="n"/>
      <c r="H143" s="334" t="n"/>
      <c r="I143" s="332">
        <f>IFERROR(VLOOKUP(TEXT(H143,"0"),IPRESS!$A$3:$B$212,2,0),"")</f>
        <v/>
      </c>
      <c r="J143" s="334" t="n"/>
      <c r="K143" s="332">
        <f>IFERROR(VLOOKUP(TEXT(O143,"0"),CONDUCTORES!$A$3:$G$54,7,0),"")</f>
        <v/>
      </c>
      <c r="L143" s="334" t="n"/>
      <c r="M143" s="334" t="n"/>
      <c r="N143" s="333">
        <f>IFERROR(IF(L143*M143=0,"",L143*M143),"")</f>
        <v/>
      </c>
      <c r="O143" s="334" t="n"/>
      <c r="P143" s="332">
        <f>IFERROR(VLOOKUP(TEXT(O143,"0"),CONDUCTORES!$A$3:$G$54,2,0),"")</f>
        <v/>
      </c>
      <c r="Q143" s="332">
        <f>IFERROR(VLOOKUP(TEXT(O143,"0"),CONDUCTORES!$A$3:$H$54,6,0),"")</f>
        <v/>
      </c>
      <c r="R143" s="334" t="n"/>
      <c r="S143" s="334" t="n"/>
      <c r="T143" s="334" t="n"/>
      <c r="U143" s="334" t="n"/>
      <c r="V143" s="334" t="n"/>
      <c r="W143" s="334" t="n"/>
      <c r="X143" s="334" t="n"/>
      <c r="Y143" s="334" t="n"/>
    </row>
    <row r="144" ht="15" customHeight="1" s="195">
      <c r="A144" s="280" t="n"/>
      <c r="B144" s="280" t="n"/>
      <c r="C144" s="280" t="n"/>
      <c r="D144" s="280" t="n"/>
      <c r="E144" s="280" t="n"/>
      <c r="F144" s="280" t="n"/>
      <c r="G144" s="280" t="n"/>
      <c r="H144" s="280" t="n"/>
      <c r="I144" s="332">
        <f>IFERROR(VLOOKUP(TEXT(H144,"0"),IPRESS!$A$3:$B$212,2,0),"")</f>
        <v/>
      </c>
      <c r="J144" s="280" t="n"/>
      <c r="K144" s="332">
        <f>IFERROR(VLOOKUP(TEXT(O144,"0"),CONDUCTORES!$A$3:$G$54,7,0),"")</f>
        <v/>
      </c>
      <c r="L144" s="280" t="n"/>
      <c r="M144" s="280" t="n"/>
      <c r="N144" s="333">
        <f>IFERROR(IF(L144*M144=0,"",L144*M144),"")</f>
        <v/>
      </c>
      <c r="O144" s="280" t="n"/>
      <c r="P144" s="332">
        <f>IFERROR(VLOOKUP(TEXT(O144,"0"),CONDUCTORES!$A$3:$G$54,2,0),"")</f>
        <v/>
      </c>
      <c r="Q144" s="332">
        <f>IFERROR(VLOOKUP(TEXT(O144,"0"),CONDUCTORES!$A$3:$H$54,6,0),"")</f>
        <v/>
      </c>
      <c r="R144" s="280" t="n"/>
      <c r="S144" s="280" t="n"/>
      <c r="T144" s="280" t="n"/>
      <c r="U144" s="280" t="n"/>
      <c r="V144" s="280" t="n"/>
      <c r="W144" s="280" t="n"/>
      <c r="X144" s="280" t="n"/>
      <c r="Y144" s="280" t="n"/>
    </row>
    <row r="145" ht="15" customHeight="1" s="195">
      <c r="A145" s="334" t="n"/>
      <c r="B145" s="334" t="n"/>
      <c r="C145" s="334" t="n"/>
      <c r="D145" s="334" t="n"/>
      <c r="E145" s="334" t="n"/>
      <c r="F145" s="334" t="n"/>
      <c r="G145" s="334" t="n"/>
      <c r="H145" s="334" t="n"/>
      <c r="I145" s="332">
        <f>IFERROR(VLOOKUP(TEXT(H145,"0"),IPRESS!$A$3:$B$212,2,0),"")</f>
        <v/>
      </c>
      <c r="J145" s="334" t="n"/>
      <c r="K145" s="332">
        <f>IFERROR(VLOOKUP(TEXT(O145,"0"),CONDUCTORES!$A$3:$G$54,7,0),"")</f>
        <v/>
      </c>
      <c r="L145" s="334" t="n"/>
      <c r="M145" s="334" t="n"/>
      <c r="N145" s="333">
        <f>IFERROR(IF(L145*M145=0,"",L145*M145),"")</f>
        <v/>
      </c>
      <c r="O145" s="334" t="n"/>
      <c r="P145" s="332">
        <f>IFERROR(VLOOKUP(TEXT(O145,"0"),CONDUCTORES!$A$3:$G$54,2,0),"")</f>
        <v/>
      </c>
      <c r="Q145" s="332">
        <f>IFERROR(VLOOKUP(TEXT(O145,"0"),CONDUCTORES!$A$3:$H$54,6,0),"")</f>
        <v/>
      </c>
      <c r="R145" s="334" t="n"/>
      <c r="S145" s="334" t="n"/>
      <c r="T145" s="334" t="n"/>
      <c r="U145" s="334" t="n"/>
      <c r="V145" s="334" t="n"/>
      <c r="W145" s="334" t="n"/>
      <c r="X145" s="334" t="n"/>
      <c r="Y145" s="334" t="n"/>
    </row>
    <row r="146" ht="15" customHeight="1" s="195">
      <c r="A146" s="280" t="n"/>
      <c r="B146" s="280" t="n"/>
      <c r="C146" s="280" t="n"/>
      <c r="D146" s="280" t="n"/>
      <c r="E146" s="280" t="n"/>
      <c r="F146" s="280" t="n"/>
      <c r="G146" s="280" t="n"/>
      <c r="H146" s="280" t="n"/>
      <c r="I146" s="332">
        <f>IFERROR(VLOOKUP(TEXT(H146,"0"),IPRESS!$A$3:$B$212,2,0),"")</f>
        <v/>
      </c>
      <c r="J146" s="280" t="n"/>
      <c r="K146" s="332">
        <f>IFERROR(VLOOKUP(TEXT(O146,"0"),CONDUCTORES!$A$3:$G$54,7,0),"")</f>
        <v/>
      </c>
      <c r="L146" s="280" t="n"/>
      <c r="M146" s="280" t="n"/>
      <c r="N146" s="333">
        <f>IFERROR(IF(L146*M146=0,"",L146*M146),"")</f>
        <v/>
      </c>
      <c r="O146" s="280" t="n"/>
      <c r="P146" s="332">
        <f>IFERROR(VLOOKUP(TEXT(O146,"0"),CONDUCTORES!$A$3:$G$54,2,0),"")</f>
        <v/>
      </c>
      <c r="Q146" s="332">
        <f>IFERROR(VLOOKUP(TEXT(O146,"0"),CONDUCTORES!$A$3:$H$54,6,0),"")</f>
        <v/>
      </c>
      <c r="R146" s="280" t="n"/>
      <c r="S146" s="280" t="n"/>
      <c r="T146" s="280" t="n"/>
      <c r="U146" s="280" t="n"/>
      <c r="V146" s="280" t="n"/>
      <c r="W146" s="280" t="n"/>
      <c r="X146" s="280" t="n"/>
      <c r="Y146" s="280" t="n"/>
    </row>
    <row r="147" ht="15" customHeight="1" s="195">
      <c r="A147" s="334" t="n"/>
      <c r="B147" s="334" t="n"/>
      <c r="C147" s="334" t="n"/>
      <c r="D147" s="334" t="n"/>
      <c r="E147" s="334" t="n"/>
      <c r="F147" s="334" t="n"/>
      <c r="G147" s="334" t="n"/>
      <c r="H147" s="334" t="n"/>
      <c r="I147" s="332">
        <f>IFERROR(VLOOKUP(TEXT(H147,"0"),IPRESS!$A$3:$B$212,2,0),"")</f>
        <v/>
      </c>
      <c r="J147" s="334" t="n"/>
      <c r="K147" s="332">
        <f>IFERROR(VLOOKUP(TEXT(O147,"0"),CONDUCTORES!$A$3:$G$54,7,0),"")</f>
        <v/>
      </c>
      <c r="L147" s="334" t="n"/>
      <c r="M147" s="334" t="n"/>
      <c r="N147" s="333">
        <f>IFERROR(IF(L147*M147=0,"",L147*M147),"")</f>
        <v/>
      </c>
      <c r="O147" s="334" t="n"/>
      <c r="P147" s="332">
        <f>IFERROR(VLOOKUP(TEXT(O147,"0"),CONDUCTORES!$A$3:$G$54,2,0),"")</f>
        <v/>
      </c>
      <c r="Q147" s="332">
        <f>IFERROR(VLOOKUP(TEXT(O147,"0"),CONDUCTORES!$A$3:$H$54,6,0),"")</f>
        <v/>
      </c>
      <c r="R147" s="334" t="n"/>
      <c r="S147" s="334" t="n"/>
      <c r="T147" s="334" t="n"/>
      <c r="U147" s="334" t="n"/>
      <c r="V147" s="334" t="n"/>
      <c r="W147" s="334" t="n"/>
      <c r="X147" s="334" t="n"/>
      <c r="Y147" s="334" t="n"/>
    </row>
    <row r="148" ht="15" customHeight="1" s="195">
      <c r="A148" s="280" t="n"/>
      <c r="B148" s="280" t="n"/>
      <c r="C148" s="280" t="n"/>
      <c r="D148" s="280" t="n"/>
      <c r="E148" s="280" t="n"/>
      <c r="F148" s="280" t="n"/>
      <c r="G148" s="280" t="n"/>
      <c r="H148" s="280" t="n"/>
      <c r="I148" s="332">
        <f>IFERROR(VLOOKUP(TEXT(H148,"0"),IPRESS!$A$3:$B$212,2,0),"")</f>
        <v/>
      </c>
      <c r="J148" s="280" t="n"/>
      <c r="K148" s="332">
        <f>IFERROR(VLOOKUP(TEXT(O148,"0"),CONDUCTORES!$A$3:$G$54,7,0),"")</f>
        <v/>
      </c>
      <c r="L148" s="280" t="n"/>
      <c r="M148" s="280" t="n"/>
      <c r="N148" s="333">
        <f>IFERROR(IF(L148*M148=0,"",L148*M148),"")</f>
        <v/>
      </c>
      <c r="O148" s="280" t="n"/>
      <c r="P148" s="332">
        <f>IFERROR(VLOOKUP(TEXT(O148,"0"),CONDUCTORES!$A$3:$G$54,2,0),"")</f>
        <v/>
      </c>
      <c r="Q148" s="332">
        <f>IFERROR(VLOOKUP(TEXT(O148,"0"),CONDUCTORES!$A$3:$H$54,6,0),"")</f>
        <v/>
      </c>
      <c r="R148" s="280" t="n"/>
      <c r="S148" s="280" t="n"/>
      <c r="T148" s="280" t="n"/>
      <c r="U148" s="280" t="n"/>
      <c r="V148" s="280" t="n"/>
      <c r="W148" s="280" t="n"/>
      <c r="X148" s="280" t="n"/>
      <c r="Y148" s="280" t="n"/>
    </row>
    <row r="149" ht="15" customHeight="1" s="195">
      <c r="A149" s="334" t="n"/>
      <c r="B149" s="334" t="n"/>
      <c r="C149" s="334" t="n"/>
      <c r="D149" s="334" t="n"/>
      <c r="E149" s="334" t="n"/>
      <c r="F149" s="334" t="n"/>
      <c r="G149" s="334" t="n"/>
      <c r="H149" s="334" t="n"/>
      <c r="I149" s="332">
        <f>IFERROR(VLOOKUP(TEXT(H149,"0"),IPRESS!$A$3:$B$212,2,0),"")</f>
        <v/>
      </c>
      <c r="J149" s="334" t="n"/>
      <c r="K149" s="332">
        <f>IFERROR(VLOOKUP(TEXT(O149,"0"),CONDUCTORES!$A$3:$G$54,7,0),"")</f>
        <v/>
      </c>
      <c r="L149" s="334" t="n"/>
      <c r="M149" s="334" t="n"/>
      <c r="N149" s="333">
        <f>IFERROR(IF(L149*M149=0,"",L149*M149),"")</f>
        <v/>
      </c>
      <c r="O149" s="334" t="n"/>
      <c r="P149" s="332">
        <f>IFERROR(VLOOKUP(TEXT(O149,"0"),CONDUCTORES!$A$3:$G$54,2,0),"")</f>
        <v/>
      </c>
      <c r="Q149" s="332">
        <f>IFERROR(VLOOKUP(TEXT(O149,"0"),CONDUCTORES!$A$3:$H$54,6,0),"")</f>
        <v/>
      </c>
      <c r="R149" s="334" t="n"/>
      <c r="S149" s="334" t="n"/>
      <c r="T149" s="334" t="n"/>
      <c r="U149" s="334" t="n"/>
      <c r="V149" s="334" t="n"/>
      <c r="W149" s="334" t="n"/>
      <c r="X149" s="334" t="n"/>
      <c r="Y149" s="334" t="n"/>
    </row>
    <row r="150" ht="15" customHeight="1" s="195">
      <c r="A150" s="280" t="n"/>
      <c r="B150" s="280" t="n"/>
      <c r="C150" s="280" t="n"/>
      <c r="D150" s="280" t="n"/>
      <c r="E150" s="280" t="n"/>
      <c r="F150" s="280" t="n"/>
      <c r="G150" s="280" t="n"/>
      <c r="H150" s="280" t="n"/>
      <c r="I150" s="332">
        <f>IFERROR(VLOOKUP(TEXT(H150,"0"),IPRESS!$A$3:$B$212,2,0),"")</f>
        <v/>
      </c>
      <c r="J150" s="280" t="n"/>
      <c r="K150" s="332">
        <f>IFERROR(VLOOKUP(TEXT(O150,"0"),CONDUCTORES!$A$3:$G$54,7,0),"")</f>
        <v/>
      </c>
      <c r="L150" s="280" t="n"/>
      <c r="M150" s="280" t="n"/>
      <c r="N150" s="333">
        <f>IFERROR(IF(L150*M150=0,"",L150*M150),"")</f>
        <v/>
      </c>
      <c r="O150" s="280" t="n"/>
      <c r="P150" s="332">
        <f>IFERROR(VLOOKUP(TEXT(O150,"0"),CONDUCTORES!$A$3:$G$54,2,0),"")</f>
        <v/>
      </c>
      <c r="Q150" s="332">
        <f>IFERROR(VLOOKUP(TEXT(O150,"0"),CONDUCTORES!$A$3:$H$54,6,0),"")</f>
        <v/>
      </c>
      <c r="R150" s="280" t="n"/>
      <c r="S150" s="280" t="n"/>
      <c r="T150" s="280" t="n"/>
      <c r="U150" s="280" t="n"/>
      <c r="V150" s="280" t="n"/>
      <c r="W150" s="280" t="n"/>
      <c r="X150" s="280" t="n"/>
      <c r="Y150" s="280" t="n"/>
    </row>
    <row r="151" ht="15" customHeight="1" s="195">
      <c r="A151" s="334" t="n"/>
      <c r="B151" s="334" t="n"/>
      <c r="C151" s="334" t="n"/>
      <c r="D151" s="334" t="n"/>
      <c r="E151" s="334" t="n"/>
      <c r="F151" s="334" t="n"/>
      <c r="G151" s="334" t="n"/>
      <c r="H151" s="334" t="n"/>
      <c r="I151" s="332">
        <f>IFERROR(VLOOKUP(TEXT(H151,"0"),IPRESS!$A$3:$B$212,2,0),"")</f>
        <v/>
      </c>
      <c r="J151" s="334" t="n"/>
      <c r="K151" s="332">
        <f>IFERROR(VLOOKUP(TEXT(O151,"0"),CONDUCTORES!$A$3:$G$54,7,0),"")</f>
        <v/>
      </c>
      <c r="L151" s="334" t="n"/>
      <c r="M151" s="334" t="n"/>
      <c r="N151" s="333">
        <f>IFERROR(IF(L151*M151=0,"",L151*M151),"")</f>
        <v/>
      </c>
      <c r="O151" s="334" t="n"/>
      <c r="P151" s="332">
        <f>IFERROR(VLOOKUP(TEXT(O151,"0"),CONDUCTORES!$A$3:$G$54,2,0),"")</f>
        <v/>
      </c>
      <c r="Q151" s="332">
        <f>IFERROR(VLOOKUP(TEXT(O151,"0"),CONDUCTORES!$A$3:$H$54,6,0),"")</f>
        <v/>
      </c>
      <c r="R151" s="334" t="n"/>
      <c r="S151" s="334" t="n"/>
      <c r="T151" s="334" t="n"/>
      <c r="U151" s="334" t="n"/>
      <c r="V151" s="334" t="n"/>
      <c r="W151" s="334" t="n"/>
      <c r="X151" s="334" t="n"/>
      <c r="Y151" s="334" t="n"/>
    </row>
    <row r="152" ht="15" customHeight="1" s="195">
      <c r="A152" s="280" t="n"/>
      <c r="B152" s="280" t="n"/>
      <c r="C152" s="280" t="n"/>
      <c r="D152" s="280" t="n"/>
      <c r="E152" s="280" t="n"/>
      <c r="F152" s="280" t="n"/>
      <c r="G152" s="280" t="n"/>
      <c r="H152" s="280" t="n"/>
      <c r="I152" s="332">
        <f>IFERROR(VLOOKUP(TEXT(H152,"0"),IPRESS!$A$3:$B$212,2,0),"")</f>
        <v/>
      </c>
      <c r="J152" s="280" t="n"/>
      <c r="K152" s="332">
        <f>IFERROR(VLOOKUP(TEXT(O152,"0"),CONDUCTORES!$A$3:$G$54,7,0),"")</f>
        <v/>
      </c>
      <c r="L152" s="280" t="n"/>
      <c r="M152" s="280" t="n"/>
      <c r="N152" s="333">
        <f>IFERROR(IF(L152*M152=0,"",L152*M152),"")</f>
        <v/>
      </c>
      <c r="O152" s="280" t="n"/>
      <c r="P152" s="332">
        <f>IFERROR(VLOOKUP(TEXT(O152,"0"),CONDUCTORES!$A$3:$G$54,2,0),"")</f>
        <v/>
      </c>
      <c r="Q152" s="332">
        <f>IFERROR(VLOOKUP(TEXT(O152,"0"),CONDUCTORES!$A$3:$H$54,6,0),"")</f>
        <v/>
      </c>
      <c r="R152" s="280" t="n"/>
      <c r="S152" s="280" t="n"/>
      <c r="T152" s="280" t="n"/>
      <c r="U152" s="280" t="n"/>
      <c r="V152" s="280" t="n"/>
      <c r="W152" s="280" t="n"/>
      <c r="X152" s="280" t="n"/>
      <c r="Y152" s="280" t="n"/>
    </row>
    <row r="153" ht="15" customHeight="1" s="195">
      <c r="A153" s="334" t="n"/>
      <c r="B153" s="334" t="n"/>
      <c r="C153" s="334" t="n"/>
      <c r="D153" s="334" t="n"/>
      <c r="E153" s="334" t="n"/>
      <c r="F153" s="334" t="n"/>
      <c r="G153" s="334" t="n"/>
      <c r="H153" s="334" t="n"/>
      <c r="I153" s="332">
        <f>IFERROR(VLOOKUP(TEXT(H153,"0"),IPRESS!$A$3:$B$212,2,0),"")</f>
        <v/>
      </c>
      <c r="J153" s="334" t="n"/>
      <c r="K153" s="332">
        <f>IFERROR(VLOOKUP(TEXT(O153,"0"),CONDUCTORES!$A$3:$G$54,7,0),"")</f>
        <v/>
      </c>
      <c r="L153" s="334" t="n"/>
      <c r="M153" s="334" t="n"/>
      <c r="N153" s="333">
        <f>IFERROR(IF(L153*M153=0,"",L153*M153),"")</f>
        <v/>
      </c>
      <c r="O153" s="334" t="n"/>
      <c r="P153" s="332">
        <f>IFERROR(VLOOKUP(TEXT(O153,"0"),CONDUCTORES!$A$3:$G$54,2,0),"")</f>
        <v/>
      </c>
      <c r="Q153" s="332">
        <f>IFERROR(VLOOKUP(TEXT(O153,"0"),CONDUCTORES!$A$3:$H$54,6,0),"")</f>
        <v/>
      </c>
      <c r="R153" s="334" t="n"/>
      <c r="S153" s="334" t="n"/>
      <c r="T153" s="334" t="n"/>
      <c r="U153" s="334" t="n"/>
      <c r="V153" s="334" t="n"/>
      <c r="W153" s="334" t="n"/>
      <c r="X153" s="334" t="n"/>
      <c r="Y153" s="334" t="n"/>
    </row>
    <row r="154" ht="15" customHeight="1" s="195">
      <c r="A154" s="280" t="n"/>
      <c r="B154" s="280" t="n"/>
      <c r="C154" s="280" t="n"/>
      <c r="D154" s="280" t="n"/>
      <c r="E154" s="280" t="n"/>
      <c r="F154" s="280" t="n"/>
      <c r="G154" s="280" t="n"/>
      <c r="H154" s="280" t="n"/>
      <c r="I154" s="332">
        <f>IFERROR(VLOOKUP(TEXT(H154,"0"),IPRESS!$A$3:$B$212,2,0),"")</f>
        <v/>
      </c>
      <c r="J154" s="280" t="n"/>
      <c r="K154" s="332">
        <f>IFERROR(VLOOKUP(TEXT(O154,"0"),CONDUCTORES!$A$3:$G$54,7,0),"")</f>
        <v/>
      </c>
      <c r="L154" s="280" t="n"/>
      <c r="M154" s="280" t="n"/>
      <c r="N154" s="333">
        <f>IFERROR(IF(L154*M154=0,"",L154*M154),"")</f>
        <v/>
      </c>
      <c r="O154" s="280" t="n"/>
      <c r="P154" s="332">
        <f>IFERROR(VLOOKUP(TEXT(O154,"0"),CONDUCTORES!$A$3:$G$54,2,0),"")</f>
        <v/>
      </c>
      <c r="Q154" s="332">
        <f>IFERROR(VLOOKUP(TEXT(O154,"0"),CONDUCTORES!$A$3:$H$54,6,0),"")</f>
        <v/>
      </c>
      <c r="R154" s="280" t="n"/>
      <c r="S154" s="280" t="n"/>
      <c r="T154" s="280" t="n"/>
      <c r="U154" s="280" t="n"/>
      <c r="V154" s="280" t="n"/>
      <c r="W154" s="280" t="n"/>
      <c r="X154" s="280" t="n"/>
      <c r="Y154" s="280" t="n"/>
    </row>
    <row r="155" ht="15" customHeight="1" s="195">
      <c r="A155" s="334" t="n"/>
      <c r="B155" s="334" t="n"/>
      <c r="C155" s="334" t="n"/>
      <c r="D155" s="334" t="n"/>
      <c r="E155" s="334" t="n"/>
      <c r="F155" s="334" t="n"/>
      <c r="G155" s="334" t="n"/>
      <c r="H155" s="334" t="n"/>
      <c r="I155" s="332">
        <f>IFERROR(VLOOKUP(TEXT(H155,"0"),IPRESS!$A$3:$B$212,2,0),"")</f>
        <v/>
      </c>
      <c r="J155" s="334" t="n"/>
      <c r="K155" s="332">
        <f>IFERROR(VLOOKUP(TEXT(O155,"0"),CONDUCTORES!$A$3:$G$54,7,0),"")</f>
        <v/>
      </c>
      <c r="L155" s="334" t="n"/>
      <c r="M155" s="334" t="n"/>
      <c r="N155" s="333">
        <f>IFERROR(IF(L155*M155=0,"",L155*M155),"")</f>
        <v/>
      </c>
      <c r="O155" s="334" t="n"/>
      <c r="P155" s="332">
        <f>IFERROR(VLOOKUP(TEXT(O155,"0"),CONDUCTORES!$A$3:$G$54,2,0),"")</f>
        <v/>
      </c>
      <c r="Q155" s="332">
        <f>IFERROR(VLOOKUP(TEXT(O155,"0"),CONDUCTORES!$A$3:$H$54,6,0),"")</f>
        <v/>
      </c>
      <c r="R155" s="334" t="n"/>
      <c r="S155" s="334" t="n"/>
      <c r="T155" s="334" t="n"/>
      <c r="U155" s="334" t="n"/>
      <c r="V155" s="334" t="n"/>
      <c r="W155" s="334" t="n"/>
      <c r="X155" s="334" t="n"/>
      <c r="Y155" s="334" t="n"/>
    </row>
    <row r="156" ht="15" customHeight="1" s="195">
      <c r="A156" s="280" t="n"/>
      <c r="B156" s="280" t="n"/>
      <c r="C156" s="280" t="n"/>
      <c r="D156" s="280" t="n"/>
      <c r="E156" s="280" t="n"/>
      <c r="F156" s="280" t="n"/>
      <c r="G156" s="280" t="n"/>
      <c r="H156" s="280" t="n"/>
      <c r="I156" s="332">
        <f>IFERROR(VLOOKUP(TEXT(H156,"0"),IPRESS!$A$3:$B$212,2,0),"")</f>
        <v/>
      </c>
      <c r="J156" s="280" t="n"/>
      <c r="K156" s="332">
        <f>IFERROR(VLOOKUP(TEXT(O156,"0"),CONDUCTORES!$A$3:$G$54,7,0),"")</f>
        <v/>
      </c>
      <c r="L156" s="280" t="n"/>
      <c r="M156" s="280" t="n"/>
      <c r="N156" s="333">
        <f>IFERROR(IF(L156*M156=0,"",L156*M156),"")</f>
        <v/>
      </c>
      <c r="O156" s="280" t="n"/>
      <c r="P156" s="332">
        <f>IFERROR(VLOOKUP(TEXT(O156,"0"),CONDUCTORES!$A$3:$G$54,2,0),"")</f>
        <v/>
      </c>
      <c r="Q156" s="332">
        <f>IFERROR(VLOOKUP(TEXT(O156,"0"),CONDUCTORES!$A$3:$H$54,6,0),"")</f>
        <v/>
      </c>
      <c r="R156" s="280" t="n"/>
      <c r="S156" s="280" t="n"/>
      <c r="T156" s="280" t="n"/>
      <c r="U156" s="280" t="n"/>
      <c r="V156" s="280" t="n"/>
      <c r="W156" s="280" t="n"/>
      <c r="X156" s="280" t="n"/>
      <c r="Y156" s="280" t="n"/>
    </row>
    <row r="157" ht="15" customHeight="1" s="195">
      <c r="A157" s="334" t="n"/>
      <c r="B157" s="334" t="n"/>
      <c r="C157" s="334" t="n"/>
      <c r="D157" s="334" t="n"/>
      <c r="E157" s="334" t="n"/>
      <c r="F157" s="334" t="n"/>
      <c r="G157" s="334" t="n"/>
      <c r="H157" s="334" t="n"/>
      <c r="I157" s="332">
        <f>IFERROR(VLOOKUP(TEXT(H157,"0"),IPRESS!$A$3:$B$212,2,0),"")</f>
        <v/>
      </c>
      <c r="J157" s="334" t="n"/>
      <c r="K157" s="332">
        <f>IFERROR(VLOOKUP(TEXT(O157,"0"),CONDUCTORES!$A$3:$G$54,7,0),"")</f>
        <v/>
      </c>
      <c r="L157" s="334" t="n"/>
      <c r="M157" s="334" t="n"/>
      <c r="N157" s="333">
        <f>IFERROR(IF(L157*M157=0,"",L157*M157),"")</f>
        <v/>
      </c>
      <c r="O157" s="334" t="n"/>
      <c r="P157" s="332">
        <f>IFERROR(VLOOKUP(TEXT(O157,"0"),CONDUCTORES!$A$3:$G$54,2,0),"")</f>
        <v/>
      </c>
      <c r="Q157" s="332">
        <f>IFERROR(VLOOKUP(TEXT(O157,"0"),CONDUCTORES!$A$3:$H$54,6,0),"")</f>
        <v/>
      </c>
      <c r="R157" s="334" t="n"/>
      <c r="S157" s="334" t="n"/>
      <c r="T157" s="334" t="n"/>
      <c r="U157" s="334" t="n"/>
      <c r="V157" s="334" t="n"/>
      <c r="W157" s="334" t="n"/>
      <c r="X157" s="334" t="n"/>
      <c r="Y157" s="334" t="n"/>
    </row>
    <row r="158" ht="15" customHeight="1" s="195">
      <c r="A158" s="280" t="n"/>
      <c r="B158" s="280" t="n"/>
      <c r="C158" s="280" t="n"/>
      <c r="D158" s="280" t="n"/>
      <c r="E158" s="280" t="n"/>
      <c r="F158" s="280" t="n"/>
      <c r="G158" s="280" t="n"/>
      <c r="H158" s="280" t="n"/>
      <c r="I158" s="332">
        <f>IFERROR(VLOOKUP(TEXT(H158,"0"),IPRESS!$A$3:$B$212,2,0),"")</f>
        <v/>
      </c>
      <c r="J158" s="280" t="n"/>
      <c r="K158" s="332">
        <f>IFERROR(VLOOKUP(TEXT(O158,"0"),CONDUCTORES!$A$3:$G$54,7,0),"")</f>
        <v/>
      </c>
      <c r="L158" s="280" t="n"/>
      <c r="M158" s="280" t="n"/>
      <c r="N158" s="333">
        <f>IFERROR(IF(L158*M158=0,"",L158*M158),"")</f>
        <v/>
      </c>
      <c r="O158" s="280" t="n"/>
      <c r="P158" s="332">
        <f>IFERROR(VLOOKUP(TEXT(O158,"0"),CONDUCTORES!$A$3:$G$54,2,0),"")</f>
        <v/>
      </c>
      <c r="Q158" s="332">
        <f>IFERROR(VLOOKUP(TEXT(O158,"0"),CONDUCTORES!$A$3:$H$54,6,0),"")</f>
        <v/>
      </c>
      <c r="R158" s="280" t="n"/>
      <c r="S158" s="280" t="n"/>
      <c r="T158" s="280" t="n"/>
      <c r="U158" s="280" t="n"/>
      <c r="V158" s="280" t="n"/>
      <c r="W158" s="280" t="n"/>
      <c r="X158" s="280" t="n"/>
      <c r="Y158" s="280" t="n"/>
    </row>
    <row r="159" ht="15" customHeight="1" s="195">
      <c r="A159" s="334" t="n"/>
      <c r="B159" s="334" t="n"/>
      <c r="C159" s="334" t="n"/>
      <c r="D159" s="334" t="n"/>
      <c r="E159" s="334" t="n"/>
      <c r="F159" s="334" t="n"/>
      <c r="G159" s="334" t="n"/>
      <c r="H159" s="334" t="n"/>
      <c r="I159" s="332">
        <f>IFERROR(VLOOKUP(TEXT(H159,"0"),IPRESS!$A$3:$B$212,2,0),"")</f>
        <v/>
      </c>
      <c r="J159" s="334" t="n"/>
      <c r="K159" s="332">
        <f>IFERROR(VLOOKUP(TEXT(O159,"0"),CONDUCTORES!$A$3:$G$54,7,0),"")</f>
        <v/>
      </c>
      <c r="L159" s="334" t="n"/>
      <c r="M159" s="334" t="n"/>
      <c r="N159" s="333">
        <f>IFERROR(IF(L159*M159=0,"",L159*M159),"")</f>
        <v/>
      </c>
      <c r="O159" s="334" t="n"/>
      <c r="P159" s="332">
        <f>IFERROR(VLOOKUP(TEXT(O159,"0"),CONDUCTORES!$A$3:$G$54,2,0),"")</f>
        <v/>
      </c>
      <c r="Q159" s="332">
        <f>IFERROR(VLOOKUP(TEXT(O159,"0"),CONDUCTORES!$A$3:$H$54,6,0),"")</f>
        <v/>
      </c>
      <c r="R159" s="334" t="n"/>
      <c r="S159" s="334" t="n"/>
      <c r="T159" s="334" t="n"/>
      <c r="U159" s="334" t="n"/>
      <c r="V159" s="334" t="n"/>
      <c r="W159" s="334" t="n"/>
      <c r="X159" s="334" t="n"/>
      <c r="Y159" s="334" t="n"/>
    </row>
    <row r="160" ht="15" customHeight="1" s="195">
      <c r="A160" s="280" t="n"/>
      <c r="B160" s="280" t="n"/>
      <c r="C160" s="280" t="n"/>
      <c r="D160" s="280" t="n"/>
      <c r="E160" s="280" t="n"/>
      <c r="F160" s="280" t="n"/>
      <c r="G160" s="280" t="n"/>
      <c r="H160" s="280" t="n"/>
      <c r="I160" s="332">
        <f>IFERROR(VLOOKUP(TEXT(H160,"0"),IPRESS!$A$3:$B$212,2,0),"")</f>
        <v/>
      </c>
      <c r="J160" s="280" t="n"/>
      <c r="K160" s="332">
        <f>IFERROR(VLOOKUP(TEXT(O160,"0"),CONDUCTORES!$A$3:$G$54,7,0),"")</f>
        <v/>
      </c>
      <c r="L160" s="280" t="n"/>
      <c r="M160" s="280" t="n"/>
      <c r="N160" s="333">
        <f>IFERROR(IF(L160*M160=0,"",L160*M160),"")</f>
        <v/>
      </c>
      <c r="O160" s="280" t="n"/>
      <c r="P160" s="332">
        <f>IFERROR(VLOOKUP(TEXT(O160,"0"),CONDUCTORES!$A$3:$G$54,2,0),"")</f>
        <v/>
      </c>
      <c r="Q160" s="332">
        <f>IFERROR(VLOOKUP(TEXT(O160,"0"),CONDUCTORES!$A$3:$H$54,6,0),"")</f>
        <v/>
      </c>
      <c r="R160" s="280" t="n"/>
      <c r="S160" s="280" t="n"/>
      <c r="T160" s="280" t="n"/>
      <c r="U160" s="280" t="n"/>
      <c r="V160" s="280" t="n"/>
      <c r="W160" s="280" t="n"/>
      <c r="X160" s="280" t="n"/>
      <c r="Y160" s="280" t="n"/>
    </row>
    <row r="161" ht="15" customHeight="1" s="195">
      <c r="A161" s="334" t="n"/>
      <c r="B161" s="334" t="n"/>
      <c r="C161" s="334" t="n"/>
      <c r="D161" s="334" t="n"/>
      <c r="E161" s="334" t="n"/>
      <c r="F161" s="334" t="n"/>
      <c r="G161" s="334" t="n"/>
      <c r="H161" s="334" t="n"/>
      <c r="I161" s="332">
        <f>IFERROR(VLOOKUP(TEXT(H161,"0"),IPRESS!$A$3:$B$212,2,0),"")</f>
        <v/>
      </c>
      <c r="J161" s="334" t="n"/>
      <c r="K161" s="332">
        <f>IFERROR(VLOOKUP(TEXT(O161,"0"),CONDUCTORES!$A$3:$G$54,7,0),"")</f>
        <v/>
      </c>
      <c r="L161" s="334" t="n"/>
      <c r="M161" s="334" t="n"/>
      <c r="N161" s="333">
        <f>IFERROR(IF(L161*M161=0,"",L161*M161),"")</f>
        <v/>
      </c>
      <c r="O161" s="334" t="n"/>
      <c r="P161" s="332">
        <f>IFERROR(VLOOKUP(TEXT(O161,"0"),CONDUCTORES!$A$3:$G$54,2,0),"")</f>
        <v/>
      </c>
      <c r="Q161" s="332">
        <f>IFERROR(VLOOKUP(TEXT(O161,"0"),CONDUCTORES!$A$3:$H$54,6,0),"")</f>
        <v/>
      </c>
      <c r="R161" s="334" t="n"/>
      <c r="S161" s="334" t="n"/>
      <c r="T161" s="334" t="n"/>
      <c r="U161" s="334" t="n"/>
      <c r="V161" s="334" t="n"/>
      <c r="W161" s="334" t="n"/>
      <c r="X161" s="334" t="n"/>
      <c r="Y161" s="334" t="n"/>
    </row>
    <row r="162" ht="15" customHeight="1" s="195">
      <c r="A162" s="280" t="n"/>
      <c r="B162" s="280" t="n"/>
      <c r="C162" s="280" t="n"/>
      <c r="D162" s="280" t="n"/>
      <c r="E162" s="280" t="n"/>
      <c r="F162" s="280" t="n"/>
      <c r="G162" s="280" t="n"/>
      <c r="H162" s="280" t="n"/>
      <c r="I162" s="332">
        <f>IFERROR(VLOOKUP(TEXT(H162,"0"),IPRESS!$A$3:$B$212,2,0),"")</f>
        <v/>
      </c>
      <c r="J162" s="280" t="n"/>
      <c r="K162" s="332">
        <f>IFERROR(VLOOKUP(TEXT(O162,"0"),CONDUCTORES!$A$3:$G$54,7,0),"")</f>
        <v/>
      </c>
      <c r="L162" s="280" t="n"/>
      <c r="M162" s="280" t="n"/>
      <c r="N162" s="333">
        <f>IFERROR(IF(L162*M162=0,"",L162*M162),"")</f>
        <v/>
      </c>
      <c r="O162" s="280" t="n"/>
      <c r="P162" s="332">
        <f>IFERROR(VLOOKUP(TEXT(O162,"0"),CONDUCTORES!$A$3:$G$54,2,0),"")</f>
        <v/>
      </c>
      <c r="Q162" s="332">
        <f>IFERROR(VLOOKUP(TEXT(O162,"0"),CONDUCTORES!$A$3:$H$54,6,0),"")</f>
        <v/>
      </c>
      <c r="R162" s="280" t="n"/>
      <c r="S162" s="280" t="n"/>
      <c r="T162" s="280" t="n"/>
      <c r="U162" s="280" t="n"/>
      <c r="V162" s="280" t="n"/>
      <c r="W162" s="280" t="n"/>
      <c r="X162" s="280" t="n"/>
      <c r="Y162" s="280" t="n"/>
    </row>
    <row r="163" ht="15" customHeight="1" s="195">
      <c r="A163" s="334" t="n"/>
      <c r="B163" s="334" t="n"/>
      <c r="C163" s="334" t="n"/>
      <c r="D163" s="334" t="n"/>
      <c r="E163" s="334" t="n"/>
      <c r="F163" s="334" t="n"/>
      <c r="G163" s="334" t="n"/>
      <c r="H163" s="334" t="n"/>
      <c r="I163" s="332">
        <f>IFERROR(VLOOKUP(TEXT(H163,"0"),IPRESS!$A$3:$B$212,2,0),"")</f>
        <v/>
      </c>
      <c r="J163" s="334" t="n"/>
      <c r="K163" s="332">
        <f>IFERROR(VLOOKUP(TEXT(O163,"0"),CONDUCTORES!$A$3:$G$54,7,0),"")</f>
        <v/>
      </c>
      <c r="L163" s="334" t="n"/>
      <c r="M163" s="334" t="n"/>
      <c r="N163" s="333">
        <f>IFERROR(IF(L163*M163=0,"",L163*M163),"")</f>
        <v/>
      </c>
      <c r="O163" s="334" t="n"/>
      <c r="P163" s="332">
        <f>IFERROR(VLOOKUP(TEXT(O163,"0"),CONDUCTORES!$A$3:$G$54,2,0),"")</f>
        <v/>
      </c>
      <c r="Q163" s="332">
        <f>IFERROR(VLOOKUP(TEXT(O163,"0"),CONDUCTORES!$A$3:$H$54,6,0),"")</f>
        <v/>
      </c>
      <c r="R163" s="334" t="n"/>
      <c r="S163" s="334" t="n"/>
      <c r="T163" s="334" t="n"/>
      <c r="U163" s="334" t="n"/>
      <c r="V163" s="334" t="n"/>
      <c r="W163" s="334" t="n"/>
      <c r="X163" s="334" t="n"/>
      <c r="Y163" s="334" t="n"/>
    </row>
    <row r="164" ht="15" customHeight="1" s="195">
      <c r="A164" s="280" t="n"/>
      <c r="B164" s="280" t="n"/>
      <c r="C164" s="280" t="n"/>
      <c r="D164" s="280" t="n"/>
      <c r="E164" s="280" t="n"/>
      <c r="F164" s="280" t="n"/>
      <c r="G164" s="280" t="n"/>
      <c r="H164" s="280" t="n"/>
      <c r="I164" s="332">
        <f>IFERROR(VLOOKUP(TEXT(H164,"0"),IPRESS!$A$3:$B$212,2,0),"")</f>
        <v/>
      </c>
      <c r="J164" s="280" t="n"/>
      <c r="K164" s="332">
        <f>IFERROR(VLOOKUP(TEXT(O164,"0"),CONDUCTORES!$A$3:$G$54,7,0),"")</f>
        <v/>
      </c>
      <c r="L164" s="280" t="n"/>
      <c r="M164" s="280" t="n"/>
      <c r="N164" s="333">
        <f>IFERROR(IF(L164*M164=0,"",L164*M164),"")</f>
        <v/>
      </c>
      <c r="O164" s="280" t="n"/>
      <c r="P164" s="332">
        <f>IFERROR(VLOOKUP(TEXT(O164,"0"),CONDUCTORES!$A$3:$G$54,2,0),"")</f>
        <v/>
      </c>
      <c r="Q164" s="332">
        <f>IFERROR(VLOOKUP(TEXT(O164,"0"),CONDUCTORES!$A$3:$H$54,6,0),"")</f>
        <v/>
      </c>
      <c r="R164" s="280" t="n"/>
      <c r="S164" s="280" t="n"/>
      <c r="T164" s="280" t="n"/>
      <c r="U164" s="280" t="n"/>
      <c r="V164" s="280" t="n"/>
      <c r="W164" s="280" t="n"/>
      <c r="X164" s="280" t="n"/>
      <c r="Y164" s="280" t="n"/>
    </row>
    <row r="165" ht="15" customHeight="1" s="195">
      <c r="A165" s="334" t="n"/>
      <c r="B165" s="334" t="n"/>
      <c r="C165" s="334" t="n"/>
      <c r="D165" s="334" t="n"/>
      <c r="E165" s="334" t="n"/>
      <c r="F165" s="334" t="n"/>
      <c r="G165" s="334" t="n"/>
      <c r="H165" s="334" t="n"/>
      <c r="I165" s="332">
        <f>IFERROR(VLOOKUP(TEXT(H165,"0"),IPRESS!$A$3:$B$212,2,0),"")</f>
        <v/>
      </c>
      <c r="J165" s="334" t="n"/>
      <c r="K165" s="332">
        <f>IFERROR(VLOOKUP(TEXT(O165,"0"),CONDUCTORES!$A$3:$G$54,7,0),"")</f>
        <v/>
      </c>
      <c r="L165" s="334" t="n"/>
      <c r="M165" s="334" t="n"/>
      <c r="N165" s="333">
        <f>IFERROR(IF(L165*M165=0,"",L165*M165),"")</f>
        <v/>
      </c>
      <c r="O165" s="334" t="n"/>
      <c r="P165" s="332">
        <f>IFERROR(VLOOKUP(TEXT(O165,"0"),CONDUCTORES!$A$3:$G$54,2,0),"")</f>
        <v/>
      </c>
      <c r="Q165" s="332">
        <f>IFERROR(VLOOKUP(TEXT(O165,"0"),CONDUCTORES!$A$3:$H$54,6,0),"")</f>
        <v/>
      </c>
      <c r="R165" s="334" t="n"/>
      <c r="S165" s="334" t="n"/>
      <c r="T165" s="334" t="n"/>
      <c r="U165" s="334" t="n"/>
      <c r="V165" s="334" t="n"/>
      <c r="W165" s="334" t="n"/>
      <c r="X165" s="334" t="n"/>
      <c r="Y165" s="334" t="n"/>
    </row>
    <row r="166" ht="15" customHeight="1" s="195">
      <c r="A166" s="280" t="n"/>
      <c r="B166" s="280" t="n"/>
      <c r="C166" s="280" t="n"/>
      <c r="D166" s="280" t="n"/>
      <c r="E166" s="280" t="n"/>
      <c r="F166" s="280" t="n"/>
      <c r="G166" s="280" t="n"/>
      <c r="H166" s="280" t="n"/>
      <c r="I166" s="332">
        <f>IFERROR(VLOOKUP(TEXT(H166,"0"),IPRESS!$A$3:$B$212,2,0),"")</f>
        <v/>
      </c>
      <c r="J166" s="280" t="n"/>
      <c r="K166" s="332">
        <f>IFERROR(VLOOKUP(TEXT(O166,"0"),CONDUCTORES!$A$3:$G$54,7,0),"")</f>
        <v/>
      </c>
      <c r="L166" s="280" t="n"/>
      <c r="M166" s="280" t="n"/>
      <c r="N166" s="333">
        <f>IFERROR(IF(L166*M166=0,"",L166*M166),"")</f>
        <v/>
      </c>
      <c r="O166" s="280" t="n"/>
      <c r="P166" s="332">
        <f>IFERROR(VLOOKUP(TEXT(O166,"0"),CONDUCTORES!$A$3:$G$54,2,0),"")</f>
        <v/>
      </c>
      <c r="Q166" s="332">
        <f>IFERROR(VLOOKUP(TEXT(O166,"0"),CONDUCTORES!$A$3:$H$54,6,0),"")</f>
        <v/>
      </c>
      <c r="R166" s="280" t="n"/>
      <c r="S166" s="280" t="n"/>
      <c r="T166" s="280" t="n"/>
      <c r="U166" s="280" t="n"/>
      <c r="V166" s="280" t="n"/>
      <c r="W166" s="280" t="n"/>
      <c r="X166" s="280" t="n"/>
      <c r="Y166" s="280" t="n"/>
    </row>
    <row r="167" ht="15" customHeight="1" s="195">
      <c r="A167" s="334" t="n"/>
      <c r="B167" s="334" t="n"/>
      <c r="C167" s="334" t="n"/>
      <c r="D167" s="334" t="n"/>
      <c r="E167" s="334" t="n"/>
      <c r="F167" s="334" t="n"/>
      <c r="G167" s="334" t="n"/>
      <c r="H167" s="334" t="n"/>
      <c r="I167" s="332">
        <f>IFERROR(VLOOKUP(TEXT(H167,"0"),IPRESS!$A$3:$B$212,2,0),"")</f>
        <v/>
      </c>
      <c r="J167" s="334" t="n"/>
      <c r="K167" s="332">
        <f>IFERROR(VLOOKUP(TEXT(O167,"0"),CONDUCTORES!$A$3:$G$54,7,0),"")</f>
        <v/>
      </c>
      <c r="L167" s="334" t="n"/>
      <c r="M167" s="334" t="n"/>
      <c r="N167" s="333">
        <f>IFERROR(IF(L167*M167=0,"",L167*M167),"")</f>
        <v/>
      </c>
      <c r="O167" s="334" t="n"/>
      <c r="P167" s="332">
        <f>IFERROR(VLOOKUP(TEXT(O167,"0"),CONDUCTORES!$A$3:$G$54,2,0),"")</f>
        <v/>
      </c>
      <c r="Q167" s="332">
        <f>IFERROR(VLOOKUP(TEXT(O167,"0"),CONDUCTORES!$A$3:$H$54,6,0),"")</f>
        <v/>
      </c>
      <c r="R167" s="334" t="n"/>
      <c r="S167" s="334" t="n"/>
      <c r="T167" s="334" t="n"/>
      <c r="U167" s="334" t="n"/>
      <c r="V167" s="334" t="n"/>
      <c r="W167" s="334" t="n"/>
      <c r="X167" s="334" t="n"/>
      <c r="Y167" s="334" t="n"/>
    </row>
    <row r="168" ht="15" customHeight="1" s="195">
      <c r="A168" s="280" t="n"/>
      <c r="B168" s="280" t="n"/>
      <c r="C168" s="280" t="n"/>
      <c r="D168" s="280" t="n"/>
      <c r="E168" s="280" t="n"/>
      <c r="F168" s="280" t="n"/>
      <c r="G168" s="280" t="n"/>
      <c r="H168" s="280" t="n"/>
      <c r="I168" s="332">
        <f>IFERROR(VLOOKUP(TEXT(H168,"0"),IPRESS!$A$3:$B$212,2,0),"")</f>
        <v/>
      </c>
      <c r="J168" s="280" t="n"/>
      <c r="K168" s="332">
        <f>IFERROR(VLOOKUP(TEXT(O168,"0"),CONDUCTORES!$A$3:$G$54,7,0),"")</f>
        <v/>
      </c>
      <c r="L168" s="280" t="n"/>
      <c r="M168" s="280" t="n"/>
      <c r="N168" s="333">
        <f>IFERROR(IF(L168*M168=0,"",L168*M168),"")</f>
        <v/>
      </c>
      <c r="O168" s="280" t="n"/>
      <c r="P168" s="332">
        <f>IFERROR(VLOOKUP(TEXT(O168,"0"),CONDUCTORES!$A$3:$G$54,2,0),"")</f>
        <v/>
      </c>
      <c r="Q168" s="332">
        <f>IFERROR(VLOOKUP(TEXT(O168,"0"),CONDUCTORES!$A$3:$H$54,6,0),"")</f>
        <v/>
      </c>
      <c r="R168" s="280" t="n"/>
      <c r="S168" s="280" t="n"/>
      <c r="T168" s="280" t="n"/>
      <c r="U168" s="280" t="n"/>
      <c r="V168" s="280" t="n"/>
      <c r="W168" s="280" t="n"/>
      <c r="X168" s="280" t="n"/>
      <c r="Y168" s="280" t="n"/>
    </row>
    <row r="169" ht="15" customHeight="1" s="195">
      <c r="A169" s="334" t="n"/>
      <c r="B169" s="334" t="n"/>
      <c r="C169" s="334" t="n"/>
      <c r="D169" s="334" t="n"/>
      <c r="E169" s="334" t="n"/>
      <c r="F169" s="334" t="n"/>
      <c r="G169" s="334" t="n"/>
      <c r="H169" s="334" t="n"/>
      <c r="I169" s="332">
        <f>IFERROR(VLOOKUP(TEXT(H169,"0"),IPRESS!$A$3:$B$212,2,0),"")</f>
        <v/>
      </c>
      <c r="J169" s="334" t="n"/>
      <c r="K169" s="332">
        <f>IFERROR(VLOOKUP(TEXT(O169,"0"),CONDUCTORES!$A$3:$G$54,7,0),"")</f>
        <v/>
      </c>
      <c r="L169" s="334" t="n"/>
      <c r="M169" s="334" t="n"/>
      <c r="N169" s="333">
        <f>IFERROR(IF(L169*M169=0,"",L169*M169),"")</f>
        <v/>
      </c>
      <c r="O169" s="334" t="n"/>
      <c r="P169" s="332">
        <f>IFERROR(VLOOKUP(TEXT(O169,"0"),CONDUCTORES!$A$3:$G$54,2,0),"")</f>
        <v/>
      </c>
      <c r="Q169" s="332">
        <f>IFERROR(VLOOKUP(TEXT(O169,"0"),CONDUCTORES!$A$3:$H$54,6,0),"")</f>
        <v/>
      </c>
      <c r="R169" s="334" t="n"/>
      <c r="S169" s="334" t="n"/>
      <c r="T169" s="334" t="n"/>
      <c r="U169" s="334" t="n"/>
      <c r="V169" s="334" t="n"/>
      <c r="W169" s="334" t="n"/>
      <c r="X169" s="334" t="n"/>
      <c r="Y169" s="334" t="n"/>
    </row>
    <row r="170" ht="15" customHeight="1" s="195">
      <c r="A170" s="280" t="n"/>
      <c r="B170" s="280" t="n"/>
      <c r="C170" s="280" t="n"/>
      <c r="D170" s="280" t="n"/>
      <c r="E170" s="280" t="n"/>
      <c r="F170" s="280" t="n"/>
      <c r="G170" s="280" t="n"/>
      <c r="H170" s="280" t="n"/>
      <c r="I170" s="332">
        <f>IFERROR(VLOOKUP(TEXT(H170,"0"),IPRESS!$A$3:$B$212,2,0),"")</f>
        <v/>
      </c>
      <c r="J170" s="280" t="n"/>
      <c r="K170" s="332">
        <f>IFERROR(VLOOKUP(TEXT(O170,"0"),CONDUCTORES!$A$3:$G$54,7,0),"")</f>
        <v/>
      </c>
      <c r="L170" s="280" t="n"/>
      <c r="M170" s="280" t="n"/>
      <c r="N170" s="333">
        <f>IFERROR(IF(L170*M170=0,"",L170*M170),"")</f>
        <v/>
      </c>
      <c r="O170" s="280" t="n"/>
      <c r="P170" s="332">
        <f>IFERROR(VLOOKUP(TEXT(O170,"0"),CONDUCTORES!$A$3:$G$54,2,0),"")</f>
        <v/>
      </c>
      <c r="Q170" s="332">
        <f>IFERROR(VLOOKUP(TEXT(O170,"0"),CONDUCTORES!$A$3:$H$54,6,0),"")</f>
        <v/>
      </c>
      <c r="R170" s="280" t="n"/>
      <c r="S170" s="280" t="n"/>
      <c r="T170" s="280" t="n"/>
      <c r="U170" s="280" t="n"/>
      <c r="V170" s="280" t="n"/>
      <c r="W170" s="280" t="n"/>
      <c r="X170" s="280" t="n"/>
      <c r="Y170" s="280" t="n"/>
    </row>
    <row r="171" ht="15" customHeight="1" s="195">
      <c r="A171" s="334" t="n"/>
      <c r="B171" s="334" t="n"/>
      <c r="C171" s="334" t="n"/>
      <c r="D171" s="334" t="n"/>
      <c r="E171" s="334" t="n"/>
      <c r="F171" s="334" t="n"/>
      <c r="G171" s="334" t="n"/>
      <c r="H171" s="334" t="n"/>
      <c r="I171" s="332">
        <f>IFERROR(VLOOKUP(TEXT(H171,"0"),IPRESS!$A$3:$B$212,2,0),"")</f>
        <v/>
      </c>
      <c r="J171" s="334" t="n"/>
      <c r="K171" s="332">
        <f>IFERROR(VLOOKUP(TEXT(O171,"0"),CONDUCTORES!$A$3:$G$54,7,0),"")</f>
        <v/>
      </c>
      <c r="L171" s="334" t="n"/>
      <c r="M171" s="334" t="n"/>
      <c r="N171" s="333">
        <f>IFERROR(IF(L171*M171=0,"",L171*M171),"")</f>
        <v/>
      </c>
      <c r="O171" s="334" t="n"/>
      <c r="P171" s="332">
        <f>IFERROR(VLOOKUP(TEXT(O171,"0"),CONDUCTORES!$A$3:$G$54,2,0),"")</f>
        <v/>
      </c>
      <c r="Q171" s="332">
        <f>IFERROR(VLOOKUP(TEXT(O171,"0"),CONDUCTORES!$A$3:$H$54,6,0),"")</f>
        <v/>
      </c>
      <c r="R171" s="334" t="n"/>
      <c r="S171" s="334" t="n"/>
      <c r="T171" s="334" t="n"/>
      <c r="U171" s="334" t="n"/>
      <c r="V171" s="334" t="n"/>
      <c r="W171" s="334" t="n"/>
      <c r="X171" s="334" t="n"/>
      <c r="Y171" s="334" t="n"/>
    </row>
    <row r="172" ht="15" customHeight="1" s="195">
      <c r="A172" s="280" t="n"/>
      <c r="B172" s="280" t="n"/>
      <c r="C172" s="280" t="n"/>
      <c r="D172" s="280" t="n"/>
      <c r="E172" s="280" t="n"/>
      <c r="F172" s="280" t="n"/>
      <c r="G172" s="280" t="n"/>
      <c r="H172" s="280" t="n"/>
      <c r="I172" s="332">
        <f>IFERROR(VLOOKUP(TEXT(H172,"0"),IPRESS!$A$3:$B$212,2,0),"")</f>
        <v/>
      </c>
      <c r="J172" s="280" t="n"/>
      <c r="K172" s="332">
        <f>IFERROR(VLOOKUP(TEXT(O172,"0"),CONDUCTORES!$A$3:$G$54,7,0),"")</f>
        <v/>
      </c>
      <c r="L172" s="280" t="n"/>
      <c r="M172" s="280" t="n"/>
      <c r="N172" s="333">
        <f>IFERROR(IF(L172*M172=0,"",L172*M172),"")</f>
        <v/>
      </c>
      <c r="O172" s="280" t="n"/>
      <c r="P172" s="332">
        <f>IFERROR(VLOOKUP(TEXT(O172,"0"),CONDUCTORES!$A$3:$G$54,2,0),"")</f>
        <v/>
      </c>
      <c r="Q172" s="332">
        <f>IFERROR(VLOOKUP(TEXT(O172,"0"),CONDUCTORES!$A$3:$H$54,6,0),"")</f>
        <v/>
      </c>
      <c r="R172" s="280" t="n"/>
      <c r="S172" s="280" t="n"/>
      <c r="T172" s="280" t="n"/>
      <c r="U172" s="280" t="n"/>
      <c r="V172" s="280" t="n"/>
      <c r="W172" s="280" t="n"/>
      <c r="X172" s="280" t="n"/>
      <c r="Y172" s="280" t="n"/>
    </row>
    <row r="173" ht="15" customHeight="1" s="195">
      <c r="A173" s="334" t="n"/>
      <c r="B173" s="334" t="n"/>
      <c r="C173" s="334" t="n"/>
      <c r="D173" s="334" t="n"/>
      <c r="E173" s="334" t="n"/>
      <c r="F173" s="334" t="n"/>
      <c r="G173" s="334" t="n"/>
      <c r="H173" s="334" t="n"/>
      <c r="I173" s="332">
        <f>IFERROR(VLOOKUP(TEXT(H173,"0"),IPRESS!$A$3:$B$212,2,0),"")</f>
        <v/>
      </c>
      <c r="J173" s="334" t="n"/>
      <c r="K173" s="332">
        <f>IFERROR(VLOOKUP(TEXT(O173,"0"),CONDUCTORES!$A$3:$G$54,7,0),"")</f>
        <v/>
      </c>
      <c r="L173" s="334" t="n"/>
      <c r="M173" s="334" t="n"/>
      <c r="N173" s="333">
        <f>IFERROR(IF(L173*M173=0,"",L173*M173),"")</f>
        <v/>
      </c>
      <c r="O173" s="334" t="n"/>
      <c r="P173" s="332">
        <f>IFERROR(VLOOKUP(TEXT(O173,"0"),CONDUCTORES!$A$3:$G$54,2,0),"")</f>
        <v/>
      </c>
      <c r="Q173" s="332">
        <f>IFERROR(VLOOKUP(TEXT(O173,"0"),CONDUCTORES!$A$3:$H$54,6,0),"")</f>
        <v/>
      </c>
      <c r="R173" s="334" t="n"/>
      <c r="S173" s="334" t="n"/>
      <c r="T173" s="334" t="n"/>
      <c r="U173" s="334" t="n"/>
      <c r="V173" s="334" t="n"/>
      <c r="W173" s="334" t="n"/>
      <c r="X173" s="334" t="n"/>
      <c r="Y173" s="334" t="n"/>
    </row>
    <row r="174" ht="15" customHeight="1" s="195">
      <c r="A174" s="280" t="n"/>
      <c r="B174" s="280" t="n"/>
      <c r="C174" s="280" t="n"/>
      <c r="D174" s="280" t="n"/>
      <c r="E174" s="280" t="n"/>
      <c r="F174" s="280" t="n"/>
      <c r="G174" s="280" t="n"/>
      <c r="H174" s="280" t="n"/>
      <c r="I174" s="332">
        <f>IFERROR(VLOOKUP(TEXT(H174,"0"),IPRESS!$A$3:$B$212,2,0),"")</f>
        <v/>
      </c>
      <c r="J174" s="280" t="n"/>
      <c r="K174" s="332">
        <f>IFERROR(VLOOKUP(TEXT(O174,"0"),CONDUCTORES!$A$3:$G$54,7,0),"")</f>
        <v/>
      </c>
      <c r="L174" s="280" t="n"/>
      <c r="M174" s="280" t="n"/>
      <c r="N174" s="333">
        <f>IFERROR(IF(L174*M174=0,"",L174*M174),"")</f>
        <v/>
      </c>
      <c r="O174" s="280" t="n"/>
      <c r="P174" s="332">
        <f>IFERROR(VLOOKUP(TEXT(O174,"0"),CONDUCTORES!$A$3:$G$54,2,0),"")</f>
        <v/>
      </c>
      <c r="Q174" s="332">
        <f>IFERROR(VLOOKUP(TEXT(O174,"0"),CONDUCTORES!$A$3:$H$54,6,0),"")</f>
        <v/>
      </c>
      <c r="R174" s="280" t="n"/>
      <c r="S174" s="280" t="n"/>
      <c r="T174" s="280" t="n"/>
      <c r="U174" s="280" t="n"/>
      <c r="V174" s="280" t="n"/>
      <c r="W174" s="280" t="n"/>
      <c r="X174" s="280" t="n"/>
      <c r="Y174" s="280" t="n"/>
    </row>
    <row r="175" ht="15" customHeight="1" s="195">
      <c r="A175" s="334" t="n"/>
      <c r="B175" s="334" t="n"/>
      <c r="C175" s="334" t="n"/>
      <c r="D175" s="334" t="n"/>
      <c r="E175" s="334" t="n"/>
      <c r="F175" s="334" t="n"/>
      <c r="G175" s="334" t="n"/>
      <c r="H175" s="334" t="n"/>
      <c r="I175" s="332">
        <f>IFERROR(VLOOKUP(TEXT(H175,"0"),IPRESS!$A$3:$B$212,2,0),"")</f>
        <v/>
      </c>
      <c r="J175" s="334" t="n"/>
      <c r="K175" s="332">
        <f>IFERROR(VLOOKUP(TEXT(O175,"0"),CONDUCTORES!$A$3:$G$54,7,0),"")</f>
        <v/>
      </c>
      <c r="L175" s="334" t="n"/>
      <c r="M175" s="334" t="n"/>
      <c r="N175" s="333">
        <f>IFERROR(IF(L175*M175=0,"",L175*M175),"")</f>
        <v/>
      </c>
      <c r="O175" s="334" t="n"/>
      <c r="P175" s="332">
        <f>IFERROR(VLOOKUP(TEXT(O175,"0"),CONDUCTORES!$A$3:$G$54,2,0),"")</f>
        <v/>
      </c>
      <c r="Q175" s="332">
        <f>IFERROR(VLOOKUP(TEXT(O175,"0"),CONDUCTORES!$A$3:$H$54,6,0),"")</f>
        <v/>
      </c>
      <c r="R175" s="334" t="n"/>
      <c r="S175" s="334" t="n"/>
      <c r="T175" s="334" t="n"/>
      <c r="U175" s="334" t="n"/>
      <c r="V175" s="334" t="n"/>
      <c r="W175" s="334" t="n"/>
      <c r="X175" s="334" t="n"/>
      <c r="Y175" s="334" t="n"/>
    </row>
    <row r="176" ht="15" customHeight="1" s="195">
      <c r="A176" s="280" t="n"/>
      <c r="B176" s="280" t="n"/>
      <c r="C176" s="280" t="n"/>
      <c r="D176" s="280" t="n"/>
      <c r="E176" s="280" t="n"/>
      <c r="F176" s="280" t="n"/>
      <c r="G176" s="280" t="n"/>
      <c r="H176" s="280" t="n"/>
      <c r="I176" s="332">
        <f>IFERROR(VLOOKUP(TEXT(H176,"0"),IPRESS!$A$3:$B$212,2,0),"")</f>
        <v/>
      </c>
      <c r="J176" s="280" t="n"/>
      <c r="K176" s="332">
        <f>IFERROR(VLOOKUP(TEXT(O176,"0"),CONDUCTORES!$A$3:$G$54,7,0),"")</f>
        <v/>
      </c>
      <c r="L176" s="280" t="n"/>
      <c r="M176" s="280" t="n"/>
      <c r="N176" s="333">
        <f>IFERROR(IF(L176*M176=0,"",L176*M176),"")</f>
        <v/>
      </c>
      <c r="O176" s="280" t="n"/>
      <c r="P176" s="332">
        <f>IFERROR(VLOOKUP(TEXT(O176,"0"),CONDUCTORES!$A$3:$G$54,2,0),"")</f>
        <v/>
      </c>
      <c r="Q176" s="332">
        <f>IFERROR(VLOOKUP(TEXT(O176,"0"),CONDUCTORES!$A$3:$H$54,6,0),"")</f>
        <v/>
      </c>
      <c r="R176" s="280" t="n"/>
      <c r="S176" s="280" t="n"/>
      <c r="T176" s="280" t="n"/>
      <c r="U176" s="280" t="n"/>
      <c r="V176" s="280" t="n"/>
      <c r="W176" s="280" t="n"/>
      <c r="X176" s="280" t="n"/>
      <c r="Y176" s="280" t="n"/>
    </row>
    <row r="177" ht="15" customHeight="1" s="195">
      <c r="A177" s="334" t="n"/>
      <c r="B177" s="334" t="n"/>
      <c r="C177" s="334" t="n"/>
      <c r="D177" s="334" t="n"/>
      <c r="E177" s="334" t="n"/>
      <c r="F177" s="334" t="n"/>
      <c r="G177" s="334" t="n"/>
      <c r="H177" s="334" t="n"/>
      <c r="I177" s="332">
        <f>IFERROR(VLOOKUP(TEXT(H177,"0"),IPRESS!$A$3:$B$212,2,0),"")</f>
        <v/>
      </c>
      <c r="J177" s="334" t="n"/>
      <c r="K177" s="332">
        <f>IFERROR(VLOOKUP(TEXT(O177,"0"),CONDUCTORES!$A$3:$G$54,7,0),"")</f>
        <v/>
      </c>
      <c r="L177" s="334" t="n"/>
      <c r="M177" s="334" t="n"/>
      <c r="N177" s="333">
        <f>IFERROR(IF(L177*M177=0,"",L177*M177),"")</f>
        <v/>
      </c>
      <c r="O177" s="334" t="n"/>
      <c r="P177" s="332">
        <f>IFERROR(VLOOKUP(TEXT(O177,"0"),CONDUCTORES!$A$3:$G$54,2,0),"")</f>
        <v/>
      </c>
      <c r="Q177" s="332">
        <f>IFERROR(VLOOKUP(TEXT(O177,"0"),CONDUCTORES!$A$3:$H$54,6,0),"")</f>
        <v/>
      </c>
      <c r="R177" s="334" t="n"/>
      <c r="S177" s="334" t="n"/>
      <c r="T177" s="334" t="n"/>
      <c r="U177" s="334" t="n"/>
      <c r="V177" s="334" t="n"/>
      <c r="W177" s="334" t="n"/>
      <c r="X177" s="334" t="n"/>
      <c r="Y177" s="334" t="n"/>
    </row>
    <row r="178" ht="15" customHeight="1" s="195">
      <c r="A178" s="280" t="n"/>
      <c r="B178" s="280" t="n"/>
      <c r="C178" s="280" t="n"/>
      <c r="D178" s="280" t="n"/>
      <c r="E178" s="280" t="n"/>
      <c r="F178" s="280" t="n"/>
      <c r="G178" s="280" t="n"/>
      <c r="H178" s="280" t="n"/>
      <c r="I178" s="332">
        <f>IFERROR(VLOOKUP(TEXT(H178,"0"),IPRESS!$A$3:$B$212,2,0),"")</f>
        <v/>
      </c>
      <c r="J178" s="280" t="n"/>
      <c r="K178" s="332">
        <f>IFERROR(VLOOKUP(TEXT(O178,"0"),CONDUCTORES!$A$3:$G$54,7,0),"")</f>
        <v/>
      </c>
      <c r="L178" s="280" t="n"/>
      <c r="M178" s="280" t="n"/>
      <c r="N178" s="333">
        <f>IFERROR(IF(L178*M178=0,"",L178*M178),"")</f>
        <v/>
      </c>
      <c r="O178" s="280" t="n"/>
      <c r="P178" s="332">
        <f>IFERROR(VLOOKUP(TEXT(O178,"0"),CONDUCTORES!$A$3:$G$54,2,0),"")</f>
        <v/>
      </c>
      <c r="Q178" s="332">
        <f>IFERROR(VLOOKUP(TEXT(O178,"0"),CONDUCTORES!$A$3:$H$54,6,0),"")</f>
        <v/>
      </c>
      <c r="R178" s="280" t="n"/>
      <c r="S178" s="280" t="n"/>
      <c r="T178" s="280" t="n"/>
      <c r="U178" s="280" t="n"/>
      <c r="V178" s="280" t="n"/>
      <c r="W178" s="280" t="n"/>
      <c r="X178" s="280" t="n"/>
      <c r="Y178" s="280" t="n"/>
    </row>
    <row r="179" ht="15" customHeight="1" s="195">
      <c r="A179" s="334" t="n"/>
      <c r="B179" s="334" t="n"/>
      <c r="C179" s="334" t="n"/>
      <c r="D179" s="334" t="n"/>
      <c r="E179" s="334" t="n"/>
      <c r="F179" s="334" t="n"/>
      <c r="G179" s="334" t="n"/>
      <c r="H179" s="334" t="n"/>
      <c r="I179" s="332">
        <f>IFERROR(VLOOKUP(TEXT(H179,"0"),IPRESS!$A$3:$B$212,2,0),"")</f>
        <v/>
      </c>
      <c r="J179" s="334" t="n"/>
      <c r="K179" s="332">
        <f>IFERROR(VLOOKUP(TEXT(O179,"0"),CONDUCTORES!$A$3:$G$54,7,0),"")</f>
        <v/>
      </c>
      <c r="L179" s="334" t="n"/>
      <c r="M179" s="334" t="n"/>
      <c r="N179" s="333">
        <f>IFERROR(IF(L179*M179=0,"",L179*M179),"")</f>
        <v/>
      </c>
      <c r="O179" s="334" t="n"/>
      <c r="P179" s="332">
        <f>IFERROR(VLOOKUP(TEXT(O179,"0"),CONDUCTORES!$A$3:$G$54,2,0),"")</f>
        <v/>
      </c>
      <c r="Q179" s="332">
        <f>IFERROR(VLOOKUP(TEXT(O179,"0"),CONDUCTORES!$A$3:$H$54,6,0),"")</f>
        <v/>
      </c>
      <c r="R179" s="334" t="n"/>
      <c r="S179" s="334" t="n"/>
      <c r="T179" s="334" t="n"/>
      <c r="U179" s="334" t="n"/>
      <c r="V179" s="334" t="n"/>
      <c r="W179" s="334" t="n"/>
      <c r="X179" s="334" t="n"/>
      <c r="Y179" s="334" t="n"/>
    </row>
    <row r="180" ht="15" customHeight="1" s="195">
      <c r="A180" s="280" t="n"/>
      <c r="B180" s="280" t="n"/>
      <c r="C180" s="280" t="n"/>
      <c r="D180" s="280" t="n"/>
      <c r="E180" s="280" t="n"/>
      <c r="F180" s="280" t="n"/>
      <c r="G180" s="280" t="n"/>
      <c r="H180" s="280" t="n"/>
      <c r="I180" s="332">
        <f>IFERROR(VLOOKUP(TEXT(H180,"0"),IPRESS!$A$3:$B$212,2,0),"")</f>
        <v/>
      </c>
      <c r="J180" s="280" t="n"/>
      <c r="K180" s="332">
        <f>IFERROR(VLOOKUP(TEXT(O180,"0"),CONDUCTORES!$A$3:$G$54,7,0),"")</f>
        <v/>
      </c>
      <c r="L180" s="280" t="n"/>
      <c r="M180" s="280" t="n"/>
      <c r="N180" s="333">
        <f>IFERROR(IF(L180*M180=0,"",L180*M180),"")</f>
        <v/>
      </c>
      <c r="O180" s="280" t="n"/>
      <c r="P180" s="332">
        <f>IFERROR(VLOOKUP(TEXT(O180,"0"),CONDUCTORES!$A$3:$G$54,2,0),"")</f>
        <v/>
      </c>
      <c r="Q180" s="332">
        <f>IFERROR(VLOOKUP(TEXT(O180,"0"),CONDUCTORES!$A$3:$H$54,6,0),"")</f>
        <v/>
      </c>
      <c r="R180" s="280" t="n"/>
      <c r="S180" s="280" t="n"/>
      <c r="T180" s="280" t="n"/>
      <c r="U180" s="280" t="n"/>
      <c r="V180" s="280" t="n"/>
      <c r="W180" s="280" t="n"/>
      <c r="X180" s="280" t="n"/>
      <c r="Y180" s="280" t="n"/>
    </row>
    <row r="181" ht="15" customHeight="1" s="195">
      <c r="A181" s="334" t="n"/>
      <c r="B181" s="334" t="n"/>
      <c r="C181" s="334" t="n"/>
      <c r="D181" s="334" t="n"/>
      <c r="E181" s="334" t="n"/>
      <c r="F181" s="334" t="n"/>
      <c r="G181" s="334" t="n"/>
      <c r="H181" s="334" t="n"/>
      <c r="I181" s="332">
        <f>IFERROR(VLOOKUP(TEXT(H181,"0"),IPRESS!$A$3:$B$212,2,0),"")</f>
        <v/>
      </c>
      <c r="J181" s="334" t="n"/>
      <c r="K181" s="332">
        <f>IFERROR(VLOOKUP(TEXT(O181,"0"),CONDUCTORES!$A$3:$G$54,7,0),"")</f>
        <v/>
      </c>
      <c r="L181" s="334" t="n"/>
      <c r="M181" s="334" t="n"/>
      <c r="N181" s="333">
        <f>IFERROR(IF(L181*M181=0,"",L181*M181),"")</f>
        <v/>
      </c>
      <c r="O181" s="334" t="n"/>
      <c r="P181" s="332">
        <f>IFERROR(VLOOKUP(TEXT(O181,"0"),CONDUCTORES!$A$3:$G$54,2,0),"")</f>
        <v/>
      </c>
      <c r="Q181" s="332">
        <f>IFERROR(VLOOKUP(TEXT(O181,"0"),CONDUCTORES!$A$3:$H$54,6,0),"")</f>
        <v/>
      </c>
      <c r="R181" s="334" t="n"/>
      <c r="S181" s="334" t="n"/>
      <c r="T181" s="334" t="n"/>
      <c r="U181" s="334" t="n"/>
      <c r="V181" s="334" t="n"/>
      <c r="W181" s="334" t="n"/>
      <c r="X181" s="334" t="n"/>
      <c r="Y181" s="334" t="n"/>
    </row>
    <row r="182" ht="15" customHeight="1" s="195">
      <c r="A182" s="280" t="n"/>
      <c r="B182" s="280" t="n"/>
      <c r="C182" s="280" t="n"/>
      <c r="D182" s="280" t="n"/>
      <c r="E182" s="280" t="n"/>
      <c r="F182" s="280" t="n"/>
      <c r="G182" s="280" t="n"/>
      <c r="H182" s="280" t="n"/>
      <c r="I182" s="332">
        <f>IFERROR(VLOOKUP(TEXT(H182,"0"),IPRESS!$A$3:$B$212,2,0),"")</f>
        <v/>
      </c>
      <c r="J182" s="280" t="n"/>
      <c r="K182" s="332">
        <f>IFERROR(VLOOKUP(TEXT(O182,"0"),CONDUCTORES!$A$3:$G$54,7,0),"")</f>
        <v/>
      </c>
      <c r="L182" s="280" t="n"/>
      <c r="M182" s="280" t="n"/>
      <c r="N182" s="333">
        <f>IFERROR(IF(L182*M182=0,"",L182*M182),"")</f>
        <v/>
      </c>
      <c r="O182" s="280" t="n"/>
      <c r="P182" s="332">
        <f>IFERROR(VLOOKUP(TEXT(O182,"0"),CONDUCTORES!$A$3:$G$54,2,0),"")</f>
        <v/>
      </c>
      <c r="Q182" s="332">
        <f>IFERROR(VLOOKUP(TEXT(O182,"0"),CONDUCTORES!$A$3:$H$54,6,0),"")</f>
        <v/>
      </c>
      <c r="R182" s="280" t="n"/>
      <c r="S182" s="280" t="n"/>
      <c r="T182" s="280" t="n"/>
      <c r="U182" s="280" t="n"/>
      <c r="V182" s="280" t="n"/>
      <c r="W182" s="280" t="n"/>
      <c r="X182" s="280" t="n"/>
      <c r="Y182" s="280" t="n"/>
    </row>
    <row r="183" ht="15" customHeight="1" s="195">
      <c r="A183" s="334" t="n"/>
      <c r="B183" s="334" t="n"/>
      <c r="C183" s="334" t="n"/>
      <c r="D183" s="334" t="n"/>
      <c r="E183" s="334" t="n"/>
      <c r="F183" s="334" t="n"/>
      <c r="G183" s="334" t="n"/>
      <c r="H183" s="334" t="n"/>
      <c r="I183" s="332">
        <f>IFERROR(VLOOKUP(TEXT(H183,"0"),IPRESS!$A$3:$B$212,2,0),"")</f>
        <v/>
      </c>
      <c r="J183" s="334" t="n"/>
      <c r="K183" s="332">
        <f>IFERROR(VLOOKUP(TEXT(O183,"0"),CONDUCTORES!$A$3:$G$54,7,0),"")</f>
        <v/>
      </c>
      <c r="L183" s="334" t="n"/>
      <c r="M183" s="334" t="n"/>
      <c r="N183" s="333">
        <f>IFERROR(IF(L183*M183=0,"",L183*M183),"")</f>
        <v/>
      </c>
      <c r="O183" s="334" t="n"/>
      <c r="P183" s="332">
        <f>IFERROR(VLOOKUP(TEXT(O183,"0"),CONDUCTORES!$A$3:$G$54,2,0),"")</f>
        <v/>
      </c>
      <c r="Q183" s="332">
        <f>IFERROR(VLOOKUP(TEXT(O183,"0"),CONDUCTORES!$A$3:$H$54,6,0),"")</f>
        <v/>
      </c>
      <c r="R183" s="334" t="n"/>
      <c r="S183" s="334" t="n"/>
      <c r="T183" s="334" t="n"/>
      <c r="U183" s="334" t="n"/>
      <c r="V183" s="334" t="n"/>
      <c r="W183" s="334" t="n"/>
      <c r="X183" s="334" t="n"/>
      <c r="Y183" s="334" t="n"/>
    </row>
    <row r="184" ht="15" customHeight="1" s="195">
      <c r="A184" s="280" t="n"/>
      <c r="B184" s="280" t="n"/>
      <c r="C184" s="280" t="n"/>
      <c r="D184" s="280" t="n"/>
      <c r="E184" s="280" t="n"/>
      <c r="F184" s="280" t="n"/>
      <c r="G184" s="280" t="n"/>
      <c r="H184" s="280" t="n"/>
      <c r="I184" s="332">
        <f>IFERROR(VLOOKUP(TEXT(H184,"0"),IPRESS!$A$3:$B$212,2,0),"")</f>
        <v/>
      </c>
      <c r="J184" s="280" t="n"/>
      <c r="K184" s="332">
        <f>IFERROR(VLOOKUP(TEXT(O184,"0"),CONDUCTORES!$A$3:$G$54,7,0),"")</f>
        <v/>
      </c>
      <c r="L184" s="280" t="n"/>
      <c r="M184" s="280" t="n"/>
      <c r="N184" s="333">
        <f>IFERROR(IF(L184*M184=0,"",L184*M184),"")</f>
        <v/>
      </c>
      <c r="O184" s="280" t="n"/>
      <c r="P184" s="332">
        <f>IFERROR(VLOOKUP(TEXT(O184,"0"),CONDUCTORES!$A$3:$G$54,2,0),"")</f>
        <v/>
      </c>
      <c r="Q184" s="332">
        <f>IFERROR(VLOOKUP(TEXT(O184,"0"),CONDUCTORES!$A$3:$H$54,6,0),"")</f>
        <v/>
      </c>
      <c r="R184" s="280" t="n"/>
      <c r="S184" s="280" t="n"/>
      <c r="T184" s="280" t="n"/>
      <c r="U184" s="280" t="n"/>
      <c r="V184" s="280" t="n"/>
      <c r="W184" s="280" t="n"/>
      <c r="X184" s="280" t="n"/>
      <c r="Y184" s="280" t="n"/>
    </row>
    <row r="185" ht="15" customHeight="1" s="195">
      <c r="A185" s="334" t="n"/>
      <c r="B185" s="334" t="n"/>
      <c r="C185" s="334" t="n"/>
      <c r="D185" s="334" t="n"/>
      <c r="E185" s="334" t="n"/>
      <c r="F185" s="334" t="n"/>
      <c r="G185" s="334" t="n"/>
      <c r="H185" s="334" t="n"/>
      <c r="I185" s="332">
        <f>IFERROR(VLOOKUP(TEXT(H185,"0"),IPRESS!$A$3:$B$212,2,0),"")</f>
        <v/>
      </c>
      <c r="J185" s="334" t="n"/>
      <c r="K185" s="332">
        <f>IFERROR(VLOOKUP(TEXT(O185,"0"),CONDUCTORES!$A$3:$G$54,7,0),"")</f>
        <v/>
      </c>
      <c r="L185" s="334" t="n"/>
      <c r="M185" s="334" t="n"/>
      <c r="N185" s="333">
        <f>IFERROR(IF(L185*M185=0,"",L185*M185),"")</f>
        <v/>
      </c>
      <c r="O185" s="334" t="n"/>
      <c r="P185" s="332">
        <f>IFERROR(VLOOKUP(TEXT(O185,"0"),CONDUCTORES!$A$3:$G$54,2,0),"")</f>
        <v/>
      </c>
      <c r="Q185" s="332">
        <f>IFERROR(VLOOKUP(TEXT(O185,"0"),CONDUCTORES!$A$3:$H$54,6,0),"")</f>
        <v/>
      </c>
      <c r="R185" s="334" t="n"/>
      <c r="S185" s="334" t="n"/>
      <c r="T185" s="334" t="n"/>
      <c r="U185" s="334" t="n"/>
      <c r="V185" s="334" t="n"/>
      <c r="W185" s="334" t="n"/>
      <c r="X185" s="334" t="n"/>
      <c r="Y185" s="334" t="n"/>
    </row>
    <row r="186" ht="15" customHeight="1" s="195">
      <c r="A186" s="280" t="n"/>
      <c r="B186" s="280" t="n"/>
      <c r="C186" s="280" t="n"/>
      <c r="D186" s="280" t="n"/>
      <c r="E186" s="280" t="n"/>
      <c r="F186" s="280" t="n"/>
      <c r="G186" s="280" t="n"/>
      <c r="H186" s="280" t="n"/>
      <c r="I186" s="332">
        <f>IFERROR(VLOOKUP(TEXT(H186,"0"),IPRESS!$A$3:$B$212,2,0),"")</f>
        <v/>
      </c>
      <c r="J186" s="280" t="n"/>
      <c r="K186" s="332">
        <f>IFERROR(VLOOKUP(TEXT(O186,"0"),CONDUCTORES!$A$3:$G$54,7,0),"")</f>
        <v/>
      </c>
      <c r="L186" s="280" t="n"/>
      <c r="M186" s="280" t="n"/>
      <c r="N186" s="333">
        <f>IFERROR(IF(L186*M186=0,"",L186*M186),"")</f>
        <v/>
      </c>
      <c r="O186" s="280" t="n"/>
      <c r="P186" s="332">
        <f>IFERROR(VLOOKUP(TEXT(O186,"0"),CONDUCTORES!$A$3:$G$54,2,0),"")</f>
        <v/>
      </c>
      <c r="Q186" s="332">
        <f>IFERROR(VLOOKUP(TEXT(O186,"0"),CONDUCTORES!$A$3:$H$54,6,0),"")</f>
        <v/>
      </c>
      <c r="R186" s="280" t="n"/>
      <c r="S186" s="280" t="n"/>
      <c r="T186" s="280" t="n"/>
      <c r="U186" s="280" t="n"/>
      <c r="V186" s="280" t="n"/>
      <c r="W186" s="280" t="n"/>
      <c r="X186" s="280" t="n"/>
      <c r="Y186" s="280" t="n"/>
    </row>
    <row r="187" ht="15" customHeight="1" s="195">
      <c r="A187" s="334" t="n"/>
      <c r="B187" s="334" t="n"/>
      <c r="C187" s="334" t="n"/>
      <c r="D187" s="334" t="n"/>
      <c r="E187" s="334" t="n"/>
      <c r="F187" s="334" t="n"/>
      <c r="G187" s="334" t="n"/>
      <c r="H187" s="334" t="n"/>
      <c r="I187" s="332">
        <f>IFERROR(VLOOKUP(TEXT(H187,"0"),IPRESS!$A$3:$B$212,2,0),"")</f>
        <v/>
      </c>
      <c r="J187" s="334" t="n"/>
      <c r="K187" s="332">
        <f>IFERROR(VLOOKUP(TEXT(O187,"0"),CONDUCTORES!$A$3:$G$54,7,0),"")</f>
        <v/>
      </c>
      <c r="L187" s="334" t="n"/>
      <c r="M187" s="334" t="n"/>
      <c r="N187" s="333">
        <f>IFERROR(IF(L187*M187=0,"",L187*M187),"")</f>
        <v/>
      </c>
      <c r="O187" s="334" t="n"/>
      <c r="P187" s="332">
        <f>IFERROR(VLOOKUP(TEXT(O187,"0"),CONDUCTORES!$A$3:$G$54,2,0),"")</f>
        <v/>
      </c>
      <c r="Q187" s="332">
        <f>IFERROR(VLOOKUP(TEXT(O187,"0"),CONDUCTORES!$A$3:$H$54,6,0),"")</f>
        <v/>
      </c>
      <c r="R187" s="334" t="n"/>
      <c r="S187" s="334" t="n"/>
      <c r="T187" s="334" t="n"/>
      <c r="U187" s="334" t="n"/>
      <c r="V187" s="334" t="n"/>
      <c r="W187" s="334" t="n"/>
      <c r="X187" s="334" t="n"/>
      <c r="Y187" s="334" t="n"/>
    </row>
    <row r="188" ht="15" customHeight="1" s="195">
      <c r="A188" s="280" t="n"/>
      <c r="B188" s="280" t="n"/>
      <c r="C188" s="280" t="n"/>
      <c r="D188" s="280" t="n"/>
      <c r="E188" s="280" t="n"/>
      <c r="F188" s="280" t="n"/>
      <c r="G188" s="280" t="n"/>
      <c r="H188" s="280" t="n"/>
      <c r="I188" s="332">
        <f>IFERROR(VLOOKUP(TEXT(H188,"0"),IPRESS!$A$3:$B$212,2,0),"")</f>
        <v/>
      </c>
      <c r="J188" s="280" t="n"/>
      <c r="K188" s="332">
        <f>IFERROR(VLOOKUP(TEXT(O188,"0"),CONDUCTORES!$A$3:$G$54,7,0),"")</f>
        <v/>
      </c>
      <c r="L188" s="280" t="n"/>
      <c r="M188" s="280" t="n"/>
      <c r="N188" s="333">
        <f>IFERROR(IF(L188*M188=0,"",L188*M188),"")</f>
        <v/>
      </c>
      <c r="O188" s="280" t="n"/>
      <c r="P188" s="332">
        <f>IFERROR(VLOOKUP(TEXT(O188,"0"),CONDUCTORES!$A$3:$G$54,2,0),"")</f>
        <v/>
      </c>
      <c r="Q188" s="332">
        <f>IFERROR(VLOOKUP(TEXT(O188,"0"),CONDUCTORES!$A$3:$H$54,6,0),"")</f>
        <v/>
      </c>
      <c r="R188" s="280" t="n"/>
      <c r="S188" s="280" t="n"/>
      <c r="T188" s="280" t="n"/>
      <c r="U188" s="280" t="n"/>
      <c r="V188" s="280" t="n"/>
      <c r="W188" s="280" t="n"/>
      <c r="X188" s="280" t="n"/>
      <c r="Y188" s="280" t="n"/>
    </row>
    <row r="189" ht="15" customHeight="1" s="195">
      <c r="A189" s="334" t="n"/>
      <c r="B189" s="334" t="n"/>
      <c r="C189" s="334" t="n"/>
      <c r="D189" s="334" t="n"/>
      <c r="E189" s="334" t="n"/>
      <c r="F189" s="334" t="n"/>
      <c r="G189" s="334" t="n"/>
      <c r="H189" s="334" t="n"/>
      <c r="I189" s="332">
        <f>IFERROR(VLOOKUP(TEXT(H189,"0"),IPRESS!$A$3:$B$212,2,0),"")</f>
        <v/>
      </c>
      <c r="J189" s="334" t="n"/>
      <c r="K189" s="332">
        <f>IFERROR(VLOOKUP(TEXT(O189,"0"),CONDUCTORES!$A$3:$G$54,7,0),"")</f>
        <v/>
      </c>
      <c r="L189" s="334" t="n"/>
      <c r="M189" s="334" t="n"/>
      <c r="N189" s="333">
        <f>IFERROR(IF(L189*M189=0,"",L189*M189),"")</f>
        <v/>
      </c>
      <c r="O189" s="334" t="n"/>
      <c r="P189" s="332">
        <f>IFERROR(VLOOKUP(TEXT(O189,"0"),CONDUCTORES!$A$3:$G$54,2,0),"")</f>
        <v/>
      </c>
      <c r="Q189" s="332">
        <f>IFERROR(VLOOKUP(TEXT(O189,"0"),CONDUCTORES!$A$3:$H$54,6,0),"")</f>
        <v/>
      </c>
      <c r="R189" s="334" t="n"/>
      <c r="S189" s="334" t="n"/>
      <c r="T189" s="334" t="n"/>
      <c r="U189" s="334" t="n"/>
      <c r="V189" s="334" t="n"/>
      <c r="W189" s="334" t="n"/>
      <c r="X189" s="334" t="n"/>
      <c r="Y189" s="334" t="n"/>
    </row>
    <row r="190" ht="15" customHeight="1" s="195">
      <c r="A190" s="280" t="n"/>
      <c r="B190" s="280" t="n"/>
      <c r="C190" s="280" t="n"/>
      <c r="D190" s="280" t="n"/>
      <c r="E190" s="280" t="n"/>
      <c r="F190" s="280" t="n"/>
      <c r="G190" s="280" t="n"/>
      <c r="H190" s="280" t="n"/>
      <c r="I190" s="332">
        <f>IFERROR(VLOOKUP(TEXT(H190,"0"),IPRESS!$A$3:$B$212,2,0),"")</f>
        <v/>
      </c>
      <c r="J190" s="280" t="n"/>
      <c r="K190" s="332">
        <f>IFERROR(VLOOKUP(TEXT(O190,"0"),CONDUCTORES!$A$3:$G$54,7,0),"")</f>
        <v/>
      </c>
      <c r="L190" s="280" t="n"/>
      <c r="M190" s="280" t="n"/>
      <c r="N190" s="333">
        <f>IFERROR(IF(L190*M190=0,"",L190*M190),"")</f>
        <v/>
      </c>
      <c r="O190" s="280" t="n"/>
      <c r="P190" s="332">
        <f>IFERROR(VLOOKUP(TEXT(O190,"0"),CONDUCTORES!$A$3:$G$54,2,0),"")</f>
        <v/>
      </c>
      <c r="Q190" s="332">
        <f>IFERROR(VLOOKUP(TEXT(O190,"0"),CONDUCTORES!$A$3:$H$54,6,0),"")</f>
        <v/>
      </c>
      <c r="R190" s="280" t="n"/>
      <c r="S190" s="280" t="n"/>
      <c r="T190" s="280" t="n"/>
      <c r="U190" s="280" t="n"/>
      <c r="V190" s="280" t="n"/>
      <c r="W190" s="280" t="n"/>
      <c r="X190" s="280" t="n"/>
      <c r="Y190" s="280" t="n"/>
    </row>
    <row r="191" ht="15" customHeight="1" s="195">
      <c r="A191" s="334" t="n"/>
      <c r="B191" s="334" t="n"/>
      <c r="C191" s="334" t="n"/>
      <c r="D191" s="334" t="n"/>
      <c r="E191" s="334" t="n"/>
      <c r="F191" s="334" t="n"/>
      <c r="G191" s="334" t="n"/>
      <c r="H191" s="334" t="n"/>
      <c r="I191" s="332">
        <f>IFERROR(VLOOKUP(TEXT(H191,"0"),IPRESS!$A$3:$B$212,2,0),"")</f>
        <v/>
      </c>
      <c r="J191" s="334" t="n"/>
      <c r="K191" s="332">
        <f>IFERROR(VLOOKUP(TEXT(O191,"0"),CONDUCTORES!$A$3:$G$54,7,0),"")</f>
        <v/>
      </c>
      <c r="L191" s="334" t="n"/>
      <c r="M191" s="334" t="n"/>
      <c r="N191" s="333">
        <f>IFERROR(IF(L191*M191=0,"",L191*M191),"")</f>
        <v/>
      </c>
      <c r="O191" s="334" t="n"/>
      <c r="P191" s="332">
        <f>IFERROR(VLOOKUP(TEXT(O191,"0"),CONDUCTORES!$A$3:$G$54,2,0),"")</f>
        <v/>
      </c>
      <c r="Q191" s="332">
        <f>IFERROR(VLOOKUP(TEXT(O191,"0"),CONDUCTORES!$A$3:$H$54,6,0),"")</f>
        <v/>
      </c>
      <c r="R191" s="334" t="n"/>
      <c r="S191" s="334" t="n"/>
      <c r="T191" s="334" t="n"/>
      <c r="U191" s="334" t="n"/>
      <c r="V191" s="334" t="n"/>
      <c r="W191" s="334" t="n"/>
      <c r="X191" s="334" t="n"/>
      <c r="Y191" s="334" t="n"/>
    </row>
    <row r="192" ht="15" customHeight="1" s="195">
      <c r="A192" s="280" t="n"/>
      <c r="B192" s="280" t="n"/>
      <c r="C192" s="280" t="n"/>
      <c r="D192" s="280" t="n"/>
      <c r="E192" s="280" t="n"/>
      <c r="F192" s="280" t="n"/>
      <c r="G192" s="280" t="n"/>
      <c r="H192" s="280" t="n"/>
      <c r="I192" s="332">
        <f>IFERROR(VLOOKUP(TEXT(H192,"0"),IPRESS!$A$3:$B$212,2,0),"")</f>
        <v/>
      </c>
      <c r="J192" s="280" t="n"/>
      <c r="K192" s="332">
        <f>IFERROR(VLOOKUP(TEXT(O192,"0"),CONDUCTORES!$A$3:$G$54,7,0),"")</f>
        <v/>
      </c>
      <c r="L192" s="280" t="n"/>
      <c r="M192" s="280" t="n"/>
      <c r="N192" s="333">
        <f>IFERROR(IF(L192*M192=0,"",L192*M192),"")</f>
        <v/>
      </c>
      <c r="O192" s="280" t="n"/>
      <c r="P192" s="332">
        <f>IFERROR(VLOOKUP(TEXT(O192,"0"),CONDUCTORES!$A$3:$G$54,2,0),"")</f>
        <v/>
      </c>
      <c r="Q192" s="332">
        <f>IFERROR(VLOOKUP(TEXT(O192,"0"),CONDUCTORES!$A$3:$H$54,6,0),"")</f>
        <v/>
      </c>
      <c r="R192" s="280" t="n"/>
      <c r="S192" s="280" t="n"/>
      <c r="T192" s="280" t="n"/>
      <c r="U192" s="280" t="n"/>
      <c r="V192" s="280" t="n"/>
      <c r="W192" s="280" t="n"/>
      <c r="X192" s="280" t="n"/>
      <c r="Y192" s="280" t="n"/>
    </row>
    <row r="193" ht="15" customHeight="1" s="195">
      <c r="A193" s="334" t="n"/>
      <c r="B193" s="334" t="n"/>
      <c r="C193" s="334" t="n"/>
      <c r="D193" s="334" t="n"/>
      <c r="E193" s="334" t="n"/>
      <c r="F193" s="334" t="n"/>
      <c r="G193" s="334" t="n"/>
      <c r="H193" s="334" t="n"/>
      <c r="I193" s="332">
        <f>IFERROR(VLOOKUP(TEXT(H193,"0"),IPRESS!$A$3:$B$212,2,0),"")</f>
        <v/>
      </c>
      <c r="J193" s="334" t="n"/>
      <c r="K193" s="332">
        <f>IFERROR(VLOOKUP(TEXT(O193,"0"),CONDUCTORES!$A$3:$G$54,7,0),"")</f>
        <v/>
      </c>
      <c r="L193" s="334" t="n"/>
      <c r="M193" s="334" t="n"/>
      <c r="N193" s="333">
        <f>IFERROR(IF(L193*M193=0,"",L193*M193),"")</f>
        <v/>
      </c>
      <c r="O193" s="334" t="n"/>
      <c r="P193" s="332">
        <f>IFERROR(VLOOKUP(TEXT(O193,"0"),CONDUCTORES!$A$3:$G$54,2,0),"")</f>
        <v/>
      </c>
      <c r="Q193" s="332">
        <f>IFERROR(VLOOKUP(TEXT(O193,"0"),CONDUCTORES!$A$3:$H$54,6,0),"")</f>
        <v/>
      </c>
      <c r="R193" s="334" t="n"/>
      <c r="S193" s="334" t="n"/>
      <c r="T193" s="334" t="n"/>
      <c r="U193" s="334" t="n"/>
      <c r="V193" s="334" t="n"/>
      <c r="W193" s="334" t="n"/>
      <c r="X193" s="334" t="n"/>
      <c r="Y193" s="334" t="n"/>
    </row>
    <row r="194" ht="15" customHeight="1" s="195">
      <c r="A194" s="280" t="n"/>
      <c r="B194" s="280" t="n"/>
      <c r="C194" s="280" t="n"/>
      <c r="D194" s="280" t="n"/>
      <c r="E194" s="280" t="n"/>
      <c r="F194" s="280" t="n"/>
      <c r="G194" s="280" t="n"/>
      <c r="H194" s="280" t="n"/>
      <c r="I194" s="332">
        <f>IFERROR(VLOOKUP(TEXT(H194,"0"),IPRESS!$A$3:$B$212,2,0),"")</f>
        <v/>
      </c>
      <c r="J194" s="280" t="n"/>
      <c r="K194" s="332">
        <f>IFERROR(VLOOKUP(TEXT(O194,"0"),CONDUCTORES!$A$3:$G$54,7,0),"")</f>
        <v/>
      </c>
      <c r="L194" s="280" t="n"/>
      <c r="M194" s="280" t="n"/>
      <c r="N194" s="333">
        <f>IFERROR(IF(L194*M194=0,"",L194*M194),"")</f>
        <v/>
      </c>
      <c r="O194" s="280" t="n"/>
      <c r="P194" s="332">
        <f>IFERROR(VLOOKUP(TEXT(O194,"0"),CONDUCTORES!$A$3:$G$54,2,0),"")</f>
        <v/>
      </c>
      <c r="Q194" s="332">
        <f>IFERROR(VLOOKUP(TEXT(O194,"0"),CONDUCTORES!$A$3:$H$54,6,0),"")</f>
        <v/>
      </c>
      <c r="R194" s="280" t="n"/>
      <c r="S194" s="280" t="n"/>
      <c r="T194" s="280" t="n"/>
      <c r="U194" s="280" t="n"/>
      <c r="V194" s="280" t="n"/>
      <c r="W194" s="280" t="n"/>
      <c r="X194" s="280" t="n"/>
      <c r="Y194" s="280" t="n"/>
    </row>
    <row r="195" ht="15" customHeight="1" s="195">
      <c r="A195" s="334" t="n"/>
      <c r="B195" s="334" t="n"/>
      <c r="C195" s="334" t="n"/>
      <c r="D195" s="334" t="n"/>
      <c r="E195" s="334" t="n"/>
      <c r="F195" s="334" t="n"/>
      <c r="G195" s="334" t="n"/>
      <c r="H195" s="334" t="n"/>
      <c r="I195" s="332">
        <f>IFERROR(VLOOKUP(TEXT(H195,"0"),IPRESS!$A$3:$B$212,2,0),"")</f>
        <v/>
      </c>
      <c r="J195" s="334" t="n"/>
      <c r="K195" s="332">
        <f>IFERROR(VLOOKUP(TEXT(O195,"0"),CONDUCTORES!$A$3:$G$54,7,0),"")</f>
        <v/>
      </c>
      <c r="L195" s="334" t="n"/>
      <c r="M195" s="334" t="n"/>
      <c r="N195" s="333">
        <f>IFERROR(IF(L195*M195=0,"",L195*M195),"")</f>
        <v/>
      </c>
      <c r="O195" s="334" t="n"/>
      <c r="P195" s="332">
        <f>IFERROR(VLOOKUP(TEXT(O195,"0"),CONDUCTORES!$A$3:$G$54,2,0),"")</f>
        <v/>
      </c>
      <c r="Q195" s="332">
        <f>IFERROR(VLOOKUP(TEXT(O195,"0"),CONDUCTORES!$A$3:$H$54,6,0),"")</f>
        <v/>
      </c>
      <c r="R195" s="334" t="n"/>
      <c r="S195" s="334" t="n"/>
      <c r="T195" s="334" t="n"/>
      <c r="U195" s="334" t="n"/>
      <c r="V195" s="334" t="n"/>
      <c r="W195" s="334" t="n"/>
      <c r="X195" s="334" t="n"/>
      <c r="Y195" s="334" t="n"/>
    </row>
    <row r="196" ht="15" customHeight="1" s="195">
      <c r="A196" s="280" t="n"/>
      <c r="B196" s="280" t="n"/>
      <c r="C196" s="280" t="n"/>
      <c r="D196" s="280" t="n"/>
      <c r="E196" s="280" t="n"/>
      <c r="F196" s="280" t="n"/>
      <c r="G196" s="280" t="n"/>
      <c r="H196" s="280" t="n"/>
      <c r="I196" s="332">
        <f>IFERROR(VLOOKUP(TEXT(H196,"0"),IPRESS!$A$3:$B$212,2,0),"")</f>
        <v/>
      </c>
      <c r="J196" s="280" t="n"/>
      <c r="K196" s="332">
        <f>IFERROR(VLOOKUP(TEXT(O196,"0"),CONDUCTORES!$A$3:$G$54,7,0),"")</f>
        <v/>
      </c>
      <c r="L196" s="280" t="n"/>
      <c r="M196" s="280" t="n"/>
      <c r="N196" s="333">
        <f>IFERROR(IF(L196*M196=0,"",L196*M196),"")</f>
        <v/>
      </c>
      <c r="O196" s="280" t="n"/>
      <c r="P196" s="332">
        <f>IFERROR(VLOOKUP(TEXT(O196,"0"),CONDUCTORES!$A$3:$G$54,2,0),"")</f>
        <v/>
      </c>
      <c r="Q196" s="332">
        <f>IFERROR(VLOOKUP(TEXT(O196,"0"),CONDUCTORES!$A$3:$H$54,6,0),"")</f>
        <v/>
      </c>
      <c r="R196" s="280" t="n"/>
      <c r="S196" s="280" t="n"/>
      <c r="T196" s="280" t="n"/>
      <c r="U196" s="280" t="n"/>
      <c r="V196" s="280" t="n"/>
      <c r="W196" s="280" t="n"/>
      <c r="X196" s="280" t="n"/>
      <c r="Y196" s="280" t="n"/>
    </row>
    <row r="197" ht="15" customHeight="1" s="195">
      <c r="A197" s="334" t="n"/>
      <c r="B197" s="334" t="n"/>
      <c r="C197" s="334" t="n"/>
      <c r="D197" s="334" t="n"/>
      <c r="E197" s="334" t="n"/>
      <c r="F197" s="334" t="n"/>
      <c r="G197" s="334" t="n"/>
      <c r="H197" s="334" t="n"/>
      <c r="I197" s="332">
        <f>IFERROR(VLOOKUP(TEXT(H197,"0"),IPRESS!$A$3:$B$212,2,0),"")</f>
        <v/>
      </c>
      <c r="J197" s="334" t="n"/>
      <c r="K197" s="332">
        <f>IFERROR(VLOOKUP(TEXT(O197,"0"),CONDUCTORES!$A$3:$G$54,7,0),"")</f>
        <v/>
      </c>
      <c r="L197" s="334" t="n"/>
      <c r="M197" s="334" t="n"/>
      <c r="N197" s="333">
        <f>IFERROR(IF(L197*M197=0,"",L197*M197),"")</f>
        <v/>
      </c>
      <c r="O197" s="334" t="n"/>
      <c r="P197" s="332">
        <f>IFERROR(VLOOKUP(TEXT(O197,"0"),CONDUCTORES!$A$3:$G$54,2,0),"")</f>
        <v/>
      </c>
      <c r="Q197" s="332">
        <f>IFERROR(VLOOKUP(TEXT(O197,"0"),CONDUCTORES!$A$3:$H$54,6,0),"")</f>
        <v/>
      </c>
      <c r="R197" s="334" t="n"/>
      <c r="S197" s="334" t="n"/>
      <c r="T197" s="334" t="n"/>
      <c r="U197" s="334" t="n"/>
      <c r="V197" s="334" t="n"/>
      <c r="W197" s="334" t="n"/>
      <c r="X197" s="334" t="n"/>
      <c r="Y197" s="334" t="n"/>
    </row>
    <row r="198" ht="15" customHeight="1" s="195">
      <c r="A198" s="280" t="n"/>
      <c r="B198" s="280" t="n"/>
      <c r="C198" s="280" t="n"/>
      <c r="D198" s="280" t="n"/>
      <c r="E198" s="280" t="n"/>
      <c r="F198" s="280" t="n"/>
      <c r="G198" s="280" t="n"/>
      <c r="H198" s="280" t="n"/>
      <c r="I198" s="332">
        <f>IFERROR(VLOOKUP(TEXT(H198,"0"),IPRESS!$A$3:$B$212,2,0),"")</f>
        <v/>
      </c>
      <c r="J198" s="280" t="n"/>
      <c r="K198" s="332">
        <f>IFERROR(VLOOKUP(TEXT(O198,"0"),CONDUCTORES!$A$3:$G$54,7,0),"")</f>
        <v/>
      </c>
      <c r="L198" s="280" t="n"/>
      <c r="M198" s="280" t="n"/>
      <c r="N198" s="333">
        <f>IFERROR(IF(L198*M198=0,"",L198*M198),"")</f>
        <v/>
      </c>
      <c r="O198" s="280" t="n"/>
      <c r="P198" s="332">
        <f>IFERROR(VLOOKUP(TEXT(O198,"0"),CONDUCTORES!$A$3:$G$54,2,0),"")</f>
        <v/>
      </c>
      <c r="Q198" s="332">
        <f>IFERROR(VLOOKUP(TEXT(O198,"0"),CONDUCTORES!$A$3:$H$54,6,0),"")</f>
        <v/>
      </c>
      <c r="R198" s="280" t="n"/>
      <c r="S198" s="280" t="n"/>
      <c r="T198" s="280" t="n"/>
      <c r="U198" s="280" t="n"/>
      <c r="V198" s="280" t="n"/>
      <c r="W198" s="280" t="n"/>
      <c r="X198" s="280" t="n"/>
      <c r="Y198" s="280" t="n"/>
    </row>
    <row r="199" ht="15" customHeight="1" s="195">
      <c r="A199" s="334" t="n"/>
      <c r="B199" s="334" t="n"/>
      <c r="C199" s="334" t="n"/>
      <c r="D199" s="334" t="n"/>
      <c r="E199" s="334" t="n"/>
      <c r="F199" s="334" t="n"/>
      <c r="G199" s="334" t="n"/>
      <c r="H199" s="334" t="n"/>
      <c r="I199" s="332">
        <f>IFERROR(VLOOKUP(TEXT(H199,"0"),IPRESS!$A$3:$B$212,2,0),"")</f>
        <v/>
      </c>
      <c r="J199" s="334" t="n"/>
      <c r="K199" s="332">
        <f>IFERROR(VLOOKUP(TEXT(O199,"0"),CONDUCTORES!$A$3:$G$54,7,0),"")</f>
        <v/>
      </c>
      <c r="L199" s="334" t="n"/>
      <c r="M199" s="334" t="n"/>
      <c r="N199" s="333">
        <f>IFERROR(IF(L199*M199=0,"",L199*M199),"")</f>
        <v/>
      </c>
      <c r="O199" s="334" t="n"/>
      <c r="P199" s="332">
        <f>IFERROR(VLOOKUP(TEXT(O199,"0"),CONDUCTORES!$A$3:$G$54,2,0),"")</f>
        <v/>
      </c>
      <c r="Q199" s="332">
        <f>IFERROR(VLOOKUP(TEXT(O199,"0"),CONDUCTORES!$A$3:$H$54,6,0),"")</f>
        <v/>
      </c>
      <c r="R199" s="334" t="n"/>
      <c r="S199" s="334" t="n"/>
      <c r="T199" s="334" t="n"/>
      <c r="U199" s="334" t="n"/>
      <c r="V199" s="334" t="n"/>
      <c r="W199" s="334" t="n"/>
      <c r="X199" s="334" t="n"/>
      <c r="Y199" s="334" t="n"/>
    </row>
    <row r="200" ht="15" customHeight="1" s="195">
      <c r="A200" s="280" t="n"/>
      <c r="B200" s="280" t="n"/>
      <c r="C200" s="280" t="n"/>
      <c r="D200" s="280" t="n"/>
      <c r="E200" s="280" t="n"/>
      <c r="F200" s="280" t="n"/>
      <c r="G200" s="280" t="n"/>
      <c r="H200" s="280" t="n"/>
      <c r="I200" s="332">
        <f>IFERROR(VLOOKUP(TEXT(H200,"0"),IPRESS!$A$3:$B$212,2,0),"")</f>
        <v/>
      </c>
      <c r="J200" s="280" t="n"/>
      <c r="K200" s="332">
        <f>IFERROR(VLOOKUP(TEXT(O200,"0"),CONDUCTORES!$A$3:$G$54,7,0),"")</f>
        <v/>
      </c>
      <c r="L200" s="280" t="n"/>
      <c r="M200" s="280" t="n"/>
      <c r="N200" s="333">
        <f>IFERROR(IF(L200*M200=0,"",L200*M200),"")</f>
        <v/>
      </c>
      <c r="O200" s="280" t="n"/>
      <c r="P200" s="332">
        <f>IFERROR(VLOOKUP(TEXT(O200,"0"),CONDUCTORES!$A$3:$G$54,2,0),"")</f>
        <v/>
      </c>
      <c r="Q200" s="332">
        <f>IFERROR(VLOOKUP(TEXT(O200,"0"),CONDUCTORES!$A$3:$H$54,6,0),"")</f>
        <v/>
      </c>
      <c r="R200" s="280" t="n"/>
      <c r="S200" s="280" t="n"/>
      <c r="T200" s="280" t="n"/>
      <c r="U200" s="280" t="n"/>
      <c r="V200" s="280" t="n"/>
      <c r="W200" s="280" t="n"/>
      <c r="X200" s="280" t="n"/>
      <c r="Y200" s="280" t="n"/>
    </row>
    <row r="201" ht="15" customHeight="1" s="195">
      <c r="A201" s="334" t="n"/>
      <c r="B201" s="334" t="n"/>
      <c r="C201" s="334" t="n"/>
      <c r="D201" s="334" t="n"/>
      <c r="E201" s="334" t="n"/>
      <c r="F201" s="334" t="n"/>
      <c r="G201" s="334" t="n"/>
      <c r="H201" s="334" t="n"/>
      <c r="I201" s="332">
        <f>IFERROR(VLOOKUP(TEXT(H201,"0"),IPRESS!$A$3:$B$212,2,0),"")</f>
        <v/>
      </c>
      <c r="J201" s="334" t="n"/>
      <c r="K201" s="332">
        <f>IFERROR(VLOOKUP(TEXT(O201,"0"),CONDUCTORES!$A$3:$G$54,7,0),"")</f>
        <v/>
      </c>
      <c r="L201" s="334" t="n"/>
      <c r="M201" s="334" t="n"/>
      <c r="N201" s="333">
        <f>IFERROR(IF(L201*M201=0,"",L201*M201),"")</f>
        <v/>
      </c>
      <c r="O201" s="334" t="n"/>
      <c r="P201" s="332">
        <f>IFERROR(VLOOKUP(TEXT(O201,"0"),CONDUCTORES!$A$3:$G$54,2,0),"")</f>
        <v/>
      </c>
      <c r="Q201" s="332">
        <f>IFERROR(VLOOKUP(TEXT(O201,"0"),CONDUCTORES!$A$3:$H$54,6,0),"")</f>
        <v/>
      </c>
      <c r="R201" s="334" t="n"/>
      <c r="S201" s="334" t="n"/>
      <c r="T201" s="334" t="n"/>
      <c r="U201" s="334" t="n"/>
      <c r="V201" s="334" t="n"/>
      <c r="W201" s="334" t="n"/>
      <c r="X201" s="334" t="n"/>
      <c r="Y201" s="334" t="n"/>
    </row>
    <row r="202" ht="15" customHeight="1" s="195">
      <c r="A202" s="280" t="n"/>
      <c r="B202" s="280" t="n"/>
      <c r="C202" s="280" t="n"/>
      <c r="D202" s="280" t="n"/>
      <c r="E202" s="280" t="n"/>
      <c r="F202" s="280" t="n"/>
      <c r="G202" s="280" t="n"/>
      <c r="H202" s="280" t="n"/>
      <c r="I202" s="332">
        <f>IFERROR(VLOOKUP(TEXT(H202,"0"),IPRESS!$A$3:$B$212,2,0),"")</f>
        <v/>
      </c>
      <c r="J202" s="280" t="n"/>
      <c r="K202" s="332">
        <f>IFERROR(VLOOKUP(TEXT(O202,"0"),CONDUCTORES!$A$3:$G$54,7,0),"")</f>
        <v/>
      </c>
      <c r="L202" s="280" t="n"/>
      <c r="M202" s="280" t="n"/>
      <c r="N202" s="333">
        <f>IFERROR(IF(L202*M202=0,"",L202*M202),"")</f>
        <v/>
      </c>
      <c r="O202" s="280" t="n"/>
      <c r="P202" s="332">
        <f>IFERROR(VLOOKUP(TEXT(O202,"0"),CONDUCTORES!$A$3:$G$54,2,0),"")</f>
        <v/>
      </c>
      <c r="Q202" s="332">
        <f>IFERROR(VLOOKUP(TEXT(O202,"0"),CONDUCTORES!$A$3:$H$54,6,0),"")</f>
        <v/>
      </c>
      <c r="R202" s="280" t="n"/>
      <c r="S202" s="280" t="n"/>
      <c r="T202" s="280" t="n"/>
      <c r="U202" s="280" t="n"/>
      <c r="V202" s="280" t="n"/>
      <c r="W202" s="280" t="n"/>
      <c r="X202" s="280" t="n"/>
      <c r="Y202" s="280" t="n"/>
    </row>
    <row r="203" ht="15" customHeight="1" s="195">
      <c r="A203" s="334" t="n"/>
      <c r="B203" s="334" t="n"/>
      <c r="C203" s="334" t="n"/>
      <c r="D203" s="334" t="n"/>
      <c r="E203" s="334" t="n"/>
      <c r="F203" s="334" t="n"/>
      <c r="G203" s="334" t="n"/>
      <c r="H203" s="334" t="n"/>
      <c r="I203" s="332">
        <f>IFERROR(VLOOKUP(TEXT(H203,"0"),IPRESS!$A$3:$B$212,2,0),"")</f>
        <v/>
      </c>
      <c r="J203" s="334" t="n"/>
      <c r="K203" s="332">
        <f>IFERROR(VLOOKUP(TEXT(O203,"0"),CONDUCTORES!$A$3:$G$54,7,0),"")</f>
        <v/>
      </c>
      <c r="L203" s="334" t="n"/>
      <c r="M203" s="334" t="n"/>
      <c r="N203" s="333">
        <f>IFERROR(IF(L203*M203=0,"",L203*M203),"")</f>
        <v/>
      </c>
      <c r="O203" s="334" t="n"/>
      <c r="P203" s="332">
        <f>IFERROR(VLOOKUP(TEXT(O203,"0"),CONDUCTORES!$A$3:$G$54,2,0),"")</f>
        <v/>
      </c>
      <c r="Q203" s="332">
        <f>IFERROR(VLOOKUP(TEXT(O203,"0"),CONDUCTORES!$A$3:$H$54,6,0),"")</f>
        <v/>
      </c>
      <c r="R203" s="334" t="n"/>
      <c r="S203" s="334" t="n"/>
      <c r="T203" s="334" t="n"/>
      <c r="U203" s="334" t="n"/>
      <c r="V203" s="334" t="n"/>
      <c r="W203" s="334" t="n"/>
      <c r="X203" s="334" t="n"/>
      <c r="Y203" s="334" t="n"/>
    </row>
    <row r="204" ht="15" customHeight="1" s="195">
      <c r="A204" s="280" t="n"/>
      <c r="B204" s="280" t="n"/>
      <c r="C204" s="280" t="n"/>
      <c r="D204" s="280" t="n"/>
      <c r="E204" s="280" t="n"/>
      <c r="F204" s="280" t="n"/>
      <c r="G204" s="280" t="n"/>
      <c r="H204" s="280" t="n"/>
      <c r="I204" s="332">
        <f>IFERROR(VLOOKUP(TEXT(H204,"0"),IPRESS!$A$3:$B$212,2,0),"")</f>
        <v/>
      </c>
      <c r="J204" s="280" t="n"/>
      <c r="K204" s="332">
        <f>IFERROR(VLOOKUP(TEXT(O204,"0"),CONDUCTORES!$A$3:$G$54,7,0),"")</f>
        <v/>
      </c>
      <c r="L204" s="280" t="n"/>
      <c r="M204" s="280" t="n"/>
      <c r="N204" s="333">
        <f>IFERROR(IF(L204*M204=0,"",L204*M204),"")</f>
        <v/>
      </c>
      <c r="O204" s="280" t="n"/>
      <c r="P204" s="332">
        <f>IFERROR(VLOOKUP(TEXT(O204,"0"),CONDUCTORES!$A$3:$G$54,2,0),"")</f>
        <v/>
      </c>
      <c r="Q204" s="332">
        <f>IFERROR(VLOOKUP(TEXT(O204,"0"),CONDUCTORES!$A$3:$H$54,6,0),"")</f>
        <v/>
      </c>
      <c r="R204" s="280" t="n"/>
      <c r="S204" s="280" t="n"/>
      <c r="T204" s="280" t="n"/>
      <c r="U204" s="280" t="n"/>
      <c r="V204" s="280" t="n"/>
      <c r="W204" s="280" t="n"/>
      <c r="X204" s="280" t="n"/>
      <c r="Y204" s="280" t="n"/>
    </row>
    <row r="205" ht="15" customHeight="1" s="195">
      <c r="A205" s="334" t="n"/>
      <c r="B205" s="334" t="n"/>
      <c r="C205" s="334" t="n"/>
      <c r="D205" s="334" t="n"/>
      <c r="E205" s="334" t="n"/>
      <c r="F205" s="334" t="n"/>
      <c r="G205" s="334" t="n"/>
      <c r="H205" s="334" t="n"/>
      <c r="I205" s="332">
        <f>IFERROR(VLOOKUP(TEXT(H205,"0"),IPRESS!$A$3:$B$212,2,0),"")</f>
        <v/>
      </c>
      <c r="J205" s="334" t="n"/>
      <c r="K205" s="332">
        <f>IFERROR(VLOOKUP(TEXT(O205,"0"),CONDUCTORES!$A$3:$G$54,7,0),"")</f>
        <v/>
      </c>
      <c r="L205" s="334" t="n"/>
      <c r="M205" s="334" t="n"/>
      <c r="N205" s="333">
        <f>IFERROR(IF(L205*M205=0,"",L205*M205),"")</f>
        <v/>
      </c>
      <c r="O205" s="334" t="n"/>
      <c r="P205" s="332">
        <f>IFERROR(VLOOKUP(TEXT(O205,"0"),CONDUCTORES!$A$3:$G$54,2,0),"")</f>
        <v/>
      </c>
      <c r="Q205" s="332">
        <f>IFERROR(VLOOKUP(TEXT(O205,"0"),CONDUCTORES!$A$3:$H$54,6,0),"")</f>
        <v/>
      </c>
      <c r="R205" s="334" t="n"/>
      <c r="S205" s="334" t="n"/>
      <c r="T205" s="334" t="n"/>
      <c r="U205" s="334" t="n"/>
      <c r="V205" s="334" t="n"/>
      <c r="W205" s="334" t="n"/>
      <c r="X205" s="334" t="n"/>
      <c r="Y205" s="334" t="n"/>
    </row>
    <row r="206" ht="15" customHeight="1" s="195">
      <c r="A206" s="280" t="n"/>
      <c r="B206" s="280" t="n"/>
      <c r="C206" s="280" t="n"/>
      <c r="D206" s="280" t="n"/>
      <c r="E206" s="280" t="n"/>
      <c r="F206" s="280" t="n"/>
      <c r="G206" s="280" t="n"/>
      <c r="H206" s="280" t="n"/>
      <c r="I206" s="332">
        <f>IFERROR(VLOOKUP(TEXT(H206,"0"),IPRESS!$A$3:$B$212,2,0),"")</f>
        <v/>
      </c>
      <c r="J206" s="280" t="n"/>
      <c r="K206" s="332">
        <f>IFERROR(VLOOKUP(TEXT(O206,"0"),CONDUCTORES!$A$3:$G$54,7,0),"")</f>
        <v/>
      </c>
      <c r="L206" s="280" t="n"/>
      <c r="M206" s="280" t="n"/>
      <c r="N206" s="333">
        <f>IFERROR(IF(L206*M206=0,"",L206*M206),"")</f>
        <v/>
      </c>
      <c r="O206" s="280" t="n"/>
      <c r="P206" s="332">
        <f>IFERROR(VLOOKUP(TEXT(O206,"0"),CONDUCTORES!$A$3:$G$54,2,0),"")</f>
        <v/>
      </c>
      <c r="Q206" s="332">
        <f>IFERROR(VLOOKUP(TEXT(O206,"0"),CONDUCTORES!$A$3:$H$54,6,0),"")</f>
        <v/>
      </c>
      <c r="R206" s="280" t="n"/>
      <c r="S206" s="280" t="n"/>
      <c r="T206" s="280" t="n"/>
      <c r="U206" s="280" t="n"/>
      <c r="V206" s="280" t="n"/>
      <c r="W206" s="280" t="n"/>
      <c r="X206" s="280" t="n"/>
      <c r="Y206" s="280" t="n"/>
    </row>
    <row r="207" ht="15" customHeight="1" s="195">
      <c r="A207" s="334" t="n"/>
      <c r="B207" s="334" t="n"/>
      <c r="C207" s="334" t="n"/>
      <c r="D207" s="334" t="n"/>
      <c r="E207" s="334" t="n"/>
      <c r="F207" s="334" t="n"/>
      <c r="G207" s="334" t="n"/>
      <c r="H207" s="334" t="n"/>
      <c r="I207" s="332">
        <f>IFERROR(VLOOKUP(TEXT(H207,"0"),IPRESS!$A$3:$B$212,2,0),"")</f>
        <v/>
      </c>
      <c r="J207" s="334" t="n"/>
      <c r="K207" s="332">
        <f>IFERROR(VLOOKUP(TEXT(O207,"0"),CONDUCTORES!$A$3:$G$54,7,0),"")</f>
        <v/>
      </c>
      <c r="L207" s="334" t="n"/>
      <c r="M207" s="334" t="n"/>
      <c r="N207" s="333">
        <f>IFERROR(IF(L207*M207=0,"",L207*M207),"")</f>
        <v/>
      </c>
      <c r="O207" s="334" t="n"/>
      <c r="P207" s="332">
        <f>IFERROR(VLOOKUP(TEXT(O207,"0"),CONDUCTORES!$A$3:$G$54,2,0),"")</f>
        <v/>
      </c>
      <c r="Q207" s="332">
        <f>IFERROR(VLOOKUP(TEXT(O207,"0"),CONDUCTORES!$A$3:$H$54,6,0),"")</f>
        <v/>
      </c>
      <c r="R207" s="334" t="n"/>
      <c r="S207" s="334" t="n"/>
      <c r="T207" s="334" t="n"/>
      <c r="U207" s="334" t="n"/>
      <c r="V207" s="334" t="n"/>
      <c r="W207" s="334" t="n"/>
      <c r="X207" s="334" t="n"/>
      <c r="Y207" s="334" t="n"/>
    </row>
    <row r="208" ht="15" customHeight="1" s="195">
      <c r="A208" s="280" t="n"/>
      <c r="B208" s="280" t="n"/>
      <c r="C208" s="280" t="n"/>
      <c r="D208" s="280" t="n"/>
      <c r="E208" s="280" t="n"/>
      <c r="F208" s="280" t="n"/>
      <c r="G208" s="280" t="n"/>
      <c r="H208" s="280" t="n"/>
      <c r="I208" s="332">
        <f>IFERROR(VLOOKUP(TEXT(H208,"0"),IPRESS!$A$3:$B$212,2,0),"")</f>
        <v/>
      </c>
      <c r="J208" s="280" t="n"/>
      <c r="K208" s="332">
        <f>IFERROR(VLOOKUP(TEXT(O208,"0"),CONDUCTORES!$A$3:$G$54,7,0),"")</f>
        <v/>
      </c>
      <c r="L208" s="280" t="n"/>
      <c r="M208" s="280" t="n"/>
      <c r="N208" s="333">
        <f>IFERROR(IF(L208*M208=0,"",L208*M208),"")</f>
        <v/>
      </c>
      <c r="O208" s="280" t="n"/>
      <c r="P208" s="332">
        <f>IFERROR(VLOOKUP(TEXT(O208,"0"),CONDUCTORES!$A$3:$G$54,2,0),"")</f>
        <v/>
      </c>
      <c r="Q208" s="332">
        <f>IFERROR(VLOOKUP(TEXT(O208,"0"),CONDUCTORES!$A$3:$H$54,6,0),"")</f>
        <v/>
      </c>
      <c r="R208" s="280" t="n"/>
      <c r="S208" s="280" t="n"/>
      <c r="T208" s="280" t="n"/>
      <c r="U208" s="280" t="n"/>
      <c r="V208" s="280" t="n"/>
      <c r="W208" s="280" t="n"/>
      <c r="X208" s="280" t="n"/>
      <c r="Y208" s="280" t="n"/>
    </row>
    <row r="209" ht="15" customHeight="1" s="195">
      <c r="A209" s="334" t="n"/>
      <c r="B209" s="334" t="n"/>
      <c r="C209" s="334" t="n"/>
      <c r="D209" s="334" t="n"/>
      <c r="E209" s="334" t="n"/>
      <c r="F209" s="334" t="n"/>
      <c r="G209" s="334" t="n"/>
      <c r="H209" s="334" t="n"/>
      <c r="I209" s="332">
        <f>IFERROR(VLOOKUP(TEXT(H209,"0"),IPRESS!$A$3:$B$212,2,0),"")</f>
        <v/>
      </c>
      <c r="J209" s="334" t="n"/>
      <c r="K209" s="332">
        <f>IFERROR(VLOOKUP(TEXT(O209,"0"),CONDUCTORES!$A$3:$G$54,7,0),"")</f>
        <v/>
      </c>
      <c r="L209" s="334" t="n"/>
      <c r="M209" s="334" t="n"/>
      <c r="N209" s="333">
        <f>IFERROR(IF(L209*M209=0,"",L209*M209),"")</f>
        <v/>
      </c>
      <c r="O209" s="334" t="n"/>
      <c r="P209" s="332">
        <f>IFERROR(VLOOKUP(TEXT(O209,"0"),CONDUCTORES!$A$3:$G$54,2,0),"")</f>
        <v/>
      </c>
      <c r="Q209" s="332">
        <f>IFERROR(VLOOKUP(TEXT(O209,"0"),CONDUCTORES!$A$3:$H$54,6,0),"")</f>
        <v/>
      </c>
      <c r="R209" s="334" t="n"/>
      <c r="S209" s="334" t="n"/>
      <c r="T209" s="334" t="n"/>
      <c r="U209" s="334" t="n"/>
      <c r="V209" s="334" t="n"/>
      <c r="W209" s="334" t="n"/>
      <c r="X209" s="334" t="n"/>
      <c r="Y209" s="334" t="n"/>
    </row>
    <row r="210" ht="15" customHeight="1" s="195">
      <c r="A210" s="280" t="n"/>
      <c r="B210" s="280" t="n"/>
      <c r="C210" s="280" t="n"/>
      <c r="D210" s="280" t="n"/>
      <c r="E210" s="280" t="n"/>
      <c r="F210" s="280" t="n"/>
      <c r="G210" s="280" t="n"/>
      <c r="H210" s="280" t="n"/>
      <c r="I210" s="332">
        <f>IFERROR(VLOOKUP(TEXT(H210,"0"),IPRESS!$A$3:$B$212,2,0),"")</f>
        <v/>
      </c>
      <c r="J210" s="280" t="n"/>
      <c r="K210" s="332">
        <f>IFERROR(VLOOKUP(TEXT(O210,"0"),CONDUCTORES!$A$3:$G$54,7,0),"")</f>
        <v/>
      </c>
      <c r="L210" s="280" t="n"/>
      <c r="M210" s="280" t="n"/>
      <c r="N210" s="333">
        <f>IFERROR(IF(L210*M210=0,"",L210*M210),"")</f>
        <v/>
      </c>
      <c r="O210" s="280" t="n"/>
      <c r="P210" s="332">
        <f>IFERROR(VLOOKUP(TEXT(O210,"0"),CONDUCTORES!$A$3:$G$54,2,0),"")</f>
        <v/>
      </c>
      <c r="Q210" s="332">
        <f>IFERROR(VLOOKUP(TEXT(O210,"0"),CONDUCTORES!$A$3:$H$54,6,0),"")</f>
        <v/>
      </c>
      <c r="R210" s="280" t="n"/>
      <c r="S210" s="280" t="n"/>
      <c r="T210" s="280" t="n"/>
      <c r="U210" s="280" t="n"/>
      <c r="V210" s="280" t="n"/>
      <c r="W210" s="280" t="n"/>
      <c r="X210" s="280" t="n"/>
      <c r="Y210" s="280" t="n"/>
    </row>
    <row r="211" ht="15" customHeight="1" s="195">
      <c r="A211" s="334" t="n"/>
      <c r="B211" s="334" t="n"/>
      <c r="C211" s="334" t="n"/>
      <c r="D211" s="334" t="n"/>
      <c r="E211" s="334" t="n"/>
      <c r="F211" s="334" t="n"/>
      <c r="G211" s="334" t="n"/>
      <c r="H211" s="334" t="n"/>
      <c r="I211" s="332">
        <f>IFERROR(VLOOKUP(TEXT(H211,"0"),IPRESS!$A$3:$B$212,2,0),"")</f>
        <v/>
      </c>
      <c r="J211" s="334" t="n"/>
      <c r="K211" s="332">
        <f>IFERROR(VLOOKUP(TEXT(O211,"0"),CONDUCTORES!$A$3:$G$54,7,0),"")</f>
        <v/>
      </c>
      <c r="L211" s="334" t="n"/>
      <c r="M211" s="334" t="n"/>
      <c r="N211" s="333">
        <f>IFERROR(IF(L211*M211=0,"",L211*M211),"")</f>
        <v/>
      </c>
      <c r="O211" s="334" t="n"/>
      <c r="P211" s="332">
        <f>IFERROR(VLOOKUP(TEXT(O211,"0"),CONDUCTORES!$A$3:$G$54,2,0),"")</f>
        <v/>
      </c>
      <c r="Q211" s="332">
        <f>IFERROR(VLOOKUP(TEXT(O211,"0"),CONDUCTORES!$A$3:$H$54,6,0),"")</f>
        <v/>
      </c>
      <c r="R211" s="334" t="n"/>
      <c r="S211" s="334" t="n"/>
      <c r="T211" s="334" t="n"/>
      <c r="U211" s="334" t="n"/>
      <c r="V211" s="334" t="n"/>
      <c r="W211" s="334" t="n"/>
      <c r="X211" s="334" t="n"/>
      <c r="Y211" s="334" t="n"/>
    </row>
    <row r="212" ht="15" customHeight="1" s="195">
      <c r="A212" s="280" t="n"/>
      <c r="B212" s="280" t="n"/>
      <c r="C212" s="280" t="n"/>
      <c r="D212" s="280" t="n"/>
      <c r="E212" s="280" t="n"/>
      <c r="F212" s="280" t="n"/>
      <c r="G212" s="280" t="n"/>
      <c r="H212" s="280" t="n"/>
      <c r="I212" s="332">
        <f>IFERROR(VLOOKUP(TEXT(H212,"0"),IPRESS!$A$3:$B$212,2,0),"")</f>
        <v/>
      </c>
      <c r="J212" s="280" t="n"/>
      <c r="K212" s="332">
        <f>IFERROR(VLOOKUP(TEXT(O212,"0"),CONDUCTORES!$A$3:$G$54,7,0),"")</f>
        <v/>
      </c>
      <c r="L212" s="280" t="n"/>
      <c r="M212" s="280" t="n"/>
      <c r="N212" s="333">
        <f>IFERROR(IF(L212*M212=0,"",L212*M212),"")</f>
        <v/>
      </c>
      <c r="O212" s="280" t="n"/>
      <c r="P212" s="332">
        <f>IFERROR(VLOOKUP(TEXT(O212,"0"),CONDUCTORES!$A$3:$G$54,2,0),"")</f>
        <v/>
      </c>
      <c r="Q212" s="332">
        <f>IFERROR(VLOOKUP(TEXT(O212,"0"),CONDUCTORES!$A$3:$H$54,6,0),"")</f>
        <v/>
      </c>
      <c r="R212" s="280" t="n"/>
      <c r="S212" s="280" t="n"/>
      <c r="T212" s="280" t="n"/>
      <c r="U212" s="280" t="n"/>
      <c r="V212" s="280" t="n"/>
      <c r="W212" s="280" t="n"/>
      <c r="X212" s="280" t="n"/>
      <c r="Y212" s="280" t="n"/>
    </row>
    <row r="213" ht="15" customHeight="1" s="195">
      <c r="A213" s="334" t="n"/>
      <c r="B213" s="334" t="n"/>
      <c r="C213" s="334" t="n"/>
      <c r="D213" s="334" t="n"/>
      <c r="E213" s="334" t="n"/>
      <c r="F213" s="334" t="n"/>
      <c r="G213" s="334" t="n"/>
      <c r="H213" s="334" t="n"/>
      <c r="I213" s="332">
        <f>IFERROR(VLOOKUP(TEXT(H213,"0"),IPRESS!$A$3:$B$212,2,0),"")</f>
        <v/>
      </c>
      <c r="J213" s="334" t="n"/>
      <c r="K213" s="332">
        <f>IFERROR(VLOOKUP(TEXT(O213,"0"),CONDUCTORES!$A$3:$G$54,7,0),"")</f>
        <v/>
      </c>
      <c r="L213" s="334" t="n"/>
      <c r="M213" s="334" t="n"/>
      <c r="N213" s="333">
        <f>IFERROR(IF(L213*M213=0,"",L213*M213),"")</f>
        <v/>
      </c>
      <c r="O213" s="334" t="n"/>
      <c r="P213" s="332">
        <f>IFERROR(VLOOKUP(TEXT(O213,"0"),CONDUCTORES!$A$3:$G$54,2,0),"")</f>
        <v/>
      </c>
      <c r="Q213" s="332">
        <f>IFERROR(VLOOKUP(TEXT(O213,"0"),CONDUCTORES!$A$3:$H$54,6,0),"")</f>
        <v/>
      </c>
      <c r="R213" s="334" t="n"/>
      <c r="S213" s="334" t="n"/>
      <c r="T213" s="334" t="n"/>
      <c r="U213" s="334" t="n"/>
      <c r="V213" s="334" t="n"/>
      <c r="W213" s="334" t="n"/>
      <c r="X213" s="334" t="n"/>
      <c r="Y213" s="334" t="n"/>
    </row>
    <row r="214" ht="15" customHeight="1" s="195">
      <c r="A214" s="280" t="n"/>
      <c r="B214" s="280" t="n"/>
      <c r="C214" s="280" t="n"/>
      <c r="D214" s="280" t="n"/>
      <c r="E214" s="280" t="n"/>
      <c r="F214" s="280" t="n"/>
      <c r="G214" s="280" t="n"/>
      <c r="H214" s="280" t="n"/>
      <c r="I214" s="332">
        <f>IFERROR(VLOOKUP(TEXT(H214,"0"),IPRESS!$A$3:$B$212,2,0),"")</f>
        <v/>
      </c>
      <c r="J214" s="280" t="n"/>
      <c r="K214" s="332">
        <f>IFERROR(VLOOKUP(TEXT(O214,"0"),CONDUCTORES!$A$3:$G$54,7,0),"")</f>
        <v/>
      </c>
      <c r="L214" s="280" t="n"/>
      <c r="M214" s="280" t="n"/>
      <c r="N214" s="333">
        <f>IFERROR(IF(L214*M214=0,"",L214*M214),"")</f>
        <v/>
      </c>
      <c r="O214" s="280" t="n"/>
      <c r="P214" s="332">
        <f>IFERROR(VLOOKUP(TEXT(O214,"0"),CONDUCTORES!$A$3:$G$54,2,0),"")</f>
        <v/>
      </c>
      <c r="Q214" s="332">
        <f>IFERROR(VLOOKUP(TEXT(O214,"0"),CONDUCTORES!$A$3:$H$54,6,0),"")</f>
        <v/>
      </c>
      <c r="R214" s="280" t="n"/>
      <c r="S214" s="280" t="n"/>
      <c r="T214" s="280" t="n"/>
      <c r="U214" s="280" t="n"/>
      <c r="V214" s="280" t="n"/>
      <c r="W214" s="280" t="n"/>
      <c r="X214" s="280" t="n"/>
      <c r="Y214" s="280" t="n"/>
    </row>
    <row r="215" ht="15" customHeight="1" s="195">
      <c r="A215" s="334" t="n"/>
      <c r="B215" s="334" t="n"/>
      <c r="C215" s="334" t="n"/>
      <c r="D215" s="334" t="n"/>
      <c r="E215" s="334" t="n"/>
      <c r="F215" s="334" t="n"/>
      <c r="G215" s="334" t="n"/>
      <c r="H215" s="334" t="n"/>
      <c r="I215" s="332">
        <f>IFERROR(VLOOKUP(TEXT(H215,"0"),IPRESS!$A$3:$B$212,2,0),"")</f>
        <v/>
      </c>
      <c r="J215" s="334" t="n"/>
      <c r="K215" s="332">
        <f>IFERROR(VLOOKUP(TEXT(O215,"0"),CONDUCTORES!$A$3:$G$54,7,0),"")</f>
        <v/>
      </c>
      <c r="L215" s="334" t="n"/>
      <c r="M215" s="334" t="n"/>
      <c r="N215" s="333">
        <f>IFERROR(IF(L215*M215=0,"",L215*M215),"")</f>
        <v/>
      </c>
      <c r="O215" s="334" t="n"/>
      <c r="P215" s="332">
        <f>IFERROR(VLOOKUP(TEXT(O215,"0"),CONDUCTORES!$A$3:$G$54,2,0),"")</f>
        <v/>
      </c>
      <c r="Q215" s="332">
        <f>IFERROR(VLOOKUP(TEXT(O215,"0"),CONDUCTORES!$A$3:$H$54,6,0),"")</f>
        <v/>
      </c>
      <c r="R215" s="334" t="n"/>
      <c r="S215" s="334" t="n"/>
      <c r="T215" s="334" t="n"/>
      <c r="U215" s="334" t="n"/>
      <c r="V215" s="334" t="n"/>
      <c r="W215" s="334" t="n"/>
      <c r="X215" s="334" t="n"/>
      <c r="Y215" s="334" t="n"/>
    </row>
    <row r="216" ht="15" customHeight="1" s="195">
      <c r="A216" s="280" t="n"/>
      <c r="B216" s="280" t="n"/>
      <c r="C216" s="280" t="n"/>
      <c r="D216" s="280" t="n"/>
      <c r="E216" s="280" t="n"/>
      <c r="F216" s="280" t="n"/>
      <c r="G216" s="280" t="n"/>
      <c r="H216" s="280" t="n"/>
      <c r="I216" s="332">
        <f>IFERROR(VLOOKUP(TEXT(H216,"0"),IPRESS!$A$3:$B$212,2,0),"")</f>
        <v/>
      </c>
      <c r="J216" s="280" t="n"/>
      <c r="K216" s="332">
        <f>IFERROR(VLOOKUP(TEXT(O216,"0"),CONDUCTORES!$A$3:$G$54,7,0),"")</f>
        <v/>
      </c>
      <c r="L216" s="280" t="n"/>
      <c r="M216" s="280" t="n"/>
      <c r="N216" s="333">
        <f>IFERROR(IF(L216*M216=0,"",L216*M216),"")</f>
        <v/>
      </c>
      <c r="O216" s="280" t="n"/>
      <c r="P216" s="332">
        <f>IFERROR(VLOOKUP(TEXT(O216,"0"),CONDUCTORES!$A$3:$G$54,2,0),"")</f>
        <v/>
      </c>
      <c r="Q216" s="332">
        <f>IFERROR(VLOOKUP(TEXT(O216,"0"),CONDUCTORES!$A$3:$H$54,6,0),"")</f>
        <v/>
      </c>
      <c r="R216" s="280" t="n"/>
      <c r="S216" s="280" t="n"/>
      <c r="T216" s="280" t="n"/>
      <c r="U216" s="280" t="n"/>
      <c r="V216" s="280" t="n"/>
      <c r="W216" s="280" t="n"/>
      <c r="X216" s="280" t="n"/>
      <c r="Y216" s="280" t="n"/>
    </row>
    <row r="217" ht="15" customHeight="1" s="195">
      <c r="A217" s="334" t="n"/>
      <c r="B217" s="334" t="n"/>
      <c r="C217" s="334" t="n"/>
      <c r="D217" s="334" t="n"/>
      <c r="E217" s="334" t="n"/>
      <c r="F217" s="334" t="n"/>
      <c r="G217" s="334" t="n"/>
      <c r="H217" s="334" t="n"/>
      <c r="I217" s="332">
        <f>IFERROR(VLOOKUP(TEXT(H217,"0"),IPRESS!$A$3:$B$212,2,0),"")</f>
        <v/>
      </c>
      <c r="J217" s="334" t="n"/>
      <c r="K217" s="332">
        <f>IFERROR(VLOOKUP(TEXT(O217,"0"),CONDUCTORES!$A$3:$G$54,7,0),"")</f>
        <v/>
      </c>
      <c r="L217" s="334" t="n"/>
      <c r="M217" s="334" t="n"/>
      <c r="N217" s="333">
        <f>IFERROR(IF(L217*M217=0,"",L217*M217),"")</f>
        <v/>
      </c>
      <c r="O217" s="334" t="n"/>
      <c r="P217" s="332">
        <f>IFERROR(VLOOKUP(TEXT(O217,"0"),CONDUCTORES!$A$3:$G$54,2,0),"")</f>
        <v/>
      </c>
      <c r="Q217" s="332">
        <f>IFERROR(VLOOKUP(TEXT(O217,"0"),CONDUCTORES!$A$3:$H$54,6,0),"")</f>
        <v/>
      </c>
      <c r="R217" s="334" t="n"/>
      <c r="S217" s="334" t="n"/>
      <c r="T217" s="334" t="n"/>
      <c r="U217" s="334" t="n"/>
      <c r="V217" s="334" t="n"/>
      <c r="W217" s="334" t="n"/>
      <c r="X217" s="334" t="n"/>
      <c r="Y217" s="334" t="n"/>
    </row>
    <row r="218" ht="15" customHeight="1" s="195">
      <c r="A218" s="280" t="n"/>
      <c r="B218" s="280" t="n"/>
      <c r="C218" s="280" t="n"/>
      <c r="D218" s="280" t="n"/>
      <c r="E218" s="280" t="n"/>
      <c r="F218" s="280" t="n"/>
      <c r="G218" s="280" t="n"/>
      <c r="H218" s="280" t="n"/>
      <c r="I218" s="332">
        <f>IFERROR(VLOOKUP(TEXT(H218,"0"),IPRESS!$A$3:$B$212,2,0),"")</f>
        <v/>
      </c>
      <c r="J218" s="280" t="n"/>
      <c r="K218" s="332">
        <f>IFERROR(VLOOKUP(TEXT(O218,"0"),CONDUCTORES!$A$3:$G$54,7,0),"")</f>
        <v/>
      </c>
      <c r="L218" s="280" t="n"/>
      <c r="M218" s="280" t="n"/>
      <c r="N218" s="333">
        <f>IFERROR(IF(L218*M218=0,"",L218*M218),"")</f>
        <v/>
      </c>
      <c r="O218" s="280" t="n"/>
      <c r="P218" s="332">
        <f>IFERROR(VLOOKUP(TEXT(O218,"0"),CONDUCTORES!$A$3:$G$54,2,0),"")</f>
        <v/>
      </c>
      <c r="Q218" s="332">
        <f>IFERROR(VLOOKUP(TEXT(O218,"0"),CONDUCTORES!$A$3:$H$54,6,0),"")</f>
        <v/>
      </c>
      <c r="R218" s="280" t="n"/>
      <c r="S218" s="280" t="n"/>
      <c r="T218" s="280" t="n"/>
      <c r="U218" s="280" t="n"/>
      <c r="V218" s="280" t="n"/>
      <c r="W218" s="280" t="n"/>
      <c r="X218" s="280" t="n"/>
      <c r="Y218" s="280" t="n"/>
    </row>
    <row r="219" ht="15" customHeight="1" s="195">
      <c r="A219" s="334" t="n"/>
      <c r="B219" s="334" t="n"/>
      <c r="C219" s="334" t="n"/>
      <c r="D219" s="334" t="n"/>
      <c r="E219" s="334" t="n"/>
      <c r="F219" s="334" t="n"/>
      <c r="G219" s="334" t="n"/>
      <c r="H219" s="334" t="n"/>
      <c r="I219" s="332">
        <f>IFERROR(VLOOKUP(TEXT(H219,"0"),IPRESS!$A$3:$B$212,2,0),"")</f>
        <v/>
      </c>
      <c r="J219" s="334" t="n"/>
      <c r="K219" s="332">
        <f>IFERROR(VLOOKUP(TEXT(O219,"0"),CONDUCTORES!$A$3:$G$54,7,0),"")</f>
        <v/>
      </c>
      <c r="L219" s="334" t="n"/>
      <c r="M219" s="334" t="n"/>
      <c r="N219" s="333">
        <f>IFERROR(IF(L219*M219=0,"",L219*M219),"")</f>
        <v/>
      </c>
      <c r="O219" s="334" t="n"/>
      <c r="P219" s="332">
        <f>IFERROR(VLOOKUP(TEXT(O219,"0"),CONDUCTORES!$A$3:$G$54,2,0),"")</f>
        <v/>
      </c>
      <c r="Q219" s="332">
        <f>IFERROR(VLOOKUP(TEXT(O219,"0"),CONDUCTORES!$A$3:$H$54,6,0),"")</f>
        <v/>
      </c>
      <c r="R219" s="334" t="n"/>
      <c r="S219" s="334" t="n"/>
      <c r="T219" s="334" t="n"/>
      <c r="U219" s="334" t="n"/>
      <c r="V219" s="334" t="n"/>
      <c r="W219" s="334" t="n"/>
      <c r="X219" s="334" t="n"/>
      <c r="Y219" s="334" t="n"/>
    </row>
    <row r="220" ht="15" customHeight="1" s="195">
      <c r="A220" s="280" t="n"/>
      <c r="B220" s="280" t="n"/>
      <c r="C220" s="280" t="n"/>
      <c r="D220" s="280" t="n"/>
      <c r="E220" s="280" t="n"/>
      <c r="F220" s="280" t="n"/>
      <c r="G220" s="280" t="n"/>
      <c r="H220" s="280" t="n"/>
      <c r="I220" s="332">
        <f>IFERROR(VLOOKUP(TEXT(H220,"0"),IPRESS!$A$3:$B$212,2,0),"")</f>
        <v/>
      </c>
      <c r="J220" s="280" t="n"/>
      <c r="K220" s="332">
        <f>IFERROR(VLOOKUP(TEXT(O220,"0"),CONDUCTORES!$A$3:$G$54,7,0),"")</f>
        <v/>
      </c>
      <c r="L220" s="280" t="n"/>
      <c r="M220" s="280" t="n"/>
      <c r="N220" s="333">
        <f>IFERROR(IF(L220*M220=0,"",L220*M220),"")</f>
        <v/>
      </c>
      <c r="O220" s="280" t="n"/>
      <c r="P220" s="332">
        <f>IFERROR(VLOOKUP(TEXT(O220,"0"),CONDUCTORES!$A$3:$G$54,2,0),"")</f>
        <v/>
      </c>
      <c r="Q220" s="332">
        <f>IFERROR(VLOOKUP(TEXT(O220,"0"),CONDUCTORES!$A$3:$H$54,6,0),"")</f>
        <v/>
      </c>
      <c r="R220" s="280" t="n"/>
      <c r="S220" s="280" t="n"/>
      <c r="T220" s="280" t="n"/>
      <c r="U220" s="280" t="n"/>
      <c r="V220" s="280" t="n"/>
      <c r="W220" s="280" t="n"/>
      <c r="X220" s="280" t="n"/>
      <c r="Y220" s="280" t="n"/>
    </row>
    <row r="221" ht="15" customHeight="1" s="195">
      <c r="A221" s="334" t="n"/>
      <c r="B221" s="334" t="n"/>
      <c r="C221" s="334" t="n"/>
      <c r="D221" s="334" t="n"/>
      <c r="E221" s="334" t="n"/>
      <c r="F221" s="334" t="n"/>
      <c r="G221" s="334" t="n"/>
      <c r="H221" s="334" t="n"/>
      <c r="I221" s="332">
        <f>IFERROR(VLOOKUP(TEXT(H221,"0"),IPRESS!$A$3:$B$212,2,0),"")</f>
        <v/>
      </c>
      <c r="J221" s="334" t="n"/>
      <c r="K221" s="332">
        <f>IFERROR(VLOOKUP(TEXT(O221,"0"),CONDUCTORES!$A$3:$G$54,7,0),"")</f>
        <v/>
      </c>
      <c r="L221" s="334" t="n"/>
      <c r="M221" s="334" t="n"/>
      <c r="N221" s="333">
        <f>IFERROR(IF(L221*M221=0,"",L221*M221),"")</f>
        <v/>
      </c>
      <c r="O221" s="334" t="n"/>
      <c r="P221" s="332">
        <f>IFERROR(VLOOKUP(TEXT(O221,"0"),CONDUCTORES!$A$3:$G$54,2,0),"")</f>
        <v/>
      </c>
      <c r="Q221" s="332">
        <f>IFERROR(VLOOKUP(TEXT(O221,"0"),CONDUCTORES!$A$3:$H$54,6,0),"")</f>
        <v/>
      </c>
      <c r="R221" s="334" t="n"/>
      <c r="S221" s="334" t="n"/>
      <c r="T221" s="334" t="n"/>
      <c r="U221" s="334" t="n"/>
      <c r="V221" s="334" t="n"/>
      <c r="W221" s="334" t="n"/>
      <c r="X221" s="334" t="n"/>
      <c r="Y221" s="334" t="n"/>
    </row>
    <row r="222" ht="15" customHeight="1" s="195">
      <c r="A222" s="280" t="n"/>
      <c r="B222" s="280" t="n"/>
      <c r="C222" s="280" t="n"/>
      <c r="D222" s="280" t="n"/>
      <c r="E222" s="280" t="n"/>
      <c r="F222" s="280" t="n"/>
      <c r="G222" s="280" t="n"/>
      <c r="H222" s="280" t="n"/>
      <c r="I222" s="332">
        <f>IFERROR(VLOOKUP(TEXT(H222,"0"),IPRESS!$A$3:$B$212,2,0),"")</f>
        <v/>
      </c>
      <c r="J222" s="280" t="n"/>
      <c r="K222" s="332">
        <f>IFERROR(VLOOKUP(TEXT(O222,"0"),CONDUCTORES!$A$3:$G$54,7,0),"")</f>
        <v/>
      </c>
      <c r="L222" s="280" t="n"/>
      <c r="M222" s="280" t="n"/>
      <c r="N222" s="333">
        <f>IFERROR(IF(L222*M222=0,"",L222*M222),"")</f>
        <v/>
      </c>
      <c r="O222" s="280" t="n"/>
      <c r="P222" s="332">
        <f>IFERROR(VLOOKUP(TEXT(O222,"0"),CONDUCTORES!$A$3:$G$54,2,0),"")</f>
        <v/>
      </c>
      <c r="Q222" s="332">
        <f>IFERROR(VLOOKUP(TEXT(O222,"0"),CONDUCTORES!$A$3:$H$54,6,0),"")</f>
        <v/>
      </c>
      <c r="R222" s="280" t="n"/>
      <c r="S222" s="280" t="n"/>
      <c r="T222" s="280" t="n"/>
      <c r="U222" s="280" t="n"/>
      <c r="V222" s="280" t="n"/>
      <c r="W222" s="280" t="n"/>
      <c r="X222" s="280" t="n"/>
      <c r="Y222" s="280" t="n"/>
    </row>
    <row r="223" ht="15" customHeight="1" s="195">
      <c r="A223" s="334" t="n"/>
      <c r="B223" s="334" t="n"/>
      <c r="C223" s="334" t="n"/>
      <c r="D223" s="334" t="n"/>
      <c r="E223" s="334" t="n"/>
      <c r="F223" s="334" t="n"/>
      <c r="G223" s="334" t="n"/>
      <c r="H223" s="334" t="n"/>
      <c r="I223" s="332">
        <f>IFERROR(VLOOKUP(TEXT(H223,"0"),IPRESS!$A$3:$B$212,2,0),"")</f>
        <v/>
      </c>
      <c r="J223" s="334" t="n"/>
      <c r="K223" s="332">
        <f>IFERROR(VLOOKUP(TEXT(O223,"0"),CONDUCTORES!$A$3:$G$54,7,0),"")</f>
        <v/>
      </c>
      <c r="L223" s="334" t="n"/>
      <c r="M223" s="334" t="n"/>
      <c r="N223" s="333">
        <f>IFERROR(IF(L223*M223=0,"",L223*M223),"")</f>
        <v/>
      </c>
      <c r="O223" s="334" t="n"/>
      <c r="P223" s="332">
        <f>IFERROR(VLOOKUP(TEXT(O223,"0"),CONDUCTORES!$A$3:$G$54,2,0),"")</f>
        <v/>
      </c>
      <c r="Q223" s="332">
        <f>IFERROR(VLOOKUP(TEXT(O223,"0"),CONDUCTORES!$A$3:$H$54,6,0),"")</f>
        <v/>
      </c>
      <c r="R223" s="334" t="n"/>
      <c r="S223" s="334" t="n"/>
      <c r="T223" s="334" t="n"/>
      <c r="U223" s="334" t="n"/>
      <c r="V223" s="334" t="n"/>
      <c r="W223" s="334" t="n"/>
      <c r="X223" s="334" t="n"/>
      <c r="Y223" s="334" t="n"/>
    </row>
    <row r="224" ht="15" customHeight="1" s="195">
      <c r="A224" s="280" t="n"/>
      <c r="B224" s="280" t="n"/>
      <c r="C224" s="280" t="n"/>
      <c r="D224" s="280" t="n"/>
      <c r="E224" s="280" t="n"/>
      <c r="F224" s="280" t="n"/>
      <c r="G224" s="280" t="n"/>
      <c r="H224" s="280" t="n"/>
      <c r="I224" s="332">
        <f>IFERROR(VLOOKUP(TEXT(H224,"0"),IPRESS!$A$3:$B$212,2,0),"")</f>
        <v/>
      </c>
      <c r="J224" s="280" t="n"/>
      <c r="K224" s="332">
        <f>IFERROR(VLOOKUP(TEXT(O224,"0"),CONDUCTORES!$A$3:$G$54,7,0),"")</f>
        <v/>
      </c>
      <c r="L224" s="280" t="n"/>
      <c r="M224" s="280" t="n"/>
      <c r="N224" s="333">
        <f>IFERROR(IF(L224*M224=0,"",L224*M224),"")</f>
        <v/>
      </c>
      <c r="O224" s="280" t="n"/>
      <c r="P224" s="332">
        <f>IFERROR(VLOOKUP(TEXT(O224,"0"),CONDUCTORES!$A$3:$G$54,2,0),"")</f>
        <v/>
      </c>
      <c r="Q224" s="332">
        <f>IFERROR(VLOOKUP(TEXT(O224,"0"),CONDUCTORES!$A$3:$H$54,6,0),"")</f>
        <v/>
      </c>
      <c r="R224" s="280" t="n"/>
      <c r="S224" s="280" t="n"/>
      <c r="T224" s="280" t="n"/>
      <c r="U224" s="280" t="n"/>
      <c r="V224" s="280" t="n"/>
      <c r="W224" s="280" t="n"/>
      <c r="X224" s="280" t="n"/>
      <c r="Y224" s="280" t="n"/>
    </row>
    <row r="225" ht="15" customHeight="1" s="195">
      <c r="A225" s="334" t="n"/>
      <c r="B225" s="334" t="n"/>
      <c r="C225" s="334" t="n"/>
      <c r="D225" s="334" t="n"/>
      <c r="E225" s="334" t="n"/>
      <c r="F225" s="334" t="n"/>
      <c r="G225" s="334" t="n"/>
      <c r="H225" s="334" t="n"/>
      <c r="I225" s="332">
        <f>IFERROR(VLOOKUP(TEXT(H225,"0"),IPRESS!$A$3:$B$212,2,0),"")</f>
        <v/>
      </c>
      <c r="J225" s="334" t="n"/>
      <c r="K225" s="332">
        <f>IFERROR(VLOOKUP(TEXT(O225,"0"),CONDUCTORES!$A$3:$G$54,7,0),"")</f>
        <v/>
      </c>
      <c r="L225" s="334" t="n"/>
      <c r="M225" s="334" t="n"/>
      <c r="N225" s="333">
        <f>IFERROR(IF(L225*M225=0,"",L225*M225),"")</f>
        <v/>
      </c>
      <c r="O225" s="334" t="n"/>
      <c r="P225" s="332">
        <f>IFERROR(VLOOKUP(TEXT(O225,"0"),CONDUCTORES!$A$3:$G$54,2,0),"")</f>
        <v/>
      </c>
      <c r="Q225" s="332">
        <f>IFERROR(VLOOKUP(TEXT(O225,"0"),CONDUCTORES!$A$3:$H$54,6,0),"")</f>
        <v/>
      </c>
      <c r="R225" s="334" t="n"/>
      <c r="S225" s="334" t="n"/>
      <c r="T225" s="334" t="n"/>
      <c r="U225" s="334" t="n"/>
      <c r="V225" s="334" t="n"/>
      <c r="W225" s="334" t="n"/>
      <c r="X225" s="334" t="n"/>
      <c r="Y225" s="334" t="n"/>
    </row>
    <row r="226" ht="15" customHeight="1" s="195">
      <c r="A226" s="280" t="n"/>
      <c r="B226" s="280" t="n"/>
      <c r="C226" s="280" t="n"/>
      <c r="D226" s="280" t="n"/>
      <c r="E226" s="280" t="n"/>
      <c r="F226" s="280" t="n"/>
      <c r="G226" s="280" t="n"/>
      <c r="H226" s="280" t="n"/>
      <c r="I226" s="332">
        <f>IFERROR(VLOOKUP(TEXT(H226,"0"),IPRESS!$A$3:$B$212,2,0),"")</f>
        <v/>
      </c>
      <c r="J226" s="280" t="n"/>
      <c r="K226" s="332">
        <f>IFERROR(VLOOKUP(TEXT(O226,"0"),CONDUCTORES!$A$3:$G$54,7,0),"")</f>
        <v/>
      </c>
      <c r="L226" s="280" t="n"/>
      <c r="M226" s="280" t="n"/>
      <c r="N226" s="333">
        <f>IFERROR(IF(L226*M226=0,"",L226*M226),"")</f>
        <v/>
      </c>
      <c r="O226" s="280" t="n"/>
      <c r="P226" s="332">
        <f>IFERROR(VLOOKUP(TEXT(O226,"0"),CONDUCTORES!$A$3:$G$54,2,0),"")</f>
        <v/>
      </c>
      <c r="Q226" s="332">
        <f>IFERROR(VLOOKUP(TEXT(O226,"0"),CONDUCTORES!$A$3:$H$54,6,0),"")</f>
        <v/>
      </c>
      <c r="R226" s="280" t="n"/>
      <c r="S226" s="280" t="n"/>
      <c r="T226" s="280" t="n"/>
      <c r="U226" s="280" t="n"/>
      <c r="V226" s="280" t="n"/>
      <c r="W226" s="280" t="n"/>
      <c r="X226" s="280" t="n"/>
      <c r="Y226" s="280" t="n"/>
    </row>
    <row r="227" ht="15" customHeight="1" s="195">
      <c r="A227" s="334" t="n"/>
      <c r="B227" s="334" t="n"/>
      <c r="C227" s="334" t="n"/>
      <c r="D227" s="334" t="n"/>
      <c r="E227" s="334" t="n"/>
      <c r="F227" s="334" t="n"/>
      <c r="G227" s="334" t="n"/>
      <c r="H227" s="334" t="n"/>
      <c r="I227" s="332">
        <f>IFERROR(VLOOKUP(TEXT(H227,"0"),IPRESS!$A$3:$B$212,2,0),"")</f>
        <v/>
      </c>
      <c r="J227" s="334" t="n"/>
      <c r="K227" s="332">
        <f>IFERROR(VLOOKUP(TEXT(O227,"0"),CONDUCTORES!$A$3:$G$54,7,0),"")</f>
        <v/>
      </c>
      <c r="L227" s="334" t="n"/>
      <c r="M227" s="334" t="n"/>
      <c r="N227" s="333">
        <f>IFERROR(IF(L227*M227=0,"",L227*M227),"")</f>
        <v/>
      </c>
      <c r="O227" s="334" t="n"/>
      <c r="P227" s="332">
        <f>IFERROR(VLOOKUP(TEXT(O227,"0"),CONDUCTORES!$A$3:$G$54,2,0),"")</f>
        <v/>
      </c>
      <c r="Q227" s="332">
        <f>IFERROR(VLOOKUP(TEXT(O227,"0"),CONDUCTORES!$A$3:$H$54,6,0),"")</f>
        <v/>
      </c>
      <c r="R227" s="334" t="n"/>
      <c r="S227" s="334" t="n"/>
      <c r="T227" s="334" t="n"/>
      <c r="U227" s="334" t="n"/>
      <c r="V227" s="334" t="n"/>
      <c r="W227" s="334" t="n"/>
      <c r="X227" s="334" t="n"/>
      <c r="Y227" s="334" t="n"/>
    </row>
    <row r="228" ht="15" customHeight="1" s="195">
      <c r="A228" s="280" t="n"/>
      <c r="B228" s="280" t="n"/>
      <c r="C228" s="280" t="n"/>
      <c r="D228" s="280" t="n"/>
      <c r="E228" s="280" t="n"/>
      <c r="F228" s="280" t="n"/>
      <c r="G228" s="280" t="n"/>
      <c r="H228" s="280" t="n"/>
      <c r="I228" s="332">
        <f>IFERROR(VLOOKUP(TEXT(H228,"0"),IPRESS!$A$3:$B$212,2,0),"")</f>
        <v/>
      </c>
      <c r="J228" s="280" t="n"/>
      <c r="K228" s="332">
        <f>IFERROR(VLOOKUP(TEXT(O228,"0"),CONDUCTORES!$A$3:$G$54,7,0),"")</f>
        <v/>
      </c>
      <c r="L228" s="280" t="n"/>
      <c r="M228" s="280" t="n"/>
      <c r="N228" s="333">
        <f>IFERROR(IF(L228*M228=0,"",L228*M228),"")</f>
        <v/>
      </c>
      <c r="O228" s="280" t="n"/>
      <c r="P228" s="332">
        <f>IFERROR(VLOOKUP(TEXT(O228,"0"),CONDUCTORES!$A$3:$G$54,2,0),"")</f>
        <v/>
      </c>
      <c r="Q228" s="332">
        <f>IFERROR(VLOOKUP(TEXT(O228,"0"),CONDUCTORES!$A$3:$H$54,6,0),"")</f>
        <v/>
      </c>
      <c r="R228" s="280" t="n"/>
      <c r="S228" s="280" t="n"/>
      <c r="T228" s="280" t="n"/>
      <c r="U228" s="280" t="n"/>
      <c r="V228" s="280" t="n"/>
      <c r="W228" s="280" t="n"/>
      <c r="X228" s="280" t="n"/>
      <c r="Y228" s="280" t="n"/>
    </row>
    <row r="229" ht="15" customHeight="1" s="195">
      <c r="A229" s="334" t="n"/>
      <c r="B229" s="334" t="n"/>
      <c r="C229" s="334" t="n"/>
      <c r="D229" s="334" t="n"/>
      <c r="E229" s="334" t="n"/>
      <c r="F229" s="334" t="n"/>
      <c r="G229" s="334" t="n"/>
      <c r="H229" s="334" t="n"/>
      <c r="I229" s="332">
        <f>IFERROR(VLOOKUP(TEXT(H229,"0"),IPRESS!$A$3:$B$212,2,0),"")</f>
        <v/>
      </c>
      <c r="J229" s="334" t="n"/>
      <c r="K229" s="332">
        <f>IFERROR(VLOOKUP(TEXT(O229,"0"),CONDUCTORES!$A$3:$G$54,7,0),"")</f>
        <v/>
      </c>
      <c r="L229" s="334" t="n"/>
      <c r="M229" s="334" t="n"/>
      <c r="N229" s="333">
        <f>IFERROR(IF(L229*M229=0,"",L229*M229),"")</f>
        <v/>
      </c>
      <c r="O229" s="334" t="n"/>
      <c r="P229" s="332">
        <f>IFERROR(VLOOKUP(TEXT(O229,"0"),CONDUCTORES!$A$3:$G$54,2,0),"")</f>
        <v/>
      </c>
      <c r="Q229" s="332">
        <f>IFERROR(VLOOKUP(TEXT(O229,"0"),CONDUCTORES!$A$3:$H$54,6,0),"")</f>
        <v/>
      </c>
      <c r="R229" s="334" t="n"/>
      <c r="S229" s="334" t="n"/>
      <c r="T229" s="334" t="n"/>
      <c r="U229" s="334" t="n"/>
      <c r="V229" s="334" t="n"/>
      <c r="W229" s="334" t="n"/>
      <c r="X229" s="334" t="n"/>
      <c r="Y229" s="334" t="n"/>
    </row>
    <row r="230" ht="15" customHeight="1" s="195">
      <c r="A230" s="280" t="n"/>
      <c r="B230" s="280" t="n"/>
      <c r="C230" s="280" t="n"/>
      <c r="D230" s="280" t="n"/>
      <c r="E230" s="280" t="n"/>
      <c r="F230" s="280" t="n"/>
      <c r="G230" s="280" t="n"/>
      <c r="H230" s="280" t="n"/>
      <c r="I230" s="332">
        <f>IFERROR(VLOOKUP(TEXT(H230,"0"),IPRESS!$A$3:$B$212,2,0),"")</f>
        <v/>
      </c>
      <c r="J230" s="280" t="n"/>
      <c r="K230" s="332">
        <f>IFERROR(VLOOKUP(TEXT(O230,"0"),CONDUCTORES!$A$3:$G$54,7,0),"")</f>
        <v/>
      </c>
      <c r="L230" s="280" t="n"/>
      <c r="M230" s="280" t="n"/>
      <c r="N230" s="333">
        <f>IFERROR(IF(L230*M230=0,"",L230*M230),"")</f>
        <v/>
      </c>
      <c r="O230" s="280" t="n"/>
      <c r="P230" s="332">
        <f>IFERROR(VLOOKUP(TEXT(O230,"0"),CONDUCTORES!$A$3:$G$54,2,0),"")</f>
        <v/>
      </c>
      <c r="Q230" s="332">
        <f>IFERROR(VLOOKUP(TEXT(O230,"0"),CONDUCTORES!$A$3:$H$54,6,0),"")</f>
        <v/>
      </c>
      <c r="R230" s="280" t="n"/>
      <c r="S230" s="280" t="n"/>
      <c r="T230" s="280" t="n"/>
      <c r="U230" s="280" t="n"/>
      <c r="V230" s="280" t="n"/>
      <c r="W230" s="280" t="n"/>
      <c r="X230" s="280" t="n"/>
      <c r="Y230" s="280" t="n"/>
    </row>
    <row r="231" ht="15" customHeight="1" s="195">
      <c r="A231" s="334" t="n"/>
      <c r="B231" s="334" t="n"/>
      <c r="C231" s="334" t="n"/>
      <c r="D231" s="334" t="n"/>
      <c r="E231" s="334" t="n"/>
      <c r="F231" s="334" t="n"/>
      <c r="G231" s="334" t="n"/>
      <c r="H231" s="334" t="n"/>
      <c r="I231" s="332">
        <f>IFERROR(VLOOKUP(TEXT(H231,"0"),IPRESS!$A$3:$B$212,2,0),"")</f>
        <v/>
      </c>
      <c r="J231" s="334" t="n"/>
      <c r="K231" s="332">
        <f>IFERROR(VLOOKUP(TEXT(O231,"0"),CONDUCTORES!$A$3:$G$54,7,0),"")</f>
        <v/>
      </c>
      <c r="L231" s="334" t="n"/>
      <c r="M231" s="334" t="n"/>
      <c r="N231" s="333">
        <f>IFERROR(IF(L231*M231=0,"",L231*M231),"")</f>
        <v/>
      </c>
      <c r="O231" s="334" t="n"/>
      <c r="P231" s="332">
        <f>IFERROR(VLOOKUP(TEXT(O231,"0"),CONDUCTORES!$A$3:$G$54,2,0),"")</f>
        <v/>
      </c>
      <c r="Q231" s="332">
        <f>IFERROR(VLOOKUP(TEXT(O231,"0"),CONDUCTORES!$A$3:$H$54,6,0),"")</f>
        <v/>
      </c>
      <c r="R231" s="334" t="n"/>
      <c r="S231" s="334" t="n"/>
      <c r="T231" s="334" t="n"/>
      <c r="U231" s="334" t="n"/>
      <c r="V231" s="334" t="n"/>
      <c r="W231" s="334" t="n"/>
      <c r="X231" s="334" t="n"/>
      <c r="Y231" s="334" t="n"/>
    </row>
    <row r="232" ht="15" customHeight="1" s="195">
      <c r="A232" s="280" t="n"/>
      <c r="B232" s="280" t="n"/>
      <c r="C232" s="280" t="n"/>
      <c r="D232" s="280" t="n"/>
      <c r="E232" s="280" t="n"/>
      <c r="F232" s="280" t="n"/>
      <c r="G232" s="280" t="n"/>
      <c r="H232" s="280" t="n"/>
      <c r="I232" s="332">
        <f>IFERROR(VLOOKUP(TEXT(H232,"0"),IPRESS!$A$3:$B$212,2,0),"")</f>
        <v/>
      </c>
      <c r="J232" s="280" t="n"/>
      <c r="K232" s="332">
        <f>IFERROR(VLOOKUP(TEXT(O232,"0"),CONDUCTORES!$A$3:$G$54,7,0),"")</f>
        <v/>
      </c>
      <c r="L232" s="280" t="n"/>
      <c r="M232" s="280" t="n"/>
      <c r="N232" s="333">
        <f>IFERROR(IF(L232*M232=0,"",L232*M232),"")</f>
        <v/>
      </c>
      <c r="O232" s="280" t="n"/>
      <c r="P232" s="332">
        <f>IFERROR(VLOOKUP(TEXT(O232,"0"),CONDUCTORES!$A$3:$G$54,2,0),"")</f>
        <v/>
      </c>
      <c r="Q232" s="332">
        <f>IFERROR(VLOOKUP(TEXT(O232,"0"),CONDUCTORES!$A$3:$H$54,6,0),"")</f>
        <v/>
      </c>
      <c r="R232" s="280" t="n"/>
      <c r="S232" s="280" t="n"/>
      <c r="T232" s="280" t="n"/>
      <c r="U232" s="280" t="n"/>
      <c r="V232" s="280" t="n"/>
      <c r="W232" s="280" t="n"/>
      <c r="X232" s="280" t="n"/>
      <c r="Y232" s="280" t="n"/>
    </row>
    <row r="233" ht="15" customHeight="1" s="195">
      <c r="A233" s="334" t="n"/>
      <c r="B233" s="334" t="n"/>
      <c r="C233" s="334" t="n"/>
      <c r="D233" s="334" t="n"/>
      <c r="E233" s="334" t="n"/>
      <c r="F233" s="334" t="n"/>
      <c r="G233" s="334" t="n"/>
      <c r="H233" s="334" t="n"/>
      <c r="I233" s="332">
        <f>IFERROR(VLOOKUP(TEXT(H233,"0"),IPRESS!$A$3:$B$212,2,0),"")</f>
        <v/>
      </c>
      <c r="J233" s="334" t="n"/>
      <c r="K233" s="332">
        <f>IFERROR(VLOOKUP(TEXT(O233,"0"),CONDUCTORES!$A$3:$G$54,7,0),"")</f>
        <v/>
      </c>
      <c r="L233" s="334" t="n"/>
      <c r="M233" s="334" t="n"/>
      <c r="N233" s="333">
        <f>IFERROR(IF(L233*M233=0,"",L233*M233),"")</f>
        <v/>
      </c>
      <c r="O233" s="334" t="n"/>
      <c r="P233" s="332">
        <f>IFERROR(VLOOKUP(TEXT(O233,"0"),CONDUCTORES!$A$3:$G$54,2,0),"")</f>
        <v/>
      </c>
      <c r="Q233" s="332">
        <f>IFERROR(VLOOKUP(TEXT(O233,"0"),CONDUCTORES!$A$3:$H$54,6,0),"")</f>
        <v/>
      </c>
      <c r="R233" s="334" t="n"/>
      <c r="S233" s="334" t="n"/>
      <c r="T233" s="334" t="n"/>
      <c r="U233" s="334" t="n"/>
      <c r="V233" s="334" t="n"/>
      <c r="W233" s="334" t="n"/>
      <c r="X233" s="334" t="n"/>
      <c r="Y233" s="334" t="n"/>
    </row>
    <row r="234" ht="15" customHeight="1" s="195">
      <c r="A234" s="280" t="n"/>
      <c r="B234" s="280" t="n"/>
      <c r="C234" s="280" t="n"/>
      <c r="D234" s="280" t="n"/>
      <c r="E234" s="280" t="n"/>
      <c r="F234" s="280" t="n"/>
      <c r="G234" s="280" t="n"/>
      <c r="H234" s="280" t="n"/>
      <c r="I234" s="332">
        <f>IFERROR(VLOOKUP(TEXT(H234,"0"),IPRESS!$A$3:$B$212,2,0),"")</f>
        <v/>
      </c>
      <c r="J234" s="280" t="n"/>
      <c r="K234" s="332">
        <f>IFERROR(VLOOKUP(TEXT(O234,"0"),CONDUCTORES!$A$3:$G$54,7,0),"")</f>
        <v/>
      </c>
      <c r="L234" s="280" t="n"/>
      <c r="M234" s="280" t="n"/>
      <c r="N234" s="333">
        <f>IFERROR(IF(L234*M234=0,"",L234*M234),"")</f>
        <v/>
      </c>
      <c r="O234" s="280" t="n"/>
      <c r="P234" s="332">
        <f>IFERROR(VLOOKUP(TEXT(O234,"0"),CONDUCTORES!$A$3:$G$54,2,0),"")</f>
        <v/>
      </c>
      <c r="Q234" s="332">
        <f>IFERROR(VLOOKUP(TEXT(O234,"0"),CONDUCTORES!$A$3:$H$54,6,0),"")</f>
        <v/>
      </c>
      <c r="R234" s="280" t="n"/>
      <c r="S234" s="280" t="n"/>
      <c r="T234" s="280" t="n"/>
      <c r="U234" s="280" t="n"/>
      <c r="V234" s="280" t="n"/>
      <c r="W234" s="280" t="n"/>
      <c r="X234" s="280" t="n"/>
      <c r="Y234" s="280" t="n"/>
    </row>
    <row r="235" ht="15" customHeight="1" s="195">
      <c r="A235" s="334" t="n"/>
      <c r="B235" s="334" t="n"/>
      <c r="C235" s="334" t="n"/>
      <c r="D235" s="334" t="n"/>
      <c r="E235" s="334" t="n"/>
      <c r="F235" s="334" t="n"/>
      <c r="G235" s="334" t="n"/>
      <c r="H235" s="334" t="n"/>
      <c r="I235" s="332">
        <f>IFERROR(VLOOKUP(TEXT(H235,"0"),IPRESS!$A$3:$B$212,2,0),"")</f>
        <v/>
      </c>
      <c r="J235" s="334" t="n"/>
      <c r="K235" s="332">
        <f>IFERROR(VLOOKUP(TEXT(O235,"0"),CONDUCTORES!$A$3:$G$54,7,0),"")</f>
        <v/>
      </c>
      <c r="L235" s="334" t="n"/>
      <c r="M235" s="334" t="n"/>
      <c r="N235" s="333">
        <f>IFERROR(IF(L235*M235=0,"",L235*M235),"")</f>
        <v/>
      </c>
      <c r="O235" s="334" t="n"/>
      <c r="P235" s="332">
        <f>IFERROR(VLOOKUP(TEXT(O235,"0"),CONDUCTORES!$A$3:$G$54,2,0),"")</f>
        <v/>
      </c>
      <c r="Q235" s="332">
        <f>IFERROR(VLOOKUP(TEXT(O235,"0"),CONDUCTORES!$A$3:$H$54,6,0),"")</f>
        <v/>
      </c>
      <c r="R235" s="334" t="n"/>
      <c r="S235" s="334" t="n"/>
      <c r="T235" s="334" t="n"/>
      <c r="U235" s="334" t="n"/>
      <c r="V235" s="334" t="n"/>
      <c r="W235" s="334" t="n"/>
      <c r="X235" s="334" t="n"/>
      <c r="Y235" s="334" t="n"/>
    </row>
    <row r="236" ht="15" customHeight="1" s="195">
      <c r="A236" s="280" t="n"/>
      <c r="B236" s="280" t="n"/>
      <c r="C236" s="280" t="n"/>
      <c r="D236" s="280" t="n"/>
      <c r="E236" s="280" t="n"/>
      <c r="F236" s="280" t="n"/>
      <c r="G236" s="280" t="n"/>
      <c r="H236" s="280" t="n"/>
      <c r="I236" s="332">
        <f>IFERROR(VLOOKUP(TEXT(H236,"0"),IPRESS!$A$3:$B$212,2,0),"")</f>
        <v/>
      </c>
      <c r="J236" s="280" t="n"/>
      <c r="K236" s="332">
        <f>IFERROR(VLOOKUP(TEXT(O236,"0"),CONDUCTORES!$A$3:$G$54,7,0),"")</f>
        <v/>
      </c>
      <c r="L236" s="280" t="n"/>
      <c r="M236" s="280" t="n"/>
      <c r="N236" s="333">
        <f>IFERROR(IF(L236*M236=0,"",L236*M236),"")</f>
        <v/>
      </c>
      <c r="O236" s="280" t="n"/>
      <c r="P236" s="332">
        <f>IFERROR(VLOOKUP(TEXT(O236,"0"),CONDUCTORES!$A$3:$G$54,2,0),"")</f>
        <v/>
      </c>
      <c r="Q236" s="332">
        <f>IFERROR(VLOOKUP(TEXT(O236,"0"),CONDUCTORES!$A$3:$H$54,6,0),"")</f>
        <v/>
      </c>
      <c r="R236" s="280" t="n"/>
      <c r="S236" s="280" t="n"/>
      <c r="T236" s="280" t="n"/>
      <c r="U236" s="280" t="n"/>
      <c r="V236" s="280" t="n"/>
      <c r="W236" s="280" t="n"/>
      <c r="X236" s="280" t="n"/>
      <c r="Y236" s="280" t="n"/>
    </row>
    <row r="237" ht="15" customHeight="1" s="195">
      <c r="A237" s="334" t="n"/>
      <c r="B237" s="334" t="n"/>
      <c r="C237" s="334" t="n"/>
      <c r="D237" s="334" t="n"/>
      <c r="E237" s="334" t="n"/>
      <c r="F237" s="334" t="n"/>
      <c r="G237" s="334" t="n"/>
      <c r="H237" s="334" t="n"/>
      <c r="I237" s="332">
        <f>IFERROR(VLOOKUP(TEXT(H237,"0"),IPRESS!$A$3:$B$212,2,0),"")</f>
        <v/>
      </c>
      <c r="J237" s="334" t="n"/>
      <c r="K237" s="332">
        <f>IFERROR(VLOOKUP(TEXT(O237,"0"),CONDUCTORES!$A$3:$G$54,7,0),"")</f>
        <v/>
      </c>
      <c r="L237" s="334" t="n"/>
      <c r="M237" s="334" t="n"/>
      <c r="N237" s="333">
        <f>IFERROR(IF(L237*M237=0,"",L237*M237),"")</f>
        <v/>
      </c>
      <c r="O237" s="334" t="n"/>
      <c r="P237" s="332">
        <f>IFERROR(VLOOKUP(TEXT(O237,"0"),CONDUCTORES!$A$3:$G$54,2,0),"")</f>
        <v/>
      </c>
      <c r="Q237" s="332">
        <f>IFERROR(VLOOKUP(TEXT(O237,"0"),CONDUCTORES!$A$3:$H$54,6,0),"")</f>
        <v/>
      </c>
      <c r="R237" s="334" t="n"/>
      <c r="S237" s="334" t="n"/>
      <c r="T237" s="334" t="n"/>
      <c r="U237" s="334" t="n"/>
      <c r="V237" s="334" t="n"/>
      <c r="W237" s="334" t="n"/>
      <c r="X237" s="334" t="n"/>
      <c r="Y237" s="334" t="n"/>
    </row>
    <row r="238" ht="15" customHeight="1" s="195">
      <c r="A238" s="280" t="n"/>
      <c r="B238" s="280" t="n"/>
      <c r="C238" s="280" t="n"/>
      <c r="D238" s="280" t="n"/>
      <c r="E238" s="280" t="n"/>
      <c r="F238" s="280" t="n"/>
      <c r="G238" s="280" t="n"/>
      <c r="H238" s="280" t="n"/>
      <c r="I238" s="332">
        <f>IFERROR(VLOOKUP(TEXT(H238,"0"),IPRESS!$A$3:$B$212,2,0),"")</f>
        <v/>
      </c>
      <c r="J238" s="280" t="n"/>
      <c r="K238" s="332">
        <f>IFERROR(VLOOKUP(TEXT(O238,"0"),CONDUCTORES!$A$3:$G$54,7,0),"")</f>
        <v/>
      </c>
      <c r="L238" s="280" t="n"/>
      <c r="M238" s="280" t="n"/>
      <c r="N238" s="333">
        <f>IFERROR(IF(L238*M238=0,"",L238*M238),"")</f>
        <v/>
      </c>
      <c r="O238" s="280" t="n"/>
      <c r="P238" s="332">
        <f>IFERROR(VLOOKUP(TEXT(O238,"0"),CONDUCTORES!$A$3:$G$54,2,0),"")</f>
        <v/>
      </c>
      <c r="Q238" s="332">
        <f>IFERROR(VLOOKUP(TEXT(O238,"0"),CONDUCTORES!$A$3:$H$54,6,0),"")</f>
        <v/>
      </c>
      <c r="R238" s="280" t="n"/>
      <c r="S238" s="280" t="n"/>
      <c r="T238" s="280" t="n"/>
      <c r="U238" s="280" t="n"/>
      <c r="V238" s="280" t="n"/>
      <c r="W238" s="280" t="n"/>
      <c r="X238" s="280" t="n"/>
      <c r="Y238" s="280" t="n"/>
    </row>
    <row r="239" ht="15" customHeight="1" s="195">
      <c r="A239" s="334" t="n"/>
      <c r="B239" s="334" t="n"/>
      <c r="C239" s="334" t="n"/>
      <c r="D239" s="334" t="n"/>
      <c r="E239" s="334" t="n"/>
      <c r="F239" s="334" t="n"/>
      <c r="G239" s="334" t="n"/>
      <c r="H239" s="334" t="n"/>
      <c r="I239" s="332">
        <f>IFERROR(VLOOKUP(TEXT(H239,"0"),IPRESS!$A$3:$B$212,2,0),"")</f>
        <v/>
      </c>
      <c r="J239" s="334" t="n"/>
      <c r="K239" s="332">
        <f>IFERROR(VLOOKUP(TEXT(O239,"0"),CONDUCTORES!$A$3:$G$54,7,0),"")</f>
        <v/>
      </c>
      <c r="L239" s="334" t="n"/>
      <c r="M239" s="334" t="n"/>
      <c r="N239" s="333">
        <f>IFERROR(IF(L239*M239=0,"",L239*M239),"")</f>
        <v/>
      </c>
      <c r="O239" s="334" t="n"/>
      <c r="P239" s="332">
        <f>IFERROR(VLOOKUP(TEXT(O239,"0"),CONDUCTORES!$A$3:$G$54,2,0),"")</f>
        <v/>
      </c>
      <c r="Q239" s="332">
        <f>IFERROR(VLOOKUP(TEXT(O239,"0"),CONDUCTORES!$A$3:$H$54,6,0),"")</f>
        <v/>
      </c>
      <c r="R239" s="334" t="n"/>
      <c r="S239" s="334" t="n"/>
      <c r="T239" s="334" t="n"/>
      <c r="U239" s="334" t="n"/>
      <c r="V239" s="334" t="n"/>
      <c r="W239" s="334" t="n"/>
      <c r="X239" s="334" t="n"/>
      <c r="Y239" s="334" t="n"/>
    </row>
    <row r="240" ht="15" customHeight="1" s="195">
      <c r="A240" s="280" t="n"/>
      <c r="B240" s="280" t="n"/>
      <c r="C240" s="280" t="n"/>
      <c r="D240" s="280" t="n"/>
      <c r="E240" s="280" t="n"/>
      <c r="F240" s="280" t="n"/>
      <c r="G240" s="280" t="n"/>
      <c r="H240" s="280" t="n"/>
      <c r="I240" s="332">
        <f>IFERROR(VLOOKUP(TEXT(H240,"0"),IPRESS!$A$3:$B$212,2,0),"")</f>
        <v/>
      </c>
      <c r="J240" s="280" t="n"/>
      <c r="K240" s="332">
        <f>IFERROR(VLOOKUP(TEXT(O240,"0"),CONDUCTORES!$A$3:$G$54,7,0),"")</f>
        <v/>
      </c>
      <c r="L240" s="280" t="n"/>
      <c r="M240" s="280" t="n"/>
      <c r="N240" s="333">
        <f>IFERROR(IF(L240*M240=0,"",L240*M240),"")</f>
        <v/>
      </c>
      <c r="O240" s="280" t="n"/>
      <c r="P240" s="332">
        <f>IFERROR(VLOOKUP(TEXT(O240,"0"),CONDUCTORES!$A$3:$G$54,2,0),"")</f>
        <v/>
      </c>
      <c r="Q240" s="332">
        <f>IFERROR(VLOOKUP(TEXT(O240,"0"),CONDUCTORES!$A$3:$H$54,6,0),"")</f>
        <v/>
      </c>
      <c r="R240" s="280" t="n"/>
      <c r="S240" s="280" t="n"/>
      <c r="T240" s="280" t="n"/>
      <c r="U240" s="280" t="n"/>
      <c r="V240" s="280" t="n"/>
      <c r="W240" s="280" t="n"/>
      <c r="X240" s="280" t="n"/>
      <c r="Y240" s="280" t="n"/>
    </row>
    <row r="241" ht="15" customHeight="1" s="195">
      <c r="A241" s="334" t="n"/>
      <c r="B241" s="334" t="n"/>
      <c r="C241" s="334" t="n"/>
      <c r="D241" s="334" t="n"/>
      <c r="E241" s="334" t="n"/>
      <c r="F241" s="334" t="n"/>
      <c r="G241" s="334" t="n"/>
      <c r="H241" s="334" t="n"/>
      <c r="I241" s="332">
        <f>IFERROR(VLOOKUP(TEXT(H241,"0"),IPRESS!$A$3:$B$212,2,0),"")</f>
        <v/>
      </c>
      <c r="J241" s="334" t="n"/>
      <c r="K241" s="332">
        <f>IFERROR(VLOOKUP(TEXT(O241,"0"),CONDUCTORES!$A$3:$G$54,7,0),"")</f>
        <v/>
      </c>
      <c r="L241" s="334" t="n"/>
      <c r="M241" s="334" t="n"/>
      <c r="N241" s="333">
        <f>IFERROR(IF(L241*M241=0,"",L241*M241),"")</f>
        <v/>
      </c>
      <c r="O241" s="334" t="n"/>
      <c r="P241" s="332">
        <f>IFERROR(VLOOKUP(TEXT(O241,"0"),CONDUCTORES!$A$3:$G$54,2,0),"")</f>
        <v/>
      </c>
      <c r="Q241" s="332">
        <f>IFERROR(VLOOKUP(TEXT(O241,"0"),CONDUCTORES!$A$3:$H$54,6,0),"")</f>
        <v/>
      </c>
      <c r="R241" s="334" t="n"/>
      <c r="S241" s="334" t="n"/>
      <c r="T241" s="334" t="n"/>
      <c r="U241" s="334" t="n"/>
      <c r="V241" s="334" t="n"/>
      <c r="W241" s="334" t="n"/>
      <c r="X241" s="334" t="n"/>
      <c r="Y241" s="334" t="n"/>
    </row>
    <row r="242" ht="15" customHeight="1" s="195">
      <c r="A242" s="280" t="n"/>
      <c r="B242" s="280" t="n"/>
      <c r="C242" s="280" t="n"/>
      <c r="D242" s="280" t="n"/>
      <c r="E242" s="280" t="n"/>
      <c r="F242" s="280" t="n"/>
      <c r="G242" s="280" t="n"/>
      <c r="H242" s="280" t="n"/>
      <c r="I242" s="332">
        <f>IFERROR(VLOOKUP(TEXT(H242,"0"),IPRESS!$A$3:$B$212,2,0),"")</f>
        <v/>
      </c>
      <c r="J242" s="280" t="n"/>
      <c r="K242" s="332">
        <f>IFERROR(VLOOKUP(TEXT(O242,"0"),CONDUCTORES!$A$3:$G$54,7,0),"")</f>
        <v/>
      </c>
      <c r="L242" s="280" t="n"/>
      <c r="M242" s="280" t="n"/>
      <c r="N242" s="333">
        <f>IFERROR(IF(L242*M242=0,"",L242*M242),"")</f>
        <v/>
      </c>
      <c r="O242" s="280" t="n"/>
      <c r="P242" s="332">
        <f>IFERROR(VLOOKUP(TEXT(O242,"0"),CONDUCTORES!$A$3:$G$54,2,0),"")</f>
        <v/>
      </c>
      <c r="Q242" s="332">
        <f>IFERROR(VLOOKUP(TEXT(O242,"0"),CONDUCTORES!$A$3:$H$54,6,0),"")</f>
        <v/>
      </c>
      <c r="R242" s="280" t="n"/>
      <c r="S242" s="280" t="n"/>
      <c r="T242" s="280" t="n"/>
      <c r="U242" s="280" t="n"/>
      <c r="V242" s="280" t="n"/>
      <c r="W242" s="280" t="n"/>
      <c r="X242" s="280" t="n"/>
      <c r="Y242" s="280" t="n"/>
    </row>
    <row r="243" ht="15" customHeight="1" s="195">
      <c r="A243" s="334" t="n"/>
      <c r="B243" s="334" t="n"/>
      <c r="C243" s="334" t="n"/>
      <c r="D243" s="334" t="n"/>
      <c r="E243" s="334" t="n"/>
      <c r="F243" s="334" t="n"/>
      <c r="G243" s="334" t="n"/>
      <c r="H243" s="334" t="n"/>
      <c r="I243" s="332">
        <f>IFERROR(VLOOKUP(TEXT(H243,"0"),IPRESS!$A$3:$B$212,2,0),"")</f>
        <v/>
      </c>
      <c r="J243" s="334" t="n"/>
      <c r="K243" s="332">
        <f>IFERROR(VLOOKUP(TEXT(O243,"0"),CONDUCTORES!$A$3:$G$54,7,0),"")</f>
        <v/>
      </c>
      <c r="L243" s="334" t="n"/>
      <c r="M243" s="334" t="n"/>
      <c r="N243" s="333">
        <f>IFERROR(IF(L243*M243=0,"",L243*M243),"")</f>
        <v/>
      </c>
      <c r="O243" s="334" t="n"/>
      <c r="P243" s="332">
        <f>IFERROR(VLOOKUP(TEXT(O243,"0"),CONDUCTORES!$A$3:$G$54,2,0),"")</f>
        <v/>
      </c>
      <c r="Q243" s="332">
        <f>IFERROR(VLOOKUP(TEXT(O243,"0"),CONDUCTORES!$A$3:$H$54,6,0),"")</f>
        <v/>
      </c>
      <c r="R243" s="334" t="n"/>
      <c r="S243" s="334" t="n"/>
      <c r="T243" s="334" t="n"/>
      <c r="U243" s="334" t="n"/>
      <c r="V243" s="334" t="n"/>
      <c r="W243" s="334" t="n"/>
      <c r="X243" s="334" t="n"/>
      <c r="Y243" s="334" t="n"/>
    </row>
    <row r="244" ht="15" customHeight="1" s="195">
      <c r="A244" s="280" t="n"/>
      <c r="B244" s="280" t="n"/>
      <c r="C244" s="280" t="n"/>
      <c r="D244" s="280" t="n"/>
      <c r="E244" s="280" t="n"/>
      <c r="F244" s="280" t="n"/>
      <c r="G244" s="280" t="n"/>
      <c r="H244" s="280" t="n"/>
      <c r="I244" s="332">
        <f>IFERROR(VLOOKUP(TEXT(H244,"0"),IPRESS!$A$3:$B$212,2,0),"")</f>
        <v/>
      </c>
      <c r="J244" s="280" t="n"/>
      <c r="K244" s="332">
        <f>IFERROR(VLOOKUP(TEXT(O244,"0"),CONDUCTORES!$A$3:$G$54,7,0),"")</f>
        <v/>
      </c>
      <c r="L244" s="280" t="n"/>
      <c r="M244" s="280" t="n"/>
      <c r="N244" s="333">
        <f>IFERROR(IF(L244*M244=0,"",L244*M244),"")</f>
        <v/>
      </c>
      <c r="O244" s="280" t="n"/>
      <c r="P244" s="332">
        <f>IFERROR(VLOOKUP(TEXT(O244,"0"),CONDUCTORES!$A$3:$G$54,2,0),"")</f>
        <v/>
      </c>
      <c r="Q244" s="332">
        <f>IFERROR(VLOOKUP(TEXT(O244,"0"),CONDUCTORES!$A$3:$H$54,6,0),"")</f>
        <v/>
      </c>
      <c r="R244" s="280" t="n"/>
      <c r="S244" s="280" t="n"/>
      <c r="T244" s="280" t="n"/>
      <c r="U244" s="280" t="n"/>
      <c r="V244" s="280" t="n"/>
      <c r="W244" s="280" t="n"/>
      <c r="X244" s="280" t="n"/>
      <c r="Y244" s="280" t="n"/>
    </row>
    <row r="245" ht="15" customHeight="1" s="195">
      <c r="A245" s="334" t="n"/>
      <c r="B245" s="334" t="n"/>
      <c r="C245" s="334" t="n"/>
      <c r="D245" s="334" t="n"/>
      <c r="E245" s="334" t="n"/>
      <c r="F245" s="334" t="n"/>
      <c r="G245" s="334" t="n"/>
      <c r="H245" s="334" t="n"/>
      <c r="I245" s="332">
        <f>IFERROR(VLOOKUP(TEXT(H245,"0"),IPRESS!$A$3:$B$212,2,0),"")</f>
        <v/>
      </c>
      <c r="J245" s="334" t="n"/>
      <c r="K245" s="332">
        <f>IFERROR(VLOOKUP(TEXT(O245,"0"),CONDUCTORES!$A$3:$G$54,7,0),"")</f>
        <v/>
      </c>
      <c r="L245" s="334" t="n"/>
      <c r="M245" s="334" t="n"/>
      <c r="N245" s="333">
        <f>IFERROR(IF(L245*M245=0,"",L245*M245),"")</f>
        <v/>
      </c>
      <c r="O245" s="334" t="n"/>
      <c r="P245" s="332">
        <f>IFERROR(VLOOKUP(TEXT(O245,"0"),CONDUCTORES!$A$3:$G$54,2,0),"")</f>
        <v/>
      </c>
      <c r="Q245" s="332">
        <f>IFERROR(VLOOKUP(TEXT(O245,"0"),CONDUCTORES!$A$3:$H$54,6,0),"")</f>
        <v/>
      </c>
      <c r="R245" s="334" t="n"/>
      <c r="S245" s="334" t="n"/>
      <c r="T245" s="334" t="n"/>
      <c r="U245" s="334" t="n"/>
      <c r="V245" s="334" t="n"/>
      <c r="W245" s="334" t="n"/>
      <c r="X245" s="334" t="n"/>
      <c r="Y245" s="334" t="n"/>
    </row>
    <row r="246" ht="15" customHeight="1" s="195">
      <c r="A246" s="280" t="n"/>
      <c r="B246" s="280" t="n"/>
      <c r="C246" s="280" t="n"/>
      <c r="D246" s="280" t="n"/>
      <c r="E246" s="280" t="n"/>
      <c r="F246" s="280" t="n"/>
      <c r="G246" s="280" t="n"/>
      <c r="H246" s="280" t="n"/>
      <c r="I246" s="332">
        <f>IFERROR(VLOOKUP(TEXT(H246,"0"),IPRESS!$A$3:$B$212,2,0),"")</f>
        <v/>
      </c>
      <c r="J246" s="280" t="n"/>
      <c r="K246" s="332">
        <f>IFERROR(VLOOKUP(TEXT(O246,"0"),CONDUCTORES!$A$3:$G$54,7,0),"")</f>
        <v/>
      </c>
      <c r="L246" s="280" t="n"/>
      <c r="M246" s="280" t="n"/>
      <c r="N246" s="333">
        <f>IFERROR(IF(L246*M246=0,"",L246*M246),"")</f>
        <v/>
      </c>
      <c r="O246" s="280" t="n"/>
      <c r="P246" s="332">
        <f>IFERROR(VLOOKUP(TEXT(O246,"0"),CONDUCTORES!$A$3:$G$54,2,0),"")</f>
        <v/>
      </c>
      <c r="Q246" s="332">
        <f>IFERROR(VLOOKUP(TEXT(O246,"0"),CONDUCTORES!$A$3:$H$54,6,0),"")</f>
        <v/>
      </c>
      <c r="R246" s="280" t="n"/>
      <c r="S246" s="280" t="n"/>
      <c r="T246" s="280" t="n"/>
      <c r="U246" s="280" t="n"/>
      <c r="V246" s="280" t="n"/>
      <c r="W246" s="280" t="n"/>
      <c r="X246" s="280" t="n"/>
      <c r="Y246" s="280" t="n"/>
    </row>
    <row r="247" ht="15" customHeight="1" s="195">
      <c r="A247" s="334" t="n"/>
      <c r="B247" s="334" t="n"/>
      <c r="C247" s="334" t="n"/>
      <c r="D247" s="334" t="n"/>
      <c r="E247" s="334" t="n"/>
      <c r="F247" s="334" t="n"/>
      <c r="G247" s="334" t="n"/>
      <c r="H247" s="334" t="n"/>
      <c r="I247" s="332">
        <f>IFERROR(VLOOKUP(TEXT(H247,"0"),IPRESS!$A$3:$B$212,2,0),"")</f>
        <v/>
      </c>
      <c r="J247" s="334" t="n"/>
      <c r="K247" s="332">
        <f>IFERROR(VLOOKUP(TEXT(O247,"0"),CONDUCTORES!$A$3:$G$54,7,0),"")</f>
        <v/>
      </c>
      <c r="L247" s="334" t="n"/>
      <c r="M247" s="334" t="n"/>
      <c r="N247" s="333">
        <f>IFERROR(IF(L247*M247=0,"",L247*M247),"")</f>
        <v/>
      </c>
      <c r="O247" s="334" t="n"/>
      <c r="P247" s="332">
        <f>IFERROR(VLOOKUP(TEXT(O247,"0"),CONDUCTORES!$A$3:$G$54,2,0),"")</f>
        <v/>
      </c>
      <c r="Q247" s="332">
        <f>IFERROR(VLOOKUP(TEXT(O247,"0"),CONDUCTORES!$A$3:$H$54,6,0),"")</f>
        <v/>
      </c>
      <c r="R247" s="334" t="n"/>
      <c r="S247" s="334" t="n"/>
      <c r="T247" s="334" t="n"/>
      <c r="U247" s="334" t="n"/>
      <c r="V247" s="334" t="n"/>
      <c r="W247" s="334" t="n"/>
      <c r="X247" s="334" t="n"/>
      <c r="Y247" s="334" t="n"/>
    </row>
    <row r="248" ht="15" customHeight="1" s="195">
      <c r="A248" s="280" t="n"/>
      <c r="B248" s="280" t="n"/>
      <c r="C248" s="280" t="n"/>
      <c r="D248" s="280" t="n"/>
      <c r="E248" s="280" t="n"/>
      <c r="F248" s="280" t="n"/>
      <c r="G248" s="280" t="n"/>
      <c r="H248" s="280" t="n"/>
      <c r="I248" s="332">
        <f>IFERROR(VLOOKUP(TEXT(H248,"0"),IPRESS!$A$3:$B$212,2,0),"")</f>
        <v/>
      </c>
      <c r="J248" s="280" t="n"/>
      <c r="K248" s="332">
        <f>IFERROR(VLOOKUP(TEXT(O248,"0"),CONDUCTORES!$A$3:$G$54,7,0),"")</f>
        <v/>
      </c>
      <c r="L248" s="280" t="n"/>
      <c r="M248" s="280" t="n"/>
      <c r="N248" s="333">
        <f>IFERROR(IF(L248*M248=0,"",L248*M248),"")</f>
        <v/>
      </c>
      <c r="O248" s="280" t="n"/>
      <c r="P248" s="332">
        <f>IFERROR(VLOOKUP(TEXT(O248,"0"),CONDUCTORES!$A$3:$G$54,2,0),"")</f>
        <v/>
      </c>
      <c r="Q248" s="332">
        <f>IFERROR(VLOOKUP(TEXT(O248,"0"),CONDUCTORES!$A$3:$H$54,6,0),"")</f>
        <v/>
      </c>
      <c r="R248" s="280" t="n"/>
      <c r="S248" s="280" t="n"/>
      <c r="T248" s="280" t="n"/>
      <c r="U248" s="280" t="n"/>
      <c r="V248" s="280" t="n"/>
      <c r="W248" s="280" t="n"/>
      <c r="X248" s="280" t="n"/>
      <c r="Y248" s="280" t="n"/>
    </row>
    <row r="249" ht="15" customHeight="1" s="195">
      <c r="A249" s="334" t="n"/>
      <c r="B249" s="334" t="n"/>
      <c r="C249" s="334" t="n"/>
      <c r="D249" s="334" t="n"/>
      <c r="E249" s="334" t="n"/>
      <c r="F249" s="334" t="n"/>
      <c r="G249" s="334" t="n"/>
      <c r="H249" s="334" t="n"/>
      <c r="I249" s="332">
        <f>IFERROR(VLOOKUP(TEXT(H249,"0"),IPRESS!$A$3:$B$212,2,0),"")</f>
        <v/>
      </c>
      <c r="J249" s="334" t="n"/>
      <c r="K249" s="332">
        <f>IFERROR(VLOOKUP(TEXT(O249,"0"),CONDUCTORES!$A$3:$G$54,7,0),"")</f>
        <v/>
      </c>
      <c r="L249" s="334" t="n"/>
      <c r="M249" s="334" t="n"/>
      <c r="N249" s="333">
        <f>IFERROR(IF(L249*M249=0,"",L249*M249),"")</f>
        <v/>
      </c>
      <c r="O249" s="334" t="n"/>
      <c r="P249" s="332">
        <f>IFERROR(VLOOKUP(TEXT(O249,"0"),CONDUCTORES!$A$3:$G$54,2,0),"")</f>
        <v/>
      </c>
      <c r="Q249" s="332">
        <f>IFERROR(VLOOKUP(TEXT(O249,"0"),CONDUCTORES!$A$3:$H$54,6,0),"")</f>
        <v/>
      </c>
      <c r="R249" s="334" t="n"/>
      <c r="S249" s="334" t="n"/>
      <c r="T249" s="334" t="n"/>
      <c r="U249" s="334" t="n"/>
      <c r="V249" s="334" t="n"/>
      <c r="W249" s="334" t="n"/>
      <c r="X249" s="334" t="n"/>
      <c r="Y249" s="334" t="n"/>
    </row>
    <row r="250" ht="15" customHeight="1" s="195">
      <c r="A250" s="280" t="n"/>
      <c r="B250" s="280" t="n"/>
      <c r="C250" s="280" t="n"/>
      <c r="D250" s="280" t="n"/>
      <c r="E250" s="280" t="n"/>
      <c r="F250" s="280" t="n"/>
      <c r="G250" s="280" t="n"/>
      <c r="H250" s="280" t="n"/>
      <c r="I250" s="332">
        <f>IFERROR(VLOOKUP(TEXT(H250,"0"),IPRESS!$A$3:$B$212,2,0),"")</f>
        <v/>
      </c>
      <c r="J250" s="280" t="n"/>
      <c r="K250" s="332">
        <f>IFERROR(VLOOKUP(TEXT(O250,"0"),CONDUCTORES!$A$3:$G$54,7,0),"")</f>
        <v/>
      </c>
      <c r="L250" s="280" t="n"/>
      <c r="M250" s="280" t="n"/>
      <c r="N250" s="333">
        <f>IFERROR(IF(L250*M250=0,"",L250*M250),"")</f>
        <v/>
      </c>
      <c r="O250" s="280" t="n"/>
      <c r="P250" s="332">
        <f>IFERROR(VLOOKUP(TEXT(O250,"0"),CONDUCTORES!$A$3:$G$54,2,0),"")</f>
        <v/>
      </c>
      <c r="Q250" s="332">
        <f>IFERROR(VLOOKUP(TEXT(O250,"0"),CONDUCTORES!$A$3:$H$54,6,0),"")</f>
        <v/>
      </c>
      <c r="R250" s="280" t="n"/>
      <c r="S250" s="280" t="n"/>
      <c r="T250" s="280" t="n"/>
      <c r="U250" s="280" t="n"/>
      <c r="V250" s="280" t="n"/>
      <c r="W250" s="280" t="n"/>
      <c r="X250" s="280" t="n"/>
      <c r="Y250" s="280" t="n"/>
    </row>
    <row r="251" ht="15" customHeight="1" s="195">
      <c r="A251" s="334" t="n"/>
      <c r="B251" s="334" t="n"/>
      <c r="C251" s="334" t="n"/>
      <c r="D251" s="334" t="n"/>
      <c r="E251" s="334" t="n"/>
      <c r="F251" s="334" t="n"/>
      <c r="G251" s="334" t="n"/>
      <c r="H251" s="334" t="n"/>
      <c r="I251" s="332">
        <f>IFERROR(VLOOKUP(TEXT(H251,"0"),IPRESS!$A$3:$B$212,2,0),"")</f>
        <v/>
      </c>
      <c r="J251" s="334" t="n"/>
      <c r="K251" s="332">
        <f>IFERROR(VLOOKUP(TEXT(O251,"0"),CONDUCTORES!$A$3:$G$54,7,0),"")</f>
        <v/>
      </c>
      <c r="L251" s="334" t="n"/>
      <c r="M251" s="334" t="n"/>
      <c r="N251" s="333">
        <f>IFERROR(IF(L251*M251=0,"",L251*M251),"")</f>
        <v/>
      </c>
      <c r="O251" s="334" t="n"/>
      <c r="P251" s="332">
        <f>IFERROR(VLOOKUP(TEXT(O251,"0"),CONDUCTORES!$A$3:$G$54,2,0),"")</f>
        <v/>
      </c>
      <c r="Q251" s="332">
        <f>IFERROR(VLOOKUP(TEXT(O251,"0"),CONDUCTORES!$A$3:$H$54,6,0),"")</f>
        <v/>
      </c>
      <c r="R251" s="334" t="n"/>
      <c r="S251" s="334" t="n"/>
      <c r="T251" s="334" t="n"/>
      <c r="U251" s="334" t="n"/>
      <c r="V251" s="334" t="n"/>
      <c r="W251" s="334" t="n"/>
      <c r="X251" s="334" t="n"/>
      <c r="Y251" s="334" t="n"/>
    </row>
    <row r="252" ht="15" customHeight="1" s="195">
      <c r="A252" s="280" t="n"/>
      <c r="B252" s="280" t="n"/>
      <c r="C252" s="280" t="n"/>
      <c r="D252" s="280" t="n"/>
      <c r="E252" s="280" t="n"/>
      <c r="F252" s="280" t="n"/>
      <c r="G252" s="280" t="n"/>
      <c r="H252" s="280" t="n"/>
      <c r="I252" s="332">
        <f>IFERROR(VLOOKUP(TEXT(H252,"0"),IPRESS!$A$3:$B$212,2,0),"")</f>
        <v/>
      </c>
      <c r="J252" s="280" t="n"/>
      <c r="K252" s="332">
        <f>IFERROR(VLOOKUP(TEXT(O252,"0"),CONDUCTORES!$A$3:$G$54,7,0),"")</f>
        <v/>
      </c>
      <c r="L252" s="280" t="n"/>
      <c r="M252" s="280" t="n"/>
      <c r="N252" s="333">
        <f>IFERROR(IF(L252*M252=0,"",L252*M252),"")</f>
        <v/>
      </c>
      <c r="O252" s="280" t="n"/>
      <c r="P252" s="332">
        <f>IFERROR(VLOOKUP(TEXT(O252,"0"),CONDUCTORES!$A$3:$G$54,2,0),"")</f>
        <v/>
      </c>
      <c r="Q252" s="332">
        <f>IFERROR(VLOOKUP(TEXT(O252,"0"),CONDUCTORES!$A$3:$H$54,6,0),"")</f>
        <v/>
      </c>
      <c r="R252" s="280" t="n"/>
      <c r="S252" s="280" t="n"/>
      <c r="T252" s="280" t="n"/>
      <c r="U252" s="280" t="n"/>
      <c r="V252" s="280" t="n"/>
      <c r="W252" s="280" t="n"/>
      <c r="X252" s="280" t="n"/>
      <c r="Y252" s="280" t="n"/>
    </row>
    <row r="253" ht="15" customHeight="1" s="195">
      <c r="A253" s="334" t="n"/>
      <c r="B253" s="334" t="n"/>
      <c r="C253" s="334" t="n"/>
      <c r="D253" s="334" t="n"/>
      <c r="E253" s="334" t="n"/>
      <c r="F253" s="334" t="n"/>
      <c r="G253" s="334" t="n"/>
      <c r="H253" s="334" t="n"/>
      <c r="I253" s="332">
        <f>IFERROR(VLOOKUP(TEXT(H253,"0"),IPRESS!$A$3:$B$212,2,0),"")</f>
        <v/>
      </c>
      <c r="J253" s="334" t="n"/>
      <c r="K253" s="332">
        <f>IFERROR(VLOOKUP(TEXT(O253,"0"),CONDUCTORES!$A$3:$G$54,7,0),"")</f>
        <v/>
      </c>
      <c r="L253" s="334" t="n"/>
      <c r="M253" s="334" t="n"/>
      <c r="N253" s="333">
        <f>IFERROR(IF(L253*M253=0,"",L253*M253),"")</f>
        <v/>
      </c>
      <c r="O253" s="334" t="n"/>
      <c r="P253" s="332">
        <f>IFERROR(VLOOKUP(TEXT(O253,"0"),CONDUCTORES!$A$3:$G$54,2,0),"")</f>
        <v/>
      </c>
      <c r="Q253" s="332">
        <f>IFERROR(VLOOKUP(TEXT(O253,"0"),CONDUCTORES!$A$3:$H$54,6,0),"")</f>
        <v/>
      </c>
      <c r="R253" s="334" t="n"/>
      <c r="S253" s="334" t="n"/>
      <c r="T253" s="334" t="n"/>
      <c r="U253" s="334" t="n"/>
      <c r="V253" s="334" t="n"/>
      <c r="W253" s="334" t="n"/>
      <c r="X253" s="334" t="n"/>
      <c r="Y253" s="334" t="n"/>
    </row>
    <row r="254" ht="15" customHeight="1" s="195">
      <c r="A254" s="280" t="n"/>
      <c r="B254" s="280" t="n"/>
      <c r="C254" s="280" t="n"/>
      <c r="D254" s="280" t="n"/>
      <c r="E254" s="280" t="n"/>
      <c r="F254" s="280" t="n"/>
      <c r="G254" s="280" t="n"/>
      <c r="H254" s="280" t="n"/>
      <c r="I254" s="332">
        <f>IFERROR(VLOOKUP(TEXT(H254,"0"),IPRESS!$A$3:$B$212,2,0),"")</f>
        <v/>
      </c>
      <c r="J254" s="280" t="n"/>
      <c r="K254" s="332">
        <f>IFERROR(VLOOKUP(TEXT(O254,"0"),CONDUCTORES!$A$3:$G$54,7,0),"")</f>
        <v/>
      </c>
      <c r="L254" s="280" t="n"/>
      <c r="M254" s="280" t="n"/>
      <c r="N254" s="333">
        <f>IFERROR(IF(L254*M254=0,"",L254*M254),"")</f>
        <v/>
      </c>
      <c r="O254" s="280" t="n"/>
      <c r="P254" s="332">
        <f>IFERROR(VLOOKUP(TEXT(O254,"0"),CONDUCTORES!$A$3:$G$54,2,0),"")</f>
        <v/>
      </c>
      <c r="Q254" s="332">
        <f>IFERROR(VLOOKUP(TEXT(O254,"0"),CONDUCTORES!$A$3:$H$54,6,0),"")</f>
        <v/>
      </c>
      <c r="R254" s="280" t="n"/>
      <c r="S254" s="280" t="n"/>
      <c r="T254" s="280" t="n"/>
      <c r="U254" s="280" t="n"/>
      <c r="V254" s="280" t="n"/>
      <c r="W254" s="280" t="n"/>
      <c r="X254" s="280" t="n"/>
      <c r="Y254" s="280" t="n"/>
    </row>
    <row r="255" ht="15" customHeight="1" s="195">
      <c r="A255" s="334" t="n"/>
      <c r="B255" s="334" t="n"/>
      <c r="C255" s="334" t="n"/>
      <c r="D255" s="334" t="n"/>
      <c r="E255" s="334" t="n"/>
      <c r="F255" s="334" t="n"/>
      <c r="G255" s="334" t="n"/>
      <c r="H255" s="334" t="n"/>
      <c r="I255" s="332">
        <f>IFERROR(VLOOKUP(TEXT(H255,"0"),IPRESS!$A$3:$B$212,2,0),"")</f>
        <v/>
      </c>
      <c r="J255" s="334" t="n"/>
      <c r="K255" s="332">
        <f>IFERROR(VLOOKUP(TEXT(O255,"0"),CONDUCTORES!$A$3:$G$54,7,0),"")</f>
        <v/>
      </c>
      <c r="L255" s="334" t="n"/>
      <c r="M255" s="334" t="n"/>
      <c r="N255" s="333">
        <f>IFERROR(IF(L255*M255=0,"",L255*M255),"")</f>
        <v/>
      </c>
      <c r="O255" s="334" t="n"/>
      <c r="P255" s="332">
        <f>IFERROR(VLOOKUP(TEXT(O255,"0"),CONDUCTORES!$A$3:$G$54,2,0),"")</f>
        <v/>
      </c>
      <c r="Q255" s="332">
        <f>IFERROR(VLOOKUP(TEXT(O255,"0"),CONDUCTORES!$A$3:$H$54,6,0),"")</f>
        <v/>
      </c>
      <c r="R255" s="334" t="n"/>
      <c r="S255" s="334" t="n"/>
      <c r="T255" s="334" t="n"/>
      <c r="U255" s="334" t="n"/>
      <c r="V255" s="334" t="n"/>
      <c r="W255" s="334" t="n"/>
      <c r="X255" s="334" t="n"/>
      <c r="Y255" s="334" t="n"/>
    </row>
    <row r="256" ht="15" customHeight="1" s="195">
      <c r="A256" s="280" t="n"/>
      <c r="B256" s="280" t="n"/>
      <c r="C256" s="280" t="n"/>
      <c r="D256" s="280" t="n"/>
      <c r="E256" s="280" t="n"/>
      <c r="F256" s="280" t="n"/>
      <c r="G256" s="280" t="n"/>
      <c r="H256" s="280" t="n"/>
      <c r="I256" s="332">
        <f>IFERROR(VLOOKUP(TEXT(H256,"0"),IPRESS!$A$3:$B$212,2,0),"")</f>
        <v/>
      </c>
      <c r="J256" s="280" t="n"/>
      <c r="K256" s="332">
        <f>IFERROR(VLOOKUP(TEXT(O256,"0"),CONDUCTORES!$A$3:$G$54,7,0),"")</f>
        <v/>
      </c>
      <c r="L256" s="280" t="n"/>
      <c r="M256" s="280" t="n"/>
      <c r="N256" s="333">
        <f>IFERROR(IF(L256*M256=0,"",L256*M256),"")</f>
        <v/>
      </c>
      <c r="O256" s="280" t="n"/>
      <c r="P256" s="332">
        <f>IFERROR(VLOOKUP(TEXT(O256,"0"),CONDUCTORES!$A$3:$G$54,2,0),"")</f>
        <v/>
      </c>
      <c r="Q256" s="332">
        <f>IFERROR(VLOOKUP(TEXT(O256,"0"),CONDUCTORES!$A$3:$H$54,6,0),"")</f>
        <v/>
      </c>
      <c r="R256" s="280" t="n"/>
      <c r="S256" s="280" t="n"/>
      <c r="T256" s="280" t="n"/>
      <c r="U256" s="280" t="n"/>
      <c r="V256" s="280" t="n"/>
      <c r="W256" s="280" t="n"/>
      <c r="X256" s="280" t="n"/>
      <c r="Y256" s="280" t="n"/>
    </row>
    <row r="257" ht="15" customHeight="1" s="195">
      <c r="A257" s="334" t="n"/>
      <c r="B257" s="334" t="n"/>
      <c r="C257" s="334" t="n"/>
      <c r="D257" s="334" t="n"/>
      <c r="E257" s="334" t="n"/>
      <c r="F257" s="334" t="n"/>
      <c r="G257" s="334" t="n"/>
      <c r="H257" s="334" t="n"/>
      <c r="I257" s="332">
        <f>IFERROR(VLOOKUP(TEXT(H257,"0"),IPRESS!$A$3:$B$212,2,0),"")</f>
        <v/>
      </c>
      <c r="J257" s="334" t="n"/>
      <c r="K257" s="332">
        <f>IFERROR(VLOOKUP(TEXT(O257,"0"),CONDUCTORES!$A$3:$G$54,7,0),"")</f>
        <v/>
      </c>
      <c r="L257" s="334" t="n"/>
      <c r="M257" s="334" t="n"/>
      <c r="N257" s="333">
        <f>IFERROR(IF(L257*M257=0,"",L257*M257),"")</f>
        <v/>
      </c>
      <c r="O257" s="334" t="n"/>
      <c r="P257" s="332">
        <f>IFERROR(VLOOKUP(TEXT(O257,"0"),CONDUCTORES!$A$3:$G$54,2,0),"")</f>
        <v/>
      </c>
      <c r="Q257" s="332">
        <f>IFERROR(VLOOKUP(TEXT(O257,"0"),CONDUCTORES!$A$3:$H$54,6,0),"")</f>
        <v/>
      </c>
      <c r="R257" s="334" t="n"/>
      <c r="S257" s="334" t="n"/>
      <c r="T257" s="334" t="n"/>
      <c r="U257" s="334" t="n"/>
      <c r="V257" s="334" t="n"/>
      <c r="W257" s="334" t="n"/>
      <c r="X257" s="334" t="n"/>
      <c r="Y257" s="334" t="n"/>
    </row>
    <row r="258" ht="15" customHeight="1" s="195">
      <c r="A258" s="280" t="n"/>
      <c r="B258" s="280" t="n"/>
      <c r="C258" s="280" t="n"/>
      <c r="D258" s="280" t="n"/>
      <c r="E258" s="280" t="n"/>
      <c r="F258" s="280" t="n"/>
      <c r="G258" s="280" t="n"/>
      <c r="H258" s="280" t="n"/>
      <c r="I258" s="332">
        <f>IFERROR(VLOOKUP(TEXT(H258,"0"),IPRESS!$A$3:$B$212,2,0),"")</f>
        <v/>
      </c>
      <c r="J258" s="280" t="n"/>
      <c r="K258" s="332">
        <f>IFERROR(VLOOKUP(TEXT(O258,"0"),CONDUCTORES!$A$3:$G$54,7,0),"")</f>
        <v/>
      </c>
      <c r="L258" s="280" t="n"/>
      <c r="M258" s="280" t="n"/>
      <c r="N258" s="333">
        <f>IFERROR(IF(L258*M258=0,"",L258*M258),"")</f>
        <v/>
      </c>
      <c r="O258" s="280" t="n"/>
      <c r="P258" s="332">
        <f>IFERROR(VLOOKUP(TEXT(O258,"0"),CONDUCTORES!$A$3:$G$54,2,0),"")</f>
        <v/>
      </c>
      <c r="Q258" s="332">
        <f>IFERROR(VLOOKUP(TEXT(O258,"0"),CONDUCTORES!$A$3:$H$54,6,0),"")</f>
        <v/>
      </c>
      <c r="R258" s="280" t="n"/>
      <c r="S258" s="280" t="n"/>
      <c r="T258" s="280" t="n"/>
      <c r="U258" s="280" t="n"/>
      <c r="V258" s="280" t="n"/>
      <c r="W258" s="280" t="n"/>
      <c r="X258" s="280" t="n"/>
      <c r="Y258" s="280" t="n"/>
    </row>
    <row r="259" ht="15" customHeight="1" s="195">
      <c r="A259" s="334" t="n"/>
      <c r="B259" s="334" t="n"/>
      <c r="C259" s="334" t="n"/>
      <c r="D259" s="334" t="n"/>
      <c r="E259" s="334" t="n"/>
      <c r="F259" s="334" t="n"/>
      <c r="G259" s="334" t="n"/>
      <c r="H259" s="334" t="n"/>
      <c r="I259" s="332">
        <f>IFERROR(VLOOKUP(TEXT(H259,"0"),IPRESS!$A$3:$B$212,2,0),"")</f>
        <v/>
      </c>
      <c r="J259" s="334" t="n"/>
      <c r="K259" s="332">
        <f>IFERROR(VLOOKUP(TEXT(O259,"0"),CONDUCTORES!$A$3:$G$54,7,0),"")</f>
        <v/>
      </c>
      <c r="L259" s="334" t="n"/>
      <c r="M259" s="334" t="n"/>
      <c r="N259" s="333">
        <f>IFERROR(IF(L259*M259=0,"",L259*M259),"")</f>
        <v/>
      </c>
      <c r="O259" s="334" t="n"/>
      <c r="P259" s="332">
        <f>IFERROR(VLOOKUP(TEXT(O259,"0"),CONDUCTORES!$A$3:$G$54,2,0),"")</f>
        <v/>
      </c>
      <c r="Q259" s="332">
        <f>IFERROR(VLOOKUP(TEXT(O259,"0"),CONDUCTORES!$A$3:$H$54,6,0),"")</f>
        <v/>
      </c>
      <c r="R259" s="334" t="n"/>
      <c r="S259" s="334" t="n"/>
      <c r="T259" s="334" t="n"/>
      <c r="U259" s="334" t="n"/>
      <c r="V259" s="334" t="n"/>
      <c r="W259" s="334" t="n"/>
      <c r="X259" s="334" t="n"/>
      <c r="Y259" s="334" t="n"/>
    </row>
    <row r="260" ht="15" customHeight="1" s="195">
      <c r="A260" s="280" t="n"/>
      <c r="B260" s="280" t="n"/>
      <c r="C260" s="280" t="n"/>
      <c r="D260" s="280" t="n"/>
      <c r="E260" s="280" t="n"/>
      <c r="F260" s="280" t="n"/>
      <c r="G260" s="280" t="n"/>
      <c r="H260" s="280" t="n"/>
      <c r="I260" s="332">
        <f>IFERROR(VLOOKUP(TEXT(H260,"0"),IPRESS!$A$3:$B$212,2,0),"")</f>
        <v/>
      </c>
      <c r="J260" s="280" t="n"/>
      <c r="K260" s="332">
        <f>IFERROR(VLOOKUP(TEXT(O260,"0"),CONDUCTORES!$A$3:$G$54,7,0),"")</f>
        <v/>
      </c>
      <c r="L260" s="280" t="n"/>
      <c r="M260" s="280" t="n"/>
      <c r="N260" s="333">
        <f>IFERROR(IF(L260*M260=0,"",L260*M260),"")</f>
        <v/>
      </c>
      <c r="O260" s="280" t="n"/>
      <c r="P260" s="332">
        <f>IFERROR(VLOOKUP(TEXT(O260,"0"),CONDUCTORES!$A$3:$G$54,2,0),"")</f>
        <v/>
      </c>
      <c r="Q260" s="332">
        <f>IFERROR(VLOOKUP(TEXT(O260,"0"),CONDUCTORES!$A$3:$H$54,6,0),"")</f>
        <v/>
      </c>
      <c r="R260" s="280" t="n"/>
      <c r="S260" s="280" t="n"/>
      <c r="T260" s="280" t="n"/>
      <c r="U260" s="280" t="n"/>
      <c r="V260" s="280" t="n"/>
      <c r="W260" s="280" t="n"/>
      <c r="X260" s="280" t="n"/>
      <c r="Y260" s="280" t="n"/>
    </row>
    <row r="261" ht="15" customHeight="1" s="195">
      <c r="A261" s="334" t="n"/>
      <c r="B261" s="334" t="n"/>
      <c r="C261" s="334" t="n"/>
      <c r="D261" s="334" t="n"/>
      <c r="E261" s="334" t="n"/>
      <c r="F261" s="334" t="n"/>
      <c r="G261" s="334" t="n"/>
      <c r="H261" s="334" t="n"/>
      <c r="I261" s="332">
        <f>IFERROR(VLOOKUP(TEXT(H261,"0"),IPRESS!$A$3:$B$212,2,0),"")</f>
        <v/>
      </c>
      <c r="J261" s="334" t="n"/>
      <c r="K261" s="332">
        <f>IFERROR(VLOOKUP(TEXT(O261,"0"),CONDUCTORES!$A$3:$G$54,7,0),"")</f>
        <v/>
      </c>
      <c r="L261" s="334" t="n"/>
      <c r="M261" s="334" t="n"/>
      <c r="N261" s="333">
        <f>IFERROR(IF(L261*M261=0,"",L261*M261),"")</f>
        <v/>
      </c>
      <c r="O261" s="334" t="n"/>
      <c r="P261" s="332">
        <f>IFERROR(VLOOKUP(TEXT(O261,"0"),CONDUCTORES!$A$3:$G$54,2,0),"")</f>
        <v/>
      </c>
      <c r="Q261" s="332">
        <f>IFERROR(VLOOKUP(TEXT(O261,"0"),CONDUCTORES!$A$3:$H$54,6,0),"")</f>
        <v/>
      </c>
      <c r="R261" s="334" t="n"/>
      <c r="S261" s="334" t="n"/>
      <c r="T261" s="334" t="n"/>
      <c r="U261" s="334" t="n"/>
      <c r="V261" s="334" t="n"/>
      <c r="W261" s="334" t="n"/>
      <c r="X261" s="334" t="n"/>
      <c r="Y261" s="334" t="n"/>
    </row>
    <row r="262" ht="15" customHeight="1" s="195">
      <c r="A262" s="280" t="n"/>
      <c r="B262" s="280" t="n"/>
      <c r="C262" s="280" t="n"/>
      <c r="D262" s="280" t="n"/>
      <c r="E262" s="280" t="n"/>
      <c r="F262" s="280" t="n"/>
      <c r="G262" s="280" t="n"/>
      <c r="H262" s="280" t="n"/>
      <c r="I262" s="332">
        <f>IFERROR(VLOOKUP(TEXT(H262,"0"),IPRESS!$A$3:$B$212,2,0),"")</f>
        <v/>
      </c>
      <c r="J262" s="280" t="n"/>
      <c r="K262" s="332">
        <f>IFERROR(VLOOKUP(TEXT(O262,"0"),CONDUCTORES!$A$3:$G$54,7,0),"")</f>
        <v/>
      </c>
      <c r="L262" s="280" t="n"/>
      <c r="M262" s="280" t="n"/>
      <c r="N262" s="333">
        <f>IFERROR(IF(L262*M262=0,"",L262*M262),"")</f>
        <v/>
      </c>
      <c r="O262" s="280" t="n"/>
      <c r="P262" s="332">
        <f>IFERROR(VLOOKUP(TEXT(O262,"0"),CONDUCTORES!$A$3:$G$54,2,0),"")</f>
        <v/>
      </c>
      <c r="Q262" s="332">
        <f>IFERROR(VLOOKUP(TEXT(O262,"0"),CONDUCTORES!$A$3:$H$54,6,0),"")</f>
        <v/>
      </c>
      <c r="R262" s="280" t="n"/>
      <c r="S262" s="280" t="n"/>
      <c r="T262" s="280" t="n"/>
      <c r="U262" s="280" t="n"/>
      <c r="V262" s="280" t="n"/>
      <c r="W262" s="280" t="n"/>
      <c r="X262" s="280" t="n"/>
      <c r="Y262" s="280" t="n"/>
    </row>
    <row r="263" ht="15" customHeight="1" s="195">
      <c r="A263" s="334" t="n"/>
      <c r="B263" s="334" t="n"/>
      <c r="C263" s="334" t="n"/>
      <c r="D263" s="334" t="n"/>
      <c r="E263" s="334" t="n"/>
      <c r="F263" s="334" t="n"/>
      <c r="G263" s="334" t="n"/>
      <c r="H263" s="334" t="n"/>
      <c r="I263" s="332">
        <f>IFERROR(VLOOKUP(TEXT(H263,"0"),IPRESS!$A$3:$B$212,2,0),"")</f>
        <v/>
      </c>
      <c r="J263" s="334" t="n"/>
      <c r="K263" s="332">
        <f>IFERROR(VLOOKUP(TEXT(O263,"0"),CONDUCTORES!$A$3:$G$54,7,0),"")</f>
        <v/>
      </c>
      <c r="L263" s="334" t="n"/>
      <c r="M263" s="334" t="n"/>
      <c r="N263" s="333">
        <f>IFERROR(IF(L263*M263=0,"",L263*M263),"")</f>
        <v/>
      </c>
      <c r="O263" s="334" t="n"/>
      <c r="P263" s="332">
        <f>IFERROR(VLOOKUP(TEXT(O263,"0"),CONDUCTORES!$A$3:$G$54,2,0),"")</f>
        <v/>
      </c>
      <c r="Q263" s="332">
        <f>IFERROR(VLOOKUP(TEXT(O263,"0"),CONDUCTORES!$A$3:$H$54,6,0),"")</f>
        <v/>
      </c>
      <c r="R263" s="334" t="n"/>
      <c r="S263" s="334" t="n"/>
      <c r="T263" s="334" t="n"/>
      <c r="U263" s="334" t="n"/>
      <c r="V263" s="334" t="n"/>
      <c r="W263" s="334" t="n"/>
      <c r="X263" s="334" t="n"/>
      <c r="Y263" s="334" t="n"/>
    </row>
    <row r="264" ht="15" customHeight="1" s="195">
      <c r="A264" s="280" t="n"/>
      <c r="B264" s="280" t="n"/>
      <c r="C264" s="280" t="n"/>
      <c r="D264" s="280" t="n"/>
      <c r="E264" s="280" t="n"/>
      <c r="F264" s="280" t="n"/>
      <c r="G264" s="280" t="n"/>
      <c r="H264" s="280" t="n"/>
      <c r="I264" s="332">
        <f>IFERROR(VLOOKUP(TEXT(H264,"0"),IPRESS!$A$3:$B$212,2,0),"")</f>
        <v/>
      </c>
      <c r="J264" s="280" t="n"/>
      <c r="K264" s="332">
        <f>IFERROR(VLOOKUP(TEXT(O264,"0"),CONDUCTORES!$A$3:$G$54,7,0),"")</f>
        <v/>
      </c>
      <c r="L264" s="280" t="n"/>
      <c r="M264" s="280" t="n"/>
      <c r="N264" s="333">
        <f>IFERROR(IF(L264*M264=0,"",L264*M264),"")</f>
        <v/>
      </c>
      <c r="O264" s="280" t="n"/>
      <c r="P264" s="332">
        <f>IFERROR(VLOOKUP(TEXT(O264,"0"),CONDUCTORES!$A$3:$G$54,2,0),"")</f>
        <v/>
      </c>
      <c r="Q264" s="332">
        <f>IFERROR(VLOOKUP(TEXT(O264,"0"),CONDUCTORES!$A$3:$H$54,6,0),"")</f>
        <v/>
      </c>
      <c r="R264" s="280" t="n"/>
      <c r="S264" s="280" t="n"/>
      <c r="T264" s="280" t="n"/>
      <c r="U264" s="280" t="n"/>
      <c r="V264" s="280" t="n"/>
      <c r="W264" s="280" t="n"/>
      <c r="X264" s="280" t="n"/>
      <c r="Y264" s="280" t="n"/>
    </row>
    <row r="265" ht="15" customHeight="1" s="195">
      <c r="A265" s="334" t="n"/>
      <c r="B265" s="334" t="n"/>
      <c r="C265" s="334" t="n"/>
      <c r="D265" s="334" t="n"/>
      <c r="E265" s="334" t="n"/>
      <c r="F265" s="334" t="n"/>
      <c r="G265" s="334" t="n"/>
      <c r="H265" s="334" t="n"/>
      <c r="I265" s="332">
        <f>IFERROR(VLOOKUP(TEXT(H265,"0"),IPRESS!$A$3:$B$212,2,0),"")</f>
        <v/>
      </c>
      <c r="J265" s="334" t="n"/>
      <c r="K265" s="332">
        <f>IFERROR(VLOOKUP(TEXT(O265,"0"),CONDUCTORES!$A$3:$G$54,7,0),"")</f>
        <v/>
      </c>
      <c r="L265" s="334" t="n"/>
      <c r="M265" s="334" t="n"/>
      <c r="N265" s="333">
        <f>IFERROR(IF(L265*M265=0,"",L265*M265),"")</f>
        <v/>
      </c>
      <c r="O265" s="334" t="n"/>
      <c r="P265" s="332">
        <f>IFERROR(VLOOKUP(TEXT(O265,"0"),CONDUCTORES!$A$3:$G$54,2,0),"")</f>
        <v/>
      </c>
      <c r="Q265" s="332">
        <f>IFERROR(VLOOKUP(TEXT(O265,"0"),CONDUCTORES!$A$3:$H$54,6,0),"")</f>
        <v/>
      </c>
      <c r="R265" s="334" t="n"/>
      <c r="S265" s="334" t="n"/>
      <c r="T265" s="334" t="n"/>
      <c r="U265" s="334" t="n"/>
      <c r="V265" s="334" t="n"/>
      <c r="W265" s="334" t="n"/>
      <c r="X265" s="334" t="n"/>
      <c r="Y265" s="334" t="n"/>
    </row>
    <row r="266" ht="15" customHeight="1" s="195">
      <c r="A266" s="280" t="n"/>
      <c r="B266" s="280" t="n"/>
      <c r="C266" s="280" t="n"/>
      <c r="D266" s="280" t="n"/>
      <c r="E266" s="280" t="n"/>
      <c r="F266" s="280" t="n"/>
      <c r="G266" s="280" t="n"/>
      <c r="H266" s="280" t="n"/>
      <c r="I266" s="332">
        <f>IFERROR(VLOOKUP(TEXT(H266,"0"),IPRESS!$A$3:$B$212,2,0),"")</f>
        <v/>
      </c>
      <c r="J266" s="280" t="n"/>
      <c r="K266" s="332">
        <f>IFERROR(VLOOKUP(TEXT(O266,"0"),CONDUCTORES!$A$3:$G$54,7,0),"")</f>
        <v/>
      </c>
      <c r="L266" s="280" t="n"/>
      <c r="M266" s="280" t="n"/>
      <c r="N266" s="333">
        <f>IFERROR(IF(L266*M266=0,"",L266*M266),"")</f>
        <v/>
      </c>
      <c r="O266" s="280" t="n"/>
      <c r="P266" s="332">
        <f>IFERROR(VLOOKUP(TEXT(O266,"0"),CONDUCTORES!$A$3:$G$54,2,0),"")</f>
        <v/>
      </c>
      <c r="Q266" s="332">
        <f>IFERROR(VLOOKUP(TEXT(O266,"0"),CONDUCTORES!$A$3:$H$54,6,0),"")</f>
        <v/>
      </c>
      <c r="R266" s="280" t="n"/>
      <c r="S266" s="280" t="n"/>
      <c r="T266" s="280" t="n"/>
      <c r="U266" s="280" t="n"/>
      <c r="V266" s="280" t="n"/>
      <c r="W266" s="280" t="n"/>
      <c r="X266" s="280" t="n"/>
      <c r="Y266" s="280" t="n"/>
    </row>
    <row r="267" ht="15" customHeight="1" s="195">
      <c r="A267" s="334" t="n"/>
      <c r="B267" s="334" t="n"/>
      <c r="C267" s="334" t="n"/>
      <c r="D267" s="334" t="n"/>
      <c r="E267" s="334" t="n"/>
      <c r="F267" s="334" t="n"/>
      <c r="G267" s="334" t="n"/>
      <c r="H267" s="334" t="n"/>
      <c r="I267" s="332">
        <f>IFERROR(VLOOKUP(TEXT(H267,"0"),IPRESS!$A$3:$B$212,2,0),"")</f>
        <v/>
      </c>
      <c r="J267" s="334" t="n"/>
      <c r="K267" s="332">
        <f>IFERROR(VLOOKUP(TEXT(O267,"0"),CONDUCTORES!$A$3:$G$54,7,0),"")</f>
        <v/>
      </c>
      <c r="L267" s="334" t="n"/>
      <c r="M267" s="334" t="n"/>
      <c r="N267" s="333">
        <f>IFERROR(IF(L267*M267=0,"",L267*M267),"")</f>
        <v/>
      </c>
      <c r="O267" s="334" t="n"/>
      <c r="P267" s="332">
        <f>IFERROR(VLOOKUP(TEXT(O267,"0"),CONDUCTORES!$A$3:$G$54,2,0),"")</f>
        <v/>
      </c>
      <c r="Q267" s="332">
        <f>IFERROR(VLOOKUP(TEXT(O267,"0"),CONDUCTORES!$A$3:$H$54,6,0),"")</f>
        <v/>
      </c>
      <c r="R267" s="334" t="n"/>
      <c r="S267" s="334" t="n"/>
      <c r="T267" s="334" t="n"/>
      <c r="U267" s="334" t="n"/>
      <c r="V267" s="334" t="n"/>
      <c r="W267" s="334" t="n"/>
      <c r="X267" s="334" t="n"/>
      <c r="Y267" s="334" t="n"/>
    </row>
    <row r="268" ht="15" customHeight="1" s="195">
      <c r="A268" s="280" t="n"/>
      <c r="B268" s="280" t="n"/>
      <c r="C268" s="280" t="n"/>
      <c r="D268" s="280" t="n"/>
      <c r="E268" s="280" t="n"/>
      <c r="F268" s="280" t="n"/>
      <c r="G268" s="280" t="n"/>
      <c r="H268" s="280" t="n"/>
      <c r="I268" s="332">
        <f>IFERROR(VLOOKUP(TEXT(H268,"0"),IPRESS!$A$3:$B$212,2,0),"")</f>
        <v/>
      </c>
      <c r="J268" s="280" t="n"/>
      <c r="K268" s="332">
        <f>IFERROR(VLOOKUP(TEXT(O268,"0"),CONDUCTORES!$A$3:$G$54,7,0),"")</f>
        <v/>
      </c>
      <c r="L268" s="280" t="n"/>
      <c r="M268" s="280" t="n"/>
      <c r="N268" s="333">
        <f>IFERROR(IF(L268*M268=0,"",L268*M268),"")</f>
        <v/>
      </c>
      <c r="O268" s="280" t="n"/>
      <c r="P268" s="332">
        <f>IFERROR(VLOOKUP(TEXT(O268,"0"),CONDUCTORES!$A$3:$G$54,2,0),"")</f>
        <v/>
      </c>
      <c r="Q268" s="332">
        <f>IFERROR(VLOOKUP(TEXT(O268,"0"),CONDUCTORES!$A$3:$H$54,6,0),"")</f>
        <v/>
      </c>
      <c r="R268" s="280" t="n"/>
      <c r="S268" s="280" t="n"/>
      <c r="T268" s="280" t="n"/>
      <c r="U268" s="280" t="n"/>
      <c r="V268" s="280" t="n"/>
      <c r="W268" s="280" t="n"/>
      <c r="X268" s="280" t="n"/>
      <c r="Y268" s="280" t="n"/>
    </row>
    <row r="269" ht="15" customHeight="1" s="195">
      <c r="A269" s="334" t="n"/>
      <c r="B269" s="334" t="n"/>
      <c r="C269" s="334" t="n"/>
      <c r="D269" s="334" t="n"/>
      <c r="E269" s="334" t="n"/>
      <c r="F269" s="334" t="n"/>
      <c r="G269" s="334" t="n"/>
      <c r="H269" s="334" t="n"/>
      <c r="I269" s="332">
        <f>IFERROR(VLOOKUP(TEXT(H269,"0"),IPRESS!$A$3:$B$212,2,0),"")</f>
        <v/>
      </c>
      <c r="J269" s="334" t="n"/>
      <c r="K269" s="332">
        <f>IFERROR(VLOOKUP(TEXT(O269,"0"),CONDUCTORES!$A$3:$G$54,7,0),"")</f>
        <v/>
      </c>
      <c r="L269" s="334" t="n"/>
      <c r="M269" s="334" t="n"/>
      <c r="N269" s="333">
        <f>IFERROR(IF(L269*M269=0,"",L269*M269),"")</f>
        <v/>
      </c>
      <c r="O269" s="334" t="n"/>
      <c r="P269" s="332">
        <f>IFERROR(VLOOKUP(TEXT(O269,"0"),CONDUCTORES!$A$3:$G$54,2,0),"")</f>
        <v/>
      </c>
      <c r="Q269" s="332">
        <f>IFERROR(VLOOKUP(TEXT(O269,"0"),CONDUCTORES!$A$3:$H$54,6,0),"")</f>
        <v/>
      </c>
      <c r="R269" s="334" t="n"/>
      <c r="S269" s="334" t="n"/>
      <c r="T269" s="334" t="n"/>
      <c r="U269" s="334" t="n"/>
      <c r="V269" s="334" t="n"/>
      <c r="W269" s="334" t="n"/>
      <c r="X269" s="334" t="n"/>
      <c r="Y269" s="334" t="n"/>
    </row>
    <row r="270" ht="15" customHeight="1" s="195">
      <c r="A270" s="280" t="n"/>
      <c r="B270" s="280" t="n"/>
      <c r="C270" s="280" t="n"/>
      <c r="D270" s="280" t="n"/>
      <c r="E270" s="280" t="n"/>
      <c r="F270" s="280" t="n"/>
      <c r="G270" s="280" t="n"/>
      <c r="H270" s="280" t="n"/>
      <c r="I270" s="332">
        <f>IFERROR(VLOOKUP(TEXT(H270,"0"),IPRESS!$A$3:$B$212,2,0),"")</f>
        <v/>
      </c>
      <c r="J270" s="280" t="n"/>
      <c r="K270" s="332">
        <f>IFERROR(VLOOKUP(TEXT(O270,"0"),CONDUCTORES!$A$3:$G$54,7,0),"")</f>
        <v/>
      </c>
      <c r="L270" s="280" t="n"/>
      <c r="M270" s="280" t="n"/>
      <c r="N270" s="333">
        <f>IFERROR(IF(L270*M270=0,"",L270*M270),"")</f>
        <v/>
      </c>
      <c r="O270" s="280" t="n"/>
      <c r="P270" s="332">
        <f>IFERROR(VLOOKUP(TEXT(O270,"0"),CONDUCTORES!$A$3:$G$54,2,0),"")</f>
        <v/>
      </c>
      <c r="Q270" s="332">
        <f>IFERROR(VLOOKUP(TEXT(O270,"0"),CONDUCTORES!$A$3:$H$54,6,0),"")</f>
        <v/>
      </c>
      <c r="R270" s="280" t="n"/>
      <c r="S270" s="280" t="n"/>
      <c r="T270" s="280" t="n"/>
      <c r="U270" s="280" t="n"/>
      <c r="V270" s="280" t="n"/>
      <c r="W270" s="280" t="n"/>
      <c r="X270" s="280" t="n"/>
      <c r="Y270" s="280" t="n"/>
    </row>
    <row r="271" ht="15" customHeight="1" s="195">
      <c r="A271" s="334" t="n"/>
      <c r="B271" s="334" t="n"/>
      <c r="C271" s="334" t="n"/>
      <c r="D271" s="334" t="n"/>
      <c r="E271" s="334" t="n"/>
      <c r="F271" s="334" t="n"/>
      <c r="G271" s="334" t="n"/>
      <c r="H271" s="334" t="n"/>
      <c r="I271" s="332">
        <f>IFERROR(VLOOKUP(TEXT(H271,"0"),IPRESS!$A$3:$B$212,2,0),"")</f>
        <v/>
      </c>
      <c r="J271" s="334" t="n"/>
      <c r="K271" s="332">
        <f>IFERROR(VLOOKUP(TEXT(O271,"0"),CONDUCTORES!$A$3:$G$54,7,0),"")</f>
        <v/>
      </c>
      <c r="L271" s="334" t="n"/>
      <c r="M271" s="334" t="n"/>
      <c r="N271" s="333">
        <f>IFERROR(IF(L271*M271=0,"",L271*M271),"")</f>
        <v/>
      </c>
      <c r="O271" s="334" t="n"/>
      <c r="P271" s="332">
        <f>IFERROR(VLOOKUP(TEXT(O271,"0"),CONDUCTORES!$A$3:$G$54,2,0),"")</f>
        <v/>
      </c>
      <c r="Q271" s="332">
        <f>IFERROR(VLOOKUP(TEXT(O271,"0"),CONDUCTORES!$A$3:$H$54,6,0),"")</f>
        <v/>
      </c>
      <c r="R271" s="334" t="n"/>
      <c r="S271" s="334" t="n"/>
      <c r="T271" s="334" t="n"/>
      <c r="U271" s="334" t="n"/>
      <c r="V271" s="334" t="n"/>
      <c r="W271" s="334" t="n"/>
      <c r="X271" s="334" t="n"/>
      <c r="Y271" s="334" t="n"/>
    </row>
    <row r="272" ht="15" customHeight="1" s="195">
      <c r="A272" s="280" t="n"/>
      <c r="B272" s="280" t="n"/>
      <c r="C272" s="280" t="n"/>
      <c r="D272" s="280" t="n"/>
      <c r="E272" s="280" t="n"/>
      <c r="F272" s="280" t="n"/>
      <c r="G272" s="280" t="n"/>
      <c r="H272" s="280" t="n"/>
      <c r="I272" s="332">
        <f>IFERROR(VLOOKUP(TEXT(H272,"0"),IPRESS!$A$3:$B$212,2,0),"")</f>
        <v/>
      </c>
      <c r="J272" s="280" t="n"/>
      <c r="K272" s="332">
        <f>IFERROR(VLOOKUP(TEXT(O272,"0"),CONDUCTORES!$A$3:$G$54,7,0),"")</f>
        <v/>
      </c>
      <c r="L272" s="280" t="n"/>
      <c r="M272" s="280" t="n"/>
      <c r="N272" s="333">
        <f>IFERROR(IF(L272*M272=0,"",L272*M272),"")</f>
        <v/>
      </c>
      <c r="O272" s="280" t="n"/>
      <c r="P272" s="332">
        <f>IFERROR(VLOOKUP(TEXT(O272,"0"),CONDUCTORES!$A$3:$G$54,2,0),"")</f>
        <v/>
      </c>
      <c r="Q272" s="332">
        <f>IFERROR(VLOOKUP(TEXT(O272,"0"),CONDUCTORES!$A$3:$H$54,6,0),"")</f>
        <v/>
      </c>
      <c r="R272" s="280" t="n"/>
      <c r="S272" s="280" t="n"/>
      <c r="T272" s="280" t="n"/>
      <c r="U272" s="280" t="n"/>
      <c r="V272" s="280" t="n"/>
      <c r="W272" s="280" t="n"/>
      <c r="X272" s="280" t="n"/>
      <c r="Y272" s="280" t="n"/>
    </row>
    <row r="273" ht="15" customHeight="1" s="195">
      <c r="A273" s="334" t="n"/>
      <c r="B273" s="334" t="n"/>
      <c r="C273" s="334" t="n"/>
      <c r="D273" s="334" t="n"/>
      <c r="E273" s="334" t="n"/>
      <c r="F273" s="334" t="n"/>
      <c r="G273" s="334" t="n"/>
      <c r="H273" s="334" t="n"/>
      <c r="I273" s="332">
        <f>IFERROR(VLOOKUP(TEXT(H273,"0"),IPRESS!$A$3:$B$212,2,0),"")</f>
        <v/>
      </c>
      <c r="J273" s="334" t="n"/>
      <c r="K273" s="332">
        <f>IFERROR(VLOOKUP(TEXT(O273,"0"),CONDUCTORES!$A$3:$G$54,7,0),"")</f>
        <v/>
      </c>
      <c r="L273" s="334" t="n"/>
      <c r="M273" s="334" t="n"/>
      <c r="N273" s="333">
        <f>IFERROR(IF(L273*M273=0,"",L273*M273),"")</f>
        <v/>
      </c>
      <c r="O273" s="334" t="n"/>
      <c r="P273" s="332">
        <f>IFERROR(VLOOKUP(TEXT(O273,"0"),CONDUCTORES!$A$3:$G$54,2,0),"")</f>
        <v/>
      </c>
      <c r="Q273" s="332">
        <f>IFERROR(VLOOKUP(TEXT(O273,"0"),CONDUCTORES!$A$3:$H$54,6,0),"")</f>
        <v/>
      </c>
      <c r="R273" s="334" t="n"/>
      <c r="S273" s="334" t="n"/>
      <c r="T273" s="334" t="n"/>
      <c r="U273" s="334" t="n"/>
      <c r="V273" s="334" t="n"/>
      <c r="W273" s="334" t="n"/>
      <c r="X273" s="334" t="n"/>
      <c r="Y273" s="334" t="n"/>
    </row>
    <row r="274" ht="15" customHeight="1" s="195">
      <c r="A274" s="280" t="n"/>
      <c r="B274" s="280" t="n"/>
      <c r="C274" s="280" t="n"/>
      <c r="D274" s="280" t="n"/>
      <c r="E274" s="280" t="n"/>
      <c r="F274" s="280" t="n"/>
      <c r="G274" s="280" t="n"/>
      <c r="H274" s="280" t="n"/>
      <c r="I274" s="332">
        <f>IFERROR(VLOOKUP(TEXT(H274,"0"),IPRESS!$A$3:$B$212,2,0),"")</f>
        <v/>
      </c>
      <c r="J274" s="280" t="n"/>
      <c r="K274" s="332">
        <f>IFERROR(VLOOKUP(TEXT(O274,"0"),CONDUCTORES!$A$3:$G$54,7,0),"")</f>
        <v/>
      </c>
      <c r="L274" s="280" t="n"/>
      <c r="M274" s="280" t="n"/>
      <c r="N274" s="333">
        <f>IFERROR(IF(L274*M274=0,"",L274*M274),"")</f>
        <v/>
      </c>
      <c r="O274" s="280" t="n"/>
      <c r="P274" s="332">
        <f>IFERROR(VLOOKUP(TEXT(O274,"0"),CONDUCTORES!$A$3:$G$54,2,0),"")</f>
        <v/>
      </c>
      <c r="Q274" s="332">
        <f>IFERROR(VLOOKUP(TEXT(O274,"0"),CONDUCTORES!$A$3:$H$54,6,0),"")</f>
        <v/>
      </c>
      <c r="R274" s="280" t="n"/>
      <c r="S274" s="280" t="n"/>
      <c r="T274" s="280" t="n"/>
      <c r="U274" s="280" t="n"/>
      <c r="V274" s="280" t="n"/>
      <c r="W274" s="280" t="n"/>
      <c r="X274" s="280" t="n"/>
      <c r="Y274" s="280" t="n"/>
    </row>
    <row r="275" ht="15" customHeight="1" s="195">
      <c r="A275" s="334" t="n"/>
      <c r="B275" s="334" t="n"/>
      <c r="C275" s="334" t="n"/>
      <c r="D275" s="334" t="n"/>
      <c r="E275" s="334" t="n"/>
      <c r="F275" s="334" t="n"/>
      <c r="G275" s="334" t="n"/>
      <c r="H275" s="334" t="n"/>
      <c r="I275" s="332">
        <f>IFERROR(VLOOKUP(TEXT(H275,"0"),IPRESS!$A$3:$B$212,2,0),"")</f>
        <v/>
      </c>
      <c r="J275" s="334" t="n"/>
      <c r="K275" s="332">
        <f>IFERROR(VLOOKUP(TEXT(O275,"0"),CONDUCTORES!$A$3:$G$54,7,0),"")</f>
        <v/>
      </c>
      <c r="L275" s="334" t="n"/>
      <c r="M275" s="334" t="n"/>
      <c r="N275" s="333">
        <f>IFERROR(IF(L275*M275=0,"",L275*M275),"")</f>
        <v/>
      </c>
      <c r="O275" s="334" t="n"/>
      <c r="P275" s="332">
        <f>IFERROR(VLOOKUP(TEXT(O275,"0"),CONDUCTORES!$A$3:$G$54,2,0),"")</f>
        <v/>
      </c>
      <c r="Q275" s="332">
        <f>IFERROR(VLOOKUP(TEXT(O275,"0"),CONDUCTORES!$A$3:$H$54,6,0),"")</f>
        <v/>
      </c>
      <c r="R275" s="334" t="n"/>
      <c r="S275" s="334" t="n"/>
      <c r="T275" s="334" t="n"/>
      <c r="U275" s="334" t="n"/>
      <c r="V275" s="334" t="n"/>
      <c r="W275" s="334" t="n"/>
      <c r="X275" s="334" t="n"/>
      <c r="Y275" s="334" t="n"/>
    </row>
    <row r="276" ht="15" customHeight="1" s="195">
      <c r="A276" s="280" t="n"/>
      <c r="B276" s="280" t="n"/>
      <c r="C276" s="280" t="n"/>
      <c r="D276" s="280" t="n"/>
      <c r="E276" s="280" t="n"/>
      <c r="F276" s="280" t="n"/>
      <c r="G276" s="280" t="n"/>
      <c r="H276" s="280" t="n"/>
      <c r="I276" s="332">
        <f>IFERROR(VLOOKUP(TEXT(H276,"0"),IPRESS!$A$3:$B$212,2,0),"")</f>
        <v/>
      </c>
      <c r="J276" s="280" t="n"/>
      <c r="K276" s="332">
        <f>IFERROR(VLOOKUP(TEXT(O276,"0"),CONDUCTORES!$A$3:$G$54,7,0),"")</f>
        <v/>
      </c>
      <c r="L276" s="280" t="n"/>
      <c r="M276" s="280" t="n"/>
      <c r="N276" s="333">
        <f>IFERROR(IF(L276*M276=0,"",L276*M276),"")</f>
        <v/>
      </c>
      <c r="O276" s="280" t="n"/>
      <c r="P276" s="332">
        <f>IFERROR(VLOOKUP(TEXT(O276,"0"),CONDUCTORES!$A$3:$G$54,2,0),"")</f>
        <v/>
      </c>
      <c r="Q276" s="332">
        <f>IFERROR(VLOOKUP(TEXT(O276,"0"),CONDUCTORES!$A$3:$H$54,6,0),"")</f>
        <v/>
      </c>
      <c r="R276" s="280" t="n"/>
      <c r="S276" s="280" t="n"/>
      <c r="T276" s="280" t="n"/>
      <c r="U276" s="280" t="n"/>
      <c r="V276" s="280" t="n"/>
      <c r="W276" s="280" t="n"/>
      <c r="X276" s="280" t="n"/>
      <c r="Y276" s="280" t="n"/>
    </row>
    <row r="277" ht="15" customHeight="1" s="195">
      <c r="A277" s="334" t="n"/>
      <c r="B277" s="334" t="n"/>
      <c r="C277" s="334" t="n"/>
      <c r="D277" s="334" t="n"/>
      <c r="E277" s="334" t="n"/>
      <c r="F277" s="334" t="n"/>
      <c r="G277" s="334" t="n"/>
      <c r="H277" s="334" t="n"/>
      <c r="I277" s="332">
        <f>IFERROR(VLOOKUP(TEXT(H277,"0"),IPRESS!$A$3:$B$212,2,0),"")</f>
        <v/>
      </c>
      <c r="J277" s="334" t="n"/>
      <c r="K277" s="332">
        <f>IFERROR(VLOOKUP(TEXT(O277,"0"),CONDUCTORES!$A$3:$G$54,7,0),"")</f>
        <v/>
      </c>
      <c r="L277" s="334" t="n"/>
      <c r="M277" s="334" t="n"/>
      <c r="N277" s="333">
        <f>IFERROR(IF(L277*M277=0,"",L277*M277),"")</f>
        <v/>
      </c>
      <c r="O277" s="334" t="n"/>
      <c r="P277" s="332">
        <f>IFERROR(VLOOKUP(TEXT(O277,"0"),CONDUCTORES!$A$3:$G$54,2,0),"")</f>
        <v/>
      </c>
      <c r="Q277" s="332">
        <f>IFERROR(VLOOKUP(TEXT(O277,"0"),CONDUCTORES!$A$3:$H$54,6,0),"")</f>
        <v/>
      </c>
      <c r="R277" s="334" t="n"/>
      <c r="S277" s="334" t="n"/>
      <c r="T277" s="334" t="n"/>
      <c r="U277" s="334" t="n"/>
      <c r="V277" s="334" t="n"/>
      <c r="W277" s="334" t="n"/>
      <c r="X277" s="334" t="n"/>
      <c r="Y277" s="334" t="n"/>
    </row>
    <row r="278" ht="15" customHeight="1" s="195">
      <c r="A278" s="280" t="n"/>
      <c r="B278" s="280" t="n"/>
      <c r="C278" s="280" t="n"/>
      <c r="D278" s="280" t="n"/>
      <c r="E278" s="280" t="n"/>
      <c r="F278" s="280" t="n"/>
      <c r="G278" s="280" t="n"/>
      <c r="H278" s="280" t="n"/>
      <c r="I278" s="332">
        <f>IFERROR(VLOOKUP(TEXT(H278,"0"),IPRESS!$A$3:$B$212,2,0),"")</f>
        <v/>
      </c>
      <c r="J278" s="280" t="n"/>
      <c r="K278" s="332">
        <f>IFERROR(VLOOKUP(TEXT(O278,"0"),CONDUCTORES!$A$3:$G$54,7,0),"")</f>
        <v/>
      </c>
      <c r="L278" s="280" t="n"/>
      <c r="M278" s="280" t="n"/>
      <c r="N278" s="333">
        <f>IFERROR(IF(L278*M278=0,"",L278*M278),"")</f>
        <v/>
      </c>
      <c r="O278" s="280" t="n"/>
      <c r="P278" s="332">
        <f>IFERROR(VLOOKUP(TEXT(O278,"0"),CONDUCTORES!$A$3:$G$54,2,0),"")</f>
        <v/>
      </c>
      <c r="Q278" s="332">
        <f>IFERROR(VLOOKUP(TEXT(O278,"0"),CONDUCTORES!$A$3:$H$54,6,0),"")</f>
        <v/>
      </c>
      <c r="R278" s="280" t="n"/>
      <c r="S278" s="280" t="n"/>
      <c r="T278" s="280" t="n"/>
      <c r="U278" s="280" t="n"/>
      <c r="V278" s="280" t="n"/>
      <c r="W278" s="280" t="n"/>
      <c r="X278" s="280" t="n"/>
      <c r="Y278" s="280" t="n"/>
    </row>
    <row r="279" ht="15" customHeight="1" s="195">
      <c r="A279" s="334" t="n"/>
      <c r="B279" s="334" t="n"/>
      <c r="C279" s="334" t="n"/>
      <c r="D279" s="334" t="n"/>
      <c r="E279" s="334" t="n"/>
      <c r="F279" s="334" t="n"/>
      <c r="G279" s="334" t="n"/>
      <c r="H279" s="334" t="n"/>
      <c r="I279" s="332">
        <f>IFERROR(VLOOKUP(TEXT(H279,"0"),IPRESS!$A$3:$B$212,2,0),"")</f>
        <v/>
      </c>
      <c r="J279" s="334" t="n"/>
      <c r="K279" s="332">
        <f>IFERROR(VLOOKUP(TEXT(O279,"0"),CONDUCTORES!$A$3:$G$54,7,0),"")</f>
        <v/>
      </c>
      <c r="L279" s="334" t="n"/>
      <c r="M279" s="334" t="n"/>
      <c r="N279" s="333">
        <f>IFERROR(IF(L279*M279=0,"",L279*M279),"")</f>
        <v/>
      </c>
      <c r="O279" s="334" t="n"/>
      <c r="P279" s="332">
        <f>IFERROR(VLOOKUP(TEXT(O279,"0"),CONDUCTORES!$A$3:$G$54,2,0),"")</f>
        <v/>
      </c>
      <c r="Q279" s="332">
        <f>IFERROR(VLOOKUP(TEXT(O279,"0"),CONDUCTORES!$A$3:$H$54,6,0),"")</f>
        <v/>
      </c>
      <c r="R279" s="334" t="n"/>
      <c r="S279" s="334" t="n"/>
      <c r="T279" s="334" t="n"/>
      <c r="U279" s="334" t="n"/>
      <c r="V279" s="334" t="n"/>
      <c r="W279" s="334" t="n"/>
      <c r="X279" s="334" t="n"/>
      <c r="Y279" s="334" t="n"/>
    </row>
    <row r="280" ht="15" customHeight="1" s="195">
      <c r="A280" s="280" t="n"/>
      <c r="B280" s="280" t="n"/>
      <c r="C280" s="280" t="n"/>
      <c r="D280" s="280" t="n"/>
      <c r="E280" s="280" t="n"/>
      <c r="F280" s="280" t="n"/>
      <c r="G280" s="280" t="n"/>
      <c r="H280" s="280" t="n"/>
      <c r="I280" s="332">
        <f>IFERROR(VLOOKUP(TEXT(H280,"0"),IPRESS!$A$3:$B$212,2,0),"")</f>
        <v/>
      </c>
      <c r="J280" s="280" t="n"/>
      <c r="K280" s="332">
        <f>IFERROR(VLOOKUP(TEXT(O280,"0"),CONDUCTORES!$A$3:$G$54,7,0),"")</f>
        <v/>
      </c>
      <c r="L280" s="280" t="n"/>
      <c r="M280" s="280" t="n"/>
      <c r="N280" s="333">
        <f>IFERROR(IF(L280*M280=0,"",L280*M280),"")</f>
        <v/>
      </c>
      <c r="O280" s="280" t="n"/>
      <c r="P280" s="332">
        <f>IFERROR(VLOOKUP(TEXT(O280,"0"),CONDUCTORES!$A$3:$G$54,2,0),"")</f>
        <v/>
      </c>
      <c r="Q280" s="332">
        <f>IFERROR(VLOOKUP(TEXT(O280,"0"),CONDUCTORES!$A$3:$H$54,6,0),"")</f>
        <v/>
      </c>
      <c r="R280" s="280" t="n"/>
      <c r="S280" s="280" t="n"/>
      <c r="T280" s="280" t="n"/>
      <c r="U280" s="280" t="n"/>
      <c r="V280" s="280" t="n"/>
      <c r="W280" s="280" t="n"/>
      <c r="X280" s="280" t="n"/>
      <c r="Y280" s="280" t="n"/>
    </row>
    <row r="281" ht="15" customHeight="1" s="195">
      <c r="A281" s="334" t="n"/>
      <c r="B281" s="334" t="n"/>
      <c r="C281" s="334" t="n"/>
      <c r="D281" s="334" t="n"/>
      <c r="E281" s="334" t="n"/>
      <c r="F281" s="334" t="n"/>
      <c r="G281" s="334" t="n"/>
      <c r="H281" s="334" t="n"/>
      <c r="I281" s="332">
        <f>IFERROR(VLOOKUP(TEXT(H281,"0"),IPRESS!$A$3:$B$212,2,0),"")</f>
        <v/>
      </c>
      <c r="J281" s="334" t="n"/>
      <c r="K281" s="332">
        <f>IFERROR(VLOOKUP(TEXT(O281,"0"),CONDUCTORES!$A$3:$G$54,7,0),"")</f>
        <v/>
      </c>
      <c r="L281" s="334" t="n"/>
      <c r="M281" s="334" t="n"/>
      <c r="N281" s="333">
        <f>IFERROR(IF(L281*M281=0,"",L281*M281),"")</f>
        <v/>
      </c>
      <c r="O281" s="334" t="n"/>
      <c r="P281" s="332">
        <f>IFERROR(VLOOKUP(TEXT(O281,"0"),CONDUCTORES!$A$3:$G$54,2,0),"")</f>
        <v/>
      </c>
      <c r="Q281" s="332">
        <f>IFERROR(VLOOKUP(TEXT(O281,"0"),CONDUCTORES!$A$3:$H$54,6,0),"")</f>
        <v/>
      </c>
      <c r="R281" s="334" t="n"/>
      <c r="S281" s="334" t="n"/>
      <c r="T281" s="334" t="n"/>
      <c r="U281" s="334" t="n"/>
      <c r="V281" s="334" t="n"/>
      <c r="W281" s="334" t="n"/>
      <c r="X281" s="334" t="n"/>
      <c r="Y281" s="334" t="n"/>
    </row>
    <row r="282" ht="15" customHeight="1" s="195">
      <c r="A282" s="280" t="n"/>
      <c r="B282" s="280" t="n"/>
      <c r="C282" s="280" t="n"/>
      <c r="D282" s="280" t="n"/>
      <c r="E282" s="280" t="n"/>
      <c r="F282" s="280" t="n"/>
      <c r="G282" s="280" t="n"/>
      <c r="H282" s="280" t="n"/>
      <c r="I282" s="332">
        <f>IFERROR(VLOOKUP(TEXT(H282,"0"),IPRESS!$A$3:$B$212,2,0),"")</f>
        <v/>
      </c>
      <c r="J282" s="280" t="n"/>
      <c r="K282" s="332">
        <f>IFERROR(VLOOKUP(TEXT(O282,"0"),CONDUCTORES!$A$3:$G$54,7,0),"")</f>
        <v/>
      </c>
      <c r="L282" s="280" t="n"/>
      <c r="M282" s="280" t="n"/>
      <c r="N282" s="333">
        <f>IFERROR(IF(L282*M282=0,"",L282*M282),"")</f>
        <v/>
      </c>
      <c r="O282" s="280" t="n"/>
      <c r="P282" s="332">
        <f>IFERROR(VLOOKUP(TEXT(O282,"0"),CONDUCTORES!$A$3:$G$54,2,0),"")</f>
        <v/>
      </c>
      <c r="Q282" s="332">
        <f>IFERROR(VLOOKUP(TEXT(O282,"0"),CONDUCTORES!$A$3:$H$54,6,0),"")</f>
        <v/>
      </c>
      <c r="R282" s="280" t="n"/>
      <c r="S282" s="280" t="n"/>
      <c r="T282" s="280" t="n"/>
      <c r="U282" s="280" t="n"/>
      <c r="V282" s="280" t="n"/>
      <c r="W282" s="280" t="n"/>
      <c r="X282" s="280" t="n"/>
      <c r="Y282" s="280" t="n"/>
    </row>
    <row r="283" ht="15" customHeight="1" s="195">
      <c r="A283" s="334" t="n"/>
      <c r="B283" s="334" t="n"/>
      <c r="C283" s="334" t="n"/>
      <c r="D283" s="334" t="n"/>
      <c r="E283" s="334" t="n"/>
      <c r="F283" s="334" t="n"/>
      <c r="G283" s="334" t="n"/>
      <c r="H283" s="334" t="n"/>
      <c r="I283" s="332">
        <f>IFERROR(VLOOKUP(TEXT(H283,"0"),IPRESS!$A$3:$B$212,2,0),"")</f>
        <v/>
      </c>
      <c r="J283" s="334" t="n"/>
      <c r="K283" s="332">
        <f>IFERROR(VLOOKUP(TEXT(O283,"0"),CONDUCTORES!$A$3:$G$54,7,0),"")</f>
        <v/>
      </c>
      <c r="L283" s="334" t="n"/>
      <c r="M283" s="334" t="n"/>
      <c r="N283" s="333">
        <f>IFERROR(IF(L283*M283=0,"",L283*M283),"")</f>
        <v/>
      </c>
      <c r="O283" s="334" t="n"/>
      <c r="P283" s="332">
        <f>IFERROR(VLOOKUP(TEXT(O283,"0"),CONDUCTORES!$A$3:$G$54,2,0),"")</f>
        <v/>
      </c>
      <c r="Q283" s="332">
        <f>IFERROR(VLOOKUP(TEXT(O283,"0"),CONDUCTORES!$A$3:$H$54,6,0),"")</f>
        <v/>
      </c>
      <c r="R283" s="334" t="n"/>
      <c r="S283" s="334" t="n"/>
      <c r="T283" s="334" t="n"/>
      <c r="U283" s="334" t="n"/>
      <c r="V283" s="334" t="n"/>
      <c r="W283" s="334" t="n"/>
      <c r="X283" s="334" t="n"/>
      <c r="Y283" s="334" t="n"/>
    </row>
    <row r="284" ht="15" customHeight="1" s="195">
      <c r="A284" s="280" t="n"/>
      <c r="B284" s="280" t="n"/>
      <c r="C284" s="280" t="n"/>
      <c r="D284" s="280" t="n"/>
      <c r="E284" s="280" t="n"/>
      <c r="F284" s="280" t="n"/>
      <c r="G284" s="280" t="n"/>
      <c r="H284" s="280" t="n"/>
      <c r="I284" s="332">
        <f>IFERROR(VLOOKUP(TEXT(H284,"0"),IPRESS!$A$3:$B$212,2,0),"")</f>
        <v/>
      </c>
      <c r="J284" s="280" t="n"/>
      <c r="K284" s="332">
        <f>IFERROR(VLOOKUP(TEXT(O284,"0"),CONDUCTORES!$A$3:$G$54,7,0),"")</f>
        <v/>
      </c>
      <c r="L284" s="280" t="n"/>
      <c r="M284" s="280" t="n"/>
      <c r="N284" s="333">
        <f>IFERROR(IF(L284*M284=0,"",L284*M284),"")</f>
        <v/>
      </c>
      <c r="O284" s="280" t="n"/>
      <c r="P284" s="332">
        <f>IFERROR(VLOOKUP(TEXT(O284,"0"),CONDUCTORES!$A$3:$G$54,2,0),"")</f>
        <v/>
      </c>
      <c r="Q284" s="332">
        <f>IFERROR(VLOOKUP(TEXT(O284,"0"),CONDUCTORES!$A$3:$H$54,6,0),"")</f>
        <v/>
      </c>
      <c r="R284" s="280" t="n"/>
      <c r="S284" s="280" t="n"/>
      <c r="T284" s="280" t="n"/>
      <c r="U284" s="280" t="n"/>
      <c r="V284" s="280" t="n"/>
      <c r="W284" s="280" t="n"/>
      <c r="X284" s="280" t="n"/>
      <c r="Y284" s="280" t="n"/>
    </row>
    <row r="285" ht="15" customHeight="1" s="195">
      <c r="A285" s="334" t="n"/>
      <c r="B285" s="334" t="n"/>
      <c r="C285" s="334" t="n"/>
      <c r="D285" s="334" t="n"/>
      <c r="E285" s="334" t="n"/>
      <c r="F285" s="334" t="n"/>
      <c r="G285" s="334" t="n"/>
      <c r="H285" s="334" t="n"/>
      <c r="I285" s="332">
        <f>IFERROR(VLOOKUP(TEXT(H285,"0"),IPRESS!$A$3:$B$212,2,0),"")</f>
        <v/>
      </c>
      <c r="J285" s="334" t="n"/>
      <c r="K285" s="332">
        <f>IFERROR(VLOOKUP(TEXT(O285,"0"),CONDUCTORES!$A$3:$G$54,7,0),"")</f>
        <v/>
      </c>
      <c r="L285" s="334" t="n"/>
      <c r="M285" s="334" t="n"/>
      <c r="N285" s="333">
        <f>IFERROR(IF(L285*M285=0,"",L285*M285),"")</f>
        <v/>
      </c>
      <c r="O285" s="334" t="n"/>
      <c r="P285" s="332">
        <f>IFERROR(VLOOKUP(TEXT(O285,"0"),CONDUCTORES!$A$3:$G$54,2,0),"")</f>
        <v/>
      </c>
      <c r="Q285" s="332">
        <f>IFERROR(VLOOKUP(TEXT(O285,"0"),CONDUCTORES!$A$3:$H$54,6,0),"")</f>
        <v/>
      </c>
      <c r="R285" s="334" t="n"/>
      <c r="S285" s="334" t="n"/>
      <c r="T285" s="334" t="n"/>
      <c r="U285" s="334" t="n"/>
      <c r="V285" s="334" t="n"/>
      <c r="W285" s="334" t="n"/>
      <c r="X285" s="334" t="n"/>
      <c r="Y285" s="334" t="n"/>
    </row>
    <row r="286" ht="15" customHeight="1" s="195">
      <c r="A286" s="280" t="n"/>
      <c r="B286" s="280" t="n"/>
      <c r="C286" s="280" t="n"/>
      <c r="D286" s="280" t="n"/>
      <c r="E286" s="280" t="n"/>
      <c r="F286" s="280" t="n"/>
      <c r="G286" s="280" t="n"/>
      <c r="H286" s="280" t="n"/>
      <c r="I286" s="332">
        <f>IFERROR(VLOOKUP(TEXT(H286,"0"),IPRESS!$A$3:$B$212,2,0),"")</f>
        <v/>
      </c>
      <c r="J286" s="280" t="n"/>
      <c r="K286" s="332">
        <f>IFERROR(VLOOKUP(TEXT(O286,"0"),CONDUCTORES!$A$3:$G$54,7,0),"")</f>
        <v/>
      </c>
      <c r="L286" s="280" t="n"/>
      <c r="M286" s="280" t="n"/>
      <c r="N286" s="333">
        <f>IFERROR(IF(L286*M286=0,"",L286*M286),"")</f>
        <v/>
      </c>
      <c r="O286" s="280" t="n"/>
      <c r="P286" s="332">
        <f>IFERROR(VLOOKUP(TEXT(O286,"0"),CONDUCTORES!$A$3:$G$54,2,0),"")</f>
        <v/>
      </c>
      <c r="Q286" s="332">
        <f>IFERROR(VLOOKUP(TEXT(O286,"0"),CONDUCTORES!$A$3:$H$54,6,0),"")</f>
        <v/>
      </c>
      <c r="R286" s="280" t="n"/>
      <c r="S286" s="280" t="n"/>
      <c r="T286" s="280" t="n"/>
      <c r="U286" s="280" t="n"/>
      <c r="V286" s="280" t="n"/>
      <c r="W286" s="280" t="n"/>
      <c r="X286" s="280" t="n"/>
      <c r="Y286" s="280" t="n"/>
    </row>
    <row r="287" ht="15" customHeight="1" s="195">
      <c r="A287" s="334" t="n"/>
      <c r="B287" s="334" t="n"/>
      <c r="C287" s="334" t="n"/>
      <c r="D287" s="334" t="n"/>
      <c r="E287" s="334" t="n"/>
      <c r="F287" s="334" t="n"/>
      <c r="G287" s="334" t="n"/>
      <c r="H287" s="334" t="n"/>
      <c r="I287" s="332">
        <f>IFERROR(VLOOKUP(TEXT(H287,"0"),IPRESS!$A$3:$B$212,2,0),"")</f>
        <v/>
      </c>
      <c r="J287" s="334" t="n"/>
      <c r="K287" s="332">
        <f>IFERROR(VLOOKUP(TEXT(O287,"0"),CONDUCTORES!$A$3:$G$54,7,0),"")</f>
        <v/>
      </c>
      <c r="L287" s="334" t="n"/>
      <c r="M287" s="334" t="n"/>
      <c r="N287" s="333">
        <f>IFERROR(IF(L287*M287=0,"",L287*M287),"")</f>
        <v/>
      </c>
      <c r="O287" s="334" t="n"/>
      <c r="P287" s="332">
        <f>IFERROR(VLOOKUP(TEXT(O287,"0"),CONDUCTORES!$A$3:$G$54,2,0),"")</f>
        <v/>
      </c>
      <c r="Q287" s="332">
        <f>IFERROR(VLOOKUP(TEXT(O287,"0"),CONDUCTORES!$A$3:$H$54,6,0),"")</f>
        <v/>
      </c>
      <c r="R287" s="334" t="n"/>
      <c r="S287" s="334" t="n"/>
      <c r="T287" s="334" t="n"/>
      <c r="U287" s="334" t="n"/>
      <c r="V287" s="334" t="n"/>
      <c r="W287" s="334" t="n"/>
      <c r="X287" s="334" t="n"/>
      <c r="Y287" s="334" t="n"/>
    </row>
    <row r="288" ht="15" customHeight="1" s="195">
      <c r="A288" s="280" t="n"/>
      <c r="B288" s="280" t="n"/>
      <c r="C288" s="280" t="n"/>
      <c r="D288" s="280" t="n"/>
      <c r="E288" s="280" t="n"/>
      <c r="F288" s="280" t="n"/>
      <c r="G288" s="280" t="n"/>
      <c r="H288" s="280" t="n"/>
      <c r="I288" s="332">
        <f>IFERROR(VLOOKUP(TEXT(H288,"0"),IPRESS!$A$3:$B$212,2,0),"")</f>
        <v/>
      </c>
      <c r="J288" s="280" t="n"/>
      <c r="K288" s="332">
        <f>IFERROR(VLOOKUP(TEXT(O288,"0"),CONDUCTORES!$A$3:$G$54,7,0),"")</f>
        <v/>
      </c>
      <c r="L288" s="280" t="n"/>
      <c r="M288" s="280" t="n"/>
      <c r="N288" s="333">
        <f>IFERROR(IF(L288*M288=0,"",L288*M288),"")</f>
        <v/>
      </c>
      <c r="O288" s="280" t="n"/>
      <c r="P288" s="332">
        <f>IFERROR(VLOOKUP(TEXT(O288,"0"),CONDUCTORES!$A$3:$G$54,2,0),"")</f>
        <v/>
      </c>
      <c r="Q288" s="332">
        <f>IFERROR(VLOOKUP(TEXT(O288,"0"),CONDUCTORES!$A$3:$H$54,6,0),"")</f>
        <v/>
      </c>
      <c r="R288" s="280" t="n"/>
      <c r="S288" s="280" t="n"/>
      <c r="T288" s="280" t="n"/>
      <c r="U288" s="280" t="n"/>
      <c r="V288" s="280" t="n"/>
      <c r="W288" s="280" t="n"/>
      <c r="X288" s="280" t="n"/>
      <c r="Y288" s="280" t="n"/>
    </row>
    <row r="289" ht="15" customHeight="1" s="195">
      <c r="A289" s="334" t="n"/>
      <c r="B289" s="334" t="n"/>
      <c r="C289" s="334" t="n"/>
      <c r="D289" s="334" t="n"/>
      <c r="E289" s="334" t="n"/>
      <c r="F289" s="334" t="n"/>
      <c r="G289" s="334" t="n"/>
      <c r="H289" s="334" t="n"/>
      <c r="I289" s="332">
        <f>IFERROR(VLOOKUP(TEXT(H289,"0"),IPRESS!$A$3:$B$212,2,0),"")</f>
        <v/>
      </c>
      <c r="J289" s="334" t="n"/>
      <c r="K289" s="332">
        <f>IFERROR(VLOOKUP(TEXT(O289,"0"),CONDUCTORES!$A$3:$G$54,7,0),"")</f>
        <v/>
      </c>
      <c r="L289" s="334" t="n"/>
      <c r="M289" s="334" t="n"/>
      <c r="N289" s="333">
        <f>IFERROR(IF(L289*M289=0,"",L289*M289),"")</f>
        <v/>
      </c>
      <c r="O289" s="334" t="n"/>
      <c r="P289" s="332">
        <f>IFERROR(VLOOKUP(TEXT(O289,"0"),CONDUCTORES!$A$3:$G$54,2,0),"")</f>
        <v/>
      </c>
      <c r="Q289" s="332">
        <f>IFERROR(VLOOKUP(TEXT(O289,"0"),CONDUCTORES!$A$3:$H$54,6,0),"")</f>
        <v/>
      </c>
      <c r="R289" s="334" t="n"/>
      <c r="S289" s="334" t="n"/>
      <c r="T289" s="334" t="n"/>
      <c r="U289" s="334" t="n"/>
      <c r="V289" s="334" t="n"/>
      <c r="W289" s="334" t="n"/>
      <c r="X289" s="334" t="n"/>
      <c r="Y289" s="334" t="n"/>
    </row>
    <row r="290" ht="15" customHeight="1" s="195">
      <c r="A290" s="280" t="n"/>
      <c r="B290" s="280" t="n"/>
      <c r="C290" s="280" t="n"/>
      <c r="D290" s="280" t="n"/>
      <c r="E290" s="280" t="n"/>
      <c r="F290" s="280" t="n"/>
      <c r="G290" s="280" t="n"/>
      <c r="H290" s="280" t="n"/>
      <c r="I290" s="332">
        <f>IFERROR(VLOOKUP(TEXT(H290,"0"),IPRESS!$A$3:$B$212,2,0),"")</f>
        <v/>
      </c>
      <c r="J290" s="280" t="n"/>
      <c r="K290" s="332">
        <f>IFERROR(VLOOKUP(TEXT(O290,"0"),CONDUCTORES!$A$3:$G$54,7,0),"")</f>
        <v/>
      </c>
      <c r="L290" s="280" t="n"/>
      <c r="M290" s="280" t="n"/>
      <c r="N290" s="333">
        <f>IFERROR(IF(L290*M290=0,"",L290*M290),"")</f>
        <v/>
      </c>
      <c r="O290" s="280" t="n"/>
      <c r="P290" s="332">
        <f>IFERROR(VLOOKUP(TEXT(O290,"0"),CONDUCTORES!$A$3:$G$54,2,0),"")</f>
        <v/>
      </c>
      <c r="Q290" s="332">
        <f>IFERROR(VLOOKUP(TEXT(O290,"0"),CONDUCTORES!$A$3:$H$54,6,0),"")</f>
        <v/>
      </c>
      <c r="R290" s="280" t="n"/>
      <c r="S290" s="280" t="n"/>
      <c r="T290" s="280" t="n"/>
      <c r="U290" s="280" t="n"/>
      <c r="V290" s="280" t="n"/>
      <c r="W290" s="280" t="n"/>
      <c r="X290" s="280" t="n"/>
      <c r="Y290" s="280" t="n"/>
    </row>
    <row r="291" ht="15" customHeight="1" s="195">
      <c r="A291" s="334" t="n"/>
      <c r="B291" s="334" t="n"/>
      <c r="C291" s="334" t="n"/>
      <c r="D291" s="334" t="n"/>
      <c r="E291" s="334" t="n"/>
      <c r="F291" s="334" t="n"/>
      <c r="G291" s="334" t="n"/>
      <c r="H291" s="334" t="n"/>
      <c r="I291" s="332">
        <f>IFERROR(VLOOKUP(TEXT(H291,"0"),IPRESS!$A$3:$B$212,2,0),"")</f>
        <v/>
      </c>
      <c r="J291" s="334" t="n"/>
      <c r="K291" s="332">
        <f>IFERROR(VLOOKUP(TEXT(O291,"0"),CONDUCTORES!$A$3:$G$54,7,0),"")</f>
        <v/>
      </c>
      <c r="L291" s="334" t="n"/>
      <c r="M291" s="334" t="n"/>
      <c r="N291" s="333">
        <f>IFERROR(IF(L291*M291=0,"",L291*M291),"")</f>
        <v/>
      </c>
      <c r="O291" s="334" t="n"/>
      <c r="P291" s="332">
        <f>IFERROR(VLOOKUP(TEXT(O291,"0"),CONDUCTORES!$A$3:$G$54,2,0),"")</f>
        <v/>
      </c>
      <c r="Q291" s="332">
        <f>IFERROR(VLOOKUP(TEXT(O291,"0"),CONDUCTORES!$A$3:$H$54,6,0),"")</f>
        <v/>
      </c>
      <c r="R291" s="334" t="n"/>
      <c r="S291" s="334" t="n"/>
      <c r="T291" s="334" t="n"/>
      <c r="U291" s="334" t="n"/>
      <c r="V291" s="334" t="n"/>
      <c r="W291" s="334" t="n"/>
      <c r="X291" s="334" t="n"/>
      <c r="Y291" s="334" t="n"/>
    </row>
    <row r="292" ht="15" customHeight="1" s="195">
      <c r="A292" s="280" t="n"/>
      <c r="B292" s="280" t="n"/>
      <c r="C292" s="280" t="n"/>
      <c r="D292" s="280" t="n"/>
      <c r="E292" s="280" t="n"/>
      <c r="F292" s="280" t="n"/>
      <c r="G292" s="280" t="n"/>
      <c r="H292" s="280" t="n"/>
      <c r="I292" s="332">
        <f>IFERROR(VLOOKUP(TEXT(H292,"0"),IPRESS!$A$3:$B$212,2,0),"")</f>
        <v/>
      </c>
      <c r="J292" s="280" t="n"/>
      <c r="K292" s="332">
        <f>IFERROR(VLOOKUP(TEXT(O292,"0"),CONDUCTORES!$A$3:$G$54,7,0),"")</f>
        <v/>
      </c>
      <c r="L292" s="280" t="n"/>
      <c r="M292" s="280" t="n"/>
      <c r="N292" s="333">
        <f>IFERROR(IF(L292*M292=0,"",L292*M292),"")</f>
        <v/>
      </c>
      <c r="O292" s="280" t="n"/>
      <c r="P292" s="332">
        <f>IFERROR(VLOOKUP(TEXT(O292,"0"),CONDUCTORES!$A$3:$G$54,2,0),"")</f>
        <v/>
      </c>
      <c r="Q292" s="332">
        <f>IFERROR(VLOOKUP(TEXT(O292,"0"),CONDUCTORES!$A$3:$H$54,6,0),"")</f>
        <v/>
      </c>
      <c r="R292" s="280" t="n"/>
      <c r="S292" s="280" t="n"/>
      <c r="T292" s="280" t="n"/>
      <c r="U292" s="280" t="n"/>
      <c r="V292" s="280" t="n"/>
      <c r="W292" s="280" t="n"/>
      <c r="X292" s="280" t="n"/>
      <c r="Y292" s="280" t="n"/>
    </row>
    <row r="293" ht="15" customHeight="1" s="195">
      <c r="A293" s="334" t="n"/>
      <c r="B293" s="334" t="n"/>
      <c r="C293" s="334" t="n"/>
      <c r="D293" s="334" t="n"/>
      <c r="E293" s="334" t="n"/>
      <c r="F293" s="334" t="n"/>
      <c r="G293" s="334" t="n"/>
      <c r="H293" s="334" t="n"/>
      <c r="I293" s="332">
        <f>IFERROR(VLOOKUP(TEXT(H293,"0"),IPRESS!$A$3:$B$212,2,0),"")</f>
        <v/>
      </c>
      <c r="J293" s="334" t="n"/>
      <c r="K293" s="332">
        <f>IFERROR(VLOOKUP(TEXT(O293,"0"),CONDUCTORES!$A$3:$G$54,7,0),"")</f>
        <v/>
      </c>
      <c r="L293" s="334" t="n"/>
      <c r="M293" s="334" t="n"/>
      <c r="N293" s="333">
        <f>IFERROR(IF(L293*M293=0,"",L293*M293),"")</f>
        <v/>
      </c>
      <c r="O293" s="334" t="n"/>
      <c r="P293" s="332">
        <f>IFERROR(VLOOKUP(TEXT(O293,"0"),CONDUCTORES!$A$3:$G$54,2,0),"")</f>
        <v/>
      </c>
      <c r="Q293" s="332">
        <f>IFERROR(VLOOKUP(TEXT(O293,"0"),CONDUCTORES!$A$3:$H$54,6,0),"")</f>
        <v/>
      </c>
      <c r="R293" s="334" t="n"/>
      <c r="S293" s="334" t="n"/>
      <c r="T293" s="334" t="n"/>
      <c r="U293" s="334" t="n"/>
      <c r="V293" s="334" t="n"/>
      <c r="W293" s="334" t="n"/>
      <c r="X293" s="334" t="n"/>
      <c r="Y293" s="334" t="n"/>
    </row>
    <row r="294" ht="15" customHeight="1" s="195">
      <c r="A294" s="280" t="n"/>
      <c r="B294" s="280" t="n"/>
      <c r="C294" s="280" t="n"/>
      <c r="D294" s="280" t="n"/>
      <c r="E294" s="280" t="n"/>
      <c r="F294" s="280" t="n"/>
      <c r="G294" s="280" t="n"/>
      <c r="H294" s="280" t="n"/>
      <c r="I294" s="332">
        <f>IFERROR(VLOOKUP(TEXT(H294,"0"),IPRESS!$A$3:$B$212,2,0),"")</f>
        <v/>
      </c>
      <c r="J294" s="280" t="n"/>
      <c r="K294" s="332">
        <f>IFERROR(VLOOKUP(TEXT(O294,"0"),CONDUCTORES!$A$3:$G$54,7,0),"")</f>
        <v/>
      </c>
      <c r="L294" s="280" t="n"/>
      <c r="M294" s="280" t="n"/>
      <c r="N294" s="333">
        <f>IFERROR(IF(L294*M294=0,"",L294*M294),"")</f>
        <v/>
      </c>
      <c r="O294" s="280" t="n"/>
      <c r="P294" s="332">
        <f>IFERROR(VLOOKUP(TEXT(O294,"0"),CONDUCTORES!$A$3:$G$54,2,0),"")</f>
        <v/>
      </c>
      <c r="Q294" s="332">
        <f>IFERROR(VLOOKUP(TEXT(O294,"0"),CONDUCTORES!$A$3:$H$54,6,0),"")</f>
        <v/>
      </c>
      <c r="R294" s="280" t="n"/>
      <c r="S294" s="280" t="n"/>
      <c r="T294" s="280" t="n"/>
      <c r="U294" s="280" t="n"/>
      <c r="V294" s="280" t="n"/>
      <c r="W294" s="280" t="n"/>
      <c r="X294" s="280" t="n"/>
      <c r="Y294" s="280" t="n"/>
    </row>
    <row r="295" ht="15" customHeight="1" s="195">
      <c r="A295" s="334" t="n"/>
      <c r="B295" s="334" t="n"/>
      <c r="C295" s="334" t="n"/>
      <c r="D295" s="334" t="n"/>
      <c r="E295" s="334" t="n"/>
      <c r="F295" s="334" t="n"/>
      <c r="G295" s="334" t="n"/>
      <c r="H295" s="334" t="n"/>
      <c r="I295" s="332">
        <f>IFERROR(VLOOKUP(TEXT(H295,"0"),IPRESS!$A$3:$B$212,2,0),"")</f>
        <v/>
      </c>
      <c r="J295" s="334" t="n"/>
      <c r="K295" s="332">
        <f>IFERROR(VLOOKUP(TEXT(O295,"0"),CONDUCTORES!$A$3:$G$54,7,0),"")</f>
        <v/>
      </c>
      <c r="L295" s="334" t="n"/>
      <c r="M295" s="334" t="n"/>
      <c r="N295" s="333">
        <f>IFERROR(IF(L295*M295=0,"",L295*M295),"")</f>
        <v/>
      </c>
      <c r="O295" s="334" t="n"/>
      <c r="P295" s="332">
        <f>IFERROR(VLOOKUP(TEXT(O295,"0"),CONDUCTORES!$A$3:$G$54,2,0),"")</f>
        <v/>
      </c>
      <c r="Q295" s="332">
        <f>IFERROR(VLOOKUP(TEXT(O295,"0"),CONDUCTORES!$A$3:$H$54,6,0),"")</f>
        <v/>
      </c>
      <c r="R295" s="334" t="n"/>
      <c r="S295" s="334" t="n"/>
      <c r="T295" s="334" t="n"/>
      <c r="U295" s="334" t="n"/>
      <c r="V295" s="334" t="n"/>
      <c r="W295" s="334" t="n"/>
      <c r="X295" s="334" t="n"/>
      <c r="Y295" s="334" t="n"/>
    </row>
    <row r="296" ht="15" customHeight="1" s="195">
      <c r="A296" s="280" t="n"/>
      <c r="B296" s="280" t="n"/>
      <c r="C296" s="280" t="n"/>
      <c r="D296" s="280" t="n"/>
      <c r="E296" s="280" t="n"/>
      <c r="F296" s="280" t="n"/>
      <c r="G296" s="280" t="n"/>
      <c r="H296" s="280" t="n"/>
      <c r="I296" s="332">
        <f>IFERROR(VLOOKUP(TEXT(H296,"0"),IPRESS!$A$3:$B$212,2,0),"")</f>
        <v/>
      </c>
      <c r="J296" s="280" t="n"/>
      <c r="K296" s="332">
        <f>IFERROR(VLOOKUP(TEXT(O296,"0"),CONDUCTORES!$A$3:$G$54,7,0),"")</f>
        <v/>
      </c>
      <c r="L296" s="280" t="n"/>
      <c r="M296" s="280" t="n"/>
      <c r="N296" s="333">
        <f>IFERROR(IF(L296*M296=0,"",L296*M296),"")</f>
        <v/>
      </c>
      <c r="O296" s="280" t="n"/>
      <c r="P296" s="332">
        <f>IFERROR(VLOOKUP(TEXT(O296,"0"),CONDUCTORES!$A$3:$G$54,2,0),"")</f>
        <v/>
      </c>
      <c r="Q296" s="332">
        <f>IFERROR(VLOOKUP(TEXT(O296,"0"),CONDUCTORES!$A$3:$H$54,6,0),"")</f>
        <v/>
      </c>
      <c r="R296" s="280" t="n"/>
      <c r="S296" s="280" t="n"/>
      <c r="T296" s="280" t="n"/>
      <c r="U296" s="280" t="n"/>
      <c r="V296" s="280" t="n"/>
      <c r="W296" s="280" t="n"/>
      <c r="X296" s="280" t="n"/>
      <c r="Y296" s="280" t="n"/>
    </row>
    <row r="297" ht="15" customHeight="1" s="195">
      <c r="A297" s="334" t="n"/>
      <c r="B297" s="334" t="n"/>
      <c r="C297" s="334" t="n"/>
      <c r="D297" s="334" t="n"/>
      <c r="E297" s="334" t="n"/>
      <c r="F297" s="334" t="n"/>
      <c r="G297" s="334" t="n"/>
      <c r="H297" s="334" t="n"/>
      <c r="I297" s="332">
        <f>IFERROR(VLOOKUP(TEXT(H297,"0"),IPRESS!$A$3:$B$212,2,0),"")</f>
        <v/>
      </c>
      <c r="J297" s="334" t="n"/>
      <c r="K297" s="332">
        <f>IFERROR(VLOOKUP(TEXT(O297,"0"),CONDUCTORES!$A$3:$G$54,7,0),"")</f>
        <v/>
      </c>
      <c r="L297" s="334" t="n"/>
      <c r="M297" s="334" t="n"/>
      <c r="N297" s="333">
        <f>IFERROR(IF(L297*M297=0,"",L297*M297),"")</f>
        <v/>
      </c>
      <c r="O297" s="334" t="n"/>
      <c r="P297" s="332">
        <f>IFERROR(VLOOKUP(TEXT(O297,"0"),CONDUCTORES!$A$3:$G$54,2,0),"")</f>
        <v/>
      </c>
      <c r="Q297" s="332">
        <f>IFERROR(VLOOKUP(TEXT(O297,"0"),CONDUCTORES!$A$3:$H$54,6,0),"")</f>
        <v/>
      </c>
      <c r="R297" s="334" t="n"/>
      <c r="S297" s="334" t="n"/>
      <c r="T297" s="334" t="n"/>
      <c r="U297" s="334" t="n"/>
      <c r="V297" s="334" t="n"/>
      <c r="W297" s="334" t="n"/>
      <c r="X297" s="334" t="n"/>
      <c r="Y297" s="334" t="n"/>
    </row>
    <row r="298" ht="15" customHeight="1" s="195">
      <c r="A298" s="280" t="n"/>
      <c r="B298" s="280" t="n"/>
      <c r="C298" s="280" t="n"/>
      <c r="D298" s="280" t="n"/>
      <c r="E298" s="280" t="n"/>
      <c r="F298" s="280" t="n"/>
      <c r="G298" s="280" t="n"/>
      <c r="H298" s="280" t="n"/>
      <c r="I298" s="332">
        <f>IFERROR(VLOOKUP(TEXT(H298,"0"),IPRESS!$A$3:$B$212,2,0),"")</f>
        <v/>
      </c>
      <c r="J298" s="280" t="n"/>
      <c r="K298" s="332">
        <f>IFERROR(VLOOKUP(TEXT(O298,"0"),CONDUCTORES!$A$3:$G$54,7,0),"")</f>
        <v/>
      </c>
      <c r="L298" s="280" t="n"/>
      <c r="M298" s="280" t="n"/>
      <c r="N298" s="333">
        <f>IFERROR(IF(L298*M298=0,"",L298*M298),"")</f>
        <v/>
      </c>
      <c r="O298" s="280" t="n"/>
      <c r="P298" s="332">
        <f>IFERROR(VLOOKUP(TEXT(O298,"0"),CONDUCTORES!$A$3:$G$54,2,0),"")</f>
        <v/>
      </c>
      <c r="Q298" s="332">
        <f>IFERROR(VLOOKUP(TEXT(O298,"0"),CONDUCTORES!$A$3:$H$54,6,0),"")</f>
        <v/>
      </c>
      <c r="R298" s="280" t="n"/>
      <c r="S298" s="280" t="n"/>
      <c r="T298" s="280" t="n"/>
      <c r="U298" s="280" t="n"/>
      <c r="V298" s="280" t="n"/>
      <c r="W298" s="280" t="n"/>
      <c r="X298" s="280" t="n"/>
      <c r="Y298" s="280" t="n"/>
    </row>
    <row r="299" ht="15" customHeight="1" s="195">
      <c r="A299" s="334" t="n"/>
      <c r="B299" s="334" t="n"/>
      <c r="C299" s="334" t="n"/>
      <c r="D299" s="334" t="n"/>
      <c r="E299" s="334" t="n"/>
      <c r="F299" s="334" t="n"/>
      <c r="G299" s="334" t="n"/>
      <c r="H299" s="334" t="n"/>
      <c r="I299" s="332">
        <f>IFERROR(VLOOKUP(TEXT(H299,"0"),IPRESS!$A$3:$B$212,2,0),"")</f>
        <v/>
      </c>
      <c r="J299" s="334" t="n"/>
      <c r="K299" s="332">
        <f>IFERROR(VLOOKUP(TEXT(O299,"0"),CONDUCTORES!$A$3:$G$54,7,0),"")</f>
        <v/>
      </c>
      <c r="L299" s="334" t="n"/>
      <c r="M299" s="334" t="n"/>
      <c r="N299" s="333">
        <f>IFERROR(IF(L299*M299=0,"",L299*M299),"")</f>
        <v/>
      </c>
      <c r="O299" s="334" t="n"/>
      <c r="P299" s="332">
        <f>IFERROR(VLOOKUP(TEXT(O299,"0"),CONDUCTORES!$A$3:$G$54,2,0),"")</f>
        <v/>
      </c>
      <c r="Q299" s="332">
        <f>IFERROR(VLOOKUP(TEXT(O299,"0"),CONDUCTORES!$A$3:$H$54,6,0),"")</f>
        <v/>
      </c>
      <c r="R299" s="334" t="n"/>
      <c r="S299" s="334" t="n"/>
      <c r="T299" s="334" t="n"/>
      <c r="U299" s="334" t="n"/>
      <c r="V299" s="334" t="n"/>
      <c r="W299" s="334" t="n"/>
      <c r="X299" s="334" t="n"/>
      <c r="Y299" s="334" t="n"/>
    </row>
    <row r="300" ht="15" customHeight="1" s="195">
      <c r="A300" s="280" t="n"/>
      <c r="B300" s="280" t="n"/>
      <c r="C300" s="280" t="n"/>
      <c r="D300" s="280" t="n"/>
      <c r="E300" s="280" t="n"/>
      <c r="F300" s="280" t="n"/>
      <c r="G300" s="280" t="n"/>
      <c r="H300" s="280" t="n"/>
      <c r="I300" s="332">
        <f>IFERROR(VLOOKUP(TEXT(H300,"0"),IPRESS!$A$3:$B$212,2,0),"")</f>
        <v/>
      </c>
      <c r="J300" s="280" t="n"/>
      <c r="K300" s="332">
        <f>IFERROR(VLOOKUP(TEXT(O300,"0"),CONDUCTORES!$A$3:$G$54,7,0),"")</f>
        <v/>
      </c>
      <c r="L300" s="280" t="n"/>
      <c r="M300" s="280" t="n"/>
      <c r="N300" s="333">
        <f>IFERROR(IF(L300*M300=0,"",L300*M300),"")</f>
        <v/>
      </c>
      <c r="O300" s="280" t="n"/>
      <c r="P300" s="332">
        <f>IFERROR(VLOOKUP(TEXT(O300,"0"),CONDUCTORES!$A$3:$G$54,2,0),"")</f>
        <v/>
      </c>
      <c r="Q300" s="332">
        <f>IFERROR(VLOOKUP(TEXT(O300,"0"),CONDUCTORES!$A$3:$H$54,6,0),"")</f>
        <v/>
      </c>
      <c r="R300" s="280" t="n"/>
      <c r="S300" s="280" t="n"/>
      <c r="T300" s="280" t="n"/>
      <c r="U300" s="280" t="n"/>
      <c r="V300" s="280" t="n"/>
      <c r="W300" s="280" t="n"/>
      <c r="X300" s="280" t="n"/>
      <c r="Y300" s="280" t="n"/>
    </row>
    <row r="301" ht="15" customHeight="1" s="195">
      <c r="A301" s="334" t="n"/>
      <c r="B301" s="334" t="n"/>
      <c r="C301" s="334" t="n"/>
      <c r="D301" s="334" t="n"/>
      <c r="E301" s="334" t="n"/>
      <c r="F301" s="334" t="n"/>
      <c r="G301" s="334" t="n"/>
      <c r="H301" s="334" t="n"/>
      <c r="I301" s="332">
        <f>IFERROR(VLOOKUP(TEXT(H301,"0"),IPRESS!$A$3:$B$212,2,0),"")</f>
        <v/>
      </c>
      <c r="J301" s="334" t="n"/>
      <c r="K301" s="332">
        <f>IFERROR(VLOOKUP(TEXT(O301,"0"),CONDUCTORES!$A$3:$G$54,7,0),"")</f>
        <v/>
      </c>
      <c r="L301" s="334" t="n"/>
      <c r="M301" s="334" t="n"/>
      <c r="N301" s="333">
        <f>IFERROR(IF(L301*M301=0,"",L301*M301),"")</f>
        <v/>
      </c>
      <c r="O301" s="334" t="n"/>
      <c r="P301" s="332">
        <f>IFERROR(VLOOKUP(TEXT(O301,"0"),CONDUCTORES!$A$3:$G$54,2,0),"")</f>
        <v/>
      </c>
      <c r="Q301" s="332">
        <f>IFERROR(VLOOKUP(TEXT(O301,"0"),CONDUCTORES!$A$3:$H$54,6,0),"")</f>
        <v/>
      </c>
      <c r="R301" s="334" t="n"/>
      <c r="S301" s="334" t="n"/>
      <c r="T301" s="334" t="n"/>
      <c r="U301" s="334" t="n"/>
      <c r="V301" s="334" t="n"/>
      <c r="W301" s="334" t="n"/>
      <c r="X301" s="334" t="n"/>
      <c r="Y301" s="334" t="n"/>
    </row>
    <row r="302" ht="15" customHeight="1" s="195">
      <c r="A302" s="280" t="n"/>
      <c r="B302" s="280" t="n"/>
      <c r="C302" s="280" t="n"/>
      <c r="D302" s="280" t="n"/>
      <c r="E302" s="280" t="n"/>
      <c r="F302" s="280" t="n"/>
      <c r="G302" s="280" t="n"/>
      <c r="H302" s="280" t="n"/>
      <c r="I302" s="332">
        <f>IFERROR(VLOOKUP(TEXT(H302,"0"),IPRESS!$A$3:$B$212,2,0),"")</f>
        <v/>
      </c>
      <c r="J302" s="280" t="n"/>
      <c r="K302" s="332">
        <f>IFERROR(VLOOKUP(TEXT(O302,"0"),CONDUCTORES!$A$3:$G$54,7,0),"")</f>
        <v/>
      </c>
      <c r="L302" s="280" t="n"/>
      <c r="M302" s="280" t="n"/>
      <c r="N302" s="333">
        <f>IFERROR(IF(L302*M302=0,"",L302*M302),"")</f>
        <v/>
      </c>
      <c r="O302" s="280" t="n"/>
      <c r="P302" s="332">
        <f>IFERROR(VLOOKUP(TEXT(O302,"0"),CONDUCTORES!$A$3:$G$54,2,0),"")</f>
        <v/>
      </c>
      <c r="Q302" s="332">
        <f>IFERROR(VLOOKUP(TEXT(O302,"0"),CONDUCTORES!$A$3:$H$54,6,0),"")</f>
        <v/>
      </c>
      <c r="R302" s="280" t="n"/>
      <c r="S302" s="280" t="n"/>
      <c r="T302" s="280" t="n"/>
      <c r="U302" s="280" t="n"/>
      <c r="V302" s="280" t="n"/>
      <c r="W302" s="280" t="n"/>
      <c r="X302" s="280" t="n"/>
      <c r="Y302" s="280" t="n"/>
    </row>
    <row r="303" ht="15" customHeight="1" s="195">
      <c r="A303" s="334" t="n"/>
      <c r="B303" s="334" t="n"/>
      <c r="C303" s="334" t="n"/>
      <c r="D303" s="334" t="n"/>
      <c r="E303" s="334" t="n"/>
      <c r="F303" s="334" t="n"/>
      <c r="G303" s="334" t="n"/>
      <c r="H303" s="334" t="n"/>
      <c r="I303" s="332">
        <f>IFERROR(VLOOKUP(TEXT(H303,"0"),IPRESS!$A$3:$B$212,2,0),"")</f>
        <v/>
      </c>
      <c r="J303" s="334" t="n"/>
      <c r="K303" s="332">
        <f>IFERROR(VLOOKUP(TEXT(O303,"0"),CONDUCTORES!$A$3:$G$54,7,0),"")</f>
        <v/>
      </c>
      <c r="L303" s="334" t="n"/>
      <c r="M303" s="334" t="n"/>
      <c r="N303" s="333">
        <f>IFERROR(IF(L303*M303=0,"",L303*M303),"")</f>
        <v/>
      </c>
      <c r="O303" s="334" t="n"/>
      <c r="P303" s="332">
        <f>IFERROR(VLOOKUP(TEXT(O303,"0"),CONDUCTORES!$A$3:$G$54,2,0),"")</f>
        <v/>
      </c>
      <c r="Q303" s="332">
        <f>IFERROR(VLOOKUP(TEXT(O303,"0"),CONDUCTORES!$A$3:$H$54,6,0),"")</f>
        <v/>
      </c>
      <c r="R303" s="334" t="n"/>
      <c r="S303" s="334" t="n"/>
      <c r="T303" s="334" t="n"/>
      <c r="U303" s="334" t="n"/>
      <c r="V303" s="334" t="n"/>
      <c r="W303" s="334" t="n"/>
      <c r="X303" s="334" t="n"/>
      <c r="Y303" s="334" t="n"/>
    </row>
    <row r="304" ht="15" customHeight="1" s="195">
      <c r="A304" s="280" t="n"/>
      <c r="B304" s="280" t="n"/>
      <c r="C304" s="280" t="n"/>
      <c r="D304" s="280" t="n"/>
      <c r="E304" s="280" t="n"/>
      <c r="F304" s="280" t="n"/>
      <c r="G304" s="280" t="n"/>
      <c r="H304" s="280" t="n"/>
      <c r="I304" s="332">
        <f>IFERROR(VLOOKUP(TEXT(H304,"0"),IPRESS!$A$3:$B$212,2,0),"")</f>
        <v/>
      </c>
      <c r="J304" s="280" t="n"/>
      <c r="K304" s="332">
        <f>IFERROR(VLOOKUP(TEXT(O304,"0"),CONDUCTORES!$A$3:$G$54,7,0),"")</f>
        <v/>
      </c>
      <c r="L304" s="280" t="n"/>
      <c r="M304" s="280" t="n"/>
      <c r="N304" s="333">
        <f>IFERROR(IF(L304*M304=0,"",L304*M304),"")</f>
        <v/>
      </c>
      <c r="O304" s="280" t="n"/>
      <c r="P304" s="332">
        <f>IFERROR(VLOOKUP(TEXT(O304,"0"),CONDUCTORES!$A$3:$G$54,2,0),"")</f>
        <v/>
      </c>
      <c r="Q304" s="332">
        <f>IFERROR(VLOOKUP(TEXT(O304,"0"),CONDUCTORES!$A$3:$H$54,6,0),"")</f>
        <v/>
      </c>
      <c r="R304" s="280" t="n"/>
      <c r="S304" s="280" t="n"/>
      <c r="T304" s="280" t="n"/>
      <c r="U304" s="280" t="n"/>
      <c r="V304" s="280" t="n"/>
      <c r="W304" s="280" t="n"/>
      <c r="X304" s="280" t="n"/>
      <c r="Y304" s="280" t="n"/>
    </row>
    <row r="305" ht="15" customHeight="1" s="195">
      <c r="A305" s="334" t="n"/>
      <c r="B305" s="334" t="n"/>
      <c r="C305" s="334" t="n"/>
      <c r="D305" s="334" t="n"/>
      <c r="E305" s="334" t="n"/>
      <c r="F305" s="334" t="n"/>
      <c r="G305" s="334" t="n"/>
      <c r="H305" s="334" t="n"/>
      <c r="I305" s="332">
        <f>IFERROR(VLOOKUP(TEXT(H305,"0"),IPRESS!$A$3:$B$212,2,0),"")</f>
        <v/>
      </c>
      <c r="J305" s="334" t="n"/>
      <c r="K305" s="332">
        <f>IFERROR(VLOOKUP(TEXT(O305,"0"),CONDUCTORES!$A$3:$G$54,7,0),"")</f>
        <v/>
      </c>
      <c r="L305" s="334" t="n"/>
      <c r="M305" s="334" t="n"/>
      <c r="N305" s="333">
        <f>IFERROR(IF(L305*M305=0,"",L305*M305),"")</f>
        <v/>
      </c>
      <c r="O305" s="334" t="n"/>
      <c r="P305" s="332">
        <f>IFERROR(VLOOKUP(TEXT(O305,"0"),CONDUCTORES!$A$3:$G$54,2,0),"")</f>
        <v/>
      </c>
      <c r="Q305" s="332">
        <f>IFERROR(VLOOKUP(TEXT(O305,"0"),CONDUCTORES!$A$3:$H$54,6,0),"")</f>
        <v/>
      </c>
      <c r="R305" s="334" t="n"/>
      <c r="S305" s="334" t="n"/>
      <c r="T305" s="334" t="n"/>
      <c r="U305" s="334" t="n"/>
      <c r="V305" s="334" t="n"/>
      <c r="W305" s="334" t="n"/>
      <c r="X305" s="334" t="n"/>
      <c r="Y305" s="334" t="n"/>
    </row>
    <row r="306" ht="15" customHeight="1" s="195">
      <c r="A306" s="280" t="n"/>
      <c r="B306" s="280" t="n"/>
      <c r="C306" s="280" t="n"/>
      <c r="D306" s="280" t="n"/>
      <c r="E306" s="280" t="n"/>
      <c r="F306" s="280" t="n"/>
      <c r="G306" s="280" t="n"/>
      <c r="H306" s="280" t="n"/>
      <c r="I306" s="332">
        <f>IFERROR(VLOOKUP(TEXT(H306,"0"),IPRESS!$A$3:$B$212,2,0),"")</f>
        <v/>
      </c>
      <c r="J306" s="280" t="n"/>
      <c r="K306" s="332">
        <f>IFERROR(VLOOKUP(TEXT(O306,"0"),CONDUCTORES!$A$3:$G$54,7,0),"")</f>
        <v/>
      </c>
      <c r="L306" s="280" t="n"/>
      <c r="M306" s="280" t="n"/>
      <c r="N306" s="333">
        <f>IFERROR(IF(L306*M306=0,"",L306*M306),"")</f>
        <v/>
      </c>
      <c r="O306" s="280" t="n"/>
      <c r="P306" s="332">
        <f>IFERROR(VLOOKUP(TEXT(O306,"0"),CONDUCTORES!$A$3:$G$54,2,0),"")</f>
        <v/>
      </c>
      <c r="Q306" s="332">
        <f>IFERROR(VLOOKUP(TEXT(O306,"0"),CONDUCTORES!$A$3:$H$54,6,0),"")</f>
        <v/>
      </c>
      <c r="R306" s="280" t="n"/>
      <c r="S306" s="280" t="n"/>
      <c r="T306" s="280" t="n"/>
      <c r="U306" s="280" t="n"/>
      <c r="V306" s="280" t="n"/>
      <c r="W306" s="280" t="n"/>
      <c r="X306" s="280" t="n"/>
      <c r="Y306" s="280" t="n"/>
    </row>
    <row r="307" ht="15" customHeight="1" s="195">
      <c r="A307" s="334" t="n"/>
      <c r="B307" s="334" t="n"/>
      <c r="C307" s="334" t="n"/>
      <c r="D307" s="334" t="n"/>
      <c r="E307" s="334" t="n"/>
      <c r="F307" s="334" t="n"/>
      <c r="G307" s="334" t="n"/>
      <c r="H307" s="334" t="n"/>
      <c r="I307" s="332">
        <f>IFERROR(VLOOKUP(TEXT(H307,"0"),IPRESS!$A$3:$B$212,2,0),"")</f>
        <v/>
      </c>
      <c r="J307" s="334" t="n"/>
      <c r="K307" s="332">
        <f>IFERROR(VLOOKUP(TEXT(O307,"0"),CONDUCTORES!$A$3:$G$54,7,0),"")</f>
        <v/>
      </c>
      <c r="L307" s="334" t="n"/>
      <c r="M307" s="334" t="n"/>
      <c r="N307" s="333">
        <f>IFERROR(IF(L307*M307=0,"",L307*M307),"")</f>
        <v/>
      </c>
      <c r="O307" s="334" t="n"/>
      <c r="P307" s="332">
        <f>IFERROR(VLOOKUP(TEXT(O307,"0"),CONDUCTORES!$A$3:$G$54,2,0),"")</f>
        <v/>
      </c>
      <c r="Q307" s="332">
        <f>IFERROR(VLOOKUP(TEXT(O307,"0"),CONDUCTORES!$A$3:$H$54,6,0),"")</f>
        <v/>
      </c>
      <c r="R307" s="334" t="n"/>
      <c r="S307" s="334" t="n"/>
      <c r="T307" s="334" t="n"/>
      <c r="U307" s="334" t="n"/>
      <c r="V307" s="334" t="n"/>
      <c r="W307" s="334" t="n"/>
      <c r="X307" s="334" t="n"/>
      <c r="Y307" s="334" t="n"/>
    </row>
    <row r="308" ht="15" customHeight="1" s="195">
      <c r="A308" s="280" t="n"/>
      <c r="B308" s="280" t="n"/>
      <c r="C308" s="280" t="n"/>
      <c r="D308" s="280" t="n"/>
      <c r="E308" s="280" t="n"/>
      <c r="F308" s="280" t="n"/>
      <c r="G308" s="280" t="n"/>
      <c r="H308" s="280" t="n"/>
      <c r="I308" s="332">
        <f>IFERROR(VLOOKUP(TEXT(H308,"0"),IPRESS!$A$3:$B$212,2,0),"")</f>
        <v/>
      </c>
      <c r="J308" s="280" t="n"/>
      <c r="K308" s="332">
        <f>IFERROR(VLOOKUP(TEXT(O308,"0"),CONDUCTORES!$A$3:$G$54,7,0),"")</f>
        <v/>
      </c>
      <c r="L308" s="280" t="n"/>
      <c r="M308" s="280" t="n"/>
      <c r="N308" s="333">
        <f>IFERROR(IF(L308*M308=0,"",L308*M308),"")</f>
        <v/>
      </c>
      <c r="O308" s="280" t="n"/>
      <c r="P308" s="332">
        <f>IFERROR(VLOOKUP(TEXT(O308,"0"),CONDUCTORES!$A$3:$G$54,2,0),"")</f>
        <v/>
      </c>
      <c r="Q308" s="332">
        <f>IFERROR(VLOOKUP(TEXT(O308,"0"),CONDUCTORES!$A$3:$H$54,6,0),"")</f>
        <v/>
      </c>
      <c r="R308" s="280" t="n"/>
      <c r="S308" s="280" t="n"/>
      <c r="T308" s="280" t="n"/>
      <c r="U308" s="280" t="n"/>
      <c r="V308" s="280" t="n"/>
      <c r="W308" s="280" t="n"/>
      <c r="X308" s="280" t="n"/>
      <c r="Y308" s="280" t="n"/>
    </row>
    <row r="309" ht="15" customHeight="1" s="195">
      <c r="A309" s="334" t="n"/>
      <c r="B309" s="334" t="n"/>
      <c r="C309" s="334" t="n"/>
      <c r="D309" s="334" t="n"/>
      <c r="E309" s="334" t="n"/>
      <c r="F309" s="334" t="n"/>
      <c r="G309" s="334" t="n"/>
      <c r="H309" s="334" t="n"/>
      <c r="I309" s="332">
        <f>IFERROR(VLOOKUP(TEXT(H309,"0"),IPRESS!$A$3:$B$212,2,0),"")</f>
        <v/>
      </c>
      <c r="J309" s="334" t="n"/>
      <c r="K309" s="332">
        <f>IFERROR(VLOOKUP(TEXT(O309,"0"),CONDUCTORES!$A$3:$G$54,7,0),"")</f>
        <v/>
      </c>
      <c r="L309" s="334" t="n"/>
      <c r="M309" s="334" t="n"/>
      <c r="N309" s="333">
        <f>IFERROR(IF(L309*M309=0,"",L309*M309),"")</f>
        <v/>
      </c>
      <c r="O309" s="334" t="n"/>
      <c r="P309" s="332">
        <f>IFERROR(VLOOKUP(TEXT(O309,"0"),CONDUCTORES!$A$3:$G$54,2,0),"")</f>
        <v/>
      </c>
      <c r="Q309" s="332">
        <f>IFERROR(VLOOKUP(TEXT(O309,"0"),CONDUCTORES!$A$3:$H$54,6,0),"")</f>
        <v/>
      </c>
      <c r="R309" s="334" t="n"/>
      <c r="S309" s="334" t="n"/>
      <c r="T309" s="334" t="n"/>
      <c r="U309" s="334" t="n"/>
      <c r="V309" s="334" t="n"/>
      <c r="W309" s="334" t="n"/>
      <c r="X309" s="334" t="n"/>
      <c r="Y309" s="334" t="n"/>
    </row>
    <row r="310" ht="15" customHeight="1" s="195">
      <c r="A310" s="280" t="n"/>
      <c r="B310" s="280" t="n"/>
      <c r="C310" s="280" t="n"/>
      <c r="D310" s="280" t="n"/>
      <c r="E310" s="280" t="n"/>
      <c r="F310" s="280" t="n"/>
      <c r="G310" s="280" t="n"/>
      <c r="H310" s="280" t="n"/>
      <c r="I310" s="332">
        <f>IFERROR(VLOOKUP(TEXT(H310,"0"),IPRESS!$A$3:$B$212,2,0),"")</f>
        <v/>
      </c>
      <c r="J310" s="280" t="n"/>
      <c r="K310" s="332">
        <f>IFERROR(VLOOKUP(TEXT(O310,"0"),CONDUCTORES!$A$3:$G$54,7,0),"")</f>
        <v/>
      </c>
      <c r="L310" s="280" t="n"/>
      <c r="M310" s="280" t="n"/>
      <c r="N310" s="333">
        <f>IFERROR(IF(L310*M310=0,"",L310*M310),"")</f>
        <v/>
      </c>
      <c r="O310" s="280" t="n"/>
      <c r="P310" s="332">
        <f>IFERROR(VLOOKUP(TEXT(O310,"0"),CONDUCTORES!$A$3:$G$54,2,0),"")</f>
        <v/>
      </c>
      <c r="Q310" s="332">
        <f>IFERROR(VLOOKUP(TEXT(O310,"0"),CONDUCTORES!$A$3:$H$54,6,0),"")</f>
        <v/>
      </c>
      <c r="R310" s="280" t="n"/>
      <c r="S310" s="280" t="n"/>
      <c r="T310" s="280" t="n"/>
      <c r="U310" s="280" t="n"/>
      <c r="V310" s="280" t="n"/>
      <c r="W310" s="280" t="n"/>
      <c r="X310" s="280" t="n"/>
      <c r="Y310" s="280" t="n"/>
    </row>
    <row r="311" ht="15" customHeight="1" s="195">
      <c r="A311" s="334" t="n"/>
      <c r="B311" s="334" t="n"/>
      <c r="C311" s="334" t="n"/>
      <c r="D311" s="334" t="n"/>
      <c r="E311" s="334" t="n"/>
      <c r="F311" s="334" t="n"/>
      <c r="G311" s="334" t="n"/>
      <c r="H311" s="334" t="n"/>
      <c r="I311" s="332">
        <f>IFERROR(VLOOKUP(TEXT(H311,"0"),IPRESS!$A$3:$B$212,2,0),"")</f>
        <v/>
      </c>
      <c r="J311" s="334" t="n"/>
      <c r="K311" s="332">
        <f>IFERROR(VLOOKUP(TEXT(O311,"0"),CONDUCTORES!$A$3:$G$54,7,0),"")</f>
        <v/>
      </c>
      <c r="L311" s="334" t="n"/>
      <c r="M311" s="334" t="n"/>
      <c r="N311" s="333">
        <f>IFERROR(IF(L311*M311=0,"",L311*M311),"")</f>
        <v/>
      </c>
      <c r="O311" s="334" t="n"/>
      <c r="P311" s="332">
        <f>IFERROR(VLOOKUP(TEXT(O311,"0"),CONDUCTORES!$A$3:$G$54,2,0),"")</f>
        <v/>
      </c>
      <c r="Q311" s="332">
        <f>IFERROR(VLOOKUP(TEXT(O311,"0"),CONDUCTORES!$A$3:$H$54,6,0),"")</f>
        <v/>
      </c>
      <c r="R311" s="334" t="n"/>
      <c r="S311" s="334" t="n"/>
      <c r="T311" s="334" t="n"/>
      <c r="U311" s="334" t="n"/>
      <c r="V311" s="334" t="n"/>
      <c r="W311" s="334" t="n"/>
      <c r="X311" s="334" t="n"/>
      <c r="Y311" s="334" t="n"/>
    </row>
    <row r="312" ht="15" customHeight="1" s="195">
      <c r="A312" s="280" t="n"/>
      <c r="B312" s="280" t="n"/>
      <c r="C312" s="280" t="n"/>
      <c r="D312" s="280" t="n"/>
      <c r="E312" s="280" t="n"/>
      <c r="F312" s="280" t="n"/>
      <c r="G312" s="280" t="n"/>
      <c r="H312" s="280" t="n"/>
      <c r="I312" s="332">
        <f>IFERROR(VLOOKUP(TEXT(H312,"0"),IPRESS!$A$3:$B$212,2,0),"")</f>
        <v/>
      </c>
      <c r="J312" s="280" t="n"/>
      <c r="K312" s="332">
        <f>IFERROR(VLOOKUP(TEXT(O312,"0"),CONDUCTORES!$A$3:$G$54,7,0),"")</f>
        <v/>
      </c>
      <c r="L312" s="280" t="n"/>
      <c r="M312" s="280" t="n"/>
      <c r="N312" s="333">
        <f>IFERROR(IF(L312*M312=0,"",L312*M312),"")</f>
        <v/>
      </c>
      <c r="O312" s="280" t="n"/>
      <c r="P312" s="332">
        <f>IFERROR(VLOOKUP(TEXT(O312,"0"),CONDUCTORES!$A$3:$G$54,2,0),"")</f>
        <v/>
      </c>
      <c r="Q312" s="332">
        <f>IFERROR(VLOOKUP(TEXT(O312,"0"),CONDUCTORES!$A$3:$H$54,6,0),"")</f>
        <v/>
      </c>
      <c r="R312" s="280" t="n"/>
      <c r="S312" s="280" t="n"/>
      <c r="T312" s="280" t="n"/>
      <c r="U312" s="280" t="n"/>
      <c r="V312" s="280" t="n"/>
      <c r="W312" s="280" t="n"/>
      <c r="X312" s="280" t="n"/>
      <c r="Y312" s="280" t="n"/>
    </row>
    <row r="313" ht="15" customHeight="1" s="195">
      <c r="A313" s="334" t="n"/>
      <c r="B313" s="334" t="n"/>
      <c r="C313" s="334" t="n"/>
      <c r="D313" s="334" t="n"/>
      <c r="E313" s="334" t="n"/>
      <c r="F313" s="334" t="n"/>
      <c r="G313" s="334" t="n"/>
      <c r="H313" s="334" t="n"/>
      <c r="I313" s="332">
        <f>IFERROR(VLOOKUP(TEXT(H313,"0"),IPRESS!$A$3:$B$212,2,0),"")</f>
        <v/>
      </c>
      <c r="J313" s="334" t="n"/>
      <c r="K313" s="332">
        <f>IFERROR(VLOOKUP(TEXT(O313,"0"),CONDUCTORES!$A$3:$G$54,7,0),"")</f>
        <v/>
      </c>
      <c r="L313" s="334" t="n"/>
      <c r="M313" s="334" t="n"/>
      <c r="N313" s="333">
        <f>IFERROR(IF(L313*M313=0,"",L313*M313),"")</f>
        <v/>
      </c>
      <c r="O313" s="334" t="n"/>
      <c r="P313" s="332">
        <f>IFERROR(VLOOKUP(TEXT(O313,"0"),CONDUCTORES!$A$3:$G$54,2,0),"")</f>
        <v/>
      </c>
      <c r="Q313" s="332">
        <f>IFERROR(VLOOKUP(TEXT(O313,"0"),CONDUCTORES!$A$3:$H$54,6,0),"")</f>
        <v/>
      </c>
      <c r="R313" s="334" t="n"/>
      <c r="S313" s="334" t="n"/>
      <c r="T313" s="334" t="n"/>
      <c r="U313" s="334" t="n"/>
      <c r="V313" s="334" t="n"/>
      <c r="W313" s="334" t="n"/>
      <c r="X313" s="334" t="n"/>
      <c r="Y313" s="334" t="n"/>
    </row>
    <row r="314" ht="15" customHeight="1" s="195">
      <c r="A314" s="280" t="n"/>
      <c r="B314" s="280" t="n"/>
      <c r="C314" s="280" t="n"/>
      <c r="D314" s="280" t="n"/>
      <c r="E314" s="280" t="n"/>
      <c r="F314" s="280" t="n"/>
      <c r="G314" s="280" t="n"/>
      <c r="H314" s="280" t="n"/>
      <c r="I314" s="332">
        <f>IFERROR(VLOOKUP(TEXT(H314,"0"),IPRESS!$A$3:$B$212,2,0),"")</f>
        <v/>
      </c>
      <c r="J314" s="280" t="n"/>
      <c r="K314" s="332">
        <f>IFERROR(VLOOKUP(TEXT(O314,"0"),CONDUCTORES!$A$3:$G$54,7,0),"")</f>
        <v/>
      </c>
      <c r="L314" s="280" t="n"/>
      <c r="M314" s="280" t="n"/>
      <c r="N314" s="333">
        <f>IFERROR(IF(L314*M314=0,"",L314*M314),"")</f>
        <v/>
      </c>
      <c r="O314" s="280" t="n"/>
      <c r="P314" s="332">
        <f>IFERROR(VLOOKUP(TEXT(O314,"0"),CONDUCTORES!$A$3:$G$54,2,0),"")</f>
        <v/>
      </c>
      <c r="Q314" s="332">
        <f>IFERROR(VLOOKUP(TEXT(O314,"0"),CONDUCTORES!$A$3:$H$54,6,0),"")</f>
        <v/>
      </c>
      <c r="R314" s="280" t="n"/>
      <c r="S314" s="280" t="n"/>
      <c r="T314" s="280" t="n"/>
      <c r="U314" s="280" t="n"/>
      <c r="V314" s="280" t="n"/>
      <c r="W314" s="280" t="n"/>
      <c r="X314" s="280" t="n"/>
      <c r="Y314" s="280" t="n"/>
    </row>
    <row r="315" ht="15" customHeight="1" s="195">
      <c r="A315" s="334" t="n"/>
      <c r="B315" s="334" t="n"/>
      <c r="C315" s="334" t="n"/>
      <c r="D315" s="334" t="n"/>
      <c r="E315" s="334" t="n"/>
      <c r="F315" s="334" t="n"/>
      <c r="G315" s="334" t="n"/>
      <c r="H315" s="334" t="n"/>
      <c r="I315" s="332">
        <f>IFERROR(VLOOKUP(TEXT(H315,"0"),IPRESS!$A$3:$B$212,2,0),"")</f>
        <v/>
      </c>
      <c r="J315" s="334" t="n"/>
      <c r="K315" s="332">
        <f>IFERROR(VLOOKUP(TEXT(O315,"0"),CONDUCTORES!$A$3:$G$54,7,0),"")</f>
        <v/>
      </c>
      <c r="L315" s="334" t="n"/>
      <c r="M315" s="334" t="n"/>
      <c r="N315" s="333">
        <f>IFERROR(IF(L315*M315=0,"",L315*M315),"")</f>
        <v/>
      </c>
      <c r="O315" s="334" t="n"/>
      <c r="P315" s="332">
        <f>IFERROR(VLOOKUP(TEXT(O315,"0"),CONDUCTORES!$A$3:$G$54,2,0),"")</f>
        <v/>
      </c>
      <c r="Q315" s="332">
        <f>IFERROR(VLOOKUP(TEXT(O315,"0"),CONDUCTORES!$A$3:$H$54,6,0),"")</f>
        <v/>
      </c>
      <c r="R315" s="334" t="n"/>
      <c r="S315" s="334" t="n"/>
      <c r="T315" s="334" t="n"/>
      <c r="U315" s="334" t="n"/>
      <c r="V315" s="334" t="n"/>
      <c r="W315" s="334" t="n"/>
      <c r="X315" s="334" t="n"/>
      <c r="Y315" s="334" t="n"/>
    </row>
    <row r="316" ht="15" customHeight="1" s="195">
      <c r="A316" s="280" t="n"/>
      <c r="B316" s="280" t="n"/>
      <c r="C316" s="280" t="n"/>
      <c r="D316" s="280" t="n"/>
      <c r="E316" s="280" t="n"/>
      <c r="F316" s="280" t="n"/>
      <c r="G316" s="280" t="n"/>
      <c r="H316" s="280" t="n"/>
      <c r="I316" s="332">
        <f>IFERROR(VLOOKUP(TEXT(H316,"0"),IPRESS!$A$3:$B$212,2,0),"")</f>
        <v/>
      </c>
      <c r="J316" s="280" t="n"/>
      <c r="K316" s="332">
        <f>IFERROR(VLOOKUP(TEXT(O316,"0"),CONDUCTORES!$A$3:$G$54,7,0),"")</f>
        <v/>
      </c>
      <c r="L316" s="280" t="n"/>
      <c r="M316" s="280" t="n"/>
      <c r="N316" s="333">
        <f>IFERROR(IF(L316*M316=0,"",L316*M316),"")</f>
        <v/>
      </c>
      <c r="O316" s="280" t="n"/>
      <c r="P316" s="332">
        <f>IFERROR(VLOOKUP(TEXT(O316,"0"),CONDUCTORES!$A$3:$G$54,2,0),"")</f>
        <v/>
      </c>
      <c r="Q316" s="332">
        <f>IFERROR(VLOOKUP(TEXT(O316,"0"),CONDUCTORES!$A$3:$H$54,6,0),"")</f>
        <v/>
      </c>
      <c r="R316" s="280" t="n"/>
      <c r="S316" s="280" t="n"/>
      <c r="T316" s="280" t="n"/>
      <c r="U316" s="280" t="n"/>
      <c r="V316" s="280" t="n"/>
      <c r="W316" s="280" t="n"/>
      <c r="X316" s="280" t="n"/>
      <c r="Y316" s="280" t="n"/>
    </row>
    <row r="317" ht="15" customHeight="1" s="195">
      <c r="A317" s="334" t="n"/>
      <c r="B317" s="334" t="n"/>
      <c r="C317" s="334" t="n"/>
      <c r="D317" s="334" t="n"/>
      <c r="E317" s="334" t="n"/>
      <c r="F317" s="334" t="n"/>
      <c r="G317" s="334" t="n"/>
      <c r="H317" s="334" t="n"/>
      <c r="I317" s="332">
        <f>IFERROR(VLOOKUP(TEXT(H317,"0"),IPRESS!$A$3:$B$212,2,0),"")</f>
        <v/>
      </c>
      <c r="J317" s="334" t="n"/>
      <c r="K317" s="332">
        <f>IFERROR(VLOOKUP(TEXT(O317,"0"),CONDUCTORES!$A$3:$G$54,7,0),"")</f>
        <v/>
      </c>
      <c r="L317" s="334" t="n"/>
      <c r="M317" s="334" t="n"/>
      <c r="N317" s="333">
        <f>IFERROR(IF(L317*M317=0,"",L317*M317),"")</f>
        <v/>
      </c>
      <c r="O317" s="334" t="n"/>
      <c r="P317" s="332">
        <f>IFERROR(VLOOKUP(TEXT(O317,"0"),CONDUCTORES!$A$3:$G$54,2,0),"")</f>
        <v/>
      </c>
      <c r="Q317" s="332">
        <f>IFERROR(VLOOKUP(TEXT(O317,"0"),CONDUCTORES!$A$3:$H$54,6,0),"")</f>
        <v/>
      </c>
      <c r="R317" s="334" t="n"/>
      <c r="S317" s="334" t="n"/>
      <c r="T317" s="334" t="n"/>
      <c r="U317" s="334" t="n"/>
      <c r="V317" s="334" t="n"/>
      <c r="W317" s="334" t="n"/>
      <c r="X317" s="334" t="n"/>
      <c r="Y317" s="334" t="n"/>
    </row>
    <row r="318" ht="15" customHeight="1" s="195">
      <c r="A318" s="280" t="n"/>
      <c r="B318" s="280" t="n"/>
      <c r="C318" s="280" t="n"/>
      <c r="D318" s="280" t="n"/>
      <c r="E318" s="280" t="n"/>
      <c r="F318" s="280" t="n"/>
      <c r="G318" s="280" t="n"/>
      <c r="H318" s="280" t="n"/>
      <c r="I318" s="332">
        <f>IFERROR(VLOOKUP(TEXT(H318,"0"),IPRESS!$A$3:$B$212,2,0),"")</f>
        <v/>
      </c>
      <c r="J318" s="280" t="n"/>
      <c r="K318" s="332">
        <f>IFERROR(VLOOKUP(TEXT(O318,"0"),CONDUCTORES!$A$3:$G$54,7,0),"")</f>
        <v/>
      </c>
      <c r="L318" s="280" t="n"/>
      <c r="M318" s="280" t="n"/>
      <c r="N318" s="333">
        <f>IFERROR(IF(L318*M318=0,"",L318*M318),"")</f>
        <v/>
      </c>
      <c r="O318" s="280" t="n"/>
      <c r="P318" s="332">
        <f>IFERROR(VLOOKUP(TEXT(O318,"0"),CONDUCTORES!$A$3:$G$54,2,0),"")</f>
        <v/>
      </c>
      <c r="Q318" s="332">
        <f>IFERROR(VLOOKUP(TEXT(O318,"0"),CONDUCTORES!$A$3:$H$54,6,0),"")</f>
        <v/>
      </c>
      <c r="R318" s="280" t="n"/>
      <c r="S318" s="280" t="n"/>
      <c r="T318" s="280" t="n"/>
      <c r="U318" s="280" t="n"/>
      <c r="V318" s="280" t="n"/>
      <c r="W318" s="280" t="n"/>
      <c r="X318" s="280" t="n"/>
      <c r="Y318" s="280" t="n"/>
    </row>
    <row r="319" ht="15" customHeight="1" s="195">
      <c r="A319" s="334" t="n"/>
      <c r="B319" s="334" t="n"/>
      <c r="C319" s="334" t="n"/>
      <c r="D319" s="334" t="n"/>
      <c r="E319" s="334" t="n"/>
      <c r="F319" s="334" t="n"/>
      <c r="G319" s="334" t="n"/>
      <c r="H319" s="334" t="n"/>
      <c r="I319" s="332">
        <f>IFERROR(VLOOKUP(TEXT(H319,"0"),IPRESS!$A$3:$B$212,2,0),"")</f>
        <v/>
      </c>
      <c r="J319" s="334" t="n"/>
      <c r="K319" s="332">
        <f>IFERROR(VLOOKUP(TEXT(O319,"0"),CONDUCTORES!$A$3:$G$54,7,0),"")</f>
        <v/>
      </c>
      <c r="L319" s="334" t="n"/>
      <c r="M319" s="334" t="n"/>
      <c r="N319" s="333">
        <f>IFERROR(IF(L319*M319=0,"",L319*M319),"")</f>
        <v/>
      </c>
      <c r="O319" s="334" t="n"/>
      <c r="P319" s="332">
        <f>IFERROR(VLOOKUP(TEXT(O319,"0"),CONDUCTORES!$A$3:$G$54,2,0),"")</f>
        <v/>
      </c>
      <c r="Q319" s="332">
        <f>IFERROR(VLOOKUP(TEXT(O319,"0"),CONDUCTORES!$A$3:$H$54,6,0),"")</f>
        <v/>
      </c>
      <c r="R319" s="334" t="n"/>
      <c r="S319" s="334" t="n"/>
      <c r="T319" s="334" t="n"/>
      <c r="U319" s="334" t="n"/>
      <c r="V319" s="334" t="n"/>
      <c r="W319" s="334" t="n"/>
      <c r="X319" s="334" t="n"/>
      <c r="Y319" s="334" t="n"/>
    </row>
    <row r="320" ht="15" customHeight="1" s="195">
      <c r="A320" s="280" t="n"/>
      <c r="B320" s="280" t="n"/>
      <c r="C320" s="280" t="n"/>
      <c r="D320" s="280" t="n"/>
      <c r="E320" s="280" t="n"/>
      <c r="F320" s="280" t="n"/>
      <c r="G320" s="280" t="n"/>
      <c r="H320" s="280" t="n"/>
      <c r="I320" s="332">
        <f>IFERROR(VLOOKUP(TEXT(H320,"0"),IPRESS!$A$3:$B$212,2,0),"")</f>
        <v/>
      </c>
      <c r="J320" s="280" t="n"/>
      <c r="K320" s="332">
        <f>IFERROR(VLOOKUP(TEXT(O320,"0"),CONDUCTORES!$A$3:$G$54,7,0),"")</f>
        <v/>
      </c>
      <c r="L320" s="280" t="n"/>
      <c r="M320" s="280" t="n"/>
      <c r="N320" s="333">
        <f>IFERROR(IF(L320*M320=0,"",L320*M320),"")</f>
        <v/>
      </c>
      <c r="O320" s="280" t="n"/>
      <c r="P320" s="332">
        <f>IFERROR(VLOOKUP(TEXT(O320,"0"),CONDUCTORES!$A$3:$G$54,2,0),"")</f>
        <v/>
      </c>
      <c r="Q320" s="332">
        <f>IFERROR(VLOOKUP(TEXT(O320,"0"),CONDUCTORES!$A$3:$H$54,6,0),"")</f>
        <v/>
      </c>
      <c r="R320" s="280" t="n"/>
      <c r="S320" s="280" t="n"/>
      <c r="T320" s="280" t="n"/>
      <c r="U320" s="280" t="n"/>
      <c r="V320" s="280" t="n"/>
      <c r="W320" s="280" t="n"/>
      <c r="X320" s="280" t="n"/>
      <c r="Y320" s="280" t="n"/>
    </row>
    <row r="321" ht="15" customHeight="1" s="195">
      <c r="A321" s="334" t="n"/>
      <c r="B321" s="334" t="n"/>
      <c r="C321" s="334" t="n"/>
      <c r="D321" s="334" t="n"/>
      <c r="E321" s="334" t="n"/>
      <c r="F321" s="334" t="n"/>
      <c r="G321" s="334" t="n"/>
      <c r="H321" s="334" t="n"/>
      <c r="I321" s="332">
        <f>IFERROR(VLOOKUP(TEXT(H321,"0"),IPRESS!$A$3:$B$212,2,0),"")</f>
        <v/>
      </c>
      <c r="J321" s="334" t="n"/>
      <c r="K321" s="332">
        <f>IFERROR(VLOOKUP(TEXT(O321,"0"),CONDUCTORES!$A$3:$G$54,7,0),"")</f>
        <v/>
      </c>
      <c r="L321" s="334" t="n"/>
      <c r="M321" s="334" t="n"/>
      <c r="N321" s="333">
        <f>IFERROR(IF(L321*M321=0,"",L321*M321),"")</f>
        <v/>
      </c>
      <c r="O321" s="334" t="n"/>
      <c r="P321" s="332">
        <f>IFERROR(VLOOKUP(TEXT(O321,"0"),CONDUCTORES!$A$3:$G$54,2,0),"")</f>
        <v/>
      </c>
      <c r="Q321" s="332">
        <f>IFERROR(VLOOKUP(TEXT(O321,"0"),CONDUCTORES!$A$3:$H$54,6,0),"")</f>
        <v/>
      </c>
      <c r="R321" s="334" t="n"/>
      <c r="S321" s="334" t="n"/>
      <c r="T321" s="334" t="n"/>
      <c r="U321" s="334" t="n"/>
      <c r="V321" s="334" t="n"/>
      <c r="W321" s="334" t="n"/>
      <c r="X321" s="334" t="n"/>
      <c r="Y321" s="334" t="n"/>
    </row>
    <row r="322" ht="15" customHeight="1" s="195">
      <c r="A322" s="280" t="n"/>
      <c r="B322" s="280" t="n"/>
      <c r="C322" s="280" t="n"/>
      <c r="D322" s="280" t="n"/>
      <c r="E322" s="280" t="n"/>
      <c r="F322" s="280" t="n"/>
      <c r="G322" s="280" t="n"/>
      <c r="H322" s="280" t="n"/>
      <c r="I322" s="332">
        <f>IFERROR(VLOOKUP(TEXT(H322,"0"),IPRESS!$A$3:$B$212,2,0),"")</f>
        <v/>
      </c>
      <c r="J322" s="280" t="n"/>
      <c r="K322" s="332">
        <f>IFERROR(VLOOKUP(TEXT(O322,"0"),CONDUCTORES!$A$3:$G$54,7,0),"")</f>
        <v/>
      </c>
      <c r="L322" s="280" t="n"/>
      <c r="M322" s="280" t="n"/>
      <c r="N322" s="333">
        <f>IFERROR(IF(L322*M322=0,"",L322*M322),"")</f>
        <v/>
      </c>
      <c r="O322" s="280" t="n"/>
      <c r="P322" s="332">
        <f>IFERROR(VLOOKUP(TEXT(O322,"0"),CONDUCTORES!$A$3:$G$54,2,0),"")</f>
        <v/>
      </c>
      <c r="Q322" s="332">
        <f>IFERROR(VLOOKUP(TEXT(O322,"0"),CONDUCTORES!$A$3:$H$54,6,0),"")</f>
        <v/>
      </c>
      <c r="R322" s="280" t="n"/>
      <c r="S322" s="280" t="n"/>
      <c r="T322" s="280" t="n"/>
      <c r="U322" s="280" t="n"/>
      <c r="V322" s="280" t="n"/>
      <c r="W322" s="280" t="n"/>
      <c r="X322" s="280" t="n"/>
      <c r="Y322" s="280" t="n"/>
    </row>
    <row r="323" ht="15" customHeight="1" s="195">
      <c r="A323" s="334" t="n"/>
      <c r="B323" s="334" t="n"/>
      <c r="C323" s="334" t="n"/>
      <c r="D323" s="334" t="n"/>
      <c r="E323" s="334" t="n"/>
      <c r="F323" s="334" t="n"/>
      <c r="G323" s="334" t="n"/>
      <c r="H323" s="334" t="n"/>
      <c r="I323" s="332">
        <f>IFERROR(VLOOKUP(TEXT(H323,"0"),IPRESS!$A$3:$B$212,2,0),"")</f>
        <v/>
      </c>
      <c r="J323" s="334" t="n"/>
      <c r="K323" s="332">
        <f>IFERROR(VLOOKUP(TEXT(O323,"0"),CONDUCTORES!$A$3:$G$54,7,0),"")</f>
        <v/>
      </c>
      <c r="L323" s="334" t="n"/>
      <c r="M323" s="334" t="n"/>
      <c r="N323" s="333">
        <f>IFERROR(IF(L323*M323=0,"",L323*M323),"")</f>
        <v/>
      </c>
      <c r="O323" s="334" t="n"/>
      <c r="P323" s="332">
        <f>IFERROR(VLOOKUP(TEXT(O323,"0"),CONDUCTORES!$A$3:$G$54,2,0),"")</f>
        <v/>
      </c>
      <c r="Q323" s="332">
        <f>IFERROR(VLOOKUP(TEXT(O323,"0"),CONDUCTORES!$A$3:$H$54,6,0),"")</f>
        <v/>
      </c>
      <c r="R323" s="334" t="n"/>
      <c r="S323" s="334" t="n"/>
      <c r="T323" s="334" t="n"/>
      <c r="U323" s="334" t="n"/>
      <c r="V323" s="334" t="n"/>
      <c r="W323" s="334" t="n"/>
      <c r="X323" s="334" t="n"/>
      <c r="Y323" s="334" t="n"/>
    </row>
    <row r="324" ht="15" customHeight="1" s="195">
      <c r="A324" s="280" t="n"/>
      <c r="B324" s="280" t="n"/>
      <c r="C324" s="280" t="n"/>
      <c r="D324" s="280" t="n"/>
      <c r="E324" s="280" t="n"/>
      <c r="F324" s="280" t="n"/>
      <c r="G324" s="280" t="n"/>
      <c r="H324" s="280" t="n"/>
      <c r="I324" s="332">
        <f>IFERROR(VLOOKUP(TEXT(H324,"0"),IPRESS!$A$3:$B$212,2,0),"")</f>
        <v/>
      </c>
      <c r="J324" s="280" t="n"/>
      <c r="K324" s="332">
        <f>IFERROR(VLOOKUP(TEXT(O324,"0"),CONDUCTORES!$A$3:$G$54,7,0),"")</f>
        <v/>
      </c>
      <c r="L324" s="280" t="n"/>
      <c r="M324" s="280" t="n"/>
      <c r="N324" s="333">
        <f>IFERROR(IF(L324*M324=0,"",L324*M324),"")</f>
        <v/>
      </c>
      <c r="O324" s="280" t="n"/>
      <c r="P324" s="332">
        <f>IFERROR(VLOOKUP(TEXT(O324,"0"),CONDUCTORES!$A$3:$G$54,2,0),"")</f>
        <v/>
      </c>
      <c r="Q324" s="332">
        <f>IFERROR(VLOOKUP(TEXT(O324,"0"),CONDUCTORES!$A$3:$H$54,6,0),"")</f>
        <v/>
      </c>
      <c r="R324" s="280" t="n"/>
      <c r="S324" s="280" t="n"/>
      <c r="T324" s="280" t="n"/>
      <c r="U324" s="280" t="n"/>
      <c r="V324" s="280" t="n"/>
      <c r="W324" s="280" t="n"/>
      <c r="X324" s="280" t="n"/>
      <c r="Y324" s="280" t="n"/>
    </row>
    <row r="325" ht="15" customHeight="1" s="195">
      <c r="A325" s="334" t="n"/>
      <c r="B325" s="334" t="n"/>
      <c r="C325" s="334" t="n"/>
      <c r="D325" s="334" t="n"/>
      <c r="E325" s="334" t="n"/>
      <c r="F325" s="334" t="n"/>
      <c r="G325" s="334" t="n"/>
      <c r="H325" s="334" t="n"/>
      <c r="I325" s="332">
        <f>IFERROR(VLOOKUP(TEXT(H325,"0"),IPRESS!$A$3:$B$212,2,0),"")</f>
        <v/>
      </c>
      <c r="J325" s="334" t="n"/>
      <c r="K325" s="332">
        <f>IFERROR(VLOOKUP(TEXT(O325,"0"),CONDUCTORES!$A$3:$G$54,7,0),"")</f>
        <v/>
      </c>
      <c r="L325" s="334" t="n"/>
      <c r="M325" s="334" t="n"/>
      <c r="N325" s="333">
        <f>IFERROR(IF(L325*M325=0,"",L325*M325),"")</f>
        <v/>
      </c>
      <c r="O325" s="334" t="n"/>
      <c r="P325" s="332">
        <f>IFERROR(VLOOKUP(TEXT(O325,"0"),CONDUCTORES!$A$3:$G$54,2,0),"")</f>
        <v/>
      </c>
      <c r="Q325" s="332">
        <f>IFERROR(VLOOKUP(TEXT(O325,"0"),CONDUCTORES!$A$3:$H$54,6,0),"")</f>
        <v/>
      </c>
      <c r="R325" s="334" t="n"/>
      <c r="S325" s="334" t="n"/>
      <c r="T325" s="334" t="n"/>
      <c r="U325" s="334" t="n"/>
      <c r="V325" s="334" t="n"/>
      <c r="W325" s="334" t="n"/>
      <c r="X325" s="334" t="n"/>
      <c r="Y325" s="334" t="n"/>
    </row>
    <row r="326" ht="15" customHeight="1" s="195">
      <c r="A326" s="280" t="n"/>
      <c r="B326" s="280" t="n"/>
      <c r="C326" s="280" t="n"/>
      <c r="D326" s="280" t="n"/>
      <c r="E326" s="280" t="n"/>
      <c r="F326" s="280" t="n"/>
      <c r="G326" s="280" t="n"/>
      <c r="H326" s="280" t="n"/>
      <c r="I326" s="332">
        <f>IFERROR(VLOOKUP(TEXT(H326,"0"),IPRESS!$A$3:$B$212,2,0),"")</f>
        <v/>
      </c>
      <c r="J326" s="280" t="n"/>
      <c r="K326" s="332">
        <f>IFERROR(VLOOKUP(TEXT(O326,"0"),CONDUCTORES!$A$3:$G$54,7,0),"")</f>
        <v/>
      </c>
      <c r="L326" s="280" t="n"/>
      <c r="M326" s="280" t="n"/>
      <c r="N326" s="333">
        <f>IFERROR(IF(L326*M326=0,"",L326*M326),"")</f>
        <v/>
      </c>
      <c r="O326" s="280" t="n"/>
      <c r="P326" s="332">
        <f>IFERROR(VLOOKUP(TEXT(O326,"0"),CONDUCTORES!$A$3:$G$54,2,0),"")</f>
        <v/>
      </c>
      <c r="Q326" s="332">
        <f>IFERROR(VLOOKUP(TEXT(O326,"0"),CONDUCTORES!$A$3:$H$54,6,0),"")</f>
        <v/>
      </c>
      <c r="R326" s="280" t="n"/>
      <c r="S326" s="280" t="n"/>
      <c r="T326" s="280" t="n"/>
      <c r="U326" s="280" t="n"/>
      <c r="V326" s="280" t="n"/>
      <c r="W326" s="280" t="n"/>
      <c r="X326" s="280" t="n"/>
      <c r="Y326" s="280" t="n"/>
    </row>
    <row r="327" ht="15" customHeight="1" s="195">
      <c r="A327" s="334" t="n"/>
      <c r="B327" s="334" t="n"/>
      <c r="C327" s="334" t="n"/>
      <c r="D327" s="334" t="n"/>
      <c r="E327" s="334" t="n"/>
      <c r="F327" s="334" t="n"/>
      <c r="G327" s="334" t="n"/>
      <c r="H327" s="334" t="n"/>
      <c r="I327" s="332">
        <f>IFERROR(VLOOKUP(TEXT(H327,"0"),IPRESS!$A$3:$B$212,2,0),"")</f>
        <v/>
      </c>
      <c r="J327" s="334" t="n"/>
      <c r="K327" s="332">
        <f>IFERROR(VLOOKUP(TEXT(O327,"0"),CONDUCTORES!$A$3:$G$54,7,0),"")</f>
        <v/>
      </c>
      <c r="L327" s="334" t="n"/>
      <c r="M327" s="334" t="n"/>
      <c r="N327" s="333">
        <f>IFERROR(IF(L327*M327=0,"",L327*M327),"")</f>
        <v/>
      </c>
      <c r="O327" s="334" t="n"/>
      <c r="P327" s="332">
        <f>IFERROR(VLOOKUP(TEXT(O327,"0"),CONDUCTORES!$A$3:$G$54,2,0),"")</f>
        <v/>
      </c>
      <c r="Q327" s="332">
        <f>IFERROR(VLOOKUP(TEXT(O327,"0"),CONDUCTORES!$A$3:$H$54,6,0),"")</f>
        <v/>
      </c>
      <c r="R327" s="334" t="n"/>
      <c r="S327" s="334" t="n"/>
      <c r="T327" s="334" t="n"/>
      <c r="U327" s="334" t="n"/>
      <c r="V327" s="334" t="n"/>
      <c r="W327" s="334" t="n"/>
      <c r="X327" s="334" t="n"/>
      <c r="Y327" s="334" t="n"/>
    </row>
    <row r="328" ht="15" customHeight="1" s="195">
      <c r="A328" s="280" t="n"/>
      <c r="B328" s="280" t="n"/>
      <c r="C328" s="280" t="n"/>
      <c r="D328" s="280" t="n"/>
      <c r="E328" s="280" t="n"/>
      <c r="F328" s="280" t="n"/>
      <c r="G328" s="280" t="n"/>
      <c r="H328" s="280" t="n"/>
      <c r="I328" s="332">
        <f>IFERROR(VLOOKUP(TEXT(H328,"0"),IPRESS!$A$3:$B$212,2,0),"")</f>
        <v/>
      </c>
      <c r="J328" s="280" t="n"/>
      <c r="K328" s="332">
        <f>IFERROR(VLOOKUP(TEXT(O328,"0"),CONDUCTORES!$A$3:$G$54,7,0),"")</f>
        <v/>
      </c>
      <c r="L328" s="280" t="n"/>
      <c r="M328" s="280" t="n"/>
      <c r="N328" s="333">
        <f>IFERROR(IF(L328*M328=0,"",L328*M328),"")</f>
        <v/>
      </c>
      <c r="O328" s="280" t="n"/>
      <c r="P328" s="332">
        <f>IFERROR(VLOOKUP(TEXT(O328,"0"),CONDUCTORES!$A$3:$G$54,2,0),"")</f>
        <v/>
      </c>
      <c r="Q328" s="332">
        <f>IFERROR(VLOOKUP(TEXT(O328,"0"),CONDUCTORES!$A$3:$H$54,6,0),"")</f>
        <v/>
      </c>
      <c r="R328" s="280" t="n"/>
      <c r="S328" s="280" t="n"/>
      <c r="T328" s="280" t="n"/>
      <c r="U328" s="280" t="n"/>
      <c r="V328" s="280" t="n"/>
      <c r="W328" s="280" t="n"/>
      <c r="X328" s="280" t="n"/>
      <c r="Y328" s="280" t="n"/>
    </row>
    <row r="329" ht="15" customHeight="1" s="195">
      <c r="A329" s="334" t="n"/>
      <c r="B329" s="334" t="n"/>
      <c r="C329" s="334" t="n"/>
      <c r="D329" s="334" t="n"/>
      <c r="E329" s="334" t="n"/>
      <c r="F329" s="334" t="n"/>
      <c r="G329" s="334" t="n"/>
      <c r="H329" s="334" t="n"/>
      <c r="I329" s="332">
        <f>IFERROR(VLOOKUP(TEXT(H329,"0"),IPRESS!$A$3:$B$212,2,0),"")</f>
        <v/>
      </c>
      <c r="J329" s="334" t="n"/>
      <c r="K329" s="332">
        <f>IFERROR(VLOOKUP(TEXT(O329,"0"),CONDUCTORES!$A$3:$G$54,7,0),"")</f>
        <v/>
      </c>
      <c r="L329" s="334" t="n"/>
      <c r="M329" s="334" t="n"/>
      <c r="N329" s="333">
        <f>IFERROR(IF(L329*M329=0,"",L329*M329),"")</f>
        <v/>
      </c>
      <c r="O329" s="334" t="n"/>
      <c r="P329" s="332">
        <f>IFERROR(VLOOKUP(TEXT(O329,"0"),CONDUCTORES!$A$3:$G$54,2,0),"")</f>
        <v/>
      </c>
      <c r="Q329" s="332">
        <f>IFERROR(VLOOKUP(TEXT(O329,"0"),CONDUCTORES!$A$3:$H$54,6,0),"")</f>
        <v/>
      </c>
      <c r="R329" s="334" t="n"/>
      <c r="S329" s="334" t="n"/>
      <c r="T329" s="334" t="n"/>
      <c r="U329" s="334" t="n"/>
      <c r="V329" s="334" t="n"/>
      <c r="W329" s="334" t="n"/>
      <c r="X329" s="334" t="n"/>
      <c r="Y329" s="334" t="n"/>
    </row>
    <row r="330" ht="15" customHeight="1" s="195">
      <c r="A330" s="280" t="n"/>
      <c r="B330" s="280" t="n"/>
      <c r="C330" s="280" t="n"/>
      <c r="D330" s="280" t="n"/>
      <c r="E330" s="280" t="n"/>
      <c r="F330" s="280" t="n"/>
      <c r="G330" s="280" t="n"/>
      <c r="H330" s="280" t="n"/>
      <c r="I330" s="332">
        <f>IFERROR(VLOOKUP(TEXT(H330,"0"),IPRESS!$A$3:$B$212,2,0),"")</f>
        <v/>
      </c>
      <c r="J330" s="280" t="n"/>
      <c r="K330" s="332">
        <f>IFERROR(VLOOKUP(TEXT(O330,"0"),CONDUCTORES!$A$3:$G$54,7,0),"")</f>
        <v/>
      </c>
      <c r="L330" s="280" t="n"/>
      <c r="M330" s="280" t="n"/>
      <c r="N330" s="333">
        <f>IFERROR(IF(L330*M330=0,"",L330*M330),"")</f>
        <v/>
      </c>
      <c r="O330" s="280" t="n"/>
      <c r="P330" s="332">
        <f>IFERROR(VLOOKUP(TEXT(O330,"0"),CONDUCTORES!$A$3:$G$54,2,0),"")</f>
        <v/>
      </c>
      <c r="Q330" s="332">
        <f>IFERROR(VLOOKUP(TEXT(O330,"0"),CONDUCTORES!$A$3:$H$54,6,0),"")</f>
        <v/>
      </c>
      <c r="R330" s="280" t="n"/>
      <c r="S330" s="280" t="n"/>
      <c r="T330" s="280" t="n"/>
      <c r="U330" s="280" t="n"/>
      <c r="V330" s="280" t="n"/>
      <c r="W330" s="280" t="n"/>
      <c r="X330" s="280" t="n"/>
      <c r="Y330" s="280" t="n"/>
    </row>
    <row r="331" ht="15" customHeight="1" s="195">
      <c r="A331" s="334" t="n"/>
      <c r="B331" s="334" t="n"/>
      <c r="C331" s="334" t="n"/>
      <c r="D331" s="334" t="n"/>
      <c r="E331" s="334" t="n"/>
      <c r="F331" s="334" t="n"/>
      <c r="G331" s="334" t="n"/>
      <c r="H331" s="334" t="n"/>
      <c r="I331" s="332">
        <f>IFERROR(VLOOKUP(TEXT(H331,"0"),IPRESS!$A$3:$B$212,2,0),"")</f>
        <v/>
      </c>
      <c r="J331" s="334" t="n"/>
      <c r="K331" s="332">
        <f>IFERROR(VLOOKUP(TEXT(O331,"0"),CONDUCTORES!$A$3:$G$54,7,0),"")</f>
        <v/>
      </c>
      <c r="L331" s="334" t="n"/>
      <c r="M331" s="334" t="n"/>
      <c r="N331" s="333">
        <f>IFERROR(IF(L331*M331=0,"",L331*M331),"")</f>
        <v/>
      </c>
      <c r="O331" s="334" t="n"/>
      <c r="P331" s="332">
        <f>IFERROR(VLOOKUP(TEXT(O331,"0"),CONDUCTORES!$A$3:$G$54,2,0),"")</f>
        <v/>
      </c>
      <c r="Q331" s="332">
        <f>IFERROR(VLOOKUP(TEXT(O331,"0"),CONDUCTORES!$A$3:$H$54,6,0),"")</f>
        <v/>
      </c>
      <c r="R331" s="334" t="n"/>
      <c r="S331" s="334" t="n"/>
      <c r="T331" s="334" t="n"/>
      <c r="U331" s="334" t="n"/>
      <c r="V331" s="334" t="n"/>
      <c r="W331" s="334" t="n"/>
      <c r="X331" s="334" t="n"/>
      <c r="Y331" s="334" t="n"/>
    </row>
    <row r="332" ht="15" customHeight="1" s="195">
      <c r="A332" s="280" t="n"/>
      <c r="B332" s="280" t="n"/>
      <c r="C332" s="280" t="n"/>
      <c r="D332" s="280" t="n"/>
      <c r="E332" s="280" t="n"/>
      <c r="F332" s="280" t="n"/>
      <c r="G332" s="280" t="n"/>
      <c r="H332" s="280" t="n"/>
      <c r="I332" s="332">
        <f>IFERROR(VLOOKUP(TEXT(H332,"0"),IPRESS!$A$3:$B$212,2,0),"")</f>
        <v/>
      </c>
      <c r="J332" s="280" t="n"/>
      <c r="K332" s="332">
        <f>IFERROR(VLOOKUP(TEXT(O332,"0"),CONDUCTORES!$A$3:$G$54,7,0),"")</f>
        <v/>
      </c>
      <c r="L332" s="280" t="n"/>
      <c r="M332" s="280" t="n"/>
      <c r="N332" s="333">
        <f>IFERROR(IF(L332*M332=0,"",L332*M332),"")</f>
        <v/>
      </c>
      <c r="O332" s="280" t="n"/>
      <c r="P332" s="332">
        <f>IFERROR(VLOOKUP(TEXT(O332,"0"),CONDUCTORES!$A$3:$G$54,2,0),"")</f>
        <v/>
      </c>
      <c r="Q332" s="332">
        <f>IFERROR(VLOOKUP(TEXT(O332,"0"),CONDUCTORES!$A$3:$H$54,6,0),"")</f>
        <v/>
      </c>
      <c r="R332" s="280" t="n"/>
      <c r="S332" s="280" t="n"/>
      <c r="T332" s="280" t="n"/>
      <c r="U332" s="280" t="n"/>
      <c r="V332" s="280" t="n"/>
      <c r="W332" s="280" t="n"/>
      <c r="X332" s="280" t="n"/>
      <c r="Y332" s="280" t="n"/>
    </row>
    <row r="333" ht="15" customHeight="1" s="195">
      <c r="A333" s="334" t="n"/>
      <c r="B333" s="334" t="n"/>
      <c r="C333" s="334" t="n"/>
      <c r="D333" s="334" t="n"/>
      <c r="E333" s="334" t="n"/>
      <c r="F333" s="334" t="n"/>
      <c r="G333" s="334" t="n"/>
      <c r="H333" s="334" t="n"/>
      <c r="I333" s="332">
        <f>IFERROR(VLOOKUP(TEXT(H333,"0"),IPRESS!$A$3:$B$212,2,0),"")</f>
        <v/>
      </c>
      <c r="J333" s="334" t="n"/>
      <c r="K333" s="332">
        <f>IFERROR(VLOOKUP(TEXT(O333,"0"),CONDUCTORES!$A$3:$G$54,7,0),"")</f>
        <v/>
      </c>
      <c r="L333" s="334" t="n"/>
      <c r="M333" s="334" t="n"/>
      <c r="N333" s="333">
        <f>IFERROR(IF(L333*M333=0,"",L333*M333),"")</f>
        <v/>
      </c>
      <c r="O333" s="334" t="n"/>
      <c r="P333" s="332">
        <f>IFERROR(VLOOKUP(TEXT(O333,"0"),CONDUCTORES!$A$3:$G$54,2,0),"")</f>
        <v/>
      </c>
      <c r="Q333" s="332">
        <f>IFERROR(VLOOKUP(TEXT(O333,"0"),CONDUCTORES!$A$3:$H$54,6,0),"")</f>
        <v/>
      </c>
      <c r="R333" s="334" t="n"/>
      <c r="S333" s="334" t="n"/>
      <c r="T333" s="334" t="n"/>
      <c r="U333" s="334" t="n"/>
      <c r="V333" s="334" t="n"/>
      <c r="W333" s="334" t="n"/>
      <c r="X333" s="334" t="n"/>
      <c r="Y333" s="334" t="n"/>
    </row>
    <row r="334" ht="15" customHeight="1" s="195">
      <c r="A334" s="280" t="n"/>
      <c r="B334" s="280" t="n"/>
      <c r="C334" s="280" t="n"/>
      <c r="D334" s="280" t="n"/>
      <c r="E334" s="280" t="n"/>
      <c r="F334" s="280" t="n"/>
      <c r="G334" s="280" t="n"/>
      <c r="H334" s="280" t="n"/>
      <c r="I334" s="332">
        <f>IFERROR(VLOOKUP(TEXT(H334,"0"),IPRESS!$A$3:$B$212,2,0),"")</f>
        <v/>
      </c>
      <c r="J334" s="280" t="n"/>
      <c r="K334" s="332">
        <f>IFERROR(VLOOKUP(TEXT(O334,"0"),CONDUCTORES!$A$3:$G$54,7,0),"")</f>
        <v/>
      </c>
      <c r="L334" s="280" t="n"/>
      <c r="M334" s="280" t="n"/>
      <c r="N334" s="333">
        <f>IFERROR(IF(L334*M334=0,"",L334*M334),"")</f>
        <v/>
      </c>
      <c r="O334" s="280" t="n"/>
      <c r="P334" s="332">
        <f>IFERROR(VLOOKUP(TEXT(O334,"0"),CONDUCTORES!$A$3:$G$54,2,0),"")</f>
        <v/>
      </c>
      <c r="Q334" s="332">
        <f>IFERROR(VLOOKUP(TEXT(O334,"0"),CONDUCTORES!$A$3:$H$54,6,0),"")</f>
        <v/>
      </c>
      <c r="R334" s="280" t="n"/>
      <c r="S334" s="280" t="n"/>
      <c r="T334" s="280" t="n"/>
      <c r="U334" s="280" t="n"/>
      <c r="V334" s="280" t="n"/>
      <c r="W334" s="280" t="n"/>
      <c r="X334" s="280" t="n"/>
      <c r="Y334" s="280" t="n"/>
    </row>
    <row r="335" ht="15" customHeight="1" s="195">
      <c r="A335" s="334" t="n"/>
      <c r="B335" s="334" t="n"/>
      <c r="C335" s="334" t="n"/>
      <c r="D335" s="334" t="n"/>
      <c r="E335" s="334" t="n"/>
      <c r="F335" s="334" t="n"/>
      <c r="G335" s="334" t="n"/>
      <c r="H335" s="334" t="n"/>
      <c r="I335" s="332">
        <f>IFERROR(VLOOKUP(TEXT(H335,"0"),IPRESS!$A$3:$B$212,2,0),"")</f>
        <v/>
      </c>
      <c r="J335" s="334" t="n"/>
      <c r="K335" s="332">
        <f>IFERROR(VLOOKUP(TEXT(O335,"0"),CONDUCTORES!$A$3:$G$54,7,0),"")</f>
        <v/>
      </c>
      <c r="L335" s="334" t="n"/>
      <c r="M335" s="334" t="n"/>
      <c r="N335" s="333">
        <f>IFERROR(IF(L335*M335=0,"",L335*M335),"")</f>
        <v/>
      </c>
      <c r="O335" s="334" t="n"/>
      <c r="P335" s="332">
        <f>IFERROR(VLOOKUP(TEXT(O335,"0"),CONDUCTORES!$A$3:$G$54,2,0),"")</f>
        <v/>
      </c>
      <c r="Q335" s="332">
        <f>IFERROR(VLOOKUP(TEXT(O335,"0"),CONDUCTORES!$A$3:$H$54,6,0),"")</f>
        <v/>
      </c>
      <c r="R335" s="334" t="n"/>
      <c r="S335" s="334" t="n"/>
      <c r="T335" s="334" t="n"/>
      <c r="U335" s="334" t="n"/>
      <c r="V335" s="334" t="n"/>
      <c r="W335" s="334" t="n"/>
      <c r="X335" s="334" t="n"/>
      <c r="Y335" s="334" t="n"/>
    </row>
    <row r="336" ht="15" customHeight="1" s="195">
      <c r="A336" s="280" t="n"/>
      <c r="B336" s="280" t="n"/>
      <c r="C336" s="280" t="n"/>
      <c r="D336" s="280" t="n"/>
      <c r="E336" s="280" t="n"/>
      <c r="F336" s="280" t="n"/>
      <c r="G336" s="280" t="n"/>
      <c r="H336" s="280" t="n"/>
      <c r="I336" s="332">
        <f>IFERROR(VLOOKUP(TEXT(H336,"0"),IPRESS!$A$3:$B$212,2,0),"")</f>
        <v/>
      </c>
      <c r="J336" s="280" t="n"/>
      <c r="K336" s="332">
        <f>IFERROR(VLOOKUP(TEXT(O336,"0"),CONDUCTORES!$A$3:$G$54,7,0),"")</f>
        <v/>
      </c>
      <c r="L336" s="280" t="n"/>
      <c r="M336" s="280" t="n"/>
      <c r="N336" s="333">
        <f>IFERROR(IF(L336*M336=0,"",L336*M336),"")</f>
        <v/>
      </c>
      <c r="O336" s="280" t="n"/>
      <c r="P336" s="332">
        <f>IFERROR(VLOOKUP(TEXT(O336,"0"),CONDUCTORES!$A$3:$G$54,2,0),"")</f>
        <v/>
      </c>
      <c r="Q336" s="332">
        <f>IFERROR(VLOOKUP(TEXT(O336,"0"),CONDUCTORES!$A$3:$H$54,6,0),"")</f>
        <v/>
      </c>
      <c r="R336" s="280" t="n"/>
      <c r="S336" s="280" t="n"/>
      <c r="T336" s="280" t="n"/>
      <c r="U336" s="280" t="n"/>
      <c r="V336" s="280" t="n"/>
      <c r="W336" s="280" t="n"/>
      <c r="X336" s="280" t="n"/>
      <c r="Y336" s="280" t="n"/>
    </row>
    <row r="337" ht="15" customHeight="1" s="195">
      <c r="A337" s="334" t="n"/>
      <c r="B337" s="334" t="n"/>
      <c r="C337" s="334" t="n"/>
      <c r="D337" s="334" t="n"/>
      <c r="E337" s="334" t="n"/>
      <c r="F337" s="334" t="n"/>
      <c r="G337" s="334" t="n"/>
      <c r="H337" s="334" t="n"/>
      <c r="I337" s="332">
        <f>IFERROR(VLOOKUP(TEXT(H337,"0"),IPRESS!$A$3:$B$212,2,0),"")</f>
        <v/>
      </c>
      <c r="J337" s="334" t="n"/>
      <c r="K337" s="332">
        <f>IFERROR(VLOOKUP(TEXT(O337,"0"),CONDUCTORES!$A$3:$G$54,7,0),"")</f>
        <v/>
      </c>
      <c r="L337" s="334" t="n"/>
      <c r="M337" s="334" t="n"/>
      <c r="N337" s="333">
        <f>IFERROR(IF(L337*M337=0,"",L337*M337),"")</f>
        <v/>
      </c>
      <c r="O337" s="334" t="n"/>
      <c r="P337" s="332">
        <f>IFERROR(VLOOKUP(TEXT(O337,"0"),CONDUCTORES!$A$3:$G$54,2,0),"")</f>
        <v/>
      </c>
      <c r="Q337" s="332">
        <f>IFERROR(VLOOKUP(TEXT(O337,"0"),CONDUCTORES!$A$3:$H$54,6,0),"")</f>
        <v/>
      </c>
      <c r="R337" s="334" t="n"/>
      <c r="S337" s="334" t="n"/>
      <c r="T337" s="334" t="n"/>
      <c r="U337" s="334" t="n"/>
      <c r="V337" s="334" t="n"/>
      <c r="W337" s="334" t="n"/>
      <c r="X337" s="334" t="n"/>
      <c r="Y337" s="334" t="n"/>
    </row>
    <row r="338" ht="15" customHeight="1" s="195">
      <c r="A338" s="280" t="n"/>
      <c r="B338" s="280" t="n"/>
      <c r="C338" s="280" t="n"/>
      <c r="D338" s="280" t="n"/>
      <c r="E338" s="280" t="n"/>
      <c r="F338" s="280" t="n"/>
      <c r="G338" s="280" t="n"/>
      <c r="H338" s="280" t="n"/>
      <c r="I338" s="332">
        <f>IFERROR(VLOOKUP(TEXT(H338,"0"),IPRESS!$A$3:$B$212,2,0),"")</f>
        <v/>
      </c>
      <c r="J338" s="280" t="n"/>
      <c r="K338" s="332">
        <f>IFERROR(VLOOKUP(TEXT(O338,"0"),CONDUCTORES!$A$3:$G$54,7,0),"")</f>
        <v/>
      </c>
      <c r="L338" s="280" t="n"/>
      <c r="M338" s="280" t="n"/>
      <c r="N338" s="333">
        <f>IFERROR(IF(L338*M338=0,"",L338*M338),"")</f>
        <v/>
      </c>
      <c r="O338" s="280" t="n"/>
      <c r="P338" s="332">
        <f>IFERROR(VLOOKUP(TEXT(O338,"0"),CONDUCTORES!$A$3:$G$54,2,0),"")</f>
        <v/>
      </c>
      <c r="Q338" s="332">
        <f>IFERROR(VLOOKUP(TEXT(O338,"0"),CONDUCTORES!$A$3:$H$54,6,0),"")</f>
        <v/>
      </c>
      <c r="R338" s="280" t="n"/>
      <c r="S338" s="280" t="n"/>
      <c r="T338" s="280" t="n"/>
      <c r="U338" s="280" t="n"/>
      <c r="V338" s="280" t="n"/>
      <c r="W338" s="280" t="n"/>
      <c r="X338" s="280" t="n"/>
      <c r="Y338" s="280" t="n"/>
    </row>
    <row r="339" ht="15" customHeight="1" s="195">
      <c r="A339" s="334" t="n"/>
      <c r="B339" s="334" t="n"/>
      <c r="C339" s="334" t="n"/>
      <c r="D339" s="334" t="n"/>
      <c r="E339" s="334" t="n"/>
      <c r="F339" s="334" t="n"/>
      <c r="G339" s="334" t="n"/>
      <c r="H339" s="334" t="n"/>
      <c r="I339" s="332">
        <f>IFERROR(VLOOKUP(TEXT(H339,"0"),IPRESS!$A$3:$B$212,2,0),"")</f>
        <v/>
      </c>
      <c r="J339" s="334" t="n"/>
      <c r="K339" s="332">
        <f>IFERROR(VLOOKUP(TEXT(O339,"0"),CONDUCTORES!$A$3:$G$54,7,0),"")</f>
        <v/>
      </c>
      <c r="L339" s="334" t="n"/>
      <c r="M339" s="334" t="n"/>
      <c r="N339" s="333">
        <f>IFERROR(IF(L339*M339=0,"",L339*M339),"")</f>
        <v/>
      </c>
      <c r="O339" s="334" t="n"/>
      <c r="P339" s="332">
        <f>IFERROR(VLOOKUP(TEXT(O339,"0"),CONDUCTORES!$A$3:$G$54,2,0),"")</f>
        <v/>
      </c>
      <c r="Q339" s="332">
        <f>IFERROR(VLOOKUP(TEXT(O339,"0"),CONDUCTORES!$A$3:$H$54,6,0),"")</f>
        <v/>
      </c>
      <c r="R339" s="334" t="n"/>
      <c r="S339" s="334" t="n"/>
      <c r="T339" s="334" t="n"/>
      <c r="U339" s="334" t="n"/>
      <c r="V339" s="334" t="n"/>
      <c r="W339" s="334" t="n"/>
      <c r="X339" s="334" t="n"/>
      <c r="Y339" s="334" t="n"/>
    </row>
    <row r="340" ht="15" customHeight="1" s="195">
      <c r="A340" s="280" t="n"/>
      <c r="B340" s="280" t="n"/>
      <c r="C340" s="280" t="n"/>
      <c r="D340" s="280" t="n"/>
      <c r="E340" s="280" t="n"/>
      <c r="F340" s="280" t="n"/>
      <c r="G340" s="280" t="n"/>
      <c r="H340" s="280" t="n"/>
      <c r="I340" s="332">
        <f>IFERROR(VLOOKUP(TEXT(H340,"0"),IPRESS!$A$3:$B$212,2,0),"")</f>
        <v/>
      </c>
      <c r="J340" s="280" t="n"/>
      <c r="K340" s="332">
        <f>IFERROR(VLOOKUP(TEXT(O340,"0"),CONDUCTORES!$A$3:$G$54,7,0),"")</f>
        <v/>
      </c>
      <c r="L340" s="280" t="n"/>
      <c r="M340" s="280" t="n"/>
      <c r="N340" s="333">
        <f>IFERROR(IF(L340*M340=0,"",L340*M340),"")</f>
        <v/>
      </c>
      <c r="O340" s="280" t="n"/>
      <c r="P340" s="332">
        <f>IFERROR(VLOOKUP(TEXT(O340,"0"),CONDUCTORES!$A$3:$G$54,2,0),"")</f>
        <v/>
      </c>
      <c r="Q340" s="332">
        <f>IFERROR(VLOOKUP(TEXT(O340,"0"),CONDUCTORES!$A$3:$H$54,6,0),"")</f>
        <v/>
      </c>
      <c r="R340" s="280" t="n"/>
      <c r="S340" s="280" t="n"/>
      <c r="T340" s="280" t="n"/>
      <c r="U340" s="280" t="n"/>
      <c r="V340" s="280" t="n"/>
      <c r="W340" s="280" t="n"/>
      <c r="X340" s="280" t="n"/>
      <c r="Y340" s="280" t="n"/>
    </row>
    <row r="341" ht="15" customHeight="1" s="195">
      <c r="A341" s="334" t="n"/>
      <c r="B341" s="334" t="n"/>
      <c r="C341" s="334" t="n"/>
      <c r="D341" s="334" t="n"/>
      <c r="E341" s="334" t="n"/>
      <c r="F341" s="334" t="n"/>
      <c r="G341" s="334" t="n"/>
      <c r="H341" s="334" t="n"/>
      <c r="I341" s="332">
        <f>IFERROR(VLOOKUP(TEXT(H341,"0"),IPRESS!$A$3:$B$212,2,0),"")</f>
        <v/>
      </c>
      <c r="J341" s="334" t="n"/>
      <c r="K341" s="332">
        <f>IFERROR(VLOOKUP(TEXT(O341,"0"),CONDUCTORES!$A$3:$G$54,7,0),"")</f>
        <v/>
      </c>
      <c r="L341" s="334" t="n"/>
      <c r="M341" s="334" t="n"/>
      <c r="N341" s="333">
        <f>IFERROR(IF(L341*M341=0,"",L341*M341),"")</f>
        <v/>
      </c>
      <c r="O341" s="334" t="n"/>
      <c r="P341" s="332">
        <f>IFERROR(VLOOKUP(TEXT(O341,"0"),CONDUCTORES!$A$3:$G$54,2,0),"")</f>
        <v/>
      </c>
      <c r="Q341" s="332">
        <f>IFERROR(VLOOKUP(TEXT(O341,"0"),CONDUCTORES!$A$3:$H$54,6,0),"")</f>
        <v/>
      </c>
      <c r="R341" s="334" t="n"/>
      <c r="S341" s="334" t="n"/>
      <c r="T341" s="334" t="n"/>
      <c r="U341" s="334" t="n"/>
      <c r="V341" s="334" t="n"/>
      <c r="W341" s="334" t="n"/>
      <c r="X341" s="334" t="n"/>
      <c r="Y341" s="334" t="n"/>
    </row>
    <row r="342" ht="15" customHeight="1" s="195">
      <c r="A342" s="280" t="n"/>
      <c r="B342" s="280" t="n"/>
      <c r="C342" s="280" t="n"/>
      <c r="D342" s="280" t="n"/>
      <c r="E342" s="280" t="n"/>
      <c r="F342" s="280" t="n"/>
      <c r="G342" s="280" t="n"/>
      <c r="H342" s="280" t="n"/>
      <c r="I342" s="332">
        <f>IFERROR(VLOOKUP(TEXT(H342,"0"),IPRESS!$A$3:$B$212,2,0),"")</f>
        <v/>
      </c>
      <c r="J342" s="280" t="n"/>
      <c r="K342" s="332">
        <f>IFERROR(VLOOKUP(TEXT(O342,"0"),CONDUCTORES!$A$3:$G$54,7,0),"")</f>
        <v/>
      </c>
      <c r="L342" s="280" t="n"/>
      <c r="M342" s="280" t="n"/>
      <c r="N342" s="333">
        <f>IFERROR(IF(L342*M342=0,"",L342*M342),"")</f>
        <v/>
      </c>
      <c r="O342" s="280" t="n"/>
      <c r="P342" s="332">
        <f>IFERROR(VLOOKUP(TEXT(O342,"0"),CONDUCTORES!$A$3:$G$54,2,0),"")</f>
        <v/>
      </c>
      <c r="Q342" s="332">
        <f>IFERROR(VLOOKUP(TEXT(O342,"0"),CONDUCTORES!$A$3:$H$54,6,0),"")</f>
        <v/>
      </c>
      <c r="R342" s="280" t="n"/>
      <c r="S342" s="280" t="n"/>
      <c r="T342" s="280" t="n"/>
      <c r="U342" s="280" t="n"/>
      <c r="V342" s="280" t="n"/>
      <c r="W342" s="280" t="n"/>
      <c r="X342" s="280" t="n"/>
      <c r="Y342" s="280" t="n"/>
    </row>
    <row r="343" ht="15" customHeight="1" s="195">
      <c r="A343" s="334" t="n"/>
      <c r="B343" s="334" t="n"/>
      <c r="C343" s="334" t="n"/>
      <c r="D343" s="334" t="n"/>
      <c r="E343" s="334" t="n"/>
      <c r="F343" s="334" t="n"/>
      <c r="G343" s="334" t="n"/>
      <c r="H343" s="334" t="n"/>
      <c r="I343" s="332">
        <f>IFERROR(VLOOKUP(TEXT(H343,"0"),IPRESS!$A$3:$B$212,2,0),"")</f>
        <v/>
      </c>
      <c r="J343" s="334" t="n"/>
      <c r="K343" s="332">
        <f>IFERROR(VLOOKUP(TEXT(O343,"0"),CONDUCTORES!$A$3:$G$54,7,0),"")</f>
        <v/>
      </c>
      <c r="L343" s="334" t="n"/>
      <c r="M343" s="334" t="n"/>
      <c r="N343" s="333">
        <f>IFERROR(IF(L343*M343=0,"",L343*M343),"")</f>
        <v/>
      </c>
      <c r="O343" s="334" t="n"/>
      <c r="P343" s="332">
        <f>IFERROR(VLOOKUP(TEXT(O343,"0"),CONDUCTORES!$A$3:$G$54,2,0),"")</f>
        <v/>
      </c>
      <c r="Q343" s="332">
        <f>IFERROR(VLOOKUP(TEXT(O343,"0"),CONDUCTORES!$A$3:$H$54,6,0),"")</f>
        <v/>
      </c>
      <c r="R343" s="334" t="n"/>
      <c r="S343" s="334" t="n"/>
      <c r="T343" s="334" t="n"/>
      <c r="U343" s="334" t="n"/>
      <c r="V343" s="334" t="n"/>
      <c r="W343" s="334" t="n"/>
      <c r="X343" s="334" t="n"/>
      <c r="Y343" s="334" t="n"/>
    </row>
    <row r="344" ht="15" customHeight="1" s="195">
      <c r="A344" s="280" t="n"/>
      <c r="B344" s="280" t="n"/>
      <c r="C344" s="280" t="n"/>
      <c r="D344" s="280" t="n"/>
      <c r="E344" s="280" t="n"/>
      <c r="F344" s="280" t="n"/>
      <c r="G344" s="280" t="n"/>
      <c r="H344" s="280" t="n"/>
      <c r="I344" s="332">
        <f>IFERROR(VLOOKUP(TEXT(H344,"0"),IPRESS!$A$3:$B$212,2,0),"")</f>
        <v/>
      </c>
      <c r="J344" s="280" t="n"/>
      <c r="K344" s="332">
        <f>IFERROR(VLOOKUP(TEXT(O344,"0"),CONDUCTORES!$A$3:$G$54,7,0),"")</f>
        <v/>
      </c>
      <c r="L344" s="280" t="n"/>
      <c r="M344" s="280" t="n"/>
      <c r="N344" s="333">
        <f>IFERROR(IF(L344*M344=0,"",L344*M344),"")</f>
        <v/>
      </c>
      <c r="O344" s="280" t="n"/>
      <c r="P344" s="332">
        <f>IFERROR(VLOOKUP(TEXT(O344,"0"),CONDUCTORES!$A$3:$G$54,2,0),"")</f>
        <v/>
      </c>
      <c r="Q344" s="332">
        <f>IFERROR(VLOOKUP(TEXT(O344,"0"),CONDUCTORES!$A$3:$H$54,6,0),"")</f>
        <v/>
      </c>
      <c r="R344" s="280" t="n"/>
      <c r="S344" s="280" t="n"/>
      <c r="T344" s="280" t="n"/>
      <c r="U344" s="280" t="n"/>
      <c r="V344" s="280" t="n"/>
      <c r="W344" s="280" t="n"/>
      <c r="X344" s="280" t="n"/>
      <c r="Y344" s="280" t="n"/>
    </row>
    <row r="345" ht="15" customHeight="1" s="195">
      <c r="A345" s="334" t="n"/>
      <c r="B345" s="334" t="n"/>
      <c r="C345" s="334" t="n"/>
      <c r="D345" s="334" t="n"/>
      <c r="E345" s="334" t="n"/>
      <c r="F345" s="334" t="n"/>
      <c r="G345" s="334" t="n"/>
      <c r="H345" s="334" t="n"/>
      <c r="I345" s="332">
        <f>IFERROR(VLOOKUP(TEXT(H345,"0"),IPRESS!$A$3:$B$212,2,0),"")</f>
        <v/>
      </c>
      <c r="J345" s="334" t="n"/>
      <c r="K345" s="332">
        <f>IFERROR(VLOOKUP(TEXT(O345,"0"),CONDUCTORES!$A$3:$G$54,7,0),"")</f>
        <v/>
      </c>
      <c r="L345" s="334" t="n"/>
      <c r="M345" s="334" t="n"/>
      <c r="N345" s="333">
        <f>IFERROR(IF(L345*M345=0,"",L345*M345),"")</f>
        <v/>
      </c>
      <c r="O345" s="334" t="n"/>
      <c r="P345" s="332">
        <f>IFERROR(VLOOKUP(TEXT(O345,"0"),CONDUCTORES!$A$3:$G$54,2,0),"")</f>
        <v/>
      </c>
      <c r="Q345" s="332">
        <f>IFERROR(VLOOKUP(TEXT(O345,"0"),CONDUCTORES!$A$3:$H$54,6,0),"")</f>
        <v/>
      </c>
      <c r="R345" s="334" t="n"/>
      <c r="S345" s="334" t="n"/>
      <c r="T345" s="334" t="n"/>
      <c r="U345" s="334" t="n"/>
      <c r="V345" s="334" t="n"/>
      <c r="W345" s="334" t="n"/>
      <c r="X345" s="334" t="n"/>
      <c r="Y345" s="334" t="n"/>
    </row>
    <row r="346" ht="15" customHeight="1" s="195">
      <c r="A346" s="280" t="n"/>
      <c r="B346" s="280" t="n"/>
      <c r="C346" s="280" t="n"/>
      <c r="D346" s="280" t="n"/>
      <c r="E346" s="280" t="n"/>
      <c r="F346" s="280" t="n"/>
      <c r="G346" s="280" t="n"/>
      <c r="H346" s="280" t="n"/>
      <c r="I346" s="332">
        <f>IFERROR(VLOOKUP(TEXT(H346,"0"),IPRESS!$A$3:$B$212,2,0),"")</f>
        <v/>
      </c>
      <c r="J346" s="280" t="n"/>
      <c r="K346" s="332">
        <f>IFERROR(VLOOKUP(TEXT(O346,"0"),CONDUCTORES!$A$3:$G$54,7,0),"")</f>
        <v/>
      </c>
      <c r="L346" s="280" t="n"/>
      <c r="M346" s="280" t="n"/>
      <c r="N346" s="333">
        <f>IFERROR(IF(L346*M346=0,"",L346*M346),"")</f>
        <v/>
      </c>
      <c r="O346" s="280" t="n"/>
      <c r="P346" s="332">
        <f>IFERROR(VLOOKUP(TEXT(O346,"0"),CONDUCTORES!$A$3:$G$54,2,0),"")</f>
        <v/>
      </c>
      <c r="Q346" s="332">
        <f>IFERROR(VLOOKUP(TEXT(O346,"0"),CONDUCTORES!$A$3:$H$54,6,0),"")</f>
        <v/>
      </c>
      <c r="R346" s="280" t="n"/>
      <c r="S346" s="280" t="n"/>
      <c r="T346" s="280" t="n"/>
      <c r="U346" s="280" t="n"/>
      <c r="V346" s="280" t="n"/>
      <c r="W346" s="280" t="n"/>
      <c r="X346" s="280" t="n"/>
      <c r="Y346" s="280" t="n"/>
    </row>
    <row r="347" ht="15" customHeight="1" s="195">
      <c r="A347" s="334" t="n"/>
      <c r="B347" s="334" t="n"/>
      <c r="C347" s="334" t="n"/>
      <c r="D347" s="334" t="n"/>
      <c r="E347" s="334" t="n"/>
      <c r="F347" s="334" t="n"/>
      <c r="G347" s="334" t="n"/>
      <c r="H347" s="334" t="n"/>
      <c r="I347" s="332">
        <f>IFERROR(VLOOKUP(TEXT(H347,"0"),IPRESS!$A$3:$B$212,2,0),"")</f>
        <v/>
      </c>
      <c r="J347" s="334" t="n"/>
      <c r="K347" s="332">
        <f>IFERROR(VLOOKUP(TEXT(O347,"0"),CONDUCTORES!$A$3:$G$54,7,0),"")</f>
        <v/>
      </c>
      <c r="L347" s="334" t="n"/>
      <c r="M347" s="334" t="n"/>
      <c r="N347" s="333">
        <f>IFERROR(IF(L347*M347=0,"",L347*M347),"")</f>
        <v/>
      </c>
      <c r="O347" s="334" t="n"/>
      <c r="P347" s="332">
        <f>IFERROR(VLOOKUP(TEXT(O347,"0"),CONDUCTORES!$A$3:$G$54,2,0),"")</f>
        <v/>
      </c>
      <c r="Q347" s="332">
        <f>IFERROR(VLOOKUP(TEXT(O347,"0"),CONDUCTORES!$A$3:$H$54,6,0),"")</f>
        <v/>
      </c>
      <c r="R347" s="334" t="n"/>
      <c r="S347" s="334" t="n"/>
      <c r="T347" s="334" t="n"/>
      <c r="U347" s="334" t="n"/>
      <c r="V347" s="334" t="n"/>
      <c r="W347" s="334" t="n"/>
      <c r="X347" s="334" t="n"/>
      <c r="Y347" s="334" t="n"/>
    </row>
    <row r="348" ht="15" customHeight="1" s="195">
      <c r="A348" s="280" t="n"/>
      <c r="B348" s="280" t="n"/>
      <c r="C348" s="280" t="n"/>
      <c r="D348" s="280" t="n"/>
      <c r="E348" s="280" t="n"/>
      <c r="F348" s="280" t="n"/>
      <c r="G348" s="280" t="n"/>
      <c r="H348" s="280" t="n"/>
      <c r="I348" s="332">
        <f>IFERROR(VLOOKUP(TEXT(H348,"0"),IPRESS!$A$3:$B$212,2,0),"")</f>
        <v/>
      </c>
      <c r="J348" s="280" t="n"/>
      <c r="K348" s="332">
        <f>IFERROR(VLOOKUP(TEXT(O348,"0"),CONDUCTORES!$A$3:$G$54,7,0),"")</f>
        <v/>
      </c>
      <c r="L348" s="280" t="n"/>
      <c r="M348" s="280" t="n"/>
      <c r="N348" s="333">
        <f>IFERROR(IF(L348*M348=0,"",L348*M348),"")</f>
        <v/>
      </c>
      <c r="O348" s="280" t="n"/>
      <c r="P348" s="332">
        <f>IFERROR(VLOOKUP(TEXT(O348,"0"),CONDUCTORES!$A$3:$G$54,2,0),"")</f>
        <v/>
      </c>
      <c r="Q348" s="332">
        <f>IFERROR(VLOOKUP(TEXT(O348,"0"),CONDUCTORES!$A$3:$H$54,6,0),"")</f>
        <v/>
      </c>
      <c r="R348" s="280" t="n"/>
      <c r="S348" s="280" t="n"/>
      <c r="T348" s="280" t="n"/>
      <c r="U348" s="280" t="n"/>
      <c r="V348" s="280" t="n"/>
      <c r="W348" s="280" t="n"/>
      <c r="X348" s="280" t="n"/>
      <c r="Y348" s="280" t="n"/>
    </row>
    <row r="349" ht="15" customHeight="1" s="195">
      <c r="A349" s="334" t="n"/>
      <c r="B349" s="334" t="n"/>
      <c r="C349" s="334" t="n"/>
      <c r="D349" s="334" t="n"/>
      <c r="E349" s="334" t="n"/>
      <c r="F349" s="334" t="n"/>
      <c r="G349" s="334" t="n"/>
      <c r="H349" s="334" t="n"/>
      <c r="I349" s="332">
        <f>IFERROR(VLOOKUP(TEXT(H349,"0"),IPRESS!$A$3:$B$212,2,0),"")</f>
        <v/>
      </c>
      <c r="J349" s="334" t="n"/>
      <c r="K349" s="332">
        <f>IFERROR(VLOOKUP(TEXT(O349,"0"),CONDUCTORES!$A$3:$G$54,7,0),"")</f>
        <v/>
      </c>
      <c r="L349" s="334" t="n"/>
      <c r="M349" s="334" t="n"/>
      <c r="N349" s="333">
        <f>IFERROR(IF(L349*M349=0,"",L349*M349),"")</f>
        <v/>
      </c>
      <c r="O349" s="334" t="n"/>
      <c r="P349" s="332">
        <f>IFERROR(VLOOKUP(TEXT(O349,"0"),CONDUCTORES!$A$3:$G$54,2,0),"")</f>
        <v/>
      </c>
      <c r="Q349" s="332">
        <f>IFERROR(VLOOKUP(TEXT(O349,"0"),CONDUCTORES!$A$3:$H$54,6,0),"")</f>
        <v/>
      </c>
      <c r="R349" s="334" t="n"/>
      <c r="S349" s="334" t="n"/>
      <c r="T349" s="334" t="n"/>
      <c r="U349" s="334" t="n"/>
      <c r="V349" s="334" t="n"/>
      <c r="W349" s="334" t="n"/>
      <c r="X349" s="334" t="n"/>
      <c r="Y349" s="334" t="n"/>
    </row>
    <row r="350" ht="15" customHeight="1" s="195">
      <c r="A350" s="280" t="n"/>
      <c r="B350" s="280" t="n"/>
      <c r="C350" s="280" t="n"/>
      <c r="D350" s="280" t="n"/>
      <c r="E350" s="280" t="n"/>
      <c r="F350" s="280" t="n"/>
      <c r="G350" s="280" t="n"/>
      <c r="H350" s="280" t="n"/>
      <c r="I350" s="332">
        <f>IFERROR(VLOOKUP(TEXT(H350,"0"),IPRESS!$A$3:$B$212,2,0),"")</f>
        <v/>
      </c>
      <c r="J350" s="280" t="n"/>
      <c r="K350" s="332">
        <f>IFERROR(VLOOKUP(TEXT(O350,"0"),CONDUCTORES!$A$3:$G$54,7,0),"")</f>
        <v/>
      </c>
      <c r="L350" s="280" t="n"/>
      <c r="M350" s="280" t="n"/>
      <c r="N350" s="333">
        <f>IFERROR(IF(L350*M350=0,"",L350*M350),"")</f>
        <v/>
      </c>
      <c r="O350" s="280" t="n"/>
      <c r="P350" s="332">
        <f>IFERROR(VLOOKUP(TEXT(O350,"0"),CONDUCTORES!$A$3:$G$54,2,0),"")</f>
        <v/>
      </c>
      <c r="Q350" s="332">
        <f>IFERROR(VLOOKUP(TEXT(O350,"0"),CONDUCTORES!$A$3:$H$54,6,0),"")</f>
        <v/>
      </c>
      <c r="R350" s="280" t="n"/>
      <c r="S350" s="280" t="n"/>
      <c r="T350" s="280" t="n"/>
      <c r="U350" s="280" t="n"/>
      <c r="V350" s="280" t="n"/>
      <c r="W350" s="280" t="n"/>
      <c r="X350" s="280" t="n"/>
      <c r="Y350" s="280" t="n"/>
    </row>
    <row r="351" ht="15" customHeight="1" s="195">
      <c r="A351" s="334" t="n"/>
      <c r="B351" s="334" t="n"/>
      <c r="C351" s="334" t="n"/>
      <c r="D351" s="334" t="n"/>
      <c r="E351" s="334" t="n"/>
      <c r="F351" s="334" t="n"/>
      <c r="G351" s="334" t="n"/>
      <c r="H351" s="334" t="n"/>
      <c r="I351" s="332">
        <f>IFERROR(VLOOKUP(TEXT(H351,"0"),IPRESS!$A$3:$B$212,2,0),"")</f>
        <v/>
      </c>
      <c r="J351" s="334" t="n"/>
      <c r="K351" s="332">
        <f>IFERROR(VLOOKUP(TEXT(O351,"0"),CONDUCTORES!$A$3:$G$54,7,0),"")</f>
        <v/>
      </c>
      <c r="L351" s="334" t="n"/>
      <c r="M351" s="334" t="n"/>
      <c r="N351" s="333">
        <f>IFERROR(IF(L351*M351=0,"",L351*M351),"")</f>
        <v/>
      </c>
      <c r="O351" s="334" t="n"/>
      <c r="P351" s="332">
        <f>IFERROR(VLOOKUP(TEXT(O351,"0"),CONDUCTORES!$A$3:$G$54,2,0),"")</f>
        <v/>
      </c>
      <c r="Q351" s="332">
        <f>IFERROR(VLOOKUP(TEXT(O351,"0"),CONDUCTORES!$A$3:$H$54,6,0),"")</f>
        <v/>
      </c>
      <c r="R351" s="334" t="n"/>
      <c r="S351" s="334" t="n"/>
      <c r="T351" s="334" t="n"/>
      <c r="U351" s="334" t="n"/>
      <c r="V351" s="334" t="n"/>
      <c r="W351" s="334" t="n"/>
      <c r="X351" s="334" t="n"/>
      <c r="Y351" s="334" t="n"/>
    </row>
    <row r="352" ht="15" customHeight="1" s="195">
      <c r="A352" s="280" t="n"/>
      <c r="B352" s="280" t="n"/>
      <c r="C352" s="280" t="n"/>
      <c r="D352" s="280" t="n"/>
      <c r="E352" s="280" t="n"/>
      <c r="F352" s="280" t="n"/>
      <c r="G352" s="280" t="n"/>
      <c r="H352" s="280" t="n"/>
      <c r="I352" s="332">
        <f>IFERROR(VLOOKUP(TEXT(H352,"0"),IPRESS!$A$3:$B$212,2,0),"")</f>
        <v/>
      </c>
      <c r="J352" s="280" t="n"/>
      <c r="K352" s="332">
        <f>IFERROR(VLOOKUP(TEXT(O352,"0"),CONDUCTORES!$A$3:$G$54,7,0),"")</f>
        <v/>
      </c>
      <c r="L352" s="280" t="n"/>
      <c r="M352" s="280" t="n"/>
      <c r="N352" s="333">
        <f>IFERROR(IF(L352*M352=0,"",L352*M352),"")</f>
        <v/>
      </c>
      <c r="O352" s="280" t="n"/>
      <c r="P352" s="332">
        <f>IFERROR(VLOOKUP(TEXT(O352,"0"),CONDUCTORES!$A$3:$G$54,2,0),"")</f>
        <v/>
      </c>
      <c r="Q352" s="332">
        <f>IFERROR(VLOOKUP(TEXT(O352,"0"),CONDUCTORES!$A$3:$H$54,6,0),"")</f>
        <v/>
      </c>
      <c r="R352" s="280" t="n"/>
      <c r="S352" s="280" t="n"/>
      <c r="T352" s="280" t="n"/>
      <c r="U352" s="280" t="n"/>
      <c r="V352" s="280" t="n"/>
      <c r="W352" s="280" t="n"/>
      <c r="X352" s="280" t="n"/>
      <c r="Y352" s="280" t="n"/>
    </row>
    <row r="353" ht="15" customHeight="1" s="195">
      <c r="A353" s="334" t="n"/>
      <c r="B353" s="334" t="n"/>
      <c r="C353" s="334" t="n"/>
      <c r="D353" s="334" t="n"/>
      <c r="E353" s="334" t="n"/>
      <c r="F353" s="334" t="n"/>
      <c r="G353" s="334" t="n"/>
      <c r="H353" s="334" t="n"/>
      <c r="I353" s="332">
        <f>IFERROR(VLOOKUP(TEXT(H353,"0"),IPRESS!$A$3:$B$212,2,0),"")</f>
        <v/>
      </c>
      <c r="J353" s="334" t="n"/>
      <c r="K353" s="332">
        <f>IFERROR(VLOOKUP(TEXT(O353,"0"),CONDUCTORES!$A$3:$G$54,7,0),"")</f>
        <v/>
      </c>
      <c r="L353" s="334" t="n"/>
      <c r="M353" s="334" t="n"/>
      <c r="N353" s="333">
        <f>IFERROR(IF(L353*M353=0,"",L353*M353),"")</f>
        <v/>
      </c>
      <c r="O353" s="334" t="n"/>
      <c r="P353" s="332">
        <f>IFERROR(VLOOKUP(TEXT(O353,"0"),CONDUCTORES!$A$3:$G$54,2,0),"")</f>
        <v/>
      </c>
      <c r="Q353" s="332">
        <f>IFERROR(VLOOKUP(TEXT(O353,"0"),CONDUCTORES!$A$3:$H$54,6,0),"")</f>
        <v/>
      </c>
      <c r="R353" s="334" t="n"/>
      <c r="S353" s="334" t="n"/>
      <c r="T353" s="334" t="n"/>
      <c r="U353" s="334" t="n"/>
      <c r="V353" s="334" t="n"/>
      <c r="W353" s="334" t="n"/>
      <c r="X353" s="334" t="n"/>
      <c r="Y353" s="334" t="n"/>
    </row>
    <row r="354" ht="15" customHeight="1" s="195">
      <c r="A354" s="280" t="n"/>
      <c r="B354" s="280" t="n"/>
      <c r="C354" s="280" t="n"/>
      <c r="D354" s="280" t="n"/>
      <c r="E354" s="280" t="n"/>
      <c r="F354" s="280" t="n"/>
      <c r="G354" s="280" t="n"/>
      <c r="H354" s="280" t="n"/>
      <c r="I354" s="332">
        <f>IFERROR(VLOOKUP(TEXT(H354,"0"),IPRESS!$A$3:$B$212,2,0),"")</f>
        <v/>
      </c>
      <c r="J354" s="280" t="n"/>
      <c r="K354" s="332">
        <f>IFERROR(VLOOKUP(TEXT(O354,"0"),CONDUCTORES!$A$3:$G$54,7,0),"")</f>
        <v/>
      </c>
      <c r="L354" s="280" t="n"/>
      <c r="M354" s="280" t="n"/>
      <c r="N354" s="333">
        <f>IFERROR(IF(L354*M354=0,"",L354*M354),"")</f>
        <v/>
      </c>
      <c r="O354" s="280" t="n"/>
      <c r="P354" s="332">
        <f>IFERROR(VLOOKUP(TEXT(O354,"0"),CONDUCTORES!$A$3:$G$54,2,0),"")</f>
        <v/>
      </c>
      <c r="Q354" s="332">
        <f>IFERROR(VLOOKUP(TEXT(O354,"0"),CONDUCTORES!$A$3:$H$54,6,0),"")</f>
        <v/>
      </c>
      <c r="R354" s="280" t="n"/>
      <c r="S354" s="280" t="n"/>
      <c r="T354" s="280" t="n"/>
      <c r="U354" s="280" t="n"/>
      <c r="V354" s="280" t="n"/>
      <c r="W354" s="280" t="n"/>
      <c r="X354" s="280" t="n"/>
      <c r="Y354" s="280" t="n"/>
    </row>
    <row r="355" ht="15" customHeight="1" s="195">
      <c r="A355" s="334" t="n"/>
      <c r="B355" s="334" t="n"/>
      <c r="C355" s="334" t="n"/>
      <c r="D355" s="334" t="n"/>
      <c r="E355" s="334" t="n"/>
      <c r="F355" s="334" t="n"/>
      <c r="G355" s="334" t="n"/>
      <c r="H355" s="334" t="n"/>
      <c r="I355" s="332">
        <f>IFERROR(VLOOKUP(TEXT(H355,"0"),IPRESS!$A$3:$B$212,2,0),"")</f>
        <v/>
      </c>
      <c r="J355" s="334" t="n"/>
      <c r="K355" s="332">
        <f>IFERROR(VLOOKUP(TEXT(O355,"0"),CONDUCTORES!$A$3:$G$54,7,0),"")</f>
        <v/>
      </c>
      <c r="L355" s="334" t="n"/>
      <c r="M355" s="334" t="n"/>
      <c r="N355" s="333">
        <f>IFERROR(IF(L355*M355=0,"",L355*M355),"")</f>
        <v/>
      </c>
      <c r="O355" s="334" t="n"/>
      <c r="P355" s="332">
        <f>IFERROR(VLOOKUP(TEXT(O355,"0"),CONDUCTORES!$A$3:$G$54,2,0),"")</f>
        <v/>
      </c>
      <c r="Q355" s="332">
        <f>IFERROR(VLOOKUP(TEXT(O355,"0"),CONDUCTORES!$A$3:$H$54,6,0),"")</f>
        <v/>
      </c>
      <c r="R355" s="334" t="n"/>
      <c r="S355" s="334" t="n"/>
      <c r="T355" s="334" t="n"/>
      <c r="U355" s="334" t="n"/>
      <c r="V355" s="334" t="n"/>
      <c r="W355" s="334" t="n"/>
      <c r="X355" s="334" t="n"/>
      <c r="Y355" s="334" t="n"/>
    </row>
    <row r="356" ht="15" customHeight="1" s="195">
      <c r="A356" s="280" t="n"/>
      <c r="B356" s="280" t="n"/>
      <c r="C356" s="280" t="n"/>
      <c r="D356" s="280" t="n"/>
      <c r="E356" s="280" t="n"/>
      <c r="F356" s="280" t="n"/>
      <c r="G356" s="280" t="n"/>
      <c r="H356" s="280" t="n"/>
      <c r="I356" s="332">
        <f>IFERROR(VLOOKUP(TEXT(H356,"0"),IPRESS!$A$3:$B$212,2,0),"")</f>
        <v/>
      </c>
      <c r="J356" s="280" t="n"/>
      <c r="K356" s="332">
        <f>IFERROR(VLOOKUP(TEXT(O356,"0"),CONDUCTORES!$A$3:$G$54,7,0),"")</f>
        <v/>
      </c>
      <c r="L356" s="280" t="n"/>
      <c r="M356" s="280" t="n"/>
      <c r="N356" s="333">
        <f>IFERROR(IF(L356*M356=0,"",L356*M356),"")</f>
        <v/>
      </c>
      <c r="O356" s="280" t="n"/>
      <c r="P356" s="332">
        <f>IFERROR(VLOOKUP(TEXT(O356,"0"),CONDUCTORES!$A$3:$G$54,2,0),"")</f>
        <v/>
      </c>
      <c r="Q356" s="332">
        <f>IFERROR(VLOOKUP(TEXT(O356,"0"),CONDUCTORES!$A$3:$H$54,6,0),"")</f>
        <v/>
      </c>
      <c r="R356" s="280" t="n"/>
      <c r="S356" s="280" t="n"/>
      <c r="T356" s="280" t="n"/>
      <c r="U356" s="280" t="n"/>
      <c r="V356" s="280" t="n"/>
      <c r="W356" s="280" t="n"/>
      <c r="X356" s="280" t="n"/>
      <c r="Y356" s="280" t="n"/>
    </row>
    <row r="357" ht="15" customHeight="1" s="195">
      <c r="A357" s="334" t="n"/>
      <c r="B357" s="334" t="n"/>
      <c r="C357" s="334" t="n"/>
      <c r="D357" s="334" t="n"/>
      <c r="E357" s="334" t="n"/>
      <c r="F357" s="334" t="n"/>
      <c r="G357" s="334" t="n"/>
      <c r="H357" s="334" t="n"/>
      <c r="I357" s="332">
        <f>IFERROR(VLOOKUP(TEXT(H357,"0"),IPRESS!$A$3:$B$212,2,0),"")</f>
        <v/>
      </c>
      <c r="J357" s="334" t="n"/>
      <c r="K357" s="332">
        <f>IFERROR(VLOOKUP(TEXT(O357,"0"),CONDUCTORES!$A$3:$G$54,7,0),"")</f>
        <v/>
      </c>
      <c r="L357" s="334" t="n"/>
      <c r="M357" s="334" t="n"/>
      <c r="N357" s="333">
        <f>IFERROR(IF(L357*M357=0,"",L357*M357),"")</f>
        <v/>
      </c>
      <c r="O357" s="334" t="n"/>
      <c r="P357" s="332">
        <f>IFERROR(VLOOKUP(TEXT(O357,"0"),CONDUCTORES!$A$3:$G$54,2,0),"")</f>
        <v/>
      </c>
      <c r="Q357" s="332">
        <f>IFERROR(VLOOKUP(TEXT(O357,"0"),CONDUCTORES!$A$3:$H$54,6,0),"")</f>
        <v/>
      </c>
      <c r="R357" s="334" t="n"/>
      <c r="S357" s="334" t="n"/>
      <c r="T357" s="334" t="n"/>
      <c r="U357" s="334" t="n"/>
      <c r="V357" s="334" t="n"/>
      <c r="W357" s="334" t="n"/>
      <c r="X357" s="334" t="n"/>
      <c r="Y357" s="334" t="n"/>
    </row>
    <row r="358" ht="15" customHeight="1" s="195">
      <c r="A358" s="280" t="n"/>
      <c r="B358" s="280" t="n"/>
      <c r="C358" s="280" t="n"/>
      <c r="D358" s="280" t="n"/>
      <c r="E358" s="280" t="n"/>
      <c r="F358" s="280" t="n"/>
      <c r="G358" s="280" t="n"/>
      <c r="H358" s="280" t="n"/>
      <c r="I358" s="332">
        <f>IFERROR(VLOOKUP(TEXT(H358,"0"),IPRESS!$A$3:$B$212,2,0),"")</f>
        <v/>
      </c>
      <c r="J358" s="280" t="n"/>
      <c r="K358" s="332">
        <f>IFERROR(VLOOKUP(TEXT(O358,"0"),CONDUCTORES!$A$3:$G$54,7,0),"")</f>
        <v/>
      </c>
      <c r="L358" s="280" t="n"/>
      <c r="M358" s="280" t="n"/>
      <c r="N358" s="333">
        <f>IFERROR(IF(L358*M358=0,"",L358*M358),"")</f>
        <v/>
      </c>
      <c r="O358" s="280" t="n"/>
      <c r="P358" s="332">
        <f>IFERROR(VLOOKUP(TEXT(O358,"0"),CONDUCTORES!$A$3:$G$54,2,0),"")</f>
        <v/>
      </c>
      <c r="Q358" s="332">
        <f>IFERROR(VLOOKUP(TEXT(O358,"0"),CONDUCTORES!$A$3:$H$54,6,0),"")</f>
        <v/>
      </c>
      <c r="R358" s="280" t="n"/>
      <c r="S358" s="280" t="n"/>
      <c r="T358" s="280" t="n"/>
      <c r="U358" s="280" t="n"/>
      <c r="V358" s="280" t="n"/>
      <c r="W358" s="280" t="n"/>
      <c r="X358" s="280" t="n"/>
      <c r="Y358" s="280" t="n"/>
    </row>
    <row r="359" ht="15" customHeight="1" s="195">
      <c r="A359" s="334" t="n"/>
      <c r="B359" s="334" t="n"/>
      <c r="C359" s="334" t="n"/>
      <c r="D359" s="334" t="n"/>
      <c r="E359" s="334" t="n"/>
      <c r="F359" s="334" t="n"/>
      <c r="G359" s="334" t="n"/>
      <c r="H359" s="334" t="n"/>
      <c r="I359" s="332">
        <f>IFERROR(VLOOKUP(TEXT(H359,"0"),IPRESS!$A$3:$B$212,2,0),"")</f>
        <v/>
      </c>
      <c r="J359" s="334" t="n"/>
      <c r="K359" s="332">
        <f>IFERROR(VLOOKUP(TEXT(O359,"0"),CONDUCTORES!$A$3:$G$54,7,0),"")</f>
        <v/>
      </c>
      <c r="L359" s="334" t="n"/>
      <c r="M359" s="334" t="n"/>
      <c r="N359" s="333">
        <f>IFERROR(IF(L359*M359=0,"",L359*M359),"")</f>
        <v/>
      </c>
      <c r="O359" s="334" t="n"/>
      <c r="P359" s="332">
        <f>IFERROR(VLOOKUP(TEXT(O359,"0"),CONDUCTORES!$A$3:$G$54,2,0),"")</f>
        <v/>
      </c>
      <c r="Q359" s="332">
        <f>IFERROR(VLOOKUP(TEXT(O359,"0"),CONDUCTORES!$A$3:$H$54,6,0),"")</f>
        <v/>
      </c>
      <c r="R359" s="334" t="n"/>
      <c r="S359" s="334" t="n"/>
      <c r="T359" s="334" t="n"/>
      <c r="U359" s="334" t="n"/>
      <c r="V359" s="334" t="n"/>
      <c r="W359" s="334" t="n"/>
      <c r="X359" s="334" t="n"/>
      <c r="Y359" s="334" t="n"/>
    </row>
    <row r="360" ht="15" customHeight="1" s="195">
      <c r="A360" s="280" t="n"/>
      <c r="B360" s="280" t="n"/>
      <c r="C360" s="280" t="n"/>
      <c r="D360" s="280" t="n"/>
      <c r="E360" s="280" t="n"/>
      <c r="F360" s="280" t="n"/>
      <c r="G360" s="280" t="n"/>
      <c r="H360" s="280" t="n"/>
      <c r="I360" s="332">
        <f>IFERROR(VLOOKUP(TEXT(H360,"0"),IPRESS!$A$3:$B$212,2,0),"")</f>
        <v/>
      </c>
      <c r="J360" s="280" t="n"/>
      <c r="K360" s="332">
        <f>IFERROR(VLOOKUP(TEXT(O360,"0"),CONDUCTORES!$A$3:$G$54,7,0),"")</f>
        <v/>
      </c>
      <c r="L360" s="280" t="n"/>
      <c r="M360" s="280" t="n"/>
      <c r="N360" s="333">
        <f>IFERROR(IF(L360*M360=0,"",L360*M360),"")</f>
        <v/>
      </c>
      <c r="O360" s="280" t="n"/>
      <c r="P360" s="332">
        <f>IFERROR(VLOOKUP(TEXT(O360,"0"),CONDUCTORES!$A$3:$G$54,2,0),"")</f>
        <v/>
      </c>
      <c r="Q360" s="332">
        <f>IFERROR(VLOOKUP(TEXT(O360,"0"),CONDUCTORES!$A$3:$H$54,6,0),"")</f>
        <v/>
      </c>
      <c r="R360" s="280" t="n"/>
      <c r="S360" s="280" t="n"/>
      <c r="T360" s="280" t="n"/>
      <c r="U360" s="280" t="n"/>
      <c r="V360" s="280" t="n"/>
      <c r="W360" s="280" t="n"/>
      <c r="X360" s="280" t="n"/>
      <c r="Y360" s="280" t="n"/>
    </row>
    <row r="361" ht="15" customHeight="1" s="195">
      <c r="A361" s="334" t="n"/>
      <c r="B361" s="334" t="n"/>
      <c r="C361" s="334" t="n"/>
      <c r="D361" s="334" t="n"/>
      <c r="E361" s="334" t="n"/>
      <c r="F361" s="334" t="n"/>
      <c r="G361" s="334" t="n"/>
      <c r="H361" s="334" t="n"/>
      <c r="I361" s="332">
        <f>IFERROR(VLOOKUP(TEXT(H361,"0"),IPRESS!$A$3:$B$212,2,0),"")</f>
        <v/>
      </c>
      <c r="J361" s="334" t="n"/>
      <c r="K361" s="332">
        <f>IFERROR(VLOOKUP(TEXT(O361,"0"),CONDUCTORES!$A$3:$G$54,7,0),"")</f>
        <v/>
      </c>
      <c r="L361" s="334" t="n"/>
      <c r="M361" s="334" t="n"/>
      <c r="N361" s="333">
        <f>IFERROR(IF(L361*M361=0,"",L361*M361),"")</f>
        <v/>
      </c>
      <c r="O361" s="334" t="n"/>
      <c r="P361" s="332">
        <f>IFERROR(VLOOKUP(TEXT(O361,"0"),CONDUCTORES!$A$3:$G$54,2,0),"")</f>
        <v/>
      </c>
      <c r="Q361" s="332">
        <f>IFERROR(VLOOKUP(TEXT(O361,"0"),CONDUCTORES!$A$3:$H$54,6,0),"")</f>
        <v/>
      </c>
      <c r="R361" s="334" t="n"/>
      <c r="S361" s="334" t="n"/>
      <c r="T361" s="334" t="n"/>
      <c r="U361" s="334" t="n"/>
      <c r="V361" s="334" t="n"/>
      <c r="W361" s="334" t="n"/>
      <c r="X361" s="334" t="n"/>
      <c r="Y361" s="334" t="n"/>
    </row>
    <row r="362" ht="15" customHeight="1" s="195">
      <c r="A362" s="280" t="n"/>
      <c r="B362" s="280" t="n"/>
      <c r="C362" s="280" t="n"/>
      <c r="D362" s="280" t="n"/>
      <c r="E362" s="280" t="n"/>
      <c r="F362" s="280" t="n"/>
      <c r="G362" s="280" t="n"/>
      <c r="H362" s="280" t="n"/>
      <c r="I362" s="332">
        <f>IFERROR(VLOOKUP(TEXT(H362,"0"),IPRESS!$A$3:$B$212,2,0),"")</f>
        <v/>
      </c>
      <c r="J362" s="280" t="n"/>
      <c r="K362" s="332">
        <f>IFERROR(VLOOKUP(TEXT(O362,"0"),CONDUCTORES!$A$3:$G$54,7,0),"")</f>
        <v/>
      </c>
      <c r="L362" s="280" t="n"/>
      <c r="M362" s="280" t="n"/>
      <c r="N362" s="333">
        <f>IFERROR(IF(L362*M362=0,"",L362*M362),"")</f>
        <v/>
      </c>
      <c r="O362" s="280" t="n"/>
      <c r="P362" s="332">
        <f>IFERROR(VLOOKUP(TEXT(O362,"0"),CONDUCTORES!$A$3:$G$54,2,0),"")</f>
        <v/>
      </c>
      <c r="Q362" s="332">
        <f>IFERROR(VLOOKUP(TEXT(O362,"0"),CONDUCTORES!$A$3:$H$54,6,0),"")</f>
        <v/>
      </c>
      <c r="R362" s="280" t="n"/>
      <c r="S362" s="280" t="n"/>
      <c r="T362" s="280" t="n"/>
      <c r="U362" s="280" t="n"/>
      <c r="V362" s="280" t="n"/>
      <c r="W362" s="280" t="n"/>
      <c r="X362" s="280" t="n"/>
      <c r="Y362" s="280" t="n"/>
    </row>
    <row r="363" ht="15" customHeight="1" s="195">
      <c r="A363" s="334" t="n"/>
      <c r="B363" s="334" t="n"/>
      <c r="C363" s="334" t="n"/>
      <c r="D363" s="334" t="n"/>
      <c r="E363" s="334" t="n"/>
      <c r="F363" s="334" t="n"/>
      <c r="G363" s="334" t="n"/>
      <c r="H363" s="334" t="n"/>
      <c r="I363" s="332">
        <f>IFERROR(VLOOKUP(TEXT(H363,"0"),IPRESS!$A$3:$B$212,2,0),"")</f>
        <v/>
      </c>
      <c r="J363" s="334" t="n"/>
      <c r="K363" s="332">
        <f>IFERROR(VLOOKUP(TEXT(O363,"0"),CONDUCTORES!$A$3:$G$54,7,0),"")</f>
        <v/>
      </c>
      <c r="L363" s="334" t="n"/>
      <c r="M363" s="334" t="n"/>
      <c r="N363" s="333">
        <f>IFERROR(IF(L363*M363=0,"",L363*M363),"")</f>
        <v/>
      </c>
      <c r="O363" s="334" t="n"/>
      <c r="P363" s="332">
        <f>IFERROR(VLOOKUP(TEXT(O363,"0"),CONDUCTORES!$A$3:$G$54,2,0),"")</f>
        <v/>
      </c>
      <c r="Q363" s="332">
        <f>IFERROR(VLOOKUP(TEXT(O363,"0"),CONDUCTORES!$A$3:$H$54,6,0),"")</f>
        <v/>
      </c>
      <c r="R363" s="334" t="n"/>
      <c r="S363" s="334" t="n"/>
      <c r="T363" s="334" t="n"/>
      <c r="U363" s="334" t="n"/>
      <c r="V363" s="334" t="n"/>
      <c r="W363" s="334" t="n"/>
      <c r="X363" s="334" t="n"/>
      <c r="Y363" s="334" t="n"/>
    </row>
    <row r="364" ht="15" customHeight="1" s="195">
      <c r="A364" s="280" t="n"/>
      <c r="B364" s="280" t="n"/>
      <c r="C364" s="280" t="n"/>
      <c r="D364" s="280" t="n"/>
      <c r="E364" s="280" t="n"/>
      <c r="F364" s="280" t="n"/>
      <c r="G364" s="280" t="n"/>
      <c r="H364" s="280" t="n"/>
      <c r="I364" s="332">
        <f>IFERROR(VLOOKUP(TEXT(H364,"0"),IPRESS!$A$3:$B$212,2,0),"")</f>
        <v/>
      </c>
      <c r="J364" s="280" t="n"/>
      <c r="K364" s="332">
        <f>IFERROR(VLOOKUP(TEXT(O364,"0"),CONDUCTORES!$A$3:$G$54,7,0),"")</f>
        <v/>
      </c>
      <c r="L364" s="280" t="n"/>
      <c r="M364" s="280" t="n"/>
      <c r="N364" s="333">
        <f>IFERROR(IF(L364*M364=0,"",L364*M364),"")</f>
        <v/>
      </c>
      <c r="O364" s="280" t="n"/>
      <c r="P364" s="332">
        <f>IFERROR(VLOOKUP(TEXT(O364,"0"),CONDUCTORES!$A$3:$G$54,2,0),"")</f>
        <v/>
      </c>
      <c r="Q364" s="332">
        <f>IFERROR(VLOOKUP(TEXT(O364,"0"),CONDUCTORES!$A$3:$H$54,6,0),"")</f>
        <v/>
      </c>
      <c r="R364" s="280" t="n"/>
      <c r="S364" s="280" t="n"/>
      <c r="T364" s="280" t="n"/>
      <c r="U364" s="280" t="n"/>
      <c r="V364" s="280" t="n"/>
      <c r="W364" s="280" t="n"/>
      <c r="X364" s="280" t="n"/>
      <c r="Y364" s="280" t="n"/>
    </row>
    <row r="365" ht="15" customHeight="1" s="195">
      <c r="A365" s="334" t="n"/>
      <c r="B365" s="334" t="n"/>
      <c r="C365" s="334" t="n"/>
      <c r="D365" s="334" t="n"/>
      <c r="E365" s="334" t="n"/>
      <c r="F365" s="334" t="n"/>
      <c r="G365" s="334" t="n"/>
      <c r="H365" s="334" t="n"/>
      <c r="I365" s="332">
        <f>IFERROR(VLOOKUP(TEXT(H365,"0"),IPRESS!$A$3:$B$212,2,0),"")</f>
        <v/>
      </c>
      <c r="J365" s="334" t="n"/>
      <c r="K365" s="332">
        <f>IFERROR(VLOOKUP(TEXT(O365,"0"),CONDUCTORES!$A$3:$G$54,7,0),"")</f>
        <v/>
      </c>
      <c r="L365" s="334" t="n"/>
      <c r="M365" s="334" t="n"/>
      <c r="N365" s="333">
        <f>IFERROR(IF(L365*M365=0,"",L365*M365),"")</f>
        <v/>
      </c>
      <c r="O365" s="334" t="n"/>
      <c r="P365" s="332">
        <f>IFERROR(VLOOKUP(TEXT(O365,"0"),CONDUCTORES!$A$3:$G$54,2,0),"")</f>
        <v/>
      </c>
      <c r="Q365" s="332">
        <f>IFERROR(VLOOKUP(TEXT(O365,"0"),CONDUCTORES!$A$3:$H$54,6,0),"")</f>
        <v/>
      </c>
      <c r="R365" s="334" t="n"/>
      <c r="S365" s="334" t="n"/>
      <c r="T365" s="334" t="n"/>
      <c r="U365" s="334" t="n"/>
      <c r="V365" s="334" t="n"/>
      <c r="W365" s="334" t="n"/>
      <c r="X365" s="334" t="n"/>
      <c r="Y365" s="334" t="n"/>
    </row>
    <row r="366" ht="15" customHeight="1" s="195">
      <c r="A366" s="280" t="n"/>
      <c r="B366" s="280" t="n"/>
      <c r="C366" s="280" t="n"/>
      <c r="D366" s="280" t="n"/>
      <c r="E366" s="280" t="n"/>
      <c r="F366" s="280" t="n"/>
      <c r="G366" s="280" t="n"/>
      <c r="H366" s="280" t="n"/>
      <c r="I366" s="332">
        <f>IFERROR(VLOOKUP(TEXT(H366,"0"),IPRESS!$A$3:$B$212,2,0),"")</f>
        <v/>
      </c>
      <c r="J366" s="280" t="n"/>
      <c r="K366" s="332">
        <f>IFERROR(VLOOKUP(TEXT(O366,"0"),CONDUCTORES!$A$3:$G$54,7,0),"")</f>
        <v/>
      </c>
      <c r="L366" s="280" t="n"/>
      <c r="M366" s="280" t="n"/>
      <c r="N366" s="333">
        <f>IFERROR(IF(L366*M366=0,"",L366*M366),"")</f>
        <v/>
      </c>
      <c r="O366" s="280" t="n"/>
      <c r="P366" s="332">
        <f>IFERROR(VLOOKUP(TEXT(O366,"0"),CONDUCTORES!$A$3:$G$54,2,0),"")</f>
        <v/>
      </c>
      <c r="Q366" s="332">
        <f>IFERROR(VLOOKUP(TEXT(O366,"0"),CONDUCTORES!$A$3:$H$54,6,0),"")</f>
        <v/>
      </c>
      <c r="R366" s="280" t="n"/>
      <c r="S366" s="280" t="n"/>
      <c r="T366" s="280" t="n"/>
      <c r="U366" s="280" t="n"/>
      <c r="V366" s="280" t="n"/>
      <c r="W366" s="280" t="n"/>
      <c r="X366" s="280" t="n"/>
      <c r="Y366" s="280" t="n"/>
    </row>
    <row r="367" ht="15" customHeight="1" s="195">
      <c r="A367" s="334" t="n"/>
      <c r="B367" s="334" t="n"/>
      <c r="C367" s="334" t="n"/>
      <c r="D367" s="334" t="n"/>
      <c r="E367" s="334" t="n"/>
      <c r="F367" s="334" t="n"/>
      <c r="G367" s="334" t="n"/>
      <c r="H367" s="334" t="n"/>
      <c r="I367" s="332">
        <f>IFERROR(VLOOKUP(TEXT(H367,"0"),IPRESS!$A$3:$B$212,2,0),"")</f>
        <v/>
      </c>
      <c r="J367" s="334" t="n"/>
      <c r="K367" s="332">
        <f>IFERROR(VLOOKUP(TEXT(O367,"0"),CONDUCTORES!$A$3:$G$54,7,0),"")</f>
        <v/>
      </c>
      <c r="L367" s="334" t="n"/>
      <c r="M367" s="334" t="n"/>
      <c r="N367" s="333">
        <f>IFERROR(IF(L367*M367=0,"",L367*M367),"")</f>
        <v/>
      </c>
      <c r="O367" s="334" t="n"/>
      <c r="P367" s="332">
        <f>IFERROR(VLOOKUP(TEXT(O367,"0"),CONDUCTORES!$A$3:$G$54,2,0),"")</f>
        <v/>
      </c>
      <c r="Q367" s="332">
        <f>IFERROR(VLOOKUP(TEXT(O367,"0"),CONDUCTORES!$A$3:$H$54,6,0),"")</f>
        <v/>
      </c>
      <c r="R367" s="334" t="n"/>
      <c r="S367" s="334" t="n"/>
      <c r="T367" s="334" t="n"/>
      <c r="U367" s="334" t="n"/>
      <c r="V367" s="334" t="n"/>
      <c r="W367" s="334" t="n"/>
      <c r="X367" s="334" t="n"/>
      <c r="Y367" s="334" t="n"/>
    </row>
    <row r="368" ht="15" customHeight="1" s="195">
      <c r="A368" s="280" t="n"/>
      <c r="B368" s="280" t="n"/>
      <c r="C368" s="280" t="n"/>
      <c r="D368" s="280" t="n"/>
      <c r="E368" s="280" t="n"/>
      <c r="F368" s="280" t="n"/>
      <c r="G368" s="280" t="n"/>
      <c r="H368" s="280" t="n"/>
      <c r="I368" s="332">
        <f>IFERROR(VLOOKUP(TEXT(H368,"0"),IPRESS!$A$3:$B$212,2,0),"")</f>
        <v/>
      </c>
      <c r="J368" s="280" t="n"/>
      <c r="K368" s="332">
        <f>IFERROR(VLOOKUP(TEXT(O368,"0"),CONDUCTORES!$A$3:$G$54,7,0),"")</f>
        <v/>
      </c>
      <c r="L368" s="280" t="n"/>
      <c r="M368" s="280" t="n"/>
      <c r="N368" s="333">
        <f>IFERROR(IF(L368*M368=0,"",L368*M368),"")</f>
        <v/>
      </c>
      <c r="O368" s="280" t="n"/>
      <c r="P368" s="332">
        <f>IFERROR(VLOOKUP(TEXT(O368,"0"),CONDUCTORES!$A$3:$G$54,2,0),"")</f>
        <v/>
      </c>
      <c r="Q368" s="332">
        <f>IFERROR(VLOOKUP(TEXT(O368,"0"),CONDUCTORES!$A$3:$H$54,6,0),"")</f>
        <v/>
      </c>
      <c r="R368" s="280" t="n"/>
      <c r="S368" s="280" t="n"/>
      <c r="T368" s="280" t="n"/>
      <c r="U368" s="280" t="n"/>
      <c r="V368" s="280" t="n"/>
      <c r="W368" s="280" t="n"/>
      <c r="X368" s="280" t="n"/>
      <c r="Y368" s="280" t="n"/>
    </row>
    <row r="369" ht="15" customHeight="1" s="195">
      <c r="A369" s="334" t="n"/>
      <c r="B369" s="334" t="n"/>
      <c r="C369" s="334" t="n"/>
      <c r="D369" s="334" t="n"/>
      <c r="E369" s="334" t="n"/>
      <c r="F369" s="334" t="n"/>
      <c r="G369" s="334" t="n"/>
      <c r="H369" s="334" t="n"/>
      <c r="I369" s="332">
        <f>IFERROR(VLOOKUP(TEXT(H369,"0"),IPRESS!$A$3:$B$212,2,0),"")</f>
        <v/>
      </c>
      <c r="J369" s="334" t="n"/>
      <c r="K369" s="332">
        <f>IFERROR(VLOOKUP(TEXT(O369,"0"),CONDUCTORES!$A$3:$G$54,7,0),"")</f>
        <v/>
      </c>
      <c r="L369" s="334" t="n"/>
      <c r="M369" s="334" t="n"/>
      <c r="N369" s="333">
        <f>IFERROR(IF(L369*M369=0,"",L369*M369),"")</f>
        <v/>
      </c>
      <c r="O369" s="334" t="n"/>
      <c r="P369" s="332">
        <f>IFERROR(VLOOKUP(TEXT(O369,"0"),CONDUCTORES!$A$3:$G$54,2,0),"")</f>
        <v/>
      </c>
      <c r="Q369" s="332">
        <f>IFERROR(VLOOKUP(TEXT(O369,"0"),CONDUCTORES!$A$3:$H$54,6,0),"")</f>
        <v/>
      </c>
      <c r="R369" s="334" t="n"/>
      <c r="S369" s="334" t="n"/>
      <c r="T369" s="334" t="n"/>
      <c r="U369" s="334" t="n"/>
      <c r="V369" s="334" t="n"/>
      <c r="W369" s="334" t="n"/>
      <c r="X369" s="334" t="n"/>
      <c r="Y369" s="334" t="n"/>
    </row>
    <row r="370" ht="15" customHeight="1" s="195">
      <c r="A370" s="280" t="n"/>
      <c r="B370" s="280" t="n"/>
      <c r="C370" s="280" t="n"/>
      <c r="D370" s="280" t="n"/>
      <c r="E370" s="280" t="n"/>
      <c r="F370" s="280" t="n"/>
      <c r="G370" s="280" t="n"/>
      <c r="H370" s="280" t="n"/>
      <c r="I370" s="332">
        <f>IFERROR(VLOOKUP(TEXT(H370,"0"),IPRESS!$A$3:$B$212,2,0),"")</f>
        <v/>
      </c>
      <c r="J370" s="280" t="n"/>
      <c r="K370" s="332">
        <f>IFERROR(VLOOKUP(TEXT(O370,"0"),CONDUCTORES!$A$3:$G$54,7,0),"")</f>
        <v/>
      </c>
      <c r="L370" s="280" t="n"/>
      <c r="M370" s="280" t="n"/>
      <c r="N370" s="333">
        <f>IFERROR(IF(L370*M370=0,"",L370*M370),"")</f>
        <v/>
      </c>
      <c r="O370" s="280" t="n"/>
      <c r="P370" s="332">
        <f>IFERROR(VLOOKUP(TEXT(O370,"0"),CONDUCTORES!$A$3:$G$54,2,0),"")</f>
        <v/>
      </c>
      <c r="Q370" s="332">
        <f>IFERROR(VLOOKUP(TEXT(O370,"0"),CONDUCTORES!$A$3:$H$54,6,0),"")</f>
        <v/>
      </c>
      <c r="R370" s="280" t="n"/>
      <c r="S370" s="280" t="n"/>
      <c r="T370" s="280" t="n"/>
      <c r="U370" s="280" t="n"/>
      <c r="V370" s="280" t="n"/>
      <c r="W370" s="280" t="n"/>
      <c r="X370" s="280" t="n"/>
      <c r="Y370" s="280" t="n"/>
    </row>
    <row r="371" ht="15" customHeight="1" s="195">
      <c r="A371" s="334" t="n"/>
      <c r="B371" s="334" t="n"/>
      <c r="C371" s="334" t="n"/>
      <c r="D371" s="334" t="n"/>
      <c r="E371" s="334" t="n"/>
      <c r="F371" s="334" t="n"/>
      <c r="G371" s="334" t="n"/>
      <c r="H371" s="334" t="n"/>
      <c r="I371" s="332">
        <f>IFERROR(VLOOKUP(TEXT(H371,"0"),IPRESS!$A$3:$B$212,2,0),"")</f>
        <v/>
      </c>
      <c r="J371" s="334" t="n"/>
      <c r="K371" s="332">
        <f>IFERROR(VLOOKUP(TEXT(O371,"0"),CONDUCTORES!$A$3:$G$54,7,0),"")</f>
        <v/>
      </c>
      <c r="L371" s="334" t="n"/>
      <c r="M371" s="334" t="n"/>
      <c r="N371" s="333">
        <f>IFERROR(IF(L371*M371=0,"",L371*M371),"")</f>
        <v/>
      </c>
      <c r="O371" s="334" t="n"/>
      <c r="P371" s="332">
        <f>IFERROR(VLOOKUP(TEXT(O371,"0"),CONDUCTORES!$A$3:$G$54,2,0),"")</f>
        <v/>
      </c>
      <c r="Q371" s="332">
        <f>IFERROR(VLOOKUP(TEXT(O371,"0"),CONDUCTORES!$A$3:$H$54,6,0),"")</f>
        <v/>
      </c>
      <c r="R371" s="334" t="n"/>
      <c r="S371" s="334" t="n"/>
      <c r="T371" s="334" t="n"/>
      <c r="U371" s="334" t="n"/>
      <c r="V371" s="334" t="n"/>
      <c r="W371" s="334" t="n"/>
      <c r="X371" s="334" t="n"/>
      <c r="Y371" s="334" t="n"/>
    </row>
    <row r="372" ht="15" customHeight="1" s="195">
      <c r="A372" s="280" t="n"/>
      <c r="B372" s="280" t="n"/>
      <c r="C372" s="280" t="n"/>
      <c r="D372" s="280" t="n"/>
      <c r="E372" s="280" t="n"/>
      <c r="F372" s="280" t="n"/>
      <c r="G372" s="280" t="n"/>
      <c r="H372" s="280" t="n"/>
      <c r="I372" s="332">
        <f>IFERROR(VLOOKUP(TEXT(H372,"0"),IPRESS!$A$3:$B$212,2,0),"")</f>
        <v/>
      </c>
      <c r="J372" s="280" t="n"/>
      <c r="K372" s="332">
        <f>IFERROR(VLOOKUP(TEXT(O372,"0"),CONDUCTORES!$A$3:$G$54,7,0),"")</f>
        <v/>
      </c>
      <c r="L372" s="280" t="n"/>
      <c r="M372" s="280" t="n"/>
      <c r="N372" s="333">
        <f>IFERROR(IF(L372*M372=0,"",L372*M372),"")</f>
        <v/>
      </c>
      <c r="O372" s="280" t="n"/>
      <c r="P372" s="332">
        <f>IFERROR(VLOOKUP(TEXT(O372,"0"),CONDUCTORES!$A$3:$G$54,2,0),"")</f>
        <v/>
      </c>
      <c r="Q372" s="332">
        <f>IFERROR(VLOOKUP(TEXT(O372,"0"),CONDUCTORES!$A$3:$H$54,6,0),"")</f>
        <v/>
      </c>
      <c r="R372" s="280" t="n"/>
      <c r="S372" s="280" t="n"/>
      <c r="T372" s="280" t="n"/>
      <c r="U372" s="280" t="n"/>
      <c r="V372" s="280" t="n"/>
      <c r="W372" s="280" t="n"/>
      <c r="X372" s="280" t="n"/>
      <c r="Y372" s="280" t="n"/>
    </row>
    <row r="373" ht="15" customHeight="1" s="195">
      <c r="A373" s="334" t="n"/>
      <c r="B373" s="334" t="n"/>
      <c r="C373" s="334" t="n"/>
      <c r="D373" s="334" t="n"/>
      <c r="E373" s="334" t="n"/>
      <c r="F373" s="334" t="n"/>
      <c r="G373" s="334" t="n"/>
      <c r="H373" s="334" t="n"/>
      <c r="I373" s="332">
        <f>IFERROR(VLOOKUP(TEXT(H373,"0"),IPRESS!$A$3:$B$212,2,0),"")</f>
        <v/>
      </c>
      <c r="J373" s="334" t="n"/>
      <c r="K373" s="332">
        <f>IFERROR(VLOOKUP(TEXT(O373,"0"),CONDUCTORES!$A$3:$G$54,7,0),"")</f>
        <v/>
      </c>
      <c r="L373" s="334" t="n"/>
      <c r="M373" s="334" t="n"/>
      <c r="N373" s="333">
        <f>IFERROR(IF(L373*M373=0,"",L373*M373),"")</f>
        <v/>
      </c>
      <c r="O373" s="334" t="n"/>
      <c r="P373" s="332">
        <f>IFERROR(VLOOKUP(TEXT(O373,"0"),CONDUCTORES!$A$3:$G$54,2,0),"")</f>
        <v/>
      </c>
      <c r="Q373" s="332">
        <f>IFERROR(VLOOKUP(TEXT(O373,"0"),CONDUCTORES!$A$3:$H$54,6,0),"")</f>
        <v/>
      </c>
      <c r="R373" s="334" t="n"/>
      <c r="S373" s="334" t="n"/>
      <c r="T373" s="334" t="n"/>
      <c r="U373" s="334" t="n"/>
      <c r="V373" s="334" t="n"/>
      <c r="W373" s="334" t="n"/>
      <c r="X373" s="334" t="n"/>
      <c r="Y373" s="334" t="n"/>
    </row>
    <row r="374" ht="15" customHeight="1" s="195">
      <c r="A374" s="280" t="n"/>
      <c r="B374" s="280" t="n"/>
      <c r="C374" s="280" t="n"/>
      <c r="D374" s="280" t="n"/>
      <c r="E374" s="280" t="n"/>
      <c r="F374" s="280" t="n"/>
      <c r="G374" s="280" t="n"/>
      <c r="H374" s="280" t="n"/>
      <c r="I374" s="332">
        <f>IFERROR(VLOOKUP(TEXT(H374,"0"),IPRESS!$A$3:$B$212,2,0),"")</f>
        <v/>
      </c>
      <c r="J374" s="280" t="n"/>
      <c r="K374" s="332">
        <f>IFERROR(VLOOKUP(TEXT(O374,"0"),CONDUCTORES!$A$3:$G$54,7,0),"")</f>
        <v/>
      </c>
      <c r="L374" s="280" t="n"/>
      <c r="M374" s="280" t="n"/>
      <c r="N374" s="333">
        <f>IFERROR(IF(L374*M374=0,"",L374*M374),"")</f>
        <v/>
      </c>
      <c r="O374" s="280" t="n"/>
      <c r="P374" s="332">
        <f>IFERROR(VLOOKUP(TEXT(O374,"0"),CONDUCTORES!$A$3:$G$54,2,0),"")</f>
        <v/>
      </c>
      <c r="Q374" s="332">
        <f>IFERROR(VLOOKUP(TEXT(O374,"0"),CONDUCTORES!$A$3:$H$54,6,0),"")</f>
        <v/>
      </c>
      <c r="R374" s="280" t="n"/>
      <c r="S374" s="280" t="n"/>
      <c r="T374" s="280" t="n"/>
      <c r="U374" s="280" t="n"/>
      <c r="V374" s="280" t="n"/>
      <c r="W374" s="280" t="n"/>
      <c r="X374" s="280" t="n"/>
      <c r="Y374" s="280" t="n"/>
    </row>
    <row r="375" ht="15" customHeight="1" s="195">
      <c r="A375" s="334" t="n"/>
      <c r="B375" s="334" t="n"/>
      <c r="C375" s="334" t="n"/>
      <c r="D375" s="334" t="n"/>
      <c r="E375" s="334" t="n"/>
      <c r="F375" s="334" t="n"/>
      <c r="G375" s="334" t="n"/>
      <c r="H375" s="334" t="n"/>
      <c r="I375" s="332">
        <f>IFERROR(VLOOKUP(TEXT(H375,"0"),IPRESS!$A$3:$B$212,2,0),"")</f>
        <v/>
      </c>
      <c r="J375" s="334" t="n"/>
      <c r="K375" s="332">
        <f>IFERROR(VLOOKUP(TEXT(O375,"0"),CONDUCTORES!$A$3:$G$54,7,0),"")</f>
        <v/>
      </c>
      <c r="L375" s="334" t="n"/>
      <c r="M375" s="334" t="n"/>
      <c r="N375" s="333">
        <f>IFERROR(IF(L375*M375=0,"",L375*M375),"")</f>
        <v/>
      </c>
      <c r="O375" s="334" t="n"/>
      <c r="P375" s="332">
        <f>IFERROR(VLOOKUP(TEXT(O375,"0"),CONDUCTORES!$A$3:$G$54,2,0),"")</f>
        <v/>
      </c>
      <c r="Q375" s="332">
        <f>IFERROR(VLOOKUP(TEXT(O375,"0"),CONDUCTORES!$A$3:$H$54,6,0),"")</f>
        <v/>
      </c>
      <c r="R375" s="334" t="n"/>
      <c r="S375" s="334" t="n"/>
      <c r="T375" s="334" t="n"/>
      <c r="U375" s="334" t="n"/>
      <c r="V375" s="334" t="n"/>
      <c r="W375" s="334" t="n"/>
      <c r="X375" s="334" t="n"/>
      <c r="Y375" s="334" t="n"/>
    </row>
    <row r="376" ht="15" customHeight="1" s="195">
      <c r="A376" s="280" t="n"/>
      <c r="B376" s="280" t="n"/>
      <c r="C376" s="280" t="n"/>
      <c r="D376" s="280" t="n"/>
      <c r="E376" s="280" t="n"/>
      <c r="F376" s="280" t="n"/>
      <c r="G376" s="280" t="n"/>
      <c r="H376" s="280" t="n"/>
      <c r="I376" s="332">
        <f>IFERROR(VLOOKUP(TEXT(H376,"0"),IPRESS!$A$3:$B$212,2,0),"")</f>
        <v/>
      </c>
      <c r="J376" s="280" t="n"/>
      <c r="K376" s="332">
        <f>IFERROR(VLOOKUP(TEXT(O376,"0"),CONDUCTORES!$A$3:$G$54,7,0),"")</f>
        <v/>
      </c>
      <c r="L376" s="280" t="n"/>
      <c r="M376" s="280" t="n"/>
      <c r="N376" s="333">
        <f>IFERROR(IF(L376*M376=0,"",L376*M376),"")</f>
        <v/>
      </c>
      <c r="O376" s="280" t="n"/>
      <c r="P376" s="332">
        <f>IFERROR(VLOOKUP(TEXT(O376,"0"),CONDUCTORES!$A$3:$G$54,2,0),"")</f>
        <v/>
      </c>
      <c r="Q376" s="332">
        <f>IFERROR(VLOOKUP(TEXT(O376,"0"),CONDUCTORES!$A$3:$H$54,6,0),"")</f>
        <v/>
      </c>
      <c r="R376" s="280" t="n"/>
      <c r="S376" s="280" t="n"/>
      <c r="T376" s="280" t="n"/>
      <c r="U376" s="280" t="n"/>
      <c r="V376" s="280" t="n"/>
      <c r="W376" s="280" t="n"/>
      <c r="X376" s="280" t="n"/>
      <c r="Y376" s="280" t="n"/>
    </row>
    <row r="377" ht="15" customHeight="1" s="195">
      <c r="A377" s="334" t="n"/>
      <c r="B377" s="334" t="n"/>
      <c r="C377" s="334" t="n"/>
      <c r="D377" s="334" t="n"/>
      <c r="E377" s="334" t="n"/>
      <c r="F377" s="334" t="n"/>
      <c r="G377" s="334" t="n"/>
      <c r="H377" s="334" t="n"/>
      <c r="I377" s="332">
        <f>IFERROR(VLOOKUP(TEXT(H377,"0"),IPRESS!$A$3:$B$212,2,0),"")</f>
        <v/>
      </c>
      <c r="J377" s="334" t="n"/>
      <c r="K377" s="332">
        <f>IFERROR(VLOOKUP(TEXT(O377,"0"),CONDUCTORES!$A$3:$G$54,7,0),"")</f>
        <v/>
      </c>
      <c r="L377" s="334" t="n"/>
      <c r="M377" s="334" t="n"/>
      <c r="N377" s="333">
        <f>IFERROR(IF(L377*M377=0,"",L377*M377),"")</f>
        <v/>
      </c>
      <c r="O377" s="334" t="n"/>
      <c r="P377" s="332">
        <f>IFERROR(VLOOKUP(TEXT(O377,"0"),CONDUCTORES!$A$3:$G$54,2,0),"")</f>
        <v/>
      </c>
      <c r="Q377" s="332">
        <f>IFERROR(VLOOKUP(TEXT(O377,"0"),CONDUCTORES!$A$3:$H$54,6,0),"")</f>
        <v/>
      </c>
      <c r="R377" s="334" t="n"/>
      <c r="S377" s="334" t="n"/>
      <c r="T377" s="334" t="n"/>
      <c r="U377" s="334" t="n"/>
      <c r="V377" s="334" t="n"/>
      <c r="W377" s="334" t="n"/>
      <c r="X377" s="334" t="n"/>
      <c r="Y377" s="334" t="n"/>
    </row>
    <row r="378" ht="15" customHeight="1" s="195">
      <c r="A378" s="280" t="n"/>
      <c r="B378" s="280" t="n"/>
      <c r="C378" s="280" t="n"/>
      <c r="D378" s="280" t="n"/>
      <c r="E378" s="280" t="n"/>
      <c r="F378" s="280" t="n"/>
      <c r="G378" s="280" t="n"/>
      <c r="H378" s="280" t="n"/>
      <c r="I378" s="332">
        <f>IFERROR(VLOOKUP(TEXT(H378,"0"),IPRESS!$A$3:$B$212,2,0),"")</f>
        <v/>
      </c>
      <c r="J378" s="280" t="n"/>
      <c r="K378" s="332">
        <f>IFERROR(VLOOKUP(TEXT(O378,"0"),CONDUCTORES!$A$3:$G$54,7,0),"")</f>
        <v/>
      </c>
      <c r="L378" s="280" t="n"/>
      <c r="M378" s="280" t="n"/>
      <c r="N378" s="333">
        <f>IFERROR(IF(L378*M378=0,"",L378*M378),"")</f>
        <v/>
      </c>
      <c r="O378" s="280" t="n"/>
      <c r="P378" s="332">
        <f>IFERROR(VLOOKUP(TEXT(O378,"0"),CONDUCTORES!$A$3:$G$54,2,0),"")</f>
        <v/>
      </c>
      <c r="Q378" s="332">
        <f>IFERROR(VLOOKUP(TEXT(O378,"0"),CONDUCTORES!$A$3:$H$54,6,0),"")</f>
        <v/>
      </c>
      <c r="R378" s="280" t="n"/>
      <c r="S378" s="280" t="n"/>
      <c r="T378" s="280" t="n"/>
      <c r="U378" s="280" t="n"/>
      <c r="V378" s="280" t="n"/>
      <c r="W378" s="280" t="n"/>
      <c r="X378" s="280" t="n"/>
      <c r="Y378" s="280" t="n"/>
    </row>
    <row r="379" ht="15" customHeight="1" s="195">
      <c r="A379" s="334" t="n"/>
      <c r="B379" s="334" t="n"/>
      <c r="C379" s="334" t="n"/>
      <c r="D379" s="334" t="n"/>
      <c r="E379" s="334" t="n"/>
      <c r="F379" s="334" t="n"/>
      <c r="G379" s="334" t="n"/>
      <c r="H379" s="334" t="n"/>
      <c r="I379" s="332">
        <f>IFERROR(VLOOKUP(TEXT(H379,"0"),IPRESS!$A$3:$B$212,2,0),"")</f>
        <v/>
      </c>
      <c r="J379" s="334" t="n"/>
      <c r="K379" s="332">
        <f>IFERROR(VLOOKUP(TEXT(O379,"0"),CONDUCTORES!$A$3:$G$54,7,0),"")</f>
        <v/>
      </c>
      <c r="L379" s="334" t="n"/>
      <c r="M379" s="334" t="n"/>
      <c r="N379" s="333">
        <f>IFERROR(IF(L379*M379=0,"",L379*M379),"")</f>
        <v/>
      </c>
      <c r="O379" s="334" t="n"/>
      <c r="P379" s="332">
        <f>IFERROR(VLOOKUP(TEXT(O379,"0"),CONDUCTORES!$A$3:$G$54,2,0),"")</f>
        <v/>
      </c>
      <c r="Q379" s="332">
        <f>IFERROR(VLOOKUP(TEXT(O379,"0"),CONDUCTORES!$A$3:$H$54,6,0),"")</f>
        <v/>
      </c>
      <c r="R379" s="334" t="n"/>
      <c r="S379" s="334" t="n"/>
      <c r="T379" s="334" t="n"/>
      <c r="U379" s="334" t="n"/>
      <c r="V379" s="334" t="n"/>
      <c r="W379" s="334" t="n"/>
      <c r="X379" s="334" t="n"/>
      <c r="Y379" s="334" t="n"/>
    </row>
    <row r="380" ht="15" customHeight="1" s="195">
      <c r="A380" s="280" t="n"/>
      <c r="B380" s="280" t="n"/>
      <c r="C380" s="280" t="n"/>
      <c r="D380" s="280" t="n"/>
      <c r="E380" s="280" t="n"/>
      <c r="F380" s="280" t="n"/>
      <c r="G380" s="280" t="n"/>
      <c r="H380" s="280" t="n"/>
      <c r="I380" s="332">
        <f>IFERROR(VLOOKUP(TEXT(H380,"0"),IPRESS!$A$3:$B$212,2,0),"")</f>
        <v/>
      </c>
      <c r="J380" s="280" t="n"/>
      <c r="K380" s="332">
        <f>IFERROR(VLOOKUP(TEXT(O380,"0"),CONDUCTORES!$A$3:$G$54,7,0),"")</f>
        <v/>
      </c>
      <c r="L380" s="280" t="n"/>
      <c r="M380" s="280" t="n"/>
      <c r="N380" s="333">
        <f>IFERROR(IF(L380*M380=0,"",L380*M380),"")</f>
        <v/>
      </c>
      <c r="O380" s="280" t="n"/>
      <c r="P380" s="332">
        <f>IFERROR(VLOOKUP(TEXT(O380,"0"),CONDUCTORES!$A$3:$G$54,2,0),"")</f>
        <v/>
      </c>
      <c r="Q380" s="332">
        <f>IFERROR(VLOOKUP(TEXT(O380,"0"),CONDUCTORES!$A$3:$H$54,6,0),"")</f>
        <v/>
      </c>
      <c r="R380" s="280" t="n"/>
      <c r="S380" s="280" t="n"/>
      <c r="T380" s="280" t="n"/>
      <c r="U380" s="280" t="n"/>
      <c r="V380" s="280" t="n"/>
      <c r="W380" s="280" t="n"/>
      <c r="X380" s="280" t="n"/>
      <c r="Y380" s="280" t="n"/>
    </row>
    <row r="381" ht="15" customHeight="1" s="195">
      <c r="A381" s="334" t="n"/>
      <c r="B381" s="334" t="n"/>
      <c r="C381" s="334" t="n"/>
      <c r="D381" s="334" t="n"/>
      <c r="E381" s="334" t="n"/>
      <c r="F381" s="334" t="n"/>
      <c r="G381" s="334" t="n"/>
      <c r="H381" s="334" t="n"/>
      <c r="I381" s="332">
        <f>IFERROR(VLOOKUP(TEXT(H381,"0"),IPRESS!$A$3:$B$212,2,0),"")</f>
        <v/>
      </c>
      <c r="J381" s="334" t="n"/>
      <c r="K381" s="332">
        <f>IFERROR(VLOOKUP(TEXT(O381,"0"),CONDUCTORES!$A$3:$G$54,7,0),"")</f>
        <v/>
      </c>
      <c r="L381" s="334" t="n"/>
      <c r="M381" s="334" t="n"/>
      <c r="N381" s="333">
        <f>IFERROR(IF(L381*M381=0,"",L381*M381),"")</f>
        <v/>
      </c>
      <c r="O381" s="334" t="n"/>
      <c r="P381" s="332">
        <f>IFERROR(VLOOKUP(TEXT(O381,"0"),CONDUCTORES!$A$3:$G$54,2,0),"")</f>
        <v/>
      </c>
      <c r="Q381" s="332">
        <f>IFERROR(VLOOKUP(TEXT(O381,"0"),CONDUCTORES!$A$3:$H$54,6,0),"")</f>
        <v/>
      </c>
      <c r="R381" s="334" t="n"/>
      <c r="S381" s="334" t="n"/>
      <c r="T381" s="334" t="n"/>
      <c r="U381" s="334" t="n"/>
      <c r="V381" s="334" t="n"/>
      <c r="W381" s="334" t="n"/>
      <c r="X381" s="334" t="n"/>
      <c r="Y381" s="334" t="n"/>
    </row>
    <row r="382" ht="15" customHeight="1" s="195">
      <c r="A382" s="280" t="n"/>
      <c r="B382" s="280" t="n"/>
      <c r="C382" s="280" t="n"/>
      <c r="D382" s="280" t="n"/>
      <c r="E382" s="280" t="n"/>
      <c r="F382" s="280" t="n"/>
      <c r="G382" s="280" t="n"/>
      <c r="H382" s="280" t="n"/>
      <c r="I382" s="332">
        <f>IFERROR(VLOOKUP(TEXT(H382,"0"),IPRESS!$A$3:$B$212,2,0),"")</f>
        <v/>
      </c>
      <c r="J382" s="280" t="n"/>
      <c r="K382" s="332">
        <f>IFERROR(VLOOKUP(TEXT(O382,"0"),CONDUCTORES!$A$3:$G$54,7,0),"")</f>
        <v/>
      </c>
      <c r="L382" s="280" t="n"/>
      <c r="M382" s="280" t="n"/>
      <c r="N382" s="333">
        <f>IFERROR(IF(L382*M382=0,"",L382*M382),"")</f>
        <v/>
      </c>
      <c r="O382" s="280" t="n"/>
      <c r="P382" s="332">
        <f>IFERROR(VLOOKUP(TEXT(O382,"0"),CONDUCTORES!$A$3:$G$54,2,0),"")</f>
        <v/>
      </c>
      <c r="Q382" s="332">
        <f>IFERROR(VLOOKUP(TEXT(O382,"0"),CONDUCTORES!$A$3:$H$54,6,0),"")</f>
        <v/>
      </c>
      <c r="R382" s="280" t="n"/>
      <c r="S382" s="280" t="n"/>
      <c r="T382" s="280" t="n"/>
      <c r="U382" s="280" t="n"/>
      <c r="V382" s="280" t="n"/>
      <c r="W382" s="280" t="n"/>
      <c r="X382" s="280" t="n"/>
      <c r="Y382" s="280" t="n"/>
    </row>
    <row r="383" ht="15" customHeight="1" s="195">
      <c r="A383" s="334" t="n"/>
      <c r="B383" s="334" t="n"/>
      <c r="C383" s="334" t="n"/>
      <c r="D383" s="334" t="n"/>
      <c r="E383" s="334" t="n"/>
      <c r="F383" s="334" t="n"/>
      <c r="G383" s="334" t="n"/>
      <c r="H383" s="334" t="n"/>
      <c r="I383" s="332">
        <f>IFERROR(VLOOKUP(TEXT(H383,"0"),IPRESS!$A$3:$B$212,2,0),"")</f>
        <v/>
      </c>
      <c r="J383" s="334" t="n"/>
      <c r="K383" s="332">
        <f>IFERROR(VLOOKUP(TEXT(O383,"0"),CONDUCTORES!$A$3:$G$54,7,0),"")</f>
        <v/>
      </c>
      <c r="L383" s="334" t="n"/>
      <c r="M383" s="334" t="n"/>
      <c r="N383" s="333">
        <f>IFERROR(IF(L383*M383=0,"",L383*M383),"")</f>
        <v/>
      </c>
      <c r="O383" s="334" t="n"/>
      <c r="P383" s="332">
        <f>IFERROR(VLOOKUP(TEXT(O383,"0"),CONDUCTORES!$A$3:$G$54,2,0),"")</f>
        <v/>
      </c>
      <c r="Q383" s="332">
        <f>IFERROR(VLOOKUP(TEXT(O383,"0"),CONDUCTORES!$A$3:$H$54,6,0),"")</f>
        <v/>
      </c>
      <c r="R383" s="334" t="n"/>
      <c r="S383" s="334" t="n"/>
      <c r="T383" s="334" t="n"/>
      <c r="U383" s="334" t="n"/>
      <c r="V383" s="334" t="n"/>
      <c r="W383" s="334" t="n"/>
      <c r="X383" s="334" t="n"/>
      <c r="Y383" s="334" t="n"/>
    </row>
    <row r="384" ht="15" customHeight="1" s="195">
      <c r="A384" s="280" t="n"/>
      <c r="B384" s="280" t="n"/>
      <c r="C384" s="280" t="n"/>
      <c r="D384" s="280" t="n"/>
      <c r="E384" s="280" t="n"/>
      <c r="F384" s="280" t="n"/>
      <c r="G384" s="280" t="n"/>
      <c r="H384" s="280" t="n"/>
      <c r="I384" s="332">
        <f>IFERROR(VLOOKUP(TEXT(H384,"0"),IPRESS!$A$3:$B$212,2,0),"")</f>
        <v/>
      </c>
      <c r="J384" s="280" t="n"/>
      <c r="K384" s="332">
        <f>IFERROR(VLOOKUP(TEXT(O384,"0"),CONDUCTORES!$A$3:$G$54,7,0),"")</f>
        <v/>
      </c>
      <c r="L384" s="280" t="n"/>
      <c r="M384" s="280" t="n"/>
      <c r="N384" s="333">
        <f>IFERROR(IF(L384*M384=0,"",L384*M384),"")</f>
        <v/>
      </c>
      <c r="O384" s="280" t="n"/>
      <c r="P384" s="332">
        <f>IFERROR(VLOOKUP(TEXT(O384,"0"),CONDUCTORES!$A$3:$G$54,2,0),"")</f>
        <v/>
      </c>
      <c r="Q384" s="332">
        <f>IFERROR(VLOOKUP(TEXT(O384,"0"),CONDUCTORES!$A$3:$H$54,6,0),"")</f>
        <v/>
      </c>
      <c r="R384" s="280" t="n"/>
      <c r="S384" s="280" t="n"/>
      <c r="T384" s="280" t="n"/>
      <c r="U384" s="280" t="n"/>
      <c r="V384" s="280" t="n"/>
      <c r="W384" s="280" t="n"/>
      <c r="X384" s="280" t="n"/>
      <c r="Y384" s="280" t="n"/>
    </row>
    <row r="385" ht="15" customHeight="1" s="195">
      <c r="A385" s="334" t="n"/>
      <c r="B385" s="334" t="n"/>
      <c r="C385" s="334" t="n"/>
      <c r="D385" s="334" t="n"/>
      <c r="E385" s="334" t="n"/>
      <c r="F385" s="334" t="n"/>
      <c r="G385" s="334" t="n"/>
      <c r="H385" s="334" t="n"/>
      <c r="I385" s="332">
        <f>IFERROR(VLOOKUP(TEXT(H385,"0"),IPRESS!$A$3:$B$212,2,0),"")</f>
        <v/>
      </c>
      <c r="J385" s="334" t="n"/>
      <c r="K385" s="332">
        <f>IFERROR(VLOOKUP(TEXT(O385,"0"),CONDUCTORES!$A$3:$G$54,7,0),"")</f>
        <v/>
      </c>
      <c r="L385" s="334" t="n"/>
      <c r="M385" s="334" t="n"/>
      <c r="N385" s="333">
        <f>IFERROR(IF(L385*M385=0,"",L385*M385),"")</f>
        <v/>
      </c>
      <c r="O385" s="334" t="n"/>
      <c r="P385" s="332">
        <f>IFERROR(VLOOKUP(TEXT(O385,"0"),CONDUCTORES!$A$3:$G$54,2,0),"")</f>
        <v/>
      </c>
      <c r="Q385" s="332">
        <f>IFERROR(VLOOKUP(TEXT(O385,"0"),CONDUCTORES!$A$3:$H$54,6,0),"")</f>
        <v/>
      </c>
      <c r="R385" s="334" t="n"/>
      <c r="S385" s="334" t="n"/>
      <c r="T385" s="334" t="n"/>
      <c r="U385" s="334" t="n"/>
      <c r="V385" s="334" t="n"/>
      <c r="W385" s="334" t="n"/>
      <c r="X385" s="334" t="n"/>
      <c r="Y385" s="334" t="n"/>
    </row>
    <row r="386" ht="15" customHeight="1" s="195">
      <c r="A386" s="280" t="n"/>
      <c r="B386" s="280" t="n"/>
      <c r="C386" s="280" t="n"/>
      <c r="D386" s="280" t="n"/>
      <c r="E386" s="280" t="n"/>
      <c r="F386" s="280" t="n"/>
      <c r="G386" s="280" t="n"/>
      <c r="H386" s="280" t="n"/>
      <c r="I386" s="332">
        <f>IFERROR(VLOOKUP(TEXT(H386,"0"),IPRESS!$A$3:$B$212,2,0),"")</f>
        <v/>
      </c>
      <c r="J386" s="280" t="n"/>
      <c r="K386" s="332">
        <f>IFERROR(VLOOKUP(TEXT(O386,"0"),CONDUCTORES!$A$3:$G$54,7,0),"")</f>
        <v/>
      </c>
      <c r="L386" s="280" t="n"/>
      <c r="M386" s="280" t="n"/>
      <c r="N386" s="333">
        <f>IFERROR(IF(L386*M386=0,"",L386*M386),"")</f>
        <v/>
      </c>
      <c r="O386" s="280" t="n"/>
      <c r="P386" s="332">
        <f>IFERROR(VLOOKUP(TEXT(O386,"0"),CONDUCTORES!$A$3:$G$54,2,0),"")</f>
        <v/>
      </c>
      <c r="Q386" s="332">
        <f>IFERROR(VLOOKUP(TEXT(O386,"0"),CONDUCTORES!$A$3:$H$54,6,0),"")</f>
        <v/>
      </c>
      <c r="R386" s="280" t="n"/>
      <c r="S386" s="280" t="n"/>
      <c r="T386" s="280" t="n"/>
      <c r="U386" s="280" t="n"/>
      <c r="V386" s="280" t="n"/>
      <c r="W386" s="280" t="n"/>
      <c r="X386" s="280" t="n"/>
      <c r="Y386" s="280" t="n"/>
    </row>
    <row r="387" ht="15" customHeight="1" s="195">
      <c r="A387" s="334" t="n"/>
      <c r="B387" s="334" t="n"/>
      <c r="C387" s="334" t="n"/>
      <c r="D387" s="334" t="n"/>
      <c r="E387" s="334" t="n"/>
      <c r="F387" s="334" t="n"/>
      <c r="G387" s="334" t="n"/>
      <c r="H387" s="334" t="n"/>
      <c r="I387" s="332">
        <f>IFERROR(VLOOKUP(TEXT(H387,"0"),IPRESS!$A$3:$B$212,2,0),"")</f>
        <v/>
      </c>
      <c r="J387" s="334" t="n"/>
      <c r="K387" s="332">
        <f>IFERROR(VLOOKUP(TEXT(O387,"0"),CONDUCTORES!$A$3:$G$54,7,0),"")</f>
        <v/>
      </c>
      <c r="L387" s="334" t="n"/>
      <c r="M387" s="334" t="n"/>
      <c r="N387" s="333">
        <f>IFERROR(IF(L387*M387=0,"",L387*M387),"")</f>
        <v/>
      </c>
      <c r="O387" s="334" t="n"/>
      <c r="P387" s="332">
        <f>IFERROR(VLOOKUP(TEXT(O387,"0"),CONDUCTORES!$A$3:$G$54,2,0),"")</f>
        <v/>
      </c>
      <c r="Q387" s="332">
        <f>IFERROR(VLOOKUP(TEXT(O387,"0"),CONDUCTORES!$A$3:$H$54,6,0),"")</f>
        <v/>
      </c>
      <c r="R387" s="334" t="n"/>
      <c r="S387" s="334" t="n"/>
      <c r="T387" s="334" t="n"/>
      <c r="U387" s="334" t="n"/>
      <c r="V387" s="334" t="n"/>
      <c r="W387" s="334" t="n"/>
      <c r="X387" s="334" t="n"/>
      <c r="Y387" s="334" t="n"/>
    </row>
    <row r="388" ht="15" customHeight="1" s="195">
      <c r="A388" s="280" t="n"/>
      <c r="B388" s="280" t="n"/>
      <c r="C388" s="280" t="n"/>
      <c r="D388" s="280" t="n"/>
      <c r="E388" s="280" t="n"/>
      <c r="F388" s="280" t="n"/>
      <c r="G388" s="280" t="n"/>
      <c r="H388" s="280" t="n"/>
      <c r="I388" s="332">
        <f>IFERROR(VLOOKUP(TEXT(H388,"0"),IPRESS!$A$3:$B$212,2,0),"")</f>
        <v/>
      </c>
      <c r="J388" s="280" t="n"/>
      <c r="K388" s="332">
        <f>IFERROR(VLOOKUP(TEXT(O388,"0"),CONDUCTORES!$A$3:$G$54,7,0),"")</f>
        <v/>
      </c>
      <c r="L388" s="280" t="n"/>
      <c r="M388" s="280" t="n"/>
      <c r="N388" s="333">
        <f>IFERROR(IF(L388*M388=0,"",L388*M388),"")</f>
        <v/>
      </c>
      <c r="O388" s="280" t="n"/>
      <c r="P388" s="332">
        <f>IFERROR(VLOOKUP(TEXT(O388,"0"),CONDUCTORES!$A$3:$G$54,2,0),"")</f>
        <v/>
      </c>
      <c r="Q388" s="332">
        <f>IFERROR(VLOOKUP(TEXT(O388,"0"),CONDUCTORES!$A$3:$H$54,6,0),"")</f>
        <v/>
      </c>
      <c r="R388" s="280" t="n"/>
      <c r="S388" s="280" t="n"/>
      <c r="T388" s="280" t="n"/>
      <c r="U388" s="280" t="n"/>
      <c r="V388" s="280" t="n"/>
      <c r="W388" s="280" t="n"/>
      <c r="X388" s="280" t="n"/>
      <c r="Y388" s="280" t="n"/>
    </row>
    <row r="389" ht="15" customHeight="1" s="195">
      <c r="A389" s="334" t="n"/>
      <c r="B389" s="334" t="n"/>
      <c r="C389" s="334" t="n"/>
      <c r="D389" s="334" t="n"/>
      <c r="E389" s="334" t="n"/>
      <c r="F389" s="334" t="n"/>
      <c r="G389" s="334" t="n"/>
      <c r="H389" s="334" t="n"/>
      <c r="I389" s="332">
        <f>IFERROR(VLOOKUP(TEXT(H389,"0"),IPRESS!$A$3:$B$212,2,0),"")</f>
        <v/>
      </c>
      <c r="J389" s="334" t="n"/>
      <c r="K389" s="332">
        <f>IFERROR(VLOOKUP(TEXT(O389,"0"),CONDUCTORES!$A$3:$G$54,7,0),"")</f>
        <v/>
      </c>
      <c r="L389" s="334" t="n"/>
      <c r="M389" s="334" t="n"/>
      <c r="N389" s="333">
        <f>IFERROR(IF(L389*M389=0,"",L389*M389),"")</f>
        <v/>
      </c>
      <c r="O389" s="334" t="n"/>
      <c r="P389" s="332">
        <f>IFERROR(VLOOKUP(TEXT(O389,"0"),CONDUCTORES!$A$3:$G$54,2,0),"")</f>
        <v/>
      </c>
      <c r="Q389" s="332">
        <f>IFERROR(VLOOKUP(TEXT(O389,"0"),CONDUCTORES!$A$3:$H$54,6,0),"")</f>
        <v/>
      </c>
      <c r="R389" s="334" t="n"/>
      <c r="S389" s="334" t="n"/>
      <c r="T389" s="334" t="n"/>
      <c r="U389" s="334" t="n"/>
      <c r="V389" s="334" t="n"/>
      <c r="W389" s="334" t="n"/>
      <c r="X389" s="334" t="n"/>
      <c r="Y389" s="334" t="n"/>
    </row>
    <row r="390" ht="15" customHeight="1" s="195">
      <c r="A390" s="280" t="n"/>
      <c r="B390" s="280" t="n"/>
      <c r="C390" s="280" t="n"/>
      <c r="D390" s="280" t="n"/>
      <c r="E390" s="280" t="n"/>
      <c r="F390" s="280" t="n"/>
      <c r="G390" s="280" t="n"/>
      <c r="H390" s="280" t="n"/>
      <c r="I390" s="332">
        <f>IFERROR(VLOOKUP(TEXT(H390,"0"),IPRESS!$A$3:$B$212,2,0),"")</f>
        <v/>
      </c>
      <c r="J390" s="280" t="n"/>
      <c r="K390" s="332">
        <f>IFERROR(VLOOKUP(TEXT(O390,"0"),CONDUCTORES!$A$3:$G$54,7,0),"")</f>
        <v/>
      </c>
      <c r="L390" s="280" t="n"/>
      <c r="M390" s="280" t="n"/>
      <c r="N390" s="333">
        <f>IFERROR(IF(L390*M390=0,"",L390*M390),"")</f>
        <v/>
      </c>
      <c r="O390" s="280" t="n"/>
      <c r="P390" s="332">
        <f>IFERROR(VLOOKUP(TEXT(O390,"0"),CONDUCTORES!$A$3:$G$54,2,0),"")</f>
        <v/>
      </c>
      <c r="Q390" s="332">
        <f>IFERROR(VLOOKUP(TEXT(O390,"0"),CONDUCTORES!$A$3:$H$54,6,0),"")</f>
        <v/>
      </c>
      <c r="R390" s="280" t="n"/>
      <c r="S390" s="280" t="n"/>
      <c r="T390" s="280" t="n"/>
      <c r="U390" s="280" t="n"/>
      <c r="V390" s="280" t="n"/>
      <c r="W390" s="280" t="n"/>
      <c r="X390" s="280" t="n"/>
      <c r="Y390" s="280" t="n"/>
    </row>
    <row r="391" ht="15" customHeight="1" s="195">
      <c r="A391" s="334" t="n"/>
      <c r="B391" s="334" t="n"/>
      <c r="C391" s="334" t="n"/>
      <c r="D391" s="334" t="n"/>
      <c r="E391" s="334" t="n"/>
      <c r="F391" s="334" t="n"/>
      <c r="G391" s="334" t="n"/>
      <c r="H391" s="334" t="n"/>
      <c r="I391" s="332">
        <f>IFERROR(VLOOKUP(TEXT(H391,"0"),IPRESS!$A$3:$B$212,2,0),"")</f>
        <v/>
      </c>
      <c r="J391" s="334" t="n"/>
      <c r="K391" s="332">
        <f>IFERROR(VLOOKUP(TEXT(O391,"0"),CONDUCTORES!$A$3:$G$54,7,0),"")</f>
        <v/>
      </c>
      <c r="L391" s="334" t="n"/>
      <c r="M391" s="334" t="n"/>
      <c r="N391" s="333">
        <f>IFERROR(IF(L391*M391=0,"",L391*M391),"")</f>
        <v/>
      </c>
      <c r="O391" s="334" t="n"/>
      <c r="P391" s="332">
        <f>IFERROR(VLOOKUP(TEXT(O391,"0"),CONDUCTORES!$A$3:$G$54,2,0),"")</f>
        <v/>
      </c>
      <c r="Q391" s="332">
        <f>IFERROR(VLOOKUP(TEXT(O391,"0"),CONDUCTORES!$A$3:$H$54,6,0),"")</f>
        <v/>
      </c>
      <c r="R391" s="334" t="n"/>
      <c r="S391" s="334" t="n"/>
      <c r="T391" s="334" t="n"/>
      <c r="U391" s="334" t="n"/>
      <c r="V391" s="334" t="n"/>
      <c r="W391" s="334" t="n"/>
      <c r="X391" s="334" t="n"/>
      <c r="Y391" s="334" t="n"/>
    </row>
    <row r="392" ht="15" customHeight="1" s="195">
      <c r="A392" s="280" t="n"/>
      <c r="B392" s="280" t="n"/>
      <c r="C392" s="280" t="n"/>
      <c r="D392" s="280" t="n"/>
      <c r="E392" s="280" t="n"/>
      <c r="F392" s="280" t="n"/>
      <c r="G392" s="280" t="n"/>
      <c r="H392" s="280" t="n"/>
      <c r="I392" s="332">
        <f>IFERROR(VLOOKUP(TEXT(H392,"0"),IPRESS!$A$3:$B$212,2,0),"")</f>
        <v/>
      </c>
      <c r="J392" s="280" t="n"/>
      <c r="K392" s="332">
        <f>IFERROR(VLOOKUP(TEXT(O392,"0"),CONDUCTORES!$A$3:$G$54,7,0),"")</f>
        <v/>
      </c>
      <c r="L392" s="280" t="n"/>
      <c r="M392" s="280" t="n"/>
      <c r="N392" s="333">
        <f>IFERROR(IF(L392*M392=0,"",L392*M392),"")</f>
        <v/>
      </c>
      <c r="O392" s="280" t="n"/>
      <c r="P392" s="332">
        <f>IFERROR(VLOOKUP(TEXT(O392,"0"),CONDUCTORES!$A$3:$G$54,2,0),"")</f>
        <v/>
      </c>
      <c r="Q392" s="332">
        <f>IFERROR(VLOOKUP(TEXT(O392,"0"),CONDUCTORES!$A$3:$H$54,6,0),"")</f>
        <v/>
      </c>
      <c r="R392" s="280" t="n"/>
      <c r="S392" s="280" t="n"/>
      <c r="T392" s="280" t="n"/>
      <c r="U392" s="280" t="n"/>
      <c r="V392" s="280" t="n"/>
      <c r="W392" s="280" t="n"/>
      <c r="X392" s="280" t="n"/>
      <c r="Y392" s="280" t="n"/>
    </row>
    <row r="393" ht="15" customHeight="1" s="195">
      <c r="A393" s="334" t="n"/>
      <c r="B393" s="334" t="n"/>
      <c r="C393" s="334" t="n"/>
      <c r="D393" s="334" t="n"/>
      <c r="E393" s="334" t="n"/>
      <c r="F393" s="334" t="n"/>
      <c r="G393" s="334" t="n"/>
      <c r="H393" s="334" t="n"/>
      <c r="I393" s="332">
        <f>IFERROR(VLOOKUP(TEXT(H393,"0"),IPRESS!$A$3:$B$212,2,0),"")</f>
        <v/>
      </c>
      <c r="J393" s="334" t="n"/>
      <c r="K393" s="332">
        <f>IFERROR(VLOOKUP(TEXT(O393,"0"),CONDUCTORES!$A$3:$G$54,7,0),"")</f>
        <v/>
      </c>
      <c r="L393" s="334" t="n"/>
      <c r="M393" s="334" t="n"/>
      <c r="N393" s="333">
        <f>IFERROR(IF(L393*M393=0,"",L393*M393),"")</f>
        <v/>
      </c>
      <c r="O393" s="334" t="n"/>
      <c r="P393" s="332">
        <f>IFERROR(VLOOKUP(TEXT(O393,"0"),CONDUCTORES!$A$3:$G$54,2,0),"")</f>
        <v/>
      </c>
      <c r="Q393" s="332">
        <f>IFERROR(VLOOKUP(TEXT(O393,"0"),CONDUCTORES!$A$3:$H$54,6,0),"")</f>
        <v/>
      </c>
      <c r="R393" s="334" t="n"/>
      <c r="S393" s="334" t="n"/>
      <c r="T393" s="334" t="n"/>
      <c r="U393" s="334" t="n"/>
      <c r="V393" s="334" t="n"/>
      <c r="W393" s="334" t="n"/>
      <c r="X393" s="334" t="n"/>
      <c r="Y393" s="334" t="n"/>
    </row>
    <row r="394" ht="15" customHeight="1" s="195">
      <c r="A394" s="280" t="n"/>
      <c r="B394" s="280" t="n"/>
      <c r="C394" s="280" t="n"/>
      <c r="D394" s="280" t="n"/>
      <c r="E394" s="280" t="n"/>
      <c r="F394" s="280" t="n"/>
      <c r="G394" s="280" t="n"/>
      <c r="H394" s="280" t="n"/>
      <c r="I394" s="332">
        <f>IFERROR(VLOOKUP(TEXT(H394,"0"),IPRESS!$A$3:$B$212,2,0),"")</f>
        <v/>
      </c>
      <c r="J394" s="280" t="n"/>
      <c r="K394" s="332">
        <f>IFERROR(VLOOKUP(TEXT(O394,"0"),CONDUCTORES!$A$3:$G$54,7,0),"")</f>
        <v/>
      </c>
      <c r="L394" s="280" t="n"/>
      <c r="M394" s="280" t="n"/>
      <c r="N394" s="333">
        <f>IFERROR(IF(L394*M394=0,"",L394*M394),"")</f>
        <v/>
      </c>
      <c r="O394" s="280" t="n"/>
      <c r="P394" s="332">
        <f>IFERROR(VLOOKUP(TEXT(O394,"0"),CONDUCTORES!$A$3:$G$54,2,0),"")</f>
        <v/>
      </c>
      <c r="Q394" s="332">
        <f>IFERROR(VLOOKUP(TEXT(O394,"0"),CONDUCTORES!$A$3:$H$54,6,0),"")</f>
        <v/>
      </c>
      <c r="R394" s="280" t="n"/>
      <c r="S394" s="280" t="n"/>
      <c r="T394" s="280" t="n"/>
      <c r="U394" s="280" t="n"/>
      <c r="V394" s="280" t="n"/>
      <c r="W394" s="280" t="n"/>
      <c r="X394" s="280" t="n"/>
      <c r="Y394" s="280" t="n"/>
    </row>
    <row r="395" ht="15" customHeight="1" s="195">
      <c r="A395" s="334" t="n"/>
      <c r="B395" s="334" t="n"/>
      <c r="C395" s="334" t="n"/>
      <c r="D395" s="334" t="n"/>
      <c r="E395" s="334" t="n"/>
      <c r="F395" s="334" t="n"/>
      <c r="G395" s="334" t="n"/>
      <c r="H395" s="334" t="n"/>
      <c r="I395" s="332">
        <f>IFERROR(VLOOKUP(TEXT(H395,"0"),IPRESS!$A$3:$B$212,2,0),"")</f>
        <v/>
      </c>
      <c r="J395" s="334" t="n"/>
      <c r="K395" s="332">
        <f>IFERROR(VLOOKUP(TEXT(O395,"0"),CONDUCTORES!$A$3:$G$54,7,0),"")</f>
        <v/>
      </c>
      <c r="L395" s="334" t="n"/>
      <c r="M395" s="334" t="n"/>
      <c r="N395" s="333">
        <f>IFERROR(IF(L395*M395=0,"",L395*M395),"")</f>
        <v/>
      </c>
      <c r="O395" s="334" t="n"/>
      <c r="P395" s="332">
        <f>IFERROR(VLOOKUP(TEXT(O395,"0"),CONDUCTORES!$A$3:$G$54,2,0),"")</f>
        <v/>
      </c>
      <c r="Q395" s="332">
        <f>IFERROR(VLOOKUP(TEXT(O395,"0"),CONDUCTORES!$A$3:$H$54,6,0),"")</f>
        <v/>
      </c>
      <c r="R395" s="334" t="n"/>
      <c r="S395" s="334" t="n"/>
      <c r="T395" s="334" t="n"/>
      <c r="U395" s="334" t="n"/>
      <c r="V395" s="334" t="n"/>
      <c r="W395" s="334" t="n"/>
      <c r="X395" s="334" t="n"/>
      <c r="Y395" s="334" t="n"/>
    </row>
    <row r="396" ht="15" customHeight="1" s="195">
      <c r="A396" s="280" t="n"/>
      <c r="B396" s="280" t="n"/>
      <c r="C396" s="280" t="n"/>
      <c r="D396" s="280" t="n"/>
      <c r="E396" s="280" t="n"/>
      <c r="F396" s="280" t="n"/>
      <c r="G396" s="280" t="n"/>
      <c r="H396" s="280" t="n"/>
      <c r="I396" s="332">
        <f>IFERROR(VLOOKUP(TEXT(H396,"0"),IPRESS!$A$3:$B$212,2,0),"")</f>
        <v/>
      </c>
      <c r="J396" s="280" t="n"/>
      <c r="K396" s="332">
        <f>IFERROR(VLOOKUP(TEXT(O396,"0"),CONDUCTORES!$A$3:$G$54,7,0),"")</f>
        <v/>
      </c>
      <c r="L396" s="280" t="n"/>
      <c r="M396" s="280" t="n"/>
      <c r="N396" s="333">
        <f>IFERROR(IF(L396*M396=0,"",L396*M396),"")</f>
        <v/>
      </c>
      <c r="O396" s="280" t="n"/>
      <c r="P396" s="332">
        <f>IFERROR(VLOOKUP(TEXT(O396,"0"),CONDUCTORES!$A$3:$G$54,2,0),"")</f>
        <v/>
      </c>
      <c r="Q396" s="332">
        <f>IFERROR(VLOOKUP(TEXT(O396,"0"),CONDUCTORES!$A$3:$H$54,6,0),"")</f>
        <v/>
      </c>
      <c r="R396" s="280" t="n"/>
      <c r="S396" s="280" t="n"/>
      <c r="T396" s="280" t="n"/>
      <c r="U396" s="280" t="n"/>
      <c r="V396" s="280" t="n"/>
      <c r="W396" s="280" t="n"/>
      <c r="X396" s="280" t="n"/>
      <c r="Y396" s="280" t="n"/>
    </row>
    <row r="397" ht="15" customHeight="1" s="195">
      <c r="A397" s="334" t="n"/>
      <c r="B397" s="334" t="n"/>
      <c r="C397" s="334" t="n"/>
      <c r="D397" s="334" t="n"/>
      <c r="E397" s="334" t="n"/>
      <c r="F397" s="334" t="n"/>
      <c r="G397" s="334" t="n"/>
      <c r="H397" s="334" t="n"/>
      <c r="I397" s="332">
        <f>IFERROR(VLOOKUP(TEXT(H397,"0"),IPRESS!$A$3:$B$212,2,0),"")</f>
        <v/>
      </c>
      <c r="J397" s="334" t="n"/>
      <c r="K397" s="332">
        <f>IFERROR(VLOOKUP(TEXT(O397,"0"),CONDUCTORES!$A$3:$G$54,7,0),"")</f>
        <v/>
      </c>
      <c r="L397" s="334" t="n"/>
      <c r="M397" s="334" t="n"/>
      <c r="N397" s="333">
        <f>IFERROR(IF(L397*M397=0,"",L397*M397),"")</f>
        <v/>
      </c>
      <c r="O397" s="334" t="n"/>
      <c r="P397" s="332">
        <f>IFERROR(VLOOKUP(TEXT(O397,"0"),CONDUCTORES!$A$3:$G$54,2,0),"")</f>
        <v/>
      </c>
      <c r="Q397" s="332">
        <f>IFERROR(VLOOKUP(TEXT(O397,"0"),CONDUCTORES!$A$3:$H$54,6,0),"")</f>
        <v/>
      </c>
      <c r="R397" s="334" t="n"/>
      <c r="S397" s="334" t="n"/>
      <c r="T397" s="334" t="n"/>
      <c r="U397" s="334" t="n"/>
      <c r="V397" s="334" t="n"/>
      <c r="W397" s="334" t="n"/>
      <c r="X397" s="334" t="n"/>
      <c r="Y397" s="334" t="n"/>
    </row>
    <row r="398" ht="15" customHeight="1" s="195">
      <c r="A398" s="280" t="n"/>
      <c r="B398" s="280" t="n"/>
      <c r="C398" s="280" t="n"/>
      <c r="D398" s="280" t="n"/>
      <c r="E398" s="280" t="n"/>
      <c r="F398" s="280" t="n"/>
      <c r="G398" s="280" t="n"/>
      <c r="H398" s="280" t="n"/>
      <c r="I398" s="332">
        <f>IFERROR(VLOOKUP(TEXT(H398,"0"),IPRESS!$A$3:$B$212,2,0),"")</f>
        <v/>
      </c>
      <c r="J398" s="280" t="n"/>
      <c r="K398" s="332">
        <f>IFERROR(VLOOKUP(TEXT(O398,"0"),CONDUCTORES!$A$3:$G$54,7,0),"")</f>
        <v/>
      </c>
      <c r="L398" s="280" t="n"/>
      <c r="M398" s="280" t="n"/>
      <c r="N398" s="333">
        <f>IFERROR(IF(L398*M398=0,"",L398*M398),"")</f>
        <v/>
      </c>
      <c r="O398" s="280" t="n"/>
      <c r="P398" s="332">
        <f>IFERROR(VLOOKUP(TEXT(O398,"0"),CONDUCTORES!$A$3:$G$54,2,0),"")</f>
        <v/>
      </c>
      <c r="Q398" s="332">
        <f>IFERROR(VLOOKUP(TEXT(O398,"0"),CONDUCTORES!$A$3:$H$54,6,0),"")</f>
        <v/>
      </c>
      <c r="R398" s="280" t="n"/>
      <c r="S398" s="280" t="n"/>
      <c r="T398" s="280" t="n"/>
      <c r="U398" s="280" t="n"/>
      <c r="V398" s="280" t="n"/>
      <c r="W398" s="280" t="n"/>
      <c r="X398" s="280" t="n"/>
      <c r="Y398" s="280" t="n"/>
    </row>
    <row r="399" ht="15" customHeight="1" s="195">
      <c r="A399" s="334" t="n"/>
      <c r="B399" s="334" t="n"/>
      <c r="C399" s="334" t="n"/>
      <c r="D399" s="334" t="n"/>
      <c r="E399" s="334" t="n"/>
      <c r="F399" s="334" t="n"/>
      <c r="G399" s="334" t="n"/>
      <c r="H399" s="334" t="n"/>
      <c r="I399" s="332">
        <f>IFERROR(VLOOKUP(TEXT(H399,"0"),IPRESS!$A$3:$B$212,2,0),"")</f>
        <v/>
      </c>
      <c r="J399" s="334" t="n"/>
      <c r="K399" s="332">
        <f>IFERROR(VLOOKUP(TEXT(O399,"0"),CONDUCTORES!$A$3:$G$54,7,0),"")</f>
        <v/>
      </c>
      <c r="L399" s="334" t="n"/>
      <c r="M399" s="334" t="n"/>
      <c r="N399" s="333">
        <f>IFERROR(IF(L399*M399=0,"",L399*M399),"")</f>
        <v/>
      </c>
      <c r="O399" s="334" t="n"/>
      <c r="P399" s="332">
        <f>IFERROR(VLOOKUP(TEXT(O399,"0"),CONDUCTORES!$A$3:$G$54,2,0),"")</f>
        <v/>
      </c>
      <c r="Q399" s="332">
        <f>IFERROR(VLOOKUP(TEXT(O399,"0"),CONDUCTORES!$A$3:$H$54,6,0),"")</f>
        <v/>
      </c>
      <c r="R399" s="334" t="n"/>
      <c r="S399" s="334" t="n"/>
      <c r="T399" s="334" t="n"/>
      <c r="U399" s="334" t="n"/>
      <c r="V399" s="334" t="n"/>
      <c r="W399" s="334" t="n"/>
      <c r="X399" s="334" t="n"/>
      <c r="Y399" s="334" t="n"/>
    </row>
    <row r="400" ht="15" customHeight="1" s="195">
      <c r="A400" s="280" t="n"/>
      <c r="B400" s="280" t="n"/>
      <c r="C400" s="280" t="n"/>
      <c r="D400" s="280" t="n"/>
      <c r="E400" s="280" t="n"/>
      <c r="F400" s="280" t="n"/>
      <c r="G400" s="280" t="n"/>
      <c r="H400" s="280" t="n"/>
      <c r="I400" s="332">
        <f>IFERROR(VLOOKUP(TEXT(H400,"0"),IPRESS!$A$3:$B$212,2,0),"")</f>
        <v/>
      </c>
      <c r="J400" s="280" t="n"/>
      <c r="K400" s="332">
        <f>IFERROR(VLOOKUP(TEXT(O400,"0"),CONDUCTORES!$A$3:$G$54,7,0),"")</f>
        <v/>
      </c>
      <c r="L400" s="280" t="n"/>
      <c r="M400" s="280" t="n"/>
      <c r="N400" s="333">
        <f>IFERROR(IF(L400*M400=0,"",L400*M400),"")</f>
        <v/>
      </c>
      <c r="O400" s="280" t="n"/>
      <c r="P400" s="332">
        <f>IFERROR(VLOOKUP(TEXT(O400,"0"),CONDUCTORES!$A$3:$G$54,2,0),"")</f>
        <v/>
      </c>
      <c r="Q400" s="332">
        <f>IFERROR(VLOOKUP(TEXT(O400,"0"),CONDUCTORES!$A$3:$H$54,6,0),"")</f>
        <v/>
      </c>
      <c r="R400" s="280" t="n"/>
      <c r="S400" s="280" t="n"/>
      <c r="T400" s="280" t="n"/>
      <c r="U400" s="280" t="n"/>
      <c r="V400" s="280" t="n"/>
      <c r="W400" s="280" t="n"/>
      <c r="X400" s="280" t="n"/>
      <c r="Y400" s="280" t="n"/>
    </row>
    <row r="401" ht="15" customHeight="1" s="195">
      <c r="A401" s="334" t="n"/>
      <c r="B401" s="334" t="n"/>
      <c r="C401" s="334" t="n"/>
      <c r="D401" s="334" t="n"/>
      <c r="E401" s="334" t="n"/>
      <c r="F401" s="334" t="n"/>
      <c r="G401" s="334" t="n"/>
      <c r="H401" s="334" t="n"/>
      <c r="I401" s="332">
        <f>IFERROR(VLOOKUP(TEXT(H401,"0"),IPRESS!$A$3:$B$212,2,0),"")</f>
        <v/>
      </c>
      <c r="J401" s="334" t="n"/>
      <c r="K401" s="332">
        <f>IFERROR(VLOOKUP(TEXT(O401,"0"),CONDUCTORES!$A$3:$G$54,7,0),"")</f>
        <v/>
      </c>
      <c r="L401" s="334" t="n"/>
      <c r="M401" s="334" t="n"/>
      <c r="N401" s="333">
        <f>IFERROR(IF(L401*M401=0,"",L401*M401),"")</f>
        <v/>
      </c>
      <c r="O401" s="334" t="n"/>
      <c r="P401" s="332">
        <f>IFERROR(VLOOKUP(TEXT(O401,"0"),CONDUCTORES!$A$3:$G$54,2,0),"")</f>
        <v/>
      </c>
      <c r="Q401" s="332">
        <f>IFERROR(VLOOKUP(TEXT(O401,"0"),CONDUCTORES!$A$3:$H$54,6,0),"")</f>
        <v/>
      </c>
      <c r="R401" s="334" t="n"/>
      <c r="S401" s="334" t="n"/>
      <c r="T401" s="334" t="n"/>
      <c r="U401" s="334" t="n"/>
      <c r="V401" s="334" t="n"/>
      <c r="W401" s="334" t="n"/>
      <c r="X401" s="334" t="n"/>
      <c r="Y401" s="334" t="n"/>
    </row>
    <row r="402" ht="15" customHeight="1" s="195">
      <c r="A402" s="280" t="n"/>
      <c r="B402" s="280" t="n"/>
      <c r="C402" s="280" t="n"/>
      <c r="D402" s="280" t="n"/>
      <c r="E402" s="280" t="n"/>
      <c r="F402" s="280" t="n"/>
      <c r="G402" s="280" t="n"/>
      <c r="H402" s="280" t="n"/>
      <c r="I402" s="332">
        <f>IFERROR(VLOOKUP(TEXT(H402,"0"),IPRESS!$A$3:$B$212,2,0),"")</f>
        <v/>
      </c>
      <c r="J402" s="280" t="n"/>
      <c r="K402" s="332">
        <f>IFERROR(VLOOKUP(TEXT(O402,"0"),CONDUCTORES!$A$3:$G$54,7,0),"")</f>
        <v/>
      </c>
      <c r="L402" s="280" t="n"/>
      <c r="M402" s="280" t="n"/>
      <c r="N402" s="333">
        <f>IFERROR(IF(L402*M402=0,"",L402*M402),"")</f>
        <v/>
      </c>
      <c r="O402" s="280" t="n"/>
      <c r="P402" s="332">
        <f>IFERROR(VLOOKUP(TEXT(O402,"0"),CONDUCTORES!$A$3:$G$54,2,0),"")</f>
        <v/>
      </c>
      <c r="Q402" s="332">
        <f>IFERROR(VLOOKUP(TEXT(O402,"0"),CONDUCTORES!$A$3:$H$54,6,0),"")</f>
        <v/>
      </c>
      <c r="R402" s="280" t="n"/>
      <c r="S402" s="280" t="n"/>
      <c r="T402" s="280" t="n"/>
      <c r="U402" s="280" t="n"/>
      <c r="V402" s="280" t="n"/>
      <c r="W402" s="280" t="n"/>
      <c r="X402" s="280" t="n"/>
      <c r="Y402" s="280" t="n"/>
    </row>
    <row r="403" ht="15" customHeight="1" s="195">
      <c r="A403" s="334" t="n"/>
      <c r="B403" s="334" t="n"/>
      <c r="C403" s="334" t="n"/>
      <c r="D403" s="334" t="n"/>
      <c r="E403" s="334" t="n"/>
      <c r="F403" s="334" t="n"/>
      <c r="G403" s="334" t="n"/>
      <c r="H403" s="334" t="n"/>
      <c r="I403" s="332">
        <f>IFERROR(VLOOKUP(TEXT(H403,"0"),IPRESS!$A$3:$B$212,2,0),"")</f>
        <v/>
      </c>
      <c r="J403" s="334" t="n"/>
      <c r="K403" s="332">
        <f>IFERROR(VLOOKUP(TEXT(O403,"0"),CONDUCTORES!$A$3:$G$54,7,0),"")</f>
        <v/>
      </c>
      <c r="L403" s="334" t="n"/>
      <c r="M403" s="334" t="n"/>
      <c r="N403" s="333">
        <f>IFERROR(IF(L403*M403=0,"",L403*M403),"")</f>
        <v/>
      </c>
      <c r="O403" s="334" t="n"/>
      <c r="P403" s="332">
        <f>IFERROR(VLOOKUP(TEXT(O403,"0"),CONDUCTORES!$A$3:$G$54,2,0),"")</f>
        <v/>
      </c>
      <c r="Q403" s="332">
        <f>IFERROR(VLOOKUP(TEXT(O403,"0"),CONDUCTORES!$A$3:$H$54,6,0),"")</f>
        <v/>
      </c>
      <c r="R403" s="334" t="n"/>
      <c r="S403" s="334" t="n"/>
      <c r="T403" s="334" t="n"/>
      <c r="U403" s="334" t="n"/>
      <c r="V403" s="334" t="n"/>
      <c r="W403" s="334" t="n"/>
      <c r="X403" s="334" t="n"/>
      <c r="Y403" s="334" t="n"/>
    </row>
    <row r="404" ht="15" customHeight="1" s="195">
      <c r="A404" s="280" t="n"/>
      <c r="B404" s="280" t="n"/>
      <c r="C404" s="280" t="n"/>
      <c r="D404" s="280" t="n"/>
      <c r="E404" s="280" t="n"/>
      <c r="F404" s="280" t="n"/>
      <c r="G404" s="280" t="n"/>
      <c r="H404" s="280" t="n"/>
      <c r="I404" s="332">
        <f>IFERROR(VLOOKUP(TEXT(H404,"0"),IPRESS!$A$3:$B$212,2,0),"")</f>
        <v/>
      </c>
      <c r="J404" s="280" t="n"/>
      <c r="K404" s="332">
        <f>IFERROR(VLOOKUP(TEXT(O404,"0"),CONDUCTORES!$A$3:$G$54,7,0),"")</f>
        <v/>
      </c>
      <c r="L404" s="280" t="n"/>
      <c r="M404" s="280" t="n"/>
      <c r="N404" s="333">
        <f>IFERROR(IF(L404*M404=0,"",L404*M404),"")</f>
        <v/>
      </c>
      <c r="O404" s="280" t="n"/>
      <c r="P404" s="332">
        <f>IFERROR(VLOOKUP(TEXT(O404,"0"),CONDUCTORES!$A$3:$G$54,2,0),"")</f>
        <v/>
      </c>
      <c r="Q404" s="332">
        <f>IFERROR(VLOOKUP(TEXT(O404,"0"),CONDUCTORES!$A$3:$H$54,6,0),"")</f>
        <v/>
      </c>
      <c r="R404" s="280" t="n"/>
      <c r="S404" s="280" t="n"/>
      <c r="T404" s="280" t="n"/>
      <c r="U404" s="280" t="n"/>
      <c r="V404" s="280" t="n"/>
      <c r="W404" s="280" t="n"/>
      <c r="X404" s="280" t="n"/>
      <c r="Y404" s="280" t="n"/>
    </row>
    <row r="405" ht="15" customHeight="1" s="195">
      <c r="A405" s="334" t="n"/>
      <c r="B405" s="334" t="n"/>
      <c r="C405" s="334" t="n"/>
      <c r="D405" s="334" t="n"/>
      <c r="E405" s="334" t="n"/>
      <c r="F405" s="334" t="n"/>
      <c r="G405" s="334" t="n"/>
      <c r="H405" s="334" t="n"/>
      <c r="I405" s="332">
        <f>IFERROR(VLOOKUP(TEXT(H405,"0"),IPRESS!$A$3:$B$212,2,0),"")</f>
        <v/>
      </c>
      <c r="J405" s="334" t="n"/>
      <c r="K405" s="332">
        <f>IFERROR(VLOOKUP(TEXT(O405,"0"),CONDUCTORES!$A$3:$G$54,7,0),"")</f>
        <v/>
      </c>
      <c r="L405" s="334" t="n"/>
      <c r="M405" s="334" t="n"/>
      <c r="N405" s="333">
        <f>IFERROR(IF(L405*M405=0,"",L405*M405),"")</f>
        <v/>
      </c>
      <c r="O405" s="334" t="n"/>
      <c r="P405" s="332">
        <f>IFERROR(VLOOKUP(TEXT(O405,"0"),CONDUCTORES!$A$3:$G$54,2,0),"")</f>
        <v/>
      </c>
      <c r="Q405" s="332">
        <f>IFERROR(VLOOKUP(TEXT(O405,"0"),CONDUCTORES!$A$3:$H$54,6,0),"")</f>
        <v/>
      </c>
      <c r="R405" s="334" t="n"/>
      <c r="S405" s="334" t="n"/>
      <c r="T405" s="334" t="n"/>
      <c r="U405" s="334" t="n"/>
      <c r="V405" s="334" t="n"/>
      <c r="W405" s="334" t="n"/>
      <c r="X405" s="334" t="n"/>
      <c r="Y405" s="334" t="n"/>
    </row>
    <row r="406" ht="15" customHeight="1" s="195">
      <c r="A406" s="280" t="n"/>
      <c r="B406" s="280" t="n"/>
      <c r="C406" s="280" t="n"/>
      <c r="D406" s="280" t="n"/>
      <c r="E406" s="280" t="n"/>
      <c r="F406" s="280" t="n"/>
      <c r="G406" s="280" t="n"/>
      <c r="H406" s="280" t="n"/>
      <c r="I406" s="332">
        <f>IFERROR(VLOOKUP(TEXT(H406,"0"),IPRESS!$A$3:$B$212,2,0),"")</f>
        <v/>
      </c>
      <c r="J406" s="280" t="n"/>
      <c r="K406" s="332">
        <f>IFERROR(VLOOKUP(TEXT(O406,"0"),CONDUCTORES!$A$3:$G$54,7,0),"")</f>
        <v/>
      </c>
      <c r="L406" s="280" t="n"/>
      <c r="M406" s="280" t="n"/>
      <c r="N406" s="333">
        <f>IFERROR(IF(L406*M406=0,"",L406*M406),"")</f>
        <v/>
      </c>
      <c r="O406" s="280" t="n"/>
      <c r="P406" s="332">
        <f>IFERROR(VLOOKUP(TEXT(O406,"0"),CONDUCTORES!$A$3:$G$54,2,0),"")</f>
        <v/>
      </c>
      <c r="Q406" s="332">
        <f>IFERROR(VLOOKUP(TEXT(O406,"0"),CONDUCTORES!$A$3:$H$54,6,0),"")</f>
        <v/>
      </c>
      <c r="R406" s="280" t="n"/>
      <c r="S406" s="280" t="n"/>
      <c r="T406" s="280" t="n"/>
      <c r="U406" s="280" t="n"/>
      <c r="V406" s="280" t="n"/>
      <c r="W406" s="280" t="n"/>
      <c r="X406" s="280" t="n"/>
      <c r="Y406" s="280" t="n"/>
    </row>
    <row r="407" ht="15" customHeight="1" s="195">
      <c r="A407" s="334" t="n"/>
      <c r="B407" s="334" t="n"/>
      <c r="C407" s="334" t="n"/>
      <c r="D407" s="334" t="n"/>
      <c r="E407" s="334" t="n"/>
      <c r="F407" s="334" t="n"/>
      <c r="G407" s="334" t="n"/>
      <c r="H407" s="334" t="n"/>
      <c r="I407" s="332">
        <f>IFERROR(VLOOKUP(TEXT(H407,"0"),IPRESS!$A$3:$B$212,2,0),"")</f>
        <v/>
      </c>
      <c r="J407" s="334" t="n"/>
      <c r="K407" s="332">
        <f>IFERROR(VLOOKUP(TEXT(O407,"0"),CONDUCTORES!$A$3:$G$54,7,0),"")</f>
        <v/>
      </c>
      <c r="L407" s="334" t="n"/>
      <c r="M407" s="334" t="n"/>
      <c r="N407" s="333">
        <f>IFERROR(IF(L407*M407=0,"",L407*M407),"")</f>
        <v/>
      </c>
      <c r="O407" s="334" t="n"/>
      <c r="P407" s="332">
        <f>IFERROR(VLOOKUP(TEXT(O407,"0"),CONDUCTORES!$A$3:$G$54,2,0),"")</f>
        <v/>
      </c>
      <c r="Q407" s="332">
        <f>IFERROR(VLOOKUP(TEXT(O407,"0"),CONDUCTORES!$A$3:$H$54,6,0),"")</f>
        <v/>
      </c>
      <c r="R407" s="334" t="n"/>
      <c r="S407" s="334" t="n"/>
      <c r="T407" s="334" t="n"/>
      <c r="U407" s="334" t="n"/>
      <c r="V407" s="334" t="n"/>
      <c r="W407" s="334" t="n"/>
      <c r="X407" s="334" t="n"/>
      <c r="Y407" s="334" t="n"/>
    </row>
    <row r="408" ht="15" customHeight="1" s="195">
      <c r="A408" s="280" t="n"/>
      <c r="B408" s="280" t="n"/>
      <c r="C408" s="280" t="n"/>
      <c r="D408" s="280" t="n"/>
      <c r="E408" s="280" t="n"/>
      <c r="F408" s="280" t="n"/>
      <c r="G408" s="280" t="n"/>
      <c r="H408" s="280" t="n"/>
      <c r="I408" s="332">
        <f>IFERROR(VLOOKUP(TEXT(H408,"0"),IPRESS!$A$3:$B$212,2,0),"")</f>
        <v/>
      </c>
      <c r="J408" s="280" t="n"/>
      <c r="K408" s="332">
        <f>IFERROR(VLOOKUP(TEXT(O408,"0"),CONDUCTORES!$A$3:$G$54,7,0),"")</f>
        <v/>
      </c>
      <c r="L408" s="280" t="n"/>
      <c r="M408" s="280" t="n"/>
      <c r="N408" s="333">
        <f>IFERROR(IF(L408*M408=0,"",L408*M408),"")</f>
        <v/>
      </c>
      <c r="O408" s="280" t="n"/>
      <c r="P408" s="332">
        <f>IFERROR(VLOOKUP(TEXT(O408,"0"),CONDUCTORES!$A$3:$G$54,2,0),"")</f>
        <v/>
      </c>
      <c r="Q408" s="332">
        <f>IFERROR(VLOOKUP(TEXT(O408,"0"),CONDUCTORES!$A$3:$H$54,6,0),"")</f>
        <v/>
      </c>
      <c r="R408" s="280" t="n"/>
      <c r="S408" s="280" t="n"/>
      <c r="T408" s="280" t="n"/>
      <c r="U408" s="280" t="n"/>
      <c r="V408" s="280" t="n"/>
      <c r="W408" s="280" t="n"/>
      <c r="X408" s="280" t="n"/>
      <c r="Y408" s="280" t="n"/>
    </row>
    <row r="409" ht="15" customHeight="1" s="195">
      <c r="A409" s="334" t="n"/>
      <c r="B409" s="334" t="n"/>
      <c r="C409" s="334" t="n"/>
      <c r="D409" s="334" t="n"/>
      <c r="E409" s="334" t="n"/>
      <c r="F409" s="334" t="n"/>
      <c r="G409" s="334" t="n"/>
      <c r="H409" s="334" t="n"/>
      <c r="I409" s="332">
        <f>IFERROR(VLOOKUP(TEXT(H409,"0"),IPRESS!$A$3:$B$212,2,0),"")</f>
        <v/>
      </c>
      <c r="J409" s="334" t="n"/>
      <c r="K409" s="332">
        <f>IFERROR(VLOOKUP(TEXT(O409,"0"),CONDUCTORES!$A$3:$G$54,7,0),"")</f>
        <v/>
      </c>
      <c r="L409" s="334" t="n"/>
      <c r="M409" s="334" t="n"/>
      <c r="N409" s="333">
        <f>IFERROR(IF(L409*M409=0,"",L409*M409),"")</f>
        <v/>
      </c>
      <c r="O409" s="334" t="n"/>
      <c r="P409" s="332">
        <f>IFERROR(VLOOKUP(TEXT(O409,"0"),CONDUCTORES!$A$3:$G$54,2,0),"")</f>
        <v/>
      </c>
      <c r="Q409" s="332">
        <f>IFERROR(VLOOKUP(TEXT(O409,"0"),CONDUCTORES!$A$3:$H$54,6,0),"")</f>
        <v/>
      </c>
      <c r="R409" s="334" t="n"/>
      <c r="S409" s="334" t="n"/>
      <c r="T409" s="334" t="n"/>
      <c r="U409" s="334" t="n"/>
      <c r="V409" s="334" t="n"/>
      <c r="W409" s="334" t="n"/>
      <c r="X409" s="334" t="n"/>
      <c r="Y409" s="334" t="n"/>
    </row>
    <row r="410" ht="15" customHeight="1" s="195">
      <c r="A410" s="280" t="n"/>
      <c r="B410" s="280" t="n"/>
      <c r="C410" s="280" t="n"/>
      <c r="D410" s="280" t="n"/>
      <c r="E410" s="280" t="n"/>
      <c r="F410" s="280" t="n"/>
      <c r="G410" s="280" t="n"/>
      <c r="H410" s="280" t="n"/>
      <c r="I410" s="332">
        <f>IFERROR(VLOOKUP(TEXT(H410,"0"),IPRESS!$A$3:$B$212,2,0),"")</f>
        <v/>
      </c>
      <c r="J410" s="280" t="n"/>
      <c r="K410" s="332">
        <f>IFERROR(VLOOKUP(TEXT(O410,"0"),CONDUCTORES!$A$3:$G$54,7,0),"")</f>
        <v/>
      </c>
      <c r="L410" s="280" t="n"/>
      <c r="M410" s="280" t="n"/>
      <c r="N410" s="333">
        <f>IFERROR(IF(L410*M410=0,"",L410*M410),"")</f>
        <v/>
      </c>
      <c r="O410" s="280" t="n"/>
      <c r="P410" s="332">
        <f>IFERROR(VLOOKUP(TEXT(O410,"0"),CONDUCTORES!$A$3:$G$54,2,0),"")</f>
        <v/>
      </c>
      <c r="Q410" s="332">
        <f>IFERROR(VLOOKUP(TEXT(O410,"0"),CONDUCTORES!$A$3:$H$54,6,0),"")</f>
        <v/>
      </c>
      <c r="R410" s="280" t="n"/>
      <c r="S410" s="280" t="n"/>
      <c r="T410" s="280" t="n"/>
      <c r="U410" s="280" t="n"/>
      <c r="V410" s="280" t="n"/>
      <c r="W410" s="280" t="n"/>
      <c r="X410" s="280" t="n"/>
      <c r="Y410" s="280" t="n"/>
    </row>
    <row r="411" ht="15" customHeight="1" s="195">
      <c r="A411" s="334" t="n"/>
      <c r="B411" s="334" t="n"/>
      <c r="C411" s="334" t="n"/>
      <c r="D411" s="334" t="n"/>
      <c r="E411" s="334" t="n"/>
      <c r="F411" s="334" t="n"/>
      <c r="G411" s="334" t="n"/>
      <c r="H411" s="334" t="n"/>
      <c r="I411" s="332">
        <f>IFERROR(VLOOKUP(TEXT(H411,"0"),IPRESS!$A$3:$B$212,2,0),"")</f>
        <v/>
      </c>
      <c r="J411" s="334" t="n"/>
      <c r="K411" s="332">
        <f>IFERROR(VLOOKUP(TEXT(O411,"0"),CONDUCTORES!$A$3:$G$54,7,0),"")</f>
        <v/>
      </c>
      <c r="L411" s="334" t="n"/>
      <c r="M411" s="334" t="n"/>
      <c r="N411" s="333">
        <f>IFERROR(IF(L411*M411=0,"",L411*M411),"")</f>
        <v/>
      </c>
      <c r="O411" s="334" t="n"/>
      <c r="P411" s="332">
        <f>IFERROR(VLOOKUP(TEXT(O411,"0"),CONDUCTORES!$A$3:$G$54,2,0),"")</f>
        <v/>
      </c>
      <c r="Q411" s="332">
        <f>IFERROR(VLOOKUP(TEXT(O411,"0"),CONDUCTORES!$A$3:$H$54,6,0),"")</f>
        <v/>
      </c>
      <c r="R411" s="334" t="n"/>
      <c r="S411" s="334" t="n"/>
      <c r="T411" s="334" t="n"/>
      <c r="U411" s="334" t="n"/>
      <c r="V411" s="334" t="n"/>
      <c r="W411" s="334" t="n"/>
      <c r="X411" s="334" t="n"/>
      <c r="Y411" s="334" t="n"/>
    </row>
    <row r="412" ht="15" customHeight="1" s="195">
      <c r="A412" s="280" t="n"/>
      <c r="B412" s="280" t="n"/>
      <c r="C412" s="280" t="n"/>
      <c r="D412" s="280" t="n"/>
      <c r="E412" s="280" t="n"/>
      <c r="F412" s="280" t="n"/>
      <c r="G412" s="280" t="n"/>
      <c r="H412" s="280" t="n"/>
      <c r="I412" s="332">
        <f>IFERROR(VLOOKUP(TEXT(H412,"0"),IPRESS!$A$3:$B$212,2,0),"")</f>
        <v/>
      </c>
      <c r="J412" s="280" t="n"/>
      <c r="K412" s="332">
        <f>IFERROR(VLOOKUP(TEXT(O412,"0"),CONDUCTORES!$A$3:$G$54,7,0),"")</f>
        <v/>
      </c>
      <c r="L412" s="280" t="n"/>
      <c r="M412" s="280" t="n"/>
      <c r="N412" s="333">
        <f>IFERROR(IF(L412*M412=0,"",L412*M412),"")</f>
        <v/>
      </c>
      <c r="O412" s="280" t="n"/>
      <c r="P412" s="332">
        <f>IFERROR(VLOOKUP(TEXT(O412,"0"),CONDUCTORES!$A$3:$G$54,2,0),"")</f>
        <v/>
      </c>
      <c r="Q412" s="332">
        <f>IFERROR(VLOOKUP(TEXT(O412,"0"),CONDUCTORES!$A$3:$H$54,6,0),"")</f>
        <v/>
      </c>
      <c r="R412" s="280" t="n"/>
      <c r="S412" s="280" t="n"/>
      <c r="T412" s="280" t="n"/>
      <c r="U412" s="280" t="n"/>
      <c r="V412" s="280" t="n"/>
      <c r="W412" s="280" t="n"/>
      <c r="X412" s="280" t="n"/>
      <c r="Y412" s="280" t="n"/>
    </row>
    <row r="413" ht="15" customHeight="1" s="195">
      <c r="A413" s="334" t="n"/>
      <c r="B413" s="334" t="n"/>
      <c r="C413" s="334" t="n"/>
      <c r="D413" s="334" t="n"/>
      <c r="E413" s="334" t="n"/>
      <c r="F413" s="334" t="n"/>
      <c r="G413" s="334" t="n"/>
      <c r="H413" s="334" t="n"/>
      <c r="I413" s="332">
        <f>IFERROR(VLOOKUP(TEXT(H413,"0"),IPRESS!$A$3:$B$212,2,0),"")</f>
        <v/>
      </c>
      <c r="J413" s="334" t="n"/>
      <c r="K413" s="332">
        <f>IFERROR(VLOOKUP(TEXT(O413,"0"),CONDUCTORES!$A$3:$G$54,7,0),"")</f>
        <v/>
      </c>
      <c r="L413" s="334" t="n"/>
      <c r="M413" s="334" t="n"/>
      <c r="N413" s="333">
        <f>IFERROR(IF(L413*M413=0,"",L413*M413),"")</f>
        <v/>
      </c>
      <c r="O413" s="334" t="n"/>
      <c r="P413" s="332">
        <f>IFERROR(VLOOKUP(TEXT(O413,"0"),CONDUCTORES!$A$3:$G$54,2,0),"")</f>
        <v/>
      </c>
      <c r="Q413" s="332">
        <f>IFERROR(VLOOKUP(TEXT(O413,"0"),CONDUCTORES!$A$3:$H$54,6,0),"")</f>
        <v/>
      </c>
      <c r="R413" s="334" t="n"/>
      <c r="S413" s="334" t="n"/>
      <c r="T413" s="334" t="n"/>
      <c r="U413" s="334" t="n"/>
      <c r="V413" s="334" t="n"/>
      <c r="W413" s="334" t="n"/>
      <c r="X413" s="334" t="n"/>
      <c r="Y413" s="334" t="n"/>
    </row>
    <row r="414" ht="15" customHeight="1" s="195">
      <c r="A414" s="280" t="n"/>
      <c r="B414" s="280" t="n"/>
      <c r="C414" s="280" t="n"/>
      <c r="D414" s="280" t="n"/>
      <c r="E414" s="280" t="n"/>
      <c r="F414" s="280" t="n"/>
      <c r="G414" s="280" t="n"/>
      <c r="H414" s="280" t="n"/>
      <c r="I414" s="332">
        <f>IFERROR(VLOOKUP(TEXT(H414,"0"),IPRESS!$A$3:$B$212,2,0),"")</f>
        <v/>
      </c>
      <c r="J414" s="280" t="n"/>
      <c r="K414" s="332">
        <f>IFERROR(VLOOKUP(TEXT(O414,"0"),CONDUCTORES!$A$3:$G$54,7,0),"")</f>
        <v/>
      </c>
      <c r="L414" s="280" t="n"/>
      <c r="M414" s="280" t="n"/>
      <c r="N414" s="333">
        <f>IFERROR(IF(L414*M414=0,"",L414*M414),"")</f>
        <v/>
      </c>
      <c r="O414" s="280" t="n"/>
      <c r="P414" s="332">
        <f>IFERROR(VLOOKUP(TEXT(O414,"0"),CONDUCTORES!$A$3:$G$54,2,0),"")</f>
        <v/>
      </c>
      <c r="Q414" s="332">
        <f>IFERROR(VLOOKUP(TEXT(O414,"0"),CONDUCTORES!$A$3:$H$54,6,0),"")</f>
        <v/>
      </c>
      <c r="R414" s="280" t="n"/>
      <c r="S414" s="280" t="n"/>
      <c r="T414" s="280" t="n"/>
      <c r="U414" s="280" t="n"/>
      <c r="V414" s="280" t="n"/>
      <c r="W414" s="280" t="n"/>
      <c r="X414" s="280" t="n"/>
      <c r="Y414" s="280" t="n"/>
    </row>
    <row r="415" ht="15" customHeight="1" s="195">
      <c r="A415" s="334" t="n"/>
      <c r="B415" s="334" t="n"/>
      <c r="C415" s="334" t="n"/>
      <c r="D415" s="334" t="n"/>
      <c r="E415" s="334" t="n"/>
      <c r="F415" s="334" t="n"/>
      <c r="G415" s="334" t="n"/>
      <c r="H415" s="334" t="n"/>
      <c r="I415" s="332">
        <f>IFERROR(VLOOKUP(TEXT(H415,"0"),IPRESS!$A$3:$B$212,2,0),"")</f>
        <v/>
      </c>
      <c r="J415" s="334" t="n"/>
      <c r="K415" s="332">
        <f>IFERROR(VLOOKUP(TEXT(O415,"0"),CONDUCTORES!$A$3:$G$54,7,0),"")</f>
        <v/>
      </c>
      <c r="L415" s="334" t="n"/>
      <c r="M415" s="334" t="n"/>
      <c r="N415" s="333">
        <f>IFERROR(IF(L415*M415=0,"",L415*M415),"")</f>
        <v/>
      </c>
      <c r="O415" s="334" t="n"/>
      <c r="P415" s="332">
        <f>IFERROR(VLOOKUP(TEXT(O415,"0"),CONDUCTORES!$A$3:$G$54,2,0),"")</f>
        <v/>
      </c>
      <c r="Q415" s="332">
        <f>IFERROR(VLOOKUP(TEXT(O415,"0"),CONDUCTORES!$A$3:$H$54,6,0),"")</f>
        <v/>
      </c>
      <c r="R415" s="334" t="n"/>
      <c r="S415" s="334" t="n"/>
      <c r="T415" s="334" t="n"/>
      <c r="U415" s="334" t="n"/>
      <c r="V415" s="334" t="n"/>
      <c r="W415" s="334" t="n"/>
      <c r="X415" s="334" t="n"/>
      <c r="Y415" s="334" t="n"/>
    </row>
    <row r="416" ht="15" customHeight="1" s="195">
      <c r="A416" s="280" t="n"/>
      <c r="B416" s="280" t="n"/>
      <c r="C416" s="280" t="n"/>
      <c r="D416" s="280" t="n"/>
      <c r="E416" s="280" t="n"/>
      <c r="F416" s="280" t="n"/>
      <c r="G416" s="280" t="n"/>
      <c r="H416" s="280" t="n"/>
      <c r="I416" s="332">
        <f>IFERROR(VLOOKUP(TEXT(H416,"0"),IPRESS!$A$3:$B$212,2,0),"")</f>
        <v/>
      </c>
      <c r="J416" s="280" t="n"/>
      <c r="K416" s="332">
        <f>IFERROR(VLOOKUP(TEXT(O416,"0"),CONDUCTORES!$A$3:$G$54,7,0),"")</f>
        <v/>
      </c>
      <c r="L416" s="280" t="n"/>
      <c r="M416" s="280" t="n"/>
      <c r="N416" s="333">
        <f>IFERROR(IF(L416*M416=0,"",L416*M416),"")</f>
        <v/>
      </c>
      <c r="O416" s="280" t="n"/>
      <c r="P416" s="332">
        <f>IFERROR(VLOOKUP(TEXT(O416,"0"),CONDUCTORES!$A$3:$G$54,2,0),"")</f>
        <v/>
      </c>
      <c r="Q416" s="332">
        <f>IFERROR(VLOOKUP(TEXT(O416,"0"),CONDUCTORES!$A$3:$H$54,6,0),"")</f>
        <v/>
      </c>
      <c r="R416" s="280" t="n"/>
      <c r="S416" s="280" t="n"/>
      <c r="T416" s="280" t="n"/>
      <c r="U416" s="280" t="n"/>
      <c r="V416" s="280" t="n"/>
      <c r="W416" s="280" t="n"/>
      <c r="X416" s="280" t="n"/>
      <c r="Y416" s="280" t="n"/>
    </row>
    <row r="417" ht="15" customHeight="1" s="195">
      <c r="A417" s="334" t="n"/>
      <c r="B417" s="334" t="n"/>
      <c r="C417" s="334" t="n"/>
      <c r="D417" s="334" t="n"/>
      <c r="E417" s="334" t="n"/>
      <c r="F417" s="334" t="n"/>
      <c r="G417" s="334" t="n"/>
      <c r="H417" s="334" t="n"/>
      <c r="I417" s="332">
        <f>IFERROR(VLOOKUP(TEXT(H417,"0"),IPRESS!$A$3:$B$212,2,0),"")</f>
        <v/>
      </c>
      <c r="J417" s="334" t="n"/>
      <c r="K417" s="332">
        <f>IFERROR(VLOOKUP(TEXT(O417,"0"),CONDUCTORES!$A$3:$G$54,7,0),"")</f>
        <v/>
      </c>
      <c r="L417" s="334" t="n"/>
      <c r="M417" s="334" t="n"/>
      <c r="N417" s="333">
        <f>IFERROR(IF(L417*M417=0,"",L417*M417),"")</f>
        <v/>
      </c>
      <c r="O417" s="334" t="n"/>
      <c r="P417" s="332">
        <f>IFERROR(VLOOKUP(TEXT(O417,"0"),CONDUCTORES!$A$3:$G$54,2,0),"")</f>
        <v/>
      </c>
      <c r="Q417" s="332">
        <f>IFERROR(VLOOKUP(TEXT(O417,"0"),CONDUCTORES!$A$3:$H$54,6,0),"")</f>
        <v/>
      </c>
      <c r="R417" s="334" t="n"/>
      <c r="S417" s="334" t="n"/>
      <c r="T417" s="334" t="n"/>
      <c r="U417" s="334" t="n"/>
      <c r="V417" s="334" t="n"/>
      <c r="W417" s="334" t="n"/>
      <c r="X417" s="334" t="n"/>
      <c r="Y417" s="334" t="n"/>
    </row>
    <row r="418" ht="15" customHeight="1" s="195">
      <c r="A418" s="280" t="n"/>
      <c r="B418" s="280" t="n"/>
      <c r="C418" s="280" t="n"/>
      <c r="D418" s="280" t="n"/>
      <c r="E418" s="280" t="n"/>
      <c r="F418" s="280" t="n"/>
      <c r="G418" s="280" t="n"/>
      <c r="H418" s="280" t="n"/>
      <c r="I418" s="332">
        <f>IFERROR(VLOOKUP(TEXT(H418,"0"),IPRESS!$A$3:$B$212,2,0),"")</f>
        <v/>
      </c>
      <c r="J418" s="280" t="n"/>
      <c r="K418" s="332">
        <f>IFERROR(VLOOKUP(TEXT(O418,"0"),CONDUCTORES!$A$3:$G$54,7,0),"")</f>
        <v/>
      </c>
      <c r="L418" s="280" t="n"/>
      <c r="M418" s="280" t="n"/>
      <c r="N418" s="333">
        <f>IFERROR(IF(L418*M418=0,"",L418*M418),"")</f>
        <v/>
      </c>
      <c r="O418" s="280" t="n"/>
      <c r="P418" s="332">
        <f>IFERROR(VLOOKUP(TEXT(O418,"0"),CONDUCTORES!$A$3:$G$54,2,0),"")</f>
        <v/>
      </c>
      <c r="Q418" s="332">
        <f>IFERROR(VLOOKUP(TEXT(O418,"0"),CONDUCTORES!$A$3:$H$54,6,0),"")</f>
        <v/>
      </c>
      <c r="R418" s="280" t="n"/>
      <c r="S418" s="280" t="n"/>
      <c r="T418" s="280" t="n"/>
      <c r="U418" s="280" t="n"/>
      <c r="V418" s="280" t="n"/>
      <c r="W418" s="280" t="n"/>
      <c r="X418" s="280" t="n"/>
      <c r="Y418" s="280" t="n"/>
    </row>
    <row r="419" ht="15" customHeight="1" s="195">
      <c r="A419" s="334" t="n"/>
      <c r="B419" s="334" t="n"/>
      <c r="C419" s="334" t="n"/>
      <c r="D419" s="334" t="n"/>
      <c r="E419" s="334" t="n"/>
      <c r="F419" s="334" t="n"/>
      <c r="G419" s="334" t="n"/>
      <c r="H419" s="334" t="n"/>
      <c r="I419" s="332">
        <f>IFERROR(VLOOKUP(TEXT(H419,"0"),IPRESS!$A$3:$B$212,2,0),"")</f>
        <v/>
      </c>
      <c r="J419" s="334" t="n"/>
      <c r="K419" s="332">
        <f>IFERROR(VLOOKUP(TEXT(O419,"0"),CONDUCTORES!$A$3:$G$54,7,0),"")</f>
        <v/>
      </c>
      <c r="L419" s="334" t="n"/>
      <c r="M419" s="334" t="n"/>
      <c r="N419" s="333">
        <f>IFERROR(IF(L419*M419=0,"",L419*M419),"")</f>
        <v/>
      </c>
      <c r="O419" s="334" t="n"/>
      <c r="P419" s="332">
        <f>IFERROR(VLOOKUP(TEXT(O419,"0"),CONDUCTORES!$A$3:$G$54,2,0),"")</f>
        <v/>
      </c>
      <c r="Q419" s="332">
        <f>IFERROR(VLOOKUP(TEXT(O419,"0"),CONDUCTORES!$A$3:$H$54,6,0),"")</f>
        <v/>
      </c>
      <c r="R419" s="334" t="n"/>
      <c r="S419" s="334" t="n"/>
      <c r="T419" s="334" t="n"/>
      <c r="U419" s="334" t="n"/>
      <c r="V419" s="334" t="n"/>
      <c r="W419" s="334" t="n"/>
      <c r="X419" s="334" t="n"/>
      <c r="Y419" s="334" t="n"/>
    </row>
    <row r="420" ht="15" customHeight="1" s="195">
      <c r="A420" s="280" t="n"/>
      <c r="B420" s="280" t="n"/>
      <c r="C420" s="280" t="n"/>
      <c r="D420" s="280" t="n"/>
      <c r="E420" s="280" t="n"/>
      <c r="F420" s="280" t="n"/>
      <c r="G420" s="280" t="n"/>
      <c r="H420" s="280" t="n"/>
      <c r="I420" s="332">
        <f>IFERROR(VLOOKUP(TEXT(H420,"0"),IPRESS!$A$3:$B$212,2,0),"")</f>
        <v/>
      </c>
      <c r="J420" s="280" t="n"/>
      <c r="K420" s="332">
        <f>IFERROR(VLOOKUP(TEXT(O420,"0"),CONDUCTORES!$A$3:$G$54,7,0),"")</f>
        <v/>
      </c>
      <c r="L420" s="280" t="n"/>
      <c r="M420" s="280" t="n"/>
      <c r="N420" s="333">
        <f>IFERROR(IF(L420*M420=0,"",L420*M420),"")</f>
        <v/>
      </c>
      <c r="O420" s="280" t="n"/>
      <c r="P420" s="332">
        <f>IFERROR(VLOOKUP(TEXT(O420,"0"),CONDUCTORES!$A$3:$G$54,2,0),"")</f>
        <v/>
      </c>
      <c r="Q420" s="332">
        <f>IFERROR(VLOOKUP(TEXT(O420,"0"),CONDUCTORES!$A$3:$H$54,6,0),"")</f>
        <v/>
      </c>
      <c r="R420" s="280" t="n"/>
      <c r="S420" s="280" t="n"/>
      <c r="T420" s="280" t="n"/>
      <c r="U420" s="280" t="n"/>
      <c r="V420" s="280" t="n"/>
      <c r="W420" s="280" t="n"/>
      <c r="X420" s="280" t="n"/>
      <c r="Y420" s="280" t="n"/>
    </row>
    <row r="421" ht="15" customHeight="1" s="195">
      <c r="A421" s="334" t="n"/>
      <c r="B421" s="334" t="n"/>
      <c r="C421" s="334" t="n"/>
      <c r="D421" s="334" t="n"/>
      <c r="E421" s="334" t="n"/>
      <c r="F421" s="334" t="n"/>
      <c r="G421" s="334" t="n"/>
      <c r="H421" s="334" t="n"/>
      <c r="I421" s="332">
        <f>IFERROR(VLOOKUP(TEXT(H421,"0"),IPRESS!$A$3:$B$212,2,0),"")</f>
        <v/>
      </c>
      <c r="J421" s="334" t="n"/>
      <c r="K421" s="332">
        <f>IFERROR(VLOOKUP(TEXT(O421,"0"),CONDUCTORES!$A$3:$G$54,7,0),"")</f>
        <v/>
      </c>
      <c r="L421" s="334" t="n"/>
      <c r="M421" s="334" t="n"/>
      <c r="N421" s="333">
        <f>IFERROR(IF(L421*M421=0,"",L421*M421),"")</f>
        <v/>
      </c>
      <c r="O421" s="334" t="n"/>
      <c r="P421" s="332">
        <f>IFERROR(VLOOKUP(TEXT(O421,"0"),CONDUCTORES!$A$3:$G$54,2,0),"")</f>
        <v/>
      </c>
      <c r="Q421" s="332">
        <f>IFERROR(VLOOKUP(TEXT(O421,"0"),CONDUCTORES!$A$3:$H$54,6,0),"")</f>
        <v/>
      </c>
      <c r="R421" s="334" t="n"/>
      <c r="S421" s="334" t="n"/>
      <c r="T421" s="334" t="n"/>
      <c r="U421" s="334" t="n"/>
      <c r="V421" s="334" t="n"/>
      <c r="W421" s="334" t="n"/>
      <c r="X421" s="334" t="n"/>
      <c r="Y421" s="334" t="n"/>
    </row>
    <row r="422" ht="15" customHeight="1" s="195">
      <c r="A422" s="280" t="n"/>
      <c r="B422" s="280" t="n"/>
      <c r="C422" s="280" t="n"/>
      <c r="D422" s="280" t="n"/>
      <c r="E422" s="280" t="n"/>
      <c r="F422" s="280" t="n"/>
      <c r="G422" s="280" t="n"/>
      <c r="H422" s="280" t="n"/>
      <c r="I422" s="332">
        <f>IFERROR(VLOOKUP(TEXT(H422,"0"),IPRESS!$A$3:$B$212,2,0),"")</f>
        <v/>
      </c>
      <c r="J422" s="280" t="n"/>
      <c r="K422" s="332">
        <f>IFERROR(VLOOKUP(TEXT(O422,"0"),CONDUCTORES!$A$3:$G$54,7,0),"")</f>
        <v/>
      </c>
      <c r="L422" s="280" t="n"/>
      <c r="M422" s="280" t="n"/>
      <c r="N422" s="333">
        <f>IFERROR(IF(L422*M422=0,"",L422*M422),"")</f>
        <v/>
      </c>
      <c r="O422" s="280" t="n"/>
      <c r="P422" s="332">
        <f>IFERROR(VLOOKUP(TEXT(O422,"0"),CONDUCTORES!$A$3:$G$54,2,0),"")</f>
        <v/>
      </c>
      <c r="Q422" s="332">
        <f>IFERROR(VLOOKUP(TEXT(O422,"0"),CONDUCTORES!$A$3:$H$54,6,0),"")</f>
        <v/>
      </c>
      <c r="R422" s="280" t="n"/>
      <c r="S422" s="280" t="n"/>
      <c r="T422" s="280" t="n"/>
      <c r="U422" s="280" t="n"/>
      <c r="V422" s="280" t="n"/>
      <c r="W422" s="280" t="n"/>
      <c r="X422" s="280" t="n"/>
      <c r="Y422" s="280" t="n"/>
    </row>
    <row r="423" ht="15" customHeight="1" s="195">
      <c r="A423" s="334" t="n"/>
      <c r="B423" s="334" t="n"/>
      <c r="C423" s="334" t="n"/>
      <c r="D423" s="334" t="n"/>
      <c r="E423" s="334" t="n"/>
      <c r="F423" s="334" t="n"/>
      <c r="G423" s="334" t="n"/>
      <c r="H423" s="334" t="n"/>
      <c r="I423" s="332">
        <f>IFERROR(VLOOKUP(TEXT(H423,"0"),IPRESS!$A$3:$B$212,2,0),"")</f>
        <v/>
      </c>
      <c r="J423" s="334" t="n"/>
      <c r="K423" s="332">
        <f>IFERROR(VLOOKUP(TEXT(O423,"0"),CONDUCTORES!$A$3:$G$54,7,0),"")</f>
        <v/>
      </c>
      <c r="L423" s="334" t="n"/>
      <c r="M423" s="334" t="n"/>
      <c r="N423" s="333">
        <f>IFERROR(IF(L423*M423=0,"",L423*M423),"")</f>
        <v/>
      </c>
      <c r="O423" s="334" t="n"/>
      <c r="P423" s="332">
        <f>IFERROR(VLOOKUP(TEXT(O423,"0"),CONDUCTORES!$A$3:$G$54,2,0),"")</f>
        <v/>
      </c>
      <c r="Q423" s="332">
        <f>IFERROR(VLOOKUP(TEXT(O423,"0"),CONDUCTORES!$A$3:$H$54,6,0),"")</f>
        <v/>
      </c>
      <c r="R423" s="334" t="n"/>
      <c r="S423" s="334" t="n"/>
      <c r="T423" s="334" t="n"/>
      <c r="U423" s="334" t="n"/>
      <c r="V423" s="334" t="n"/>
      <c r="W423" s="334" t="n"/>
      <c r="X423" s="334" t="n"/>
      <c r="Y423" s="334" t="n"/>
    </row>
    <row r="424" ht="15" customHeight="1" s="195">
      <c r="A424" s="280" t="n"/>
      <c r="B424" s="280" t="n"/>
      <c r="C424" s="280" t="n"/>
      <c r="D424" s="280" t="n"/>
      <c r="E424" s="280" t="n"/>
      <c r="F424" s="280" t="n"/>
      <c r="G424" s="280" t="n"/>
      <c r="H424" s="280" t="n"/>
      <c r="I424" s="332">
        <f>IFERROR(VLOOKUP(TEXT(H424,"0"),IPRESS!$A$3:$B$212,2,0),"")</f>
        <v/>
      </c>
      <c r="J424" s="280" t="n"/>
      <c r="K424" s="332">
        <f>IFERROR(VLOOKUP(TEXT(O424,"0"),CONDUCTORES!$A$3:$G$54,7,0),"")</f>
        <v/>
      </c>
      <c r="L424" s="280" t="n"/>
      <c r="M424" s="280" t="n"/>
      <c r="N424" s="333">
        <f>IFERROR(IF(L424*M424=0,"",L424*M424),"")</f>
        <v/>
      </c>
      <c r="O424" s="280" t="n"/>
      <c r="P424" s="332">
        <f>IFERROR(VLOOKUP(TEXT(O424,"0"),CONDUCTORES!$A$3:$G$54,2,0),"")</f>
        <v/>
      </c>
      <c r="Q424" s="332">
        <f>IFERROR(VLOOKUP(TEXT(O424,"0"),CONDUCTORES!$A$3:$H$54,6,0),"")</f>
        <v/>
      </c>
      <c r="R424" s="280" t="n"/>
      <c r="S424" s="280" t="n"/>
      <c r="T424" s="280" t="n"/>
      <c r="U424" s="280" t="n"/>
      <c r="V424" s="280" t="n"/>
      <c r="W424" s="280" t="n"/>
      <c r="X424" s="280" t="n"/>
      <c r="Y424" s="280" t="n"/>
    </row>
    <row r="425" ht="15" customHeight="1" s="195">
      <c r="A425" s="334" t="n"/>
      <c r="B425" s="334" t="n"/>
      <c r="C425" s="334" t="n"/>
      <c r="D425" s="334" t="n"/>
      <c r="E425" s="334" t="n"/>
      <c r="F425" s="334" t="n"/>
      <c r="G425" s="334" t="n"/>
      <c r="H425" s="334" t="n"/>
      <c r="I425" s="332">
        <f>IFERROR(VLOOKUP(TEXT(H425,"0"),IPRESS!$A$3:$B$212,2,0),"")</f>
        <v/>
      </c>
      <c r="J425" s="334" t="n"/>
      <c r="K425" s="332">
        <f>IFERROR(VLOOKUP(TEXT(O425,"0"),CONDUCTORES!$A$3:$G$54,7,0),"")</f>
        <v/>
      </c>
      <c r="L425" s="334" t="n"/>
      <c r="M425" s="334" t="n"/>
      <c r="N425" s="333">
        <f>IFERROR(IF(L425*M425=0,"",L425*M425),"")</f>
        <v/>
      </c>
      <c r="O425" s="334" t="n"/>
      <c r="P425" s="332">
        <f>IFERROR(VLOOKUP(TEXT(O425,"0"),CONDUCTORES!$A$3:$G$54,2,0),"")</f>
        <v/>
      </c>
      <c r="Q425" s="332">
        <f>IFERROR(VLOOKUP(TEXT(O425,"0"),CONDUCTORES!$A$3:$H$54,6,0),"")</f>
        <v/>
      </c>
      <c r="R425" s="334" t="n"/>
      <c r="S425" s="334" t="n"/>
      <c r="T425" s="334" t="n"/>
      <c r="U425" s="334" t="n"/>
      <c r="V425" s="334" t="n"/>
      <c r="W425" s="334" t="n"/>
      <c r="X425" s="334" t="n"/>
      <c r="Y425" s="334" t="n"/>
    </row>
    <row r="426" ht="15" customHeight="1" s="195">
      <c r="A426" s="280" t="n"/>
      <c r="B426" s="280" t="n"/>
      <c r="C426" s="280" t="n"/>
      <c r="D426" s="280" t="n"/>
      <c r="E426" s="280" t="n"/>
      <c r="F426" s="280" t="n"/>
      <c r="G426" s="280" t="n"/>
      <c r="H426" s="280" t="n"/>
      <c r="I426" s="332">
        <f>IFERROR(VLOOKUP(TEXT(H426,"0"),IPRESS!$A$3:$B$212,2,0),"")</f>
        <v/>
      </c>
      <c r="J426" s="280" t="n"/>
      <c r="K426" s="332">
        <f>IFERROR(VLOOKUP(TEXT(O426,"0"),CONDUCTORES!$A$3:$G$54,7,0),"")</f>
        <v/>
      </c>
      <c r="L426" s="280" t="n"/>
      <c r="M426" s="280" t="n"/>
      <c r="N426" s="333">
        <f>IFERROR(IF(L426*M426=0,"",L426*M426),"")</f>
        <v/>
      </c>
      <c r="O426" s="280" t="n"/>
      <c r="P426" s="332">
        <f>IFERROR(VLOOKUP(TEXT(O426,"0"),CONDUCTORES!$A$3:$G$54,2,0),"")</f>
        <v/>
      </c>
      <c r="Q426" s="332">
        <f>IFERROR(VLOOKUP(TEXT(O426,"0"),CONDUCTORES!$A$3:$H$54,6,0),"")</f>
        <v/>
      </c>
      <c r="R426" s="280" t="n"/>
      <c r="S426" s="280" t="n"/>
      <c r="T426" s="280" t="n"/>
      <c r="U426" s="280" t="n"/>
      <c r="V426" s="280" t="n"/>
      <c r="W426" s="280" t="n"/>
      <c r="X426" s="280" t="n"/>
      <c r="Y426" s="280" t="n"/>
    </row>
    <row r="427" ht="15" customHeight="1" s="195">
      <c r="A427" s="334" t="n"/>
      <c r="B427" s="334" t="n"/>
      <c r="C427" s="334" t="n"/>
      <c r="D427" s="334" t="n"/>
      <c r="E427" s="334" t="n"/>
      <c r="F427" s="334" t="n"/>
      <c r="G427" s="334" t="n"/>
      <c r="H427" s="334" t="n"/>
      <c r="I427" s="332">
        <f>IFERROR(VLOOKUP(TEXT(H427,"0"),IPRESS!$A$3:$B$212,2,0),"")</f>
        <v/>
      </c>
      <c r="J427" s="334" t="n"/>
      <c r="K427" s="332">
        <f>IFERROR(VLOOKUP(TEXT(O427,"0"),CONDUCTORES!$A$3:$G$54,7,0),"")</f>
        <v/>
      </c>
      <c r="L427" s="334" t="n"/>
      <c r="M427" s="334" t="n"/>
      <c r="N427" s="333">
        <f>IFERROR(IF(L427*M427=0,"",L427*M427),"")</f>
        <v/>
      </c>
      <c r="O427" s="334" t="n"/>
      <c r="P427" s="332">
        <f>IFERROR(VLOOKUP(TEXT(O427,"0"),CONDUCTORES!$A$3:$G$54,2,0),"")</f>
        <v/>
      </c>
      <c r="Q427" s="332">
        <f>IFERROR(VLOOKUP(TEXT(O427,"0"),CONDUCTORES!$A$3:$H$54,6,0),"")</f>
        <v/>
      </c>
      <c r="R427" s="334" t="n"/>
      <c r="S427" s="334" t="n"/>
      <c r="T427" s="334" t="n"/>
      <c r="U427" s="334" t="n"/>
      <c r="V427" s="334" t="n"/>
      <c r="W427" s="334" t="n"/>
      <c r="X427" s="334" t="n"/>
      <c r="Y427" s="334" t="n"/>
    </row>
    <row r="428" ht="15" customHeight="1" s="195">
      <c r="A428" s="280" t="n"/>
      <c r="B428" s="280" t="n"/>
      <c r="C428" s="280" t="n"/>
      <c r="D428" s="280" t="n"/>
      <c r="E428" s="280" t="n"/>
      <c r="F428" s="280" t="n"/>
      <c r="G428" s="280" t="n"/>
      <c r="H428" s="280" t="n"/>
      <c r="I428" s="332">
        <f>IFERROR(VLOOKUP(TEXT(H428,"0"),IPRESS!$A$3:$B$212,2,0),"")</f>
        <v/>
      </c>
      <c r="J428" s="280" t="n"/>
      <c r="K428" s="332">
        <f>IFERROR(VLOOKUP(TEXT(O428,"0"),CONDUCTORES!$A$3:$G$54,7,0),"")</f>
        <v/>
      </c>
      <c r="L428" s="280" t="n"/>
      <c r="M428" s="280" t="n"/>
      <c r="N428" s="333">
        <f>IFERROR(IF(L428*M428=0,"",L428*M428),"")</f>
        <v/>
      </c>
      <c r="O428" s="280" t="n"/>
      <c r="P428" s="332">
        <f>IFERROR(VLOOKUP(TEXT(O428,"0"),CONDUCTORES!$A$3:$G$54,2,0),"")</f>
        <v/>
      </c>
      <c r="Q428" s="332">
        <f>IFERROR(VLOOKUP(TEXT(O428,"0"),CONDUCTORES!$A$3:$H$54,6,0),"")</f>
        <v/>
      </c>
      <c r="R428" s="280" t="n"/>
      <c r="S428" s="280" t="n"/>
      <c r="T428" s="280" t="n"/>
      <c r="U428" s="280" t="n"/>
      <c r="V428" s="280" t="n"/>
      <c r="W428" s="280" t="n"/>
      <c r="X428" s="280" t="n"/>
      <c r="Y428" s="280" t="n"/>
    </row>
    <row r="429" ht="15" customHeight="1" s="195">
      <c r="A429" s="334" t="n"/>
      <c r="B429" s="334" t="n"/>
      <c r="C429" s="334" t="n"/>
      <c r="D429" s="334" t="n"/>
      <c r="E429" s="334" t="n"/>
      <c r="F429" s="334" t="n"/>
      <c r="G429" s="334" t="n"/>
      <c r="H429" s="334" t="n"/>
      <c r="I429" s="332">
        <f>IFERROR(VLOOKUP(TEXT(H429,"0"),IPRESS!$A$3:$B$212,2,0),"")</f>
        <v/>
      </c>
      <c r="J429" s="334" t="n"/>
      <c r="K429" s="332">
        <f>IFERROR(VLOOKUP(TEXT(O429,"0"),CONDUCTORES!$A$3:$G$54,7,0),"")</f>
        <v/>
      </c>
      <c r="L429" s="334" t="n"/>
      <c r="M429" s="334" t="n"/>
      <c r="N429" s="333">
        <f>IFERROR(IF(L429*M429=0,"",L429*M429),"")</f>
        <v/>
      </c>
      <c r="O429" s="334" t="n"/>
      <c r="P429" s="332">
        <f>IFERROR(VLOOKUP(TEXT(O429,"0"),CONDUCTORES!$A$3:$G$54,2,0),"")</f>
        <v/>
      </c>
      <c r="Q429" s="332">
        <f>IFERROR(VLOOKUP(TEXT(O429,"0"),CONDUCTORES!$A$3:$H$54,6,0),"")</f>
        <v/>
      </c>
      <c r="R429" s="334" t="n"/>
      <c r="S429" s="334" t="n"/>
      <c r="T429" s="334" t="n"/>
      <c r="U429" s="334" t="n"/>
      <c r="V429" s="334" t="n"/>
      <c r="W429" s="334" t="n"/>
      <c r="X429" s="334" t="n"/>
      <c r="Y429" s="334" t="n"/>
    </row>
    <row r="430" ht="15" customHeight="1" s="195">
      <c r="A430" s="280" t="n"/>
      <c r="B430" s="280" t="n"/>
      <c r="C430" s="280" t="n"/>
      <c r="D430" s="280" t="n"/>
      <c r="E430" s="280" t="n"/>
      <c r="F430" s="280" t="n"/>
      <c r="G430" s="280" t="n"/>
      <c r="H430" s="280" t="n"/>
      <c r="I430" s="332">
        <f>IFERROR(VLOOKUP(TEXT(H430,"0"),IPRESS!$A$3:$B$212,2,0),"")</f>
        <v/>
      </c>
      <c r="J430" s="280" t="n"/>
      <c r="K430" s="332">
        <f>IFERROR(VLOOKUP(TEXT(O430,"0"),CONDUCTORES!$A$3:$G$54,7,0),"")</f>
        <v/>
      </c>
      <c r="L430" s="280" t="n"/>
      <c r="M430" s="280" t="n"/>
      <c r="N430" s="333">
        <f>IFERROR(IF(L430*M430=0,"",L430*M430),"")</f>
        <v/>
      </c>
      <c r="O430" s="280" t="n"/>
      <c r="P430" s="332">
        <f>IFERROR(VLOOKUP(TEXT(O430,"0"),CONDUCTORES!$A$3:$G$54,2,0),"")</f>
        <v/>
      </c>
      <c r="Q430" s="332">
        <f>IFERROR(VLOOKUP(TEXT(O430,"0"),CONDUCTORES!$A$3:$H$54,6,0),"")</f>
        <v/>
      </c>
      <c r="R430" s="280" t="n"/>
      <c r="S430" s="280" t="n"/>
      <c r="T430" s="280" t="n"/>
      <c r="U430" s="280" t="n"/>
      <c r="V430" s="280" t="n"/>
      <c r="W430" s="280" t="n"/>
      <c r="X430" s="280" t="n"/>
      <c r="Y430" s="280" t="n"/>
    </row>
    <row r="431" ht="15" customHeight="1" s="195">
      <c r="A431" s="334" t="n"/>
      <c r="B431" s="334" t="n"/>
      <c r="C431" s="334" t="n"/>
      <c r="D431" s="334" t="n"/>
      <c r="E431" s="334" t="n"/>
      <c r="F431" s="334" t="n"/>
      <c r="G431" s="334" t="n"/>
      <c r="H431" s="334" t="n"/>
      <c r="I431" s="332">
        <f>IFERROR(VLOOKUP(TEXT(H431,"0"),IPRESS!$A$3:$B$212,2,0),"")</f>
        <v/>
      </c>
      <c r="J431" s="334" t="n"/>
      <c r="K431" s="332">
        <f>IFERROR(VLOOKUP(TEXT(O431,"0"),CONDUCTORES!$A$3:$G$54,7,0),"")</f>
        <v/>
      </c>
      <c r="L431" s="334" t="n"/>
      <c r="M431" s="334" t="n"/>
      <c r="N431" s="333">
        <f>IFERROR(IF(L431*M431=0,"",L431*M431),"")</f>
        <v/>
      </c>
      <c r="O431" s="334" t="n"/>
      <c r="P431" s="332">
        <f>IFERROR(VLOOKUP(TEXT(O431,"0"),CONDUCTORES!$A$3:$G$54,2,0),"")</f>
        <v/>
      </c>
      <c r="Q431" s="332">
        <f>IFERROR(VLOOKUP(TEXT(O431,"0"),CONDUCTORES!$A$3:$H$54,6,0),"")</f>
        <v/>
      </c>
      <c r="R431" s="334" t="n"/>
      <c r="S431" s="334" t="n"/>
      <c r="T431" s="334" t="n"/>
      <c r="U431" s="334" t="n"/>
      <c r="V431" s="334" t="n"/>
      <c r="W431" s="334" t="n"/>
      <c r="X431" s="334" t="n"/>
      <c r="Y431" s="334" t="n"/>
    </row>
    <row r="432" ht="15" customHeight="1" s="195">
      <c r="A432" s="280" t="n"/>
      <c r="B432" s="280" t="n"/>
      <c r="C432" s="280" t="n"/>
      <c r="D432" s="280" t="n"/>
      <c r="E432" s="280" t="n"/>
      <c r="F432" s="280" t="n"/>
      <c r="G432" s="280" t="n"/>
      <c r="H432" s="280" t="n"/>
      <c r="I432" s="332">
        <f>IFERROR(VLOOKUP(TEXT(H432,"0"),IPRESS!$A$3:$B$212,2,0),"")</f>
        <v/>
      </c>
      <c r="J432" s="280" t="n"/>
      <c r="K432" s="332">
        <f>IFERROR(VLOOKUP(TEXT(O432,"0"),CONDUCTORES!$A$3:$G$54,7,0),"")</f>
        <v/>
      </c>
      <c r="L432" s="280" t="n"/>
      <c r="M432" s="280" t="n"/>
      <c r="N432" s="333">
        <f>IFERROR(IF(L432*M432=0,"",L432*M432),"")</f>
        <v/>
      </c>
      <c r="O432" s="280" t="n"/>
      <c r="P432" s="332">
        <f>IFERROR(VLOOKUP(TEXT(O432,"0"),CONDUCTORES!$A$3:$G$54,2,0),"")</f>
        <v/>
      </c>
      <c r="Q432" s="332">
        <f>IFERROR(VLOOKUP(TEXT(O432,"0"),CONDUCTORES!$A$3:$H$54,6,0),"")</f>
        <v/>
      </c>
      <c r="R432" s="280" t="n"/>
      <c r="S432" s="280" t="n"/>
      <c r="T432" s="280" t="n"/>
      <c r="U432" s="280" t="n"/>
      <c r="V432" s="280" t="n"/>
      <c r="W432" s="280" t="n"/>
      <c r="X432" s="280" t="n"/>
      <c r="Y432" s="280" t="n"/>
    </row>
    <row r="433" ht="15" customHeight="1" s="195">
      <c r="A433" s="334" t="n"/>
      <c r="B433" s="334" t="n"/>
      <c r="C433" s="334" t="n"/>
      <c r="D433" s="334" t="n"/>
      <c r="E433" s="334" t="n"/>
      <c r="F433" s="334" t="n"/>
      <c r="G433" s="334" t="n"/>
      <c r="H433" s="334" t="n"/>
      <c r="I433" s="332">
        <f>IFERROR(VLOOKUP(TEXT(H433,"0"),IPRESS!$A$3:$B$212,2,0),"")</f>
        <v/>
      </c>
      <c r="J433" s="334" t="n"/>
      <c r="K433" s="332">
        <f>IFERROR(VLOOKUP(TEXT(O433,"0"),CONDUCTORES!$A$3:$G$54,7,0),"")</f>
        <v/>
      </c>
      <c r="L433" s="334" t="n"/>
      <c r="M433" s="334" t="n"/>
      <c r="N433" s="333">
        <f>IFERROR(IF(L433*M433=0,"",L433*M433),"")</f>
        <v/>
      </c>
      <c r="O433" s="334" t="n"/>
      <c r="P433" s="332">
        <f>IFERROR(VLOOKUP(TEXT(O433,"0"),CONDUCTORES!$A$3:$G$54,2,0),"")</f>
        <v/>
      </c>
      <c r="Q433" s="332">
        <f>IFERROR(VLOOKUP(TEXT(O433,"0"),CONDUCTORES!$A$3:$H$54,6,0),"")</f>
        <v/>
      </c>
      <c r="R433" s="334" t="n"/>
      <c r="S433" s="334" t="n"/>
      <c r="T433" s="334" t="n"/>
      <c r="U433" s="334" t="n"/>
      <c r="V433" s="334" t="n"/>
      <c r="W433" s="334" t="n"/>
      <c r="X433" s="334" t="n"/>
      <c r="Y433" s="334" t="n"/>
    </row>
    <row r="434" ht="15" customHeight="1" s="195">
      <c r="A434" s="280" t="n"/>
      <c r="B434" s="280" t="n"/>
      <c r="C434" s="280" t="n"/>
      <c r="D434" s="280" t="n"/>
      <c r="E434" s="280" t="n"/>
      <c r="F434" s="280" t="n"/>
      <c r="G434" s="280" t="n"/>
      <c r="H434" s="280" t="n"/>
      <c r="I434" s="332">
        <f>IFERROR(VLOOKUP(TEXT(H434,"0"),IPRESS!$A$3:$B$212,2,0),"")</f>
        <v/>
      </c>
      <c r="J434" s="280" t="n"/>
      <c r="K434" s="332">
        <f>IFERROR(VLOOKUP(TEXT(O434,"0"),CONDUCTORES!$A$3:$G$54,7,0),"")</f>
        <v/>
      </c>
      <c r="L434" s="280" t="n"/>
      <c r="M434" s="280" t="n"/>
      <c r="N434" s="333">
        <f>IFERROR(IF(L434*M434=0,"",L434*M434),"")</f>
        <v/>
      </c>
      <c r="O434" s="280" t="n"/>
      <c r="P434" s="332">
        <f>IFERROR(VLOOKUP(TEXT(O434,"0"),CONDUCTORES!$A$3:$G$54,2,0),"")</f>
        <v/>
      </c>
      <c r="Q434" s="332">
        <f>IFERROR(VLOOKUP(TEXT(O434,"0"),CONDUCTORES!$A$3:$H$54,6,0),"")</f>
        <v/>
      </c>
      <c r="R434" s="280" t="n"/>
      <c r="S434" s="280" t="n"/>
      <c r="T434" s="280" t="n"/>
      <c r="U434" s="280" t="n"/>
      <c r="V434" s="280" t="n"/>
      <c r="W434" s="280" t="n"/>
      <c r="X434" s="280" t="n"/>
      <c r="Y434" s="280" t="n"/>
    </row>
    <row r="435" ht="15" customHeight="1" s="195">
      <c r="A435" s="334" t="n"/>
      <c r="B435" s="334" t="n"/>
      <c r="C435" s="334" t="n"/>
      <c r="D435" s="334" t="n"/>
      <c r="E435" s="334" t="n"/>
      <c r="F435" s="334" t="n"/>
      <c r="G435" s="334" t="n"/>
      <c r="H435" s="334" t="n"/>
      <c r="I435" s="332">
        <f>IFERROR(VLOOKUP(TEXT(H435,"0"),IPRESS!$A$3:$B$212,2,0),"")</f>
        <v/>
      </c>
      <c r="J435" s="334" t="n"/>
      <c r="K435" s="332">
        <f>IFERROR(VLOOKUP(TEXT(O435,"0"),CONDUCTORES!$A$3:$G$54,7,0),"")</f>
        <v/>
      </c>
      <c r="L435" s="334" t="n"/>
      <c r="M435" s="334" t="n"/>
      <c r="N435" s="333">
        <f>IFERROR(IF(L435*M435=0,"",L435*M435),"")</f>
        <v/>
      </c>
      <c r="O435" s="334" t="n"/>
      <c r="P435" s="332">
        <f>IFERROR(VLOOKUP(TEXT(O435,"0"),CONDUCTORES!$A$3:$G$54,2,0),"")</f>
        <v/>
      </c>
      <c r="Q435" s="332">
        <f>IFERROR(VLOOKUP(TEXT(O435,"0"),CONDUCTORES!$A$3:$H$54,6,0),"")</f>
        <v/>
      </c>
      <c r="R435" s="334" t="n"/>
      <c r="S435" s="334" t="n"/>
      <c r="T435" s="334" t="n"/>
      <c r="U435" s="334" t="n"/>
      <c r="V435" s="334" t="n"/>
      <c r="W435" s="334" t="n"/>
      <c r="X435" s="334" t="n"/>
      <c r="Y435" s="334" t="n"/>
    </row>
    <row r="436" ht="15" customHeight="1" s="195">
      <c r="A436" s="280" t="n"/>
      <c r="B436" s="280" t="n"/>
      <c r="C436" s="280" t="n"/>
      <c r="D436" s="280" t="n"/>
      <c r="E436" s="280" t="n"/>
      <c r="F436" s="280" t="n"/>
      <c r="G436" s="280" t="n"/>
      <c r="H436" s="280" t="n"/>
      <c r="I436" s="332">
        <f>IFERROR(VLOOKUP(TEXT(H436,"0"),IPRESS!$A$3:$B$212,2,0),"")</f>
        <v/>
      </c>
      <c r="J436" s="280" t="n"/>
      <c r="K436" s="332">
        <f>IFERROR(VLOOKUP(TEXT(O436,"0"),CONDUCTORES!$A$3:$G$54,7,0),"")</f>
        <v/>
      </c>
      <c r="L436" s="280" t="n"/>
      <c r="M436" s="280" t="n"/>
      <c r="N436" s="333">
        <f>IFERROR(IF(L436*M436=0,"",L436*M436),"")</f>
        <v/>
      </c>
      <c r="O436" s="280" t="n"/>
      <c r="P436" s="332">
        <f>IFERROR(VLOOKUP(TEXT(O436,"0"),CONDUCTORES!$A$3:$G$54,2,0),"")</f>
        <v/>
      </c>
      <c r="Q436" s="332">
        <f>IFERROR(VLOOKUP(TEXT(O436,"0"),CONDUCTORES!$A$3:$H$54,6,0),"")</f>
        <v/>
      </c>
      <c r="R436" s="280" t="n"/>
      <c r="S436" s="280" t="n"/>
      <c r="T436" s="280" t="n"/>
      <c r="U436" s="280" t="n"/>
      <c r="V436" s="280" t="n"/>
      <c r="W436" s="280" t="n"/>
      <c r="X436" s="280" t="n"/>
      <c r="Y436" s="280" t="n"/>
    </row>
    <row r="437" ht="15" customHeight="1" s="195">
      <c r="A437" s="334" t="n"/>
      <c r="B437" s="334" t="n"/>
      <c r="C437" s="334" t="n"/>
      <c r="D437" s="334" t="n"/>
      <c r="E437" s="334" t="n"/>
      <c r="F437" s="334" t="n"/>
      <c r="G437" s="334" t="n"/>
      <c r="H437" s="334" t="n"/>
      <c r="I437" s="332">
        <f>IFERROR(VLOOKUP(TEXT(H437,"0"),IPRESS!$A$3:$B$212,2,0),"")</f>
        <v/>
      </c>
      <c r="J437" s="334" t="n"/>
      <c r="K437" s="332">
        <f>IFERROR(VLOOKUP(TEXT(O437,"0"),CONDUCTORES!$A$3:$G$54,7,0),"")</f>
        <v/>
      </c>
      <c r="L437" s="334" t="n"/>
      <c r="M437" s="334" t="n"/>
      <c r="N437" s="333">
        <f>IFERROR(IF(L437*M437=0,"",L437*M437),"")</f>
        <v/>
      </c>
      <c r="O437" s="334" t="n"/>
      <c r="P437" s="332">
        <f>IFERROR(VLOOKUP(TEXT(O437,"0"),CONDUCTORES!$A$3:$G$54,2,0),"")</f>
        <v/>
      </c>
      <c r="Q437" s="332">
        <f>IFERROR(VLOOKUP(TEXT(O437,"0"),CONDUCTORES!$A$3:$H$54,6,0),"")</f>
        <v/>
      </c>
      <c r="R437" s="334" t="n"/>
      <c r="S437" s="334" t="n"/>
      <c r="T437" s="334" t="n"/>
      <c r="U437" s="334" t="n"/>
      <c r="V437" s="334" t="n"/>
      <c r="W437" s="334" t="n"/>
      <c r="X437" s="334" t="n"/>
      <c r="Y437" s="334" t="n"/>
    </row>
    <row r="438" ht="15" customHeight="1" s="195">
      <c r="A438" s="280" t="n"/>
      <c r="B438" s="280" t="n"/>
      <c r="C438" s="280" t="n"/>
      <c r="D438" s="280" t="n"/>
      <c r="E438" s="280" t="n"/>
      <c r="F438" s="280" t="n"/>
      <c r="G438" s="280" t="n"/>
      <c r="H438" s="280" t="n"/>
      <c r="I438" s="332">
        <f>IFERROR(VLOOKUP(TEXT(H438,"0"),IPRESS!$A$3:$B$212,2,0),"")</f>
        <v/>
      </c>
      <c r="J438" s="280" t="n"/>
      <c r="K438" s="332">
        <f>IFERROR(VLOOKUP(TEXT(O438,"0"),CONDUCTORES!$A$3:$G$54,7,0),"")</f>
        <v/>
      </c>
      <c r="L438" s="280" t="n"/>
      <c r="M438" s="280" t="n"/>
      <c r="N438" s="333">
        <f>IFERROR(IF(L438*M438=0,"",L438*M438),"")</f>
        <v/>
      </c>
      <c r="O438" s="280" t="n"/>
      <c r="P438" s="332">
        <f>IFERROR(VLOOKUP(TEXT(O438,"0"),CONDUCTORES!$A$3:$G$54,2,0),"")</f>
        <v/>
      </c>
      <c r="Q438" s="332">
        <f>IFERROR(VLOOKUP(TEXT(O438,"0"),CONDUCTORES!$A$3:$H$54,6,0),"")</f>
        <v/>
      </c>
      <c r="R438" s="280" t="n"/>
      <c r="S438" s="280" t="n"/>
      <c r="T438" s="280" t="n"/>
      <c r="U438" s="280" t="n"/>
      <c r="V438" s="280" t="n"/>
      <c r="W438" s="280" t="n"/>
      <c r="X438" s="280" t="n"/>
      <c r="Y438" s="280" t="n"/>
    </row>
    <row r="439" ht="15" customHeight="1" s="195">
      <c r="A439" s="334" t="n"/>
      <c r="B439" s="334" t="n"/>
      <c r="C439" s="334" t="n"/>
      <c r="D439" s="334" t="n"/>
      <c r="E439" s="334" t="n"/>
      <c r="F439" s="334" t="n"/>
      <c r="G439" s="334" t="n"/>
      <c r="H439" s="334" t="n"/>
      <c r="I439" s="332">
        <f>IFERROR(VLOOKUP(TEXT(H439,"0"),IPRESS!$A$3:$B$212,2,0),"")</f>
        <v/>
      </c>
      <c r="J439" s="334" t="n"/>
      <c r="K439" s="332">
        <f>IFERROR(VLOOKUP(TEXT(O439,"0"),CONDUCTORES!$A$3:$G$54,7,0),"")</f>
        <v/>
      </c>
      <c r="L439" s="334" t="n"/>
      <c r="M439" s="334" t="n"/>
      <c r="N439" s="333">
        <f>IFERROR(IF(L439*M439=0,"",L439*M439),"")</f>
        <v/>
      </c>
      <c r="O439" s="334" t="n"/>
      <c r="P439" s="332">
        <f>IFERROR(VLOOKUP(TEXT(O439,"0"),CONDUCTORES!$A$3:$G$54,2,0),"")</f>
        <v/>
      </c>
      <c r="Q439" s="332">
        <f>IFERROR(VLOOKUP(TEXT(O439,"0"),CONDUCTORES!$A$3:$H$54,6,0),"")</f>
        <v/>
      </c>
      <c r="R439" s="334" t="n"/>
      <c r="S439" s="334" t="n"/>
      <c r="T439" s="334" t="n"/>
      <c r="U439" s="334" t="n"/>
      <c r="V439" s="334" t="n"/>
      <c r="W439" s="334" t="n"/>
      <c r="X439" s="334" t="n"/>
      <c r="Y439" s="334" t="n"/>
    </row>
    <row r="440" ht="15" customHeight="1" s="195">
      <c r="A440" s="280" t="n"/>
      <c r="B440" s="280" t="n"/>
      <c r="C440" s="280" t="n"/>
      <c r="D440" s="280" t="n"/>
      <c r="E440" s="280" t="n"/>
      <c r="F440" s="280" t="n"/>
      <c r="G440" s="280" t="n"/>
      <c r="H440" s="280" t="n"/>
      <c r="I440" s="332">
        <f>IFERROR(VLOOKUP(TEXT(H440,"0"),IPRESS!$A$3:$B$212,2,0),"")</f>
        <v/>
      </c>
      <c r="J440" s="280" t="n"/>
      <c r="K440" s="332">
        <f>IFERROR(VLOOKUP(TEXT(O440,"0"),CONDUCTORES!$A$3:$G$54,7,0),"")</f>
        <v/>
      </c>
      <c r="L440" s="280" t="n"/>
      <c r="M440" s="280" t="n"/>
      <c r="N440" s="333">
        <f>IFERROR(IF(L440*M440=0,"",L440*M440),"")</f>
        <v/>
      </c>
      <c r="O440" s="280" t="n"/>
      <c r="P440" s="332">
        <f>IFERROR(VLOOKUP(TEXT(O440,"0"),CONDUCTORES!$A$3:$G$54,2,0),"")</f>
        <v/>
      </c>
      <c r="Q440" s="332">
        <f>IFERROR(VLOOKUP(TEXT(O440,"0"),CONDUCTORES!$A$3:$H$54,6,0),"")</f>
        <v/>
      </c>
      <c r="R440" s="280" t="n"/>
      <c r="S440" s="280" t="n"/>
      <c r="T440" s="280" t="n"/>
      <c r="U440" s="280" t="n"/>
      <c r="V440" s="280" t="n"/>
      <c r="W440" s="280" t="n"/>
      <c r="X440" s="280" t="n"/>
      <c r="Y440" s="280" t="n"/>
    </row>
    <row r="441" ht="15" customHeight="1" s="195">
      <c r="A441" s="334" t="n"/>
      <c r="B441" s="334" t="n"/>
      <c r="C441" s="334" t="n"/>
      <c r="D441" s="334" t="n"/>
      <c r="E441" s="334" t="n"/>
      <c r="F441" s="334" t="n"/>
      <c r="G441" s="334" t="n"/>
      <c r="H441" s="334" t="n"/>
      <c r="I441" s="332">
        <f>IFERROR(VLOOKUP(TEXT(H441,"0"),IPRESS!$A$3:$B$212,2,0),"")</f>
        <v/>
      </c>
      <c r="J441" s="334" t="n"/>
      <c r="K441" s="332">
        <f>IFERROR(VLOOKUP(TEXT(O441,"0"),CONDUCTORES!$A$3:$G$54,7,0),"")</f>
        <v/>
      </c>
      <c r="L441" s="334" t="n"/>
      <c r="M441" s="334" t="n"/>
      <c r="N441" s="333">
        <f>IFERROR(IF(L441*M441=0,"",L441*M441),"")</f>
        <v/>
      </c>
      <c r="O441" s="334" t="n"/>
      <c r="P441" s="332">
        <f>IFERROR(VLOOKUP(TEXT(O441,"0"),CONDUCTORES!$A$3:$G$54,2,0),"")</f>
        <v/>
      </c>
      <c r="Q441" s="332">
        <f>IFERROR(VLOOKUP(TEXT(O441,"0"),CONDUCTORES!$A$3:$H$54,6,0),"")</f>
        <v/>
      </c>
      <c r="R441" s="334" t="n"/>
      <c r="S441" s="334" t="n"/>
      <c r="T441" s="334" t="n"/>
      <c r="U441" s="334" t="n"/>
      <c r="V441" s="334" t="n"/>
      <c r="W441" s="334" t="n"/>
      <c r="X441" s="334" t="n"/>
      <c r="Y441" s="334" t="n"/>
    </row>
    <row r="442" ht="15" customHeight="1" s="195">
      <c r="A442" s="280" t="n"/>
      <c r="B442" s="280" t="n"/>
      <c r="C442" s="280" t="n"/>
      <c r="D442" s="280" t="n"/>
      <c r="E442" s="280" t="n"/>
      <c r="F442" s="280" t="n"/>
      <c r="G442" s="280" t="n"/>
      <c r="H442" s="280" t="n"/>
      <c r="I442" s="332">
        <f>IFERROR(VLOOKUP(TEXT(H442,"0"),IPRESS!$A$3:$B$212,2,0),"")</f>
        <v/>
      </c>
      <c r="J442" s="280" t="n"/>
      <c r="K442" s="332">
        <f>IFERROR(VLOOKUP(TEXT(O442,"0"),CONDUCTORES!$A$3:$G$54,7,0),"")</f>
        <v/>
      </c>
      <c r="L442" s="280" t="n"/>
      <c r="M442" s="280" t="n"/>
      <c r="N442" s="333">
        <f>IFERROR(IF(L442*M442=0,"",L442*M442),"")</f>
        <v/>
      </c>
      <c r="O442" s="280" t="n"/>
      <c r="P442" s="332">
        <f>IFERROR(VLOOKUP(TEXT(O442,"0"),CONDUCTORES!$A$3:$G$54,2,0),"")</f>
        <v/>
      </c>
      <c r="Q442" s="332">
        <f>IFERROR(VLOOKUP(TEXT(O442,"0"),CONDUCTORES!$A$3:$H$54,6,0),"")</f>
        <v/>
      </c>
      <c r="R442" s="280" t="n"/>
      <c r="S442" s="280" t="n"/>
      <c r="T442" s="280" t="n"/>
      <c r="U442" s="280" t="n"/>
      <c r="V442" s="280" t="n"/>
      <c r="W442" s="280" t="n"/>
      <c r="X442" s="280" t="n"/>
      <c r="Y442" s="280" t="n"/>
    </row>
    <row r="443" ht="15" customHeight="1" s="195">
      <c r="A443" s="334" t="n"/>
      <c r="B443" s="334" t="n"/>
      <c r="C443" s="334" t="n"/>
      <c r="D443" s="334" t="n"/>
      <c r="E443" s="334" t="n"/>
      <c r="F443" s="334" t="n"/>
      <c r="G443" s="334" t="n"/>
      <c r="H443" s="334" t="n"/>
      <c r="I443" s="332">
        <f>IFERROR(VLOOKUP(TEXT(H443,"0"),IPRESS!$A$3:$B$212,2,0),"")</f>
        <v/>
      </c>
      <c r="J443" s="334" t="n"/>
      <c r="K443" s="332">
        <f>IFERROR(VLOOKUP(TEXT(O443,"0"),CONDUCTORES!$A$3:$G$54,7,0),"")</f>
        <v/>
      </c>
      <c r="L443" s="334" t="n"/>
      <c r="M443" s="334" t="n"/>
      <c r="N443" s="333">
        <f>IFERROR(IF(L443*M443=0,"",L443*M443),"")</f>
        <v/>
      </c>
      <c r="O443" s="334" t="n"/>
      <c r="P443" s="332">
        <f>IFERROR(VLOOKUP(TEXT(O443,"0"),CONDUCTORES!$A$3:$G$54,2,0),"")</f>
        <v/>
      </c>
      <c r="Q443" s="332">
        <f>IFERROR(VLOOKUP(TEXT(O443,"0"),CONDUCTORES!$A$3:$H$54,6,0),"")</f>
        <v/>
      </c>
      <c r="R443" s="334" t="n"/>
      <c r="S443" s="334" t="n"/>
      <c r="T443" s="334" t="n"/>
      <c r="U443" s="334" t="n"/>
      <c r="V443" s="334" t="n"/>
      <c r="W443" s="334" t="n"/>
      <c r="X443" s="334" t="n"/>
      <c r="Y443" s="334" t="n"/>
    </row>
    <row r="444" ht="15" customHeight="1" s="195">
      <c r="A444" s="280" t="n"/>
      <c r="B444" s="280" t="n"/>
      <c r="C444" s="280" t="n"/>
      <c r="D444" s="280" t="n"/>
      <c r="E444" s="280" t="n"/>
      <c r="F444" s="280" t="n"/>
      <c r="G444" s="280" t="n"/>
      <c r="H444" s="280" t="n"/>
      <c r="I444" s="332">
        <f>IFERROR(VLOOKUP(TEXT(H444,"0"),IPRESS!$A$3:$B$212,2,0),"")</f>
        <v/>
      </c>
      <c r="J444" s="280" t="n"/>
      <c r="K444" s="332">
        <f>IFERROR(VLOOKUP(TEXT(O444,"0"),CONDUCTORES!$A$3:$G$54,7,0),"")</f>
        <v/>
      </c>
      <c r="L444" s="280" t="n"/>
      <c r="M444" s="280" t="n"/>
      <c r="N444" s="333">
        <f>IFERROR(IF(L444*M444=0,"",L444*M444),"")</f>
        <v/>
      </c>
      <c r="O444" s="280" t="n"/>
      <c r="P444" s="332">
        <f>IFERROR(VLOOKUP(TEXT(O444,"0"),CONDUCTORES!$A$3:$G$54,2,0),"")</f>
        <v/>
      </c>
      <c r="Q444" s="332">
        <f>IFERROR(VLOOKUP(TEXT(O444,"0"),CONDUCTORES!$A$3:$H$54,6,0),"")</f>
        <v/>
      </c>
      <c r="R444" s="280" t="n"/>
      <c r="S444" s="280" t="n"/>
      <c r="T444" s="280" t="n"/>
      <c r="U444" s="280" t="n"/>
      <c r="V444" s="280" t="n"/>
      <c r="W444" s="280" t="n"/>
      <c r="X444" s="280" t="n"/>
      <c r="Y444" s="280" t="n"/>
    </row>
    <row r="445" ht="15" customHeight="1" s="195">
      <c r="A445" s="334" t="n"/>
      <c r="B445" s="334" t="n"/>
      <c r="C445" s="334" t="n"/>
      <c r="D445" s="334" t="n"/>
      <c r="E445" s="334" t="n"/>
      <c r="F445" s="334" t="n"/>
      <c r="G445" s="334" t="n"/>
      <c r="H445" s="334" t="n"/>
      <c r="I445" s="332">
        <f>IFERROR(VLOOKUP(TEXT(H445,"0"),IPRESS!$A$3:$B$212,2,0),"")</f>
        <v/>
      </c>
      <c r="J445" s="334" t="n"/>
      <c r="K445" s="332">
        <f>IFERROR(VLOOKUP(TEXT(O445,"0"),CONDUCTORES!$A$3:$G$54,7,0),"")</f>
        <v/>
      </c>
      <c r="L445" s="334" t="n"/>
      <c r="M445" s="334" t="n"/>
      <c r="N445" s="333">
        <f>IFERROR(IF(L445*M445=0,"",L445*M445),"")</f>
        <v/>
      </c>
      <c r="O445" s="334" t="n"/>
      <c r="P445" s="332">
        <f>IFERROR(VLOOKUP(TEXT(O445,"0"),CONDUCTORES!$A$3:$G$54,2,0),"")</f>
        <v/>
      </c>
      <c r="Q445" s="332">
        <f>IFERROR(VLOOKUP(TEXT(O445,"0"),CONDUCTORES!$A$3:$H$54,6,0),"")</f>
        <v/>
      </c>
      <c r="R445" s="334" t="n"/>
      <c r="S445" s="334" t="n"/>
      <c r="T445" s="334" t="n"/>
      <c r="U445" s="334" t="n"/>
      <c r="V445" s="334" t="n"/>
      <c r="W445" s="334" t="n"/>
      <c r="X445" s="334" t="n"/>
      <c r="Y445" s="334" t="n"/>
    </row>
    <row r="446" ht="15" customHeight="1" s="195">
      <c r="A446" s="280" t="n"/>
      <c r="B446" s="280" t="n"/>
      <c r="C446" s="280" t="n"/>
      <c r="D446" s="280" t="n"/>
      <c r="E446" s="280" t="n"/>
      <c r="F446" s="280" t="n"/>
      <c r="G446" s="280" t="n"/>
      <c r="H446" s="280" t="n"/>
      <c r="I446" s="332">
        <f>IFERROR(VLOOKUP(TEXT(H446,"0"),IPRESS!$A$3:$B$212,2,0),"")</f>
        <v/>
      </c>
      <c r="J446" s="280" t="n"/>
      <c r="K446" s="332">
        <f>IFERROR(VLOOKUP(TEXT(O446,"0"),CONDUCTORES!$A$3:$G$54,7,0),"")</f>
        <v/>
      </c>
      <c r="L446" s="280" t="n"/>
      <c r="M446" s="280" t="n"/>
      <c r="N446" s="333">
        <f>IFERROR(IF(L446*M446=0,"",L446*M446),"")</f>
        <v/>
      </c>
      <c r="O446" s="280" t="n"/>
      <c r="P446" s="332">
        <f>IFERROR(VLOOKUP(TEXT(O446,"0"),CONDUCTORES!$A$3:$G$54,2,0),"")</f>
        <v/>
      </c>
      <c r="Q446" s="332">
        <f>IFERROR(VLOOKUP(TEXT(O446,"0"),CONDUCTORES!$A$3:$H$54,6,0),"")</f>
        <v/>
      </c>
      <c r="R446" s="280" t="n"/>
      <c r="S446" s="280" t="n"/>
      <c r="T446" s="280" t="n"/>
      <c r="U446" s="280" t="n"/>
      <c r="V446" s="280" t="n"/>
      <c r="W446" s="280" t="n"/>
      <c r="X446" s="280" t="n"/>
      <c r="Y446" s="280" t="n"/>
    </row>
    <row r="447" ht="15" customHeight="1" s="195">
      <c r="A447" s="334" t="n"/>
      <c r="B447" s="334" t="n"/>
      <c r="C447" s="334" t="n"/>
      <c r="D447" s="334" t="n"/>
      <c r="E447" s="334" t="n"/>
      <c r="F447" s="334" t="n"/>
      <c r="G447" s="334" t="n"/>
      <c r="H447" s="334" t="n"/>
      <c r="I447" s="332">
        <f>IFERROR(VLOOKUP(TEXT(H447,"0"),IPRESS!$A$3:$B$212,2,0),"")</f>
        <v/>
      </c>
      <c r="J447" s="334" t="n"/>
      <c r="K447" s="332">
        <f>IFERROR(VLOOKUP(TEXT(O447,"0"),CONDUCTORES!$A$3:$G$54,7,0),"")</f>
        <v/>
      </c>
      <c r="L447" s="334" t="n"/>
      <c r="M447" s="334" t="n"/>
      <c r="N447" s="333">
        <f>IFERROR(IF(L447*M447=0,"",L447*M447),"")</f>
        <v/>
      </c>
      <c r="O447" s="334" t="n"/>
      <c r="P447" s="332">
        <f>IFERROR(VLOOKUP(TEXT(O447,"0"),CONDUCTORES!$A$3:$G$54,2,0),"")</f>
        <v/>
      </c>
      <c r="Q447" s="332">
        <f>IFERROR(VLOOKUP(TEXT(O447,"0"),CONDUCTORES!$A$3:$H$54,6,0),"")</f>
        <v/>
      </c>
      <c r="R447" s="334" t="n"/>
      <c r="S447" s="334" t="n"/>
      <c r="T447" s="334" t="n"/>
      <c r="U447" s="334" t="n"/>
      <c r="V447" s="334" t="n"/>
      <c r="W447" s="334" t="n"/>
      <c r="X447" s="334" t="n"/>
      <c r="Y447" s="334" t="n"/>
    </row>
    <row r="448" ht="15" customHeight="1" s="195">
      <c r="A448" s="280" t="n"/>
      <c r="B448" s="280" t="n"/>
      <c r="C448" s="280" t="n"/>
      <c r="D448" s="280" t="n"/>
      <c r="E448" s="280" t="n"/>
      <c r="F448" s="280" t="n"/>
      <c r="G448" s="280" t="n"/>
      <c r="H448" s="280" t="n"/>
      <c r="I448" s="332">
        <f>IFERROR(VLOOKUP(TEXT(H448,"0"),IPRESS!$A$3:$B$212,2,0),"")</f>
        <v/>
      </c>
      <c r="J448" s="280" t="n"/>
      <c r="K448" s="332">
        <f>IFERROR(VLOOKUP(TEXT(O448,"0"),CONDUCTORES!$A$3:$G$54,7,0),"")</f>
        <v/>
      </c>
      <c r="L448" s="280" t="n"/>
      <c r="M448" s="280" t="n"/>
      <c r="N448" s="333">
        <f>IFERROR(IF(L448*M448=0,"",L448*M448),"")</f>
        <v/>
      </c>
      <c r="O448" s="280" t="n"/>
      <c r="P448" s="332">
        <f>IFERROR(VLOOKUP(TEXT(O448,"0"),CONDUCTORES!$A$3:$G$54,2,0),"")</f>
        <v/>
      </c>
      <c r="Q448" s="332">
        <f>IFERROR(VLOOKUP(TEXT(O448,"0"),CONDUCTORES!$A$3:$H$54,6,0),"")</f>
        <v/>
      </c>
      <c r="R448" s="280" t="n"/>
      <c r="S448" s="280" t="n"/>
      <c r="T448" s="280" t="n"/>
      <c r="U448" s="280" t="n"/>
      <c r="V448" s="280" t="n"/>
      <c r="W448" s="280" t="n"/>
      <c r="X448" s="280" t="n"/>
      <c r="Y448" s="280" t="n"/>
    </row>
    <row r="449" ht="15" customHeight="1" s="195">
      <c r="A449" s="334" t="n"/>
      <c r="B449" s="334" t="n"/>
      <c r="C449" s="334" t="n"/>
      <c r="D449" s="334" t="n"/>
      <c r="E449" s="334" t="n"/>
      <c r="F449" s="334" t="n"/>
      <c r="G449" s="334" t="n"/>
      <c r="H449" s="334" t="n"/>
      <c r="I449" s="332">
        <f>IFERROR(VLOOKUP(TEXT(H449,"0"),IPRESS!$A$3:$B$212,2,0),"")</f>
        <v/>
      </c>
      <c r="J449" s="334" t="n"/>
      <c r="K449" s="332">
        <f>IFERROR(VLOOKUP(TEXT(O449,"0"),CONDUCTORES!$A$3:$G$54,7,0),"")</f>
        <v/>
      </c>
      <c r="L449" s="334" t="n"/>
      <c r="M449" s="334" t="n"/>
      <c r="N449" s="333">
        <f>IFERROR(IF(L449*M449=0,"",L449*M449),"")</f>
        <v/>
      </c>
      <c r="O449" s="334" t="n"/>
      <c r="P449" s="332">
        <f>IFERROR(VLOOKUP(TEXT(O449,"0"),CONDUCTORES!$A$3:$G$54,2,0),"")</f>
        <v/>
      </c>
      <c r="Q449" s="332">
        <f>IFERROR(VLOOKUP(TEXT(O449,"0"),CONDUCTORES!$A$3:$H$54,6,0),"")</f>
        <v/>
      </c>
      <c r="R449" s="334" t="n"/>
      <c r="S449" s="334" t="n"/>
      <c r="T449" s="334" t="n"/>
      <c r="U449" s="334" t="n"/>
      <c r="V449" s="334" t="n"/>
      <c r="W449" s="334" t="n"/>
      <c r="X449" s="334" t="n"/>
      <c r="Y449" s="334" t="n"/>
    </row>
    <row r="450" ht="15" customHeight="1" s="195">
      <c r="A450" s="280" t="n"/>
      <c r="B450" s="280" t="n"/>
      <c r="C450" s="280" t="n"/>
      <c r="D450" s="280" t="n"/>
      <c r="E450" s="280" t="n"/>
      <c r="F450" s="280" t="n"/>
      <c r="G450" s="280" t="n"/>
      <c r="H450" s="280" t="n"/>
      <c r="I450" s="332">
        <f>IFERROR(VLOOKUP(TEXT(H450,"0"),IPRESS!$A$3:$B$212,2,0),"")</f>
        <v/>
      </c>
      <c r="J450" s="280" t="n"/>
      <c r="K450" s="332">
        <f>IFERROR(VLOOKUP(TEXT(O450,"0"),CONDUCTORES!$A$3:$G$54,7,0),"")</f>
        <v/>
      </c>
      <c r="L450" s="280" t="n"/>
      <c r="M450" s="280" t="n"/>
      <c r="N450" s="333">
        <f>IFERROR(IF(L450*M450=0,"",L450*M450),"")</f>
        <v/>
      </c>
      <c r="O450" s="280" t="n"/>
      <c r="P450" s="332">
        <f>IFERROR(VLOOKUP(TEXT(O450,"0"),CONDUCTORES!$A$3:$G$54,2,0),"")</f>
        <v/>
      </c>
      <c r="Q450" s="332">
        <f>IFERROR(VLOOKUP(TEXT(O450,"0"),CONDUCTORES!$A$3:$H$54,6,0),"")</f>
        <v/>
      </c>
      <c r="R450" s="280" t="n"/>
      <c r="S450" s="280" t="n"/>
      <c r="T450" s="280" t="n"/>
      <c r="U450" s="280" t="n"/>
      <c r="V450" s="280" t="n"/>
      <c r="W450" s="280" t="n"/>
      <c r="X450" s="280" t="n"/>
      <c r="Y450" s="280" t="n"/>
    </row>
    <row r="451" ht="15" customHeight="1" s="195">
      <c r="A451" s="334" t="n"/>
      <c r="B451" s="334" t="n"/>
      <c r="C451" s="334" t="n"/>
      <c r="D451" s="334" t="n"/>
      <c r="E451" s="334" t="n"/>
      <c r="F451" s="334" t="n"/>
      <c r="G451" s="334" t="n"/>
      <c r="H451" s="334" t="n"/>
      <c r="I451" s="332">
        <f>IFERROR(VLOOKUP(TEXT(H451,"0"),IPRESS!$A$3:$B$212,2,0),"")</f>
        <v/>
      </c>
      <c r="J451" s="334" t="n"/>
      <c r="K451" s="332">
        <f>IFERROR(VLOOKUP(TEXT(O451,"0"),CONDUCTORES!$A$3:$G$54,7,0),"")</f>
        <v/>
      </c>
      <c r="L451" s="334" t="n"/>
      <c r="M451" s="334" t="n"/>
      <c r="N451" s="333">
        <f>IFERROR(IF(L451*M451=0,"",L451*M451),"")</f>
        <v/>
      </c>
      <c r="O451" s="334" t="n"/>
      <c r="P451" s="332">
        <f>IFERROR(VLOOKUP(TEXT(O451,"0"),CONDUCTORES!$A$3:$G$54,2,0),"")</f>
        <v/>
      </c>
      <c r="Q451" s="332">
        <f>IFERROR(VLOOKUP(TEXT(O451,"0"),CONDUCTORES!$A$3:$H$54,6,0),"")</f>
        <v/>
      </c>
      <c r="R451" s="334" t="n"/>
      <c r="S451" s="334" t="n"/>
      <c r="T451" s="334" t="n"/>
      <c r="U451" s="334" t="n"/>
      <c r="V451" s="334" t="n"/>
      <c r="W451" s="334" t="n"/>
      <c r="X451" s="334" t="n"/>
      <c r="Y451" s="334" t="n"/>
    </row>
    <row r="452" ht="15" customHeight="1" s="195">
      <c r="A452" s="280" t="n"/>
      <c r="B452" s="280" t="n"/>
      <c r="C452" s="280" t="n"/>
      <c r="D452" s="280" t="n"/>
      <c r="E452" s="280" t="n"/>
      <c r="F452" s="280" t="n"/>
      <c r="G452" s="280" t="n"/>
      <c r="H452" s="280" t="n"/>
      <c r="I452" s="332">
        <f>IFERROR(VLOOKUP(TEXT(H452,"0"),IPRESS!$A$3:$B$212,2,0),"")</f>
        <v/>
      </c>
      <c r="J452" s="280" t="n"/>
      <c r="K452" s="332">
        <f>IFERROR(VLOOKUP(TEXT(O452,"0"),CONDUCTORES!$A$3:$G$54,7,0),"")</f>
        <v/>
      </c>
      <c r="L452" s="280" t="n"/>
      <c r="M452" s="280" t="n"/>
      <c r="N452" s="333">
        <f>IFERROR(IF(L452*M452=0,"",L452*M452),"")</f>
        <v/>
      </c>
      <c r="O452" s="280" t="n"/>
      <c r="P452" s="332">
        <f>IFERROR(VLOOKUP(TEXT(O452,"0"),CONDUCTORES!$A$3:$G$54,2,0),"")</f>
        <v/>
      </c>
      <c r="Q452" s="332">
        <f>IFERROR(VLOOKUP(TEXT(O452,"0"),CONDUCTORES!$A$3:$H$54,6,0),"")</f>
        <v/>
      </c>
      <c r="R452" s="280" t="n"/>
      <c r="S452" s="280" t="n"/>
      <c r="T452" s="280" t="n"/>
      <c r="U452" s="280" t="n"/>
      <c r="V452" s="280" t="n"/>
      <c r="W452" s="280" t="n"/>
      <c r="X452" s="280" t="n"/>
      <c r="Y452" s="280" t="n"/>
    </row>
    <row r="453" ht="15" customHeight="1" s="195">
      <c r="A453" s="334" t="n"/>
      <c r="B453" s="334" t="n"/>
      <c r="C453" s="334" t="n"/>
      <c r="D453" s="334" t="n"/>
      <c r="E453" s="334" t="n"/>
      <c r="F453" s="334" t="n"/>
      <c r="G453" s="334" t="n"/>
      <c r="H453" s="334" t="n"/>
      <c r="I453" s="332">
        <f>IFERROR(VLOOKUP(TEXT(H453,"0"),IPRESS!$A$3:$B$212,2,0),"")</f>
        <v/>
      </c>
      <c r="J453" s="334" t="n"/>
      <c r="K453" s="332">
        <f>IFERROR(VLOOKUP(TEXT(O453,"0"),CONDUCTORES!$A$3:$G$54,7,0),"")</f>
        <v/>
      </c>
      <c r="L453" s="334" t="n"/>
      <c r="M453" s="334" t="n"/>
      <c r="N453" s="333">
        <f>IFERROR(IF(L453*M453=0,"",L453*M453),"")</f>
        <v/>
      </c>
      <c r="O453" s="334" t="n"/>
      <c r="P453" s="332">
        <f>IFERROR(VLOOKUP(TEXT(O453,"0"),CONDUCTORES!$A$3:$G$54,2,0),"")</f>
        <v/>
      </c>
      <c r="Q453" s="332">
        <f>IFERROR(VLOOKUP(TEXT(O453,"0"),CONDUCTORES!$A$3:$H$54,6,0),"")</f>
        <v/>
      </c>
      <c r="R453" s="334" t="n"/>
      <c r="S453" s="334" t="n"/>
      <c r="T453" s="334" t="n"/>
      <c r="U453" s="334" t="n"/>
      <c r="V453" s="334" t="n"/>
      <c r="W453" s="334" t="n"/>
      <c r="X453" s="334" t="n"/>
      <c r="Y453" s="334" t="n"/>
    </row>
    <row r="454" ht="15" customHeight="1" s="195">
      <c r="A454" s="280" t="n"/>
      <c r="B454" s="280" t="n"/>
      <c r="C454" s="280" t="n"/>
      <c r="D454" s="280" t="n"/>
      <c r="E454" s="280" t="n"/>
      <c r="F454" s="280" t="n"/>
      <c r="G454" s="280" t="n"/>
      <c r="H454" s="280" t="n"/>
      <c r="I454" s="332">
        <f>IFERROR(VLOOKUP(TEXT(H454,"0"),IPRESS!$A$3:$B$212,2,0),"")</f>
        <v/>
      </c>
      <c r="J454" s="280" t="n"/>
      <c r="K454" s="332">
        <f>IFERROR(VLOOKUP(TEXT(O454,"0"),CONDUCTORES!$A$3:$G$54,7,0),"")</f>
        <v/>
      </c>
      <c r="L454" s="280" t="n"/>
      <c r="M454" s="280" t="n"/>
      <c r="N454" s="333">
        <f>IFERROR(IF(L454*M454=0,"",L454*M454),"")</f>
        <v/>
      </c>
      <c r="O454" s="280" t="n"/>
      <c r="P454" s="332">
        <f>IFERROR(VLOOKUP(TEXT(O454,"0"),CONDUCTORES!$A$3:$G$54,2,0),"")</f>
        <v/>
      </c>
      <c r="Q454" s="332">
        <f>IFERROR(VLOOKUP(TEXT(O454,"0"),CONDUCTORES!$A$3:$H$54,6,0),"")</f>
        <v/>
      </c>
      <c r="R454" s="280" t="n"/>
      <c r="S454" s="280" t="n"/>
      <c r="T454" s="280" t="n"/>
      <c r="U454" s="280" t="n"/>
      <c r="V454" s="280" t="n"/>
      <c r="W454" s="280" t="n"/>
      <c r="X454" s="280" t="n"/>
      <c r="Y454" s="280" t="n"/>
    </row>
    <row r="455" ht="15" customHeight="1" s="195">
      <c r="A455" s="334" t="n"/>
      <c r="B455" s="334" t="n"/>
      <c r="C455" s="334" t="n"/>
      <c r="D455" s="334" t="n"/>
      <c r="E455" s="334" t="n"/>
      <c r="F455" s="334" t="n"/>
      <c r="G455" s="334" t="n"/>
      <c r="H455" s="334" t="n"/>
      <c r="I455" s="332">
        <f>IFERROR(VLOOKUP(TEXT(H455,"0"),IPRESS!$A$3:$B$212,2,0),"")</f>
        <v/>
      </c>
      <c r="J455" s="334" t="n"/>
      <c r="K455" s="332">
        <f>IFERROR(VLOOKUP(TEXT(O455,"0"),CONDUCTORES!$A$3:$G$54,7,0),"")</f>
        <v/>
      </c>
      <c r="L455" s="334" t="n"/>
      <c r="M455" s="334" t="n"/>
      <c r="N455" s="333">
        <f>IFERROR(IF(L455*M455=0,"",L455*M455),"")</f>
        <v/>
      </c>
      <c r="O455" s="334" t="n"/>
      <c r="P455" s="332">
        <f>IFERROR(VLOOKUP(TEXT(O455,"0"),CONDUCTORES!$A$3:$G$54,2,0),"")</f>
        <v/>
      </c>
      <c r="Q455" s="332">
        <f>IFERROR(VLOOKUP(TEXT(O455,"0"),CONDUCTORES!$A$3:$H$54,6,0),"")</f>
        <v/>
      </c>
      <c r="R455" s="334" t="n"/>
      <c r="S455" s="334" t="n"/>
      <c r="T455" s="334" t="n"/>
      <c r="U455" s="334" t="n"/>
      <c r="V455" s="334" t="n"/>
      <c r="W455" s="334" t="n"/>
      <c r="X455" s="334" t="n"/>
      <c r="Y455" s="334" t="n"/>
    </row>
    <row r="456" ht="15" customHeight="1" s="195">
      <c r="A456" s="280" t="n"/>
      <c r="B456" s="280" t="n"/>
      <c r="C456" s="280" t="n"/>
      <c r="D456" s="280" t="n"/>
      <c r="E456" s="280" t="n"/>
      <c r="F456" s="280" t="n"/>
      <c r="G456" s="280" t="n"/>
      <c r="H456" s="280" t="n"/>
      <c r="I456" s="332">
        <f>IFERROR(VLOOKUP(TEXT(H456,"0"),IPRESS!$A$3:$B$212,2,0),"")</f>
        <v/>
      </c>
      <c r="J456" s="280" t="n"/>
      <c r="K456" s="332">
        <f>IFERROR(VLOOKUP(TEXT(O456,"0"),CONDUCTORES!$A$3:$G$54,7,0),"")</f>
        <v/>
      </c>
      <c r="L456" s="280" t="n"/>
      <c r="M456" s="280" t="n"/>
      <c r="N456" s="333">
        <f>IFERROR(IF(L456*M456=0,"",L456*M456),"")</f>
        <v/>
      </c>
      <c r="O456" s="280" t="n"/>
      <c r="P456" s="332">
        <f>IFERROR(VLOOKUP(TEXT(O456,"0"),CONDUCTORES!$A$3:$G$54,2,0),"")</f>
        <v/>
      </c>
      <c r="Q456" s="332">
        <f>IFERROR(VLOOKUP(TEXT(O456,"0"),CONDUCTORES!$A$3:$H$54,6,0),"")</f>
        <v/>
      </c>
      <c r="R456" s="280" t="n"/>
      <c r="S456" s="280" t="n"/>
      <c r="T456" s="280" t="n"/>
      <c r="U456" s="280" t="n"/>
      <c r="V456" s="280" t="n"/>
      <c r="W456" s="280" t="n"/>
      <c r="X456" s="280" t="n"/>
      <c r="Y456" s="280" t="n"/>
    </row>
    <row r="457" ht="15" customHeight="1" s="195">
      <c r="A457" s="334" t="n"/>
      <c r="B457" s="334" t="n"/>
      <c r="C457" s="334" t="n"/>
      <c r="D457" s="334" t="n"/>
      <c r="E457" s="334" t="n"/>
      <c r="F457" s="334" t="n"/>
      <c r="G457" s="334" t="n"/>
      <c r="H457" s="334" t="n"/>
      <c r="I457" s="332">
        <f>IFERROR(VLOOKUP(TEXT(H457,"0"),IPRESS!$A$3:$B$212,2,0),"")</f>
        <v/>
      </c>
      <c r="J457" s="334" t="n"/>
      <c r="K457" s="332">
        <f>IFERROR(VLOOKUP(TEXT(O457,"0"),CONDUCTORES!$A$3:$G$54,7,0),"")</f>
        <v/>
      </c>
      <c r="L457" s="334" t="n"/>
      <c r="M457" s="334" t="n"/>
      <c r="N457" s="333">
        <f>IFERROR(IF(L457*M457=0,"",L457*M457),"")</f>
        <v/>
      </c>
      <c r="O457" s="334" t="n"/>
      <c r="P457" s="332">
        <f>IFERROR(VLOOKUP(TEXT(O457,"0"),CONDUCTORES!$A$3:$G$54,2,0),"")</f>
        <v/>
      </c>
      <c r="Q457" s="332">
        <f>IFERROR(VLOOKUP(TEXT(O457,"0"),CONDUCTORES!$A$3:$H$54,6,0),"")</f>
        <v/>
      </c>
      <c r="R457" s="334" t="n"/>
      <c r="S457" s="334" t="n"/>
      <c r="T457" s="334" t="n"/>
      <c r="U457" s="334" t="n"/>
      <c r="V457" s="334" t="n"/>
      <c r="W457" s="334" t="n"/>
      <c r="X457" s="334" t="n"/>
      <c r="Y457" s="334" t="n"/>
    </row>
    <row r="458" ht="15" customHeight="1" s="195">
      <c r="A458" s="280" t="n"/>
      <c r="B458" s="280" t="n"/>
      <c r="C458" s="280" t="n"/>
      <c r="D458" s="280" t="n"/>
      <c r="E458" s="280" t="n"/>
      <c r="F458" s="280" t="n"/>
      <c r="G458" s="280" t="n"/>
      <c r="H458" s="280" t="n"/>
      <c r="I458" s="332">
        <f>IFERROR(VLOOKUP(TEXT(H458,"0"),IPRESS!$A$3:$B$212,2,0),"")</f>
        <v/>
      </c>
      <c r="J458" s="280" t="n"/>
      <c r="K458" s="332">
        <f>IFERROR(VLOOKUP(TEXT(O458,"0"),CONDUCTORES!$A$3:$G$54,7,0),"")</f>
        <v/>
      </c>
      <c r="L458" s="280" t="n"/>
      <c r="M458" s="280" t="n"/>
      <c r="N458" s="333">
        <f>IFERROR(IF(L458*M458=0,"",L458*M458),"")</f>
        <v/>
      </c>
      <c r="O458" s="280" t="n"/>
      <c r="P458" s="332">
        <f>IFERROR(VLOOKUP(TEXT(O458,"0"),CONDUCTORES!$A$3:$G$54,2,0),"")</f>
        <v/>
      </c>
      <c r="Q458" s="332">
        <f>IFERROR(VLOOKUP(TEXT(O458,"0"),CONDUCTORES!$A$3:$H$54,6,0),"")</f>
        <v/>
      </c>
      <c r="R458" s="280" t="n"/>
      <c r="S458" s="280" t="n"/>
      <c r="T458" s="280" t="n"/>
      <c r="U458" s="280" t="n"/>
      <c r="V458" s="280" t="n"/>
      <c r="W458" s="280" t="n"/>
      <c r="X458" s="280" t="n"/>
      <c r="Y458" s="280" t="n"/>
    </row>
    <row r="459" ht="15" customHeight="1" s="195">
      <c r="A459" s="334" t="n"/>
      <c r="B459" s="334" t="n"/>
      <c r="C459" s="334" t="n"/>
      <c r="D459" s="334" t="n"/>
      <c r="E459" s="334" t="n"/>
      <c r="F459" s="334" t="n"/>
      <c r="G459" s="334" t="n"/>
      <c r="H459" s="334" t="n"/>
      <c r="I459" s="332">
        <f>IFERROR(VLOOKUP(TEXT(H459,"0"),IPRESS!$A$3:$B$212,2,0),"")</f>
        <v/>
      </c>
      <c r="J459" s="334" t="n"/>
      <c r="K459" s="332">
        <f>IFERROR(VLOOKUP(TEXT(O459,"0"),CONDUCTORES!$A$3:$G$54,7,0),"")</f>
        <v/>
      </c>
      <c r="L459" s="334" t="n"/>
      <c r="M459" s="334" t="n"/>
      <c r="N459" s="333">
        <f>IFERROR(IF(L459*M459=0,"",L459*M459),"")</f>
        <v/>
      </c>
      <c r="O459" s="334" t="n"/>
      <c r="P459" s="332">
        <f>IFERROR(VLOOKUP(TEXT(O459,"0"),CONDUCTORES!$A$3:$G$54,2,0),"")</f>
        <v/>
      </c>
      <c r="Q459" s="332">
        <f>IFERROR(VLOOKUP(TEXT(O459,"0"),CONDUCTORES!$A$3:$H$54,6,0),"")</f>
        <v/>
      </c>
      <c r="R459" s="334" t="n"/>
      <c r="S459" s="334" t="n"/>
      <c r="T459" s="334" t="n"/>
      <c r="U459" s="334" t="n"/>
      <c r="V459" s="334" t="n"/>
      <c r="W459" s="334" t="n"/>
      <c r="X459" s="334" t="n"/>
      <c r="Y459" s="334" t="n"/>
    </row>
    <row r="460" ht="15" customHeight="1" s="195">
      <c r="A460" s="280" t="n"/>
      <c r="B460" s="280" t="n"/>
      <c r="C460" s="280" t="n"/>
      <c r="D460" s="280" t="n"/>
      <c r="E460" s="280" t="n"/>
      <c r="F460" s="280" t="n"/>
      <c r="G460" s="280" t="n"/>
      <c r="H460" s="280" t="n"/>
      <c r="I460" s="332">
        <f>IFERROR(VLOOKUP(TEXT(H460,"0"),IPRESS!$A$3:$B$212,2,0),"")</f>
        <v/>
      </c>
      <c r="J460" s="280" t="n"/>
      <c r="K460" s="332">
        <f>IFERROR(VLOOKUP(TEXT(O460,"0"),CONDUCTORES!$A$3:$G$54,7,0),"")</f>
        <v/>
      </c>
      <c r="L460" s="280" t="n"/>
      <c r="M460" s="280" t="n"/>
      <c r="N460" s="333">
        <f>IFERROR(IF(L460*M460=0,"",L460*M460),"")</f>
        <v/>
      </c>
      <c r="O460" s="280" t="n"/>
      <c r="P460" s="332">
        <f>IFERROR(VLOOKUP(TEXT(O460,"0"),CONDUCTORES!$A$3:$G$54,2,0),"")</f>
        <v/>
      </c>
      <c r="Q460" s="332">
        <f>IFERROR(VLOOKUP(TEXT(O460,"0"),CONDUCTORES!$A$3:$H$54,6,0),"")</f>
        <v/>
      </c>
      <c r="R460" s="280" t="n"/>
      <c r="S460" s="280" t="n"/>
      <c r="T460" s="280" t="n"/>
      <c r="U460" s="280" t="n"/>
      <c r="V460" s="280" t="n"/>
      <c r="W460" s="280" t="n"/>
      <c r="X460" s="280" t="n"/>
      <c r="Y460" s="280" t="n"/>
    </row>
    <row r="461" ht="15" customHeight="1" s="195">
      <c r="A461" s="334" t="n"/>
      <c r="B461" s="334" t="n"/>
      <c r="C461" s="334" t="n"/>
      <c r="D461" s="334" t="n"/>
      <c r="E461" s="334" t="n"/>
      <c r="F461" s="334" t="n"/>
      <c r="G461" s="334" t="n"/>
      <c r="H461" s="334" t="n"/>
      <c r="I461" s="332">
        <f>IFERROR(VLOOKUP(TEXT(H461,"0"),IPRESS!$A$3:$B$212,2,0),"")</f>
        <v/>
      </c>
      <c r="J461" s="334" t="n"/>
      <c r="K461" s="332">
        <f>IFERROR(VLOOKUP(TEXT(O461,"0"),CONDUCTORES!$A$3:$G$54,7,0),"")</f>
        <v/>
      </c>
      <c r="L461" s="334" t="n"/>
      <c r="M461" s="334" t="n"/>
      <c r="N461" s="333">
        <f>IFERROR(IF(L461*M461=0,"",L461*M461),"")</f>
        <v/>
      </c>
      <c r="O461" s="334" t="n"/>
      <c r="P461" s="332">
        <f>IFERROR(VLOOKUP(TEXT(O461,"0"),CONDUCTORES!$A$3:$G$54,2,0),"")</f>
        <v/>
      </c>
      <c r="Q461" s="332">
        <f>IFERROR(VLOOKUP(TEXT(O461,"0"),CONDUCTORES!$A$3:$H$54,6,0),"")</f>
        <v/>
      </c>
      <c r="R461" s="334" t="n"/>
      <c r="S461" s="334" t="n"/>
      <c r="T461" s="334" t="n"/>
      <c r="U461" s="334" t="n"/>
      <c r="V461" s="334" t="n"/>
      <c r="W461" s="334" t="n"/>
      <c r="X461" s="334" t="n"/>
      <c r="Y461" s="334" t="n"/>
    </row>
    <row r="462" ht="15" customHeight="1" s="195">
      <c r="A462" s="280" t="n"/>
      <c r="B462" s="280" t="n"/>
      <c r="C462" s="280" t="n"/>
      <c r="D462" s="280" t="n"/>
      <c r="E462" s="280" t="n"/>
      <c r="F462" s="280" t="n"/>
      <c r="G462" s="280" t="n"/>
      <c r="H462" s="280" t="n"/>
      <c r="I462" s="332">
        <f>IFERROR(VLOOKUP(TEXT(H462,"0"),IPRESS!$A$3:$B$212,2,0),"")</f>
        <v/>
      </c>
      <c r="J462" s="280" t="n"/>
      <c r="K462" s="332">
        <f>IFERROR(VLOOKUP(TEXT(O462,"0"),CONDUCTORES!$A$3:$G$54,7,0),"")</f>
        <v/>
      </c>
      <c r="L462" s="280" t="n"/>
      <c r="M462" s="280" t="n"/>
      <c r="N462" s="333">
        <f>IFERROR(IF(L462*M462=0,"",L462*M462),"")</f>
        <v/>
      </c>
      <c r="O462" s="280" t="n"/>
      <c r="P462" s="332">
        <f>IFERROR(VLOOKUP(TEXT(O462,"0"),CONDUCTORES!$A$3:$G$54,2,0),"")</f>
        <v/>
      </c>
      <c r="Q462" s="332">
        <f>IFERROR(VLOOKUP(TEXT(O462,"0"),CONDUCTORES!$A$3:$H$54,6,0),"")</f>
        <v/>
      </c>
      <c r="R462" s="280" t="n"/>
      <c r="S462" s="280" t="n"/>
      <c r="T462" s="280" t="n"/>
      <c r="U462" s="280" t="n"/>
      <c r="V462" s="280" t="n"/>
      <c r="W462" s="280" t="n"/>
      <c r="X462" s="280" t="n"/>
      <c r="Y462" s="280" t="n"/>
    </row>
    <row r="463" ht="15" customHeight="1" s="195">
      <c r="A463" s="334" t="n"/>
      <c r="B463" s="334" t="n"/>
      <c r="C463" s="334" t="n"/>
      <c r="D463" s="334" t="n"/>
      <c r="E463" s="334" t="n"/>
      <c r="F463" s="334" t="n"/>
      <c r="G463" s="334" t="n"/>
      <c r="H463" s="334" t="n"/>
      <c r="I463" s="332">
        <f>IFERROR(VLOOKUP(TEXT(H463,"0"),IPRESS!$A$3:$B$212,2,0),"")</f>
        <v/>
      </c>
      <c r="J463" s="334" t="n"/>
      <c r="K463" s="332">
        <f>IFERROR(VLOOKUP(TEXT(O463,"0"),CONDUCTORES!$A$3:$G$54,7,0),"")</f>
        <v/>
      </c>
      <c r="L463" s="334" t="n"/>
      <c r="M463" s="334" t="n"/>
      <c r="N463" s="333">
        <f>IFERROR(IF(L463*M463=0,"",L463*M463),"")</f>
        <v/>
      </c>
      <c r="O463" s="334" t="n"/>
      <c r="P463" s="332">
        <f>IFERROR(VLOOKUP(TEXT(O463,"0"),CONDUCTORES!$A$3:$G$54,2,0),"")</f>
        <v/>
      </c>
      <c r="Q463" s="332">
        <f>IFERROR(VLOOKUP(TEXT(O463,"0"),CONDUCTORES!$A$3:$H$54,6,0),"")</f>
        <v/>
      </c>
      <c r="R463" s="334" t="n"/>
      <c r="S463" s="334" t="n"/>
      <c r="T463" s="334" t="n"/>
      <c r="U463" s="334" t="n"/>
      <c r="V463" s="334" t="n"/>
      <c r="W463" s="334" t="n"/>
      <c r="X463" s="334" t="n"/>
      <c r="Y463" s="334" t="n"/>
    </row>
    <row r="464" ht="15" customHeight="1" s="195">
      <c r="A464" s="280" t="n"/>
      <c r="B464" s="280" t="n"/>
      <c r="C464" s="280" t="n"/>
      <c r="D464" s="280" t="n"/>
      <c r="E464" s="280" t="n"/>
      <c r="F464" s="280" t="n"/>
      <c r="G464" s="280" t="n"/>
      <c r="H464" s="280" t="n"/>
      <c r="I464" s="332">
        <f>IFERROR(VLOOKUP(TEXT(H464,"0"),IPRESS!$A$3:$B$212,2,0),"")</f>
        <v/>
      </c>
      <c r="J464" s="280" t="n"/>
      <c r="K464" s="332">
        <f>IFERROR(VLOOKUP(TEXT(O464,"0"),CONDUCTORES!$A$3:$G$54,7,0),"")</f>
        <v/>
      </c>
      <c r="L464" s="280" t="n"/>
      <c r="M464" s="280" t="n"/>
      <c r="N464" s="333">
        <f>IFERROR(IF(L464*M464=0,"",L464*M464),"")</f>
        <v/>
      </c>
      <c r="O464" s="280" t="n"/>
      <c r="P464" s="332">
        <f>IFERROR(VLOOKUP(TEXT(O464,"0"),CONDUCTORES!$A$3:$G$54,2,0),"")</f>
        <v/>
      </c>
      <c r="Q464" s="332">
        <f>IFERROR(VLOOKUP(TEXT(O464,"0"),CONDUCTORES!$A$3:$H$54,6,0),"")</f>
        <v/>
      </c>
      <c r="R464" s="280" t="n"/>
      <c r="S464" s="280" t="n"/>
      <c r="T464" s="280" t="n"/>
      <c r="U464" s="280" t="n"/>
      <c r="V464" s="280" t="n"/>
      <c r="W464" s="280" t="n"/>
      <c r="X464" s="280" t="n"/>
      <c r="Y464" s="280" t="n"/>
    </row>
    <row r="465" ht="15" customHeight="1" s="195">
      <c r="A465" s="334" t="n"/>
      <c r="B465" s="334" t="n"/>
      <c r="C465" s="334" t="n"/>
      <c r="D465" s="334" t="n"/>
      <c r="E465" s="334" t="n"/>
      <c r="F465" s="334" t="n"/>
      <c r="G465" s="334" t="n"/>
      <c r="H465" s="334" t="n"/>
      <c r="I465" s="332">
        <f>IFERROR(VLOOKUP(TEXT(H465,"0"),IPRESS!$A$3:$B$212,2,0),"")</f>
        <v/>
      </c>
      <c r="J465" s="334" t="n"/>
      <c r="K465" s="332">
        <f>IFERROR(VLOOKUP(TEXT(O465,"0"),CONDUCTORES!$A$3:$G$54,7,0),"")</f>
        <v/>
      </c>
      <c r="L465" s="334" t="n"/>
      <c r="M465" s="334" t="n"/>
      <c r="N465" s="333">
        <f>IFERROR(IF(L465*M465=0,"",L465*M465),"")</f>
        <v/>
      </c>
      <c r="O465" s="334" t="n"/>
      <c r="P465" s="332">
        <f>IFERROR(VLOOKUP(TEXT(O465,"0"),CONDUCTORES!$A$3:$G$54,2,0),"")</f>
        <v/>
      </c>
      <c r="Q465" s="332">
        <f>IFERROR(VLOOKUP(TEXT(O465,"0"),CONDUCTORES!$A$3:$H$54,6,0),"")</f>
        <v/>
      </c>
      <c r="R465" s="334" t="n"/>
      <c r="S465" s="334" t="n"/>
      <c r="T465" s="334" t="n"/>
      <c r="U465" s="334" t="n"/>
      <c r="V465" s="334" t="n"/>
      <c r="W465" s="334" t="n"/>
      <c r="X465" s="334" t="n"/>
      <c r="Y465" s="334" t="n"/>
    </row>
    <row r="466" ht="15" customHeight="1" s="195">
      <c r="A466" s="280" t="n"/>
      <c r="B466" s="280" t="n"/>
      <c r="C466" s="280" t="n"/>
      <c r="D466" s="280" t="n"/>
      <c r="E466" s="280" t="n"/>
      <c r="F466" s="280" t="n"/>
      <c r="G466" s="280" t="n"/>
      <c r="H466" s="280" t="n"/>
      <c r="I466" s="332">
        <f>IFERROR(VLOOKUP(TEXT(H466,"0"),IPRESS!$A$3:$B$212,2,0),"")</f>
        <v/>
      </c>
      <c r="J466" s="280" t="n"/>
      <c r="K466" s="332">
        <f>IFERROR(VLOOKUP(TEXT(O466,"0"),CONDUCTORES!$A$3:$G$54,7,0),"")</f>
        <v/>
      </c>
      <c r="L466" s="280" t="n"/>
      <c r="M466" s="280" t="n"/>
      <c r="N466" s="333">
        <f>IFERROR(IF(L466*M466=0,"",L466*M466),"")</f>
        <v/>
      </c>
      <c r="O466" s="280" t="n"/>
      <c r="P466" s="332">
        <f>IFERROR(VLOOKUP(TEXT(O466,"0"),CONDUCTORES!$A$3:$G$54,2,0),"")</f>
        <v/>
      </c>
      <c r="Q466" s="332">
        <f>IFERROR(VLOOKUP(TEXT(O466,"0"),CONDUCTORES!$A$3:$H$54,6,0),"")</f>
        <v/>
      </c>
      <c r="R466" s="280" t="n"/>
      <c r="S466" s="280" t="n"/>
      <c r="T466" s="280" t="n"/>
      <c r="U466" s="280" t="n"/>
      <c r="V466" s="280" t="n"/>
      <c r="W466" s="280" t="n"/>
      <c r="X466" s="280" t="n"/>
      <c r="Y466" s="280" t="n"/>
    </row>
    <row r="467" ht="15" customHeight="1" s="195">
      <c r="A467" s="334" t="n"/>
      <c r="B467" s="334" t="n"/>
      <c r="C467" s="334" t="n"/>
      <c r="D467" s="334" t="n"/>
      <c r="E467" s="334" t="n"/>
      <c r="F467" s="334" t="n"/>
      <c r="G467" s="334" t="n"/>
      <c r="H467" s="334" t="n"/>
      <c r="I467" s="332">
        <f>IFERROR(VLOOKUP(TEXT(H467,"0"),IPRESS!$A$3:$B$212,2,0),"")</f>
        <v/>
      </c>
      <c r="J467" s="334" t="n"/>
      <c r="K467" s="332">
        <f>IFERROR(VLOOKUP(TEXT(O467,"0"),CONDUCTORES!$A$3:$G$54,7,0),"")</f>
        <v/>
      </c>
      <c r="L467" s="334" t="n"/>
      <c r="M467" s="334" t="n"/>
      <c r="N467" s="333">
        <f>IFERROR(IF(L467*M467=0,"",L467*M467),"")</f>
        <v/>
      </c>
      <c r="O467" s="334" t="n"/>
      <c r="P467" s="332">
        <f>IFERROR(VLOOKUP(TEXT(O467,"0"),CONDUCTORES!$A$3:$G$54,2,0),"")</f>
        <v/>
      </c>
      <c r="Q467" s="332">
        <f>IFERROR(VLOOKUP(TEXT(O467,"0"),CONDUCTORES!$A$3:$H$54,6,0),"")</f>
        <v/>
      </c>
      <c r="R467" s="334" t="n"/>
      <c r="S467" s="334" t="n"/>
      <c r="T467" s="334" t="n"/>
      <c r="U467" s="334" t="n"/>
      <c r="V467" s="334" t="n"/>
      <c r="W467" s="334" t="n"/>
      <c r="X467" s="334" t="n"/>
      <c r="Y467" s="334" t="n"/>
    </row>
    <row r="468" ht="15" customHeight="1" s="195">
      <c r="A468" s="280" t="n"/>
      <c r="B468" s="280" t="n"/>
      <c r="C468" s="280" t="n"/>
      <c r="D468" s="280" t="n"/>
      <c r="E468" s="280" t="n"/>
      <c r="F468" s="280" t="n"/>
      <c r="G468" s="280" t="n"/>
      <c r="H468" s="280" t="n"/>
      <c r="I468" s="332">
        <f>IFERROR(VLOOKUP(TEXT(H468,"0"),IPRESS!$A$3:$B$212,2,0),"")</f>
        <v/>
      </c>
      <c r="J468" s="280" t="n"/>
      <c r="K468" s="332">
        <f>IFERROR(VLOOKUP(TEXT(O468,"0"),CONDUCTORES!$A$3:$G$54,7,0),"")</f>
        <v/>
      </c>
      <c r="L468" s="280" t="n"/>
      <c r="M468" s="280" t="n"/>
      <c r="N468" s="333">
        <f>IFERROR(IF(L468*M468=0,"",L468*M468),"")</f>
        <v/>
      </c>
      <c r="O468" s="280" t="n"/>
      <c r="P468" s="332">
        <f>IFERROR(VLOOKUP(TEXT(O468,"0"),CONDUCTORES!$A$3:$G$54,2,0),"")</f>
        <v/>
      </c>
      <c r="Q468" s="332">
        <f>IFERROR(VLOOKUP(TEXT(O468,"0"),CONDUCTORES!$A$3:$H$54,6,0),"")</f>
        <v/>
      </c>
      <c r="R468" s="280" t="n"/>
      <c r="S468" s="280" t="n"/>
      <c r="T468" s="280" t="n"/>
      <c r="U468" s="280" t="n"/>
      <c r="V468" s="280" t="n"/>
      <c r="W468" s="280" t="n"/>
      <c r="X468" s="280" t="n"/>
      <c r="Y468" s="280" t="n"/>
    </row>
    <row r="469" ht="15" customHeight="1" s="195">
      <c r="A469" s="334" t="n"/>
      <c r="B469" s="334" t="n"/>
      <c r="C469" s="334" t="n"/>
      <c r="D469" s="334" t="n"/>
      <c r="E469" s="334" t="n"/>
      <c r="F469" s="334" t="n"/>
      <c r="G469" s="334" t="n"/>
      <c r="H469" s="334" t="n"/>
      <c r="I469" s="332">
        <f>IFERROR(VLOOKUP(TEXT(H469,"0"),IPRESS!$A$3:$B$212,2,0),"")</f>
        <v/>
      </c>
      <c r="J469" s="334" t="n"/>
      <c r="K469" s="332">
        <f>IFERROR(VLOOKUP(TEXT(O469,"0"),CONDUCTORES!$A$3:$G$54,7,0),"")</f>
        <v/>
      </c>
      <c r="L469" s="334" t="n"/>
      <c r="M469" s="334" t="n"/>
      <c r="N469" s="333">
        <f>IFERROR(IF(L469*M469=0,"",L469*M469),"")</f>
        <v/>
      </c>
      <c r="O469" s="334" t="n"/>
      <c r="P469" s="332">
        <f>IFERROR(VLOOKUP(TEXT(O469,"0"),CONDUCTORES!$A$3:$G$54,2,0),"")</f>
        <v/>
      </c>
      <c r="Q469" s="332">
        <f>IFERROR(VLOOKUP(TEXT(O469,"0"),CONDUCTORES!$A$3:$H$54,6,0),"")</f>
        <v/>
      </c>
      <c r="R469" s="334" t="n"/>
      <c r="S469" s="334" t="n"/>
      <c r="T469" s="334" t="n"/>
      <c r="U469" s="334" t="n"/>
      <c r="V469" s="334" t="n"/>
      <c r="W469" s="334" t="n"/>
      <c r="X469" s="334" t="n"/>
      <c r="Y469" s="334" t="n"/>
    </row>
    <row r="470" ht="15" customHeight="1" s="195">
      <c r="A470" s="280" t="n"/>
      <c r="B470" s="280" t="n"/>
      <c r="C470" s="280" t="n"/>
      <c r="D470" s="280" t="n"/>
      <c r="E470" s="280" t="n"/>
      <c r="F470" s="280" t="n"/>
      <c r="G470" s="280" t="n"/>
      <c r="H470" s="280" t="n"/>
      <c r="I470" s="332">
        <f>IFERROR(VLOOKUP(TEXT(H470,"0"),IPRESS!$A$3:$B$212,2,0),"")</f>
        <v/>
      </c>
      <c r="J470" s="280" t="n"/>
      <c r="K470" s="332">
        <f>IFERROR(VLOOKUP(TEXT(O470,"0"),CONDUCTORES!$A$3:$G$54,7,0),"")</f>
        <v/>
      </c>
      <c r="L470" s="280" t="n"/>
      <c r="M470" s="280" t="n"/>
      <c r="N470" s="333">
        <f>IFERROR(IF(L470*M470=0,"",L470*M470),"")</f>
        <v/>
      </c>
      <c r="O470" s="280" t="n"/>
      <c r="P470" s="332">
        <f>IFERROR(VLOOKUP(TEXT(O470,"0"),CONDUCTORES!$A$3:$G$54,2,0),"")</f>
        <v/>
      </c>
      <c r="Q470" s="332">
        <f>IFERROR(VLOOKUP(TEXT(O470,"0"),CONDUCTORES!$A$3:$H$54,6,0),"")</f>
        <v/>
      </c>
      <c r="R470" s="280" t="n"/>
      <c r="S470" s="280" t="n"/>
      <c r="T470" s="280" t="n"/>
      <c r="U470" s="280" t="n"/>
      <c r="V470" s="280" t="n"/>
      <c r="W470" s="280" t="n"/>
      <c r="X470" s="280" t="n"/>
      <c r="Y470" s="280" t="n"/>
    </row>
    <row r="471" ht="15" customHeight="1" s="195">
      <c r="A471" s="334" t="n"/>
      <c r="B471" s="334" t="n"/>
      <c r="C471" s="334" t="n"/>
      <c r="D471" s="334" t="n"/>
      <c r="E471" s="334" t="n"/>
      <c r="F471" s="334" t="n"/>
      <c r="G471" s="334" t="n"/>
      <c r="H471" s="334" t="n"/>
      <c r="I471" s="332">
        <f>IFERROR(VLOOKUP(TEXT(H471,"0"),IPRESS!$A$3:$B$212,2,0),"")</f>
        <v/>
      </c>
      <c r="J471" s="334" t="n"/>
      <c r="K471" s="332">
        <f>IFERROR(VLOOKUP(TEXT(O471,"0"),CONDUCTORES!$A$3:$G$54,7,0),"")</f>
        <v/>
      </c>
      <c r="L471" s="334" t="n"/>
      <c r="M471" s="334" t="n"/>
      <c r="N471" s="333">
        <f>IFERROR(IF(L471*M471=0,"",L471*M471),"")</f>
        <v/>
      </c>
      <c r="O471" s="334" t="n"/>
      <c r="P471" s="332">
        <f>IFERROR(VLOOKUP(TEXT(O471,"0"),CONDUCTORES!$A$3:$G$54,2,0),"")</f>
        <v/>
      </c>
      <c r="Q471" s="332">
        <f>IFERROR(VLOOKUP(TEXT(O471,"0"),CONDUCTORES!$A$3:$H$54,6,0),"")</f>
        <v/>
      </c>
      <c r="R471" s="334" t="n"/>
      <c r="S471" s="334" t="n"/>
      <c r="T471" s="334" t="n"/>
      <c r="U471" s="334" t="n"/>
      <c r="V471" s="334" t="n"/>
      <c r="W471" s="334" t="n"/>
      <c r="X471" s="334" t="n"/>
      <c r="Y471" s="334" t="n"/>
    </row>
    <row r="472" ht="15" customHeight="1" s="195">
      <c r="A472" s="280" t="n"/>
      <c r="B472" s="280" t="n"/>
      <c r="C472" s="280" t="n"/>
      <c r="D472" s="280" t="n"/>
      <c r="E472" s="280" t="n"/>
      <c r="F472" s="280" t="n"/>
      <c r="G472" s="280" t="n"/>
      <c r="H472" s="280" t="n"/>
      <c r="I472" s="332">
        <f>IFERROR(VLOOKUP(TEXT(H472,"0"),IPRESS!$A$3:$B$212,2,0),"")</f>
        <v/>
      </c>
      <c r="J472" s="280" t="n"/>
      <c r="K472" s="332">
        <f>IFERROR(VLOOKUP(TEXT(O472,"0"),CONDUCTORES!$A$3:$G$54,7,0),"")</f>
        <v/>
      </c>
      <c r="L472" s="280" t="n"/>
      <c r="M472" s="280" t="n"/>
      <c r="N472" s="333">
        <f>IFERROR(IF(L472*M472=0,"",L472*M472),"")</f>
        <v/>
      </c>
      <c r="O472" s="280" t="n"/>
      <c r="P472" s="332">
        <f>IFERROR(VLOOKUP(TEXT(O472,"0"),CONDUCTORES!$A$3:$G$54,2,0),"")</f>
        <v/>
      </c>
      <c r="Q472" s="332">
        <f>IFERROR(VLOOKUP(TEXT(O472,"0"),CONDUCTORES!$A$3:$H$54,6,0),"")</f>
        <v/>
      </c>
      <c r="R472" s="280" t="n"/>
      <c r="S472" s="280" t="n"/>
      <c r="T472" s="280" t="n"/>
      <c r="U472" s="280" t="n"/>
      <c r="V472" s="280" t="n"/>
      <c r="W472" s="280" t="n"/>
      <c r="X472" s="280" t="n"/>
      <c r="Y472" s="280" t="n"/>
    </row>
    <row r="473" ht="15" customHeight="1" s="195">
      <c r="A473" s="334" t="n"/>
      <c r="B473" s="334" t="n"/>
      <c r="C473" s="334" t="n"/>
      <c r="D473" s="334" t="n"/>
      <c r="E473" s="334" t="n"/>
      <c r="F473" s="334" t="n"/>
      <c r="G473" s="334" t="n"/>
      <c r="H473" s="334" t="n"/>
      <c r="I473" s="332">
        <f>IFERROR(VLOOKUP(TEXT(H473,"0"),IPRESS!$A$3:$B$212,2,0),"")</f>
        <v/>
      </c>
      <c r="J473" s="334" t="n"/>
      <c r="K473" s="332">
        <f>IFERROR(VLOOKUP(TEXT(O473,"0"),CONDUCTORES!$A$3:$G$54,7,0),"")</f>
        <v/>
      </c>
      <c r="L473" s="334" t="n"/>
      <c r="M473" s="334" t="n"/>
      <c r="N473" s="333">
        <f>IFERROR(IF(L473*M473=0,"",L473*M473),"")</f>
        <v/>
      </c>
      <c r="O473" s="334" t="n"/>
      <c r="P473" s="332">
        <f>IFERROR(VLOOKUP(TEXT(O473,"0"),CONDUCTORES!$A$3:$G$54,2,0),"")</f>
        <v/>
      </c>
      <c r="Q473" s="332">
        <f>IFERROR(VLOOKUP(TEXT(O473,"0"),CONDUCTORES!$A$3:$H$54,6,0),"")</f>
        <v/>
      </c>
      <c r="R473" s="334" t="n"/>
      <c r="S473" s="334" t="n"/>
      <c r="T473" s="334" t="n"/>
      <c r="U473" s="334" t="n"/>
      <c r="V473" s="334" t="n"/>
      <c r="W473" s="334" t="n"/>
      <c r="X473" s="334" t="n"/>
      <c r="Y473" s="334" t="n"/>
    </row>
    <row r="474" ht="15" customHeight="1" s="195">
      <c r="A474" s="280" t="n"/>
      <c r="B474" s="280" t="n"/>
      <c r="C474" s="280" t="n"/>
      <c r="D474" s="280" t="n"/>
      <c r="E474" s="280" t="n"/>
      <c r="F474" s="280" t="n"/>
      <c r="G474" s="280" t="n"/>
      <c r="H474" s="280" t="n"/>
      <c r="I474" s="332">
        <f>IFERROR(VLOOKUP(TEXT(H474,"0"),IPRESS!$A$3:$B$212,2,0),"")</f>
        <v/>
      </c>
      <c r="J474" s="280" t="n"/>
      <c r="K474" s="332">
        <f>IFERROR(VLOOKUP(TEXT(O474,"0"),CONDUCTORES!$A$3:$G$54,7,0),"")</f>
        <v/>
      </c>
      <c r="L474" s="280" t="n"/>
      <c r="M474" s="280" t="n"/>
      <c r="N474" s="333">
        <f>IFERROR(IF(L474*M474=0,"",L474*M474),"")</f>
        <v/>
      </c>
      <c r="O474" s="280" t="n"/>
      <c r="P474" s="332">
        <f>IFERROR(VLOOKUP(TEXT(O474,"0"),CONDUCTORES!$A$3:$G$54,2,0),"")</f>
        <v/>
      </c>
      <c r="Q474" s="332">
        <f>IFERROR(VLOOKUP(TEXT(O474,"0"),CONDUCTORES!$A$3:$H$54,6,0),"")</f>
        <v/>
      </c>
      <c r="R474" s="280" t="n"/>
      <c r="S474" s="280" t="n"/>
      <c r="T474" s="280" t="n"/>
      <c r="U474" s="280" t="n"/>
      <c r="V474" s="280" t="n"/>
      <c r="W474" s="280" t="n"/>
      <c r="X474" s="280" t="n"/>
      <c r="Y474" s="280" t="n"/>
    </row>
    <row r="475" ht="15" customHeight="1" s="195">
      <c r="A475" s="334" t="n"/>
      <c r="B475" s="334" t="n"/>
      <c r="C475" s="334" t="n"/>
      <c r="D475" s="334" t="n"/>
      <c r="E475" s="334" t="n"/>
      <c r="F475" s="334" t="n"/>
      <c r="G475" s="334" t="n"/>
      <c r="H475" s="334" t="n"/>
      <c r="I475" s="332">
        <f>IFERROR(VLOOKUP(TEXT(H475,"0"),IPRESS!$A$3:$B$212,2,0),"")</f>
        <v/>
      </c>
      <c r="J475" s="334" t="n"/>
      <c r="K475" s="332">
        <f>IFERROR(VLOOKUP(TEXT(O475,"0"),CONDUCTORES!$A$3:$G$54,7,0),"")</f>
        <v/>
      </c>
      <c r="L475" s="334" t="n"/>
      <c r="M475" s="334" t="n"/>
      <c r="N475" s="333">
        <f>IFERROR(IF(L475*M475=0,"",L475*M475),"")</f>
        <v/>
      </c>
      <c r="O475" s="334" t="n"/>
      <c r="P475" s="332">
        <f>IFERROR(VLOOKUP(TEXT(O475,"0"),CONDUCTORES!$A$3:$G$54,2,0),"")</f>
        <v/>
      </c>
      <c r="Q475" s="332">
        <f>IFERROR(VLOOKUP(TEXT(O475,"0"),CONDUCTORES!$A$3:$H$54,6,0),"")</f>
        <v/>
      </c>
      <c r="R475" s="334" t="n"/>
      <c r="S475" s="334" t="n"/>
      <c r="T475" s="334" t="n"/>
      <c r="U475" s="334" t="n"/>
      <c r="V475" s="334" t="n"/>
      <c r="W475" s="334" t="n"/>
      <c r="X475" s="334" t="n"/>
      <c r="Y475" s="334" t="n"/>
    </row>
    <row r="476" ht="15" customHeight="1" s="195">
      <c r="A476" s="280" t="n"/>
      <c r="B476" s="280" t="n"/>
      <c r="C476" s="280" t="n"/>
      <c r="D476" s="280" t="n"/>
      <c r="E476" s="280" t="n"/>
      <c r="F476" s="280" t="n"/>
      <c r="G476" s="280" t="n"/>
      <c r="H476" s="280" t="n"/>
      <c r="I476" s="332">
        <f>IFERROR(VLOOKUP(TEXT(H476,"0"),IPRESS!$A$3:$B$212,2,0),"")</f>
        <v/>
      </c>
      <c r="J476" s="280" t="n"/>
      <c r="K476" s="332">
        <f>IFERROR(VLOOKUP(TEXT(O476,"0"),CONDUCTORES!$A$3:$G$54,7,0),"")</f>
        <v/>
      </c>
      <c r="L476" s="280" t="n"/>
      <c r="M476" s="280" t="n"/>
      <c r="N476" s="333">
        <f>IFERROR(IF(L476*M476=0,"",L476*M476),"")</f>
        <v/>
      </c>
      <c r="O476" s="280" t="n"/>
      <c r="P476" s="332">
        <f>IFERROR(VLOOKUP(TEXT(O476,"0"),CONDUCTORES!$A$3:$G$54,2,0),"")</f>
        <v/>
      </c>
      <c r="Q476" s="332">
        <f>IFERROR(VLOOKUP(TEXT(O476,"0"),CONDUCTORES!$A$3:$H$54,6,0),"")</f>
        <v/>
      </c>
      <c r="R476" s="280" t="n"/>
      <c r="S476" s="280" t="n"/>
      <c r="T476" s="280" t="n"/>
      <c r="U476" s="280" t="n"/>
      <c r="V476" s="280" t="n"/>
      <c r="W476" s="280" t="n"/>
      <c r="X476" s="280" t="n"/>
      <c r="Y476" s="280" t="n"/>
    </row>
    <row r="477" ht="15" customHeight="1" s="195">
      <c r="A477" s="334" t="n"/>
      <c r="B477" s="334" t="n"/>
      <c r="C477" s="334" t="n"/>
      <c r="D477" s="334" t="n"/>
      <c r="E477" s="334" t="n"/>
      <c r="F477" s="334" t="n"/>
      <c r="G477" s="334" t="n"/>
      <c r="H477" s="334" t="n"/>
      <c r="I477" s="332">
        <f>IFERROR(VLOOKUP(TEXT(H477,"0"),IPRESS!$A$3:$B$212,2,0),"")</f>
        <v/>
      </c>
      <c r="J477" s="334" t="n"/>
      <c r="K477" s="332">
        <f>IFERROR(VLOOKUP(TEXT(O477,"0"),CONDUCTORES!$A$3:$G$54,7,0),"")</f>
        <v/>
      </c>
      <c r="L477" s="334" t="n"/>
      <c r="M477" s="334" t="n"/>
      <c r="N477" s="333">
        <f>IFERROR(IF(L477*M477=0,"",L477*M477),"")</f>
        <v/>
      </c>
      <c r="O477" s="334" t="n"/>
      <c r="P477" s="332">
        <f>IFERROR(VLOOKUP(TEXT(O477,"0"),CONDUCTORES!$A$3:$G$54,2,0),"")</f>
        <v/>
      </c>
      <c r="Q477" s="332">
        <f>IFERROR(VLOOKUP(TEXT(O477,"0"),CONDUCTORES!$A$3:$H$54,6,0),"")</f>
        <v/>
      </c>
      <c r="R477" s="334" t="n"/>
      <c r="S477" s="334" t="n"/>
      <c r="T477" s="334" t="n"/>
      <c r="U477" s="334" t="n"/>
      <c r="V477" s="334" t="n"/>
      <c r="W477" s="334" t="n"/>
      <c r="X477" s="334" t="n"/>
      <c r="Y477" s="334" t="n"/>
    </row>
    <row r="478" ht="15" customHeight="1" s="195">
      <c r="A478" s="280" t="n"/>
      <c r="B478" s="280" t="n"/>
      <c r="C478" s="280" t="n"/>
      <c r="D478" s="280" t="n"/>
      <c r="E478" s="280" t="n"/>
      <c r="F478" s="280" t="n"/>
      <c r="G478" s="280" t="n"/>
      <c r="H478" s="280" t="n"/>
      <c r="I478" s="332">
        <f>IFERROR(VLOOKUP(TEXT(H478,"0"),IPRESS!$A$3:$B$212,2,0),"")</f>
        <v/>
      </c>
      <c r="J478" s="280" t="n"/>
      <c r="K478" s="332">
        <f>IFERROR(VLOOKUP(TEXT(O478,"0"),CONDUCTORES!$A$3:$G$54,7,0),"")</f>
        <v/>
      </c>
      <c r="L478" s="280" t="n"/>
      <c r="M478" s="280" t="n"/>
      <c r="N478" s="333">
        <f>IFERROR(IF(L478*M478=0,"",L478*M478),"")</f>
        <v/>
      </c>
      <c r="O478" s="280" t="n"/>
      <c r="P478" s="332">
        <f>IFERROR(VLOOKUP(TEXT(O478,"0"),CONDUCTORES!$A$3:$G$54,2,0),"")</f>
        <v/>
      </c>
      <c r="Q478" s="332">
        <f>IFERROR(VLOOKUP(TEXT(O478,"0"),CONDUCTORES!$A$3:$H$54,6,0),"")</f>
        <v/>
      </c>
      <c r="R478" s="280" t="n"/>
      <c r="S478" s="280" t="n"/>
      <c r="T478" s="280" t="n"/>
      <c r="U478" s="280" t="n"/>
      <c r="V478" s="280" t="n"/>
      <c r="W478" s="280" t="n"/>
      <c r="X478" s="280" t="n"/>
      <c r="Y478" s="280" t="n"/>
    </row>
    <row r="479" ht="15" customHeight="1" s="195">
      <c r="A479" s="334" t="n"/>
      <c r="B479" s="334" t="n"/>
      <c r="C479" s="334" t="n"/>
      <c r="D479" s="334" t="n"/>
      <c r="E479" s="334" t="n"/>
      <c r="F479" s="334" t="n"/>
      <c r="G479" s="334" t="n"/>
      <c r="H479" s="334" t="n"/>
      <c r="I479" s="332">
        <f>IFERROR(VLOOKUP(TEXT(H479,"0"),IPRESS!$A$3:$B$212,2,0),"")</f>
        <v/>
      </c>
      <c r="J479" s="334" t="n"/>
      <c r="K479" s="332">
        <f>IFERROR(VLOOKUP(TEXT(O479,"0"),CONDUCTORES!$A$3:$G$54,7,0),"")</f>
        <v/>
      </c>
      <c r="L479" s="334" t="n"/>
      <c r="M479" s="334" t="n"/>
      <c r="N479" s="333">
        <f>IFERROR(IF(L479*M479=0,"",L479*M479),"")</f>
        <v/>
      </c>
      <c r="O479" s="334" t="n"/>
      <c r="P479" s="332">
        <f>IFERROR(VLOOKUP(TEXT(O479,"0"),CONDUCTORES!$A$3:$G$54,2,0),"")</f>
        <v/>
      </c>
      <c r="Q479" s="332">
        <f>IFERROR(VLOOKUP(TEXT(O479,"0"),CONDUCTORES!$A$3:$H$54,6,0),"")</f>
        <v/>
      </c>
      <c r="R479" s="334" t="n"/>
      <c r="S479" s="334" t="n"/>
      <c r="T479" s="334" t="n"/>
      <c r="U479" s="334" t="n"/>
      <c r="V479" s="334" t="n"/>
      <c r="W479" s="334" t="n"/>
      <c r="X479" s="334" t="n"/>
      <c r="Y479" s="334" t="n"/>
    </row>
    <row r="480" ht="15" customHeight="1" s="195">
      <c r="A480" s="280" t="n"/>
      <c r="B480" s="280" t="n"/>
      <c r="C480" s="280" t="n"/>
      <c r="D480" s="280" t="n"/>
      <c r="E480" s="280" t="n"/>
      <c r="F480" s="280" t="n"/>
      <c r="G480" s="280" t="n"/>
      <c r="H480" s="280" t="n"/>
      <c r="I480" s="332">
        <f>IFERROR(VLOOKUP(TEXT(H480,"0"),IPRESS!$A$3:$B$212,2,0),"")</f>
        <v/>
      </c>
      <c r="J480" s="280" t="n"/>
      <c r="K480" s="332">
        <f>IFERROR(VLOOKUP(TEXT(O480,"0"),CONDUCTORES!$A$3:$G$54,7,0),"")</f>
        <v/>
      </c>
      <c r="L480" s="280" t="n"/>
      <c r="M480" s="280" t="n"/>
      <c r="N480" s="333">
        <f>IFERROR(IF(L480*M480=0,"",L480*M480),"")</f>
        <v/>
      </c>
      <c r="O480" s="280" t="n"/>
      <c r="P480" s="332">
        <f>IFERROR(VLOOKUP(TEXT(O480,"0"),CONDUCTORES!$A$3:$G$54,2,0),"")</f>
        <v/>
      </c>
      <c r="Q480" s="332">
        <f>IFERROR(VLOOKUP(TEXT(O480,"0"),CONDUCTORES!$A$3:$H$54,6,0),"")</f>
        <v/>
      </c>
      <c r="R480" s="280" t="n"/>
      <c r="S480" s="280" t="n"/>
      <c r="T480" s="280" t="n"/>
      <c r="U480" s="280" t="n"/>
      <c r="V480" s="280" t="n"/>
      <c r="W480" s="280" t="n"/>
      <c r="X480" s="280" t="n"/>
      <c r="Y480" s="280" t="n"/>
    </row>
    <row r="481" ht="15" customHeight="1" s="195">
      <c r="A481" s="334" t="n"/>
      <c r="B481" s="334" t="n"/>
      <c r="C481" s="334" t="n"/>
      <c r="D481" s="334" t="n"/>
      <c r="E481" s="334" t="n"/>
      <c r="F481" s="334" t="n"/>
      <c r="G481" s="334" t="n"/>
      <c r="H481" s="334" t="n"/>
      <c r="I481" s="332">
        <f>IFERROR(VLOOKUP(TEXT(H481,"0"),IPRESS!$A$3:$B$212,2,0),"")</f>
        <v/>
      </c>
      <c r="J481" s="334" t="n"/>
      <c r="K481" s="332">
        <f>IFERROR(VLOOKUP(TEXT(O481,"0"),CONDUCTORES!$A$3:$G$54,7,0),"")</f>
        <v/>
      </c>
      <c r="L481" s="334" t="n"/>
      <c r="M481" s="334" t="n"/>
      <c r="N481" s="333">
        <f>IFERROR(IF(L481*M481=0,"",L481*M481),"")</f>
        <v/>
      </c>
      <c r="O481" s="334" t="n"/>
      <c r="P481" s="332">
        <f>IFERROR(VLOOKUP(TEXT(O481,"0"),CONDUCTORES!$A$3:$G$54,2,0),"")</f>
        <v/>
      </c>
      <c r="Q481" s="332">
        <f>IFERROR(VLOOKUP(TEXT(O481,"0"),CONDUCTORES!$A$3:$H$54,6,0),"")</f>
        <v/>
      </c>
      <c r="R481" s="334" t="n"/>
      <c r="S481" s="334" t="n"/>
      <c r="T481" s="334" t="n"/>
      <c r="U481" s="334" t="n"/>
      <c r="V481" s="334" t="n"/>
      <c r="W481" s="334" t="n"/>
      <c r="X481" s="334" t="n"/>
      <c r="Y481" s="334" t="n"/>
    </row>
    <row r="482" ht="15" customHeight="1" s="195">
      <c r="A482" s="280" t="n"/>
      <c r="B482" s="280" t="n"/>
      <c r="C482" s="280" t="n"/>
      <c r="D482" s="280" t="n"/>
      <c r="E482" s="280" t="n"/>
      <c r="F482" s="280" t="n"/>
      <c r="G482" s="280" t="n"/>
      <c r="H482" s="280" t="n"/>
      <c r="I482" s="332">
        <f>IFERROR(VLOOKUP(TEXT(H482,"0"),IPRESS!$A$3:$B$212,2,0),"")</f>
        <v/>
      </c>
      <c r="J482" s="280" t="n"/>
      <c r="K482" s="332">
        <f>IFERROR(VLOOKUP(TEXT(O482,"0"),CONDUCTORES!$A$3:$G$54,7,0),"")</f>
        <v/>
      </c>
      <c r="L482" s="280" t="n"/>
      <c r="M482" s="280" t="n"/>
      <c r="N482" s="333">
        <f>IFERROR(IF(L482*M482=0,"",L482*M482),"")</f>
        <v/>
      </c>
      <c r="O482" s="280" t="n"/>
      <c r="P482" s="332">
        <f>IFERROR(VLOOKUP(TEXT(O482,"0"),CONDUCTORES!$A$3:$G$54,2,0),"")</f>
        <v/>
      </c>
      <c r="Q482" s="332">
        <f>IFERROR(VLOOKUP(TEXT(O482,"0"),CONDUCTORES!$A$3:$H$54,6,0),"")</f>
        <v/>
      </c>
      <c r="R482" s="280" t="n"/>
      <c r="S482" s="280" t="n"/>
      <c r="T482" s="280" t="n"/>
      <c r="U482" s="280" t="n"/>
      <c r="V482" s="280" t="n"/>
      <c r="W482" s="280" t="n"/>
      <c r="X482" s="280" t="n"/>
      <c r="Y482" s="280" t="n"/>
    </row>
    <row r="483" ht="15" customHeight="1" s="195">
      <c r="A483" s="334" t="n"/>
      <c r="B483" s="334" t="n"/>
      <c r="C483" s="334" t="n"/>
      <c r="D483" s="334" t="n"/>
      <c r="E483" s="334" t="n"/>
      <c r="F483" s="334" t="n"/>
      <c r="G483" s="334" t="n"/>
      <c r="H483" s="334" t="n"/>
      <c r="I483" s="332">
        <f>IFERROR(VLOOKUP(TEXT(H483,"0"),IPRESS!$A$3:$B$212,2,0),"")</f>
        <v/>
      </c>
      <c r="J483" s="334" t="n"/>
      <c r="K483" s="332">
        <f>IFERROR(VLOOKUP(TEXT(O483,"0"),CONDUCTORES!$A$3:$G$54,7,0),"")</f>
        <v/>
      </c>
      <c r="L483" s="334" t="n"/>
      <c r="M483" s="334" t="n"/>
      <c r="N483" s="333">
        <f>IFERROR(IF(L483*M483=0,"",L483*M483),"")</f>
        <v/>
      </c>
      <c r="O483" s="334" t="n"/>
      <c r="P483" s="332">
        <f>IFERROR(VLOOKUP(TEXT(O483,"0"),CONDUCTORES!$A$3:$G$54,2,0),"")</f>
        <v/>
      </c>
      <c r="Q483" s="332">
        <f>IFERROR(VLOOKUP(TEXT(O483,"0"),CONDUCTORES!$A$3:$H$54,6,0),"")</f>
        <v/>
      </c>
      <c r="R483" s="334" t="n"/>
      <c r="S483" s="334" t="n"/>
      <c r="T483" s="334" t="n"/>
      <c r="U483" s="334" t="n"/>
      <c r="V483" s="334" t="n"/>
      <c r="W483" s="334" t="n"/>
      <c r="X483" s="334" t="n"/>
      <c r="Y483" s="334" t="n"/>
    </row>
    <row r="484" ht="15" customHeight="1" s="195">
      <c r="A484" s="280" t="n"/>
      <c r="B484" s="280" t="n"/>
      <c r="C484" s="280" t="n"/>
      <c r="D484" s="280" t="n"/>
      <c r="E484" s="280" t="n"/>
      <c r="F484" s="280" t="n"/>
      <c r="G484" s="280" t="n"/>
      <c r="H484" s="280" t="n"/>
      <c r="I484" s="332">
        <f>IFERROR(VLOOKUP(TEXT(H484,"0"),IPRESS!$A$3:$B$212,2,0),"")</f>
        <v/>
      </c>
      <c r="J484" s="280" t="n"/>
      <c r="K484" s="332">
        <f>IFERROR(VLOOKUP(TEXT(O484,"0"),CONDUCTORES!$A$3:$G$54,7,0),"")</f>
        <v/>
      </c>
      <c r="L484" s="280" t="n"/>
      <c r="M484" s="280" t="n"/>
      <c r="N484" s="333">
        <f>IFERROR(IF(L484*M484=0,"",L484*M484),"")</f>
        <v/>
      </c>
      <c r="O484" s="280" t="n"/>
      <c r="P484" s="332">
        <f>IFERROR(VLOOKUP(TEXT(O484,"0"),CONDUCTORES!$A$3:$G$54,2,0),"")</f>
        <v/>
      </c>
      <c r="Q484" s="332">
        <f>IFERROR(VLOOKUP(TEXT(O484,"0"),CONDUCTORES!$A$3:$H$54,6,0),"")</f>
        <v/>
      </c>
      <c r="R484" s="280" t="n"/>
      <c r="S484" s="280" t="n"/>
      <c r="T484" s="280" t="n"/>
      <c r="U484" s="280" t="n"/>
      <c r="V484" s="280" t="n"/>
      <c r="W484" s="280" t="n"/>
      <c r="X484" s="280" t="n"/>
      <c r="Y484" s="280" t="n"/>
    </row>
    <row r="485" ht="15" customHeight="1" s="195">
      <c r="A485" s="334" t="n"/>
      <c r="B485" s="334" t="n"/>
      <c r="C485" s="334" t="n"/>
      <c r="D485" s="334" t="n"/>
      <c r="E485" s="334" t="n"/>
      <c r="F485" s="334" t="n"/>
      <c r="G485" s="334" t="n"/>
      <c r="H485" s="334" t="n"/>
      <c r="I485" s="332">
        <f>IFERROR(VLOOKUP(TEXT(H485,"0"),IPRESS!$A$3:$B$212,2,0),"")</f>
        <v/>
      </c>
      <c r="J485" s="334" t="n"/>
      <c r="K485" s="332">
        <f>IFERROR(VLOOKUP(TEXT(O485,"0"),CONDUCTORES!$A$3:$G$54,7,0),"")</f>
        <v/>
      </c>
      <c r="L485" s="334" t="n"/>
      <c r="M485" s="334" t="n"/>
      <c r="N485" s="333">
        <f>IFERROR(IF(L485*M485=0,"",L485*M485),"")</f>
        <v/>
      </c>
      <c r="O485" s="334" t="n"/>
      <c r="P485" s="332">
        <f>IFERROR(VLOOKUP(TEXT(O485,"0"),CONDUCTORES!$A$3:$G$54,2,0),"")</f>
        <v/>
      </c>
      <c r="Q485" s="332">
        <f>IFERROR(VLOOKUP(TEXT(O485,"0"),CONDUCTORES!$A$3:$H$54,6,0),"")</f>
        <v/>
      </c>
      <c r="R485" s="334" t="n"/>
      <c r="S485" s="334" t="n"/>
      <c r="T485" s="334" t="n"/>
      <c r="U485" s="334" t="n"/>
      <c r="V485" s="334" t="n"/>
      <c r="W485" s="334" t="n"/>
      <c r="X485" s="334" t="n"/>
      <c r="Y485" s="334" t="n"/>
    </row>
    <row r="486" ht="15" customHeight="1" s="195">
      <c r="A486" s="280" t="n"/>
      <c r="B486" s="280" t="n"/>
      <c r="C486" s="280" t="n"/>
      <c r="D486" s="280" t="n"/>
      <c r="E486" s="280" t="n"/>
      <c r="F486" s="280" t="n"/>
      <c r="G486" s="280" t="n"/>
      <c r="H486" s="280" t="n"/>
      <c r="I486" s="332">
        <f>IFERROR(VLOOKUP(TEXT(H486,"0"),IPRESS!$A$3:$B$212,2,0),"")</f>
        <v/>
      </c>
      <c r="J486" s="280" t="n"/>
      <c r="K486" s="332">
        <f>IFERROR(VLOOKUP(TEXT(O486,"0"),CONDUCTORES!$A$3:$G$54,7,0),"")</f>
        <v/>
      </c>
      <c r="L486" s="280" t="n"/>
      <c r="M486" s="280" t="n"/>
      <c r="N486" s="333">
        <f>IFERROR(IF(L486*M486=0,"",L486*M486),"")</f>
        <v/>
      </c>
      <c r="O486" s="280" t="n"/>
      <c r="P486" s="332">
        <f>IFERROR(VLOOKUP(TEXT(O486,"0"),CONDUCTORES!$A$3:$G$54,2,0),"")</f>
        <v/>
      </c>
      <c r="Q486" s="332">
        <f>IFERROR(VLOOKUP(TEXT(O486,"0"),CONDUCTORES!$A$3:$H$54,6,0),"")</f>
        <v/>
      </c>
      <c r="R486" s="280" t="n"/>
      <c r="S486" s="280" t="n"/>
      <c r="T486" s="280" t="n"/>
      <c r="U486" s="280" t="n"/>
      <c r="V486" s="280" t="n"/>
      <c r="W486" s="280" t="n"/>
      <c r="X486" s="280" t="n"/>
      <c r="Y486" s="280" t="n"/>
    </row>
    <row r="487" ht="15" customHeight="1" s="195">
      <c r="A487" s="334" t="n"/>
      <c r="B487" s="334" t="n"/>
      <c r="C487" s="334" t="n"/>
      <c r="D487" s="334" t="n"/>
      <c r="E487" s="334" t="n"/>
      <c r="F487" s="334" t="n"/>
      <c r="G487" s="334" t="n"/>
      <c r="H487" s="334" t="n"/>
      <c r="I487" s="332">
        <f>IFERROR(VLOOKUP(TEXT(H487,"0"),IPRESS!$A$3:$B$212,2,0),"")</f>
        <v/>
      </c>
      <c r="J487" s="334" t="n"/>
      <c r="K487" s="332">
        <f>IFERROR(VLOOKUP(TEXT(O487,"0"),CONDUCTORES!$A$3:$G$54,7,0),"")</f>
        <v/>
      </c>
      <c r="L487" s="334" t="n"/>
      <c r="M487" s="334" t="n"/>
      <c r="N487" s="333">
        <f>IFERROR(IF(L487*M487=0,"",L487*M487),"")</f>
        <v/>
      </c>
      <c r="O487" s="334" t="n"/>
      <c r="P487" s="332">
        <f>IFERROR(VLOOKUP(TEXT(O487,"0"),CONDUCTORES!$A$3:$G$54,2,0),"")</f>
        <v/>
      </c>
      <c r="Q487" s="332">
        <f>IFERROR(VLOOKUP(TEXT(O487,"0"),CONDUCTORES!$A$3:$H$54,6,0),"")</f>
        <v/>
      </c>
      <c r="R487" s="334" t="n"/>
      <c r="S487" s="334" t="n"/>
      <c r="T487" s="334" t="n"/>
      <c r="U487" s="334" t="n"/>
      <c r="V487" s="334" t="n"/>
      <c r="W487" s="334" t="n"/>
      <c r="X487" s="334" t="n"/>
      <c r="Y487" s="334" t="n"/>
    </row>
    <row r="488" ht="15" customHeight="1" s="195">
      <c r="A488" s="280" t="n"/>
      <c r="B488" s="280" t="n"/>
      <c r="C488" s="280" t="n"/>
      <c r="D488" s="280" t="n"/>
      <c r="E488" s="280" t="n"/>
      <c r="F488" s="280" t="n"/>
      <c r="G488" s="280" t="n"/>
      <c r="H488" s="280" t="n"/>
      <c r="I488" s="332">
        <f>IFERROR(VLOOKUP(TEXT(H488,"0"),IPRESS!$A$3:$B$212,2,0),"")</f>
        <v/>
      </c>
      <c r="J488" s="280" t="n"/>
      <c r="K488" s="332">
        <f>IFERROR(VLOOKUP(TEXT(O488,"0"),CONDUCTORES!$A$3:$G$54,7,0),"")</f>
        <v/>
      </c>
      <c r="L488" s="280" t="n"/>
      <c r="M488" s="280" t="n"/>
      <c r="N488" s="333">
        <f>IFERROR(IF(L488*M488=0,"",L488*M488),"")</f>
        <v/>
      </c>
      <c r="O488" s="280" t="n"/>
      <c r="P488" s="332">
        <f>IFERROR(VLOOKUP(TEXT(O488,"0"),CONDUCTORES!$A$3:$G$54,2,0),"")</f>
        <v/>
      </c>
      <c r="Q488" s="332">
        <f>IFERROR(VLOOKUP(TEXT(O488,"0"),CONDUCTORES!$A$3:$H$54,6,0),"")</f>
        <v/>
      </c>
      <c r="R488" s="280" t="n"/>
      <c r="S488" s="280" t="n"/>
      <c r="T488" s="280" t="n"/>
      <c r="U488" s="280" t="n"/>
      <c r="V488" s="280" t="n"/>
      <c r="W488" s="280" t="n"/>
      <c r="X488" s="280" t="n"/>
      <c r="Y488" s="280" t="n"/>
    </row>
    <row r="489" ht="15" customHeight="1" s="195">
      <c r="A489" s="334" t="n"/>
      <c r="B489" s="334" t="n"/>
      <c r="C489" s="334" t="n"/>
      <c r="D489" s="334" t="n"/>
      <c r="E489" s="334" t="n"/>
      <c r="F489" s="334" t="n"/>
      <c r="G489" s="334" t="n"/>
      <c r="H489" s="334" t="n"/>
      <c r="I489" s="332">
        <f>IFERROR(VLOOKUP(TEXT(H489,"0"),IPRESS!$A$3:$B$212,2,0),"")</f>
        <v/>
      </c>
      <c r="J489" s="334" t="n"/>
      <c r="K489" s="332">
        <f>IFERROR(VLOOKUP(TEXT(O489,"0"),CONDUCTORES!$A$3:$G$54,7,0),"")</f>
        <v/>
      </c>
      <c r="L489" s="334" t="n"/>
      <c r="M489" s="334" t="n"/>
      <c r="N489" s="333">
        <f>IFERROR(IF(L489*M489=0,"",L489*M489),"")</f>
        <v/>
      </c>
      <c r="O489" s="334" t="n"/>
      <c r="P489" s="332">
        <f>IFERROR(VLOOKUP(TEXT(O489,"0"),CONDUCTORES!$A$3:$G$54,2,0),"")</f>
        <v/>
      </c>
      <c r="Q489" s="332">
        <f>IFERROR(VLOOKUP(TEXT(O489,"0"),CONDUCTORES!$A$3:$H$54,6,0),"")</f>
        <v/>
      </c>
      <c r="R489" s="334" t="n"/>
      <c r="S489" s="334" t="n"/>
      <c r="T489" s="334" t="n"/>
      <c r="U489" s="334" t="n"/>
      <c r="V489" s="334" t="n"/>
      <c r="W489" s="334" t="n"/>
      <c r="X489" s="334" t="n"/>
      <c r="Y489" s="334" t="n"/>
    </row>
    <row r="490" ht="15" customHeight="1" s="195">
      <c r="A490" s="280" t="n"/>
      <c r="B490" s="280" t="n"/>
      <c r="C490" s="280" t="n"/>
      <c r="D490" s="280" t="n"/>
      <c r="E490" s="280" t="n"/>
      <c r="F490" s="280" t="n"/>
      <c r="G490" s="280" t="n"/>
      <c r="H490" s="280" t="n"/>
      <c r="I490" s="332">
        <f>IFERROR(VLOOKUP(TEXT(H490,"0"),IPRESS!$A$3:$B$212,2,0),"")</f>
        <v/>
      </c>
      <c r="J490" s="280" t="n"/>
      <c r="K490" s="332">
        <f>IFERROR(VLOOKUP(TEXT(O490,"0"),CONDUCTORES!$A$3:$G$54,7,0),"")</f>
        <v/>
      </c>
      <c r="L490" s="280" t="n"/>
      <c r="M490" s="280" t="n"/>
      <c r="N490" s="333">
        <f>IFERROR(IF(L490*M490=0,"",L490*M490),"")</f>
        <v/>
      </c>
      <c r="O490" s="280" t="n"/>
      <c r="P490" s="332">
        <f>IFERROR(VLOOKUP(TEXT(O490,"0"),CONDUCTORES!$A$3:$G$54,2,0),"")</f>
        <v/>
      </c>
      <c r="Q490" s="332">
        <f>IFERROR(VLOOKUP(TEXT(O490,"0"),CONDUCTORES!$A$3:$H$54,6,0),"")</f>
        <v/>
      </c>
      <c r="R490" s="280" t="n"/>
      <c r="S490" s="280" t="n"/>
      <c r="T490" s="280" t="n"/>
      <c r="U490" s="280" t="n"/>
      <c r="V490" s="280" t="n"/>
      <c r="W490" s="280" t="n"/>
      <c r="X490" s="280" t="n"/>
      <c r="Y490" s="280" t="n"/>
    </row>
    <row r="491" ht="15" customHeight="1" s="195">
      <c r="A491" s="334" t="n"/>
      <c r="B491" s="334" t="n"/>
      <c r="C491" s="334" t="n"/>
      <c r="D491" s="334" t="n"/>
      <c r="E491" s="334" t="n"/>
      <c r="F491" s="334" t="n"/>
      <c r="G491" s="334" t="n"/>
      <c r="H491" s="334" t="n"/>
      <c r="I491" s="332">
        <f>IFERROR(VLOOKUP(TEXT(H491,"0"),IPRESS!$A$3:$B$212,2,0),"")</f>
        <v/>
      </c>
      <c r="J491" s="334" t="n"/>
      <c r="K491" s="332">
        <f>IFERROR(VLOOKUP(TEXT(O491,"0"),CONDUCTORES!$A$3:$G$54,7,0),"")</f>
        <v/>
      </c>
      <c r="L491" s="334" t="n"/>
      <c r="M491" s="334" t="n"/>
      <c r="N491" s="333">
        <f>IFERROR(IF(L491*M491=0,"",L491*M491),"")</f>
        <v/>
      </c>
      <c r="O491" s="334" t="n"/>
      <c r="P491" s="332">
        <f>IFERROR(VLOOKUP(TEXT(O491,"0"),CONDUCTORES!$A$3:$G$54,2,0),"")</f>
        <v/>
      </c>
      <c r="Q491" s="332">
        <f>IFERROR(VLOOKUP(TEXT(O491,"0"),CONDUCTORES!$A$3:$H$54,6,0),"")</f>
        <v/>
      </c>
      <c r="R491" s="334" t="n"/>
      <c r="S491" s="334" t="n"/>
      <c r="T491" s="334" t="n"/>
      <c r="U491" s="334" t="n"/>
      <c r="V491" s="334" t="n"/>
      <c r="W491" s="334" t="n"/>
      <c r="X491" s="334" t="n"/>
      <c r="Y491" s="334" t="n"/>
    </row>
    <row r="492" ht="15" customHeight="1" s="195">
      <c r="A492" s="280" t="n"/>
      <c r="B492" s="280" t="n"/>
      <c r="C492" s="280" t="n"/>
      <c r="D492" s="280" t="n"/>
      <c r="E492" s="280" t="n"/>
      <c r="F492" s="280" t="n"/>
      <c r="G492" s="280" t="n"/>
      <c r="H492" s="280" t="n"/>
      <c r="I492" s="332">
        <f>IFERROR(VLOOKUP(TEXT(H492,"0"),IPRESS!$A$3:$B$212,2,0),"")</f>
        <v/>
      </c>
      <c r="J492" s="280" t="n"/>
      <c r="K492" s="332">
        <f>IFERROR(VLOOKUP(TEXT(O492,"0"),CONDUCTORES!$A$3:$G$54,7,0),"")</f>
        <v/>
      </c>
      <c r="L492" s="280" t="n"/>
      <c r="M492" s="280" t="n"/>
      <c r="N492" s="333">
        <f>IFERROR(IF(L492*M492=0,"",L492*M492),"")</f>
        <v/>
      </c>
      <c r="O492" s="280" t="n"/>
      <c r="P492" s="332">
        <f>IFERROR(VLOOKUP(TEXT(O492,"0"),CONDUCTORES!$A$3:$G$54,2,0),"")</f>
        <v/>
      </c>
      <c r="Q492" s="332">
        <f>IFERROR(VLOOKUP(TEXT(O492,"0"),CONDUCTORES!$A$3:$H$54,6,0),"")</f>
        <v/>
      </c>
      <c r="R492" s="280" t="n"/>
      <c r="S492" s="280" t="n"/>
      <c r="T492" s="280" t="n"/>
      <c r="U492" s="280" t="n"/>
      <c r="V492" s="280" t="n"/>
      <c r="W492" s="280" t="n"/>
      <c r="X492" s="280" t="n"/>
      <c r="Y492" s="280" t="n"/>
    </row>
    <row r="493" ht="15" customHeight="1" s="195">
      <c r="A493" s="334" t="n"/>
      <c r="B493" s="334" t="n"/>
      <c r="C493" s="334" t="n"/>
      <c r="D493" s="334" t="n"/>
      <c r="E493" s="334" t="n"/>
      <c r="F493" s="334" t="n"/>
      <c r="G493" s="334" t="n"/>
      <c r="H493" s="334" t="n"/>
      <c r="I493" s="332">
        <f>IFERROR(VLOOKUP(TEXT(H493,"0"),IPRESS!$A$3:$B$212,2,0),"")</f>
        <v/>
      </c>
      <c r="J493" s="334" t="n"/>
      <c r="K493" s="332">
        <f>IFERROR(VLOOKUP(TEXT(O493,"0"),CONDUCTORES!$A$3:$G$54,7,0),"")</f>
        <v/>
      </c>
      <c r="L493" s="334" t="n"/>
      <c r="M493" s="334" t="n"/>
      <c r="N493" s="333">
        <f>IFERROR(IF(L493*M493=0,"",L493*M493),"")</f>
        <v/>
      </c>
      <c r="O493" s="334" t="n"/>
      <c r="P493" s="332">
        <f>IFERROR(VLOOKUP(TEXT(O493,"0"),CONDUCTORES!$A$3:$G$54,2,0),"")</f>
        <v/>
      </c>
      <c r="Q493" s="332">
        <f>IFERROR(VLOOKUP(TEXT(O493,"0"),CONDUCTORES!$A$3:$H$54,6,0),"")</f>
        <v/>
      </c>
      <c r="R493" s="334" t="n"/>
      <c r="S493" s="334" t="n"/>
      <c r="T493" s="334" t="n"/>
      <c r="U493" s="334" t="n"/>
      <c r="V493" s="334" t="n"/>
      <c r="W493" s="334" t="n"/>
      <c r="X493" s="334" t="n"/>
      <c r="Y493" s="334" t="n"/>
    </row>
    <row r="494" ht="15" customHeight="1" s="195">
      <c r="A494" s="280" t="n"/>
      <c r="B494" s="280" t="n"/>
      <c r="C494" s="280" t="n"/>
      <c r="D494" s="280" t="n"/>
      <c r="E494" s="280" t="n"/>
      <c r="F494" s="280" t="n"/>
      <c r="G494" s="280" t="n"/>
      <c r="H494" s="280" t="n"/>
      <c r="I494" s="332">
        <f>IFERROR(VLOOKUP(TEXT(H494,"0"),IPRESS!$A$3:$B$212,2,0),"")</f>
        <v/>
      </c>
      <c r="J494" s="280" t="n"/>
      <c r="K494" s="332">
        <f>IFERROR(VLOOKUP(TEXT(O494,"0"),CONDUCTORES!$A$3:$G$54,7,0),"")</f>
        <v/>
      </c>
      <c r="L494" s="280" t="n"/>
      <c r="M494" s="280" t="n"/>
      <c r="N494" s="333">
        <f>IFERROR(IF(L494*M494=0,"",L494*M494),"")</f>
        <v/>
      </c>
      <c r="O494" s="280" t="n"/>
      <c r="P494" s="332">
        <f>IFERROR(VLOOKUP(TEXT(O494,"0"),CONDUCTORES!$A$3:$G$54,2,0),"")</f>
        <v/>
      </c>
      <c r="Q494" s="332">
        <f>IFERROR(VLOOKUP(TEXT(O494,"0"),CONDUCTORES!$A$3:$H$54,6,0),"")</f>
        <v/>
      </c>
      <c r="R494" s="280" t="n"/>
      <c r="S494" s="280" t="n"/>
      <c r="T494" s="280" t="n"/>
      <c r="U494" s="280" t="n"/>
      <c r="V494" s="280" t="n"/>
      <c r="W494" s="280" t="n"/>
      <c r="X494" s="280" t="n"/>
      <c r="Y494" s="280" t="n"/>
    </row>
    <row r="495" ht="15" customHeight="1" s="195">
      <c r="A495" s="334" t="n"/>
      <c r="B495" s="334" t="n"/>
      <c r="C495" s="334" t="n"/>
      <c r="D495" s="334" t="n"/>
      <c r="E495" s="334" t="n"/>
      <c r="F495" s="334" t="n"/>
      <c r="G495" s="334" t="n"/>
      <c r="H495" s="334" t="n"/>
      <c r="I495" s="332">
        <f>IFERROR(VLOOKUP(TEXT(H495,"0"),IPRESS!$A$3:$B$212,2,0),"")</f>
        <v/>
      </c>
      <c r="J495" s="334" t="n"/>
      <c r="K495" s="332">
        <f>IFERROR(VLOOKUP(TEXT(O495,"0"),CONDUCTORES!$A$3:$G$54,7,0),"")</f>
        <v/>
      </c>
      <c r="L495" s="334" t="n"/>
      <c r="M495" s="334" t="n"/>
      <c r="N495" s="333">
        <f>IFERROR(IF(L495*M495=0,"",L495*M495),"")</f>
        <v/>
      </c>
      <c r="O495" s="334" t="n"/>
      <c r="P495" s="332">
        <f>IFERROR(VLOOKUP(TEXT(O495,"0"),CONDUCTORES!$A$3:$G$54,2,0),"")</f>
        <v/>
      </c>
      <c r="Q495" s="332">
        <f>IFERROR(VLOOKUP(TEXT(O495,"0"),CONDUCTORES!$A$3:$H$54,6,0),"")</f>
        <v/>
      </c>
      <c r="R495" s="334" t="n"/>
      <c r="S495" s="334" t="n"/>
      <c r="T495" s="334" t="n"/>
      <c r="U495" s="334" t="n"/>
      <c r="V495" s="334" t="n"/>
      <c r="W495" s="334" t="n"/>
      <c r="X495" s="334" t="n"/>
      <c r="Y495" s="334" t="n"/>
    </row>
    <row r="496" ht="15" customHeight="1" s="195">
      <c r="A496" s="280" t="n"/>
      <c r="B496" s="280" t="n"/>
      <c r="C496" s="280" t="n"/>
      <c r="D496" s="280" t="n"/>
      <c r="E496" s="280" t="n"/>
      <c r="F496" s="280" t="n"/>
      <c r="G496" s="280" t="n"/>
      <c r="H496" s="280" t="n"/>
      <c r="I496" s="332">
        <f>IFERROR(VLOOKUP(TEXT(H496,"0"),IPRESS!$A$3:$B$212,2,0),"")</f>
        <v/>
      </c>
      <c r="J496" s="280" t="n"/>
      <c r="K496" s="332">
        <f>IFERROR(VLOOKUP(TEXT(O496,"0"),CONDUCTORES!$A$3:$G$54,7,0),"")</f>
        <v/>
      </c>
      <c r="L496" s="280" t="n"/>
      <c r="M496" s="280" t="n"/>
      <c r="N496" s="333">
        <f>IFERROR(IF(L496*M496=0,"",L496*M496),"")</f>
        <v/>
      </c>
      <c r="O496" s="280" t="n"/>
      <c r="P496" s="332">
        <f>IFERROR(VLOOKUP(TEXT(O496,"0"),CONDUCTORES!$A$3:$G$54,2,0),"")</f>
        <v/>
      </c>
      <c r="Q496" s="332">
        <f>IFERROR(VLOOKUP(TEXT(O496,"0"),CONDUCTORES!$A$3:$H$54,6,0),"")</f>
        <v/>
      </c>
      <c r="R496" s="280" t="n"/>
      <c r="S496" s="280" t="n"/>
      <c r="T496" s="280" t="n"/>
      <c r="U496" s="280" t="n"/>
      <c r="V496" s="280" t="n"/>
      <c r="W496" s="280" t="n"/>
      <c r="X496" s="280" t="n"/>
      <c r="Y496" s="280" t="n"/>
    </row>
    <row r="497" ht="15" customHeight="1" s="195">
      <c r="A497" s="334" t="n"/>
      <c r="B497" s="334" t="n"/>
      <c r="C497" s="334" t="n"/>
      <c r="D497" s="334" t="n"/>
      <c r="E497" s="334" t="n"/>
      <c r="F497" s="334" t="n"/>
      <c r="G497" s="334" t="n"/>
      <c r="H497" s="334" t="n"/>
      <c r="I497" s="332">
        <f>IFERROR(VLOOKUP(TEXT(H497,"0"),IPRESS!$A$3:$B$212,2,0),"")</f>
        <v/>
      </c>
      <c r="J497" s="334" t="n"/>
      <c r="K497" s="332">
        <f>IFERROR(VLOOKUP(TEXT(O497,"0"),CONDUCTORES!$A$3:$G$54,7,0),"")</f>
        <v/>
      </c>
      <c r="L497" s="334" t="n"/>
      <c r="M497" s="334" t="n"/>
      <c r="N497" s="333">
        <f>IFERROR(IF(L497*M497=0,"",L497*M497),"")</f>
        <v/>
      </c>
      <c r="O497" s="334" t="n"/>
      <c r="P497" s="332">
        <f>IFERROR(VLOOKUP(TEXT(O497,"0"),CONDUCTORES!$A$3:$G$54,2,0),"")</f>
        <v/>
      </c>
      <c r="Q497" s="332">
        <f>IFERROR(VLOOKUP(TEXT(O497,"0"),CONDUCTORES!$A$3:$H$54,6,0),"")</f>
        <v/>
      </c>
      <c r="R497" s="334" t="n"/>
      <c r="S497" s="334" t="n"/>
      <c r="T497" s="334" t="n"/>
      <c r="U497" s="334" t="n"/>
      <c r="V497" s="334" t="n"/>
      <c r="W497" s="334" t="n"/>
      <c r="X497" s="334" t="n"/>
      <c r="Y497" s="334" t="n"/>
    </row>
    <row r="498" ht="15" customHeight="1" s="195">
      <c r="A498" s="280" t="n"/>
      <c r="B498" s="280" t="n"/>
      <c r="C498" s="280" t="n"/>
      <c r="D498" s="280" t="n"/>
      <c r="E498" s="280" t="n"/>
      <c r="F498" s="280" t="n"/>
      <c r="G498" s="280" t="n"/>
      <c r="H498" s="280" t="n"/>
      <c r="I498" s="332">
        <f>IFERROR(VLOOKUP(TEXT(H498,"0"),IPRESS!$A$3:$B$212,2,0),"")</f>
        <v/>
      </c>
      <c r="J498" s="280" t="n"/>
      <c r="K498" s="332">
        <f>IFERROR(VLOOKUP(TEXT(O498,"0"),CONDUCTORES!$A$3:$G$54,7,0),"")</f>
        <v/>
      </c>
      <c r="L498" s="280" t="n"/>
      <c r="M498" s="280" t="n"/>
      <c r="N498" s="333">
        <f>IFERROR(IF(L498*M498=0,"",L498*M498),"")</f>
        <v/>
      </c>
      <c r="O498" s="280" t="n"/>
      <c r="P498" s="332">
        <f>IFERROR(VLOOKUP(TEXT(O498,"0"),CONDUCTORES!$A$3:$G$54,2,0),"")</f>
        <v/>
      </c>
      <c r="Q498" s="332">
        <f>IFERROR(VLOOKUP(TEXT(O498,"0"),CONDUCTORES!$A$3:$H$54,6,0),"")</f>
        <v/>
      </c>
      <c r="R498" s="280" t="n"/>
      <c r="S498" s="280" t="n"/>
      <c r="T498" s="280" t="n"/>
      <c r="U498" s="280" t="n"/>
      <c r="V498" s="280" t="n"/>
      <c r="W498" s="280" t="n"/>
      <c r="X498" s="280" t="n"/>
      <c r="Y498" s="280" t="n"/>
    </row>
    <row r="499" ht="15" customHeight="1" s="195">
      <c r="A499" s="334" t="n"/>
      <c r="B499" s="334" t="n"/>
      <c r="C499" s="334" t="n"/>
      <c r="D499" s="334" t="n"/>
      <c r="E499" s="334" t="n"/>
      <c r="F499" s="334" t="n"/>
      <c r="G499" s="334" t="n"/>
      <c r="H499" s="334" t="n"/>
      <c r="I499" s="332">
        <f>IFERROR(VLOOKUP(TEXT(H499,"0"),IPRESS!$A$3:$B$212,2,0),"")</f>
        <v/>
      </c>
      <c r="J499" s="334" t="n"/>
      <c r="K499" s="332">
        <f>IFERROR(VLOOKUP(TEXT(O499,"0"),CONDUCTORES!$A$3:$G$54,7,0),"")</f>
        <v/>
      </c>
      <c r="L499" s="334" t="n"/>
      <c r="M499" s="334" t="n"/>
      <c r="N499" s="333">
        <f>IFERROR(IF(L499*M499=0,"",L499*M499),"")</f>
        <v/>
      </c>
      <c r="O499" s="334" t="n"/>
      <c r="P499" s="332">
        <f>IFERROR(VLOOKUP(TEXT(O499,"0"),CONDUCTORES!$A$3:$G$54,2,0),"")</f>
        <v/>
      </c>
      <c r="Q499" s="332">
        <f>IFERROR(VLOOKUP(TEXT(O499,"0"),CONDUCTORES!$A$3:$H$54,6,0),"")</f>
        <v/>
      </c>
      <c r="R499" s="334" t="n"/>
      <c r="S499" s="334" t="n"/>
      <c r="T499" s="334" t="n"/>
      <c r="U499" s="334" t="n"/>
      <c r="V499" s="334" t="n"/>
      <c r="W499" s="334" t="n"/>
      <c r="X499" s="334" t="n"/>
      <c r="Y499" s="334" t="n"/>
    </row>
    <row r="500" ht="15" customHeight="1" s="195">
      <c r="A500" s="280" t="n"/>
      <c r="B500" s="280" t="n"/>
      <c r="C500" s="280" t="n"/>
      <c r="D500" s="280" t="n"/>
      <c r="E500" s="280" t="n"/>
      <c r="F500" s="280" t="n"/>
      <c r="G500" s="280" t="n"/>
      <c r="H500" s="280" t="n"/>
      <c r="I500" s="332">
        <f>IFERROR(VLOOKUP(TEXT(H500,"0"),IPRESS!$A$3:$B$212,2,0),"")</f>
        <v/>
      </c>
      <c r="J500" s="280" t="n"/>
      <c r="K500" s="332">
        <f>IFERROR(VLOOKUP(TEXT(O500,"0"),CONDUCTORES!$A$3:$G$54,7,0),"")</f>
        <v/>
      </c>
      <c r="L500" s="280" t="n"/>
      <c r="M500" s="280" t="n"/>
      <c r="N500" s="333">
        <f>IFERROR(IF(L500*M500=0,"",L500*M500),"")</f>
        <v/>
      </c>
      <c r="O500" s="280" t="n"/>
      <c r="P500" s="332">
        <f>IFERROR(VLOOKUP(TEXT(O500,"0"),CONDUCTORES!$A$3:$G$54,2,0),"")</f>
        <v/>
      </c>
      <c r="Q500" s="332">
        <f>IFERROR(VLOOKUP(TEXT(O500,"0"),CONDUCTORES!$A$3:$H$54,6,0),"")</f>
        <v/>
      </c>
      <c r="R500" s="280" t="n"/>
      <c r="S500" s="280" t="n"/>
      <c r="T500" s="280" t="n"/>
      <c r="U500" s="280" t="n"/>
      <c r="V500" s="280" t="n"/>
      <c r="W500" s="280" t="n"/>
      <c r="X500" s="280" t="n"/>
      <c r="Y500" s="280" t="n"/>
    </row>
    <row r="501" ht="15" customHeight="1" s="195">
      <c r="A501" s="334" t="n"/>
      <c r="B501" s="334" t="n"/>
      <c r="C501" s="334" t="n"/>
      <c r="D501" s="334" t="n"/>
      <c r="E501" s="334" t="n"/>
      <c r="F501" s="334" t="n"/>
      <c r="G501" s="334" t="n"/>
      <c r="H501" s="334" t="n"/>
      <c r="I501" s="332">
        <f>IFERROR(VLOOKUP(TEXT(H501,"0"),IPRESS!$A$3:$B$212,2,0),"")</f>
        <v/>
      </c>
      <c r="J501" s="334" t="n"/>
      <c r="K501" s="332">
        <f>IFERROR(VLOOKUP(TEXT(O501,"0"),CONDUCTORES!$A$3:$G$54,7,0),"")</f>
        <v/>
      </c>
      <c r="L501" s="334" t="n"/>
      <c r="M501" s="334" t="n"/>
      <c r="N501" s="333">
        <f>IFERROR(IF(L501*M501=0,"",L501*M501),"")</f>
        <v/>
      </c>
      <c r="O501" s="334" t="n"/>
      <c r="P501" s="332">
        <f>IFERROR(VLOOKUP(TEXT(O501,"0"),CONDUCTORES!$A$3:$G$54,2,0),"")</f>
        <v/>
      </c>
      <c r="Q501" s="332">
        <f>IFERROR(VLOOKUP(TEXT(O501,"0"),CONDUCTORES!$A$3:$H$54,6,0),"")</f>
        <v/>
      </c>
      <c r="R501" s="334" t="n"/>
      <c r="S501" s="334" t="n"/>
      <c r="T501" s="334" t="n"/>
      <c r="U501" s="334" t="n"/>
      <c r="V501" s="334" t="n"/>
      <c r="W501" s="334" t="n"/>
      <c r="X501" s="334" t="n"/>
      <c r="Y501" s="334" t="n"/>
    </row>
    <row r="502" ht="15" customHeight="1" s="195">
      <c r="A502" s="280" t="n"/>
      <c r="B502" s="280" t="n"/>
      <c r="C502" s="280" t="n"/>
      <c r="D502" s="280" t="n"/>
      <c r="E502" s="280" t="n"/>
      <c r="F502" s="280" t="n"/>
      <c r="G502" s="280" t="n"/>
      <c r="H502" s="280" t="n"/>
      <c r="I502" s="332">
        <f>IFERROR(VLOOKUP(TEXT(H502,"0"),IPRESS!$A$3:$B$212,2,0),"")</f>
        <v/>
      </c>
      <c r="J502" s="280" t="n"/>
      <c r="K502" s="332">
        <f>IFERROR(VLOOKUP(TEXT(O502,"0"),CONDUCTORES!$A$3:$G$54,7,0),"")</f>
        <v/>
      </c>
      <c r="L502" s="280" t="n"/>
      <c r="M502" s="280" t="n"/>
      <c r="N502" s="333">
        <f>IFERROR(IF(L502*M502=0,"",L502*M502),"")</f>
        <v/>
      </c>
      <c r="O502" s="280" t="n"/>
      <c r="P502" s="332">
        <f>IFERROR(VLOOKUP(TEXT(O502,"0"),CONDUCTORES!$A$3:$G$54,2,0),"")</f>
        <v/>
      </c>
      <c r="Q502" s="332">
        <f>IFERROR(VLOOKUP(TEXT(O502,"0"),CONDUCTORES!$A$3:$H$54,6,0),"")</f>
        <v/>
      </c>
      <c r="R502" s="280" t="n"/>
      <c r="S502" s="280" t="n"/>
      <c r="T502" s="280" t="n"/>
      <c r="U502" s="280" t="n"/>
      <c r="V502" s="280" t="n"/>
      <c r="W502" s="280" t="n"/>
      <c r="X502" s="280" t="n"/>
      <c r="Y502" s="280" t="n"/>
    </row>
    <row r="503" ht="15" customHeight="1" s="195">
      <c r="A503" s="334" t="n"/>
      <c r="B503" s="334" t="n"/>
      <c r="C503" s="334" t="n"/>
      <c r="D503" s="334" t="n"/>
      <c r="E503" s="334" t="n"/>
      <c r="F503" s="334" t="n"/>
      <c r="G503" s="334" t="n"/>
      <c r="H503" s="334" t="n"/>
      <c r="I503" s="332">
        <f>IFERROR(VLOOKUP(TEXT(H503,"0"),IPRESS!$A$3:$B$212,2,0),"")</f>
        <v/>
      </c>
      <c r="J503" s="334" t="n"/>
      <c r="K503" s="332">
        <f>IFERROR(VLOOKUP(TEXT(O503,"0"),CONDUCTORES!$A$3:$G$54,7,0),"")</f>
        <v/>
      </c>
      <c r="L503" s="334" t="n"/>
      <c r="M503" s="334" t="n"/>
      <c r="N503" s="333">
        <f>IFERROR(IF(L503*M503=0,"",L503*M503),"")</f>
        <v/>
      </c>
      <c r="O503" s="334" t="n"/>
      <c r="P503" s="332">
        <f>IFERROR(VLOOKUP(TEXT(O503,"0"),CONDUCTORES!$A$3:$G$54,2,0),"")</f>
        <v/>
      </c>
      <c r="Q503" s="332">
        <f>IFERROR(VLOOKUP(TEXT(O503,"0"),CONDUCTORES!$A$3:$H$54,6,0),"")</f>
        <v/>
      </c>
      <c r="R503" s="334" t="n"/>
      <c r="S503" s="334" t="n"/>
      <c r="T503" s="334" t="n"/>
      <c r="U503" s="334" t="n"/>
      <c r="V503" s="334" t="n"/>
      <c r="W503" s="334" t="n"/>
      <c r="X503" s="334" t="n"/>
      <c r="Y503" s="334" t="n"/>
    </row>
    <row r="504" ht="15" customHeight="1" s="195">
      <c r="A504" s="280" t="n"/>
      <c r="B504" s="280" t="n"/>
      <c r="C504" s="280" t="n"/>
      <c r="D504" s="280" t="n"/>
      <c r="E504" s="280" t="n"/>
      <c r="F504" s="280" t="n"/>
      <c r="G504" s="280" t="n"/>
      <c r="H504" s="280" t="n"/>
      <c r="I504" s="332">
        <f>IFERROR(VLOOKUP(TEXT(H504,"0"),IPRESS!$A$3:$B$212,2,0),"")</f>
        <v/>
      </c>
      <c r="J504" s="280" t="n"/>
      <c r="K504" s="332">
        <f>IFERROR(VLOOKUP(TEXT(O504,"0"),CONDUCTORES!$A$3:$G$54,7,0),"")</f>
        <v/>
      </c>
      <c r="L504" s="280" t="n"/>
      <c r="M504" s="280" t="n"/>
      <c r="N504" s="333">
        <f>IFERROR(IF(L504*M504=0,"",L504*M504),"")</f>
        <v/>
      </c>
      <c r="O504" s="280" t="n"/>
      <c r="P504" s="332">
        <f>IFERROR(VLOOKUP(TEXT(O504,"0"),CONDUCTORES!$A$3:$G$54,2,0),"")</f>
        <v/>
      </c>
      <c r="Q504" s="332">
        <f>IFERROR(VLOOKUP(TEXT(O504,"0"),CONDUCTORES!$A$3:$H$54,6,0),"")</f>
        <v/>
      </c>
      <c r="R504" s="280" t="n"/>
      <c r="S504" s="280" t="n"/>
      <c r="T504" s="280" t="n"/>
      <c r="U504" s="280" t="n"/>
      <c r="V504" s="280" t="n"/>
      <c r="W504" s="280" t="n"/>
      <c r="X504" s="280" t="n"/>
      <c r="Y504" s="280" t="n"/>
    </row>
    <row r="505" ht="15" customHeight="1" s="195">
      <c r="A505" s="334" t="n"/>
      <c r="B505" s="334" t="n"/>
      <c r="C505" s="334" t="n"/>
      <c r="D505" s="334" t="n"/>
      <c r="E505" s="334" t="n"/>
      <c r="F505" s="334" t="n"/>
      <c r="G505" s="334" t="n"/>
      <c r="H505" s="334" t="n"/>
      <c r="I505" s="332">
        <f>IFERROR(VLOOKUP(TEXT(H505,"0"),IPRESS!$A$3:$B$212,2,0),"")</f>
        <v/>
      </c>
      <c r="J505" s="334" t="n"/>
      <c r="K505" s="332">
        <f>IFERROR(VLOOKUP(TEXT(O505,"0"),CONDUCTORES!$A$3:$G$54,7,0),"")</f>
        <v/>
      </c>
      <c r="L505" s="334" t="n"/>
      <c r="M505" s="334" t="n"/>
      <c r="N505" s="333">
        <f>IFERROR(IF(L505*M505=0,"",L505*M505),"")</f>
        <v/>
      </c>
      <c r="O505" s="334" t="n"/>
      <c r="P505" s="332">
        <f>IFERROR(VLOOKUP(TEXT(O505,"0"),CONDUCTORES!$A$3:$G$54,2,0),"")</f>
        <v/>
      </c>
      <c r="Q505" s="332">
        <f>IFERROR(VLOOKUP(TEXT(O505,"0"),CONDUCTORES!$A$3:$H$54,6,0),"")</f>
        <v/>
      </c>
      <c r="R505" s="334" t="n"/>
      <c r="S505" s="334" t="n"/>
      <c r="T505" s="334" t="n"/>
      <c r="U505" s="334" t="n"/>
      <c r="V505" s="334" t="n"/>
      <c r="W505" s="334" t="n"/>
      <c r="X505" s="334" t="n"/>
      <c r="Y505" s="334" t="n"/>
    </row>
    <row r="506" ht="21.75" customHeight="1" s="195">
      <c r="A506" s="346" t="inlineStr">
        <is>
          <t>TOTALES DEL MES</t>
        </is>
      </c>
      <c r="M506" s="320">
        <f>SUM(M6:M505)</f>
        <v/>
      </c>
      <c r="N506" s="320">
        <f>SUM(N6:N505)</f>
        <v/>
      </c>
    </row>
    <row r="507" ht="15.75" customHeight="1" s="195"/>
    <row r="508" ht="15.75" customHeight="1" s="195"/>
    <row r="509" ht="15.75" customHeight="1" s="195"/>
    <row r="510" ht="15.75" customHeight="1" s="195"/>
    <row r="511" ht="15.75" customHeight="1" s="195"/>
    <row r="512" ht="15.75" customHeight="1" s="195"/>
    <row r="513" ht="15.75" customHeight="1" s="195"/>
    <row r="514" ht="15.75" customHeight="1" s="195"/>
    <row r="515" ht="15.75" customHeight="1" s="195"/>
    <row r="516" ht="15.75" customHeight="1" s="195"/>
    <row r="517" ht="15.75" customHeight="1" s="195"/>
    <row r="518" ht="15.75" customHeight="1" s="195"/>
    <row r="519" ht="15.75" customHeight="1" s="195"/>
    <row r="520" ht="15.75" customHeight="1" s="195"/>
    <row r="521" ht="15.75" customHeight="1" s="195"/>
    <row r="522" ht="15.75" customHeight="1" s="195"/>
    <row r="523" ht="15.75" customHeight="1" s="195"/>
    <row r="524" ht="15.75" customHeight="1" s="195"/>
    <row r="525" ht="15.75" customHeight="1" s="195"/>
    <row r="526" ht="15.75" customHeight="1" s="195"/>
    <row r="527" ht="15.75" customHeight="1" s="195"/>
    <row r="528" ht="15.75" customHeight="1" s="195"/>
    <row r="529" ht="15.75" customHeight="1" s="195"/>
    <row r="530" ht="15.75" customHeight="1" s="195"/>
    <row r="531" ht="15.75" customHeight="1" s="195"/>
    <row r="532" ht="15.75" customHeight="1" s="195"/>
    <row r="533" ht="15.75" customHeight="1" s="195"/>
    <row r="534" ht="15.75" customHeight="1" s="195"/>
    <row r="535" ht="15.75" customHeight="1" s="195"/>
    <row r="536" ht="15.75" customHeight="1" s="195"/>
    <row r="537" ht="15.75" customHeight="1" s="195"/>
    <row r="538" ht="15.75" customHeight="1" s="195"/>
    <row r="539" ht="15.75" customHeight="1" s="195"/>
    <row r="540" ht="15.75" customHeight="1" s="195"/>
    <row r="541" ht="15.75" customHeight="1" s="195"/>
    <row r="542" ht="15.75" customHeight="1" s="195"/>
    <row r="543" ht="15.75" customHeight="1" s="195"/>
    <row r="544" ht="15.75" customHeight="1" s="195"/>
    <row r="545" ht="15.75" customHeight="1" s="195"/>
    <row r="546" ht="15.75" customHeight="1" s="195"/>
    <row r="547" ht="15.75" customHeight="1" s="195"/>
    <row r="548" ht="15.75" customHeight="1" s="195"/>
    <row r="549" ht="15.75" customHeight="1" s="195"/>
    <row r="550" ht="15.75" customHeight="1" s="195"/>
    <row r="551" ht="15.75" customHeight="1" s="195"/>
    <row r="552" ht="15.75" customHeight="1" s="195"/>
    <row r="553" ht="15.75" customHeight="1" s="195"/>
    <row r="554" ht="15.75" customHeight="1" s="195"/>
    <row r="555" ht="15.75" customHeight="1" s="195"/>
    <row r="556" ht="15.75" customHeight="1" s="195"/>
    <row r="557" ht="15.75" customHeight="1" s="195"/>
    <row r="558" ht="15.75" customHeight="1" s="195"/>
    <row r="559" ht="15.75" customHeight="1" s="195"/>
    <row r="560" ht="15.75" customHeight="1" s="195"/>
    <row r="561" ht="15.75" customHeight="1" s="195"/>
    <row r="562" ht="15.75" customHeight="1" s="195"/>
    <row r="563" ht="15.75" customHeight="1" s="195"/>
    <row r="564" ht="15.75" customHeight="1" s="195"/>
    <row r="565" ht="15.75" customHeight="1" s="195"/>
    <row r="566" ht="15.75" customHeight="1" s="195"/>
    <row r="567" ht="15.75" customHeight="1" s="195"/>
    <row r="568" ht="15.75" customHeight="1" s="195"/>
    <row r="569" ht="15.75" customHeight="1" s="195"/>
    <row r="570" ht="15.75" customHeight="1" s="195"/>
    <row r="571" ht="15.75" customHeight="1" s="195"/>
    <row r="572" ht="15.75" customHeight="1" s="195"/>
    <row r="573" ht="15.75" customHeight="1" s="195"/>
    <row r="574" ht="15.75" customHeight="1" s="195"/>
    <row r="575" ht="15.75" customHeight="1" s="195"/>
    <row r="576" ht="15.75" customHeight="1" s="195"/>
    <row r="577" ht="15.75" customHeight="1" s="195"/>
    <row r="578" ht="15.75" customHeight="1" s="195"/>
    <row r="579" ht="15.75" customHeight="1" s="195"/>
    <row r="580" ht="15.75" customHeight="1" s="195"/>
    <row r="581" ht="15.75" customHeight="1" s="195"/>
    <row r="582" ht="15.75" customHeight="1" s="195"/>
    <row r="583" ht="15.75" customHeight="1" s="195"/>
    <row r="584" ht="15.75" customHeight="1" s="195"/>
    <row r="585" ht="15.75" customHeight="1" s="195"/>
    <row r="586" ht="15.75" customHeight="1" s="195"/>
    <row r="587" ht="15.75" customHeight="1" s="195"/>
    <row r="588" ht="15.75" customHeight="1" s="195"/>
    <row r="589" ht="15.75" customHeight="1" s="195"/>
    <row r="590" ht="15.75" customHeight="1" s="195"/>
    <row r="591" ht="15.75" customHeight="1" s="195"/>
    <row r="592" ht="15.75" customHeight="1" s="195"/>
    <row r="593" ht="15.75" customHeight="1" s="195"/>
    <row r="594" ht="15.75" customHeight="1" s="195"/>
    <row r="595" ht="15.75" customHeight="1" s="195"/>
    <row r="596" ht="15.75" customHeight="1" s="195"/>
    <row r="597" ht="15.75" customHeight="1" s="195"/>
    <row r="598" ht="15.75" customHeight="1" s="195"/>
    <row r="599" ht="15.75" customHeight="1" s="195"/>
    <row r="600" ht="15.75" customHeight="1" s="195"/>
    <row r="601" ht="15.75" customHeight="1" s="195"/>
    <row r="602" ht="15.75" customHeight="1" s="195"/>
    <row r="603" ht="15.75" customHeight="1" s="195"/>
    <row r="604" ht="15.75" customHeight="1" s="195"/>
    <row r="605" ht="15.75" customHeight="1" s="195"/>
    <row r="606" ht="15.75" customHeight="1" s="195"/>
    <row r="607" ht="15.75" customHeight="1" s="195"/>
    <row r="608" ht="15.75" customHeight="1" s="195"/>
    <row r="609" ht="15.75" customHeight="1" s="195"/>
    <row r="610" ht="15.75" customHeight="1" s="195"/>
    <row r="611" ht="15.75" customHeight="1" s="195"/>
    <row r="612" ht="15.75" customHeight="1" s="195"/>
    <row r="613" ht="15.75" customHeight="1" s="195"/>
    <row r="614" ht="15.75" customHeight="1" s="195"/>
    <row r="615" ht="15.75" customHeight="1" s="195"/>
    <row r="616" ht="15.75" customHeight="1" s="195"/>
    <row r="617" ht="15.75" customHeight="1" s="195"/>
    <row r="618" ht="15.75" customHeight="1" s="195"/>
    <row r="619" ht="15.75" customHeight="1" s="195"/>
    <row r="620" ht="15.75" customHeight="1" s="195"/>
    <row r="621" ht="15.75" customHeight="1" s="195"/>
    <row r="622" ht="15.75" customHeight="1" s="195"/>
    <row r="623" ht="15.75" customHeight="1" s="195"/>
    <row r="624" ht="15.75" customHeight="1" s="195"/>
    <row r="625" ht="15.75" customHeight="1" s="195"/>
    <row r="626" ht="15.75" customHeight="1" s="195"/>
    <row r="627" ht="15.75" customHeight="1" s="195"/>
    <row r="628" ht="15.75" customHeight="1" s="195"/>
    <row r="629" ht="15.75" customHeight="1" s="195"/>
    <row r="630" ht="15.75" customHeight="1" s="195"/>
    <row r="631" ht="15.75" customHeight="1" s="195"/>
    <row r="632" ht="15.75" customHeight="1" s="195"/>
    <row r="633" ht="15.75" customHeight="1" s="195"/>
    <row r="634" ht="15.75" customHeight="1" s="195"/>
    <row r="635" ht="15.75" customHeight="1" s="195"/>
    <row r="636" ht="15.75" customHeight="1" s="195"/>
    <row r="637" ht="15.75" customHeight="1" s="195"/>
    <row r="638" ht="15.75" customHeight="1" s="195"/>
    <row r="639" ht="15.75" customHeight="1" s="195"/>
    <row r="640" ht="15.75" customHeight="1" s="195"/>
    <row r="641" ht="15.75" customHeight="1" s="195"/>
    <row r="642" ht="15.75" customHeight="1" s="195"/>
    <row r="643" ht="15.75" customHeight="1" s="195"/>
    <row r="644" ht="15.75" customHeight="1" s="195"/>
    <row r="645" ht="15.75" customHeight="1" s="195"/>
    <row r="646" ht="15.75" customHeight="1" s="195"/>
    <row r="647" ht="15.75" customHeight="1" s="195"/>
    <row r="648" ht="15.75" customHeight="1" s="195"/>
    <row r="649" ht="15.75" customHeight="1" s="195"/>
    <row r="650" ht="15.75" customHeight="1" s="195"/>
    <row r="651" ht="15.75" customHeight="1" s="195"/>
    <row r="652" ht="15.75" customHeight="1" s="195"/>
    <row r="653" ht="15.75" customHeight="1" s="195"/>
    <row r="654" ht="15.75" customHeight="1" s="195"/>
    <row r="655" ht="15.75" customHeight="1" s="195"/>
    <row r="656" ht="15.75" customHeight="1" s="195"/>
    <row r="657" ht="15.75" customHeight="1" s="195"/>
    <row r="658" ht="15.75" customHeight="1" s="195"/>
    <row r="659" ht="15.75" customHeight="1" s="195"/>
    <row r="660" ht="15.75" customHeight="1" s="195"/>
    <row r="661" ht="15.75" customHeight="1" s="195"/>
    <row r="662" ht="15.75" customHeight="1" s="195"/>
    <row r="663" ht="15.75" customHeight="1" s="195"/>
    <row r="664" ht="15.75" customHeight="1" s="195"/>
    <row r="665" ht="15.75" customHeight="1" s="195"/>
    <row r="666" ht="15.75" customHeight="1" s="195"/>
    <row r="667" ht="15.75" customHeight="1" s="195"/>
    <row r="668" ht="15.75" customHeight="1" s="195"/>
    <row r="669" ht="15.75" customHeight="1" s="195"/>
    <row r="670" ht="15.75" customHeight="1" s="195"/>
    <row r="671" ht="15.75" customHeight="1" s="195"/>
    <row r="672" ht="15.75" customHeight="1" s="195"/>
    <row r="673" ht="15.75" customHeight="1" s="195"/>
    <row r="674" ht="15.75" customHeight="1" s="195"/>
    <row r="675" ht="15.75" customHeight="1" s="195"/>
    <row r="676" ht="15.75" customHeight="1" s="195"/>
    <row r="677" ht="15.75" customHeight="1" s="195"/>
    <row r="678" ht="15.75" customHeight="1" s="195"/>
    <row r="679" ht="15.75" customHeight="1" s="195"/>
    <row r="680" ht="15.75" customHeight="1" s="195"/>
    <row r="681" ht="15.75" customHeight="1" s="195"/>
    <row r="682" ht="15.75" customHeight="1" s="195"/>
    <row r="683" ht="15.75" customHeight="1" s="195"/>
    <row r="684" ht="15.75" customHeight="1" s="195"/>
    <row r="685" ht="15.75" customHeight="1" s="195"/>
    <row r="686" ht="15.75" customHeight="1" s="195"/>
    <row r="687" ht="15.75" customHeight="1" s="195"/>
    <row r="688" ht="15.75" customHeight="1" s="195"/>
    <row r="689" ht="15.75" customHeight="1" s="195"/>
    <row r="690" ht="15.75" customHeight="1" s="195"/>
    <row r="691" ht="15.75" customHeight="1" s="195"/>
    <row r="692" ht="15.75" customHeight="1" s="195"/>
    <row r="693" ht="15.75" customHeight="1" s="195"/>
    <row r="694" ht="15.75" customHeight="1" s="195"/>
    <row r="695" ht="15.75" customHeight="1" s="195"/>
    <row r="696" ht="15.75" customHeight="1" s="195"/>
    <row r="697" ht="15.75" customHeight="1" s="195"/>
    <row r="698" ht="15.75" customHeight="1" s="195"/>
    <row r="699" ht="15.75" customHeight="1" s="195"/>
    <row r="700" ht="15.75" customHeight="1" s="195"/>
    <row r="701" ht="15.75" customHeight="1" s="195"/>
    <row r="702" ht="15.75" customHeight="1" s="195"/>
    <row r="703" ht="15.75" customHeight="1" s="195"/>
    <row r="704" ht="15.75" customHeight="1" s="195"/>
    <row r="705" ht="15.75" customHeight="1" s="195"/>
    <row r="706" ht="15.75" customHeight="1" s="195"/>
    <row r="707" ht="15.75" customHeight="1" s="195"/>
    <row r="708" ht="15.75" customHeight="1" s="195"/>
    <row r="709" ht="15.75" customHeight="1" s="195"/>
    <row r="710" ht="15.75" customHeight="1" s="195"/>
    <row r="711" ht="15.75" customHeight="1" s="195"/>
    <row r="712" ht="15.75" customHeight="1" s="195"/>
    <row r="713" ht="15.75" customHeight="1" s="195"/>
    <row r="714" ht="15.75" customHeight="1" s="195"/>
    <row r="715" ht="15.75" customHeight="1" s="195"/>
    <row r="716" ht="15.75" customHeight="1" s="195"/>
    <row r="717" ht="15.75" customHeight="1" s="195"/>
    <row r="718" ht="15.75" customHeight="1" s="195"/>
    <row r="719" ht="15.75" customHeight="1" s="195"/>
    <row r="720" ht="15.75" customHeight="1" s="195"/>
    <row r="721" ht="15.75" customHeight="1" s="195"/>
    <row r="722" ht="15.75" customHeight="1" s="195"/>
    <row r="723" ht="15.75" customHeight="1" s="195"/>
    <row r="724" ht="15.75" customHeight="1" s="195"/>
    <row r="725" ht="15.75" customHeight="1" s="195"/>
    <row r="726" ht="15.75" customHeight="1" s="195"/>
    <row r="727" ht="15.75" customHeight="1" s="195"/>
    <row r="728" ht="15.75" customHeight="1" s="195"/>
    <row r="729" ht="15.75" customHeight="1" s="195"/>
    <row r="730" ht="15.75" customHeight="1" s="195"/>
    <row r="731" ht="15.75" customHeight="1" s="195"/>
    <row r="732" ht="15.75" customHeight="1" s="195"/>
    <row r="733" ht="15.75" customHeight="1" s="195"/>
    <row r="734" ht="15.75" customHeight="1" s="195"/>
    <row r="735" ht="15.75" customHeight="1" s="195"/>
    <row r="736" ht="15.75" customHeight="1" s="195"/>
    <row r="737" ht="15.75" customHeight="1" s="195"/>
    <row r="738" ht="15.75" customHeight="1" s="195"/>
    <row r="739" ht="15.75" customHeight="1" s="195"/>
    <row r="740" ht="15.75" customHeight="1" s="195"/>
    <row r="741" ht="15.75" customHeight="1" s="195"/>
    <row r="742" ht="15.75" customHeight="1" s="195"/>
    <row r="743" ht="15.75" customHeight="1" s="195"/>
    <row r="744" ht="15.75" customHeight="1" s="195"/>
    <row r="745" ht="15.75" customHeight="1" s="195"/>
    <row r="746" ht="15.75" customHeight="1" s="195"/>
    <row r="747" ht="15.75" customHeight="1" s="195"/>
    <row r="748" ht="15.75" customHeight="1" s="195"/>
    <row r="749" ht="15.75" customHeight="1" s="195"/>
    <row r="750" ht="15.75" customHeight="1" s="195"/>
    <row r="751" ht="15.75" customHeight="1" s="195"/>
    <row r="752" ht="15.75" customHeight="1" s="195"/>
    <row r="753" ht="15.75" customHeight="1" s="195"/>
    <row r="754" ht="15.75" customHeight="1" s="195"/>
    <row r="755" ht="15.75" customHeight="1" s="195"/>
    <row r="756" ht="15.75" customHeight="1" s="195"/>
    <row r="757" ht="15.75" customHeight="1" s="195"/>
    <row r="758" ht="15.75" customHeight="1" s="195"/>
    <row r="759" ht="15.75" customHeight="1" s="195"/>
    <row r="760" ht="15.75" customHeight="1" s="195"/>
    <row r="761" ht="15.75" customHeight="1" s="195"/>
    <row r="762" ht="15.75" customHeight="1" s="195"/>
    <row r="763" ht="15.75" customHeight="1" s="195"/>
    <row r="764" ht="15.75" customHeight="1" s="195"/>
    <row r="765" ht="15.75" customHeight="1" s="195"/>
    <row r="766" ht="15.75" customHeight="1" s="195"/>
    <row r="767" ht="15.75" customHeight="1" s="195"/>
    <row r="768" ht="15.75" customHeight="1" s="195"/>
    <row r="769" ht="15.75" customHeight="1" s="195"/>
    <row r="770" ht="15.75" customHeight="1" s="195"/>
    <row r="771" ht="15.75" customHeight="1" s="195"/>
    <row r="772" ht="15.75" customHeight="1" s="195"/>
    <row r="773" ht="15.75" customHeight="1" s="195"/>
    <row r="774" ht="15.75" customHeight="1" s="195"/>
    <row r="775" ht="15.75" customHeight="1" s="195"/>
    <row r="776" ht="15.75" customHeight="1" s="195"/>
    <row r="777" ht="15.75" customHeight="1" s="195"/>
    <row r="778" ht="15.75" customHeight="1" s="195"/>
    <row r="779" ht="15.75" customHeight="1" s="195"/>
    <row r="780" ht="15.75" customHeight="1" s="195"/>
    <row r="781" ht="15.75" customHeight="1" s="195"/>
    <row r="782" ht="15.75" customHeight="1" s="195"/>
    <row r="783" ht="15.75" customHeight="1" s="195"/>
    <row r="784" ht="15.75" customHeight="1" s="195"/>
    <row r="785" ht="15.75" customHeight="1" s="195"/>
    <row r="786" ht="15.75" customHeight="1" s="195"/>
    <row r="787" ht="15.75" customHeight="1" s="195"/>
    <row r="788" ht="15.75" customHeight="1" s="195"/>
    <row r="789" ht="15.75" customHeight="1" s="195"/>
    <row r="790" ht="15.75" customHeight="1" s="195"/>
    <row r="791" ht="15.75" customHeight="1" s="195"/>
    <row r="792" ht="15.75" customHeight="1" s="195"/>
    <row r="793" ht="15.75" customHeight="1" s="195"/>
    <row r="794" ht="15.75" customHeight="1" s="195"/>
    <row r="795" ht="15.75" customHeight="1" s="195"/>
    <row r="796" ht="15.75" customHeight="1" s="195"/>
    <row r="797" ht="15.75" customHeight="1" s="195"/>
    <row r="798" ht="15.75" customHeight="1" s="195"/>
    <row r="799" ht="15.75" customHeight="1" s="195"/>
    <row r="800" ht="15.75" customHeight="1" s="195"/>
    <row r="801" ht="15.75" customHeight="1" s="195"/>
    <row r="802" ht="15.75" customHeight="1" s="195"/>
    <row r="803" ht="15.75" customHeight="1" s="195"/>
    <row r="804" ht="15.75" customHeight="1" s="195"/>
    <row r="805" ht="15.75" customHeight="1" s="195"/>
    <row r="806" ht="15.75" customHeight="1" s="195"/>
    <row r="807" ht="15.75" customHeight="1" s="195"/>
    <row r="808" ht="15.75" customHeight="1" s="195"/>
    <row r="809" ht="15.75" customHeight="1" s="195"/>
    <row r="810" ht="15.75" customHeight="1" s="195"/>
    <row r="811" ht="15.75" customHeight="1" s="195"/>
    <row r="812" ht="15.75" customHeight="1" s="195"/>
    <row r="813" ht="15.75" customHeight="1" s="195"/>
    <row r="814" ht="15.75" customHeight="1" s="195"/>
    <row r="815" ht="15.75" customHeight="1" s="195"/>
    <row r="816" ht="15.75" customHeight="1" s="195"/>
    <row r="817" ht="15.75" customHeight="1" s="195"/>
    <row r="818" ht="15.75" customHeight="1" s="195"/>
    <row r="819" ht="15.75" customHeight="1" s="195"/>
    <row r="820" ht="15.75" customHeight="1" s="195"/>
    <row r="821" ht="15.75" customHeight="1" s="195"/>
    <row r="822" ht="15.75" customHeight="1" s="195"/>
    <row r="823" ht="15.75" customHeight="1" s="195"/>
    <row r="824" ht="15.75" customHeight="1" s="195"/>
    <row r="825" ht="15.75" customHeight="1" s="195"/>
    <row r="826" ht="15.75" customHeight="1" s="195"/>
    <row r="827" ht="15.75" customHeight="1" s="195"/>
    <row r="828" ht="15.75" customHeight="1" s="195"/>
    <row r="829" ht="15.75" customHeight="1" s="195"/>
    <row r="830" ht="15.75" customHeight="1" s="195"/>
    <row r="831" ht="15.75" customHeight="1" s="195"/>
    <row r="832" ht="15.75" customHeight="1" s="195"/>
    <row r="833" ht="15.75" customHeight="1" s="195"/>
    <row r="834" ht="15.75" customHeight="1" s="195"/>
    <row r="835" ht="15.75" customHeight="1" s="195"/>
    <row r="836" ht="15.75" customHeight="1" s="195"/>
    <row r="837" ht="15.75" customHeight="1" s="195"/>
    <row r="838" ht="15.75" customHeight="1" s="195"/>
    <row r="839" ht="15.75" customHeight="1" s="195"/>
    <row r="840" ht="15.75" customHeight="1" s="195"/>
    <row r="841" ht="15.75" customHeight="1" s="195"/>
    <row r="842" ht="15.75" customHeight="1" s="195"/>
    <row r="843" ht="15.75" customHeight="1" s="195"/>
    <row r="844" ht="15.75" customHeight="1" s="195"/>
    <row r="845" ht="15.75" customHeight="1" s="195"/>
    <row r="846" ht="15.75" customHeight="1" s="195"/>
    <row r="847" ht="15.75" customHeight="1" s="195"/>
    <row r="848" ht="15.75" customHeight="1" s="195"/>
    <row r="849" ht="15.75" customHeight="1" s="195"/>
    <row r="850" ht="15.75" customHeight="1" s="195"/>
    <row r="851" ht="15.75" customHeight="1" s="195"/>
    <row r="852" ht="15.75" customHeight="1" s="195"/>
    <row r="853" ht="15.75" customHeight="1" s="195"/>
    <row r="854" ht="15.75" customHeight="1" s="195"/>
    <row r="855" ht="15.75" customHeight="1" s="195"/>
    <row r="856" ht="15.75" customHeight="1" s="195"/>
    <row r="857" ht="15.75" customHeight="1" s="195"/>
    <row r="858" ht="15.75" customHeight="1" s="195"/>
    <row r="859" ht="15.75" customHeight="1" s="195"/>
    <row r="860" ht="15.75" customHeight="1" s="195"/>
    <row r="861" ht="15.75" customHeight="1" s="195"/>
    <row r="862" ht="15.75" customHeight="1" s="195"/>
    <row r="863" ht="15.75" customHeight="1" s="195"/>
    <row r="864" ht="15.75" customHeight="1" s="195"/>
    <row r="865" ht="15.75" customHeight="1" s="195"/>
    <row r="866" ht="15.75" customHeight="1" s="195"/>
    <row r="867" ht="15.75" customHeight="1" s="195"/>
    <row r="868" ht="15.75" customHeight="1" s="195"/>
    <row r="869" ht="15.75" customHeight="1" s="195"/>
    <row r="870" ht="15.75" customHeight="1" s="195"/>
    <row r="871" ht="15.75" customHeight="1" s="195"/>
    <row r="872" ht="15.75" customHeight="1" s="195"/>
    <row r="873" ht="15.75" customHeight="1" s="195"/>
    <row r="874" ht="15.75" customHeight="1" s="195"/>
    <row r="875" ht="15.75" customHeight="1" s="195"/>
    <row r="876" ht="15.75" customHeight="1" s="195"/>
    <row r="877" ht="15.75" customHeight="1" s="195"/>
    <row r="878" ht="15.75" customHeight="1" s="195"/>
    <row r="879" ht="15.75" customHeight="1" s="195"/>
    <row r="880" ht="15.75" customHeight="1" s="195"/>
    <row r="881" ht="15.75" customHeight="1" s="195"/>
    <row r="882" ht="15.75" customHeight="1" s="195"/>
    <row r="883" ht="15.75" customHeight="1" s="195"/>
    <row r="884" ht="15.75" customHeight="1" s="195"/>
    <row r="885" ht="15.75" customHeight="1" s="195"/>
    <row r="886" ht="15.75" customHeight="1" s="195"/>
    <row r="887" ht="15.75" customHeight="1" s="195"/>
    <row r="888" ht="15.75" customHeight="1" s="195"/>
    <row r="889" ht="15.75" customHeight="1" s="195"/>
    <row r="890" ht="15.75" customHeight="1" s="195"/>
    <row r="891" ht="15.75" customHeight="1" s="195"/>
    <row r="892" ht="15.75" customHeight="1" s="195"/>
    <row r="893" ht="15.75" customHeight="1" s="195"/>
    <row r="894" ht="15.75" customHeight="1" s="195"/>
    <row r="895" ht="15.75" customHeight="1" s="195"/>
    <row r="896" ht="15.75" customHeight="1" s="195"/>
    <row r="897" ht="15.75" customHeight="1" s="195"/>
    <row r="898" ht="15.75" customHeight="1" s="195"/>
    <row r="899" ht="15.75" customHeight="1" s="195"/>
    <row r="900" ht="15.75" customHeight="1" s="195"/>
    <row r="901" ht="15.75" customHeight="1" s="195"/>
    <row r="902" ht="15.75" customHeight="1" s="195"/>
    <row r="903" ht="15.75" customHeight="1" s="195"/>
    <row r="904" ht="15.75" customHeight="1" s="195"/>
    <row r="905" ht="15.75" customHeight="1" s="195"/>
    <row r="906" ht="15.75" customHeight="1" s="195"/>
    <row r="907" ht="15.75" customHeight="1" s="195"/>
    <row r="908" ht="15.75" customHeight="1" s="195"/>
    <row r="909" ht="15.75" customHeight="1" s="195"/>
    <row r="910" ht="15.75" customHeight="1" s="195"/>
    <row r="911" ht="15.75" customHeight="1" s="195"/>
    <row r="912" ht="15.75" customHeight="1" s="195"/>
    <row r="913" ht="15.75" customHeight="1" s="195"/>
    <row r="914" ht="15.75" customHeight="1" s="195"/>
    <row r="915" ht="15.75" customHeight="1" s="195"/>
    <row r="916" ht="15.75" customHeight="1" s="195"/>
    <row r="917" ht="15.75" customHeight="1" s="195"/>
    <row r="918" ht="15.75" customHeight="1" s="195"/>
    <row r="919" ht="15.75" customHeight="1" s="195"/>
    <row r="920" ht="15.75" customHeight="1" s="195"/>
    <row r="921" ht="15.75" customHeight="1" s="195"/>
    <row r="922" ht="15.75" customHeight="1" s="195"/>
    <row r="923" ht="15.75" customHeight="1" s="195"/>
    <row r="924" ht="15.75" customHeight="1" s="195"/>
    <row r="925" ht="15.75" customHeight="1" s="195"/>
    <row r="926" ht="15.75" customHeight="1" s="195"/>
    <row r="927" ht="15.75" customHeight="1" s="195"/>
    <row r="928" ht="15.75" customHeight="1" s="195"/>
    <row r="929" ht="15.75" customHeight="1" s="195"/>
    <row r="930" ht="15.75" customHeight="1" s="195"/>
    <row r="931" ht="15.75" customHeight="1" s="195"/>
    <row r="932" ht="15.75" customHeight="1" s="195"/>
    <row r="933" ht="15.75" customHeight="1" s="195"/>
    <row r="934" ht="15.75" customHeight="1" s="195"/>
    <row r="935" ht="15.75" customHeight="1" s="195"/>
    <row r="936" ht="15.75" customHeight="1" s="195"/>
    <row r="937" ht="15.75" customHeight="1" s="195"/>
    <row r="938" ht="15.75" customHeight="1" s="195"/>
    <row r="939" ht="15.75" customHeight="1" s="195"/>
    <row r="940" ht="15.75" customHeight="1" s="195"/>
    <row r="941" ht="15.75" customHeight="1" s="195"/>
    <row r="942" ht="15.75" customHeight="1" s="195"/>
    <row r="943" ht="15.75" customHeight="1" s="195"/>
    <row r="944" ht="15.75" customHeight="1" s="195"/>
    <row r="945" ht="15.75" customHeight="1" s="195"/>
    <row r="946" ht="15.75" customHeight="1" s="195"/>
    <row r="947" ht="15.75" customHeight="1" s="195"/>
    <row r="948" ht="15.75" customHeight="1" s="195"/>
    <row r="949" ht="15.75" customHeight="1" s="195"/>
    <row r="950" ht="15.75" customHeight="1" s="195"/>
    <row r="951" ht="15.75" customHeight="1" s="195"/>
    <row r="952" ht="15.75" customHeight="1" s="195"/>
    <row r="953" ht="15.75" customHeight="1" s="195"/>
    <row r="954" ht="15.75" customHeight="1" s="195"/>
    <row r="955" ht="15.75" customHeight="1" s="195"/>
    <row r="956" ht="15.75" customHeight="1" s="195"/>
    <row r="957" ht="15.75" customHeight="1" s="195"/>
    <row r="958" ht="15.75" customHeight="1" s="195"/>
    <row r="959" ht="15.75" customHeight="1" s="195"/>
    <row r="960" ht="15.75" customHeight="1" s="195"/>
    <row r="961" ht="15.75" customHeight="1" s="195"/>
    <row r="962" ht="15.75" customHeight="1" s="195"/>
    <row r="963" ht="15.75" customHeight="1" s="195"/>
    <row r="964" ht="15.75" customHeight="1" s="195"/>
    <row r="965" ht="15.75" customHeight="1" s="195"/>
    <row r="966" ht="15.75" customHeight="1" s="195"/>
    <row r="967" ht="15.75" customHeight="1" s="195"/>
    <row r="968" ht="15.75" customHeight="1" s="195"/>
    <row r="969" ht="15.75" customHeight="1" s="195"/>
    <row r="970" ht="15.75" customHeight="1" s="195"/>
    <row r="971" ht="15.75" customHeight="1" s="195"/>
    <row r="972" ht="15.75" customHeight="1" s="195"/>
    <row r="973" ht="15.75" customHeight="1" s="195"/>
    <row r="974" ht="15.75" customHeight="1" s="195"/>
    <row r="975" ht="15.75" customHeight="1" s="195"/>
    <row r="976" ht="15.75" customHeight="1" s="195"/>
    <row r="977" ht="15.75" customHeight="1" s="195"/>
    <row r="978" ht="15.75" customHeight="1" s="195"/>
    <row r="979" ht="15.75" customHeight="1" s="195"/>
    <row r="980" ht="15.75" customHeight="1" s="195"/>
    <row r="981" ht="15.75" customHeight="1" s="195"/>
    <row r="982" ht="15.75" customHeight="1" s="195"/>
    <row r="983" ht="15.75" customHeight="1" s="195"/>
    <row r="984" ht="15.75" customHeight="1" s="195"/>
    <row r="985" ht="15.75" customHeight="1" s="195"/>
    <row r="986" ht="15.75" customHeight="1" s="195"/>
    <row r="987" ht="15.75" customHeight="1" s="195"/>
    <row r="988" ht="15.75" customHeight="1" s="195"/>
    <row r="989" ht="15.75" customHeight="1" s="195"/>
    <row r="990" ht="15.75" customHeight="1" s="195"/>
    <row r="991" ht="15.75" customHeight="1" s="195"/>
    <row r="992" ht="15.75" customHeight="1" s="195"/>
    <row r="993" ht="15.75" customHeight="1" s="195"/>
    <row r="994" ht="15.75" customHeight="1" s="195"/>
    <row r="995" ht="15.75" customHeight="1" s="195"/>
    <row r="996" ht="15.75" customHeight="1" s="195"/>
    <row r="997" ht="15.75" customHeight="1" s="195"/>
    <row r="998" ht="15.75" customHeight="1" s="195"/>
    <row r="999" ht="15.75" customHeight="1" s="195"/>
    <row r="1000" ht="15.75" customHeight="1" s="195"/>
  </sheetData>
  <mergeCells count="13">
    <mergeCell ref="D2:F2"/>
    <mergeCell ref="A102:J102"/>
    <mergeCell ref="G2:I2"/>
    <mergeCell ref="S2:T2"/>
    <mergeCell ref="J2:L2"/>
    <mergeCell ref="A506:G506"/>
    <mergeCell ref="U2:V2"/>
    <mergeCell ref="P2:R2"/>
    <mergeCell ref="A1:Y1"/>
    <mergeCell ref="W2:AC2"/>
    <mergeCell ref="A4:Y4"/>
    <mergeCell ref="M2:O2"/>
    <mergeCell ref="A2:C2"/>
  </mergeCells>
  <conditionalFormatting sqref="T6:T505">
    <cfRule type="expression" rank="0" priority="2" equalAverage="0" aboveAverage="0" dxfId="0" text="" percent="0" bottom="0">
      <formula>EXACT(T6,"APROBADO")</formula>
    </cfRule>
    <cfRule type="expression" rank="0" priority="3" equalAverage="0" aboveAverage="0" dxfId="7" text="" percent="0" bottom="0">
      <formula>EXACT(T6,"PENDIENTE")</formula>
    </cfRule>
  </conditionalFormatting>
  <conditionalFormatting sqref="K6:K505">
    <cfRule type="expression" rank="0" priority="4" equalAverage="0" aboveAverage="0" dxfId="8" text="" percent="0" bottom="0">
      <formula>EXACT(K6,"GASOLINA")</formula>
    </cfRule>
  </conditionalFormatting>
  <conditionalFormatting sqref="Y4:Y130">
    <cfRule type="expression" rank="0" priority="5" equalAverage="0" aboveAverage="0" dxfId="9" text="" percent="0" bottom="0">
      <formula>Y4&lt;&gt;""</formula>
    </cfRule>
  </conditionalFormatting>
  <dataValidations count="4">
    <dataValidation sqref="Y5:Y130" showDropDown="0" showInputMessage="0" showErrorMessage="0" allowBlank="1" type="list" errorStyle="stop" operator="between">
      <formula1>CONDUCTORES!$H$3:$H$104</formula1>
      <formula2>0</formula2>
    </dataValidation>
    <dataValidation sqref="K6:K505" showDropDown="0" showInputMessage="0" showErrorMessage="0" allowBlank="1" type="list" errorStyle="stop" operator="between">
      <formula1>"PETROLEO,GASOLINA"</formula1>
      <formula2>0</formula2>
    </dataValidation>
    <dataValidation sqref="E6:E101 E103:E505" showDropDown="0" showInputMessage="0" showErrorMessage="0" allowBlank="1" type="list" errorStyle="stop" operator="between">
      <formula1>"DNI,CE,PASAPORTE"</formula1>
      <formula2>0</formula2>
    </dataValidation>
    <dataValidation sqref="T6:T505" showDropDown="0" showInputMessage="0" showErrorMessage="0" allowBlank="1" type="list" errorStyle="stop" operator="between">
      <formula1>"APROBADO,PENDIENTE,OBSERVADO"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C5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14.43359375" defaultRowHeight="15" zeroHeight="0" outlineLevelRow="0"/>
  <cols>
    <col width="5" customWidth="1" style="194" min="1" max="1"/>
    <col width="14" customWidth="1" style="194" min="2" max="2"/>
    <col width="8" customWidth="1" style="194" min="3" max="3"/>
    <col width="28" customWidth="1" style="194" min="4" max="4"/>
    <col width="7" customWidth="1" style="194" min="5" max="5"/>
    <col width="14" customWidth="1" style="194" min="6" max="6"/>
    <col width="12" customWidth="1" style="194" min="7" max="7"/>
    <col width="10" customWidth="1" style="194" min="8" max="8"/>
    <col width="30" customWidth="1" style="194" min="9" max="9"/>
    <col width="10" customWidth="1" style="194" min="10" max="10"/>
    <col width="12" customWidth="1" style="194" min="11" max="11"/>
    <col width="10" customWidth="1" style="194" min="12" max="13"/>
    <col width="14" customWidth="1" style="194" min="14" max="15"/>
    <col width="28" customWidth="1" style="194" min="16" max="16"/>
    <col width="12" customWidth="1" style="194" min="17" max="18"/>
    <col width="16" customWidth="1" style="194" min="19" max="19"/>
    <col width="12" customWidth="1" style="194" min="20" max="21"/>
    <col width="14" customWidth="1" style="194" min="22" max="23"/>
    <col width="8" customWidth="1" style="194" min="24" max="24"/>
    <col width="22" customWidth="1" style="194" min="25" max="25"/>
    <col width="8.710000000000001" customWidth="1" style="194" min="26" max="29"/>
  </cols>
  <sheetData>
    <row r="1" ht="27.75" customHeight="1" s="195">
      <c r="A1" s="317" t="inlineStr">
        <is>
          <t>REPORTE DE TRASLADO DE PACIENTES SIS DEL MES DE MARZO 2025 PARA REPOSICION DE COMBUSTIBLE</t>
        </is>
      </c>
    </row>
    <row r="2" ht="21.75" customHeight="1" s="195">
      <c r="A2" s="318" t="inlineStr">
        <is>
          <t>TOTAL PETROLEO (gal):</t>
        </is>
      </c>
      <c r="D2" s="319">
        <f>IFERROR(SUMPRODUCT((K4:K125="PETROLEO")*ISNUMBER(M4:M125)*M4:M125),0)</f>
        <v/>
      </c>
      <c r="G2" s="318" t="inlineStr">
        <is>
          <t>TOTAL GASOLINA (gal):</t>
        </is>
      </c>
      <c r="J2" s="319">
        <f>IFERROR(SUMPRODUCT((K4:K125="GASOLINA")*ISNUMBER(M4:M125)*M4:M125),0)</f>
        <v/>
      </c>
      <c r="M2" s="318" t="inlineStr">
        <is>
          <t>TOTAL SOLES S/.:</t>
        </is>
      </c>
      <c r="P2" s="320">
        <f>IFERROR(SUMPRODUCT(ISNUMBER(M4:M125)*L4:L125*M4:M125),0)</f>
        <v/>
      </c>
      <c r="S2" s="318" t="inlineStr">
        <is>
          <t>N TRASLADOS:</t>
        </is>
      </c>
      <c r="U2" s="321">
        <f>SUBTOTAL(2,A4:A125)</f>
        <v/>
      </c>
      <c r="W2" s="322" t="inlineStr">
        <is>
          <t>↑ Al filtrar por EESS los totales cambian automáticamente</t>
        </is>
      </c>
    </row>
    <row r="3" ht="3.75" customHeight="1" s="195">
      <c r="A3" s="323" t="n"/>
      <c r="B3" s="323" t="n"/>
      <c r="C3" s="323" t="n"/>
      <c r="D3" s="323" t="n"/>
      <c r="E3" s="323" t="n"/>
      <c r="F3" s="323" t="n"/>
      <c r="G3" s="323" t="n"/>
      <c r="H3" s="323" t="n"/>
      <c r="I3" s="323" t="n"/>
      <c r="J3" s="323" t="n"/>
      <c r="K3" s="323" t="n"/>
      <c r="L3" s="323" t="n"/>
      <c r="M3" s="323" t="n"/>
      <c r="N3" s="323" t="n"/>
      <c r="O3" s="323" t="n"/>
      <c r="P3" s="323" t="n"/>
      <c r="Q3" s="323" t="n"/>
      <c r="R3" s="323" t="n"/>
      <c r="S3" s="323" t="n"/>
      <c r="T3" s="323" t="n"/>
      <c r="U3" s="323" t="n"/>
      <c r="V3" s="323" t="n"/>
      <c r="W3" s="323" t="n"/>
      <c r="X3" s="323" t="n"/>
      <c r="Y3" s="324" t="inlineStr">
        <is>
          <t>DEVOLVER A
(IPRESS DESTINO)</t>
        </is>
      </c>
    </row>
    <row r="4" ht="19.5" customHeight="1" s="195">
      <c r="A4" s="325" t="inlineStr">
        <is>
          <t>COLUMNAS EN AZUL = AUTO (no editar) | Ingrese: N, NRO FORMATO, AFILIADO, TIPO DOC, NRO DOC, FECHA TRASLADO, COD RENAES, COD REFERENCIA, DNI CONDUCTOR, PRECIO GAL, GALONES, FECHA ENTREGA, CIE-10, ESTADO FUA, FECHA DIGITACION, OFICIO, O/C, META, OBSERVACION</t>
        </is>
      </c>
    </row>
    <row r="5" ht="30" customHeight="1" s="195">
      <c r="A5" s="326" t="inlineStr">
        <is>
          <t>N</t>
        </is>
      </c>
      <c r="B5" s="327" t="inlineStr">
        <is>
          <t>NRO FORMATO
ATENCION</t>
        </is>
      </c>
      <c r="C5" s="327" t="inlineStr">
        <is>
          <t>UNIDAD
EJECUTORA</t>
        </is>
      </c>
      <c r="D5" s="327" t="inlineStr">
        <is>
          <t>AFILIADO</t>
        </is>
      </c>
      <c r="E5" s="327" t="inlineStr">
        <is>
          <t>TIPO
DOC</t>
        </is>
      </c>
      <c r="F5" s="327" t="inlineStr">
        <is>
          <t>NRO
DOCUMENTO</t>
        </is>
      </c>
      <c r="G5" s="327" t="inlineStr">
        <is>
          <t>FECHA
TRASLADO</t>
        </is>
      </c>
      <c r="H5" s="327" t="inlineStr">
        <is>
          <t>COD
RENAES</t>
        </is>
      </c>
      <c r="I5" s="328" t="inlineStr">
        <is>
          <t>DESCRIPCION
EESS</t>
        </is>
      </c>
      <c r="J5" s="327" t="inlineStr">
        <is>
          <t>COD EESS
REFERENCIA</t>
        </is>
      </c>
      <c r="K5" s="328" t="inlineStr">
        <is>
          <t>TIPO DE
COMBUSTIBLE</t>
        </is>
      </c>
      <c r="L5" s="327" t="inlineStr">
        <is>
          <t>PRECIO
GAL S/.</t>
        </is>
      </c>
      <c r="M5" s="327" t="inlineStr">
        <is>
          <t>GALONES</t>
        </is>
      </c>
      <c r="N5" s="328" t="inlineStr">
        <is>
          <t>TOTAL
COMBUSTIBLE S/.</t>
        </is>
      </c>
      <c r="O5" s="327" t="inlineStr">
        <is>
          <t>DNI
CONDUCTOR</t>
        </is>
      </c>
      <c r="P5" s="329">
        <f>IFERROR(VLOOKUP(TEXT(O5,"0"),CONDUCTORES!$A$3:$G$100,2,0),"")</f>
        <v/>
      </c>
      <c r="Q5" s="329">
        <f>IFERROR(VLOOKUP(TEXT(O5,"0"),CONDUCTORES!$A$3:$H$100,6,0),"")</f>
        <v/>
      </c>
      <c r="R5" s="327" t="inlineStr">
        <is>
          <t>FECHA DE
ENTREGA</t>
        </is>
      </c>
      <c r="S5" s="327" t="inlineStr">
        <is>
          <t>CODIGO DE
DIAGNOSTICO</t>
        </is>
      </c>
      <c r="T5" s="327" t="inlineStr">
        <is>
          <t>ESTADO
FUA</t>
        </is>
      </c>
      <c r="U5" s="327" t="inlineStr">
        <is>
          <t>FECHA
DIGITACION</t>
        </is>
      </c>
      <c r="V5" s="327" t="inlineStr">
        <is>
          <t>OFICIO</t>
        </is>
      </c>
      <c r="W5" s="327" t="inlineStr">
        <is>
          <t>O/C</t>
        </is>
      </c>
      <c r="X5" s="327" t="inlineStr">
        <is>
          <t>META</t>
        </is>
      </c>
      <c r="Y5" s="330" t="inlineStr">
        <is>
          <t>OBSERVACION</t>
        </is>
      </c>
    </row>
    <row r="6" ht="15.75" customHeight="1" s="195">
      <c r="A6" s="301" t="n">
        <v>1</v>
      </c>
      <c r="B6" s="302" t="inlineStr">
        <is>
          <t>0000001</t>
        </is>
      </c>
      <c r="C6" s="301" t="inlineStr">
        <is>
          <t>REGION</t>
        </is>
      </c>
      <c r="D6" s="302" t="inlineStr">
        <is>
          <t>HERNANDEZ VIGO DAYLLELIT</t>
        </is>
      </c>
      <c r="E6" s="301" t="inlineStr">
        <is>
          <t>DNI</t>
        </is>
      </c>
      <c r="F6" s="301" t="inlineStr">
        <is>
          <t>60297623</t>
        </is>
      </c>
      <c r="G6" s="331" t="n">
        <v>45732</v>
      </c>
      <c r="H6" s="301" t="inlineStr">
        <is>
          <t>7172</t>
        </is>
      </c>
      <c r="I6" s="332">
        <f>IFERROR(VLOOKUP(TEXT(H6,"0"),IPRESS!$A$3:$B$212,2,0),"")</f>
        <v/>
      </c>
      <c r="J6" s="301" t="inlineStr">
        <is>
          <t>4838</t>
        </is>
      </c>
      <c r="K6" s="332">
        <f>IFERROR(VLOOKUP(TEXT(O6,"0"),CONDUCTORES!$A$3:$G$100,7,0),"")</f>
        <v/>
      </c>
      <c r="L6" s="245" t="n">
        <v>18.18</v>
      </c>
      <c r="M6" s="245" t="n">
        <v>10</v>
      </c>
      <c r="N6" s="333">
        <f>IFERROR(IF(L6*M6=0,"",L6*M6),"")</f>
        <v/>
      </c>
      <c r="O6" s="280" t="n"/>
      <c r="P6" s="332">
        <f>IFERROR(VLOOKUP(TEXT(O6,"0"),CONDUCTORES!$A$3:$G$100,2,0),"")</f>
        <v/>
      </c>
      <c r="Q6" s="332">
        <f>IFERROR(VLOOKUP(TEXT(O6,"0"),CONDUCTORES!$A$3:$H$100,6,0),"")</f>
        <v/>
      </c>
      <c r="R6" s="331" t="n">
        <v>45789</v>
      </c>
      <c r="S6" s="302" t="inlineStr">
        <is>
          <t>Z359,O034</t>
        </is>
      </c>
      <c r="T6" s="301" t="n"/>
      <c r="U6" s="331" t="n">
        <v>45768</v>
      </c>
      <c r="V6" s="301" t="inlineStr">
        <is>
          <t>OFICO  1937-2025</t>
        </is>
      </c>
      <c r="W6" s="301" t="inlineStr">
        <is>
          <t>0000108- ADENDA N°001-2025 DRSA/OEA-O.ABAST</t>
        </is>
      </c>
      <c r="X6" s="301" t="inlineStr">
        <is>
          <t>256.0</t>
        </is>
      </c>
      <c r="Y6" s="280" t="n"/>
    </row>
    <row r="7" ht="15.75" customHeight="1" s="195">
      <c r="A7" s="337" t="n">
        <v>2</v>
      </c>
      <c r="B7" s="338" t="inlineStr">
        <is>
          <t>0000012</t>
        </is>
      </c>
      <c r="C7" s="337" t="inlineStr">
        <is>
          <t>REGION</t>
        </is>
      </c>
      <c r="D7" s="338" t="inlineStr">
        <is>
          <t>PEREZ DIAZ LEILA</t>
        </is>
      </c>
      <c r="E7" s="337" t="inlineStr">
        <is>
          <t>DNI</t>
        </is>
      </c>
      <c r="F7" s="337" t="inlineStr">
        <is>
          <t>46921694</t>
        </is>
      </c>
      <c r="G7" s="339" t="n">
        <v>45725</v>
      </c>
      <c r="H7" s="337" t="inlineStr">
        <is>
          <t>4937</t>
        </is>
      </c>
      <c r="I7" s="332">
        <f>IFERROR(VLOOKUP(TEXT(H7,"0"),IPRESS!$A$3:$B$212,2,0),"")</f>
        <v/>
      </c>
      <c r="J7" s="337" t="inlineStr">
        <is>
          <t>4932</t>
        </is>
      </c>
      <c r="K7" s="332">
        <f>IFERROR(VLOOKUP(TEXT(O7,"0"),CONDUCTORES!$A$3:$G$100,7,0),"")</f>
        <v/>
      </c>
      <c r="L7" s="340" t="n">
        <v>17.95</v>
      </c>
      <c r="M7" s="340" t="n">
        <v>5</v>
      </c>
      <c r="N7" s="333">
        <f>IFERROR(IF(L7*M7=0,"",L7*M7),"")</f>
        <v/>
      </c>
      <c r="O7" s="334" t="n"/>
      <c r="P7" s="332">
        <f>IFERROR(VLOOKUP(TEXT(O7,"0"),CONDUCTORES!$A$3:$G$100,2,0),"")</f>
        <v/>
      </c>
      <c r="Q7" s="332">
        <f>IFERROR(VLOOKUP(TEXT(O7,"0"),CONDUCTORES!$A$3:$H$100,6,0),"")</f>
        <v/>
      </c>
      <c r="R7" s="341" t="inlineStr">
        <is>
          <t>ATENDIDO 22/04/2025</t>
        </is>
      </c>
      <c r="S7" s="338" t="inlineStr">
        <is>
          <t>O622,Z349</t>
        </is>
      </c>
      <c r="T7" s="337" t="n"/>
      <c r="U7" s="339" t="n">
        <v>45749</v>
      </c>
      <c r="V7" s="337" t="inlineStr">
        <is>
          <t>1614-2025</t>
        </is>
      </c>
      <c r="W7" s="337" t="inlineStr">
        <is>
          <t>ADENDA N°001-2025 DRSA/OEA-O.ABAST</t>
        </is>
      </c>
      <c r="X7" s="337" t="inlineStr">
        <is>
          <t>251.0</t>
        </is>
      </c>
      <c r="Y7" s="280" t="n"/>
    </row>
    <row r="8" ht="15.75" customHeight="1" s="195">
      <c r="A8" s="337" t="n">
        <v>3</v>
      </c>
      <c r="B8" s="338" t="inlineStr">
        <is>
          <t>0000013</t>
        </is>
      </c>
      <c r="C8" s="337" t="inlineStr">
        <is>
          <t>REGION</t>
        </is>
      </c>
      <c r="D8" s="338" t="inlineStr">
        <is>
          <t>SILVA TAFUR JHARLENY</t>
        </is>
      </c>
      <c r="E8" s="337" t="inlineStr">
        <is>
          <t>DNI</t>
        </is>
      </c>
      <c r="F8" s="337" t="inlineStr">
        <is>
          <t>75926417</t>
        </is>
      </c>
      <c r="G8" s="339" t="n">
        <v>45725</v>
      </c>
      <c r="H8" s="337" t="inlineStr">
        <is>
          <t>4937</t>
        </is>
      </c>
      <c r="I8" s="332">
        <f>IFERROR(VLOOKUP(TEXT(H8,"0"),IPRESS!$A$3:$B$212,2,0),"")</f>
        <v/>
      </c>
      <c r="J8" s="337" t="inlineStr">
        <is>
          <t>4937</t>
        </is>
      </c>
      <c r="K8" s="332">
        <f>IFERROR(VLOOKUP(TEXT(O8,"0"),CONDUCTORES!$A$3:$G$100,7,0),"")</f>
        <v/>
      </c>
      <c r="L8" s="340" t="n">
        <v>17.95</v>
      </c>
      <c r="M8" s="340" t="n">
        <v>5</v>
      </c>
      <c r="N8" s="333">
        <f>IFERROR(IF(L8*M8=0,"",L8*M8),"")</f>
        <v/>
      </c>
      <c r="O8" s="280" t="n"/>
      <c r="P8" s="332">
        <f>IFERROR(VLOOKUP(TEXT(O8,"0"),CONDUCTORES!$A$3:$G$100,2,0),"")</f>
        <v/>
      </c>
      <c r="Q8" s="332">
        <f>IFERROR(VLOOKUP(TEXT(O8,"0"),CONDUCTORES!$A$3:$H$100,6,0),"")</f>
        <v/>
      </c>
      <c r="R8" s="341" t="inlineStr">
        <is>
          <t>ATENDIDO 22/04/2025</t>
        </is>
      </c>
      <c r="S8" s="338" t="inlineStr">
        <is>
          <t>O622,Z349</t>
        </is>
      </c>
      <c r="T8" s="337" t="n"/>
      <c r="U8" s="339" t="n">
        <v>45749</v>
      </c>
      <c r="V8" s="337" t="inlineStr">
        <is>
          <t>1614-2025</t>
        </is>
      </c>
      <c r="W8" s="337" t="inlineStr">
        <is>
          <t>ADENDA N°001-2025 DRSA/OEA-O.ABAST</t>
        </is>
      </c>
      <c r="X8" s="337" t="inlineStr">
        <is>
          <t>251.0</t>
        </is>
      </c>
      <c r="Y8" s="280" t="n"/>
    </row>
    <row r="9" ht="15.75" customHeight="1" s="195">
      <c r="A9" s="337" t="n">
        <v>4</v>
      </c>
      <c r="B9" s="338" t="inlineStr">
        <is>
          <t>0000014</t>
        </is>
      </c>
      <c r="C9" s="337" t="inlineStr">
        <is>
          <t>REGION</t>
        </is>
      </c>
      <c r="D9" s="338" t="inlineStr">
        <is>
          <t>SALDAÑA GUEVARA ROBER</t>
        </is>
      </c>
      <c r="E9" s="337" t="inlineStr">
        <is>
          <t>DNI</t>
        </is>
      </c>
      <c r="F9" s="337" t="inlineStr">
        <is>
          <t>43009751</t>
        </is>
      </c>
      <c r="G9" s="339" t="n">
        <v>45738</v>
      </c>
      <c r="H9" s="337" t="inlineStr">
        <is>
          <t>4937</t>
        </is>
      </c>
      <c r="I9" s="332">
        <f>IFERROR(VLOOKUP(TEXT(H9,"0"),IPRESS!$A$3:$B$212,2,0),"")</f>
        <v/>
      </c>
      <c r="J9" s="337" t="inlineStr">
        <is>
          <t>4838</t>
        </is>
      </c>
      <c r="K9" s="332">
        <f>IFERROR(VLOOKUP(TEXT(O9,"0"),CONDUCTORES!$A$3:$G$100,7,0),"")</f>
        <v/>
      </c>
      <c r="L9" s="340" t="n">
        <v>17.95</v>
      </c>
      <c r="M9" s="340" t="n">
        <v>15</v>
      </c>
      <c r="N9" s="333">
        <f>IFERROR(IF(L9*M9=0,"",L9*M9),"")</f>
        <v/>
      </c>
      <c r="O9" s="334" t="n"/>
      <c r="P9" s="332">
        <f>IFERROR(VLOOKUP(TEXT(O9,"0"),CONDUCTORES!$A$3:$G$100,2,0),"")</f>
        <v/>
      </c>
      <c r="Q9" s="332">
        <f>IFERROR(VLOOKUP(TEXT(O9,"0"),CONDUCTORES!$A$3:$H$100,6,0),"")</f>
        <v/>
      </c>
      <c r="R9" s="341" t="inlineStr">
        <is>
          <t>ATENDIDO 06/05/2026</t>
        </is>
      </c>
      <c r="S9" s="338" t="inlineStr">
        <is>
          <t>S019</t>
        </is>
      </c>
      <c r="T9" s="337" t="n"/>
      <c r="U9" s="339" t="n">
        <v>45768</v>
      </c>
      <c r="V9" s="337" t="inlineStr">
        <is>
          <t>1614-2026</t>
        </is>
      </c>
      <c r="W9" s="337" t="inlineStr">
        <is>
          <t>ADENDA N°001-2025 DRSA/OEA-O.ABAST</t>
        </is>
      </c>
      <c r="X9" s="337" t="inlineStr">
        <is>
          <t>251.0</t>
        </is>
      </c>
      <c r="Y9" s="280" t="n"/>
    </row>
    <row r="10" ht="15.75" customHeight="1" s="195">
      <c r="A10" s="337" t="n">
        <v>5</v>
      </c>
      <c r="B10" s="338" t="inlineStr">
        <is>
          <t>0000015</t>
        </is>
      </c>
      <c r="C10" s="337" t="inlineStr">
        <is>
          <t>REGION</t>
        </is>
      </c>
      <c r="D10" s="338" t="inlineStr">
        <is>
          <t>CHAMOLI DE VALLE FLORINDA</t>
        </is>
      </c>
      <c r="E10" s="337" t="inlineStr">
        <is>
          <t>DNI</t>
        </is>
      </c>
      <c r="F10" s="337" t="inlineStr">
        <is>
          <t>33731590</t>
        </is>
      </c>
      <c r="G10" s="339" t="n">
        <v>45740</v>
      </c>
      <c r="H10" s="337" t="inlineStr">
        <is>
          <t>4937</t>
        </is>
      </c>
      <c r="I10" s="332">
        <f>IFERROR(VLOOKUP(TEXT(H10,"0"),IPRESS!$A$3:$B$212,2,0),"")</f>
        <v/>
      </c>
      <c r="J10" s="337" t="inlineStr">
        <is>
          <t>4932</t>
        </is>
      </c>
      <c r="K10" s="332">
        <f>IFERROR(VLOOKUP(TEXT(O10,"0"),CONDUCTORES!$A$3:$G$100,7,0),"")</f>
        <v/>
      </c>
      <c r="L10" s="340" t="n">
        <v>17.95</v>
      </c>
      <c r="M10" s="340" t="n">
        <v>5</v>
      </c>
      <c r="N10" s="333">
        <f>IFERROR(IF(L10*M10=0,"",L10*M10),"")</f>
        <v/>
      </c>
      <c r="O10" s="280" t="n"/>
      <c r="P10" s="332">
        <f>IFERROR(VLOOKUP(TEXT(O10,"0"),CONDUCTORES!$A$3:$G$100,2,0),"")</f>
        <v/>
      </c>
      <c r="Q10" s="332">
        <f>IFERROR(VLOOKUP(TEXT(O10,"0"),CONDUCTORES!$A$3:$H$100,6,0),"")</f>
        <v/>
      </c>
      <c r="R10" s="341" t="inlineStr">
        <is>
          <t>ATENDIDO 06/05/2027</t>
        </is>
      </c>
      <c r="S10" s="338" t="inlineStr">
        <is>
          <t>K297</t>
        </is>
      </c>
      <c r="T10" s="337" t="n"/>
      <c r="U10" s="339" t="n">
        <v>45772</v>
      </c>
      <c r="V10" s="337" t="inlineStr">
        <is>
          <t>1786-2025</t>
        </is>
      </c>
      <c r="W10" s="337" t="inlineStr">
        <is>
          <t>ADENDA N°001-2025 DRSA/OEA-O.ABAST</t>
        </is>
      </c>
      <c r="X10" s="337" t="inlineStr">
        <is>
          <t>251.0</t>
        </is>
      </c>
      <c r="Y10" s="280" t="n"/>
    </row>
    <row r="11" ht="15.75" customHeight="1" s="195">
      <c r="A11" s="337" t="n">
        <v>6</v>
      </c>
      <c r="B11" s="338" t="inlineStr">
        <is>
          <t>0000016</t>
        </is>
      </c>
      <c r="C11" s="337" t="inlineStr">
        <is>
          <t>REGION</t>
        </is>
      </c>
      <c r="D11" s="338" t="inlineStr">
        <is>
          <t>BAUTISTA NUÑEZ JOSE NICOLAS</t>
        </is>
      </c>
      <c r="E11" s="337" t="inlineStr">
        <is>
          <t>DNI</t>
        </is>
      </c>
      <c r="F11" s="337" t="inlineStr">
        <is>
          <t>33673698</t>
        </is>
      </c>
      <c r="G11" s="339" t="n">
        <v>45742</v>
      </c>
      <c r="H11" s="337" t="inlineStr">
        <is>
          <t>4937</t>
        </is>
      </c>
      <c r="I11" s="332">
        <f>IFERROR(VLOOKUP(TEXT(H11,"0"),IPRESS!$A$3:$B$212,2,0),"")</f>
        <v/>
      </c>
      <c r="J11" s="337" t="inlineStr">
        <is>
          <t>4932</t>
        </is>
      </c>
      <c r="K11" s="332">
        <f>IFERROR(VLOOKUP(TEXT(O11,"0"),CONDUCTORES!$A$3:$G$100,7,0),"")</f>
        <v/>
      </c>
      <c r="L11" s="340" t="n">
        <v>17.95</v>
      </c>
      <c r="M11" s="340" t="n">
        <v>5</v>
      </c>
      <c r="N11" s="333">
        <f>IFERROR(IF(L11*M11=0,"",L11*M11),"")</f>
        <v/>
      </c>
      <c r="O11" s="334" t="n"/>
      <c r="P11" s="332">
        <f>IFERROR(VLOOKUP(TEXT(O11,"0"),CONDUCTORES!$A$3:$G$100,2,0),"")</f>
        <v/>
      </c>
      <c r="Q11" s="332">
        <f>IFERROR(VLOOKUP(TEXT(O11,"0"),CONDUCTORES!$A$3:$H$100,6,0),"")</f>
        <v/>
      </c>
      <c r="R11" s="341" t="inlineStr">
        <is>
          <t>ATENDIDO 06/05/2028</t>
        </is>
      </c>
      <c r="S11" s="338" t="inlineStr">
        <is>
          <t>K359</t>
        </is>
      </c>
      <c r="T11" s="337" t="n"/>
      <c r="U11" s="339" t="n">
        <v>45776</v>
      </c>
      <c r="V11" s="337" t="inlineStr">
        <is>
          <t>1786-2025</t>
        </is>
      </c>
      <c r="W11" s="337" t="inlineStr">
        <is>
          <t>ADENDA N°001-2025 DRSA/OEA-O.ABAST</t>
        </is>
      </c>
      <c r="X11" s="337" t="inlineStr">
        <is>
          <t>251.0</t>
        </is>
      </c>
      <c r="Y11" s="280" t="n"/>
    </row>
    <row r="12" ht="15.75" customHeight="1" s="195">
      <c r="A12" s="337" t="n">
        <v>7</v>
      </c>
      <c r="B12" s="338" t="inlineStr">
        <is>
          <t>0000018</t>
        </is>
      </c>
      <c r="C12" s="337" t="inlineStr">
        <is>
          <t>REGION</t>
        </is>
      </c>
      <c r="D12" s="338" t="inlineStr">
        <is>
          <t>GUEVARA DIAZ ROBERT</t>
        </is>
      </c>
      <c r="E12" s="337" t="inlineStr">
        <is>
          <t>DNI</t>
        </is>
      </c>
      <c r="F12" s="337" t="inlineStr">
        <is>
          <t>47678462</t>
        </is>
      </c>
      <c r="G12" s="339" t="n">
        <v>45742</v>
      </c>
      <c r="H12" s="337" t="inlineStr">
        <is>
          <t>4937</t>
        </is>
      </c>
      <c r="I12" s="332">
        <f>IFERROR(VLOOKUP(TEXT(H12,"0"),IPRESS!$A$3:$B$212,2,0),"")</f>
        <v/>
      </c>
      <c r="J12" s="337" t="inlineStr">
        <is>
          <t>4838</t>
        </is>
      </c>
      <c r="K12" s="332">
        <f>IFERROR(VLOOKUP(TEXT(O12,"0"),CONDUCTORES!$A$3:$G$100,7,0),"")</f>
        <v/>
      </c>
      <c r="L12" s="340" t="n">
        <v>17.95</v>
      </c>
      <c r="M12" s="340" t="n">
        <v>15</v>
      </c>
      <c r="N12" s="333">
        <f>IFERROR(IF(L12*M12=0,"",L12*M12),"")</f>
        <v/>
      </c>
      <c r="O12" s="280" t="n"/>
      <c r="P12" s="332">
        <f>IFERROR(VLOOKUP(TEXT(O12,"0"),CONDUCTORES!$A$3:$G$100,2,0),"")</f>
        <v/>
      </c>
      <c r="Q12" s="332">
        <f>IFERROR(VLOOKUP(TEXT(O12,"0"),CONDUCTORES!$A$3:$H$100,6,0),"")</f>
        <v/>
      </c>
      <c r="R12" s="341" t="inlineStr">
        <is>
          <t>ATENDIDO 06/05/2029</t>
        </is>
      </c>
      <c r="S12" s="338" t="inlineStr">
        <is>
          <t>K403</t>
        </is>
      </c>
      <c r="T12" s="337" t="n"/>
      <c r="U12" s="339" t="n">
        <v>45776</v>
      </c>
      <c r="V12" s="337" t="inlineStr">
        <is>
          <t>1786-2025</t>
        </is>
      </c>
      <c r="W12" s="337" t="inlineStr">
        <is>
          <t>ADENDA N°001-2025 DRSA/OEA-O.ABAST</t>
        </is>
      </c>
      <c r="X12" s="337" t="inlineStr">
        <is>
          <t>251.0</t>
        </is>
      </c>
      <c r="Y12" s="280" t="n"/>
    </row>
    <row r="13" ht="15.75" customHeight="1" s="195">
      <c r="A13" s="241" t="n">
        <v>5</v>
      </c>
      <c r="B13" s="305" t="inlineStr">
        <is>
          <t>0000014</t>
        </is>
      </c>
      <c r="C13" s="241" t="inlineStr">
        <is>
          <t>REGION</t>
        </is>
      </c>
      <c r="D13" s="305" t="inlineStr">
        <is>
          <t>PAISIG ALVARADO MARY LUCERO</t>
        </is>
      </c>
      <c r="E13" s="241" t="inlineStr">
        <is>
          <t>DNI</t>
        </is>
      </c>
      <c r="F13" s="241" t="inlineStr">
        <is>
          <t>76322879</t>
        </is>
      </c>
      <c r="G13" s="336" t="n">
        <v>45723</v>
      </c>
      <c r="H13" s="241" t="inlineStr">
        <is>
          <t>4873</t>
        </is>
      </c>
      <c r="I13" s="332">
        <f>IFERROR(VLOOKUP(TEXT(H13,"0"),IPRESS!$A$3:$B$212,2,0),"")</f>
        <v/>
      </c>
      <c r="J13" s="241" t="inlineStr">
        <is>
          <t>4838</t>
        </is>
      </c>
      <c r="K13" s="332">
        <f>IFERROR(VLOOKUP(TEXT(O13,"0"),CONDUCTORES!$A$3:$G$100,7,0),"")</f>
        <v/>
      </c>
      <c r="L13" s="239" t="n">
        <v>18.18</v>
      </c>
      <c r="M13" s="239" t="n">
        <v>20</v>
      </c>
      <c r="N13" s="333">
        <f>IFERROR(IF(L13*M13=0,"",L13*M13),"")</f>
        <v/>
      </c>
      <c r="O13" s="334" t="n"/>
      <c r="P13" s="332">
        <f>IFERROR(VLOOKUP(TEXT(O13,"0"),CONDUCTORES!$A$3:$G$100,2,0),"")</f>
        <v/>
      </c>
      <c r="Q13" s="332">
        <f>IFERROR(VLOOKUP(TEXT(O13,"0"),CONDUCTORES!$A$3:$H$100,6,0),"")</f>
        <v/>
      </c>
      <c r="R13" s="280" t="inlineStr">
        <is>
          <t>ATENDIDO 23/05/2025</t>
        </is>
      </c>
      <c r="S13" s="305" t="inlineStr">
        <is>
          <t>Z359,O680,O628</t>
        </is>
      </c>
      <c r="T13" s="241" t="n"/>
      <c r="U13" s="336" t="n">
        <v>45747</v>
      </c>
      <c r="V13" s="241" t="n"/>
      <c r="W13" s="241" t="n"/>
      <c r="X13" s="241" t="n"/>
      <c r="Y13" s="280" t="n"/>
    </row>
    <row r="14" ht="15.75" customHeight="1" s="195">
      <c r="A14" s="301" t="n">
        <v>6</v>
      </c>
      <c r="B14" s="302" t="inlineStr">
        <is>
          <t>0000017</t>
        </is>
      </c>
      <c r="C14" s="301" t="inlineStr">
        <is>
          <t>REGION</t>
        </is>
      </c>
      <c r="D14" s="302" t="inlineStr">
        <is>
          <t>CAMPOS DIAZ ROSA ELVIRA</t>
        </is>
      </c>
      <c r="E14" s="301" t="inlineStr">
        <is>
          <t>DNI</t>
        </is>
      </c>
      <c r="F14" s="301" t="inlineStr">
        <is>
          <t>33810604</t>
        </is>
      </c>
      <c r="G14" s="331" t="n">
        <v>45735</v>
      </c>
      <c r="H14" s="301" t="inlineStr">
        <is>
          <t>4873</t>
        </is>
      </c>
      <c r="I14" s="332">
        <f>IFERROR(VLOOKUP(TEXT(H14,"0"),IPRESS!$A$3:$B$212,2,0),"")</f>
        <v/>
      </c>
      <c r="J14" s="301" t="inlineStr">
        <is>
          <t>4838</t>
        </is>
      </c>
      <c r="K14" s="332">
        <f>IFERROR(VLOOKUP(TEXT(O14,"0"),CONDUCTORES!$A$3:$G$100,7,0),"")</f>
        <v/>
      </c>
      <c r="L14" s="245" t="n">
        <v>18.18</v>
      </c>
      <c r="M14" s="245" t="n">
        <v>20</v>
      </c>
      <c r="N14" s="333">
        <f>IFERROR(IF(L14*M14=0,"",L14*M14),"")</f>
        <v/>
      </c>
      <c r="O14" s="280" t="n"/>
      <c r="P14" s="332">
        <f>IFERROR(VLOOKUP(TEXT(O14,"0"),CONDUCTORES!$A$3:$G$100,2,0),"")</f>
        <v/>
      </c>
      <c r="Q14" s="332">
        <f>IFERROR(VLOOKUP(TEXT(O14,"0"),CONDUCTORES!$A$3:$H$100,6,0),"")</f>
        <v/>
      </c>
      <c r="R14" s="334" t="inlineStr">
        <is>
          <t>ATENDIDO 23/05/2025</t>
        </is>
      </c>
      <c r="S14" s="302" t="inlineStr">
        <is>
          <t>I64X,R568</t>
        </is>
      </c>
      <c r="T14" s="301" t="n"/>
      <c r="U14" s="331" t="n">
        <v>45768</v>
      </c>
      <c r="V14" s="301" t="n"/>
      <c r="W14" s="301" t="n"/>
      <c r="X14" s="301" t="n"/>
      <c r="Y14" s="280" t="n"/>
    </row>
    <row r="15" ht="15.75" customHeight="1" s="195">
      <c r="A15" s="241" t="n">
        <v>7</v>
      </c>
      <c r="B15" s="305" t="inlineStr">
        <is>
          <t>0000015</t>
        </is>
      </c>
      <c r="C15" s="241" t="inlineStr">
        <is>
          <t>REGION</t>
        </is>
      </c>
      <c r="D15" s="305" t="inlineStr">
        <is>
          <t>BARRIOS ESTELA MARCIA NOEMI</t>
        </is>
      </c>
      <c r="E15" s="241" t="inlineStr">
        <is>
          <t>DNI</t>
        </is>
      </c>
      <c r="F15" s="241" t="inlineStr">
        <is>
          <t>62285584</t>
        </is>
      </c>
      <c r="G15" s="336" t="n">
        <v>45721</v>
      </c>
      <c r="H15" s="241" t="inlineStr">
        <is>
          <t>4874</t>
        </is>
      </c>
      <c r="I15" s="332">
        <f>IFERROR(VLOOKUP(TEXT(H15,"0"),IPRESS!$A$3:$B$212,2,0),"")</f>
        <v/>
      </c>
      <c r="J15" s="241" t="inlineStr">
        <is>
          <t>4838</t>
        </is>
      </c>
      <c r="K15" s="332">
        <f>IFERROR(VLOOKUP(TEXT(O15,"0"),CONDUCTORES!$A$3:$G$100,7,0),"")</f>
        <v/>
      </c>
      <c r="L15" s="239" t="n">
        <v>18.18</v>
      </c>
      <c r="M15" s="239" t="n">
        <v>25</v>
      </c>
      <c r="N15" s="333">
        <f>IFERROR(IF(L15*M15=0,"",L15*M15),"")</f>
        <v/>
      </c>
      <c r="O15" s="334" t="n"/>
      <c r="P15" s="332">
        <f>IFERROR(VLOOKUP(TEXT(O15,"0"),CONDUCTORES!$A$3:$G$100,2,0),"")</f>
        <v/>
      </c>
      <c r="Q15" s="332">
        <f>IFERROR(VLOOKUP(TEXT(O15,"0"),CONDUCTORES!$A$3:$H$100,6,0),"")</f>
        <v/>
      </c>
      <c r="R15" s="336" t="n">
        <v>45792</v>
      </c>
      <c r="S15" s="305" t="inlineStr">
        <is>
          <t>O021,P95X</t>
        </is>
      </c>
      <c r="T15" s="241" t="n"/>
      <c r="U15" s="336" t="n">
        <v>45749</v>
      </c>
      <c r="V15" s="241" t="inlineStr">
        <is>
          <t>OFICIO N°2021-2025</t>
        </is>
      </c>
      <c r="W15" s="241" t="inlineStr">
        <is>
          <t>0000108- ADENDA N°001-2025 DRSA/OEA-O.ABAST</t>
        </is>
      </c>
      <c r="X15" s="241" t="inlineStr">
        <is>
          <t>256.0</t>
        </is>
      </c>
      <c r="Y15" s="280" t="n"/>
    </row>
    <row r="16" ht="15.75" customHeight="1" s="195">
      <c r="A16" s="301" t="n">
        <v>8</v>
      </c>
      <c r="B16" s="302" t="inlineStr">
        <is>
          <t>00000016</t>
        </is>
      </c>
      <c r="C16" s="301" t="inlineStr">
        <is>
          <t>REGION</t>
        </is>
      </c>
      <c r="D16" s="302" t="inlineStr">
        <is>
          <t>GOICOCHEA TAPIA EDWARD ANTONIO</t>
        </is>
      </c>
      <c r="E16" s="301" t="inlineStr">
        <is>
          <t>DNI</t>
        </is>
      </c>
      <c r="F16" s="301" t="inlineStr">
        <is>
          <t>47439607</t>
        </is>
      </c>
      <c r="G16" s="331" t="n">
        <v>45745</v>
      </c>
      <c r="H16" s="301" t="inlineStr">
        <is>
          <t>4874</t>
        </is>
      </c>
      <c r="I16" s="332">
        <f>IFERROR(VLOOKUP(TEXT(H16,"0"),IPRESS!$A$3:$B$212,2,0),"")</f>
        <v/>
      </c>
      <c r="J16" s="301" t="inlineStr">
        <is>
          <t>4838</t>
        </is>
      </c>
      <c r="K16" s="332">
        <f>IFERROR(VLOOKUP(TEXT(O16,"0"),CONDUCTORES!$A$3:$G$100,7,0),"")</f>
        <v/>
      </c>
      <c r="L16" s="245" t="n">
        <v>18.18</v>
      </c>
      <c r="M16" s="245" t="n">
        <v>22</v>
      </c>
      <c r="N16" s="333">
        <f>IFERROR(IF(L16*M16=0,"",L16*M16),"")</f>
        <v/>
      </c>
      <c r="O16" s="280" t="n"/>
      <c r="P16" s="332">
        <f>IFERROR(VLOOKUP(TEXT(O16,"0"),CONDUCTORES!$A$3:$G$100,2,0),"")</f>
        <v/>
      </c>
      <c r="Q16" s="332">
        <f>IFERROR(VLOOKUP(TEXT(O16,"0"),CONDUCTORES!$A$3:$H$100,6,0),"")</f>
        <v/>
      </c>
      <c r="R16" s="331" t="n">
        <v>45792</v>
      </c>
      <c r="S16" s="302" t="inlineStr">
        <is>
          <t>R103,K359</t>
        </is>
      </c>
      <c r="T16" s="301" t="n"/>
      <c r="U16" s="331" t="n">
        <v>45776</v>
      </c>
      <c r="V16" s="301" t="inlineStr">
        <is>
          <t>OFICIO N°2021-2026</t>
        </is>
      </c>
      <c r="W16" s="301" t="inlineStr">
        <is>
          <t>0000108- ADENDA N°001-2025 DRSA/OEA-O.ABAST</t>
        </is>
      </c>
      <c r="X16" s="301" t="inlineStr">
        <is>
          <t>256.0</t>
        </is>
      </c>
      <c r="Y16" s="280" t="n"/>
    </row>
    <row r="17" ht="15.75" customHeight="1" s="195">
      <c r="A17" s="241" t="n">
        <v>9</v>
      </c>
      <c r="B17" s="305" t="inlineStr">
        <is>
          <t>0000023</t>
        </is>
      </c>
      <c r="C17" s="241" t="inlineStr">
        <is>
          <t>REGION</t>
        </is>
      </c>
      <c r="D17" s="305" t="inlineStr">
        <is>
          <t>ILIQUIN OCAMPO ALCIDES</t>
        </is>
      </c>
      <c r="E17" s="241" t="inlineStr">
        <is>
          <t>DNI</t>
        </is>
      </c>
      <c r="F17" s="241" t="inlineStr">
        <is>
          <t>73540963</t>
        </is>
      </c>
      <c r="G17" s="336" t="n">
        <v>45722</v>
      </c>
      <c r="H17" s="241" t="inlineStr">
        <is>
          <t>4895</t>
        </is>
      </c>
      <c r="I17" s="332">
        <f>IFERROR(VLOOKUP(TEXT(H17,"0"),IPRESS!$A$3:$B$212,2,0),"")</f>
        <v/>
      </c>
      <c r="J17" s="241" t="inlineStr">
        <is>
          <t>4838</t>
        </is>
      </c>
      <c r="K17" s="332">
        <f>IFERROR(VLOOKUP(TEXT(O17,"0"),CONDUCTORES!$A$3:$G$100,7,0),"")</f>
        <v/>
      </c>
      <c r="L17" s="239" t="n">
        <v>18.18</v>
      </c>
      <c r="M17" s="239" t="n">
        <v>7</v>
      </c>
      <c r="N17" s="333">
        <f>IFERROR(IF(L17*M17=0,"",L17*M17),"")</f>
        <v/>
      </c>
      <c r="O17" s="334" t="n"/>
      <c r="P17" s="332">
        <f>IFERROR(VLOOKUP(TEXT(O17,"0"),CONDUCTORES!$A$3:$G$100,2,0),"")</f>
        <v/>
      </c>
      <c r="Q17" s="332">
        <f>IFERROR(VLOOKUP(TEXT(O17,"0"),CONDUCTORES!$A$3:$H$100,6,0),"")</f>
        <v/>
      </c>
      <c r="R17" s="336" t="n">
        <v>45828</v>
      </c>
      <c r="S17" s="305" t="inlineStr">
        <is>
          <t>S681</t>
        </is>
      </c>
      <c r="T17" s="241" t="n"/>
      <c r="U17" s="336" t="n">
        <v>45747</v>
      </c>
      <c r="V17" s="241" t="n"/>
      <c r="W17" s="241" t="n"/>
      <c r="X17" s="241" t="n"/>
      <c r="Y17" s="280" t="n"/>
    </row>
    <row r="18" ht="15.75" customHeight="1" s="195">
      <c r="A18" s="301" t="n">
        <v>10</v>
      </c>
      <c r="B18" s="302" t="inlineStr">
        <is>
          <t>0000020</t>
        </is>
      </c>
      <c r="C18" s="301" t="inlineStr">
        <is>
          <t>REGION</t>
        </is>
      </c>
      <c r="D18" s="302" t="inlineStr">
        <is>
          <t>NORIEGA CHQUIMBALQUI MARIA MARLE</t>
        </is>
      </c>
      <c r="E18" s="301" t="inlineStr">
        <is>
          <t>DNI</t>
        </is>
      </c>
      <c r="F18" s="301" t="inlineStr">
        <is>
          <t>33812049</t>
        </is>
      </c>
      <c r="G18" s="331" t="n">
        <v>45727</v>
      </c>
      <c r="H18" s="301" t="inlineStr">
        <is>
          <t>4843</t>
        </is>
      </c>
      <c r="I18" s="332">
        <f>IFERROR(VLOOKUP(TEXT(H18,"0"),IPRESS!$A$3:$B$212,2,0),"")</f>
        <v/>
      </c>
      <c r="J18" s="301" t="inlineStr">
        <is>
          <t>4838</t>
        </is>
      </c>
      <c r="K18" s="332">
        <f>IFERROR(VLOOKUP(TEXT(O18,"0"),CONDUCTORES!$A$3:$G$100,7,0),"")</f>
        <v/>
      </c>
      <c r="L18" s="245" t="n">
        <v>18.18</v>
      </c>
      <c r="M18" s="245" t="n">
        <v>20</v>
      </c>
      <c r="N18" s="333">
        <f>IFERROR(IF(L18*M18=0,"",L18*M18),"")</f>
        <v/>
      </c>
      <c r="O18" s="280" t="n"/>
      <c r="P18" s="332">
        <f>IFERROR(VLOOKUP(TEXT(O18,"0"),CONDUCTORES!$A$3:$G$100,2,0),"")</f>
        <v/>
      </c>
      <c r="Q18" s="332">
        <f>IFERROR(VLOOKUP(TEXT(O18,"0"),CONDUCTORES!$A$3:$H$100,6,0),"")</f>
        <v/>
      </c>
      <c r="R18" s="334" t="inlineStr">
        <is>
          <t>ATENDIDO 18/06/2025</t>
        </is>
      </c>
      <c r="S18" s="302" t="inlineStr">
        <is>
          <t>J189,J459</t>
        </is>
      </c>
      <c r="T18" s="301" t="n"/>
      <c r="U18" s="331" t="n">
        <v>45758</v>
      </c>
      <c r="V18" s="301" t="n"/>
      <c r="W18" s="301" t="n"/>
      <c r="X18" s="301" t="n"/>
      <c r="Y18" s="280" t="n"/>
    </row>
    <row r="19" ht="15.75" customHeight="1" s="195">
      <c r="A19" s="241" t="n">
        <v>11</v>
      </c>
      <c r="B19" s="305" t="inlineStr">
        <is>
          <t>0000022</t>
        </is>
      </c>
      <c r="C19" s="241" t="inlineStr">
        <is>
          <t>REGION</t>
        </is>
      </c>
      <c r="D19" s="305" t="inlineStr">
        <is>
          <t>AREVALO ZAVALETA GILMA</t>
        </is>
      </c>
      <c r="E19" s="241" t="inlineStr">
        <is>
          <t>DNI</t>
        </is>
      </c>
      <c r="F19" s="241" t="inlineStr">
        <is>
          <t>73447761</t>
        </is>
      </c>
      <c r="G19" s="336" t="n">
        <v>45740</v>
      </c>
      <c r="H19" s="241" t="inlineStr">
        <is>
          <t>4843</t>
        </is>
      </c>
      <c r="I19" s="332">
        <f>IFERROR(VLOOKUP(TEXT(H19,"0"),IPRESS!$A$3:$B$212,2,0),"")</f>
        <v/>
      </c>
      <c r="J19" s="241" t="inlineStr">
        <is>
          <t>4838</t>
        </is>
      </c>
      <c r="K19" s="332">
        <f>IFERROR(VLOOKUP(TEXT(O19,"0"),CONDUCTORES!$A$3:$G$100,7,0),"")</f>
        <v/>
      </c>
      <c r="L19" s="239" t="n">
        <v>18.18</v>
      </c>
      <c r="M19" s="239" t="n">
        <v>20</v>
      </c>
      <c r="N19" s="333">
        <f>IFERROR(IF(L19*M19=0,"",L19*M19),"")</f>
        <v/>
      </c>
      <c r="O19" s="334" t="n"/>
      <c r="P19" s="332">
        <f>IFERROR(VLOOKUP(TEXT(O19,"0"),CONDUCTORES!$A$3:$G$100,2,0),"")</f>
        <v/>
      </c>
      <c r="Q19" s="332">
        <f>IFERROR(VLOOKUP(TEXT(O19,"0"),CONDUCTORES!$A$3:$H$100,6,0),"")</f>
        <v/>
      </c>
      <c r="R19" s="280" t="inlineStr">
        <is>
          <t>ATENDIDO 18/06/2025</t>
        </is>
      </c>
      <c r="S19" s="305" t="inlineStr">
        <is>
          <t>Z359,P209</t>
        </is>
      </c>
      <c r="T19" s="241" t="n"/>
      <c r="U19" s="336" t="n">
        <v>45772</v>
      </c>
      <c r="V19" s="241" t="n"/>
      <c r="W19" s="241" t="n"/>
      <c r="X19" s="241" t="n"/>
      <c r="Y19" s="280" t="n"/>
    </row>
    <row r="20" ht="15.75" customHeight="1" s="195">
      <c r="A20" s="301" t="n">
        <v>9</v>
      </c>
      <c r="B20" s="302" t="inlineStr">
        <is>
          <t>00000023</t>
        </is>
      </c>
      <c r="C20" s="301" t="inlineStr">
        <is>
          <t>REGION</t>
        </is>
      </c>
      <c r="D20" s="302" t="inlineStr">
        <is>
          <t>TUESTA POMPA LEIDY CIELITO</t>
        </is>
      </c>
      <c r="E20" s="301" t="inlineStr">
        <is>
          <t>DNI</t>
        </is>
      </c>
      <c r="F20" s="301" t="inlineStr">
        <is>
          <t>62218283</t>
        </is>
      </c>
      <c r="G20" s="331" t="n">
        <v>45747</v>
      </c>
      <c r="H20" s="301" t="inlineStr">
        <is>
          <t>4843</t>
        </is>
      </c>
      <c r="I20" s="332">
        <f>IFERROR(VLOOKUP(TEXT(H20,"0"),IPRESS!$A$3:$B$212,2,0),"")</f>
        <v/>
      </c>
      <c r="J20" s="301" t="inlineStr">
        <is>
          <t>4838</t>
        </is>
      </c>
      <c r="K20" s="332">
        <f>IFERROR(VLOOKUP(TEXT(O20,"0"),CONDUCTORES!$A$3:$G$100,7,0),"")</f>
        <v/>
      </c>
      <c r="L20" s="245" t="n">
        <v>18.18</v>
      </c>
      <c r="M20" s="245" t="n">
        <v>20</v>
      </c>
      <c r="N20" s="333">
        <f>IFERROR(IF(L20*M20=0,"",L20*M20),"")</f>
        <v/>
      </c>
      <c r="O20" s="280" t="n"/>
      <c r="P20" s="332">
        <f>IFERROR(VLOOKUP(TEXT(O20,"0"),CONDUCTORES!$A$3:$G$100,2,0),"")</f>
        <v/>
      </c>
      <c r="Q20" s="332">
        <f>IFERROR(VLOOKUP(TEXT(O20,"0"),CONDUCTORES!$A$3:$H$100,6,0),"")</f>
        <v/>
      </c>
      <c r="R20" s="334" t="inlineStr">
        <is>
          <t>ATENDIDO 18/06/2025</t>
        </is>
      </c>
      <c r="S20" s="302" t="inlineStr">
        <is>
          <t>K566</t>
        </is>
      </c>
      <c r="T20" s="301" t="n"/>
      <c r="U20" s="331" t="n">
        <v>45776</v>
      </c>
      <c r="V20" s="301" t="n"/>
      <c r="W20" s="301" t="n"/>
      <c r="X20" s="301" t="n"/>
      <c r="Y20" s="280" t="n"/>
    </row>
    <row r="21" ht="15.75" customHeight="1" s="195">
      <c r="A21" s="241" t="n">
        <v>10</v>
      </c>
      <c r="B21" s="305" t="inlineStr">
        <is>
          <t>0000003</t>
        </is>
      </c>
      <c r="C21" s="241" t="inlineStr">
        <is>
          <t>REGION</t>
        </is>
      </c>
      <c r="D21" s="305" t="inlineStr">
        <is>
          <t>LLANOS FERNANDEZ YOSSI PATRICIA</t>
        </is>
      </c>
      <c r="E21" s="241" t="inlineStr">
        <is>
          <t>DNI</t>
        </is>
      </c>
      <c r="F21" s="241" t="inlineStr">
        <is>
          <t>71780821</t>
        </is>
      </c>
      <c r="G21" s="336" t="n">
        <v>45737</v>
      </c>
      <c r="H21" s="241" t="inlineStr">
        <is>
          <t>4875</t>
        </is>
      </c>
      <c r="I21" s="332">
        <f>IFERROR(VLOOKUP(TEXT(H21,"0"),IPRESS!$A$3:$B$212,2,0),"")</f>
        <v/>
      </c>
      <c r="J21" s="241" t="inlineStr">
        <is>
          <t>4838</t>
        </is>
      </c>
      <c r="K21" s="332">
        <f>IFERROR(VLOOKUP(TEXT(O21,"0"),CONDUCTORES!$A$3:$G$100,7,0),"")</f>
        <v/>
      </c>
      <c r="L21" s="239" t="n">
        <v>18.18</v>
      </c>
      <c r="M21" s="239" t="n">
        <v>25</v>
      </c>
      <c r="N21" s="333">
        <f>IFERROR(IF(L21*M21=0,"",L21*M21),"")</f>
        <v/>
      </c>
      <c r="O21" s="334" t="n"/>
      <c r="P21" s="332">
        <f>IFERROR(VLOOKUP(TEXT(O21,"0"),CONDUCTORES!$A$3:$G$100,2,0),"")</f>
        <v/>
      </c>
      <c r="Q21" s="332">
        <f>IFERROR(VLOOKUP(TEXT(O21,"0"),CONDUCTORES!$A$3:$H$100,6,0),"")</f>
        <v/>
      </c>
      <c r="R21" s="336" t="n">
        <v>45841</v>
      </c>
      <c r="S21" s="305" t="inlineStr">
        <is>
          <t>Z348,O149</t>
        </is>
      </c>
      <c r="T21" s="241" t="n"/>
      <c r="U21" s="336" t="n">
        <v>45772</v>
      </c>
      <c r="V21" s="241" t="n"/>
      <c r="W21" s="241" t="n"/>
      <c r="X21" s="241" t="n"/>
      <c r="Y21" s="280" t="n"/>
    </row>
    <row r="22" ht="15.75" customHeight="1" s="195">
      <c r="A22" s="301" t="n">
        <v>11</v>
      </c>
      <c r="B22" s="302" t="inlineStr">
        <is>
          <t>0000008</t>
        </is>
      </c>
      <c r="C22" s="301" t="inlineStr">
        <is>
          <t>REGION</t>
        </is>
      </c>
      <c r="D22" s="302" t="inlineStr">
        <is>
          <t>TAFUR VARGAS JOSE CELIN</t>
        </is>
      </c>
      <c r="E22" s="301" t="inlineStr">
        <is>
          <t>DNI</t>
        </is>
      </c>
      <c r="F22" s="301" t="inlineStr">
        <is>
          <t>33944669</t>
        </is>
      </c>
      <c r="G22" s="331" t="n">
        <v>45723</v>
      </c>
      <c r="H22" s="301" t="inlineStr">
        <is>
          <t>4943</t>
        </is>
      </c>
      <c r="I22" s="332">
        <f>IFERROR(VLOOKUP(TEXT(H22,"0"),IPRESS!$A$3:$B$212,2,0),"")</f>
        <v/>
      </c>
      <c r="J22" s="301" t="inlineStr">
        <is>
          <t>4950</t>
        </is>
      </c>
      <c r="K22" s="332">
        <f>IFERROR(VLOOKUP(TEXT(O22,"0"),CONDUCTORES!$A$3:$G$100,7,0),"")</f>
        <v/>
      </c>
      <c r="L22" s="245" t="n">
        <v>20.25</v>
      </c>
      <c r="M22" s="245" t="n">
        <v>3</v>
      </c>
      <c r="N22" s="333">
        <f>IFERROR(IF(L22*M22=0,"",L22*M22),"")</f>
        <v/>
      </c>
      <c r="O22" s="280" t="n"/>
      <c r="P22" s="332">
        <f>IFERROR(VLOOKUP(TEXT(O22,"0"),CONDUCTORES!$A$3:$G$100,2,0),"")</f>
        <v/>
      </c>
      <c r="Q22" s="332">
        <f>IFERROR(VLOOKUP(TEXT(O22,"0"),CONDUCTORES!$A$3:$H$100,6,0),"")</f>
        <v/>
      </c>
      <c r="R22" s="331" t="n">
        <v>45833</v>
      </c>
      <c r="S22" s="302" t="inlineStr">
        <is>
          <t>J10X</t>
        </is>
      </c>
      <c r="T22" s="301" t="n"/>
      <c r="U22" s="331" t="n">
        <v>45749</v>
      </c>
      <c r="V22" s="301" t="n"/>
      <c r="W22" s="301" t="n"/>
      <c r="X22" s="301" t="n"/>
      <c r="Y22" s="280" t="n"/>
    </row>
    <row r="23" ht="15.75" customHeight="1" s="195">
      <c r="A23" s="241" t="n">
        <v>12</v>
      </c>
      <c r="B23" s="305" t="inlineStr">
        <is>
          <t>0000011</t>
        </is>
      </c>
      <c r="C23" s="241" t="inlineStr">
        <is>
          <t>REGION</t>
        </is>
      </c>
      <c r="D23" s="305" t="inlineStr">
        <is>
          <t>GRANDEZ MELENDEZ LEONILA</t>
        </is>
      </c>
      <c r="E23" s="241" t="inlineStr">
        <is>
          <t>DNI</t>
        </is>
      </c>
      <c r="F23" s="241" t="inlineStr">
        <is>
          <t>33944243</t>
        </is>
      </c>
      <c r="G23" s="336" t="n">
        <v>45736</v>
      </c>
      <c r="H23" s="241" t="inlineStr">
        <is>
          <t>4943</t>
        </is>
      </c>
      <c r="I23" s="332">
        <f>IFERROR(VLOOKUP(TEXT(H23,"0"),IPRESS!$A$3:$B$212,2,0),"")</f>
        <v/>
      </c>
      <c r="J23" s="241" t="inlineStr">
        <is>
          <t>4950</t>
        </is>
      </c>
      <c r="K23" s="332">
        <f>IFERROR(VLOOKUP(TEXT(O23,"0"),CONDUCTORES!$A$3:$G$100,7,0),"")</f>
        <v/>
      </c>
      <c r="L23" s="239" t="n">
        <v>20.25</v>
      </c>
      <c r="M23" s="239" t="n">
        <v>3</v>
      </c>
      <c r="N23" s="333">
        <f>IFERROR(IF(L23*M23=0,"",L23*M23),"")</f>
        <v/>
      </c>
      <c r="O23" s="334" t="n"/>
      <c r="P23" s="332">
        <f>IFERROR(VLOOKUP(TEXT(O23,"0"),CONDUCTORES!$A$3:$G$100,2,0),"")</f>
        <v/>
      </c>
      <c r="Q23" s="332">
        <f>IFERROR(VLOOKUP(TEXT(O23,"0"),CONDUCTORES!$A$3:$H$100,6,0),"")</f>
        <v/>
      </c>
      <c r="R23" s="336" t="n">
        <v>45833</v>
      </c>
      <c r="S23" s="305" t="inlineStr">
        <is>
          <t>A419,J189</t>
        </is>
      </c>
      <c r="T23" s="241" t="n"/>
      <c r="U23" s="336" t="n">
        <v>45768</v>
      </c>
      <c r="V23" s="241" t="n"/>
      <c r="W23" s="241" t="n"/>
      <c r="X23" s="241" t="n"/>
      <c r="Y23" s="280" t="n"/>
    </row>
    <row r="24" ht="15.75" customHeight="1" s="195">
      <c r="A24" s="301" t="n">
        <v>13</v>
      </c>
      <c r="B24" s="302" t="inlineStr">
        <is>
          <t>0000012</t>
        </is>
      </c>
      <c r="C24" s="301" t="inlineStr">
        <is>
          <t>REGION</t>
        </is>
      </c>
      <c r="D24" s="302" t="inlineStr">
        <is>
          <t>ARISTA DE PORTOCARRERO MARIA TRINIDAD</t>
        </is>
      </c>
      <c r="E24" s="301" t="inlineStr">
        <is>
          <t>DNI</t>
        </is>
      </c>
      <c r="F24" s="301" t="inlineStr">
        <is>
          <t>33944149</t>
        </is>
      </c>
      <c r="G24" s="331" t="n">
        <v>45737</v>
      </c>
      <c r="H24" s="301" t="inlineStr">
        <is>
          <t>4943</t>
        </is>
      </c>
      <c r="I24" s="332">
        <f>IFERROR(VLOOKUP(TEXT(H24,"0"),IPRESS!$A$3:$B$212,2,0),"")</f>
        <v/>
      </c>
      <c r="J24" s="301" t="inlineStr">
        <is>
          <t>4950</t>
        </is>
      </c>
      <c r="K24" s="332">
        <f>IFERROR(VLOOKUP(TEXT(O24,"0"),CONDUCTORES!$A$3:$G$100,7,0),"")</f>
        <v/>
      </c>
      <c r="L24" s="245" t="n">
        <v>20.25</v>
      </c>
      <c r="M24" s="245" t="n">
        <v>3</v>
      </c>
      <c r="N24" s="333">
        <f>IFERROR(IF(L24*M24=0,"",L24*M24),"")</f>
        <v/>
      </c>
      <c r="O24" s="280" t="n"/>
      <c r="P24" s="332">
        <f>IFERROR(VLOOKUP(TEXT(O24,"0"),CONDUCTORES!$A$3:$G$100,2,0),"")</f>
        <v/>
      </c>
      <c r="Q24" s="332">
        <f>IFERROR(VLOOKUP(TEXT(O24,"0"),CONDUCTORES!$A$3:$H$100,6,0),"")</f>
        <v/>
      </c>
      <c r="R24" s="331" t="n">
        <v>45833</v>
      </c>
      <c r="S24" s="302" t="inlineStr">
        <is>
          <t>A419,J189</t>
        </is>
      </c>
      <c r="T24" s="301" t="n"/>
      <c r="U24" s="331" t="n">
        <v>45768</v>
      </c>
      <c r="V24" s="301" t="n"/>
      <c r="W24" s="301" t="n"/>
      <c r="X24" s="301" t="n"/>
      <c r="Y24" s="280" t="n"/>
    </row>
    <row r="25" ht="15.75" customHeight="1" s="195">
      <c r="A25" s="241" t="n">
        <v>14</v>
      </c>
      <c r="B25" s="305" t="inlineStr">
        <is>
          <t>0000013</t>
        </is>
      </c>
      <c r="C25" s="241" t="inlineStr">
        <is>
          <t>REGION</t>
        </is>
      </c>
      <c r="D25" s="305" t="inlineStr">
        <is>
          <t>MONTOYA VDA DE RODRIGUEZ MARIA EDELMIRA</t>
        </is>
      </c>
      <c r="E25" s="241" t="inlineStr">
        <is>
          <t>DNI</t>
        </is>
      </c>
      <c r="F25" s="241" t="inlineStr">
        <is>
          <t>33944147</t>
        </is>
      </c>
      <c r="G25" s="336" t="n">
        <v>45738</v>
      </c>
      <c r="H25" s="241" t="inlineStr">
        <is>
          <t>4943</t>
        </is>
      </c>
      <c r="I25" s="332">
        <f>IFERROR(VLOOKUP(TEXT(H25,"0"),IPRESS!$A$3:$B$212,2,0),"")</f>
        <v/>
      </c>
      <c r="J25" s="241" t="inlineStr">
        <is>
          <t>4950</t>
        </is>
      </c>
      <c r="K25" s="332">
        <f>IFERROR(VLOOKUP(TEXT(O25,"0"),CONDUCTORES!$A$3:$G$100,7,0),"")</f>
        <v/>
      </c>
      <c r="L25" s="239" t="n">
        <v>20.25</v>
      </c>
      <c r="M25" s="239" t="n">
        <v>3</v>
      </c>
      <c r="N25" s="333">
        <f>IFERROR(IF(L25*M25=0,"",L25*M25),"")</f>
        <v/>
      </c>
      <c r="O25" s="334" t="n"/>
      <c r="P25" s="332">
        <f>IFERROR(VLOOKUP(TEXT(O25,"0"),CONDUCTORES!$A$3:$G$100,2,0),"")</f>
        <v/>
      </c>
      <c r="Q25" s="332">
        <f>IFERROR(VLOOKUP(TEXT(O25,"0"),CONDUCTORES!$A$3:$H$100,6,0),"")</f>
        <v/>
      </c>
      <c r="R25" s="336" t="n">
        <v>45833</v>
      </c>
      <c r="S25" s="305" t="inlineStr">
        <is>
          <t>I10X,I509</t>
        </is>
      </c>
      <c r="T25" s="241" t="n"/>
      <c r="U25" s="336" t="n">
        <v>45768</v>
      </c>
      <c r="V25" s="241" t="n"/>
      <c r="W25" s="241" t="n"/>
      <c r="X25" s="241" t="n"/>
      <c r="Y25" s="280" t="n"/>
    </row>
    <row r="26" ht="15.75" customHeight="1" s="195">
      <c r="A26" s="301" t="n">
        <v>15</v>
      </c>
      <c r="B26" s="302" t="inlineStr">
        <is>
          <t>0000010</t>
        </is>
      </c>
      <c r="C26" s="301" t="inlineStr">
        <is>
          <t>REGION</t>
        </is>
      </c>
      <c r="D26" s="302" t="inlineStr">
        <is>
          <t>RUIZ HUAMAN MARIA SANTOS</t>
        </is>
      </c>
      <c r="E26" s="301" t="inlineStr">
        <is>
          <t>DNI</t>
        </is>
      </c>
      <c r="F26" s="301" t="inlineStr">
        <is>
          <t>48202581</t>
        </is>
      </c>
      <c r="G26" s="331" t="n">
        <v>45734</v>
      </c>
      <c r="H26" s="301" t="inlineStr">
        <is>
          <t>4943</t>
        </is>
      </c>
      <c r="I26" s="332">
        <f>IFERROR(VLOOKUP(TEXT(H26,"0"),IPRESS!$A$3:$B$212,2,0),"")</f>
        <v/>
      </c>
      <c r="J26" s="301" t="inlineStr">
        <is>
          <t>4950</t>
        </is>
      </c>
      <c r="K26" s="332">
        <f>IFERROR(VLOOKUP(TEXT(O26,"0"),CONDUCTORES!$A$3:$G$100,7,0),"")</f>
        <v/>
      </c>
      <c r="L26" s="245" t="n">
        <v>20.25</v>
      </c>
      <c r="M26" s="245" t="n">
        <v>3</v>
      </c>
      <c r="N26" s="333">
        <f>IFERROR(IF(L26*M26=0,"",L26*M26),"")</f>
        <v/>
      </c>
      <c r="O26" s="280" t="n"/>
      <c r="P26" s="332">
        <f>IFERROR(VLOOKUP(TEXT(O26,"0"),CONDUCTORES!$A$3:$G$100,2,0),"")</f>
        <v/>
      </c>
      <c r="Q26" s="332">
        <f>IFERROR(VLOOKUP(TEXT(O26,"0"),CONDUCTORES!$A$3:$H$100,6,0),"")</f>
        <v/>
      </c>
      <c r="R26" s="331" t="n">
        <v>45833</v>
      </c>
      <c r="S26" s="302" t="inlineStr">
        <is>
          <t>K59X,N390,K566,D539</t>
        </is>
      </c>
      <c r="T26" s="301" t="n"/>
      <c r="U26" s="331" t="n">
        <v>45768</v>
      </c>
      <c r="V26" s="301" t="n"/>
      <c r="W26" s="301" t="n"/>
      <c r="X26" s="301" t="n"/>
      <c r="Y26" s="280" t="n"/>
    </row>
    <row r="27" ht="15.75" customHeight="1" s="195">
      <c r="A27" s="241" t="n">
        <v>13</v>
      </c>
      <c r="B27" s="305" t="inlineStr">
        <is>
          <t>0000016</t>
        </is>
      </c>
      <c r="C27" s="241" t="inlineStr">
        <is>
          <t>REGION</t>
        </is>
      </c>
      <c r="D27" s="305" t="inlineStr">
        <is>
          <t>SOPLA CARMEN</t>
        </is>
      </c>
      <c r="E27" s="241" t="inlineStr">
        <is>
          <t>DNI</t>
        </is>
      </c>
      <c r="F27" s="241" t="inlineStr">
        <is>
          <t>33721258</t>
        </is>
      </c>
      <c r="G27" s="336" t="n">
        <v>45726</v>
      </c>
      <c r="H27" s="241" t="inlineStr">
        <is>
          <t>4917</t>
        </is>
      </c>
      <c r="I27" s="332">
        <f>IFERROR(VLOOKUP(TEXT(H27,"0"),IPRESS!$A$3:$B$212,2,0),"")</f>
        <v/>
      </c>
      <c r="J27" s="241" t="inlineStr">
        <is>
          <t>4838</t>
        </is>
      </c>
      <c r="K27" s="332">
        <f>IFERROR(VLOOKUP(TEXT(O27,"0"),CONDUCTORES!$A$3:$G$100,7,0),"")</f>
        <v/>
      </c>
      <c r="L27" s="239" t="n">
        <v>18.18</v>
      </c>
      <c r="M27" s="239" t="n">
        <v>12</v>
      </c>
      <c r="N27" s="333">
        <f>IFERROR(IF(L27*M27=0,"",L27*M27),"")</f>
        <v/>
      </c>
      <c r="O27" s="334" t="n"/>
      <c r="P27" s="332">
        <f>IFERROR(VLOOKUP(TEXT(O27,"0"),CONDUCTORES!$A$3:$G$100,2,0),"")</f>
        <v/>
      </c>
      <c r="Q27" s="332">
        <f>IFERROR(VLOOKUP(TEXT(O27,"0"),CONDUCTORES!$A$3:$H$100,6,0),"")</f>
        <v/>
      </c>
      <c r="R27" s="280" t="inlineStr">
        <is>
          <t>ATENDIDO 25/04/2025</t>
        </is>
      </c>
      <c r="S27" s="305" t="inlineStr">
        <is>
          <t>I500,E669,I60X</t>
        </is>
      </c>
      <c r="T27" s="241" t="n"/>
      <c r="U27" s="336" t="n">
        <v>45749</v>
      </c>
      <c r="V27" s="241" t="n"/>
      <c r="W27" s="241" t="n"/>
      <c r="X27" s="241" t="n"/>
      <c r="Y27" s="280" t="n"/>
    </row>
    <row r="28" ht="15.75" customHeight="1" s="195">
      <c r="A28" s="301" t="n">
        <v>14</v>
      </c>
      <c r="B28" s="302" t="inlineStr">
        <is>
          <t>0000018</t>
        </is>
      </c>
      <c r="C28" s="301" t="inlineStr">
        <is>
          <t>REGION</t>
        </is>
      </c>
      <c r="D28" s="302" t="inlineStr">
        <is>
          <t>SALVA GOLAC JHULIZA</t>
        </is>
      </c>
      <c r="E28" s="301" t="inlineStr">
        <is>
          <t>DNI</t>
        </is>
      </c>
      <c r="F28" s="301" t="inlineStr">
        <is>
          <t>75898246</t>
        </is>
      </c>
      <c r="G28" s="331" t="n">
        <v>45735</v>
      </c>
      <c r="H28" s="301" t="inlineStr">
        <is>
          <t>4917</t>
        </is>
      </c>
      <c r="I28" s="332">
        <f>IFERROR(VLOOKUP(TEXT(H28,"0"),IPRESS!$A$3:$B$212,2,0),"")</f>
        <v/>
      </c>
      <c r="J28" s="301" t="inlineStr">
        <is>
          <t>4838</t>
        </is>
      </c>
      <c r="K28" s="332">
        <f>IFERROR(VLOOKUP(TEXT(O28,"0"),CONDUCTORES!$A$3:$G$100,7,0),"")</f>
        <v/>
      </c>
      <c r="L28" s="245" t="n">
        <v>18.18</v>
      </c>
      <c r="M28" s="245" t="n">
        <v>12</v>
      </c>
      <c r="N28" s="333">
        <f>IFERROR(IF(L28*M28=0,"",L28*M28),"")</f>
        <v/>
      </c>
      <c r="O28" s="280" t="n"/>
      <c r="P28" s="332">
        <f>IFERROR(VLOOKUP(TEXT(O28,"0"),CONDUCTORES!$A$3:$G$100,2,0),"")</f>
        <v/>
      </c>
      <c r="Q28" s="332">
        <f>IFERROR(VLOOKUP(TEXT(O28,"0"),CONDUCTORES!$A$3:$H$100,6,0),"")</f>
        <v/>
      </c>
      <c r="R28" s="334" t="inlineStr">
        <is>
          <t>ATENDIDO 25/04/2026</t>
        </is>
      </c>
      <c r="S28" s="302" t="inlineStr">
        <is>
          <t>R100,K350</t>
        </is>
      </c>
      <c r="T28" s="301" t="n"/>
      <c r="U28" s="331" t="n">
        <v>45768</v>
      </c>
      <c r="V28" s="301" t="n"/>
      <c r="W28" s="301" t="n"/>
      <c r="X28" s="301" t="n"/>
      <c r="Y28" s="280" t="n"/>
    </row>
    <row r="29" ht="15.75" customHeight="1" s="195">
      <c r="A29" s="241" t="n">
        <v>15</v>
      </c>
      <c r="B29" s="305" t="inlineStr">
        <is>
          <t>0000017</t>
        </is>
      </c>
      <c r="C29" s="241" t="inlineStr">
        <is>
          <t>REGION</t>
        </is>
      </c>
      <c r="D29" s="305" t="inlineStr">
        <is>
          <t>LLAMOCCA BELLIDO SHORINA</t>
        </is>
      </c>
      <c r="E29" s="241" t="inlineStr">
        <is>
          <t>DNI</t>
        </is>
      </c>
      <c r="F29" s="241" t="inlineStr">
        <is>
          <t>42690976</t>
        </is>
      </c>
      <c r="G29" s="336" t="n">
        <v>45732</v>
      </c>
      <c r="H29" s="241" t="inlineStr">
        <is>
          <t>4917</t>
        </is>
      </c>
      <c r="I29" s="332">
        <f>IFERROR(VLOOKUP(TEXT(H29,"0"),IPRESS!$A$3:$B$212,2,0),"")</f>
        <v/>
      </c>
      <c r="J29" s="241" t="inlineStr">
        <is>
          <t>4838</t>
        </is>
      </c>
      <c r="K29" s="332">
        <f>IFERROR(VLOOKUP(TEXT(O29,"0"),CONDUCTORES!$A$3:$G$100,7,0),"")</f>
        <v/>
      </c>
      <c r="L29" s="239" t="n">
        <v>18.18</v>
      </c>
      <c r="M29" s="239" t="n">
        <v>12</v>
      </c>
      <c r="N29" s="333">
        <f>IFERROR(IF(L29*M29=0,"",L29*M29),"")</f>
        <v/>
      </c>
      <c r="O29" s="334" t="n"/>
      <c r="P29" s="332">
        <f>IFERROR(VLOOKUP(TEXT(O29,"0"),CONDUCTORES!$A$3:$G$100,2,0),"")</f>
        <v/>
      </c>
      <c r="Q29" s="332">
        <f>IFERROR(VLOOKUP(TEXT(O29,"0"),CONDUCTORES!$A$3:$H$100,6,0),"")</f>
        <v/>
      </c>
      <c r="R29" s="280" t="inlineStr">
        <is>
          <t>ATENDIDO 25/04/2027</t>
        </is>
      </c>
      <c r="S29" s="305" t="inlineStr">
        <is>
          <t>K819,O269</t>
        </is>
      </c>
      <c r="T29" s="241" t="n"/>
      <c r="U29" s="336" t="n">
        <v>45768</v>
      </c>
      <c r="V29" s="241" t="n"/>
      <c r="W29" s="241" t="n"/>
      <c r="X29" s="241" t="n"/>
      <c r="Y29" s="280" t="n"/>
    </row>
    <row r="30" ht="15.75" customHeight="1" s="195">
      <c r="A30" s="301" t="n">
        <v>16</v>
      </c>
      <c r="B30" s="302" t="inlineStr">
        <is>
          <t>0000003</t>
        </is>
      </c>
      <c r="C30" s="301" t="inlineStr">
        <is>
          <t>REGION</t>
        </is>
      </c>
      <c r="D30" s="302" t="inlineStr">
        <is>
          <t>ORRILLO CHAVEZ HEYSER</t>
        </is>
      </c>
      <c r="E30" s="301" t="inlineStr">
        <is>
          <t>DNI</t>
        </is>
      </c>
      <c r="F30" s="301" t="inlineStr">
        <is>
          <t>46632800</t>
        </is>
      </c>
      <c r="G30" s="331" t="n">
        <v>45742</v>
      </c>
      <c r="H30" s="301" t="inlineStr">
        <is>
          <t>4917</t>
        </is>
      </c>
      <c r="I30" s="332">
        <f>IFERROR(VLOOKUP(TEXT(H30,"0"),IPRESS!$A$3:$B$212,2,0),"")</f>
        <v/>
      </c>
      <c r="J30" s="301" t="inlineStr">
        <is>
          <t>4838</t>
        </is>
      </c>
      <c r="K30" s="332">
        <f>IFERROR(VLOOKUP(TEXT(O30,"0"),CONDUCTORES!$A$3:$G$100,7,0),"")</f>
        <v/>
      </c>
      <c r="L30" s="245" t="n">
        <v>18.18</v>
      </c>
      <c r="M30" s="245" t="n">
        <v>12</v>
      </c>
      <c r="N30" s="333">
        <f>IFERROR(IF(L30*M30=0,"",L30*M30),"")</f>
        <v/>
      </c>
      <c r="O30" s="280" t="n"/>
      <c r="P30" s="332">
        <f>IFERROR(VLOOKUP(TEXT(O30,"0"),CONDUCTORES!$A$3:$G$100,2,0),"")</f>
        <v/>
      </c>
      <c r="Q30" s="332">
        <f>IFERROR(VLOOKUP(TEXT(O30,"0"),CONDUCTORES!$A$3:$H$100,6,0),"")</f>
        <v/>
      </c>
      <c r="R30" s="331" t="n">
        <v>45828</v>
      </c>
      <c r="S30" s="302" t="inlineStr">
        <is>
          <t>K800</t>
        </is>
      </c>
      <c r="T30" s="301" t="n"/>
      <c r="U30" s="331" t="n">
        <v>45776</v>
      </c>
      <c r="V30" s="301" t="n"/>
      <c r="W30" s="301" t="n"/>
      <c r="X30" s="301" t="n"/>
      <c r="Y30" s="280" t="n"/>
    </row>
    <row r="31" ht="15.75" customHeight="1" s="195">
      <c r="A31" s="241" t="n">
        <v>17</v>
      </c>
      <c r="B31" s="305" t="inlineStr">
        <is>
          <t>0000019</t>
        </is>
      </c>
      <c r="C31" s="241" t="inlineStr">
        <is>
          <t>REGION</t>
        </is>
      </c>
      <c r="D31" s="305" t="inlineStr">
        <is>
          <t>CHACON CHAVEZ RUTH KARINA</t>
        </is>
      </c>
      <c r="E31" s="241" t="inlineStr">
        <is>
          <t>DNI</t>
        </is>
      </c>
      <c r="F31" s="241" t="inlineStr">
        <is>
          <t>61951016</t>
        </is>
      </c>
      <c r="G31" s="336" t="n">
        <v>45742</v>
      </c>
      <c r="H31" s="241" t="inlineStr">
        <is>
          <t>4917</t>
        </is>
      </c>
      <c r="I31" s="332">
        <f>IFERROR(VLOOKUP(TEXT(H31,"0"),IPRESS!$A$3:$B$212,2,0),"")</f>
        <v/>
      </c>
      <c r="J31" s="241" t="inlineStr">
        <is>
          <t>4838</t>
        </is>
      </c>
      <c r="K31" s="332">
        <f>IFERROR(VLOOKUP(TEXT(O31,"0"),CONDUCTORES!$A$3:$G$100,7,0),"")</f>
        <v/>
      </c>
      <c r="L31" s="239" t="n">
        <v>18.18</v>
      </c>
      <c r="M31" s="239" t="n">
        <v>12</v>
      </c>
      <c r="N31" s="333">
        <f>IFERROR(IF(L31*M31=0,"",L31*M31),"")</f>
        <v/>
      </c>
      <c r="O31" s="334" t="n"/>
      <c r="P31" s="332">
        <f>IFERROR(VLOOKUP(TEXT(O31,"0"),CONDUCTORES!$A$3:$G$100,2,0),"")</f>
        <v/>
      </c>
      <c r="Q31" s="332">
        <f>IFERROR(VLOOKUP(TEXT(O31,"0"),CONDUCTORES!$A$3:$H$100,6,0),"")</f>
        <v/>
      </c>
      <c r="R31" s="336" t="n">
        <v>45828</v>
      </c>
      <c r="S31" s="305" t="inlineStr">
        <is>
          <t>O680</t>
        </is>
      </c>
      <c r="T31" s="241" t="n"/>
      <c r="U31" s="336" t="n">
        <v>45776</v>
      </c>
      <c r="V31" s="241" t="n"/>
      <c r="W31" s="241" t="n"/>
      <c r="X31" s="241" t="n"/>
      <c r="Y31" s="280" t="n"/>
    </row>
    <row r="32" ht="15.75" customHeight="1" s="195">
      <c r="A32" s="301" t="n">
        <v>18</v>
      </c>
      <c r="B32" s="302" t="inlineStr">
        <is>
          <t>00000004</t>
        </is>
      </c>
      <c r="C32" s="301" t="inlineStr">
        <is>
          <t>REGION</t>
        </is>
      </c>
      <c r="D32" s="302" t="inlineStr">
        <is>
          <t>SALVA ORDOÑEZ QUEYLA AYDE</t>
        </is>
      </c>
      <c r="E32" s="301" t="inlineStr">
        <is>
          <t>DNI</t>
        </is>
      </c>
      <c r="F32" s="301" t="inlineStr">
        <is>
          <t>46147369</t>
        </is>
      </c>
      <c r="G32" s="331" t="n">
        <v>45745</v>
      </c>
      <c r="H32" s="301" t="inlineStr">
        <is>
          <t>4917</t>
        </is>
      </c>
      <c r="I32" s="332">
        <f>IFERROR(VLOOKUP(TEXT(H32,"0"),IPRESS!$A$3:$B$212,2,0),"")</f>
        <v/>
      </c>
      <c r="J32" s="301" t="inlineStr">
        <is>
          <t>4838</t>
        </is>
      </c>
      <c r="K32" s="332">
        <f>IFERROR(VLOOKUP(TEXT(O32,"0"),CONDUCTORES!$A$3:$G$100,7,0),"")</f>
        <v/>
      </c>
      <c r="L32" s="245" t="n">
        <v>18.18</v>
      </c>
      <c r="M32" s="245" t="n">
        <v>12</v>
      </c>
      <c r="N32" s="333">
        <f>IFERROR(IF(L32*M32=0,"",L32*M32),"")</f>
        <v/>
      </c>
      <c r="O32" s="280" t="n"/>
      <c r="P32" s="332">
        <f>IFERROR(VLOOKUP(TEXT(O32,"0"),CONDUCTORES!$A$3:$G$100,2,0),"")</f>
        <v/>
      </c>
      <c r="Q32" s="332">
        <f>IFERROR(VLOOKUP(TEXT(O32,"0"),CONDUCTORES!$A$3:$H$100,6,0),"")</f>
        <v/>
      </c>
      <c r="R32" s="331" t="n">
        <v>45828</v>
      </c>
      <c r="S32" s="302" t="inlineStr">
        <is>
          <t>O342</t>
        </is>
      </c>
      <c r="T32" s="301" t="n"/>
      <c r="U32" s="331" t="n">
        <v>45776</v>
      </c>
      <c r="V32" s="301" t="n"/>
      <c r="W32" s="301" t="n"/>
      <c r="X32" s="301" t="n"/>
      <c r="Y32" s="280" t="n"/>
    </row>
    <row r="33" ht="15.75" customHeight="1" s="195">
      <c r="A33" s="241" t="n">
        <v>19</v>
      </c>
      <c r="B33" s="305" t="inlineStr">
        <is>
          <t>0000015</t>
        </is>
      </c>
      <c r="C33" s="241" t="inlineStr">
        <is>
          <t>REGION</t>
        </is>
      </c>
      <c r="D33" s="305" t="inlineStr">
        <is>
          <t>RAMIREZ REAP WILMER</t>
        </is>
      </c>
      <c r="E33" s="241" t="inlineStr">
        <is>
          <t>DNI</t>
        </is>
      </c>
      <c r="F33" s="241" t="inlineStr">
        <is>
          <t>48846529</t>
        </is>
      </c>
      <c r="G33" s="336" t="n">
        <v>45737</v>
      </c>
      <c r="H33" s="241" t="inlineStr">
        <is>
          <t>4850</t>
        </is>
      </c>
      <c r="I33" s="332">
        <f>IFERROR(VLOOKUP(TEXT(H33,"0"),IPRESS!$A$3:$B$212,2,0),"")</f>
        <v/>
      </c>
      <c r="J33" s="241" t="inlineStr">
        <is>
          <t>4838</t>
        </is>
      </c>
      <c r="K33" s="332">
        <f>IFERROR(VLOOKUP(TEXT(O33,"0"),CONDUCTORES!$A$3:$G$100,7,0),"")</f>
        <v/>
      </c>
      <c r="L33" s="239" t="n">
        <v>18.18</v>
      </c>
      <c r="M33" s="239" t="n">
        <v>4</v>
      </c>
      <c r="N33" s="333">
        <f>IFERROR(IF(L33*M33=0,"",L33*M33),"")</f>
        <v/>
      </c>
      <c r="O33" s="334" t="n"/>
      <c r="P33" s="332">
        <f>IFERROR(VLOOKUP(TEXT(O33,"0"),CONDUCTORES!$A$3:$G$100,2,0),"")</f>
        <v/>
      </c>
      <c r="Q33" s="332">
        <f>IFERROR(VLOOKUP(TEXT(O33,"0"),CONDUCTORES!$A$3:$H$100,6,0),"")</f>
        <v/>
      </c>
      <c r="R33" s="336" t="n">
        <v>45793</v>
      </c>
      <c r="S33" s="305" t="inlineStr">
        <is>
          <t>T07X,S430,S422</t>
        </is>
      </c>
      <c r="T33" s="241" t="n"/>
      <c r="U33" s="336" t="n">
        <v>45772</v>
      </c>
      <c r="V33" s="241" t="n"/>
      <c r="W33" s="241" t="n"/>
      <c r="X33" s="241" t="n"/>
      <c r="Y33" s="280" t="n"/>
    </row>
    <row r="34" ht="15.75" customHeight="1" s="195">
      <c r="A34" s="301" t="n">
        <v>17</v>
      </c>
      <c r="B34" s="302" t="inlineStr">
        <is>
          <t>0000016</t>
        </is>
      </c>
      <c r="C34" s="301" t="inlineStr">
        <is>
          <t>REGION</t>
        </is>
      </c>
      <c r="D34" s="302" t="inlineStr">
        <is>
          <t>ROJAS ZUTA EGNER</t>
        </is>
      </c>
      <c r="E34" s="301" t="inlineStr">
        <is>
          <t>DNI</t>
        </is>
      </c>
      <c r="F34" s="301" t="inlineStr">
        <is>
          <t>33800427</t>
        </is>
      </c>
      <c r="G34" s="331" t="n">
        <v>45740</v>
      </c>
      <c r="H34" s="301" t="inlineStr">
        <is>
          <t>4850</t>
        </is>
      </c>
      <c r="I34" s="332">
        <f>IFERROR(VLOOKUP(TEXT(H34,"0"),IPRESS!$A$3:$B$212,2,0),"")</f>
        <v/>
      </c>
      <c r="J34" s="301" t="inlineStr">
        <is>
          <t>4838</t>
        </is>
      </c>
      <c r="K34" s="332">
        <f>IFERROR(VLOOKUP(TEXT(O34,"0"),CONDUCTORES!$A$3:$G$100,7,0),"")</f>
        <v/>
      </c>
      <c r="L34" s="245" t="n">
        <v>18.18</v>
      </c>
      <c r="M34" s="245" t="n">
        <v>4</v>
      </c>
      <c r="N34" s="333">
        <f>IFERROR(IF(L34*M34=0,"",L34*M34),"")</f>
        <v/>
      </c>
      <c r="O34" s="280" t="n"/>
      <c r="P34" s="332">
        <f>IFERROR(VLOOKUP(TEXT(O34,"0"),CONDUCTORES!$A$3:$G$100,2,0),"")</f>
        <v/>
      </c>
      <c r="Q34" s="332">
        <f>IFERROR(VLOOKUP(TEXT(O34,"0"),CONDUCTORES!$A$3:$H$100,6,0),"")</f>
        <v/>
      </c>
      <c r="R34" s="331" t="n">
        <v>45793</v>
      </c>
      <c r="S34" s="302" t="inlineStr">
        <is>
          <t>S069</t>
        </is>
      </c>
      <c r="T34" s="301" t="n"/>
      <c r="U34" s="331" t="n">
        <v>45772</v>
      </c>
      <c r="V34" s="301" t="n"/>
      <c r="W34" s="301" t="n"/>
      <c r="X34" s="301" t="n"/>
      <c r="Y34" s="280" t="n"/>
    </row>
    <row r="35" ht="15.75" customHeight="1" s="195">
      <c r="A35" s="241" t="n">
        <v>18</v>
      </c>
      <c r="B35" s="305" t="inlineStr">
        <is>
          <t>0000017</t>
        </is>
      </c>
      <c r="C35" s="241" t="inlineStr">
        <is>
          <t>REGION</t>
        </is>
      </c>
      <c r="D35" s="305" t="inlineStr">
        <is>
          <t>ZUTA VENTURA ELITA</t>
        </is>
      </c>
      <c r="E35" s="241" t="inlineStr">
        <is>
          <t>DNI</t>
        </is>
      </c>
      <c r="F35" s="241" t="inlineStr">
        <is>
          <t>75789557</t>
        </is>
      </c>
      <c r="G35" s="336" t="n">
        <v>45741</v>
      </c>
      <c r="H35" s="241" t="inlineStr">
        <is>
          <t>4850</t>
        </is>
      </c>
      <c r="I35" s="332">
        <f>IFERROR(VLOOKUP(TEXT(H35,"0"),IPRESS!$A$3:$B$212,2,0),"")</f>
        <v/>
      </c>
      <c r="J35" s="241" t="inlineStr">
        <is>
          <t>4838</t>
        </is>
      </c>
      <c r="K35" s="332">
        <f>IFERROR(VLOOKUP(TEXT(O35,"0"),CONDUCTORES!$A$3:$G$100,7,0),"")</f>
        <v/>
      </c>
      <c r="L35" s="239" t="n">
        <v>18.18</v>
      </c>
      <c r="M35" s="239" t="n">
        <v>4</v>
      </c>
      <c r="N35" s="333">
        <f>IFERROR(IF(L35*M35=0,"",L35*M35),"")</f>
        <v/>
      </c>
      <c r="O35" s="334" t="n"/>
      <c r="P35" s="332">
        <f>IFERROR(VLOOKUP(TEXT(O35,"0"),CONDUCTORES!$A$3:$G$100,2,0),"")</f>
        <v/>
      </c>
      <c r="Q35" s="332">
        <f>IFERROR(VLOOKUP(TEXT(O35,"0"),CONDUCTORES!$A$3:$H$100,6,0),"")</f>
        <v/>
      </c>
      <c r="R35" s="336" t="n">
        <v>45793</v>
      </c>
      <c r="S35" s="305" t="inlineStr">
        <is>
          <t>Z359,O600</t>
        </is>
      </c>
      <c r="T35" s="241" t="n"/>
      <c r="U35" s="336" t="n">
        <v>45772</v>
      </c>
      <c r="V35" s="241" t="n"/>
      <c r="W35" s="241" t="n"/>
      <c r="X35" s="241" t="n"/>
      <c r="Y35" s="280" t="n"/>
    </row>
    <row r="36" ht="15.75" customHeight="1" s="195">
      <c r="A36" s="301" t="n">
        <v>19</v>
      </c>
      <c r="B36" s="302" t="inlineStr">
        <is>
          <t>0000033</t>
        </is>
      </c>
      <c r="C36" s="301" t="inlineStr">
        <is>
          <t>REGION</t>
        </is>
      </c>
      <c r="D36" s="302" t="inlineStr">
        <is>
          <t>ARCE CHUGNAS ERMELINDA</t>
        </is>
      </c>
      <c r="E36" s="301" t="inlineStr">
        <is>
          <t>DNI</t>
        </is>
      </c>
      <c r="F36" s="301" t="inlineStr">
        <is>
          <t>46056914</t>
        </is>
      </c>
      <c r="G36" s="331" t="n">
        <v>45723</v>
      </c>
      <c r="H36" s="301" t="inlineStr">
        <is>
          <t>4859</t>
        </is>
      </c>
      <c r="I36" s="332">
        <f>IFERROR(VLOOKUP(TEXT(H36,"0"),IPRESS!$A$3:$B$212,2,0),"")</f>
        <v/>
      </c>
      <c r="J36" s="301" t="inlineStr">
        <is>
          <t>4838</t>
        </is>
      </c>
      <c r="K36" s="332">
        <f>IFERROR(VLOOKUP(TEXT(O36,"0"),CONDUCTORES!$A$3:$G$100,7,0),"")</f>
        <v/>
      </c>
      <c r="L36" s="245" t="n">
        <v>18.18</v>
      </c>
      <c r="M36" s="245" t="n">
        <v>7</v>
      </c>
      <c r="N36" s="333">
        <f>IFERROR(IF(L36*M36=0,"",L36*M36),"")</f>
        <v/>
      </c>
      <c r="O36" s="280" t="n"/>
      <c r="P36" s="332">
        <f>IFERROR(VLOOKUP(TEXT(O36,"0"),CONDUCTORES!$A$3:$G$100,2,0),"")</f>
        <v/>
      </c>
      <c r="Q36" s="332">
        <f>IFERROR(VLOOKUP(TEXT(O36,"0"),CONDUCTORES!$A$3:$H$100,6,0),"")</f>
        <v/>
      </c>
      <c r="R36" s="334" t="inlineStr">
        <is>
          <t>ENTREGADO 17/06/2025</t>
        </is>
      </c>
      <c r="S36" s="302" t="inlineStr">
        <is>
          <t>O629</t>
        </is>
      </c>
      <c r="T36" s="301" t="n"/>
      <c r="U36" s="331" t="n">
        <v>45749</v>
      </c>
      <c r="V36" s="301" t="n"/>
      <c r="W36" s="301" t="inlineStr">
        <is>
          <t>CONTRATO N° 001-2025 DYT</t>
        </is>
      </c>
      <c r="X36" s="301" t="inlineStr">
        <is>
          <t>285.0</t>
        </is>
      </c>
      <c r="Y36" s="280" t="n"/>
    </row>
    <row r="37" ht="15.75" customHeight="1" s="195">
      <c r="A37" s="241" t="n">
        <v>20</v>
      </c>
      <c r="B37" s="305" t="inlineStr">
        <is>
          <t>0000037</t>
        </is>
      </c>
      <c r="C37" s="241" t="inlineStr">
        <is>
          <t>REGION</t>
        </is>
      </c>
      <c r="D37" s="305" t="inlineStr">
        <is>
          <t>AGUILAR MORENO ANGELICA</t>
        </is>
      </c>
      <c r="E37" s="241" t="inlineStr">
        <is>
          <t>DNI</t>
        </is>
      </c>
      <c r="F37" s="241" t="inlineStr">
        <is>
          <t>33418585</t>
        </is>
      </c>
      <c r="G37" s="336" t="n">
        <v>45735</v>
      </c>
      <c r="H37" s="241" t="inlineStr">
        <is>
          <t>4859</t>
        </is>
      </c>
      <c r="I37" s="332">
        <f>IFERROR(VLOOKUP(TEXT(H37,"0"),IPRESS!$A$3:$B$212,2,0),"")</f>
        <v/>
      </c>
      <c r="J37" s="241" t="inlineStr">
        <is>
          <t>4838</t>
        </is>
      </c>
      <c r="K37" s="332">
        <f>IFERROR(VLOOKUP(TEXT(O37,"0"),CONDUCTORES!$A$3:$G$100,7,0),"")</f>
        <v/>
      </c>
      <c r="L37" s="239" t="n">
        <v>18.18</v>
      </c>
      <c r="M37" s="239" t="n">
        <v>7</v>
      </c>
      <c r="N37" s="333">
        <f>IFERROR(IF(L37*M37=0,"",L37*M37),"")</f>
        <v/>
      </c>
      <c r="O37" s="334" t="n"/>
      <c r="P37" s="332">
        <f>IFERROR(VLOOKUP(TEXT(O37,"0"),CONDUCTORES!$A$3:$G$100,2,0),"")</f>
        <v/>
      </c>
      <c r="Q37" s="332">
        <f>IFERROR(VLOOKUP(TEXT(O37,"0"),CONDUCTORES!$A$3:$H$100,6,0),"")</f>
        <v/>
      </c>
      <c r="R37" s="280" t="inlineStr">
        <is>
          <t>ENTREGADO 17/06/2026</t>
        </is>
      </c>
      <c r="S37" s="305" t="inlineStr">
        <is>
          <t>F239,I698</t>
        </is>
      </c>
      <c r="T37" s="241" t="n"/>
      <c r="U37" s="336" t="n">
        <v>45768</v>
      </c>
      <c r="V37" s="241" t="n"/>
      <c r="W37" s="241" t="inlineStr">
        <is>
          <t>CONTRATO N° 001-2025 DYT</t>
        </is>
      </c>
      <c r="X37" s="241" t="inlineStr">
        <is>
          <t>285.0</t>
        </is>
      </c>
      <c r="Y37" s="280" t="n"/>
    </row>
    <row r="38" ht="15.75" customHeight="1" s="195">
      <c r="A38" s="301" t="n">
        <v>21</v>
      </c>
      <c r="B38" s="302" t="inlineStr">
        <is>
          <t>0000038</t>
        </is>
      </c>
      <c r="C38" s="301" t="inlineStr">
        <is>
          <t>REGION</t>
        </is>
      </c>
      <c r="D38" s="302" t="inlineStr">
        <is>
          <t>ABANTO GARRO ROSITA DEL CARMEN</t>
        </is>
      </c>
      <c r="E38" s="301" t="inlineStr">
        <is>
          <t>DNI</t>
        </is>
      </c>
      <c r="F38" s="301" t="inlineStr">
        <is>
          <t>47034590</t>
        </is>
      </c>
      <c r="G38" s="331" t="n">
        <v>45736</v>
      </c>
      <c r="H38" s="301" t="inlineStr">
        <is>
          <t>4859</t>
        </is>
      </c>
      <c r="I38" s="332">
        <f>IFERROR(VLOOKUP(TEXT(H38,"0"),IPRESS!$A$3:$B$212,2,0),"")</f>
        <v/>
      </c>
      <c r="J38" s="301" t="inlineStr">
        <is>
          <t>4838</t>
        </is>
      </c>
      <c r="K38" s="332">
        <f>IFERROR(VLOOKUP(TEXT(O38,"0"),CONDUCTORES!$A$3:$G$100,7,0),"")</f>
        <v/>
      </c>
      <c r="L38" s="245" t="n">
        <v>18.18</v>
      </c>
      <c r="M38" s="245" t="n">
        <v>7</v>
      </c>
      <c r="N38" s="333">
        <f>IFERROR(IF(L38*M38=0,"",L38*M38),"")</f>
        <v/>
      </c>
      <c r="O38" s="280" t="n"/>
      <c r="P38" s="332">
        <f>IFERROR(VLOOKUP(TEXT(O38,"0"),CONDUCTORES!$A$3:$G$100,2,0),"")</f>
        <v/>
      </c>
      <c r="Q38" s="332">
        <f>IFERROR(VLOOKUP(TEXT(O38,"0"),CONDUCTORES!$A$3:$H$100,6,0),"")</f>
        <v/>
      </c>
      <c r="R38" s="334" t="inlineStr">
        <is>
          <t>ENTREGADO 17/06/2027</t>
        </is>
      </c>
      <c r="S38" s="302" t="inlineStr">
        <is>
          <t>R101,K359</t>
        </is>
      </c>
      <c r="T38" s="301" t="n"/>
      <c r="U38" s="331" t="n">
        <v>45768</v>
      </c>
      <c r="V38" s="301" t="n"/>
      <c r="W38" s="301" t="inlineStr">
        <is>
          <t>CONTRATO N° 001-2025 DYT</t>
        </is>
      </c>
      <c r="X38" s="301" t="inlineStr">
        <is>
          <t>285.0</t>
        </is>
      </c>
      <c r="Y38" s="280" t="n"/>
    </row>
    <row r="39" ht="15.75" customHeight="1" s="195">
      <c r="A39" s="241" t="n">
        <v>22</v>
      </c>
      <c r="B39" s="305" t="inlineStr">
        <is>
          <t>0000034</t>
        </is>
      </c>
      <c r="C39" s="241" t="inlineStr">
        <is>
          <t>REGION</t>
        </is>
      </c>
      <c r="D39" s="305" t="inlineStr">
        <is>
          <t>MENDOZA DIAZ LEYLI AYDIT</t>
        </is>
      </c>
      <c r="E39" s="241" t="inlineStr">
        <is>
          <t>DNI</t>
        </is>
      </c>
      <c r="F39" s="241" t="inlineStr">
        <is>
          <t>62134072</t>
        </is>
      </c>
      <c r="G39" s="336" t="n">
        <v>45723</v>
      </c>
      <c r="H39" s="241" t="inlineStr">
        <is>
          <t>4859</t>
        </is>
      </c>
      <c r="I39" s="332">
        <f>IFERROR(VLOOKUP(TEXT(H39,"0"),IPRESS!$A$3:$B$212,2,0),"")</f>
        <v/>
      </c>
      <c r="J39" s="241" t="inlineStr">
        <is>
          <t>4838</t>
        </is>
      </c>
      <c r="K39" s="332">
        <f>IFERROR(VLOOKUP(TEXT(O39,"0"),CONDUCTORES!$A$3:$G$100,7,0),"")</f>
        <v/>
      </c>
      <c r="L39" s="239" t="n">
        <v>18.18</v>
      </c>
      <c r="M39" s="239" t="n">
        <v>7</v>
      </c>
      <c r="N39" s="333">
        <f>IFERROR(IF(L39*M39=0,"",L39*M39),"")</f>
        <v/>
      </c>
      <c r="O39" s="334" t="n"/>
      <c r="P39" s="332">
        <f>IFERROR(VLOOKUP(TEXT(O39,"0"),CONDUCTORES!$A$3:$G$100,2,0),"")</f>
        <v/>
      </c>
      <c r="Q39" s="332">
        <f>IFERROR(VLOOKUP(TEXT(O39,"0"),CONDUCTORES!$A$3:$H$100,6,0),"")</f>
        <v/>
      </c>
      <c r="R39" s="280" t="inlineStr">
        <is>
          <t>ENTREGADO 17/06/2028</t>
        </is>
      </c>
      <c r="S39" s="305" t="inlineStr">
        <is>
          <t>R104,K359</t>
        </is>
      </c>
      <c r="T39" s="241" t="n"/>
      <c r="U39" s="336" t="n">
        <v>45768</v>
      </c>
      <c r="V39" s="241" t="n"/>
      <c r="W39" s="241" t="inlineStr">
        <is>
          <t>CONTRATO N° 001-2025 DYT</t>
        </is>
      </c>
      <c r="X39" s="241" t="inlineStr">
        <is>
          <t>285.0</t>
        </is>
      </c>
      <c r="Y39" s="280" t="n"/>
    </row>
    <row r="40" ht="15.75" customHeight="1" s="195">
      <c r="A40" s="301" t="n">
        <v>23</v>
      </c>
      <c r="B40" s="302" t="inlineStr">
        <is>
          <t>0000040</t>
        </is>
      </c>
      <c r="C40" s="301" t="inlineStr">
        <is>
          <t>REGION</t>
        </is>
      </c>
      <c r="D40" s="302" t="inlineStr">
        <is>
          <t>ACOSTA POQUIOMA JHODY RONALDO</t>
        </is>
      </c>
      <c r="E40" s="301" t="inlineStr">
        <is>
          <t>DNI</t>
        </is>
      </c>
      <c r="F40" s="301" t="inlineStr">
        <is>
          <t>76820130</t>
        </is>
      </c>
      <c r="G40" s="331" t="n">
        <v>45731</v>
      </c>
      <c r="H40" s="301" t="inlineStr">
        <is>
          <t>4859</t>
        </is>
      </c>
      <c r="I40" s="332">
        <f>IFERROR(VLOOKUP(TEXT(H40,"0"),IPRESS!$A$3:$B$212,2,0),"")</f>
        <v/>
      </c>
      <c r="J40" s="301" t="inlineStr">
        <is>
          <t>4838</t>
        </is>
      </c>
      <c r="K40" s="332">
        <f>IFERROR(VLOOKUP(TEXT(O40,"0"),CONDUCTORES!$A$3:$G$100,7,0),"")</f>
        <v/>
      </c>
      <c r="L40" s="245" t="n">
        <v>18.18</v>
      </c>
      <c r="M40" s="245" t="n">
        <v>7</v>
      </c>
      <c r="N40" s="333">
        <f>IFERROR(IF(L40*M40=0,"",L40*M40),"")</f>
        <v/>
      </c>
      <c r="O40" s="280" t="n"/>
      <c r="P40" s="332">
        <f>IFERROR(VLOOKUP(TEXT(O40,"0"),CONDUCTORES!$A$3:$G$100,2,0),"")</f>
        <v/>
      </c>
      <c r="Q40" s="332">
        <f>IFERROR(VLOOKUP(TEXT(O40,"0"),CONDUCTORES!$A$3:$H$100,6,0),"")</f>
        <v/>
      </c>
      <c r="R40" s="334" t="inlineStr">
        <is>
          <t>ENTREGADO 17/06/2029</t>
        </is>
      </c>
      <c r="S40" s="302" t="inlineStr">
        <is>
          <t>S681,S610</t>
        </is>
      </c>
      <c r="T40" s="301" t="n"/>
      <c r="U40" s="331" t="n">
        <v>45768</v>
      </c>
      <c r="V40" s="301" t="n"/>
      <c r="W40" s="301" t="inlineStr">
        <is>
          <t>CONTRATO N° 001-2025 DYT</t>
        </is>
      </c>
      <c r="X40" s="301" t="inlineStr">
        <is>
          <t>285.0</t>
        </is>
      </c>
      <c r="Y40" s="280" t="n"/>
    </row>
    <row r="41" ht="15.75" customHeight="1" s="195">
      <c r="A41" s="241" t="n">
        <v>21</v>
      </c>
      <c r="B41" s="305" t="inlineStr">
        <is>
          <t>0000036</t>
        </is>
      </c>
      <c r="C41" s="241" t="inlineStr">
        <is>
          <t>REGION</t>
        </is>
      </c>
      <c r="D41" s="305" t="inlineStr">
        <is>
          <t>MELENDEZ MARQUEZ FABIANA ADRIANA</t>
        </is>
      </c>
      <c r="E41" s="241" t="inlineStr">
        <is>
          <t>DNI</t>
        </is>
      </c>
      <c r="F41" s="241" t="inlineStr">
        <is>
          <t>91191910</t>
        </is>
      </c>
      <c r="G41" s="336" t="n">
        <v>45734</v>
      </c>
      <c r="H41" s="241" t="inlineStr">
        <is>
          <t>4859</t>
        </is>
      </c>
      <c r="I41" s="332">
        <f>IFERROR(VLOOKUP(TEXT(H41,"0"),IPRESS!$A$3:$B$212,2,0),"")</f>
        <v/>
      </c>
      <c r="J41" s="241" t="inlineStr">
        <is>
          <t>4838</t>
        </is>
      </c>
      <c r="K41" s="332">
        <f>IFERROR(VLOOKUP(TEXT(O41,"0"),CONDUCTORES!$A$3:$G$100,7,0),"")</f>
        <v/>
      </c>
      <c r="L41" s="239" t="n">
        <v>18.18</v>
      </c>
      <c r="M41" s="239" t="n">
        <v>7</v>
      </c>
      <c r="N41" s="333">
        <f>IFERROR(IF(L41*M41=0,"",L41*M41),"")</f>
        <v/>
      </c>
      <c r="O41" s="334" t="n"/>
      <c r="P41" s="332">
        <f>IFERROR(VLOOKUP(TEXT(O41,"0"),CONDUCTORES!$A$3:$G$100,2,0),"")</f>
        <v/>
      </c>
      <c r="Q41" s="332">
        <f>IFERROR(VLOOKUP(TEXT(O41,"0"),CONDUCTORES!$A$3:$H$100,6,0),"")</f>
        <v/>
      </c>
      <c r="R41" s="280" t="inlineStr">
        <is>
          <t>ENTREGADO 17/06/2030</t>
        </is>
      </c>
      <c r="S41" s="305" t="inlineStr">
        <is>
          <t>J960,J459</t>
        </is>
      </c>
      <c r="T41" s="241" t="n"/>
      <c r="U41" s="336" t="n">
        <v>45768</v>
      </c>
      <c r="V41" s="241" t="n"/>
      <c r="W41" s="241" t="inlineStr">
        <is>
          <t>CONTRATO N° 001-2025 DYT</t>
        </is>
      </c>
      <c r="X41" s="241" t="inlineStr">
        <is>
          <t>285.0</t>
        </is>
      </c>
      <c r="Y41" s="280" t="n"/>
    </row>
    <row r="42" ht="15.75" customHeight="1" s="195">
      <c r="A42" s="301" t="n">
        <v>22</v>
      </c>
      <c r="B42" s="302" t="inlineStr">
        <is>
          <t>0000039</t>
        </is>
      </c>
      <c r="C42" s="301" t="inlineStr">
        <is>
          <t>REGION</t>
        </is>
      </c>
      <c r="D42" s="302" t="inlineStr">
        <is>
          <t>SANCHEZ HOYOS LUZ ANGELICA</t>
        </is>
      </c>
      <c r="E42" s="301" t="inlineStr">
        <is>
          <t>DNI</t>
        </is>
      </c>
      <c r="F42" s="301" t="inlineStr">
        <is>
          <t>71603371</t>
        </is>
      </c>
      <c r="G42" s="331" t="n">
        <v>45741</v>
      </c>
      <c r="H42" s="301" t="inlineStr">
        <is>
          <t>4859</t>
        </is>
      </c>
      <c r="I42" s="332">
        <f>IFERROR(VLOOKUP(TEXT(H42,"0"),IPRESS!$A$3:$B$212,2,0),"")</f>
        <v/>
      </c>
      <c r="J42" s="301" t="inlineStr">
        <is>
          <t>4838</t>
        </is>
      </c>
      <c r="K42" s="332">
        <f>IFERROR(VLOOKUP(TEXT(O42,"0"),CONDUCTORES!$A$3:$G$100,7,0),"")</f>
        <v/>
      </c>
      <c r="L42" s="245" t="n">
        <v>18.18</v>
      </c>
      <c r="M42" s="245" t="n">
        <v>7</v>
      </c>
      <c r="N42" s="333">
        <f>IFERROR(IF(L42*M42=0,"",L42*M42),"")</f>
        <v/>
      </c>
      <c r="O42" s="280" t="n"/>
      <c r="P42" s="332">
        <f>IFERROR(VLOOKUP(TEXT(O42,"0"),CONDUCTORES!$A$3:$G$100,2,0),"")</f>
        <v/>
      </c>
      <c r="Q42" s="332">
        <f>IFERROR(VLOOKUP(TEXT(O42,"0"),CONDUCTORES!$A$3:$H$100,6,0),"")</f>
        <v/>
      </c>
      <c r="R42" s="334" t="inlineStr">
        <is>
          <t>ENTREGADO 17/06/2031</t>
        </is>
      </c>
      <c r="S42" s="302" t="inlineStr">
        <is>
          <t>Z359,O860</t>
        </is>
      </c>
      <c r="T42" s="301" t="n"/>
      <c r="U42" s="331" t="n">
        <v>45772</v>
      </c>
      <c r="V42" s="301" t="n"/>
      <c r="W42" s="301" t="inlineStr">
        <is>
          <t>CONTRATO N° 001-2025 DYT</t>
        </is>
      </c>
      <c r="X42" s="301" t="inlineStr">
        <is>
          <t>285.0</t>
        </is>
      </c>
      <c r="Y42" s="280" t="n"/>
    </row>
    <row r="43" ht="15.75" customHeight="1" s="195">
      <c r="A43" s="241" t="n">
        <v>23</v>
      </c>
      <c r="B43" s="305" t="inlineStr">
        <is>
          <t>00000048</t>
        </is>
      </c>
      <c r="C43" s="241" t="inlineStr">
        <is>
          <t>REGION</t>
        </is>
      </c>
      <c r="D43" s="305" t="inlineStr">
        <is>
          <t>ACOSTA POQUIOMA  SHAK FRANCO</t>
        </is>
      </c>
      <c r="E43" s="241" t="inlineStr">
        <is>
          <t>DNI</t>
        </is>
      </c>
      <c r="F43" s="241" t="inlineStr">
        <is>
          <t>62210640</t>
        </is>
      </c>
      <c r="G43" s="336" t="n">
        <v>45745</v>
      </c>
      <c r="H43" s="241" t="inlineStr">
        <is>
          <t>4859</t>
        </is>
      </c>
      <c r="I43" s="332">
        <f>IFERROR(VLOOKUP(TEXT(H43,"0"),IPRESS!$A$3:$B$212,2,0),"")</f>
        <v/>
      </c>
      <c r="J43" s="241" t="inlineStr">
        <is>
          <t>4838</t>
        </is>
      </c>
      <c r="K43" s="332">
        <f>IFERROR(VLOOKUP(TEXT(O43,"0"),CONDUCTORES!$A$3:$G$100,7,0),"")</f>
        <v/>
      </c>
      <c r="L43" s="239" t="n">
        <v>18.18</v>
      </c>
      <c r="M43" s="239" t="n">
        <v>7</v>
      </c>
      <c r="N43" s="333">
        <f>IFERROR(IF(L43*M43=0,"",L43*M43),"")</f>
        <v/>
      </c>
      <c r="O43" s="334" t="n"/>
      <c r="P43" s="332">
        <f>IFERROR(VLOOKUP(TEXT(O43,"0"),CONDUCTORES!$A$3:$G$100,2,0),"")</f>
        <v/>
      </c>
      <c r="Q43" s="332">
        <f>IFERROR(VLOOKUP(TEXT(O43,"0"),CONDUCTORES!$A$3:$H$100,6,0),"")</f>
        <v/>
      </c>
      <c r="R43" s="280" t="inlineStr">
        <is>
          <t>ENTREGADO 17/06/2032</t>
        </is>
      </c>
      <c r="S43" s="305" t="inlineStr">
        <is>
          <t>S011,S001,S069</t>
        </is>
      </c>
      <c r="T43" s="241" t="n"/>
      <c r="U43" s="336" t="n">
        <v>45784</v>
      </c>
      <c r="V43" s="241" t="n"/>
      <c r="W43" s="241" t="inlineStr">
        <is>
          <t>CONTRATO N° 001-2025 DYT</t>
        </is>
      </c>
      <c r="X43" s="241" t="inlineStr">
        <is>
          <t>285.0</t>
        </is>
      </c>
      <c r="Y43" s="280" t="n"/>
    </row>
    <row r="44" ht="15.75" customHeight="1" s="195">
      <c r="A44" s="301" t="n">
        <v>24</v>
      </c>
      <c r="B44" s="302" t="inlineStr">
        <is>
          <t>0000002</t>
        </is>
      </c>
      <c r="C44" s="301" t="inlineStr">
        <is>
          <t>REGION</t>
        </is>
      </c>
      <c r="D44" s="302" t="inlineStr">
        <is>
          <t>CHUQUITUCTO SANCHEZ SANTOS</t>
        </is>
      </c>
      <c r="E44" s="301" t="inlineStr">
        <is>
          <t>DNI</t>
        </is>
      </c>
      <c r="F44" s="301" t="inlineStr">
        <is>
          <t>42980327</t>
        </is>
      </c>
      <c r="G44" s="331" t="n">
        <v>45743</v>
      </c>
      <c r="H44" s="301" t="inlineStr">
        <is>
          <t>4955</t>
        </is>
      </c>
      <c r="I44" s="332">
        <f>IFERROR(VLOOKUP(TEXT(H44,"0"),IPRESS!$A$3:$B$212,2,0),"")</f>
        <v/>
      </c>
      <c r="J44" s="301" t="inlineStr">
        <is>
          <t>4950</t>
        </is>
      </c>
      <c r="K44" s="332">
        <f>IFERROR(VLOOKUP(TEXT(O44,"0"),CONDUCTORES!$A$3:$G$100,7,0),"")</f>
        <v/>
      </c>
      <c r="L44" s="245" t="n">
        <v>20.25</v>
      </c>
      <c r="M44" s="245" t="n">
        <v>8</v>
      </c>
      <c r="N44" s="333">
        <f>IFERROR(IF(L44*M44=0,"",L44*M44),"")</f>
        <v/>
      </c>
      <c r="O44" s="280" t="n"/>
      <c r="P44" s="332">
        <f>IFERROR(VLOOKUP(TEXT(O44,"0"),CONDUCTORES!$A$3:$G$100,2,0),"")</f>
        <v/>
      </c>
      <c r="Q44" s="332">
        <f>IFERROR(VLOOKUP(TEXT(O44,"0"),CONDUCTORES!$A$3:$H$100,6,0),"")</f>
        <v/>
      </c>
      <c r="R44" s="331" t="n">
        <v>45828</v>
      </c>
      <c r="S44" s="302" t="inlineStr">
        <is>
          <t>Z359,O429</t>
        </is>
      </c>
      <c r="T44" s="301" t="n"/>
      <c r="U44" s="331" t="n">
        <v>45776</v>
      </c>
      <c r="V44" s="301" t="inlineStr">
        <is>
          <t>LA DEVOLUCION DEL COMBUSTIBLE HACER AL C.S. TOTORA SEGUN INFORME 016-2025</t>
        </is>
      </c>
      <c r="W44" s="301" t="n"/>
      <c r="X44" s="301" t="n"/>
      <c r="Y44" s="280" t="n"/>
    </row>
    <row r="45" ht="15.75" customHeight="1" s="195">
      <c r="A45" s="241" t="n">
        <v>25</v>
      </c>
      <c r="B45" s="305" t="inlineStr">
        <is>
          <t>00000003</t>
        </is>
      </c>
      <c r="C45" s="241" t="inlineStr">
        <is>
          <t>REGION</t>
        </is>
      </c>
      <c r="D45" s="305" t="inlineStr">
        <is>
          <t>HUAMAN CHOCTALIN LEYDA YESENIA</t>
        </is>
      </c>
      <c r="E45" s="241" t="inlineStr">
        <is>
          <t>DNI</t>
        </is>
      </c>
      <c r="F45" s="241" t="inlineStr">
        <is>
          <t>91319317</t>
        </is>
      </c>
      <c r="G45" s="336" t="n">
        <v>45743</v>
      </c>
      <c r="H45" s="241" t="inlineStr">
        <is>
          <t>4955</t>
        </is>
      </c>
      <c r="I45" s="332">
        <f>IFERROR(VLOOKUP(TEXT(H45,"0"),IPRESS!$A$3:$B$212,2,0),"")</f>
        <v/>
      </c>
      <c r="J45" s="241" t="inlineStr">
        <is>
          <t>4950</t>
        </is>
      </c>
      <c r="K45" s="332">
        <f>IFERROR(VLOOKUP(TEXT(O45,"0"),CONDUCTORES!$A$3:$G$100,7,0),"")</f>
        <v/>
      </c>
      <c r="L45" s="239" t="n">
        <v>20.25</v>
      </c>
      <c r="M45" s="239" t="n">
        <v>8</v>
      </c>
      <c r="N45" s="333">
        <f>IFERROR(IF(L45*M45=0,"",L45*M45),"")</f>
        <v/>
      </c>
      <c r="O45" s="334" t="n"/>
      <c r="P45" s="332">
        <f>IFERROR(VLOOKUP(TEXT(O45,"0"),CONDUCTORES!$A$3:$G$100,2,0),"")</f>
        <v/>
      </c>
      <c r="Q45" s="332">
        <f>IFERROR(VLOOKUP(TEXT(O45,"0"),CONDUCTORES!$A$3:$H$100,6,0),"")</f>
        <v/>
      </c>
      <c r="R45" s="336" t="n">
        <v>45828</v>
      </c>
      <c r="S45" s="305" t="inlineStr">
        <is>
          <t>T140,S010,S429</t>
        </is>
      </c>
      <c r="T45" s="241" t="n"/>
      <c r="U45" s="336" t="n">
        <v>45776</v>
      </c>
      <c r="V45" s="241" t="inlineStr">
        <is>
          <t>LA DEVOLUCION DEL COMBUSTIBLE HACER AL C.S. TOTORA SEGUN INFORME 017-2025</t>
        </is>
      </c>
      <c r="W45" s="241" t="n"/>
      <c r="X45" s="241" t="n"/>
      <c r="Y45" s="280" t="n"/>
    </row>
    <row r="46" ht="15.75" customHeight="1" s="195">
      <c r="A46" s="301" t="n">
        <v>26</v>
      </c>
      <c r="B46" s="302" t="inlineStr">
        <is>
          <t>0000019</t>
        </is>
      </c>
      <c r="C46" s="301" t="inlineStr">
        <is>
          <t>REGION</t>
        </is>
      </c>
      <c r="D46" s="302" t="inlineStr">
        <is>
          <t>CHOCTALIN CHOCA RUTH SAMDRA</t>
        </is>
      </c>
      <c r="E46" s="301" t="inlineStr">
        <is>
          <t>DNI</t>
        </is>
      </c>
      <c r="F46" s="301" t="inlineStr">
        <is>
          <t>90615337</t>
        </is>
      </c>
      <c r="G46" s="331" t="n">
        <v>45719</v>
      </c>
      <c r="H46" s="301" t="inlineStr">
        <is>
          <t>4866</t>
        </is>
      </c>
      <c r="I46" s="332">
        <f>IFERROR(VLOOKUP(TEXT(H46,"0"),IPRESS!$A$3:$B$212,2,0),"")</f>
        <v/>
      </c>
      <c r="J46" s="301" t="inlineStr">
        <is>
          <t>4838</t>
        </is>
      </c>
      <c r="K46" s="332">
        <f>IFERROR(VLOOKUP(TEXT(O46,"0"),CONDUCTORES!$A$3:$G$100,7,0),"")</f>
        <v/>
      </c>
      <c r="L46" s="245" t="n">
        <v>18.18</v>
      </c>
      <c r="M46" s="245" t="n">
        <v>4</v>
      </c>
      <c r="N46" s="333">
        <f>IFERROR(IF(L46*M46=0,"",L46*M46),"")</f>
        <v/>
      </c>
      <c r="O46" s="280" t="n"/>
      <c r="P46" s="332">
        <f>IFERROR(VLOOKUP(TEXT(O46,"0"),CONDUCTORES!$A$3:$G$100,2,0),"")</f>
        <v/>
      </c>
      <c r="Q46" s="332">
        <f>IFERROR(VLOOKUP(TEXT(O46,"0"),CONDUCTORES!$A$3:$H$100,6,0),"")</f>
        <v/>
      </c>
      <c r="R46" s="334" t="inlineStr">
        <is>
          <t>ATENDIDO 05-05-2025</t>
        </is>
      </c>
      <c r="S46" s="302" t="inlineStr">
        <is>
          <t>R100,K359</t>
        </is>
      </c>
      <c r="T46" s="301" t="n"/>
      <c r="U46" s="331" t="n">
        <v>45744</v>
      </c>
      <c r="V46" s="301" t="inlineStr">
        <is>
          <t>OFICIO 01771-2025</t>
        </is>
      </c>
      <c r="W46" s="301" t="inlineStr">
        <is>
          <t>0000108- ADENDA N°001-2025 DRSA/OEA-O.ABAST</t>
        </is>
      </c>
      <c r="X46" s="301" t="inlineStr">
        <is>
          <t>256.0</t>
        </is>
      </c>
      <c r="Y46" s="280" t="n"/>
    </row>
    <row r="47" ht="15.75" customHeight="1" s="195">
      <c r="A47" s="241" t="n">
        <v>27</v>
      </c>
      <c r="B47" s="305" t="inlineStr">
        <is>
          <t>0000020</t>
        </is>
      </c>
      <c r="C47" s="241" t="inlineStr">
        <is>
          <t>REGION</t>
        </is>
      </c>
      <c r="D47" s="305" t="inlineStr">
        <is>
          <t>VASQUEZ TORREJON SANDRA MARILU</t>
        </is>
      </c>
      <c r="E47" s="241" t="inlineStr">
        <is>
          <t>DNI</t>
        </is>
      </c>
      <c r="F47" s="241" t="inlineStr">
        <is>
          <t>42054051</t>
        </is>
      </c>
      <c r="G47" s="336" t="n">
        <v>45722</v>
      </c>
      <c r="H47" s="241" t="inlineStr">
        <is>
          <t>4866</t>
        </is>
      </c>
      <c r="I47" s="332">
        <f>IFERROR(VLOOKUP(TEXT(H47,"0"),IPRESS!$A$3:$B$212,2,0),"")</f>
        <v/>
      </c>
      <c r="J47" s="241" t="inlineStr">
        <is>
          <t>4838</t>
        </is>
      </c>
      <c r="K47" s="332">
        <f>IFERROR(VLOOKUP(TEXT(O47,"0"),CONDUCTORES!$A$3:$G$100,7,0),"")</f>
        <v/>
      </c>
      <c r="L47" s="239" t="n">
        <v>18.18</v>
      </c>
      <c r="M47" s="239" t="n">
        <v>4</v>
      </c>
      <c r="N47" s="333">
        <f>IFERROR(IF(L47*M47=0,"",L47*M47),"")</f>
        <v/>
      </c>
      <c r="O47" s="334" t="n"/>
      <c r="P47" s="332">
        <f>IFERROR(VLOOKUP(TEXT(O47,"0"),CONDUCTORES!$A$3:$G$100,2,0),"")</f>
        <v/>
      </c>
      <c r="Q47" s="332">
        <f>IFERROR(VLOOKUP(TEXT(O47,"0"),CONDUCTORES!$A$3:$H$100,6,0),"")</f>
        <v/>
      </c>
      <c r="R47" s="280" t="inlineStr">
        <is>
          <t>ATENDIDO 05-05-2026</t>
        </is>
      </c>
      <c r="S47" s="305" t="inlineStr">
        <is>
          <t>O149</t>
        </is>
      </c>
      <c r="T47" s="241" t="n"/>
      <c r="U47" s="336" t="n">
        <v>45747</v>
      </c>
      <c r="V47" s="241" t="inlineStr">
        <is>
          <t>OFICIO 01771-2025</t>
        </is>
      </c>
      <c r="W47" s="241" t="inlineStr">
        <is>
          <t>0000108- ADENDA N°001-2025 DRSA/OEA-O.ABAST</t>
        </is>
      </c>
      <c r="X47" s="241" t="inlineStr">
        <is>
          <t>256.0</t>
        </is>
      </c>
      <c r="Y47" s="280" t="n"/>
    </row>
    <row r="48" ht="15.75" customHeight="1" s="195">
      <c r="A48" s="301" t="n">
        <v>25</v>
      </c>
      <c r="B48" s="302" t="inlineStr">
        <is>
          <t>0000021</t>
        </is>
      </c>
      <c r="C48" s="301" t="inlineStr">
        <is>
          <t>REGION</t>
        </is>
      </c>
      <c r="D48" s="302" t="inlineStr">
        <is>
          <t>MENDOZA GUELAC ABELINA</t>
        </is>
      </c>
      <c r="E48" s="301" t="inlineStr">
        <is>
          <t>DNI</t>
        </is>
      </c>
      <c r="F48" s="301" t="inlineStr">
        <is>
          <t>48816214</t>
        </is>
      </c>
      <c r="G48" s="331" t="n">
        <v>45727</v>
      </c>
      <c r="H48" s="301" t="inlineStr">
        <is>
          <t>4866</t>
        </is>
      </c>
      <c r="I48" s="332">
        <f>IFERROR(VLOOKUP(TEXT(H48,"0"),IPRESS!$A$3:$B$212,2,0),"")</f>
        <v/>
      </c>
      <c r="J48" s="301" t="inlineStr">
        <is>
          <t>4838</t>
        </is>
      </c>
      <c r="K48" s="332">
        <f>IFERROR(VLOOKUP(TEXT(O48,"0"),CONDUCTORES!$A$3:$G$100,7,0),"")</f>
        <v/>
      </c>
      <c r="L48" s="245" t="n">
        <v>18.18</v>
      </c>
      <c r="M48" s="245" t="n">
        <v>4</v>
      </c>
      <c r="N48" s="333">
        <f>IFERROR(IF(L48*M48=0,"",L48*M48),"")</f>
        <v/>
      </c>
      <c r="O48" s="280" t="n"/>
      <c r="P48" s="332">
        <f>IFERROR(VLOOKUP(TEXT(O48,"0"),CONDUCTORES!$A$3:$G$100,2,0),"")</f>
        <v/>
      </c>
      <c r="Q48" s="332">
        <f>IFERROR(VLOOKUP(TEXT(O48,"0"),CONDUCTORES!$A$3:$H$100,6,0),"")</f>
        <v/>
      </c>
      <c r="R48" s="334" t="inlineStr">
        <is>
          <t>ATENDIDO 05-05-2027</t>
        </is>
      </c>
      <c r="S48" s="302" t="inlineStr">
        <is>
          <t>I679,G832</t>
        </is>
      </c>
      <c r="T48" s="301" t="n"/>
      <c r="U48" s="331" t="n">
        <v>45756</v>
      </c>
      <c r="V48" s="301" t="inlineStr">
        <is>
          <t>OFICIO 01771-2025</t>
        </is>
      </c>
      <c r="W48" s="301" t="inlineStr">
        <is>
          <t>0000108- ADENDA N°001-2025 DRSA/OEA-O.ABAST</t>
        </is>
      </c>
      <c r="X48" s="301" t="inlineStr">
        <is>
          <t>256.0</t>
        </is>
      </c>
      <c r="Y48" s="280" t="n"/>
    </row>
    <row r="49" ht="15.75" customHeight="1" s="195">
      <c r="A49" s="241" t="n">
        <v>26</v>
      </c>
      <c r="B49" s="305" t="inlineStr">
        <is>
          <t>0000022</t>
        </is>
      </c>
      <c r="C49" s="241" t="inlineStr">
        <is>
          <t>REGION</t>
        </is>
      </c>
      <c r="D49" s="305" t="inlineStr">
        <is>
          <t>VALQUI CHAPA DE CACHAY RITA</t>
        </is>
      </c>
      <c r="E49" s="241" t="inlineStr">
        <is>
          <t>DNI</t>
        </is>
      </c>
      <c r="F49" s="241" t="inlineStr">
        <is>
          <t>33791714</t>
        </is>
      </c>
      <c r="G49" s="336" t="n">
        <v>45728</v>
      </c>
      <c r="H49" s="241" t="inlineStr">
        <is>
          <t>4866</t>
        </is>
      </c>
      <c r="I49" s="332">
        <f>IFERROR(VLOOKUP(TEXT(H49,"0"),IPRESS!$A$3:$B$212,2,0),"")</f>
        <v/>
      </c>
      <c r="J49" s="241" t="inlineStr">
        <is>
          <t>4838</t>
        </is>
      </c>
      <c r="K49" s="332">
        <f>IFERROR(VLOOKUP(TEXT(O49,"0"),CONDUCTORES!$A$3:$G$100,7,0),"")</f>
        <v/>
      </c>
      <c r="L49" s="239" t="n">
        <v>18.18</v>
      </c>
      <c r="M49" s="239" t="n">
        <v>4</v>
      </c>
      <c r="N49" s="333">
        <f>IFERROR(IF(L49*M49=0,"",L49*M49),"")</f>
        <v/>
      </c>
      <c r="O49" s="334" t="n"/>
      <c r="P49" s="332">
        <f>IFERROR(VLOOKUP(TEXT(O49,"0"),CONDUCTORES!$A$3:$G$100,2,0),"")</f>
        <v/>
      </c>
      <c r="Q49" s="332">
        <f>IFERROR(VLOOKUP(TEXT(O49,"0"),CONDUCTORES!$A$3:$H$100,6,0),"")</f>
        <v/>
      </c>
      <c r="R49" s="280" t="inlineStr">
        <is>
          <t>ATENDIDO 05-05-2028</t>
        </is>
      </c>
      <c r="S49" s="305" t="inlineStr">
        <is>
          <t>R100,K359</t>
        </is>
      </c>
      <c r="T49" s="241" t="n"/>
      <c r="U49" s="336" t="n">
        <v>45758</v>
      </c>
      <c r="V49" s="241" t="inlineStr">
        <is>
          <t>OFICIO 01771-2025</t>
        </is>
      </c>
      <c r="W49" s="241" t="inlineStr">
        <is>
          <t>0000108- ADENDA N°001-2025 DRSA/OEA-O.ABAST</t>
        </is>
      </c>
      <c r="X49" s="241" t="inlineStr">
        <is>
          <t>256.0</t>
        </is>
      </c>
      <c r="Y49" s="280" t="n"/>
    </row>
    <row r="50" ht="15.75" customHeight="1" s="195">
      <c r="A50" s="301" t="n">
        <v>27</v>
      </c>
      <c r="B50" s="302" t="inlineStr">
        <is>
          <t>0000024</t>
        </is>
      </c>
      <c r="C50" s="301" t="inlineStr">
        <is>
          <t>REGION</t>
        </is>
      </c>
      <c r="D50" s="302" t="inlineStr">
        <is>
          <t>MENDOZA LOPEZ FLORENTINA</t>
        </is>
      </c>
      <c r="E50" s="301" t="inlineStr">
        <is>
          <t>DNI</t>
        </is>
      </c>
      <c r="F50" s="301" t="inlineStr">
        <is>
          <t>1021201</t>
        </is>
      </c>
      <c r="G50" s="331" t="n">
        <v>45738</v>
      </c>
      <c r="H50" s="301" t="inlineStr">
        <is>
          <t>4866</t>
        </is>
      </c>
      <c r="I50" s="332">
        <f>IFERROR(VLOOKUP(TEXT(H50,"0"),IPRESS!$A$3:$B$212,2,0),"")</f>
        <v/>
      </c>
      <c r="J50" s="301" t="inlineStr">
        <is>
          <t>4838</t>
        </is>
      </c>
      <c r="K50" s="332">
        <f>IFERROR(VLOOKUP(TEXT(O50,"0"),CONDUCTORES!$A$3:$G$100,7,0),"")</f>
        <v/>
      </c>
      <c r="L50" s="245" t="n">
        <v>18.18</v>
      </c>
      <c r="M50" s="245" t="n">
        <v>4</v>
      </c>
      <c r="N50" s="333">
        <f>IFERROR(IF(L50*M50=0,"",L50*M50),"")</f>
        <v/>
      </c>
      <c r="O50" s="280" t="n"/>
      <c r="P50" s="332">
        <f>IFERROR(VLOOKUP(TEXT(O50,"0"),CONDUCTORES!$A$3:$G$100,2,0),"")</f>
        <v/>
      </c>
      <c r="Q50" s="332">
        <f>IFERROR(VLOOKUP(TEXT(O50,"0"),CONDUCTORES!$A$3:$H$100,6,0),"")</f>
        <v/>
      </c>
      <c r="R50" s="334" t="inlineStr">
        <is>
          <t>ATENDIDO 05-05-2029</t>
        </is>
      </c>
      <c r="S50" s="302" t="inlineStr">
        <is>
          <t>A021</t>
        </is>
      </c>
      <c r="T50" s="301" t="n"/>
      <c r="U50" s="331" t="n">
        <v>45768</v>
      </c>
      <c r="V50" s="301" t="inlineStr">
        <is>
          <t>OFICIO 01771-2025</t>
        </is>
      </c>
      <c r="W50" s="301" t="inlineStr">
        <is>
          <t>0000108- ADENDA N°001-2025 DRSA/OEA-O.ABAST</t>
        </is>
      </c>
      <c r="X50" s="301" t="inlineStr">
        <is>
          <t>256.0</t>
        </is>
      </c>
      <c r="Y50" s="280" t="n"/>
    </row>
    <row r="51" ht="15.75" customHeight="1" s="195">
      <c r="A51" s="241" t="n">
        <v>28</v>
      </c>
      <c r="B51" s="305" t="inlineStr">
        <is>
          <t>0000025</t>
        </is>
      </c>
      <c r="C51" s="241" t="inlineStr">
        <is>
          <t>REGION</t>
        </is>
      </c>
      <c r="D51" s="305" t="inlineStr">
        <is>
          <t>CHUQUIMBALQUI REYNA HILDA ESPERANZA</t>
        </is>
      </c>
      <c r="E51" s="241" t="inlineStr">
        <is>
          <t>DNI</t>
        </is>
      </c>
      <c r="F51" s="241" t="inlineStr">
        <is>
          <t>33791268</t>
        </is>
      </c>
      <c r="G51" s="336" t="n">
        <v>45738</v>
      </c>
      <c r="H51" s="241" t="inlineStr">
        <is>
          <t>4866</t>
        </is>
      </c>
      <c r="I51" s="332">
        <f>IFERROR(VLOOKUP(TEXT(H51,"0"),IPRESS!$A$3:$B$212,2,0),"")</f>
        <v/>
      </c>
      <c r="J51" s="241" t="inlineStr">
        <is>
          <t>4838</t>
        </is>
      </c>
      <c r="K51" s="332">
        <f>IFERROR(VLOOKUP(TEXT(O51,"0"),CONDUCTORES!$A$3:$G$100,7,0),"")</f>
        <v/>
      </c>
      <c r="L51" s="239" t="n">
        <v>18.18</v>
      </c>
      <c r="M51" s="239" t="n">
        <v>4</v>
      </c>
      <c r="N51" s="333">
        <f>IFERROR(IF(L51*M51=0,"",L51*M51),"")</f>
        <v/>
      </c>
      <c r="O51" s="334" t="n"/>
      <c r="P51" s="332">
        <f>IFERROR(VLOOKUP(TEXT(O51,"0"),CONDUCTORES!$A$3:$G$100,2,0),"")</f>
        <v/>
      </c>
      <c r="Q51" s="332">
        <f>IFERROR(VLOOKUP(TEXT(O51,"0"),CONDUCTORES!$A$3:$H$100,6,0),"")</f>
        <v/>
      </c>
      <c r="R51" s="280" t="inlineStr">
        <is>
          <t>ATENDIDO 05-05-2030</t>
        </is>
      </c>
      <c r="S51" s="305" t="inlineStr">
        <is>
          <t>S724</t>
        </is>
      </c>
      <c r="T51" s="241" t="n"/>
      <c r="U51" s="336" t="n">
        <v>45768</v>
      </c>
      <c r="V51" s="241" t="inlineStr">
        <is>
          <t>OFICIO 01771-2025</t>
        </is>
      </c>
      <c r="W51" s="241" t="inlineStr">
        <is>
          <t>0000108- ADENDA N°001-2025 DRSA/OEA-O.ABAST</t>
        </is>
      </c>
      <c r="X51" s="241" t="inlineStr">
        <is>
          <t>256.0</t>
        </is>
      </c>
      <c r="Y51" s="280" t="n"/>
    </row>
    <row r="52" ht="15.75" customHeight="1" s="195">
      <c r="A52" s="301" t="n">
        <v>29</v>
      </c>
      <c r="B52" s="302" t="inlineStr">
        <is>
          <t>0000023</t>
        </is>
      </c>
      <c r="C52" s="301" t="inlineStr">
        <is>
          <t>REGION</t>
        </is>
      </c>
      <c r="D52" s="302" t="inlineStr">
        <is>
          <t>CHUQUIZUTA MENDOZA SECUNDINO</t>
        </is>
      </c>
      <c r="E52" s="301" t="inlineStr">
        <is>
          <t>DNI</t>
        </is>
      </c>
      <c r="F52" s="301" t="inlineStr">
        <is>
          <t>33792379</t>
        </is>
      </c>
      <c r="G52" s="331" t="n">
        <v>45735</v>
      </c>
      <c r="H52" s="301" t="inlineStr">
        <is>
          <t>4866</t>
        </is>
      </c>
      <c r="I52" s="332">
        <f>IFERROR(VLOOKUP(TEXT(H52,"0"),IPRESS!$A$3:$B$212,2,0),"")</f>
        <v/>
      </c>
      <c r="J52" s="301" t="inlineStr">
        <is>
          <t>4838</t>
        </is>
      </c>
      <c r="K52" s="332">
        <f>IFERROR(VLOOKUP(TEXT(O52,"0"),CONDUCTORES!$A$3:$G$100,7,0),"")</f>
        <v/>
      </c>
      <c r="L52" s="245" t="n">
        <v>18.18</v>
      </c>
      <c r="M52" s="245" t="n">
        <v>4</v>
      </c>
      <c r="N52" s="333">
        <f>IFERROR(IF(L52*M52=0,"",L52*M52),"")</f>
        <v/>
      </c>
      <c r="O52" s="280" t="n"/>
      <c r="P52" s="332">
        <f>IFERROR(VLOOKUP(TEXT(O52,"0"),CONDUCTORES!$A$3:$G$100,2,0),"")</f>
        <v/>
      </c>
      <c r="Q52" s="332">
        <f>IFERROR(VLOOKUP(TEXT(O52,"0"),CONDUCTORES!$A$3:$H$100,6,0),"")</f>
        <v/>
      </c>
      <c r="R52" s="334" t="inlineStr">
        <is>
          <t>ATENDIDO 05-05-2031</t>
        </is>
      </c>
      <c r="S52" s="302" t="inlineStr">
        <is>
          <t>X230,S069</t>
        </is>
      </c>
      <c r="T52" s="301" t="n"/>
      <c r="U52" s="331" t="n">
        <v>45768</v>
      </c>
      <c r="V52" s="301" t="inlineStr">
        <is>
          <t>OFICIO 01771-2025</t>
        </is>
      </c>
      <c r="W52" s="301" t="inlineStr">
        <is>
          <t>0000108- ADENDA N°001-2025 DRSA/OEA-O.ABAST</t>
        </is>
      </c>
      <c r="X52" s="301" t="inlineStr">
        <is>
          <t>256.0</t>
        </is>
      </c>
      <c r="Y52" s="280" t="n"/>
    </row>
    <row r="53" ht="15.75" customHeight="1" s="195">
      <c r="A53" s="241" t="n">
        <v>30</v>
      </c>
      <c r="B53" s="305" t="inlineStr">
        <is>
          <t>0000026</t>
        </is>
      </c>
      <c r="C53" s="241" t="inlineStr">
        <is>
          <t>REGION</t>
        </is>
      </c>
      <c r="D53" s="305" t="inlineStr">
        <is>
          <t>OCAMPO MENDOZA MARIA SOLEDAD</t>
        </is>
      </c>
      <c r="E53" s="241" t="inlineStr">
        <is>
          <t>DNI</t>
        </is>
      </c>
      <c r="F53" s="241" t="inlineStr">
        <is>
          <t>33656705</t>
        </is>
      </c>
      <c r="G53" s="336" t="n">
        <v>45743</v>
      </c>
      <c r="H53" s="241" t="inlineStr">
        <is>
          <t>4866</t>
        </is>
      </c>
      <c r="I53" s="332">
        <f>IFERROR(VLOOKUP(TEXT(H53,"0"),IPRESS!$A$3:$B$212,2,0),"")</f>
        <v/>
      </c>
      <c r="J53" s="241" t="inlineStr">
        <is>
          <t>4838</t>
        </is>
      </c>
      <c r="K53" s="332">
        <f>IFERROR(VLOOKUP(TEXT(O53,"0"),CONDUCTORES!$A$3:$G$100,7,0),"")</f>
        <v/>
      </c>
      <c r="L53" s="239" t="n">
        <v>18.18</v>
      </c>
      <c r="M53" s="239" t="n">
        <v>4</v>
      </c>
      <c r="N53" s="333">
        <f>IFERROR(IF(L53*M53=0,"",L53*M53),"")</f>
        <v/>
      </c>
      <c r="O53" s="334" t="n"/>
      <c r="P53" s="332">
        <f>IFERROR(VLOOKUP(TEXT(O53,"0"),CONDUCTORES!$A$3:$G$100,2,0),"")</f>
        <v/>
      </c>
      <c r="Q53" s="332">
        <f>IFERROR(VLOOKUP(TEXT(O53,"0"),CONDUCTORES!$A$3:$H$100,6,0),"")</f>
        <v/>
      </c>
      <c r="R53" s="280" t="inlineStr">
        <is>
          <t>ATENDIDO 05-05-2032</t>
        </is>
      </c>
      <c r="S53" s="305" t="inlineStr">
        <is>
          <t>R100,K359,N390</t>
        </is>
      </c>
      <c r="T53" s="241" t="n"/>
      <c r="U53" s="336" t="n">
        <v>45776</v>
      </c>
      <c r="V53" s="241" t="inlineStr">
        <is>
          <t>OFICIO 01771-2025</t>
        </is>
      </c>
      <c r="W53" s="241" t="inlineStr">
        <is>
          <t>0000108- ADENDA N°001-2025 DRSA/OEA-O.ABAST</t>
        </is>
      </c>
      <c r="X53" s="241" t="inlineStr">
        <is>
          <t>256.0</t>
        </is>
      </c>
      <c r="Y53" s="280" t="n"/>
    </row>
    <row r="54" ht="15.75" customHeight="1" s="195">
      <c r="A54" s="301" t="n">
        <v>31</v>
      </c>
      <c r="B54" s="302" t="inlineStr">
        <is>
          <t>00000027</t>
        </is>
      </c>
      <c r="C54" s="301" t="inlineStr">
        <is>
          <t>REGION</t>
        </is>
      </c>
      <c r="D54" s="302" t="inlineStr">
        <is>
          <t>MELENDEZ ORTIZ MARIA TRINIDAD</t>
        </is>
      </c>
      <c r="E54" s="301" t="inlineStr">
        <is>
          <t>DNI</t>
        </is>
      </c>
      <c r="F54" s="301" t="inlineStr">
        <is>
          <t>33799262</t>
        </is>
      </c>
      <c r="G54" s="331" t="n">
        <v>45746</v>
      </c>
      <c r="H54" s="301" t="inlineStr">
        <is>
          <t>4866</t>
        </is>
      </c>
      <c r="I54" s="332">
        <f>IFERROR(VLOOKUP(TEXT(H54,"0"),IPRESS!$A$3:$B$212,2,0),"")</f>
        <v/>
      </c>
      <c r="J54" s="301" t="inlineStr">
        <is>
          <t>4838</t>
        </is>
      </c>
      <c r="K54" s="332">
        <f>IFERROR(VLOOKUP(TEXT(O54,"0"),CONDUCTORES!$A$3:$G$100,7,0),"")</f>
        <v/>
      </c>
      <c r="L54" s="245" t="n">
        <v>18.18</v>
      </c>
      <c r="M54" s="245" t="n">
        <v>4</v>
      </c>
      <c r="N54" s="333">
        <f>IFERROR(IF(L54*M54=0,"",L54*M54),"")</f>
        <v/>
      </c>
      <c r="O54" s="280" t="n"/>
      <c r="P54" s="332">
        <f>IFERROR(VLOOKUP(TEXT(O54,"0"),CONDUCTORES!$A$3:$G$100,2,0),"")</f>
        <v/>
      </c>
      <c r="Q54" s="332">
        <f>IFERROR(VLOOKUP(TEXT(O54,"0"),CONDUCTORES!$A$3:$H$100,6,0),"")</f>
        <v/>
      </c>
      <c r="R54" s="334" t="inlineStr">
        <is>
          <t>ATENDIDO 05-05-2033</t>
        </is>
      </c>
      <c r="S54" s="302" t="inlineStr">
        <is>
          <t>J960,J189</t>
        </is>
      </c>
      <c r="T54" s="301" t="n"/>
      <c r="U54" s="331" t="n">
        <v>45776</v>
      </c>
      <c r="V54" s="301" t="inlineStr">
        <is>
          <t>OFICIO 01771-2025</t>
        </is>
      </c>
      <c r="W54" s="301" t="inlineStr">
        <is>
          <t>0000108- ADENDA N°001-2025 DRSA/OEA-O.ABAST</t>
        </is>
      </c>
      <c r="X54" s="301" t="inlineStr">
        <is>
          <t>256.0</t>
        </is>
      </c>
      <c r="Y54" s="280" t="n"/>
    </row>
    <row r="55" ht="15.75" customHeight="1" s="195">
      <c r="A55" s="241" t="n">
        <v>29</v>
      </c>
      <c r="B55" s="305" t="inlineStr">
        <is>
          <t>00000028</t>
        </is>
      </c>
      <c r="C55" s="241" t="inlineStr">
        <is>
          <t>REGION</t>
        </is>
      </c>
      <c r="D55" s="305" t="inlineStr">
        <is>
          <t>CHAPPA SANCHEZ DANIELA ALISON</t>
        </is>
      </c>
      <c r="E55" s="241" t="inlineStr">
        <is>
          <t>DNI</t>
        </is>
      </c>
      <c r="F55" s="241" t="inlineStr">
        <is>
          <t>936067156</t>
        </is>
      </c>
      <c r="G55" s="336" t="n">
        <v>45746</v>
      </c>
      <c r="H55" s="241" t="inlineStr">
        <is>
          <t>4866</t>
        </is>
      </c>
      <c r="I55" s="332">
        <f>IFERROR(VLOOKUP(TEXT(H55,"0"),IPRESS!$A$3:$B$212,2,0),"")</f>
        <v/>
      </c>
      <c r="J55" s="241" t="inlineStr">
        <is>
          <t>4838</t>
        </is>
      </c>
      <c r="K55" s="332">
        <f>IFERROR(VLOOKUP(TEXT(O55,"0"),CONDUCTORES!$A$3:$G$100,7,0),"")</f>
        <v/>
      </c>
      <c r="L55" s="239" t="n">
        <v>18.18</v>
      </c>
      <c r="M55" s="239" t="n">
        <v>4</v>
      </c>
      <c r="N55" s="333">
        <f>IFERROR(IF(L55*M55=0,"",L55*M55),"")</f>
        <v/>
      </c>
      <c r="O55" s="334" t="n"/>
      <c r="P55" s="332">
        <f>IFERROR(VLOOKUP(TEXT(O55,"0"),CONDUCTORES!$A$3:$G$100,2,0),"")</f>
        <v/>
      </c>
      <c r="Q55" s="332">
        <f>IFERROR(VLOOKUP(TEXT(O55,"0"),CONDUCTORES!$A$3:$H$100,6,0),"")</f>
        <v/>
      </c>
      <c r="R55" s="280" t="inlineStr">
        <is>
          <t>ATENDIDO 05-05-2034</t>
        </is>
      </c>
      <c r="S55" s="305" t="inlineStr">
        <is>
          <t>R509,L031</t>
        </is>
      </c>
      <c r="T55" s="241" t="n"/>
      <c r="U55" s="336" t="n">
        <v>45776</v>
      </c>
      <c r="V55" s="241" t="inlineStr">
        <is>
          <t>OFICIO 01771-2025</t>
        </is>
      </c>
      <c r="W55" s="241" t="inlineStr">
        <is>
          <t>0000108- ADENDA N°001-2025 DRSA/OEA-O.ABAST</t>
        </is>
      </c>
      <c r="X55" s="241" t="inlineStr">
        <is>
          <t>256.0</t>
        </is>
      </c>
      <c r="Y55" s="280" t="n"/>
    </row>
    <row r="56" ht="15.75" customHeight="1" s="195">
      <c r="A56" s="301" t="n">
        <v>30</v>
      </c>
      <c r="B56" s="302" t="inlineStr">
        <is>
          <t>0000017</t>
        </is>
      </c>
      <c r="C56" s="301" t="inlineStr">
        <is>
          <t>REGION</t>
        </is>
      </c>
      <c r="D56" s="302" t="inlineStr">
        <is>
          <t>SANCHEZ MICHA ELVA</t>
        </is>
      </c>
      <c r="E56" s="301" t="inlineStr">
        <is>
          <t>DNI</t>
        </is>
      </c>
      <c r="F56" s="301" t="inlineStr">
        <is>
          <t>47690919</t>
        </is>
      </c>
      <c r="G56" s="331" t="n">
        <v>45729</v>
      </c>
      <c r="H56" s="301" t="inlineStr">
        <is>
          <t>4899</t>
        </is>
      </c>
      <c r="I56" s="332">
        <f>IFERROR(VLOOKUP(TEXT(H56,"0"),IPRESS!$A$3:$B$212,2,0),"")</f>
        <v/>
      </c>
      <c r="J56" s="301" t="inlineStr">
        <is>
          <t>4838</t>
        </is>
      </c>
      <c r="K56" s="332">
        <f>IFERROR(VLOOKUP(TEXT(O56,"0"),CONDUCTORES!$A$3:$G$100,7,0),"")</f>
        <v/>
      </c>
      <c r="L56" s="245" t="n">
        <v>18.18</v>
      </c>
      <c r="M56" s="245" t="n">
        <v>20</v>
      </c>
      <c r="N56" s="333">
        <f>IFERROR(IF(L56*M56=0,"",L56*M56),"")</f>
        <v/>
      </c>
      <c r="O56" s="280" t="n"/>
      <c r="P56" s="332">
        <f>IFERROR(VLOOKUP(TEXT(O56,"0"),CONDUCTORES!$A$3:$G$100,2,0),"")</f>
        <v/>
      </c>
      <c r="Q56" s="332">
        <f>IFERROR(VLOOKUP(TEXT(O56,"0"),CONDUCTORES!$A$3:$H$100,6,0),"")</f>
        <v/>
      </c>
      <c r="R56" s="334" t="inlineStr">
        <is>
          <t>ATENDIDO 05/05/2025</t>
        </is>
      </c>
      <c r="S56" s="302" t="inlineStr">
        <is>
          <t>Z359,O200,O234</t>
        </is>
      </c>
      <c r="T56" s="301" t="n"/>
      <c r="U56" s="331" t="n">
        <v>45758</v>
      </c>
      <c r="V56" s="301" t="n"/>
      <c r="W56" s="301" t="inlineStr">
        <is>
          <t>0000108- ADENDA N°001-2025 DRSA/OEA-O.ABAST</t>
        </is>
      </c>
      <c r="X56" s="301" t="inlineStr">
        <is>
          <t>256.0</t>
        </is>
      </c>
      <c r="Y56" s="280" t="n"/>
    </row>
    <row r="57" ht="15.75" customHeight="1" s="195">
      <c r="A57" s="241" t="n">
        <v>31</v>
      </c>
      <c r="B57" s="305" t="inlineStr">
        <is>
          <t>0000053</t>
        </is>
      </c>
      <c r="C57" s="241" t="inlineStr">
        <is>
          <t>REGION</t>
        </is>
      </c>
      <c r="D57" s="305" t="inlineStr">
        <is>
          <t>CHIQUIN SANCHEZ BRIANA ANTONELLA</t>
        </is>
      </c>
      <c r="E57" s="241" t="inlineStr">
        <is>
          <t>DNI</t>
        </is>
      </c>
      <c r="F57" s="241" t="inlineStr">
        <is>
          <t>62749008</t>
        </is>
      </c>
      <c r="G57" s="336" t="n">
        <v>45718</v>
      </c>
      <c r="H57" s="241" t="inlineStr">
        <is>
          <t>4950</t>
        </is>
      </c>
      <c r="I57" s="332">
        <f>IFERROR(VLOOKUP(TEXT(H57,"0"),IPRESS!$A$3:$B$212,2,0),"")</f>
        <v/>
      </c>
      <c r="J57" s="241" t="inlineStr">
        <is>
          <t>4838</t>
        </is>
      </c>
      <c r="K57" s="332">
        <f>IFERROR(VLOOKUP(TEXT(O57,"0"),CONDUCTORES!$A$3:$G$100,7,0),"")</f>
        <v/>
      </c>
      <c r="L57" s="239" t="n">
        <v>20.25</v>
      </c>
      <c r="M57" s="239" t="n">
        <v>7</v>
      </c>
      <c r="N57" s="333">
        <f>IFERROR(IF(L57*M57=0,"",L57*M57),"")</f>
        <v/>
      </c>
      <c r="O57" s="334" t="n"/>
      <c r="P57" s="332">
        <f>IFERROR(VLOOKUP(TEXT(O57,"0"),CONDUCTORES!$A$3:$G$100,2,0),"")</f>
        <v/>
      </c>
      <c r="Q57" s="332">
        <f>IFERROR(VLOOKUP(TEXT(O57,"0"),CONDUCTORES!$A$3:$H$100,6,0),"")</f>
        <v/>
      </c>
      <c r="R57" s="280" t="inlineStr">
        <is>
          <t>ENTREGADO 17/06/2025</t>
        </is>
      </c>
      <c r="S57" s="305" t="inlineStr">
        <is>
          <t>K922</t>
        </is>
      </c>
      <c r="T57" s="241" t="n"/>
      <c r="U57" s="336" t="n">
        <v>45744</v>
      </c>
      <c r="V57" s="241" t="n"/>
      <c r="W57" s="241" t="inlineStr">
        <is>
          <t>3479.0</t>
        </is>
      </c>
      <c r="X57" s="241" t="inlineStr">
        <is>
          <t>189.0</t>
        </is>
      </c>
      <c r="Y57" s="280" t="n"/>
    </row>
    <row r="58" ht="15.75" customHeight="1" s="195">
      <c r="A58" s="301" t="n">
        <v>32</v>
      </c>
      <c r="B58" s="302" t="inlineStr">
        <is>
          <t>0000054</t>
        </is>
      </c>
      <c r="C58" s="301" t="inlineStr">
        <is>
          <t>REGION</t>
        </is>
      </c>
      <c r="D58" s="302" t="inlineStr">
        <is>
          <t>CONCHA TORRES JHOSLI GREIS</t>
        </is>
      </c>
      <c r="E58" s="301" t="inlineStr">
        <is>
          <t>DNI</t>
        </is>
      </c>
      <c r="F58" s="301" t="inlineStr">
        <is>
          <t>60620012</t>
        </is>
      </c>
      <c r="G58" s="331" t="n">
        <v>45717</v>
      </c>
      <c r="H58" s="301" t="inlineStr">
        <is>
          <t>4950</t>
        </is>
      </c>
      <c r="I58" s="332">
        <f>IFERROR(VLOOKUP(TEXT(H58,"0"),IPRESS!$A$3:$B$212,2,0),"")</f>
        <v/>
      </c>
      <c r="J58" s="301" t="inlineStr">
        <is>
          <t>4838</t>
        </is>
      </c>
      <c r="K58" s="332">
        <f>IFERROR(VLOOKUP(TEXT(O58,"0"),CONDUCTORES!$A$3:$G$100,7,0),"")</f>
        <v/>
      </c>
      <c r="L58" s="245" t="n">
        <v>20.25</v>
      </c>
      <c r="M58" s="245" t="n">
        <v>7</v>
      </c>
      <c r="N58" s="333">
        <f>IFERROR(IF(L58*M58=0,"",L58*M58),"")</f>
        <v/>
      </c>
      <c r="O58" s="280" t="n"/>
      <c r="P58" s="332">
        <f>IFERROR(VLOOKUP(TEXT(O58,"0"),CONDUCTORES!$A$3:$G$100,2,0),"")</f>
        <v/>
      </c>
      <c r="Q58" s="332">
        <f>IFERROR(VLOOKUP(TEXT(O58,"0"),CONDUCTORES!$A$3:$H$100,6,0),"")</f>
        <v/>
      </c>
      <c r="R58" s="334" t="inlineStr">
        <is>
          <t>ENTREGADO 17/06/2025</t>
        </is>
      </c>
      <c r="S58" s="302" t="inlineStr">
        <is>
          <t>K403</t>
        </is>
      </c>
      <c r="T58" s="301" t="n"/>
      <c r="U58" s="331" t="n">
        <v>45744</v>
      </c>
      <c r="V58" s="301" t="n"/>
      <c r="W58" s="301" t="inlineStr">
        <is>
          <t>3479.0</t>
        </is>
      </c>
      <c r="X58" s="301" t="inlineStr">
        <is>
          <t>189.0</t>
        </is>
      </c>
      <c r="Y58" s="280" t="n"/>
    </row>
    <row r="59" ht="15.75" customHeight="1" s="195">
      <c r="A59" s="241" t="n">
        <v>33</v>
      </c>
      <c r="B59" s="305" t="inlineStr">
        <is>
          <t>0000056</t>
        </is>
      </c>
      <c r="C59" s="241" t="inlineStr">
        <is>
          <t>REGION</t>
        </is>
      </c>
      <c r="D59" s="305" t="inlineStr">
        <is>
          <t>PORTOCARRERO SILVA RUTH ARRANY</t>
        </is>
      </c>
      <c r="E59" s="241" t="inlineStr">
        <is>
          <t>DNI</t>
        </is>
      </c>
      <c r="F59" s="241" t="inlineStr">
        <is>
          <t>79976823</t>
        </is>
      </c>
      <c r="G59" s="336" t="n">
        <v>45720</v>
      </c>
      <c r="H59" s="241" t="inlineStr">
        <is>
          <t>4950</t>
        </is>
      </c>
      <c r="I59" s="332">
        <f>IFERROR(VLOOKUP(TEXT(H59,"0"),IPRESS!$A$3:$B$212,2,0),"")</f>
        <v/>
      </c>
      <c r="J59" s="241" t="inlineStr">
        <is>
          <t>4838</t>
        </is>
      </c>
      <c r="K59" s="332">
        <f>IFERROR(VLOOKUP(TEXT(O59,"0"),CONDUCTORES!$A$3:$G$100,7,0),"")</f>
        <v/>
      </c>
      <c r="L59" s="239" t="n">
        <v>20.25</v>
      </c>
      <c r="M59" s="239" t="n">
        <v>7</v>
      </c>
      <c r="N59" s="333">
        <f>IFERROR(IF(L59*M59=0,"",L59*M59),"")</f>
        <v/>
      </c>
      <c r="O59" s="334" t="n"/>
      <c r="P59" s="332">
        <f>IFERROR(VLOOKUP(TEXT(O59,"0"),CONDUCTORES!$A$3:$G$100,2,0),"")</f>
        <v/>
      </c>
      <c r="Q59" s="332">
        <f>IFERROR(VLOOKUP(TEXT(O59,"0"),CONDUCTORES!$A$3:$H$100,6,0),"")</f>
        <v/>
      </c>
      <c r="R59" s="280" t="inlineStr">
        <is>
          <t>ENTREGADO 17/06/2025</t>
        </is>
      </c>
      <c r="S59" s="305" t="inlineStr">
        <is>
          <t>K359</t>
        </is>
      </c>
      <c r="T59" s="241" t="n"/>
      <c r="U59" s="336" t="n">
        <v>45744</v>
      </c>
      <c r="V59" s="241" t="n"/>
      <c r="W59" s="241" t="inlineStr">
        <is>
          <t>3479.0</t>
        </is>
      </c>
      <c r="X59" s="241" t="inlineStr">
        <is>
          <t>189.0</t>
        </is>
      </c>
      <c r="Y59" s="280" t="n"/>
    </row>
    <row r="60" ht="15.75" customHeight="1" s="195">
      <c r="A60" s="301" t="n">
        <v>34</v>
      </c>
      <c r="B60" s="302" t="inlineStr">
        <is>
          <t>0000057</t>
        </is>
      </c>
      <c r="C60" s="301" t="inlineStr">
        <is>
          <t>REGION</t>
        </is>
      </c>
      <c r="D60" s="302" t="inlineStr">
        <is>
          <t>SALAZAR PERALTA ELMER</t>
        </is>
      </c>
      <c r="E60" s="301" t="inlineStr">
        <is>
          <t>DNI</t>
        </is>
      </c>
      <c r="F60" s="301" t="inlineStr">
        <is>
          <t>45632459</t>
        </is>
      </c>
      <c r="G60" s="331" t="n">
        <v>45721</v>
      </c>
      <c r="H60" s="301" t="inlineStr">
        <is>
          <t>4950</t>
        </is>
      </c>
      <c r="I60" s="332">
        <f>IFERROR(VLOOKUP(TEXT(H60,"0"),IPRESS!$A$3:$B$212,2,0),"")</f>
        <v/>
      </c>
      <c r="J60" s="301" t="inlineStr">
        <is>
          <t>4838</t>
        </is>
      </c>
      <c r="K60" s="332">
        <f>IFERROR(VLOOKUP(TEXT(O60,"0"),CONDUCTORES!$A$3:$G$100,7,0),"")</f>
        <v/>
      </c>
      <c r="L60" s="245" t="n">
        <v>20.25</v>
      </c>
      <c r="M60" s="245" t="n">
        <v>7</v>
      </c>
      <c r="N60" s="333">
        <f>IFERROR(IF(L60*M60=0,"",L60*M60),"")</f>
        <v/>
      </c>
      <c r="O60" s="280" t="n"/>
      <c r="P60" s="332">
        <f>IFERROR(VLOOKUP(TEXT(O60,"0"),CONDUCTORES!$A$3:$G$100,2,0),"")</f>
        <v/>
      </c>
      <c r="Q60" s="332">
        <f>IFERROR(VLOOKUP(TEXT(O60,"0"),CONDUCTORES!$A$3:$H$100,6,0),"")</f>
        <v/>
      </c>
      <c r="R60" s="334" t="inlineStr">
        <is>
          <t>ENTREGADO 17/06/2025</t>
        </is>
      </c>
      <c r="S60" s="302" t="inlineStr">
        <is>
          <t>K550,N390</t>
        </is>
      </c>
      <c r="T60" s="301" t="n"/>
      <c r="U60" s="331" t="n">
        <v>45747</v>
      </c>
      <c r="V60" s="301" t="n"/>
      <c r="W60" s="301" t="inlineStr">
        <is>
          <t>3479.0</t>
        </is>
      </c>
      <c r="X60" s="301" t="inlineStr">
        <is>
          <t>189.0</t>
        </is>
      </c>
      <c r="Y60" s="280" t="n"/>
    </row>
    <row r="61" ht="15.75" customHeight="1" s="195">
      <c r="A61" s="241" t="n">
        <v>35</v>
      </c>
      <c r="B61" s="305" t="inlineStr">
        <is>
          <t>0000058</t>
        </is>
      </c>
      <c r="C61" s="241" t="inlineStr">
        <is>
          <t>REGION</t>
        </is>
      </c>
      <c r="D61" s="305" t="inlineStr">
        <is>
          <t>GONGORA DAZALAURITA</t>
        </is>
      </c>
      <c r="E61" s="241" t="inlineStr">
        <is>
          <t>DNI</t>
        </is>
      </c>
      <c r="F61" s="241" t="inlineStr">
        <is>
          <t>72611885</t>
        </is>
      </c>
      <c r="G61" s="336" t="n">
        <v>45724</v>
      </c>
      <c r="H61" s="241" t="inlineStr">
        <is>
          <t>4950</t>
        </is>
      </c>
      <c r="I61" s="332">
        <f>IFERROR(VLOOKUP(TEXT(H61,"0"),IPRESS!$A$3:$B$212,2,0),"")</f>
        <v/>
      </c>
      <c r="J61" s="241" t="inlineStr">
        <is>
          <t>4838</t>
        </is>
      </c>
      <c r="K61" s="332">
        <f>IFERROR(VLOOKUP(TEXT(O61,"0"),CONDUCTORES!$A$3:$G$100,7,0),"")</f>
        <v/>
      </c>
      <c r="L61" s="239" t="n">
        <v>20.25</v>
      </c>
      <c r="M61" s="239" t="n">
        <v>7</v>
      </c>
      <c r="N61" s="333">
        <f>IFERROR(IF(L61*M61=0,"",L61*M61),"")</f>
        <v/>
      </c>
      <c r="O61" s="334" t="n"/>
      <c r="P61" s="332">
        <f>IFERROR(VLOOKUP(TEXT(O61,"0"),CONDUCTORES!$A$3:$G$100,2,0),"")</f>
        <v/>
      </c>
      <c r="Q61" s="332">
        <f>IFERROR(VLOOKUP(TEXT(O61,"0"),CONDUCTORES!$A$3:$H$100,6,0),"")</f>
        <v/>
      </c>
      <c r="R61" s="280" t="inlineStr">
        <is>
          <t>ENTREGADO 17/06/2025</t>
        </is>
      </c>
      <c r="S61" s="305" t="inlineStr">
        <is>
          <t>O009,A010,R11X,N390</t>
        </is>
      </c>
      <c r="T61" s="241" t="n"/>
      <c r="U61" s="336" t="n">
        <v>45747</v>
      </c>
      <c r="V61" s="241" t="n"/>
      <c r="W61" s="241" t="inlineStr">
        <is>
          <t>3479.0</t>
        </is>
      </c>
      <c r="X61" s="241" t="inlineStr">
        <is>
          <t>189.0</t>
        </is>
      </c>
      <c r="Y61" s="280" t="n"/>
    </row>
    <row r="62" ht="15.75" customHeight="1" s="195">
      <c r="A62" s="301" t="n">
        <v>33</v>
      </c>
      <c r="B62" s="302" t="inlineStr">
        <is>
          <t>0000059</t>
        </is>
      </c>
      <c r="C62" s="301" t="inlineStr">
        <is>
          <t>REGION</t>
        </is>
      </c>
      <c r="D62" s="302" t="inlineStr">
        <is>
          <t>HUMAN MEDRANO BERNARDINA</t>
        </is>
      </c>
      <c r="E62" s="301" t="inlineStr">
        <is>
          <t>DNI</t>
        </is>
      </c>
      <c r="F62" s="301" t="inlineStr">
        <is>
          <t>48760784</t>
        </is>
      </c>
      <c r="G62" s="331" t="n">
        <v>45723</v>
      </c>
      <c r="H62" s="301" t="inlineStr">
        <is>
          <t>4950</t>
        </is>
      </c>
      <c r="I62" s="332">
        <f>IFERROR(VLOOKUP(TEXT(H62,"0"),IPRESS!$A$3:$B$212,2,0),"")</f>
        <v/>
      </c>
      <c r="J62" s="301" t="inlineStr">
        <is>
          <t>4838</t>
        </is>
      </c>
      <c r="K62" s="332">
        <f>IFERROR(VLOOKUP(TEXT(O62,"0"),CONDUCTORES!$A$3:$G$100,7,0),"")</f>
        <v/>
      </c>
      <c r="L62" s="245" t="n">
        <v>20.25</v>
      </c>
      <c r="M62" s="245" t="n">
        <v>7</v>
      </c>
      <c r="N62" s="333">
        <f>IFERROR(IF(L62*M62=0,"",L62*M62),"")</f>
        <v/>
      </c>
      <c r="O62" s="280" t="n"/>
      <c r="P62" s="332">
        <f>IFERROR(VLOOKUP(TEXT(O62,"0"),CONDUCTORES!$A$3:$G$100,2,0),"")</f>
        <v/>
      </c>
      <c r="Q62" s="332">
        <f>IFERROR(VLOOKUP(TEXT(O62,"0"),CONDUCTORES!$A$3:$H$100,6,0),"")</f>
        <v/>
      </c>
      <c r="R62" s="334" t="inlineStr">
        <is>
          <t>ENTREGADO 17/06/2025</t>
        </is>
      </c>
      <c r="S62" s="302" t="inlineStr">
        <is>
          <t>I500,J180,J960</t>
        </is>
      </c>
      <c r="T62" s="301" t="n"/>
      <c r="U62" s="331" t="n">
        <v>45749</v>
      </c>
      <c r="V62" s="301" t="n"/>
      <c r="W62" s="301" t="inlineStr">
        <is>
          <t>3479.0</t>
        </is>
      </c>
      <c r="X62" s="301" t="inlineStr">
        <is>
          <t>189.0</t>
        </is>
      </c>
      <c r="Y62" s="280" t="n"/>
    </row>
    <row r="63" ht="15.75" customHeight="1" s="195">
      <c r="A63" s="241" t="n">
        <v>34</v>
      </c>
      <c r="B63" s="305" t="inlineStr">
        <is>
          <t>0000060</t>
        </is>
      </c>
      <c r="C63" s="241" t="inlineStr">
        <is>
          <t>REGION</t>
        </is>
      </c>
      <c r="D63" s="305" t="inlineStr">
        <is>
          <t>VASQUEZ SERVAN ANDERSON SAMUEL</t>
        </is>
      </c>
      <c r="E63" s="241" t="inlineStr">
        <is>
          <t>DNI</t>
        </is>
      </c>
      <c r="F63" s="241" t="inlineStr">
        <is>
          <t>60031298</t>
        </is>
      </c>
      <c r="G63" s="336" t="n">
        <v>45727</v>
      </c>
      <c r="H63" s="241" t="inlineStr">
        <is>
          <t>4950</t>
        </is>
      </c>
      <c r="I63" s="332">
        <f>IFERROR(VLOOKUP(TEXT(H63,"0"),IPRESS!$A$3:$B$212,2,0),"")</f>
        <v/>
      </c>
      <c r="J63" s="241" t="inlineStr">
        <is>
          <t>4838</t>
        </is>
      </c>
      <c r="K63" s="332">
        <f>IFERROR(VLOOKUP(TEXT(O63,"0"),CONDUCTORES!$A$3:$G$100,7,0),"")</f>
        <v/>
      </c>
      <c r="L63" s="239" t="n">
        <v>20.25</v>
      </c>
      <c r="M63" s="239" t="n">
        <v>7</v>
      </c>
      <c r="N63" s="333">
        <f>IFERROR(IF(L63*M63=0,"",L63*M63),"")</f>
        <v/>
      </c>
      <c r="O63" s="334" t="n"/>
      <c r="P63" s="332">
        <f>IFERROR(VLOOKUP(TEXT(O63,"0"),CONDUCTORES!$A$3:$G$100,2,0),"")</f>
        <v/>
      </c>
      <c r="Q63" s="332">
        <f>IFERROR(VLOOKUP(TEXT(O63,"0"),CONDUCTORES!$A$3:$H$100,6,0),"")</f>
        <v/>
      </c>
      <c r="R63" s="280" t="inlineStr">
        <is>
          <t>ENTREGADO 17/06/2025</t>
        </is>
      </c>
      <c r="S63" s="305" t="inlineStr">
        <is>
          <t>S634</t>
        </is>
      </c>
      <c r="T63" s="241" t="n"/>
      <c r="U63" s="336" t="n">
        <v>45756</v>
      </c>
      <c r="V63" s="241" t="n"/>
      <c r="W63" s="241" t="inlineStr">
        <is>
          <t>3479.0</t>
        </is>
      </c>
      <c r="X63" s="241" t="inlineStr">
        <is>
          <t>189.0</t>
        </is>
      </c>
      <c r="Y63" s="280" t="n"/>
    </row>
    <row r="64" ht="15.75" customHeight="1" s="195">
      <c r="A64" s="301" t="n">
        <v>35</v>
      </c>
      <c r="B64" s="302" t="inlineStr">
        <is>
          <t>0000061</t>
        </is>
      </c>
      <c r="C64" s="301" t="inlineStr">
        <is>
          <t>REGION</t>
        </is>
      </c>
      <c r="D64" s="302" t="inlineStr">
        <is>
          <t>LOPEZ CURI MARIA BERNARDINA</t>
        </is>
      </c>
      <c r="E64" s="301" t="inlineStr">
        <is>
          <t>DNI</t>
        </is>
      </c>
      <c r="F64" s="301" t="inlineStr">
        <is>
          <t>33951354</t>
        </is>
      </c>
      <c r="G64" s="331" t="n">
        <v>45729</v>
      </c>
      <c r="H64" s="301" t="inlineStr">
        <is>
          <t>4950</t>
        </is>
      </c>
      <c r="I64" s="332">
        <f>IFERROR(VLOOKUP(TEXT(H64,"0"),IPRESS!$A$3:$B$212,2,0),"")</f>
        <v/>
      </c>
      <c r="J64" s="301" t="inlineStr">
        <is>
          <t>4838</t>
        </is>
      </c>
      <c r="K64" s="332">
        <f>IFERROR(VLOOKUP(TEXT(O64,"0"),CONDUCTORES!$A$3:$G$100,7,0),"")</f>
        <v/>
      </c>
      <c r="L64" s="245" t="n">
        <v>20.25</v>
      </c>
      <c r="M64" s="245" t="n">
        <v>7</v>
      </c>
      <c r="N64" s="333">
        <f>IFERROR(IF(L64*M64=0,"",L64*M64),"")</f>
        <v/>
      </c>
      <c r="O64" s="280" t="n"/>
      <c r="P64" s="332">
        <f>IFERROR(VLOOKUP(TEXT(O64,"0"),CONDUCTORES!$A$3:$G$100,2,0),"")</f>
        <v/>
      </c>
      <c r="Q64" s="332">
        <f>IFERROR(VLOOKUP(TEXT(O64,"0"),CONDUCTORES!$A$3:$H$100,6,0),"")</f>
        <v/>
      </c>
      <c r="R64" s="334" t="inlineStr">
        <is>
          <t>ENTREGADO 17/06/2025</t>
        </is>
      </c>
      <c r="S64" s="302" t="inlineStr">
        <is>
          <t>K359</t>
        </is>
      </c>
      <c r="T64" s="301" t="n"/>
      <c r="U64" s="331" t="n">
        <v>45758</v>
      </c>
      <c r="V64" s="301" t="n"/>
      <c r="W64" s="301" t="inlineStr">
        <is>
          <t>3479.0</t>
        </is>
      </c>
      <c r="X64" s="301" t="inlineStr">
        <is>
          <t>189.0</t>
        </is>
      </c>
      <c r="Y64" s="280" t="n"/>
    </row>
    <row r="65" ht="15.75" customHeight="1" s="195">
      <c r="A65" s="241" t="n">
        <v>36</v>
      </c>
      <c r="B65" s="305" t="inlineStr">
        <is>
          <t>0000062</t>
        </is>
      </c>
      <c r="C65" s="241" t="inlineStr">
        <is>
          <t>REGION</t>
        </is>
      </c>
      <c r="D65" s="305" t="inlineStr">
        <is>
          <t>RODRIGUEZ SADAMANOS DE CHAVEZ NELVITA</t>
        </is>
      </c>
      <c r="E65" s="241" t="inlineStr">
        <is>
          <t>DNI</t>
        </is>
      </c>
      <c r="F65" s="241" t="inlineStr">
        <is>
          <t>33962532</t>
        </is>
      </c>
      <c r="G65" s="336" t="n">
        <v>45730</v>
      </c>
      <c r="H65" s="241" t="inlineStr">
        <is>
          <t>4950</t>
        </is>
      </c>
      <c r="I65" s="332">
        <f>IFERROR(VLOOKUP(TEXT(H65,"0"),IPRESS!$A$3:$B$212,2,0),"")</f>
        <v/>
      </c>
      <c r="J65" s="241" t="inlineStr">
        <is>
          <t>4838</t>
        </is>
      </c>
      <c r="K65" s="332">
        <f>IFERROR(VLOOKUP(TEXT(O65,"0"),CONDUCTORES!$A$3:$G$100,7,0),"")</f>
        <v/>
      </c>
      <c r="L65" s="239" t="n">
        <v>20.25</v>
      </c>
      <c r="M65" s="239" t="n">
        <v>7</v>
      </c>
      <c r="N65" s="333">
        <f>IFERROR(IF(L65*M65=0,"",L65*M65),"")</f>
        <v/>
      </c>
      <c r="O65" s="334" t="n"/>
      <c r="P65" s="332">
        <f>IFERROR(VLOOKUP(TEXT(O65,"0"),CONDUCTORES!$A$3:$G$100,2,0),"")</f>
        <v/>
      </c>
      <c r="Q65" s="332">
        <f>IFERROR(VLOOKUP(TEXT(O65,"0"),CONDUCTORES!$A$3:$H$100,6,0),"")</f>
        <v/>
      </c>
      <c r="R65" s="280" t="inlineStr">
        <is>
          <t>ENTREGADO 17/06/2025</t>
        </is>
      </c>
      <c r="S65" s="305" t="inlineStr">
        <is>
          <t>K808,R104,N390</t>
        </is>
      </c>
      <c r="T65" s="241" t="n"/>
      <c r="U65" s="336" t="n">
        <v>45758</v>
      </c>
      <c r="V65" s="241" t="n"/>
      <c r="W65" s="241" t="inlineStr">
        <is>
          <t>3479.0</t>
        </is>
      </c>
      <c r="X65" s="241" t="inlineStr">
        <is>
          <t>189.0</t>
        </is>
      </c>
      <c r="Y65" s="280" t="n"/>
    </row>
    <row r="66" ht="15.75" customHeight="1" s="195">
      <c r="A66" s="301" t="n">
        <v>37</v>
      </c>
      <c r="B66" s="302" t="inlineStr">
        <is>
          <t>0000066</t>
        </is>
      </c>
      <c r="C66" s="301" t="inlineStr">
        <is>
          <t>REGION</t>
        </is>
      </c>
      <c r="D66" s="302" t="inlineStr">
        <is>
          <t>SANCHEZ LOPEZ HILDA CRISTINA</t>
        </is>
      </c>
      <c r="E66" s="301" t="inlineStr">
        <is>
          <t>DNI</t>
        </is>
      </c>
      <c r="F66" s="301" t="inlineStr">
        <is>
          <t>16675098</t>
        </is>
      </c>
      <c r="G66" s="331" t="n">
        <v>45736</v>
      </c>
      <c r="H66" s="301" t="inlineStr">
        <is>
          <t>4950</t>
        </is>
      </c>
      <c r="I66" s="332">
        <f>IFERROR(VLOOKUP(TEXT(H66,"0"),IPRESS!$A$3:$B$212,2,0),"")</f>
        <v/>
      </c>
      <c r="J66" s="301" t="inlineStr">
        <is>
          <t>4838</t>
        </is>
      </c>
      <c r="K66" s="332">
        <f>IFERROR(VLOOKUP(TEXT(O66,"0"),CONDUCTORES!$A$3:$G$100,7,0),"")</f>
        <v/>
      </c>
      <c r="L66" s="245" t="n">
        <v>20.25</v>
      </c>
      <c r="M66" s="245" t="n">
        <v>7</v>
      </c>
      <c r="N66" s="333">
        <f>IFERROR(IF(L66*M66=0,"",L66*M66),"")</f>
        <v/>
      </c>
      <c r="O66" s="280" t="n"/>
      <c r="P66" s="332">
        <f>IFERROR(VLOOKUP(TEXT(O66,"0"),CONDUCTORES!$A$3:$G$100,2,0),"")</f>
        <v/>
      </c>
      <c r="Q66" s="332">
        <f>IFERROR(VLOOKUP(TEXT(O66,"0"),CONDUCTORES!$A$3:$H$100,6,0),"")</f>
        <v/>
      </c>
      <c r="R66" s="334" t="inlineStr">
        <is>
          <t>ENTREGADO 17/06/2025</t>
        </is>
      </c>
      <c r="S66" s="302" t="inlineStr">
        <is>
          <t>R17X,C240</t>
        </is>
      </c>
      <c r="T66" s="301" t="n"/>
      <c r="U66" s="331" t="n">
        <v>45768</v>
      </c>
      <c r="V66" s="301" t="n"/>
      <c r="W66" s="301" t="inlineStr">
        <is>
          <t>3479.0</t>
        </is>
      </c>
      <c r="X66" s="301" t="inlineStr">
        <is>
          <t>189.0</t>
        </is>
      </c>
      <c r="Y66" s="280" t="n"/>
    </row>
    <row r="67" ht="15.75" customHeight="1" s="195">
      <c r="A67" s="241" t="n">
        <v>38</v>
      </c>
      <c r="B67" s="305" t="inlineStr">
        <is>
          <t>0000067</t>
        </is>
      </c>
      <c r="C67" s="241" t="inlineStr">
        <is>
          <t>REGION</t>
        </is>
      </c>
      <c r="D67" s="305" t="inlineStr">
        <is>
          <t>GRANDEZ TORRES MARIA LETICIA</t>
        </is>
      </c>
      <c r="E67" s="241" t="inlineStr">
        <is>
          <t>DNI</t>
        </is>
      </c>
      <c r="F67" s="241" t="inlineStr">
        <is>
          <t>75075662</t>
        </is>
      </c>
      <c r="G67" s="336" t="n">
        <v>45739</v>
      </c>
      <c r="H67" s="241" t="inlineStr">
        <is>
          <t>4950</t>
        </is>
      </c>
      <c r="I67" s="332">
        <f>IFERROR(VLOOKUP(TEXT(H67,"0"),IPRESS!$A$3:$B$212,2,0),"")</f>
        <v/>
      </c>
      <c r="J67" s="241" t="inlineStr">
        <is>
          <t>4838</t>
        </is>
      </c>
      <c r="K67" s="332">
        <f>IFERROR(VLOOKUP(TEXT(O67,"0"),CONDUCTORES!$A$3:$G$100,7,0),"")</f>
        <v/>
      </c>
      <c r="L67" s="239" t="n">
        <v>20.25</v>
      </c>
      <c r="M67" s="239" t="n">
        <v>7</v>
      </c>
      <c r="N67" s="333">
        <f>IFERROR(IF(L67*M67=0,"",L67*M67),"")</f>
        <v/>
      </c>
      <c r="O67" s="334" t="n"/>
      <c r="P67" s="332">
        <f>IFERROR(VLOOKUP(TEXT(O67,"0"),CONDUCTORES!$A$3:$G$100,2,0),"")</f>
        <v/>
      </c>
      <c r="Q67" s="332">
        <f>IFERROR(VLOOKUP(TEXT(O67,"0"),CONDUCTORES!$A$3:$H$100,6,0),"")</f>
        <v/>
      </c>
      <c r="R67" s="280" t="inlineStr">
        <is>
          <t>ENTREGADO 17/06/2025</t>
        </is>
      </c>
      <c r="S67" s="305" t="inlineStr">
        <is>
          <t>K359</t>
        </is>
      </c>
      <c r="T67" s="241" t="n"/>
      <c r="U67" s="336" t="n">
        <v>45768</v>
      </c>
      <c r="V67" s="241" t="n"/>
      <c r="W67" s="241" t="inlineStr">
        <is>
          <t>3479.0</t>
        </is>
      </c>
      <c r="X67" s="241" t="inlineStr">
        <is>
          <t>189.0</t>
        </is>
      </c>
      <c r="Y67" s="280" t="n"/>
    </row>
    <row r="68" ht="15.75" customHeight="1" s="195">
      <c r="A68" s="301" t="n">
        <v>39</v>
      </c>
      <c r="B68" s="302" t="inlineStr">
        <is>
          <t>0000063</t>
        </is>
      </c>
      <c r="C68" s="301" t="inlineStr">
        <is>
          <t>REGION</t>
        </is>
      </c>
      <c r="D68" s="302" t="inlineStr">
        <is>
          <t>MARIN JULCA YOHANA</t>
        </is>
      </c>
      <c r="E68" s="301" t="inlineStr">
        <is>
          <t>DNI</t>
        </is>
      </c>
      <c r="F68" s="301" t="inlineStr">
        <is>
          <t>76968186</t>
        </is>
      </c>
      <c r="G68" s="331" t="n">
        <v>45731</v>
      </c>
      <c r="H68" s="301" t="inlineStr">
        <is>
          <t>4950</t>
        </is>
      </c>
      <c r="I68" s="332">
        <f>IFERROR(VLOOKUP(TEXT(H68,"0"),IPRESS!$A$3:$B$212,2,0),"")</f>
        <v/>
      </c>
      <c r="J68" s="301" t="inlineStr">
        <is>
          <t>4838</t>
        </is>
      </c>
      <c r="K68" s="332">
        <f>IFERROR(VLOOKUP(TEXT(O68,"0"),CONDUCTORES!$A$3:$G$100,7,0),"")</f>
        <v/>
      </c>
      <c r="L68" s="245" t="n">
        <v>20.25</v>
      </c>
      <c r="M68" s="245" t="n">
        <v>7</v>
      </c>
      <c r="N68" s="333">
        <f>IFERROR(IF(L68*M68=0,"",L68*M68),"")</f>
        <v/>
      </c>
      <c r="O68" s="280" t="n"/>
      <c r="P68" s="332">
        <f>IFERROR(VLOOKUP(TEXT(O68,"0"),CONDUCTORES!$A$3:$G$100,2,0),"")</f>
        <v/>
      </c>
      <c r="Q68" s="332">
        <f>IFERROR(VLOOKUP(TEXT(O68,"0"),CONDUCTORES!$A$3:$H$100,6,0),"")</f>
        <v/>
      </c>
      <c r="R68" s="334" t="inlineStr">
        <is>
          <t>ENTREGADO 17/06/2025</t>
        </is>
      </c>
      <c r="S68" s="302" t="inlineStr">
        <is>
          <t>O411</t>
        </is>
      </c>
      <c r="T68" s="301" t="n"/>
      <c r="U68" s="331" t="n">
        <v>45768</v>
      </c>
      <c r="V68" s="301" t="n"/>
      <c r="W68" s="301" t="inlineStr">
        <is>
          <t>3479.0</t>
        </is>
      </c>
      <c r="X68" s="301" t="inlineStr">
        <is>
          <t>189.0</t>
        </is>
      </c>
      <c r="Y68" s="280" t="n"/>
    </row>
    <row r="69" ht="15.75" customHeight="1" s="195">
      <c r="A69" s="241" t="n">
        <v>37</v>
      </c>
      <c r="B69" s="305" t="inlineStr">
        <is>
          <t>0000064</t>
        </is>
      </c>
      <c r="C69" s="241" t="inlineStr">
        <is>
          <t>REGION</t>
        </is>
      </c>
      <c r="D69" s="305" t="inlineStr">
        <is>
          <t>GONZALES MAZUELOS MILE</t>
        </is>
      </c>
      <c r="E69" s="241" t="inlineStr">
        <is>
          <t>DNI</t>
        </is>
      </c>
      <c r="F69" s="241" t="inlineStr">
        <is>
          <t>46182804</t>
        </is>
      </c>
      <c r="G69" s="336" t="n">
        <v>45733</v>
      </c>
      <c r="H69" s="241" t="inlineStr">
        <is>
          <t>4950</t>
        </is>
      </c>
      <c r="I69" s="332">
        <f>IFERROR(VLOOKUP(TEXT(H69,"0"),IPRESS!$A$3:$B$212,2,0),"")</f>
        <v/>
      </c>
      <c r="J69" s="241" t="inlineStr">
        <is>
          <t>4838</t>
        </is>
      </c>
      <c r="K69" s="332">
        <f>IFERROR(VLOOKUP(TEXT(O69,"0"),CONDUCTORES!$A$3:$G$100,7,0),"")</f>
        <v/>
      </c>
      <c r="L69" s="239" t="n">
        <v>20.25</v>
      </c>
      <c r="M69" s="239" t="n">
        <v>10</v>
      </c>
      <c r="N69" s="333">
        <f>IFERROR(IF(L69*M69=0,"",L69*M69),"")</f>
        <v/>
      </c>
      <c r="O69" s="334" t="n"/>
      <c r="P69" s="332">
        <f>IFERROR(VLOOKUP(TEXT(O69,"0"),CONDUCTORES!$A$3:$G$100,2,0),"")</f>
        <v/>
      </c>
      <c r="Q69" s="332">
        <f>IFERROR(VLOOKUP(TEXT(O69,"0"),CONDUCTORES!$A$3:$H$100,6,0),"")</f>
        <v/>
      </c>
      <c r="R69" s="280" t="inlineStr">
        <is>
          <t>ENTREGADO 17/06/2025</t>
        </is>
      </c>
      <c r="S69" s="305" t="inlineStr">
        <is>
          <t>O141</t>
        </is>
      </c>
      <c r="T69" s="241" t="n"/>
      <c r="U69" s="336" t="n">
        <v>45768</v>
      </c>
      <c r="V69" s="241" t="n"/>
      <c r="W69" s="241" t="inlineStr">
        <is>
          <t>3479.0</t>
        </is>
      </c>
      <c r="X69" s="241" t="inlineStr">
        <is>
          <t>189.0</t>
        </is>
      </c>
      <c r="Y69" s="280" t="n"/>
    </row>
    <row r="70" ht="15.75" customHeight="1" s="195">
      <c r="A70" s="301" t="n">
        <v>38</v>
      </c>
      <c r="B70" s="302" t="inlineStr">
        <is>
          <t>0000065</t>
        </is>
      </c>
      <c r="C70" s="301" t="inlineStr">
        <is>
          <t>REGION</t>
        </is>
      </c>
      <c r="D70" s="302" t="inlineStr">
        <is>
          <t>LOPEZ LIDIA VICTORIA</t>
        </is>
      </c>
      <c r="E70" s="301" t="inlineStr">
        <is>
          <t>DNI</t>
        </is>
      </c>
      <c r="F70" s="301" t="inlineStr">
        <is>
          <t>48255595</t>
        </is>
      </c>
      <c r="G70" s="331" t="n">
        <v>45734</v>
      </c>
      <c r="H70" s="301" t="inlineStr">
        <is>
          <t>4950</t>
        </is>
      </c>
      <c r="I70" s="332">
        <f>IFERROR(VLOOKUP(TEXT(H70,"0"),IPRESS!$A$3:$B$212,2,0),"")</f>
        <v/>
      </c>
      <c r="J70" s="301" t="inlineStr">
        <is>
          <t>4838</t>
        </is>
      </c>
      <c r="K70" s="332">
        <f>IFERROR(VLOOKUP(TEXT(O70,"0"),CONDUCTORES!$A$3:$G$100,7,0),"")</f>
        <v/>
      </c>
      <c r="L70" s="245" t="n">
        <v>20.25</v>
      </c>
      <c r="M70" s="245" t="n">
        <v>7</v>
      </c>
      <c r="N70" s="333">
        <f>IFERROR(IF(L70*M70=0,"",L70*M70),"")</f>
        <v/>
      </c>
      <c r="O70" s="280" t="n"/>
      <c r="P70" s="332">
        <f>IFERROR(VLOOKUP(TEXT(O70,"0"),CONDUCTORES!$A$3:$G$100,2,0),"")</f>
        <v/>
      </c>
      <c r="Q70" s="332">
        <f>IFERROR(VLOOKUP(TEXT(O70,"0"),CONDUCTORES!$A$3:$H$100,6,0),"")</f>
        <v/>
      </c>
      <c r="R70" s="334" t="inlineStr">
        <is>
          <t>ENTREGADO 17/06/2025</t>
        </is>
      </c>
      <c r="S70" s="302" t="inlineStr">
        <is>
          <t>I64X,R568</t>
        </is>
      </c>
      <c r="T70" s="301" t="n"/>
      <c r="U70" s="331" t="n">
        <v>45768</v>
      </c>
      <c r="V70" s="301" t="n"/>
      <c r="W70" s="301" t="inlineStr">
        <is>
          <t>3479.0</t>
        </is>
      </c>
      <c r="X70" s="301" t="inlineStr">
        <is>
          <t>189.0</t>
        </is>
      </c>
      <c r="Y70" s="280" t="n"/>
    </row>
    <row r="71" ht="15.75" customHeight="1" s="195">
      <c r="A71" s="241" t="n">
        <v>39</v>
      </c>
      <c r="B71" s="305" t="inlineStr">
        <is>
          <t>0000068</t>
        </is>
      </c>
      <c r="C71" s="241" t="inlineStr">
        <is>
          <t>REGION</t>
        </is>
      </c>
      <c r="D71" s="305" t="inlineStr">
        <is>
          <t>ARISTA TUESTA DENIS</t>
        </is>
      </c>
      <c r="E71" s="241" t="inlineStr">
        <is>
          <t>DNI</t>
        </is>
      </c>
      <c r="F71" s="241" t="inlineStr">
        <is>
          <t>45686931</t>
        </is>
      </c>
      <c r="G71" s="336" t="n">
        <v>45741</v>
      </c>
      <c r="H71" s="241" t="inlineStr">
        <is>
          <t>4950</t>
        </is>
      </c>
      <c r="I71" s="332">
        <f>IFERROR(VLOOKUP(TEXT(H71,"0"),IPRESS!$A$3:$B$212,2,0),"")</f>
        <v/>
      </c>
      <c r="J71" s="241" t="inlineStr">
        <is>
          <t>4838</t>
        </is>
      </c>
      <c r="K71" s="332">
        <f>IFERROR(VLOOKUP(TEXT(O71,"0"),CONDUCTORES!$A$3:$G$100,7,0),"")</f>
        <v/>
      </c>
      <c r="L71" s="239" t="n">
        <v>20.25</v>
      </c>
      <c r="M71" s="239" t="n">
        <v>13</v>
      </c>
      <c r="N71" s="333">
        <f>IFERROR(IF(L71*M71=0,"",L71*M71),"")</f>
        <v/>
      </c>
      <c r="O71" s="334" t="n"/>
      <c r="P71" s="332">
        <f>IFERROR(VLOOKUP(TEXT(O71,"0"),CONDUCTORES!$A$3:$G$100,2,0),"")</f>
        <v/>
      </c>
      <c r="Q71" s="332">
        <f>IFERROR(VLOOKUP(TEXT(O71,"0"),CONDUCTORES!$A$3:$H$100,6,0),"")</f>
        <v/>
      </c>
      <c r="R71" s="280" t="inlineStr">
        <is>
          <t>ENTREGADO 17/06/2025</t>
        </is>
      </c>
      <c r="S71" s="305" t="inlineStr">
        <is>
          <t>D696,R041,F103</t>
        </is>
      </c>
      <c r="T71" s="241" t="n"/>
      <c r="U71" s="336" t="n">
        <v>45772</v>
      </c>
      <c r="V71" s="241" t="n"/>
      <c r="W71" s="241" t="inlineStr">
        <is>
          <t>3479.0</t>
        </is>
      </c>
      <c r="X71" s="241" t="inlineStr">
        <is>
          <t>189.0</t>
        </is>
      </c>
      <c r="Y71" s="280" t="n"/>
    </row>
    <row r="72" ht="15.75" customHeight="1" s="195">
      <c r="A72" s="301" t="n">
        <v>40</v>
      </c>
      <c r="B72" s="302" t="inlineStr">
        <is>
          <t>0000069</t>
        </is>
      </c>
      <c r="C72" s="301" t="inlineStr">
        <is>
          <t>REGION</t>
        </is>
      </c>
      <c r="D72" s="302" t="inlineStr">
        <is>
          <t>MONTOYA VDA DE RODRIGUEZ MARIA EDELMIRA</t>
        </is>
      </c>
      <c r="E72" s="301" t="inlineStr">
        <is>
          <t>DNI</t>
        </is>
      </c>
      <c r="F72" s="301" t="inlineStr">
        <is>
          <t>33944147</t>
        </is>
      </c>
      <c r="G72" s="331" t="n">
        <v>45741</v>
      </c>
      <c r="H72" s="301" t="inlineStr">
        <is>
          <t>4950</t>
        </is>
      </c>
      <c r="I72" s="332">
        <f>IFERROR(VLOOKUP(TEXT(H72,"0"),IPRESS!$A$3:$B$212,2,0),"")</f>
        <v/>
      </c>
      <c r="J72" s="301" t="inlineStr">
        <is>
          <t>4838</t>
        </is>
      </c>
      <c r="K72" s="332">
        <f>IFERROR(VLOOKUP(TEXT(O72,"0"),CONDUCTORES!$A$3:$G$100,7,0),"")</f>
        <v/>
      </c>
      <c r="L72" s="245" t="n">
        <v>20.25</v>
      </c>
      <c r="M72" s="245" t="n">
        <v>7</v>
      </c>
      <c r="N72" s="333">
        <f>IFERROR(IF(L72*M72=0,"",L72*M72),"")</f>
        <v/>
      </c>
      <c r="O72" s="280" t="n"/>
      <c r="P72" s="332">
        <f>IFERROR(VLOOKUP(TEXT(O72,"0"),CONDUCTORES!$A$3:$G$100,2,0),"")</f>
        <v/>
      </c>
      <c r="Q72" s="332">
        <f>IFERROR(VLOOKUP(TEXT(O72,"0"),CONDUCTORES!$A$3:$H$100,6,0),"")</f>
        <v/>
      </c>
      <c r="R72" s="334" t="inlineStr">
        <is>
          <t>ENTREGADO 17/06/2025</t>
        </is>
      </c>
      <c r="S72" s="302" t="inlineStr">
        <is>
          <t>I500,J960,I269</t>
        </is>
      </c>
      <c r="T72" s="301" t="n"/>
      <c r="U72" s="331" t="n">
        <v>45772</v>
      </c>
      <c r="V72" s="301" t="n"/>
      <c r="W72" s="301" t="inlineStr">
        <is>
          <t>3479.0</t>
        </is>
      </c>
      <c r="X72" s="301" t="inlineStr">
        <is>
          <t>189.0</t>
        </is>
      </c>
      <c r="Y72" s="280" t="n"/>
    </row>
    <row r="73" ht="15.75" customHeight="1" s="195">
      <c r="A73" s="241" t="n">
        <v>41</v>
      </c>
      <c r="B73" s="305" t="inlineStr">
        <is>
          <t>0000070</t>
        </is>
      </c>
      <c r="C73" s="241" t="inlineStr">
        <is>
          <t>REGION</t>
        </is>
      </c>
      <c r="D73" s="305" t="inlineStr">
        <is>
          <t>HUAMAN CHOCTALIN LEYDA YESENIA</t>
        </is>
      </c>
      <c r="E73" s="241" t="inlineStr">
        <is>
          <t>DNI</t>
        </is>
      </c>
      <c r="F73" s="241" t="inlineStr">
        <is>
          <t>91319317</t>
        </is>
      </c>
      <c r="G73" s="336" t="n">
        <v>45743</v>
      </c>
      <c r="H73" s="241" t="inlineStr">
        <is>
          <t>4950</t>
        </is>
      </c>
      <c r="I73" s="332">
        <f>IFERROR(VLOOKUP(TEXT(H73,"0"),IPRESS!$A$3:$B$212,2,0),"")</f>
        <v/>
      </c>
      <c r="J73" s="241" t="inlineStr">
        <is>
          <t>4838</t>
        </is>
      </c>
      <c r="K73" s="332">
        <f>IFERROR(VLOOKUP(TEXT(O73,"0"),CONDUCTORES!$A$3:$G$100,7,0),"")</f>
        <v/>
      </c>
      <c r="L73" s="239" t="n">
        <v>20.25</v>
      </c>
      <c r="M73" s="239" t="n">
        <v>7</v>
      </c>
      <c r="N73" s="333">
        <f>IFERROR(IF(L73*M73=0,"",L73*M73),"")</f>
        <v/>
      </c>
      <c r="O73" s="334" t="n"/>
      <c r="P73" s="332">
        <f>IFERROR(VLOOKUP(TEXT(O73,"0"),CONDUCTORES!$A$3:$G$100,2,0),"")</f>
        <v/>
      </c>
      <c r="Q73" s="332">
        <f>IFERROR(VLOOKUP(TEXT(O73,"0"),CONDUCTORES!$A$3:$H$100,6,0),"")</f>
        <v/>
      </c>
      <c r="R73" s="280" t="inlineStr">
        <is>
          <t>ENTREGADO 17/06/2025</t>
        </is>
      </c>
      <c r="S73" s="305" t="inlineStr">
        <is>
          <t>S020,S010</t>
        </is>
      </c>
      <c r="T73" s="241" t="n"/>
      <c r="U73" s="336" t="n">
        <v>45776</v>
      </c>
      <c r="V73" s="241" t="n"/>
      <c r="W73" s="241" t="inlineStr">
        <is>
          <t>3479.0</t>
        </is>
      </c>
      <c r="X73" s="241" t="inlineStr">
        <is>
          <t>189.0</t>
        </is>
      </c>
      <c r="Y73" s="280" t="n"/>
    </row>
    <row r="74" ht="15.75" customHeight="1" s="195">
      <c r="A74" s="301" t="n">
        <v>42</v>
      </c>
      <c r="B74" s="302" t="inlineStr">
        <is>
          <t>0000071</t>
        </is>
      </c>
      <c r="C74" s="301" t="inlineStr">
        <is>
          <t>REGION</t>
        </is>
      </c>
      <c r="D74" s="302" t="inlineStr">
        <is>
          <t>CHUQUITUCTO SANCHEZ SANTOS</t>
        </is>
      </c>
      <c r="E74" s="301" t="inlineStr">
        <is>
          <t>DNI</t>
        </is>
      </c>
      <c r="F74" s="301" t="inlineStr">
        <is>
          <t>42980327</t>
        </is>
      </c>
      <c r="G74" s="331" t="n">
        <v>45743</v>
      </c>
      <c r="H74" s="301" t="inlineStr">
        <is>
          <t>4950</t>
        </is>
      </c>
      <c r="I74" s="332">
        <f>IFERROR(VLOOKUP(TEXT(H74,"0"),IPRESS!$A$3:$B$212,2,0),"")</f>
        <v/>
      </c>
      <c r="J74" s="301" t="inlineStr">
        <is>
          <t>4838</t>
        </is>
      </c>
      <c r="K74" s="332">
        <f>IFERROR(VLOOKUP(TEXT(O74,"0"),CONDUCTORES!$A$3:$G$100,7,0),"")</f>
        <v/>
      </c>
      <c r="L74" s="245" t="n">
        <v>20.25</v>
      </c>
      <c r="M74" s="245" t="n">
        <v>7</v>
      </c>
      <c r="N74" s="333">
        <f>IFERROR(IF(L74*M74=0,"",L74*M74),"")</f>
        <v/>
      </c>
      <c r="O74" s="280" t="n"/>
      <c r="P74" s="332">
        <f>IFERROR(VLOOKUP(TEXT(O74,"0"),CONDUCTORES!$A$3:$G$100,2,0),"")</f>
        <v/>
      </c>
      <c r="Q74" s="332">
        <f>IFERROR(VLOOKUP(TEXT(O74,"0"),CONDUCTORES!$A$3:$H$100,6,0),"")</f>
        <v/>
      </c>
      <c r="R74" s="334" t="inlineStr">
        <is>
          <t>ENTREGADO 17/06/2025</t>
        </is>
      </c>
      <c r="S74" s="302" t="inlineStr">
        <is>
          <t>O420</t>
        </is>
      </c>
      <c r="T74" s="301" t="n"/>
      <c r="U74" s="331" t="n">
        <v>45776</v>
      </c>
      <c r="V74" s="301" t="n"/>
      <c r="W74" s="301" t="inlineStr">
        <is>
          <t>3479.0</t>
        </is>
      </c>
      <c r="X74" s="301" t="inlineStr">
        <is>
          <t>189.0</t>
        </is>
      </c>
      <c r="Y74" s="280" t="n"/>
    </row>
    <row r="75" ht="15.75" customHeight="1" s="195">
      <c r="A75" s="241" t="n">
        <v>43</v>
      </c>
      <c r="B75" s="305" t="inlineStr">
        <is>
          <t>00000072</t>
        </is>
      </c>
      <c r="C75" s="241" t="inlineStr">
        <is>
          <t>REGION</t>
        </is>
      </c>
      <c r="D75" s="305" t="inlineStr">
        <is>
          <t>HUARICAYO GUEVVARA IRMA CAROLAY</t>
        </is>
      </c>
      <c r="E75" s="241" t="inlineStr">
        <is>
          <t>DNI</t>
        </is>
      </c>
      <c r="F75" s="241" t="inlineStr">
        <is>
          <t>77425311</t>
        </is>
      </c>
      <c r="G75" s="336" t="n">
        <v>45747</v>
      </c>
      <c r="H75" s="241" t="inlineStr">
        <is>
          <t>4838</t>
        </is>
      </c>
      <c r="I75" s="332">
        <f>IFERROR(VLOOKUP(TEXT(H75,"0"),IPRESS!$A$3:$B$212,2,0),"")</f>
        <v/>
      </c>
      <c r="J75" s="241" t="inlineStr">
        <is>
          <t>4838</t>
        </is>
      </c>
      <c r="K75" s="332">
        <f>IFERROR(VLOOKUP(TEXT(O75,"0"),CONDUCTORES!$A$3:$G$100,7,0),"")</f>
        <v/>
      </c>
      <c r="L75" s="239" t="n">
        <v>20.25</v>
      </c>
      <c r="M75" s="239" t="n">
        <v>7</v>
      </c>
      <c r="N75" s="333">
        <f>IFERROR(IF(L75*M75=0,"",L75*M75),"")</f>
        <v/>
      </c>
      <c r="O75" s="334" t="n"/>
      <c r="P75" s="332">
        <f>IFERROR(VLOOKUP(TEXT(O75,"0"),CONDUCTORES!$A$3:$G$100,2,0),"")</f>
        <v/>
      </c>
      <c r="Q75" s="332">
        <f>IFERROR(VLOOKUP(TEXT(O75,"0"),CONDUCTORES!$A$3:$H$100,6,0),"")</f>
        <v/>
      </c>
      <c r="R75" s="280" t="inlineStr">
        <is>
          <t>ENTREGADO 17/06/2025</t>
        </is>
      </c>
      <c r="S75" s="305" t="inlineStr">
        <is>
          <t>O368</t>
        </is>
      </c>
      <c r="T75" s="241" t="n"/>
      <c r="U75" s="336" t="n">
        <v>45776</v>
      </c>
      <c r="V75" s="241" t="n"/>
      <c r="W75" s="241" t="inlineStr">
        <is>
          <t>3479.0</t>
        </is>
      </c>
      <c r="X75" s="241" t="inlineStr">
        <is>
          <t>189.0</t>
        </is>
      </c>
      <c r="Y75" s="280" t="n"/>
    </row>
    <row r="76" ht="15.75" customHeight="1" s="195">
      <c r="A76" s="301" t="n">
        <v>41</v>
      </c>
      <c r="B76" s="302" t="inlineStr">
        <is>
          <t>00000073</t>
        </is>
      </c>
      <c r="C76" s="301" t="inlineStr">
        <is>
          <t>REGION</t>
        </is>
      </c>
      <c r="D76" s="302" t="inlineStr">
        <is>
          <t>VARGAS BECERRA JUSTINA</t>
        </is>
      </c>
      <c r="E76" s="301" t="inlineStr">
        <is>
          <t>DNI</t>
        </is>
      </c>
      <c r="F76" s="301" t="inlineStr">
        <is>
          <t>27062725</t>
        </is>
      </c>
      <c r="G76" s="331" t="n">
        <v>45737</v>
      </c>
      <c r="H76" s="301" t="inlineStr">
        <is>
          <t>4950</t>
        </is>
      </c>
      <c r="I76" s="332">
        <f>IFERROR(VLOOKUP(TEXT(H76,"0"),IPRESS!$A$3:$B$212,2,0),"")</f>
        <v/>
      </c>
      <c r="J76" s="301" t="inlineStr">
        <is>
          <t>4838</t>
        </is>
      </c>
      <c r="K76" s="332">
        <f>IFERROR(VLOOKUP(TEXT(O76,"0"),CONDUCTORES!$A$3:$G$100,7,0),"")</f>
        <v/>
      </c>
      <c r="L76" s="245" t="n">
        <v>20.25</v>
      </c>
      <c r="M76" s="245" t="n">
        <v>7</v>
      </c>
      <c r="N76" s="333">
        <f>IFERROR(IF(L76*M76=0,"",L76*M76),"")</f>
        <v/>
      </c>
      <c r="O76" s="280" t="n"/>
      <c r="P76" s="332">
        <f>IFERROR(VLOOKUP(TEXT(O76,"0"),CONDUCTORES!$A$3:$G$100,2,0),"")</f>
        <v/>
      </c>
      <c r="Q76" s="332">
        <f>IFERROR(VLOOKUP(TEXT(O76,"0"),CONDUCTORES!$A$3:$H$100,6,0),"")</f>
        <v/>
      </c>
      <c r="R76" s="334" t="inlineStr">
        <is>
          <t>ENTREGADO 17/06/2025</t>
        </is>
      </c>
      <c r="S76" s="302" t="inlineStr">
        <is>
          <t>I679,I10X</t>
        </is>
      </c>
      <c r="T76" s="301" t="n"/>
      <c r="U76" s="334" t="n"/>
      <c r="V76" s="301" t="n"/>
      <c r="W76" s="301" t="inlineStr">
        <is>
          <t>3479.0</t>
        </is>
      </c>
      <c r="X76" s="301" t="inlineStr">
        <is>
          <t>189.0</t>
        </is>
      </c>
      <c r="Y76" s="280" t="n"/>
    </row>
    <row r="77" ht="15.75" customHeight="1" s="195">
      <c r="A77" s="337" t="n">
        <v>42</v>
      </c>
      <c r="B77" s="338" t="inlineStr">
        <is>
          <t>0000021</t>
        </is>
      </c>
      <c r="C77" s="337" t="inlineStr">
        <is>
          <t>REGION</t>
        </is>
      </c>
      <c r="D77" s="338" t="inlineStr">
        <is>
          <t>CHAVEZ MAS JORGE</t>
        </is>
      </c>
      <c r="E77" s="337" t="inlineStr">
        <is>
          <t>DNI</t>
        </is>
      </c>
      <c r="F77" s="337" t="inlineStr">
        <is>
          <t>33423340</t>
        </is>
      </c>
      <c r="G77" s="339" t="n">
        <v>45723</v>
      </c>
      <c r="H77" s="337" t="inlineStr">
        <is>
          <t>4869</t>
        </is>
      </c>
      <c r="I77" s="332">
        <f>IFERROR(VLOOKUP(TEXT(H77,"0"),IPRESS!$A$3:$B$212,2,0),"")</f>
        <v/>
      </c>
      <c r="J77" s="337" t="inlineStr">
        <is>
          <t>4838</t>
        </is>
      </c>
      <c r="K77" s="332">
        <f>IFERROR(VLOOKUP(TEXT(O77,"0"),CONDUCTORES!$A$3:$G$100,7,0),"")</f>
        <v/>
      </c>
      <c r="L77" s="340" t="n">
        <v>17.95</v>
      </c>
      <c r="M77" s="340" t="n">
        <v>8</v>
      </c>
      <c r="N77" s="333">
        <f>IFERROR(IF(L77*M77=0,"",L77*M77),"")</f>
        <v/>
      </c>
      <c r="O77" s="334" t="n"/>
      <c r="P77" s="332">
        <f>IFERROR(VLOOKUP(TEXT(O77,"0"),CONDUCTORES!$A$3:$G$100,2,0),"")</f>
        <v/>
      </c>
      <c r="Q77" s="332">
        <f>IFERROR(VLOOKUP(TEXT(O77,"0"),CONDUCTORES!$A$3:$H$100,6,0),"")</f>
        <v/>
      </c>
      <c r="R77" s="339" t="n">
        <v>45790</v>
      </c>
      <c r="S77" s="338" t="inlineStr">
        <is>
          <t>J939,T797</t>
        </is>
      </c>
      <c r="T77" s="337" t="n"/>
      <c r="U77" s="339" t="n">
        <v>45747</v>
      </c>
      <c r="V77" s="337" t="inlineStr">
        <is>
          <t>1940-2025</t>
        </is>
      </c>
      <c r="W77" s="337" t="inlineStr">
        <is>
          <t>0000108- ADENDA N°001-2025 DRSA/OEA-O.ABAST</t>
        </is>
      </c>
      <c r="X77" s="337" t="inlineStr">
        <is>
          <t>257.0</t>
        </is>
      </c>
      <c r="Y77" s="280" t="n"/>
    </row>
    <row r="78" ht="15.75" customHeight="1" s="195">
      <c r="A78" s="337" t="n">
        <v>43</v>
      </c>
      <c r="B78" s="338" t="inlineStr">
        <is>
          <t>0000017</t>
        </is>
      </c>
      <c r="C78" s="337" t="inlineStr">
        <is>
          <t>REGION</t>
        </is>
      </c>
      <c r="D78" s="338" t="inlineStr">
        <is>
          <t>ZAMORA RUIZ MARTIN</t>
        </is>
      </c>
      <c r="E78" s="337" t="inlineStr">
        <is>
          <t>DNI</t>
        </is>
      </c>
      <c r="F78" s="337" t="inlineStr">
        <is>
          <t>41565812</t>
        </is>
      </c>
      <c r="G78" s="339" t="n">
        <v>45722</v>
      </c>
      <c r="H78" s="337" t="inlineStr">
        <is>
          <t>4869</t>
        </is>
      </c>
      <c r="I78" s="332">
        <f>IFERROR(VLOOKUP(TEXT(H78,"0"),IPRESS!$A$3:$B$212,2,0),"")</f>
        <v/>
      </c>
      <c r="J78" s="337" t="inlineStr">
        <is>
          <t>4838</t>
        </is>
      </c>
      <c r="K78" s="332">
        <f>IFERROR(VLOOKUP(TEXT(O78,"0"),CONDUCTORES!$A$3:$G$100,7,0),"")</f>
        <v/>
      </c>
      <c r="L78" s="340" t="n">
        <v>17.95</v>
      </c>
      <c r="M78" s="340" t="n">
        <v>8</v>
      </c>
      <c r="N78" s="333">
        <f>IFERROR(IF(L78*M78=0,"",L78*M78),"")</f>
        <v/>
      </c>
      <c r="O78" s="280" t="n"/>
      <c r="P78" s="332">
        <f>IFERROR(VLOOKUP(TEXT(O78,"0"),CONDUCTORES!$A$3:$G$100,2,0),"")</f>
        <v/>
      </c>
      <c r="Q78" s="332">
        <f>IFERROR(VLOOKUP(TEXT(O78,"0"),CONDUCTORES!$A$3:$H$100,6,0),"")</f>
        <v/>
      </c>
      <c r="R78" s="339" t="n">
        <v>45790</v>
      </c>
      <c r="S78" s="338" t="inlineStr">
        <is>
          <t>M665,S823</t>
        </is>
      </c>
      <c r="T78" s="337" t="n"/>
      <c r="U78" s="339" t="n">
        <v>45756</v>
      </c>
      <c r="V78" s="337" t="inlineStr">
        <is>
          <t>1940-2026</t>
        </is>
      </c>
      <c r="W78" s="337" t="inlineStr">
        <is>
          <t>0000108- ADENDA N°001-2025 DRSA/OEA-O.ABAST</t>
        </is>
      </c>
      <c r="X78" s="337" t="inlineStr">
        <is>
          <t>257.0</t>
        </is>
      </c>
      <c r="Y78" s="280" t="n"/>
    </row>
    <row r="79" ht="15.75" customHeight="1" s="195">
      <c r="A79" s="241" t="n">
        <v>44</v>
      </c>
      <c r="B79" s="305" t="inlineStr">
        <is>
          <t>00000006</t>
        </is>
      </c>
      <c r="C79" s="241" t="inlineStr">
        <is>
          <t>REGION</t>
        </is>
      </c>
      <c r="D79" s="305" t="inlineStr">
        <is>
          <t>INGA ROJAS SHEYLA STEFANY</t>
        </is>
      </c>
      <c r="E79" s="241" t="inlineStr">
        <is>
          <t>DNI</t>
        </is>
      </c>
      <c r="F79" s="241" t="inlineStr">
        <is>
          <t>79568804</t>
        </is>
      </c>
      <c r="G79" s="336" t="n">
        <v>45740</v>
      </c>
      <c r="H79" s="241" t="inlineStr">
        <is>
          <t>4947</t>
        </is>
      </c>
      <c r="I79" s="332">
        <f>IFERROR(VLOOKUP(TEXT(H79,"0"),IPRESS!$A$3:$B$212,2,0),"")</f>
        <v/>
      </c>
      <c r="J79" s="241" t="inlineStr">
        <is>
          <t>4950</t>
        </is>
      </c>
      <c r="K79" s="332">
        <f>IFERROR(VLOOKUP(TEXT(O79,"0"),CONDUCTORES!$A$3:$G$100,7,0),"")</f>
        <v/>
      </c>
      <c r="L79" s="239" t="n">
        <v>20.25</v>
      </c>
      <c r="M79" s="239" t="n">
        <v>10</v>
      </c>
      <c r="N79" s="333">
        <f>IFERROR(IF(L79*M79=0,"",L79*M79),"")</f>
        <v/>
      </c>
      <c r="O79" s="334" t="n"/>
      <c r="P79" s="332">
        <f>IFERROR(VLOOKUP(TEXT(O79,"0"),CONDUCTORES!$A$3:$G$100,2,0),"")</f>
        <v/>
      </c>
      <c r="Q79" s="332">
        <f>IFERROR(VLOOKUP(TEXT(O79,"0"),CONDUCTORES!$A$3:$H$100,6,0),"")</f>
        <v/>
      </c>
      <c r="R79" s="336" t="n">
        <v>45828</v>
      </c>
      <c r="S79" s="305" t="inlineStr">
        <is>
          <t>K359</t>
        </is>
      </c>
      <c r="T79" s="241" t="n"/>
      <c r="U79" s="280" t="n"/>
      <c r="V79" s="241" t="n"/>
      <c r="W79" s="241" t="n"/>
      <c r="X79" s="241" t="n"/>
      <c r="Y79" s="280" t="n"/>
    </row>
    <row r="80" ht="15.75" customHeight="1" s="195">
      <c r="A80" s="301" t="n">
        <v>45</v>
      </c>
      <c r="B80" s="302" t="inlineStr">
        <is>
          <t>00000007</t>
        </is>
      </c>
      <c r="C80" s="301" t="inlineStr">
        <is>
          <t>REGION</t>
        </is>
      </c>
      <c r="D80" s="302" t="inlineStr">
        <is>
          <t>CHAVEZ MORI GREYS AMPARO</t>
        </is>
      </c>
      <c r="E80" s="301" t="inlineStr">
        <is>
          <t>DNI</t>
        </is>
      </c>
      <c r="F80" s="301" t="inlineStr">
        <is>
          <t>62205449</t>
        </is>
      </c>
      <c r="G80" s="331" t="n">
        <v>45741</v>
      </c>
      <c r="H80" s="301" t="inlineStr">
        <is>
          <t>4947</t>
        </is>
      </c>
      <c r="I80" s="332">
        <f>IFERROR(VLOOKUP(TEXT(H80,"0"),IPRESS!$A$3:$B$212,2,0),"")</f>
        <v/>
      </c>
      <c r="J80" s="301" t="inlineStr">
        <is>
          <t>4950</t>
        </is>
      </c>
      <c r="K80" s="332">
        <f>IFERROR(VLOOKUP(TEXT(O80,"0"),CONDUCTORES!$A$3:$G$100,7,0),"")</f>
        <v/>
      </c>
      <c r="L80" s="245" t="n">
        <v>20.25</v>
      </c>
      <c r="M80" s="245" t="n">
        <v>10</v>
      </c>
      <c r="N80" s="333">
        <f>IFERROR(IF(L80*M80=0,"",L80*M80),"")</f>
        <v/>
      </c>
      <c r="O80" s="280" t="n"/>
      <c r="P80" s="332">
        <f>IFERROR(VLOOKUP(TEXT(O80,"0"),CONDUCTORES!$A$3:$G$100,2,0),"")</f>
        <v/>
      </c>
      <c r="Q80" s="332">
        <f>IFERROR(VLOOKUP(TEXT(O80,"0"),CONDUCTORES!$A$3:$H$100,6,0),"")</f>
        <v/>
      </c>
      <c r="R80" s="331" t="n">
        <v>45828</v>
      </c>
      <c r="S80" s="302" t="inlineStr">
        <is>
          <t>R520,K359</t>
        </is>
      </c>
      <c r="T80" s="301" t="n"/>
      <c r="U80" s="334" t="n"/>
      <c r="V80" s="301" t="n"/>
      <c r="W80" s="301" t="n"/>
      <c r="X80" s="301" t="n"/>
      <c r="Y80" s="280" t="n"/>
    </row>
    <row r="81" ht="15.75" customHeight="1" s="195">
      <c r="A81" s="241" t="n">
        <v>46</v>
      </c>
      <c r="B81" s="305" t="inlineStr">
        <is>
          <t>0000005</t>
        </is>
      </c>
      <c r="C81" s="241" t="inlineStr">
        <is>
          <t>REGION</t>
        </is>
      </c>
      <c r="D81" s="305" t="inlineStr">
        <is>
          <t>RODRIGUEZ SADAMANOS DE CHAVEZ NELVITA</t>
        </is>
      </c>
      <c r="E81" s="241" t="inlineStr">
        <is>
          <t>DNI</t>
        </is>
      </c>
      <c r="F81" s="241" t="inlineStr">
        <is>
          <t>33962532</t>
        </is>
      </c>
      <c r="G81" s="336" t="n">
        <v>45729</v>
      </c>
      <c r="H81" s="241" t="inlineStr">
        <is>
          <t>4947</t>
        </is>
      </c>
      <c r="I81" s="332">
        <f>IFERROR(VLOOKUP(TEXT(H81,"0"),IPRESS!$A$3:$B$212,2,0),"")</f>
        <v/>
      </c>
      <c r="J81" s="241" t="inlineStr">
        <is>
          <t>4950</t>
        </is>
      </c>
      <c r="K81" s="332">
        <f>IFERROR(VLOOKUP(TEXT(O81,"0"),CONDUCTORES!$A$3:$G$100,7,0),"")</f>
        <v/>
      </c>
      <c r="L81" s="239" t="n">
        <v>20.25</v>
      </c>
      <c r="M81" s="239" t="n">
        <v>4</v>
      </c>
      <c r="N81" s="333">
        <f>IFERROR(IF(L81*M81=0,"",L81*M81),"")</f>
        <v/>
      </c>
      <c r="O81" s="334" t="n"/>
      <c r="P81" s="332">
        <f>IFERROR(VLOOKUP(TEXT(O81,"0"),CONDUCTORES!$A$3:$G$100,2,0),"")</f>
        <v/>
      </c>
      <c r="Q81" s="332">
        <f>IFERROR(VLOOKUP(TEXT(O81,"0"),CONDUCTORES!$A$3:$H$100,6,0),"")</f>
        <v/>
      </c>
      <c r="R81" s="336" t="n">
        <v>45839</v>
      </c>
      <c r="S81" s="305" t="inlineStr">
        <is>
          <t>K819,K850,K290</t>
        </is>
      </c>
      <c r="T81" s="241" t="n"/>
      <c r="U81" s="336" t="n">
        <v>45772</v>
      </c>
      <c r="V81" s="241" t="n"/>
      <c r="W81" s="241" t="inlineStr">
        <is>
          <t>DEVOLUCION DE COMBUSTIBLE AMBULANCIA DE OMIA</t>
        </is>
      </c>
      <c r="X81" s="241" t="n"/>
      <c r="Y81" s="280" t="n"/>
    </row>
    <row r="82" ht="15.75" customHeight="1" s="195">
      <c r="A82" s="301" t="n">
        <v>47</v>
      </c>
      <c r="B82" s="302" t="inlineStr">
        <is>
          <t>00000046</t>
        </is>
      </c>
      <c r="C82" s="301" t="inlineStr">
        <is>
          <t>REGION</t>
        </is>
      </c>
      <c r="D82" s="302" t="inlineStr">
        <is>
          <t>TISNADO MELENDEZ ROSMARI</t>
        </is>
      </c>
      <c r="E82" s="301" t="inlineStr">
        <is>
          <t>DNI</t>
        </is>
      </c>
      <c r="F82" s="301" t="inlineStr">
        <is>
          <t>47281254</t>
        </is>
      </c>
      <c r="G82" s="331" t="n">
        <v>45744</v>
      </c>
      <c r="H82" s="301" t="inlineStr">
        <is>
          <t>4876</t>
        </is>
      </c>
      <c r="I82" s="332">
        <f>IFERROR(VLOOKUP(TEXT(H82,"0"),IPRESS!$A$3:$B$212,2,0),"")</f>
        <v/>
      </c>
      <c r="J82" s="301" t="inlineStr">
        <is>
          <t>4838</t>
        </is>
      </c>
      <c r="K82" s="332">
        <f>IFERROR(VLOOKUP(TEXT(O82,"0"),CONDUCTORES!$A$3:$G$100,7,0),"")</f>
        <v/>
      </c>
      <c r="L82" s="245" t="n">
        <v>18.18</v>
      </c>
      <c r="M82" s="245" t="n">
        <v>30</v>
      </c>
      <c r="N82" s="333">
        <f>IFERROR(IF(L82*M82=0,"",L82*M82),"")</f>
        <v/>
      </c>
      <c r="O82" s="280" t="n"/>
      <c r="P82" s="332">
        <f>IFERROR(VLOOKUP(TEXT(O82,"0"),CONDUCTORES!$A$3:$G$100,2,0),"")</f>
        <v/>
      </c>
      <c r="Q82" s="332">
        <f>IFERROR(VLOOKUP(TEXT(O82,"0"),CONDUCTORES!$A$3:$H$100,6,0),"")</f>
        <v/>
      </c>
      <c r="R82" s="331" t="n">
        <v>45825</v>
      </c>
      <c r="S82" s="302" t="inlineStr">
        <is>
          <t>O031,O234</t>
        </is>
      </c>
      <c r="T82" s="301" t="n"/>
      <c r="U82" s="334" t="n"/>
      <c r="V82" s="301" t="n"/>
      <c r="W82" s="301" t="n"/>
      <c r="X82" s="301" t="n"/>
      <c r="Y82" s="280" t="n"/>
    </row>
    <row r="83" ht="15.75" customHeight="1" s="195">
      <c r="A83" s="241" t="n">
        <v>45</v>
      </c>
      <c r="B83" s="305" t="inlineStr">
        <is>
          <t>0000021</t>
        </is>
      </c>
      <c r="C83" s="241" t="inlineStr">
        <is>
          <t>REGION</t>
        </is>
      </c>
      <c r="D83" s="305" t="inlineStr">
        <is>
          <t>AGUILAR PIZARRO INES TERESA</t>
        </is>
      </c>
      <c r="E83" s="241" t="inlineStr">
        <is>
          <t>DNI</t>
        </is>
      </c>
      <c r="F83" s="241" t="inlineStr">
        <is>
          <t>46775777</t>
        </is>
      </c>
      <c r="G83" s="336" t="n">
        <v>45719</v>
      </c>
      <c r="H83" s="241" t="inlineStr">
        <is>
          <t>4922</t>
        </is>
      </c>
      <c r="I83" s="332">
        <f>IFERROR(VLOOKUP(TEXT(H83,"0"),IPRESS!$A$3:$B$212,2,0),"")</f>
        <v/>
      </c>
      <c r="J83" s="241" t="inlineStr">
        <is>
          <t>4838</t>
        </is>
      </c>
      <c r="K83" s="332">
        <f>IFERROR(VLOOKUP(TEXT(O83,"0"),CONDUCTORES!$A$3:$G$100,7,0),"")</f>
        <v/>
      </c>
      <c r="L83" s="239" t="n">
        <v>18.18</v>
      </c>
      <c r="M83" s="239" t="n">
        <v>6</v>
      </c>
      <c r="N83" s="333">
        <f>IFERROR(IF(L83*M83=0,"",L83*M83),"")</f>
        <v/>
      </c>
      <c r="O83" s="334" t="n"/>
      <c r="P83" s="332">
        <f>IFERROR(VLOOKUP(TEXT(O83,"0"),CONDUCTORES!$A$3:$G$100,2,0),"")</f>
        <v/>
      </c>
      <c r="Q83" s="332">
        <f>IFERROR(VLOOKUP(TEXT(O83,"0"),CONDUCTORES!$A$3:$H$100,6,0),"")</f>
        <v/>
      </c>
      <c r="R83" s="280" t="inlineStr">
        <is>
          <t>ATENDIDO 11-04-2025</t>
        </is>
      </c>
      <c r="S83" s="305" t="inlineStr">
        <is>
          <t>R101,K805,K85X</t>
        </is>
      </c>
      <c r="T83" s="241" t="n"/>
      <c r="U83" s="336" t="n">
        <v>45744</v>
      </c>
      <c r="V83" s="241" t="inlineStr">
        <is>
          <t>0000108-ADENDA N° 001-2025DRSA/OEA.OABAST</t>
        </is>
      </c>
      <c r="W83" s="241" t="inlineStr">
        <is>
          <t>2025.0</t>
        </is>
      </c>
      <c r="X83" s="241" t="inlineStr">
        <is>
          <t>256.0</t>
        </is>
      </c>
      <c r="Y83" s="280" t="n"/>
    </row>
    <row r="84" ht="15.75" customHeight="1" s="195">
      <c r="A84" s="337" t="n">
        <v>46</v>
      </c>
      <c r="B84" s="338" t="inlineStr">
        <is>
          <t>0000022</t>
        </is>
      </c>
      <c r="C84" s="337" t="inlineStr">
        <is>
          <t>REGION</t>
        </is>
      </c>
      <c r="D84" s="338" t="inlineStr">
        <is>
          <t>GUTIERREZ HERRERA CESAR</t>
        </is>
      </c>
      <c r="E84" s="337" t="inlineStr">
        <is>
          <t>DNI</t>
        </is>
      </c>
      <c r="F84" s="337" t="inlineStr">
        <is>
          <t>45610162</t>
        </is>
      </c>
      <c r="G84" s="339" t="n">
        <v>45720</v>
      </c>
      <c r="H84" s="337" t="inlineStr">
        <is>
          <t>4922</t>
        </is>
      </c>
      <c r="I84" s="332">
        <f>IFERROR(VLOOKUP(TEXT(H84,"0"),IPRESS!$A$3:$B$212,2,0),"")</f>
        <v/>
      </c>
      <c r="J84" s="337" t="inlineStr">
        <is>
          <t>4838</t>
        </is>
      </c>
      <c r="K84" s="332">
        <f>IFERROR(VLOOKUP(TEXT(O84,"0"),CONDUCTORES!$A$3:$G$100,7,0),"")</f>
        <v/>
      </c>
      <c r="L84" s="340" t="n">
        <v>17.95</v>
      </c>
      <c r="M84" s="340" t="n">
        <v>69</v>
      </c>
      <c r="N84" s="333">
        <f>IFERROR(IF(L84*M84=0,"",L84*M84),"")</f>
        <v/>
      </c>
      <c r="O84" s="280" t="n"/>
      <c r="P84" s="332">
        <f>IFERROR(VLOOKUP(TEXT(O84,"0"),CONDUCTORES!$A$3:$G$100,2,0),"")</f>
        <v/>
      </c>
      <c r="Q84" s="332">
        <f>IFERROR(VLOOKUP(TEXT(O84,"0"),CONDUCTORES!$A$3:$H$100,6,0),"")</f>
        <v/>
      </c>
      <c r="R84" s="341" t="inlineStr">
        <is>
          <t>ATENDIDO 11-04-2025</t>
        </is>
      </c>
      <c r="S84" s="338" t="inlineStr">
        <is>
          <t>S829</t>
        </is>
      </c>
      <c r="T84" s="337" t="n"/>
      <c r="U84" s="339" t="n">
        <v>45744</v>
      </c>
      <c r="V84" s="337" t="inlineStr">
        <is>
          <t>1461-2025</t>
        </is>
      </c>
      <c r="W84" s="337" t="inlineStr">
        <is>
          <t>915-AÑO 2022</t>
        </is>
      </c>
      <c r="X84" s="337" t="inlineStr">
        <is>
          <t>102.0</t>
        </is>
      </c>
      <c r="Y84" s="280" t="n"/>
    </row>
    <row r="85" ht="15.75" customHeight="1" s="195">
      <c r="A85" s="337" t="n">
        <v>47</v>
      </c>
      <c r="B85" s="338" t="inlineStr">
        <is>
          <t>0000023</t>
        </is>
      </c>
      <c r="C85" s="337" t="inlineStr">
        <is>
          <t>REGION</t>
        </is>
      </c>
      <c r="D85" s="338" t="inlineStr">
        <is>
          <t>SOPLIN MENDOZA DYLAN GABRIEL</t>
        </is>
      </c>
      <c r="E85" s="337" t="inlineStr">
        <is>
          <t>DNI</t>
        </is>
      </c>
      <c r="F85" s="337" t="inlineStr">
        <is>
          <t>93594060</t>
        </is>
      </c>
      <c r="G85" s="339" t="n">
        <v>45724</v>
      </c>
      <c r="H85" s="337" t="inlineStr">
        <is>
          <t>4922</t>
        </is>
      </c>
      <c r="I85" s="332">
        <f>IFERROR(VLOOKUP(TEXT(H85,"0"),IPRESS!$A$3:$B$212,2,0),"")</f>
        <v/>
      </c>
      <c r="J85" s="337" t="inlineStr">
        <is>
          <t>4838</t>
        </is>
      </c>
      <c r="K85" s="332">
        <f>IFERROR(VLOOKUP(TEXT(O85,"0"),CONDUCTORES!$A$3:$G$100,7,0),"")</f>
        <v/>
      </c>
      <c r="L85" s="340" t="n">
        <v>17.95</v>
      </c>
      <c r="M85" s="340" t="n">
        <v>6</v>
      </c>
      <c r="N85" s="333">
        <f>IFERROR(IF(L85*M85=0,"",L85*M85),"")</f>
        <v/>
      </c>
      <c r="O85" s="334" t="n"/>
      <c r="P85" s="332">
        <f>IFERROR(VLOOKUP(TEXT(O85,"0"),CONDUCTORES!$A$3:$G$100,2,0),"")</f>
        <v/>
      </c>
      <c r="Q85" s="332">
        <f>IFERROR(VLOOKUP(TEXT(O85,"0"),CONDUCTORES!$A$3:$H$100,6,0),"")</f>
        <v/>
      </c>
      <c r="R85" s="341" t="inlineStr">
        <is>
          <t>ATENDIDO 11-04-2025</t>
        </is>
      </c>
      <c r="S85" s="338" t="inlineStr">
        <is>
          <t>E890,K566</t>
        </is>
      </c>
      <c r="T85" s="337" t="n"/>
      <c r="U85" s="339" t="n">
        <v>45747</v>
      </c>
      <c r="V85" s="337" t="inlineStr">
        <is>
          <t>1461-2025</t>
        </is>
      </c>
      <c r="W85" s="337" t="inlineStr">
        <is>
          <t>915-AÑO 2022</t>
        </is>
      </c>
      <c r="X85" s="337" t="inlineStr">
        <is>
          <t>102.0</t>
        </is>
      </c>
      <c r="Y85" s="280" t="n"/>
    </row>
    <row r="86" ht="15.75" customHeight="1" s="195">
      <c r="A86" s="337" t="n">
        <v>48</v>
      </c>
      <c r="B86" s="338" t="inlineStr">
        <is>
          <t>0000024</t>
        </is>
      </c>
      <c r="C86" s="337" t="inlineStr">
        <is>
          <t>REGION</t>
        </is>
      </c>
      <c r="D86" s="338" t="inlineStr">
        <is>
          <t>COLLANTES BRIONES LENIN RAYDER</t>
        </is>
      </c>
      <c r="E86" s="337" t="inlineStr">
        <is>
          <t>DNI</t>
        </is>
      </c>
      <c r="F86" s="337" t="inlineStr">
        <is>
          <t>60391928</t>
        </is>
      </c>
      <c r="G86" s="339" t="n">
        <v>45727</v>
      </c>
      <c r="H86" s="337" t="inlineStr">
        <is>
          <t>4922</t>
        </is>
      </c>
      <c r="I86" s="332">
        <f>IFERROR(VLOOKUP(TEXT(H86,"0"),IPRESS!$A$3:$B$212,2,0),"")</f>
        <v/>
      </c>
      <c r="J86" s="337" t="inlineStr">
        <is>
          <t>4838</t>
        </is>
      </c>
      <c r="K86" s="332">
        <f>IFERROR(VLOOKUP(TEXT(O86,"0"),CONDUCTORES!$A$3:$G$100,7,0),"")</f>
        <v/>
      </c>
      <c r="L86" s="340" t="n">
        <v>17.95</v>
      </c>
      <c r="M86" s="340" t="n">
        <v>6</v>
      </c>
      <c r="N86" s="333">
        <f>IFERROR(IF(L86*M86=0,"",L86*M86),"")</f>
        <v/>
      </c>
      <c r="O86" s="280" t="n"/>
      <c r="P86" s="332">
        <f>IFERROR(VLOOKUP(TEXT(O86,"0"),CONDUCTORES!$A$3:$G$100,2,0),"")</f>
        <v/>
      </c>
      <c r="Q86" s="332">
        <f>IFERROR(VLOOKUP(TEXT(O86,"0"),CONDUCTORES!$A$3:$H$100,6,0),"")</f>
        <v/>
      </c>
      <c r="R86" s="341" t="inlineStr">
        <is>
          <t>ATENDIDO 19-05-2025</t>
        </is>
      </c>
      <c r="S86" s="338" t="inlineStr">
        <is>
          <t>S020,S069</t>
        </is>
      </c>
      <c r="T86" s="337" t="n"/>
      <c r="U86" s="339" t="n">
        <v>45756</v>
      </c>
      <c r="V86" s="337" t="n"/>
      <c r="W86" s="337" t="n"/>
      <c r="X86" s="337" t="n"/>
      <c r="Y86" s="280" t="n"/>
    </row>
    <row r="87" ht="15.75" customHeight="1" s="195">
      <c r="A87" s="337" t="n">
        <v>49</v>
      </c>
      <c r="B87" s="338" t="inlineStr">
        <is>
          <t>0000027</t>
        </is>
      </c>
      <c r="C87" s="337" t="inlineStr">
        <is>
          <t>REGION</t>
        </is>
      </c>
      <c r="D87" s="338" t="inlineStr">
        <is>
          <t>CENTURION TEPO JUANA MARLENE</t>
        </is>
      </c>
      <c r="E87" s="337" t="inlineStr">
        <is>
          <t>DNI</t>
        </is>
      </c>
      <c r="F87" s="337" t="inlineStr">
        <is>
          <t>72014102</t>
        </is>
      </c>
      <c r="G87" s="339" t="n">
        <v>45735</v>
      </c>
      <c r="H87" s="337" t="inlineStr">
        <is>
          <t>4922</t>
        </is>
      </c>
      <c r="I87" s="332">
        <f>IFERROR(VLOOKUP(TEXT(H87,"0"),IPRESS!$A$3:$B$212,2,0),"")</f>
        <v/>
      </c>
      <c r="J87" s="337" t="inlineStr">
        <is>
          <t>4838</t>
        </is>
      </c>
      <c r="K87" s="332">
        <f>IFERROR(VLOOKUP(TEXT(O87,"0"),CONDUCTORES!$A$3:$G$100,7,0),"")</f>
        <v/>
      </c>
      <c r="L87" s="340" t="n">
        <v>17.95</v>
      </c>
      <c r="M87" s="340" t="n">
        <v>6</v>
      </c>
      <c r="N87" s="333">
        <f>IFERROR(IF(L87*M87=0,"",L87*M87),"")</f>
        <v/>
      </c>
      <c r="O87" s="334" t="n"/>
      <c r="P87" s="332">
        <f>IFERROR(VLOOKUP(TEXT(O87,"0"),CONDUCTORES!$A$3:$G$100,2,0),"")</f>
        <v/>
      </c>
      <c r="Q87" s="332">
        <f>IFERROR(VLOOKUP(TEXT(O87,"0"),CONDUCTORES!$A$3:$H$100,6,0),"")</f>
        <v/>
      </c>
      <c r="R87" s="341" t="inlineStr">
        <is>
          <t>ATENDIDO 19-05-2025</t>
        </is>
      </c>
      <c r="S87" s="338" t="inlineStr">
        <is>
          <t>Z359,O758</t>
        </is>
      </c>
      <c r="T87" s="337" t="n"/>
      <c r="U87" s="339" t="n">
        <v>45768</v>
      </c>
      <c r="V87" s="337" t="n"/>
      <c r="W87" s="337" t="n"/>
      <c r="X87" s="337" t="n"/>
      <c r="Y87" s="280" t="n"/>
    </row>
    <row r="88" ht="15.75" customHeight="1" s="195">
      <c r="A88" s="337" t="n">
        <v>50</v>
      </c>
      <c r="B88" s="338" t="inlineStr">
        <is>
          <t>0000028</t>
        </is>
      </c>
      <c r="C88" s="337" t="inlineStr">
        <is>
          <t>REGION</t>
        </is>
      </c>
      <c r="D88" s="338" t="inlineStr">
        <is>
          <t>VALQUI ZUMAETA ROSMERI</t>
        </is>
      </c>
      <c r="E88" s="337" t="inlineStr">
        <is>
          <t>DNI</t>
        </is>
      </c>
      <c r="F88" s="337" t="inlineStr">
        <is>
          <t>60030547</t>
        </is>
      </c>
      <c r="G88" s="339" t="n">
        <v>45740</v>
      </c>
      <c r="H88" s="337" t="inlineStr">
        <is>
          <t>4922</t>
        </is>
      </c>
      <c r="I88" s="332">
        <f>IFERROR(VLOOKUP(TEXT(H88,"0"),IPRESS!$A$3:$B$212,2,0),"")</f>
        <v/>
      </c>
      <c r="J88" s="337" t="inlineStr">
        <is>
          <t>4838</t>
        </is>
      </c>
      <c r="K88" s="332">
        <f>IFERROR(VLOOKUP(TEXT(O88,"0"),CONDUCTORES!$A$3:$G$100,7,0),"")</f>
        <v/>
      </c>
      <c r="L88" s="340" t="n">
        <v>17.95</v>
      </c>
      <c r="M88" s="340" t="n">
        <v>6</v>
      </c>
      <c r="N88" s="333">
        <f>IFERROR(IF(L88*M88=0,"",L88*M88),"")</f>
        <v/>
      </c>
      <c r="O88" s="280" t="n"/>
      <c r="P88" s="332">
        <f>IFERROR(VLOOKUP(TEXT(O88,"0"),CONDUCTORES!$A$3:$G$100,2,0),"")</f>
        <v/>
      </c>
      <c r="Q88" s="332">
        <f>IFERROR(VLOOKUP(TEXT(O88,"0"),CONDUCTORES!$A$3:$H$100,6,0),"")</f>
        <v/>
      </c>
      <c r="R88" s="341" t="inlineStr">
        <is>
          <t>ATENDIDO 19-05-2025</t>
        </is>
      </c>
      <c r="S88" s="338" t="inlineStr">
        <is>
          <t>G410,G409</t>
        </is>
      </c>
      <c r="T88" s="337" t="n"/>
      <c r="U88" s="339" t="n">
        <v>45772</v>
      </c>
      <c r="V88" s="337" t="n"/>
      <c r="W88" s="337" t="n"/>
      <c r="X88" s="337" t="n"/>
      <c r="Y88" s="280" t="n"/>
    </row>
    <row r="89" ht="15.75" customHeight="1" s="195">
      <c r="A89" s="337" t="n">
        <v>51</v>
      </c>
      <c r="B89" s="338" t="inlineStr">
        <is>
          <t>0000029</t>
        </is>
      </c>
      <c r="C89" s="337" t="inlineStr">
        <is>
          <t>REGION</t>
        </is>
      </c>
      <c r="D89" s="338" t="inlineStr">
        <is>
          <t>FLORES GOMEZ WENDY</t>
        </is>
      </c>
      <c r="E89" s="337" t="inlineStr">
        <is>
          <t>DNI</t>
        </is>
      </c>
      <c r="F89" s="337" t="inlineStr">
        <is>
          <t>77236636</t>
        </is>
      </c>
      <c r="G89" s="339" t="n">
        <v>45742</v>
      </c>
      <c r="H89" s="337" t="inlineStr">
        <is>
          <t>4922</t>
        </is>
      </c>
      <c r="I89" s="332">
        <f>IFERROR(VLOOKUP(TEXT(H89,"0"),IPRESS!$A$3:$B$212,2,0),"")</f>
        <v/>
      </c>
      <c r="J89" s="337" t="inlineStr">
        <is>
          <t>4838</t>
        </is>
      </c>
      <c r="K89" s="332">
        <f>IFERROR(VLOOKUP(TEXT(O89,"0"),CONDUCTORES!$A$3:$G$100,7,0),"")</f>
        <v/>
      </c>
      <c r="L89" s="340" t="n">
        <v>17.95</v>
      </c>
      <c r="M89" s="340" t="n">
        <v>6</v>
      </c>
      <c r="N89" s="333">
        <f>IFERROR(IF(L89*M89=0,"",L89*M89),"")</f>
        <v/>
      </c>
      <c r="O89" s="334" t="n"/>
      <c r="P89" s="332">
        <f>IFERROR(VLOOKUP(TEXT(O89,"0"),CONDUCTORES!$A$3:$G$100,2,0),"")</f>
        <v/>
      </c>
      <c r="Q89" s="332">
        <f>IFERROR(VLOOKUP(TEXT(O89,"0"),CONDUCTORES!$A$3:$H$100,6,0),"")</f>
        <v/>
      </c>
      <c r="R89" s="341" t="inlineStr">
        <is>
          <t>ATENDIDO 19-05-2025</t>
        </is>
      </c>
      <c r="S89" s="338" t="inlineStr">
        <is>
          <t>O363,S301,R569</t>
        </is>
      </c>
      <c r="T89" s="337" t="n"/>
      <c r="U89" s="339" t="n">
        <v>45776</v>
      </c>
      <c r="V89" s="337" t="n"/>
      <c r="W89" s="337" t="n"/>
      <c r="X89" s="337" t="n"/>
      <c r="Y89" s="280" t="n"/>
    </row>
    <row r="90" ht="15.75" customHeight="1" s="195">
      <c r="A90" s="301" t="n">
        <v>49</v>
      </c>
      <c r="B90" s="302" t="inlineStr">
        <is>
          <t>0000025</t>
        </is>
      </c>
      <c r="C90" s="301" t="inlineStr">
        <is>
          <t>REGION</t>
        </is>
      </c>
      <c r="D90" s="302" t="inlineStr">
        <is>
          <t>GOMEZ QUINTANA BENITO</t>
        </is>
      </c>
      <c r="E90" s="301" t="inlineStr">
        <is>
          <t>DNI</t>
        </is>
      </c>
      <c r="F90" s="301" t="inlineStr">
        <is>
          <t>80613964</t>
        </is>
      </c>
      <c r="G90" s="331" t="n">
        <v>45729</v>
      </c>
      <c r="H90" s="301" t="inlineStr">
        <is>
          <t>4922</t>
        </is>
      </c>
      <c r="I90" s="332">
        <f>IFERROR(VLOOKUP(TEXT(H90,"0"),IPRESS!$A$3:$B$212,2,0),"")</f>
        <v/>
      </c>
      <c r="J90" s="301" t="inlineStr">
        <is>
          <t>4838</t>
        </is>
      </c>
      <c r="K90" s="332">
        <f>IFERROR(VLOOKUP(TEXT(O90,"0"),CONDUCTORES!$A$3:$G$100,7,0),"")</f>
        <v/>
      </c>
      <c r="L90" s="245" t="n">
        <v>18.18</v>
      </c>
      <c r="M90" s="245" t="n">
        <v>6</v>
      </c>
      <c r="N90" s="333">
        <f>IFERROR(IF(L90*M90=0,"",L90*M90),"")</f>
        <v/>
      </c>
      <c r="O90" s="280" t="n"/>
      <c r="P90" s="332">
        <f>IFERROR(VLOOKUP(TEXT(O90,"0"),CONDUCTORES!$A$3:$G$100,2,0),"")</f>
        <v/>
      </c>
      <c r="Q90" s="332">
        <f>IFERROR(VLOOKUP(TEXT(O90,"0"),CONDUCTORES!$A$3:$H$100,6,0),"")</f>
        <v/>
      </c>
      <c r="R90" s="334" t="inlineStr">
        <is>
          <t>ATENDIDO 17/06/2025</t>
        </is>
      </c>
      <c r="S90" s="302" t="inlineStr">
        <is>
          <t>T600</t>
        </is>
      </c>
      <c r="T90" s="301" t="n"/>
      <c r="U90" s="331" t="n">
        <v>45758</v>
      </c>
      <c r="V90" s="301" t="n"/>
      <c r="W90" s="301" t="n"/>
      <c r="X90" s="301" t="n"/>
      <c r="Y90" s="280" t="n"/>
    </row>
    <row r="91" ht="15.75" customHeight="1" s="195">
      <c r="A91" s="241" t="n">
        <v>50</v>
      </c>
      <c r="B91" s="305" t="inlineStr">
        <is>
          <t>0000026</t>
        </is>
      </c>
      <c r="C91" s="241" t="inlineStr">
        <is>
          <t>REGION</t>
        </is>
      </c>
      <c r="D91" s="305" t="inlineStr">
        <is>
          <t>LOZANO PUERTA ALESHCA DAYANI</t>
        </is>
      </c>
      <c r="E91" s="241" t="inlineStr">
        <is>
          <t>DNI</t>
        </is>
      </c>
      <c r="F91" s="241" t="inlineStr">
        <is>
          <t>75501545</t>
        </is>
      </c>
      <c r="G91" s="336" t="n">
        <v>45730</v>
      </c>
      <c r="H91" s="241" t="inlineStr">
        <is>
          <t>4922</t>
        </is>
      </c>
      <c r="I91" s="332">
        <f>IFERROR(VLOOKUP(TEXT(H91,"0"),IPRESS!$A$3:$B$212,2,0),"")</f>
        <v/>
      </c>
      <c r="J91" s="241" t="inlineStr">
        <is>
          <t>4838</t>
        </is>
      </c>
      <c r="K91" s="332">
        <f>IFERROR(VLOOKUP(TEXT(O91,"0"),CONDUCTORES!$A$3:$G$100,7,0),"")</f>
        <v/>
      </c>
      <c r="L91" s="239" t="n">
        <v>17.95</v>
      </c>
      <c r="M91" s="239" t="n">
        <v>6</v>
      </c>
      <c r="N91" s="333">
        <f>IFERROR(IF(L91*M91=0,"",L91*M91),"")</f>
        <v/>
      </c>
      <c r="O91" s="334" t="n"/>
      <c r="P91" s="332">
        <f>IFERROR(VLOOKUP(TEXT(O91,"0"),CONDUCTORES!$A$3:$G$100,2,0),"")</f>
        <v/>
      </c>
      <c r="Q91" s="332">
        <f>IFERROR(VLOOKUP(TEXT(O91,"0"),CONDUCTORES!$A$3:$H$100,6,0),"")</f>
        <v/>
      </c>
      <c r="R91" s="280" t="inlineStr">
        <is>
          <t>ATENDIDO 17/06/2025</t>
        </is>
      </c>
      <c r="S91" s="305" t="inlineStr">
        <is>
          <t>Z359,O429,O324</t>
        </is>
      </c>
      <c r="T91" s="241" t="n"/>
      <c r="U91" s="336" t="n">
        <v>45758</v>
      </c>
      <c r="V91" s="241" t="n"/>
      <c r="W91" s="241" t="n"/>
      <c r="X91" s="241" t="n"/>
      <c r="Y91" s="280" t="n"/>
    </row>
    <row r="92" ht="15.75" customHeight="1" s="195">
      <c r="A92" s="301" t="n">
        <v>51</v>
      </c>
      <c r="B92" s="302" t="inlineStr">
        <is>
          <t>00000030</t>
        </is>
      </c>
      <c r="C92" s="301" t="inlineStr">
        <is>
          <t>REGION</t>
        </is>
      </c>
      <c r="D92" s="302" t="inlineStr">
        <is>
          <t>CONCHE TAFUR MARIA JESUS</t>
        </is>
      </c>
      <c r="E92" s="301" t="inlineStr">
        <is>
          <t>DNI</t>
        </is>
      </c>
      <c r="F92" s="301" t="inlineStr">
        <is>
          <t>71648890</t>
        </is>
      </c>
      <c r="G92" s="331" t="n">
        <v>45746</v>
      </c>
      <c r="H92" s="301" t="inlineStr">
        <is>
          <t>4922</t>
        </is>
      </c>
      <c r="I92" s="332">
        <f>IFERROR(VLOOKUP(TEXT(H92,"0"),IPRESS!$A$3:$B$212,2,0),"")</f>
        <v/>
      </c>
      <c r="J92" s="301" t="inlineStr">
        <is>
          <t>4838</t>
        </is>
      </c>
      <c r="K92" s="332">
        <f>IFERROR(VLOOKUP(TEXT(O92,"0"),CONDUCTORES!$A$3:$G$100,7,0),"")</f>
        <v/>
      </c>
      <c r="L92" s="245" t="n">
        <v>18.18</v>
      </c>
      <c r="M92" s="245" t="n">
        <v>6</v>
      </c>
      <c r="N92" s="333">
        <f>IFERROR(IF(L92*M92=0,"",L92*M92),"")</f>
        <v/>
      </c>
      <c r="O92" s="280" t="n"/>
      <c r="P92" s="332">
        <f>IFERROR(VLOOKUP(TEXT(O92,"0"),CONDUCTORES!$A$3:$G$100,2,0),"")</f>
        <v/>
      </c>
      <c r="Q92" s="332">
        <f>IFERROR(VLOOKUP(TEXT(O92,"0"),CONDUCTORES!$A$3:$H$100,6,0),"")</f>
        <v/>
      </c>
      <c r="R92" s="334" t="inlineStr">
        <is>
          <t>ATENDIDO 17/06/2025</t>
        </is>
      </c>
      <c r="S92" s="302" t="inlineStr">
        <is>
          <t>O689,O368</t>
        </is>
      </c>
      <c r="T92" s="301" t="n"/>
      <c r="U92" s="331" t="n">
        <v>45776</v>
      </c>
      <c r="V92" s="301" t="n"/>
      <c r="W92" s="301" t="n"/>
      <c r="X92" s="301" t="n"/>
      <c r="Y92" s="280" t="n"/>
    </row>
    <row r="93" ht="15.75" customHeight="1" s="195">
      <c r="A93" s="241" t="n">
        <v>52</v>
      </c>
      <c r="B93" s="305" t="inlineStr">
        <is>
          <t>0000068</t>
        </is>
      </c>
      <c r="C93" s="241" t="inlineStr">
        <is>
          <t>REGION</t>
        </is>
      </c>
      <c r="D93" s="305" t="inlineStr">
        <is>
          <t>CHAVEZ LOPEZ JAMIL DAVILAMAR</t>
        </is>
      </c>
      <c r="E93" s="241" t="inlineStr">
        <is>
          <t>DNI</t>
        </is>
      </c>
      <c r="F93" s="241" t="inlineStr">
        <is>
          <t>60322670</t>
        </is>
      </c>
      <c r="G93" s="336" t="n">
        <v>45717</v>
      </c>
      <c r="H93" s="241" t="inlineStr">
        <is>
          <t>4932</t>
        </is>
      </c>
      <c r="I93" s="332">
        <f>IFERROR(VLOOKUP(TEXT(H93,"0"),IPRESS!$A$3:$B$212,2,0),"")</f>
        <v/>
      </c>
      <c r="J93" s="241" t="inlineStr">
        <is>
          <t>4838</t>
        </is>
      </c>
      <c r="K93" s="332">
        <f>IFERROR(VLOOKUP(TEXT(O93,"0"),CONDUCTORES!$A$3:$G$100,7,0),"")</f>
        <v/>
      </c>
      <c r="L93" s="239" t="n">
        <v>18.18</v>
      </c>
      <c r="M93" s="239" t="n">
        <v>8</v>
      </c>
      <c r="N93" s="333">
        <f>IFERROR(IF(L93*M93=0,"",L93*M93),"")</f>
        <v/>
      </c>
      <c r="O93" s="334" t="n"/>
      <c r="P93" s="332">
        <f>IFERROR(VLOOKUP(TEXT(O93,"0"),CONDUCTORES!$A$3:$G$100,2,0),"")</f>
        <v/>
      </c>
      <c r="Q93" s="332">
        <f>IFERROR(VLOOKUP(TEXT(O93,"0"),CONDUCTORES!$A$3:$H$100,6,0),"")</f>
        <v/>
      </c>
      <c r="R93" s="336" t="n">
        <v>45790</v>
      </c>
      <c r="S93" s="305" t="inlineStr">
        <is>
          <t>R103,K359</t>
        </is>
      </c>
      <c r="T93" s="241" t="n"/>
      <c r="U93" s="336" t="n">
        <v>45758</v>
      </c>
      <c r="V93" s="241" t="inlineStr">
        <is>
          <t>OFICIO 1957-2025</t>
        </is>
      </c>
      <c r="W93" s="241" t="inlineStr">
        <is>
          <t>0000108- ADENDA N°001-2025 DRSA/OEA-O.ABAST</t>
        </is>
      </c>
      <c r="X93" s="241" t="inlineStr">
        <is>
          <t>256.0</t>
        </is>
      </c>
      <c r="Y93" s="280" t="n"/>
    </row>
    <row r="94" ht="15.75" customHeight="1" s="195">
      <c r="A94" s="301" t="n">
        <v>53</v>
      </c>
      <c r="B94" s="302" t="inlineStr">
        <is>
          <t>0000069</t>
        </is>
      </c>
      <c r="C94" s="301" t="inlineStr">
        <is>
          <t>REGION</t>
        </is>
      </c>
      <c r="D94" s="302" t="inlineStr">
        <is>
          <t>CAYAO CASAS ELSA MARILY</t>
        </is>
      </c>
      <c r="E94" s="301" t="inlineStr">
        <is>
          <t>DNI</t>
        </is>
      </c>
      <c r="F94" s="301" t="inlineStr">
        <is>
          <t>60322673</t>
        </is>
      </c>
      <c r="G94" s="331" t="n">
        <v>45720</v>
      </c>
      <c r="H94" s="301" t="inlineStr">
        <is>
          <t>4932</t>
        </is>
      </c>
      <c r="I94" s="332">
        <f>IFERROR(VLOOKUP(TEXT(H94,"0"),IPRESS!$A$3:$B$212,2,0),"")</f>
        <v/>
      </c>
      <c r="J94" s="301" t="inlineStr">
        <is>
          <t>4838</t>
        </is>
      </c>
      <c r="K94" s="332">
        <f>IFERROR(VLOOKUP(TEXT(O94,"0"),CONDUCTORES!$A$3:$G$100,7,0),"")</f>
        <v/>
      </c>
      <c r="L94" s="245" t="n">
        <v>18.18</v>
      </c>
      <c r="M94" s="245" t="n">
        <v>8</v>
      </c>
      <c r="N94" s="333">
        <f>IFERROR(IF(L94*M94=0,"",L94*M94),"")</f>
        <v/>
      </c>
      <c r="O94" s="280" t="n"/>
      <c r="P94" s="332">
        <f>IFERROR(VLOOKUP(TEXT(O94,"0"),CONDUCTORES!$A$3:$G$100,2,0),"")</f>
        <v/>
      </c>
      <c r="Q94" s="332">
        <f>IFERROR(VLOOKUP(TEXT(O94,"0"),CONDUCTORES!$A$3:$H$100,6,0),"")</f>
        <v/>
      </c>
      <c r="R94" s="331" t="n">
        <v>45790</v>
      </c>
      <c r="S94" s="302" t="inlineStr">
        <is>
          <t>Z359,O630</t>
        </is>
      </c>
      <c r="T94" s="301" t="n"/>
      <c r="U94" s="331" t="n">
        <v>45758</v>
      </c>
      <c r="V94" s="301" t="inlineStr">
        <is>
          <t>OFICIO 1957-2025</t>
        </is>
      </c>
      <c r="W94" s="301" t="inlineStr">
        <is>
          <t>0000108- ADENDA N°001-2025 DRSA/OEA-O.ABAST</t>
        </is>
      </c>
      <c r="X94" s="301" t="inlineStr">
        <is>
          <t>256.0</t>
        </is>
      </c>
      <c r="Y94" s="280" t="n"/>
    </row>
    <row r="95" ht="15.75" customHeight="1" s="195">
      <c r="A95" s="241" t="n">
        <v>54</v>
      </c>
      <c r="B95" s="305" t="inlineStr">
        <is>
          <t>0000070</t>
        </is>
      </c>
      <c r="C95" s="241" t="inlineStr">
        <is>
          <t>REGION</t>
        </is>
      </c>
      <c r="D95" s="305" t="inlineStr">
        <is>
          <t>BRIONES SANCHEZ CELINDA</t>
        </is>
      </c>
      <c r="E95" s="241" t="inlineStr">
        <is>
          <t>DNI</t>
        </is>
      </c>
      <c r="F95" s="241" t="inlineStr">
        <is>
          <t>33741668</t>
        </is>
      </c>
      <c r="G95" s="336" t="n">
        <v>45723</v>
      </c>
      <c r="H95" s="241" t="inlineStr">
        <is>
          <t>4932</t>
        </is>
      </c>
      <c r="I95" s="332">
        <f>IFERROR(VLOOKUP(TEXT(H95,"0"),IPRESS!$A$3:$B$212,2,0),"")</f>
        <v/>
      </c>
      <c r="J95" s="241" t="inlineStr">
        <is>
          <t>4838</t>
        </is>
      </c>
      <c r="K95" s="332">
        <f>IFERROR(VLOOKUP(TEXT(O95,"0"),CONDUCTORES!$A$3:$G$100,7,0),"")</f>
        <v/>
      </c>
      <c r="L95" s="239" t="n">
        <v>18.18</v>
      </c>
      <c r="M95" s="239" t="n">
        <v>8</v>
      </c>
      <c r="N95" s="333">
        <f>IFERROR(IF(L95*M95=0,"",L95*M95),"")</f>
        <v/>
      </c>
      <c r="O95" s="334" t="n"/>
      <c r="P95" s="332">
        <f>IFERROR(VLOOKUP(TEXT(O95,"0"),CONDUCTORES!$A$3:$G$100,2,0),"")</f>
        <v/>
      </c>
      <c r="Q95" s="332">
        <f>IFERROR(VLOOKUP(TEXT(O95,"0"),CONDUCTORES!$A$3:$H$100,6,0),"")</f>
        <v/>
      </c>
      <c r="R95" s="336" t="n">
        <v>45790</v>
      </c>
      <c r="S95" s="305" t="inlineStr">
        <is>
          <t>J960,J189,J459</t>
        </is>
      </c>
      <c r="T95" s="241" t="n"/>
      <c r="U95" s="336" t="n">
        <v>45758</v>
      </c>
      <c r="V95" s="241" t="inlineStr">
        <is>
          <t>OFICIO 1957-2025</t>
        </is>
      </c>
      <c r="W95" s="241" t="inlineStr">
        <is>
          <t>0000108- ADENDA N°001-2025 DRSA/OEA-O.ABAST</t>
        </is>
      </c>
      <c r="X95" s="241" t="inlineStr">
        <is>
          <t>256.0</t>
        </is>
      </c>
      <c r="Y95" s="280" t="n"/>
    </row>
    <row r="96" ht="15.75" customHeight="1" s="195">
      <c r="A96" s="301" t="n">
        <v>55</v>
      </c>
      <c r="B96" s="302" t="inlineStr">
        <is>
          <t>0000071</t>
        </is>
      </c>
      <c r="C96" s="301" t="inlineStr">
        <is>
          <t>REGION</t>
        </is>
      </c>
      <c r="D96" s="302" t="inlineStr">
        <is>
          <t>INGA CULQUI JHERLIN</t>
        </is>
      </c>
      <c r="E96" s="301" t="inlineStr">
        <is>
          <t>DNI</t>
        </is>
      </c>
      <c r="F96" s="301" t="inlineStr">
        <is>
          <t>75658553</t>
        </is>
      </c>
      <c r="G96" s="331" t="n">
        <v>45724</v>
      </c>
      <c r="H96" s="301" t="inlineStr">
        <is>
          <t>4932</t>
        </is>
      </c>
      <c r="I96" s="332">
        <f>IFERROR(VLOOKUP(TEXT(H96,"0"),IPRESS!$A$3:$B$212,2,0),"")</f>
        <v/>
      </c>
      <c r="J96" s="301" t="inlineStr">
        <is>
          <t>4838</t>
        </is>
      </c>
      <c r="K96" s="332">
        <f>IFERROR(VLOOKUP(TEXT(O96,"0"),CONDUCTORES!$A$3:$G$100,7,0),"")</f>
        <v/>
      </c>
      <c r="L96" s="245" t="n">
        <v>18.18</v>
      </c>
      <c r="M96" s="245" t="n">
        <v>8</v>
      </c>
      <c r="N96" s="333">
        <f>IFERROR(IF(L96*M96=0,"",L96*M96),"")</f>
        <v/>
      </c>
      <c r="O96" s="280" t="n"/>
      <c r="P96" s="332">
        <f>IFERROR(VLOOKUP(TEXT(O96,"0"),CONDUCTORES!$A$3:$G$100,2,0),"")</f>
        <v/>
      </c>
      <c r="Q96" s="332">
        <f>IFERROR(VLOOKUP(TEXT(O96,"0"),CONDUCTORES!$A$3:$H$100,6,0),"")</f>
        <v/>
      </c>
      <c r="R96" s="331" t="n">
        <v>45790</v>
      </c>
      <c r="S96" s="302" t="inlineStr">
        <is>
          <t>K566</t>
        </is>
      </c>
      <c r="T96" s="301" t="n"/>
      <c r="U96" s="331" t="n">
        <v>45758</v>
      </c>
      <c r="V96" s="301" t="inlineStr">
        <is>
          <t>OFICIO 1957-2025</t>
        </is>
      </c>
      <c r="W96" s="301" t="inlineStr">
        <is>
          <t>0000108- ADENDA N°001-2025 DRSA/OEA-O.ABAST</t>
        </is>
      </c>
      <c r="X96" s="301" t="inlineStr">
        <is>
          <t>256.0</t>
        </is>
      </c>
      <c r="Y96" s="280" t="n"/>
    </row>
    <row r="97" ht="15.75" customHeight="1" s="195">
      <c r="A97" s="241" t="n">
        <v>53</v>
      </c>
      <c r="B97" s="305" t="inlineStr">
        <is>
          <t>0000072</t>
        </is>
      </c>
      <c r="C97" s="241" t="inlineStr">
        <is>
          <t>REGION</t>
        </is>
      </c>
      <c r="D97" s="305" t="inlineStr">
        <is>
          <t>VALLE RUIZ MEREDITH LEXIE</t>
        </is>
      </c>
      <c r="E97" s="241" t="inlineStr">
        <is>
          <t>DNI</t>
        </is>
      </c>
      <c r="F97" s="241" t="inlineStr">
        <is>
          <t>92806065</t>
        </is>
      </c>
      <c r="G97" s="336" t="n">
        <v>45730</v>
      </c>
      <c r="H97" s="241" t="inlineStr">
        <is>
          <t>4932</t>
        </is>
      </c>
      <c r="I97" s="332">
        <f>IFERROR(VLOOKUP(TEXT(H97,"0"),IPRESS!$A$3:$B$212,2,0),"")</f>
        <v/>
      </c>
      <c r="J97" s="241" t="inlineStr">
        <is>
          <t>4838</t>
        </is>
      </c>
      <c r="K97" s="332">
        <f>IFERROR(VLOOKUP(TEXT(O97,"0"),CONDUCTORES!$A$3:$G$100,7,0),"")</f>
        <v/>
      </c>
      <c r="L97" s="239" t="n">
        <v>18.18</v>
      </c>
      <c r="M97" s="239" t="n">
        <v>8</v>
      </c>
      <c r="N97" s="333">
        <f>IFERROR(IF(L97*M97=0,"",L97*M97),"")</f>
        <v/>
      </c>
      <c r="O97" s="334" t="n"/>
      <c r="P97" s="332">
        <f>IFERROR(VLOOKUP(TEXT(O97,"0"),CONDUCTORES!$A$3:$G$100,2,0),"")</f>
        <v/>
      </c>
      <c r="Q97" s="332">
        <f>IFERROR(VLOOKUP(TEXT(O97,"0"),CONDUCTORES!$A$3:$H$100,6,0),"")</f>
        <v/>
      </c>
      <c r="R97" s="336" t="n">
        <v>45790</v>
      </c>
      <c r="S97" s="305" t="inlineStr">
        <is>
          <t>S009,S069,R11X</t>
        </is>
      </c>
      <c r="T97" s="241" t="n"/>
      <c r="U97" s="336" t="n">
        <v>45758</v>
      </c>
      <c r="V97" s="241" t="inlineStr">
        <is>
          <t>OFICIO 1957-2025</t>
        </is>
      </c>
      <c r="W97" s="241" t="inlineStr">
        <is>
          <t>0000108- ADENDA N°001-2025 DRSA/OEA-O.ABAST</t>
        </is>
      </c>
      <c r="X97" s="241" t="inlineStr">
        <is>
          <t>256.0</t>
        </is>
      </c>
      <c r="Y97" s="280" t="n"/>
    </row>
    <row r="98" ht="15.75" customHeight="1" s="195">
      <c r="A98" s="301" t="n">
        <v>54</v>
      </c>
      <c r="B98" s="302" t="inlineStr">
        <is>
          <t>0000073</t>
        </is>
      </c>
      <c r="C98" s="301" t="inlineStr">
        <is>
          <t>REGION</t>
        </is>
      </c>
      <c r="D98" s="302" t="inlineStr">
        <is>
          <t>VALLE TIRADO CRISTOFER ADRIAN</t>
        </is>
      </c>
      <c r="E98" s="301" t="inlineStr">
        <is>
          <t>DNI</t>
        </is>
      </c>
      <c r="F98" s="301" t="inlineStr">
        <is>
          <t>81032154</t>
        </is>
      </c>
      <c r="G98" s="331" t="n">
        <v>45735</v>
      </c>
      <c r="H98" s="301" t="inlineStr">
        <is>
          <t>4932</t>
        </is>
      </c>
      <c r="I98" s="332">
        <f>IFERROR(VLOOKUP(TEXT(H98,"0"),IPRESS!$A$3:$B$212,2,0),"")</f>
        <v/>
      </c>
      <c r="J98" s="301" t="inlineStr">
        <is>
          <t>4838</t>
        </is>
      </c>
      <c r="K98" s="332">
        <f>IFERROR(VLOOKUP(TEXT(O98,"0"),CONDUCTORES!$A$3:$G$100,7,0),"")</f>
        <v/>
      </c>
      <c r="L98" s="245" t="n">
        <v>18.18</v>
      </c>
      <c r="M98" s="245" t="n">
        <v>8</v>
      </c>
      <c r="N98" s="333">
        <f>IFERROR(IF(L98*M98=0,"",L98*M98),"")</f>
        <v/>
      </c>
      <c r="O98" s="280" t="n"/>
      <c r="P98" s="332">
        <f>IFERROR(VLOOKUP(TEXT(O98,"0"),CONDUCTORES!$A$3:$G$100,2,0),"")</f>
        <v/>
      </c>
      <c r="Q98" s="332">
        <f>IFERROR(VLOOKUP(TEXT(O98,"0"),CONDUCTORES!$A$3:$H$100,6,0),"")</f>
        <v/>
      </c>
      <c r="R98" s="331" t="n">
        <v>45790</v>
      </c>
      <c r="S98" s="302" t="inlineStr">
        <is>
          <t>K37X,N390</t>
        </is>
      </c>
      <c r="T98" s="301" t="n"/>
      <c r="U98" s="331" t="n">
        <v>45768</v>
      </c>
      <c r="V98" s="301" t="inlineStr">
        <is>
          <t>OFICIO 1957-2025</t>
        </is>
      </c>
      <c r="W98" s="301" t="inlineStr">
        <is>
          <t>0000108- ADENDA N°001-2025 DRSA/OEA-O.ABAST</t>
        </is>
      </c>
      <c r="X98" s="301" t="inlineStr">
        <is>
          <t>256.0</t>
        </is>
      </c>
      <c r="Y98" s="280" t="n"/>
    </row>
    <row r="99" ht="15.75" customHeight="1" s="195">
      <c r="A99" s="241" t="n">
        <v>55</v>
      </c>
      <c r="B99" s="305" t="inlineStr">
        <is>
          <t>0000074</t>
        </is>
      </c>
      <c r="C99" s="241" t="inlineStr">
        <is>
          <t>REGION</t>
        </is>
      </c>
      <c r="D99" s="305" t="inlineStr">
        <is>
          <t>DELGADO PALOMINO VICTOR JUNIOR</t>
        </is>
      </c>
      <c r="E99" s="241" t="inlineStr">
        <is>
          <t>DNI</t>
        </is>
      </c>
      <c r="F99" s="241" t="inlineStr">
        <is>
          <t>63267646</t>
        </is>
      </c>
      <c r="G99" s="336" t="n">
        <v>45736</v>
      </c>
      <c r="H99" s="241" t="inlineStr">
        <is>
          <t>4932</t>
        </is>
      </c>
      <c r="I99" s="332">
        <f>IFERROR(VLOOKUP(TEXT(H99,"0"),IPRESS!$A$3:$B$212,2,0),"")</f>
        <v/>
      </c>
      <c r="J99" s="241" t="inlineStr">
        <is>
          <t>4838</t>
        </is>
      </c>
      <c r="K99" s="332">
        <f>IFERROR(VLOOKUP(TEXT(O99,"0"),CONDUCTORES!$A$3:$G$100,7,0),"")</f>
        <v/>
      </c>
      <c r="L99" s="239" t="n">
        <v>18.18</v>
      </c>
      <c r="M99" s="239" t="n">
        <v>8</v>
      </c>
      <c r="N99" s="333">
        <f>IFERROR(IF(L99*M99=0,"",L99*M99),"")</f>
        <v/>
      </c>
      <c r="O99" s="334" t="n"/>
      <c r="P99" s="332">
        <f>IFERROR(VLOOKUP(TEXT(O99,"0"),CONDUCTORES!$A$3:$G$100,2,0),"")</f>
        <v/>
      </c>
      <c r="Q99" s="332">
        <f>IFERROR(VLOOKUP(TEXT(O99,"0"),CONDUCTORES!$A$3:$H$100,6,0),"")</f>
        <v/>
      </c>
      <c r="R99" s="336" t="n">
        <v>45790</v>
      </c>
      <c r="S99" s="305" t="inlineStr">
        <is>
          <t>K37X</t>
        </is>
      </c>
      <c r="T99" s="241" t="n"/>
      <c r="U99" s="336" t="n">
        <v>45768</v>
      </c>
      <c r="V99" s="241" t="inlineStr">
        <is>
          <t>OFICIO 1957-2025</t>
        </is>
      </c>
      <c r="W99" s="241" t="inlineStr">
        <is>
          <t>0000108- ADENDA N°001-2025 DRSA/OEA-O.ABAST</t>
        </is>
      </c>
      <c r="X99" s="241" t="inlineStr">
        <is>
          <t>256.0</t>
        </is>
      </c>
      <c r="Y99" s="280" t="n"/>
    </row>
    <row r="100" ht="15.75" customHeight="1" s="195">
      <c r="A100" s="301" t="n">
        <v>56</v>
      </c>
      <c r="B100" s="302" t="inlineStr">
        <is>
          <t>0000075</t>
        </is>
      </c>
      <c r="C100" s="301" t="inlineStr">
        <is>
          <t>REGION</t>
        </is>
      </c>
      <c r="D100" s="302" t="inlineStr">
        <is>
          <t>ZAMORA DIAZ FLOR PALMIRA</t>
        </is>
      </c>
      <c r="E100" s="301" t="inlineStr">
        <is>
          <t>DNI</t>
        </is>
      </c>
      <c r="F100" s="301" t="inlineStr">
        <is>
          <t>48479216</t>
        </is>
      </c>
      <c r="G100" s="331" t="n">
        <v>45740</v>
      </c>
      <c r="H100" s="301" t="inlineStr">
        <is>
          <t>4932</t>
        </is>
      </c>
      <c r="I100" s="332">
        <f>IFERROR(VLOOKUP(TEXT(H100,"0"),IPRESS!$A$3:$B$212,2,0),"")</f>
        <v/>
      </c>
      <c r="J100" s="301" t="inlineStr">
        <is>
          <t>4838</t>
        </is>
      </c>
      <c r="K100" s="332">
        <f>IFERROR(VLOOKUP(TEXT(O100,"0"),CONDUCTORES!$A$3:$G$100,7,0),"")</f>
        <v/>
      </c>
      <c r="L100" s="245" t="n">
        <v>18.18</v>
      </c>
      <c r="M100" s="245" t="n">
        <v>8</v>
      </c>
      <c r="N100" s="333">
        <f>IFERROR(IF(L100*M100=0,"",L100*M100),"")</f>
        <v/>
      </c>
      <c r="O100" s="280" t="n"/>
      <c r="P100" s="332">
        <f>IFERROR(VLOOKUP(TEXT(O100,"0"),CONDUCTORES!$A$3:$G$100,2,0),"")</f>
        <v/>
      </c>
      <c r="Q100" s="332">
        <f>IFERROR(VLOOKUP(TEXT(O100,"0"),CONDUCTORES!$A$3:$H$100,6,0),"")</f>
        <v/>
      </c>
      <c r="R100" s="331" t="n">
        <v>45790</v>
      </c>
      <c r="S100" s="302" t="inlineStr">
        <is>
          <t>Z359,O429</t>
        </is>
      </c>
      <c r="T100" s="301" t="n"/>
      <c r="U100" s="331" t="n">
        <v>45772</v>
      </c>
      <c r="V100" s="301" t="inlineStr">
        <is>
          <t>OFICIO 1957-2025</t>
        </is>
      </c>
      <c r="W100" s="301" t="inlineStr">
        <is>
          <t>0000108- ADENDA N°001-2025 DRSA/OEA-O.ABAST</t>
        </is>
      </c>
      <c r="X100" s="301" t="inlineStr">
        <is>
          <t>256.0</t>
        </is>
      </c>
      <c r="Y100" s="280" t="n"/>
    </row>
    <row r="101" ht="15.75" customHeight="1" s="195">
      <c r="A101" s="241" t="n">
        <v>57</v>
      </c>
      <c r="B101" s="305" t="inlineStr">
        <is>
          <t>0000076</t>
        </is>
      </c>
      <c r="C101" s="241" t="inlineStr">
        <is>
          <t>REGION</t>
        </is>
      </c>
      <c r="D101" s="305" t="inlineStr">
        <is>
          <t>BAUTITA NUÑEZ JOSE NICOLAS</t>
        </is>
      </c>
      <c r="E101" s="241" t="inlineStr">
        <is>
          <t>DNI</t>
        </is>
      </c>
      <c r="F101" s="241" t="inlineStr">
        <is>
          <t>33673698</t>
        </is>
      </c>
      <c r="G101" s="336" t="n">
        <v>45742</v>
      </c>
      <c r="H101" s="241" t="inlineStr">
        <is>
          <t>4932</t>
        </is>
      </c>
      <c r="I101" s="332">
        <f>IFERROR(VLOOKUP(TEXT(H101,"0"),IPRESS!$A$3:$B$212,2,0),"")</f>
        <v/>
      </c>
      <c r="J101" s="241" t="inlineStr">
        <is>
          <t>4838</t>
        </is>
      </c>
      <c r="K101" s="332">
        <f>IFERROR(VLOOKUP(TEXT(O101,"0"),CONDUCTORES!$A$3:$G$100,7,0),"")</f>
        <v/>
      </c>
      <c r="L101" s="239" t="n">
        <v>18.18</v>
      </c>
      <c r="M101" s="239" t="n">
        <v>8</v>
      </c>
      <c r="N101" s="333">
        <f>IFERROR(IF(L101*M101=0,"",L101*M101),"")</f>
        <v/>
      </c>
      <c r="O101" s="334" t="n"/>
      <c r="P101" s="332">
        <f>IFERROR(VLOOKUP(TEXT(O101,"0"),CONDUCTORES!$A$3:$G$100,2,0),"")</f>
        <v/>
      </c>
      <c r="Q101" s="332">
        <f>IFERROR(VLOOKUP(TEXT(O101,"0"),CONDUCTORES!$A$3:$H$100,6,0),"")</f>
        <v/>
      </c>
      <c r="R101" s="336" t="n">
        <v>45790</v>
      </c>
      <c r="S101" s="305" t="inlineStr">
        <is>
          <t>A010,K359</t>
        </is>
      </c>
      <c r="T101" s="241" t="n"/>
      <c r="U101" s="336" t="n">
        <v>45772</v>
      </c>
      <c r="V101" s="241" t="inlineStr">
        <is>
          <t>OFICIO 1957-2025</t>
        </is>
      </c>
      <c r="W101" s="241" t="inlineStr">
        <is>
          <t>0000108- ADENDA N°001-2025 DRSA/OEA-O.ABAST</t>
        </is>
      </c>
      <c r="X101" s="241" t="inlineStr">
        <is>
          <t>256.0</t>
        </is>
      </c>
      <c r="Y101" s="280" t="n"/>
    </row>
    <row r="102" ht="15.75" customHeight="1" s="195">
      <c r="A102" s="301" t="n">
        <v>58</v>
      </c>
      <c r="B102" s="302" t="inlineStr">
        <is>
          <t>0000002</t>
        </is>
      </c>
      <c r="C102" s="301" t="inlineStr">
        <is>
          <t>REGION</t>
        </is>
      </c>
      <c r="D102" s="302" t="inlineStr">
        <is>
          <t>CULQUI HUAMAN PAULINO</t>
        </is>
      </c>
      <c r="E102" s="301" t="inlineStr">
        <is>
          <t>DNI</t>
        </is>
      </c>
      <c r="F102" s="301" t="inlineStr">
        <is>
          <t>33415455</t>
        </is>
      </c>
      <c r="G102" s="331" t="n">
        <v>45730</v>
      </c>
      <c r="H102" s="301" t="inlineStr">
        <is>
          <t>4906</t>
        </is>
      </c>
      <c r="I102" s="332">
        <f>IFERROR(VLOOKUP(TEXT(H102,"0"),IPRESS!$A$3:$B$212,2,0),"")</f>
        <v/>
      </c>
      <c r="J102" s="301" t="inlineStr">
        <is>
          <t>4838</t>
        </is>
      </c>
      <c r="K102" s="332">
        <f>IFERROR(VLOOKUP(TEXT(O102,"0"),CONDUCTORES!$A$3:$G$100,7,0),"")</f>
        <v/>
      </c>
      <c r="L102" s="245" t="n">
        <v>18.18</v>
      </c>
      <c r="M102" s="245" t="n">
        <v>8</v>
      </c>
      <c r="N102" s="333">
        <f>IFERROR(IF(L102*M102=0,"",L102*M102),"")</f>
        <v/>
      </c>
      <c r="O102" s="280" t="n"/>
      <c r="P102" s="332">
        <f>IFERROR(VLOOKUP(TEXT(O102,"0"),CONDUCTORES!$A$3:$G$100,2,0),"")</f>
        <v/>
      </c>
      <c r="Q102" s="332">
        <f>IFERROR(VLOOKUP(TEXT(O102,"0"),CONDUCTORES!$A$3:$H$100,6,0),"")</f>
        <v/>
      </c>
      <c r="R102" s="331" t="n">
        <v>45828</v>
      </c>
      <c r="S102" s="302" t="inlineStr">
        <is>
          <t>K566</t>
        </is>
      </c>
      <c r="T102" s="301" t="n"/>
      <c r="U102" s="331" t="n">
        <v>45768</v>
      </c>
      <c r="V102" s="301" t="n"/>
      <c r="W102" s="301" t="n"/>
      <c r="X102" s="301" t="n"/>
      <c r="Y102" s="280" t="n"/>
    </row>
    <row r="103" ht="15.75" customHeight="1" s="195">
      <c r="A103" s="337" t="n">
        <v>59</v>
      </c>
      <c r="B103" s="338" t="inlineStr">
        <is>
          <t>0000014</t>
        </is>
      </c>
      <c r="C103" s="337" t="inlineStr">
        <is>
          <t>REGION</t>
        </is>
      </c>
      <c r="D103" s="338" t="inlineStr">
        <is>
          <t>ALVA ROJAS ARIANA SOFIA</t>
        </is>
      </c>
      <c r="E103" s="337" t="inlineStr">
        <is>
          <t>DNI</t>
        </is>
      </c>
      <c r="F103" s="337" t="inlineStr">
        <is>
          <t>79550024</t>
        </is>
      </c>
      <c r="G103" s="339" t="n">
        <v>45719</v>
      </c>
      <c r="H103" s="337" t="inlineStr">
        <is>
          <t>4913</t>
        </is>
      </c>
      <c r="I103" s="332">
        <f>IFERROR(VLOOKUP(TEXT(H103,"0"),IPRESS!$A$3:$B$212,2,0),"")</f>
        <v/>
      </c>
      <c r="J103" s="337" t="inlineStr">
        <is>
          <t>5125</t>
        </is>
      </c>
      <c r="K103" s="332">
        <f>IFERROR(VLOOKUP(TEXT(O103,"0"),CONDUCTORES!$A$3:$G$100,7,0),"")</f>
        <v/>
      </c>
      <c r="L103" s="340" t="n">
        <v>17.95</v>
      </c>
      <c r="M103" s="340" t="n">
        <v>14</v>
      </c>
      <c r="N103" s="333">
        <f>IFERROR(IF(L103*M103=0,"",L103*M103),"")</f>
        <v/>
      </c>
      <c r="O103" s="334" t="n"/>
      <c r="P103" s="332">
        <f>IFERROR(VLOOKUP(TEXT(O103,"0"),CONDUCTORES!$A$3:$G$100,2,0),"")</f>
        <v/>
      </c>
      <c r="Q103" s="332">
        <f>IFERROR(VLOOKUP(TEXT(O103,"0"),CONDUCTORES!$A$3:$H$100,6,0),"")</f>
        <v/>
      </c>
      <c r="R103" s="341" t="inlineStr">
        <is>
          <t>ENTREGADO 22/05/2025</t>
        </is>
      </c>
      <c r="S103" s="338" t="inlineStr">
        <is>
          <t>K359</t>
        </is>
      </c>
      <c r="T103" s="337" t="n"/>
      <c r="U103" s="339" t="n">
        <v>45731</v>
      </c>
      <c r="V103" s="337" t="n"/>
      <c r="W103" s="337" t="n"/>
      <c r="X103" s="337" t="n"/>
      <c r="Y103" s="280" t="n"/>
    </row>
    <row r="104" ht="15.75" customHeight="1" s="195">
      <c r="A104" s="337" t="n">
        <v>57</v>
      </c>
      <c r="B104" s="338" t="inlineStr">
        <is>
          <t>0000015</t>
        </is>
      </c>
      <c r="C104" s="337" t="inlineStr">
        <is>
          <t>REGION</t>
        </is>
      </c>
      <c r="D104" s="338" t="inlineStr">
        <is>
          <t>VALERIN VILCA BERNARDINA</t>
        </is>
      </c>
      <c r="E104" s="337" t="inlineStr">
        <is>
          <t>DNI</t>
        </is>
      </c>
      <c r="F104" s="337" t="inlineStr">
        <is>
          <t>45884853</t>
        </is>
      </c>
      <c r="G104" s="339" t="n">
        <v>45744</v>
      </c>
      <c r="H104" s="337" t="inlineStr">
        <is>
          <t>4913</t>
        </is>
      </c>
      <c r="I104" s="332">
        <f>IFERROR(VLOOKUP(TEXT(H104,"0"),IPRESS!$A$3:$B$212,2,0),"")</f>
        <v/>
      </c>
      <c r="J104" s="337" t="inlineStr">
        <is>
          <t>4922</t>
        </is>
      </c>
      <c r="K104" s="332">
        <f>IFERROR(VLOOKUP(TEXT(O104,"0"),CONDUCTORES!$A$3:$G$100,7,0),"")</f>
        <v/>
      </c>
      <c r="L104" s="340" t="n">
        <v>17.95</v>
      </c>
      <c r="M104" s="340" t="n">
        <v>20</v>
      </c>
      <c r="N104" s="333">
        <f>IFERROR(IF(L104*M104=0,"",L104*M104),"")</f>
        <v/>
      </c>
      <c r="O104" s="280" t="n"/>
      <c r="P104" s="332">
        <f>IFERROR(VLOOKUP(TEXT(O104,"0"),CONDUCTORES!$A$3:$G$100,2,0),"")</f>
        <v/>
      </c>
      <c r="Q104" s="332">
        <f>IFERROR(VLOOKUP(TEXT(O104,"0"),CONDUCTORES!$A$3:$H$100,6,0),"")</f>
        <v/>
      </c>
      <c r="R104" s="341" t="inlineStr">
        <is>
          <t>ENTREGADO 22/05/2025</t>
        </is>
      </c>
      <c r="S104" s="338" t="inlineStr">
        <is>
          <t>K922</t>
        </is>
      </c>
      <c r="T104" s="337" t="n"/>
      <c r="U104" s="339" t="n">
        <v>45770</v>
      </c>
      <c r="V104" s="337" t="n"/>
      <c r="W104" s="337" t="n"/>
      <c r="X104" s="337" t="n"/>
      <c r="Y104" s="280" t="n"/>
    </row>
    <row r="105" ht="15.75" customHeight="1" s="195">
      <c r="A105" s="241" t="n">
        <v>58</v>
      </c>
      <c r="B105" s="305" t="inlineStr">
        <is>
          <t>0000011</t>
        </is>
      </c>
      <c r="C105" s="241" t="inlineStr">
        <is>
          <t>REGION</t>
        </is>
      </c>
      <c r="D105" s="305" t="inlineStr">
        <is>
          <t>DEL CASTILLO CAMPOJO MISAEL</t>
        </is>
      </c>
      <c r="E105" s="241" t="inlineStr">
        <is>
          <t>DNI</t>
        </is>
      </c>
      <c r="F105" s="241" t="inlineStr">
        <is>
          <t>80481496</t>
        </is>
      </c>
      <c r="G105" s="336" t="n">
        <v>45735</v>
      </c>
      <c r="H105" s="241" t="inlineStr">
        <is>
          <t>4844</t>
        </is>
      </c>
      <c r="I105" s="332">
        <f>IFERROR(VLOOKUP(TEXT(H105,"0"),IPRESS!$A$3:$B$212,2,0),"")</f>
        <v/>
      </c>
      <c r="J105" s="241" t="inlineStr">
        <is>
          <t>4838</t>
        </is>
      </c>
      <c r="K105" s="332">
        <f>IFERROR(VLOOKUP(TEXT(O105,"0"),CONDUCTORES!$A$3:$G$100,7,0),"")</f>
        <v/>
      </c>
      <c r="L105" s="239" t="n">
        <v>18.18</v>
      </c>
      <c r="M105" s="239" t="n">
        <v>20</v>
      </c>
      <c r="N105" s="333">
        <f>IFERROR(IF(L105*M105=0,"",L105*M105),"")</f>
        <v/>
      </c>
      <c r="O105" s="334" t="n"/>
      <c r="P105" s="332">
        <f>IFERROR(VLOOKUP(TEXT(O105,"0"),CONDUCTORES!$A$3:$G$100,2,0),"")</f>
        <v/>
      </c>
      <c r="Q105" s="332">
        <f>IFERROR(VLOOKUP(TEXT(O105,"0"),CONDUCTORES!$A$3:$H$100,6,0),"")</f>
        <v/>
      </c>
      <c r="R105" s="280" t="inlineStr">
        <is>
          <t>ATENDIDO 18/06/2025</t>
        </is>
      </c>
      <c r="S105" s="305" t="inlineStr">
        <is>
          <t>J189,J969</t>
        </is>
      </c>
      <c r="T105" s="241" t="n"/>
      <c r="U105" s="336" t="n">
        <v>45768</v>
      </c>
      <c r="V105" s="241" t="n"/>
      <c r="W105" s="241" t="n"/>
      <c r="X105" s="241" t="n"/>
      <c r="Y105" s="280" t="n"/>
    </row>
    <row r="106" ht="15.75" customHeight="1" s="195">
      <c r="A106" s="301" t="n">
        <v>59</v>
      </c>
      <c r="B106" s="302" t="inlineStr">
        <is>
          <t>00000009</t>
        </is>
      </c>
      <c r="C106" s="301" t="inlineStr">
        <is>
          <t>REGION</t>
        </is>
      </c>
      <c r="D106" s="302" t="inlineStr">
        <is>
          <t>RODRIGUEZ YOPLAC JOSE ASUNCION</t>
        </is>
      </c>
      <c r="E106" s="301" t="inlineStr">
        <is>
          <t>DNI</t>
        </is>
      </c>
      <c r="F106" s="301" t="inlineStr">
        <is>
          <t>80314906</t>
        </is>
      </c>
      <c r="G106" s="331" t="n">
        <v>45747</v>
      </c>
      <c r="H106" s="301" t="inlineStr">
        <is>
          <t>4888</t>
        </is>
      </c>
      <c r="I106" s="332">
        <f>IFERROR(VLOOKUP(TEXT(H106,"0"),IPRESS!$A$3:$B$212,2,0),"")</f>
        <v/>
      </c>
      <c r="J106" s="301" t="inlineStr">
        <is>
          <t>4838</t>
        </is>
      </c>
      <c r="K106" s="332">
        <f>IFERROR(VLOOKUP(TEXT(O106,"0"),CONDUCTORES!$A$3:$G$100,7,0),"")</f>
        <v/>
      </c>
      <c r="L106" s="245" t="n">
        <v>18.18</v>
      </c>
      <c r="M106" s="245" t="n">
        <v>10</v>
      </c>
      <c r="N106" s="333">
        <f>IFERROR(IF(L106*M106=0,"",L106*M106),"")</f>
        <v/>
      </c>
      <c r="O106" s="280" t="n"/>
      <c r="P106" s="332">
        <f>IFERROR(VLOOKUP(TEXT(O106,"0"),CONDUCTORES!$A$3:$G$100,2,0),"")</f>
        <v/>
      </c>
      <c r="Q106" s="332">
        <f>IFERROR(VLOOKUP(TEXT(O106,"0"),CONDUCTORES!$A$3:$H$100,6,0),"")</f>
        <v/>
      </c>
      <c r="R106" s="331" t="n">
        <v>45789</v>
      </c>
      <c r="S106" s="302" t="inlineStr">
        <is>
          <t>T600</t>
        </is>
      </c>
      <c r="T106" s="301" t="n"/>
      <c r="U106" s="331" t="n">
        <v>45776</v>
      </c>
      <c r="V106" s="301" t="inlineStr">
        <is>
          <t>OFICO  1937-2025</t>
        </is>
      </c>
      <c r="W106" s="301" t="inlineStr">
        <is>
          <t>0000108- ADENDA N°001-2025 DRSA/OEA-O.ABAST</t>
        </is>
      </c>
      <c r="X106" s="301" t="inlineStr">
        <is>
          <t>256.0</t>
        </is>
      </c>
      <c r="Y106" s="280" t="n"/>
    </row>
    <row r="107" ht="15.75" customHeight="1" s="195">
      <c r="A107" s="241" t="n">
        <v>60</v>
      </c>
      <c r="B107" s="305" t="inlineStr">
        <is>
          <t>0000014</t>
        </is>
      </c>
      <c r="C107" s="241" t="inlineStr">
        <is>
          <t>REGION</t>
        </is>
      </c>
      <c r="D107" s="305" t="inlineStr">
        <is>
          <t>TAFUR BAZAN EMELY ALEXANDRA</t>
        </is>
      </c>
      <c r="E107" s="241" t="inlineStr">
        <is>
          <t>DNI</t>
        </is>
      </c>
      <c r="F107" s="241" t="inlineStr">
        <is>
          <t>94059688</t>
        </is>
      </c>
      <c r="G107" s="336" t="n">
        <v>45718</v>
      </c>
      <c r="H107" s="241" t="inlineStr">
        <is>
          <t>4887</t>
        </is>
      </c>
      <c r="I107" s="332">
        <f>IFERROR(VLOOKUP(TEXT(H107,"0"),IPRESS!$A$3:$B$212,2,0),"")</f>
        <v/>
      </c>
      <c r="J107" s="241" t="inlineStr">
        <is>
          <t>4838</t>
        </is>
      </c>
      <c r="K107" s="332">
        <f>IFERROR(VLOOKUP(TEXT(O107,"0"),CONDUCTORES!$A$3:$G$100,7,0),"")</f>
        <v/>
      </c>
      <c r="L107" s="239" t="n">
        <v>18.18</v>
      </c>
      <c r="M107" s="239" t="n">
        <v>10</v>
      </c>
      <c r="N107" s="333">
        <f>IFERROR(IF(L107*M107=0,"",L107*M107),"")</f>
        <v/>
      </c>
      <c r="O107" s="334" t="n"/>
      <c r="P107" s="332">
        <f>IFERROR(VLOOKUP(TEXT(O107,"0"),CONDUCTORES!$A$3:$G$100,2,0),"")</f>
        <v/>
      </c>
      <c r="Q107" s="332">
        <f>IFERROR(VLOOKUP(TEXT(O107,"0"),CONDUCTORES!$A$3:$H$100,6,0),"")</f>
        <v/>
      </c>
      <c r="R107" s="336" t="n">
        <v>45789</v>
      </c>
      <c r="S107" s="305" t="inlineStr">
        <is>
          <t>E162,A919</t>
        </is>
      </c>
      <c r="T107" s="241" t="n"/>
      <c r="U107" s="336" t="n">
        <v>45744</v>
      </c>
      <c r="V107" s="241" t="inlineStr">
        <is>
          <t>OFICO  1937-2025</t>
        </is>
      </c>
      <c r="W107" s="241" t="inlineStr">
        <is>
          <t>0000108- ADENDA N°001-2025 DRSA/OEA-O.ABAST</t>
        </is>
      </c>
      <c r="X107" s="241" t="inlineStr">
        <is>
          <t>256.0</t>
        </is>
      </c>
      <c r="Y107" s="280" t="n"/>
    </row>
    <row r="108" ht="15.75" customHeight="1" s="195">
      <c r="A108" s="301" t="n">
        <v>61</v>
      </c>
      <c r="B108" s="302" t="inlineStr">
        <is>
          <t>0000015</t>
        </is>
      </c>
      <c r="C108" s="301" t="inlineStr">
        <is>
          <t>REGION</t>
        </is>
      </c>
      <c r="D108" s="302" t="inlineStr">
        <is>
          <t>VAZQUEZ PEREZ RICARDO ALFONSO</t>
        </is>
      </c>
      <c r="E108" s="301" t="inlineStr">
        <is>
          <t>DNI</t>
        </is>
      </c>
      <c r="F108" s="301" t="inlineStr">
        <is>
          <t>33804054</t>
        </is>
      </c>
      <c r="G108" s="331" t="n">
        <v>45719</v>
      </c>
      <c r="H108" s="301" t="inlineStr">
        <is>
          <t>4887</t>
        </is>
      </c>
      <c r="I108" s="332">
        <f>IFERROR(VLOOKUP(TEXT(H108,"0"),IPRESS!$A$3:$B$212,2,0),"")</f>
        <v/>
      </c>
      <c r="J108" s="301" t="inlineStr">
        <is>
          <t>4838</t>
        </is>
      </c>
      <c r="K108" s="332">
        <f>IFERROR(VLOOKUP(TEXT(O108,"0"),CONDUCTORES!$A$3:$G$100,7,0),"")</f>
        <v/>
      </c>
      <c r="L108" s="245" t="n">
        <v>18.18</v>
      </c>
      <c r="M108" s="245" t="n">
        <v>10</v>
      </c>
      <c r="N108" s="333">
        <f>IFERROR(IF(L108*M108=0,"",L108*M108),"")</f>
        <v/>
      </c>
      <c r="O108" s="280" t="n"/>
      <c r="P108" s="332">
        <f>IFERROR(VLOOKUP(TEXT(O108,"0"),CONDUCTORES!$A$3:$G$100,2,0),"")</f>
        <v/>
      </c>
      <c r="Q108" s="332">
        <f>IFERROR(VLOOKUP(TEXT(O108,"0"),CONDUCTORES!$A$3:$H$100,6,0),"")</f>
        <v/>
      </c>
      <c r="R108" s="331" t="n">
        <v>45789</v>
      </c>
      <c r="S108" s="302" t="inlineStr">
        <is>
          <t>S599,S529</t>
        </is>
      </c>
      <c r="T108" s="301" t="n"/>
      <c r="U108" s="331" t="n">
        <v>45744</v>
      </c>
      <c r="V108" s="301" t="inlineStr">
        <is>
          <t>OFICO  1937-2025</t>
        </is>
      </c>
      <c r="W108" s="301" t="inlineStr">
        <is>
          <t>0000108- ADENDA N°001-2025 DRSA/OEA-O.ABAST</t>
        </is>
      </c>
      <c r="X108" s="301" t="inlineStr">
        <is>
          <t>256.0</t>
        </is>
      </c>
      <c r="Y108" s="280" t="n"/>
    </row>
    <row r="109" ht="15.75" customHeight="1" s="195">
      <c r="A109" s="241" t="n">
        <v>62</v>
      </c>
      <c r="B109" s="305" t="inlineStr">
        <is>
          <t>0000016</t>
        </is>
      </c>
      <c r="C109" s="241" t="inlineStr">
        <is>
          <t>REGION</t>
        </is>
      </c>
      <c r="D109" s="305" t="inlineStr">
        <is>
          <t>CHAUCA VELASQUEZ JULETH</t>
        </is>
      </c>
      <c r="E109" s="241" t="inlineStr">
        <is>
          <t>DNI</t>
        </is>
      </c>
      <c r="F109" s="241" t="inlineStr">
        <is>
          <t>44874521</t>
        </is>
      </c>
      <c r="G109" s="336" t="n">
        <v>45737</v>
      </c>
      <c r="H109" s="241" t="inlineStr">
        <is>
          <t>4887</t>
        </is>
      </c>
      <c r="I109" s="332">
        <f>IFERROR(VLOOKUP(TEXT(H109,"0"),IPRESS!$A$3:$B$212,2,0),"")</f>
        <v/>
      </c>
      <c r="J109" s="241" t="inlineStr">
        <is>
          <t>4838</t>
        </is>
      </c>
      <c r="K109" s="332">
        <f>IFERROR(VLOOKUP(TEXT(O109,"0"),CONDUCTORES!$A$3:$G$100,7,0),"")</f>
        <v/>
      </c>
      <c r="L109" s="239" t="n">
        <v>18.18</v>
      </c>
      <c r="M109" s="239" t="n">
        <v>10</v>
      </c>
      <c r="N109" s="333">
        <f>IFERROR(IF(L109*M109=0,"",L109*M109),"")</f>
        <v/>
      </c>
      <c r="O109" s="334" t="n"/>
      <c r="P109" s="332">
        <f>IFERROR(VLOOKUP(TEXT(O109,"0"),CONDUCTORES!$A$3:$G$100,2,0),"")</f>
        <v/>
      </c>
      <c r="Q109" s="332">
        <f>IFERROR(VLOOKUP(TEXT(O109,"0"),CONDUCTORES!$A$3:$H$100,6,0),"")</f>
        <v/>
      </c>
      <c r="R109" s="336" t="n">
        <v>45789</v>
      </c>
      <c r="S109" s="305" t="inlineStr">
        <is>
          <t>O429,O321,Z359</t>
        </is>
      </c>
      <c r="T109" s="241" t="n"/>
      <c r="U109" s="336" t="n">
        <v>45768</v>
      </c>
      <c r="V109" s="241" t="inlineStr">
        <is>
          <t>OFICO  1937-2025</t>
        </is>
      </c>
      <c r="W109" s="241" t="inlineStr">
        <is>
          <t>0000108- ADENDA N°001-2025 DRSA/OEA-O.ABAST</t>
        </is>
      </c>
      <c r="X109" s="241" t="inlineStr">
        <is>
          <t>256.0</t>
        </is>
      </c>
      <c r="Y109" s="280" t="n"/>
    </row>
    <row r="110" ht="15.75" customHeight="1" s="195">
      <c r="A110" s="301" t="n">
        <v>63</v>
      </c>
      <c r="B110" s="302" t="inlineStr">
        <is>
          <t>0000036</t>
        </is>
      </c>
      <c r="C110" s="301" t="inlineStr">
        <is>
          <t>REGION</t>
        </is>
      </c>
      <c r="D110" s="302" t="inlineStr">
        <is>
          <t>LOPEZ CRUZ DORALI</t>
        </is>
      </c>
      <c r="E110" s="301" t="inlineStr">
        <is>
          <t>DNI</t>
        </is>
      </c>
      <c r="F110" s="301" t="inlineStr">
        <is>
          <t>71785944</t>
        </is>
      </c>
      <c r="G110" s="331" t="n">
        <v>45722</v>
      </c>
      <c r="H110" s="301" t="inlineStr">
        <is>
          <t>4903</t>
        </is>
      </c>
      <c r="I110" s="332">
        <f>IFERROR(VLOOKUP(TEXT(H110,"0"),IPRESS!$A$3:$B$212,2,0),"")</f>
        <v/>
      </c>
      <c r="J110" s="301" t="inlineStr">
        <is>
          <t>4838</t>
        </is>
      </c>
      <c r="K110" s="332">
        <f>IFERROR(VLOOKUP(TEXT(O110,"0"),CONDUCTORES!$A$3:$G$100,7,0),"")</f>
        <v/>
      </c>
      <c r="L110" s="245" t="n">
        <v>18.18</v>
      </c>
      <c r="M110" s="245" t="n">
        <v>5</v>
      </c>
      <c r="N110" s="333">
        <f>IFERROR(IF(L110*M110=0,"",L110*M110),"")</f>
        <v/>
      </c>
      <c r="O110" s="280" t="n"/>
      <c r="P110" s="332">
        <f>IFERROR(VLOOKUP(TEXT(O110,"0"),CONDUCTORES!$A$3:$G$100,2,0),"")</f>
        <v/>
      </c>
      <c r="Q110" s="332">
        <f>IFERROR(VLOOKUP(TEXT(O110,"0"),CONDUCTORES!$A$3:$H$100,6,0),"")</f>
        <v/>
      </c>
      <c r="R110" s="334" t="inlineStr">
        <is>
          <t>14/05/2025</t>
        </is>
      </c>
      <c r="S110" s="302" t="inlineStr">
        <is>
          <t>R100,N209</t>
        </is>
      </c>
      <c r="T110" s="301" t="n"/>
      <c r="U110" s="331" t="n">
        <v>45747</v>
      </c>
      <c r="V110" s="301" t="inlineStr">
        <is>
          <t>OFICIO1971-2025</t>
        </is>
      </c>
      <c r="W110" s="301" t="inlineStr">
        <is>
          <t>0000108- ADENDA N°001-2025 DRSA/OEA-O.ABAST</t>
        </is>
      </c>
      <c r="X110" s="301" t="inlineStr">
        <is>
          <t>256.0</t>
        </is>
      </c>
      <c r="Y110" s="280" t="n"/>
    </row>
    <row r="111" ht="15.75" customHeight="1" s="195">
      <c r="A111" s="241" t="n">
        <v>61</v>
      </c>
      <c r="B111" s="305" t="inlineStr">
        <is>
          <t>0000037</t>
        </is>
      </c>
      <c r="C111" s="241" t="inlineStr">
        <is>
          <t>REGION</t>
        </is>
      </c>
      <c r="D111" s="305" t="inlineStr">
        <is>
          <t>MENDOZA DE MAICELO JUANA</t>
        </is>
      </c>
      <c r="E111" s="241" t="inlineStr">
        <is>
          <t>DNI</t>
        </is>
      </c>
      <c r="F111" s="241" t="inlineStr">
        <is>
          <t>33427046</t>
        </is>
      </c>
      <c r="G111" s="336" t="n">
        <v>45724</v>
      </c>
      <c r="H111" s="241" t="inlineStr">
        <is>
          <t>4903</t>
        </is>
      </c>
      <c r="I111" s="332">
        <f>IFERROR(VLOOKUP(TEXT(H111,"0"),IPRESS!$A$3:$B$212,2,0),"")</f>
        <v/>
      </c>
      <c r="J111" s="241" t="inlineStr">
        <is>
          <t>4838</t>
        </is>
      </c>
      <c r="K111" s="332">
        <f>IFERROR(VLOOKUP(TEXT(O111,"0"),CONDUCTORES!$A$3:$G$100,7,0),"")</f>
        <v/>
      </c>
      <c r="L111" s="239" t="n">
        <v>18.18</v>
      </c>
      <c r="M111" s="239" t="n">
        <v>5</v>
      </c>
      <c r="N111" s="333">
        <f>IFERROR(IF(L111*M111=0,"",L111*M111),"")</f>
        <v/>
      </c>
      <c r="O111" s="334" t="n"/>
      <c r="P111" s="332">
        <f>IFERROR(VLOOKUP(TEXT(O111,"0"),CONDUCTORES!$A$3:$G$100,2,0),"")</f>
        <v/>
      </c>
      <c r="Q111" s="332">
        <f>IFERROR(VLOOKUP(TEXT(O111,"0"),CONDUCTORES!$A$3:$H$100,6,0),"")</f>
        <v/>
      </c>
      <c r="R111" s="336" t="n">
        <v>45791</v>
      </c>
      <c r="S111" s="305" t="inlineStr">
        <is>
          <t>J969,R570,J189</t>
        </is>
      </c>
      <c r="T111" s="241" t="n"/>
      <c r="U111" s="336" t="n">
        <v>45747</v>
      </c>
      <c r="V111" s="241" t="inlineStr">
        <is>
          <t>OFICIO1971-2025</t>
        </is>
      </c>
      <c r="W111" s="241" t="inlineStr">
        <is>
          <t>0000108- ADENDA N°001-2025 DRSA/OEA-O.ABAST</t>
        </is>
      </c>
      <c r="X111" s="241" t="inlineStr">
        <is>
          <t>256.0</t>
        </is>
      </c>
      <c r="Y111" s="280" t="n"/>
    </row>
    <row r="112" ht="15.75" customHeight="1" s="195">
      <c r="A112" s="301" t="n">
        <v>62</v>
      </c>
      <c r="B112" s="302" t="inlineStr">
        <is>
          <t>0000038</t>
        </is>
      </c>
      <c r="C112" s="301" t="inlineStr">
        <is>
          <t>REGION</t>
        </is>
      </c>
      <c r="D112" s="302" t="inlineStr">
        <is>
          <t>SOPLIN CRUZ ANDY</t>
        </is>
      </c>
      <c r="E112" s="301" t="inlineStr">
        <is>
          <t>DNI</t>
        </is>
      </c>
      <c r="F112" s="301" t="inlineStr">
        <is>
          <t>72856097</t>
        </is>
      </c>
      <c r="G112" s="331" t="n">
        <v>45725</v>
      </c>
      <c r="H112" s="301" t="inlineStr">
        <is>
          <t>4903</t>
        </is>
      </c>
      <c r="I112" s="332">
        <f>IFERROR(VLOOKUP(TEXT(H112,"0"),IPRESS!$A$3:$B$212,2,0),"")</f>
        <v/>
      </c>
      <c r="J112" s="301" t="inlineStr">
        <is>
          <t>4903</t>
        </is>
      </c>
      <c r="K112" s="332">
        <f>IFERROR(VLOOKUP(TEXT(O112,"0"),CONDUCTORES!$A$3:$G$100,7,0),"")</f>
        <v/>
      </c>
      <c r="L112" s="245" t="n">
        <v>18.18</v>
      </c>
      <c r="M112" s="245" t="n">
        <v>5</v>
      </c>
      <c r="N112" s="333">
        <f>IFERROR(IF(L112*M112=0,"",L112*M112),"")</f>
        <v/>
      </c>
      <c r="O112" s="280" t="n"/>
      <c r="P112" s="332">
        <f>IFERROR(VLOOKUP(TEXT(O112,"0"),CONDUCTORES!$A$3:$G$100,2,0),"")</f>
        <v/>
      </c>
      <c r="Q112" s="332">
        <f>IFERROR(VLOOKUP(TEXT(O112,"0"),CONDUCTORES!$A$3:$H$100,6,0),"")</f>
        <v/>
      </c>
      <c r="R112" s="331" t="n">
        <v>45791</v>
      </c>
      <c r="S112" s="302" t="inlineStr">
        <is>
          <t>K808</t>
        </is>
      </c>
      <c r="T112" s="301" t="n"/>
      <c r="U112" s="331" t="n">
        <v>45749</v>
      </c>
      <c r="V112" s="301" t="inlineStr">
        <is>
          <t>OFICIO1971-2025</t>
        </is>
      </c>
      <c r="W112" s="301" t="inlineStr">
        <is>
          <t>0000108- ADENDA N°001-2025 DRSA/OEA-O.ABAST</t>
        </is>
      </c>
      <c r="X112" s="301" t="inlineStr">
        <is>
          <t>256.0</t>
        </is>
      </c>
      <c r="Y112" s="280" t="n"/>
    </row>
    <row r="113" ht="15.75" customHeight="1" s="195">
      <c r="A113" s="241" t="n">
        <v>63</v>
      </c>
      <c r="B113" s="305" t="inlineStr">
        <is>
          <t>0000039</t>
        </is>
      </c>
      <c r="C113" s="241" t="inlineStr">
        <is>
          <t>REGION</t>
        </is>
      </c>
      <c r="D113" s="305" t="inlineStr">
        <is>
          <t>HORNA VARGAS MATHEUS JHOULE</t>
        </is>
      </c>
      <c r="E113" s="241" t="inlineStr">
        <is>
          <t>DNI</t>
        </is>
      </c>
      <c r="F113" s="241" t="inlineStr">
        <is>
          <t>93724824</t>
        </is>
      </c>
      <c r="G113" s="336" t="n">
        <v>45727</v>
      </c>
      <c r="H113" s="241" t="inlineStr">
        <is>
          <t>4903</t>
        </is>
      </c>
      <c r="I113" s="332">
        <f>IFERROR(VLOOKUP(TEXT(H113,"0"),IPRESS!$A$3:$B$212,2,0),"")</f>
        <v/>
      </c>
      <c r="J113" s="241" t="inlineStr">
        <is>
          <t>4838</t>
        </is>
      </c>
      <c r="K113" s="332">
        <f>IFERROR(VLOOKUP(TEXT(O113,"0"),CONDUCTORES!$A$3:$G$100,7,0),"")</f>
        <v/>
      </c>
      <c r="L113" s="239" t="n">
        <v>18.18</v>
      </c>
      <c r="M113" s="239" t="n">
        <v>5</v>
      </c>
      <c r="N113" s="333">
        <f>IFERROR(IF(L113*M113=0,"",L113*M113),"")</f>
        <v/>
      </c>
      <c r="O113" s="334" t="n"/>
      <c r="P113" s="332">
        <f>IFERROR(VLOOKUP(TEXT(O113,"0"),CONDUCTORES!$A$3:$G$100,2,0),"")</f>
        <v/>
      </c>
      <c r="Q113" s="332">
        <f>IFERROR(VLOOKUP(TEXT(O113,"0"),CONDUCTORES!$A$3:$H$100,6,0),"")</f>
        <v/>
      </c>
      <c r="R113" s="336" t="n">
        <v>45791</v>
      </c>
      <c r="S113" s="305" t="inlineStr">
        <is>
          <t>J960,J159</t>
        </is>
      </c>
      <c r="T113" s="241" t="n"/>
      <c r="U113" s="336" t="n">
        <v>45756</v>
      </c>
      <c r="V113" s="241" t="inlineStr">
        <is>
          <t>OFICIO1971-2025</t>
        </is>
      </c>
      <c r="W113" s="241" t="inlineStr">
        <is>
          <t>0000108- ADENDA N°001-2025 DRSA/OEA-O.ABAST</t>
        </is>
      </c>
      <c r="X113" s="241" t="inlineStr">
        <is>
          <t>256.0</t>
        </is>
      </c>
      <c r="Y113" s="280" t="n"/>
    </row>
    <row r="114" ht="15.75" customHeight="1" s="195">
      <c r="A114" s="301" t="n">
        <v>64</v>
      </c>
      <c r="B114" s="302" t="inlineStr">
        <is>
          <t>0000040</t>
        </is>
      </c>
      <c r="C114" s="301" t="inlineStr">
        <is>
          <t>REGION</t>
        </is>
      </c>
      <c r="D114" s="302" t="inlineStr">
        <is>
          <t>ACOSTA REQUELME DAYRON JOSIEL</t>
        </is>
      </c>
      <c r="E114" s="301" t="inlineStr">
        <is>
          <t>DNI</t>
        </is>
      </c>
      <c r="F114" s="301" t="inlineStr">
        <is>
          <t>91267248</t>
        </is>
      </c>
      <c r="G114" s="331" t="n">
        <v>45727</v>
      </c>
      <c r="H114" s="301" t="inlineStr">
        <is>
          <t>4903</t>
        </is>
      </c>
      <c r="I114" s="332">
        <f>IFERROR(VLOOKUP(TEXT(H114,"0"),IPRESS!$A$3:$B$212,2,0),"")</f>
        <v/>
      </c>
      <c r="J114" s="301" t="inlineStr">
        <is>
          <t>4838</t>
        </is>
      </c>
      <c r="K114" s="332">
        <f>IFERROR(VLOOKUP(TEXT(O114,"0"),CONDUCTORES!$A$3:$G$100,7,0),"")</f>
        <v/>
      </c>
      <c r="L114" s="245" t="n">
        <v>18.18</v>
      </c>
      <c r="M114" s="245" t="n">
        <v>5</v>
      </c>
      <c r="N114" s="333">
        <f>IFERROR(IF(L114*M114=0,"",L114*M114),"")</f>
        <v/>
      </c>
      <c r="O114" s="280" t="n"/>
      <c r="P114" s="332">
        <f>IFERROR(VLOOKUP(TEXT(O114,"0"),CONDUCTORES!$A$3:$G$100,2,0),"")</f>
        <v/>
      </c>
      <c r="Q114" s="332">
        <f>IFERROR(VLOOKUP(TEXT(O114,"0"),CONDUCTORES!$A$3:$H$100,6,0),"")</f>
        <v/>
      </c>
      <c r="R114" s="331" t="n">
        <v>45791</v>
      </c>
      <c r="S114" s="302" t="inlineStr">
        <is>
          <t>J960,J160</t>
        </is>
      </c>
      <c r="T114" s="301" t="n"/>
      <c r="U114" s="331" t="n">
        <v>45756</v>
      </c>
      <c r="V114" s="301" t="inlineStr">
        <is>
          <t>OFICIO1971-2025</t>
        </is>
      </c>
      <c r="W114" s="301" t="inlineStr">
        <is>
          <t>0000108- ADENDA N°001-2025 DRSA/OEA-O.ABAST</t>
        </is>
      </c>
      <c r="X114" s="301" t="inlineStr">
        <is>
          <t>256.0</t>
        </is>
      </c>
      <c r="Y114" s="280" t="n"/>
    </row>
    <row r="115" ht="15.75" customHeight="1" s="195">
      <c r="A115" s="241" t="n">
        <v>65</v>
      </c>
      <c r="B115" s="305" t="inlineStr">
        <is>
          <t xml:space="preserve"> </t>
        </is>
      </c>
      <c r="C115" s="241" t="inlineStr">
        <is>
          <t>REGION</t>
        </is>
      </c>
      <c r="D115" s="305" t="inlineStr">
        <is>
          <t>LOPEZ CRUZ DORALI</t>
        </is>
      </c>
      <c r="E115" s="241" t="inlineStr">
        <is>
          <t>DNI</t>
        </is>
      </c>
      <c r="F115" s="241" t="inlineStr">
        <is>
          <t>71785944</t>
        </is>
      </c>
      <c r="G115" s="336" t="n">
        <v>45735</v>
      </c>
      <c r="H115" s="241" t="inlineStr">
        <is>
          <t>4903</t>
        </is>
      </c>
      <c r="I115" s="332">
        <f>IFERROR(VLOOKUP(TEXT(H115,"0"),IPRESS!$A$3:$B$212,2,0),"")</f>
        <v/>
      </c>
      <c r="J115" s="241" t="inlineStr">
        <is>
          <t>4838</t>
        </is>
      </c>
      <c r="K115" s="332">
        <f>IFERROR(VLOOKUP(TEXT(O115,"0"),CONDUCTORES!$A$3:$G$100,7,0),"")</f>
        <v/>
      </c>
      <c r="L115" s="239" t="n">
        <v>18.18</v>
      </c>
      <c r="M115" s="239" t="n">
        <v>5</v>
      </c>
      <c r="N115" s="333">
        <f>IFERROR(IF(L115*M115=0,"",L115*M115),"")</f>
        <v/>
      </c>
      <c r="O115" s="334" t="n"/>
      <c r="P115" s="332">
        <f>IFERROR(VLOOKUP(TEXT(O115,"0"),CONDUCTORES!$A$3:$G$100,2,0),"")</f>
        <v/>
      </c>
      <c r="Q115" s="332">
        <f>IFERROR(VLOOKUP(TEXT(O115,"0"),CONDUCTORES!$A$3:$H$100,6,0),"")</f>
        <v/>
      </c>
      <c r="R115" s="336" t="n">
        <v>45791</v>
      </c>
      <c r="S115" s="305" t="inlineStr">
        <is>
          <t>Z875</t>
        </is>
      </c>
      <c r="T115" s="241" t="n"/>
      <c r="U115" s="336" t="n">
        <v>45768</v>
      </c>
      <c r="V115" s="241" t="inlineStr">
        <is>
          <t>OFICIO1971-2025</t>
        </is>
      </c>
      <c r="W115" s="241" t="inlineStr">
        <is>
          <t>0000108- ADENDA N°001-2025 DRSA/OEA-O.ABAST</t>
        </is>
      </c>
      <c r="X115" s="241" t="inlineStr">
        <is>
          <t>256.0</t>
        </is>
      </c>
      <c r="Y115" s="280" t="n"/>
    </row>
    <row r="116" ht="15.75" customHeight="1" s="195">
      <c r="A116" s="301" t="n">
        <v>66</v>
      </c>
      <c r="B116" s="302" t="inlineStr">
        <is>
          <t>00000042</t>
        </is>
      </c>
      <c r="C116" s="301" t="inlineStr">
        <is>
          <t>REGION</t>
        </is>
      </c>
      <c r="D116" s="302" t="inlineStr">
        <is>
          <t>FERNANDEZ ZEPEDA KATHERIN</t>
        </is>
      </c>
      <c r="E116" s="301" t="inlineStr">
        <is>
          <t>DNI</t>
        </is>
      </c>
      <c r="F116" s="301" t="inlineStr">
        <is>
          <t>47188541</t>
        </is>
      </c>
      <c r="G116" s="331" t="n">
        <v>45746</v>
      </c>
      <c r="H116" s="301" t="inlineStr">
        <is>
          <t>4903</t>
        </is>
      </c>
      <c r="I116" s="332">
        <f>IFERROR(VLOOKUP(TEXT(H116,"0"),IPRESS!$A$3:$B$212,2,0),"")</f>
        <v/>
      </c>
      <c r="J116" s="301" t="inlineStr">
        <is>
          <t>4838</t>
        </is>
      </c>
      <c r="K116" s="332">
        <f>IFERROR(VLOOKUP(TEXT(O116,"0"),CONDUCTORES!$A$3:$G$100,7,0),"")</f>
        <v/>
      </c>
      <c r="L116" s="245" t="n">
        <v>18.18</v>
      </c>
      <c r="M116" s="245" t="n">
        <v>5</v>
      </c>
      <c r="N116" s="333">
        <f>IFERROR(IF(L116*M116=0,"",L116*M116),"")</f>
        <v/>
      </c>
      <c r="O116" s="280" t="n"/>
      <c r="P116" s="332">
        <f>IFERROR(VLOOKUP(TEXT(O116,"0"),CONDUCTORES!$A$3:$G$100,2,0),"")</f>
        <v/>
      </c>
      <c r="Q116" s="332">
        <f>IFERROR(VLOOKUP(TEXT(O116,"0"),CONDUCTORES!$A$3:$H$100,6,0),"")</f>
        <v/>
      </c>
      <c r="R116" s="331" t="n">
        <v>45791</v>
      </c>
      <c r="S116" s="302" t="inlineStr">
        <is>
          <t>O318</t>
        </is>
      </c>
      <c r="T116" s="301" t="n"/>
      <c r="U116" s="331" t="n">
        <v>45776</v>
      </c>
      <c r="V116" s="301" t="inlineStr">
        <is>
          <t>OFICIO1971-2025</t>
        </is>
      </c>
      <c r="W116" s="301" t="inlineStr">
        <is>
          <t>0000108- ADENDA N°001-2025 DRSA/OEA-O.ABAST</t>
        </is>
      </c>
      <c r="X116" s="301" t="inlineStr">
        <is>
          <t>256.0</t>
        </is>
      </c>
      <c r="Y116" s="280" t="n"/>
    </row>
    <row r="117" ht="15.75" customHeight="1" s="195">
      <c r="A117" s="241" t="n">
        <v>67</v>
      </c>
      <c r="B117" s="305" t="inlineStr">
        <is>
          <t>0000034</t>
        </is>
      </c>
      <c r="C117" s="241" t="inlineStr">
        <is>
          <t>REGION</t>
        </is>
      </c>
      <c r="D117" s="305" t="inlineStr">
        <is>
          <t>GUTIERREZ TRUJILLO ROSA LILIANA</t>
        </is>
      </c>
      <c r="E117" s="241" t="inlineStr">
        <is>
          <t>DNI</t>
        </is>
      </c>
      <c r="F117" s="241" t="inlineStr">
        <is>
          <t>71131461</t>
        </is>
      </c>
      <c r="G117" s="336" t="n">
        <v>45722</v>
      </c>
      <c r="H117" s="241" t="inlineStr">
        <is>
          <t>4904</t>
        </is>
      </c>
      <c r="I117" s="332">
        <f>IFERROR(VLOOKUP(TEXT(H117,"0"),IPRESS!$A$3:$B$212,2,0),"")</f>
        <v/>
      </c>
      <c r="J117" s="241" t="inlineStr">
        <is>
          <t>4838</t>
        </is>
      </c>
      <c r="K117" s="332">
        <f>IFERROR(VLOOKUP(TEXT(O117,"0"),CONDUCTORES!$A$3:$G$100,7,0),"")</f>
        <v/>
      </c>
      <c r="L117" s="239" t="n">
        <v>18.18</v>
      </c>
      <c r="M117" s="239" t="n">
        <v>6</v>
      </c>
      <c r="N117" s="333">
        <f>IFERROR(IF(L117*M117=0,"",L117*M117),"")</f>
        <v/>
      </c>
      <c r="O117" s="334" t="n"/>
      <c r="P117" s="332">
        <f>IFERROR(VLOOKUP(TEXT(O117,"0"),CONDUCTORES!$A$3:$G$100,2,0),"")</f>
        <v/>
      </c>
      <c r="Q117" s="332">
        <f>IFERROR(VLOOKUP(TEXT(O117,"0"),CONDUCTORES!$A$3:$H$100,6,0),"")</f>
        <v/>
      </c>
      <c r="R117" s="336" t="n">
        <v>45796</v>
      </c>
      <c r="S117" s="305" t="inlineStr">
        <is>
          <t>O730</t>
        </is>
      </c>
      <c r="T117" s="241" t="n"/>
      <c r="U117" s="336" t="n">
        <v>45756</v>
      </c>
      <c r="V117" s="241" t="n"/>
      <c r="W117" s="241" t="n"/>
      <c r="X117" s="241" t="n"/>
      <c r="Y117" s="280" t="n"/>
    </row>
    <row r="118" ht="15.75" customHeight="1" s="195">
      <c r="A118" s="301" t="n">
        <v>65</v>
      </c>
      <c r="B118" s="302" t="inlineStr">
        <is>
          <t>0000035</t>
        </is>
      </c>
      <c r="C118" s="301" t="inlineStr">
        <is>
          <t>REGION</t>
        </is>
      </c>
      <c r="D118" s="302" t="inlineStr">
        <is>
          <t>SAUCEDO VALQUI URIEL ALEXANDER</t>
        </is>
      </c>
      <c r="E118" s="301" t="inlineStr">
        <is>
          <t>DNI</t>
        </is>
      </c>
      <c r="F118" s="301" t="inlineStr">
        <is>
          <t>93805257</t>
        </is>
      </c>
      <c r="G118" s="331" t="n">
        <v>45728</v>
      </c>
      <c r="H118" s="301" t="inlineStr">
        <is>
          <t>4904</t>
        </is>
      </c>
      <c r="I118" s="332">
        <f>IFERROR(VLOOKUP(TEXT(H118,"0"),IPRESS!$A$3:$B$212,2,0),"")</f>
        <v/>
      </c>
      <c r="J118" s="301" t="inlineStr">
        <is>
          <t>4838</t>
        </is>
      </c>
      <c r="K118" s="332">
        <f>IFERROR(VLOOKUP(TEXT(O118,"0"),CONDUCTORES!$A$3:$G$100,7,0),"")</f>
        <v/>
      </c>
      <c r="L118" s="245" t="n">
        <v>18.18</v>
      </c>
      <c r="M118" s="245" t="n">
        <v>6</v>
      </c>
      <c r="N118" s="333">
        <f>IFERROR(IF(L118*M118=0,"",L118*M118),"")</f>
        <v/>
      </c>
      <c r="O118" s="280" t="n"/>
      <c r="P118" s="332">
        <f>IFERROR(VLOOKUP(TEXT(O118,"0"),CONDUCTORES!$A$3:$G$100,2,0),"")</f>
        <v/>
      </c>
      <c r="Q118" s="332">
        <f>IFERROR(VLOOKUP(TEXT(O118,"0"),CONDUCTORES!$A$3:$H$100,6,0),"")</f>
        <v/>
      </c>
      <c r="R118" s="331" t="n">
        <v>45796</v>
      </c>
      <c r="S118" s="302" t="inlineStr">
        <is>
          <t>J050</t>
        </is>
      </c>
      <c r="T118" s="301" t="n"/>
      <c r="U118" s="331" t="n">
        <v>45758</v>
      </c>
      <c r="V118" s="301" t="n"/>
      <c r="W118" s="301" t="n"/>
      <c r="X118" s="301" t="n"/>
      <c r="Y118" s="280" t="n"/>
    </row>
    <row r="119" ht="15.75" customHeight="1" s="195">
      <c r="A119" s="241" t="n">
        <v>66</v>
      </c>
      <c r="B119" s="305" t="inlineStr">
        <is>
          <t>0000036</t>
        </is>
      </c>
      <c r="C119" s="241" t="inlineStr">
        <is>
          <t>REGION</t>
        </is>
      </c>
      <c r="D119" s="305" t="inlineStr">
        <is>
          <t>ALVARADO ALVA MANUEL SANTIAGO</t>
        </is>
      </c>
      <c r="E119" s="241" t="inlineStr">
        <is>
          <t>DNI</t>
        </is>
      </c>
      <c r="F119" s="241" t="inlineStr">
        <is>
          <t>33806868</t>
        </is>
      </c>
      <c r="G119" s="336" t="n">
        <v>45736</v>
      </c>
      <c r="H119" s="241" t="inlineStr">
        <is>
          <t>4904</t>
        </is>
      </c>
      <c r="I119" s="332">
        <f>IFERROR(VLOOKUP(TEXT(H119,"0"),IPRESS!$A$3:$B$212,2,0),"")</f>
        <v/>
      </c>
      <c r="J119" s="241" t="inlineStr">
        <is>
          <t>4838</t>
        </is>
      </c>
      <c r="K119" s="332">
        <f>IFERROR(VLOOKUP(TEXT(O119,"0"),CONDUCTORES!$A$3:$G$100,7,0),"")</f>
        <v/>
      </c>
      <c r="L119" s="239" t="n">
        <v>18.18</v>
      </c>
      <c r="M119" s="239" t="n">
        <v>6</v>
      </c>
      <c r="N119" s="333">
        <f>IFERROR(IF(L119*M119=0,"",L119*M119),"")</f>
        <v/>
      </c>
      <c r="O119" s="334" t="n"/>
      <c r="P119" s="332">
        <f>IFERROR(VLOOKUP(TEXT(O119,"0"),CONDUCTORES!$A$3:$G$100,2,0),"")</f>
        <v/>
      </c>
      <c r="Q119" s="332">
        <f>IFERROR(VLOOKUP(TEXT(O119,"0"),CONDUCTORES!$A$3:$H$100,6,0),"")</f>
        <v/>
      </c>
      <c r="R119" s="336" t="n">
        <v>45796</v>
      </c>
      <c r="S119" s="305" t="inlineStr">
        <is>
          <t>S682</t>
        </is>
      </c>
      <c r="T119" s="241" t="n"/>
      <c r="U119" s="336" t="n">
        <v>45768</v>
      </c>
      <c r="V119" s="241" t="n"/>
      <c r="W119" s="241" t="n"/>
      <c r="X119" s="241" t="n"/>
      <c r="Y119" s="280" t="n"/>
    </row>
    <row r="120" ht="15.75" customHeight="1" s="195">
      <c r="A120" s="301" t="n">
        <v>67</v>
      </c>
      <c r="B120" s="302" t="inlineStr">
        <is>
          <t>00000037</t>
        </is>
      </c>
      <c r="C120" s="301" t="inlineStr">
        <is>
          <t>REGION</t>
        </is>
      </c>
      <c r="D120" s="302" t="inlineStr">
        <is>
          <t>BAZAN CULQUI NAIR HEMELY</t>
        </is>
      </c>
      <c r="E120" s="301" t="inlineStr">
        <is>
          <t>DNI</t>
        </is>
      </c>
      <c r="F120" s="301" t="inlineStr">
        <is>
          <t>63426875</t>
        </is>
      </c>
      <c r="G120" s="331" t="n">
        <v>45743</v>
      </c>
      <c r="H120" s="301" t="inlineStr">
        <is>
          <t>4904</t>
        </is>
      </c>
      <c r="I120" s="332">
        <f>IFERROR(VLOOKUP(TEXT(H120,"0"),IPRESS!$A$3:$B$212,2,0),"")</f>
        <v/>
      </c>
      <c r="J120" s="301" t="inlineStr">
        <is>
          <t>4838</t>
        </is>
      </c>
      <c r="K120" s="332">
        <f>IFERROR(VLOOKUP(TEXT(O120,"0"),CONDUCTORES!$A$3:$G$100,7,0),"")</f>
        <v/>
      </c>
      <c r="L120" s="245" t="n">
        <v>18.18</v>
      </c>
      <c r="M120" s="245" t="n">
        <v>6</v>
      </c>
      <c r="N120" s="333">
        <f>IFERROR(IF(L120*M120=0,"",L120*M120),"")</f>
        <v/>
      </c>
      <c r="O120" s="280" t="n"/>
      <c r="P120" s="332">
        <f>IFERROR(VLOOKUP(TEXT(O120,"0"),CONDUCTORES!$A$3:$G$100,2,0),"")</f>
        <v/>
      </c>
      <c r="Q120" s="332">
        <f>IFERROR(VLOOKUP(TEXT(O120,"0"),CONDUCTORES!$A$3:$H$100,6,0),"")</f>
        <v/>
      </c>
      <c r="R120" s="331" t="n">
        <v>45796</v>
      </c>
      <c r="S120" s="302" t="inlineStr">
        <is>
          <t>K359</t>
        </is>
      </c>
      <c r="T120" s="301" t="n"/>
      <c r="U120" s="331" t="n">
        <v>45776</v>
      </c>
      <c r="V120" s="301" t="n"/>
      <c r="W120" s="301" t="n"/>
      <c r="X120" s="301" t="n"/>
      <c r="Y120" s="280" t="n"/>
    </row>
    <row r="121" ht="15.75" customHeight="1" s="195">
      <c r="A121" s="241" t="n">
        <v>68</v>
      </c>
      <c r="B121" s="305" t="inlineStr">
        <is>
          <t>00000038</t>
        </is>
      </c>
      <c r="C121" s="241" t="inlineStr">
        <is>
          <t>REGION</t>
        </is>
      </c>
      <c r="D121" s="305" t="inlineStr">
        <is>
          <t>PUERTA CULQUI GENARO</t>
        </is>
      </c>
      <c r="E121" s="241" t="inlineStr">
        <is>
          <t>DNI</t>
        </is>
      </c>
      <c r="F121" s="241" t="inlineStr">
        <is>
          <t>33416222</t>
        </is>
      </c>
      <c r="G121" s="336" t="n">
        <v>45747</v>
      </c>
      <c r="H121" s="241" t="inlineStr">
        <is>
          <t>4904</t>
        </is>
      </c>
      <c r="I121" s="332">
        <f>IFERROR(VLOOKUP(TEXT(H121,"0"),IPRESS!$A$3:$B$212,2,0),"")</f>
        <v/>
      </c>
      <c r="J121" s="241" t="inlineStr">
        <is>
          <t>4838</t>
        </is>
      </c>
      <c r="K121" s="332">
        <f>IFERROR(VLOOKUP(TEXT(O121,"0"),CONDUCTORES!$A$3:$G$100,7,0),"")</f>
        <v/>
      </c>
      <c r="L121" s="239" t="n">
        <v>18.18</v>
      </c>
      <c r="M121" s="239" t="n">
        <v>6</v>
      </c>
      <c r="N121" s="333">
        <f>IFERROR(IF(L121*M121=0,"",L121*M121),"")</f>
        <v/>
      </c>
      <c r="O121" s="334" t="n"/>
      <c r="P121" s="332">
        <f>IFERROR(VLOOKUP(TEXT(O121,"0"),CONDUCTORES!$A$3:$G$100,2,0),"")</f>
        <v/>
      </c>
      <c r="Q121" s="332">
        <f>IFERROR(VLOOKUP(TEXT(O121,"0"),CONDUCTORES!$A$3:$H$100,6,0),"")</f>
        <v/>
      </c>
      <c r="R121" s="336" t="n">
        <v>45796</v>
      </c>
      <c r="S121" s="305" t="inlineStr">
        <is>
          <t>A419,J80,J159</t>
        </is>
      </c>
      <c r="T121" s="241" t="n"/>
      <c r="U121" s="336" t="n">
        <v>45776</v>
      </c>
      <c r="V121" s="241" t="n"/>
      <c r="W121" s="241" t="n"/>
      <c r="X121" s="241" t="n"/>
      <c r="Y121" s="280" t="n"/>
    </row>
    <row r="122" ht="15.75" customHeight="1" s="195">
      <c r="A122" s="301" t="n">
        <v>69</v>
      </c>
      <c r="B122" s="302" t="inlineStr">
        <is>
          <t>0000017</t>
        </is>
      </c>
      <c r="C122" s="301" t="inlineStr">
        <is>
          <t>REGION</t>
        </is>
      </c>
      <c r="D122" s="302" t="inlineStr">
        <is>
          <t>VARGAS BECERRA JUSTINA</t>
        </is>
      </c>
      <c r="E122" s="301" t="inlineStr">
        <is>
          <t>DNI</t>
        </is>
      </c>
      <c r="F122" s="301" t="inlineStr">
        <is>
          <t>27062725</t>
        </is>
      </c>
      <c r="G122" s="331" t="n">
        <v>45737</v>
      </c>
      <c r="H122" s="301" t="inlineStr">
        <is>
          <t>4954</t>
        </is>
      </c>
      <c r="I122" s="332">
        <f>IFERROR(VLOOKUP(TEXT(H122,"0"),IPRESS!$A$3:$B$212,2,0),"")</f>
        <v/>
      </c>
      <c r="J122" s="301" t="inlineStr">
        <is>
          <t>4950</t>
        </is>
      </c>
      <c r="K122" s="332">
        <f>IFERROR(VLOOKUP(TEXT(O122,"0"),CONDUCTORES!$A$3:$G$100,7,0),"")</f>
        <v/>
      </c>
      <c r="L122" s="245" t="n">
        <v>20.25</v>
      </c>
      <c r="M122" s="245" t="n">
        <v>6</v>
      </c>
      <c r="N122" s="333">
        <f>IFERROR(IF(L122*M122=0,"",L122*M122),"")</f>
        <v/>
      </c>
      <c r="O122" s="280" t="n"/>
      <c r="P122" s="332">
        <f>IFERROR(VLOOKUP(TEXT(O122,"0"),CONDUCTORES!$A$3:$G$100,2,0),"")</f>
        <v/>
      </c>
      <c r="Q122" s="332">
        <f>IFERROR(VLOOKUP(TEXT(O122,"0"),CONDUCTORES!$A$3:$H$100,6,0),"")</f>
        <v/>
      </c>
      <c r="R122" s="331" t="n">
        <v>45839</v>
      </c>
      <c r="S122" s="302" t="inlineStr">
        <is>
          <t>I679,I10X</t>
        </is>
      </c>
      <c r="T122" s="301" t="n"/>
      <c r="U122" s="331" t="n">
        <v>45768</v>
      </c>
      <c r="V122" s="301" t="n"/>
      <c r="W122" s="301" t="n"/>
      <c r="X122" s="301" t="n"/>
      <c r="Y122" s="280" t="n"/>
    </row>
    <row r="123" ht="15.75" customHeight="1" s="195">
      <c r="A123" s="241" t="n">
        <v>70</v>
      </c>
      <c r="B123" s="305" t="inlineStr">
        <is>
          <t>0000018</t>
        </is>
      </c>
      <c r="C123" s="241" t="inlineStr">
        <is>
          <t>REGION</t>
        </is>
      </c>
      <c r="D123" s="305" t="inlineStr">
        <is>
          <t>ARRIAGA DE LOPEZ MARIA ERNESTINA</t>
        </is>
      </c>
      <c r="E123" s="241" t="inlineStr">
        <is>
          <t>DNI</t>
        </is>
      </c>
      <c r="F123" s="241" t="inlineStr">
        <is>
          <t>33946779</t>
        </is>
      </c>
      <c r="G123" s="336" t="n">
        <v>45738</v>
      </c>
      <c r="H123" s="241" t="inlineStr">
        <is>
          <t>4954</t>
        </is>
      </c>
      <c r="I123" s="332">
        <f>IFERROR(VLOOKUP(TEXT(H123,"0"),IPRESS!$A$3:$B$212,2,0),"")</f>
        <v/>
      </c>
      <c r="J123" s="241" t="inlineStr">
        <is>
          <t>4950</t>
        </is>
      </c>
      <c r="K123" s="332">
        <f>IFERROR(VLOOKUP(TEXT(O123,"0"),CONDUCTORES!$A$3:$G$100,7,0),"")</f>
        <v/>
      </c>
      <c r="L123" s="239" t="n">
        <v>20.25</v>
      </c>
      <c r="M123" s="239" t="n">
        <v>12</v>
      </c>
      <c r="N123" s="333">
        <f>IFERROR(IF(L123*M123=0,"",L123*M123),"")</f>
        <v/>
      </c>
      <c r="O123" s="334" t="n"/>
      <c r="P123" s="332">
        <f>IFERROR(VLOOKUP(TEXT(O123,"0"),CONDUCTORES!$A$3:$G$100,2,0),"")</f>
        <v/>
      </c>
      <c r="Q123" s="332">
        <f>IFERROR(VLOOKUP(TEXT(O123,"0"),CONDUCTORES!$A$3:$H$100,6,0),"")</f>
        <v/>
      </c>
      <c r="R123" s="336" t="n">
        <v>45828</v>
      </c>
      <c r="S123" s="305" t="inlineStr">
        <is>
          <t>J969,R570,J189</t>
        </is>
      </c>
      <c r="T123" s="241" t="n"/>
      <c r="U123" s="336" t="n">
        <v>45768</v>
      </c>
      <c r="V123" s="241" t="inlineStr">
        <is>
          <t>DEVOLUCION DE COMBUSTIBLE AL C.S. TOTORA</t>
        </is>
      </c>
      <c r="W123" s="241" t="n"/>
      <c r="X123" s="241" t="n"/>
      <c r="Y123" s="280" t="n"/>
    </row>
    <row r="124" ht="15" customHeight="1" s="195">
      <c r="A124" s="280" t="n"/>
      <c r="B124" s="280" t="n"/>
      <c r="C124" s="280" t="n"/>
      <c r="D124" s="280" t="n"/>
      <c r="E124" s="280" t="n"/>
      <c r="F124" s="280" t="n"/>
      <c r="G124" s="280" t="n"/>
      <c r="H124" s="280" t="n"/>
      <c r="I124" s="332">
        <f>IFERROR(VLOOKUP(TEXT(H124,"0"),IPRESS!$A$3:$B$212,2,0),"")</f>
        <v/>
      </c>
      <c r="J124" s="280" t="n"/>
      <c r="K124" s="332">
        <f>IFERROR(VLOOKUP(TEXT(O124,"0"),CONDUCTORES!$A$3:$G$54,7,0),"")</f>
        <v/>
      </c>
      <c r="L124" s="280" t="n"/>
      <c r="M124" s="280" t="n"/>
      <c r="N124" s="333">
        <f>IFERROR(IF(L124*M124=0,"",L124*M124),"")</f>
        <v/>
      </c>
      <c r="O124" s="280" t="n"/>
      <c r="P124" s="332">
        <f>IFERROR(VLOOKUP(TEXT(O124,"0"),CONDUCTORES!$A$3:$G$54,2,0),"")</f>
        <v/>
      </c>
      <c r="Q124" s="332">
        <f>IFERROR(VLOOKUP(TEXT(O124,"0"),CONDUCTORES!$A$3:$H$54,6,0),"")</f>
        <v/>
      </c>
      <c r="R124" s="280" t="n"/>
      <c r="S124" s="280" t="n"/>
      <c r="T124" s="280" t="n"/>
      <c r="U124" s="280" t="n"/>
      <c r="V124" s="280" t="n"/>
      <c r="W124" s="280" t="n"/>
      <c r="X124" s="280" t="n"/>
      <c r="Y124" s="280" t="n"/>
    </row>
    <row r="125" ht="24" customHeight="1" s="195">
      <c r="A125" s="342" t="inlineStr">
        <is>
          <t>SUBTOTAL (cambia al filtrar por EESS) →</t>
        </is>
      </c>
      <c r="K125" s="343" t="n"/>
      <c r="L125" s="280" t="n"/>
      <c r="M125" s="344">
        <f>SUBTOTAL(9,M4:M123)</f>
        <v/>
      </c>
      <c r="N125" s="344">
        <f>SUBTOTAL(9,N4:N123)</f>
        <v/>
      </c>
      <c r="O125" s="280" t="n"/>
      <c r="P125" s="332">
        <f>IFERROR(VLOOKUP(TEXT(O125,"0"),CONDUCTORES!$A$3:$G$100,2,0),"")</f>
        <v/>
      </c>
      <c r="Q125" s="332">
        <f>IFERROR(VLOOKUP(TEXT(O125,"0"),CONDUCTORES!$A$3:$H$100,6,0),"")</f>
        <v/>
      </c>
      <c r="R125" s="280" t="n"/>
      <c r="S125" s="280" t="n"/>
      <c r="T125" s="280" t="n"/>
      <c r="U125" s="280" t="n"/>
      <c r="V125" s="280" t="n"/>
      <c r="W125" s="280" t="n"/>
      <c r="X125" s="280" t="n"/>
      <c r="Y125" s="280" t="n"/>
    </row>
    <row r="126" ht="15" customHeight="1" s="195">
      <c r="A126" s="280" t="n"/>
      <c r="B126" s="280" t="n"/>
      <c r="C126" s="280" t="n"/>
      <c r="D126" s="280" t="n"/>
      <c r="E126" s="280" t="n"/>
      <c r="F126" s="280" t="n"/>
      <c r="G126" s="280" t="n"/>
      <c r="H126" s="280" t="n"/>
      <c r="I126" s="343" t="n"/>
      <c r="J126" s="280" t="n"/>
      <c r="K126" s="343" t="n"/>
      <c r="L126" s="280" t="n"/>
      <c r="M126" s="280" t="n"/>
      <c r="N126" s="345" t="n"/>
      <c r="O126" s="280" t="n"/>
      <c r="P126" s="343" t="n"/>
      <c r="Q126" s="343" t="n"/>
      <c r="R126" s="280" t="n"/>
      <c r="S126" s="280" t="n"/>
      <c r="T126" s="280" t="n"/>
      <c r="U126" s="280" t="n"/>
      <c r="V126" s="280" t="n"/>
      <c r="W126" s="280" t="n"/>
      <c r="X126" s="280" t="n"/>
      <c r="Y126" s="280" t="n"/>
    </row>
    <row r="127" ht="15" customHeight="1" s="195">
      <c r="A127" s="334" t="n"/>
      <c r="B127" s="334" t="n"/>
      <c r="C127" s="334" t="n"/>
      <c r="D127" s="334" t="n"/>
      <c r="E127" s="334" t="n"/>
      <c r="F127" s="334" t="n"/>
      <c r="G127" s="334" t="n"/>
      <c r="H127" s="334" t="n"/>
      <c r="I127" s="343" t="n"/>
      <c r="J127" s="334" t="n"/>
      <c r="K127" s="343" t="n"/>
      <c r="L127" s="334" t="n"/>
      <c r="M127" s="334" t="n"/>
      <c r="N127" s="345" t="n"/>
      <c r="O127" s="334" t="n"/>
      <c r="P127" s="343" t="n"/>
      <c r="Q127" s="343" t="n"/>
      <c r="R127" s="334" t="n"/>
      <c r="S127" s="334" t="n"/>
      <c r="T127" s="334" t="n"/>
      <c r="U127" s="334" t="n"/>
      <c r="V127" s="334" t="n"/>
      <c r="W127" s="334" t="n"/>
      <c r="X127" s="334" t="n"/>
      <c r="Y127" s="334" t="n"/>
    </row>
    <row r="128" ht="15" customHeight="1" s="195">
      <c r="A128" s="280" t="n"/>
      <c r="B128" s="280" t="n"/>
      <c r="C128" s="280" t="n"/>
      <c r="D128" s="280" t="n"/>
      <c r="E128" s="280" t="n"/>
      <c r="F128" s="280" t="n"/>
      <c r="G128" s="280" t="n"/>
      <c r="H128" s="280" t="n"/>
      <c r="I128" s="343" t="n"/>
      <c r="J128" s="280" t="n"/>
      <c r="K128" s="343" t="n"/>
      <c r="L128" s="280" t="n"/>
      <c r="M128" s="280" t="n"/>
      <c r="N128" s="345" t="n"/>
      <c r="O128" s="280" t="n"/>
      <c r="P128" s="343" t="n"/>
      <c r="Q128" s="343" t="n"/>
      <c r="R128" s="280" t="n"/>
      <c r="S128" s="280" t="n"/>
      <c r="T128" s="280" t="n"/>
      <c r="U128" s="280" t="n"/>
      <c r="V128" s="280" t="n"/>
      <c r="W128" s="280" t="n"/>
      <c r="X128" s="280" t="n"/>
      <c r="Y128" s="280" t="n"/>
    </row>
    <row r="129" ht="15" customHeight="1" s="195">
      <c r="A129" s="334" t="n"/>
      <c r="B129" s="334" t="n"/>
      <c r="C129" s="334" t="n"/>
      <c r="D129" s="334" t="n"/>
      <c r="E129" s="334" t="n"/>
      <c r="F129" s="334" t="n"/>
      <c r="G129" s="334" t="n"/>
      <c r="H129" s="334" t="n"/>
      <c r="I129" s="343" t="n"/>
      <c r="J129" s="334" t="n"/>
      <c r="K129" s="343" t="n"/>
      <c r="L129" s="334" t="n"/>
      <c r="M129" s="334" t="n"/>
      <c r="N129" s="345" t="n"/>
      <c r="O129" s="334" t="n"/>
      <c r="P129" s="343" t="n"/>
      <c r="Q129" s="343" t="n"/>
      <c r="R129" s="334" t="n"/>
      <c r="S129" s="334" t="n"/>
      <c r="T129" s="334" t="n"/>
      <c r="U129" s="334" t="n"/>
      <c r="V129" s="334" t="n"/>
      <c r="W129" s="334" t="n"/>
      <c r="X129" s="334" t="n"/>
      <c r="Y129" s="334" t="n"/>
    </row>
    <row r="130" ht="15" customHeight="1" s="195">
      <c r="A130" s="280" t="n"/>
      <c r="B130" s="280" t="n"/>
      <c r="C130" s="280" t="n"/>
      <c r="D130" s="280" t="n"/>
      <c r="E130" s="280" t="n"/>
      <c r="F130" s="280" t="n"/>
      <c r="G130" s="280" t="n"/>
      <c r="H130" s="280" t="n"/>
      <c r="I130" s="332">
        <f>IFERROR(VLOOKUP(TEXT(H130,"0"),IPRESS!$A$3:$B$212,2,0),"")</f>
        <v/>
      </c>
      <c r="J130" s="280" t="n"/>
      <c r="K130" s="332">
        <f>IFERROR(VLOOKUP(TEXT(O130,"0"),CONDUCTORES!$A$3:$G$54,7,0),"")</f>
        <v/>
      </c>
      <c r="L130" s="280" t="n"/>
      <c r="M130" s="280" t="n"/>
      <c r="N130" s="333">
        <f>IFERROR(IF(L130*M130=0,"",L130*M130),"")</f>
        <v/>
      </c>
      <c r="O130" s="280" t="n"/>
      <c r="P130" s="332">
        <f>IFERROR(VLOOKUP(TEXT(O130,"0"),CONDUCTORES!$A$3:$G$54,2,0),"")</f>
        <v/>
      </c>
      <c r="Q130" s="332">
        <f>IFERROR(VLOOKUP(TEXT(O130,"0"),CONDUCTORES!$A$3:$H$54,6,0),"")</f>
        <v/>
      </c>
      <c r="R130" s="280" t="n"/>
      <c r="S130" s="280" t="n"/>
      <c r="T130" s="280" t="n"/>
      <c r="U130" s="280" t="n"/>
      <c r="V130" s="280" t="n"/>
      <c r="W130" s="280" t="n"/>
      <c r="X130" s="280" t="n"/>
      <c r="Y130" s="280" t="n"/>
    </row>
    <row r="131" ht="15" customHeight="1" s="195">
      <c r="A131" s="334" t="n"/>
      <c r="B131" s="334" t="n"/>
      <c r="C131" s="334" t="n"/>
      <c r="D131" s="334" t="n"/>
      <c r="E131" s="334" t="n"/>
      <c r="F131" s="334" t="n"/>
      <c r="G131" s="334" t="n"/>
      <c r="H131" s="334" t="n"/>
      <c r="I131" s="332">
        <f>IFERROR(VLOOKUP(TEXT(H131,"0"),IPRESS!$A$3:$B$212,2,0),"")</f>
        <v/>
      </c>
      <c r="J131" s="334" t="n"/>
      <c r="K131" s="332">
        <f>IFERROR(VLOOKUP(TEXT(O131,"0"),CONDUCTORES!$A$3:$G$54,7,0),"")</f>
        <v/>
      </c>
      <c r="L131" s="334" t="n"/>
      <c r="M131" s="334" t="n"/>
      <c r="N131" s="333">
        <f>IFERROR(IF(L131*M131=0,"",L131*M131),"")</f>
        <v/>
      </c>
      <c r="O131" s="334" t="n"/>
      <c r="P131" s="332">
        <f>IFERROR(VLOOKUP(TEXT(O131,"0"),CONDUCTORES!$A$3:$G$54,2,0),"")</f>
        <v/>
      </c>
      <c r="Q131" s="332">
        <f>IFERROR(VLOOKUP(TEXT(O131,"0"),CONDUCTORES!$A$3:$H$54,6,0),"")</f>
        <v/>
      </c>
      <c r="R131" s="334" t="n"/>
      <c r="S131" s="334" t="n"/>
      <c r="T131" s="334" t="n"/>
      <c r="U131" s="334" t="n"/>
      <c r="V131" s="334" t="n"/>
      <c r="W131" s="334" t="n"/>
      <c r="X131" s="334" t="n"/>
      <c r="Y131" s="334" t="n"/>
    </row>
    <row r="132" ht="15" customHeight="1" s="195">
      <c r="A132" s="280" t="n"/>
      <c r="B132" s="280" t="n"/>
      <c r="C132" s="280" t="n"/>
      <c r="D132" s="280" t="n"/>
      <c r="E132" s="280" t="n"/>
      <c r="F132" s="280" t="n"/>
      <c r="G132" s="280" t="n"/>
      <c r="H132" s="280" t="n"/>
      <c r="I132" s="332">
        <f>IFERROR(VLOOKUP(TEXT(H132,"0"),IPRESS!$A$3:$B$212,2,0),"")</f>
        <v/>
      </c>
      <c r="J132" s="280" t="n"/>
      <c r="K132" s="332">
        <f>IFERROR(VLOOKUP(TEXT(O132,"0"),CONDUCTORES!$A$3:$G$54,7,0),"")</f>
        <v/>
      </c>
      <c r="L132" s="280" t="n"/>
      <c r="M132" s="280" t="n"/>
      <c r="N132" s="333">
        <f>IFERROR(IF(L132*M132=0,"",L132*M132),"")</f>
        <v/>
      </c>
      <c r="O132" s="280" t="n"/>
      <c r="P132" s="332">
        <f>IFERROR(VLOOKUP(TEXT(O132,"0"),CONDUCTORES!$A$3:$G$54,2,0),"")</f>
        <v/>
      </c>
      <c r="Q132" s="332">
        <f>IFERROR(VLOOKUP(TEXT(O132,"0"),CONDUCTORES!$A$3:$H$54,6,0),"")</f>
        <v/>
      </c>
      <c r="R132" s="280" t="n"/>
      <c r="S132" s="280" t="n"/>
      <c r="T132" s="280" t="n"/>
      <c r="U132" s="280" t="n"/>
      <c r="V132" s="280" t="n"/>
      <c r="W132" s="280" t="n"/>
      <c r="X132" s="280" t="n"/>
      <c r="Y132" s="280" t="n"/>
    </row>
    <row r="133" ht="15" customHeight="1" s="195">
      <c r="A133" s="334" t="n"/>
      <c r="B133" s="334" t="n"/>
      <c r="C133" s="334" t="n"/>
      <c r="D133" s="334" t="n"/>
      <c r="E133" s="334" t="n"/>
      <c r="F133" s="334" t="n"/>
      <c r="G133" s="334" t="n"/>
      <c r="H133" s="334" t="n"/>
      <c r="I133" s="332">
        <f>IFERROR(VLOOKUP(TEXT(H133,"0"),IPRESS!$A$3:$B$212,2,0),"")</f>
        <v/>
      </c>
      <c r="J133" s="334" t="n"/>
      <c r="K133" s="332">
        <f>IFERROR(VLOOKUP(TEXT(O133,"0"),CONDUCTORES!$A$3:$G$54,7,0),"")</f>
        <v/>
      </c>
      <c r="L133" s="334" t="n"/>
      <c r="M133" s="334" t="n"/>
      <c r="N133" s="333">
        <f>IFERROR(IF(L133*M133=0,"",L133*M133),"")</f>
        <v/>
      </c>
      <c r="O133" s="334" t="n"/>
      <c r="P133" s="332">
        <f>IFERROR(VLOOKUP(TEXT(O133,"0"),CONDUCTORES!$A$3:$G$54,2,0),"")</f>
        <v/>
      </c>
      <c r="Q133" s="332">
        <f>IFERROR(VLOOKUP(TEXT(O133,"0"),CONDUCTORES!$A$3:$H$54,6,0),"")</f>
        <v/>
      </c>
      <c r="R133" s="334" t="n"/>
      <c r="S133" s="334" t="n"/>
      <c r="T133" s="334" t="n"/>
      <c r="U133" s="334" t="n"/>
      <c r="V133" s="334" t="n"/>
      <c r="W133" s="334" t="n"/>
      <c r="X133" s="334" t="n"/>
      <c r="Y133" s="334" t="n"/>
    </row>
    <row r="134" ht="15" customHeight="1" s="195">
      <c r="A134" s="280" t="n"/>
      <c r="B134" s="280" t="n"/>
      <c r="C134" s="280" t="n"/>
      <c r="D134" s="280" t="n"/>
      <c r="E134" s="280" t="n"/>
      <c r="F134" s="280" t="n"/>
      <c r="G134" s="280" t="n"/>
      <c r="H134" s="280" t="n"/>
      <c r="I134" s="332">
        <f>IFERROR(VLOOKUP(TEXT(H134,"0"),IPRESS!$A$3:$B$212,2,0),"")</f>
        <v/>
      </c>
      <c r="J134" s="280" t="n"/>
      <c r="K134" s="332">
        <f>IFERROR(VLOOKUP(TEXT(O134,"0"),CONDUCTORES!$A$3:$G$54,7,0),"")</f>
        <v/>
      </c>
      <c r="L134" s="280" t="n"/>
      <c r="M134" s="280" t="n"/>
      <c r="N134" s="333">
        <f>IFERROR(IF(L134*M134=0,"",L134*M134),"")</f>
        <v/>
      </c>
      <c r="O134" s="280" t="n"/>
      <c r="P134" s="332">
        <f>IFERROR(VLOOKUP(TEXT(O134,"0"),CONDUCTORES!$A$3:$G$54,2,0),"")</f>
        <v/>
      </c>
      <c r="Q134" s="332">
        <f>IFERROR(VLOOKUP(TEXT(O134,"0"),CONDUCTORES!$A$3:$H$54,6,0),"")</f>
        <v/>
      </c>
      <c r="R134" s="280" t="n"/>
      <c r="S134" s="280" t="n"/>
      <c r="T134" s="280" t="n"/>
      <c r="U134" s="280" t="n"/>
      <c r="V134" s="280" t="n"/>
      <c r="W134" s="280" t="n"/>
      <c r="X134" s="280" t="n"/>
      <c r="Y134" s="280" t="n"/>
    </row>
    <row r="135" ht="15" customHeight="1" s="195">
      <c r="A135" s="334" t="n"/>
      <c r="B135" s="334" t="n"/>
      <c r="C135" s="334" t="n"/>
      <c r="D135" s="334" t="n"/>
      <c r="E135" s="334" t="n"/>
      <c r="F135" s="334" t="n"/>
      <c r="G135" s="334" t="n"/>
      <c r="H135" s="334" t="n"/>
      <c r="I135" s="332">
        <f>IFERROR(VLOOKUP(TEXT(H135,"0"),IPRESS!$A$3:$B$212,2,0),"")</f>
        <v/>
      </c>
      <c r="J135" s="334" t="n"/>
      <c r="K135" s="332">
        <f>IFERROR(VLOOKUP(TEXT(O135,"0"),CONDUCTORES!$A$3:$G$54,7,0),"")</f>
        <v/>
      </c>
      <c r="L135" s="334" t="n"/>
      <c r="M135" s="334" t="n"/>
      <c r="N135" s="333">
        <f>IFERROR(IF(L135*M135=0,"",L135*M135),"")</f>
        <v/>
      </c>
      <c r="O135" s="334" t="n"/>
      <c r="P135" s="332">
        <f>IFERROR(VLOOKUP(TEXT(O135,"0"),CONDUCTORES!$A$3:$G$54,2,0),"")</f>
        <v/>
      </c>
      <c r="Q135" s="332">
        <f>IFERROR(VLOOKUP(TEXT(O135,"0"),CONDUCTORES!$A$3:$H$54,6,0),"")</f>
        <v/>
      </c>
      <c r="R135" s="334" t="n"/>
      <c r="S135" s="334" t="n"/>
      <c r="T135" s="334" t="n"/>
      <c r="U135" s="334" t="n"/>
      <c r="V135" s="334" t="n"/>
      <c r="W135" s="334" t="n"/>
      <c r="X135" s="334" t="n"/>
      <c r="Y135" s="334" t="n"/>
    </row>
    <row r="136" ht="15" customHeight="1" s="195">
      <c r="A136" s="280" t="n"/>
      <c r="B136" s="280" t="n"/>
      <c r="C136" s="280" t="n"/>
      <c r="D136" s="280" t="n"/>
      <c r="E136" s="280" t="n"/>
      <c r="F136" s="280" t="n"/>
      <c r="G136" s="280" t="n"/>
      <c r="H136" s="280" t="n"/>
      <c r="I136" s="332">
        <f>IFERROR(VLOOKUP(TEXT(H136,"0"),IPRESS!$A$3:$B$212,2,0),"")</f>
        <v/>
      </c>
      <c r="J136" s="280" t="n"/>
      <c r="K136" s="332">
        <f>IFERROR(VLOOKUP(TEXT(O136,"0"),CONDUCTORES!$A$3:$G$54,7,0),"")</f>
        <v/>
      </c>
      <c r="L136" s="280" t="n"/>
      <c r="M136" s="280" t="n"/>
      <c r="N136" s="333">
        <f>IFERROR(IF(L136*M136=0,"",L136*M136),"")</f>
        <v/>
      </c>
      <c r="O136" s="280" t="n"/>
      <c r="P136" s="332">
        <f>IFERROR(VLOOKUP(TEXT(O136,"0"),CONDUCTORES!$A$3:$G$54,2,0),"")</f>
        <v/>
      </c>
      <c r="Q136" s="332">
        <f>IFERROR(VLOOKUP(TEXT(O136,"0"),CONDUCTORES!$A$3:$H$54,6,0),"")</f>
        <v/>
      </c>
      <c r="R136" s="280" t="n"/>
      <c r="S136" s="280" t="n"/>
      <c r="T136" s="280" t="n"/>
      <c r="U136" s="280" t="n"/>
      <c r="V136" s="280" t="n"/>
      <c r="W136" s="280" t="n"/>
      <c r="X136" s="280" t="n"/>
      <c r="Y136" s="280" t="n"/>
    </row>
    <row r="137" ht="15" customHeight="1" s="195">
      <c r="A137" s="334" t="n"/>
      <c r="B137" s="334" t="n"/>
      <c r="C137" s="334" t="n"/>
      <c r="D137" s="334" t="n"/>
      <c r="E137" s="334" t="n"/>
      <c r="F137" s="334" t="n"/>
      <c r="G137" s="334" t="n"/>
      <c r="H137" s="334" t="n"/>
      <c r="I137" s="332">
        <f>IFERROR(VLOOKUP(TEXT(H137,"0"),IPRESS!$A$3:$B$212,2,0),"")</f>
        <v/>
      </c>
      <c r="J137" s="334" t="n"/>
      <c r="K137" s="332">
        <f>IFERROR(VLOOKUP(TEXT(O137,"0"),CONDUCTORES!$A$3:$G$54,7,0),"")</f>
        <v/>
      </c>
      <c r="L137" s="334" t="n"/>
      <c r="M137" s="334" t="n"/>
      <c r="N137" s="333">
        <f>IFERROR(IF(L137*M137=0,"",L137*M137),"")</f>
        <v/>
      </c>
      <c r="O137" s="334" t="n"/>
      <c r="P137" s="332">
        <f>IFERROR(VLOOKUP(TEXT(O137,"0"),CONDUCTORES!$A$3:$G$54,2,0),"")</f>
        <v/>
      </c>
      <c r="Q137" s="332">
        <f>IFERROR(VLOOKUP(TEXT(O137,"0"),CONDUCTORES!$A$3:$H$54,6,0),"")</f>
        <v/>
      </c>
      <c r="R137" s="334" t="n"/>
      <c r="S137" s="334" t="n"/>
      <c r="T137" s="334" t="n"/>
      <c r="U137" s="334" t="n"/>
      <c r="V137" s="334" t="n"/>
      <c r="W137" s="334" t="n"/>
      <c r="X137" s="334" t="n"/>
      <c r="Y137" s="334" t="n"/>
    </row>
    <row r="138" ht="15" customHeight="1" s="195">
      <c r="A138" s="280" t="n"/>
      <c r="B138" s="280" t="n"/>
      <c r="C138" s="280" t="n"/>
      <c r="D138" s="280" t="n"/>
      <c r="E138" s="280" t="n"/>
      <c r="F138" s="280" t="n"/>
      <c r="G138" s="280" t="n"/>
      <c r="H138" s="280" t="n"/>
      <c r="I138" s="332">
        <f>IFERROR(VLOOKUP(TEXT(H138,"0"),IPRESS!$A$3:$B$212,2,0),"")</f>
        <v/>
      </c>
      <c r="J138" s="280" t="n"/>
      <c r="K138" s="332">
        <f>IFERROR(VLOOKUP(TEXT(O138,"0"),CONDUCTORES!$A$3:$G$54,7,0),"")</f>
        <v/>
      </c>
      <c r="L138" s="280" t="n"/>
      <c r="M138" s="280" t="n"/>
      <c r="N138" s="333">
        <f>IFERROR(IF(L138*M138=0,"",L138*M138),"")</f>
        <v/>
      </c>
      <c r="O138" s="280" t="n"/>
      <c r="P138" s="332">
        <f>IFERROR(VLOOKUP(TEXT(O138,"0"),CONDUCTORES!$A$3:$G$54,2,0),"")</f>
        <v/>
      </c>
      <c r="Q138" s="332">
        <f>IFERROR(VLOOKUP(TEXT(O138,"0"),CONDUCTORES!$A$3:$H$54,6,0),"")</f>
        <v/>
      </c>
      <c r="R138" s="280" t="n"/>
      <c r="S138" s="280" t="n"/>
      <c r="T138" s="280" t="n"/>
      <c r="U138" s="280" t="n"/>
      <c r="V138" s="280" t="n"/>
      <c r="W138" s="280" t="n"/>
      <c r="X138" s="280" t="n"/>
      <c r="Y138" s="280" t="n"/>
    </row>
    <row r="139" ht="15" customHeight="1" s="195">
      <c r="A139" s="334" t="n"/>
      <c r="B139" s="334" t="n"/>
      <c r="C139" s="334" t="n"/>
      <c r="D139" s="334" t="n"/>
      <c r="E139" s="334" t="n"/>
      <c r="F139" s="334" t="n"/>
      <c r="G139" s="334" t="n"/>
      <c r="H139" s="334" t="n"/>
      <c r="I139" s="332">
        <f>IFERROR(VLOOKUP(TEXT(H139,"0"),IPRESS!$A$3:$B$212,2,0),"")</f>
        <v/>
      </c>
      <c r="J139" s="334" t="n"/>
      <c r="K139" s="332">
        <f>IFERROR(VLOOKUP(TEXT(O139,"0"),CONDUCTORES!$A$3:$G$54,7,0),"")</f>
        <v/>
      </c>
      <c r="L139" s="334" t="n"/>
      <c r="M139" s="334" t="n"/>
      <c r="N139" s="333">
        <f>IFERROR(IF(L139*M139=0,"",L139*M139),"")</f>
        <v/>
      </c>
      <c r="O139" s="334" t="n"/>
      <c r="P139" s="332">
        <f>IFERROR(VLOOKUP(TEXT(O139,"0"),CONDUCTORES!$A$3:$G$54,2,0),"")</f>
        <v/>
      </c>
      <c r="Q139" s="332">
        <f>IFERROR(VLOOKUP(TEXT(O139,"0"),CONDUCTORES!$A$3:$H$54,6,0),"")</f>
        <v/>
      </c>
      <c r="R139" s="334" t="n"/>
      <c r="S139" s="334" t="n"/>
      <c r="T139" s="334" t="n"/>
      <c r="U139" s="334" t="n"/>
      <c r="V139" s="334" t="n"/>
      <c r="W139" s="334" t="n"/>
      <c r="X139" s="334" t="n"/>
      <c r="Y139" s="334" t="n"/>
    </row>
    <row r="140" ht="15" customHeight="1" s="195">
      <c r="A140" s="280" t="n"/>
      <c r="B140" s="280" t="n"/>
      <c r="C140" s="280" t="n"/>
      <c r="D140" s="280" t="n"/>
      <c r="E140" s="280" t="n"/>
      <c r="F140" s="280" t="n"/>
      <c r="G140" s="280" t="n"/>
      <c r="H140" s="280" t="n"/>
      <c r="I140" s="332">
        <f>IFERROR(VLOOKUP(TEXT(H140,"0"),IPRESS!$A$3:$B$212,2,0),"")</f>
        <v/>
      </c>
      <c r="J140" s="280" t="n"/>
      <c r="K140" s="332">
        <f>IFERROR(VLOOKUP(TEXT(O140,"0"),CONDUCTORES!$A$3:$G$54,7,0),"")</f>
        <v/>
      </c>
      <c r="L140" s="280" t="n"/>
      <c r="M140" s="280" t="n"/>
      <c r="N140" s="333">
        <f>IFERROR(IF(L140*M140=0,"",L140*M140),"")</f>
        <v/>
      </c>
      <c r="O140" s="280" t="n"/>
      <c r="P140" s="332">
        <f>IFERROR(VLOOKUP(TEXT(O140,"0"),CONDUCTORES!$A$3:$G$54,2,0),"")</f>
        <v/>
      </c>
      <c r="Q140" s="332">
        <f>IFERROR(VLOOKUP(TEXT(O140,"0"),CONDUCTORES!$A$3:$H$54,6,0),"")</f>
        <v/>
      </c>
      <c r="R140" s="280" t="n"/>
      <c r="S140" s="280" t="n"/>
      <c r="T140" s="280" t="n"/>
      <c r="U140" s="280" t="n"/>
      <c r="V140" s="280" t="n"/>
      <c r="W140" s="280" t="n"/>
      <c r="X140" s="280" t="n"/>
      <c r="Y140" s="280" t="n"/>
    </row>
    <row r="141" ht="15" customHeight="1" s="195">
      <c r="A141" s="334" t="n"/>
      <c r="B141" s="334" t="n"/>
      <c r="C141" s="334" t="n"/>
      <c r="D141" s="334" t="n"/>
      <c r="E141" s="334" t="n"/>
      <c r="F141" s="334" t="n"/>
      <c r="G141" s="334" t="n"/>
      <c r="H141" s="334" t="n"/>
      <c r="I141" s="332">
        <f>IFERROR(VLOOKUP(TEXT(H141,"0"),IPRESS!$A$3:$B$212,2,0),"")</f>
        <v/>
      </c>
      <c r="J141" s="334" t="n"/>
      <c r="K141" s="332">
        <f>IFERROR(VLOOKUP(TEXT(O141,"0"),CONDUCTORES!$A$3:$G$54,7,0),"")</f>
        <v/>
      </c>
      <c r="L141" s="334" t="n"/>
      <c r="M141" s="334" t="n"/>
      <c r="N141" s="333">
        <f>IFERROR(IF(L141*M141=0,"",L141*M141),"")</f>
        <v/>
      </c>
      <c r="O141" s="334" t="n"/>
      <c r="P141" s="332">
        <f>IFERROR(VLOOKUP(TEXT(O141,"0"),CONDUCTORES!$A$3:$G$54,2,0),"")</f>
        <v/>
      </c>
      <c r="Q141" s="332">
        <f>IFERROR(VLOOKUP(TEXT(O141,"0"),CONDUCTORES!$A$3:$H$54,6,0),"")</f>
        <v/>
      </c>
      <c r="R141" s="334" t="n"/>
      <c r="S141" s="334" t="n"/>
      <c r="T141" s="334" t="n"/>
      <c r="U141" s="334" t="n"/>
      <c r="V141" s="334" t="n"/>
      <c r="W141" s="334" t="n"/>
      <c r="X141" s="334" t="n"/>
      <c r="Y141" s="334" t="n"/>
    </row>
    <row r="142" ht="15" customHeight="1" s="195">
      <c r="A142" s="280" t="n"/>
      <c r="B142" s="280" t="n"/>
      <c r="C142" s="280" t="n"/>
      <c r="D142" s="280" t="n"/>
      <c r="E142" s="280" t="n"/>
      <c r="F142" s="280" t="n"/>
      <c r="G142" s="280" t="n"/>
      <c r="H142" s="280" t="n"/>
      <c r="I142" s="332">
        <f>IFERROR(VLOOKUP(TEXT(H142,"0"),IPRESS!$A$3:$B$212,2,0),"")</f>
        <v/>
      </c>
      <c r="J142" s="280" t="n"/>
      <c r="K142" s="332">
        <f>IFERROR(VLOOKUP(TEXT(O142,"0"),CONDUCTORES!$A$3:$G$54,7,0),"")</f>
        <v/>
      </c>
      <c r="L142" s="280" t="n"/>
      <c r="M142" s="280" t="n"/>
      <c r="N142" s="333">
        <f>IFERROR(IF(L142*M142=0,"",L142*M142),"")</f>
        <v/>
      </c>
      <c r="O142" s="280" t="n"/>
      <c r="P142" s="332">
        <f>IFERROR(VLOOKUP(TEXT(O142,"0"),CONDUCTORES!$A$3:$G$54,2,0),"")</f>
        <v/>
      </c>
      <c r="Q142" s="332">
        <f>IFERROR(VLOOKUP(TEXT(O142,"0"),CONDUCTORES!$A$3:$H$54,6,0),"")</f>
        <v/>
      </c>
      <c r="R142" s="280" t="n"/>
      <c r="S142" s="280" t="n"/>
      <c r="T142" s="280" t="n"/>
      <c r="U142" s="280" t="n"/>
      <c r="V142" s="280" t="n"/>
      <c r="W142" s="280" t="n"/>
      <c r="X142" s="280" t="n"/>
      <c r="Y142" s="280" t="n"/>
    </row>
    <row r="143" ht="15" customHeight="1" s="195">
      <c r="A143" s="334" t="n"/>
      <c r="B143" s="334" t="n"/>
      <c r="C143" s="334" t="n"/>
      <c r="D143" s="334" t="n"/>
      <c r="E143" s="334" t="n"/>
      <c r="F143" s="334" t="n"/>
      <c r="G143" s="334" t="n"/>
      <c r="H143" s="334" t="n"/>
      <c r="I143" s="332">
        <f>IFERROR(VLOOKUP(TEXT(H143,"0"),IPRESS!$A$3:$B$212,2,0),"")</f>
        <v/>
      </c>
      <c r="J143" s="334" t="n"/>
      <c r="K143" s="332">
        <f>IFERROR(VLOOKUP(TEXT(O143,"0"),CONDUCTORES!$A$3:$G$54,7,0),"")</f>
        <v/>
      </c>
      <c r="L143" s="334" t="n"/>
      <c r="M143" s="334" t="n"/>
      <c r="N143" s="333">
        <f>IFERROR(IF(L143*M143=0,"",L143*M143),"")</f>
        <v/>
      </c>
      <c r="O143" s="334" t="n"/>
      <c r="P143" s="332">
        <f>IFERROR(VLOOKUP(TEXT(O143,"0"),CONDUCTORES!$A$3:$G$54,2,0),"")</f>
        <v/>
      </c>
      <c r="Q143" s="332">
        <f>IFERROR(VLOOKUP(TEXT(O143,"0"),CONDUCTORES!$A$3:$H$54,6,0),"")</f>
        <v/>
      </c>
      <c r="R143" s="334" t="n"/>
      <c r="S143" s="334" t="n"/>
      <c r="T143" s="334" t="n"/>
      <c r="U143" s="334" t="n"/>
      <c r="V143" s="334" t="n"/>
      <c r="W143" s="334" t="n"/>
      <c r="X143" s="334" t="n"/>
      <c r="Y143" s="334" t="n"/>
    </row>
    <row r="144" ht="15" customHeight="1" s="195">
      <c r="A144" s="280" t="n"/>
      <c r="B144" s="280" t="n"/>
      <c r="C144" s="280" t="n"/>
      <c r="D144" s="280" t="n"/>
      <c r="E144" s="280" t="n"/>
      <c r="F144" s="280" t="n"/>
      <c r="G144" s="280" t="n"/>
      <c r="H144" s="280" t="n"/>
      <c r="I144" s="332">
        <f>IFERROR(VLOOKUP(TEXT(H144,"0"),IPRESS!$A$3:$B$212,2,0),"")</f>
        <v/>
      </c>
      <c r="J144" s="280" t="n"/>
      <c r="K144" s="332">
        <f>IFERROR(VLOOKUP(TEXT(O144,"0"),CONDUCTORES!$A$3:$G$54,7,0),"")</f>
        <v/>
      </c>
      <c r="L144" s="280" t="n"/>
      <c r="M144" s="280" t="n"/>
      <c r="N144" s="333">
        <f>IFERROR(IF(L144*M144=0,"",L144*M144),"")</f>
        <v/>
      </c>
      <c r="O144" s="280" t="n"/>
      <c r="P144" s="332">
        <f>IFERROR(VLOOKUP(TEXT(O144,"0"),CONDUCTORES!$A$3:$G$54,2,0),"")</f>
        <v/>
      </c>
      <c r="Q144" s="332">
        <f>IFERROR(VLOOKUP(TEXT(O144,"0"),CONDUCTORES!$A$3:$H$54,6,0),"")</f>
        <v/>
      </c>
      <c r="R144" s="280" t="n"/>
      <c r="S144" s="280" t="n"/>
      <c r="T144" s="280" t="n"/>
      <c r="U144" s="280" t="n"/>
      <c r="V144" s="280" t="n"/>
      <c r="W144" s="280" t="n"/>
      <c r="X144" s="280" t="n"/>
      <c r="Y144" s="280" t="n"/>
    </row>
    <row r="145" ht="15" customHeight="1" s="195">
      <c r="A145" s="334" t="n"/>
      <c r="B145" s="334" t="n"/>
      <c r="C145" s="334" t="n"/>
      <c r="D145" s="334" t="n"/>
      <c r="E145" s="334" t="n"/>
      <c r="F145" s="334" t="n"/>
      <c r="G145" s="334" t="n"/>
      <c r="H145" s="334" t="n"/>
      <c r="I145" s="332">
        <f>IFERROR(VLOOKUP(TEXT(H145,"0"),IPRESS!$A$3:$B$212,2,0),"")</f>
        <v/>
      </c>
      <c r="J145" s="334" t="n"/>
      <c r="K145" s="332">
        <f>IFERROR(VLOOKUP(TEXT(O145,"0"),CONDUCTORES!$A$3:$G$54,7,0),"")</f>
        <v/>
      </c>
      <c r="L145" s="334" t="n"/>
      <c r="M145" s="334" t="n"/>
      <c r="N145" s="333">
        <f>IFERROR(IF(L145*M145=0,"",L145*M145),"")</f>
        <v/>
      </c>
      <c r="O145" s="334" t="n"/>
      <c r="P145" s="332">
        <f>IFERROR(VLOOKUP(TEXT(O145,"0"),CONDUCTORES!$A$3:$G$54,2,0),"")</f>
        <v/>
      </c>
      <c r="Q145" s="332">
        <f>IFERROR(VLOOKUP(TEXT(O145,"0"),CONDUCTORES!$A$3:$H$54,6,0),"")</f>
        <v/>
      </c>
      <c r="R145" s="334" t="n"/>
      <c r="S145" s="334" t="n"/>
      <c r="T145" s="334" t="n"/>
      <c r="U145" s="334" t="n"/>
      <c r="V145" s="334" t="n"/>
      <c r="W145" s="334" t="n"/>
      <c r="X145" s="334" t="n"/>
      <c r="Y145" s="334" t="n"/>
    </row>
    <row r="146" ht="15" customHeight="1" s="195">
      <c r="A146" s="280" t="n"/>
      <c r="B146" s="280" t="n"/>
      <c r="C146" s="280" t="n"/>
      <c r="D146" s="280" t="n"/>
      <c r="E146" s="280" t="n"/>
      <c r="F146" s="280" t="n"/>
      <c r="G146" s="280" t="n"/>
      <c r="H146" s="280" t="n"/>
      <c r="I146" s="332">
        <f>IFERROR(VLOOKUP(TEXT(H146,"0"),IPRESS!$A$3:$B$212,2,0),"")</f>
        <v/>
      </c>
      <c r="J146" s="280" t="n"/>
      <c r="K146" s="332">
        <f>IFERROR(VLOOKUP(TEXT(O146,"0"),CONDUCTORES!$A$3:$G$54,7,0),"")</f>
        <v/>
      </c>
      <c r="L146" s="280" t="n"/>
      <c r="M146" s="280" t="n"/>
      <c r="N146" s="333">
        <f>IFERROR(IF(L146*M146=0,"",L146*M146),"")</f>
        <v/>
      </c>
      <c r="O146" s="280" t="n"/>
      <c r="P146" s="332">
        <f>IFERROR(VLOOKUP(TEXT(O146,"0"),CONDUCTORES!$A$3:$G$54,2,0),"")</f>
        <v/>
      </c>
      <c r="Q146" s="332">
        <f>IFERROR(VLOOKUP(TEXT(O146,"0"),CONDUCTORES!$A$3:$H$54,6,0),"")</f>
        <v/>
      </c>
      <c r="R146" s="280" t="n"/>
      <c r="S146" s="280" t="n"/>
      <c r="T146" s="280" t="n"/>
      <c r="U146" s="280" t="n"/>
      <c r="V146" s="280" t="n"/>
      <c r="W146" s="280" t="n"/>
      <c r="X146" s="280" t="n"/>
      <c r="Y146" s="280" t="n"/>
    </row>
    <row r="147" ht="15" customHeight="1" s="195">
      <c r="A147" s="334" t="n"/>
      <c r="B147" s="334" t="n"/>
      <c r="C147" s="334" t="n"/>
      <c r="D147" s="334" t="n"/>
      <c r="E147" s="334" t="n"/>
      <c r="F147" s="334" t="n"/>
      <c r="G147" s="334" t="n"/>
      <c r="H147" s="334" t="n"/>
      <c r="I147" s="332">
        <f>IFERROR(VLOOKUP(TEXT(H147,"0"),IPRESS!$A$3:$B$212,2,0),"")</f>
        <v/>
      </c>
      <c r="J147" s="334" t="n"/>
      <c r="K147" s="332">
        <f>IFERROR(VLOOKUP(TEXT(O147,"0"),CONDUCTORES!$A$3:$G$54,7,0),"")</f>
        <v/>
      </c>
      <c r="L147" s="334" t="n"/>
      <c r="M147" s="334" t="n"/>
      <c r="N147" s="333">
        <f>IFERROR(IF(L147*M147=0,"",L147*M147),"")</f>
        <v/>
      </c>
      <c r="O147" s="334" t="n"/>
      <c r="P147" s="332">
        <f>IFERROR(VLOOKUP(TEXT(O147,"0"),CONDUCTORES!$A$3:$G$54,2,0),"")</f>
        <v/>
      </c>
      <c r="Q147" s="332">
        <f>IFERROR(VLOOKUP(TEXT(O147,"0"),CONDUCTORES!$A$3:$H$54,6,0),"")</f>
        <v/>
      </c>
      <c r="R147" s="334" t="n"/>
      <c r="S147" s="334" t="n"/>
      <c r="T147" s="334" t="n"/>
      <c r="U147" s="334" t="n"/>
      <c r="V147" s="334" t="n"/>
      <c r="W147" s="334" t="n"/>
      <c r="X147" s="334" t="n"/>
      <c r="Y147" s="334" t="n"/>
    </row>
    <row r="148" ht="15" customHeight="1" s="195">
      <c r="A148" s="280" t="n"/>
      <c r="B148" s="280" t="n"/>
      <c r="C148" s="280" t="n"/>
      <c r="D148" s="280" t="n"/>
      <c r="E148" s="280" t="n"/>
      <c r="F148" s="280" t="n"/>
      <c r="G148" s="280" t="n"/>
      <c r="H148" s="280" t="n"/>
      <c r="I148" s="332">
        <f>IFERROR(VLOOKUP(TEXT(H148,"0"),IPRESS!$A$3:$B$212,2,0),"")</f>
        <v/>
      </c>
      <c r="J148" s="280" t="n"/>
      <c r="K148" s="332">
        <f>IFERROR(VLOOKUP(TEXT(O148,"0"),CONDUCTORES!$A$3:$G$54,7,0),"")</f>
        <v/>
      </c>
      <c r="L148" s="280" t="n"/>
      <c r="M148" s="280" t="n"/>
      <c r="N148" s="333">
        <f>IFERROR(IF(L148*M148=0,"",L148*M148),"")</f>
        <v/>
      </c>
      <c r="O148" s="280" t="n"/>
      <c r="P148" s="332">
        <f>IFERROR(VLOOKUP(TEXT(O148,"0"),CONDUCTORES!$A$3:$G$54,2,0),"")</f>
        <v/>
      </c>
      <c r="Q148" s="332">
        <f>IFERROR(VLOOKUP(TEXT(O148,"0"),CONDUCTORES!$A$3:$H$54,6,0),"")</f>
        <v/>
      </c>
      <c r="R148" s="280" t="n"/>
      <c r="S148" s="280" t="n"/>
      <c r="T148" s="280" t="n"/>
      <c r="U148" s="280" t="n"/>
      <c r="V148" s="280" t="n"/>
      <c r="W148" s="280" t="n"/>
      <c r="X148" s="280" t="n"/>
      <c r="Y148" s="280" t="n"/>
    </row>
    <row r="149" ht="15" customHeight="1" s="195">
      <c r="A149" s="334" t="n"/>
      <c r="B149" s="334" t="n"/>
      <c r="C149" s="334" t="n"/>
      <c r="D149" s="334" t="n"/>
      <c r="E149" s="334" t="n"/>
      <c r="F149" s="334" t="n"/>
      <c r="G149" s="334" t="n"/>
      <c r="H149" s="334" t="n"/>
      <c r="I149" s="332">
        <f>IFERROR(VLOOKUP(TEXT(H149,"0"),IPRESS!$A$3:$B$212,2,0),"")</f>
        <v/>
      </c>
      <c r="J149" s="334" t="n"/>
      <c r="K149" s="332">
        <f>IFERROR(VLOOKUP(TEXT(O149,"0"),CONDUCTORES!$A$3:$G$54,7,0),"")</f>
        <v/>
      </c>
      <c r="L149" s="334" t="n"/>
      <c r="M149" s="334" t="n"/>
      <c r="N149" s="333">
        <f>IFERROR(IF(L149*M149=0,"",L149*M149),"")</f>
        <v/>
      </c>
      <c r="O149" s="334" t="n"/>
      <c r="P149" s="332">
        <f>IFERROR(VLOOKUP(TEXT(O149,"0"),CONDUCTORES!$A$3:$G$54,2,0),"")</f>
        <v/>
      </c>
      <c r="Q149" s="332">
        <f>IFERROR(VLOOKUP(TEXT(O149,"0"),CONDUCTORES!$A$3:$H$54,6,0),"")</f>
        <v/>
      </c>
      <c r="R149" s="334" t="n"/>
      <c r="S149" s="334" t="n"/>
      <c r="T149" s="334" t="n"/>
      <c r="U149" s="334" t="n"/>
      <c r="V149" s="334" t="n"/>
      <c r="W149" s="334" t="n"/>
      <c r="X149" s="334" t="n"/>
      <c r="Y149" s="334" t="n"/>
    </row>
    <row r="150" ht="15" customHeight="1" s="195">
      <c r="A150" s="280" t="n"/>
      <c r="B150" s="280" t="n"/>
      <c r="C150" s="280" t="n"/>
      <c r="D150" s="280" t="n"/>
      <c r="E150" s="280" t="n"/>
      <c r="F150" s="280" t="n"/>
      <c r="G150" s="280" t="n"/>
      <c r="H150" s="280" t="n"/>
      <c r="I150" s="332">
        <f>IFERROR(VLOOKUP(TEXT(H150,"0"),IPRESS!$A$3:$B$212,2,0),"")</f>
        <v/>
      </c>
      <c r="J150" s="280" t="n"/>
      <c r="K150" s="332">
        <f>IFERROR(VLOOKUP(TEXT(O150,"0"),CONDUCTORES!$A$3:$G$54,7,0),"")</f>
        <v/>
      </c>
      <c r="L150" s="280" t="n"/>
      <c r="M150" s="280" t="n"/>
      <c r="N150" s="333">
        <f>IFERROR(IF(L150*M150=0,"",L150*M150),"")</f>
        <v/>
      </c>
      <c r="O150" s="280" t="n"/>
      <c r="P150" s="332">
        <f>IFERROR(VLOOKUP(TEXT(O150,"0"),CONDUCTORES!$A$3:$G$54,2,0),"")</f>
        <v/>
      </c>
      <c r="Q150" s="332">
        <f>IFERROR(VLOOKUP(TEXT(O150,"0"),CONDUCTORES!$A$3:$H$54,6,0),"")</f>
        <v/>
      </c>
      <c r="R150" s="280" t="n"/>
      <c r="S150" s="280" t="n"/>
      <c r="T150" s="280" t="n"/>
      <c r="U150" s="280" t="n"/>
      <c r="V150" s="280" t="n"/>
      <c r="W150" s="280" t="n"/>
      <c r="X150" s="280" t="n"/>
      <c r="Y150" s="280" t="n"/>
    </row>
    <row r="151" ht="15" customHeight="1" s="195">
      <c r="A151" s="334" t="n"/>
      <c r="B151" s="334" t="n"/>
      <c r="C151" s="334" t="n"/>
      <c r="D151" s="334" t="n"/>
      <c r="E151" s="334" t="n"/>
      <c r="F151" s="334" t="n"/>
      <c r="G151" s="334" t="n"/>
      <c r="H151" s="334" t="n"/>
      <c r="I151" s="332">
        <f>IFERROR(VLOOKUP(TEXT(H151,"0"),IPRESS!$A$3:$B$212,2,0),"")</f>
        <v/>
      </c>
      <c r="J151" s="334" t="n"/>
      <c r="K151" s="332">
        <f>IFERROR(VLOOKUP(TEXT(O151,"0"),CONDUCTORES!$A$3:$G$54,7,0),"")</f>
        <v/>
      </c>
      <c r="L151" s="334" t="n"/>
      <c r="M151" s="334" t="n"/>
      <c r="N151" s="333">
        <f>IFERROR(IF(L151*M151=0,"",L151*M151),"")</f>
        <v/>
      </c>
      <c r="O151" s="334" t="n"/>
      <c r="P151" s="332">
        <f>IFERROR(VLOOKUP(TEXT(O151,"0"),CONDUCTORES!$A$3:$G$54,2,0),"")</f>
        <v/>
      </c>
      <c r="Q151" s="332">
        <f>IFERROR(VLOOKUP(TEXT(O151,"0"),CONDUCTORES!$A$3:$H$54,6,0),"")</f>
        <v/>
      </c>
      <c r="R151" s="334" t="n"/>
      <c r="S151" s="334" t="n"/>
      <c r="T151" s="334" t="n"/>
      <c r="U151" s="334" t="n"/>
      <c r="V151" s="334" t="n"/>
      <c r="W151" s="334" t="n"/>
      <c r="X151" s="334" t="n"/>
      <c r="Y151" s="334" t="n"/>
    </row>
    <row r="152" ht="15" customHeight="1" s="195">
      <c r="A152" s="280" t="n"/>
      <c r="B152" s="280" t="n"/>
      <c r="C152" s="280" t="n"/>
      <c r="D152" s="280" t="n"/>
      <c r="E152" s="280" t="n"/>
      <c r="F152" s="280" t="n"/>
      <c r="G152" s="280" t="n"/>
      <c r="H152" s="280" t="n"/>
      <c r="I152" s="332">
        <f>IFERROR(VLOOKUP(TEXT(H152,"0"),IPRESS!$A$3:$B$212,2,0),"")</f>
        <v/>
      </c>
      <c r="J152" s="280" t="n"/>
      <c r="K152" s="332">
        <f>IFERROR(VLOOKUP(TEXT(O152,"0"),CONDUCTORES!$A$3:$G$54,7,0),"")</f>
        <v/>
      </c>
      <c r="L152" s="280" t="n"/>
      <c r="M152" s="280" t="n"/>
      <c r="N152" s="333">
        <f>IFERROR(IF(L152*M152=0,"",L152*M152),"")</f>
        <v/>
      </c>
      <c r="O152" s="280" t="n"/>
      <c r="P152" s="332">
        <f>IFERROR(VLOOKUP(TEXT(O152,"0"),CONDUCTORES!$A$3:$G$54,2,0),"")</f>
        <v/>
      </c>
      <c r="Q152" s="332">
        <f>IFERROR(VLOOKUP(TEXT(O152,"0"),CONDUCTORES!$A$3:$H$54,6,0),"")</f>
        <v/>
      </c>
      <c r="R152" s="280" t="n"/>
      <c r="S152" s="280" t="n"/>
      <c r="T152" s="280" t="n"/>
      <c r="U152" s="280" t="n"/>
      <c r="V152" s="280" t="n"/>
      <c r="W152" s="280" t="n"/>
      <c r="X152" s="280" t="n"/>
      <c r="Y152" s="280" t="n"/>
    </row>
    <row r="153" ht="15" customHeight="1" s="195">
      <c r="A153" s="334" t="n"/>
      <c r="B153" s="334" t="n"/>
      <c r="C153" s="334" t="n"/>
      <c r="D153" s="334" t="n"/>
      <c r="E153" s="334" t="n"/>
      <c r="F153" s="334" t="n"/>
      <c r="G153" s="334" t="n"/>
      <c r="H153" s="334" t="n"/>
      <c r="I153" s="332">
        <f>IFERROR(VLOOKUP(TEXT(H153,"0"),IPRESS!$A$3:$B$212,2,0),"")</f>
        <v/>
      </c>
      <c r="J153" s="334" t="n"/>
      <c r="K153" s="332">
        <f>IFERROR(VLOOKUP(TEXT(O153,"0"),CONDUCTORES!$A$3:$G$54,7,0),"")</f>
        <v/>
      </c>
      <c r="L153" s="334" t="n"/>
      <c r="M153" s="334" t="n"/>
      <c r="N153" s="333">
        <f>IFERROR(IF(L153*M153=0,"",L153*M153),"")</f>
        <v/>
      </c>
      <c r="O153" s="334" t="n"/>
      <c r="P153" s="332">
        <f>IFERROR(VLOOKUP(TEXT(O153,"0"),CONDUCTORES!$A$3:$G$54,2,0),"")</f>
        <v/>
      </c>
      <c r="Q153" s="332">
        <f>IFERROR(VLOOKUP(TEXT(O153,"0"),CONDUCTORES!$A$3:$H$54,6,0),"")</f>
        <v/>
      </c>
      <c r="R153" s="334" t="n"/>
      <c r="S153" s="334" t="n"/>
      <c r="T153" s="334" t="n"/>
      <c r="U153" s="334" t="n"/>
      <c r="V153" s="334" t="n"/>
      <c r="W153" s="334" t="n"/>
      <c r="X153" s="334" t="n"/>
      <c r="Y153" s="334" t="n"/>
    </row>
    <row r="154" ht="15" customHeight="1" s="195">
      <c r="A154" s="280" t="n"/>
      <c r="B154" s="280" t="n"/>
      <c r="C154" s="280" t="n"/>
      <c r="D154" s="280" t="n"/>
      <c r="E154" s="280" t="n"/>
      <c r="F154" s="280" t="n"/>
      <c r="G154" s="280" t="n"/>
      <c r="H154" s="280" t="n"/>
      <c r="I154" s="332">
        <f>IFERROR(VLOOKUP(TEXT(H154,"0"),IPRESS!$A$3:$B$212,2,0),"")</f>
        <v/>
      </c>
      <c r="J154" s="280" t="n"/>
      <c r="K154" s="332">
        <f>IFERROR(VLOOKUP(TEXT(O154,"0"),CONDUCTORES!$A$3:$G$54,7,0),"")</f>
        <v/>
      </c>
      <c r="L154" s="280" t="n"/>
      <c r="M154" s="280" t="n"/>
      <c r="N154" s="333">
        <f>IFERROR(IF(L154*M154=0,"",L154*M154),"")</f>
        <v/>
      </c>
      <c r="O154" s="280" t="n"/>
      <c r="P154" s="332">
        <f>IFERROR(VLOOKUP(TEXT(O154,"0"),CONDUCTORES!$A$3:$G$54,2,0),"")</f>
        <v/>
      </c>
      <c r="Q154" s="332">
        <f>IFERROR(VLOOKUP(TEXT(O154,"0"),CONDUCTORES!$A$3:$H$54,6,0),"")</f>
        <v/>
      </c>
      <c r="R154" s="280" t="n"/>
      <c r="S154" s="280" t="n"/>
      <c r="T154" s="280" t="n"/>
      <c r="U154" s="280" t="n"/>
      <c r="V154" s="280" t="n"/>
      <c r="W154" s="280" t="n"/>
      <c r="X154" s="280" t="n"/>
      <c r="Y154" s="280" t="n"/>
    </row>
    <row r="155" ht="15" customHeight="1" s="195">
      <c r="A155" s="334" t="n"/>
      <c r="B155" s="334" t="n"/>
      <c r="C155" s="334" t="n"/>
      <c r="D155" s="334" t="n"/>
      <c r="E155" s="334" t="n"/>
      <c r="F155" s="334" t="n"/>
      <c r="G155" s="334" t="n"/>
      <c r="H155" s="334" t="n"/>
      <c r="I155" s="332">
        <f>IFERROR(VLOOKUP(TEXT(H155,"0"),IPRESS!$A$3:$B$212,2,0),"")</f>
        <v/>
      </c>
      <c r="J155" s="334" t="n"/>
      <c r="K155" s="332">
        <f>IFERROR(VLOOKUP(TEXT(O155,"0"),CONDUCTORES!$A$3:$G$54,7,0),"")</f>
        <v/>
      </c>
      <c r="L155" s="334" t="n"/>
      <c r="M155" s="334" t="n"/>
      <c r="N155" s="333">
        <f>IFERROR(IF(L155*M155=0,"",L155*M155),"")</f>
        <v/>
      </c>
      <c r="O155" s="334" t="n"/>
      <c r="P155" s="332">
        <f>IFERROR(VLOOKUP(TEXT(O155,"0"),CONDUCTORES!$A$3:$G$54,2,0),"")</f>
        <v/>
      </c>
      <c r="Q155" s="332">
        <f>IFERROR(VLOOKUP(TEXT(O155,"0"),CONDUCTORES!$A$3:$H$54,6,0),"")</f>
        <v/>
      </c>
      <c r="R155" s="334" t="n"/>
      <c r="S155" s="334" t="n"/>
      <c r="T155" s="334" t="n"/>
      <c r="U155" s="334" t="n"/>
      <c r="V155" s="334" t="n"/>
      <c r="W155" s="334" t="n"/>
      <c r="X155" s="334" t="n"/>
      <c r="Y155" s="334" t="n"/>
    </row>
    <row r="156" ht="15" customHeight="1" s="195">
      <c r="A156" s="280" t="n"/>
      <c r="B156" s="280" t="n"/>
      <c r="C156" s="280" t="n"/>
      <c r="D156" s="280" t="n"/>
      <c r="E156" s="280" t="n"/>
      <c r="F156" s="280" t="n"/>
      <c r="G156" s="280" t="n"/>
      <c r="H156" s="280" t="n"/>
      <c r="I156" s="332">
        <f>IFERROR(VLOOKUP(TEXT(H156,"0"),IPRESS!$A$3:$B$212,2,0),"")</f>
        <v/>
      </c>
      <c r="J156" s="280" t="n"/>
      <c r="K156" s="332">
        <f>IFERROR(VLOOKUP(TEXT(O156,"0"),CONDUCTORES!$A$3:$G$54,7,0),"")</f>
        <v/>
      </c>
      <c r="L156" s="280" t="n"/>
      <c r="M156" s="280" t="n"/>
      <c r="N156" s="333">
        <f>IFERROR(IF(L156*M156=0,"",L156*M156),"")</f>
        <v/>
      </c>
      <c r="O156" s="280" t="n"/>
      <c r="P156" s="332">
        <f>IFERROR(VLOOKUP(TEXT(O156,"0"),CONDUCTORES!$A$3:$G$54,2,0),"")</f>
        <v/>
      </c>
      <c r="Q156" s="332">
        <f>IFERROR(VLOOKUP(TEXT(O156,"0"),CONDUCTORES!$A$3:$H$54,6,0),"")</f>
        <v/>
      </c>
      <c r="R156" s="280" t="n"/>
      <c r="S156" s="280" t="n"/>
      <c r="T156" s="280" t="n"/>
      <c r="U156" s="280" t="n"/>
      <c r="V156" s="280" t="n"/>
      <c r="W156" s="280" t="n"/>
      <c r="X156" s="280" t="n"/>
      <c r="Y156" s="280" t="n"/>
    </row>
    <row r="157" ht="15" customHeight="1" s="195">
      <c r="A157" s="334" t="n"/>
      <c r="B157" s="334" t="n"/>
      <c r="C157" s="334" t="n"/>
      <c r="D157" s="334" t="n"/>
      <c r="E157" s="334" t="n"/>
      <c r="F157" s="334" t="n"/>
      <c r="G157" s="334" t="n"/>
      <c r="H157" s="334" t="n"/>
      <c r="I157" s="332">
        <f>IFERROR(VLOOKUP(TEXT(H157,"0"),IPRESS!$A$3:$B$212,2,0),"")</f>
        <v/>
      </c>
      <c r="J157" s="334" t="n"/>
      <c r="K157" s="332">
        <f>IFERROR(VLOOKUP(TEXT(O157,"0"),CONDUCTORES!$A$3:$G$54,7,0),"")</f>
        <v/>
      </c>
      <c r="L157" s="334" t="n"/>
      <c r="M157" s="334" t="n"/>
      <c r="N157" s="333">
        <f>IFERROR(IF(L157*M157=0,"",L157*M157),"")</f>
        <v/>
      </c>
      <c r="O157" s="334" t="n"/>
      <c r="P157" s="332">
        <f>IFERROR(VLOOKUP(TEXT(O157,"0"),CONDUCTORES!$A$3:$G$54,2,0),"")</f>
        <v/>
      </c>
      <c r="Q157" s="332">
        <f>IFERROR(VLOOKUP(TEXT(O157,"0"),CONDUCTORES!$A$3:$H$54,6,0),"")</f>
        <v/>
      </c>
      <c r="R157" s="334" t="n"/>
      <c r="S157" s="334" t="n"/>
      <c r="T157" s="334" t="n"/>
      <c r="U157" s="334" t="n"/>
      <c r="V157" s="334" t="n"/>
      <c r="W157" s="334" t="n"/>
      <c r="X157" s="334" t="n"/>
      <c r="Y157" s="334" t="n"/>
    </row>
    <row r="158" ht="15" customHeight="1" s="195">
      <c r="A158" s="280" t="n"/>
      <c r="B158" s="280" t="n"/>
      <c r="C158" s="280" t="n"/>
      <c r="D158" s="280" t="n"/>
      <c r="E158" s="280" t="n"/>
      <c r="F158" s="280" t="n"/>
      <c r="G158" s="280" t="n"/>
      <c r="H158" s="280" t="n"/>
      <c r="I158" s="332">
        <f>IFERROR(VLOOKUP(TEXT(H158,"0"),IPRESS!$A$3:$B$212,2,0),"")</f>
        <v/>
      </c>
      <c r="J158" s="280" t="n"/>
      <c r="K158" s="332">
        <f>IFERROR(VLOOKUP(TEXT(O158,"0"),CONDUCTORES!$A$3:$G$54,7,0),"")</f>
        <v/>
      </c>
      <c r="L158" s="280" t="n"/>
      <c r="M158" s="280" t="n"/>
      <c r="N158" s="333">
        <f>IFERROR(IF(L158*M158=0,"",L158*M158),"")</f>
        <v/>
      </c>
      <c r="O158" s="280" t="n"/>
      <c r="P158" s="332">
        <f>IFERROR(VLOOKUP(TEXT(O158,"0"),CONDUCTORES!$A$3:$G$54,2,0),"")</f>
        <v/>
      </c>
      <c r="Q158" s="332">
        <f>IFERROR(VLOOKUP(TEXT(O158,"0"),CONDUCTORES!$A$3:$H$54,6,0),"")</f>
        <v/>
      </c>
      <c r="R158" s="280" t="n"/>
      <c r="S158" s="280" t="n"/>
      <c r="T158" s="280" t="n"/>
      <c r="U158" s="280" t="n"/>
      <c r="V158" s="280" t="n"/>
      <c r="W158" s="280" t="n"/>
      <c r="X158" s="280" t="n"/>
      <c r="Y158" s="280" t="n"/>
    </row>
    <row r="159" ht="15" customHeight="1" s="195">
      <c r="A159" s="334" t="n"/>
      <c r="B159" s="334" t="n"/>
      <c r="C159" s="334" t="n"/>
      <c r="D159" s="334" t="n"/>
      <c r="E159" s="334" t="n"/>
      <c r="F159" s="334" t="n"/>
      <c r="G159" s="334" t="n"/>
      <c r="H159" s="334" t="n"/>
      <c r="I159" s="332">
        <f>IFERROR(VLOOKUP(TEXT(H159,"0"),IPRESS!$A$3:$B$212,2,0),"")</f>
        <v/>
      </c>
      <c r="J159" s="334" t="n"/>
      <c r="K159" s="332">
        <f>IFERROR(VLOOKUP(TEXT(O159,"0"),CONDUCTORES!$A$3:$G$54,7,0),"")</f>
        <v/>
      </c>
      <c r="L159" s="334" t="n"/>
      <c r="M159" s="334" t="n"/>
      <c r="N159" s="333">
        <f>IFERROR(IF(L159*M159=0,"",L159*M159),"")</f>
        <v/>
      </c>
      <c r="O159" s="334" t="n"/>
      <c r="P159" s="332">
        <f>IFERROR(VLOOKUP(TEXT(O159,"0"),CONDUCTORES!$A$3:$G$54,2,0),"")</f>
        <v/>
      </c>
      <c r="Q159" s="332">
        <f>IFERROR(VLOOKUP(TEXT(O159,"0"),CONDUCTORES!$A$3:$H$54,6,0),"")</f>
        <v/>
      </c>
      <c r="R159" s="334" t="n"/>
      <c r="S159" s="334" t="n"/>
      <c r="T159" s="334" t="n"/>
      <c r="U159" s="334" t="n"/>
      <c r="V159" s="334" t="n"/>
      <c r="W159" s="334" t="n"/>
      <c r="X159" s="334" t="n"/>
      <c r="Y159" s="334" t="n"/>
    </row>
    <row r="160" ht="15" customHeight="1" s="195">
      <c r="A160" s="280" t="n"/>
      <c r="B160" s="280" t="n"/>
      <c r="C160" s="280" t="n"/>
      <c r="D160" s="280" t="n"/>
      <c r="E160" s="280" t="n"/>
      <c r="F160" s="280" t="n"/>
      <c r="G160" s="280" t="n"/>
      <c r="H160" s="280" t="n"/>
      <c r="I160" s="332">
        <f>IFERROR(VLOOKUP(TEXT(H160,"0"),IPRESS!$A$3:$B$212,2,0),"")</f>
        <v/>
      </c>
      <c r="J160" s="280" t="n"/>
      <c r="K160" s="332">
        <f>IFERROR(VLOOKUP(TEXT(O160,"0"),CONDUCTORES!$A$3:$G$54,7,0),"")</f>
        <v/>
      </c>
      <c r="L160" s="280" t="n"/>
      <c r="M160" s="280" t="n"/>
      <c r="N160" s="333">
        <f>IFERROR(IF(L160*M160=0,"",L160*M160),"")</f>
        <v/>
      </c>
      <c r="O160" s="280" t="n"/>
      <c r="P160" s="332">
        <f>IFERROR(VLOOKUP(TEXT(O160,"0"),CONDUCTORES!$A$3:$G$54,2,0),"")</f>
        <v/>
      </c>
      <c r="Q160" s="332">
        <f>IFERROR(VLOOKUP(TEXT(O160,"0"),CONDUCTORES!$A$3:$H$54,6,0),"")</f>
        <v/>
      </c>
      <c r="R160" s="280" t="n"/>
      <c r="S160" s="280" t="n"/>
      <c r="T160" s="280" t="n"/>
      <c r="U160" s="280" t="n"/>
      <c r="V160" s="280" t="n"/>
      <c r="W160" s="280" t="n"/>
      <c r="X160" s="280" t="n"/>
      <c r="Y160" s="280" t="n"/>
    </row>
    <row r="161" ht="15" customHeight="1" s="195">
      <c r="A161" s="334" t="n"/>
      <c r="B161" s="334" t="n"/>
      <c r="C161" s="334" t="n"/>
      <c r="D161" s="334" t="n"/>
      <c r="E161" s="334" t="n"/>
      <c r="F161" s="334" t="n"/>
      <c r="G161" s="334" t="n"/>
      <c r="H161" s="334" t="n"/>
      <c r="I161" s="332">
        <f>IFERROR(VLOOKUP(TEXT(H161,"0"),IPRESS!$A$3:$B$212,2,0),"")</f>
        <v/>
      </c>
      <c r="J161" s="334" t="n"/>
      <c r="K161" s="332">
        <f>IFERROR(VLOOKUP(TEXT(O161,"0"),CONDUCTORES!$A$3:$G$54,7,0),"")</f>
        <v/>
      </c>
      <c r="L161" s="334" t="n"/>
      <c r="M161" s="334" t="n"/>
      <c r="N161" s="333">
        <f>IFERROR(IF(L161*M161=0,"",L161*M161),"")</f>
        <v/>
      </c>
      <c r="O161" s="334" t="n"/>
      <c r="P161" s="332">
        <f>IFERROR(VLOOKUP(TEXT(O161,"0"),CONDUCTORES!$A$3:$G$54,2,0),"")</f>
        <v/>
      </c>
      <c r="Q161" s="332">
        <f>IFERROR(VLOOKUP(TEXT(O161,"0"),CONDUCTORES!$A$3:$H$54,6,0),"")</f>
        <v/>
      </c>
      <c r="R161" s="334" t="n"/>
      <c r="S161" s="334" t="n"/>
      <c r="T161" s="334" t="n"/>
      <c r="U161" s="334" t="n"/>
      <c r="V161" s="334" t="n"/>
      <c r="W161" s="334" t="n"/>
      <c r="X161" s="334" t="n"/>
      <c r="Y161" s="334" t="n"/>
    </row>
    <row r="162" ht="15" customHeight="1" s="195">
      <c r="A162" s="280" t="n"/>
      <c r="B162" s="280" t="n"/>
      <c r="C162" s="280" t="n"/>
      <c r="D162" s="280" t="n"/>
      <c r="E162" s="280" t="n"/>
      <c r="F162" s="280" t="n"/>
      <c r="G162" s="280" t="n"/>
      <c r="H162" s="280" t="n"/>
      <c r="I162" s="332">
        <f>IFERROR(VLOOKUP(TEXT(H162,"0"),IPRESS!$A$3:$B$212,2,0),"")</f>
        <v/>
      </c>
      <c r="J162" s="280" t="n"/>
      <c r="K162" s="332">
        <f>IFERROR(VLOOKUP(TEXT(O162,"0"),CONDUCTORES!$A$3:$G$54,7,0),"")</f>
        <v/>
      </c>
      <c r="L162" s="280" t="n"/>
      <c r="M162" s="280" t="n"/>
      <c r="N162" s="333">
        <f>IFERROR(IF(L162*M162=0,"",L162*M162),"")</f>
        <v/>
      </c>
      <c r="O162" s="280" t="n"/>
      <c r="P162" s="332">
        <f>IFERROR(VLOOKUP(TEXT(O162,"0"),CONDUCTORES!$A$3:$G$54,2,0),"")</f>
        <v/>
      </c>
      <c r="Q162" s="332">
        <f>IFERROR(VLOOKUP(TEXT(O162,"0"),CONDUCTORES!$A$3:$H$54,6,0),"")</f>
        <v/>
      </c>
      <c r="R162" s="280" t="n"/>
      <c r="S162" s="280" t="n"/>
      <c r="T162" s="280" t="n"/>
      <c r="U162" s="280" t="n"/>
      <c r="V162" s="280" t="n"/>
      <c r="W162" s="280" t="n"/>
      <c r="X162" s="280" t="n"/>
      <c r="Y162" s="280" t="n"/>
    </row>
    <row r="163" ht="15" customHeight="1" s="195">
      <c r="A163" s="334" t="n"/>
      <c r="B163" s="334" t="n"/>
      <c r="C163" s="334" t="n"/>
      <c r="D163" s="334" t="n"/>
      <c r="E163" s="334" t="n"/>
      <c r="F163" s="334" t="n"/>
      <c r="G163" s="334" t="n"/>
      <c r="H163" s="334" t="n"/>
      <c r="I163" s="332">
        <f>IFERROR(VLOOKUP(TEXT(H163,"0"),IPRESS!$A$3:$B$212,2,0),"")</f>
        <v/>
      </c>
      <c r="J163" s="334" t="n"/>
      <c r="K163" s="332">
        <f>IFERROR(VLOOKUP(TEXT(O163,"0"),CONDUCTORES!$A$3:$G$54,7,0),"")</f>
        <v/>
      </c>
      <c r="L163" s="334" t="n"/>
      <c r="M163" s="334" t="n"/>
      <c r="N163" s="333">
        <f>IFERROR(IF(L163*M163=0,"",L163*M163),"")</f>
        <v/>
      </c>
      <c r="O163" s="334" t="n"/>
      <c r="P163" s="332">
        <f>IFERROR(VLOOKUP(TEXT(O163,"0"),CONDUCTORES!$A$3:$G$54,2,0),"")</f>
        <v/>
      </c>
      <c r="Q163" s="332">
        <f>IFERROR(VLOOKUP(TEXT(O163,"0"),CONDUCTORES!$A$3:$H$54,6,0),"")</f>
        <v/>
      </c>
      <c r="R163" s="334" t="n"/>
      <c r="S163" s="334" t="n"/>
      <c r="T163" s="334" t="n"/>
      <c r="U163" s="334" t="n"/>
      <c r="V163" s="334" t="n"/>
      <c r="W163" s="334" t="n"/>
      <c r="X163" s="334" t="n"/>
      <c r="Y163" s="334" t="n"/>
    </row>
    <row r="164" ht="15" customHeight="1" s="195">
      <c r="A164" s="280" t="n"/>
      <c r="B164" s="280" t="n"/>
      <c r="C164" s="280" t="n"/>
      <c r="D164" s="280" t="n"/>
      <c r="E164" s="280" t="n"/>
      <c r="F164" s="280" t="n"/>
      <c r="G164" s="280" t="n"/>
      <c r="H164" s="280" t="n"/>
      <c r="I164" s="332">
        <f>IFERROR(VLOOKUP(TEXT(H164,"0"),IPRESS!$A$3:$B$212,2,0),"")</f>
        <v/>
      </c>
      <c r="J164" s="280" t="n"/>
      <c r="K164" s="332">
        <f>IFERROR(VLOOKUP(TEXT(O164,"0"),CONDUCTORES!$A$3:$G$54,7,0),"")</f>
        <v/>
      </c>
      <c r="L164" s="280" t="n"/>
      <c r="M164" s="280" t="n"/>
      <c r="N164" s="333">
        <f>IFERROR(IF(L164*M164=0,"",L164*M164),"")</f>
        <v/>
      </c>
      <c r="O164" s="280" t="n"/>
      <c r="P164" s="332">
        <f>IFERROR(VLOOKUP(TEXT(O164,"0"),CONDUCTORES!$A$3:$G$54,2,0),"")</f>
        <v/>
      </c>
      <c r="Q164" s="332">
        <f>IFERROR(VLOOKUP(TEXT(O164,"0"),CONDUCTORES!$A$3:$H$54,6,0),"")</f>
        <v/>
      </c>
      <c r="R164" s="280" t="n"/>
      <c r="S164" s="280" t="n"/>
      <c r="T164" s="280" t="n"/>
      <c r="U164" s="280" t="n"/>
      <c r="V164" s="280" t="n"/>
      <c r="W164" s="280" t="n"/>
      <c r="X164" s="280" t="n"/>
      <c r="Y164" s="280" t="n"/>
    </row>
    <row r="165" ht="15" customHeight="1" s="195">
      <c r="A165" s="334" t="n"/>
      <c r="B165" s="334" t="n"/>
      <c r="C165" s="334" t="n"/>
      <c r="D165" s="334" t="n"/>
      <c r="E165" s="334" t="n"/>
      <c r="F165" s="334" t="n"/>
      <c r="G165" s="334" t="n"/>
      <c r="H165" s="334" t="n"/>
      <c r="I165" s="332">
        <f>IFERROR(VLOOKUP(TEXT(H165,"0"),IPRESS!$A$3:$B$212,2,0),"")</f>
        <v/>
      </c>
      <c r="J165" s="334" t="n"/>
      <c r="K165" s="332">
        <f>IFERROR(VLOOKUP(TEXT(O165,"0"),CONDUCTORES!$A$3:$G$54,7,0),"")</f>
        <v/>
      </c>
      <c r="L165" s="334" t="n"/>
      <c r="M165" s="334" t="n"/>
      <c r="N165" s="333">
        <f>IFERROR(IF(L165*M165=0,"",L165*M165),"")</f>
        <v/>
      </c>
      <c r="O165" s="334" t="n"/>
      <c r="P165" s="332">
        <f>IFERROR(VLOOKUP(TEXT(O165,"0"),CONDUCTORES!$A$3:$G$54,2,0),"")</f>
        <v/>
      </c>
      <c r="Q165" s="332">
        <f>IFERROR(VLOOKUP(TEXT(O165,"0"),CONDUCTORES!$A$3:$H$54,6,0),"")</f>
        <v/>
      </c>
      <c r="R165" s="334" t="n"/>
      <c r="S165" s="334" t="n"/>
      <c r="T165" s="334" t="n"/>
      <c r="U165" s="334" t="n"/>
      <c r="V165" s="334" t="n"/>
      <c r="W165" s="334" t="n"/>
      <c r="X165" s="334" t="n"/>
      <c r="Y165" s="334" t="n"/>
    </row>
    <row r="166" ht="15" customHeight="1" s="195">
      <c r="A166" s="280" t="n"/>
      <c r="B166" s="280" t="n"/>
      <c r="C166" s="280" t="n"/>
      <c r="D166" s="280" t="n"/>
      <c r="E166" s="280" t="n"/>
      <c r="F166" s="280" t="n"/>
      <c r="G166" s="280" t="n"/>
      <c r="H166" s="280" t="n"/>
      <c r="I166" s="332">
        <f>IFERROR(VLOOKUP(TEXT(H166,"0"),IPRESS!$A$3:$B$212,2,0),"")</f>
        <v/>
      </c>
      <c r="J166" s="280" t="n"/>
      <c r="K166" s="332">
        <f>IFERROR(VLOOKUP(TEXT(O166,"0"),CONDUCTORES!$A$3:$G$54,7,0),"")</f>
        <v/>
      </c>
      <c r="L166" s="280" t="n"/>
      <c r="M166" s="280" t="n"/>
      <c r="N166" s="333">
        <f>IFERROR(IF(L166*M166=0,"",L166*M166),"")</f>
        <v/>
      </c>
      <c r="O166" s="280" t="n"/>
      <c r="P166" s="332">
        <f>IFERROR(VLOOKUP(TEXT(O166,"0"),CONDUCTORES!$A$3:$G$54,2,0),"")</f>
        <v/>
      </c>
      <c r="Q166" s="332">
        <f>IFERROR(VLOOKUP(TEXT(O166,"0"),CONDUCTORES!$A$3:$H$54,6,0),"")</f>
        <v/>
      </c>
      <c r="R166" s="280" t="n"/>
      <c r="S166" s="280" t="n"/>
      <c r="T166" s="280" t="n"/>
      <c r="U166" s="280" t="n"/>
      <c r="V166" s="280" t="n"/>
      <c r="W166" s="280" t="n"/>
      <c r="X166" s="280" t="n"/>
      <c r="Y166" s="280" t="n"/>
    </row>
    <row r="167" ht="15" customHeight="1" s="195">
      <c r="A167" s="334" t="n"/>
      <c r="B167" s="334" t="n"/>
      <c r="C167" s="334" t="n"/>
      <c r="D167" s="334" t="n"/>
      <c r="E167" s="334" t="n"/>
      <c r="F167" s="334" t="n"/>
      <c r="G167" s="334" t="n"/>
      <c r="H167" s="334" t="n"/>
      <c r="I167" s="332">
        <f>IFERROR(VLOOKUP(TEXT(H167,"0"),IPRESS!$A$3:$B$212,2,0),"")</f>
        <v/>
      </c>
      <c r="J167" s="334" t="n"/>
      <c r="K167" s="332">
        <f>IFERROR(VLOOKUP(TEXT(O167,"0"),CONDUCTORES!$A$3:$G$54,7,0),"")</f>
        <v/>
      </c>
      <c r="L167" s="334" t="n"/>
      <c r="M167" s="334" t="n"/>
      <c r="N167" s="333">
        <f>IFERROR(IF(L167*M167=0,"",L167*M167),"")</f>
        <v/>
      </c>
      <c r="O167" s="334" t="n"/>
      <c r="P167" s="332">
        <f>IFERROR(VLOOKUP(TEXT(O167,"0"),CONDUCTORES!$A$3:$G$54,2,0),"")</f>
        <v/>
      </c>
      <c r="Q167" s="332">
        <f>IFERROR(VLOOKUP(TEXT(O167,"0"),CONDUCTORES!$A$3:$H$54,6,0),"")</f>
        <v/>
      </c>
      <c r="R167" s="334" t="n"/>
      <c r="S167" s="334" t="n"/>
      <c r="T167" s="334" t="n"/>
      <c r="U167" s="334" t="n"/>
      <c r="V167" s="334" t="n"/>
      <c r="W167" s="334" t="n"/>
      <c r="X167" s="334" t="n"/>
      <c r="Y167" s="334" t="n"/>
    </row>
    <row r="168" ht="15" customHeight="1" s="195">
      <c r="A168" s="280" t="n"/>
      <c r="B168" s="280" t="n"/>
      <c r="C168" s="280" t="n"/>
      <c r="D168" s="280" t="n"/>
      <c r="E168" s="280" t="n"/>
      <c r="F168" s="280" t="n"/>
      <c r="G168" s="280" t="n"/>
      <c r="H168" s="280" t="n"/>
      <c r="I168" s="332">
        <f>IFERROR(VLOOKUP(TEXT(H168,"0"),IPRESS!$A$3:$B$212,2,0),"")</f>
        <v/>
      </c>
      <c r="J168" s="280" t="n"/>
      <c r="K168" s="332">
        <f>IFERROR(VLOOKUP(TEXT(O168,"0"),CONDUCTORES!$A$3:$G$54,7,0),"")</f>
        <v/>
      </c>
      <c r="L168" s="280" t="n"/>
      <c r="M168" s="280" t="n"/>
      <c r="N168" s="333">
        <f>IFERROR(IF(L168*M168=0,"",L168*M168),"")</f>
        <v/>
      </c>
      <c r="O168" s="280" t="n"/>
      <c r="P168" s="332">
        <f>IFERROR(VLOOKUP(TEXT(O168,"0"),CONDUCTORES!$A$3:$G$54,2,0),"")</f>
        <v/>
      </c>
      <c r="Q168" s="332">
        <f>IFERROR(VLOOKUP(TEXT(O168,"0"),CONDUCTORES!$A$3:$H$54,6,0),"")</f>
        <v/>
      </c>
      <c r="R168" s="280" t="n"/>
      <c r="S168" s="280" t="n"/>
      <c r="T168" s="280" t="n"/>
      <c r="U168" s="280" t="n"/>
      <c r="V168" s="280" t="n"/>
      <c r="W168" s="280" t="n"/>
      <c r="X168" s="280" t="n"/>
      <c r="Y168" s="280" t="n"/>
    </row>
    <row r="169" ht="15" customHeight="1" s="195">
      <c r="A169" s="334" t="n"/>
      <c r="B169" s="334" t="n"/>
      <c r="C169" s="334" t="n"/>
      <c r="D169" s="334" t="n"/>
      <c r="E169" s="334" t="n"/>
      <c r="F169" s="334" t="n"/>
      <c r="G169" s="334" t="n"/>
      <c r="H169" s="334" t="n"/>
      <c r="I169" s="332">
        <f>IFERROR(VLOOKUP(TEXT(H169,"0"),IPRESS!$A$3:$B$212,2,0),"")</f>
        <v/>
      </c>
      <c r="J169" s="334" t="n"/>
      <c r="K169" s="332">
        <f>IFERROR(VLOOKUP(TEXT(O169,"0"),CONDUCTORES!$A$3:$G$54,7,0),"")</f>
        <v/>
      </c>
      <c r="L169" s="334" t="n"/>
      <c r="M169" s="334" t="n"/>
      <c r="N169" s="333">
        <f>IFERROR(IF(L169*M169=0,"",L169*M169),"")</f>
        <v/>
      </c>
      <c r="O169" s="334" t="n"/>
      <c r="P169" s="332">
        <f>IFERROR(VLOOKUP(TEXT(O169,"0"),CONDUCTORES!$A$3:$G$54,2,0),"")</f>
        <v/>
      </c>
      <c r="Q169" s="332">
        <f>IFERROR(VLOOKUP(TEXT(O169,"0"),CONDUCTORES!$A$3:$H$54,6,0),"")</f>
        <v/>
      </c>
      <c r="R169" s="334" t="n"/>
      <c r="S169" s="334" t="n"/>
      <c r="T169" s="334" t="n"/>
      <c r="U169" s="334" t="n"/>
      <c r="V169" s="334" t="n"/>
      <c r="W169" s="334" t="n"/>
      <c r="X169" s="334" t="n"/>
      <c r="Y169" s="334" t="n"/>
    </row>
    <row r="170" ht="15" customHeight="1" s="195">
      <c r="A170" s="280" t="n"/>
      <c r="B170" s="280" t="n"/>
      <c r="C170" s="280" t="n"/>
      <c r="D170" s="280" t="n"/>
      <c r="E170" s="280" t="n"/>
      <c r="F170" s="280" t="n"/>
      <c r="G170" s="280" t="n"/>
      <c r="H170" s="280" t="n"/>
      <c r="I170" s="332">
        <f>IFERROR(VLOOKUP(TEXT(H170,"0"),IPRESS!$A$3:$B$212,2,0),"")</f>
        <v/>
      </c>
      <c r="J170" s="280" t="n"/>
      <c r="K170" s="332">
        <f>IFERROR(VLOOKUP(TEXT(O170,"0"),CONDUCTORES!$A$3:$G$54,7,0),"")</f>
        <v/>
      </c>
      <c r="L170" s="280" t="n"/>
      <c r="M170" s="280" t="n"/>
      <c r="N170" s="333">
        <f>IFERROR(IF(L170*M170=0,"",L170*M170),"")</f>
        <v/>
      </c>
      <c r="O170" s="280" t="n"/>
      <c r="P170" s="332">
        <f>IFERROR(VLOOKUP(TEXT(O170,"0"),CONDUCTORES!$A$3:$G$54,2,0),"")</f>
        <v/>
      </c>
      <c r="Q170" s="332">
        <f>IFERROR(VLOOKUP(TEXT(O170,"0"),CONDUCTORES!$A$3:$H$54,6,0),"")</f>
        <v/>
      </c>
      <c r="R170" s="280" t="n"/>
      <c r="S170" s="280" t="n"/>
      <c r="T170" s="280" t="n"/>
      <c r="U170" s="280" t="n"/>
      <c r="V170" s="280" t="n"/>
      <c r="W170" s="280" t="n"/>
      <c r="X170" s="280" t="n"/>
      <c r="Y170" s="280" t="n"/>
    </row>
    <row r="171" ht="15" customHeight="1" s="195">
      <c r="A171" s="334" t="n"/>
      <c r="B171" s="334" t="n"/>
      <c r="C171" s="334" t="n"/>
      <c r="D171" s="334" t="n"/>
      <c r="E171" s="334" t="n"/>
      <c r="F171" s="334" t="n"/>
      <c r="G171" s="334" t="n"/>
      <c r="H171" s="334" t="n"/>
      <c r="I171" s="332">
        <f>IFERROR(VLOOKUP(TEXT(H171,"0"),IPRESS!$A$3:$B$212,2,0),"")</f>
        <v/>
      </c>
      <c r="J171" s="334" t="n"/>
      <c r="K171" s="332">
        <f>IFERROR(VLOOKUP(TEXT(O171,"0"),CONDUCTORES!$A$3:$G$54,7,0),"")</f>
        <v/>
      </c>
      <c r="L171" s="334" t="n"/>
      <c r="M171" s="334" t="n"/>
      <c r="N171" s="333">
        <f>IFERROR(IF(L171*M171=0,"",L171*M171),"")</f>
        <v/>
      </c>
      <c r="O171" s="334" t="n"/>
      <c r="P171" s="332">
        <f>IFERROR(VLOOKUP(TEXT(O171,"0"),CONDUCTORES!$A$3:$G$54,2,0),"")</f>
        <v/>
      </c>
      <c r="Q171" s="332">
        <f>IFERROR(VLOOKUP(TEXT(O171,"0"),CONDUCTORES!$A$3:$H$54,6,0),"")</f>
        <v/>
      </c>
      <c r="R171" s="334" t="n"/>
      <c r="S171" s="334" t="n"/>
      <c r="T171" s="334" t="n"/>
      <c r="U171" s="334" t="n"/>
      <c r="V171" s="334" t="n"/>
      <c r="W171" s="334" t="n"/>
      <c r="X171" s="334" t="n"/>
      <c r="Y171" s="334" t="n"/>
    </row>
    <row r="172" ht="15" customHeight="1" s="195">
      <c r="A172" s="280" t="n"/>
      <c r="B172" s="280" t="n"/>
      <c r="C172" s="280" t="n"/>
      <c r="D172" s="280" t="n"/>
      <c r="E172" s="280" t="n"/>
      <c r="F172" s="280" t="n"/>
      <c r="G172" s="280" t="n"/>
      <c r="H172" s="280" t="n"/>
      <c r="I172" s="332">
        <f>IFERROR(VLOOKUP(TEXT(H172,"0"),IPRESS!$A$3:$B$212,2,0),"")</f>
        <v/>
      </c>
      <c r="J172" s="280" t="n"/>
      <c r="K172" s="332">
        <f>IFERROR(VLOOKUP(TEXT(O172,"0"),CONDUCTORES!$A$3:$G$54,7,0),"")</f>
        <v/>
      </c>
      <c r="L172" s="280" t="n"/>
      <c r="M172" s="280" t="n"/>
      <c r="N172" s="333">
        <f>IFERROR(IF(L172*M172=0,"",L172*M172),"")</f>
        <v/>
      </c>
      <c r="O172" s="280" t="n"/>
      <c r="P172" s="332">
        <f>IFERROR(VLOOKUP(TEXT(O172,"0"),CONDUCTORES!$A$3:$G$54,2,0),"")</f>
        <v/>
      </c>
      <c r="Q172" s="332">
        <f>IFERROR(VLOOKUP(TEXT(O172,"0"),CONDUCTORES!$A$3:$H$54,6,0),"")</f>
        <v/>
      </c>
      <c r="R172" s="280" t="n"/>
      <c r="S172" s="280" t="n"/>
      <c r="T172" s="280" t="n"/>
      <c r="U172" s="280" t="n"/>
      <c r="V172" s="280" t="n"/>
      <c r="W172" s="280" t="n"/>
      <c r="X172" s="280" t="n"/>
      <c r="Y172" s="280" t="n"/>
    </row>
    <row r="173" ht="15" customHeight="1" s="195">
      <c r="A173" s="334" t="n"/>
      <c r="B173" s="334" t="n"/>
      <c r="C173" s="334" t="n"/>
      <c r="D173" s="334" t="n"/>
      <c r="E173" s="334" t="n"/>
      <c r="F173" s="334" t="n"/>
      <c r="G173" s="334" t="n"/>
      <c r="H173" s="334" t="n"/>
      <c r="I173" s="332">
        <f>IFERROR(VLOOKUP(TEXT(H173,"0"),IPRESS!$A$3:$B$212,2,0),"")</f>
        <v/>
      </c>
      <c r="J173" s="334" t="n"/>
      <c r="K173" s="332">
        <f>IFERROR(VLOOKUP(TEXT(O173,"0"),CONDUCTORES!$A$3:$G$54,7,0),"")</f>
        <v/>
      </c>
      <c r="L173" s="334" t="n"/>
      <c r="M173" s="334" t="n"/>
      <c r="N173" s="333">
        <f>IFERROR(IF(L173*M173=0,"",L173*M173),"")</f>
        <v/>
      </c>
      <c r="O173" s="334" t="n"/>
      <c r="P173" s="332">
        <f>IFERROR(VLOOKUP(TEXT(O173,"0"),CONDUCTORES!$A$3:$G$54,2,0),"")</f>
        <v/>
      </c>
      <c r="Q173" s="332">
        <f>IFERROR(VLOOKUP(TEXT(O173,"0"),CONDUCTORES!$A$3:$H$54,6,0),"")</f>
        <v/>
      </c>
      <c r="R173" s="334" t="n"/>
      <c r="S173" s="334" t="n"/>
      <c r="T173" s="334" t="n"/>
      <c r="U173" s="334" t="n"/>
      <c r="V173" s="334" t="n"/>
      <c r="W173" s="334" t="n"/>
      <c r="X173" s="334" t="n"/>
      <c r="Y173" s="334" t="n"/>
    </row>
    <row r="174" ht="15" customHeight="1" s="195">
      <c r="A174" s="280" t="n"/>
      <c r="B174" s="280" t="n"/>
      <c r="C174" s="280" t="n"/>
      <c r="D174" s="280" t="n"/>
      <c r="E174" s="280" t="n"/>
      <c r="F174" s="280" t="n"/>
      <c r="G174" s="280" t="n"/>
      <c r="H174" s="280" t="n"/>
      <c r="I174" s="332">
        <f>IFERROR(VLOOKUP(TEXT(H174,"0"),IPRESS!$A$3:$B$212,2,0),"")</f>
        <v/>
      </c>
      <c r="J174" s="280" t="n"/>
      <c r="K174" s="332">
        <f>IFERROR(VLOOKUP(TEXT(O174,"0"),CONDUCTORES!$A$3:$G$54,7,0),"")</f>
        <v/>
      </c>
      <c r="L174" s="280" t="n"/>
      <c r="M174" s="280" t="n"/>
      <c r="N174" s="333">
        <f>IFERROR(IF(L174*M174=0,"",L174*M174),"")</f>
        <v/>
      </c>
      <c r="O174" s="280" t="n"/>
      <c r="P174" s="332">
        <f>IFERROR(VLOOKUP(TEXT(O174,"0"),CONDUCTORES!$A$3:$G$54,2,0),"")</f>
        <v/>
      </c>
      <c r="Q174" s="332">
        <f>IFERROR(VLOOKUP(TEXT(O174,"0"),CONDUCTORES!$A$3:$H$54,6,0),"")</f>
        <v/>
      </c>
      <c r="R174" s="280" t="n"/>
      <c r="S174" s="280" t="n"/>
      <c r="T174" s="280" t="n"/>
      <c r="U174" s="280" t="n"/>
      <c r="V174" s="280" t="n"/>
      <c r="W174" s="280" t="n"/>
      <c r="X174" s="280" t="n"/>
      <c r="Y174" s="280" t="n"/>
    </row>
    <row r="175" ht="15" customHeight="1" s="195">
      <c r="A175" s="334" t="n"/>
      <c r="B175" s="334" t="n"/>
      <c r="C175" s="334" t="n"/>
      <c r="D175" s="334" t="n"/>
      <c r="E175" s="334" t="n"/>
      <c r="F175" s="334" t="n"/>
      <c r="G175" s="334" t="n"/>
      <c r="H175" s="334" t="n"/>
      <c r="I175" s="332">
        <f>IFERROR(VLOOKUP(TEXT(H175,"0"),IPRESS!$A$3:$B$212,2,0),"")</f>
        <v/>
      </c>
      <c r="J175" s="334" t="n"/>
      <c r="K175" s="332">
        <f>IFERROR(VLOOKUP(TEXT(O175,"0"),CONDUCTORES!$A$3:$G$54,7,0),"")</f>
        <v/>
      </c>
      <c r="L175" s="334" t="n"/>
      <c r="M175" s="334" t="n"/>
      <c r="N175" s="333">
        <f>IFERROR(IF(L175*M175=0,"",L175*M175),"")</f>
        <v/>
      </c>
      <c r="O175" s="334" t="n"/>
      <c r="P175" s="332">
        <f>IFERROR(VLOOKUP(TEXT(O175,"0"),CONDUCTORES!$A$3:$G$54,2,0),"")</f>
        <v/>
      </c>
      <c r="Q175" s="332">
        <f>IFERROR(VLOOKUP(TEXT(O175,"0"),CONDUCTORES!$A$3:$H$54,6,0),"")</f>
        <v/>
      </c>
      <c r="R175" s="334" t="n"/>
      <c r="S175" s="334" t="n"/>
      <c r="T175" s="334" t="n"/>
      <c r="U175" s="334" t="n"/>
      <c r="V175" s="334" t="n"/>
      <c r="W175" s="334" t="n"/>
      <c r="X175" s="334" t="n"/>
      <c r="Y175" s="334" t="n"/>
    </row>
    <row r="176" ht="15" customHeight="1" s="195">
      <c r="A176" s="280" t="n"/>
      <c r="B176" s="280" t="n"/>
      <c r="C176" s="280" t="n"/>
      <c r="D176" s="280" t="n"/>
      <c r="E176" s="280" t="n"/>
      <c r="F176" s="280" t="n"/>
      <c r="G176" s="280" t="n"/>
      <c r="H176" s="280" t="n"/>
      <c r="I176" s="332">
        <f>IFERROR(VLOOKUP(TEXT(H176,"0"),IPRESS!$A$3:$B$212,2,0),"")</f>
        <v/>
      </c>
      <c r="J176" s="280" t="n"/>
      <c r="K176" s="332">
        <f>IFERROR(VLOOKUP(TEXT(O176,"0"),CONDUCTORES!$A$3:$G$54,7,0),"")</f>
        <v/>
      </c>
      <c r="L176" s="280" t="n"/>
      <c r="M176" s="280" t="n"/>
      <c r="N176" s="333">
        <f>IFERROR(IF(L176*M176=0,"",L176*M176),"")</f>
        <v/>
      </c>
      <c r="O176" s="280" t="n"/>
      <c r="P176" s="332">
        <f>IFERROR(VLOOKUP(TEXT(O176,"0"),CONDUCTORES!$A$3:$G$54,2,0),"")</f>
        <v/>
      </c>
      <c r="Q176" s="332">
        <f>IFERROR(VLOOKUP(TEXT(O176,"0"),CONDUCTORES!$A$3:$H$54,6,0),"")</f>
        <v/>
      </c>
      <c r="R176" s="280" t="n"/>
      <c r="S176" s="280" t="n"/>
      <c r="T176" s="280" t="n"/>
      <c r="U176" s="280" t="n"/>
      <c r="V176" s="280" t="n"/>
      <c r="W176" s="280" t="n"/>
      <c r="X176" s="280" t="n"/>
      <c r="Y176" s="280" t="n"/>
    </row>
    <row r="177" ht="15" customHeight="1" s="195">
      <c r="A177" s="334" t="n"/>
      <c r="B177" s="334" t="n"/>
      <c r="C177" s="334" t="n"/>
      <c r="D177" s="334" t="n"/>
      <c r="E177" s="334" t="n"/>
      <c r="F177" s="334" t="n"/>
      <c r="G177" s="334" t="n"/>
      <c r="H177" s="334" t="n"/>
      <c r="I177" s="332">
        <f>IFERROR(VLOOKUP(TEXT(H177,"0"),IPRESS!$A$3:$B$212,2,0),"")</f>
        <v/>
      </c>
      <c r="J177" s="334" t="n"/>
      <c r="K177" s="332">
        <f>IFERROR(VLOOKUP(TEXT(O177,"0"),CONDUCTORES!$A$3:$G$54,7,0),"")</f>
        <v/>
      </c>
      <c r="L177" s="334" t="n"/>
      <c r="M177" s="334" t="n"/>
      <c r="N177" s="333">
        <f>IFERROR(IF(L177*M177=0,"",L177*M177),"")</f>
        <v/>
      </c>
      <c r="O177" s="334" t="n"/>
      <c r="P177" s="332">
        <f>IFERROR(VLOOKUP(TEXT(O177,"0"),CONDUCTORES!$A$3:$G$54,2,0),"")</f>
        <v/>
      </c>
      <c r="Q177" s="332">
        <f>IFERROR(VLOOKUP(TEXT(O177,"0"),CONDUCTORES!$A$3:$H$54,6,0),"")</f>
        <v/>
      </c>
      <c r="R177" s="334" t="n"/>
      <c r="S177" s="334" t="n"/>
      <c r="T177" s="334" t="n"/>
      <c r="U177" s="334" t="n"/>
      <c r="V177" s="334" t="n"/>
      <c r="W177" s="334" t="n"/>
      <c r="X177" s="334" t="n"/>
      <c r="Y177" s="334" t="n"/>
    </row>
    <row r="178" ht="15" customHeight="1" s="195">
      <c r="A178" s="280" t="n"/>
      <c r="B178" s="280" t="n"/>
      <c r="C178" s="280" t="n"/>
      <c r="D178" s="280" t="n"/>
      <c r="E178" s="280" t="n"/>
      <c r="F178" s="280" t="n"/>
      <c r="G178" s="280" t="n"/>
      <c r="H178" s="280" t="n"/>
      <c r="I178" s="332">
        <f>IFERROR(VLOOKUP(TEXT(H178,"0"),IPRESS!$A$3:$B$212,2,0),"")</f>
        <v/>
      </c>
      <c r="J178" s="280" t="n"/>
      <c r="K178" s="332">
        <f>IFERROR(VLOOKUP(TEXT(O178,"0"),CONDUCTORES!$A$3:$G$54,7,0),"")</f>
        <v/>
      </c>
      <c r="L178" s="280" t="n"/>
      <c r="M178" s="280" t="n"/>
      <c r="N178" s="333">
        <f>IFERROR(IF(L178*M178=0,"",L178*M178),"")</f>
        <v/>
      </c>
      <c r="O178" s="280" t="n"/>
      <c r="P178" s="332">
        <f>IFERROR(VLOOKUP(TEXT(O178,"0"),CONDUCTORES!$A$3:$G$54,2,0),"")</f>
        <v/>
      </c>
      <c r="Q178" s="332">
        <f>IFERROR(VLOOKUP(TEXT(O178,"0"),CONDUCTORES!$A$3:$H$54,6,0),"")</f>
        <v/>
      </c>
      <c r="R178" s="280" t="n"/>
      <c r="S178" s="280" t="n"/>
      <c r="T178" s="280" t="n"/>
      <c r="U178" s="280" t="n"/>
      <c r="V178" s="280" t="n"/>
      <c r="W178" s="280" t="n"/>
      <c r="X178" s="280" t="n"/>
      <c r="Y178" s="280" t="n"/>
    </row>
    <row r="179" ht="15" customHeight="1" s="195">
      <c r="A179" s="334" t="n"/>
      <c r="B179" s="334" t="n"/>
      <c r="C179" s="334" t="n"/>
      <c r="D179" s="334" t="n"/>
      <c r="E179" s="334" t="n"/>
      <c r="F179" s="334" t="n"/>
      <c r="G179" s="334" t="n"/>
      <c r="H179" s="334" t="n"/>
      <c r="I179" s="332">
        <f>IFERROR(VLOOKUP(TEXT(H179,"0"),IPRESS!$A$3:$B$212,2,0),"")</f>
        <v/>
      </c>
      <c r="J179" s="334" t="n"/>
      <c r="K179" s="332">
        <f>IFERROR(VLOOKUP(TEXT(O179,"0"),CONDUCTORES!$A$3:$G$54,7,0),"")</f>
        <v/>
      </c>
      <c r="L179" s="334" t="n"/>
      <c r="M179" s="334" t="n"/>
      <c r="N179" s="333">
        <f>IFERROR(IF(L179*M179=0,"",L179*M179),"")</f>
        <v/>
      </c>
      <c r="O179" s="334" t="n"/>
      <c r="P179" s="332">
        <f>IFERROR(VLOOKUP(TEXT(O179,"0"),CONDUCTORES!$A$3:$G$54,2,0),"")</f>
        <v/>
      </c>
      <c r="Q179" s="332">
        <f>IFERROR(VLOOKUP(TEXT(O179,"0"),CONDUCTORES!$A$3:$H$54,6,0),"")</f>
        <v/>
      </c>
      <c r="R179" s="334" t="n"/>
      <c r="S179" s="334" t="n"/>
      <c r="T179" s="334" t="n"/>
      <c r="U179" s="334" t="n"/>
      <c r="V179" s="334" t="n"/>
      <c r="W179" s="334" t="n"/>
      <c r="X179" s="334" t="n"/>
      <c r="Y179" s="334" t="n"/>
    </row>
    <row r="180" ht="15" customHeight="1" s="195">
      <c r="A180" s="280" t="n"/>
      <c r="B180" s="280" t="n"/>
      <c r="C180" s="280" t="n"/>
      <c r="D180" s="280" t="n"/>
      <c r="E180" s="280" t="n"/>
      <c r="F180" s="280" t="n"/>
      <c r="G180" s="280" t="n"/>
      <c r="H180" s="280" t="n"/>
      <c r="I180" s="332">
        <f>IFERROR(VLOOKUP(TEXT(H180,"0"),IPRESS!$A$3:$B$212,2,0),"")</f>
        <v/>
      </c>
      <c r="J180" s="280" t="n"/>
      <c r="K180" s="332">
        <f>IFERROR(VLOOKUP(TEXT(O180,"0"),CONDUCTORES!$A$3:$G$54,7,0),"")</f>
        <v/>
      </c>
      <c r="L180" s="280" t="n"/>
      <c r="M180" s="280" t="n"/>
      <c r="N180" s="333">
        <f>IFERROR(IF(L180*M180=0,"",L180*M180),"")</f>
        <v/>
      </c>
      <c r="O180" s="280" t="n"/>
      <c r="P180" s="332">
        <f>IFERROR(VLOOKUP(TEXT(O180,"0"),CONDUCTORES!$A$3:$G$54,2,0),"")</f>
        <v/>
      </c>
      <c r="Q180" s="332">
        <f>IFERROR(VLOOKUP(TEXT(O180,"0"),CONDUCTORES!$A$3:$H$54,6,0),"")</f>
        <v/>
      </c>
      <c r="R180" s="280" t="n"/>
      <c r="S180" s="280" t="n"/>
      <c r="T180" s="280" t="n"/>
      <c r="U180" s="280" t="n"/>
      <c r="V180" s="280" t="n"/>
      <c r="W180" s="280" t="n"/>
      <c r="X180" s="280" t="n"/>
      <c r="Y180" s="280" t="n"/>
    </row>
    <row r="181" ht="15" customHeight="1" s="195">
      <c r="A181" s="334" t="n"/>
      <c r="B181" s="334" t="n"/>
      <c r="C181" s="334" t="n"/>
      <c r="D181" s="334" t="n"/>
      <c r="E181" s="334" t="n"/>
      <c r="F181" s="334" t="n"/>
      <c r="G181" s="334" t="n"/>
      <c r="H181" s="334" t="n"/>
      <c r="I181" s="332">
        <f>IFERROR(VLOOKUP(TEXT(H181,"0"),IPRESS!$A$3:$B$212,2,0),"")</f>
        <v/>
      </c>
      <c r="J181" s="334" t="n"/>
      <c r="K181" s="332">
        <f>IFERROR(VLOOKUP(TEXT(O181,"0"),CONDUCTORES!$A$3:$G$54,7,0),"")</f>
        <v/>
      </c>
      <c r="L181" s="334" t="n"/>
      <c r="M181" s="334" t="n"/>
      <c r="N181" s="333">
        <f>IFERROR(IF(L181*M181=0,"",L181*M181),"")</f>
        <v/>
      </c>
      <c r="O181" s="334" t="n"/>
      <c r="P181" s="332">
        <f>IFERROR(VLOOKUP(TEXT(O181,"0"),CONDUCTORES!$A$3:$G$54,2,0),"")</f>
        <v/>
      </c>
      <c r="Q181" s="332">
        <f>IFERROR(VLOOKUP(TEXT(O181,"0"),CONDUCTORES!$A$3:$H$54,6,0),"")</f>
        <v/>
      </c>
      <c r="R181" s="334" t="n"/>
      <c r="S181" s="334" t="n"/>
      <c r="T181" s="334" t="n"/>
      <c r="U181" s="334" t="n"/>
      <c r="V181" s="334" t="n"/>
      <c r="W181" s="334" t="n"/>
      <c r="X181" s="334" t="n"/>
      <c r="Y181" s="334" t="n"/>
    </row>
    <row r="182" ht="15" customHeight="1" s="195">
      <c r="A182" s="280" t="n"/>
      <c r="B182" s="280" t="n"/>
      <c r="C182" s="280" t="n"/>
      <c r="D182" s="280" t="n"/>
      <c r="E182" s="280" t="n"/>
      <c r="F182" s="280" t="n"/>
      <c r="G182" s="280" t="n"/>
      <c r="H182" s="280" t="n"/>
      <c r="I182" s="332">
        <f>IFERROR(VLOOKUP(TEXT(H182,"0"),IPRESS!$A$3:$B$212,2,0),"")</f>
        <v/>
      </c>
      <c r="J182" s="280" t="n"/>
      <c r="K182" s="332">
        <f>IFERROR(VLOOKUP(TEXT(O182,"0"),CONDUCTORES!$A$3:$G$54,7,0),"")</f>
        <v/>
      </c>
      <c r="L182" s="280" t="n"/>
      <c r="M182" s="280" t="n"/>
      <c r="N182" s="333">
        <f>IFERROR(IF(L182*M182=0,"",L182*M182),"")</f>
        <v/>
      </c>
      <c r="O182" s="280" t="n"/>
      <c r="P182" s="332">
        <f>IFERROR(VLOOKUP(TEXT(O182,"0"),CONDUCTORES!$A$3:$G$54,2,0),"")</f>
        <v/>
      </c>
      <c r="Q182" s="332">
        <f>IFERROR(VLOOKUP(TEXT(O182,"0"),CONDUCTORES!$A$3:$H$54,6,0),"")</f>
        <v/>
      </c>
      <c r="R182" s="280" t="n"/>
      <c r="S182" s="280" t="n"/>
      <c r="T182" s="280" t="n"/>
      <c r="U182" s="280" t="n"/>
      <c r="V182" s="280" t="n"/>
      <c r="W182" s="280" t="n"/>
      <c r="X182" s="280" t="n"/>
      <c r="Y182" s="280" t="n"/>
    </row>
    <row r="183" ht="15" customHeight="1" s="195">
      <c r="A183" s="334" t="n"/>
      <c r="B183" s="334" t="n"/>
      <c r="C183" s="334" t="n"/>
      <c r="D183" s="334" t="n"/>
      <c r="E183" s="334" t="n"/>
      <c r="F183" s="334" t="n"/>
      <c r="G183" s="334" t="n"/>
      <c r="H183" s="334" t="n"/>
      <c r="I183" s="332">
        <f>IFERROR(VLOOKUP(TEXT(H183,"0"),IPRESS!$A$3:$B$212,2,0),"")</f>
        <v/>
      </c>
      <c r="J183" s="334" t="n"/>
      <c r="K183" s="332">
        <f>IFERROR(VLOOKUP(TEXT(O183,"0"),CONDUCTORES!$A$3:$G$54,7,0),"")</f>
        <v/>
      </c>
      <c r="L183" s="334" t="n"/>
      <c r="M183" s="334" t="n"/>
      <c r="N183" s="333">
        <f>IFERROR(IF(L183*M183=0,"",L183*M183),"")</f>
        <v/>
      </c>
      <c r="O183" s="334" t="n"/>
      <c r="P183" s="332">
        <f>IFERROR(VLOOKUP(TEXT(O183,"0"),CONDUCTORES!$A$3:$G$54,2,0),"")</f>
        <v/>
      </c>
      <c r="Q183" s="332">
        <f>IFERROR(VLOOKUP(TEXT(O183,"0"),CONDUCTORES!$A$3:$H$54,6,0),"")</f>
        <v/>
      </c>
      <c r="R183" s="334" t="n"/>
      <c r="S183" s="334" t="n"/>
      <c r="T183" s="334" t="n"/>
      <c r="U183" s="334" t="n"/>
      <c r="V183" s="334" t="n"/>
      <c r="W183" s="334" t="n"/>
      <c r="X183" s="334" t="n"/>
      <c r="Y183" s="334" t="n"/>
    </row>
    <row r="184" ht="15" customHeight="1" s="195">
      <c r="A184" s="280" t="n"/>
      <c r="B184" s="280" t="n"/>
      <c r="C184" s="280" t="n"/>
      <c r="D184" s="280" t="n"/>
      <c r="E184" s="280" t="n"/>
      <c r="F184" s="280" t="n"/>
      <c r="G184" s="280" t="n"/>
      <c r="H184" s="280" t="n"/>
      <c r="I184" s="332">
        <f>IFERROR(VLOOKUP(TEXT(H184,"0"),IPRESS!$A$3:$B$212,2,0),"")</f>
        <v/>
      </c>
      <c r="J184" s="280" t="n"/>
      <c r="K184" s="332">
        <f>IFERROR(VLOOKUP(TEXT(O184,"0"),CONDUCTORES!$A$3:$G$54,7,0),"")</f>
        <v/>
      </c>
      <c r="L184" s="280" t="n"/>
      <c r="M184" s="280" t="n"/>
      <c r="N184" s="333">
        <f>IFERROR(IF(L184*M184=0,"",L184*M184),"")</f>
        <v/>
      </c>
      <c r="O184" s="280" t="n"/>
      <c r="P184" s="332">
        <f>IFERROR(VLOOKUP(TEXT(O184,"0"),CONDUCTORES!$A$3:$G$54,2,0),"")</f>
        <v/>
      </c>
      <c r="Q184" s="332">
        <f>IFERROR(VLOOKUP(TEXT(O184,"0"),CONDUCTORES!$A$3:$H$54,6,0),"")</f>
        <v/>
      </c>
      <c r="R184" s="280" t="n"/>
      <c r="S184" s="280" t="n"/>
      <c r="T184" s="280" t="n"/>
      <c r="U184" s="280" t="n"/>
      <c r="V184" s="280" t="n"/>
      <c r="W184" s="280" t="n"/>
      <c r="X184" s="280" t="n"/>
      <c r="Y184" s="280" t="n"/>
    </row>
    <row r="185" ht="15" customHeight="1" s="195">
      <c r="A185" s="334" t="n"/>
      <c r="B185" s="334" t="n"/>
      <c r="C185" s="334" t="n"/>
      <c r="D185" s="334" t="n"/>
      <c r="E185" s="334" t="n"/>
      <c r="F185" s="334" t="n"/>
      <c r="G185" s="334" t="n"/>
      <c r="H185" s="334" t="n"/>
      <c r="I185" s="332">
        <f>IFERROR(VLOOKUP(TEXT(H185,"0"),IPRESS!$A$3:$B$212,2,0),"")</f>
        <v/>
      </c>
      <c r="J185" s="334" t="n"/>
      <c r="K185" s="332">
        <f>IFERROR(VLOOKUP(TEXT(O185,"0"),CONDUCTORES!$A$3:$G$54,7,0),"")</f>
        <v/>
      </c>
      <c r="L185" s="334" t="n"/>
      <c r="M185" s="334" t="n"/>
      <c r="N185" s="333">
        <f>IFERROR(IF(L185*M185=0,"",L185*M185),"")</f>
        <v/>
      </c>
      <c r="O185" s="334" t="n"/>
      <c r="P185" s="332">
        <f>IFERROR(VLOOKUP(TEXT(O185,"0"),CONDUCTORES!$A$3:$G$54,2,0),"")</f>
        <v/>
      </c>
      <c r="Q185" s="332">
        <f>IFERROR(VLOOKUP(TEXT(O185,"0"),CONDUCTORES!$A$3:$H$54,6,0),"")</f>
        <v/>
      </c>
      <c r="R185" s="334" t="n"/>
      <c r="S185" s="334" t="n"/>
      <c r="T185" s="334" t="n"/>
      <c r="U185" s="334" t="n"/>
      <c r="V185" s="334" t="n"/>
      <c r="W185" s="334" t="n"/>
      <c r="X185" s="334" t="n"/>
      <c r="Y185" s="334" t="n"/>
    </row>
    <row r="186" ht="15" customHeight="1" s="195">
      <c r="A186" s="280" t="n"/>
      <c r="B186" s="280" t="n"/>
      <c r="C186" s="280" t="n"/>
      <c r="D186" s="280" t="n"/>
      <c r="E186" s="280" t="n"/>
      <c r="F186" s="280" t="n"/>
      <c r="G186" s="280" t="n"/>
      <c r="H186" s="280" t="n"/>
      <c r="I186" s="332">
        <f>IFERROR(VLOOKUP(TEXT(H186,"0"),IPRESS!$A$3:$B$212,2,0),"")</f>
        <v/>
      </c>
      <c r="J186" s="280" t="n"/>
      <c r="K186" s="332">
        <f>IFERROR(VLOOKUP(TEXT(O186,"0"),CONDUCTORES!$A$3:$G$54,7,0),"")</f>
        <v/>
      </c>
      <c r="L186" s="280" t="n"/>
      <c r="M186" s="280" t="n"/>
      <c r="N186" s="333">
        <f>IFERROR(IF(L186*M186=0,"",L186*M186),"")</f>
        <v/>
      </c>
      <c r="O186" s="280" t="n"/>
      <c r="P186" s="332">
        <f>IFERROR(VLOOKUP(TEXT(O186,"0"),CONDUCTORES!$A$3:$G$54,2,0),"")</f>
        <v/>
      </c>
      <c r="Q186" s="332">
        <f>IFERROR(VLOOKUP(TEXT(O186,"0"),CONDUCTORES!$A$3:$H$54,6,0),"")</f>
        <v/>
      </c>
      <c r="R186" s="280" t="n"/>
      <c r="S186" s="280" t="n"/>
      <c r="T186" s="280" t="n"/>
      <c r="U186" s="280" t="n"/>
      <c r="V186" s="280" t="n"/>
      <c r="W186" s="280" t="n"/>
      <c r="X186" s="280" t="n"/>
      <c r="Y186" s="280" t="n"/>
    </row>
    <row r="187" ht="15" customHeight="1" s="195">
      <c r="A187" s="334" t="n"/>
      <c r="B187" s="334" t="n"/>
      <c r="C187" s="334" t="n"/>
      <c r="D187" s="334" t="n"/>
      <c r="E187" s="334" t="n"/>
      <c r="F187" s="334" t="n"/>
      <c r="G187" s="334" t="n"/>
      <c r="H187" s="334" t="n"/>
      <c r="I187" s="332">
        <f>IFERROR(VLOOKUP(TEXT(H187,"0"),IPRESS!$A$3:$B$212,2,0),"")</f>
        <v/>
      </c>
      <c r="J187" s="334" t="n"/>
      <c r="K187" s="332">
        <f>IFERROR(VLOOKUP(TEXT(O187,"0"),CONDUCTORES!$A$3:$G$54,7,0),"")</f>
        <v/>
      </c>
      <c r="L187" s="334" t="n"/>
      <c r="M187" s="334" t="n"/>
      <c r="N187" s="333">
        <f>IFERROR(IF(L187*M187=0,"",L187*M187),"")</f>
        <v/>
      </c>
      <c r="O187" s="334" t="n"/>
      <c r="P187" s="332">
        <f>IFERROR(VLOOKUP(TEXT(O187,"0"),CONDUCTORES!$A$3:$G$54,2,0),"")</f>
        <v/>
      </c>
      <c r="Q187" s="332">
        <f>IFERROR(VLOOKUP(TEXT(O187,"0"),CONDUCTORES!$A$3:$H$54,6,0),"")</f>
        <v/>
      </c>
      <c r="R187" s="334" t="n"/>
      <c r="S187" s="334" t="n"/>
      <c r="T187" s="334" t="n"/>
      <c r="U187" s="334" t="n"/>
      <c r="V187" s="334" t="n"/>
      <c r="W187" s="334" t="n"/>
      <c r="X187" s="334" t="n"/>
      <c r="Y187" s="334" t="n"/>
    </row>
    <row r="188" ht="15" customHeight="1" s="195">
      <c r="A188" s="280" t="n"/>
      <c r="B188" s="280" t="n"/>
      <c r="C188" s="280" t="n"/>
      <c r="D188" s="280" t="n"/>
      <c r="E188" s="280" t="n"/>
      <c r="F188" s="280" t="n"/>
      <c r="G188" s="280" t="n"/>
      <c r="H188" s="280" t="n"/>
      <c r="I188" s="332">
        <f>IFERROR(VLOOKUP(TEXT(H188,"0"),IPRESS!$A$3:$B$212,2,0),"")</f>
        <v/>
      </c>
      <c r="J188" s="280" t="n"/>
      <c r="K188" s="332">
        <f>IFERROR(VLOOKUP(TEXT(O188,"0"),CONDUCTORES!$A$3:$G$54,7,0),"")</f>
        <v/>
      </c>
      <c r="L188" s="280" t="n"/>
      <c r="M188" s="280" t="n"/>
      <c r="N188" s="333">
        <f>IFERROR(IF(L188*M188=0,"",L188*M188),"")</f>
        <v/>
      </c>
      <c r="O188" s="280" t="n"/>
      <c r="P188" s="332">
        <f>IFERROR(VLOOKUP(TEXT(O188,"0"),CONDUCTORES!$A$3:$G$54,2,0),"")</f>
        <v/>
      </c>
      <c r="Q188" s="332">
        <f>IFERROR(VLOOKUP(TEXT(O188,"0"),CONDUCTORES!$A$3:$H$54,6,0),"")</f>
        <v/>
      </c>
      <c r="R188" s="280" t="n"/>
      <c r="S188" s="280" t="n"/>
      <c r="T188" s="280" t="n"/>
      <c r="U188" s="280" t="n"/>
      <c r="V188" s="280" t="n"/>
      <c r="W188" s="280" t="n"/>
      <c r="X188" s="280" t="n"/>
      <c r="Y188" s="280" t="n"/>
    </row>
    <row r="189" ht="15" customHeight="1" s="195">
      <c r="A189" s="334" t="n"/>
      <c r="B189" s="334" t="n"/>
      <c r="C189" s="334" t="n"/>
      <c r="D189" s="334" t="n"/>
      <c r="E189" s="334" t="n"/>
      <c r="F189" s="334" t="n"/>
      <c r="G189" s="334" t="n"/>
      <c r="H189" s="334" t="n"/>
      <c r="I189" s="332">
        <f>IFERROR(VLOOKUP(TEXT(H189,"0"),IPRESS!$A$3:$B$212,2,0),"")</f>
        <v/>
      </c>
      <c r="J189" s="334" t="n"/>
      <c r="K189" s="332">
        <f>IFERROR(VLOOKUP(TEXT(O189,"0"),CONDUCTORES!$A$3:$G$54,7,0),"")</f>
        <v/>
      </c>
      <c r="L189" s="334" t="n"/>
      <c r="M189" s="334" t="n"/>
      <c r="N189" s="333">
        <f>IFERROR(IF(L189*M189=0,"",L189*M189),"")</f>
        <v/>
      </c>
      <c r="O189" s="334" t="n"/>
      <c r="P189" s="332">
        <f>IFERROR(VLOOKUP(TEXT(O189,"0"),CONDUCTORES!$A$3:$G$54,2,0),"")</f>
        <v/>
      </c>
      <c r="Q189" s="332">
        <f>IFERROR(VLOOKUP(TEXT(O189,"0"),CONDUCTORES!$A$3:$H$54,6,0),"")</f>
        <v/>
      </c>
      <c r="R189" s="334" t="n"/>
      <c r="S189" s="334" t="n"/>
      <c r="T189" s="334" t="n"/>
      <c r="U189" s="334" t="n"/>
      <c r="V189" s="334" t="n"/>
      <c r="W189" s="334" t="n"/>
      <c r="X189" s="334" t="n"/>
      <c r="Y189" s="334" t="n"/>
    </row>
    <row r="190" ht="15" customHeight="1" s="195">
      <c r="A190" s="280" t="n"/>
      <c r="B190" s="280" t="n"/>
      <c r="C190" s="280" t="n"/>
      <c r="D190" s="280" t="n"/>
      <c r="E190" s="280" t="n"/>
      <c r="F190" s="280" t="n"/>
      <c r="G190" s="280" t="n"/>
      <c r="H190" s="280" t="n"/>
      <c r="I190" s="332">
        <f>IFERROR(VLOOKUP(TEXT(H190,"0"),IPRESS!$A$3:$B$212,2,0),"")</f>
        <v/>
      </c>
      <c r="J190" s="280" t="n"/>
      <c r="K190" s="332">
        <f>IFERROR(VLOOKUP(TEXT(O190,"0"),CONDUCTORES!$A$3:$G$54,7,0),"")</f>
        <v/>
      </c>
      <c r="L190" s="280" t="n"/>
      <c r="M190" s="280" t="n"/>
      <c r="N190" s="333">
        <f>IFERROR(IF(L190*M190=0,"",L190*M190),"")</f>
        <v/>
      </c>
      <c r="O190" s="280" t="n"/>
      <c r="P190" s="332">
        <f>IFERROR(VLOOKUP(TEXT(O190,"0"),CONDUCTORES!$A$3:$G$54,2,0),"")</f>
        <v/>
      </c>
      <c r="Q190" s="332">
        <f>IFERROR(VLOOKUP(TEXT(O190,"0"),CONDUCTORES!$A$3:$H$54,6,0),"")</f>
        <v/>
      </c>
      <c r="R190" s="280" t="n"/>
      <c r="S190" s="280" t="n"/>
      <c r="T190" s="280" t="n"/>
      <c r="U190" s="280" t="n"/>
      <c r="V190" s="280" t="n"/>
      <c r="W190" s="280" t="n"/>
      <c r="X190" s="280" t="n"/>
      <c r="Y190" s="280" t="n"/>
    </row>
    <row r="191" ht="15" customHeight="1" s="195">
      <c r="A191" s="334" t="n"/>
      <c r="B191" s="334" t="n"/>
      <c r="C191" s="334" t="n"/>
      <c r="D191" s="334" t="n"/>
      <c r="E191" s="334" t="n"/>
      <c r="F191" s="334" t="n"/>
      <c r="G191" s="334" t="n"/>
      <c r="H191" s="334" t="n"/>
      <c r="I191" s="332">
        <f>IFERROR(VLOOKUP(TEXT(H191,"0"),IPRESS!$A$3:$B$212,2,0),"")</f>
        <v/>
      </c>
      <c r="J191" s="334" t="n"/>
      <c r="K191" s="332">
        <f>IFERROR(VLOOKUP(TEXT(O191,"0"),CONDUCTORES!$A$3:$G$54,7,0),"")</f>
        <v/>
      </c>
      <c r="L191" s="334" t="n"/>
      <c r="M191" s="334" t="n"/>
      <c r="N191" s="333">
        <f>IFERROR(IF(L191*M191=0,"",L191*M191),"")</f>
        <v/>
      </c>
      <c r="O191" s="334" t="n"/>
      <c r="P191" s="332">
        <f>IFERROR(VLOOKUP(TEXT(O191,"0"),CONDUCTORES!$A$3:$G$54,2,0),"")</f>
        <v/>
      </c>
      <c r="Q191" s="332">
        <f>IFERROR(VLOOKUP(TEXT(O191,"0"),CONDUCTORES!$A$3:$H$54,6,0),"")</f>
        <v/>
      </c>
      <c r="R191" s="334" t="n"/>
      <c r="S191" s="334" t="n"/>
      <c r="T191" s="334" t="n"/>
      <c r="U191" s="334" t="n"/>
      <c r="V191" s="334" t="n"/>
      <c r="W191" s="334" t="n"/>
      <c r="X191" s="334" t="n"/>
      <c r="Y191" s="334" t="n"/>
    </row>
    <row r="192" ht="15" customHeight="1" s="195">
      <c r="A192" s="280" t="n"/>
      <c r="B192" s="280" t="n"/>
      <c r="C192" s="280" t="n"/>
      <c r="D192" s="280" t="n"/>
      <c r="E192" s="280" t="n"/>
      <c r="F192" s="280" t="n"/>
      <c r="G192" s="280" t="n"/>
      <c r="H192" s="280" t="n"/>
      <c r="I192" s="332">
        <f>IFERROR(VLOOKUP(TEXT(H192,"0"),IPRESS!$A$3:$B$212,2,0),"")</f>
        <v/>
      </c>
      <c r="J192" s="280" t="n"/>
      <c r="K192" s="332">
        <f>IFERROR(VLOOKUP(TEXT(O192,"0"),CONDUCTORES!$A$3:$G$54,7,0),"")</f>
        <v/>
      </c>
      <c r="L192" s="280" t="n"/>
      <c r="M192" s="280" t="n"/>
      <c r="N192" s="333">
        <f>IFERROR(IF(L192*M192=0,"",L192*M192),"")</f>
        <v/>
      </c>
      <c r="O192" s="280" t="n"/>
      <c r="P192" s="332">
        <f>IFERROR(VLOOKUP(TEXT(O192,"0"),CONDUCTORES!$A$3:$G$54,2,0),"")</f>
        <v/>
      </c>
      <c r="Q192" s="332">
        <f>IFERROR(VLOOKUP(TEXT(O192,"0"),CONDUCTORES!$A$3:$H$54,6,0),"")</f>
        <v/>
      </c>
      <c r="R192" s="280" t="n"/>
      <c r="S192" s="280" t="n"/>
      <c r="T192" s="280" t="n"/>
      <c r="U192" s="280" t="n"/>
      <c r="V192" s="280" t="n"/>
      <c r="W192" s="280" t="n"/>
      <c r="X192" s="280" t="n"/>
      <c r="Y192" s="280" t="n"/>
    </row>
    <row r="193" ht="15" customHeight="1" s="195">
      <c r="A193" s="334" t="n"/>
      <c r="B193" s="334" t="n"/>
      <c r="C193" s="334" t="n"/>
      <c r="D193" s="334" t="n"/>
      <c r="E193" s="334" t="n"/>
      <c r="F193" s="334" t="n"/>
      <c r="G193" s="334" t="n"/>
      <c r="H193" s="334" t="n"/>
      <c r="I193" s="332">
        <f>IFERROR(VLOOKUP(TEXT(H193,"0"),IPRESS!$A$3:$B$212,2,0),"")</f>
        <v/>
      </c>
      <c r="J193" s="334" t="n"/>
      <c r="K193" s="332">
        <f>IFERROR(VLOOKUP(TEXT(O193,"0"),CONDUCTORES!$A$3:$G$54,7,0),"")</f>
        <v/>
      </c>
      <c r="L193" s="334" t="n"/>
      <c r="M193" s="334" t="n"/>
      <c r="N193" s="333">
        <f>IFERROR(IF(L193*M193=0,"",L193*M193),"")</f>
        <v/>
      </c>
      <c r="O193" s="334" t="n"/>
      <c r="P193" s="332">
        <f>IFERROR(VLOOKUP(TEXT(O193,"0"),CONDUCTORES!$A$3:$G$54,2,0),"")</f>
        <v/>
      </c>
      <c r="Q193" s="332">
        <f>IFERROR(VLOOKUP(TEXT(O193,"0"),CONDUCTORES!$A$3:$H$54,6,0),"")</f>
        <v/>
      </c>
      <c r="R193" s="334" t="n"/>
      <c r="S193" s="334" t="n"/>
      <c r="T193" s="334" t="n"/>
      <c r="U193" s="334" t="n"/>
      <c r="V193" s="334" t="n"/>
      <c r="W193" s="334" t="n"/>
      <c r="X193" s="334" t="n"/>
      <c r="Y193" s="334" t="n"/>
    </row>
    <row r="194" ht="15" customHeight="1" s="195">
      <c r="A194" s="280" t="n"/>
      <c r="B194" s="280" t="n"/>
      <c r="C194" s="280" t="n"/>
      <c r="D194" s="280" t="n"/>
      <c r="E194" s="280" t="n"/>
      <c r="F194" s="280" t="n"/>
      <c r="G194" s="280" t="n"/>
      <c r="H194" s="280" t="n"/>
      <c r="I194" s="332">
        <f>IFERROR(VLOOKUP(TEXT(H194,"0"),IPRESS!$A$3:$B$212,2,0),"")</f>
        <v/>
      </c>
      <c r="J194" s="280" t="n"/>
      <c r="K194" s="332">
        <f>IFERROR(VLOOKUP(TEXT(O194,"0"),CONDUCTORES!$A$3:$G$54,7,0),"")</f>
        <v/>
      </c>
      <c r="L194" s="280" t="n"/>
      <c r="M194" s="280" t="n"/>
      <c r="N194" s="333">
        <f>IFERROR(IF(L194*M194=0,"",L194*M194),"")</f>
        <v/>
      </c>
      <c r="O194" s="280" t="n"/>
      <c r="P194" s="332">
        <f>IFERROR(VLOOKUP(TEXT(O194,"0"),CONDUCTORES!$A$3:$G$54,2,0),"")</f>
        <v/>
      </c>
      <c r="Q194" s="332">
        <f>IFERROR(VLOOKUP(TEXT(O194,"0"),CONDUCTORES!$A$3:$H$54,6,0),"")</f>
        <v/>
      </c>
      <c r="R194" s="280" t="n"/>
      <c r="S194" s="280" t="n"/>
      <c r="T194" s="280" t="n"/>
      <c r="U194" s="280" t="n"/>
      <c r="V194" s="280" t="n"/>
      <c r="W194" s="280" t="n"/>
      <c r="X194" s="280" t="n"/>
      <c r="Y194" s="280" t="n"/>
    </row>
    <row r="195" ht="15" customHeight="1" s="195">
      <c r="A195" s="334" t="n"/>
      <c r="B195" s="334" t="n"/>
      <c r="C195" s="334" t="n"/>
      <c r="D195" s="334" t="n"/>
      <c r="E195" s="334" t="n"/>
      <c r="F195" s="334" t="n"/>
      <c r="G195" s="334" t="n"/>
      <c r="H195" s="334" t="n"/>
      <c r="I195" s="332">
        <f>IFERROR(VLOOKUP(TEXT(H195,"0"),IPRESS!$A$3:$B$212,2,0),"")</f>
        <v/>
      </c>
      <c r="J195" s="334" t="n"/>
      <c r="K195" s="332">
        <f>IFERROR(VLOOKUP(TEXT(O195,"0"),CONDUCTORES!$A$3:$G$54,7,0),"")</f>
        <v/>
      </c>
      <c r="L195" s="334" t="n"/>
      <c r="M195" s="334" t="n"/>
      <c r="N195" s="333">
        <f>IFERROR(IF(L195*M195=0,"",L195*M195),"")</f>
        <v/>
      </c>
      <c r="O195" s="334" t="n"/>
      <c r="P195" s="332">
        <f>IFERROR(VLOOKUP(TEXT(O195,"0"),CONDUCTORES!$A$3:$G$54,2,0),"")</f>
        <v/>
      </c>
      <c r="Q195" s="332">
        <f>IFERROR(VLOOKUP(TEXT(O195,"0"),CONDUCTORES!$A$3:$H$54,6,0),"")</f>
        <v/>
      </c>
      <c r="R195" s="334" t="n"/>
      <c r="S195" s="334" t="n"/>
      <c r="T195" s="334" t="n"/>
      <c r="U195" s="334" t="n"/>
      <c r="V195" s="334" t="n"/>
      <c r="W195" s="334" t="n"/>
      <c r="X195" s="334" t="n"/>
      <c r="Y195" s="334" t="n"/>
    </row>
    <row r="196" ht="15" customHeight="1" s="195">
      <c r="A196" s="280" t="n"/>
      <c r="B196" s="280" t="n"/>
      <c r="C196" s="280" t="n"/>
      <c r="D196" s="280" t="n"/>
      <c r="E196" s="280" t="n"/>
      <c r="F196" s="280" t="n"/>
      <c r="G196" s="280" t="n"/>
      <c r="H196" s="280" t="n"/>
      <c r="I196" s="332">
        <f>IFERROR(VLOOKUP(TEXT(H196,"0"),IPRESS!$A$3:$B$212,2,0),"")</f>
        <v/>
      </c>
      <c r="J196" s="280" t="n"/>
      <c r="K196" s="332">
        <f>IFERROR(VLOOKUP(TEXT(O196,"0"),CONDUCTORES!$A$3:$G$54,7,0),"")</f>
        <v/>
      </c>
      <c r="L196" s="280" t="n"/>
      <c r="M196" s="280" t="n"/>
      <c r="N196" s="333">
        <f>IFERROR(IF(L196*M196=0,"",L196*M196),"")</f>
        <v/>
      </c>
      <c r="O196" s="280" t="n"/>
      <c r="P196" s="332">
        <f>IFERROR(VLOOKUP(TEXT(O196,"0"),CONDUCTORES!$A$3:$G$54,2,0),"")</f>
        <v/>
      </c>
      <c r="Q196" s="332">
        <f>IFERROR(VLOOKUP(TEXT(O196,"0"),CONDUCTORES!$A$3:$H$54,6,0),"")</f>
        <v/>
      </c>
      <c r="R196" s="280" t="n"/>
      <c r="S196" s="280" t="n"/>
      <c r="T196" s="280" t="n"/>
      <c r="U196" s="280" t="n"/>
      <c r="V196" s="280" t="n"/>
      <c r="W196" s="280" t="n"/>
      <c r="X196" s="280" t="n"/>
      <c r="Y196" s="280" t="n"/>
    </row>
    <row r="197" ht="15" customHeight="1" s="195">
      <c r="A197" s="334" t="n"/>
      <c r="B197" s="334" t="n"/>
      <c r="C197" s="334" t="n"/>
      <c r="D197" s="334" t="n"/>
      <c r="E197" s="334" t="n"/>
      <c r="F197" s="334" t="n"/>
      <c r="G197" s="334" t="n"/>
      <c r="H197" s="334" t="n"/>
      <c r="I197" s="332">
        <f>IFERROR(VLOOKUP(TEXT(H197,"0"),IPRESS!$A$3:$B$212,2,0),"")</f>
        <v/>
      </c>
      <c r="J197" s="334" t="n"/>
      <c r="K197" s="332">
        <f>IFERROR(VLOOKUP(TEXT(O197,"0"),CONDUCTORES!$A$3:$G$54,7,0),"")</f>
        <v/>
      </c>
      <c r="L197" s="334" t="n"/>
      <c r="M197" s="334" t="n"/>
      <c r="N197" s="333">
        <f>IFERROR(IF(L197*M197=0,"",L197*M197),"")</f>
        <v/>
      </c>
      <c r="O197" s="334" t="n"/>
      <c r="P197" s="332">
        <f>IFERROR(VLOOKUP(TEXT(O197,"0"),CONDUCTORES!$A$3:$G$54,2,0),"")</f>
        <v/>
      </c>
      <c r="Q197" s="332">
        <f>IFERROR(VLOOKUP(TEXT(O197,"0"),CONDUCTORES!$A$3:$H$54,6,0),"")</f>
        <v/>
      </c>
      <c r="R197" s="334" t="n"/>
      <c r="S197" s="334" t="n"/>
      <c r="T197" s="334" t="n"/>
      <c r="U197" s="334" t="n"/>
      <c r="V197" s="334" t="n"/>
      <c r="W197" s="334" t="n"/>
      <c r="X197" s="334" t="n"/>
      <c r="Y197" s="334" t="n"/>
    </row>
    <row r="198" ht="15" customHeight="1" s="195">
      <c r="A198" s="280" t="n"/>
      <c r="B198" s="280" t="n"/>
      <c r="C198" s="280" t="n"/>
      <c r="D198" s="280" t="n"/>
      <c r="E198" s="280" t="n"/>
      <c r="F198" s="280" t="n"/>
      <c r="G198" s="280" t="n"/>
      <c r="H198" s="280" t="n"/>
      <c r="I198" s="332">
        <f>IFERROR(VLOOKUP(TEXT(H198,"0"),IPRESS!$A$3:$B$212,2,0),"")</f>
        <v/>
      </c>
      <c r="J198" s="280" t="n"/>
      <c r="K198" s="332">
        <f>IFERROR(VLOOKUP(TEXT(O198,"0"),CONDUCTORES!$A$3:$G$54,7,0),"")</f>
        <v/>
      </c>
      <c r="L198" s="280" t="n"/>
      <c r="M198" s="280" t="n"/>
      <c r="N198" s="333">
        <f>IFERROR(IF(L198*M198=0,"",L198*M198),"")</f>
        <v/>
      </c>
      <c r="O198" s="280" t="n"/>
      <c r="P198" s="332">
        <f>IFERROR(VLOOKUP(TEXT(O198,"0"),CONDUCTORES!$A$3:$G$54,2,0),"")</f>
        <v/>
      </c>
      <c r="Q198" s="332">
        <f>IFERROR(VLOOKUP(TEXT(O198,"0"),CONDUCTORES!$A$3:$H$54,6,0),"")</f>
        <v/>
      </c>
      <c r="R198" s="280" t="n"/>
      <c r="S198" s="280" t="n"/>
      <c r="T198" s="280" t="n"/>
      <c r="U198" s="280" t="n"/>
      <c r="V198" s="280" t="n"/>
      <c r="W198" s="280" t="n"/>
      <c r="X198" s="280" t="n"/>
      <c r="Y198" s="280" t="n"/>
    </row>
    <row r="199" ht="15" customHeight="1" s="195">
      <c r="A199" s="334" t="n"/>
      <c r="B199" s="334" t="n"/>
      <c r="C199" s="334" t="n"/>
      <c r="D199" s="334" t="n"/>
      <c r="E199" s="334" t="n"/>
      <c r="F199" s="334" t="n"/>
      <c r="G199" s="334" t="n"/>
      <c r="H199" s="334" t="n"/>
      <c r="I199" s="332">
        <f>IFERROR(VLOOKUP(TEXT(H199,"0"),IPRESS!$A$3:$B$212,2,0),"")</f>
        <v/>
      </c>
      <c r="J199" s="334" t="n"/>
      <c r="K199" s="332">
        <f>IFERROR(VLOOKUP(TEXT(O199,"0"),CONDUCTORES!$A$3:$G$54,7,0),"")</f>
        <v/>
      </c>
      <c r="L199" s="334" t="n"/>
      <c r="M199" s="334" t="n"/>
      <c r="N199" s="333">
        <f>IFERROR(IF(L199*M199=0,"",L199*M199),"")</f>
        <v/>
      </c>
      <c r="O199" s="334" t="n"/>
      <c r="P199" s="332">
        <f>IFERROR(VLOOKUP(TEXT(O199,"0"),CONDUCTORES!$A$3:$G$54,2,0),"")</f>
        <v/>
      </c>
      <c r="Q199" s="332">
        <f>IFERROR(VLOOKUP(TEXT(O199,"0"),CONDUCTORES!$A$3:$H$54,6,0),"")</f>
        <v/>
      </c>
      <c r="R199" s="334" t="n"/>
      <c r="S199" s="334" t="n"/>
      <c r="T199" s="334" t="n"/>
      <c r="U199" s="334" t="n"/>
      <c r="V199" s="334" t="n"/>
      <c r="W199" s="334" t="n"/>
      <c r="X199" s="334" t="n"/>
      <c r="Y199" s="334" t="n"/>
    </row>
    <row r="200" ht="15" customHeight="1" s="195">
      <c r="A200" s="280" t="n"/>
      <c r="B200" s="280" t="n"/>
      <c r="C200" s="280" t="n"/>
      <c r="D200" s="280" t="n"/>
      <c r="E200" s="280" t="n"/>
      <c r="F200" s="280" t="n"/>
      <c r="G200" s="280" t="n"/>
      <c r="H200" s="280" t="n"/>
      <c r="I200" s="332">
        <f>IFERROR(VLOOKUP(TEXT(H200,"0"),IPRESS!$A$3:$B$212,2,0),"")</f>
        <v/>
      </c>
      <c r="J200" s="280" t="n"/>
      <c r="K200" s="332">
        <f>IFERROR(VLOOKUP(TEXT(O200,"0"),CONDUCTORES!$A$3:$G$54,7,0),"")</f>
        <v/>
      </c>
      <c r="L200" s="280" t="n"/>
      <c r="M200" s="280" t="n"/>
      <c r="N200" s="333">
        <f>IFERROR(IF(L200*M200=0,"",L200*M200),"")</f>
        <v/>
      </c>
      <c r="O200" s="280" t="n"/>
      <c r="P200" s="332">
        <f>IFERROR(VLOOKUP(TEXT(O200,"0"),CONDUCTORES!$A$3:$G$54,2,0),"")</f>
        <v/>
      </c>
      <c r="Q200" s="332">
        <f>IFERROR(VLOOKUP(TEXT(O200,"0"),CONDUCTORES!$A$3:$H$54,6,0),"")</f>
        <v/>
      </c>
      <c r="R200" s="280" t="n"/>
      <c r="S200" s="280" t="n"/>
      <c r="T200" s="280" t="n"/>
      <c r="U200" s="280" t="n"/>
      <c r="V200" s="280" t="n"/>
      <c r="W200" s="280" t="n"/>
      <c r="X200" s="280" t="n"/>
      <c r="Y200" s="280" t="n"/>
    </row>
    <row r="201" ht="15" customHeight="1" s="195">
      <c r="A201" s="334" t="n"/>
      <c r="B201" s="334" t="n"/>
      <c r="C201" s="334" t="n"/>
      <c r="D201" s="334" t="n"/>
      <c r="E201" s="334" t="n"/>
      <c r="F201" s="334" t="n"/>
      <c r="G201" s="334" t="n"/>
      <c r="H201" s="334" t="n"/>
      <c r="I201" s="332">
        <f>IFERROR(VLOOKUP(TEXT(H201,"0"),IPRESS!$A$3:$B$212,2,0),"")</f>
        <v/>
      </c>
      <c r="J201" s="334" t="n"/>
      <c r="K201" s="332">
        <f>IFERROR(VLOOKUP(TEXT(O201,"0"),CONDUCTORES!$A$3:$G$54,7,0),"")</f>
        <v/>
      </c>
      <c r="L201" s="334" t="n"/>
      <c r="M201" s="334" t="n"/>
      <c r="N201" s="333">
        <f>IFERROR(IF(L201*M201=0,"",L201*M201),"")</f>
        <v/>
      </c>
      <c r="O201" s="334" t="n"/>
      <c r="P201" s="332">
        <f>IFERROR(VLOOKUP(TEXT(O201,"0"),CONDUCTORES!$A$3:$G$54,2,0),"")</f>
        <v/>
      </c>
      <c r="Q201" s="332">
        <f>IFERROR(VLOOKUP(TEXT(O201,"0"),CONDUCTORES!$A$3:$H$54,6,0),"")</f>
        <v/>
      </c>
      <c r="R201" s="334" t="n"/>
      <c r="S201" s="334" t="n"/>
      <c r="T201" s="334" t="n"/>
      <c r="U201" s="334" t="n"/>
      <c r="V201" s="334" t="n"/>
      <c r="W201" s="334" t="n"/>
      <c r="X201" s="334" t="n"/>
      <c r="Y201" s="334" t="n"/>
    </row>
    <row r="202" ht="15" customHeight="1" s="195">
      <c r="A202" s="280" t="n"/>
      <c r="B202" s="280" t="n"/>
      <c r="C202" s="280" t="n"/>
      <c r="D202" s="280" t="n"/>
      <c r="E202" s="280" t="n"/>
      <c r="F202" s="280" t="n"/>
      <c r="G202" s="280" t="n"/>
      <c r="H202" s="280" t="n"/>
      <c r="I202" s="332">
        <f>IFERROR(VLOOKUP(TEXT(H202,"0"),IPRESS!$A$3:$B$212,2,0),"")</f>
        <v/>
      </c>
      <c r="J202" s="280" t="n"/>
      <c r="K202" s="332">
        <f>IFERROR(VLOOKUP(TEXT(O202,"0"),CONDUCTORES!$A$3:$G$54,7,0),"")</f>
        <v/>
      </c>
      <c r="L202" s="280" t="n"/>
      <c r="M202" s="280" t="n"/>
      <c r="N202" s="333">
        <f>IFERROR(IF(L202*M202=0,"",L202*M202),"")</f>
        <v/>
      </c>
      <c r="O202" s="280" t="n"/>
      <c r="P202" s="332">
        <f>IFERROR(VLOOKUP(TEXT(O202,"0"),CONDUCTORES!$A$3:$G$54,2,0),"")</f>
        <v/>
      </c>
      <c r="Q202" s="332">
        <f>IFERROR(VLOOKUP(TEXT(O202,"0"),CONDUCTORES!$A$3:$H$54,6,0),"")</f>
        <v/>
      </c>
      <c r="R202" s="280" t="n"/>
      <c r="S202" s="280" t="n"/>
      <c r="T202" s="280" t="n"/>
      <c r="U202" s="280" t="n"/>
      <c r="V202" s="280" t="n"/>
      <c r="W202" s="280" t="n"/>
      <c r="X202" s="280" t="n"/>
      <c r="Y202" s="280" t="n"/>
    </row>
    <row r="203" ht="15" customHeight="1" s="195">
      <c r="A203" s="334" t="n"/>
      <c r="B203" s="334" t="n"/>
      <c r="C203" s="334" t="n"/>
      <c r="D203" s="334" t="n"/>
      <c r="E203" s="334" t="n"/>
      <c r="F203" s="334" t="n"/>
      <c r="G203" s="334" t="n"/>
      <c r="H203" s="334" t="n"/>
      <c r="I203" s="332">
        <f>IFERROR(VLOOKUP(TEXT(H203,"0"),IPRESS!$A$3:$B$212,2,0),"")</f>
        <v/>
      </c>
      <c r="J203" s="334" t="n"/>
      <c r="K203" s="332">
        <f>IFERROR(VLOOKUP(TEXT(O203,"0"),CONDUCTORES!$A$3:$G$54,7,0),"")</f>
        <v/>
      </c>
      <c r="L203" s="334" t="n"/>
      <c r="M203" s="334" t="n"/>
      <c r="N203" s="333">
        <f>IFERROR(IF(L203*M203=0,"",L203*M203),"")</f>
        <v/>
      </c>
      <c r="O203" s="334" t="n"/>
      <c r="P203" s="332">
        <f>IFERROR(VLOOKUP(TEXT(O203,"0"),CONDUCTORES!$A$3:$G$54,2,0),"")</f>
        <v/>
      </c>
      <c r="Q203" s="332">
        <f>IFERROR(VLOOKUP(TEXT(O203,"0"),CONDUCTORES!$A$3:$H$54,6,0),"")</f>
        <v/>
      </c>
      <c r="R203" s="334" t="n"/>
      <c r="S203" s="334" t="n"/>
      <c r="T203" s="334" t="n"/>
      <c r="U203" s="334" t="n"/>
      <c r="V203" s="334" t="n"/>
      <c r="W203" s="334" t="n"/>
      <c r="X203" s="334" t="n"/>
      <c r="Y203" s="334" t="n"/>
    </row>
    <row r="204" ht="15" customHeight="1" s="195">
      <c r="A204" s="280" t="n"/>
      <c r="B204" s="280" t="n"/>
      <c r="C204" s="280" t="n"/>
      <c r="D204" s="280" t="n"/>
      <c r="E204" s="280" t="n"/>
      <c r="F204" s="280" t="n"/>
      <c r="G204" s="280" t="n"/>
      <c r="H204" s="280" t="n"/>
      <c r="I204" s="332">
        <f>IFERROR(VLOOKUP(TEXT(H204,"0"),IPRESS!$A$3:$B$212,2,0),"")</f>
        <v/>
      </c>
      <c r="J204" s="280" t="n"/>
      <c r="K204" s="332">
        <f>IFERROR(VLOOKUP(TEXT(O204,"0"),CONDUCTORES!$A$3:$G$54,7,0),"")</f>
        <v/>
      </c>
      <c r="L204" s="280" t="n"/>
      <c r="M204" s="280" t="n"/>
      <c r="N204" s="333">
        <f>IFERROR(IF(L204*M204=0,"",L204*M204),"")</f>
        <v/>
      </c>
      <c r="O204" s="280" t="n"/>
      <c r="P204" s="332">
        <f>IFERROR(VLOOKUP(TEXT(O204,"0"),CONDUCTORES!$A$3:$G$54,2,0),"")</f>
        <v/>
      </c>
      <c r="Q204" s="332">
        <f>IFERROR(VLOOKUP(TEXT(O204,"0"),CONDUCTORES!$A$3:$H$54,6,0),"")</f>
        <v/>
      </c>
      <c r="R204" s="280" t="n"/>
      <c r="S204" s="280" t="n"/>
      <c r="T204" s="280" t="n"/>
      <c r="U204" s="280" t="n"/>
      <c r="V204" s="280" t="n"/>
      <c r="W204" s="280" t="n"/>
      <c r="X204" s="280" t="n"/>
      <c r="Y204" s="280" t="n"/>
    </row>
    <row r="205" ht="15" customHeight="1" s="195">
      <c r="A205" s="334" t="n"/>
      <c r="B205" s="334" t="n"/>
      <c r="C205" s="334" t="n"/>
      <c r="D205" s="334" t="n"/>
      <c r="E205" s="334" t="n"/>
      <c r="F205" s="334" t="n"/>
      <c r="G205" s="334" t="n"/>
      <c r="H205" s="334" t="n"/>
      <c r="I205" s="332">
        <f>IFERROR(VLOOKUP(TEXT(H205,"0"),IPRESS!$A$3:$B$212,2,0),"")</f>
        <v/>
      </c>
      <c r="J205" s="334" t="n"/>
      <c r="K205" s="332">
        <f>IFERROR(VLOOKUP(TEXT(O205,"0"),CONDUCTORES!$A$3:$G$54,7,0),"")</f>
        <v/>
      </c>
      <c r="L205" s="334" t="n"/>
      <c r="M205" s="334" t="n"/>
      <c r="N205" s="333">
        <f>IFERROR(IF(L205*M205=0,"",L205*M205),"")</f>
        <v/>
      </c>
      <c r="O205" s="334" t="n"/>
      <c r="P205" s="332">
        <f>IFERROR(VLOOKUP(TEXT(O205,"0"),CONDUCTORES!$A$3:$G$54,2,0),"")</f>
        <v/>
      </c>
      <c r="Q205" s="332">
        <f>IFERROR(VLOOKUP(TEXT(O205,"0"),CONDUCTORES!$A$3:$H$54,6,0),"")</f>
        <v/>
      </c>
      <c r="R205" s="334" t="n"/>
      <c r="S205" s="334" t="n"/>
      <c r="T205" s="334" t="n"/>
      <c r="U205" s="334" t="n"/>
      <c r="V205" s="334" t="n"/>
      <c r="W205" s="334" t="n"/>
      <c r="X205" s="334" t="n"/>
      <c r="Y205" s="334" t="n"/>
    </row>
    <row r="206" ht="15" customHeight="1" s="195">
      <c r="A206" s="280" t="n"/>
      <c r="B206" s="280" t="n"/>
      <c r="C206" s="280" t="n"/>
      <c r="D206" s="280" t="n"/>
      <c r="E206" s="280" t="n"/>
      <c r="F206" s="280" t="n"/>
      <c r="G206" s="280" t="n"/>
      <c r="H206" s="280" t="n"/>
      <c r="I206" s="332">
        <f>IFERROR(VLOOKUP(TEXT(H206,"0"),IPRESS!$A$3:$B$212,2,0),"")</f>
        <v/>
      </c>
      <c r="J206" s="280" t="n"/>
      <c r="K206" s="332">
        <f>IFERROR(VLOOKUP(TEXT(O206,"0"),CONDUCTORES!$A$3:$G$54,7,0),"")</f>
        <v/>
      </c>
      <c r="L206" s="280" t="n"/>
      <c r="M206" s="280" t="n"/>
      <c r="N206" s="333">
        <f>IFERROR(IF(L206*M206=0,"",L206*M206),"")</f>
        <v/>
      </c>
      <c r="O206" s="280" t="n"/>
      <c r="P206" s="332">
        <f>IFERROR(VLOOKUP(TEXT(O206,"0"),CONDUCTORES!$A$3:$G$54,2,0),"")</f>
        <v/>
      </c>
      <c r="Q206" s="332">
        <f>IFERROR(VLOOKUP(TEXT(O206,"0"),CONDUCTORES!$A$3:$H$54,6,0),"")</f>
        <v/>
      </c>
      <c r="R206" s="280" t="n"/>
      <c r="S206" s="280" t="n"/>
      <c r="T206" s="280" t="n"/>
      <c r="U206" s="280" t="n"/>
      <c r="V206" s="280" t="n"/>
      <c r="W206" s="280" t="n"/>
      <c r="X206" s="280" t="n"/>
      <c r="Y206" s="280" t="n"/>
    </row>
    <row r="207" ht="15" customHeight="1" s="195">
      <c r="A207" s="334" t="n"/>
      <c r="B207" s="334" t="n"/>
      <c r="C207" s="334" t="n"/>
      <c r="D207" s="334" t="n"/>
      <c r="E207" s="334" t="n"/>
      <c r="F207" s="334" t="n"/>
      <c r="G207" s="334" t="n"/>
      <c r="H207" s="334" t="n"/>
      <c r="I207" s="332">
        <f>IFERROR(VLOOKUP(TEXT(H207,"0"),IPRESS!$A$3:$B$212,2,0),"")</f>
        <v/>
      </c>
      <c r="J207" s="334" t="n"/>
      <c r="K207" s="332">
        <f>IFERROR(VLOOKUP(TEXT(O207,"0"),CONDUCTORES!$A$3:$G$54,7,0),"")</f>
        <v/>
      </c>
      <c r="L207" s="334" t="n"/>
      <c r="M207" s="334" t="n"/>
      <c r="N207" s="333">
        <f>IFERROR(IF(L207*M207=0,"",L207*M207),"")</f>
        <v/>
      </c>
      <c r="O207" s="334" t="n"/>
      <c r="P207" s="332">
        <f>IFERROR(VLOOKUP(TEXT(O207,"0"),CONDUCTORES!$A$3:$G$54,2,0),"")</f>
        <v/>
      </c>
      <c r="Q207" s="332">
        <f>IFERROR(VLOOKUP(TEXT(O207,"0"),CONDUCTORES!$A$3:$H$54,6,0),"")</f>
        <v/>
      </c>
      <c r="R207" s="334" t="n"/>
      <c r="S207" s="334" t="n"/>
      <c r="T207" s="334" t="n"/>
      <c r="U207" s="334" t="n"/>
      <c r="V207" s="334" t="n"/>
      <c r="W207" s="334" t="n"/>
      <c r="X207" s="334" t="n"/>
      <c r="Y207" s="334" t="n"/>
    </row>
    <row r="208" ht="15" customHeight="1" s="195">
      <c r="A208" s="280" t="n"/>
      <c r="B208" s="280" t="n"/>
      <c r="C208" s="280" t="n"/>
      <c r="D208" s="280" t="n"/>
      <c r="E208" s="280" t="n"/>
      <c r="F208" s="280" t="n"/>
      <c r="G208" s="280" t="n"/>
      <c r="H208" s="280" t="n"/>
      <c r="I208" s="332">
        <f>IFERROR(VLOOKUP(TEXT(H208,"0"),IPRESS!$A$3:$B$212,2,0),"")</f>
        <v/>
      </c>
      <c r="J208" s="280" t="n"/>
      <c r="K208" s="332">
        <f>IFERROR(VLOOKUP(TEXT(O208,"0"),CONDUCTORES!$A$3:$G$54,7,0),"")</f>
        <v/>
      </c>
      <c r="L208" s="280" t="n"/>
      <c r="M208" s="280" t="n"/>
      <c r="N208" s="333">
        <f>IFERROR(IF(L208*M208=0,"",L208*M208),"")</f>
        <v/>
      </c>
      <c r="O208" s="280" t="n"/>
      <c r="P208" s="332">
        <f>IFERROR(VLOOKUP(TEXT(O208,"0"),CONDUCTORES!$A$3:$G$54,2,0),"")</f>
        <v/>
      </c>
      <c r="Q208" s="332">
        <f>IFERROR(VLOOKUP(TEXT(O208,"0"),CONDUCTORES!$A$3:$H$54,6,0),"")</f>
        <v/>
      </c>
      <c r="R208" s="280" t="n"/>
      <c r="S208" s="280" t="n"/>
      <c r="T208" s="280" t="n"/>
      <c r="U208" s="280" t="n"/>
      <c r="V208" s="280" t="n"/>
      <c r="W208" s="280" t="n"/>
      <c r="X208" s="280" t="n"/>
      <c r="Y208" s="280" t="n"/>
    </row>
    <row r="209" ht="15" customHeight="1" s="195">
      <c r="A209" s="334" t="n"/>
      <c r="B209" s="334" t="n"/>
      <c r="C209" s="334" t="n"/>
      <c r="D209" s="334" t="n"/>
      <c r="E209" s="334" t="n"/>
      <c r="F209" s="334" t="n"/>
      <c r="G209" s="334" t="n"/>
      <c r="H209" s="334" t="n"/>
      <c r="I209" s="332">
        <f>IFERROR(VLOOKUP(TEXT(H209,"0"),IPRESS!$A$3:$B$212,2,0),"")</f>
        <v/>
      </c>
      <c r="J209" s="334" t="n"/>
      <c r="K209" s="332">
        <f>IFERROR(VLOOKUP(TEXT(O209,"0"),CONDUCTORES!$A$3:$G$54,7,0),"")</f>
        <v/>
      </c>
      <c r="L209" s="334" t="n"/>
      <c r="M209" s="334" t="n"/>
      <c r="N209" s="333">
        <f>IFERROR(IF(L209*M209=0,"",L209*M209),"")</f>
        <v/>
      </c>
      <c r="O209" s="334" t="n"/>
      <c r="P209" s="332">
        <f>IFERROR(VLOOKUP(TEXT(O209,"0"),CONDUCTORES!$A$3:$G$54,2,0),"")</f>
        <v/>
      </c>
      <c r="Q209" s="332">
        <f>IFERROR(VLOOKUP(TEXT(O209,"0"),CONDUCTORES!$A$3:$H$54,6,0),"")</f>
        <v/>
      </c>
      <c r="R209" s="334" t="n"/>
      <c r="S209" s="334" t="n"/>
      <c r="T209" s="334" t="n"/>
      <c r="U209" s="334" t="n"/>
      <c r="V209" s="334" t="n"/>
      <c r="W209" s="334" t="n"/>
      <c r="X209" s="334" t="n"/>
      <c r="Y209" s="334" t="n"/>
    </row>
    <row r="210" ht="15" customHeight="1" s="195">
      <c r="A210" s="280" t="n"/>
      <c r="B210" s="280" t="n"/>
      <c r="C210" s="280" t="n"/>
      <c r="D210" s="280" t="n"/>
      <c r="E210" s="280" t="n"/>
      <c r="F210" s="280" t="n"/>
      <c r="G210" s="280" t="n"/>
      <c r="H210" s="280" t="n"/>
      <c r="I210" s="332">
        <f>IFERROR(VLOOKUP(TEXT(H210,"0"),IPRESS!$A$3:$B$212,2,0),"")</f>
        <v/>
      </c>
      <c r="J210" s="280" t="n"/>
      <c r="K210" s="332">
        <f>IFERROR(VLOOKUP(TEXT(O210,"0"),CONDUCTORES!$A$3:$G$54,7,0),"")</f>
        <v/>
      </c>
      <c r="L210" s="280" t="n"/>
      <c r="M210" s="280" t="n"/>
      <c r="N210" s="333">
        <f>IFERROR(IF(L210*M210=0,"",L210*M210),"")</f>
        <v/>
      </c>
      <c r="O210" s="280" t="n"/>
      <c r="P210" s="332">
        <f>IFERROR(VLOOKUP(TEXT(O210,"0"),CONDUCTORES!$A$3:$G$54,2,0),"")</f>
        <v/>
      </c>
      <c r="Q210" s="332">
        <f>IFERROR(VLOOKUP(TEXT(O210,"0"),CONDUCTORES!$A$3:$H$54,6,0),"")</f>
        <v/>
      </c>
      <c r="R210" s="280" t="n"/>
      <c r="S210" s="280" t="n"/>
      <c r="T210" s="280" t="n"/>
      <c r="U210" s="280" t="n"/>
      <c r="V210" s="280" t="n"/>
      <c r="W210" s="280" t="n"/>
      <c r="X210" s="280" t="n"/>
      <c r="Y210" s="280" t="n"/>
    </row>
    <row r="211" ht="15" customHeight="1" s="195">
      <c r="A211" s="334" t="n"/>
      <c r="B211" s="334" t="n"/>
      <c r="C211" s="334" t="n"/>
      <c r="D211" s="334" t="n"/>
      <c r="E211" s="334" t="n"/>
      <c r="F211" s="334" t="n"/>
      <c r="G211" s="334" t="n"/>
      <c r="H211" s="334" t="n"/>
      <c r="I211" s="332">
        <f>IFERROR(VLOOKUP(TEXT(H211,"0"),IPRESS!$A$3:$B$212,2,0),"")</f>
        <v/>
      </c>
      <c r="J211" s="334" t="n"/>
      <c r="K211" s="332">
        <f>IFERROR(VLOOKUP(TEXT(O211,"0"),CONDUCTORES!$A$3:$G$54,7,0),"")</f>
        <v/>
      </c>
      <c r="L211" s="334" t="n"/>
      <c r="M211" s="334" t="n"/>
      <c r="N211" s="333">
        <f>IFERROR(IF(L211*M211=0,"",L211*M211),"")</f>
        <v/>
      </c>
      <c r="O211" s="334" t="n"/>
      <c r="P211" s="332">
        <f>IFERROR(VLOOKUP(TEXT(O211,"0"),CONDUCTORES!$A$3:$G$54,2,0),"")</f>
        <v/>
      </c>
      <c r="Q211" s="332">
        <f>IFERROR(VLOOKUP(TEXT(O211,"0"),CONDUCTORES!$A$3:$H$54,6,0),"")</f>
        <v/>
      </c>
      <c r="R211" s="334" t="n"/>
      <c r="S211" s="334" t="n"/>
      <c r="T211" s="334" t="n"/>
      <c r="U211" s="334" t="n"/>
      <c r="V211" s="334" t="n"/>
      <c r="W211" s="334" t="n"/>
      <c r="X211" s="334" t="n"/>
      <c r="Y211" s="334" t="n"/>
    </row>
    <row r="212" ht="15" customHeight="1" s="195">
      <c r="A212" s="280" t="n"/>
      <c r="B212" s="280" t="n"/>
      <c r="C212" s="280" t="n"/>
      <c r="D212" s="280" t="n"/>
      <c r="E212" s="280" t="n"/>
      <c r="F212" s="280" t="n"/>
      <c r="G212" s="280" t="n"/>
      <c r="H212" s="280" t="n"/>
      <c r="I212" s="332">
        <f>IFERROR(VLOOKUP(TEXT(H212,"0"),IPRESS!$A$3:$B$212,2,0),"")</f>
        <v/>
      </c>
      <c r="J212" s="280" t="n"/>
      <c r="K212" s="332">
        <f>IFERROR(VLOOKUP(TEXT(O212,"0"),CONDUCTORES!$A$3:$G$54,7,0),"")</f>
        <v/>
      </c>
      <c r="L212" s="280" t="n"/>
      <c r="M212" s="280" t="n"/>
      <c r="N212" s="333">
        <f>IFERROR(IF(L212*M212=0,"",L212*M212),"")</f>
        <v/>
      </c>
      <c r="O212" s="280" t="n"/>
      <c r="P212" s="332">
        <f>IFERROR(VLOOKUP(TEXT(O212,"0"),CONDUCTORES!$A$3:$G$54,2,0),"")</f>
        <v/>
      </c>
      <c r="Q212" s="332">
        <f>IFERROR(VLOOKUP(TEXT(O212,"0"),CONDUCTORES!$A$3:$H$54,6,0),"")</f>
        <v/>
      </c>
      <c r="R212" s="280" t="n"/>
      <c r="S212" s="280" t="n"/>
      <c r="T212" s="280" t="n"/>
      <c r="U212" s="280" t="n"/>
      <c r="V212" s="280" t="n"/>
      <c r="W212" s="280" t="n"/>
      <c r="X212" s="280" t="n"/>
      <c r="Y212" s="280" t="n"/>
    </row>
    <row r="213" ht="15" customHeight="1" s="195">
      <c r="A213" s="334" t="n"/>
      <c r="B213" s="334" t="n"/>
      <c r="C213" s="334" t="n"/>
      <c r="D213" s="334" t="n"/>
      <c r="E213" s="334" t="n"/>
      <c r="F213" s="334" t="n"/>
      <c r="G213" s="334" t="n"/>
      <c r="H213" s="334" t="n"/>
      <c r="I213" s="332">
        <f>IFERROR(VLOOKUP(TEXT(H213,"0"),IPRESS!$A$3:$B$212,2,0),"")</f>
        <v/>
      </c>
      <c r="J213" s="334" t="n"/>
      <c r="K213" s="332">
        <f>IFERROR(VLOOKUP(TEXT(O213,"0"),CONDUCTORES!$A$3:$G$54,7,0),"")</f>
        <v/>
      </c>
      <c r="L213" s="334" t="n"/>
      <c r="M213" s="334" t="n"/>
      <c r="N213" s="333">
        <f>IFERROR(IF(L213*M213=0,"",L213*M213),"")</f>
        <v/>
      </c>
      <c r="O213" s="334" t="n"/>
      <c r="P213" s="332">
        <f>IFERROR(VLOOKUP(TEXT(O213,"0"),CONDUCTORES!$A$3:$G$54,2,0),"")</f>
        <v/>
      </c>
      <c r="Q213" s="332">
        <f>IFERROR(VLOOKUP(TEXT(O213,"0"),CONDUCTORES!$A$3:$H$54,6,0),"")</f>
        <v/>
      </c>
      <c r="R213" s="334" t="n"/>
      <c r="S213" s="334" t="n"/>
      <c r="T213" s="334" t="n"/>
      <c r="U213" s="334" t="n"/>
      <c r="V213" s="334" t="n"/>
      <c r="W213" s="334" t="n"/>
      <c r="X213" s="334" t="n"/>
      <c r="Y213" s="334" t="n"/>
    </row>
    <row r="214" ht="15" customHeight="1" s="195">
      <c r="A214" s="280" t="n"/>
      <c r="B214" s="280" t="n"/>
      <c r="C214" s="280" t="n"/>
      <c r="D214" s="280" t="n"/>
      <c r="E214" s="280" t="n"/>
      <c r="F214" s="280" t="n"/>
      <c r="G214" s="280" t="n"/>
      <c r="H214" s="280" t="n"/>
      <c r="I214" s="332">
        <f>IFERROR(VLOOKUP(TEXT(H214,"0"),IPRESS!$A$3:$B$212,2,0),"")</f>
        <v/>
      </c>
      <c r="J214" s="280" t="n"/>
      <c r="K214" s="332">
        <f>IFERROR(VLOOKUP(TEXT(O214,"0"),CONDUCTORES!$A$3:$G$54,7,0),"")</f>
        <v/>
      </c>
      <c r="L214" s="280" t="n"/>
      <c r="M214" s="280" t="n"/>
      <c r="N214" s="333">
        <f>IFERROR(IF(L214*M214=0,"",L214*M214),"")</f>
        <v/>
      </c>
      <c r="O214" s="280" t="n"/>
      <c r="P214" s="332">
        <f>IFERROR(VLOOKUP(TEXT(O214,"0"),CONDUCTORES!$A$3:$G$54,2,0),"")</f>
        <v/>
      </c>
      <c r="Q214" s="332">
        <f>IFERROR(VLOOKUP(TEXT(O214,"0"),CONDUCTORES!$A$3:$H$54,6,0),"")</f>
        <v/>
      </c>
      <c r="R214" s="280" t="n"/>
      <c r="S214" s="280" t="n"/>
      <c r="T214" s="280" t="n"/>
      <c r="U214" s="280" t="n"/>
      <c r="V214" s="280" t="n"/>
      <c r="W214" s="280" t="n"/>
      <c r="X214" s="280" t="n"/>
      <c r="Y214" s="280" t="n"/>
    </row>
    <row r="215" ht="15" customHeight="1" s="195">
      <c r="A215" s="334" t="n"/>
      <c r="B215" s="334" t="n"/>
      <c r="C215" s="334" t="n"/>
      <c r="D215" s="334" t="n"/>
      <c r="E215" s="334" t="n"/>
      <c r="F215" s="334" t="n"/>
      <c r="G215" s="334" t="n"/>
      <c r="H215" s="334" t="n"/>
      <c r="I215" s="332">
        <f>IFERROR(VLOOKUP(TEXT(H215,"0"),IPRESS!$A$3:$B$212,2,0),"")</f>
        <v/>
      </c>
      <c r="J215" s="334" t="n"/>
      <c r="K215" s="332">
        <f>IFERROR(VLOOKUP(TEXT(O215,"0"),CONDUCTORES!$A$3:$G$54,7,0),"")</f>
        <v/>
      </c>
      <c r="L215" s="334" t="n"/>
      <c r="M215" s="334" t="n"/>
      <c r="N215" s="333">
        <f>IFERROR(IF(L215*M215=0,"",L215*M215),"")</f>
        <v/>
      </c>
      <c r="O215" s="334" t="n"/>
      <c r="P215" s="332">
        <f>IFERROR(VLOOKUP(TEXT(O215,"0"),CONDUCTORES!$A$3:$G$54,2,0),"")</f>
        <v/>
      </c>
      <c r="Q215" s="332">
        <f>IFERROR(VLOOKUP(TEXT(O215,"0"),CONDUCTORES!$A$3:$H$54,6,0),"")</f>
        <v/>
      </c>
      <c r="R215" s="334" t="n"/>
      <c r="S215" s="334" t="n"/>
      <c r="T215" s="334" t="n"/>
      <c r="U215" s="334" t="n"/>
      <c r="V215" s="334" t="n"/>
      <c r="W215" s="334" t="n"/>
      <c r="X215" s="334" t="n"/>
      <c r="Y215" s="334" t="n"/>
    </row>
    <row r="216" ht="15" customHeight="1" s="195">
      <c r="A216" s="280" t="n"/>
      <c r="B216" s="280" t="n"/>
      <c r="C216" s="280" t="n"/>
      <c r="D216" s="280" t="n"/>
      <c r="E216" s="280" t="n"/>
      <c r="F216" s="280" t="n"/>
      <c r="G216" s="280" t="n"/>
      <c r="H216" s="280" t="n"/>
      <c r="I216" s="332">
        <f>IFERROR(VLOOKUP(TEXT(H216,"0"),IPRESS!$A$3:$B$212,2,0),"")</f>
        <v/>
      </c>
      <c r="J216" s="280" t="n"/>
      <c r="K216" s="332">
        <f>IFERROR(VLOOKUP(TEXT(O216,"0"),CONDUCTORES!$A$3:$G$54,7,0),"")</f>
        <v/>
      </c>
      <c r="L216" s="280" t="n"/>
      <c r="M216" s="280" t="n"/>
      <c r="N216" s="333">
        <f>IFERROR(IF(L216*M216=0,"",L216*M216),"")</f>
        <v/>
      </c>
      <c r="O216" s="280" t="n"/>
      <c r="P216" s="332">
        <f>IFERROR(VLOOKUP(TEXT(O216,"0"),CONDUCTORES!$A$3:$G$54,2,0),"")</f>
        <v/>
      </c>
      <c r="Q216" s="332">
        <f>IFERROR(VLOOKUP(TEXT(O216,"0"),CONDUCTORES!$A$3:$H$54,6,0),"")</f>
        <v/>
      </c>
      <c r="R216" s="280" t="n"/>
      <c r="S216" s="280" t="n"/>
      <c r="T216" s="280" t="n"/>
      <c r="U216" s="280" t="n"/>
      <c r="V216" s="280" t="n"/>
      <c r="W216" s="280" t="n"/>
      <c r="X216" s="280" t="n"/>
      <c r="Y216" s="280" t="n"/>
    </row>
    <row r="217" ht="15" customHeight="1" s="195">
      <c r="A217" s="334" t="n"/>
      <c r="B217" s="334" t="n"/>
      <c r="C217" s="334" t="n"/>
      <c r="D217" s="334" t="n"/>
      <c r="E217" s="334" t="n"/>
      <c r="F217" s="334" t="n"/>
      <c r="G217" s="334" t="n"/>
      <c r="H217" s="334" t="n"/>
      <c r="I217" s="332">
        <f>IFERROR(VLOOKUP(TEXT(H217,"0"),IPRESS!$A$3:$B$212,2,0),"")</f>
        <v/>
      </c>
      <c r="J217" s="334" t="n"/>
      <c r="K217" s="332">
        <f>IFERROR(VLOOKUP(TEXT(O217,"0"),CONDUCTORES!$A$3:$G$54,7,0),"")</f>
        <v/>
      </c>
      <c r="L217" s="334" t="n"/>
      <c r="M217" s="334" t="n"/>
      <c r="N217" s="333">
        <f>IFERROR(IF(L217*M217=0,"",L217*M217),"")</f>
        <v/>
      </c>
      <c r="O217" s="334" t="n"/>
      <c r="P217" s="332">
        <f>IFERROR(VLOOKUP(TEXT(O217,"0"),CONDUCTORES!$A$3:$G$54,2,0),"")</f>
        <v/>
      </c>
      <c r="Q217" s="332">
        <f>IFERROR(VLOOKUP(TEXT(O217,"0"),CONDUCTORES!$A$3:$H$54,6,0),"")</f>
        <v/>
      </c>
      <c r="R217" s="334" t="n"/>
      <c r="S217" s="334" t="n"/>
      <c r="T217" s="334" t="n"/>
      <c r="U217" s="334" t="n"/>
      <c r="V217" s="334" t="n"/>
      <c r="W217" s="334" t="n"/>
      <c r="X217" s="334" t="n"/>
      <c r="Y217" s="334" t="n"/>
    </row>
    <row r="218" ht="15" customHeight="1" s="195">
      <c r="A218" s="280" t="n"/>
      <c r="B218" s="280" t="n"/>
      <c r="C218" s="280" t="n"/>
      <c r="D218" s="280" t="n"/>
      <c r="E218" s="280" t="n"/>
      <c r="F218" s="280" t="n"/>
      <c r="G218" s="280" t="n"/>
      <c r="H218" s="280" t="n"/>
      <c r="I218" s="332">
        <f>IFERROR(VLOOKUP(TEXT(H218,"0"),IPRESS!$A$3:$B$212,2,0),"")</f>
        <v/>
      </c>
      <c r="J218" s="280" t="n"/>
      <c r="K218" s="332">
        <f>IFERROR(VLOOKUP(TEXT(O218,"0"),CONDUCTORES!$A$3:$G$54,7,0),"")</f>
        <v/>
      </c>
      <c r="L218" s="280" t="n"/>
      <c r="M218" s="280" t="n"/>
      <c r="N218" s="333">
        <f>IFERROR(IF(L218*M218=0,"",L218*M218),"")</f>
        <v/>
      </c>
      <c r="O218" s="280" t="n"/>
      <c r="P218" s="332">
        <f>IFERROR(VLOOKUP(TEXT(O218,"0"),CONDUCTORES!$A$3:$G$54,2,0),"")</f>
        <v/>
      </c>
      <c r="Q218" s="332">
        <f>IFERROR(VLOOKUP(TEXT(O218,"0"),CONDUCTORES!$A$3:$H$54,6,0),"")</f>
        <v/>
      </c>
      <c r="R218" s="280" t="n"/>
      <c r="S218" s="280" t="n"/>
      <c r="T218" s="280" t="n"/>
      <c r="U218" s="280" t="n"/>
      <c r="V218" s="280" t="n"/>
      <c r="W218" s="280" t="n"/>
      <c r="X218" s="280" t="n"/>
      <c r="Y218" s="280" t="n"/>
    </row>
    <row r="219" ht="15" customHeight="1" s="195">
      <c r="A219" s="334" t="n"/>
      <c r="B219" s="334" t="n"/>
      <c r="C219" s="334" t="n"/>
      <c r="D219" s="334" t="n"/>
      <c r="E219" s="334" t="n"/>
      <c r="F219" s="334" t="n"/>
      <c r="G219" s="334" t="n"/>
      <c r="H219" s="334" t="n"/>
      <c r="I219" s="332">
        <f>IFERROR(VLOOKUP(TEXT(H219,"0"),IPRESS!$A$3:$B$212,2,0),"")</f>
        <v/>
      </c>
      <c r="J219" s="334" t="n"/>
      <c r="K219" s="332">
        <f>IFERROR(VLOOKUP(TEXT(O219,"0"),CONDUCTORES!$A$3:$G$54,7,0),"")</f>
        <v/>
      </c>
      <c r="L219" s="334" t="n"/>
      <c r="M219" s="334" t="n"/>
      <c r="N219" s="333">
        <f>IFERROR(IF(L219*M219=0,"",L219*M219),"")</f>
        <v/>
      </c>
      <c r="O219" s="334" t="n"/>
      <c r="P219" s="332">
        <f>IFERROR(VLOOKUP(TEXT(O219,"0"),CONDUCTORES!$A$3:$G$54,2,0),"")</f>
        <v/>
      </c>
      <c r="Q219" s="332">
        <f>IFERROR(VLOOKUP(TEXT(O219,"0"),CONDUCTORES!$A$3:$H$54,6,0),"")</f>
        <v/>
      </c>
      <c r="R219" s="334" t="n"/>
      <c r="S219" s="334" t="n"/>
      <c r="T219" s="334" t="n"/>
      <c r="U219" s="334" t="n"/>
      <c r="V219" s="334" t="n"/>
      <c r="W219" s="334" t="n"/>
      <c r="X219" s="334" t="n"/>
      <c r="Y219" s="334" t="n"/>
    </row>
    <row r="220" ht="15" customHeight="1" s="195">
      <c r="A220" s="280" t="n"/>
      <c r="B220" s="280" t="n"/>
      <c r="C220" s="280" t="n"/>
      <c r="D220" s="280" t="n"/>
      <c r="E220" s="280" t="n"/>
      <c r="F220" s="280" t="n"/>
      <c r="G220" s="280" t="n"/>
      <c r="H220" s="280" t="n"/>
      <c r="I220" s="332">
        <f>IFERROR(VLOOKUP(TEXT(H220,"0"),IPRESS!$A$3:$B$212,2,0),"")</f>
        <v/>
      </c>
      <c r="J220" s="280" t="n"/>
      <c r="K220" s="332">
        <f>IFERROR(VLOOKUP(TEXT(O220,"0"),CONDUCTORES!$A$3:$G$54,7,0),"")</f>
        <v/>
      </c>
      <c r="L220" s="280" t="n"/>
      <c r="M220" s="280" t="n"/>
      <c r="N220" s="333">
        <f>IFERROR(IF(L220*M220=0,"",L220*M220),"")</f>
        <v/>
      </c>
      <c r="O220" s="280" t="n"/>
      <c r="P220" s="332">
        <f>IFERROR(VLOOKUP(TEXT(O220,"0"),CONDUCTORES!$A$3:$G$54,2,0),"")</f>
        <v/>
      </c>
      <c r="Q220" s="332">
        <f>IFERROR(VLOOKUP(TEXT(O220,"0"),CONDUCTORES!$A$3:$H$54,6,0),"")</f>
        <v/>
      </c>
      <c r="R220" s="280" t="n"/>
      <c r="S220" s="280" t="n"/>
      <c r="T220" s="280" t="n"/>
      <c r="U220" s="280" t="n"/>
      <c r="V220" s="280" t="n"/>
      <c r="W220" s="280" t="n"/>
      <c r="X220" s="280" t="n"/>
      <c r="Y220" s="280" t="n"/>
    </row>
    <row r="221" ht="15" customHeight="1" s="195">
      <c r="A221" s="334" t="n"/>
      <c r="B221" s="334" t="n"/>
      <c r="C221" s="334" t="n"/>
      <c r="D221" s="334" t="n"/>
      <c r="E221" s="334" t="n"/>
      <c r="F221" s="334" t="n"/>
      <c r="G221" s="334" t="n"/>
      <c r="H221" s="334" t="n"/>
      <c r="I221" s="332">
        <f>IFERROR(VLOOKUP(TEXT(H221,"0"),IPRESS!$A$3:$B$212,2,0),"")</f>
        <v/>
      </c>
      <c r="J221" s="334" t="n"/>
      <c r="K221" s="332">
        <f>IFERROR(VLOOKUP(TEXT(O221,"0"),CONDUCTORES!$A$3:$G$54,7,0),"")</f>
        <v/>
      </c>
      <c r="L221" s="334" t="n"/>
      <c r="M221" s="334" t="n"/>
      <c r="N221" s="333">
        <f>IFERROR(IF(L221*M221=0,"",L221*M221),"")</f>
        <v/>
      </c>
      <c r="O221" s="334" t="n"/>
      <c r="P221" s="332">
        <f>IFERROR(VLOOKUP(TEXT(O221,"0"),CONDUCTORES!$A$3:$G$54,2,0),"")</f>
        <v/>
      </c>
      <c r="Q221" s="332">
        <f>IFERROR(VLOOKUP(TEXT(O221,"0"),CONDUCTORES!$A$3:$H$54,6,0),"")</f>
        <v/>
      </c>
      <c r="R221" s="334" t="n"/>
      <c r="S221" s="334" t="n"/>
      <c r="T221" s="334" t="n"/>
      <c r="U221" s="334" t="n"/>
      <c r="V221" s="334" t="n"/>
      <c r="W221" s="334" t="n"/>
      <c r="X221" s="334" t="n"/>
      <c r="Y221" s="334" t="n"/>
    </row>
    <row r="222" ht="15" customHeight="1" s="195">
      <c r="A222" s="280" t="n"/>
      <c r="B222" s="280" t="n"/>
      <c r="C222" s="280" t="n"/>
      <c r="D222" s="280" t="n"/>
      <c r="E222" s="280" t="n"/>
      <c r="F222" s="280" t="n"/>
      <c r="G222" s="280" t="n"/>
      <c r="H222" s="280" t="n"/>
      <c r="I222" s="332">
        <f>IFERROR(VLOOKUP(TEXT(H222,"0"),IPRESS!$A$3:$B$212,2,0),"")</f>
        <v/>
      </c>
      <c r="J222" s="280" t="n"/>
      <c r="K222" s="332">
        <f>IFERROR(VLOOKUP(TEXT(O222,"0"),CONDUCTORES!$A$3:$G$54,7,0),"")</f>
        <v/>
      </c>
      <c r="L222" s="280" t="n"/>
      <c r="M222" s="280" t="n"/>
      <c r="N222" s="333">
        <f>IFERROR(IF(L222*M222=0,"",L222*M222),"")</f>
        <v/>
      </c>
      <c r="O222" s="280" t="n"/>
      <c r="P222" s="332">
        <f>IFERROR(VLOOKUP(TEXT(O222,"0"),CONDUCTORES!$A$3:$G$54,2,0),"")</f>
        <v/>
      </c>
      <c r="Q222" s="332">
        <f>IFERROR(VLOOKUP(TEXT(O222,"0"),CONDUCTORES!$A$3:$H$54,6,0),"")</f>
        <v/>
      </c>
      <c r="R222" s="280" t="n"/>
      <c r="S222" s="280" t="n"/>
      <c r="T222" s="280" t="n"/>
      <c r="U222" s="280" t="n"/>
      <c r="V222" s="280" t="n"/>
      <c r="W222" s="280" t="n"/>
      <c r="X222" s="280" t="n"/>
      <c r="Y222" s="280" t="n"/>
    </row>
    <row r="223" ht="15" customHeight="1" s="195">
      <c r="A223" s="334" t="n"/>
      <c r="B223" s="334" t="n"/>
      <c r="C223" s="334" t="n"/>
      <c r="D223" s="334" t="n"/>
      <c r="E223" s="334" t="n"/>
      <c r="F223" s="334" t="n"/>
      <c r="G223" s="334" t="n"/>
      <c r="H223" s="334" t="n"/>
      <c r="I223" s="332">
        <f>IFERROR(VLOOKUP(TEXT(H223,"0"),IPRESS!$A$3:$B$212,2,0),"")</f>
        <v/>
      </c>
      <c r="J223" s="334" t="n"/>
      <c r="K223" s="332">
        <f>IFERROR(VLOOKUP(TEXT(O223,"0"),CONDUCTORES!$A$3:$G$54,7,0),"")</f>
        <v/>
      </c>
      <c r="L223" s="334" t="n"/>
      <c r="M223" s="334" t="n"/>
      <c r="N223" s="333">
        <f>IFERROR(IF(L223*M223=0,"",L223*M223),"")</f>
        <v/>
      </c>
      <c r="O223" s="334" t="n"/>
      <c r="P223" s="332">
        <f>IFERROR(VLOOKUP(TEXT(O223,"0"),CONDUCTORES!$A$3:$G$54,2,0),"")</f>
        <v/>
      </c>
      <c r="Q223" s="332">
        <f>IFERROR(VLOOKUP(TEXT(O223,"0"),CONDUCTORES!$A$3:$H$54,6,0),"")</f>
        <v/>
      </c>
      <c r="R223" s="334" t="n"/>
      <c r="S223" s="334" t="n"/>
      <c r="T223" s="334" t="n"/>
      <c r="U223" s="334" t="n"/>
      <c r="V223" s="334" t="n"/>
      <c r="W223" s="334" t="n"/>
      <c r="X223" s="334" t="n"/>
      <c r="Y223" s="334" t="n"/>
    </row>
    <row r="224" ht="15" customHeight="1" s="195">
      <c r="A224" s="280" t="n"/>
      <c r="B224" s="280" t="n"/>
      <c r="C224" s="280" t="n"/>
      <c r="D224" s="280" t="n"/>
      <c r="E224" s="280" t="n"/>
      <c r="F224" s="280" t="n"/>
      <c r="G224" s="280" t="n"/>
      <c r="H224" s="280" t="n"/>
      <c r="I224" s="332">
        <f>IFERROR(VLOOKUP(TEXT(H224,"0"),IPRESS!$A$3:$B$212,2,0),"")</f>
        <v/>
      </c>
      <c r="J224" s="280" t="n"/>
      <c r="K224" s="332">
        <f>IFERROR(VLOOKUP(TEXT(O224,"0"),CONDUCTORES!$A$3:$G$54,7,0),"")</f>
        <v/>
      </c>
      <c r="L224" s="280" t="n"/>
      <c r="M224" s="280" t="n"/>
      <c r="N224" s="333">
        <f>IFERROR(IF(L224*M224=0,"",L224*M224),"")</f>
        <v/>
      </c>
      <c r="O224" s="280" t="n"/>
      <c r="P224" s="332">
        <f>IFERROR(VLOOKUP(TEXT(O224,"0"),CONDUCTORES!$A$3:$G$54,2,0),"")</f>
        <v/>
      </c>
      <c r="Q224" s="332">
        <f>IFERROR(VLOOKUP(TEXT(O224,"0"),CONDUCTORES!$A$3:$H$54,6,0),"")</f>
        <v/>
      </c>
      <c r="R224" s="280" t="n"/>
      <c r="S224" s="280" t="n"/>
      <c r="T224" s="280" t="n"/>
      <c r="U224" s="280" t="n"/>
      <c r="V224" s="280" t="n"/>
      <c r="W224" s="280" t="n"/>
      <c r="X224" s="280" t="n"/>
      <c r="Y224" s="280" t="n"/>
    </row>
    <row r="225" ht="15" customHeight="1" s="195">
      <c r="A225" s="334" t="n"/>
      <c r="B225" s="334" t="n"/>
      <c r="C225" s="334" t="n"/>
      <c r="D225" s="334" t="n"/>
      <c r="E225" s="334" t="n"/>
      <c r="F225" s="334" t="n"/>
      <c r="G225" s="334" t="n"/>
      <c r="H225" s="334" t="n"/>
      <c r="I225" s="332">
        <f>IFERROR(VLOOKUP(TEXT(H225,"0"),IPRESS!$A$3:$B$212,2,0),"")</f>
        <v/>
      </c>
      <c r="J225" s="334" t="n"/>
      <c r="K225" s="332">
        <f>IFERROR(VLOOKUP(TEXT(O225,"0"),CONDUCTORES!$A$3:$G$54,7,0),"")</f>
        <v/>
      </c>
      <c r="L225" s="334" t="n"/>
      <c r="M225" s="334" t="n"/>
      <c r="N225" s="333">
        <f>IFERROR(IF(L225*M225=0,"",L225*M225),"")</f>
        <v/>
      </c>
      <c r="O225" s="334" t="n"/>
      <c r="P225" s="332">
        <f>IFERROR(VLOOKUP(TEXT(O225,"0"),CONDUCTORES!$A$3:$G$54,2,0),"")</f>
        <v/>
      </c>
      <c r="Q225" s="332">
        <f>IFERROR(VLOOKUP(TEXT(O225,"0"),CONDUCTORES!$A$3:$H$54,6,0),"")</f>
        <v/>
      </c>
      <c r="R225" s="334" t="n"/>
      <c r="S225" s="334" t="n"/>
      <c r="T225" s="334" t="n"/>
      <c r="U225" s="334" t="n"/>
      <c r="V225" s="334" t="n"/>
      <c r="W225" s="334" t="n"/>
      <c r="X225" s="334" t="n"/>
      <c r="Y225" s="334" t="n"/>
    </row>
    <row r="226" ht="15" customHeight="1" s="195">
      <c r="A226" s="280" t="n"/>
      <c r="B226" s="280" t="n"/>
      <c r="C226" s="280" t="n"/>
      <c r="D226" s="280" t="n"/>
      <c r="E226" s="280" t="n"/>
      <c r="F226" s="280" t="n"/>
      <c r="G226" s="280" t="n"/>
      <c r="H226" s="280" t="n"/>
      <c r="I226" s="332">
        <f>IFERROR(VLOOKUP(TEXT(H226,"0"),IPRESS!$A$3:$B$212,2,0),"")</f>
        <v/>
      </c>
      <c r="J226" s="280" t="n"/>
      <c r="K226" s="332">
        <f>IFERROR(VLOOKUP(TEXT(O226,"0"),CONDUCTORES!$A$3:$G$54,7,0),"")</f>
        <v/>
      </c>
      <c r="L226" s="280" t="n"/>
      <c r="M226" s="280" t="n"/>
      <c r="N226" s="333">
        <f>IFERROR(IF(L226*M226=0,"",L226*M226),"")</f>
        <v/>
      </c>
      <c r="O226" s="280" t="n"/>
      <c r="P226" s="332">
        <f>IFERROR(VLOOKUP(TEXT(O226,"0"),CONDUCTORES!$A$3:$G$54,2,0),"")</f>
        <v/>
      </c>
      <c r="Q226" s="332">
        <f>IFERROR(VLOOKUP(TEXT(O226,"0"),CONDUCTORES!$A$3:$H$54,6,0),"")</f>
        <v/>
      </c>
      <c r="R226" s="280" t="n"/>
      <c r="S226" s="280" t="n"/>
      <c r="T226" s="280" t="n"/>
      <c r="U226" s="280" t="n"/>
      <c r="V226" s="280" t="n"/>
      <c r="W226" s="280" t="n"/>
      <c r="X226" s="280" t="n"/>
      <c r="Y226" s="280" t="n"/>
    </row>
    <row r="227" ht="15" customHeight="1" s="195">
      <c r="A227" s="334" t="n"/>
      <c r="B227" s="334" t="n"/>
      <c r="C227" s="334" t="n"/>
      <c r="D227" s="334" t="n"/>
      <c r="E227" s="334" t="n"/>
      <c r="F227" s="334" t="n"/>
      <c r="G227" s="334" t="n"/>
      <c r="H227" s="334" t="n"/>
      <c r="I227" s="332">
        <f>IFERROR(VLOOKUP(TEXT(H227,"0"),IPRESS!$A$3:$B$212,2,0),"")</f>
        <v/>
      </c>
      <c r="J227" s="334" t="n"/>
      <c r="K227" s="332">
        <f>IFERROR(VLOOKUP(TEXT(O227,"0"),CONDUCTORES!$A$3:$G$54,7,0),"")</f>
        <v/>
      </c>
      <c r="L227" s="334" t="n"/>
      <c r="M227" s="334" t="n"/>
      <c r="N227" s="333">
        <f>IFERROR(IF(L227*M227=0,"",L227*M227),"")</f>
        <v/>
      </c>
      <c r="O227" s="334" t="n"/>
      <c r="P227" s="332">
        <f>IFERROR(VLOOKUP(TEXT(O227,"0"),CONDUCTORES!$A$3:$G$54,2,0),"")</f>
        <v/>
      </c>
      <c r="Q227" s="332">
        <f>IFERROR(VLOOKUP(TEXT(O227,"0"),CONDUCTORES!$A$3:$H$54,6,0),"")</f>
        <v/>
      </c>
      <c r="R227" s="334" t="n"/>
      <c r="S227" s="334" t="n"/>
      <c r="T227" s="334" t="n"/>
      <c r="U227" s="334" t="n"/>
      <c r="V227" s="334" t="n"/>
      <c r="W227" s="334" t="n"/>
      <c r="X227" s="334" t="n"/>
      <c r="Y227" s="334" t="n"/>
    </row>
    <row r="228" ht="15" customHeight="1" s="195">
      <c r="A228" s="280" t="n"/>
      <c r="B228" s="280" t="n"/>
      <c r="C228" s="280" t="n"/>
      <c r="D228" s="280" t="n"/>
      <c r="E228" s="280" t="n"/>
      <c r="F228" s="280" t="n"/>
      <c r="G228" s="280" t="n"/>
      <c r="H228" s="280" t="n"/>
      <c r="I228" s="332">
        <f>IFERROR(VLOOKUP(TEXT(H228,"0"),IPRESS!$A$3:$B$212,2,0),"")</f>
        <v/>
      </c>
      <c r="J228" s="280" t="n"/>
      <c r="K228" s="332">
        <f>IFERROR(VLOOKUP(TEXT(O228,"0"),CONDUCTORES!$A$3:$G$54,7,0),"")</f>
        <v/>
      </c>
      <c r="L228" s="280" t="n"/>
      <c r="M228" s="280" t="n"/>
      <c r="N228" s="333">
        <f>IFERROR(IF(L228*M228=0,"",L228*M228),"")</f>
        <v/>
      </c>
      <c r="O228" s="280" t="n"/>
      <c r="P228" s="332">
        <f>IFERROR(VLOOKUP(TEXT(O228,"0"),CONDUCTORES!$A$3:$G$54,2,0),"")</f>
        <v/>
      </c>
      <c r="Q228" s="332">
        <f>IFERROR(VLOOKUP(TEXT(O228,"0"),CONDUCTORES!$A$3:$H$54,6,0),"")</f>
        <v/>
      </c>
      <c r="R228" s="280" t="n"/>
      <c r="S228" s="280" t="n"/>
      <c r="T228" s="280" t="n"/>
      <c r="U228" s="280" t="n"/>
      <c r="V228" s="280" t="n"/>
      <c r="W228" s="280" t="n"/>
      <c r="X228" s="280" t="n"/>
      <c r="Y228" s="280" t="n"/>
    </row>
    <row r="229" ht="15" customHeight="1" s="195">
      <c r="A229" s="334" t="n"/>
      <c r="B229" s="334" t="n"/>
      <c r="C229" s="334" t="n"/>
      <c r="D229" s="334" t="n"/>
      <c r="E229" s="334" t="n"/>
      <c r="F229" s="334" t="n"/>
      <c r="G229" s="334" t="n"/>
      <c r="H229" s="334" t="n"/>
      <c r="I229" s="332">
        <f>IFERROR(VLOOKUP(TEXT(H229,"0"),IPRESS!$A$3:$B$212,2,0),"")</f>
        <v/>
      </c>
      <c r="J229" s="334" t="n"/>
      <c r="K229" s="332">
        <f>IFERROR(VLOOKUP(TEXT(O229,"0"),CONDUCTORES!$A$3:$G$54,7,0),"")</f>
        <v/>
      </c>
      <c r="L229" s="334" t="n"/>
      <c r="M229" s="334" t="n"/>
      <c r="N229" s="333">
        <f>IFERROR(IF(L229*M229=0,"",L229*M229),"")</f>
        <v/>
      </c>
      <c r="O229" s="334" t="n"/>
      <c r="P229" s="332">
        <f>IFERROR(VLOOKUP(TEXT(O229,"0"),CONDUCTORES!$A$3:$G$54,2,0),"")</f>
        <v/>
      </c>
      <c r="Q229" s="332">
        <f>IFERROR(VLOOKUP(TEXT(O229,"0"),CONDUCTORES!$A$3:$H$54,6,0),"")</f>
        <v/>
      </c>
      <c r="R229" s="334" t="n"/>
      <c r="S229" s="334" t="n"/>
      <c r="T229" s="334" t="n"/>
      <c r="U229" s="334" t="n"/>
      <c r="V229" s="334" t="n"/>
      <c r="W229" s="334" t="n"/>
      <c r="X229" s="334" t="n"/>
      <c r="Y229" s="334" t="n"/>
    </row>
    <row r="230" ht="15" customHeight="1" s="195">
      <c r="A230" s="280" t="n"/>
      <c r="B230" s="280" t="n"/>
      <c r="C230" s="280" t="n"/>
      <c r="D230" s="280" t="n"/>
      <c r="E230" s="280" t="n"/>
      <c r="F230" s="280" t="n"/>
      <c r="G230" s="280" t="n"/>
      <c r="H230" s="280" t="n"/>
      <c r="I230" s="332">
        <f>IFERROR(VLOOKUP(TEXT(H230,"0"),IPRESS!$A$3:$B$212,2,0),"")</f>
        <v/>
      </c>
      <c r="J230" s="280" t="n"/>
      <c r="K230" s="332">
        <f>IFERROR(VLOOKUP(TEXT(O230,"0"),CONDUCTORES!$A$3:$G$54,7,0),"")</f>
        <v/>
      </c>
      <c r="L230" s="280" t="n"/>
      <c r="M230" s="280" t="n"/>
      <c r="N230" s="333">
        <f>IFERROR(IF(L230*M230=0,"",L230*M230),"")</f>
        <v/>
      </c>
      <c r="O230" s="280" t="n"/>
      <c r="P230" s="332">
        <f>IFERROR(VLOOKUP(TEXT(O230,"0"),CONDUCTORES!$A$3:$G$54,2,0),"")</f>
        <v/>
      </c>
      <c r="Q230" s="332">
        <f>IFERROR(VLOOKUP(TEXT(O230,"0"),CONDUCTORES!$A$3:$H$54,6,0),"")</f>
        <v/>
      </c>
      <c r="R230" s="280" t="n"/>
      <c r="S230" s="280" t="n"/>
      <c r="T230" s="280" t="n"/>
      <c r="U230" s="280" t="n"/>
      <c r="V230" s="280" t="n"/>
      <c r="W230" s="280" t="n"/>
      <c r="X230" s="280" t="n"/>
      <c r="Y230" s="280" t="n"/>
    </row>
    <row r="231" ht="15" customHeight="1" s="195">
      <c r="A231" s="334" t="n"/>
      <c r="B231" s="334" t="n"/>
      <c r="C231" s="334" t="n"/>
      <c r="D231" s="334" t="n"/>
      <c r="E231" s="334" t="n"/>
      <c r="F231" s="334" t="n"/>
      <c r="G231" s="334" t="n"/>
      <c r="H231" s="334" t="n"/>
      <c r="I231" s="332">
        <f>IFERROR(VLOOKUP(TEXT(H231,"0"),IPRESS!$A$3:$B$212,2,0),"")</f>
        <v/>
      </c>
      <c r="J231" s="334" t="n"/>
      <c r="K231" s="332">
        <f>IFERROR(VLOOKUP(TEXT(O231,"0"),CONDUCTORES!$A$3:$G$54,7,0),"")</f>
        <v/>
      </c>
      <c r="L231" s="334" t="n"/>
      <c r="M231" s="334" t="n"/>
      <c r="N231" s="333">
        <f>IFERROR(IF(L231*M231=0,"",L231*M231),"")</f>
        <v/>
      </c>
      <c r="O231" s="334" t="n"/>
      <c r="P231" s="332">
        <f>IFERROR(VLOOKUP(TEXT(O231,"0"),CONDUCTORES!$A$3:$G$54,2,0),"")</f>
        <v/>
      </c>
      <c r="Q231" s="332">
        <f>IFERROR(VLOOKUP(TEXT(O231,"0"),CONDUCTORES!$A$3:$H$54,6,0),"")</f>
        <v/>
      </c>
      <c r="R231" s="334" t="n"/>
      <c r="S231" s="334" t="n"/>
      <c r="T231" s="334" t="n"/>
      <c r="U231" s="334" t="n"/>
      <c r="V231" s="334" t="n"/>
      <c r="W231" s="334" t="n"/>
      <c r="X231" s="334" t="n"/>
      <c r="Y231" s="334" t="n"/>
    </row>
    <row r="232" ht="15" customHeight="1" s="195">
      <c r="A232" s="280" t="n"/>
      <c r="B232" s="280" t="n"/>
      <c r="C232" s="280" t="n"/>
      <c r="D232" s="280" t="n"/>
      <c r="E232" s="280" t="n"/>
      <c r="F232" s="280" t="n"/>
      <c r="G232" s="280" t="n"/>
      <c r="H232" s="280" t="n"/>
      <c r="I232" s="332">
        <f>IFERROR(VLOOKUP(TEXT(H232,"0"),IPRESS!$A$3:$B$212,2,0),"")</f>
        <v/>
      </c>
      <c r="J232" s="280" t="n"/>
      <c r="K232" s="332">
        <f>IFERROR(VLOOKUP(TEXT(O232,"0"),CONDUCTORES!$A$3:$G$54,7,0),"")</f>
        <v/>
      </c>
      <c r="L232" s="280" t="n"/>
      <c r="M232" s="280" t="n"/>
      <c r="N232" s="333">
        <f>IFERROR(IF(L232*M232=0,"",L232*M232),"")</f>
        <v/>
      </c>
      <c r="O232" s="280" t="n"/>
      <c r="P232" s="332">
        <f>IFERROR(VLOOKUP(TEXT(O232,"0"),CONDUCTORES!$A$3:$G$54,2,0),"")</f>
        <v/>
      </c>
      <c r="Q232" s="332">
        <f>IFERROR(VLOOKUP(TEXT(O232,"0"),CONDUCTORES!$A$3:$H$54,6,0),"")</f>
        <v/>
      </c>
      <c r="R232" s="280" t="n"/>
      <c r="S232" s="280" t="n"/>
      <c r="T232" s="280" t="n"/>
      <c r="U232" s="280" t="n"/>
      <c r="V232" s="280" t="n"/>
      <c r="W232" s="280" t="n"/>
      <c r="X232" s="280" t="n"/>
      <c r="Y232" s="280" t="n"/>
    </row>
    <row r="233" ht="15" customHeight="1" s="195">
      <c r="A233" s="334" t="n"/>
      <c r="B233" s="334" t="n"/>
      <c r="C233" s="334" t="n"/>
      <c r="D233" s="334" t="n"/>
      <c r="E233" s="334" t="n"/>
      <c r="F233" s="334" t="n"/>
      <c r="G233" s="334" t="n"/>
      <c r="H233" s="334" t="n"/>
      <c r="I233" s="332">
        <f>IFERROR(VLOOKUP(TEXT(H233,"0"),IPRESS!$A$3:$B$212,2,0),"")</f>
        <v/>
      </c>
      <c r="J233" s="334" t="n"/>
      <c r="K233" s="332">
        <f>IFERROR(VLOOKUP(TEXT(O233,"0"),CONDUCTORES!$A$3:$G$54,7,0),"")</f>
        <v/>
      </c>
      <c r="L233" s="334" t="n"/>
      <c r="M233" s="334" t="n"/>
      <c r="N233" s="333">
        <f>IFERROR(IF(L233*M233=0,"",L233*M233),"")</f>
        <v/>
      </c>
      <c r="O233" s="334" t="n"/>
      <c r="P233" s="332">
        <f>IFERROR(VLOOKUP(TEXT(O233,"0"),CONDUCTORES!$A$3:$G$54,2,0),"")</f>
        <v/>
      </c>
      <c r="Q233" s="332">
        <f>IFERROR(VLOOKUP(TEXT(O233,"0"),CONDUCTORES!$A$3:$H$54,6,0),"")</f>
        <v/>
      </c>
      <c r="R233" s="334" t="n"/>
      <c r="S233" s="334" t="n"/>
      <c r="T233" s="334" t="n"/>
      <c r="U233" s="334" t="n"/>
      <c r="V233" s="334" t="n"/>
      <c r="W233" s="334" t="n"/>
      <c r="X233" s="334" t="n"/>
      <c r="Y233" s="334" t="n"/>
    </row>
    <row r="234" ht="15" customHeight="1" s="195">
      <c r="A234" s="280" t="n"/>
      <c r="B234" s="280" t="n"/>
      <c r="C234" s="280" t="n"/>
      <c r="D234" s="280" t="n"/>
      <c r="E234" s="280" t="n"/>
      <c r="F234" s="280" t="n"/>
      <c r="G234" s="280" t="n"/>
      <c r="H234" s="280" t="n"/>
      <c r="I234" s="332">
        <f>IFERROR(VLOOKUP(TEXT(H234,"0"),IPRESS!$A$3:$B$212,2,0),"")</f>
        <v/>
      </c>
      <c r="J234" s="280" t="n"/>
      <c r="K234" s="332">
        <f>IFERROR(VLOOKUP(TEXT(O234,"0"),CONDUCTORES!$A$3:$G$54,7,0),"")</f>
        <v/>
      </c>
      <c r="L234" s="280" t="n"/>
      <c r="M234" s="280" t="n"/>
      <c r="N234" s="333">
        <f>IFERROR(IF(L234*M234=0,"",L234*M234),"")</f>
        <v/>
      </c>
      <c r="O234" s="280" t="n"/>
      <c r="P234" s="332">
        <f>IFERROR(VLOOKUP(TEXT(O234,"0"),CONDUCTORES!$A$3:$G$54,2,0),"")</f>
        <v/>
      </c>
      <c r="Q234" s="332">
        <f>IFERROR(VLOOKUP(TEXT(O234,"0"),CONDUCTORES!$A$3:$H$54,6,0),"")</f>
        <v/>
      </c>
      <c r="R234" s="280" t="n"/>
      <c r="S234" s="280" t="n"/>
      <c r="T234" s="280" t="n"/>
      <c r="U234" s="280" t="n"/>
      <c r="V234" s="280" t="n"/>
      <c r="W234" s="280" t="n"/>
      <c r="X234" s="280" t="n"/>
      <c r="Y234" s="280" t="n"/>
    </row>
    <row r="235" ht="15" customHeight="1" s="195">
      <c r="A235" s="334" t="n"/>
      <c r="B235" s="334" t="n"/>
      <c r="C235" s="334" t="n"/>
      <c r="D235" s="334" t="n"/>
      <c r="E235" s="334" t="n"/>
      <c r="F235" s="334" t="n"/>
      <c r="G235" s="334" t="n"/>
      <c r="H235" s="334" t="n"/>
      <c r="I235" s="332">
        <f>IFERROR(VLOOKUP(TEXT(H235,"0"),IPRESS!$A$3:$B$212,2,0),"")</f>
        <v/>
      </c>
      <c r="J235" s="334" t="n"/>
      <c r="K235" s="332">
        <f>IFERROR(VLOOKUP(TEXT(O235,"0"),CONDUCTORES!$A$3:$G$54,7,0),"")</f>
        <v/>
      </c>
      <c r="L235" s="334" t="n"/>
      <c r="M235" s="334" t="n"/>
      <c r="N235" s="333">
        <f>IFERROR(IF(L235*M235=0,"",L235*M235),"")</f>
        <v/>
      </c>
      <c r="O235" s="334" t="n"/>
      <c r="P235" s="332">
        <f>IFERROR(VLOOKUP(TEXT(O235,"0"),CONDUCTORES!$A$3:$G$54,2,0),"")</f>
        <v/>
      </c>
      <c r="Q235" s="332">
        <f>IFERROR(VLOOKUP(TEXT(O235,"0"),CONDUCTORES!$A$3:$H$54,6,0),"")</f>
        <v/>
      </c>
      <c r="R235" s="334" t="n"/>
      <c r="S235" s="334" t="n"/>
      <c r="T235" s="334" t="n"/>
      <c r="U235" s="334" t="n"/>
      <c r="V235" s="334" t="n"/>
      <c r="W235" s="334" t="n"/>
      <c r="X235" s="334" t="n"/>
      <c r="Y235" s="334" t="n"/>
    </row>
    <row r="236" ht="15" customHeight="1" s="195">
      <c r="A236" s="280" t="n"/>
      <c r="B236" s="280" t="n"/>
      <c r="C236" s="280" t="n"/>
      <c r="D236" s="280" t="n"/>
      <c r="E236" s="280" t="n"/>
      <c r="F236" s="280" t="n"/>
      <c r="G236" s="280" t="n"/>
      <c r="H236" s="280" t="n"/>
      <c r="I236" s="332">
        <f>IFERROR(VLOOKUP(TEXT(H236,"0"),IPRESS!$A$3:$B$212,2,0),"")</f>
        <v/>
      </c>
      <c r="J236" s="280" t="n"/>
      <c r="K236" s="332">
        <f>IFERROR(VLOOKUP(TEXT(O236,"0"),CONDUCTORES!$A$3:$G$54,7,0),"")</f>
        <v/>
      </c>
      <c r="L236" s="280" t="n"/>
      <c r="M236" s="280" t="n"/>
      <c r="N236" s="333">
        <f>IFERROR(IF(L236*M236=0,"",L236*M236),"")</f>
        <v/>
      </c>
      <c r="O236" s="280" t="n"/>
      <c r="P236" s="332">
        <f>IFERROR(VLOOKUP(TEXT(O236,"0"),CONDUCTORES!$A$3:$G$54,2,0),"")</f>
        <v/>
      </c>
      <c r="Q236" s="332">
        <f>IFERROR(VLOOKUP(TEXT(O236,"0"),CONDUCTORES!$A$3:$H$54,6,0),"")</f>
        <v/>
      </c>
      <c r="R236" s="280" t="n"/>
      <c r="S236" s="280" t="n"/>
      <c r="T236" s="280" t="n"/>
      <c r="U236" s="280" t="n"/>
      <c r="V236" s="280" t="n"/>
      <c r="W236" s="280" t="n"/>
      <c r="X236" s="280" t="n"/>
      <c r="Y236" s="280" t="n"/>
    </row>
    <row r="237" ht="15" customHeight="1" s="195">
      <c r="A237" s="334" t="n"/>
      <c r="B237" s="334" t="n"/>
      <c r="C237" s="334" t="n"/>
      <c r="D237" s="334" t="n"/>
      <c r="E237" s="334" t="n"/>
      <c r="F237" s="334" t="n"/>
      <c r="G237" s="334" t="n"/>
      <c r="H237" s="334" t="n"/>
      <c r="I237" s="332">
        <f>IFERROR(VLOOKUP(TEXT(H237,"0"),IPRESS!$A$3:$B$212,2,0),"")</f>
        <v/>
      </c>
      <c r="J237" s="334" t="n"/>
      <c r="K237" s="332">
        <f>IFERROR(VLOOKUP(TEXT(O237,"0"),CONDUCTORES!$A$3:$G$54,7,0),"")</f>
        <v/>
      </c>
      <c r="L237" s="334" t="n"/>
      <c r="M237" s="334" t="n"/>
      <c r="N237" s="333">
        <f>IFERROR(IF(L237*M237=0,"",L237*M237),"")</f>
        <v/>
      </c>
      <c r="O237" s="334" t="n"/>
      <c r="P237" s="332">
        <f>IFERROR(VLOOKUP(TEXT(O237,"0"),CONDUCTORES!$A$3:$G$54,2,0),"")</f>
        <v/>
      </c>
      <c r="Q237" s="332">
        <f>IFERROR(VLOOKUP(TEXT(O237,"0"),CONDUCTORES!$A$3:$H$54,6,0),"")</f>
        <v/>
      </c>
      <c r="R237" s="334" t="n"/>
      <c r="S237" s="334" t="n"/>
      <c r="T237" s="334" t="n"/>
      <c r="U237" s="334" t="n"/>
      <c r="V237" s="334" t="n"/>
      <c r="W237" s="334" t="n"/>
      <c r="X237" s="334" t="n"/>
      <c r="Y237" s="334" t="n"/>
    </row>
    <row r="238" ht="15" customHeight="1" s="195">
      <c r="A238" s="280" t="n"/>
      <c r="B238" s="280" t="n"/>
      <c r="C238" s="280" t="n"/>
      <c r="D238" s="280" t="n"/>
      <c r="E238" s="280" t="n"/>
      <c r="F238" s="280" t="n"/>
      <c r="G238" s="280" t="n"/>
      <c r="H238" s="280" t="n"/>
      <c r="I238" s="332">
        <f>IFERROR(VLOOKUP(TEXT(H238,"0"),IPRESS!$A$3:$B$212,2,0),"")</f>
        <v/>
      </c>
      <c r="J238" s="280" t="n"/>
      <c r="K238" s="332">
        <f>IFERROR(VLOOKUP(TEXT(O238,"0"),CONDUCTORES!$A$3:$G$54,7,0),"")</f>
        <v/>
      </c>
      <c r="L238" s="280" t="n"/>
      <c r="M238" s="280" t="n"/>
      <c r="N238" s="333">
        <f>IFERROR(IF(L238*M238=0,"",L238*M238),"")</f>
        <v/>
      </c>
      <c r="O238" s="280" t="n"/>
      <c r="P238" s="332">
        <f>IFERROR(VLOOKUP(TEXT(O238,"0"),CONDUCTORES!$A$3:$G$54,2,0),"")</f>
        <v/>
      </c>
      <c r="Q238" s="332">
        <f>IFERROR(VLOOKUP(TEXT(O238,"0"),CONDUCTORES!$A$3:$H$54,6,0),"")</f>
        <v/>
      </c>
      <c r="R238" s="280" t="n"/>
      <c r="S238" s="280" t="n"/>
      <c r="T238" s="280" t="n"/>
      <c r="U238" s="280" t="n"/>
      <c r="V238" s="280" t="n"/>
      <c r="W238" s="280" t="n"/>
      <c r="X238" s="280" t="n"/>
      <c r="Y238" s="280" t="n"/>
    </row>
    <row r="239" ht="15" customHeight="1" s="195">
      <c r="A239" s="334" t="n"/>
      <c r="B239" s="334" t="n"/>
      <c r="C239" s="334" t="n"/>
      <c r="D239" s="334" t="n"/>
      <c r="E239" s="334" t="n"/>
      <c r="F239" s="334" t="n"/>
      <c r="G239" s="334" t="n"/>
      <c r="H239" s="334" t="n"/>
      <c r="I239" s="332">
        <f>IFERROR(VLOOKUP(TEXT(H239,"0"),IPRESS!$A$3:$B$212,2,0),"")</f>
        <v/>
      </c>
      <c r="J239" s="334" t="n"/>
      <c r="K239" s="332">
        <f>IFERROR(VLOOKUP(TEXT(O239,"0"),CONDUCTORES!$A$3:$G$54,7,0),"")</f>
        <v/>
      </c>
      <c r="L239" s="334" t="n"/>
      <c r="M239" s="334" t="n"/>
      <c r="N239" s="333">
        <f>IFERROR(IF(L239*M239=0,"",L239*M239),"")</f>
        <v/>
      </c>
      <c r="O239" s="334" t="n"/>
      <c r="P239" s="332">
        <f>IFERROR(VLOOKUP(TEXT(O239,"0"),CONDUCTORES!$A$3:$G$54,2,0),"")</f>
        <v/>
      </c>
      <c r="Q239" s="332">
        <f>IFERROR(VLOOKUP(TEXT(O239,"0"),CONDUCTORES!$A$3:$H$54,6,0),"")</f>
        <v/>
      </c>
      <c r="R239" s="334" t="n"/>
      <c r="S239" s="334" t="n"/>
      <c r="T239" s="334" t="n"/>
      <c r="U239" s="334" t="n"/>
      <c r="V239" s="334" t="n"/>
      <c r="W239" s="334" t="n"/>
      <c r="X239" s="334" t="n"/>
      <c r="Y239" s="334" t="n"/>
    </row>
    <row r="240" ht="15" customHeight="1" s="195">
      <c r="A240" s="280" t="n"/>
      <c r="B240" s="280" t="n"/>
      <c r="C240" s="280" t="n"/>
      <c r="D240" s="280" t="n"/>
      <c r="E240" s="280" t="n"/>
      <c r="F240" s="280" t="n"/>
      <c r="G240" s="280" t="n"/>
      <c r="H240" s="280" t="n"/>
      <c r="I240" s="332">
        <f>IFERROR(VLOOKUP(TEXT(H240,"0"),IPRESS!$A$3:$B$212,2,0),"")</f>
        <v/>
      </c>
      <c r="J240" s="280" t="n"/>
      <c r="K240" s="332">
        <f>IFERROR(VLOOKUP(TEXT(O240,"0"),CONDUCTORES!$A$3:$G$54,7,0),"")</f>
        <v/>
      </c>
      <c r="L240" s="280" t="n"/>
      <c r="M240" s="280" t="n"/>
      <c r="N240" s="333">
        <f>IFERROR(IF(L240*M240=0,"",L240*M240),"")</f>
        <v/>
      </c>
      <c r="O240" s="280" t="n"/>
      <c r="P240" s="332">
        <f>IFERROR(VLOOKUP(TEXT(O240,"0"),CONDUCTORES!$A$3:$G$54,2,0),"")</f>
        <v/>
      </c>
      <c r="Q240" s="332">
        <f>IFERROR(VLOOKUP(TEXT(O240,"0"),CONDUCTORES!$A$3:$H$54,6,0),"")</f>
        <v/>
      </c>
      <c r="R240" s="280" t="n"/>
      <c r="S240" s="280" t="n"/>
      <c r="T240" s="280" t="n"/>
      <c r="U240" s="280" t="n"/>
      <c r="V240" s="280" t="n"/>
      <c r="W240" s="280" t="n"/>
      <c r="X240" s="280" t="n"/>
      <c r="Y240" s="280" t="n"/>
    </row>
    <row r="241" ht="15" customHeight="1" s="195">
      <c r="A241" s="334" t="n"/>
      <c r="B241" s="334" t="n"/>
      <c r="C241" s="334" t="n"/>
      <c r="D241" s="334" t="n"/>
      <c r="E241" s="334" t="n"/>
      <c r="F241" s="334" t="n"/>
      <c r="G241" s="334" t="n"/>
      <c r="H241" s="334" t="n"/>
      <c r="I241" s="332">
        <f>IFERROR(VLOOKUP(TEXT(H241,"0"),IPRESS!$A$3:$B$212,2,0),"")</f>
        <v/>
      </c>
      <c r="J241" s="334" t="n"/>
      <c r="K241" s="332">
        <f>IFERROR(VLOOKUP(TEXT(O241,"0"),CONDUCTORES!$A$3:$G$54,7,0),"")</f>
        <v/>
      </c>
      <c r="L241" s="334" t="n"/>
      <c r="M241" s="334" t="n"/>
      <c r="N241" s="333">
        <f>IFERROR(IF(L241*M241=0,"",L241*M241),"")</f>
        <v/>
      </c>
      <c r="O241" s="334" t="n"/>
      <c r="P241" s="332">
        <f>IFERROR(VLOOKUP(TEXT(O241,"0"),CONDUCTORES!$A$3:$G$54,2,0),"")</f>
        <v/>
      </c>
      <c r="Q241" s="332">
        <f>IFERROR(VLOOKUP(TEXT(O241,"0"),CONDUCTORES!$A$3:$H$54,6,0),"")</f>
        <v/>
      </c>
      <c r="R241" s="334" t="n"/>
      <c r="S241" s="334" t="n"/>
      <c r="T241" s="334" t="n"/>
      <c r="U241" s="334" t="n"/>
      <c r="V241" s="334" t="n"/>
      <c r="W241" s="334" t="n"/>
      <c r="X241" s="334" t="n"/>
      <c r="Y241" s="334" t="n"/>
    </row>
    <row r="242" ht="15" customHeight="1" s="195">
      <c r="A242" s="280" t="n"/>
      <c r="B242" s="280" t="n"/>
      <c r="C242" s="280" t="n"/>
      <c r="D242" s="280" t="n"/>
      <c r="E242" s="280" t="n"/>
      <c r="F242" s="280" t="n"/>
      <c r="G242" s="280" t="n"/>
      <c r="H242" s="280" t="n"/>
      <c r="I242" s="332">
        <f>IFERROR(VLOOKUP(TEXT(H242,"0"),IPRESS!$A$3:$B$212,2,0),"")</f>
        <v/>
      </c>
      <c r="J242" s="280" t="n"/>
      <c r="K242" s="332">
        <f>IFERROR(VLOOKUP(TEXT(O242,"0"),CONDUCTORES!$A$3:$G$54,7,0),"")</f>
        <v/>
      </c>
      <c r="L242" s="280" t="n"/>
      <c r="M242" s="280" t="n"/>
      <c r="N242" s="333">
        <f>IFERROR(IF(L242*M242=0,"",L242*M242),"")</f>
        <v/>
      </c>
      <c r="O242" s="280" t="n"/>
      <c r="P242" s="332">
        <f>IFERROR(VLOOKUP(TEXT(O242,"0"),CONDUCTORES!$A$3:$G$54,2,0),"")</f>
        <v/>
      </c>
      <c r="Q242" s="332">
        <f>IFERROR(VLOOKUP(TEXT(O242,"0"),CONDUCTORES!$A$3:$H$54,6,0),"")</f>
        <v/>
      </c>
      <c r="R242" s="280" t="n"/>
      <c r="S242" s="280" t="n"/>
      <c r="T242" s="280" t="n"/>
      <c r="U242" s="280" t="n"/>
      <c r="V242" s="280" t="n"/>
      <c r="W242" s="280" t="n"/>
      <c r="X242" s="280" t="n"/>
      <c r="Y242" s="280" t="n"/>
    </row>
    <row r="243" ht="15" customHeight="1" s="195">
      <c r="A243" s="334" t="n"/>
      <c r="B243" s="334" t="n"/>
      <c r="C243" s="334" t="n"/>
      <c r="D243" s="334" t="n"/>
      <c r="E243" s="334" t="n"/>
      <c r="F243" s="334" t="n"/>
      <c r="G243" s="334" t="n"/>
      <c r="H243" s="334" t="n"/>
      <c r="I243" s="332">
        <f>IFERROR(VLOOKUP(TEXT(H243,"0"),IPRESS!$A$3:$B$212,2,0),"")</f>
        <v/>
      </c>
      <c r="J243" s="334" t="n"/>
      <c r="K243" s="332">
        <f>IFERROR(VLOOKUP(TEXT(O243,"0"),CONDUCTORES!$A$3:$G$54,7,0),"")</f>
        <v/>
      </c>
      <c r="L243" s="334" t="n"/>
      <c r="M243" s="334" t="n"/>
      <c r="N243" s="333">
        <f>IFERROR(IF(L243*M243=0,"",L243*M243),"")</f>
        <v/>
      </c>
      <c r="O243" s="334" t="n"/>
      <c r="P243" s="332">
        <f>IFERROR(VLOOKUP(TEXT(O243,"0"),CONDUCTORES!$A$3:$G$54,2,0),"")</f>
        <v/>
      </c>
      <c r="Q243" s="332">
        <f>IFERROR(VLOOKUP(TEXT(O243,"0"),CONDUCTORES!$A$3:$H$54,6,0),"")</f>
        <v/>
      </c>
      <c r="R243" s="334" t="n"/>
      <c r="S243" s="334" t="n"/>
      <c r="T243" s="334" t="n"/>
      <c r="U243" s="334" t="n"/>
      <c r="V243" s="334" t="n"/>
      <c r="W243" s="334" t="n"/>
      <c r="X243" s="334" t="n"/>
      <c r="Y243" s="334" t="n"/>
    </row>
    <row r="244" ht="15" customHeight="1" s="195">
      <c r="A244" s="280" t="n"/>
      <c r="B244" s="280" t="n"/>
      <c r="C244" s="280" t="n"/>
      <c r="D244" s="280" t="n"/>
      <c r="E244" s="280" t="n"/>
      <c r="F244" s="280" t="n"/>
      <c r="G244" s="280" t="n"/>
      <c r="H244" s="280" t="n"/>
      <c r="I244" s="332">
        <f>IFERROR(VLOOKUP(TEXT(H244,"0"),IPRESS!$A$3:$B$212,2,0),"")</f>
        <v/>
      </c>
      <c r="J244" s="280" t="n"/>
      <c r="K244" s="332">
        <f>IFERROR(VLOOKUP(TEXT(O244,"0"),CONDUCTORES!$A$3:$G$54,7,0),"")</f>
        <v/>
      </c>
      <c r="L244" s="280" t="n"/>
      <c r="M244" s="280" t="n"/>
      <c r="N244" s="333">
        <f>IFERROR(IF(L244*M244=0,"",L244*M244),"")</f>
        <v/>
      </c>
      <c r="O244" s="280" t="n"/>
      <c r="P244" s="332">
        <f>IFERROR(VLOOKUP(TEXT(O244,"0"),CONDUCTORES!$A$3:$G$54,2,0),"")</f>
        <v/>
      </c>
      <c r="Q244" s="332">
        <f>IFERROR(VLOOKUP(TEXT(O244,"0"),CONDUCTORES!$A$3:$H$54,6,0),"")</f>
        <v/>
      </c>
      <c r="R244" s="280" t="n"/>
      <c r="S244" s="280" t="n"/>
      <c r="T244" s="280" t="n"/>
      <c r="U244" s="280" t="n"/>
      <c r="V244" s="280" t="n"/>
      <c r="W244" s="280" t="n"/>
      <c r="X244" s="280" t="n"/>
      <c r="Y244" s="280" t="n"/>
    </row>
    <row r="245" ht="15" customHeight="1" s="195">
      <c r="A245" s="334" t="n"/>
      <c r="B245" s="334" t="n"/>
      <c r="C245" s="334" t="n"/>
      <c r="D245" s="334" t="n"/>
      <c r="E245" s="334" t="n"/>
      <c r="F245" s="334" t="n"/>
      <c r="G245" s="334" t="n"/>
      <c r="H245" s="334" t="n"/>
      <c r="I245" s="332">
        <f>IFERROR(VLOOKUP(TEXT(H245,"0"),IPRESS!$A$3:$B$212,2,0),"")</f>
        <v/>
      </c>
      <c r="J245" s="334" t="n"/>
      <c r="K245" s="332">
        <f>IFERROR(VLOOKUP(TEXT(O245,"0"),CONDUCTORES!$A$3:$G$54,7,0),"")</f>
        <v/>
      </c>
      <c r="L245" s="334" t="n"/>
      <c r="M245" s="334" t="n"/>
      <c r="N245" s="333">
        <f>IFERROR(IF(L245*M245=0,"",L245*M245),"")</f>
        <v/>
      </c>
      <c r="O245" s="334" t="n"/>
      <c r="P245" s="332">
        <f>IFERROR(VLOOKUP(TEXT(O245,"0"),CONDUCTORES!$A$3:$G$54,2,0),"")</f>
        <v/>
      </c>
      <c r="Q245" s="332">
        <f>IFERROR(VLOOKUP(TEXT(O245,"0"),CONDUCTORES!$A$3:$H$54,6,0),"")</f>
        <v/>
      </c>
      <c r="R245" s="334" t="n"/>
      <c r="S245" s="334" t="n"/>
      <c r="T245" s="334" t="n"/>
      <c r="U245" s="334" t="n"/>
      <c r="V245" s="334" t="n"/>
      <c r="W245" s="334" t="n"/>
      <c r="X245" s="334" t="n"/>
      <c r="Y245" s="334" t="n"/>
    </row>
    <row r="246" ht="15" customHeight="1" s="195">
      <c r="A246" s="280" t="n"/>
      <c r="B246" s="280" t="n"/>
      <c r="C246" s="280" t="n"/>
      <c r="D246" s="280" t="n"/>
      <c r="E246" s="280" t="n"/>
      <c r="F246" s="280" t="n"/>
      <c r="G246" s="280" t="n"/>
      <c r="H246" s="280" t="n"/>
      <c r="I246" s="332">
        <f>IFERROR(VLOOKUP(TEXT(H246,"0"),IPRESS!$A$3:$B$212,2,0),"")</f>
        <v/>
      </c>
      <c r="J246" s="280" t="n"/>
      <c r="K246" s="332">
        <f>IFERROR(VLOOKUP(TEXT(O246,"0"),CONDUCTORES!$A$3:$G$54,7,0),"")</f>
        <v/>
      </c>
      <c r="L246" s="280" t="n"/>
      <c r="M246" s="280" t="n"/>
      <c r="N246" s="333">
        <f>IFERROR(IF(L246*M246=0,"",L246*M246),"")</f>
        <v/>
      </c>
      <c r="O246" s="280" t="n"/>
      <c r="P246" s="332">
        <f>IFERROR(VLOOKUP(TEXT(O246,"0"),CONDUCTORES!$A$3:$G$54,2,0),"")</f>
        <v/>
      </c>
      <c r="Q246" s="332">
        <f>IFERROR(VLOOKUP(TEXT(O246,"0"),CONDUCTORES!$A$3:$H$54,6,0),"")</f>
        <v/>
      </c>
      <c r="R246" s="280" t="n"/>
      <c r="S246" s="280" t="n"/>
      <c r="T246" s="280" t="n"/>
      <c r="U246" s="280" t="n"/>
      <c r="V246" s="280" t="n"/>
      <c r="W246" s="280" t="n"/>
      <c r="X246" s="280" t="n"/>
      <c r="Y246" s="280" t="n"/>
    </row>
    <row r="247" ht="15" customHeight="1" s="195">
      <c r="A247" s="334" t="n"/>
      <c r="B247" s="334" t="n"/>
      <c r="C247" s="334" t="n"/>
      <c r="D247" s="334" t="n"/>
      <c r="E247" s="334" t="n"/>
      <c r="F247" s="334" t="n"/>
      <c r="G247" s="334" t="n"/>
      <c r="H247" s="334" t="n"/>
      <c r="I247" s="332">
        <f>IFERROR(VLOOKUP(TEXT(H247,"0"),IPRESS!$A$3:$B$212,2,0),"")</f>
        <v/>
      </c>
      <c r="J247" s="334" t="n"/>
      <c r="K247" s="332">
        <f>IFERROR(VLOOKUP(TEXT(O247,"0"),CONDUCTORES!$A$3:$G$54,7,0),"")</f>
        <v/>
      </c>
      <c r="L247" s="334" t="n"/>
      <c r="M247" s="334" t="n"/>
      <c r="N247" s="333">
        <f>IFERROR(IF(L247*M247=0,"",L247*M247),"")</f>
        <v/>
      </c>
      <c r="O247" s="334" t="n"/>
      <c r="P247" s="332">
        <f>IFERROR(VLOOKUP(TEXT(O247,"0"),CONDUCTORES!$A$3:$G$54,2,0),"")</f>
        <v/>
      </c>
      <c r="Q247" s="332">
        <f>IFERROR(VLOOKUP(TEXT(O247,"0"),CONDUCTORES!$A$3:$H$54,6,0),"")</f>
        <v/>
      </c>
      <c r="R247" s="334" t="n"/>
      <c r="S247" s="334" t="n"/>
      <c r="T247" s="334" t="n"/>
      <c r="U247" s="334" t="n"/>
      <c r="V247" s="334" t="n"/>
      <c r="W247" s="334" t="n"/>
      <c r="X247" s="334" t="n"/>
      <c r="Y247" s="334" t="n"/>
    </row>
    <row r="248" ht="15" customHeight="1" s="195">
      <c r="A248" s="280" t="n"/>
      <c r="B248" s="280" t="n"/>
      <c r="C248" s="280" t="n"/>
      <c r="D248" s="280" t="n"/>
      <c r="E248" s="280" t="n"/>
      <c r="F248" s="280" t="n"/>
      <c r="G248" s="280" t="n"/>
      <c r="H248" s="280" t="n"/>
      <c r="I248" s="332">
        <f>IFERROR(VLOOKUP(TEXT(H248,"0"),IPRESS!$A$3:$B$212,2,0),"")</f>
        <v/>
      </c>
      <c r="J248" s="280" t="n"/>
      <c r="K248" s="332">
        <f>IFERROR(VLOOKUP(TEXT(O248,"0"),CONDUCTORES!$A$3:$G$54,7,0),"")</f>
        <v/>
      </c>
      <c r="L248" s="280" t="n"/>
      <c r="M248" s="280" t="n"/>
      <c r="N248" s="333">
        <f>IFERROR(IF(L248*M248=0,"",L248*M248),"")</f>
        <v/>
      </c>
      <c r="O248" s="280" t="n"/>
      <c r="P248" s="332">
        <f>IFERROR(VLOOKUP(TEXT(O248,"0"),CONDUCTORES!$A$3:$G$54,2,0),"")</f>
        <v/>
      </c>
      <c r="Q248" s="332">
        <f>IFERROR(VLOOKUP(TEXT(O248,"0"),CONDUCTORES!$A$3:$H$54,6,0),"")</f>
        <v/>
      </c>
      <c r="R248" s="280" t="n"/>
      <c r="S248" s="280" t="n"/>
      <c r="T248" s="280" t="n"/>
      <c r="U248" s="280" t="n"/>
      <c r="V248" s="280" t="n"/>
      <c r="W248" s="280" t="n"/>
      <c r="X248" s="280" t="n"/>
      <c r="Y248" s="280" t="n"/>
    </row>
    <row r="249" ht="15" customHeight="1" s="195">
      <c r="A249" s="334" t="n"/>
      <c r="B249" s="334" t="n"/>
      <c r="C249" s="334" t="n"/>
      <c r="D249" s="334" t="n"/>
      <c r="E249" s="334" t="n"/>
      <c r="F249" s="334" t="n"/>
      <c r="G249" s="334" t="n"/>
      <c r="H249" s="334" t="n"/>
      <c r="I249" s="332">
        <f>IFERROR(VLOOKUP(TEXT(H249,"0"),IPRESS!$A$3:$B$212,2,0),"")</f>
        <v/>
      </c>
      <c r="J249" s="334" t="n"/>
      <c r="K249" s="332">
        <f>IFERROR(VLOOKUP(TEXT(O249,"0"),CONDUCTORES!$A$3:$G$54,7,0),"")</f>
        <v/>
      </c>
      <c r="L249" s="334" t="n"/>
      <c r="M249" s="334" t="n"/>
      <c r="N249" s="333">
        <f>IFERROR(IF(L249*M249=0,"",L249*M249),"")</f>
        <v/>
      </c>
      <c r="O249" s="334" t="n"/>
      <c r="P249" s="332">
        <f>IFERROR(VLOOKUP(TEXT(O249,"0"),CONDUCTORES!$A$3:$G$54,2,0),"")</f>
        <v/>
      </c>
      <c r="Q249" s="332">
        <f>IFERROR(VLOOKUP(TEXT(O249,"0"),CONDUCTORES!$A$3:$H$54,6,0),"")</f>
        <v/>
      </c>
      <c r="R249" s="334" t="n"/>
      <c r="S249" s="334" t="n"/>
      <c r="T249" s="334" t="n"/>
      <c r="U249" s="334" t="n"/>
      <c r="V249" s="334" t="n"/>
      <c r="W249" s="334" t="n"/>
      <c r="X249" s="334" t="n"/>
      <c r="Y249" s="334" t="n"/>
    </row>
    <row r="250" ht="15" customHeight="1" s="195">
      <c r="A250" s="280" t="n"/>
      <c r="B250" s="280" t="n"/>
      <c r="C250" s="280" t="n"/>
      <c r="D250" s="280" t="n"/>
      <c r="E250" s="280" t="n"/>
      <c r="F250" s="280" t="n"/>
      <c r="G250" s="280" t="n"/>
      <c r="H250" s="280" t="n"/>
      <c r="I250" s="332">
        <f>IFERROR(VLOOKUP(TEXT(H250,"0"),IPRESS!$A$3:$B$212,2,0),"")</f>
        <v/>
      </c>
      <c r="J250" s="280" t="n"/>
      <c r="K250" s="332">
        <f>IFERROR(VLOOKUP(TEXT(O250,"0"),CONDUCTORES!$A$3:$G$54,7,0),"")</f>
        <v/>
      </c>
      <c r="L250" s="280" t="n"/>
      <c r="M250" s="280" t="n"/>
      <c r="N250" s="333">
        <f>IFERROR(IF(L250*M250=0,"",L250*M250),"")</f>
        <v/>
      </c>
      <c r="O250" s="280" t="n"/>
      <c r="P250" s="332">
        <f>IFERROR(VLOOKUP(TEXT(O250,"0"),CONDUCTORES!$A$3:$G$54,2,0),"")</f>
        <v/>
      </c>
      <c r="Q250" s="332">
        <f>IFERROR(VLOOKUP(TEXT(O250,"0"),CONDUCTORES!$A$3:$H$54,6,0),"")</f>
        <v/>
      </c>
      <c r="R250" s="280" t="n"/>
      <c r="S250" s="280" t="n"/>
      <c r="T250" s="280" t="n"/>
      <c r="U250" s="280" t="n"/>
      <c r="V250" s="280" t="n"/>
      <c r="W250" s="280" t="n"/>
      <c r="X250" s="280" t="n"/>
      <c r="Y250" s="280" t="n"/>
    </row>
    <row r="251" ht="15" customHeight="1" s="195">
      <c r="A251" s="334" t="n"/>
      <c r="B251" s="334" t="n"/>
      <c r="C251" s="334" t="n"/>
      <c r="D251" s="334" t="n"/>
      <c r="E251" s="334" t="n"/>
      <c r="F251" s="334" t="n"/>
      <c r="G251" s="334" t="n"/>
      <c r="H251" s="334" t="n"/>
      <c r="I251" s="332">
        <f>IFERROR(VLOOKUP(TEXT(H251,"0"),IPRESS!$A$3:$B$212,2,0),"")</f>
        <v/>
      </c>
      <c r="J251" s="334" t="n"/>
      <c r="K251" s="332">
        <f>IFERROR(VLOOKUP(TEXT(O251,"0"),CONDUCTORES!$A$3:$G$54,7,0),"")</f>
        <v/>
      </c>
      <c r="L251" s="334" t="n"/>
      <c r="M251" s="334" t="n"/>
      <c r="N251" s="333">
        <f>IFERROR(IF(L251*M251=0,"",L251*M251),"")</f>
        <v/>
      </c>
      <c r="O251" s="334" t="n"/>
      <c r="P251" s="332">
        <f>IFERROR(VLOOKUP(TEXT(O251,"0"),CONDUCTORES!$A$3:$G$54,2,0),"")</f>
        <v/>
      </c>
      <c r="Q251" s="332">
        <f>IFERROR(VLOOKUP(TEXT(O251,"0"),CONDUCTORES!$A$3:$H$54,6,0),"")</f>
        <v/>
      </c>
      <c r="R251" s="334" t="n"/>
      <c r="S251" s="334" t="n"/>
      <c r="T251" s="334" t="n"/>
      <c r="U251" s="334" t="n"/>
      <c r="V251" s="334" t="n"/>
      <c r="W251" s="334" t="n"/>
      <c r="X251" s="334" t="n"/>
      <c r="Y251" s="334" t="n"/>
    </row>
    <row r="252" ht="15" customHeight="1" s="195">
      <c r="A252" s="280" t="n"/>
      <c r="B252" s="280" t="n"/>
      <c r="C252" s="280" t="n"/>
      <c r="D252" s="280" t="n"/>
      <c r="E252" s="280" t="n"/>
      <c r="F252" s="280" t="n"/>
      <c r="G252" s="280" t="n"/>
      <c r="H252" s="280" t="n"/>
      <c r="I252" s="332">
        <f>IFERROR(VLOOKUP(TEXT(H252,"0"),IPRESS!$A$3:$B$212,2,0),"")</f>
        <v/>
      </c>
      <c r="J252" s="280" t="n"/>
      <c r="K252" s="332">
        <f>IFERROR(VLOOKUP(TEXT(O252,"0"),CONDUCTORES!$A$3:$G$54,7,0),"")</f>
        <v/>
      </c>
      <c r="L252" s="280" t="n"/>
      <c r="M252" s="280" t="n"/>
      <c r="N252" s="333">
        <f>IFERROR(IF(L252*M252=0,"",L252*M252),"")</f>
        <v/>
      </c>
      <c r="O252" s="280" t="n"/>
      <c r="P252" s="332">
        <f>IFERROR(VLOOKUP(TEXT(O252,"0"),CONDUCTORES!$A$3:$G$54,2,0),"")</f>
        <v/>
      </c>
      <c r="Q252" s="332">
        <f>IFERROR(VLOOKUP(TEXT(O252,"0"),CONDUCTORES!$A$3:$H$54,6,0),"")</f>
        <v/>
      </c>
      <c r="R252" s="280" t="n"/>
      <c r="S252" s="280" t="n"/>
      <c r="T252" s="280" t="n"/>
      <c r="U252" s="280" t="n"/>
      <c r="V252" s="280" t="n"/>
      <c r="W252" s="280" t="n"/>
      <c r="X252" s="280" t="n"/>
      <c r="Y252" s="280" t="n"/>
    </row>
    <row r="253" ht="15" customHeight="1" s="195">
      <c r="A253" s="334" t="n"/>
      <c r="B253" s="334" t="n"/>
      <c r="C253" s="334" t="n"/>
      <c r="D253" s="334" t="n"/>
      <c r="E253" s="334" t="n"/>
      <c r="F253" s="334" t="n"/>
      <c r="G253" s="334" t="n"/>
      <c r="H253" s="334" t="n"/>
      <c r="I253" s="332">
        <f>IFERROR(VLOOKUP(TEXT(H253,"0"),IPRESS!$A$3:$B$212,2,0),"")</f>
        <v/>
      </c>
      <c r="J253" s="334" t="n"/>
      <c r="K253" s="332">
        <f>IFERROR(VLOOKUP(TEXT(O253,"0"),CONDUCTORES!$A$3:$G$54,7,0),"")</f>
        <v/>
      </c>
      <c r="L253" s="334" t="n"/>
      <c r="M253" s="334" t="n"/>
      <c r="N253" s="333">
        <f>IFERROR(IF(L253*M253=0,"",L253*M253),"")</f>
        <v/>
      </c>
      <c r="O253" s="334" t="n"/>
      <c r="P253" s="332">
        <f>IFERROR(VLOOKUP(TEXT(O253,"0"),CONDUCTORES!$A$3:$G$54,2,0),"")</f>
        <v/>
      </c>
      <c r="Q253" s="332">
        <f>IFERROR(VLOOKUP(TEXT(O253,"0"),CONDUCTORES!$A$3:$H$54,6,0),"")</f>
        <v/>
      </c>
      <c r="R253" s="334" t="n"/>
      <c r="S253" s="334" t="n"/>
      <c r="T253" s="334" t="n"/>
      <c r="U253" s="334" t="n"/>
      <c r="V253" s="334" t="n"/>
      <c r="W253" s="334" t="n"/>
      <c r="X253" s="334" t="n"/>
      <c r="Y253" s="334" t="n"/>
    </row>
    <row r="254" ht="15" customHeight="1" s="195">
      <c r="A254" s="280" t="n"/>
      <c r="B254" s="280" t="n"/>
      <c r="C254" s="280" t="n"/>
      <c r="D254" s="280" t="n"/>
      <c r="E254" s="280" t="n"/>
      <c r="F254" s="280" t="n"/>
      <c r="G254" s="280" t="n"/>
      <c r="H254" s="280" t="n"/>
      <c r="I254" s="332">
        <f>IFERROR(VLOOKUP(TEXT(H254,"0"),IPRESS!$A$3:$B$212,2,0),"")</f>
        <v/>
      </c>
      <c r="J254" s="280" t="n"/>
      <c r="K254" s="332">
        <f>IFERROR(VLOOKUP(TEXT(O254,"0"),CONDUCTORES!$A$3:$G$54,7,0),"")</f>
        <v/>
      </c>
      <c r="L254" s="280" t="n"/>
      <c r="M254" s="280" t="n"/>
      <c r="N254" s="333">
        <f>IFERROR(IF(L254*M254=0,"",L254*M254),"")</f>
        <v/>
      </c>
      <c r="O254" s="280" t="n"/>
      <c r="P254" s="332">
        <f>IFERROR(VLOOKUP(TEXT(O254,"0"),CONDUCTORES!$A$3:$G$54,2,0),"")</f>
        <v/>
      </c>
      <c r="Q254" s="332">
        <f>IFERROR(VLOOKUP(TEXT(O254,"0"),CONDUCTORES!$A$3:$H$54,6,0),"")</f>
        <v/>
      </c>
      <c r="R254" s="280" t="n"/>
      <c r="S254" s="280" t="n"/>
      <c r="T254" s="280" t="n"/>
      <c r="U254" s="280" t="n"/>
      <c r="V254" s="280" t="n"/>
      <c r="W254" s="280" t="n"/>
      <c r="X254" s="280" t="n"/>
      <c r="Y254" s="280" t="n"/>
    </row>
    <row r="255" ht="15" customHeight="1" s="195">
      <c r="A255" s="334" t="n"/>
      <c r="B255" s="334" t="n"/>
      <c r="C255" s="334" t="n"/>
      <c r="D255" s="334" t="n"/>
      <c r="E255" s="334" t="n"/>
      <c r="F255" s="334" t="n"/>
      <c r="G255" s="334" t="n"/>
      <c r="H255" s="334" t="n"/>
      <c r="I255" s="332">
        <f>IFERROR(VLOOKUP(TEXT(H255,"0"),IPRESS!$A$3:$B$212,2,0),"")</f>
        <v/>
      </c>
      <c r="J255" s="334" t="n"/>
      <c r="K255" s="332">
        <f>IFERROR(VLOOKUP(TEXT(O255,"0"),CONDUCTORES!$A$3:$G$54,7,0),"")</f>
        <v/>
      </c>
      <c r="L255" s="334" t="n"/>
      <c r="M255" s="334" t="n"/>
      <c r="N255" s="333">
        <f>IFERROR(IF(L255*M255=0,"",L255*M255),"")</f>
        <v/>
      </c>
      <c r="O255" s="334" t="n"/>
      <c r="P255" s="332">
        <f>IFERROR(VLOOKUP(TEXT(O255,"0"),CONDUCTORES!$A$3:$G$54,2,0),"")</f>
        <v/>
      </c>
      <c r="Q255" s="332">
        <f>IFERROR(VLOOKUP(TEXT(O255,"0"),CONDUCTORES!$A$3:$H$54,6,0),"")</f>
        <v/>
      </c>
      <c r="R255" s="334" t="n"/>
      <c r="S255" s="334" t="n"/>
      <c r="T255" s="334" t="n"/>
      <c r="U255" s="334" t="n"/>
      <c r="V255" s="334" t="n"/>
      <c r="W255" s="334" t="n"/>
      <c r="X255" s="334" t="n"/>
      <c r="Y255" s="334" t="n"/>
    </row>
    <row r="256" ht="15" customHeight="1" s="195">
      <c r="A256" s="280" t="n"/>
      <c r="B256" s="280" t="n"/>
      <c r="C256" s="280" t="n"/>
      <c r="D256" s="280" t="n"/>
      <c r="E256" s="280" t="n"/>
      <c r="F256" s="280" t="n"/>
      <c r="G256" s="280" t="n"/>
      <c r="H256" s="280" t="n"/>
      <c r="I256" s="332">
        <f>IFERROR(VLOOKUP(TEXT(H256,"0"),IPRESS!$A$3:$B$212,2,0),"")</f>
        <v/>
      </c>
      <c r="J256" s="280" t="n"/>
      <c r="K256" s="332">
        <f>IFERROR(VLOOKUP(TEXT(O256,"0"),CONDUCTORES!$A$3:$G$54,7,0),"")</f>
        <v/>
      </c>
      <c r="L256" s="280" t="n"/>
      <c r="M256" s="280" t="n"/>
      <c r="N256" s="333">
        <f>IFERROR(IF(L256*M256=0,"",L256*M256),"")</f>
        <v/>
      </c>
      <c r="O256" s="280" t="n"/>
      <c r="P256" s="332">
        <f>IFERROR(VLOOKUP(TEXT(O256,"0"),CONDUCTORES!$A$3:$G$54,2,0),"")</f>
        <v/>
      </c>
      <c r="Q256" s="332">
        <f>IFERROR(VLOOKUP(TEXT(O256,"0"),CONDUCTORES!$A$3:$H$54,6,0),"")</f>
        <v/>
      </c>
      <c r="R256" s="280" t="n"/>
      <c r="S256" s="280" t="n"/>
      <c r="T256" s="280" t="n"/>
      <c r="U256" s="280" t="n"/>
      <c r="V256" s="280" t="n"/>
      <c r="W256" s="280" t="n"/>
      <c r="X256" s="280" t="n"/>
      <c r="Y256" s="280" t="n"/>
    </row>
    <row r="257" ht="15" customHeight="1" s="195">
      <c r="A257" s="334" t="n"/>
      <c r="B257" s="334" t="n"/>
      <c r="C257" s="334" t="n"/>
      <c r="D257" s="334" t="n"/>
      <c r="E257" s="334" t="n"/>
      <c r="F257" s="334" t="n"/>
      <c r="G257" s="334" t="n"/>
      <c r="H257" s="334" t="n"/>
      <c r="I257" s="332">
        <f>IFERROR(VLOOKUP(TEXT(H257,"0"),IPRESS!$A$3:$B$212,2,0),"")</f>
        <v/>
      </c>
      <c r="J257" s="334" t="n"/>
      <c r="K257" s="332">
        <f>IFERROR(VLOOKUP(TEXT(O257,"0"),CONDUCTORES!$A$3:$G$54,7,0),"")</f>
        <v/>
      </c>
      <c r="L257" s="334" t="n"/>
      <c r="M257" s="334" t="n"/>
      <c r="N257" s="333">
        <f>IFERROR(IF(L257*M257=0,"",L257*M257),"")</f>
        <v/>
      </c>
      <c r="O257" s="334" t="n"/>
      <c r="P257" s="332">
        <f>IFERROR(VLOOKUP(TEXT(O257,"0"),CONDUCTORES!$A$3:$G$54,2,0),"")</f>
        <v/>
      </c>
      <c r="Q257" s="332">
        <f>IFERROR(VLOOKUP(TEXT(O257,"0"),CONDUCTORES!$A$3:$H$54,6,0),"")</f>
        <v/>
      </c>
      <c r="R257" s="334" t="n"/>
      <c r="S257" s="334" t="n"/>
      <c r="T257" s="334" t="n"/>
      <c r="U257" s="334" t="n"/>
      <c r="V257" s="334" t="n"/>
      <c r="W257" s="334" t="n"/>
      <c r="X257" s="334" t="n"/>
      <c r="Y257" s="334" t="n"/>
    </row>
    <row r="258" ht="15" customHeight="1" s="195">
      <c r="A258" s="280" t="n"/>
      <c r="B258" s="280" t="n"/>
      <c r="C258" s="280" t="n"/>
      <c r="D258" s="280" t="n"/>
      <c r="E258" s="280" t="n"/>
      <c r="F258" s="280" t="n"/>
      <c r="G258" s="280" t="n"/>
      <c r="H258" s="280" t="n"/>
      <c r="I258" s="332">
        <f>IFERROR(VLOOKUP(TEXT(H258,"0"),IPRESS!$A$3:$B$212,2,0),"")</f>
        <v/>
      </c>
      <c r="J258" s="280" t="n"/>
      <c r="K258" s="332">
        <f>IFERROR(VLOOKUP(TEXT(O258,"0"),CONDUCTORES!$A$3:$G$54,7,0),"")</f>
        <v/>
      </c>
      <c r="L258" s="280" t="n"/>
      <c r="M258" s="280" t="n"/>
      <c r="N258" s="333">
        <f>IFERROR(IF(L258*M258=0,"",L258*M258),"")</f>
        <v/>
      </c>
      <c r="O258" s="280" t="n"/>
      <c r="P258" s="332">
        <f>IFERROR(VLOOKUP(TEXT(O258,"0"),CONDUCTORES!$A$3:$G$54,2,0),"")</f>
        <v/>
      </c>
      <c r="Q258" s="332">
        <f>IFERROR(VLOOKUP(TEXT(O258,"0"),CONDUCTORES!$A$3:$H$54,6,0),"")</f>
        <v/>
      </c>
      <c r="R258" s="280" t="n"/>
      <c r="S258" s="280" t="n"/>
      <c r="T258" s="280" t="n"/>
      <c r="U258" s="280" t="n"/>
      <c r="V258" s="280" t="n"/>
      <c r="W258" s="280" t="n"/>
      <c r="X258" s="280" t="n"/>
      <c r="Y258" s="280" t="n"/>
    </row>
    <row r="259" ht="15" customHeight="1" s="195">
      <c r="A259" s="334" t="n"/>
      <c r="B259" s="334" t="n"/>
      <c r="C259" s="334" t="n"/>
      <c r="D259" s="334" t="n"/>
      <c r="E259" s="334" t="n"/>
      <c r="F259" s="334" t="n"/>
      <c r="G259" s="334" t="n"/>
      <c r="H259" s="334" t="n"/>
      <c r="I259" s="332">
        <f>IFERROR(VLOOKUP(TEXT(H259,"0"),IPRESS!$A$3:$B$212,2,0),"")</f>
        <v/>
      </c>
      <c r="J259" s="334" t="n"/>
      <c r="K259" s="332">
        <f>IFERROR(VLOOKUP(TEXT(O259,"0"),CONDUCTORES!$A$3:$G$54,7,0),"")</f>
        <v/>
      </c>
      <c r="L259" s="334" t="n"/>
      <c r="M259" s="334" t="n"/>
      <c r="N259" s="333">
        <f>IFERROR(IF(L259*M259=0,"",L259*M259),"")</f>
        <v/>
      </c>
      <c r="O259" s="334" t="n"/>
      <c r="P259" s="332">
        <f>IFERROR(VLOOKUP(TEXT(O259,"0"),CONDUCTORES!$A$3:$G$54,2,0),"")</f>
        <v/>
      </c>
      <c r="Q259" s="332">
        <f>IFERROR(VLOOKUP(TEXT(O259,"0"),CONDUCTORES!$A$3:$H$54,6,0),"")</f>
        <v/>
      </c>
      <c r="R259" s="334" t="n"/>
      <c r="S259" s="334" t="n"/>
      <c r="T259" s="334" t="n"/>
      <c r="U259" s="334" t="n"/>
      <c r="V259" s="334" t="n"/>
      <c r="W259" s="334" t="n"/>
      <c r="X259" s="334" t="n"/>
      <c r="Y259" s="334" t="n"/>
    </row>
    <row r="260" ht="15" customHeight="1" s="195">
      <c r="A260" s="280" t="n"/>
      <c r="B260" s="280" t="n"/>
      <c r="C260" s="280" t="n"/>
      <c r="D260" s="280" t="n"/>
      <c r="E260" s="280" t="n"/>
      <c r="F260" s="280" t="n"/>
      <c r="G260" s="280" t="n"/>
      <c r="H260" s="280" t="n"/>
      <c r="I260" s="332">
        <f>IFERROR(VLOOKUP(TEXT(H260,"0"),IPRESS!$A$3:$B$212,2,0),"")</f>
        <v/>
      </c>
      <c r="J260" s="280" t="n"/>
      <c r="K260" s="332">
        <f>IFERROR(VLOOKUP(TEXT(O260,"0"),CONDUCTORES!$A$3:$G$54,7,0),"")</f>
        <v/>
      </c>
      <c r="L260" s="280" t="n"/>
      <c r="M260" s="280" t="n"/>
      <c r="N260" s="333">
        <f>IFERROR(IF(L260*M260=0,"",L260*M260),"")</f>
        <v/>
      </c>
      <c r="O260" s="280" t="n"/>
      <c r="P260" s="332">
        <f>IFERROR(VLOOKUP(TEXT(O260,"0"),CONDUCTORES!$A$3:$G$54,2,0),"")</f>
        <v/>
      </c>
      <c r="Q260" s="332">
        <f>IFERROR(VLOOKUP(TEXT(O260,"0"),CONDUCTORES!$A$3:$H$54,6,0),"")</f>
        <v/>
      </c>
      <c r="R260" s="280" t="n"/>
      <c r="S260" s="280" t="n"/>
      <c r="T260" s="280" t="n"/>
      <c r="U260" s="280" t="n"/>
      <c r="V260" s="280" t="n"/>
      <c r="W260" s="280" t="n"/>
      <c r="X260" s="280" t="n"/>
      <c r="Y260" s="280" t="n"/>
    </row>
    <row r="261" ht="15" customHeight="1" s="195">
      <c r="A261" s="334" t="n"/>
      <c r="B261" s="334" t="n"/>
      <c r="C261" s="334" t="n"/>
      <c r="D261" s="334" t="n"/>
      <c r="E261" s="334" t="n"/>
      <c r="F261" s="334" t="n"/>
      <c r="G261" s="334" t="n"/>
      <c r="H261" s="334" t="n"/>
      <c r="I261" s="332">
        <f>IFERROR(VLOOKUP(TEXT(H261,"0"),IPRESS!$A$3:$B$212,2,0),"")</f>
        <v/>
      </c>
      <c r="J261" s="334" t="n"/>
      <c r="K261" s="332">
        <f>IFERROR(VLOOKUP(TEXT(O261,"0"),CONDUCTORES!$A$3:$G$54,7,0),"")</f>
        <v/>
      </c>
      <c r="L261" s="334" t="n"/>
      <c r="M261" s="334" t="n"/>
      <c r="N261" s="333">
        <f>IFERROR(IF(L261*M261=0,"",L261*M261),"")</f>
        <v/>
      </c>
      <c r="O261" s="334" t="n"/>
      <c r="P261" s="332">
        <f>IFERROR(VLOOKUP(TEXT(O261,"0"),CONDUCTORES!$A$3:$G$54,2,0),"")</f>
        <v/>
      </c>
      <c r="Q261" s="332">
        <f>IFERROR(VLOOKUP(TEXT(O261,"0"),CONDUCTORES!$A$3:$H$54,6,0),"")</f>
        <v/>
      </c>
      <c r="R261" s="334" t="n"/>
      <c r="S261" s="334" t="n"/>
      <c r="T261" s="334" t="n"/>
      <c r="U261" s="334" t="n"/>
      <c r="V261" s="334" t="n"/>
      <c r="W261" s="334" t="n"/>
      <c r="X261" s="334" t="n"/>
      <c r="Y261" s="334" t="n"/>
    </row>
    <row r="262" ht="15" customHeight="1" s="195">
      <c r="A262" s="280" t="n"/>
      <c r="B262" s="280" t="n"/>
      <c r="C262" s="280" t="n"/>
      <c r="D262" s="280" t="n"/>
      <c r="E262" s="280" t="n"/>
      <c r="F262" s="280" t="n"/>
      <c r="G262" s="280" t="n"/>
      <c r="H262" s="280" t="n"/>
      <c r="I262" s="332">
        <f>IFERROR(VLOOKUP(TEXT(H262,"0"),IPRESS!$A$3:$B$212,2,0),"")</f>
        <v/>
      </c>
      <c r="J262" s="280" t="n"/>
      <c r="K262" s="332">
        <f>IFERROR(VLOOKUP(TEXT(O262,"0"),CONDUCTORES!$A$3:$G$54,7,0),"")</f>
        <v/>
      </c>
      <c r="L262" s="280" t="n"/>
      <c r="M262" s="280" t="n"/>
      <c r="N262" s="333">
        <f>IFERROR(IF(L262*M262=0,"",L262*M262),"")</f>
        <v/>
      </c>
      <c r="O262" s="280" t="n"/>
      <c r="P262" s="332">
        <f>IFERROR(VLOOKUP(TEXT(O262,"0"),CONDUCTORES!$A$3:$G$54,2,0),"")</f>
        <v/>
      </c>
      <c r="Q262" s="332">
        <f>IFERROR(VLOOKUP(TEXT(O262,"0"),CONDUCTORES!$A$3:$H$54,6,0),"")</f>
        <v/>
      </c>
      <c r="R262" s="280" t="n"/>
      <c r="S262" s="280" t="n"/>
      <c r="T262" s="280" t="n"/>
      <c r="U262" s="280" t="n"/>
      <c r="V262" s="280" t="n"/>
      <c r="W262" s="280" t="n"/>
      <c r="X262" s="280" t="n"/>
      <c r="Y262" s="280" t="n"/>
    </row>
    <row r="263" ht="15" customHeight="1" s="195">
      <c r="A263" s="334" t="n"/>
      <c r="B263" s="334" t="n"/>
      <c r="C263" s="334" t="n"/>
      <c r="D263" s="334" t="n"/>
      <c r="E263" s="334" t="n"/>
      <c r="F263" s="334" t="n"/>
      <c r="G263" s="334" t="n"/>
      <c r="H263" s="334" t="n"/>
      <c r="I263" s="332">
        <f>IFERROR(VLOOKUP(TEXT(H263,"0"),IPRESS!$A$3:$B$212,2,0),"")</f>
        <v/>
      </c>
      <c r="J263" s="334" t="n"/>
      <c r="K263" s="332">
        <f>IFERROR(VLOOKUP(TEXT(O263,"0"),CONDUCTORES!$A$3:$G$54,7,0),"")</f>
        <v/>
      </c>
      <c r="L263" s="334" t="n"/>
      <c r="M263" s="334" t="n"/>
      <c r="N263" s="333">
        <f>IFERROR(IF(L263*M263=0,"",L263*M263),"")</f>
        <v/>
      </c>
      <c r="O263" s="334" t="n"/>
      <c r="P263" s="332">
        <f>IFERROR(VLOOKUP(TEXT(O263,"0"),CONDUCTORES!$A$3:$G$54,2,0),"")</f>
        <v/>
      </c>
      <c r="Q263" s="332">
        <f>IFERROR(VLOOKUP(TEXT(O263,"0"),CONDUCTORES!$A$3:$H$54,6,0),"")</f>
        <v/>
      </c>
      <c r="R263" s="334" t="n"/>
      <c r="S263" s="334" t="n"/>
      <c r="T263" s="334" t="n"/>
      <c r="U263" s="334" t="n"/>
      <c r="V263" s="334" t="n"/>
      <c r="W263" s="334" t="n"/>
      <c r="X263" s="334" t="n"/>
      <c r="Y263" s="334" t="n"/>
    </row>
    <row r="264" ht="15" customHeight="1" s="195">
      <c r="A264" s="280" t="n"/>
      <c r="B264" s="280" t="n"/>
      <c r="C264" s="280" t="n"/>
      <c r="D264" s="280" t="n"/>
      <c r="E264" s="280" t="n"/>
      <c r="F264" s="280" t="n"/>
      <c r="G264" s="280" t="n"/>
      <c r="H264" s="280" t="n"/>
      <c r="I264" s="332">
        <f>IFERROR(VLOOKUP(TEXT(H264,"0"),IPRESS!$A$3:$B$212,2,0),"")</f>
        <v/>
      </c>
      <c r="J264" s="280" t="n"/>
      <c r="K264" s="332">
        <f>IFERROR(VLOOKUP(TEXT(O264,"0"),CONDUCTORES!$A$3:$G$54,7,0),"")</f>
        <v/>
      </c>
      <c r="L264" s="280" t="n"/>
      <c r="M264" s="280" t="n"/>
      <c r="N264" s="333">
        <f>IFERROR(IF(L264*M264=0,"",L264*M264),"")</f>
        <v/>
      </c>
      <c r="O264" s="280" t="n"/>
      <c r="P264" s="332">
        <f>IFERROR(VLOOKUP(TEXT(O264,"0"),CONDUCTORES!$A$3:$G$54,2,0),"")</f>
        <v/>
      </c>
      <c r="Q264" s="332">
        <f>IFERROR(VLOOKUP(TEXT(O264,"0"),CONDUCTORES!$A$3:$H$54,6,0),"")</f>
        <v/>
      </c>
      <c r="R264" s="280" t="n"/>
      <c r="S264" s="280" t="n"/>
      <c r="T264" s="280" t="n"/>
      <c r="U264" s="280" t="n"/>
      <c r="V264" s="280" t="n"/>
      <c r="W264" s="280" t="n"/>
      <c r="X264" s="280" t="n"/>
      <c r="Y264" s="280" t="n"/>
    </row>
    <row r="265" ht="15" customHeight="1" s="195">
      <c r="A265" s="334" t="n"/>
      <c r="B265" s="334" t="n"/>
      <c r="C265" s="334" t="n"/>
      <c r="D265" s="334" t="n"/>
      <c r="E265" s="334" t="n"/>
      <c r="F265" s="334" t="n"/>
      <c r="G265" s="334" t="n"/>
      <c r="H265" s="334" t="n"/>
      <c r="I265" s="332">
        <f>IFERROR(VLOOKUP(TEXT(H265,"0"),IPRESS!$A$3:$B$212,2,0),"")</f>
        <v/>
      </c>
      <c r="J265" s="334" t="n"/>
      <c r="K265" s="332">
        <f>IFERROR(VLOOKUP(TEXT(O265,"0"),CONDUCTORES!$A$3:$G$54,7,0),"")</f>
        <v/>
      </c>
      <c r="L265" s="334" t="n"/>
      <c r="M265" s="334" t="n"/>
      <c r="N265" s="333">
        <f>IFERROR(IF(L265*M265=0,"",L265*M265),"")</f>
        <v/>
      </c>
      <c r="O265" s="334" t="n"/>
      <c r="P265" s="332">
        <f>IFERROR(VLOOKUP(TEXT(O265,"0"),CONDUCTORES!$A$3:$G$54,2,0),"")</f>
        <v/>
      </c>
      <c r="Q265" s="332">
        <f>IFERROR(VLOOKUP(TEXT(O265,"0"),CONDUCTORES!$A$3:$H$54,6,0),"")</f>
        <v/>
      </c>
      <c r="R265" s="334" t="n"/>
      <c r="S265" s="334" t="n"/>
      <c r="T265" s="334" t="n"/>
      <c r="U265" s="334" t="n"/>
      <c r="V265" s="334" t="n"/>
      <c r="W265" s="334" t="n"/>
      <c r="X265" s="334" t="n"/>
      <c r="Y265" s="334" t="n"/>
    </row>
    <row r="266" ht="15" customHeight="1" s="195">
      <c r="A266" s="280" t="n"/>
      <c r="B266" s="280" t="n"/>
      <c r="C266" s="280" t="n"/>
      <c r="D266" s="280" t="n"/>
      <c r="E266" s="280" t="n"/>
      <c r="F266" s="280" t="n"/>
      <c r="G266" s="280" t="n"/>
      <c r="H266" s="280" t="n"/>
      <c r="I266" s="332">
        <f>IFERROR(VLOOKUP(TEXT(H266,"0"),IPRESS!$A$3:$B$212,2,0),"")</f>
        <v/>
      </c>
      <c r="J266" s="280" t="n"/>
      <c r="K266" s="332">
        <f>IFERROR(VLOOKUP(TEXT(O266,"0"),CONDUCTORES!$A$3:$G$54,7,0),"")</f>
        <v/>
      </c>
      <c r="L266" s="280" t="n"/>
      <c r="M266" s="280" t="n"/>
      <c r="N266" s="333">
        <f>IFERROR(IF(L266*M266=0,"",L266*M266),"")</f>
        <v/>
      </c>
      <c r="O266" s="280" t="n"/>
      <c r="P266" s="332">
        <f>IFERROR(VLOOKUP(TEXT(O266,"0"),CONDUCTORES!$A$3:$G$54,2,0),"")</f>
        <v/>
      </c>
      <c r="Q266" s="332">
        <f>IFERROR(VLOOKUP(TEXT(O266,"0"),CONDUCTORES!$A$3:$H$54,6,0),"")</f>
        <v/>
      </c>
      <c r="R266" s="280" t="n"/>
      <c r="S266" s="280" t="n"/>
      <c r="T266" s="280" t="n"/>
      <c r="U266" s="280" t="n"/>
      <c r="V266" s="280" t="n"/>
      <c r="W266" s="280" t="n"/>
      <c r="X266" s="280" t="n"/>
      <c r="Y266" s="280" t="n"/>
    </row>
    <row r="267" ht="15" customHeight="1" s="195">
      <c r="A267" s="334" t="n"/>
      <c r="B267" s="334" t="n"/>
      <c r="C267" s="334" t="n"/>
      <c r="D267" s="334" t="n"/>
      <c r="E267" s="334" t="n"/>
      <c r="F267" s="334" t="n"/>
      <c r="G267" s="334" t="n"/>
      <c r="H267" s="334" t="n"/>
      <c r="I267" s="332">
        <f>IFERROR(VLOOKUP(TEXT(H267,"0"),IPRESS!$A$3:$B$212,2,0),"")</f>
        <v/>
      </c>
      <c r="J267" s="334" t="n"/>
      <c r="K267" s="332">
        <f>IFERROR(VLOOKUP(TEXT(O267,"0"),CONDUCTORES!$A$3:$G$54,7,0),"")</f>
        <v/>
      </c>
      <c r="L267" s="334" t="n"/>
      <c r="M267" s="334" t="n"/>
      <c r="N267" s="333">
        <f>IFERROR(IF(L267*M267=0,"",L267*M267),"")</f>
        <v/>
      </c>
      <c r="O267" s="334" t="n"/>
      <c r="P267" s="332">
        <f>IFERROR(VLOOKUP(TEXT(O267,"0"),CONDUCTORES!$A$3:$G$54,2,0),"")</f>
        <v/>
      </c>
      <c r="Q267" s="332">
        <f>IFERROR(VLOOKUP(TEXT(O267,"0"),CONDUCTORES!$A$3:$H$54,6,0),"")</f>
        <v/>
      </c>
      <c r="R267" s="334" t="n"/>
      <c r="S267" s="334" t="n"/>
      <c r="T267" s="334" t="n"/>
      <c r="U267" s="334" t="n"/>
      <c r="V267" s="334" t="n"/>
      <c r="W267" s="334" t="n"/>
      <c r="X267" s="334" t="n"/>
      <c r="Y267" s="334" t="n"/>
    </row>
    <row r="268" ht="15" customHeight="1" s="195">
      <c r="A268" s="280" t="n"/>
      <c r="B268" s="280" t="n"/>
      <c r="C268" s="280" t="n"/>
      <c r="D268" s="280" t="n"/>
      <c r="E268" s="280" t="n"/>
      <c r="F268" s="280" t="n"/>
      <c r="G268" s="280" t="n"/>
      <c r="H268" s="280" t="n"/>
      <c r="I268" s="332">
        <f>IFERROR(VLOOKUP(TEXT(H268,"0"),IPRESS!$A$3:$B$212,2,0),"")</f>
        <v/>
      </c>
      <c r="J268" s="280" t="n"/>
      <c r="K268" s="332">
        <f>IFERROR(VLOOKUP(TEXT(O268,"0"),CONDUCTORES!$A$3:$G$54,7,0),"")</f>
        <v/>
      </c>
      <c r="L268" s="280" t="n"/>
      <c r="M268" s="280" t="n"/>
      <c r="N268" s="333">
        <f>IFERROR(IF(L268*M268=0,"",L268*M268),"")</f>
        <v/>
      </c>
      <c r="O268" s="280" t="n"/>
      <c r="P268" s="332">
        <f>IFERROR(VLOOKUP(TEXT(O268,"0"),CONDUCTORES!$A$3:$G$54,2,0),"")</f>
        <v/>
      </c>
      <c r="Q268" s="332">
        <f>IFERROR(VLOOKUP(TEXT(O268,"0"),CONDUCTORES!$A$3:$H$54,6,0),"")</f>
        <v/>
      </c>
      <c r="R268" s="280" t="n"/>
      <c r="S268" s="280" t="n"/>
      <c r="T268" s="280" t="n"/>
      <c r="U268" s="280" t="n"/>
      <c r="V268" s="280" t="n"/>
      <c r="W268" s="280" t="n"/>
      <c r="X268" s="280" t="n"/>
      <c r="Y268" s="280" t="n"/>
    </row>
    <row r="269" ht="15" customHeight="1" s="195">
      <c r="A269" s="334" t="n"/>
      <c r="B269" s="334" t="n"/>
      <c r="C269" s="334" t="n"/>
      <c r="D269" s="334" t="n"/>
      <c r="E269" s="334" t="n"/>
      <c r="F269" s="334" t="n"/>
      <c r="G269" s="334" t="n"/>
      <c r="H269" s="334" t="n"/>
      <c r="I269" s="332">
        <f>IFERROR(VLOOKUP(TEXT(H269,"0"),IPRESS!$A$3:$B$212,2,0),"")</f>
        <v/>
      </c>
      <c r="J269" s="334" t="n"/>
      <c r="K269" s="332">
        <f>IFERROR(VLOOKUP(TEXT(O269,"0"),CONDUCTORES!$A$3:$G$54,7,0),"")</f>
        <v/>
      </c>
      <c r="L269" s="334" t="n"/>
      <c r="M269" s="334" t="n"/>
      <c r="N269" s="333">
        <f>IFERROR(IF(L269*M269=0,"",L269*M269),"")</f>
        <v/>
      </c>
      <c r="O269" s="334" t="n"/>
      <c r="P269" s="332">
        <f>IFERROR(VLOOKUP(TEXT(O269,"0"),CONDUCTORES!$A$3:$G$54,2,0),"")</f>
        <v/>
      </c>
      <c r="Q269" s="332">
        <f>IFERROR(VLOOKUP(TEXT(O269,"0"),CONDUCTORES!$A$3:$H$54,6,0),"")</f>
        <v/>
      </c>
      <c r="R269" s="334" t="n"/>
      <c r="S269" s="334" t="n"/>
      <c r="T269" s="334" t="n"/>
      <c r="U269" s="334" t="n"/>
      <c r="V269" s="334" t="n"/>
      <c r="W269" s="334" t="n"/>
      <c r="X269" s="334" t="n"/>
      <c r="Y269" s="334" t="n"/>
    </row>
    <row r="270" ht="15" customHeight="1" s="195">
      <c r="A270" s="280" t="n"/>
      <c r="B270" s="280" t="n"/>
      <c r="C270" s="280" t="n"/>
      <c r="D270" s="280" t="n"/>
      <c r="E270" s="280" t="n"/>
      <c r="F270" s="280" t="n"/>
      <c r="G270" s="280" t="n"/>
      <c r="H270" s="280" t="n"/>
      <c r="I270" s="332">
        <f>IFERROR(VLOOKUP(TEXT(H270,"0"),IPRESS!$A$3:$B$212,2,0),"")</f>
        <v/>
      </c>
      <c r="J270" s="280" t="n"/>
      <c r="K270" s="332">
        <f>IFERROR(VLOOKUP(TEXT(O270,"0"),CONDUCTORES!$A$3:$G$54,7,0),"")</f>
        <v/>
      </c>
      <c r="L270" s="280" t="n"/>
      <c r="M270" s="280" t="n"/>
      <c r="N270" s="333">
        <f>IFERROR(IF(L270*M270=0,"",L270*M270),"")</f>
        <v/>
      </c>
      <c r="O270" s="280" t="n"/>
      <c r="P270" s="332">
        <f>IFERROR(VLOOKUP(TEXT(O270,"0"),CONDUCTORES!$A$3:$G$54,2,0),"")</f>
        <v/>
      </c>
      <c r="Q270" s="332">
        <f>IFERROR(VLOOKUP(TEXT(O270,"0"),CONDUCTORES!$A$3:$H$54,6,0),"")</f>
        <v/>
      </c>
      <c r="R270" s="280" t="n"/>
      <c r="S270" s="280" t="n"/>
      <c r="T270" s="280" t="n"/>
      <c r="U270" s="280" t="n"/>
      <c r="V270" s="280" t="n"/>
      <c r="W270" s="280" t="n"/>
      <c r="X270" s="280" t="n"/>
      <c r="Y270" s="280" t="n"/>
    </row>
    <row r="271" ht="15" customHeight="1" s="195">
      <c r="A271" s="334" t="n"/>
      <c r="B271" s="334" t="n"/>
      <c r="C271" s="334" t="n"/>
      <c r="D271" s="334" t="n"/>
      <c r="E271" s="334" t="n"/>
      <c r="F271" s="334" t="n"/>
      <c r="G271" s="334" t="n"/>
      <c r="H271" s="334" t="n"/>
      <c r="I271" s="332">
        <f>IFERROR(VLOOKUP(TEXT(H271,"0"),IPRESS!$A$3:$B$212,2,0),"")</f>
        <v/>
      </c>
      <c r="J271" s="334" t="n"/>
      <c r="K271" s="332">
        <f>IFERROR(VLOOKUP(TEXT(O271,"0"),CONDUCTORES!$A$3:$G$54,7,0),"")</f>
        <v/>
      </c>
      <c r="L271" s="334" t="n"/>
      <c r="M271" s="334" t="n"/>
      <c r="N271" s="333">
        <f>IFERROR(IF(L271*M271=0,"",L271*M271),"")</f>
        <v/>
      </c>
      <c r="O271" s="334" t="n"/>
      <c r="P271" s="332">
        <f>IFERROR(VLOOKUP(TEXT(O271,"0"),CONDUCTORES!$A$3:$G$54,2,0),"")</f>
        <v/>
      </c>
      <c r="Q271" s="332">
        <f>IFERROR(VLOOKUP(TEXT(O271,"0"),CONDUCTORES!$A$3:$H$54,6,0),"")</f>
        <v/>
      </c>
      <c r="R271" s="334" t="n"/>
      <c r="S271" s="334" t="n"/>
      <c r="T271" s="334" t="n"/>
      <c r="U271" s="334" t="n"/>
      <c r="V271" s="334" t="n"/>
      <c r="W271" s="334" t="n"/>
      <c r="X271" s="334" t="n"/>
      <c r="Y271" s="334" t="n"/>
    </row>
    <row r="272" ht="15" customHeight="1" s="195">
      <c r="A272" s="280" t="n"/>
      <c r="B272" s="280" t="n"/>
      <c r="C272" s="280" t="n"/>
      <c r="D272" s="280" t="n"/>
      <c r="E272" s="280" t="n"/>
      <c r="F272" s="280" t="n"/>
      <c r="G272" s="280" t="n"/>
      <c r="H272" s="280" t="n"/>
      <c r="I272" s="332">
        <f>IFERROR(VLOOKUP(TEXT(H272,"0"),IPRESS!$A$3:$B$212,2,0),"")</f>
        <v/>
      </c>
      <c r="J272" s="280" t="n"/>
      <c r="K272" s="332">
        <f>IFERROR(VLOOKUP(TEXT(O272,"0"),CONDUCTORES!$A$3:$G$54,7,0),"")</f>
        <v/>
      </c>
      <c r="L272" s="280" t="n"/>
      <c r="M272" s="280" t="n"/>
      <c r="N272" s="333">
        <f>IFERROR(IF(L272*M272=0,"",L272*M272),"")</f>
        <v/>
      </c>
      <c r="O272" s="280" t="n"/>
      <c r="P272" s="332">
        <f>IFERROR(VLOOKUP(TEXT(O272,"0"),CONDUCTORES!$A$3:$G$54,2,0),"")</f>
        <v/>
      </c>
      <c r="Q272" s="332">
        <f>IFERROR(VLOOKUP(TEXT(O272,"0"),CONDUCTORES!$A$3:$H$54,6,0),"")</f>
        <v/>
      </c>
      <c r="R272" s="280" t="n"/>
      <c r="S272" s="280" t="n"/>
      <c r="T272" s="280" t="n"/>
      <c r="U272" s="280" t="n"/>
      <c r="V272" s="280" t="n"/>
      <c r="W272" s="280" t="n"/>
      <c r="X272" s="280" t="n"/>
      <c r="Y272" s="280" t="n"/>
    </row>
    <row r="273" ht="15" customHeight="1" s="195">
      <c r="A273" s="334" t="n"/>
      <c r="B273" s="334" t="n"/>
      <c r="C273" s="334" t="n"/>
      <c r="D273" s="334" t="n"/>
      <c r="E273" s="334" t="n"/>
      <c r="F273" s="334" t="n"/>
      <c r="G273" s="334" t="n"/>
      <c r="H273" s="334" t="n"/>
      <c r="I273" s="332">
        <f>IFERROR(VLOOKUP(TEXT(H273,"0"),IPRESS!$A$3:$B$212,2,0),"")</f>
        <v/>
      </c>
      <c r="J273" s="334" t="n"/>
      <c r="K273" s="332">
        <f>IFERROR(VLOOKUP(TEXT(O273,"0"),CONDUCTORES!$A$3:$G$54,7,0),"")</f>
        <v/>
      </c>
      <c r="L273" s="334" t="n"/>
      <c r="M273" s="334" t="n"/>
      <c r="N273" s="333">
        <f>IFERROR(IF(L273*M273=0,"",L273*M273),"")</f>
        <v/>
      </c>
      <c r="O273" s="334" t="n"/>
      <c r="P273" s="332">
        <f>IFERROR(VLOOKUP(TEXT(O273,"0"),CONDUCTORES!$A$3:$G$54,2,0),"")</f>
        <v/>
      </c>
      <c r="Q273" s="332">
        <f>IFERROR(VLOOKUP(TEXT(O273,"0"),CONDUCTORES!$A$3:$H$54,6,0),"")</f>
        <v/>
      </c>
      <c r="R273" s="334" t="n"/>
      <c r="S273" s="334" t="n"/>
      <c r="T273" s="334" t="n"/>
      <c r="U273" s="334" t="n"/>
      <c r="V273" s="334" t="n"/>
      <c r="W273" s="334" t="n"/>
      <c r="X273" s="334" t="n"/>
      <c r="Y273" s="334" t="n"/>
    </row>
    <row r="274" ht="15" customHeight="1" s="195">
      <c r="A274" s="280" t="n"/>
      <c r="B274" s="280" t="n"/>
      <c r="C274" s="280" t="n"/>
      <c r="D274" s="280" t="n"/>
      <c r="E274" s="280" t="n"/>
      <c r="F274" s="280" t="n"/>
      <c r="G274" s="280" t="n"/>
      <c r="H274" s="280" t="n"/>
      <c r="I274" s="332">
        <f>IFERROR(VLOOKUP(TEXT(H274,"0"),IPRESS!$A$3:$B$212,2,0),"")</f>
        <v/>
      </c>
      <c r="J274" s="280" t="n"/>
      <c r="K274" s="332">
        <f>IFERROR(VLOOKUP(TEXT(O274,"0"),CONDUCTORES!$A$3:$G$54,7,0),"")</f>
        <v/>
      </c>
      <c r="L274" s="280" t="n"/>
      <c r="M274" s="280" t="n"/>
      <c r="N274" s="333">
        <f>IFERROR(IF(L274*M274=0,"",L274*M274),"")</f>
        <v/>
      </c>
      <c r="O274" s="280" t="n"/>
      <c r="P274" s="332">
        <f>IFERROR(VLOOKUP(TEXT(O274,"0"),CONDUCTORES!$A$3:$G$54,2,0),"")</f>
        <v/>
      </c>
      <c r="Q274" s="332">
        <f>IFERROR(VLOOKUP(TEXT(O274,"0"),CONDUCTORES!$A$3:$H$54,6,0),"")</f>
        <v/>
      </c>
      <c r="R274" s="280" t="n"/>
      <c r="S274" s="280" t="n"/>
      <c r="T274" s="280" t="n"/>
      <c r="U274" s="280" t="n"/>
      <c r="V274" s="280" t="n"/>
      <c r="W274" s="280" t="n"/>
      <c r="X274" s="280" t="n"/>
      <c r="Y274" s="280" t="n"/>
    </row>
    <row r="275" ht="15" customHeight="1" s="195">
      <c r="A275" s="334" t="n"/>
      <c r="B275" s="334" t="n"/>
      <c r="C275" s="334" t="n"/>
      <c r="D275" s="334" t="n"/>
      <c r="E275" s="334" t="n"/>
      <c r="F275" s="334" t="n"/>
      <c r="G275" s="334" t="n"/>
      <c r="H275" s="334" t="n"/>
      <c r="I275" s="332">
        <f>IFERROR(VLOOKUP(TEXT(H275,"0"),IPRESS!$A$3:$B$212,2,0),"")</f>
        <v/>
      </c>
      <c r="J275" s="334" t="n"/>
      <c r="K275" s="332">
        <f>IFERROR(VLOOKUP(TEXT(O275,"0"),CONDUCTORES!$A$3:$G$54,7,0),"")</f>
        <v/>
      </c>
      <c r="L275" s="334" t="n"/>
      <c r="M275" s="334" t="n"/>
      <c r="N275" s="333">
        <f>IFERROR(IF(L275*M275=0,"",L275*M275),"")</f>
        <v/>
      </c>
      <c r="O275" s="334" t="n"/>
      <c r="P275" s="332">
        <f>IFERROR(VLOOKUP(TEXT(O275,"0"),CONDUCTORES!$A$3:$G$54,2,0),"")</f>
        <v/>
      </c>
      <c r="Q275" s="332">
        <f>IFERROR(VLOOKUP(TEXT(O275,"0"),CONDUCTORES!$A$3:$H$54,6,0),"")</f>
        <v/>
      </c>
      <c r="R275" s="334" t="n"/>
      <c r="S275" s="334" t="n"/>
      <c r="T275" s="334" t="n"/>
      <c r="U275" s="334" t="n"/>
      <c r="V275" s="334" t="n"/>
      <c r="W275" s="334" t="n"/>
      <c r="X275" s="334" t="n"/>
      <c r="Y275" s="334" t="n"/>
    </row>
    <row r="276" ht="15" customHeight="1" s="195">
      <c r="A276" s="280" t="n"/>
      <c r="B276" s="280" t="n"/>
      <c r="C276" s="280" t="n"/>
      <c r="D276" s="280" t="n"/>
      <c r="E276" s="280" t="n"/>
      <c r="F276" s="280" t="n"/>
      <c r="G276" s="280" t="n"/>
      <c r="H276" s="280" t="n"/>
      <c r="I276" s="332">
        <f>IFERROR(VLOOKUP(TEXT(H276,"0"),IPRESS!$A$3:$B$212,2,0),"")</f>
        <v/>
      </c>
      <c r="J276" s="280" t="n"/>
      <c r="K276" s="332">
        <f>IFERROR(VLOOKUP(TEXT(O276,"0"),CONDUCTORES!$A$3:$G$54,7,0),"")</f>
        <v/>
      </c>
      <c r="L276" s="280" t="n"/>
      <c r="M276" s="280" t="n"/>
      <c r="N276" s="333">
        <f>IFERROR(IF(L276*M276=0,"",L276*M276),"")</f>
        <v/>
      </c>
      <c r="O276" s="280" t="n"/>
      <c r="P276" s="332">
        <f>IFERROR(VLOOKUP(TEXT(O276,"0"),CONDUCTORES!$A$3:$G$54,2,0),"")</f>
        <v/>
      </c>
      <c r="Q276" s="332">
        <f>IFERROR(VLOOKUP(TEXT(O276,"0"),CONDUCTORES!$A$3:$H$54,6,0),"")</f>
        <v/>
      </c>
      <c r="R276" s="280" t="n"/>
      <c r="S276" s="280" t="n"/>
      <c r="T276" s="280" t="n"/>
      <c r="U276" s="280" t="n"/>
      <c r="V276" s="280" t="n"/>
      <c r="W276" s="280" t="n"/>
      <c r="X276" s="280" t="n"/>
      <c r="Y276" s="280" t="n"/>
    </row>
    <row r="277" ht="15" customHeight="1" s="195">
      <c r="A277" s="334" t="n"/>
      <c r="B277" s="334" t="n"/>
      <c r="C277" s="334" t="n"/>
      <c r="D277" s="334" t="n"/>
      <c r="E277" s="334" t="n"/>
      <c r="F277" s="334" t="n"/>
      <c r="G277" s="334" t="n"/>
      <c r="H277" s="334" t="n"/>
      <c r="I277" s="332">
        <f>IFERROR(VLOOKUP(TEXT(H277,"0"),IPRESS!$A$3:$B$212,2,0),"")</f>
        <v/>
      </c>
      <c r="J277" s="334" t="n"/>
      <c r="K277" s="332">
        <f>IFERROR(VLOOKUP(TEXT(O277,"0"),CONDUCTORES!$A$3:$G$54,7,0),"")</f>
        <v/>
      </c>
      <c r="L277" s="334" t="n"/>
      <c r="M277" s="334" t="n"/>
      <c r="N277" s="333">
        <f>IFERROR(IF(L277*M277=0,"",L277*M277),"")</f>
        <v/>
      </c>
      <c r="O277" s="334" t="n"/>
      <c r="P277" s="332">
        <f>IFERROR(VLOOKUP(TEXT(O277,"0"),CONDUCTORES!$A$3:$G$54,2,0),"")</f>
        <v/>
      </c>
      <c r="Q277" s="332">
        <f>IFERROR(VLOOKUP(TEXT(O277,"0"),CONDUCTORES!$A$3:$H$54,6,0),"")</f>
        <v/>
      </c>
      <c r="R277" s="334" t="n"/>
      <c r="S277" s="334" t="n"/>
      <c r="T277" s="334" t="n"/>
      <c r="U277" s="334" t="n"/>
      <c r="V277" s="334" t="n"/>
      <c r="W277" s="334" t="n"/>
      <c r="X277" s="334" t="n"/>
      <c r="Y277" s="334" t="n"/>
    </row>
    <row r="278" ht="15" customHeight="1" s="195">
      <c r="A278" s="280" t="n"/>
      <c r="B278" s="280" t="n"/>
      <c r="C278" s="280" t="n"/>
      <c r="D278" s="280" t="n"/>
      <c r="E278" s="280" t="n"/>
      <c r="F278" s="280" t="n"/>
      <c r="G278" s="280" t="n"/>
      <c r="H278" s="280" t="n"/>
      <c r="I278" s="332">
        <f>IFERROR(VLOOKUP(TEXT(H278,"0"),IPRESS!$A$3:$B$212,2,0),"")</f>
        <v/>
      </c>
      <c r="J278" s="280" t="n"/>
      <c r="K278" s="332">
        <f>IFERROR(VLOOKUP(TEXT(O278,"0"),CONDUCTORES!$A$3:$G$54,7,0),"")</f>
        <v/>
      </c>
      <c r="L278" s="280" t="n"/>
      <c r="M278" s="280" t="n"/>
      <c r="N278" s="333">
        <f>IFERROR(IF(L278*M278=0,"",L278*M278),"")</f>
        <v/>
      </c>
      <c r="O278" s="280" t="n"/>
      <c r="P278" s="332">
        <f>IFERROR(VLOOKUP(TEXT(O278,"0"),CONDUCTORES!$A$3:$G$54,2,0),"")</f>
        <v/>
      </c>
      <c r="Q278" s="332">
        <f>IFERROR(VLOOKUP(TEXT(O278,"0"),CONDUCTORES!$A$3:$H$54,6,0),"")</f>
        <v/>
      </c>
      <c r="R278" s="280" t="n"/>
      <c r="S278" s="280" t="n"/>
      <c r="T278" s="280" t="n"/>
      <c r="U278" s="280" t="n"/>
      <c r="V278" s="280" t="n"/>
      <c r="W278" s="280" t="n"/>
      <c r="X278" s="280" t="n"/>
      <c r="Y278" s="280" t="n"/>
    </row>
    <row r="279" ht="15" customHeight="1" s="195">
      <c r="A279" s="334" t="n"/>
      <c r="B279" s="334" t="n"/>
      <c r="C279" s="334" t="n"/>
      <c r="D279" s="334" t="n"/>
      <c r="E279" s="334" t="n"/>
      <c r="F279" s="334" t="n"/>
      <c r="G279" s="334" t="n"/>
      <c r="H279" s="334" t="n"/>
      <c r="I279" s="332">
        <f>IFERROR(VLOOKUP(TEXT(H279,"0"),IPRESS!$A$3:$B$212,2,0),"")</f>
        <v/>
      </c>
      <c r="J279" s="334" t="n"/>
      <c r="K279" s="332">
        <f>IFERROR(VLOOKUP(TEXT(O279,"0"),CONDUCTORES!$A$3:$G$54,7,0),"")</f>
        <v/>
      </c>
      <c r="L279" s="334" t="n"/>
      <c r="M279" s="334" t="n"/>
      <c r="N279" s="333">
        <f>IFERROR(IF(L279*M279=0,"",L279*M279),"")</f>
        <v/>
      </c>
      <c r="O279" s="334" t="n"/>
      <c r="P279" s="332">
        <f>IFERROR(VLOOKUP(TEXT(O279,"0"),CONDUCTORES!$A$3:$G$54,2,0),"")</f>
        <v/>
      </c>
      <c r="Q279" s="332">
        <f>IFERROR(VLOOKUP(TEXT(O279,"0"),CONDUCTORES!$A$3:$H$54,6,0),"")</f>
        <v/>
      </c>
      <c r="R279" s="334" t="n"/>
      <c r="S279" s="334" t="n"/>
      <c r="T279" s="334" t="n"/>
      <c r="U279" s="334" t="n"/>
      <c r="V279" s="334" t="n"/>
      <c r="W279" s="334" t="n"/>
      <c r="X279" s="334" t="n"/>
      <c r="Y279" s="334" t="n"/>
    </row>
    <row r="280" ht="15" customHeight="1" s="195">
      <c r="A280" s="280" t="n"/>
      <c r="B280" s="280" t="n"/>
      <c r="C280" s="280" t="n"/>
      <c r="D280" s="280" t="n"/>
      <c r="E280" s="280" t="n"/>
      <c r="F280" s="280" t="n"/>
      <c r="G280" s="280" t="n"/>
      <c r="H280" s="280" t="n"/>
      <c r="I280" s="332">
        <f>IFERROR(VLOOKUP(TEXT(H280,"0"),IPRESS!$A$3:$B$212,2,0),"")</f>
        <v/>
      </c>
      <c r="J280" s="280" t="n"/>
      <c r="K280" s="332">
        <f>IFERROR(VLOOKUP(TEXT(O280,"0"),CONDUCTORES!$A$3:$G$54,7,0),"")</f>
        <v/>
      </c>
      <c r="L280" s="280" t="n"/>
      <c r="M280" s="280" t="n"/>
      <c r="N280" s="333">
        <f>IFERROR(IF(L280*M280=0,"",L280*M280),"")</f>
        <v/>
      </c>
      <c r="O280" s="280" t="n"/>
      <c r="P280" s="332">
        <f>IFERROR(VLOOKUP(TEXT(O280,"0"),CONDUCTORES!$A$3:$G$54,2,0),"")</f>
        <v/>
      </c>
      <c r="Q280" s="332">
        <f>IFERROR(VLOOKUP(TEXT(O280,"0"),CONDUCTORES!$A$3:$H$54,6,0),"")</f>
        <v/>
      </c>
      <c r="R280" s="280" t="n"/>
      <c r="S280" s="280" t="n"/>
      <c r="T280" s="280" t="n"/>
      <c r="U280" s="280" t="n"/>
      <c r="V280" s="280" t="n"/>
      <c r="W280" s="280" t="n"/>
      <c r="X280" s="280" t="n"/>
      <c r="Y280" s="280" t="n"/>
    </row>
    <row r="281" ht="15" customHeight="1" s="195">
      <c r="A281" s="334" t="n"/>
      <c r="B281" s="334" t="n"/>
      <c r="C281" s="334" t="n"/>
      <c r="D281" s="334" t="n"/>
      <c r="E281" s="334" t="n"/>
      <c r="F281" s="334" t="n"/>
      <c r="G281" s="334" t="n"/>
      <c r="H281" s="334" t="n"/>
      <c r="I281" s="332">
        <f>IFERROR(VLOOKUP(TEXT(H281,"0"),IPRESS!$A$3:$B$212,2,0),"")</f>
        <v/>
      </c>
      <c r="J281" s="334" t="n"/>
      <c r="K281" s="332">
        <f>IFERROR(VLOOKUP(TEXT(O281,"0"),CONDUCTORES!$A$3:$G$54,7,0),"")</f>
        <v/>
      </c>
      <c r="L281" s="334" t="n"/>
      <c r="M281" s="334" t="n"/>
      <c r="N281" s="333">
        <f>IFERROR(IF(L281*M281=0,"",L281*M281),"")</f>
        <v/>
      </c>
      <c r="O281" s="334" t="n"/>
      <c r="P281" s="332">
        <f>IFERROR(VLOOKUP(TEXT(O281,"0"),CONDUCTORES!$A$3:$G$54,2,0),"")</f>
        <v/>
      </c>
      <c r="Q281" s="332">
        <f>IFERROR(VLOOKUP(TEXT(O281,"0"),CONDUCTORES!$A$3:$H$54,6,0),"")</f>
        <v/>
      </c>
      <c r="R281" s="334" t="n"/>
      <c r="S281" s="334" t="n"/>
      <c r="T281" s="334" t="n"/>
      <c r="U281" s="334" t="n"/>
      <c r="V281" s="334" t="n"/>
      <c r="W281" s="334" t="n"/>
      <c r="X281" s="334" t="n"/>
      <c r="Y281" s="334" t="n"/>
    </row>
    <row r="282" ht="15" customHeight="1" s="195">
      <c r="A282" s="280" t="n"/>
      <c r="B282" s="280" t="n"/>
      <c r="C282" s="280" t="n"/>
      <c r="D282" s="280" t="n"/>
      <c r="E282" s="280" t="n"/>
      <c r="F282" s="280" t="n"/>
      <c r="G282" s="280" t="n"/>
      <c r="H282" s="280" t="n"/>
      <c r="I282" s="332">
        <f>IFERROR(VLOOKUP(TEXT(H282,"0"),IPRESS!$A$3:$B$212,2,0),"")</f>
        <v/>
      </c>
      <c r="J282" s="280" t="n"/>
      <c r="K282" s="332">
        <f>IFERROR(VLOOKUP(TEXT(O282,"0"),CONDUCTORES!$A$3:$G$54,7,0),"")</f>
        <v/>
      </c>
      <c r="L282" s="280" t="n"/>
      <c r="M282" s="280" t="n"/>
      <c r="N282" s="333">
        <f>IFERROR(IF(L282*M282=0,"",L282*M282),"")</f>
        <v/>
      </c>
      <c r="O282" s="280" t="n"/>
      <c r="P282" s="332">
        <f>IFERROR(VLOOKUP(TEXT(O282,"0"),CONDUCTORES!$A$3:$G$54,2,0),"")</f>
        <v/>
      </c>
      <c r="Q282" s="332">
        <f>IFERROR(VLOOKUP(TEXT(O282,"0"),CONDUCTORES!$A$3:$H$54,6,0),"")</f>
        <v/>
      </c>
      <c r="R282" s="280" t="n"/>
      <c r="S282" s="280" t="n"/>
      <c r="T282" s="280" t="n"/>
      <c r="U282" s="280" t="n"/>
      <c r="V282" s="280" t="n"/>
      <c r="W282" s="280" t="n"/>
      <c r="X282" s="280" t="n"/>
      <c r="Y282" s="280" t="n"/>
    </row>
    <row r="283" ht="15" customHeight="1" s="195">
      <c r="A283" s="334" t="n"/>
      <c r="B283" s="334" t="n"/>
      <c r="C283" s="334" t="n"/>
      <c r="D283" s="334" t="n"/>
      <c r="E283" s="334" t="n"/>
      <c r="F283" s="334" t="n"/>
      <c r="G283" s="334" t="n"/>
      <c r="H283" s="334" t="n"/>
      <c r="I283" s="332">
        <f>IFERROR(VLOOKUP(TEXT(H283,"0"),IPRESS!$A$3:$B$212,2,0),"")</f>
        <v/>
      </c>
      <c r="J283" s="334" t="n"/>
      <c r="K283" s="332">
        <f>IFERROR(VLOOKUP(TEXT(O283,"0"),CONDUCTORES!$A$3:$G$54,7,0),"")</f>
        <v/>
      </c>
      <c r="L283" s="334" t="n"/>
      <c r="M283" s="334" t="n"/>
      <c r="N283" s="333">
        <f>IFERROR(IF(L283*M283=0,"",L283*M283),"")</f>
        <v/>
      </c>
      <c r="O283" s="334" t="n"/>
      <c r="P283" s="332">
        <f>IFERROR(VLOOKUP(TEXT(O283,"0"),CONDUCTORES!$A$3:$G$54,2,0),"")</f>
        <v/>
      </c>
      <c r="Q283" s="332">
        <f>IFERROR(VLOOKUP(TEXT(O283,"0"),CONDUCTORES!$A$3:$H$54,6,0),"")</f>
        <v/>
      </c>
      <c r="R283" s="334" t="n"/>
      <c r="S283" s="334" t="n"/>
      <c r="T283" s="334" t="n"/>
      <c r="U283" s="334" t="n"/>
      <c r="V283" s="334" t="n"/>
      <c r="W283" s="334" t="n"/>
      <c r="X283" s="334" t="n"/>
      <c r="Y283" s="334" t="n"/>
    </row>
    <row r="284" ht="15" customHeight="1" s="195">
      <c r="A284" s="280" t="n"/>
      <c r="B284" s="280" t="n"/>
      <c r="C284" s="280" t="n"/>
      <c r="D284" s="280" t="n"/>
      <c r="E284" s="280" t="n"/>
      <c r="F284" s="280" t="n"/>
      <c r="G284" s="280" t="n"/>
      <c r="H284" s="280" t="n"/>
      <c r="I284" s="332">
        <f>IFERROR(VLOOKUP(TEXT(H284,"0"),IPRESS!$A$3:$B$212,2,0),"")</f>
        <v/>
      </c>
      <c r="J284" s="280" t="n"/>
      <c r="K284" s="332">
        <f>IFERROR(VLOOKUP(TEXT(O284,"0"),CONDUCTORES!$A$3:$G$54,7,0),"")</f>
        <v/>
      </c>
      <c r="L284" s="280" t="n"/>
      <c r="M284" s="280" t="n"/>
      <c r="N284" s="333">
        <f>IFERROR(IF(L284*M284=0,"",L284*M284),"")</f>
        <v/>
      </c>
      <c r="O284" s="280" t="n"/>
      <c r="P284" s="332">
        <f>IFERROR(VLOOKUP(TEXT(O284,"0"),CONDUCTORES!$A$3:$G$54,2,0),"")</f>
        <v/>
      </c>
      <c r="Q284" s="332">
        <f>IFERROR(VLOOKUP(TEXT(O284,"0"),CONDUCTORES!$A$3:$H$54,6,0),"")</f>
        <v/>
      </c>
      <c r="R284" s="280" t="n"/>
      <c r="S284" s="280" t="n"/>
      <c r="T284" s="280" t="n"/>
      <c r="U284" s="280" t="n"/>
      <c r="V284" s="280" t="n"/>
      <c r="W284" s="280" t="n"/>
      <c r="X284" s="280" t="n"/>
      <c r="Y284" s="280" t="n"/>
    </row>
    <row r="285" ht="15" customHeight="1" s="195">
      <c r="A285" s="334" t="n"/>
      <c r="B285" s="334" t="n"/>
      <c r="C285" s="334" t="n"/>
      <c r="D285" s="334" t="n"/>
      <c r="E285" s="334" t="n"/>
      <c r="F285" s="334" t="n"/>
      <c r="G285" s="334" t="n"/>
      <c r="H285" s="334" t="n"/>
      <c r="I285" s="332">
        <f>IFERROR(VLOOKUP(TEXT(H285,"0"),IPRESS!$A$3:$B$212,2,0),"")</f>
        <v/>
      </c>
      <c r="J285" s="334" t="n"/>
      <c r="K285" s="332">
        <f>IFERROR(VLOOKUP(TEXT(O285,"0"),CONDUCTORES!$A$3:$G$54,7,0),"")</f>
        <v/>
      </c>
      <c r="L285" s="334" t="n"/>
      <c r="M285" s="334" t="n"/>
      <c r="N285" s="333">
        <f>IFERROR(IF(L285*M285=0,"",L285*M285),"")</f>
        <v/>
      </c>
      <c r="O285" s="334" t="n"/>
      <c r="P285" s="332">
        <f>IFERROR(VLOOKUP(TEXT(O285,"0"),CONDUCTORES!$A$3:$G$54,2,0),"")</f>
        <v/>
      </c>
      <c r="Q285" s="332">
        <f>IFERROR(VLOOKUP(TEXT(O285,"0"),CONDUCTORES!$A$3:$H$54,6,0),"")</f>
        <v/>
      </c>
      <c r="R285" s="334" t="n"/>
      <c r="S285" s="334" t="n"/>
      <c r="T285" s="334" t="n"/>
      <c r="U285" s="334" t="n"/>
      <c r="V285" s="334" t="n"/>
      <c r="W285" s="334" t="n"/>
      <c r="X285" s="334" t="n"/>
      <c r="Y285" s="334" t="n"/>
    </row>
    <row r="286" ht="15" customHeight="1" s="195">
      <c r="A286" s="280" t="n"/>
      <c r="B286" s="280" t="n"/>
      <c r="C286" s="280" t="n"/>
      <c r="D286" s="280" t="n"/>
      <c r="E286" s="280" t="n"/>
      <c r="F286" s="280" t="n"/>
      <c r="G286" s="280" t="n"/>
      <c r="H286" s="280" t="n"/>
      <c r="I286" s="332">
        <f>IFERROR(VLOOKUP(TEXT(H286,"0"),IPRESS!$A$3:$B$212,2,0),"")</f>
        <v/>
      </c>
      <c r="J286" s="280" t="n"/>
      <c r="K286" s="332">
        <f>IFERROR(VLOOKUP(TEXT(O286,"0"),CONDUCTORES!$A$3:$G$54,7,0),"")</f>
        <v/>
      </c>
      <c r="L286" s="280" t="n"/>
      <c r="M286" s="280" t="n"/>
      <c r="N286" s="333">
        <f>IFERROR(IF(L286*M286=0,"",L286*M286),"")</f>
        <v/>
      </c>
      <c r="O286" s="280" t="n"/>
      <c r="P286" s="332">
        <f>IFERROR(VLOOKUP(TEXT(O286,"0"),CONDUCTORES!$A$3:$G$54,2,0),"")</f>
        <v/>
      </c>
      <c r="Q286" s="332">
        <f>IFERROR(VLOOKUP(TEXT(O286,"0"),CONDUCTORES!$A$3:$H$54,6,0),"")</f>
        <v/>
      </c>
      <c r="R286" s="280" t="n"/>
      <c r="S286" s="280" t="n"/>
      <c r="T286" s="280" t="n"/>
      <c r="U286" s="280" t="n"/>
      <c r="V286" s="280" t="n"/>
      <c r="W286" s="280" t="n"/>
      <c r="X286" s="280" t="n"/>
      <c r="Y286" s="280" t="n"/>
    </row>
    <row r="287" ht="15" customHeight="1" s="195">
      <c r="A287" s="334" t="n"/>
      <c r="B287" s="334" t="n"/>
      <c r="C287" s="334" t="n"/>
      <c r="D287" s="334" t="n"/>
      <c r="E287" s="334" t="n"/>
      <c r="F287" s="334" t="n"/>
      <c r="G287" s="334" t="n"/>
      <c r="H287" s="334" t="n"/>
      <c r="I287" s="332">
        <f>IFERROR(VLOOKUP(TEXT(H287,"0"),IPRESS!$A$3:$B$212,2,0),"")</f>
        <v/>
      </c>
      <c r="J287" s="334" t="n"/>
      <c r="K287" s="332">
        <f>IFERROR(VLOOKUP(TEXT(O287,"0"),CONDUCTORES!$A$3:$G$54,7,0),"")</f>
        <v/>
      </c>
      <c r="L287" s="334" t="n"/>
      <c r="M287" s="334" t="n"/>
      <c r="N287" s="333">
        <f>IFERROR(IF(L287*M287=0,"",L287*M287),"")</f>
        <v/>
      </c>
      <c r="O287" s="334" t="n"/>
      <c r="P287" s="332">
        <f>IFERROR(VLOOKUP(TEXT(O287,"0"),CONDUCTORES!$A$3:$G$54,2,0),"")</f>
        <v/>
      </c>
      <c r="Q287" s="332">
        <f>IFERROR(VLOOKUP(TEXT(O287,"0"),CONDUCTORES!$A$3:$H$54,6,0),"")</f>
        <v/>
      </c>
      <c r="R287" s="334" t="n"/>
      <c r="S287" s="334" t="n"/>
      <c r="T287" s="334" t="n"/>
      <c r="U287" s="334" t="n"/>
      <c r="V287" s="334" t="n"/>
      <c r="W287" s="334" t="n"/>
      <c r="X287" s="334" t="n"/>
      <c r="Y287" s="334" t="n"/>
    </row>
    <row r="288" ht="15" customHeight="1" s="195">
      <c r="A288" s="280" t="n"/>
      <c r="B288" s="280" t="n"/>
      <c r="C288" s="280" t="n"/>
      <c r="D288" s="280" t="n"/>
      <c r="E288" s="280" t="n"/>
      <c r="F288" s="280" t="n"/>
      <c r="G288" s="280" t="n"/>
      <c r="H288" s="280" t="n"/>
      <c r="I288" s="332">
        <f>IFERROR(VLOOKUP(TEXT(H288,"0"),IPRESS!$A$3:$B$212,2,0),"")</f>
        <v/>
      </c>
      <c r="J288" s="280" t="n"/>
      <c r="K288" s="332">
        <f>IFERROR(VLOOKUP(TEXT(O288,"0"),CONDUCTORES!$A$3:$G$54,7,0),"")</f>
        <v/>
      </c>
      <c r="L288" s="280" t="n"/>
      <c r="M288" s="280" t="n"/>
      <c r="N288" s="333">
        <f>IFERROR(IF(L288*M288=0,"",L288*M288),"")</f>
        <v/>
      </c>
      <c r="O288" s="280" t="n"/>
      <c r="P288" s="332">
        <f>IFERROR(VLOOKUP(TEXT(O288,"0"),CONDUCTORES!$A$3:$G$54,2,0),"")</f>
        <v/>
      </c>
      <c r="Q288" s="332">
        <f>IFERROR(VLOOKUP(TEXT(O288,"0"),CONDUCTORES!$A$3:$H$54,6,0),"")</f>
        <v/>
      </c>
      <c r="R288" s="280" t="n"/>
      <c r="S288" s="280" t="n"/>
      <c r="T288" s="280" t="n"/>
      <c r="U288" s="280" t="n"/>
      <c r="V288" s="280" t="n"/>
      <c r="W288" s="280" t="n"/>
      <c r="X288" s="280" t="n"/>
      <c r="Y288" s="280" t="n"/>
    </row>
    <row r="289" ht="15" customHeight="1" s="195">
      <c r="A289" s="334" t="n"/>
      <c r="B289" s="334" t="n"/>
      <c r="C289" s="334" t="n"/>
      <c r="D289" s="334" t="n"/>
      <c r="E289" s="334" t="n"/>
      <c r="F289" s="334" t="n"/>
      <c r="G289" s="334" t="n"/>
      <c r="H289" s="334" t="n"/>
      <c r="I289" s="332">
        <f>IFERROR(VLOOKUP(TEXT(H289,"0"),IPRESS!$A$3:$B$212,2,0),"")</f>
        <v/>
      </c>
      <c r="J289" s="334" t="n"/>
      <c r="K289" s="332">
        <f>IFERROR(VLOOKUP(TEXT(O289,"0"),CONDUCTORES!$A$3:$G$54,7,0),"")</f>
        <v/>
      </c>
      <c r="L289" s="334" t="n"/>
      <c r="M289" s="334" t="n"/>
      <c r="N289" s="333">
        <f>IFERROR(IF(L289*M289=0,"",L289*M289),"")</f>
        <v/>
      </c>
      <c r="O289" s="334" t="n"/>
      <c r="P289" s="332">
        <f>IFERROR(VLOOKUP(TEXT(O289,"0"),CONDUCTORES!$A$3:$G$54,2,0),"")</f>
        <v/>
      </c>
      <c r="Q289" s="332">
        <f>IFERROR(VLOOKUP(TEXT(O289,"0"),CONDUCTORES!$A$3:$H$54,6,0),"")</f>
        <v/>
      </c>
      <c r="R289" s="334" t="n"/>
      <c r="S289" s="334" t="n"/>
      <c r="T289" s="334" t="n"/>
      <c r="U289" s="334" t="n"/>
      <c r="V289" s="334" t="n"/>
      <c r="W289" s="334" t="n"/>
      <c r="X289" s="334" t="n"/>
      <c r="Y289" s="334" t="n"/>
    </row>
    <row r="290" ht="15" customHeight="1" s="195">
      <c r="A290" s="280" t="n"/>
      <c r="B290" s="280" t="n"/>
      <c r="C290" s="280" t="n"/>
      <c r="D290" s="280" t="n"/>
      <c r="E290" s="280" t="n"/>
      <c r="F290" s="280" t="n"/>
      <c r="G290" s="280" t="n"/>
      <c r="H290" s="280" t="n"/>
      <c r="I290" s="332">
        <f>IFERROR(VLOOKUP(TEXT(H290,"0"),IPRESS!$A$3:$B$212,2,0),"")</f>
        <v/>
      </c>
      <c r="J290" s="280" t="n"/>
      <c r="K290" s="332">
        <f>IFERROR(VLOOKUP(TEXT(O290,"0"),CONDUCTORES!$A$3:$G$54,7,0),"")</f>
        <v/>
      </c>
      <c r="L290" s="280" t="n"/>
      <c r="M290" s="280" t="n"/>
      <c r="N290" s="333">
        <f>IFERROR(IF(L290*M290=0,"",L290*M290),"")</f>
        <v/>
      </c>
      <c r="O290" s="280" t="n"/>
      <c r="P290" s="332">
        <f>IFERROR(VLOOKUP(TEXT(O290,"0"),CONDUCTORES!$A$3:$G$54,2,0),"")</f>
        <v/>
      </c>
      <c r="Q290" s="332">
        <f>IFERROR(VLOOKUP(TEXT(O290,"0"),CONDUCTORES!$A$3:$H$54,6,0),"")</f>
        <v/>
      </c>
      <c r="R290" s="280" t="n"/>
      <c r="S290" s="280" t="n"/>
      <c r="T290" s="280" t="n"/>
      <c r="U290" s="280" t="n"/>
      <c r="V290" s="280" t="n"/>
      <c r="W290" s="280" t="n"/>
      <c r="X290" s="280" t="n"/>
      <c r="Y290" s="280" t="n"/>
    </row>
    <row r="291" ht="15" customHeight="1" s="195">
      <c r="A291" s="334" t="n"/>
      <c r="B291" s="334" t="n"/>
      <c r="C291" s="334" t="n"/>
      <c r="D291" s="334" t="n"/>
      <c r="E291" s="334" t="n"/>
      <c r="F291" s="334" t="n"/>
      <c r="G291" s="334" t="n"/>
      <c r="H291" s="334" t="n"/>
      <c r="I291" s="332">
        <f>IFERROR(VLOOKUP(TEXT(H291,"0"),IPRESS!$A$3:$B$212,2,0),"")</f>
        <v/>
      </c>
      <c r="J291" s="334" t="n"/>
      <c r="K291" s="332">
        <f>IFERROR(VLOOKUP(TEXT(O291,"0"),CONDUCTORES!$A$3:$G$54,7,0),"")</f>
        <v/>
      </c>
      <c r="L291" s="334" t="n"/>
      <c r="M291" s="334" t="n"/>
      <c r="N291" s="333">
        <f>IFERROR(IF(L291*M291=0,"",L291*M291),"")</f>
        <v/>
      </c>
      <c r="O291" s="334" t="n"/>
      <c r="P291" s="332">
        <f>IFERROR(VLOOKUP(TEXT(O291,"0"),CONDUCTORES!$A$3:$G$54,2,0),"")</f>
        <v/>
      </c>
      <c r="Q291" s="332">
        <f>IFERROR(VLOOKUP(TEXT(O291,"0"),CONDUCTORES!$A$3:$H$54,6,0),"")</f>
        <v/>
      </c>
      <c r="R291" s="334" t="n"/>
      <c r="S291" s="334" t="n"/>
      <c r="T291" s="334" t="n"/>
      <c r="U291" s="334" t="n"/>
      <c r="V291" s="334" t="n"/>
      <c r="W291" s="334" t="n"/>
      <c r="X291" s="334" t="n"/>
      <c r="Y291" s="334" t="n"/>
    </row>
    <row r="292" ht="15" customHeight="1" s="195">
      <c r="A292" s="280" t="n"/>
      <c r="B292" s="280" t="n"/>
      <c r="C292" s="280" t="n"/>
      <c r="D292" s="280" t="n"/>
      <c r="E292" s="280" t="n"/>
      <c r="F292" s="280" t="n"/>
      <c r="G292" s="280" t="n"/>
      <c r="H292" s="280" t="n"/>
      <c r="I292" s="332">
        <f>IFERROR(VLOOKUP(TEXT(H292,"0"),IPRESS!$A$3:$B$212,2,0),"")</f>
        <v/>
      </c>
      <c r="J292" s="280" t="n"/>
      <c r="K292" s="332">
        <f>IFERROR(VLOOKUP(TEXT(O292,"0"),CONDUCTORES!$A$3:$G$54,7,0),"")</f>
        <v/>
      </c>
      <c r="L292" s="280" t="n"/>
      <c r="M292" s="280" t="n"/>
      <c r="N292" s="333">
        <f>IFERROR(IF(L292*M292=0,"",L292*M292),"")</f>
        <v/>
      </c>
      <c r="O292" s="280" t="n"/>
      <c r="P292" s="332">
        <f>IFERROR(VLOOKUP(TEXT(O292,"0"),CONDUCTORES!$A$3:$G$54,2,0),"")</f>
        <v/>
      </c>
      <c r="Q292" s="332">
        <f>IFERROR(VLOOKUP(TEXT(O292,"0"),CONDUCTORES!$A$3:$H$54,6,0),"")</f>
        <v/>
      </c>
      <c r="R292" s="280" t="n"/>
      <c r="S292" s="280" t="n"/>
      <c r="T292" s="280" t="n"/>
      <c r="U292" s="280" t="n"/>
      <c r="V292" s="280" t="n"/>
      <c r="W292" s="280" t="n"/>
      <c r="X292" s="280" t="n"/>
      <c r="Y292" s="280" t="n"/>
    </row>
    <row r="293" ht="15" customHeight="1" s="195">
      <c r="A293" s="334" t="n"/>
      <c r="B293" s="334" t="n"/>
      <c r="C293" s="334" t="n"/>
      <c r="D293" s="334" t="n"/>
      <c r="E293" s="334" t="n"/>
      <c r="F293" s="334" t="n"/>
      <c r="G293" s="334" t="n"/>
      <c r="H293" s="334" t="n"/>
      <c r="I293" s="332">
        <f>IFERROR(VLOOKUP(TEXT(H293,"0"),IPRESS!$A$3:$B$212,2,0),"")</f>
        <v/>
      </c>
      <c r="J293" s="334" t="n"/>
      <c r="K293" s="332">
        <f>IFERROR(VLOOKUP(TEXT(O293,"0"),CONDUCTORES!$A$3:$G$54,7,0),"")</f>
        <v/>
      </c>
      <c r="L293" s="334" t="n"/>
      <c r="M293" s="334" t="n"/>
      <c r="N293" s="333">
        <f>IFERROR(IF(L293*M293=0,"",L293*M293),"")</f>
        <v/>
      </c>
      <c r="O293" s="334" t="n"/>
      <c r="P293" s="332">
        <f>IFERROR(VLOOKUP(TEXT(O293,"0"),CONDUCTORES!$A$3:$G$54,2,0),"")</f>
        <v/>
      </c>
      <c r="Q293" s="332">
        <f>IFERROR(VLOOKUP(TEXT(O293,"0"),CONDUCTORES!$A$3:$H$54,6,0),"")</f>
        <v/>
      </c>
      <c r="R293" s="334" t="n"/>
      <c r="S293" s="334" t="n"/>
      <c r="T293" s="334" t="n"/>
      <c r="U293" s="334" t="n"/>
      <c r="V293" s="334" t="n"/>
      <c r="W293" s="334" t="n"/>
      <c r="X293" s="334" t="n"/>
      <c r="Y293" s="334" t="n"/>
    </row>
    <row r="294" ht="15" customHeight="1" s="195">
      <c r="A294" s="280" t="n"/>
      <c r="B294" s="280" t="n"/>
      <c r="C294" s="280" t="n"/>
      <c r="D294" s="280" t="n"/>
      <c r="E294" s="280" t="n"/>
      <c r="F294" s="280" t="n"/>
      <c r="G294" s="280" t="n"/>
      <c r="H294" s="280" t="n"/>
      <c r="I294" s="332">
        <f>IFERROR(VLOOKUP(TEXT(H294,"0"),IPRESS!$A$3:$B$212,2,0),"")</f>
        <v/>
      </c>
      <c r="J294" s="280" t="n"/>
      <c r="K294" s="332">
        <f>IFERROR(VLOOKUP(TEXT(O294,"0"),CONDUCTORES!$A$3:$G$54,7,0),"")</f>
        <v/>
      </c>
      <c r="L294" s="280" t="n"/>
      <c r="M294" s="280" t="n"/>
      <c r="N294" s="333">
        <f>IFERROR(IF(L294*M294=0,"",L294*M294),"")</f>
        <v/>
      </c>
      <c r="O294" s="280" t="n"/>
      <c r="P294" s="332">
        <f>IFERROR(VLOOKUP(TEXT(O294,"0"),CONDUCTORES!$A$3:$G$54,2,0),"")</f>
        <v/>
      </c>
      <c r="Q294" s="332">
        <f>IFERROR(VLOOKUP(TEXT(O294,"0"),CONDUCTORES!$A$3:$H$54,6,0),"")</f>
        <v/>
      </c>
      <c r="R294" s="280" t="n"/>
      <c r="S294" s="280" t="n"/>
      <c r="T294" s="280" t="n"/>
      <c r="U294" s="280" t="n"/>
      <c r="V294" s="280" t="n"/>
      <c r="W294" s="280" t="n"/>
      <c r="X294" s="280" t="n"/>
      <c r="Y294" s="280" t="n"/>
    </row>
    <row r="295" ht="15" customHeight="1" s="195">
      <c r="A295" s="334" t="n"/>
      <c r="B295" s="334" t="n"/>
      <c r="C295" s="334" t="n"/>
      <c r="D295" s="334" t="n"/>
      <c r="E295" s="334" t="n"/>
      <c r="F295" s="334" t="n"/>
      <c r="G295" s="334" t="n"/>
      <c r="H295" s="334" t="n"/>
      <c r="I295" s="332">
        <f>IFERROR(VLOOKUP(TEXT(H295,"0"),IPRESS!$A$3:$B$212,2,0),"")</f>
        <v/>
      </c>
      <c r="J295" s="334" t="n"/>
      <c r="K295" s="332">
        <f>IFERROR(VLOOKUP(TEXT(O295,"0"),CONDUCTORES!$A$3:$G$54,7,0),"")</f>
        <v/>
      </c>
      <c r="L295" s="334" t="n"/>
      <c r="M295" s="334" t="n"/>
      <c r="N295" s="333">
        <f>IFERROR(IF(L295*M295=0,"",L295*M295),"")</f>
        <v/>
      </c>
      <c r="O295" s="334" t="n"/>
      <c r="P295" s="332">
        <f>IFERROR(VLOOKUP(TEXT(O295,"0"),CONDUCTORES!$A$3:$G$54,2,0),"")</f>
        <v/>
      </c>
      <c r="Q295" s="332">
        <f>IFERROR(VLOOKUP(TEXT(O295,"0"),CONDUCTORES!$A$3:$H$54,6,0),"")</f>
        <v/>
      </c>
      <c r="R295" s="334" t="n"/>
      <c r="S295" s="334" t="n"/>
      <c r="T295" s="334" t="n"/>
      <c r="U295" s="334" t="n"/>
      <c r="V295" s="334" t="n"/>
      <c r="W295" s="334" t="n"/>
      <c r="X295" s="334" t="n"/>
      <c r="Y295" s="334" t="n"/>
    </row>
    <row r="296" ht="15" customHeight="1" s="195">
      <c r="A296" s="280" t="n"/>
      <c r="B296" s="280" t="n"/>
      <c r="C296" s="280" t="n"/>
      <c r="D296" s="280" t="n"/>
      <c r="E296" s="280" t="n"/>
      <c r="F296" s="280" t="n"/>
      <c r="G296" s="280" t="n"/>
      <c r="H296" s="280" t="n"/>
      <c r="I296" s="332">
        <f>IFERROR(VLOOKUP(TEXT(H296,"0"),IPRESS!$A$3:$B$212,2,0),"")</f>
        <v/>
      </c>
      <c r="J296" s="280" t="n"/>
      <c r="K296" s="332">
        <f>IFERROR(VLOOKUP(TEXT(O296,"0"),CONDUCTORES!$A$3:$G$54,7,0),"")</f>
        <v/>
      </c>
      <c r="L296" s="280" t="n"/>
      <c r="M296" s="280" t="n"/>
      <c r="N296" s="333">
        <f>IFERROR(IF(L296*M296=0,"",L296*M296),"")</f>
        <v/>
      </c>
      <c r="O296" s="280" t="n"/>
      <c r="P296" s="332">
        <f>IFERROR(VLOOKUP(TEXT(O296,"0"),CONDUCTORES!$A$3:$G$54,2,0),"")</f>
        <v/>
      </c>
      <c r="Q296" s="332">
        <f>IFERROR(VLOOKUP(TEXT(O296,"0"),CONDUCTORES!$A$3:$H$54,6,0),"")</f>
        <v/>
      </c>
      <c r="R296" s="280" t="n"/>
      <c r="S296" s="280" t="n"/>
      <c r="T296" s="280" t="n"/>
      <c r="U296" s="280" t="n"/>
      <c r="V296" s="280" t="n"/>
      <c r="W296" s="280" t="n"/>
      <c r="X296" s="280" t="n"/>
      <c r="Y296" s="280" t="n"/>
    </row>
    <row r="297" ht="15" customHeight="1" s="195">
      <c r="A297" s="334" t="n"/>
      <c r="B297" s="334" t="n"/>
      <c r="C297" s="334" t="n"/>
      <c r="D297" s="334" t="n"/>
      <c r="E297" s="334" t="n"/>
      <c r="F297" s="334" t="n"/>
      <c r="G297" s="334" t="n"/>
      <c r="H297" s="334" t="n"/>
      <c r="I297" s="332">
        <f>IFERROR(VLOOKUP(TEXT(H297,"0"),IPRESS!$A$3:$B$212,2,0),"")</f>
        <v/>
      </c>
      <c r="J297" s="334" t="n"/>
      <c r="K297" s="332">
        <f>IFERROR(VLOOKUP(TEXT(O297,"0"),CONDUCTORES!$A$3:$G$54,7,0),"")</f>
        <v/>
      </c>
      <c r="L297" s="334" t="n"/>
      <c r="M297" s="334" t="n"/>
      <c r="N297" s="333">
        <f>IFERROR(IF(L297*M297=0,"",L297*M297),"")</f>
        <v/>
      </c>
      <c r="O297" s="334" t="n"/>
      <c r="P297" s="332">
        <f>IFERROR(VLOOKUP(TEXT(O297,"0"),CONDUCTORES!$A$3:$G$54,2,0),"")</f>
        <v/>
      </c>
      <c r="Q297" s="332">
        <f>IFERROR(VLOOKUP(TEXT(O297,"0"),CONDUCTORES!$A$3:$H$54,6,0),"")</f>
        <v/>
      </c>
      <c r="R297" s="334" t="n"/>
      <c r="S297" s="334" t="n"/>
      <c r="T297" s="334" t="n"/>
      <c r="U297" s="334" t="n"/>
      <c r="V297" s="334" t="n"/>
      <c r="W297" s="334" t="n"/>
      <c r="X297" s="334" t="n"/>
      <c r="Y297" s="334" t="n"/>
    </row>
    <row r="298" ht="15" customHeight="1" s="195">
      <c r="A298" s="280" t="n"/>
      <c r="B298" s="280" t="n"/>
      <c r="C298" s="280" t="n"/>
      <c r="D298" s="280" t="n"/>
      <c r="E298" s="280" t="n"/>
      <c r="F298" s="280" t="n"/>
      <c r="G298" s="280" t="n"/>
      <c r="H298" s="280" t="n"/>
      <c r="I298" s="332">
        <f>IFERROR(VLOOKUP(TEXT(H298,"0"),IPRESS!$A$3:$B$212,2,0),"")</f>
        <v/>
      </c>
      <c r="J298" s="280" t="n"/>
      <c r="K298" s="332">
        <f>IFERROR(VLOOKUP(TEXT(O298,"0"),CONDUCTORES!$A$3:$G$54,7,0),"")</f>
        <v/>
      </c>
      <c r="L298" s="280" t="n"/>
      <c r="M298" s="280" t="n"/>
      <c r="N298" s="333">
        <f>IFERROR(IF(L298*M298=0,"",L298*M298),"")</f>
        <v/>
      </c>
      <c r="O298" s="280" t="n"/>
      <c r="P298" s="332">
        <f>IFERROR(VLOOKUP(TEXT(O298,"0"),CONDUCTORES!$A$3:$G$54,2,0),"")</f>
        <v/>
      </c>
      <c r="Q298" s="332">
        <f>IFERROR(VLOOKUP(TEXT(O298,"0"),CONDUCTORES!$A$3:$H$54,6,0),"")</f>
        <v/>
      </c>
      <c r="R298" s="280" t="n"/>
      <c r="S298" s="280" t="n"/>
      <c r="T298" s="280" t="n"/>
      <c r="U298" s="280" t="n"/>
      <c r="V298" s="280" t="n"/>
      <c r="W298" s="280" t="n"/>
      <c r="X298" s="280" t="n"/>
      <c r="Y298" s="280" t="n"/>
    </row>
    <row r="299" ht="15" customHeight="1" s="195">
      <c r="A299" s="334" t="n"/>
      <c r="B299" s="334" t="n"/>
      <c r="C299" s="334" t="n"/>
      <c r="D299" s="334" t="n"/>
      <c r="E299" s="334" t="n"/>
      <c r="F299" s="334" t="n"/>
      <c r="G299" s="334" t="n"/>
      <c r="H299" s="334" t="n"/>
      <c r="I299" s="332">
        <f>IFERROR(VLOOKUP(TEXT(H299,"0"),IPRESS!$A$3:$B$212,2,0),"")</f>
        <v/>
      </c>
      <c r="J299" s="334" t="n"/>
      <c r="K299" s="332">
        <f>IFERROR(VLOOKUP(TEXT(O299,"0"),CONDUCTORES!$A$3:$G$54,7,0),"")</f>
        <v/>
      </c>
      <c r="L299" s="334" t="n"/>
      <c r="M299" s="334" t="n"/>
      <c r="N299" s="333">
        <f>IFERROR(IF(L299*M299=0,"",L299*M299),"")</f>
        <v/>
      </c>
      <c r="O299" s="334" t="n"/>
      <c r="P299" s="332">
        <f>IFERROR(VLOOKUP(TEXT(O299,"0"),CONDUCTORES!$A$3:$G$54,2,0),"")</f>
        <v/>
      </c>
      <c r="Q299" s="332">
        <f>IFERROR(VLOOKUP(TEXT(O299,"0"),CONDUCTORES!$A$3:$H$54,6,0),"")</f>
        <v/>
      </c>
      <c r="R299" s="334" t="n"/>
      <c r="S299" s="334" t="n"/>
      <c r="T299" s="334" t="n"/>
      <c r="U299" s="334" t="n"/>
      <c r="V299" s="334" t="n"/>
      <c r="W299" s="334" t="n"/>
      <c r="X299" s="334" t="n"/>
      <c r="Y299" s="334" t="n"/>
    </row>
    <row r="300" ht="15" customHeight="1" s="195">
      <c r="A300" s="280" t="n"/>
      <c r="B300" s="280" t="n"/>
      <c r="C300" s="280" t="n"/>
      <c r="D300" s="280" t="n"/>
      <c r="E300" s="280" t="n"/>
      <c r="F300" s="280" t="n"/>
      <c r="G300" s="280" t="n"/>
      <c r="H300" s="280" t="n"/>
      <c r="I300" s="332">
        <f>IFERROR(VLOOKUP(TEXT(H300,"0"),IPRESS!$A$3:$B$212,2,0),"")</f>
        <v/>
      </c>
      <c r="J300" s="280" t="n"/>
      <c r="K300" s="332">
        <f>IFERROR(VLOOKUP(TEXT(O300,"0"),CONDUCTORES!$A$3:$G$54,7,0),"")</f>
        <v/>
      </c>
      <c r="L300" s="280" t="n"/>
      <c r="M300" s="280" t="n"/>
      <c r="N300" s="333">
        <f>IFERROR(IF(L300*M300=0,"",L300*M300),"")</f>
        <v/>
      </c>
      <c r="O300" s="280" t="n"/>
      <c r="P300" s="332">
        <f>IFERROR(VLOOKUP(TEXT(O300,"0"),CONDUCTORES!$A$3:$G$54,2,0),"")</f>
        <v/>
      </c>
      <c r="Q300" s="332">
        <f>IFERROR(VLOOKUP(TEXT(O300,"0"),CONDUCTORES!$A$3:$H$54,6,0),"")</f>
        <v/>
      </c>
      <c r="R300" s="280" t="n"/>
      <c r="S300" s="280" t="n"/>
      <c r="T300" s="280" t="n"/>
      <c r="U300" s="280" t="n"/>
      <c r="V300" s="280" t="n"/>
      <c r="W300" s="280" t="n"/>
      <c r="X300" s="280" t="n"/>
      <c r="Y300" s="280" t="n"/>
    </row>
    <row r="301" ht="15" customHeight="1" s="195">
      <c r="A301" s="334" t="n"/>
      <c r="B301" s="334" t="n"/>
      <c r="C301" s="334" t="n"/>
      <c r="D301" s="334" t="n"/>
      <c r="E301" s="334" t="n"/>
      <c r="F301" s="334" t="n"/>
      <c r="G301" s="334" t="n"/>
      <c r="H301" s="334" t="n"/>
      <c r="I301" s="332">
        <f>IFERROR(VLOOKUP(TEXT(H301,"0"),IPRESS!$A$3:$B$212,2,0),"")</f>
        <v/>
      </c>
      <c r="J301" s="334" t="n"/>
      <c r="K301" s="332">
        <f>IFERROR(VLOOKUP(TEXT(O301,"0"),CONDUCTORES!$A$3:$G$54,7,0),"")</f>
        <v/>
      </c>
      <c r="L301" s="334" t="n"/>
      <c r="M301" s="334" t="n"/>
      <c r="N301" s="333">
        <f>IFERROR(IF(L301*M301=0,"",L301*M301),"")</f>
        <v/>
      </c>
      <c r="O301" s="334" t="n"/>
      <c r="P301" s="332">
        <f>IFERROR(VLOOKUP(TEXT(O301,"0"),CONDUCTORES!$A$3:$G$54,2,0),"")</f>
        <v/>
      </c>
      <c r="Q301" s="332">
        <f>IFERROR(VLOOKUP(TEXT(O301,"0"),CONDUCTORES!$A$3:$H$54,6,0),"")</f>
        <v/>
      </c>
      <c r="R301" s="334" t="n"/>
      <c r="S301" s="334" t="n"/>
      <c r="T301" s="334" t="n"/>
      <c r="U301" s="334" t="n"/>
      <c r="V301" s="334" t="n"/>
      <c r="W301" s="334" t="n"/>
      <c r="X301" s="334" t="n"/>
      <c r="Y301" s="334" t="n"/>
    </row>
    <row r="302" ht="15" customHeight="1" s="195">
      <c r="A302" s="280" t="n"/>
      <c r="B302" s="280" t="n"/>
      <c r="C302" s="280" t="n"/>
      <c r="D302" s="280" t="n"/>
      <c r="E302" s="280" t="n"/>
      <c r="F302" s="280" t="n"/>
      <c r="G302" s="280" t="n"/>
      <c r="H302" s="280" t="n"/>
      <c r="I302" s="332">
        <f>IFERROR(VLOOKUP(TEXT(H302,"0"),IPRESS!$A$3:$B$212,2,0),"")</f>
        <v/>
      </c>
      <c r="J302" s="280" t="n"/>
      <c r="K302" s="332">
        <f>IFERROR(VLOOKUP(TEXT(O302,"0"),CONDUCTORES!$A$3:$G$54,7,0),"")</f>
        <v/>
      </c>
      <c r="L302" s="280" t="n"/>
      <c r="M302" s="280" t="n"/>
      <c r="N302" s="333">
        <f>IFERROR(IF(L302*M302=0,"",L302*M302),"")</f>
        <v/>
      </c>
      <c r="O302" s="280" t="n"/>
      <c r="P302" s="332">
        <f>IFERROR(VLOOKUP(TEXT(O302,"0"),CONDUCTORES!$A$3:$G$54,2,0),"")</f>
        <v/>
      </c>
      <c r="Q302" s="332">
        <f>IFERROR(VLOOKUP(TEXT(O302,"0"),CONDUCTORES!$A$3:$H$54,6,0),"")</f>
        <v/>
      </c>
      <c r="R302" s="280" t="n"/>
      <c r="S302" s="280" t="n"/>
      <c r="T302" s="280" t="n"/>
      <c r="U302" s="280" t="n"/>
      <c r="V302" s="280" t="n"/>
      <c r="W302" s="280" t="n"/>
      <c r="X302" s="280" t="n"/>
      <c r="Y302" s="280" t="n"/>
    </row>
    <row r="303" ht="15" customHeight="1" s="195">
      <c r="A303" s="334" t="n"/>
      <c r="B303" s="334" t="n"/>
      <c r="C303" s="334" t="n"/>
      <c r="D303" s="334" t="n"/>
      <c r="E303" s="334" t="n"/>
      <c r="F303" s="334" t="n"/>
      <c r="G303" s="334" t="n"/>
      <c r="H303" s="334" t="n"/>
      <c r="I303" s="332">
        <f>IFERROR(VLOOKUP(TEXT(H303,"0"),IPRESS!$A$3:$B$212,2,0),"")</f>
        <v/>
      </c>
      <c r="J303" s="334" t="n"/>
      <c r="K303" s="332">
        <f>IFERROR(VLOOKUP(TEXT(O303,"0"),CONDUCTORES!$A$3:$G$54,7,0),"")</f>
        <v/>
      </c>
      <c r="L303" s="334" t="n"/>
      <c r="M303" s="334" t="n"/>
      <c r="N303" s="333">
        <f>IFERROR(IF(L303*M303=0,"",L303*M303),"")</f>
        <v/>
      </c>
      <c r="O303" s="334" t="n"/>
      <c r="P303" s="332">
        <f>IFERROR(VLOOKUP(TEXT(O303,"0"),CONDUCTORES!$A$3:$G$54,2,0),"")</f>
        <v/>
      </c>
      <c r="Q303" s="332">
        <f>IFERROR(VLOOKUP(TEXT(O303,"0"),CONDUCTORES!$A$3:$H$54,6,0),"")</f>
        <v/>
      </c>
      <c r="R303" s="334" t="n"/>
      <c r="S303" s="334" t="n"/>
      <c r="T303" s="334" t="n"/>
      <c r="U303" s="334" t="n"/>
      <c r="V303" s="334" t="n"/>
      <c r="W303" s="334" t="n"/>
      <c r="X303" s="334" t="n"/>
      <c r="Y303" s="334" t="n"/>
    </row>
    <row r="304" ht="15" customHeight="1" s="195">
      <c r="A304" s="280" t="n"/>
      <c r="B304" s="280" t="n"/>
      <c r="C304" s="280" t="n"/>
      <c r="D304" s="280" t="n"/>
      <c r="E304" s="280" t="n"/>
      <c r="F304" s="280" t="n"/>
      <c r="G304" s="280" t="n"/>
      <c r="H304" s="280" t="n"/>
      <c r="I304" s="332">
        <f>IFERROR(VLOOKUP(TEXT(H304,"0"),IPRESS!$A$3:$B$212,2,0),"")</f>
        <v/>
      </c>
      <c r="J304" s="280" t="n"/>
      <c r="K304" s="332">
        <f>IFERROR(VLOOKUP(TEXT(O304,"0"),CONDUCTORES!$A$3:$G$54,7,0),"")</f>
        <v/>
      </c>
      <c r="L304" s="280" t="n"/>
      <c r="M304" s="280" t="n"/>
      <c r="N304" s="333">
        <f>IFERROR(IF(L304*M304=0,"",L304*M304),"")</f>
        <v/>
      </c>
      <c r="O304" s="280" t="n"/>
      <c r="P304" s="332">
        <f>IFERROR(VLOOKUP(TEXT(O304,"0"),CONDUCTORES!$A$3:$G$54,2,0),"")</f>
        <v/>
      </c>
      <c r="Q304" s="332">
        <f>IFERROR(VLOOKUP(TEXT(O304,"0"),CONDUCTORES!$A$3:$H$54,6,0),"")</f>
        <v/>
      </c>
      <c r="R304" s="280" t="n"/>
      <c r="S304" s="280" t="n"/>
      <c r="T304" s="280" t="n"/>
      <c r="U304" s="280" t="n"/>
      <c r="V304" s="280" t="n"/>
      <c r="W304" s="280" t="n"/>
      <c r="X304" s="280" t="n"/>
      <c r="Y304" s="280" t="n"/>
    </row>
    <row r="305" ht="15" customHeight="1" s="195">
      <c r="A305" s="334" t="n"/>
      <c r="B305" s="334" t="n"/>
      <c r="C305" s="334" t="n"/>
      <c r="D305" s="334" t="n"/>
      <c r="E305" s="334" t="n"/>
      <c r="F305" s="334" t="n"/>
      <c r="G305" s="334" t="n"/>
      <c r="H305" s="334" t="n"/>
      <c r="I305" s="332">
        <f>IFERROR(VLOOKUP(TEXT(H305,"0"),IPRESS!$A$3:$B$212,2,0),"")</f>
        <v/>
      </c>
      <c r="J305" s="334" t="n"/>
      <c r="K305" s="332">
        <f>IFERROR(VLOOKUP(TEXT(O305,"0"),CONDUCTORES!$A$3:$G$54,7,0),"")</f>
        <v/>
      </c>
      <c r="L305" s="334" t="n"/>
      <c r="M305" s="334" t="n"/>
      <c r="N305" s="333">
        <f>IFERROR(IF(L305*M305=0,"",L305*M305),"")</f>
        <v/>
      </c>
      <c r="O305" s="334" t="n"/>
      <c r="P305" s="332">
        <f>IFERROR(VLOOKUP(TEXT(O305,"0"),CONDUCTORES!$A$3:$G$54,2,0),"")</f>
        <v/>
      </c>
      <c r="Q305" s="332">
        <f>IFERROR(VLOOKUP(TEXT(O305,"0"),CONDUCTORES!$A$3:$H$54,6,0),"")</f>
        <v/>
      </c>
      <c r="R305" s="334" t="n"/>
      <c r="S305" s="334" t="n"/>
      <c r="T305" s="334" t="n"/>
      <c r="U305" s="334" t="n"/>
      <c r="V305" s="334" t="n"/>
      <c r="W305" s="334" t="n"/>
      <c r="X305" s="334" t="n"/>
      <c r="Y305" s="334" t="n"/>
    </row>
    <row r="306" ht="15" customHeight="1" s="195">
      <c r="A306" s="280" t="n"/>
      <c r="B306" s="280" t="n"/>
      <c r="C306" s="280" t="n"/>
      <c r="D306" s="280" t="n"/>
      <c r="E306" s="280" t="n"/>
      <c r="F306" s="280" t="n"/>
      <c r="G306" s="280" t="n"/>
      <c r="H306" s="280" t="n"/>
      <c r="I306" s="332">
        <f>IFERROR(VLOOKUP(TEXT(H306,"0"),IPRESS!$A$3:$B$212,2,0),"")</f>
        <v/>
      </c>
      <c r="J306" s="280" t="n"/>
      <c r="K306" s="332">
        <f>IFERROR(VLOOKUP(TEXT(O306,"0"),CONDUCTORES!$A$3:$G$54,7,0),"")</f>
        <v/>
      </c>
      <c r="L306" s="280" t="n"/>
      <c r="M306" s="280" t="n"/>
      <c r="N306" s="333">
        <f>IFERROR(IF(L306*M306=0,"",L306*M306),"")</f>
        <v/>
      </c>
      <c r="O306" s="280" t="n"/>
      <c r="P306" s="332">
        <f>IFERROR(VLOOKUP(TEXT(O306,"0"),CONDUCTORES!$A$3:$G$54,2,0),"")</f>
        <v/>
      </c>
      <c r="Q306" s="332">
        <f>IFERROR(VLOOKUP(TEXT(O306,"0"),CONDUCTORES!$A$3:$H$54,6,0),"")</f>
        <v/>
      </c>
      <c r="R306" s="280" t="n"/>
      <c r="S306" s="280" t="n"/>
      <c r="T306" s="280" t="n"/>
      <c r="U306" s="280" t="n"/>
      <c r="V306" s="280" t="n"/>
      <c r="W306" s="280" t="n"/>
      <c r="X306" s="280" t="n"/>
      <c r="Y306" s="280" t="n"/>
    </row>
    <row r="307" ht="15" customHeight="1" s="195">
      <c r="A307" s="334" t="n"/>
      <c r="B307" s="334" t="n"/>
      <c r="C307" s="334" t="n"/>
      <c r="D307" s="334" t="n"/>
      <c r="E307" s="334" t="n"/>
      <c r="F307" s="334" t="n"/>
      <c r="G307" s="334" t="n"/>
      <c r="H307" s="334" t="n"/>
      <c r="I307" s="332">
        <f>IFERROR(VLOOKUP(TEXT(H307,"0"),IPRESS!$A$3:$B$212,2,0),"")</f>
        <v/>
      </c>
      <c r="J307" s="334" t="n"/>
      <c r="K307" s="332">
        <f>IFERROR(VLOOKUP(TEXT(O307,"0"),CONDUCTORES!$A$3:$G$54,7,0),"")</f>
        <v/>
      </c>
      <c r="L307" s="334" t="n"/>
      <c r="M307" s="334" t="n"/>
      <c r="N307" s="333">
        <f>IFERROR(IF(L307*M307=0,"",L307*M307),"")</f>
        <v/>
      </c>
      <c r="O307" s="334" t="n"/>
      <c r="P307" s="332">
        <f>IFERROR(VLOOKUP(TEXT(O307,"0"),CONDUCTORES!$A$3:$G$54,2,0),"")</f>
        <v/>
      </c>
      <c r="Q307" s="332">
        <f>IFERROR(VLOOKUP(TEXT(O307,"0"),CONDUCTORES!$A$3:$H$54,6,0),"")</f>
        <v/>
      </c>
      <c r="R307" s="334" t="n"/>
      <c r="S307" s="334" t="n"/>
      <c r="T307" s="334" t="n"/>
      <c r="U307" s="334" t="n"/>
      <c r="V307" s="334" t="n"/>
      <c r="W307" s="334" t="n"/>
      <c r="X307" s="334" t="n"/>
      <c r="Y307" s="334" t="n"/>
    </row>
    <row r="308" ht="15" customHeight="1" s="195">
      <c r="A308" s="280" t="n"/>
      <c r="B308" s="280" t="n"/>
      <c r="C308" s="280" t="n"/>
      <c r="D308" s="280" t="n"/>
      <c r="E308" s="280" t="n"/>
      <c r="F308" s="280" t="n"/>
      <c r="G308" s="280" t="n"/>
      <c r="H308" s="280" t="n"/>
      <c r="I308" s="332">
        <f>IFERROR(VLOOKUP(TEXT(H308,"0"),IPRESS!$A$3:$B$212,2,0),"")</f>
        <v/>
      </c>
      <c r="J308" s="280" t="n"/>
      <c r="K308" s="332">
        <f>IFERROR(VLOOKUP(TEXT(O308,"0"),CONDUCTORES!$A$3:$G$54,7,0),"")</f>
        <v/>
      </c>
      <c r="L308" s="280" t="n"/>
      <c r="M308" s="280" t="n"/>
      <c r="N308" s="333">
        <f>IFERROR(IF(L308*M308=0,"",L308*M308),"")</f>
        <v/>
      </c>
      <c r="O308" s="280" t="n"/>
      <c r="P308" s="332">
        <f>IFERROR(VLOOKUP(TEXT(O308,"0"),CONDUCTORES!$A$3:$G$54,2,0),"")</f>
        <v/>
      </c>
      <c r="Q308" s="332">
        <f>IFERROR(VLOOKUP(TEXT(O308,"0"),CONDUCTORES!$A$3:$H$54,6,0),"")</f>
        <v/>
      </c>
      <c r="R308" s="280" t="n"/>
      <c r="S308" s="280" t="n"/>
      <c r="T308" s="280" t="n"/>
      <c r="U308" s="280" t="n"/>
      <c r="V308" s="280" t="n"/>
      <c r="W308" s="280" t="n"/>
      <c r="X308" s="280" t="n"/>
      <c r="Y308" s="280" t="n"/>
    </row>
    <row r="309" ht="15" customHeight="1" s="195">
      <c r="A309" s="334" t="n"/>
      <c r="B309" s="334" t="n"/>
      <c r="C309" s="334" t="n"/>
      <c r="D309" s="334" t="n"/>
      <c r="E309" s="334" t="n"/>
      <c r="F309" s="334" t="n"/>
      <c r="G309" s="334" t="n"/>
      <c r="H309" s="334" t="n"/>
      <c r="I309" s="332">
        <f>IFERROR(VLOOKUP(TEXT(H309,"0"),IPRESS!$A$3:$B$212,2,0),"")</f>
        <v/>
      </c>
      <c r="J309" s="334" t="n"/>
      <c r="K309" s="332">
        <f>IFERROR(VLOOKUP(TEXT(O309,"0"),CONDUCTORES!$A$3:$G$54,7,0),"")</f>
        <v/>
      </c>
      <c r="L309" s="334" t="n"/>
      <c r="M309" s="334" t="n"/>
      <c r="N309" s="333">
        <f>IFERROR(IF(L309*M309=0,"",L309*M309),"")</f>
        <v/>
      </c>
      <c r="O309" s="334" t="n"/>
      <c r="P309" s="332">
        <f>IFERROR(VLOOKUP(TEXT(O309,"0"),CONDUCTORES!$A$3:$G$54,2,0),"")</f>
        <v/>
      </c>
      <c r="Q309" s="332">
        <f>IFERROR(VLOOKUP(TEXT(O309,"0"),CONDUCTORES!$A$3:$H$54,6,0),"")</f>
        <v/>
      </c>
      <c r="R309" s="334" t="n"/>
      <c r="S309" s="334" t="n"/>
      <c r="T309" s="334" t="n"/>
      <c r="U309" s="334" t="n"/>
      <c r="V309" s="334" t="n"/>
      <c r="W309" s="334" t="n"/>
      <c r="X309" s="334" t="n"/>
      <c r="Y309" s="334" t="n"/>
    </row>
    <row r="310" ht="15" customHeight="1" s="195">
      <c r="A310" s="280" t="n"/>
      <c r="B310" s="280" t="n"/>
      <c r="C310" s="280" t="n"/>
      <c r="D310" s="280" t="n"/>
      <c r="E310" s="280" t="n"/>
      <c r="F310" s="280" t="n"/>
      <c r="G310" s="280" t="n"/>
      <c r="H310" s="280" t="n"/>
      <c r="I310" s="332">
        <f>IFERROR(VLOOKUP(TEXT(H310,"0"),IPRESS!$A$3:$B$212,2,0),"")</f>
        <v/>
      </c>
      <c r="J310" s="280" t="n"/>
      <c r="K310" s="332">
        <f>IFERROR(VLOOKUP(TEXT(O310,"0"),CONDUCTORES!$A$3:$G$54,7,0),"")</f>
        <v/>
      </c>
      <c r="L310" s="280" t="n"/>
      <c r="M310" s="280" t="n"/>
      <c r="N310" s="333">
        <f>IFERROR(IF(L310*M310=0,"",L310*M310),"")</f>
        <v/>
      </c>
      <c r="O310" s="280" t="n"/>
      <c r="P310" s="332">
        <f>IFERROR(VLOOKUP(TEXT(O310,"0"),CONDUCTORES!$A$3:$G$54,2,0),"")</f>
        <v/>
      </c>
      <c r="Q310" s="332">
        <f>IFERROR(VLOOKUP(TEXT(O310,"0"),CONDUCTORES!$A$3:$H$54,6,0),"")</f>
        <v/>
      </c>
      <c r="R310" s="280" t="n"/>
      <c r="S310" s="280" t="n"/>
      <c r="T310" s="280" t="n"/>
      <c r="U310" s="280" t="n"/>
      <c r="V310" s="280" t="n"/>
      <c r="W310" s="280" t="n"/>
      <c r="X310" s="280" t="n"/>
      <c r="Y310" s="280" t="n"/>
    </row>
    <row r="311" ht="15" customHeight="1" s="195">
      <c r="A311" s="334" t="n"/>
      <c r="B311" s="334" t="n"/>
      <c r="C311" s="334" t="n"/>
      <c r="D311" s="334" t="n"/>
      <c r="E311" s="334" t="n"/>
      <c r="F311" s="334" t="n"/>
      <c r="G311" s="334" t="n"/>
      <c r="H311" s="334" t="n"/>
      <c r="I311" s="332">
        <f>IFERROR(VLOOKUP(TEXT(H311,"0"),IPRESS!$A$3:$B$212,2,0),"")</f>
        <v/>
      </c>
      <c r="J311" s="334" t="n"/>
      <c r="K311" s="332">
        <f>IFERROR(VLOOKUP(TEXT(O311,"0"),CONDUCTORES!$A$3:$G$54,7,0),"")</f>
        <v/>
      </c>
      <c r="L311" s="334" t="n"/>
      <c r="M311" s="334" t="n"/>
      <c r="N311" s="333">
        <f>IFERROR(IF(L311*M311=0,"",L311*M311),"")</f>
        <v/>
      </c>
      <c r="O311" s="334" t="n"/>
      <c r="P311" s="332">
        <f>IFERROR(VLOOKUP(TEXT(O311,"0"),CONDUCTORES!$A$3:$G$54,2,0),"")</f>
        <v/>
      </c>
      <c r="Q311" s="332">
        <f>IFERROR(VLOOKUP(TEXT(O311,"0"),CONDUCTORES!$A$3:$H$54,6,0),"")</f>
        <v/>
      </c>
      <c r="R311" s="334" t="n"/>
      <c r="S311" s="334" t="n"/>
      <c r="T311" s="334" t="n"/>
      <c r="U311" s="334" t="n"/>
      <c r="V311" s="334" t="n"/>
      <c r="W311" s="334" t="n"/>
      <c r="X311" s="334" t="n"/>
      <c r="Y311" s="334" t="n"/>
    </row>
    <row r="312" ht="15" customHeight="1" s="195">
      <c r="A312" s="280" t="n"/>
      <c r="B312" s="280" t="n"/>
      <c r="C312" s="280" t="n"/>
      <c r="D312" s="280" t="n"/>
      <c r="E312" s="280" t="n"/>
      <c r="F312" s="280" t="n"/>
      <c r="G312" s="280" t="n"/>
      <c r="H312" s="280" t="n"/>
      <c r="I312" s="332">
        <f>IFERROR(VLOOKUP(TEXT(H312,"0"),IPRESS!$A$3:$B$212,2,0),"")</f>
        <v/>
      </c>
      <c r="J312" s="280" t="n"/>
      <c r="K312" s="332">
        <f>IFERROR(VLOOKUP(TEXT(O312,"0"),CONDUCTORES!$A$3:$G$54,7,0),"")</f>
        <v/>
      </c>
      <c r="L312" s="280" t="n"/>
      <c r="M312" s="280" t="n"/>
      <c r="N312" s="333">
        <f>IFERROR(IF(L312*M312=0,"",L312*M312),"")</f>
        <v/>
      </c>
      <c r="O312" s="280" t="n"/>
      <c r="P312" s="332">
        <f>IFERROR(VLOOKUP(TEXT(O312,"0"),CONDUCTORES!$A$3:$G$54,2,0),"")</f>
        <v/>
      </c>
      <c r="Q312" s="332">
        <f>IFERROR(VLOOKUP(TEXT(O312,"0"),CONDUCTORES!$A$3:$H$54,6,0),"")</f>
        <v/>
      </c>
      <c r="R312" s="280" t="n"/>
      <c r="S312" s="280" t="n"/>
      <c r="T312" s="280" t="n"/>
      <c r="U312" s="280" t="n"/>
      <c r="V312" s="280" t="n"/>
      <c r="W312" s="280" t="n"/>
      <c r="X312" s="280" t="n"/>
      <c r="Y312" s="280" t="n"/>
    </row>
    <row r="313" ht="15" customHeight="1" s="195">
      <c r="A313" s="334" t="n"/>
      <c r="B313" s="334" t="n"/>
      <c r="C313" s="334" t="n"/>
      <c r="D313" s="334" t="n"/>
      <c r="E313" s="334" t="n"/>
      <c r="F313" s="334" t="n"/>
      <c r="G313" s="334" t="n"/>
      <c r="H313" s="334" t="n"/>
      <c r="I313" s="332">
        <f>IFERROR(VLOOKUP(TEXT(H313,"0"),IPRESS!$A$3:$B$212,2,0),"")</f>
        <v/>
      </c>
      <c r="J313" s="334" t="n"/>
      <c r="K313" s="332">
        <f>IFERROR(VLOOKUP(TEXT(O313,"0"),CONDUCTORES!$A$3:$G$54,7,0),"")</f>
        <v/>
      </c>
      <c r="L313" s="334" t="n"/>
      <c r="M313" s="334" t="n"/>
      <c r="N313" s="333">
        <f>IFERROR(IF(L313*M313=0,"",L313*M313),"")</f>
        <v/>
      </c>
      <c r="O313" s="334" t="n"/>
      <c r="P313" s="332">
        <f>IFERROR(VLOOKUP(TEXT(O313,"0"),CONDUCTORES!$A$3:$G$54,2,0),"")</f>
        <v/>
      </c>
      <c r="Q313" s="332">
        <f>IFERROR(VLOOKUP(TEXT(O313,"0"),CONDUCTORES!$A$3:$H$54,6,0),"")</f>
        <v/>
      </c>
      <c r="R313" s="334" t="n"/>
      <c r="S313" s="334" t="n"/>
      <c r="T313" s="334" t="n"/>
      <c r="U313" s="334" t="n"/>
      <c r="V313" s="334" t="n"/>
      <c r="W313" s="334" t="n"/>
      <c r="X313" s="334" t="n"/>
      <c r="Y313" s="334" t="n"/>
    </row>
    <row r="314" ht="15" customHeight="1" s="195">
      <c r="A314" s="280" t="n"/>
      <c r="B314" s="280" t="n"/>
      <c r="C314" s="280" t="n"/>
      <c r="D314" s="280" t="n"/>
      <c r="E314" s="280" t="n"/>
      <c r="F314" s="280" t="n"/>
      <c r="G314" s="280" t="n"/>
      <c r="H314" s="280" t="n"/>
      <c r="I314" s="332">
        <f>IFERROR(VLOOKUP(TEXT(H314,"0"),IPRESS!$A$3:$B$212,2,0),"")</f>
        <v/>
      </c>
      <c r="J314" s="280" t="n"/>
      <c r="K314" s="332">
        <f>IFERROR(VLOOKUP(TEXT(O314,"0"),CONDUCTORES!$A$3:$G$54,7,0),"")</f>
        <v/>
      </c>
      <c r="L314" s="280" t="n"/>
      <c r="M314" s="280" t="n"/>
      <c r="N314" s="333">
        <f>IFERROR(IF(L314*M314=0,"",L314*M314),"")</f>
        <v/>
      </c>
      <c r="O314" s="280" t="n"/>
      <c r="P314" s="332">
        <f>IFERROR(VLOOKUP(TEXT(O314,"0"),CONDUCTORES!$A$3:$G$54,2,0),"")</f>
        <v/>
      </c>
      <c r="Q314" s="332">
        <f>IFERROR(VLOOKUP(TEXT(O314,"0"),CONDUCTORES!$A$3:$H$54,6,0),"")</f>
        <v/>
      </c>
      <c r="R314" s="280" t="n"/>
      <c r="S314" s="280" t="n"/>
      <c r="T314" s="280" t="n"/>
      <c r="U314" s="280" t="n"/>
      <c r="V314" s="280" t="n"/>
      <c r="W314" s="280" t="n"/>
      <c r="X314" s="280" t="n"/>
      <c r="Y314" s="280" t="n"/>
    </row>
    <row r="315" ht="15" customHeight="1" s="195">
      <c r="A315" s="334" t="n"/>
      <c r="B315" s="334" t="n"/>
      <c r="C315" s="334" t="n"/>
      <c r="D315" s="334" t="n"/>
      <c r="E315" s="334" t="n"/>
      <c r="F315" s="334" t="n"/>
      <c r="G315" s="334" t="n"/>
      <c r="H315" s="334" t="n"/>
      <c r="I315" s="332">
        <f>IFERROR(VLOOKUP(TEXT(H315,"0"),IPRESS!$A$3:$B$212,2,0),"")</f>
        <v/>
      </c>
      <c r="J315" s="334" t="n"/>
      <c r="K315" s="332">
        <f>IFERROR(VLOOKUP(TEXT(O315,"0"),CONDUCTORES!$A$3:$G$54,7,0),"")</f>
        <v/>
      </c>
      <c r="L315" s="334" t="n"/>
      <c r="M315" s="334" t="n"/>
      <c r="N315" s="333">
        <f>IFERROR(IF(L315*M315=0,"",L315*M315),"")</f>
        <v/>
      </c>
      <c r="O315" s="334" t="n"/>
      <c r="P315" s="332">
        <f>IFERROR(VLOOKUP(TEXT(O315,"0"),CONDUCTORES!$A$3:$G$54,2,0),"")</f>
        <v/>
      </c>
      <c r="Q315" s="332">
        <f>IFERROR(VLOOKUP(TEXT(O315,"0"),CONDUCTORES!$A$3:$H$54,6,0),"")</f>
        <v/>
      </c>
      <c r="R315" s="334" t="n"/>
      <c r="S315" s="334" t="n"/>
      <c r="T315" s="334" t="n"/>
      <c r="U315" s="334" t="n"/>
      <c r="V315" s="334" t="n"/>
      <c r="W315" s="334" t="n"/>
      <c r="X315" s="334" t="n"/>
      <c r="Y315" s="334" t="n"/>
    </row>
    <row r="316" ht="15" customHeight="1" s="195">
      <c r="A316" s="280" t="n"/>
      <c r="B316" s="280" t="n"/>
      <c r="C316" s="280" t="n"/>
      <c r="D316" s="280" t="n"/>
      <c r="E316" s="280" t="n"/>
      <c r="F316" s="280" t="n"/>
      <c r="G316" s="280" t="n"/>
      <c r="H316" s="280" t="n"/>
      <c r="I316" s="332">
        <f>IFERROR(VLOOKUP(TEXT(H316,"0"),IPRESS!$A$3:$B$212,2,0),"")</f>
        <v/>
      </c>
      <c r="J316" s="280" t="n"/>
      <c r="K316" s="332">
        <f>IFERROR(VLOOKUP(TEXT(O316,"0"),CONDUCTORES!$A$3:$G$54,7,0),"")</f>
        <v/>
      </c>
      <c r="L316" s="280" t="n"/>
      <c r="M316" s="280" t="n"/>
      <c r="N316" s="333">
        <f>IFERROR(IF(L316*M316=0,"",L316*M316),"")</f>
        <v/>
      </c>
      <c r="O316" s="280" t="n"/>
      <c r="P316" s="332">
        <f>IFERROR(VLOOKUP(TEXT(O316,"0"),CONDUCTORES!$A$3:$G$54,2,0),"")</f>
        <v/>
      </c>
      <c r="Q316" s="332">
        <f>IFERROR(VLOOKUP(TEXT(O316,"0"),CONDUCTORES!$A$3:$H$54,6,0),"")</f>
        <v/>
      </c>
      <c r="R316" s="280" t="n"/>
      <c r="S316" s="280" t="n"/>
      <c r="T316" s="280" t="n"/>
      <c r="U316" s="280" t="n"/>
      <c r="V316" s="280" t="n"/>
      <c r="W316" s="280" t="n"/>
      <c r="X316" s="280" t="n"/>
      <c r="Y316" s="280" t="n"/>
    </row>
    <row r="317" ht="15" customHeight="1" s="195">
      <c r="A317" s="334" t="n"/>
      <c r="B317" s="334" t="n"/>
      <c r="C317" s="334" t="n"/>
      <c r="D317" s="334" t="n"/>
      <c r="E317" s="334" t="n"/>
      <c r="F317" s="334" t="n"/>
      <c r="G317" s="334" t="n"/>
      <c r="H317" s="334" t="n"/>
      <c r="I317" s="332">
        <f>IFERROR(VLOOKUP(TEXT(H317,"0"),IPRESS!$A$3:$B$212,2,0),"")</f>
        <v/>
      </c>
      <c r="J317" s="334" t="n"/>
      <c r="K317" s="332">
        <f>IFERROR(VLOOKUP(TEXT(O317,"0"),CONDUCTORES!$A$3:$G$54,7,0),"")</f>
        <v/>
      </c>
      <c r="L317" s="334" t="n"/>
      <c r="M317" s="334" t="n"/>
      <c r="N317" s="333">
        <f>IFERROR(IF(L317*M317=0,"",L317*M317),"")</f>
        <v/>
      </c>
      <c r="O317" s="334" t="n"/>
      <c r="P317" s="332">
        <f>IFERROR(VLOOKUP(TEXT(O317,"0"),CONDUCTORES!$A$3:$G$54,2,0),"")</f>
        <v/>
      </c>
      <c r="Q317" s="332">
        <f>IFERROR(VLOOKUP(TEXT(O317,"0"),CONDUCTORES!$A$3:$H$54,6,0),"")</f>
        <v/>
      </c>
      <c r="R317" s="334" t="n"/>
      <c r="S317" s="334" t="n"/>
      <c r="T317" s="334" t="n"/>
      <c r="U317" s="334" t="n"/>
      <c r="V317" s="334" t="n"/>
      <c r="W317" s="334" t="n"/>
      <c r="X317" s="334" t="n"/>
      <c r="Y317" s="334" t="n"/>
    </row>
    <row r="318" ht="15" customHeight="1" s="195">
      <c r="A318" s="280" t="n"/>
      <c r="B318" s="280" t="n"/>
      <c r="C318" s="280" t="n"/>
      <c r="D318" s="280" t="n"/>
      <c r="E318" s="280" t="n"/>
      <c r="F318" s="280" t="n"/>
      <c r="G318" s="280" t="n"/>
      <c r="H318" s="280" t="n"/>
      <c r="I318" s="332">
        <f>IFERROR(VLOOKUP(TEXT(H318,"0"),IPRESS!$A$3:$B$212,2,0),"")</f>
        <v/>
      </c>
      <c r="J318" s="280" t="n"/>
      <c r="K318" s="332">
        <f>IFERROR(VLOOKUP(TEXT(O318,"0"),CONDUCTORES!$A$3:$G$54,7,0),"")</f>
        <v/>
      </c>
      <c r="L318" s="280" t="n"/>
      <c r="M318" s="280" t="n"/>
      <c r="N318" s="333">
        <f>IFERROR(IF(L318*M318=0,"",L318*M318),"")</f>
        <v/>
      </c>
      <c r="O318" s="280" t="n"/>
      <c r="P318" s="332">
        <f>IFERROR(VLOOKUP(TEXT(O318,"0"),CONDUCTORES!$A$3:$G$54,2,0),"")</f>
        <v/>
      </c>
      <c r="Q318" s="332">
        <f>IFERROR(VLOOKUP(TEXT(O318,"0"),CONDUCTORES!$A$3:$H$54,6,0),"")</f>
        <v/>
      </c>
      <c r="R318" s="280" t="n"/>
      <c r="S318" s="280" t="n"/>
      <c r="T318" s="280" t="n"/>
      <c r="U318" s="280" t="n"/>
      <c r="V318" s="280" t="n"/>
      <c r="W318" s="280" t="n"/>
      <c r="X318" s="280" t="n"/>
      <c r="Y318" s="280" t="n"/>
    </row>
    <row r="319" ht="15" customHeight="1" s="195">
      <c r="A319" s="334" t="n"/>
      <c r="B319" s="334" t="n"/>
      <c r="C319" s="334" t="n"/>
      <c r="D319" s="334" t="n"/>
      <c r="E319" s="334" t="n"/>
      <c r="F319" s="334" t="n"/>
      <c r="G319" s="334" t="n"/>
      <c r="H319" s="334" t="n"/>
      <c r="I319" s="332">
        <f>IFERROR(VLOOKUP(TEXT(H319,"0"),IPRESS!$A$3:$B$212,2,0),"")</f>
        <v/>
      </c>
      <c r="J319" s="334" t="n"/>
      <c r="K319" s="332">
        <f>IFERROR(VLOOKUP(TEXT(O319,"0"),CONDUCTORES!$A$3:$G$54,7,0),"")</f>
        <v/>
      </c>
      <c r="L319" s="334" t="n"/>
      <c r="M319" s="334" t="n"/>
      <c r="N319" s="333">
        <f>IFERROR(IF(L319*M319=0,"",L319*M319),"")</f>
        <v/>
      </c>
      <c r="O319" s="334" t="n"/>
      <c r="P319" s="332">
        <f>IFERROR(VLOOKUP(TEXT(O319,"0"),CONDUCTORES!$A$3:$G$54,2,0),"")</f>
        <v/>
      </c>
      <c r="Q319" s="332">
        <f>IFERROR(VLOOKUP(TEXT(O319,"0"),CONDUCTORES!$A$3:$H$54,6,0),"")</f>
        <v/>
      </c>
      <c r="R319" s="334" t="n"/>
      <c r="S319" s="334" t="n"/>
      <c r="T319" s="334" t="n"/>
      <c r="U319" s="334" t="n"/>
      <c r="V319" s="334" t="n"/>
      <c r="W319" s="334" t="n"/>
      <c r="X319" s="334" t="n"/>
      <c r="Y319" s="334" t="n"/>
    </row>
    <row r="320" ht="15" customHeight="1" s="195">
      <c r="A320" s="280" t="n"/>
      <c r="B320" s="280" t="n"/>
      <c r="C320" s="280" t="n"/>
      <c r="D320" s="280" t="n"/>
      <c r="E320" s="280" t="n"/>
      <c r="F320" s="280" t="n"/>
      <c r="G320" s="280" t="n"/>
      <c r="H320" s="280" t="n"/>
      <c r="I320" s="332">
        <f>IFERROR(VLOOKUP(TEXT(H320,"0"),IPRESS!$A$3:$B$212,2,0),"")</f>
        <v/>
      </c>
      <c r="J320" s="280" t="n"/>
      <c r="K320" s="332">
        <f>IFERROR(VLOOKUP(TEXT(O320,"0"),CONDUCTORES!$A$3:$G$54,7,0),"")</f>
        <v/>
      </c>
      <c r="L320" s="280" t="n"/>
      <c r="M320" s="280" t="n"/>
      <c r="N320" s="333">
        <f>IFERROR(IF(L320*M320=0,"",L320*M320),"")</f>
        <v/>
      </c>
      <c r="O320" s="280" t="n"/>
      <c r="P320" s="332">
        <f>IFERROR(VLOOKUP(TEXT(O320,"0"),CONDUCTORES!$A$3:$G$54,2,0),"")</f>
        <v/>
      </c>
      <c r="Q320" s="332">
        <f>IFERROR(VLOOKUP(TEXT(O320,"0"),CONDUCTORES!$A$3:$H$54,6,0),"")</f>
        <v/>
      </c>
      <c r="R320" s="280" t="n"/>
      <c r="S320" s="280" t="n"/>
      <c r="T320" s="280" t="n"/>
      <c r="U320" s="280" t="n"/>
      <c r="V320" s="280" t="n"/>
      <c r="W320" s="280" t="n"/>
      <c r="X320" s="280" t="n"/>
      <c r="Y320" s="280" t="n"/>
    </row>
    <row r="321" ht="15" customHeight="1" s="195">
      <c r="A321" s="334" t="n"/>
      <c r="B321" s="334" t="n"/>
      <c r="C321" s="334" t="n"/>
      <c r="D321" s="334" t="n"/>
      <c r="E321" s="334" t="n"/>
      <c r="F321" s="334" t="n"/>
      <c r="G321" s="334" t="n"/>
      <c r="H321" s="334" t="n"/>
      <c r="I321" s="332">
        <f>IFERROR(VLOOKUP(TEXT(H321,"0"),IPRESS!$A$3:$B$212,2,0),"")</f>
        <v/>
      </c>
      <c r="J321" s="334" t="n"/>
      <c r="K321" s="332">
        <f>IFERROR(VLOOKUP(TEXT(O321,"0"),CONDUCTORES!$A$3:$G$54,7,0),"")</f>
        <v/>
      </c>
      <c r="L321" s="334" t="n"/>
      <c r="M321" s="334" t="n"/>
      <c r="N321" s="333">
        <f>IFERROR(IF(L321*M321=0,"",L321*M321),"")</f>
        <v/>
      </c>
      <c r="O321" s="334" t="n"/>
      <c r="P321" s="332">
        <f>IFERROR(VLOOKUP(TEXT(O321,"0"),CONDUCTORES!$A$3:$G$54,2,0),"")</f>
        <v/>
      </c>
      <c r="Q321" s="332">
        <f>IFERROR(VLOOKUP(TEXT(O321,"0"),CONDUCTORES!$A$3:$H$54,6,0),"")</f>
        <v/>
      </c>
      <c r="R321" s="334" t="n"/>
      <c r="S321" s="334" t="n"/>
      <c r="T321" s="334" t="n"/>
      <c r="U321" s="334" t="n"/>
      <c r="V321" s="334" t="n"/>
      <c r="W321" s="334" t="n"/>
      <c r="X321" s="334" t="n"/>
      <c r="Y321" s="334" t="n"/>
    </row>
    <row r="322" ht="15" customHeight="1" s="195">
      <c r="A322" s="280" t="n"/>
      <c r="B322" s="280" t="n"/>
      <c r="C322" s="280" t="n"/>
      <c r="D322" s="280" t="n"/>
      <c r="E322" s="280" t="n"/>
      <c r="F322" s="280" t="n"/>
      <c r="G322" s="280" t="n"/>
      <c r="H322" s="280" t="n"/>
      <c r="I322" s="332">
        <f>IFERROR(VLOOKUP(TEXT(H322,"0"),IPRESS!$A$3:$B$212,2,0),"")</f>
        <v/>
      </c>
      <c r="J322" s="280" t="n"/>
      <c r="K322" s="332">
        <f>IFERROR(VLOOKUP(TEXT(O322,"0"),CONDUCTORES!$A$3:$G$54,7,0),"")</f>
        <v/>
      </c>
      <c r="L322" s="280" t="n"/>
      <c r="M322" s="280" t="n"/>
      <c r="N322" s="333">
        <f>IFERROR(IF(L322*M322=0,"",L322*M322),"")</f>
        <v/>
      </c>
      <c r="O322" s="280" t="n"/>
      <c r="P322" s="332">
        <f>IFERROR(VLOOKUP(TEXT(O322,"0"),CONDUCTORES!$A$3:$G$54,2,0),"")</f>
        <v/>
      </c>
      <c r="Q322" s="332">
        <f>IFERROR(VLOOKUP(TEXT(O322,"0"),CONDUCTORES!$A$3:$H$54,6,0),"")</f>
        <v/>
      </c>
      <c r="R322" s="280" t="n"/>
      <c r="S322" s="280" t="n"/>
      <c r="T322" s="280" t="n"/>
      <c r="U322" s="280" t="n"/>
      <c r="V322" s="280" t="n"/>
      <c r="W322" s="280" t="n"/>
      <c r="X322" s="280" t="n"/>
      <c r="Y322" s="280" t="n"/>
    </row>
    <row r="323" ht="15" customHeight="1" s="195">
      <c r="A323" s="334" t="n"/>
      <c r="B323" s="334" t="n"/>
      <c r="C323" s="334" t="n"/>
      <c r="D323" s="334" t="n"/>
      <c r="E323" s="334" t="n"/>
      <c r="F323" s="334" t="n"/>
      <c r="G323" s="334" t="n"/>
      <c r="H323" s="334" t="n"/>
      <c r="I323" s="332">
        <f>IFERROR(VLOOKUP(TEXT(H323,"0"),IPRESS!$A$3:$B$212,2,0),"")</f>
        <v/>
      </c>
      <c r="J323" s="334" t="n"/>
      <c r="K323" s="332">
        <f>IFERROR(VLOOKUP(TEXT(O323,"0"),CONDUCTORES!$A$3:$G$54,7,0),"")</f>
        <v/>
      </c>
      <c r="L323" s="334" t="n"/>
      <c r="M323" s="334" t="n"/>
      <c r="N323" s="333">
        <f>IFERROR(IF(L323*M323=0,"",L323*M323),"")</f>
        <v/>
      </c>
      <c r="O323" s="334" t="n"/>
      <c r="P323" s="332">
        <f>IFERROR(VLOOKUP(TEXT(O323,"0"),CONDUCTORES!$A$3:$G$54,2,0),"")</f>
        <v/>
      </c>
      <c r="Q323" s="332">
        <f>IFERROR(VLOOKUP(TEXT(O323,"0"),CONDUCTORES!$A$3:$H$54,6,0),"")</f>
        <v/>
      </c>
      <c r="R323" s="334" t="n"/>
      <c r="S323" s="334" t="n"/>
      <c r="T323" s="334" t="n"/>
      <c r="U323" s="334" t="n"/>
      <c r="V323" s="334" t="n"/>
      <c r="W323" s="334" t="n"/>
      <c r="X323" s="334" t="n"/>
      <c r="Y323" s="334" t="n"/>
    </row>
    <row r="324" ht="15" customHeight="1" s="195">
      <c r="A324" s="280" t="n"/>
      <c r="B324" s="280" t="n"/>
      <c r="C324" s="280" t="n"/>
      <c r="D324" s="280" t="n"/>
      <c r="E324" s="280" t="n"/>
      <c r="F324" s="280" t="n"/>
      <c r="G324" s="280" t="n"/>
      <c r="H324" s="280" t="n"/>
      <c r="I324" s="332">
        <f>IFERROR(VLOOKUP(TEXT(H324,"0"),IPRESS!$A$3:$B$212,2,0),"")</f>
        <v/>
      </c>
      <c r="J324" s="280" t="n"/>
      <c r="K324" s="332">
        <f>IFERROR(VLOOKUP(TEXT(O324,"0"),CONDUCTORES!$A$3:$G$54,7,0),"")</f>
        <v/>
      </c>
      <c r="L324" s="280" t="n"/>
      <c r="M324" s="280" t="n"/>
      <c r="N324" s="333">
        <f>IFERROR(IF(L324*M324=0,"",L324*M324),"")</f>
        <v/>
      </c>
      <c r="O324" s="280" t="n"/>
      <c r="P324" s="332">
        <f>IFERROR(VLOOKUP(TEXT(O324,"0"),CONDUCTORES!$A$3:$G$54,2,0),"")</f>
        <v/>
      </c>
      <c r="Q324" s="332">
        <f>IFERROR(VLOOKUP(TEXT(O324,"0"),CONDUCTORES!$A$3:$H$54,6,0),"")</f>
        <v/>
      </c>
      <c r="R324" s="280" t="n"/>
      <c r="S324" s="280" t="n"/>
      <c r="T324" s="280" t="n"/>
      <c r="U324" s="280" t="n"/>
      <c r="V324" s="280" t="n"/>
      <c r="W324" s="280" t="n"/>
      <c r="X324" s="280" t="n"/>
      <c r="Y324" s="280" t="n"/>
    </row>
    <row r="325" ht="15" customHeight="1" s="195">
      <c r="A325" s="334" t="n"/>
      <c r="B325" s="334" t="n"/>
      <c r="C325" s="334" t="n"/>
      <c r="D325" s="334" t="n"/>
      <c r="E325" s="334" t="n"/>
      <c r="F325" s="334" t="n"/>
      <c r="G325" s="334" t="n"/>
      <c r="H325" s="334" t="n"/>
      <c r="I325" s="332">
        <f>IFERROR(VLOOKUP(TEXT(H325,"0"),IPRESS!$A$3:$B$212,2,0),"")</f>
        <v/>
      </c>
      <c r="J325" s="334" t="n"/>
      <c r="K325" s="332">
        <f>IFERROR(VLOOKUP(TEXT(O325,"0"),CONDUCTORES!$A$3:$G$54,7,0),"")</f>
        <v/>
      </c>
      <c r="L325" s="334" t="n"/>
      <c r="M325" s="334" t="n"/>
      <c r="N325" s="333">
        <f>IFERROR(IF(L325*M325=0,"",L325*M325),"")</f>
        <v/>
      </c>
      <c r="O325" s="334" t="n"/>
      <c r="P325" s="332">
        <f>IFERROR(VLOOKUP(TEXT(O325,"0"),CONDUCTORES!$A$3:$G$54,2,0),"")</f>
        <v/>
      </c>
      <c r="Q325" s="332">
        <f>IFERROR(VLOOKUP(TEXT(O325,"0"),CONDUCTORES!$A$3:$H$54,6,0),"")</f>
        <v/>
      </c>
      <c r="R325" s="334" t="n"/>
      <c r="S325" s="334" t="n"/>
      <c r="T325" s="334" t="n"/>
      <c r="U325" s="334" t="n"/>
      <c r="V325" s="334" t="n"/>
      <c r="W325" s="334" t="n"/>
      <c r="X325" s="334" t="n"/>
      <c r="Y325" s="334" t="n"/>
    </row>
    <row r="326" ht="15" customHeight="1" s="195">
      <c r="A326" s="280" t="n"/>
      <c r="B326" s="280" t="n"/>
      <c r="C326" s="280" t="n"/>
      <c r="D326" s="280" t="n"/>
      <c r="E326" s="280" t="n"/>
      <c r="F326" s="280" t="n"/>
      <c r="G326" s="280" t="n"/>
      <c r="H326" s="280" t="n"/>
      <c r="I326" s="332">
        <f>IFERROR(VLOOKUP(TEXT(H326,"0"),IPRESS!$A$3:$B$212,2,0),"")</f>
        <v/>
      </c>
      <c r="J326" s="280" t="n"/>
      <c r="K326" s="332">
        <f>IFERROR(VLOOKUP(TEXT(O326,"0"),CONDUCTORES!$A$3:$G$54,7,0),"")</f>
        <v/>
      </c>
      <c r="L326" s="280" t="n"/>
      <c r="M326" s="280" t="n"/>
      <c r="N326" s="333">
        <f>IFERROR(IF(L326*M326=0,"",L326*M326),"")</f>
        <v/>
      </c>
      <c r="O326" s="280" t="n"/>
      <c r="P326" s="332">
        <f>IFERROR(VLOOKUP(TEXT(O326,"0"),CONDUCTORES!$A$3:$G$54,2,0),"")</f>
        <v/>
      </c>
      <c r="Q326" s="332">
        <f>IFERROR(VLOOKUP(TEXT(O326,"0"),CONDUCTORES!$A$3:$H$54,6,0),"")</f>
        <v/>
      </c>
      <c r="R326" s="280" t="n"/>
      <c r="S326" s="280" t="n"/>
      <c r="T326" s="280" t="n"/>
      <c r="U326" s="280" t="n"/>
      <c r="V326" s="280" t="n"/>
      <c r="W326" s="280" t="n"/>
      <c r="X326" s="280" t="n"/>
      <c r="Y326" s="280" t="n"/>
    </row>
    <row r="327" ht="15" customHeight="1" s="195">
      <c r="A327" s="334" t="n"/>
      <c r="B327" s="334" t="n"/>
      <c r="C327" s="334" t="n"/>
      <c r="D327" s="334" t="n"/>
      <c r="E327" s="334" t="n"/>
      <c r="F327" s="334" t="n"/>
      <c r="G327" s="334" t="n"/>
      <c r="H327" s="334" t="n"/>
      <c r="I327" s="332">
        <f>IFERROR(VLOOKUP(TEXT(H327,"0"),IPRESS!$A$3:$B$212,2,0),"")</f>
        <v/>
      </c>
      <c r="J327" s="334" t="n"/>
      <c r="K327" s="332">
        <f>IFERROR(VLOOKUP(TEXT(O327,"0"),CONDUCTORES!$A$3:$G$54,7,0),"")</f>
        <v/>
      </c>
      <c r="L327" s="334" t="n"/>
      <c r="M327" s="334" t="n"/>
      <c r="N327" s="333">
        <f>IFERROR(IF(L327*M327=0,"",L327*M327),"")</f>
        <v/>
      </c>
      <c r="O327" s="334" t="n"/>
      <c r="P327" s="332">
        <f>IFERROR(VLOOKUP(TEXT(O327,"0"),CONDUCTORES!$A$3:$G$54,2,0),"")</f>
        <v/>
      </c>
      <c r="Q327" s="332">
        <f>IFERROR(VLOOKUP(TEXT(O327,"0"),CONDUCTORES!$A$3:$H$54,6,0),"")</f>
        <v/>
      </c>
      <c r="R327" s="334" t="n"/>
      <c r="S327" s="334" t="n"/>
      <c r="T327" s="334" t="n"/>
      <c r="U327" s="334" t="n"/>
      <c r="V327" s="334" t="n"/>
      <c r="W327" s="334" t="n"/>
      <c r="X327" s="334" t="n"/>
      <c r="Y327" s="334" t="n"/>
    </row>
    <row r="328" ht="15" customHeight="1" s="195">
      <c r="A328" s="280" t="n"/>
      <c r="B328" s="280" t="n"/>
      <c r="C328" s="280" t="n"/>
      <c r="D328" s="280" t="n"/>
      <c r="E328" s="280" t="n"/>
      <c r="F328" s="280" t="n"/>
      <c r="G328" s="280" t="n"/>
      <c r="H328" s="280" t="n"/>
      <c r="I328" s="332">
        <f>IFERROR(VLOOKUP(TEXT(H328,"0"),IPRESS!$A$3:$B$212,2,0),"")</f>
        <v/>
      </c>
      <c r="J328" s="280" t="n"/>
      <c r="K328" s="332">
        <f>IFERROR(VLOOKUP(TEXT(O328,"0"),CONDUCTORES!$A$3:$G$54,7,0),"")</f>
        <v/>
      </c>
      <c r="L328" s="280" t="n"/>
      <c r="M328" s="280" t="n"/>
      <c r="N328" s="333">
        <f>IFERROR(IF(L328*M328=0,"",L328*M328),"")</f>
        <v/>
      </c>
      <c r="O328" s="280" t="n"/>
      <c r="P328" s="332">
        <f>IFERROR(VLOOKUP(TEXT(O328,"0"),CONDUCTORES!$A$3:$G$54,2,0),"")</f>
        <v/>
      </c>
      <c r="Q328" s="332">
        <f>IFERROR(VLOOKUP(TEXT(O328,"0"),CONDUCTORES!$A$3:$H$54,6,0),"")</f>
        <v/>
      </c>
      <c r="R328" s="280" t="n"/>
      <c r="S328" s="280" t="n"/>
      <c r="T328" s="280" t="n"/>
      <c r="U328" s="280" t="n"/>
      <c r="V328" s="280" t="n"/>
      <c r="W328" s="280" t="n"/>
      <c r="X328" s="280" t="n"/>
      <c r="Y328" s="280" t="n"/>
    </row>
    <row r="329" ht="15" customHeight="1" s="195">
      <c r="A329" s="334" t="n"/>
      <c r="B329" s="334" t="n"/>
      <c r="C329" s="334" t="n"/>
      <c r="D329" s="334" t="n"/>
      <c r="E329" s="334" t="n"/>
      <c r="F329" s="334" t="n"/>
      <c r="G329" s="334" t="n"/>
      <c r="H329" s="334" t="n"/>
      <c r="I329" s="332">
        <f>IFERROR(VLOOKUP(TEXT(H329,"0"),IPRESS!$A$3:$B$212,2,0),"")</f>
        <v/>
      </c>
      <c r="J329" s="334" t="n"/>
      <c r="K329" s="332">
        <f>IFERROR(VLOOKUP(TEXT(O329,"0"),CONDUCTORES!$A$3:$G$54,7,0),"")</f>
        <v/>
      </c>
      <c r="L329" s="334" t="n"/>
      <c r="M329" s="334" t="n"/>
      <c r="N329" s="333">
        <f>IFERROR(IF(L329*M329=0,"",L329*M329),"")</f>
        <v/>
      </c>
      <c r="O329" s="334" t="n"/>
      <c r="P329" s="332">
        <f>IFERROR(VLOOKUP(TEXT(O329,"0"),CONDUCTORES!$A$3:$G$54,2,0),"")</f>
        <v/>
      </c>
      <c r="Q329" s="332">
        <f>IFERROR(VLOOKUP(TEXT(O329,"0"),CONDUCTORES!$A$3:$H$54,6,0),"")</f>
        <v/>
      </c>
      <c r="R329" s="334" t="n"/>
      <c r="S329" s="334" t="n"/>
      <c r="T329" s="334" t="n"/>
      <c r="U329" s="334" t="n"/>
      <c r="V329" s="334" t="n"/>
      <c r="W329" s="334" t="n"/>
      <c r="X329" s="334" t="n"/>
      <c r="Y329" s="334" t="n"/>
    </row>
    <row r="330" ht="15" customHeight="1" s="195">
      <c r="A330" s="280" t="n"/>
      <c r="B330" s="280" t="n"/>
      <c r="C330" s="280" t="n"/>
      <c r="D330" s="280" t="n"/>
      <c r="E330" s="280" t="n"/>
      <c r="F330" s="280" t="n"/>
      <c r="G330" s="280" t="n"/>
      <c r="H330" s="280" t="n"/>
      <c r="I330" s="332">
        <f>IFERROR(VLOOKUP(TEXT(H330,"0"),IPRESS!$A$3:$B$212,2,0),"")</f>
        <v/>
      </c>
      <c r="J330" s="280" t="n"/>
      <c r="K330" s="332">
        <f>IFERROR(VLOOKUP(TEXT(O330,"0"),CONDUCTORES!$A$3:$G$54,7,0),"")</f>
        <v/>
      </c>
      <c r="L330" s="280" t="n"/>
      <c r="M330" s="280" t="n"/>
      <c r="N330" s="333">
        <f>IFERROR(IF(L330*M330=0,"",L330*M330),"")</f>
        <v/>
      </c>
      <c r="O330" s="280" t="n"/>
      <c r="P330" s="332">
        <f>IFERROR(VLOOKUP(TEXT(O330,"0"),CONDUCTORES!$A$3:$G$54,2,0),"")</f>
        <v/>
      </c>
      <c r="Q330" s="332">
        <f>IFERROR(VLOOKUP(TEXT(O330,"0"),CONDUCTORES!$A$3:$H$54,6,0),"")</f>
        <v/>
      </c>
      <c r="R330" s="280" t="n"/>
      <c r="S330" s="280" t="n"/>
      <c r="T330" s="280" t="n"/>
      <c r="U330" s="280" t="n"/>
      <c r="V330" s="280" t="n"/>
      <c r="W330" s="280" t="n"/>
      <c r="X330" s="280" t="n"/>
      <c r="Y330" s="280" t="n"/>
    </row>
    <row r="331" ht="15" customHeight="1" s="195">
      <c r="A331" s="334" t="n"/>
      <c r="B331" s="334" t="n"/>
      <c r="C331" s="334" t="n"/>
      <c r="D331" s="334" t="n"/>
      <c r="E331" s="334" t="n"/>
      <c r="F331" s="334" t="n"/>
      <c r="G331" s="334" t="n"/>
      <c r="H331" s="334" t="n"/>
      <c r="I331" s="332">
        <f>IFERROR(VLOOKUP(TEXT(H331,"0"),IPRESS!$A$3:$B$212,2,0),"")</f>
        <v/>
      </c>
      <c r="J331" s="334" t="n"/>
      <c r="K331" s="332">
        <f>IFERROR(VLOOKUP(TEXT(O331,"0"),CONDUCTORES!$A$3:$G$54,7,0),"")</f>
        <v/>
      </c>
      <c r="L331" s="334" t="n"/>
      <c r="M331" s="334" t="n"/>
      <c r="N331" s="333">
        <f>IFERROR(IF(L331*M331=0,"",L331*M331),"")</f>
        <v/>
      </c>
      <c r="O331" s="334" t="n"/>
      <c r="P331" s="332">
        <f>IFERROR(VLOOKUP(TEXT(O331,"0"),CONDUCTORES!$A$3:$G$54,2,0),"")</f>
        <v/>
      </c>
      <c r="Q331" s="332">
        <f>IFERROR(VLOOKUP(TEXT(O331,"0"),CONDUCTORES!$A$3:$H$54,6,0),"")</f>
        <v/>
      </c>
      <c r="R331" s="334" t="n"/>
      <c r="S331" s="334" t="n"/>
      <c r="T331" s="334" t="n"/>
      <c r="U331" s="334" t="n"/>
      <c r="V331" s="334" t="n"/>
      <c r="W331" s="334" t="n"/>
      <c r="X331" s="334" t="n"/>
      <c r="Y331" s="334" t="n"/>
    </row>
    <row r="332" ht="15" customHeight="1" s="195">
      <c r="A332" s="280" t="n"/>
      <c r="B332" s="280" t="n"/>
      <c r="C332" s="280" t="n"/>
      <c r="D332" s="280" t="n"/>
      <c r="E332" s="280" t="n"/>
      <c r="F332" s="280" t="n"/>
      <c r="G332" s="280" t="n"/>
      <c r="H332" s="280" t="n"/>
      <c r="I332" s="332">
        <f>IFERROR(VLOOKUP(TEXT(H332,"0"),IPRESS!$A$3:$B$212,2,0),"")</f>
        <v/>
      </c>
      <c r="J332" s="280" t="n"/>
      <c r="K332" s="332">
        <f>IFERROR(VLOOKUP(TEXT(O332,"0"),CONDUCTORES!$A$3:$G$54,7,0),"")</f>
        <v/>
      </c>
      <c r="L332" s="280" t="n"/>
      <c r="M332" s="280" t="n"/>
      <c r="N332" s="333">
        <f>IFERROR(IF(L332*M332=0,"",L332*M332),"")</f>
        <v/>
      </c>
      <c r="O332" s="280" t="n"/>
      <c r="P332" s="332">
        <f>IFERROR(VLOOKUP(TEXT(O332,"0"),CONDUCTORES!$A$3:$G$54,2,0),"")</f>
        <v/>
      </c>
      <c r="Q332" s="332">
        <f>IFERROR(VLOOKUP(TEXT(O332,"0"),CONDUCTORES!$A$3:$H$54,6,0),"")</f>
        <v/>
      </c>
      <c r="R332" s="280" t="n"/>
      <c r="S332" s="280" t="n"/>
      <c r="T332" s="280" t="n"/>
      <c r="U332" s="280" t="n"/>
      <c r="V332" s="280" t="n"/>
      <c r="W332" s="280" t="n"/>
      <c r="X332" s="280" t="n"/>
      <c r="Y332" s="280" t="n"/>
    </row>
    <row r="333" ht="15" customHeight="1" s="195">
      <c r="A333" s="334" t="n"/>
      <c r="B333" s="334" t="n"/>
      <c r="C333" s="334" t="n"/>
      <c r="D333" s="334" t="n"/>
      <c r="E333" s="334" t="n"/>
      <c r="F333" s="334" t="n"/>
      <c r="G333" s="334" t="n"/>
      <c r="H333" s="334" t="n"/>
      <c r="I333" s="332">
        <f>IFERROR(VLOOKUP(TEXT(H333,"0"),IPRESS!$A$3:$B$212,2,0),"")</f>
        <v/>
      </c>
      <c r="J333" s="334" t="n"/>
      <c r="K333" s="332">
        <f>IFERROR(VLOOKUP(TEXT(O333,"0"),CONDUCTORES!$A$3:$G$54,7,0),"")</f>
        <v/>
      </c>
      <c r="L333" s="334" t="n"/>
      <c r="M333" s="334" t="n"/>
      <c r="N333" s="333">
        <f>IFERROR(IF(L333*M333=0,"",L333*M333),"")</f>
        <v/>
      </c>
      <c r="O333" s="334" t="n"/>
      <c r="P333" s="332">
        <f>IFERROR(VLOOKUP(TEXT(O333,"0"),CONDUCTORES!$A$3:$G$54,2,0),"")</f>
        <v/>
      </c>
      <c r="Q333" s="332">
        <f>IFERROR(VLOOKUP(TEXT(O333,"0"),CONDUCTORES!$A$3:$H$54,6,0),"")</f>
        <v/>
      </c>
      <c r="R333" s="334" t="n"/>
      <c r="S333" s="334" t="n"/>
      <c r="T333" s="334" t="n"/>
      <c r="U333" s="334" t="n"/>
      <c r="V333" s="334" t="n"/>
      <c r="W333" s="334" t="n"/>
      <c r="X333" s="334" t="n"/>
      <c r="Y333" s="334" t="n"/>
    </row>
    <row r="334" ht="15" customHeight="1" s="195">
      <c r="A334" s="280" t="n"/>
      <c r="B334" s="280" t="n"/>
      <c r="C334" s="280" t="n"/>
      <c r="D334" s="280" t="n"/>
      <c r="E334" s="280" t="n"/>
      <c r="F334" s="280" t="n"/>
      <c r="G334" s="280" t="n"/>
      <c r="H334" s="280" t="n"/>
      <c r="I334" s="332">
        <f>IFERROR(VLOOKUP(TEXT(H334,"0"),IPRESS!$A$3:$B$212,2,0),"")</f>
        <v/>
      </c>
      <c r="J334" s="280" t="n"/>
      <c r="K334" s="332">
        <f>IFERROR(VLOOKUP(TEXT(O334,"0"),CONDUCTORES!$A$3:$G$54,7,0),"")</f>
        <v/>
      </c>
      <c r="L334" s="280" t="n"/>
      <c r="M334" s="280" t="n"/>
      <c r="N334" s="333">
        <f>IFERROR(IF(L334*M334=0,"",L334*M334),"")</f>
        <v/>
      </c>
      <c r="O334" s="280" t="n"/>
      <c r="P334" s="332">
        <f>IFERROR(VLOOKUP(TEXT(O334,"0"),CONDUCTORES!$A$3:$G$54,2,0),"")</f>
        <v/>
      </c>
      <c r="Q334" s="332">
        <f>IFERROR(VLOOKUP(TEXT(O334,"0"),CONDUCTORES!$A$3:$H$54,6,0),"")</f>
        <v/>
      </c>
      <c r="R334" s="280" t="n"/>
      <c r="S334" s="280" t="n"/>
      <c r="T334" s="280" t="n"/>
      <c r="U334" s="280" t="n"/>
      <c r="V334" s="280" t="n"/>
      <c r="W334" s="280" t="n"/>
      <c r="X334" s="280" t="n"/>
      <c r="Y334" s="280" t="n"/>
    </row>
    <row r="335" ht="15" customHeight="1" s="195">
      <c r="A335" s="334" t="n"/>
      <c r="B335" s="334" t="n"/>
      <c r="C335" s="334" t="n"/>
      <c r="D335" s="334" t="n"/>
      <c r="E335" s="334" t="n"/>
      <c r="F335" s="334" t="n"/>
      <c r="G335" s="334" t="n"/>
      <c r="H335" s="334" t="n"/>
      <c r="I335" s="332">
        <f>IFERROR(VLOOKUP(TEXT(H335,"0"),IPRESS!$A$3:$B$212,2,0),"")</f>
        <v/>
      </c>
      <c r="J335" s="334" t="n"/>
      <c r="K335" s="332">
        <f>IFERROR(VLOOKUP(TEXT(O335,"0"),CONDUCTORES!$A$3:$G$54,7,0),"")</f>
        <v/>
      </c>
      <c r="L335" s="334" t="n"/>
      <c r="M335" s="334" t="n"/>
      <c r="N335" s="333">
        <f>IFERROR(IF(L335*M335=0,"",L335*M335),"")</f>
        <v/>
      </c>
      <c r="O335" s="334" t="n"/>
      <c r="P335" s="332">
        <f>IFERROR(VLOOKUP(TEXT(O335,"0"),CONDUCTORES!$A$3:$G$54,2,0),"")</f>
        <v/>
      </c>
      <c r="Q335" s="332">
        <f>IFERROR(VLOOKUP(TEXT(O335,"0"),CONDUCTORES!$A$3:$H$54,6,0),"")</f>
        <v/>
      </c>
      <c r="R335" s="334" t="n"/>
      <c r="S335" s="334" t="n"/>
      <c r="T335" s="334" t="n"/>
      <c r="U335" s="334" t="n"/>
      <c r="V335" s="334" t="n"/>
      <c r="W335" s="334" t="n"/>
      <c r="X335" s="334" t="n"/>
      <c r="Y335" s="334" t="n"/>
    </row>
    <row r="336" ht="15" customHeight="1" s="195">
      <c r="A336" s="280" t="n"/>
      <c r="B336" s="280" t="n"/>
      <c r="C336" s="280" t="n"/>
      <c r="D336" s="280" t="n"/>
      <c r="E336" s="280" t="n"/>
      <c r="F336" s="280" t="n"/>
      <c r="G336" s="280" t="n"/>
      <c r="H336" s="280" t="n"/>
      <c r="I336" s="332">
        <f>IFERROR(VLOOKUP(TEXT(H336,"0"),IPRESS!$A$3:$B$212,2,0),"")</f>
        <v/>
      </c>
      <c r="J336" s="280" t="n"/>
      <c r="K336" s="332">
        <f>IFERROR(VLOOKUP(TEXT(O336,"0"),CONDUCTORES!$A$3:$G$54,7,0),"")</f>
        <v/>
      </c>
      <c r="L336" s="280" t="n"/>
      <c r="M336" s="280" t="n"/>
      <c r="N336" s="333">
        <f>IFERROR(IF(L336*M336=0,"",L336*M336),"")</f>
        <v/>
      </c>
      <c r="O336" s="280" t="n"/>
      <c r="P336" s="332">
        <f>IFERROR(VLOOKUP(TEXT(O336,"0"),CONDUCTORES!$A$3:$G$54,2,0),"")</f>
        <v/>
      </c>
      <c r="Q336" s="332">
        <f>IFERROR(VLOOKUP(TEXT(O336,"0"),CONDUCTORES!$A$3:$H$54,6,0),"")</f>
        <v/>
      </c>
      <c r="R336" s="280" t="n"/>
      <c r="S336" s="280" t="n"/>
      <c r="T336" s="280" t="n"/>
      <c r="U336" s="280" t="n"/>
      <c r="V336" s="280" t="n"/>
      <c r="W336" s="280" t="n"/>
      <c r="X336" s="280" t="n"/>
      <c r="Y336" s="280" t="n"/>
    </row>
    <row r="337" ht="15" customHeight="1" s="195">
      <c r="A337" s="334" t="n"/>
      <c r="B337" s="334" t="n"/>
      <c r="C337" s="334" t="n"/>
      <c r="D337" s="334" t="n"/>
      <c r="E337" s="334" t="n"/>
      <c r="F337" s="334" t="n"/>
      <c r="G337" s="334" t="n"/>
      <c r="H337" s="334" t="n"/>
      <c r="I337" s="332">
        <f>IFERROR(VLOOKUP(TEXT(H337,"0"),IPRESS!$A$3:$B$212,2,0),"")</f>
        <v/>
      </c>
      <c r="J337" s="334" t="n"/>
      <c r="K337" s="332">
        <f>IFERROR(VLOOKUP(TEXT(O337,"0"),CONDUCTORES!$A$3:$G$54,7,0),"")</f>
        <v/>
      </c>
      <c r="L337" s="334" t="n"/>
      <c r="M337" s="334" t="n"/>
      <c r="N337" s="333">
        <f>IFERROR(IF(L337*M337=0,"",L337*M337),"")</f>
        <v/>
      </c>
      <c r="O337" s="334" t="n"/>
      <c r="P337" s="332">
        <f>IFERROR(VLOOKUP(TEXT(O337,"0"),CONDUCTORES!$A$3:$G$54,2,0),"")</f>
        <v/>
      </c>
      <c r="Q337" s="332">
        <f>IFERROR(VLOOKUP(TEXT(O337,"0"),CONDUCTORES!$A$3:$H$54,6,0),"")</f>
        <v/>
      </c>
      <c r="R337" s="334" t="n"/>
      <c r="S337" s="334" t="n"/>
      <c r="T337" s="334" t="n"/>
      <c r="U337" s="334" t="n"/>
      <c r="V337" s="334" t="n"/>
      <c r="W337" s="334" t="n"/>
      <c r="X337" s="334" t="n"/>
      <c r="Y337" s="334" t="n"/>
    </row>
    <row r="338" ht="15" customHeight="1" s="195">
      <c r="A338" s="280" t="n"/>
      <c r="B338" s="280" t="n"/>
      <c r="C338" s="280" t="n"/>
      <c r="D338" s="280" t="n"/>
      <c r="E338" s="280" t="n"/>
      <c r="F338" s="280" t="n"/>
      <c r="G338" s="280" t="n"/>
      <c r="H338" s="280" t="n"/>
      <c r="I338" s="332">
        <f>IFERROR(VLOOKUP(TEXT(H338,"0"),IPRESS!$A$3:$B$212,2,0),"")</f>
        <v/>
      </c>
      <c r="J338" s="280" t="n"/>
      <c r="K338" s="332">
        <f>IFERROR(VLOOKUP(TEXT(O338,"0"),CONDUCTORES!$A$3:$G$54,7,0),"")</f>
        <v/>
      </c>
      <c r="L338" s="280" t="n"/>
      <c r="M338" s="280" t="n"/>
      <c r="N338" s="333">
        <f>IFERROR(IF(L338*M338=0,"",L338*M338),"")</f>
        <v/>
      </c>
      <c r="O338" s="280" t="n"/>
      <c r="P338" s="332">
        <f>IFERROR(VLOOKUP(TEXT(O338,"0"),CONDUCTORES!$A$3:$G$54,2,0),"")</f>
        <v/>
      </c>
      <c r="Q338" s="332">
        <f>IFERROR(VLOOKUP(TEXT(O338,"0"),CONDUCTORES!$A$3:$H$54,6,0),"")</f>
        <v/>
      </c>
      <c r="R338" s="280" t="n"/>
      <c r="S338" s="280" t="n"/>
      <c r="T338" s="280" t="n"/>
      <c r="U338" s="280" t="n"/>
      <c r="V338" s="280" t="n"/>
      <c r="W338" s="280" t="n"/>
      <c r="X338" s="280" t="n"/>
      <c r="Y338" s="280" t="n"/>
    </row>
    <row r="339" ht="15" customHeight="1" s="195">
      <c r="A339" s="334" t="n"/>
      <c r="B339" s="334" t="n"/>
      <c r="C339" s="334" t="n"/>
      <c r="D339" s="334" t="n"/>
      <c r="E339" s="334" t="n"/>
      <c r="F339" s="334" t="n"/>
      <c r="G339" s="334" t="n"/>
      <c r="H339" s="334" t="n"/>
      <c r="I339" s="332">
        <f>IFERROR(VLOOKUP(TEXT(H339,"0"),IPRESS!$A$3:$B$212,2,0),"")</f>
        <v/>
      </c>
      <c r="J339" s="334" t="n"/>
      <c r="K339" s="332">
        <f>IFERROR(VLOOKUP(TEXT(O339,"0"),CONDUCTORES!$A$3:$G$54,7,0),"")</f>
        <v/>
      </c>
      <c r="L339" s="334" t="n"/>
      <c r="M339" s="334" t="n"/>
      <c r="N339" s="333">
        <f>IFERROR(IF(L339*M339=0,"",L339*M339),"")</f>
        <v/>
      </c>
      <c r="O339" s="334" t="n"/>
      <c r="P339" s="332">
        <f>IFERROR(VLOOKUP(TEXT(O339,"0"),CONDUCTORES!$A$3:$G$54,2,0),"")</f>
        <v/>
      </c>
      <c r="Q339" s="332">
        <f>IFERROR(VLOOKUP(TEXT(O339,"0"),CONDUCTORES!$A$3:$H$54,6,0),"")</f>
        <v/>
      </c>
      <c r="R339" s="334" t="n"/>
      <c r="S339" s="334" t="n"/>
      <c r="T339" s="334" t="n"/>
      <c r="U339" s="334" t="n"/>
      <c r="V339" s="334" t="n"/>
      <c r="W339" s="334" t="n"/>
      <c r="X339" s="334" t="n"/>
      <c r="Y339" s="334" t="n"/>
    </row>
    <row r="340" ht="15" customHeight="1" s="195">
      <c r="A340" s="280" t="n"/>
      <c r="B340" s="280" t="n"/>
      <c r="C340" s="280" t="n"/>
      <c r="D340" s="280" t="n"/>
      <c r="E340" s="280" t="n"/>
      <c r="F340" s="280" t="n"/>
      <c r="G340" s="280" t="n"/>
      <c r="H340" s="280" t="n"/>
      <c r="I340" s="332">
        <f>IFERROR(VLOOKUP(TEXT(H340,"0"),IPRESS!$A$3:$B$212,2,0),"")</f>
        <v/>
      </c>
      <c r="J340" s="280" t="n"/>
      <c r="K340" s="332">
        <f>IFERROR(VLOOKUP(TEXT(O340,"0"),CONDUCTORES!$A$3:$G$54,7,0),"")</f>
        <v/>
      </c>
      <c r="L340" s="280" t="n"/>
      <c r="M340" s="280" t="n"/>
      <c r="N340" s="333">
        <f>IFERROR(IF(L340*M340=0,"",L340*M340),"")</f>
        <v/>
      </c>
      <c r="O340" s="280" t="n"/>
      <c r="P340" s="332">
        <f>IFERROR(VLOOKUP(TEXT(O340,"0"),CONDUCTORES!$A$3:$G$54,2,0),"")</f>
        <v/>
      </c>
      <c r="Q340" s="332">
        <f>IFERROR(VLOOKUP(TEXT(O340,"0"),CONDUCTORES!$A$3:$H$54,6,0),"")</f>
        <v/>
      </c>
      <c r="R340" s="280" t="n"/>
      <c r="S340" s="280" t="n"/>
      <c r="T340" s="280" t="n"/>
      <c r="U340" s="280" t="n"/>
      <c r="V340" s="280" t="n"/>
      <c r="W340" s="280" t="n"/>
      <c r="X340" s="280" t="n"/>
      <c r="Y340" s="280" t="n"/>
    </row>
    <row r="341" ht="15" customHeight="1" s="195">
      <c r="A341" s="334" t="n"/>
      <c r="B341" s="334" t="n"/>
      <c r="C341" s="334" t="n"/>
      <c r="D341" s="334" t="n"/>
      <c r="E341" s="334" t="n"/>
      <c r="F341" s="334" t="n"/>
      <c r="G341" s="334" t="n"/>
      <c r="H341" s="334" t="n"/>
      <c r="I341" s="332">
        <f>IFERROR(VLOOKUP(TEXT(H341,"0"),IPRESS!$A$3:$B$212,2,0),"")</f>
        <v/>
      </c>
      <c r="J341" s="334" t="n"/>
      <c r="K341" s="332">
        <f>IFERROR(VLOOKUP(TEXT(O341,"0"),CONDUCTORES!$A$3:$G$54,7,0),"")</f>
        <v/>
      </c>
      <c r="L341" s="334" t="n"/>
      <c r="M341" s="334" t="n"/>
      <c r="N341" s="333">
        <f>IFERROR(IF(L341*M341=0,"",L341*M341),"")</f>
        <v/>
      </c>
      <c r="O341" s="334" t="n"/>
      <c r="P341" s="332">
        <f>IFERROR(VLOOKUP(TEXT(O341,"0"),CONDUCTORES!$A$3:$G$54,2,0),"")</f>
        <v/>
      </c>
      <c r="Q341" s="332">
        <f>IFERROR(VLOOKUP(TEXT(O341,"0"),CONDUCTORES!$A$3:$H$54,6,0),"")</f>
        <v/>
      </c>
      <c r="R341" s="334" t="n"/>
      <c r="S341" s="334" t="n"/>
      <c r="T341" s="334" t="n"/>
      <c r="U341" s="334" t="n"/>
      <c r="V341" s="334" t="n"/>
      <c r="W341" s="334" t="n"/>
      <c r="X341" s="334" t="n"/>
      <c r="Y341" s="334" t="n"/>
    </row>
    <row r="342" ht="15" customHeight="1" s="195">
      <c r="A342" s="280" t="n"/>
      <c r="B342" s="280" t="n"/>
      <c r="C342" s="280" t="n"/>
      <c r="D342" s="280" t="n"/>
      <c r="E342" s="280" t="n"/>
      <c r="F342" s="280" t="n"/>
      <c r="G342" s="280" t="n"/>
      <c r="H342" s="280" t="n"/>
      <c r="I342" s="332">
        <f>IFERROR(VLOOKUP(TEXT(H342,"0"),IPRESS!$A$3:$B$212,2,0),"")</f>
        <v/>
      </c>
      <c r="J342" s="280" t="n"/>
      <c r="K342" s="332">
        <f>IFERROR(VLOOKUP(TEXT(O342,"0"),CONDUCTORES!$A$3:$G$54,7,0),"")</f>
        <v/>
      </c>
      <c r="L342" s="280" t="n"/>
      <c r="M342" s="280" t="n"/>
      <c r="N342" s="333">
        <f>IFERROR(IF(L342*M342=0,"",L342*M342),"")</f>
        <v/>
      </c>
      <c r="O342" s="280" t="n"/>
      <c r="P342" s="332">
        <f>IFERROR(VLOOKUP(TEXT(O342,"0"),CONDUCTORES!$A$3:$G$54,2,0),"")</f>
        <v/>
      </c>
      <c r="Q342" s="332">
        <f>IFERROR(VLOOKUP(TEXT(O342,"0"),CONDUCTORES!$A$3:$H$54,6,0),"")</f>
        <v/>
      </c>
      <c r="R342" s="280" t="n"/>
      <c r="S342" s="280" t="n"/>
      <c r="T342" s="280" t="n"/>
      <c r="U342" s="280" t="n"/>
      <c r="V342" s="280" t="n"/>
      <c r="W342" s="280" t="n"/>
      <c r="X342" s="280" t="n"/>
      <c r="Y342" s="280" t="n"/>
    </row>
    <row r="343" ht="15" customHeight="1" s="195">
      <c r="A343" s="334" t="n"/>
      <c r="B343" s="334" t="n"/>
      <c r="C343" s="334" t="n"/>
      <c r="D343" s="334" t="n"/>
      <c r="E343" s="334" t="n"/>
      <c r="F343" s="334" t="n"/>
      <c r="G343" s="334" t="n"/>
      <c r="H343" s="334" t="n"/>
      <c r="I343" s="332">
        <f>IFERROR(VLOOKUP(TEXT(H343,"0"),IPRESS!$A$3:$B$212,2,0),"")</f>
        <v/>
      </c>
      <c r="J343" s="334" t="n"/>
      <c r="K343" s="332">
        <f>IFERROR(VLOOKUP(TEXT(O343,"0"),CONDUCTORES!$A$3:$G$54,7,0),"")</f>
        <v/>
      </c>
      <c r="L343" s="334" t="n"/>
      <c r="M343" s="334" t="n"/>
      <c r="N343" s="333">
        <f>IFERROR(IF(L343*M343=0,"",L343*M343),"")</f>
        <v/>
      </c>
      <c r="O343" s="334" t="n"/>
      <c r="P343" s="332">
        <f>IFERROR(VLOOKUP(TEXT(O343,"0"),CONDUCTORES!$A$3:$G$54,2,0),"")</f>
        <v/>
      </c>
      <c r="Q343" s="332">
        <f>IFERROR(VLOOKUP(TEXT(O343,"0"),CONDUCTORES!$A$3:$H$54,6,0),"")</f>
        <v/>
      </c>
      <c r="R343" s="334" t="n"/>
      <c r="S343" s="334" t="n"/>
      <c r="T343" s="334" t="n"/>
      <c r="U343" s="334" t="n"/>
      <c r="V343" s="334" t="n"/>
      <c r="W343" s="334" t="n"/>
      <c r="X343" s="334" t="n"/>
      <c r="Y343" s="334" t="n"/>
    </row>
    <row r="344" ht="15" customHeight="1" s="195">
      <c r="A344" s="280" t="n"/>
      <c r="B344" s="280" t="n"/>
      <c r="C344" s="280" t="n"/>
      <c r="D344" s="280" t="n"/>
      <c r="E344" s="280" t="n"/>
      <c r="F344" s="280" t="n"/>
      <c r="G344" s="280" t="n"/>
      <c r="H344" s="280" t="n"/>
      <c r="I344" s="332">
        <f>IFERROR(VLOOKUP(TEXT(H344,"0"),IPRESS!$A$3:$B$212,2,0),"")</f>
        <v/>
      </c>
      <c r="J344" s="280" t="n"/>
      <c r="K344" s="332">
        <f>IFERROR(VLOOKUP(TEXT(O344,"0"),CONDUCTORES!$A$3:$G$54,7,0),"")</f>
        <v/>
      </c>
      <c r="L344" s="280" t="n"/>
      <c r="M344" s="280" t="n"/>
      <c r="N344" s="333">
        <f>IFERROR(IF(L344*M344=0,"",L344*M344),"")</f>
        <v/>
      </c>
      <c r="O344" s="280" t="n"/>
      <c r="P344" s="332">
        <f>IFERROR(VLOOKUP(TEXT(O344,"0"),CONDUCTORES!$A$3:$G$54,2,0),"")</f>
        <v/>
      </c>
      <c r="Q344" s="332">
        <f>IFERROR(VLOOKUP(TEXT(O344,"0"),CONDUCTORES!$A$3:$H$54,6,0),"")</f>
        <v/>
      </c>
      <c r="R344" s="280" t="n"/>
      <c r="S344" s="280" t="n"/>
      <c r="T344" s="280" t="n"/>
      <c r="U344" s="280" t="n"/>
      <c r="V344" s="280" t="n"/>
      <c r="W344" s="280" t="n"/>
      <c r="X344" s="280" t="n"/>
      <c r="Y344" s="280" t="n"/>
    </row>
    <row r="345" ht="15" customHeight="1" s="195">
      <c r="A345" s="334" t="n"/>
      <c r="B345" s="334" t="n"/>
      <c r="C345" s="334" t="n"/>
      <c r="D345" s="334" t="n"/>
      <c r="E345" s="334" t="n"/>
      <c r="F345" s="334" t="n"/>
      <c r="G345" s="334" t="n"/>
      <c r="H345" s="334" t="n"/>
      <c r="I345" s="332">
        <f>IFERROR(VLOOKUP(TEXT(H345,"0"),IPRESS!$A$3:$B$212,2,0),"")</f>
        <v/>
      </c>
      <c r="J345" s="334" t="n"/>
      <c r="K345" s="332">
        <f>IFERROR(VLOOKUP(TEXT(O345,"0"),CONDUCTORES!$A$3:$G$54,7,0),"")</f>
        <v/>
      </c>
      <c r="L345" s="334" t="n"/>
      <c r="M345" s="334" t="n"/>
      <c r="N345" s="333">
        <f>IFERROR(IF(L345*M345=0,"",L345*M345),"")</f>
        <v/>
      </c>
      <c r="O345" s="334" t="n"/>
      <c r="P345" s="332">
        <f>IFERROR(VLOOKUP(TEXT(O345,"0"),CONDUCTORES!$A$3:$G$54,2,0),"")</f>
        <v/>
      </c>
      <c r="Q345" s="332">
        <f>IFERROR(VLOOKUP(TEXT(O345,"0"),CONDUCTORES!$A$3:$H$54,6,0),"")</f>
        <v/>
      </c>
      <c r="R345" s="334" t="n"/>
      <c r="S345" s="334" t="n"/>
      <c r="T345" s="334" t="n"/>
      <c r="U345" s="334" t="n"/>
      <c r="V345" s="334" t="n"/>
      <c r="W345" s="334" t="n"/>
      <c r="X345" s="334" t="n"/>
      <c r="Y345" s="334" t="n"/>
    </row>
    <row r="346" ht="15" customHeight="1" s="195">
      <c r="A346" s="280" t="n"/>
      <c r="B346" s="280" t="n"/>
      <c r="C346" s="280" t="n"/>
      <c r="D346" s="280" t="n"/>
      <c r="E346" s="280" t="n"/>
      <c r="F346" s="280" t="n"/>
      <c r="G346" s="280" t="n"/>
      <c r="H346" s="280" t="n"/>
      <c r="I346" s="332">
        <f>IFERROR(VLOOKUP(TEXT(H346,"0"),IPRESS!$A$3:$B$212,2,0),"")</f>
        <v/>
      </c>
      <c r="J346" s="280" t="n"/>
      <c r="K346" s="332">
        <f>IFERROR(VLOOKUP(TEXT(O346,"0"),CONDUCTORES!$A$3:$G$54,7,0),"")</f>
        <v/>
      </c>
      <c r="L346" s="280" t="n"/>
      <c r="M346" s="280" t="n"/>
      <c r="N346" s="333">
        <f>IFERROR(IF(L346*M346=0,"",L346*M346),"")</f>
        <v/>
      </c>
      <c r="O346" s="280" t="n"/>
      <c r="P346" s="332">
        <f>IFERROR(VLOOKUP(TEXT(O346,"0"),CONDUCTORES!$A$3:$G$54,2,0),"")</f>
        <v/>
      </c>
      <c r="Q346" s="332">
        <f>IFERROR(VLOOKUP(TEXT(O346,"0"),CONDUCTORES!$A$3:$H$54,6,0),"")</f>
        <v/>
      </c>
      <c r="R346" s="280" t="n"/>
      <c r="S346" s="280" t="n"/>
      <c r="T346" s="280" t="n"/>
      <c r="U346" s="280" t="n"/>
      <c r="V346" s="280" t="n"/>
      <c r="W346" s="280" t="n"/>
      <c r="X346" s="280" t="n"/>
      <c r="Y346" s="280" t="n"/>
    </row>
    <row r="347" ht="15" customHeight="1" s="195">
      <c r="A347" s="334" t="n"/>
      <c r="B347" s="334" t="n"/>
      <c r="C347" s="334" t="n"/>
      <c r="D347" s="334" t="n"/>
      <c r="E347" s="334" t="n"/>
      <c r="F347" s="334" t="n"/>
      <c r="G347" s="334" t="n"/>
      <c r="H347" s="334" t="n"/>
      <c r="I347" s="332">
        <f>IFERROR(VLOOKUP(TEXT(H347,"0"),IPRESS!$A$3:$B$212,2,0),"")</f>
        <v/>
      </c>
      <c r="J347" s="334" t="n"/>
      <c r="K347" s="332">
        <f>IFERROR(VLOOKUP(TEXT(O347,"0"),CONDUCTORES!$A$3:$G$54,7,0),"")</f>
        <v/>
      </c>
      <c r="L347" s="334" t="n"/>
      <c r="M347" s="334" t="n"/>
      <c r="N347" s="333">
        <f>IFERROR(IF(L347*M347=0,"",L347*M347),"")</f>
        <v/>
      </c>
      <c r="O347" s="334" t="n"/>
      <c r="P347" s="332">
        <f>IFERROR(VLOOKUP(TEXT(O347,"0"),CONDUCTORES!$A$3:$G$54,2,0),"")</f>
        <v/>
      </c>
      <c r="Q347" s="332">
        <f>IFERROR(VLOOKUP(TEXT(O347,"0"),CONDUCTORES!$A$3:$H$54,6,0),"")</f>
        <v/>
      </c>
      <c r="R347" s="334" t="n"/>
      <c r="S347" s="334" t="n"/>
      <c r="T347" s="334" t="n"/>
      <c r="U347" s="334" t="n"/>
      <c r="V347" s="334" t="n"/>
      <c r="W347" s="334" t="n"/>
      <c r="X347" s="334" t="n"/>
      <c r="Y347" s="334" t="n"/>
    </row>
    <row r="348" ht="15" customHeight="1" s="195">
      <c r="A348" s="280" t="n"/>
      <c r="B348" s="280" t="n"/>
      <c r="C348" s="280" t="n"/>
      <c r="D348" s="280" t="n"/>
      <c r="E348" s="280" t="n"/>
      <c r="F348" s="280" t="n"/>
      <c r="G348" s="280" t="n"/>
      <c r="H348" s="280" t="n"/>
      <c r="I348" s="332">
        <f>IFERROR(VLOOKUP(TEXT(H348,"0"),IPRESS!$A$3:$B$212,2,0),"")</f>
        <v/>
      </c>
      <c r="J348" s="280" t="n"/>
      <c r="K348" s="332">
        <f>IFERROR(VLOOKUP(TEXT(O348,"0"),CONDUCTORES!$A$3:$G$54,7,0),"")</f>
        <v/>
      </c>
      <c r="L348" s="280" t="n"/>
      <c r="M348" s="280" t="n"/>
      <c r="N348" s="333">
        <f>IFERROR(IF(L348*M348=0,"",L348*M348),"")</f>
        <v/>
      </c>
      <c r="O348" s="280" t="n"/>
      <c r="P348" s="332">
        <f>IFERROR(VLOOKUP(TEXT(O348,"0"),CONDUCTORES!$A$3:$G$54,2,0),"")</f>
        <v/>
      </c>
      <c r="Q348" s="332">
        <f>IFERROR(VLOOKUP(TEXT(O348,"0"),CONDUCTORES!$A$3:$H$54,6,0),"")</f>
        <v/>
      </c>
      <c r="R348" s="280" t="n"/>
      <c r="S348" s="280" t="n"/>
      <c r="T348" s="280" t="n"/>
      <c r="U348" s="280" t="n"/>
      <c r="V348" s="280" t="n"/>
      <c r="W348" s="280" t="n"/>
      <c r="X348" s="280" t="n"/>
      <c r="Y348" s="280" t="n"/>
    </row>
    <row r="349" ht="15" customHeight="1" s="195">
      <c r="A349" s="334" t="n"/>
      <c r="B349" s="334" t="n"/>
      <c r="C349" s="334" t="n"/>
      <c r="D349" s="334" t="n"/>
      <c r="E349" s="334" t="n"/>
      <c r="F349" s="334" t="n"/>
      <c r="G349" s="334" t="n"/>
      <c r="H349" s="334" t="n"/>
      <c r="I349" s="332">
        <f>IFERROR(VLOOKUP(TEXT(H349,"0"),IPRESS!$A$3:$B$212,2,0),"")</f>
        <v/>
      </c>
      <c r="J349" s="334" t="n"/>
      <c r="K349" s="332">
        <f>IFERROR(VLOOKUP(TEXT(O349,"0"),CONDUCTORES!$A$3:$G$54,7,0),"")</f>
        <v/>
      </c>
      <c r="L349" s="334" t="n"/>
      <c r="M349" s="334" t="n"/>
      <c r="N349" s="333">
        <f>IFERROR(IF(L349*M349=0,"",L349*M349),"")</f>
        <v/>
      </c>
      <c r="O349" s="334" t="n"/>
      <c r="P349" s="332">
        <f>IFERROR(VLOOKUP(TEXT(O349,"0"),CONDUCTORES!$A$3:$G$54,2,0),"")</f>
        <v/>
      </c>
      <c r="Q349" s="332">
        <f>IFERROR(VLOOKUP(TEXT(O349,"0"),CONDUCTORES!$A$3:$H$54,6,0),"")</f>
        <v/>
      </c>
      <c r="R349" s="334" t="n"/>
      <c r="S349" s="334" t="n"/>
      <c r="T349" s="334" t="n"/>
      <c r="U349" s="334" t="n"/>
      <c r="V349" s="334" t="n"/>
      <c r="W349" s="334" t="n"/>
      <c r="X349" s="334" t="n"/>
      <c r="Y349" s="334" t="n"/>
    </row>
    <row r="350" ht="15" customHeight="1" s="195">
      <c r="A350" s="280" t="n"/>
      <c r="B350" s="280" t="n"/>
      <c r="C350" s="280" t="n"/>
      <c r="D350" s="280" t="n"/>
      <c r="E350" s="280" t="n"/>
      <c r="F350" s="280" t="n"/>
      <c r="G350" s="280" t="n"/>
      <c r="H350" s="280" t="n"/>
      <c r="I350" s="332">
        <f>IFERROR(VLOOKUP(TEXT(H350,"0"),IPRESS!$A$3:$B$212,2,0),"")</f>
        <v/>
      </c>
      <c r="J350" s="280" t="n"/>
      <c r="K350" s="332">
        <f>IFERROR(VLOOKUP(TEXT(O350,"0"),CONDUCTORES!$A$3:$G$54,7,0),"")</f>
        <v/>
      </c>
      <c r="L350" s="280" t="n"/>
      <c r="M350" s="280" t="n"/>
      <c r="N350" s="333">
        <f>IFERROR(IF(L350*M350=0,"",L350*M350),"")</f>
        <v/>
      </c>
      <c r="O350" s="280" t="n"/>
      <c r="P350" s="332">
        <f>IFERROR(VLOOKUP(TEXT(O350,"0"),CONDUCTORES!$A$3:$G$54,2,0),"")</f>
        <v/>
      </c>
      <c r="Q350" s="332">
        <f>IFERROR(VLOOKUP(TEXT(O350,"0"),CONDUCTORES!$A$3:$H$54,6,0),"")</f>
        <v/>
      </c>
      <c r="R350" s="280" t="n"/>
      <c r="S350" s="280" t="n"/>
      <c r="T350" s="280" t="n"/>
      <c r="U350" s="280" t="n"/>
      <c r="V350" s="280" t="n"/>
      <c r="W350" s="280" t="n"/>
      <c r="X350" s="280" t="n"/>
      <c r="Y350" s="280" t="n"/>
    </row>
    <row r="351" ht="15" customHeight="1" s="195">
      <c r="A351" s="334" t="n"/>
      <c r="B351" s="334" t="n"/>
      <c r="C351" s="334" t="n"/>
      <c r="D351" s="334" t="n"/>
      <c r="E351" s="334" t="n"/>
      <c r="F351" s="334" t="n"/>
      <c r="G351" s="334" t="n"/>
      <c r="H351" s="334" t="n"/>
      <c r="I351" s="332">
        <f>IFERROR(VLOOKUP(TEXT(H351,"0"),IPRESS!$A$3:$B$212,2,0),"")</f>
        <v/>
      </c>
      <c r="J351" s="334" t="n"/>
      <c r="K351" s="332">
        <f>IFERROR(VLOOKUP(TEXT(O351,"0"),CONDUCTORES!$A$3:$G$54,7,0),"")</f>
        <v/>
      </c>
      <c r="L351" s="334" t="n"/>
      <c r="M351" s="334" t="n"/>
      <c r="N351" s="333">
        <f>IFERROR(IF(L351*M351=0,"",L351*M351),"")</f>
        <v/>
      </c>
      <c r="O351" s="334" t="n"/>
      <c r="P351" s="332">
        <f>IFERROR(VLOOKUP(TEXT(O351,"0"),CONDUCTORES!$A$3:$G$54,2,0),"")</f>
        <v/>
      </c>
      <c r="Q351" s="332">
        <f>IFERROR(VLOOKUP(TEXT(O351,"0"),CONDUCTORES!$A$3:$H$54,6,0),"")</f>
        <v/>
      </c>
      <c r="R351" s="334" t="n"/>
      <c r="S351" s="334" t="n"/>
      <c r="T351" s="334" t="n"/>
      <c r="U351" s="334" t="n"/>
      <c r="V351" s="334" t="n"/>
      <c r="W351" s="334" t="n"/>
      <c r="X351" s="334" t="n"/>
      <c r="Y351" s="334" t="n"/>
    </row>
    <row r="352" ht="15" customHeight="1" s="195">
      <c r="A352" s="280" t="n"/>
      <c r="B352" s="280" t="n"/>
      <c r="C352" s="280" t="n"/>
      <c r="D352" s="280" t="n"/>
      <c r="E352" s="280" t="n"/>
      <c r="F352" s="280" t="n"/>
      <c r="G352" s="280" t="n"/>
      <c r="H352" s="280" t="n"/>
      <c r="I352" s="332">
        <f>IFERROR(VLOOKUP(TEXT(H352,"0"),IPRESS!$A$3:$B$212,2,0),"")</f>
        <v/>
      </c>
      <c r="J352" s="280" t="n"/>
      <c r="K352" s="332">
        <f>IFERROR(VLOOKUP(TEXT(O352,"0"),CONDUCTORES!$A$3:$G$54,7,0),"")</f>
        <v/>
      </c>
      <c r="L352" s="280" t="n"/>
      <c r="M352" s="280" t="n"/>
      <c r="N352" s="333">
        <f>IFERROR(IF(L352*M352=0,"",L352*M352),"")</f>
        <v/>
      </c>
      <c r="O352" s="280" t="n"/>
      <c r="P352" s="332">
        <f>IFERROR(VLOOKUP(TEXT(O352,"0"),CONDUCTORES!$A$3:$G$54,2,0),"")</f>
        <v/>
      </c>
      <c r="Q352" s="332">
        <f>IFERROR(VLOOKUP(TEXT(O352,"0"),CONDUCTORES!$A$3:$H$54,6,0),"")</f>
        <v/>
      </c>
      <c r="R352" s="280" t="n"/>
      <c r="S352" s="280" t="n"/>
      <c r="T352" s="280" t="n"/>
      <c r="U352" s="280" t="n"/>
      <c r="V352" s="280" t="n"/>
      <c r="W352" s="280" t="n"/>
      <c r="X352" s="280" t="n"/>
      <c r="Y352" s="280" t="n"/>
    </row>
    <row r="353" ht="15" customHeight="1" s="195">
      <c r="A353" s="334" t="n"/>
      <c r="B353" s="334" t="n"/>
      <c r="C353" s="334" t="n"/>
      <c r="D353" s="334" t="n"/>
      <c r="E353" s="334" t="n"/>
      <c r="F353" s="334" t="n"/>
      <c r="G353" s="334" t="n"/>
      <c r="H353" s="334" t="n"/>
      <c r="I353" s="332">
        <f>IFERROR(VLOOKUP(TEXT(H353,"0"),IPRESS!$A$3:$B$212,2,0),"")</f>
        <v/>
      </c>
      <c r="J353" s="334" t="n"/>
      <c r="K353" s="332">
        <f>IFERROR(VLOOKUP(TEXT(O353,"0"),CONDUCTORES!$A$3:$G$54,7,0),"")</f>
        <v/>
      </c>
      <c r="L353" s="334" t="n"/>
      <c r="M353" s="334" t="n"/>
      <c r="N353" s="333">
        <f>IFERROR(IF(L353*M353=0,"",L353*M353),"")</f>
        <v/>
      </c>
      <c r="O353" s="334" t="n"/>
      <c r="P353" s="332">
        <f>IFERROR(VLOOKUP(TEXT(O353,"0"),CONDUCTORES!$A$3:$G$54,2,0),"")</f>
        <v/>
      </c>
      <c r="Q353" s="332">
        <f>IFERROR(VLOOKUP(TEXT(O353,"0"),CONDUCTORES!$A$3:$H$54,6,0),"")</f>
        <v/>
      </c>
      <c r="R353" s="334" t="n"/>
      <c r="S353" s="334" t="n"/>
      <c r="T353" s="334" t="n"/>
      <c r="U353" s="334" t="n"/>
      <c r="V353" s="334" t="n"/>
      <c r="W353" s="334" t="n"/>
      <c r="X353" s="334" t="n"/>
      <c r="Y353" s="334" t="n"/>
    </row>
    <row r="354" ht="15" customHeight="1" s="195">
      <c r="A354" s="280" t="n"/>
      <c r="B354" s="280" t="n"/>
      <c r="C354" s="280" t="n"/>
      <c r="D354" s="280" t="n"/>
      <c r="E354" s="280" t="n"/>
      <c r="F354" s="280" t="n"/>
      <c r="G354" s="280" t="n"/>
      <c r="H354" s="280" t="n"/>
      <c r="I354" s="332">
        <f>IFERROR(VLOOKUP(TEXT(H354,"0"),IPRESS!$A$3:$B$212,2,0),"")</f>
        <v/>
      </c>
      <c r="J354" s="280" t="n"/>
      <c r="K354" s="332">
        <f>IFERROR(VLOOKUP(TEXT(O354,"0"),CONDUCTORES!$A$3:$G$54,7,0),"")</f>
        <v/>
      </c>
      <c r="L354" s="280" t="n"/>
      <c r="M354" s="280" t="n"/>
      <c r="N354" s="333">
        <f>IFERROR(IF(L354*M354=0,"",L354*M354),"")</f>
        <v/>
      </c>
      <c r="O354" s="280" t="n"/>
      <c r="P354" s="332">
        <f>IFERROR(VLOOKUP(TEXT(O354,"0"),CONDUCTORES!$A$3:$G$54,2,0),"")</f>
        <v/>
      </c>
      <c r="Q354" s="332">
        <f>IFERROR(VLOOKUP(TEXT(O354,"0"),CONDUCTORES!$A$3:$H$54,6,0),"")</f>
        <v/>
      </c>
      <c r="R354" s="280" t="n"/>
      <c r="S354" s="280" t="n"/>
      <c r="T354" s="280" t="n"/>
      <c r="U354" s="280" t="n"/>
      <c r="V354" s="280" t="n"/>
      <c r="W354" s="280" t="n"/>
      <c r="X354" s="280" t="n"/>
      <c r="Y354" s="280" t="n"/>
    </row>
    <row r="355" ht="15" customHeight="1" s="195">
      <c r="A355" s="334" t="n"/>
      <c r="B355" s="334" t="n"/>
      <c r="C355" s="334" t="n"/>
      <c r="D355" s="334" t="n"/>
      <c r="E355" s="334" t="n"/>
      <c r="F355" s="334" t="n"/>
      <c r="G355" s="334" t="n"/>
      <c r="H355" s="334" t="n"/>
      <c r="I355" s="332">
        <f>IFERROR(VLOOKUP(TEXT(H355,"0"),IPRESS!$A$3:$B$212,2,0),"")</f>
        <v/>
      </c>
      <c r="J355" s="334" t="n"/>
      <c r="K355" s="332">
        <f>IFERROR(VLOOKUP(TEXT(O355,"0"),CONDUCTORES!$A$3:$G$54,7,0),"")</f>
        <v/>
      </c>
      <c r="L355" s="334" t="n"/>
      <c r="M355" s="334" t="n"/>
      <c r="N355" s="333">
        <f>IFERROR(IF(L355*M355=0,"",L355*M355),"")</f>
        <v/>
      </c>
      <c r="O355" s="334" t="n"/>
      <c r="P355" s="332">
        <f>IFERROR(VLOOKUP(TEXT(O355,"0"),CONDUCTORES!$A$3:$G$54,2,0),"")</f>
        <v/>
      </c>
      <c r="Q355" s="332">
        <f>IFERROR(VLOOKUP(TEXT(O355,"0"),CONDUCTORES!$A$3:$H$54,6,0),"")</f>
        <v/>
      </c>
      <c r="R355" s="334" t="n"/>
      <c r="S355" s="334" t="n"/>
      <c r="T355" s="334" t="n"/>
      <c r="U355" s="334" t="n"/>
      <c r="V355" s="334" t="n"/>
      <c r="W355" s="334" t="n"/>
      <c r="X355" s="334" t="n"/>
      <c r="Y355" s="334" t="n"/>
    </row>
    <row r="356" ht="15" customHeight="1" s="195">
      <c r="A356" s="280" t="n"/>
      <c r="B356" s="280" t="n"/>
      <c r="C356" s="280" t="n"/>
      <c r="D356" s="280" t="n"/>
      <c r="E356" s="280" t="n"/>
      <c r="F356" s="280" t="n"/>
      <c r="G356" s="280" t="n"/>
      <c r="H356" s="280" t="n"/>
      <c r="I356" s="332">
        <f>IFERROR(VLOOKUP(TEXT(H356,"0"),IPRESS!$A$3:$B$212,2,0),"")</f>
        <v/>
      </c>
      <c r="J356" s="280" t="n"/>
      <c r="K356" s="332">
        <f>IFERROR(VLOOKUP(TEXT(O356,"0"),CONDUCTORES!$A$3:$G$54,7,0),"")</f>
        <v/>
      </c>
      <c r="L356" s="280" t="n"/>
      <c r="M356" s="280" t="n"/>
      <c r="N356" s="333">
        <f>IFERROR(IF(L356*M356=0,"",L356*M356),"")</f>
        <v/>
      </c>
      <c r="O356" s="280" t="n"/>
      <c r="P356" s="332">
        <f>IFERROR(VLOOKUP(TEXT(O356,"0"),CONDUCTORES!$A$3:$G$54,2,0),"")</f>
        <v/>
      </c>
      <c r="Q356" s="332">
        <f>IFERROR(VLOOKUP(TEXT(O356,"0"),CONDUCTORES!$A$3:$H$54,6,0),"")</f>
        <v/>
      </c>
      <c r="R356" s="280" t="n"/>
      <c r="S356" s="280" t="n"/>
      <c r="T356" s="280" t="n"/>
      <c r="U356" s="280" t="n"/>
      <c r="V356" s="280" t="n"/>
      <c r="W356" s="280" t="n"/>
      <c r="X356" s="280" t="n"/>
      <c r="Y356" s="280" t="n"/>
    </row>
    <row r="357" ht="15" customHeight="1" s="195">
      <c r="A357" s="334" t="n"/>
      <c r="B357" s="334" t="n"/>
      <c r="C357" s="334" t="n"/>
      <c r="D357" s="334" t="n"/>
      <c r="E357" s="334" t="n"/>
      <c r="F357" s="334" t="n"/>
      <c r="G357" s="334" t="n"/>
      <c r="H357" s="334" t="n"/>
      <c r="I357" s="332">
        <f>IFERROR(VLOOKUP(TEXT(H357,"0"),IPRESS!$A$3:$B$212,2,0),"")</f>
        <v/>
      </c>
      <c r="J357" s="334" t="n"/>
      <c r="K357" s="332">
        <f>IFERROR(VLOOKUP(TEXT(O357,"0"),CONDUCTORES!$A$3:$G$54,7,0),"")</f>
        <v/>
      </c>
      <c r="L357" s="334" t="n"/>
      <c r="M357" s="334" t="n"/>
      <c r="N357" s="333">
        <f>IFERROR(IF(L357*M357=0,"",L357*M357),"")</f>
        <v/>
      </c>
      <c r="O357" s="334" t="n"/>
      <c r="P357" s="332">
        <f>IFERROR(VLOOKUP(TEXT(O357,"0"),CONDUCTORES!$A$3:$G$54,2,0),"")</f>
        <v/>
      </c>
      <c r="Q357" s="332">
        <f>IFERROR(VLOOKUP(TEXT(O357,"0"),CONDUCTORES!$A$3:$H$54,6,0),"")</f>
        <v/>
      </c>
      <c r="R357" s="334" t="n"/>
      <c r="S357" s="334" t="n"/>
      <c r="T357" s="334" t="n"/>
      <c r="U357" s="334" t="n"/>
      <c r="V357" s="334" t="n"/>
      <c r="W357" s="334" t="n"/>
      <c r="X357" s="334" t="n"/>
      <c r="Y357" s="334" t="n"/>
    </row>
    <row r="358" ht="15" customHeight="1" s="195">
      <c r="A358" s="280" t="n"/>
      <c r="B358" s="280" t="n"/>
      <c r="C358" s="280" t="n"/>
      <c r="D358" s="280" t="n"/>
      <c r="E358" s="280" t="n"/>
      <c r="F358" s="280" t="n"/>
      <c r="G358" s="280" t="n"/>
      <c r="H358" s="280" t="n"/>
      <c r="I358" s="332">
        <f>IFERROR(VLOOKUP(TEXT(H358,"0"),IPRESS!$A$3:$B$212,2,0),"")</f>
        <v/>
      </c>
      <c r="J358" s="280" t="n"/>
      <c r="K358" s="332">
        <f>IFERROR(VLOOKUP(TEXT(O358,"0"),CONDUCTORES!$A$3:$G$54,7,0),"")</f>
        <v/>
      </c>
      <c r="L358" s="280" t="n"/>
      <c r="M358" s="280" t="n"/>
      <c r="N358" s="333">
        <f>IFERROR(IF(L358*M358=0,"",L358*M358),"")</f>
        <v/>
      </c>
      <c r="O358" s="280" t="n"/>
      <c r="P358" s="332">
        <f>IFERROR(VLOOKUP(TEXT(O358,"0"),CONDUCTORES!$A$3:$G$54,2,0),"")</f>
        <v/>
      </c>
      <c r="Q358" s="332">
        <f>IFERROR(VLOOKUP(TEXT(O358,"0"),CONDUCTORES!$A$3:$H$54,6,0),"")</f>
        <v/>
      </c>
      <c r="R358" s="280" t="n"/>
      <c r="S358" s="280" t="n"/>
      <c r="T358" s="280" t="n"/>
      <c r="U358" s="280" t="n"/>
      <c r="V358" s="280" t="n"/>
      <c r="W358" s="280" t="n"/>
      <c r="X358" s="280" t="n"/>
      <c r="Y358" s="280" t="n"/>
    </row>
    <row r="359" ht="15" customHeight="1" s="195">
      <c r="A359" s="334" t="n"/>
      <c r="B359" s="334" t="n"/>
      <c r="C359" s="334" t="n"/>
      <c r="D359" s="334" t="n"/>
      <c r="E359" s="334" t="n"/>
      <c r="F359" s="334" t="n"/>
      <c r="G359" s="334" t="n"/>
      <c r="H359" s="334" t="n"/>
      <c r="I359" s="332">
        <f>IFERROR(VLOOKUP(TEXT(H359,"0"),IPRESS!$A$3:$B$212,2,0),"")</f>
        <v/>
      </c>
      <c r="J359" s="334" t="n"/>
      <c r="K359" s="332">
        <f>IFERROR(VLOOKUP(TEXT(O359,"0"),CONDUCTORES!$A$3:$G$54,7,0),"")</f>
        <v/>
      </c>
      <c r="L359" s="334" t="n"/>
      <c r="M359" s="334" t="n"/>
      <c r="N359" s="333">
        <f>IFERROR(IF(L359*M359=0,"",L359*M359),"")</f>
        <v/>
      </c>
      <c r="O359" s="334" t="n"/>
      <c r="P359" s="332">
        <f>IFERROR(VLOOKUP(TEXT(O359,"0"),CONDUCTORES!$A$3:$G$54,2,0),"")</f>
        <v/>
      </c>
      <c r="Q359" s="332">
        <f>IFERROR(VLOOKUP(TEXT(O359,"0"),CONDUCTORES!$A$3:$H$54,6,0),"")</f>
        <v/>
      </c>
      <c r="R359" s="334" t="n"/>
      <c r="S359" s="334" t="n"/>
      <c r="T359" s="334" t="n"/>
      <c r="U359" s="334" t="n"/>
      <c r="V359" s="334" t="n"/>
      <c r="W359" s="334" t="n"/>
      <c r="X359" s="334" t="n"/>
      <c r="Y359" s="334" t="n"/>
    </row>
    <row r="360" ht="15" customHeight="1" s="195">
      <c r="A360" s="280" t="n"/>
      <c r="B360" s="280" t="n"/>
      <c r="C360" s="280" t="n"/>
      <c r="D360" s="280" t="n"/>
      <c r="E360" s="280" t="n"/>
      <c r="F360" s="280" t="n"/>
      <c r="G360" s="280" t="n"/>
      <c r="H360" s="280" t="n"/>
      <c r="I360" s="332">
        <f>IFERROR(VLOOKUP(TEXT(H360,"0"),IPRESS!$A$3:$B$212,2,0),"")</f>
        <v/>
      </c>
      <c r="J360" s="280" t="n"/>
      <c r="K360" s="332">
        <f>IFERROR(VLOOKUP(TEXT(O360,"0"),CONDUCTORES!$A$3:$G$54,7,0),"")</f>
        <v/>
      </c>
      <c r="L360" s="280" t="n"/>
      <c r="M360" s="280" t="n"/>
      <c r="N360" s="333">
        <f>IFERROR(IF(L360*M360=0,"",L360*M360),"")</f>
        <v/>
      </c>
      <c r="O360" s="280" t="n"/>
      <c r="P360" s="332">
        <f>IFERROR(VLOOKUP(TEXT(O360,"0"),CONDUCTORES!$A$3:$G$54,2,0),"")</f>
        <v/>
      </c>
      <c r="Q360" s="332">
        <f>IFERROR(VLOOKUP(TEXT(O360,"0"),CONDUCTORES!$A$3:$H$54,6,0),"")</f>
        <v/>
      </c>
      <c r="R360" s="280" t="n"/>
      <c r="S360" s="280" t="n"/>
      <c r="T360" s="280" t="n"/>
      <c r="U360" s="280" t="n"/>
      <c r="V360" s="280" t="n"/>
      <c r="W360" s="280" t="n"/>
      <c r="X360" s="280" t="n"/>
      <c r="Y360" s="280" t="n"/>
    </row>
    <row r="361" ht="15" customHeight="1" s="195">
      <c r="A361" s="334" t="n"/>
      <c r="B361" s="334" t="n"/>
      <c r="C361" s="334" t="n"/>
      <c r="D361" s="334" t="n"/>
      <c r="E361" s="334" t="n"/>
      <c r="F361" s="334" t="n"/>
      <c r="G361" s="334" t="n"/>
      <c r="H361" s="334" t="n"/>
      <c r="I361" s="332">
        <f>IFERROR(VLOOKUP(TEXT(H361,"0"),IPRESS!$A$3:$B$212,2,0),"")</f>
        <v/>
      </c>
      <c r="J361" s="334" t="n"/>
      <c r="K361" s="332">
        <f>IFERROR(VLOOKUP(TEXT(O361,"0"),CONDUCTORES!$A$3:$G$54,7,0),"")</f>
        <v/>
      </c>
      <c r="L361" s="334" t="n"/>
      <c r="M361" s="334" t="n"/>
      <c r="N361" s="333">
        <f>IFERROR(IF(L361*M361=0,"",L361*M361),"")</f>
        <v/>
      </c>
      <c r="O361" s="334" t="n"/>
      <c r="P361" s="332">
        <f>IFERROR(VLOOKUP(TEXT(O361,"0"),CONDUCTORES!$A$3:$G$54,2,0),"")</f>
        <v/>
      </c>
      <c r="Q361" s="332">
        <f>IFERROR(VLOOKUP(TEXT(O361,"0"),CONDUCTORES!$A$3:$H$54,6,0),"")</f>
        <v/>
      </c>
      <c r="R361" s="334" t="n"/>
      <c r="S361" s="334" t="n"/>
      <c r="T361" s="334" t="n"/>
      <c r="U361" s="334" t="n"/>
      <c r="V361" s="334" t="n"/>
      <c r="W361" s="334" t="n"/>
      <c r="X361" s="334" t="n"/>
      <c r="Y361" s="334" t="n"/>
    </row>
    <row r="362" ht="15" customHeight="1" s="195">
      <c r="A362" s="280" t="n"/>
      <c r="B362" s="280" t="n"/>
      <c r="C362" s="280" t="n"/>
      <c r="D362" s="280" t="n"/>
      <c r="E362" s="280" t="n"/>
      <c r="F362" s="280" t="n"/>
      <c r="G362" s="280" t="n"/>
      <c r="H362" s="280" t="n"/>
      <c r="I362" s="332">
        <f>IFERROR(VLOOKUP(TEXT(H362,"0"),IPRESS!$A$3:$B$212,2,0),"")</f>
        <v/>
      </c>
      <c r="J362" s="280" t="n"/>
      <c r="K362" s="332">
        <f>IFERROR(VLOOKUP(TEXT(O362,"0"),CONDUCTORES!$A$3:$G$54,7,0),"")</f>
        <v/>
      </c>
      <c r="L362" s="280" t="n"/>
      <c r="M362" s="280" t="n"/>
      <c r="N362" s="333">
        <f>IFERROR(IF(L362*M362=0,"",L362*M362),"")</f>
        <v/>
      </c>
      <c r="O362" s="280" t="n"/>
      <c r="P362" s="332">
        <f>IFERROR(VLOOKUP(TEXT(O362,"0"),CONDUCTORES!$A$3:$G$54,2,0),"")</f>
        <v/>
      </c>
      <c r="Q362" s="332">
        <f>IFERROR(VLOOKUP(TEXT(O362,"0"),CONDUCTORES!$A$3:$H$54,6,0),"")</f>
        <v/>
      </c>
      <c r="R362" s="280" t="n"/>
      <c r="S362" s="280" t="n"/>
      <c r="T362" s="280" t="n"/>
      <c r="U362" s="280" t="n"/>
      <c r="V362" s="280" t="n"/>
      <c r="W362" s="280" t="n"/>
      <c r="X362" s="280" t="n"/>
      <c r="Y362" s="280" t="n"/>
    </row>
    <row r="363" ht="15" customHeight="1" s="195">
      <c r="A363" s="334" t="n"/>
      <c r="B363" s="334" t="n"/>
      <c r="C363" s="334" t="n"/>
      <c r="D363" s="334" t="n"/>
      <c r="E363" s="334" t="n"/>
      <c r="F363" s="334" t="n"/>
      <c r="G363" s="334" t="n"/>
      <c r="H363" s="334" t="n"/>
      <c r="I363" s="332">
        <f>IFERROR(VLOOKUP(TEXT(H363,"0"),IPRESS!$A$3:$B$212,2,0),"")</f>
        <v/>
      </c>
      <c r="J363" s="334" t="n"/>
      <c r="K363" s="332">
        <f>IFERROR(VLOOKUP(TEXT(O363,"0"),CONDUCTORES!$A$3:$G$54,7,0),"")</f>
        <v/>
      </c>
      <c r="L363" s="334" t="n"/>
      <c r="M363" s="334" t="n"/>
      <c r="N363" s="333">
        <f>IFERROR(IF(L363*M363=0,"",L363*M363),"")</f>
        <v/>
      </c>
      <c r="O363" s="334" t="n"/>
      <c r="P363" s="332">
        <f>IFERROR(VLOOKUP(TEXT(O363,"0"),CONDUCTORES!$A$3:$G$54,2,0),"")</f>
        <v/>
      </c>
      <c r="Q363" s="332">
        <f>IFERROR(VLOOKUP(TEXT(O363,"0"),CONDUCTORES!$A$3:$H$54,6,0),"")</f>
        <v/>
      </c>
      <c r="R363" s="334" t="n"/>
      <c r="S363" s="334" t="n"/>
      <c r="T363" s="334" t="n"/>
      <c r="U363" s="334" t="n"/>
      <c r="V363" s="334" t="n"/>
      <c r="W363" s="334" t="n"/>
      <c r="X363" s="334" t="n"/>
      <c r="Y363" s="334" t="n"/>
    </row>
    <row r="364" ht="15" customHeight="1" s="195">
      <c r="A364" s="280" t="n"/>
      <c r="B364" s="280" t="n"/>
      <c r="C364" s="280" t="n"/>
      <c r="D364" s="280" t="n"/>
      <c r="E364" s="280" t="n"/>
      <c r="F364" s="280" t="n"/>
      <c r="G364" s="280" t="n"/>
      <c r="H364" s="280" t="n"/>
      <c r="I364" s="332">
        <f>IFERROR(VLOOKUP(TEXT(H364,"0"),IPRESS!$A$3:$B$212,2,0),"")</f>
        <v/>
      </c>
      <c r="J364" s="280" t="n"/>
      <c r="K364" s="332">
        <f>IFERROR(VLOOKUP(TEXT(O364,"0"),CONDUCTORES!$A$3:$G$54,7,0),"")</f>
        <v/>
      </c>
      <c r="L364" s="280" t="n"/>
      <c r="M364" s="280" t="n"/>
      <c r="N364" s="333">
        <f>IFERROR(IF(L364*M364=0,"",L364*M364),"")</f>
        <v/>
      </c>
      <c r="O364" s="280" t="n"/>
      <c r="P364" s="332">
        <f>IFERROR(VLOOKUP(TEXT(O364,"0"),CONDUCTORES!$A$3:$G$54,2,0),"")</f>
        <v/>
      </c>
      <c r="Q364" s="332">
        <f>IFERROR(VLOOKUP(TEXT(O364,"0"),CONDUCTORES!$A$3:$H$54,6,0),"")</f>
        <v/>
      </c>
      <c r="R364" s="280" t="n"/>
      <c r="S364" s="280" t="n"/>
      <c r="T364" s="280" t="n"/>
      <c r="U364" s="280" t="n"/>
      <c r="V364" s="280" t="n"/>
      <c r="W364" s="280" t="n"/>
      <c r="X364" s="280" t="n"/>
      <c r="Y364" s="280" t="n"/>
    </row>
    <row r="365" ht="15" customHeight="1" s="195">
      <c r="A365" s="334" t="n"/>
      <c r="B365" s="334" t="n"/>
      <c r="C365" s="334" t="n"/>
      <c r="D365" s="334" t="n"/>
      <c r="E365" s="334" t="n"/>
      <c r="F365" s="334" t="n"/>
      <c r="G365" s="334" t="n"/>
      <c r="H365" s="334" t="n"/>
      <c r="I365" s="332">
        <f>IFERROR(VLOOKUP(TEXT(H365,"0"),IPRESS!$A$3:$B$212,2,0),"")</f>
        <v/>
      </c>
      <c r="J365" s="334" t="n"/>
      <c r="K365" s="332">
        <f>IFERROR(VLOOKUP(TEXT(O365,"0"),CONDUCTORES!$A$3:$G$54,7,0),"")</f>
        <v/>
      </c>
      <c r="L365" s="334" t="n"/>
      <c r="M365" s="334" t="n"/>
      <c r="N365" s="333">
        <f>IFERROR(IF(L365*M365=0,"",L365*M365),"")</f>
        <v/>
      </c>
      <c r="O365" s="334" t="n"/>
      <c r="P365" s="332">
        <f>IFERROR(VLOOKUP(TEXT(O365,"0"),CONDUCTORES!$A$3:$G$54,2,0),"")</f>
        <v/>
      </c>
      <c r="Q365" s="332">
        <f>IFERROR(VLOOKUP(TEXT(O365,"0"),CONDUCTORES!$A$3:$H$54,6,0),"")</f>
        <v/>
      </c>
      <c r="R365" s="334" t="n"/>
      <c r="S365" s="334" t="n"/>
      <c r="T365" s="334" t="n"/>
      <c r="U365" s="334" t="n"/>
      <c r="V365" s="334" t="n"/>
      <c r="W365" s="334" t="n"/>
      <c r="X365" s="334" t="n"/>
      <c r="Y365" s="334" t="n"/>
    </row>
    <row r="366" ht="15" customHeight="1" s="195">
      <c r="A366" s="280" t="n"/>
      <c r="B366" s="280" t="n"/>
      <c r="C366" s="280" t="n"/>
      <c r="D366" s="280" t="n"/>
      <c r="E366" s="280" t="n"/>
      <c r="F366" s="280" t="n"/>
      <c r="G366" s="280" t="n"/>
      <c r="H366" s="280" t="n"/>
      <c r="I366" s="332">
        <f>IFERROR(VLOOKUP(TEXT(H366,"0"),IPRESS!$A$3:$B$212,2,0),"")</f>
        <v/>
      </c>
      <c r="J366" s="280" t="n"/>
      <c r="K366" s="332">
        <f>IFERROR(VLOOKUP(TEXT(O366,"0"),CONDUCTORES!$A$3:$G$54,7,0),"")</f>
        <v/>
      </c>
      <c r="L366" s="280" t="n"/>
      <c r="M366" s="280" t="n"/>
      <c r="N366" s="333">
        <f>IFERROR(IF(L366*M366=0,"",L366*M366),"")</f>
        <v/>
      </c>
      <c r="O366" s="280" t="n"/>
      <c r="P366" s="332">
        <f>IFERROR(VLOOKUP(TEXT(O366,"0"),CONDUCTORES!$A$3:$G$54,2,0),"")</f>
        <v/>
      </c>
      <c r="Q366" s="332">
        <f>IFERROR(VLOOKUP(TEXT(O366,"0"),CONDUCTORES!$A$3:$H$54,6,0),"")</f>
        <v/>
      </c>
      <c r="R366" s="280" t="n"/>
      <c r="S366" s="280" t="n"/>
      <c r="T366" s="280" t="n"/>
      <c r="U366" s="280" t="n"/>
      <c r="V366" s="280" t="n"/>
      <c r="W366" s="280" t="n"/>
      <c r="X366" s="280" t="n"/>
      <c r="Y366" s="280" t="n"/>
    </row>
    <row r="367" ht="15" customHeight="1" s="195">
      <c r="A367" s="334" t="n"/>
      <c r="B367" s="334" t="n"/>
      <c r="C367" s="334" t="n"/>
      <c r="D367" s="334" t="n"/>
      <c r="E367" s="334" t="n"/>
      <c r="F367" s="334" t="n"/>
      <c r="G367" s="334" t="n"/>
      <c r="H367" s="334" t="n"/>
      <c r="I367" s="332">
        <f>IFERROR(VLOOKUP(TEXT(H367,"0"),IPRESS!$A$3:$B$212,2,0),"")</f>
        <v/>
      </c>
      <c r="J367" s="334" t="n"/>
      <c r="K367" s="332">
        <f>IFERROR(VLOOKUP(TEXT(O367,"0"),CONDUCTORES!$A$3:$G$54,7,0),"")</f>
        <v/>
      </c>
      <c r="L367" s="334" t="n"/>
      <c r="M367" s="334" t="n"/>
      <c r="N367" s="333">
        <f>IFERROR(IF(L367*M367=0,"",L367*M367),"")</f>
        <v/>
      </c>
      <c r="O367" s="334" t="n"/>
      <c r="P367" s="332">
        <f>IFERROR(VLOOKUP(TEXT(O367,"0"),CONDUCTORES!$A$3:$G$54,2,0),"")</f>
        <v/>
      </c>
      <c r="Q367" s="332">
        <f>IFERROR(VLOOKUP(TEXT(O367,"0"),CONDUCTORES!$A$3:$H$54,6,0),"")</f>
        <v/>
      </c>
      <c r="R367" s="334" t="n"/>
      <c r="S367" s="334" t="n"/>
      <c r="T367" s="334" t="n"/>
      <c r="U367" s="334" t="n"/>
      <c r="V367" s="334" t="n"/>
      <c r="W367" s="334" t="n"/>
      <c r="X367" s="334" t="n"/>
      <c r="Y367" s="334" t="n"/>
    </row>
    <row r="368" ht="15" customHeight="1" s="195">
      <c r="A368" s="280" t="n"/>
      <c r="B368" s="280" t="n"/>
      <c r="C368" s="280" t="n"/>
      <c r="D368" s="280" t="n"/>
      <c r="E368" s="280" t="n"/>
      <c r="F368" s="280" t="n"/>
      <c r="G368" s="280" t="n"/>
      <c r="H368" s="280" t="n"/>
      <c r="I368" s="332">
        <f>IFERROR(VLOOKUP(TEXT(H368,"0"),IPRESS!$A$3:$B$212,2,0),"")</f>
        <v/>
      </c>
      <c r="J368" s="280" t="n"/>
      <c r="K368" s="332">
        <f>IFERROR(VLOOKUP(TEXT(O368,"0"),CONDUCTORES!$A$3:$G$54,7,0),"")</f>
        <v/>
      </c>
      <c r="L368" s="280" t="n"/>
      <c r="M368" s="280" t="n"/>
      <c r="N368" s="333">
        <f>IFERROR(IF(L368*M368=0,"",L368*M368),"")</f>
        <v/>
      </c>
      <c r="O368" s="280" t="n"/>
      <c r="P368" s="332">
        <f>IFERROR(VLOOKUP(TEXT(O368,"0"),CONDUCTORES!$A$3:$G$54,2,0),"")</f>
        <v/>
      </c>
      <c r="Q368" s="332">
        <f>IFERROR(VLOOKUP(TEXT(O368,"0"),CONDUCTORES!$A$3:$H$54,6,0),"")</f>
        <v/>
      </c>
      <c r="R368" s="280" t="n"/>
      <c r="S368" s="280" t="n"/>
      <c r="T368" s="280" t="n"/>
      <c r="U368" s="280" t="n"/>
      <c r="V368" s="280" t="n"/>
      <c r="W368" s="280" t="n"/>
      <c r="X368" s="280" t="n"/>
      <c r="Y368" s="280" t="n"/>
    </row>
    <row r="369" ht="15" customHeight="1" s="195">
      <c r="A369" s="334" t="n"/>
      <c r="B369" s="334" t="n"/>
      <c r="C369" s="334" t="n"/>
      <c r="D369" s="334" t="n"/>
      <c r="E369" s="334" t="n"/>
      <c r="F369" s="334" t="n"/>
      <c r="G369" s="334" t="n"/>
      <c r="H369" s="334" t="n"/>
      <c r="I369" s="332">
        <f>IFERROR(VLOOKUP(TEXT(H369,"0"),IPRESS!$A$3:$B$212,2,0),"")</f>
        <v/>
      </c>
      <c r="J369" s="334" t="n"/>
      <c r="K369" s="332">
        <f>IFERROR(VLOOKUP(TEXT(O369,"0"),CONDUCTORES!$A$3:$G$54,7,0),"")</f>
        <v/>
      </c>
      <c r="L369" s="334" t="n"/>
      <c r="M369" s="334" t="n"/>
      <c r="N369" s="333">
        <f>IFERROR(IF(L369*M369=0,"",L369*M369),"")</f>
        <v/>
      </c>
      <c r="O369" s="334" t="n"/>
      <c r="P369" s="332">
        <f>IFERROR(VLOOKUP(TEXT(O369,"0"),CONDUCTORES!$A$3:$G$54,2,0),"")</f>
        <v/>
      </c>
      <c r="Q369" s="332">
        <f>IFERROR(VLOOKUP(TEXT(O369,"0"),CONDUCTORES!$A$3:$H$54,6,0),"")</f>
        <v/>
      </c>
      <c r="R369" s="334" t="n"/>
      <c r="S369" s="334" t="n"/>
      <c r="T369" s="334" t="n"/>
      <c r="U369" s="334" t="n"/>
      <c r="V369" s="334" t="n"/>
      <c r="W369" s="334" t="n"/>
      <c r="X369" s="334" t="n"/>
      <c r="Y369" s="334" t="n"/>
    </row>
    <row r="370" ht="15" customHeight="1" s="195">
      <c r="A370" s="280" t="n"/>
      <c r="B370" s="280" t="n"/>
      <c r="C370" s="280" t="n"/>
      <c r="D370" s="280" t="n"/>
      <c r="E370" s="280" t="n"/>
      <c r="F370" s="280" t="n"/>
      <c r="G370" s="280" t="n"/>
      <c r="H370" s="280" t="n"/>
      <c r="I370" s="332">
        <f>IFERROR(VLOOKUP(TEXT(H370,"0"),IPRESS!$A$3:$B$212,2,0),"")</f>
        <v/>
      </c>
      <c r="J370" s="280" t="n"/>
      <c r="K370" s="332">
        <f>IFERROR(VLOOKUP(TEXT(O370,"0"),CONDUCTORES!$A$3:$G$54,7,0),"")</f>
        <v/>
      </c>
      <c r="L370" s="280" t="n"/>
      <c r="M370" s="280" t="n"/>
      <c r="N370" s="333">
        <f>IFERROR(IF(L370*M370=0,"",L370*M370),"")</f>
        <v/>
      </c>
      <c r="O370" s="280" t="n"/>
      <c r="P370" s="332">
        <f>IFERROR(VLOOKUP(TEXT(O370,"0"),CONDUCTORES!$A$3:$G$54,2,0),"")</f>
        <v/>
      </c>
      <c r="Q370" s="332">
        <f>IFERROR(VLOOKUP(TEXT(O370,"0"),CONDUCTORES!$A$3:$H$54,6,0),"")</f>
        <v/>
      </c>
      <c r="R370" s="280" t="n"/>
      <c r="S370" s="280" t="n"/>
      <c r="T370" s="280" t="n"/>
      <c r="U370" s="280" t="n"/>
      <c r="V370" s="280" t="n"/>
      <c r="W370" s="280" t="n"/>
      <c r="X370" s="280" t="n"/>
      <c r="Y370" s="280" t="n"/>
    </row>
    <row r="371" ht="15" customHeight="1" s="195">
      <c r="A371" s="334" t="n"/>
      <c r="B371" s="334" t="n"/>
      <c r="C371" s="334" t="n"/>
      <c r="D371" s="334" t="n"/>
      <c r="E371" s="334" t="n"/>
      <c r="F371" s="334" t="n"/>
      <c r="G371" s="334" t="n"/>
      <c r="H371" s="334" t="n"/>
      <c r="I371" s="332">
        <f>IFERROR(VLOOKUP(TEXT(H371,"0"),IPRESS!$A$3:$B$212,2,0),"")</f>
        <v/>
      </c>
      <c r="J371" s="334" t="n"/>
      <c r="K371" s="332">
        <f>IFERROR(VLOOKUP(TEXT(O371,"0"),CONDUCTORES!$A$3:$G$54,7,0),"")</f>
        <v/>
      </c>
      <c r="L371" s="334" t="n"/>
      <c r="M371" s="334" t="n"/>
      <c r="N371" s="333">
        <f>IFERROR(IF(L371*M371=0,"",L371*M371),"")</f>
        <v/>
      </c>
      <c r="O371" s="334" t="n"/>
      <c r="P371" s="332">
        <f>IFERROR(VLOOKUP(TEXT(O371,"0"),CONDUCTORES!$A$3:$G$54,2,0),"")</f>
        <v/>
      </c>
      <c r="Q371" s="332">
        <f>IFERROR(VLOOKUP(TEXT(O371,"0"),CONDUCTORES!$A$3:$H$54,6,0),"")</f>
        <v/>
      </c>
      <c r="R371" s="334" t="n"/>
      <c r="S371" s="334" t="n"/>
      <c r="T371" s="334" t="n"/>
      <c r="U371" s="334" t="n"/>
      <c r="V371" s="334" t="n"/>
      <c r="W371" s="334" t="n"/>
      <c r="X371" s="334" t="n"/>
      <c r="Y371" s="334" t="n"/>
    </row>
    <row r="372" ht="15" customHeight="1" s="195">
      <c r="A372" s="280" t="n"/>
      <c r="B372" s="280" t="n"/>
      <c r="C372" s="280" t="n"/>
      <c r="D372" s="280" t="n"/>
      <c r="E372" s="280" t="n"/>
      <c r="F372" s="280" t="n"/>
      <c r="G372" s="280" t="n"/>
      <c r="H372" s="280" t="n"/>
      <c r="I372" s="332">
        <f>IFERROR(VLOOKUP(TEXT(H372,"0"),IPRESS!$A$3:$B$212,2,0),"")</f>
        <v/>
      </c>
      <c r="J372" s="280" t="n"/>
      <c r="K372" s="332">
        <f>IFERROR(VLOOKUP(TEXT(O372,"0"),CONDUCTORES!$A$3:$G$54,7,0),"")</f>
        <v/>
      </c>
      <c r="L372" s="280" t="n"/>
      <c r="M372" s="280" t="n"/>
      <c r="N372" s="333">
        <f>IFERROR(IF(L372*M372=0,"",L372*M372),"")</f>
        <v/>
      </c>
      <c r="O372" s="280" t="n"/>
      <c r="P372" s="332">
        <f>IFERROR(VLOOKUP(TEXT(O372,"0"),CONDUCTORES!$A$3:$G$54,2,0),"")</f>
        <v/>
      </c>
      <c r="Q372" s="332">
        <f>IFERROR(VLOOKUP(TEXT(O372,"0"),CONDUCTORES!$A$3:$H$54,6,0),"")</f>
        <v/>
      </c>
      <c r="R372" s="280" t="n"/>
      <c r="S372" s="280" t="n"/>
      <c r="T372" s="280" t="n"/>
      <c r="U372" s="280" t="n"/>
      <c r="V372" s="280" t="n"/>
      <c r="W372" s="280" t="n"/>
      <c r="X372" s="280" t="n"/>
      <c r="Y372" s="280" t="n"/>
    </row>
    <row r="373" ht="15" customHeight="1" s="195">
      <c r="A373" s="334" t="n"/>
      <c r="B373" s="334" t="n"/>
      <c r="C373" s="334" t="n"/>
      <c r="D373" s="334" t="n"/>
      <c r="E373" s="334" t="n"/>
      <c r="F373" s="334" t="n"/>
      <c r="G373" s="334" t="n"/>
      <c r="H373" s="334" t="n"/>
      <c r="I373" s="332">
        <f>IFERROR(VLOOKUP(TEXT(H373,"0"),IPRESS!$A$3:$B$212,2,0),"")</f>
        <v/>
      </c>
      <c r="J373" s="334" t="n"/>
      <c r="K373" s="332">
        <f>IFERROR(VLOOKUP(TEXT(O373,"0"),CONDUCTORES!$A$3:$G$54,7,0),"")</f>
        <v/>
      </c>
      <c r="L373" s="334" t="n"/>
      <c r="M373" s="334" t="n"/>
      <c r="N373" s="333">
        <f>IFERROR(IF(L373*M373=0,"",L373*M373),"")</f>
        <v/>
      </c>
      <c r="O373" s="334" t="n"/>
      <c r="P373" s="332">
        <f>IFERROR(VLOOKUP(TEXT(O373,"0"),CONDUCTORES!$A$3:$G$54,2,0),"")</f>
        <v/>
      </c>
      <c r="Q373" s="332">
        <f>IFERROR(VLOOKUP(TEXT(O373,"0"),CONDUCTORES!$A$3:$H$54,6,0),"")</f>
        <v/>
      </c>
      <c r="R373" s="334" t="n"/>
      <c r="S373" s="334" t="n"/>
      <c r="T373" s="334" t="n"/>
      <c r="U373" s="334" t="n"/>
      <c r="V373" s="334" t="n"/>
      <c r="W373" s="334" t="n"/>
      <c r="X373" s="334" t="n"/>
      <c r="Y373" s="334" t="n"/>
    </row>
    <row r="374" ht="15" customHeight="1" s="195">
      <c r="A374" s="280" t="n"/>
      <c r="B374" s="280" t="n"/>
      <c r="C374" s="280" t="n"/>
      <c r="D374" s="280" t="n"/>
      <c r="E374" s="280" t="n"/>
      <c r="F374" s="280" t="n"/>
      <c r="G374" s="280" t="n"/>
      <c r="H374" s="280" t="n"/>
      <c r="I374" s="332">
        <f>IFERROR(VLOOKUP(TEXT(H374,"0"),IPRESS!$A$3:$B$212,2,0),"")</f>
        <v/>
      </c>
      <c r="J374" s="280" t="n"/>
      <c r="K374" s="332">
        <f>IFERROR(VLOOKUP(TEXT(O374,"0"),CONDUCTORES!$A$3:$G$54,7,0),"")</f>
        <v/>
      </c>
      <c r="L374" s="280" t="n"/>
      <c r="M374" s="280" t="n"/>
      <c r="N374" s="333">
        <f>IFERROR(IF(L374*M374=0,"",L374*M374),"")</f>
        <v/>
      </c>
      <c r="O374" s="280" t="n"/>
      <c r="P374" s="332">
        <f>IFERROR(VLOOKUP(TEXT(O374,"0"),CONDUCTORES!$A$3:$G$54,2,0),"")</f>
        <v/>
      </c>
      <c r="Q374" s="332">
        <f>IFERROR(VLOOKUP(TEXT(O374,"0"),CONDUCTORES!$A$3:$H$54,6,0),"")</f>
        <v/>
      </c>
      <c r="R374" s="280" t="n"/>
      <c r="S374" s="280" t="n"/>
      <c r="T374" s="280" t="n"/>
      <c r="U374" s="280" t="n"/>
      <c r="V374" s="280" t="n"/>
      <c r="W374" s="280" t="n"/>
      <c r="X374" s="280" t="n"/>
      <c r="Y374" s="280" t="n"/>
    </row>
    <row r="375" ht="15" customHeight="1" s="195">
      <c r="A375" s="334" t="n"/>
      <c r="B375" s="334" t="n"/>
      <c r="C375" s="334" t="n"/>
      <c r="D375" s="334" t="n"/>
      <c r="E375" s="334" t="n"/>
      <c r="F375" s="334" t="n"/>
      <c r="G375" s="334" t="n"/>
      <c r="H375" s="334" t="n"/>
      <c r="I375" s="332">
        <f>IFERROR(VLOOKUP(TEXT(H375,"0"),IPRESS!$A$3:$B$212,2,0),"")</f>
        <v/>
      </c>
      <c r="J375" s="334" t="n"/>
      <c r="K375" s="332">
        <f>IFERROR(VLOOKUP(TEXT(O375,"0"),CONDUCTORES!$A$3:$G$54,7,0),"")</f>
        <v/>
      </c>
      <c r="L375" s="334" t="n"/>
      <c r="M375" s="334" t="n"/>
      <c r="N375" s="333">
        <f>IFERROR(IF(L375*M375=0,"",L375*M375),"")</f>
        <v/>
      </c>
      <c r="O375" s="334" t="n"/>
      <c r="P375" s="332">
        <f>IFERROR(VLOOKUP(TEXT(O375,"0"),CONDUCTORES!$A$3:$G$54,2,0),"")</f>
        <v/>
      </c>
      <c r="Q375" s="332">
        <f>IFERROR(VLOOKUP(TEXT(O375,"0"),CONDUCTORES!$A$3:$H$54,6,0),"")</f>
        <v/>
      </c>
      <c r="R375" s="334" t="n"/>
      <c r="S375" s="334" t="n"/>
      <c r="T375" s="334" t="n"/>
      <c r="U375" s="334" t="n"/>
      <c r="V375" s="334" t="n"/>
      <c r="W375" s="334" t="n"/>
      <c r="X375" s="334" t="n"/>
      <c r="Y375" s="334" t="n"/>
    </row>
    <row r="376" ht="15" customHeight="1" s="195">
      <c r="A376" s="280" t="n"/>
      <c r="B376" s="280" t="n"/>
      <c r="C376" s="280" t="n"/>
      <c r="D376" s="280" t="n"/>
      <c r="E376" s="280" t="n"/>
      <c r="F376" s="280" t="n"/>
      <c r="G376" s="280" t="n"/>
      <c r="H376" s="280" t="n"/>
      <c r="I376" s="332">
        <f>IFERROR(VLOOKUP(TEXT(H376,"0"),IPRESS!$A$3:$B$212,2,0),"")</f>
        <v/>
      </c>
      <c r="J376" s="280" t="n"/>
      <c r="K376" s="332">
        <f>IFERROR(VLOOKUP(TEXT(O376,"0"),CONDUCTORES!$A$3:$G$54,7,0),"")</f>
        <v/>
      </c>
      <c r="L376" s="280" t="n"/>
      <c r="M376" s="280" t="n"/>
      <c r="N376" s="333">
        <f>IFERROR(IF(L376*M376=0,"",L376*M376),"")</f>
        <v/>
      </c>
      <c r="O376" s="280" t="n"/>
      <c r="P376" s="332">
        <f>IFERROR(VLOOKUP(TEXT(O376,"0"),CONDUCTORES!$A$3:$G$54,2,0),"")</f>
        <v/>
      </c>
      <c r="Q376" s="332">
        <f>IFERROR(VLOOKUP(TEXT(O376,"0"),CONDUCTORES!$A$3:$H$54,6,0),"")</f>
        <v/>
      </c>
      <c r="R376" s="280" t="n"/>
      <c r="S376" s="280" t="n"/>
      <c r="T376" s="280" t="n"/>
      <c r="U376" s="280" t="n"/>
      <c r="V376" s="280" t="n"/>
      <c r="W376" s="280" t="n"/>
      <c r="X376" s="280" t="n"/>
      <c r="Y376" s="280" t="n"/>
    </row>
    <row r="377" ht="15" customHeight="1" s="195">
      <c r="A377" s="334" t="n"/>
      <c r="B377" s="334" t="n"/>
      <c r="C377" s="334" t="n"/>
      <c r="D377" s="334" t="n"/>
      <c r="E377" s="334" t="n"/>
      <c r="F377" s="334" t="n"/>
      <c r="G377" s="334" t="n"/>
      <c r="H377" s="334" t="n"/>
      <c r="I377" s="332">
        <f>IFERROR(VLOOKUP(TEXT(H377,"0"),IPRESS!$A$3:$B$212,2,0),"")</f>
        <v/>
      </c>
      <c r="J377" s="334" t="n"/>
      <c r="K377" s="332">
        <f>IFERROR(VLOOKUP(TEXT(O377,"0"),CONDUCTORES!$A$3:$G$54,7,0),"")</f>
        <v/>
      </c>
      <c r="L377" s="334" t="n"/>
      <c r="M377" s="334" t="n"/>
      <c r="N377" s="333">
        <f>IFERROR(IF(L377*M377=0,"",L377*M377),"")</f>
        <v/>
      </c>
      <c r="O377" s="334" t="n"/>
      <c r="P377" s="332">
        <f>IFERROR(VLOOKUP(TEXT(O377,"0"),CONDUCTORES!$A$3:$G$54,2,0),"")</f>
        <v/>
      </c>
      <c r="Q377" s="332">
        <f>IFERROR(VLOOKUP(TEXT(O377,"0"),CONDUCTORES!$A$3:$H$54,6,0),"")</f>
        <v/>
      </c>
      <c r="R377" s="334" t="n"/>
      <c r="S377" s="334" t="n"/>
      <c r="T377" s="334" t="n"/>
      <c r="U377" s="334" t="n"/>
      <c r="V377" s="334" t="n"/>
      <c r="W377" s="334" t="n"/>
      <c r="X377" s="334" t="n"/>
      <c r="Y377" s="334" t="n"/>
    </row>
    <row r="378" ht="15" customHeight="1" s="195">
      <c r="A378" s="280" t="n"/>
      <c r="B378" s="280" t="n"/>
      <c r="C378" s="280" t="n"/>
      <c r="D378" s="280" t="n"/>
      <c r="E378" s="280" t="n"/>
      <c r="F378" s="280" t="n"/>
      <c r="G378" s="280" t="n"/>
      <c r="H378" s="280" t="n"/>
      <c r="I378" s="332">
        <f>IFERROR(VLOOKUP(TEXT(H378,"0"),IPRESS!$A$3:$B$212,2,0),"")</f>
        <v/>
      </c>
      <c r="J378" s="280" t="n"/>
      <c r="K378" s="332">
        <f>IFERROR(VLOOKUP(TEXT(O378,"0"),CONDUCTORES!$A$3:$G$54,7,0),"")</f>
        <v/>
      </c>
      <c r="L378" s="280" t="n"/>
      <c r="M378" s="280" t="n"/>
      <c r="N378" s="333">
        <f>IFERROR(IF(L378*M378=0,"",L378*M378),"")</f>
        <v/>
      </c>
      <c r="O378" s="280" t="n"/>
      <c r="P378" s="332">
        <f>IFERROR(VLOOKUP(TEXT(O378,"0"),CONDUCTORES!$A$3:$G$54,2,0),"")</f>
        <v/>
      </c>
      <c r="Q378" s="332">
        <f>IFERROR(VLOOKUP(TEXT(O378,"0"),CONDUCTORES!$A$3:$H$54,6,0),"")</f>
        <v/>
      </c>
      <c r="R378" s="280" t="n"/>
      <c r="S378" s="280" t="n"/>
      <c r="T378" s="280" t="n"/>
      <c r="U378" s="280" t="n"/>
      <c r="V378" s="280" t="n"/>
      <c r="W378" s="280" t="n"/>
      <c r="X378" s="280" t="n"/>
      <c r="Y378" s="280" t="n"/>
    </row>
    <row r="379" ht="15" customHeight="1" s="195">
      <c r="A379" s="334" t="n"/>
      <c r="B379" s="334" t="n"/>
      <c r="C379" s="334" t="n"/>
      <c r="D379" s="334" t="n"/>
      <c r="E379" s="334" t="n"/>
      <c r="F379" s="334" t="n"/>
      <c r="G379" s="334" t="n"/>
      <c r="H379" s="334" t="n"/>
      <c r="I379" s="332">
        <f>IFERROR(VLOOKUP(TEXT(H379,"0"),IPRESS!$A$3:$B$212,2,0),"")</f>
        <v/>
      </c>
      <c r="J379" s="334" t="n"/>
      <c r="K379" s="332">
        <f>IFERROR(VLOOKUP(TEXT(O379,"0"),CONDUCTORES!$A$3:$G$54,7,0),"")</f>
        <v/>
      </c>
      <c r="L379" s="334" t="n"/>
      <c r="M379" s="334" t="n"/>
      <c r="N379" s="333">
        <f>IFERROR(IF(L379*M379=0,"",L379*M379),"")</f>
        <v/>
      </c>
      <c r="O379" s="334" t="n"/>
      <c r="P379" s="332">
        <f>IFERROR(VLOOKUP(TEXT(O379,"0"),CONDUCTORES!$A$3:$G$54,2,0),"")</f>
        <v/>
      </c>
      <c r="Q379" s="332">
        <f>IFERROR(VLOOKUP(TEXT(O379,"0"),CONDUCTORES!$A$3:$H$54,6,0),"")</f>
        <v/>
      </c>
      <c r="R379" s="334" t="n"/>
      <c r="S379" s="334" t="n"/>
      <c r="T379" s="334" t="n"/>
      <c r="U379" s="334" t="n"/>
      <c r="V379" s="334" t="n"/>
      <c r="W379" s="334" t="n"/>
      <c r="X379" s="334" t="n"/>
      <c r="Y379" s="334" t="n"/>
    </row>
    <row r="380" ht="15" customHeight="1" s="195">
      <c r="A380" s="280" t="n"/>
      <c r="B380" s="280" t="n"/>
      <c r="C380" s="280" t="n"/>
      <c r="D380" s="280" t="n"/>
      <c r="E380" s="280" t="n"/>
      <c r="F380" s="280" t="n"/>
      <c r="G380" s="280" t="n"/>
      <c r="H380" s="280" t="n"/>
      <c r="I380" s="332">
        <f>IFERROR(VLOOKUP(TEXT(H380,"0"),IPRESS!$A$3:$B$212,2,0),"")</f>
        <v/>
      </c>
      <c r="J380" s="280" t="n"/>
      <c r="K380" s="332">
        <f>IFERROR(VLOOKUP(TEXT(O380,"0"),CONDUCTORES!$A$3:$G$54,7,0),"")</f>
        <v/>
      </c>
      <c r="L380" s="280" t="n"/>
      <c r="M380" s="280" t="n"/>
      <c r="N380" s="333">
        <f>IFERROR(IF(L380*M380=0,"",L380*M380),"")</f>
        <v/>
      </c>
      <c r="O380" s="280" t="n"/>
      <c r="P380" s="332">
        <f>IFERROR(VLOOKUP(TEXT(O380,"0"),CONDUCTORES!$A$3:$G$54,2,0),"")</f>
        <v/>
      </c>
      <c r="Q380" s="332">
        <f>IFERROR(VLOOKUP(TEXT(O380,"0"),CONDUCTORES!$A$3:$H$54,6,0),"")</f>
        <v/>
      </c>
      <c r="R380" s="280" t="n"/>
      <c r="S380" s="280" t="n"/>
      <c r="T380" s="280" t="n"/>
      <c r="U380" s="280" t="n"/>
      <c r="V380" s="280" t="n"/>
      <c r="W380" s="280" t="n"/>
      <c r="X380" s="280" t="n"/>
      <c r="Y380" s="280" t="n"/>
    </row>
    <row r="381" ht="15" customHeight="1" s="195">
      <c r="A381" s="334" t="n"/>
      <c r="B381" s="334" t="n"/>
      <c r="C381" s="334" t="n"/>
      <c r="D381" s="334" t="n"/>
      <c r="E381" s="334" t="n"/>
      <c r="F381" s="334" t="n"/>
      <c r="G381" s="334" t="n"/>
      <c r="H381" s="334" t="n"/>
      <c r="I381" s="332">
        <f>IFERROR(VLOOKUP(TEXT(H381,"0"),IPRESS!$A$3:$B$212,2,0),"")</f>
        <v/>
      </c>
      <c r="J381" s="334" t="n"/>
      <c r="K381" s="332">
        <f>IFERROR(VLOOKUP(TEXT(O381,"0"),CONDUCTORES!$A$3:$G$54,7,0),"")</f>
        <v/>
      </c>
      <c r="L381" s="334" t="n"/>
      <c r="M381" s="334" t="n"/>
      <c r="N381" s="333">
        <f>IFERROR(IF(L381*M381=0,"",L381*M381),"")</f>
        <v/>
      </c>
      <c r="O381" s="334" t="n"/>
      <c r="P381" s="332">
        <f>IFERROR(VLOOKUP(TEXT(O381,"0"),CONDUCTORES!$A$3:$G$54,2,0),"")</f>
        <v/>
      </c>
      <c r="Q381" s="332">
        <f>IFERROR(VLOOKUP(TEXT(O381,"0"),CONDUCTORES!$A$3:$H$54,6,0),"")</f>
        <v/>
      </c>
      <c r="R381" s="334" t="n"/>
      <c r="S381" s="334" t="n"/>
      <c r="T381" s="334" t="n"/>
      <c r="U381" s="334" t="n"/>
      <c r="V381" s="334" t="n"/>
      <c r="W381" s="334" t="n"/>
      <c r="X381" s="334" t="n"/>
      <c r="Y381" s="334" t="n"/>
    </row>
    <row r="382" ht="15" customHeight="1" s="195">
      <c r="A382" s="280" t="n"/>
      <c r="B382" s="280" t="n"/>
      <c r="C382" s="280" t="n"/>
      <c r="D382" s="280" t="n"/>
      <c r="E382" s="280" t="n"/>
      <c r="F382" s="280" t="n"/>
      <c r="G382" s="280" t="n"/>
      <c r="H382" s="280" t="n"/>
      <c r="I382" s="332">
        <f>IFERROR(VLOOKUP(TEXT(H382,"0"),IPRESS!$A$3:$B$212,2,0),"")</f>
        <v/>
      </c>
      <c r="J382" s="280" t="n"/>
      <c r="K382" s="332">
        <f>IFERROR(VLOOKUP(TEXT(O382,"0"),CONDUCTORES!$A$3:$G$54,7,0),"")</f>
        <v/>
      </c>
      <c r="L382" s="280" t="n"/>
      <c r="M382" s="280" t="n"/>
      <c r="N382" s="333">
        <f>IFERROR(IF(L382*M382=0,"",L382*M382),"")</f>
        <v/>
      </c>
      <c r="O382" s="280" t="n"/>
      <c r="P382" s="332">
        <f>IFERROR(VLOOKUP(TEXT(O382,"0"),CONDUCTORES!$A$3:$G$54,2,0),"")</f>
        <v/>
      </c>
      <c r="Q382" s="332">
        <f>IFERROR(VLOOKUP(TEXT(O382,"0"),CONDUCTORES!$A$3:$H$54,6,0),"")</f>
        <v/>
      </c>
      <c r="R382" s="280" t="n"/>
      <c r="S382" s="280" t="n"/>
      <c r="T382" s="280" t="n"/>
      <c r="U382" s="280" t="n"/>
      <c r="V382" s="280" t="n"/>
      <c r="W382" s="280" t="n"/>
      <c r="X382" s="280" t="n"/>
      <c r="Y382" s="280" t="n"/>
    </row>
    <row r="383" ht="15" customHeight="1" s="195">
      <c r="A383" s="334" t="n"/>
      <c r="B383" s="334" t="n"/>
      <c r="C383" s="334" t="n"/>
      <c r="D383" s="334" t="n"/>
      <c r="E383" s="334" t="n"/>
      <c r="F383" s="334" t="n"/>
      <c r="G383" s="334" t="n"/>
      <c r="H383" s="334" t="n"/>
      <c r="I383" s="332">
        <f>IFERROR(VLOOKUP(TEXT(H383,"0"),IPRESS!$A$3:$B$212,2,0),"")</f>
        <v/>
      </c>
      <c r="J383" s="334" t="n"/>
      <c r="K383" s="332">
        <f>IFERROR(VLOOKUP(TEXT(O383,"0"),CONDUCTORES!$A$3:$G$54,7,0),"")</f>
        <v/>
      </c>
      <c r="L383" s="334" t="n"/>
      <c r="M383" s="334" t="n"/>
      <c r="N383" s="333">
        <f>IFERROR(IF(L383*M383=0,"",L383*M383),"")</f>
        <v/>
      </c>
      <c r="O383" s="334" t="n"/>
      <c r="P383" s="332">
        <f>IFERROR(VLOOKUP(TEXT(O383,"0"),CONDUCTORES!$A$3:$G$54,2,0),"")</f>
        <v/>
      </c>
      <c r="Q383" s="332">
        <f>IFERROR(VLOOKUP(TEXT(O383,"0"),CONDUCTORES!$A$3:$H$54,6,0),"")</f>
        <v/>
      </c>
      <c r="R383" s="334" t="n"/>
      <c r="S383" s="334" t="n"/>
      <c r="T383" s="334" t="n"/>
      <c r="U383" s="334" t="n"/>
      <c r="V383" s="334" t="n"/>
      <c r="W383" s="334" t="n"/>
      <c r="X383" s="334" t="n"/>
      <c r="Y383" s="334" t="n"/>
    </row>
    <row r="384" ht="15" customHeight="1" s="195">
      <c r="A384" s="280" t="n"/>
      <c r="B384" s="280" t="n"/>
      <c r="C384" s="280" t="n"/>
      <c r="D384" s="280" t="n"/>
      <c r="E384" s="280" t="n"/>
      <c r="F384" s="280" t="n"/>
      <c r="G384" s="280" t="n"/>
      <c r="H384" s="280" t="n"/>
      <c r="I384" s="332">
        <f>IFERROR(VLOOKUP(TEXT(H384,"0"),IPRESS!$A$3:$B$212,2,0),"")</f>
        <v/>
      </c>
      <c r="J384" s="280" t="n"/>
      <c r="K384" s="332">
        <f>IFERROR(VLOOKUP(TEXT(O384,"0"),CONDUCTORES!$A$3:$G$54,7,0),"")</f>
        <v/>
      </c>
      <c r="L384" s="280" t="n"/>
      <c r="M384" s="280" t="n"/>
      <c r="N384" s="333">
        <f>IFERROR(IF(L384*M384=0,"",L384*M384),"")</f>
        <v/>
      </c>
      <c r="O384" s="280" t="n"/>
      <c r="P384" s="332">
        <f>IFERROR(VLOOKUP(TEXT(O384,"0"),CONDUCTORES!$A$3:$G$54,2,0),"")</f>
        <v/>
      </c>
      <c r="Q384" s="332">
        <f>IFERROR(VLOOKUP(TEXT(O384,"0"),CONDUCTORES!$A$3:$H$54,6,0),"")</f>
        <v/>
      </c>
      <c r="R384" s="280" t="n"/>
      <c r="S384" s="280" t="n"/>
      <c r="T384" s="280" t="n"/>
      <c r="U384" s="280" t="n"/>
      <c r="V384" s="280" t="n"/>
      <c r="W384" s="280" t="n"/>
      <c r="X384" s="280" t="n"/>
      <c r="Y384" s="280" t="n"/>
    </row>
    <row r="385" ht="15" customHeight="1" s="195">
      <c r="A385" s="334" t="n"/>
      <c r="B385" s="334" t="n"/>
      <c r="C385" s="334" t="n"/>
      <c r="D385" s="334" t="n"/>
      <c r="E385" s="334" t="n"/>
      <c r="F385" s="334" t="n"/>
      <c r="G385" s="334" t="n"/>
      <c r="H385" s="334" t="n"/>
      <c r="I385" s="332">
        <f>IFERROR(VLOOKUP(TEXT(H385,"0"),IPRESS!$A$3:$B$212,2,0),"")</f>
        <v/>
      </c>
      <c r="J385" s="334" t="n"/>
      <c r="K385" s="332">
        <f>IFERROR(VLOOKUP(TEXT(O385,"0"),CONDUCTORES!$A$3:$G$54,7,0),"")</f>
        <v/>
      </c>
      <c r="L385" s="334" t="n"/>
      <c r="M385" s="334" t="n"/>
      <c r="N385" s="333">
        <f>IFERROR(IF(L385*M385=0,"",L385*M385),"")</f>
        <v/>
      </c>
      <c r="O385" s="334" t="n"/>
      <c r="P385" s="332">
        <f>IFERROR(VLOOKUP(TEXT(O385,"0"),CONDUCTORES!$A$3:$G$54,2,0),"")</f>
        <v/>
      </c>
      <c r="Q385" s="332">
        <f>IFERROR(VLOOKUP(TEXT(O385,"0"),CONDUCTORES!$A$3:$H$54,6,0),"")</f>
        <v/>
      </c>
      <c r="R385" s="334" t="n"/>
      <c r="S385" s="334" t="n"/>
      <c r="T385" s="334" t="n"/>
      <c r="U385" s="334" t="n"/>
      <c r="V385" s="334" t="n"/>
      <c r="W385" s="334" t="n"/>
      <c r="X385" s="334" t="n"/>
      <c r="Y385" s="334" t="n"/>
    </row>
    <row r="386" ht="15" customHeight="1" s="195">
      <c r="A386" s="280" t="n"/>
      <c r="B386" s="280" t="n"/>
      <c r="C386" s="280" t="n"/>
      <c r="D386" s="280" t="n"/>
      <c r="E386" s="280" t="n"/>
      <c r="F386" s="280" t="n"/>
      <c r="G386" s="280" t="n"/>
      <c r="H386" s="280" t="n"/>
      <c r="I386" s="332">
        <f>IFERROR(VLOOKUP(TEXT(H386,"0"),IPRESS!$A$3:$B$212,2,0),"")</f>
        <v/>
      </c>
      <c r="J386" s="280" t="n"/>
      <c r="K386" s="332">
        <f>IFERROR(VLOOKUP(TEXT(O386,"0"),CONDUCTORES!$A$3:$G$54,7,0),"")</f>
        <v/>
      </c>
      <c r="L386" s="280" t="n"/>
      <c r="M386" s="280" t="n"/>
      <c r="N386" s="333">
        <f>IFERROR(IF(L386*M386=0,"",L386*M386),"")</f>
        <v/>
      </c>
      <c r="O386" s="280" t="n"/>
      <c r="P386" s="332">
        <f>IFERROR(VLOOKUP(TEXT(O386,"0"),CONDUCTORES!$A$3:$G$54,2,0),"")</f>
        <v/>
      </c>
      <c r="Q386" s="332">
        <f>IFERROR(VLOOKUP(TEXT(O386,"0"),CONDUCTORES!$A$3:$H$54,6,0),"")</f>
        <v/>
      </c>
      <c r="R386" s="280" t="n"/>
      <c r="S386" s="280" t="n"/>
      <c r="T386" s="280" t="n"/>
      <c r="U386" s="280" t="n"/>
      <c r="V386" s="280" t="n"/>
      <c r="W386" s="280" t="n"/>
      <c r="X386" s="280" t="n"/>
      <c r="Y386" s="280" t="n"/>
    </row>
    <row r="387" ht="15" customHeight="1" s="195">
      <c r="A387" s="334" t="n"/>
      <c r="B387" s="334" t="n"/>
      <c r="C387" s="334" t="n"/>
      <c r="D387" s="334" t="n"/>
      <c r="E387" s="334" t="n"/>
      <c r="F387" s="334" t="n"/>
      <c r="G387" s="334" t="n"/>
      <c r="H387" s="334" t="n"/>
      <c r="I387" s="332">
        <f>IFERROR(VLOOKUP(TEXT(H387,"0"),IPRESS!$A$3:$B$212,2,0),"")</f>
        <v/>
      </c>
      <c r="J387" s="334" t="n"/>
      <c r="K387" s="332">
        <f>IFERROR(VLOOKUP(TEXT(O387,"0"),CONDUCTORES!$A$3:$G$54,7,0),"")</f>
        <v/>
      </c>
      <c r="L387" s="334" t="n"/>
      <c r="M387" s="334" t="n"/>
      <c r="N387" s="333">
        <f>IFERROR(IF(L387*M387=0,"",L387*M387),"")</f>
        <v/>
      </c>
      <c r="O387" s="334" t="n"/>
      <c r="P387" s="332">
        <f>IFERROR(VLOOKUP(TEXT(O387,"0"),CONDUCTORES!$A$3:$G$54,2,0),"")</f>
        <v/>
      </c>
      <c r="Q387" s="332">
        <f>IFERROR(VLOOKUP(TEXT(O387,"0"),CONDUCTORES!$A$3:$H$54,6,0),"")</f>
        <v/>
      </c>
      <c r="R387" s="334" t="n"/>
      <c r="S387" s="334" t="n"/>
      <c r="T387" s="334" t="n"/>
      <c r="U387" s="334" t="n"/>
      <c r="V387" s="334" t="n"/>
      <c r="W387" s="334" t="n"/>
      <c r="X387" s="334" t="n"/>
      <c r="Y387" s="334" t="n"/>
    </row>
    <row r="388" ht="15" customHeight="1" s="195">
      <c r="A388" s="280" t="n"/>
      <c r="B388" s="280" t="n"/>
      <c r="C388" s="280" t="n"/>
      <c r="D388" s="280" t="n"/>
      <c r="E388" s="280" t="n"/>
      <c r="F388" s="280" t="n"/>
      <c r="G388" s="280" t="n"/>
      <c r="H388" s="280" t="n"/>
      <c r="I388" s="332">
        <f>IFERROR(VLOOKUP(TEXT(H388,"0"),IPRESS!$A$3:$B$212,2,0),"")</f>
        <v/>
      </c>
      <c r="J388" s="280" t="n"/>
      <c r="K388" s="332">
        <f>IFERROR(VLOOKUP(TEXT(O388,"0"),CONDUCTORES!$A$3:$G$54,7,0),"")</f>
        <v/>
      </c>
      <c r="L388" s="280" t="n"/>
      <c r="M388" s="280" t="n"/>
      <c r="N388" s="333">
        <f>IFERROR(IF(L388*M388=0,"",L388*M388),"")</f>
        <v/>
      </c>
      <c r="O388" s="280" t="n"/>
      <c r="P388" s="332">
        <f>IFERROR(VLOOKUP(TEXT(O388,"0"),CONDUCTORES!$A$3:$G$54,2,0),"")</f>
        <v/>
      </c>
      <c r="Q388" s="332">
        <f>IFERROR(VLOOKUP(TEXT(O388,"0"),CONDUCTORES!$A$3:$H$54,6,0),"")</f>
        <v/>
      </c>
      <c r="R388" s="280" t="n"/>
      <c r="S388" s="280" t="n"/>
      <c r="T388" s="280" t="n"/>
      <c r="U388" s="280" t="n"/>
      <c r="V388" s="280" t="n"/>
      <c r="W388" s="280" t="n"/>
      <c r="X388" s="280" t="n"/>
      <c r="Y388" s="280" t="n"/>
    </row>
    <row r="389" ht="15" customHeight="1" s="195">
      <c r="A389" s="334" t="n"/>
      <c r="B389" s="334" t="n"/>
      <c r="C389" s="334" t="n"/>
      <c r="D389" s="334" t="n"/>
      <c r="E389" s="334" t="n"/>
      <c r="F389" s="334" t="n"/>
      <c r="G389" s="334" t="n"/>
      <c r="H389" s="334" t="n"/>
      <c r="I389" s="332">
        <f>IFERROR(VLOOKUP(TEXT(H389,"0"),IPRESS!$A$3:$B$212,2,0),"")</f>
        <v/>
      </c>
      <c r="J389" s="334" t="n"/>
      <c r="K389" s="332">
        <f>IFERROR(VLOOKUP(TEXT(O389,"0"),CONDUCTORES!$A$3:$G$54,7,0),"")</f>
        <v/>
      </c>
      <c r="L389" s="334" t="n"/>
      <c r="M389" s="334" t="n"/>
      <c r="N389" s="333">
        <f>IFERROR(IF(L389*M389=0,"",L389*M389),"")</f>
        <v/>
      </c>
      <c r="O389" s="334" t="n"/>
      <c r="P389" s="332">
        <f>IFERROR(VLOOKUP(TEXT(O389,"0"),CONDUCTORES!$A$3:$G$54,2,0),"")</f>
        <v/>
      </c>
      <c r="Q389" s="332">
        <f>IFERROR(VLOOKUP(TEXT(O389,"0"),CONDUCTORES!$A$3:$H$54,6,0),"")</f>
        <v/>
      </c>
      <c r="R389" s="334" t="n"/>
      <c r="S389" s="334" t="n"/>
      <c r="T389" s="334" t="n"/>
      <c r="U389" s="334" t="n"/>
      <c r="V389" s="334" t="n"/>
      <c r="W389" s="334" t="n"/>
      <c r="X389" s="334" t="n"/>
      <c r="Y389" s="334" t="n"/>
    </row>
    <row r="390" ht="15" customHeight="1" s="195">
      <c r="A390" s="280" t="n"/>
      <c r="B390" s="280" t="n"/>
      <c r="C390" s="280" t="n"/>
      <c r="D390" s="280" t="n"/>
      <c r="E390" s="280" t="n"/>
      <c r="F390" s="280" t="n"/>
      <c r="G390" s="280" t="n"/>
      <c r="H390" s="280" t="n"/>
      <c r="I390" s="332">
        <f>IFERROR(VLOOKUP(TEXT(H390,"0"),IPRESS!$A$3:$B$212,2,0),"")</f>
        <v/>
      </c>
      <c r="J390" s="280" t="n"/>
      <c r="K390" s="332">
        <f>IFERROR(VLOOKUP(TEXT(O390,"0"),CONDUCTORES!$A$3:$G$54,7,0),"")</f>
        <v/>
      </c>
      <c r="L390" s="280" t="n"/>
      <c r="M390" s="280" t="n"/>
      <c r="N390" s="333">
        <f>IFERROR(IF(L390*M390=0,"",L390*M390),"")</f>
        <v/>
      </c>
      <c r="O390" s="280" t="n"/>
      <c r="P390" s="332">
        <f>IFERROR(VLOOKUP(TEXT(O390,"0"),CONDUCTORES!$A$3:$G$54,2,0),"")</f>
        <v/>
      </c>
      <c r="Q390" s="332">
        <f>IFERROR(VLOOKUP(TEXT(O390,"0"),CONDUCTORES!$A$3:$H$54,6,0),"")</f>
        <v/>
      </c>
      <c r="R390" s="280" t="n"/>
      <c r="S390" s="280" t="n"/>
      <c r="T390" s="280" t="n"/>
      <c r="U390" s="280" t="n"/>
      <c r="V390" s="280" t="n"/>
      <c r="W390" s="280" t="n"/>
      <c r="X390" s="280" t="n"/>
      <c r="Y390" s="280" t="n"/>
    </row>
    <row r="391" ht="15" customHeight="1" s="195">
      <c r="A391" s="334" t="n"/>
      <c r="B391" s="334" t="n"/>
      <c r="C391" s="334" t="n"/>
      <c r="D391" s="334" t="n"/>
      <c r="E391" s="334" t="n"/>
      <c r="F391" s="334" t="n"/>
      <c r="G391" s="334" t="n"/>
      <c r="H391" s="334" t="n"/>
      <c r="I391" s="332">
        <f>IFERROR(VLOOKUP(TEXT(H391,"0"),IPRESS!$A$3:$B$212,2,0),"")</f>
        <v/>
      </c>
      <c r="J391" s="334" t="n"/>
      <c r="K391" s="332">
        <f>IFERROR(VLOOKUP(TEXT(O391,"0"),CONDUCTORES!$A$3:$G$54,7,0),"")</f>
        <v/>
      </c>
      <c r="L391" s="334" t="n"/>
      <c r="M391" s="334" t="n"/>
      <c r="N391" s="333">
        <f>IFERROR(IF(L391*M391=0,"",L391*M391),"")</f>
        <v/>
      </c>
      <c r="O391" s="334" t="n"/>
      <c r="P391" s="332">
        <f>IFERROR(VLOOKUP(TEXT(O391,"0"),CONDUCTORES!$A$3:$G$54,2,0),"")</f>
        <v/>
      </c>
      <c r="Q391" s="332">
        <f>IFERROR(VLOOKUP(TEXT(O391,"0"),CONDUCTORES!$A$3:$H$54,6,0),"")</f>
        <v/>
      </c>
      <c r="R391" s="334" t="n"/>
      <c r="S391" s="334" t="n"/>
      <c r="T391" s="334" t="n"/>
      <c r="U391" s="334" t="n"/>
      <c r="V391" s="334" t="n"/>
      <c r="W391" s="334" t="n"/>
      <c r="X391" s="334" t="n"/>
      <c r="Y391" s="334" t="n"/>
    </row>
    <row r="392" ht="15" customHeight="1" s="195">
      <c r="A392" s="280" t="n"/>
      <c r="B392" s="280" t="n"/>
      <c r="C392" s="280" t="n"/>
      <c r="D392" s="280" t="n"/>
      <c r="E392" s="280" t="n"/>
      <c r="F392" s="280" t="n"/>
      <c r="G392" s="280" t="n"/>
      <c r="H392" s="280" t="n"/>
      <c r="I392" s="332">
        <f>IFERROR(VLOOKUP(TEXT(H392,"0"),IPRESS!$A$3:$B$212,2,0),"")</f>
        <v/>
      </c>
      <c r="J392" s="280" t="n"/>
      <c r="K392" s="332">
        <f>IFERROR(VLOOKUP(TEXT(O392,"0"),CONDUCTORES!$A$3:$G$54,7,0),"")</f>
        <v/>
      </c>
      <c r="L392" s="280" t="n"/>
      <c r="M392" s="280" t="n"/>
      <c r="N392" s="333">
        <f>IFERROR(IF(L392*M392=0,"",L392*M392),"")</f>
        <v/>
      </c>
      <c r="O392" s="280" t="n"/>
      <c r="P392" s="332">
        <f>IFERROR(VLOOKUP(TEXT(O392,"0"),CONDUCTORES!$A$3:$G$54,2,0),"")</f>
        <v/>
      </c>
      <c r="Q392" s="332">
        <f>IFERROR(VLOOKUP(TEXT(O392,"0"),CONDUCTORES!$A$3:$H$54,6,0),"")</f>
        <v/>
      </c>
      <c r="R392" s="280" t="n"/>
      <c r="S392" s="280" t="n"/>
      <c r="T392" s="280" t="n"/>
      <c r="U392" s="280" t="n"/>
      <c r="V392" s="280" t="n"/>
      <c r="W392" s="280" t="n"/>
      <c r="X392" s="280" t="n"/>
      <c r="Y392" s="280" t="n"/>
    </row>
    <row r="393" ht="15" customHeight="1" s="195">
      <c r="A393" s="334" t="n"/>
      <c r="B393" s="334" t="n"/>
      <c r="C393" s="334" t="n"/>
      <c r="D393" s="334" t="n"/>
      <c r="E393" s="334" t="n"/>
      <c r="F393" s="334" t="n"/>
      <c r="G393" s="334" t="n"/>
      <c r="H393" s="334" t="n"/>
      <c r="I393" s="332">
        <f>IFERROR(VLOOKUP(TEXT(H393,"0"),IPRESS!$A$3:$B$212,2,0),"")</f>
        <v/>
      </c>
      <c r="J393" s="334" t="n"/>
      <c r="K393" s="332">
        <f>IFERROR(VLOOKUP(TEXT(O393,"0"),CONDUCTORES!$A$3:$G$54,7,0),"")</f>
        <v/>
      </c>
      <c r="L393" s="334" t="n"/>
      <c r="M393" s="334" t="n"/>
      <c r="N393" s="333">
        <f>IFERROR(IF(L393*M393=0,"",L393*M393),"")</f>
        <v/>
      </c>
      <c r="O393" s="334" t="n"/>
      <c r="P393" s="332">
        <f>IFERROR(VLOOKUP(TEXT(O393,"0"),CONDUCTORES!$A$3:$G$54,2,0),"")</f>
        <v/>
      </c>
      <c r="Q393" s="332">
        <f>IFERROR(VLOOKUP(TEXT(O393,"0"),CONDUCTORES!$A$3:$H$54,6,0),"")</f>
        <v/>
      </c>
      <c r="R393" s="334" t="n"/>
      <c r="S393" s="334" t="n"/>
      <c r="T393" s="334" t="n"/>
      <c r="U393" s="334" t="n"/>
      <c r="V393" s="334" t="n"/>
      <c r="W393" s="334" t="n"/>
      <c r="X393" s="334" t="n"/>
      <c r="Y393" s="334" t="n"/>
    </row>
    <row r="394" ht="15" customHeight="1" s="195">
      <c r="A394" s="280" t="n"/>
      <c r="B394" s="280" t="n"/>
      <c r="C394" s="280" t="n"/>
      <c r="D394" s="280" t="n"/>
      <c r="E394" s="280" t="n"/>
      <c r="F394" s="280" t="n"/>
      <c r="G394" s="280" t="n"/>
      <c r="H394" s="280" t="n"/>
      <c r="I394" s="332">
        <f>IFERROR(VLOOKUP(TEXT(H394,"0"),IPRESS!$A$3:$B$212,2,0),"")</f>
        <v/>
      </c>
      <c r="J394" s="280" t="n"/>
      <c r="K394" s="332">
        <f>IFERROR(VLOOKUP(TEXT(O394,"0"),CONDUCTORES!$A$3:$G$54,7,0),"")</f>
        <v/>
      </c>
      <c r="L394" s="280" t="n"/>
      <c r="M394" s="280" t="n"/>
      <c r="N394" s="333">
        <f>IFERROR(IF(L394*M394=0,"",L394*M394),"")</f>
        <v/>
      </c>
      <c r="O394" s="280" t="n"/>
      <c r="P394" s="332">
        <f>IFERROR(VLOOKUP(TEXT(O394,"0"),CONDUCTORES!$A$3:$G$54,2,0),"")</f>
        <v/>
      </c>
      <c r="Q394" s="332">
        <f>IFERROR(VLOOKUP(TEXT(O394,"0"),CONDUCTORES!$A$3:$H$54,6,0),"")</f>
        <v/>
      </c>
      <c r="R394" s="280" t="n"/>
      <c r="S394" s="280" t="n"/>
      <c r="T394" s="280" t="n"/>
      <c r="U394" s="280" t="n"/>
      <c r="V394" s="280" t="n"/>
      <c r="W394" s="280" t="n"/>
      <c r="X394" s="280" t="n"/>
      <c r="Y394" s="280" t="n"/>
    </row>
    <row r="395" ht="15" customHeight="1" s="195">
      <c r="A395" s="334" t="n"/>
      <c r="B395" s="334" t="n"/>
      <c r="C395" s="334" t="n"/>
      <c r="D395" s="334" t="n"/>
      <c r="E395" s="334" t="n"/>
      <c r="F395" s="334" t="n"/>
      <c r="G395" s="334" t="n"/>
      <c r="H395" s="334" t="n"/>
      <c r="I395" s="332">
        <f>IFERROR(VLOOKUP(TEXT(H395,"0"),IPRESS!$A$3:$B$212,2,0),"")</f>
        <v/>
      </c>
      <c r="J395" s="334" t="n"/>
      <c r="K395" s="332">
        <f>IFERROR(VLOOKUP(TEXT(O395,"0"),CONDUCTORES!$A$3:$G$54,7,0),"")</f>
        <v/>
      </c>
      <c r="L395" s="334" t="n"/>
      <c r="M395" s="334" t="n"/>
      <c r="N395" s="333">
        <f>IFERROR(IF(L395*M395=0,"",L395*M395),"")</f>
        <v/>
      </c>
      <c r="O395" s="334" t="n"/>
      <c r="P395" s="332">
        <f>IFERROR(VLOOKUP(TEXT(O395,"0"),CONDUCTORES!$A$3:$G$54,2,0),"")</f>
        <v/>
      </c>
      <c r="Q395" s="332">
        <f>IFERROR(VLOOKUP(TEXT(O395,"0"),CONDUCTORES!$A$3:$H$54,6,0),"")</f>
        <v/>
      </c>
      <c r="R395" s="334" t="n"/>
      <c r="S395" s="334" t="n"/>
      <c r="T395" s="334" t="n"/>
      <c r="U395" s="334" t="n"/>
      <c r="V395" s="334" t="n"/>
      <c r="W395" s="334" t="n"/>
      <c r="X395" s="334" t="n"/>
      <c r="Y395" s="334" t="n"/>
    </row>
    <row r="396" ht="15" customHeight="1" s="195">
      <c r="A396" s="280" t="n"/>
      <c r="B396" s="280" t="n"/>
      <c r="C396" s="280" t="n"/>
      <c r="D396" s="280" t="n"/>
      <c r="E396" s="280" t="n"/>
      <c r="F396" s="280" t="n"/>
      <c r="G396" s="280" t="n"/>
      <c r="H396" s="280" t="n"/>
      <c r="I396" s="332">
        <f>IFERROR(VLOOKUP(TEXT(H396,"0"),IPRESS!$A$3:$B$212,2,0),"")</f>
        <v/>
      </c>
      <c r="J396" s="280" t="n"/>
      <c r="K396" s="332">
        <f>IFERROR(VLOOKUP(TEXT(O396,"0"),CONDUCTORES!$A$3:$G$54,7,0),"")</f>
        <v/>
      </c>
      <c r="L396" s="280" t="n"/>
      <c r="M396" s="280" t="n"/>
      <c r="N396" s="333">
        <f>IFERROR(IF(L396*M396=0,"",L396*M396),"")</f>
        <v/>
      </c>
      <c r="O396" s="280" t="n"/>
      <c r="P396" s="332">
        <f>IFERROR(VLOOKUP(TEXT(O396,"0"),CONDUCTORES!$A$3:$G$54,2,0),"")</f>
        <v/>
      </c>
      <c r="Q396" s="332">
        <f>IFERROR(VLOOKUP(TEXT(O396,"0"),CONDUCTORES!$A$3:$H$54,6,0),"")</f>
        <v/>
      </c>
      <c r="R396" s="280" t="n"/>
      <c r="S396" s="280" t="n"/>
      <c r="T396" s="280" t="n"/>
      <c r="U396" s="280" t="n"/>
      <c r="V396" s="280" t="n"/>
      <c r="W396" s="280" t="n"/>
      <c r="X396" s="280" t="n"/>
      <c r="Y396" s="280" t="n"/>
    </row>
    <row r="397" ht="15" customHeight="1" s="195">
      <c r="A397" s="334" t="n"/>
      <c r="B397" s="334" t="n"/>
      <c r="C397" s="334" t="n"/>
      <c r="D397" s="334" t="n"/>
      <c r="E397" s="334" t="n"/>
      <c r="F397" s="334" t="n"/>
      <c r="G397" s="334" t="n"/>
      <c r="H397" s="334" t="n"/>
      <c r="I397" s="332">
        <f>IFERROR(VLOOKUP(TEXT(H397,"0"),IPRESS!$A$3:$B$212,2,0),"")</f>
        <v/>
      </c>
      <c r="J397" s="334" t="n"/>
      <c r="K397" s="332">
        <f>IFERROR(VLOOKUP(TEXT(O397,"0"),CONDUCTORES!$A$3:$G$54,7,0),"")</f>
        <v/>
      </c>
      <c r="L397" s="334" t="n"/>
      <c r="M397" s="334" t="n"/>
      <c r="N397" s="333">
        <f>IFERROR(IF(L397*M397=0,"",L397*M397),"")</f>
        <v/>
      </c>
      <c r="O397" s="334" t="n"/>
      <c r="P397" s="332">
        <f>IFERROR(VLOOKUP(TEXT(O397,"0"),CONDUCTORES!$A$3:$G$54,2,0),"")</f>
        <v/>
      </c>
      <c r="Q397" s="332">
        <f>IFERROR(VLOOKUP(TEXT(O397,"0"),CONDUCTORES!$A$3:$H$54,6,0),"")</f>
        <v/>
      </c>
      <c r="R397" s="334" t="n"/>
      <c r="S397" s="334" t="n"/>
      <c r="T397" s="334" t="n"/>
      <c r="U397" s="334" t="n"/>
      <c r="V397" s="334" t="n"/>
      <c r="W397" s="334" t="n"/>
      <c r="X397" s="334" t="n"/>
      <c r="Y397" s="334" t="n"/>
    </row>
    <row r="398" ht="15" customHeight="1" s="195">
      <c r="A398" s="280" t="n"/>
      <c r="B398" s="280" t="n"/>
      <c r="C398" s="280" t="n"/>
      <c r="D398" s="280" t="n"/>
      <c r="E398" s="280" t="n"/>
      <c r="F398" s="280" t="n"/>
      <c r="G398" s="280" t="n"/>
      <c r="H398" s="280" t="n"/>
      <c r="I398" s="332">
        <f>IFERROR(VLOOKUP(TEXT(H398,"0"),IPRESS!$A$3:$B$212,2,0),"")</f>
        <v/>
      </c>
      <c r="J398" s="280" t="n"/>
      <c r="K398" s="332">
        <f>IFERROR(VLOOKUP(TEXT(O398,"0"),CONDUCTORES!$A$3:$G$54,7,0),"")</f>
        <v/>
      </c>
      <c r="L398" s="280" t="n"/>
      <c r="M398" s="280" t="n"/>
      <c r="N398" s="333">
        <f>IFERROR(IF(L398*M398=0,"",L398*M398),"")</f>
        <v/>
      </c>
      <c r="O398" s="280" t="n"/>
      <c r="P398" s="332">
        <f>IFERROR(VLOOKUP(TEXT(O398,"0"),CONDUCTORES!$A$3:$G$54,2,0),"")</f>
        <v/>
      </c>
      <c r="Q398" s="332">
        <f>IFERROR(VLOOKUP(TEXT(O398,"0"),CONDUCTORES!$A$3:$H$54,6,0),"")</f>
        <v/>
      </c>
      <c r="R398" s="280" t="n"/>
      <c r="S398" s="280" t="n"/>
      <c r="T398" s="280" t="n"/>
      <c r="U398" s="280" t="n"/>
      <c r="V398" s="280" t="n"/>
      <c r="W398" s="280" t="n"/>
      <c r="X398" s="280" t="n"/>
      <c r="Y398" s="280" t="n"/>
    </row>
    <row r="399" ht="15" customHeight="1" s="195">
      <c r="A399" s="334" t="n"/>
      <c r="B399" s="334" t="n"/>
      <c r="C399" s="334" t="n"/>
      <c r="D399" s="334" t="n"/>
      <c r="E399" s="334" t="n"/>
      <c r="F399" s="334" t="n"/>
      <c r="G399" s="334" t="n"/>
      <c r="H399" s="334" t="n"/>
      <c r="I399" s="332">
        <f>IFERROR(VLOOKUP(TEXT(H399,"0"),IPRESS!$A$3:$B$212,2,0),"")</f>
        <v/>
      </c>
      <c r="J399" s="334" t="n"/>
      <c r="K399" s="332">
        <f>IFERROR(VLOOKUP(TEXT(O399,"0"),CONDUCTORES!$A$3:$G$54,7,0),"")</f>
        <v/>
      </c>
      <c r="L399" s="334" t="n"/>
      <c r="M399" s="334" t="n"/>
      <c r="N399" s="333">
        <f>IFERROR(IF(L399*M399=0,"",L399*M399),"")</f>
        <v/>
      </c>
      <c r="O399" s="334" t="n"/>
      <c r="P399" s="332">
        <f>IFERROR(VLOOKUP(TEXT(O399,"0"),CONDUCTORES!$A$3:$G$54,2,0),"")</f>
        <v/>
      </c>
      <c r="Q399" s="332">
        <f>IFERROR(VLOOKUP(TEXT(O399,"0"),CONDUCTORES!$A$3:$H$54,6,0),"")</f>
        <v/>
      </c>
      <c r="R399" s="334" t="n"/>
      <c r="S399" s="334" t="n"/>
      <c r="T399" s="334" t="n"/>
      <c r="U399" s="334" t="n"/>
      <c r="V399" s="334" t="n"/>
      <c r="W399" s="334" t="n"/>
      <c r="X399" s="334" t="n"/>
      <c r="Y399" s="334" t="n"/>
    </row>
    <row r="400" ht="15" customHeight="1" s="195">
      <c r="A400" s="280" t="n"/>
      <c r="B400" s="280" t="n"/>
      <c r="C400" s="280" t="n"/>
      <c r="D400" s="280" t="n"/>
      <c r="E400" s="280" t="n"/>
      <c r="F400" s="280" t="n"/>
      <c r="G400" s="280" t="n"/>
      <c r="H400" s="280" t="n"/>
      <c r="I400" s="332">
        <f>IFERROR(VLOOKUP(TEXT(H400,"0"),IPRESS!$A$3:$B$212,2,0),"")</f>
        <v/>
      </c>
      <c r="J400" s="280" t="n"/>
      <c r="K400" s="332">
        <f>IFERROR(VLOOKUP(TEXT(O400,"0"),CONDUCTORES!$A$3:$G$54,7,0),"")</f>
        <v/>
      </c>
      <c r="L400" s="280" t="n"/>
      <c r="M400" s="280" t="n"/>
      <c r="N400" s="333">
        <f>IFERROR(IF(L400*M400=0,"",L400*M400),"")</f>
        <v/>
      </c>
      <c r="O400" s="280" t="n"/>
      <c r="P400" s="332">
        <f>IFERROR(VLOOKUP(TEXT(O400,"0"),CONDUCTORES!$A$3:$G$54,2,0),"")</f>
        <v/>
      </c>
      <c r="Q400" s="332">
        <f>IFERROR(VLOOKUP(TEXT(O400,"0"),CONDUCTORES!$A$3:$H$54,6,0),"")</f>
        <v/>
      </c>
      <c r="R400" s="280" t="n"/>
      <c r="S400" s="280" t="n"/>
      <c r="T400" s="280" t="n"/>
      <c r="U400" s="280" t="n"/>
      <c r="V400" s="280" t="n"/>
      <c r="W400" s="280" t="n"/>
      <c r="X400" s="280" t="n"/>
      <c r="Y400" s="280" t="n"/>
    </row>
    <row r="401" ht="15" customHeight="1" s="195">
      <c r="A401" s="334" t="n"/>
      <c r="B401" s="334" t="n"/>
      <c r="C401" s="334" t="n"/>
      <c r="D401" s="334" t="n"/>
      <c r="E401" s="334" t="n"/>
      <c r="F401" s="334" t="n"/>
      <c r="G401" s="334" t="n"/>
      <c r="H401" s="334" t="n"/>
      <c r="I401" s="332">
        <f>IFERROR(VLOOKUP(TEXT(H401,"0"),IPRESS!$A$3:$B$212,2,0),"")</f>
        <v/>
      </c>
      <c r="J401" s="334" t="n"/>
      <c r="K401" s="332">
        <f>IFERROR(VLOOKUP(TEXT(O401,"0"),CONDUCTORES!$A$3:$G$54,7,0),"")</f>
        <v/>
      </c>
      <c r="L401" s="334" t="n"/>
      <c r="M401" s="334" t="n"/>
      <c r="N401" s="333">
        <f>IFERROR(IF(L401*M401=0,"",L401*M401),"")</f>
        <v/>
      </c>
      <c r="O401" s="334" t="n"/>
      <c r="P401" s="332">
        <f>IFERROR(VLOOKUP(TEXT(O401,"0"),CONDUCTORES!$A$3:$G$54,2,0),"")</f>
        <v/>
      </c>
      <c r="Q401" s="332">
        <f>IFERROR(VLOOKUP(TEXT(O401,"0"),CONDUCTORES!$A$3:$H$54,6,0),"")</f>
        <v/>
      </c>
      <c r="R401" s="334" t="n"/>
      <c r="S401" s="334" t="n"/>
      <c r="T401" s="334" t="n"/>
      <c r="U401" s="334" t="n"/>
      <c r="V401" s="334" t="n"/>
      <c r="W401" s="334" t="n"/>
      <c r="X401" s="334" t="n"/>
      <c r="Y401" s="334" t="n"/>
    </row>
    <row r="402" ht="15" customHeight="1" s="195">
      <c r="A402" s="280" t="n"/>
      <c r="B402" s="280" t="n"/>
      <c r="C402" s="280" t="n"/>
      <c r="D402" s="280" t="n"/>
      <c r="E402" s="280" t="n"/>
      <c r="F402" s="280" t="n"/>
      <c r="G402" s="280" t="n"/>
      <c r="H402" s="280" t="n"/>
      <c r="I402" s="332">
        <f>IFERROR(VLOOKUP(TEXT(H402,"0"),IPRESS!$A$3:$B$212,2,0),"")</f>
        <v/>
      </c>
      <c r="J402" s="280" t="n"/>
      <c r="K402" s="332">
        <f>IFERROR(VLOOKUP(TEXT(O402,"0"),CONDUCTORES!$A$3:$G$54,7,0),"")</f>
        <v/>
      </c>
      <c r="L402" s="280" t="n"/>
      <c r="M402" s="280" t="n"/>
      <c r="N402" s="333">
        <f>IFERROR(IF(L402*M402=0,"",L402*M402),"")</f>
        <v/>
      </c>
      <c r="O402" s="280" t="n"/>
      <c r="P402" s="332">
        <f>IFERROR(VLOOKUP(TEXT(O402,"0"),CONDUCTORES!$A$3:$G$54,2,0),"")</f>
        <v/>
      </c>
      <c r="Q402" s="332">
        <f>IFERROR(VLOOKUP(TEXT(O402,"0"),CONDUCTORES!$A$3:$H$54,6,0),"")</f>
        <v/>
      </c>
      <c r="R402" s="280" t="n"/>
      <c r="S402" s="280" t="n"/>
      <c r="T402" s="280" t="n"/>
      <c r="U402" s="280" t="n"/>
      <c r="V402" s="280" t="n"/>
      <c r="W402" s="280" t="n"/>
      <c r="X402" s="280" t="n"/>
      <c r="Y402" s="280" t="n"/>
    </row>
    <row r="403" ht="15" customHeight="1" s="195">
      <c r="A403" s="334" t="n"/>
      <c r="B403" s="334" t="n"/>
      <c r="C403" s="334" t="n"/>
      <c r="D403" s="334" t="n"/>
      <c r="E403" s="334" t="n"/>
      <c r="F403" s="334" t="n"/>
      <c r="G403" s="334" t="n"/>
      <c r="H403" s="334" t="n"/>
      <c r="I403" s="332">
        <f>IFERROR(VLOOKUP(TEXT(H403,"0"),IPRESS!$A$3:$B$212,2,0),"")</f>
        <v/>
      </c>
      <c r="J403" s="334" t="n"/>
      <c r="K403" s="332">
        <f>IFERROR(VLOOKUP(TEXT(O403,"0"),CONDUCTORES!$A$3:$G$54,7,0),"")</f>
        <v/>
      </c>
      <c r="L403" s="334" t="n"/>
      <c r="M403" s="334" t="n"/>
      <c r="N403" s="333">
        <f>IFERROR(IF(L403*M403=0,"",L403*M403),"")</f>
        <v/>
      </c>
      <c r="O403" s="334" t="n"/>
      <c r="P403" s="332">
        <f>IFERROR(VLOOKUP(TEXT(O403,"0"),CONDUCTORES!$A$3:$G$54,2,0),"")</f>
        <v/>
      </c>
      <c r="Q403" s="332">
        <f>IFERROR(VLOOKUP(TEXT(O403,"0"),CONDUCTORES!$A$3:$H$54,6,0),"")</f>
        <v/>
      </c>
      <c r="R403" s="334" t="n"/>
      <c r="S403" s="334" t="n"/>
      <c r="T403" s="334" t="n"/>
      <c r="U403" s="334" t="n"/>
      <c r="V403" s="334" t="n"/>
      <c r="W403" s="334" t="n"/>
      <c r="X403" s="334" t="n"/>
      <c r="Y403" s="334" t="n"/>
    </row>
    <row r="404" ht="15" customHeight="1" s="195">
      <c r="A404" s="280" t="n"/>
      <c r="B404" s="280" t="n"/>
      <c r="C404" s="280" t="n"/>
      <c r="D404" s="280" t="n"/>
      <c r="E404" s="280" t="n"/>
      <c r="F404" s="280" t="n"/>
      <c r="G404" s="280" t="n"/>
      <c r="H404" s="280" t="n"/>
      <c r="I404" s="332">
        <f>IFERROR(VLOOKUP(TEXT(H404,"0"),IPRESS!$A$3:$B$212,2,0),"")</f>
        <v/>
      </c>
      <c r="J404" s="280" t="n"/>
      <c r="K404" s="332">
        <f>IFERROR(VLOOKUP(TEXT(O404,"0"),CONDUCTORES!$A$3:$G$54,7,0),"")</f>
        <v/>
      </c>
      <c r="L404" s="280" t="n"/>
      <c r="M404" s="280" t="n"/>
      <c r="N404" s="333">
        <f>IFERROR(IF(L404*M404=0,"",L404*M404),"")</f>
        <v/>
      </c>
      <c r="O404" s="280" t="n"/>
      <c r="P404" s="332">
        <f>IFERROR(VLOOKUP(TEXT(O404,"0"),CONDUCTORES!$A$3:$G$54,2,0),"")</f>
        <v/>
      </c>
      <c r="Q404" s="332">
        <f>IFERROR(VLOOKUP(TEXT(O404,"0"),CONDUCTORES!$A$3:$H$54,6,0),"")</f>
        <v/>
      </c>
      <c r="R404" s="280" t="n"/>
      <c r="S404" s="280" t="n"/>
      <c r="T404" s="280" t="n"/>
      <c r="U404" s="280" t="n"/>
      <c r="V404" s="280" t="n"/>
      <c r="W404" s="280" t="n"/>
      <c r="X404" s="280" t="n"/>
      <c r="Y404" s="280" t="n"/>
    </row>
    <row r="405" ht="15" customHeight="1" s="195">
      <c r="A405" s="334" t="n"/>
      <c r="B405" s="334" t="n"/>
      <c r="C405" s="334" t="n"/>
      <c r="D405" s="334" t="n"/>
      <c r="E405" s="334" t="n"/>
      <c r="F405" s="334" t="n"/>
      <c r="G405" s="334" t="n"/>
      <c r="H405" s="334" t="n"/>
      <c r="I405" s="332">
        <f>IFERROR(VLOOKUP(TEXT(H405,"0"),IPRESS!$A$3:$B$212,2,0),"")</f>
        <v/>
      </c>
      <c r="J405" s="334" t="n"/>
      <c r="K405" s="332">
        <f>IFERROR(VLOOKUP(TEXT(O405,"0"),CONDUCTORES!$A$3:$G$54,7,0),"")</f>
        <v/>
      </c>
      <c r="L405" s="334" t="n"/>
      <c r="M405" s="334" t="n"/>
      <c r="N405" s="333">
        <f>IFERROR(IF(L405*M405=0,"",L405*M405),"")</f>
        <v/>
      </c>
      <c r="O405" s="334" t="n"/>
      <c r="P405" s="332">
        <f>IFERROR(VLOOKUP(TEXT(O405,"0"),CONDUCTORES!$A$3:$G$54,2,0),"")</f>
        <v/>
      </c>
      <c r="Q405" s="332">
        <f>IFERROR(VLOOKUP(TEXT(O405,"0"),CONDUCTORES!$A$3:$H$54,6,0),"")</f>
        <v/>
      </c>
      <c r="R405" s="334" t="n"/>
      <c r="S405" s="334" t="n"/>
      <c r="T405" s="334" t="n"/>
      <c r="U405" s="334" t="n"/>
      <c r="V405" s="334" t="n"/>
      <c r="W405" s="334" t="n"/>
      <c r="X405" s="334" t="n"/>
      <c r="Y405" s="334" t="n"/>
    </row>
    <row r="406" ht="15" customHeight="1" s="195">
      <c r="A406" s="280" t="n"/>
      <c r="B406" s="280" t="n"/>
      <c r="C406" s="280" t="n"/>
      <c r="D406" s="280" t="n"/>
      <c r="E406" s="280" t="n"/>
      <c r="F406" s="280" t="n"/>
      <c r="G406" s="280" t="n"/>
      <c r="H406" s="280" t="n"/>
      <c r="I406" s="332">
        <f>IFERROR(VLOOKUP(TEXT(H406,"0"),IPRESS!$A$3:$B$212,2,0),"")</f>
        <v/>
      </c>
      <c r="J406" s="280" t="n"/>
      <c r="K406" s="332">
        <f>IFERROR(VLOOKUP(TEXT(O406,"0"),CONDUCTORES!$A$3:$G$54,7,0),"")</f>
        <v/>
      </c>
      <c r="L406" s="280" t="n"/>
      <c r="M406" s="280" t="n"/>
      <c r="N406" s="333">
        <f>IFERROR(IF(L406*M406=0,"",L406*M406),"")</f>
        <v/>
      </c>
      <c r="O406" s="280" t="n"/>
      <c r="P406" s="332">
        <f>IFERROR(VLOOKUP(TEXT(O406,"0"),CONDUCTORES!$A$3:$G$54,2,0),"")</f>
        <v/>
      </c>
      <c r="Q406" s="332">
        <f>IFERROR(VLOOKUP(TEXT(O406,"0"),CONDUCTORES!$A$3:$H$54,6,0),"")</f>
        <v/>
      </c>
      <c r="R406" s="280" t="n"/>
      <c r="S406" s="280" t="n"/>
      <c r="T406" s="280" t="n"/>
      <c r="U406" s="280" t="n"/>
      <c r="V406" s="280" t="n"/>
      <c r="W406" s="280" t="n"/>
      <c r="X406" s="280" t="n"/>
      <c r="Y406" s="280" t="n"/>
    </row>
    <row r="407" ht="15" customHeight="1" s="195">
      <c r="A407" s="334" t="n"/>
      <c r="B407" s="334" t="n"/>
      <c r="C407" s="334" t="n"/>
      <c r="D407" s="334" t="n"/>
      <c r="E407" s="334" t="n"/>
      <c r="F407" s="334" t="n"/>
      <c r="G407" s="334" t="n"/>
      <c r="H407" s="334" t="n"/>
      <c r="I407" s="332">
        <f>IFERROR(VLOOKUP(TEXT(H407,"0"),IPRESS!$A$3:$B$212,2,0),"")</f>
        <v/>
      </c>
      <c r="J407" s="334" t="n"/>
      <c r="K407" s="332">
        <f>IFERROR(VLOOKUP(TEXT(O407,"0"),CONDUCTORES!$A$3:$G$54,7,0),"")</f>
        <v/>
      </c>
      <c r="L407" s="334" t="n"/>
      <c r="M407" s="334" t="n"/>
      <c r="N407" s="333">
        <f>IFERROR(IF(L407*M407=0,"",L407*M407),"")</f>
        <v/>
      </c>
      <c r="O407" s="334" t="n"/>
      <c r="P407" s="332">
        <f>IFERROR(VLOOKUP(TEXT(O407,"0"),CONDUCTORES!$A$3:$G$54,2,0),"")</f>
        <v/>
      </c>
      <c r="Q407" s="332">
        <f>IFERROR(VLOOKUP(TEXT(O407,"0"),CONDUCTORES!$A$3:$H$54,6,0),"")</f>
        <v/>
      </c>
      <c r="R407" s="334" t="n"/>
      <c r="S407" s="334" t="n"/>
      <c r="T407" s="334" t="n"/>
      <c r="U407" s="334" t="n"/>
      <c r="V407" s="334" t="n"/>
      <c r="W407" s="334" t="n"/>
      <c r="X407" s="334" t="n"/>
      <c r="Y407" s="334" t="n"/>
    </row>
    <row r="408" ht="15" customHeight="1" s="195">
      <c r="A408" s="280" t="n"/>
      <c r="B408" s="280" t="n"/>
      <c r="C408" s="280" t="n"/>
      <c r="D408" s="280" t="n"/>
      <c r="E408" s="280" t="n"/>
      <c r="F408" s="280" t="n"/>
      <c r="G408" s="280" t="n"/>
      <c r="H408" s="280" t="n"/>
      <c r="I408" s="332">
        <f>IFERROR(VLOOKUP(TEXT(H408,"0"),IPRESS!$A$3:$B$212,2,0),"")</f>
        <v/>
      </c>
      <c r="J408" s="280" t="n"/>
      <c r="K408" s="332">
        <f>IFERROR(VLOOKUP(TEXT(O408,"0"),CONDUCTORES!$A$3:$G$54,7,0),"")</f>
        <v/>
      </c>
      <c r="L408" s="280" t="n"/>
      <c r="M408" s="280" t="n"/>
      <c r="N408" s="333">
        <f>IFERROR(IF(L408*M408=0,"",L408*M408),"")</f>
        <v/>
      </c>
      <c r="O408" s="280" t="n"/>
      <c r="P408" s="332">
        <f>IFERROR(VLOOKUP(TEXT(O408,"0"),CONDUCTORES!$A$3:$G$54,2,0),"")</f>
        <v/>
      </c>
      <c r="Q408" s="332">
        <f>IFERROR(VLOOKUP(TEXT(O408,"0"),CONDUCTORES!$A$3:$H$54,6,0),"")</f>
        <v/>
      </c>
      <c r="R408" s="280" t="n"/>
      <c r="S408" s="280" t="n"/>
      <c r="T408" s="280" t="n"/>
      <c r="U408" s="280" t="n"/>
      <c r="V408" s="280" t="n"/>
      <c r="W408" s="280" t="n"/>
      <c r="X408" s="280" t="n"/>
      <c r="Y408" s="280" t="n"/>
    </row>
    <row r="409" ht="15" customHeight="1" s="195">
      <c r="A409" s="334" t="n"/>
      <c r="B409" s="334" t="n"/>
      <c r="C409" s="334" t="n"/>
      <c r="D409" s="334" t="n"/>
      <c r="E409" s="334" t="n"/>
      <c r="F409" s="334" t="n"/>
      <c r="G409" s="334" t="n"/>
      <c r="H409" s="334" t="n"/>
      <c r="I409" s="332">
        <f>IFERROR(VLOOKUP(TEXT(H409,"0"),IPRESS!$A$3:$B$212,2,0),"")</f>
        <v/>
      </c>
      <c r="J409" s="334" t="n"/>
      <c r="K409" s="332">
        <f>IFERROR(VLOOKUP(TEXT(O409,"0"),CONDUCTORES!$A$3:$G$54,7,0),"")</f>
        <v/>
      </c>
      <c r="L409" s="334" t="n"/>
      <c r="M409" s="334" t="n"/>
      <c r="N409" s="333">
        <f>IFERROR(IF(L409*M409=0,"",L409*M409),"")</f>
        <v/>
      </c>
      <c r="O409" s="334" t="n"/>
      <c r="P409" s="332">
        <f>IFERROR(VLOOKUP(TEXT(O409,"0"),CONDUCTORES!$A$3:$G$54,2,0),"")</f>
        <v/>
      </c>
      <c r="Q409" s="332">
        <f>IFERROR(VLOOKUP(TEXT(O409,"0"),CONDUCTORES!$A$3:$H$54,6,0),"")</f>
        <v/>
      </c>
      <c r="R409" s="334" t="n"/>
      <c r="S409" s="334" t="n"/>
      <c r="T409" s="334" t="n"/>
      <c r="U409" s="334" t="n"/>
      <c r="V409" s="334" t="n"/>
      <c r="W409" s="334" t="n"/>
      <c r="X409" s="334" t="n"/>
      <c r="Y409" s="334" t="n"/>
    </row>
    <row r="410" ht="15" customHeight="1" s="195">
      <c r="A410" s="280" t="n"/>
      <c r="B410" s="280" t="n"/>
      <c r="C410" s="280" t="n"/>
      <c r="D410" s="280" t="n"/>
      <c r="E410" s="280" t="n"/>
      <c r="F410" s="280" t="n"/>
      <c r="G410" s="280" t="n"/>
      <c r="H410" s="280" t="n"/>
      <c r="I410" s="332">
        <f>IFERROR(VLOOKUP(TEXT(H410,"0"),IPRESS!$A$3:$B$212,2,0),"")</f>
        <v/>
      </c>
      <c r="J410" s="280" t="n"/>
      <c r="K410" s="332">
        <f>IFERROR(VLOOKUP(TEXT(O410,"0"),CONDUCTORES!$A$3:$G$54,7,0),"")</f>
        <v/>
      </c>
      <c r="L410" s="280" t="n"/>
      <c r="M410" s="280" t="n"/>
      <c r="N410" s="333">
        <f>IFERROR(IF(L410*M410=0,"",L410*M410),"")</f>
        <v/>
      </c>
      <c r="O410" s="280" t="n"/>
      <c r="P410" s="332">
        <f>IFERROR(VLOOKUP(TEXT(O410,"0"),CONDUCTORES!$A$3:$G$54,2,0),"")</f>
        <v/>
      </c>
      <c r="Q410" s="332">
        <f>IFERROR(VLOOKUP(TEXT(O410,"0"),CONDUCTORES!$A$3:$H$54,6,0),"")</f>
        <v/>
      </c>
      <c r="R410" s="280" t="n"/>
      <c r="S410" s="280" t="n"/>
      <c r="T410" s="280" t="n"/>
      <c r="U410" s="280" t="n"/>
      <c r="V410" s="280" t="n"/>
      <c r="W410" s="280" t="n"/>
      <c r="X410" s="280" t="n"/>
      <c r="Y410" s="280" t="n"/>
    </row>
    <row r="411" ht="15" customHeight="1" s="195">
      <c r="A411" s="334" t="n"/>
      <c r="B411" s="334" t="n"/>
      <c r="C411" s="334" t="n"/>
      <c r="D411" s="334" t="n"/>
      <c r="E411" s="334" t="n"/>
      <c r="F411" s="334" t="n"/>
      <c r="G411" s="334" t="n"/>
      <c r="H411" s="334" t="n"/>
      <c r="I411" s="332">
        <f>IFERROR(VLOOKUP(TEXT(H411,"0"),IPRESS!$A$3:$B$212,2,0),"")</f>
        <v/>
      </c>
      <c r="J411" s="334" t="n"/>
      <c r="K411" s="332">
        <f>IFERROR(VLOOKUP(TEXT(O411,"0"),CONDUCTORES!$A$3:$G$54,7,0),"")</f>
        <v/>
      </c>
      <c r="L411" s="334" t="n"/>
      <c r="M411" s="334" t="n"/>
      <c r="N411" s="333">
        <f>IFERROR(IF(L411*M411=0,"",L411*M411),"")</f>
        <v/>
      </c>
      <c r="O411" s="334" t="n"/>
      <c r="P411" s="332">
        <f>IFERROR(VLOOKUP(TEXT(O411,"0"),CONDUCTORES!$A$3:$G$54,2,0),"")</f>
        <v/>
      </c>
      <c r="Q411" s="332">
        <f>IFERROR(VLOOKUP(TEXT(O411,"0"),CONDUCTORES!$A$3:$H$54,6,0),"")</f>
        <v/>
      </c>
      <c r="R411" s="334" t="n"/>
      <c r="S411" s="334" t="n"/>
      <c r="T411" s="334" t="n"/>
      <c r="U411" s="334" t="n"/>
      <c r="V411" s="334" t="n"/>
      <c r="W411" s="334" t="n"/>
      <c r="X411" s="334" t="n"/>
      <c r="Y411" s="334" t="n"/>
    </row>
    <row r="412" ht="15" customHeight="1" s="195">
      <c r="A412" s="280" t="n"/>
      <c r="B412" s="280" t="n"/>
      <c r="C412" s="280" t="n"/>
      <c r="D412" s="280" t="n"/>
      <c r="E412" s="280" t="n"/>
      <c r="F412" s="280" t="n"/>
      <c r="G412" s="280" t="n"/>
      <c r="H412" s="280" t="n"/>
      <c r="I412" s="332">
        <f>IFERROR(VLOOKUP(TEXT(H412,"0"),IPRESS!$A$3:$B$212,2,0),"")</f>
        <v/>
      </c>
      <c r="J412" s="280" t="n"/>
      <c r="K412" s="332">
        <f>IFERROR(VLOOKUP(TEXT(O412,"0"),CONDUCTORES!$A$3:$G$54,7,0),"")</f>
        <v/>
      </c>
      <c r="L412" s="280" t="n"/>
      <c r="M412" s="280" t="n"/>
      <c r="N412" s="333">
        <f>IFERROR(IF(L412*M412=0,"",L412*M412),"")</f>
        <v/>
      </c>
      <c r="O412" s="280" t="n"/>
      <c r="P412" s="332">
        <f>IFERROR(VLOOKUP(TEXT(O412,"0"),CONDUCTORES!$A$3:$G$54,2,0),"")</f>
        <v/>
      </c>
      <c r="Q412" s="332">
        <f>IFERROR(VLOOKUP(TEXT(O412,"0"),CONDUCTORES!$A$3:$H$54,6,0),"")</f>
        <v/>
      </c>
      <c r="R412" s="280" t="n"/>
      <c r="S412" s="280" t="n"/>
      <c r="T412" s="280" t="n"/>
      <c r="U412" s="280" t="n"/>
      <c r="V412" s="280" t="n"/>
      <c r="W412" s="280" t="n"/>
      <c r="X412" s="280" t="n"/>
      <c r="Y412" s="280" t="n"/>
    </row>
    <row r="413" ht="15" customHeight="1" s="195">
      <c r="A413" s="334" t="n"/>
      <c r="B413" s="334" t="n"/>
      <c r="C413" s="334" t="n"/>
      <c r="D413" s="334" t="n"/>
      <c r="E413" s="334" t="n"/>
      <c r="F413" s="334" t="n"/>
      <c r="G413" s="334" t="n"/>
      <c r="H413" s="334" t="n"/>
      <c r="I413" s="332">
        <f>IFERROR(VLOOKUP(TEXT(H413,"0"),IPRESS!$A$3:$B$212,2,0),"")</f>
        <v/>
      </c>
      <c r="J413" s="334" t="n"/>
      <c r="K413" s="332">
        <f>IFERROR(VLOOKUP(TEXT(O413,"0"),CONDUCTORES!$A$3:$G$54,7,0),"")</f>
        <v/>
      </c>
      <c r="L413" s="334" t="n"/>
      <c r="M413" s="334" t="n"/>
      <c r="N413" s="333">
        <f>IFERROR(IF(L413*M413=0,"",L413*M413),"")</f>
        <v/>
      </c>
      <c r="O413" s="334" t="n"/>
      <c r="P413" s="332">
        <f>IFERROR(VLOOKUP(TEXT(O413,"0"),CONDUCTORES!$A$3:$G$54,2,0),"")</f>
        <v/>
      </c>
      <c r="Q413" s="332">
        <f>IFERROR(VLOOKUP(TEXT(O413,"0"),CONDUCTORES!$A$3:$H$54,6,0),"")</f>
        <v/>
      </c>
      <c r="R413" s="334" t="n"/>
      <c r="S413" s="334" t="n"/>
      <c r="T413" s="334" t="n"/>
      <c r="U413" s="334" t="n"/>
      <c r="V413" s="334" t="n"/>
      <c r="W413" s="334" t="n"/>
      <c r="X413" s="334" t="n"/>
      <c r="Y413" s="334" t="n"/>
    </row>
    <row r="414" ht="15" customHeight="1" s="195">
      <c r="A414" s="280" t="n"/>
      <c r="B414" s="280" t="n"/>
      <c r="C414" s="280" t="n"/>
      <c r="D414" s="280" t="n"/>
      <c r="E414" s="280" t="n"/>
      <c r="F414" s="280" t="n"/>
      <c r="G414" s="280" t="n"/>
      <c r="H414" s="280" t="n"/>
      <c r="I414" s="332">
        <f>IFERROR(VLOOKUP(TEXT(H414,"0"),IPRESS!$A$3:$B$212,2,0),"")</f>
        <v/>
      </c>
      <c r="J414" s="280" t="n"/>
      <c r="K414" s="332">
        <f>IFERROR(VLOOKUP(TEXT(O414,"0"),CONDUCTORES!$A$3:$G$54,7,0),"")</f>
        <v/>
      </c>
      <c r="L414" s="280" t="n"/>
      <c r="M414" s="280" t="n"/>
      <c r="N414" s="333">
        <f>IFERROR(IF(L414*M414=0,"",L414*M414),"")</f>
        <v/>
      </c>
      <c r="O414" s="280" t="n"/>
      <c r="P414" s="332">
        <f>IFERROR(VLOOKUP(TEXT(O414,"0"),CONDUCTORES!$A$3:$G$54,2,0),"")</f>
        <v/>
      </c>
      <c r="Q414" s="332">
        <f>IFERROR(VLOOKUP(TEXT(O414,"0"),CONDUCTORES!$A$3:$H$54,6,0),"")</f>
        <v/>
      </c>
      <c r="R414" s="280" t="n"/>
      <c r="S414" s="280" t="n"/>
      <c r="T414" s="280" t="n"/>
      <c r="U414" s="280" t="n"/>
      <c r="V414" s="280" t="n"/>
      <c r="W414" s="280" t="n"/>
      <c r="X414" s="280" t="n"/>
      <c r="Y414" s="280" t="n"/>
    </row>
    <row r="415" ht="15" customHeight="1" s="195">
      <c r="A415" s="334" t="n"/>
      <c r="B415" s="334" t="n"/>
      <c r="C415" s="334" t="n"/>
      <c r="D415" s="334" t="n"/>
      <c r="E415" s="334" t="n"/>
      <c r="F415" s="334" t="n"/>
      <c r="G415" s="334" t="n"/>
      <c r="H415" s="334" t="n"/>
      <c r="I415" s="332">
        <f>IFERROR(VLOOKUP(TEXT(H415,"0"),IPRESS!$A$3:$B$212,2,0),"")</f>
        <v/>
      </c>
      <c r="J415" s="334" t="n"/>
      <c r="K415" s="332">
        <f>IFERROR(VLOOKUP(TEXT(O415,"0"),CONDUCTORES!$A$3:$G$54,7,0),"")</f>
        <v/>
      </c>
      <c r="L415" s="334" t="n"/>
      <c r="M415" s="334" t="n"/>
      <c r="N415" s="333">
        <f>IFERROR(IF(L415*M415=0,"",L415*M415),"")</f>
        <v/>
      </c>
      <c r="O415" s="334" t="n"/>
      <c r="P415" s="332">
        <f>IFERROR(VLOOKUP(TEXT(O415,"0"),CONDUCTORES!$A$3:$G$54,2,0),"")</f>
        <v/>
      </c>
      <c r="Q415" s="332">
        <f>IFERROR(VLOOKUP(TEXT(O415,"0"),CONDUCTORES!$A$3:$H$54,6,0),"")</f>
        <v/>
      </c>
      <c r="R415" s="334" t="n"/>
      <c r="S415" s="334" t="n"/>
      <c r="T415" s="334" t="n"/>
      <c r="U415" s="334" t="n"/>
      <c r="V415" s="334" t="n"/>
      <c r="W415" s="334" t="n"/>
      <c r="X415" s="334" t="n"/>
      <c r="Y415" s="334" t="n"/>
    </row>
    <row r="416" ht="15" customHeight="1" s="195">
      <c r="A416" s="280" t="n"/>
      <c r="B416" s="280" t="n"/>
      <c r="C416" s="280" t="n"/>
      <c r="D416" s="280" t="n"/>
      <c r="E416" s="280" t="n"/>
      <c r="F416" s="280" t="n"/>
      <c r="G416" s="280" t="n"/>
      <c r="H416" s="280" t="n"/>
      <c r="I416" s="332">
        <f>IFERROR(VLOOKUP(TEXT(H416,"0"),IPRESS!$A$3:$B$212,2,0),"")</f>
        <v/>
      </c>
      <c r="J416" s="280" t="n"/>
      <c r="K416" s="332">
        <f>IFERROR(VLOOKUP(TEXT(O416,"0"),CONDUCTORES!$A$3:$G$54,7,0),"")</f>
        <v/>
      </c>
      <c r="L416" s="280" t="n"/>
      <c r="M416" s="280" t="n"/>
      <c r="N416" s="333">
        <f>IFERROR(IF(L416*M416=0,"",L416*M416),"")</f>
        <v/>
      </c>
      <c r="O416" s="280" t="n"/>
      <c r="P416" s="332">
        <f>IFERROR(VLOOKUP(TEXT(O416,"0"),CONDUCTORES!$A$3:$G$54,2,0),"")</f>
        <v/>
      </c>
      <c r="Q416" s="332">
        <f>IFERROR(VLOOKUP(TEXT(O416,"0"),CONDUCTORES!$A$3:$H$54,6,0),"")</f>
        <v/>
      </c>
      <c r="R416" s="280" t="n"/>
      <c r="S416" s="280" t="n"/>
      <c r="T416" s="280" t="n"/>
      <c r="U416" s="280" t="n"/>
      <c r="V416" s="280" t="n"/>
      <c r="W416" s="280" t="n"/>
      <c r="X416" s="280" t="n"/>
      <c r="Y416" s="280" t="n"/>
    </row>
    <row r="417" ht="15" customHeight="1" s="195">
      <c r="A417" s="334" t="n"/>
      <c r="B417" s="334" t="n"/>
      <c r="C417" s="334" t="n"/>
      <c r="D417" s="334" t="n"/>
      <c r="E417" s="334" t="n"/>
      <c r="F417" s="334" t="n"/>
      <c r="G417" s="334" t="n"/>
      <c r="H417" s="334" t="n"/>
      <c r="I417" s="332">
        <f>IFERROR(VLOOKUP(TEXT(H417,"0"),IPRESS!$A$3:$B$212,2,0),"")</f>
        <v/>
      </c>
      <c r="J417" s="334" t="n"/>
      <c r="K417" s="332">
        <f>IFERROR(VLOOKUP(TEXT(O417,"0"),CONDUCTORES!$A$3:$G$54,7,0),"")</f>
        <v/>
      </c>
      <c r="L417" s="334" t="n"/>
      <c r="M417" s="334" t="n"/>
      <c r="N417" s="333">
        <f>IFERROR(IF(L417*M417=0,"",L417*M417),"")</f>
        <v/>
      </c>
      <c r="O417" s="334" t="n"/>
      <c r="P417" s="332">
        <f>IFERROR(VLOOKUP(TEXT(O417,"0"),CONDUCTORES!$A$3:$G$54,2,0),"")</f>
        <v/>
      </c>
      <c r="Q417" s="332">
        <f>IFERROR(VLOOKUP(TEXT(O417,"0"),CONDUCTORES!$A$3:$H$54,6,0),"")</f>
        <v/>
      </c>
      <c r="R417" s="334" t="n"/>
      <c r="S417" s="334" t="n"/>
      <c r="T417" s="334" t="n"/>
      <c r="U417" s="334" t="n"/>
      <c r="V417" s="334" t="n"/>
      <c r="W417" s="334" t="n"/>
      <c r="X417" s="334" t="n"/>
      <c r="Y417" s="334" t="n"/>
    </row>
    <row r="418" ht="15" customHeight="1" s="195">
      <c r="A418" s="280" t="n"/>
      <c r="B418" s="280" t="n"/>
      <c r="C418" s="280" t="n"/>
      <c r="D418" s="280" t="n"/>
      <c r="E418" s="280" t="n"/>
      <c r="F418" s="280" t="n"/>
      <c r="G418" s="280" t="n"/>
      <c r="H418" s="280" t="n"/>
      <c r="I418" s="332">
        <f>IFERROR(VLOOKUP(TEXT(H418,"0"),IPRESS!$A$3:$B$212,2,0),"")</f>
        <v/>
      </c>
      <c r="J418" s="280" t="n"/>
      <c r="K418" s="332">
        <f>IFERROR(VLOOKUP(TEXT(O418,"0"),CONDUCTORES!$A$3:$G$54,7,0),"")</f>
        <v/>
      </c>
      <c r="L418" s="280" t="n"/>
      <c r="M418" s="280" t="n"/>
      <c r="N418" s="333">
        <f>IFERROR(IF(L418*M418=0,"",L418*M418),"")</f>
        <v/>
      </c>
      <c r="O418" s="280" t="n"/>
      <c r="P418" s="332">
        <f>IFERROR(VLOOKUP(TEXT(O418,"0"),CONDUCTORES!$A$3:$G$54,2,0),"")</f>
        <v/>
      </c>
      <c r="Q418" s="332">
        <f>IFERROR(VLOOKUP(TEXT(O418,"0"),CONDUCTORES!$A$3:$H$54,6,0),"")</f>
        <v/>
      </c>
      <c r="R418" s="280" t="n"/>
      <c r="S418" s="280" t="n"/>
      <c r="T418" s="280" t="n"/>
      <c r="U418" s="280" t="n"/>
      <c r="V418" s="280" t="n"/>
      <c r="W418" s="280" t="n"/>
      <c r="X418" s="280" t="n"/>
      <c r="Y418" s="280" t="n"/>
    </row>
    <row r="419" ht="15" customHeight="1" s="195">
      <c r="A419" s="334" t="n"/>
      <c r="B419" s="334" t="n"/>
      <c r="C419" s="334" t="n"/>
      <c r="D419" s="334" t="n"/>
      <c r="E419" s="334" t="n"/>
      <c r="F419" s="334" t="n"/>
      <c r="G419" s="334" t="n"/>
      <c r="H419" s="334" t="n"/>
      <c r="I419" s="332">
        <f>IFERROR(VLOOKUP(TEXT(H419,"0"),IPRESS!$A$3:$B$212,2,0),"")</f>
        <v/>
      </c>
      <c r="J419" s="334" t="n"/>
      <c r="K419" s="332">
        <f>IFERROR(VLOOKUP(TEXT(O419,"0"),CONDUCTORES!$A$3:$G$54,7,0),"")</f>
        <v/>
      </c>
      <c r="L419" s="334" t="n"/>
      <c r="M419" s="334" t="n"/>
      <c r="N419" s="333">
        <f>IFERROR(IF(L419*M419=0,"",L419*M419),"")</f>
        <v/>
      </c>
      <c r="O419" s="334" t="n"/>
      <c r="P419" s="332">
        <f>IFERROR(VLOOKUP(TEXT(O419,"0"),CONDUCTORES!$A$3:$G$54,2,0),"")</f>
        <v/>
      </c>
      <c r="Q419" s="332">
        <f>IFERROR(VLOOKUP(TEXT(O419,"0"),CONDUCTORES!$A$3:$H$54,6,0),"")</f>
        <v/>
      </c>
      <c r="R419" s="334" t="n"/>
      <c r="S419" s="334" t="n"/>
      <c r="T419" s="334" t="n"/>
      <c r="U419" s="334" t="n"/>
      <c r="V419" s="334" t="n"/>
      <c r="W419" s="334" t="n"/>
      <c r="X419" s="334" t="n"/>
      <c r="Y419" s="334" t="n"/>
    </row>
    <row r="420" ht="15" customHeight="1" s="195">
      <c r="A420" s="280" t="n"/>
      <c r="B420" s="280" t="n"/>
      <c r="C420" s="280" t="n"/>
      <c r="D420" s="280" t="n"/>
      <c r="E420" s="280" t="n"/>
      <c r="F420" s="280" t="n"/>
      <c r="G420" s="280" t="n"/>
      <c r="H420" s="280" t="n"/>
      <c r="I420" s="332">
        <f>IFERROR(VLOOKUP(TEXT(H420,"0"),IPRESS!$A$3:$B$212,2,0),"")</f>
        <v/>
      </c>
      <c r="J420" s="280" t="n"/>
      <c r="K420" s="332">
        <f>IFERROR(VLOOKUP(TEXT(O420,"0"),CONDUCTORES!$A$3:$G$54,7,0),"")</f>
        <v/>
      </c>
      <c r="L420" s="280" t="n"/>
      <c r="M420" s="280" t="n"/>
      <c r="N420" s="333">
        <f>IFERROR(IF(L420*M420=0,"",L420*M420),"")</f>
        <v/>
      </c>
      <c r="O420" s="280" t="n"/>
      <c r="P420" s="332">
        <f>IFERROR(VLOOKUP(TEXT(O420,"0"),CONDUCTORES!$A$3:$G$54,2,0),"")</f>
        <v/>
      </c>
      <c r="Q420" s="332">
        <f>IFERROR(VLOOKUP(TEXT(O420,"0"),CONDUCTORES!$A$3:$H$54,6,0),"")</f>
        <v/>
      </c>
      <c r="R420" s="280" t="n"/>
      <c r="S420" s="280" t="n"/>
      <c r="T420" s="280" t="n"/>
      <c r="U420" s="280" t="n"/>
      <c r="V420" s="280" t="n"/>
      <c r="W420" s="280" t="n"/>
      <c r="X420" s="280" t="n"/>
      <c r="Y420" s="280" t="n"/>
    </row>
    <row r="421" ht="15" customHeight="1" s="195">
      <c r="A421" s="334" t="n"/>
      <c r="B421" s="334" t="n"/>
      <c r="C421" s="334" t="n"/>
      <c r="D421" s="334" t="n"/>
      <c r="E421" s="334" t="n"/>
      <c r="F421" s="334" t="n"/>
      <c r="G421" s="334" t="n"/>
      <c r="H421" s="334" t="n"/>
      <c r="I421" s="332">
        <f>IFERROR(VLOOKUP(TEXT(H421,"0"),IPRESS!$A$3:$B$212,2,0),"")</f>
        <v/>
      </c>
      <c r="J421" s="334" t="n"/>
      <c r="K421" s="332">
        <f>IFERROR(VLOOKUP(TEXT(O421,"0"),CONDUCTORES!$A$3:$G$54,7,0),"")</f>
        <v/>
      </c>
      <c r="L421" s="334" t="n"/>
      <c r="M421" s="334" t="n"/>
      <c r="N421" s="333">
        <f>IFERROR(IF(L421*M421=0,"",L421*M421),"")</f>
        <v/>
      </c>
      <c r="O421" s="334" t="n"/>
      <c r="P421" s="332">
        <f>IFERROR(VLOOKUP(TEXT(O421,"0"),CONDUCTORES!$A$3:$G$54,2,0),"")</f>
        <v/>
      </c>
      <c r="Q421" s="332">
        <f>IFERROR(VLOOKUP(TEXT(O421,"0"),CONDUCTORES!$A$3:$H$54,6,0),"")</f>
        <v/>
      </c>
      <c r="R421" s="334" t="n"/>
      <c r="S421" s="334" t="n"/>
      <c r="T421" s="334" t="n"/>
      <c r="U421" s="334" t="n"/>
      <c r="V421" s="334" t="n"/>
      <c r="W421" s="334" t="n"/>
      <c r="X421" s="334" t="n"/>
      <c r="Y421" s="334" t="n"/>
    </row>
    <row r="422" ht="15" customHeight="1" s="195">
      <c r="A422" s="280" t="n"/>
      <c r="B422" s="280" t="n"/>
      <c r="C422" s="280" t="n"/>
      <c r="D422" s="280" t="n"/>
      <c r="E422" s="280" t="n"/>
      <c r="F422" s="280" t="n"/>
      <c r="G422" s="280" t="n"/>
      <c r="H422" s="280" t="n"/>
      <c r="I422" s="332">
        <f>IFERROR(VLOOKUP(TEXT(H422,"0"),IPRESS!$A$3:$B$212,2,0),"")</f>
        <v/>
      </c>
      <c r="J422" s="280" t="n"/>
      <c r="K422" s="332">
        <f>IFERROR(VLOOKUP(TEXT(O422,"0"),CONDUCTORES!$A$3:$G$54,7,0),"")</f>
        <v/>
      </c>
      <c r="L422" s="280" t="n"/>
      <c r="M422" s="280" t="n"/>
      <c r="N422" s="333">
        <f>IFERROR(IF(L422*M422=0,"",L422*M422),"")</f>
        <v/>
      </c>
      <c r="O422" s="280" t="n"/>
      <c r="P422" s="332">
        <f>IFERROR(VLOOKUP(TEXT(O422,"0"),CONDUCTORES!$A$3:$G$54,2,0),"")</f>
        <v/>
      </c>
      <c r="Q422" s="332">
        <f>IFERROR(VLOOKUP(TEXT(O422,"0"),CONDUCTORES!$A$3:$H$54,6,0),"")</f>
        <v/>
      </c>
      <c r="R422" s="280" t="n"/>
      <c r="S422" s="280" t="n"/>
      <c r="T422" s="280" t="n"/>
      <c r="U422" s="280" t="n"/>
      <c r="V422" s="280" t="n"/>
      <c r="W422" s="280" t="n"/>
      <c r="X422" s="280" t="n"/>
      <c r="Y422" s="280" t="n"/>
    </row>
    <row r="423" ht="15" customHeight="1" s="195">
      <c r="A423" s="334" t="n"/>
      <c r="B423" s="334" t="n"/>
      <c r="C423" s="334" t="n"/>
      <c r="D423" s="334" t="n"/>
      <c r="E423" s="334" t="n"/>
      <c r="F423" s="334" t="n"/>
      <c r="G423" s="334" t="n"/>
      <c r="H423" s="334" t="n"/>
      <c r="I423" s="332">
        <f>IFERROR(VLOOKUP(TEXT(H423,"0"),IPRESS!$A$3:$B$212,2,0),"")</f>
        <v/>
      </c>
      <c r="J423" s="334" t="n"/>
      <c r="K423" s="332">
        <f>IFERROR(VLOOKUP(TEXT(O423,"0"),CONDUCTORES!$A$3:$G$54,7,0),"")</f>
        <v/>
      </c>
      <c r="L423" s="334" t="n"/>
      <c r="M423" s="334" t="n"/>
      <c r="N423" s="333">
        <f>IFERROR(IF(L423*M423=0,"",L423*M423),"")</f>
        <v/>
      </c>
      <c r="O423" s="334" t="n"/>
      <c r="P423" s="332">
        <f>IFERROR(VLOOKUP(TEXT(O423,"0"),CONDUCTORES!$A$3:$G$54,2,0),"")</f>
        <v/>
      </c>
      <c r="Q423" s="332">
        <f>IFERROR(VLOOKUP(TEXT(O423,"0"),CONDUCTORES!$A$3:$H$54,6,0),"")</f>
        <v/>
      </c>
      <c r="R423" s="334" t="n"/>
      <c r="S423" s="334" t="n"/>
      <c r="T423" s="334" t="n"/>
      <c r="U423" s="334" t="n"/>
      <c r="V423" s="334" t="n"/>
      <c r="W423" s="334" t="n"/>
      <c r="X423" s="334" t="n"/>
      <c r="Y423" s="334" t="n"/>
    </row>
    <row r="424" ht="15" customHeight="1" s="195">
      <c r="A424" s="280" t="n"/>
      <c r="B424" s="280" t="n"/>
      <c r="C424" s="280" t="n"/>
      <c r="D424" s="280" t="n"/>
      <c r="E424" s="280" t="n"/>
      <c r="F424" s="280" t="n"/>
      <c r="G424" s="280" t="n"/>
      <c r="H424" s="280" t="n"/>
      <c r="I424" s="332">
        <f>IFERROR(VLOOKUP(TEXT(H424,"0"),IPRESS!$A$3:$B$212,2,0),"")</f>
        <v/>
      </c>
      <c r="J424" s="280" t="n"/>
      <c r="K424" s="332">
        <f>IFERROR(VLOOKUP(TEXT(O424,"0"),CONDUCTORES!$A$3:$G$54,7,0),"")</f>
        <v/>
      </c>
      <c r="L424" s="280" t="n"/>
      <c r="M424" s="280" t="n"/>
      <c r="N424" s="333">
        <f>IFERROR(IF(L424*M424=0,"",L424*M424),"")</f>
        <v/>
      </c>
      <c r="O424" s="280" t="n"/>
      <c r="P424" s="332">
        <f>IFERROR(VLOOKUP(TEXT(O424,"0"),CONDUCTORES!$A$3:$G$54,2,0),"")</f>
        <v/>
      </c>
      <c r="Q424" s="332">
        <f>IFERROR(VLOOKUP(TEXT(O424,"0"),CONDUCTORES!$A$3:$H$54,6,0),"")</f>
        <v/>
      </c>
      <c r="R424" s="280" t="n"/>
      <c r="S424" s="280" t="n"/>
      <c r="T424" s="280" t="n"/>
      <c r="U424" s="280" t="n"/>
      <c r="V424" s="280" t="n"/>
      <c r="W424" s="280" t="n"/>
      <c r="X424" s="280" t="n"/>
      <c r="Y424" s="280" t="n"/>
    </row>
    <row r="425" ht="15" customHeight="1" s="195">
      <c r="A425" s="334" t="n"/>
      <c r="B425" s="334" t="n"/>
      <c r="C425" s="334" t="n"/>
      <c r="D425" s="334" t="n"/>
      <c r="E425" s="334" t="n"/>
      <c r="F425" s="334" t="n"/>
      <c r="G425" s="334" t="n"/>
      <c r="H425" s="334" t="n"/>
      <c r="I425" s="332">
        <f>IFERROR(VLOOKUP(TEXT(H425,"0"),IPRESS!$A$3:$B$212,2,0),"")</f>
        <v/>
      </c>
      <c r="J425" s="334" t="n"/>
      <c r="K425" s="332">
        <f>IFERROR(VLOOKUP(TEXT(O425,"0"),CONDUCTORES!$A$3:$G$54,7,0),"")</f>
        <v/>
      </c>
      <c r="L425" s="334" t="n"/>
      <c r="M425" s="334" t="n"/>
      <c r="N425" s="333">
        <f>IFERROR(IF(L425*M425=0,"",L425*M425),"")</f>
        <v/>
      </c>
      <c r="O425" s="334" t="n"/>
      <c r="P425" s="332">
        <f>IFERROR(VLOOKUP(TEXT(O425,"0"),CONDUCTORES!$A$3:$G$54,2,0),"")</f>
        <v/>
      </c>
      <c r="Q425" s="332">
        <f>IFERROR(VLOOKUP(TEXT(O425,"0"),CONDUCTORES!$A$3:$H$54,6,0),"")</f>
        <v/>
      </c>
      <c r="R425" s="334" t="n"/>
      <c r="S425" s="334" t="n"/>
      <c r="T425" s="334" t="n"/>
      <c r="U425" s="334" t="n"/>
      <c r="V425" s="334" t="n"/>
      <c r="W425" s="334" t="n"/>
      <c r="X425" s="334" t="n"/>
      <c r="Y425" s="334" t="n"/>
    </row>
    <row r="426" ht="15" customHeight="1" s="195">
      <c r="A426" s="280" t="n"/>
      <c r="B426" s="280" t="n"/>
      <c r="C426" s="280" t="n"/>
      <c r="D426" s="280" t="n"/>
      <c r="E426" s="280" t="n"/>
      <c r="F426" s="280" t="n"/>
      <c r="G426" s="280" t="n"/>
      <c r="H426" s="280" t="n"/>
      <c r="I426" s="332">
        <f>IFERROR(VLOOKUP(TEXT(H426,"0"),IPRESS!$A$3:$B$212,2,0),"")</f>
        <v/>
      </c>
      <c r="J426" s="280" t="n"/>
      <c r="K426" s="332">
        <f>IFERROR(VLOOKUP(TEXT(O426,"0"),CONDUCTORES!$A$3:$G$54,7,0),"")</f>
        <v/>
      </c>
      <c r="L426" s="280" t="n"/>
      <c r="M426" s="280" t="n"/>
      <c r="N426" s="333">
        <f>IFERROR(IF(L426*M426=0,"",L426*M426),"")</f>
        <v/>
      </c>
      <c r="O426" s="280" t="n"/>
      <c r="P426" s="332">
        <f>IFERROR(VLOOKUP(TEXT(O426,"0"),CONDUCTORES!$A$3:$G$54,2,0),"")</f>
        <v/>
      </c>
      <c r="Q426" s="332">
        <f>IFERROR(VLOOKUP(TEXT(O426,"0"),CONDUCTORES!$A$3:$H$54,6,0),"")</f>
        <v/>
      </c>
      <c r="R426" s="280" t="n"/>
      <c r="S426" s="280" t="n"/>
      <c r="T426" s="280" t="n"/>
      <c r="U426" s="280" t="n"/>
      <c r="V426" s="280" t="n"/>
      <c r="W426" s="280" t="n"/>
      <c r="X426" s="280" t="n"/>
      <c r="Y426" s="280" t="n"/>
    </row>
    <row r="427" ht="15" customHeight="1" s="195">
      <c r="A427" s="334" t="n"/>
      <c r="B427" s="334" t="n"/>
      <c r="C427" s="334" t="n"/>
      <c r="D427" s="334" t="n"/>
      <c r="E427" s="334" t="n"/>
      <c r="F427" s="334" t="n"/>
      <c r="G427" s="334" t="n"/>
      <c r="H427" s="334" t="n"/>
      <c r="I427" s="332">
        <f>IFERROR(VLOOKUP(TEXT(H427,"0"),IPRESS!$A$3:$B$212,2,0),"")</f>
        <v/>
      </c>
      <c r="J427" s="334" t="n"/>
      <c r="K427" s="332">
        <f>IFERROR(VLOOKUP(TEXT(O427,"0"),CONDUCTORES!$A$3:$G$54,7,0),"")</f>
        <v/>
      </c>
      <c r="L427" s="334" t="n"/>
      <c r="M427" s="334" t="n"/>
      <c r="N427" s="333">
        <f>IFERROR(IF(L427*M427=0,"",L427*M427),"")</f>
        <v/>
      </c>
      <c r="O427" s="334" t="n"/>
      <c r="P427" s="332">
        <f>IFERROR(VLOOKUP(TEXT(O427,"0"),CONDUCTORES!$A$3:$G$54,2,0),"")</f>
        <v/>
      </c>
      <c r="Q427" s="332">
        <f>IFERROR(VLOOKUP(TEXT(O427,"0"),CONDUCTORES!$A$3:$H$54,6,0),"")</f>
        <v/>
      </c>
      <c r="R427" s="334" t="n"/>
      <c r="S427" s="334" t="n"/>
      <c r="T427" s="334" t="n"/>
      <c r="U427" s="334" t="n"/>
      <c r="V427" s="334" t="n"/>
      <c r="W427" s="334" t="n"/>
      <c r="X427" s="334" t="n"/>
      <c r="Y427" s="334" t="n"/>
    </row>
    <row r="428" ht="15" customHeight="1" s="195">
      <c r="A428" s="280" t="n"/>
      <c r="B428" s="280" t="n"/>
      <c r="C428" s="280" t="n"/>
      <c r="D428" s="280" t="n"/>
      <c r="E428" s="280" t="n"/>
      <c r="F428" s="280" t="n"/>
      <c r="G428" s="280" t="n"/>
      <c r="H428" s="280" t="n"/>
      <c r="I428" s="332">
        <f>IFERROR(VLOOKUP(TEXT(H428,"0"),IPRESS!$A$3:$B$212,2,0),"")</f>
        <v/>
      </c>
      <c r="J428" s="280" t="n"/>
      <c r="K428" s="332">
        <f>IFERROR(VLOOKUP(TEXT(O428,"0"),CONDUCTORES!$A$3:$G$54,7,0),"")</f>
        <v/>
      </c>
      <c r="L428" s="280" t="n"/>
      <c r="M428" s="280" t="n"/>
      <c r="N428" s="333">
        <f>IFERROR(IF(L428*M428=0,"",L428*M428),"")</f>
        <v/>
      </c>
      <c r="O428" s="280" t="n"/>
      <c r="P428" s="332">
        <f>IFERROR(VLOOKUP(TEXT(O428,"0"),CONDUCTORES!$A$3:$G$54,2,0),"")</f>
        <v/>
      </c>
      <c r="Q428" s="332">
        <f>IFERROR(VLOOKUP(TEXT(O428,"0"),CONDUCTORES!$A$3:$H$54,6,0),"")</f>
        <v/>
      </c>
      <c r="R428" s="280" t="n"/>
      <c r="S428" s="280" t="n"/>
      <c r="T428" s="280" t="n"/>
      <c r="U428" s="280" t="n"/>
      <c r="V428" s="280" t="n"/>
      <c r="W428" s="280" t="n"/>
      <c r="X428" s="280" t="n"/>
      <c r="Y428" s="280" t="n"/>
    </row>
    <row r="429" ht="15" customHeight="1" s="195">
      <c r="A429" s="334" t="n"/>
      <c r="B429" s="334" t="n"/>
      <c r="C429" s="334" t="n"/>
      <c r="D429" s="334" t="n"/>
      <c r="E429" s="334" t="n"/>
      <c r="F429" s="334" t="n"/>
      <c r="G429" s="334" t="n"/>
      <c r="H429" s="334" t="n"/>
      <c r="I429" s="332">
        <f>IFERROR(VLOOKUP(TEXT(H429,"0"),IPRESS!$A$3:$B$212,2,0),"")</f>
        <v/>
      </c>
      <c r="J429" s="334" t="n"/>
      <c r="K429" s="332">
        <f>IFERROR(VLOOKUP(TEXT(O429,"0"),CONDUCTORES!$A$3:$G$54,7,0),"")</f>
        <v/>
      </c>
      <c r="L429" s="334" t="n"/>
      <c r="M429" s="334" t="n"/>
      <c r="N429" s="333">
        <f>IFERROR(IF(L429*M429=0,"",L429*M429),"")</f>
        <v/>
      </c>
      <c r="O429" s="334" t="n"/>
      <c r="P429" s="332">
        <f>IFERROR(VLOOKUP(TEXT(O429,"0"),CONDUCTORES!$A$3:$G$54,2,0),"")</f>
        <v/>
      </c>
      <c r="Q429" s="332">
        <f>IFERROR(VLOOKUP(TEXT(O429,"0"),CONDUCTORES!$A$3:$H$54,6,0),"")</f>
        <v/>
      </c>
      <c r="R429" s="334" t="n"/>
      <c r="S429" s="334" t="n"/>
      <c r="T429" s="334" t="n"/>
      <c r="U429" s="334" t="n"/>
      <c r="V429" s="334" t="n"/>
      <c r="W429" s="334" t="n"/>
      <c r="X429" s="334" t="n"/>
      <c r="Y429" s="334" t="n"/>
    </row>
    <row r="430" ht="15" customHeight="1" s="195">
      <c r="A430" s="280" t="n"/>
      <c r="B430" s="280" t="n"/>
      <c r="C430" s="280" t="n"/>
      <c r="D430" s="280" t="n"/>
      <c r="E430" s="280" t="n"/>
      <c r="F430" s="280" t="n"/>
      <c r="G430" s="280" t="n"/>
      <c r="H430" s="280" t="n"/>
      <c r="I430" s="332">
        <f>IFERROR(VLOOKUP(TEXT(H430,"0"),IPRESS!$A$3:$B$212,2,0),"")</f>
        <v/>
      </c>
      <c r="J430" s="280" t="n"/>
      <c r="K430" s="332">
        <f>IFERROR(VLOOKUP(TEXT(O430,"0"),CONDUCTORES!$A$3:$G$54,7,0),"")</f>
        <v/>
      </c>
      <c r="L430" s="280" t="n"/>
      <c r="M430" s="280" t="n"/>
      <c r="N430" s="333">
        <f>IFERROR(IF(L430*M430=0,"",L430*M430),"")</f>
        <v/>
      </c>
      <c r="O430" s="280" t="n"/>
      <c r="P430" s="332">
        <f>IFERROR(VLOOKUP(TEXT(O430,"0"),CONDUCTORES!$A$3:$G$54,2,0),"")</f>
        <v/>
      </c>
      <c r="Q430" s="332">
        <f>IFERROR(VLOOKUP(TEXT(O430,"0"),CONDUCTORES!$A$3:$H$54,6,0),"")</f>
        <v/>
      </c>
      <c r="R430" s="280" t="n"/>
      <c r="S430" s="280" t="n"/>
      <c r="T430" s="280" t="n"/>
      <c r="U430" s="280" t="n"/>
      <c r="V430" s="280" t="n"/>
      <c r="W430" s="280" t="n"/>
      <c r="X430" s="280" t="n"/>
      <c r="Y430" s="280" t="n"/>
    </row>
    <row r="431" ht="15" customHeight="1" s="195">
      <c r="A431" s="334" t="n"/>
      <c r="B431" s="334" t="n"/>
      <c r="C431" s="334" t="n"/>
      <c r="D431" s="334" t="n"/>
      <c r="E431" s="334" t="n"/>
      <c r="F431" s="334" t="n"/>
      <c r="G431" s="334" t="n"/>
      <c r="H431" s="334" t="n"/>
      <c r="I431" s="332">
        <f>IFERROR(VLOOKUP(TEXT(H431,"0"),IPRESS!$A$3:$B$212,2,0),"")</f>
        <v/>
      </c>
      <c r="J431" s="334" t="n"/>
      <c r="K431" s="332">
        <f>IFERROR(VLOOKUP(TEXT(O431,"0"),CONDUCTORES!$A$3:$G$54,7,0),"")</f>
        <v/>
      </c>
      <c r="L431" s="334" t="n"/>
      <c r="M431" s="334" t="n"/>
      <c r="N431" s="333">
        <f>IFERROR(IF(L431*M431=0,"",L431*M431),"")</f>
        <v/>
      </c>
      <c r="O431" s="334" t="n"/>
      <c r="P431" s="332">
        <f>IFERROR(VLOOKUP(TEXT(O431,"0"),CONDUCTORES!$A$3:$G$54,2,0),"")</f>
        <v/>
      </c>
      <c r="Q431" s="332">
        <f>IFERROR(VLOOKUP(TEXT(O431,"0"),CONDUCTORES!$A$3:$H$54,6,0),"")</f>
        <v/>
      </c>
      <c r="R431" s="334" t="n"/>
      <c r="S431" s="334" t="n"/>
      <c r="T431" s="334" t="n"/>
      <c r="U431" s="334" t="n"/>
      <c r="V431" s="334" t="n"/>
      <c r="W431" s="334" t="n"/>
      <c r="X431" s="334" t="n"/>
      <c r="Y431" s="334" t="n"/>
    </row>
    <row r="432" ht="15" customHeight="1" s="195">
      <c r="A432" s="280" t="n"/>
      <c r="B432" s="280" t="n"/>
      <c r="C432" s="280" t="n"/>
      <c r="D432" s="280" t="n"/>
      <c r="E432" s="280" t="n"/>
      <c r="F432" s="280" t="n"/>
      <c r="G432" s="280" t="n"/>
      <c r="H432" s="280" t="n"/>
      <c r="I432" s="332">
        <f>IFERROR(VLOOKUP(TEXT(H432,"0"),IPRESS!$A$3:$B$212,2,0),"")</f>
        <v/>
      </c>
      <c r="J432" s="280" t="n"/>
      <c r="K432" s="332">
        <f>IFERROR(VLOOKUP(TEXT(O432,"0"),CONDUCTORES!$A$3:$G$54,7,0),"")</f>
        <v/>
      </c>
      <c r="L432" s="280" t="n"/>
      <c r="M432" s="280" t="n"/>
      <c r="N432" s="333">
        <f>IFERROR(IF(L432*M432=0,"",L432*M432),"")</f>
        <v/>
      </c>
      <c r="O432" s="280" t="n"/>
      <c r="P432" s="332">
        <f>IFERROR(VLOOKUP(TEXT(O432,"0"),CONDUCTORES!$A$3:$G$54,2,0),"")</f>
        <v/>
      </c>
      <c r="Q432" s="332">
        <f>IFERROR(VLOOKUP(TEXT(O432,"0"),CONDUCTORES!$A$3:$H$54,6,0),"")</f>
        <v/>
      </c>
      <c r="R432" s="280" t="n"/>
      <c r="S432" s="280" t="n"/>
      <c r="T432" s="280" t="n"/>
      <c r="U432" s="280" t="n"/>
      <c r="V432" s="280" t="n"/>
      <c r="W432" s="280" t="n"/>
      <c r="X432" s="280" t="n"/>
      <c r="Y432" s="280" t="n"/>
    </row>
    <row r="433" ht="15" customHeight="1" s="195">
      <c r="A433" s="334" t="n"/>
      <c r="B433" s="334" t="n"/>
      <c r="C433" s="334" t="n"/>
      <c r="D433" s="334" t="n"/>
      <c r="E433" s="334" t="n"/>
      <c r="F433" s="334" t="n"/>
      <c r="G433" s="334" t="n"/>
      <c r="H433" s="334" t="n"/>
      <c r="I433" s="332">
        <f>IFERROR(VLOOKUP(TEXT(H433,"0"),IPRESS!$A$3:$B$212,2,0),"")</f>
        <v/>
      </c>
      <c r="J433" s="334" t="n"/>
      <c r="K433" s="332">
        <f>IFERROR(VLOOKUP(TEXT(O433,"0"),CONDUCTORES!$A$3:$G$54,7,0),"")</f>
        <v/>
      </c>
      <c r="L433" s="334" t="n"/>
      <c r="M433" s="334" t="n"/>
      <c r="N433" s="333">
        <f>IFERROR(IF(L433*M433=0,"",L433*M433),"")</f>
        <v/>
      </c>
      <c r="O433" s="334" t="n"/>
      <c r="P433" s="332">
        <f>IFERROR(VLOOKUP(TEXT(O433,"0"),CONDUCTORES!$A$3:$G$54,2,0),"")</f>
        <v/>
      </c>
      <c r="Q433" s="332">
        <f>IFERROR(VLOOKUP(TEXT(O433,"0"),CONDUCTORES!$A$3:$H$54,6,0),"")</f>
        <v/>
      </c>
      <c r="R433" s="334" t="n"/>
      <c r="S433" s="334" t="n"/>
      <c r="T433" s="334" t="n"/>
      <c r="U433" s="334" t="n"/>
      <c r="V433" s="334" t="n"/>
      <c r="W433" s="334" t="n"/>
      <c r="X433" s="334" t="n"/>
      <c r="Y433" s="334" t="n"/>
    </row>
    <row r="434" ht="15" customHeight="1" s="195">
      <c r="A434" s="280" t="n"/>
      <c r="B434" s="280" t="n"/>
      <c r="C434" s="280" t="n"/>
      <c r="D434" s="280" t="n"/>
      <c r="E434" s="280" t="n"/>
      <c r="F434" s="280" t="n"/>
      <c r="G434" s="280" t="n"/>
      <c r="H434" s="280" t="n"/>
      <c r="I434" s="332">
        <f>IFERROR(VLOOKUP(TEXT(H434,"0"),IPRESS!$A$3:$B$212,2,0),"")</f>
        <v/>
      </c>
      <c r="J434" s="280" t="n"/>
      <c r="K434" s="332">
        <f>IFERROR(VLOOKUP(TEXT(O434,"0"),CONDUCTORES!$A$3:$G$54,7,0),"")</f>
        <v/>
      </c>
      <c r="L434" s="280" t="n"/>
      <c r="M434" s="280" t="n"/>
      <c r="N434" s="333">
        <f>IFERROR(IF(L434*M434=0,"",L434*M434),"")</f>
        <v/>
      </c>
      <c r="O434" s="280" t="n"/>
      <c r="P434" s="332">
        <f>IFERROR(VLOOKUP(TEXT(O434,"0"),CONDUCTORES!$A$3:$G$54,2,0),"")</f>
        <v/>
      </c>
      <c r="Q434" s="332">
        <f>IFERROR(VLOOKUP(TEXT(O434,"0"),CONDUCTORES!$A$3:$H$54,6,0),"")</f>
        <v/>
      </c>
      <c r="R434" s="280" t="n"/>
      <c r="S434" s="280" t="n"/>
      <c r="T434" s="280" t="n"/>
      <c r="U434" s="280" t="n"/>
      <c r="V434" s="280" t="n"/>
      <c r="W434" s="280" t="n"/>
      <c r="X434" s="280" t="n"/>
      <c r="Y434" s="280" t="n"/>
    </row>
    <row r="435" ht="15" customHeight="1" s="195">
      <c r="A435" s="334" t="n"/>
      <c r="B435" s="334" t="n"/>
      <c r="C435" s="334" t="n"/>
      <c r="D435" s="334" t="n"/>
      <c r="E435" s="334" t="n"/>
      <c r="F435" s="334" t="n"/>
      <c r="G435" s="334" t="n"/>
      <c r="H435" s="334" t="n"/>
      <c r="I435" s="332">
        <f>IFERROR(VLOOKUP(TEXT(H435,"0"),IPRESS!$A$3:$B$212,2,0),"")</f>
        <v/>
      </c>
      <c r="J435" s="334" t="n"/>
      <c r="K435" s="332">
        <f>IFERROR(VLOOKUP(TEXT(O435,"0"),CONDUCTORES!$A$3:$G$54,7,0),"")</f>
        <v/>
      </c>
      <c r="L435" s="334" t="n"/>
      <c r="M435" s="334" t="n"/>
      <c r="N435" s="333">
        <f>IFERROR(IF(L435*M435=0,"",L435*M435),"")</f>
        <v/>
      </c>
      <c r="O435" s="334" t="n"/>
      <c r="P435" s="332">
        <f>IFERROR(VLOOKUP(TEXT(O435,"0"),CONDUCTORES!$A$3:$G$54,2,0),"")</f>
        <v/>
      </c>
      <c r="Q435" s="332">
        <f>IFERROR(VLOOKUP(TEXT(O435,"0"),CONDUCTORES!$A$3:$H$54,6,0),"")</f>
        <v/>
      </c>
      <c r="R435" s="334" t="n"/>
      <c r="S435" s="334" t="n"/>
      <c r="T435" s="334" t="n"/>
      <c r="U435" s="334" t="n"/>
      <c r="V435" s="334" t="n"/>
      <c r="W435" s="334" t="n"/>
      <c r="X435" s="334" t="n"/>
      <c r="Y435" s="334" t="n"/>
    </row>
    <row r="436" ht="15" customHeight="1" s="195">
      <c r="A436" s="280" t="n"/>
      <c r="B436" s="280" t="n"/>
      <c r="C436" s="280" t="n"/>
      <c r="D436" s="280" t="n"/>
      <c r="E436" s="280" t="n"/>
      <c r="F436" s="280" t="n"/>
      <c r="G436" s="280" t="n"/>
      <c r="H436" s="280" t="n"/>
      <c r="I436" s="332">
        <f>IFERROR(VLOOKUP(TEXT(H436,"0"),IPRESS!$A$3:$B$212,2,0),"")</f>
        <v/>
      </c>
      <c r="J436" s="280" t="n"/>
      <c r="K436" s="332">
        <f>IFERROR(VLOOKUP(TEXT(O436,"0"),CONDUCTORES!$A$3:$G$54,7,0),"")</f>
        <v/>
      </c>
      <c r="L436" s="280" t="n"/>
      <c r="M436" s="280" t="n"/>
      <c r="N436" s="333">
        <f>IFERROR(IF(L436*M436=0,"",L436*M436),"")</f>
        <v/>
      </c>
      <c r="O436" s="280" t="n"/>
      <c r="P436" s="332">
        <f>IFERROR(VLOOKUP(TEXT(O436,"0"),CONDUCTORES!$A$3:$G$54,2,0),"")</f>
        <v/>
      </c>
      <c r="Q436" s="332">
        <f>IFERROR(VLOOKUP(TEXT(O436,"0"),CONDUCTORES!$A$3:$H$54,6,0),"")</f>
        <v/>
      </c>
      <c r="R436" s="280" t="n"/>
      <c r="S436" s="280" t="n"/>
      <c r="T436" s="280" t="n"/>
      <c r="U436" s="280" t="n"/>
      <c r="V436" s="280" t="n"/>
      <c r="W436" s="280" t="n"/>
      <c r="X436" s="280" t="n"/>
      <c r="Y436" s="280" t="n"/>
    </row>
    <row r="437" ht="15" customHeight="1" s="195">
      <c r="A437" s="334" t="n"/>
      <c r="B437" s="334" t="n"/>
      <c r="C437" s="334" t="n"/>
      <c r="D437" s="334" t="n"/>
      <c r="E437" s="334" t="n"/>
      <c r="F437" s="334" t="n"/>
      <c r="G437" s="334" t="n"/>
      <c r="H437" s="334" t="n"/>
      <c r="I437" s="332">
        <f>IFERROR(VLOOKUP(TEXT(H437,"0"),IPRESS!$A$3:$B$212,2,0),"")</f>
        <v/>
      </c>
      <c r="J437" s="334" t="n"/>
      <c r="K437" s="332">
        <f>IFERROR(VLOOKUP(TEXT(O437,"0"),CONDUCTORES!$A$3:$G$54,7,0),"")</f>
        <v/>
      </c>
      <c r="L437" s="334" t="n"/>
      <c r="M437" s="334" t="n"/>
      <c r="N437" s="333">
        <f>IFERROR(IF(L437*M437=0,"",L437*M437),"")</f>
        <v/>
      </c>
      <c r="O437" s="334" t="n"/>
      <c r="P437" s="332">
        <f>IFERROR(VLOOKUP(TEXT(O437,"0"),CONDUCTORES!$A$3:$G$54,2,0),"")</f>
        <v/>
      </c>
      <c r="Q437" s="332">
        <f>IFERROR(VLOOKUP(TEXT(O437,"0"),CONDUCTORES!$A$3:$H$54,6,0),"")</f>
        <v/>
      </c>
      <c r="R437" s="334" t="n"/>
      <c r="S437" s="334" t="n"/>
      <c r="T437" s="334" t="n"/>
      <c r="U437" s="334" t="n"/>
      <c r="V437" s="334" t="n"/>
      <c r="W437" s="334" t="n"/>
      <c r="X437" s="334" t="n"/>
      <c r="Y437" s="334" t="n"/>
    </row>
    <row r="438" ht="15" customHeight="1" s="195">
      <c r="A438" s="280" t="n"/>
      <c r="B438" s="280" t="n"/>
      <c r="C438" s="280" t="n"/>
      <c r="D438" s="280" t="n"/>
      <c r="E438" s="280" t="n"/>
      <c r="F438" s="280" t="n"/>
      <c r="G438" s="280" t="n"/>
      <c r="H438" s="280" t="n"/>
      <c r="I438" s="332">
        <f>IFERROR(VLOOKUP(TEXT(H438,"0"),IPRESS!$A$3:$B$212,2,0),"")</f>
        <v/>
      </c>
      <c r="J438" s="280" t="n"/>
      <c r="K438" s="332">
        <f>IFERROR(VLOOKUP(TEXT(O438,"0"),CONDUCTORES!$A$3:$G$54,7,0),"")</f>
        <v/>
      </c>
      <c r="L438" s="280" t="n"/>
      <c r="M438" s="280" t="n"/>
      <c r="N438" s="333">
        <f>IFERROR(IF(L438*M438=0,"",L438*M438),"")</f>
        <v/>
      </c>
      <c r="O438" s="280" t="n"/>
      <c r="P438" s="332">
        <f>IFERROR(VLOOKUP(TEXT(O438,"0"),CONDUCTORES!$A$3:$G$54,2,0),"")</f>
        <v/>
      </c>
      <c r="Q438" s="332">
        <f>IFERROR(VLOOKUP(TEXT(O438,"0"),CONDUCTORES!$A$3:$H$54,6,0),"")</f>
        <v/>
      </c>
      <c r="R438" s="280" t="n"/>
      <c r="S438" s="280" t="n"/>
      <c r="T438" s="280" t="n"/>
      <c r="U438" s="280" t="n"/>
      <c r="V438" s="280" t="n"/>
      <c r="W438" s="280" t="n"/>
      <c r="X438" s="280" t="n"/>
      <c r="Y438" s="280" t="n"/>
    </row>
    <row r="439" ht="15" customHeight="1" s="195">
      <c r="A439" s="334" t="n"/>
      <c r="B439" s="334" t="n"/>
      <c r="C439" s="334" t="n"/>
      <c r="D439" s="334" t="n"/>
      <c r="E439" s="334" t="n"/>
      <c r="F439" s="334" t="n"/>
      <c r="G439" s="334" t="n"/>
      <c r="H439" s="334" t="n"/>
      <c r="I439" s="332">
        <f>IFERROR(VLOOKUP(TEXT(H439,"0"),IPRESS!$A$3:$B$212,2,0),"")</f>
        <v/>
      </c>
      <c r="J439" s="334" t="n"/>
      <c r="K439" s="332">
        <f>IFERROR(VLOOKUP(TEXT(O439,"0"),CONDUCTORES!$A$3:$G$54,7,0),"")</f>
        <v/>
      </c>
      <c r="L439" s="334" t="n"/>
      <c r="M439" s="334" t="n"/>
      <c r="N439" s="333">
        <f>IFERROR(IF(L439*M439=0,"",L439*M439),"")</f>
        <v/>
      </c>
      <c r="O439" s="334" t="n"/>
      <c r="P439" s="332">
        <f>IFERROR(VLOOKUP(TEXT(O439,"0"),CONDUCTORES!$A$3:$G$54,2,0),"")</f>
        <v/>
      </c>
      <c r="Q439" s="332">
        <f>IFERROR(VLOOKUP(TEXT(O439,"0"),CONDUCTORES!$A$3:$H$54,6,0),"")</f>
        <v/>
      </c>
      <c r="R439" s="334" t="n"/>
      <c r="S439" s="334" t="n"/>
      <c r="T439" s="334" t="n"/>
      <c r="U439" s="334" t="n"/>
      <c r="V439" s="334" t="n"/>
      <c r="W439" s="334" t="n"/>
      <c r="X439" s="334" t="n"/>
      <c r="Y439" s="334" t="n"/>
    </row>
    <row r="440" ht="15" customHeight="1" s="195">
      <c r="A440" s="280" t="n"/>
      <c r="B440" s="280" t="n"/>
      <c r="C440" s="280" t="n"/>
      <c r="D440" s="280" t="n"/>
      <c r="E440" s="280" t="n"/>
      <c r="F440" s="280" t="n"/>
      <c r="G440" s="280" t="n"/>
      <c r="H440" s="280" t="n"/>
      <c r="I440" s="332">
        <f>IFERROR(VLOOKUP(TEXT(H440,"0"),IPRESS!$A$3:$B$212,2,0),"")</f>
        <v/>
      </c>
      <c r="J440" s="280" t="n"/>
      <c r="K440" s="332">
        <f>IFERROR(VLOOKUP(TEXT(O440,"0"),CONDUCTORES!$A$3:$G$54,7,0),"")</f>
        <v/>
      </c>
      <c r="L440" s="280" t="n"/>
      <c r="M440" s="280" t="n"/>
      <c r="N440" s="333">
        <f>IFERROR(IF(L440*M440=0,"",L440*M440),"")</f>
        <v/>
      </c>
      <c r="O440" s="280" t="n"/>
      <c r="P440" s="332">
        <f>IFERROR(VLOOKUP(TEXT(O440,"0"),CONDUCTORES!$A$3:$G$54,2,0),"")</f>
        <v/>
      </c>
      <c r="Q440" s="332">
        <f>IFERROR(VLOOKUP(TEXT(O440,"0"),CONDUCTORES!$A$3:$H$54,6,0),"")</f>
        <v/>
      </c>
      <c r="R440" s="280" t="n"/>
      <c r="S440" s="280" t="n"/>
      <c r="T440" s="280" t="n"/>
      <c r="U440" s="280" t="n"/>
      <c r="V440" s="280" t="n"/>
      <c r="W440" s="280" t="n"/>
      <c r="X440" s="280" t="n"/>
      <c r="Y440" s="280" t="n"/>
    </row>
    <row r="441" ht="15" customHeight="1" s="195">
      <c r="A441" s="334" t="n"/>
      <c r="B441" s="334" t="n"/>
      <c r="C441" s="334" t="n"/>
      <c r="D441" s="334" t="n"/>
      <c r="E441" s="334" t="n"/>
      <c r="F441" s="334" t="n"/>
      <c r="G441" s="334" t="n"/>
      <c r="H441" s="334" t="n"/>
      <c r="I441" s="332">
        <f>IFERROR(VLOOKUP(TEXT(H441,"0"),IPRESS!$A$3:$B$212,2,0),"")</f>
        <v/>
      </c>
      <c r="J441" s="334" t="n"/>
      <c r="K441" s="332">
        <f>IFERROR(VLOOKUP(TEXT(O441,"0"),CONDUCTORES!$A$3:$G$54,7,0),"")</f>
        <v/>
      </c>
      <c r="L441" s="334" t="n"/>
      <c r="M441" s="334" t="n"/>
      <c r="N441" s="333">
        <f>IFERROR(IF(L441*M441=0,"",L441*M441),"")</f>
        <v/>
      </c>
      <c r="O441" s="334" t="n"/>
      <c r="P441" s="332">
        <f>IFERROR(VLOOKUP(TEXT(O441,"0"),CONDUCTORES!$A$3:$G$54,2,0),"")</f>
        <v/>
      </c>
      <c r="Q441" s="332">
        <f>IFERROR(VLOOKUP(TEXT(O441,"0"),CONDUCTORES!$A$3:$H$54,6,0),"")</f>
        <v/>
      </c>
      <c r="R441" s="334" t="n"/>
      <c r="S441" s="334" t="n"/>
      <c r="T441" s="334" t="n"/>
      <c r="U441" s="334" t="n"/>
      <c r="V441" s="334" t="n"/>
      <c r="W441" s="334" t="n"/>
      <c r="X441" s="334" t="n"/>
      <c r="Y441" s="334" t="n"/>
    </row>
    <row r="442" ht="15" customHeight="1" s="195">
      <c r="A442" s="280" t="n"/>
      <c r="B442" s="280" t="n"/>
      <c r="C442" s="280" t="n"/>
      <c r="D442" s="280" t="n"/>
      <c r="E442" s="280" t="n"/>
      <c r="F442" s="280" t="n"/>
      <c r="G442" s="280" t="n"/>
      <c r="H442" s="280" t="n"/>
      <c r="I442" s="332">
        <f>IFERROR(VLOOKUP(TEXT(H442,"0"),IPRESS!$A$3:$B$212,2,0),"")</f>
        <v/>
      </c>
      <c r="J442" s="280" t="n"/>
      <c r="K442" s="332">
        <f>IFERROR(VLOOKUP(TEXT(O442,"0"),CONDUCTORES!$A$3:$G$54,7,0),"")</f>
        <v/>
      </c>
      <c r="L442" s="280" t="n"/>
      <c r="M442" s="280" t="n"/>
      <c r="N442" s="333">
        <f>IFERROR(IF(L442*M442=0,"",L442*M442),"")</f>
        <v/>
      </c>
      <c r="O442" s="280" t="n"/>
      <c r="P442" s="332">
        <f>IFERROR(VLOOKUP(TEXT(O442,"0"),CONDUCTORES!$A$3:$G$54,2,0),"")</f>
        <v/>
      </c>
      <c r="Q442" s="332">
        <f>IFERROR(VLOOKUP(TEXT(O442,"0"),CONDUCTORES!$A$3:$H$54,6,0),"")</f>
        <v/>
      </c>
      <c r="R442" s="280" t="n"/>
      <c r="S442" s="280" t="n"/>
      <c r="T442" s="280" t="n"/>
      <c r="U442" s="280" t="n"/>
      <c r="V442" s="280" t="n"/>
      <c r="W442" s="280" t="n"/>
      <c r="X442" s="280" t="n"/>
      <c r="Y442" s="280" t="n"/>
    </row>
    <row r="443" ht="15" customHeight="1" s="195">
      <c r="A443" s="334" t="n"/>
      <c r="B443" s="334" t="n"/>
      <c r="C443" s="334" t="n"/>
      <c r="D443" s="334" t="n"/>
      <c r="E443" s="334" t="n"/>
      <c r="F443" s="334" t="n"/>
      <c r="G443" s="334" t="n"/>
      <c r="H443" s="334" t="n"/>
      <c r="I443" s="332">
        <f>IFERROR(VLOOKUP(TEXT(H443,"0"),IPRESS!$A$3:$B$212,2,0),"")</f>
        <v/>
      </c>
      <c r="J443" s="334" t="n"/>
      <c r="K443" s="332">
        <f>IFERROR(VLOOKUP(TEXT(O443,"0"),CONDUCTORES!$A$3:$G$54,7,0),"")</f>
        <v/>
      </c>
      <c r="L443" s="334" t="n"/>
      <c r="M443" s="334" t="n"/>
      <c r="N443" s="333">
        <f>IFERROR(IF(L443*M443=0,"",L443*M443),"")</f>
        <v/>
      </c>
      <c r="O443" s="334" t="n"/>
      <c r="P443" s="332">
        <f>IFERROR(VLOOKUP(TEXT(O443,"0"),CONDUCTORES!$A$3:$G$54,2,0),"")</f>
        <v/>
      </c>
      <c r="Q443" s="332">
        <f>IFERROR(VLOOKUP(TEXT(O443,"0"),CONDUCTORES!$A$3:$H$54,6,0),"")</f>
        <v/>
      </c>
      <c r="R443" s="334" t="n"/>
      <c r="S443" s="334" t="n"/>
      <c r="T443" s="334" t="n"/>
      <c r="U443" s="334" t="n"/>
      <c r="V443" s="334" t="n"/>
      <c r="W443" s="334" t="n"/>
      <c r="X443" s="334" t="n"/>
      <c r="Y443" s="334" t="n"/>
    </row>
    <row r="444" ht="15" customHeight="1" s="195">
      <c r="A444" s="280" t="n"/>
      <c r="B444" s="280" t="n"/>
      <c r="C444" s="280" t="n"/>
      <c r="D444" s="280" t="n"/>
      <c r="E444" s="280" t="n"/>
      <c r="F444" s="280" t="n"/>
      <c r="G444" s="280" t="n"/>
      <c r="H444" s="280" t="n"/>
      <c r="I444" s="332">
        <f>IFERROR(VLOOKUP(TEXT(H444,"0"),IPRESS!$A$3:$B$212,2,0),"")</f>
        <v/>
      </c>
      <c r="J444" s="280" t="n"/>
      <c r="K444" s="332">
        <f>IFERROR(VLOOKUP(TEXT(O444,"0"),CONDUCTORES!$A$3:$G$54,7,0),"")</f>
        <v/>
      </c>
      <c r="L444" s="280" t="n"/>
      <c r="M444" s="280" t="n"/>
      <c r="N444" s="333">
        <f>IFERROR(IF(L444*M444=0,"",L444*M444),"")</f>
        <v/>
      </c>
      <c r="O444" s="280" t="n"/>
      <c r="P444" s="332">
        <f>IFERROR(VLOOKUP(TEXT(O444,"0"),CONDUCTORES!$A$3:$G$54,2,0),"")</f>
        <v/>
      </c>
      <c r="Q444" s="332">
        <f>IFERROR(VLOOKUP(TEXT(O444,"0"),CONDUCTORES!$A$3:$H$54,6,0),"")</f>
        <v/>
      </c>
      <c r="R444" s="280" t="n"/>
      <c r="S444" s="280" t="n"/>
      <c r="T444" s="280" t="n"/>
      <c r="U444" s="280" t="n"/>
      <c r="V444" s="280" t="n"/>
      <c r="W444" s="280" t="n"/>
      <c r="X444" s="280" t="n"/>
      <c r="Y444" s="280" t="n"/>
    </row>
    <row r="445" ht="15" customHeight="1" s="195">
      <c r="A445" s="334" t="n"/>
      <c r="B445" s="334" t="n"/>
      <c r="C445" s="334" t="n"/>
      <c r="D445" s="334" t="n"/>
      <c r="E445" s="334" t="n"/>
      <c r="F445" s="334" t="n"/>
      <c r="G445" s="334" t="n"/>
      <c r="H445" s="334" t="n"/>
      <c r="I445" s="332">
        <f>IFERROR(VLOOKUP(TEXT(H445,"0"),IPRESS!$A$3:$B$212,2,0),"")</f>
        <v/>
      </c>
      <c r="J445" s="334" t="n"/>
      <c r="K445" s="332">
        <f>IFERROR(VLOOKUP(TEXT(O445,"0"),CONDUCTORES!$A$3:$G$54,7,0),"")</f>
        <v/>
      </c>
      <c r="L445" s="334" t="n"/>
      <c r="M445" s="334" t="n"/>
      <c r="N445" s="333">
        <f>IFERROR(IF(L445*M445=0,"",L445*M445),"")</f>
        <v/>
      </c>
      <c r="O445" s="334" t="n"/>
      <c r="P445" s="332">
        <f>IFERROR(VLOOKUP(TEXT(O445,"0"),CONDUCTORES!$A$3:$G$54,2,0),"")</f>
        <v/>
      </c>
      <c r="Q445" s="332">
        <f>IFERROR(VLOOKUP(TEXT(O445,"0"),CONDUCTORES!$A$3:$H$54,6,0),"")</f>
        <v/>
      </c>
      <c r="R445" s="334" t="n"/>
      <c r="S445" s="334" t="n"/>
      <c r="T445" s="334" t="n"/>
      <c r="U445" s="334" t="n"/>
      <c r="V445" s="334" t="n"/>
      <c r="W445" s="334" t="n"/>
      <c r="X445" s="334" t="n"/>
      <c r="Y445" s="334" t="n"/>
    </row>
    <row r="446" ht="15" customHeight="1" s="195">
      <c r="A446" s="280" t="n"/>
      <c r="B446" s="280" t="n"/>
      <c r="C446" s="280" t="n"/>
      <c r="D446" s="280" t="n"/>
      <c r="E446" s="280" t="n"/>
      <c r="F446" s="280" t="n"/>
      <c r="G446" s="280" t="n"/>
      <c r="H446" s="280" t="n"/>
      <c r="I446" s="332">
        <f>IFERROR(VLOOKUP(TEXT(H446,"0"),IPRESS!$A$3:$B$212,2,0),"")</f>
        <v/>
      </c>
      <c r="J446" s="280" t="n"/>
      <c r="K446" s="332">
        <f>IFERROR(VLOOKUP(TEXT(O446,"0"),CONDUCTORES!$A$3:$G$54,7,0),"")</f>
        <v/>
      </c>
      <c r="L446" s="280" t="n"/>
      <c r="M446" s="280" t="n"/>
      <c r="N446" s="333">
        <f>IFERROR(IF(L446*M446=0,"",L446*M446),"")</f>
        <v/>
      </c>
      <c r="O446" s="280" t="n"/>
      <c r="P446" s="332">
        <f>IFERROR(VLOOKUP(TEXT(O446,"0"),CONDUCTORES!$A$3:$G$54,2,0),"")</f>
        <v/>
      </c>
      <c r="Q446" s="332">
        <f>IFERROR(VLOOKUP(TEXT(O446,"0"),CONDUCTORES!$A$3:$H$54,6,0),"")</f>
        <v/>
      </c>
      <c r="R446" s="280" t="n"/>
      <c r="S446" s="280" t="n"/>
      <c r="T446" s="280" t="n"/>
      <c r="U446" s="280" t="n"/>
      <c r="V446" s="280" t="n"/>
      <c r="W446" s="280" t="n"/>
      <c r="X446" s="280" t="n"/>
      <c r="Y446" s="280" t="n"/>
    </row>
    <row r="447" ht="15" customHeight="1" s="195">
      <c r="A447" s="334" t="n"/>
      <c r="B447" s="334" t="n"/>
      <c r="C447" s="334" t="n"/>
      <c r="D447" s="334" t="n"/>
      <c r="E447" s="334" t="n"/>
      <c r="F447" s="334" t="n"/>
      <c r="G447" s="334" t="n"/>
      <c r="H447" s="334" t="n"/>
      <c r="I447" s="332">
        <f>IFERROR(VLOOKUP(TEXT(H447,"0"),IPRESS!$A$3:$B$212,2,0),"")</f>
        <v/>
      </c>
      <c r="J447" s="334" t="n"/>
      <c r="K447" s="332">
        <f>IFERROR(VLOOKUP(TEXT(O447,"0"),CONDUCTORES!$A$3:$G$54,7,0),"")</f>
        <v/>
      </c>
      <c r="L447" s="334" t="n"/>
      <c r="M447" s="334" t="n"/>
      <c r="N447" s="333">
        <f>IFERROR(IF(L447*M447=0,"",L447*M447),"")</f>
        <v/>
      </c>
      <c r="O447" s="334" t="n"/>
      <c r="P447" s="332">
        <f>IFERROR(VLOOKUP(TEXT(O447,"0"),CONDUCTORES!$A$3:$G$54,2,0),"")</f>
        <v/>
      </c>
      <c r="Q447" s="332">
        <f>IFERROR(VLOOKUP(TEXT(O447,"0"),CONDUCTORES!$A$3:$H$54,6,0),"")</f>
        <v/>
      </c>
      <c r="R447" s="334" t="n"/>
      <c r="S447" s="334" t="n"/>
      <c r="T447" s="334" t="n"/>
      <c r="U447" s="334" t="n"/>
      <c r="V447" s="334" t="n"/>
      <c r="W447" s="334" t="n"/>
      <c r="X447" s="334" t="n"/>
      <c r="Y447" s="334" t="n"/>
    </row>
    <row r="448" ht="15" customHeight="1" s="195">
      <c r="A448" s="280" t="n"/>
      <c r="B448" s="280" t="n"/>
      <c r="C448" s="280" t="n"/>
      <c r="D448" s="280" t="n"/>
      <c r="E448" s="280" t="n"/>
      <c r="F448" s="280" t="n"/>
      <c r="G448" s="280" t="n"/>
      <c r="H448" s="280" t="n"/>
      <c r="I448" s="332">
        <f>IFERROR(VLOOKUP(TEXT(H448,"0"),IPRESS!$A$3:$B$212,2,0),"")</f>
        <v/>
      </c>
      <c r="J448" s="280" t="n"/>
      <c r="K448" s="332">
        <f>IFERROR(VLOOKUP(TEXT(O448,"0"),CONDUCTORES!$A$3:$G$54,7,0),"")</f>
        <v/>
      </c>
      <c r="L448" s="280" t="n"/>
      <c r="M448" s="280" t="n"/>
      <c r="N448" s="333">
        <f>IFERROR(IF(L448*M448=0,"",L448*M448),"")</f>
        <v/>
      </c>
      <c r="O448" s="280" t="n"/>
      <c r="P448" s="332">
        <f>IFERROR(VLOOKUP(TEXT(O448,"0"),CONDUCTORES!$A$3:$G$54,2,0),"")</f>
        <v/>
      </c>
      <c r="Q448" s="332">
        <f>IFERROR(VLOOKUP(TEXT(O448,"0"),CONDUCTORES!$A$3:$H$54,6,0),"")</f>
        <v/>
      </c>
      <c r="R448" s="280" t="n"/>
      <c r="S448" s="280" t="n"/>
      <c r="T448" s="280" t="n"/>
      <c r="U448" s="280" t="n"/>
      <c r="V448" s="280" t="n"/>
      <c r="W448" s="280" t="n"/>
      <c r="X448" s="280" t="n"/>
      <c r="Y448" s="280" t="n"/>
    </row>
    <row r="449" ht="15" customHeight="1" s="195">
      <c r="A449" s="334" t="n"/>
      <c r="B449" s="334" t="n"/>
      <c r="C449" s="334" t="n"/>
      <c r="D449" s="334" t="n"/>
      <c r="E449" s="334" t="n"/>
      <c r="F449" s="334" t="n"/>
      <c r="G449" s="334" t="n"/>
      <c r="H449" s="334" t="n"/>
      <c r="I449" s="332">
        <f>IFERROR(VLOOKUP(TEXT(H449,"0"),IPRESS!$A$3:$B$212,2,0),"")</f>
        <v/>
      </c>
      <c r="J449" s="334" t="n"/>
      <c r="K449" s="332">
        <f>IFERROR(VLOOKUP(TEXT(O449,"0"),CONDUCTORES!$A$3:$G$54,7,0),"")</f>
        <v/>
      </c>
      <c r="L449" s="334" t="n"/>
      <c r="M449" s="334" t="n"/>
      <c r="N449" s="333">
        <f>IFERROR(IF(L449*M449=0,"",L449*M449),"")</f>
        <v/>
      </c>
      <c r="O449" s="334" t="n"/>
      <c r="P449" s="332">
        <f>IFERROR(VLOOKUP(TEXT(O449,"0"),CONDUCTORES!$A$3:$G$54,2,0),"")</f>
        <v/>
      </c>
      <c r="Q449" s="332">
        <f>IFERROR(VLOOKUP(TEXT(O449,"0"),CONDUCTORES!$A$3:$H$54,6,0),"")</f>
        <v/>
      </c>
      <c r="R449" s="334" t="n"/>
      <c r="S449" s="334" t="n"/>
      <c r="T449" s="334" t="n"/>
      <c r="U449" s="334" t="n"/>
      <c r="V449" s="334" t="n"/>
      <c r="W449" s="334" t="n"/>
      <c r="X449" s="334" t="n"/>
      <c r="Y449" s="334" t="n"/>
    </row>
    <row r="450" ht="15" customHeight="1" s="195">
      <c r="A450" s="280" t="n"/>
      <c r="B450" s="280" t="n"/>
      <c r="C450" s="280" t="n"/>
      <c r="D450" s="280" t="n"/>
      <c r="E450" s="280" t="n"/>
      <c r="F450" s="280" t="n"/>
      <c r="G450" s="280" t="n"/>
      <c r="H450" s="280" t="n"/>
      <c r="I450" s="332">
        <f>IFERROR(VLOOKUP(TEXT(H450,"0"),IPRESS!$A$3:$B$212,2,0),"")</f>
        <v/>
      </c>
      <c r="J450" s="280" t="n"/>
      <c r="K450" s="332">
        <f>IFERROR(VLOOKUP(TEXT(O450,"0"),CONDUCTORES!$A$3:$G$54,7,0),"")</f>
        <v/>
      </c>
      <c r="L450" s="280" t="n"/>
      <c r="M450" s="280" t="n"/>
      <c r="N450" s="333">
        <f>IFERROR(IF(L450*M450=0,"",L450*M450),"")</f>
        <v/>
      </c>
      <c r="O450" s="280" t="n"/>
      <c r="P450" s="332">
        <f>IFERROR(VLOOKUP(TEXT(O450,"0"),CONDUCTORES!$A$3:$G$54,2,0),"")</f>
        <v/>
      </c>
      <c r="Q450" s="332">
        <f>IFERROR(VLOOKUP(TEXT(O450,"0"),CONDUCTORES!$A$3:$H$54,6,0),"")</f>
        <v/>
      </c>
      <c r="R450" s="280" t="n"/>
      <c r="S450" s="280" t="n"/>
      <c r="T450" s="280" t="n"/>
      <c r="U450" s="280" t="n"/>
      <c r="V450" s="280" t="n"/>
      <c r="W450" s="280" t="n"/>
      <c r="X450" s="280" t="n"/>
      <c r="Y450" s="280" t="n"/>
    </row>
    <row r="451" ht="15" customHeight="1" s="195">
      <c r="A451" s="334" t="n"/>
      <c r="B451" s="334" t="n"/>
      <c r="C451" s="334" t="n"/>
      <c r="D451" s="334" t="n"/>
      <c r="E451" s="334" t="n"/>
      <c r="F451" s="334" t="n"/>
      <c r="G451" s="334" t="n"/>
      <c r="H451" s="334" t="n"/>
      <c r="I451" s="332">
        <f>IFERROR(VLOOKUP(TEXT(H451,"0"),IPRESS!$A$3:$B$212,2,0),"")</f>
        <v/>
      </c>
      <c r="J451" s="334" t="n"/>
      <c r="K451" s="332">
        <f>IFERROR(VLOOKUP(TEXT(O451,"0"),CONDUCTORES!$A$3:$G$54,7,0),"")</f>
        <v/>
      </c>
      <c r="L451" s="334" t="n"/>
      <c r="M451" s="334" t="n"/>
      <c r="N451" s="333">
        <f>IFERROR(IF(L451*M451=0,"",L451*M451),"")</f>
        <v/>
      </c>
      <c r="O451" s="334" t="n"/>
      <c r="P451" s="332">
        <f>IFERROR(VLOOKUP(TEXT(O451,"0"),CONDUCTORES!$A$3:$G$54,2,0),"")</f>
        <v/>
      </c>
      <c r="Q451" s="332">
        <f>IFERROR(VLOOKUP(TEXT(O451,"0"),CONDUCTORES!$A$3:$H$54,6,0),"")</f>
        <v/>
      </c>
      <c r="R451" s="334" t="n"/>
      <c r="S451" s="334" t="n"/>
      <c r="T451" s="334" t="n"/>
      <c r="U451" s="334" t="n"/>
      <c r="V451" s="334" t="n"/>
      <c r="W451" s="334" t="n"/>
      <c r="X451" s="334" t="n"/>
      <c r="Y451" s="334" t="n"/>
    </row>
    <row r="452" ht="15" customHeight="1" s="195">
      <c r="A452" s="280" t="n"/>
      <c r="B452" s="280" t="n"/>
      <c r="C452" s="280" t="n"/>
      <c r="D452" s="280" t="n"/>
      <c r="E452" s="280" t="n"/>
      <c r="F452" s="280" t="n"/>
      <c r="G452" s="280" t="n"/>
      <c r="H452" s="280" t="n"/>
      <c r="I452" s="332">
        <f>IFERROR(VLOOKUP(TEXT(H452,"0"),IPRESS!$A$3:$B$212,2,0),"")</f>
        <v/>
      </c>
      <c r="J452" s="280" t="n"/>
      <c r="K452" s="332">
        <f>IFERROR(VLOOKUP(TEXT(O452,"0"),CONDUCTORES!$A$3:$G$54,7,0),"")</f>
        <v/>
      </c>
      <c r="L452" s="280" t="n"/>
      <c r="M452" s="280" t="n"/>
      <c r="N452" s="333">
        <f>IFERROR(IF(L452*M452=0,"",L452*M452),"")</f>
        <v/>
      </c>
      <c r="O452" s="280" t="n"/>
      <c r="P452" s="332">
        <f>IFERROR(VLOOKUP(TEXT(O452,"0"),CONDUCTORES!$A$3:$G$54,2,0),"")</f>
        <v/>
      </c>
      <c r="Q452" s="332">
        <f>IFERROR(VLOOKUP(TEXT(O452,"0"),CONDUCTORES!$A$3:$H$54,6,0),"")</f>
        <v/>
      </c>
      <c r="R452" s="280" t="n"/>
      <c r="S452" s="280" t="n"/>
      <c r="T452" s="280" t="n"/>
      <c r="U452" s="280" t="n"/>
      <c r="V452" s="280" t="n"/>
      <c r="W452" s="280" t="n"/>
      <c r="X452" s="280" t="n"/>
      <c r="Y452" s="280" t="n"/>
    </row>
    <row r="453" ht="15" customHeight="1" s="195">
      <c r="A453" s="334" t="n"/>
      <c r="B453" s="334" t="n"/>
      <c r="C453" s="334" t="n"/>
      <c r="D453" s="334" t="n"/>
      <c r="E453" s="334" t="n"/>
      <c r="F453" s="334" t="n"/>
      <c r="G453" s="334" t="n"/>
      <c r="H453" s="334" t="n"/>
      <c r="I453" s="332">
        <f>IFERROR(VLOOKUP(TEXT(H453,"0"),IPRESS!$A$3:$B$212,2,0),"")</f>
        <v/>
      </c>
      <c r="J453" s="334" t="n"/>
      <c r="K453" s="332">
        <f>IFERROR(VLOOKUP(TEXT(O453,"0"),CONDUCTORES!$A$3:$G$54,7,0),"")</f>
        <v/>
      </c>
      <c r="L453" s="334" t="n"/>
      <c r="M453" s="334" t="n"/>
      <c r="N453" s="333">
        <f>IFERROR(IF(L453*M453=0,"",L453*M453),"")</f>
        <v/>
      </c>
      <c r="O453" s="334" t="n"/>
      <c r="P453" s="332">
        <f>IFERROR(VLOOKUP(TEXT(O453,"0"),CONDUCTORES!$A$3:$G$54,2,0),"")</f>
        <v/>
      </c>
      <c r="Q453" s="332">
        <f>IFERROR(VLOOKUP(TEXT(O453,"0"),CONDUCTORES!$A$3:$H$54,6,0),"")</f>
        <v/>
      </c>
      <c r="R453" s="334" t="n"/>
      <c r="S453" s="334" t="n"/>
      <c r="T453" s="334" t="n"/>
      <c r="U453" s="334" t="n"/>
      <c r="V453" s="334" t="n"/>
      <c r="W453" s="334" t="n"/>
      <c r="X453" s="334" t="n"/>
      <c r="Y453" s="334" t="n"/>
    </row>
    <row r="454" ht="15" customHeight="1" s="195">
      <c r="A454" s="280" t="n"/>
      <c r="B454" s="280" t="n"/>
      <c r="C454" s="280" t="n"/>
      <c r="D454" s="280" t="n"/>
      <c r="E454" s="280" t="n"/>
      <c r="F454" s="280" t="n"/>
      <c r="G454" s="280" t="n"/>
      <c r="H454" s="280" t="n"/>
      <c r="I454" s="332">
        <f>IFERROR(VLOOKUP(TEXT(H454,"0"),IPRESS!$A$3:$B$212,2,0),"")</f>
        <v/>
      </c>
      <c r="J454" s="280" t="n"/>
      <c r="K454" s="332">
        <f>IFERROR(VLOOKUP(TEXT(O454,"0"),CONDUCTORES!$A$3:$G$54,7,0),"")</f>
        <v/>
      </c>
      <c r="L454" s="280" t="n"/>
      <c r="M454" s="280" t="n"/>
      <c r="N454" s="333">
        <f>IFERROR(IF(L454*M454=0,"",L454*M454),"")</f>
        <v/>
      </c>
      <c r="O454" s="280" t="n"/>
      <c r="P454" s="332">
        <f>IFERROR(VLOOKUP(TEXT(O454,"0"),CONDUCTORES!$A$3:$G$54,2,0),"")</f>
        <v/>
      </c>
      <c r="Q454" s="332">
        <f>IFERROR(VLOOKUP(TEXT(O454,"0"),CONDUCTORES!$A$3:$H$54,6,0),"")</f>
        <v/>
      </c>
      <c r="R454" s="280" t="n"/>
      <c r="S454" s="280" t="n"/>
      <c r="T454" s="280" t="n"/>
      <c r="U454" s="280" t="n"/>
      <c r="V454" s="280" t="n"/>
      <c r="W454" s="280" t="n"/>
      <c r="X454" s="280" t="n"/>
      <c r="Y454" s="280" t="n"/>
    </row>
    <row r="455" ht="15" customHeight="1" s="195">
      <c r="A455" s="334" t="n"/>
      <c r="B455" s="334" t="n"/>
      <c r="C455" s="334" t="n"/>
      <c r="D455" s="334" t="n"/>
      <c r="E455" s="334" t="n"/>
      <c r="F455" s="334" t="n"/>
      <c r="G455" s="334" t="n"/>
      <c r="H455" s="334" t="n"/>
      <c r="I455" s="332">
        <f>IFERROR(VLOOKUP(TEXT(H455,"0"),IPRESS!$A$3:$B$212,2,0),"")</f>
        <v/>
      </c>
      <c r="J455" s="334" t="n"/>
      <c r="K455" s="332">
        <f>IFERROR(VLOOKUP(TEXT(O455,"0"),CONDUCTORES!$A$3:$G$54,7,0),"")</f>
        <v/>
      </c>
      <c r="L455" s="334" t="n"/>
      <c r="M455" s="334" t="n"/>
      <c r="N455" s="333">
        <f>IFERROR(IF(L455*M455=0,"",L455*M455),"")</f>
        <v/>
      </c>
      <c r="O455" s="334" t="n"/>
      <c r="P455" s="332">
        <f>IFERROR(VLOOKUP(TEXT(O455,"0"),CONDUCTORES!$A$3:$G$54,2,0),"")</f>
        <v/>
      </c>
      <c r="Q455" s="332">
        <f>IFERROR(VLOOKUP(TEXT(O455,"0"),CONDUCTORES!$A$3:$H$54,6,0),"")</f>
        <v/>
      </c>
      <c r="R455" s="334" t="n"/>
      <c r="S455" s="334" t="n"/>
      <c r="T455" s="334" t="n"/>
      <c r="U455" s="334" t="n"/>
      <c r="V455" s="334" t="n"/>
      <c r="W455" s="334" t="n"/>
      <c r="X455" s="334" t="n"/>
      <c r="Y455" s="334" t="n"/>
    </row>
    <row r="456" ht="15" customHeight="1" s="195">
      <c r="A456" s="280" t="n"/>
      <c r="B456" s="280" t="n"/>
      <c r="C456" s="280" t="n"/>
      <c r="D456" s="280" t="n"/>
      <c r="E456" s="280" t="n"/>
      <c r="F456" s="280" t="n"/>
      <c r="G456" s="280" t="n"/>
      <c r="H456" s="280" t="n"/>
      <c r="I456" s="332">
        <f>IFERROR(VLOOKUP(TEXT(H456,"0"),IPRESS!$A$3:$B$212,2,0),"")</f>
        <v/>
      </c>
      <c r="J456" s="280" t="n"/>
      <c r="K456" s="332">
        <f>IFERROR(VLOOKUP(TEXT(O456,"0"),CONDUCTORES!$A$3:$G$54,7,0),"")</f>
        <v/>
      </c>
      <c r="L456" s="280" t="n"/>
      <c r="M456" s="280" t="n"/>
      <c r="N456" s="333">
        <f>IFERROR(IF(L456*M456=0,"",L456*M456),"")</f>
        <v/>
      </c>
      <c r="O456" s="280" t="n"/>
      <c r="P456" s="332">
        <f>IFERROR(VLOOKUP(TEXT(O456,"0"),CONDUCTORES!$A$3:$G$54,2,0),"")</f>
        <v/>
      </c>
      <c r="Q456" s="332">
        <f>IFERROR(VLOOKUP(TEXT(O456,"0"),CONDUCTORES!$A$3:$H$54,6,0),"")</f>
        <v/>
      </c>
      <c r="R456" s="280" t="n"/>
      <c r="S456" s="280" t="n"/>
      <c r="T456" s="280" t="n"/>
      <c r="U456" s="280" t="n"/>
      <c r="V456" s="280" t="n"/>
      <c r="W456" s="280" t="n"/>
      <c r="X456" s="280" t="n"/>
      <c r="Y456" s="280" t="n"/>
    </row>
    <row r="457" ht="15" customHeight="1" s="195">
      <c r="A457" s="334" t="n"/>
      <c r="B457" s="334" t="n"/>
      <c r="C457" s="334" t="n"/>
      <c r="D457" s="334" t="n"/>
      <c r="E457" s="334" t="n"/>
      <c r="F457" s="334" t="n"/>
      <c r="G457" s="334" t="n"/>
      <c r="H457" s="334" t="n"/>
      <c r="I457" s="332">
        <f>IFERROR(VLOOKUP(TEXT(H457,"0"),IPRESS!$A$3:$B$212,2,0),"")</f>
        <v/>
      </c>
      <c r="J457" s="334" t="n"/>
      <c r="K457" s="332">
        <f>IFERROR(VLOOKUP(TEXT(O457,"0"),CONDUCTORES!$A$3:$G$54,7,0),"")</f>
        <v/>
      </c>
      <c r="L457" s="334" t="n"/>
      <c r="M457" s="334" t="n"/>
      <c r="N457" s="333">
        <f>IFERROR(IF(L457*M457=0,"",L457*M457),"")</f>
        <v/>
      </c>
      <c r="O457" s="334" t="n"/>
      <c r="P457" s="332">
        <f>IFERROR(VLOOKUP(TEXT(O457,"0"),CONDUCTORES!$A$3:$G$54,2,0),"")</f>
        <v/>
      </c>
      <c r="Q457" s="332">
        <f>IFERROR(VLOOKUP(TEXT(O457,"0"),CONDUCTORES!$A$3:$H$54,6,0),"")</f>
        <v/>
      </c>
      <c r="R457" s="334" t="n"/>
      <c r="S457" s="334" t="n"/>
      <c r="T457" s="334" t="n"/>
      <c r="U457" s="334" t="n"/>
      <c r="V457" s="334" t="n"/>
      <c r="W457" s="334" t="n"/>
      <c r="X457" s="334" t="n"/>
      <c r="Y457" s="334" t="n"/>
    </row>
    <row r="458" ht="15" customHeight="1" s="195">
      <c r="A458" s="280" t="n"/>
      <c r="B458" s="280" t="n"/>
      <c r="C458" s="280" t="n"/>
      <c r="D458" s="280" t="n"/>
      <c r="E458" s="280" t="n"/>
      <c r="F458" s="280" t="n"/>
      <c r="G458" s="280" t="n"/>
      <c r="H458" s="280" t="n"/>
      <c r="I458" s="332">
        <f>IFERROR(VLOOKUP(TEXT(H458,"0"),IPRESS!$A$3:$B$212,2,0),"")</f>
        <v/>
      </c>
      <c r="J458" s="280" t="n"/>
      <c r="K458" s="332">
        <f>IFERROR(VLOOKUP(TEXT(O458,"0"),CONDUCTORES!$A$3:$G$54,7,0),"")</f>
        <v/>
      </c>
      <c r="L458" s="280" t="n"/>
      <c r="M458" s="280" t="n"/>
      <c r="N458" s="333">
        <f>IFERROR(IF(L458*M458=0,"",L458*M458),"")</f>
        <v/>
      </c>
      <c r="O458" s="280" t="n"/>
      <c r="P458" s="332">
        <f>IFERROR(VLOOKUP(TEXT(O458,"0"),CONDUCTORES!$A$3:$G$54,2,0),"")</f>
        <v/>
      </c>
      <c r="Q458" s="332">
        <f>IFERROR(VLOOKUP(TEXT(O458,"0"),CONDUCTORES!$A$3:$H$54,6,0),"")</f>
        <v/>
      </c>
      <c r="R458" s="280" t="n"/>
      <c r="S458" s="280" t="n"/>
      <c r="T458" s="280" t="n"/>
      <c r="U458" s="280" t="n"/>
      <c r="V458" s="280" t="n"/>
      <c r="W458" s="280" t="n"/>
      <c r="X458" s="280" t="n"/>
      <c r="Y458" s="280" t="n"/>
    </row>
    <row r="459" ht="15" customHeight="1" s="195">
      <c r="A459" s="334" t="n"/>
      <c r="B459" s="334" t="n"/>
      <c r="C459" s="334" t="n"/>
      <c r="D459" s="334" t="n"/>
      <c r="E459" s="334" t="n"/>
      <c r="F459" s="334" t="n"/>
      <c r="G459" s="334" t="n"/>
      <c r="H459" s="334" t="n"/>
      <c r="I459" s="332">
        <f>IFERROR(VLOOKUP(TEXT(H459,"0"),IPRESS!$A$3:$B$212,2,0),"")</f>
        <v/>
      </c>
      <c r="J459" s="334" t="n"/>
      <c r="K459" s="332">
        <f>IFERROR(VLOOKUP(TEXT(O459,"0"),CONDUCTORES!$A$3:$G$54,7,0),"")</f>
        <v/>
      </c>
      <c r="L459" s="334" t="n"/>
      <c r="M459" s="334" t="n"/>
      <c r="N459" s="333">
        <f>IFERROR(IF(L459*M459=0,"",L459*M459),"")</f>
        <v/>
      </c>
      <c r="O459" s="334" t="n"/>
      <c r="P459" s="332">
        <f>IFERROR(VLOOKUP(TEXT(O459,"0"),CONDUCTORES!$A$3:$G$54,2,0),"")</f>
        <v/>
      </c>
      <c r="Q459" s="332">
        <f>IFERROR(VLOOKUP(TEXT(O459,"0"),CONDUCTORES!$A$3:$H$54,6,0),"")</f>
        <v/>
      </c>
      <c r="R459" s="334" t="n"/>
      <c r="S459" s="334" t="n"/>
      <c r="T459" s="334" t="n"/>
      <c r="U459" s="334" t="n"/>
      <c r="V459" s="334" t="n"/>
      <c r="W459" s="334" t="n"/>
      <c r="X459" s="334" t="n"/>
      <c r="Y459" s="334" t="n"/>
    </row>
    <row r="460" ht="15" customHeight="1" s="195">
      <c r="A460" s="280" t="n"/>
      <c r="B460" s="280" t="n"/>
      <c r="C460" s="280" t="n"/>
      <c r="D460" s="280" t="n"/>
      <c r="E460" s="280" t="n"/>
      <c r="F460" s="280" t="n"/>
      <c r="G460" s="280" t="n"/>
      <c r="H460" s="280" t="n"/>
      <c r="I460" s="332">
        <f>IFERROR(VLOOKUP(TEXT(H460,"0"),IPRESS!$A$3:$B$212,2,0),"")</f>
        <v/>
      </c>
      <c r="J460" s="280" t="n"/>
      <c r="K460" s="332">
        <f>IFERROR(VLOOKUP(TEXT(O460,"0"),CONDUCTORES!$A$3:$G$54,7,0),"")</f>
        <v/>
      </c>
      <c r="L460" s="280" t="n"/>
      <c r="M460" s="280" t="n"/>
      <c r="N460" s="333">
        <f>IFERROR(IF(L460*M460=0,"",L460*M460),"")</f>
        <v/>
      </c>
      <c r="O460" s="280" t="n"/>
      <c r="P460" s="332">
        <f>IFERROR(VLOOKUP(TEXT(O460,"0"),CONDUCTORES!$A$3:$G$54,2,0),"")</f>
        <v/>
      </c>
      <c r="Q460" s="332">
        <f>IFERROR(VLOOKUP(TEXT(O460,"0"),CONDUCTORES!$A$3:$H$54,6,0),"")</f>
        <v/>
      </c>
      <c r="R460" s="280" t="n"/>
      <c r="S460" s="280" t="n"/>
      <c r="T460" s="280" t="n"/>
      <c r="U460" s="280" t="n"/>
      <c r="V460" s="280" t="n"/>
      <c r="W460" s="280" t="n"/>
      <c r="X460" s="280" t="n"/>
      <c r="Y460" s="280" t="n"/>
    </row>
    <row r="461" ht="15" customHeight="1" s="195">
      <c r="A461" s="334" t="n"/>
      <c r="B461" s="334" t="n"/>
      <c r="C461" s="334" t="n"/>
      <c r="D461" s="334" t="n"/>
      <c r="E461" s="334" t="n"/>
      <c r="F461" s="334" t="n"/>
      <c r="G461" s="334" t="n"/>
      <c r="H461" s="334" t="n"/>
      <c r="I461" s="332">
        <f>IFERROR(VLOOKUP(TEXT(H461,"0"),IPRESS!$A$3:$B$212,2,0),"")</f>
        <v/>
      </c>
      <c r="J461" s="334" t="n"/>
      <c r="K461" s="332">
        <f>IFERROR(VLOOKUP(TEXT(O461,"0"),CONDUCTORES!$A$3:$G$54,7,0),"")</f>
        <v/>
      </c>
      <c r="L461" s="334" t="n"/>
      <c r="M461" s="334" t="n"/>
      <c r="N461" s="333">
        <f>IFERROR(IF(L461*M461=0,"",L461*M461),"")</f>
        <v/>
      </c>
      <c r="O461" s="334" t="n"/>
      <c r="P461" s="332">
        <f>IFERROR(VLOOKUP(TEXT(O461,"0"),CONDUCTORES!$A$3:$G$54,2,0),"")</f>
        <v/>
      </c>
      <c r="Q461" s="332">
        <f>IFERROR(VLOOKUP(TEXT(O461,"0"),CONDUCTORES!$A$3:$H$54,6,0),"")</f>
        <v/>
      </c>
      <c r="R461" s="334" t="n"/>
      <c r="S461" s="334" t="n"/>
      <c r="T461" s="334" t="n"/>
      <c r="U461" s="334" t="n"/>
      <c r="V461" s="334" t="n"/>
      <c r="W461" s="334" t="n"/>
      <c r="X461" s="334" t="n"/>
      <c r="Y461" s="334" t="n"/>
    </row>
    <row r="462" ht="15" customHeight="1" s="195">
      <c r="A462" s="280" t="n"/>
      <c r="B462" s="280" t="n"/>
      <c r="C462" s="280" t="n"/>
      <c r="D462" s="280" t="n"/>
      <c r="E462" s="280" t="n"/>
      <c r="F462" s="280" t="n"/>
      <c r="G462" s="280" t="n"/>
      <c r="H462" s="280" t="n"/>
      <c r="I462" s="332">
        <f>IFERROR(VLOOKUP(TEXT(H462,"0"),IPRESS!$A$3:$B$212,2,0),"")</f>
        <v/>
      </c>
      <c r="J462" s="280" t="n"/>
      <c r="K462" s="332">
        <f>IFERROR(VLOOKUP(TEXT(O462,"0"),CONDUCTORES!$A$3:$G$54,7,0),"")</f>
        <v/>
      </c>
      <c r="L462" s="280" t="n"/>
      <c r="M462" s="280" t="n"/>
      <c r="N462" s="333">
        <f>IFERROR(IF(L462*M462=0,"",L462*M462),"")</f>
        <v/>
      </c>
      <c r="O462" s="280" t="n"/>
      <c r="P462" s="332">
        <f>IFERROR(VLOOKUP(TEXT(O462,"0"),CONDUCTORES!$A$3:$G$54,2,0),"")</f>
        <v/>
      </c>
      <c r="Q462" s="332">
        <f>IFERROR(VLOOKUP(TEXT(O462,"0"),CONDUCTORES!$A$3:$H$54,6,0),"")</f>
        <v/>
      </c>
      <c r="R462" s="280" t="n"/>
      <c r="S462" s="280" t="n"/>
      <c r="T462" s="280" t="n"/>
      <c r="U462" s="280" t="n"/>
      <c r="V462" s="280" t="n"/>
      <c r="W462" s="280" t="n"/>
      <c r="X462" s="280" t="n"/>
      <c r="Y462" s="280" t="n"/>
    </row>
    <row r="463" ht="15" customHeight="1" s="195">
      <c r="A463" s="334" t="n"/>
      <c r="B463" s="334" t="n"/>
      <c r="C463" s="334" t="n"/>
      <c r="D463" s="334" t="n"/>
      <c r="E463" s="334" t="n"/>
      <c r="F463" s="334" t="n"/>
      <c r="G463" s="334" t="n"/>
      <c r="H463" s="334" t="n"/>
      <c r="I463" s="332">
        <f>IFERROR(VLOOKUP(TEXT(H463,"0"),IPRESS!$A$3:$B$212,2,0),"")</f>
        <v/>
      </c>
      <c r="J463" s="334" t="n"/>
      <c r="K463" s="332">
        <f>IFERROR(VLOOKUP(TEXT(O463,"0"),CONDUCTORES!$A$3:$G$54,7,0),"")</f>
        <v/>
      </c>
      <c r="L463" s="334" t="n"/>
      <c r="M463" s="334" t="n"/>
      <c r="N463" s="333">
        <f>IFERROR(IF(L463*M463=0,"",L463*M463),"")</f>
        <v/>
      </c>
      <c r="O463" s="334" t="n"/>
      <c r="P463" s="332">
        <f>IFERROR(VLOOKUP(TEXT(O463,"0"),CONDUCTORES!$A$3:$G$54,2,0),"")</f>
        <v/>
      </c>
      <c r="Q463" s="332">
        <f>IFERROR(VLOOKUP(TEXT(O463,"0"),CONDUCTORES!$A$3:$H$54,6,0),"")</f>
        <v/>
      </c>
      <c r="R463" s="334" t="n"/>
      <c r="S463" s="334" t="n"/>
      <c r="T463" s="334" t="n"/>
      <c r="U463" s="334" t="n"/>
      <c r="V463" s="334" t="n"/>
      <c r="W463" s="334" t="n"/>
      <c r="X463" s="334" t="n"/>
      <c r="Y463" s="334" t="n"/>
    </row>
    <row r="464" ht="15" customHeight="1" s="195">
      <c r="A464" s="280" t="n"/>
      <c r="B464" s="280" t="n"/>
      <c r="C464" s="280" t="n"/>
      <c r="D464" s="280" t="n"/>
      <c r="E464" s="280" t="n"/>
      <c r="F464" s="280" t="n"/>
      <c r="G464" s="280" t="n"/>
      <c r="H464" s="280" t="n"/>
      <c r="I464" s="332">
        <f>IFERROR(VLOOKUP(TEXT(H464,"0"),IPRESS!$A$3:$B$212,2,0),"")</f>
        <v/>
      </c>
      <c r="J464" s="280" t="n"/>
      <c r="K464" s="332">
        <f>IFERROR(VLOOKUP(TEXT(O464,"0"),CONDUCTORES!$A$3:$G$54,7,0),"")</f>
        <v/>
      </c>
      <c r="L464" s="280" t="n"/>
      <c r="M464" s="280" t="n"/>
      <c r="N464" s="333">
        <f>IFERROR(IF(L464*M464=0,"",L464*M464),"")</f>
        <v/>
      </c>
      <c r="O464" s="280" t="n"/>
      <c r="P464" s="332">
        <f>IFERROR(VLOOKUP(TEXT(O464,"0"),CONDUCTORES!$A$3:$G$54,2,0),"")</f>
        <v/>
      </c>
      <c r="Q464" s="332">
        <f>IFERROR(VLOOKUP(TEXT(O464,"0"),CONDUCTORES!$A$3:$H$54,6,0),"")</f>
        <v/>
      </c>
      <c r="R464" s="280" t="n"/>
      <c r="S464" s="280" t="n"/>
      <c r="T464" s="280" t="n"/>
      <c r="U464" s="280" t="n"/>
      <c r="V464" s="280" t="n"/>
      <c r="W464" s="280" t="n"/>
      <c r="X464" s="280" t="n"/>
      <c r="Y464" s="280" t="n"/>
    </row>
    <row r="465" ht="15" customHeight="1" s="195">
      <c r="A465" s="334" t="n"/>
      <c r="B465" s="334" t="n"/>
      <c r="C465" s="334" t="n"/>
      <c r="D465" s="334" t="n"/>
      <c r="E465" s="334" t="n"/>
      <c r="F465" s="334" t="n"/>
      <c r="G465" s="334" t="n"/>
      <c r="H465" s="334" t="n"/>
      <c r="I465" s="332">
        <f>IFERROR(VLOOKUP(TEXT(H465,"0"),IPRESS!$A$3:$B$212,2,0),"")</f>
        <v/>
      </c>
      <c r="J465" s="334" t="n"/>
      <c r="K465" s="332">
        <f>IFERROR(VLOOKUP(TEXT(O465,"0"),CONDUCTORES!$A$3:$G$54,7,0),"")</f>
        <v/>
      </c>
      <c r="L465" s="334" t="n"/>
      <c r="M465" s="334" t="n"/>
      <c r="N465" s="333">
        <f>IFERROR(IF(L465*M465=0,"",L465*M465),"")</f>
        <v/>
      </c>
      <c r="O465" s="334" t="n"/>
      <c r="P465" s="332">
        <f>IFERROR(VLOOKUP(TEXT(O465,"0"),CONDUCTORES!$A$3:$G$54,2,0),"")</f>
        <v/>
      </c>
      <c r="Q465" s="332">
        <f>IFERROR(VLOOKUP(TEXT(O465,"0"),CONDUCTORES!$A$3:$H$54,6,0),"")</f>
        <v/>
      </c>
      <c r="R465" s="334" t="n"/>
      <c r="S465" s="334" t="n"/>
      <c r="T465" s="334" t="n"/>
      <c r="U465" s="334" t="n"/>
      <c r="V465" s="334" t="n"/>
      <c r="W465" s="334" t="n"/>
      <c r="X465" s="334" t="n"/>
      <c r="Y465" s="334" t="n"/>
    </row>
    <row r="466" ht="15" customHeight="1" s="195">
      <c r="A466" s="280" t="n"/>
      <c r="B466" s="280" t="n"/>
      <c r="C466" s="280" t="n"/>
      <c r="D466" s="280" t="n"/>
      <c r="E466" s="280" t="n"/>
      <c r="F466" s="280" t="n"/>
      <c r="G466" s="280" t="n"/>
      <c r="H466" s="280" t="n"/>
      <c r="I466" s="332">
        <f>IFERROR(VLOOKUP(TEXT(H466,"0"),IPRESS!$A$3:$B$212,2,0),"")</f>
        <v/>
      </c>
      <c r="J466" s="280" t="n"/>
      <c r="K466" s="332">
        <f>IFERROR(VLOOKUP(TEXT(O466,"0"),CONDUCTORES!$A$3:$G$54,7,0),"")</f>
        <v/>
      </c>
      <c r="L466" s="280" t="n"/>
      <c r="M466" s="280" t="n"/>
      <c r="N466" s="333">
        <f>IFERROR(IF(L466*M466=0,"",L466*M466),"")</f>
        <v/>
      </c>
      <c r="O466" s="280" t="n"/>
      <c r="P466" s="332">
        <f>IFERROR(VLOOKUP(TEXT(O466,"0"),CONDUCTORES!$A$3:$G$54,2,0),"")</f>
        <v/>
      </c>
      <c r="Q466" s="332">
        <f>IFERROR(VLOOKUP(TEXT(O466,"0"),CONDUCTORES!$A$3:$H$54,6,0),"")</f>
        <v/>
      </c>
      <c r="R466" s="280" t="n"/>
      <c r="S466" s="280" t="n"/>
      <c r="T466" s="280" t="n"/>
      <c r="U466" s="280" t="n"/>
      <c r="V466" s="280" t="n"/>
      <c r="W466" s="280" t="n"/>
      <c r="X466" s="280" t="n"/>
      <c r="Y466" s="280" t="n"/>
    </row>
    <row r="467" ht="15" customHeight="1" s="195">
      <c r="A467" s="334" t="n"/>
      <c r="B467" s="334" t="n"/>
      <c r="C467" s="334" t="n"/>
      <c r="D467" s="334" t="n"/>
      <c r="E467" s="334" t="n"/>
      <c r="F467" s="334" t="n"/>
      <c r="G467" s="334" t="n"/>
      <c r="H467" s="334" t="n"/>
      <c r="I467" s="332">
        <f>IFERROR(VLOOKUP(TEXT(H467,"0"),IPRESS!$A$3:$B$212,2,0),"")</f>
        <v/>
      </c>
      <c r="J467" s="334" t="n"/>
      <c r="K467" s="332">
        <f>IFERROR(VLOOKUP(TEXT(O467,"0"),CONDUCTORES!$A$3:$G$54,7,0),"")</f>
        <v/>
      </c>
      <c r="L467" s="334" t="n"/>
      <c r="M467" s="334" t="n"/>
      <c r="N467" s="333">
        <f>IFERROR(IF(L467*M467=0,"",L467*M467),"")</f>
        <v/>
      </c>
      <c r="O467" s="334" t="n"/>
      <c r="P467" s="332">
        <f>IFERROR(VLOOKUP(TEXT(O467,"0"),CONDUCTORES!$A$3:$G$54,2,0),"")</f>
        <v/>
      </c>
      <c r="Q467" s="332">
        <f>IFERROR(VLOOKUP(TEXT(O467,"0"),CONDUCTORES!$A$3:$H$54,6,0),"")</f>
        <v/>
      </c>
      <c r="R467" s="334" t="n"/>
      <c r="S467" s="334" t="n"/>
      <c r="T467" s="334" t="n"/>
      <c r="U467" s="334" t="n"/>
      <c r="V467" s="334" t="n"/>
      <c r="W467" s="334" t="n"/>
      <c r="X467" s="334" t="n"/>
      <c r="Y467" s="334" t="n"/>
    </row>
    <row r="468" ht="15" customHeight="1" s="195">
      <c r="A468" s="280" t="n"/>
      <c r="B468" s="280" t="n"/>
      <c r="C468" s="280" t="n"/>
      <c r="D468" s="280" t="n"/>
      <c r="E468" s="280" t="n"/>
      <c r="F468" s="280" t="n"/>
      <c r="G468" s="280" t="n"/>
      <c r="H468" s="280" t="n"/>
      <c r="I468" s="332">
        <f>IFERROR(VLOOKUP(TEXT(H468,"0"),IPRESS!$A$3:$B$212,2,0),"")</f>
        <v/>
      </c>
      <c r="J468" s="280" t="n"/>
      <c r="K468" s="332">
        <f>IFERROR(VLOOKUP(TEXT(O468,"0"),CONDUCTORES!$A$3:$G$54,7,0),"")</f>
        <v/>
      </c>
      <c r="L468" s="280" t="n"/>
      <c r="M468" s="280" t="n"/>
      <c r="N468" s="333">
        <f>IFERROR(IF(L468*M468=0,"",L468*M468),"")</f>
        <v/>
      </c>
      <c r="O468" s="280" t="n"/>
      <c r="P468" s="332">
        <f>IFERROR(VLOOKUP(TEXT(O468,"0"),CONDUCTORES!$A$3:$G$54,2,0),"")</f>
        <v/>
      </c>
      <c r="Q468" s="332">
        <f>IFERROR(VLOOKUP(TEXT(O468,"0"),CONDUCTORES!$A$3:$H$54,6,0),"")</f>
        <v/>
      </c>
      <c r="R468" s="280" t="n"/>
      <c r="S468" s="280" t="n"/>
      <c r="T468" s="280" t="n"/>
      <c r="U468" s="280" t="n"/>
      <c r="V468" s="280" t="n"/>
      <c r="W468" s="280" t="n"/>
      <c r="X468" s="280" t="n"/>
      <c r="Y468" s="280" t="n"/>
    </row>
    <row r="469" ht="15" customHeight="1" s="195">
      <c r="A469" s="334" t="n"/>
      <c r="B469" s="334" t="n"/>
      <c r="C469" s="334" t="n"/>
      <c r="D469" s="334" t="n"/>
      <c r="E469" s="334" t="n"/>
      <c r="F469" s="334" t="n"/>
      <c r="G469" s="334" t="n"/>
      <c r="H469" s="334" t="n"/>
      <c r="I469" s="332">
        <f>IFERROR(VLOOKUP(TEXT(H469,"0"),IPRESS!$A$3:$B$212,2,0),"")</f>
        <v/>
      </c>
      <c r="J469" s="334" t="n"/>
      <c r="K469" s="332">
        <f>IFERROR(VLOOKUP(TEXT(O469,"0"),CONDUCTORES!$A$3:$G$54,7,0),"")</f>
        <v/>
      </c>
      <c r="L469" s="334" t="n"/>
      <c r="M469" s="334" t="n"/>
      <c r="N469" s="333">
        <f>IFERROR(IF(L469*M469=0,"",L469*M469),"")</f>
        <v/>
      </c>
      <c r="O469" s="334" t="n"/>
      <c r="P469" s="332">
        <f>IFERROR(VLOOKUP(TEXT(O469,"0"),CONDUCTORES!$A$3:$G$54,2,0),"")</f>
        <v/>
      </c>
      <c r="Q469" s="332">
        <f>IFERROR(VLOOKUP(TEXT(O469,"0"),CONDUCTORES!$A$3:$H$54,6,0),"")</f>
        <v/>
      </c>
      <c r="R469" s="334" t="n"/>
      <c r="S469" s="334" t="n"/>
      <c r="T469" s="334" t="n"/>
      <c r="U469" s="334" t="n"/>
      <c r="V469" s="334" t="n"/>
      <c r="W469" s="334" t="n"/>
      <c r="X469" s="334" t="n"/>
      <c r="Y469" s="334" t="n"/>
    </row>
    <row r="470" ht="15" customHeight="1" s="195">
      <c r="A470" s="280" t="n"/>
      <c r="B470" s="280" t="n"/>
      <c r="C470" s="280" t="n"/>
      <c r="D470" s="280" t="n"/>
      <c r="E470" s="280" t="n"/>
      <c r="F470" s="280" t="n"/>
      <c r="G470" s="280" t="n"/>
      <c r="H470" s="280" t="n"/>
      <c r="I470" s="332">
        <f>IFERROR(VLOOKUP(TEXT(H470,"0"),IPRESS!$A$3:$B$212,2,0),"")</f>
        <v/>
      </c>
      <c r="J470" s="280" t="n"/>
      <c r="K470" s="332">
        <f>IFERROR(VLOOKUP(TEXT(O470,"0"),CONDUCTORES!$A$3:$G$54,7,0),"")</f>
        <v/>
      </c>
      <c r="L470" s="280" t="n"/>
      <c r="M470" s="280" t="n"/>
      <c r="N470" s="333">
        <f>IFERROR(IF(L470*M470=0,"",L470*M470),"")</f>
        <v/>
      </c>
      <c r="O470" s="280" t="n"/>
      <c r="P470" s="332">
        <f>IFERROR(VLOOKUP(TEXT(O470,"0"),CONDUCTORES!$A$3:$G$54,2,0),"")</f>
        <v/>
      </c>
      <c r="Q470" s="332">
        <f>IFERROR(VLOOKUP(TEXT(O470,"0"),CONDUCTORES!$A$3:$H$54,6,0),"")</f>
        <v/>
      </c>
      <c r="R470" s="280" t="n"/>
      <c r="S470" s="280" t="n"/>
      <c r="T470" s="280" t="n"/>
      <c r="U470" s="280" t="n"/>
      <c r="V470" s="280" t="n"/>
      <c r="W470" s="280" t="n"/>
      <c r="X470" s="280" t="n"/>
      <c r="Y470" s="280" t="n"/>
    </row>
    <row r="471" ht="15" customHeight="1" s="195">
      <c r="A471" s="334" t="n"/>
      <c r="B471" s="334" t="n"/>
      <c r="C471" s="334" t="n"/>
      <c r="D471" s="334" t="n"/>
      <c r="E471" s="334" t="n"/>
      <c r="F471" s="334" t="n"/>
      <c r="G471" s="334" t="n"/>
      <c r="H471" s="334" t="n"/>
      <c r="I471" s="332">
        <f>IFERROR(VLOOKUP(TEXT(H471,"0"),IPRESS!$A$3:$B$212,2,0),"")</f>
        <v/>
      </c>
      <c r="J471" s="334" t="n"/>
      <c r="K471" s="332">
        <f>IFERROR(VLOOKUP(TEXT(O471,"0"),CONDUCTORES!$A$3:$G$54,7,0),"")</f>
        <v/>
      </c>
      <c r="L471" s="334" t="n"/>
      <c r="M471" s="334" t="n"/>
      <c r="N471" s="333">
        <f>IFERROR(IF(L471*M471=0,"",L471*M471),"")</f>
        <v/>
      </c>
      <c r="O471" s="334" t="n"/>
      <c r="P471" s="332">
        <f>IFERROR(VLOOKUP(TEXT(O471,"0"),CONDUCTORES!$A$3:$G$54,2,0),"")</f>
        <v/>
      </c>
      <c r="Q471" s="332">
        <f>IFERROR(VLOOKUP(TEXT(O471,"0"),CONDUCTORES!$A$3:$H$54,6,0),"")</f>
        <v/>
      </c>
      <c r="R471" s="334" t="n"/>
      <c r="S471" s="334" t="n"/>
      <c r="T471" s="334" t="n"/>
      <c r="U471" s="334" t="n"/>
      <c r="V471" s="334" t="n"/>
      <c r="W471" s="334" t="n"/>
      <c r="X471" s="334" t="n"/>
      <c r="Y471" s="334" t="n"/>
    </row>
    <row r="472" ht="15" customHeight="1" s="195">
      <c r="A472" s="280" t="n"/>
      <c r="B472" s="280" t="n"/>
      <c r="C472" s="280" t="n"/>
      <c r="D472" s="280" t="n"/>
      <c r="E472" s="280" t="n"/>
      <c r="F472" s="280" t="n"/>
      <c r="G472" s="280" t="n"/>
      <c r="H472" s="280" t="n"/>
      <c r="I472" s="332">
        <f>IFERROR(VLOOKUP(TEXT(H472,"0"),IPRESS!$A$3:$B$212,2,0),"")</f>
        <v/>
      </c>
      <c r="J472" s="280" t="n"/>
      <c r="K472" s="332">
        <f>IFERROR(VLOOKUP(TEXT(O472,"0"),CONDUCTORES!$A$3:$G$54,7,0),"")</f>
        <v/>
      </c>
      <c r="L472" s="280" t="n"/>
      <c r="M472" s="280" t="n"/>
      <c r="N472" s="333">
        <f>IFERROR(IF(L472*M472=0,"",L472*M472),"")</f>
        <v/>
      </c>
      <c r="O472" s="280" t="n"/>
      <c r="P472" s="332">
        <f>IFERROR(VLOOKUP(TEXT(O472,"0"),CONDUCTORES!$A$3:$G$54,2,0),"")</f>
        <v/>
      </c>
      <c r="Q472" s="332">
        <f>IFERROR(VLOOKUP(TEXT(O472,"0"),CONDUCTORES!$A$3:$H$54,6,0),"")</f>
        <v/>
      </c>
      <c r="R472" s="280" t="n"/>
      <c r="S472" s="280" t="n"/>
      <c r="T472" s="280" t="n"/>
      <c r="U472" s="280" t="n"/>
      <c r="V472" s="280" t="n"/>
      <c r="W472" s="280" t="n"/>
      <c r="X472" s="280" t="n"/>
      <c r="Y472" s="280" t="n"/>
    </row>
    <row r="473" ht="15" customHeight="1" s="195">
      <c r="A473" s="334" t="n"/>
      <c r="B473" s="334" t="n"/>
      <c r="C473" s="334" t="n"/>
      <c r="D473" s="334" t="n"/>
      <c r="E473" s="334" t="n"/>
      <c r="F473" s="334" t="n"/>
      <c r="G473" s="334" t="n"/>
      <c r="H473" s="334" t="n"/>
      <c r="I473" s="332">
        <f>IFERROR(VLOOKUP(TEXT(H473,"0"),IPRESS!$A$3:$B$212,2,0),"")</f>
        <v/>
      </c>
      <c r="J473" s="334" t="n"/>
      <c r="K473" s="332">
        <f>IFERROR(VLOOKUP(TEXT(O473,"0"),CONDUCTORES!$A$3:$G$54,7,0),"")</f>
        <v/>
      </c>
      <c r="L473" s="334" t="n"/>
      <c r="M473" s="334" t="n"/>
      <c r="N473" s="333">
        <f>IFERROR(IF(L473*M473=0,"",L473*M473),"")</f>
        <v/>
      </c>
      <c r="O473" s="334" t="n"/>
      <c r="P473" s="332">
        <f>IFERROR(VLOOKUP(TEXT(O473,"0"),CONDUCTORES!$A$3:$G$54,2,0),"")</f>
        <v/>
      </c>
      <c r="Q473" s="332">
        <f>IFERROR(VLOOKUP(TEXT(O473,"0"),CONDUCTORES!$A$3:$H$54,6,0),"")</f>
        <v/>
      </c>
      <c r="R473" s="334" t="n"/>
      <c r="S473" s="334" t="n"/>
      <c r="T473" s="334" t="n"/>
      <c r="U473" s="334" t="n"/>
      <c r="V473" s="334" t="n"/>
      <c r="W473" s="334" t="n"/>
      <c r="X473" s="334" t="n"/>
      <c r="Y473" s="334" t="n"/>
    </row>
    <row r="474" ht="15" customHeight="1" s="195">
      <c r="A474" s="280" t="n"/>
      <c r="B474" s="280" t="n"/>
      <c r="C474" s="280" t="n"/>
      <c r="D474" s="280" t="n"/>
      <c r="E474" s="280" t="n"/>
      <c r="F474" s="280" t="n"/>
      <c r="G474" s="280" t="n"/>
      <c r="H474" s="280" t="n"/>
      <c r="I474" s="332">
        <f>IFERROR(VLOOKUP(TEXT(H474,"0"),IPRESS!$A$3:$B$212,2,0),"")</f>
        <v/>
      </c>
      <c r="J474" s="280" t="n"/>
      <c r="K474" s="332">
        <f>IFERROR(VLOOKUP(TEXT(O474,"0"),CONDUCTORES!$A$3:$G$54,7,0),"")</f>
        <v/>
      </c>
      <c r="L474" s="280" t="n"/>
      <c r="M474" s="280" t="n"/>
      <c r="N474" s="333">
        <f>IFERROR(IF(L474*M474=0,"",L474*M474),"")</f>
        <v/>
      </c>
      <c r="O474" s="280" t="n"/>
      <c r="P474" s="332">
        <f>IFERROR(VLOOKUP(TEXT(O474,"0"),CONDUCTORES!$A$3:$G$54,2,0),"")</f>
        <v/>
      </c>
      <c r="Q474" s="332">
        <f>IFERROR(VLOOKUP(TEXT(O474,"0"),CONDUCTORES!$A$3:$H$54,6,0),"")</f>
        <v/>
      </c>
      <c r="R474" s="280" t="n"/>
      <c r="S474" s="280" t="n"/>
      <c r="T474" s="280" t="n"/>
      <c r="U474" s="280" t="n"/>
      <c r="V474" s="280" t="n"/>
      <c r="W474" s="280" t="n"/>
      <c r="X474" s="280" t="n"/>
      <c r="Y474" s="280" t="n"/>
    </row>
    <row r="475" ht="15" customHeight="1" s="195">
      <c r="A475" s="334" t="n"/>
      <c r="B475" s="334" t="n"/>
      <c r="C475" s="334" t="n"/>
      <c r="D475" s="334" t="n"/>
      <c r="E475" s="334" t="n"/>
      <c r="F475" s="334" t="n"/>
      <c r="G475" s="334" t="n"/>
      <c r="H475" s="334" t="n"/>
      <c r="I475" s="332">
        <f>IFERROR(VLOOKUP(TEXT(H475,"0"),IPRESS!$A$3:$B$212,2,0),"")</f>
        <v/>
      </c>
      <c r="J475" s="334" t="n"/>
      <c r="K475" s="332">
        <f>IFERROR(VLOOKUP(TEXT(O475,"0"),CONDUCTORES!$A$3:$G$54,7,0),"")</f>
        <v/>
      </c>
      <c r="L475" s="334" t="n"/>
      <c r="M475" s="334" t="n"/>
      <c r="N475" s="333">
        <f>IFERROR(IF(L475*M475=0,"",L475*M475),"")</f>
        <v/>
      </c>
      <c r="O475" s="334" t="n"/>
      <c r="P475" s="332">
        <f>IFERROR(VLOOKUP(TEXT(O475,"0"),CONDUCTORES!$A$3:$G$54,2,0),"")</f>
        <v/>
      </c>
      <c r="Q475" s="332">
        <f>IFERROR(VLOOKUP(TEXT(O475,"0"),CONDUCTORES!$A$3:$H$54,6,0),"")</f>
        <v/>
      </c>
      <c r="R475" s="334" t="n"/>
      <c r="S475" s="334" t="n"/>
      <c r="T475" s="334" t="n"/>
      <c r="U475" s="334" t="n"/>
      <c r="V475" s="334" t="n"/>
      <c r="W475" s="334" t="n"/>
      <c r="X475" s="334" t="n"/>
      <c r="Y475" s="334" t="n"/>
    </row>
    <row r="476" ht="15" customHeight="1" s="195">
      <c r="A476" s="280" t="n"/>
      <c r="B476" s="280" t="n"/>
      <c r="C476" s="280" t="n"/>
      <c r="D476" s="280" t="n"/>
      <c r="E476" s="280" t="n"/>
      <c r="F476" s="280" t="n"/>
      <c r="G476" s="280" t="n"/>
      <c r="H476" s="280" t="n"/>
      <c r="I476" s="332">
        <f>IFERROR(VLOOKUP(TEXT(H476,"0"),IPRESS!$A$3:$B$212,2,0),"")</f>
        <v/>
      </c>
      <c r="J476" s="280" t="n"/>
      <c r="K476" s="332">
        <f>IFERROR(VLOOKUP(TEXT(O476,"0"),CONDUCTORES!$A$3:$G$54,7,0),"")</f>
        <v/>
      </c>
      <c r="L476" s="280" t="n"/>
      <c r="M476" s="280" t="n"/>
      <c r="N476" s="333">
        <f>IFERROR(IF(L476*M476=0,"",L476*M476),"")</f>
        <v/>
      </c>
      <c r="O476" s="280" t="n"/>
      <c r="P476" s="332">
        <f>IFERROR(VLOOKUP(TEXT(O476,"0"),CONDUCTORES!$A$3:$G$54,2,0),"")</f>
        <v/>
      </c>
      <c r="Q476" s="332">
        <f>IFERROR(VLOOKUP(TEXT(O476,"0"),CONDUCTORES!$A$3:$H$54,6,0),"")</f>
        <v/>
      </c>
      <c r="R476" s="280" t="n"/>
      <c r="S476" s="280" t="n"/>
      <c r="T476" s="280" t="n"/>
      <c r="U476" s="280" t="n"/>
      <c r="V476" s="280" t="n"/>
      <c r="W476" s="280" t="n"/>
      <c r="X476" s="280" t="n"/>
      <c r="Y476" s="280" t="n"/>
    </row>
    <row r="477" ht="15" customHeight="1" s="195">
      <c r="A477" s="334" t="n"/>
      <c r="B477" s="334" t="n"/>
      <c r="C477" s="334" t="n"/>
      <c r="D477" s="334" t="n"/>
      <c r="E477" s="334" t="n"/>
      <c r="F477" s="334" t="n"/>
      <c r="G477" s="334" t="n"/>
      <c r="H477" s="334" t="n"/>
      <c r="I477" s="332">
        <f>IFERROR(VLOOKUP(TEXT(H477,"0"),IPRESS!$A$3:$B$212,2,0),"")</f>
        <v/>
      </c>
      <c r="J477" s="334" t="n"/>
      <c r="K477" s="332">
        <f>IFERROR(VLOOKUP(TEXT(O477,"0"),CONDUCTORES!$A$3:$G$54,7,0),"")</f>
        <v/>
      </c>
      <c r="L477" s="334" t="n"/>
      <c r="M477" s="334" t="n"/>
      <c r="N477" s="333">
        <f>IFERROR(IF(L477*M477=0,"",L477*M477),"")</f>
        <v/>
      </c>
      <c r="O477" s="334" t="n"/>
      <c r="P477" s="332">
        <f>IFERROR(VLOOKUP(TEXT(O477,"0"),CONDUCTORES!$A$3:$G$54,2,0),"")</f>
        <v/>
      </c>
      <c r="Q477" s="332">
        <f>IFERROR(VLOOKUP(TEXT(O477,"0"),CONDUCTORES!$A$3:$H$54,6,0),"")</f>
        <v/>
      </c>
      <c r="R477" s="334" t="n"/>
      <c r="S477" s="334" t="n"/>
      <c r="T477" s="334" t="n"/>
      <c r="U477" s="334" t="n"/>
      <c r="V477" s="334" t="n"/>
      <c r="W477" s="334" t="n"/>
      <c r="X477" s="334" t="n"/>
      <c r="Y477" s="334" t="n"/>
    </row>
    <row r="478" ht="15" customHeight="1" s="195">
      <c r="A478" s="280" t="n"/>
      <c r="B478" s="280" t="n"/>
      <c r="C478" s="280" t="n"/>
      <c r="D478" s="280" t="n"/>
      <c r="E478" s="280" t="n"/>
      <c r="F478" s="280" t="n"/>
      <c r="G478" s="280" t="n"/>
      <c r="H478" s="280" t="n"/>
      <c r="I478" s="332">
        <f>IFERROR(VLOOKUP(TEXT(H478,"0"),IPRESS!$A$3:$B$212,2,0),"")</f>
        <v/>
      </c>
      <c r="J478" s="280" t="n"/>
      <c r="K478" s="332">
        <f>IFERROR(VLOOKUP(TEXT(O478,"0"),CONDUCTORES!$A$3:$G$54,7,0),"")</f>
        <v/>
      </c>
      <c r="L478" s="280" t="n"/>
      <c r="M478" s="280" t="n"/>
      <c r="N478" s="333">
        <f>IFERROR(IF(L478*M478=0,"",L478*M478),"")</f>
        <v/>
      </c>
      <c r="O478" s="280" t="n"/>
      <c r="P478" s="332">
        <f>IFERROR(VLOOKUP(TEXT(O478,"0"),CONDUCTORES!$A$3:$G$54,2,0),"")</f>
        <v/>
      </c>
      <c r="Q478" s="332">
        <f>IFERROR(VLOOKUP(TEXT(O478,"0"),CONDUCTORES!$A$3:$H$54,6,0),"")</f>
        <v/>
      </c>
      <c r="R478" s="280" t="n"/>
      <c r="S478" s="280" t="n"/>
      <c r="T478" s="280" t="n"/>
      <c r="U478" s="280" t="n"/>
      <c r="V478" s="280" t="n"/>
      <c r="W478" s="280" t="n"/>
      <c r="X478" s="280" t="n"/>
      <c r="Y478" s="280" t="n"/>
    </row>
    <row r="479" ht="15" customHeight="1" s="195">
      <c r="A479" s="334" t="n"/>
      <c r="B479" s="334" t="n"/>
      <c r="C479" s="334" t="n"/>
      <c r="D479" s="334" t="n"/>
      <c r="E479" s="334" t="n"/>
      <c r="F479" s="334" t="n"/>
      <c r="G479" s="334" t="n"/>
      <c r="H479" s="334" t="n"/>
      <c r="I479" s="332">
        <f>IFERROR(VLOOKUP(TEXT(H479,"0"),IPRESS!$A$3:$B$212,2,0),"")</f>
        <v/>
      </c>
      <c r="J479" s="334" t="n"/>
      <c r="K479" s="332">
        <f>IFERROR(VLOOKUP(TEXT(O479,"0"),CONDUCTORES!$A$3:$G$54,7,0),"")</f>
        <v/>
      </c>
      <c r="L479" s="334" t="n"/>
      <c r="M479" s="334" t="n"/>
      <c r="N479" s="333">
        <f>IFERROR(IF(L479*M479=0,"",L479*M479),"")</f>
        <v/>
      </c>
      <c r="O479" s="334" t="n"/>
      <c r="P479" s="332">
        <f>IFERROR(VLOOKUP(TEXT(O479,"0"),CONDUCTORES!$A$3:$G$54,2,0),"")</f>
        <v/>
      </c>
      <c r="Q479" s="332">
        <f>IFERROR(VLOOKUP(TEXT(O479,"0"),CONDUCTORES!$A$3:$H$54,6,0),"")</f>
        <v/>
      </c>
      <c r="R479" s="334" t="n"/>
      <c r="S479" s="334" t="n"/>
      <c r="T479" s="334" t="n"/>
      <c r="U479" s="334" t="n"/>
      <c r="V479" s="334" t="n"/>
      <c r="W479" s="334" t="n"/>
      <c r="X479" s="334" t="n"/>
      <c r="Y479" s="334" t="n"/>
    </row>
    <row r="480" ht="15" customHeight="1" s="195">
      <c r="A480" s="280" t="n"/>
      <c r="B480" s="280" t="n"/>
      <c r="C480" s="280" t="n"/>
      <c r="D480" s="280" t="n"/>
      <c r="E480" s="280" t="n"/>
      <c r="F480" s="280" t="n"/>
      <c r="G480" s="280" t="n"/>
      <c r="H480" s="280" t="n"/>
      <c r="I480" s="332">
        <f>IFERROR(VLOOKUP(TEXT(H480,"0"),IPRESS!$A$3:$B$212,2,0),"")</f>
        <v/>
      </c>
      <c r="J480" s="280" t="n"/>
      <c r="K480" s="332">
        <f>IFERROR(VLOOKUP(TEXT(O480,"0"),CONDUCTORES!$A$3:$G$54,7,0),"")</f>
        <v/>
      </c>
      <c r="L480" s="280" t="n"/>
      <c r="M480" s="280" t="n"/>
      <c r="N480" s="333">
        <f>IFERROR(IF(L480*M480=0,"",L480*M480),"")</f>
        <v/>
      </c>
      <c r="O480" s="280" t="n"/>
      <c r="P480" s="332">
        <f>IFERROR(VLOOKUP(TEXT(O480,"0"),CONDUCTORES!$A$3:$G$54,2,0),"")</f>
        <v/>
      </c>
      <c r="Q480" s="332">
        <f>IFERROR(VLOOKUP(TEXT(O480,"0"),CONDUCTORES!$A$3:$H$54,6,0),"")</f>
        <v/>
      </c>
      <c r="R480" s="280" t="n"/>
      <c r="S480" s="280" t="n"/>
      <c r="T480" s="280" t="n"/>
      <c r="U480" s="280" t="n"/>
      <c r="V480" s="280" t="n"/>
      <c r="W480" s="280" t="n"/>
      <c r="X480" s="280" t="n"/>
      <c r="Y480" s="280" t="n"/>
    </row>
    <row r="481" ht="15" customHeight="1" s="195">
      <c r="A481" s="334" t="n"/>
      <c r="B481" s="334" t="n"/>
      <c r="C481" s="334" t="n"/>
      <c r="D481" s="334" t="n"/>
      <c r="E481" s="334" t="n"/>
      <c r="F481" s="334" t="n"/>
      <c r="G481" s="334" t="n"/>
      <c r="H481" s="334" t="n"/>
      <c r="I481" s="332">
        <f>IFERROR(VLOOKUP(TEXT(H481,"0"),IPRESS!$A$3:$B$212,2,0),"")</f>
        <v/>
      </c>
      <c r="J481" s="334" t="n"/>
      <c r="K481" s="332">
        <f>IFERROR(VLOOKUP(TEXT(O481,"0"),CONDUCTORES!$A$3:$G$54,7,0),"")</f>
        <v/>
      </c>
      <c r="L481" s="334" t="n"/>
      <c r="M481" s="334" t="n"/>
      <c r="N481" s="333">
        <f>IFERROR(IF(L481*M481=0,"",L481*M481),"")</f>
        <v/>
      </c>
      <c r="O481" s="334" t="n"/>
      <c r="P481" s="332">
        <f>IFERROR(VLOOKUP(TEXT(O481,"0"),CONDUCTORES!$A$3:$G$54,2,0),"")</f>
        <v/>
      </c>
      <c r="Q481" s="332">
        <f>IFERROR(VLOOKUP(TEXT(O481,"0"),CONDUCTORES!$A$3:$H$54,6,0),"")</f>
        <v/>
      </c>
      <c r="R481" s="334" t="n"/>
      <c r="S481" s="334" t="n"/>
      <c r="T481" s="334" t="n"/>
      <c r="U481" s="334" t="n"/>
      <c r="V481" s="334" t="n"/>
      <c r="W481" s="334" t="n"/>
      <c r="X481" s="334" t="n"/>
      <c r="Y481" s="334" t="n"/>
    </row>
    <row r="482" ht="15" customHeight="1" s="195">
      <c r="A482" s="280" t="n"/>
      <c r="B482" s="280" t="n"/>
      <c r="C482" s="280" t="n"/>
      <c r="D482" s="280" t="n"/>
      <c r="E482" s="280" t="n"/>
      <c r="F482" s="280" t="n"/>
      <c r="G482" s="280" t="n"/>
      <c r="H482" s="280" t="n"/>
      <c r="I482" s="332">
        <f>IFERROR(VLOOKUP(TEXT(H482,"0"),IPRESS!$A$3:$B$212,2,0),"")</f>
        <v/>
      </c>
      <c r="J482" s="280" t="n"/>
      <c r="K482" s="332">
        <f>IFERROR(VLOOKUP(TEXT(O482,"0"),CONDUCTORES!$A$3:$G$54,7,0),"")</f>
        <v/>
      </c>
      <c r="L482" s="280" t="n"/>
      <c r="M482" s="280" t="n"/>
      <c r="N482" s="333">
        <f>IFERROR(IF(L482*M482=0,"",L482*M482),"")</f>
        <v/>
      </c>
      <c r="O482" s="280" t="n"/>
      <c r="P482" s="332">
        <f>IFERROR(VLOOKUP(TEXT(O482,"0"),CONDUCTORES!$A$3:$G$54,2,0),"")</f>
        <v/>
      </c>
      <c r="Q482" s="332">
        <f>IFERROR(VLOOKUP(TEXT(O482,"0"),CONDUCTORES!$A$3:$H$54,6,0),"")</f>
        <v/>
      </c>
      <c r="R482" s="280" t="n"/>
      <c r="S482" s="280" t="n"/>
      <c r="T482" s="280" t="n"/>
      <c r="U482" s="280" t="n"/>
      <c r="V482" s="280" t="n"/>
      <c r="W482" s="280" t="n"/>
      <c r="X482" s="280" t="n"/>
      <c r="Y482" s="280" t="n"/>
    </row>
    <row r="483" ht="15" customHeight="1" s="195">
      <c r="A483" s="334" t="n"/>
      <c r="B483" s="334" t="n"/>
      <c r="C483" s="334" t="n"/>
      <c r="D483" s="334" t="n"/>
      <c r="E483" s="334" t="n"/>
      <c r="F483" s="334" t="n"/>
      <c r="G483" s="334" t="n"/>
      <c r="H483" s="334" t="n"/>
      <c r="I483" s="332">
        <f>IFERROR(VLOOKUP(TEXT(H483,"0"),IPRESS!$A$3:$B$212,2,0),"")</f>
        <v/>
      </c>
      <c r="J483" s="334" t="n"/>
      <c r="K483" s="332">
        <f>IFERROR(VLOOKUP(TEXT(O483,"0"),CONDUCTORES!$A$3:$G$54,7,0),"")</f>
        <v/>
      </c>
      <c r="L483" s="334" t="n"/>
      <c r="M483" s="334" t="n"/>
      <c r="N483" s="333">
        <f>IFERROR(IF(L483*M483=0,"",L483*M483),"")</f>
        <v/>
      </c>
      <c r="O483" s="334" t="n"/>
      <c r="P483" s="332">
        <f>IFERROR(VLOOKUP(TEXT(O483,"0"),CONDUCTORES!$A$3:$G$54,2,0),"")</f>
        <v/>
      </c>
      <c r="Q483" s="332">
        <f>IFERROR(VLOOKUP(TEXT(O483,"0"),CONDUCTORES!$A$3:$H$54,6,0),"")</f>
        <v/>
      </c>
      <c r="R483" s="334" t="n"/>
      <c r="S483" s="334" t="n"/>
      <c r="T483" s="334" t="n"/>
      <c r="U483" s="334" t="n"/>
      <c r="V483" s="334" t="n"/>
      <c r="W483" s="334" t="n"/>
      <c r="X483" s="334" t="n"/>
      <c r="Y483" s="334" t="n"/>
    </row>
    <row r="484" ht="15" customHeight="1" s="195">
      <c r="A484" s="280" t="n"/>
      <c r="B484" s="280" t="n"/>
      <c r="C484" s="280" t="n"/>
      <c r="D484" s="280" t="n"/>
      <c r="E484" s="280" t="n"/>
      <c r="F484" s="280" t="n"/>
      <c r="G484" s="280" t="n"/>
      <c r="H484" s="280" t="n"/>
      <c r="I484" s="332">
        <f>IFERROR(VLOOKUP(TEXT(H484,"0"),IPRESS!$A$3:$B$212,2,0),"")</f>
        <v/>
      </c>
      <c r="J484" s="280" t="n"/>
      <c r="K484" s="332">
        <f>IFERROR(VLOOKUP(TEXT(O484,"0"),CONDUCTORES!$A$3:$G$54,7,0),"")</f>
        <v/>
      </c>
      <c r="L484" s="280" t="n"/>
      <c r="M484" s="280" t="n"/>
      <c r="N484" s="333">
        <f>IFERROR(IF(L484*M484=0,"",L484*M484),"")</f>
        <v/>
      </c>
      <c r="O484" s="280" t="n"/>
      <c r="P484" s="332">
        <f>IFERROR(VLOOKUP(TEXT(O484,"0"),CONDUCTORES!$A$3:$G$54,2,0),"")</f>
        <v/>
      </c>
      <c r="Q484" s="332">
        <f>IFERROR(VLOOKUP(TEXT(O484,"0"),CONDUCTORES!$A$3:$H$54,6,0),"")</f>
        <v/>
      </c>
      <c r="R484" s="280" t="n"/>
      <c r="S484" s="280" t="n"/>
      <c r="T484" s="280" t="n"/>
      <c r="U484" s="280" t="n"/>
      <c r="V484" s="280" t="n"/>
      <c r="W484" s="280" t="n"/>
      <c r="X484" s="280" t="n"/>
      <c r="Y484" s="280" t="n"/>
    </row>
    <row r="485" ht="15" customHeight="1" s="195">
      <c r="A485" s="334" t="n"/>
      <c r="B485" s="334" t="n"/>
      <c r="C485" s="334" t="n"/>
      <c r="D485" s="334" t="n"/>
      <c r="E485" s="334" t="n"/>
      <c r="F485" s="334" t="n"/>
      <c r="G485" s="334" t="n"/>
      <c r="H485" s="334" t="n"/>
      <c r="I485" s="332">
        <f>IFERROR(VLOOKUP(TEXT(H485,"0"),IPRESS!$A$3:$B$212,2,0),"")</f>
        <v/>
      </c>
      <c r="J485" s="334" t="n"/>
      <c r="K485" s="332">
        <f>IFERROR(VLOOKUP(TEXT(O485,"0"),CONDUCTORES!$A$3:$G$54,7,0),"")</f>
        <v/>
      </c>
      <c r="L485" s="334" t="n"/>
      <c r="M485" s="334" t="n"/>
      <c r="N485" s="333">
        <f>IFERROR(IF(L485*M485=0,"",L485*M485),"")</f>
        <v/>
      </c>
      <c r="O485" s="334" t="n"/>
      <c r="P485" s="332">
        <f>IFERROR(VLOOKUP(TEXT(O485,"0"),CONDUCTORES!$A$3:$G$54,2,0),"")</f>
        <v/>
      </c>
      <c r="Q485" s="332">
        <f>IFERROR(VLOOKUP(TEXT(O485,"0"),CONDUCTORES!$A$3:$H$54,6,0),"")</f>
        <v/>
      </c>
      <c r="R485" s="334" t="n"/>
      <c r="S485" s="334" t="n"/>
      <c r="T485" s="334" t="n"/>
      <c r="U485" s="334" t="n"/>
      <c r="V485" s="334" t="n"/>
      <c r="W485" s="334" t="n"/>
      <c r="X485" s="334" t="n"/>
      <c r="Y485" s="334" t="n"/>
    </row>
    <row r="486" ht="15" customHeight="1" s="195">
      <c r="A486" s="280" t="n"/>
      <c r="B486" s="280" t="n"/>
      <c r="C486" s="280" t="n"/>
      <c r="D486" s="280" t="n"/>
      <c r="E486" s="280" t="n"/>
      <c r="F486" s="280" t="n"/>
      <c r="G486" s="280" t="n"/>
      <c r="H486" s="280" t="n"/>
      <c r="I486" s="332">
        <f>IFERROR(VLOOKUP(TEXT(H486,"0"),IPRESS!$A$3:$B$212,2,0),"")</f>
        <v/>
      </c>
      <c r="J486" s="280" t="n"/>
      <c r="K486" s="332">
        <f>IFERROR(VLOOKUP(TEXT(O486,"0"),CONDUCTORES!$A$3:$G$54,7,0),"")</f>
        <v/>
      </c>
      <c r="L486" s="280" t="n"/>
      <c r="M486" s="280" t="n"/>
      <c r="N486" s="333">
        <f>IFERROR(IF(L486*M486=0,"",L486*M486),"")</f>
        <v/>
      </c>
      <c r="O486" s="280" t="n"/>
      <c r="P486" s="332">
        <f>IFERROR(VLOOKUP(TEXT(O486,"0"),CONDUCTORES!$A$3:$G$54,2,0),"")</f>
        <v/>
      </c>
      <c r="Q486" s="332">
        <f>IFERROR(VLOOKUP(TEXT(O486,"0"),CONDUCTORES!$A$3:$H$54,6,0),"")</f>
        <v/>
      </c>
      <c r="R486" s="280" t="n"/>
      <c r="S486" s="280" t="n"/>
      <c r="T486" s="280" t="n"/>
      <c r="U486" s="280" t="n"/>
      <c r="V486" s="280" t="n"/>
      <c r="W486" s="280" t="n"/>
      <c r="X486" s="280" t="n"/>
      <c r="Y486" s="280" t="n"/>
    </row>
    <row r="487" ht="15" customHeight="1" s="195">
      <c r="A487" s="334" t="n"/>
      <c r="B487" s="334" t="n"/>
      <c r="C487" s="334" t="n"/>
      <c r="D487" s="334" t="n"/>
      <c r="E487" s="334" t="n"/>
      <c r="F487" s="334" t="n"/>
      <c r="G487" s="334" t="n"/>
      <c r="H487" s="334" t="n"/>
      <c r="I487" s="332">
        <f>IFERROR(VLOOKUP(TEXT(H487,"0"),IPRESS!$A$3:$B$212,2,0),"")</f>
        <v/>
      </c>
      <c r="J487" s="334" t="n"/>
      <c r="K487" s="332">
        <f>IFERROR(VLOOKUP(TEXT(O487,"0"),CONDUCTORES!$A$3:$G$54,7,0),"")</f>
        <v/>
      </c>
      <c r="L487" s="334" t="n"/>
      <c r="M487" s="334" t="n"/>
      <c r="N487" s="333">
        <f>IFERROR(IF(L487*M487=0,"",L487*M487),"")</f>
        <v/>
      </c>
      <c r="O487" s="334" t="n"/>
      <c r="P487" s="332">
        <f>IFERROR(VLOOKUP(TEXT(O487,"0"),CONDUCTORES!$A$3:$G$54,2,0),"")</f>
        <v/>
      </c>
      <c r="Q487" s="332">
        <f>IFERROR(VLOOKUP(TEXT(O487,"0"),CONDUCTORES!$A$3:$H$54,6,0),"")</f>
        <v/>
      </c>
      <c r="R487" s="334" t="n"/>
      <c r="S487" s="334" t="n"/>
      <c r="T487" s="334" t="n"/>
      <c r="U487" s="334" t="n"/>
      <c r="V487" s="334" t="n"/>
      <c r="W487" s="334" t="n"/>
      <c r="X487" s="334" t="n"/>
      <c r="Y487" s="334" t="n"/>
    </row>
    <row r="488" ht="15" customHeight="1" s="195">
      <c r="A488" s="280" t="n"/>
      <c r="B488" s="280" t="n"/>
      <c r="C488" s="280" t="n"/>
      <c r="D488" s="280" t="n"/>
      <c r="E488" s="280" t="n"/>
      <c r="F488" s="280" t="n"/>
      <c r="G488" s="280" t="n"/>
      <c r="H488" s="280" t="n"/>
      <c r="I488" s="332">
        <f>IFERROR(VLOOKUP(TEXT(H488,"0"),IPRESS!$A$3:$B$212,2,0),"")</f>
        <v/>
      </c>
      <c r="J488" s="280" t="n"/>
      <c r="K488" s="332">
        <f>IFERROR(VLOOKUP(TEXT(O488,"0"),CONDUCTORES!$A$3:$G$54,7,0),"")</f>
        <v/>
      </c>
      <c r="L488" s="280" t="n"/>
      <c r="M488" s="280" t="n"/>
      <c r="N488" s="333">
        <f>IFERROR(IF(L488*M488=0,"",L488*M488),"")</f>
        <v/>
      </c>
      <c r="O488" s="280" t="n"/>
      <c r="P488" s="332">
        <f>IFERROR(VLOOKUP(TEXT(O488,"0"),CONDUCTORES!$A$3:$G$54,2,0),"")</f>
        <v/>
      </c>
      <c r="Q488" s="332">
        <f>IFERROR(VLOOKUP(TEXT(O488,"0"),CONDUCTORES!$A$3:$H$54,6,0),"")</f>
        <v/>
      </c>
      <c r="R488" s="280" t="n"/>
      <c r="S488" s="280" t="n"/>
      <c r="T488" s="280" t="n"/>
      <c r="U488" s="280" t="n"/>
      <c r="V488" s="280" t="n"/>
      <c r="W488" s="280" t="n"/>
      <c r="X488" s="280" t="n"/>
      <c r="Y488" s="280" t="n"/>
    </row>
    <row r="489" ht="15" customHeight="1" s="195">
      <c r="A489" s="334" t="n"/>
      <c r="B489" s="334" t="n"/>
      <c r="C489" s="334" t="n"/>
      <c r="D489" s="334" t="n"/>
      <c r="E489" s="334" t="n"/>
      <c r="F489" s="334" t="n"/>
      <c r="G489" s="334" t="n"/>
      <c r="H489" s="334" t="n"/>
      <c r="I489" s="332">
        <f>IFERROR(VLOOKUP(TEXT(H489,"0"),IPRESS!$A$3:$B$212,2,0),"")</f>
        <v/>
      </c>
      <c r="J489" s="334" t="n"/>
      <c r="K489" s="332">
        <f>IFERROR(VLOOKUP(TEXT(O489,"0"),CONDUCTORES!$A$3:$G$54,7,0),"")</f>
        <v/>
      </c>
      <c r="L489" s="334" t="n"/>
      <c r="M489" s="334" t="n"/>
      <c r="N489" s="333">
        <f>IFERROR(IF(L489*M489=0,"",L489*M489),"")</f>
        <v/>
      </c>
      <c r="O489" s="334" t="n"/>
      <c r="P489" s="332">
        <f>IFERROR(VLOOKUP(TEXT(O489,"0"),CONDUCTORES!$A$3:$G$54,2,0),"")</f>
        <v/>
      </c>
      <c r="Q489" s="332">
        <f>IFERROR(VLOOKUP(TEXT(O489,"0"),CONDUCTORES!$A$3:$H$54,6,0),"")</f>
        <v/>
      </c>
      <c r="R489" s="334" t="n"/>
      <c r="S489" s="334" t="n"/>
      <c r="T489" s="334" t="n"/>
      <c r="U489" s="334" t="n"/>
      <c r="V489" s="334" t="n"/>
      <c r="W489" s="334" t="n"/>
      <c r="X489" s="334" t="n"/>
      <c r="Y489" s="334" t="n"/>
    </row>
    <row r="490" ht="15" customHeight="1" s="195">
      <c r="A490" s="280" t="n"/>
      <c r="B490" s="280" t="n"/>
      <c r="C490" s="280" t="n"/>
      <c r="D490" s="280" t="n"/>
      <c r="E490" s="280" t="n"/>
      <c r="F490" s="280" t="n"/>
      <c r="G490" s="280" t="n"/>
      <c r="H490" s="280" t="n"/>
      <c r="I490" s="332">
        <f>IFERROR(VLOOKUP(TEXT(H490,"0"),IPRESS!$A$3:$B$212,2,0),"")</f>
        <v/>
      </c>
      <c r="J490" s="280" t="n"/>
      <c r="K490" s="332">
        <f>IFERROR(VLOOKUP(TEXT(O490,"0"),CONDUCTORES!$A$3:$G$54,7,0),"")</f>
        <v/>
      </c>
      <c r="L490" s="280" t="n"/>
      <c r="M490" s="280" t="n"/>
      <c r="N490" s="333">
        <f>IFERROR(IF(L490*M490=0,"",L490*M490),"")</f>
        <v/>
      </c>
      <c r="O490" s="280" t="n"/>
      <c r="P490" s="332">
        <f>IFERROR(VLOOKUP(TEXT(O490,"0"),CONDUCTORES!$A$3:$G$54,2,0),"")</f>
        <v/>
      </c>
      <c r="Q490" s="332">
        <f>IFERROR(VLOOKUP(TEXT(O490,"0"),CONDUCTORES!$A$3:$H$54,6,0),"")</f>
        <v/>
      </c>
      <c r="R490" s="280" t="n"/>
      <c r="S490" s="280" t="n"/>
      <c r="T490" s="280" t="n"/>
      <c r="U490" s="280" t="n"/>
      <c r="V490" s="280" t="n"/>
      <c r="W490" s="280" t="n"/>
      <c r="X490" s="280" t="n"/>
      <c r="Y490" s="280" t="n"/>
    </row>
    <row r="491" ht="15" customHeight="1" s="195">
      <c r="A491" s="334" t="n"/>
      <c r="B491" s="334" t="n"/>
      <c r="C491" s="334" t="n"/>
      <c r="D491" s="334" t="n"/>
      <c r="E491" s="334" t="n"/>
      <c r="F491" s="334" t="n"/>
      <c r="G491" s="334" t="n"/>
      <c r="H491" s="334" t="n"/>
      <c r="I491" s="332">
        <f>IFERROR(VLOOKUP(TEXT(H491,"0"),IPRESS!$A$3:$B$212,2,0),"")</f>
        <v/>
      </c>
      <c r="J491" s="334" t="n"/>
      <c r="K491" s="332">
        <f>IFERROR(VLOOKUP(TEXT(O491,"0"),CONDUCTORES!$A$3:$G$54,7,0),"")</f>
        <v/>
      </c>
      <c r="L491" s="334" t="n"/>
      <c r="M491" s="334" t="n"/>
      <c r="N491" s="333">
        <f>IFERROR(IF(L491*M491=0,"",L491*M491),"")</f>
        <v/>
      </c>
      <c r="O491" s="334" t="n"/>
      <c r="P491" s="332">
        <f>IFERROR(VLOOKUP(TEXT(O491,"0"),CONDUCTORES!$A$3:$G$54,2,0),"")</f>
        <v/>
      </c>
      <c r="Q491" s="332">
        <f>IFERROR(VLOOKUP(TEXT(O491,"0"),CONDUCTORES!$A$3:$H$54,6,0),"")</f>
        <v/>
      </c>
      <c r="R491" s="334" t="n"/>
      <c r="S491" s="334" t="n"/>
      <c r="T491" s="334" t="n"/>
      <c r="U491" s="334" t="n"/>
      <c r="V491" s="334" t="n"/>
      <c r="W491" s="334" t="n"/>
      <c r="X491" s="334" t="n"/>
      <c r="Y491" s="334" t="n"/>
    </row>
    <row r="492" ht="15" customHeight="1" s="195">
      <c r="A492" s="280" t="n"/>
      <c r="B492" s="280" t="n"/>
      <c r="C492" s="280" t="n"/>
      <c r="D492" s="280" t="n"/>
      <c r="E492" s="280" t="n"/>
      <c r="F492" s="280" t="n"/>
      <c r="G492" s="280" t="n"/>
      <c r="H492" s="280" t="n"/>
      <c r="I492" s="332">
        <f>IFERROR(VLOOKUP(TEXT(H492,"0"),IPRESS!$A$3:$B$212,2,0),"")</f>
        <v/>
      </c>
      <c r="J492" s="280" t="n"/>
      <c r="K492" s="332">
        <f>IFERROR(VLOOKUP(TEXT(O492,"0"),CONDUCTORES!$A$3:$G$54,7,0),"")</f>
        <v/>
      </c>
      <c r="L492" s="280" t="n"/>
      <c r="M492" s="280" t="n"/>
      <c r="N492" s="333">
        <f>IFERROR(IF(L492*M492=0,"",L492*M492),"")</f>
        <v/>
      </c>
      <c r="O492" s="280" t="n"/>
      <c r="P492" s="332">
        <f>IFERROR(VLOOKUP(TEXT(O492,"0"),CONDUCTORES!$A$3:$G$54,2,0),"")</f>
        <v/>
      </c>
      <c r="Q492" s="332">
        <f>IFERROR(VLOOKUP(TEXT(O492,"0"),CONDUCTORES!$A$3:$H$54,6,0),"")</f>
        <v/>
      </c>
      <c r="R492" s="280" t="n"/>
      <c r="S492" s="280" t="n"/>
      <c r="T492" s="280" t="n"/>
      <c r="U492" s="280" t="n"/>
      <c r="V492" s="280" t="n"/>
      <c r="W492" s="280" t="n"/>
      <c r="X492" s="280" t="n"/>
      <c r="Y492" s="280" t="n"/>
    </row>
    <row r="493" ht="15" customHeight="1" s="195">
      <c r="A493" s="334" t="n"/>
      <c r="B493" s="334" t="n"/>
      <c r="C493" s="334" t="n"/>
      <c r="D493" s="334" t="n"/>
      <c r="E493" s="334" t="n"/>
      <c r="F493" s="334" t="n"/>
      <c r="G493" s="334" t="n"/>
      <c r="H493" s="334" t="n"/>
      <c r="I493" s="332">
        <f>IFERROR(VLOOKUP(TEXT(H493,"0"),IPRESS!$A$3:$B$212,2,0),"")</f>
        <v/>
      </c>
      <c r="J493" s="334" t="n"/>
      <c r="K493" s="332">
        <f>IFERROR(VLOOKUP(TEXT(O493,"0"),CONDUCTORES!$A$3:$G$54,7,0),"")</f>
        <v/>
      </c>
      <c r="L493" s="334" t="n"/>
      <c r="M493" s="334" t="n"/>
      <c r="N493" s="333">
        <f>IFERROR(IF(L493*M493=0,"",L493*M493),"")</f>
        <v/>
      </c>
      <c r="O493" s="334" t="n"/>
      <c r="P493" s="332">
        <f>IFERROR(VLOOKUP(TEXT(O493,"0"),CONDUCTORES!$A$3:$G$54,2,0),"")</f>
        <v/>
      </c>
      <c r="Q493" s="332">
        <f>IFERROR(VLOOKUP(TEXT(O493,"0"),CONDUCTORES!$A$3:$H$54,6,0),"")</f>
        <v/>
      </c>
      <c r="R493" s="334" t="n"/>
      <c r="S493" s="334" t="n"/>
      <c r="T493" s="334" t="n"/>
      <c r="U493" s="334" t="n"/>
      <c r="V493" s="334" t="n"/>
      <c r="W493" s="334" t="n"/>
      <c r="X493" s="334" t="n"/>
      <c r="Y493" s="334" t="n"/>
    </row>
    <row r="494" ht="15" customHeight="1" s="195">
      <c r="A494" s="280" t="n"/>
      <c r="B494" s="280" t="n"/>
      <c r="C494" s="280" t="n"/>
      <c r="D494" s="280" t="n"/>
      <c r="E494" s="280" t="n"/>
      <c r="F494" s="280" t="n"/>
      <c r="G494" s="280" t="n"/>
      <c r="H494" s="280" t="n"/>
      <c r="I494" s="332">
        <f>IFERROR(VLOOKUP(TEXT(H494,"0"),IPRESS!$A$3:$B$212,2,0),"")</f>
        <v/>
      </c>
      <c r="J494" s="280" t="n"/>
      <c r="K494" s="332">
        <f>IFERROR(VLOOKUP(TEXT(O494,"0"),CONDUCTORES!$A$3:$G$54,7,0),"")</f>
        <v/>
      </c>
      <c r="L494" s="280" t="n"/>
      <c r="M494" s="280" t="n"/>
      <c r="N494" s="333">
        <f>IFERROR(IF(L494*M494=0,"",L494*M494),"")</f>
        <v/>
      </c>
      <c r="O494" s="280" t="n"/>
      <c r="P494" s="332">
        <f>IFERROR(VLOOKUP(TEXT(O494,"0"),CONDUCTORES!$A$3:$G$54,2,0),"")</f>
        <v/>
      </c>
      <c r="Q494" s="332">
        <f>IFERROR(VLOOKUP(TEXT(O494,"0"),CONDUCTORES!$A$3:$H$54,6,0),"")</f>
        <v/>
      </c>
      <c r="R494" s="280" t="n"/>
      <c r="S494" s="280" t="n"/>
      <c r="T494" s="280" t="n"/>
      <c r="U494" s="280" t="n"/>
      <c r="V494" s="280" t="n"/>
      <c r="W494" s="280" t="n"/>
      <c r="X494" s="280" t="n"/>
      <c r="Y494" s="280" t="n"/>
    </row>
    <row r="495" ht="15" customHeight="1" s="195">
      <c r="A495" s="334" t="n"/>
      <c r="B495" s="334" t="n"/>
      <c r="C495" s="334" t="n"/>
      <c r="D495" s="334" t="n"/>
      <c r="E495" s="334" t="n"/>
      <c r="F495" s="334" t="n"/>
      <c r="G495" s="334" t="n"/>
      <c r="H495" s="334" t="n"/>
      <c r="I495" s="332">
        <f>IFERROR(VLOOKUP(TEXT(H495,"0"),IPRESS!$A$3:$B$212,2,0),"")</f>
        <v/>
      </c>
      <c r="J495" s="334" t="n"/>
      <c r="K495" s="332">
        <f>IFERROR(VLOOKUP(TEXT(O495,"0"),CONDUCTORES!$A$3:$G$54,7,0),"")</f>
        <v/>
      </c>
      <c r="L495" s="334" t="n"/>
      <c r="M495" s="334" t="n"/>
      <c r="N495" s="333">
        <f>IFERROR(IF(L495*M495=0,"",L495*M495),"")</f>
        <v/>
      </c>
      <c r="O495" s="334" t="n"/>
      <c r="P495" s="332">
        <f>IFERROR(VLOOKUP(TEXT(O495,"0"),CONDUCTORES!$A$3:$G$54,2,0),"")</f>
        <v/>
      </c>
      <c r="Q495" s="332">
        <f>IFERROR(VLOOKUP(TEXT(O495,"0"),CONDUCTORES!$A$3:$H$54,6,0),"")</f>
        <v/>
      </c>
      <c r="R495" s="334" t="n"/>
      <c r="S495" s="334" t="n"/>
      <c r="T495" s="334" t="n"/>
      <c r="U495" s="334" t="n"/>
      <c r="V495" s="334" t="n"/>
      <c r="W495" s="334" t="n"/>
      <c r="X495" s="334" t="n"/>
      <c r="Y495" s="334" t="n"/>
    </row>
    <row r="496" ht="15" customHeight="1" s="195">
      <c r="A496" s="280" t="n"/>
      <c r="B496" s="280" t="n"/>
      <c r="C496" s="280" t="n"/>
      <c r="D496" s="280" t="n"/>
      <c r="E496" s="280" t="n"/>
      <c r="F496" s="280" t="n"/>
      <c r="G496" s="280" t="n"/>
      <c r="H496" s="280" t="n"/>
      <c r="I496" s="332">
        <f>IFERROR(VLOOKUP(TEXT(H496,"0"),IPRESS!$A$3:$B$212,2,0),"")</f>
        <v/>
      </c>
      <c r="J496" s="280" t="n"/>
      <c r="K496" s="332">
        <f>IFERROR(VLOOKUP(TEXT(O496,"0"),CONDUCTORES!$A$3:$G$54,7,0),"")</f>
        <v/>
      </c>
      <c r="L496" s="280" t="n"/>
      <c r="M496" s="280" t="n"/>
      <c r="N496" s="333">
        <f>IFERROR(IF(L496*M496=0,"",L496*M496),"")</f>
        <v/>
      </c>
      <c r="O496" s="280" t="n"/>
      <c r="P496" s="332">
        <f>IFERROR(VLOOKUP(TEXT(O496,"0"),CONDUCTORES!$A$3:$G$54,2,0),"")</f>
        <v/>
      </c>
      <c r="Q496" s="332">
        <f>IFERROR(VLOOKUP(TEXT(O496,"0"),CONDUCTORES!$A$3:$H$54,6,0),"")</f>
        <v/>
      </c>
      <c r="R496" s="280" t="n"/>
      <c r="S496" s="280" t="n"/>
      <c r="T496" s="280" t="n"/>
      <c r="U496" s="280" t="n"/>
      <c r="V496" s="280" t="n"/>
      <c r="W496" s="280" t="n"/>
      <c r="X496" s="280" t="n"/>
      <c r="Y496" s="280" t="n"/>
    </row>
    <row r="497" ht="15" customHeight="1" s="195">
      <c r="A497" s="334" t="n"/>
      <c r="B497" s="334" t="n"/>
      <c r="C497" s="334" t="n"/>
      <c r="D497" s="334" t="n"/>
      <c r="E497" s="334" t="n"/>
      <c r="F497" s="334" t="n"/>
      <c r="G497" s="334" t="n"/>
      <c r="H497" s="334" t="n"/>
      <c r="I497" s="332">
        <f>IFERROR(VLOOKUP(TEXT(H497,"0"),IPRESS!$A$3:$B$212,2,0),"")</f>
        <v/>
      </c>
      <c r="J497" s="334" t="n"/>
      <c r="K497" s="332">
        <f>IFERROR(VLOOKUP(TEXT(O497,"0"),CONDUCTORES!$A$3:$G$54,7,0),"")</f>
        <v/>
      </c>
      <c r="L497" s="334" t="n"/>
      <c r="M497" s="334" t="n"/>
      <c r="N497" s="333">
        <f>IFERROR(IF(L497*M497=0,"",L497*M497),"")</f>
        <v/>
      </c>
      <c r="O497" s="334" t="n"/>
      <c r="P497" s="332">
        <f>IFERROR(VLOOKUP(TEXT(O497,"0"),CONDUCTORES!$A$3:$G$54,2,0),"")</f>
        <v/>
      </c>
      <c r="Q497" s="332">
        <f>IFERROR(VLOOKUP(TEXT(O497,"0"),CONDUCTORES!$A$3:$H$54,6,0),"")</f>
        <v/>
      </c>
      <c r="R497" s="334" t="n"/>
      <c r="S497" s="334" t="n"/>
      <c r="T497" s="334" t="n"/>
      <c r="U497" s="334" t="n"/>
      <c r="V497" s="334" t="n"/>
      <c r="W497" s="334" t="n"/>
      <c r="X497" s="334" t="n"/>
      <c r="Y497" s="334" t="n"/>
    </row>
    <row r="498" ht="15" customHeight="1" s="195">
      <c r="A498" s="280" t="n"/>
      <c r="B498" s="280" t="n"/>
      <c r="C498" s="280" t="n"/>
      <c r="D498" s="280" t="n"/>
      <c r="E498" s="280" t="n"/>
      <c r="F498" s="280" t="n"/>
      <c r="G498" s="280" t="n"/>
      <c r="H498" s="280" t="n"/>
      <c r="I498" s="332">
        <f>IFERROR(VLOOKUP(TEXT(H498,"0"),IPRESS!$A$3:$B$212,2,0),"")</f>
        <v/>
      </c>
      <c r="J498" s="280" t="n"/>
      <c r="K498" s="332">
        <f>IFERROR(VLOOKUP(TEXT(O498,"0"),CONDUCTORES!$A$3:$G$54,7,0),"")</f>
        <v/>
      </c>
      <c r="L498" s="280" t="n"/>
      <c r="M498" s="280" t="n"/>
      <c r="N498" s="333">
        <f>IFERROR(IF(L498*M498=0,"",L498*M498),"")</f>
        <v/>
      </c>
      <c r="O498" s="280" t="n"/>
      <c r="P498" s="332">
        <f>IFERROR(VLOOKUP(TEXT(O498,"0"),CONDUCTORES!$A$3:$G$54,2,0),"")</f>
        <v/>
      </c>
      <c r="Q498" s="332">
        <f>IFERROR(VLOOKUP(TEXT(O498,"0"),CONDUCTORES!$A$3:$H$54,6,0),"")</f>
        <v/>
      </c>
      <c r="R498" s="280" t="n"/>
      <c r="S498" s="280" t="n"/>
      <c r="T498" s="280" t="n"/>
      <c r="U498" s="280" t="n"/>
      <c r="V498" s="280" t="n"/>
      <c r="W498" s="280" t="n"/>
      <c r="X498" s="280" t="n"/>
      <c r="Y498" s="280" t="n"/>
    </row>
    <row r="499" ht="15" customHeight="1" s="195">
      <c r="A499" s="334" t="n"/>
      <c r="B499" s="334" t="n"/>
      <c r="C499" s="334" t="n"/>
      <c r="D499" s="334" t="n"/>
      <c r="E499" s="334" t="n"/>
      <c r="F499" s="334" t="n"/>
      <c r="G499" s="334" t="n"/>
      <c r="H499" s="334" t="n"/>
      <c r="I499" s="332">
        <f>IFERROR(VLOOKUP(TEXT(H499,"0"),IPRESS!$A$3:$B$212,2,0),"")</f>
        <v/>
      </c>
      <c r="J499" s="334" t="n"/>
      <c r="K499" s="332">
        <f>IFERROR(VLOOKUP(TEXT(O499,"0"),CONDUCTORES!$A$3:$G$54,7,0),"")</f>
        <v/>
      </c>
      <c r="L499" s="334" t="n"/>
      <c r="M499" s="334" t="n"/>
      <c r="N499" s="333">
        <f>IFERROR(IF(L499*M499=0,"",L499*M499),"")</f>
        <v/>
      </c>
      <c r="O499" s="334" t="n"/>
      <c r="P499" s="332">
        <f>IFERROR(VLOOKUP(TEXT(O499,"0"),CONDUCTORES!$A$3:$G$54,2,0),"")</f>
        <v/>
      </c>
      <c r="Q499" s="332">
        <f>IFERROR(VLOOKUP(TEXT(O499,"0"),CONDUCTORES!$A$3:$H$54,6,0),"")</f>
        <v/>
      </c>
      <c r="R499" s="334" t="n"/>
      <c r="S499" s="334" t="n"/>
      <c r="T499" s="334" t="n"/>
      <c r="U499" s="334" t="n"/>
      <c r="V499" s="334" t="n"/>
      <c r="W499" s="334" t="n"/>
      <c r="X499" s="334" t="n"/>
      <c r="Y499" s="334" t="n"/>
    </row>
    <row r="500" ht="15" customHeight="1" s="195">
      <c r="A500" s="280" t="n"/>
      <c r="B500" s="280" t="n"/>
      <c r="C500" s="280" t="n"/>
      <c r="D500" s="280" t="n"/>
      <c r="E500" s="280" t="n"/>
      <c r="F500" s="280" t="n"/>
      <c r="G500" s="280" t="n"/>
      <c r="H500" s="280" t="n"/>
      <c r="I500" s="332">
        <f>IFERROR(VLOOKUP(TEXT(H500,"0"),IPRESS!$A$3:$B$212,2,0),"")</f>
        <v/>
      </c>
      <c r="J500" s="280" t="n"/>
      <c r="K500" s="332">
        <f>IFERROR(VLOOKUP(TEXT(O500,"0"),CONDUCTORES!$A$3:$G$54,7,0),"")</f>
        <v/>
      </c>
      <c r="L500" s="280" t="n"/>
      <c r="M500" s="280" t="n"/>
      <c r="N500" s="333">
        <f>IFERROR(IF(L500*M500=0,"",L500*M500),"")</f>
        <v/>
      </c>
      <c r="O500" s="280" t="n"/>
      <c r="P500" s="332">
        <f>IFERROR(VLOOKUP(TEXT(O500,"0"),CONDUCTORES!$A$3:$G$54,2,0),"")</f>
        <v/>
      </c>
      <c r="Q500" s="332">
        <f>IFERROR(VLOOKUP(TEXT(O500,"0"),CONDUCTORES!$A$3:$H$54,6,0),"")</f>
        <v/>
      </c>
      <c r="R500" s="280" t="n"/>
      <c r="S500" s="280" t="n"/>
      <c r="T500" s="280" t="n"/>
      <c r="U500" s="280" t="n"/>
      <c r="V500" s="280" t="n"/>
      <c r="W500" s="280" t="n"/>
      <c r="X500" s="280" t="n"/>
      <c r="Y500" s="280" t="n"/>
    </row>
    <row r="501" ht="15" customHeight="1" s="195">
      <c r="A501" s="334" t="n"/>
      <c r="B501" s="334" t="n"/>
      <c r="C501" s="334" t="n"/>
      <c r="D501" s="334" t="n"/>
      <c r="E501" s="334" t="n"/>
      <c r="F501" s="334" t="n"/>
      <c r="G501" s="334" t="n"/>
      <c r="H501" s="334" t="n"/>
      <c r="I501" s="332">
        <f>IFERROR(VLOOKUP(TEXT(H501,"0"),IPRESS!$A$3:$B$212,2,0),"")</f>
        <v/>
      </c>
      <c r="J501" s="334" t="n"/>
      <c r="K501" s="332">
        <f>IFERROR(VLOOKUP(TEXT(O501,"0"),CONDUCTORES!$A$3:$G$54,7,0),"")</f>
        <v/>
      </c>
      <c r="L501" s="334" t="n"/>
      <c r="M501" s="334" t="n"/>
      <c r="N501" s="333">
        <f>IFERROR(IF(L501*M501=0,"",L501*M501),"")</f>
        <v/>
      </c>
      <c r="O501" s="334" t="n"/>
      <c r="P501" s="332">
        <f>IFERROR(VLOOKUP(TEXT(O501,"0"),CONDUCTORES!$A$3:$G$54,2,0),"")</f>
        <v/>
      </c>
      <c r="Q501" s="332">
        <f>IFERROR(VLOOKUP(TEXT(O501,"0"),CONDUCTORES!$A$3:$H$54,6,0),"")</f>
        <v/>
      </c>
      <c r="R501" s="334" t="n"/>
      <c r="S501" s="334" t="n"/>
      <c r="T501" s="334" t="n"/>
      <c r="U501" s="334" t="n"/>
      <c r="V501" s="334" t="n"/>
      <c r="W501" s="334" t="n"/>
      <c r="X501" s="334" t="n"/>
      <c r="Y501" s="334" t="n"/>
    </row>
    <row r="502" ht="15" customHeight="1" s="195">
      <c r="A502" s="280" t="n"/>
      <c r="B502" s="280" t="n"/>
      <c r="C502" s="280" t="n"/>
      <c r="D502" s="280" t="n"/>
      <c r="E502" s="280" t="n"/>
      <c r="F502" s="280" t="n"/>
      <c r="G502" s="280" t="n"/>
      <c r="H502" s="280" t="n"/>
      <c r="I502" s="332">
        <f>IFERROR(VLOOKUP(TEXT(H502,"0"),IPRESS!$A$3:$B$212,2,0),"")</f>
        <v/>
      </c>
      <c r="J502" s="280" t="n"/>
      <c r="K502" s="332">
        <f>IFERROR(VLOOKUP(TEXT(O502,"0"),CONDUCTORES!$A$3:$G$54,7,0),"")</f>
        <v/>
      </c>
      <c r="L502" s="280" t="n"/>
      <c r="M502" s="280" t="n"/>
      <c r="N502" s="333">
        <f>IFERROR(IF(L502*M502=0,"",L502*M502),"")</f>
        <v/>
      </c>
      <c r="O502" s="280" t="n"/>
      <c r="P502" s="332">
        <f>IFERROR(VLOOKUP(TEXT(O502,"0"),CONDUCTORES!$A$3:$G$54,2,0),"")</f>
        <v/>
      </c>
      <c r="Q502" s="332">
        <f>IFERROR(VLOOKUP(TEXT(O502,"0"),CONDUCTORES!$A$3:$H$54,6,0),"")</f>
        <v/>
      </c>
      <c r="R502" s="280" t="n"/>
      <c r="S502" s="280" t="n"/>
      <c r="T502" s="280" t="n"/>
      <c r="U502" s="280" t="n"/>
      <c r="V502" s="280" t="n"/>
      <c r="W502" s="280" t="n"/>
      <c r="X502" s="280" t="n"/>
      <c r="Y502" s="280" t="n"/>
    </row>
    <row r="503" ht="15" customHeight="1" s="195">
      <c r="A503" s="334" t="n"/>
      <c r="B503" s="334" t="n"/>
      <c r="C503" s="334" t="n"/>
      <c r="D503" s="334" t="n"/>
      <c r="E503" s="334" t="n"/>
      <c r="F503" s="334" t="n"/>
      <c r="G503" s="334" t="n"/>
      <c r="H503" s="334" t="n"/>
      <c r="I503" s="332">
        <f>IFERROR(VLOOKUP(TEXT(H503,"0"),IPRESS!$A$3:$B$212,2,0),"")</f>
        <v/>
      </c>
      <c r="J503" s="334" t="n"/>
      <c r="K503" s="332">
        <f>IFERROR(VLOOKUP(TEXT(O503,"0"),CONDUCTORES!$A$3:$G$54,7,0),"")</f>
        <v/>
      </c>
      <c r="L503" s="334" t="n"/>
      <c r="M503" s="334" t="n"/>
      <c r="N503" s="333">
        <f>IFERROR(IF(L503*M503=0,"",L503*M503),"")</f>
        <v/>
      </c>
      <c r="O503" s="334" t="n"/>
      <c r="P503" s="332">
        <f>IFERROR(VLOOKUP(TEXT(O503,"0"),CONDUCTORES!$A$3:$G$54,2,0),"")</f>
        <v/>
      </c>
      <c r="Q503" s="332">
        <f>IFERROR(VLOOKUP(TEXT(O503,"0"),CONDUCTORES!$A$3:$H$54,6,0),"")</f>
        <v/>
      </c>
      <c r="R503" s="334" t="n"/>
      <c r="S503" s="334" t="n"/>
      <c r="T503" s="334" t="n"/>
      <c r="U503" s="334" t="n"/>
      <c r="V503" s="334" t="n"/>
      <c r="W503" s="334" t="n"/>
      <c r="X503" s="334" t="n"/>
      <c r="Y503" s="334" t="n"/>
    </row>
    <row r="504" ht="15" customHeight="1" s="195">
      <c r="A504" s="280" t="n"/>
      <c r="B504" s="280" t="n"/>
      <c r="C504" s="280" t="n"/>
      <c r="D504" s="280" t="n"/>
      <c r="E504" s="280" t="n"/>
      <c r="F504" s="280" t="n"/>
      <c r="G504" s="280" t="n"/>
      <c r="H504" s="280" t="n"/>
      <c r="I504" s="332">
        <f>IFERROR(VLOOKUP(TEXT(H504,"0"),IPRESS!$A$3:$B$212,2,0),"")</f>
        <v/>
      </c>
      <c r="J504" s="280" t="n"/>
      <c r="K504" s="332">
        <f>IFERROR(VLOOKUP(TEXT(O504,"0"),CONDUCTORES!$A$3:$G$54,7,0),"")</f>
        <v/>
      </c>
      <c r="L504" s="280" t="n"/>
      <c r="M504" s="280" t="n"/>
      <c r="N504" s="333">
        <f>IFERROR(IF(L504*M504=0,"",L504*M504),"")</f>
        <v/>
      </c>
      <c r="O504" s="280" t="n"/>
      <c r="P504" s="332">
        <f>IFERROR(VLOOKUP(TEXT(O504,"0"),CONDUCTORES!$A$3:$G$54,2,0),"")</f>
        <v/>
      </c>
      <c r="Q504" s="332">
        <f>IFERROR(VLOOKUP(TEXT(O504,"0"),CONDUCTORES!$A$3:$H$54,6,0),"")</f>
        <v/>
      </c>
      <c r="R504" s="280" t="n"/>
      <c r="S504" s="280" t="n"/>
      <c r="T504" s="280" t="n"/>
      <c r="U504" s="280" t="n"/>
      <c r="V504" s="280" t="n"/>
      <c r="W504" s="280" t="n"/>
      <c r="X504" s="280" t="n"/>
      <c r="Y504" s="280" t="n"/>
    </row>
    <row r="505" ht="15" customHeight="1" s="195">
      <c r="A505" s="334" t="n"/>
      <c r="B505" s="334" t="n"/>
      <c r="C505" s="334" t="n"/>
      <c r="D505" s="334" t="n"/>
      <c r="E505" s="334" t="n"/>
      <c r="F505" s="334" t="n"/>
      <c r="G505" s="334" t="n"/>
      <c r="H505" s="334" t="n"/>
      <c r="I505" s="332">
        <f>IFERROR(VLOOKUP(TEXT(H505,"0"),IPRESS!$A$3:$B$212,2,0),"")</f>
        <v/>
      </c>
      <c r="J505" s="334" t="n"/>
      <c r="K505" s="332">
        <f>IFERROR(VLOOKUP(TEXT(O505,"0"),CONDUCTORES!$A$3:$G$54,7,0),"")</f>
        <v/>
      </c>
      <c r="L505" s="334" t="n"/>
      <c r="M505" s="334" t="n"/>
      <c r="N505" s="333">
        <f>IFERROR(IF(L505*M505=0,"",L505*M505),"")</f>
        <v/>
      </c>
      <c r="O505" s="334" t="n"/>
      <c r="P505" s="332">
        <f>IFERROR(VLOOKUP(TEXT(O505,"0"),CONDUCTORES!$A$3:$G$54,2,0),"")</f>
        <v/>
      </c>
      <c r="Q505" s="332">
        <f>IFERROR(VLOOKUP(TEXT(O505,"0"),CONDUCTORES!$A$3:$H$54,6,0),"")</f>
        <v/>
      </c>
      <c r="R505" s="334" t="n"/>
      <c r="S505" s="334" t="n"/>
      <c r="T505" s="334" t="n"/>
      <c r="U505" s="334" t="n"/>
      <c r="V505" s="334" t="n"/>
      <c r="W505" s="334" t="n"/>
      <c r="X505" s="334" t="n"/>
      <c r="Y505" s="334" t="n"/>
    </row>
    <row r="506" ht="21.75" customHeight="1" s="195">
      <c r="A506" s="346" t="inlineStr">
        <is>
          <t>TOTALES DEL MES</t>
        </is>
      </c>
      <c r="M506" s="320">
        <f>SUM(M6:M505)</f>
        <v/>
      </c>
      <c r="N506" s="320">
        <f>SUM(N6:N505)</f>
        <v/>
      </c>
    </row>
    <row r="507" ht="15.75" customHeight="1" s="195"/>
    <row r="508" ht="15.75" customHeight="1" s="195"/>
    <row r="509" ht="15.75" customHeight="1" s="195"/>
    <row r="510" ht="15.75" customHeight="1" s="195"/>
    <row r="511" ht="15.75" customHeight="1" s="195"/>
    <row r="512" ht="15.75" customHeight="1" s="195"/>
    <row r="513" ht="15.75" customHeight="1" s="195"/>
    <row r="514" ht="15.75" customHeight="1" s="195"/>
    <row r="515" ht="15.75" customHeight="1" s="195"/>
    <row r="516" ht="15.75" customHeight="1" s="195"/>
    <row r="517" ht="15.75" customHeight="1" s="195"/>
    <row r="518" ht="15.75" customHeight="1" s="195"/>
    <row r="519" ht="15.75" customHeight="1" s="195"/>
    <row r="520" ht="15.75" customHeight="1" s="195"/>
    <row r="521" ht="15.75" customHeight="1" s="195"/>
    <row r="522" ht="15.75" customHeight="1" s="195"/>
    <row r="523" ht="15.75" customHeight="1" s="195"/>
    <row r="524" ht="15.75" customHeight="1" s="195"/>
    <row r="525" ht="15.75" customHeight="1" s="195"/>
    <row r="526" ht="15.75" customHeight="1" s="195"/>
    <row r="527" ht="15.75" customHeight="1" s="195"/>
    <row r="528" ht="15.75" customHeight="1" s="195"/>
    <row r="529" ht="15.75" customHeight="1" s="195"/>
    <row r="530" ht="15.75" customHeight="1" s="195"/>
    <row r="531" ht="15.75" customHeight="1" s="195"/>
    <row r="532" ht="15.75" customHeight="1" s="195"/>
    <row r="533" ht="15.75" customHeight="1" s="195"/>
    <row r="534" ht="15.75" customHeight="1" s="195"/>
    <row r="535" ht="15.75" customHeight="1" s="195"/>
    <row r="536" ht="15.75" customHeight="1" s="195"/>
    <row r="537" ht="15.75" customHeight="1" s="195"/>
    <row r="538" ht="15.75" customHeight="1" s="195"/>
    <row r="539" ht="15.75" customHeight="1" s="195"/>
    <row r="540" ht="15.75" customHeight="1" s="195"/>
    <row r="541" ht="15.75" customHeight="1" s="195"/>
    <row r="542" ht="15.75" customHeight="1" s="195"/>
    <row r="543" ht="15.75" customHeight="1" s="195"/>
    <row r="544" ht="15.75" customHeight="1" s="195"/>
    <row r="545" ht="15.75" customHeight="1" s="195"/>
    <row r="546" ht="15.75" customHeight="1" s="195"/>
    <row r="547" ht="15.75" customHeight="1" s="195"/>
    <row r="548" ht="15.75" customHeight="1" s="195"/>
    <row r="549" ht="15.75" customHeight="1" s="195"/>
    <row r="550" ht="15.75" customHeight="1" s="195"/>
    <row r="551" ht="15.75" customHeight="1" s="195"/>
    <row r="552" ht="15.75" customHeight="1" s="195"/>
    <row r="553" ht="15.75" customHeight="1" s="195"/>
    <row r="554" ht="15.75" customHeight="1" s="195"/>
    <row r="555" ht="15.75" customHeight="1" s="195"/>
    <row r="556" ht="15.75" customHeight="1" s="195"/>
    <row r="557" ht="15.75" customHeight="1" s="195"/>
    <row r="558" ht="15.75" customHeight="1" s="195"/>
    <row r="559" ht="15.75" customHeight="1" s="195"/>
    <row r="560" ht="15.75" customHeight="1" s="195"/>
    <row r="561" ht="15.75" customHeight="1" s="195"/>
    <row r="562" ht="15.75" customHeight="1" s="195"/>
    <row r="563" ht="15.75" customHeight="1" s="195"/>
    <row r="564" ht="15.75" customHeight="1" s="195"/>
    <row r="565" ht="15.75" customHeight="1" s="195"/>
    <row r="566" ht="15.75" customHeight="1" s="195"/>
    <row r="567" ht="15.75" customHeight="1" s="195"/>
    <row r="568" ht="15.75" customHeight="1" s="195"/>
    <row r="569" ht="15.75" customHeight="1" s="195"/>
    <row r="570" ht="15.75" customHeight="1" s="195"/>
    <row r="571" ht="15.75" customHeight="1" s="195"/>
    <row r="572" ht="15.75" customHeight="1" s="195"/>
    <row r="573" ht="15.75" customHeight="1" s="195"/>
    <row r="574" ht="15.75" customHeight="1" s="195"/>
    <row r="575" ht="15.75" customHeight="1" s="195"/>
    <row r="576" ht="15.75" customHeight="1" s="195"/>
    <row r="577" ht="15.75" customHeight="1" s="195"/>
    <row r="578" ht="15.75" customHeight="1" s="195"/>
    <row r="579" ht="15.75" customHeight="1" s="195"/>
    <row r="580" ht="15.75" customHeight="1" s="195"/>
    <row r="581" ht="15.75" customHeight="1" s="195"/>
    <row r="582" ht="15.75" customHeight="1" s="195"/>
    <row r="583" ht="15.75" customHeight="1" s="195"/>
    <row r="584" ht="15.75" customHeight="1" s="195"/>
    <row r="585" ht="15.75" customHeight="1" s="195"/>
    <row r="586" ht="15.75" customHeight="1" s="195"/>
    <row r="587" ht="15.75" customHeight="1" s="195"/>
    <row r="588" ht="15.75" customHeight="1" s="195"/>
    <row r="589" ht="15.75" customHeight="1" s="195"/>
    <row r="590" ht="15.75" customHeight="1" s="195"/>
    <row r="591" ht="15.75" customHeight="1" s="195"/>
    <row r="592" ht="15.75" customHeight="1" s="195"/>
    <row r="593" ht="15.75" customHeight="1" s="195"/>
    <row r="594" ht="15.75" customHeight="1" s="195"/>
    <row r="595" ht="15.75" customHeight="1" s="195"/>
    <row r="596" ht="15.75" customHeight="1" s="195"/>
    <row r="597" ht="15.75" customHeight="1" s="195"/>
    <row r="598" ht="15.75" customHeight="1" s="195"/>
    <row r="599" ht="15.75" customHeight="1" s="195"/>
    <row r="600" ht="15.75" customHeight="1" s="195"/>
    <row r="601" ht="15.75" customHeight="1" s="195"/>
    <row r="602" ht="15.75" customHeight="1" s="195"/>
    <row r="603" ht="15.75" customHeight="1" s="195"/>
    <row r="604" ht="15.75" customHeight="1" s="195"/>
    <row r="605" ht="15.75" customHeight="1" s="195"/>
    <row r="606" ht="15.75" customHeight="1" s="195"/>
    <row r="607" ht="15.75" customHeight="1" s="195"/>
    <row r="608" ht="15.75" customHeight="1" s="195"/>
    <row r="609" ht="15.75" customHeight="1" s="195"/>
    <row r="610" ht="15.75" customHeight="1" s="195"/>
    <row r="611" ht="15.75" customHeight="1" s="195"/>
    <row r="612" ht="15.75" customHeight="1" s="195"/>
    <row r="613" ht="15.75" customHeight="1" s="195"/>
    <row r="614" ht="15.75" customHeight="1" s="195"/>
    <row r="615" ht="15.75" customHeight="1" s="195"/>
    <row r="616" ht="15.75" customHeight="1" s="195"/>
    <row r="617" ht="15.75" customHeight="1" s="195"/>
    <row r="618" ht="15.75" customHeight="1" s="195"/>
    <row r="619" ht="15.75" customHeight="1" s="195"/>
    <row r="620" ht="15.75" customHeight="1" s="195"/>
    <row r="621" ht="15.75" customHeight="1" s="195"/>
    <row r="622" ht="15.75" customHeight="1" s="195"/>
    <row r="623" ht="15.75" customHeight="1" s="195"/>
    <row r="624" ht="15.75" customHeight="1" s="195"/>
    <row r="625" ht="15.75" customHeight="1" s="195"/>
    <row r="626" ht="15.75" customHeight="1" s="195"/>
    <row r="627" ht="15.75" customHeight="1" s="195"/>
    <row r="628" ht="15.75" customHeight="1" s="195"/>
    <row r="629" ht="15.75" customHeight="1" s="195"/>
    <row r="630" ht="15.75" customHeight="1" s="195"/>
    <row r="631" ht="15.75" customHeight="1" s="195"/>
    <row r="632" ht="15.75" customHeight="1" s="195"/>
    <row r="633" ht="15.75" customHeight="1" s="195"/>
    <row r="634" ht="15.75" customHeight="1" s="195"/>
    <row r="635" ht="15.75" customHeight="1" s="195"/>
    <row r="636" ht="15.75" customHeight="1" s="195"/>
    <row r="637" ht="15.75" customHeight="1" s="195"/>
    <row r="638" ht="15.75" customHeight="1" s="195"/>
    <row r="639" ht="15.75" customHeight="1" s="195"/>
    <row r="640" ht="15.75" customHeight="1" s="195"/>
    <row r="641" ht="15.75" customHeight="1" s="195"/>
    <row r="642" ht="15.75" customHeight="1" s="195"/>
    <row r="643" ht="15.75" customHeight="1" s="195"/>
    <row r="644" ht="15.75" customHeight="1" s="195"/>
    <row r="645" ht="15.75" customHeight="1" s="195"/>
    <row r="646" ht="15.75" customHeight="1" s="195"/>
    <row r="647" ht="15.75" customHeight="1" s="195"/>
    <row r="648" ht="15.75" customHeight="1" s="195"/>
    <row r="649" ht="15.75" customHeight="1" s="195"/>
    <row r="650" ht="15.75" customHeight="1" s="195"/>
    <row r="651" ht="15.75" customHeight="1" s="195"/>
    <row r="652" ht="15.75" customHeight="1" s="195"/>
    <row r="653" ht="15.75" customHeight="1" s="195"/>
    <row r="654" ht="15.75" customHeight="1" s="195"/>
    <row r="655" ht="15.75" customHeight="1" s="195"/>
    <row r="656" ht="15.75" customHeight="1" s="195"/>
    <row r="657" ht="15.75" customHeight="1" s="195"/>
    <row r="658" ht="15.75" customHeight="1" s="195"/>
    <row r="659" ht="15.75" customHeight="1" s="195"/>
    <row r="660" ht="15.75" customHeight="1" s="195"/>
    <row r="661" ht="15.75" customHeight="1" s="195"/>
    <row r="662" ht="15.75" customHeight="1" s="195"/>
    <row r="663" ht="15.75" customHeight="1" s="195"/>
    <row r="664" ht="15.75" customHeight="1" s="195"/>
    <row r="665" ht="15.75" customHeight="1" s="195"/>
    <row r="666" ht="15.75" customHeight="1" s="195"/>
    <row r="667" ht="15.75" customHeight="1" s="195"/>
    <row r="668" ht="15.75" customHeight="1" s="195"/>
    <row r="669" ht="15.75" customHeight="1" s="195"/>
    <row r="670" ht="15.75" customHeight="1" s="195"/>
    <row r="671" ht="15.75" customHeight="1" s="195"/>
    <row r="672" ht="15.75" customHeight="1" s="195"/>
    <row r="673" ht="15.75" customHeight="1" s="195"/>
    <row r="674" ht="15.75" customHeight="1" s="195"/>
    <row r="675" ht="15.75" customHeight="1" s="195"/>
    <row r="676" ht="15.75" customHeight="1" s="195"/>
    <row r="677" ht="15.75" customHeight="1" s="195"/>
    <row r="678" ht="15.75" customHeight="1" s="195"/>
    <row r="679" ht="15.75" customHeight="1" s="195"/>
    <row r="680" ht="15.75" customHeight="1" s="195"/>
    <row r="681" ht="15.75" customHeight="1" s="195"/>
    <row r="682" ht="15.75" customHeight="1" s="195"/>
    <row r="683" ht="15.75" customHeight="1" s="195"/>
    <row r="684" ht="15.75" customHeight="1" s="195"/>
    <row r="685" ht="15.75" customHeight="1" s="195"/>
    <row r="686" ht="15.75" customHeight="1" s="195"/>
    <row r="687" ht="15.75" customHeight="1" s="195"/>
    <row r="688" ht="15.75" customHeight="1" s="195"/>
    <row r="689" ht="15.75" customHeight="1" s="195"/>
    <row r="690" ht="15.75" customHeight="1" s="195"/>
    <row r="691" ht="15.75" customHeight="1" s="195"/>
    <row r="692" ht="15.75" customHeight="1" s="195"/>
    <row r="693" ht="15.75" customHeight="1" s="195"/>
    <row r="694" ht="15.75" customHeight="1" s="195"/>
    <row r="695" ht="15.75" customHeight="1" s="195"/>
    <row r="696" ht="15.75" customHeight="1" s="195"/>
    <row r="697" ht="15.75" customHeight="1" s="195"/>
    <row r="698" ht="15.75" customHeight="1" s="195"/>
    <row r="699" ht="15.75" customHeight="1" s="195"/>
    <row r="700" ht="15.75" customHeight="1" s="195"/>
    <row r="701" ht="15.75" customHeight="1" s="195"/>
    <row r="702" ht="15.75" customHeight="1" s="195"/>
    <row r="703" ht="15.75" customHeight="1" s="195"/>
    <row r="704" ht="15.75" customHeight="1" s="195"/>
    <row r="705" ht="15.75" customHeight="1" s="195"/>
    <row r="706" ht="15.75" customHeight="1" s="195"/>
    <row r="707" ht="15.75" customHeight="1" s="195"/>
    <row r="708" ht="15.75" customHeight="1" s="195"/>
    <row r="709" ht="15.75" customHeight="1" s="195"/>
    <row r="710" ht="15.75" customHeight="1" s="195"/>
    <row r="711" ht="15.75" customHeight="1" s="195"/>
    <row r="712" ht="15.75" customHeight="1" s="195"/>
    <row r="713" ht="15.75" customHeight="1" s="195"/>
    <row r="714" ht="15.75" customHeight="1" s="195"/>
    <row r="715" ht="15.75" customHeight="1" s="195"/>
    <row r="716" ht="15.75" customHeight="1" s="195"/>
    <row r="717" ht="15.75" customHeight="1" s="195"/>
    <row r="718" ht="15.75" customHeight="1" s="195"/>
    <row r="719" ht="15.75" customHeight="1" s="195"/>
    <row r="720" ht="15.75" customHeight="1" s="195"/>
    <row r="721" ht="15.75" customHeight="1" s="195"/>
    <row r="722" ht="15.75" customHeight="1" s="195"/>
    <row r="723" ht="15.75" customHeight="1" s="195"/>
    <row r="724" ht="15.75" customHeight="1" s="195"/>
    <row r="725" ht="15.75" customHeight="1" s="195"/>
    <row r="726" ht="15.75" customHeight="1" s="195"/>
    <row r="727" ht="15.75" customHeight="1" s="195"/>
    <row r="728" ht="15.75" customHeight="1" s="195"/>
    <row r="729" ht="15.75" customHeight="1" s="195"/>
    <row r="730" ht="15.75" customHeight="1" s="195"/>
    <row r="731" ht="15.75" customHeight="1" s="195"/>
    <row r="732" ht="15.75" customHeight="1" s="195"/>
    <row r="733" ht="15.75" customHeight="1" s="195"/>
    <row r="734" ht="15.75" customHeight="1" s="195"/>
    <row r="735" ht="15.75" customHeight="1" s="195"/>
    <row r="736" ht="15.75" customHeight="1" s="195"/>
    <row r="737" ht="15.75" customHeight="1" s="195"/>
    <row r="738" ht="15.75" customHeight="1" s="195"/>
    <row r="739" ht="15.75" customHeight="1" s="195"/>
    <row r="740" ht="15.75" customHeight="1" s="195"/>
    <row r="741" ht="15.75" customHeight="1" s="195"/>
    <row r="742" ht="15.75" customHeight="1" s="195"/>
    <row r="743" ht="15.75" customHeight="1" s="195"/>
    <row r="744" ht="15.75" customHeight="1" s="195"/>
    <row r="745" ht="15.75" customHeight="1" s="195"/>
    <row r="746" ht="15.75" customHeight="1" s="195"/>
    <row r="747" ht="15.75" customHeight="1" s="195"/>
    <row r="748" ht="15.75" customHeight="1" s="195"/>
    <row r="749" ht="15.75" customHeight="1" s="195"/>
    <row r="750" ht="15.75" customHeight="1" s="195"/>
    <row r="751" ht="15.75" customHeight="1" s="195"/>
    <row r="752" ht="15.75" customHeight="1" s="195"/>
    <row r="753" ht="15.75" customHeight="1" s="195"/>
    <row r="754" ht="15.75" customHeight="1" s="195"/>
    <row r="755" ht="15.75" customHeight="1" s="195"/>
    <row r="756" ht="15.75" customHeight="1" s="195"/>
    <row r="757" ht="15.75" customHeight="1" s="195"/>
    <row r="758" ht="15.75" customHeight="1" s="195"/>
    <row r="759" ht="15.75" customHeight="1" s="195"/>
    <row r="760" ht="15.75" customHeight="1" s="195"/>
    <row r="761" ht="15.75" customHeight="1" s="195"/>
    <row r="762" ht="15.75" customHeight="1" s="195"/>
    <row r="763" ht="15.75" customHeight="1" s="195"/>
    <row r="764" ht="15.75" customHeight="1" s="195"/>
    <row r="765" ht="15.75" customHeight="1" s="195"/>
    <row r="766" ht="15.75" customHeight="1" s="195"/>
    <row r="767" ht="15.75" customHeight="1" s="195"/>
    <row r="768" ht="15.75" customHeight="1" s="195"/>
    <row r="769" ht="15.75" customHeight="1" s="195"/>
    <row r="770" ht="15.75" customHeight="1" s="195"/>
    <row r="771" ht="15.75" customHeight="1" s="195"/>
    <row r="772" ht="15.75" customHeight="1" s="195"/>
    <row r="773" ht="15.75" customHeight="1" s="195"/>
    <row r="774" ht="15.75" customHeight="1" s="195"/>
    <row r="775" ht="15.75" customHeight="1" s="195"/>
    <row r="776" ht="15.75" customHeight="1" s="195"/>
    <row r="777" ht="15.75" customHeight="1" s="195"/>
    <row r="778" ht="15.75" customHeight="1" s="195"/>
    <row r="779" ht="15.75" customHeight="1" s="195"/>
    <row r="780" ht="15.75" customHeight="1" s="195"/>
    <row r="781" ht="15.75" customHeight="1" s="195"/>
    <row r="782" ht="15.75" customHeight="1" s="195"/>
    <row r="783" ht="15.75" customHeight="1" s="195"/>
    <row r="784" ht="15.75" customHeight="1" s="195"/>
    <row r="785" ht="15.75" customHeight="1" s="195"/>
    <row r="786" ht="15.75" customHeight="1" s="195"/>
    <row r="787" ht="15.75" customHeight="1" s="195"/>
    <row r="788" ht="15.75" customHeight="1" s="195"/>
    <row r="789" ht="15.75" customHeight="1" s="195"/>
    <row r="790" ht="15.75" customHeight="1" s="195"/>
    <row r="791" ht="15.75" customHeight="1" s="195"/>
    <row r="792" ht="15.75" customHeight="1" s="195"/>
    <row r="793" ht="15.75" customHeight="1" s="195"/>
    <row r="794" ht="15.75" customHeight="1" s="195"/>
    <row r="795" ht="15.75" customHeight="1" s="195"/>
    <row r="796" ht="15.75" customHeight="1" s="195"/>
    <row r="797" ht="15.75" customHeight="1" s="195"/>
    <row r="798" ht="15.75" customHeight="1" s="195"/>
    <row r="799" ht="15.75" customHeight="1" s="195"/>
    <row r="800" ht="15.75" customHeight="1" s="195"/>
    <row r="801" ht="15.75" customHeight="1" s="195"/>
    <row r="802" ht="15.75" customHeight="1" s="195"/>
    <row r="803" ht="15.75" customHeight="1" s="195"/>
    <row r="804" ht="15.75" customHeight="1" s="195"/>
    <row r="805" ht="15.75" customHeight="1" s="195"/>
    <row r="806" ht="15.75" customHeight="1" s="195"/>
    <row r="807" ht="15.75" customHeight="1" s="195"/>
    <row r="808" ht="15.75" customHeight="1" s="195"/>
    <row r="809" ht="15.75" customHeight="1" s="195"/>
    <row r="810" ht="15.75" customHeight="1" s="195"/>
    <row r="811" ht="15.75" customHeight="1" s="195"/>
    <row r="812" ht="15.75" customHeight="1" s="195"/>
    <row r="813" ht="15.75" customHeight="1" s="195"/>
    <row r="814" ht="15.75" customHeight="1" s="195"/>
    <row r="815" ht="15.75" customHeight="1" s="195"/>
    <row r="816" ht="15.75" customHeight="1" s="195"/>
    <row r="817" ht="15.75" customHeight="1" s="195"/>
    <row r="818" ht="15.75" customHeight="1" s="195"/>
    <row r="819" ht="15.75" customHeight="1" s="195"/>
    <row r="820" ht="15.75" customHeight="1" s="195"/>
    <row r="821" ht="15.75" customHeight="1" s="195"/>
    <row r="822" ht="15.75" customHeight="1" s="195"/>
    <row r="823" ht="15.75" customHeight="1" s="195"/>
    <row r="824" ht="15.75" customHeight="1" s="195"/>
    <row r="825" ht="15.75" customHeight="1" s="195"/>
    <row r="826" ht="15.75" customHeight="1" s="195"/>
    <row r="827" ht="15.75" customHeight="1" s="195"/>
    <row r="828" ht="15.75" customHeight="1" s="195"/>
    <row r="829" ht="15.75" customHeight="1" s="195"/>
    <row r="830" ht="15.75" customHeight="1" s="195"/>
    <row r="831" ht="15.75" customHeight="1" s="195"/>
    <row r="832" ht="15.75" customHeight="1" s="195"/>
    <row r="833" ht="15.75" customHeight="1" s="195"/>
    <row r="834" ht="15.75" customHeight="1" s="195"/>
    <row r="835" ht="15.75" customHeight="1" s="195"/>
    <row r="836" ht="15.75" customHeight="1" s="195"/>
    <row r="837" ht="15.75" customHeight="1" s="195"/>
    <row r="838" ht="15.75" customHeight="1" s="195"/>
    <row r="839" ht="15.75" customHeight="1" s="195"/>
    <row r="840" ht="15.75" customHeight="1" s="195"/>
    <row r="841" ht="15.75" customHeight="1" s="195"/>
    <row r="842" ht="15.75" customHeight="1" s="195"/>
    <row r="843" ht="15.75" customHeight="1" s="195"/>
    <row r="844" ht="15.75" customHeight="1" s="195"/>
    <row r="845" ht="15.75" customHeight="1" s="195"/>
    <row r="846" ht="15.75" customHeight="1" s="195"/>
    <row r="847" ht="15.75" customHeight="1" s="195"/>
    <row r="848" ht="15.75" customHeight="1" s="195"/>
    <row r="849" ht="15.75" customHeight="1" s="195"/>
    <row r="850" ht="15.75" customHeight="1" s="195"/>
    <row r="851" ht="15.75" customHeight="1" s="195"/>
    <row r="852" ht="15.75" customHeight="1" s="195"/>
    <row r="853" ht="15.75" customHeight="1" s="195"/>
    <row r="854" ht="15.75" customHeight="1" s="195"/>
    <row r="855" ht="15.75" customHeight="1" s="195"/>
    <row r="856" ht="15.75" customHeight="1" s="195"/>
    <row r="857" ht="15.75" customHeight="1" s="195"/>
    <row r="858" ht="15.75" customHeight="1" s="195"/>
    <row r="859" ht="15.75" customHeight="1" s="195"/>
    <row r="860" ht="15.75" customHeight="1" s="195"/>
    <row r="861" ht="15.75" customHeight="1" s="195"/>
    <row r="862" ht="15.75" customHeight="1" s="195"/>
    <row r="863" ht="15.75" customHeight="1" s="195"/>
    <row r="864" ht="15.75" customHeight="1" s="195"/>
    <row r="865" ht="15.75" customHeight="1" s="195"/>
    <row r="866" ht="15.75" customHeight="1" s="195"/>
    <row r="867" ht="15.75" customHeight="1" s="195"/>
    <row r="868" ht="15.75" customHeight="1" s="195"/>
    <row r="869" ht="15.75" customHeight="1" s="195"/>
    <row r="870" ht="15.75" customHeight="1" s="195"/>
    <row r="871" ht="15.75" customHeight="1" s="195"/>
    <row r="872" ht="15.75" customHeight="1" s="195"/>
    <row r="873" ht="15.75" customHeight="1" s="195"/>
    <row r="874" ht="15.75" customHeight="1" s="195"/>
    <row r="875" ht="15.75" customHeight="1" s="195"/>
    <row r="876" ht="15.75" customHeight="1" s="195"/>
    <row r="877" ht="15.75" customHeight="1" s="195"/>
    <row r="878" ht="15.75" customHeight="1" s="195"/>
    <row r="879" ht="15.75" customHeight="1" s="195"/>
    <row r="880" ht="15.75" customHeight="1" s="195"/>
    <row r="881" ht="15.75" customHeight="1" s="195"/>
    <row r="882" ht="15.75" customHeight="1" s="195"/>
    <row r="883" ht="15.75" customHeight="1" s="195"/>
    <row r="884" ht="15.75" customHeight="1" s="195"/>
    <row r="885" ht="15.75" customHeight="1" s="195"/>
    <row r="886" ht="15.75" customHeight="1" s="195"/>
    <row r="887" ht="15.75" customHeight="1" s="195"/>
    <row r="888" ht="15.75" customHeight="1" s="195"/>
    <row r="889" ht="15.75" customHeight="1" s="195"/>
    <row r="890" ht="15.75" customHeight="1" s="195"/>
    <row r="891" ht="15.75" customHeight="1" s="195"/>
    <row r="892" ht="15.75" customHeight="1" s="195"/>
    <row r="893" ht="15.75" customHeight="1" s="195"/>
    <row r="894" ht="15.75" customHeight="1" s="195"/>
    <row r="895" ht="15.75" customHeight="1" s="195"/>
    <row r="896" ht="15.75" customHeight="1" s="195"/>
    <row r="897" ht="15.75" customHeight="1" s="195"/>
    <row r="898" ht="15.75" customHeight="1" s="195"/>
    <row r="899" ht="15.75" customHeight="1" s="195"/>
    <row r="900" ht="15.75" customHeight="1" s="195"/>
    <row r="901" ht="15.75" customHeight="1" s="195"/>
    <row r="902" ht="15.75" customHeight="1" s="195"/>
    <row r="903" ht="15.75" customHeight="1" s="195"/>
    <row r="904" ht="15.75" customHeight="1" s="195"/>
    <row r="905" ht="15.75" customHeight="1" s="195"/>
    <row r="906" ht="15.75" customHeight="1" s="195"/>
    <row r="907" ht="15.75" customHeight="1" s="195"/>
    <row r="908" ht="15.75" customHeight="1" s="195"/>
    <row r="909" ht="15.75" customHeight="1" s="195"/>
    <row r="910" ht="15.75" customHeight="1" s="195"/>
    <row r="911" ht="15.75" customHeight="1" s="195"/>
    <row r="912" ht="15.75" customHeight="1" s="195"/>
    <row r="913" ht="15.75" customHeight="1" s="195"/>
    <row r="914" ht="15.75" customHeight="1" s="195"/>
    <row r="915" ht="15.75" customHeight="1" s="195"/>
    <row r="916" ht="15.75" customHeight="1" s="195"/>
    <row r="917" ht="15.75" customHeight="1" s="195"/>
    <row r="918" ht="15.75" customHeight="1" s="195"/>
    <row r="919" ht="15.75" customHeight="1" s="195"/>
    <row r="920" ht="15.75" customHeight="1" s="195"/>
    <row r="921" ht="15.75" customHeight="1" s="195"/>
    <row r="922" ht="15.75" customHeight="1" s="195"/>
    <row r="923" ht="15.75" customHeight="1" s="195"/>
    <row r="924" ht="15.75" customHeight="1" s="195"/>
    <row r="925" ht="15.75" customHeight="1" s="195"/>
    <row r="926" ht="15.75" customHeight="1" s="195"/>
    <row r="927" ht="15.75" customHeight="1" s="195"/>
    <row r="928" ht="15.75" customHeight="1" s="195"/>
    <row r="929" ht="15.75" customHeight="1" s="195"/>
    <row r="930" ht="15.75" customHeight="1" s="195"/>
    <row r="931" ht="15.75" customHeight="1" s="195"/>
    <row r="932" ht="15.75" customHeight="1" s="195"/>
    <row r="933" ht="15.75" customHeight="1" s="195"/>
    <row r="934" ht="15.75" customHeight="1" s="195"/>
    <row r="935" ht="15.75" customHeight="1" s="195"/>
    <row r="936" ht="15.75" customHeight="1" s="195"/>
    <row r="937" ht="15.75" customHeight="1" s="195"/>
    <row r="938" ht="15.75" customHeight="1" s="195"/>
    <row r="939" ht="15.75" customHeight="1" s="195"/>
    <row r="940" ht="15.75" customHeight="1" s="195"/>
    <row r="941" ht="15.75" customHeight="1" s="195"/>
    <row r="942" ht="15.75" customHeight="1" s="195"/>
    <row r="943" ht="15.75" customHeight="1" s="195"/>
    <row r="944" ht="15.75" customHeight="1" s="195"/>
    <row r="945" ht="15.75" customHeight="1" s="195"/>
    <row r="946" ht="15.75" customHeight="1" s="195"/>
    <row r="947" ht="15.75" customHeight="1" s="195"/>
    <row r="948" ht="15.75" customHeight="1" s="195"/>
    <row r="949" ht="15.75" customHeight="1" s="195"/>
    <row r="950" ht="15.75" customHeight="1" s="195"/>
    <row r="951" ht="15.75" customHeight="1" s="195"/>
    <row r="952" ht="15.75" customHeight="1" s="195"/>
    <row r="953" ht="15.75" customHeight="1" s="195"/>
    <row r="954" ht="15.75" customHeight="1" s="195"/>
    <row r="955" ht="15.75" customHeight="1" s="195"/>
    <row r="956" ht="15.75" customHeight="1" s="195"/>
    <row r="957" ht="15.75" customHeight="1" s="195"/>
    <row r="958" ht="15.75" customHeight="1" s="195"/>
    <row r="959" ht="15.75" customHeight="1" s="195"/>
    <row r="960" ht="15.75" customHeight="1" s="195"/>
    <row r="961" ht="15.75" customHeight="1" s="195"/>
    <row r="962" ht="15.75" customHeight="1" s="195"/>
    <row r="963" ht="15.75" customHeight="1" s="195"/>
    <row r="964" ht="15.75" customHeight="1" s="195"/>
    <row r="965" ht="15.75" customHeight="1" s="195"/>
    <row r="966" ht="15.75" customHeight="1" s="195"/>
    <row r="967" ht="15.75" customHeight="1" s="195"/>
    <row r="968" ht="15.75" customHeight="1" s="195"/>
    <row r="969" ht="15.75" customHeight="1" s="195"/>
    <row r="970" ht="15.75" customHeight="1" s="195"/>
    <row r="971" ht="15.75" customHeight="1" s="195"/>
    <row r="972" ht="15.75" customHeight="1" s="195"/>
    <row r="973" ht="15.75" customHeight="1" s="195"/>
    <row r="974" ht="15.75" customHeight="1" s="195"/>
    <row r="975" ht="15.75" customHeight="1" s="195"/>
    <row r="976" ht="15.75" customHeight="1" s="195"/>
    <row r="977" ht="15.75" customHeight="1" s="195"/>
    <row r="978" ht="15.75" customHeight="1" s="195"/>
    <row r="979" ht="15.75" customHeight="1" s="195"/>
    <row r="980" ht="15.75" customHeight="1" s="195"/>
    <row r="981" ht="15.75" customHeight="1" s="195"/>
    <row r="982" ht="15.75" customHeight="1" s="195"/>
    <row r="983" ht="15.75" customHeight="1" s="195"/>
    <row r="984" ht="15.75" customHeight="1" s="195"/>
    <row r="985" ht="15.75" customHeight="1" s="195"/>
    <row r="986" ht="15.75" customHeight="1" s="195"/>
    <row r="987" ht="15.75" customHeight="1" s="195"/>
    <row r="988" ht="15.75" customHeight="1" s="195"/>
    <row r="989" ht="15.75" customHeight="1" s="195"/>
    <row r="990" ht="15.75" customHeight="1" s="195"/>
    <row r="991" ht="15.75" customHeight="1" s="195"/>
    <row r="992" ht="15.75" customHeight="1" s="195"/>
    <row r="993" ht="15.75" customHeight="1" s="195"/>
    <row r="994" ht="15.75" customHeight="1" s="195"/>
    <row r="995" ht="15.75" customHeight="1" s="195"/>
    <row r="996" ht="15.75" customHeight="1" s="195"/>
    <row r="997" ht="15.75" customHeight="1" s="195"/>
    <row r="998" ht="15.75" customHeight="1" s="195"/>
    <row r="999" ht="15.75" customHeight="1" s="195"/>
    <row r="1000" ht="15.75" customHeight="1" s="195"/>
  </sheetData>
  <mergeCells count="13">
    <mergeCell ref="D2:F2"/>
    <mergeCell ref="G2:I2"/>
    <mergeCell ref="S2:T2"/>
    <mergeCell ref="J2:L2"/>
    <mergeCell ref="A506:G506"/>
    <mergeCell ref="U2:V2"/>
    <mergeCell ref="P2:R2"/>
    <mergeCell ref="A1:Y1"/>
    <mergeCell ref="W2:AC2"/>
    <mergeCell ref="A125:J125"/>
    <mergeCell ref="A4:Y4"/>
    <mergeCell ref="M2:O2"/>
    <mergeCell ref="A2:C2"/>
  </mergeCells>
  <conditionalFormatting sqref="T6:T505">
    <cfRule type="expression" rank="0" priority="2" equalAverage="0" aboveAverage="0" dxfId="0" text="" percent="0" bottom="0">
      <formula>EXACT(T6,"APROBADO")</formula>
    </cfRule>
    <cfRule type="expression" rank="0" priority="3" equalAverage="0" aboveAverage="0" dxfId="7" text="" percent="0" bottom="0">
      <formula>EXACT(T6,"PENDIENTE")</formula>
    </cfRule>
  </conditionalFormatting>
  <conditionalFormatting sqref="K6:K505">
    <cfRule type="expression" rank="0" priority="4" equalAverage="0" aboveAverage="0" dxfId="8" text="" percent="0" bottom="0">
      <formula>EXACT(K6,"GASOLINA")</formula>
    </cfRule>
  </conditionalFormatting>
  <conditionalFormatting sqref="Y4:Y130">
    <cfRule type="expression" rank="0" priority="5" equalAverage="0" aboveAverage="0" dxfId="9" text="" percent="0" bottom="0">
      <formula>Y4&lt;&gt;""</formula>
    </cfRule>
  </conditionalFormatting>
  <dataValidations count="4">
    <dataValidation sqref="Y5:Y130" showDropDown="0" showInputMessage="0" showErrorMessage="0" allowBlank="1" type="list" errorStyle="stop" operator="between">
      <formula1>CONDUCTORES!$H$3:$H$104</formula1>
      <formula2>0</formula2>
    </dataValidation>
    <dataValidation sqref="K6:K505" showDropDown="0" showInputMessage="0" showErrorMessage="0" allowBlank="1" type="list" errorStyle="stop" operator="between">
      <formula1>"PETROLEO,GASOLINA"</formula1>
      <formula2>0</formula2>
    </dataValidation>
    <dataValidation sqref="E6:E124 E126:E505" showDropDown="0" showInputMessage="0" showErrorMessage="0" allowBlank="1" type="list" errorStyle="stop" operator="between">
      <formula1>"DNI,CE,PASAPORTE"</formula1>
      <formula2>0</formula2>
    </dataValidation>
    <dataValidation sqref="T6:T505" showDropDown="0" showInputMessage="0" showErrorMessage="0" allowBlank="1" type="list" errorStyle="stop" operator="between">
      <formula1>"APROBADO,PENDIENTE,OBSERVADO"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C5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14.43359375" defaultRowHeight="15" zeroHeight="0" outlineLevelRow="0"/>
  <cols>
    <col width="5" customWidth="1" style="194" min="1" max="1"/>
    <col width="14" customWidth="1" style="194" min="2" max="2"/>
    <col width="8" customWidth="1" style="194" min="3" max="3"/>
    <col width="28" customWidth="1" style="194" min="4" max="4"/>
    <col width="7" customWidth="1" style="194" min="5" max="5"/>
    <col width="14" customWidth="1" style="194" min="6" max="6"/>
    <col width="12" customWidth="1" style="194" min="7" max="7"/>
    <col width="10" customWidth="1" style="194" min="8" max="8"/>
    <col width="30" customWidth="1" style="194" min="9" max="9"/>
    <col width="10" customWidth="1" style="194" min="10" max="10"/>
    <col width="12" customWidth="1" style="194" min="11" max="11"/>
    <col width="10" customWidth="1" style="194" min="12" max="13"/>
    <col width="14" customWidth="1" style="194" min="14" max="15"/>
    <col width="28" customWidth="1" style="194" min="16" max="16"/>
    <col width="12" customWidth="1" style="194" min="17" max="18"/>
    <col width="16" customWidth="1" style="194" min="19" max="19"/>
    <col width="12" customWidth="1" style="194" min="20" max="21"/>
    <col width="14" customWidth="1" style="194" min="22" max="23"/>
    <col width="8" customWidth="1" style="194" min="24" max="24"/>
    <col width="22" customWidth="1" style="194" min="25" max="25"/>
    <col width="8.710000000000001" customWidth="1" style="194" min="26" max="29"/>
  </cols>
  <sheetData>
    <row r="1" ht="27.75" customHeight="1" s="195">
      <c r="A1" s="317" t="inlineStr">
        <is>
          <t>REPORTE DE TRASLADO DE PACIENTES SIS DEL MES DE ABRIL 2025 PARA REPOSICION DE COMBUSTIBLE</t>
        </is>
      </c>
    </row>
    <row r="2" ht="21.75" customHeight="1" s="195">
      <c r="A2" s="318" t="inlineStr">
        <is>
          <t>TOTAL PETROLEO (gal):</t>
        </is>
      </c>
      <c r="D2" s="319">
        <f>IFERROR(SUMPRODUCT((K4:K109="PETROLEO")*ISNUMBER(M4:M109)*M4:M109),0)</f>
        <v/>
      </c>
      <c r="G2" s="318" t="inlineStr">
        <is>
          <t>TOTAL GASOLINA (gal):</t>
        </is>
      </c>
      <c r="J2" s="319">
        <f>IFERROR(SUMPRODUCT((K4:K109="GASOLINA")*ISNUMBER(M4:M109)*M4:M109),0)</f>
        <v/>
      </c>
      <c r="M2" s="318" t="inlineStr">
        <is>
          <t>TOTAL SOLES S/.:</t>
        </is>
      </c>
      <c r="P2" s="320">
        <f>IFERROR(SUMPRODUCT(ISNUMBER(M4:M109)*L4:L109*M4:M109),0)</f>
        <v/>
      </c>
      <c r="S2" s="318" t="inlineStr">
        <is>
          <t>N TRASLADOS:</t>
        </is>
      </c>
      <c r="U2" s="321">
        <f>SUBTOTAL(2,A4:A109)</f>
        <v/>
      </c>
      <c r="W2" s="322" t="inlineStr">
        <is>
          <t>↑ Al filtrar por EESS los totales cambian automáticamente</t>
        </is>
      </c>
    </row>
    <row r="3" ht="3.75" customHeight="1" s="195">
      <c r="A3" s="323" t="n"/>
      <c r="B3" s="323" t="n"/>
      <c r="C3" s="323" t="n"/>
      <c r="D3" s="323" t="n"/>
      <c r="E3" s="323" t="n"/>
      <c r="F3" s="323" t="n"/>
      <c r="G3" s="323" t="n"/>
      <c r="H3" s="323" t="n"/>
      <c r="I3" s="323" t="n"/>
      <c r="J3" s="323" t="n"/>
      <c r="K3" s="323" t="n"/>
      <c r="L3" s="323" t="n"/>
      <c r="M3" s="323" t="n"/>
      <c r="N3" s="323" t="n"/>
      <c r="O3" s="323" t="n"/>
      <c r="P3" s="323" t="n"/>
      <c r="Q3" s="323" t="n"/>
      <c r="R3" s="323" t="n"/>
      <c r="S3" s="323" t="n"/>
      <c r="T3" s="323" t="n"/>
      <c r="U3" s="323" t="n"/>
      <c r="V3" s="323" t="n"/>
      <c r="W3" s="323" t="n"/>
      <c r="X3" s="323" t="n"/>
      <c r="Y3" s="324" t="inlineStr">
        <is>
          <t>DEVOLVER A
(IPRESS DESTINO)</t>
        </is>
      </c>
    </row>
    <row r="4" ht="19.5" customHeight="1" s="195">
      <c r="A4" s="325" t="inlineStr">
        <is>
          <t>COLUMNAS EN AZUL = AUTO (no editar) | Ingrese: N, NRO FORMATO, AFILIADO, TIPO DOC, NRO DOC, FECHA TRASLADO, COD RENAES, COD REFERENCIA, DNI CONDUCTOR, PRECIO GAL, GALONES, FECHA ENTREGA, CIE-10, ESTADO FUA, FECHA DIGITACION, OFICIO, O/C, META, OBSERVACION</t>
        </is>
      </c>
    </row>
    <row r="5" ht="30" customHeight="1" s="195">
      <c r="A5" s="326" t="inlineStr">
        <is>
          <t>N</t>
        </is>
      </c>
      <c r="B5" s="327" t="inlineStr">
        <is>
          <t>NRO FORMATO
ATENCION</t>
        </is>
      </c>
      <c r="C5" s="327" t="inlineStr">
        <is>
          <t>UNIDAD
EJECUTORA</t>
        </is>
      </c>
      <c r="D5" s="327" t="inlineStr">
        <is>
          <t>AFILIADO</t>
        </is>
      </c>
      <c r="E5" s="327" t="inlineStr">
        <is>
          <t>TIPO
DOC</t>
        </is>
      </c>
      <c r="F5" s="327" t="inlineStr">
        <is>
          <t>NRO
DOCUMENTO</t>
        </is>
      </c>
      <c r="G5" s="327" t="inlineStr">
        <is>
          <t>FECHA
TRASLADO</t>
        </is>
      </c>
      <c r="H5" s="327" t="inlineStr">
        <is>
          <t>COD
RENAES</t>
        </is>
      </c>
      <c r="I5" s="328" t="inlineStr">
        <is>
          <t>DESCRIPCION
EESS</t>
        </is>
      </c>
      <c r="J5" s="327" t="inlineStr">
        <is>
          <t>COD EESS
REFERENCIA</t>
        </is>
      </c>
      <c r="K5" s="328" t="inlineStr">
        <is>
          <t>TIPO DE
COMBUSTIBLE</t>
        </is>
      </c>
      <c r="L5" s="327" t="inlineStr">
        <is>
          <t>PRECIO
GAL S/.</t>
        </is>
      </c>
      <c r="M5" s="327" t="inlineStr">
        <is>
          <t>GALONES</t>
        </is>
      </c>
      <c r="N5" s="328" t="inlineStr">
        <is>
          <t>TOTAL
COMBUSTIBLE S/.</t>
        </is>
      </c>
      <c r="O5" s="327" t="inlineStr">
        <is>
          <t>DNI
CONDUCTOR</t>
        </is>
      </c>
      <c r="P5" s="329">
        <f>IFERROR(VLOOKUP(TEXT(O5,"0"),CONDUCTORES!$A$3:$G$100,2,0),"")</f>
        <v/>
      </c>
      <c r="Q5" s="329">
        <f>IFERROR(VLOOKUP(TEXT(O5,"0"),CONDUCTORES!$A$3:$H$100,6,0),"")</f>
        <v/>
      </c>
      <c r="R5" s="327" t="inlineStr">
        <is>
          <t>FECHA DE
ENTREGA</t>
        </is>
      </c>
      <c r="S5" s="327" t="inlineStr">
        <is>
          <t>CODIGO DE
DIAGNOSTICO</t>
        </is>
      </c>
      <c r="T5" s="327" t="inlineStr">
        <is>
          <t>ESTADO
FUA</t>
        </is>
      </c>
      <c r="U5" s="327" t="inlineStr">
        <is>
          <t>FECHA
DIGITACION</t>
        </is>
      </c>
      <c r="V5" s="327" t="inlineStr">
        <is>
          <t>OFICIO</t>
        </is>
      </c>
      <c r="W5" s="327" t="inlineStr">
        <is>
          <t>O/C</t>
        </is>
      </c>
      <c r="X5" s="327" t="inlineStr">
        <is>
          <t>META</t>
        </is>
      </c>
      <c r="Y5" s="330" t="inlineStr">
        <is>
          <t>OBSERVACION</t>
        </is>
      </c>
    </row>
    <row r="6" ht="15.75" customHeight="1" s="195">
      <c r="A6" s="337" t="n">
        <v>1</v>
      </c>
      <c r="B6" s="338" t="inlineStr">
        <is>
          <t>00000019</t>
        </is>
      </c>
      <c r="C6" s="337" t="inlineStr">
        <is>
          <t>REGION</t>
        </is>
      </c>
      <c r="D6" s="338" t="inlineStr">
        <is>
          <t>MOSILOT ARCE ELISEO</t>
        </is>
      </c>
      <c r="E6" s="337" t="inlineStr">
        <is>
          <t>DNI</t>
        </is>
      </c>
      <c r="F6" s="337" t="inlineStr">
        <is>
          <t>33731570</t>
        </is>
      </c>
      <c r="G6" s="339" t="n">
        <v>45769</v>
      </c>
      <c r="H6" s="337" t="inlineStr">
        <is>
          <t>4937</t>
        </is>
      </c>
      <c r="I6" s="332">
        <f>IFERROR(VLOOKUP(TEXT(H6,"0"),IPRESS!$A$3:$B$212,2,0),"")</f>
        <v/>
      </c>
      <c r="J6" s="337" t="inlineStr">
        <is>
          <t>4838</t>
        </is>
      </c>
      <c r="K6" s="332">
        <f>IFERROR(VLOOKUP(TEXT(O6,"0"),CONDUCTORES!$A$3:$G$100,7,0),"")</f>
        <v/>
      </c>
      <c r="L6" s="340" t="n">
        <v>17.95</v>
      </c>
      <c r="M6" s="340" t="n">
        <v>15</v>
      </c>
      <c r="N6" s="333">
        <f>IFERROR(IF(L6*M6=0,"",L6*M6),"")</f>
        <v/>
      </c>
      <c r="O6" s="280" t="n"/>
      <c r="P6" s="332">
        <f>IFERROR(VLOOKUP(TEXT(O6,"0"),CONDUCTORES!$A$3:$G$100,2,0),"")</f>
        <v/>
      </c>
      <c r="Q6" s="332">
        <f>IFERROR(VLOOKUP(TEXT(O6,"0"),CONDUCTORES!$A$3:$H$100,6,0),"")</f>
        <v/>
      </c>
      <c r="R6" s="341" t="inlineStr">
        <is>
          <t>ENTREGADO 23/05/2025</t>
        </is>
      </c>
      <c r="S6" s="338" t="inlineStr">
        <is>
          <t>K420</t>
        </is>
      </c>
      <c r="T6" s="337" t="n"/>
      <c r="U6" s="341" t="n"/>
      <c r="V6" s="337" t="n"/>
      <c r="W6" s="337" t="n"/>
      <c r="X6" s="337" t="n"/>
      <c r="Y6" s="280" t="n"/>
    </row>
    <row r="7" ht="15.75" customHeight="1" s="195">
      <c r="A7" s="337" t="n">
        <v>2</v>
      </c>
      <c r="B7" s="338" t="inlineStr">
        <is>
          <t>00000020</t>
        </is>
      </c>
      <c r="C7" s="337" t="inlineStr">
        <is>
          <t>REGION</t>
        </is>
      </c>
      <c r="D7" s="338" t="inlineStr">
        <is>
          <t>VASQUEZ DIAZ SARITA</t>
        </is>
      </c>
      <c r="E7" s="337" t="inlineStr">
        <is>
          <t>DNI</t>
        </is>
      </c>
      <c r="F7" s="337" t="inlineStr">
        <is>
          <t>48250682</t>
        </is>
      </c>
      <c r="G7" s="339" t="n">
        <v>45772</v>
      </c>
      <c r="H7" s="337" t="inlineStr">
        <is>
          <t>4937</t>
        </is>
      </c>
      <c r="I7" s="332">
        <f>IFERROR(VLOOKUP(TEXT(H7,"0"),IPRESS!$A$3:$B$212,2,0),"")</f>
        <v/>
      </c>
      <c r="J7" s="337" t="inlineStr">
        <is>
          <t>4932</t>
        </is>
      </c>
      <c r="K7" s="332">
        <f>IFERROR(VLOOKUP(TEXT(O7,"0"),CONDUCTORES!$A$3:$G$100,7,0),"")</f>
        <v/>
      </c>
      <c r="L7" s="340" t="n">
        <v>17.95</v>
      </c>
      <c r="M7" s="340" t="n">
        <v>5</v>
      </c>
      <c r="N7" s="333">
        <f>IFERROR(IF(L7*M7=0,"",L7*M7),"")</f>
        <v/>
      </c>
      <c r="O7" s="334" t="n"/>
      <c r="P7" s="332">
        <f>IFERROR(VLOOKUP(TEXT(O7,"0"),CONDUCTORES!$A$3:$G$100,2,0),"")</f>
        <v/>
      </c>
      <c r="Q7" s="332">
        <f>IFERROR(VLOOKUP(TEXT(O7,"0"),CONDUCTORES!$A$3:$H$100,6,0),"")</f>
        <v/>
      </c>
      <c r="R7" s="341" t="inlineStr">
        <is>
          <t>ENTREGADO 23/05/2025</t>
        </is>
      </c>
      <c r="S7" s="338" t="inlineStr">
        <is>
          <t>K920</t>
        </is>
      </c>
      <c r="T7" s="337" t="n"/>
      <c r="U7" s="341" t="n"/>
      <c r="V7" s="337" t="n"/>
      <c r="W7" s="337" t="n"/>
      <c r="X7" s="337" t="n"/>
      <c r="Y7" s="280" t="n"/>
    </row>
    <row r="8" ht="15.75" customHeight="1" s="195">
      <c r="A8" s="301" t="n">
        <v>3</v>
      </c>
      <c r="B8" s="302" t="inlineStr">
        <is>
          <t>00000017</t>
        </is>
      </c>
      <c r="C8" s="301" t="inlineStr">
        <is>
          <t>REGION</t>
        </is>
      </c>
      <c r="D8" s="302" t="inlineStr">
        <is>
          <t>PORTAL  OCAMPO FELIX ARISTEDES</t>
        </is>
      </c>
      <c r="E8" s="301" t="inlineStr">
        <is>
          <t>DNI</t>
        </is>
      </c>
      <c r="F8" s="301" t="inlineStr">
        <is>
          <t>33412455</t>
        </is>
      </c>
      <c r="G8" s="331" t="n">
        <v>45749</v>
      </c>
      <c r="H8" s="301" t="inlineStr">
        <is>
          <t>4858</t>
        </is>
      </c>
      <c r="I8" s="332">
        <f>IFERROR(VLOOKUP(TEXT(H8,"0"),IPRESS!$A$3:$B$212,2,0),"")</f>
        <v/>
      </c>
      <c r="J8" s="301" t="inlineStr">
        <is>
          <t>4838</t>
        </is>
      </c>
      <c r="K8" s="332">
        <f>IFERROR(VLOOKUP(TEXT(O8,"0"),CONDUCTORES!$A$3:$G$100,7,0),"")</f>
        <v/>
      </c>
      <c r="L8" s="245" t="n">
        <v>18.18</v>
      </c>
      <c r="M8" s="245" t="n">
        <v>15</v>
      </c>
      <c r="N8" s="333">
        <f>IFERROR(IF(L8*M8=0,"",L8*M8),"")</f>
        <v/>
      </c>
      <c r="O8" s="280" t="n"/>
      <c r="P8" s="332">
        <f>IFERROR(VLOOKUP(TEXT(O8,"0"),CONDUCTORES!$A$3:$G$100,2,0),"")</f>
        <v/>
      </c>
      <c r="Q8" s="332">
        <f>IFERROR(VLOOKUP(TEXT(O8,"0"),CONDUCTORES!$A$3:$H$100,6,0),"")</f>
        <v/>
      </c>
      <c r="R8" s="331" t="n">
        <v>45827</v>
      </c>
      <c r="S8" s="302" t="inlineStr">
        <is>
          <t>A419</t>
        </is>
      </c>
      <c r="T8" s="301" t="n"/>
      <c r="U8" s="334" t="n"/>
      <c r="V8" s="301" t="n"/>
      <c r="W8" s="301" t="n"/>
      <c r="X8" s="301" t="n"/>
      <c r="Y8" s="280" t="n"/>
    </row>
    <row r="9" ht="15.75" customHeight="1" s="195">
      <c r="A9" s="241" t="n">
        <v>4</v>
      </c>
      <c r="B9" s="305" t="inlineStr">
        <is>
          <t>00000017</t>
        </is>
      </c>
      <c r="C9" s="241" t="inlineStr">
        <is>
          <t>REGION</t>
        </is>
      </c>
      <c r="D9" s="305" t="inlineStr">
        <is>
          <t>MONSALVE ROJAS ROSMERY</t>
        </is>
      </c>
      <c r="E9" s="241" t="inlineStr">
        <is>
          <t>DNI</t>
        </is>
      </c>
      <c r="F9" s="241" t="inlineStr">
        <is>
          <t>76748949</t>
        </is>
      </c>
      <c r="G9" s="336" t="n">
        <v>45748</v>
      </c>
      <c r="H9" s="241" t="inlineStr">
        <is>
          <t>4874</t>
        </is>
      </c>
      <c r="I9" s="332">
        <f>IFERROR(VLOOKUP(TEXT(H9,"0"),IPRESS!$A$3:$B$212,2,0),"")</f>
        <v/>
      </c>
      <c r="J9" s="241" t="inlineStr">
        <is>
          <t>4838</t>
        </is>
      </c>
      <c r="K9" s="332">
        <f>IFERROR(VLOOKUP(TEXT(O9,"0"),CONDUCTORES!$A$3:$G$100,7,0),"")</f>
        <v/>
      </c>
      <c r="L9" s="239" t="n">
        <v>18.18</v>
      </c>
      <c r="M9" s="239" t="n">
        <v>22</v>
      </c>
      <c r="N9" s="333">
        <f>IFERROR(IF(L9*M9=0,"",L9*M9),"")</f>
        <v/>
      </c>
      <c r="O9" s="334" t="n"/>
      <c r="P9" s="332">
        <f>IFERROR(VLOOKUP(TEXT(O9,"0"),CONDUCTORES!$A$3:$G$100,2,0),"")</f>
        <v/>
      </c>
      <c r="Q9" s="332">
        <f>IFERROR(VLOOKUP(TEXT(O9,"0"),CONDUCTORES!$A$3:$H$100,6,0),"")</f>
        <v/>
      </c>
      <c r="R9" s="336" t="n">
        <v>45792</v>
      </c>
      <c r="S9" s="305" t="inlineStr">
        <is>
          <t>W140,S069,H570</t>
        </is>
      </c>
      <c r="T9" s="241" t="n"/>
      <c r="U9" s="280" t="n"/>
      <c r="V9" s="241" t="inlineStr">
        <is>
          <t>OFICIO N°2021-2025</t>
        </is>
      </c>
      <c r="W9" s="241" t="inlineStr">
        <is>
          <t>0000108- ADENDA N°001-2025 DRSA/OEA-O.ABAST</t>
        </is>
      </c>
      <c r="X9" s="241" t="inlineStr">
        <is>
          <t>256.0</t>
        </is>
      </c>
      <c r="Y9" s="280" t="n"/>
    </row>
    <row r="10" ht="15.75" customHeight="1" s="195">
      <c r="A10" s="301" t="n">
        <v>5</v>
      </c>
      <c r="B10" s="302" t="inlineStr">
        <is>
          <t>00000018</t>
        </is>
      </c>
      <c r="C10" s="301" t="inlineStr">
        <is>
          <t>REGION</t>
        </is>
      </c>
      <c r="D10" s="302" t="inlineStr">
        <is>
          <t>RODRIGUEZ SALAZAR FLORENCIA</t>
        </is>
      </c>
      <c r="E10" s="301" t="inlineStr">
        <is>
          <t>DNI</t>
        </is>
      </c>
      <c r="F10" s="301" t="inlineStr">
        <is>
          <t>44100766</t>
        </is>
      </c>
      <c r="G10" s="331" t="n">
        <v>45756</v>
      </c>
      <c r="H10" s="301" t="inlineStr">
        <is>
          <t>4874</t>
        </is>
      </c>
      <c r="I10" s="332">
        <f>IFERROR(VLOOKUP(TEXT(H10,"0"),IPRESS!$A$3:$B$212,2,0),"")</f>
        <v/>
      </c>
      <c r="J10" s="301" t="inlineStr">
        <is>
          <t>5125</t>
        </is>
      </c>
      <c r="K10" s="332">
        <f>IFERROR(VLOOKUP(TEXT(O10,"0"),CONDUCTORES!$A$3:$G$100,7,0),"")</f>
        <v/>
      </c>
      <c r="L10" s="245" t="n">
        <v>18.18</v>
      </c>
      <c r="M10" s="245" t="n">
        <v>20</v>
      </c>
      <c r="N10" s="333">
        <f>IFERROR(IF(L10*M10=0,"",L10*M10),"")</f>
        <v/>
      </c>
      <c r="O10" s="280" t="n"/>
      <c r="P10" s="332">
        <f>IFERROR(VLOOKUP(TEXT(O10,"0"),CONDUCTORES!$A$3:$G$100,2,0),"")</f>
        <v/>
      </c>
      <c r="Q10" s="332">
        <f>IFERROR(VLOOKUP(TEXT(O10,"0"),CONDUCTORES!$A$3:$H$100,6,0),"")</f>
        <v/>
      </c>
      <c r="R10" s="331" t="n">
        <v>45792</v>
      </c>
      <c r="S10" s="302" t="inlineStr">
        <is>
          <t>Z359,O688</t>
        </is>
      </c>
      <c r="T10" s="301" t="n"/>
      <c r="U10" s="334" t="n"/>
      <c r="V10" s="301" t="inlineStr">
        <is>
          <t>OFICIO N°2021-2025</t>
        </is>
      </c>
      <c r="W10" s="301" t="inlineStr">
        <is>
          <t>0000108- ADENDA N°001-2025 DRSA/OEA-O.ABAST</t>
        </is>
      </c>
      <c r="X10" s="301" t="inlineStr">
        <is>
          <t>256.0</t>
        </is>
      </c>
      <c r="Y10" s="280" t="n"/>
    </row>
    <row r="11" ht="15.75" customHeight="1" s="195">
      <c r="A11" s="241" t="n">
        <v>6</v>
      </c>
      <c r="B11" s="305" t="inlineStr">
        <is>
          <t>00000019</t>
        </is>
      </c>
      <c r="C11" s="241" t="inlineStr">
        <is>
          <t>REGION</t>
        </is>
      </c>
      <c r="D11" s="305" t="inlineStr">
        <is>
          <t>AGUILAR FERNANDEZ MARIA ESTHER</t>
        </is>
      </c>
      <c r="E11" s="241" t="inlineStr">
        <is>
          <t>DNI</t>
        </is>
      </c>
      <c r="F11" s="241" t="inlineStr">
        <is>
          <t>44387031</t>
        </is>
      </c>
      <c r="G11" s="336" t="n">
        <v>45760</v>
      </c>
      <c r="H11" s="241" t="inlineStr">
        <is>
          <t>4874</t>
        </is>
      </c>
      <c r="I11" s="332">
        <f>IFERROR(VLOOKUP(TEXT(H11,"0"),IPRESS!$A$3:$B$212,2,0),"")</f>
        <v/>
      </c>
      <c r="J11" s="241" t="inlineStr">
        <is>
          <t>4838</t>
        </is>
      </c>
      <c r="K11" s="332">
        <f>IFERROR(VLOOKUP(TEXT(O11,"0"),CONDUCTORES!$A$3:$G$100,7,0),"")</f>
        <v/>
      </c>
      <c r="L11" s="239" t="n">
        <v>18.18</v>
      </c>
      <c r="M11" s="239" t="n">
        <v>23</v>
      </c>
      <c r="N11" s="333">
        <f>IFERROR(IF(L11*M11=0,"",L11*M11),"")</f>
        <v/>
      </c>
      <c r="O11" s="334" t="n"/>
      <c r="P11" s="332">
        <f>IFERROR(VLOOKUP(TEXT(O11,"0"),CONDUCTORES!$A$3:$G$100,2,0),"")</f>
        <v/>
      </c>
      <c r="Q11" s="332">
        <f>IFERROR(VLOOKUP(TEXT(O11,"0"),CONDUCTORES!$A$3:$H$100,6,0),"")</f>
        <v/>
      </c>
      <c r="R11" s="336" t="n">
        <v>45792</v>
      </c>
      <c r="S11" s="305" t="inlineStr">
        <is>
          <t>N939,C539,D630</t>
        </is>
      </c>
      <c r="T11" s="241" t="n"/>
      <c r="U11" s="280" t="n"/>
      <c r="V11" s="241" t="inlineStr">
        <is>
          <t>OFICIO N°2021-2025</t>
        </is>
      </c>
      <c r="W11" s="241" t="inlineStr">
        <is>
          <t>0000108- ADENDA N°001-2025 DRSA/OEA-O.ABAST</t>
        </is>
      </c>
      <c r="X11" s="241" t="inlineStr">
        <is>
          <t>256.0</t>
        </is>
      </c>
      <c r="Y11" s="280" t="n"/>
    </row>
    <row r="12" ht="15.75" customHeight="1" s="195">
      <c r="A12" s="301" t="n">
        <v>7</v>
      </c>
      <c r="B12" s="302" t="inlineStr">
        <is>
          <t>00000007</t>
        </is>
      </c>
      <c r="C12" s="301" t="inlineStr">
        <is>
          <t>REGION</t>
        </is>
      </c>
      <c r="D12" s="302" t="inlineStr">
        <is>
          <t>RODRIGUEZ VASQUEZ LIAN MATEO</t>
        </is>
      </c>
      <c r="E12" s="301" t="inlineStr">
        <is>
          <t>DNI</t>
        </is>
      </c>
      <c r="F12" s="301" t="inlineStr">
        <is>
          <t>93249768</t>
        </is>
      </c>
      <c r="G12" s="331" t="n">
        <v>45769</v>
      </c>
      <c r="H12" s="301" t="inlineStr">
        <is>
          <t>4874</t>
        </is>
      </c>
      <c r="I12" s="332">
        <f>IFERROR(VLOOKUP(TEXT(H12,"0"),IPRESS!$A$3:$B$212,2,0),"")</f>
        <v/>
      </c>
      <c r="J12" s="301" t="inlineStr">
        <is>
          <t>4838</t>
        </is>
      </c>
      <c r="K12" s="332">
        <f>IFERROR(VLOOKUP(TEXT(O12,"0"),CONDUCTORES!$A$3:$G$100,7,0),"")</f>
        <v/>
      </c>
      <c r="L12" s="245" t="n">
        <v>18.18</v>
      </c>
      <c r="M12" s="245" t="n">
        <v>25</v>
      </c>
      <c r="N12" s="333">
        <f>IFERROR(IF(L12*M12=0,"",L12*M12),"")</f>
        <v/>
      </c>
      <c r="O12" s="280" t="n"/>
      <c r="P12" s="332">
        <f>IFERROR(VLOOKUP(TEXT(O12,"0"),CONDUCTORES!$A$3:$G$100,2,0),"")</f>
        <v/>
      </c>
      <c r="Q12" s="332">
        <f>IFERROR(VLOOKUP(TEXT(O12,"0"),CONDUCTORES!$A$3:$H$100,6,0),"")</f>
        <v/>
      </c>
      <c r="R12" s="331" t="n">
        <v>45792</v>
      </c>
      <c r="S12" s="302" t="inlineStr">
        <is>
          <t>T019,S069,S730</t>
        </is>
      </c>
      <c r="T12" s="301" t="n"/>
      <c r="U12" s="334" t="n"/>
      <c r="V12" s="301" t="inlineStr">
        <is>
          <t>OFICIO N°2021-2025</t>
        </is>
      </c>
      <c r="W12" s="301" t="inlineStr">
        <is>
          <t>0000108- ADENDA N°001-2025 DRSA/OEA-O.ABAST</t>
        </is>
      </c>
      <c r="X12" s="301" t="inlineStr">
        <is>
          <t>256.0</t>
        </is>
      </c>
      <c r="Y12" s="280" t="n"/>
    </row>
    <row r="13" ht="15.75" customHeight="1" s="195">
      <c r="A13" s="241" t="n">
        <v>8</v>
      </c>
      <c r="B13" s="305" t="inlineStr">
        <is>
          <t>00000020</t>
        </is>
      </c>
      <c r="C13" s="241" t="inlineStr">
        <is>
          <t>REGION</t>
        </is>
      </c>
      <c r="D13" s="305" t="inlineStr">
        <is>
          <t>ALVA SALDAÑA EVELYN MILETH</t>
        </is>
      </c>
      <c r="E13" s="241" t="inlineStr">
        <is>
          <t>DNI</t>
        </is>
      </c>
      <c r="F13" s="241" t="inlineStr">
        <is>
          <t>90330482</t>
        </is>
      </c>
      <c r="G13" s="336" t="n">
        <v>45749</v>
      </c>
      <c r="H13" s="241" t="inlineStr">
        <is>
          <t>4874</t>
        </is>
      </c>
      <c r="I13" s="332">
        <f>IFERROR(VLOOKUP(TEXT(H13,"0"),IPRESS!$A$3:$B$212,2,0),"")</f>
        <v/>
      </c>
      <c r="J13" s="241" t="inlineStr">
        <is>
          <t>4838</t>
        </is>
      </c>
      <c r="K13" s="332">
        <f>IFERROR(VLOOKUP(TEXT(O13,"0"),CONDUCTORES!$A$3:$G$100,7,0),"")</f>
        <v/>
      </c>
      <c r="L13" s="239" t="n">
        <v>18.18</v>
      </c>
      <c r="M13" s="239" t="n">
        <v>20</v>
      </c>
      <c r="N13" s="333">
        <f>IFERROR(IF(L13*M13=0,"",L13*M13),"")</f>
        <v/>
      </c>
      <c r="O13" s="334" t="n"/>
      <c r="P13" s="332">
        <f>IFERROR(VLOOKUP(TEXT(O13,"0"),CONDUCTORES!$A$3:$G$100,2,0),"")</f>
        <v/>
      </c>
      <c r="Q13" s="332">
        <f>IFERROR(VLOOKUP(TEXT(O13,"0"),CONDUCTORES!$A$3:$H$100,6,0),"")</f>
        <v/>
      </c>
      <c r="R13" s="336" t="n">
        <v>45828</v>
      </c>
      <c r="S13" s="305" t="inlineStr">
        <is>
          <t>R103,K359</t>
        </is>
      </c>
      <c r="T13" s="241" t="n"/>
      <c r="U13" s="280" t="n"/>
      <c r="V13" s="241" t="n"/>
      <c r="W13" s="241" t="n"/>
      <c r="X13" s="241" t="n"/>
      <c r="Y13" s="280" t="n"/>
    </row>
    <row r="14" ht="15.75" customHeight="1" s="195">
      <c r="A14" s="301" t="n">
        <v>9</v>
      </c>
      <c r="B14" s="302" t="inlineStr">
        <is>
          <t>00000008</t>
        </is>
      </c>
      <c r="C14" s="301" t="inlineStr">
        <is>
          <t>REGION</t>
        </is>
      </c>
      <c r="D14" s="302" t="inlineStr">
        <is>
          <t>VASQUEZ SALCEDO AIDELI MAGALY</t>
        </is>
      </c>
      <c r="E14" s="301" t="inlineStr">
        <is>
          <t>DNI</t>
        </is>
      </c>
      <c r="F14" s="301" t="inlineStr">
        <is>
          <t>62146375</t>
        </is>
      </c>
      <c r="G14" s="331" t="n">
        <v>45766</v>
      </c>
      <c r="H14" s="301" t="inlineStr">
        <is>
          <t>4874</t>
        </is>
      </c>
      <c r="I14" s="332">
        <f>IFERROR(VLOOKUP(TEXT(H14,"0"),IPRESS!$A$3:$B$212,2,0),"")</f>
        <v/>
      </c>
      <c r="J14" s="301" t="inlineStr">
        <is>
          <t>4838</t>
        </is>
      </c>
      <c r="K14" s="332">
        <f>IFERROR(VLOOKUP(TEXT(O14,"0"),CONDUCTORES!$A$3:$G$100,7,0),"")</f>
        <v/>
      </c>
      <c r="L14" s="245" t="n">
        <v>18.18</v>
      </c>
      <c r="M14" s="245" t="n">
        <v>30</v>
      </c>
      <c r="N14" s="333">
        <f>IFERROR(IF(L14*M14=0,"",L14*M14),"")</f>
        <v/>
      </c>
      <c r="O14" s="280" t="n"/>
      <c r="P14" s="332">
        <f>IFERROR(VLOOKUP(TEXT(O14,"0"),CONDUCTORES!$A$3:$G$100,2,0),"")</f>
        <v/>
      </c>
      <c r="Q14" s="332">
        <f>IFERROR(VLOOKUP(TEXT(O14,"0"),CONDUCTORES!$A$3:$H$100,6,0),"")</f>
        <v/>
      </c>
      <c r="R14" s="331" t="n">
        <v>45828</v>
      </c>
      <c r="S14" s="302" t="inlineStr">
        <is>
          <t>K291,K250,K922</t>
        </is>
      </c>
      <c r="T14" s="301" t="n"/>
      <c r="U14" s="334" t="n"/>
      <c r="V14" s="301" t="n"/>
      <c r="W14" s="301" t="n"/>
      <c r="X14" s="301" t="n"/>
      <c r="Y14" s="280" t="n"/>
    </row>
    <row r="15" ht="15.75" customHeight="1" s="195">
      <c r="A15" s="241" t="n">
        <v>10</v>
      </c>
      <c r="B15" s="305" t="inlineStr">
        <is>
          <t>00000024</t>
        </is>
      </c>
      <c r="C15" s="241" t="inlineStr">
        <is>
          <t>REGION</t>
        </is>
      </c>
      <c r="D15" s="305" t="inlineStr">
        <is>
          <t>VISALOT CHUQUIPIONDOLUZDINA</t>
        </is>
      </c>
      <c r="E15" s="241" t="inlineStr">
        <is>
          <t>DNI</t>
        </is>
      </c>
      <c r="F15" s="241" t="inlineStr">
        <is>
          <t>73532265</t>
        </is>
      </c>
      <c r="G15" s="336" t="n">
        <v>45777</v>
      </c>
      <c r="H15" s="241" t="inlineStr">
        <is>
          <t>4895</t>
        </is>
      </c>
      <c r="I15" s="332">
        <f>IFERROR(VLOOKUP(TEXT(H15,"0"),IPRESS!$A$3:$B$212,2,0),"")</f>
        <v/>
      </c>
      <c r="J15" s="241" t="inlineStr">
        <is>
          <t>4838</t>
        </is>
      </c>
      <c r="K15" s="332">
        <f>IFERROR(VLOOKUP(TEXT(O15,"0"),CONDUCTORES!$A$3:$G$100,7,0),"")</f>
        <v/>
      </c>
      <c r="L15" s="239" t="n">
        <v>18.18</v>
      </c>
      <c r="M15" s="239" t="n">
        <v>7</v>
      </c>
      <c r="N15" s="333">
        <f>IFERROR(IF(L15*M15=0,"",L15*M15),"")</f>
        <v/>
      </c>
      <c r="O15" s="334" t="n"/>
      <c r="P15" s="332">
        <f>IFERROR(VLOOKUP(TEXT(O15,"0"),CONDUCTORES!$A$3:$G$100,2,0),"")</f>
        <v/>
      </c>
      <c r="Q15" s="332">
        <f>IFERROR(VLOOKUP(TEXT(O15,"0"),CONDUCTORES!$A$3:$H$100,6,0),"")</f>
        <v/>
      </c>
      <c r="R15" s="336" t="n">
        <v>45828</v>
      </c>
      <c r="S15" s="305" t="inlineStr">
        <is>
          <t>O268</t>
        </is>
      </c>
      <c r="T15" s="241" t="n"/>
      <c r="U15" s="280" t="n"/>
      <c r="V15" s="241" t="n"/>
      <c r="W15" s="241" t="n"/>
      <c r="X15" s="241" t="n"/>
      <c r="Y15" s="280" t="n"/>
    </row>
    <row r="16" ht="15.75" customHeight="1" s="195">
      <c r="A16" s="301" t="n">
        <v>11</v>
      </c>
      <c r="B16" s="302" t="inlineStr">
        <is>
          <t>00000024</t>
        </is>
      </c>
      <c r="C16" s="301" t="inlineStr">
        <is>
          <t>REGION</t>
        </is>
      </c>
      <c r="D16" s="302" t="inlineStr">
        <is>
          <t>GUEVARA SAUCEDO KARIN YESENIA</t>
        </is>
      </c>
      <c r="E16" s="301" t="inlineStr">
        <is>
          <t>DNI</t>
        </is>
      </c>
      <c r="F16" s="301" t="inlineStr">
        <is>
          <t>71803936</t>
        </is>
      </c>
      <c r="G16" s="331" t="n">
        <v>45758</v>
      </c>
      <c r="H16" s="301" t="inlineStr">
        <is>
          <t>4843</t>
        </is>
      </c>
      <c r="I16" s="332">
        <f>IFERROR(VLOOKUP(TEXT(H16,"0"),IPRESS!$A$3:$B$212,2,0),"")</f>
        <v/>
      </c>
      <c r="J16" s="301" t="inlineStr">
        <is>
          <t>4838</t>
        </is>
      </c>
      <c r="K16" s="332">
        <f>IFERROR(VLOOKUP(TEXT(O16,"0"),CONDUCTORES!$A$3:$G$100,7,0),"")</f>
        <v/>
      </c>
      <c r="L16" s="245" t="n">
        <v>18.18</v>
      </c>
      <c r="M16" s="245" t="n">
        <v>20</v>
      </c>
      <c r="N16" s="333">
        <f>IFERROR(IF(L16*M16=0,"",L16*M16),"")</f>
        <v/>
      </c>
      <c r="O16" s="280" t="n"/>
      <c r="P16" s="332">
        <f>IFERROR(VLOOKUP(TEXT(O16,"0"),CONDUCTORES!$A$3:$G$100,2,0),"")</f>
        <v/>
      </c>
      <c r="Q16" s="332">
        <f>IFERROR(VLOOKUP(TEXT(O16,"0"),CONDUCTORES!$A$3:$H$100,6,0),"")</f>
        <v/>
      </c>
      <c r="R16" s="334" t="inlineStr">
        <is>
          <t>ATENDIDO 18/06/2025</t>
        </is>
      </c>
      <c r="S16" s="302" t="inlineStr">
        <is>
          <t>K869</t>
        </is>
      </c>
      <c r="T16" s="301" t="n"/>
      <c r="U16" s="334" t="n"/>
      <c r="V16" s="301" t="n"/>
      <c r="W16" s="301" t="n"/>
      <c r="X16" s="301" t="n"/>
      <c r="Y16" s="280" t="n"/>
    </row>
    <row r="17" ht="15.75" customHeight="1" s="195">
      <c r="A17" s="241" t="n">
        <v>12</v>
      </c>
      <c r="B17" s="305" t="inlineStr">
        <is>
          <t>00000026</t>
        </is>
      </c>
      <c r="C17" s="241" t="inlineStr">
        <is>
          <t>REGION</t>
        </is>
      </c>
      <c r="D17" s="305" t="inlineStr">
        <is>
          <t>GUEVARA RUIZ JENNY</t>
        </is>
      </c>
      <c r="E17" s="241" t="inlineStr">
        <is>
          <t>DNI</t>
        </is>
      </c>
      <c r="F17" s="241" t="inlineStr">
        <is>
          <t>74359307</t>
        </is>
      </c>
      <c r="G17" s="336" t="n">
        <v>45776</v>
      </c>
      <c r="H17" s="241" t="inlineStr">
        <is>
          <t>4843</t>
        </is>
      </c>
      <c r="I17" s="332">
        <f>IFERROR(VLOOKUP(TEXT(H17,"0"),IPRESS!$A$3:$B$212,2,0),"")</f>
        <v/>
      </c>
      <c r="J17" s="241" t="inlineStr">
        <is>
          <t>4838</t>
        </is>
      </c>
      <c r="K17" s="332">
        <f>IFERROR(VLOOKUP(TEXT(O17,"0"),CONDUCTORES!$A$3:$G$100,7,0),"")</f>
        <v/>
      </c>
      <c r="L17" s="239" t="n">
        <v>18.18</v>
      </c>
      <c r="M17" s="239" t="n">
        <v>20</v>
      </c>
      <c r="N17" s="333">
        <f>IFERROR(IF(L17*M17=0,"",L17*M17),"")</f>
        <v/>
      </c>
      <c r="O17" s="334" t="n"/>
      <c r="P17" s="332">
        <f>IFERROR(VLOOKUP(TEXT(O17,"0"),CONDUCTORES!$A$3:$G$100,2,0),"")</f>
        <v/>
      </c>
      <c r="Q17" s="332">
        <f>IFERROR(VLOOKUP(TEXT(O17,"0"),CONDUCTORES!$A$3:$H$100,6,0),"")</f>
        <v/>
      </c>
      <c r="R17" s="280" t="inlineStr">
        <is>
          <t>ATENDIDO 18/06/2025</t>
        </is>
      </c>
      <c r="S17" s="305" t="inlineStr">
        <is>
          <t>O322,P059</t>
        </is>
      </c>
      <c r="T17" s="241" t="n"/>
      <c r="U17" s="280" t="n"/>
      <c r="V17" s="241" t="n"/>
      <c r="W17" s="241" t="n"/>
      <c r="X17" s="241" t="n"/>
      <c r="Y17" s="280" t="n"/>
    </row>
    <row r="18" ht="15.75" customHeight="1" s="195">
      <c r="A18" s="337" t="n">
        <v>13</v>
      </c>
      <c r="B18" s="338" t="inlineStr">
        <is>
          <t>00000025</t>
        </is>
      </c>
      <c r="C18" s="337" t="inlineStr">
        <is>
          <t>REGION</t>
        </is>
      </c>
      <c r="D18" s="338" t="inlineStr">
        <is>
          <t>LOPEZ GUADALUPE NARDY FIORELA</t>
        </is>
      </c>
      <c r="E18" s="337" t="inlineStr">
        <is>
          <t>DNI</t>
        </is>
      </c>
      <c r="F18" s="337" t="inlineStr">
        <is>
          <t>79521364</t>
        </is>
      </c>
      <c r="G18" s="339" t="n">
        <v>45768</v>
      </c>
      <c r="H18" s="337" t="inlineStr">
        <is>
          <t>4843</t>
        </is>
      </c>
      <c r="I18" s="332">
        <f>IFERROR(VLOOKUP(TEXT(H18,"0"),IPRESS!$A$3:$B$212,2,0),"")</f>
        <v/>
      </c>
      <c r="J18" s="337" t="inlineStr">
        <is>
          <t>4838</t>
        </is>
      </c>
      <c r="K18" s="332">
        <f>IFERROR(VLOOKUP(TEXT(O18,"0"),CONDUCTORES!$A$3:$G$100,7,0),"")</f>
        <v/>
      </c>
      <c r="L18" s="340" t="n">
        <v>17.95</v>
      </c>
      <c r="M18" s="340" t="n">
        <v>30</v>
      </c>
      <c r="N18" s="333">
        <f>IFERROR(IF(L18*M18=0,"",L18*M18),"")</f>
        <v/>
      </c>
      <c r="O18" s="280" t="n"/>
      <c r="P18" s="332">
        <f>IFERROR(VLOOKUP(TEXT(O18,"0"),CONDUCTORES!$A$3:$G$100,2,0),"")</f>
        <v/>
      </c>
      <c r="Q18" s="332">
        <f>IFERROR(VLOOKUP(TEXT(O18,"0"),CONDUCTORES!$A$3:$H$100,6,0),"")</f>
        <v/>
      </c>
      <c r="R18" s="339" t="n">
        <v>45825</v>
      </c>
      <c r="S18" s="338" t="inlineStr">
        <is>
          <t>D610</t>
        </is>
      </c>
      <c r="T18" s="337" t="inlineStr">
        <is>
          <t>DEVOLUCION COMBUSTIBLE CAMIONETA C.S. OCALLI SEGUN INFORME N°021-2025</t>
        </is>
      </c>
      <c r="U18" s="341" t="n"/>
      <c r="V18" s="337" t="n"/>
      <c r="W18" s="337" t="n"/>
      <c r="X18" s="337" t="n"/>
      <c r="Y18" s="280" t="n"/>
    </row>
    <row r="19" ht="15.75" customHeight="1" s="195">
      <c r="A19" s="241" t="n">
        <v>14</v>
      </c>
      <c r="B19" s="305" t="inlineStr">
        <is>
          <t>00000013</t>
        </is>
      </c>
      <c r="C19" s="241" t="inlineStr">
        <is>
          <t>REGION</t>
        </is>
      </c>
      <c r="D19" s="305" t="inlineStr">
        <is>
          <t>LLATAS DELGADO ROBERTINA</t>
        </is>
      </c>
      <c r="E19" s="241" t="inlineStr">
        <is>
          <t>DNI</t>
        </is>
      </c>
      <c r="F19" s="241" t="inlineStr">
        <is>
          <t>48763700</t>
        </is>
      </c>
      <c r="G19" s="336" t="n">
        <v>45772</v>
      </c>
      <c r="H19" s="241" t="inlineStr">
        <is>
          <t>4916</t>
        </is>
      </c>
      <c r="I19" s="332">
        <f>IFERROR(VLOOKUP(TEXT(H19,"0"),IPRESS!$A$3:$B$212,2,0),"")</f>
        <v/>
      </c>
      <c r="J19" s="241" t="inlineStr">
        <is>
          <t>4838</t>
        </is>
      </c>
      <c r="K19" s="332">
        <f>IFERROR(VLOOKUP(TEXT(O19,"0"),CONDUCTORES!$A$3:$G$100,7,0),"")</f>
        <v/>
      </c>
      <c r="L19" s="239" t="n">
        <v>18.18</v>
      </c>
      <c r="M19" s="239" t="n">
        <v>12</v>
      </c>
      <c r="N19" s="333">
        <f>IFERROR(IF(L19*M19=0,"",L19*M19),"")</f>
        <v/>
      </c>
      <c r="O19" s="334" t="n"/>
      <c r="P19" s="332">
        <f>IFERROR(VLOOKUP(TEXT(O19,"0"),CONDUCTORES!$A$3:$G$100,2,0),"")</f>
        <v/>
      </c>
      <c r="Q19" s="332">
        <f>IFERROR(VLOOKUP(TEXT(O19,"0"),CONDUCTORES!$A$3:$H$100,6,0),"")</f>
        <v/>
      </c>
      <c r="R19" s="336" t="n">
        <v>45828</v>
      </c>
      <c r="S19" s="305" t="inlineStr">
        <is>
          <t>K810,J960</t>
        </is>
      </c>
      <c r="T19" s="241" t="n"/>
      <c r="U19" s="280" t="n"/>
      <c r="V19" s="241" t="n"/>
      <c r="W19" s="241" t="n"/>
      <c r="X19" s="241" t="n"/>
      <c r="Y19" s="280" t="n"/>
    </row>
    <row r="20" ht="15.75" customHeight="1" s="195">
      <c r="A20" s="301" t="n">
        <v>15</v>
      </c>
      <c r="B20" s="302" t="inlineStr">
        <is>
          <t>00000074</t>
        </is>
      </c>
      <c r="C20" s="301" t="inlineStr">
        <is>
          <t>REGION</t>
        </is>
      </c>
      <c r="D20" s="302" t="inlineStr">
        <is>
          <t>VALQUE CHUQUIPIONDO REINA JUDITH</t>
        </is>
      </c>
      <c r="E20" s="301" t="inlineStr">
        <is>
          <t>DNI</t>
        </is>
      </c>
      <c r="F20" s="301" t="inlineStr">
        <is>
          <t>76954772</t>
        </is>
      </c>
      <c r="G20" s="331" t="n">
        <v>45748</v>
      </c>
      <c r="H20" s="301" t="inlineStr">
        <is>
          <t>4950</t>
        </is>
      </c>
      <c r="I20" s="332">
        <f>IFERROR(VLOOKUP(TEXT(H20,"0"),IPRESS!$A$3:$B$212,2,0),"")</f>
        <v/>
      </c>
      <c r="J20" s="301" t="inlineStr">
        <is>
          <t>4838</t>
        </is>
      </c>
      <c r="K20" s="332">
        <f>IFERROR(VLOOKUP(TEXT(O20,"0"),CONDUCTORES!$A$3:$G$100,7,0),"")</f>
        <v/>
      </c>
      <c r="L20" s="245" t="n">
        <v>20.25</v>
      </c>
      <c r="M20" s="245" t="n">
        <v>7</v>
      </c>
      <c r="N20" s="333">
        <f>IFERROR(IF(L20*M20=0,"",L20*M20),"")</f>
        <v/>
      </c>
      <c r="O20" s="280" t="n"/>
      <c r="P20" s="332">
        <f>IFERROR(VLOOKUP(TEXT(O20,"0"),CONDUCTORES!$A$3:$G$100,2,0),"")</f>
        <v/>
      </c>
      <c r="Q20" s="332">
        <f>IFERROR(VLOOKUP(TEXT(O20,"0"),CONDUCTORES!$A$3:$H$100,6,0),"")</f>
        <v/>
      </c>
      <c r="R20" s="334" t="inlineStr">
        <is>
          <t>ENTREGADO 17/06/2025</t>
        </is>
      </c>
      <c r="S20" s="302" t="inlineStr">
        <is>
          <t>O036,O990</t>
        </is>
      </c>
      <c r="T20" s="301" t="n"/>
      <c r="U20" s="334" t="n"/>
      <c r="V20" s="301" t="n"/>
      <c r="W20" s="301" t="inlineStr">
        <is>
          <t>3479.0</t>
        </is>
      </c>
      <c r="X20" s="301" t="inlineStr">
        <is>
          <t>189.0</t>
        </is>
      </c>
      <c r="Y20" s="280" t="n"/>
    </row>
    <row r="21" ht="15.75" customHeight="1" s="195">
      <c r="A21" s="241" t="n">
        <v>16</v>
      </c>
      <c r="B21" s="305" t="inlineStr">
        <is>
          <t>00000076</t>
        </is>
      </c>
      <c r="C21" s="241" t="inlineStr">
        <is>
          <t>REGION</t>
        </is>
      </c>
      <c r="D21" s="305" t="inlineStr">
        <is>
          <t>VIGIL DE GALVEZ EVA MARIA</t>
        </is>
      </c>
      <c r="E21" s="241" t="inlineStr">
        <is>
          <t>DNI</t>
        </is>
      </c>
      <c r="F21" s="241" t="inlineStr">
        <is>
          <t>33954440</t>
        </is>
      </c>
      <c r="G21" s="336" t="n">
        <v>45749</v>
      </c>
      <c r="H21" s="241" t="inlineStr">
        <is>
          <t>4950</t>
        </is>
      </c>
      <c r="I21" s="332">
        <f>IFERROR(VLOOKUP(TEXT(H21,"0"),IPRESS!$A$3:$B$212,2,0),"")</f>
        <v/>
      </c>
      <c r="J21" s="241" t="inlineStr">
        <is>
          <t>4838</t>
        </is>
      </c>
      <c r="K21" s="332">
        <f>IFERROR(VLOOKUP(TEXT(O21,"0"),CONDUCTORES!$A$3:$G$100,7,0),"")</f>
        <v/>
      </c>
      <c r="L21" s="239" t="n">
        <v>20.25</v>
      </c>
      <c r="M21" s="239" t="n">
        <v>7</v>
      </c>
      <c r="N21" s="333">
        <f>IFERROR(IF(L21*M21=0,"",L21*M21),"")</f>
        <v/>
      </c>
      <c r="O21" s="334" t="n"/>
      <c r="P21" s="332">
        <f>IFERROR(VLOOKUP(TEXT(O21,"0"),CONDUCTORES!$A$3:$G$100,2,0),"")</f>
        <v/>
      </c>
      <c r="Q21" s="332">
        <f>IFERROR(VLOOKUP(TEXT(O21,"0"),CONDUCTORES!$A$3:$H$100,6,0),"")</f>
        <v/>
      </c>
      <c r="R21" s="280" t="inlineStr">
        <is>
          <t>ENTREGADO 17/06/2025</t>
        </is>
      </c>
      <c r="S21" s="305" t="inlineStr">
        <is>
          <t>I500,J81X,J159,E162,N390</t>
        </is>
      </c>
      <c r="T21" s="241" t="n"/>
      <c r="U21" s="280" t="n"/>
      <c r="V21" s="241" t="n"/>
      <c r="W21" s="241" t="inlineStr">
        <is>
          <t>3479.0</t>
        </is>
      </c>
      <c r="X21" s="241" t="inlineStr">
        <is>
          <t>189.0</t>
        </is>
      </c>
      <c r="Y21" s="280" t="n"/>
    </row>
    <row r="22" ht="15.75" customHeight="1" s="195">
      <c r="A22" s="301" t="n">
        <v>17</v>
      </c>
      <c r="B22" s="302" t="inlineStr">
        <is>
          <t>00000077</t>
        </is>
      </c>
      <c r="C22" s="301" t="inlineStr">
        <is>
          <t>REGION</t>
        </is>
      </c>
      <c r="D22" s="302" t="inlineStr">
        <is>
          <t>ROJAS HUAMAN ELDER</t>
        </is>
      </c>
      <c r="E22" s="301" t="inlineStr">
        <is>
          <t>DNI</t>
        </is>
      </c>
      <c r="F22" s="301" t="inlineStr">
        <is>
          <t>43056535</t>
        </is>
      </c>
      <c r="G22" s="331" t="n">
        <v>45750</v>
      </c>
      <c r="H22" s="301" t="inlineStr">
        <is>
          <t>4950</t>
        </is>
      </c>
      <c r="I22" s="332">
        <f>IFERROR(VLOOKUP(TEXT(H22,"0"),IPRESS!$A$3:$B$212,2,0),"")</f>
        <v/>
      </c>
      <c r="J22" s="301" t="inlineStr">
        <is>
          <t>4838</t>
        </is>
      </c>
      <c r="K22" s="332">
        <f>IFERROR(VLOOKUP(TEXT(O22,"0"),CONDUCTORES!$A$3:$G$100,7,0),"")</f>
        <v/>
      </c>
      <c r="L22" s="245" t="n">
        <v>20.25</v>
      </c>
      <c r="M22" s="245" t="n">
        <v>7</v>
      </c>
      <c r="N22" s="333">
        <f>IFERROR(IF(L22*M22=0,"",L22*M22),"")</f>
        <v/>
      </c>
      <c r="O22" s="280" t="n"/>
      <c r="P22" s="332">
        <f>IFERROR(VLOOKUP(TEXT(O22,"0"),CONDUCTORES!$A$3:$G$100,2,0),"")</f>
        <v/>
      </c>
      <c r="Q22" s="332">
        <f>IFERROR(VLOOKUP(TEXT(O22,"0"),CONDUCTORES!$A$3:$H$100,6,0),"")</f>
        <v/>
      </c>
      <c r="R22" s="334" t="inlineStr">
        <is>
          <t>ENTREGADO 17/06/2025</t>
        </is>
      </c>
      <c r="S22" s="302" t="inlineStr">
        <is>
          <t>S819</t>
        </is>
      </c>
      <c r="T22" s="301" t="n"/>
      <c r="U22" s="334" t="n"/>
      <c r="V22" s="301" t="n"/>
      <c r="W22" s="301" t="inlineStr">
        <is>
          <t>3479.0</t>
        </is>
      </c>
      <c r="X22" s="301" t="inlineStr">
        <is>
          <t>189.0</t>
        </is>
      </c>
      <c r="Y22" s="280" t="n"/>
    </row>
    <row r="23" ht="15.75" customHeight="1" s="195">
      <c r="A23" s="241" t="n">
        <v>18</v>
      </c>
      <c r="B23" s="305" t="inlineStr">
        <is>
          <t>00000078</t>
        </is>
      </c>
      <c r="C23" s="241" t="inlineStr">
        <is>
          <t>REGION</t>
        </is>
      </c>
      <c r="D23" s="305" t="inlineStr">
        <is>
          <t>RUBIO SALAZAR ALEX JHUNIOR</t>
        </is>
      </c>
      <c r="E23" s="241" t="inlineStr">
        <is>
          <t>DNI</t>
        </is>
      </c>
      <c r="F23" s="241" t="inlineStr">
        <is>
          <t>82012605</t>
        </is>
      </c>
      <c r="G23" s="336" t="n">
        <v>45750</v>
      </c>
      <c r="H23" s="241" t="inlineStr">
        <is>
          <t>4950</t>
        </is>
      </c>
      <c r="I23" s="332">
        <f>IFERROR(VLOOKUP(TEXT(H23,"0"),IPRESS!$A$3:$B$212,2,0),"")</f>
        <v/>
      </c>
      <c r="J23" s="241" t="inlineStr">
        <is>
          <t>4838</t>
        </is>
      </c>
      <c r="K23" s="332">
        <f>IFERROR(VLOOKUP(TEXT(O23,"0"),CONDUCTORES!$A$3:$G$100,7,0),"")</f>
        <v/>
      </c>
      <c r="L23" s="239" t="n">
        <v>20.25</v>
      </c>
      <c r="M23" s="239" t="n">
        <v>7</v>
      </c>
      <c r="N23" s="333">
        <f>IFERROR(IF(L23*M23=0,"",L23*M23),"")</f>
        <v/>
      </c>
      <c r="O23" s="334" t="n"/>
      <c r="P23" s="332">
        <f>IFERROR(VLOOKUP(TEXT(O23,"0"),CONDUCTORES!$A$3:$G$100,2,0),"")</f>
        <v/>
      </c>
      <c r="Q23" s="332">
        <f>IFERROR(VLOOKUP(TEXT(O23,"0"),CONDUCTORES!$A$3:$H$100,6,0),"")</f>
        <v/>
      </c>
      <c r="R23" s="280" t="inlineStr">
        <is>
          <t>ENTREGADO 17/06/2025</t>
        </is>
      </c>
      <c r="S23" s="305" t="inlineStr">
        <is>
          <t>E86X,E46X,K560,N390,J960</t>
        </is>
      </c>
      <c r="T23" s="241" t="n"/>
      <c r="U23" s="280" t="n"/>
      <c r="V23" s="241" t="n"/>
      <c r="W23" s="241" t="inlineStr">
        <is>
          <t>3479.0</t>
        </is>
      </c>
      <c r="X23" s="241" t="inlineStr">
        <is>
          <t>189.0</t>
        </is>
      </c>
      <c r="Y23" s="280" t="n"/>
    </row>
    <row r="24" ht="15.75" customHeight="1" s="195">
      <c r="A24" s="301" t="n">
        <v>19</v>
      </c>
      <c r="B24" s="302" t="inlineStr">
        <is>
          <t>00000079</t>
        </is>
      </c>
      <c r="C24" s="301" t="inlineStr">
        <is>
          <t>REGION</t>
        </is>
      </c>
      <c r="D24" s="302" t="inlineStr">
        <is>
          <t>CASTRO FERNANDEZ ROSA MAGALY</t>
        </is>
      </c>
      <c r="E24" s="301" t="inlineStr">
        <is>
          <t>DNI</t>
        </is>
      </c>
      <c r="F24" s="301" t="inlineStr">
        <is>
          <t>73696686</t>
        </is>
      </c>
      <c r="G24" s="331" t="n">
        <v>45751</v>
      </c>
      <c r="H24" s="301" t="inlineStr">
        <is>
          <t>4950</t>
        </is>
      </c>
      <c r="I24" s="332">
        <f>IFERROR(VLOOKUP(TEXT(H24,"0"),IPRESS!$A$3:$B$212,2,0),"")</f>
        <v/>
      </c>
      <c r="J24" s="301" t="inlineStr">
        <is>
          <t>4838</t>
        </is>
      </c>
      <c r="K24" s="332">
        <f>IFERROR(VLOOKUP(TEXT(O24,"0"),CONDUCTORES!$A$3:$G$100,7,0),"")</f>
        <v/>
      </c>
      <c r="L24" s="245" t="n">
        <v>20.25</v>
      </c>
      <c r="M24" s="245" t="n">
        <v>7</v>
      </c>
      <c r="N24" s="333">
        <f>IFERROR(IF(L24*M24=0,"",L24*M24),"")</f>
        <v/>
      </c>
      <c r="O24" s="280" t="n"/>
      <c r="P24" s="332">
        <f>IFERROR(VLOOKUP(TEXT(O24,"0"),CONDUCTORES!$A$3:$G$100,2,0),"")</f>
        <v/>
      </c>
      <c r="Q24" s="332">
        <f>IFERROR(VLOOKUP(TEXT(O24,"0"),CONDUCTORES!$A$3:$H$100,6,0),"")</f>
        <v/>
      </c>
      <c r="R24" s="334" t="inlineStr">
        <is>
          <t>ENTREGADO 17/06/2025</t>
        </is>
      </c>
      <c r="S24" s="302" t="inlineStr">
        <is>
          <t>N390,A049,E103</t>
        </is>
      </c>
      <c r="T24" s="301" t="n"/>
      <c r="U24" s="334" t="n"/>
      <c r="V24" s="301" t="n"/>
      <c r="W24" s="301" t="inlineStr">
        <is>
          <t>3479.0</t>
        </is>
      </c>
      <c r="X24" s="301" t="inlineStr">
        <is>
          <t>189.0</t>
        </is>
      </c>
      <c r="Y24" s="280" t="n"/>
    </row>
    <row r="25" ht="15.75" customHeight="1" s="195">
      <c r="A25" s="241" t="n">
        <v>20</v>
      </c>
      <c r="B25" s="305" t="inlineStr">
        <is>
          <t>00000080</t>
        </is>
      </c>
      <c r="C25" s="241" t="inlineStr">
        <is>
          <t>REGION</t>
        </is>
      </c>
      <c r="D25" s="305" t="inlineStr">
        <is>
          <t>VASQUEZ VDA DE RAMIREZ CLEODESVINDA</t>
        </is>
      </c>
      <c r="E25" s="241" t="inlineStr">
        <is>
          <t>DNI</t>
        </is>
      </c>
      <c r="F25" s="241" t="inlineStr">
        <is>
          <t>33940109</t>
        </is>
      </c>
      <c r="G25" s="336" t="n">
        <v>45752</v>
      </c>
      <c r="H25" s="241" t="inlineStr">
        <is>
          <t>4950</t>
        </is>
      </c>
      <c r="I25" s="332">
        <f>IFERROR(VLOOKUP(TEXT(H25,"0"),IPRESS!$A$3:$B$212,2,0),"")</f>
        <v/>
      </c>
      <c r="J25" s="241" t="inlineStr">
        <is>
          <t>4838</t>
        </is>
      </c>
      <c r="K25" s="332">
        <f>IFERROR(VLOOKUP(TEXT(O25,"0"),CONDUCTORES!$A$3:$G$100,7,0),"")</f>
        <v/>
      </c>
      <c r="L25" s="239" t="n">
        <v>20.25</v>
      </c>
      <c r="M25" s="239" t="n">
        <v>7</v>
      </c>
      <c r="N25" s="333">
        <f>IFERROR(IF(L25*M25=0,"",L25*M25),"")</f>
        <v/>
      </c>
      <c r="O25" s="334" t="n"/>
      <c r="P25" s="332">
        <f>IFERROR(VLOOKUP(TEXT(O25,"0"),CONDUCTORES!$A$3:$G$100,2,0),"")</f>
        <v/>
      </c>
      <c r="Q25" s="332">
        <f>IFERROR(VLOOKUP(TEXT(O25,"0"),CONDUCTORES!$A$3:$H$100,6,0),"")</f>
        <v/>
      </c>
      <c r="R25" s="280" t="inlineStr">
        <is>
          <t>ENTREGADO 17/06/2025</t>
        </is>
      </c>
      <c r="S25" s="305" t="inlineStr">
        <is>
          <t>E117,I10X,N390</t>
        </is>
      </c>
      <c r="T25" s="241" t="n"/>
      <c r="U25" s="280" t="n"/>
      <c r="V25" s="241" t="n"/>
      <c r="W25" s="241" t="inlineStr">
        <is>
          <t>3479.0</t>
        </is>
      </c>
      <c r="X25" s="241" t="inlineStr">
        <is>
          <t>189.0</t>
        </is>
      </c>
      <c r="Y25" s="280" t="n"/>
    </row>
    <row r="26" ht="15.75" customHeight="1" s="195">
      <c r="A26" s="301" t="n">
        <v>21</v>
      </c>
      <c r="B26" s="302" t="inlineStr">
        <is>
          <t>00000081</t>
        </is>
      </c>
      <c r="C26" s="301" t="inlineStr">
        <is>
          <t>REGION</t>
        </is>
      </c>
      <c r="D26" s="302" t="inlineStr">
        <is>
          <t>VALGUI MARCELO CELINA</t>
        </is>
      </c>
      <c r="E26" s="301" t="inlineStr">
        <is>
          <t>DNI</t>
        </is>
      </c>
      <c r="F26" s="301" t="inlineStr">
        <is>
          <t>33807388</t>
        </is>
      </c>
      <c r="G26" s="331" t="n">
        <v>45753</v>
      </c>
      <c r="H26" s="301" t="inlineStr">
        <is>
          <t>4838</t>
        </is>
      </c>
      <c r="I26" s="332">
        <f>IFERROR(VLOOKUP(TEXT(H26,"0"),IPRESS!$A$3:$B$212,2,0),"")</f>
        <v/>
      </c>
      <c r="J26" s="301" t="inlineStr">
        <is>
          <t>4838</t>
        </is>
      </c>
      <c r="K26" s="332">
        <f>IFERROR(VLOOKUP(TEXT(O26,"0"),CONDUCTORES!$A$3:$G$100,7,0),"")</f>
        <v/>
      </c>
      <c r="L26" s="245" t="n">
        <v>20.25</v>
      </c>
      <c r="M26" s="245" t="n">
        <v>7</v>
      </c>
      <c r="N26" s="333">
        <f>IFERROR(IF(L26*M26=0,"",L26*M26),"")</f>
        <v/>
      </c>
      <c r="O26" s="280" t="n"/>
      <c r="P26" s="332">
        <f>IFERROR(VLOOKUP(TEXT(O26,"0"),CONDUCTORES!$A$3:$G$100,2,0),"")</f>
        <v/>
      </c>
      <c r="Q26" s="332">
        <f>IFERROR(VLOOKUP(TEXT(O26,"0"),CONDUCTORES!$A$3:$H$100,6,0),"")</f>
        <v/>
      </c>
      <c r="R26" s="334" t="inlineStr">
        <is>
          <t>ENTREGADO 17/06/2025</t>
        </is>
      </c>
      <c r="S26" s="302" t="inlineStr">
        <is>
          <t>A419,I959,R104</t>
        </is>
      </c>
      <c r="T26" s="301" t="n"/>
      <c r="U26" s="334" t="n"/>
      <c r="V26" s="301" t="n"/>
      <c r="W26" s="301" t="inlineStr">
        <is>
          <t>3479.0</t>
        </is>
      </c>
      <c r="X26" s="301" t="inlineStr">
        <is>
          <t>189.0</t>
        </is>
      </c>
      <c r="Y26" s="280" t="n"/>
    </row>
    <row r="27" ht="15.75" customHeight="1" s="195">
      <c r="A27" s="241" t="n">
        <v>22</v>
      </c>
      <c r="B27" s="305" t="inlineStr">
        <is>
          <t>00000082</t>
        </is>
      </c>
      <c r="C27" s="241" t="inlineStr">
        <is>
          <t>REGION</t>
        </is>
      </c>
      <c r="D27" s="305" t="inlineStr">
        <is>
          <t>PUERTA VASQUEZ SONIA JHUDITH</t>
        </is>
      </c>
      <c r="E27" s="241" t="inlineStr">
        <is>
          <t>DNI</t>
        </is>
      </c>
      <c r="F27" s="241" t="inlineStr">
        <is>
          <t>74431525</t>
        </is>
      </c>
      <c r="G27" s="336" t="n">
        <v>45753</v>
      </c>
      <c r="H27" s="241" t="inlineStr">
        <is>
          <t>4950</t>
        </is>
      </c>
      <c r="I27" s="332">
        <f>IFERROR(VLOOKUP(TEXT(H27,"0"),IPRESS!$A$3:$B$212,2,0),"")</f>
        <v/>
      </c>
      <c r="J27" s="241" t="inlineStr">
        <is>
          <t>4838</t>
        </is>
      </c>
      <c r="K27" s="332">
        <f>IFERROR(VLOOKUP(TEXT(O27,"0"),CONDUCTORES!$A$3:$G$100,7,0),"")</f>
        <v/>
      </c>
      <c r="L27" s="239" t="n">
        <v>20.25</v>
      </c>
      <c r="M27" s="239" t="n">
        <v>10</v>
      </c>
      <c r="N27" s="333">
        <f>IFERROR(IF(L27*M27=0,"",L27*M27),"")</f>
        <v/>
      </c>
      <c r="O27" s="334" t="n"/>
      <c r="P27" s="332">
        <f>IFERROR(VLOOKUP(TEXT(O27,"0"),CONDUCTORES!$A$3:$G$100,2,0),"")</f>
        <v/>
      </c>
      <c r="Q27" s="332">
        <f>IFERROR(VLOOKUP(TEXT(O27,"0"),CONDUCTORES!$A$3:$H$100,6,0),"")</f>
        <v/>
      </c>
      <c r="R27" s="280" t="inlineStr">
        <is>
          <t>ENTREGADO 17/06/2025</t>
        </is>
      </c>
      <c r="S27" s="305" t="inlineStr">
        <is>
          <t>K566</t>
        </is>
      </c>
      <c r="T27" s="241" t="n"/>
      <c r="U27" s="280" t="n"/>
      <c r="V27" s="241" t="n"/>
      <c r="W27" s="241" t="inlineStr">
        <is>
          <t>3479.0</t>
        </is>
      </c>
      <c r="X27" s="241" t="inlineStr">
        <is>
          <t>189.0</t>
        </is>
      </c>
      <c r="Y27" s="280" t="n"/>
    </row>
    <row r="28" ht="15.75" customHeight="1" s="195">
      <c r="A28" s="301" t="n">
        <v>23</v>
      </c>
      <c r="B28" s="302" t="inlineStr">
        <is>
          <t>00000083</t>
        </is>
      </c>
      <c r="C28" s="301" t="inlineStr">
        <is>
          <t>REGION</t>
        </is>
      </c>
      <c r="D28" s="302" t="inlineStr">
        <is>
          <t>HUAMAN CULQUI ELISA</t>
        </is>
      </c>
      <c r="E28" s="301" t="inlineStr">
        <is>
          <t>DNI</t>
        </is>
      </c>
      <c r="F28" s="301" t="inlineStr">
        <is>
          <t>75744093</t>
        </is>
      </c>
      <c r="G28" s="331" t="n">
        <v>45755</v>
      </c>
      <c r="H28" s="301" t="inlineStr">
        <is>
          <t>4950</t>
        </is>
      </c>
      <c r="I28" s="332">
        <f>IFERROR(VLOOKUP(TEXT(H28,"0"),IPRESS!$A$3:$B$212,2,0),"")</f>
        <v/>
      </c>
      <c r="J28" s="301" t="inlineStr">
        <is>
          <t>4838</t>
        </is>
      </c>
      <c r="K28" s="332">
        <f>IFERROR(VLOOKUP(TEXT(O28,"0"),CONDUCTORES!$A$3:$G$100,7,0),"")</f>
        <v/>
      </c>
      <c r="L28" s="245" t="n">
        <v>20.25</v>
      </c>
      <c r="M28" s="245" t="n">
        <v>7</v>
      </c>
      <c r="N28" s="333">
        <f>IFERROR(IF(L28*M28=0,"",L28*M28),"")</f>
        <v/>
      </c>
      <c r="O28" s="280" t="n"/>
      <c r="P28" s="332">
        <f>IFERROR(VLOOKUP(TEXT(O28,"0"),CONDUCTORES!$A$3:$G$100,2,0),"")</f>
        <v/>
      </c>
      <c r="Q28" s="332">
        <f>IFERROR(VLOOKUP(TEXT(O28,"0"),CONDUCTORES!$A$3:$H$100,6,0),"")</f>
        <v/>
      </c>
      <c r="R28" s="334" t="inlineStr">
        <is>
          <t>ENTREGADO 17/06/2025</t>
        </is>
      </c>
      <c r="S28" s="302" t="inlineStr">
        <is>
          <t>O368</t>
        </is>
      </c>
      <c r="T28" s="301" t="n"/>
      <c r="U28" s="334" t="n"/>
      <c r="V28" s="301" t="n"/>
      <c r="W28" s="301" t="inlineStr">
        <is>
          <t>3479.0</t>
        </is>
      </c>
      <c r="X28" s="301" t="inlineStr">
        <is>
          <t>189.0</t>
        </is>
      </c>
      <c r="Y28" s="280" t="n"/>
    </row>
    <row r="29" ht="15.75" customHeight="1" s="195">
      <c r="A29" s="241" t="n">
        <v>24</v>
      </c>
      <c r="B29" s="305" t="inlineStr">
        <is>
          <t>00000084</t>
        </is>
      </c>
      <c r="C29" s="241" t="inlineStr">
        <is>
          <t>REGION</t>
        </is>
      </c>
      <c r="D29" s="305" t="inlineStr">
        <is>
          <t>FERNANDEZ ROQUE NERLY</t>
        </is>
      </c>
      <c r="E29" s="241" t="inlineStr">
        <is>
          <t>DNI</t>
        </is>
      </c>
      <c r="F29" s="241" t="inlineStr">
        <is>
          <t>47074574</t>
        </is>
      </c>
      <c r="G29" s="336" t="n">
        <v>45756</v>
      </c>
      <c r="H29" s="241" t="inlineStr">
        <is>
          <t>4950</t>
        </is>
      </c>
      <c r="I29" s="332">
        <f>IFERROR(VLOOKUP(TEXT(H29,"0"),IPRESS!$A$3:$B$212,2,0),"")</f>
        <v/>
      </c>
      <c r="J29" s="241" t="inlineStr">
        <is>
          <t>4838</t>
        </is>
      </c>
      <c r="K29" s="332">
        <f>IFERROR(VLOOKUP(TEXT(O29,"0"),CONDUCTORES!$A$3:$G$100,7,0),"")</f>
        <v/>
      </c>
      <c r="L29" s="239" t="n">
        <v>20.25</v>
      </c>
      <c r="M29" s="239" t="n">
        <v>10</v>
      </c>
      <c r="N29" s="333">
        <f>IFERROR(IF(L29*M29=0,"",L29*M29),"")</f>
        <v/>
      </c>
      <c r="O29" s="334" t="n"/>
      <c r="P29" s="332">
        <f>IFERROR(VLOOKUP(TEXT(O29,"0"),CONDUCTORES!$A$3:$G$100,2,0),"")</f>
        <v/>
      </c>
      <c r="Q29" s="332">
        <f>IFERROR(VLOOKUP(TEXT(O29,"0"),CONDUCTORES!$A$3:$H$100,6,0),"")</f>
        <v/>
      </c>
      <c r="R29" s="280" t="inlineStr">
        <is>
          <t>ENTREGADO 17/06/2025</t>
        </is>
      </c>
      <c r="S29" s="305" t="inlineStr">
        <is>
          <t>O142,O300</t>
        </is>
      </c>
      <c r="T29" s="241" t="n"/>
      <c r="U29" s="280" t="n"/>
      <c r="V29" s="241" t="n"/>
      <c r="W29" s="241" t="inlineStr">
        <is>
          <t>3479.0</t>
        </is>
      </c>
      <c r="X29" s="241" t="inlineStr">
        <is>
          <t>189.0</t>
        </is>
      </c>
      <c r="Y29" s="280" t="n"/>
    </row>
    <row r="30" ht="15.75" customHeight="1" s="195">
      <c r="A30" s="301" t="n">
        <v>25</v>
      </c>
      <c r="B30" s="302" t="inlineStr">
        <is>
          <t>00000085</t>
        </is>
      </c>
      <c r="C30" s="301" t="inlineStr">
        <is>
          <t>REGION</t>
        </is>
      </c>
      <c r="D30" s="302" t="inlineStr">
        <is>
          <t>GALOC VALQUI BRITHANY AYLIN</t>
        </is>
      </c>
      <c r="E30" s="301" t="inlineStr">
        <is>
          <t>DNI</t>
        </is>
      </c>
      <c r="F30" s="301" t="inlineStr">
        <is>
          <t>11038553</t>
        </is>
      </c>
      <c r="G30" s="331" t="n">
        <v>45758</v>
      </c>
      <c r="H30" s="301" t="inlineStr">
        <is>
          <t>4950</t>
        </is>
      </c>
      <c r="I30" s="332">
        <f>IFERROR(VLOOKUP(TEXT(H30,"0"),IPRESS!$A$3:$B$212,2,0),"")</f>
        <v/>
      </c>
      <c r="J30" s="301" t="inlineStr">
        <is>
          <t>4838</t>
        </is>
      </c>
      <c r="K30" s="332">
        <f>IFERROR(VLOOKUP(TEXT(O30,"0"),CONDUCTORES!$A$3:$G$100,7,0),"")</f>
        <v/>
      </c>
      <c r="L30" s="245" t="n">
        <v>20.25</v>
      </c>
      <c r="M30" s="245" t="n">
        <v>7</v>
      </c>
      <c r="N30" s="333">
        <f>IFERROR(IF(L30*M30=0,"",L30*M30),"")</f>
        <v/>
      </c>
      <c r="O30" s="280" t="n"/>
      <c r="P30" s="332">
        <f>IFERROR(VLOOKUP(TEXT(O30,"0"),CONDUCTORES!$A$3:$G$100,2,0),"")</f>
        <v/>
      </c>
      <c r="Q30" s="332">
        <f>IFERROR(VLOOKUP(TEXT(O30,"0"),CONDUCTORES!$A$3:$H$100,6,0),"")</f>
        <v/>
      </c>
      <c r="R30" s="334" t="inlineStr">
        <is>
          <t>ENTREGADO 17/06/2025</t>
        </is>
      </c>
      <c r="S30" s="302" t="inlineStr">
        <is>
          <t>Z380,P073</t>
        </is>
      </c>
      <c r="T30" s="301" t="n"/>
      <c r="U30" s="334" t="n"/>
      <c r="V30" s="301" t="n"/>
      <c r="W30" s="301" t="inlineStr">
        <is>
          <t>3479.0</t>
        </is>
      </c>
      <c r="X30" s="301" t="inlineStr">
        <is>
          <t>189.0</t>
        </is>
      </c>
      <c r="Y30" s="280" t="n"/>
    </row>
    <row r="31" ht="15.75" customHeight="1" s="195">
      <c r="A31" s="241" t="n">
        <v>26</v>
      </c>
      <c r="B31" s="305" t="inlineStr">
        <is>
          <t>00000086</t>
        </is>
      </c>
      <c r="C31" s="241" t="inlineStr">
        <is>
          <t>REGION</t>
        </is>
      </c>
      <c r="D31" s="305" t="inlineStr">
        <is>
          <t xml:space="preserve">ROJAS CHAVEZ MANUEL </t>
        </is>
      </c>
      <c r="E31" s="241" t="inlineStr">
        <is>
          <t>DNI</t>
        </is>
      </c>
      <c r="F31" s="241" t="inlineStr">
        <is>
          <t>33962412</t>
        </is>
      </c>
      <c r="G31" s="336" t="n">
        <v>45759</v>
      </c>
      <c r="H31" s="241" t="inlineStr">
        <is>
          <t>4950</t>
        </is>
      </c>
      <c r="I31" s="332">
        <f>IFERROR(VLOOKUP(TEXT(H31,"0"),IPRESS!$A$3:$B$212,2,0),"")</f>
        <v/>
      </c>
      <c r="J31" s="241" t="inlineStr">
        <is>
          <t>4838</t>
        </is>
      </c>
      <c r="K31" s="332">
        <f>IFERROR(VLOOKUP(TEXT(O31,"0"),CONDUCTORES!$A$3:$G$100,7,0),"")</f>
        <v/>
      </c>
      <c r="L31" s="239" t="n">
        <v>20.25</v>
      </c>
      <c r="M31" s="239" t="n">
        <v>7</v>
      </c>
      <c r="N31" s="333">
        <f>IFERROR(IF(L31*M31=0,"",L31*M31),"")</f>
        <v/>
      </c>
      <c r="O31" s="334" t="n"/>
      <c r="P31" s="332">
        <f>IFERROR(VLOOKUP(TEXT(O31,"0"),CONDUCTORES!$A$3:$G$100,2,0),"")</f>
        <v/>
      </c>
      <c r="Q31" s="332">
        <f>IFERROR(VLOOKUP(TEXT(O31,"0"),CONDUCTORES!$A$3:$H$100,6,0),"")</f>
        <v/>
      </c>
      <c r="R31" s="280" t="inlineStr">
        <is>
          <t>ENTREGADO 17/06/2025</t>
        </is>
      </c>
      <c r="S31" s="305" t="inlineStr">
        <is>
          <t>I10X,G510,G509,N390</t>
        </is>
      </c>
      <c r="T31" s="241" t="n"/>
      <c r="U31" s="280" t="n"/>
      <c r="V31" s="241" t="n"/>
      <c r="W31" s="241" t="inlineStr">
        <is>
          <t>3479.0</t>
        </is>
      </c>
      <c r="X31" s="241" t="inlineStr">
        <is>
          <t>189.0</t>
        </is>
      </c>
      <c r="Y31" s="280" t="n"/>
    </row>
    <row r="32" ht="15.75" customHeight="1" s="195">
      <c r="A32" s="301" t="n">
        <v>27</v>
      </c>
      <c r="B32" s="302" t="inlineStr">
        <is>
          <t>00000087</t>
        </is>
      </c>
      <c r="C32" s="301" t="inlineStr">
        <is>
          <t>REGION</t>
        </is>
      </c>
      <c r="D32" s="302" t="inlineStr">
        <is>
          <t>CHAVEZ PUITIZA HANSEL JHANDEL</t>
        </is>
      </c>
      <c r="E32" s="301" t="inlineStr">
        <is>
          <t>DNI</t>
        </is>
      </c>
      <c r="F32" s="301" t="inlineStr">
        <is>
          <t>81949785</t>
        </is>
      </c>
      <c r="G32" s="331" t="n">
        <v>45760</v>
      </c>
      <c r="H32" s="301" t="inlineStr">
        <is>
          <t>4950</t>
        </is>
      </c>
      <c r="I32" s="332">
        <f>IFERROR(VLOOKUP(TEXT(H32,"0"),IPRESS!$A$3:$B$212,2,0),"")</f>
        <v/>
      </c>
      <c r="J32" s="301" t="inlineStr">
        <is>
          <t>4838</t>
        </is>
      </c>
      <c r="K32" s="332">
        <f>IFERROR(VLOOKUP(TEXT(O32,"0"),CONDUCTORES!$A$3:$G$100,7,0),"")</f>
        <v/>
      </c>
      <c r="L32" s="245" t="n">
        <v>20.25</v>
      </c>
      <c r="M32" s="245" t="n">
        <v>7</v>
      </c>
      <c r="N32" s="333">
        <f>IFERROR(IF(L32*M32=0,"",L32*M32),"")</f>
        <v/>
      </c>
      <c r="O32" s="280" t="n"/>
      <c r="P32" s="332">
        <f>IFERROR(VLOOKUP(TEXT(O32,"0"),CONDUCTORES!$A$3:$G$100,2,0),"")</f>
        <v/>
      </c>
      <c r="Q32" s="332">
        <f>IFERROR(VLOOKUP(TEXT(O32,"0"),CONDUCTORES!$A$3:$H$100,6,0),"")</f>
        <v/>
      </c>
      <c r="R32" s="334" t="inlineStr">
        <is>
          <t>ENTREGADO 17/06/2025</t>
        </is>
      </c>
      <c r="S32" s="302" t="inlineStr">
        <is>
          <t>S729</t>
        </is>
      </c>
      <c r="T32" s="301" t="n"/>
      <c r="U32" s="334" t="n"/>
      <c r="V32" s="301" t="n"/>
      <c r="W32" s="301" t="inlineStr">
        <is>
          <t>3479.0</t>
        </is>
      </c>
      <c r="X32" s="301" t="inlineStr">
        <is>
          <t>189.0</t>
        </is>
      </c>
      <c r="Y32" s="280" t="n"/>
    </row>
    <row r="33" ht="15.75" customHeight="1" s="195">
      <c r="A33" s="241" t="n">
        <v>28</v>
      </c>
      <c r="B33" s="305" t="inlineStr">
        <is>
          <t>00000088</t>
        </is>
      </c>
      <c r="C33" s="241" t="inlineStr">
        <is>
          <t>REGION</t>
        </is>
      </c>
      <c r="D33" s="305" t="inlineStr">
        <is>
          <t>UBILLUS BACA ROSITA EDELMIRA</t>
        </is>
      </c>
      <c r="E33" s="241" t="inlineStr">
        <is>
          <t>DNI</t>
        </is>
      </c>
      <c r="F33" s="241" t="inlineStr">
        <is>
          <t>76648065</t>
        </is>
      </c>
      <c r="G33" s="336" t="n">
        <v>45761</v>
      </c>
      <c r="H33" s="241" t="inlineStr">
        <is>
          <t>4950</t>
        </is>
      </c>
      <c r="I33" s="332">
        <f>IFERROR(VLOOKUP(TEXT(H33,"0"),IPRESS!$A$3:$B$212,2,0),"")</f>
        <v/>
      </c>
      <c r="J33" s="241" t="inlineStr">
        <is>
          <t>4838</t>
        </is>
      </c>
      <c r="K33" s="332">
        <f>IFERROR(VLOOKUP(TEXT(O33,"0"),CONDUCTORES!$A$3:$G$100,7,0),"")</f>
        <v/>
      </c>
      <c r="L33" s="239" t="n">
        <v>20.25</v>
      </c>
      <c r="M33" s="239" t="n">
        <v>7</v>
      </c>
      <c r="N33" s="333">
        <f>IFERROR(IF(L33*M33=0,"",L33*M33),"")</f>
        <v/>
      </c>
      <c r="O33" s="334" t="n"/>
      <c r="P33" s="332">
        <f>IFERROR(VLOOKUP(TEXT(O33,"0"),CONDUCTORES!$A$3:$G$100,2,0),"")</f>
        <v/>
      </c>
      <c r="Q33" s="332">
        <f>IFERROR(VLOOKUP(TEXT(O33,"0"),CONDUCTORES!$A$3:$H$100,6,0),"")</f>
        <v/>
      </c>
      <c r="R33" s="280" t="inlineStr">
        <is>
          <t>ENTREGADO 17/06/2025</t>
        </is>
      </c>
      <c r="S33" s="305" t="inlineStr">
        <is>
          <t>O141</t>
        </is>
      </c>
      <c r="T33" s="241" t="n"/>
      <c r="U33" s="280" t="n"/>
      <c r="V33" s="241" t="n"/>
      <c r="W33" s="241" t="inlineStr">
        <is>
          <t>3479.0</t>
        </is>
      </c>
      <c r="X33" s="241" t="inlineStr">
        <is>
          <t>189.0</t>
        </is>
      </c>
      <c r="Y33" s="280" t="n"/>
    </row>
    <row r="34" ht="15.75" customHeight="1" s="195">
      <c r="A34" s="301" t="n">
        <v>29</v>
      </c>
      <c r="B34" s="302" t="inlineStr">
        <is>
          <t>00000089</t>
        </is>
      </c>
      <c r="C34" s="301" t="inlineStr">
        <is>
          <t>REGION</t>
        </is>
      </c>
      <c r="D34" s="302" t="inlineStr">
        <is>
          <t>CUYAN ACUÑA ROCIO</t>
        </is>
      </c>
      <c r="E34" s="301" t="inlineStr">
        <is>
          <t>DNI</t>
        </is>
      </c>
      <c r="F34" s="301" t="inlineStr">
        <is>
          <t>48484441</t>
        </is>
      </c>
      <c r="G34" s="331" t="n">
        <v>45762</v>
      </c>
      <c r="H34" s="301" t="inlineStr">
        <is>
          <t>4950</t>
        </is>
      </c>
      <c r="I34" s="332">
        <f>IFERROR(VLOOKUP(TEXT(H34,"0"),IPRESS!$A$3:$B$212,2,0),"")</f>
        <v/>
      </c>
      <c r="J34" s="301" t="inlineStr">
        <is>
          <t>4838</t>
        </is>
      </c>
      <c r="K34" s="332">
        <f>IFERROR(VLOOKUP(TEXT(O34,"0"),CONDUCTORES!$A$3:$G$100,7,0),"")</f>
        <v/>
      </c>
      <c r="L34" s="245" t="n">
        <v>20.25</v>
      </c>
      <c r="M34" s="245" t="n">
        <v>7</v>
      </c>
      <c r="N34" s="333">
        <f>IFERROR(IF(L34*M34=0,"",L34*M34),"")</f>
        <v/>
      </c>
      <c r="O34" s="280" t="n"/>
      <c r="P34" s="332">
        <f>IFERROR(VLOOKUP(TEXT(O34,"0"),CONDUCTORES!$A$3:$G$100,2,0),"")</f>
        <v/>
      </c>
      <c r="Q34" s="332">
        <f>IFERROR(VLOOKUP(TEXT(O34,"0"),CONDUCTORES!$A$3:$H$100,6,0),"")</f>
        <v/>
      </c>
      <c r="R34" s="334" t="inlineStr">
        <is>
          <t>ENTREGADO 17/06/2025</t>
        </is>
      </c>
      <c r="S34" s="302" t="inlineStr">
        <is>
          <t>O141</t>
        </is>
      </c>
      <c r="T34" s="301" t="n"/>
      <c r="U34" s="334" t="n"/>
      <c r="V34" s="301" t="n"/>
      <c r="W34" s="301" t="inlineStr">
        <is>
          <t>3479.0</t>
        </is>
      </c>
      <c r="X34" s="301" t="inlineStr">
        <is>
          <t>189.0</t>
        </is>
      </c>
      <c r="Y34" s="280" t="n"/>
    </row>
    <row r="35" ht="15.75" customHeight="1" s="195">
      <c r="A35" s="241" t="n">
        <v>30</v>
      </c>
      <c r="B35" s="305" t="inlineStr">
        <is>
          <t>00000090</t>
        </is>
      </c>
      <c r="C35" s="241" t="inlineStr">
        <is>
          <t>REGION</t>
        </is>
      </c>
      <c r="D35" s="305" t="inlineStr">
        <is>
          <t>VILCA CASTELO MARIA DEL PILAR</t>
        </is>
      </c>
      <c r="E35" s="241" t="inlineStr">
        <is>
          <t>DNI</t>
        </is>
      </c>
      <c r="F35" s="241" t="inlineStr">
        <is>
          <t>48160944</t>
        </is>
      </c>
      <c r="G35" s="336" t="n">
        <v>45763</v>
      </c>
      <c r="H35" s="241" t="inlineStr">
        <is>
          <t>4950</t>
        </is>
      </c>
      <c r="I35" s="332">
        <f>IFERROR(VLOOKUP(TEXT(H35,"0"),IPRESS!$A$3:$B$212,2,0),"")</f>
        <v/>
      </c>
      <c r="J35" s="241" t="inlineStr">
        <is>
          <t>4838</t>
        </is>
      </c>
      <c r="K35" s="332">
        <f>IFERROR(VLOOKUP(TEXT(O35,"0"),CONDUCTORES!$A$3:$G$100,7,0),"")</f>
        <v/>
      </c>
      <c r="L35" s="239" t="n">
        <v>20.25</v>
      </c>
      <c r="M35" s="239" t="n">
        <v>7</v>
      </c>
      <c r="N35" s="333">
        <f>IFERROR(IF(L35*M35=0,"",L35*M35),"")</f>
        <v/>
      </c>
      <c r="O35" s="334" t="n"/>
      <c r="P35" s="332">
        <f>IFERROR(VLOOKUP(TEXT(O35,"0"),CONDUCTORES!$A$3:$G$100,2,0),"")</f>
        <v/>
      </c>
      <c r="Q35" s="332">
        <f>IFERROR(VLOOKUP(TEXT(O35,"0"),CONDUCTORES!$A$3:$H$100,6,0),"")</f>
        <v/>
      </c>
      <c r="R35" s="280" t="inlineStr">
        <is>
          <t>ENTREGADO 17/06/2025</t>
        </is>
      </c>
      <c r="S35" s="305" t="inlineStr">
        <is>
          <t>O639,O13X</t>
        </is>
      </c>
      <c r="T35" s="241" t="n"/>
      <c r="U35" s="280" t="n"/>
      <c r="V35" s="241" t="n"/>
      <c r="W35" s="241" t="inlineStr">
        <is>
          <t>3479.0</t>
        </is>
      </c>
      <c r="X35" s="241" t="inlineStr">
        <is>
          <t>189.0</t>
        </is>
      </c>
      <c r="Y35" s="280" t="n"/>
    </row>
    <row r="36" ht="15.75" customHeight="1" s="195">
      <c r="A36" s="301" t="n">
        <v>31</v>
      </c>
      <c r="B36" s="302" t="inlineStr">
        <is>
          <t>00000091</t>
        </is>
      </c>
      <c r="C36" s="301" t="inlineStr">
        <is>
          <t>REGION</t>
        </is>
      </c>
      <c r="D36" s="302" t="inlineStr">
        <is>
          <t>GAMARRA CUBAS SHEILITA JUDITH</t>
        </is>
      </c>
      <c r="E36" s="301" t="inlineStr">
        <is>
          <t>DNI</t>
        </is>
      </c>
      <c r="F36" s="301" t="inlineStr">
        <is>
          <t>77160133</t>
        </is>
      </c>
      <c r="G36" s="331" t="n">
        <v>45763</v>
      </c>
      <c r="H36" s="301" t="inlineStr">
        <is>
          <t>4950</t>
        </is>
      </c>
      <c r="I36" s="332">
        <f>IFERROR(VLOOKUP(TEXT(H36,"0"),IPRESS!$A$3:$B$212,2,0),"")</f>
        <v/>
      </c>
      <c r="J36" s="301" t="inlineStr">
        <is>
          <t>4838</t>
        </is>
      </c>
      <c r="K36" s="332">
        <f>IFERROR(VLOOKUP(TEXT(O36,"0"),CONDUCTORES!$A$3:$G$100,7,0),"")</f>
        <v/>
      </c>
      <c r="L36" s="245" t="n">
        <v>20.25</v>
      </c>
      <c r="M36" s="245" t="n">
        <v>10</v>
      </c>
      <c r="N36" s="333">
        <f>IFERROR(IF(L36*M36=0,"",L36*M36),"")</f>
        <v/>
      </c>
      <c r="O36" s="280" t="n"/>
      <c r="P36" s="332">
        <f>IFERROR(VLOOKUP(TEXT(O36,"0"),CONDUCTORES!$A$3:$G$100,2,0),"")</f>
        <v/>
      </c>
      <c r="Q36" s="332">
        <f>IFERROR(VLOOKUP(TEXT(O36,"0"),CONDUCTORES!$A$3:$H$100,6,0),"")</f>
        <v/>
      </c>
      <c r="R36" s="334" t="inlineStr">
        <is>
          <t>ENTREGADO 17/06/2025</t>
        </is>
      </c>
      <c r="S36" s="302" t="inlineStr">
        <is>
          <t>K37X,R104,N390</t>
        </is>
      </c>
      <c r="T36" s="301" t="n"/>
      <c r="U36" s="334" t="n"/>
      <c r="V36" s="301" t="n"/>
      <c r="W36" s="301" t="inlineStr">
        <is>
          <t>3479.0</t>
        </is>
      </c>
      <c r="X36" s="301" t="inlineStr">
        <is>
          <t>189.0</t>
        </is>
      </c>
      <c r="Y36" s="280" t="n"/>
    </row>
    <row r="37" ht="15.75" customHeight="1" s="195">
      <c r="A37" s="241" t="n">
        <v>32</v>
      </c>
      <c r="B37" s="305" t="inlineStr">
        <is>
          <t>00000093</t>
        </is>
      </c>
      <c r="C37" s="241" t="inlineStr">
        <is>
          <t>REGION</t>
        </is>
      </c>
      <c r="D37" s="305" t="inlineStr">
        <is>
          <t>HIDALGO UGAZ AXEL DAVID</t>
        </is>
      </c>
      <c r="E37" s="241" t="inlineStr">
        <is>
          <t>DNI</t>
        </is>
      </c>
      <c r="F37" s="241" t="inlineStr">
        <is>
          <t>11044598</t>
        </is>
      </c>
      <c r="G37" s="336" t="n">
        <v>45766</v>
      </c>
      <c r="H37" s="241" t="inlineStr">
        <is>
          <t>4950</t>
        </is>
      </c>
      <c r="I37" s="332">
        <f>IFERROR(VLOOKUP(TEXT(H37,"0"),IPRESS!$A$3:$B$212,2,0),"")</f>
        <v/>
      </c>
      <c r="J37" s="241" t="inlineStr">
        <is>
          <t>4838</t>
        </is>
      </c>
      <c r="K37" s="332">
        <f>IFERROR(VLOOKUP(TEXT(O37,"0"),CONDUCTORES!$A$3:$G$100,7,0),"")</f>
        <v/>
      </c>
      <c r="L37" s="239" t="n">
        <v>20.25</v>
      </c>
      <c r="M37" s="239" t="n">
        <v>7</v>
      </c>
      <c r="N37" s="333">
        <f>IFERROR(IF(L37*M37=0,"",L37*M37),"")</f>
        <v/>
      </c>
      <c r="O37" s="334" t="n"/>
      <c r="P37" s="332">
        <f>IFERROR(VLOOKUP(TEXT(O37,"0"),CONDUCTORES!$A$3:$G$100,2,0),"")</f>
        <v/>
      </c>
      <c r="Q37" s="332">
        <f>IFERROR(VLOOKUP(TEXT(O37,"0"),CONDUCTORES!$A$3:$H$100,6,0),"")</f>
        <v/>
      </c>
      <c r="R37" s="280" t="inlineStr">
        <is>
          <t>ENTREGADO 17/06/2025</t>
        </is>
      </c>
      <c r="S37" s="305" t="inlineStr">
        <is>
          <t>Z380,P704,P369</t>
        </is>
      </c>
      <c r="T37" s="241" t="n"/>
      <c r="U37" s="280" t="n"/>
      <c r="V37" s="241" t="n"/>
      <c r="W37" s="241" t="inlineStr">
        <is>
          <t>3479.0</t>
        </is>
      </c>
      <c r="X37" s="241" t="inlineStr">
        <is>
          <t>189.0</t>
        </is>
      </c>
      <c r="Y37" s="280" t="n"/>
    </row>
    <row r="38" ht="15.75" customHeight="1" s="195">
      <c r="A38" s="301" t="n">
        <v>33</v>
      </c>
      <c r="B38" s="302" t="inlineStr">
        <is>
          <t>00000094</t>
        </is>
      </c>
      <c r="C38" s="301" t="inlineStr">
        <is>
          <t>REGION</t>
        </is>
      </c>
      <c r="D38" s="302" t="inlineStr">
        <is>
          <t>MACHUCA CASTAÑEDA ROSITA EDITH</t>
        </is>
      </c>
      <c r="E38" s="301" t="inlineStr">
        <is>
          <t>DNI</t>
        </is>
      </c>
      <c r="F38" s="301" t="inlineStr">
        <is>
          <t>72476138</t>
        </is>
      </c>
      <c r="G38" s="331" t="n">
        <v>45767</v>
      </c>
      <c r="H38" s="301" t="inlineStr">
        <is>
          <t>4950</t>
        </is>
      </c>
      <c r="I38" s="332">
        <f>IFERROR(VLOOKUP(TEXT(H38,"0"),IPRESS!$A$3:$B$212,2,0),"")</f>
        <v/>
      </c>
      <c r="J38" s="301" t="inlineStr">
        <is>
          <t>4838</t>
        </is>
      </c>
      <c r="K38" s="332">
        <f>IFERROR(VLOOKUP(TEXT(O38,"0"),CONDUCTORES!$A$3:$G$100,7,0),"")</f>
        <v/>
      </c>
      <c r="L38" s="245" t="n">
        <v>20.25</v>
      </c>
      <c r="M38" s="245" t="n">
        <v>7</v>
      </c>
      <c r="N38" s="333">
        <f>IFERROR(IF(L38*M38=0,"",L38*M38),"")</f>
        <v/>
      </c>
      <c r="O38" s="280" t="n"/>
      <c r="P38" s="332">
        <f>IFERROR(VLOOKUP(TEXT(O38,"0"),CONDUCTORES!$A$3:$G$100,2,0),"")</f>
        <v/>
      </c>
      <c r="Q38" s="332">
        <f>IFERROR(VLOOKUP(TEXT(O38,"0"),CONDUCTORES!$A$3:$H$100,6,0),"")</f>
        <v/>
      </c>
      <c r="R38" s="334" t="inlineStr">
        <is>
          <t>ENTREGADO 17/06/2025</t>
        </is>
      </c>
      <c r="S38" s="302" t="inlineStr">
        <is>
          <t>O48X,A630</t>
        </is>
      </c>
      <c r="T38" s="301" t="n"/>
      <c r="U38" s="334" t="n"/>
      <c r="V38" s="301" t="n"/>
      <c r="W38" s="301" t="inlineStr">
        <is>
          <t>3479.0</t>
        </is>
      </c>
      <c r="X38" s="301" t="inlineStr">
        <is>
          <t>189.0</t>
        </is>
      </c>
      <c r="Y38" s="280" t="n"/>
    </row>
    <row r="39" ht="15.75" customHeight="1" s="195">
      <c r="A39" s="241" t="n">
        <v>34</v>
      </c>
      <c r="B39" s="305" t="inlineStr">
        <is>
          <t>00000095</t>
        </is>
      </c>
      <c r="C39" s="241" t="inlineStr">
        <is>
          <t>REGION</t>
        </is>
      </c>
      <c r="D39" s="305" t="inlineStr">
        <is>
          <t>VELA CACIMIRO</t>
        </is>
      </c>
      <c r="E39" s="241" t="inlineStr">
        <is>
          <t>DNI</t>
        </is>
      </c>
      <c r="F39" s="241" t="inlineStr">
        <is>
          <t>33805787</t>
        </is>
      </c>
      <c r="G39" s="336" t="n">
        <v>45769</v>
      </c>
      <c r="H39" s="241" t="inlineStr">
        <is>
          <t>4950</t>
        </is>
      </c>
      <c r="I39" s="332">
        <f>IFERROR(VLOOKUP(TEXT(H39,"0"),IPRESS!$A$3:$B$212,2,0),"")</f>
        <v/>
      </c>
      <c r="J39" s="241" t="inlineStr">
        <is>
          <t>4838</t>
        </is>
      </c>
      <c r="K39" s="332">
        <f>IFERROR(VLOOKUP(TEXT(O39,"0"),CONDUCTORES!$A$3:$G$100,7,0),"")</f>
        <v/>
      </c>
      <c r="L39" s="239" t="n">
        <v>20.25</v>
      </c>
      <c r="M39" s="239" t="n">
        <v>7</v>
      </c>
      <c r="N39" s="333">
        <f>IFERROR(IF(L39*M39=0,"",L39*M39),"")</f>
        <v/>
      </c>
      <c r="O39" s="334" t="n"/>
      <c r="P39" s="332">
        <f>IFERROR(VLOOKUP(TEXT(O39,"0"),CONDUCTORES!$A$3:$G$100,2,0),"")</f>
        <v/>
      </c>
      <c r="Q39" s="332">
        <f>IFERROR(VLOOKUP(TEXT(O39,"0"),CONDUCTORES!$A$3:$H$100,6,0),"")</f>
        <v/>
      </c>
      <c r="R39" s="280" t="inlineStr">
        <is>
          <t>ENTREGADO 17/06/2025</t>
        </is>
      </c>
      <c r="S39" s="305" t="inlineStr">
        <is>
          <t>R104,K920,K85</t>
        </is>
      </c>
      <c r="T39" s="241" t="n"/>
      <c r="U39" s="280" t="n"/>
      <c r="V39" s="241" t="n"/>
      <c r="W39" s="241" t="inlineStr">
        <is>
          <t>3479.0</t>
        </is>
      </c>
      <c r="X39" s="241" t="inlineStr">
        <is>
          <t>189.0</t>
        </is>
      </c>
      <c r="Y39" s="280" t="n"/>
    </row>
    <row r="40" ht="15.75" customHeight="1" s="195">
      <c r="A40" s="301" t="n">
        <v>35</v>
      </c>
      <c r="B40" s="302" t="inlineStr">
        <is>
          <t>00000096</t>
        </is>
      </c>
      <c r="C40" s="301" t="inlineStr">
        <is>
          <t>REGION</t>
        </is>
      </c>
      <c r="D40" s="302" t="inlineStr">
        <is>
          <t>AGUILAR VILLA PEDRO GIL</t>
        </is>
      </c>
      <c r="E40" s="301" t="inlineStr">
        <is>
          <t>DNI</t>
        </is>
      </c>
      <c r="F40" s="301" t="inlineStr">
        <is>
          <t>33944921</t>
        </is>
      </c>
      <c r="G40" s="331" t="n">
        <v>45770</v>
      </c>
      <c r="H40" s="301" t="inlineStr">
        <is>
          <t>4950</t>
        </is>
      </c>
      <c r="I40" s="332">
        <f>IFERROR(VLOOKUP(TEXT(H40,"0"),IPRESS!$A$3:$B$212,2,0),"")</f>
        <v/>
      </c>
      <c r="J40" s="301" t="inlineStr">
        <is>
          <t>4838</t>
        </is>
      </c>
      <c r="K40" s="332">
        <f>IFERROR(VLOOKUP(TEXT(O40,"0"),CONDUCTORES!$A$3:$G$100,7,0),"")</f>
        <v/>
      </c>
      <c r="L40" s="245" t="n">
        <v>20.25</v>
      </c>
      <c r="M40" s="245" t="n">
        <v>7</v>
      </c>
      <c r="N40" s="333">
        <f>IFERROR(IF(L40*M40=0,"",L40*M40),"")</f>
        <v/>
      </c>
      <c r="O40" s="280" t="n"/>
      <c r="P40" s="332">
        <f>IFERROR(VLOOKUP(TEXT(O40,"0"),CONDUCTORES!$A$3:$G$100,2,0),"")</f>
        <v/>
      </c>
      <c r="Q40" s="332">
        <f>IFERROR(VLOOKUP(TEXT(O40,"0"),CONDUCTORES!$A$3:$H$100,6,0),"")</f>
        <v/>
      </c>
      <c r="R40" s="334" t="inlineStr">
        <is>
          <t>ENTREGADO 17/06/2025</t>
        </is>
      </c>
      <c r="S40" s="302" t="inlineStr">
        <is>
          <t>F209</t>
        </is>
      </c>
      <c r="T40" s="301" t="n"/>
      <c r="U40" s="334" t="n"/>
      <c r="V40" s="301" t="n"/>
      <c r="W40" s="301" t="inlineStr">
        <is>
          <t>3479.0</t>
        </is>
      </c>
      <c r="X40" s="301" t="inlineStr">
        <is>
          <t>189.0</t>
        </is>
      </c>
      <c r="Y40" s="280" t="n"/>
    </row>
    <row r="41" ht="15.75" customHeight="1" s="195">
      <c r="A41" s="241" t="n">
        <v>36</v>
      </c>
      <c r="B41" s="305" t="inlineStr">
        <is>
          <t>00000092</t>
        </is>
      </c>
      <c r="C41" s="241" t="inlineStr">
        <is>
          <t>REGION</t>
        </is>
      </c>
      <c r="D41" s="305" t="inlineStr">
        <is>
          <t>SANCHEZ ACUÑA LIAN GAEL</t>
        </is>
      </c>
      <c r="E41" s="241" t="inlineStr">
        <is>
          <t>DNI</t>
        </is>
      </c>
      <c r="F41" s="241" t="inlineStr">
        <is>
          <t>92377335</t>
        </is>
      </c>
      <c r="G41" s="336" t="n">
        <v>45766</v>
      </c>
      <c r="H41" s="241" t="inlineStr">
        <is>
          <t>4950</t>
        </is>
      </c>
      <c r="I41" s="332">
        <f>IFERROR(VLOOKUP(TEXT(H41,"0"),IPRESS!$A$3:$B$212,2,0),"")</f>
        <v/>
      </c>
      <c r="J41" s="241" t="inlineStr">
        <is>
          <t>4838</t>
        </is>
      </c>
      <c r="K41" s="332">
        <f>IFERROR(VLOOKUP(TEXT(O41,"0"),CONDUCTORES!$A$3:$G$100,7,0),"")</f>
        <v/>
      </c>
      <c r="L41" s="239" t="n">
        <v>20.25</v>
      </c>
      <c r="M41" s="239" t="n">
        <v>7</v>
      </c>
      <c r="N41" s="333">
        <f>IFERROR(IF(L41*M41=0,"",L41*M41),"")</f>
        <v/>
      </c>
      <c r="O41" s="334" t="n"/>
      <c r="P41" s="332">
        <f>IFERROR(VLOOKUP(TEXT(O41,"0"),CONDUCTORES!$A$3:$G$100,2,0),"")</f>
        <v/>
      </c>
      <c r="Q41" s="332">
        <f>IFERROR(VLOOKUP(TEXT(O41,"0"),CONDUCTORES!$A$3:$H$100,6,0),"")</f>
        <v/>
      </c>
      <c r="R41" s="280" t="inlineStr">
        <is>
          <t>ENTREGADO 17/06/2025</t>
        </is>
      </c>
      <c r="S41" s="305" t="inlineStr">
        <is>
          <t>K359</t>
        </is>
      </c>
      <c r="T41" s="241" t="n"/>
      <c r="U41" s="280" t="n"/>
      <c r="V41" s="241" t="n"/>
      <c r="W41" s="241" t="inlineStr">
        <is>
          <t>3479.0</t>
        </is>
      </c>
      <c r="X41" s="241" t="inlineStr">
        <is>
          <t>189.0</t>
        </is>
      </c>
      <c r="Y41" s="280" t="n"/>
    </row>
    <row r="42" ht="15.75" customHeight="1" s="195">
      <c r="A42" s="301" t="n">
        <v>37</v>
      </c>
      <c r="B42" s="302" t="inlineStr">
        <is>
          <t>00000097</t>
        </is>
      </c>
      <c r="C42" s="301" t="inlineStr">
        <is>
          <t>REGION</t>
        </is>
      </c>
      <c r="D42" s="302" t="inlineStr">
        <is>
          <t>CASTRO FERNANDEZ ROSA MAGALY</t>
        </is>
      </c>
      <c r="E42" s="301" t="inlineStr">
        <is>
          <t>DNI</t>
        </is>
      </c>
      <c r="F42" s="301" t="inlineStr">
        <is>
          <t>73696686</t>
        </is>
      </c>
      <c r="G42" s="331" t="n">
        <v>45772</v>
      </c>
      <c r="H42" s="301" t="inlineStr">
        <is>
          <t>4950</t>
        </is>
      </c>
      <c r="I42" s="332">
        <f>IFERROR(VLOOKUP(TEXT(H42,"0"),IPRESS!$A$3:$B$212,2,0),"")</f>
        <v/>
      </c>
      <c r="J42" s="301" t="inlineStr">
        <is>
          <t>4838</t>
        </is>
      </c>
      <c r="K42" s="332">
        <f>IFERROR(VLOOKUP(TEXT(O42,"0"),CONDUCTORES!$A$3:$G$100,7,0),"")</f>
        <v/>
      </c>
      <c r="L42" s="245" t="n">
        <v>20.25</v>
      </c>
      <c r="M42" s="245" t="n">
        <v>6</v>
      </c>
      <c r="N42" s="333">
        <f>IFERROR(IF(L42*M42=0,"",L42*M42),"")</f>
        <v/>
      </c>
      <c r="O42" s="280" t="n"/>
      <c r="P42" s="332">
        <f>IFERROR(VLOOKUP(TEXT(O42,"0"),CONDUCTORES!$A$3:$G$100,2,0),"")</f>
        <v/>
      </c>
      <c r="Q42" s="332">
        <f>IFERROR(VLOOKUP(TEXT(O42,"0"),CONDUCTORES!$A$3:$H$100,6,0),"")</f>
        <v/>
      </c>
      <c r="R42" s="334" t="inlineStr">
        <is>
          <t>ENTREGADO 17/06/2025</t>
        </is>
      </c>
      <c r="S42" s="302" t="inlineStr">
        <is>
          <t>A419,E109,N390</t>
        </is>
      </c>
      <c r="T42" s="301" t="n"/>
      <c r="U42" s="334" t="n"/>
      <c r="V42" s="301" t="n"/>
      <c r="W42" s="301" t="inlineStr">
        <is>
          <t>3479.0</t>
        </is>
      </c>
      <c r="X42" s="301" t="inlineStr">
        <is>
          <t>189.0</t>
        </is>
      </c>
      <c r="Y42" s="280" t="n"/>
    </row>
    <row r="43" ht="15.75" customHeight="1" s="195">
      <c r="A43" s="241" t="n">
        <v>38</v>
      </c>
      <c r="B43" s="305" t="inlineStr">
        <is>
          <t>00000098</t>
        </is>
      </c>
      <c r="C43" s="241" t="inlineStr">
        <is>
          <t>REGION</t>
        </is>
      </c>
      <c r="D43" s="305" t="inlineStr">
        <is>
          <t>ESPINOZA TAMAYO KELVIN GREGORIO</t>
        </is>
      </c>
      <c r="E43" s="241" t="inlineStr">
        <is>
          <t>DNI</t>
        </is>
      </c>
      <c r="F43" s="241" t="inlineStr">
        <is>
          <t>63396764</t>
        </is>
      </c>
      <c r="G43" s="336" t="n">
        <v>45773</v>
      </c>
      <c r="H43" s="241" t="inlineStr">
        <is>
          <t>4950</t>
        </is>
      </c>
      <c r="I43" s="332">
        <f>IFERROR(VLOOKUP(TEXT(H43,"0"),IPRESS!$A$3:$B$212,2,0),"")</f>
        <v/>
      </c>
      <c r="J43" s="241" t="inlineStr">
        <is>
          <t>4838</t>
        </is>
      </c>
      <c r="K43" s="332">
        <f>IFERROR(VLOOKUP(TEXT(O43,"0"),CONDUCTORES!$A$3:$G$100,7,0),"")</f>
        <v/>
      </c>
      <c r="L43" s="239" t="n">
        <v>20.25</v>
      </c>
      <c r="M43" s="239" t="n">
        <v>10</v>
      </c>
      <c r="N43" s="333">
        <f>IFERROR(IF(L43*M43=0,"",L43*M43),"")</f>
        <v/>
      </c>
      <c r="O43" s="334" t="n"/>
      <c r="P43" s="332">
        <f>IFERROR(VLOOKUP(TEXT(O43,"0"),CONDUCTORES!$A$3:$G$100,2,0),"")</f>
        <v/>
      </c>
      <c r="Q43" s="332">
        <f>IFERROR(VLOOKUP(TEXT(O43,"0"),CONDUCTORES!$A$3:$H$100,6,0),"")</f>
        <v/>
      </c>
      <c r="R43" s="280" t="inlineStr">
        <is>
          <t>ENTREGADO 17/06/2025</t>
        </is>
      </c>
      <c r="S43" s="305" t="inlineStr">
        <is>
          <t>S311,R571</t>
        </is>
      </c>
      <c r="T43" s="241" t="n"/>
      <c r="U43" s="280" t="n"/>
      <c r="V43" s="241" t="n"/>
      <c r="W43" s="241" t="inlineStr">
        <is>
          <t>3479.0</t>
        </is>
      </c>
      <c r="X43" s="241" t="inlineStr">
        <is>
          <t>189.0</t>
        </is>
      </c>
      <c r="Y43" s="280" t="n"/>
    </row>
    <row r="44" ht="15.75" customHeight="1" s="195">
      <c r="A44" s="301" t="n">
        <v>39</v>
      </c>
      <c r="B44" s="302" t="inlineStr">
        <is>
          <t>00000100</t>
        </is>
      </c>
      <c r="C44" s="301" t="inlineStr">
        <is>
          <t>REGION</t>
        </is>
      </c>
      <c r="D44" s="302" t="inlineStr">
        <is>
          <t>GUIOP PUIQUIN ROSA RICARDINA</t>
        </is>
      </c>
      <c r="E44" s="301" t="inlineStr">
        <is>
          <t>DNI</t>
        </is>
      </c>
      <c r="F44" s="301" t="inlineStr">
        <is>
          <t>33416331</t>
        </is>
      </c>
      <c r="G44" s="331" t="n">
        <v>45775</v>
      </c>
      <c r="H44" s="301" t="inlineStr">
        <is>
          <t>4950</t>
        </is>
      </c>
      <c r="I44" s="332">
        <f>IFERROR(VLOOKUP(TEXT(H44,"0"),IPRESS!$A$3:$B$212,2,0),"")</f>
        <v/>
      </c>
      <c r="J44" s="301" t="inlineStr">
        <is>
          <t>4838</t>
        </is>
      </c>
      <c r="K44" s="332">
        <f>IFERROR(VLOOKUP(TEXT(O44,"0"),CONDUCTORES!$A$3:$G$100,7,0),"")</f>
        <v/>
      </c>
      <c r="L44" s="245" t="n">
        <v>20.25</v>
      </c>
      <c r="M44" s="245" t="n">
        <v>7</v>
      </c>
      <c r="N44" s="333">
        <f>IFERROR(IF(L44*M44=0,"",L44*M44),"")</f>
        <v/>
      </c>
      <c r="O44" s="280" t="n"/>
      <c r="P44" s="332">
        <f>IFERROR(VLOOKUP(TEXT(O44,"0"),CONDUCTORES!$A$3:$G$100,2,0),"")</f>
        <v/>
      </c>
      <c r="Q44" s="332">
        <f>IFERROR(VLOOKUP(TEXT(O44,"0"),CONDUCTORES!$A$3:$H$100,6,0),"")</f>
        <v/>
      </c>
      <c r="R44" s="334" t="inlineStr">
        <is>
          <t>ENTREGADO 17/06/2025</t>
        </is>
      </c>
      <c r="S44" s="302" t="inlineStr">
        <is>
          <t>I64X,R001</t>
        </is>
      </c>
      <c r="T44" s="301" t="n"/>
      <c r="U44" s="334" t="n"/>
      <c r="V44" s="301" t="n"/>
      <c r="W44" s="301" t="inlineStr">
        <is>
          <t>3479.0</t>
        </is>
      </c>
      <c r="X44" s="301" t="inlineStr">
        <is>
          <t>189.0</t>
        </is>
      </c>
      <c r="Y44" s="280" t="n"/>
    </row>
    <row r="45" ht="15.75" customHeight="1" s="195">
      <c r="A45" s="241" t="n">
        <v>40</v>
      </c>
      <c r="B45" s="305" t="inlineStr">
        <is>
          <t>00000101</t>
        </is>
      </c>
      <c r="C45" s="241" t="inlineStr">
        <is>
          <t>REGION</t>
        </is>
      </c>
      <c r="D45" s="305" t="inlineStr">
        <is>
          <t>MATUS MARIA CRUZ</t>
        </is>
      </c>
      <c r="E45" s="241" t="inlineStr">
        <is>
          <t>DNI</t>
        </is>
      </c>
      <c r="F45" s="241" t="inlineStr">
        <is>
          <t>33945653</t>
        </is>
      </c>
      <c r="G45" s="336" t="n">
        <v>45777</v>
      </c>
      <c r="H45" s="241" t="inlineStr">
        <is>
          <t>4950</t>
        </is>
      </c>
      <c r="I45" s="332">
        <f>IFERROR(VLOOKUP(TEXT(H45,"0"),IPRESS!$A$3:$B$212,2,0),"")</f>
        <v/>
      </c>
      <c r="J45" s="241" t="inlineStr">
        <is>
          <t>4838</t>
        </is>
      </c>
      <c r="K45" s="332">
        <f>IFERROR(VLOOKUP(TEXT(O45,"0"),CONDUCTORES!$A$3:$G$100,7,0),"")</f>
        <v/>
      </c>
      <c r="L45" s="239" t="n">
        <v>20.25</v>
      </c>
      <c r="M45" s="239" t="n">
        <v>7</v>
      </c>
      <c r="N45" s="333">
        <f>IFERROR(IF(L45*M45=0,"",L45*M45),"")</f>
        <v/>
      </c>
      <c r="O45" s="334" t="n"/>
      <c r="P45" s="332">
        <f>IFERROR(VLOOKUP(TEXT(O45,"0"),CONDUCTORES!$A$3:$G$100,2,0),"")</f>
        <v/>
      </c>
      <c r="Q45" s="332">
        <f>IFERROR(VLOOKUP(TEXT(O45,"0"),CONDUCTORES!$A$3:$H$100,6,0),"")</f>
        <v/>
      </c>
      <c r="R45" s="280" t="inlineStr">
        <is>
          <t>ENTREGADO 17/06/2025</t>
        </is>
      </c>
      <c r="S45" s="305" t="inlineStr">
        <is>
          <t>I679,I10X,K920</t>
        </is>
      </c>
      <c r="T45" s="241" t="n"/>
      <c r="U45" s="280" t="n"/>
      <c r="V45" s="241" t="n"/>
      <c r="W45" s="241" t="inlineStr">
        <is>
          <t>3479.0</t>
        </is>
      </c>
      <c r="X45" s="241" t="inlineStr">
        <is>
          <t>189.0</t>
        </is>
      </c>
      <c r="Y45" s="280" t="n"/>
    </row>
    <row r="46" ht="15.75" customHeight="1" s="195">
      <c r="A46" s="301" t="n">
        <v>41</v>
      </c>
      <c r="B46" s="302" t="inlineStr">
        <is>
          <t>00000099</t>
        </is>
      </c>
      <c r="C46" s="301" t="inlineStr">
        <is>
          <t>REGION</t>
        </is>
      </c>
      <c r="D46" s="302" t="inlineStr">
        <is>
          <t>LOPEZ TAFUR SALVADORA DE JESUS</t>
        </is>
      </c>
      <c r="E46" s="301" t="inlineStr">
        <is>
          <t>DNI</t>
        </is>
      </c>
      <c r="F46" s="301" t="inlineStr">
        <is>
          <t>48628383</t>
        </is>
      </c>
      <c r="G46" s="331" t="n">
        <v>45775</v>
      </c>
      <c r="H46" s="301" t="inlineStr">
        <is>
          <t>4950</t>
        </is>
      </c>
      <c r="I46" s="332">
        <f>IFERROR(VLOOKUP(TEXT(H46,"0"),IPRESS!$A$3:$B$212,2,0),"")</f>
        <v/>
      </c>
      <c r="J46" s="301" t="inlineStr">
        <is>
          <t>4838</t>
        </is>
      </c>
      <c r="K46" s="332">
        <f>IFERROR(VLOOKUP(TEXT(O46,"0"),CONDUCTORES!$A$3:$G$100,7,0),"")</f>
        <v/>
      </c>
      <c r="L46" s="245" t="n">
        <v>20.25</v>
      </c>
      <c r="M46" s="245" t="n">
        <v>10</v>
      </c>
      <c r="N46" s="333">
        <f>IFERROR(IF(L46*M46=0,"",L46*M46),"")</f>
        <v/>
      </c>
      <c r="O46" s="280" t="n"/>
      <c r="P46" s="332">
        <f>IFERROR(VLOOKUP(TEXT(O46,"0"),CONDUCTORES!$A$3:$G$100,2,0),"")</f>
        <v/>
      </c>
      <c r="Q46" s="332">
        <f>IFERROR(VLOOKUP(TEXT(O46,"0"),CONDUCTORES!$A$3:$H$100,6,0),"")</f>
        <v/>
      </c>
      <c r="R46" s="334" t="inlineStr">
        <is>
          <t>ENTREGADO 17/06/2025</t>
        </is>
      </c>
      <c r="S46" s="302" t="inlineStr">
        <is>
          <t>O990,O051,R571</t>
        </is>
      </c>
      <c r="T46" s="301" t="n"/>
      <c r="U46" s="334" t="n"/>
      <c r="V46" s="301" t="n"/>
      <c r="W46" s="301" t="inlineStr">
        <is>
          <t>3479.0</t>
        </is>
      </c>
      <c r="X46" s="301" t="inlineStr">
        <is>
          <t>189.0</t>
        </is>
      </c>
      <c r="Y46" s="280" t="n"/>
    </row>
    <row r="47" ht="15.75" customHeight="1" s="195">
      <c r="A47" s="241" t="n">
        <v>42</v>
      </c>
      <c r="B47" s="305" t="inlineStr">
        <is>
          <t>00000075</t>
        </is>
      </c>
      <c r="C47" s="241" t="inlineStr">
        <is>
          <t>REGION</t>
        </is>
      </c>
      <c r="D47" s="305" t="inlineStr">
        <is>
          <t>ARISTA TRUJILLO BRIANA JHULISA</t>
        </is>
      </c>
      <c r="E47" s="241" t="inlineStr">
        <is>
          <t>DNI</t>
        </is>
      </c>
      <c r="F47" s="241" t="inlineStr">
        <is>
          <t>79994438</t>
        </is>
      </c>
      <c r="G47" s="336" t="n">
        <v>45748</v>
      </c>
      <c r="H47" s="241" t="inlineStr">
        <is>
          <t>4950</t>
        </is>
      </c>
      <c r="I47" s="332">
        <f>IFERROR(VLOOKUP(TEXT(H47,"0"),IPRESS!$A$3:$B$212,2,0),"")</f>
        <v/>
      </c>
      <c r="J47" s="241" t="inlineStr">
        <is>
          <t>4838</t>
        </is>
      </c>
      <c r="K47" s="332">
        <f>IFERROR(VLOOKUP(TEXT(O47,"0"),CONDUCTORES!$A$3:$G$100,7,0),"")</f>
        <v/>
      </c>
      <c r="L47" s="239" t="n">
        <v>20.25</v>
      </c>
      <c r="M47" s="239" t="n">
        <v>10</v>
      </c>
      <c r="N47" s="333">
        <f>IFERROR(IF(L47*M47=0,"",L47*M47),"")</f>
        <v/>
      </c>
      <c r="O47" s="334" t="n"/>
      <c r="P47" s="332">
        <f>IFERROR(VLOOKUP(TEXT(O47,"0"),CONDUCTORES!$A$3:$G$100,2,0),"")</f>
        <v/>
      </c>
      <c r="Q47" s="332">
        <f>IFERROR(VLOOKUP(TEXT(O47,"0"),CONDUCTORES!$A$3:$H$100,6,0),"")</f>
        <v/>
      </c>
      <c r="R47" s="336" t="n">
        <v>45839</v>
      </c>
      <c r="S47" s="305" t="inlineStr">
        <is>
          <t>K359</t>
        </is>
      </c>
      <c r="T47" s="241" t="inlineStr">
        <is>
          <t xml:space="preserve">DEVOLVER AMBULANCIA DE OMIA </t>
        </is>
      </c>
      <c r="U47" s="280" t="n"/>
      <c r="V47" s="241" t="n"/>
      <c r="W47" s="241" t="n"/>
      <c r="X47" s="241" t="n"/>
      <c r="Y47" s="280" t="n"/>
    </row>
    <row r="48" ht="15.75" customHeight="1" s="195">
      <c r="A48" s="301" t="n">
        <v>43</v>
      </c>
      <c r="B48" s="302" t="inlineStr">
        <is>
          <t>00000014</t>
        </is>
      </c>
      <c r="C48" s="301" t="inlineStr">
        <is>
          <t>REGION</t>
        </is>
      </c>
      <c r="D48" s="302" t="inlineStr">
        <is>
          <t>TAFUR VARGAS JOSE CELIN</t>
        </is>
      </c>
      <c r="E48" s="301" t="inlineStr">
        <is>
          <t>DNI</t>
        </is>
      </c>
      <c r="F48" s="301" t="inlineStr">
        <is>
          <t>33944669</t>
        </is>
      </c>
      <c r="G48" s="331" t="n">
        <v>45757</v>
      </c>
      <c r="H48" s="301" t="inlineStr">
        <is>
          <t>4943</t>
        </is>
      </c>
      <c r="I48" s="332">
        <f>IFERROR(VLOOKUP(TEXT(H48,"0"),IPRESS!$A$3:$B$212,2,0),"")</f>
        <v/>
      </c>
      <c r="J48" s="301" t="inlineStr">
        <is>
          <t>4950</t>
        </is>
      </c>
      <c r="K48" s="332">
        <f>IFERROR(VLOOKUP(TEXT(O48,"0"),CONDUCTORES!$A$3:$G$100,7,0),"")</f>
        <v/>
      </c>
      <c r="L48" s="245" t="n">
        <v>20.25</v>
      </c>
      <c r="M48" s="245" t="n">
        <v>3</v>
      </c>
      <c r="N48" s="333">
        <f>IFERROR(IF(L48*M48=0,"",L48*M48),"")</f>
        <v/>
      </c>
      <c r="O48" s="280" t="n"/>
      <c r="P48" s="332">
        <f>IFERROR(VLOOKUP(TEXT(O48,"0"),CONDUCTORES!$A$3:$G$100,2,0),"")</f>
        <v/>
      </c>
      <c r="Q48" s="332">
        <f>IFERROR(VLOOKUP(TEXT(O48,"0"),CONDUCTORES!$A$3:$H$100,6,0),"")</f>
        <v/>
      </c>
      <c r="R48" s="331" t="n">
        <v>45833</v>
      </c>
      <c r="S48" s="302" t="inlineStr">
        <is>
          <t>R030,R509,R33X</t>
        </is>
      </c>
      <c r="T48" s="301" t="n"/>
      <c r="U48" s="334" t="n"/>
      <c r="V48" s="301" t="n"/>
      <c r="W48" s="301" t="n"/>
      <c r="X48" s="301" t="n"/>
      <c r="Y48" s="280" t="n"/>
    </row>
    <row r="49" ht="15.75" customHeight="1" s="195">
      <c r="A49" s="241" t="n">
        <v>44</v>
      </c>
      <c r="B49" s="305" t="inlineStr">
        <is>
          <t>00000015</t>
        </is>
      </c>
      <c r="C49" s="241" t="inlineStr">
        <is>
          <t>REGION</t>
        </is>
      </c>
      <c r="D49" s="305" t="inlineStr">
        <is>
          <t>TAFUR VARGAS MARIA SANTOS</t>
        </is>
      </c>
      <c r="E49" s="241" t="inlineStr">
        <is>
          <t>DNI</t>
        </is>
      </c>
      <c r="F49" s="241" t="inlineStr">
        <is>
          <t>33945283</t>
        </is>
      </c>
      <c r="G49" s="336" t="n">
        <v>45758</v>
      </c>
      <c r="H49" s="241" t="inlineStr">
        <is>
          <t>4943</t>
        </is>
      </c>
      <c r="I49" s="332">
        <f>IFERROR(VLOOKUP(TEXT(H49,"0"),IPRESS!$A$3:$B$212,2,0),"")</f>
        <v/>
      </c>
      <c r="J49" s="241" t="inlineStr">
        <is>
          <t>4950</t>
        </is>
      </c>
      <c r="K49" s="332">
        <f>IFERROR(VLOOKUP(TEXT(O49,"0"),CONDUCTORES!$A$3:$G$100,7,0),"")</f>
        <v/>
      </c>
      <c r="L49" s="239" t="n">
        <v>20.25</v>
      </c>
      <c r="M49" s="239" t="n">
        <v>3</v>
      </c>
      <c r="N49" s="333">
        <f>IFERROR(IF(L49*M49=0,"",L49*M49),"")</f>
        <v/>
      </c>
      <c r="O49" s="334" t="n"/>
      <c r="P49" s="332">
        <f>IFERROR(VLOOKUP(TEXT(O49,"0"),CONDUCTORES!$A$3:$G$100,2,0),"")</f>
        <v/>
      </c>
      <c r="Q49" s="332">
        <f>IFERROR(VLOOKUP(TEXT(O49,"0"),CONDUCTORES!$A$3:$H$100,6,0),"")</f>
        <v/>
      </c>
      <c r="R49" s="336" t="n">
        <v>45833</v>
      </c>
      <c r="S49" s="305" t="inlineStr">
        <is>
          <t>R030,I10X,S005</t>
        </is>
      </c>
      <c r="T49" s="241" t="n"/>
      <c r="U49" s="280" t="n"/>
      <c r="V49" s="241" t="n"/>
      <c r="W49" s="241" t="n"/>
      <c r="X49" s="241" t="n"/>
      <c r="Y49" s="280" t="n"/>
    </row>
    <row r="50" ht="15.75" customHeight="1" s="195">
      <c r="A50" s="301" t="n">
        <v>45</v>
      </c>
      <c r="B50" s="302" t="inlineStr">
        <is>
          <t>00000016</t>
        </is>
      </c>
      <c r="C50" s="301" t="inlineStr">
        <is>
          <t>REGION</t>
        </is>
      </c>
      <c r="D50" s="302" t="inlineStr">
        <is>
          <t>GRANDEZ MELENDEZ LEONILA</t>
        </is>
      </c>
      <c r="E50" s="301" t="inlineStr">
        <is>
          <t>DNI</t>
        </is>
      </c>
      <c r="F50" s="301" t="inlineStr">
        <is>
          <t>33944243</t>
        </is>
      </c>
      <c r="G50" s="331" t="n">
        <v>45768</v>
      </c>
      <c r="H50" s="301" t="inlineStr">
        <is>
          <t>4943</t>
        </is>
      </c>
      <c r="I50" s="332">
        <f>IFERROR(VLOOKUP(TEXT(H50,"0"),IPRESS!$A$3:$B$212,2,0),"")</f>
        <v/>
      </c>
      <c r="J50" s="301" t="inlineStr">
        <is>
          <t>4950</t>
        </is>
      </c>
      <c r="K50" s="332">
        <f>IFERROR(VLOOKUP(TEXT(O50,"0"),CONDUCTORES!$A$3:$G$100,7,0),"")</f>
        <v/>
      </c>
      <c r="L50" s="245" t="n">
        <v>20.25</v>
      </c>
      <c r="M50" s="245" t="n">
        <v>3</v>
      </c>
      <c r="N50" s="333">
        <f>IFERROR(IF(L50*M50=0,"",L50*M50),"")</f>
        <v/>
      </c>
      <c r="O50" s="280" t="n"/>
      <c r="P50" s="332">
        <f>IFERROR(VLOOKUP(TEXT(O50,"0"),CONDUCTORES!$A$3:$G$100,2,0),"")</f>
        <v/>
      </c>
      <c r="Q50" s="332">
        <f>IFERROR(VLOOKUP(TEXT(O50,"0"),CONDUCTORES!$A$3:$H$100,6,0),"")</f>
        <v/>
      </c>
      <c r="R50" s="331" t="n">
        <v>45833</v>
      </c>
      <c r="S50" s="302" t="inlineStr">
        <is>
          <t>J189,R609</t>
        </is>
      </c>
      <c r="T50" s="301" t="n"/>
      <c r="U50" s="334" t="n"/>
      <c r="V50" s="301" t="n"/>
      <c r="W50" s="301" t="n"/>
      <c r="X50" s="301" t="n"/>
      <c r="Y50" s="280" t="n"/>
    </row>
    <row r="51" ht="15.75" customHeight="1" s="195">
      <c r="A51" s="241" t="n">
        <v>46</v>
      </c>
      <c r="B51" s="305" t="inlineStr">
        <is>
          <t>00000017</t>
        </is>
      </c>
      <c r="C51" s="241" t="inlineStr">
        <is>
          <t>REGION</t>
        </is>
      </c>
      <c r="D51" s="305" t="inlineStr">
        <is>
          <t>CRUZ MATUS MARIA</t>
        </is>
      </c>
      <c r="E51" s="241" t="inlineStr">
        <is>
          <t>DNI</t>
        </is>
      </c>
      <c r="F51" s="241" t="inlineStr">
        <is>
          <t>33945653</t>
        </is>
      </c>
      <c r="G51" s="336" t="n">
        <v>45777</v>
      </c>
      <c r="H51" s="241" t="inlineStr">
        <is>
          <t>4943</t>
        </is>
      </c>
      <c r="I51" s="332">
        <f>IFERROR(VLOOKUP(TEXT(H51,"0"),IPRESS!$A$3:$B$212,2,0),"")</f>
        <v/>
      </c>
      <c r="J51" s="241" t="inlineStr">
        <is>
          <t>4950</t>
        </is>
      </c>
      <c r="K51" s="332">
        <f>IFERROR(VLOOKUP(TEXT(O51,"0"),CONDUCTORES!$A$3:$G$100,7,0),"")</f>
        <v/>
      </c>
      <c r="L51" s="239" t="n">
        <v>20.25</v>
      </c>
      <c r="M51" s="239" t="n">
        <v>3</v>
      </c>
      <c r="N51" s="333">
        <f>IFERROR(IF(L51*M51=0,"",L51*M51),"")</f>
        <v/>
      </c>
      <c r="O51" s="334" t="n"/>
      <c r="P51" s="332">
        <f>IFERROR(VLOOKUP(TEXT(O51,"0"),CONDUCTORES!$A$3:$G$100,2,0),"")</f>
        <v/>
      </c>
      <c r="Q51" s="332">
        <f>IFERROR(VLOOKUP(TEXT(O51,"0"),CONDUCTORES!$A$3:$H$100,6,0),"")</f>
        <v/>
      </c>
      <c r="R51" s="336" t="n">
        <v>45833</v>
      </c>
      <c r="S51" s="305" t="inlineStr">
        <is>
          <t>I679</t>
        </is>
      </c>
      <c r="T51" s="241" t="n"/>
      <c r="U51" s="280" t="n"/>
      <c r="V51" s="241" t="n"/>
      <c r="W51" s="241" t="n"/>
      <c r="X51" s="241" t="n"/>
      <c r="Y51" s="280" t="n"/>
    </row>
    <row r="52" ht="15.75" customHeight="1" s="195">
      <c r="A52" s="301" t="n">
        <v>47</v>
      </c>
      <c r="B52" s="302" t="inlineStr">
        <is>
          <t>00000007</t>
        </is>
      </c>
      <c r="C52" s="301" t="inlineStr">
        <is>
          <t>REGION</t>
        </is>
      </c>
      <c r="D52" s="302" t="inlineStr">
        <is>
          <t>LLAMOCA BELLIDO SHORINA</t>
        </is>
      </c>
      <c r="E52" s="301" t="inlineStr">
        <is>
          <t>DNI</t>
        </is>
      </c>
      <c r="F52" s="301" t="inlineStr">
        <is>
          <t>42690976</t>
        </is>
      </c>
      <c r="G52" s="331" t="n">
        <v>45776</v>
      </c>
      <c r="H52" s="301" t="inlineStr">
        <is>
          <t>4917</t>
        </is>
      </c>
      <c r="I52" s="332">
        <f>IFERROR(VLOOKUP(TEXT(H52,"0"),IPRESS!$A$3:$B$212,2,0),"")</f>
        <v/>
      </c>
      <c r="J52" s="301" t="inlineStr">
        <is>
          <t>4838</t>
        </is>
      </c>
      <c r="K52" s="332">
        <f>IFERROR(VLOOKUP(TEXT(O52,"0"),CONDUCTORES!$A$3:$G$100,7,0),"")</f>
        <v/>
      </c>
      <c r="L52" s="245" t="n">
        <v>18.18</v>
      </c>
      <c r="M52" s="245" t="n">
        <v>12</v>
      </c>
      <c r="N52" s="333">
        <f>IFERROR(IF(L52*M52=0,"",L52*M52),"")</f>
        <v/>
      </c>
      <c r="O52" s="280" t="n"/>
      <c r="P52" s="332">
        <f>IFERROR(VLOOKUP(TEXT(O52,"0"),CONDUCTORES!$A$3:$G$100,2,0),"")</f>
        <v/>
      </c>
      <c r="Q52" s="332">
        <f>IFERROR(VLOOKUP(TEXT(O52,"0"),CONDUCTORES!$A$3:$H$100,6,0),"")</f>
        <v/>
      </c>
      <c r="R52" s="331" t="n">
        <v>45828</v>
      </c>
      <c r="S52" s="302" t="inlineStr">
        <is>
          <t>O368</t>
        </is>
      </c>
      <c r="T52" s="301" t="n"/>
      <c r="U52" s="334" t="n"/>
      <c r="V52" s="301" t="n"/>
      <c r="W52" s="301" t="n"/>
      <c r="X52" s="301" t="n"/>
      <c r="Y52" s="280" t="n"/>
    </row>
    <row r="53" ht="15.75" customHeight="1" s="195">
      <c r="A53" s="241" t="n">
        <v>48</v>
      </c>
      <c r="B53" s="305" t="inlineStr">
        <is>
          <t>00000018</t>
        </is>
      </c>
      <c r="C53" s="241" t="inlineStr">
        <is>
          <t>REGION</t>
        </is>
      </c>
      <c r="D53" s="305" t="inlineStr">
        <is>
          <t>NUNURA MALQUI RODRICK GADIEL</t>
        </is>
      </c>
      <c r="E53" s="241" t="inlineStr">
        <is>
          <t>DNI</t>
        </is>
      </c>
      <c r="F53" s="241" t="inlineStr">
        <is>
          <t>93669654</t>
        </is>
      </c>
      <c r="G53" s="336" t="n">
        <v>45772</v>
      </c>
      <c r="H53" s="241" t="inlineStr">
        <is>
          <t>4850</t>
        </is>
      </c>
      <c r="I53" s="332">
        <f>IFERROR(VLOOKUP(TEXT(H53,"0"),IPRESS!$A$3:$B$212,2,0),"")</f>
        <v/>
      </c>
      <c r="J53" s="241" t="inlineStr">
        <is>
          <t>4838</t>
        </is>
      </c>
      <c r="K53" s="332">
        <f>IFERROR(VLOOKUP(TEXT(O53,"0"),CONDUCTORES!$A$3:$G$100,7,0),"")</f>
        <v/>
      </c>
      <c r="L53" s="239" t="n">
        <v>18.18</v>
      </c>
      <c r="M53" s="239" t="n">
        <v>4</v>
      </c>
      <c r="N53" s="333">
        <f>IFERROR(IF(L53*M53=0,"",L53*M53),"")</f>
        <v/>
      </c>
      <c r="O53" s="334" t="n"/>
      <c r="P53" s="332">
        <f>IFERROR(VLOOKUP(TEXT(O53,"0"),CONDUCTORES!$A$3:$G$100,2,0),"")</f>
        <v/>
      </c>
      <c r="Q53" s="332">
        <f>IFERROR(VLOOKUP(TEXT(O53,"0"),CONDUCTORES!$A$3:$H$100,6,0),"")</f>
        <v/>
      </c>
      <c r="R53" s="336" t="n">
        <v>45828</v>
      </c>
      <c r="S53" s="305" t="inlineStr">
        <is>
          <t>J960,J189</t>
        </is>
      </c>
      <c r="T53" s="241" t="n"/>
      <c r="U53" s="280" t="n"/>
      <c r="V53" s="241" t="n"/>
      <c r="W53" s="241" t="n"/>
      <c r="X53" s="241" t="n"/>
      <c r="Y53" s="280" t="n"/>
    </row>
    <row r="54" ht="15.75" customHeight="1" s="195">
      <c r="A54" s="301" t="n">
        <v>49</v>
      </c>
      <c r="B54" s="302" t="inlineStr">
        <is>
          <t>00000019</t>
        </is>
      </c>
      <c r="C54" s="301" t="inlineStr">
        <is>
          <t>REGION</t>
        </is>
      </c>
      <c r="D54" s="302" t="inlineStr">
        <is>
          <t>SANTILLAN VALQUI ANDRES</t>
        </is>
      </c>
      <c r="E54" s="301" t="inlineStr">
        <is>
          <t>DNI</t>
        </is>
      </c>
      <c r="F54" s="301" t="inlineStr">
        <is>
          <t>43594049</t>
        </is>
      </c>
      <c r="G54" s="331" t="n">
        <v>45773</v>
      </c>
      <c r="H54" s="301" t="inlineStr">
        <is>
          <t>4850</t>
        </is>
      </c>
      <c r="I54" s="332">
        <f>IFERROR(VLOOKUP(TEXT(H54,"0"),IPRESS!$A$3:$B$212,2,0),"")</f>
        <v/>
      </c>
      <c r="J54" s="301" t="inlineStr">
        <is>
          <t>4838</t>
        </is>
      </c>
      <c r="K54" s="332">
        <f>IFERROR(VLOOKUP(TEXT(O54,"0"),CONDUCTORES!$A$3:$G$100,7,0),"")</f>
        <v/>
      </c>
      <c r="L54" s="245" t="n">
        <v>18.18</v>
      </c>
      <c r="M54" s="245" t="n">
        <v>4</v>
      </c>
      <c r="N54" s="333">
        <f>IFERROR(IF(L54*M54=0,"",L54*M54),"")</f>
        <v/>
      </c>
      <c r="O54" s="280" t="n"/>
      <c r="P54" s="332">
        <f>IFERROR(VLOOKUP(TEXT(O54,"0"),CONDUCTORES!$A$3:$G$100,2,0),"")</f>
        <v/>
      </c>
      <c r="Q54" s="332">
        <f>IFERROR(VLOOKUP(TEXT(O54,"0"),CONDUCTORES!$A$3:$H$100,6,0),"")</f>
        <v/>
      </c>
      <c r="R54" s="331" t="n">
        <v>45828</v>
      </c>
      <c r="S54" s="302" t="inlineStr">
        <is>
          <t>J960,J690</t>
        </is>
      </c>
      <c r="T54" s="301" t="n"/>
      <c r="U54" s="334" t="n"/>
      <c r="V54" s="301" t="n"/>
      <c r="W54" s="301" t="n"/>
      <c r="X54" s="301" t="n"/>
      <c r="Y54" s="280" t="n"/>
    </row>
    <row r="55" ht="15.75" customHeight="1" s="195">
      <c r="A55" s="241" t="n">
        <v>50</v>
      </c>
      <c r="B55" s="305" t="inlineStr">
        <is>
          <t>00000011</t>
        </is>
      </c>
      <c r="C55" s="241" t="inlineStr">
        <is>
          <t>REGION</t>
        </is>
      </c>
      <c r="D55" s="305" t="inlineStr">
        <is>
          <t>OÑANTES ZEGARRA ALESKA JHAMILET</t>
        </is>
      </c>
      <c r="E55" s="241" t="inlineStr">
        <is>
          <t>DNI</t>
        </is>
      </c>
      <c r="F55" s="241" t="inlineStr">
        <is>
          <t>79485895</t>
        </is>
      </c>
      <c r="G55" s="336" t="n">
        <v>45749</v>
      </c>
      <c r="H55" s="241" t="inlineStr">
        <is>
          <t>4859</t>
        </is>
      </c>
      <c r="I55" s="332">
        <f>IFERROR(VLOOKUP(TEXT(H55,"0"),IPRESS!$A$3:$B$212,2,0),"")</f>
        <v/>
      </c>
      <c r="J55" s="241" t="inlineStr">
        <is>
          <t>4838</t>
        </is>
      </c>
      <c r="K55" s="332">
        <f>IFERROR(VLOOKUP(TEXT(O55,"0"),CONDUCTORES!$A$3:$G$100,7,0),"")</f>
        <v/>
      </c>
      <c r="L55" s="239" t="n">
        <v>18.18</v>
      </c>
      <c r="M55" s="239" t="n">
        <v>7</v>
      </c>
      <c r="N55" s="333">
        <f>IFERROR(IF(L55*M55=0,"",L55*M55),"")</f>
        <v/>
      </c>
      <c r="O55" s="334" t="n"/>
      <c r="P55" s="332">
        <f>IFERROR(VLOOKUP(TEXT(O55,"0"),CONDUCTORES!$A$3:$G$100,2,0),"")</f>
        <v/>
      </c>
      <c r="Q55" s="332">
        <f>IFERROR(VLOOKUP(TEXT(O55,"0"),CONDUCTORES!$A$3:$H$100,6,0),"")</f>
        <v/>
      </c>
      <c r="R55" s="280" t="inlineStr">
        <is>
          <t>ENTREGADO 17/06/2025</t>
        </is>
      </c>
      <c r="S55" s="305" t="inlineStr">
        <is>
          <t>J960,J189</t>
        </is>
      </c>
      <c r="T55" s="241" t="n"/>
      <c r="U55" s="280" t="n"/>
      <c r="V55" s="241" t="n"/>
      <c r="W55" s="241" t="inlineStr">
        <is>
          <t>CONTRATO N° 001-2025 DYT</t>
        </is>
      </c>
      <c r="X55" s="241" t="inlineStr">
        <is>
          <t>285.0</t>
        </is>
      </c>
      <c r="Y55" s="280" t="n"/>
    </row>
    <row r="56" ht="15.75" customHeight="1" s="195">
      <c r="A56" s="301" t="n">
        <v>51</v>
      </c>
      <c r="B56" s="302" t="inlineStr">
        <is>
          <t>00000012</t>
        </is>
      </c>
      <c r="C56" s="301" t="inlineStr">
        <is>
          <t>REGION</t>
        </is>
      </c>
      <c r="D56" s="302" t="inlineStr">
        <is>
          <t>RENGIFO ESCOBEDO RITA NOEMI</t>
        </is>
      </c>
      <c r="E56" s="301" t="inlineStr">
        <is>
          <t>DNI</t>
        </is>
      </c>
      <c r="F56" s="301" t="inlineStr">
        <is>
          <t>60215652</t>
        </is>
      </c>
      <c r="G56" s="331" t="n">
        <v>45751</v>
      </c>
      <c r="H56" s="301" t="inlineStr">
        <is>
          <t>4859</t>
        </is>
      </c>
      <c r="I56" s="332">
        <f>IFERROR(VLOOKUP(TEXT(H56,"0"),IPRESS!$A$3:$B$212,2,0),"")</f>
        <v/>
      </c>
      <c r="J56" s="301" t="inlineStr">
        <is>
          <t>4838</t>
        </is>
      </c>
      <c r="K56" s="332">
        <f>IFERROR(VLOOKUP(TEXT(O56,"0"),CONDUCTORES!$A$3:$G$100,7,0),"")</f>
        <v/>
      </c>
      <c r="L56" s="245" t="n">
        <v>18.18</v>
      </c>
      <c r="M56" s="245" t="n">
        <v>7</v>
      </c>
      <c r="N56" s="333">
        <f>IFERROR(IF(L56*M56=0,"",L56*M56),"")</f>
        <v/>
      </c>
      <c r="O56" s="280" t="n"/>
      <c r="P56" s="332">
        <f>IFERROR(VLOOKUP(TEXT(O56,"0"),CONDUCTORES!$A$3:$G$100,2,0),"")</f>
        <v/>
      </c>
      <c r="Q56" s="332">
        <f>IFERROR(VLOOKUP(TEXT(O56,"0"),CONDUCTORES!$A$3:$H$100,6,0),"")</f>
        <v/>
      </c>
      <c r="R56" s="334" t="inlineStr">
        <is>
          <t>ENTREGADO 17/06/2026</t>
        </is>
      </c>
      <c r="S56" s="302" t="inlineStr">
        <is>
          <t>O661</t>
        </is>
      </c>
      <c r="T56" s="301" t="n"/>
      <c r="U56" s="334" t="n"/>
      <c r="V56" s="301" t="n"/>
      <c r="W56" s="301" t="inlineStr">
        <is>
          <t>CONTRATO N° 001-2025 DYT</t>
        </is>
      </c>
      <c r="X56" s="301" t="inlineStr">
        <is>
          <t>285.0</t>
        </is>
      </c>
      <c r="Y56" s="280" t="n"/>
    </row>
    <row r="57" ht="15.75" customHeight="1" s="195">
      <c r="A57" s="241" t="n">
        <v>52</v>
      </c>
      <c r="B57" s="305" t="inlineStr">
        <is>
          <t>00000013</t>
        </is>
      </c>
      <c r="C57" s="241" t="inlineStr">
        <is>
          <t>REGION</t>
        </is>
      </c>
      <c r="D57" s="305" t="inlineStr">
        <is>
          <t>ZELADA SANCHEZ JESSICA AGRIPINA</t>
        </is>
      </c>
      <c r="E57" s="241" t="inlineStr">
        <is>
          <t>DNI</t>
        </is>
      </c>
      <c r="F57" s="241" t="inlineStr">
        <is>
          <t>46026492</t>
        </is>
      </c>
      <c r="G57" s="336" t="n">
        <v>45761</v>
      </c>
      <c r="H57" s="241" t="inlineStr">
        <is>
          <t>4859</t>
        </is>
      </c>
      <c r="I57" s="332">
        <f>IFERROR(VLOOKUP(TEXT(H57,"0"),IPRESS!$A$3:$B$212,2,0),"")</f>
        <v/>
      </c>
      <c r="J57" s="241" t="inlineStr">
        <is>
          <t>4838</t>
        </is>
      </c>
      <c r="K57" s="332">
        <f>IFERROR(VLOOKUP(TEXT(O57,"0"),CONDUCTORES!$A$3:$G$100,7,0),"")</f>
        <v/>
      </c>
      <c r="L57" s="239" t="n">
        <v>18.18</v>
      </c>
      <c r="M57" s="239" t="n">
        <v>7</v>
      </c>
      <c r="N57" s="333">
        <f>IFERROR(IF(L57*M57=0,"",L57*M57),"")</f>
        <v/>
      </c>
      <c r="O57" s="334" t="n"/>
      <c r="P57" s="332">
        <f>IFERROR(VLOOKUP(TEXT(O57,"0"),CONDUCTORES!$A$3:$G$100,2,0),"")</f>
        <v/>
      </c>
      <c r="Q57" s="332">
        <f>IFERROR(VLOOKUP(TEXT(O57,"0"),CONDUCTORES!$A$3:$H$100,6,0),"")</f>
        <v/>
      </c>
      <c r="R57" s="280" t="inlineStr">
        <is>
          <t>ENTREGADO 17/06/2027</t>
        </is>
      </c>
      <c r="S57" s="305" t="inlineStr">
        <is>
          <t>O629</t>
        </is>
      </c>
      <c r="T57" s="241" t="n"/>
      <c r="U57" s="280" t="n"/>
      <c r="V57" s="241" t="n"/>
      <c r="W57" s="241" t="inlineStr">
        <is>
          <t>CONTRATO N° 001-2025 DYT</t>
        </is>
      </c>
      <c r="X57" s="241" t="inlineStr">
        <is>
          <t>285.0</t>
        </is>
      </c>
      <c r="Y57" s="280" t="n"/>
    </row>
    <row r="58" ht="15.75" customHeight="1" s="195">
      <c r="A58" s="301" t="n">
        <v>53</v>
      </c>
      <c r="B58" s="302" t="inlineStr">
        <is>
          <t>00000014</t>
        </is>
      </c>
      <c r="C58" s="301" t="inlineStr">
        <is>
          <t>REGION</t>
        </is>
      </c>
      <c r="D58" s="302" t="inlineStr">
        <is>
          <t>CACHAY BARDALES MARITZA FIORELA</t>
        </is>
      </c>
      <c r="E58" s="301" t="inlineStr">
        <is>
          <t>DNI</t>
        </is>
      </c>
      <c r="F58" s="301" t="inlineStr">
        <is>
          <t>45838743</t>
        </is>
      </c>
      <c r="G58" s="331" t="n">
        <v>45773</v>
      </c>
      <c r="H58" s="301" t="inlineStr">
        <is>
          <t>4859</t>
        </is>
      </c>
      <c r="I58" s="332">
        <f>IFERROR(VLOOKUP(TEXT(H58,"0"),IPRESS!$A$3:$B$212,2,0),"")</f>
        <v/>
      </c>
      <c r="J58" s="301" t="inlineStr">
        <is>
          <t>4838</t>
        </is>
      </c>
      <c r="K58" s="332">
        <f>IFERROR(VLOOKUP(TEXT(O58,"0"),CONDUCTORES!$A$3:$G$100,7,0),"")</f>
        <v/>
      </c>
      <c r="L58" s="245" t="n">
        <v>18.18</v>
      </c>
      <c r="M58" s="245" t="n">
        <v>7</v>
      </c>
      <c r="N58" s="333">
        <f>IFERROR(IF(L58*M58=0,"",L58*M58),"")</f>
        <v/>
      </c>
      <c r="O58" s="280" t="n"/>
      <c r="P58" s="332">
        <f>IFERROR(VLOOKUP(TEXT(O58,"0"),CONDUCTORES!$A$3:$G$100,2,0),"")</f>
        <v/>
      </c>
      <c r="Q58" s="332">
        <f>IFERROR(VLOOKUP(TEXT(O58,"0"),CONDUCTORES!$A$3:$H$100,6,0),"")</f>
        <v/>
      </c>
      <c r="R58" s="334" t="inlineStr">
        <is>
          <t>ENTREGADO 17/06/2028</t>
        </is>
      </c>
      <c r="S58" s="302" t="inlineStr">
        <is>
          <t>O629</t>
        </is>
      </c>
      <c r="T58" s="301" t="n"/>
      <c r="U58" s="334" t="n"/>
      <c r="V58" s="301" t="n"/>
      <c r="W58" s="301" t="inlineStr">
        <is>
          <t>CONTRATO N° 001-2025 DYT</t>
        </is>
      </c>
      <c r="X58" s="301" t="inlineStr">
        <is>
          <t>285.0</t>
        </is>
      </c>
      <c r="Y58" s="280" t="n"/>
    </row>
    <row r="59" ht="15.75" customHeight="1" s="195">
      <c r="A59" s="241" t="n">
        <v>54</v>
      </c>
      <c r="B59" s="305" t="inlineStr">
        <is>
          <t>00000004</t>
        </is>
      </c>
      <c r="C59" s="241" t="inlineStr">
        <is>
          <t>REGION</t>
        </is>
      </c>
      <c r="D59" s="305" t="inlineStr">
        <is>
          <t>LOPEZ TAFUR SALVADORA DE JESUS</t>
        </is>
      </c>
      <c r="E59" s="241" t="inlineStr">
        <is>
          <t>DNI</t>
        </is>
      </c>
      <c r="F59" s="241" t="inlineStr">
        <is>
          <t>48628383</t>
        </is>
      </c>
      <c r="G59" s="336" t="n">
        <v>45775</v>
      </c>
      <c r="H59" s="241" t="inlineStr">
        <is>
          <t>4955</t>
        </is>
      </c>
      <c r="I59" s="332">
        <f>IFERROR(VLOOKUP(TEXT(H59,"0"),IPRESS!$A$3:$B$212,2,0),"")</f>
        <v/>
      </c>
      <c r="J59" s="241" t="inlineStr">
        <is>
          <t>4950</t>
        </is>
      </c>
      <c r="K59" s="332">
        <f>IFERROR(VLOOKUP(TEXT(O59,"0"),CONDUCTORES!$A$3:$G$100,7,0),"")</f>
        <v/>
      </c>
      <c r="L59" s="239" t="n">
        <v>20.25</v>
      </c>
      <c r="M59" s="239" t="n">
        <v>8</v>
      </c>
      <c r="N59" s="333">
        <f>IFERROR(IF(L59*M59=0,"",L59*M59),"")</f>
        <v/>
      </c>
      <c r="O59" s="334" t="n"/>
      <c r="P59" s="332">
        <f>IFERROR(VLOOKUP(TEXT(O59,"0"),CONDUCTORES!$A$3:$G$100,2,0),"")</f>
        <v/>
      </c>
      <c r="Q59" s="332">
        <f>IFERROR(VLOOKUP(TEXT(O59,"0"),CONDUCTORES!$A$3:$H$100,6,0),"")</f>
        <v/>
      </c>
      <c r="R59" s="336" t="n">
        <v>45828</v>
      </c>
      <c r="S59" s="305" t="inlineStr">
        <is>
          <t>O034,D509</t>
        </is>
      </c>
      <c r="T59" s="241" t="n"/>
      <c r="U59" s="280" t="n"/>
      <c r="V59" s="241" t="n"/>
      <c r="W59" s="241" t="n"/>
      <c r="X59" s="241" t="n"/>
      <c r="Y59" s="280" t="n"/>
    </row>
    <row r="60" ht="15.75" customHeight="1" s="195">
      <c r="A60" s="337" t="n">
        <v>55</v>
      </c>
      <c r="B60" s="338" t="inlineStr">
        <is>
          <t>00000022</t>
        </is>
      </c>
      <c r="C60" s="337" t="inlineStr">
        <is>
          <t>REGION</t>
        </is>
      </c>
      <c r="D60" s="338" t="inlineStr">
        <is>
          <t>PINEDO GALOC MARLENI</t>
        </is>
      </c>
      <c r="E60" s="337" t="inlineStr">
        <is>
          <t>DNI</t>
        </is>
      </c>
      <c r="F60" s="337" t="inlineStr">
        <is>
          <t>41125027</t>
        </is>
      </c>
      <c r="G60" s="339" t="n">
        <v>45771</v>
      </c>
      <c r="H60" s="337" t="inlineStr">
        <is>
          <t>4869</t>
        </is>
      </c>
      <c r="I60" s="332">
        <f>IFERROR(VLOOKUP(TEXT(H60,"0"),IPRESS!$A$3:$B$212,2,0),"")</f>
        <v/>
      </c>
      <c r="J60" s="337" t="inlineStr">
        <is>
          <t>4838</t>
        </is>
      </c>
      <c r="K60" s="332">
        <f>IFERROR(VLOOKUP(TEXT(O60,"0"),CONDUCTORES!$A$3:$G$100,7,0),"")</f>
        <v/>
      </c>
      <c r="L60" s="340" t="n">
        <v>17.95</v>
      </c>
      <c r="M60" s="340" t="n">
        <v>8</v>
      </c>
      <c r="N60" s="333">
        <f>IFERROR(IF(L60*M60=0,"",L60*M60),"")</f>
        <v/>
      </c>
      <c r="O60" s="280" t="n"/>
      <c r="P60" s="332">
        <f>IFERROR(VLOOKUP(TEXT(O60,"0"),CONDUCTORES!$A$3:$G$100,2,0),"")</f>
        <v/>
      </c>
      <c r="Q60" s="332">
        <f>IFERROR(VLOOKUP(TEXT(O60,"0"),CONDUCTORES!$A$3:$H$100,6,0),"")</f>
        <v/>
      </c>
      <c r="R60" s="339" t="n">
        <v>45790</v>
      </c>
      <c r="S60" s="338" t="inlineStr">
        <is>
          <t>N939,D509</t>
        </is>
      </c>
      <c r="T60" s="337" t="n"/>
      <c r="U60" s="341" t="n"/>
      <c r="V60" s="337" t="inlineStr">
        <is>
          <t>1940-2025</t>
        </is>
      </c>
      <c r="W60" s="337" t="inlineStr">
        <is>
          <t>0000108- ADENDA N°001-2025 DRSA/OEA-O.ABAST</t>
        </is>
      </c>
      <c r="X60" s="337" t="inlineStr">
        <is>
          <t>257.0</t>
        </is>
      </c>
      <c r="Y60" s="280" t="n"/>
    </row>
    <row r="61" ht="15.75" customHeight="1" s="195">
      <c r="A61" s="337" t="n">
        <v>56</v>
      </c>
      <c r="B61" s="338" t="inlineStr">
        <is>
          <t>00000023</t>
        </is>
      </c>
      <c r="C61" s="337" t="inlineStr">
        <is>
          <t>REGION</t>
        </is>
      </c>
      <c r="D61" s="338" t="inlineStr">
        <is>
          <t>COLLANTES NARVAEZ CESAR ERBILDO</t>
        </is>
      </c>
      <c r="E61" s="337" t="inlineStr">
        <is>
          <t>DNI</t>
        </is>
      </c>
      <c r="F61" s="337" t="inlineStr">
        <is>
          <t>33403597</t>
        </is>
      </c>
      <c r="G61" s="339" t="n">
        <v>45774</v>
      </c>
      <c r="H61" s="337" t="inlineStr">
        <is>
          <t>4869</t>
        </is>
      </c>
      <c r="I61" s="332">
        <f>IFERROR(VLOOKUP(TEXT(H61,"0"),IPRESS!$A$3:$B$212,2,0),"")</f>
        <v/>
      </c>
      <c r="J61" s="337" t="inlineStr">
        <is>
          <t>4838</t>
        </is>
      </c>
      <c r="K61" s="332">
        <f>IFERROR(VLOOKUP(TEXT(O61,"0"),CONDUCTORES!$A$3:$G$100,7,0),"")</f>
        <v/>
      </c>
      <c r="L61" s="340" t="n">
        <v>17.95</v>
      </c>
      <c r="M61" s="340" t="n">
        <v>8</v>
      </c>
      <c r="N61" s="333">
        <f>IFERROR(IF(L61*M61=0,"",L61*M61),"")</f>
        <v/>
      </c>
      <c r="O61" s="334" t="n"/>
      <c r="P61" s="332">
        <f>IFERROR(VLOOKUP(TEXT(O61,"0"),CONDUCTORES!$A$3:$G$100,2,0),"")</f>
        <v/>
      </c>
      <c r="Q61" s="332">
        <f>IFERROR(VLOOKUP(TEXT(O61,"0"),CONDUCTORES!$A$3:$H$100,6,0),"")</f>
        <v/>
      </c>
      <c r="R61" s="339" t="n">
        <v>45835</v>
      </c>
      <c r="S61" s="338" t="inlineStr">
        <is>
          <t>J80X,J189</t>
        </is>
      </c>
      <c r="T61" s="337" t="n"/>
      <c r="U61" s="341" t="n"/>
      <c r="V61" s="337" t="n"/>
      <c r="W61" s="337" t="n"/>
      <c r="X61" s="337" t="n"/>
      <c r="Y61" s="280" t="n"/>
    </row>
    <row r="62" ht="15.75" customHeight="1" s="195">
      <c r="A62" s="301" t="n">
        <v>57</v>
      </c>
      <c r="B62" s="302" t="inlineStr">
        <is>
          <t>00000001</t>
        </is>
      </c>
      <c r="C62" s="301" t="inlineStr">
        <is>
          <t>REGION</t>
        </is>
      </c>
      <c r="D62" s="302" t="inlineStr">
        <is>
          <t>ROJAS PUERTA NERY</t>
        </is>
      </c>
      <c r="E62" s="301" t="inlineStr">
        <is>
          <t>DNI</t>
        </is>
      </c>
      <c r="F62" s="301" t="inlineStr">
        <is>
          <t>63365878</t>
        </is>
      </c>
      <c r="G62" s="331" t="n">
        <v>45759</v>
      </c>
      <c r="H62" s="301" t="inlineStr">
        <is>
          <t>4951</t>
        </is>
      </c>
      <c r="I62" s="332">
        <f>IFERROR(VLOOKUP(TEXT(H62,"0"),IPRESS!$A$3:$B$212,2,0),"")</f>
        <v/>
      </c>
      <c r="J62" s="301" t="inlineStr">
        <is>
          <t>4950</t>
        </is>
      </c>
      <c r="K62" s="332">
        <f>IFERROR(VLOOKUP(TEXT(O62,"0"),CONDUCTORES!$A$3:$G$100,7,0),"")</f>
        <v/>
      </c>
      <c r="L62" s="245" t="n">
        <v>20.25</v>
      </c>
      <c r="M62" s="245" t="n">
        <v>12</v>
      </c>
      <c r="N62" s="333">
        <f>IFERROR(IF(L62*M62=0,"",L62*M62),"")</f>
        <v/>
      </c>
      <c r="O62" s="280" t="n"/>
      <c r="P62" s="332">
        <f>IFERROR(VLOOKUP(TEXT(O62,"0"),CONDUCTORES!$A$3:$G$100,2,0),"")</f>
        <v/>
      </c>
      <c r="Q62" s="332">
        <f>IFERROR(VLOOKUP(TEXT(O62,"0"),CONDUCTORES!$A$3:$H$100,6,0),"")</f>
        <v/>
      </c>
      <c r="R62" s="331" t="n">
        <v>45828</v>
      </c>
      <c r="S62" s="302" t="inlineStr">
        <is>
          <t>K359</t>
        </is>
      </c>
      <c r="T62" s="301" t="n"/>
      <c r="U62" s="334" t="n"/>
      <c r="V62" s="301" t="n"/>
      <c r="W62" s="301" t="n"/>
      <c r="X62" s="301" t="n"/>
      <c r="Y62" s="280" t="n"/>
    </row>
    <row r="63" ht="15.75" customHeight="1" s="195">
      <c r="A63" s="241" t="n">
        <v>58</v>
      </c>
      <c r="B63" s="305" t="inlineStr">
        <is>
          <t>00000008</t>
        </is>
      </c>
      <c r="C63" s="241" t="inlineStr">
        <is>
          <t>REGION</t>
        </is>
      </c>
      <c r="D63" s="305" t="inlineStr">
        <is>
          <t>VALQUI CHUQUIPIONDO REYNA</t>
        </is>
      </c>
      <c r="E63" s="241" t="inlineStr">
        <is>
          <t>DNI</t>
        </is>
      </c>
      <c r="F63" s="241" t="inlineStr">
        <is>
          <t>76954772</t>
        </is>
      </c>
      <c r="G63" s="336" t="n">
        <v>45748</v>
      </c>
      <c r="H63" s="241" t="inlineStr">
        <is>
          <t>4947</t>
        </is>
      </c>
      <c r="I63" s="332">
        <f>IFERROR(VLOOKUP(TEXT(H63,"0"),IPRESS!$A$3:$B$212,2,0),"")</f>
        <v/>
      </c>
      <c r="J63" s="241" t="inlineStr">
        <is>
          <t>4950</t>
        </is>
      </c>
      <c r="K63" s="332">
        <f>IFERROR(VLOOKUP(TEXT(O63,"0"),CONDUCTORES!$A$3:$G$100,7,0),"")</f>
        <v/>
      </c>
      <c r="L63" s="239" t="n">
        <v>20.25</v>
      </c>
      <c r="M63" s="239" t="n">
        <v>10</v>
      </c>
      <c r="N63" s="333">
        <f>IFERROR(IF(L63*M63=0,"",L63*M63),"")</f>
        <v/>
      </c>
      <c r="O63" s="334" t="n"/>
      <c r="P63" s="332">
        <f>IFERROR(VLOOKUP(TEXT(O63,"0"),CONDUCTORES!$A$3:$G$100,2,0),"")</f>
        <v/>
      </c>
      <c r="Q63" s="332">
        <f>IFERROR(VLOOKUP(TEXT(O63,"0"),CONDUCTORES!$A$3:$H$100,6,0),"")</f>
        <v/>
      </c>
      <c r="R63" s="336" t="n">
        <v>45828</v>
      </c>
      <c r="S63" s="305" t="inlineStr">
        <is>
          <t>O034,D509</t>
        </is>
      </c>
      <c r="T63" s="241" t="n"/>
      <c r="U63" s="336" t="n">
        <v>45784</v>
      </c>
      <c r="V63" s="241" t="n"/>
      <c r="W63" s="241" t="n"/>
      <c r="X63" s="241" t="n"/>
      <c r="Y63" s="280" t="n"/>
    </row>
    <row r="64" ht="15.75" customHeight="1" s="195">
      <c r="A64" s="301" t="n">
        <v>59</v>
      </c>
      <c r="B64" s="302" t="inlineStr">
        <is>
          <t>00000009</t>
        </is>
      </c>
      <c r="C64" s="301" t="inlineStr">
        <is>
          <t>REGION</t>
        </is>
      </c>
      <c r="D64" s="302" t="inlineStr">
        <is>
          <t>DELGADO SAUCEDO MARIA ELENA</t>
        </is>
      </c>
      <c r="E64" s="301" t="inlineStr">
        <is>
          <t>DNI</t>
        </is>
      </c>
      <c r="F64" s="301" t="inlineStr">
        <is>
          <t>47654324</t>
        </is>
      </c>
      <c r="G64" s="331" t="n">
        <v>45769</v>
      </c>
      <c r="H64" s="301" t="inlineStr">
        <is>
          <t>4947</t>
        </is>
      </c>
      <c r="I64" s="332">
        <f>IFERROR(VLOOKUP(TEXT(H64,"0"),IPRESS!$A$3:$B$212,2,0),"")</f>
        <v/>
      </c>
      <c r="J64" s="301" t="inlineStr">
        <is>
          <t>4950</t>
        </is>
      </c>
      <c r="K64" s="332">
        <f>IFERROR(VLOOKUP(TEXT(O64,"0"),CONDUCTORES!$A$3:$G$100,7,0),"")</f>
        <v/>
      </c>
      <c r="L64" s="245" t="n">
        <v>20.25</v>
      </c>
      <c r="M64" s="245" t="n">
        <v>10</v>
      </c>
      <c r="N64" s="333">
        <f>IFERROR(IF(L64*M64=0,"",L64*M64),"")</f>
        <v/>
      </c>
      <c r="O64" s="280" t="n"/>
      <c r="P64" s="332">
        <f>IFERROR(VLOOKUP(TEXT(O64,"0"),CONDUCTORES!$A$3:$G$100,2,0),"")</f>
        <v/>
      </c>
      <c r="Q64" s="332">
        <f>IFERROR(VLOOKUP(TEXT(O64,"0"),CONDUCTORES!$A$3:$H$100,6,0),"")</f>
        <v/>
      </c>
      <c r="R64" s="331" t="n">
        <v>45828</v>
      </c>
      <c r="S64" s="302" t="inlineStr">
        <is>
          <t>O200,O034,G442</t>
        </is>
      </c>
      <c r="T64" s="301" t="n"/>
      <c r="U64" s="334" t="n"/>
      <c r="V64" s="301" t="n"/>
      <c r="W64" s="301" t="n"/>
      <c r="X64" s="301" t="n"/>
      <c r="Y64" s="280" t="n"/>
    </row>
    <row r="65" ht="15.75" customHeight="1" s="195">
      <c r="A65" s="241" t="n">
        <v>60</v>
      </c>
      <c r="B65" s="305" t="inlineStr">
        <is>
          <t>00000011</t>
        </is>
      </c>
      <c r="C65" s="241" t="inlineStr">
        <is>
          <t>REGION</t>
        </is>
      </c>
      <c r="D65" s="305" t="inlineStr">
        <is>
          <t>ESPINOZA TAMAYO KELVIN GREGORIO</t>
        </is>
      </c>
      <c r="E65" s="241" t="inlineStr">
        <is>
          <t>DNI</t>
        </is>
      </c>
      <c r="F65" s="241" t="inlineStr">
        <is>
          <t>63396764</t>
        </is>
      </c>
      <c r="G65" s="336" t="n">
        <v>45773</v>
      </c>
      <c r="H65" s="241" t="inlineStr">
        <is>
          <t>4947</t>
        </is>
      </c>
      <c r="I65" s="332">
        <f>IFERROR(VLOOKUP(TEXT(H65,"0"),IPRESS!$A$3:$B$212,2,0),"")</f>
        <v/>
      </c>
      <c r="J65" s="241" t="inlineStr">
        <is>
          <t>4950</t>
        </is>
      </c>
      <c r="K65" s="332">
        <f>IFERROR(VLOOKUP(TEXT(O65,"0"),CONDUCTORES!$A$3:$G$100,7,0),"")</f>
        <v/>
      </c>
      <c r="L65" s="239" t="n">
        <v>20.25</v>
      </c>
      <c r="M65" s="239" t="n">
        <v>10</v>
      </c>
      <c r="N65" s="333">
        <f>IFERROR(IF(L65*M65=0,"",L65*M65),"")</f>
        <v/>
      </c>
      <c r="O65" s="334" t="n"/>
      <c r="P65" s="332">
        <f>IFERROR(VLOOKUP(TEXT(O65,"0"),CONDUCTORES!$A$3:$G$100,2,0),"")</f>
        <v/>
      </c>
      <c r="Q65" s="332">
        <f>IFERROR(VLOOKUP(TEXT(O65,"0"),CONDUCTORES!$A$3:$H$100,6,0),"")</f>
        <v/>
      </c>
      <c r="R65" s="336" t="n">
        <v>45828</v>
      </c>
      <c r="S65" s="305" t="inlineStr">
        <is>
          <t>S311</t>
        </is>
      </c>
      <c r="T65" s="241" t="n"/>
      <c r="U65" s="280" t="n"/>
      <c r="V65" s="241" t="n"/>
      <c r="W65" s="241" t="n"/>
      <c r="X65" s="241" t="n"/>
      <c r="Y65" s="280" t="n"/>
    </row>
    <row r="66" ht="15.75" customHeight="1" s="195">
      <c r="A66" s="337" t="n">
        <v>61</v>
      </c>
      <c r="B66" s="338" t="inlineStr">
        <is>
          <t>00000049</t>
        </is>
      </c>
      <c r="C66" s="337" t="inlineStr">
        <is>
          <t>REGION</t>
        </is>
      </c>
      <c r="D66" s="338" t="inlineStr">
        <is>
          <t>DAVILA GUEVARON AMPARITO</t>
        </is>
      </c>
      <c r="E66" s="337" t="inlineStr">
        <is>
          <t>DNI</t>
        </is>
      </c>
      <c r="F66" s="337" t="inlineStr">
        <is>
          <t>42462905</t>
        </is>
      </c>
      <c r="G66" s="339" t="n">
        <v>45774</v>
      </c>
      <c r="H66" s="337" t="inlineStr">
        <is>
          <t>4876</t>
        </is>
      </c>
      <c r="I66" s="332">
        <f>IFERROR(VLOOKUP(TEXT(H66,"0"),IPRESS!$A$3:$B$212,2,0),"")</f>
        <v/>
      </c>
      <c r="J66" s="337" t="inlineStr">
        <is>
          <t>4838</t>
        </is>
      </c>
      <c r="K66" s="332">
        <f>IFERROR(VLOOKUP(TEXT(O66,"0"),CONDUCTORES!$A$3:$G$100,7,0),"")</f>
        <v/>
      </c>
      <c r="L66" s="340" t="n">
        <v>17.95</v>
      </c>
      <c r="M66" s="340" t="n">
        <v>30</v>
      </c>
      <c r="N66" s="333">
        <f>IFERROR(IF(L66*M66=0,"",L66*M66),"")</f>
        <v/>
      </c>
      <c r="O66" s="280" t="n"/>
      <c r="P66" s="332">
        <f>IFERROR(VLOOKUP(TEXT(O66,"0"),CONDUCTORES!$A$3:$G$100,2,0),"")</f>
        <v/>
      </c>
      <c r="Q66" s="332">
        <f>IFERROR(VLOOKUP(TEXT(O66,"0"),CONDUCTORES!$A$3:$H$100,6,0),"")</f>
        <v/>
      </c>
      <c r="R66" s="339" t="n">
        <v>45825</v>
      </c>
      <c r="S66" s="338" t="inlineStr">
        <is>
          <t>O021,O234,R11X</t>
        </is>
      </c>
      <c r="T66" s="337" t="n"/>
      <c r="U66" s="341" t="n"/>
      <c r="V66" s="337" t="n"/>
      <c r="W66" s="337" t="n"/>
      <c r="X66" s="337" t="n"/>
      <c r="Y66" s="280" t="n"/>
    </row>
    <row r="67" ht="15.75" customHeight="1" s="195">
      <c r="A67" s="241" t="n">
        <v>62</v>
      </c>
      <c r="B67" s="305" t="inlineStr">
        <is>
          <t>00000020</t>
        </is>
      </c>
      <c r="C67" s="241" t="inlineStr">
        <is>
          <t>REGION</t>
        </is>
      </c>
      <c r="D67" s="305" t="inlineStr">
        <is>
          <t>SANCHEZ ACUÑA LIAN GAEL</t>
        </is>
      </c>
      <c r="E67" s="241" t="inlineStr">
        <is>
          <t>DNI</t>
        </is>
      </c>
      <c r="F67" s="241" t="inlineStr">
        <is>
          <t>92377335</t>
        </is>
      </c>
      <c r="G67" s="336" t="n">
        <v>45766</v>
      </c>
      <c r="H67" s="241" t="inlineStr">
        <is>
          <t>4946</t>
        </is>
      </c>
      <c r="I67" s="332">
        <f>IFERROR(VLOOKUP(TEXT(H67,"0"),IPRESS!$A$3:$B$212,2,0),"")</f>
        <v/>
      </c>
      <c r="J67" s="241" t="inlineStr">
        <is>
          <t>4950</t>
        </is>
      </c>
      <c r="K67" s="332">
        <f>IFERROR(VLOOKUP(TEXT(O67,"0"),CONDUCTORES!$A$3:$G$100,7,0),"")</f>
        <v/>
      </c>
      <c r="L67" s="239" t="n">
        <v>20.25</v>
      </c>
      <c r="M67" s="239" t="n">
        <v>3</v>
      </c>
      <c r="N67" s="333">
        <f>IFERROR(IF(L67*M67=0,"",L67*M67),"")</f>
        <v/>
      </c>
      <c r="O67" s="334" t="n"/>
      <c r="P67" s="332">
        <f>IFERROR(VLOOKUP(TEXT(O67,"0"),CONDUCTORES!$A$3:$G$100,2,0),"")</f>
        <v/>
      </c>
      <c r="Q67" s="332">
        <f>IFERROR(VLOOKUP(TEXT(O67,"0"),CONDUCTORES!$A$3:$H$100,6,0),"")</f>
        <v/>
      </c>
      <c r="R67" s="336" t="n">
        <v>45839</v>
      </c>
      <c r="S67" s="305" t="inlineStr">
        <is>
          <t>R104,A09,R100,E86X</t>
        </is>
      </c>
      <c r="T67" s="241" t="n"/>
      <c r="U67" s="280" t="n"/>
      <c r="V67" s="241" t="n"/>
      <c r="W67" s="241" t="n"/>
      <c r="X67" s="241" t="n"/>
      <c r="Y67" s="280" t="n"/>
    </row>
    <row r="68" ht="15.75" customHeight="1" s="195">
      <c r="A68" s="301" t="n">
        <v>63</v>
      </c>
      <c r="B68" s="302" t="inlineStr">
        <is>
          <t>00000001</t>
        </is>
      </c>
      <c r="C68" s="301" t="inlineStr">
        <is>
          <t>REGION</t>
        </is>
      </c>
      <c r="D68" s="302" t="inlineStr">
        <is>
          <t>RODRIGUEZ MELENDEZ MARIA NIÑA</t>
        </is>
      </c>
      <c r="E68" s="301" t="inlineStr">
        <is>
          <t>DNI</t>
        </is>
      </c>
      <c r="F68" s="301" t="inlineStr">
        <is>
          <t>33950589</t>
        </is>
      </c>
      <c r="G68" s="331" t="n">
        <v>45768</v>
      </c>
      <c r="H68" s="301" t="inlineStr">
        <is>
          <t>4946</t>
        </is>
      </c>
      <c r="I68" s="332">
        <f>IFERROR(VLOOKUP(TEXT(H68,"0"),IPRESS!$A$3:$B$212,2,0),"")</f>
        <v/>
      </c>
      <c r="J68" s="301" t="inlineStr">
        <is>
          <t>4950</t>
        </is>
      </c>
      <c r="K68" s="332">
        <f>IFERROR(VLOOKUP(TEXT(O68,"0"),CONDUCTORES!$A$3:$G$100,7,0),"")</f>
        <v/>
      </c>
      <c r="L68" s="245" t="n">
        <v>20.25</v>
      </c>
      <c r="M68" s="245" t="n">
        <v>3</v>
      </c>
      <c r="N68" s="333">
        <f>IFERROR(IF(L68*M68=0,"",L68*M68),"")</f>
        <v/>
      </c>
      <c r="O68" s="280" t="n"/>
      <c r="P68" s="332">
        <f>IFERROR(VLOOKUP(TEXT(O68,"0"),CONDUCTORES!$A$3:$G$100,2,0),"")</f>
        <v/>
      </c>
      <c r="Q68" s="332">
        <f>IFERROR(VLOOKUP(TEXT(O68,"0"),CONDUCTORES!$A$3:$H$100,6,0),"")</f>
        <v/>
      </c>
      <c r="R68" s="331" t="n">
        <v>45839</v>
      </c>
      <c r="S68" s="302" t="inlineStr">
        <is>
          <t>W570</t>
        </is>
      </c>
      <c r="T68" s="301" t="n"/>
      <c r="U68" s="334" t="n"/>
      <c r="V68" s="301" t="n"/>
      <c r="W68" s="301" t="n"/>
      <c r="X68" s="301" t="n"/>
      <c r="Y68" s="280" t="n"/>
    </row>
    <row r="69" ht="15.75" customHeight="1" s="195">
      <c r="A69" s="337" t="n">
        <v>64</v>
      </c>
      <c r="B69" s="338" t="inlineStr">
        <is>
          <t>00000034</t>
        </is>
      </c>
      <c r="C69" s="337" t="inlineStr">
        <is>
          <t>REGION</t>
        </is>
      </c>
      <c r="D69" s="338" t="inlineStr">
        <is>
          <t>RAMOS VARGAS REYNALDO</t>
        </is>
      </c>
      <c r="E69" s="337" t="inlineStr">
        <is>
          <t>DNI</t>
        </is>
      </c>
      <c r="F69" s="337" t="inlineStr">
        <is>
          <t>48197610</t>
        </is>
      </c>
      <c r="G69" s="339" t="n">
        <v>45765</v>
      </c>
      <c r="H69" s="337" t="inlineStr">
        <is>
          <t>4922</t>
        </is>
      </c>
      <c r="I69" s="332">
        <f>IFERROR(VLOOKUP(TEXT(H69,"0"),IPRESS!$A$3:$B$212,2,0),"")</f>
        <v/>
      </c>
      <c r="J69" s="337" t="inlineStr">
        <is>
          <t>4838</t>
        </is>
      </c>
      <c r="K69" s="332">
        <f>IFERROR(VLOOKUP(TEXT(O69,"0"),CONDUCTORES!$A$3:$G$100,7,0),"")</f>
        <v/>
      </c>
      <c r="L69" s="340" t="n">
        <v>17.95</v>
      </c>
      <c r="M69" s="340" t="n">
        <v>6</v>
      </c>
      <c r="N69" s="333">
        <f>IFERROR(IF(L69*M69=0,"",L69*M69),"")</f>
        <v/>
      </c>
      <c r="O69" s="334" t="n"/>
      <c r="P69" s="332">
        <f>IFERROR(VLOOKUP(TEXT(O69,"0"),CONDUCTORES!$A$3:$G$100,2,0),"")</f>
        <v/>
      </c>
      <c r="Q69" s="332">
        <f>IFERROR(VLOOKUP(TEXT(O69,"0"),CONDUCTORES!$A$3:$H$100,6,0),"")</f>
        <v/>
      </c>
      <c r="R69" s="341" t="inlineStr">
        <is>
          <t>ATENTIDO 19/05/2025</t>
        </is>
      </c>
      <c r="S69" s="338" t="inlineStr">
        <is>
          <t>Y910,K292,K250,K920,D509</t>
        </is>
      </c>
      <c r="T69" s="337" t="n"/>
      <c r="U69" s="341" t="n"/>
      <c r="V69" s="337" t="n"/>
      <c r="W69" s="337" t="n"/>
      <c r="X69" s="337" t="n"/>
      <c r="Y69" s="280" t="n"/>
    </row>
    <row r="70" ht="15.75" customHeight="1" s="195">
      <c r="A70" s="337" t="n">
        <v>65</v>
      </c>
      <c r="B70" s="338" t="inlineStr">
        <is>
          <t>00000038</t>
        </is>
      </c>
      <c r="C70" s="337" t="inlineStr">
        <is>
          <t>REGION</t>
        </is>
      </c>
      <c r="D70" s="338" t="inlineStr">
        <is>
          <t>CASADO MORALES GUADALUPE</t>
        </is>
      </c>
      <c r="E70" s="337" t="inlineStr">
        <is>
          <t>DNI</t>
        </is>
      </c>
      <c r="F70" s="337" t="inlineStr">
        <is>
          <t>62949520</t>
        </is>
      </c>
      <c r="G70" s="339" t="n">
        <v>45770</v>
      </c>
      <c r="H70" s="337" t="inlineStr">
        <is>
          <t>4922</t>
        </is>
      </c>
      <c r="I70" s="332">
        <f>IFERROR(VLOOKUP(TEXT(H70,"0"),IPRESS!$A$3:$B$212,2,0),"")</f>
        <v/>
      </c>
      <c r="J70" s="337" t="inlineStr">
        <is>
          <t>4838</t>
        </is>
      </c>
      <c r="K70" s="332">
        <f>IFERROR(VLOOKUP(TEXT(O70,"0"),CONDUCTORES!$A$3:$G$100,7,0),"")</f>
        <v/>
      </c>
      <c r="L70" s="340" t="n">
        <v>17.95</v>
      </c>
      <c r="M70" s="340" t="n">
        <v>6</v>
      </c>
      <c r="N70" s="333">
        <f>IFERROR(IF(L70*M70=0,"",L70*M70),"")</f>
        <v/>
      </c>
      <c r="O70" s="280" t="n"/>
      <c r="P70" s="332">
        <f>IFERROR(VLOOKUP(TEXT(O70,"0"),CONDUCTORES!$A$3:$G$100,2,0),"")</f>
        <v/>
      </c>
      <c r="Q70" s="332">
        <f>IFERROR(VLOOKUP(TEXT(O70,"0"),CONDUCTORES!$A$3:$H$100,6,0),"")</f>
        <v/>
      </c>
      <c r="R70" s="341" t="inlineStr">
        <is>
          <t>ATENTIDO 19/05/2025</t>
        </is>
      </c>
      <c r="S70" s="338" t="inlineStr">
        <is>
          <t>O429</t>
        </is>
      </c>
      <c r="T70" s="337" t="n"/>
      <c r="U70" s="341" t="n"/>
      <c r="V70" s="337" t="n"/>
      <c r="W70" s="337" t="n"/>
      <c r="X70" s="337" t="n"/>
      <c r="Y70" s="280" t="n"/>
    </row>
    <row r="71" ht="15.75" customHeight="1" s="195">
      <c r="A71" s="337" t="n">
        <v>66</v>
      </c>
      <c r="B71" s="338" t="inlineStr">
        <is>
          <t>00000039</t>
        </is>
      </c>
      <c r="C71" s="337" t="inlineStr">
        <is>
          <t>REGION</t>
        </is>
      </c>
      <c r="D71" s="338" t="inlineStr">
        <is>
          <t>AGUILAR REYES HILARIA</t>
        </is>
      </c>
      <c r="E71" s="337" t="inlineStr">
        <is>
          <t>DNI</t>
        </is>
      </c>
      <c r="F71" s="337" t="inlineStr">
        <is>
          <t>33405757</t>
        </is>
      </c>
      <c r="G71" s="339" t="n">
        <v>45775</v>
      </c>
      <c r="H71" s="337" t="inlineStr">
        <is>
          <t>4922</t>
        </is>
      </c>
      <c r="I71" s="332">
        <f>IFERROR(VLOOKUP(TEXT(H71,"0"),IPRESS!$A$3:$B$212,2,0),"")</f>
        <v/>
      </c>
      <c r="J71" s="337" t="inlineStr">
        <is>
          <t>4838</t>
        </is>
      </c>
      <c r="K71" s="332">
        <f>IFERROR(VLOOKUP(TEXT(O71,"0"),CONDUCTORES!$A$3:$G$100,7,0),"")</f>
        <v/>
      </c>
      <c r="L71" s="340" t="n">
        <v>17.95</v>
      </c>
      <c r="M71" s="340" t="n">
        <v>6</v>
      </c>
      <c r="N71" s="333">
        <f>IFERROR(IF(L71*M71=0,"",L71*M71),"")</f>
        <v/>
      </c>
      <c r="O71" s="334" t="n"/>
      <c r="P71" s="332">
        <f>IFERROR(VLOOKUP(TEXT(O71,"0"),CONDUCTORES!$A$3:$G$100,2,0),"")</f>
        <v/>
      </c>
      <c r="Q71" s="332">
        <f>IFERROR(VLOOKUP(TEXT(O71,"0"),CONDUCTORES!$A$3:$H$100,6,0),"")</f>
        <v/>
      </c>
      <c r="R71" s="341" t="inlineStr">
        <is>
          <t>ATENTIDO 19/05/2025</t>
        </is>
      </c>
      <c r="S71" s="338" t="inlineStr">
        <is>
          <t>T311,I10X</t>
        </is>
      </c>
      <c r="T71" s="337" t="n"/>
      <c r="U71" s="341" t="n"/>
      <c r="V71" s="337" t="n"/>
      <c r="W71" s="337" t="n"/>
      <c r="X71" s="337" t="n"/>
      <c r="Y71" s="280" t="n"/>
    </row>
    <row r="72" ht="15.75" customHeight="1" s="195">
      <c r="A72" s="301" t="n">
        <v>67</v>
      </c>
      <c r="B72" s="302" t="inlineStr">
        <is>
          <t>00000031</t>
        </is>
      </c>
      <c r="C72" s="301" t="inlineStr">
        <is>
          <t>REGION</t>
        </is>
      </c>
      <c r="D72" s="302" t="inlineStr">
        <is>
          <t>COLLANTES VASQUEZ MARIA LUCELINA</t>
        </is>
      </c>
      <c r="E72" s="301" t="inlineStr">
        <is>
          <t>DNI</t>
        </is>
      </c>
      <c r="F72" s="301" t="inlineStr">
        <is>
          <t>46088097</t>
        </is>
      </c>
      <c r="G72" s="331" t="n">
        <v>45749</v>
      </c>
      <c r="H72" s="301" t="inlineStr">
        <is>
          <t>4922</t>
        </is>
      </c>
      <c r="I72" s="332">
        <f>IFERROR(VLOOKUP(TEXT(H72,"0"),IPRESS!$A$3:$B$212,2,0),"")</f>
        <v/>
      </c>
      <c r="J72" s="301" t="inlineStr">
        <is>
          <t>4838</t>
        </is>
      </c>
      <c r="K72" s="332">
        <f>IFERROR(VLOOKUP(TEXT(O72,"0"),CONDUCTORES!$A$3:$G$100,7,0),"")</f>
        <v/>
      </c>
      <c r="L72" s="245" t="n">
        <v>18.18</v>
      </c>
      <c r="M72" s="245" t="n">
        <v>6</v>
      </c>
      <c r="N72" s="333">
        <f>IFERROR(IF(L72*M72=0,"",L72*M72),"")</f>
        <v/>
      </c>
      <c r="O72" s="280" t="n"/>
      <c r="P72" s="332">
        <f>IFERROR(VLOOKUP(TEXT(O72,"0"),CONDUCTORES!$A$3:$G$100,2,0),"")</f>
        <v/>
      </c>
      <c r="Q72" s="332">
        <f>IFERROR(VLOOKUP(TEXT(O72,"0"),CONDUCTORES!$A$3:$H$100,6,0),"")</f>
        <v/>
      </c>
      <c r="R72" s="334" t="inlineStr">
        <is>
          <t>ATENDIDO 17/06/2025</t>
        </is>
      </c>
      <c r="S72" s="302" t="inlineStr">
        <is>
          <t>O601</t>
        </is>
      </c>
      <c r="T72" s="301" t="n"/>
      <c r="U72" s="334" t="n"/>
      <c r="V72" s="301" t="n"/>
      <c r="W72" s="301" t="n"/>
      <c r="X72" s="301" t="n"/>
      <c r="Y72" s="280" t="n"/>
    </row>
    <row r="73" ht="15.75" customHeight="1" s="195">
      <c r="A73" s="241" t="n">
        <v>68</v>
      </c>
      <c r="B73" s="305" t="inlineStr">
        <is>
          <t>00000032</t>
        </is>
      </c>
      <c r="C73" s="241" t="inlineStr">
        <is>
          <t>REGION</t>
        </is>
      </c>
      <c r="D73" s="305" t="inlineStr">
        <is>
          <t>MELENDEZ TAPULLIMA JOISITH</t>
        </is>
      </c>
      <c r="E73" s="241" t="inlineStr">
        <is>
          <t>DNI</t>
        </is>
      </c>
      <c r="F73" s="241" t="inlineStr">
        <is>
          <t>70358971</t>
        </is>
      </c>
      <c r="G73" s="336" t="n">
        <v>45756</v>
      </c>
      <c r="H73" s="241" t="inlineStr">
        <is>
          <t>4922</t>
        </is>
      </c>
      <c r="I73" s="332">
        <f>IFERROR(VLOOKUP(TEXT(H73,"0"),IPRESS!$A$3:$B$212,2,0),"")</f>
        <v/>
      </c>
      <c r="J73" s="241" t="inlineStr">
        <is>
          <t>4838</t>
        </is>
      </c>
      <c r="K73" s="332">
        <f>IFERROR(VLOOKUP(TEXT(O73,"0"),CONDUCTORES!$A$3:$G$100,7,0),"")</f>
        <v/>
      </c>
      <c r="L73" s="239" t="n">
        <v>18.18</v>
      </c>
      <c r="M73" s="239" t="n">
        <v>6</v>
      </c>
      <c r="N73" s="333">
        <f>IFERROR(IF(L73*M73=0,"",L73*M73),"")</f>
        <v/>
      </c>
      <c r="O73" s="334" t="n"/>
      <c r="P73" s="332">
        <f>IFERROR(VLOOKUP(TEXT(O73,"0"),CONDUCTORES!$A$3:$G$100,2,0),"")</f>
        <v/>
      </c>
      <c r="Q73" s="332">
        <f>IFERROR(VLOOKUP(TEXT(O73,"0"),CONDUCTORES!$A$3:$H$100,6,0),"")</f>
        <v/>
      </c>
      <c r="R73" s="280" t="inlineStr">
        <is>
          <t>ATENDIDO 17/06/2025</t>
        </is>
      </c>
      <c r="S73" s="305" t="inlineStr">
        <is>
          <t>O411</t>
        </is>
      </c>
      <c r="T73" s="241" t="n"/>
      <c r="U73" s="280" t="n"/>
      <c r="V73" s="241" t="n"/>
      <c r="W73" s="241" t="n"/>
      <c r="X73" s="241" t="n"/>
      <c r="Y73" s="280" t="n"/>
    </row>
    <row r="74" ht="15.75" customHeight="1" s="195">
      <c r="A74" s="301" t="n">
        <v>69</v>
      </c>
      <c r="B74" s="302" t="inlineStr">
        <is>
          <t>00000033</t>
        </is>
      </c>
      <c r="C74" s="301" t="inlineStr">
        <is>
          <t>REGION</t>
        </is>
      </c>
      <c r="D74" s="302" t="inlineStr">
        <is>
          <t>FLORES DE MELENDEZ SAYDA</t>
        </is>
      </c>
      <c r="E74" s="301" t="inlineStr">
        <is>
          <t>DNI</t>
        </is>
      </c>
      <c r="F74" s="301" t="inlineStr">
        <is>
          <t>33732432</t>
        </is>
      </c>
      <c r="G74" s="331" t="n">
        <v>45759</v>
      </c>
      <c r="H74" s="301" t="inlineStr">
        <is>
          <t>4922</t>
        </is>
      </c>
      <c r="I74" s="332">
        <f>IFERROR(VLOOKUP(TEXT(H74,"0"),IPRESS!$A$3:$B$212,2,0),"")</f>
        <v/>
      </c>
      <c r="J74" s="301" t="inlineStr">
        <is>
          <t>4838</t>
        </is>
      </c>
      <c r="K74" s="332">
        <f>IFERROR(VLOOKUP(TEXT(O74,"0"),CONDUCTORES!$A$3:$G$100,7,0),"")</f>
        <v/>
      </c>
      <c r="L74" s="245" t="n">
        <v>18.18</v>
      </c>
      <c r="M74" s="245" t="n">
        <v>6</v>
      </c>
      <c r="N74" s="333">
        <f>IFERROR(IF(L74*M74=0,"",L74*M74),"")</f>
        <v/>
      </c>
      <c r="O74" s="280" t="n"/>
      <c r="P74" s="332">
        <f>IFERROR(VLOOKUP(TEXT(O74,"0"),CONDUCTORES!$A$3:$G$100,2,0),"")</f>
        <v/>
      </c>
      <c r="Q74" s="332">
        <f>IFERROR(VLOOKUP(TEXT(O74,"0"),CONDUCTORES!$A$3:$H$100,6,0),"")</f>
        <v/>
      </c>
      <c r="R74" s="334" t="inlineStr">
        <is>
          <t>ATENDIDO 17/06/2025</t>
        </is>
      </c>
      <c r="S74" s="302" t="inlineStr">
        <is>
          <t>R104,R17X,K810,K830</t>
        </is>
      </c>
      <c r="T74" s="301" t="n"/>
      <c r="U74" s="334" t="n"/>
      <c r="V74" s="301" t="n"/>
      <c r="W74" s="301" t="n"/>
      <c r="X74" s="301" t="n"/>
      <c r="Y74" s="280" t="n"/>
    </row>
    <row r="75" ht="15.75" customHeight="1" s="195">
      <c r="A75" s="241" t="n">
        <v>70</v>
      </c>
      <c r="B75" s="305" t="inlineStr">
        <is>
          <t>00000035</t>
        </is>
      </c>
      <c r="C75" s="241" t="inlineStr">
        <is>
          <t>REGION</t>
        </is>
      </c>
      <c r="D75" s="305" t="inlineStr">
        <is>
          <t>VILLAVICENCIO DETQUIZAN JULIO</t>
        </is>
      </c>
      <c r="E75" s="241" t="inlineStr">
        <is>
          <t>DNI</t>
        </is>
      </c>
      <c r="F75" s="241" t="inlineStr">
        <is>
          <t>33729667</t>
        </is>
      </c>
      <c r="G75" s="336" t="n">
        <v>45768</v>
      </c>
      <c r="H75" s="241" t="inlineStr">
        <is>
          <t>4922</t>
        </is>
      </c>
      <c r="I75" s="332">
        <f>IFERROR(VLOOKUP(TEXT(H75,"0"),IPRESS!$A$3:$B$212,2,0),"")</f>
        <v/>
      </c>
      <c r="J75" s="241" t="inlineStr">
        <is>
          <t>4838</t>
        </is>
      </c>
      <c r="K75" s="332">
        <f>IFERROR(VLOOKUP(TEXT(O75,"0"),CONDUCTORES!$A$3:$G$100,7,0),"")</f>
        <v/>
      </c>
      <c r="L75" s="239" t="n">
        <v>18.18</v>
      </c>
      <c r="M75" s="239" t="n">
        <v>6</v>
      </c>
      <c r="N75" s="333">
        <f>IFERROR(IF(L75*M75=0,"",L75*M75),"")</f>
        <v/>
      </c>
      <c r="O75" s="334" t="n"/>
      <c r="P75" s="332">
        <f>IFERROR(VLOOKUP(TEXT(O75,"0"),CONDUCTORES!$A$3:$G$100,2,0),"")</f>
        <v/>
      </c>
      <c r="Q75" s="332">
        <f>IFERROR(VLOOKUP(TEXT(O75,"0"),CONDUCTORES!$A$3:$H$100,6,0),"")</f>
        <v/>
      </c>
      <c r="R75" s="280" t="inlineStr">
        <is>
          <t>ATENDIDO 17/06/2025</t>
        </is>
      </c>
      <c r="S75" s="305" t="inlineStr">
        <is>
          <t>S22</t>
        </is>
      </c>
      <c r="T75" s="241" t="n"/>
      <c r="U75" s="280" t="n"/>
      <c r="V75" s="241" t="n"/>
      <c r="W75" s="241" t="n"/>
      <c r="X75" s="241" t="n"/>
      <c r="Y75" s="280" t="n"/>
    </row>
    <row r="76" ht="15.75" customHeight="1" s="195">
      <c r="A76" s="301" t="n">
        <v>71</v>
      </c>
      <c r="B76" s="302" t="inlineStr">
        <is>
          <t>00000036</t>
        </is>
      </c>
      <c r="C76" s="301" t="inlineStr">
        <is>
          <t>REGION</t>
        </is>
      </c>
      <c r="D76" s="302" t="inlineStr">
        <is>
          <t>TUCTO PUSCAN GLADIZ MARILU</t>
        </is>
      </c>
      <c r="E76" s="301" t="inlineStr">
        <is>
          <t>DNI</t>
        </is>
      </c>
      <c r="F76" s="301" t="inlineStr">
        <is>
          <t>33422129</t>
        </is>
      </c>
      <c r="G76" s="331" t="n">
        <v>45768</v>
      </c>
      <c r="H76" s="301" t="inlineStr">
        <is>
          <t>4922</t>
        </is>
      </c>
      <c r="I76" s="332">
        <f>IFERROR(VLOOKUP(TEXT(H76,"0"),IPRESS!$A$3:$B$212,2,0),"")</f>
        <v/>
      </c>
      <c r="J76" s="301" t="inlineStr">
        <is>
          <t>4838</t>
        </is>
      </c>
      <c r="K76" s="332">
        <f>IFERROR(VLOOKUP(TEXT(O76,"0"),CONDUCTORES!$A$3:$G$100,7,0),"")</f>
        <v/>
      </c>
      <c r="L76" s="245" t="n">
        <v>18.18</v>
      </c>
      <c r="M76" s="245" t="n">
        <v>6</v>
      </c>
      <c r="N76" s="333">
        <f>IFERROR(IF(L76*M76=0,"",L76*M76),"")</f>
        <v/>
      </c>
      <c r="O76" s="280" t="n"/>
      <c r="P76" s="332">
        <f>IFERROR(VLOOKUP(TEXT(O76,"0"),CONDUCTORES!$A$3:$G$100,2,0),"")</f>
        <v/>
      </c>
      <c r="Q76" s="332">
        <f>IFERROR(VLOOKUP(TEXT(O76,"0"),CONDUCTORES!$A$3:$H$100,6,0),"")</f>
        <v/>
      </c>
      <c r="R76" s="334" t="inlineStr">
        <is>
          <t>ATENDIDO 17/06/2025</t>
        </is>
      </c>
      <c r="S76" s="302" t="inlineStr">
        <is>
          <t>S920,M869</t>
        </is>
      </c>
      <c r="T76" s="301" t="n"/>
      <c r="U76" s="334" t="n"/>
      <c r="V76" s="301" t="n"/>
      <c r="W76" s="301" t="n"/>
      <c r="X76" s="301" t="n"/>
      <c r="Y76" s="280" t="n"/>
    </row>
    <row r="77" ht="15.75" customHeight="1" s="195">
      <c r="A77" s="241" t="n">
        <v>72</v>
      </c>
      <c r="B77" s="305" t="inlineStr">
        <is>
          <t>00000037</t>
        </is>
      </c>
      <c r="C77" s="241" t="inlineStr">
        <is>
          <t>REGION</t>
        </is>
      </c>
      <c r="D77" s="305" t="inlineStr">
        <is>
          <t>YALTA TORRES DYLAN</t>
        </is>
      </c>
      <c r="E77" s="241" t="inlineStr">
        <is>
          <t>DNI</t>
        </is>
      </c>
      <c r="F77" s="241" t="inlineStr">
        <is>
          <t>63501738</t>
        </is>
      </c>
      <c r="G77" s="336" t="n">
        <v>45769</v>
      </c>
      <c r="H77" s="241" t="inlineStr">
        <is>
          <t>4922</t>
        </is>
      </c>
      <c r="I77" s="332">
        <f>IFERROR(VLOOKUP(TEXT(H77,"0"),IPRESS!$A$3:$B$212,2,0),"")</f>
        <v/>
      </c>
      <c r="J77" s="241" t="inlineStr">
        <is>
          <t>4838</t>
        </is>
      </c>
      <c r="K77" s="332">
        <f>IFERROR(VLOOKUP(TEXT(O77,"0"),CONDUCTORES!$A$3:$G$100,7,0),"")</f>
        <v/>
      </c>
      <c r="L77" s="239" t="n">
        <v>18.18</v>
      </c>
      <c r="M77" s="239" t="n">
        <v>6</v>
      </c>
      <c r="N77" s="333">
        <f>IFERROR(IF(L77*M77=0,"",L77*M77),"")</f>
        <v/>
      </c>
      <c r="O77" s="334" t="n"/>
      <c r="P77" s="332">
        <f>IFERROR(VLOOKUP(TEXT(O77,"0"),CONDUCTORES!$A$3:$G$100,2,0),"")</f>
        <v/>
      </c>
      <c r="Q77" s="332">
        <f>IFERROR(VLOOKUP(TEXT(O77,"0"),CONDUCTORES!$A$3:$H$100,6,0),"")</f>
        <v/>
      </c>
      <c r="R77" s="280" t="inlineStr">
        <is>
          <t>ATENDIDO 17/06/2025</t>
        </is>
      </c>
      <c r="S77" s="305" t="inlineStr">
        <is>
          <t>S720</t>
        </is>
      </c>
      <c r="T77" s="241" t="n"/>
      <c r="U77" s="280" t="n"/>
      <c r="V77" s="241" t="n"/>
      <c r="W77" s="241" t="n"/>
      <c r="X77" s="241" t="n"/>
      <c r="Y77" s="280" t="n"/>
    </row>
    <row r="78" ht="15.75" customHeight="1" s="195">
      <c r="A78" s="301" t="n">
        <v>73</v>
      </c>
      <c r="B78" s="302" t="inlineStr">
        <is>
          <t>00000040</t>
        </is>
      </c>
      <c r="C78" s="301" t="inlineStr">
        <is>
          <t>REGION</t>
        </is>
      </c>
      <c r="D78" s="302" t="inlineStr">
        <is>
          <t>VALERIN GORMAS ASUNTA</t>
        </is>
      </c>
      <c r="E78" s="301" t="inlineStr">
        <is>
          <t>DNI</t>
        </is>
      </c>
      <c r="F78" s="301" t="inlineStr">
        <is>
          <t>48497117</t>
        </is>
      </c>
      <c r="G78" s="331" t="n">
        <v>45775</v>
      </c>
      <c r="H78" s="301" t="inlineStr">
        <is>
          <t>4922</t>
        </is>
      </c>
      <c r="I78" s="332">
        <f>IFERROR(VLOOKUP(TEXT(H78,"0"),IPRESS!$A$3:$B$212,2,0),"")</f>
        <v/>
      </c>
      <c r="J78" s="301" t="inlineStr">
        <is>
          <t>4838</t>
        </is>
      </c>
      <c r="K78" s="332">
        <f>IFERROR(VLOOKUP(TEXT(O78,"0"),CONDUCTORES!$A$3:$G$100,7,0),"")</f>
        <v/>
      </c>
      <c r="L78" s="245" t="n">
        <v>18.18</v>
      </c>
      <c r="M78" s="245" t="n">
        <v>6</v>
      </c>
      <c r="N78" s="333">
        <f>IFERROR(IF(L78*M78=0,"",L78*M78),"")</f>
        <v/>
      </c>
      <c r="O78" s="280" t="n"/>
      <c r="P78" s="332">
        <f>IFERROR(VLOOKUP(TEXT(O78,"0"),CONDUCTORES!$A$3:$G$100,2,0),"")</f>
        <v/>
      </c>
      <c r="Q78" s="332">
        <f>IFERROR(VLOOKUP(TEXT(O78,"0"),CONDUCTORES!$A$3:$H$100,6,0),"")</f>
        <v/>
      </c>
      <c r="R78" s="334" t="inlineStr">
        <is>
          <t>ATENDIDO 17/06/2025</t>
        </is>
      </c>
      <c r="S78" s="302" t="inlineStr">
        <is>
          <t>O758,F799</t>
        </is>
      </c>
      <c r="T78" s="301" t="n"/>
      <c r="U78" s="334" t="n"/>
      <c r="V78" s="301" t="n"/>
      <c r="W78" s="301" t="n"/>
      <c r="X78" s="301" t="n"/>
      <c r="Y78" s="280" t="n"/>
    </row>
    <row r="79" ht="15.75" customHeight="1" s="195">
      <c r="A79" s="241" t="n">
        <v>74</v>
      </c>
      <c r="B79" s="305" t="inlineStr">
        <is>
          <t>00000077</t>
        </is>
      </c>
      <c r="C79" s="241" t="inlineStr">
        <is>
          <t>REGION</t>
        </is>
      </c>
      <c r="D79" s="305" t="inlineStr">
        <is>
          <t>ROJAS RUBIO AUGUSTO</t>
        </is>
      </c>
      <c r="E79" s="241" t="inlineStr">
        <is>
          <t>DNI</t>
        </is>
      </c>
      <c r="F79" s="241" t="inlineStr">
        <is>
          <t>828060</t>
        </is>
      </c>
      <c r="G79" s="336" t="n">
        <v>45748</v>
      </c>
      <c r="H79" s="241" t="inlineStr">
        <is>
          <t>4932</t>
        </is>
      </c>
      <c r="I79" s="332">
        <f>IFERROR(VLOOKUP(TEXT(H79,"0"),IPRESS!$A$3:$B$212,2,0),"")</f>
        <v/>
      </c>
      <c r="J79" s="241" t="inlineStr">
        <is>
          <t>4838</t>
        </is>
      </c>
      <c r="K79" s="332">
        <f>IFERROR(VLOOKUP(TEXT(O79,"0"),CONDUCTORES!$A$3:$G$100,7,0),"")</f>
        <v/>
      </c>
      <c r="L79" s="239" t="n">
        <v>18.18</v>
      </c>
      <c r="M79" s="239" t="n">
        <v>8</v>
      </c>
      <c r="N79" s="333">
        <f>IFERROR(IF(L79*M79=0,"",L79*M79),"")</f>
        <v/>
      </c>
      <c r="O79" s="334" t="n"/>
      <c r="P79" s="332">
        <f>IFERROR(VLOOKUP(TEXT(O79,"0"),CONDUCTORES!$A$3:$G$100,2,0),"")</f>
        <v/>
      </c>
      <c r="Q79" s="332">
        <f>IFERROR(VLOOKUP(TEXT(O79,"0"),CONDUCTORES!$A$3:$H$100,6,0),"")</f>
        <v/>
      </c>
      <c r="R79" s="280" t="inlineStr">
        <is>
          <t>ENGREGADO 13/05/2025</t>
        </is>
      </c>
      <c r="S79" s="305" t="inlineStr">
        <is>
          <t>I64X</t>
        </is>
      </c>
      <c r="T79" s="241" t="n"/>
      <c r="U79" s="280" t="n"/>
      <c r="V79" s="241" t="inlineStr">
        <is>
          <t>OFICIO 1957-2025</t>
        </is>
      </c>
      <c r="W79" s="241" t="inlineStr">
        <is>
          <t>0000108- ADENDA N°001-2025 DRSA/OEA-O.ABAST</t>
        </is>
      </c>
      <c r="X79" s="241" t="inlineStr">
        <is>
          <t>256.0</t>
        </is>
      </c>
      <c r="Y79" s="280" t="n"/>
    </row>
    <row r="80" ht="15.75" customHeight="1" s="195">
      <c r="A80" s="301" t="n">
        <v>75</v>
      </c>
      <c r="B80" s="302" t="inlineStr">
        <is>
          <t>00000078</t>
        </is>
      </c>
      <c r="C80" s="301" t="inlineStr">
        <is>
          <t>REGION</t>
        </is>
      </c>
      <c r="D80" s="302" t="inlineStr">
        <is>
          <t>COPIA OBLITAS EMERITA</t>
        </is>
      </c>
      <c r="E80" s="301" t="inlineStr">
        <is>
          <t>DNI</t>
        </is>
      </c>
      <c r="F80" s="301" t="inlineStr">
        <is>
          <t>44190057</t>
        </is>
      </c>
      <c r="G80" s="331" t="n">
        <v>45754</v>
      </c>
      <c r="H80" s="301" t="inlineStr">
        <is>
          <t>4932</t>
        </is>
      </c>
      <c r="I80" s="332">
        <f>IFERROR(VLOOKUP(TEXT(H80,"0"),IPRESS!$A$3:$B$212,2,0),"")</f>
        <v/>
      </c>
      <c r="J80" s="301" t="inlineStr">
        <is>
          <t>4838</t>
        </is>
      </c>
      <c r="K80" s="332">
        <f>IFERROR(VLOOKUP(TEXT(O80,"0"),CONDUCTORES!$A$3:$G$100,7,0),"")</f>
        <v/>
      </c>
      <c r="L80" s="245" t="n">
        <v>18.18</v>
      </c>
      <c r="M80" s="245" t="n">
        <v>8</v>
      </c>
      <c r="N80" s="333">
        <f>IFERROR(IF(L80*M80=0,"",L80*M80),"")</f>
        <v/>
      </c>
      <c r="O80" s="280" t="n"/>
      <c r="P80" s="332">
        <f>IFERROR(VLOOKUP(TEXT(O80,"0"),CONDUCTORES!$A$3:$G$100,2,0),"")</f>
        <v/>
      </c>
      <c r="Q80" s="332">
        <f>IFERROR(VLOOKUP(TEXT(O80,"0"),CONDUCTORES!$A$3:$H$100,6,0),"")</f>
        <v/>
      </c>
      <c r="R80" s="334" t="inlineStr">
        <is>
          <t>ENGREGADO 13/05/2025</t>
        </is>
      </c>
      <c r="S80" s="302" t="inlineStr">
        <is>
          <t>O48X,O990</t>
        </is>
      </c>
      <c r="T80" s="301" t="n"/>
      <c r="U80" s="334" t="n"/>
      <c r="V80" s="301" t="inlineStr">
        <is>
          <t>OFICIO 1957-2025</t>
        </is>
      </c>
      <c r="W80" s="301" t="inlineStr">
        <is>
          <t>0000108- ADENDA N°001-2025 DRSA/OEA-O.ABAST</t>
        </is>
      </c>
      <c r="X80" s="301" t="inlineStr">
        <is>
          <t>256.0</t>
        </is>
      </c>
      <c r="Y80" s="280" t="n"/>
    </row>
    <row r="81" ht="15.75" customHeight="1" s="195">
      <c r="A81" s="241" t="n">
        <v>76</v>
      </c>
      <c r="B81" s="305" t="inlineStr">
        <is>
          <t>00000079</t>
        </is>
      </c>
      <c r="C81" s="241" t="inlineStr">
        <is>
          <t>REGION</t>
        </is>
      </c>
      <c r="D81" s="305" t="inlineStr">
        <is>
          <t>VASQUEZ PINEDO LIAM RODRIGO</t>
        </is>
      </c>
      <c r="E81" s="241" t="inlineStr">
        <is>
          <t>DNI</t>
        </is>
      </c>
      <c r="F81" s="241" t="inlineStr">
        <is>
          <t>79206632</t>
        </is>
      </c>
      <c r="G81" s="336" t="n">
        <v>45756</v>
      </c>
      <c r="H81" s="241" t="inlineStr">
        <is>
          <t>4932</t>
        </is>
      </c>
      <c r="I81" s="332">
        <f>IFERROR(VLOOKUP(TEXT(H81,"0"),IPRESS!$A$3:$B$212,2,0),"")</f>
        <v/>
      </c>
      <c r="J81" s="241" t="inlineStr">
        <is>
          <t>4838</t>
        </is>
      </c>
      <c r="K81" s="332">
        <f>IFERROR(VLOOKUP(TEXT(O81,"0"),CONDUCTORES!$A$3:$G$100,7,0),"")</f>
        <v/>
      </c>
      <c r="L81" s="239" t="n">
        <v>18.18</v>
      </c>
      <c r="M81" s="239" t="n">
        <v>8</v>
      </c>
      <c r="N81" s="333">
        <f>IFERROR(IF(L81*M81=0,"",L81*M81),"")</f>
        <v/>
      </c>
      <c r="O81" s="334" t="n"/>
      <c r="P81" s="332">
        <f>IFERROR(VLOOKUP(TEXT(O81,"0"),CONDUCTORES!$A$3:$G$100,2,0),"")</f>
        <v/>
      </c>
      <c r="Q81" s="332">
        <f>IFERROR(VLOOKUP(TEXT(O81,"0"),CONDUCTORES!$A$3:$H$100,6,0),"")</f>
        <v/>
      </c>
      <c r="R81" s="280" t="inlineStr">
        <is>
          <t>ENGREGADO 13/05/2025</t>
        </is>
      </c>
      <c r="S81" s="305" t="inlineStr">
        <is>
          <t>A09X,K359,R104</t>
        </is>
      </c>
      <c r="T81" s="241" t="n"/>
      <c r="U81" s="280" t="n"/>
      <c r="V81" s="241" t="inlineStr">
        <is>
          <t>OFICIO 1957-2025</t>
        </is>
      </c>
      <c r="W81" s="241" t="inlineStr">
        <is>
          <t>0000108- ADENDA N°001-2025 DRSA/OEA-O.ABAST</t>
        </is>
      </c>
      <c r="X81" s="241" t="inlineStr">
        <is>
          <t>256.0</t>
        </is>
      </c>
      <c r="Y81" s="280" t="n"/>
    </row>
    <row r="82" ht="15.75" customHeight="1" s="195">
      <c r="A82" s="301" t="n">
        <v>77</v>
      </c>
      <c r="B82" s="302" t="inlineStr">
        <is>
          <t>00000011</t>
        </is>
      </c>
      <c r="C82" s="301" t="inlineStr">
        <is>
          <t>REGION</t>
        </is>
      </c>
      <c r="D82" s="302" t="inlineStr">
        <is>
          <t>BRIONES SANCHEZ CELINDA</t>
        </is>
      </c>
      <c r="E82" s="301" t="inlineStr">
        <is>
          <t>DNI</t>
        </is>
      </c>
      <c r="F82" s="301" t="inlineStr">
        <is>
          <t>33741668</t>
        </is>
      </c>
      <c r="G82" s="331" t="n">
        <v>45772</v>
      </c>
      <c r="H82" s="301" t="inlineStr">
        <is>
          <t>4932</t>
        </is>
      </c>
      <c r="I82" s="332">
        <f>IFERROR(VLOOKUP(TEXT(H82,"0"),IPRESS!$A$3:$B$212,2,0),"")</f>
        <v/>
      </c>
      <c r="J82" s="301" t="inlineStr">
        <is>
          <t>4838</t>
        </is>
      </c>
      <c r="K82" s="332">
        <f>IFERROR(VLOOKUP(TEXT(O82,"0"),CONDUCTORES!$A$3:$G$100,7,0),"")</f>
        <v/>
      </c>
      <c r="L82" s="245" t="n">
        <v>18.18</v>
      </c>
      <c r="M82" s="245" t="n">
        <v>8</v>
      </c>
      <c r="N82" s="333">
        <f>IFERROR(IF(L82*M82=0,"",L82*M82),"")</f>
        <v/>
      </c>
      <c r="O82" s="280" t="n"/>
      <c r="P82" s="332">
        <f>IFERROR(VLOOKUP(TEXT(O82,"0"),CONDUCTORES!$A$3:$G$100,2,0),"")</f>
        <v/>
      </c>
      <c r="Q82" s="332">
        <f>IFERROR(VLOOKUP(TEXT(O82,"0"),CONDUCTORES!$A$3:$H$100,6,0),"")</f>
        <v/>
      </c>
      <c r="R82" s="334" t="inlineStr">
        <is>
          <t>ENTREGADO 05/08/2025</t>
        </is>
      </c>
      <c r="S82" s="302" t="inlineStr">
        <is>
          <t>J448,J961</t>
        </is>
      </c>
      <c r="T82" s="301" t="n"/>
      <c r="U82" s="334" t="n"/>
      <c r="V82" s="301" t="n"/>
      <c r="W82" s="301" t="n"/>
      <c r="X82" s="301" t="n"/>
      <c r="Y82" s="280" t="n"/>
    </row>
    <row r="83" ht="15.75" customHeight="1" s="195">
      <c r="A83" s="241" t="n">
        <v>78</v>
      </c>
      <c r="B83" s="305" t="inlineStr">
        <is>
          <t>00000012</t>
        </is>
      </c>
      <c r="C83" s="241" t="inlineStr">
        <is>
          <t>REGION</t>
        </is>
      </c>
      <c r="D83" s="305" t="inlineStr">
        <is>
          <t>ORRILLO VERA LEYDE</t>
        </is>
      </c>
      <c r="E83" s="241" t="inlineStr">
        <is>
          <t>DNI</t>
        </is>
      </c>
      <c r="F83" s="241" t="inlineStr">
        <is>
          <t>47852698</t>
        </is>
      </c>
      <c r="G83" s="336" t="n">
        <v>45773</v>
      </c>
      <c r="H83" s="241" t="inlineStr">
        <is>
          <t>4932</t>
        </is>
      </c>
      <c r="I83" s="332">
        <f>IFERROR(VLOOKUP(TEXT(H83,"0"),IPRESS!$A$3:$B$212,2,0),"")</f>
        <v/>
      </c>
      <c r="J83" s="241" t="inlineStr">
        <is>
          <t>4838</t>
        </is>
      </c>
      <c r="K83" s="332">
        <f>IFERROR(VLOOKUP(TEXT(O83,"0"),CONDUCTORES!$A$3:$G$100,7,0),"")</f>
        <v/>
      </c>
      <c r="L83" s="239" t="n">
        <v>18.18</v>
      </c>
      <c r="M83" s="239" t="n">
        <v>8</v>
      </c>
      <c r="N83" s="333">
        <f>IFERROR(IF(L83*M83=0,"",L83*M83),"")</f>
        <v/>
      </c>
      <c r="O83" s="334" t="n"/>
      <c r="P83" s="332">
        <f>IFERROR(VLOOKUP(TEXT(O83,"0"),CONDUCTORES!$A$3:$G$100,2,0),"")</f>
        <v/>
      </c>
      <c r="Q83" s="332">
        <f>IFERROR(VLOOKUP(TEXT(O83,"0"),CONDUCTORES!$A$3:$H$100,6,0),"")</f>
        <v/>
      </c>
      <c r="R83" s="280" t="inlineStr">
        <is>
          <t>ENTREGADO 05/08/2025</t>
        </is>
      </c>
      <c r="S83" s="305" t="inlineStr">
        <is>
          <t>O364,Z371</t>
        </is>
      </c>
      <c r="T83" s="241" t="n"/>
      <c r="U83" s="280" t="n"/>
      <c r="V83" s="241" t="n"/>
      <c r="W83" s="241" t="n"/>
      <c r="X83" s="241" t="n"/>
      <c r="Y83" s="280" t="n"/>
    </row>
    <row r="84" ht="15.75" customHeight="1" s="195">
      <c r="A84" s="337" t="n">
        <v>79</v>
      </c>
      <c r="B84" s="338" t="inlineStr">
        <is>
          <t>00000080</t>
        </is>
      </c>
      <c r="C84" s="337" t="inlineStr">
        <is>
          <t>REGION</t>
        </is>
      </c>
      <c r="D84" s="338" t="inlineStr">
        <is>
          <t>ROJAS JULCA OSCAR</t>
        </is>
      </c>
      <c r="E84" s="337" t="inlineStr">
        <is>
          <t>DNI</t>
        </is>
      </c>
      <c r="F84" s="337" t="inlineStr">
        <is>
          <t>71785985</t>
        </is>
      </c>
      <c r="G84" s="339" t="n">
        <v>45770</v>
      </c>
      <c r="H84" s="337" t="inlineStr">
        <is>
          <t>4932</t>
        </is>
      </c>
      <c r="I84" s="332">
        <f>IFERROR(VLOOKUP(TEXT(H84,"0"),IPRESS!$A$3:$B$212,2,0),"")</f>
        <v/>
      </c>
      <c r="J84" s="337" t="inlineStr">
        <is>
          <t>4932</t>
        </is>
      </c>
      <c r="K84" s="332">
        <f>IFERROR(VLOOKUP(TEXT(O84,"0"),CONDUCTORES!$A$3:$G$100,7,0),"")</f>
        <v/>
      </c>
      <c r="L84" s="340" t="n">
        <v>17.95</v>
      </c>
      <c r="M84" s="340" t="n">
        <v>15</v>
      </c>
      <c r="N84" s="333">
        <f>IFERROR(IF(L84*M84=0,"",L84*M84),"")</f>
        <v/>
      </c>
      <c r="O84" s="280" t="n"/>
      <c r="P84" s="332">
        <f>IFERROR(VLOOKUP(TEXT(O84,"0"),CONDUCTORES!$A$3:$G$100,2,0),"")</f>
        <v/>
      </c>
      <c r="Q84" s="332">
        <f>IFERROR(VLOOKUP(TEXT(O84,"0"),CONDUCTORES!$A$3:$H$100,6,0),"")</f>
        <v/>
      </c>
      <c r="R84" s="341" t="inlineStr">
        <is>
          <t>ENGREGADO 13/05/2025</t>
        </is>
      </c>
      <c r="S84" s="338" t="inlineStr">
        <is>
          <t>A971,R509</t>
        </is>
      </c>
      <c r="T84" s="337" t="inlineStr">
        <is>
          <t>DEVOLVER A BUENOS AIRES</t>
        </is>
      </c>
      <c r="U84" s="341" t="n"/>
      <c r="V84" s="337" t="inlineStr">
        <is>
          <t>OFICIO 1957-2025</t>
        </is>
      </c>
      <c r="W84" s="337" t="inlineStr">
        <is>
          <t>0000108- ADENDA N°001-2025 DRSA/OEA-O.ABAST</t>
        </is>
      </c>
      <c r="X84" s="337" t="inlineStr">
        <is>
          <t>256.0</t>
        </is>
      </c>
      <c r="Y84" s="280" t="n"/>
    </row>
    <row r="85" ht="15.75" customHeight="1" s="195">
      <c r="A85" s="241" t="n">
        <v>80</v>
      </c>
      <c r="B85" s="305" t="inlineStr">
        <is>
          <t>00000003</t>
        </is>
      </c>
      <c r="C85" s="241" t="inlineStr">
        <is>
          <t>REGION</t>
        </is>
      </c>
      <c r="D85" s="305" t="inlineStr">
        <is>
          <t>PUSCAN SOROE LLISELA</t>
        </is>
      </c>
      <c r="E85" s="241" t="inlineStr">
        <is>
          <t>DNI</t>
        </is>
      </c>
      <c r="F85" s="241" t="inlineStr">
        <is>
          <t>47675022</t>
        </is>
      </c>
      <c r="G85" s="336" t="n">
        <v>45753</v>
      </c>
      <c r="H85" s="241" t="inlineStr">
        <is>
          <t>4906</t>
        </is>
      </c>
      <c r="I85" s="332">
        <f>IFERROR(VLOOKUP(TEXT(H85,"0"),IPRESS!$A$3:$B$212,2,0),"")</f>
        <v/>
      </c>
      <c r="J85" s="241" t="inlineStr">
        <is>
          <t>4838</t>
        </is>
      </c>
      <c r="K85" s="332">
        <f>IFERROR(VLOOKUP(TEXT(O85,"0"),CONDUCTORES!$A$3:$G$100,7,0),"")</f>
        <v/>
      </c>
      <c r="L85" s="239" t="n">
        <v>18.18</v>
      </c>
      <c r="M85" s="239" t="n">
        <v>8</v>
      </c>
      <c r="N85" s="333">
        <f>IFERROR(IF(L85*M85=0,"",L85*M85),"")</f>
        <v/>
      </c>
      <c r="O85" s="334" t="n"/>
      <c r="P85" s="332">
        <f>IFERROR(VLOOKUP(TEXT(O85,"0"),CONDUCTORES!$A$3:$G$100,2,0),"")</f>
        <v/>
      </c>
      <c r="Q85" s="332">
        <f>IFERROR(VLOOKUP(TEXT(O85,"0"),CONDUCTORES!$A$3:$H$100,6,0),"")</f>
        <v/>
      </c>
      <c r="R85" s="336" t="n">
        <v>45828</v>
      </c>
      <c r="S85" s="305" t="inlineStr">
        <is>
          <t>O200</t>
        </is>
      </c>
      <c r="T85" s="241" t="n"/>
      <c r="U85" s="280" t="n"/>
      <c r="V85" s="241" t="n"/>
      <c r="W85" s="241" t="n"/>
      <c r="X85" s="241" t="n"/>
      <c r="Y85" s="280" t="n"/>
    </row>
    <row r="86" ht="15.75" customHeight="1" s="195">
      <c r="A86" s="301" t="n">
        <v>81</v>
      </c>
      <c r="B86" s="302" t="inlineStr">
        <is>
          <t>00000004</t>
        </is>
      </c>
      <c r="C86" s="301" t="inlineStr">
        <is>
          <t>REGION</t>
        </is>
      </c>
      <c r="D86" s="302" t="inlineStr">
        <is>
          <t>HUAMAN PUIQUIN LIDIA</t>
        </is>
      </c>
      <c r="E86" s="301" t="inlineStr">
        <is>
          <t>DNI</t>
        </is>
      </c>
      <c r="F86" s="301" t="inlineStr">
        <is>
          <t>75415307</t>
        </is>
      </c>
      <c r="G86" s="331" t="n">
        <v>45755</v>
      </c>
      <c r="H86" s="301" t="inlineStr">
        <is>
          <t>4906</t>
        </is>
      </c>
      <c r="I86" s="332">
        <f>IFERROR(VLOOKUP(TEXT(H86,"0"),IPRESS!$A$3:$B$212,2,0),"")</f>
        <v/>
      </c>
      <c r="J86" s="301" t="inlineStr">
        <is>
          <t>4838</t>
        </is>
      </c>
      <c r="K86" s="332">
        <f>IFERROR(VLOOKUP(TEXT(O86,"0"),CONDUCTORES!$A$3:$G$100,7,0),"")</f>
        <v/>
      </c>
      <c r="L86" s="245" t="n">
        <v>18.18</v>
      </c>
      <c r="M86" s="245" t="n">
        <v>8</v>
      </c>
      <c r="N86" s="333">
        <f>IFERROR(IF(L86*M86=0,"",L86*M86),"")</f>
        <v/>
      </c>
      <c r="O86" s="280" t="n"/>
      <c r="P86" s="332">
        <f>IFERROR(VLOOKUP(TEXT(O86,"0"),CONDUCTORES!$A$3:$G$100,2,0),"")</f>
        <v/>
      </c>
      <c r="Q86" s="332">
        <f>IFERROR(VLOOKUP(TEXT(O86,"0"),CONDUCTORES!$A$3:$H$100,6,0),"")</f>
        <v/>
      </c>
      <c r="R86" s="331" t="n">
        <v>45828</v>
      </c>
      <c r="S86" s="302" t="inlineStr">
        <is>
          <t>O149</t>
        </is>
      </c>
      <c r="T86" s="301" t="n"/>
      <c r="U86" s="334" t="n"/>
      <c r="V86" s="301" t="n"/>
      <c r="W86" s="301" t="n"/>
      <c r="X86" s="301" t="n"/>
      <c r="Y86" s="280" t="n"/>
    </row>
    <row r="87" ht="15.75" customHeight="1" s="195">
      <c r="A87" s="337" t="n">
        <v>82</v>
      </c>
      <c r="B87" s="338" t="inlineStr">
        <is>
          <t>00000016</t>
        </is>
      </c>
      <c r="C87" s="337" t="inlineStr">
        <is>
          <t>REGION</t>
        </is>
      </c>
      <c r="D87" s="338" t="inlineStr">
        <is>
          <t>MEDINA PULCE ROSMERY</t>
        </is>
      </c>
      <c r="E87" s="337" t="inlineStr">
        <is>
          <t>DNI</t>
        </is>
      </c>
      <c r="F87" s="337" t="inlineStr">
        <is>
          <t>71081038</t>
        </is>
      </c>
      <c r="G87" s="339" t="n">
        <v>45764</v>
      </c>
      <c r="H87" s="337" t="inlineStr">
        <is>
          <t>4913</t>
        </is>
      </c>
      <c r="I87" s="332">
        <f>IFERROR(VLOOKUP(TEXT(H87,"0"),IPRESS!$A$3:$B$212,2,0),"")</f>
        <v/>
      </c>
      <c r="J87" s="337" t="inlineStr">
        <is>
          <t>4838</t>
        </is>
      </c>
      <c r="K87" s="332">
        <f>IFERROR(VLOOKUP(TEXT(O87,"0"),CONDUCTORES!$A$3:$G$100,7,0),"")</f>
        <v/>
      </c>
      <c r="L87" s="340" t="n">
        <v>17.95</v>
      </c>
      <c r="M87" s="340" t="n">
        <v>20</v>
      </c>
      <c r="N87" s="333">
        <f>IFERROR(IF(L87*M87=0,"",L87*M87),"")</f>
        <v/>
      </c>
      <c r="O87" s="334" t="n"/>
      <c r="P87" s="332">
        <f>IFERROR(VLOOKUP(TEXT(O87,"0"),CONDUCTORES!$A$3:$G$100,2,0),"")</f>
        <v/>
      </c>
      <c r="Q87" s="332">
        <f>IFERROR(VLOOKUP(TEXT(O87,"0"),CONDUCTORES!$A$3:$H$100,6,0),"")</f>
        <v/>
      </c>
      <c r="R87" s="341" t="inlineStr">
        <is>
          <t>ENTREGADO 22/05/2025</t>
        </is>
      </c>
      <c r="S87" s="338" t="inlineStr">
        <is>
          <t>O639</t>
        </is>
      </c>
      <c r="T87" s="337" t="n"/>
      <c r="U87" s="341" t="n"/>
      <c r="V87" s="337" t="n"/>
      <c r="W87" s="337" t="n"/>
      <c r="X87" s="337" t="n"/>
      <c r="Y87" s="280" t="n"/>
    </row>
    <row r="88" ht="15.75" customHeight="1" s="195">
      <c r="A88" s="337" t="n">
        <v>83</v>
      </c>
      <c r="B88" s="338" t="inlineStr">
        <is>
          <t>00000017</t>
        </is>
      </c>
      <c r="C88" s="337" t="inlineStr">
        <is>
          <t>REGION</t>
        </is>
      </c>
      <c r="D88" s="338" t="inlineStr">
        <is>
          <t>HUAMANTA POQUIOMA YESICA</t>
        </is>
      </c>
      <c r="E88" s="337" t="inlineStr">
        <is>
          <t>DNI</t>
        </is>
      </c>
      <c r="F88" s="337" t="inlineStr">
        <is>
          <t>72095079</t>
        </is>
      </c>
      <c r="G88" s="339" t="n">
        <v>45767</v>
      </c>
      <c r="H88" s="337" t="inlineStr">
        <is>
          <t>4913</t>
        </is>
      </c>
      <c r="I88" s="332">
        <f>IFERROR(VLOOKUP(TEXT(H88,"0"),IPRESS!$A$3:$B$212,2,0),"")</f>
        <v/>
      </c>
      <c r="J88" s="337" t="inlineStr">
        <is>
          <t>5125</t>
        </is>
      </c>
      <c r="K88" s="332">
        <f>IFERROR(VLOOKUP(TEXT(O88,"0"),CONDUCTORES!$A$3:$G$100,7,0),"")</f>
        <v/>
      </c>
      <c r="L88" s="340" t="n">
        <v>17.95</v>
      </c>
      <c r="M88" s="340" t="n">
        <v>14</v>
      </c>
      <c r="N88" s="333">
        <f>IFERROR(IF(L88*M88=0,"",L88*M88),"")</f>
        <v/>
      </c>
      <c r="O88" s="280" t="n"/>
      <c r="P88" s="332">
        <f>IFERROR(VLOOKUP(TEXT(O88,"0"),CONDUCTORES!$A$3:$G$100,2,0),"")</f>
        <v/>
      </c>
      <c r="Q88" s="332">
        <f>IFERROR(VLOOKUP(TEXT(O88,"0"),CONDUCTORES!$A$3:$H$100,6,0),"")</f>
        <v/>
      </c>
      <c r="R88" s="341" t="inlineStr">
        <is>
          <t>ENTREGADO 22/05/2025</t>
        </is>
      </c>
      <c r="S88" s="338" t="inlineStr">
        <is>
          <t>O60X,O13X</t>
        </is>
      </c>
      <c r="T88" s="337" t="n"/>
      <c r="U88" s="341" t="n"/>
      <c r="V88" s="337" t="n"/>
      <c r="W88" s="337" t="n"/>
      <c r="X88" s="337" t="n"/>
      <c r="Y88" s="280" t="n"/>
    </row>
    <row r="89" ht="15.75" customHeight="1" s="195">
      <c r="A89" s="337" t="n">
        <v>84</v>
      </c>
      <c r="B89" s="338" t="inlineStr">
        <is>
          <t>00000018</t>
        </is>
      </c>
      <c r="C89" s="337" t="inlineStr">
        <is>
          <t>REGION</t>
        </is>
      </c>
      <c r="D89" s="338" t="inlineStr">
        <is>
          <t>CANTA MENDOZA TEODOCIO</t>
        </is>
      </c>
      <c r="E89" s="337" t="inlineStr">
        <is>
          <t>DNI</t>
        </is>
      </c>
      <c r="F89" s="337" t="inlineStr">
        <is>
          <t>33787472</t>
        </is>
      </c>
      <c r="G89" s="339" t="n">
        <v>45770</v>
      </c>
      <c r="H89" s="337" t="inlineStr">
        <is>
          <t>4913</t>
        </is>
      </c>
      <c r="I89" s="332">
        <f>IFERROR(VLOOKUP(TEXT(H89,"0"),IPRESS!$A$3:$B$212,2,0),"")</f>
        <v/>
      </c>
      <c r="J89" s="337" t="inlineStr">
        <is>
          <t>4838</t>
        </is>
      </c>
      <c r="K89" s="332">
        <f>IFERROR(VLOOKUP(TEXT(O89,"0"),CONDUCTORES!$A$3:$G$100,7,0),"")</f>
        <v/>
      </c>
      <c r="L89" s="340" t="n">
        <v>17.95</v>
      </c>
      <c r="M89" s="340" t="n">
        <v>14</v>
      </c>
      <c r="N89" s="333">
        <f>IFERROR(IF(L89*M89=0,"",L89*M89),"")</f>
        <v/>
      </c>
      <c r="O89" s="334" t="n"/>
      <c r="P89" s="332">
        <f>IFERROR(VLOOKUP(TEXT(O89,"0"),CONDUCTORES!$A$3:$G$100,2,0),"")</f>
        <v/>
      </c>
      <c r="Q89" s="332">
        <f>IFERROR(VLOOKUP(TEXT(O89,"0"),CONDUCTORES!$A$3:$H$100,6,0),"")</f>
        <v/>
      </c>
      <c r="R89" s="341" t="inlineStr">
        <is>
          <t>ENTREGADO 22/05/2025</t>
        </is>
      </c>
      <c r="S89" s="338" t="inlineStr">
        <is>
          <t>R100,K358,D649</t>
        </is>
      </c>
      <c r="T89" s="337" t="n"/>
      <c r="U89" s="341" t="n"/>
      <c r="V89" s="337" t="n"/>
      <c r="W89" s="337" t="n"/>
      <c r="X89" s="337" t="n"/>
      <c r="Y89" s="280" t="n"/>
    </row>
    <row r="90" ht="15.75" customHeight="1" s="195">
      <c r="A90" s="337" t="n">
        <v>85</v>
      </c>
      <c r="B90" s="338" t="inlineStr">
        <is>
          <t>00000019</t>
        </is>
      </c>
      <c r="C90" s="337" t="inlineStr">
        <is>
          <t>REGION</t>
        </is>
      </c>
      <c r="D90" s="338" t="inlineStr">
        <is>
          <t>VALERIN GORMAS ASUNTA</t>
        </is>
      </c>
      <c r="E90" s="337" t="inlineStr">
        <is>
          <t>DNI</t>
        </is>
      </c>
      <c r="F90" s="337" t="inlineStr">
        <is>
          <t>48497117</t>
        </is>
      </c>
      <c r="G90" s="339" t="n">
        <v>45775</v>
      </c>
      <c r="H90" s="337" t="inlineStr">
        <is>
          <t>4913</t>
        </is>
      </c>
      <c r="I90" s="332">
        <f>IFERROR(VLOOKUP(TEXT(H90,"0"),IPRESS!$A$3:$B$212,2,0),"")</f>
        <v/>
      </c>
      <c r="J90" s="337" t="inlineStr">
        <is>
          <t>4922</t>
        </is>
      </c>
      <c r="K90" s="332">
        <f>IFERROR(VLOOKUP(TEXT(O90,"0"),CONDUCTORES!$A$3:$G$100,7,0),"")</f>
        <v/>
      </c>
      <c r="L90" s="340" t="n">
        <v>17.95</v>
      </c>
      <c r="M90" s="340" t="n">
        <v>20</v>
      </c>
      <c r="N90" s="333">
        <f>IFERROR(IF(L90*M90=0,"",L90*M90),"")</f>
        <v/>
      </c>
      <c r="O90" s="280" t="n"/>
      <c r="P90" s="332">
        <f>IFERROR(VLOOKUP(TEXT(O90,"0"),CONDUCTORES!$A$3:$G$100,2,0),"")</f>
        <v/>
      </c>
      <c r="Q90" s="332">
        <f>IFERROR(VLOOKUP(TEXT(O90,"0"),CONDUCTORES!$A$3:$H$100,6,0),"")</f>
        <v/>
      </c>
      <c r="R90" s="341" t="inlineStr">
        <is>
          <t>ENTREGADO 22/05/2025</t>
        </is>
      </c>
      <c r="S90" s="338" t="inlineStr">
        <is>
          <t>O689,F718</t>
        </is>
      </c>
      <c r="T90" s="337" t="n"/>
      <c r="U90" s="341" t="n"/>
      <c r="V90" s="337" t="n"/>
      <c r="W90" s="337" t="n"/>
      <c r="X90" s="337" t="n"/>
      <c r="Y90" s="280" t="n"/>
    </row>
    <row r="91" ht="15.75" customHeight="1" s="195">
      <c r="A91" s="241" t="n">
        <v>86</v>
      </c>
      <c r="B91" s="305" t="inlineStr">
        <is>
          <t>00000002</t>
        </is>
      </c>
      <c r="C91" s="241" t="inlineStr">
        <is>
          <t>REGION</t>
        </is>
      </c>
      <c r="D91" s="305" t="inlineStr">
        <is>
          <t>PIZARRO JULCA SEGUNDO REYNALDO</t>
        </is>
      </c>
      <c r="E91" s="241" t="inlineStr">
        <is>
          <t>DNI</t>
        </is>
      </c>
      <c r="F91" s="241" t="inlineStr">
        <is>
          <t>33801370</t>
        </is>
      </c>
      <c r="G91" s="336" t="n">
        <v>45756</v>
      </c>
      <c r="H91" s="241" t="inlineStr">
        <is>
          <t>4862</t>
        </is>
      </c>
      <c r="I91" s="332">
        <f>IFERROR(VLOOKUP(TEXT(H91,"0"),IPRESS!$A$3:$B$212,2,0),"")</f>
        <v/>
      </c>
      <c r="J91" s="241" t="inlineStr">
        <is>
          <t>4838</t>
        </is>
      </c>
      <c r="K91" s="332">
        <f>IFERROR(VLOOKUP(TEXT(O91,"0"),CONDUCTORES!$A$3:$G$100,7,0),"")</f>
        <v/>
      </c>
      <c r="L91" s="239" t="n">
        <v>18.18</v>
      </c>
      <c r="M91" s="239" t="n">
        <v>7</v>
      </c>
      <c r="N91" s="333">
        <f>IFERROR(IF(L91*M91=0,"",L91*M91),"")</f>
        <v/>
      </c>
      <c r="O91" s="334" t="n"/>
      <c r="P91" s="332">
        <f>IFERROR(VLOOKUP(TEXT(O91,"0"),CONDUCTORES!$A$3:$G$100,2,0),"")</f>
        <v/>
      </c>
      <c r="Q91" s="332">
        <f>IFERROR(VLOOKUP(TEXT(O91,"0"),CONDUCTORES!$A$3:$H$100,6,0),"")</f>
        <v/>
      </c>
      <c r="R91" s="336" t="n">
        <v>45939</v>
      </c>
      <c r="S91" s="305" t="inlineStr">
        <is>
          <t>R568,J639,G312</t>
        </is>
      </c>
      <c r="T91" s="241" t="n"/>
      <c r="U91" s="280" t="n"/>
      <c r="V91" s="241" t="n"/>
      <c r="W91" s="241" t="n"/>
      <c r="X91" s="241" t="n"/>
      <c r="Y91" s="280" t="n"/>
    </row>
    <row r="92" ht="15.75" customHeight="1" s="195">
      <c r="A92" s="301" t="n">
        <v>87</v>
      </c>
      <c r="B92" s="302" t="inlineStr">
        <is>
          <t>00000017</t>
        </is>
      </c>
      <c r="C92" s="301" t="inlineStr">
        <is>
          <t>REGION</t>
        </is>
      </c>
      <c r="D92" s="302" t="inlineStr">
        <is>
          <t>VALQUI LOJA MAYTEE</t>
        </is>
      </c>
      <c r="E92" s="301" t="inlineStr">
        <is>
          <t>DNI</t>
        </is>
      </c>
      <c r="F92" s="301" t="inlineStr">
        <is>
          <t>60303848</t>
        </is>
      </c>
      <c r="G92" s="331" t="n">
        <v>45750</v>
      </c>
      <c r="H92" s="301" t="inlineStr">
        <is>
          <t>4887</t>
        </is>
      </c>
      <c r="I92" s="332">
        <f>IFERROR(VLOOKUP(TEXT(H92,"0"),IPRESS!$A$3:$B$212,2,0),"")</f>
        <v/>
      </c>
      <c r="J92" s="301" t="inlineStr">
        <is>
          <t>4838</t>
        </is>
      </c>
      <c r="K92" s="332">
        <f>IFERROR(VLOOKUP(TEXT(O92,"0"),CONDUCTORES!$A$3:$G$100,7,0),"")</f>
        <v/>
      </c>
      <c r="L92" s="245" t="n">
        <v>18.18</v>
      </c>
      <c r="M92" s="245" t="n">
        <v>10</v>
      </c>
      <c r="N92" s="333">
        <f>IFERROR(IF(L92*M92=0,"",L92*M92),"")</f>
        <v/>
      </c>
      <c r="O92" s="280" t="n"/>
      <c r="P92" s="332">
        <f>IFERROR(VLOOKUP(TEXT(O92,"0"),CONDUCTORES!$A$3:$G$100,2,0),"")</f>
        <v/>
      </c>
      <c r="Q92" s="332">
        <f>IFERROR(VLOOKUP(TEXT(O92,"0"),CONDUCTORES!$A$3:$H$100,6,0),"")</f>
        <v/>
      </c>
      <c r="R92" s="331" t="n">
        <v>45789</v>
      </c>
      <c r="S92" s="302" t="inlineStr">
        <is>
          <t>R100,O009</t>
        </is>
      </c>
      <c r="T92" s="301" t="n"/>
      <c r="U92" s="334" t="n"/>
      <c r="V92" s="301" t="inlineStr">
        <is>
          <t>OFICO  1937-2025</t>
        </is>
      </c>
      <c r="W92" s="301" t="inlineStr">
        <is>
          <t>0000108- ADENDA N°001-2025 DRSA/OEA-O.ABAST</t>
        </is>
      </c>
      <c r="X92" s="301" t="inlineStr">
        <is>
          <t>256.0</t>
        </is>
      </c>
      <c r="Y92" s="280" t="n"/>
    </row>
    <row r="93" ht="15.75" customHeight="1" s="195">
      <c r="A93" s="241" t="n">
        <v>88</v>
      </c>
      <c r="B93" s="305" t="inlineStr">
        <is>
          <t>00000018</t>
        </is>
      </c>
      <c r="C93" s="241" t="inlineStr">
        <is>
          <t>REGION</t>
        </is>
      </c>
      <c r="D93" s="305" t="inlineStr">
        <is>
          <t>TAFUR PEREZ DAYANA MACIEL</t>
        </is>
      </c>
      <c r="E93" s="241" t="inlineStr">
        <is>
          <t>DNI</t>
        </is>
      </c>
      <c r="F93" s="241" t="inlineStr">
        <is>
          <t>61807827</t>
        </is>
      </c>
      <c r="G93" s="336" t="n">
        <v>45750</v>
      </c>
      <c r="H93" s="241" t="inlineStr">
        <is>
          <t>4887</t>
        </is>
      </c>
      <c r="I93" s="332">
        <f>IFERROR(VLOOKUP(TEXT(H93,"0"),IPRESS!$A$3:$B$212,2,0),"")</f>
        <v/>
      </c>
      <c r="J93" s="241" t="inlineStr">
        <is>
          <t>4838</t>
        </is>
      </c>
      <c r="K93" s="332">
        <f>IFERROR(VLOOKUP(TEXT(O93,"0"),CONDUCTORES!$A$3:$G$100,7,0),"")</f>
        <v/>
      </c>
      <c r="L93" s="239" t="n">
        <v>18.18</v>
      </c>
      <c r="M93" s="239" t="n">
        <v>10</v>
      </c>
      <c r="N93" s="333">
        <f>IFERROR(IF(L93*M93=0,"",L93*M93),"")</f>
        <v/>
      </c>
      <c r="O93" s="334" t="n"/>
      <c r="P93" s="332">
        <f>IFERROR(VLOOKUP(TEXT(O93,"0"),CONDUCTORES!$A$3:$G$100,2,0),"")</f>
        <v/>
      </c>
      <c r="Q93" s="332">
        <f>IFERROR(VLOOKUP(TEXT(O93,"0"),CONDUCTORES!$A$3:$H$100,6,0),"")</f>
        <v/>
      </c>
      <c r="R93" s="336" t="n">
        <v>45789</v>
      </c>
      <c r="S93" s="305" t="inlineStr">
        <is>
          <t>R103,O033</t>
        </is>
      </c>
      <c r="T93" s="241" t="n"/>
      <c r="U93" s="280" t="n"/>
      <c r="V93" s="241" t="inlineStr">
        <is>
          <t>OFICO  1937-2025</t>
        </is>
      </c>
      <c r="W93" s="241" t="inlineStr">
        <is>
          <t>0000108- ADENDA N°001-2025 DRSA/OEA-O.ABAST</t>
        </is>
      </c>
      <c r="X93" s="241" t="inlineStr">
        <is>
          <t>256.0</t>
        </is>
      </c>
      <c r="Y93" s="280" t="n"/>
    </row>
    <row r="94" ht="15.75" customHeight="1" s="195">
      <c r="A94" s="301" t="n">
        <v>89</v>
      </c>
      <c r="B94" s="302" t="inlineStr">
        <is>
          <t>00000043</t>
        </is>
      </c>
      <c r="C94" s="301" t="inlineStr">
        <is>
          <t>REGION</t>
        </is>
      </c>
      <c r="D94" s="302" t="inlineStr">
        <is>
          <t>CHAVEZ RAMOS YERALDIN ENEIDA</t>
        </is>
      </c>
      <c r="E94" s="301" t="inlineStr">
        <is>
          <t>DNI</t>
        </is>
      </c>
      <c r="F94" s="301" t="inlineStr">
        <is>
          <t>75060667</t>
        </is>
      </c>
      <c r="G94" s="331" t="n">
        <v>45748</v>
      </c>
      <c r="H94" s="301" t="inlineStr">
        <is>
          <t>4903</t>
        </is>
      </c>
      <c r="I94" s="332">
        <f>IFERROR(VLOOKUP(TEXT(H94,"0"),IPRESS!$A$3:$B$212,2,0),"")</f>
        <v/>
      </c>
      <c r="J94" s="301" t="inlineStr">
        <is>
          <t>4838</t>
        </is>
      </c>
      <c r="K94" s="332">
        <f>IFERROR(VLOOKUP(TEXT(O94,"0"),CONDUCTORES!$A$3:$G$100,7,0),"")</f>
        <v/>
      </c>
      <c r="L94" s="245" t="n">
        <v>18.18</v>
      </c>
      <c r="M94" s="245" t="n">
        <v>5</v>
      </c>
      <c r="N94" s="333">
        <f>IFERROR(IF(L94*M94=0,"",L94*M94),"")</f>
        <v/>
      </c>
      <c r="O94" s="280" t="n"/>
      <c r="P94" s="332">
        <f>IFERROR(VLOOKUP(TEXT(O94,"0"),CONDUCTORES!$A$3:$G$100,2,0),"")</f>
        <v/>
      </c>
      <c r="Q94" s="332">
        <f>IFERROR(VLOOKUP(TEXT(O94,"0"),CONDUCTORES!$A$3:$H$100,6,0),"")</f>
        <v/>
      </c>
      <c r="R94" s="331" t="n">
        <v>45791</v>
      </c>
      <c r="S94" s="302" t="inlineStr">
        <is>
          <t>F412,R451,Z915</t>
        </is>
      </c>
      <c r="T94" s="301" t="n"/>
      <c r="U94" s="334" t="n"/>
      <c r="V94" s="301" t="inlineStr">
        <is>
          <t>OFICIO1971-2025</t>
        </is>
      </c>
      <c r="W94" s="301" t="inlineStr">
        <is>
          <t>0000108- ADENDA N°001-2025 DRSA/OEA-O.ABAST</t>
        </is>
      </c>
      <c r="X94" s="301" t="inlineStr">
        <is>
          <t>256.0</t>
        </is>
      </c>
      <c r="Y94" s="280" t="n"/>
    </row>
    <row r="95" ht="15.75" customHeight="1" s="195">
      <c r="A95" s="241" t="n">
        <v>90</v>
      </c>
      <c r="B95" s="305" t="inlineStr">
        <is>
          <t>00000044</t>
        </is>
      </c>
      <c r="C95" s="241" t="inlineStr">
        <is>
          <t>REGION</t>
        </is>
      </c>
      <c r="D95" s="305" t="inlineStr">
        <is>
          <t>TRUJILLO BUELOT SEGUNDO JOSE</t>
        </is>
      </c>
      <c r="E95" s="241" t="inlineStr">
        <is>
          <t>DNI</t>
        </is>
      </c>
      <c r="F95" s="241" t="inlineStr">
        <is>
          <t>40661891</t>
        </is>
      </c>
      <c r="G95" s="336" t="n">
        <v>45750</v>
      </c>
      <c r="H95" s="241" t="inlineStr">
        <is>
          <t>4903</t>
        </is>
      </c>
      <c r="I95" s="332">
        <f>IFERROR(VLOOKUP(TEXT(H95,"0"),IPRESS!$A$3:$B$212,2,0),"")</f>
        <v/>
      </c>
      <c r="J95" s="241" t="inlineStr">
        <is>
          <t>4838</t>
        </is>
      </c>
      <c r="K95" s="332">
        <f>IFERROR(VLOOKUP(TEXT(O95,"0"),CONDUCTORES!$A$3:$G$100,7,0),"")</f>
        <v/>
      </c>
      <c r="L95" s="239" t="n">
        <v>18.18</v>
      </c>
      <c r="M95" s="239" t="n">
        <v>5</v>
      </c>
      <c r="N95" s="333">
        <f>IFERROR(IF(L95*M95=0,"",L95*M95),"")</f>
        <v/>
      </c>
      <c r="O95" s="334" t="n"/>
      <c r="P95" s="332">
        <f>IFERROR(VLOOKUP(TEXT(O95,"0"),CONDUCTORES!$A$3:$G$100,2,0),"")</f>
        <v/>
      </c>
      <c r="Q95" s="332">
        <f>IFERROR(VLOOKUP(TEXT(O95,"0"),CONDUCTORES!$A$3:$H$100,6,0),"")</f>
        <v/>
      </c>
      <c r="R95" s="336" t="n">
        <v>45791</v>
      </c>
      <c r="S95" s="305" t="inlineStr">
        <is>
          <t>K922</t>
        </is>
      </c>
      <c r="T95" s="241" t="n"/>
      <c r="U95" s="280" t="n"/>
      <c r="V95" s="241" t="inlineStr">
        <is>
          <t>OFICIO1971-2025</t>
        </is>
      </c>
      <c r="W95" s="241" t="inlineStr">
        <is>
          <t>0000108- ADENDA N°001-2025 DRSA/OEA-O.ABAST</t>
        </is>
      </c>
      <c r="X95" s="241" t="inlineStr">
        <is>
          <t>256.0</t>
        </is>
      </c>
      <c r="Y95" s="280" t="n"/>
    </row>
    <row r="96" ht="15.75" customHeight="1" s="195">
      <c r="A96" s="301" t="n">
        <v>91</v>
      </c>
      <c r="B96" s="302" t="inlineStr">
        <is>
          <t>00000045</t>
        </is>
      </c>
      <c r="C96" s="301" t="inlineStr">
        <is>
          <t>REGION</t>
        </is>
      </c>
      <c r="D96" s="302" t="inlineStr">
        <is>
          <t>LOPEZ CUCHCA NERIDA BERTA</t>
        </is>
      </c>
      <c r="E96" s="301" t="inlineStr">
        <is>
          <t>DNI</t>
        </is>
      </c>
      <c r="F96" s="301" t="inlineStr">
        <is>
          <t>45510103</t>
        </is>
      </c>
      <c r="G96" s="331" t="n">
        <v>45754</v>
      </c>
      <c r="H96" s="301" t="inlineStr">
        <is>
          <t>4903</t>
        </is>
      </c>
      <c r="I96" s="332">
        <f>IFERROR(VLOOKUP(TEXT(H96,"0"),IPRESS!$A$3:$B$212,2,0),"")</f>
        <v/>
      </c>
      <c r="J96" s="301" t="inlineStr">
        <is>
          <t>4838</t>
        </is>
      </c>
      <c r="K96" s="332">
        <f>IFERROR(VLOOKUP(TEXT(O96,"0"),CONDUCTORES!$A$3:$G$100,7,0),"")</f>
        <v/>
      </c>
      <c r="L96" s="245" t="n">
        <v>18.18</v>
      </c>
      <c r="M96" s="245" t="n">
        <v>5</v>
      </c>
      <c r="N96" s="333">
        <f>IFERROR(IF(L96*M96=0,"",L96*M96),"")</f>
        <v/>
      </c>
      <c r="O96" s="280" t="n"/>
      <c r="P96" s="332">
        <f>IFERROR(VLOOKUP(TEXT(O96,"0"),CONDUCTORES!$A$3:$G$100,2,0),"")</f>
        <v/>
      </c>
      <c r="Q96" s="332">
        <f>IFERROR(VLOOKUP(TEXT(O96,"0"),CONDUCTORES!$A$3:$H$100,6,0),"")</f>
        <v/>
      </c>
      <c r="R96" s="331" t="n">
        <v>45791</v>
      </c>
      <c r="S96" s="302" t="inlineStr">
        <is>
          <t>R100,K359</t>
        </is>
      </c>
      <c r="T96" s="301" t="n"/>
      <c r="U96" s="334" t="n"/>
      <c r="V96" s="301" t="inlineStr">
        <is>
          <t>OFICIO1971-2025</t>
        </is>
      </c>
      <c r="W96" s="301" t="inlineStr">
        <is>
          <t>0000108- ADENDA N°001-2025 DRSA/OEA-O.ABAST</t>
        </is>
      </c>
      <c r="X96" s="301" t="inlineStr">
        <is>
          <t>256.0</t>
        </is>
      </c>
      <c r="Y96" s="280" t="n"/>
    </row>
    <row r="97" ht="15.75" customHeight="1" s="195">
      <c r="A97" s="241" t="n">
        <v>92</v>
      </c>
      <c r="B97" s="305" t="inlineStr">
        <is>
          <t>00000046</t>
        </is>
      </c>
      <c r="C97" s="241" t="inlineStr">
        <is>
          <t>REGION</t>
        </is>
      </c>
      <c r="D97" s="305" t="inlineStr">
        <is>
          <t>RIVERA CASTAÑEDA RUSBEL FRANCISCO</t>
        </is>
      </c>
      <c r="E97" s="241" t="inlineStr">
        <is>
          <t>DNI</t>
        </is>
      </c>
      <c r="F97" s="241" t="inlineStr">
        <is>
          <t>47588436</t>
        </is>
      </c>
      <c r="G97" s="336" t="n">
        <v>45756</v>
      </c>
      <c r="H97" s="241" t="inlineStr">
        <is>
          <t>4903</t>
        </is>
      </c>
      <c r="I97" s="332">
        <f>IFERROR(VLOOKUP(TEXT(H97,"0"),IPRESS!$A$3:$B$212,2,0),"")</f>
        <v/>
      </c>
      <c r="J97" s="241" t="inlineStr">
        <is>
          <t>4838</t>
        </is>
      </c>
      <c r="K97" s="332">
        <f>IFERROR(VLOOKUP(TEXT(O97,"0"),CONDUCTORES!$A$3:$G$100,7,0),"")</f>
        <v/>
      </c>
      <c r="L97" s="239" t="n">
        <v>18.18</v>
      </c>
      <c r="M97" s="239" t="n">
        <v>5</v>
      </c>
      <c r="N97" s="333">
        <f>IFERROR(IF(L97*M97=0,"",L97*M97),"")</f>
        <v/>
      </c>
      <c r="O97" s="334" t="n"/>
      <c r="P97" s="332">
        <f>IFERROR(VLOOKUP(TEXT(O97,"0"),CONDUCTORES!$A$3:$G$100,2,0),"")</f>
        <v/>
      </c>
      <c r="Q97" s="332">
        <f>IFERROR(VLOOKUP(TEXT(O97,"0"),CONDUCTORES!$A$3:$H$100,6,0),"")</f>
        <v/>
      </c>
      <c r="R97" s="336" t="n">
        <v>45791</v>
      </c>
      <c r="S97" s="305" t="inlineStr">
        <is>
          <t>N209</t>
        </is>
      </c>
      <c r="T97" s="241" t="n"/>
      <c r="U97" s="280" t="n"/>
      <c r="V97" s="241" t="inlineStr">
        <is>
          <t>OFICIO1971-2025</t>
        </is>
      </c>
      <c r="W97" s="241" t="inlineStr">
        <is>
          <t>0000108- ADENDA N°001-2025 DRSA/OEA-O.ABAST</t>
        </is>
      </c>
      <c r="X97" s="241" t="inlineStr">
        <is>
          <t>256.0</t>
        </is>
      </c>
      <c r="Y97" s="280" t="n"/>
    </row>
    <row r="98" ht="15.75" customHeight="1" s="195">
      <c r="A98" s="301" t="n">
        <v>93</v>
      </c>
      <c r="B98" s="302" t="inlineStr">
        <is>
          <t>00000047</t>
        </is>
      </c>
      <c r="C98" s="301" t="inlineStr">
        <is>
          <t>REGION</t>
        </is>
      </c>
      <c r="D98" s="302" t="inlineStr">
        <is>
          <t>MENDOZA GARRO ESTEFANY DAYANA</t>
        </is>
      </c>
      <c r="E98" s="301" t="inlineStr">
        <is>
          <t>DNI</t>
        </is>
      </c>
      <c r="F98" s="301" t="inlineStr">
        <is>
          <t>62692323</t>
        </is>
      </c>
      <c r="G98" s="331" t="n">
        <v>45757</v>
      </c>
      <c r="H98" s="301" t="inlineStr">
        <is>
          <t>4903</t>
        </is>
      </c>
      <c r="I98" s="332">
        <f>IFERROR(VLOOKUP(TEXT(H98,"0"),IPRESS!$A$3:$B$212,2,0),"")</f>
        <v/>
      </c>
      <c r="J98" s="301" t="inlineStr">
        <is>
          <t>4838</t>
        </is>
      </c>
      <c r="K98" s="332">
        <f>IFERROR(VLOOKUP(TEXT(O98,"0"),CONDUCTORES!$A$3:$G$100,7,0),"")</f>
        <v/>
      </c>
      <c r="L98" s="245" t="n">
        <v>18.18</v>
      </c>
      <c r="M98" s="245" t="n">
        <v>5</v>
      </c>
      <c r="N98" s="333">
        <f>IFERROR(IF(L98*M98=0,"",L98*M98),"")</f>
        <v/>
      </c>
      <c r="O98" s="280" t="n"/>
      <c r="P98" s="332">
        <f>IFERROR(VLOOKUP(TEXT(O98,"0"),CONDUCTORES!$A$3:$G$100,2,0),"")</f>
        <v/>
      </c>
      <c r="Q98" s="332">
        <f>IFERROR(VLOOKUP(TEXT(O98,"0"),CONDUCTORES!$A$3:$H$100,6,0),"")</f>
        <v/>
      </c>
      <c r="R98" s="331" t="n">
        <v>45791</v>
      </c>
      <c r="S98" s="302" t="inlineStr">
        <is>
          <t>I639,R471</t>
        </is>
      </c>
      <c r="T98" s="301" t="n"/>
      <c r="U98" s="334" t="n"/>
      <c r="V98" s="301" t="inlineStr">
        <is>
          <t>OFICIO1971-2025</t>
        </is>
      </c>
      <c r="W98" s="301" t="inlineStr">
        <is>
          <t>0000108- ADENDA N°001-2025 DRSA/OEA-O.ABAST</t>
        </is>
      </c>
      <c r="X98" s="301" t="inlineStr">
        <is>
          <t>256.0</t>
        </is>
      </c>
      <c r="Y98" s="280" t="n"/>
    </row>
    <row r="99" ht="15.75" customHeight="1" s="195">
      <c r="A99" s="241" t="n">
        <v>94</v>
      </c>
      <c r="B99" s="305" t="inlineStr">
        <is>
          <t>00000048</t>
        </is>
      </c>
      <c r="C99" s="241" t="inlineStr">
        <is>
          <t>REGION</t>
        </is>
      </c>
      <c r="D99" s="305" t="inlineStr">
        <is>
          <t>LOLOC ZUTA JHONN MANUEL</t>
        </is>
      </c>
      <c r="E99" s="241" t="inlineStr">
        <is>
          <t>DNI</t>
        </is>
      </c>
      <c r="F99" s="241" t="inlineStr">
        <is>
          <t>60031517</t>
        </is>
      </c>
      <c r="G99" s="336" t="n">
        <v>45772</v>
      </c>
      <c r="H99" s="241" t="inlineStr">
        <is>
          <t>4903</t>
        </is>
      </c>
      <c r="I99" s="332">
        <f>IFERROR(VLOOKUP(TEXT(H99,"0"),IPRESS!$A$3:$B$212,2,0),"")</f>
        <v/>
      </c>
      <c r="J99" s="241" t="inlineStr">
        <is>
          <t>4838</t>
        </is>
      </c>
      <c r="K99" s="332">
        <f>IFERROR(VLOOKUP(TEXT(O99,"0"),CONDUCTORES!$A$3:$G$100,7,0),"")</f>
        <v/>
      </c>
      <c r="L99" s="239" t="n">
        <v>18.18</v>
      </c>
      <c r="M99" s="239" t="n">
        <v>5</v>
      </c>
      <c r="N99" s="333">
        <f>IFERROR(IF(L99*M99=0,"",L99*M99),"")</f>
        <v/>
      </c>
      <c r="O99" s="334" t="n"/>
      <c r="P99" s="332">
        <f>IFERROR(VLOOKUP(TEXT(O99,"0"),CONDUCTORES!$A$3:$G$100,2,0),"")</f>
        <v/>
      </c>
      <c r="Q99" s="332">
        <f>IFERROR(VLOOKUP(TEXT(O99,"0"),CONDUCTORES!$A$3:$H$100,6,0),"")</f>
        <v/>
      </c>
      <c r="R99" s="336" t="n">
        <v>45827</v>
      </c>
      <c r="S99" s="305" t="inlineStr">
        <is>
          <t>N23X</t>
        </is>
      </c>
      <c r="T99" s="241" t="n"/>
      <c r="U99" s="280" t="n"/>
      <c r="V99" s="241" t="n"/>
      <c r="W99" s="241" t="n"/>
      <c r="X99" s="241" t="n"/>
      <c r="Y99" s="280" t="n"/>
    </row>
    <row r="100" ht="15.75" customHeight="1" s="195">
      <c r="A100" s="301" t="n">
        <v>95</v>
      </c>
      <c r="B100" s="302" t="inlineStr">
        <is>
          <t>00000049</t>
        </is>
      </c>
      <c r="C100" s="301" t="inlineStr">
        <is>
          <t>REGION</t>
        </is>
      </c>
      <c r="D100" s="302" t="inlineStr">
        <is>
          <t>VELA VILLANUEVA YESSICA</t>
        </is>
      </c>
      <c r="E100" s="301" t="inlineStr">
        <is>
          <t>DNI</t>
        </is>
      </c>
      <c r="F100" s="301" t="inlineStr">
        <is>
          <t>62002491</t>
        </is>
      </c>
      <c r="G100" s="331" t="n">
        <v>45776</v>
      </c>
      <c r="H100" s="301" t="inlineStr">
        <is>
          <t>4903</t>
        </is>
      </c>
      <c r="I100" s="332">
        <f>IFERROR(VLOOKUP(TEXT(H100,"0"),IPRESS!$A$3:$B$212,2,0),"")</f>
        <v/>
      </c>
      <c r="J100" s="301" t="inlineStr">
        <is>
          <t>4838</t>
        </is>
      </c>
      <c r="K100" s="332">
        <f>IFERROR(VLOOKUP(TEXT(O100,"0"),CONDUCTORES!$A$3:$G$100,7,0),"")</f>
        <v/>
      </c>
      <c r="L100" s="245" t="n">
        <v>18.18</v>
      </c>
      <c r="M100" s="245" t="n">
        <v>5</v>
      </c>
      <c r="N100" s="333">
        <f>IFERROR(IF(L100*M100=0,"",L100*M100),"")</f>
        <v/>
      </c>
      <c r="O100" s="280" t="n"/>
      <c r="P100" s="332">
        <f>IFERROR(VLOOKUP(TEXT(O100,"0"),CONDUCTORES!$A$3:$G$100,2,0),"")</f>
        <v/>
      </c>
      <c r="Q100" s="332">
        <f>IFERROR(VLOOKUP(TEXT(O100,"0"),CONDUCTORES!$A$3:$H$100,6,0),"")</f>
        <v/>
      </c>
      <c r="R100" s="331" t="n">
        <v>45827</v>
      </c>
      <c r="S100" s="302" t="inlineStr">
        <is>
          <t>N739,N809</t>
        </is>
      </c>
      <c r="T100" s="301" t="n"/>
      <c r="U100" s="334" t="n"/>
      <c r="V100" s="301" t="n"/>
      <c r="W100" s="301" t="n"/>
      <c r="X100" s="301" t="n"/>
      <c r="Y100" s="280" t="n"/>
    </row>
    <row r="101" ht="15.75" customHeight="1" s="195">
      <c r="A101" s="241" t="n">
        <v>96</v>
      </c>
      <c r="B101" s="305" t="inlineStr">
        <is>
          <t>00000050</t>
        </is>
      </c>
      <c r="C101" s="241" t="inlineStr">
        <is>
          <t>REGION</t>
        </is>
      </c>
      <c r="D101" s="305" t="inlineStr">
        <is>
          <t>TORREJON RAMIREZ LEILDE</t>
        </is>
      </c>
      <c r="E101" s="241" t="inlineStr">
        <is>
          <t>DNI</t>
        </is>
      </c>
      <c r="F101" s="241" t="inlineStr">
        <is>
          <t>42055034</t>
        </is>
      </c>
      <c r="G101" s="336" t="n">
        <v>45776</v>
      </c>
      <c r="H101" s="241" t="inlineStr">
        <is>
          <t>4903</t>
        </is>
      </c>
      <c r="I101" s="332">
        <f>IFERROR(VLOOKUP(TEXT(H101,"0"),IPRESS!$A$3:$B$212,2,0),"")</f>
        <v/>
      </c>
      <c r="J101" s="241" t="inlineStr">
        <is>
          <t>4838</t>
        </is>
      </c>
      <c r="K101" s="332">
        <f>IFERROR(VLOOKUP(TEXT(O101,"0"),CONDUCTORES!$A$3:$G$100,7,0),"")</f>
        <v/>
      </c>
      <c r="L101" s="239" t="n">
        <v>18.18</v>
      </c>
      <c r="M101" s="239" t="n">
        <v>5</v>
      </c>
      <c r="N101" s="333">
        <f>IFERROR(IF(L101*M101=0,"",L101*M101),"")</f>
        <v/>
      </c>
      <c r="O101" s="334" t="n"/>
      <c r="P101" s="332">
        <f>IFERROR(VLOOKUP(TEXT(O101,"0"),CONDUCTORES!$A$3:$G$100,2,0),"")</f>
        <v/>
      </c>
      <c r="Q101" s="332">
        <f>IFERROR(VLOOKUP(TEXT(O101,"0"),CONDUCTORES!$A$3:$H$100,6,0),"")</f>
        <v/>
      </c>
      <c r="R101" s="336" t="n">
        <v>45827</v>
      </c>
      <c r="S101" s="305" t="inlineStr">
        <is>
          <t>Y050,N939</t>
        </is>
      </c>
      <c r="T101" s="241" t="n"/>
      <c r="U101" s="280" t="n"/>
      <c r="V101" s="241" t="n"/>
      <c r="W101" s="241" t="n"/>
      <c r="X101" s="241" t="n"/>
      <c r="Y101" s="280" t="n"/>
    </row>
    <row r="102" ht="15.75" customHeight="1" s="195">
      <c r="A102" s="301" t="n">
        <v>97</v>
      </c>
      <c r="B102" s="302" t="inlineStr">
        <is>
          <t>00000051</t>
        </is>
      </c>
      <c r="C102" s="301" t="inlineStr">
        <is>
          <t>REGION</t>
        </is>
      </c>
      <c r="D102" s="302" t="inlineStr">
        <is>
          <t>VARGAS GARCIA MAXIMO</t>
        </is>
      </c>
      <c r="E102" s="301" t="inlineStr">
        <is>
          <t>DNI</t>
        </is>
      </c>
      <c r="F102" s="301" t="inlineStr">
        <is>
          <t>33816880</t>
        </is>
      </c>
      <c r="G102" s="331" t="n">
        <v>45773</v>
      </c>
      <c r="H102" s="301" t="inlineStr">
        <is>
          <t>4903</t>
        </is>
      </c>
      <c r="I102" s="332">
        <f>IFERROR(VLOOKUP(TEXT(H102,"0"),IPRESS!$A$3:$B$212,2,0),"")</f>
        <v/>
      </c>
      <c r="J102" s="301" t="inlineStr">
        <is>
          <t>4838</t>
        </is>
      </c>
      <c r="K102" s="332">
        <f>IFERROR(VLOOKUP(TEXT(O102,"0"),CONDUCTORES!$A$3:$G$100,7,0),"")</f>
        <v/>
      </c>
      <c r="L102" s="245" t="n">
        <v>18.18</v>
      </c>
      <c r="M102" s="245" t="n">
        <v>5</v>
      </c>
      <c r="N102" s="333">
        <f>IFERROR(IF(L102*M102=0,"",L102*M102),"")</f>
        <v/>
      </c>
      <c r="O102" s="280" t="n"/>
      <c r="P102" s="332">
        <f>IFERROR(VLOOKUP(TEXT(O102,"0"),CONDUCTORES!$A$3:$G$100,2,0),"")</f>
        <v/>
      </c>
      <c r="Q102" s="332">
        <f>IFERROR(VLOOKUP(TEXT(O102,"0"),CONDUCTORES!$A$3:$H$100,6,0),"")</f>
        <v/>
      </c>
      <c r="R102" s="331" t="n">
        <v>45827</v>
      </c>
      <c r="S102" s="302" t="inlineStr">
        <is>
          <t>S099,S021</t>
        </is>
      </c>
      <c r="T102" s="301" t="n"/>
      <c r="U102" s="334" t="n"/>
      <c r="V102" s="301" t="n"/>
      <c r="W102" s="301" t="n"/>
      <c r="X102" s="301" t="n"/>
      <c r="Y102" s="280" t="n"/>
    </row>
    <row r="103" ht="15.75" customHeight="1" s="195">
      <c r="A103" s="241" t="n">
        <v>98</v>
      </c>
      <c r="B103" s="305" t="inlineStr">
        <is>
          <t>00000005</t>
        </is>
      </c>
      <c r="C103" s="241" t="inlineStr">
        <is>
          <t>REGION</t>
        </is>
      </c>
      <c r="D103" s="305" t="inlineStr">
        <is>
          <t>PINGUS MENDOZA LUZ CARINA</t>
        </is>
      </c>
      <c r="E103" s="241" t="inlineStr">
        <is>
          <t>DNI</t>
        </is>
      </c>
      <c r="F103" s="241" t="inlineStr">
        <is>
          <t>78925869</t>
        </is>
      </c>
      <c r="G103" s="336" t="n">
        <v>45767</v>
      </c>
      <c r="H103" s="241" t="inlineStr">
        <is>
          <t>7060</t>
        </is>
      </c>
      <c r="I103" s="332">
        <f>IFERROR(VLOOKUP(TEXT(H103,"0"),IPRESS!$A$3:$B$212,2,0),"")</f>
        <v/>
      </c>
      <c r="J103" s="241" t="inlineStr">
        <is>
          <t>4838</t>
        </is>
      </c>
      <c r="K103" s="332">
        <f>IFERROR(VLOOKUP(TEXT(O103,"0"),CONDUCTORES!$A$3:$G$100,7,0),"")</f>
        <v/>
      </c>
      <c r="L103" s="239" t="n">
        <v>18.18</v>
      </c>
      <c r="M103" s="239" t="n">
        <v>20</v>
      </c>
      <c r="N103" s="333">
        <f>IFERROR(IF(L103*M103=0,"",L103*M103),"")</f>
        <v/>
      </c>
      <c r="O103" s="334" t="n"/>
      <c r="P103" s="332">
        <f>IFERROR(VLOOKUP(TEXT(O103,"0"),CONDUCTORES!$A$3:$G$100,2,0),"")</f>
        <v/>
      </c>
      <c r="Q103" s="332">
        <f>IFERROR(VLOOKUP(TEXT(O103,"0"),CONDUCTORES!$A$3:$H$100,6,0),"")</f>
        <v/>
      </c>
      <c r="R103" s="280" t="inlineStr">
        <is>
          <t>ATENDIDO 18/06/2025</t>
        </is>
      </c>
      <c r="S103" s="305" t="inlineStr">
        <is>
          <t>R568</t>
        </is>
      </c>
      <c r="T103" s="241" t="n"/>
      <c r="U103" s="280" t="n"/>
      <c r="V103" s="241" t="n"/>
      <c r="W103" s="241" t="n"/>
      <c r="X103" s="241" t="n"/>
      <c r="Y103" s="280" t="n"/>
    </row>
    <row r="104" ht="15.75" customHeight="1" s="195">
      <c r="A104" s="301" t="n">
        <v>99</v>
      </c>
      <c r="B104" s="302" t="inlineStr">
        <is>
          <t>00000039</t>
        </is>
      </c>
      <c r="C104" s="301" t="inlineStr">
        <is>
          <t>REGION</t>
        </is>
      </c>
      <c r="D104" s="302" t="inlineStr">
        <is>
          <t>PUSCAN PUIQUIN SERGIO SEBASTIAN</t>
        </is>
      </c>
      <c r="E104" s="301" t="inlineStr">
        <is>
          <t>DNI</t>
        </is>
      </c>
      <c r="F104" s="301" t="inlineStr">
        <is>
          <t>79670145</t>
        </is>
      </c>
      <c r="G104" s="331" t="n">
        <v>45749</v>
      </c>
      <c r="H104" s="301" t="inlineStr">
        <is>
          <t>4904</t>
        </is>
      </c>
      <c r="I104" s="332">
        <f>IFERROR(VLOOKUP(TEXT(H104,"0"),IPRESS!$A$3:$B$212,2,0),"")</f>
        <v/>
      </c>
      <c r="J104" s="301" t="inlineStr">
        <is>
          <t>4838</t>
        </is>
      </c>
      <c r="K104" s="332">
        <f>IFERROR(VLOOKUP(TEXT(O104,"0"),CONDUCTORES!$A$3:$G$100,7,0),"")</f>
        <v/>
      </c>
      <c r="L104" s="245" t="n">
        <v>18.18</v>
      </c>
      <c r="M104" s="245" t="n">
        <v>6</v>
      </c>
      <c r="N104" s="333">
        <f>IFERROR(IF(L104*M104=0,"",L104*M104),"")</f>
        <v/>
      </c>
      <c r="O104" s="280" t="n"/>
      <c r="P104" s="332">
        <f>IFERROR(VLOOKUP(TEXT(O104,"0"),CONDUCTORES!$A$3:$G$100,2,0),"")</f>
        <v/>
      </c>
      <c r="Q104" s="332">
        <f>IFERROR(VLOOKUP(TEXT(O104,"0"),CONDUCTORES!$A$3:$H$100,6,0),"")</f>
        <v/>
      </c>
      <c r="R104" s="331" t="n">
        <v>45796</v>
      </c>
      <c r="S104" s="302" t="inlineStr">
        <is>
          <t>T441</t>
        </is>
      </c>
      <c r="T104" s="301" t="n"/>
      <c r="U104" s="334" t="n"/>
      <c r="V104" s="301" t="n"/>
      <c r="W104" s="301" t="n"/>
      <c r="X104" s="301" t="n"/>
      <c r="Y104" s="280" t="n"/>
    </row>
    <row r="105" ht="15.75" customHeight="1" s="195">
      <c r="A105" s="241" t="n">
        <v>100</v>
      </c>
      <c r="B105" s="305" t="inlineStr">
        <is>
          <t>00000012</t>
        </is>
      </c>
      <c r="C105" s="241" t="inlineStr">
        <is>
          <t>REGION</t>
        </is>
      </c>
      <c r="D105" s="305" t="inlineStr">
        <is>
          <t>MENACHO SICCHA GLASSELLY CIELO</t>
        </is>
      </c>
      <c r="E105" s="241" t="inlineStr">
        <is>
          <t>DNI</t>
        </is>
      </c>
      <c r="F105" s="241" t="inlineStr">
        <is>
          <t>74993918</t>
        </is>
      </c>
      <c r="G105" s="336" t="n">
        <v>45753</v>
      </c>
      <c r="H105" s="241" t="inlineStr">
        <is>
          <t>4904</t>
        </is>
      </c>
      <c r="I105" s="332">
        <f>IFERROR(VLOOKUP(TEXT(H105,"0"),IPRESS!$A$3:$B$212,2,0),"")</f>
        <v/>
      </c>
      <c r="J105" s="241" t="inlineStr">
        <is>
          <t>4838</t>
        </is>
      </c>
      <c r="K105" s="332">
        <f>IFERROR(VLOOKUP(TEXT(O105,"0"),CONDUCTORES!$A$3:$G$100,7,0),"")</f>
        <v/>
      </c>
      <c r="L105" s="239" t="n">
        <v>18.18</v>
      </c>
      <c r="M105" s="239" t="n">
        <v>6</v>
      </c>
      <c r="N105" s="333">
        <f>IFERROR(IF(L105*M105=0,"",L105*M105),"")</f>
        <v/>
      </c>
      <c r="O105" s="334" t="n"/>
      <c r="P105" s="332">
        <f>IFERROR(VLOOKUP(TEXT(O105,"0"),CONDUCTORES!$A$3:$G$100,2,0),"")</f>
        <v/>
      </c>
      <c r="Q105" s="332">
        <f>IFERROR(VLOOKUP(TEXT(O105,"0"),CONDUCTORES!$A$3:$H$100,6,0),"")</f>
        <v/>
      </c>
      <c r="R105" s="336" t="n">
        <v>45796</v>
      </c>
      <c r="S105" s="305" t="inlineStr">
        <is>
          <t>O429</t>
        </is>
      </c>
      <c r="T105" s="241" t="n"/>
      <c r="U105" s="280" t="n"/>
      <c r="V105" s="241" t="n"/>
      <c r="W105" s="241" t="n"/>
      <c r="X105" s="241" t="n"/>
      <c r="Y105" s="280" t="n"/>
    </row>
    <row r="106" ht="15.75" customHeight="1" s="195">
      <c r="A106" s="301" t="n">
        <v>101</v>
      </c>
      <c r="B106" s="302" t="inlineStr">
        <is>
          <t>00000040</t>
        </is>
      </c>
      <c r="C106" s="301" t="inlineStr">
        <is>
          <t>REGION</t>
        </is>
      </c>
      <c r="D106" s="302" t="inlineStr">
        <is>
          <t>HUAMAN HUAMAN ELIAZAR MIGUINO</t>
        </is>
      </c>
      <c r="E106" s="301" t="inlineStr">
        <is>
          <t>DNI</t>
        </is>
      </c>
      <c r="F106" s="301" t="inlineStr">
        <is>
          <t>43032160</t>
        </is>
      </c>
      <c r="G106" s="331" t="n">
        <v>45751</v>
      </c>
      <c r="H106" s="301" t="inlineStr">
        <is>
          <t>4904</t>
        </is>
      </c>
      <c r="I106" s="332">
        <f>IFERROR(VLOOKUP(TEXT(H106,"0"),IPRESS!$A$3:$B$212,2,0),"")</f>
        <v/>
      </c>
      <c r="J106" s="301" t="inlineStr">
        <is>
          <t>4838</t>
        </is>
      </c>
      <c r="K106" s="332">
        <f>IFERROR(VLOOKUP(TEXT(O106,"0"),CONDUCTORES!$A$3:$G$100,7,0),"")</f>
        <v/>
      </c>
      <c r="L106" s="245" t="n">
        <v>18.18</v>
      </c>
      <c r="M106" s="245" t="n">
        <v>6</v>
      </c>
      <c r="N106" s="333">
        <f>IFERROR(IF(L106*M106=0,"",L106*M106),"")</f>
        <v/>
      </c>
      <c r="O106" s="280" t="n"/>
      <c r="P106" s="332">
        <f>IFERROR(VLOOKUP(TEXT(O106,"0"),CONDUCTORES!$A$3:$G$100,2,0),"")</f>
        <v/>
      </c>
      <c r="Q106" s="332">
        <f>IFERROR(VLOOKUP(TEXT(O106,"0"),CONDUCTORES!$A$3:$H$100,6,0),"")</f>
        <v/>
      </c>
      <c r="R106" s="331" t="n">
        <v>45796</v>
      </c>
      <c r="S106" s="302" t="inlineStr">
        <is>
          <t>K359</t>
        </is>
      </c>
      <c r="T106" s="301" t="n"/>
      <c r="U106" s="334" t="n"/>
      <c r="V106" s="301" t="n"/>
      <c r="W106" s="301" t="n"/>
      <c r="X106" s="301" t="n"/>
      <c r="Y106" s="280" t="n"/>
    </row>
    <row r="107" ht="15.75" customHeight="1" s="195">
      <c r="A107" s="241" t="n">
        <v>102</v>
      </c>
      <c r="B107" s="305" t="inlineStr">
        <is>
          <t>00000013</t>
        </is>
      </c>
      <c r="C107" s="241" t="inlineStr">
        <is>
          <t>REGION</t>
        </is>
      </c>
      <c r="D107" s="305" t="inlineStr">
        <is>
          <t>SAAVEDRA CANTA YESENIA DEL CARMEN</t>
        </is>
      </c>
      <c r="E107" s="241" t="inlineStr">
        <is>
          <t>DNI</t>
        </is>
      </c>
      <c r="F107" s="241" t="inlineStr">
        <is>
          <t>74463681</t>
        </is>
      </c>
      <c r="G107" s="336" t="n">
        <v>45776</v>
      </c>
      <c r="H107" s="241" t="inlineStr">
        <is>
          <t>4904</t>
        </is>
      </c>
      <c r="I107" s="332">
        <f>IFERROR(VLOOKUP(TEXT(H107,"0"),IPRESS!$A$3:$B$212,2,0),"")</f>
        <v/>
      </c>
      <c r="J107" s="241" t="inlineStr">
        <is>
          <t>4838</t>
        </is>
      </c>
      <c r="K107" s="332">
        <f>IFERROR(VLOOKUP(TEXT(O107,"0"),CONDUCTORES!$A$3:$G$100,7,0),"")</f>
        <v/>
      </c>
      <c r="L107" s="239" t="n">
        <v>18.18</v>
      </c>
      <c r="M107" s="239" t="n">
        <v>6</v>
      </c>
      <c r="N107" s="333">
        <f>IFERROR(IF(L107*M107=0,"",L107*M107),"")</f>
        <v/>
      </c>
      <c r="O107" s="334" t="n"/>
      <c r="P107" s="332">
        <f>IFERROR(VLOOKUP(TEXT(O107,"0"),CONDUCTORES!$A$3:$G$100,2,0),"")</f>
        <v/>
      </c>
      <c r="Q107" s="332">
        <f>IFERROR(VLOOKUP(TEXT(O107,"0"),CONDUCTORES!$A$3:$H$100,6,0),"")</f>
        <v/>
      </c>
      <c r="R107" s="336" t="n">
        <v>45796</v>
      </c>
      <c r="S107" s="305" t="inlineStr">
        <is>
          <t>B559,K250</t>
        </is>
      </c>
      <c r="T107" s="241" t="n"/>
      <c r="U107" s="280" t="n"/>
      <c r="V107" s="241" t="n"/>
      <c r="W107" s="241" t="n"/>
      <c r="X107" s="241" t="n"/>
      <c r="Y107" s="280" t="n"/>
    </row>
    <row r="108" ht="15" customHeight="1" s="195">
      <c r="A108" s="280" t="n"/>
      <c r="B108" s="280" t="n"/>
      <c r="C108" s="280" t="n"/>
      <c r="D108" s="280" t="n"/>
      <c r="E108" s="280" t="n"/>
      <c r="F108" s="280" t="n"/>
      <c r="G108" s="280" t="n"/>
      <c r="H108" s="280" t="n"/>
      <c r="I108" s="332">
        <f>IFERROR(VLOOKUP(TEXT(H108,"0"),IPRESS!$A$3:$B$212,2,0),"")</f>
        <v/>
      </c>
      <c r="J108" s="280" t="n"/>
      <c r="K108" s="332">
        <f>IFERROR(VLOOKUP(TEXT(O108,"0"),CONDUCTORES!$A$3:$G$54,7,0),"")</f>
        <v/>
      </c>
      <c r="L108" s="280" t="n"/>
      <c r="M108" s="280" t="n"/>
      <c r="N108" s="333">
        <f>IFERROR(IF(L108*M108=0,"",L108*M108),"")</f>
        <v/>
      </c>
      <c r="O108" s="280" t="n"/>
      <c r="P108" s="332">
        <f>IFERROR(VLOOKUP(TEXT(O108,"0"),CONDUCTORES!$A$3:$G$54,2,0),"")</f>
        <v/>
      </c>
      <c r="Q108" s="332">
        <f>IFERROR(VLOOKUP(TEXT(O108,"0"),CONDUCTORES!$A$3:$H$54,6,0),"")</f>
        <v/>
      </c>
      <c r="R108" s="280" t="n"/>
      <c r="S108" s="280" t="n"/>
      <c r="T108" s="280" t="n"/>
      <c r="U108" s="280" t="n"/>
      <c r="V108" s="280" t="n"/>
      <c r="W108" s="280" t="n"/>
      <c r="X108" s="280" t="n"/>
      <c r="Y108" s="280" t="n"/>
    </row>
    <row r="109" ht="24" customHeight="1" s="195">
      <c r="A109" s="342" t="inlineStr">
        <is>
          <t>SUBTOTAL (cambia al filtrar por EESS) →</t>
        </is>
      </c>
      <c r="K109" s="343" t="n"/>
      <c r="L109" s="280" t="n"/>
      <c r="M109" s="344">
        <f>SUBTOTAL(9,M4:M107)</f>
        <v/>
      </c>
      <c r="N109" s="344">
        <f>SUBTOTAL(9,N4:N107)</f>
        <v/>
      </c>
      <c r="O109" s="280" t="n"/>
      <c r="P109" s="332">
        <f>IFERROR(VLOOKUP(TEXT(O109,"0"),CONDUCTORES!$A$3:$G$100,2,0),"")</f>
        <v/>
      </c>
      <c r="Q109" s="332">
        <f>IFERROR(VLOOKUP(TEXT(O109,"0"),CONDUCTORES!$A$3:$H$100,6,0),"")</f>
        <v/>
      </c>
      <c r="R109" s="280" t="n"/>
      <c r="S109" s="280" t="n"/>
      <c r="T109" s="280" t="n"/>
      <c r="U109" s="280" t="n"/>
      <c r="V109" s="280" t="n"/>
      <c r="W109" s="280" t="n"/>
      <c r="X109" s="280" t="n"/>
      <c r="Y109" s="280" t="n"/>
    </row>
    <row r="110" ht="15" customHeight="1" s="195">
      <c r="A110" s="280" t="n"/>
      <c r="B110" s="280" t="n"/>
      <c r="C110" s="280" t="n"/>
      <c r="D110" s="280" t="n"/>
      <c r="E110" s="280" t="n"/>
      <c r="F110" s="280" t="n"/>
      <c r="G110" s="280" t="n"/>
      <c r="H110" s="280" t="n"/>
      <c r="I110" s="343" t="n"/>
      <c r="J110" s="280" t="n"/>
      <c r="K110" s="343" t="n"/>
      <c r="L110" s="280" t="n"/>
      <c r="M110" s="280" t="n"/>
      <c r="N110" s="345" t="n"/>
      <c r="O110" s="280" t="n"/>
      <c r="P110" s="343" t="n"/>
      <c r="Q110" s="343" t="n"/>
      <c r="R110" s="280" t="n"/>
      <c r="S110" s="280" t="n"/>
      <c r="T110" s="280" t="n"/>
      <c r="U110" s="280" t="n"/>
      <c r="V110" s="280" t="n"/>
      <c r="W110" s="280" t="n"/>
      <c r="X110" s="280" t="n"/>
      <c r="Y110" s="280" t="n"/>
    </row>
    <row r="111" ht="15" customHeight="1" s="195">
      <c r="A111" s="334" t="n"/>
      <c r="B111" s="334" t="n"/>
      <c r="C111" s="334" t="n"/>
      <c r="D111" s="334" t="n"/>
      <c r="E111" s="334" t="n"/>
      <c r="F111" s="334" t="n"/>
      <c r="G111" s="334" t="n"/>
      <c r="H111" s="334" t="n"/>
      <c r="I111" s="343" t="n"/>
      <c r="J111" s="334" t="n"/>
      <c r="K111" s="343" t="n"/>
      <c r="L111" s="334" t="n"/>
      <c r="M111" s="334" t="n"/>
      <c r="N111" s="345" t="n"/>
      <c r="O111" s="334" t="n"/>
      <c r="P111" s="343" t="n"/>
      <c r="Q111" s="343" t="n"/>
      <c r="R111" s="334" t="n"/>
      <c r="S111" s="334" t="n"/>
      <c r="T111" s="334" t="n"/>
      <c r="U111" s="334" t="n"/>
      <c r="V111" s="334" t="n"/>
      <c r="W111" s="334" t="n"/>
      <c r="X111" s="334" t="n"/>
      <c r="Y111" s="334" t="n"/>
    </row>
    <row r="112" ht="15" customHeight="1" s="195">
      <c r="A112" s="280" t="n"/>
      <c r="B112" s="280" t="n"/>
      <c r="C112" s="280" t="n"/>
      <c r="D112" s="280" t="n"/>
      <c r="E112" s="280" t="n"/>
      <c r="F112" s="280" t="n"/>
      <c r="G112" s="280" t="n"/>
      <c r="H112" s="280" t="n"/>
      <c r="I112" s="343" t="n"/>
      <c r="J112" s="280" t="n"/>
      <c r="K112" s="343" t="n"/>
      <c r="L112" s="280" t="n"/>
      <c r="M112" s="280" t="n"/>
      <c r="N112" s="345" t="n"/>
      <c r="O112" s="280" t="n"/>
      <c r="P112" s="343" t="n"/>
      <c r="Q112" s="343" t="n"/>
      <c r="R112" s="280" t="n"/>
      <c r="S112" s="280" t="n"/>
      <c r="T112" s="280" t="n"/>
      <c r="U112" s="280" t="n"/>
      <c r="V112" s="280" t="n"/>
      <c r="W112" s="280" t="n"/>
      <c r="X112" s="280" t="n"/>
      <c r="Y112" s="280" t="n"/>
    </row>
    <row r="113" ht="15" customHeight="1" s="195">
      <c r="A113" s="334" t="n"/>
      <c r="B113" s="334" t="n"/>
      <c r="C113" s="334" t="n"/>
      <c r="D113" s="334" t="n"/>
      <c r="E113" s="334" t="n"/>
      <c r="F113" s="334" t="n"/>
      <c r="G113" s="334" t="n"/>
      <c r="H113" s="334" t="n"/>
      <c r="I113" s="343" t="n"/>
      <c r="J113" s="334" t="n"/>
      <c r="K113" s="343" t="n"/>
      <c r="L113" s="334" t="n"/>
      <c r="M113" s="334" t="n"/>
      <c r="N113" s="345" t="n"/>
      <c r="O113" s="334" t="n"/>
      <c r="P113" s="343" t="n"/>
      <c r="Q113" s="343" t="n"/>
      <c r="R113" s="334" t="n"/>
      <c r="S113" s="334" t="n"/>
      <c r="T113" s="334" t="n"/>
      <c r="U113" s="334" t="n"/>
      <c r="V113" s="334" t="n"/>
      <c r="W113" s="334" t="n"/>
      <c r="X113" s="334" t="n"/>
      <c r="Y113" s="334" t="n"/>
    </row>
    <row r="114" ht="15" customHeight="1" s="195">
      <c r="A114" s="280" t="n"/>
      <c r="B114" s="280" t="n"/>
      <c r="C114" s="280" t="n"/>
      <c r="D114" s="280" t="n"/>
      <c r="E114" s="280" t="n"/>
      <c r="F114" s="280" t="n"/>
      <c r="G114" s="280" t="n"/>
      <c r="H114" s="280" t="n"/>
      <c r="I114" s="332">
        <f>IFERROR(VLOOKUP(TEXT(H114,"0"),IPRESS!$A$3:$B$212,2,0),"")</f>
        <v/>
      </c>
      <c r="J114" s="280" t="n"/>
      <c r="K114" s="332">
        <f>IFERROR(VLOOKUP(TEXT(O114,"0"),CONDUCTORES!$A$3:$G$54,7,0),"")</f>
        <v/>
      </c>
      <c r="L114" s="280" t="n"/>
      <c r="M114" s="280" t="n"/>
      <c r="N114" s="333">
        <f>IFERROR(IF(L114*M114=0,"",L114*M114),"")</f>
        <v/>
      </c>
      <c r="O114" s="280" t="n"/>
      <c r="P114" s="332">
        <f>IFERROR(VLOOKUP(TEXT(O114,"0"),CONDUCTORES!$A$3:$G$54,2,0),"")</f>
        <v/>
      </c>
      <c r="Q114" s="332">
        <f>IFERROR(VLOOKUP(TEXT(O114,"0"),CONDUCTORES!$A$3:$H$54,6,0),"")</f>
        <v/>
      </c>
      <c r="R114" s="280" t="n"/>
      <c r="S114" s="280" t="n"/>
      <c r="T114" s="280" t="n"/>
      <c r="U114" s="280" t="n"/>
      <c r="V114" s="280" t="n"/>
      <c r="W114" s="280" t="n"/>
      <c r="X114" s="280" t="n"/>
      <c r="Y114" s="280" t="n"/>
    </row>
    <row r="115" ht="15" customHeight="1" s="195">
      <c r="A115" s="334" t="n"/>
      <c r="B115" s="334" t="n"/>
      <c r="C115" s="334" t="n"/>
      <c r="D115" s="334" t="n"/>
      <c r="E115" s="334" t="n"/>
      <c r="F115" s="334" t="n"/>
      <c r="G115" s="334" t="n"/>
      <c r="H115" s="334" t="n"/>
      <c r="I115" s="332">
        <f>IFERROR(VLOOKUP(TEXT(H115,"0"),IPRESS!$A$3:$B$212,2,0),"")</f>
        <v/>
      </c>
      <c r="J115" s="334" t="n"/>
      <c r="K115" s="332">
        <f>IFERROR(VLOOKUP(TEXT(O115,"0"),CONDUCTORES!$A$3:$G$54,7,0),"")</f>
        <v/>
      </c>
      <c r="L115" s="334" t="n"/>
      <c r="M115" s="334" t="n"/>
      <c r="N115" s="333">
        <f>IFERROR(IF(L115*M115=0,"",L115*M115),"")</f>
        <v/>
      </c>
      <c r="O115" s="334" t="n"/>
      <c r="P115" s="332">
        <f>IFERROR(VLOOKUP(TEXT(O115,"0"),CONDUCTORES!$A$3:$G$54,2,0),"")</f>
        <v/>
      </c>
      <c r="Q115" s="332">
        <f>IFERROR(VLOOKUP(TEXT(O115,"0"),CONDUCTORES!$A$3:$H$54,6,0),"")</f>
        <v/>
      </c>
      <c r="R115" s="334" t="n"/>
      <c r="S115" s="334" t="n"/>
      <c r="T115" s="334" t="n"/>
      <c r="U115" s="334" t="n"/>
      <c r="V115" s="334" t="n"/>
      <c r="W115" s="334" t="n"/>
      <c r="X115" s="334" t="n"/>
      <c r="Y115" s="334" t="n"/>
    </row>
    <row r="116" ht="15" customHeight="1" s="195">
      <c r="A116" s="280" t="n"/>
      <c r="B116" s="280" t="n"/>
      <c r="C116" s="280" t="n"/>
      <c r="D116" s="280" t="n"/>
      <c r="E116" s="280" t="n"/>
      <c r="F116" s="280" t="n"/>
      <c r="G116" s="280" t="n"/>
      <c r="H116" s="280" t="n"/>
      <c r="I116" s="332">
        <f>IFERROR(VLOOKUP(TEXT(H116,"0"),IPRESS!$A$3:$B$212,2,0),"")</f>
        <v/>
      </c>
      <c r="J116" s="280" t="n"/>
      <c r="K116" s="332">
        <f>IFERROR(VLOOKUP(TEXT(O116,"0"),CONDUCTORES!$A$3:$G$54,7,0),"")</f>
        <v/>
      </c>
      <c r="L116" s="280" t="n"/>
      <c r="M116" s="280" t="n"/>
      <c r="N116" s="333">
        <f>IFERROR(IF(L116*M116=0,"",L116*M116),"")</f>
        <v/>
      </c>
      <c r="O116" s="280" t="n"/>
      <c r="P116" s="332">
        <f>IFERROR(VLOOKUP(TEXT(O116,"0"),CONDUCTORES!$A$3:$G$54,2,0),"")</f>
        <v/>
      </c>
      <c r="Q116" s="332">
        <f>IFERROR(VLOOKUP(TEXT(O116,"0"),CONDUCTORES!$A$3:$H$54,6,0),"")</f>
        <v/>
      </c>
      <c r="R116" s="280" t="n"/>
      <c r="S116" s="280" t="n"/>
      <c r="T116" s="280" t="n"/>
      <c r="U116" s="280" t="n"/>
      <c r="V116" s="280" t="n"/>
      <c r="W116" s="280" t="n"/>
      <c r="X116" s="280" t="n"/>
      <c r="Y116" s="280" t="n"/>
    </row>
    <row r="117" ht="15" customHeight="1" s="195">
      <c r="A117" s="334" t="n"/>
      <c r="B117" s="334" t="n"/>
      <c r="C117" s="334" t="n"/>
      <c r="D117" s="334" t="n"/>
      <c r="E117" s="334" t="n"/>
      <c r="F117" s="334" t="n"/>
      <c r="G117" s="334" t="n"/>
      <c r="H117" s="334" t="n"/>
      <c r="I117" s="332">
        <f>IFERROR(VLOOKUP(TEXT(H117,"0"),IPRESS!$A$3:$B$212,2,0),"")</f>
        <v/>
      </c>
      <c r="J117" s="334" t="n"/>
      <c r="K117" s="332">
        <f>IFERROR(VLOOKUP(TEXT(O117,"0"),CONDUCTORES!$A$3:$G$54,7,0),"")</f>
        <v/>
      </c>
      <c r="L117" s="334" t="n"/>
      <c r="M117" s="334" t="n"/>
      <c r="N117" s="333">
        <f>IFERROR(IF(L117*M117=0,"",L117*M117),"")</f>
        <v/>
      </c>
      <c r="O117" s="334" t="n"/>
      <c r="P117" s="332">
        <f>IFERROR(VLOOKUP(TEXT(O117,"0"),CONDUCTORES!$A$3:$G$54,2,0),"")</f>
        <v/>
      </c>
      <c r="Q117" s="332">
        <f>IFERROR(VLOOKUP(TEXT(O117,"0"),CONDUCTORES!$A$3:$H$54,6,0),"")</f>
        <v/>
      </c>
      <c r="R117" s="334" t="n"/>
      <c r="S117" s="334" t="n"/>
      <c r="T117" s="334" t="n"/>
      <c r="U117" s="334" t="n"/>
      <c r="V117" s="334" t="n"/>
      <c r="W117" s="334" t="n"/>
      <c r="X117" s="334" t="n"/>
      <c r="Y117" s="334" t="n"/>
    </row>
    <row r="118" ht="15" customHeight="1" s="195">
      <c r="A118" s="280" t="n"/>
      <c r="B118" s="280" t="n"/>
      <c r="C118" s="280" t="n"/>
      <c r="D118" s="280" t="n"/>
      <c r="E118" s="280" t="n"/>
      <c r="F118" s="280" t="n"/>
      <c r="G118" s="280" t="n"/>
      <c r="H118" s="280" t="n"/>
      <c r="I118" s="332">
        <f>IFERROR(VLOOKUP(TEXT(H118,"0"),IPRESS!$A$3:$B$212,2,0),"")</f>
        <v/>
      </c>
      <c r="J118" s="280" t="n"/>
      <c r="K118" s="332">
        <f>IFERROR(VLOOKUP(TEXT(O118,"0"),CONDUCTORES!$A$3:$G$54,7,0),"")</f>
        <v/>
      </c>
      <c r="L118" s="280" t="n"/>
      <c r="M118" s="280" t="n"/>
      <c r="N118" s="333">
        <f>IFERROR(IF(L118*M118=0,"",L118*M118),"")</f>
        <v/>
      </c>
      <c r="O118" s="280" t="n"/>
      <c r="P118" s="332">
        <f>IFERROR(VLOOKUP(TEXT(O118,"0"),CONDUCTORES!$A$3:$G$54,2,0),"")</f>
        <v/>
      </c>
      <c r="Q118" s="332">
        <f>IFERROR(VLOOKUP(TEXT(O118,"0"),CONDUCTORES!$A$3:$H$54,6,0),"")</f>
        <v/>
      </c>
      <c r="R118" s="280" t="n"/>
      <c r="S118" s="280" t="n"/>
      <c r="T118" s="280" t="n"/>
      <c r="U118" s="280" t="n"/>
      <c r="V118" s="280" t="n"/>
      <c r="W118" s="280" t="n"/>
      <c r="X118" s="280" t="n"/>
      <c r="Y118" s="280" t="n"/>
    </row>
    <row r="119" ht="15" customHeight="1" s="195">
      <c r="A119" s="334" t="n"/>
      <c r="B119" s="334" t="n"/>
      <c r="C119" s="334" t="n"/>
      <c r="D119" s="334" t="n"/>
      <c r="E119" s="334" t="n"/>
      <c r="F119" s="334" t="n"/>
      <c r="G119" s="334" t="n"/>
      <c r="H119" s="334" t="n"/>
      <c r="I119" s="332">
        <f>IFERROR(VLOOKUP(TEXT(H119,"0"),IPRESS!$A$3:$B$212,2,0),"")</f>
        <v/>
      </c>
      <c r="J119" s="334" t="n"/>
      <c r="K119" s="332">
        <f>IFERROR(VLOOKUP(TEXT(O119,"0"),CONDUCTORES!$A$3:$G$54,7,0),"")</f>
        <v/>
      </c>
      <c r="L119" s="334" t="n"/>
      <c r="M119" s="334" t="n"/>
      <c r="N119" s="333">
        <f>IFERROR(IF(L119*M119=0,"",L119*M119),"")</f>
        <v/>
      </c>
      <c r="O119" s="334" t="n"/>
      <c r="P119" s="332">
        <f>IFERROR(VLOOKUP(TEXT(O119,"0"),CONDUCTORES!$A$3:$G$54,2,0),"")</f>
        <v/>
      </c>
      <c r="Q119" s="332">
        <f>IFERROR(VLOOKUP(TEXT(O119,"0"),CONDUCTORES!$A$3:$H$54,6,0),"")</f>
        <v/>
      </c>
      <c r="R119" s="334" t="n"/>
      <c r="S119" s="334" t="n"/>
      <c r="T119" s="334" t="n"/>
      <c r="U119" s="334" t="n"/>
      <c r="V119" s="334" t="n"/>
      <c r="W119" s="334" t="n"/>
      <c r="X119" s="334" t="n"/>
      <c r="Y119" s="334" t="n"/>
    </row>
    <row r="120" ht="15" customHeight="1" s="195">
      <c r="A120" s="280" t="n"/>
      <c r="B120" s="280" t="n"/>
      <c r="C120" s="280" t="n"/>
      <c r="D120" s="280" t="n"/>
      <c r="E120" s="280" t="n"/>
      <c r="F120" s="280" t="n"/>
      <c r="G120" s="280" t="n"/>
      <c r="H120" s="280" t="n"/>
      <c r="I120" s="332">
        <f>IFERROR(VLOOKUP(TEXT(H120,"0"),IPRESS!$A$3:$B$212,2,0),"")</f>
        <v/>
      </c>
      <c r="J120" s="280" t="n"/>
      <c r="K120" s="332">
        <f>IFERROR(VLOOKUP(TEXT(O120,"0"),CONDUCTORES!$A$3:$G$54,7,0),"")</f>
        <v/>
      </c>
      <c r="L120" s="280" t="n"/>
      <c r="M120" s="280" t="n"/>
      <c r="N120" s="333">
        <f>IFERROR(IF(L120*M120=0,"",L120*M120),"")</f>
        <v/>
      </c>
      <c r="O120" s="280" t="n"/>
      <c r="P120" s="332">
        <f>IFERROR(VLOOKUP(TEXT(O120,"0"),CONDUCTORES!$A$3:$G$54,2,0),"")</f>
        <v/>
      </c>
      <c r="Q120" s="332">
        <f>IFERROR(VLOOKUP(TEXT(O120,"0"),CONDUCTORES!$A$3:$H$54,6,0),"")</f>
        <v/>
      </c>
      <c r="R120" s="280" t="n"/>
      <c r="S120" s="280" t="n"/>
      <c r="T120" s="280" t="n"/>
      <c r="U120" s="280" t="n"/>
      <c r="V120" s="280" t="n"/>
      <c r="W120" s="280" t="n"/>
      <c r="X120" s="280" t="n"/>
      <c r="Y120" s="280" t="n"/>
    </row>
    <row r="121" ht="15" customHeight="1" s="195">
      <c r="A121" s="334" t="n"/>
      <c r="B121" s="334" t="n"/>
      <c r="C121" s="334" t="n"/>
      <c r="D121" s="334" t="n"/>
      <c r="E121" s="334" t="n"/>
      <c r="F121" s="334" t="n"/>
      <c r="G121" s="334" t="n"/>
      <c r="H121" s="334" t="n"/>
      <c r="I121" s="332">
        <f>IFERROR(VLOOKUP(TEXT(H121,"0"),IPRESS!$A$3:$B$212,2,0),"")</f>
        <v/>
      </c>
      <c r="J121" s="334" t="n"/>
      <c r="K121" s="332">
        <f>IFERROR(VLOOKUP(TEXT(O121,"0"),CONDUCTORES!$A$3:$G$54,7,0),"")</f>
        <v/>
      </c>
      <c r="L121" s="334" t="n"/>
      <c r="M121" s="334" t="n"/>
      <c r="N121" s="333">
        <f>IFERROR(IF(L121*M121=0,"",L121*M121),"")</f>
        <v/>
      </c>
      <c r="O121" s="334" t="n"/>
      <c r="P121" s="332">
        <f>IFERROR(VLOOKUP(TEXT(O121,"0"),CONDUCTORES!$A$3:$G$54,2,0),"")</f>
        <v/>
      </c>
      <c r="Q121" s="332">
        <f>IFERROR(VLOOKUP(TEXT(O121,"0"),CONDUCTORES!$A$3:$H$54,6,0),"")</f>
        <v/>
      </c>
      <c r="R121" s="334" t="n"/>
      <c r="S121" s="334" t="n"/>
      <c r="T121" s="334" t="n"/>
      <c r="U121" s="334" t="n"/>
      <c r="V121" s="334" t="n"/>
      <c r="W121" s="334" t="n"/>
      <c r="X121" s="334" t="n"/>
      <c r="Y121" s="334" t="n"/>
    </row>
    <row r="122" ht="15" customHeight="1" s="195">
      <c r="A122" s="280" t="n"/>
      <c r="B122" s="280" t="n"/>
      <c r="C122" s="280" t="n"/>
      <c r="D122" s="280" t="n"/>
      <c r="E122" s="280" t="n"/>
      <c r="F122" s="280" t="n"/>
      <c r="G122" s="280" t="n"/>
      <c r="H122" s="280" t="n"/>
      <c r="I122" s="332">
        <f>IFERROR(VLOOKUP(TEXT(H122,"0"),IPRESS!$A$3:$B$212,2,0),"")</f>
        <v/>
      </c>
      <c r="J122" s="280" t="n"/>
      <c r="K122" s="332">
        <f>IFERROR(VLOOKUP(TEXT(O122,"0"),CONDUCTORES!$A$3:$G$54,7,0),"")</f>
        <v/>
      </c>
      <c r="L122" s="280" t="n"/>
      <c r="M122" s="280" t="n"/>
      <c r="N122" s="333">
        <f>IFERROR(IF(L122*M122=0,"",L122*M122),"")</f>
        <v/>
      </c>
      <c r="O122" s="280" t="n"/>
      <c r="P122" s="332">
        <f>IFERROR(VLOOKUP(TEXT(O122,"0"),CONDUCTORES!$A$3:$G$54,2,0),"")</f>
        <v/>
      </c>
      <c r="Q122" s="332">
        <f>IFERROR(VLOOKUP(TEXT(O122,"0"),CONDUCTORES!$A$3:$H$54,6,0),"")</f>
        <v/>
      </c>
      <c r="R122" s="280" t="n"/>
      <c r="S122" s="280" t="n"/>
      <c r="T122" s="280" t="n"/>
      <c r="U122" s="280" t="n"/>
      <c r="V122" s="280" t="n"/>
      <c r="W122" s="280" t="n"/>
      <c r="X122" s="280" t="n"/>
      <c r="Y122" s="280" t="n"/>
    </row>
    <row r="123" ht="15" customHeight="1" s="195">
      <c r="A123" s="334" t="n"/>
      <c r="B123" s="334" t="n"/>
      <c r="C123" s="334" t="n"/>
      <c r="D123" s="334" t="n"/>
      <c r="E123" s="334" t="n"/>
      <c r="F123" s="334" t="n"/>
      <c r="G123" s="334" t="n"/>
      <c r="H123" s="334" t="n"/>
      <c r="I123" s="332">
        <f>IFERROR(VLOOKUP(TEXT(H123,"0"),IPRESS!$A$3:$B$212,2,0),"")</f>
        <v/>
      </c>
      <c r="J123" s="334" t="n"/>
      <c r="K123" s="332">
        <f>IFERROR(VLOOKUP(TEXT(O123,"0"),CONDUCTORES!$A$3:$G$54,7,0),"")</f>
        <v/>
      </c>
      <c r="L123" s="334" t="n"/>
      <c r="M123" s="334" t="n"/>
      <c r="N123" s="333">
        <f>IFERROR(IF(L123*M123=0,"",L123*M123),"")</f>
        <v/>
      </c>
      <c r="O123" s="334" t="n"/>
      <c r="P123" s="332">
        <f>IFERROR(VLOOKUP(TEXT(O123,"0"),CONDUCTORES!$A$3:$G$54,2,0),"")</f>
        <v/>
      </c>
      <c r="Q123" s="332">
        <f>IFERROR(VLOOKUP(TEXT(O123,"0"),CONDUCTORES!$A$3:$H$54,6,0),"")</f>
        <v/>
      </c>
      <c r="R123" s="334" t="n"/>
      <c r="S123" s="334" t="n"/>
      <c r="T123" s="334" t="n"/>
      <c r="U123" s="334" t="n"/>
      <c r="V123" s="334" t="n"/>
      <c r="W123" s="334" t="n"/>
      <c r="X123" s="334" t="n"/>
      <c r="Y123" s="334" t="n"/>
    </row>
    <row r="124" ht="15" customHeight="1" s="195">
      <c r="A124" s="280" t="n"/>
      <c r="B124" s="280" t="n"/>
      <c r="C124" s="280" t="n"/>
      <c r="D124" s="280" t="n"/>
      <c r="E124" s="280" t="n"/>
      <c r="F124" s="280" t="n"/>
      <c r="G124" s="280" t="n"/>
      <c r="H124" s="280" t="n"/>
      <c r="I124" s="332">
        <f>IFERROR(VLOOKUP(TEXT(H124,"0"),IPRESS!$A$3:$B$212,2,0),"")</f>
        <v/>
      </c>
      <c r="J124" s="280" t="n"/>
      <c r="K124" s="332">
        <f>IFERROR(VLOOKUP(TEXT(O124,"0"),CONDUCTORES!$A$3:$G$54,7,0),"")</f>
        <v/>
      </c>
      <c r="L124" s="280" t="n"/>
      <c r="M124" s="280" t="n"/>
      <c r="N124" s="333">
        <f>IFERROR(IF(L124*M124=0,"",L124*M124),"")</f>
        <v/>
      </c>
      <c r="O124" s="280" t="n"/>
      <c r="P124" s="332">
        <f>IFERROR(VLOOKUP(TEXT(O124,"0"),CONDUCTORES!$A$3:$G$54,2,0),"")</f>
        <v/>
      </c>
      <c r="Q124" s="332">
        <f>IFERROR(VLOOKUP(TEXT(O124,"0"),CONDUCTORES!$A$3:$H$54,6,0),"")</f>
        <v/>
      </c>
      <c r="R124" s="280" t="n"/>
      <c r="S124" s="280" t="n"/>
      <c r="T124" s="280" t="n"/>
      <c r="U124" s="280" t="n"/>
      <c r="V124" s="280" t="n"/>
      <c r="W124" s="280" t="n"/>
      <c r="X124" s="280" t="n"/>
      <c r="Y124" s="280" t="n"/>
    </row>
    <row r="125" ht="15" customHeight="1" s="195">
      <c r="A125" s="334" t="n"/>
      <c r="B125" s="334" t="n"/>
      <c r="C125" s="334" t="n"/>
      <c r="D125" s="334" t="n"/>
      <c r="E125" s="334" t="n"/>
      <c r="F125" s="334" t="n"/>
      <c r="G125" s="334" t="n"/>
      <c r="H125" s="334" t="n"/>
      <c r="I125" s="332">
        <f>IFERROR(VLOOKUP(TEXT(H125,"0"),IPRESS!$A$3:$B$212,2,0),"")</f>
        <v/>
      </c>
      <c r="J125" s="334" t="n"/>
      <c r="K125" s="332">
        <f>IFERROR(VLOOKUP(TEXT(O125,"0"),CONDUCTORES!$A$3:$G$54,7,0),"")</f>
        <v/>
      </c>
      <c r="L125" s="334" t="n"/>
      <c r="M125" s="334" t="n"/>
      <c r="N125" s="333">
        <f>IFERROR(IF(L125*M125=0,"",L125*M125),"")</f>
        <v/>
      </c>
      <c r="O125" s="334" t="n"/>
      <c r="P125" s="332">
        <f>IFERROR(VLOOKUP(TEXT(O125,"0"),CONDUCTORES!$A$3:$G$54,2,0),"")</f>
        <v/>
      </c>
      <c r="Q125" s="332">
        <f>IFERROR(VLOOKUP(TEXT(O125,"0"),CONDUCTORES!$A$3:$H$54,6,0),"")</f>
        <v/>
      </c>
      <c r="R125" s="334" t="n"/>
      <c r="S125" s="334" t="n"/>
      <c r="T125" s="334" t="n"/>
      <c r="U125" s="334" t="n"/>
      <c r="V125" s="334" t="n"/>
      <c r="W125" s="334" t="n"/>
      <c r="X125" s="334" t="n"/>
      <c r="Y125" s="334" t="n"/>
    </row>
    <row r="126" ht="15" customHeight="1" s="195">
      <c r="A126" s="280" t="n"/>
      <c r="B126" s="280" t="n"/>
      <c r="C126" s="280" t="n"/>
      <c r="D126" s="280" t="n"/>
      <c r="E126" s="280" t="n"/>
      <c r="F126" s="280" t="n"/>
      <c r="G126" s="280" t="n"/>
      <c r="H126" s="280" t="n"/>
      <c r="I126" s="332">
        <f>IFERROR(VLOOKUP(TEXT(H126,"0"),IPRESS!$A$3:$B$212,2,0),"")</f>
        <v/>
      </c>
      <c r="J126" s="280" t="n"/>
      <c r="K126" s="332">
        <f>IFERROR(VLOOKUP(TEXT(O126,"0"),CONDUCTORES!$A$3:$G$54,7,0),"")</f>
        <v/>
      </c>
      <c r="L126" s="280" t="n"/>
      <c r="M126" s="280" t="n"/>
      <c r="N126" s="333">
        <f>IFERROR(IF(L126*M126=0,"",L126*M126),"")</f>
        <v/>
      </c>
      <c r="O126" s="280" t="n"/>
      <c r="P126" s="332">
        <f>IFERROR(VLOOKUP(TEXT(O126,"0"),CONDUCTORES!$A$3:$G$54,2,0),"")</f>
        <v/>
      </c>
      <c r="Q126" s="332">
        <f>IFERROR(VLOOKUP(TEXT(O126,"0"),CONDUCTORES!$A$3:$H$54,6,0),"")</f>
        <v/>
      </c>
      <c r="R126" s="280" t="n"/>
      <c r="S126" s="280" t="n"/>
      <c r="T126" s="280" t="n"/>
      <c r="U126" s="280" t="n"/>
      <c r="V126" s="280" t="n"/>
      <c r="W126" s="280" t="n"/>
      <c r="X126" s="280" t="n"/>
      <c r="Y126" s="280" t="n"/>
    </row>
    <row r="127" ht="15" customHeight="1" s="195">
      <c r="A127" s="334" t="n"/>
      <c r="B127" s="334" t="n"/>
      <c r="C127" s="334" t="n"/>
      <c r="D127" s="334" t="n"/>
      <c r="E127" s="334" t="n"/>
      <c r="F127" s="334" t="n"/>
      <c r="G127" s="334" t="n"/>
      <c r="H127" s="334" t="n"/>
      <c r="I127" s="332">
        <f>IFERROR(VLOOKUP(TEXT(H127,"0"),IPRESS!$A$3:$B$212,2,0),"")</f>
        <v/>
      </c>
      <c r="J127" s="334" t="n"/>
      <c r="K127" s="332">
        <f>IFERROR(VLOOKUP(TEXT(O127,"0"),CONDUCTORES!$A$3:$G$54,7,0),"")</f>
        <v/>
      </c>
      <c r="L127" s="334" t="n"/>
      <c r="M127" s="334" t="n"/>
      <c r="N127" s="333">
        <f>IFERROR(IF(L127*M127=0,"",L127*M127),"")</f>
        <v/>
      </c>
      <c r="O127" s="334" t="n"/>
      <c r="P127" s="332">
        <f>IFERROR(VLOOKUP(TEXT(O127,"0"),CONDUCTORES!$A$3:$G$54,2,0),"")</f>
        <v/>
      </c>
      <c r="Q127" s="332">
        <f>IFERROR(VLOOKUP(TEXT(O127,"0"),CONDUCTORES!$A$3:$H$54,6,0),"")</f>
        <v/>
      </c>
      <c r="R127" s="334" t="n"/>
      <c r="S127" s="334" t="n"/>
      <c r="T127" s="334" t="n"/>
      <c r="U127" s="334" t="n"/>
      <c r="V127" s="334" t="n"/>
      <c r="W127" s="334" t="n"/>
      <c r="X127" s="334" t="n"/>
      <c r="Y127" s="334" t="n"/>
    </row>
    <row r="128" ht="15" customHeight="1" s="195">
      <c r="A128" s="280" t="n"/>
      <c r="B128" s="280" t="n"/>
      <c r="C128" s="280" t="n"/>
      <c r="D128" s="280" t="n"/>
      <c r="E128" s="280" t="n"/>
      <c r="F128" s="280" t="n"/>
      <c r="G128" s="280" t="n"/>
      <c r="H128" s="280" t="n"/>
      <c r="I128" s="332">
        <f>IFERROR(VLOOKUP(TEXT(H128,"0"),IPRESS!$A$3:$B$212,2,0),"")</f>
        <v/>
      </c>
      <c r="J128" s="280" t="n"/>
      <c r="K128" s="332">
        <f>IFERROR(VLOOKUP(TEXT(O128,"0"),CONDUCTORES!$A$3:$G$54,7,0),"")</f>
        <v/>
      </c>
      <c r="L128" s="280" t="n"/>
      <c r="M128" s="280" t="n"/>
      <c r="N128" s="333">
        <f>IFERROR(IF(L128*M128=0,"",L128*M128),"")</f>
        <v/>
      </c>
      <c r="O128" s="280" t="n"/>
      <c r="P128" s="332">
        <f>IFERROR(VLOOKUP(TEXT(O128,"0"),CONDUCTORES!$A$3:$G$54,2,0),"")</f>
        <v/>
      </c>
      <c r="Q128" s="332">
        <f>IFERROR(VLOOKUP(TEXT(O128,"0"),CONDUCTORES!$A$3:$H$54,6,0),"")</f>
        <v/>
      </c>
      <c r="R128" s="280" t="n"/>
      <c r="S128" s="280" t="n"/>
      <c r="T128" s="280" t="n"/>
      <c r="U128" s="280" t="n"/>
      <c r="V128" s="280" t="n"/>
      <c r="W128" s="280" t="n"/>
      <c r="X128" s="280" t="n"/>
      <c r="Y128" s="280" t="n"/>
    </row>
    <row r="129" ht="15" customHeight="1" s="195">
      <c r="A129" s="334" t="n"/>
      <c r="B129" s="334" t="n"/>
      <c r="C129" s="334" t="n"/>
      <c r="D129" s="334" t="n"/>
      <c r="E129" s="334" t="n"/>
      <c r="F129" s="334" t="n"/>
      <c r="G129" s="334" t="n"/>
      <c r="H129" s="334" t="n"/>
      <c r="I129" s="332">
        <f>IFERROR(VLOOKUP(TEXT(H129,"0"),IPRESS!$A$3:$B$212,2,0),"")</f>
        <v/>
      </c>
      <c r="J129" s="334" t="n"/>
      <c r="K129" s="332">
        <f>IFERROR(VLOOKUP(TEXT(O129,"0"),CONDUCTORES!$A$3:$G$54,7,0),"")</f>
        <v/>
      </c>
      <c r="L129" s="334" t="n"/>
      <c r="M129" s="334" t="n"/>
      <c r="N129" s="333">
        <f>IFERROR(IF(L129*M129=0,"",L129*M129),"")</f>
        <v/>
      </c>
      <c r="O129" s="334" t="n"/>
      <c r="P129" s="332">
        <f>IFERROR(VLOOKUP(TEXT(O129,"0"),CONDUCTORES!$A$3:$G$54,2,0),"")</f>
        <v/>
      </c>
      <c r="Q129" s="332">
        <f>IFERROR(VLOOKUP(TEXT(O129,"0"),CONDUCTORES!$A$3:$H$54,6,0),"")</f>
        <v/>
      </c>
      <c r="R129" s="334" t="n"/>
      <c r="S129" s="334" t="n"/>
      <c r="T129" s="334" t="n"/>
      <c r="U129" s="334" t="n"/>
      <c r="V129" s="334" t="n"/>
      <c r="W129" s="334" t="n"/>
      <c r="X129" s="334" t="n"/>
      <c r="Y129" s="334" t="n"/>
    </row>
    <row r="130" ht="15" customHeight="1" s="195">
      <c r="A130" s="280" t="n"/>
      <c r="B130" s="280" t="n"/>
      <c r="C130" s="280" t="n"/>
      <c r="D130" s="280" t="n"/>
      <c r="E130" s="280" t="n"/>
      <c r="F130" s="280" t="n"/>
      <c r="G130" s="280" t="n"/>
      <c r="H130" s="280" t="n"/>
      <c r="I130" s="332">
        <f>IFERROR(VLOOKUP(TEXT(H130,"0"),IPRESS!$A$3:$B$212,2,0),"")</f>
        <v/>
      </c>
      <c r="J130" s="280" t="n"/>
      <c r="K130" s="332">
        <f>IFERROR(VLOOKUP(TEXT(O130,"0"),CONDUCTORES!$A$3:$G$54,7,0),"")</f>
        <v/>
      </c>
      <c r="L130" s="280" t="n"/>
      <c r="M130" s="280" t="n"/>
      <c r="N130" s="333">
        <f>IFERROR(IF(L130*M130=0,"",L130*M130),"")</f>
        <v/>
      </c>
      <c r="O130" s="280" t="n"/>
      <c r="P130" s="332">
        <f>IFERROR(VLOOKUP(TEXT(O130,"0"),CONDUCTORES!$A$3:$G$54,2,0),"")</f>
        <v/>
      </c>
      <c r="Q130" s="332">
        <f>IFERROR(VLOOKUP(TEXT(O130,"0"),CONDUCTORES!$A$3:$H$54,6,0),"")</f>
        <v/>
      </c>
      <c r="R130" s="280" t="n"/>
      <c r="S130" s="280" t="n"/>
      <c r="T130" s="280" t="n"/>
      <c r="U130" s="280" t="n"/>
      <c r="V130" s="280" t="n"/>
      <c r="W130" s="280" t="n"/>
      <c r="X130" s="280" t="n"/>
      <c r="Y130" s="280" t="n"/>
    </row>
    <row r="131" ht="15" customHeight="1" s="195">
      <c r="A131" s="334" t="n"/>
      <c r="B131" s="334" t="n"/>
      <c r="C131" s="334" t="n"/>
      <c r="D131" s="334" t="n"/>
      <c r="E131" s="334" t="n"/>
      <c r="F131" s="334" t="n"/>
      <c r="G131" s="334" t="n"/>
      <c r="H131" s="334" t="n"/>
      <c r="I131" s="332">
        <f>IFERROR(VLOOKUP(TEXT(H131,"0"),IPRESS!$A$3:$B$212,2,0),"")</f>
        <v/>
      </c>
      <c r="J131" s="334" t="n"/>
      <c r="K131" s="332">
        <f>IFERROR(VLOOKUP(TEXT(O131,"0"),CONDUCTORES!$A$3:$G$54,7,0),"")</f>
        <v/>
      </c>
      <c r="L131" s="334" t="n"/>
      <c r="M131" s="334" t="n"/>
      <c r="N131" s="333">
        <f>IFERROR(IF(L131*M131=0,"",L131*M131),"")</f>
        <v/>
      </c>
      <c r="O131" s="334" t="n"/>
      <c r="P131" s="332">
        <f>IFERROR(VLOOKUP(TEXT(O131,"0"),CONDUCTORES!$A$3:$G$54,2,0),"")</f>
        <v/>
      </c>
      <c r="Q131" s="332">
        <f>IFERROR(VLOOKUP(TEXT(O131,"0"),CONDUCTORES!$A$3:$H$54,6,0),"")</f>
        <v/>
      </c>
      <c r="R131" s="334" t="n"/>
      <c r="S131" s="334" t="n"/>
      <c r="T131" s="334" t="n"/>
      <c r="U131" s="334" t="n"/>
      <c r="V131" s="334" t="n"/>
      <c r="W131" s="334" t="n"/>
      <c r="X131" s="334" t="n"/>
      <c r="Y131" s="334" t="n"/>
    </row>
    <row r="132" ht="15" customHeight="1" s="195">
      <c r="A132" s="280" t="n"/>
      <c r="B132" s="280" t="n"/>
      <c r="C132" s="280" t="n"/>
      <c r="D132" s="280" t="n"/>
      <c r="E132" s="280" t="n"/>
      <c r="F132" s="280" t="n"/>
      <c r="G132" s="280" t="n"/>
      <c r="H132" s="280" t="n"/>
      <c r="I132" s="332">
        <f>IFERROR(VLOOKUP(TEXT(H132,"0"),IPRESS!$A$3:$B$212,2,0),"")</f>
        <v/>
      </c>
      <c r="J132" s="280" t="n"/>
      <c r="K132" s="332">
        <f>IFERROR(VLOOKUP(TEXT(O132,"0"),CONDUCTORES!$A$3:$G$54,7,0),"")</f>
        <v/>
      </c>
      <c r="L132" s="280" t="n"/>
      <c r="M132" s="280" t="n"/>
      <c r="N132" s="333">
        <f>IFERROR(IF(L132*M132=0,"",L132*M132),"")</f>
        <v/>
      </c>
      <c r="O132" s="280" t="n"/>
      <c r="P132" s="332">
        <f>IFERROR(VLOOKUP(TEXT(O132,"0"),CONDUCTORES!$A$3:$G$54,2,0),"")</f>
        <v/>
      </c>
      <c r="Q132" s="332">
        <f>IFERROR(VLOOKUP(TEXT(O132,"0"),CONDUCTORES!$A$3:$H$54,6,0),"")</f>
        <v/>
      </c>
      <c r="R132" s="280" t="n"/>
      <c r="S132" s="280" t="n"/>
      <c r="T132" s="280" t="n"/>
      <c r="U132" s="280" t="n"/>
      <c r="V132" s="280" t="n"/>
      <c r="W132" s="280" t="n"/>
      <c r="X132" s="280" t="n"/>
      <c r="Y132" s="280" t="n"/>
    </row>
    <row r="133" ht="15" customHeight="1" s="195">
      <c r="A133" s="334" t="n"/>
      <c r="B133" s="334" t="n"/>
      <c r="C133" s="334" t="n"/>
      <c r="D133" s="334" t="n"/>
      <c r="E133" s="334" t="n"/>
      <c r="F133" s="334" t="n"/>
      <c r="G133" s="334" t="n"/>
      <c r="H133" s="334" t="n"/>
      <c r="I133" s="332">
        <f>IFERROR(VLOOKUP(TEXT(H133,"0"),IPRESS!$A$3:$B$212,2,0),"")</f>
        <v/>
      </c>
      <c r="J133" s="334" t="n"/>
      <c r="K133" s="332">
        <f>IFERROR(VLOOKUP(TEXT(O133,"0"),CONDUCTORES!$A$3:$G$54,7,0),"")</f>
        <v/>
      </c>
      <c r="L133" s="334" t="n"/>
      <c r="M133" s="334" t="n"/>
      <c r="N133" s="333">
        <f>IFERROR(IF(L133*M133=0,"",L133*M133),"")</f>
        <v/>
      </c>
      <c r="O133" s="334" t="n"/>
      <c r="P133" s="332">
        <f>IFERROR(VLOOKUP(TEXT(O133,"0"),CONDUCTORES!$A$3:$G$54,2,0),"")</f>
        <v/>
      </c>
      <c r="Q133" s="332">
        <f>IFERROR(VLOOKUP(TEXT(O133,"0"),CONDUCTORES!$A$3:$H$54,6,0),"")</f>
        <v/>
      </c>
      <c r="R133" s="334" t="n"/>
      <c r="S133" s="334" t="n"/>
      <c r="T133" s="334" t="n"/>
      <c r="U133" s="334" t="n"/>
      <c r="V133" s="334" t="n"/>
      <c r="W133" s="334" t="n"/>
      <c r="X133" s="334" t="n"/>
      <c r="Y133" s="334" t="n"/>
    </row>
    <row r="134" ht="15" customHeight="1" s="195">
      <c r="A134" s="280" t="n"/>
      <c r="B134" s="280" t="n"/>
      <c r="C134" s="280" t="n"/>
      <c r="D134" s="280" t="n"/>
      <c r="E134" s="280" t="n"/>
      <c r="F134" s="280" t="n"/>
      <c r="G134" s="280" t="n"/>
      <c r="H134" s="280" t="n"/>
      <c r="I134" s="332">
        <f>IFERROR(VLOOKUP(TEXT(H134,"0"),IPRESS!$A$3:$B$212,2,0),"")</f>
        <v/>
      </c>
      <c r="J134" s="280" t="n"/>
      <c r="K134" s="332">
        <f>IFERROR(VLOOKUP(TEXT(O134,"0"),CONDUCTORES!$A$3:$G$54,7,0),"")</f>
        <v/>
      </c>
      <c r="L134" s="280" t="n"/>
      <c r="M134" s="280" t="n"/>
      <c r="N134" s="333">
        <f>IFERROR(IF(L134*M134=0,"",L134*M134),"")</f>
        <v/>
      </c>
      <c r="O134" s="280" t="n"/>
      <c r="P134" s="332">
        <f>IFERROR(VLOOKUP(TEXT(O134,"0"),CONDUCTORES!$A$3:$G$54,2,0),"")</f>
        <v/>
      </c>
      <c r="Q134" s="332">
        <f>IFERROR(VLOOKUP(TEXT(O134,"0"),CONDUCTORES!$A$3:$H$54,6,0),"")</f>
        <v/>
      </c>
      <c r="R134" s="280" t="n"/>
      <c r="S134" s="280" t="n"/>
      <c r="T134" s="280" t="n"/>
      <c r="U134" s="280" t="n"/>
      <c r="V134" s="280" t="n"/>
      <c r="W134" s="280" t="n"/>
      <c r="X134" s="280" t="n"/>
      <c r="Y134" s="280" t="n"/>
    </row>
    <row r="135" ht="15" customHeight="1" s="195">
      <c r="A135" s="334" t="n"/>
      <c r="B135" s="334" t="n"/>
      <c r="C135" s="334" t="n"/>
      <c r="D135" s="334" t="n"/>
      <c r="E135" s="334" t="n"/>
      <c r="F135" s="334" t="n"/>
      <c r="G135" s="334" t="n"/>
      <c r="H135" s="334" t="n"/>
      <c r="I135" s="332">
        <f>IFERROR(VLOOKUP(TEXT(H135,"0"),IPRESS!$A$3:$B$212,2,0),"")</f>
        <v/>
      </c>
      <c r="J135" s="334" t="n"/>
      <c r="K135" s="332">
        <f>IFERROR(VLOOKUP(TEXT(O135,"0"),CONDUCTORES!$A$3:$G$54,7,0),"")</f>
        <v/>
      </c>
      <c r="L135" s="334" t="n"/>
      <c r="M135" s="334" t="n"/>
      <c r="N135" s="333">
        <f>IFERROR(IF(L135*M135=0,"",L135*M135),"")</f>
        <v/>
      </c>
      <c r="O135" s="334" t="n"/>
      <c r="P135" s="332">
        <f>IFERROR(VLOOKUP(TEXT(O135,"0"),CONDUCTORES!$A$3:$G$54,2,0),"")</f>
        <v/>
      </c>
      <c r="Q135" s="332">
        <f>IFERROR(VLOOKUP(TEXT(O135,"0"),CONDUCTORES!$A$3:$H$54,6,0),"")</f>
        <v/>
      </c>
      <c r="R135" s="334" t="n"/>
      <c r="S135" s="334" t="n"/>
      <c r="T135" s="334" t="n"/>
      <c r="U135" s="334" t="n"/>
      <c r="V135" s="334" t="n"/>
      <c r="W135" s="334" t="n"/>
      <c r="X135" s="334" t="n"/>
      <c r="Y135" s="334" t="n"/>
    </row>
    <row r="136" ht="15" customHeight="1" s="195">
      <c r="A136" s="280" t="n"/>
      <c r="B136" s="280" t="n"/>
      <c r="C136" s="280" t="n"/>
      <c r="D136" s="280" t="n"/>
      <c r="E136" s="280" t="n"/>
      <c r="F136" s="280" t="n"/>
      <c r="G136" s="280" t="n"/>
      <c r="H136" s="280" t="n"/>
      <c r="I136" s="332">
        <f>IFERROR(VLOOKUP(TEXT(H136,"0"),IPRESS!$A$3:$B$212,2,0),"")</f>
        <v/>
      </c>
      <c r="J136" s="280" t="n"/>
      <c r="K136" s="332">
        <f>IFERROR(VLOOKUP(TEXT(O136,"0"),CONDUCTORES!$A$3:$G$54,7,0),"")</f>
        <v/>
      </c>
      <c r="L136" s="280" t="n"/>
      <c r="M136" s="280" t="n"/>
      <c r="N136" s="333">
        <f>IFERROR(IF(L136*M136=0,"",L136*M136),"")</f>
        <v/>
      </c>
      <c r="O136" s="280" t="n"/>
      <c r="P136" s="332">
        <f>IFERROR(VLOOKUP(TEXT(O136,"0"),CONDUCTORES!$A$3:$G$54,2,0),"")</f>
        <v/>
      </c>
      <c r="Q136" s="332">
        <f>IFERROR(VLOOKUP(TEXT(O136,"0"),CONDUCTORES!$A$3:$H$54,6,0),"")</f>
        <v/>
      </c>
      <c r="R136" s="280" t="n"/>
      <c r="S136" s="280" t="n"/>
      <c r="T136" s="280" t="n"/>
      <c r="U136" s="280" t="n"/>
      <c r="V136" s="280" t="n"/>
      <c r="W136" s="280" t="n"/>
      <c r="X136" s="280" t="n"/>
      <c r="Y136" s="280" t="n"/>
    </row>
    <row r="137" ht="15" customHeight="1" s="195">
      <c r="A137" s="334" t="n"/>
      <c r="B137" s="334" t="n"/>
      <c r="C137" s="334" t="n"/>
      <c r="D137" s="334" t="n"/>
      <c r="E137" s="334" t="n"/>
      <c r="F137" s="334" t="n"/>
      <c r="G137" s="334" t="n"/>
      <c r="H137" s="334" t="n"/>
      <c r="I137" s="332">
        <f>IFERROR(VLOOKUP(TEXT(H137,"0"),IPRESS!$A$3:$B$212,2,0),"")</f>
        <v/>
      </c>
      <c r="J137" s="334" t="n"/>
      <c r="K137" s="332">
        <f>IFERROR(VLOOKUP(TEXT(O137,"0"),CONDUCTORES!$A$3:$G$54,7,0),"")</f>
        <v/>
      </c>
      <c r="L137" s="334" t="n"/>
      <c r="M137" s="334" t="n"/>
      <c r="N137" s="333">
        <f>IFERROR(IF(L137*M137=0,"",L137*M137),"")</f>
        <v/>
      </c>
      <c r="O137" s="334" t="n"/>
      <c r="P137" s="332">
        <f>IFERROR(VLOOKUP(TEXT(O137,"0"),CONDUCTORES!$A$3:$G$54,2,0),"")</f>
        <v/>
      </c>
      <c r="Q137" s="332">
        <f>IFERROR(VLOOKUP(TEXT(O137,"0"),CONDUCTORES!$A$3:$H$54,6,0),"")</f>
        <v/>
      </c>
      <c r="R137" s="334" t="n"/>
      <c r="S137" s="334" t="n"/>
      <c r="T137" s="334" t="n"/>
      <c r="U137" s="334" t="n"/>
      <c r="V137" s="334" t="n"/>
      <c r="W137" s="334" t="n"/>
      <c r="X137" s="334" t="n"/>
      <c r="Y137" s="334" t="n"/>
    </row>
    <row r="138" ht="15" customHeight="1" s="195">
      <c r="A138" s="280" t="n"/>
      <c r="B138" s="280" t="n"/>
      <c r="C138" s="280" t="n"/>
      <c r="D138" s="280" t="n"/>
      <c r="E138" s="280" t="n"/>
      <c r="F138" s="280" t="n"/>
      <c r="G138" s="280" t="n"/>
      <c r="H138" s="280" t="n"/>
      <c r="I138" s="332">
        <f>IFERROR(VLOOKUP(TEXT(H138,"0"),IPRESS!$A$3:$B$212,2,0),"")</f>
        <v/>
      </c>
      <c r="J138" s="280" t="n"/>
      <c r="K138" s="332">
        <f>IFERROR(VLOOKUP(TEXT(O138,"0"),CONDUCTORES!$A$3:$G$54,7,0),"")</f>
        <v/>
      </c>
      <c r="L138" s="280" t="n"/>
      <c r="M138" s="280" t="n"/>
      <c r="N138" s="333">
        <f>IFERROR(IF(L138*M138=0,"",L138*M138),"")</f>
        <v/>
      </c>
      <c r="O138" s="280" t="n"/>
      <c r="P138" s="332">
        <f>IFERROR(VLOOKUP(TEXT(O138,"0"),CONDUCTORES!$A$3:$G$54,2,0),"")</f>
        <v/>
      </c>
      <c r="Q138" s="332">
        <f>IFERROR(VLOOKUP(TEXT(O138,"0"),CONDUCTORES!$A$3:$H$54,6,0),"")</f>
        <v/>
      </c>
      <c r="R138" s="280" t="n"/>
      <c r="S138" s="280" t="n"/>
      <c r="T138" s="280" t="n"/>
      <c r="U138" s="280" t="n"/>
      <c r="V138" s="280" t="n"/>
      <c r="W138" s="280" t="n"/>
      <c r="X138" s="280" t="n"/>
      <c r="Y138" s="280" t="n"/>
    </row>
    <row r="139" ht="15" customHeight="1" s="195">
      <c r="A139" s="334" t="n"/>
      <c r="B139" s="334" t="n"/>
      <c r="C139" s="334" t="n"/>
      <c r="D139" s="334" t="n"/>
      <c r="E139" s="334" t="n"/>
      <c r="F139" s="334" t="n"/>
      <c r="G139" s="334" t="n"/>
      <c r="H139" s="334" t="n"/>
      <c r="I139" s="332">
        <f>IFERROR(VLOOKUP(TEXT(H139,"0"),IPRESS!$A$3:$B$212,2,0),"")</f>
        <v/>
      </c>
      <c r="J139" s="334" t="n"/>
      <c r="K139" s="332">
        <f>IFERROR(VLOOKUP(TEXT(O139,"0"),CONDUCTORES!$A$3:$G$54,7,0),"")</f>
        <v/>
      </c>
      <c r="L139" s="334" t="n"/>
      <c r="M139" s="334" t="n"/>
      <c r="N139" s="333">
        <f>IFERROR(IF(L139*M139=0,"",L139*M139),"")</f>
        <v/>
      </c>
      <c r="O139" s="334" t="n"/>
      <c r="P139" s="332">
        <f>IFERROR(VLOOKUP(TEXT(O139,"0"),CONDUCTORES!$A$3:$G$54,2,0),"")</f>
        <v/>
      </c>
      <c r="Q139" s="332">
        <f>IFERROR(VLOOKUP(TEXT(O139,"0"),CONDUCTORES!$A$3:$H$54,6,0),"")</f>
        <v/>
      </c>
      <c r="R139" s="334" t="n"/>
      <c r="S139" s="334" t="n"/>
      <c r="T139" s="334" t="n"/>
      <c r="U139" s="334" t="n"/>
      <c r="V139" s="334" t="n"/>
      <c r="W139" s="334" t="n"/>
      <c r="X139" s="334" t="n"/>
      <c r="Y139" s="334" t="n"/>
    </row>
    <row r="140" ht="15" customHeight="1" s="195">
      <c r="A140" s="280" t="n"/>
      <c r="B140" s="280" t="n"/>
      <c r="C140" s="280" t="n"/>
      <c r="D140" s="280" t="n"/>
      <c r="E140" s="280" t="n"/>
      <c r="F140" s="280" t="n"/>
      <c r="G140" s="280" t="n"/>
      <c r="H140" s="280" t="n"/>
      <c r="I140" s="332">
        <f>IFERROR(VLOOKUP(TEXT(H140,"0"),IPRESS!$A$3:$B$212,2,0),"")</f>
        <v/>
      </c>
      <c r="J140" s="280" t="n"/>
      <c r="K140" s="332">
        <f>IFERROR(VLOOKUP(TEXT(O140,"0"),CONDUCTORES!$A$3:$G$54,7,0),"")</f>
        <v/>
      </c>
      <c r="L140" s="280" t="n"/>
      <c r="M140" s="280" t="n"/>
      <c r="N140" s="333">
        <f>IFERROR(IF(L140*M140=0,"",L140*M140),"")</f>
        <v/>
      </c>
      <c r="O140" s="280" t="n"/>
      <c r="P140" s="332">
        <f>IFERROR(VLOOKUP(TEXT(O140,"0"),CONDUCTORES!$A$3:$G$54,2,0),"")</f>
        <v/>
      </c>
      <c r="Q140" s="332">
        <f>IFERROR(VLOOKUP(TEXT(O140,"0"),CONDUCTORES!$A$3:$H$54,6,0),"")</f>
        <v/>
      </c>
      <c r="R140" s="280" t="n"/>
      <c r="S140" s="280" t="n"/>
      <c r="T140" s="280" t="n"/>
      <c r="U140" s="280" t="n"/>
      <c r="V140" s="280" t="n"/>
      <c r="W140" s="280" t="n"/>
      <c r="X140" s="280" t="n"/>
      <c r="Y140" s="280" t="n"/>
    </row>
    <row r="141" ht="15" customHeight="1" s="195">
      <c r="A141" s="334" t="n"/>
      <c r="B141" s="334" t="n"/>
      <c r="C141" s="334" t="n"/>
      <c r="D141" s="334" t="n"/>
      <c r="E141" s="334" t="n"/>
      <c r="F141" s="334" t="n"/>
      <c r="G141" s="334" t="n"/>
      <c r="H141" s="334" t="n"/>
      <c r="I141" s="332">
        <f>IFERROR(VLOOKUP(TEXT(H141,"0"),IPRESS!$A$3:$B$212,2,0),"")</f>
        <v/>
      </c>
      <c r="J141" s="334" t="n"/>
      <c r="K141" s="332">
        <f>IFERROR(VLOOKUP(TEXT(O141,"0"),CONDUCTORES!$A$3:$G$54,7,0),"")</f>
        <v/>
      </c>
      <c r="L141" s="334" t="n"/>
      <c r="M141" s="334" t="n"/>
      <c r="N141" s="333">
        <f>IFERROR(IF(L141*M141=0,"",L141*M141),"")</f>
        <v/>
      </c>
      <c r="O141" s="334" t="n"/>
      <c r="P141" s="332">
        <f>IFERROR(VLOOKUP(TEXT(O141,"0"),CONDUCTORES!$A$3:$G$54,2,0),"")</f>
        <v/>
      </c>
      <c r="Q141" s="332">
        <f>IFERROR(VLOOKUP(TEXT(O141,"0"),CONDUCTORES!$A$3:$H$54,6,0),"")</f>
        <v/>
      </c>
      <c r="R141" s="334" t="n"/>
      <c r="S141" s="334" t="n"/>
      <c r="T141" s="334" t="n"/>
      <c r="U141" s="334" t="n"/>
      <c r="V141" s="334" t="n"/>
      <c r="W141" s="334" t="n"/>
      <c r="X141" s="334" t="n"/>
      <c r="Y141" s="334" t="n"/>
    </row>
    <row r="142" ht="15" customHeight="1" s="195">
      <c r="A142" s="280" t="n"/>
      <c r="B142" s="280" t="n"/>
      <c r="C142" s="280" t="n"/>
      <c r="D142" s="280" t="n"/>
      <c r="E142" s="280" t="n"/>
      <c r="F142" s="280" t="n"/>
      <c r="G142" s="280" t="n"/>
      <c r="H142" s="280" t="n"/>
      <c r="I142" s="332">
        <f>IFERROR(VLOOKUP(TEXT(H142,"0"),IPRESS!$A$3:$B$212,2,0),"")</f>
        <v/>
      </c>
      <c r="J142" s="280" t="n"/>
      <c r="K142" s="332">
        <f>IFERROR(VLOOKUP(TEXT(O142,"0"),CONDUCTORES!$A$3:$G$54,7,0),"")</f>
        <v/>
      </c>
      <c r="L142" s="280" t="n"/>
      <c r="M142" s="280" t="n"/>
      <c r="N142" s="333">
        <f>IFERROR(IF(L142*M142=0,"",L142*M142),"")</f>
        <v/>
      </c>
      <c r="O142" s="280" t="n"/>
      <c r="P142" s="332">
        <f>IFERROR(VLOOKUP(TEXT(O142,"0"),CONDUCTORES!$A$3:$G$54,2,0),"")</f>
        <v/>
      </c>
      <c r="Q142" s="332">
        <f>IFERROR(VLOOKUP(TEXT(O142,"0"),CONDUCTORES!$A$3:$H$54,6,0),"")</f>
        <v/>
      </c>
      <c r="R142" s="280" t="n"/>
      <c r="S142" s="280" t="n"/>
      <c r="T142" s="280" t="n"/>
      <c r="U142" s="280" t="n"/>
      <c r="V142" s="280" t="n"/>
      <c r="W142" s="280" t="n"/>
      <c r="X142" s="280" t="n"/>
      <c r="Y142" s="280" t="n"/>
    </row>
    <row r="143" ht="15" customHeight="1" s="195">
      <c r="A143" s="334" t="n"/>
      <c r="B143" s="334" t="n"/>
      <c r="C143" s="334" t="n"/>
      <c r="D143" s="334" t="n"/>
      <c r="E143" s="334" t="n"/>
      <c r="F143" s="334" t="n"/>
      <c r="G143" s="334" t="n"/>
      <c r="H143" s="334" t="n"/>
      <c r="I143" s="332">
        <f>IFERROR(VLOOKUP(TEXT(H143,"0"),IPRESS!$A$3:$B$212,2,0),"")</f>
        <v/>
      </c>
      <c r="J143" s="334" t="n"/>
      <c r="K143" s="332">
        <f>IFERROR(VLOOKUP(TEXT(O143,"0"),CONDUCTORES!$A$3:$G$54,7,0),"")</f>
        <v/>
      </c>
      <c r="L143" s="334" t="n"/>
      <c r="M143" s="334" t="n"/>
      <c r="N143" s="333">
        <f>IFERROR(IF(L143*M143=0,"",L143*M143),"")</f>
        <v/>
      </c>
      <c r="O143" s="334" t="n"/>
      <c r="P143" s="332">
        <f>IFERROR(VLOOKUP(TEXT(O143,"0"),CONDUCTORES!$A$3:$G$54,2,0),"")</f>
        <v/>
      </c>
      <c r="Q143" s="332">
        <f>IFERROR(VLOOKUP(TEXT(O143,"0"),CONDUCTORES!$A$3:$H$54,6,0),"")</f>
        <v/>
      </c>
      <c r="R143" s="334" t="n"/>
      <c r="S143" s="334" t="n"/>
      <c r="T143" s="334" t="n"/>
      <c r="U143" s="334" t="n"/>
      <c r="V143" s="334" t="n"/>
      <c r="W143" s="334" t="n"/>
      <c r="X143" s="334" t="n"/>
      <c r="Y143" s="334" t="n"/>
    </row>
    <row r="144" ht="15" customHeight="1" s="195">
      <c r="A144" s="280" t="n"/>
      <c r="B144" s="280" t="n"/>
      <c r="C144" s="280" t="n"/>
      <c r="D144" s="280" t="n"/>
      <c r="E144" s="280" t="n"/>
      <c r="F144" s="280" t="n"/>
      <c r="G144" s="280" t="n"/>
      <c r="H144" s="280" t="n"/>
      <c r="I144" s="332">
        <f>IFERROR(VLOOKUP(TEXT(H144,"0"),IPRESS!$A$3:$B$212,2,0),"")</f>
        <v/>
      </c>
      <c r="J144" s="280" t="n"/>
      <c r="K144" s="332">
        <f>IFERROR(VLOOKUP(TEXT(O144,"0"),CONDUCTORES!$A$3:$G$54,7,0),"")</f>
        <v/>
      </c>
      <c r="L144" s="280" t="n"/>
      <c r="M144" s="280" t="n"/>
      <c r="N144" s="333">
        <f>IFERROR(IF(L144*M144=0,"",L144*M144),"")</f>
        <v/>
      </c>
      <c r="O144" s="280" t="n"/>
      <c r="P144" s="332">
        <f>IFERROR(VLOOKUP(TEXT(O144,"0"),CONDUCTORES!$A$3:$G$54,2,0),"")</f>
        <v/>
      </c>
      <c r="Q144" s="332">
        <f>IFERROR(VLOOKUP(TEXT(O144,"0"),CONDUCTORES!$A$3:$H$54,6,0),"")</f>
        <v/>
      </c>
      <c r="R144" s="280" t="n"/>
      <c r="S144" s="280" t="n"/>
      <c r="T144" s="280" t="n"/>
      <c r="U144" s="280" t="n"/>
      <c r="V144" s="280" t="n"/>
      <c r="W144" s="280" t="n"/>
      <c r="X144" s="280" t="n"/>
      <c r="Y144" s="280" t="n"/>
    </row>
    <row r="145" ht="15" customHeight="1" s="195">
      <c r="A145" s="334" t="n"/>
      <c r="B145" s="334" t="n"/>
      <c r="C145" s="334" t="n"/>
      <c r="D145" s="334" t="n"/>
      <c r="E145" s="334" t="n"/>
      <c r="F145" s="334" t="n"/>
      <c r="G145" s="334" t="n"/>
      <c r="H145" s="334" t="n"/>
      <c r="I145" s="332">
        <f>IFERROR(VLOOKUP(TEXT(H145,"0"),IPRESS!$A$3:$B$212,2,0),"")</f>
        <v/>
      </c>
      <c r="J145" s="334" t="n"/>
      <c r="K145" s="332">
        <f>IFERROR(VLOOKUP(TEXT(O145,"0"),CONDUCTORES!$A$3:$G$54,7,0),"")</f>
        <v/>
      </c>
      <c r="L145" s="334" t="n"/>
      <c r="M145" s="334" t="n"/>
      <c r="N145" s="333">
        <f>IFERROR(IF(L145*M145=0,"",L145*M145),"")</f>
        <v/>
      </c>
      <c r="O145" s="334" t="n"/>
      <c r="P145" s="332">
        <f>IFERROR(VLOOKUP(TEXT(O145,"0"),CONDUCTORES!$A$3:$G$54,2,0),"")</f>
        <v/>
      </c>
      <c r="Q145" s="332">
        <f>IFERROR(VLOOKUP(TEXT(O145,"0"),CONDUCTORES!$A$3:$H$54,6,0),"")</f>
        <v/>
      </c>
      <c r="R145" s="334" t="n"/>
      <c r="S145" s="334" t="n"/>
      <c r="T145" s="334" t="n"/>
      <c r="U145" s="334" t="n"/>
      <c r="V145" s="334" t="n"/>
      <c r="W145" s="334" t="n"/>
      <c r="X145" s="334" t="n"/>
      <c r="Y145" s="334" t="n"/>
    </row>
    <row r="146" ht="15" customHeight="1" s="195">
      <c r="A146" s="280" t="n"/>
      <c r="B146" s="280" t="n"/>
      <c r="C146" s="280" t="n"/>
      <c r="D146" s="280" t="n"/>
      <c r="E146" s="280" t="n"/>
      <c r="F146" s="280" t="n"/>
      <c r="G146" s="280" t="n"/>
      <c r="H146" s="280" t="n"/>
      <c r="I146" s="332">
        <f>IFERROR(VLOOKUP(TEXT(H146,"0"),IPRESS!$A$3:$B$212,2,0),"")</f>
        <v/>
      </c>
      <c r="J146" s="280" t="n"/>
      <c r="K146" s="332">
        <f>IFERROR(VLOOKUP(TEXT(O146,"0"),CONDUCTORES!$A$3:$G$54,7,0),"")</f>
        <v/>
      </c>
      <c r="L146" s="280" t="n"/>
      <c r="M146" s="280" t="n"/>
      <c r="N146" s="333">
        <f>IFERROR(IF(L146*M146=0,"",L146*M146),"")</f>
        <v/>
      </c>
      <c r="O146" s="280" t="n"/>
      <c r="P146" s="332">
        <f>IFERROR(VLOOKUP(TEXT(O146,"0"),CONDUCTORES!$A$3:$G$54,2,0),"")</f>
        <v/>
      </c>
      <c r="Q146" s="332">
        <f>IFERROR(VLOOKUP(TEXT(O146,"0"),CONDUCTORES!$A$3:$H$54,6,0),"")</f>
        <v/>
      </c>
      <c r="R146" s="280" t="n"/>
      <c r="S146" s="280" t="n"/>
      <c r="T146" s="280" t="n"/>
      <c r="U146" s="280" t="n"/>
      <c r="V146" s="280" t="n"/>
      <c r="W146" s="280" t="n"/>
      <c r="X146" s="280" t="n"/>
      <c r="Y146" s="280" t="n"/>
    </row>
    <row r="147" ht="15" customHeight="1" s="195">
      <c r="A147" s="334" t="n"/>
      <c r="B147" s="334" t="n"/>
      <c r="C147" s="334" t="n"/>
      <c r="D147" s="334" t="n"/>
      <c r="E147" s="334" t="n"/>
      <c r="F147" s="334" t="n"/>
      <c r="G147" s="334" t="n"/>
      <c r="H147" s="334" t="n"/>
      <c r="I147" s="332">
        <f>IFERROR(VLOOKUP(TEXT(H147,"0"),IPRESS!$A$3:$B$212,2,0),"")</f>
        <v/>
      </c>
      <c r="J147" s="334" t="n"/>
      <c r="K147" s="332">
        <f>IFERROR(VLOOKUP(TEXT(O147,"0"),CONDUCTORES!$A$3:$G$54,7,0),"")</f>
        <v/>
      </c>
      <c r="L147" s="334" t="n"/>
      <c r="M147" s="334" t="n"/>
      <c r="N147" s="333">
        <f>IFERROR(IF(L147*M147=0,"",L147*M147),"")</f>
        <v/>
      </c>
      <c r="O147" s="334" t="n"/>
      <c r="P147" s="332">
        <f>IFERROR(VLOOKUP(TEXT(O147,"0"),CONDUCTORES!$A$3:$G$54,2,0),"")</f>
        <v/>
      </c>
      <c r="Q147" s="332">
        <f>IFERROR(VLOOKUP(TEXT(O147,"0"),CONDUCTORES!$A$3:$H$54,6,0),"")</f>
        <v/>
      </c>
      <c r="R147" s="334" t="n"/>
      <c r="S147" s="334" t="n"/>
      <c r="T147" s="334" t="n"/>
      <c r="U147" s="334" t="n"/>
      <c r="V147" s="334" t="n"/>
      <c r="W147" s="334" t="n"/>
      <c r="X147" s="334" t="n"/>
      <c r="Y147" s="334" t="n"/>
    </row>
    <row r="148" ht="15" customHeight="1" s="195">
      <c r="A148" s="280" t="n"/>
      <c r="B148" s="280" t="n"/>
      <c r="C148" s="280" t="n"/>
      <c r="D148" s="280" t="n"/>
      <c r="E148" s="280" t="n"/>
      <c r="F148" s="280" t="n"/>
      <c r="G148" s="280" t="n"/>
      <c r="H148" s="280" t="n"/>
      <c r="I148" s="332">
        <f>IFERROR(VLOOKUP(TEXT(H148,"0"),IPRESS!$A$3:$B$212,2,0),"")</f>
        <v/>
      </c>
      <c r="J148" s="280" t="n"/>
      <c r="K148" s="332">
        <f>IFERROR(VLOOKUP(TEXT(O148,"0"),CONDUCTORES!$A$3:$G$54,7,0),"")</f>
        <v/>
      </c>
      <c r="L148" s="280" t="n"/>
      <c r="M148" s="280" t="n"/>
      <c r="N148" s="333">
        <f>IFERROR(IF(L148*M148=0,"",L148*M148),"")</f>
        <v/>
      </c>
      <c r="O148" s="280" t="n"/>
      <c r="P148" s="332">
        <f>IFERROR(VLOOKUP(TEXT(O148,"0"),CONDUCTORES!$A$3:$G$54,2,0),"")</f>
        <v/>
      </c>
      <c r="Q148" s="332">
        <f>IFERROR(VLOOKUP(TEXT(O148,"0"),CONDUCTORES!$A$3:$H$54,6,0),"")</f>
        <v/>
      </c>
      <c r="R148" s="280" t="n"/>
      <c r="S148" s="280" t="n"/>
      <c r="T148" s="280" t="n"/>
      <c r="U148" s="280" t="n"/>
      <c r="V148" s="280" t="n"/>
      <c r="W148" s="280" t="n"/>
      <c r="X148" s="280" t="n"/>
      <c r="Y148" s="280" t="n"/>
    </row>
    <row r="149" ht="15" customHeight="1" s="195">
      <c r="A149" s="334" t="n"/>
      <c r="B149" s="334" t="n"/>
      <c r="C149" s="334" t="n"/>
      <c r="D149" s="334" t="n"/>
      <c r="E149" s="334" t="n"/>
      <c r="F149" s="334" t="n"/>
      <c r="G149" s="334" t="n"/>
      <c r="H149" s="334" t="n"/>
      <c r="I149" s="332">
        <f>IFERROR(VLOOKUP(TEXT(H149,"0"),IPRESS!$A$3:$B$212,2,0),"")</f>
        <v/>
      </c>
      <c r="J149" s="334" t="n"/>
      <c r="K149" s="332">
        <f>IFERROR(VLOOKUP(TEXT(O149,"0"),CONDUCTORES!$A$3:$G$54,7,0),"")</f>
        <v/>
      </c>
      <c r="L149" s="334" t="n"/>
      <c r="M149" s="334" t="n"/>
      <c r="N149" s="333">
        <f>IFERROR(IF(L149*M149=0,"",L149*M149),"")</f>
        <v/>
      </c>
      <c r="O149" s="334" t="n"/>
      <c r="P149" s="332">
        <f>IFERROR(VLOOKUP(TEXT(O149,"0"),CONDUCTORES!$A$3:$G$54,2,0),"")</f>
        <v/>
      </c>
      <c r="Q149" s="332">
        <f>IFERROR(VLOOKUP(TEXT(O149,"0"),CONDUCTORES!$A$3:$H$54,6,0),"")</f>
        <v/>
      </c>
      <c r="R149" s="334" t="n"/>
      <c r="S149" s="334" t="n"/>
      <c r="T149" s="334" t="n"/>
      <c r="U149" s="334" t="n"/>
      <c r="V149" s="334" t="n"/>
      <c r="W149" s="334" t="n"/>
      <c r="X149" s="334" t="n"/>
      <c r="Y149" s="334" t="n"/>
    </row>
    <row r="150" ht="15" customHeight="1" s="195">
      <c r="A150" s="280" t="n"/>
      <c r="B150" s="280" t="n"/>
      <c r="C150" s="280" t="n"/>
      <c r="D150" s="280" t="n"/>
      <c r="E150" s="280" t="n"/>
      <c r="F150" s="280" t="n"/>
      <c r="G150" s="280" t="n"/>
      <c r="H150" s="280" t="n"/>
      <c r="I150" s="332">
        <f>IFERROR(VLOOKUP(TEXT(H150,"0"),IPRESS!$A$3:$B$212,2,0),"")</f>
        <v/>
      </c>
      <c r="J150" s="280" t="n"/>
      <c r="K150" s="332">
        <f>IFERROR(VLOOKUP(TEXT(O150,"0"),CONDUCTORES!$A$3:$G$54,7,0),"")</f>
        <v/>
      </c>
      <c r="L150" s="280" t="n"/>
      <c r="M150" s="280" t="n"/>
      <c r="N150" s="333">
        <f>IFERROR(IF(L150*M150=0,"",L150*M150),"")</f>
        <v/>
      </c>
      <c r="O150" s="280" t="n"/>
      <c r="P150" s="332">
        <f>IFERROR(VLOOKUP(TEXT(O150,"0"),CONDUCTORES!$A$3:$G$54,2,0),"")</f>
        <v/>
      </c>
      <c r="Q150" s="332">
        <f>IFERROR(VLOOKUP(TEXT(O150,"0"),CONDUCTORES!$A$3:$H$54,6,0),"")</f>
        <v/>
      </c>
      <c r="R150" s="280" t="n"/>
      <c r="S150" s="280" t="n"/>
      <c r="T150" s="280" t="n"/>
      <c r="U150" s="280" t="n"/>
      <c r="V150" s="280" t="n"/>
      <c r="W150" s="280" t="n"/>
      <c r="X150" s="280" t="n"/>
      <c r="Y150" s="280" t="n"/>
    </row>
    <row r="151" ht="15" customHeight="1" s="195">
      <c r="A151" s="334" t="n"/>
      <c r="B151" s="334" t="n"/>
      <c r="C151" s="334" t="n"/>
      <c r="D151" s="334" t="n"/>
      <c r="E151" s="334" t="n"/>
      <c r="F151" s="334" t="n"/>
      <c r="G151" s="334" t="n"/>
      <c r="H151" s="334" t="n"/>
      <c r="I151" s="332">
        <f>IFERROR(VLOOKUP(TEXT(H151,"0"),IPRESS!$A$3:$B$212,2,0),"")</f>
        <v/>
      </c>
      <c r="J151" s="334" t="n"/>
      <c r="K151" s="332">
        <f>IFERROR(VLOOKUP(TEXT(O151,"0"),CONDUCTORES!$A$3:$G$54,7,0),"")</f>
        <v/>
      </c>
      <c r="L151" s="334" t="n"/>
      <c r="M151" s="334" t="n"/>
      <c r="N151" s="333">
        <f>IFERROR(IF(L151*M151=0,"",L151*M151),"")</f>
        <v/>
      </c>
      <c r="O151" s="334" t="n"/>
      <c r="P151" s="332">
        <f>IFERROR(VLOOKUP(TEXT(O151,"0"),CONDUCTORES!$A$3:$G$54,2,0),"")</f>
        <v/>
      </c>
      <c r="Q151" s="332">
        <f>IFERROR(VLOOKUP(TEXT(O151,"0"),CONDUCTORES!$A$3:$H$54,6,0),"")</f>
        <v/>
      </c>
      <c r="R151" s="334" t="n"/>
      <c r="S151" s="334" t="n"/>
      <c r="T151" s="334" t="n"/>
      <c r="U151" s="334" t="n"/>
      <c r="V151" s="334" t="n"/>
      <c r="W151" s="334" t="n"/>
      <c r="X151" s="334" t="n"/>
      <c r="Y151" s="334" t="n"/>
    </row>
    <row r="152" ht="15" customHeight="1" s="195">
      <c r="A152" s="280" t="n"/>
      <c r="B152" s="280" t="n"/>
      <c r="C152" s="280" t="n"/>
      <c r="D152" s="280" t="n"/>
      <c r="E152" s="280" t="n"/>
      <c r="F152" s="280" t="n"/>
      <c r="G152" s="280" t="n"/>
      <c r="H152" s="280" t="n"/>
      <c r="I152" s="332">
        <f>IFERROR(VLOOKUP(TEXT(H152,"0"),IPRESS!$A$3:$B$212,2,0),"")</f>
        <v/>
      </c>
      <c r="J152" s="280" t="n"/>
      <c r="K152" s="332">
        <f>IFERROR(VLOOKUP(TEXT(O152,"0"),CONDUCTORES!$A$3:$G$54,7,0),"")</f>
        <v/>
      </c>
      <c r="L152" s="280" t="n"/>
      <c r="M152" s="280" t="n"/>
      <c r="N152" s="333">
        <f>IFERROR(IF(L152*M152=0,"",L152*M152),"")</f>
        <v/>
      </c>
      <c r="O152" s="280" t="n"/>
      <c r="P152" s="332">
        <f>IFERROR(VLOOKUP(TEXT(O152,"0"),CONDUCTORES!$A$3:$G$54,2,0),"")</f>
        <v/>
      </c>
      <c r="Q152" s="332">
        <f>IFERROR(VLOOKUP(TEXT(O152,"0"),CONDUCTORES!$A$3:$H$54,6,0),"")</f>
        <v/>
      </c>
      <c r="R152" s="280" t="n"/>
      <c r="S152" s="280" t="n"/>
      <c r="T152" s="280" t="n"/>
      <c r="U152" s="280" t="n"/>
      <c r="V152" s="280" t="n"/>
      <c r="W152" s="280" t="n"/>
      <c r="X152" s="280" t="n"/>
      <c r="Y152" s="280" t="n"/>
    </row>
    <row r="153" ht="15" customHeight="1" s="195">
      <c r="A153" s="334" t="n"/>
      <c r="B153" s="334" t="n"/>
      <c r="C153" s="334" t="n"/>
      <c r="D153" s="334" t="n"/>
      <c r="E153" s="334" t="n"/>
      <c r="F153" s="334" t="n"/>
      <c r="G153" s="334" t="n"/>
      <c r="H153" s="334" t="n"/>
      <c r="I153" s="332">
        <f>IFERROR(VLOOKUP(TEXT(H153,"0"),IPRESS!$A$3:$B$212,2,0),"")</f>
        <v/>
      </c>
      <c r="J153" s="334" t="n"/>
      <c r="K153" s="332">
        <f>IFERROR(VLOOKUP(TEXT(O153,"0"),CONDUCTORES!$A$3:$G$54,7,0),"")</f>
        <v/>
      </c>
      <c r="L153" s="334" t="n"/>
      <c r="M153" s="334" t="n"/>
      <c r="N153" s="333">
        <f>IFERROR(IF(L153*M153=0,"",L153*M153),"")</f>
        <v/>
      </c>
      <c r="O153" s="334" t="n"/>
      <c r="P153" s="332">
        <f>IFERROR(VLOOKUP(TEXT(O153,"0"),CONDUCTORES!$A$3:$G$54,2,0),"")</f>
        <v/>
      </c>
      <c r="Q153" s="332">
        <f>IFERROR(VLOOKUP(TEXT(O153,"0"),CONDUCTORES!$A$3:$H$54,6,0),"")</f>
        <v/>
      </c>
      <c r="R153" s="334" t="n"/>
      <c r="S153" s="334" t="n"/>
      <c r="T153" s="334" t="n"/>
      <c r="U153" s="334" t="n"/>
      <c r="V153" s="334" t="n"/>
      <c r="W153" s="334" t="n"/>
      <c r="X153" s="334" t="n"/>
      <c r="Y153" s="334" t="n"/>
    </row>
    <row r="154" ht="15" customHeight="1" s="195">
      <c r="A154" s="280" t="n"/>
      <c r="B154" s="280" t="n"/>
      <c r="C154" s="280" t="n"/>
      <c r="D154" s="280" t="n"/>
      <c r="E154" s="280" t="n"/>
      <c r="F154" s="280" t="n"/>
      <c r="G154" s="280" t="n"/>
      <c r="H154" s="280" t="n"/>
      <c r="I154" s="332">
        <f>IFERROR(VLOOKUP(TEXT(H154,"0"),IPRESS!$A$3:$B$212,2,0),"")</f>
        <v/>
      </c>
      <c r="J154" s="280" t="n"/>
      <c r="K154" s="332">
        <f>IFERROR(VLOOKUP(TEXT(O154,"0"),CONDUCTORES!$A$3:$G$54,7,0),"")</f>
        <v/>
      </c>
      <c r="L154" s="280" t="n"/>
      <c r="M154" s="280" t="n"/>
      <c r="N154" s="333">
        <f>IFERROR(IF(L154*M154=0,"",L154*M154),"")</f>
        <v/>
      </c>
      <c r="O154" s="280" t="n"/>
      <c r="P154" s="332">
        <f>IFERROR(VLOOKUP(TEXT(O154,"0"),CONDUCTORES!$A$3:$G$54,2,0),"")</f>
        <v/>
      </c>
      <c r="Q154" s="332">
        <f>IFERROR(VLOOKUP(TEXT(O154,"0"),CONDUCTORES!$A$3:$H$54,6,0),"")</f>
        <v/>
      </c>
      <c r="R154" s="280" t="n"/>
      <c r="S154" s="280" t="n"/>
      <c r="T154" s="280" t="n"/>
      <c r="U154" s="280" t="n"/>
      <c r="V154" s="280" t="n"/>
      <c r="W154" s="280" t="n"/>
      <c r="X154" s="280" t="n"/>
      <c r="Y154" s="280" t="n"/>
    </row>
    <row r="155" ht="15" customHeight="1" s="195">
      <c r="A155" s="334" t="n"/>
      <c r="B155" s="334" t="n"/>
      <c r="C155" s="334" t="n"/>
      <c r="D155" s="334" t="n"/>
      <c r="E155" s="334" t="n"/>
      <c r="F155" s="334" t="n"/>
      <c r="G155" s="334" t="n"/>
      <c r="H155" s="334" t="n"/>
      <c r="I155" s="332">
        <f>IFERROR(VLOOKUP(TEXT(H155,"0"),IPRESS!$A$3:$B$212,2,0),"")</f>
        <v/>
      </c>
      <c r="J155" s="334" t="n"/>
      <c r="K155" s="332">
        <f>IFERROR(VLOOKUP(TEXT(O155,"0"),CONDUCTORES!$A$3:$G$54,7,0),"")</f>
        <v/>
      </c>
      <c r="L155" s="334" t="n"/>
      <c r="M155" s="334" t="n"/>
      <c r="N155" s="333">
        <f>IFERROR(IF(L155*M155=0,"",L155*M155),"")</f>
        <v/>
      </c>
      <c r="O155" s="334" t="n"/>
      <c r="P155" s="332">
        <f>IFERROR(VLOOKUP(TEXT(O155,"0"),CONDUCTORES!$A$3:$G$54,2,0),"")</f>
        <v/>
      </c>
      <c r="Q155" s="332">
        <f>IFERROR(VLOOKUP(TEXT(O155,"0"),CONDUCTORES!$A$3:$H$54,6,0),"")</f>
        <v/>
      </c>
      <c r="R155" s="334" t="n"/>
      <c r="S155" s="334" t="n"/>
      <c r="T155" s="334" t="n"/>
      <c r="U155" s="334" t="n"/>
      <c r="V155" s="334" t="n"/>
      <c r="W155" s="334" t="n"/>
      <c r="X155" s="334" t="n"/>
      <c r="Y155" s="334" t="n"/>
    </row>
    <row r="156" ht="15" customHeight="1" s="195">
      <c r="A156" s="280" t="n"/>
      <c r="B156" s="280" t="n"/>
      <c r="C156" s="280" t="n"/>
      <c r="D156" s="280" t="n"/>
      <c r="E156" s="280" t="n"/>
      <c r="F156" s="280" t="n"/>
      <c r="G156" s="280" t="n"/>
      <c r="H156" s="280" t="n"/>
      <c r="I156" s="332">
        <f>IFERROR(VLOOKUP(TEXT(H156,"0"),IPRESS!$A$3:$B$212,2,0),"")</f>
        <v/>
      </c>
      <c r="J156" s="280" t="n"/>
      <c r="K156" s="332">
        <f>IFERROR(VLOOKUP(TEXT(O156,"0"),CONDUCTORES!$A$3:$G$54,7,0),"")</f>
        <v/>
      </c>
      <c r="L156" s="280" t="n"/>
      <c r="M156" s="280" t="n"/>
      <c r="N156" s="333">
        <f>IFERROR(IF(L156*M156=0,"",L156*M156),"")</f>
        <v/>
      </c>
      <c r="O156" s="280" t="n"/>
      <c r="P156" s="332">
        <f>IFERROR(VLOOKUP(TEXT(O156,"0"),CONDUCTORES!$A$3:$G$54,2,0),"")</f>
        <v/>
      </c>
      <c r="Q156" s="332">
        <f>IFERROR(VLOOKUP(TEXT(O156,"0"),CONDUCTORES!$A$3:$H$54,6,0),"")</f>
        <v/>
      </c>
      <c r="R156" s="280" t="n"/>
      <c r="S156" s="280" t="n"/>
      <c r="T156" s="280" t="n"/>
      <c r="U156" s="280" t="n"/>
      <c r="V156" s="280" t="n"/>
      <c r="W156" s="280" t="n"/>
      <c r="X156" s="280" t="n"/>
      <c r="Y156" s="280" t="n"/>
    </row>
    <row r="157" ht="15" customHeight="1" s="195">
      <c r="A157" s="334" t="n"/>
      <c r="B157" s="334" t="n"/>
      <c r="C157" s="334" t="n"/>
      <c r="D157" s="334" t="n"/>
      <c r="E157" s="334" t="n"/>
      <c r="F157" s="334" t="n"/>
      <c r="G157" s="334" t="n"/>
      <c r="H157" s="334" t="n"/>
      <c r="I157" s="332">
        <f>IFERROR(VLOOKUP(TEXT(H157,"0"),IPRESS!$A$3:$B$212,2,0),"")</f>
        <v/>
      </c>
      <c r="J157" s="334" t="n"/>
      <c r="K157" s="332">
        <f>IFERROR(VLOOKUP(TEXT(O157,"0"),CONDUCTORES!$A$3:$G$54,7,0),"")</f>
        <v/>
      </c>
      <c r="L157" s="334" t="n"/>
      <c r="M157" s="334" t="n"/>
      <c r="N157" s="333">
        <f>IFERROR(IF(L157*M157=0,"",L157*M157),"")</f>
        <v/>
      </c>
      <c r="O157" s="334" t="n"/>
      <c r="P157" s="332">
        <f>IFERROR(VLOOKUP(TEXT(O157,"0"),CONDUCTORES!$A$3:$G$54,2,0),"")</f>
        <v/>
      </c>
      <c r="Q157" s="332">
        <f>IFERROR(VLOOKUP(TEXT(O157,"0"),CONDUCTORES!$A$3:$H$54,6,0),"")</f>
        <v/>
      </c>
      <c r="R157" s="334" t="n"/>
      <c r="S157" s="334" t="n"/>
      <c r="T157" s="334" t="n"/>
      <c r="U157" s="334" t="n"/>
      <c r="V157" s="334" t="n"/>
      <c r="W157" s="334" t="n"/>
      <c r="X157" s="334" t="n"/>
      <c r="Y157" s="334" t="n"/>
    </row>
    <row r="158" ht="15" customHeight="1" s="195">
      <c r="A158" s="280" t="n"/>
      <c r="B158" s="280" t="n"/>
      <c r="C158" s="280" t="n"/>
      <c r="D158" s="280" t="n"/>
      <c r="E158" s="280" t="n"/>
      <c r="F158" s="280" t="n"/>
      <c r="G158" s="280" t="n"/>
      <c r="H158" s="280" t="n"/>
      <c r="I158" s="332">
        <f>IFERROR(VLOOKUP(TEXT(H158,"0"),IPRESS!$A$3:$B$212,2,0),"")</f>
        <v/>
      </c>
      <c r="J158" s="280" t="n"/>
      <c r="K158" s="332">
        <f>IFERROR(VLOOKUP(TEXT(O158,"0"),CONDUCTORES!$A$3:$G$54,7,0),"")</f>
        <v/>
      </c>
      <c r="L158" s="280" t="n"/>
      <c r="M158" s="280" t="n"/>
      <c r="N158" s="333">
        <f>IFERROR(IF(L158*M158=0,"",L158*M158),"")</f>
        <v/>
      </c>
      <c r="O158" s="280" t="n"/>
      <c r="P158" s="332">
        <f>IFERROR(VLOOKUP(TEXT(O158,"0"),CONDUCTORES!$A$3:$G$54,2,0),"")</f>
        <v/>
      </c>
      <c r="Q158" s="332">
        <f>IFERROR(VLOOKUP(TEXT(O158,"0"),CONDUCTORES!$A$3:$H$54,6,0),"")</f>
        <v/>
      </c>
      <c r="R158" s="280" t="n"/>
      <c r="S158" s="280" t="n"/>
      <c r="T158" s="280" t="n"/>
      <c r="U158" s="280" t="n"/>
      <c r="V158" s="280" t="n"/>
      <c r="W158" s="280" t="n"/>
      <c r="X158" s="280" t="n"/>
      <c r="Y158" s="280" t="n"/>
    </row>
    <row r="159" ht="15" customHeight="1" s="195">
      <c r="A159" s="334" t="n"/>
      <c r="B159" s="334" t="n"/>
      <c r="C159" s="334" t="n"/>
      <c r="D159" s="334" t="n"/>
      <c r="E159" s="334" t="n"/>
      <c r="F159" s="334" t="n"/>
      <c r="G159" s="334" t="n"/>
      <c r="H159" s="334" t="n"/>
      <c r="I159" s="332">
        <f>IFERROR(VLOOKUP(TEXT(H159,"0"),IPRESS!$A$3:$B$212,2,0),"")</f>
        <v/>
      </c>
      <c r="J159" s="334" t="n"/>
      <c r="K159" s="332">
        <f>IFERROR(VLOOKUP(TEXT(O159,"0"),CONDUCTORES!$A$3:$G$54,7,0),"")</f>
        <v/>
      </c>
      <c r="L159" s="334" t="n"/>
      <c r="M159" s="334" t="n"/>
      <c r="N159" s="333">
        <f>IFERROR(IF(L159*M159=0,"",L159*M159),"")</f>
        <v/>
      </c>
      <c r="O159" s="334" t="n"/>
      <c r="P159" s="332">
        <f>IFERROR(VLOOKUP(TEXT(O159,"0"),CONDUCTORES!$A$3:$G$54,2,0),"")</f>
        <v/>
      </c>
      <c r="Q159" s="332">
        <f>IFERROR(VLOOKUP(TEXT(O159,"0"),CONDUCTORES!$A$3:$H$54,6,0),"")</f>
        <v/>
      </c>
      <c r="R159" s="334" t="n"/>
      <c r="S159" s="334" t="n"/>
      <c r="T159" s="334" t="n"/>
      <c r="U159" s="334" t="n"/>
      <c r="V159" s="334" t="n"/>
      <c r="W159" s="334" t="n"/>
      <c r="X159" s="334" t="n"/>
      <c r="Y159" s="334" t="n"/>
    </row>
    <row r="160" ht="15" customHeight="1" s="195">
      <c r="A160" s="280" t="n"/>
      <c r="B160" s="280" t="n"/>
      <c r="C160" s="280" t="n"/>
      <c r="D160" s="280" t="n"/>
      <c r="E160" s="280" t="n"/>
      <c r="F160" s="280" t="n"/>
      <c r="G160" s="280" t="n"/>
      <c r="H160" s="280" t="n"/>
      <c r="I160" s="332">
        <f>IFERROR(VLOOKUP(TEXT(H160,"0"),IPRESS!$A$3:$B$212,2,0),"")</f>
        <v/>
      </c>
      <c r="J160" s="280" t="n"/>
      <c r="K160" s="332">
        <f>IFERROR(VLOOKUP(TEXT(O160,"0"),CONDUCTORES!$A$3:$G$54,7,0),"")</f>
        <v/>
      </c>
      <c r="L160" s="280" t="n"/>
      <c r="M160" s="280" t="n"/>
      <c r="N160" s="333">
        <f>IFERROR(IF(L160*M160=0,"",L160*M160),"")</f>
        <v/>
      </c>
      <c r="O160" s="280" t="n"/>
      <c r="P160" s="332">
        <f>IFERROR(VLOOKUP(TEXT(O160,"0"),CONDUCTORES!$A$3:$G$54,2,0),"")</f>
        <v/>
      </c>
      <c r="Q160" s="332">
        <f>IFERROR(VLOOKUP(TEXT(O160,"0"),CONDUCTORES!$A$3:$H$54,6,0),"")</f>
        <v/>
      </c>
      <c r="R160" s="280" t="n"/>
      <c r="S160" s="280" t="n"/>
      <c r="T160" s="280" t="n"/>
      <c r="U160" s="280" t="n"/>
      <c r="V160" s="280" t="n"/>
      <c r="W160" s="280" t="n"/>
      <c r="X160" s="280" t="n"/>
      <c r="Y160" s="280" t="n"/>
    </row>
    <row r="161" ht="15" customHeight="1" s="195">
      <c r="A161" s="334" t="n"/>
      <c r="B161" s="334" t="n"/>
      <c r="C161" s="334" t="n"/>
      <c r="D161" s="334" t="n"/>
      <c r="E161" s="334" t="n"/>
      <c r="F161" s="334" t="n"/>
      <c r="G161" s="334" t="n"/>
      <c r="H161" s="334" t="n"/>
      <c r="I161" s="332">
        <f>IFERROR(VLOOKUP(TEXT(H161,"0"),IPRESS!$A$3:$B$212,2,0),"")</f>
        <v/>
      </c>
      <c r="J161" s="334" t="n"/>
      <c r="K161" s="332">
        <f>IFERROR(VLOOKUP(TEXT(O161,"0"),CONDUCTORES!$A$3:$G$54,7,0),"")</f>
        <v/>
      </c>
      <c r="L161" s="334" t="n"/>
      <c r="M161" s="334" t="n"/>
      <c r="N161" s="333">
        <f>IFERROR(IF(L161*M161=0,"",L161*M161),"")</f>
        <v/>
      </c>
      <c r="O161" s="334" t="n"/>
      <c r="P161" s="332">
        <f>IFERROR(VLOOKUP(TEXT(O161,"0"),CONDUCTORES!$A$3:$G$54,2,0),"")</f>
        <v/>
      </c>
      <c r="Q161" s="332">
        <f>IFERROR(VLOOKUP(TEXT(O161,"0"),CONDUCTORES!$A$3:$H$54,6,0),"")</f>
        <v/>
      </c>
      <c r="R161" s="334" t="n"/>
      <c r="S161" s="334" t="n"/>
      <c r="T161" s="334" t="n"/>
      <c r="U161" s="334" t="n"/>
      <c r="V161" s="334" t="n"/>
      <c r="W161" s="334" t="n"/>
      <c r="X161" s="334" t="n"/>
      <c r="Y161" s="334" t="n"/>
    </row>
    <row r="162" ht="15" customHeight="1" s="195">
      <c r="A162" s="280" t="n"/>
      <c r="B162" s="280" t="n"/>
      <c r="C162" s="280" t="n"/>
      <c r="D162" s="280" t="n"/>
      <c r="E162" s="280" t="n"/>
      <c r="F162" s="280" t="n"/>
      <c r="G162" s="280" t="n"/>
      <c r="H162" s="280" t="n"/>
      <c r="I162" s="332">
        <f>IFERROR(VLOOKUP(TEXT(H162,"0"),IPRESS!$A$3:$B$212,2,0),"")</f>
        <v/>
      </c>
      <c r="J162" s="280" t="n"/>
      <c r="K162" s="332">
        <f>IFERROR(VLOOKUP(TEXT(O162,"0"),CONDUCTORES!$A$3:$G$54,7,0),"")</f>
        <v/>
      </c>
      <c r="L162" s="280" t="n"/>
      <c r="M162" s="280" t="n"/>
      <c r="N162" s="333">
        <f>IFERROR(IF(L162*M162=0,"",L162*M162),"")</f>
        <v/>
      </c>
      <c r="O162" s="280" t="n"/>
      <c r="P162" s="332">
        <f>IFERROR(VLOOKUP(TEXT(O162,"0"),CONDUCTORES!$A$3:$G$54,2,0),"")</f>
        <v/>
      </c>
      <c r="Q162" s="332">
        <f>IFERROR(VLOOKUP(TEXT(O162,"0"),CONDUCTORES!$A$3:$H$54,6,0),"")</f>
        <v/>
      </c>
      <c r="R162" s="280" t="n"/>
      <c r="S162" s="280" t="n"/>
      <c r="T162" s="280" t="n"/>
      <c r="U162" s="280" t="n"/>
      <c r="V162" s="280" t="n"/>
      <c r="W162" s="280" t="n"/>
      <c r="X162" s="280" t="n"/>
      <c r="Y162" s="280" t="n"/>
    </row>
    <row r="163" ht="15" customHeight="1" s="195">
      <c r="A163" s="334" t="n"/>
      <c r="B163" s="334" t="n"/>
      <c r="C163" s="334" t="n"/>
      <c r="D163" s="334" t="n"/>
      <c r="E163" s="334" t="n"/>
      <c r="F163" s="334" t="n"/>
      <c r="G163" s="334" t="n"/>
      <c r="H163" s="334" t="n"/>
      <c r="I163" s="332">
        <f>IFERROR(VLOOKUP(TEXT(H163,"0"),IPRESS!$A$3:$B$212,2,0),"")</f>
        <v/>
      </c>
      <c r="J163" s="334" t="n"/>
      <c r="K163" s="332">
        <f>IFERROR(VLOOKUP(TEXT(O163,"0"),CONDUCTORES!$A$3:$G$54,7,0),"")</f>
        <v/>
      </c>
      <c r="L163" s="334" t="n"/>
      <c r="M163" s="334" t="n"/>
      <c r="N163" s="333">
        <f>IFERROR(IF(L163*M163=0,"",L163*M163),"")</f>
        <v/>
      </c>
      <c r="O163" s="334" t="n"/>
      <c r="P163" s="332">
        <f>IFERROR(VLOOKUP(TEXT(O163,"0"),CONDUCTORES!$A$3:$G$54,2,0),"")</f>
        <v/>
      </c>
      <c r="Q163" s="332">
        <f>IFERROR(VLOOKUP(TEXT(O163,"0"),CONDUCTORES!$A$3:$H$54,6,0),"")</f>
        <v/>
      </c>
      <c r="R163" s="334" t="n"/>
      <c r="S163" s="334" t="n"/>
      <c r="T163" s="334" t="n"/>
      <c r="U163" s="334" t="n"/>
      <c r="V163" s="334" t="n"/>
      <c r="W163" s="334" t="n"/>
      <c r="X163" s="334" t="n"/>
      <c r="Y163" s="334" t="n"/>
    </row>
    <row r="164" ht="15" customHeight="1" s="195">
      <c r="A164" s="280" t="n"/>
      <c r="B164" s="280" t="n"/>
      <c r="C164" s="280" t="n"/>
      <c r="D164" s="280" t="n"/>
      <c r="E164" s="280" t="n"/>
      <c r="F164" s="280" t="n"/>
      <c r="G164" s="280" t="n"/>
      <c r="H164" s="280" t="n"/>
      <c r="I164" s="332">
        <f>IFERROR(VLOOKUP(TEXT(H164,"0"),IPRESS!$A$3:$B$212,2,0),"")</f>
        <v/>
      </c>
      <c r="J164" s="280" t="n"/>
      <c r="K164" s="332">
        <f>IFERROR(VLOOKUP(TEXT(O164,"0"),CONDUCTORES!$A$3:$G$54,7,0),"")</f>
        <v/>
      </c>
      <c r="L164" s="280" t="n"/>
      <c r="M164" s="280" t="n"/>
      <c r="N164" s="333">
        <f>IFERROR(IF(L164*M164=0,"",L164*M164),"")</f>
        <v/>
      </c>
      <c r="O164" s="280" t="n"/>
      <c r="P164" s="332">
        <f>IFERROR(VLOOKUP(TEXT(O164,"0"),CONDUCTORES!$A$3:$G$54,2,0),"")</f>
        <v/>
      </c>
      <c r="Q164" s="332">
        <f>IFERROR(VLOOKUP(TEXT(O164,"0"),CONDUCTORES!$A$3:$H$54,6,0),"")</f>
        <v/>
      </c>
      <c r="R164" s="280" t="n"/>
      <c r="S164" s="280" t="n"/>
      <c r="T164" s="280" t="n"/>
      <c r="U164" s="280" t="n"/>
      <c r="V164" s="280" t="n"/>
      <c r="W164" s="280" t="n"/>
      <c r="X164" s="280" t="n"/>
      <c r="Y164" s="280" t="n"/>
    </row>
    <row r="165" ht="15" customHeight="1" s="195">
      <c r="A165" s="334" t="n"/>
      <c r="B165" s="334" t="n"/>
      <c r="C165" s="334" t="n"/>
      <c r="D165" s="334" t="n"/>
      <c r="E165" s="334" t="n"/>
      <c r="F165" s="334" t="n"/>
      <c r="G165" s="334" t="n"/>
      <c r="H165" s="334" t="n"/>
      <c r="I165" s="332">
        <f>IFERROR(VLOOKUP(TEXT(H165,"0"),IPRESS!$A$3:$B$212,2,0),"")</f>
        <v/>
      </c>
      <c r="J165" s="334" t="n"/>
      <c r="K165" s="332">
        <f>IFERROR(VLOOKUP(TEXT(O165,"0"),CONDUCTORES!$A$3:$G$54,7,0),"")</f>
        <v/>
      </c>
      <c r="L165" s="334" t="n"/>
      <c r="M165" s="334" t="n"/>
      <c r="N165" s="333">
        <f>IFERROR(IF(L165*M165=0,"",L165*M165),"")</f>
        <v/>
      </c>
      <c r="O165" s="334" t="n"/>
      <c r="P165" s="332">
        <f>IFERROR(VLOOKUP(TEXT(O165,"0"),CONDUCTORES!$A$3:$G$54,2,0),"")</f>
        <v/>
      </c>
      <c r="Q165" s="332">
        <f>IFERROR(VLOOKUP(TEXT(O165,"0"),CONDUCTORES!$A$3:$H$54,6,0),"")</f>
        <v/>
      </c>
      <c r="R165" s="334" t="n"/>
      <c r="S165" s="334" t="n"/>
      <c r="T165" s="334" t="n"/>
      <c r="U165" s="334" t="n"/>
      <c r="V165" s="334" t="n"/>
      <c r="W165" s="334" t="n"/>
      <c r="X165" s="334" t="n"/>
      <c r="Y165" s="334" t="n"/>
    </row>
    <row r="166" ht="15" customHeight="1" s="195">
      <c r="A166" s="280" t="n"/>
      <c r="B166" s="280" t="n"/>
      <c r="C166" s="280" t="n"/>
      <c r="D166" s="280" t="n"/>
      <c r="E166" s="280" t="n"/>
      <c r="F166" s="280" t="n"/>
      <c r="G166" s="280" t="n"/>
      <c r="H166" s="280" t="n"/>
      <c r="I166" s="332">
        <f>IFERROR(VLOOKUP(TEXT(H166,"0"),IPRESS!$A$3:$B$212,2,0),"")</f>
        <v/>
      </c>
      <c r="J166" s="280" t="n"/>
      <c r="K166" s="332">
        <f>IFERROR(VLOOKUP(TEXT(O166,"0"),CONDUCTORES!$A$3:$G$54,7,0),"")</f>
        <v/>
      </c>
      <c r="L166" s="280" t="n"/>
      <c r="M166" s="280" t="n"/>
      <c r="N166" s="333">
        <f>IFERROR(IF(L166*M166=0,"",L166*M166),"")</f>
        <v/>
      </c>
      <c r="O166" s="280" t="n"/>
      <c r="P166" s="332">
        <f>IFERROR(VLOOKUP(TEXT(O166,"0"),CONDUCTORES!$A$3:$G$54,2,0),"")</f>
        <v/>
      </c>
      <c r="Q166" s="332">
        <f>IFERROR(VLOOKUP(TEXT(O166,"0"),CONDUCTORES!$A$3:$H$54,6,0),"")</f>
        <v/>
      </c>
      <c r="R166" s="280" t="n"/>
      <c r="S166" s="280" t="n"/>
      <c r="T166" s="280" t="n"/>
      <c r="U166" s="280" t="n"/>
      <c r="V166" s="280" t="n"/>
      <c r="W166" s="280" t="n"/>
      <c r="X166" s="280" t="n"/>
      <c r="Y166" s="280" t="n"/>
    </row>
    <row r="167" ht="15" customHeight="1" s="195">
      <c r="A167" s="334" t="n"/>
      <c r="B167" s="334" t="n"/>
      <c r="C167" s="334" t="n"/>
      <c r="D167" s="334" t="n"/>
      <c r="E167" s="334" t="n"/>
      <c r="F167" s="334" t="n"/>
      <c r="G167" s="334" t="n"/>
      <c r="H167" s="334" t="n"/>
      <c r="I167" s="332">
        <f>IFERROR(VLOOKUP(TEXT(H167,"0"),IPRESS!$A$3:$B$212,2,0),"")</f>
        <v/>
      </c>
      <c r="J167" s="334" t="n"/>
      <c r="K167" s="332">
        <f>IFERROR(VLOOKUP(TEXT(O167,"0"),CONDUCTORES!$A$3:$G$54,7,0),"")</f>
        <v/>
      </c>
      <c r="L167" s="334" t="n"/>
      <c r="M167" s="334" t="n"/>
      <c r="N167" s="333">
        <f>IFERROR(IF(L167*M167=0,"",L167*M167),"")</f>
        <v/>
      </c>
      <c r="O167" s="334" t="n"/>
      <c r="P167" s="332">
        <f>IFERROR(VLOOKUP(TEXT(O167,"0"),CONDUCTORES!$A$3:$G$54,2,0),"")</f>
        <v/>
      </c>
      <c r="Q167" s="332">
        <f>IFERROR(VLOOKUP(TEXT(O167,"0"),CONDUCTORES!$A$3:$H$54,6,0),"")</f>
        <v/>
      </c>
      <c r="R167" s="334" t="n"/>
      <c r="S167" s="334" t="n"/>
      <c r="T167" s="334" t="n"/>
      <c r="U167" s="334" t="n"/>
      <c r="V167" s="334" t="n"/>
      <c r="W167" s="334" t="n"/>
      <c r="X167" s="334" t="n"/>
      <c r="Y167" s="334" t="n"/>
    </row>
    <row r="168" ht="15" customHeight="1" s="195">
      <c r="A168" s="280" t="n"/>
      <c r="B168" s="280" t="n"/>
      <c r="C168" s="280" t="n"/>
      <c r="D168" s="280" t="n"/>
      <c r="E168" s="280" t="n"/>
      <c r="F168" s="280" t="n"/>
      <c r="G168" s="280" t="n"/>
      <c r="H168" s="280" t="n"/>
      <c r="I168" s="332">
        <f>IFERROR(VLOOKUP(TEXT(H168,"0"),IPRESS!$A$3:$B$212,2,0),"")</f>
        <v/>
      </c>
      <c r="J168" s="280" t="n"/>
      <c r="K168" s="332">
        <f>IFERROR(VLOOKUP(TEXT(O168,"0"),CONDUCTORES!$A$3:$G$54,7,0),"")</f>
        <v/>
      </c>
      <c r="L168" s="280" t="n"/>
      <c r="M168" s="280" t="n"/>
      <c r="N168" s="333">
        <f>IFERROR(IF(L168*M168=0,"",L168*M168),"")</f>
        <v/>
      </c>
      <c r="O168" s="280" t="n"/>
      <c r="P168" s="332">
        <f>IFERROR(VLOOKUP(TEXT(O168,"0"),CONDUCTORES!$A$3:$G$54,2,0),"")</f>
        <v/>
      </c>
      <c r="Q168" s="332">
        <f>IFERROR(VLOOKUP(TEXT(O168,"0"),CONDUCTORES!$A$3:$H$54,6,0),"")</f>
        <v/>
      </c>
      <c r="R168" s="280" t="n"/>
      <c r="S168" s="280" t="n"/>
      <c r="T168" s="280" t="n"/>
      <c r="U168" s="280" t="n"/>
      <c r="V168" s="280" t="n"/>
      <c r="W168" s="280" t="n"/>
      <c r="X168" s="280" t="n"/>
      <c r="Y168" s="280" t="n"/>
    </row>
    <row r="169" ht="15" customHeight="1" s="195">
      <c r="A169" s="334" t="n"/>
      <c r="B169" s="334" t="n"/>
      <c r="C169" s="334" t="n"/>
      <c r="D169" s="334" t="n"/>
      <c r="E169" s="334" t="n"/>
      <c r="F169" s="334" t="n"/>
      <c r="G169" s="334" t="n"/>
      <c r="H169" s="334" t="n"/>
      <c r="I169" s="332">
        <f>IFERROR(VLOOKUP(TEXT(H169,"0"),IPRESS!$A$3:$B$212,2,0),"")</f>
        <v/>
      </c>
      <c r="J169" s="334" t="n"/>
      <c r="K169" s="332">
        <f>IFERROR(VLOOKUP(TEXT(O169,"0"),CONDUCTORES!$A$3:$G$54,7,0),"")</f>
        <v/>
      </c>
      <c r="L169" s="334" t="n"/>
      <c r="M169" s="334" t="n"/>
      <c r="N169" s="333">
        <f>IFERROR(IF(L169*M169=0,"",L169*M169),"")</f>
        <v/>
      </c>
      <c r="O169" s="334" t="n"/>
      <c r="P169" s="332">
        <f>IFERROR(VLOOKUP(TEXT(O169,"0"),CONDUCTORES!$A$3:$G$54,2,0),"")</f>
        <v/>
      </c>
      <c r="Q169" s="332">
        <f>IFERROR(VLOOKUP(TEXT(O169,"0"),CONDUCTORES!$A$3:$H$54,6,0),"")</f>
        <v/>
      </c>
      <c r="R169" s="334" t="n"/>
      <c r="S169" s="334" t="n"/>
      <c r="T169" s="334" t="n"/>
      <c r="U169" s="334" t="n"/>
      <c r="V169" s="334" t="n"/>
      <c r="W169" s="334" t="n"/>
      <c r="X169" s="334" t="n"/>
      <c r="Y169" s="334" t="n"/>
    </row>
    <row r="170" ht="15" customHeight="1" s="195">
      <c r="A170" s="280" t="n"/>
      <c r="B170" s="280" t="n"/>
      <c r="C170" s="280" t="n"/>
      <c r="D170" s="280" t="n"/>
      <c r="E170" s="280" t="n"/>
      <c r="F170" s="280" t="n"/>
      <c r="G170" s="280" t="n"/>
      <c r="H170" s="280" t="n"/>
      <c r="I170" s="332">
        <f>IFERROR(VLOOKUP(TEXT(H170,"0"),IPRESS!$A$3:$B$212,2,0),"")</f>
        <v/>
      </c>
      <c r="J170" s="280" t="n"/>
      <c r="K170" s="332">
        <f>IFERROR(VLOOKUP(TEXT(O170,"0"),CONDUCTORES!$A$3:$G$54,7,0),"")</f>
        <v/>
      </c>
      <c r="L170" s="280" t="n"/>
      <c r="M170" s="280" t="n"/>
      <c r="N170" s="333">
        <f>IFERROR(IF(L170*M170=0,"",L170*M170),"")</f>
        <v/>
      </c>
      <c r="O170" s="280" t="n"/>
      <c r="P170" s="332">
        <f>IFERROR(VLOOKUP(TEXT(O170,"0"),CONDUCTORES!$A$3:$G$54,2,0),"")</f>
        <v/>
      </c>
      <c r="Q170" s="332">
        <f>IFERROR(VLOOKUP(TEXT(O170,"0"),CONDUCTORES!$A$3:$H$54,6,0),"")</f>
        <v/>
      </c>
      <c r="R170" s="280" t="n"/>
      <c r="S170" s="280" t="n"/>
      <c r="T170" s="280" t="n"/>
      <c r="U170" s="280" t="n"/>
      <c r="V170" s="280" t="n"/>
      <c r="W170" s="280" t="n"/>
      <c r="X170" s="280" t="n"/>
      <c r="Y170" s="280" t="n"/>
    </row>
    <row r="171" ht="15" customHeight="1" s="195">
      <c r="A171" s="334" t="n"/>
      <c r="B171" s="334" t="n"/>
      <c r="C171" s="334" t="n"/>
      <c r="D171" s="334" t="n"/>
      <c r="E171" s="334" t="n"/>
      <c r="F171" s="334" t="n"/>
      <c r="G171" s="334" t="n"/>
      <c r="H171" s="334" t="n"/>
      <c r="I171" s="332">
        <f>IFERROR(VLOOKUP(TEXT(H171,"0"),IPRESS!$A$3:$B$212,2,0),"")</f>
        <v/>
      </c>
      <c r="J171" s="334" t="n"/>
      <c r="K171" s="332">
        <f>IFERROR(VLOOKUP(TEXT(O171,"0"),CONDUCTORES!$A$3:$G$54,7,0),"")</f>
        <v/>
      </c>
      <c r="L171" s="334" t="n"/>
      <c r="M171" s="334" t="n"/>
      <c r="N171" s="333">
        <f>IFERROR(IF(L171*M171=0,"",L171*M171),"")</f>
        <v/>
      </c>
      <c r="O171" s="334" t="n"/>
      <c r="P171" s="332">
        <f>IFERROR(VLOOKUP(TEXT(O171,"0"),CONDUCTORES!$A$3:$G$54,2,0),"")</f>
        <v/>
      </c>
      <c r="Q171" s="332">
        <f>IFERROR(VLOOKUP(TEXT(O171,"0"),CONDUCTORES!$A$3:$H$54,6,0),"")</f>
        <v/>
      </c>
      <c r="R171" s="334" t="n"/>
      <c r="S171" s="334" t="n"/>
      <c r="T171" s="334" t="n"/>
      <c r="U171" s="334" t="n"/>
      <c r="V171" s="334" t="n"/>
      <c r="W171" s="334" t="n"/>
      <c r="X171" s="334" t="n"/>
      <c r="Y171" s="334" t="n"/>
    </row>
    <row r="172" ht="15" customHeight="1" s="195">
      <c r="A172" s="280" t="n"/>
      <c r="B172" s="280" t="n"/>
      <c r="C172" s="280" t="n"/>
      <c r="D172" s="280" t="n"/>
      <c r="E172" s="280" t="n"/>
      <c r="F172" s="280" t="n"/>
      <c r="G172" s="280" t="n"/>
      <c r="H172" s="280" t="n"/>
      <c r="I172" s="332">
        <f>IFERROR(VLOOKUP(TEXT(H172,"0"),IPRESS!$A$3:$B$212,2,0),"")</f>
        <v/>
      </c>
      <c r="J172" s="280" t="n"/>
      <c r="K172" s="332">
        <f>IFERROR(VLOOKUP(TEXT(O172,"0"),CONDUCTORES!$A$3:$G$54,7,0),"")</f>
        <v/>
      </c>
      <c r="L172" s="280" t="n"/>
      <c r="M172" s="280" t="n"/>
      <c r="N172" s="333">
        <f>IFERROR(IF(L172*M172=0,"",L172*M172),"")</f>
        <v/>
      </c>
      <c r="O172" s="280" t="n"/>
      <c r="P172" s="332">
        <f>IFERROR(VLOOKUP(TEXT(O172,"0"),CONDUCTORES!$A$3:$G$54,2,0),"")</f>
        <v/>
      </c>
      <c r="Q172" s="332">
        <f>IFERROR(VLOOKUP(TEXT(O172,"0"),CONDUCTORES!$A$3:$H$54,6,0),"")</f>
        <v/>
      </c>
      <c r="R172" s="280" t="n"/>
      <c r="S172" s="280" t="n"/>
      <c r="T172" s="280" t="n"/>
      <c r="U172" s="280" t="n"/>
      <c r="V172" s="280" t="n"/>
      <c r="W172" s="280" t="n"/>
      <c r="X172" s="280" t="n"/>
      <c r="Y172" s="280" t="n"/>
    </row>
    <row r="173" ht="15" customHeight="1" s="195">
      <c r="A173" s="334" t="n"/>
      <c r="B173" s="334" t="n"/>
      <c r="C173" s="334" t="n"/>
      <c r="D173" s="334" t="n"/>
      <c r="E173" s="334" t="n"/>
      <c r="F173" s="334" t="n"/>
      <c r="G173" s="334" t="n"/>
      <c r="H173" s="334" t="n"/>
      <c r="I173" s="332">
        <f>IFERROR(VLOOKUP(TEXT(H173,"0"),IPRESS!$A$3:$B$212,2,0),"")</f>
        <v/>
      </c>
      <c r="J173" s="334" t="n"/>
      <c r="K173" s="332">
        <f>IFERROR(VLOOKUP(TEXT(O173,"0"),CONDUCTORES!$A$3:$G$54,7,0),"")</f>
        <v/>
      </c>
      <c r="L173" s="334" t="n"/>
      <c r="M173" s="334" t="n"/>
      <c r="N173" s="333">
        <f>IFERROR(IF(L173*M173=0,"",L173*M173),"")</f>
        <v/>
      </c>
      <c r="O173" s="334" t="n"/>
      <c r="P173" s="332">
        <f>IFERROR(VLOOKUP(TEXT(O173,"0"),CONDUCTORES!$A$3:$G$54,2,0),"")</f>
        <v/>
      </c>
      <c r="Q173" s="332">
        <f>IFERROR(VLOOKUP(TEXT(O173,"0"),CONDUCTORES!$A$3:$H$54,6,0),"")</f>
        <v/>
      </c>
      <c r="R173" s="334" t="n"/>
      <c r="S173" s="334" t="n"/>
      <c r="T173" s="334" t="n"/>
      <c r="U173" s="334" t="n"/>
      <c r="V173" s="334" t="n"/>
      <c r="W173" s="334" t="n"/>
      <c r="X173" s="334" t="n"/>
      <c r="Y173" s="334" t="n"/>
    </row>
    <row r="174" ht="15" customHeight="1" s="195">
      <c r="A174" s="280" t="n"/>
      <c r="B174" s="280" t="n"/>
      <c r="C174" s="280" t="n"/>
      <c r="D174" s="280" t="n"/>
      <c r="E174" s="280" t="n"/>
      <c r="F174" s="280" t="n"/>
      <c r="G174" s="280" t="n"/>
      <c r="H174" s="280" t="n"/>
      <c r="I174" s="332">
        <f>IFERROR(VLOOKUP(TEXT(H174,"0"),IPRESS!$A$3:$B$212,2,0),"")</f>
        <v/>
      </c>
      <c r="J174" s="280" t="n"/>
      <c r="K174" s="332">
        <f>IFERROR(VLOOKUP(TEXT(O174,"0"),CONDUCTORES!$A$3:$G$54,7,0),"")</f>
        <v/>
      </c>
      <c r="L174" s="280" t="n"/>
      <c r="M174" s="280" t="n"/>
      <c r="N174" s="333">
        <f>IFERROR(IF(L174*M174=0,"",L174*M174),"")</f>
        <v/>
      </c>
      <c r="O174" s="280" t="n"/>
      <c r="P174" s="332">
        <f>IFERROR(VLOOKUP(TEXT(O174,"0"),CONDUCTORES!$A$3:$G$54,2,0),"")</f>
        <v/>
      </c>
      <c r="Q174" s="332">
        <f>IFERROR(VLOOKUP(TEXT(O174,"0"),CONDUCTORES!$A$3:$H$54,6,0),"")</f>
        <v/>
      </c>
      <c r="R174" s="280" t="n"/>
      <c r="S174" s="280" t="n"/>
      <c r="T174" s="280" t="n"/>
      <c r="U174" s="280" t="n"/>
      <c r="V174" s="280" t="n"/>
      <c r="W174" s="280" t="n"/>
      <c r="X174" s="280" t="n"/>
      <c r="Y174" s="280" t="n"/>
    </row>
    <row r="175" ht="15" customHeight="1" s="195">
      <c r="A175" s="334" t="n"/>
      <c r="B175" s="334" t="n"/>
      <c r="C175" s="334" t="n"/>
      <c r="D175" s="334" t="n"/>
      <c r="E175" s="334" t="n"/>
      <c r="F175" s="334" t="n"/>
      <c r="G175" s="334" t="n"/>
      <c r="H175" s="334" t="n"/>
      <c r="I175" s="332">
        <f>IFERROR(VLOOKUP(TEXT(H175,"0"),IPRESS!$A$3:$B$212,2,0),"")</f>
        <v/>
      </c>
      <c r="J175" s="334" t="n"/>
      <c r="K175" s="332">
        <f>IFERROR(VLOOKUP(TEXT(O175,"0"),CONDUCTORES!$A$3:$G$54,7,0),"")</f>
        <v/>
      </c>
      <c r="L175" s="334" t="n"/>
      <c r="M175" s="334" t="n"/>
      <c r="N175" s="333">
        <f>IFERROR(IF(L175*M175=0,"",L175*M175),"")</f>
        <v/>
      </c>
      <c r="O175" s="334" t="n"/>
      <c r="P175" s="332">
        <f>IFERROR(VLOOKUP(TEXT(O175,"0"),CONDUCTORES!$A$3:$G$54,2,0),"")</f>
        <v/>
      </c>
      <c r="Q175" s="332">
        <f>IFERROR(VLOOKUP(TEXT(O175,"0"),CONDUCTORES!$A$3:$H$54,6,0),"")</f>
        <v/>
      </c>
      <c r="R175" s="334" t="n"/>
      <c r="S175" s="334" t="n"/>
      <c r="T175" s="334" t="n"/>
      <c r="U175" s="334" t="n"/>
      <c r="V175" s="334" t="n"/>
      <c r="W175" s="334" t="n"/>
      <c r="X175" s="334" t="n"/>
      <c r="Y175" s="334" t="n"/>
    </row>
    <row r="176" ht="15" customHeight="1" s="195">
      <c r="A176" s="280" t="n"/>
      <c r="B176" s="280" t="n"/>
      <c r="C176" s="280" t="n"/>
      <c r="D176" s="280" t="n"/>
      <c r="E176" s="280" t="n"/>
      <c r="F176" s="280" t="n"/>
      <c r="G176" s="280" t="n"/>
      <c r="H176" s="280" t="n"/>
      <c r="I176" s="332">
        <f>IFERROR(VLOOKUP(TEXT(H176,"0"),IPRESS!$A$3:$B$212,2,0),"")</f>
        <v/>
      </c>
      <c r="J176" s="280" t="n"/>
      <c r="K176" s="332">
        <f>IFERROR(VLOOKUP(TEXT(O176,"0"),CONDUCTORES!$A$3:$G$54,7,0),"")</f>
        <v/>
      </c>
      <c r="L176" s="280" t="n"/>
      <c r="M176" s="280" t="n"/>
      <c r="N176" s="333">
        <f>IFERROR(IF(L176*M176=0,"",L176*M176),"")</f>
        <v/>
      </c>
      <c r="O176" s="280" t="n"/>
      <c r="P176" s="332">
        <f>IFERROR(VLOOKUP(TEXT(O176,"0"),CONDUCTORES!$A$3:$G$54,2,0),"")</f>
        <v/>
      </c>
      <c r="Q176" s="332">
        <f>IFERROR(VLOOKUP(TEXT(O176,"0"),CONDUCTORES!$A$3:$H$54,6,0),"")</f>
        <v/>
      </c>
      <c r="R176" s="280" t="n"/>
      <c r="S176" s="280" t="n"/>
      <c r="T176" s="280" t="n"/>
      <c r="U176" s="280" t="n"/>
      <c r="V176" s="280" t="n"/>
      <c r="W176" s="280" t="n"/>
      <c r="X176" s="280" t="n"/>
      <c r="Y176" s="280" t="n"/>
    </row>
    <row r="177" ht="15" customHeight="1" s="195">
      <c r="A177" s="334" t="n"/>
      <c r="B177" s="334" t="n"/>
      <c r="C177" s="334" t="n"/>
      <c r="D177" s="334" t="n"/>
      <c r="E177" s="334" t="n"/>
      <c r="F177" s="334" t="n"/>
      <c r="G177" s="334" t="n"/>
      <c r="H177" s="334" t="n"/>
      <c r="I177" s="332">
        <f>IFERROR(VLOOKUP(TEXT(H177,"0"),IPRESS!$A$3:$B$212,2,0),"")</f>
        <v/>
      </c>
      <c r="J177" s="334" t="n"/>
      <c r="K177" s="332">
        <f>IFERROR(VLOOKUP(TEXT(O177,"0"),CONDUCTORES!$A$3:$G$54,7,0),"")</f>
        <v/>
      </c>
      <c r="L177" s="334" t="n"/>
      <c r="M177" s="334" t="n"/>
      <c r="N177" s="333">
        <f>IFERROR(IF(L177*M177=0,"",L177*M177),"")</f>
        <v/>
      </c>
      <c r="O177" s="334" t="n"/>
      <c r="P177" s="332">
        <f>IFERROR(VLOOKUP(TEXT(O177,"0"),CONDUCTORES!$A$3:$G$54,2,0),"")</f>
        <v/>
      </c>
      <c r="Q177" s="332">
        <f>IFERROR(VLOOKUP(TEXT(O177,"0"),CONDUCTORES!$A$3:$H$54,6,0),"")</f>
        <v/>
      </c>
      <c r="R177" s="334" t="n"/>
      <c r="S177" s="334" t="n"/>
      <c r="T177" s="334" t="n"/>
      <c r="U177" s="334" t="n"/>
      <c r="V177" s="334" t="n"/>
      <c r="W177" s="334" t="n"/>
      <c r="X177" s="334" t="n"/>
      <c r="Y177" s="334" t="n"/>
    </row>
    <row r="178" ht="15" customHeight="1" s="195">
      <c r="A178" s="280" t="n"/>
      <c r="B178" s="280" t="n"/>
      <c r="C178" s="280" t="n"/>
      <c r="D178" s="280" t="n"/>
      <c r="E178" s="280" t="n"/>
      <c r="F178" s="280" t="n"/>
      <c r="G178" s="280" t="n"/>
      <c r="H178" s="280" t="n"/>
      <c r="I178" s="332">
        <f>IFERROR(VLOOKUP(TEXT(H178,"0"),IPRESS!$A$3:$B$212,2,0),"")</f>
        <v/>
      </c>
      <c r="J178" s="280" t="n"/>
      <c r="K178" s="332">
        <f>IFERROR(VLOOKUP(TEXT(O178,"0"),CONDUCTORES!$A$3:$G$54,7,0),"")</f>
        <v/>
      </c>
      <c r="L178" s="280" t="n"/>
      <c r="M178" s="280" t="n"/>
      <c r="N178" s="333">
        <f>IFERROR(IF(L178*M178=0,"",L178*M178),"")</f>
        <v/>
      </c>
      <c r="O178" s="280" t="n"/>
      <c r="P178" s="332">
        <f>IFERROR(VLOOKUP(TEXT(O178,"0"),CONDUCTORES!$A$3:$G$54,2,0),"")</f>
        <v/>
      </c>
      <c r="Q178" s="332">
        <f>IFERROR(VLOOKUP(TEXT(O178,"0"),CONDUCTORES!$A$3:$H$54,6,0),"")</f>
        <v/>
      </c>
      <c r="R178" s="280" t="n"/>
      <c r="S178" s="280" t="n"/>
      <c r="T178" s="280" t="n"/>
      <c r="U178" s="280" t="n"/>
      <c r="V178" s="280" t="n"/>
      <c r="W178" s="280" t="n"/>
      <c r="X178" s="280" t="n"/>
      <c r="Y178" s="280" t="n"/>
    </row>
    <row r="179" ht="15" customHeight="1" s="195">
      <c r="A179" s="334" t="n"/>
      <c r="B179" s="334" t="n"/>
      <c r="C179" s="334" t="n"/>
      <c r="D179" s="334" t="n"/>
      <c r="E179" s="334" t="n"/>
      <c r="F179" s="334" t="n"/>
      <c r="G179" s="334" t="n"/>
      <c r="H179" s="334" t="n"/>
      <c r="I179" s="332">
        <f>IFERROR(VLOOKUP(TEXT(H179,"0"),IPRESS!$A$3:$B$212,2,0),"")</f>
        <v/>
      </c>
      <c r="J179" s="334" t="n"/>
      <c r="K179" s="332">
        <f>IFERROR(VLOOKUP(TEXT(O179,"0"),CONDUCTORES!$A$3:$G$54,7,0),"")</f>
        <v/>
      </c>
      <c r="L179" s="334" t="n"/>
      <c r="M179" s="334" t="n"/>
      <c r="N179" s="333">
        <f>IFERROR(IF(L179*M179=0,"",L179*M179),"")</f>
        <v/>
      </c>
      <c r="O179" s="334" t="n"/>
      <c r="P179" s="332">
        <f>IFERROR(VLOOKUP(TEXT(O179,"0"),CONDUCTORES!$A$3:$G$54,2,0),"")</f>
        <v/>
      </c>
      <c r="Q179" s="332">
        <f>IFERROR(VLOOKUP(TEXT(O179,"0"),CONDUCTORES!$A$3:$H$54,6,0),"")</f>
        <v/>
      </c>
      <c r="R179" s="334" t="n"/>
      <c r="S179" s="334" t="n"/>
      <c r="T179" s="334" t="n"/>
      <c r="U179" s="334" t="n"/>
      <c r="V179" s="334" t="n"/>
      <c r="W179" s="334" t="n"/>
      <c r="X179" s="334" t="n"/>
      <c r="Y179" s="334" t="n"/>
    </row>
    <row r="180" ht="15" customHeight="1" s="195">
      <c r="A180" s="280" t="n"/>
      <c r="B180" s="280" t="n"/>
      <c r="C180" s="280" t="n"/>
      <c r="D180" s="280" t="n"/>
      <c r="E180" s="280" t="n"/>
      <c r="F180" s="280" t="n"/>
      <c r="G180" s="280" t="n"/>
      <c r="H180" s="280" t="n"/>
      <c r="I180" s="332">
        <f>IFERROR(VLOOKUP(TEXT(H180,"0"),IPRESS!$A$3:$B$212,2,0),"")</f>
        <v/>
      </c>
      <c r="J180" s="280" t="n"/>
      <c r="K180" s="332">
        <f>IFERROR(VLOOKUP(TEXT(O180,"0"),CONDUCTORES!$A$3:$G$54,7,0),"")</f>
        <v/>
      </c>
      <c r="L180" s="280" t="n"/>
      <c r="M180" s="280" t="n"/>
      <c r="N180" s="333">
        <f>IFERROR(IF(L180*M180=0,"",L180*M180),"")</f>
        <v/>
      </c>
      <c r="O180" s="280" t="n"/>
      <c r="P180" s="332">
        <f>IFERROR(VLOOKUP(TEXT(O180,"0"),CONDUCTORES!$A$3:$G$54,2,0),"")</f>
        <v/>
      </c>
      <c r="Q180" s="332">
        <f>IFERROR(VLOOKUP(TEXT(O180,"0"),CONDUCTORES!$A$3:$H$54,6,0),"")</f>
        <v/>
      </c>
      <c r="R180" s="280" t="n"/>
      <c r="S180" s="280" t="n"/>
      <c r="T180" s="280" t="n"/>
      <c r="U180" s="280" t="n"/>
      <c r="V180" s="280" t="n"/>
      <c r="W180" s="280" t="n"/>
      <c r="X180" s="280" t="n"/>
      <c r="Y180" s="280" t="n"/>
    </row>
    <row r="181" ht="15" customHeight="1" s="195">
      <c r="A181" s="334" t="n"/>
      <c r="B181" s="334" t="n"/>
      <c r="C181" s="334" t="n"/>
      <c r="D181" s="334" t="n"/>
      <c r="E181" s="334" t="n"/>
      <c r="F181" s="334" t="n"/>
      <c r="G181" s="334" t="n"/>
      <c r="H181" s="334" t="n"/>
      <c r="I181" s="332">
        <f>IFERROR(VLOOKUP(TEXT(H181,"0"),IPRESS!$A$3:$B$212,2,0),"")</f>
        <v/>
      </c>
      <c r="J181" s="334" t="n"/>
      <c r="K181" s="332">
        <f>IFERROR(VLOOKUP(TEXT(O181,"0"),CONDUCTORES!$A$3:$G$54,7,0),"")</f>
        <v/>
      </c>
      <c r="L181" s="334" t="n"/>
      <c r="M181" s="334" t="n"/>
      <c r="N181" s="333">
        <f>IFERROR(IF(L181*M181=0,"",L181*M181),"")</f>
        <v/>
      </c>
      <c r="O181" s="334" t="n"/>
      <c r="P181" s="332">
        <f>IFERROR(VLOOKUP(TEXT(O181,"0"),CONDUCTORES!$A$3:$G$54,2,0),"")</f>
        <v/>
      </c>
      <c r="Q181" s="332">
        <f>IFERROR(VLOOKUP(TEXT(O181,"0"),CONDUCTORES!$A$3:$H$54,6,0),"")</f>
        <v/>
      </c>
      <c r="R181" s="334" t="n"/>
      <c r="S181" s="334" t="n"/>
      <c r="T181" s="334" t="n"/>
      <c r="U181" s="334" t="n"/>
      <c r="V181" s="334" t="n"/>
      <c r="W181" s="334" t="n"/>
      <c r="X181" s="334" t="n"/>
      <c r="Y181" s="334" t="n"/>
    </row>
    <row r="182" ht="15" customHeight="1" s="195">
      <c r="A182" s="280" t="n"/>
      <c r="B182" s="280" t="n"/>
      <c r="C182" s="280" t="n"/>
      <c r="D182" s="280" t="n"/>
      <c r="E182" s="280" t="n"/>
      <c r="F182" s="280" t="n"/>
      <c r="G182" s="280" t="n"/>
      <c r="H182" s="280" t="n"/>
      <c r="I182" s="332">
        <f>IFERROR(VLOOKUP(TEXT(H182,"0"),IPRESS!$A$3:$B$212,2,0),"")</f>
        <v/>
      </c>
      <c r="J182" s="280" t="n"/>
      <c r="K182" s="332">
        <f>IFERROR(VLOOKUP(TEXT(O182,"0"),CONDUCTORES!$A$3:$G$54,7,0),"")</f>
        <v/>
      </c>
      <c r="L182" s="280" t="n"/>
      <c r="M182" s="280" t="n"/>
      <c r="N182" s="333">
        <f>IFERROR(IF(L182*M182=0,"",L182*M182),"")</f>
        <v/>
      </c>
      <c r="O182" s="280" t="n"/>
      <c r="P182" s="332">
        <f>IFERROR(VLOOKUP(TEXT(O182,"0"),CONDUCTORES!$A$3:$G$54,2,0),"")</f>
        <v/>
      </c>
      <c r="Q182" s="332">
        <f>IFERROR(VLOOKUP(TEXT(O182,"0"),CONDUCTORES!$A$3:$H$54,6,0),"")</f>
        <v/>
      </c>
      <c r="R182" s="280" t="n"/>
      <c r="S182" s="280" t="n"/>
      <c r="T182" s="280" t="n"/>
      <c r="U182" s="280" t="n"/>
      <c r="V182" s="280" t="n"/>
      <c r="W182" s="280" t="n"/>
      <c r="X182" s="280" t="n"/>
      <c r="Y182" s="280" t="n"/>
    </row>
    <row r="183" ht="15" customHeight="1" s="195">
      <c r="A183" s="334" t="n"/>
      <c r="B183" s="334" t="n"/>
      <c r="C183" s="334" t="n"/>
      <c r="D183" s="334" t="n"/>
      <c r="E183" s="334" t="n"/>
      <c r="F183" s="334" t="n"/>
      <c r="G183" s="334" t="n"/>
      <c r="H183" s="334" t="n"/>
      <c r="I183" s="332">
        <f>IFERROR(VLOOKUP(TEXT(H183,"0"),IPRESS!$A$3:$B$212,2,0),"")</f>
        <v/>
      </c>
      <c r="J183" s="334" t="n"/>
      <c r="K183" s="332">
        <f>IFERROR(VLOOKUP(TEXT(O183,"0"),CONDUCTORES!$A$3:$G$54,7,0),"")</f>
        <v/>
      </c>
      <c r="L183" s="334" t="n"/>
      <c r="M183" s="334" t="n"/>
      <c r="N183" s="333">
        <f>IFERROR(IF(L183*M183=0,"",L183*M183),"")</f>
        <v/>
      </c>
      <c r="O183" s="334" t="n"/>
      <c r="P183" s="332">
        <f>IFERROR(VLOOKUP(TEXT(O183,"0"),CONDUCTORES!$A$3:$G$54,2,0),"")</f>
        <v/>
      </c>
      <c r="Q183" s="332">
        <f>IFERROR(VLOOKUP(TEXT(O183,"0"),CONDUCTORES!$A$3:$H$54,6,0),"")</f>
        <v/>
      </c>
      <c r="R183" s="334" t="n"/>
      <c r="S183" s="334" t="n"/>
      <c r="T183" s="334" t="n"/>
      <c r="U183" s="334" t="n"/>
      <c r="V183" s="334" t="n"/>
      <c r="W183" s="334" t="n"/>
      <c r="X183" s="334" t="n"/>
      <c r="Y183" s="334" t="n"/>
    </row>
    <row r="184" ht="15" customHeight="1" s="195">
      <c r="A184" s="280" t="n"/>
      <c r="B184" s="280" t="n"/>
      <c r="C184" s="280" t="n"/>
      <c r="D184" s="280" t="n"/>
      <c r="E184" s="280" t="n"/>
      <c r="F184" s="280" t="n"/>
      <c r="G184" s="280" t="n"/>
      <c r="H184" s="280" t="n"/>
      <c r="I184" s="332">
        <f>IFERROR(VLOOKUP(TEXT(H184,"0"),IPRESS!$A$3:$B$212,2,0),"")</f>
        <v/>
      </c>
      <c r="J184" s="280" t="n"/>
      <c r="K184" s="332">
        <f>IFERROR(VLOOKUP(TEXT(O184,"0"),CONDUCTORES!$A$3:$G$54,7,0),"")</f>
        <v/>
      </c>
      <c r="L184" s="280" t="n"/>
      <c r="M184" s="280" t="n"/>
      <c r="N184" s="333">
        <f>IFERROR(IF(L184*M184=0,"",L184*M184),"")</f>
        <v/>
      </c>
      <c r="O184" s="280" t="n"/>
      <c r="P184" s="332">
        <f>IFERROR(VLOOKUP(TEXT(O184,"0"),CONDUCTORES!$A$3:$G$54,2,0),"")</f>
        <v/>
      </c>
      <c r="Q184" s="332">
        <f>IFERROR(VLOOKUP(TEXT(O184,"0"),CONDUCTORES!$A$3:$H$54,6,0),"")</f>
        <v/>
      </c>
      <c r="R184" s="280" t="n"/>
      <c r="S184" s="280" t="n"/>
      <c r="T184" s="280" t="n"/>
      <c r="U184" s="280" t="n"/>
      <c r="V184" s="280" t="n"/>
      <c r="W184" s="280" t="n"/>
      <c r="X184" s="280" t="n"/>
      <c r="Y184" s="280" t="n"/>
    </row>
    <row r="185" ht="15" customHeight="1" s="195">
      <c r="A185" s="334" t="n"/>
      <c r="B185" s="334" t="n"/>
      <c r="C185" s="334" t="n"/>
      <c r="D185" s="334" t="n"/>
      <c r="E185" s="334" t="n"/>
      <c r="F185" s="334" t="n"/>
      <c r="G185" s="334" t="n"/>
      <c r="H185" s="334" t="n"/>
      <c r="I185" s="332">
        <f>IFERROR(VLOOKUP(TEXT(H185,"0"),IPRESS!$A$3:$B$212,2,0),"")</f>
        <v/>
      </c>
      <c r="J185" s="334" t="n"/>
      <c r="K185" s="332">
        <f>IFERROR(VLOOKUP(TEXT(O185,"0"),CONDUCTORES!$A$3:$G$54,7,0),"")</f>
        <v/>
      </c>
      <c r="L185" s="334" t="n"/>
      <c r="M185" s="334" t="n"/>
      <c r="N185" s="333">
        <f>IFERROR(IF(L185*M185=0,"",L185*M185),"")</f>
        <v/>
      </c>
      <c r="O185" s="334" t="n"/>
      <c r="P185" s="332">
        <f>IFERROR(VLOOKUP(TEXT(O185,"0"),CONDUCTORES!$A$3:$G$54,2,0),"")</f>
        <v/>
      </c>
      <c r="Q185" s="332">
        <f>IFERROR(VLOOKUP(TEXT(O185,"0"),CONDUCTORES!$A$3:$H$54,6,0),"")</f>
        <v/>
      </c>
      <c r="R185" s="334" t="n"/>
      <c r="S185" s="334" t="n"/>
      <c r="T185" s="334" t="n"/>
      <c r="U185" s="334" t="n"/>
      <c r="V185" s="334" t="n"/>
      <c r="W185" s="334" t="n"/>
      <c r="X185" s="334" t="n"/>
      <c r="Y185" s="334" t="n"/>
    </row>
    <row r="186" ht="15" customHeight="1" s="195">
      <c r="A186" s="280" t="n"/>
      <c r="B186" s="280" t="n"/>
      <c r="C186" s="280" t="n"/>
      <c r="D186" s="280" t="n"/>
      <c r="E186" s="280" t="n"/>
      <c r="F186" s="280" t="n"/>
      <c r="G186" s="280" t="n"/>
      <c r="H186" s="280" t="n"/>
      <c r="I186" s="332">
        <f>IFERROR(VLOOKUP(TEXT(H186,"0"),IPRESS!$A$3:$B$212,2,0),"")</f>
        <v/>
      </c>
      <c r="J186" s="280" t="n"/>
      <c r="K186" s="332">
        <f>IFERROR(VLOOKUP(TEXT(O186,"0"),CONDUCTORES!$A$3:$G$54,7,0),"")</f>
        <v/>
      </c>
      <c r="L186" s="280" t="n"/>
      <c r="M186" s="280" t="n"/>
      <c r="N186" s="333">
        <f>IFERROR(IF(L186*M186=0,"",L186*M186),"")</f>
        <v/>
      </c>
      <c r="O186" s="280" t="n"/>
      <c r="P186" s="332">
        <f>IFERROR(VLOOKUP(TEXT(O186,"0"),CONDUCTORES!$A$3:$G$54,2,0),"")</f>
        <v/>
      </c>
      <c r="Q186" s="332">
        <f>IFERROR(VLOOKUP(TEXT(O186,"0"),CONDUCTORES!$A$3:$H$54,6,0),"")</f>
        <v/>
      </c>
      <c r="R186" s="280" t="n"/>
      <c r="S186" s="280" t="n"/>
      <c r="T186" s="280" t="n"/>
      <c r="U186" s="280" t="n"/>
      <c r="V186" s="280" t="n"/>
      <c r="W186" s="280" t="n"/>
      <c r="X186" s="280" t="n"/>
      <c r="Y186" s="280" t="n"/>
    </row>
    <row r="187" ht="15" customHeight="1" s="195">
      <c r="A187" s="334" t="n"/>
      <c r="B187" s="334" t="n"/>
      <c r="C187" s="334" t="n"/>
      <c r="D187" s="334" t="n"/>
      <c r="E187" s="334" t="n"/>
      <c r="F187" s="334" t="n"/>
      <c r="G187" s="334" t="n"/>
      <c r="H187" s="334" t="n"/>
      <c r="I187" s="332">
        <f>IFERROR(VLOOKUP(TEXT(H187,"0"),IPRESS!$A$3:$B$212,2,0),"")</f>
        <v/>
      </c>
      <c r="J187" s="334" t="n"/>
      <c r="K187" s="332">
        <f>IFERROR(VLOOKUP(TEXT(O187,"0"),CONDUCTORES!$A$3:$G$54,7,0),"")</f>
        <v/>
      </c>
      <c r="L187" s="334" t="n"/>
      <c r="M187" s="334" t="n"/>
      <c r="N187" s="333">
        <f>IFERROR(IF(L187*M187=0,"",L187*M187),"")</f>
        <v/>
      </c>
      <c r="O187" s="334" t="n"/>
      <c r="P187" s="332">
        <f>IFERROR(VLOOKUP(TEXT(O187,"0"),CONDUCTORES!$A$3:$G$54,2,0),"")</f>
        <v/>
      </c>
      <c r="Q187" s="332">
        <f>IFERROR(VLOOKUP(TEXT(O187,"0"),CONDUCTORES!$A$3:$H$54,6,0),"")</f>
        <v/>
      </c>
      <c r="R187" s="334" t="n"/>
      <c r="S187" s="334" t="n"/>
      <c r="T187" s="334" t="n"/>
      <c r="U187" s="334" t="n"/>
      <c r="V187" s="334" t="n"/>
      <c r="W187" s="334" t="n"/>
      <c r="X187" s="334" t="n"/>
      <c r="Y187" s="334" t="n"/>
    </row>
    <row r="188" ht="15" customHeight="1" s="195">
      <c r="A188" s="280" t="n"/>
      <c r="B188" s="280" t="n"/>
      <c r="C188" s="280" t="n"/>
      <c r="D188" s="280" t="n"/>
      <c r="E188" s="280" t="n"/>
      <c r="F188" s="280" t="n"/>
      <c r="G188" s="280" t="n"/>
      <c r="H188" s="280" t="n"/>
      <c r="I188" s="332">
        <f>IFERROR(VLOOKUP(TEXT(H188,"0"),IPRESS!$A$3:$B$212,2,0),"")</f>
        <v/>
      </c>
      <c r="J188" s="280" t="n"/>
      <c r="K188" s="332">
        <f>IFERROR(VLOOKUP(TEXT(O188,"0"),CONDUCTORES!$A$3:$G$54,7,0),"")</f>
        <v/>
      </c>
      <c r="L188" s="280" t="n"/>
      <c r="M188" s="280" t="n"/>
      <c r="N188" s="333">
        <f>IFERROR(IF(L188*M188=0,"",L188*M188),"")</f>
        <v/>
      </c>
      <c r="O188" s="280" t="n"/>
      <c r="P188" s="332">
        <f>IFERROR(VLOOKUP(TEXT(O188,"0"),CONDUCTORES!$A$3:$G$54,2,0),"")</f>
        <v/>
      </c>
      <c r="Q188" s="332">
        <f>IFERROR(VLOOKUP(TEXT(O188,"0"),CONDUCTORES!$A$3:$H$54,6,0),"")</f>
        <v/>
      </c>
      <c r="R188" s="280" t="n"/>
      <c r="S188" s="280" t="n"/>
      <c r="T188" s="280" t="n"/>
      <c r="U188" s="280" t="n"/>
      <c r="V188" s="280" t="n"/>
      <c r="W188" s="280" t="n"/>
      <c r="X188" s="280" t="n"/>
      <c r="Y188" s="280" t="n"/>
    </row>
    <row r="189" ht="15" customHeight="1" s="195">
      <c r="A189" s="334" t="n"/>
      <c r="B189" s="334" t="n"/>
      <c r="C189" s="334" t="n"/>
      <c r="D189" s="334" t="n"/>
      <c r="E189" s="334" t="n"/>
      <c r="F189" s="334" t="n"/>
      <c r="G189" s="334" t="n"/>
      <c r="H189" s="334" t="n"/>
      <c r="I189" s="332">
        <f>IFERROR(VLOOKUP(TEXT(H189,"0"),IPRESS!$A$3:$B$212,2,0),"")</f>
        <v/>
      </c>
      <c r="J189" s="334" t="n"/>
      <c r="K189" s="332">
        <f>IFERROR(VLOOKUP(TEXT(O189,"0"),CONDUCTORES!$A$3:$G$54,7,0),"")</f>
        <v/>
      </c>
      <c r="L189" s="334" t="n"/>
      <c r="M189" s="334" t="n"/>
      <c r="N189" s="333">
        <f>IFERROR(IF(L189*M189=0,"",L189*M189),"")</f>
        <v/>
      </c>
      <c r="O189" s="334" t="n"/>
      <c r="P189" s="332">
        <f>IFERROR(VLOOKUP(TEXT(O189,"0"),CONDUCTORES!$A$3:$G$54,2,0),"")</f>
        <v/>
      </c>
      <c r="Q189" s="332">
        <f>IFERROR(VLOOKUP(TEXT(O189,"0"),CONDUCTORES!$A$3:$H$54,6,0),"")</f>
        <v/>
      </c>
      <c r="R189" s="334" t="n"/>
      <c r="S189" s="334" t="n"/>
      <c r="T189" s="334" t="n"/>
      <c r="U189" s="334" t="n"/>
      <c r="V189" s="334" t="n"/>
      <c r="W189" s="334" t="n"/>
      <c r="X189" s="334" t="n"/>
      <c r="Y189" s="334" t="n"/>
    </row>
    <row r="190" ht="15" customHeight="1" s="195">
      <c r="A190" s="280" t="n"/>
      <c r="B190" s="280" t="n"/>
      <c r="C190" s="280" t="n"/>
      <c r="D190" s="280" t="n"/>
      <c r="E190" s="280" t="n"/>
      <c r="F190" s="280" t="n"/>
      <c r="G190" s="280" t="n"/>
      <c r="H190" s="280" t="n"/>
      <c r="I190" s="332">
        <f>IFERROR(VLOOKUP(TEXT(H190,"0"),IPRESS!$A$3:$B$212,2,0),"")</f>
        <v/>
      </c>
      <c r="J190" s="280" t="n"/>
      <c r="K190" s="332">
        <f>IFERROR(VLOOKUP(TEXT(O190,"0"),CONDUCTORES!$A$3:$G$54,7,0),"")</f>
        <v/>
      </c>
      <c r="L190" s="280" t="n"/>
      <c r="M190" s="280" t="n"/>
      <c r="N190" s="333">
        <f>IFERROR(IF(L190*M190=0,"",L190*M190),"")</f>
        <v/>
      </c>
      <c r="O190" s="280" t="n"/>
      <c r="P190" s="332">
        <f>IFERROR(VLOOKUP(TEXT(O190,"0"),CONDUCTORES!$A$3:$G$54,2,0),"")</f>
        <v/>
      </c>
      <c r="Q190" s="332">
        <f>IFERROR(VLOOKUP(TEXT(O190,"0"),CONDUCTORES!$A$3:$H$54,6,0),"")</f>
        <v/>
      </c>
      <c r="R190" s="280" t="n"/>
      <c r="S190" s="280" t="n"/>
      <c r="T190" s="280" t="n"/>
      <c r="U190" s="280" t="n"/>
      <c r="V190" s="280" t="n"/>
      <c r="W190" s="280" t="n"/>
      <c r="X190" s="280" t="n"/>
      <c r="Y190" s="280" t="n"/>
    </row>
    <row r="191" ht="15" customHeight="1" s="195">
      <c r="A191" s="334" t="n"/>
      <c r="B191" s="334" t="n"/>
      <c r="C191" s="334" t="n"/>
      <c r="D191" s="334" t="n"/>
      <c r="E191" s="334" t="n"/>
      <c r="F191" s="334" t="n"/>
      <c r="G191" s="334" t="n"/>
      <c r="H191" s="334" t="n"/>
      <c r="I191" s="332">
        <f>IFERROR(VLOOKUP(TEXT(H191,"0"),IPRESS!$A$3:$B$212,2,0),"")</f>
        <v/>
      </c>
      <c r="J191" s="334" t="n"/>
      <c r="K191" s="332">
        <f>IFERROR(VLOOKUP(TEXT(O191,"0"),CONDUCTORES!$A$3:$G$54,7,0),"")</f>
        <v/>
      </c>
      <c r="L191" s="334" t="n"/>
      <c r="M191" s="334" t="n"/>
      <c r="N191" s="333">
        <f>IFERROR(IF(L191*M191=0,"",L191*M191),"")</f>
        <v/>
      </c>
      <c r="O191" s="334" t="n"/>
      <c r="P191" s="332">
        <f>IFERROR(VLOOKUP(TEXT(O191,"0"),CONDUCTORES!$A$3:$G$54,2,0),"")</f>
        <v/>
      </c>
      <c r="Q191" s="332">
        <f>IFERROR(VLOOKUP(TEXT(O191,"0"),CONDUCTORES!$A$3:$H$54,6,0),"")</f>
        <v/>
      </c>
      <c r="R191" s="334" t="n"/>
      <c r="S191" s="334" t="n"/>
      <c r="T191" s="334" t="n"/>
      <c r="U191" s="334" t="n"/>
      <c r="V191" s="334" t="n"/>
      <c r="W191" s="334" t="n"/>
      <c r="X191" s="334" t="n"/>
      <c r="Y191" s="334" t="n"/>
    </row>
    <row r="192" ht="15" customHeight="1" s="195">
      <c r="A192" s="280" t="n"/>
      <c r="B192" s="280" t="n"/>
      <c r="C192" s="280" t="n"/>
      <c r="D192" s="280" t="n"/>
      <c r="E192" s="280" t="n"/>
      <c r="F192" s="280" t="n"/>
      <c r="G192" s="280" t="n"/>
      <c r="H192" s="280" t="n"/>
      <c r="I192" s="332">
        <f>IFERROR(VLOOKUP(TEXT(H192,"0"),IPRESS!$A$3:$B$212,2,0),"")</f>
        <v/>
      </c>
      <c r="J192" s="280" t="n"/>
      <c r="K192" s="332">
        <f>IFERROR(VLOOKUP(TEXT(O192,"0"),CONDUCTORES!$A$3:$G$54,7,0),"")</f>
        <v/>
      </c>
      <c r="L192" s="280" t="n"/>
      <c r="M192" s="280" t="n"/>
      <c r="N192" s="333">
        <f>IFERROR(IF(L192*M192=0,"",L192*M192),"")</f>
        <v/>
      </c>
      <c r="O192" s="280" t="n"/>
      <c r="P192" s="332">
        <f>IFERROR(VLOOKUP(TEXT(O192,"0"),CONDUCTORES!$A$3:$G$54,2,0),"")</f>
        <v/>
      </c>
      <c r="Q192" s="332">
        <f>IFERROR(VLOOKUP(TEXT(O192,"0"),CONDUCTORES!$A$3:$H$54,6,0),"")</f>
        <v/>
      </c>
      <c r="R192" s="280" t="n"/>
      <c r="S192" s="280" t="n"/>
      <c r="T192" s="280" t="n"/>
      <c r="U192" s="280" t="n"/>
      <c r="V192" s="280" t="n"/>
      <c r="W192" s="280" t="n"/>
      <c r="X192" s="280" t="n"/>
      <c r="Y192" s="280" t="n"/>
    </row>
    <row r="193" ht="15" customHeight="1" s="195">
      <c r="A193" s="334" t="n"/>
      <c r="B193" s="334" t="n"/>
      <c r="C193" s="334" t="n"/>
      <c r="D193" s="334" t="n"/>
      <c r="E193" s="334" t="n"/>
      <c r="F193" s="334" t="n"/>
      <c r="G193" s="334" t="n"/>
      <c r="H193" s="334" t="n"/>
      <c r="I193" s="332">
        <f>IFERROR(VLOOKUP(TEXT(H193,"0"),IPRESS!$A$3:$B$212,2,0),"")</f>
        <v/>
      </c>
      <c r="J193" s="334" t="n"/>
      <c r="K193" s="332">
        <f>IFERROR(VLOOKUP(TEXT(O193,"0"),CONDUCTORES!$A$3:$G$54,7,0),"")</f>
        <v/>
      </c>
      <c r="L193" s="334" t="n"/>
      <c r="M193" s="334" t="n"/>
      <c r="N193" s="333">
        <f>IFERROR(IF(L193*M193=0,"",L193*M193),"")</f>
        <v/>
      </c>
      <c r="O193" s="334" t="n"/>
      <c r="P193" s="332">
        <f>IFERROR(VLOOKUP(TEXT(O193,"0"),CONDUCTORES!$A$3:$G$54,2,0),"")</f>
        <v/>
      </c>
      <c r="Q193" s="332">
        <f>IFERROR(VLOOKUP(TEXT(O193,"0"),CONDUCTORES!$A$3:$H$54,6,0),"")</f>
        <v/>
      </c>
      <c r="R193" s="334" t="n"/>
      <c r="S193" s="334" t="n"/>
      <c r="T193" s="334" t="n"/>
      <c r="U193" s="334" t="n"/>
      <c r="V193" s="334" t="n"/>
      <c r="W193" s="334" t="n"/>
      <c r="X193" s="334" t="n"/>
      <c r="Y193" s="334" t="n"/>
    </row>
    <row r="194" ht="15" customHeight="1" s="195">
      <c r="A194" s="280" t="n"/>
      <c r="B194" s="280" t="n"/>
      <c r="C194" s="280" t="n"/>
      <c r="D194" s="280" t="n"/>
      <c r="E194" s="280" t="n"/>
      <c r="F194" s="280" t="n"/>
      <c r="G194" s="280" t="n"/>
      <c r="H194" s="280" t="n"/>
      <c r="I194" s="332">
        <f>IFERROR(VLOOKUP(TEXT(H194,"0"),IPRESS!$A$3:$B$212,2,0),"")</f>
        <v/>
      </c>
      <c r="J194" s="280" t="n"/>
      <c r="K194" s="332">
        <f>IFERROR(VLOOKUP(TEXT(O194,"0"),CONDUCTORES!$A$3:$G$54,7,0),"")</f>
        <v/>
      </c>
      <c r="L194" s="280" t="n"/>
      <c r="M194" s="280" t="n"/>
      <c r="N194" s="333">
        <f>IFERROR(IF(L194*M194=0,"",L194*M194),"")</f>
        <v/>
      </c>
      <c r="O194" s="280" t="n"/>
      <c r="P194" s="332">
        <f>IFERROR(VLOOKUP(TEXT(O194,"0"),CONDUCTORES!$A$3:$G$54,2,0),"")</f>
        <v/>
      </c>
      <c r="Q194" s="332">
        <f>IFERROR(VLOOKUP(TEXT(O194,"0"),CONDUCTORES!$A$3:$H$54,6,0),"")</f>
        <v/>
      </c>
      <c r="R194" s="280" t="n"/>
      <c r="S194" s="280" t="n"/>
      <c r="T194" s="280" t="n"/>
      <c r="U194" s="280" t="n"/>
      <c r="V194" s="280" t="n"/>
      <c r="W194" s="280" t="n"/>
      <c r="X194" s="280" t="n"/>
      <c r="Y194" s="280" t="n"/>
    </row>
    <row r="195" ht="15" customHeight="1" s="195">
      <c r="A195" s="334" t="n"/>
      <c r="B195" s="334" t="n"/>
      <c r="C195" s="334" t="n"/>
      <c r="D195" s="334" t="n"/>
      <c r="E195" s="334" t="n"/>
      <c r="F195" s="334" t="n"/>
      <c r="G195" s="334" t="n"/>
      <c r="H195" s="334" t="n"/>
      <c r="I195" s="332">
        <f>IFERROR(VLOOKUP(TEXT(H195,"0"),IPRESS!$A$3:$B$212,2,0),"")</f>
        <v/>
      </c>
      <c r="J195" s="334" t="n"/>
      <c r="K195" s="332">
        <f>IFERROR(VLOOKUP(TEXT(O195,"0"),CONDUCTORES!$A$3:$G$54,7,0),"")</f>
        <v/>
      </c>
      <c r="L195" s="334" t="n"/>
      <c r="M195" s="334" t="n"/>
      <c r="N195" s="333">
        <f>IFERROR(IF(L195*M195=0,"",L195*M195),"")</f>
        <v/>
      </c>
      <c r="O195" s="334" t="n"/>
      <c r="P195" s="332">
        <f>IFERROR(VLOOKUP(TEXT(O195,"0"),CONDUCTORES!$A$3:$G$54,2,0),"")</f>
        <v/>
      </c>
      <c r="Q195" s="332">
        <f>IFERROR(VLOOKUP(TEXT(O195,"0"),CONDUCTORES!$A$3:$H$54,6,0),"")</f>
        <v/>
      </c>
      <c r="R195" s="334" t="n"/>
      <c r="S195" s="334" t="n"/>
      <c r="T195" s="334" t="n"/>
      <c r="U195" s="334" t="n"/>
      <c r="V195" s="334" t="n"/>
      <c r="W195" s="334" t="n"/>
      <c r="X195" s="334" t="n"/>
      <c r="Y195" s="334" t="n"/>
    </row>
    <row r="196" ht="15" customHeight="1" s="195">
      <c r="A196" s="280" t="n"/>
      <c r="B196" s="280" t="n"/>
      <c r="C196" s="280" t="n"/>
      <c r="D196" s="280" t="n"/>
      <c r="E196" s="280" t="n"/>
      <c r="F196" s="280" t="n"/>
      <c r="G196" s="280" t="n"/>
      <c r="H196" s="280" t="n"/>
      <c r="I196" s="332">
        <f>IFERROR(VLOOKUP(TEXT(H196,"0"),IPRESS!$A$3:$B$212,2,0),"")</f>
        <v/>
      </c>
      <c r="J196" s="280" t="n"/>
      <c r="K196" s="332">
        <f>IFERROR(VLOOKUP(TEXT(O196,"0"),CONDUCTORES!$A$3:$G$54,7,0),"")</f>
        <v/>
      </c>
      <c r="L196" s="280" t="n"/>
      <c r="M196" s="280" t="n"/>
      <c r="N196" s="333">
        <f>IFERROR(IF(L196*M196=0,"",L196*M196),"")</f>
        <v/>
      </c>
      <c r="O196" s="280" t="n"/>
      <c r="P196" s="332">
        <f>IFERROR(VLOOKUP(TEXT(O196,"0"),CONDUCTORES!$A$3:$G$54,2,0),"")</f>
        <v/>
      </c>
      <c r="Q196" s="332">
        <f>IFERROR(VLOOKUP(TEXT(O196,"0"),CONDUCTORES!$A$3:$H$54,6,0),"")</f>
        <v/>
      </c>
      <c r="R196" s="280" t="n"/>
      <c r="S196" s="280" t="n"/>
      <c r="T196" s="280" t="n"/>
      <c r="U196" s="280" t="n"/>
      <c r="V196" s="280" t="n"/>
      <c r="W196" s="280" t="n"/>
      <c r="X196" s="280" t="n"/>
      <c r="Y196" s="280" t="n"/>
    </row>
    <row r="197" ht="15" customHeight="1" s="195">
      <c r="A197" s="334" t="n"/>
      <c r="B197" s="334" t="n"/>
      <c r="C197" s="334" t="n"/>
      <c r="D197" s="334" t="n"/>
      <c r="E197" s="334" t="n"/>
      <c r="F197" s="334" t="n"/>
      <c r="G197" s="334" t="n"/>
      <c r="H197" s="334" t="n"/>
      <c r="I197" s="332">
        <f>IFERROR(VLOOKUP(TEXT(H197,"0"),IPRESS!$A$3:$B$212,2,0),"")</f>
        <v/>
      </c>
      <c r="J197" s="334" t="n"/>
      <c r="K197" s="332">
        <f>IFERROR(VLOOKUP(TEXT(O197,"0"),CONDUCTORES!$A$3:$G$54,7,0),"")</f>
        <v/>
      </c>
      <c r="L197" s="334" t="n"/>
      <c r="M197" s="334" t="n"/>
      <c r="N197" s="333">
        <f>IFERROR(IF(L197*M197=0,"",L197*M197),"")</f>
        <v/>
      </c>
      <c r="O197" s="334" t="n"/>
      <c r="P197" s="332">
        <f>IFERROR(VLOOKUP(TEXT(O197,"0"),CONDUCTORES!$A$3:$G$54,2,0),"")</f>
        <v/>
      </c>
      <c r="Q197" s="332">
        <f>IFERROR(VLOOKUP(TEXT(O197,"0"),CONDUCTORES!$A$3:$H$54,6,0),"")</f>
        <v/>
      </c>
      <c r="R197" s="334" t="n"/>
      <c r="S197" s="334" t="n"/>
      <c r="T197" s="334" t="n"/>
      <c r="U197" s="334" t="n"/>
      <c r="V197" s="334" t="n"/>
      <c r="W197" s="334" t="n"/>
      <c r="X197" s="334" t="n"/>
      <c r="Y197" s="334" t="n"/>
    </row>
    <row r="198" ht="15" customHeight="1" s="195">
      <c r="A198" s="280" t="n"/>
      <c r="B198" s="280" t="n"/>
      <c r="C198" s="280" t="n"/>
      <c r="D198" s="280" t="n"/>
      <c r="E198" s="280" t="n"/>
      <c r="F198" s="280" t="n"/>
      <c r="G198" s="280" t="n"/>
      <c r="H198" s="280" t="n"/>
      <c r="I198" s="332">
        <f>IFERROR(VLOOKUP(TEXT(H198,"0"),IPRESS!$A$3:$B$212,2,0),"")</f>
        <v/>
      </c>
      <c r="J198" s="280" t="n"/>
      <c r="K198" s="332">
        <f>IFERROR(VLOOKUP(TEXT(O198,"0"),CONDUCTORES!$A$3:$G$54,7,0),"")</f>
        <v/>
      </c>
      <c r="L198" s="280" t="n"/>
      <c r="M198" s="280" t="n"/>
      <c r="N198" s="333">
        <f>IFERROR(IF(L198*M198=0,"",L198*M198),"")</f>
        <v/>
      </c>
      <c r="O198" s="280" t="n"/>
      <c r="P198" s="332">
        <f>IFERROR(VLOOKUP(TEXT(O198,"0"),CONDUCTORES!$A$3:$G$54,2,0),"")</f>
        <v/>
      </c>
      <c r="Q198" s="332">
        <f>IFERROR(VLOOKUP(TEXT(O198,"0"),CONDUCTORES!$A$3:$H$54,6,0),"")</f>
        <v/>
      </c>
      <c r="R198" s="280" t="n"/>
      <c r="S198" s="280" t="n"/>
      <c r="T198" s="280" t="n"/>
      <c r="U198" s="280" t="n"/>
      <c r="V198" s="280" t="n"/>
      <c r="W198" s="280" t="n"/>
      <c r="X198" s="280" t="n"/>
      <c r="Y198" s="280" t="n"/>
    </row>
    <row r="199" ht="15" customHeight="1" s="195">
      <c r="A199" s="334" t="n"/>
      <c r="B199" s="334" t="n"/>
      <c r="C199" s="334" t="n"/>
      <c r="D199" s="334" t="n"/>
      <c r="E199" s="334" t="n"/>
      <c r="F199" s="334" t="n"/>
      <c r="G199" s="334" t="n"/>
      <c r="H199" s="334" t="n"/>
      <c r="I199" s="332">
        <f>IFERROR(VLOOKUP(TEXT(H199,"0"),IPRESS!$A$3:$B$212,2,0),"")</f>
        <v/>
      </c>
      <c r="J199" s="334" t="n"/>
      <c r="K199" s="332">
        <f>IFERROR(VLOOKUP(TEXT(O199,"0"),CONDUCTORES!$A$3:$G$54,7,0),"")</f>
        <v/>
      </c>
      <c r="L199" s="334" t="n"/>
      <c r="M199" s="334" t="n"/>
      <c r="N199" s="333">
        <f>IFERROR(IF(L199*M199=0,"",L199*M199),"")</f>
        <v/>
      </c>
      <c r="O199" s="334" t="n"/>
      <c r="P199" s="332">
        <f>IFERROR(VLOOKUP(TEXT(O199,"0"),CONDUCTORES!$A$3:$G$54,2,0),"")</f>
        <v/>
      </c>
      <c r="Q199" s="332">
        <f>IFERROR(VLOOKUP(TEXT(O199,"0"),CONDUCTORES!$A$3:$H$54,6,0),"")</f>
        <v/>
      </c>
      <c r="R199" s="334" t="n"/>
      <c r="S199" s="334" t="n"/>
      <c r="T199" s="334" t="n"/>
      <c r="U199" s="334" t="n"/>
      <c r="V199" s="334" t="n"/>
      <c r="W199" s="334" t="n"/>
      <c r="X199" s="334" t="n"/>
      <c r="Y199" s="334" t="n"/>
    </row>
    <row r="200" ht="15" customHeight="1" s="195">
      <c r="A200" s="280" t="n"/>
      <c r="B200" s="280" t="n"/>
      <c r="C200" s="280" t="n"/>
      <c r="D200" s="280" t="n"/>
      <c r="E200" s="280" t="n"/>
      <c r="F200" s="280" t="n"/>
      <c r="G200" s="280" t="n"/>
      <c r="H200" s="280" t="n"/>
      <c r="I200" s="332">
        <f>IFERROR(VLOOKUP(TEXT(H200,"0"),IPRESS!$A$3:$B$212,2,0),"")</f>
        <v/>
      </c>
      <c r="J200" s="280" t="n"/>
      <c r="K200" s="332">
        <f>IFERROR(VLOOKUP(TEXT(O200,"0"),CONDUCTORES!$A$3:$G$54,7,0),"")</f>
        <v/>
      </c>
      <c r="L200" s="280" t="n"/>
      <c r="M200" s="280" t="n"/>
      <c r="N200" s="333">
        <f>IFERROR(IF(L200*M200=0,"",L200*M200),"")</f>
        <v/>
      </c>
      <c r="O200" s="280" t="n"/>
      <c r="P200" s="332">
        <f>IFERROR(VLOOKUP(TEXT(O200,"0"),CONDUCTORES!$A$3:$G$54,2,0),"")</f>
        <v/>
      </c>
      <c r="Q200" s="332">
        <f>IFERROR(VLOOKUP(TEXT(O200,"0"),CONDUCTORES!$A$3:$H$54,6,0),"")</f>
        <v/>
      </c>
      <c r="R200" s="280" t="n"/>
      <c r="S200" s="280" t="n"/>
      <c r="T200" s="280" t="n"/>
      <c r="U200" s="280" t="n"/>
      <c r="V200" s="280" t="n"/>
      <c r="W200" s="280" t="n"/>
      <c r="X200" s="280" t="n"/>
      <c r="Y200" s="280" t="n"/>
    </row>
    <row r="201" ht="15" customHeight="1" s="195">
      <c r="A201" s="334" t="n"/>
      <c r="B201" s="334" t="n"/>
      <c r="C201" s="334" t="n"/>
      <c r="D201" s="334" t="n"/>
      <c r="E201" s="334" t="n"/>
      <c r="F201" s="334" t="n"/>
      <c r="G201" s="334" t="n"/>
      <c r="H201" s="334" t="n"/>
      <c r="I201" s="332">
        <f>IFERROR(VLOOKUP(TEXT(H201,"0"),IPRESS!$A$3:$B$212,2,0),"")</f>
        <v/>
      </c>
      <c r="J201" s="334" t="n"/>
      <c r="K201" s="332">
        <f>IFERROR(VLOOKUP(TEXT(O201,"0"),CONDUCTORES!$A$3:$G$54,7,0),"")</f>
        <v/>
      </c>
      <c r="L201" s="334" t="n"/>
      <c r="M201" s="334" t="n"/>
      <c r="N201" s="333">
        <f>IFERROR(IF(L201*M201=0,"",L201*M201),"")</f>
        <v/>
      </c>
      <c r="O201" s="334" t="n"/>
      <c r="P201" s="332">
        <f>IFERROR(VLOOKUP(TEXT(O201,"0"),CONDUCTORES!$A$3:$G$54,2,0),"")</f>
        <v/>
      </c>
      <c r="Q201" s="332">
        <f>IFERROR(VLOOKUP(TEXT(O201,"0"),CONDUCTORES!$A$3:$H$54,6,0),"")</f>
        <v/>
      </c>
      <c r="R201" s="334" t="n"/>
      <c r="S201" s="334" t="n"/>
      <c r="T201" s="334" t="n"/>
      <c r="U201" s="334" t="n"/>
      <c r="V201" s="334" t="n"/>
      <c r="W201" s="334" t="n"/>
      <c r="X201" s="334" t="n"/>
      <c r="Y201" s="334" t="n"/>
    </row>
    <row r="202" ht="15" customHeight="1" s="195">
      <c r="A202" s="280" t="n"/>
      <c r="B202" s="280" t="n"/>
      <c r="C202" s="280" t="n"/>
      <c r="D202" s="280" t="n"/>
      <c r="E202" s="280" t="n"/>
      <c r="F202" s="280" t="n"/>
      <c r="G202" s="280" t="n"/>
      <c r="H202" s="280" t="n"/>
      <c r="I202" s="332">
        <f>IFERROR(VLOOKUP(TEXT(H202,"0"),IPRESS!$A$3:$B$212,2,0),"")</f>
        <v/>
      </c>
      <c r="J202" s="280" t="n"/>
      <c r="K202" s="332">
        <f>IFERROR(VLOOKUP(TEXT(O202,"0"),CONDUCTORES!$A$3:$G$54,7,0),"")</f>
        <v/>
      </c>
      <c r="L202" s="280" t="n"/>
      <c r="M202" s="280" t="n"/>
      <c r="N202" s="333">
        <f>IFERROR(IF(L202*M202=0,"",L202*M202),"")</f>
        <v/>
      </c>
      <c r="O202" s="280" t="n"/>
      <c r="P202" s="332">
        <f>IFERROR(VLOOKUP(TEXT(O202,"0"),CONDUCTORES!$A$3:$G$54,2,0),"")</f>
        <v/>
      </c>
      <c r="Q202" s="332">
        <f>IFERROR(VLOOKUP(TEXT(O202,"0"),CONDUCTORES!$A$3:$H$54,6,0),"")</f>
        <v/>
      </c>
      <c r="R202" s="280" t="n"/>
      <c r="S202" s="280" t="n"/>
      <c r="T202" s="280" t="n"/>
      <c r="U202" s="280" t="n"/>
      <c r="V202" s="280" t="n"/>
      <c r="W202" s="280" t="n"/>
      <c r="X202" s="280" t="n"/>
      <c r="Y202" s="280" t="n"/>
    </row>
    <row r="203" ht="15" customHeight="1" s="195">
      <c r="A203" s="334" t="n"/>
      <c r="B203" s="334" t="n"/>
      <c r="C203" s="334" t="n"/>
      <c r="D203" s="334" t="n"/>
      <c r="E203" s="334" t="n"/>
      <c r="F203" s="334" t="n"/>
      <c r="G203" s="334" t="n"/>
      <c r="H203" s="334" t="n"/>
      <c r="I203" s="332">
        <f>IFERROR(VLOOKUP(TEXT(H203,"0"),IPRESS!$A$3:$B$212,2,0),"")</f>
        <v/>
      </c>
      <c r="J203" s="334" t="n"/>
      <c r="K203" s="332">
        <f>IFERROR(VLOOKUP(TEXT(O203,"0"),CONDUCTORES!$A$3:$G$54,7,0),"")</f>
        <v/>
      </c>
      <c r="L203" s="334" t="n"/>
      <c r="M203" s="334" t="n"/>
      <c r="N203" s="333">
        <f>IFERROR(IF(L203*M203=0,"",L203*M203),"")</f>
        <v/>
      </c>
      <c r="O203" s="334" t="n"/>
      <c r="P203" s="332">
        <f>IFERROR(VLOOKUP(TEXT(O203,"0"),CONDUCTORES!$A$3:$G$54,2,0),"")</f>
        <v/>
      </c>
      <c r="Q203" s="332">
        <f>IFERROR(VLOOKUP(TEXT(O203,"0"),CONDUCTORES!$A$3:$H$54,6,0),"")</f>
        <v/>
      </c>
      <c r="R203" s="334" t="n"/>
      <c r="S203" s="334" t="n"/>
      <c r="T203" s="334" t="n"/>
      <c r="U203" s="334" t="n"/>
      <c r="V203" s="334" t="n"/>
      <c r="W203" s="334" t="n"/>
      <c r="X203" s="334" t="n"/>
      <c r="Y203" s="334" t="n"/>
    </row>
    <row r="204" ht="15" customHeight="1" s="195">
      <c r="A204" s="280" t="n"/>
      <c r="B204" s="280" t="n"/>
      <c r="C204" s="280" t="n"/>
      <c r="D204" s="280" t="n"/>
      <c r="E204" s="280" t="n"/>
      <c r="F204" s="280" t="n"/>
      <c r="G204" s="280" t="n"/>
      <c r="H204" s="280" t="n"/>
      <c r="I204" s="332">
        <f>IFERROR(VLOOKUP(TEXT(H204,"0"),IPRESS!$A$3:$B$212,2,0),"")</f>
        <v/>
      </c>
      <c r="J204" s="280" t="n"/>
      <c r="K204" s="332">
        <f>IFERROR(VLOOKUP(TEXT(O204,"0"),CONDUCTORES!$A$3:$G$54,7,0),"")</f>
        <v/>
      </c>
      <c r="L204" s="280" t="n"/>
      <c r="M204" s="280" t="n"/>
      <c r="N204" s="333">
        <f>IFERROR(IF(L204*M204=0,"",L204*M204),"")</f>
        <v/>
      </c>
      <c r="O204" s="280" t="n"/>
      <c r="P204" s="332">
        <f>IFERROR(VLOOKUP(TEXT(O204,"0"),CONDUCTORES!$A$3:$G$54,2,0),"")</f>
        <v/>
      </c>
      <c r="Q204" s="332">
        <f>IFERROR(VLOOKUP(TEXT(O204,"0"),CONDUCTORES!$A$3:$H$54,6,0),"")</f>
        <v/>
      </c>
      <c r="R204" s="280" t="n"/>
      <c r="S204" s="280" t="n"/>
      <c r="T204" s="280" t="n"/>
      <c r="U204" s="280" t="n"/>
      <c r="V204" s="280" t="n"/>
      <c r="W204" s="280" t="n"/>
      <c r="X204" s="280" t="n"/>
      <c r="Y204" s="280" t="n"/>
    </row>
    <row r="205" ht="15" customHeight="1" s="195">
      <c r="A205" s="334" t="n"/>
      <c r="B205" s="334" t="n"/>
      <c r="C205" s="334" t="n"/>
      <c r="D205" s="334" t="n"/>
      <c r="E205" s="334" t="n"/>
      <c r="F205" s="334" t="n"/>
      <c r="G205" s="334" t="n"/>
      <c r="H205" s="334" t="n"/>
      <c r="I205" s="332">
        <f>IFERROR(VLOOKUP(TEXT(H205,"0"),IPRESS!$A$3:$B$212,2,0),"")</f>
        <v/>
      </c>
      <c r="J205" s="334" t="n"/>
      <c r="K205" s="332">
        <f>IFERROR(VLOOKUP(TEXT(O205,"0"),CONDUCTORES!$A$3:$G$54,7,0),"")</f>
        <v/>
      </c>
      <c r="L205" s="334" t="n"/>
      <c r="M205" s="334" t="n"/>
      <c r="N205" s="333">
        <f>IFERROR(IF(L205*M205=0,"",L205*M205),"")</f>
        <v/>
      </c>
      <c r="O205" s="334" t="n"/>
      <c r="P205" s="332">
        <f>IFERROR(VLOOKUP(TEXT(O205,"0"),CONDUCTORES!$A$3:$G$54,2,0),"")</f>
        <v/>
      </c>
      <c r="Q205" s="332">
        <f>IFERROR(VLOOKUP(TEXT(O205,"0"),CONDUCTORES!$A$3:$H$54,6,0),"")</f>
        <v/>
      </c>
      <c r="R205" s="334" t="n"/>
      <c r="S205" s="334" t="n"/>
      <c r="T205" s="334" t="n"/>
      <c r="U205" s="334" t="n"/>
      <c r="V205" s="334" t="n"/>
      <c r="W205" s="334" t="n"/>
      <c r="X205" s="334" t="n"/>
      <c r="Y205" s="334" t="n"/>
    </row>
    <row r="206" ht="15" customHeight="1" s="195">
      <c r="A206" s="280" t="n"/>
      <c r="B206" s="280" t="n"/>
      <c r="C206" s="280" t="n"/>
      <c r="D206" s="280" t="n"/>
      <c r="E206" s="280" t="n"/>
      <c r="F206" s="280" t="n"/>
      <c r="G206" s="280" t="n"/>
      <c r="H206" s="280" t="n"/>
      <c r="I206" s="332">
        <f>IFERROR(VLOOKUP(TEXT(H206,"0"),IPRESS!$A$3:$B$212,2,0),"")</f>
        <v/>
      </c>
      <c r="J206" s="280" t="n"/>
      <c r="K206" s="332">
        <f>IFERROR(VLOOKUP(TEXT(O206,"0"),CONDUCTORES!$A$3:$G$54,7,0),"")</f>
        <v/>
      </c>
      <c r="L206" s="280" t="n"/>
      <c r="M206" s="280" t="n"/>
      <c r="N206" s="333">
        <f>IFERROR(IF(L206*M206=0,"",L206*M206),"")</f>
        <v/>
      </c>
      <c r="O206" s="280" t="n"/>
      <c r="P206" s="332">
        <f>IFERROR(VLOOKUP(TEXT(O206,"0"),CONDUCTORES!$A$3:$G$54,2,0),"")</f>
        <v/>
      </c>
      <c r="Q206" s="332">
        <f>IFERROR(VLOOKUP(TEXT(O206,"0"),CONDUCTORES!$A$3:$H$54,6,0),"")</f>
        <v/>
      </c>
      <c r="R206" s="280" t="n"/>
      <c r="S206" s="280" t="n"/>
      <c r="T206" s="280" t="n"/>
      <c r="U206" s="280" t="n"/>
      <c r="V206" s="280" t="n"/>
      <c r="W206" s="280" t="n"/>
      <c r="X206" s="280" t="n"/>
      <c r="Y206" s="280" t="n"/>
    </row>
    <row r="207" ht="15" customHeight="1" s="195">
      <c r="A207" s="334" t="n"/>
      <c r="B207" s="334" t="n"/>
      <c r="C207" s="334" t="n"/>
      <c r="D207" s="334" t="n"/>
      <c r="E207" s="334" t="n"/>
      <c r="F207" s="334" t="n"/>
      <c r="G207" s="334" t="n"/>
      <c r="H207" s="334" t="n"/>
      <c r="I207" s="332">
        <f>IFERROR(VLOOKUP(TEXT(H207,"0"),IPRESS!$A$3:$B$212,2,0),"")</f>
        <v/>
      </c>
      <c r="J207" s="334" t="n"/>
      <c r="K207" s="332">
        <f>IFERROR(VLOOKUP(TEXT(O207,"0"),CONDUCTORES!$A$3:$G$54,7,0),"")</f>
        <v/>
      </c>
      <c r="L207" s="334" t="n"/>
      <c r="M207" s="334" t="n"/>
      <c r="N207" s="333">
        <f>IFERROR(IF(L207*M207=0,"",L207*M207),"")</f>
        <v/>
      </c>
      <c r="O207" s="334" t="n"/>
      <c r="P207" s="332">
        <f>IFERROR(VLOOKUP(TEXT(O207,"0"),CONDUCTORES!$A$3:$G$54,2,0),"")</f>
        <v/>
      </c>
      <c r="Q207" s="332">
        <f>IFERROR(VLOOKUP(TEXT(O207,"0"),CONDUCTORES!$A$3:$H$54,6,0),"")</f>
        <v/>
      </c>
      <c r="R207" s="334" t="n"/>
      <c r="S207" s="334" t="n"/>
      <c r="T207" s="334" t="n"/>
      <c r="U207" s="334" t="n"/>
      <c r="V207" s="334" t="n"/>
      <c r="W207" s="334" t="n"/>
      <c r="X207" s="334" t="n"/>
      <c r="Y207" s="334" t="n"/>
    </row>
    <row r="208" ht="15" customHeight="1" s="195">
      <c r="A208" s="280" t="n"/>
      <c r="B208" s="280" t="n"/>
      <c r="C208" s="280" t="n"/>
      <c r="D208" s="280" t="n"/>
      <c r="E208" s="280" t="n"/>
      <c r="F208" s="280" t="n"/>
      <c r="G208" s="280" t="n"/>
      <c r="H208" s="280" t="n"/>
      <c r="I208" s="332">
        <f>IFERROR(VLOOKUP(TEXT(H208,"0"),IPRESS!$A$3:$B$212,2,0),"")</f>
        <v/>
      </c>
      <c r="J208" s="280" t="n"/>
      <c r="K208" s="332">
        <f>IFERROR(VLOOKUP(TEXT(O208,"0"),CONDUCTORES!$A$3:$G$54,7,0),"")</f>
        <v/>
      </c>
      <c r="L208" s="280" t="n"/>
      <c r="M208" s="280" t="n"/>
      <c r="N208" s="333">
        <f>IFERROR(IF(L208*M208=0,"",L208*M208),"")</f>
        <v/>
      </c>
      <c r="O208" s="280" t="n"/>
      <c r="P208" s="332">
        <f>IFERROR(VLOOKUP(TEXT(O208,"0"),CONDUCTORES!$A$3:$G$54,2,0),"")</f>
        <v/>
      </c>
      <c r="Q208" s="332">
        <f>IFERROR(VLOOKUP(TEXT(O208,"0"),CONDUCTORES!$A$3:$H$54,6,0),"")</f>
        <v/>
      </c>
      <c r="R208" s="280" t="n"/>
      <c r="S208" s="280" t="n"/>
      <c r="T208" s="280" t="n"/>
      <c r="U208" s="280" t="n"/>
      <c r="V208" s="280" t="n"/>
      <c r="W208" s="280" t="n"/>
      <c r="X208" s="280" t="n"/>
      <c r="Y208" s="280" t="n"/>
    </row>
    <row r="209" ht="15" customHeight="1" s="195">
      <c r="A209" s="334" t="n"/>
      <c r="B209" s="334" t="n"/>
      <c r="C209" s="334" t="n"/>
      <c r="D209" s="334" t="n"/>
      <c r="E209" s="334" t="n"/>
      <c r="F209" s="334" t="n"/>
      <c r="G209" s="334" t="n"/>
      <c r="H209" s="334" t="n"/>
      <c r="I209" s="332">
        <f>IFERROR(VLOOKUP(TEXT(H209,"0"),IPRESS!$A$3:$B$212,2,0),"")</f>
        <v/>
      </c>
      <c r="J209" s="334" t="n"/>
      <c r="K209" s="332">
        <f>IFERROR(VLOOKUP(TEXT(O209,"0"),CONDUCTORES!$A$3:$G$54,7,0),"")</f>
        <v/>
      </c>
      <c r="L209" s="334" t="n"/>
      <c r="M209" s="334" t="n"/>
      <c r="N209" s="333">
        <f>IFERROR(IF(L209*M209=0,"",L209*M209),"")</f>
        <v/>
      </c>
      <c r="O209" s="334" t="n"/>
      <c r="P209" s="332">
        <f>IFERROR(VLOOKUP(TEXT(O209,"0"),CONDUCTORES!$A$3:$G$54,2,0),"")</f>
        <v/>
      </c>
      <c r="Q209" s="332">
        <f>IFERROR(VLOOKUP(TEXT(O209,"0"),CONDUCTORES!$A$3:$H$54,6,0),"")</f>
        <v/>
      </c>
      <c r="R209" s="334" t="n"/>
      <c r="S209" s="334" t="n"/>
      <c r="T209" s="334" t="n"/>
      <c r="U209" s="334" t="n"/>
      <c r="V209" s="334" t="n"/>
      <c r="W209" s="334" t="n"/>
      <c r="X209" s="334" t="n"/>
      <c r="Y209" s="334" t="n"/>
    </row>
    <row r="210" ht="15" customHeight="1" s="195">
      <c r="A210" s="280" t="n"/>
      <c r="B210" s="280" t="n"/>
      <c r="C210" s="280" t="n"/>
      <c r="D210" s="280" t="n"/>
      <c r="E210" s="280" t="n"/>
      <c r="F210" s="280" t="n"/>
      <c r="G210" s="280" t="n"/>
      <c r="H210" s="280" t="n"/>
      <c r="I210" s="332">
        <f>IFERROR(VLOOKUP(TEXT(H210,"0"),IPRESS!$A$3:$B$212,2,0),"")</f>
        <v/>
      </c>
      <c r="J210" s="280" t="n"/>
      <c r="K210" s="332">
        <f>IFERROR(VLOOKUP(TEXT(O210,"0"),CONDUCTORES!$A$3:$G$54,7,0),"")</f>
        <v/>
      </c>
      <c r="L210" s="280" t="n"/>
      <c r="M210" s="280" t="n"/>
      <c r="N210" s="333">
        <f>IFERROR(IF(L210*M210=0,"",L210*M210),"")</f>
        <v/>
      </c>
      <c r="O210" s="280" t="n"/>
      <c r="P210" s="332">
        <f>IFERROR(VLOOKUP(TEXT(O210,"0"),CONDUCTORES!$A$3:$G$54,2,0),"")</f>
        <v/>
      </c>
      <c r="Q210" s="332">
        <f>IFERROR(VLOOKUP(TEXT(O210,"0"),CONDUCTORES!$A$3:$H$54,6,0),"")</f>
        <v/>
      </c>
      <c r="R210" s="280" t="n"/>
      <c r="S210" s="280" t="n"/>
      <c r="T210" s="280" t="n"/>
      <c r="U210" s="280" t="n"/>
      <c r="V210" s="280" t="n"/>
      <c r="W210" s="280" t="n"/>
      <c r="X210" s="280" t="n"/>
      <c r="Y210" s="280" t="n"/>
    </row>
    <row r="211" ht="15" customHeight="1" s="195">
      <c r="A211" s="334" t="n"/>
      <c r="B211" s="334" t="n"/>
      <c r="C211" s="334" t="n"/>
      <c r="D211" s="334" t="n"/>
      <c r="E211" s="334" t="n"/>
      <c r="F211" s="334" t="n"/>
      <c r="G211" s="334" t="n"/>
      <c r="H211" s="334" t="n"/>
      <c r="I211" s="332">
        <f>IFERROR(VLOOKUP(TEXT(H211,"0"),IPRESS!$A$3:$B$212,2,0),"")</f>
        <v/>
      </c>
      <c r="J211" s="334" t="n"/>
      <c r="K211" s="332">
        <f>IFERROR(VLOOKUP(TEXT(O211,"0"),CONDUCTORES!$A$3:$G$54,7,0),"")</f>
        <v/>
      </c>
      <c r="L211" s="334" t="n"/>
      <c r="M211" s="334" t="n"/>
      <c r="N211" s="333">
        <f>IFERROR(IF(L211*M211=0,"",L211*M211),"")</f>
        <v/>
      </c>
      <c r="O211" s="334" t="n"/>
      <c r="P211" s="332">
        <f>IFERROR(VLOOKUP(TEXT(O211,"0"),CONDUCTORES!$A$3:$G$54,2,0),"")</f>
        <v/>
      </c>
      <c r="Q211" s="332">
        <f>IFERROR(VLOOKUP(TEXT(O211,"0"),CONDUCTORES!$A$3:$H$54,6,0),"")</f>
        <v/>
      </c>
      <c r="R211" s="334" t="n"/>
      <c r="S211" s="334" t="n"/>
      <c r="T211" s="334" t="n"/>
      <c r="U211" s="334" t="n"/>
      <c r="V211" s="334" t="n"/>
      <c r="W211" s="334" t="n"/>
      <c r="X211" s="334" t="n"/>
      <c r="Y211" s="334" t="n"/>
    </row>
    <row r="212" ht="15" customHeight="1" s="195">
      <c r="A212" s="280" t="n"/>
      <c r="B212" s="280" t="n"/>
      <c r="C212" s="280" t="n"/>
      <c r="D212" s="280" t="n"/>
      <c r="E212" s="280" t="n"/>
      <c r="F212" s="280" t="n"/>
      <c r="G212" s="280" t="n"/>
      <c r="H212" s="280" t="n"/>
      <c r="I212" s="332">
        <f>IFERROR(VLOOKUP(TEXT(H212,"0"),IPRESS!$A$3:$B$212,2,0),"")</f>
        <v/>
      </c>
      <c r="J212" s="280" t="n"/>
      <c r="K212" s="332">
        <f>IFERROR(VLOOKUP(TEXT(O212,"0"),CONDUCTORES!$A$3:$G$54,7,0),"")</f>
        <v/>
      </c>
      <c r="L212" s="280" t="n"/>
      <c r="M212" s="280" t="n"/>
      <c r="N212" s="333">
        <f>IFERROR(IF(L212*M212=0,"",L212*M212),"")</f>
        <v/>
      </c>
      <c r="O212" s="280" t="n"/>
      <c r="P212" s="332">
        <f>IFERROR(VLOOKUP(TEXT(O212,"0"),CONDUCTORES!$A$3:$G$54,2,0),"")</f>
        <v/>
      </c>
      <c r="Q212" s="332">
        <f>IFERROR(VLOOKUP(TEXT(O212,"0"),CONDUCTORES!$A$3:$H$54,6,0),"")</f>
        <v/>
      </c>
      <c r="R212" s="280" t="n"/>
      <c r="S212" s="280" t="n"/>
      <c r="T212" s="280" t="n"/>
      <c r="U212" s="280" t="n"/>
      <c r="V212" s="280" t="n"/>
      <c r="W212" s="280" t="n"/>
      <c r="X212" s="280" t="n"/>
      <c r="Y212" s="280" t="n"/>
    </row>
    <row r="213" ht="15" customHeight="1" s="195">
      <c r="A213" s="334" t="n"/>
      <c r="B213" s="334" t="n"/>
      <c r="C213" s="334" t="n"/>
      <c r="D213" s="334" t="n"/>
      <c r="E213" s="334" t="n"/>
      <c r="F213" s="334" t="n"/>
      <c r="G213" s="334" t="n"/>
      <c r="H213" s="334" t="n"/>
      <c r="I213" s="332">
        <f>IFERROR(VLOOKUP(TEXT(H213,"0"),IPRESS!$A$3:$B$212,2,0),"")</f>
        <v/>
      </c>
      <c r="J213" s="334" t="n"/>
      <c r="K213" s="332">
        <f>IFERROR(VLOOKUP(TEXT(O213,"0"),CONDUCTORES!$A$3:$G$54,7,0),"")</f>
        <v/>
      </c>
      <c r="L213" s="334" t="n"/>
      <c r="M213" s="334" t="n"/>
      <c r="N213" s="333">
        <f>IFERROR(IF(L213*M213=0,"",L213*M213),"")</f>
        <v/>
      </c>
      <c r="O213" s="334" t="n"/>
      <c r="P213" s="332">
        <f>IFERROR(VLOOKUP(TEXT(O213,"0"),CONDUCTORES!$A$3:$G$54,2,0),"")</f>
        <v/>
      </c>
      <c r="Q213" s="332">
        <f>IFERROR(VLOOKUP(TEXT(O213,"0"),CONDUCTORES!$A$3:$H$54,6,0),"")</f>
        <v/>
      </c>
      <c r="R213" s="334" t="n"/>
      <c r="S213" s="334" t="n"/>
      <c r="T213" s="334" t="n"/>
      <c r="U213" s="334" t="n"/>
      <c r="V213" s="334" t="n"/>
      <c r="W213" s="334" t="n"/>
      <c r="X213" s="334" t="n"/>
      <c r="Y213" s="334" t="n"/>
    </row>
    <row r="214" ht="15" customHeight="1" s="195">
      <c r="A214" s="280" t="n"/>
      <c r="B214" s="280" t="n"/>
      <c r="C214" s="280" t="n"/>
      <c r="D214" s="280" t="n"/>
      <c r="E214" s="280" t="n"/>
      <c r="F214" s="280" t="n"/>
      <c r="G214" s="280" t="n"/>
      <c r="H214" s="280" t="n"/>
      <c r="I214" s="332">
        <f>IFERROR(VLOOKUP(TEXT(H214,"0"),IPRESS!$A$3:$B$212,2,0),"")</f>
        <v/>
      </c>
      <c r="J214" s="280" t="n"/>
      <c r="K214" s="332">
        <f>IFERROR(VLOOKUP(TEXT(O214,"0"),CONDUCTORES!$A$3:$G$54,7,0),"")</f>
        <v/>
      </c>
      <c r="L214" s="280" t="n"/>
      <c r="M214" s="280" t="n"/>
      <c r="N214" s="333">
        <f>IFERROR(IF(L214*M214=0,"",L214*M214),"")</f>
        <v/>
      </c>
      <c r="O214" s="280" t="n"/>
      <c r="P214" s="332">
        <f>IFERROR(VLOOKUP(TEXT(O214,"0"),CONDUCTORES!$A$3:$G$54,2,0),"")</f>
        <v/>
      </c>
      <c r="Q214" s="332">
        <f>IFERROR(VLOOKUP(TEXT(O214,"0"),CONDUCTORES!$A$3:$H$54,6,0),"")</f>
        <v/>
      </c>
      <c r="R214" s="280" t="n"/>
      <c r="S214" s="280" t="n"/>
      <c r="T214" s="280" t="n"/>
      <c r="U214" s="280" t="n"/>
      <c r="V214" s="280" t="n"/>
      <c r="W214" s="280" t="n"/>
      <c r="X214" s="280" t="n"/>
      <c r="Y214" s="280" t="n"/>
    </row>
    <row r="215" ht="15" customHeight="1" s="195">
      <c r="A215" s="334" t="n"/>
      <c r="B215" s="334" t="n"/>
      <c r="C215" s="334" t="n"/>
      <c r="D215" s="334" t="n"/>
      <c r="E215" s="334" t="n"/>
      <c r="F215" s="334" t="n"/>
      <c r="G215" s="334" t="n"/>
      <c r="H215" s="334" t="n"/>
      <c r="I215" s="332">
        <f>IFERROR(VLOOKUP(TEXT(H215,"0"),IPRESS!$A$3:$B$212,2,0),"")</f>
        <v/>
      </c>
      <c r="J215" s="334" t="n"/>
      <c r="K215" s="332">
        <f>IFERROR(VLOOKUP(TEXT(O215,"0"),CONDUCTORES!$A$3:$G$54,7,0),"")</f>
        <v/>
      </c>
      <c r="L215" s="334" t="n"/>
      <c r="M215" s="334" t="n"/>
      <c r="N215" s="333">
        <f>IFERROR(IF(L215*M215=0,"",L215*M215),"")</f>
        <v/>
      </c>
      <c r="O215" s="334" t="n"/>
      <c r="P215" s="332">
        <f>IFERROR(VLOOKUP(TEXT(O215,"0"),CONDUCTORES!$A$3:$G$54,2,0),"")</f>
        <v/>
      </c>
      <c r="Q215" s="332">
        <f>IFERROR(VLOOKUP(TEXT(O215,"0"),CONDUCTORES!$A$3:$H$54,6,0),"")</f>
        <v/>
      </c>
      <c r="R215" s="334" t="n"/>
      <c r="S215" s="334" t="n"/>
      <c r="T215" s="334" t="n"/>
      <c r="U215" s="334" t="n"/>
      <c r="V215" s="334" t="n"/>
      <c r="W215" s="334" t="n"/>
      <c r="X215" s="334" t="n"/>
      <c r="Y215" s="334" t="n"/>
    </row>
    <row r="216" ht="15" customHeight="1" s="195">
      <c r="A216" s="280" t="n"/>
      <c r="B216" s="280" t="n"/>
      <c r="C216" s="280" t="n"/>
      <c r="D216" s="280" t="n"/>
      <c r="E216" s="280" t="n"/>
      <c r="F216" s="280" t="n"/>
      <c r="G216" s="280" t="n"/>
      <c r="H216" s="280" t="n"/>
      <c r="I216" s="332">
        <f>IFERROR(VLOOKUP(TEXT(H216,"0"),IPRESS!$A$3:$B$212,2,0),"")</f>
        <v/>
      </c>
      <c r="J216" s="280" t="n"/>
      <c r="K216" s="332">
        <f>IFERROR(VLOOKUP(TEXT(O216,"0"),CONDUCTORES!$A$3:$G$54,7,0),"")</f>
        <v/>
      </c>
      <c r="L216" s="280" t="n"/>
      <c r="M216" s="280" t="n"/>
      <c r="N216" s="333">
        <f>IFERROR(IF(L216*M216=0,"",L216*M216),"")</f>
        <v/>
      </c>
      <c r="O216" s="280" t="n"/>
      <c r="P216" s="332">
        <f>IFERROR(VLOOKUP(TEXT(O216,"0"),CONDUCTORES!$A$3:$G$54,2,0),"")</f>
        <v/>
      </c>
      <c r="Q216" s="332">
        <f>IFERROR(VLOOKUP(TEXT(O216,"0"),CONDUCTORES!$A$3:$H$54,6,0),"")</f>
        <v/>
      </c>
      <c r="R216" s="280" t="n"/>
      <c r="S216" s="280" t="n"/>
      <c r="T216" s="280" t="n"/>
      <c r="U216" s="280" t="n"/>
      <c r="V216" s="280" t="n"/>
      <c r="W216" s="280" t="n"/>
      <c r="X216" s="280" t="n"/>
      <c r="Y216" s="280" t="n"/>
    </row>
    <row r="217" ht="15" customHeight="1" s="195">
      <c r="A217" s="334" t="n"/>
      <c r="B217" s="334" t="n"/>
      <c r="C217" s="334" t="n"/>
      <c r="D217" s="334" t="n"/>
      <c r="E217" s="334" t="n"/>
      <c r="F217" s="334" t="n"/>
      <c r="G217" s="334" t="n"/>
      <c r="H217" s="334" t="n"/>
      <c r="I217" s="332">
        <f>IFERROR(VLOOKUP(TEXT(H217,"0"),IPRESS!$A$3:$B$212,2,0),"")</f>
        <v/>
      </c>
      <c r="J217" s="334" t="n"/>
      <c r="K217" s="332">
        <f>IFERROR(VLOOKUP(TEXT(O217,"0"),CONDUCTORES!$A$3:$G$54,7,0),"")</f>
        <v/>
      </c>
      <c r="L217" s="334" t="n"/>
      <c r="M217" s="334" t="n"/>
      <c r="N217" s="333">
        <f>IFERROR(IF(L217*M217=0,"",L217*M217),"")</f>
        <v/>
      </c>
      <c r="O217" s="334" t="n"/>
      <c r="P217" s="332">
        <f>IFERROR(VLOOKUP(TEXT(O217,"0"),CONDUCTORES!$A$3:$G$54,2,0),"")</f>
        <v/>
      </c>
      <c r="Q217" s="332">
        <f>IFERROR(VLOOKUP(TEXT(O217,"0"),CONDUCTORES!$A$3:$H$54,6,0),"")</f>
        <v/>
      </c>
      <c r="R217" s="334" t="n"/>
      <c r="S217" s="334" t="n"/>
      <c r="T217" s="334" t="n"/>
      <c r="U217" s="334" t="n"/>
      <c r="V217" s="334" t="n"/>
      <c r="W217" s="334" t="n"/>
      <c r="X217" s="334" t="n"/>
      <c r="Y217" s="334" t="n"/>
    </row>
    <row r="218" ht="15" customHeight="1" s="195">
      <c r="A218" s="280" t="n"/>
      <c r="B218" s="280" t="n"/>
      <c r="C218" s="280" t="n"/>
      <c r="D218" s="280" t="n"/>
      <c r="E218" s="280" t="n"/>
      <c r="F218" s="280" t="n"/>
      <c r="G218" s="280" t="n"/>
      <c r="H218" s="280" t="n"/>
      <c r="I218" s="332">
        <f>IFERROR(VLOOKUP(TEXT(H218,"0"),IPRESS!$A$3:$B$212,2,0),"")</f>
        <v/>
      </c>
      <c r="J218" s="280" t="n"/>
      <c r="K218" s="332">
        <f>IFERROR(VLOOKUP(TEXT(O218,"0"),CONDUCTORES!$A$3:$G$54,7,0),"")</f>
        <v/>
      </c>
      <c r="L218" s="280" t="n"/>
      <c r="M218" s="280" t="n"/>
      <c r="N218" s="333">
        <f>IFERROR(IF(L218*M218=0,"",L218*M218),"")</f>
        <v/>
      </c>
      <c r="O218" s="280" t="n"/>
      <c r="P218" s="332">
        <f>IFERROR(VLOOKUP(TEXT(O218,"0"),CONDUCTORES!$A$3:$G$54,2,0),"")</f>
        <v/>
      </c>
      <c r="Q218" s="332">
        <f>IFERROR(VLOOKUP(TEXT(O218,"0"),CONDUCTORES!$A$3:$H$54,6,0),"")</f>
        <v/>
      </c>
      <c r="R218" s="280" t="n"/>
      <c r="S218" s="280" t="n"/>
      <c r="T218" s="280" t="n"/>
      <c r="U218" s="280" t="n"/>
      <c r="V218" s="280" t="n"/>
      <c r="W218" s="280" t="n"/>
      <c r="X218" s="280" t="n"/>
      <c r="Y218" s="280" t="n"/>
    </row>
    <row r="219" ht="15" customHeight="1" s="195">
      <c r="A219" s="334" t="n"/>
      <c r="B219" s="334" t="n"/>
      <c r="C219" s="334" t="n"/>
      <c r="D219" s="334" t="n"/>
      <c r="E219" s="334" t="n"/>
      <c r="F219" s="334" t="n"/>
      <c r="G219" s="334" t="n"/>
      <c r="H219" s="334" t="n"/>
      <c r="I219" s="332">
        <f>IFERROR(VLOOKUP(TEXT(H219,"0"),IPRESS!$A$3:$B$212,2,0),"")</f>
        <v/>
      </c>
      <c r="J219" s="334" t="n"/>
      <c r="K219" s="332">
        <f>IFERROR(VLOOKUP(TEXT(O219,"0"),CONDUCTORES!$A$3:$G$54,7,0),"")</f>
        <v/>
      </c>
      <c r="L219" s="334" t="n"/>
      <c r="M219" s="334" t="n"/>
      <c r="N219" s="333">
        <f>IFERROR(IF(L219*M219=0,"",L219*M219),"")</f>
        <v/>
      </c>
      <c r="O219" s="334" t="n"/>
      <c r="P219" s="332">
        <f>IFERROR(VLOOKUP(TEXT(O219,"0"),CONDUCTORES!$A$3:$G$54,2,0),"")</f>
        <v/>
      </c>
      <c r="Q219" s="332">
        <f>IFERROR(VLOOKUP(TEXT(O219,"0"),CONDUCTORES!$A$3:$H$54,6,0),"")</f>
        <v/>
      </c>
      <c r="R219" s="334" t="n"/>
      <c r="S219" s="334" t="n"/>
      <c r="T219" s="334" t="n"/>
      <c r="U219" s="334" t="n"/>
      <c r="V219" s="334" t="n"/>
      <c r="W219" s="334" t="n"/>
      <c r="X219" s="334" t="n"/>
      <c r="Y219" s="334" t="n"/>
    </row>
    <row r="220" ht="15" customHeight="1" s="195">
      <c r="A220" s="280" t="n"/>
      <c r="B220" s="280" t="n"/>
      <c r="C220" s="280" t="n"/>
      <c r="D220" s="280" t="n"/>
      <c r="E220" s="280" t="n"/>
      <c r="F220" s="280" t="n"/>
      <c r="G220" s="280" t="n"/>
      <c r="H220" s="280" t="n"/>
      <c r="I220" s="332">
        <f>IFERROR(VLOOKUP(TEXT(H220,"0"),IPRESS!$A$3:$B$212,2,0),"")</f>
        <v/>
      </c>
      <c r="J220" s="280" t="n"/>
      <c r="K220" s="332">
        <f>IFERROR(VLOOKUP(TEXT(O220,"0"),CONDUCTORES!$A$3:$G$54,7,0),"")</f>
        <v/>
      </c>
      <c r="L220" s="280" t="n"/>
      <c r="M220" s="280" t="n"/>
      <c r="N220" s="333">
        <f>IFERROR(IF(L220*M220=0,"",L220*M220),"")</f>
        <v/>
      </c>
      <c r="O220" s="280" t="n"/>
      <c r="P220" s="332">
        <f>IFERROR(VLOOKUP(TEXT(O220,"0"),CONDUCTORES!$A$3:$G$54,2,0),"")</f>
        <v/>
      </c>
      <c r="Q220" s="332">
        <f>IFERROR(VLOOKUP(TEXT(O220,"0"),CONDUCTORES!$A$3:$H$54,6,0),"")</f>
        <v/>
      </c>
      <c r="R220" s="280" t="n"/>
      <c r="S220" s="280" t="n"/>
      <c r="T220" s="280" t="n"/>
      <c r="U220" s="280" t="n"/>
      <c r="V220" s="280" t="n"/>
      <c r="W220" s="280" t="n"/>
      <c r="X220" s="280" t="n"/>
      <c r="Y220" s="280" t="n"/>
    </row>
    <row r="221" ht="15" customHeight="1" s="195">
      <c r="A221" s="334" t="n"/>
      <c r="B221" s="334" t="n"/>
      <c r="C221" s="334" t="n"/>
      <c r="D221" s="334" t="n"/>
      <c r="E221" s="334" t="n"/>
      <c r="F221" s="334" t="n"/>
      <c r="G221" s="334" t="n"/>
      <c r="H221" s="334" t="n"/>
      <c r="I221" s="332">
        <f>IFERROR(VLOOKUP(TEXT(H221,"0"),IPRESS!$A$3:$B$212,2,0),"")</f>
        <v/>
      </c>
      <c r="J221" s="334" t="n"/>
      <c r="K221" s="332">
        <f>IFERROR(VLOOKUP(TEXT(O221,"0"),CONDUCTORES!$A$3:$G$54,7,0),"")</f>
        <v/>
      </c>
      <c r="L221" s="334" t="n"/>
      <c r="M221" s="334" t="n"/>
      <c r="N221" s="333">
        <f>IFERROR(IF(L221*M221=0,"",L221*M221),"")</f>
        <v/>
      </c>
      <c r="O221" s="334" t="n"/>
      <c r="P221" s="332">
        <f>IFERROR(VLOOKUP(TEXT(O221,"0"),CONDUCTORES!$A$3:$G$54,2,0),"")</f>
        <v/>
      </c>
      <c r="Q221" s="332">
        <f>IFERROR(VLOOKUP(TEXT(O221,"0"),CONDUCTORES!$A$3:$H$54,6,0),"")</f>
        <v/>
      </c>
      <c r="R221" s="334" t="n"/>
      <c r="S221" s="334" t="n"/>
      <c r="T221" s="334" t="n"/>
      <c r="U221" s="334" t="n"/>
      <c r="V221" s="334" t="n"/>
      <c r="W221" s="334" t="n"/>
      <c r="X221" s="334" t="n"/>
      <c r="Y221" s="334" t="n"/>
    </row>
    <row r="222" ht="15" customHeight="1" s="195">
      <c r="A222" s="280" t="n"/>
      <c r="B222" s="280" t="n"/>
      <c r="C222" s="280" t="n"/>
      <c r="D222" s="280" t="n"/>
      <c r="E222" s="280" t="n"/>
      <c r="F222" s="280" t="n"/>
      <c r="G222" s="280" t="n"/>
      <c r="H222" s="280" t="n"/>
      <c r="I222" s="332">
        <f>IFERROR(VLOOKUP(TEXT(H222,"0"),IPRESS!$A$3:$B$212,2,0),"")</f>
        <v/>
      </c>
      <c r="J222" s="280" t="n"/>
      <c r="K222" s="332">
        <f>IFERROR(VLOOKUP(TEXT(O222,"0"),CONDUCTORES!$A$3:$G$54,7,0),"")</f>
        <v/>
      </c>
      <c r="L222" s="280" t="n"/>
      <c r="M222" s="280" t="n"/>
      <c r="N222" s="333">
        <f>IFERROR(IF(L222*M222=0,"",L222*M222),"")</f>
        <v/>
      </c>
      <c r="O222" s="280" t="n"/>
      <c r="P222" s="332">
        <f>IFERROR(VLOOKUP(TEXT(O222,"0"),CONDUCTORES!$A$3:$G$54,2,0),"")</f>
        <v/>
      </c>
      <c r="Q222" s="332">
        <f>IFERROR(VLOOKUP(TEXT(O222,"0"),CONDUCTORES!$A$3:$H$54,6,0),"")</f>
        <v/>
      </c>
      <c r="R222" s="280" t="n"/>
      <c r="S222" s="280" t="n"/>
      <c r="T222" s="280" t="n"/>
      <c r="U222" s="280" t="n"/>
      <c r="V222" s="280" t="n"/>
      <c r="W222" s="280" t="n"/>
      <c r="X222" s="280" t="n"/>
      <c r="Y222" s="280" t="n"/>
    </row>
    <row r="223" ht="15" customHeight="1" s="195">
      <c r="A223" s="334" t="n"/>
      <c r="B223" s="334" t="n"/>
      <c r="C223" s="334" t="n"/>
      <c r="D223" s="334" t="n"/>
      <c r="E223" s="334" t="n"/>
      <c r="F223" s="334" t="n"/>
      <c r="G223" s="334" t="n"/>
      <c r="H223" s="334" t="n"/>
      <c r="I223" s="332">
        <f>IFERROR(VLOOKUP(TEXT(H223,"0"),IPRESS!$A$3:$B$212,2,0),"")</f>
        <v/>
      </c>
      <c r="J223" s="334" t="n"/>
      <c r="K223" s="332">
        <f>IFERROR(VLOOKUP(TEXT(O223,"0"),CONDUCTORES!$A$3:$G$54,7,0),"")</f>
        <v/>
      </c>
      <c r="L223" s="334" t="n"/>
      <c r="M223" s="334" t="n"/>
      <c r="N223" s="333">
        <f>IFERROR(IF(L223*M223=0,"",L223*M223),"")</f>
        <v/>
      </c>
      <c r="O223" s="334" t="n"/>
      <c r="P223" s="332">
        <f>IFERROR(VLOOKUP(TEXT(O223,"0"),CONDUCTORES!$A$3:$G$54,2,0),"")</f>
        <v/>
      </c>
      <c r="Q223" s="332">
        <f>IFERROR(VLOOKUP(TEXT(O223,"0"),CONDUCTORES!$A$3:$H$54,6,0),"")</f>
        <v/>
      </c>
      <c r="R223" s="334" t="n"/>
      <c r="S223" s="334" t="n"/>
      <c r="T223" s="334" t="n"/>
      <c r="U223" s="334" t="n"/>
      <c r="V223" s="334" t="n"/>
      <c r="W223" s="334" t="n"/>
      <c r="X223" s="334" t="n"/>
      <c r="Y223" s="334" t="n"/>
    </row>
    <row r="224" ht="15" customHeight="1" s="195">
      <c r="A224" s="280" t="n"/>
      <c r="B224" s="280" t="n"/>
      <c r="C224" s="280" t="n"/>
      <c r="D224" s="280" t="n"/>
      <c r="E224" s="280" t="n"/>
      <c r="F224" s="280" t="n"/>
      <c r="G224" s="280" t="n"/>
      <c r="H224" s="280" t="n"/>
      <c r="I224" s="332">
        <f>IFERROR(VLOOKUP(TEXT(H224,"0"),IPRESS!$A$3:$B$212,2,0),"")</f>
        <v/>
      </c>
      <c r="J224" s="280" t="n"/>
      <c r="K224" s="332">
        <f>IFERROR(VLOOKUP(TEXT(O224,"0"),CONDUCTORES!$A$3:$G$54,7,0),"")</f>
        <v/>
      </c>
      <c r="L224" s="280" t="n"/>
      <c r="M224" s="280" t="n"/>
      <c r="N224" s="333">
        <f>IFERROR(IF(L224*M224=0,"",L224*M224),"")</f>
        <v/>
      </c>
      <c r="O224" s="280" t="n"/>
      <c r="P224" s="332">
        <f>IFERROR(VLOOKUP(TEXT(O224,"0"),CONDUCTORES!$A$3:$G$54,2,0),"")</f>
        <v/>
      </c>
      <c r="Q224" s="332">
        <f>IFERROR(VLOOKUP(TEXT(O224,"0"),CONDUCTORES!$A$3:$H$54,6,0),"")</f>
        <v/>
      </c>
      <c r="R224" s="280" t="n"/>
      <c r="S224" s="280" t="n"/>
      <c r="T224" s="280" t="n"/>
      <c r="U224" s="280" t="n"/>
      <c r="V224" s="280" t="n"/>
      <c r="W224" s="280" t="n"/>
      <c r="X224" s="280" t="n"/>
      <c r="Y224" s="280" t="n"/>
    </row>
    <row r="225" ht="15" customHeight="1" s="195">
      <c r="A225" s="334" t="n"/>
      <c r="B225" s="334" t="n"/>
      <c r="C225" s="334" t="n"/>
      <c r="D225" s="334" t="n"/>
      <c r="E225" s="334" t="n"/>
      <c r="F225" s="334" t="n"/>
      <c r="G225" s="334" t="n"/>
      <c r="H225" s="334" t="n"/>
      <c r="I225" s="332">
        <f>IFERROR(VLOOKUP(TEXT(H225,"0"),IPRESS!$A$3:$B$212,2,0),"")</f>
        <v/>
      </c>
      <c r="J225" s="334" t="n"/>
      <c r="K225" s="332">
        <f>IFERROR(VLOOKUP(TEXT(O225,"0"),CONDUCTORES!$A$3:$G$54,7,0),"")</f>
        <v/>
      </c>
      <c r="L225" s="334" t="n"/>
      <c r="M225" s="334" t="n"/>
      <c r="N225" s="333">
        <f>IFERROR(IF(L225*M225=0,"",L225*M225),"")</f>
        <v/>
      </c>
      <c r="O225" s="334" t="n"/>
      <c r="P225" s="332">
        <f>IFERROR(VLOOKUP(TEXT(O225,"0"),CONDUCTORES!$A$3:$G$54,2,0),"")</f>
        <v/>
      </c>
      <c r="Q225" s="332">
        <f>IFERROR(VLOOKUP(TEXT(O225,"0"),CONDUCTORES!$A$3:$H$54,6,0),"")</f>
        <v/>
      </c>
      <c r="R225" s="334" t="n"/>
      <c r="S225" s="334" t="n"/>
      <c r="T225" s="334" t="n"/>
      <c r="U225" s="334" t="n"/>
      <c r="V225" s="334" t="n"/>
      <c r="W225" s="334" t="n"/>
      <c r="X225" s="334" t="n"/>
      <c r="Y225" s="334" t="n"/>
    </row>
    <row r="226" ht="15" customHeight="1" s="195">
      <c r="A226" s="280" t="n"/>
      <c r="B226" s="280" t="n"/>
      <c r="C226" s="280" t="n"/>
      <c r="D226" s="280" t="n"/>
      <c r="E226" s="280" t="n"/>
      <c r="F226" s="280" t="n"/>
      <c r="G226" s="280" t="n"/>
      <c r="H226" s="280" t="n"/>
      <c r="I226" s="332">
        <f>IFERROR(VLOOKUP(TEXT(H226,"0"),IPRESS!$A$3:$B$212,2,0),"")</f>
        <v/>
      </c>
      <c r="J226" s="280" t="n"/>
      <c r="K226" s="332">
        <f>IFERROR(VLOOKUP(TEXT(O226,"0"),CONDUCTORES!$A$3:$G$54,7,0),"")</f>
        <v/>
      </c>
      <c r="L226" s="280" t="n"/>
      <c r="M226" s="280" t="n"/>
      <c r="N226" s="333">
        <f>IFERROR(IF(L226*M226=0,"",L226*M226),"")</f>
        <v/>
      </c>
      <c r="O226" s="280" t="n"/>
      <c r="P226" s="332">
        <f>IFERROR(VLOOKUP(TEXT(O226,"0"),CONDUCTORES!$A$3:$G$54,2,0),"")</f>
        <v/>
      </c>
      <c r="Q226" s="332">
        <f>IFERROR(VLOOKUP(TEXT(O226,"0"),CONDUCTORES!$A$3:$H$54,6,0),"")</f>
        <v/>
      </c>
      <c r="R226" s="280" t="n"/>
      <c r="S226" s="280" t="n"/>
      <c r="T226" s="280" t="n"/>
      <c r="U226" s="280" t="n"/>
      <c r="V226" s="280" t="n"/>
      <c r="W226" s="280" t="n"/>
      <c r="X226" s="280" t="n"/>
      <c r="Y226" s="280" t="n"/>
    </row>
    <row r="227" ht="15" customHeight="1" s="195">
      <c r="A227" s="334" t="n"/>
      <c r="B227" s="334" t="n"/>
      <c r="C227" s="334" t="n"/>
      <c r="D227" s="334" t="n"/>
      <c r="E227" s="334" t="n"/>
      <c r="F227" s="334" t="n"/>
      <c r="G227" s="334" t="n"/>
      <c r="H227" s="334" t="n"/>
      <c r="I227" s="332">
        <f>IFERROR(VLOOKUP(TEXT(H227,"0"),IPRESS!$A$3:$B$212,2,0),"")</f>
        <v/>
      </c>
      <c r="J227" s="334" t="n"/>
      <c r="K227" s="332">
        <f>IFERROR(VLOOKUP(TEXT(O227,"0"),CONDUCTORES!$A$3:$G$54,7,0),"")</f>
        <v/>
      </c>
      <c r="L227" s="334" t="n"/>
      <c r="M227" s="334" t="n"/>
      <c r="N227" s="333">
        <f>IFERROR(IF(L227*M227=0,"",L227*M227),"")</f>
        <v/>
      </c>
      <c r="O227" s="334" t="n"/>
      <c r="P227" s="332">
        <f>IFERROR(VLOOKUP(TEXT(O227,"0"),CONDUCTORES!$A$3:$G$54,2,0),"")</f>
        <v/>
      </c>
      <c r="Q227" s="332">
        <f>IFERROR(VLOOKUP(TEXT(O227,"0"),CONDUCTORES!$A$3:$H$54,6,0),"")</f>
        <v/>
      </c>
      <c r="R227" s="334" t="n"/>
      <c r="S227" s="334" t="n"/>
      <c r="T227" s="334" t="n"/>
      <c r="U227" s="334" t="n"/>
      <c r="V227" s="334" t="n"/>
      <c r="W227" s="334" t="n"/>
      <c r="X227" s="334" t="n"/>
      <c r="Y227" s="334" t="n"/>
    </row>
    <row r="228" ht="15" customHeight="1" s="195">
      <c r="A228" s="280" t="n"/>
      <c r="B228" s="280" t="n"/>
      <c r="C228" s="280" t="n"/>
      <c r="D228" s="280" t="n"/>
      <c r="E228" s="280" t="n"/>
      <c r="F228" s="280" t="n"/>
      <c r="G228" s="280" t="n"/>
      <c r="H228" s="280" t="n"/>
      <c r="I228" s="332">
        <f>IFERROR(VLOOKUP(TEXT(H228,"0"),IPRESS!$A$3:$B$212,2,0),"")</f>
        <v/>
      </c>
      <c r="J228" s="280" t="n"/>
      <c r="K228" s="332">
        <f>IFERROR(VLOOKUP(TEXT(O228,"0"),CONDUCTORES!$A$3:$G$54,7,0),"")</f>
        <v/>
      </c>
      <c r="L228" s="280" t="n"/>
      <c r="M228" s="280" t="n"/>
      <c r="N228" s="333">
        <f>IFERROR(IF(L228*M228=0,"",L228*M228),"")</f>
        <v/>
      </c>
      <c r="O228" s="280" t="n"/>
      <c r="P228" s="332">
        <f>IFERROR(VLOOKUP(TEXT(O228,"0"),CONDUCTORES!$A$3:$G$54,2,0),"")</f>
        <v/>
      </c>
      <c r="Q228" s="332">
        <f>IFERROR(VLOOKUP(TEXT(O228,"0"),CONDUCTORES!$A$3:$H$54,6,0),"")</f>
        <v/>
      </c>
      <c r="R228" s="280" t="n"/>
      <c r="S228" s="280" t="n"/>
      <c r="T228" s="280" t="n"/>
      <c r="U228" s="280" t="n"/>
      <c r="V228" s="280" t="n"/>
      <c r="W228" s="280" t="n"/>
      <c r="X228" s="280" t="n"/>
      <c r="Y228" s="280" t="n"/>
    </row>
    <row r="229" ht="15" customHeight="1" s="195">
      <c r="A229" s="334" t="n"/>
      <c r="B229" s="334" t="n"/>
      <c r="C229" s="334" t="n"/>
      <c r="D229" s="334" t="n"/>
      <c r="E229" s="334" t="n"/>
      <c r="F229" s="334" t="n"/>
      <c r="G229" s="334" t="n"/>
      <c r="H229" s="334" t="n"/>
      <c r="I229" s="332">
        <f>IFERROR(VLOOKUP(TEXT(H229,"0"),IPRESS!$A$3:$B$212,2,0),"")</f>
        <v/>
      </c>
      <c r="J229" s="334" t="n"/>
      <c r="K229" s="332">
        <f>IFERROR(VLOOKUP(TEXT(O229,"0"),CONDUCTORES!$A$3:$G$54,7,0),"")</f>
        <v/>
      </c>
      <c r="L229" s="334" t="n"/>
      <c r="M229" s="334" t="n"/>
      <c r="N229" s="333">
        <f>IFERROR(IF(L229*M229=0,"",L229*M229),"")</f>
        <v/>
      </c>
      <c r="O229" s="334" t="n"/>
      <c r="P229" s="332">
        <f>IFERROR(VLOOKUP(TEXT(O229,"0"),CONDUCTORES!$A$3:$G$54,2,0),"")</f>
        <v/>
      </c>
      <c r="Q229" s="332">
        <f>IFERROR(VLOOKUP(TEXT(O229,"0"),CONDUCTORES!$A$3:$H$54,6,0),"")</f>
        <v/>
      </c>
      <c r="R229" s="334" t="n"/>
      <c r="S229" s="334" t="n"/>
      <c r="T229" s="334" t="n"/>
      <c r="U229" s="334" t="n"/>
      <c r="V229" s="334" t="n"/>
      <c r="W229" s="334" t="n"/>
      <c r="X229" s="334" t="n"/>
      <c r="Y229" s="334" t="n"/>
    </row>
    <row r="230" ht="15" customHeight="1" s="195">
      <c r="A230" s="280" t="n"/>
      <c r="B230" s="280" t="n"/>
      <c r="C230" s="280" t="n"/>
      <c r="D230" s="280" t="n"/>
      <c r="E230" s="280" t="n"/>
      <c r="F230" s="280" t="n"/>
      <c r="G230" s="280" t="n"/>
      <c r="H230" s="280" t="n"/>
      <c r="I230" s="332">
        <f>IFERROR(VLOOKUP(TEXT(H230,"0"),IPRESS!$A$3:$B$212,2,0),"")</f>
        <v/>
      </c>
      <c r="J230" s="280" t="n"/>
      <c r="K230" s="332">
        <f>IFERROR(VLOOKUP(TEXT(O230,"0"),CONDUCTORES!$A$3:$G$54,7,0),"")</f>
        <v/>
      </c>
      <c r="L230" s="280" t="n"/>
      <c r="M230" s="280" t="n"/>
      <c r="N230" s="333">
        <f>IFERROR(IF(L230*M230=0,"",L230*M230),"")</f>
        <v/>
      </c>
      <c r="O230" s="280" t="n"/>
      <c r="P230" s="332">
        <f>IFERROR(VLOOKUP(TEXT(O230,"0"),CONDUCTORES!$A$3:$G$54,2,0),"")</f>
        <v/>
      </c>
      <c r="Q230" s="332">
        <f>IFERROR(VLOOKUP(TEXT(O230,"0"),CONDUCTORES!$A$3:$H$54,6,0),"")</f>
        <v/>
      </c>
      <c r="R230" s="280" t="n"/>
      <c r="S230" s="280" t="n"/>
      <c r="T230" s="280" t="n"/>
      <c r="U230" s="280" t="n"/>
      <c r="V230" s="280" t="n"/>
      <c r="W230" s="280" t="n"/>
      <c r="X230" s="280" t="n"/>
      <c r="Y230" s="280" t="n"/>
    </row>
    <row r="231" ht="15" customHeight="1" s="195">
      <c r="A231" s="334" t="n"/>
      <c r="B231" s="334" t="n"/>
      <c r="C231" s="334" t="n"/>
      <c r="D231" s="334" t="n"/>
      <c r="E231" s="334" t="n"/>
      <c r="F231" s="334" t="n"/>
      <c r="G231" s="334" t="n"/>
      <c r="H231" s="334" t="n"/>
      <c r="I231" s="332">
        <f>IFERROR(VLOOKUP(TEXT(H231,"0"),IPRESS!$A$3:$B$212,2,0),"")</f>
        <v/>
      </c>
      <c r="J231" s="334" t="n"/>
      <c r="K231" s="332">
        <f>IFERROR(VLOOKUP(TEXT(O231,"0"),CONDUCTORES!$A$3:$G$54,7,0),"")</f>
        <v/>
      </c>
      <c r="L231" s="334" t="n"/>
      <c r="M231" s="334" t="n"/>
      <c r="N231" s="333">
        <f>IFERROR(IF(L231*M231=0,"",L231*M231),"")</f>
        <v/>
      </c>
      <c r="O231" s="334" t="n"/>
      <c r="P231" s="332">
        <f>IFERROR(VLOOKUP(TEXT(O231,"0"),CONDUCTORES!$A$3:$G$54,2,0),"")</f>
        <v/>
      </c>
      <c r="Q231" s="332">
        <f>IFERROR(VLOOKUP(TEXT(O231,"0"),CONDUCTORES!$A$3:$H$54,6,0),"")</f>
        <v/>
      </c>
      <c r="R231" s="334" t="n"/>
      <c r="S231" s="334" t="n"/>
      <c r="T231" s="334" t="n"/>
      <c r="U231" s="334" t="n"/>
      <c r="V231" s="334" t="n"/>
      <c r="W231" s="334" t="n"/>
      <c r="X231" s="334" t="n"/>
      <c r="Y231" s="334" t="n"/>
    </row>
    <row r="232" ht="15" customHeight="1" s="195">
      <c r="A232" s="280" t="n"/>
      <c r="B232" s="280" t="n"/>
      <c r="C232" s="280" t="n"/>
      <c r="D232" s="280" t="n"/>
      <c r="E232" s="280" t="n"/>
      <c r="F232" s="280" t="n"/>
      <c r="G232" s="280" t="n"/>
      <c r="H232" s="280" t="n"/>
      <c r="I232" s="332">
        <f>IFERROR(VLOOKUP(TEXT(H232,"0"),IPRESS!$A$3:$B$212,2,0),"")</f>
        <v/>
      </c>
      <c r="J232" s="280" t="n"/>
      <c r="K232" s="332">
        <f>IFERROR(VLOOKUP(TEXT(O232,"0"),CONDUCTORES!$A$3:$G$54,7,0),"")</f>
        <v/>
      </c>
      <c r="L232" s="280" t="n"/>
      <c r="M232" s="280" t="n"/>
      <c r="N232" s="333">
        <f>IFERROR(IF(L232*M232=0,"",L232*M232),"")</f>
        <v/>
      </c>
      <c r="O232" s="280" t="n"/>
      <c r="P232" s="332">
        <f>IFERROR(VLOOKUP(TEXT(O232,"0"),CONDUCTORES!$A$3:$G$54,2,0),"")</f>
        <v/>
      </c>
      <c r="Q232" s="332">
        <f>IFERROR(VLOOKUP(TEXT(O232,"0"),CONDUCTORES!$A$3:$H$54,6,0),"")</f>
        <v/>
      </c>
      <c r="R232" s="280" t="n"/>
      <c r="S232" s="280" t="n"/>
      <c r="T232" s="280" t="n"/>
      <c r="U232" s="280" t="n"/>
      <c r="V232" s="280" t="n"/>
      <c r="W232" s="280" t="n"/>
      <c r="X232" s="280" t="n"/>
      <c r="Y232" s="280" t="n"/>
    </row>
    <row r="233" ht="15" customHeight="1" s="195">
      <c r="A233" s="334" t="n"/>
      <c r="B233" s="334" t="n"/>
      <c r="C233" s="334" t="n"/>
      <c r="D233" s="334" t="n"/>
      <c r="E233" s="334" t="n"/>
      <c r="F233" s="334" t="n"/>
      <c r="G233" s="334" t="n"/>
      <c r="H233" s="334" t="n"/>
      <c r="I233" s="332">
        <f>IFERROR(VLOOKUP(TEXT(H233,"0"),IPRESS!$A$3:$B$212,2,0),"")</f>
        <v/>
      </c>
      <c r="J233" s="334" t="n"/>
      <c r="K233" s="332">
        <f>IFERROR(VLOOKUP(TEXT(O233,"0"),CONDUCTORES!$A$3:$G$54,7,0),"")</f>
        <v/>
      </c>
      <c r="L233" s="334" t="n"/>
      <c r="M233" s="334" t="n"/>
      <c r="N233" s="333">
        <f>IFERROR(IF(L233*M233=0,"",L233*M233),"")</f>
        <v/>
      </c>
      <c r="O233" s="334" t="n"/>
      <c r="P233" s="332">
        <f>IFERROR(VLOOKUP(TEXT(O233,"0"),CONDUCTORES!$A$3:$G$54,2,0),"")</f>
        <v/>
      </c>
      <c r="Q233" s="332">
        <f>IFERROR(VLOOKUP(TEXT(O233,"0"),CONDUCTORES!$A$3:$H$54,6,0),"")</f>
        <v/>
      </c>
      <c r="R233" s="334" t="n"/>
      <c r="S233" s="334" t="n"/>
      <c r="T233" s="334" t="n"/>
      <c r="U233" s="334" t="n"/>
      <c r="V233" s="334" t="n"/>
      <c r="W233" s="334" t="n"/>
      <c r="X233" s="334" t="n"/>
      <c r="Y233" s="334" t="n"/>
    </row>
    <row r="234" ht="15" customHeight="1" s="195">
      <c r="A234" s="280" t="n"/>
      <c r="B234" s="280" t="n"/>
      <c r="C234" s="280" t="n"/>
      <c r="D234" s="280" t="n"/>
      <c r="E234" s="280" t="n"/>
      <c r="F234" s="280" t="n"/>
      <c r="G234" s="280" t="n"/>
      <c r="H234" s="280" t="n"/>
      <c r="I234" s="332">
        <f>IFERROR(VLOOKUP(TEXT(H234,"0"),IPRESS!$A$3:$B$212,2,0),"")</f>
        <v/>
      </c>
      <c r="J234" s="280" t="n"/>
      <c r="K234" s="332">
        <f>IFERROR(VLOOKUP(TEXT(O234,"0"),CONDUCTORES!$A$3:$G$54,7,0),"")</f>
        <v/>
      </c>
      <c r="L234" s="280" t="n"/>
      <c r="M234" s="280" t="n"/>
      <c r="N234" s="333">
        <f>IFERROR(IF(L234*M234=0,"",L234*M234),"")</f>
        <v/>
      </c>
      <c r="O234" s="280" t="n"/>
      <c r="P234" s="332">
        <f>IFERROR(VLOOKUP(TEXT(O234,"0"),CONDUCTORES!$A$3:$G$54,2,0),"")</f>
        <v/>
      </c>
      <c r="Q234" s="332">
        <f>IFERROR(VLOOKUP(TEXT(O234,"0"),CONDUCTORES!$A$3:$H$54,6,0),"")</f>
        <v/>
      </c>
      <c r="R234" s="280" t="n"/>
      <c r="S234" s="280" t="n"/>
      <c r="T234" s="280" t="n"/>
      <c r="U234" s="280" t="n"/>
      <c r="V234" s="280" t="n"/>
      <c r="W234" s="280" t="n"/>
      <c r="X234" s="280" t="n"/>
      <c r="Y234" s="280" t="n"/>
    </row>
    <row r="235" ht="15" customHeight="1" s="195">
      <c r="A235" s="334" t="n"/>
      <c r="B235" s="334" t="n"/>
      <c r="C235" s="334" t="n"/>
      <c r="D235" s="334" t="n"/>
      <c r="E235" s="334" t="n"/>
      <c r="F235" s="334" t="n"/>
      <c r="G235" s="334" t="n"/>
      <c r="H235" s="334" t="n"/>
      <c r="I235" s="332">
        <f>IFERROR(VLOOKUP(TEXT(H235,"0"),IPRESS!$A$3:$B$212,2,0),"")</f>
        <v/>
      </c>
      <c r="J235" s="334" t="n"/>
      <c r="K235" s="332">
        <f>IFERROR(VLOOKUP(TEXT(O235,"0"),CONDUCTORES!$A$3:$G$54,7,0),"")</f>
        <v/>
      </c>
      <c r="L235" s="334" t="n"/>
      <c r="M235" s="334" t="n"/>
      <c r="N235" s="333">
        <f>IFERROR(IF(L235*M235=0,"",L235*M235),"")</f>
        <v/>
      </c>
      <c r="O235" s="334" t="n"/>
      <c r="P235" s="332">
        <f>IFERROR(VLOOKUP(TEXT(O235,"0"),CONDUCTORES!$A$3:$G$54,2,0),"")</f>
        <v/>
      </c>
      <c r="Q235" s="332">
        <f>IFERROR(VLOOKUP(TEXT(O235,"0"),CONDUCTORES!$A$3:$H$54,6,0),"")</f>
        <v/>
      </c>
      <c r="R235" s="334" t="n"/>
      <c r="S235" s="334" t="n"/>
      <c r="T235" s="334" t="n"/>
      <c r="U235" s="334" t="n"/>
      <c r="V235" s="334" t="n"/>
      <c r="W235" s="334" t="n"/>
      <c r="X235" s="334" t="n"/>
      <c r="Y235" s="334" t="n"/>
    </row>
    <row r="236" ht="15" customHeight="1" s="195">
      <c r="A236" s="280" t="n"/>
      <c r="B236" s="280" t="n"/>
      <c r="C236" s="280" t="n"/>
      <c r="D236" s="280" t="n"/>
      <c r="E236" s="280" t="n"/>
      <c r="F236" s="280" t="n"/>
      <c r="G236" s="280" t="n"/>
      <c r="H236" s="280" t="n"/>
      <c r="I236" s="332">
        <f>IFERROR(VLOOKUP(TEXT(H236,"0"),IPRESS!$A$3:$B$212,2,0),"")</f>
        <v/>
      </c>
      <c r="J236" s="280" t="n"/>
      <c r="K236" s="332">
        <f>IFERROR(VLOOKUP(TEXT(O236,"0"),CONDUCTORES!$A$3:$G$54,7,0),"")</f>
        <v/>
      </c>
      <c r="L236" s="280" t="n"/>
      <c r="M236" s="280" t="n"/>
      <c r="N236" s="333">
        <f>IFERROR(IF(L236*M236=0,"",L236*M236),"")</f>
        <v/>
      </c>
      <c r="O236" s="280" t="n"/>
      <c r="P236" s="332">
        <f>IFERROR(VLOOKUP(TEXT(O236,"0"),CONDUCTORES!$A$3:$G$54,2,0),"")</f>
        <v/>
      </c>
      <c r="Q236" s="332">
        <f>IFERROR(VLOOKUP(TEXT(O236,"0"),CONDUCTORES!$A$3:$H$54,6,0),"")</f>
        <v/>
      </c>
      <c r="R236" s="280" t="n"/>
      <c r="S236" s="280" t="n"/>
      <c r="T236" s="280" t="n"/>
      <c r="U236" s="280" t="n"/>
      <c r="V236" s="280" t="n"/>
      <c r="W236" s="280" t="n"/>
      <c r="X236" s="280" t="n"/>
      <c r="Y236" s="280" t="n"/>
    </row>
    <row r="237" ht="15" customHeight="1" s="195">
      <c r="A237" s="334" t="n"/>
      <c r="B237" s="334" t="n"/>
      <c r="C237" s="334" t="n"/>
      <c r="D237" s="334" t="n"/>
      <c r="E237" s="334" t="n"/>
      <c r="F237" s="334" t="n"/>
      <c r="G237" s="334" t="n"/>
      <c r="H237" s="334" t="n"/>
      <c r="I237" s="332">
        <f>IFERROR(VLOOKUP(TEXT(H237,"0"),IPRESS!$A$3:$B$212,2,0),"")</f>
        <v/>
      </c>
      <c r="J237" s="334" t="n"/>
      <c r="K237" s="332">
        <f>IFERROR(VLOOKUP(TEXT(O237,"0"),CONDUCTORES!$A$3:$G$54,7,0),"")</f>
        <v/>
      </c>
      <c r="L237" s="334" t="n"/>
      <c r="M237" s="334" t="n"/>
      <c r="N237" s="333">
        <f>IFERROR(IF(L237*M237=0,"",L237*M237),"")</f>
        <v/>
      </c>
      <c r="O237" s="334" t="n"/>
      <c r="P237" s="332">
        <f>IFERROR(VLOOKUP(TEXT(O237,"0"),CONDUCTORES!$A$3:$G$54,2,0),"")</f>
        <v/>
      </c>
      <c r="Q237" s="332">
        <f>IFERROR(VLOOKUP(TEXT(O237,"0"),CONDUCTORES!$A$3:$H$54,6,0),"")</f>
        <v/>
      </c>
      <c r="R237" s="334" t="n"/>
      <c r="S237" s="334" t="n"/>
      <c r="T237" s="334" t="n"/>
      <c r="U237" s="334" t="n"/>
      <c r="V237" s="334" t="n"/>
      <c r="W237" s="334" t="n"/>
      <c r="X237" s="334" t="n"/>
      <c r="Y237" s="334" t="n"/>
    </row>
    <row r="238" ht="15" customHeight="1" s="195">
      <c r="A238" s="280" t="n"/>
      <c r="B238" s="280" t="n"/>
      <c r="C238" s="280" t="n"/>
      <c r="D238" s="280" t="n"/>
      <c r="E238" s="280" t="n"/>
      <c r="F238" s="280" t="n"/>
      <c r="G238" s="280" t="n"/>
      <c r="H238" s="280" t="n"/>
      <c r="I238" s="332">
        <f>IFERROR(VLOOKUP(TEXT(H238,"0"),IPRESS!$A$3:$B$212,2,0),"")</f>
        <v/>
      </c>
      <c r="J238" s="280" t="n"/>
      <c r="K238" s="332">
        <f>IFERROR(VLOOKUP(TEXT(O238,"0"),CONDUCTORES!$A$3:$G$54,7,0),"")</f>
        <v/>
      </c>
      <c r="L238" s="280" t="n"/>
      <c r="M238" s="280" t="n"/>
      <c r="N238" s="333">
        <f>IFERROR(IF(L238*M238=0,"",L238*M238),"")</f>
        <v/>
      </c>
      <c r="O238" s="280" t="n"/>
      <c r="P238" s="332">
        <f>IFERROR(VLOOKUP(TEXT(O238,"0"),CONDUCTORES!$A$3:$G$54,2,0),"")</f>
        <v/>
      </c>
      <c r="Q238" s="332">
        <f>IFERROR(VLOOKUP(TEXT(O238,"0"),CONDUCTORES!$A$3:$H$54,6,0),"")</f>
        <v/>
      </c>
      <c r="R238" s="280" t="n"/>
      <c r="S238" s="280" t="n"/>
      <c r="T238" s="280" t="n"/>
      <c r="U238" s="280" t="n"/>
      <c r="V238" s="280" t="n"/>
      <c r="W238" s="280" t="n"/>
      <c r="X238" s="280" t="n"/>
      <c r="Y238" s="280" t="n"/>
    </row>
    <row r="239" ht="15" customHeight="1" s="195">
      <c r="A239" s="334" t="n"/>
      <c r="B239" s="334" t="n"/>
      <c r="C239" s="334" t="n"/>
      <c r="D239" s="334" t="n"/>
      <c r="E239" s="334" t="n"/>
      <c r="F239" s="334" t="n"/>
      <c r="G239" s="334" t="n"/>
      <c r="H239" s="334" t="n"/>
      <c r="I239" s="332">
        <f>IFERROR(VLOOKUP(TEXT(H239,"0"),IPRESS!$A$3:$B$212,2,0),"")</f>
        <v/>
      </c>
      <c r="J239" s="334" t="n"/>
      <c r="K239" s="332">
        <f>IFERROR(VLOOKUP(TEXT(O239,"0"),CONDUCTORES!$A$3:$G$54,7,0),"")</f>
        <v/>
      </c>
      <c r="L239" s="334" t="n"/>
      <c r="M239" s="334" t="n"/>
      <c r="N239" s="333">
        <f>IFERROR(IF(L239*M239=0,"",L239*M239),"")</f>
        <v/>
      </c>
      <c r="O239" s="334" t="n"/>
      <c r="P239" s="332">
        <f>IFERROR(VLOOKUP(TEXT(O239,"0"),CONDUCTORES!$A$3:$G$54,2,0),"")</f>
        <v/>
      </c>
      <c r="Q239" s="332">
        <f>IFERROR(VLOOKUP(TEXT(O239,"0"),CONDUCTORES!$A$3:$H$54,6,0),"")</f>
        <v/>
      </c>
      <c r="R239" s="334" t="n"/>
      <c r="S239" s="334" t="n"/>
      <c r="T239" s="334" t="n"/>
      <c r="U239" s="334" t="n"/>
      <c r="V239" s="334" t="n"/>
      <c r="W239" s="334" t="n"/>
      <c r="X239" s="334" t="n"/>
      <c r="Y239" s="334" t="n"/>
    </row>
    <row r="240" ht="15" customHeight="1" s="195">
      <c r="A240" s="280" t="n"/>
      <c r="B240" s="280" t="n"/>
      <c r="C240" s="280" t="n"/>
      <c r="D240" s="280" t="n"/>
      <c r="E240" s="280" t="n"/>
      <c r="F240" s="280" t="n"/>
      <c r="G240" s="280" t="n"/>
      <c r="H240" s="280" t="n"/>
      <c r="I240" s="332">
        <f>IFERROR(VLOOKUP(TEXT(H240,"0"),IPRESS!$A$3:$B$212,2,0),"")</f>
        <v/>
      </c>
      <c r="J240" s="280" t="n"/>
      <c r="K240" s="332">
        <f>IFERROR(VLOOKUP(TEXT(O240,"0"),CONDUCTORES!$A$3:$G$54,7,0),"")</f>
        <v/>
      </c>
      <c r="L240" s="280" t="n"/>
      <c r="M240" s="280" t="n"/>
      <c r="N240" s="333">
        <f>IFERROR(IF(L240*M240=0,"",L240*M240),"")</f>
        <v/>
      </c>
      <c r="O240" s="280" t="n"/>
      <c r="P240" s="332">
        <f>IFERROR(VLOOKUP(TEXT(O240,"0"),CONDUCTORES!$A$3:$G$54,2,0),"")</f>
        <v/>
      </c>
      <c r="Q240" s="332">
        <f>IFERROR(VLOOKUP(TEXT(O240,"0"),CONDUCTORES!$A$3:$H$54,6,0),"")</f>
        <v/>
      </c>
      <c r="R240" s="280" t="n"/>
      <c r="S240" s="280" t="n"/>
      <c r="T240" s="280" t="n"/>
      <c r="U240" s="280" t="n"/>
      <c r="V240" s="280" t="n"/>
      <c r="W240" s="280" t="n"/>
      <c r="X240" s="280" t="n"/>
      <c r="Y240" s="280" t="n"/>
    </row>
    <row r="241" ht="15" customHeight="1" s="195">
      <c r="A241" s="334" t="n"/>
      <c r="B241" s="334" t="n"/>
      <c r="C241" s="334" t="n"/>
      <c r="D241" s="334" t="n"/>
      <c r="E241" s="334" t="n"/>
      <c r="F241" s="334" t="n"/>
      <c r="G241" s="334" t="n"/>
      <c r="H241" s="334" t="n"/>
      <c r="I241" s="332">
        <f>IFERROR(VLOOKUP(TEXT(H241,"0"),IPRESS!$A$3:$B$212,2,0),"")</f>
        <v/>
      </c>
      <c r="J241" s="334" t="n"/>
      <c r="K241" s="332">
        <f>IFERROR(VLOOKUP(TEXT(O241,"0"),CONDUCTORES!$A$3:$G$54,7,0),"")</f>
        <v/>
      </c>
      <c r="L241" s="334" t="n"/>
      <c r="M241" s="334" t="n"/>
      <c r="N241" s="333">
        <f>IFERROR(IF(L241*M241=0,"",L241*M241),"")</f>
        <v/>
      </c>
      <c r="O241" s="334" t="n"/>
      <c r="P241" s="332">
        <f>IFERROR(VLOOKUP(TEXT(O241,"0"),CONDUCTORES!$A$3:$G$54,2,0),"")</f>
        <v/>
      </c>
      <c r="Q241" s="332">
        <f>IFERROR(VLOOKUP(TEXT(O241,"0"),CONDUCTORES!$A$3:$H$54,6,0),"")</f>
        <v/>
      </c>
      <c r="R241" s="334" t="n"/>
      <c r="S241" s="334" t="n"/>
      <c r="T241" s="334" t="n"/>
      <c r="U241" s="334" t="n"/>
      <c r="V241" s="334" t="n"/>
      <c r="W241" s="334" t="n"/>
      <c r="X241" s="334" t="n"/>
      <c r="Y241" s="334" t="n"/>
    </row>
    <row r="242" ht="15" customHeight="1" s="195">
      <c r="A242" s="280" t="n"/>
      <c r="B242" s="280" t="n"/>
      <c r="C242" s="280" t="n"/>
      <c r="D242" s="280" t="n"/>
      <c r="E242" s="280" t="n"/>
      <c r="F242" s="280" t="n"/>
      <c r="G242" s="280" t="n"/>
      <c r="H242" s="280" t="n"/>
      <c r="I242" s="332">
        <f>IFERROR(VLOOKUP(TEXT(H242,"0"),IPRESS!$A$3:$B$212,2,0),"")</f>
        <v/>
      </c>
      <c r="J242" s="280" t="n"/>
      <c r="K242" s="332">
        <f>IFERROR(VLOOKUP(TEXT(O242,"0"),CONDUCTORES!$A$3:$G$54,7,0),"")</f>
        <v/>
      </c>
      <c r="L242" s="280" t="n"/>
      <c r="M242" s="280" t="n"/>
      <c r="N242" s="333">
        <f>IFERROR(IF(L242*M242=0,"",L242*M242),"")</f>
        <v/>
      </c>
      <c r="O242" s="280" t="n"/>
      <c r="P242" s="332">
        <f>IFERROR(VLOOKUP(TEXT(O242,"0"),CONDUCTORES!$A$3:$G$54,2,0),"")</f>
        <v/>
      </c>
      <c r="Q242" s="332">
        <f>IFERROR(VLOOKUP(TEXT(O242,"0"),CONDUCTORES!$A$3:$H$54,6,0),"")</f>
        <v/>
      </c>
      <c r="R242" s="280" t="n"/>
      <c r="S242" s="280" t="n"/>
      <c r="T242" s="280" t="n"/>
      <c r="U242" s="280" t="n"/>
      <c r="V242" s="280" t="n"/>
      <c r="W242" s="280" t="n"/>
      <c r="X242" s="280" t="n"/>
      <c r="Y242" s="280" t="n"/>
    </row>
    <row r="243" ht="15" customHeight="1" s="195">
      <c r="A243" s="334" t="n"/>
      <c r="B243" s="334" t="n"/>
      <c r="C243" s="334" t="n"/>
      <c r="D243" s="334" t="n"/>
      <c r="E243" s="334" t="n"/>
      <c r="F243" s="334" t="n"/>
      <c r="G243" s="334" t="n"/>
      <c r="H243" s="334" t="n"/>
      <c r="I243" s="332">
        <f>IFERROR(VLOOKUP(TEXT(H243,"0"),IPRESS!$A$3:$B$212,2,0),"")</f>
        <v/>
      </c>
      <c r="J243" s="334" t="n"/>
      <c r="K243" s="332">
        <f>IFERROR(VLOOKUP(TEXT(O243,"0"),CONDUCTORES!$A$3:$G$54,7,0),"")</f>
        <v/>
      </c>
      <c r="L243" s="334" t="n"/>
      <c r="M243" s="334" t="n"/>
      <c r="N243" s="333">
        <f>IFERROR(IF(L243*M243=0,"",L243*M243),"")</f>
        <v/>
      </c>
      <c r="O243" s="334" t="n"/>
      <c r="P243" s="332">
        <f>IFERROR(VLOOKUP(TEXT(O243,"0"),CONDUCTORES!$A$3:$G$54,2,0),"")</f>
        <v/>
      </c>
      <c r="Q243" s="332">
        <f>IFERROR(VLOOKUP(TEXT(O243,"0"),CONDUCTORES!$A$3:$H$54,6,0),"")</f>
        <v/>
      </c>
      <c r="R243" s="334" t="n"/>
      <c r="S243" s="334" t="n"/>
      <c r="T243" s="334" t="n"/>
      <c r="U243" s="334" t="n"/>
      <c r="V243" s="334" t="n"/>
      <c r="W243" s="334" t="n"/>
      <c r="X243" s="334" t="n"/>
      <c r="Y243" s="334" t="n"/>
    </row>
    <row r="244" ht="15" customHeight="1" s="195">
      <c r="A244" s="280" t="n"/>
      <c r="B244" s="280" t="n"/>
      <c r="C244" s="280" t="n"/>
      <c r="D244" s="280" t="n"/>
      <c r="E244" s="280" t="n"/>
      <c r="F244" s="280" t="n"/>
      <c r="G244" s="280" t="n"/>
      <c r="H244" s="280" t="n"/>
      <c r="I244" s="332">
        <f>IFERROR(VLOOKUP(TEXT(H244,"0"),IPRESS!$A$3:$B$212,2,0),"")</f>
        <v/>
      </c>
      <c r="J244" s="280" t="n"/>
      <c r="K244" s="332">
        <f>IFERROR(VLOOKUP(TEXT(O244,"0"),CONDUCTORES!$A$3:$G$54,7,0),"")</f>
        <v/>
      </c>
      <c r="L244" s="280" t="n"/>
      <c r="M244" s="280" t="n"/>
      <c r="N244" s="333">
        <f>IFERROR(IF(L244*M244=0,"",L244*M244),"")</f>
        <v/>
      </c>
      <c r="O244" s="280" t="n"/>
      <c r="P244" s="332">
        <f>IFERROR(VLOOKUP(TEXT(O244,"0"),CONDUCTORES!$A$3:$G$54,2,0),"")</f>
        <v/>
      </c>
      <c r="Q244" s="332">
        <f>IFERROR(VLOOKUP(TEXT(O244,"0"),CONDUCTORES!$A$3:$H$54,6,0),"")</f>
        <v/>
      </c>
      <c r="R244" s="280" t="n"/>
      <c r="S244" s="280" t="n"/>
      <c r="T244" s="280" t="n"/>
      <c r="U244" s="280" t="n"/>
      <c r="V244" s="280" t="n"/>
      <c r="W244" s="280" t="n"/>
      <c r="X244" s="280" t="n"/>
      <c r="Y244" s="280" t="n"/>
    </row>
    <row r="245" ht="15" customHeight="1" s="195">
      <c r="A245" s="334" t="n"/>
      <c r="B245" s="334" t="n"/>
      <c r="C245" s="334" t="n"/>
      <c r="D245" s="334" t="n"/>
      <c r="E245" s="334" t="n"/>
      <c r="F245" s="334" t="n"/>
      <c r="G245" s="334" t="n"/>
      <c r="H245" s="334" t="n"/>
      <c r="I245" s="332">
        <f>IFERROR(VLOOKUP(TEXT(H245,"0"),IPRESS!$A$3:$B$212,2,0),"")</f>
        <v/>
      </c>
      <c r="J245" s="334" t="n"/>
      <c r="K245" s="332">
        <f>IFERROR(VLOOKUP(TEXT(O245,"0"),CONDUCTORES!$A$3:$G$54,7,0),"")</f>
        <v/>
      </c>
      <c r="L245" s="334" t="n"/>
      <c r="M245" s="334" t="n"/>
      <c r="N245" s="333">
        <f>IFERROR(IF(L245*M245=0,"",L245*M245),"")</f>
        <v/>
      </c>
      <c r="O245" s="334" t="n"/>
      <c r="P245" s="332">
        <f>IFERROR(VLOOKUP(TEXT(O245,"0"),CONDUCTORES!$A$3:$G$54,2,0),"")</f>
        <v/>
      </c>
      <c r="Q245" s="332">
        <f>IFERROR(VLOOKUP(TEXT(O245,"0"),CONDUCTORES!$A$3:$H$54,6,0),"")</f>
        <v/>
      </c>
      <c r="R245" s="334" t="n"/>
      <c r="S245" s="334" t="n"/>
      <c r="T245" s="334" t="n"/>
      <c r="U245" s="334" t="n"/>
      <c r="V245" s="334" t="n"/>
      <c r="W245" s="334" t="n"/>
      <c r="X245" s="334" t="n"/>
      <c r="Y245" s="334" t="n"/>
    </row>
    <row r="246" ht="15" customHeight="1" s="195">
      <c r="A246" s="280" t="n"/>
      <c r="B246" s="280" t="n"/>
      <c r="C246" s="280" t="n"/>
      <c r="D246" s="280" t="n"/>
      <c r="E246" s="280" t="n"/>
      <c r="F246" s="280" t="n"/>
      <c r="G246" s="280" t="n"/>
      <c r="H246" s="280" t="n"/>
      <c r="I246" s="332">
        <f>IFERROR(VLOOKUP(TEXT(H246,"0"),IPRESS!$A$3:$B$212,2,0),"")</f>
        <v/>
      </c>
      <c r="J246" s="280" t="n"/>
      <c r="K246" s="332">
        <f>IFERROR(VLOOKUP(TEXT(O246,"0"),CONDUCTORES!$A$3:$G$54,7,0),"")</f>
        <v/>
      </c>
      <c r="L246" s="280" t="n"/>
      <c r="M246" s="280" t="n"/>
      <c r="N246" s="333">
        <f>IFERROR(IF(L246*M246=0,"",L246*M246),"")</f>
        <v/>
      </c>
      <c r="O246" s="280" t="n"/>
      <c r="P246" s="332">
        <f>IFERROR(VLOOKUP(TEXT(O246,"0"),CONDUCTORES!$A$3:$G$54,2,0),"")</f>
        <v/>
      </c>
      <c r="Q246" s="332">
        <f>IFERROR(VLOOKUP(TEXT(O246,"0"),CONDUCTORES!$A$3:$H$54,6,0),"")</f>
        <v/>
      </c>
      <c r="R246" s="280" t="n"/>
      <c r="S246" s="280" t="n"/>
      <c r="T246" s="280" t="n"/>
      <c r="U246" s="280" t="n"/>
      <c r="V246" s="280" t="n"/>
      <c r="W246" s="280" t="n"/>
      <c r="X246" s="280" t="n"/>
      <c r="Y246" s="280" t="n"/>
    </row>
    <row r="247" ht="15" customHeight="1" s="195">
      <c r="A247" s="334" t="n"/>
      <c r="B247" s="334" t="n"/>
      <c r="C247" s="334" t="n"/>
      <c r="D247" s="334" t="n"/>
      <c r="E247" s="334" t="n"/>
      <c r="F247" s="334" t="n"/>
      <c r="G247" s="334" t="n"/>
      <c r="H247" s="334" t="n"/>
      <c r="I247" s="332">
        <f>IFERROR(VLOOKUP(TEXT(H247,"0"),IPRESS!$A$3:$B$212,2,0),"")</f>
        <v/>
      </c>
      <c r="J247" s="334" t="n"/>
      <c r="K247" s="332">
        <f>IFERROR(VLOOKUP(TEXT(O247,"0"),CONDUCTORES!$A$3:$G$54,7,0),"")</f>
        <v/>
      </c>
      <c r="L247" s="334" t="n"/>
      <c r="M247" s="334" t="n"/>
      <c r="N247" s="333">
        <f>IFERROR(IF(L247*M247=0,"",L247*M247),"")</f>
        <v/>
      </c>
      <c r="O247" s="334" t="n"/>
      <c r="P247" s="332">
        <f>IFERROR(VLOOKUP(TEXT(O247,"0"),CONDUCTORES!$A$3:$G$54,2,0),"")</f>
        <v/>
      </c>
      <c r="Q247" s="332">
        <f>IFERROR(VLOOKUP(TEXT(O247,"0"),CONDUCTORES!$A$3:$H$54,6,0),"")</f>
        <v/>
      </c>
      <c r="R247" s="334" t="n"/>
      <c r="S247" s="334" t="n"/>
      <c r="T247" s="334" t="n"/>
      <c r="U247" s="334" t="n"/>
      <c r="V247" s="334" t="n"/>
      <c r="W247" s="334" t="n"/>
      <c r="X247" s="334" t="n"/>
      <c r="Y247" s="334" t="n"/>
    </row>
    <row r="248" ht="15" customHeight="1" s="195">
      <c r="A248" s="280" t="n"/>
      <c r="B248" s="280" t="n"/>
      <c r="C248" s="280" t="n"/>
      <c r="D248" s="280" t="n"/>
      <c r="E248" s="280" t="n"/>
      <c r="F248" s="280" t="n"/>
      <c r="G248" s="280" t="n"/>
      <c r="H248" s="280" t="n"/>
      <c r="I248" s="332">
        <f>IFERROR(VLOOKUP(TEXT(H248,"0"),IPRESS!$A$3:$B$212,2,0),"")</f>
        <v/>
      </c>
      <c r="J248" s="280" t="n"/>
      <c r="K248" s="332">
        <f>IFERROR(VLOOKUP(TEXT(O248,"0"),CONDUCTORES!$A$3:$G$54,7,0),"")</f>
        <v/>
      </c>
      <c r="L248" s="280" t="n"/>
      <c r="M248" s="280" t="n"/>
      <c r="N248" s="333">
        <f>IFERROR(IF(L248*M248=0,"",L248*M248),"")</f>
        <v/>
      </c>
      <c r="O248" s="280" t="n"/>
      <c r="P248" s="332">
        <f>IFERROR(VLOOKUP(TEXT(O248,"0"),CONDUCTORES!$A$3:$G$54,2,0),"")</f>
        <v/>
      </c>
      <c r="Q248" s="332">
        <f>IFERROR(VLOOKUP(TEXT(O248,"0"),CONDUCTORES!$A$3:$H$54,6,0),"")</f>
        <v/>
      </c>
      <c r="R248" s="280" t="n"/>
      <c r="S248" s="280" t="n"/>
      <c r="T248" s="280" t="n"/>
      <c r="U248" s="280" t="n"/>
      <c r="V248" s="280" t="n"/>
      <c r="W248" s="280" t="n"/>
      <c r="X248" s="280" t="n"/>
      <c r="Y248" s="280" t="n"/>
    </row>
    <row r="249" ht="15" customHeight="1" s="195">
      <c r="A249" s="334" t="n"/>
      <c r="B249" s="334" t="n"/>
      <c r="C249" s="334" t="n"/>
      <c r="D249" s="334" t="n"/>
      <c r="E249" s="334" t="n"/>
      <c r="F249" s="334" t="n"/>
      <c r="G249" s="334" t="n"/>
      <c r="H249" s="334" t="n"/>
      <c r="I249" s="332">
        <f>IFERROR(VLOOKUP(TEXT(H249,"0"),IPRESS!$A$3:$B$212,2,0),"")</f>
        <v/>
      </c>
      <c r="J249" s="334" t="n"/>
      <c r="K249" s="332">
        <f>IFERROR(VLOOKUP(TEXT(O249,"0"),CONDUCTORES!$A$3:$G$54,7,0),"")</f>
        <v/>
      </c>
      <c r="L249" s="334" t="n"/>
      <c r="M249" s="334" t="n"/>
      <c r="N249" s="333">
        <f>IFERROR(IF(L249*M249=0,"",L249*M249),"")</f>
        <v/>
      </c>
      <c r="O249" s="334" t="n"/>
      <c r="P249" s="332">
        <f>IFERROR(VLOOKUP(TEXT(O249,"0"),CONDUCTORES!$A$3:$G$54,2,0),"")</f>
        <v/>
      </c>
      <c r="Q249" s="332">
        <f>IFERROR(VLOOKUP(TEXT(O249,"0"),CONDUCTORES!$A$3:$H$54,6,0),"")</f>
        <v/>
      </c>
      <c r="R249" s="334" t="n"/>
      <c r="S249" s="334" t="n"/>
      <c r="T249" s="334" t="n"/>
      <c r="U249" s="334" t="n"/>
      <c r="V249" s="334" t="n"/>
      <c r="W249" s="334" t="n"/>
      <c r="X249" s="334" t="n"/>
      <c r="Y249" s="334" t="n"/>
    </row>
    <row r="250" ht="15" customHeight="1" s="195">
      <c r="A250" s="280" t="n"/>
      <c r="B250" s="280" t="n"/>
      <c r="C250" s="280" t="n"/>
      <c r="D250" s="280" t="n"/>
      <c r="E250" s="280" t="n"/>
      <c r="F250" s="280" t="n"/>
      <c r="G250" s="280" t="n"/>
      <c r="H250" s="280" t="n"/>
      <c r="I250" s="332">
        <f>IFERROR(VLOOKUP(TEXT(H250,"0"),IPRESS!$A$3:$B$212,2,0),"")</f>
        <v/>
      </c>
      <c r="J250" s="280" t="n"/>
      <c r="K250" s="332">
        <f>IFERROR(VLOOKUP(TEXT(O250,"0"),CONDUCTORES!$A$3:$G$54,7,0),"")</f>
        <v/>
      </c>
      <c r="L250" s="280" t="n"/>
      <c r="M250" s="280" t="n"/>
      <c r="N250" s="333">
        <f>IFERROR(IF(L250*M250=0,"",L250*M250),"")</f>
        <v/>
      </c>
      <c r="O250" s="280" t="n"/>
      <c r="P250" s="332">
        <f>IFERROR(VLOOKUP(TEXT(O250,"0"),CONDUCTORES!$A$3:$G$54,2,0),"")</f>
        <v/>
      </c>
      <c r="Q250" s="332">
        <f>IFERROR(VLOOKUP(TEXT(O250,"0"),CONDUCTORES!$A$3:$H$54,6,0),"")</f>
        <v/>
      </c>
      <c r="R250" s="280" t="n"/>
      <c r="S250" s="280" t="n"/>
      <c r="T250" s="280" t="n"/>
      <c r="U250" s="280" t="n"/>
      <c r="V250" s="280" t="n"/>
      <c r="W250" s="280" t="n"/>
      <c r="X250" s="280" t="n"/>
      <c r="Y250" s="280" t="n"/>
    </row>
    <row r="251" ht="15" customHeight="1" s="195">
      <c r="A251" s="334" t="n"/>
      <c r="B251" s="334" t="n"/>
      <c r="C251" s="334" t="n"/>
      <c r="D251" s="334" t="n"/>
      <c r="E251" s="334" t="n"/>
      <c r="F251" s="334" t="n"/>
      <c r="G251" s="334" t="n"/>
      <c r="H251" s="334" t="n"/>
      <c r="I251" s="332">
        <f>IFERROR(VLOOKUP(TEXT(H251,"0"),IPRESS!$A$3:$B$212,2,0),"")</f>
        <v/>
      </c>
      <c r="J251" s="334" t="n"/>
      <c r="K251" s="332">
        <f>IFERROR(VLOOKUP(TEXT(O251,"0"),CONDUCTORES!$A$3:$G$54,7,0),"")</f>
        <v/>
      </c>
      <c r="L251" s="334" t="n"/>
      <c r="M251" s="334" t="n"/>
      <c r="N251" s="333">
        <f>IFERROR(IF(L251*M251=0,"",L251*M251),"")</f>
        <v/>
      </c>
      <c r="O251" s="334" t="n"/>
      <c r="P251" s="332">
        <f>IFERROR(VLOOKUP(TEXT(O251,"0"),CONDUCTORES!$A$3:$G$54,2,0),"")</f>
        <v/>
      </c>
      <c r="Q251" s="332">
        <f>IFERROR(VLOOKUP(TEXT(O251,"0"),CONDUCTORES!$A$3:$H$54,6,0),"")</f>
        <v/>
      </c>
      <c r="R251" s="334" t="n"/>
      <c r="S251" s="334" t="n"/>
      <c r="T251" s="334" t="n"/>
      <c r="U251" s="334" t="n"/>
      <c r="V251" s="334" t="n"/>
      <c r="W251" s="334" t="n"/>
      <c r="X251" s="334" t="n"/>
      <c r="Y251" s="334" t="n"/>
    </row>
    <row r="252" ht="15" customHeight="1" s="195">
      <c r="A252" s="280" t="n"/>
      <c r="B252" s="280" t="n"/>
      <c r="C252" s="280" t="n"/>
      <c r="D252" s="280" t="n"/>
      <c r="E252" s="280" t="n"/>
      <c r="F252" s="280" t="n"/>
      <c r="G252" s="280" t="n"/>
      <c r="H252" s="280" t="n"/>
      <c r="I252" s="332">
        <f>IFERROR(VLOOKUP(TEXT(H252,"0"),IPRESS!$A$3:$B$212,2,0),"")</f>
        <v/>
      </c>
      <c r="J252" s="280" t="n"/>
      <c r="K252" s="332">
        <f>IFERROR(VLOOKUP(TEXT(O252,"0"),CONDUCTORES!$A$3:$G$54,7,0),"")</f>
        <v/>
      </c>
      <c r="L252" s="280" t="n"/>
      <c r="M252" s="280" t="n"/>
      <c r="N252" s="333">
        <f>IFERROR(IF(L252*M252=0,"",L252*M252),"")</f>
        <v/>
      </c>
      <c r="O252" s="280" t="n"/>
      <c r="P252" s="332">
        <f>IFERROR(VLOOKUP(TEXT(O252,"0"),CONDUCTORES!$A$3:$G$54,2,0),"")</f>
        <v/>
      </c>
      <c r="Q252" s="332">
        <f>IFERROR(VLOOKUP(TEXT(O252,"0"),CONDUCTORES!$A$3:$H$54,6,0),"")</f>
        <v/>
      </c>
      <c r="R252" s="280" t="n"/>
      <c r="S252" s="280" t="n"/>
      <c r="T252" s="280" t="n"/>
      <c r="U252" s="280" t="n"/>
      <c r="V252" s="280" t="n"/>
      <c r="W252" s="280" t="n"/>
      <c r="X252" s="280" t="n"/>
      <c r="Y252" s="280" t="n"/>
    </row>
    <row r="253" ht="15" customHeight="1" s="195">
      <c r="A253" s="334" t="n"/>
      <c r="B253" s="334" t="n"/>
      <c r="C253" s="334" t="n"/>
      <c r="D253" s="334" t="n"/>
      <c r="E253" s="334" t="n"/>
      <c r="F253" s="334" t="n"/>
      <c r="G253" s="334" t="n"/>
      <c r="H253" s="334" t="n"/>
      <c r="I253" s="332">
        <f>IFERROR(VLOOKUP(TEXT(H253,"0"),IPRESS!$A$3:$B$212,2,0),"")</f>
        <v/>
      </c>
      <c r="J253" s="334" t="n"/>
      <c r="K253" s="332">
        <f>IFERROR(VLOOKUP(TEXT(O253,"0"),CONDUCTORES!$A$3:$G$54,7,0),"")</f>
        <v/>
      </c>
      <c r="L253" s="334" t="n"/>
      <c r="M253" s="334" t="n"/>
      <c r="N253" s="333">
        <f>IFERROR(IF(L253*M253=0,"",L253*M253),"")</f>
        <v/>
      </c>
      <c r="O253" s="334" t="n"/>
      <c r="P253" s="332">
        <f>IFERROR(VLOOKUP(TEXT(O253,"0"),CONDUCTORES!$A$3:$G$54,2,0),"")</f>
        <v/>
      </c>
      <c r="Q253" s="332">
        <f>IFERROR(VLOOKUP(TEXT(O253,"0"),CONDUCTORES!$A$3:$H$54,6,0),"")</f>
        <v/>
      </c>
      <c r="R253" s="334" t="n"/>
      <c r="S253" s="334" t="n"/>
      <c r="T253" s="334" t="n"/>
      <c r="U253" s="334" t="n"/>
      <c r="V253" s="334" t="n"/>
      <c r="W253" s="334" t="n"/>
      <c r="X253" s="334" t="n"/>
      <c r="Y253" s="334" t="n"/>
    </row>
    <row r="254" ht="15" customHeight="1" s="195">
      <c r="A254" s="280" t="n"/>
      <c r="B254" s="280" t="n"/>
      <c r="C254" s="280" t="n"/>
      <c r="D254" s="280" t="n"/>
      <c r="E254" s="280" t="n"/>
      <c r="F254" s="280" t="n"/>
      <c r="G254" s="280" t="n"/>
      <c r="H254" s="280" t="n"/>
      <c r="I254" s="332">
        <f>IFERROR(VLOOKUP(TEXT(H254,"0"),IPRESS!$A$3:$B$212,2,0),"")</f>
        <v/>
      </c>
      <c r="J254" s="280" t="n"/>
      <c r="K254" s="332">
        <f>IFERROR(VLOOKUP(TEXT(O254,"0"),CONDUCTORES!$A$3:$G$54,7,0),"")</f>
        <v/>
      </c>
      <c r="L254" s="280" t="n"/>
      <c r="M254" s="280" t="n"/>
      <c r="N254" s="333">
        <f>IFERROR(IF(L254*M254=0,"",L254*M254),"")</f>
        <v/>
      </c>
      <c r="O254" s="280" t="n"/>
      <c r="P254" s="332">
        <f>IFERROR(VLOOKUP(TEXT(O254,"0"),CONDUCTORES!$A$3:$G$54,2,0),"")</f>
        <v/>
      </c>
      <c r="Q254" s="332">
        <f>IFERROR(VLOOKUP(TEXT(O254,"0"),CONDUCTORES!$A$3:$H$54,6,0),"")</f>
        <v/>
      </c>
      <c r="R254" s="280" t="n"/>
      <c r="S254" s="280" t="n"/>
      <c r="T254" s="280" t="n"/>
      <c r="U254" s="280" t="n"/>
      <c r="V254" s="280" t="n"/>
      <c r="W254" s="280" t="n"/>
      <c r="X254" s="280" t="n"/>
      <c r="Y254" s="280" t="n"/>
    </row>
    <row r="255" ht="15" customHeight="1" s="195">
      <c r="A255" s="334" t="n"/>
      <c r="B255" s="334" t="n"/>
      <c r="C255" s="334" t="n"/>
      <c r="D255" s="334" t="n"/>
      <c r="E255" s="334" t="n"/>
      <c r="F255" s="334" t="n"/>
      <c r="G255" s="334" t="n"/>
      <c r="H255" s="334" t="n"/>
      <c r="I255" s="332">
        <f>IFERROR(VLOOKUP(TEXT(H255,"0"),IPRESS!$A$3:$B$212,2,0),"")</f>
        <v/>
      </c>
      <c r="J255" s="334" t="n"/>
      <c r="K255" s="332">
        <f>IFERROR(VLOOKUP(TEXT(O255,"0"),CONDUCTORES!$A$3:$G$54,7,0),"")</f>
        <v/>
      </c>
      <c r="L255" s="334" t="n"/>
      <c r="M255" s="334" t="n"/>
      <c r="N255" s="333">
        <f>IFERROR(IF(L255*M255=0,"",L255*M255),"")</f>
        <v/>
      </c>
      <c r="O255" s="334" t="n"/>
      <c r="P255" s="332">
        <f>IFERROR(VLOOKUP(TEXT(O255,"0"),CONDUCTORES!$A$3:$G$54,2,0),"")</f>
        <v/>
      </c>
      <c r="Q255" s="332">
        <f>IFERROR(VLOOKUP(TEXT(O255,"0"),CONDUCTORES!$A$3:$H$54,6,0),"")</f>
        <v/>
      </c>
      <c r="R255" s="334" t="n"/>
      <c r="S255" s="334" t="n"/>
      <c r="T255" s="334" t="n"/>
      <c r="U255" s="334" t="n"/>
      <c r="V255" s="334" t="n"/>
      <c r="W255" s="334" t="n"/>
      <c r="X255" s="334" t="n"/>
      <c r="Y255" s="334" t="n"/>
    </row>
    <row r="256" ht="15" customHeight="1" s="195">
      <c r="A256" s="280" t="n"/>
      <c r="B256" s="280" t="n"/>
      <c r="C256" s="280" t="n"/>
      <c r="D256" s="280" t="n"/>
      <c r="E256" s="280" t="n"/>
      <c r="F256" s="280" t="n"/>
      <c r="G256" s="280" t="n"/>
      <c r="H256" s="280" t="n"/>
      <c r="I256" s="332">
        <f>IFERROR(VLOOKUP(TEXT(H256,"0"),IPRESS!$A$3:$B$212,2,0),"")</f>
        <v/>
      </c>
      <c r="J256" s="280" t="n"/>
      <c r="K256" s="332">
        <f>IFERROR(VLOOKUP(TEXT(O256,"0"),CONDUCTORES!$A$3:$G$54,7,0),"")</f>
        <v/>
      </c>
      <c r="L256" s="280" t="n"/>
      <c r="M256" s="280" t="n"/>
      <c r="N256" s="333">
        <f>IFERROR(IF(L256*M256=0,"",L256*M256),"")</f>
        <v/>
      </c>
      <c r="O256" s="280" t="n"/>
      <c r="P256" s="332">
        <f>IFERROR(VLOOKUP(TEXT(O256,"0"),CONDUCTORES!$A$3:$G$54,2,0),"")</f>
        <v/>
      </c>
      <c r="Q256" s="332">
        <f>IFERROR(VLOOKUP(TEXT(O256,"0"),CONDUCTORES!$A$3:$H$54,6,0),"")</f>
        <v/>
      </c>
      <c r="R256" s="280" t="n"/>
      <c r="S256" s="280" t="n"/>
      <c r="T256" s="280" t="n"/>
      <c r="U256" s="280" t="n"/>
      <c r="V256" s="280" t="n"/>
      <c r="W256" s="280" t="n"/>
      <c r="X256" s="280" t="n"/>
      <c r="Y256" s="280" t="n"/>
    </row>
    <row r="257" ht="15" customHeight="1" s="195">
      <c r="A257" s="334" t="n"/>
      <c r="B257" s="334" t="n"/>
      <c r="C257" s="334" t="n"/>
      <c r="D257" s="334" t="n"/>
      <c r="E257" s="334" t="n"/>
      <c r="F257" s="334" t="n"/>
      <c r="G257" s="334" t="n"/>
      <c r="H257" s="334" t="n"/>
      <c r="I257" s="332">
        <f>IFERROR(VLOOKUP(TEXT(H257,"0"),IPRESS!$A$3:$B$212,2,0),"")</f>
        <v/>
      </c>
      <c r="J257" s="334" t="n"/>
      <c r="K257" s="332">
        <f>IFERROR(VLOOKUP(TEXT(O257,"0"),CONDUCTORES!$A$3:$G$54,7,0),"")</f>
        <v/>
      </c>
      <c r="L257" s="334" t="n"/>
      <c r="M257" s="334" t="n"/>
      <c r="N257" s="333">
        <f>IFERROR(IF(L257*M257=0,"",L257*M257),"")</f>
        <v/>
      </c>
      <c r="O257" s="334" t="n"/>
      <c r="P257" s="332">
        <f>IFERROR(VLOOKUP(TEXT(O257,"0"),CONDUCTORES!$A$3:$G$54,2,0),"")</f>
        <v/>
      </c>
      <c r="Q257" s="332">
        <f>IFERROR(VLOOKUP(TEXT(O257,"0"),CONDUCTORES!$A$3:$H$54,6,0),"")</f>
        <v/>
      </c>
      <c r="R257" s="334" t="n"/>
      <c r="S257" s="334" t="n"/>
      <c r="T257" s="334" t="n"/>
      <c r="U257" s="334" t="n"/>
      <c r="V257" s="334" t="n"/>
      <c r="W257" s="334" t="n"/>
      <c r="X257" s="334" t="n"/>
      <c r="Y257" s="334" t="n"/>
    </row>
    <row r="258" ht="15" customHeight="1" s="195">
      <c r="A258" s="280" t="n"/>
      <c r="B258" s="280" t="n"/>
      <c r="C258" s="280" t="n"/>
      <c r="D258" s="280" t="n"/>
      <c r="E258" s="280" t="n"/>
      <c r="F258" s="280" t="n"/>
      <c r="G258" s="280" t="n"/>
      <c r="H258" s="280" t="n"/>
      <c r="I258" s="332">
        <f>IFERROR(VLOOKUP(TEXT(H258,"0"),IPRESS!$A$3:$B$212,2,0),"")</f>
        <v/>
      </c>
      <c r="J258" s="280" t="n"/>
      <c r="K258" s="332">
        <f>IFERROR(VLOOKUP(TEXT(O258,"0"),CONDUCTORES!$A$3:$G$54,7,0),"")</f>
        <v/>
      </c>
      <c r="L258" s="280" t="n"/>
      <c r="M258" s="280" t="n"/>
      <c r="N258" s="333">
        <f>IFERROR(IF(L258*M258=0,"",L258*M258),"")</f>
        <v/>
      </c>
      <c r="O258" s="280" t="n"/>
      <c r="P258" s="332">
        <f>IFERROR(VLOOKUP(TEXT(O258,"0"),CONDUCTORES!$A$3:$G$54,2,0),"")</f>
        <v/>
      </c>
      <c r="Q258" s="332">
        <f>IFERROR(VLOOKUP(TEXT(O258,"0"),CONDUCTORES!$A$3:$H$54,6,0),"")</f>
        <v/>
      </c>
      <c r="R258" s="280" t="n"/>
      <c r="S258" s="280" t="n"/>
      <c r="T258" s="280" t="n"/>
      <c r="U258" s="280" t="n"/>
      <c r="V258" s="280" t="n"/>
      <c r="W258" s="280" t="n"/>
      <c r="X258" s="280" t="n"/>
      <c r="Y258" s="280" t="n"/>
    </row>
    <row r="259" ht="15" customHeight="1" s="195">
      <c r="A259" s="334" t="n"/>
      <c r="B259" s="334" t="n"/>
      <c r="C259" s="334" t="n"/>
      <c r="D259" s="334" t="n"/>
      <c r="E259" s="334" t="n"/>
      <c r="F259" s="334" t="n"/>
      <c r="G259" s="334" t="n"/>
      <c r="H259" s="334" t="n"/>
      <c r="I259" s="332">
        <f>IFERROR(VLOOKUP(TEXT(H259,"0"),IPRESS!$A$3:$B$212,2,0),"")</f>
        <v/>
      </c>
      <c r="J259" s="334" t="n"/>
      <c r="K259" s="332">
        <f>IFERROR(VLOOKUP(TEXT(O259,"0"),CONDUCTORES!$A$3:$G$54,7,0),"")</f>
        <v/>
      </c>
      <c r="L259" s="334" t="n"/>
      <c r="M259" s="334" t="n"/>
      <c r="N259" s="333">
        <f>IFERROR(IF(L259*M259=0,"",L259*M259),"")</f>
        <v/>
      </c>
      <c r="O259" s="334" t="n"/>
      <c r="P259" s="332">
        <f>IFERROR(VLOOKUP(TEXT(O259,"0"),CONDUCTORES!$A$3:$G$54,2,0),"")</f>
        <v/>
      </c>
      <c r="Q259" s="332">
        <f>IFERROR(VLOOKUP(TEXT(O259,"0"),CONDUCTORES!$A$3:$H$54,6,0),"")</f>
        <v/>
      </c>
      <c r="R259" s="334" t="n"/>
      <c r="S259" s="334" t="n"/>
      <c r="T259" s="334" t="n"/>
      <c r="U259" s="334" t="n"/>
      <c r="V259" s="334" t="n"/>
      <c r="W259" s="334" t="n"/>
      <c r="X259" s="334" t="n"/>
      <c r="Y259" s="334" t="n"/>
    </row>
    <row r="260" ht="15" customHeight="1" s="195">
      <c r="A260" s="280" t="n"/>
      <c r="B260" s="280" t="n"/>
      <c r="C260" s="280" t="n"/>
      <c r="D260" s="280" t="n"/>
      <c r="E260" s="280" t="n"/>
      <c r="F260" s="280" t="n"/>
      <c r="G260" s="280" t="n"/>
      <c r="H260" s="280" t="n"/>
      <c r="I260" s="332">
        <f>IFERROR(VLOOKUP(TEXT(H260,"0"),IPRESS!$A$3:$B$212,2,0),"")</f>
        <v/>
      </c>
      <c r="J260" s="280" t="n"/>
      <c r="K260" s="332">
        <f>IFERROR(VLOOKUP(TEXT(O260,"0"),CONDUCTORES!$A$3:$G$54,7,0),"")</f>
        <v/>
      </c>
      <c r="L260" s="280" t="n"/>
      <c r="M260" s="280" t="n"/>
      <c r="N260" s="333">
        <f>IFERROR(IF(L260*M260=0,"",L260*M260),"")</f>
        <v/>
      </c>
      <c r="O260" s="280" t="n"/>
      <c r="P260" s="332">
        <f>IFERROR(VLOOKUP(TEXT(O260,"0"),CONDUCTORES!$A$3:$G$54,2,0),"")</f>
        <v/>
      </c>
      <c r="Q260" s="332">
        <f>IFERROR(VLOOKUP(TEXT(O260,"0"),CONDUCTORES!$A$3:$H$54,6,0),"")</f>
        <v/>
      </c>
      <c r="R260" s="280" t="n"/>
      <c r="S260" s="280" t="n"/>
      <c r="T260" s="280" t="n"/>
      <c r="U260" s="280" t="n"/>
      <c r="V260" s="280" t="n"/>
      <c r="W260" s="280" t="n"/>
      <c r="X260" s="280" t="n"/>
      <c r="Y260" s="280" t="n"/>
    </row>
    <row r="261" ht="15" customHeight="1" s="195">
      <c r="A261" s="334" t="n"/>
      <c r="B261" s="334" t="n"/>
      <c r="C261" s="334" t="n"/>
      <c r="D261" s="334" t="n"/>
      <c r="E261" s="334" t="n"/>
      <c r="F261" s="334" t="n"/>
      <c r="G261" s="334" t="n"/>
      <c r="H261" s="334" t="n"/>
      <c r="I261" s="332">
        <f>IFERROR(VLOOKUP(TEXT(H261,"0"),IPRESS!$A$3:$B$212,2,0),"")</f>
        <v/>
      </c>
      <c r="J261" s="334" t="n"/>
      <c r="K261" s="332">
        <f>IFERROR(VLOOKUP(TEXT(O261,"0"),CONDUCTORES!$A$3:$G$54,7,0),"")</f>
        <v/>
      </c>
      <c r="L261" s="334" t="n"/>
      <c r="M261" s="334" t="n"/>
      <c r="N261" s="333">
        <f>IFERROR(IF(L261*M261=0,"",L261*M261),"")</f>
        <v/>
      </c>
      <c r="O261" s="334" t="n"/>
      <c r="P261" s="332">
        <f>IFERROR(VLOOKUP(TEXT(O261,"0"),CONDUCTORES!$A$3:$G$54,2,0),"")</f>
        <v/>
      </c>
      <c r="Q261" s="332">
        <f>IFERROR(VLOOKUP(TEXT(O261,"0"),CONDUCTORES!$A$3:$H$54,6,0),"")</f>
        <v/>
      </c>
      <c r="R261" s="334" t="n"/>
      <c r="S261" s="334" t="n"/>
      <c r="T261" s="334" t="n"/>
      <c r="U261" s="334" t="n"/>
      <c r="V261" s="334" t="n"/>
      <c r="W261" s="334" t="n"/>
      <c r="X261" s="334" t="n"/>
      <c r="Y261" s="334" t="n"/>
    </row>
    <row r="262" ht="15" customHeight="1" s="195">
      <c r="A262" s="280" t="n"/>
      <c r="B262" s="280" t="n"/>
      <c r="C262" s="280" t="n"/>
      <c r="D262" s="280" t="n"/>
      <c r="E262" s="280" t="n"/>
      <c r="F262" s="280" t="n"/>
      <c r="G262" s="280" t="n"/>
      <c r="H262" s="280" t="n"/>
      <c r="I262" s="332">
        <f>IFERROR(VLOOKUP(TEXT(H262,"0"),IPRESS!$A$3:$B$212,2,0),"")</f>
        <v/>
      </c>
      <c r="J262" s="280" t="n"/>
      <c r="K262" s="332">
        <f>IFERROR(VLOOKUP(TEXT(O262,"0"),CONDUCTORES!$A$3:$G$54,7,0),"")</f>
        <v/>
      </c>
      <c r="L262" s="280" t="n"/>
      <c r="M262" s="280" t="n"/>
      <c r="N262" s="333">
        <f>IFERROR(IF(L262*M262=0,"",L262*M262),"")</f>
        <v/>
      </c>
      <c r="O262" s="280" t="n"/>
      <c r="P262" s="332">
        <f>IFERROR(VLOOKUP(TEXT(O262,"0"),CONDUCTORES!$A$3:$G$54,2,0),"")</f>
        <v/>
      </c>
      <c r="Q262" s="332">
        <f>IFERROR(VLOOKUP(TEXT(O262,"0"),CONDUCTORES!$A$3:$H$54,6,0),"")</f>
        <v/>
      </c>
      <c r="R262" s="280" t="n"/>
      <c r="S262" s="280" t="n"/>
      <c r="T262" s="280" t="n"/>
      <c r="U262" s="280" t="n"/>
      <c r="V262" s="280" t="n"/>
      <c r="W262" s="280" t="n"/>
      <c r="X262" s="280" t="n"/>
      <c r="Y262" s="280" t="n"/>
    </row>
    <row r="263" ht="15" customHeight="1" s="195">
      <c r="A263" s="334" t="n"/>
      <c r="B263" s="334" t="n"/>
      <c r="C263" s="334" t="n"/>
      <c r="D263" s="334" t="n"/>
      <c r="E263" s="334" t="n"/>
      <c r="F263" s="334" t="n"/>
      <c r="G263" s="334" t="n"/>
      <c r="H263" s="334" t="n"/>
      <c r="I263" s="332">
        <f>IFERROR(VLOOKUP(TEXT(H263,"0"),IPRESS!$A$3:$B$212,2,0),"")</f>
        <v/>
      </c>
      <c r="J263" s="334" t="n"/>
      <c r="K263" s="332">
        <f>IFERROR(VLOOKUP(TEXT(O263,"0"),CONDUCTORES!$A$3:$G$54,7,0),"")</f>
        <v/>
      </c>
      <c r="L263" s="334" t="n"/>
      <c r="M263" s="334" t="n"/>
      <c r="N263" s="333">
        <f>IFERROR(IF(L263*M263=0,"",L263*M263),"")</f>
        <v/>
      </c>
      <c r="O263" s="334" t="n"/>
      <c r="P263" s="332">
        <f>IFERROR(VLOOKUP(TEXT(O263,"0"),CONDUCTORES!$A$3:$G$54,2,0),"")</f>
        <v/>
      </c>
      <c r="Q263" s="332">
        <f>IFERROR(VLOOKUP(TEXT(O263,"0"),CONDUCTORES!$A$3:$H$54,6,0),"")</f>
        <v/>
      </c>
      <c r="R263" s="334" t="n"/>
      <c r="S263" s="334" t="n"/>
      <c r="T263" s="334" t="n"/>
      <c r="U263" s="334" t="n"/>
      <c r="V263" s="334" t="n"/>
      <c r="W263" s="334" t="n"/>
      <c r="X263" s="334" t="n"/>
      <c r="Y263" s="334" t="n"/>
    </row>
    <row r="264" ht="15" customHeight="1" s="195">
      <c r="A264" s="280" t="n"/>
      <c r="B264" s="280" t="n"/>
      <c r="C264" s="280" t="n"/>
      <c r="D264" s="280" t="n"/>
      <c r="E264" s="280" t="n"/>
      <c r="F264" s="280" t="n"/>
      <c r="G264" s="280" t="n"/>
      <c r="H264" s="280" t="n"/>
      <c r="I264" s="332">
        <f>IFERROR(VLOOKUP(TEXT(H264,"0"),IPRESS!$A$3:$B$212,2,0),"")</f>
        <v/>
      </c>
      <c r="J264" s="280" t="n"/>
      <c r="K264" s="332">
        <f>IFERROR(VLOOKUP(TEXT(O264,"0"),CONDUCTORES!$A$3:$G$54,7,0),"")</f>
        <v/>
      </c>
      <c r="L264" s="280" t="n"/>
      <c r="M264" s="280" t="n"/>
      <c r="N264" s="333">
        <f>IFERROR(IF(L264*M264=0,"",L264*M264),"")</f>
        <v/>
      </c>
      <c r="O264" s="280" t="n"/>
      <c r="P264" s="332">
        <f>IFERROR(VLOOKUP(TEXT(O264,"0"),CONDUCTORES!$A$3:$G$54,2,0),"")</f>
        <v/>
      </c>
      <c r="Q264" s="332">
        <f>IFERROR(VLOOKUP(TEXT(O264,"0"),CONDUCTORES!$A$3:$H$54,6,0),"")</f>
        <v/>
      </c>
      <c r="R264" s="280" t="n"/>
      <c r="S264" s="280" t="n"/>
      <c r="T264" s="280" t="n"/>
      <c r="U264" s="280" t="n"/>
      <c r="V264" s="280" t="n"/>
      <c r="W264" s="280" t="n"/>
      <c r="X264" s="280" t="n"/>
      <c r="Y264" s="280" t="n"/>
    </row>
    <row r="265" ht="15" customHeight="1" s="195">
      <c r="A265" s="334" t="n"/>
      <c r="B265" s="334" t="n"/>
      <c r="C265" s="334" t="n"/>
      <c r="D265" s="334" t="n"/>
      <c r="E265" s="334" t="n"/>
      <c r="F265" s="334" t="n"/>
      <c r="G265" s="334" t="n"/>
      <c r="H265" s="334" t="n"/>
      <c r="I265" s="332">
        <f>IFERROR(VLOOKUP(TEXT(H265,"0"),IPRESS!$A$3:$B$212,2,0),"")</f>
        <v/>
      </c>
      <c r="J265" s="334" t="n"/>
      <c r="K265" s="332">
        <f>IFERROR(VLOOKUP(TEXT(O265,"0"),CONDUCTORES!$A$3:$G$54,7,0),"")</f>
        <v/>
      </c>
      <c r="L265" s="334" t="n"/>
      <c r="M265" s="334" t="n"/>
      <c r="N265" s="333">
        <f>IFERROR(IF(L265*M265=0,"",L265*M265),"")</f>
        <v/>
      </c>
      <c r="O265" s="334" t="n"/>
      <c r="P265" s="332">
        <f>IFERROR(VLOOKUP(TEXT(O265,"0"),CONDUCTORES!$A$3:$G$54,2,0),"")</f>
        <v/>
      </c>
      <c r="Q265" s="332">
        <f>IFERROR(VLOOKUP(TEXT(O265,"0"),CONDUCTORES!$A$3:$H$54,6,0),"")</f>
        <v/>
      </c>
      <c r="R265" s="334" t="n"/>
      <c r="S265" s="334" t="n"/>
      <c r="T265" s="334" t="n"/>
      <c r="U265" s="334" t="n"/>
      <c r="V265" s="334" t="n"/>
      <c r="W265" s="334" t="n"/>
      <c r="X265" s="334" t="n"/>
      <c r="Y265" s="334" t="n"/>
    </row>
    <row r="266" ht="15" customHeight="1" s="195">
      <c r="A266" s="280" t="n"/>
      <c r="B266" s="280" t="n"/>
      <c r="C266" s="280" t="n"/>
      <c r="D266" s="280" t="n"/>
      <c r="E266" s="280" t="n"/>
      <c r="F266" s="280" t="n"/>
      <c r="G266" s="280" t="n"/>
      <c r="H266" s="280" t="n"/>
      <c r="I266" s="332">
        <f>IFERROR(VLOOKUP(TEXT(H266,"0"),IPRESS!$A$3:$B$212,2,0),"")</f>
        <v/>
      </c>
      <c r="J266" s="280" t="n"/>
      <c r="K266" s="332">
        <f>IFERROR(VLOOKUP(TEXT(O266,"0"),CONDUCTORES!$A$3:$G$54,7,0),"")</f>
        <v/>
      </c>
      <c r="L266" s="280" t="n"/>
      <c r="M266" s="280" t="n"/>
      <c r="N266" s="333">
        <f>IFERROR(IF(L266*M266=0,"",L266*M266),"")</f>
        <v/>
      </c>
      <c r="O266" s="280" t="n"/>
      <c r="P266" s="332">
        <f>IFERROR(VLOOKUP(TEXT(O266,"0"),CONDUCTORES!$A$3:$G$54,2,0),"")</f>
        <v/>
      </c>
      <c r="Q266" s="332">
        <f>IFERROR(VLOOKUP(TEXT(O266,"0"),CONDUCTORES!$A$3:$H$54,6,0),"")</f>
        <v/>
      </c>
      <c r="R266" s="280" t="n"/>
      <c r="S266" s="280" t="n"/>
      <c r="T266" s="280" t="n"/>
      <c r="U266" s="280" t="n"/>
      <c r="V266" s="280" t="n"/>
      <c r="W266" s="280" t="n"/>
      <c r="X266" s="280" t="n"/>
      <c r="Y266" s="280" t="n"/>
    </row>
    <row r="267" ht="15" customHeight="1" s="195">
      <c r="A267" s="334" t="n"/>
      <c r="B267" s="334" t="n"/>
      <c r="C267" s="334" t="n"/>
      <c r="D267" s="334" t="n"/>
      <c r="E267" s="334" t="n"/>
      <c r="F267" s="334" t="n"/>
      <c r="G267" s="334" t="n"/>
      <c r="H267" s="334" t="n"/>
      <c r="I267" s="332">
        <f>IFERROR(VLOOKUP(TEXT(H267,"0"),IPRESS!$A$3:$B$212,2,0),"")</f>
        <v/>
      </c>
      <c r="J267" s="334" t="n"/>
      <c r="K267" s="332">
        <f>IFERROR(VLOOKUP(TEXT(O267,"0"),CONDUCTORES!$A$3:$G$54,7,0),"")</f>
        <v/>
      </c>
      <c r="L267" s="334" t="n"/>
      <c r="M267" s="334" t="n"/>
      <c r="N267" s="333">
        <f>IFERROR(IF(L267*M267=0,"",L267*M267),"")</f>
        <v/>
      </c>
      <c r="O267" s="334" t="n"/>
      <c r="P267" s="332">
        <f>IFERROR(VLOOKUP(TEXT(O267,"0"),CONDUCTORES!$A$3:$G$54,2,0),"")</f>
        <v/>
      </c>
      <c r="Q267" s="332">
        <f>IFERROR(VLOOKUP(TEXT(O267,"0"),CONDUCTORES!$A$3:$H$54,6,0),"")</f>
        <v/>
      </c>
      <c r="R267" s="334" t="n"/>
      <c r="S267" s="334" t="n"/>
      <c r="T267" s="334" t="n"/>
      <c r="U267" s="334" t="n"/>
      <c r="V267" s="334" t="n"/>
      <c r="W267" s="334" t="n"/>
      <c r="X267" s="334" t="n"/>
      <c r="Y267" s="334" t="n"/>
    </row>
    <row r="268" ht="15" customHeight="1" s="195">
      <c r="A268" s="280" t="n"/>
      <c r="B268" s="280" t="n"/>
      <c r="C268" s="280" t="n"/>
      <c r="D268" s="280" t="n"/>
      <c r="E268" s="280" t="n"/>
      <c r="F268" s="280" t="n"/>
      <c r="G268" s="280" t="n"/>
      <c r="H268" s="280" t="n"/>
      <c r="I268" s="332">
        <f>IFERROR(VLOOKUP(TEXT(H268,"0"),IPRESS!$A$3:$B$212,2,0),"")</f>
        <v/>
      </c>
      <c r="J268" s="280" t="n"/>
      <c r="K268" s="332">
        <f>IFERROR(VLOOKUP(TEXT(O268,"0"),CONDUCTORES!$A$3:$G$54,7,0),"")</f>
        <v/>
      </c>
      <c r="L268" s="280" t="n"/>
      <c r="M268" s="280" t="n"/>
      <c r="N268" s="333">
        <f>IFERROR(IF(L268*M268=0,"",L268*M268),"")</f>
        <v/>
      </c>
      <c r="O268" s="280" t="n"/>
      <c r="P268" s="332">
        <f>IFERROR(VLOOKUP(TEXT(O268,"0"),CONDUCTORES!$A$3:$G$54,2,0),"")</f>
        <v/>
      </c>
      <c r="Q268" s="332">
        <f>IFERROR(VLOOKUP(TEXT(O268,"0"),CONDUCTORES!$A$3:$H$54,6,0),"")</f>
        <v/>
      </c>
      <c r="R268" s="280" t="n"/>
      <c r="S268" s="280" t="n"/>
      <c r="T268" s="280" t="n"/>
      <c r="U268" s="280" t="n"/>
      <c r="V268" s="280" t="n"/>
      <c r="W268" s="280" t="n"/>
      <c r="X268" s="280" t="n"/>
      <c r="Y268" s="280" t="n"/>
    </row>
    <row r="269" ht="15" customHeight="1" s="195">
      <c r="A269" s="334" t="n"/>
      <c r="B269" s="334" t="n"/>
      <c r="C269" s="334" t="n"/>
      <c r="D269" s="334" t="n"/>
      <c r="E269" s="334" t="n"/>
      <c r="F269" s="334" t="n"/>
      <c r="G269" s="334" t="n"/>
      <c r="H269" s="334" t="n"/>
      <c r="I269" s="332">
        <f>IFERROR(VLOOKUP(TEXT(H269,"0"),IPRESS!$A$3:$B$212,2,0),"")</f>
        <v/>
      </c>
      <c r="J269" s="334" t="n"/>
      <c r="K269" s="332">
        <f>IFERROR(VLOOKUP(TEXT(O269,"0"),CONDUCTORES!$A$3:$G$54,7,0),"")</f>
        <v/>
      </c>
      <c r="L269" s="334" t="n"/>
      <c r="M269" s="334" t="n"/>
      <c r="N269" s="333">
        <f>IFERROR(IF(L269*M269=0,"",L269*M269),"")</f>
        <v/>
      </c>
      <c r="O269" s="334" t="n"/>
      <c r="P269" s="332">
        <f>IFERROR(VLOOKUP(TEXT(O269,"0"),CONDUCTORES!$A$3:$G$54,2,0),"")</f>
        <v/>
      </c>
      <c r="Q269" s="332">
        <f>IFERROR(VLOOKUP(TEXT(O269,"0"),CONDUCTORES!$A$3:$H$54,6,0),"")</f>
        <v/>
      </c>
      <c r="R269" s="334" t="n"/>
      <c r="S269" s="334" t="n"/>
      <c r="T269" s="334" t="n"/>
      <c r="U269" s="334" t="n"/>
      <c r="V269" s="334" t="n"/>
      <c r="W269" s="334" t="n"/>
      <c r="X269" s="334" t="n"/>
      <c r="Y269" s="334" t="n"/>
    </row>
    <row r="270" ht="15" customHeight="1" s="195">
      <c r="A270" s="280" t="n"/>
      <c r="B270" s="280" t="n"/>
      <c r="C270" s="280" t="n"/>
      <c r="D270" s="280" t="n"/>
      <c r="E270" s="280" t="n"/>
      <c r="F270" s="280" t="n"/>
      <c r="G270" s="280" t="n"/>
      <c r="H270" s="280" t="n"/>
      <c r="I270" s="332">
        <f>IFERROR(VLOOKUP(TEXT(H270,"0"),IPRESS!$A$3:$B$212,2,0),"")</f>
        <v/>
      </c>
      <c r="J270" s="280" t="n"/>
      <c r="K270" s="332">
        <f>IFERROR(VLOOKUP(TEXT(O270,"0"),CONDUCTORES!$A$3:$G$54,7,0),"")</f>
        <v/>
      </c>
      <c r="L270" s="280" t="n"/>
      <c r="M270" s="280" t="n"/>
      <c r="N270" s="333">
        <f>IFERROR(IF(L270*M270=0,"",L270*M270),"")</f>
        <v/>
      </c>
      <c r="O270" s="280" t="n"/>
      <c r="P270" s="332">
        <f>IFERROR(VLOOKUP(TEXT(O270,"0"),CONDUCTORES!$A$3:$G$54,2,0),"")</f>
        <v/>
      </c>
      <c r="Q270" s="332">
        <f>IFERROR(VLOOKUP(TEXT(O270,"0"),CONDUCTORES!$A$3:$H$54,6,0),"")</f>
        <v/>
      </c>
      <c r="R270" s="280" t="n"/>
      <c r="S270" s="280" t="n"/>
      <c r="T270" s="280" t="n"/>
      <c r="U270" s="280" t="n"/>
      <c r="V270" s="280" t="n"/>
      <c r="W270" s="280" t="n"/>
      <c r="X270" s="280" t="n"/>
      <c r="Y270" s="280" t="n"/>
    </row>
    <row r="271" ht="15" customHeight="1" s="195">
      <c r="A271" s="334" t="n"/>
      <c r="B271" s="334" t="n"/>
      <c r="C271" s="334" t="n"/>
      <c r="D271" s="334" t="n"/>
      <c r="E271" s="334" t="n"/>
      <c r="F271" s="334" t="n"/>
      <c r="G271" s="334" t="n"/>
      <c r="H271" s="334" t="n"/>
      <c r="I271" s="332">
        <f>IFERROR(VLOOKUP(TEXT(H271,"0"),IPRESS!$A$3:$B$212,2,0),"")</f>
        <v/>
      </c>
      <c r="J271" s="334" t="n"/>
      <c r="K271" s="332">
        <f>IFERROR(VLOOKUP(TEXT(O271,"0"),CONDUCTORES!$A$3:$G$54,7,0),"")</f>
        <v/>
      </c>
      <c r="L271" s="334" t="n"/>
      <c r="M271" s="334" t="n"/>
      <c r="N271" s="333">
        <f>IFERROR(IF(L271*M271=0,"",L271*M271),"")</f>
        <v/>
      </c>
      <c r="O271" s="334" t="n"/>
      <c r="P271" s="332">
        <f>IFERROR(VLOOKUP(TEXT(O271,"0"),CONDUCTORES!$A$3:$G$54,2,0),"")</f>
        <v/>
      </c>
      <c r="Q271" s="332">
        <f>IFERROR(VLOOKUP(TEXT(O271,"0"),CONDUCTORES!$A$3:$H$54,6,0),"")</f>
        <v/>
      </c>
      <c r="R271" s="334" t="n"/>
      <c r="S271" s="334" t="n"/>
      <c r="T271" s="334" t="n"/>
      <c r="U271" s="334" t="n"/>
      <c r="V271" s="334" t="n"/>
      <c r="W271" s="334" t="n"/>
      <c r="X271" s="334" t="n"/>
      <c r="Y271" s="334" t="n"/>
    </row>
    <row r="272" ht="15" customHeight="1" s="195">
      <c r="A272" s="280" t="n"/>
      <c r="B272" s="280" t="n"/>
      <c r="C272" s="280" t="n"/>
      <c r="D272" s="280" t="n"/>
      <c r="E272" s="280" t="n"/>
      <c r="F272" s="280" t="n"/>
      <c r="G272" s="280" t="n"/>
      <c r="H272" s="280" t="n"/>
      <c r="I272" s="332">
        <f>IFERROR(VLOOKUP(TEXT(H272,"0"),IPRESS!$A$3:$B$212,2,0),"")</f>
        <v/>
      </c>
      <c r="J272" s="280" t="n"/>
      <c r="K272" s="332">
        <f>IFERROR(VLOOKUP(TEXT(O272,"0"),CONDUCTORES!$A$3:$G$54,7,0),"")</f>
        <v/>
      </c>
      <c r="L272" s="280" t="n"/>
      <c r="M272" s="280" t="n"/>
      <c r="N272" s="333">
        <f>IFERROR(IF(L272*M272=0,"",L272*M272),"")</f>
        <v/>
      </c>
      <c r="O272" s="280" t="n"/>
      <c r="P272" s="332">
        <f>IFERROR(VLOOKUP(TEXT(O272,"0"),CONDUCTORES!$A$3:$G$54,2,0),"")</f>
        <v/>
      </c>
      <c r="Q272" s="332">
        <f>IFERROR(VLOOKUP(TEXT(O272,"0"),CONDUCTORES!$A$3:$H$54,6,0),"")</f>
        <v/>
      </c>
      <c r="R272" s="280" t="n"/>
      <c r="S272" s="280" t="n"/>
      <c r="T272" s="280" t="n"/>
      <c r="U272" s="280" t="n"/>
      <c r="V272" s="280" t="n"/>
      <c r="W272" s="280" t="n"/>
      <c r="X272" s="280" t="n"/>
      <c r="Y272" s="280" t="n"/>
    </row>
    <row r="273" ht="15" customHeight="1" s="195">
      <c r="A273" s="334" t="n"/>
      <c r="B273" s="334" t="n"/>
      <c r="C273" s="334" t="n"/>
      <c r="D273" s="334" t="n"/>
      <c r="E273" s="334" t="n"/>
      <c r="F273" s="334" t="n"/>
      <c r="G273" s="334" t="n"/>
      <c r="H273" s="334" t="n"/>
      <c r="I273" s="332">
        <f>IFERROR(VLOOKUP(TEXT(H273,"0"),IPRESS!$A$3:$B$212,2,0),"")</f>
        <v/>
      </c>
      <c r="J273" s="334" t="n"/>
      <c r="K273" s="332">
        <f>IFERROR(VLOOKUP(TEXT(O273,"0"),CONDUCTORES!$A$3:$G$54,7,0),"")</f>
        <v/>
      </c>
      <c r="L273" s="334" t="n"/>
      <c r="M273" s="334" t="n"/>
      <c r="N273" s="333">
        <f>IFERROR(IF(L273*M273=0,"",L273*M273),"")</f>
        <v/>
      </c>
      <c r="O273" s="334" t="n"/>
      <c r="P273" s="332">
        <f>IFERROR(VLOOKUP(TEXT(O273,"0"),CONDUCTORES!$A$3:$G$54,2,0),"")</f>
        <v/>
      </c>
      <c r="Q273" s="332">
        <f>IFERROR(VLOOKUP(TEXT(O273,"0"),CONDUCTORES!$A$3:$H$54,6,0),"")</f>
        <v/>
      </c>
      <c r="R273" s="334" t="n"/>
      <c r="S273" s="334" t="n"/>
      <c r="T273" s="334" t="n"/>
      <c r="U273" s="334" t="n"/>
      <c r="V273" s="334" t="n"/>
      <c r="W273" s="334" t="n"/>
      <c r="X273" s="334" t="n"/>
      <c r="Y273" s="334" t="n"/>
    </row>
    <row r="274" ht="15" customHeight="1" s="195">
      <c r="A274" s="280" t="n"/>
      <c r="B274" s="280" t="n"/>
      <c r="C274" s="280" t="n"/>
      <c r="D274" s="280" t="n"/>
      <c r="E274" s="280" t="n"/>
      <c r="F274" s="280" t="n"/>
      <c r="G274" s="280" t="n"/>
      <c r="H274" s="280" t="n"/>
      <c r="I274" s="332">
        <f>IFERROR(VLOOKUP(TEXT(H274,"0"),IPRESS!$A$3:$B$212,2,0),"")</f>
        <v/>
      </c>
      <c r="J274" s="280" t="n"/>
      <c r="K274" s="332">
        <f>IFERROR(VLOOKUP(TEXT(O274,"0"),CONDUCTORES!$A$3:$G$54,7,0),"")</f>
        <v/>
      </c>
      <c r="L274" s="280" t="n"/>
      <c r="M274" s="280" t="n"/>
      <c r="N274" s="333">
        <f>IFERROR(IF(L274*M274=0,"",L274*M274),"")</f>
        <v/>
      </c>
      <c r="O274" s="280" t="n"/>
      <c r="P274" s="332">
        <f>IFERROR(VLOOKUP(TEXT(O274,"0"),CONDUCTORES!$A$3:$G$54,2,0),"")</f>
        <v/>
      </c>
      <c r="Q274" s="332">
        <f>IFERROR(VLOOKUP(TEXT(O274,"0"),CONDUCTORES!$A$3:$H$54,6,0),"")</f>
        <v/>
      </c>
      <c r="R274" s="280" t="n"/>
      <c r="S274" s="280" t="n"/>
      <c r="T274" s="280" t="n"/>
      <c r="U274" s="280" t="n"/>
      <c r="V274" s="280" t="n"/>
      <c r="W274" s="280" t="n"/>
      <c r="X274" s="280" t="n"/>
      <c r="Y274" s="280" t="n"/>
    </row>
    <row r="275" ht="15" customHeight="1" s="195">
      <c r="A275" s="334" t="n"/>
      <c r="B275" s="334" t="n"/>
      <c r="C275" s="334" t="n"/>
      <c r="D275" s="334" t="n"/>
      <c r="E275" s="334" t="n"/>
      <c r="F275" s="334" t="n"/>
      <c r="G275" s="334" t="n"/>
      <c r="H275" s="334" t="n"/>
      <c r="I275" s="332">
        <f>IFERROR(VLOOKUP(TEXT(H275,"0"),IPRESS!$A$3:$B$212,2,0),"")</f>
        <v/>
      </c>
      <c r="J275" s="334" t="n"/>
      <c r="K275" s="332">
        <f>IFERROR(VLOOKUP(TEXT(O275,"0"),CONDUCTORES!$A$3:$G$54,7,0),"")</f>
        <v/>
      </c>
      <c r="L275" s="334" t="n"/>
      <c r="M275" s="334" t="n"/>
      <c r="N275" s="333">
        <f>IFERROR(IF(L275*M275=0,"",L275*M275),"")</f>
        <v/>
      </c>
      <c r="O275" s="334" t="n"/>
      <c r="P275" s="332">
        <f>IFERROR(VLOOKUP(TEXT(O275,"0"),CONDUCTORES!$A$3:$G$54,2,0),"")</f>
        <v/>
      </c>
      <c r="Q275" s="332">
        <f>IFERROR(VLOOKUP(TEXT(O275,"0"),CONDUCTORES!$A$3:$H$54,6,0),"")</f>
        <v/>
      </c>
      <c r="R275" s="334" t="n"/>
      <c r="S275" s="334" t="n"/>
      <c r="T275" s="334" t="n"/>
      <c r="U275" s="334" t="n"/>
      <c r="V275" s="334" t="n"/>
      <c r="W275" s="334" t="n"/>
      <c r="X275" s="334" t="n"/>
      <c r="Y275" s="334" t="n"/>
    </row>
    <row r="276" ht="15" customHeight="1" s="195">
      <c r="A276" s="280" t="n"/>
      <c r="B276" s="280" t="n"/>
      <c r="C276" s="280" t="n"/>
      <c r="D276" s="280" t="n"/>
      <c r="E276" s="280" t="n"/>
      <c r="F276" s="280" t="n"/>
      <c r="G276" s="280" t="n"/>
      <c r="H276" s="280" t="n"/>
      <c r="I276" s="332">
        <f>IFERROR(VLOOKUP(TEXT(H276,"0"),IPRESS!$A$3:$B$212,2,0),"")</f>
        <v/>
      </c>
      <c r="J276" s="280" t="n"/>
      <c r="K276" s="332">
        <f>IFERROR(VLOOKUP(TEXT(O276,"0"),CONDUCTORES!$A$3:$G$54,7,0),"")</f>
        <v/>
      </c>
      <c r="L276" s="280" t="n"/>
      <c r="M276" s="280" t="n"/>
      <c r="N276" s="333">
        <f>IFERROR(IF(L276*M276=0,"",L276*M276),"")</f>
        <v/>
      </c>
      <c r="O276" s="280" t="n"/>
      <c r="P276" s="332">
        <f>IFERROR(VLOOKUP(TEXT(O276,"0"),CONDUCTORES!$A$3:$G$54,2,0),"")</f>
        <v/>
      </c>
      <c r="Q276" s="332">
        <f>IFERROR(VLOOKUP(TEXT(O276,"0"),CONDUCTORES!$A$3:$H$54,6,0),"")</f>
        <v/>
      </c>
      <c r="R276" s="280" t="n"/>
      <c r="S276" s="280" t="n"/>
      <c r="T276" s="280" t="n"/>
      <c r="U276" s="280" t="n"/>
      <c r="V276" s="280" t="n"/>
      <c r="W276" s="280" t="n"/>
      <c r="X276" s="280" t="n"/>
      <c r="Y276" s="280" t="n"/>
    </row>
    <row r="277" ht="15" customHeight="1" s="195">
      <c r="A277" s="334" t="n"/>
      <c r="B277" s="334" t="n"/>
      <c r="C277" s="334" t="n"/>
      <c r="D277" s="334" t="n"/>
      <c r="E277" s="334" t="n"/>
      <c r="F277" s="334" t="n"/>
      <c r="G277" s="334" t="n"/>
      <c r="H277" s="334" t="n"/>
      <c r="I277" s="332">
        <f>IFERROR(VLOOKUP(TEXT(H277,"0"),IPRESS!$A$3:$B$212,2,0),"")</f>
        <v/>
      </c>
      <c r="J277" s="334" t="n"/>
      <c r="K277" s="332">
        <f>IFERROR(VLOOKUP(TEXT(O277,"0"),CONDUCTORES!$A$3:$G$54,7,0),"")</f>
        <v/>
      </c>
      <c r="L277" s="334" t="n"/>
      <c r="M277" s="334" t="n"/>
      <c r="N277" s="333">
        <f>IFERROR(IF(L277*M277=0,"",L277*M277),"")</f>
        <v/>
      </c>
      <c r="O277" s="334" t="n"/>
      <c r="P277" s="332">
        <f>IFERROR(VLOOKUP(TEXT(O277,"0"),CONDUCTORES!$A$3:$G$54,2,0),"")</f>
        <v/>
      </c>
      <c r="Q277" s="332">
        <f>IFERROR(VLOOKUP(TEXT(O277,"0"),CONDUCTORES!$A$3:$H$54,6,0),"")</f>
        <v/>
      </c>
      <c r="R277" s="334" t="n"/>
      <c r="S277" s="334" t="n"/>
      <c r="T277" s="334" t="n"/>
      <c r="U277" s="334" t="n"/>
      <c r="V277" s="334" t="n"/>
      <c r="W277" s="334" t="n"/>
      <c r="X277" s="334" t="n"/>
      <c r="Y277" s="334" t="n"/>
    </row>
    <row r="278" ht="15" customHeight="1" s="195">
      <c r="A278" s="280" t="n"/>
      <c r="B278" s="280" t="n"/>
      <c r="C278" s="280" t="n"/>
      <c r="D278" s="280" t="n"/>
      <c r="E278" s="280" t="n"/>
      <c r="F278" s="280" t="n"/>
      <c r="G278" s="280" t="n"/>
      <c r="H278" s="280" t="n"/>
      <c r="I278" s="332">
        <f>IFERROR(VLOOKUP(TEXT(H278,"0"),IPRESS!$A$3:$B$212,2,0),"")</f>
        <v/>
      </c>
      <c r="J278" s="280" t="n"/>
      <c r="K278" s="332">
        <f>IFERROR(VLOOKUP(TEXT(O278,"0"),CONDUCTORES!$A$3:$G$54,7,0),"")</f>
        <v/>
      </c>
      <c r="L278" s="280" t="n"/>
      <c r="M278" s="280" t="n"/>
      <c r="N278" s="333">
        <f>IFERROR(IF(L278*M278=0,"",L278*M278),"")</f>
        <v/>
      </c>
      <c r="O278" s="280" t="n"/>
      <c r="P278" s="332">
        <f>IFERROR(VLOOKUP(TEXT(O278,"0"),CONDUCTORES!$A$3:$G$54,2,0),"")</f>
        <v/>
      </c>
      <c r="Q278" s="332">
        <f>IFERROR(VLOOKUP(TEXT(O278,"0"),CONDUCTORES!$A$3:$H$54,6,0),"")</f>
        <v/>
      </c>
      <c r="R278" s="280" t="n"/>
      <c r="S278" s="280" t="n"/>
      <c r="T278" s="280" t="n"/>
      <c r="U278" s="280" t="n"/>
      <c r="V278" s="280" t="n"/>
      <c r="W278" s="280" t="n"/>
      <c r="X278" s="280" t="n"/>
      <c r="Y278" s="280" t="n"/>
    </row>
    <row r="279" ht="15" customHeight="1" s="195">
      <c r="A279" s="334" t="n"/>
      <c r="B279" s="334" t="n"/>
      <c r="C279" s="334" t="n"/>
      <c r="D279" s="334" t="n"/>
      <c r="E279" s="334" t="n"/>
      <c r="F279" s="334" t="n"/>
      <c r="G279" s="334" t="n"/>
      <c r="H279" s="334" t="n"/>
      <c r="I279" s="332">
        <f>IFERROR(VLOOKUP(TEXT(H279,"0"),IPRESS!$A$3:$B$212,2,0),"")</f>
        <v/>
      </c>
      <c r="J279" s="334" t="n"/>
      <c r="K279" s="332">
        <f>IFERROR(VLOOKUP(TEXT(O279,"0"),CONDUCTORES!$A$3:$G$54,7,0),"")</f>
        <v/>
      </c>
      <c r="L279" s="334" t="n"/>
      <c r="M279" s="334" t="n"/>
      <c r="N279" s="333">
        <f>IFERROR(IF(L279*M279=0,"",L279*M279),"")</f>
        <v/>
      </c>
      <c r="O279" s="334" t="n"/>
      <c r="P279" s="332">
        <f>IFERROR(VLOOKUP(TEXT(O279,"0"),CONDUCTORES!$A$3:$G$54,2,0),"")</f>
        <v/>
      </c>
      <c r="Q279" s="332">
        <f>IFERROR(VLOOKUP(TEXT(O279,"0"),CONDUCTORES!$A$3:$H$54,6,0),"")</f>
        <v/>
      </c>
      <c r="R279" s="334" t="n"/>
      <c r="S279" s="334" t="n"/>
      <c r="T279" s="334" t="n"/>
      <c r="U279" s="334" t="n"/>
      <c r="V279" s="334" t="n"/>
      <c r="W279" s="334" t="n"/>
      <c r="X279" s="334" t="n"/>
      <c r="Y279" s="334" t="n"/>
    </row>
    <row r="280" ht="15" customHeight="1" s="195">
      <c r="A280" s="280" t="n"/>
      <c r="B280" s="280" t="n"/>
      <c r="C280" s="280" t="n"/>
      <c r="D280" s="280" t="n"/>
      <c r="E280" s="280" t="n"/>
      <c r="F280" s="280" t="n"/>
      <c r="G280" s="280" t="n"/>
      <c r="H280" s="280" t="n"/>
      <c r="I280" s="332">
        <f>IFERROR(VLOOKUP(TEXT(H280,"0"),IPRESS!$A$3:$B$212,2,0),"")</f>
        <v/>
      </c>
      <c r="J280" s="280" t="n"/>
      <c r="K280" s="332">
        <f>IFERROR(VLOOKUP(TEXT(O280,"0"),CONDUCTORES!$A$3:$G$54,7,0),"")</f>
        <v/>
      </c>
      <c r="L280" s="280" t="n"/>
      <c r="M280" s="280" t="n"/>
      <c r="N280" s="333">
        <f>IFERROR(IF(L280*M280=0,"",L280*M280),"")</f>
        <v/>
      </c>
      <c r="O280" s="280" t="n"/>
      <c r="P280" s="332">
        <f>IFERROR(VLOOKUP(TEXT(O280,"0"),CONDUCTORES!$A$3:$G$54,2,0),"")</f>
        <v/>
      </c>
      <c r="Q280" s="332">
        <f>IFERROR(VLOOKUP(TEXT(O280,"0"),CONDUCTORES!$A$3:$H$54,6,0),"")</f>
        <v/>
      </c>
      <c r="R280" s="280" t="n"/>
      <c r="S280" s="280" t="n"/>
      <c r="T280" s="280" t="n"/>
      <c r="U280" s="280" t="n"/>
      <c r="V280" s="280" t="n"/>
      <c r="W280" s="280" t="n"/>
      <c r="X280" s="280" t="n"/>
      <c r="Y280" s="280" t="n"/>
    </row>
    <row r="281" ht="15" customHeight="1" s="195">
      <c r="A281" s="334" t="n"/>
      <c r="B281" s="334" t="n"/>
      <c r="C281" s="334" t="n"/>
      <c r="D281" s="334" t="n"/>
      <c r="E281" s="334" t="n"/>
      <c r="F281" s="334" t="n"/>
      <c r="G281" s="334" t="n"/>
      <c r="H281" s="334" t="n"/>
      <c r="I281" s="332">
        <f>IFERROR(VLOOKUP(TEXT(H281,"0"),IPRESS!$A$3:$B$212,2,0),"")</f>
        <v/>
      </c>
      <c r="J281" s="334" t="n"/>
      <c r="K281" s="332">
        <f>IFERROR(VLOOKUP(TEXT(O281,"0"),CONDUCTORES!$A$3:$G$54,7,0),"")</f>
        <v/>
      </c>
      <c r="L281" s="334" t="n"/>
      <c r="M281" s="334" t="n"/>
      <c r="N281" s="333">
        <f>IFERROR(IF(L281*M281=0,"",L281*M281),"")</f>
        <v/>
      </c>
      <c r="O281" s="334" t="n"/>
      <c r="P281" s="332">
        <f>IFERROR(VLOOKUP(TEXT(O281,"0"),CONDUCTORES!$A$3:$G$54,2,0),"")</f>
        <v/>
      </c>
      <c r="Q281" s="332">
        <f>IFERROR(VLOOKUP(TEXT(O281,"0"),CONDUCTORES!$A$3:$H$54,6,0),"")</f>
        <v/>
      </c>
      <c r="R281" s="334" t="n"/>
      <c r="S281" s="334" t="n"/>
      <c r="T281" s="334" t="n"/>
      <c r="U281" s="334" t="n"/>
      <c r="V281" s="334" t="n"/>
      <c r="W281" s="334" t="n"/>
      <c r="X281" s="334" t="n"/>
      <c r="Y281" s="334" t="n"/>
    </row>
    <row r="282" ht="15" customHeight="1" s="195">
      <c r="A282" s="280" t="n"/>
      <c r="B282" s="280" t="n"/>
      <c r="C282" s="280" t="n"/>
      <c r="D282" s="280" t="n"/>
      <c r="E282" s="280" t="n"/>
      <c r="F282" s="280" t="n"/>
      <c r="G282" s="280" t="n"/>
      <c r="H282" s="280" t="n"/>
      <c r="I282" s="332">
        <f>IFERROR(VLOOKUP(TEXT(H282,"0"),IPRESS!$A$3:$B$212,2,0),"")</f>
        <v/>
      </c>
      <c r="J282" s="280" t="n"/>
      <c r="K282" s="332">
        <f>IFERROR(VLOOKUP(TEXT(O282,"0"),CONDUCTORES!$A$3:$G$54,7,0),"")</f>
        <v/>
      </c>
      <c r="L282" s="280" t="n"/>
      <c r="M282" s="280" t="n"/>
      <c r="N282" s="333">
        <f>IFERROR(IF(L282*M282=0,"",L282*M282),"")</f>
        <v/>
      </c>
      <c r="O282" s="280" t="n"/>
      <c r="P282" s="332">
        <f>IFERROR(VLOOKUP(TEXT(O282,"0"),CONDUCTORES!$A$3:$G$54,2,0),"")</f>
        <v/>
      </c>
      <c r="Q282" s="332">
        <f>IFERROR(VLOOKUP(TEXT(O282,"0"),CONDUCTORES!$A$3:$H$54,6,0),"")</f>
        <v/>
      </c>
      <c r="R282" s="280" t="n"/>
      <c r="S282" s="280" t="n"/>
      <c r="T282" s="280" t="n"/>
      <c r="U282" s="280" t="n"/>
      <c r="V282" s="280" t="n"/>
      <c r="W282" s="280" t="n"/>
      <c r="X282" s="280" t="n"/>
      <c r="Y282" s="280" t="n"/>
    </row>
    <row r="283" ht="15" customHeight="1" s="195">
      <c r="A283" s="334" t="n"/>
      <c r="B283" s="334" t="n"/>
      <c r="C283" s="334" t="n"/>
      <c r="D283" s="334" t="n"/>
      <c r="E283" s="334" t="n"/>
      <c r="F283" s="334" t="n"/>
      <c r="G283" s="334" t="n"/>
      <c r="H283" s="334" t="n"/>
      <c r="I283" s="332">
        <f>IFERROR(VLOOKUP(TEXT(H283,"0"),IPRESS!$A$3:$B$212,2,0),"")</f>
        <v/>
      </c>
      <c r="J283" s="334" t="n"/>
      <c r="K283" s="332">
        <f>IFERROR(VLOOKUP(TEXT(O283,"0"),CONDUCTORES!$A$3:$G$54,7,0),"")</f>
        <v/>
      </c>
      <c r="L283" s="334" t="n"/>
      <c r="M283" s="334" t="n"/>
      <c r="N283" s="333">
        <f>IFERROR(IF(L283*M283=0,"",L283*M283),"")</f>
        <v/>
      </c>
      <c r="O283" s="334" t="n"/>
      <c r="P283" s="332">
        <f>IFERROR(VLOOKUP(TEXT(O283,"0"),CONDUCTORES!$A$3:$G$54,2,0),"")</f>
        <v/>
      </c>
      <c r="Q283" s="332">
        <f>IFERROR(VLOOKUP(TEXT(O283,"0"),CONDUCTORES!$A$3:$H$54,6,0),"")</f>
        <v/>
      </c>
      <c r="R283" s="334" t="n"/>
      <c r="S283" s="334" t="n"/>
      <c r="T283" s="334" t="n"/>
      <c r="U283" s="334" t="n"/>
      <c r="V283" s="334" t="n"/>
      <c r="W283" s="334" t="n"/>
      <c r="X283" s="334" t="n"/>
      <c r="Y283" s="334" t="n"/>
    </row>
    <row r="284" ht="15" customHeight="1" s="195">
      <c r="A284" s="280" t="n"/>
      <c r="B284" s="280" t="n"/>
      <c r="C284" s="280" t="n"/>
      <c r="D284" s="280" t="n"/>
      <c r="E284" s="280" t="n"/>
      <c r="F284" s="280" t="n"/>
      <c r="G284" s="280" t="n"/>
      <c r="H284" s="280" t="n"/>
      <c r="I284" s="332">
        <f>IFERROR(VLOOKUP(TEXT(H284,"0"),IPRESS!$A$3:$B$212,2,0),"")</f>
        <v/>
      </c>
      <c r="J284" s="280" t="n"/>
      <c r="K284" s="332">
        <f>IFERROR(VLOOKUP(TEXT(O284,"0"),CONDUCTORES!$A$3:$G$54,7,0),"")</f>
        <v/>
      </c>
      <c r="L284" s="280" t="n"/>
      <c r="M284" s="280" t="n"/>
      <c r="N284" s="333">
        <f>IFERROR(IF(L284*M284=0,"",L284*M284),"")</f>
        <v/>
      </c>
      <c r="O284" s="280" t="n"/>
      <c r="P284" s="332">
        <f>IFERROR(VLOOKUP(TEXT(O284,"0"),CONDUCTORES!$A$3:$G$54,2,0),"")</f>
        <v/>
      </c>
      <c r="Q284" s="332">
        <f>IFERROR(VLOOKUP(TEXT(O284,"0"),CONDUCTORES!$A$3:$H$54,6,0),"")</f>
        <v/>
      </c>
      <c r="R284" s="280" t="n"/>
      <c r="S284" s="280" t="n"/>
      <c r="T284" s="280" t="n"/>
      <c r="U284" s="280" t="n"/>
      <c r="V284" s="280" t="n"/>
      <c r="W284" s="280" t="n"/>
      <c r="X284" s="280" t="n"/>
      <c r="Y284" s="280" t="n"/>
    </row>
    <row r="285" ht="15" customHeight="1" s="195">
      <c r="A285" s="334" t="n"/>
      <c r="B285" s="334" t="n"/>
      <c r="C285" s="334" t="n"/>
      <c r="D285" s="334" t="n"/>
      <c r="E285" s="334" t="n"/>
      <c r="F285" s="334" t="n"/>
      <c r="G285" s="334" t="n"/>
      <c r="H285" s="334" t="n"/>
      <c r="I285" s="332">
        <f>IFERROR(VLOOKUP(TEXT(H285,"0"),IPRESS!$A$3:$B$212,2,0),"")</f>
        <v/>
      </c>
      <c r="J285" s="334" t="n"/>
      <c r="K285" s="332">
        <f>IFERROR(VLOOKUP(TEXT(O285,"0"),CONDUCTORES!$A$3:$G$54,7,0),"")</f>
        <v/>
      </c>
      <c r="L285" s="334" t="n"/>
      <c r="M285" s="334" t="n"/>
      <c r="N285" s="333">
        <f>IFERROR(IF(L285*M285=0,"",L285*M285),"")</f>
        <v/>
      </c>
      <c r="O285" s="334" t="n"/>
      <c r="P285" s="332">
        <f>IFERROR(VLOOKUP(TEXT(O285,"0"),CONDUCTORES!$A$3:$G$54,2,0),"")</f>
        <v/>
      </c>
      <c r="Q285" s="332">
        <f>IFERROR(VLOOKUP(TEXT(O285,"0"),CONDUCTORES!$A$3:$H$54,6,0),"")</f>
        <v/>
      </c>
      <c r="R285" s="334" t="n"/>
      <c r="S285" s="334" t="n"/>
      <c r="T285" s="334" t="n"/>
      <c r="U285" s="334" t="n"/>
      <c r="V285" s="334" t="n"/>
      <c r="W285" s="334" t="n"/>
      <c r="X285" s="334" t="n"/>
      <c r="Y285" s="334" t="n"/>
    </row>
    <row r="286" ht="15" customHeight="1" s="195">
      <c r="A286" s="280" t="n"/>
      <c r="B286" s="280" t="n"/>
      <c r="C286" s="280" t="n"/>
      <c r="D286" s="280" t="n"/>
      <c r="E286" s="280" t="n"/>
      <c r="F286" s="280" t="n"/>
      <c r="G286" s="280" t="n"/>
      <c r="H286" s="280" t="n"/>
      <c r="I286" s="332">
        <f>IFERROR(VLOOKUP(TEXT(H286,"0"),IPRESS!$A$3:$B$212,2,0),"")</f>
        <v/>
      </c>
      <c r="J286" s="280" t="n"/>
      <c r="K286" s="332">
        <f>IFERROR(VLOOKUP(TEXT(O286,"0"),CONDUCTORES!$A$3:$G$54,7,0),"")</f>
        <v/>
      </c>
      <c r="L286" s="280" t="n"/>
      <c r="M286" s="280" t="n"/>
      <c r="N286" s="333">
        <f>IFERROR(IF(L286*M286=0,"",L286*M286),"")</f>
        <v/>
      </c>
      <c r="O286" s="280" t="n"/>
      <c r="P286" s="332">
        <f>IFERROR(VLOOKUP(TEXT(O286,"0"),CONDUCTORES!$A$3:$G$54,2,0),"")</f>
        <v/>
      </c>
      <c r="Q286" s="332">
        <f>IFERROR(VLOOKUP(TEXT(O286,"0"),CONDUCTORES!$A$3:$H$54,6,0),"")</f>
        <v/>
      </c>
      <c r="R286" s="280" t="n"/>
      <c r="S286" s="280" t="n"/>
      <c r="T286" s="280" t="n"/>
      <c r="U286" s="280" t="n"/>
      <c r="V286" s="280" t="n"/>
      <c r="W286" s="280" t="n"/>
      <c r="X286" s="280" t="n"/>
      <c r="Y286" s="280" t="n"/>
    </row>
    <row r="287" ht="15" customHeight="1" s="195">
      <c r="A287" s="334" t="n"/>
      <c r="B287" s="334" t="n"/>
      <c r="C287" s="334" t="n"/>
      <c r="D287" s="334" t="n"/>
      <c r="E287" s="334" t="n"/>
      <c r="F287" s="334" t="n"/>
      <c r="G287" s="334" t="n"/>
      <c r="H287" s="334" t="n"/>
      <c r="I287" s="332">
        <f>IFERROR(VLOOKUP(TEXT(H287,"0"),IPRESS!$A$3:$B$212,2,0),"")</f>
        <v/>
      </c>
      <c r="J287" s="334" t="n"/>
      <c r="K287" s="332">
        <f>IFERROR(VLOOKUP(TEXT(O287,"0"),CONDUCTORES!$A$3:$G$54,7,0),"")</f>
        <v/>
      </c>
      <c r="L287" s="334" t="n"/>
      <c r="M287" s="334" t="n"/>
      <c r="N287" s="333">
        <f>IFERROR(IF(L287*M287=0,"",L287*M287),"")</f>
        <v/>
      </c>
      <c r="O287" s="334" t="n"/>
      <c r="P287" s="332">
        <f>IFERROR(VLOOKUP(TEXT(O287,"0"),CONDUCTORES!$A$3:$G$54,2,0),"")</f>
        <v/>
      </c>
      <c r="Q287" s="332">
        <f>IFERROR(VLOOKUP(TEXT(O287,"0"),CONDUCTORES!$A$3:$H$54,6,0),"")</f>
        <v/>
      </c>
      <c r="R287" s="334" t="n"/>
      <c r="S287" s="334" t="n"/>
      <c r="T287" s="334" t="n"/>
      <c r="U287" s="334" t="n"/>
      <c r="V287" s="334" t="n"/>
      <c r="W287" s="334" t="n"/>
      <c r="X287" s="334" t="n"/>
      <c r="Y287" s="334" t="n"/>
    </row>
    <row r="288" ht="15" customHeight="1" s="195">
      <c r="A288" s="280" t="n"/>
      <c r="B288" s="280" t="n"/>
      <c r="C288" s="280" t="n"/>
      <c r="D288" s="280" t="n"/>
      <c r="E288" s="280" t="n"/>
      <c r="F288" s="280" t="n"/>
      <c r="G288" s="280" t="n"/>
      <c r="H288" s="280" t="n"/>
      <c r="I288" s="332">
        <f>IFERROR(VLOOKUP(TEXT(H288,"0"),IPRESS!$A$3:$B$212,2,0),"")</f>
        <v/>
      </c>
      <c r="J288" s="280" t="n"/>
      <c r="K288" s="332">
        <f>IFERROR(VLOOKUP(TEXT(O288,"0"),CONDUCTORES!$A$3:$G$54,7,0),"")</f>
        <v/>
      </c>
      <c r="L288" s="280" t="n"/>
      <c r="M288" s="280" t="n"/>
      <c r="N288" s="333">
        <f>IFERROR(IF(L288*M288=0,"",L288*M288),"")</f>
        <v/>
      </c>
      <c r="O288" s="280" t="n"/>
      <c r="P288" s="332">
        <f>IFERROR(VLOOKUP(TEXT(O288,"0"),CONDUCTORES!$A$3:$G$54,2,0),"")</f>
        <v/>
      </c>
      <c r="Q288" s="332">
        <f>IFERROR(VLOOKUP(TEXT(O288,"0"),CONDUCTORES!$A$3:$H$54,6,0),"")</f>
        <v/>
      </c>
      <c r="R288" s="280" t="n"/>
      <c r="S288" s="280" t="n"/>
      <c r="T288" s="280" t="n"/>
      <c r="U288" s="280" t="n"/>
      <c r="V288" s="280" t="n"/>
      <c r="W288" s="280" t="n"/>
      <c r="X288" s="280" t="n"/>
      <c r="Y288" s="280" t="n"/>
    </row>
    <row r="289" ht="15" customHeight="1" s="195">
      <c r="A289" s="334" t="n"/>
      <c r="B289" s="334" t="n"/>
      <c r="C289" s="334" t="n"/>
      <c r="D289" s="334" t="n"/>
      <c r="E289" s="334" t="n"/>
      <c r="F289" s="334" t="n"/>
      <c r="G289" s="334" t="n"/>
      <c r="H289" s="334" t="n"/>
      <c r="I289" s="332">
        <f>IFERROR(VLOOKUP(TEXT(H289,"0"),IPRESS!$A$3:$B$212,2,0),"")</f>
        <v/>
      </c>
      <c r="J289" s="334" t="n"/>
      <c r="K289" s="332">
        <f>IFERROR(VLOOKUP(TEXT(O289,"0"),CONDUCTORES!$A$3:$G$54,7,0),"")</f>
        <v/>
      </c>
      <c r="L289" s="334" t="n"/>
      <c r="M289" s="334" t="n"/>
      <c r="N289" s="333">
        <f>IFERROR(IF(L289*M289=0,"",L289*M289),"")</f>
        <v/>
      </c>
      <c r="O289" s="334" t="n"/>
      <c r="P289" s="332">
        <f>IFERROR(VLOOKUP(TEXT(O289,"0"),CONDUCTORES!$A$3:$G$54,2,0),"")</f>
        <v/>
      </c>
      <c r="Q289" s="332">
        <f>IFERROR(VLOOKUP(TEXT(O289,"0"),CONDUCTORES!$A$3:$H$54,6,0),"")</f>
        <v/>
      </c>
      <c r="R289" s="334" t="n"/>
      <c r="S289" s="334" t="n"/>
      <c r="T289" s="334" t="n"/>
      <c r="U289" s="334" t="n"/>
      <c r="V289" s="334" t="n"/>
      <c r="W289" s="334" t="n"/>
      <c r="X289" s="334" t="n"/>
      <c r="Y289" s="334" t="n"/>
    </row>
    <row r="290" ht="15" customHeight="1" s="195">
      <c r="A290" s="280" t="n"/>
      <c r="B290" s="280" t="n"/>
      <c r="C290" s="280" t="n"/>
      <c r="D290" s="280" t="n"/>
      <c r="E290" s="280" t="n"/>
      <c r="F290" s="280" t="n"/>
      <c r="G290" s="280" t="n"/>
      <c r="H290" s="280" t="n"/>
      <c r="I290" s="332">
        <f>IFERROR(VLOOKUP(TEXT(H290,"0"),IPRESS!$A$3:$B$212,2,0),"")</f>
        <v/>
      </c>
      <c r="J290" s="280" t="n"/>
      <c r="K290" s="332">
        <f>IFERROR(VLOOKUP(TEXT(O290,"0"),CONDUCTORES!$A$3:$G$54,7,0),"")</f>
        <v/>
      </c>
      <c r="L290" s="280" t="n"/>
      <c r="M290" s="280" t="n"/>
      <c r="N290" s="333">
        <f>IFERROR(IF(L290*M290=0,"",L290*M290),"")</f>
        <v/>
      </c>
      <c r="O290" s="280" t="n"/>
      <c r="P290" s="332">
        <f>IFERROR(VLOOKUP(TEXT(O290,"0"),CONDUCTORES!$A$3:$G$54,2,0),"")</f>
        <v/>
      </c>
      <c r="Q290" s="332">
        <f>IFERROR(VLOOKUP(TEXT(O290,"0"),CONDUCTORES!$A$3:$H$54,6,0),"")</f>
        <v/>
      </c>
      <c r="R290" s="280" t="n"/>
      <c r="S290" s="280" t="n"/>
      <c r="T290" s="280" t="n"/>
      <c r="U290" s="280" t="n"/>
      <c r="V290" s="280" t="n"/>
      <c r="W290" s="280" t="n"/>
      <c r="X290" s="280" t="n"/>
      <c r="Y290" s="280" t="n"/>
    </row>
    <row r="291" ht="15" customHeight="1" s="195">
      <c r="A291" s="334" t="n"/>
      <c r="B291" s="334" t="n"/>
      <c r="C291" s="334" t="n"/>
      <c r="D291" s="334" t="n"/>
      <c r="E291" s="334" t="n"/>
      <c r="F291" s="334" t="n"/>
      <c r="G291" s="334" t="n"/>
      <c r="H291" s="334" t="n"/>
      <c r="I291" s="332">
        <f>IFERROR(VLOOKUP(TEXT(H291,"0"),IPRESS!$A$3:$B$212,2,0),"")</f>
        <v/>
      </c>
      <c r="J291" s="334" t="n"/>
      <c r="K291" s="332">
        <f>IFERROR(VLOOKUP(TEXT(O291,"0"),CONDUCTORES!$A$3:$G$54,7,0),"")</f>
        <v/>
      </c>
      <c r="L291" s="334" t="n"/>
      <c r="M291" s="334" t="n"/>
      <c r="N291" s="333">
        <f>IFERROR(IF(L291*M291=0,"",L291*M291),"")</f>
        <v/>
      </c>
      <c r="O291" s="334" t="n"/>
      <c r="P291" s="332">
        <f>IFERROR(VLOOKUP(TEXT(O291,"0"),CONDUCTORES!$A$3:$G$54,2,0),"")</f>
        <v/>
      </c>
      <c r="Q291" s="332">
        <f>IFERROR(VLOOKUP(TEXT(O291,"0"),CONDUCTORES!$A$3:$H$54,6,0),"")</f>
        <v/>
      </c>
      <c r="R291" s="334" t="n"/>
      <c r="S291" s="334" t="n"/>
      <c r="T291" s="334" t="n"/>
      <c r="U291" s="334" t="n"/>
      <c r="V291" s="334" t="n"/>
      <c r="W291" s="334" t="n"/>
      <c r="X291" s="334" t="n"/>
      <c r="Y291" s="334" t="n"/>
    </row>
    <row r="292" ht="15" customHeight="1" s="195">
      <c r="A292" s="280" t="n"/>
      <c r="B292" s="280" t="n"/>
      <c r="C292" s="280" t="n"/>
      <c r="D292" s="280" t="n"/>
      <c r="E292" s="280" t="n"/>
      <c r="F292" s="280" t="n"/>
      <c r="G292" s="280" t="n"/>
      <c r="H292" s="280" t="n"/>
      <c r="I292" s="332">
        <f>IFERROR(VLOOKUP(TEXT(H292,"0"),IPRESS!$A$3:$B$212,2,0),"")</f>
        <v/>
      </c>
      <c r="J292" s="280" t="n"/>
      <c r="K292" s="332">
        <f>IFERROR(VLOOKUP(TEXT(O292,"0"),CONDUCTORES!$A$3:$G$54,7,0),"")</f>
        <v/>
      </c>
      <c r="L292" s="280" t="n"/>
      <c r="M292" s="280" t="n"/>
      <c r="N292" s="333">
        <f>IFERROR(IF(L292*M292=0,"",L292*M292),"")</f>
        <v/>
      </c>
      <c r="O292" s="280" t="n"/>
      <c r="P292" s="332">
        <f>IFERROR(VLOOKUP(TEXT(O292,"0"),CONDUCTORES!$A$3:$G$54,2,0),"")</f>
        <v/>
      </c>
      <c r="Q292" s="332">
        <f>IFERROR(VLOOKUP(TEXT(O292,"0"),CONDUCTORES!$A$3:$H$54,6,0),"")</f>
        <v/>
      </c>
      <c r="R292" s="280" t="n"/>
      <c r="S292" s="280" t="n"/>
      <c r="T292" s="280" t="n"/>
      <c r="U292" s="280" t="n"/>
      <c r="V292" s="280" t="n"/>
      <c r="W292" s="280" t="n"/>
      <c r="X292" s="280" t="n"/>
      <c r="Y292" s="280" t="n"/>
    </row>
    <row r="293" ht="15" customHeight="1" s="195">
      <c r="A293" s="334" t="n"/>
      <c r="B293" s="334" t="n"/>
      <c r="C293" s="334" t="n"/>
      <c r="D293" s="334" t="n"/>
      <c r="E293" s="334" t="n"/>
      <c r="F293" s="334" t="n"/>
      <c r="G293" s="334" t="n"/>
      <c r="H293" s="334" t="n"/>
      <c r="I293" s="332">
        <f>IFERROR(VLOOKUP(TEXT(H293,"0"),IPRESS!$A$3:$B$212,2,0),"")</f>
        <v/>
      </c>
      <c r="J293" s="334" t="n"/>
      <c r="K293" s="332">
        <f>IFERROR(VLOOKUP(TEXT(O293,"0"),CONDUCTORES!$A$3:$G$54,7,0),"")</f>
        <v/>
      </c>
      <c r="L293" s="334" t="n"/>
      <c r="M293" s="334" t="n"/>
      <c r="N293" s="333">
        <f>IFERROR(IF(L293*M293=0,"",L293*M293),"")</f>
        <v/>
      </c>
      <c r="O293" s="334" t="n"/>
      <c r="P293" s="332">
        <f>IFERROR(VLOOKUP(TEXT(O293,"0"),CONDUCTORES!$A$3:$G$54,2,0),"")</f>
        <v/>
      </c>
      <c r="Q293" s="332">
        <f>IFERROR(VLOOKUP(TEXT(O293,"0"),CONDUCTORES!$A$3:$H$54,6,0),"")</f>
        <v/>
      </c>
      <c r="R293" s="334" t="n"/>
      <c r="S293" s="334" t="n"/>
      <c r="T293" s="334" t="n"/>
      <c r="U293" s="334" t="n"/>
      <c r="V293" s="334" t="n"/>
      <c r="W293" s="334" t="n"/>
      <c r="X293" s="334" t="n"/>
      <c r="Y293" s="334" t="n"/>
    </row>
    <row r="294" ht="15" customHeight="1" s="195">
      <c r="A294" s="280" t="n"/>
      <c r="B294" s="280" t="n"/>
      <c r="C294" s="280" t="n"/>
      <c r="D294" s="280" t="n"/>
      <c r="E294" s="280" t="n"/>
      <c r="F294" s="280" t="n"/>
      <c r="G294" s="280" t="n"/>
      <c r="H294" s="280" t="n"/>
      <c r="I294" s="332">
        <f>IFERROR(VLOOKUP(TEXT(H294,"0"),IPRESS!$A$3:$B$212,2,0),"")</f>
        <v/>
      </c>
      <c r="J294" s="280" t="n"/>
      <c r="K294" s="332">
        <f>IFERROR(VLOOKUP(TEXT(O294,"0"),CONDUCTORES!$A$3:$G$54,7,0),"")</f>
        <v/>
      </c>
      <c r="L294" s="280" t="n"/>
      <c r="M294" s="280" t="n"/>
      <c r="N294" s="333">
        <f>IFERROR(IF(L294*M294=0,"",L294*M294),"")</f>
        <v/>
      </c>
      <c r="O294" s="280" t="n"/>
      <c r="P294" s="332">
        <f>IFERROR(VLOOKUP(TEXT(O294,"0"),CONDUCTORES!$A$3:$G$54,2,0),"")</f>
        <v/>
      </c>
      <c r="Q294" s="332">
        <f>IFERROR(VLOOKUP(TEXT(O294,"0"),CONDUCTORES!$A$3:$H$54,6,0),"")</f>
        <v/>
      </c>
      <c r="R294" s="280" t="n"/>
      <c r="S294" s="280" t="n"/>
      <c r="T294" s="280" t="n"/>
      <c r="U294" s="280" t="n"/>
      <c r="V294" s="280" t="n"/>
      <c r="W294" s="280" t="n"/>
      <c r="X294" s="280" t="n"/>
      <c r="Y294" s="280" t="n"/>
    </row>
    <row r="295" ht="15" customHeight="1" s="195">
      <c r="A295" s="334" t="n"/>
      <c r="B295" s="334" t="n"/>
      <c r="C295" s="334" t="n"/>
      <c r="D295" s="334" t="n"/>
      <c r="E295" s="334" t="n"/>
      <c r="F295" s="334" t="n"/>
      <c r="G295" s="334" t="n"/>
      <c r="H295" s="334" t="n"/>
      <c r="I295" s="332">
        <f>IFERROR(VLOOKUP(TEXT(H295,"0"),IPRESS!$A$3:$B$212,2,0),"")</f>
        <v/>
      </c>
      <c r="J295" s="334" t="n"/>
      <c r="K295" s="332">
        <f>IFERROR(VLOOKUP(TEXT(O295,"0"),CONDUCTORES!$A$3:$G$54,7,0),"")</f>
        <v/>
      </c>
      <c r="L295" s="334" t="n"/>
      <c r="M295" s="334" t="n"/>
      <c r="N295" s="333">
        <f>IFERROR(IF(L295*M295=0,"",L295*M295),"")</f>
        <v/>
      </c>
      <c r="O295" s="334" t="n"/>
      <c r="P295" s="332">
        <f>IFERROR(VLOOKUP(TEXT(O295,"0"),CONDUCTORES!$A$3:$G$54,2,0),"")</f>
        <v/>
      </c>
      <c r="Q295" s="332">
        <f>IFERROR(VLOOKUP(TEXT(O295,"0"),CONDUCTORES!$A$3:$H$54,6,0),"")</f>
        <v/>
      </c>
      <c r="R295" s="334" t="n"/>
      <c r="S295" s="334" t="n"/>
      <c r="T295" s="334" t="n"/>
      <c r="U295" s="334" t="n"/>
      <c r="V295" s="334" t="n"/>
      <c r="W295" s="334" t="n"/>
      <c r="X295" s="334" t="n"/>
      <c r="Y295" s="334" t="n"/>
    </row>
    <row r="296" ht="15" customHeight="1" s="195">
      <c r="A296" s="280" t="n"/>
      <c r="B296" s="280" t="n"/>
      <c r="C296" s="280" t="n"/>
      <c r="D296" s="280" t="n"/>
      <c r="E296" s="280" t="n"/>
      <c r="F296" s="280" t="n"/>
      <c r="G296" s="280" t="n"/>
      <c r="H296" s="280" t="n"/>
      <c r="I296" s="332">
        <f>IFERROR(VLOOKUP(TEXT(H296,"0"),IPRESS!$A$3:$B$212,2,0),"")</f>
        <v/>
      </c>
      <c r="J296" s="280" t="n"/>
      <c r="K296" s="332">
        <f>IFERROR(VLOOKUP(TEXT(O296,"0"),CONDUCTORES!$A$3:$G$54,7,0),"")</f>
        <v/>
      </c>
      <c r="L296" s="280" t="n"/>
      <c r="M296" s="280" t="n"/>
      <c r="N296" s="333">
        <f>IFERROR(IF(L296*M296=0,"",L296*M296),"")</f>
        <v/>
      </c>
      <c r="O296" s="280" t="n"/>
      <c r="P296" s="332">
        <f>IFERROR(VLOOKUP(TEXT(O296,"0"),CONDUCTORES!$A$3:$G$54,2,0),"")</f>
        <v/>
      </c>
      <c r="Q296" s="332">
        <f>IFERROR(VLOOKUP(TEXT(O296,"0"),CONDUCTORES!$A$3:$H$54,6,0),"")</f>
        <v/>
      </c>
      <c r="R296" s="280" t="n"/>
      <c r="S296" s="280" t="n"/>
      <c r="T296" s="280" t="n"/>
      <c r="U296" s="280" t="n"/>
      <c r="V296" s="280" t="n"/>
      <c r="W296" s="280" t="n"/>
      <c r="X296" s="280" t="n"/>
      <c r="Y296" s="280" t="n"/>
    </row>
    <row r="297" ht="15" customHeight="1" s="195">
      <c r="A297" s="334" t="n"/>
      <c r="B297" s="334" t="n"/>
      <c r="C297" s="334" t="n"/>
      <c r="D297" s="334" t="n"/>
      <c r="E297" s="334" t="n"/>
      <c r="F297" s="334" t="n"/>
      <c r="G297" s="334" t="n"/>
      <c r="H297" s="334" t="n"/>
      <c r="I297" s="332">
        <f>IFERROR(VLOOKUP(TEXT(H297,"0"),IPRESS!$A$3:$B$212,2,0),"")</f>
        <v/>
      </c>
      <c r="J297" s="334" t="n"/>
      <c r="K297" s="332">
        <f>IFERROR(VLOOKUP(TEXT(O297,"0"),CONDUCTORES!$A$3:$G$54,7,0),"")</f>
        <v/>
      </c>
      <c r="L297" s="334" t="n"/>
      <c r="M297" s="334" t="n"/>
      <c r="N297" s="333">
        <f>IFERROR(IF(L297*M297=0,"",L297*M297),"")</f>
        <v/>
      </c>
      <c r="O297" s="334" t="n"/>
      <c r="P297" s="332">
        <f>IFERROR(VLOOKUP(TEXT(O297,"0"),CONDUCTORES!$A$3:$G$54,2,0),"")</f>
        <v/>
      </c>
      <c r="Q297" s="332">
        <f>IFERROR(VLOOKUP(TEXT(O297,"0"),CONDUCTORES!$A$3:$H$54,6,0),"")</f>
        <v/>
      </c>
      <c r="R297" s="334" t="n"/>
      <c r="S297" s="334" t="n"/>
      <c r="T297" s="334" t="n"/>
      <c r="U297" s="334" t="n"/>
      <c r="V297" s="334" t="n"/>
      <c r="W297" s="334" t="n"/>
      <c r="X297" s="334" t="n"/>
      <c r="Y297" s="334" t="n"/>
    </row>
    <row r="298" ht="15" customHeight="1" s="195">
      <c r="A298" s="280" t="n"/>
      <c r="B298" s="280" t="n"/>
      <c r="C298" s="280" t="n"/>
      <c r="D298" s="280" t="n"/>
      <c r="E298" s="280" t="n"/>
      <c r="F298" s="280" t="n"/>
      <c r="G298" s="280" t="n"/>
      <c r="H298" s="280" t="n"/>
      <c r="I298" s="332">
        <f>IFERROR(VLOOKUP(TEXT(H298,"0"),IPRESS!$A$3:$B$212,2,0),"")</f>
        <v/>
      </c>
      <c r="J298" s="280" t="n"/>
      <c r="K298" s="332">
        <f>IFERROR(VLOOKUP(TEXT(O298,"0"),CONDUCTORES!$A$3:$G$54,7,0),"")</f>
        <v/>
      </c>
      <c r="L298" s="280" t="n"/>
      <c r="M298" s="280" t="n"/>
      <c r="N298" s="333">
        <f>IFERROR(IF(L298*M298=0,"",L298*M298),"")</f>
        <v/>
      </c>
      <c r="O298" s="280" t="n"/>
      <c r="P298" s="332">
        <f>IFERROR(VLOOKUP(TEXT(O298,"0"),CONDUCTORES!$A$3:$G$54,2,0),"")</f>
        <v/>
      </c>
      <c r="Q298" s="332">
        <f>IFERROR(VLOOKUP(TEXT(O298,"0"),CONDUCTORES!$A$3:$H$54,6,0),"")</f>
        <v/>
      </c>
      <c r="R298" s="280" t="n"/>
      <c r="S298" s="280" t="n"/>
      <c r="T298" s="280" t="n"/>
      <c r="U298" s="280" t="n"/>
      <c r="V298" s="280" t="n"/>
      <c r="W298" s="280" t="n"/>
      <c r="X298" s="280" t="n"/>
      <c r="Y298" s="280" t="n"/>
    </row>
    <row r="299" ht="15" customHeight="1" s="195">
      <c r="A299" s="334" t="n"/>
      <c r="B299" s="334" t="n"/>
      <c r="C299" s="334" t="n"/>
      <c r="D299" s="334" t="n"/>
      <c r="E299" s="334" t="n"/>
      <c r="F299" s="334" t="n"/>
      <c r="G299" s="334" t="n"/>
      <c r="H299" s="334" t="n"/>
      <c r="I299" s="332">
        <f>IFERROR(VLOOKUP(TEXT(H299,"0"),IPRESS!$A$3:$B$212,2,0),"")</f>
        <v/>
      </c>
      <c r="J299" s="334" t="n"/>
      <c r="K299" s="332">
        <f>IFERROR(VLOOKUP(TEXT(O299,"0"),CONDUCTORES!$A$3:$G$54,7,0),"")</f>
        <v/>
      </c>
      <c r="L299" s="334" t="n"/>
      <c r="M299" s="334" t="n"/>
      <c r="N299" s="333">
        <f>IFERROR(IF(L299*M299=0,"",L299*M299),"")</f>
        <v/>
      </c>
      <c r="O299" s="334" t="n"/>
      <c r="P299" s="332">
        <f>IFERROR(VLOOKUP(TEXT(O299,"0"),CONDUCTORES!$A$3:$G$54,2,0),"")</f>
        <v/>
      </c>
      <c r="Q299" s="332">
        <f>IFERROR(VLOOKUP(TEXT(O299,"0"),CONDUCTORES!$A$3:$H$54,6,0),"")</f>
        <v/>
      </c>
      <c r="R299" s="334" t="n"/>
      <c r="S299" s="334" t="n"/>
      <c r="T299" s="334" t="n"/>
      <c r="U299" s="334" t="n"/>
      <c r="V299" s="334" t="n"/>
      <c r="W299" s="334" t="n"/>
      <c r="X299" s="334" t="n"/>
      <c r="Y299" s="334" t="n"/>
    </row>
    <row r="300" ht="15" customHeight="1" s="195">
      <c r="A300" s="280" t="n"/>
      <c r="B300" s="280" t="n"/>
      <c r="C300" s="280" t="n"/>
      <c r="D300" s="280" t="n"/>
      <c r="E300" s="280" t="n"/>
      <c r="F300" s="280" t="n"/>
      <c r="G300" s="280" t="n"/>
      <c r="H300" s="280" t="n"/>
      <c r="I300" s="332">
        <f>IFERROR(VLOOKUP(TEXT(H300,"0"),IPRESS!$A$3:$B$212,2,0),"")</f>
        <v/>
      </c>
      <c r="J300" s="280" t="n"/>
      <c r="K300" s="332">
        <f>IFERROR(VLOOKUP(TEXT(O300,"0"),CONDUCTORES!$A$3:$G$54,7,0),"")</f>
        <v/>
      </c>
      <c r="L300" s="280" t="n"/>
      <c r="M300" s="280" t="n"/>
      <c r="N300" s="333">
        <f>IFERROR(IF(L300*M300=0,"",L300*M300),"")</f>
        <v/>
      </c>
      <c r="O300" s="280" t="n"/>
      <c r="P300" s="332">
        <f>IFERROR(VLOOKUP(TEXT(O300,"0"),CONDUCTORES!$A$3:$G$54,2,0),"")</f>
        <v/>
      </c>
      <c r="Q300" s="332">
        <f>IFERROR(VLOOKUP(TEXT(O300,"0"),CONDUCTORES!$A$3:$H$54,6,0),"")</f>
        <v/>
      </c>
      <c r="R300" s="280" t="n"/>
      <c r="S300" s="280" t="n"/>
      <c r="T300" s="280" t="n"/>
      <c r="U300" s="280" t="n"/>
      <c r="V300" s="280" t="n"/>
      <c r="W300" s="280" t="n"/>
      <c r="X300" s="280" t="n"/>
      <c r="Y300" s="280" t="n"/>
    </row>
    <row r="301" ht="15" customHeight="1" s="195">
      <c r="A301" s="334" t="n"/>
      <c r="B301" s="334" t="n"/>
      <c r="C301" s="334" t="n"/>
      <c r="D301" s="334" t="n"/>
      <c r="E301" s="334" t="n"/>
      <c r="F301" s="334" t="n"/>
      <c r="G301" s="334" t="n"/>
      <c r="H301" s="334" t="n"/>
      <c r="I301" s="332">
        <f>IFERROR(VLOOKUP(TEXT(H301,"0"),IPRESS!$A$3:$B$212,2,0),"")</f>
        <v/>
      </c>
      <c r="J301" s="334" t="n"/>
      <c r="K301" s="332">
        <f>IFERROR(VLOOKUP(TEXT(O301,"0"),CONDUCTORES!$A$3:$G$54,7,0),"")</f>
        <v/>
      </c>
      <c r="L301" s="334" t="n"/>
      <c r="M301" s="334" t="n"/>
      <c r="N301" s="333">
        <f>IFERROR(IF(L301*M301=0,"",L301*M301),"")</f>
        <v/>
      </c>
      <c r="O301" s="334" t="n"/>
      <c r="P301" s="332">
        <f>IFERROR(VLOOKUP(TEXT(O301,"0"),CONDUCTORES!$A$3:$G$54,2,0),"")</f>
        <v/>
      </c>
      <c r="Q301" s="332">
        <f>IFERROR(VLOOKUP(TEXT(O301,"0"),CONDUCTORES!$A$3:$H$54,6,0),"")</f>
        <v/>
      </c>
      <c r="R301" s="334" t="n"/>
      <c r="S301" s="334" t="n"/>
      <c r="T301" s="334" t="n"/>
      <c r="U301" s="334" t="n"/>
      <c r="V301" s="334" t="n"/>
      <c r="W301" s="334" t="n"/>
      <c r="X301" s="334" t="n"/>
      <c r="Y301" s="334" t="n"/>
    </row>
    <row r="302" ht="15" customHeight="1" s="195">
      <c r="A302" s="280" t="n"/>
      <c r="B302" s="280" t="n"/>
      <c r="C302" s="280" t="n"/>
      <c r="D302" s="280" t="n"/>
      <c r="E302" s="280" t="n"/>
      <c r="F302" s="280" t="n"/>
      <c r="G302" s="280" t="n"/>
      <c r="H302" s="280" t="n"/>
      <c r="I302" s="332">
        <f>IFERROR(VLOOKUP(TEXT(H302,"0"),IPRESS!$A$3:$B$212,2,0),"")</f>
        <v/>
      </c>
      <c r="J302" s="280" t="n"/>
      <c r="K302" s="332">
        <f>IFERROR(VLOOKUP(TEXT(O302,"0"),CONDUCTORES!$A$3:$G$54,7,0),"")</f>
        <v/>
      </c>
      <c r="L302" s="280" t="n"/>
      <c r="M302" s="280" t="n"/>
      <c r="N302" s="333">
        <f>IFERROR(IF(L302*M302=0,"",L302*M302),"")</f>
        <v/>
      </c>
      <c r="O302" s="280" t="n"/>
      <c r="P302" s="332">
        <f>IFERROR(VLOOKUP(TEXT(O302,"0"),CONDUCTORES!$A$3:$G$54,2,0),"")</f>
        <v/>
      </c>
      <c r="Q302" s="332">
        <f>IFERROR(VLOOKUP(TEXT(O302,"0"),CONDUCTORES!$A$3:$H$54,6,0),"")</f>
        <v/>
      </c>
      <c r="R302" s="280" t="n"/>
      <c r="S302" s="280" t="n"/>
      <c r="T302" s="280" t="n"/>
      <c r="U302" s="280" t="n"/>
      <c r="V302" s="280" t="n"/>
      <c r="W302" s="280" t="n"/>
      <c r="X302" s="280" t="n"/>
      <c r="Y302" s="280" t="n"/>
    </row>
    <row r="303" ht="15" customHeight="1" s="195">
      <c r="A303" s="334" t="n"/>
      <c r="B303" s="334" t="n"/>
      <c r="C303" s="334" t="n"/>
      <c r="D303" s="334" t="n"/>
      <c r="E303" s="334" t="n"/>
      <c r="F303" s="334" t="n"/>
      <c r="G303" s="334" t="n"/>
      <c r="H303" s="334" t="n"/>
      <c r="I303" s="332">
        <f>IFERROR(VLOOKUP(TEXT(H303,"0"),IPRESS!$A$3:$B$212,2,0),"")</f>
        <v/>
      </c>
      <c r="J303" s="334" t="n"/>
      <c r="K303" s="332">
        <f>IFERROR(VLOOKUP(TEXT(O303,"0"),CONDUCTORES!$A$3:$G$54,7,0),"")</f>
        <v/>
      </c>
      <c r="L303" s="334" t="n"/>
      <c r="M303" s="334" t="n"/>
      <c r="N303" s="333">
        <f>IFERROR(IF(L303*M303=0,"",L303*M303),"")</f>
        <v/>
      </c>
      <c r="O303" s="334" t="n"/>
      <c r="P303" s="332">
        <f>IFERROR(VLOOKUP(TEXT(O303,"0"),CONDUCTORES!$A$3:$G$54,2,0),"")</f>
        <v/>
      </c>
      <c r="Q303" s="332">
        <f>IFERROR(VLOOKUP(TEXT(O303,"0"),CONDUCTORES!$A$3:$H$54,6,0),"")</f>
        <v/>
      </c>
      <c r="R303" s="334" t="n"/>
      <c r="S303" s="334" t="n"/>
      <c r="T303" s="334" t="n"/>
      <c r="U303" s="334" t="n"/>
      <c r="V303" s="334" t="n"/>
      <c r="W303" s="334" t="n"/>
      <c r="X303" s="334" t="n"/>
      <c r="Y303" s="334" t="n"/>
    </row>
    <row r="304" ht="15" customHeight="1" s="195">
      <c r="A304" s="280" t="n"/>
      <c r="B304" s="280" t="n"/>
      <c r="C304" s="280" t="n"/>
      <c r="D304" s="280" t="n"/>
      <c r="E304" s="280" t="n"/>
      <c r="F304" s="280" t="n"/>
      <c r="G304" s="280" t="n"/>
      <c r="H304" s="280" t="n"/>
      <c r="I304" s="332">
        <f>IFERROR(VLOOKUP(TEXT(H304,"0"),IPRESS!$A$3:$B$212,2,0),"")</f>
        <v/>
      </c>
      <c r="J304" s="280" t="n"/>
      <c r="K304" s="332">
        <f>IFERROR(VLOOKUP(TEXT(O304,"0"),CONDUCTORES!$A$3:$G$54,7,0),"")</f>
        <v/>
      </c>
      <c r="L304" s="280" t="n"/>
      <c r="M304" s="280" t="n"/>
      <c r="N304" s="333">
        <f>IFERROR(IF(L304*M304=0,"",L304*M304),"")</f>
        <v/>
      </c>
      <c r="O304" s="280" t="n"/>
      <c r="P304" s="332">
        <f>IFERROR(VLOOKUP(TEXT(O304,"0"),CONDUCTORES!$A$3:$G$54,2,0),"")</f>
        <v/>
      </c>
      <c r="Q304" s="332">
        <f>IFERROR(VLOOKUP(TEXT(O304,"0"),CONDUCTORES!$A$3:$H$54,6,0),"")</f>
        <v/>
      </c>
      <c r="R304" s="280" t="n"/>
      <c r="S304" s="280" t="n"/>
      <c r="T304" s="280" t="n"/>
      <c r="U304" s="280" t="n"/>
      <c r="V304" s="280" t="n"/>
      <c r="W304" s="280" t="n"/>
      <c r="X304" s="280" t="n"/>
      <c r="Y304" s="280" t="n"/>
    </row>
    <row r="305" ht="15" customHeight="1" s="195">
      <c r="A305" s="334" t="n"/>
      <c r="B305" s="334" t="n"/>
      <c r="C305" s="334" t="n"/>
      <c r="D305" s="334" t="n"/>
      <c r="E305" s="334" t="n"/>
      <c r="F305" s="334" t="n"/>
      <c r="G305" s="334" t="n"/>
      <c r="H305" s="334" t="n"/>
      <c r="I305" s="332">
        <f>IFERROR(VLOOKUP(TEXT(H305,"0"),IPRESS!$A$3:$B$212,2,0),"")</f>
        <v/>
      </c>
      <c r="J305" s="334" t="n"/>
      <c r="K305" s="332">
        <f>IFERROR(VLOOKUP(TEXT(O305,"0"),CONDUCTORES!$A$3:$G$54,7,0),"")</f>
        <v/>
      </c>
      <c r="L305" s="334" t="n"/>
      <c r="M305" s="334" t="n"/>
      <c r="N305" s="333">
        <f>IFERROR(IF(L305*M305=0,"",L305*M305),"")</f>
        <v/>
      </c>
      <c r="O305" s="334" t="n"/>
      <c r="P305" s="332">
        <f>IFERROR(VLOOKUP(TEXT(O305,"0"),CONDUCTORES!$A$3:$G$54,2,0),"")</f>
        <v/>
      </c>
      <c r="Q305" s="332">
        <f>IFERROR(VLOOKUP(TEXT(O305,"0"),CONDUCTORES!$A$3:$H$54,6,0),"")</f>
        <v/>
      </c>
      <c r="R305" s="334" t="n"/>
      <c r="S305" s="334" t="n"/>
      <c r="T305" s="334" t="n"/>
      <c r="U305" s="334" t="n"/>
      <c r="V305" s="334" t="n"/>
      <c r="W305" s="334" t="n"/>
      <c r="X305" s="334" t="n"/>
      <c r="Y305" s="334" t="n"/>
    </row>
    <row r="306" ht="15" customHeight="1" s="195">
      <c r="A306" s="280" t="n"/>
      <c r="B306" s="280" t="n"/>
      <c r="C306" s="280" t="n"/>
      <c r="D306" s="280" t="n"/>
      <c r="E306" s="280" t="n"/>
      <c r="F306" s="280" t="n"/>
      <c r="G306" s="280" t="n"/>
      <c r="H306" s="280" t="n"/>
      <c r="I306" s="332">
        <f>IFERROR(VLOOKUP(TEXT(H306,"0"),IPRESS!$A$3:$B$212,2,0),"")</f>
        <v/>
      </c>
      <c r="J306" s="280" t="n"/>
      <c r="K306" s="332">
        <f>IFERROR(VLOOKUP(TEXT(O306,"0"),CONDUCTORES!$A$3:$G$54,7,0),"")</f>
        <v/>
      </c>
      <c r="L306" s="280" t="n"/>
      <c r="M306" s="280" t="n"/>
      <c r="N306" s="333">
        <f>IFERROR(IF(L306*M306=0,"",L306*M306),"")</f>
        <v/>
      </c>
      <c r="O306" s="280" t="n"/>
      <c r="P306" s="332">
        <f>IFERROR(VLOOKUP(TEXT(O306,"0"),CONDUCTORES!$A$3:$G$54,2,0),"")</f>
        <v/>
      </c>
      <c r="Q306" s="332">
        <f>IFERROR(VLOOKUP(TEXT(O306,"0"),CONDUCTORES!$A$3:$H$54,6,0),"")</f>
        <v/>
      </c>
      <c r="R306" s="280" t="n"/>
      <c r="S306" s="280" t="n"/>
      <c r="T306" s="280" t="n"/>
      <c r="U306" s="280" t="n"/>
      <c r="V306" s="280" t="n"/>
      <c r="W306" s="280" t="n"/>
      <c r="X306" s="280" t="n"/>
      <c r="Y306" s="280" t="n"/>
    </row>
    <row r="307" ht="15" customHeight="1" s="195">
      <c r="A307" s="334" t="n"/>
      <c r="B307" s="334" t="n"/>
      <c r="C307" s="334" t="n"/>
      <c r="D307" s="334" t="n"/>
      <c r="E307" s="334" t="n"/>
      <c r="F307" s="334" t="n"/>
      <c r="G307" s="334" t="n"/>
      <c r="H307" s="334" t="n"/>
      <c r="I307" s="332">
        <f>IFERROR(VLOOKUP(TEXT(H307,"0"),IPRESS!$A$3:$B$212,2,0),"")</f>
        <v/>
      </c>
      <c r="J307" s="334" t="n"/>
      <c r="K307" s="332">
        <f>IFERROR(VLOOKUP(TEXT(O307,"0"),CONDUCTORES!$A$3:$G$54,7,0),"")</f>
        <v/>
      </c>
      <c r="L307" s="334" t="n"/>
      <c r="M307" s="334" t="n"/>
      <c r="N307" s="333">
        <f>IFERROR(IF(L307*M307=0,"",L307*M307),"")</f>
        <v/>
      </c>
      <c r="O307" s="334" t="n"/>
      <c r="P307" s="332">
        <f>IFERROR(VLOOKUP(TEXT(O307,"0"),CONDUCTORES!$A$3:$G$54,2,0),"")</f>
        <v/>
      </c>
      <c r="Q307" s="332">
        <f>IFERROR(VLOOKUP(TEXT(O307,"0"),CONDUCTORES!$A$3:$H$54,6,0),"")</f>
        <v/>
      </c>
      <c r="R307" s="334" t="n"/>
      <c r="S307" s="334" t="n"/>
      <c r="T307" s="334" t="n"/>
      <c r="U307" s="334" t="n"/>
      <c r="V307" s="334" t="n"/>
      <c r="W307" s="334" t="n"/>
      <c r="X307" s="334" t="n"/>
      <c r="Y307" s="334" t="n"/>
    </row>
    <row r="308" ht="15" customHeight="1" s="195">
      <c r="A308" s="280" t="n"/>
      <c r="B308" s="280" t="n"/>
      <c r="C308" s="280" t="n"/>
      <c r="D308" s="280" t="n"/>
      <c r="E308" s="280" t="n"/>
      <c r="F308" s="280" t="n"/>
      <c r="G308" s="280" t="n"/>
      <c r="H308" s="280" t="n"/>
      <c r="I308" s="332">
        <f>IFERROR(VLOOKUP(TEXT(H308,"0"),IPRESS!$A$3:$B$212,2,0),"")</f>
        <v/>
      </c>
      <c r="J308" s="280" t="n"/>
      <c r="K308" s="332">
        <f>IFERROR(VLOOKUP(TEXT(O308,"0"),CONDUCTORES!$A$3:$G$54,7,0),"")</f>
        <v/>
      </c>
      <c r="L308" s="280" t="n"/>
      <c r="M308" s="280" t="n"/>
      <c r="N308" s="333">
        <f>IFERROR(IF(L308*M308=0,"",L308*M308),"")</f>
        <v/>
      </c>
      <c r="O308" s="280" t="n"/>
      <c r="P308" s="332">
        <f>IFERROR(VLOOKUP(TEXT(O308,"0"),CONDUCTORES!$A$3:$G$54,2,0),"")</f>
        <v/>
      </c>
      <c r="Q308" s="332">
        <f>IFERROR(VLOOKUP(TEXT(O308,"0"),CONDUCTORES!$A$3:$H$54,6,0),"")</f>
        <v/>
      </c>
      <c r="R308" s="280" t="n"/>
      <c r="S308" s="280" t="n"/>
      <c r="T308" s="280" t="n"/>
      <c r="U308" s="280" t="n"/>
      <c r="V308" s="280" t="n"/>
      <c r="W308" s="280" t="n"/>
      <c r="X308" s="280" t="n"/>
      <c r="Y308" s="280" t="n"/>
    </row>
    <row r="309" ht="15" customHeight="1" s="195">
      <c r="A309" s="334" t="n"/>
      <c r="B309" s="334" t="n"/>
      <c r="C309" s="334" t="n"/>
      <c r="D309" s="334" t="n"/>
      <c r="E309" s="334" t="n"/>
      <c r="F309" s="334" t="n"/>
      <c r="G309" s="334" t="n"/>
      <c r="H309" s="334" t="n"/>
      <c r="I309" s="332">
        <f>IFERROR(VLOOKUP(TEXT(H309,"0"),IPRESS!$A$3:$B$212,2,0),"")</f>
        <v/>
      </c>
      <c r="J309" s="334" t="n"/>
      <c r="K309" s="332">
        <f>IFERROR(VLOOKUP(TEXT(O309,"0"),CONDUCTORES!$A$3:$G$54,7,0),"")</f>
        <v/>
      </c>
      <c r="L309" s="334" t="n"/>
      <c r="M309" s="334" t="n"/>
      <c r="N309" s="333">
        <f>IFERROR(IF(L309*M309=0,"",L309*M309),"")</f>
        <v/>
      </c>
      <c r="O309" s="334" t="n"/>
      <c r="P309" s="332">
        <f>IFERROR(VLOOKUP(TEXT(O309,"0"),CONDUCTORES!$A$3:$G$54,2,0),"")</f>
        <v/>
      </c>
      <c r="Q309" s="332">
        <f>IFERROR(VLOOKUP(TEXT(O309,"0"),CONDUCTORES!$A$3:$H$54,6,0),"")</f>
        <v/>
      </c>
      <c r="R309" s="334" t="n"/>
      <c r="S309" s="334" t="n"/>
      <c r="T309" s="334" t="n"/>
      <c r="U309" s="334" t="n"/>
      <c r="V309" s="334" t="n"/>
      <c r="W309" s="334" t="n"/>
      <c r="X309" s="334" t="n"/>
      <c r="Y309" s="334" t="n"/>
    </row>
    <row r="310" ht="15" customHeight="1" s="195">
      <c r="A310" s="280" t="n"/>
      <c r="B310" s="280" t="n"/>
      <c r="C310" s="280" t="n"/>
      <c r="D310" s="280" t="n"/>
      <c r="E310" s="280" t="n"/>
      <c r="F310" s="280" t="n"/>
      <c r="G310" s="280" t="n"/>
      <c r="H310" s="280" t="n"/>
      <c r="I310" s="332">
        <f>IFERROR(VLOOKUP(TEXT(H310,"0"),IPRESS!$A$3:$B$212,2,0),"")</f>
        <v/>
      </c>
      <c r="J310" s="280" t="n"/>
      <c r="K310" s="332">
        <f>IFERROR(VLOOKUP(TEXT(O310,"0"),CONDUCTORES!$A$3:$G$54,7,0),"")</f>
        <v/>
      </c>
      <c r="L310" s="280" t="n"/>
      <c r="M310" s="280" t="n"/>
      <c r="N310" s="333">
        <f>IFERROR(IF(L310*M310=0,"",L310*M310),"")</f>
        <v/>
      </c>
      <c r="O310" s="280" t="n"/>
      <c r="P310" s="332">
        <f>IFERROR(VLOOKUP(TEXT(O310,"0"),CONDUCTORES!$A$3:$G$54,2,0),"")</f>
        <v/>
      </c>
      <c r="Q310" s="332">
        <f>IFERROR(VLOOKUP(TEXT(O310,"0"),CONDUCTORES!$A$3:$H$54,6,0),"")</f>
        <v/>
      </c>
      <c r="R310" s="280" t="n"/>
      <c r="S310" s="280" t="n"/>
      <c r="T310" s="280" t="n"/>
      <c r="U310" s="280" t="n"/>
      <c r="V310" s="280" t="n"/>
      <c r="W310" s="280" t="n"/>
      <c r="X310" s="280" t="n"/>
      <c r="Y310" s="280" t="n"/>
    </row>
    <row r="311" ht="15" customHeight="1" s="195">
      <c r="A311" s="334" t="n"/>
      <c r="B311" s="334" t="n"/>
      <c r="C311" s="334" t="n"/>
      <c r="D311" s="334" t="n"/>
      <c r="E311" s="334" t="n"/>
      <c r="F311" s="334" t="n"/>
      <c r="G311" s="334" t="n"/>
      <c r="H311" s="334" t="n"/>
      <c r="I311" s="332">
        <f>IFERROR(VLOOKUP(TEXT(H311,"0"),IPRESS!$A$3:$B$212,2,0),"")</f>
        <v/>
      </c>
      <c r="J311" s="334" t="n"/>
      <c r="K311" s="332">
        <f>IFERROR(VLOOKUP(TEXT(O311,"0"),CONDUCTORES!$A$3:$G$54,7,0),"")</f>
        <v/>
      </c>
      <c r="L311" s="334" t="n"/>
      <c r="M311" s="334" t="n"/>
      <c r="N311" s="333">
        <f>IFERROR(IF(L311*M311=0,"",L311*M311),"")</f>
        <v/>
      </c>
      <c r="O311" s="334" t="n"/>
      <c r="P311" s="332">
        <f>IFERROR(VLOOKUP(TEXT(O311,"0"),CONDUCTORES!$A$3:$G$54,2,0),"")</f>
        <v/>
      </c>
      <c r="Q311" s="332">
        <f>IFERROR(VLOOKUP(TEXT(O311,"0"),CONDUCTORES!$A$3:$H$54,6,0),"")</f>
        <v/>
      </c>
      <c r="R311" s="334" t="n"/>
      <c r="S311" s="334" t="n"/>
      <c r="T311" s="334" t="n"/>
      <c r="U311" s="334" t="n"/>
      <c r="V311" s="334" t="n"/>
      <c r="W311" s="334" t="n"/>
      <c r="X311" s="334" t="n"/>
      <c r="Y311" s="334" t="n"/>
    </row>
    <row r="312" ht="15" customHeight="1" s="195">
      <c r="A312" s="280" t="n"/>
      <c r="B312" s="280" t="n"/>
      <c r="C312" s="280" t="n"/>
      <c r="D312" s="280" t="n"/>
      <c r="E312" s="280" t="n"/>
      <c r="F312" s="280" t="n"/>
      <c r="G312" s="280" t="n"/>
      <c r="H312" s="280" t="n"/>
      <c r="I312" s="332">
        <f>IFERROR(VLOOKUP(TEXT(H312,"0"),IPRESS!$A$3:$B$212,2,0),"")</f>
        <v/>
      </c>
      <c r="J312" s="280" t="n"/>
      <c r="K312" s="332">
        <f>IFERROR(VLOOKUP(TEXT(O312,"0"),CONDUCTORES!$A$3:$G$54,7,0),"")</f>
        <v/>
      </c>
      <c r="L312" s="280" t="n"/>
      <c r="M312" s="280" t="n"/>
      <c r="N312" s="333">
        <f>IFERROR(IF(L312*M312=0,"",L312*M312),"")</f>
        <v/>
      </c>
      <c r="O312" s="280" t="n"/>
      <c r="P312" s="332">
        <f>IFERROR(VLOOKUP(TEXT(O312,"0"),CONDUCTORES!$A$3:$G$54,2,0),"")</f>
        <v/>
      </c>
      <c r="Q312" s="332">
        <f>IFERROR(VLOOKUP(TEXT(O312,"0"),CONDUCTORES!$A$3:$H$54,6,0),"")</f>
        <v/>
      </c>
      <c r="R312" s="280" t="n"/>
      <c r="S312" s="280" t="n"/>
      <c r="T312" s="280" t="n"/>
      <c r="U312" s="280" t="n"/>
      <c r="V312" s="280" t="n"/>
      <c r="W312" s="280" t="n"/>
      <c r="X312" s="280" t="n"/>
      <c r="Y312" s="280" t="n"/>
    </row>
    <row r="313" ht="15" customHeight="1" s="195">
      <c r="A313" s="334" t="n"/>
      <c r="B313" s="334" t="n"/>
      <c r="C313" s="334" t="n"/>
      <c r="D313" s="334" t="n"/>
      <c r="E313" s="334" t="n"/>
      <c r="F313" s="334" t="n"/>
      <c r="G313" s="334" t="n"/>
      <c r="H313" s="334" t="n"/>
      <c r="I313" s="332">
        <f>IFERROR(VLOOKUP(TEXT(H313,"0"),IPRESS!$A$3:$B$212,2,0),"")</f>
        <v/>
      </c>
      <c r="J313" s="334" t="n"/>
      <c r="K313" s="332">
        <f>IFERROR(VLOOKUP(TEXT(O313,"0"),CONDUCTORES!$A$3:$G$54,7,0),"")</f>
        <v/>
      </c>
      <c r="L313" s="334" t="n"/>
      <c r="M313" s="334" t="n"/>
      <c r="N313" s="333">
        <f>IFERROR(IF(L313*M313=0,"",L313*M313),"")</f>
        <v/>
      </c>
      <c r="O313" s="334" t="n"/>
      <c r="P313" s="332">
        <f>IFERROR(VLOOKUP(TEXT(O313,"0"),CONDUCTORES!$A$3:$G$54,2,0),"")</f>
        <v/>
      </c>
      <c r="Q313" s="332">
        <f>IFERROR(VLOOKUP(TEXT(O313,"0"),CONDUCTORES!$A$3:$H$54,6,0),"")</f>
        <v/>
      </c>
      <c r="R313" s="334" t="n"/>
      <c r="S313" s="334" t="n"/>
      <c r="T313" s="334" t="n"/>
      <c r="U313" s="334" t="n"/>
      <c r="V313" s="334" t="n"/>
      <c r="W313" s="334" t="n"/>
      <c r="X313" s="334" t="n"/>
      <c r="Y313" s="334" t="n"/>
    </row>
    <row r="314" ht="15" customHeight="1" s="195">
      <c r="A314" s="280" t="n"/>
      <c r="B314" s="280" t="n"/>
      <c r="C314" s="280" t="n"/>
      <c r="D314" s="280" t="n"/>
      <c r="E314" s="280" t="n"/>
      <c r="F314" s="280" t="n"/>
      <c r="G314" s="280" t="n"/>
      <c r="H314" s="280" t="n"/>
      <c r="I314" s="332">
        <f>IFERROR(VLOOKUP(TEXT(H314,"0"),IPRESS!$A$3:$B$212,2,0),"")</f>
        <v/>
      </c>
      <c r="J314" s="280" t="n"/>
      <c r="K314" s="332">
        <f>IFERROR(VLOOKUP(TEXT(O314,"0"),CONDUCTORES!$A$3:$G$54,7,0),"")</f>
        <v/>
      </c>
      <c r="L314" s="280" t="n"/>
      <c r="M314" s="280" t="n"/>
      <c r="N314" s="333">
        <f>IFERROR(IF(L314*M314=0,"",L314*M314),"")</f>
        <v/>
      </c>
      <c r="O314" s="280" t="n"/>
      <c r="P314" s="332">
        <f>IFERROR(VLOOKUP(TEXT(O314,"0"),CONDUCTORES!$A$3:$G$54,2,0),"")</f>
        <v/>
      </c>
      <c r="Q314" s="332">
        <f>IFERROR(VLOOKUP(TEXT(O314,"0"),CONDUCTORES!$A$3:$H$54,6,0),"")</f>
        <v/>
      </c>
      <c r="R314" s="280" t="n"/>
      <c r="S314" s="280" t="n"/>
      <c r="T314" s="280" t="n"/>
      <c r="U314" s="280" t="n"/>
      <c r="V314" s="280" t="n"/>
      <c r="W314" s="280" t="n"/>
      <c r="X314" s="280" t="n"/>
      <c r="Y314" s="280" t="n"/>
    </row>
    <row r="315" ht="15" customHeight="1" s="195">
      <c r="A315" s="334" t="n"/>
      <c r="B315" s="334" t="n"/>
      <c r="C315" s="334" t="n"/>
      <c r="D315" s="334" t="n"/>
      <c r="E315" s="334" t="n"/>
      <c r="F315" s="334" t="n"/>
      <c r="G315" s="334" t="n"/>
      <c r="H315" s="334" t="n"/>
      <c r="I315" s="332">
        <f>IFERROR(VLOOKUP(TEXT(H315,"0"),IPRESS!$A$3:$B$212,2,0),"")</f>
        <v/>
      </c>
      <c r="J315" s="334" t="n"/>
      <c r="K315" s="332">
        <f>IFERROR(VLOOKUP(TEXT(O315,"0"),CONDUCTORES!$A$3:$G$54,7,0),"")</f>
        <v/>
      </c>
      <c r="L315" s="334" t="n"/>
      <c r="M315" s="334" t="n"/>
      <c r="N315" s="333">
        <f>IFERROR(IF(L315*M315=0,"",L315*M315),"")</f>
        <v/>
      </c>
      <c r="O315" s="334" t="n"/>
      <c r="P315" s="332">
        <f>IFERROR(VLOOKUP(TEXT(O315,"0"),CONDUCTORES!$A$3:$G$54,2,0),"")</f>
        <v/>
      </c>
      <c r="Q315" s="332">
        <f>IFERROR(VLOOKUP(TEXT(O315,"0"),CONDUCTORES!$A$3:$H$54,6,0),"")</f>
        <v/>
      </c>
      <c r="R315" s="334" t="n"/>
      <c r="S315" s="334" t="n"/>
      <c r="T315" s="334" t="n"/>
      <c r="U315" s="334" t="n"/>
      <c r="V315" s="334" t="n"/>
      <c r="W315" s="334" t="n"/>
      <c r="X315" s="334" t="n"/>
      <c r="Y315" s="334" t="n"/>
    </row>
    <row r="316" ht="15" customHeight="1" s="195">
      <c r="A316" s="280" t="n"/>
      <c r="B316" s="280" t="n"/>
      <c r="C316" s="280" t="n"/>
      <c r="D316" s="280" t="n"/>
      <c r="E316" s="280" t="n"/>
      <c r="F316" s="280" t="n"/>
      <c r="G316" s="280" t="n"/>
      <c r="H316" s="280" t="n"/>
      <c r="I316" s="332">
        <f>IFERROR(VLOOKUP(TEXT(H316,"0"),IPRESS!$A$3:$B$212,2,0),"")</f>
        <v/>
      </c>
      <c r="J316" s="280" t="n"/>
      <c r="K316" s="332">
        <f>IFERROR(VLOOKUP(TEXT(O316,"0"),CONDUCTORES!$A$3:$G$54,7,0),"")</f>
        <v/>
      </c>
      <c r="L316" s="280" t="n"/>
      <c r="M316" s="280" t="n"/>
      <c r="N316" s="333">
        <f>IFERROR(IF(L316*M316=0,"",L316*M316),"")</f>
        <v/>
      </c>
      <c r="O316" s="280" t="n"/>
      <c r="P316" s="332">
        <f>IFERROR(VLOOKUP(TEXT(O316,"0"),CONDUCTORES!$A$3:$G$54,2,0),"")</f>
        <v/>
      </c>
      <c r="Q316" s="332">
        <f>IFERROR(VLOOKUP(TEXT(O316,"0"),CONDUCTORES!$A$3:$H$54,6,0),"")</f>
        <v/>
      </c>
      <c r="R316" s="280" t="n"/>
      <c r="S316" s="280" t="n"/>
      <c r="T316" s="280" t="n"/>
      <c r="U316" s="280" t="n"/>
      <c r="V316" s="280" t="n"/>
      <c r="W316" s="280" t="n"/>
      <c r="X316" s="280" t="n"/>
      <c r="Y316" s="280" t="n"/>
    </row>
    <row r="317" ht="15" customHeight="1" s="195">
      <c r="A317" s="334" t="n"/>
      <c r="B317" s="334" t="n"/>
      <c r="C317" s="334" t="n"/>
      <c r="D317" s="334" t="n"/>
      <c r="E317" s="334" t="n"/>
      <c r="F317" s="334" t="n"/>
      <c r="G317" s="334" t="n"/>
      <c r="H317" s="334" t="n"/>
      <c r="I317" s="332">
        <f>IFERROR(VLOOKUP(TEXT(H317,"0"),IPRESS!$A$3:$B$212,2,0),"")</f>
        <v/>
      </c>
      <c r="J317" s="334" t="n"/>
      <c r="K317" s="332">
        <f>IFERROR(VLOOKUP(TEXT(O317,"0"),CONDUCTORES!$A$3:$G$54,7,0),"")</f>
        <v/>
      </c>
      <c r="L317" s="334" t="n"/>
      <c r="M317" s="334" t="n"/>
      <c r="N317" s="333">
        <f>IFERROR(IF(L317*M317=0,"",L317*M317),"")</f>
        <v/>
      </c>
      <c r="O317" s="334" t="n"/>
      <c r="P317" s="332">
        <f>IFERROR(VLOOKUP(TEXT(O317,"0"),CONDUCTORES!$A$3:$G$54,2,0),"")</f>
        <v/>
      </c>
      <c r="Q317" s="332">
        <f>IFERROR(VLOOKUP(TEXT(O317,"0"),CONDUCTORES!$A$3:$H$54,6,0),"")</f>
        <v/>
      </c>
      <c r="R317" s="334" t="n"/>
      <c r="S317" s="334" t="n"/>
      <c r="T317" s="334" t="n"/>
      <c r="U317" s="334" t="n"/>
      <c r="V317" s="334" t="n"/>
      <c r="W317" s="334" t="n"/>
      <c r="X317" s="334" t="n"/>
      <c r="Y317" s="334" t="n"/>
    </row>
    <row r="318" ht="15" customHeight="1" s="195">
      <c r="A318" s="280" t="n"/>
      <c r="B318" s="280" t="n"/>
      <c r="C318" s="280" t="n"/>
      <c r="D318" s="280" t="n"/>
      <c r="E318" s="280" t="n"/>
      <c r="F318" s="280" t="n"/>
      <c r="G318" s="280" t="n"/>
      <c r="H318" s="280" t="n"/>
      <c r="I318" s="332">
        <f>IFERROR(VLOOKUP(TEXT(H318,"0"),IPRESS!$A$3:$B$212,2,0),"")</f>
        <v/>
      </c>
      <c r="J318" s="280" t="n"/>
      <c r="K318" s="332">
        <f>IFERROR(VLOOKUP(TEXT(O318,"0"),CONDUCTORES!$A$3:$G$54,7,0),"")</f>
        <v/>
      </c>
      <c r="L318" s="280" t="n"/>
      <c r="M318" s="280" t="n"/>
      <c r="N318" s="333">
        <f>IFERROR(IF(L318*M318=0,"",L318*M318),"")</f>
        <v/>
      </c>
      <c r="O318" s="280" t="n"/>
      <c r="P318" s="332">
        <f>IFERROR(VLOOKUP(TEXT(O318,"0"),CONDUCTORES!$A$3:$G$54,2,0),"")</f>
        <v/>
      </c>
      <c r="Q318" s="332">
        <f>IFERROR(VLOOKUP(TEXT(O318,"0"),CONDUCTORES!$A$3:$H$54,6,0),"")</f>
        <v/>
      </c>
      <c r="R318" s="280" t="n"/>
      <c r="S318" s="280" t="n"/>
      <c r="T318" s="280" t="n"/>
      <c r="U318" s="280" t="n"/>
      <c r="V318" s="280" t="n"/>
      <c r="W318" s="280" t="n"/>
      <c r="X318" s="280" t="n"/>
      <c r="Y318" s="280" t="n"/>
    </row>
    <row r="319" ht="15" customHeight="1" s="195">
      <c r="A319" s="334" t="n"/>
      <c r="B319" s="334" t="n"/>
      <c r="C319" s="334" t="n"/>
      <c r="D319" s="334" t="n"/>
      <c r="E319" s="334" t="n"/>
      <c r="F319" s="334" t="n"/>
      <c r="G319" s="334" t="n"/>
      <c r="H319" s="334" t="n"/>
      <c r="I319" s="332">
        <f>IFERROR(VLOOKUP(TEXT(H319,"0"),IPRESS!$A$3:$B$212,2,0),"")</f>
        <v/>
      </c>
      <c r="J319" s="334" t="n"/>
      <c r="K319" s="332">
        <f>IFERROR(VLOOKUP(TEXT(O319,"0"),CONDUCTORES!$A$3:$G$54,7,0),"")</f>
        <v/>
      </c>
      <c r="L319" s="334" t="n"/>
      <c r="M319" s="334" t="n"/>
      <c r="N319" s="333">
        <f>IFERROR(IF(L319*M319=0,"",L319*M319),"")</f>
        <v/>
      </c>
      <c r="O319" s="334" t="n"/>
      <c r="P319" s="332">
        <f>IFERROR(VLOOKUP(TEXT(O319,"0"),CONDUCTORES!$A$3:$G$54,2,0),"")</f>
        <v/>
      </c>
      <c r="Q319" s="332">
        <f>IFERROR(VLOOKUP(TEXT(O319,"0"),CONDUCTORES!$A$3:$H$54,6,0),"")</f>
        <v/>
      </c>
      <c r="R319" s="334" t="n"/>
      <c r="S319" s="334" t="n"/>
      <c r="T319" s="334" t="n"/>
      <c r="U319" s="334" t="n"/>
      <c r="V319" s="334" t="n"/>
      <c r="W319" s="334" t="n"/>
      <c r="X319" s="334" t="n"/>
      <c r="Y319" s="334" t="n"/>
    </row>
    <row r="320" ht="15" customHeight="1" s="195">
      <c r="A320" s="280" t="n"/>
      <c r="B320" s="280" t="n"/>
      <c r="C320" s="280" t="n"/>
      <c r="D320" s="280" t="n"/>
      <c r="E320" s="280" t="n"/>
      <c r="F320" s="280" t="n"/>
      <c r="G320" s="280" t="n"/>
      <c r="H320" s="280" t="n"/>
      <c r="I320" s="332">
        <f>IFERROR(VLOOKUP(TEXT(H320,"0"),IPRESS!$A$3:$B$212,2,0),"")</f>
        <v/>
      </c>
      <c r="J320" s="280" t="n"/>
      <c r="K320" s="332">
        <f>IFERROR(VLOOKUP(TEXT(O320,"0"),CONDUCTORES!$A$3:$G$54,7,0),"")</f>
        <v/>
      </c>
      <c r="L320" s="280" t="n"/>
      <c r="M320" s="280" t="n"/>
      <c r="N320" s="333">
        <f>IFERROR(IF(L320*M320=0,"",L320*M320),"")</f>
        <v/>
      </c>
      <c r="O320" s="280" t="n"/>
      <c r="P320" s="332">
        <f>IFERROR(VLOOKUP(TEXT(O320,"0"),CONDUCTORES!$A$3:$G$54,2,0),"")</f>
        <v/>
      </c>
      <c r="Q320" s="332">
        <f>IFERROR(VLOOKUP(TEXT(O320,"0"),CONDUCTORES!$A$3:$H$54,6,0),"")</f>
        <v/>
      </c>
      <c r="R320" s="280" t="n"/>
      <c r="S320" s="280" t="n"/>
      <c r="T320" s="280" t="n"/>
      <c r="U320" s="280" t="n"/>
      <c r="V320" s="280" t="n"/>
      <c r="W320" s="280" t="n"/>
      <c r="X320" s="280" t="n"/>
      <c r="Y320" s="280" t="n"/>
    </row>
    <row r="321" ht="15" customHeight="1" s="195">
      <c r="A321" s="334" t="n"/>
      <c r="B321" s="334" t="n"/>
      <c r="C321" s="334" t="n"/>
      <c r="D321" s="334" t="n"/>
      <c r="E321" s="334" t="n"/>
      <c r="F321" s="334" t="n"/>
      <c r="G321" s="334" t="n"/>
      <c r="H321" s="334" t="n"/>
      <c r="I321" s="332">
        <f>IFERROR(VLOOKUP(TEXT(H321,"0"),IPRESS!$A$3:$B$212,2,0),"")</f>
        <v/>
      </c>
      <c r="J321" s="334" t="n"/>
      <c r="K321" s="332">
        <f>IFERROR(VLOOKUP(TEXT(O321,"0"),CONDUCTORES!$A$3:$G$54,7,0),"")</f>
        <v/>
      </c>
      <c r="L321" s="334" t="n"/>
      <c r="M321" s="334" t="n"/>
      <c r="N321" s="333">
        <f>IFERROR(IF(L321*M321=0,"",L321*M321),"")</f>
        <v/>
      </c>
      <c r="O321" s="334" t="n"/>
      <c r="P321" s="332">
        <f>IFERROR(VLOOKUP(TEXT(O321,"0"),CONDUCTORES!$A$3:$G$54,2,0),"")</f>
        <v/>
      </c>
      <c r="Q321" s="332">
        <f>IFERROR(VLOOKUP(TEXT(O321,"0"),CONDUCTORES!$A$3:$H$54,6,0),"")</f>
        <v/>
      </c>
      <c r="R321" s="334" t="n"/>
      <c r="S321" s="334" t="n"/>
      <c r="T321" s="334" t="n"/>
      <c r="U321" s="334" t="n"/>
      <c r="V321" s="334" t="n"/>
      <c r="W321" s="334" t="n"/>
      <c r="X321" s="334" t="n"/>
      <c r="Y321" s="334" t="n"/>
    </row>
    <row r="322" ht="15" customHeight="1" s="195">
      <c r="A322" s="280" t="n"/>
      <c r="B322" s="280" t="n"/>
      <c r="C322" s="280" t="n"/>
      <c r="D322" s="280" t="n"/>
      <c r="E322" s="280" t="n"/>
      <c r="F322" s="280" t="n"/>
      <c r="G322" s="280" t="n"/>
      <c r="H322" s="280" t="n"/>
      <c r="I322" s="332">
        <f>IFERROR(VLOOKUP(TEXT(H322,"0"),IPRESS!$A$3:$B$212,2,0),"")</f>
        <v/>
      </c>
      <c r="J322" s="280" t="n"/>
      <c r="K322" s="332">
        <f>IFERROR(VLOOKUP(TEXT(O322,"0"),CONDUCTORES!$A$3:$G$54,7,0),"")</f>
        <v/>
      </c>
      <c r="L322" s="280" t="n"/>
      <c r="M322" s="280" t="n"/>
      <c r="N322" s="333">
        <f>IFERROR(IF(L322*M322=0,"",L322*M322),"")</f>
        <v/>
      </c>
      <c r="O322" s="280" t="n"/>
      <c r="P322" s="332">
        <f>IFERROR(VLOOKUP(TEXT(O322,"0"),CONDUCTORES!$A$3:$G$54,2,0),"")</f>
        <v/>
      </c>
      <c r="Q322" s="332">
        <f>IFERROR(VLOOKUP(TEXT(O322,"0"),CONDUCTORES!$A$3:$H$54,6,0),"")</f>
        <v/>
      </c>
      <c r="R322" s="280" t="n"/>
      <c r="S322" s="280" t="n"/>
      <c r="T322" s="280" t="n"/>
      <c r="U322" s="280" t="n"/>
      <c r="V322" s="280" t="n"/>
      <c r="W322" s="280" t="n"/>
      <c r="X322" s="280" t="n"/>
      <c r="Y322" s="280" t="n"/>
    </row>
    <row r="323" ht="15" customHeight="1" s="195">
      <c r="A323" s="334" t="n"/>
      <c r="B323" s="334" t="n"/>
      <c r="C323" s="334" t="n"/>
      <c r="D323" s="334" t="n"/>
      <c r="E323" s="334" t="n"/>
      <c r="F323" s="334" t="n"/>
      <c r="G323" s="334" t="n"/>
      <c r="H323" s="334" t="n"/>
      <c r="I323" s="332">
        <f>IFERROR(VLOOKUP(TEXT(H323,"0"),IPRESS!$A$3:$B$212,2,0),"")</f>
        <v/>
      </c>
      <c r="J323" s="334" t="n"/>
      <c r="K323" s="332">
        <f>IFERROR(VLOOKUP(TEXT(O323,"0"),CONDUCTORES!$A$3:$G$54,7,0),"")</f>
        <v/>
      </c>
      <c r="L323" s="334" t="n"/>
      <c r="M323" s="334" t="n"/>
      <c r="N323" s="333">
        <f>IFERROR(IF(L323*M323=0,"",L323*M323),"")</f>
        <v/>
      </c>
      <c r="O323" s="334" t="n"/>
      <c r="P323" s="332">
        <f>IFERROR(VLOOKUP(TEXT(O323,"0"),CONDUCTORES!$A$3:$G$54,2,0),"")</f>
        <v/>
      </c>
      <c r="Q323" s="332">
        <f>IFERROR(VLOOKUP(TEXT(O323,"0"),CONDUCTORES!$A$3:$H$54,6,0),"")</f>
        <v/>
      </c>
      <c r="R323" s="334" t="n"/>
      <c r="S323" s="334" t="n"/>
      <c r="T323" s="334" t="n"/>
      <c r="U323" s="334" t="n"/>
      <c r="V323" s="334" t="n"/>
      <c r="W323" s="334" t="n"/>
      <c r="X323" s="334" t="n"/>
      <c r="Y323" s="334" t="n"/>
    </row>
    <row r="324" ht="15" customHeight="1" s="195">
      <c r="A324" s="280" t="n"/>
      <c r="B324" s="280" t="n"/>
      <c r="C324" s="280" t="n"/>
      <c r="D324" s="280" t="n"/>
      <c r="E324" s="280" t="n"/>
      <c r="F324" s="280" t="n"/>
      <c r="G324" s="280" t="n"/>
      <c r="H324" s="280" t="n"/>
      <c r="I324" s="332">
        <f>IFERROR(VLOOKUP(TEXT(H324,"0"),IPRESS!$A$3:$B$212,2,0),"")</f>
        <v/>
      </c>
      <c r="J324" s="280" t="n"/>
      <c r="K324" s="332">
        <f>IFERROR(VLOOKUP(TEXT(O324,"0"),CONDUCTORES!$A$3:$G$54,7,0),"")</f>
        <v/>
      </c>
      <c r="L324" s="280" t="n"/>
      <c r="M324" s="280" t="n"/>
      <c r="N324" s="333">
        <f>IFERROR(IF(L324*M324=0,"",L324*M324),"")</f>
        <v/>
      </c>
      <c r="O324" s="280" t="n"/>
      <c r="P324" s="332">
        <f>IFERROR(VLOOKUP(TEXT(O324,"0"),CONDUCTORES!$A$3:$G$54,2,0),"")</f>
        <v/>
      </c>
      <c r="Q324" s="332">
        <f>IFERROR(VLOOKUP(TEXT(O324,"0"),CONDUCTORES!$A$3:$H$54,6,0),"")</f>
        <v/>
      </c>
      <c r="R324" s="280" t="n"/>
      <c r="S324" s="280" t="n"/>
      <c r="T324" s="280" t="n"/>
      <c r="U324" s="280" t="n"/>
      <c r="V324" s="280" t="n"/>
      <c r="W324" s="280" t="n"/>
      <c r="X324" s="280" t="n"/>
      <c r="Y324" s="280" t="n"/>
    </row>
    <row r="325" ht="15" customHeight="1" s="195">
      <c r="A325" s="334" t="n"/>
      <c r="B325" s="334" t="n"/>
      <c r="C325" s="334" t="n"/>
      <c r="D325" s="334" t="n"/>
      <c r="E325" s="334" t="n"/>
      <c r="F325" s="334" t="n"/>
      <c r="G325" s="334" t="n"/>
      <c r="H325" s="334" t="n"/>
      <c r="I325" s="332">
        <f>IFERROR(VLOOKUP(TEXT(H325,"0"),IPRESS!$A$3:$B$212,2,0),"")</f>
        <v/>
      </c>
      <c r="J325" s="334" t="n"/>
      <c r="K325" s="332">
        <f>IFERROR(VLOOKUP(TEXT(O325,"0"),CONDUCTORES!$A$3:$G$54,7,0),"")</f>
        <v/>
      </c>
      <c r="L325" s="334" t="n"/>
      <c r="M325" s="334" t="n"/>
      <c r="N325" s="333">
        <f>IFERROR(IF(L325*M325=0,"",L325*M325),"")</f>
        <v/>
      </c>
      <c r="O325" s="334" t="n"/>
      <c r="P325" s="332">
        <f>IFERROR(VLOOKUP(TEXT(O325,"0"),CONDUCTORES!$A$3:$G$54,2,0),"")</f>
        <v/>
      </c>
      <c r="Q325" s="332">
        <f>IFERROR(VLOOKUP(TEXT(O325,"0"),CONDUCTORES!$A$3:$H$54,6,0),"")</f>
        <v/>
      </c>
      <c r="R325" s="334" t="n"/>
      <c r="S325" s="334" t="n"/>
      <c r="T325" s="334" t="n"/>
      <c r="U325" s="334" t="n"/>
      <c r="V325" s="334" t="n"/>
      <c r="W325" s="334" t="n"/>
      <c r="X325" s="334" t="n"/>
      <c r="Y325" s="334" t="n"/>
    </row>
    <row r="326" ht="15" customHeight="1" s="195">
      <c r="A326" s="280" t="n"/>
      <c r="B326" s="280" t="n"/>
      <c r="C326" s="280" t="n"/>
      <c r="D326" s="280" t="n"/>
      <c r="E326" s="280" t="n"/>
      <c r="F326" s="280" t="n"/>
      <c r="G326" s="280" t="n"/>
      <c r="H326" s="280" t="n"/>
      <c r="I326" s="332">
        <f>IFERROR(VLOOKUP(TEXT(H326,"0"),IPRESS!$A$3:$B$212,2,0),"")</f>
        <v/>
      </c>
      <c r="J326" s="280" t="n"/>
      <c r="K326" s="332">
        <f>IFERROR(VLOOKUP(TEXT(O326,"0"),CONDUCTORES!$A$3:$G$54,7,0),"")</f>
        <v/>
      </c>
      <c r="L326" s="280" t="n"/>
      <c r="M326" s="280" t="n"/>
      <c r="N326" s="333">
        <f>IFERROR(IF(L326*M326=0,"",L326*M326),"")</f>
        <v/>
      </c>
      <c r="O326" s="280" t="n"/>
      <c r="P326" s="332">
        <f>IFERROR(VLOOKUP(TEXT(O326,"0"),CONDUCTORES!$A$3:$G$54,2,0),"")</f>
        <v/>
      </c>
      <c r="Q326" s="332">
        <f>IFERROR(VLOOKUP(TEXT(O326,"0"),CONDUCTORES!$A$3:$H$54,6,0),"")</f>
        <v/>
      </c>
      <c r="R326" s="280" t="n"/>
      <c r="S326" s="280" t="n"/>
      <c r="T326" s="280" t="n"/>
      <c r="U326" s="280" t="n"/>
      <c r="V326" s="280" t="n"/>
      <c r="W326" s="280" t="n"/>
      <c r="X326" s="280" t="n"/>
      <c r="Y326" s="280" t="n"/>
    </row>
    <row r="327" ht="15" customHeight="1" s="195">
      <c r="A327" s="334" t="n"/>
      <c r="B327" s="334" t="n"/>
      <c r="C327" s="334" t="n"/>
      <c r="D327" s="334" t="n"/>
      <c r="E327" s="334" t="n"/>
      <c r="F327" s="334" t="n"/>
      <c r="G327" s="334" t="n"/>
      <c r="H327" s="334" t="n"/>
      <c r="I327" s="332">
        <f>IFERROR(VLOOKUP(TEXT(H327,"0"),IPRESS!$A$3:$B$212,2,0),"")</f>
        <v/>
      </c>
      <c r="J327" s="334" t="n"/>
      <c r="K327" s="332">
        <f>IFERROR(VLOOKUP(TEXT(O327,"0"),CONDUCTORES!$A$3:$G$54,7,0),"")</f>
        <v/>
      </c>
      <c r="L327" s="334" t="n"/>
      <c r="M327" s="334" t="n"/>
      <c r="N327" s="333">
        <f>IFERROR(IF(L327*M327=0,"",L327*M327),"")</f>
        <v/>
      </c>
      <c r="O327" s="334" t="n"/>
      <c r="P327" s="332">
        <f>IFERROR(VLOOKUP(TEXT(O327,"0"),CONDUCTORES!$A$3:$G$54,2,0),"")</f>
        <v/>
      </c>
      <c r="Q327" s="332">
        <f>IFERROR(VLOOKUP(TEXT(O327,"0"),CONDUCTORES!$A$3:$H$54,6,0),"")</f>
        <v/>
      </c>
      <c r="R327" s="334" t="n"/>
      <c r="S327" s="334" t="n"/>
      <c r="T327" s="334" t="n"/>
      <c r="U327" s="334" t="n"/>
      <c r="V327" s="334" t="n"/>
      <c r="W327" s="334" t="n"/>
      <c r="X327" s="334" t="n"/>
      <c r="Y327" s="334" t="n"/>
    </row>
    <row r="328" ht="15" customHeight="1" s="195">
      <c r="A328" s="280" t="n"/>
      <c r="B328" s="280" t="n"/>
      <c r="C328" s="280" t="n"/>
      <c r="D328" s="280" t="n"/>
      <c r="E328" s="280" t="n"/>
      <c r="F328" s="280" t="n"/>
      <c r="G328" s="280" t="n"/>
      <c r="H328" s="280" t="n"/>
      <c r="I328" s="332">
        <f>IFERROR(VLOOKUP(TEXT(H328,"0"),IPRESS!$A$3:$B$212,2,0),"")</f>
        <v/>
      </c>
      <c r="J328" s="280" t="n"/>
      <c r="K328" s="332">
        <f>IFERROR(VLOOKUP(TEXT(O328,"0"),CONDUCTORES!$A$3:$G$54,7,0),"")</f>
        <v/>
      </c>
      <c r="L328" s="280" t="n"/>
      <c r="M328" s="280" t="n"/>
      <c r="N328" s="333">
        <f>IFERROR(IF(L328*M328=0,"",L328*M328),"")</f>
        <v/>
      </c>
      <c r="O328" s="280" t="n"/>
      <c r="P328" s="332">
        <f>IFERROR(VLOOKUP(TEXT(O328,"0"),CONDUCTORES!$A$3:$G$54,2,0),"")</f>
        <v/>
      </c>
      <c r="Q328" s="332">
        <f>IFERROR(VLOOKUP(TEXT(O328,"0"),CONDUCTORES!$A$3:$H$54,6,0),"")</f>
        <v/>
      </c>
      <c r="R328" s="280" t="n"/>
      <c r="S328" s="280" t="n"/>
      <c r="T328" s="280" t="n"/>
      <c r="U328" s="280" t="n"/>
      <c r="V328" s="280" t="n"/>
      <c r="W328" s="280" t="n"/>
      <c r="X328" s="280" t="n"/>
      <c r="Y328" s="280" t="n"/>
    </row>
    <row r="329" ht="15" customHeight="1" s="195">
      <c r="A329" s="334" t="n"/>
      <c r="B329" s="334" t="n"/>
      <c r="C329" s="334" t="n"/>
      <c r="D329" s="334" t="n"/>
      <c r="E329" s="334" t="n"/>
      <c r="F329" s="334" t="n"/>
      <c r="G329" s="334" t="n"/>
      <c r="H329" s="334" t="n"/>
      <c r="I329" s="332">
        <f>IFERROR(VLOOKUP(TEXT(H329,"0"),IPRESS!$A$3:$B$212,2,0),"")</f>
        <v/>
      </c>
      <c r="J329" s="334" t="n"/>
      <c r="K329" s="332">
        <f>IFERROR(VLOOKUP(TEXT(O329,"0"),CONDUCTORES!$A$3:$G$54,7,0),"")</f>
        <v/>
      </c>
      <c r="L329" s="334" t="n"/>
      <c r="M329" s="334" t="n"/>
      <c r="N329" s="333">
        <f>IFERROR(IF(L329*M329=0,"",L329*M329),"")</f>
        <v/>
      </c>
      <c r="O329" s="334" t="n"/>
      <c r="P329" s="332">
        <f>IFERROR(VLOOKUP(TEXT(O329,"0"),CONDUCTORES!$A$3:$G$54,2,0),"")</f>
        <v/>
      </c>
      <c r="Q329" s="332">
        <f>IFERROR(VLOOKUP(TEXT(O329,"0"),CONDUCTORES!$A$3:$H$54,6,0),"")</f>
        <v/>
      </c>
      <c r="R329" s="334" t="n"/>
      <c r="S329" s="334" t="n"/>
      <c r="T329" s="334" t="n"/>
      <c r="U329" s="334" t="n"/>
      <c r="V329" s="334" t="n"/>
      <c r="W329" s="334" t="n"/>
      <c r="X329" s="334" t="n"/>
      <c r="Y329" s="334" t="n"/>
    </row>
    <row r="330" ht="15" customHeight="1" s="195">
      <c r="A330" s="280" t="n"/>
      <c r="B330" s="280" t="n"/>
      <c r="C330" s="280" t="n"/>
      <c r="D330" s="280" t="n"/>
      <c r="E330" s="280" t="n"/>
      <c r="F330" s="280" t="n"/>
      <c r="G330" s="280" t="n"/>
      <c r="H330" s="280" t="n"/>
      <c r="I330" s="332">
        <f>IFERROR(VLOOKUP(TEXT(H330,"0"),IPRESS!$A$3:$B$212,2,0),"")</f>
        <v/>
      </c>
      <c r="J330" s="280" t="n"/>
      <c r="K330" s="332">
        <f>IFERROR(VLOOKUP(TEXT(O330,"0"),CONDUCTORES!$A$3:$G$54,7,0),"")</f>
        <v/>
      </c>
      <c r="L330" s="280" t="n"/>
      <c r="M330" s="280" t="n"/>
      <c r="N330" s="333">
        <f>IFERROR(IF(L330*M330=0,"",L330*M330),"")</f>
        <v/>
      </c>
      <c r="O330" s="280" t="n"/>
      <c r="P330" s="332">
        <f>IFERROR(VLOOKUP(TEXT(O330,"0"),CONDUCTORES!$A$3:$G$54,2,0),"")</f>
        <v/>
      </c>
      <c r="Q330" s="332">
        <f>IFERROR(VLOOKUP(TEXT(O330,"0"),CONDUCTORES!$A$3:$H$54,6,0),"")</f>
        <v/>
      </c>
      <c r="R330" s="280" t="n"/>
      <c r="S330" s="280" t="n"/>
      <c r="T330" s="280" t="n"/>
      <c r="U330" s="280" t="n"/>
      <c r="V330" s="280" t="n"/>
      <c r="W330" s="280" t="n"/>
      <c r="X330" s="280" t="n"/>
      <c r="Y330" s="280" t="n"/>
    </row>
    <row r="331" ht="15" customHeight="1" s="195">
      <c r="A331" s="334" t="n"/>
      <c r="B331" s="334" t="n"/>
      <c r="C331" s="334" t="n"/>
      <c r="D331" s="334" t="n"/>
      <c r="E331" s="334" t="n"/>
      <c r="F331" s="334" t="n"/>
      <c r="G331" s="334" t="n"/>
      <c r="H331" s="334" t="n"/>
      <c r="I331" s="332">
        <f>IFERROR(VLOOKUP(TEXT(H331,"0"),IPRESS!$A$3:$B$212,2,0),"")</f>
        <v/>
      </c>
      <c r="J331" s="334" t="n"/>
      <c r="K331" s="332">
        <f>IFERROR(VLOOKUP(TEXT(O331,"0"),CONDUCTORES!$A$3:$G$54,7,0),"")</f>
        <v/>
      </c>
      <c r="L331" s="334" t="n"/>
      <c r="M331" s="334" t="n"/>
      <c r="N331" s="333">
        <f>IFERROR(IF(L331*M331=0,"",L331*M331),"")</f>
        <v/>
      </c>
      <c r="O331" s="334" t="n"/>
      <c r="P331" s="332">
        <f>IFERROR(VLOOKUP(TEXT(O331,"0"),CONDUCTORES!$A$3:$G$54,2,0),"")</f>
        <v/>
      </c>
      <c r="Q331" s="332">
        <f>IFERROR(VLOOKUP(TEXT(O331,"0"),CONDUCTORES!$A$3:$H$54,6,0),"")</f>
        <v/>
      </c>
      <c r="R331" s="334" t="n"/>
      <c r="S331" s="334" t="n"/>
      <c r="T331" s="334" t="n"/>
      <c r="U331" s="334" t="n"/>
      <c r="V331" s="334" t="n"/>
      <c r="W331" s="334" t="n"/>
      <c r="X331" s="334" t="n"/>
      <c r="Y331" s="334" t="n"/>
    </row>
    <row r="332" ht="15" customHeight="1" s="195">
      <c r="A332" s="280" t="n"/>
      <c r="B332" s="280" t="n"/>
      <c r="C332" s="280" t="n"/>
      <c r="D332" s="280" t="n"/>
      <c r="E332" s="280" t="n"/>
      <c r="F332" s="280" t="n"/>
      <c r="G332" s="280" t="n"/>
      <c r="H332" s="280" t="n"/>
      <c r="I332" s="332">
        <f>IFERROR(VLOOKUP(TEXT(H332,"0"),IPRESS!$A$3:$B$212,2,0),"")</f>
        <v/>
      </c>
      <c r="J332" s="280" t="n"/>
      <c r="K332" s="332">
        <f>IFERROR(VLOOKUP(TEXT(O332,"0"),CONDUCTORES!$A$3:$G$54,7,0),"")</f>
        <v/>
      </c>
      <c r="L332" s="280" t="n"/>
      <c r="M332" s="280" t="n"/>
      <c r="N332" s="333">
        <f>IFERROR(IF(L332*M332=0,"",L332*M332),"")</f>
        <v/>
      </c>
      <c r="O332" s="280" t="n"/>
      <c r="P332" s="332">
        <f>IFERROR(VLOOKUP(TEXT(O332,"0"),CONDUCTORES!$A$3:$G$54,2,0),"")</f>
        <v/>
      </c>
      <c r="Q332" s="332">
        <f>IFERROR(VLOOKUP(TEXT(O332,"0"),CONDUCTORES!$A$3:$H$54,6,0),"")</f>
        <v/>
      </c>
      <c r="R332" s="280" t="n"/>
      <c r="S332" s="280" t="n"/>
      <c r="T332" s="280" t="n"/>
      <c r="U332" s="280" t="n"/>
      <c r="V332" s="280" t="n"/>
      <c r="W332" s="280" t="n"/>
      <c r="X332" s="280" t="n"/>
      <c r="Y332" s="280" t="n"/>
    </row>
    <row r="333" ht="15" customHeight="1" s="195">
      <c r="A333" s="334" t="n"/>
      <c r="B333" s="334" t="n"/>
      <c r="C333" s="334" t="n"/>
      <c r="D333" s="334" t="n"/>
      <c r="E333" s="334" t="n"/>
      <c r="F333" s="334" t="n"/>
      <c r="G333" s="334" t="n"/>
      <c r="H333" s="334" t="n"/>
      <c r="I333" s="332">
        <f>IFERROR(VLOOKUP(TEXT(H333,"0"),IPRESS!$A$3:$B$212,2,0),"")</f>
        <v/>
      </c>
      <c r="J333" s="334" t="n"/>
      <c r="K333" s="332">
        <f>IFERROR(VLOOKUP(TEXT(O333,"0"),CONDUCTORES!$A$3:$G$54,7,0),"")</f>
        <v/>
      </c>
      <c r="L333" s="334" t="n"/>
      <c r="M333" s="334" t="n"/>
      <c r="N333" s="333">
        <f>IFERROR(IF(L333*M333=0,"",L333*M333),"")</f>
        <v/>
      </c>
      <c r="O333" s="334" t="n"/>
      <c r="P333" s="332">
        <f>IFERROR(VLOOKUP(TEXT(O333,"0"),CONDUCTORES!$A$3:$G$54,2,0),"")</f>
        <v/>
      </c>
      <c r="Q333" s="332">
        <f>IFERROR(VLOOKUP(TEXT(O333,"0"),CONDUCTORES!$A$3:$H$54,6,0),"")</f>
        <v/>
      </c>
      <c r="R333" s="334" t="n"/>
      <c r="S333" s="334" t="n"/>
      <c r="T333" s="334" t="n"/>
      <c r="U333" s="334" t="n"/>
      <c r="V333" s="334" t="n"/>
      <c r="W333" s="334" t="n"/>
      <c r="X333" s="334" t="n"/>
      <c r="Y333" s="334" t="n"/>
    </row>
    <row r="334" ht="15" customHeight="1" s="195">
      <c r="A334" s="280" t="n"/>
      <c r="B334" s="280" t="n"/>
      <c r="C334" s="280" t="n"/>
      <c r="D334" s="280" t="n"/>
      <c r="E334" s="280" t="n"/>
      <c r="F334" s="280" t="n"/>
      <c r="G334" s="280" t="n"/>
      <c r="H334" s="280" t="n"/>
      <c r="I334" s="332">
        <f>IFERROR(VLOOKUP(TEXT(H334,"0"),IPRESS!$A$3:$B$212,2,0),"")</f>
        <v/>
      </c>
      <c r="J334" s="280" t="n"/>
      <c r="K334" s="332">
        <f>IFERROR(VLOOKUP(TEXT(O334,"0"),CONDUCTORES!$A$3:$G$54,7,0),"")</f>
        <v/>
      </c>
      <c r="L334" s="280" t="n"/>
      <c r="M334" s="280" t="n"/>
      <c r="N334" s="333">
        <f>IFERROR(IF(L334*M334=0,"",L334*M334),"")</f>
        <v/>
      </c>
      <c r="O334" s="280" t="n"/>
      <c r="P334" s="332">
        <f>IFERROR(VLOOKUP(TEXT(O334,"0"),CONDUCTORES!$A$3:$G$54,2,0),"")</f>
        <v/>
      </c>
      <c r="Q334" s="332">
        <f>IFERROR(VLOOKUP(TEXT(O334,"0"),CONDUCTORES!$A$3:$H$54,6,0),"")</f>
        <v/>
      </c>
      <c r="R334" s="280" t="n"/>
      <c r="S334" s="280" t="n"/>
      <c r="T334" s="280" t="n"/>
      <c r="U334" s="280" t="n"/>
      <c r="V334" s="280" t="n"/>
      <c r="W334" s="280" t="n"/>
      <c r="X334" s="280" t="n"/>
      <c r="Y334" s="280" t="n"/>
    </row>
    <row r="335" ht="15" customHeight="1" s="195">
      <c r="A335" s="334" t="n"/>
      <c r="B335" s="334" t="n"/>
      <c r="C335" s="334" t="n"/>
      <c r="D335" s="334" t="n"/>
      <c r="E335" s="334" t="n"/>
      <c r="F335" s="334" t="n"/>
      <c r="G335" s="334" t="n"/>
      <c r="H335" s="334" t="n"/>
      <c r="I335" s="332">
        <f>IFERROR(VLOOKUP(TEXT(H335,"0"),IPRESS!$A$3:$B$212,2,0),"")</f>
        <v/>
      </c>
      <c r="J335" s="334" t="n"/>
      <c r="K335" s="332">
        <f>IFERROR(VLOOKUP(TEXT(O335,"0"),CONDUCTORES!$A$3:$G$54,7,0),"")</f>
        <v/>
      </c>
      <c r="L335" s="334" t="n"/>
      <c r="M335" s="334" t="n"/>
      <c r="N335" s="333">
        <f>IFERROR(IF(L335*M335=0,"",L335*M335),"")</f>
        <v/>
      </c>
      <c r="O335" s="334" t="n"/>
      <c r="P335" s="332">
        <f>IFERROR(VLOOKUP(TEXT(O335,"0"),CONDUCTORES!$A$3:$G$54,2,0),"")</f>
        <v/>
      </c>
      <c r="Q335" s="332">
        <f>IFERROR(VLOOKUP(TEXT(O335,"0"),CONDUCTORES!$A$3:$H$54,6,0),"")</f>
        <v/>
      </c>
      <c r="R335" s="334" t="n"/>
      <c r="S335" s="334" t="n"/>
      <c r="T335" s="334" t="n"/>
      <c r="U335" s="334" t="n"/>
      <c r="V335" s="334" t="n"/>
      <c r="W335" s="334" t="n"/>
      <c r="X335" s="334" t="n"/>
      <c r="Y335" s="334" t="n"/>
    </row>
    <row r="336" ht="15" customHeight="1" s="195">
      <c r="A336" s="280" t="n"/>
      <c r="B336" s="280" t="n"/>
      <c r="C336" s="280" t="n"/>
      <c r="D336" s="280" t="n"/>
      <c r="E336" s="280" t="n"/>
      <c r="F336" s="280" t="n"/>
      <c r="G336" s="280" t="n"/>
      <c r="H336" s="280" t="n"/>
      <c r="I336" s="332">
        <f>IFERROR(VLOOKUP(TEXT(H336,"0"),IPRESS!$A$3:$B$212,2,0),"")</f>
        <v/>
      </c>
      <c r="J336" s="280" t="n"/>
      <c r="K336" s="332">
        <f>IFERROR(VLOOKUP(TEXT(O336,"0"),CONDUCTORES!$A$3:$G$54,7,0),"")</f>
        <v/>
      </c>
      <c r="L336" s="280" t="n"/>
      <c r="M336" s="280" t="n"/>
      <c r="N336" s="333">
        <f>IFERROR(IF(L336*M336=0,"",L336*M336),"")</f>
        <v/>
      </c>
      <c r="O336" s="280" t="n"/>
      <c r="P336" s="332">
        <f>IFERROR(VLOOKUP(TEXT(O336,"0"),CONDUCTORES!$A$3:$G$54,2,0),"")</f>
        <v/>
      </c>
      <c r="Q336" s="332">
        <f>IFERROR(VLOOKUP(TEXT(O336,"0"),CONDUCTORES!$A$3:$H$54,6,0),"")</f>
        <v/>
      </c>
      <c r="R336" s="280" t="n"/>
      <c r="S336" s="280" t="n"/>
      <c r="T336" s="280" t="n"/>
      <c r="U336" s="280" t="n"/>
      <c r="V336" s="280" t="n"/>
      <c r="W336" s="280" t="n"/>
      <c r="X336" s="280" t="n"/>
      <c r="Y336" s="280" t="n"/>
    </row>
    <row r="337" ht="15" customHeight="1" s="195">
      <c r="A337" s="334" t="n"/>
      <c r="B337" s="334" t="n"/>
      <c r="C337" s="334" t="n"/>
      <c r="D337" s="334" t="n"/>
      <c r="E337" s="334" t="n"/>
      <c r="F337" s="334" t="n"/>
      <c r="G337" s="334" t="n"/>
      <c r="H337" s="334" t="n"/>
      <c r="I337" s="332">
        <f>IFERROR(VLOOKUP(TEXT(H337,"0"),IPRESS!$A$3:$B$212,2,0),"")</f>
        <v/>
      </c>
      <c r="J337" s="334" t="n"/>
      <c r="K337" s="332">
        <f>IFERROR(VLOOKUP(TEXT(O337,"0"),CONDUCTORES!$A$3:$G$54,7,0),"")</f>
        <v/>
      </c>
      <c r="L337" s="334" t="n"/>
      <c r="M337" s="334" t="n"/>
      <c r="N337" s="333">
        <f>IFERROR(IF(L337*M337=0,"",L337*M337),"")</f>
        <v/>
      </c>
      <c r="O337" s="334" t="n"/>
      <c r="P337" s="332">
        <f>IFERROR(VLOOKUP(TEXT(O337,"0"),CONDUCTORES!$A$3:$G$54,2,0),"")</f>
        <v/>
      </c>
      <c r="Q337" s="332">
        <f>IFERROR(VLOOKUP(TEXT(O337,"0"),CONDUCTORES!$A$3:$H$54,6,0),"")</f>
        <v/>
      </c>
      <c r="R337" s="334" t="n"/>
      <c r="S337" s="334" t="n"/>
      <c r="T337" s="334" t="n"/>
      <c r="U337" s="334" t="n"/>
      <c r="V337" s="334" t="n"/>
      <c r="W337" s="334" t="n"/>
      <c r="X337" s="334" t="n"/>
      <c r="Y337" s="334" t="n"/>
    </row>
    <row r="338" ht="15" customHeight="1" s="195">
      <c r="A338" s="280" t="n"/>
      <c r="B338" s="280" t="n"/>
      <c r="C338" s="280" t="n"/>
      <c r="D338" s="280" t="n"/>
      <c r="E338" s="280" t="n"/>
      <c r="F338" s="280" t="n"/>
      <c r="G338" s="280" t="n"/>
      <c r="H338" s="280" t="n"/>
      <c r="I338" s="332">
        <f>IFERROR(VLOOKUP(TEXT(H338,"0"),IPRESS!$A$3:$B$212,2,0),"")</f>
        <v/>
      </c>
      <c r="J338" s="280" t="n"/>
      <c r="K338" s="332">
        <f>IFERROR(VLOOKUP(TEXT(O338,"0"),CONDUCTORES!$A$3:$G$54,7,0),"")</f>
        <v/>
      </c>
      <c r="L338" s="280" t="n"/>
      <c r="M338" s="280" t="n"/>
      <c r="N338" s="333">
        <f>IFERROR(IF(L338*M338=0,"",L338*M338),"")</f>
        <v/>
      </c>
      <c r="O338" s="280" t="n"/>
      <c r="P338" s="332">
        <f>IFERROR(VLOOKUP(TEXT(O338,"0"),CONDUCTORES!$A$3:$G$54,2,0),"")</f>
        <v/>
      </c>
      <c r="Q338" s="332">
        <f>IFERROR(VLOOKUP(TEXT(O338,"0"),CONDUCTORES!$A$3:$H$54,6,0),"")</f>
        <v/>
      </c>
      <c r="R338" s="280" t="n"/>
      <c r="S338" s="280" t="n"/>
      <c r="T338" s="280" t="n"/>
      <c r="U338" s="280" t="n"/>
      <c r="V338" s="280" t="n"/>
      <c r="W338" s="280" t="n"/>
      <c r="X338" s="280" t="n"/>
      <c r="Y338" s="280" t="n"/>
    </row>
    <row r="339" ht="15" customHeight="1" s="195">
      <c r="A339" s="334" t="n"/>
      <c r="B339" s="334" t="n"/>
      <c r="C339" s="334" t="n"/>
      <c r="D339" s="334" t="n"/>
      <c r="E339" s="334" t="n"/>
      <c r="F339" s="334" t="n"/>
      <c r="G339" s="334" t="n"/>
      <c r="H339" s="334" t="n"/>
      <c r="I339" s="332">
        <f>IFERROR(VLOOKUP(TEXT(H339,"0"),IPRESS!$A$3:$B$212,2,0),"")</f>
        <v/>
      </c>
      <c r="J339" s="334" t="n"/>
      <c r="K339" s="332">
        <f>IFERROR(VLOOKUP(TEXT(O339,"0"),CONDUCTORES!$A$3:$G$54,7,0),"")</f>
        <v/>
      </c>
      <c r="L339" s="334" t="n"/>
      <c r="M339" s="334" t="n"/>
      <c r="N339" s="333">
        <f>IFERROR(IF(L339*M339=0,"",L339*M339),"")</f>
        <v/>
      </c>
      <c r="O339" s="334" t="n"/>
      <c r="P339" s="332">
        <f>IFERROR(VLOOKUP(TEXT(O339,"0"),CONDUCTORES!$A$3:$G$54,2,0),"")</f>
        <v/>
      </c>
      <c r="Q339" s="332">
        <f>IFERROR(VLOOKUP(TEXT(O339,"0"),CONDUCTORES!$A$3:$H$54,6,0),"")</f>
        <v/>
      </c>
      <c r="R339" s="334" t="n"/>
      <c r="S339" s="334" t="n"/>
      <c r="T339" s="334" t="n"/>
      <c r="U339" s="334" t="n"/>
      <c r="V339" s="334" t="n"/>
      <c r="W339" s="334" t="n"/>
      <c r="X339" s="334" t="n"/>
      <c r="Y339" s="334" t="n"/>
    </row>
    <row r="340" ht="15" customHeight="1" s="195">
      <c r="A340" s="280" t="n"/>
      <c r="B340" s="280" t="n"/>
      <c r="C340" s="280" t="n"/>
      <c r="D340" s="280" t="n"/>
      <c r="E340" s="280" t="n"/>
      <c r="F340" s="280" t="n"/>
      <c r="G340" s="280" t="n"/>
      <c r="H340" s="280" t="n"/>
      <c r="I340" s="332">
        <f>IFERROR(VLOOKUP(TEXT(H340,"0"),IPRESS!$A$3:$B$212,2,0),"")</f>
        <v/>
      </c>
      <c r="J340" s="280" t="n"/>
      <c r="K340" s="332">
        <f>IFERROR(VLOOKUP(TEXT(O340,"0"),CONDUCTORES!$A$3:$G$54,7,0),"")</f>
        <v/>
      </c>
      <c r="L340" s="280" t="n"/>
      <c r="M340" s="280" t="n"/>
      <c r="N340" s="333">
        <f>IFERROR(IF(L340*M340=0,"",L340*M340),"")</f>
        <v/>
      </c>
      <c r="O340" s="280" t="n"/>
      <c r="P340" s="332">
        <f>IFERROR(VLOOKUP(TEXT(O340,"0"),CONDUCTORES!$A$3:$G$54,2,0),"")</f>
        <v/>
      </c>
      <c r="Q340" s="332">
        <f>IFERROR(VLOOKUP(TEXT(O340,"0"),CONDUCTORES!$A$3:$H$54,6,0),"")</f>
        <v/>
      </c>
      <c r="R340" s="280" t="n"/>
      <c r="S340" s="280" t="n"/>
      <c r="T340" s="280" t="n"/>
      <c r="U340" s="280" t="n"/>
      <c r="V340" s="280" t="n"/>
      <c r="W340" s="280" t="n"/>
      <c r="X340" s="280" t="n"/>
      <c r="Y340" s="280" t="n"/>
    </row>
    <row r="341" ht="15" customHeight="1" s="195">
      <c r="A341" s="334" t="n"/>
      <c r="B341" s="334" t="n"/>
      <c r="C341" s="334" t="n"/>
      <c r="D341" s="334" t="n"/>
      <c r="E341" s="334" t="n"/>
      <c r="F341" s="334" t="n"/>
      <c r="G341" s="334" t="n"/>
      <c r="H341" s="334" t="n"/>
      <c r="I341" s="332">
        <f>IFERROR(VLOOKUP(TEXT(H341,"0"),IPRESS!$A$3:$B$212,2,0),"")</f>
        <v/>
      </c>
      <c r="J341" s="334" t="n"/>
      <c r="K341" s="332">
        <f>IFERROR(VLOOKUP(TEXT(O341,"0"),CONDUCTORES!$A$3:$G$54,7,0),"")</f>
        <v/>
      </c>
      <c r="L341" s="334" t="n"/>
      <c r="M341" s="334" t="n"/>
      <c r="N341" s="333">
        <f>IFERROR(IF(L341*M341=0,"",L341*M341),"")</f>
        <v/>
      </c>
      <c r="O341" s="334" t="n"/>
      <c r="P341" s="332">
        <f>IFERROR(VLOOKUP(TEXT(O341,"0"),CONDUCTORES!$A$3:$G$54,2,0),"")</f>
        <v/>
      </c>
      <c r="Q341" s="332">
        <f>IFERROR(VLOOKUP(TEXT(O341,"0"),CONDUCTORES!$A$3:$H$54,6,0),"")</f>
        <v/>
      </c>
      <c r="R341" s="334" t="n"/>
      <c r="S341" s="334" t="n"/>
      <c r="T341" s="334" t="n"/>
      <c r="U341" s="334" t="n"/>
      <c r="V341" s="334" t="n"/>
      <c r="W341" s="334" t="n"/>
      <c r="X341" s="334" t="n"/>
      <c r="Y341" s="334" t="n"/>
    </row>
    <row r="342" ht="15" customHeight="1" s="195">
      <c r="A342" s="280" t="n"/>
      <c r="B342" s="280" t="n"/>
      <c r="C342" s="280" t="n"/>
      <c r="D342" s="280" t="n"/>
      <c r="E342" s="280" t="n"/>
      <c r="F342" s="280" t="n"/>
      <c r="G342" s="280" t="n"/>
      <c r="H342" s="280" t="n"/>
      <c r="I342" s="332">
        <f>IFERROR(VLOOKUP(TEXT(H342,"0"),IPRESS!$A$3:$B$212,2,0),"")</f>
        <v/>
      </c>
      <c r="J342" s="280" t="n"/>
      <c r="K342" s="332">
        <f>IFERROR(VLOOKUP(TEXT(O342,"0"),CONDUCTORES!$A$3:$G$54,7,0),"")</f>
        <v/>
      </c>
      <c r="L342" s="280" t="n"/>
      <c r="M342" s="280" t="n"/>
      <c r="N342" s="333">
        <f>IFERROR(IF(L342*M342=0,"",L342*M342),"")</f>
        <v/>
      </c>
      <c r="O342" s="280" t="n"/>
      <c r="P342" s="332">
        <f>IFERROR(VLOOKUP(TEXT(O342,"0"),CONDUCTORES!$A$3:$G$54,2,0),"")</f>
        <v/>
      </c>
      <c r="Q342" s="332">
        <f>IFERROR(VLOOKUP(TEXT(O342,"0"),CONDUCTORES!$A$3:$H$54,6,0),"")</f>
        <v/>
      </c>
      <c r="R342" s="280" t="n"/>
      <c r="S342" s="280" t="n"/>
      <c r="T342" s="280" t="n"/>
      <c r="U342" s="280" t="n"/>
      <c r="V342" s="280" t="n"/>
      <c r="W342" s="280" t="n"/>
      <c r="X342" s="280" t="n"/>
      <c r="Y342" s="280" t="n"/>
    </row>
    <row r="343" ht="15" customHeight="1" s="195">
      <c r="A343" s="334" t="n"/>
      <c r="B343" s="334" t="n"/>
      <c r="C343" s="334" t="n"/>
      <c r="D343" s="334" t="n"/>
      <c r="E343" s="334" t="n"/>
      <c r="F343" s="334" t="n"/>
      <c r="G343" s="334" t="n"/>
      <c r="H343" s="334" t="n"/>
      <c r="I343" s="332">
        <f>IFERROR(VLOOKUP(TEXT(H343,"0"),IPRESS!$A$3:$B$212,2,0),"")</f>
        <v/>
      </c>
      <c r="J343" s="334" t="n"/>
      <c r="K343" s="332">
        <f>IFERROR(VLOOKUP(TEXT(O343,"0"),CONDUCTORES!$A$3:$G$54,7,0),"")</f>
        <v/>
      </c>
      <c r="L343" s="334" t="n"/>
      <c r="M343" s="334" t="n"/>
      <c r="N343" s="333">
        <f>IFERROR(IF(L343*M343=0,"",L343*M343),"")</f>
        <v/>
      </c>
      <c r="O343" s="334" t="n"/>
      <c r="P343" s="332">
        <f>IFERROR(VLOOKUP(TEXT(O343,"0"),CONDUCTORES!$A$3:$G$54,2,0),"")</f>
        <v/>
      </c>
      <c r="Q343" s="332">
        <f>IFERROR(VLOOKUP(TEXT(O343,"0"),CONDUCTORES!$A$3:$H$54,6,0),"")</f>
        <v/>
      </c>
      <c r="R343" s="334" t="n"/>
      <c r="S343" s="334" t="n"/>
      <c r="T343" s="334" t="n"/>
      <c r="U343" s="334" t="n"/>
      <c r="V343" s="334" t="n"/>
      <c r="W343" s="334" t="n"/>
      <c r="X343" s="334" t="n"/>
      <c r="Y343" s="334" t="n"/>
    </row>
    <row r="344" ht="15" customHeight="1" s="195">
      <c r="A344" s="280" t="n"/>
      <c r="B344" s="280" t="n"/>
      <c r="C344" s="280" t="n"/>
      <c r="D344" s="280" t="n"/>
      <c r="E344" s="280" t="n"/>
      <c r="F344" s="280" t="n"/>
      <c r="G344" s="280" t="n"/>
      <c r="H344" s="280" t="n"/>
      <c r="I344" s="332">
        <f>IFERROR(VLOOKUP(TEXT(H344,"0"),IPRESS!$A$3:$B$212,2,0),"")</f>
        <v/>
      </c>
      <c r="J344" s="280" t="n"/>
      <c r="K344" s="332">
        <f>IFERROR(VLOOKUP(TEXT(O344,"0"),CONDUCTORES!$A$3:$G$54,7,0),"")</f>
        <v/>
      </c>
      <c r="L344" s="280" t="n"/>
      <c r="M344" s="280" t="n"/>
      <c r="N344" s="333">
        <f>IFERROR(IF(L344*M344=0,"",L344*M344),"")</f>
        <v/>
      </c>
      <c r="O344" s="280" t="n"/>
      <c r="P344" s="332">
        <f>IFERROR(VLOOKUP(TEXT(O344,"0"),CONDUCTORES!$A$3:$G$54,2,0),"")</f>
        <v/>
      </c>
      <c r="Q344" s="332">
        <f>IFERROR(VLOOKUP(TEXT(O344,"0"),CONDUCTORES!$A$3:$H$54,6,0),"")</f>
        <v/>
      </c>
      <c r="R344" s="280" t="n"/>
      <c r="S344" s="280" t="n"/>
      <c r="T344" s="280" t="n"/>
      <c r="U344" s="280" t="n"/>
      <c r="V344" s="280" t="n"/>
      <c r="W344" s="280" t="n"/>
      <c r="X344" s="280" t="n"/>
      <c r="Y344" s="280" t="n"/>
    </row>
    <row r="345" ht="15" customHeight="1" s="195">
      <c r="A345" s="334" t="n"/>
      <c r="B345" s="334" t="n"/>
      <c r="C345" s="334" t="n"/>
      <c r="D345" s="334" t="n"/>
      <c r="E345" s="334" t="n"/>
      <c r="F345" s="334" t="n"/>
      <c r="G345" s="334" t="n"/>
      <c r="H345" s="334" t="n"/>
      <c r="I345" s="332">
        <f>IFERROR(VLOOKUP(TEXT(H345,"0"),IPRESS!$A$3:$B$212,2,0),"")</f>
        <v/>
      </c>
      <c r="J345" s="334" t="n"/>
      <c r="K345" s="332">
        <f>IFERROR(VLOOKUP(TEXT(O345,"0"),CONDUCTORES!$A$3:$G$54,7,0),"")</f>
        <v/>
      </c>
      <c r="L345" s="334" t="n"/>
      <c r="M345" s="334" t="n"/>
      <c r="N345" s="333">
        <f>IFERROR(IF(L345*M345=0,"",L345*M345),"")</f>
        <v/>
      </c>
      <c r="O345" s="334" t="n"/>
      <c r="P345" s="332">
        <f>IFERROR(VLOOKUP(TEXT(O345,"0"),CONDUCTORES!$A$3:$G$54,2,0),"")</f>
        <v/>
      </c>
      <c r="Q345" s="332">
        <f>IFERROR(VLOOKUP(TEXT(O345,"0"),CONDUCTORES!$A$3:$H$54,6,0),"")</f>
        <v/>
      </c>
      <c r="R345" s="334" t="n"/>
      <c r="S345" s="334" t="n"/>
      <c r="T345" s="334" t="n"/>
      <c r="U345" s="334" t="n"/>
      <c r="V345" s="334" t="n"/>
      <c r="W345" s="334" t="n"/>
      <c r="X345" s="334" t="n"/>
      <c r="Y345" s="334" t="n"/>
    </row>
    <row r="346" ht="15" customHeight="1" s="195">
      <c r="A346" s="280" t="n"/>
      <c r="B346" s="280" t="n"/>
      <c r="C346" s="280" t="n"/>
      <c r="D346" s="280" t="n"/>
      <c r="E346" s="280" t="n"/>
      <c r="F346" s="280" t="n"/>
      <c r="G346" s="280" t="n"/>
      <c r="H346" s="280" t="n"/>
      <c r="I346" s="332">
        <f>IFERROR(VLOOKUP(TEXT(H346,"0"),IPRESS!$A$3:$B$212,2,0),"")</f>
        <v/>
      </c>
      <c r="J346" s="280" t="n"/>
      <c r="K346" s="332">
        <f>IFERROR(VLOOKUP(TEXT(O346,"0"),CONDUCTORES!$A$3:$G$54,7,0),"")</f>
        <v/>
      </c>
      <c r="L346" s="280" t="n"/>
      <c r="M346" s="280" t="n"/>
      <c r="N346" s="333">
        <f>IFERROR(IF(L346*M346=0,"",L346*M346),"")</f>
        <v/>
      </c>
      <c r="O346" s="280" t="n"/>
      <c r="P346" s="332">
        <f>IFERROR(VLOOKUP(TEXT(O346,"0"),CONDUCTORES!$A$3:$G$54,2,0),"")</f>
        <v/>
      </c>
      <c r="Q346" s="332">
        <f>IFERROR(VLOOKUP(TEXT(O346,"0"),CONDUCTORES!$A$3:$H$54,6,0),"")</f>
        <v/>
      </c>
      <c r="R346" s="280" t="n"/>
      <c r="S346" s="280" t="n"/>
      <c r="T346" s="280" t="n"/>
      <c r="U346" s="280" t="n"/>
      <c r="V346" s="280" t="n"/>
      <c r="W346" s="280" t="n"/>
      <c r="X346" s="280" t="n"/>
      <c r="Y346" s="280" t="n"/>
    </row>
    <row r="347" ht="15" customHeight="1" s="195">
      <c r="A347" s="334" t="n"/>
      <c r="B347" s="334" t="n"/>
      <c r="C347" s="334" t="n"/>
      <c r="D347" s="334" t="n"/>
      <c r="E347" s="334" t="n"/>
      <c r="F347" s="334" t="n"/>
      <c r="G347" s="334" t="n"/>
      <c r="H347" s="334" t="n"/>
      <c r="I347" s="332">
        <f>IFERROR(VLOOKUP(TEXT(H347,"0"),IPRESS!$A$3:$B$212,2,0),"")</f>
        <v/>
      </c>
      <c r="J347" s="334" t="n"/>
      <c r="K347" s="332">
        <f>IFERROR(VLOOKUP(TEXT(O347,"0"),CONDUCTORES!$A$3:$G$54,7,0),"")</f>
        <v/>
      </c>
      <c r="L347" s="334" t="n"/>
      <c r="M347" s="334" t="n"/>
      <c r="N347" s="333">
        <f>IFERROR(IF(L347*M347=0,"",L347*M347),"")</f>
        <v/>
      </c>
      <c r="O347" s="334" t="n"/>
      <c r="P347" s="332">
        <f>IFERROR(VLOOKUP(TEXT(O347,"0"),CONDUCTORES!$A$3:$G$54,2,0),"")</f>
        <v/>
      </c>
      <c r="Q347" s="332">
        <f>IFERROR(VLOOKUP(TEXT(O347,"0"),CONDUCTORES!$A$3:$H$54,6,0),"")</f>
        <v/>
      </c>
      <c r="R347" s="334" t="n"/>
      <c r="S347" s="334" t="n"/>
      <c r="T347" s="334" t="n"/>
      <c r="U347" s="334" t="n"/>
      <c r="V347" s="334" t="n"/>
      <c r="W347" s="334" t="n"/>
      <c r="X347" s="334" t="n"/>
      <c r="Y347" s="334" t="n"/>
    </row>
    <row r="348" ht="15" customHeight="1" s="195">
      <c r="A348" s="280" t="n"/>
      <c r="B348" s="280" t="n"/>
      <c r="C348" s="280" t="n"/>
      <c r="D348" s="280" t="n"/>
      <c r="E348" s="280" t="n"/>
      <c r="F348" s="280" t="n"/>
      <c r="G348" s="280" t="n"/>
      <c r="H348" s="280" t="n"/>
      <c r="I348" s="332">
        <f>IFERROR(VLOOKUP(TEXT(H348,"0"),IPRESS!$A$3:$B$212,2,0),"")</f>
        <v/>
      </c>
      <c r="J348" s="280" t="n"/>
      <c r="K348" s="332">
        <f>IFERROR(VLOOKUP(TEXT(O348,"0"),CONDUCTORES!$A$3:$G$54,7,0),"")</f>
        <v/>
      </c>
      <c r="L348" s="280" t="n"/>
      <c r="M348" s="280" t="n"/>
      <c r="N348" s="333">
        <f>IFERROR(IF(L348*M348=0,"",L348*M348),"")</f>
        <v/>
      </c>
      <c r="O348" s="280" t="n"/>
      <c r="P348" s="332">
        <f>IFERROR(VLOOKUP(TEXT(O348,"0"),CONDUCTORES!$A$3:$G$54,2,0),"")</f>
        <v/>
      </c>
      <c r="Q348" s="332">
        <f>IFERROR(VLOOKUP(TEXT(O348,"0"),CONDUCTORES!$A$3:$H$54,6,0),"")</f>
        <v/>
      </c>
      <c r="R348" s="280" t="n"/>
      <c r="S348" s="280" t="n"/>
      <c r="T348" s="280" t="n"/>
      <c r="U348" s="280" t="n"/>
      <c r="V348" s="280" t="n"/>
      <c r="W348" s="280" t="n"/>
      <c r="X348" s="280" t="n"/>
      <c r="Y348" s="280" t="n"/>
    </row>
    <row r="349" ht="15" customHeight="1" s="195">
      <c r="A349" s="334" t="n"/>
      <c r="B349" s="334" t="n"/>
      <c r="C349" s="334" t="n"/>
      <c r="D349" s="334" t="n"/>
      <c r="E349" s="334" t="n"/>
      <c r="F349" s="334" t="n"/>
      <c r="G349" s="334" t="n"/>
      <c r="H349" s="334" t="n"/>
      <c r="I349" s="332">
        <f>IFERROR(VLOOKUP(TEXT(H349,"0"),IPRESS!$A$3:$B$212,2,0),"")</f>
        <v/>
      </c>
      <c r="J349" s="334" t="n"/>
      <c r="K349" s="332">
        <f>IFERROR(VLOOKUP(TEXT(O349,"0"),CONDUCTORES!$A$3:$G$54,7,0),"")</f>
        <v/>
      </c>
      <c r="L349" s="334" t="n"/>
      <c r="M349" s="334" t="n"/>
      <c r="N349" s="333">
        <f>IFERROR(IF(L349*M349=0,"",L349*M349),"")</f>
        <v/>
      </c>
      <c r="O349" s="334" t="n"/>
      <c r="P349" s="332">
        <f>IFERROR(VLOOKUP(TEXT(O349,"0"),CONDUCTORES!$A$3:$G$54,2,0),"")</f>
        <v/>
      </c>
      <c r="Q349" s="332">
        <f>IFERROR(VLOOKUP(TEXT(O349,"0"),CONDUCTORES!$A$3:$H$54,6,0),"")</f>
        <v/>
      </c>
      <c r="R349" s="334" t="n"/>
      <c r="S349" s="334" t="n"/>
      <c r="T349" s="334" t="n"/>
      <c r="U349" s="334" t="n"/>
      <c r="V349" s="334" t="n"/>
      <c r="W349" s="334" t="n"/>
      <c r="X349" s="334" t="n"/>
      <c r="Y349" s="334" t="n"/>
    </row>
    <row r="350" ht="15" customHeight="1" s="195">
      <c r="A350" s="280" t="n"/>
      <c r="B350" s="280" t="n"/>
      <c r="C350" s="280" t="n"/>
      <c r="D350" s="280" t="n"/>
      <c r="E350" s="280" t="n"/>
      <c r="F350" s="280" t="n"/>
      <c r="G350" s="280" t="n"/>
      <c r="H350" s="280" t="n"/>
      <c r="I350" s="332">
        <f>IFERROR(VLOOKUP(TEXT(H350,"0"),IPRESS!$A$3:$B$212,2,0),"")</f>
        <v/>
      </c>
      <c r="J350" s="280" t="n"/>
      <c r="K350" s="332">
        <f>IFERROR(VLOOKUP(TEXT(O350,"0"),CONDUCTORES!$A$3:$G$54,7,0),"")</f>
        <v/>
      </c>
      <c r="L350" s="280" t="n"/>
      <c r="M350" s="280" t="n"/>
      <c r="N350" s="333">
        <f>IFERROR(IF(L350*M350=0,"",L350*M350),"")</f>
        <v/>
      </c>
      <c r="O350" s="280" t="n"/>
      <c r="P350" s="332">
        <f>IFERROR(VLOOKUP(TEXT(O350,"0"),CONDUCTORES!$A$3:$G$54,2,0),"")</f>
        <v/>
      </c>
      <c r="Q350" s="332">
        <f>IFERROR(VLOOKUP(TEXT(O350,"0"),CONDUCTORES!$A$3:$H$54,6,0),"")</f>
        <v/>
      </c>
      <c r="R350" s="280" t="n"/>
      <c r="S350" s="280" t="n"/>
      <c r="T350" s="280" t="n"/>
      <c r="U350" s="280" t="n"/>
      <c r="V350" s="280" t="n"/>
      <c r="W350" s="280" t="n"/>
      <c r="X350" s="280" t="n"/>
      <c r="Y350" s="280" t="n"/>
    </row>
    <row r="351" ht="15" customHeight="1" s="195">
      <c r="A351" s="334" t="n"/>
      <c r="B351" s="334" t="n"/>
      <c r="C351" s="334" t="n"/>
      <c r="D351" s="334" t="n"/>
      <c r="E351" s="334" t="n"/>
      <c r="F351" s="334" t="n"/>
      <c r="G351" s="334" t="n"/>
      <c r="H351" s="334" t="n"/>
      <c r="I351" s="332">
        <f>IFERROR(VLOOKUP(TEXT(H351,"0"),IPRESS!$A$3:$B$212,2,0),"")</f>
        <v/>
      </c>
      <c r="J351" s="334" t="n"/>
      <c r="K351" s="332">
        <f>IFERROR(VLOOKUP(TEXT(O351,"0"),CONDUCTORES!$A$3:$G$54,7,0),"")</f>
        <v/>
      </c>
      <c r="L351" s="334" t="n"/>
      <c r="M351" s="334" t="n"/>
      <c r="N351" s="333">
        <f>IFERROR(IF(L351*M351=0,"",L351*M351),"")</f>
        <v/>
      </c>
      <c r="O351" s="334" t="n"/>
      <c r="P351" s="332">
        <f>IFERROR(VLOOKUP(TEXT(O351,"0"),CONDUCTORES!$A$3:$G$54,2,0),"")</f>
        <v/>
      </c>
      <c r="Q351" s="332">
        <f>IFERROR(VLOOKUP(TEXT(O351,"0"),CONDUCTORES!$A$3:$H$54,6,0),"")</f>
        <v/>
      </c>
      <c r="R351" s="334" t="n"/>
      <c r="S351" s="334" t="n"/>
      <c r="T351" s="334" t="n"/>
      <c r="U351" s="334" t="n"/>
      <c r="V351" s="334" t="n"/>
      <c r="W351" s="334" t="n"/>
      <c r="X351" s="334" t="n"/>
      <c r="Y351" s="334" t="n"/>
    </row>
    <row r="352" ht="15" customHeight="1" s="195">
      <c r="A352" s="280" t="n"/>
      <c r="B352" s="280" t="n"/>
      <c r="C352" s="280" t="n"/>
      <c r="D352" s="280" t="n"/>
      <c r="E352" s="280" t="n"/>
      <c r="F352" s="280" t="n"/>
      <c r="G352" s="280" t="n"/>
      <c r="H352" s="280" t="n"/>
      <c r="I352" s="332">
        <f>IFERROR(VLOOKUP(TEXT(H352,"0"),IPRESS!$A$3:$B$212,2,0),"")</f>
        <v/>
      </c>
      <c r="J352" s="280" t="n"/>
      <c r="K352" s="332">
        <f>IFERROR(VLOOKUP(TEXT(O352,"0"),CONDUCTORES!$A$3:$G$54,7,0),"")</f>
        <v/>
      </c>
      <c r="L352" s="280" t="n"/>
      <c r="M352" s="280" t="n"/>
      <c r="N352" s="333">
        <f>IFERROR(IF(L352*M352=0,"",L352*M352),"")</f>
        <v/>
      </c>
      <c r="O352" s="280" t="n"/>
      <c r="P352" s="332">
        <f>IFERROR(VLOOKUP(TEXT(O352,"0"),CONDUCTORES!$A$3:$G$54,2,0),"")</f>
        <v/>
      </c>
      <c r="Q352" s="332">
        <f>IFERROR(VLOOKUP(TEXT(O352,"0"),CONDUCTORES!$A$3:$H$54,6,0),"")</f>
        <v/>
      </c>
      <c r="R352" s="280" t="n"/>
      <c r="S352" s="280" t="n"/>
      <c r="T352" s="280" t="n"/>
      <c r="U352" s="280" t="n"/>
      <c r="V352" s="280" t="n"/>
      <c r="W352" s="280" t="n"/>
      <c r="X352" s="280" t="n"/>
      <c r="Y352" s="280" t="n"/>
    </row>
    <row r="353" ht="15" customHeight="1" s="195">
      <c r="A353" s="334" t="n"/>
      <c r="B353" s="334" t="n"/>
      <c r="C353" s="334" t="n"/>
      <c r="D353" s="334" t="n"/>
      <c r="E353" s="334" t="n"/>
      <c r="F353" s="334" t="n"/>
      <c r="G353" s="334" t="n"/>
      <c r="H353" s="334" t="n"/>
      <c r="I353" s="332">
        <f>IFERROR(VLOOKUP(TEXT(H353,"0"),IPRESS!$A$3:$B$212,2,0),"")</f>
        <v/>
      </c>
      <c r="J353" s="334" t="n"/>
      <c r="K353" s="332">
        <f>IFERROR(VLOOKUP(TEXT(O353,"0"),CONDUCTORES!$A$3:$G$54,7,0),"")</f>
        <v/>
      </c>
      <c r="L353" s="334" t="n"/>
      <c r="M353" s="334" t="n"/>
      <c r="N353" s="333">
        <f>IFERROR(IF(L353*M353=0,"",L353*M353),"")</f>
        <v/>
      </c>
      <c r="O353" s="334" t="n"/>
      <c r="P353" s="332">
        <f>IFERROR(VLOOKUP(TEXT(O353,"0"),CONDUCTORES!$A$3:$G$54,2,0),"")</f>
        <v/>
      </c>
      <c r="Q353" s="332">
        <f>IFERROR(VLOOKUP(TEXT(O353,"0"),CONDUCTORES!$A$3:$H$54,6,0),"")</f>
        <v/>
      </c>
      <c r="R353" s="334" t="n"/>
      <c r="S353" s="334" t="n"/>
      <c r="T353" s="334" t="n"/>
      <c r="U353" s="334" t="n"/>
      <c r="V353" s="334" t="n"/>
      <c r="W353" s="334" t="n"/>
      <c r="X353" s="334" t="n"/>
      <c r="Y353" s="334" t="n"/>
    </row>
    <row r="354" ht="15" customHeight="1" s="195">
      <c r="A354" s="280" t="n"/>
      <c r="B354" s="280" t="n"/>
      <c r="C354" s="280" t="n"/>
      <c r="D354" s="280" t="n"/>
      <c r="E354" s="280" t="n"/>
      <c r="F354" s="280" t="n"/>
      <c r="G354" s="280" t="n"/>
      <c r="H354" s="280" t="n"/>
      <c r="I354" s="332">
        <f>IFERROR(VLOOKUP(TEXT(H354,"0"),IPRESS!$A$3:$B$212,2,0),"")</f>
        <v/>
      </c>
      <c r="J354" s="280" t="n"/>
      <c r="K354" s="332">
        <f>IFERROR(VLOOKUP(TEXT(O354,"0"),CONDUCTORES!$A$3:$G$54,7,0),"")</f>
        <v/>
      </c>
      <c r="L354" s="280" t="n"/>
      <c r="M354" s="280" t="n"/>
      <c r="N354" s="333">
        <f>IFERROR(IF(L354*M354=0,"",L354*M354),"")</f>
        <v/>
      </c>
      <c r="O354" s="280" t="n"/>
      <c r="P354" s="332">
        <f>IFERROR(VLOOKUP(TEXT(O354,"0"),CONDUCTORES!$A$3:$G$54,2,0),"")</f>
        <v/>
      </c>
      <c r="Q354" s="332">
        <f>IFERROR(VLOOKUP(TEXT(O354,"0"),CONDUCTORES!$A$3:$H$54,6,0),"")</f>
        <v/>
      </c>
      <c r="R354" s="280" t="n"/>
      <c r="S354" s="280" t="n"/>
      <c r="T354" s="280" t="n"/>
      <c r="U354" s="280" t="n"/>
      <c r="V354" s="280" t="n"/>
      <c r="W354" s="280" t="n"/>
      <c r="X354" s="280" t="n"/>
      <c r="Y354" s="280" t="n"/>
    </row>
    <row r="355" ht="15" customHeight="1" s="195">
      <c r="A355" s="334" t="n"/>
      <c r="B355" s="334" t="n"/>
      <c r="C355" s="334" t="n"/>
      <c r="D355" s="334" t="n"/>
      <c r="E355" s="334" t="n"/>
      <c r="F355" s="334" t="n"/>
      <c r="G355" s="334" t="n"/>
      <c r="H355" s="334" t="n"/>
      <c r="I355" s="332">
        <f>IFERROR(VLOOKUP(TEXT(H355,"0"),IPRESS!$A$3:$B$212,2,0),"")</f>
        <v/>
      </c>
      <c r="J355" s="334" t="n"/>
      <c r="K355" s="332">
        <f>IFERROR(VLOOKUP(TEXT(O355,"0"),CONDUCTORES!$A$3:$G$54,7,0),"")</f>
        <v/>
      </c>
      <c r="L355" s="334" t="n"/>
      <c r="M355" s="334" t="n"/>
      <c r="N355" s="333">
        <f>IFERROR(IF(L355*M355=0,"",L355*M355),"")</f>
        <v/>
      </c>
      <c r="O355" s="334" t="n"/>
      <c r="P355" s="332">
        <f>IFERROR(VLOOKUP(TEXT(O355,"0"),CONDUCTORES!$A$3:$G$54,2,0),"")</f>
        <v/>
      </c>
      <c r="Q355" s="332">
        <f>IFERROR(VLOOKUP(TEXT(O355,"0"),CONDUCTORES!$A$3:$H$54,6,0),"")</f>
        <v/>
      </c>
      <c r="R355" s="334" t="n"/>
      <c r="S355" s="334" t="n"/>
      <c r="T355" s="334" t="n"/>
      <c r="U355" s="334" t="n"/>
      <c r="V355" s="334" t="n"/>
      <c r="W355" s="334" t="n"/>
      <c r="X355" s="334" t="n"/>
      <c r="Y355" s="334" t="n"/>
    </row>
    <row r="356" ht="15" customHeight="1" s="195">
      <c r="A356" s="280" t="n"/>
      <c r="B356" s="280" t="n"/>
      <c r="C356" s="280" t="n"/>
      <c r="D356" s="280" t="n"/>
      <c r="E356" s="280" t="n"/>
      <c r="F356" s="280" t="n"/>
      <c r="G356" s="280" t="n"/>
      <c r="H356" s="280" t="n"/>
      <c r="I356" s="332">
        <f>IFERROR(VLOOKUP(TEXT(H356,"0"),IPRESS!$A$3:$B$212,2,0),"")</f>
        <v/>
      </c>
      <c r="J356" s="280" t="n"/>
      <c r="K356" s="332">
        <f>IFERROR(VLOOKUP(TEXT(O356,"0"),CONDUCTORES!$A$3:$G$54,7,0),"")</f>
        <v/>
      </c>
      <c r="L356" s="280" t="n"/>
      <c r="M356" s="280" t="n"/>
      <c r="N356" s="333">
        <f>IFERROR(IF(L356*M356=0,"",L356*M356),"")</f>
        <v/>
      </c>
      <c r="O356" s="280" t="n"/>
      <c r="P356" s="332">
        <f>IFERROR(VLOOKUP(TEXT(O356,"0"),CONDUCTORES!$A$3:$G$54,2,0),"")</f>
        <v/>
      </c>
      <c r="Q356" s="332">
        <f>IFERROR(VLOOKUP(TEXT(O356,"0"),CONDUCTORES!$A$3:$H$54,6,0),"")</f>
        <v/>
      </c>
      <c r="R356" s="280" t="n"/>
      <c r="S356" s="280" t="n"/>
      <c r="T356" s="280" t="n"/>
      <c r="U356" s="280" t="n"/>
      <c r="V356" s="280" t="n"/>
      <c r="W356" s="280" t="n"/>
      <c r="X356" s="280" t="n"/>
      <c r="Y356" s="280" t="n"/>
    </row>
    <row r="357" ht="15" customHeight="1" s="195">
      <c r="A357" s="334" t="n"/>
      <c r="B357" s="334" t="n"/>
      <c r="C357" s="334" t="n"/>
      <c r="D357" s="334" t="n"/>
      <c r="E357" s="334" t="n"/>
      <c r="F357" s="334" t="n"/>
      <c r="G357" s="334" t="n"/>
      <c r="H357" s="334" t="n"/>
      <c r="I357" s="332">
        <f>IFERROR(VLOOKUP(TEXT(H357,"0"),IPRESS!$A$3:$B$212,2,0),"")</f>
        <v/>
      </c>
      <c r="J357" s="334" t="n"/>
      <c r="K357" s="332">
        <f>IFERROR(VLOOKUP(TEXT(O357,"0"),CONDUCTORES!$A$3:$G$54,7,0),"")</f>
        <v/>
      </c>
      <c r="L357" s="334" t="n"/>
      <c r="M357" s="334" t="n"/>
      <c r="N357" s="333">
        <f>IFERROR(IF(L357*M357=0,"",L357*M357),"")</f>
        <v/>
      </c>
      <c r="O357" s="334" t="n"/>
      <c r="P357" s="332">
        <f>IFERROR(VLOOKUP(TEXT(O357,"0"),CONDUCTORES!$A$3:$G$54,2,0),"")</f>
        <v/>
      </c>
      <c r="Q357" s="332">
        <f>IFERROR(VLOOKUP(TEXT(O357,"0"),CONDUCTORES!$A$3:$H$54,6,0),"")</f>
        <v/>
      </c>
      <c r="R357" s="334" t="n"/>
      <c r="S357" s="334" t="n"/>
      <c r="T357" s="334" t="n"/>
      <c r="U357" s="334" t="n"/>
      <c r="V357" s="334" t="n"/>
      <c r="W357" s="334" t="n"/>
      <c r="X357" s="334" t="n"/>
      <c r="Y357" s="334" t="n"/>
    </row>
    <row r="358" ht="15" customHeight="1" s="195">
      <c r="A358" s="280" t="n"/>
      <c r="B358" s="280" t="n"/>
      <c r="C358" s="280" t="n"/>
      <c r="D358" s="280" t="n"/>
      <c r="E358" s="280" t="n"/>
      <c r="F358" s="280" t="n"/>
      <c r="G358" s="280" t="n"/>
      <c r="H358" s="280" t="n"/>
      <c r="I358" s="332">
        <f>IFERROR(VLOOKUP(TEXT(H358,"0"),IPRESS!$A$3:$B$212,2,0),"")</f>
        <v/>
      </c>
      <c r="J358" s="280" t="n"/>
      <c r="K358" s="332">
        <f>IFERROR(VLOOKUP(TEXT(O358,"0"),CONDUCTORES!$A$3:$G$54,7,0),"")</f>
        <v/>
      </c>
      <c r="L358" s="280" t="n"/>
      <c r="M358" s="280" t="n"/>
      <c r="N358" s="333">
        <f>IFERROR(IF(L358*M358=0,"",L358*M358),"")</f>
        <v/>
      </c>
      <c r="O358" s="280" t="n"/>
      <c r="P358" s="332">
        <f>IFERROR(VLOOKUP(TEXT(O358,"0"),CONDUCTORES!$A$3:$G$54,2,0),"")</f>
        <v/>
      </c>
      <c r="Q358" s="332">
        <f>IFERROR(VLOOKUP(TEXT(O358,"0"),CONDUCTORES!$A$3:$H$54,6,0),"")</f>
        <v/>
      </c>
      <c r="R358" s="280" t="n"/>
      <c r="S358" s="280" t="n"/>
      <c r="T358" s="280" t="n"/>
      <c r="U358" s="280" t="n"/>
      <c r="V358" s="280" t="n"/>
      <c r="W358" s="280" t="n"/>
      <c r="X358" s="280" t="n"/>
      <c r="Y358" s="280" t="n"/>
    </row>
    <row r="359" ht="15" customHeight="1" s="195">
      <c r="A359" s="334" t="n"/>
      <c r="B359" s="334" t="n"/>
      <c r="C359" s="334" t="n"/>
      <c r="D359" s="334" t="n"/>
      <c r="E359" s="334" t="n"/>
      <c r="F359" s="334" t="n"/>
      <c r="G359" s="334" t="n"/>
      <c r="H359" s="334" t="n"/>
      <c r="I359" s="332">
        <f>IFERROR(VLOOKUP(TEXT(H359,"0"),IPRESS!$A$3:$B$212,2,0),"")</f>
        <v/>
      </c>
      <c r="J359" s="334" t="n"/>
      <c r="K359" s="332">
        <f>IFERROR(VLOOKUP(TEXT(O359,"0"),CONDUCTORES!$A$3:$G$54,7,0),"")</f>
        <v/>
      </c>
      <c r="L359" s="334" t="n"/>
      <c r="M359" s="334" t="n"/>
      <c r="N359" s="333">
        <f>IFERROR(IF(L359*M359=0,"",L359*M359),"")</f>
        <v/>
      </c>
      <c r="O359" s="334" t="n"/>
      <c r="P359" s="332">
        <f>IFERROR(VLOOKUP(TEXT(O359,"0"),CONDUCTORES!$A$3:$G$54,2,0),"")</f>
        <v/>
      </c>
      <c r="Q359" s="332">
        <f>IFERROR(VLOOKUP(TEXT(O359,"0"),CONDUCTORES!$A$3:$H$54,6,0),"")</f>
        <v/>
      </c>
      <c r="R359" s="334" t="n"/>
      <c r="S359" s="334" t="n"/>
      <c r="T359" s="334" t="n"/>
      <c r="U359" s="334" t="n"/>
      <c r="V359" s="334" t="n"/>
      <c r="W359" s="334" t="n"/>
      <c r="X359" s="334" t="n"/>
      <c r="Y359" s="334" t="n"/>
    </row>
    <row r="360" ht="15" customHeight="1" s="195">
      <c r="A360" s="280" t="n"/>
      <c r="B360" s="280" t="n"/>
      <c r="C360" s="280" t="n"/>
      <c r="D360" s="280" t="n"/>
      <c r="E360" s="280" t="n"/>
      <c r="F360" s="280" t="n"/>
      <c r="G360" s="280" t="n"/>
      <c r="H360" s="280" t="n"/>
      <c r="I360" s="332">
        <f>IFERROR(VLOOKUP(TEXT(H360,"0"),IPRESS!$A$3:$B$212,2,0),"")</f>
        <v/>
      </c>
      <c r="J360" s="280" t="n"/>
      <c r="K360" s="332">
        <f>IFERROR(VLOOKUP(TEXT(O360,"0"),CONDUCTORES!$A$3:$G$54,7,0),"")</f>
        <v/>
      </c>
      <c r="L360" s="280" t="n"/>
      <c r="M360" s="280" t="n"/>
      <c r="N360" s="333">
        <f>IFERROR(IF(L360*M360=0,"",L360*M360),"")</f>
        <v/>
      </c>
      <c r="O360" s="280" t="n"/>
      <c r="P360" s="332">
        <f>IFERROR(VLOOKUP(TEXT(O360,"0"),CONDUCTORES!$A$3:$G$54,2,0),"")</f>
        <v/>
      </c>
      <c r="Q360" s="332">
        <f>IFERROR(VLOOKUP(TEXT(O360,"0"),CONDUCTORES!$A$3:$H$54,6,0),"")</f>
        <v/>
      </c>
      <c r="R360" s="280" t="n"/>
      <c r="S360" s="280" t="n"/>
      <c r="T360" s="280" t="n"/>
      <c r="U360" s="280" t="n"/>
      <c r="V360" s="280" t="n"/>
      <c r="W360" s="280" t="n"/>
      <c r="X360" s="280" t="n"/>
      <c r="Y360" s="280" t="n"/>
    </row>
    <row r="361" ht="15" customHeight="1" s="195">
      <c r="A361" s="334" t="n"/>
      <c r="B361" s="334" t="n"/>
      <c r="C361" s="334" t="n"/>
      <c r="D361" s="334" t="n"/>
      <c r="E361" s="334" t="n"/>
      <c r="F361" s="334" t="n"/>
      <c r="G361" s="334" t="n"/>
      <c r="H361" s="334" t="n"/>
      <c r="I361" s="332">
        <f>IFERROR(VLOOKUP(TEXT(H361,"0"),IPRESS!$A$3:$B$212,2,0),"")</f>
        <v/>
      </c>
      <c r="J361" s="334" t="n"/>
      <c r="K361" s="332">
        <f>IFERROR(VLOOKUP(TEXT(O361,"0"),CONDUCTORES!$A$3:$G$54,7,0),"")</f>
        <v/>
      </c>
      <c r="L361" s="334" t="n"/>
      <c r="M361" s="334" t="n"/>
      <c r="N361" s="333">
        <f>IFERROR(IF(L361*M361=0,"",L361*M361),"")</f>
        <v/>
      </c>
      <c r="O361" s="334" t="n"/>
      <c r="P361" s="332">
        <f>IFERROR(VLOOKUP(TEXT(O361,"0"),CONDUCTORES!$A$3:$G$54,2,0),"")</f>
        <v/>
      </c>
      <c r="Q361" s="332">
        <f>IFERROR(VLOOKUP(TEXT(O361,"0"),CONDUCTORES!$A$3:$H$54,6,0),"")</f>
        <v/>
      </c>
      <c r="R361" s="334" t="n"/>
      <c r="S361" s="334" t="n"/>
      <c r="T361" s="334" t="n"/>
      <c r="U361" s="334" t="n"/>
      <c r="V361" s="334" t="n"/>
      <c r="W361" s="334" t="n"/>
      <c r="X361" s="334" t="n"/>
      <c r="Y361" s="334" t="n"/>
    </row>
    <row r="362" ht="15" customHeight="1" s="195">
      <c r="A362" s="280" t="n"/>
      <c r="B362" s="280" t="n"/>
      <c r="C362" s="280" t="n"/>
      <c r="D362" s="280" t="n"/>
      <c r="E362" s="280" t="n"/>
      <c r="F362" s="280" t="n"/>
      <c r="G362" s="280" t="n"/>
      <c r="H362" s="280" t="n"/>
      <c r="I362" s="332">
        <f>IFERROR(VLOOKUP(TEXT(H362,"0"),IPRESS!$A$3:$B$212,2,0),"")</f>
        <v/>
      </c>
      <c r="J362" s="280" t="n"/>
      <c r="K362" s="332">
        <f>IFERROR(VLOOKUP(TEXT(O362,"0"),CONDUCTORES!$A$3:$G$54,7,0),"")</f>
        <v/>
      </c>
      <c r="L362" s="280" t="n"/>
      <c r="M362" s="280" t="n"/>
      <c r="N362" s="333">
        <f>IFERROR(IF(L362*M362=0,"",L362*M362),"")</f>
        <v/>
      </c>
      <c r="O362" s="280" t="n"/>
      <c r="P362" s="332">
        <f>IFERROR(VLOOKUP(TEXT(O362,"0"),CONDUCTORES!$A$3:$G$54,2,0),"")</f>
        <v/>
      </c>
      <c r="Q362" s="332">
        <f>IFERROR(VLOOKUP(TEXT(O362,"0"),CONDUCTORES!$A$3:$H$54,6,0),"")</f>
        <v/>
      </c>
      <c r="R362" s="280" t="n"/>
      <c r="S362" s="280" t="n"/>
      <c r="T362" s="280" t="n"/>
      <c r="U362" s="280" t="n"/>
      <c r="V362" s="280" t="n"/>
      <c r="W362" s="280" t="n"/>
      <c r="X362" s="280" t="n"/>
      <c r="Y362" s="280" t="n"/>
    </row>
    <row r="363" ht="15" customHeight="1" s="195">
      <c r="A363" s="334" t="n"/>
      <c r="B363" s="334" t="n"/>
      <c r="C363" s="334" t="n"/>
      <c r="D363" s="334" t="n"/>
      <c r="E363" s="334" t="n"/>
      <c r="F363" s="334" t="n"/>
      <c r="G363" s="334" t="n"/>
      <c r="H363" s="334" t="n"/>
      <c r="I363" s="332">
        <f>IFERROR(VLOOKUP(TEXT(H363,"0"),IPRESS!$A$3:$B$212,2,0),"")</f>
        <v/>
      </c>
      <c r="J363" s="334" t="n"/>
      <c r="K363" s="332">
        <f>IFERROR(VLOOKUP(TEXT(O363,"0"),CONDUCTORES!$A$3:$G$54,7,0),"")</f>
        <v/>
      </c>
      <c r="L363" s="334" t="n"/>
      <c r="M363" s="334" t="n"/>
      <c r="N363" s="333">
        <f>IFERROR(IF(L363*M363=0,"",L363*M363),"")</f>
        <v/>
      </c>
      <c r="O363" s="334" t="n"/>
      <c r="P363" s="332">
        <f>IFERROR(VLOOKUP(TEXT(O363,"0"),CONDUCTORES!$A$3:$G$54,2,0),"")</f>
        <v/>
      </c>
      <c r="Q363" s="332">
        <f>IFERROR(VLOOKUP(TEXT(O363,"0"),CONDUCTORES!$A$3:$H$54,6,0),"")</f>
        <v/>
      </c>
      <c r="R363" s="334" t="n"/>
      <c r="S363" s="334" t="n"/>
      <c r="T363" s="334" t="n"/>
      <c r="U363" s="334" t="n"/>
      <c r="V363" s="334" t="n"/>
      <c r="W363" s="334" t="n"/>
      <c r="X363" s="334" t="n"/>
      <c r="Y363" s="334" t="n"/>
    </row>
    <row r="364" ht="15" customHeight="1" s="195">
      <c r="A364" s="280" t="n"/>
      <c r="B364" s="280" t="n"/>
      <c r="C364" s="280" t="n"/>
      <c r="D364" s="280" t="n"/>
      <c r="E364" s="280" t="n"/>
      <c r="F364" s="280" t="n"/>
      <c r="G364" s="280" t="n"/>
      <c r="H364" s="280" t="n"/>
      <c r="I364" s="332">
        <f>IFERROR(VLOOKUP(TEXT(H364,"0"),IPRESS!$A$3:$B$212,2,0),"")</f>
        <v/>
      </c>
      <c r="J364" s="280" t="n"/>
      <c r="K364" s="332">
        <f>IFERROR(VLOOKUP(TEXT(O364,"0"),CONDUCTORES!$A$3:$G$54,7,0),"")</f>
        <v/>
      </c>
      <c r="L364" s="280" t="n"/>
      <c r="M364" s="280" t="n"/>
      <c r="N364" s="333">
        <f>IFERROR(IF(L364*M364=0,"",L364*M364),"")</f>
        <v/>
      </c>
      <c r="O364" s="280" t="n"/>
      <c r="P364" s="332">
        <f>IFERROR(VLOOKUP(TEXT(O364,"0"),CONDUCTORES!$A$3:$G$54,2,0),"")</f>
        <v/>
      </c>
      <c r="Q364" s="332">
        <f>IFERROR(VLOOKUP(TEXT(O364,"0"),CONDUCTORES!$A$3:$H$54,6,0),"")</f>
        <v/>
      </c>
      <c r="R364" s="280" t="n"/>
      <c r="S364" s="280" t="n"/>
      <c r="T364" s="280" t="n"/>
      <c r="U364" s="280" t="n"/>
      <c r="V364" s="280" t="n"/>
      <c r="W364" s="280" t="n"/>
      <c r="X364" s="280" t="n"/>
      <c r="Y364" s="280" t="n"/>
    </row>
    <row r="365" ht="15" customHeight="1" s="195">
      <c r="A365" s="334" t="n"/>
      <c r="B365" s="334" t="n"/>
      <c r="C365" s="334" t="n"/>
      <c r="D365" s="334" t="n"/>
      <c r="E365" s="334" t="n"/>
      <c r="F365" s="334" t="n"/>
      <c r="G365" s="334" t="n"/>
      <c r="H365" s="334" t="n"/>
      <c r="I365" s="332">
        <f>IFERROR(VLOOKUP(TEXT(H365,"0"),IPRESS!$A$3:$B$212,2,0),"")</f>
        <v/>
      </c>
      <c r="J365" s="334" t="n"/>
      <c r="K365" s="332">
        <f>IFERROR(VLOOKUP(TEXT(O365,"0"),CONDUCTORES!$A$3:$G$54,7,0),"")</f>
        <v/>
      </c>
      <c r="L365" s="334" t="n"/>
      <c r="M365" s="334" t="n"/>
      <c r="N365" s="333">
        <f>IFERROR(IF(L365*M365=0,"",L365*M365),"")</f>
        <v/>
      </c>
      <c r="O365" s="334" t="n"/>
      <c r="P365" s="332">
        <f>IFERROR(VLOOKUP(TEXT(O365,"0"),CONDUCTORES!$A$3:$G$54,2,0),"")</f>
        <v/>
      </c>
      <c r="Q365" s="332">
        <f>IFERROR(VLOOKUP(TEXT(O365,"0"),CONDUCTORES!$A$3:$H$54,6,0),"")</f>
        <v/>
      </c>
      <c r="R365" s="334" t="n"/>
      <c r="S365" s="334" t="n"/>
      <c r="T365" s="334" t="n"/>
      <c r="U365" s="334" t="n"/>
      <c r="V365" s="334" t="n"/>
      <c r="W365" s="334" t="n"/>
      <c r="X365" s="334" t="n"/>
      <c r="Y365" s="334" t="n"/>
    </row>
    <row r="366" ht="15" customHeight="1" s="195">
      <c r="A366" s="280" t="n"/>
      <c r="B366" s="280" t="n"/>
      <c r="C366" s="280" t="n"/>
      <c r="D366" s="280" t="n"/>
      <c r="E366" s="280" t="n"/>
      <c r="F366" s="280" t="n"/>
      <c r="G366" s="280" t="n"/>
      <c r="H366" s="280" t="n"/>
      <c r="I366" s="332">
        <f>IFERROR(VLOOKUP(TEXT(H366,"0"),IPRESS!$A$3:$B$212,2,0),"")</f>
        <v/>
      </c>
      <c r="J366" s="280" t="n"/>
      <c r="K366" s="332">
        <f>IFERROR(VLOOKUP(TEXT(O366,"0"),CONDUCTORES!$A$3:$G$54,7,0),"")</f>
        <v/>
      </c>
      <c r="L366" s="280" t="n"/>
      <c r="M366" s="280" t="n"/>
      <c r="N366" s="333">
        <f>IFERROR(IF(L366*M366=0,"",L366*M366),"")</f>
        <v/>
      </c>
      <c r="O366" s="280" t="n"/>
      <c r="P366" s="332">
        <f>IFERROR(VLOOKUP(TEXT(O366,"0"),CONDUCTORES!$A$3:$G$54,2,0),"")</f>
        <v/>
      </c>
      <c r="Q366" s="332">
        <f>IFERROR(VLOOKUP(TEXT(O366,"0"),CONDUCTORES!$A$3:$H$54,6,0),"")</f>
        <v/>
      </c>
      <c r="R366" s="280" t="n"/>
      <c r="S366" s="280" t="n"/>
      <c r="T366" s="280" t="n"/>
      <c r="U366" s="280" t="n"/>
      <c r="V366" s="280" t="n"/>
      <c r="W366" s="280" t="n"/>
      <c r="X366" s="280" t="n"/>
      <c r="Y366" s="280" t="n"/>
    </row>
    <row r="367" ht="15" customHeight="1" s="195">
      <c r="A367" s="334" t="n"/>
      <c r="B367" s="334" t="n"/>
      <c r="C367" s="334" t="n"/>
      <c r="D367" s="334" t="n"/>
      <c r="E367" s="334" t="n"/>
      <c r="F367" s="334" t="n"/>
      <c r="G367" s="334" t="n"/>
      <c r="H367" s="334" t="n"/>
      <c r="I367" s="332">
        <f>IFERROR(VLOOKUP(TEXT(H367,"0"),IPRESS!$A$3:$B$212,2,0),"")</f>
        <v/>
      </c>
      <c r="J367" s="334" t="n"/>
      <c r="K367" s="332">
        <f>IFERROR(VLOOKUP(TEXT(O367,"0"),CONDUCTORES!$A$3:$G$54,7,0),"")</f>
        <v/>
      </c>
      <c r="L367" s="334" t="n"/>
      <c r="M367" s="334" t="n"/>
      <c r="N367" s="333">
        <f>IFERROR(IF(L367*M367=0,"",L367*M367),"")</f>
        <v/>
      </c>
      <c r="O367" s="334" t="n"/>
      <c r="P367" s="332">
        <f>IFERROR(VLOOKUP(TEXT(O367,"0"),CONDUCTORES!$A$3:$G$54,2,0),"")</f>
        <v/>
      </c>
      <c r="Q367" s="332">
        <f>IFERROR(VLOOKUP(TEXT(O367,"0"),CONDUCTORES!$A$3:$H$54,6,0),"")</f>
        <v/>
      </c>
      <c r="R367" s="334" t="n"/>
      <c r="S367" s="334" t="n"/>
      <c r="T367" s="334" t="n"/>
      <c r="U367" s="334" t="n"/>
      <c r="V367" s="334" t="n"/>
      <c r="W367" s="334" t="n"/>
      <c r="X367" s="334" t="n"/>
      <c r="Y367" s="334" t="n"/>
    </row>
    <row r="368" ht="15" customHeight="1" s="195">
      <c r="A368" s="280" t="n"/>
      <c r="B368" s="280" t="n"/>
      <c r="C368" s="280" t="n"/>
      <c r="D368" s="280" t="n"/>
      <c r="E368" s="280" t="n"/>
      <c r="F368" s="280" t="n"/>
      <c r="G368" s="280" t="n"/>
      <c r="H368" s="280" t="n"/>
      <c r="I368" s="332">
        <f>IFERROR(VLOOKUP(TEXT(H368,"0"),IPRESS!$A$3:$B$212,2,0),"")</f>
        <v/>
      </c>
      <c r="J368" s="280" t="n"/>
      <c r="K368" s="332">
        <f>IFERROR(VLOOKUP(TEXT(O368,"0"),CONDUCTORES!$A$3:$G$54,7,0),"")</f>
        <v/>
      </c>
      <c r="L368" s="280" t="n"/>
      <c r="M368" s="280" t="n"/>
      <c r="N368" s="333">
        <f>IFERROR(IF(L368*M368=0,"",L368*M368),"")</f>
        <v/>
      </c>
      <c r="O368" s="280" t="n"/>
      <c r="P368" s="332">
        <f>IFERROR(VLOOKUP(TEXT(O368,"0"),CONDUCTORES!$A$3:$G$54,2,0),"")</f>
        <v/>
      </c>
      <c r="Q368" s="332">
        <f>IFERROR(VLOOKUP(TEXT(O368,"0"),CONDUCTORES!$A$3:$H$54,6,0),"")</f>
        <v/>
      </c>
      <c r="R368" s="280" t="n"/>
      <c r="S368" s="280" t="n"/>
      <c r="T368" s="280" t="n"/>
      <c r="U368" s="280" t="n"/>
      <c r="V368" s="280" t="n"/>
      <c r="W368" s="280" t="n"/>
      <c r="X368" s="280" t="n"/>
      <c r="Y368" s="280" t="n"/>
    </row>
    <row r="369" ht="15" customHeight="1" s="195">
      <c r="A369" s="334" t="n"/>
      <c r="B369" s="334" t="n"/>
      <c r="C369" s="334" t="n"/>
      <c r="D369" s="334" t="n"/>
      <c r="E369" s="334" t="n"/>
      <c r="F369" s="334" t="n"/>
      <c r="G369" s="334" t="n"/>
      <c r="H369" s="334" t="n"/>
      <c r="I369" s="332">
        <f>IFERROR(VLOOKUP(TEXT(H369,"0"),IPRESS!$A$3:$B$212,2,0),"")</f>
        <v/>
      </c>
      <c r="J369" s="334" t="n"/>
      <c r="K369" s="332">
        <f>IFERROR(VLOOKUP(TEXT(O369,"0"),CONDUCTORES!$A$3:$G$54,7,0),"")</f>
        <v/>
      </c>
      <c r="L369" s="334" t="n"/>
      <c r="M369" s="334" t="n"/>
      <c r="N369" s="333">
        <f>IFERROR(IF(L369*M369=0,"",L369*M369),"")</f>
        <v/>
      </c>
      <c r="O369" s="334" t="n"/>
      <c r="P369" s="332">
        <f>IFERROR(VLOOKUP(TEXT(O369,"0"),CONDUCTORES!$A$3:$G$54,2,0),"")</f>
        <v/>
      </c>
      <c r="Q369" s="332">
        <f>IFERROR(VLOOKUP(TEXT(O369,"0"),CONDUCTORES!$A$3:$H$54,6,0),"")</f>
        <v/>
      </c>
      <c r="R369" s="334" t="n"/>
      <c r="S369" s="334" t="n"/>
      <c r="T369" s="334" t="n"/>
      <c r="U369" s="334" t="n"/>
      <c r="V369" s="334" t="n"/>
      <c r="W369" s="334" t="n"/>
      <c r="X369" s="334" t="n"/>
      <c r="Y369" s="334" t="n"/>
    </row>
    <row r="370" ht="15" customHeight="1" s="195">
      <c r="A370" s="280" t="n"/>
      <c r="B370" s="280" t="n"/>
      <c r="C370" s="280" t="n"/>
      <c r="D370" s="280" t="n"/>
      <c r="E370" s="280" t="n"/>
      <c r="F370" s="280" t="n"/>
      <c r="G370" s="280" t="n"/>
      <c r="H370" s="280" t="n"/>
      <c r="I370" s="332">
        <f>IFERROR(VLOOKUP(TEXT(H370,"0"),IPRESS!$A$3:$B$212,2,0),"")</f>
        <v/>
      </c>
      <c r="J370" s="280" t="n"/>
      <c r="K370" s="332">
        <f>IFERROR(VLOOKUP(TEXT(O370,"0"),CONDUCTORES!$A$3:$G$54,7,0),"")</f>
        <v/>
      </c>
      <c r="L370" s="280" t="n"/>
      <c r="M370" s="280" t="n"/>
      <c r="N370" s="333">
        <f>IFERROR(IF(L370*M370=0,"",L370*M370),"")</f>
        <v/>
      </c>
      <c r="O370" s="280" t="n"/>
      <c r="P370" s="332">
        <f>IFERROR(VLOOKUP(TEXT(O370,"0"),CONDUCTORES!$A$3:$G$54,2,0),"")</f>
        <v/>
      </c>
      <c r="Q370" s="332">
        <f>IFERROR(VLOOKUP(TEXT(O370,"0"),CONDUCTORES!$A$3:$H$54,6,0),"")</f>
        <v/>
      </c>
      <c r="R370" s="280" t="n"/>
      <c r="S370" s="280" t="n"/>
      <c r="T370" s="280" t="n"/>
      <c r="U370" s="280" t="n"/>
      <c r="V370" s="280" t="n"/>
      <c r="W370" s="280" t="n"/>
      <c r="X370" s="280" t="n"/>
      <c r="Y370" s="280" t="n"/>
    </row>
    <row r="371" ht="15" customHeight="1" s="195">
      <c r="A371" s="334" t="n"/>
      <c r="B371" s="334" t="n"/>
      <c r="C371" s="334" t="n"/>
      <c r="D371" s="334" t="n"/>
      <c r="E371" s="334" t="n"/>
      <c r="F371" s="334" t="n"/>
      <c r="G371" s="334" t="n"/>
      <c r="H371" s="334" t="n"/>
      <c r="I371" s="332">
        <f>IFERROR(VLOOKUP(TEXT(H371,"0"),IPRESS!$A$3:$B$212,2,0),"")</f>
        <v/>
      </c>
      <c r="J371" s="334" t="n"/>
      <c r="K371" s="332">
        <f>IFERROR(VLOOKUP(TEXT(O371,"0"),CONDUCTORES!$A$3:$G$54,7,0),"")</f>
        <v/>
      </c>
      <c r="L371" s="334" t="n"/>
      <c r="M371" s="334" t="n"/>
      <c r="N371" s="333">
        <f>IFERROR(IF(L371*M371=0,"",L371*M371),"")</f>
        <v/>
      </c>
      <c r="O371" s="334" t="n"/>
      <c r="P371" s="332">
        <f>IFERROR(VLOOKUP(TEXT(O371,"0"),CONDUCTORES!$A$3:$G$54,2,0),"")</f>
        <v/>
      </c>
      <c r="Q371" s="332">
        <f>IFERROR(VLOOKUP(TEXT(O371,"0"),CONDUCTORES!$A$3:$H$54,6,0),"")</f>
        <v/>
      </c>
      <c r="R371" s="334" t="n"/>
      <c r="S371" s="334" t="n"/>
      <c r="T371" s="334" t="n"/>
      <c r="U371" s="334" t="n"/>
      <c r="V371" s="334" t="n"/>
      <c r="W371" s="334" t="n"/>
      <c r="X371" s="334" t="n"/>
      <c r="Y371" s="334" t="n"/>
    </row>
    <row r="372" ht="15" customHeight="1" s="195">
      <c r="A372" s="280" t="n"/>
      <c r="B372" s="280" t="n"/>
      <c r="C372" s="280" t="n"/>
      <c r="D372" s="280" t="n"/>
      <c r="E372" s="280" t="n"/>
      <c r="F372" s="280" t="n"/>
      <c r="G372" s="280" t="n"/>
      <c r="H372" s="280" t="n"/>
      <c r="I372" s="332">
        <f>IFERROR(VLOOKUP(TEXT(H372,"0"),IPRESS!$A$3:$B$212,2,0),"")</f>
        <v/>
      </c>
      <c r="J372" s="280" t="n"/>
      <c r="K372" s="332">
        <f>IFERROR(VLOOKUP(TEXT(O372,"0"),CONDUCTORES!$A$3:$G$54,7,0),"")</f>
        <v/>
      </c>
      <c r="L372" s="280" t="n"/>
      <c r="M372" s="280" t="n"/>
      <c r="N372" s="333">
        <f>IFERROR(IF(L372*M372=0,"",L372*M372),"")</f>
        <v/>
      </c>
      <c r="O372" s="280" t="n"/>
      <c r="P372" s="332">
        <f>IFERROR(VLOOKUP(TEXT(O372,"0"),CONDUCTORES!$A$3:$G$54,2,0),"")</f>
        <v/>
      </c>
      <c r="Q372" s="332">
        <f>IFERROR(VLOOKUP(TEXT(O372,"0"),CONDUCTORES!$A$3:$H$54,6,0),"")</f>
        <v/>
      </c>
      <c r="R372" s="280" t="n"/>
      <c r="S372" s="280" t="n"/>
      <c r="T372" s="280" t="n"/>
      <c r="U372" s="280" t="n"/>
      <c r="V372" s="280" t="n"/>
      <c r="W372" s="280" t="n"/>
      <c r="X372" s="280" t="n"/>
      <c r="Y372" s="280" t="n"/>
    </row>
    <row r="373" ht="15" customHeight="1" s="195">
      <c r="A373" s="334" t="n"/>
      <c r="B373" s="334" t="n"/>
      <c r="C373" s="334" t="n"/>
      <c r="D373" s="334" t="n"/>
      <c r="E373" s="334" t="n"/>
      <c r="F373" s="334" t="n"/>
      <c r="G373" s="334" t="n"/>
      <c r="H373" s="334" t="n"/>
      <c r="I373" s="332">
        <f>IFERROR(VLOOKUP(TEXT(H373,"0"),IPRESS!$A$3:$B$212,2,0),"")</f>
        <v/>
      </c>
      <c r="J373" s="334" t="n"/>
      <c r="K373" s="332">
        <f>IFERROR(VLOOKUP(TEXT(O373,"0"),CONDUCTORES!$A$3:$G$54,7,0),"")</f>
        <v/>
      </c>
      <c r="L373" s="334" t="n"/>
      <c r="M373" s="334" t="n"/>
      <c r="N373" s="333">
        <f>IFERROR(IF(L373*M373=0,"",L373*M373),"")</f>
        <v/>
      </c>
      <c r="O373" s="334" t="n"/>
      <c r="P373" s="332">
        <f>IFERROR(VLOOKUP(TEXT(O373,"0"),CONDUCTORES!$A$3:$G$54,2,0),"")</f>
        <v/>
      </c>
      <c r="Q373" s="332">
        <f>IFERROR(VLOOKUP(TEXT(O373,"0"),CONDUCTORES!$A$3:$H$54,6,0),"")</f>
        <v/>
      </c>
      <c r="R373" s="334" t="n"/>
      <c r="S373" s="334" t="n"/>
      <c r="T373" s="334" t="n"/>
      <c r="U373" s="334" t="n"/>
      <c r="V373" s="334" t="n"/>
      <c r="W373" s="334" t="n"/>
      <c r="X373" s="334" t="n"/>
      <c r="Y373" s="334" t="n"/>
    </row>
    <row r="374" ht="15" customHeight="1" s="195">
      <c r="A374" s="280" t="n"/>
      <c r="B374" s="280" t="n"/>
      <c r="C374" s="280" t="n"/>
      <c r="D374" s="280" t="n"/>
      <c r="E374" s="280" t="n"/>
      <c r="F374" s="280" t="n"/>
      <c r="G374" s="280" t="n"/>
      <c r="H374" s="280" t="n"/>
      <c r="I374" s="332">
        <f>IFERROR(VLOOKUP(TEXT(H374,"0"),IPRESS!$A$3:$B$212,2,0),"")</f>
        <v/>
      </c>
      <c r="J374" s="280" t="n"/>
      <c r="K374" s="332">
        <f>IFERROR(VLOOKUP(TEXT(O374,"0"),CONDUCTORES!$A$3:$G$54,7,0),"")</f>
        <v/>
      </c>
      <c r="L374" s="280" t="n"/>
      <c r="M374" s="280" t="n"/>
      <c r="N374" s="333">
        <f>IFERROR(IF(L374*M374=0,"",L374*M374),"")</f>
        <v/>
      </c>
      <c r="O374" s="280" t="n"/>
      <c r="P374" s="332">
        <f>IFERROR(VLOOKUP(TEXT(O374,"0"),CONDUCTORES!$A$3:$G$54,2,0),"")</f>
        <v/>
      </c>
      <c r="Q374" s="332">
        <f>IFERROR(VLOOKUP(TEXT(O374,"0"),CONDUCTORES!$A$3:$H$54,6,0),"")</f>
        <v/>
      </c>
      <c r="R374" s="280" t="n"/>
      <c r="S374" s="280" t="n"/>
      <c r="T374" s="280" t="n"/>
      <c r="U374" s="280" t="n"/>
      <c r="V374" s="280" t="n"/>
      <c r="W374" s="280" t="n"/>
      <c r="X374" s="280" t="n"/>
      <c r="Y374" s="280" t="n"/>
    </row>
    <row r="375" ht="15" customHeight="1" s="195">
      <c r="A375" s="334" t="n"/>
      <c r="B375" s="334" t="n"/>
      <c r="C375" s="334" t="n"/>
      <c r="D375" s="334" t="n"/>
      <c r="E375" s="334" t="n"/>
      <c r="F375" s="334" t="n"/>
      <c r="G375" s="334" t="n"/>
      <c r="H375" s="334" t="n"/>
      <c r="I375" s="332">
        <f>IFERROR(VLOOKUP(TEXT(H375,"0"),IPRESS!$A$3:$B$212,2,0),"")</f>
        <v/>
      </c>
      <c r="J375" s="334" t="n"/>
      <c r="K375" s="332">
        <f>IFERROR(VLOOKUP(TEXT(O375,"0"),CONDUCTORES!$A$3:$G$54,7,0),"")</f>
        <v/>
      </c>
      <c r="L375" s="334" t="n"/>
      <c r="M375" s="334" t="n"/>
      <c r="N375" s="333">
        <f>IFERROR(IF(L375*M375=0,"",L375*M375),"")</f>
        <v/>
      </c>
      <c r="O375" s="334" t="n"/>
      <c r="P375" s="332">
        <f>IFERROR(VLOOKUP(TEXT(O375,"0"),CONDUCTORES!$A$3:$G$54,2,0),"")</f>
        <v/>
      </c>
      <c r="Q375" s="332">
        <f>IFERROR(VLOOKUP(TEXT(O375,"0"),CONDUCTORES!$A$3:$H$54,6,0),"")</f>
        <v/>
      </c>
      <c r="R375" s="334" t="n"/>
      <c r="S375" s="334" t="n"/>
      <c r="T375" s="334" t="n"/>
      <c r="U375" s="334" t="n"/>
      <c r="V375" s="334" t="n"/>
      <c r="W375" s="334" t="n"/>
      <c r="X375" s="334" t="n"/>
      <c r="Y375" s="334" t="n"/>
    </row>
    <row r="376" ht="15" customHeight="1" s="195">
      <c r="A376" s="280" t="n"/>
      <c r="B376" s="280" t="n"/>
      <c r="C376" s="280" t="n"/>
      <c r="D376" s="280" t="n"/>
      <c r="E376" s="280" t="n"/>
      <c r="F376" s="280" t="n"/>
      <c r="G376" s="280" t="n"/>
      <c r="H376" s="280" t="n"/>
      <c r="I376" s="332">
        <f>IFERROR(VLOOKUP(TEXT(H376,"0"),IPRESS!$A$3:$B$212,2,0),"")</f>
        <v/>
      </c>
      <c r="J376" s="280" t="n"/>
      <c r="K376" s="332">
        <f>IFERROR(VLOOKUP(TEXT(O376,"0"),CONDUCTORES!$A$3:$G$54,7,0),"")</f>
        <v/>
      </c>
      <c r="L376" s="280" t="n"/>
      <c r="M376" s="280" t="n"/>
      <c r="N376" s="333">
        <f>IFERROR(IF(L376*M376=0,"",L376*M376),"")</f>
        <v/>
      </c>
      <c r="O376" s="280" t="n"/>
      <c r="P376" s="332">
        <f>IFERROR(VLOOKUP(TEXT(O376,"0"),CONDUCTORES!$A$3:$G$54,2,0),"")</f>
        <v/>
      </c>
      <c r="Q376" s="332">
        <f>IFERROR(VLOOKUP(TEXT(O376,"0"),CONDUCTORES!$A$3:$H$54,6,0),"")</f>
        <v/>
      </c>
      <c r="R376" s="280" t="n"/>
      <c r="S376" s="280" t="n"/>
      <c r="T376" s="280" t="n"/>
      <c r="U376" s="280" t="n"/>
      <c r="V376" s="280" t="n"/>
      <c r="W376" s="280" t="n"/>
      <c r="X376" s="280" t="n"/>
      <c r="Y376" s="280" t="n"/>
    </row>
    <row r="377" ht="15" customHeight="1" s="195">
      <c r="A377" s="334" t="n"/>
      <c r="B377" s="334" t="n"/>
      <c r="C377" s="334" t="n"/>
      <c r="D377" s="334" t="n"/>
      <c r="E377" s="334" t="n"/>
      <c r="F377" s="334" t="n"/>
      <c r="G377" s="334" t="n"/>
      <c r="H377" s="334" t="n"/>
      <c r="I377" s="332">
        <f>IFERROR(VLOOKUP(TEXT(H377,"0"),IPRESS!$A$3:$B$212,2,0),"")</f>
        <v/>
      </c>
      <c r="J377" s="334" t="n"/>
      <c r="K377" s="332">
        <f>IFERROR(VLOOKUP(TEXT(O377,"0"),CONDUCTORES!$A$3:$G$54,7,0),"")</f>
        <v/>
      </c>
      <c r="L377" s="334" t="n"/>
      <c r="M377" s="334" t="n"/>
      <c r="N377" s="333">
        <f>IFERROR(IF(L377*M377=0,"",L377*M377),"")</f>
        <v/>
      </c>
      <c r="O377" s="334" t="n"/>
      <c r="P377" s="332">
        <f>IFERROR(VLOOKUP(TEXT(O377,"0"),CONDUCTORES!$A$3:$G$54,2,0),"")</f>
        <v/>
      </c>
      <c r="Q377" s="332">
        <f>IFERROR(VLOOKUP(TEXT(O377,"0"),CONDUCTORES!$A$3:$H$54,6,0),"")</f>
        <v/>
      </c>
      <c r="R377" s="334" t="n"/>
      <c r="S377" s="334" t="n"/>
      <c r="T377" s="334" t="n"/>
      <c r="U377" s="334" t="n"/>
      <c r="V377" s="334" t="n"/>
      <c r="W377" s="334" t="n"/>
      <c r="X377" s="334" t="n"/>
      <c r="Y377" s="334" t="n"/>
    </row>
    <row r="378" ht="15" customHeight="1" s="195">
      <c r="A378" s="280" t="n"/>
      <c r="B378" s="280" t="n"/>
      <c r="C378" s="280" t="n"/>
      <c r="D378" s="280" t="n"/>
      <c r="E378" s="280" t="n"/>
      <c r="F378" s="280" t="n"/>
      <c r="G378" s="280" t="n"/>
      <c r="H378" s="280" t="n"/>
      <c r="I378" s="332">
        <f>IFERROR(VLOOKUP(TEXT(H378,"0"),IPRESS!$A$3:$B$212,2,0),"")</f>
        <v/>
      </c>
      <c r="J378" s="280" t="n"/>
      <c r="K378" s="332">
        <f>IFERROR(VLOOKUP(TEXT(O378,"0"),CONDUCTORES!$A$3:$G$54,7,0),"")</f>
        <v/>
      </c>
      <c r="L378" s="280" t="n"/>
      <c r="M378" s="280" t="n"/>
      <c r="N378" s="333">
        <f>IFERROR(IF(L378*M378=0,"",L378*M378),"")</f>
        <v/>
      </c>
      <c r="O378" s="280" t="n"/>
      <c r="P378" s="332">
        <f>IFERROR(VLOOKUP(TEXT(O378,"0"),CONDUCTORES!$A$3:$G$54,2,0),"")</f>
        <v/>
      </c>
      <c r="Q378" s="332">
        <f>IFERROR(VLOOKUP(TEXT(O378,"0"),CONDUCTORES!$A$3:$H$54,6,0),"")</f>
        <v/>
      </c>
      <c r="R378" s="280" t="n"/>
      <c r="S378" s="280" t="n"/>
      <c r="T378" s="280" t="n"/>
      <c r="U378" s="280" t="n"/>
      <c r="V378" s="280" t="n"/>
      <c r="W378" s="280" t="n"/>
      <c r="X378" s="280" t="n"/>
      <c r="Y378" s="280" t="n"/>
    </row>
    <row r="379" ht="15" customHeight="1" s="195">
      <c r="A379" s="334" t="n"/>
      <c r="B379" s="334" t="n"/>
      <c r="C379" s="334" t="n"/>
      <c r="D379" s="334" t="n"/>
      <c r="E379" s="334" t="n"/>
      <c r="F379" s="334" t="n"/>
      <c r="G379" s="334" t="n"/>
      <c r="H379" s="334" t="n"/>
      <c r="I379" s="332">
        <f>IFERROR(VLOOKUP(TEXT(H379,"0"),IPRESS!$A$3:$B$212,2,0),"")</f>
        <v/>
      </c>
      <c r="J379" s="334" t="n"/>
      <c r="K379" s="332">
        <f>IFERROR(VLOOKUP(TEXT(O379,"0"),CONDUCTORES!$A$3:$G$54,7,0),"")</f>
        <v/>
      </c>
      <c r="L379" s="334" t="n"/>
      <c r="M379" s="334" t="n"/>
      <c r="N379" s="333">
        <f>IFERROR(IF(L379*M379=0,"",L379*M379),"")</f>
        <v/>
      </c>
      <c r="O379" s="334" t="n"/>
      <c r="P379" s="332">
        <f>IFERROR(VLOOKUP(TEXT(O379,"0"),CONDUCTORES!$A$3:$G$54,2,0),"")</f>
        <v/>
      </c>
      <c r="Q379" s="332">
        <f>IFERROR(VLOOKUP(TEXT(O379,"0"),CONDUCTORES!$A$3:$H$54,6,0),"")</f>
        <v/>
      </c>
      <c r="R379" s="334" t="n"/>
      <c r="S379" s="334" t="n"/>
      <c r="T379" s="334" t="n"/>
      <c r="U379" s="334" t="n"/>
      <c r="V379" s="334" t="n"/>
      <c r="W379" s="334" t="n"/>
      <c r="X379" s="334" t="n"/>
      <c r="Y379" s="334" t="n"/>
    </row>
    <row r="380" ht="15" customHeight="1" s="195">
      <c r="A380" s="280" t="n"/>
      <c r="B380" s="280" t="n"/>
      <c r="C380" s="280" t="n"/>
      <c r="D380" s="280" t="n"/>
      <c r="E380" s="280" t="n"/>
      <c r="F380" s="280" t="n"/>
      <c r="G380" s="280" t="n"/>
      <c r="H380" s="280" t="n"/>
      <c r="I380" s="332">
        <f>IFERROR(VLOOKUP(TEXT(H380,"0"),IPRESS!$A$3:$B$212,2,0),"")</f>
        <v/>
      </c>
      <c r="J380" s="280" t="n"/>
      <c r="K380" s="332">
        <f>IFERROR(VLOOKUP(TEXT(O380,"0"),CONDUCTORES!$A$3:$G$54,7,0),"")</f>
        <v/>
      </c>
      <c r="L380" s="280" t="n"/>
      <c r="M380" s="280" t="n"/>
      <c r="N380" s="333">
        <f>IFERROR(IF(L380*M380=0,"",L380*M380),"")</f>
        <v/>
      </c>
      <c r="O380" s="280" t="n"/>
      <c r="P380" s="332">
        <f>IFERROR(VLOOKUP(TEXT(O380,"0"),CONDUCTORES!$A$3:$G$54,2,0),"")</f>
        <v/>
      </c>
      <c r="Q380" s="332">
        <f>IFERROR(VLOOKUP(TEXT(O380,"0"),CONDUCTORES!$A$3:$H$54,6,0),"")</f>
        <v/>
      </c>
      <c r="R380" s="280" t="n"/>
      <c r="S380" s="280" t="n"/>
      <c r="T380" s="280" t="n"/>
      <c r="U380" s="280" t="n"/>
      <c r="V380" s="280" t="n"/>
      <c r="W380" s="280" t="n"/>
      <c r="X380" s="280" t="n"/>
      <c r="Y380" s="280" t="n"/>
    </row>
    <row r="381" ht="15" customHeight="1" s="195">
      <c r="A381" s="334" t="n"/>
      <c r="B381" s="334" t="n"/>
      <c r="C381" s="334" t="n"/>
      <c r="D381" s="334" t="n"/>
      <c r="E381" s="334" t="n"/>
      <c r="F381" s="334" t="n"/>
      <c r="G381" s="334" t="n"/>
      <c r="H381" s="334" t="n"/>
      <c r="I381" s="332">
        <f>IFERROR(VLOOKUP(TEXT(H381,"0"),IPRESS!$A$3:$B$212,2,0),"")</f>
        <v/>
      </c>
      <c r="J381" s="334" t="n"/>
      <c r="K381" s="332">
        <f>IFERROR(VLOOKUP(TEXT(O381,"0"),CONDUCTORES!$A$3:$G$54,7,0),"")</f>
        <v/>
      </c>
      <c r="L381" s="334" t="n"/>
      <c r="M381" s="334" t="n"/>
      <c r="N381" s="333">
        <f>IFERROR(IF(L381*M381=0,"",L381*M381),"")</f>
        <v/>
      </c>
      <c r="O381" s="334" t="n"/>
      <c r="P381" s="332">
        <f>IFERROR(VLOOKUP(TEXT(O381,"0"),CONDUCTORES!$A$3:$G$54,2,0),"")</f>
        <v/>
      </c>
      <c r="Q381" s="332">
        <f>IFERROR(VLOOKUP(TEXT(O381,"0"),CONDUCTORES!$A$3:$H$54,6,0),"")</f>
        <v/>
      </c>
      <c r="R381" s="334" t="n"/>
      <c r="S381" s="334" t="n"/>
      <c r="T381" s="334" t="n"/>
      <c r="U381" s="334" t="n"/>
      <c r="V381" s="334" t="n"/>
      <c r="W381" s="334" t="n"/>
      <c r="X381" s="334" t="n"/>
      <c r="Y381" s="334" t="n"/>
    </row>
    <row r="382" ht="15" customHeight="1" s="195">
      <c r="A382" s="280" t="n"/>
      <c r="B382" s="280" t="n"/>
      <c r="C382" s="280" t="n"/>
      <c r="D382" s="280" t="n"/>
      <c r="E382" s="280" t="n"/>
      <c r="F382" s="280" t="n"/>
      <c r="G382" s="280" t="n"/>
      <c r="H382" s="280" t="n"/>
      <c r="I382" s="332">
        <f>IFERROR(VLOOKUP(TEXT(H382,"0"),IPRESS!$A$3:$B$212,2,0),"")</f>
        <v/>
      </c>
      <c r="J382" s="280" t="n"/>
      <c r="K382" s="332">
        <f>IFERROR(VLOOKUP(TEXT(O382,"0"),CONDUCTORES!$A$3:$G$54,7,0),"")</f>
        <v/>
      </c>
      <c r="L382" s="280" t="n"/>
      <c r="M382" s="280" t="n"/>
      <c r="N382" s="333">
        <f>IFERROR(IF(L382*M382=0,"",L382*M382),"")</f>
        <v/>
      </c>
      <c r="O382" s="280" t="n"/>
      <c r="P382" s="332">
        <f>IFERROR(VLOOKUP(TEXT(O382,"0"),CONDUCTORES!$A$3:$G$54,2,0),"")</f>
        <v/>
      </c>
      <c r="Q382" s="332">
        <f>IFERROR(VLOOKUP(TEXT(O382,"0"),CONDUCTORES!$A$3:$H$54,6,0),"")</f>
        <v/>
      </c>
      <c r="R382" s="280" t="n"/>
      <c r="S382" s="280" t="n"/>
      <c r="T382" s="280" t="n"/>
      <c r="U382" s="280" t="n"/>
      <c r="V382" s="280" t="n"/>
      <c r="W382" s="280" t="n"/>
      <c r="X382" s="280" t="n"/>
      <c r="Y382" s="280" t="n"/>
    </row>
    <row r="383" ht="15" customHeight="1" s="195">
      <c r="A383" s="334" t="n"/>
      <c r="B383" s="334" t="n"/>
      <c r="C383" s="334" t="n"/>
      <c r="D383" s="334" t="n"/>
      <c r="E383" s="334" t="n"/>
      <c r="F383" s="334" t="n"/>
      <c r="G383" s="334" t="n"/>
      <c r="H383" s="334" t="n"/>
      <c r="I383" s="332">
        <f>IFERROR(VLOOKUP(TEXT(H383,"0"),IPRESS!$A$3:$B$212,2,0),"")</f>
        <v/>
      </c>
      <c r="J383" s="334" t="n"/>
      <c r="K383" s="332">
        <f>IFERROR(VLOOKUP(TEXT(O383,"0"),CONDUCTORES!$A$3:$G$54,7,0),"")</f>
        <v/>
      </c>
      <c r="L383" s="334" t="n"/>
      <c r="M383" s="334" t="n"/>
      <c r="N383" s="333">
        <f>IFERROR(IF(L383*M383=0,"",L383*M383),"")</f>
        <v/>
      </c>
      <c r="O383" s="334" t="n"/>
      <c r="P383" s="332">
        <f>IFERROR(VLOOKUP(TEXT(O383,"0"),CONDUCTORES!$A$3:$G$54,2,0),"")</f>
        <v/>
      </c>
      <c r="Q383" s="332">
        <f>IFERROR(VLOOKUP(TEXT(O383,"0"),CONDUCTORES!$A$3:$H$54,6,0),"")</f>
        <v/>
      </c>
      <c r="R383" s="334" t="n"/>
      <c r="S383" s="334" t="n"/>
      <c r="T383" s="334" t="n"/>
      <c r="U383" s="334" t="n"/>
      <c r="V383" s="334" t="n"/>
      <c r="W383" s="334" t="n"/>
      <c r="X383" s="334" t="n"/>
      <c r="Y383" s="334" t="n"/>
    </row>
    <row r="384" ht="15" customHeight="1" s="195">
      <c r="A384" s="280" t="n"/>
      <c r="B384" s="280" t="n"/>
      <c r="C384" s="280" t="n"/>
      <c r="D384" s="280" t="n"/>
      <c r="E384" s="280" t="n"/>
      <c r="F384" s="280" t="n"/>
      <c r="G384" s="280" t="n"/>
      <c r="H384" s="280" t="n"/>
      <c r="I384" s="332">
        <f>IFERROR(VLOOKUP(TEXT(H384,"0"),IPRESS!$A$3:$B$212,2,0),"")</f>
        <v/>
      </c>
      <c r="J384" s="280" t="n"/>
      <c r="K384" s="332">
        <f>IFERROR(VLOOKUP(TEXT(O384,"0"),CONDUCTORES!$A$3:$G$54,7,0),"")</f>
        <v/>
      </c>
      <c r="L384" s="280" t="n"/>
      <c r="M384" s="280" t="n"/>
      <c r="N384" s="333">
        <f>IFERROR(IF(L384*M384=0,"",L384*M384),"")</f>
        <v/>
      </c>
      <c r="O384" s="280" t="n"/>
      <c r="P384" s="332">
        <f>IFERROR(VLOOKUP(TEXT(O384,"0"),CONDUCTORES!$A$3:$G$54,2,0),"")</f>
        <v/>
      </c>
      <c r="Q384" s="332">
        <f>IFERROR(VLOOKUP(TEXT(O384,"0"),CONDUCTORES!$A$3:$H$54,6,0),"")</f>
        <v/>
      </c>
      <c r="R384" s="280" t="n"/>
      <c r="S384" s="280" t="n"/>
      <c r="T384" s="280" t="n"/>
      <c r="U384" s="280" t="n"/>
      <c r="V384" s="280" t="n"/>
      <c r="W384" s="280" t="n"/>
      <c r="X384" s="280" t="n"/>
      <c r="Y384" s="280" t="n"/>
    </row>
    <row r="385" ht="15" customHeight="1" s="195">
      <c r="A385" s="334" t="n"/>
      <c r="B385" s="334" t="n"/>
      <c r="C385" s="334" t="n"/>
      <c r="D385" s="334" t="n"/>
      <c r="E385" s="334" t="n"/>
      <c r="F385" s="334" t="n"/>
      <c r="G385" s="334" t="n"/>
      <c r="H385" s="334" t="n"/>
      <c r="I385" s="332">
        <f>IFERROR(VLOOKUP(TEXT(H385,"0"),IPRESS!$A$3:$B$212,2,0),"")</f>
        <v/>
      </c>
      <c r="J385" s="334" t="n"/>
      <c r="K385" s="332">
        <f>IFERROR(VLOOKUP(TEXT(O385,"0"),CONDUCTORES!$A$3:$G$54,7,0),"")</f>
        <v/>
      </c>
      <c r="L385" s="334" t="n"/>
      <c r="M385" s="334" t="n"/>
      <c r="N385" s="333">
        <f>IFERROR(IF(L385*M385=0,"",L385*M385),"")</f>
        <v/>
      </c>
      <c r="O385" s="334" t="n"/>
      <c r="P385" s="332">
        <f>IFERROR(VLOOKUP(TEXT(O385,"0"),CONDUCTORES!$A$3:$G$54,2,0),"")</f>
        <v/>
      </c>
      <c r="Q385" s="332">
        <f>IFERROR(VLOOKUP(TEXT(O385,"0"),CONDUCTORES!$A$3:$H$54,6,0),"")</f>
        <v/>
      </c>
      <c r="R385" s="334" t="n"/>
      <c r="S385" s="334" t="n"/>
      <c r="T385" s="334" t="n"/>
      <c r="U385" s="334" t="n"/>
      <c r="V385" s="334" t="n"/>
      <c r="W385" s="334" t="n"/>
      <c r="X385" s="334" t="n"/>
      <c r="Y385" s="334" t="n"/>
    </row>
    <row r="386" ht="15" customHeight="1" s="195">
      <c r="A386" s="280" t="n"/>
      <c r="B386" s="280" t="n"/>
      <c r="C386" s="280" t="n"/>
      <c r="D386" s="280" t="n"/>
      <c r="E386" s="280" t="n"/>
      <c r="F386" s="280" t="n"/>
      <c r="G386" s="280" t="n"/>
      <c r="H386" s="280" t="n"/>
      <c r="I386" s="332">
        <f>IFERROR(VLOOKUP(TEXT(H386,"0"),IPRESS!$A$3:$B$212,2,0),"")</f>
        <v/>
      </c>
      <c r="J386" s="280" t="n"/>
      <c r="K386" s="332">
        <f>IFERROR(VLOOKUP(TEXT(O386,"0"),CONDUCTORES!$A$3:$G$54,7,0),"")</f>
        <v/>
      </c>
      <c r="L386" s="280" t="n"/>
      <c r="M386" s="280" t="n"/>
      <c r="N386" s="333">
        <f>IFERROR(IF(L386*M386=0,"",L386*M386),"")</f>
        <v/>
      </c>
      <c r="O386" s="280" t="n"/>
      <c r="P386" s="332">
        <f>IFERROR(VLOOKUP(TEXT(O386,"0"),CONDUCTORES!$A$3:$G$54,2,0),"")</f>
        <v/>
      </c>
      <c r="Q386" s="332">
        <f>IFERROR(VLOOKUP(TEXT(O386,"0"),CONDUCTORES!$A$3:$H$54,6,0),"")</f>
        <v/>
      </c>
      <c r="R386" s="280" t="n"/>
      <c r="S386" s="280" t="n"/>
      <c r="T386" s="280" t="n"/>
      <c r="U386" s="280" t="n"/>
      <c r="V386" s="280" t="n"/>
      <c r="W386" s="280" t="n"/>
      <c r="X386" s="280" t="n"/>
      <c r="Y386" s="280" t="n"/>
    </row>
    <row r="387" ht="15" customHeight="1" s="195">
      <c r="A387" s="334" t="n"/>
      <c r="B387" s="334" t="n"/>
      <c r="C387" s="334" t="n"/>
      <c r="D387" s="334" t="n"/>
      <c r="E387" s="334" t="n"/>
      <c r="F387" s="334" t="n"/>
      <c r="G387" s="334" t="n"/>
      <c r="H387" s="334" t="n"/>
      <c r="I387" s="332">
        <f>IFERROR(VLOOKUP(TEXT(H387,"0"),IPRESS!$A$3:$B$212,2,0),"")</f>
        <v/>
      </c>
      <c r="J387" s="334" t="n"/>
      <c r="K387" s="332">
        <f>IFERROR(VLOOKUP(TEXT(O387,"0"),CONDUCTORES!$A$3:$G$54,7,0),"")</f>
        <v/>
      </c>
      <c r="L387" s="334" t="n"/>
      <c r="M387" s="334" t="n"/>
      <c r="N387" s="333">
        <f>IFERROR(IF(L387*M387=0,"",L387*M387),"")</f>
        <v/>
      </c>
      <c r="O387" s="334" t="n"/>
      <c r="P387" s="332">
        <f>IFERROR(VLOOKUP(TEXT(O387,"0"),CONDUCTORES!$A$3:$G$54,2,0),"")</f>
        <v/>
      </c>
      <c r="Q387" s="332">
        <f>IFERROR(VLOOKUP(TEXT(O387,"0"),CONDUCTORES!$A$3:$H$54,6,0),"")</f>
        <v/>
      </c>
      <c r="R387" s="334" t="n"/>
      <c r="S387" s="334" t="n"/>
      <c r="T387" s="334" t="n"/>
      <c r="U387" s="334" t="n"/>
      <c r="V387" s="334" t="n"/>
      <c r="W387" s="334" t="n"/>
      <c r="X387" s="334" t="n"/>
      <c r="Y387" s="334" t="n"/>
    </row>
    <row r="388" ht="15" customHeight="1" s="195">
      <c r="A388" s="280" t="n"/>
      <c r="B388" s="280" t="n"/>
      <c r="C388" s="280" t="n"/>
      <c r="D388" s="280" t="n"/>
      <c r="E388" s="280" t="n"/>
      <c r="F388" s="280" t="n"/>
      <c r="G388" s="280" t="n"/>
      <c r="H388" s="280" t="n"/>
      <c r="I388" s="332">
        <f>IFERROR(VLOOKUP(TEXT(H388,"0"),IPRESS!$A$3:$B$212,2,0),"")</f>
        <v/>
      </c>
      <c r="J388" s="280" t="n"/>
      <c r="K388" s="332">
        <f>IFERROR(VLOOKUP(TEXT(O388,"0"),CONDUCTORES!$A$3:$G$54,7,0),"")</f>
        <v/>
      </c>
      <c r="L388" s="280" t="n"/>
      <c r="M388" s="280" t="n"/>
      <c r="N388" s="333">
        <f>IFERROR(IF(L388*M388=0,"",L388*M388),"")</f>
        <v/>
      </c>
      <c r="O388" s="280" t="n"/>
      <c r="P388" s="332">
        <f>IFERROR(VLOOKUP(TEXT(O388,"0"),CONDUCTORES!$A$3:$G$54,2,0),"")</f>
        <v/>
      </c>
      <c r="Q388" s="332">
        <f>IFERROR(VLOOKUP(TEXT(O388,"0"),CONDUCTORES!$A$3:$H$54,6,0),"")</f>
        <v/>
      </c>
      <c r="R388" s="280" t="n"/>
      <c r="S388" s="280" t="n"/>
      <c r="T388" s="280" t="n"/>
      <c r="U388" s="280" t="n"/>
      <c r="V388" s="280" t="n"/>
      <c r="W388" s="280" t="n"/>
      <c r="X388" s="280" t="n"/>
      <c r="Y388" s="280" t="n"/>
    </row>
    <row r="389" ht="15" customHeight="1" s="195">
      <c r="A389" s="334" t="n"/>
      <c r="B389" s="334" t="n"/>
      <c r="C389" s="334" t="n"/>
      <c r="D389" s="334" t="n"/>
      <c r="E389" s="334" t="n"/>
      <c r="F389" s="334" t="n"/>
      <c r="G389" s="334" t="n"/>
      <c r="H389" s="334" t="n"/>
      <c r="I389" s="332">
        <f>IFERROR(VLOOKUP(TEXT(H389,"0"),IPRESS!$A$3:$B$212,2,0),"")</f>
        <v/>
      </c>
      <c r="J389" s="334" t="n"/>
      <c r="K389" s="332">
        <f>IFERROR(VLOOKUP(TEXT(O389,"0"),CONDUCTORES!$A$3:$G$54,7,0),"")</f>
        <v/>
      </c>
      <c r="L389" s="334" t="n"/>
      <c r="M389" s="334" t="n"/>
      <c r="N389" s="333">
        <f>IFERROR(IF(L389*M389=0,"",L389*M389),"")</f>
        <v/>
      </c>
      <c r="O389" s="334" t="n"/>
      <c r="P389" s="332">
        <f>IFERROR(VLOOKUP(TEXT(O389,"0"),CONDUCTORES!$A$3:$G$54,2,0),"")</f>
        <v/>
      </c>
      <c r="Q389" s="332">
        <f>IFERROR(VLOOKUP(TEXT(O389,"0"),CONDUCTORES!$A$3:$H$54,6,0),"")</f>
        <v/>
      </c>
      <c r="R389" s="334" t="n"/>
      <c r="S389" s="334" t="n"/>
      <c r="T389" s="334" t="n"/>
      <c r="U389" s="334" t="n"/>
      <c r="V389" s="334" t="n"/>
      <c r="W389" s="334" t="n"/>
      <c r="X389" s="334" t="n"/>
      <c r="Y389" s="334" t="n"/>
    </row>
    <row r="390" ht="15" customHeight="1" s="195">
      <c r="A390" s="280" t="n"/>
      <c r="B390" s="280" t="n"/>
      <c r="C390" s="280" t="n"/>
      <c r="D390" s="280" t="n"/>
      <c r="E390" s="280" t="n"/>
      <c r="F390" s="280" t="n"/>
      <c r="G390" s="280" t="n"/>
      <c r="H390" s="280" t="n"/>
      <c r="I390" s="332">
        <f>IFERROR(VLOOKUP(TEXT(H390,"0"),IPRESS!$A$3:$B$212,2,0),"")</f>
        <v/>
      </c>
      <c r="J390" s="280" t="n"/>
      <c r="K390" s="332">
        <f>IFERROR(VLOOKUP(TEXT(O390,"0"),CONDUCTORES!$A$3:$G$54,7,0),"")</f>
        <v/>
      </c>
      <c r="L390" s="280" t="n"/>
      <c r="M390" s="280" t="n"/>
      <c r="N390" s="333">
        <f>IFERROR(IF(L390*M390=0,"",L390*M390),"")</f>
        <v/>
      </c>
      <c r="O390" s="280" t="n"/>
      <c r="P390" s="332">
        <f>IFERROR(VLOOKUP(TEXT(O390,"0"),CONDUCTORES!$A$3:$G$54,2,0),"")</f>
        <v/>
      </c>
      <c r="Q390" s="332">
        <f>IFERROR(VLOOKUP(TEXT(O390,"0"),CONDUCTORES!$A$3:$H$54,6,0),"")</f>
        <v/>
      </c>
      <c r="R390" s="280" t="n"/>
      <c r="S390" s="280" t="n"/>
      <c r="T390" s="280" t="n"/>
      <c r="U390" s="280" t="n"/>
      <c r="V390" s="280" t="n"/>
      <c r="W390" s="280" t="n"/>
      <c r="X390" s="280" t="n"/>
      <c r="Y390" s="280" t="n"/>
    </row>
    <row r="391" ht="15" customHeight="1" s="195">
      <c r="A391" s="334" t="n"/>
      <c r="B391" s="334" t="n"/>
      <c r="C391" s="334" t="n"/>
      <c r="D391" s="334" t="n"/>
      <c r="E391" s="334" t="n"/>
      <c r="F391" s="334" t="n"/>
      <c r="G391" s="334" t="n"/>
      <c r="H391" s="334" t="n"/>
      <c r="I391" s="332">
        <f>IFERROR(VLOOKUP(TEXT(H391,"0"),IPRESS!$A$3:$B$212,2,0),"")</f>
        <v/>
      </c>
      <c r="J391" s="334" t="n"/>
      <c r="K391" s="332">
        <f>IFERROR(VLOOKUP(TEXT(O391,"0"),CONDUCTORES!$A$3:$G$54,7,0),"")</f>
        <v/>
      </c>
      <c r="L391" s="334" t="n"/>
      <c r="M391" s="334" t="n"/>
      <c r="N391" s="333">
        <f>IFERROR(IF(L391*M391=0,"",L391*M391),"")</f>
        <v/>
      </c>
      <c r="O391" s="334" t="n"/>
      <c r="P391" s="332">
        <f>IFERROR(VLOOKUP(TEXT(O391,"0"),CONDUCTORES!$A$3:$G$54,2,0),"")</f>
        <v/>
      </c>
      <c r="Q391" s="332">
        <f>IFERROR(VLOOKUP(TEXT(O391,"0"),CONDUCTORES!$A$3:$H$54,6,0),"")</f>
        <v/>
      </c>
      <c r="R391" s="334" t="n"/>
      <c r="S391" s="334" t="n"/>
      <c r="T391" s="334" t="n"/>
      <c r="U391" s="334" t="n"/>
      <c r="V391" s="334" t="n"/>
      <c r="W391" s="334" t="n"/>
      <c r="X391" s="334" t="n"/>
      <c r="Y391" s="334" t="n"/>
    </row>
    <row r="392" ht="15" customHeight="1" s="195">
      <c r="A392" s="280" t="n"/>
      <c r="B392" s="280" t="n"/>
      <c r="C392" s="280" t="n"/>
      <c r="D392" s="280" t="n"/>
      <c r="E392" s="280" t="n"/>
      <c r="F392" s="280" t="n"/>
      <c r="G392" s="280" t="n"/>
      <c r="H392" s="280" t="n"/>
      <c r="I392" s="332">
        <f>IFERROR(VLOOKUP(TEXT(H392,"0"),IPRESS!$A$3:$B$212,2,0),"")</f>
        <v/>
      </c>
      <c r="J392" s="280" t="n"/>
      <c r="K392" s="332">
        <f>IFERROR(VLOOKUP(TEXT(O392,"0"),CONDUCTORES!$A$3:$G$54,7,0),"")</f>
        <v/>
      </c>
      <c r="L392" s="280" t="n"/>
      <c r="M392" s="280" t="n"/>
      <c r="N392" s="333">
        <f>IFERROR(IF(L392*M392=0,"",L392*M392),"")</f>
        <v/>
      </c>
      <c r="O392" s="280" t="n"/>
      <c r="P392" s="332">
        <f>IFERROR(VLOOKUP(TEXT(O392,"0"),CONDUCTORES!$A$3:$G$54,2,0),"")</f>
        <v/>
      </c>
      <c r="Q392" s="332">
        <f>IFERROR(VLOOKUP(TEXT(O392,"0"),CONDUCTORES!$A$3:$H$54,6,0),"")</f>
        <v/>
      </c>
      <c r="R392" s="280" t="n"/>
      <c r="S392" s="280" t="n"/>
      <c r="T392" s="280" t="n"/>
      <c r="U392" s="280" t="n"/>
      <c r="V392" s="280" t="n"/>
      <c r="W392" s="280" t="n"/>
      <c r="X392" s="280" t="n"/>
      <c r="Y392" s="280" t="n"/>
    </row>
    <row r="393" ht="15" customHeight="1" s="195">
      <c r="A393" s="334" t="n"/>
      <c r="B393" s="334" t="n"/>
      <c r="C393" s="334" t="n"/>
      <c r="D393" s="334" t="n"/>
      <c r="E393" s="334" t="n"/>
      <c r="F393" s="334" t="n"/>
      <c r="G393" s="334" t="n"/>
      <c r="H393" s="334" t="n"/>
      <c r="I393" s="332">
        <f>IFERROR(VLOOKUP(TEXT(H393,"0"),IPRESS!$A$3:$B$212,2,0),"")</f>
        <v/>
      </c>
      <c r="J393" s="334" t="n"/>
      <c r="K393" s="332">
        <f>IFERROR(VLOOKUP(TEXT(O393,"0"),CONDUCTORES!$A$3:$G$54,7,0),"")</f>
        <v/>
      </c>
      <c r="L393" s="334" t="n"/>
      <c r="M393" s="334" t="n"/>
      <c r="N393" s="333">
        <f>IFERROR(IF(L393*M393=0,"",L393*M393),"")</f>
        <v/>
      </c>
      <c r="O393" s="334" t="n"/>
      <c r="P393" s="332">
        <f>IFERROR(VLOOKUP(TEXT(O393,"0"),CONDUCTORES!$A$3:$G$54,2,0),"")</f>
        <v/>
      </c>
      <c r="Q393" s="332">
        <f>IFERROR(VLOOKUP(TEXT(O393,"0"),CONDUCTORES!$A$3:$H$54,6,0),"")</f>
        <v/>
      </c>
      <c r="R393" s="334" t="n"/>
      <c r="S393" s="334" t="n"/>
      <c r="T393" s="334" t="n"/>
      <c r="U393" s="334" t="n"/>
      <c r="V393" s="334" t="n"/>
      <c r="W393" s="334" t="n"/>
      <c r="X393" s="334" t="n"/>
      <c r="Y393" s="334" t="n"/>
    </row>
    <row r="394" ht="15" customHeight="1" s="195">
      <c r="A394" s="280" t="n"/>
      <c r="B394" s="280" t="n"/>
      <c r="C394" s="280" t="n"/>
      <c r="D394" s="280" t="n"/>
      <c r="E394" s="280" t="n"/>
      <c r="F394" s="280" t="n"/>
      <c r="G394" s="280" t="n"/>
      <c r="H394" s="280" t="n"/>
      <c r="I394" s="332">
        <f>IFERROR(VLOOKUP(TEXT(H394,"0"),IPRESS!$A$3:$B$212,2,0),"")</f>
        <v/>
      </c>
      <c r="J394" s="280" t="n"/>
      <c r="K394" s="332">
        <f>IFERROR(VLOOKUP(TEXT(O394,"0"),CONDUCTORES!$A$3:$G$54,7,0),"")</f>
        <v/>
      </c>
      <c r="L394" s="280" t="n"/>
      <c r="M394" s="280" t="n"/>
      <c r="N394" s="333">
        <f>IFERROR(IF(L394*M394=0,"",L394*M394),"")</f>
        <v/>
      </c>
      <c r="O394" s="280" t="n"/>
      <c r="P394" s="332">
        <f>IFERROR(VLOOKUP(TEXT(O394,"0"),CONDUCTORES!$A$3:$G$54,2,0),"")</f>
        <v/>
      </c>
      <c r="Q394" s="332">
        <f>IFERROR(VLOOKUP(TEXT(O394,"0"),CONDUCTORES!$A$3:$H$54,6,0),"")</f>
        <v/>
      </c>
      <c r="R394" s="280" t="n"/>
      <c r="S394" s="280" t="n"/>
      <c r="T394" s="280" t="n"/>
      <c r="U394" s="280" t="n"/>
      <c r="V394" s="280" t="n"/>
      <c r="W394" s="280" t="n"/>
      <c r="X394" s="280" t="n"/>
      <c r="Y394" s="280" t="n"/>
    </row>
    <row r="395" ht="15" customHeight="1" s="195">
      <c r="A395" s="334" t="n"/>
      <c r="B395" s="334" t="n"/>
      <c r="C395" s="334" t="n"/>
      <c r="D395" s="334" t="n"/>
      <c r="E395" s="334" t="n"/>
      <c r="F395" s="334" t="n"/>
      <c r="G395" s="334" t="n"/>
      <c r="H395" s="334" t="n"/>
      <c r="I395" s="332">
        <f>IFERROR(VLOOKUP(TEXT(H395,"0"),IPRESS!$A$3:$B$212,2,0),"")</f>
        <v/>
      </c>
      <c r="J395" s="334" t="n"/>
      <c r="K395" s="332">
        <f>IFERROR(VLOOKUP(TEXT(O395,"0"),CONDUCTORES!$A$3:$G$54,7,0),"")</f>
        <v/>
      </c>
      <c r="L395" s="334" t="n"/>
      <c r="M395" s="334" t="n"/>
      <c r="N395" s="333">
        <f>IFERROR(IF(L395*M395=0,"",L395*M395),"")</f>
        <v/>
      </c>
      <c r="O395" s="334" t="n"/>
      <c r="P395" s="332">
        <f>IFERROR(VLOOKUP(TEXT(O395,"0"),CONDUCTORES!$A$3:$G$54,2,0),"")</f>
        <v/>
      </c>
      <c r="Q395" s="332">
        <f>IFERROR(VLOOKUP(TEXT(O395,"0"),CONDUCTORES!$A$3:$H$54,6,0),"")</f>
        <v/>
      </c>
      <c r="R395" s="334" t="n"/>
      <c r="S395" s="334" t="n"/>
      <c r="T395" s="334" t="n"/>
      <c r="U395" s="334" t="n"/>
      <c r="V395" s="334" t="n"/>
      <c r="W395" s="334" t="n"/>
      <c r="X395" s="334" t="n"/>
      <c r="Y395" s="334" t="n"/>
    </row>
    <row r="396" ht="15" customHeight="1" s="195">
      <c r="A396" s="280" t="n"/>
      <c r="B396" s="280" t="n"/>
      <c r="C396" s="280" t="n"/>
      <c r="D396" s="280" t="n"/>
      <c r="E396" s="280" t="n"/>
      <c r="F396" s="280" t="n"/>
      <c r="G396" s="280" t="n"/>
      <c r="H396" s="280" t="n"/>
      <c r="I396" s="332">
        <f>IFERROR(VLOOKUP(TEXT(H396,"0"),IPRESS!$A$3:$B$212,2,0),"")</f>
        <v/>
      </c>
      <c r="J396" s="280" t="n"/>
      <c r="K396" s="332">
        <f>IFERROR(VLOOKUP(TEXT(O396,"0"),CONDUCTORES!$A$3:$G$54,7,0),"")</f>
        <v/>
      </c>
      <c r="L396" s="280" t="n"/>
      <c r="M396" s="280" t="n"/>
      <c r="N396" s="333">
        <f>IFERROR(IF(L396*M396=0,"",L396*M396),"")</f>
        <v/>
      </c>
      <c r="O396" s="280" t="n"/>
      <c r="P396" s="332">
        <f>IFERROR(VLOOKUP(TEXT(O396,"0"),CONDUCTORES!$A$3:$G$54,2,0),"")</f>
        <v/>
      </c>
      <c r="Q396" s="332">
        <f>IFERROR(VLOOKUP(TEXT(O396,"0"),CONDUCTORES!$A$3:$H$54,6,0),"")</f>
        <v/>
      </c>
      <c r="R396" s="280" t="n"/>
      <c r="S396" s="280" t="n"/>
      <c r="T396" s="280" t="n"/>
      <c r="U396" s="280" t="n"/>
      <c r="V396" s="280" t="n"/>
      <c r="W396" s="280" t="n"/>
      <c r="X396" s="280" t="n"/>
      <c r="Y396" s="280" t="n"/>
    </row>
    <row r="397" ht="15" customHeight="1" s="195">
      <c r="A397" s="334" t="n"/>
      <c r="B397" s="334" t="n"/>
      <c r="C397" s="334" t="n"/>
      <c r="D397" s="334" t="n"/>
      <c r="E397" s="334" t="n"/>
      <c r="F397" s="334" t="n"/>
      <c r="G397" s="334" t="n"/>
      <c r="H397" s="334" t="n"/>
      <c r="I397" s="332">
        <f>IFERROR(VLOOKUP(TEXT(H397,"0"),IPRESS!$A$3:$B$212,2,0),"")</f>
        <v/>
      </c>
      <c r="J397" s="334" t="n"/>
      <c r="K397" s="332">
        <f>IFERROR(VLOOKUP(TEXT(O397,"0"),CONDUCTORES!$A$3:$G$54,7,0),"")</f>
        <v/>
      </c>
      <c r="L397" s="334" t="n"/>
      <c r="M397" s="334" t="n"/>
      <c r="N397" s="333">
        <f>IFERROR(IF(L397*M397=0,"",L397*M397),"")</f>
        <v/>
      </c>
      <c r="O397" s="334" t="n"/>
      <c r="P397" s="332">
        <f>IFERROR(VLOOKUP(TEXT(O397,"0"),CONDUCTORES!$A$3:$G$54,2,0),"")</f>
        <v/>
      </c>
      <c r="Q397" s="332">
        <f>IFERROR(VLOOKUP(TEXT(O397,"0"),CONDUCTORES!$A$3:$H$54,6,0),"")</f>
        <v/>
      </c>
      <c r="R397" s="334" t="n"/>
      <c r="S397" s="334" t="n"/>
      <c r="T397" s="334" t="n"/>
      <c r="U397" s="334" t="n"/>
      <c r="V397" s="334" t="n"/>
      <c r="W397" s="334" t="n"/>
      <c r="X397" s="334" t="n"/>
      <c r="Y397" s="334" t="n"/>
    </row>
    <row r="398" ht="15" customHeight="1" s="195">
      <c r="A398" s="280" t="n"/>
      <c r="B398" s="280" t="n"/>
      <c r="C398" s="280" t="n"/>
      <c r="D398" s="280" t="n"/>
      <c r="E398" s="280" t="n"/>
      <c r="F398" s="280" t="n"/>
      <c r="G398" s="280" t="n"/>
      <c r="H398" s="280" t="n"/>
      <c r="I398" s="332">
        <f>IFERROR(VLOOKUP(TEXT(H398,"0"),IPRESS!$A$3:$B$212,2,0),"")</f>
        <v/>
      </c>
      <c r="J398" s="280" t="n"/>
      <c r="K398" s="332">
        <f>IFERROR(VLOOKUP(TEXT(O398,"0"),CONDUCTORES!$A$3:$G$54,7,0),"")</f>
        <v/>
      </c>
      <c r="L398" s="280" t="n"/>
      <c r="M398" s="280" t="n"/>
      <c r="N398" s="333">
        <f>IFERROR(IF(L398*M398=0,"",L398*M398),"")</f>
        <v/>
      </c>
      <c r="O398" s="280" t="n"/>
      <c r="P398" s="332">
        <f>IFERROR(VLOOKUP(TEXT(O398,"0"),CONDUCTORES!$A$3:$G$54,2,0),"")</f>
        <v/>
      </c>
      <c r="Q398" s="332">
        <f>IFERROR(VLOOKUP(TEXT(O398,"0"),CONDUCTORES!$A$3:$H$54,6,0),"")</f>
        <v/>
      </c>
      <c r="R398" s="280" t="n"/>
      <c r="S398" s="280" t="n"/>
      <c r="T398" s="280" t="n"/>
      <c r="U398" s="280" t="n"/>
      <c r="V398" s="280" t="n"/>
      <c r="W398" s="280" t="n"/>
      <c r="X398" s="280" t="n"/>
      <c r="Y398" s="280" t="n"/>
    </row>
    <row r="399" ht="15" customHeight="1" s="195">
      <c r="A399" s="334" t="n"/>
      <c r="B399" s="334" t="n"/>
      <c r="C399" s="334" t="n"/>
      <c r="D399" s="334" t="n"/>
      <c r="E399" s="334" t="n"/>
      <c r="F399" s="334" t="n"/>
      <c r="G399" s="334" t="n"/>
      <c r="H399" s="334" t="n"/>
      <c r="I399" s="332">
        <f>IFERROR(VLOOKUP(TEXT(H399,"0"),IPRESS!$A$3:$B$212,2,0),"")</f>
        <v/>
      </c>
      <c r="J399" s="334" t="n"/>
      <c r="K399" s="332">
        <f>IFERROR(VLOOKUP(TEXT(O399,"0"),CONDUCTORES!$A$3:$G$54,7,0),"")</f>
        <v/>
      </c>
      <c r="L399" s="334" t="n"/>
      <c r="M399" s="334" t="n"/>
      <c r="N399" s="333">
        <f>IFERROR(IF(L399*M399=0,"",L399*M399),"")</f>
        <v/>
      </c>
      <c r="O399" s="334" t="n"/>
      <c r="P399" s="332">
        <f>IFERROR(VLOOKUP(TEXT(O399,"0"),CONDUCTORES!$A$3:$G$54,2,0),"")</f>
        <v/>
      </c>
      <c r="Q399" s="332">
        <f>IFERROR(VLOOKUP(TEXT(O399,"0"),CONDUCTORES!$A$3:$H$54,6,0),"")</f>
        <v/>
      </c>
      <c r="R399" s="334" t="n"/>
      <c r="S399" s="334" t="n"/>
      <c r="T399" s="334" t="n"/>
      <c r="U399" s="334" t="n"/>
      <c r="V399" s="334" t="n"/>
      <c r="W399" s="334" t="n"/>
      <c r="X399" s="334" t="n"/>
      <c r="Y399" s="334" t="n"/>
    </row>
    <row r="400" ht="15" customHeight="1" s="195">
      <c r="A400" s="280" t="n"/>
      <c r="B400" s="280" t="n"/>
      <c r="C400" s="280" t="n"/>
      <c r="D400" s="280" t="n"/>
      <c r="E400" s="280" t="n"/>
      <c r="F400" s="280" t="n"/>
      <c r="G400" s="280" t="n"/>
      <c r="H400" s="280" t="n"/>
      <c r="I400" s="332">
        <f>IFERROR(VLOOKUP(TEXT(H400,"0"),IPRESS!$A$3:$B$212,2,0),"")</f>
        <v/>
      </c>
      <c r="J400" s="280" t="n"/>
      <c r="K400" s="332">
        <f>IFERROR(VLOOKUP(TEXT(O400,"0"),CONDUCTORES!$A$3:$G$54,7,0),"")</f>
        <v/>
      </c>
      <c r="L400" s="280" t="n"/>
      <c r="M400" s="280" t="n"/>
      <c r="N400" s="333">
        <f>IFERROR(IF(L400*M400=0,"",L400*M400),"")</f>
        <v/>
      </c>
      <c r="O400" s="280" t="n"/>
      <c r="P400" s="332">
        <f>IFERROR(VLOOKUP(TEXT(O400,"0"),CONDUCTORES!$A$3:$G$54,2,0),"")</f>
        <v/>
      </c>
      <c r="Q400" s="332">
        <f>IFERROR(VLOOKUP(TEXT(O400,"0"),CONDUCTORES!$A$3:$H$54,6,0),"")</f>
        <v/>
      </c>
      <c r="R400" s="280" t="n"/>
      <c r="S400" s="280" t="n"/>
      <c r="T400" s="280" t="n"/>
      <c r="U400" s="280" t="n"/>
      <c r="V400" s="280" t="n"/>
      <c r="W400" s="280" t="n"/>
      <c r="X400" s="280" t="n"/>
      <c r="Y400" s="280" t="n"/>
    </row>
    <row r="401" ht="15" customHeight="1" s="195">
      <c r="A401" s="334" t="n"/>
      <c r="B401" s="334" t="n"/>
      <c r="C401" s="334" t="n"/>
      <c r="D401" s="334" t="n"/>
      <c r="E401" s="334" t="n"/>
      <c r="F401" s="334" t="n"/>
      <c r="G401" s="334" t="n"/>
      <c r="H401" s="334" t="n"/>
      <c r="I401" s="332">
        <f>IFERROR(VLOOKUP(TEXT(H401,"0"),IPRESS!$A$3:$B$212,2,0),"")</f>
        <v/>
      </c>
      <c r="J401" s="334" t="n"/>
      <c r="K401" s="332">
        <f>IFERROR(VLOOKUP(TEXT(O401,"0"),CONDUCTORES!$A$3:$G$54,7,0),"")</f>
        <v/>
      </c>
      <c r="L401" s="334" t="n"/>
      <c r="M401" s="334" t="n"/>
      <c r="N401" s="333">
        <f>IFERROR(IF(L401*M401=0,"",L401*M401),"")</f>
        <v/>
      </c>
      <c r="O401" s="334" t="n"/>
      <c r="P401" s="332">
        <f>IFERROR(VLOOKUP(TEXT(O401,"0"),CONDUCTORES!$A$3:$G$54,2,0),"")</f>
        <v/>
      </c>
      <c r="Q401" s="332">
        <f>IFERROR(VLOOKUP(TEXT(O401,"0"),CONDUCTORES!$A$3:$H$54,6,0),"")</f>
        <v/>
      </c>
      <c r="R401" s="334" t="n"/>
      <c r="S401" s="334" t="n"/>
      <c r="T401" s="334" t="n"/>
      <c r="U401" s="334" t="n"/>
      <c r="V401" s="334" t="n"/>
      <c r="W401" s="334" t="n"/>
      <c r="X401" s="334" t="n"/>
      <c r="Y401" s="334" t="n"/>
    </row>
    <row r="402" ht="15" customHeight="1" s="195">
      <c r="A402" s="280" t="n"/>
      <c r="B402" s="280" t="n"/>
      <c r="C402" s="280" t="n"/>
      <c r="D402" s="280" t="n"/>
      <c r="E402" s="280" t="n"/>
      <c r="F402" s="280" t="n"/>
      <c r="G402" s="280" t="n"/>
      <c r="H402" s="280" t="n"/>
      <c r="I402" s="332">
        <f>IFERROR(VLOOKUP(TEXT(H402,"0"),IPRESS!$A$3:$B$212,2,0),"")</f>
        <v/>
      </c>
      <c r="J402" s="280" t="n"/>
      <c r="K402" s="332">
        <f>IFERROR(VLOOKUP(TEXT(O402,"0"),CONDUCTORES!$A$3:$G$54,7,0),"")</f>
        <v/>
      </c>
      <c r="L402" s="280" t="n"/>
      <c r="M402" s="280" t="n"/>
      <c r="N402" s="333">
        <f>IFERROR(IF(L402*M402=0,"",L402*M402),"")</f>
        <v/>
      </c>
      <c r="O402" s="280" t="n"/>
      <c r="P402" s="332">
        <f>IFERROR(VLOOKUP(TEXT(O402,"0"),CONDUCTORES!$A$3:$G$54,2,0),"")</f>
        <v/>
      </c>
      <c r="Q402" s="332">
        <f>IFERROR(VLOOKUP(TEXT(O402,"0"),CONDUCTORES!$A$3:$H$54,6,0),"")</f>
        <v/>
      </c>
      <c r="R402" s="280" t="n"/>
      <c r="S402" s="280" t="n"/>
      <c r="T402" s="280" t="n"/>
      <c r="U402" s="280" t="n"/>
      <c r="V402" s="280" t="n"/>
      <c r="W402" s="280" t="n"/>
      <c r="X402" s="280" t="n"/>
      <c r="Y402" s="280" t="n"/>
    </row>
    <row r="403" ht="15" customHeight="1" s="195">
      <c r="A403" s="334" t="n"/>
      <c r="B403" s="334" t="n"/>
      <c r="C403" s="334" t="n"/>
      <c r="D403" s="334" t="n"/>
      <c r="E403" s="334" t="n"/>
      <c r="F403" s="334" t="n"/>
      <c r="G403" s="334" t="n"/>
      <c r="H403" s="334" t="n"/>
      <c r="I403" s="332">
        <f>IFERROR(VLOOKUP(TEXT(H403,"0"),IPRESS!$A$3:$B$212,2,0),"")</f>
        <v/>
      </c>
      <c r="J403" s="334" t="n"/>
      <c r="K403" s="332">
        <f>IFERROR(VLOOKUP(TEXT(O403,"0"),CONDUCTORES!$A$3:$G$54,7,0),"")</f>
        <v/>
      </c>
      <c r="L403" s="334" t="n"/>
      <c r="M403" s="334" t="n"/>
      <c r="N403" s="333">
        <f>IFERROR(IF(L403*M403=0,"",L403*M403),"")</f>
        <v/>
      </c>
      <c r="O403" s="334" t="n"/>
      <c r="P403" s="332">
        <f>IFERROR(VLOOKUP(TEXT(O403,"0"),CONDUCTORES!$A$3:$G$54,2,0),"")</f>
        <v/>
      </c>
      <c r="Q403" s="332">
        <f>IFERROR(VLOOKUP(TEXT(O403,"0"),CONDUCTORES!$A$3:$H$54,6,0),"")</f>
        <v/>
      </c>
      <c r="R403" s="334" t="n"/>
      <c r="S403" s="334" t="n"/>
      <c r="T403" s="334" t="n"/>
      <c r="U403" s="334" t="n"/>
      <c r="V403" s="334" t="n"/>
      <c r="W403" s="334" t="n"/>
      <c r="X403" s="334" t="n"/>
      <c r="Y403" s="334" t="n"/>
    </row>
    <row r="404" ht="15" customHeight="1" s="195">
      <c r="A404" s="280" t="n"/>
      <c r="B404" s="280" t="n"/>
      <c r="C404" s="280" t="n"/>
      <c r="D404" s="280" t="n"/>
      <c r="E404" s="280" t="n"/>
      <c r="F404" s="280" t="n"/>
      <c r="G404" s="280" t="n"/>
      <c r="H404" s="280" t="n"/>
      <c r="I404" s="332">
        <f>IFERROR(VLOOKUP(TEXT(H404,"0"),IPRESS!$A$3:$B$212,2,0),"")</f>
        <v/>
      </c>
      <c r="J404" s="280" t="n"/>
      <c r="K404" s="332">
        <f>IFERROR(VLOOKUP(TEXT(O404,"0"),CONDUCTORES!$A$3:$G$54,7,0),"")</f>
        <v/>
      </c>
      <c r="L404" s="280" t="n"/>
      <c r="M404" s="280" t="n"/>
      <c r="N404" s="333">
        <f>IFERROR(IF(L404*M404=0,"",L404*M404),"")</f>
        <v/>
      </c>
      <c r="O404" s="280" t="n"/>
      <c r="P404" s="332">
        <f>IFERROR(VLOOKUP(TEXT(O404,"0"),CONDUCTORES!$A$3:$G$54,2,0),"")</f>
        <v/>
      </c>
      <c r="Q404" s="332">
        <f>IFERROR(VLOOKUP(TEXT(O404,"0"),CONDUCTORES!$A$3:$H$54,6,0),"")</f>
        <v/>
      </c>
      <c r="R404" s="280" t="n"/>
      <c r="S404" s="280" t="n"/>
      <c r="T404" s="280" t="n"/>
      <c r="U404" s="280" t="n"/>
      <c r="V404" s="280" t="n"/>
      <c r="W404" s="280" t="n"/>
      <c r="X404" s="280" t="n"/>
      <c r="Y404" s="280" t="n"/>
    </row>
    <row r="405" ht="15" customHeight="1" s="195">
      <c r="A405" s="334" t="n"/>
      <c r="B405" s="334" t="n"/>
      <c r="C405" s="334" t="n"/>
      <c r="D405" s="334" t="n"/>
      <c r="E405" s="334" t="n"/>
      <c r="F405" s="334" t="n"/>
      <c r="G405" s="334" t="n"/>
      <c r="H405" s="334" t="n"/>
      <c r="I405" s="332">
        <f>IFERROR(VLOOKUP(TEXT(H405,"0"),IPRESS!$A$3:$B$212,2,0),"")</f>
        <v/>
      </c>
      <c r="J405" s="334" t="n"/>
      <c r="K405" s="332">
        <f>IFERROR(VLOOKUP(TEXT(O405,"0"),CONDUCTORES!$A$3:$G$54,7,0),"")</f>
        <v/>
      </c>
      <c r="L405" s="334" t="n"/>
      <c r="M405" s="334" t="n"/>
      <c r="N405" s="333">
        <f>IFERROR(IF(L405*M405=0,"",L405*M405),"")</f>
        <v/>
      </c>
      <c r="O405" s="334" t="n"/>
      <c r="P405" s="332">
        <f>IFERROR(VLOOKUP(TEXT(O405,"0"),CONDUCTORES!$A$3:$G$54,2,0),"")</f>
        <v/>
      </c>
      <c r="Q405" s="332">
        <f>IFERROR(VLOOKUP(TEXT(O405,"0"),CONDUCTORES!$A$3:$H$54,6,0),"")</f>
        <v/>
      </c>
      <c r="R405" s="334" t="n"/>
      <c r="S405" s="334" t="n"/>
      <c r="T405" s="334" t="n"/>
      <c r="U405" s="334" t="n"/>
      <c r="V405" s="334" t="n"/>
      <c r="W405" s="334" t="n"/>
      <c r="X405" s="334" t="n"/>
      <c r="Y405" s="334" t="n"/>
    </row>
    <row r="406" ht="15" customHeight="1" s="195">
      <c r="A406" s="280" t="n"/>
      <c r="B406" s="280" t="n"/>
      <c r="C406" s="280" t="n"/>
      <c r="D406" s="280" t="n"/>
      <c r="E406" s="280" t="n"/>
      <c r="F406" s="280" t="n"/>
      <c r="G406" s="280" t="n"/>
      <c r="H406" s="280" t="n"/>
      <c r="I406" s="332">
        <f>IFERROR(VLOOKUP(TEXT(H406,"0"),IPRESS!$A$3:$B$212,2,0),"")</f>
        <v/>
      </c>
      <c r="J406" s="280" t="n"/>
      <c r="K406" s="332">
        <f>IFERROR(VLOOKUP(TEXT(O406,"0"),CONDUCTORES!$A$3:$G$54,7,0),"")</f>
        <v/>
      </c>
      <c r="L406" s="280" t="n"/>
      <c r="M406" s="280" t="n"/>
      <c r="N406" s="333">
        <f>IFERROR(IF(L406*M406=0,"",L406*M406),"")</f>
        <v/>
      </c>
      <c r="O406" s="280" t="n"/>
      <c r="P406" s="332">
        <f>IFERROR(VLOOKUP(TEXT(O406,"0"),CONDUCTORES!$A$3:$G$54,2,0),"")</f>
        <v/>
      </c>
      <c r="Q406" s="332">
        <f>IFERROR(VLOOKUP(TEXT(O406,"0"),CONDUCTORES!$A$3:$H$54,6,0),"")</f>
        <v/>
      </c>
      <c r="R406" s="280" t="n"/>
      <c r="S406" s="280" t="n"/>
      <c r="T406" s="280" t="n"/>
      <c r="U406" s="280" t="n"/>
      <c r="V406" s="280" t="n"/>
      <c r="W406" s="280" t="n"/>
      <c r="X406" s="280" t="n"/>
      <c r="Y406" s="280" t="n"/>
    </row>
    <row r="407" ht="15" customHeight="1" s="195">
      <c r="A407" s="334" t="n"/>
      <c r="B407" s="334" t="n"/>
      <c r="C407" s="334" t="n"/>
      <c r="D407" s="334" t="n"/>
      <c r="E407" s="334" t="n"/>
      <c r="F407" s="334" t="n"/>
      <c r="G407" s="334" t="n"/>
      <c r="H407" s="334" t="n"/>
      <c r="I407" s="332">
        <f>IFERROR(VLOOKUP(TEXT(H407,"0"),IPRESS!$A$3:$B$212,2,0),"")</f>
        <v/>
      </c>
      <c r="J407" s="334" t="n"/>
      <c r="K407" s="332">
        <f>IFERROR(VLOOKUP(TEXT(O407,"0"),CONDUCTORES!$A$3:$G$54,7,0),"")</f>
        <v/>
      </c>
      <c r="L407" s="334" t="n"/>
      <c r="M407" s="334" t="n"/>
      <c r="N407" s="333">
        <f>IFERROR(IF(L407*M407=0,"",L407*M407),"")</f>
        <v/>
      </c>
      <c r="O407" s="334" t="n"/>
      <c r="P407" s="332">
        <f>IFERROR(VLOOKUP(TEXT(O407,"0"),CONDUCTORES!$A$3:$G$54,2,0),"")</f>
        <v/>
      </c>
      <c r="Q407" s="332">
        <f>IFERROR(VLOOKUP(TEXT(O407,"0"),CONDUCTORES!$A$3:$H$54,6,0),"")</f>
        <v/>
      </c>
      <c r="R407" s="334" t="n"/>
      <c r="S407" s="334" t="n"/>
      <c r="T407" s="334" t="n"/>
      <c r="U407" s="334" t="n"/>
      <c r="V407" s="334" t="n"/>
      <c r="W407" s="334" t="n"/>
      <c r="X407" s="334" t="n"/>
      <c r="Y407" s="334" t="n"/>
    </row>
    <row r="408" ht="15" customHeight="1" s="195">
      <c r="A408" s="280" t="n"/>
      <c r="B408" s="280" t="n"/>
      <c r="C408" s="280" t="n"/>
      <c r="D408" s="280" t="n"/>
      <c r="E408" s="280" t="n"/>
      <c r="F408" s="280" t="n"/>
      <c r="G408" s="280" t="n"/>
      <c r="H408" s="280" t="n"/>
      <c r="I408" s="332">
        <f>IFERROR(VLOOKUP(TEXT(H408,"0"),IPRESS!$A$3:$B$212,2,0),"")</f>
        <v/>
      </c>
      <c r="J408" s="280" t="n"/>
      <c r="K408" s="332">
        <f>IFERROR(VLOOKUP(TEXT(O408,"0"),CONDUCTORES!$A$3:$G$54,7,0),"")</f>
        <v/>
      </c>
      <c r="L408" s="280" t="n"/>
      <c r="M408" s="280" t="n"/>
      <c r="N408" s="333">
        <f>IFERROR(IF(L408*M408=0,"",L408*M408),"")</f>
        <v/>
      </c>
      <c r="O408" s="280" t="n"/>
      <c r="P408" s="332">
        <f>IFERROR(VLOOKUP(TEXT(O408,"0"),CONDUCTORES!$A$3:$G$54,2,0),"")</f>
        <v/>
      </c>
      <c r="Q408" s="332">
        <f>IFERROR(VLOOKUP(TEXT(O408,"0"),CONDUCTORES!$A$3:$H$54,6,0),"")</f>
        <v/>
      </c>
      <c r="R408" s="280" t="n"/>
      <c r="S408" s="280" t="n"/>
      <c r="T408" s="280" t="n"/>
      <c r="U408" s="280" t="n"/>
      <c r="V408" s="280" t="n"/>
      <c r="W408" s="280" t="n"/>
      <c r="X408" s="280" t="n"/>
      <c r="Y408" s="280" t="n"/>
    </row>
    <row r="409" ht="15" customHeight="1" s="195">
      <c r="A409" s="334" t="n"/>
      <c r="B409" s="334" t="n"/>
      <c r="C409" s="334" t="n"/>
      <c r="D409" s="334" t="n"/>
      <c r="E409" s="334" t="n"/>
      <c r="F409" s="334" t="n"/>
      <c r="G409" s="334" t="n"/>
      <c r="H409" s="334" t="n"/>
      <c r="I409" s="332">
        <f>IFERROR(VLOOKUP(TEXT(H409,"0"),IPRESS!$A$3:$B$212,2,0),"")</f>
        <v/>
      </c>
      <c r="J409" s="334" t="n"/>
      <c r="K409" s="332">
        <f>IFERROR(VLOOKUP(TEXT(O409,"0"),CONDUCTORES!$A$3:$G$54,7,0),"")</f>
        <v/>
      </c>
      <c r="L409" s="334" t="n"/>
      <c r="M409" s="334" t="n"/>
      <c r="N409" s="333">
        <f>IFERROR(IF(L409*M409=0,"",L409*M409),"")</f>
        <v/>
      </c>
      <c r="O409" s="334" t="n"/>
      <c r="P409" s="332">
        <f>IFERROR(VLOOKUP(TEXT(O409,"0"),CONDUCTORES!$A$3:$G$54,2,0),"")</f>
        <v/>
      </c>
      <c r="Q409" s="332">
        <f>IFERROR(VLOOKUP(TEXT(O409,"0"),CONDUCTORES!$A$3:$H$54,6,0),"")</f>
        <v/>
      </c>
      <c r="R409" s="334" t="n"/>
      <c r="S409" s="334" t="n"/>
      <c r="T409" s="334" t="n"/>
      <c r="U409" s="334" t="n"/>
      <c r="V409" s="334" t="n"/>
      <c r="W409" s="334" t="n"/>
      <c r="X409" s="334" t="n"/>
      <c r="Y409" s="334" t="n"/>
    </row>
    <row r="410" ht="15" customHeight="1" s="195">
      <c r="A410" s="280" t="n"/>
      <c r="B410" s="280" t="n"/>
      <c r="C410" s="280" t="n"/>
      <c r="D410" s="280" t="n"/>
      <c r="E410" s="280" t="n"/>
      <c r="F410" s="280" t="n"/>
      <c r="G410" s="280" t="n"/>
      <c r="H410" s="280" t="n"/>
      <c r="I410" s="332">
        <f>IFERROR(VLOOKUP(TEXT(H410,"0"),IPRESS!$A$3:$B$212,2,0),"")</f>
        <v/>
      </c>
      <c r="J410" s="280" t="n"/>
      <c r="K410" s="332">
        <f>IFERROR(VLOOKUP(TEXT(O410,"0"),CONDUCTORES!$A$3:$G$54,7,0),"")</f>
        <v/>
      </c>
      <c r="L410" s="280" t="n"/>
      <c r="M410" s="280" t="n"/>
      <c r="N410" s="333">
        <f>IFERROR(IF(L410*M410=0,"",L410*M410),"")</f>
        <v/>
      </c>
      <c r="O410" s="280" t="n"/>
      <c r="P410" s="332">
        <f>IFERROR(VLOOKUP(TEXT(O410,"0"),CONDUCTORES!$A$3:$G$54,2,0),"")</f>
        <v/>
      </c>
      <c r="Q410" s="332">
        <f>IFERROR(VLOOKUP(TEXT(O410,"0"),CONDUCTORES!$A$3:$H$54,6,0),"")</f>
        <v/>
      </c>
      <c r="R410" s="280" t="n"/>
      <c r="S410" s="280" t="n"/>
      <c r="T410" s="280" t="n"/>
      <c r="U410" s="280" t="n"/>
      <c r="V410" s="280" t="n"/>
      <c r="W410" s="280" t="n"/>
      <c r="X410" s="280" t="n"/>
      <c r="Y410" s="280" t="n"/>
    </row>
    <row r="411" ht="15" customHeight="1" s="195">
      <c r="A411" s="334" t="n"/>
      <c r="B411" s="334" t="n"/>
      <c r="C411" s="334" t="n"/>
      <c r="D411" s="334" t="n"/>
      <c r="E411" s="334" t="n"/>
      <c r="F411" s="334" t="n"/>
      <c r="G411" s="334" t="n"/>
      <c r="H411" s="334" t="n"/>
      <c r="I411" s="332">
        <f>IFERROR(VLOOKUP(TEXT(H411,"0"),IPRESS!$A$3:$B$212,2,0),"")</f>
        <v/>
      </c>
      <c r="J411" s="334" t="n"/>
      <c r="K411" s="332">
        <f>IFERROR(VLOOKUP(TEXT(O411,"0"),CONDUCTORES!$A$3:$G$54,7,0),"")</f>
        <v/>
      </c>
      <c r="L411" s="334" t="n"/>
      <c r="M411" s="334" t="n"/>
      <c r="N411" s="333">
        <f>IFERROR(IF(L411*M411=0,"",L411*M411),"")</f>
        <v/>
      </c>
      <c r="O411" s="334" t="n"/>
      <c r="P411" s="332">
        <f>IFERROR(VLOOKUP(TEXT(O411,"0"),CONDUCTORES!$A$3:$G$54,2,0),"")</f>
        <v/>
      </c>
      <c r="Q411" s="332">
        <f>IFERROR(VLOOKUP(TEXT(O411,"0"),CONDUCTORES!$A$3:$H$54,6,0),"")</f>
        <v/>
      </c>
      <c r="R411" s="334" t="n"/>
      <c r="S411" s="334" t="n"/>
      <c r="T411" s="334" t="n"/>
      <c r="U411" s="334" t="n"/>
      <c r="V411" s="334" t="n"/>
      <c r="W411" s="334" t="n"/>
      <c r="X411" s="334" t="n"/>
      <c r="Y411" s="334" t="n"/>
    </row>
    <row r="412" ht="15" customHeight="1" s="195">
      <c r="A412" s="280" t="n"/>
      <c r="B412" s="280" t="n"/>
      <c r="C412" s="280" t="n"/>
      <c r="D412" s="280" t="n"/>
      <c r="E412" s="280" t="n"/>
      <c r="F412" s="280" t="n"/>
      <c r="G412" s="280" t="n"/>
      <c r="H412" s="280" t="n"/>
      <c r="I412" s="332">
        <f>IFERROR(VLOOKUP(TEXT(H412,"0"),IPRESS!$A$3:$B$212,2,0),"")</f>
        <v/>
      </c>
      <c r="J412" s="280" t="n"/>
      <c r="K412" s="332">
        <f>IFERROR(VLOOKUP(TEXT(O412,"0"),CONDUCTORES!$A$3:$G$54,7,0),"")</f>
        <v/>
      </c>
      <c r="L412" s="280" t="n"/>
      <c r="M412" s="280" t="n"/>
      <c r="N412" s="333">
        <f>IFERROR(IF(L412*M412=0,"",L412*M412),"")</f>
        <v/>
      </c>
      <c r="O412" s="280" t="n"/>
      <c r="P412" s="332">
        <f>IFERROR(VLOOKUP(TEXT(O412,"0"),CONDUCTORES!$A$3:$G$54,2,0),"")</f>
        <v/>
      </c>
      <c r="Q412" s="332">
        <f>IFERROR(VLOOKUP(TEXT(O412,"0"),CONDUCTORES!$A$3:$H$54,6,0),"")</f>
        <v/>
      </c>
      <c r="R412" s="280" t="n"/>
      <c r="S412" s="280" t="n"/>
      <c r="T412" s="280" t="n"/>
      <c r="U412" s="280" t="n"/>
      <c r="V412" s="280" t="n"/>
      <c r="W412" s="280" t="n"/>
      <c r="X412" s="280" t="n"/>
      <c r="Y412" s="280" t="n"/>
    </row>
    <row r="413" ht="15" customHeight="1" s="195">
      <c r="A413" s="334" t="n"/>
      <c r="B413" s="334" t="n"/>
      <c r="C413" s="334" t="n"/>
      <c r="D413" s="334" t="n"/>
      <c r="E413" s="334" t="n"/>
      <c r="F413" s="334" t="n"/>
      <c r="G413" s="334" t="n"/>
      <c r="H413" s="334" t="n"/>
      <c r="I413" s="332">
        <f>IFERROR(VLOOKUP(TEXT(H413,"0"),IPRESS!$A$3:$B$212,2,0),"")</f>
        <v/>
      </c>
      <c r="J413" s="334" t="n"/>
      <c r="K413" s="332">
        <f>IFERROR(VLOOKUP(TEXT(O413,"0"),CONDUCTORES!$A$3:$G$54,7,0),"")</f>
        <v/>
      </c>
      <c r="L413" s="334" t="n"/>
      <c r="M413" s="334" t="n"/>
      <c r="N413" s="333">
        <f>IFERROR(IF(L413*M413=0,"",L413*M413),"")</f>
        <v/>
      </c>
      <c r="O413" s="334" t="n"/>
      <c r="P413" s="332">
        <f>IFERROR(VLOOKUP(TEXT(O413,"0"),CONDUCTORES!$A$3:$G$54,2,0),"")</f>
        <v/>
      </c>
      <c r="Q413" s="332">
        <f>IFERROR(VLOOKUP(TEXT(O413,"0"),CONDUCTORES!$A$3:$H$54,6,0),"")</f>
        <v/>
      </c>
      <c r="R413" s="334" t="n"/>
      <c r="S413" s="334" t="n"/>
      <c r="T413" s="334" t="n"/>
      <c r="U413" s="334" t="n"/>
      <c r="V413" s="334" t="n"/>
      <c r="W413" s="334" t="n"/>
      <c r="X413" s="334" t="n"/>
      <c r="Y413" s="334" t="n"/>
    </row>
    <row r="414" ht="15" customHeight="1" s="195">
      <c r="A414" s="280" t="n"/>
      <c r="B414" s="280" t="n"/>
      <c r="C414" s="280" t="n"/>
      <c r="D414" s="280" t="n"/>
      <c r="E414" s="280" t="n"/>
      <c r="F414" s="280" t="n"/>
      <c r="G414" s="280" t="n"/>
      <c r="H414" s="280" t="n"/>
      <c r="I414" s="332">
        <f>IFERROR(VLOOKUP(TEXT(H414,"0"),IPRESS!$A$3:$B$212,2,0),"")</f>
        <v/>
      </c>
      <c r="J414" s="280" t="n"/>
      <c r="K414" s="332">
        <f>IFERROR(VLOOKUP(TEXT(O414,"0"),CONDUCTORES!$A$3:$G$54,7,0),"")</f>
        <v/>
      </c>
      <c r="L414" s="280" t="n"/>
      <c r="M414" s="280" t="n"/>
      <c r="N414" s="333">
        <f>IFERROR(IF(L414*M414=0,"",L414*M414),"")</f>
        <v/>
      </c>
      <c r="O414" s="280" t="n"/>
      <c r="P414" s="332">
        <f>IFERROR(VLOOKUP(TEXT(O414,"0"),CONDUCTORES!$A$3:$G$54,2,0),"")</f>
        <v/>
      </c>
      <c r="Q414" s="332">
        <f>IFERROR(VLOOKUP(TEXT(O414,"0"),CONDUCTORES!$A$3:$H$54,6,0),"")</f>
        <v/>
      </c>
      <c r="R414" s="280" t="n"/>
      <c r="S414" s="280" t="n"/>
      <c r="T414" s="280" t="n"/>
      <c r="U414" s="280" t="n"/>
      <c r="V414" s="280" t="n"/>
      <c r="W414" s="280" t="n"/>
      <c r="X414" s="280" t="n"/>
      <c r="Y414" s="280" t="n"/>
    </row>
    <row r="415" ht="15" customHeight="1" s="195">
      <c r="A415" s="334" t="n"/>
      <c r="B415" s="334" t="n"/>
      <c r="C415" s="334" t="n"/>
      <c r="D415" s="334" t="n"/>
      <c r="E415" s="334" t="n"/>
      <c r="F415" s="334" t="n"/>
      <c r="G415" s="334" t="n"/>
      <c r="H415" s="334" t="n"/>
      <c r="I415" s="332">
        <f>IFERROR(VLOOKUP(TEXT(H415,"0"),IPRESS!$A$3:$B$212,2,0),"")</f>
        <v/>
      </c>
      <c r="J415" s="334" t="n"/>
      <c r="K415" s="332">
        <f>IFERROR(VLOOKUP(TEXT(O415,"0"),CONDUCTORES!$A$3:$G$54,7,0),"")</f>
        <v/>
      </c>
      <c r="L415" s="334" t="n"/>
      <c r="M415" s="334" t="n"/>
      <c r="N415" s="333">
        <f>IFERROR(IF(L415*M415=0,"",L415*M415),"")</f>
        <v/>
      </c>
      <c r="O415" s="334" t="n"/>
      <c r="P415" s="332">
        <f>IFERROR(VLOOKUP(TEXT(O415,"0"),CONDUCTORES!$A$3:$G$54,2,0),"")</f>
        <v/>
      </c>
      <c r="Q415" s="332">
        <f>IFERROR(VLOOKUP(TEXT(O415,"0"),CONDUCTORES!$A$3:$H$54,6,0),"")</f>
        <v/>
      </c>
      <c r="R415" s="334" t="n"/>
      <c r="S415" s="334" t="n"/>
      <c r="T415" s="334" t="n"/>
      <c r="U415" s="334" t="n"/>
      <c r="V415" s="334" t="n"/>
      <c r="W415" s="334" t="n"/>
      <c r="X415" s="334" t="n"/>
      <c r="Y415" s="334" t="n"/>
    </row>
    <row r="416" ht="15" customHeight="1" s="195">
      <c r="A416" s="280" t="n"/>
      <c r="B416" s="280" t="n"/>
      <c r="C416" s="280" t="n"/>
      <c r="D416" s="280" t="n"/>
      <c r="E416" s="280" t="n"/>
      <c r="F416" s="280" t="n"/>
      <c r="G416" s="280" t="n"/>
      <c r="H416" s="280" t="n"/>
      <c r="I416" s="332">
        <f>IFERROR(VLOOKUP(TEXT(H416,"0"),IPRESS!$A$3:$B$212,2,0),"")</f>
        <v/>
      </c>
      <c r="J416" s="280" t="n"/>
      <c r="K416" s="332">
        <f>IFERROR(VLOOKUP(TEXT(O416,"0"),CONDUCTORES!$A$3:$G$54,7,0),"")</f>
        <v/>
      </c>
      <c r="L416" s="280" t="n"/>
      <c r="M416" s="280" t="n"/>
      <c r="N416" s="333">
        <f>IFERROR(IF(L416*M416=0,"",L416*M416),"")</f>
        <v/>
      </c>
      <c r="O416" s="280" t="n"/>
      <c r="P416" s="332">
        <f>IFERROR(VLOOKUP(TEXT(O416,"0"),CONDUCTORES!$A$3:$G$54,2,0),"")</f>
        <v/>
      </c>
      <c r="Q416" s="332">
        <f>IFERROR(VLOOKUP(TEXT(O416,"0"),CONDUCTORES!$A$3:$H$54,6,0),"")</f>
        <v/>
      </c>
      <c r="R416" s="280" t="n"/>
      <c r="S416" s="280" t="n"/>
      <c r="T416" s="280" t="n"/>
      <c r="U416" s="280" t="n"/>
      <c r="V416" s="280" t="n"/>
      <c r="W416" s="280" t="n"/>
      <c r="X416" s="280" t="n"/>
      <c r="Y416" s="280" t="n"/>
    </row>
    <row r="417" ht="15" customHeight="1" s="195">
      <c r="A417" s="334" t="n"/>
      <c r="B417" s="334" t="n"/>
      <c r="C417" s="334" t="n"/>
      <c r="D417" s="334" t="n"/>
      <c r="E417" s="334" t="n"/>
      <c r="F417" s="334" t="n"/>
      <c r="G417" s="334" t="n"/>
      <c r="H417" s="334" t="n"/>
      <c r="I417" s="332">
        <f>IFERROR(VLOOKUP(TEXT(H417,"0"),IPRESS!$A$3:$B$212,2,0),"")</f>
        <v/>
      </c>
      <c r="J417" s="334" t="n"/>
      <c r="K417" s="332">
        <f>IFERROR(VLOOKUP(TEXT(O417,"0"),CONDUCTORES!$A$3:$G$54,7,0),"")</f>
        <v/>
      </c>
      <c r="L417" s="334" t="n"/>
      <c r="M417" s="334" t="n"/>
      <c r="N417" s="333">
        <f>IFERROR(IF(L417*M417=0,"",L417*M417),"")</f>
        <v/>
      </c>
      <c r="O417" s="334" t="n"/>
      <c r="P417" s="332">
        <f>IFERROR(VLOOKUP(TEXT(O417,"0"),CONDUCTORES!$A$3:$G$54,2,0),"")</f>
        <v/>
      </c>
      <c r="Q417" s="332">
        <f>IFERROR(VLOOKUP(TEXT(O417,"0"),CONDUCTORES!$A$3:$H$54,6,0),"")</f>
        <v/>
      </c>
      <c r="R417" s="334" t="n"/>
      <c r="S417" s="334" t="n"/>
      <c r="T417" s="334" t="n"/>
      <c r="U417" s="334" t="n"/>
      <c r="V417" s="334" t="n"/>
      <c r="W417" s="334" t="n"/>
      <c r="X417" s="334" t="n"/>
      <c r="Y417" s="334" t="n"/>
    </row>
    <row r="418" ht="15" customHeight="1" s="195">
      <c r="A418" s="280" t="n"/>
      <c r="B418" s="280" t="n"/>
      <c r="C418" s="280" t="n"/>
      <c r="D418" s="280" t="n"/>
      <c r="E418" s="280" t="n"/>
      <c r="F418" s="280" t="n"/>
      <c r="G418" s="280" t="n"/>
      <c r="H418" s="280" t="n"/>
      <c r="I418" s="332">
        <f>IFERROR(VLOOKUP(TEXT(H418,"0"),IPRESS!$A$3:$B$212,2,0),"")</f>
        <v/>
      </c>
      <c r="J418" s="280" t="n"/>
      <c r="K418" s="332">
        <f>IFERROR(VLOOKUP(TEXT(O418,"0"),CONDUCTORES!$A$3:$G$54,7,0),"")</f>
        <v/>
      </c>
      <c r="L418" s="280" t="n"/>
      <c r="M418" s="280" t="n"/>
      <c r="N418" s="333">
        <f>IFERROR(IF(L418*M418=0,"",L418*M418),"")</f>
        <v/>
      </c>
      <c r="O418" s="280" t="n"/>
      <c r="P418" s="332">
        <f>IFERROR(VLOOKUP(TEXT(O418,"0"),CONDUCTORES!$A$3:$G$54,2,0),"")</f>
        <v/>
      </c>
      <c r="Q418" s="332">
        <f>IFERROR(VLOOKUP(TEXT(O418,"0"),CONDUCTORES!$A$3:$H$54,6,0),"")</f>
        <v/>
      </c>
      <c r="R418" s="280" t="n"/>
      <c r="S418" s="280" t="n"/>
      <c r="T418" s="280" t="n"/>
      <c r="U418" s="280" t="n"/>
      <c r="V418" s="280" t="n"/>
      <c r="W418" s="280" t="n"/>
      <c r="X418" s="280" t="n"/>
      <c r="Y418" s="280" t="n"/>
    </row>
    <row r="419" ht="15" customHeight="1" s="195">
      <c r="A419" s="334" t="n"/>
      <c r="B419" s="334" t="n"/>
      <c r="C419" s="334" t="n"/>
      <c r="D419" s="334" t="n"/>
      <c r="E419" s="334" t="n"/>
      <c r="F419" s="334" t="n"/>
      <c r="G419" s="334" t="n"/>
      <c r="H419" s="334" t="n"/>
      <c r="I419" s="332">
        <f>IFERROR(VLOOKUP(TEXT(H419,"0"),IPRESS!$A$3:$B$212,2,0),"")</f>
        <v/>
      </c>
      <c r="J419" s="334" t="n"/>
      <c r="K419" s="332">
        <f>IFERROR(VLOOKUP(TEXT(O419,"0"),CONDUCTORES!$A$3:$G$54,7,0),"")</f>
        <v/>
      </c>
      <c r="L419" s="334" t="n"/>
      <c r="M419" s="334" t="n"/>
      <c r="N419" s="333">
        <f>IFERROR(IF(L419*M419=0,"",L419*M419),"")</f>
        <v/>
      </c>
      <c r="O419" s="334" t="n"/>
      <c r="P419" s="332">
        <f>IFERROR(VLOOKUP(TEXT(O419,"0"),CONDUCTORES!$A$3:$G$54,2,0),"")</f>
        <v/>
      </c>
      <c r="Q419" s="332">
        <f>IFERROR(VLOOKUP(TEXT(O419,"0"),CONDUCTORES!$A$3:$H$54,6,0),"")</f>
        <v/>
      </c>
      <c r="R419" s="334" t="n"/>
      <c r="S419" s="334" t="n"/>
      <c r="T419" s="334" t="n"/>
      <c r="U419" s="334" t="n"/>
      <c r="V419" s="334" t="n"/>
      <c r="W419" s="334" t="n"/>
      <c r="X419" s="334" t="n"/>
      <c r="Y419" s="334" t="n"/>
    </row>
    <row r="420" ht="15" customHeight="1" s="195">
      <c r="A420" s="280" t="n"/>
      <c r="B420" s="280" t="n"/>
      <c r="C420" s="280" t="n"/>
      <c r="D420" s="280" t="n"/>
      <c r="E420" s="280" t="n"/>
      <c r="F420" s="280" t="n"/>
      <c r="G420" s="280" t="n"/>
      <c r="H420" s="280" t="n"/>
      <c r="I420" s="332">
        <f>IFERROR(VLOOKUP(TEXT(H420,"0"),IPRESS!$A$3:$B$212,2,0),"")</f>
        <v/>
      </c>
      <c r="J420" s="280" t="n"/>
      <c r="K420" s="332">
        <f>IFERROR(VLOOKUP(TEXT(O420,"0"),CONDUCTORES!$A$3:$G$54,7,0),"")</f>
        <v/>
      </c>
      <c r="L420" s="280" t="n"/>
      <c r="M420" s="280" t="n"/>
      <c r="N420" s="333">
        <f>IFERROR(IF(L420*M420=0,"",L420*M420),"")</f>
        <v/>
      </c>
      <c r="O420" s="280" t="n"/>
      <c r="P420" s="332">
        <f>IFERROR(VLOOKUP(TEXT(O420,"0"),CONDUCTORES!$A$3:$G$54,2,0),"")</f>
        <v/>
      </c>
      <c r="Q420" s="332">
        <f>IFERROR(VLOOKUP(TEXT(O420,"0"),CONDUCTORES!$A$3:$H$54,6,0),"")</f>
        <v/>
      </c>
      <c r="R420" s="280" t="n"/>
      <c r="S420" s="280" t="n"/>
      <c r="T420" s="280" t="n"/>
      <c r="U420" s="280" t="n"/>
      <c r="V420" s="280" t="n"/>
      <c r="W420" s="280" t="n"/>
      <c r="X420" s="280" t="n"/>
      <c r="Y420" s="280" t="n"/>
    </row>
    <row r="421" ht="15" customHeight="1" s="195">
      <c r="A421" s="334" t="n"/>
      <c r="B421" s="334" t="n"/>
      <c r="C421" s="334" t="n"/>
      <c r="D421" s="334" t="n"/>
      <c r="E421" s="334" t="n"/>
      <c r="F421" s="334" t="n"/>
      <c r="G421" s="334" t="n"/>
      <c r="H421" s="334" t="n"/>
      <c r="I421" s="332">
        <f>IFERROR(VLOOKUP(TEXT(H421,"0"),IPRESS!$A$3:$B$212,2,0),"")</f>
        <v/>
      </c>
      <c r="J421" s="334" t="n"/>
      <c r="K421" s="332">
        <f>IFERROR(VLOOKUP(TEXT(O421,"0"),CONDUCTORES!$A$3:$G$54,7,0),"")</f>
        <v/>
      </c>
      <c r="L421" s="334" t="n"/>
      <c r="M421" s="334" t="n"/>
      <c r="N421" s="333">
        <f>IFERROR(IF(L421*M421=0,"",L421*M421),"")</f>
        <v/>
      </c>
      <c r="O421" s="334" t="n"/>
      <c r="P421" s="332">
        <f>IFERROR(VLOOKUP(TEXT(O421,"0"),CONDUCTORES!$A$3:$G$54,2,0),"")</f>
        <v/>
      </c>
      <c r="Q421" s="332">
        <f>IFERROR(VLOOKUP(TEXT(O421,"0"),CONDUCTORES!$A$3:$H$54,6,0),"")</f>
        <v/>
      </c>
      <c r="R421" s="334" t="n"/>
      <c r="S421" s="334" t="n"/>
      <c r="T421" s="334" t="n"/>
      <c r="U421" s="334" t="n"/>
      <c r="V421" s="334" t="n"/>
      <c r="W421" s="334" t="n"/>
      <c r="X421" s="334" t="n"/>
      <c r="Y421" s="334" t="n"/>
    </row>
    <row r="422" ht="15" customHeight="1" s="195">
      <c r="A422" s="280" t="n"/>
      <c r="B422" s="280" t="n"/>
      <c r="C422" s="280" t="n"/>
      <c r="D422" s="280" t="n"/>
      <c r="E422" s="280" t="n"/>
      <c r="F422" s="280" t="n"/>
      <c r="G422" s="280" t="n"/>
      <c r="H422" s="280" t="n"/>
      <c r="I422" s="332">
        <f>IFERROR(VLOOKUP(TEXT(H422,"0"),IPRESS!$A$3:$B$212,2,0),"")</f>
        <v/>
      </c>
      <c r="J422" s="280" t="n"/>
      <c r="K422" s="332">
        <f>IFERROR(VLOOKUP(TEXT(O422,"0"),CONDUCTORES!$A$3:$G$54,7,0),"")</f>
        <v/>
      </c>
      <c r="L422" s="280" t="n"/>
      <c r="M422" s="280" t="n"/>
      <c r="N422" s="333">
        <f>IFERROR(IF(L422*M422=0,"",L422*M422),"")</f>
        <v/>
      </c>
      <c r="O422" s="280" t="n"/>
      <c r="P422" s="332">
        <f>IFERROR(VLOOKUP(TEXT(O422,"0"),CONDUCTORES!$A$3:$G$54,2,0),"")</f>
        <v/>
      </c>
      <c r="Q422" s="332">
        <f>IFERROR(VLOOKUP(TEXT(O422,"0"),CONDUCTORES!$A$3:$H$54,6,0),"")</f>
        <v/>
      </c>
      <c r="R422" s="280" t="n"/>
      <c r="S422" s="280" t="n"/>
      <c r="T422" s="280" t="n"/>
      <c r="U422" s="280" t="n"/>
      <c r="V422" s="280" t="n"/>
      <c r="W422" s="280" t="n"/>
      <c r="X422" s="280" t="n"/>
      <c r="Y422" s="280" t="n"/>
    </row>
    <row r="423" ht="15" customHeight="1" s="195">
      <c r="A423" s="334" t="n"/>
      <c r="B423" s="334" t="n"/>
      <c r="C423" s="334" t="n"/>
      <c r="D423" s="334" t="n"/>
      <c r="E423" s="334" t="n"/>
      <c r="F423" s="334" t="n"/>
      <c r="G423" s="334" t="n"/>
      <c r="H423" s="334" t="n"/>
      <c r="I423" s="332">
        <f>IFERROR(VLOOKUP(TEXT(H423,"0"),IPRESS!$A$3:$B$212,2,0),"")</f>
        <v/>
      </c>
      <c r="J423" s="334" t="n"/>
      <c r="K423" s="332">
        <f>IFERROR(VLOOKUP(TEXT(O423,"0"),CONDUCTORES!$A$3:$G$54,7,0),"")</f>
        <v/>
      </c>
      <c r="L423" s="334" t="n"/>
      <c r="M423" s="334" t="n"/>
      <c r="N423" s="333">
        <f>IFERROR(IF(L423*M423=0,"",L423*M423),"")</f>
        <v/>
      </c>
      <c r="O423" s="334" t="n"/>
      <c r="P423" s="332">
        <f>IFERROR(VLOOKUP(TEXT(O423,"0"),CONDUCTORES!$A$3:$G$54,2,0),"")</f>
        <v/>
      </c>
      <c r="Q423" s="332">
        <f>IFERROR(VLOOKUP(TEXT(O423,"0"),CONDUCTORES!$A$3:$H$54,6,0),"")</f>
        <v/>
      </c>
      <c r="R423" s="334" t="n"/>
      <c r="S423" s="334" t="n"/>
      <c r="T423" s="334" t="n"/>
      <c r="U423" s="334" t="n"/>
      <c r="V423" s="334" t="n"/>
      <c r="W423" s="334" t="n"/>
      <c r="X423" s="334" t="n"/>
      <c r="Y423" s="334" t="n"/>
    </row>
    <row r="424" ht="15" customHeight="1" s="195">
      <c r="A424" s="280" t="n"/>
      <c r="B424" s="280" t="n"/>
      <c r="C424" s="280" t="n"/>
      <c r="D424" s="280" t="n"/>
      <c r="E424" s="280" t="n"/>
      <c r="F424" s="280" t="n"/>
      <c r="G424" s="280" t="n"/>
      <c r="H424" s="280" t="n"/>
      <c r="I424" s="332">
        <f>IFERROR(VLOOKUP(TEXT(H424,"0"),IPRESS!$A$3:$B$212,2,0),"")</f>
        <v/>
      </c>
      <c r="J424" s="280" t="n"/>
      <c r="K424" s="332">
        <f>IFERROR(VLOOKUP(TEXT(O424,"0"),CONDUCTORES!$A$3:$G$54,7,0),"")</f>
        <v/>
      </c>
      <c r="L424" s="280" t="n"/>
      <c r="M424" s="280" t="n"/>
      <c r="N424" s="333">
        <f>IFERROR(IF(L424*M424=0,"",L424*M424),"")</f>
        <v/>
      </c>
      <c r="O424" s="280" t="n"/>
      <c r="P424" s="332">
        <f>IFERROR(VLOOKUP(TEXT(O424,"0"),CONDUCTORES!$A$3:$G$54,2,0),"")</f>
        <v/>
      </c>
      <c r="Q424" s="332">
        <f>IFERROR(VLOOKUP(TEXT(O424,"0"),CONDUCTORES!$A$3:$H$54,6,0),"")</f>
        <v/>
      </c>
      <c r="R424" s="280" t="n"/>
      <c r="S424" s="280" t="n"/>
      <c r="T424" s="280" t="n"/>
      <c r="U424" s="280" t="n"/>
      <c r="V424" s="280" t="n"/>
      <c r="W424" s="280" t="n"/>
      <c r="X424" s="280" t="n"/>
      <c r="Y424" s="280" t="n"/>
    </row>
    <row r="425" ht="15" customHeight="1" s="195">
      <c r="A425" s="334" t="n"/>
      <c r="B425" s="334" t="n"/>
      <c r="C425" s="334" t="n"/>
      <c r="D425" s="334" t="n"/>
      <c r="E425" s="334" t="n"/>
      <c r="F425" s="334" t="n"/>
      <c r="G425" s="334" t="n"/>
      <c r="H425" s="334" t="n"/>
      <c r="I425" s="332">
        <f>IFERROR(VLOOKUP(TEXT(H425,"0"),IPRESS!$A$3:$B$212,2,0),"")</f>
        <v/>
      </c>
      <c r="J425" s="334" t="n"/>
      <c r="K425" s="332">
        <f>IFERROR(VLOOKUP(TEXT(O425,"0"),CONDUCTORES!$A$3:$G$54,7,0),"")</f>
        <v/>
      </c>
      <c r="L425" s="334" t="n"/>
      <c r="M425" s="334" t="n"/>
      <c r="N425" s="333">
        <f>IFERROR(IF(L425*M425=0,"",L425*M425),"")</f>
        <v/>
      </c>
      <c r="O425" s="334" t="n"/>
      <c r="P425" s="332">
        <f>IFERROR(VLOOKUP(TEXT(O425,"0"),CONDUCTORES!$A$3:$G$54,2,0),"")</f>
        <v/>
      </c>
      <c r="Q425" s="332">
        <f>IFERROR(VLOOKUP(TEXT(O425,"0"),CONDUCTORES!$A$3:$H$54,6,0),"")</f>
        <v/>
      </c>
      <c r="R425" s="334" t="n"/>
      <c r="S425" s="334" t="n"/>
      <c r="T425" s="334" t="n"/>
      <c r="U425" s="334" t="n"/>
      <c r="V425" s="334" t="n"/>
      <c r="W425" s="334" t="n"/>
      <c r="X425" s="334" t="n"/>
      <c r="Y425" s="334" t="n"/>
    </row>
    <row r="426" ht="15" customHeight="1" s="195">
      <c r="A426" s="280" t="n"/>
      <c r="B426" s="280" t="n"/>
      <c r="C426" s="280" t="n"/>
      <c r="D426" s="280" t="n"/>
      <c r="E426" s="280" t="n"/>
      <c r="F426" s="280" t="n"/>
      <c r="G426" s="280" t="n"/>
      <c r="H426" s="280" t="n"/>
      <c r="I426" s="332">
        <f>IFERROR(VLOOKUP(TEXT(H426,"0"),IPRESS!$A$3:$B$212,2,0),"")</f>
        <v/>
      </c>
      <c r="J426" s="280" t="n"/>
      <c r="K426" s="332">
        <f>IFERROR(VLOOKUP(TEXT(O426,"0"),CONDUCTORES!$A$3:$G$54,7,0),"")</f>
        <v/>
      </c>
      <c r="L426" s="280" t="n"/>
      <c r="M426" s="280" t="n"/>
      <c r="N426" s="333">
        <f>IFERROR(IF(L426*M426=0,"",L426*M426),"")</f>
        <v/>
      </c>
      <c r="O426" s="280" t="n"/>
      <c r="P426" s="332">
        <f>IFERROR(VLOOKUP(TEXT(O426,"0"),CONDUCTORES!$A$3:$G$54,2,0),"")</f>
        <v/>
      </c>
      <c r="Q426" s="332">
        <f>IFERROR(VLOOKUP(TEXT(O426,"0"),CONDUCTORES!$A$3:$H$54,6,0),"")</f>
        <v/>
      </c>
      <c r="R426" s="280" t="n"/>
      <c r="S426" s="280" t="n"/>
      <c r="T426" s="280" t="n"/>
      <c r="U426" s="280" t="n"/>
      <c r="V426" s="280" t="n"/>
      <c r="W426" s="280" t="n"/>
      <c r="X426" s="280" t="n"/>
      <c r="Y426" s="280" t="n"/>
    </row>
    <row r="427" ht="15" customHeight="1" s="195">
      <c r="A427" s="334" t="n"/>
      <c r="B427" s="334" t="n"/>
      <c r="C427" s="334" t="n"/>
      <c r="D427" s="334" t="n"/>
      <c r="E427" s="334" t="n"/>
      <c r="F427" s="334" t="n"/>
      <c r="G427" s="334" t="n"/>
      <c r="H427" s="334" t="n"/>
      <c r="I427" s="332">
        <f>IFERROR(VLOOKUP(TEXT(H427,"0"),IPRESS!$A$3:$B$212,2,0),"")</f>
        <v/>
      </c>
      <c r="J427" s="334" t="n"/>
      <c r="K427" s="332">
        <f>IFERROR(VLOOKUP(TEXT(O427,"0"),CONDUCTORES!$A$3:$G$54,7,0),"")</f>
        <v/>
      </c>
      <c r="L427" s="334" t="n"/>
      <c r="M427" s="334" t="n"/>
      <c r="N427" s="333">
        <f>IFERROR(IF(L427*M427=0,"",L427*M427),"")</f>
        <v/>
      </c>
      <c r="O427" s="334" t="n"/>
      <c r="P427" s="332">
        <f>IFERROR(VLOOKUP(TEXT(O427,"0"),CONDUCTORES!$A$3:$G$54,2,0),"")</f>
        <v/>
      </c>
      <c r="Q427" s="332">
        <f>IFERROR(VLOOKUP(TEXT(O427,"0"),CONDUCTORES!$A$3:$H$54,6,0),"")</f>
        <v/>
      </c>
      <c r="R427" s="334" t="n"/>
      <c r="S427" s="334" t="n"/>
      <c r="T427" s="334" t="n"/>
      <c r="U427" s="334" t="n"/>
      <c r="V427" s="334" t="n"/>
      <c r="W427" s="334" t="n"/>
      <c r="X427" s="334" t="n"/>
      <c r="Y427" s="334" t="n"/>
    </row>
    <row r="428" ht="15" customHeight="1" s="195">
      <c r="A428" s="280" t="n"/>
      <c r="B428" s="280" t="n"/>
      <c r="C428" s="280" t="n"/>
      <c r="D428" s="280" t="n"/>
      <c r="E428" s="280" t="n"/>
      <c r="F428" s="280" t="n"/>
      <c r="G428" s="280" t="n"/>
      <c r="H428" s="280" t="n"/>
      <c r="I428" s="332">
        <f>IFERROR(VLOOKUP(TEXT(H428,"0"),IPRESS!$A$3:$B$212,2,0),"")</f>
        <v/>
      </c>
      <c r="J428" s="280" t="n"/>
      <c r="K428" s="332">
        <f>IFERROR(VLOOKUP(TEXT(O428,"0"),CONDUCTORES!$A$3:$G$54,7,0),"")</f>
        <v/>
      </c>
      <c r="L428" s="280" t="n"/>
      <c r="M428" s="280" t="n"/>
      <c r="N428" s="333">
        <f>IFERROR(IF(L428*M428=0,"",L428*M428),"")</f>
        <v/>
      </c>
      <c r="O428" s="280" t="n"/>
      <c r="P428" s="332">
        <f>IFERROR(VLOOKUP(TEXT(O428,"0"),CONDUCTORES!$A$3:$G$54,2,0),"")</f>
        <v/>
      </c>
      <c r="Q428" s="332">
        <f>IFERROR(VLOOKUP(TEXT(O428,"0"),CONDUCTORES!$A$3:$H$54,6,0),"")</f>
        <v/>
      </c>
      <c r="R428" s="280" t="n"/>
      <c r="S428" s="280" t="n"/>
      <c r="T428" s="280" t="n"/>
      <c r="U428" s="280" t="n"/>
      <c r="V428" s="280" t="n"/>
      <c r="W428" s="280" t="n"/>
      <c r="X428" s="280" t="n"/>
      <c r="Y428" s="280" t="n"/>
    </row>
    <row r="429" ht="15" customHeight="1" s="195">
      <c r="A429" s="334" t="n"/>
      <c r="B429" s="334" t="n"/>
      <c r="C429" s="334" t="n"/>
      <c r="D429" s="334" t="n"/>
      <c r="E429" s="334" t="n"/>
      <c r="F429" s="334" t="n"/>
      <c r="G429" s="334" t="n"/>
      <c r="H429" s="334" t="n"/>
      <c r="I429" s="332">
        <f>IFERROR(VLOOKUP(TEXT(H429,"0"),IPRESS!$A$3:$B$212,2,0),"")</f>
        <v/>
      </c>
      <c r="J429" s="334" t="n"/>
      <c r="K429" s="332">
        <f>IFERROR(VLOOKUP(TEXT(O429,"0"),CONDUCTORES!$A$3:$G$54,7,0),"")</f>
        <v/>
      </c>
      <c r="L429" s="334" t="n"/>
      <c r="M429" s="334" t="n"/>
      <c r="N429" s="333">
        <f>IFERROR(IF(L429*M429=0,"",L429*M429),"")</f>
        <v/>
      </c>
      <c r="O429" s="334" t="n"/>
      <c r="P429" s="332">
        <f>IFERROR(VLOOKUP(TEXT(O429,"0"),CONDUCTORES!$A$3:$G$54,2,0),"")</f>
        <v/>
      </c>
      <c r="Q429" s="332">
        <f>IFERROR(VLOOKUP(TEXT(O429,"0"),CONDUCTORES!$A$3:$H$54,6,0),"")</f>
        <v/>
      </c>
      <c r="R429" s="334" t="n"/>
      <c r="S429" s="334" t="n"/>
      <c r="T429" s="334" t="n"/>
      <c r="U429" s="334" t="n"/>
      <c r="V429" s="334" t="n"/>
      <c r="W429" s="334" t="n"/>
      <c r="X429" s="334" t="n"/>
      <c r="Y429" s="334" t="n"/>
    </row>
    <row r="430" ht="15" customHeight="1" s="195">
      <c r="A430" s="280" t="n"/>
      <c r="B430" s="280" t="n"/>
      <c r="C430" s="280" t="n"/>
      <c r="D430" s="280" t="n"/>
      <c r="E430" s="280" t="n"/>
      <c r="F430" s="280" t="n"/>
      <c r="G430" s="280" t="n"/>
      <c r="H430" s="280" t="n"/>
      <c r="I430" s="332">
        <f>IFERROR(VLOOKUP(TEXT(H430,"0"),IPRESS!$A$3:$B$212,2,0),"")</f>
        <v/>
      </c>
      <c r="J430" s="280" t="n"/>
      <c r="K430" s="332">
        <f>IFERROR(VLOOKUP(TEXT(O430,"0"),CONDUCTORES!$A$3:$G$54,7,0),"")</f>
        <v/>
      </c>
      <c r="L430" s="280" t="n"/>
      <c r="M430" s="280" t="n"/>
      <c r="N430" s="333">
        <f>IFERROR(IF(L430*M430=0,"",L430*M430),"")</f>
        <v/>
      </c>
      <c r="O430" s="280" t="n"/>
      <c r="P430" s="332">
        <f>IFERROR(VLOOKUP(TEXT(O430,"0"),CONDUCTORES!$A$3:$G$54,2,0),"")</f>
        <v/>
      </c>
      <c r="Q430" s="332">
        <f>IFERROR(VLOOKUP(TEXT(O430,"0"),CONDUCTORES!$A$3:$H$54,6,0),"")</f>
        <v/>
      </c>
      <c r="R430" s="280" t="n"/>
      <c r="S430" s="280" t="n"/>
      <c r="T430" s="280" t="n"/>
      <c r="U430" s="280" t="n"/>
      <c r="V430" s="280" t="n"/>
      <c r="W430" s="280" t="n"/>
      <c r="X430" s="280" t="n"/>
      <c r="Y430" s="280" t="n"/>
    </row>
    <row r="431" ht="15" customHeight="1" s="195">
      <c r="A431" s="334" t="n"/>
      <c r="B431" s="334" t="n"/>
      <c r="C431" s="334" t="n"/>
      <c r="D431" s="334" t="n"/>
      <c r="E431" s="334" t="n"/>
      <c r="F431" s="334" t="n"/>
      <c r="G431" s="334" t="n"/>
      <c r="H431" s="334" t="n"/>
      <c r="I431" s="332">
        <f>IFERROR(VLOOKUP(TEXT(H431,"0"),IPRESS!$A$3:$B$212,2,0),"")</f>
        <v/>
      </c>
      <c r="J431" s="334" t="n"/>
      <c r="K431" s="332">
        <f>IFERROR(VLOOKUP(TEXT(O431,"0"),CONDUCTORES!$A$3:$G$54,7,0),"")</f>
        <v/>
      </c>
      <c r="L431" s="334" t="n"/>
      <c r="M431" s="334" t="n"/>
      <c r="N431" s="333">
        <f>IFERROR(IF(L431*M431=0,"",L431*M431),"")</f>
        <v/>
      </c>
      <c r="O431" s="334" t="n"/>
      <c r="P431" s="332">
        <f>IFERROR(VLOOKUP(TEXT(O431,"0"),CONDUCTORES!$A$3:$G$54,2,0),"")</f>
        <v/>
      </c>
      <c r="Q431" s="332">
        <f>IFERROR(VLOOKUP(TEXT(O431,"0"),CONDUCTORES!$A$3:$H$54,6,0),"")</f>
        <v/>
      </c>
      <c r="R431" s="334" t="n"/>
      <c r="S431" s="334" t="n"/>
      <c r="T431" s="334" t="n"/>
      <c r="U431" s="334" t="n"/>
      <c r="V431" s="334" t="n"/>
      <c r="W431" s="334" t="n"/>
      <c r="X431" s="334" t="n"/>
      <c r="Y431" s="334" t="n"/>
    </row>
    <row r="432" ht="15" customHeight="1" s="195">
      <c r="A432" s="280" t="n"/>
      <c r="B432" s="280" t="n"/>
      <c r="C432" s="280" t="n"/>
      <c r="D432" s="280" t="n"/>
      <c r="E432" s="280" t="n"/>
      <c r="F432" s="280" t="n"/>
      <c r="G432" s="280" t="n"/>
      <c r="H432" s="280" t="n"/>
      <c r="I432" s="332">
        <f>IFERROR(VLOOKUP(TEXT(H432,"0"),IPRESS!$A$3:$B$212,2,0),"")</f>
        <v/>
      </c>
      <c r="J432" s="280" t="n"/>
      <c r="K432" s="332">
        <f>IFERROR(VLOOKUP(TEXT(O432,"0"),CONDUCTORES!$A$3:$G$54,7,0),"")</f>
        <v/>
      </c>
      <c r="L432" s="280" t="n"/>
      <c r="M432" s="280" t="n"/>
      <c r="N432" s="333">
        <f>IFERROR(IF(L432*M432=0,"",L432*M432),"")</f>
        <v/>
      </c>
      <c r="O432" s="280" t="n"/>
      <c r="P432" s="332">
        <f>IFERROR(VLOOKUP(TEXT(O432,"0"),CONDUCTORES!$A$3:$G$54,2,0),"")</f>
        <v/>
      </c>
      <c r="Q432" s="332">
        <f>IFERROR(VLOOKUP(TEXT(O432,"0"),CONDUCTORES!$A$3:$H$54,6,0),"")</f>
        <v/>
      </c>
      <c r="R432" s="280" t="n"/>
      <c r="S432" s="280" t="n"/>
      <c r="T432" s="280" t="n"/>
      <c r="U432" s="280" t="n"/>
      <c r="V432" s="280" t="n"/>
      <c r="W432" s="280" t="n"/>
      <c r="X432" s="280" t="n"/>
      <c r="Y432" s="280" t="n"/>
    </row>
    <row r="433" ht="15" customHeight="1" s="195">
      <c r="A433" s="334" t="n"/>
      <c r="B433" s="334" t="n"/>
      <c r="C433" s="334" t="n"/>
      <c r="D433" s="334" t="n"/>
      <c r="E433" s="334" t="n"/>
      <c r="F433" s="334" t="n"/>
      <c r="G433" s="334" t="n"/>
      <c r="H433" s="334" t="n"/>
      <c r="I433" s="332">
        <f>IFERROR(VLOOKUP(TEXT(H433,"0"),IPRESS!$A$3:$B$212,2,0),"")</f>
        <v/>
      </c>
      <c r="J433" s="334" t="n"/>
      <c r="K433" s="332">
        <f>IFERROR(VLOOKUP(TEXT(O433,"0"),CONDUCTORES!$A$3:$G$54,7,0),"")</f>
        <v/>
      </c>
      <c r="L433" s="334" t="n"/>
      <c r="M433" s="334" t="n"/>
      <c r="N433" s="333">
        <f>IFERROR(IF(L433*M433=0,"",L433*M433),"")</f>
        <v/>
      </c>
      <c r="O433" s="334" t="n"/>
      <c r="P433" s="332">
        <f>IFERROR(VLOOKUP(TEXT(O433,"0"),CONDUCTORES!$A$3:$G$54,2,0),"")</f>
        <v/>
      </c>
      <c r="Q433" s="332">
        <f>IFERROR(VLOOKUP(TEXT(O433,"0"),CONDUCTORES!$A$3:$H$54,6,0),"")</f>
        <v/>
      </c>
      <c r="R433" s="334" t="n"/>
      <c r="S433" s="334" t="n"/>
      <c r="T433" s="334" t="n"/>
      <c r="U433" s="334" t="n"/>
      <c r="V433" s="334" t="n"/>
      <c r="W433" s="334" t="n"/>
      <c r="X433" s="334" t="n"/>
      <c r="Y433" s="334" t="n"/>
    </row>
    <row r="434" ht="15" customHeight="1" s="195">
      <c r="A434" s="280" t="n"/>
      <c r="B434" s="280" t="n"/>
      <c r="C434" s="280" t="n"/>
      <c r="D434" s="280" t="n"/>
      <c r="E434" s="280" t="n"/>
      <c r="F434" s="280" t="n"/>
      <c r="G434" s="280" t="n"/>
      <c r="H434" s="280" t="n"/>
      <c r="I434" s="332">
        <f>IFERROR(VLOOKUP(TEXT(H434,"0"),IPRESS!$A$3:$B$212,2,0),"")</f>
        <v/>
      </c>
      <c r="J434" s="280" t="n"/>
      <c r="K434" s="332">
        <f>IFERROR(VLOOKUP(TEXT(O434,"0"),CONDUCTORES!$A$3:$G$54,7,0),"")</f>
        <v/>
      </c>
      <c r="L434" s="280" t="n"/>
      <c r="M434" s="280" t="n"/>
      <c r="N434" s="333">
        <f>IFERROR(IF(L434*M434=0,"",L434*M434),"")</f>
        <v/>
      </c>
      <c r="O434" s="280" t="n"/>
      <c r="P434" s="332">
        <f>IFERROR(VLOOKUP(TEXT(O434,"0"),CONDUCTORES!$A$3:$G$54,2,0),"")</f>
        <v/>
      </c>
      <c r="Q434" s="332">
        <f>IFERROR(VLOOKUP(TEXT(O434,"0"),CONDUCTORES!$A$3:$H$54,6,0),"")</f>
        <v/>
      </c>
      <c r="R434" s="280" t="n"/>
      <c r="S434" s="280" t="n"/>
      <c r="T434" s="280" t="n"/>
      <c r="U434" s="280" t="n"/>
      <c r="V434" s="280" t="n"/>
      <c r="W434" s="280" t="n"/>
      <c r="X434" s="280" t="n"/>
      <c r="Y434" s="280" t="n"/>
    </row>
    <row r="435" ht="15" customHeight="1" s="195">
      <c r="A435" s="334" t="n"/>
      <c r="B435" s="334" t="n"/>
      <c r="C435" s="334" t="n"/>
      <c r="D435" s="334" t="n"/>
      <c r="E435" s="334" t="n"/>
      <c r="F435" s="334" t="n"/>
      <c r="G435" s="334" t="n"/>
      <c r="H435" s="334" t="n"/>
      <c r="I435" s="332">
        <f>IFERROR(VLOOKUP(TEXT(H435,"0"),IPRESS!$A$3:$B$212,2,0),"")</f>
        <v/>
      </c>
      <c r="J435" s="334" t="n"/>
      <c r="K435" s="332">
        <f>IFERROR(VLOOKUP(TEXT(O435,"0"),CONDUCTORES!$A$3:$G$54,7,0),"")</f>
        <v/>
      </c>
      <c r="L435" s="334" t="n"/>
      <c r="M435" s="334" t="n"/>
      <c r="N435" s="333">
        <f>IFERROR(IF(L435*M435=0,"",L435*M435),"")</f>
        <v/>
      </c>
      <c r="O435" s="334" t="n"/>
      <c r="P435" s="332">
        <f>IFERROR(VLOOKUP(TEXT(O435,"0"),CONDUCTORES!$A$3:$G$54,2,0),"")</f>
        <v/>
      </c>
      <c r="Q435" s="332">
        <f>IFERROR(VLOOKUP(TEXT(O435,"0"),CONDUCTORES!$A$3:$H$54,6,0),"")</f>
        <v/>
      </c>
      <c r="R435" s="334" t="n"/>
      <c r="S435" s="334" t="n"/>
      <c r="T435" s="334" t="n"/>
      <c r="U435" s="334" t="n"/>
      <c r="V435" s="334" t="n"/>
      <c r="W435" s="334" t="n"/>
      <c r="X435" s="334" t="n"/>
      <c r="Y435" s="334" t="n"/>
    </row>
    <row r="436" ht="15" customHeight="1" s="195">
      <c r="A436" s="280" t="n"/>
      <c r="B436" s="280" t="n"/>
      <c r="C436" s="280" t="n"/>
      <c r="D436" s="280" t="n"/>
      <c r="E436" s="280" t="n"/>
      <c r="F436" s="280" t="n"/>
      <c r="G436" s="280" t="n"/>
      <c r="H436" s="280" t="n"/>
      <c r="I436" s="332">
        <f>IFERROR(VLOOKUP(TEXT(H436,"0"),IPRESS!$A$3:$B$212,2,0),"")</f>
        <v/>
      </c>
      <c r="J436" s="280" t="n"/>
      <c r="K436" s="332">
        <f>IFERROR(VLOOKUP(TEXT(O436,"0"),CONDUCTORES!$A$3:$G$54,7,0),"")</f>
        <v/>
      </c>
      <c r="L436" s="280" t="n"/>
      <c r="M436" s="280" t="n"/>
      <c r="N436" s="333">
        <f>IFERROR(IF(L436*M436=0,"",L436*M436),"")</f>
        <v/>
      </c>
      <c r="O436" s="280" t="n"/>
      <c r="P436" s="332">
        <f>IFERROR(VLOOKUP(TEXT(O436,"0"),CONDUCTORES!$A$3:$G$54,2,0),"")</f>
        <v/>
      </c>
      <c r="Q436" s="332">
        <f>IFERROR(VLOOKUP(TEXT(O436,"0"),CONDUCTORES!$A$3:$H$54,6,0),"")</f>
        <v/>
      </c>
      <c r="R436" s="280" t="n"/>
      <c r="S436" s="280" t="n"/>
      <c r="T436" s="280" t="n"/>
      <c r="U436" s="280" t="n"/>
      <c r="V436" s="280" t="n"/>
      <c r="W436" s="280" t="n"/>
      <c r="X436" s="280" t="n"/>
      <c r="Y436" s="280" t="n"/>
    </row>
    <row r="437" ht="15" customHeight="1" s="195">
      <c r="A437" s="334" t="n"/>
      <c r="B437" s="334" t="n"/>
      <c r="C437" s="334" t="n"/>
      <c r="D437" s="334" t="n"/>
      <c r="E437" s="334" t="n"/>
      <c r="F437" s="334" t="n"/>
      <c r="G437" s="334" t="n"/>
      <c r="H437" s="334" t="n"/>
      <c r="I437" s="332">
        <f>IFERROR(VLOOKUP(TEXT(H437,"0"),IPRESS!$A$3:$B$212,2,0),"")</f>
        <v/>
      </c>
      <c r="J437" s="334" t="n"/>
      <c r="K437" s="332">
        <f>IFERROR(VLOOKUP(TEXT(O437,"0"),CONDUCTORES!$A$3:$G$54,7,0),"")</f>
        <v/>
      </c>
      <c r="L437" s="334" t="n"/>
      <c r="M437" s="334" t="n"/>
      <c r="N437" s="333">
        <f>IFERROR(IF(L437*M437=0,"",L437*M437),"")</f>
        <v/>
      </c>
      <c r="O437" s="334" t="n"/>
      <c r="P437" s="332">
        <f>IFERROR(VLOOKUP(TEXT(O437,"0"),CONDUCTORES!$A$3:$G$54,2,0),"")</f>
        <v/>
      </c>
      <c r="Q437" s="332">
        <f>IFERROR(VLOOKUP(TEXT(O437,"0"),CONDUCTORES!$A$3:$H$54,6,0),"")</f>
        <v/>
      </c>
      <c r="R437" s="334" t="n"/>
      <c r="S437" s="334" t="n"/>
      <c r="T437" s="334" t="n"/>
      <c r="U437" s="334" t="n"/>
      <c r="V437" s="334" t="n"/>
      <c r="W437" s="334" t="n"/>
      <c r="X437" s="334" t="n"/>
      <c r="Y437" s="334" t="n"/>
    </row>
    <row r="438" ht="15" customHeight="1" s="195">
      <c r="A438" s="280" t="n"/>
      <c r="B438" s="280" t="n"/>
      <c r="C438" s="280" t="n"/>
      <c r="D438" s="280" t="n"/>
      <c r="E438" s="280" t="n"/>
      <c r="F438" s="280" t="n"/>
      <c r="G438" s="280" t="n"/>
      <c r="H438" s="280" t="n"/>
      <c r="I438" s="332">
        <f>IFERROR(VLOOKUP(TEXT(H438,"0"),IPRESS!$A$3:$B$212,2,0),"")</f>
        <v/>
      </c>
      <c r="J438" s="280" t="n"/>
      <c r="K438" s="332">
        <f>IFERROR(VLOOKUP(TEXT(O438,"0"),CONDUCTORES!$A$3:$G$54,7,0),"")</f>
        <v/>
      </c>
      <c r="L438" s="280" t="n"/>
      <c r="M438" s="280" t="n"/>
      <c r="N438" s="333">
        <f>IFERROR(IF(L438*M438=0,"",L438*M438),"")</f>
        <v/>
      </c>
      <c r="O438" s="280" t="n"/>
      <c r="P438" s="332">
        <f>IFERROR(VLOOKUP(TEXT(O438,"0"),CONDUCTORES!$A$3:$G$54,2,0),"")</f>
        <v/>
      </c>
      <c r="Q438" s="332">
        <f>IFERROR(VLOOKUP(TEXT(O438,"0"),CONDUCTORES!$A$3:$H$54,6,0),"")</f>
        <v/>
      </c>
      <c r="R438" s="280" t="n"/>
      <c r="S438" s="280" t="n"/>
      <c r="T438" s="280" t="n"/>
      <c r="U438" s="280" t="n"/>
      <c r="V438" s="280" t="n"/>
      <c r="W438" s="280" t="n"/>
      <c r="X438" s="280" t="n"/>
      <c r="Y438" s="280" t="n"/>
    </row>
    <row r="439" ht="15" customHeight="1" s="195">
      <c r="A439" s="334" t="n"/>
      <c r="B439" s="334" t="n"/>
      <c r="C439" s="334" t="n"/>
      <c r="D439" s="334" t="n"/>
      <c r="E439" s="334" t="n"/>
      <c r="F439" s="334" t="n"/>
      <c r="G439" s="334" t="n"/>
      <c r="H439" s="334" t="n"/>
      <c r="I439" s="332">
        <f>IFERROR(VLOOKUP(TEXT(H439,"0"),IPRESS!$A$3:$B$212,2,0),"")</f>
        <v/>
      </c>
      <c r="J439" s="334" t="n"/>
      <c r="K439" s="332">
        <f>IFERROR(VLOOKUP(TEXT(O439,"0"),CONDUCTORES!$A$3:$G$54,7,0),"")</f>
        <v/>
      </c>
      <c r="L439" s="334" t="n"/>
      <c r="M439" s="334" t="n"/>
      <c r="N439" s="333">
        <f>IFERROR(IF(L439*M439=0,"",L439*M439),"")</f>
        <v/>
      </c>
      <c r="O439" s="334" t="n"/>
      <c r="P439" s="332">
        <f>IFERROR(VLOOKUP(TEXT(O439,"0"),CONDUCTORES!$A$3:$G$54,2,0),"")</f>
        <v/>
      </c>
      <c r="Q439" s="332">
        <f>IFERROR(VLOOKUP(TEXT(O439,"0"),CONDUCTORES!$A$3:$H$54,6,0),"")</f>
        <v/>
      </c>
      <c r="R439" s="334" t="n"/>
      <c r="S439" s="334" t="n"/>
      <c r="T439" s="334" t="n"/>
      <c r="U439" s="334" t="n"/>
      <c r="V439" s="334" t="n"/>
      <c r="W439" s="334" t="n"/>
      <c r="X439" s="334" t="n"/>
      <c r="Y439" s="334" t="n"/>
    </row>
    <row r="440" ht="15" customHeight="1" s="195">
      <c r="A440" s="280" t="n"/>
      <c r="B440" s="280" t="n"/>
      <c r="C440" s="280" t="n"/>
      <c r="D440" s="280" t="n"/>
      <c r="E440" s="280" t="n"/>
      <c r="F440" s="280" t="n"/>
      <c r="G440" s="280" t="n"/>
      <c r="H440" s="280" t="n"/>
      <c r="I440" s="332">
        <f>IFERROR(VLOOKUP(TEXT(H440,"0"),IPRESS!$A$3:$B$212,2,0),"")</f>
        <v/>
      </c>
      <c r="J440" s="280" t="n"/>
      <c r="K440" s="332">
        <f>IFERROR(VLOOKUP(TEXT(O440,"0"),CONDUCTORES!$A$3:$G$54,7,0),"")</f>
        <v/>
      </c>
      <c r="L440" s="280" t="n"/>
      <c r="M440" s="280" t="n"/>
      <c r="N440" s="333">
        <f>IFERROR(IF(L440*M440=0,"",L440*M440),"")</f>
        <v/>
      </c>
      <c r="O440" s="280" t="n"/>
      <c r="P440" s="332">
        <f>IFERROR(VLOOKUP(TEXT(O440,"0"),CONDUCTORES!$A$3:$G$54,2,0),"")</f>
        <v/>
      </c>
      <c r="Q440" s="332">
        <f>IFERROR(VLOOKUP(TEXT(O440,"0"),CONDUCTORES!$A$3:$H$54,6,0),"")</f>
        <v/>
      </c>
      <c r="R440" s="280" t="n"/>
      <c r="S440" s="280" t="n"/>
      <c r="T440" s="280" t="n"/>
      <c r="U440" s="280" t="n"/>
      <c r="V440" s="280" t="n"/>
      <c r="W440" s="280" t="n"/>
      <c r="X440" s="280" t="n"/>
      <c r="Y440" s="280" t="n"/>
    </row>
    <row r="441" ht="15" customHeight="1" s="195">
      <c r="A441" s="334" t="n"/>
      <c r="B441" s="334" t="n"/>
      <c r="C441" s="334" t="n"/>
      <c r="D441" s="334" t="n"/>
      <c r="E441" s="334" t="n"/>
      <c r="F441" s="334" t="n"/>
      <c r="G441" s="334" t="n"/>
      <c r="H441" s="334" t="n"/>
      <c r="I441" s="332">
        <f>IFERROR(VLOOKUP(TEXT(H441,"0"),IPRESS!$A$3:$B$212,2,0),"")</f>
        <v/>
      </c>
      <c r="J441" s="334" t="n"/>
      <c r="K441" s="332">
        <f>IFERROR(VLOOKUP(TEXT(O441,"0"),CONDUCTORES!$A$3:$G$54,7,0),"")</f>
        <v/>
      </c>
      <c r="L441" s="334" t="n"/>
      <c r="M441" s="334" t="n"/>
      <c r="N441" s="333">
        <f>IFERROR(IF(L441*M441=0,"",L441*M441),"")</f>
        <v/>
      </c>
      <c r="O441" s="334" t="n"/>
      <c r="P441" s="332">
        <f>IFERROR(VLOOKUP(TEXT(O441,"0"),CONDUCTORES!$A$3:$G$54,2,0),"")</f>
        <v/>
      </c>
      <c r="Q441" s="332">
        <f>IFERROR(VLOOKUP(TEXT(O441,"0"),CONDUCTORES!$A$3:$H$54,6,0),"")</f>
        <v/>
      </c>
      <c r="R441" s="334" t="n"/>
      <c r="S441" s="334" t="n"/>
      <c r="T441" s="334" t="n"/>
      <c r="U441" s="334" t="n"/>
      <c r="V441" s="334" t="n"/>
      <c r="W441" s="334" t="n"/>
      <c r="X441" s="334" t="n"/>
      <c r="Y441" s="334" t="n"/>
    </row>
    <row r="442" ht="15" customHeight="1" s="195">
      <c r="A442" s="280" t="n"/>
      <c r="B442" s="280" t="n"/>
      <c r="C442" s="280" t="n"/>
      <c r="D442" s="280" t="n"/>
      <c r="E442" s="280" t="n"/>
      <c r="F442" s="280" t="n"/>
      <c r="G442" s="280" t="n"/>
      <c r="H442" s="280" t="n"/>
      <c r="I442" s="332">
        <f>IFERROR(VLOOKUP(TEXT(H442,"0"),IPRESS!$A$3:$B$212,2,0),"")</f>
        <v/>
      </c>
      <c r="J442" s="280" t="n"/>
      <c r="K442" s="332">
        <f>IFERROR(VLOOKUP(TEXT(O442,"0"),CONDUCTORES!$A$3:$G$54,7,0),"")</f>
        <v/>
      </c>
      <c r="L442" s="280" t="n"/>
      <c r="M442" s="280" t="n"/>
      <c r="N442" s="333">
        <f>IFERROR(IF(L442*M442=0,"",L442*M442),"")</f>
        <v/>
      </c>
      <c r="O442" s="280" t="n"/>
      <c r="P442" s="332">
        <f>IFERROR(VLOOKUP(TEXT(O442,"0"),CONDUCTORES!$A$3:$G$54,2,0),"")</f>
        <v/>
      </c>
      <c r="Q442" s="332">
        <f>IFERROR(VLOOKUP(TEXT(O442,"0"),CONDUCTORES!$A$3:$H$54,6,0),"")</f>
        <v/>
      </c>
      <c r="R442" s="280" t="n"/>
      <c r="S442" s="280" t="n"/>
      <c r="T442" s="280" t="n"/>
      <c r="U442" s="280" t="n"/>
      <c r="V442" s="280" t="n"/>
      <c r="W442" s="280" t="n"/>
      <c r="X442" s="280" t="n"/>
      <c r="Y442" s="280" t="n"/>
    </row>
    <row r="443" ht="15" customHeight="1" s="195">
      <c r="A443" s="334" t="n"/>
      <c r="B443" s="334" t="n"/>
      <c r="C443" s="334" t="n"/>
      <c r="D443" s="334" t="n"/>
      <c r="E443" s="334" t="n"/>
      <c r="F443" s="334" t="n"/>
      <c r="G443" s="334" t="n"/>
      <c r="H443" s="334" t="n"/>
      <c r="I443" s="332">
        <f>IFERROR(VLOOKUP(TEXT(H443,"0"),IPRESS!$A$3:$B$212,2,0),"")</f>
        <v/>
      </c>
      <c r="J443" s="334" t="n"/>
      <c r="K443" s="332">
        <f>IFERROR(VLOOKUP(TEXT(O443,"0"),CONDUCTORES!$A$3:$G$54,7,0),"")</f>
        <v/>
      </c>
      <c r="L443" s="334" t="n"/>
      <c r="M443" s="334" t="n"/>
      <c r="N443" s="333">
        <f>IFERROR(IF(L443*M443=0,"",L443*M443),"")</f>
        <v/>
      </c>
      <c r="O443" s="334" t="n"/>
      <c r="P443" s="332">
        <f>IFERROR(VLOOKUP(TEXT(O443,"0"),CONDUCTORES!$A$3:$G$54,2,0),"")</f>
        <v/>
      </c>
      <c r="Q443" s="332">
        <f>IFERROR(VLOOKUP(TEXT(O443,"0"),CONDUCTORES!$A$3:$H$54,6,0),"")</f>
        <v/>
      </c>
      <c r="R443" s="334" t="n"/>
      <c r="S443" s="334" t="n"/>
      <c r="T443" s="334" t="n"/>
      <c r="U443" s="334" t="n"/>
      <c r="V443" s="334" t="n"/>
      <c r="W443" s="334" t="n"/>
      <c r="X443" s="334" t="n"/>
      <c r="Y443" s="334" t="n"/>
    </row>
    <row r="444" ht="15" customHeight="1" s="195">
      <c r="A444" s="280" t="n"/>
      <c r="B444" s="280" t="n"/>
      <c r="C444" s="280" t="n"/>
      <c r="D444" s="280" t="n"/>
      <c r="E444" s="280" t="n"/>
      <c r="F444" s="280" t="n"/>
      <c r="G444" s="280" t="n"/>
      <c r="H444" s="280" t="n"/>
      <c r="I444" s="332">
        <f>IFERROR(VLOOKUP(TEXT(H444,"0"),IPRESS!$A$3:$B$212,2,0),"")</f>
        <v/>
      </c>
      <c r="J444" s="280" t="n"/>
      <c r="K444" s="332">
        <f>IFERROR(VLOOKUP(TEXT(O444,"0"),CONDUCTORES!$A$3:$G$54,7,0),"")</f>
        <v/>
      </c>
      <c r="L444" s="280" t="n"/>
      <c r="M444" s="280" t="n"/>
      <c r="N444" s="333">
        <f>IFERROR(IF(L444*M444=0,"",L444*M444),"")</f>
        <v/>
      </c>
      <c r="O444" s="280" t="n"/>
      <c r="P444" s="332">
        <f>IFERROR(VLOOKUP(TEXT(O444,"0"),CONDUCTORES!$A$3:$G$54,2,0),"")</f>
        <v/>
      </c>
      <c r="Q444" s="332">
        <f>IFERROR(VLOOKUP(TEXT(O444,"0"),CONDUCTORES!$A$3:$H$54,6,0),"")</f>
        <v/>
      </c>
      <c r="R444" s="280" t="n"/>
      <c r="S444" s="280" t="n"/>
      <c r="T444" s="280" t="n"/>
      <c r="U444" s="280" t="n"/>
      <c r="V444" s="280" t="n"/>
      <c r="W444" s="280" t="n"/>
      <c r="X444" s="280" t="n"/>
      <c r="Y444" s="280" t="n"/>
    </row>
    <row r="445" ht="15" customHeight="1" s="195">
      <c r="A445" s="334" t="n"/>
      <c r="B445" s="334" t="n"/>
      <c r="C445" s="334" t="n"/>
      <c r="D445" s="334" t="n"/>
      <c r="E445" s="334" t="n"/>
      <c r="F445" s="334" t="n"/>
      <c r="G445" s="334" t="n"/>
      <c r="H445" s="334" t="n"/>
      <c r="I445" s="332">
        <f>IFERROR(VLOOKUP(TEXT(H445,"0"),IPRESS!$A$3:$B$212,2,0),"")</f>
        <v/>
      </c>
      <c r="J445" s="334" t="n"/>
      <c r="K445" s="332">
        <f>IFERROR(VLOOKUP(TEXT(O445,"0"),CONDUCTORES!$A$3:$G$54,7,0),"")</f>
        <v/>
      </c>
      <c r="L445" s="334" t="n"/>
      <c r="M445" s="334" t="n"/>
      <c r="N445" s="333">
        <f>IFERROR(IF(L445*M445=0,"",L445*M445),"")</f>
        <v/>
      </c>
      <c r="O445" s="334" t="n"/>
      <c r="P445" s="332">
        <f>IFERROR(VLOOKUP(TEXT(O445,"0"),CONDUCTORES!$A$3:$G$54,2,0),"")</f>
        <v/>
      </c>
      <c r="Q445" s="332">
        <f>IFERROR(VLOOKUP(TEXT(O445,"0"),CONDUCTORES!$A$3:$H$54,6,0),"")</f>
        <v/>
      </c>
      <c r="R445" s="334" t="n"/>
      <c r="S445" s="334" t="n"/>
      <c r="T445" s="334" t="n"/>
      <c r="U445" s="334" t="n"/>
      <c r="V445" s="334" t="n"/>
      <c r="W445" s="334" t="n"/>
      <c r="X445" s="334" t="n"/>
      <c r="Y445" s="334" t="n"/>
    </row>
    <row r="446" ht="15" customHeight="1" s="195">
      <c r="A446" s="280" t="n"/>
      <c r="B446" s="280" t="n"/>
      <c r="C446" s="280" t="n"/>
      <c r="D446" s="280" t="n"/>
      <c r="E446" s="280" t="n"/>
      <c r="F446" s="280" t="n"/>
      <c r="G446" s="280" t="n"/>
      <c r="H446" s="280" t="n"/>
      <c r="I446" s="332">
        <f>IFERROR(VLOOKUP(TEXT(H446,"0"),IPRESS!$A$3:$B$212,2,0),"")</f>
        <v/>
      </c>
      <c r="J446" s="280" t="n"/>
      <c r="K446" s="332">
        <f>IFERROR(VLOOKUP(TEXT(O446,"0"),CONDUCTORES!$A$3:$G$54,7,0),"")</f>
        <v/>
      </c>
      <c r="L446" s="280" t="n"/>
      <c r="M446" s="280" t="n"/>
      <c r="N446" s="333">
        <f>IFERROR(IF(L446*M446=0,"",L446*M446),"")</f>
        <v/>
      </c>
      <c r="O446" s="280" t="n"/>
      <c r="P446" s="332">
        <f>IFERROR(VLOOKUP(TEXT(O446,"0"),CONDUCTORES!$A$3:$G$54,2,0),"")</f>
        <v/>
      </c>
      <c r="Q446" s="332">
        <f>IFERROR(VLOOKUP(TEXT(O446,"0"),CONDUCTORES!$A$3:$H$54,6,0),"")</f>
        <v/>
      </c>
      <c r="R446" s="280" t="n"/>
      <c r="S446" s="280" t="n"/>
      <c r="T446" s="280" t="n"/>
      <c r="U446" s="280" t="n"/>
      <c r="V446" s="280" t="n"/>
      <c r="W446" s="280" t="n"/>
      <c r="X446" s="280" t="n"/>
      <c r="Y446" s="280" t="n"/>
    </row>
    <row r="447" ht="15" customHeight="1" s="195">
      <c r="A447" s="334" t="n"/>
      <c r="B447" s="334" t="n"/>
      <c r="C447" s="334" t="n"/>
      <c r="D447" s="334" t="n"/>
      <c r="E447" s="334" t="n"/>
      <c r="F447" s="334" t="n"/>
      <c r="G447" s="334" t="n"/>
      <c r="H447" s="334" t="n"/>
      <c r="I447" s="332">
        <f>IFERROR(VLOOKUP(TEXT(H447,"0"),IPRESS!$A$3:$B$212,2,0),"")</f>
        <v/>
      </c>
      <c r="J447" s="334" t="n"/>
      <c r="K447" s="332">
        <f>IFERROR(VLOOKUP(TEXT(O447,"0"),CONDUCTORES!$A$3:$G$54,7,0),"")</f>
        <v/>
      </c>
      <c r="L447" s="334" t="n"/>
      <c r="M447" s="334" t="n"/>
      <c r="N447" s="333">
        <f>IFERROR(IF(L447*M447=0,"",L447*M447),"")</f>
        <v/>
      </c>
      <c r="O447" s="334" t="n"/>
      <c r="P447" s="332">
        <f>IFERROR(VLOOKUP(TEXT(O447,"0"),CONDUCTORES!$A$3:$G$54,2,0),"")</f>
        <v/>
      </c>
      <c r="Q447" s="332">
        <f>IFERROR(VLOOKUP(TEXT(O447,"0"),CONDUCTORES!$A$3:$H$54,6,0),"")</f>
        <v/>
      </c>
      <c r="R447" s="334" t="n"/>
      <c r="S447" s="334" t="n"/>
      <c r="T447" s="334" t="n"/>
      <c r="U447" s="334" t="n"/>
      <c r="V447" s="334" t="n"/>
      <c r="W447" s="334" t="n"/>
      <c r="X447" s="334" t="n"/>
      <c r="Y447" s="334" t="n"/>
    </row>
    <row r="448" ht="15" customHeight="1" s="195">
      <c r="A448" s="280" t="n"/>
      <c r="B448" s="280" t="n"/>
      <c r="C448" s="280" t="n"/>
      <c r="D448" s="280" t="n"/>
      <c r="E448" s="280" t="n"/>
      <c r="F448" s="280" t="n"/>
      <c r="G448" s="280" t="n"/>
      <c r="H448" s="280" t="n"/>
      <c r="I448" s="332">
        <f>IFERROR(VLOOKUP(TEXT(H448,"0"),IPRESS!$A$3:$B$212,2,0),"")</f>
        <v/>
      </c>
      <c r="J448" s="280" t="n"/>
      <c r="K448" s="332">
        <f>IFERROR(VLOOKUP(TEXT(O448,"0"),CONDUCTORES!$A$3:$G$54,7,0),"")</f>
        <v/>
      </c>
      <c r="L448" s="280" t="n"/>
      <c r="M448" s="280" t="n"/>
      <c r="N448" s="333">
        <f>IFERROR(IF(L448*M448=0,"",L448*M448),"")</f>
        <v/>
      </c>
      <c r="O448" s="280" t="n"/>
      <c r="P448" s="332">
        <f>IFERROR(VLOOKUP(TEXT(O448,"0"),CONDUCTORES!$A$3:$G$54,2,0),"")</f>
        <v/>
      </c>
      <c r="Q448" s="332">
        <f>IFERROR(VLOOKUP(TEXT(O448,"0"),CONDUCTORES!$A$3:$H$54,6,0),"")</f>
        <v/>
      </c>
      <c r="R448" s="280" t="n"/>
      <c r="S448" s="280" t="n"/>
      <c r="T448" s="280" t="n"/>
      <c r="U448" s="280" t="n"/>
      <c r="V448" s="280" t="n"/>
      <c r="W448" s="280" t="n"/>
      <c r="X448" s="280" t="n"/>
      <c r="Y448" s="280" t="n"/>
    </row>
    <row r="449" ht="15" customHeight="1" s="195">
      <c r="A449" s="334" t="n"/>
      <c r="B449" s="334" t="n"/>
      <c r="C449" s="334" t="n"/>
      <c r="D449" s="334" t="n"/>
      <c r="E449" s="334" t="n"/>
      <c r="F449" s="334" t="n"/>
      <c r="G449" s="334" t="n"/>
      <c r="H449" s="334" t="n"/>
      <c r="I449" s="332">
        <f>IFERROR(VLOOKUP(TEXT(H449,"0"),IPRESS!$A$3:$B$212,2,0),"")</f>
        <v/>
      </c>
      <c r="J449" s="334" t="n"/>
      <c r="K449" s="332">
        <f>IFERROR(VLOOKUP(TEXT(O449,"0"),CONDUCTORES!$A$3:$G$54,7,0),"")</f>
        <v/>
      </c>
      <c r="L449" s="334" t="n"/>
      <c r="M449" s="334" t="n"/>
      <c r="N449" s="333">
        <f>IFERROR(IF(L449*M449=0,"",L449*M449),"")</f>
        <v/>
      </c>
      <c r="O449" s="334" t="n"/>
      <c r="P449" s="332">
        <f>IFERROR(VLOOKUP(TEXT(O449,"0"),CONDUCTORES!$A$3:$G$54,2,0),"")</f>
        <v/>
      </c>
      <c r="Q449" s="332">
        <f>IFERROR(VLOOKUP(TEXT(O449,"0"),CONDUCTORES!$A$3:$H$54,6,0),"")</f>
        <v/>
      </c>
      <c r="R449" s="334" t="n"/>
      <c r="S449" s="334" t="n"/>
      <c r="T449" s="334" t="n"/>
      <c r="U449" s="334" t="n"/>
      <c r="V449" s="334" t="n"/>
      <c r="W449" s="334" t="n"/>
      <c r="X449" s="334" t="n"/>
      <c r="Y449" s="334" t="n"/>
    </row>
    <row r="450" ht="15" customHeight="1" s="195">
      <c r="A450" s="280" t="n"/>
      <c r="B450" s="280" t="n"/>
      <c r="C450" s="280" t="n"/>
      <c r="D450" s="280" t="n"/>
      <c r="E450" s="280" t="n"/>
      <c r="F450" s="280" t="n"/>
      <c r="G450" s="280" t="n"/>
      <c r="H450" s="280" t="n"/>
      <c r="I450" s="332">
        <f>IFERROR(VLOOKUP(TEXT(H450,"0"),IPRESS!$A$3:$B$212,2,0),"")</f>
        <v/>
      </c>
      <c r="J450" s="280" t="n"/>
      <c r="K450" s="332">
        <f>IFERROR(VLOOKUP(TEXT(O450,"0"),CONDUCTORES!$A$3:$G$54,7,0),"")</f>
        <v/>
      </c>
      <c r="L450" s="280" t="n"/>
      <c r="M450" s="280" t="n"/>
      <c r="N450" s="333">
        <f>IFERROR(IF(L450*M450=0,"",L450*M450),"")</f>
        <v/>
      </c>
      <c r="O450" s="280" t="n"/>
      <c r="P450" s="332">
        <f>IFERROR(VLOOKUP(TEXT(O450,"0"),CONDUCTORES!$A$3:$G$54,2,0),"")</f>
        <v/>
      </c>
      <c r="Q450" s="332">
        <f>IFERROR(VLOOKUP(TEXT(O450,"0"),CONDUCTORES!$A$3:$H$54,6,0),"")</f>
        <v/>
      </c>
      <c r="R450" s="280" t="n"/>
      <c r="S450" s="280" t="n"/>
      <c r="T450" s="280" t="n"/>
      <c r="U450" s="280" t="n"/>
      <c r="V450" s="280" t="n"/>
      <c r="W450" s="280" t="n"/>
      <c r="X450" s="280" t="n"/>
      <c r="Y450" s="280" t="n"/>
    </row>
    <row r="451" ht="15" customHeight="1" s="195">
      <c r="A451" s="334" t="n"/>
      <c r="B451" s="334" t="n"/>
      <c r="C451" s="334" t="n"/>
      <c r="D451" s="334" t="n"/>
      <c r="E451" s="334" t="n"/>
      <c r="F451" s="334" t="n"/>
      <c r="G451" s="334" t="n"/>
      <c r="H451" s="334" t="n"/>
      <c r="I451" s="332">
        <f>IFERROR(VLOOKUP(TEXT(H451,"0"),IPRESS!$A$3:$B$212,2,0),"")</f>
        <v/>
      </c>
      <c r="J451" s="334" t="n"/>
      <c r="K451" s="332">
        <f>IFERROR(VLOOKUP(TEXT(O451,"0"),CONDUCTORES!$A$3:$G$54,7,0),"")</f>
        <v/>
      </c>
      <c r="L451" s="334" t="n"/>
      <c r="M451" s="334" t="n"/>
      <c r="N451" s="333">
        <f>IFERROR(IF(L451*M451=0,"",L451*M451),"")</f>
        <v/>
      </c>
      <c r="O451" s="334" t="n"/>
      <c r="P451" s="332">
        <f>IFERROR(VLOOKUP(TEXT(O451,"0"),CONDUCTORES!$A$3:$G$54,2,0),"")</f>
        <v/>
      </c>
      <c r="Q451" s="332">
        <f>IFERROR(VLOOKUP(TEXT(O451,"0"),CONDUCTORES!$A$3:$H$54,6,0),"")</f>
        <v/>
      </c>
      <c r="R451" s="334" t="n"/>
      <c r="S451" s="334" t="n"/>
      <c r="T451" s="334" t="n"/>
      <c r="U451" s="334" t="n"/>
      <c r="V451" s="334" t="n"/>
      <c r="W451" s="334" t="n"/>
      <c r="X451" s="334" t="n"/>
      <c r="Y451" s="334" t="n"/>
    </row>
    <row r="452" ht="15" customHeight="1" s="195">
      <c r="A452" s="280" t="n"/>
      <c r="B452" s="280" t="n"/>
      <c r="C452" s="280" t="n"/>
      <c r="D452" s="280" t="n"/>
      <c r="E452" s="280" t="n"/>
      <c r="F452" s="280" t="n"/>
      <c r="G452" s="280" t="n"/>
      <c r="H452" s="280" t="n"/>
      <c r="I452" s="332">
        <f>IFERROR(VLOOKUP(TEXT(H452,"0"),IPRESS!$A$3:$B$212,2,0),"")</f>
        <v/>
      </c>
      <c r="J452" s="280" t="n"/>
      <c r="K452" s="332">
        <f>IFERROR(VLOOKUP(TEXT(O452,"0"),CONDUCTORES!$A$3:$G$54,7,0),"")</f>
        <v/>
      </c>
      <c r="L452" s="280" t="n"/>
      <c r="M452" s="280" t="n"/>
      <c r="N452" s="333">
        <f>IFERROR(IF(L452*M452=0,"",L452*M452),"")</f>
        <v/>
      </c>
      <c r="O452" s="280" t="n"/>
      <c r="P452" s="332">
        <f>IFERROR(VLOOKUP(TEXT(O452,"0"),CONDUCTORES!$A$3:$G$54,2,0),"")</f>
        <v/>
      </c>
      <c r="Q452" s="332">
        <f>IFERROR(VLOOKUP(TEXT(O452,"0"),CONDUCTORES!$A$3:$H$54,6,0),"")</f>
        <v/>
      </c>
      <c r="R452" s="280" t="n"/>
      <c r="S452" s="280" t="n"/>
      <c r="T452" s="280" t="n"/>
      <c r="U452" s="280" t="n"/>
      <c r="V452" s="280" t="n"/>
      <c r="W452" s="280" t="n"/>
      <c r="X452" s="280" t="n"/>
      <c r="Y452" s="280" t="n"/>
    </row>
    <row r="453" ht="15" customHeight="1" s="195">
      <c r="A453" s="334" t="n"/>
      <c r="B453" s="334" t="n"/>
      <c r="C453" s="334" t="n"/>
      <c r="D453" s="334" t="n"/>
      <c r="E453" s="334" t="n"/>
      <c r="F453" s="334" t="n"/>
      <c r="G453" s="334" t="n"/>
      <c r="H453" s="334" t="n"/>
      <c r="I453" s="332">
        <f>IFERROR(VLOOKUP(TEXT(H453,"0"),IPRESS!$A$3:$B$212,2,0),"")</f>
        <v/>
      </c>
      <c r="J453" s="334" t="n"/>
      <c r="K453" s="332">
        <f>IFERROR(VLOOKUP(TEXT(O453,"0"),CONDUCTORES!$A$3:$G$54,7,0),"")</f>
        <v/>
      </c>
      <c r="L453" s="334" t="n"/>
      <c r="M453" s="334" t="n"/>
      <c r="N453" s="333">
        <f>IFERROR(IF(L453*M453=0,"",L453*M453),"")</f>
        <v/>
      </c>
      <c r="O453" s="334" t="n"/>
      <c r="P453" s="332">
        <f>IFERROR(VLOOKUP(TEXT(O453,"0"),CONDUCTORES!$A$3:$G$54,2,0),"")</f>
        <v/>
      </c>
      <c r="Q453" s="332">
        <f>IFERROR(VLOOKUP(TEXT(O453,"0"),CONDUCTORES!$A$3:$H$54,6,0),"")</f>
        <v/>
      </c>
      <c r="R453" s="334" t="n"/>
      <c r="S453" s="334" t="n"/>
      <c r="T453" s="334" t="n"/>
      <c r="U453" s="334" t="n"/>
      <c r="V453" s="334" t="n"/>
      <c r="W453" s="334" t="n"/>
      <c r="X453" s="334" t="n"/>
      <c r="Y453" s="334" t="n"/>
    </row>
    <row r="454" ht="15" customHeight="1" s="195">
      <c r="A454" s="280" t="n"/>
      <c r="B454" s="280" t="n"/>
      <c r="C454" s="280" t="n"/>
      <c r="D454" s="280" t="n"/>
      <c r="E454" s="280" t="n"/>
      <c r="F454" s="280" t="n"/>
      <c r="G454" s="280" t="n"/>
      <c r="H454" s="280" t="n"/>
      <c r="I454" s="332">
        <f>IFERROR(VLOOKUP(TEXT(H454,"0"),IPRESS!$A$3:$B$212,2,0),"")</f>
        <v/>
      </c>
      <c r="J454" s="280" t="n"/>
      <c r="K454" s="332">
        <f>IFERROR(VLOOKUP(TEXT(O454,"0"),CONDUCTORES!$A$3:$G$54,7,0),"")</f>
        <v/>
      </c>
      <c r="L454" s="280" t="n"/>
      <c r="M454" s="280" t="n"/>
      <c r="N454" s="333">
        <f>IFERROR(IF(L454*M454=0,"",L454*M454),"")</f>
        <v/>
      </c>
      <c r="O454" s="280" t="n"/>
      <c r="P454" s="332">
        <f>IFERROR(VLOOKUP(TEXT(O454,"0"),CONDUCTORES!$A$3:$G$54,2,0),"")</f>
        <v/>
      </c>
      <c r="Q454" s="332">
        <f>IFERROR(VLOOKUP(TEXT(O454,"0"),CONDUCTORES!$A$3:$H$54,6,0),"")</f>
        <v/>
      </c>
      <c r="R454" s="280" t="n"/>
      <c r="S454" s="280" t="n"/>
      <c r="T454" s="280" t="n"/>
      <c r="U454" s="280" t="n"/>
      <c r="V454" s="280" t="n"/>
      <c r="W454" s="280" t="n"/>
      <c r="X454" s="280" t="n"/>
      <c r="Y454" s="280" t="n"/>
    </row>
    <row r="455" ht="15" customHeight="1" s="195">
      <c r="A455" s="334" t="n"/>
      <c r="B455" s="334" t="n"/>
      <c r="C455" s="334" t="n"/>
      <c r="D455" s="334" t="n"/>
      <c r="E455" s="334" t="n"/>
      <c r="F455" s="334" t="n"/>
      <c r="G455" s="334" t="n"/>
      <c r="H455" s="334" t="n"/>
      <c r="I455" s="332">
        <f>IFERROR(VLOOKUP(TEXT(H455,"0"),IPRESS!$A$3:$B$212,2,0),"")</f>
        <v/>
      </c>
      <c r="J455" s="334" t="n"/>
      <c r="K455" s="332">
        <f>IFERROR(VLOOKUP(TEXT(O455,"0"),CONDUCTORES!$A$3:$G$54,7,0),"")</f>
        <v/>
      </c>
      <c r="L455" s="334" t="n"/>
      <c r="M455" s="334" t="n"/>
      <c r="N455" s="333">
        <f>IFERROR(IF(L455*M455=0,"",L455*M455),"")</f>
        <v/>
      </c>
      <c r="O455" s="334" t="n"/>
      <c r="P455" s="332">
        <f>IFERROR(VLOOKUP(TEXT(O455,"0"),CONDUCTORES!$A$3:$G$54,2,0),"")</f>
        <v/>
      </c>
      <c r="Q455" s="332">
        <f>IFERROR(VLOOKUP(TEXT(O455,"0"),CONDUCTORES!$A$3:$H$54,6,0),"")</f>
        <v/>
      </c>
      <c r="R455" s="334" t="n"/>
      <c r="S455" s="334" t="n"/>
      <c r="T455" s="334" t="n"/>
      <c r="U455" s="334" t="n"/>
      <c r="V455" s="334" t="n"/>
      <c r="W455" s="334" t="n"/>
      <c r="X455" s="334" t="n"/>
      <c r="Y455" s="334" t="n"/>
    </row>
    <row r="456" ht="15" customHeight="1" s="195">
      <c r="A456" s="280" t="n"/>
      <c r="B456" s="280" t="n"/>
      <c r="C456" s="280" t="n"/>
      <c r="D456" s="280" t="n"/>
      <c r="E456" s="280" t="n"/>
      <c r="F456" s="280" t="n"/>
      <c r="G456" s="280" t="n"/>
      <c r="H456" s="280" t="n"/>
      <c r="I456" s="332">
        <f>IFERROR(VLOOKUP(TEXT(H456,"0"),IPRESS!$A$3:$B$212,2,0),"")</f>
        <v/>
      </c>
      <c r="J456" s="280" t="n"/>
      <c r="K456" s="332">
        <f>IFERROR(VLOOKUP(TEXT(O456,"0"),CONDUCTORES!$A$3:$G$54,7,0),"")</f>
        <v/>
      </c>
      <c r="L456" s="280" t="n"/>
      <c r="M456" s="280" t="n"/>
      <c r="N456" s="333">
        <f>IFERROR(IF(L456*M456=0,"",L456*M456),"")</f>
        <v/>
      </c>
      <c r="O456" s="280" t="n"/>
      <c r="P456" s="332">
        <f>IFERROR(VLOOKUP(TEXT(O456,"0"),CONDUCTORES!$A$3:$G$54,2,0),"")</f>
        <v/>
      </c>
      <c r="Q456" s="332">
        <f>IFERROR(VLOOKUP(TEXT(O456,"0"),CONDUCTORES!$A$3:$H$54,6,0),"")</f>
        <v/>
      </c>
      <c r="R456" s="280" t="n"/>
      <c r="S456" s="280" t="n"/>
      <c r="T456" s="280" t="n"/>
      <c r="U456" s="280" t="n"/>
      <c r="V456" s="280" t="n"/>
      <c r="W456" s="280" t="n"/>
      <c r="X456" s="280" t="n"/>
      <c r="Y456" s="280" t="n"/>
    </row>
    <row r="457" ht="15" customHeight="1" s="195">
      <c r="A457" s="334" t="n"/>
      <c r="B457" s="334" t="n"/>
      <c r="C457" s="334" t="n"/>
      <c r="D457" s="334" t="n"/>
      <c r="E457" s="334" t="n"/>
      <c r="F457" s="334" t="n"/>
      <c r="G457" s="334" t="n"/>
      <c r="H457" s="334" t="n"/>
      <c r="I457" s="332">
        <f>IFERROR(VLOOKUP(TEXT(H457,"0"),IPRESS!$A$3:$B$212,2,0),"")</f>
        <v/>
      </c>
      <c r="J457" s="334" t="n"/>
      <c r="K457" s="332">
        <f>IFERROR(VLOOKUP(TEXT(O457,"0"),CONDUCTORES!$A$3:$G$54,7,0),"")</f>
        <v/>
      </c>
      <c r="L457" s="334" t="n"/>
      <c r="M457" s="334" t="n"/>
      <c r="N457" s="333">
        <f>IFERROR(IF(L457*M457=0,"",L457*M457),"")</f>
        <v/>
      </c>
      <c r="O457" s="334" t="n"/>
      <c r="P457" s="332">
        <f>IFERROR(VLOOKUP(TEXT(O457,"0"),CONDUCTORES!$A$3:$G$54,2,0),"")</f>
        <v/>
      </c>
      <c r="Q457" s="332">
        <f>IFERROR(VLOOKUP(TEXT(O457,"0"),CONDUCTORES!$A$3:$H$54,6,0),"")</f>
        <v/>
      </c>
      <c r="R457" s="334" t="n"/>
      <c r="S457" s="334" t="n"/>
      <c r="T457" s="334" t="n"/>
      <c r="U457" s="334" t="n"/>
      <c r="V457" s="334" t="n"/>
      <c r="W457" s="334" t="n"/>
      <c r="X457" s="334" t="n"/>
      <c r="Y457" s="334" t="n"/>
    </row>
    <row r="458" ht="15" customHeight="1" s="195">
      <c r="A458" s="280" t="n"/>
      <c r="B458" s="280" t="n"/>
      <c r="C458" s="280" t="n"/>
      <c r="D458" s="280" t="n"/>
      <c r="E458" s="280" t="n"/>
      <c r="F458" s="280" t="n"/>
      <c r="G458" s="280" t="n"/>
      <c r="H458" s="280" t="n"/>
      <c r="I458" s="332">
        <f>IFERROR(VLOOKUP(TEXT(H458,"0"),IPRESS!$A$3:$B$212,2,0),"")</f>
        <v/>
      </c>
      <c r="J458" s="280" t="n"/>
      <c r="K458" s="332">
        <f>IFERROR(VLOOKUP(TEXT(O458,"0"),CONDUCTORES!$A$3:$G$54,7,0),"")</f>
        <v/>
      </c>
      <c r="L458" s="280" t="n"/>
      <c r="M458" s="280" t="n"/>
      <c r="N458" s="333">
        <f>IFERROR(IF(L458*M458=0,"",L458*M458),"")</f>
        <v/>
      </c>
      <c r="O458" s="280" t="n"/>
      <c r="P458" s="332">
        <f>IFERROR(VLOOKUP(TEXT(O458,"0"),CONDUCTORES!$A$3:$G$54,2,0),"")</f>
        <v/>
      </c>
      <c r="Q458" s="332">
        <f>IFERROR(VLOOKUP(TEXT(O458,"0"),CONDUCTORES!$A$3:$H$54,6,0),"")</f>
        <v/>
      </c>
      <c r="R458" s="280" t="n"/>
      <c r="S458" s="280" t="n"/>
      <c r="T458" s="280" t="n"/>
      <c r="U458" s="280" t="n"/>
      <c r="V458" s="280" t="n"/>
      <c r="W458" s="280" t="n"/>
      <c r="X458" s="280" t="n"/>
      <c r="Y458" s="280" t="n"/>
    </row>
    <row r="459" ht="15" customHeight="1" s="195">
      <c r="A459" s="334" t="n"/>
      <c r="B459" s="334" t="n"/>
      <c r="C459" s="334" t="n"/>
      <c r="D459" s="334" t="n"/>
      <c r="E459" s="334" t="n"/>
      <c r="F459" s="334" t="n"/>
      <c r="G459" s="334" t="n"/>
      <c r="H459" s="334" t="n"/>
      <c r="I459" s="332">
        <f>IFERROR(VLOOKUP(TEXT(H459,"0"),IPRESS!$A$3:$B$212,2,0),"")</f>
        <v/>
      </c>
      <c r="J459" s="334" t="n"/>
      <c r="K459" s="332">
        <f>IFERROR(VLOOKUP(TEXT(O459,"0"),CONDUCTORES!$A$3:$G$54,7,0),"")</f>
        <v/>
      </c>
      <c r="L459" s="334" t="n"/>
      <c r="M459" s="334" t="n"/>
      <c r="N459" s="333">
        <f>IFERROR(IF(L459*M459=0,"",L459*M459),"")</f>
        <v/>
      </c>
      <c r="O459" s="334" t="n"/>
      <c r="P459" s="332">
        <f>IFERROR(VLOOKUP(TEXT(O459,"0"),CONDUCTORES!$A$3:$G$54,2,0),"")</f>
        <v/>
      </c>
      <c r="Q459" s="332">
        <f>IFERROR(VLOOKUP(TEXT(O459,"0"),CONDUCTORES!$A$3:$H$54,6,0),"")</f>
        <v/>
      </c>
      <c r="R459" s="334" t="n"/>
      <c r="S459" s="334" t="n"/>
      <c r="T459" s="334" t="n"/>
      <c r="U459" s="334" t="n"/>
      <c r="V459" s="334" t="n"/>
      <c r="W459" s="334" t="n"/>
      <c r="X459" s="334" t="n"/>
      <c r="Y459" s="334" t="n"/>
    </row>
    <row r="460" ht="15" customHeight="1" s="195">
      <c r="A460" s="280" t="n"/>
      <c r="B460" s="280" t="n"/>
      <c r="C460" s="280" t="n"/>
      <c r="D460" s="280" t="n"/>
      <c r="E460" s="280" t="n"/>
      <c r="F460" s="280" t="n"/>
      <c r="G460" s="280" t="n"/>
      <c r="H460" s="280" t="n"/>
      <c r="I460" s="332">
        <f>IFERROR(VLOOKUP(TEXT(H460,"0"),IPRESS!$A$3:$B$212,2,0),"")</f>
        <v/>
      </c>
      <c r="J460" s="280" t="n"/>
      <c r="K460" s="332">
        <f>IFERROR(VLOOKUP(TEXT(O460,"0"),CONDUCTORES!$A$3:$G$54,7,0),"")</f>
        <v/>
      </c>
      <c r="L460" s="280" t="n"/>
      <c r="M460" s="280" t="n"/>
      <c r="N460" s="333">
        <f>IFERROR(IF(L460*M460=0,"",L460*M460),"")</f>
        <v/>
      </c>
      <c r="O460" s="280" t="n"/>
      <c r="P460" s="332">
        <f>IFERROR(VLOOKUP(TEXT(O460,"0"),CONDUCTORES!$A$3:$G$54,2,0),"")</f>
        <v/>
      </c>
      <c r="Q460" s="332">
        <f>IFERROR(VLOOKUP(TEXT(O460,"0"),CONDUCTORES!$A$3:$H$54,6,0),"")</f>
        <v/>
      </c>
      <c r="R460" s="280" t="n"/>
      <c r="S460" s="280" t="n"/>
      <c r="T460" s="280" t="n"/>
      <c r="U460" s="280" t="n"/>
      <c r="V460" s="280" t="n"/>
      <c r="W460" s="280" t="n"/>
      <c r="X460" s="280" t="n"/>
      <c r="Y460" s="280" t="n"/>
    </row>
    <row r="461" ht="15" customHeight="1" s="195">
      <c r="A461" s="334" t="n"/>
      <c r="B461" s="334" t="n"/>
      <c r="C461" s="334" t="n"/>
      <c r="D461" s="334" t="n"/>
      <c r="E461" s="334" t="n"/>
      <c r="F461" s="334" t="n"/>
      <c r="G461" s="334" t="n"/>
      <c r="H461" s="334" t="n"/>
      <c r="I461" s="332">
        <f>IFERROR(VLOOKUP(TEXT(H461,"0"),IPRESS!$A$3:$B$212,2,0),"")</f>
        <v/>
      </c>
      <c r="J461" s="334" t="n"/>
      <c r="K461" s="332">
        <f>IFERROR(VLOOKUP(TEXT(O461,"0"),CONDUCTORES!$A$3:$G$54,7,0),"")</f>
        <v/>
      </c>
      <c r="L461" s="334" t="n"/>
      <c r="M461" s="334" t="n"/>
      <c r="N461" s="333">
        <f>IFERROR(IF(L461*M461=0,"",L461*M461),"")</f>
        <v/>
      </c>
      <c r="O461" s="334" t="n"/>
      <c r="P461" s="332">
        <f>IFERROR(VLOOKUP(TEXT(O461,"0"),CONDUCTORES!$A$3:$G$54,2,0),"")</f>
        <v/>
      </c>
      <c r="Q461" s="332">
        <f>IFERROR(VLOOKUP(TEXT(O461,"0"),CONDUCTORES!$A$3:$H$54,6,0),"")</f>
        <v/>
      </c>
      <c r="R461" s="334" t="n"/>
      <c r="S461" s="334" t="n"/>
      <c r="T461" s="334" t="n"/>
      <c r="U461" s="334" t="n"/>
      <c r="V461" s="334" t="n"/>
      <c r="W461" s="334" t="n"/>
      <c r="X461" s="334" t="n"/>
      <c r="Y461" s="334" t="n"/>
    </row>
    <row r="462" ht="15" customHeight="1" s="195">
      <c r="A462" s="280" t="n"/>
      <c r="B462" s="280" t="n"/>
      <c r="C462" s="280" t="n"/>
      <c r="D462" s="280" t="n"/>
      <c r="E462" s="280" t="n"/>
      <c r="F462" s="280" t="n"/>
      <c r="G462" s="280" t="n"/>
      <c r="H462" s="280" t="n"/>
      <c r="I462" s="332">
        <f>IFERROR(VLOOKUP(TEXT(H462,"0"),IPRESS!$A$3:$B$212,2,0),"")</f>
        <v/>
      </c>
      <c r="J462" s="280" t="n"/>
      <c r="K462" s="332">
        <f>IFERROR(VLOOKUP(TEXT(O462,"0"),CONDUCTORES!$A$3:$G$54,7,0),"")</f>
        <v/>
      </c>
      <c r="L462" s="280" t="n"/>
      <c r="M462" s="280" t="n"/>
      <c r="N462" s="333">
        <f>IFERROR(IF(L462*M462=0,"",L462*M462),"")</f>
        <v/>
      </c>
      <c r="O462" s="280" t="n"/>
      <c r="P462" s="332">
        <f>IFERROR(VLOOKUP(TEXT(O462,"0"),CONDUCTORES!$A$3:$G$54,2,0),"")</f>
        <v/>
      </c>
      <c r="Q462" s="332">
        <f>IFERROR(VLOOKUP(TEXT(O462,"0"),CONDUCTORES!$A$3:$H$54,6,0),"")</f>
        <v/>
      </c>
      <c r="R462" s="280" t="n"/>
      <c r="S462" s="280" t="n"/>
      <c r="T462" s="280" t="n"/>
      <c r="U462" s="280" t="n"/>
      <c r="V462" s="280" t="n"/>
      <c r="W462" s="280" t="n"/>
      <c r="X462" s="280" t="n"/>
      <c r="Y462" s="280" t="n"/>
    </row>
    <row r="463" ht="15" customHeight="1" s="195">
      <c r="A463" s="334" t="n"/>
      <c r="B463" s="334" t="n"/>
      <c r="C463" s="334" t="n"/>
      <c r="D463" s="334" t="n"/>
      <c r="E463" s="334" t="n"/>
      <c r="F463" s="334" t="n"/>
      <c r="G463" s="334" t="n"/>
      <c r="H463" s="334" t="n"/>
      <c r="I463" s="332">
        <f>IFERROR(VLOOKUP(TEXT(H463,"0"),IPRESS!$A$3:$B$212,2,0),"")</f>
        <v/>
      </c>
      <c r="J463" s="334" t="n"/>
      <c r="K463" s="332">
        <f>IFERROR(VLOOKUP(TEXT(O463,"0"),CONDUCTORES!$A$3:$G$54,7,0),"")</f>
        <v/>
      </c>
      <c r="L463" s="334" t="n"/>
      <c r="M463" s="334" t="n"/>
      <c r="N463" s="333">
        <f>IFERROR(IF(L463*M463=0,"",L463*M463),"")</f>
        <v/>
      </c>
      <c r="O463" s="334" t="n"/>
      <c r="P463" s="332">
        <f>IFERROR(VLOOKUP(TEXT(O463,"0"),CONDUCTORES!$A$3:$G$54,2,0),"")</f>
        <v/>
      </c>
      <c r="Q463" s="332">
        <f>IFERROR(VLOOKUP(TEXT(O463,"0"),CONDUCTORES!$A$3:$H$54,6,0),"")</f>
        <v/>
      </c>
      <c r="R463" s="334" t="n"/>
      <c r="S463" s="334" t="n"/>
      <c r="T463" s="334" t="n"/>
      <c r="U463" s="334" t="n"/>
      <c r="V463" s="334" t="n"/>
      <c r="W463" s="334" t="n"/>
      <c r="X463" s="334" t="n"/>
      <c r="Y463" s="334" t="n"/>
    </row>
    <row r="464" ht="15" customHeight="1" s="195">
      <c r="A464" s="280" t="n"/>
      <c r="B464" s="280" t="n"/>
      <c r="C464" s="280" t="n"/>
      <c r="D464" s="280" t="n"/>
      <c r="E464" s="280" t="n"/>
      <c r="F464" s="280" t="n"/>
      <c r="G464" s="280" t="n"/>
      <c r="H464" s="280" t="n"/>
      <c r="I464" s="332">
        <f>IFERROR(VLOOKUP(TEXT(H464,"0"),IPRESS!$A$3:$B$212,2,0),"")</f>
        <v/>
      </c>
      <c r="J464" s="280" t="n"/>
      <c r="K464" s="332">
        <f>IFERROR(VLOOKUP(TEXT(O464,"0"),CONDUCTORES!$A$3:$G$54,7,0),"")</f>
        <v/>
      </c>
      <c r="L464" s="280" t="n"/>
      <c r="M464" s="280" t="n"/>
      <c r="N464" s="333">
        <f>IFERROR(IF(L464*M464=0,"",L464*M464),"")</f>
        <v/>
      </c>
      <c r="O464" s="280" t="n"/>
      <c r="P464" s="332">
        <f>IFERROR(VLOOKUP(TEXT(O464,"0"),CONDUCTORES!$A$3:$G$54,2,0),"")</f>
        <v/>
      </c>
      <c r="Q464" s="332">
        <f>IFERROR(VLOOKUP(TEXT(O464,"0"),CONDUCTORES!$A$3:$H$54,6,0),"")</f>
        <v/>
      </c>
      <c r="R464" s="280" t="n"/>
      <c r="S464" s="280" t="n"/>
      <c r="T464" s="280" t="n"/>
      <c r="U464" s="280" t="n"/>
      <c r="V464" s="280" t="n"/>
      <c r="W464" s="280" t="n"/>
      <c r="X464" s="280" t="n"/>
      <c r="Y464" s="280" t="n"/>
    </row>
    <row r="465" ht="15" customHeight="1" s="195">
      <c r="A465" s="334" t="n"/>
      <c r="B465" s="334" t="n"/>
      <c r="C465" s="334" t="n"/>
      <c r="D465" s="334" t="n"/>
      <c r="E465" s="334" t="n"/>
      <c r="F465" s="334" t="n"/>
      <c r="G465" s="334" t="n"/>
      <c r="H465" s="334" t="n"/>
      <c r="I465" s="332">
        <f>IFERROR(VLOOKUP(TEXT(H465,"0"),IPRESS!$A$3:$B$212,2,0),"")</f>
        <v/>
      </c>
      <c r="J465" s="334" t="n"/>
      <c r="K465" s="332">
        <f>IFERROR(VLOOKUP(TEXT(O465,"0"),CONDUCTORES!$A$3:$G$54,7,0),"")</f>
        <v/>
      </c>
      <c r="L465" s="334" t="n"/>
      <c r="M465" s="334" t="n"/>
      <c r="N465" s="333">
        <f>IFERROR(IF(L465*M465=0,"",L465*M465),"")</f>
        <v/>
      </c>
      <c r="O465" s="334" t="n"/>
      <c r="P465" s="332">
        <f>IFERROR(VLOOKUP(TEXT(O465,"0"),CONDUCTORES!$A$3:$G$54,2,0),"")</f>
        <v/>
      </c>
      <c r="Q465" s="332">
        <f>IFERROR(VLOOKUP(TEXT(O465,"0"),CONDUCTORES!$A$3:$H$54,6,0),"")</f>
        <v/>
      </c>
      <c r="R465" s="334" t="n"/>
      <c r="S465" s="334" t="n"/>
      <c r="T465" s="334" t="n"/>
      <c r="U465" s="334" t="n"/>
      <c r="V465" s="334" t="n"/>
      <c r="W465" s="334" t="n"/>
      <c r="X465" s="334" t="n"/>
      <c r="Y465" s="334" t="n"/>
    </row>
    <row r="466" ht="15" customHeight="1" s="195">
      <c r="A466" s="280" t="n"/>
      <c r="B466" s="280" t="n"/>
      <c r="C466" s="280" t="n"/>
      <c r="D466" s="280" t="n"/>
      <c r="E466" s="280" t="n"/>
      <c r="F466" s="280" t="n"/>
      <c r="G466" s="280" t="n"/>
      <c r="H466" s="280" t="n"/>
      <c r="I466" s="332">
        <f>IFERROR(VLOOKUP(TEXT(H466,"0"),IPRESS!$A$3:$B$212,2,0),"")</f>
        <v/>
      </c>
      <c r="J466" s="280" t="n"/>
      <c r="K466" s="332">
        <f>IFERROR(VLOOKUP(TEXT(O466,"0"),CONDUCTORES!$A$3:$G$54,7,0),"")</f>
        <v/>
      </c>
      <c r="L466" s="280" t="n"/>
      <c r="M466" s="280" t="n"/>
      <c r="N466" s="333">
        <f>IFERROR(IF(L466*M466=0,"",L466*M466),"")</f>
        <v/>
      </c>
      <c r="O466" s="280" t="n"/>
      <c r="P466" s="332">
        <f>IFERROR(VLOOKUP(TEXT(O466,"0"),CONDUCTORES!$A$3:$G$54,2,0),"")</f>
        <v/>
      </c>
      <c r="Q466" s="332">
        <f>IFERROR(VLOOKUP(TEXT(O466,"0"),CONDUCTORES!$A$3:$H$54,6,0),"")</f>
        <v/>
      </c>
      <c r="R466" s="280" t="n"/>
      <c r="S466" s="280" t="n"/>
      <c r="T466" s="280" t="n"/>
      <c r="U466" s="280" t="n"/>
      <c r="V466" s="280" t="n"/>
      <c r="W466" s="280" t="n"/>
      <c r="X466" s="280" t="n"/>
      <c r="Y466" s="280" t="n"/>
    </row>
    <row r="467" ht="15" customHeight="1" s="195">
      <c r="A467" s="334" t="n"/>
      <c r="B467" s="334" t="n"/>
      <c r="C467" s="334" t="n"/>
      <c r="D467" s="334" t="n"/>
      <c r="E467" s="334" t="n"/>
      <c r="F467" s="334" t="n"/>
      <c r="G467" s="334" t="n"/>
      <c r="H467" s="334" t="n"/>
      <c r="I467" s="332">
        <f>IFERROR(VLOOKUP(TEXT(H467,"0"),IPRESS!$A$3:$B$212,2,0),"")</f>
        <v/>
      </c>
      <c r="J467" s="334" t="n"/>
      <c r="K467" s="332">
        <f>IFERROR(VLOOKUP(TEXT(O467,"0"),CONDUCTORES!$A$3:$G$54,7,0),"")</f>
        <v/>
      </c>
      <c r="L467" s="334" t="n"/>
      <c r="M467" s="334" t="n"/>
      <c r="N467" s="333">
        <f>IFERROR(IF(L467*M467=0,"",L467*M467),"")</f>
        <v/>
      </c>
      <c r="O467" s="334" t="n"/>
      <c r="P467" s="332">
        <f>IFERROR(VLOOKUP(TEXT(O467,"0"),CONDUCTORES!$A$3:$G$54,2,0),"")</f>
        <v/>
      </c>
      <c r="Q467" s="332">
        <f>IFERROR(VLOOKUP(TEXT(O467,"0"),CONDUCTORES!$A$3:$H$54,6,0),"")</f>
        <v/>
      </c>
      <c r="R467" s="334" t="n"/>
      <c r="S467" s="334" t="n"/>
      <c r="T467" s="334" t="n"/>
      <c r="U467" s="334" t="n"/>
      <c r="V467" s="334" t="n"/>
      <c r="W467" s="334" t="n"/>
      <c r="X467" s="334" t="n"/>
      <c r="Y467" s="334" t="n"/>
    </row>
    <row r="468" ht="15" customHeight="1" s="195">
      <c r="A468" s="280" t="n"/>
      <c r="B468" s="280" t="n"/>
      <c r="C468" s="280" t="n"/>
      <c r="D468" s="280" t="n"/>
      <c r="E468" s="280" t="n"/>
      <c r="F468" s="280" t="n"/>
      <c r="G468" s="280" t="n"/>
      <c r="H468" s="280" t="n"/>
      <c r="I468" s="332">
        <f>IFERROR(VLOOKUP(TEXT(H468,"0"),IPRESS!$A$3:$B$212,2,0),"")</f>
        <v/>
      </c>
      <c r="J468" s="280" t="n"/>
      <c r="K468" s="332">
        <f>IFERROR(VLOOKUP(TEXT(O468,"0"),CONDUCTORES!$A$3:$G$54,7,0),"")</f>
        <v/>
      </c>
      <c r="L468" s="280" t="n"/>
      <c r="M468" s="280" t="n"/>
      <c r="N468" s="333">
        <f>IFERROR(IF(L468*M468=0,"",L468*M468),"")</f>
        <v/>
      </c>
      <c r="O468" s="280" t="n"/>
      <c r="P468" s="332">
        <f>IFERROR(VLOOKUP(TEXT(O468,"0"),CONDUCTORES!$A$3:$G$54,2,0),"")</f>
        <v/>
      </c>
      <c r="Q468" s="332">
        <f>IFERROR(VLOOKUP(TEXT(O468,"0"),CONDUCTORES!$A$3:$H$54,6,0),"")</f>
        <v/>
      </c>
      <c r="R468" s="280" t="n"/>
      <c r="S468" s="280" t="n"/>
      <c r="T468" s="280" t="n"/>
      <c r="U468" s="280" t="n"/>
      <c r="V468" s="280" t="n"/>
      <c r="W468" s="280" t="n"/>
      <c r="X468" s="280" t="n"/>
      <c r="Y468" s="280" t="n"/>
    </row>
    <row r="469" ht="15" customHeight="1" s="195">
      <c r="A469" s="334" t="n"/>
      <c r="B469" s="334" t="n"/>
      <c r="C469" s="334" t="n"/>
      <c r="D469" s="334" t="n"/>
      <c r="E469" s="334" t="n"/>
      <c r="F469" s="334" t="n"/>
      <c r="G469" s="334" t="n"/>
      <c r="H469" s="334" t="n"/>
      <c r="I469" s="332">
        <f>IFERROR(VLOOKUP(TEXT(H469,"0"),IPRESS!$A$3:$B$212,2,0),"")</f>
        <v/>
      </c>
      <c r="J469" s="334" t="n"/>
      <c r="K469" s="332">
        <f>IFERROR(VLOOKUP(TEXT(O469,"0"),CONDUCTORES!$A$3:$G$54,7,0),"")</f>
        <v/>
      </c>
      <c r="L469" s="334" t="n"/>
      <c r="M469" s="334" t="n"/>
      <c r="N469" s="333">
        <f>IFERROR(IF(L469*M469=0,"",L469*M469),"")</f>
        <v/>
      </c>
      <c r="O469" s="334" t="n"/>
      <c r="P469" s="332">
        <f>IFERROR(VLOOKUP(TEXT(O469,"0"),CONDUCTORES!$A$3:$G$54,2,0),"")</f>
        <v/>
      </c>
      <c r="Q469" s="332">
        <f>IFERROR(VLOOKUP(TEXT(O469,"0"),CONDUCTORES!$A$3:$H$54,6,0),"")</f>
        <v/>
      </c>
      <c r="R469" s="334" t="n"/>
      <c r="S469" s="334" t="n"/>
      <c r="T469" s="334" t="n"/>
      <c r="U469" s="334" t="n"/>
      <c r="V469" s="334" t="n"/>
      <c r="W469" s="334" t="n"/>
      <c r="X469" s="334" t="n"/>
      <c r="Y469" s="334" t="n"/>
    </row>
    <row r="470" ht="15" customHeight="1" s="195">
      <c r="A470" s="280" t="n"/>
      <c r="B470" s="280" t="n"/>
      <c r="C470" s="280" t="n"/>
      <c r="D470" s="280" t="n"/>
      <c r="E470" s="280" t="n"/>
      <c r="F470" s="280" t="n"/>
      <c r="G470" s="280" t="n"/>
      <c r="H470" s="280" t="n"/>
      <c r="I470" s="332">
        <f>IFERROR(VLOOKUP(TEXT(H470,"0"),IPRESS!$A$3:$B$212,2,0),"")</f>
        <v/>
      </c>
      <c r="J470" s="280" t="n"/>
      <c r="K470" s="332">
        <f>IFERROR(VLOOKUP(TEXT(O470,"0"),CONDUCTORES!$A$3:$G$54,7,0),"")</f>
        <v/>
      </c>
      <c r="L470" s="280" t="n"/>
      <c r="M470" s="280" t="n"/>
      <c r="N470" s="333">
        <f>IFERROR(IF(L470*M470=0,"",L470*M470),"")</f>
        <v/>
      </c>
      <c r="O470" s="280" t="n"/>
      <c r="P470" s="332">
        <f>IFERROR(VLOOKUP(TEXT(O470,"0"),CONDUCTORES!$A$3:$G$54,2,0),"")</f>
        <v/>
      </c>
      <c r="Q470" s="332">
        <f>IFERROR(VLOOKUP(TEXT(O470,"0"),CONDUCTORES!$A$3:$H$54,6,0),"")</f>
        <v/>
      </c>
      <c r="R470" s="280" t="n"/>
      <c r="S470" s="280" t="n"/>
      <c r="T470" s="280" t="n"/>
      <c r="U470" s="280" t="n"/>
      <c r="V470" s="280" t="n"/>
      <c r="W470" s="280" t="n"/>
      <c r="X470" s="280" t="n"/>
      <c r="Y470" s="280" t="n"/>
    </row>
    <row r="471" ht="15" customHeight="1" s="195">
      <c r="A471" s="334" t="n"/>
      <c r="B471" s="334" t="n"/>
      <c r="C471" s="334" t="n"/>
      <c r="D471" s="334" t="n"/>
      <c r="E471" s="334" t="n"/>
      <c r="F471" s="334" t="n"/>
      <c r="G471" s="334" t="n"/>
      <c r="H471" s="334" t="n"/>
      <c r="I471" s="332">
        <f>IFERROR(VLOOKUP(TEXT(H471,"0"),IPRESS!$A$3:$B$212,2,0),"")</f>
        <v/>
      </c>
      <c r="J471" s="334" t="n"/>
      <c r="K471" s="332">
        <f>IFERROR(VLOOKUP(TEXT(O471,"0"),CONDUCTORES!$A$3:$G$54,7,0),"")</f>
        <v/>
      </c>
      <c r="L471" s="334" t="n"/>
      <c r="M471" s="334" t="n"/>
      <c r="N471" s="333">
        <f>IFERROR(IF(L471*M471=0,"",L471*M471),"")</f>
        <v/>
      </c>
      <c r="O471" s="334" t="n"/>
      <c r="P471" s="332">
        <f>IFERROR(VLOOKUP(TEXT(O471,"0"),CONDUCTORES!$A$3:$G$54,2,0),"")</f>
        <v/>
      </c>
      <c r="Q471" s="332">
        <f>IFERROR(VLOOKUP(TEXT(O471,"0"),CONDUCTORES!$A$3:$H$54,6,0),"")</f>
        <v/>
      </c>
      <c r="R471" s="334" t="n"/>
      <c r="S471" s="334" t="n"/>
      <c r="T471" s="334" t="n"/>
      <c r="U471" s="334" t="n"/>
      <c r="V471" s="334" t="n"/>
      <c r="W471" s="334" t="n"/>
      <c r="X471" s="334" t="n"/>
      <c r="Y471" s="334" t="n"/>
    </row>
    <row r="472" ht="15" customHeight="1" s="195">
      <c r="A472" s="280" t="n"/>
      <c r="B472" s="280" t="n"/>
      <c r="C472" s="280" t="n"/>
      <c r="D472" s="280" t="n"/>
      <c r="E472" s="280" t="n"/>
      <c r="F472" s="280" t="n"/>
      <c r="G472" s="280" t="n"/>
      <c r="H472" s="280" t="n"/>
      <c r="I472" s="332">
        <f>IFERROR(VLOOKUP(TEXT(H472,"0"),IPRESS!$A$3:$B$212,2,0),"")</f>
        <v/>
      </c>
      <c r="J472" s="280" t="n"/>
      <c r="K472" s="332">
        <f>IFERROR(VLOOKUP(TEXT(O472,"0"),CONDUCTORES!$A$3:$G$54,7,0),"")</f>
        <v/>
      </c>
      <c r="L472" s="280" t="n"/>
      <c r="M472" s="280" t="n"/>
      <c r="N472" s="333">
        <f>IFERROR(IF(L472*M472=0,"",L472*M472),"")</f>
        <v/>
      </c>
      <c r="O472" s="280" t="n"/>
      <c r="P472" s="332">
        <f>IFERROR(VLOOKUP(TEXT(O472,"0"),CONDUCTORES!$A$3:$G$54,2,0),"")</f>
        <v/>
      </c>
      <c r="Q472" s="332">
        <f>IFERROR(VLOOKUP(TEXT(O472,"0"),CONDUCTORES!$A$3:$H$54,6,0),"")</f>
        <v/>
      </c>
      <c r="R472" s="280" t="n"/>
      <c r="S472" s="280" t="n"/>
      <c r="T472" s="280" t="n"/>
      <c r="U472" s="280" t="n"/>
      <c r="V472" s="280" t="n"/>
      <c r="W472" s="280" t="n"/>
      <c r="X472" s="280" t="n"/>
      <c r="Y472" s="280" t="n"/>
    </row>
    <row r="473" ht="15" customHeight="1" s="195">
      <c r="A473" s="334" t="n"/>
      <c r="B473" s="334" t="n"/>
      <c r="C473" s="334" t="n"/>
      <c r="D473" s="334" t="n"/>
      <c r="E473" s="334" t="n"/>
      <c r="F473" s="334" t="n"/>
      <c r="G473" s="334" t="n"/>
      <c r="H473" s="334" t="n"/>
      <c r="I473" s="332">
        <f>IFERROR(VLOOKUP(TEXT(H473,"0"),IPRESS!$A$3:$B$212,2,0),"")</f>
        <v/>
      </c>
      <c r="J473" s="334" t="n"/>
      <c r="K473" s="332">
        <f>IFERROR(VLOOKUP(TEXT(O473,"0"),CONDUCTORES!$A$3:$G$54,7,0),"")</f>
        <v/>
      </c>
      <c r="L473" s="334" t="n"/>
      <c r="M473" s="334" t="n"/>
      <c r="N473" s="333">
        <f>IFERROR(IF(L473*M473=0,"",L473*M473),"")</f>
        <v/>
      </c>
      <c r="O473" s="334" t="n"/>
      <c r="P473" s="332">
        <f>IFERROR(VLOOKUP(TEXT(O473,"0"),CONDUCTORES!$A$3:$G$54,2,0),"")</f>
        <v/>
      </c>
      <c r="Q473" s="332">
        <f>IFERROR(VLOOKUP(TEXT(O473,"0"),CONDUCTORES!$A$3:$H$54,6,0),"")</f>
        <v/>
      </c>
      <c r="R473" s="334" t="n"/>
      <c r="S473" s="334" t="n"/>
      <c r="T473" s="334" t="n"/>
      <c r="U473" s="334" t="n"/>
      <c r="V473" s="334" t="n"/>
      <c r="W473" s="334" t="n"/>
      <c r="X473" s="334" t="n"/>
      <c r="Y473" s="334" t="n"/>
    </row>
    <row r="474" ht="15" customHeight="1" s="195">
      <c r="A474" s="280" t="n"/>
      <c r="B474" s="280" t="n"/>
      <c r="C474" s="280" t="n"/>
      <c r="D474" s="280" t="n"/>
      <c r="E474" s="280" t="n"/>
      <c r="F474" s="280" t="n"/>
      <c r="G474" s="280" t="n"/>
      <c r="H474" s="280" t="n"/>
      <c r="I474" s="332">
        <f>IFERROR(VLOOKUP(TEXT(H474,"0"),IPRESS!$A$3:$B$212,2,0),"")</f>
        <v/>
      </c>
      <c r="J474" s="280" t="n"/>
      <c r="K474" s="332">
        <f>IFERROR(VLOOKUP(TEXT(O474,"0"),CONDUCTORES!$A$3:$G$54,7,0),"")</f>
        <v/>
      </c>
      <c r="L474" s="280" t="n"/>
      <c r="M474" s="280" t="n"/>
      <c r="N474" s="333">
        <f>IFERROR(IF(L474*M474=0,"",L474*M474),"")</f>
        <v/>
      </c>
      <c r="O474" s="280" t="n"/>
      <c r="P474" s="332">
        <f>IFERROR(VLOOKUP(TEXT(O474,"0"),CONDUCTORES!$A$3:$G$54,2,0),"")</f>
        <v/>
      </c>
      <c r="Q474" s="332">
        <f>IFERROR(VLOOKUP(TEXT(O474,"0"),CONDUCTORES!$A$3:$H$54,6,0),"")</f>
        <v/>
      </c>
      <c r="R474" s="280" t="n"/>
      <c r="S474" s="280" t="n"/>
      <c r="T474" s="280" t="n"/>
      <c r="U474" s="280" t="n"/>
      <c r="V474" s="280" t="n"/>
      <c r="W474" s="280" t="n"/>
      <c r="X474" s="280" t="n"/>
      <c r="Y474" s="280" t="n"/>
    </row>
    <row r="475" ht="15" customHeight="1" s="195">
      <c r="A475" s="334" t="n"/>
      <c r="B475" s="334" t="n"/>
      <c r="C475" s="334" t="n"/>
      <c r="D475" s="334" t="n"/>
      <c r="E475" s="334" t="n"/>
      <c r="F475" s="334" t="n"/>
      <c r="G475" s="334" t="n"/>
      <c r="H475" s="334" t="n"/>
      <c r="I475" s="332">
        <f>IFERROR(VLOOKUP(TEXT(H475,"0"),IPRESS!$A$3:$B$212,2,0),"")</f>
        <v/>
      </c>
      <c r="J475" s="334" t="n"/>
      <c r="K475" s="332">
        <f>IFERROR(VLOOKUP(TEXT(O475,"0"),CONDUCTORES!$A$3:$G$54,7,0),"")</f>
        <v/>
      </c>
      <c r="L475" s="334" t="n"/>
      <c r="M475" s="334" t="n"/>
      <c r="N475" s="333">
        <f>IFERROR(IF(L475*M475=0,"",L475*M475),"")</f>
        <v/>
      </c>
      <c r="O475" s="334" t="n"/>
      <c r="P475" s="332">
        <f>IFERROR(VLOOKUP(TEXT(O475,"0"),CONDUCTORES!$A$3:$G$54,2,0),"")</f>
        <v/>
      </c>
      <c r="Q475" s="332">
        <f>IFERROR(VLOOKUP(TEXT(O475,"0"),CONDUCTORES!$A$3:$H$54,6,0),"")</f>
        <v/>
      </c>
      <c r="R475" s="334" t="n"/>
      <c r="S475" s="334" t="n"/>
      <c r="T475" s="334" t="n"/>
      <c r="U475" s="334" t="n"/>
      <c r="V475" s="334" t="n"/>
      <c r="W475" s="334" t="n"/>
      <c r="X475" s="334" t="n"/>
      <c r="Y475" s="334" t="n"/>
    </row>
    <row r="476" ht="15" customHeight="1" s="195">
      <c r="A476" s="280" t="n"/>
      <c r="B476" s="280" t="n"/>
      <c r="C476" s="280" t="n"/>
      <c r="D476" s="280" t="n"/>
      <c r="E476" s="280" t="n"/>
      <c r="F476" s="280" t="n"/>
      <c r="G476" s="280" t="n"/>
      <c r="H476" s="280" t="n"/>
      <c r="I476" s="332">
        <f>IFERROR(VLOOKUP(TEXT(H476,"0"),IPRESS!$A$3:$B$212,2,0),"")</f>
        <v/>
      </c>
      <c r="J476" s="280" t="n"/>
      <c r="K476" s="332">
        <f>IFERROR(VLOOKUP(TEXT(O476,"0"),CONDUCTORES!$A$3:$G$54,7,0),"")</f>
        <v/>
      </c>
      <c r="L476" s="280" t="n"/>
      <c r="M476" s="280" t="n"/>
      <c r="N476" s="333">
        <f>IFERROR(IF(L476*M476=0,"",L476*M476),"")</f>
        <v/>
      </c>
      <c r="O476" s="280" t="n"/>
      <c r="P476" s="332">
        <f>IFERROR(VLOOKUP(TEXT(O476,"0"),CONDUCTORES!$A$3:$G$54,2,0),"")</f>
        <v/>
      </c>
      <c r="Q476" s="332">
        <f>IFERROR(VLOOKUP(TEXT(O476,"0"),CONDUCTORES!$A$3:$H$54,6,0),"")</f>
        <v/>
      </c>
      <c r="R476" s="280" t="n"/>
      <c r="S476" s="280" t="n"/>
      <c r="T476" s="280" t="n"/>
      <c r="U476" s="280" t="n"/>
      <c r="V476" s="280" t="n"/>
      <c r="W476" s="280" t="n"/>
      <c r="X476" s="280" t="n"/>
      <c r="Y476" s="280" t="n"/>
    </row>
    <row r="477" ht="15" customHeight="1" s="195">
      <c r="A477" s="334" t="n"/>
      <c r="B477" s="334" t="n"/>
      <c r="C477" s="334" t="n"/>
      <c r="D477" s="334" t="n"/>
      <c r="E477" s="334" t="n"/>
      <c r="F477" s="334" t="n"/>
      <c r="G477" s="334" t="n"/>
      <c r="H477" s="334" t="n"/>
      <c r="I477" s="332">
        <f>IFERROR(VLOOKUP(TEXT(H477,"0"),IPRESS!$A$3:$B$212,2,0),"")</f>
        <v/>
      </c>
      <c r="J477" s="334" t="n"/>
      <c r="K477" s="332">
        <f>IFERROR(VLOOKUP(TEXT(O477,"0"),CONDUCTORES!$A$3:$G$54,7,0),"")</f>
        <v/>
      </c>
      <c r="L477" s="334" t="n"/>
      <c r="M477" s="334" t="n"/>
      <c r="N477" s="333">
        <f>IFERROR(IF(L477*M477=0,"",L477*M477),"")</f>
        <v/>
      </c>
      <c r="O477" s="334" t="n"/>
      <c r="P477" s="332">
        <f>IFERROR(VLOOKUP(TEXT(O477,"0"),CONDUCTORES!$A$3:$G$54,2,0),"")</f>
        <v/>
      </c>
      <c r="Q477" s="332">
        <f>IFERROR(VLOOKUP(TEXT(O477,"0"),CONDUCTORES!$A$3:$H$54,6,0),"")</f>
        <v/>
      </c>
      <c r="R477" s="334" t="n"/>
      <c r="S477" s="334" t="n"/>
      <c r="T477" s="334" t="n"/>
      <c r="U477" s="334" t="n"/>
      <c r="V477" s="334" t="n"/>
      <c r="W477" s="334" t="n"/>
      <c r="X477" s="334" t="n"/>
      <c r="Y477" s="334" t="n"/>
    </row>
    <row r="478" ht="15" customHeight="1" s="195">
      <c r="A478" s="280" t="n"/>
      <c r="B478" s="280" t="n"/>
      <c r="C478" s="280" t="n"/>
      <c r="D478" s="280" t="n"/>
      <c r="E478" s="280" t="n"/>
      <c r="F478" s="280" t="n"/>
      <c r="G478" s="280" t="n"/>
      <c r="H478" s="280" t="n"/>
      <c r="I478" s="332">
        <f>IFERROR(VLOOKUP(TEXT(H478,"0"),IPRESS!$A$3:$B$212,2,0),"")</f>
        <v/>
      </c>
      <c r="J478" s="280" t="n"/>
      <c r="K478" s="332">
        <f>IFERROR(VLOOKUP(TEXT(O478,"0"),CONDUCTORES!$A$3:$G$54,7,0),"")</f>
        <v/>
      </c>
      <c r="L478" s="280" t="n"/>
      <c r="M478" s="280" t="n"/>
      <c r="N478" s="333">
        <f>IFERROR(IF(L478*M478=0,"",L478*M478),"")</f>
        <v/>
      </c>
      <c r="O478" s="280" t="n"/>
      <c r="P478" s="332">
        <f>IFERROR(VLOOKUP(TEXT(O478,"0"),CONDUCTORES!$A$3:$G$54,2,0),"")</f>
        <v/>
      </c>
      <c r="Q478" s="332">
        <f>IFERROR(VLOOKUP(TEXT(O478,"0"),CONDUCTORES!$A$3:$H$54,6,0),"")</f>
        <v/>
      </c>
      <c r="R478" s="280" t="n"/>
      <c r="S478" s="280" t="n"/>
      <c r="T478" s="280" t="n"/>
      <c r="U478" s="280" t="n"/>
      <c r="V478" s="280" t="n"/>
      <c r="W478" s="280" t="n"/>
      <c r="X478" s="280" t="n"/>
      <c r="Y478" s="280" t="n"/>
    </row>
    <row r="479" ht="15" customHeight="1" s="195">
      <c r="A479" s="334" t="n"/>
      <c r="B479" s="334" t="n"/>
      <c r="C479" s="334" t="n"/>
      <c r="D479" s="334" t="n"/>
      <c r="E479" s="334" t="n"/>
      <c r="F479" s="334" t="n"/>
      <c r="G479" s="334" t="n"/>
      <c r="H479" s="334" t="n"/>
      <c r="I479" s="332">
        <f>IFERROR(VLOOKUP(TEXT(H479,"0"),IPRESS!$A$3:$B$212,2,0),"")</f>
        <v/>
      </c>
      <c r="J479" s="334" t="n"/>
      <c r="K479" s="332">
        <f>IFERROR(VLOOKUP(TEXT(O479,"0"),CONDUCTORES!$A$3:$G$54,7,0),"")</f>
        <v/>
      </c>
      <c r="L479" s="334" t="n"/>
      <c r="M479" s="334" t="n"/>
      <c r="N479" s="333">
        <f>IFERROR(IF(L479*M479=0,"",L479*M479),"")</f>
        <v/>
      </c>
      <c r="O479" s="334" t="n"/>
      <c r="P479" s="332">
        <f>IFERROR(VLOOKUP(TEXT(O479,"0"),CONDUCTORES!$A$3:$G$54,2,0),"")</f>
        <v/>
      </c>
      <c r="Q479" s="332">
        <f>IFERROR(VLOOKUP(TEXT(O479,"0"),CONDUCTORES!$A$3:$H$54,6,0),"")</f>
        <v/>
      </c>
      <c r="R479" s="334" t="n"/>
      <c r="S479" s="334" t="n"/>
      <c r="T479" s="334" t="n"/>
      <c r="U479" s="334" t="n"/>
      <c r="V479" s="334" t="n"/>
      <c r="W479" s="334" t="n"/>
      <c r="X479" s="334" t="n"/>
      <c r="Y479" s="334" t="n"/>
    </row>
    <row r="480" ht="15" customHeight="1" s="195">
      <c r="A480" s="280" t="n"/>
      <c r="B480" s="280" t="n"/>
      <c r="C480" s="280" t="n"/>
      <c r="D480" s="280" t="n"/>
      <c r="E480" s="280" t="n"/>
      <c r="F480" s="280" t="n"/>
      <c r="G480" s="280" t="n"/>
      <c r="H480" s="280" t="n"/>
      <c r="I480" s="332">
        <f>IFERROR(VLOOKUP(TEXT(H480,"0"),IPRESS!$A$3:$B$212,2,0),"")</f>
        <v/>
      </c>
      <c r="J480" s="280" t="n"/>
      <c r="K480" s="332">
        <f>IFERROR(VLOOKUP(TEXT(O480,"0"),CONDUCTORES!$A$3:$G$54,7,0),"")</f>
        <v/>
      </c>
      <c r="L480" s="280" t="n"/>
      <c r="M480" s="280" t="n"/>
      <c r="N480" s="333">
        <f>IFERROR(IF(L480*M480=0,"",L480*M480),"")</f>
        <v/>
      </c>
      <c r="O480" s="280" t="n"/>
      <c r="P480" s="332">
        <f>IFERROR(VLOOKUP(TEXT(O480,"0"),CONDUCTORES!$A$3:$G$54,2,0),"")</f>
        <v/>
      </c>
      <c r="Q480" s="332">
        <f>IFERROR(VLOOKUP(TEXT(O480,"0"),CONDUCTORES!$A$3:$H$54,6,0),"")</f>
        <v/>
      </c>
      <c r="R480" s="280" t="n"/>
      <c r="S480" s="280" t="n"/>
      <c r="T480" s="280" t="n"/>
      <c r="U480" s="280" t="n"/>
      <c r="V480" s="280" t="n"/>
      <c r="W480" s="280" t="n"/>
      <c r="X480" s="280" t="n"/>
      <c r="Y480" s="280" t="n"/>
    </row>
    <row r="481" ht="15" customHeight="1" s="195">
      <c r="A481" s="334" t="n"/>
      <c r="B481" s="334" t="n"/>
      <c r="C481" s="334" t="n"/>
      <c r="D481" s="334" t="n"/>
      <c r="E481" s="334" t="n"/>
      <c r="F481" s="334" t="n"/>
      <c r="G481" s="334" t="n"/>
      <c r="H481" s="334" t="n"/>
      <c r="I481" s="332">
        <f>IFERROR(VLOOKUP(TEXT(H481,"0"),IPRESS!$A$3:$B$212,2,0),"")</f>
        <v/>
      </c>
      <c r="J481" s="334" t="n"/>
      <c r="K481" s="332">
        <f>IFERROR(VLOOKUP(TEXT(O481,"0"),CONDUCTORES!$A$3:$G$54,7,0),"")</f>
        <v/>
      </c>
      <c r="L481" s="334" t="n"/>
      <c r="M481" s="334" t="n"/>
      <c r="N481" s="333">
        <f>IFERROR(IF(L481*M481=0,"",L481*M481),"")</f>
        <v/>
      </c>
      <c r="O481" s="334" t="n"/>
      <c r="P481" s="332">
        <f>IFERROR(VLOOKUP(TEXT(O481,"0"),CONDUCTORES!$A$3:$G$54,2,0),"")</f>
        <v/>
      </c>
      <c r="Q481" s="332">
        <f>IFERROR(VLOOKUP(TEXT(O481,"0"),CONDUCTORES!$A$3:$H$54,6,0),"")</f>
        <v/>
      </c>
      <c r="R481" s="334" t="n"/>
      <c r="S481" s="334" t="n"/>
      <c r="T481" s="334" t="n"/>
      <c r="U481" s="334" t="n"/>
      <c r="V481" s="334" t="n"/>
      <c r="W481" s="334" t="n"/>
      <c r="X481" s="334" t="n"/>
      <c r="Y481" s="334" t="n"/>
    </row>
    <row r="482" ht="15" customHeight="1" s="195">
      <c r="A482" s="280" t="n"/>
      <c r="B482" s="280" t="n"/>
      <c r="C482" s="280" t="n"/>
      <c r="D482" s="280" t="n"/>
      <c r="E482" s="280" t="n"/>
      <c r="F482" s="280" t="n"/>
      <c r="G482" s="280" t="n"/>
      <c r="H482" s="280" t="n"/>
      <c r="I482" s="332">
        <f>IFERROR(VLOOKUP(TEXT(H482,"0"),IPRESS!$A$3:$B$212,2,0),"")</f>
        <v/>
      </c>
      <c r="J482" s="280" t="n"/>
      <c r="K482" s="332">
        <f>IFERROR(VLOOKUP(TEXT(O482,"0"),CONDUCTORES!$A$3:$G$54,7,0),"")</f>
        <v/>
      </c>
      <c r="L482" s="280" t="n"/>
      <c r="M482" s="280" t="n"/>
      <c r="N482" s="333">
        <f>IFERROR(IF(L482*M482=0,"",L482*M482),"")</f>
        <v/>
      </c>
      <c r="O482" s="280" t="n"/>
      <c r="P482" s="332">
        <f>IFERROR(VLOOKUP(TEXT(O482,"0"),CONDUCTORES!$A$3:$G$54,2,0),"")</f>
        <v/>
      </c>
      <c r="Q482" s="332">
        <f>IFERROR(VLOOKUP(TEXT(O482,"0"),CONDUCTORES!$A$3:$H$54,6,0),"")</f>
        <v/>
      </c>
      <c r="R482" s="280" t="n"/>
      <c r="S482" s="280" t="n"/>
      <c r="T482" s="280" t="n"/>
      <c r="U482" s="280" t="n"/>
      <c r="V482" s="280" t="n"/>
      <c r="W482" s="280" t="n"/>
      <c r="X482" s="280" t="n"/>
      <c r="Y482" s="280" t="n"/>
    </row>
    <row r="483" ht="15" customHeight="1" s="195">
      <c r="A483" s="334" t="n"/>
      <c r="B483" s="334" t="n"/>
      <c r="C483" s="334" t="n"/>
      <c r="D483" s="334" t="n"/>
      <c r="E483" s="334" t="n"/>
      <c r="F483" s="334" t="n"/>
      <c r="G483" s="334" t="n"/>
      <c r="H483" s="334" t="n"/>
      <c r="I483" s="332">
        <f>IFERROR(VLOOKUP(TEXT(H483,"0"),IPRESS!$A$3:$B$212,2,0),"")</f>
        <v/>
      </c>
      <c r="J483" s="334" t="n"/>
      <c r="K483" s="332">
        <f>IFERROR(VLOOKUP(TEXT(O483,"0"),CONDUCTORES!$A$3:$G$54,7,0),"")</f>
        <v/>
      </c>
      <c r="L483" s="334" t="n"/>
      <c r="M483" s="334" t="n"/>
      <c r="N483" s="333">
        <f>IFERROR(IF(L483*M483=0,"",L483*M483),"")</f>
        <v/>
      </c>
      <c r="O483" s="334" t="n"/>
      <c r="P483" s="332">
        <f>IFERROR(VLOOKUP(TEXT(O483,"0"),CONDUCTORES!$A$3:$G$54,2,0),"")</f>
        <v/>
      </c>
      <c r="Q483" s="332">
        <f>IFERROR(VLOOKUP(TEXT(O483,"0"),CONDUCTORES!$A$3:$H$54,6,0),"")</f>
        <v/>
      </c>
      <c r="R483" s="334" t="n"/>
      <c r="S483" s="334" t="n"/>
      <c r="T483" s="334" t="n"/>
      <c r="U483" s="334" t="n"/>
      <c r="V483" s="334" t="n"/>
      <c r="W483" s="334" t="n"/>
      <c r="X483" s="334" t="n"/>
      <c r="Y483" s="334" t="n"/>
    </row>
    <row r="484" ht="15" customHeight="1" s="195">
      <c r="A484" s="280" t="n"/>
      <c r="B484" s="280" t="n"/>
      <c r="C484" s="280" t="n"/>
      <c r="D484" s="280" t="n"/>
      <c r="E484" s="280" t="n"/>
      <c r="F484" s="280" t="n"/>
      <c r="G484" s="280" t="n"/>
      <c r="H484" s="280" t="n"/>
      <c r="I484" s="332">
        <f>IFERROR(VLOOKUP(TEXT(H484,"0"),IPRESS!$A$3:$B$212,2,0),"")</f>
        <v/>
      </c>
      <c r="J484" s="280" t="n"/>
      <c r="K484" s="332">
        <f>IFERROR(VLOOKUP(TEXT(O484,"0"),CONDUCTORES!$A$3:$G$54,7,0),"")</f>
        <v/>
      </c>
      <c r="L484" s="280" t="n"/>
      <c r="M484" s="280" t="n"/>
      <c r="N484" s="333">
        <f>IFERROR(IF(L484*M484=0,"",L484*M484),"")</f>
        <v/>
      </c>
      <c r="O484" s="280" t="n"/>
      <c r="P484" s="332">
        <f>IFERROR(VLOOKUP(TEXT(O484,"0"),CONDUCTORES!$A$3:$G$54,2,0),"")</f>
        <v/>
      </c>
      <c r="Q484" s="332">
        <f>IFERROR(VLOOKUP(TEXT(O484,"0"),CONDUCTORES!$A$3:$H$54,6,0),"")</f>
        <v/>
      </c>
      <c r="R484" s="280" t="n"/>
      <c r="S484" s="280" t="n"/>
      <c r="T484" s="280" t="n"/>
      <c r="U484" s="280" t="n"/>
      <c r="V484" s="280" t="n"/>
      <c r="W484" s="280" t="n"/>
      <c r="X484" s="280" t="n"/>
      <c r="Y484" s="280" t="n"/>
    </row>
    <row r="485" ht="15" customHeight="1" s="195">
      <c r="A485" s="334" t="n"/>
      <c r="B485" s="334" t="n"/>
      <c r="C485" s="334" t="n"/>
      <c r="D485" s="334" t="n"/>
      <c r="E485" s="334" t="n"/>
      <c r="F485" s="334" t="n"/>
      <c r="G485" s="334" t="n"/>
      <c r="H485" s="334" t="n"/>
      <c r="I485" s="332">
        <f>IFERROR(VLOOKUP(TEXT(H485,"0"),IPRESS!$A$3:$B$212,2,0),"")</f>
        <v/>
      </c>
      <c r="J485" s="334" t="n"/>
      <c r="K485" s="332">
        <f>IFERROR(VLOOKUP(TEXT(O485,"0"),CONDUCTORES!$A$3:$G$54,7,0),"")</f>
        <v/>
      </c>
      <c r="L485" s="334" t="n"/>
      <c r="M485" s="334" t="n"/>
      <c r="N485" s="333">
        <f>IFERROR(IF(L485*M485=0,"",L485*M485),"")</f>
        <v/>
      </c>
      <c r="O485" s="334" t="n"/>
      <c r="P485" s="332">
        <f>IFERROR(VLOOKUP(TEXT(O485,"0"),CONDUCTORES!$A$3:$G$54,2,0),"")</f>
        <v/>
      </c>
      <c r="Q485" s="332">
        <f>IFERROR(VLOOKUP(TEXT(O485,"0"),CONDUCTORES!$A$3:$H$54,6,0),"")</f>
        <v/>
      </c>
      <c r="R485" s="334" t="n"/>
      <c r="S485" s="334" t="n"/>
      <c r="T485" s="334" t="n"/>
      <c r="U485" s="334" t="n"/>
      <c r="V485" s="334" t="n"/>
      <c r="W485" s="334" t="n"/>
      <c r="X485" s="334" t="n"/>
      <c r="Y485" s="334" t="n"/>
    </row>
    <row r="486" ht="15" customHeight="1" s="195">
      <c r="A486" s="280" t="n"/>
      <c r="B486" s="280" t="n"/>
      <c r="C486" s="280" t="n"/>
      <c r="D486" s="280" t="n"/>
      <c r="E486" s="280" t="n"/>
      <c r="F486" s="280" t="n"/>
      <c r="G486" s="280" t="n"/>
      <c r="H486" s="280" t="n"/>
      <c r="I486" s="332">
        <f>IFERROR(VLOOKUP(TEXT(H486,"0"),IPRESS!$A$3:$B$212,2,0),"")</f>
        <v/>
      </c>
      <c r="J486" s="280" t="n"/>
      <c r="K486" s="332">
        <f>IFERROR(VLOOKUP(TEXT(O486,"0"),CONDUCTORES!$A$3:$G$54,7,0),"")</f>
        <v/>
      </c>
      <c r="L486" s="280" t="n"/>
      <c r="M486" s="280" t="n"/>
      <c r="N486" s="333">
        <f>IFERROR(IF(L486*M486=0,"",L486*M486),"")</f>
        <v/>
      </c>
      <c r="O486" s="280" t="n"/>
      <c r="P486" s="332">
        <f>IFERROR(VLOOKUP(TEXT(O486,"0"),CONDUCTORES!$A$3:$G$54,2,0),"")</f>
        <v/>
      </c>
      <c r="Q486" s="332">
        <f>IFERROR(VLOOKUP(TEXT(O486,"0"),CONDUCTORES!$A$3:$H$54,6,0),"")</f>
        <v/>
      </c>
      <c r="R486" s="280" t="n"/>
      <c r="S486" s="280" t="n"/>
      <c r="T486" s="280" t="n"/>
      <c r="U486" s="280" t="n"/>
      <c r="V486" s="280" t="n"/>
      <c r="W486" s="280" t="n"/>
      <c r="X486" s="280" t="n"/>
      <c r="Y486" s="280" t="n"/>
    </row>
    <row r="487" ht="15" customHeight="1" s="195">
      <c r="A487" s="334" t="n"/>
      <c r="B487" s="334" t="n"/>
      <c r="C487" s="334" t="n"/>
      <c r="D487" s="334" t="n"/>
      <c r="E487" s="334" t="n"/>
      <c r="F487" s="334" t="n"/>
      <c r="G487" s="334" t="n"/>
      <c r="H487" s="334" t="n"/>
      <c r="I487" s="332">
        <f>IFERROR(VLOOKUP(TEXT(H487,"0"),IPRESS!$A$3:$B$212,2,0),"")</f>
        <v/>
      </c>
      <c r="J487" s="334" t="n"/>
      <c r="K487" s="332">
        <f>IFERROR(VLOOKUP(TEXT(O487,"0"),CONDUCTORES!$A$3:$G$54,7,0),"")</f>
        <v/>
      </c>
      <c r="L487" s="334" t="n"/>
      <c r="M487" s="334" t="n"/>
      <c r="N487" s="333">
        <f>IFERROR(IF(L487*M487=0,"",L487*M487),"")</f>
        <v/>
      </c>
      <c r="O487" s="334" t="n"/>
      <c r="P487" s="332">
        <f>IFERROR(VLOOKUP(TEXT(O487,"0"),CONDUCTORES!$A$3:$G$54,2,0),"")</f>
        <v/>
      </c>
      <c r="Q487" s="332">
        <f>IFERROR(VLOOKUP(TEXT(O487,"0"),CONDUCTORES!$A$3:$H$54,6,0),"")</f>
        <v/>
      </c>
      <c r="R487" s="334" t="n"/>
      <c r="S487" s="334" t="n"/>
      <c r="T487" s="334" t="n"/>
      <c r="U487" s="334" t="n"/>
      <c r="V487" s="334" t="n"/>
      <c r="W487" s="334" t="n"/>
      <c r="X487" s="334" t="n"/>
      <c r="Y487" s="334" t="n"/>
    </row>
    <row r="488" ht="15" customHeight="1" s="195">
      <c r="A488" s="280" t="n"/>
      <c r="B488" s="280" t="n"/>
      <c r="C488" s="280" t="n"/>
      <c r="D488" s="280" t="n"/>
      <c r="E488" s="280" t="n"/>
      <c r="F488" s="280" t="n"/>
      <c r="G488" s="280" t="n"/>
      <c r="H488" s="280" t="n"/>
      <c r="I488" s="332">
        <f>IFERROR(VLOOKUP(TEXT(H488,"0"),IPRESS!$A$3:$B$212,2,0),"")</f>
        <v/>
      </c>
      <c r="J488" s="280" t="n"/>
      <c r="K488" s="332">
        <f>IFERROR(VLOOKUP(TEXT(O488,"0"),CONDUCTORES!$A$3:$G$54,7,0),"")</f>
        <v/>
      </c>
      <c r="L488" s="280" t="n"/>
      <c r="M488" s="280" t="n"/>
      <c r="N488" s="333">
        <f>IFERROR(IF(L488*M488=0,"",L488*M488),"")</f>
        <v/>
      </c>
      <c r="O488" s="280" t="n"/>
      <c r="P488" s="332">
        <f>IFERROR(VLOOKUP(TEXT(O488,"0"),CONDUCTORES!$A$3:$G$54,2,0),"")</f>
        <v/>
      </c>
      <c r="Q488" s="332">
        <f>IFERROR(VLOOKUP(TEXT(O488,"0"),CONDUCTORES!$A$3:$H$54,6,0),"")</f>
        <v/>
      </c>
      <c r="R488" s="280" t="n"/>
      <c r="S488" s="280" t="n"/>
      <c r="T488" s="280" t="n"/>
      <c r="U488" s="280" t="n"/>
      <c r="V488" s="280" t="n"/>
      <c r="W488" s="280" t="n"/>
      <c r="X488" s="280" t="n"/>
      <c r="Y488" s="280" t="n"/>
    </row>
    <row r="489" ht="15" customHeight="1" s="195">
      <c r="A489" s="334" t="n"/>
      <c r="B489" s="334" t="n"/>
      <c r="C489" s="334" t="n"/>
      <c r="D489" s="334" t="n"/>
      <c r="E489" s="334" t="n"/>
      <c r="F489" s="334" t="n"/>
      <c r="G489" s="334" t="n"/>
      <c r="H489" s="334" t="n"/>
      <c r="I489" s="332">
        <f>IFERROR(VLOOKUP(TEXT(H489,"0"),IPRESS!$A$3:$B$212,2,0),"")</f>
        <v/>
      </c>
      <c r="J489" s="334" t="n"/>
      <c r="K489" s="332">
        <f>IFERROR(VLOOKUP(TEXT(O489,"0"),CONDUCTORES!$A$3:$G$54,7,0),"")</f>
        <v/>
      </c>
      <c r="L489" s="334" t="n"/>
      <c r="M489" s="334" t="n"/>
      <c r="N489" s="333">
        <f>IFERROR(IF(L489*M489=0,"",L489*M489),"")</f>
        <v/>
      </c>
      <c r="O489" s="334" t="n"/>
      <c r="P489" s="332">
        <f>IFERROR(VLOOKUP(TEXT(O489,"0"),CONDUCTORES!$A$3:$G$54,2,0),"")</f>
        <v/>
      </c>
      <c r="Q489" s="332">
        <f>IFERROR(VLOOKUP(TEXT(O489,"0"),CONDUCTORES!$A$3:$H$54,6,0),"")</f>
        <v/>
      </c>
      <c r="R489" s="334" t="n"/>
      <c r="S489" s="334" t="n"/>
      <c r="T489" s="334" t="n"/>
      <c r="U489" s="334" t="n"/>
      <c r="V489" s="334" t="n"/>
      <c r="W489" s="334" t="n"/>
      <c r="X489" s="334" t="n"/>
      <c r="Y489" s="334" t="n"/>
    </row>
    <row r="490" ht="15" customHeight="1" s="195">
      <c r="A490" s="280" t="n"/>
      <c r="B490" s="280" t="n"/>
      <c r="C490" s="280" t="n"/>
      <c r="D490" s="280" t="n"/>
      <c r="E490" s="280" t="n"/>
      <c r="F490" s="280" t="n"/>
      <c r="G490" s="280" t="n"/>
      <c r="H490" s="280" t="n"/>
      <c r="I490" s="332">
        <f>IFERROR(VLOOKUP(TEXT(H490,"0"),IPRESS!$A$3:$B$212,2,0),"")</f>
        <v/>
      </c>
      <c r="J490" s="280" t="n"/>
      <c r="K490" s="332">
        <f>IFERROR(VLOOKUP(TEXT(O490,"0"),CONDUCTORES!$A$3:$G$54,7,0),"")</f>
        <v/>
      </c>
      <c r="L490" s="280" t="n"/>
      <c r="M490" s="280" t="n"/>
      <c r="N490" s="333">
        <f>IFERROR(IF(L490*M490=0,"",L490*M490),"")</f>
        <v/>
      </c>
      <c r="O490" s="280" t="n"/>
      <c r="P490" s="332">
        <f>IFERROR(VLOOKUP(TEXT(O490,"0"),CONDUCTORES!$A$3:$G$54,2,0),"")</f>
        <v/>
      </c>
      <c r="Q490" s="332">
        <f>IFERROR(VLOOKUP(TEXT(O490,"0"),CONDUCTORES!$A$3:$H$54,6,0),"")</f>
        <v/>
      </c>
      <c r="R490" s="280" t="n"/>
      <c r="S490" s="280" t="n"/>
      <c r="T490" s="280" t="n"/>
      <c r="U490" s="280" t="n"/>
      <c r="V490" s="280" t="n"/>
      <c r="W490" s="280" t="n"/>
      <c r="X490" s="280" t="n"/>
      <c r="Y490" s="280" t="n"/>
    </row>
    <row r="491" ht="15" customHeight="1" s="195">
      <c r="A491" s="334" t="n"/>
      <c r="B491" s="334" t="n"/>
      <c r="C491" s="334" t="n"/>
      <c r="D491" s="334" t="n"/>
      <c r="E491" s="334" t="n"/>
      <c r="F491" s="334" t="n"/>
      <c r="G491" s="334" t="n"/>
      <c r="H491" s="334" t="n"/>
      <c r="I491" s="332">
        <f>IFERROR(VLOOKUP(TEXT(H491,"0"),IPRESS!$A$3:$B$212,2,0),"")</f>
        <v/>
      </c>
      <c r="J491" s="334" t="n"/>
      <c r="K491" s="332">
        <f>IFERROR(VLOOKUP(TEXT(O491,"0"),CONDUCTORES!$A$3:$G$54,7,0),"")</f>
        <v/>
      </c>
      <c r="L491" s="334" t="n"/>
      <c r="M491" s="334" t="n"/>
      <c r="N491" s="333">
        <f>IFERROR(IF(L491*M491=0,"",L491*M491),"")</f>
        <v/>
      </c>
      <c r="O491" s="334" t="n"/>
      <c r="P491" s="332">
        <f>IFERROR(VLOOKUP(TEXT(O491,"0"),CONDUCTORES!$A$3:$G$54,2,0),"")</f>
        <v/>
      </c>
      <c r="Q491" s="332">
        <f>IFERROR(VLOOKUP(TEXT(O491,"0"),CONDUCTORES!$A$3:$H$54,6,0),"")</f>
        <v/>
      </c>
      <c r="R491" s="334" t="n"/>
      <c r="S491" s="334" t="n"/>
      <c r="T491" s="334" t="n"/>
      <c r="U491" s="334" t="n"/>
      <c r="V491" s="334" t="n"/>
      <c r="W491" s="334" t="n"/>
      <c r="X491" s="334" t="n"/>
      <c r="Y491" s="334" t="n"/>
    </row>
    <row r="492" ht="15" customHeight="1" s="195">
      <c r="A492" s="280" t="n"/>
      <c r="B492" s="280" t="n"/>
      <c r="C492" s="280" t="n"/>
      <c r="D492" s="280" t="n"/>
      <c r="E492" s="280" t="n"/>
      <c r="F492" s="280" t="n"/>
      <c r="G492" s="280" t="n"/>
      <c r="H492" s="280" t="n"/>
      <c r="I492" s="332">
        <f>IFERROR(VLOOKUP(TEXT(H492,"0"),IPRESS!$A$3:$B$212,2,0),"")</f>
        <v/>
      </c>
      <c r="J492" s="280" t="n"/>
      <c r="K492" s="332">
        <f>IFERROR(VLOOKUP(TEXT(O492,"0"),CONDUCTORES!$A$3:$G$54,7,0),"")</f>
        <v/>
      </c>
      <c r="L492" s="280" t="n"/>
      <c r="M492" s="280" t="n"/>
      <c r="N492" s="333">
        <f>IFERROR(IF(L492*M492=0,"",L492*M492),"")</f>
        <v/>
      </c>
      <c r="O492" s="280" t="n"/>
      <c r="P492" s="332">
        <f>IFERROR(VLOOKUP(TEXT(O492,"0"),CONDUCTORES!$A$3:$G$54,2,0),"")</f>
        <v/>
      </c>
      <c r="Q492" s="332">
        <f>IFERROR(VLOOKUP(TEXT(O492,"0"),CONDUCTORES!$A$3:$H$54,6,0),"")</f>
        <v/>
      </c>
      <c r="R492" s="280" t="n"/>
      <c r="S492" s="280" t="n"/>
      <c r="T492" s="280" t="n"/>
      <c r="U492" s="280" t="n"/>
      <c r="V492" s="280" t="n"/>
      <c r="W492" s="280" t="n"/>
      <c r="X492" s="280" t="n"/>
      <c r="Y492" s="280" t="n"/>
    </row>
    <row r="493" ht="15" customHeight="1" s="195">
      <c r="A493" s="334" t="n"/>
      <c r="B493" s="334" t="n"/>
      <c r="C493" s="334" t="n"/>
      <c r="D493" s="334" t="n"/>
      <c r="E493" s="334" t="n"/>
      <c r="F493" s="334" t="n"/>
      <c r="G493" s="334" t="n"/>
      <c r="H493" s="334" t="n"/>
      <c r="I493" s="332">
        <f>IFERROR(VLOOKUP(TEXT(H493,"0"),IPRESS!$A$3:$B$212,2,0),"")</f>
        <v/>
      </c>
      <c r="J493" s="334" t="n"/>
      <c r="K493" s="332">
        <f>IFERROR(VLOOKUP(TEXT(O493,"0"),CONDUCTORES!$A$3:$G$54,7,0),"")</f>
        <v/>
      </c>
      <c r="L493" s="334" t="n"/>
      <c r="M493" s="334" t="n"/>
      <c r="N493" s="333">
        <f>IFERROR(IF(L493*M493=0,"",L493*M493),"")</f>
        <v/>
      </c>
      <c r="O493" s="334" t="n"/>
      <c r="P493" s="332">
        <f>IFERROR(VLOOKUP(TEXT(O493,"0"),CONDUCTORES!$A$3:$G$54,2,0),"")</f>
        <v/>
      </c>
      <c r="Q493" s="332">
        <f>IFERROR(VLOOKUP(TEXT(O493,"0"),CONDUCTORES!$A$3:$H$54,6,0),"")</f>
        <v/>
      </c>
      <c r="R493" s="334" t="n"/>
      <c r="S493" s="334" t="n"/>
      <c r="T493" s="334" t="n"/>
      <c r="U493" s="334" t="n"/>
      <c r="V493" s="334" t="n"/>
      <c r="W493" s="334" t="n"/>
      <c r="X493" s="334" t="n"/>
      <c r="Y493" s="334" t="n"/>
    </row>
    <row r="494" ht="15" customHeight="1" s="195">
      <c r="A494" s="280" t="n"/>
      <c r="B494" s="280" t="n"/>
      <c r="C494" s="280" t="n"/>
      <c r="D494" s="280" t="n"/>
      <c r="E494" s="280" t="n"/>
      <c r="F494" s="280" t="n"/>
      <c r="G494" s="280" t="n"/>
      <c r="H494" s="280" t="n"/>
      <c r="I494" s="332">
        <f>IFERROR(VLOOKUP(TEXT(H494,"0"),IPRESS!$A$3:$B$212,2,0),"")</f>
        <v/>
      </c>
      <c r="J494" s="280" t="n"/>
      <c r="K494" s="332">
        <f>IFERROR(VLOOKUP(TEXT(O494,"0"),CONDUCTORES!$A$3:$G$54,7,0),"")</f>
        <v/>
      </c>
      <c r="L494" s="280" t="n"/>
      <c r="M494" s="280" t="n"/>
      <c r="N494" s="333">
        <f>IFERROR(IF(L494*M494=0,"",L494*M494),"")</f>
        <v/>
      </c>
      <c r="O494" s="280" t="n"/>
      <c r="P494" s="332">
        <f>IFERROR(VLOOKUP(TEXT(O494,"0"),CONDUCTORES!$A$3:$G$54,2,0),"")</f>
        <v/>
      </c>
      <c r="Q494" s="332">
        <f>IFERROR(VLOOKUP(TEXT(O494,"0"),CONDUCTORES!$A$3:$H$54,6,0),"")</f>
        <v/>
      </c>
      <c r="R494" s="280" t="n"/>
      <c r="S494" s="280" t="n"/>
      <c r="T494" s="280" t="n"/>
      <c r="U494" s="280" t="n"/>
      <c r="V494" s="280" t="n"/>
      <c r="W494" s="280" t="n"/>
      <c r="X494" s="280" t="n"/>
      <c r="Y494" s="280" t="n"/>
    </row>
    <row r="495" ht="15" customHeight="1" s="195">
      <c r="A495" s="334" t="n"/>
      <c r="B495" s="334" t="n"/>
      <c r="C495" s="334" t="n"/>
      <c r="D495" s="334" t="n"/>
      <c r="E495" s="334" t="n"/>
      <c r="F495" s="334" t="n"/>
      <c r="G495" s="334" t="n"/>
      <c r="H495" s="334" t="n"/>
      <c r="I495" s="332">
        <f>IFERROR(VLOOKUP(TEXT(H495,"0"),IPRESS!$A$3:$B$212,2,0),"")</f>
        <v/>
      </c>
      <c r="J495" s="334" t="n"/>
      <c r="K495" s="332">
        <f>IFERROR(VLOOKUP(TEXT(O495,"0"),CONDUCTORES!$A$3:$G$54,7,0),"")</f>
        <v/>
      </c>
      <c r="L495" s="334" t="n"/>
      <c r="M495" s="334" t="n"/>
      <c r="N495" s="333">
        <f>IFERROR(IF(L495*M495=0,"",L495*M495),"")</f>
        <v/>
      </c>
      <c r="O495" s="334" t="n"/>
      <c r="P495" s="332">
        <f>IFERROR(VLOOKUP(TEXT(O495,"0"),CONDUCTORES!$A$3:$G$54,2,0),"")</f>
        <v/>
      </c>
      <c r="Q495" s="332">
        <f>IFERROR(VLOOKUP(TEXT(O495,"0"),CONDUCTORES!$A$3:$H$54,6,0),"")</f>
        <v/>
      </c>
      <c r="R495" s="334" t="n"/>
      <c r="S495" s="334" t="n"/>
      <c r="T495" s="334" t="n"/>
      <c r="U495" s="334" t="n"/>
      <c r="V495" s="334" t="n"/>
      <c r="W495" s="334" t="n"/>
      <c r="X495" s="334" t="n"/>
      <c r="Y495" s="334" t="n"/>
    </row>
    <row r="496" ht="15" customHeight="1" s="195">
      <c r="A496" s="280" t="n"/>
      <c r="B496" s="280" t="n"/>
      <c r="C496" s="280" t="n"/>
      <c r="D496" s="280" t="n"/>
      <c r="E496" s="280" t="n"/>
      <c r="F496" s="280" t="n"/>
      <c r="G496" s="280" t="n"/>
      <c r="H496" s="280" t="n"/>
      <c r="I496" s="332">
        <f>IFERROR(VLOOKUP(TEXT(H496,"0"),IPRESS!$A$3:$B$212,2,0),"")</f>
        <v/>
      </c>
      <c r="J496" s="280" t="n"/>
      <c r="K496" s="332">
        <f>IFERROR(VLOOKUP(TEXT(O496,"0"),CONDUCTORES!$A$3:$G$54,7,0),"")</f>
        <v/>
      </c>
      <c r="L496" s="280" t="n"/>
      <c r="M496" s="280" t="n"/>
      <c r="N496" s="333">
        <f>IFERROR(IF(L496*M496=0,"",L496*M496),"")</f>
        <v/>
      </c>
      <c r="O496" s="280" t="n"/>
      <c r="P496" s="332">
        <f>IFERROR(VLOOKUP(TEXT(O496,"0"),CONDUCTORES!$A$3:$G$54,2,0),"")</f>
        <v/>
      </c>
      <c r="Q496" s="332">
        <f>IFERROR(VLOOKUP(TEXT(O496,"0"),CONDUCTORES!$A$3:$H$54,6,0),"")</f>
        <v/>
      </c>
      <c r="R496" s="280" t="n"/>
      <c r="S496" s="280" t="n"/>
      <c r="T496" s="280" t="n"/>
      <c r="U496" s="280" t="n"/>
      <c r="V496" s="280" t="n"/>
      <c r="W496" s="280" t="n"/>
      <c r="X496" s="280" t="n"/>
      <c r="Y496" s="280" t="n"/>
    </row>
    <row r="497" ht="15" customHeight="1" s="195">
      <c r="A497" s="334" t="n"/>
      <c r="B497" s="334" t="n"/>
      <c r="C497" s="334" t="n"/>
      <c r="D497" s="334" t="n"/>
      <c r="E497" s="334" t="n"/>
      <c r="F497" s="334" t="n"/>
      <c r="G497" s="334" t="n"/>
      <c r="H497" s="334" t="n"/>
      <c r="I497" s="332">
        <f>IFERROR(VLOOKUP(TEXT(H497,"0"),IPRESS!$A$3:$B$212,2,0),"")</f>
        <v/>
      </c>
      <c r="J497" s="334" t="n"/>
      <c r="K497" s="332">
        <f>IFERROR(VLOOKUP(TEXT(O497,"0"),CONDUCTORES!$A$3:$G$54,7,0),"")</f>
        <v/>
      </c>
      <c r="L497" s="334" t="n"/>
      <c r="M497" s="334" t="n"/>
      <c r="N497" s="333">
        <f>IFERROR(IF(L497*M497=0,"",L497*M497),"")</f>
        <v/>
      </c>
      <c r="O497" s="334" t="n"/>
      <c r="P497" s="332">
        <f>IFERROR(VLOOKUP(TEXT(O497,"0"),CONDUCTORES!$A$3:$G$54,2,0),"")</f>
        <v/>
      </c>
      <c r="Q497" s="332">
        <f>IFERROR(VLOOKUP(TEXT(O497,"0"),CONDUCTORES!$A$3:$H$54,6,0),"")</f>
        <v/>
      </c>
      <c r="R497" s="334" t="n"/>
      <c r="S497" s="334" t="n"/>
      <c r="T497" s="334" t="n"/>
      <c r="U497" s="334" t="n"/>
      <c r="V497" s="334" t="n"/>
      <c r="W497" s="334" t="n"/>
      <c r="X497" s="334" t="n"/>
      <c r="Y497" s="334" t="n"/>
    </row>
    <row r="498" ht="15" customHeight="1" s="195">
      <c r="A498" s="280" t="n"/>
      <c r="B498" s="280" t="n"/>
      <c r="C498" s="280" t="n"/>
      <c r="D498" s="280" t="n"/>
      <c r="E498" s="280" t="n"/>
      <c r="F498" s="280" t="n"/>
      <c r="G498" s="280" t="n"/>
      <c r="H498" s="280" t="n"/>
      <c r="I498" s="332">
        <f>IFERROR(VLOOKUP(TEXT(H498,"0"),IPRESS!$A$3:$B$212,2,0),"")</f>
        <v/>
      </c>
      <c r="J498" s="280" t="n"/>
      <c r="K498" s="332">
        <f>IFERROR(VLOOKUP(TEXT(O498,"0"),CONDUCTORES!$A$3:$G$54,7,0),"")</f>
        <v/>
      </c>
      <c r="L498" s="280" t="n"/>
      <c r="M498" s="280" t="n"/>
      <c r="N498" s="333">
        <f>IFERROR(IF(L498*M498=0,"",L498*M498),"")</f>
        <v/>
      </c>
      <c r="O498" s="280" t="n"/>
      <c r="P498" s="332">
        <f>IFERROR(VLOOKUP(TEXT(O498,"0"),CONDUCTORES!$A$3:$G$54,2,0),"")</f>
        <v/>
      </c>
      <c r="Q498" s="332">
        <f>IFERROR(VLOOKUP(TEXT(O498,"0"),CONDUCTORES!$A$3:$H$54,6,0),"")</f>
        <v/>
      </c>
      <c r="R498" s="280" t="n"/>
      <c r="S498" s="280" t="n"/>
      <c r="T498" s="280" t="n"/>
      <c r="U498" s="280" t="n"/>
      <c r="V498" s="280" t="n"/>
      <c r="W498" s="280" t="n"/>
      <c r="X498" s="280" t="n"/>
      <c r="Y498" s="280" t="n"/>
    </row>
    <row r="499" ht="15" customHeight="1" s="195">
      <c r="A499" s="334" t="n"/>
      <c r="B499" s="334" t="n"/>
      <c r="C499" s="334" t="n"/>
      <c r="D499" s="334" t="n"/>
      <c r="E499" s="334" t="n"/>
      <c r="F499" s="334" t="n"/>
      <c r="G499" s="334" t="n"/>
      <c r="H499" s="334" t="n"/>
      <c r="I499" s="332">
        <f>IFERROR(VLOOKUP(TEXT(H499,"0"),IPRESS!$A$3:$B$212,2,0),"")</f>
        <v/>
      </c>
      <c r="J499" s="334" t="n"/>
      <c r="K499" s="332">
        <f>IFERROR(VLOOKUP(TEXT(O499,"0"),CONDUCTORES!$A$3:$G$54,7,0),"")</f>
        <v/>
      </c>
      <c r="L499" s="334" t="n"/>
      <c r="M499" s="334" t="n"/>
      <c r="N499" s="333">
        <f>IFERROR(IF(L499*M499=0,"",L499*M499),"")</f>
        <v/>
      </c>
      <c r="O499" s="334" t="n"/>
      <c r="P499" s="332">
        <f>IFERROR(VLOOKUP(TEXT(O499,"0"),CONDUCTORES!$A$3:$G$54,2,0),"")</f>
        <v/>
      </c>
      <c r="Q499" s="332">
        <f>IFERROR(VLOOKUP(TEXT(O499,"0"),CONDUCTORES!$A$3:$H$54,6,0),"")</f>
        <v/>
      </c>
      <c r="R499" s="334" t="n"/>
      <c r="S499" s="334" t="n"/>
      <c r="T499" s="334" t="n"/>
      <c r="U499" s="334" t="n"/>
      <c r="V499" s="334" t="n"/>
      <c r="W499" s="334" t="n"/>
      <c r="X499" s="334" t="n"/>
      <c r="Y499" s="334" t="n"/>
    </row>
    <row r="500" ht="15" customHeight="1" s="195">
      <c r="A500" s="280" t="n"/>
      <c r="B500" s="280" t="n"/>
      <c r="C500" s="280" t="n"/>
      <c r="D500" s="280" t="n"/>
      <c r="E500" s="280" t="n"/>
      <c r="F500" s="280" t="n"/>
      <c r="G500" s="280" t="n"/>
      <c r="H500" s="280" t="n"/>
      <c r="I500" s="332">
        <f>IFERROR(VLOOKUP(TEXT(H500,"0"),IPRESS!$A$3:$B$212,2,0),"")</f>
        <v/>
      </c>
      <c r="J500" s="280" t="n"/>
      <c r="K500" s="332">
        <f>IFERROR(VLOOKUP(TEXT(O500,"0"),CONDUCTORES!$A$3:$G$54,7,0),"")</f>
        <v/>
      </c>
      <c r="L500" s="280" t="n"/>
      <c r="M500" s="280" t="n"/>
      <c r="N500" s="333">
        <f>IFERROR(IF(L500*M500=0,"",L500*M500),"")</f>
        <v/>
      </c>
      <c r="O500" s="280" t="n"/>
      <c r="P500" s="332">
        <f>IFERROR(VLOOKUP(TEXT(O500,"0"),CONDUCTORES!$A$3:$G$54,2,0),"")</f>
        <v/>
      </c>
      <c r="Q500" s="332">
        <f>IFERROR(VLOOKUP(TEXT(O500,"0"),CONDUCTORES!$A$3:$H$54,6,0),"")</f>
        <v/>
      </c>
      <c r="R500" s="280" t="n"/>
      <c r="S500" s="280" t="n"/>
      <c r="T500" s="280" t="n"/>
      <c r="U500" s="280" t="n"/>
      <c r="V500" s="280" t="n"/>
      <c r="W500" s="280" t="n"/>
      <c r="X500" s="280" t="n"/>
      <c r="Y500" s="280" t="n"/>
    </row>
    <row r="501" ht="15" customHeight="1" s="195">
      <c r="A501" s="334" t="n"/>
      <c r="B501" s="334" t="n"/>
      <c r="C501" s="334" t="n"/>
      <c r="D501" s="334" t="n"/>
      <c r="E501" s="334" t="n"/>
      <c r="F501" s="334" t="n"/>
      <c r="G501" s="334" t="n"/>
      <c r="H501" s="334" t="n"/>
      <c r="I501" s="332">
        <f>IFERROR(VLOOKUP(TEXT(H501,"0"),IPRESS!$A$3:$B$212,2,0),"")</f>
        <v/>
      </c>
      <c r="J501" s="334" t="n"/>
      <c r="K501" s="332">
        <f>IFERROR(VLOOKUP(TEXT(O501,"0"),CONDUCTORES!$A$3:$G$54,7,0),"")</f>
        <v/>
      </c>
      <c r="L501" s="334" t="n"/>
      <c r="M501" s="334" t="n"/>
      <c r="N501" s="333">
        <f>IFERROR(IF(L501*M501=0,"",L501*M501),"")</f>
        <v/>
      </c>
      <c r="O501" s="334" t="n"/>
      <c r="P501" s="332">
        <f>IFERROR(VLOOKUP(TEXT(O501,"0"),CONDUCTORES!$A$3:$G$54,2,0),"")</f>
        <v/>
      </c>
      <c r="Q501" s="332">
        <f>IFERROR(VLOOKUP(TEXT(O501,"0"),CONDUCTORES!$A$3:$H$54,6,0),"")</f>
        <v/>
      </c>
      <c r="R501" s="334" t="n"/>
      <c r="S501" s="334" t="n"/>
      <c r="T501" s="334" t="n"/>
      <c r="U501" s="334" t="n"/>
      <c r="V501" s="334" t="n"/>
      <c r="W501" s="334" t="n"/>
      <c r="X501" s="334" t="n"/>
      <c r="Y501" s="334" t="n"/>
    </row>
    <row r="502" ht="15" customHeight="1" s="195">
      <c r="A502" s="280" t="n"/>
      <c r="B502" s="280" t="n"/>
      <c r="C502" s="280" t="n"/>
      <c r="D502" s="280" t="n"/>
      <c r="E502" s="280" t="n"/>
      <c r="F502" s="280" t="n"/>
      <c r="G502" s="280" t="n"/>
      <c r="H502" s="280" t="n"/>
      <c r="I502" s="332">
        <f>IFERROR(VLOOKUP(TEXT(H502,"0"),IPRESS!$A$3:$B$212,2,0),"")</f>
        <v/>
      </c>
      <c r="J502" s="280" t="n"/>
      <c r="K502" s="332">
        <f>IFERROR(VLOOKUP(TEXT(O502,"0"),CONDUCTORES!$A$3:$G$54,7,0),"")</f>
        <v/>
      </c>
      <c r="L502" s="280" t="n"/>
      <c r="M502" s="280" t="n"/>
      <c r="N502" s="333">
        <f>IFERROR(IF(L502*M502=0,"",L502*M502),"")</f>
        <v/>
      </c>
      <c r="O502" s="280" t="n"/>
      <c r="P502" s="332">
        <f>IFERROR(VLOOKUP(TEXT(O502,"0"),CONDUCTORES!$A$3:$G$54,2,0),"")</f>
        <v/>
      </c>
      <c r="Q502" s="332">
        <f>IFERROR(VLOOKUP(TEXT(O502,"0"),CONDUCTORES!$A$3:$H$54,6,0),"")</f>
        <v/>
      </c>
      <c r="R502" s="280" t="n"/>
      <c r="S502" s="280" t="n"/>
      <c r="T502" s="280" t="n"/>
      <c r="U502" s="280" t="n"/>
      <c r="V502" s="280" t="n"/>
      <c r="W502" s="280" t="n"/>
      <c r="X502" s="280" t="n"/>
      <c r="Y502" s="280" t="n"/>
    </row>
    <row r="503" ht="15" customHeight="1" s="195">
      <c r="A503" s="334" t="n"/>
      <c r="B503" s="334" t="n"/>
      <c r="C503" s="334" t="n"/>
      <c r="D503" s="334" t="n"/>
      <c r="E503" s="334" t="n"/>
      <c r="F503" s="334" t="n"/>
      <c r="G503" s="334" t="n"/>
      <c r="H503" s="334" t="n"/>
      <c r="I503" s="332">
        <f>IFERROR(VLOOKUP(TEXT(H503,"0"),IPRESS!$A$3:$B$212,2,0),"")</f>
        <v/>
      </c>
      <c r="J503" s="334" t="n"/>
      <c r="K503" s="332">
        <f>IFERROR(VLOOKUP(TEXT(O503,"0"),CONDUCTORES!$A$3:$G$54,7,0),"")</f>
        <v/>
      </c>
      <c r="L503" s="334" t="n"/>
      <c r="M503" s="334" t="n"/>
      <c r="N503" s="333">
        <f>IFERROR(IF(L503*M503=0,"",L503*M503),"")</f>
        <v/>
      </c>
      <c r="O503" s="334" t="n"/>
      <c r="P503" s="332">
        <f>IFERROR(VLOOKUP(TEXT(O503,"0"),CONDUCTORES!$A$3:$G$54,2,0),"")</f>
        <v/>
      </c>
      <c r="Q503" s="332">
        <f>IFERROR(VLOOKUP(TEXT(O503,"0"),CONDUCTORES!$A$3:$H$54,6,0),"")</f>
        <v/>
      </c>
      <c r="R503" s="334" t="n"/>
      <c r="S503" s="334" t="n"/>
      <c r="T503" s="334" t="n"/>
      <c r="U503" s="334" t="n"/>
      <c r="V503" s="334" t="n"/>
      <c r="W503" s="334" t="n"/>
      <c r="X503" s="334" t="n"/>
      <c r="Y503" s="334" t="n"/>
    </row>
    <row r="504" ht="15" customHeight="1" s="195">
      <c r="A504" s="280" t="n"/>
      <c r="B504" s="280" t="n"/>
      <c r="C504" s="280" t="n"/>
      <c r="D504" s="280" t="n"/>
      <c r="E504" s="280" t="n"/>
      <c r="F504" s="280" t="n"/>
      <c r="G504" s="280" t="n"/>
      <c r="H504" s="280" t="n"/>
      <c r="I504" s="332">
        <f>IFERROR(VLOOKUP(TEXT(H504,"0"),IPRESS!$A$3:$B$212,2,0),"")</f>
        <v/>
      </c>
      <c r="J504" s="280" t="n"/>
      <c r="K504" s="332">
        <f>IFERROR(VLOOKUP(TEXT(O504,"0"),CONDUCTORES!$A$3:$G$54,7,0),"")</f>
        <v/>
      </c>
      <c r="L504" s="280" t="n"/>
      <c r="M504" s="280" t="n"/>
      <c r="N504" s="333">
        <f>IFERROR(IF(L504*M504=0,"",L504*M504),"")</f>
        <v/>
      </c>
      <c r="O504" s="280" t="n"/>
      <c r="P504" s="332">
        <f>IFERROR(VLOOKUP(TEXT(O504,"0"),CONDUCTORES!$A$3:$G$54,2,0),"")</f>
        <v/>
      </c>
      <c r="Q504" s="332">
        <f>IFERROR(VLOOKUP(TEXT(O504,"0"),CONDUCTORES!$A$3:$H$54,6,0),"")</f>
        <v/>
      </c>
      <c r="R504" s="280" t="n"/>
      <c r="S504" s="280" t="n"/>
      <c r="T504" s="280" t="n"/>
      <c r="U504" s="280" t="n"/>
      <c r="V504" s="280" t="n"/>
      <c r="W504" s="280" t="n"/>
      <c r="X504" s="280" t="n"/>
      <c r="Y504" s="280" t="n"/>
    </row>
    <row r="505" ht="15" customHeight="1" s="195">
      <c r="A505" s="334" t="n"/>
      <c r="B505" s="334" t="n"/>
      <c r="C505" s="334" t="n"/>
      <c r="D505" s="334" t="n"/>
      <c r="E505" s="334" t="n"/>
      <c r="F505" s="334" t="n"/>
      <c r="G505" s="334" t="n"/>
      <c r="H505" s="334" t="n"/>
      <c r="I505" s="332">
        <f>IFERROR(VLOOKUP(TEXT(H505,"0"),IPRESS!$A$3:$B$212,2,0),"")</f>
        <v/>
      </c>
      <c r="J505" s="334" t="n"/>
      <c r="K505" s="332">
        <f>IFERROR(VLOOKUP(TEXT(O505,"0"),CONDUCTORES!$A$3:$G$54,7,0),"")</f>
        <v/>
      </c>
      <c r="L505" s="334" t="n"/>
      <c r="M505" s="334" t="n"/>
      <c r="N505" s="333">
        <f>IFERROR(IF(L505*M505=0,"",L505*M505),"")</f>
        <v/>
      </c>
      <c r="O505" s="334" t="n"/>
      <c r="P505" s="332">
        <f>IFERROR(VLOOKUP(TEXT(O505,"0"),CONDUCTORES!$A$3:$G$54,2,0),"")</f>
        <v/>
      </c>
      <c r="Q505" s="332">
        <f>IFERROR(VLOOKUP(TEXT(O505,"0"),CONDUCTORES!$A$3:$H$54,6,0),"")</f>
        <v/>
      </c>
      <c r="R505" s="334" t="n"/>
      <c r="S505" s="334" t="n"/>
      <c r="T505" s="334" t="n"/>
      <c r="U505" s="334" t="n"/>
      <c r="V505" s="334" t="n"/>
      <c r="W505" s="334" t="n"/>
      <c r="X505" s="334" t="n"/>
      <c r="Y505" s="334" t="n"/>
    </row>
    <row r="506" ht="21.75" customHeight="1" s="195">
      <c r="A506" s="346" t="inlineStr">
        <is>
          <t>TOTALES DEL MES</t>
        </is>
      </c>
      <c r="M506" s="320">
        <f>SUM(M6:M505)</f>
        <v/>
      </c>
      <c r="N506" s="320">
        <f>SUM(N6:N505)</f>
        <v/>
      </c>
    </row>
    <row r="507" ht="15.75" customHeight="1" s="195"/>
    <row r="508" ht="15.75" customHeight="1" s="195"/>
    <row r="509" ht="15.75" customHeight="1" s="195"/>
    <row r="510" ht="15.75" customHeight="1" s="195"/>
    <row r="511" ht="15.75" customHeight="1" s="195"/>
    <row r="512" ht="15.75" customHeight="1" s="195"/>
    <row r="513" ht="15.75" customHeight="1" s="195"/>
    <row r="514" ht="15.75" customHeight="1" s="195"/>
    <row r="515" ht="15.75" customHeight="1" s="195"/>
    <row r="516" ht="15.75" customHeight="1" s="195"/>
    <row r="517" ht="15.75" customHeight="1" s="195"/>
    <row r="518" ht="15.75" customHeight="1" s="195"/>
    <row r="519" ht="15.75" customHeight="1" s="195"/>
    <row r="520" ht="15.75" customHeight="1" s="195"/>
    <row r="521" ht="15.75" customHeight="1" s="195"/>
    <row r="522" ht="15.75" customHeight="1" s="195"/>
    <row r="523" ht="15.75" customHeight="1" s="195"/>
    <row r="524" ht="15.75" customHeight="1" s="195"/>
    <row r="525" ht="15.75" customHeight="1" s="195"/>
    <row r="526" ht="15.75" customHeight="1" s="195"/>
    <row r="527" ht="15.75" customHeight="1" s="195"/>
    <row r="528" ht="15.75" customHeight="1" s="195"/>
    <row r="529" ht="15.75" customHeight="1" s="195"/>
    <row r="530" ht="15.75" customHeight="1" s="195"/>
    <row r="531" ht="15.75" customHeight="1" s="195"/>
    <row r="532" ht="15.75" customHeight="1" s="195"/>
    <row r="533" ht="15.75" customHeight="1" s="195"/>
    <row r="534" ht="15.75" customHeight="1" s="195"/>
    <row r="535" ht="15.75" customHeight="1" s="195"/>
    <row r="536" ht="15.75" customHeight="1" s="195"/>
    <row r="537" ht="15.75" customHeight="1" s="195"/>
    <row r="538" ht="15.75" customHeight="1" s="195"/>
    <row r="539" ht="15.75" customHeight="1" s="195"/>
    <row r="540" ht="15.75" customHeight="1" s="195"/>
    <row r="541" ht="15.75" customHeight="1" s="195"/>
    <row r="542" ht="15.75" customHeight="1" s="195"/>
    <row r="543" ht="15.75" customHeight="1" s="195"/>
    <row r="544" ht="15.75" customHeight="1" s="195"/>
    <row r="545" ht="15.75" customHeight="1" s="195"/>
    <row r="546" ht="15.75" customHeight="1" s="195"/>
    <row r="547" ht="15.75" customHeight="1" s="195"/>
    <row r="548" ht="15.75" customHeight="1" s="195"/>
    <row r="549" ht="15.75" customHeight="1" s="195"/>
    <row r="550" ht="15.75" customHeight="1" s="195"/>
    <row r="551" ht="15.75" customHeight="1" s="195"/>
    <row r="552" ht="15.75" customHeight="1" s="195"/>
    <row r="553" ht="15.75" customHeight="1" s="195"/>
    <row r="554" ht="15.75" customHeight="1" s="195"/>
    <row r="555" ht="15.75" customHeight="1" s="195"/>
    <row r="556" ht="15.75" customHeight="1" s="195"/>
    <row r="557" ht="15.75" customHeight="1" s="195"/>
    <row r="558" ht="15.75" customHeight="1" s="195"/>
    <row r="559" ht="15.75" customHeight="1" s="195"/>
    <row r="560" ht="15.75" customHeight="1" s="195"/>
    <row r="561" ht="15.75" customHeight="1" s="195"/>
    <row r="562" ht="15.75" customHeight="1" s="195"/>
    <row r="563" ht="15.75" customHeight="1" s="195"/>
    <row r="564" ht="15.75" customHeight="1" s="195"/>
    <row r="565" ht="15.75" customHeight="1" s="195"/>
    <row r="566" ht="15.75" customHeight="1" s="195"/>
    <row r="567" ht="15.75" customHeight="1" s="195"/>
    <row r="568" ht="15.75" customHeight="1" s="195"/>
    <row r="569" ht="15.75" customHeight="1" s="195"/>
    <row r="570" ht="15.75" customHeight="1" s="195"/>
    <row r="571" ht="15.75" customHeight="1" s="195"/>
    <row r="572" ht="15.75" customHeight="1" s="195"/>
    <row r="573" ht="15.75" customHeight="1" s="195"/>
    <row r="574" ht="15.75" customHeight="1" s="195"/>
    <row r="575" ht="15.75" customHeight="1" s="195"/>
    <row r="576" ht="15.75" customHeight="1" s="195"/>
    <row r="577" ht="15.75" customHeight="1" s="195"/>
    <row r="578" ht="15.75" customHeight="1" s="195"/>
    <row r="579" ht="15.75" customHeight="1" s="195"/>
    <row r="580" ht="15.75" customHeight="1" s="195"/>
    <row r="581" ht="15.75" customHeight="1" s="195"/>
    <row r="582" ht="15.75" customHeight="1" s="195"/>
    <row r="583" ht="15.75" customHeight="1" s="195"/>
    <row r="584" ht="15.75" customHeight="1" s="195"/>
    <row r="585" ht="15.75" customHeight="1" s="195"/>
    <row r="586" ht="15.75" customHeight="1" s="195"/>
    <row r="587" ht="15.75" customHeight="1" s="195"/>
    <row r="588" ht="15.75" customHeight="1" s="195"/>
    <row r="589" ht="15.75" customHeight="1" s="195"/>
    <row r="590" ht="15.75" customHeight="1" s="195"/>
    <row r="591" ht="15.75" customHeight="1" s="195"/>
    <row r="592" ht="15.75" customHeight="1" s="195"/>
    <row r="593" ht="15.75" customHeight="1" s="195"/>
    <row r="594" ht="15.75" customHeight="1" s="195"/>
    <row r="595" ht="15.75" customHeight="1" s="195"/>
    <row r="596" ht="15.75" customHeight="1" s="195"/>
    <row r="597" ht="15.75" customHeight="1" s="195"/>
    <row r="598" ht="15.75" customHeight="1" s="195"/>
    <row r="599" ht="15.75" customHeight="1" s="195"/>
    <row r="600" ht="15.75" customHeight="1" s="195"/>
    <row r="601" ht="15.75" customHeight="1" s="195"/>
    <row r="602" ht="15.75" customHeight="1" s="195"/>
    <row r="603" ht="15.75" customHeight="1" s="195"/>
    <row r="604" ht="15.75" customHeight="1" s="195"/>
    <row r="605" ht="15.75" customHeight="1" s="195"/>
    <row r="606" ht="15.75" customHeight="1" s="195"/>
    <row r="607" ht="15.75" customHeight="1" s="195"/>
    <row r="608" ht="15.75" customHeight="1" s="195"/>
    <row r="609" ht="15.75" customHeight="1" s="195"/>
    <row r="610" ht="15.75" customHeight="1" s="195"/>
    <row r="611" ht="15.75" customHeight="1" s="195"/>
    <row r="612" ht="15.75" customHeight="1" s="195"/>
    <row r="613" ht="15.75" customHeight="1" s="195"/>
    <row r="614" ht="15.75" customHeight="1" s="195"/>
    <row r="615" ht="15.75" customHeight="1" s="195"/>
    <row r="616" ht="15.75" customHeight="1" s="195"/>
    <row r="617" ht="15.75" customHeight="1" s="195"/>
    <row r="618" ht="15.75" customHeight="1" s="195"/>
    <row r="619" ht="15.75" customHeight="1" s="195"/>
    <row r="620" ht="15.75" customHeight="1" s="195"/>
    <row r="621" ht="15.75" customHeight="1" s="195"/>
    <row r="622" ht="15.75" customHeight="1" s="195"/>
    <row r="623" ht="15.75" customHeight="1" s="195"/>
    <row r="624" ht="15.75" customHeight="1" s="195"/>
    <row r="625" ht="15.75" customHeight="1" s="195"/>
    <row r="626" ht="15.75" customHeight="1" s="195"/>
    <row r="627" ht="15.75" customHeight="1" s="195"/>
    <row r="628" ht="15.75" customHeight="1" s="195"/>
    <row r="629" ht="15.75" customHeight="1" s="195"/>
    <row r="630" ht="15.75" customHeight="1" s="195"/>
    <row r="631" ht="15.75" customHeight="1" s="195"/>
    <row r="632" ht="15.75" customHeight="1" s="195"/>
    <row r="633" ht="15.75" customHeight="1" s="195"/>
    <row r="634" ht="15.75" customHeight="1" s="195"/>
    <row r="635" ht="15.75" customHeight="1" s="195"/>
    <row r="636" ht="15.75" customHeight="1" s="195"/>
    <row r="637" ht="15.75" customHeight="1" s="195"/>
    <row r="638" ht="15.75" customHeight="1" s="195"/>
    <row r="639" ht="15.75" customHeight="1" s="195"/>
    <row r="640" ht="15.75" customHeight="1" s="195"/>
    <row r="641" ht="15.75" customHeight="1" s="195"/>
    <row r="642" ht="15.75" customHeight="1" s="195"/>
    <row r="643" ht="15.75" customHeight="1" s="195"/>
    <row r="644" ht="15.75" customHeight="1" s="195"/>
    <row r="645" ht="15.75" customHeight="1" s="195"/>
    <row r="646" ht="15.75" customHeight="1" s="195"/>
    <row r="647" ht="15.75" customHeight="1" s="195"/>
    <row r="648" ht="15.75" customHeight="1" s="195"/>
    <row r="649" ht="15.75" customHeight="1" s="195"/>
    <row r="650" ht="15.75" customHeight="1" s="195"/>
    <row r="651" ht="15.75" customHeight="1" s="195"/>
    <row r="652" ht="15.75" customHeight="1" s="195"/>
    <row r="653" ht="15.75" customHeight="1" s="195"/>
    <row r="654" ht="15.75" customHeight="1" s="195"/>
    <row r="655" ht="15.75" customHeight="1" s="195"/>
    <row r="656" ht="15.75" customHeight="1" s="195"/>
    <row r="657" ht="15.75" customHeight="1" s="195"/>
    <row r="658" ht="15.75" customHeight="1" s="195"/>
    <row r="659" ht="15.75" customHeight="1" s="195"/>
    <row r="660" ht="15.75" customHeight="1" s="195"/>
    <row r="661" ht="15.75" customHeight="1" s="195"/>
    <row r="662" ht="15.75" customHeight="1" s="195"/>
    <row r="663" ht="15.75" customHeight="1" s="195"/>
    <row r="664" ht="15.75" customHeight="1" s="195"/>
    <row r="665" ht="15.75" customHeight="1" s="195"/>
    <row r="666" ht="15.75" customHeight="1" s="195"/>
    <row r="667" ht="15.75" customHeight="1" s="195"/>
    <row r="668" ht="15.75" customHeight="1" s="195"/>
    <row r="669" ht="15.75" customHeight="1" s="195"/>
    <row r="670" ht="15.75" customHeight="1" s="195"/>
    <row r="671" ht="15.75" customHeight="1" s="195"/>
    <row r="672" ht="15.75" customHeight="1" s="195"/>
    <row r="673" ht="15.75" customHeight="1" s="195"/>
    <row r="674" ht="15.75" customHeight="1" s="195"/>
    <row r="675" ht="15.75" customHeight="1" s="195"/>
    <row r="676" ht="15.75" customHeight="1" s="195"/>
    <row r="677" ht="15.75" customHeight="1" s="195"/>
    <row r="678" ht="15.75" customHeight="1" s="195"/>
    <row r="679" ht="15.75" customHeight="1" s="195"/>
    <row r="680" ht="15.75" customHeight="1" s="195"/>
    <row r="681" ht="15.75" customHeight="1" s="195"/>
    <row r="682" ht="15.75" customHeight="1" s="195"/>
    <row r="683" ht="15.75" customHeight="1" s="195"/>
    <row r="684" ht="15.75" customHeight="1" s="195"/>
    <row r="685" ht="15.75" customHeight="1" s="195"/>
    <row r="686" ht="15.75" customHeight="1" s="195"/>
    <row r="687" ht="15.75" customHeight="1" s="195"/>
    <row r="688" ht="15.75" customHeight="1" s="195"/>
    <row r="689" ht="15.75" customHeight="1" s="195"/>
    <row r="690" ht="15.75" customHeight="1" s="195"/>
    <row r="691" ht="15.75" customHeight="1" s="195"/>
    <row r="692" ht="15.75" customHeight="1" s="195"/>
    <row r="693" ht="15.75" customHeight="1" s="195"/>
    <row r="694" ht="15.75" customHeight="1" s="195"/>
    <row r="695" ht="15.75" customHeight="1" s="195"/>
    <row r="696" ht="15.75" customHeight="1" s="195"/>
    <row r="697" ht="15.75" customHeight="1" s="195"/>
    <row r="698" ht="15.75" customHeight="1" s="195"/>
    <row r="699" ht="15.75" customHeight="1" s="195"/>
    <row r="700" ht="15.75" customHeight="1" s="195"/>
    <row r="701" ht="15.75" customHeight="1" s="195"/>
    <row r="702" ht="15.75" customHeight="1" s="195"/>
    <row r="703" ht="15.75" customHeight="1" s="195"/>
    <row r="704" ht="15.75" customHeight="1" s="195"/>
    <row r="705" ht="15.75" customHeight="1" s="195"/>
    <row r="706" ht="15.75" customHeight="1" s="195"/>
    <row r="707" ht="15.75" customHeight="1" s="195"/>
    <row r="708" ht="15.75" customHeight="1" s="195"/>
    <row r="709" ht="15.75" customHeight="1" s="195"/>
    <row r="710" ht="15.75" customHeight="1" s="195"/>
    <row r="711" ht="15.75" customHeight="1" s="195"/>
    <row r="712" ht="15.75" customHeight="1" s="195"/>
    <row r="713" ht="15.75" customHeight="1" s="195"/>
    <row r="714" ht="15.75" customHeight="1" s="195"/>
    <row r="715" ht="15.75" customHeight="1" s="195"/>
    <row r="716" ht="15.75" customHeight="1" s="195"/>
    <row r="717" ht="15.75" customHeight="1" s="195"/>
    <row r="718" ht="15.75" customHeight="1" s="195"/>
    <row r="719" ht="15.75" customHeight="1" s="195"/>
    <row r="720" ht="15.75" customHeight="1" s="195"/>
    <row r="721" ht="15.75" customHeight="1" s="195"/>
    <row r="722" ht="15.75" customHeight="1" s="195"/>
    <row r="723" ht="15.75" customHeight="1" s="195"/>
    <row r="724" ht="15.75" customHeight="1" s="195"/>
    <row r="725" ht="15.75" customHeight="1" s="195"/>
    <row r="726" ht="15.75" customHeight="1" s="195"/>
    <row r="727" ht="15.75" customHeight="1" s="195"/>
    <row r="728" ht="15.75" customHeight="1" s="195"/>
    <row r="729" ht="15.75" customHeight="1" s="195"/>
    <row r="730" ht="15.75" customHeight="1" s="195"/>
    <row r="731" ht="15.75" customHeight="1" s="195"/>
    <row r="732" ht="15.75" customHeight="1" s="195"/>
    <row r="733" ht="15.75" customHeight="1" s="195"/>
    <row r="734" ht="15.75" customHeight="1" s="195"/>
    <row r="735" ht="15.75" customHeight="1" s="195"/>
    <row r="736" ht="15.75" customHeight="1" s="195"/>
    <row r="737" ht="15.75" customHeight="1" s="195"/>
    <row r="738" ht="15.75" customHeight="1" s="195"/>
    <row r="739" ht="15.75" customHeight="1" s="195"/>
    <row r="740" ht="15.75" customHeight="1" s="195"/>
    <row r="741" ht="15.75" customHeight="1" s="195"/>
    <row r="742" ht="15.75" customHeight="1" s="195"/>
    <row r="743" ht="15.75" customHeight="1" s="195"/>
    <row r="744" ht="15.75" customHeight="1" s="195"/>
    <row r="745" ht="15.75" customHeight="1" s="195"/>
    <row r="746" ht="15.75" customHeight="1" s="195"/>
    <row r="747" ht="15.75" customHeight="1" s="195"/>
    <row r="748" ht="15.75" customHeight="1" s="195"/>
    <row r="749" ht="15.75" customHeight="1" s="195"/>
    <row r="750" ht="15.75" customHeight="1" s="195"/>
    <row r="751" ht="15.75" customHeight="1" s="195"/>
    <row r="752" ht="15.75" customHeight="1" s="195"/>
    <row r="753" ht="15.75" customHeight="1" s="195"/>
    <row r="754" ht="15.75" customHeight="1" s="195"/>
    <row r="755" ht="15.75" customHeight="1" s="195"/>
    <row r="756" ht="15.75" customHeight="1" s="195"/>
    <row r="757" ht="15.75" customHeight="1" s="195"/>
    <row r="758" ht="15.75" customHeight="1" s="195"/>
    <row r="759" ht="15.75" customHeight="1" s="195"/>
    <row r="760" ht="15.75" customHeight="1" s="195"/>
    <row r="761" ht="15.75" customHeight="1" s="195"/>
    <row r="762" ht="15.75" customHeight="1" s="195"/>
    <row r="763" ht="15.75" customHeight="1" s="195"/>
    <row r="764" ht="15.75" customHeight="1" s="195"/>
    <row r="765" ht="15.75" customHeight="1" s="195"/>
    <row r="766" ht="15.75" customHeight="1" s="195"/>
    <row r="767" ht="15.75" customHeight="1" s="195"/>
    <row r="768" ht="15.75" customHeight="1" s="195"/>
    <row r="769" ht="15.75" customHeight="1" s="195"/>
    <row r="770" ht="15.75" customHeight="1" s="195"/>
    <row r="771" ht="15.75" customHeight="1" s="195"/>
    <row r="772" ht="15.75" customHeight="1" s="195"/>
    <row r="773" ht="15.75" customHeight="1" s="195"/>
    <row r="774" ht="15.75" customHeight="1" s="195"/>
    <row r="775" ht="15.75" customHeight="1" s="195"/>
    <row r="776" ht="15.75" customHeight="1" s="195"/>
    <row r="777" ht="15.75" customHeight="1" s="195"/>
    <row r="778" ht="15.75" customHeight="1" s="195"/>
    <row r="779" ht="15.75" customHeight="1" s="195"/>
    <row r="780" ht="15.75" customHeight="1" s="195"/>
    <row r="781" ht="15.75" customHeight="1" s="195"/>
    <row r="782" ht="15.75" customHeight="1" s="195"/>
    <row r="783" ht="15.75" customHeight="1" s="195"/>
    <row r="784" ht="15.75" customHeight="1" s="195"/>
    <row r="785" ht="15.75" customHeight="1" s="195"/>
    <row r="786" ht="15.75" customHeight="1" s="195"/>
    <row r="787" ht="15.75" customHeight="1" s="195"/>
    <row r="788" ht="15.75" customHeight="1" s="195"/>
    <row r="789" ht="15.75" customHeight="1" s="195"/>
    <row r="790" ht="15.75" customHeight="1" s="195"/>
    <row r="791" ht="15.75" customHeight="1" s="195"/>
    <row r="792" ht="15.75" customHeight="1" s="195"/>
    <row r="793" ht="15.75" customHeight="1" s="195"/>
    <row r="794" ht="15.75" customHeight="1" s="195"/>
    <row r="795" ht="15.75" customHeight="1" s="195"/>
    <row r="796" ht="15.75" customHeight="1" s="195"/>
    <row r="797" ht="15.75" customHeight="1" s="195"/>
    <row r="798" ht="15.75" customHeight="1" s="195"/>
    <row r="799" ht="15.75" customHeight="1" s="195"/>
    <row r="800" ht="15.75" customHeight="1" s="195"/>
    <row r="801" ht="15.75" customHeight="1" s="195"/>
    <row r="802" ht="15.75" customHeight="1" s="195"/>
    <row r="803" ht="15.75" customHeight="1" s="195"/>
    <row r="804" ht="15.75" customHeight="1" s="195"/>
    <row r="805" ht="15.75" customHeight="1" s="195"/>
    <row r="806" ht="15.75" customHeight="1" s="195"/>
    <row r="807" ht="15.75" customHeight="1" s="195"/>
    <row r="808" ht="15.75" customHeight="1" s="195"/>
    <row r="809" ht="15.75" customHeight="1" s="195"/>
    <row r="810" ht="15.75" customHeight="1" s="195"/>
    <row r="811" ht="15.75" customHeight="1" s="195"/>
    <row r="812" ht="15.75" customHeight="1" s="195"/>
    <row r="813" ht="15.75" customHeight="1" s="195"/>
    <row r="814" ht="15.75" customHeight="1" s="195"/>
    <row r="815" ht="15.75" customHeight="1" s="195"/>
    <row r="816" ht="15.75" customHeight="1" s="195"/>
    <row r="817" ht="15.75" customHeight="1" s="195"/>
    <row r="818" ht="15.75" customHeight="1" s="195"/>
    <row r="819" ht="15.75" customHeight="1" s="195"/>
    <row r="820" ht="15.75" customHeight="1" s="195"/>
    <row r="821" ht="15.75" customHeight="1" s="195"/>
    <row r="822" ht="15.75" customHeight="1" s="195"/>
    <row r="823" ht="15.75" customHeight="1" s="195"/>
    <row r="824" ht="15.75" customHeight="1" s="195"/>
    <row r="825" ht="15.75" customHeight="1" s="195"/>
    <row r="826" ht="15.75" customHeight="1" s="195"/>
    <row r="827" ht="15.75" customHeight="1" s="195"/>
    <row r="828" ht="15.75" customHeight="1" s="195"/>
    <row r="829" ht="15.75" customHeight="1" s="195"/>
    <row r="830" ht="15.75" customHeight="1" s="195"/>
    <row r="831" ht="15.75" customHeight="1" s="195"/>
    <row r="832" ht="15.75" customHeight="1" s="195"/>
    <row r="833" ht="15.75" customHeight="1" s="195"/>
    <row r="834" ht="15.75" customHeight="1" s="195"/>
    <row r="835" ht="15.75" customHeight="1" s="195"/>
    <row r="836" ht="15.75" customHeight="1" s="195"/>
    <row r="837" ht="15.75" customHeight="1" s="195"/>
    <row r="838" ht="15.75" customHeight="1" s="195"/>
    <row r="839" ht="15.75" customHeight="1" s="195"/>
    <row r="840" ht="15.75" customHeight="1" s="195"/>
    <row r="841" ht="15.75" customHeight="1" s="195"/>
    <row r="842" ht="15.75" customHeight="1" s="195"/>
    <row r="843" ht="15.75" customHeight="1" s="195"/>
    <row r="844" ht="15.75" customHeight="1" s="195"/>
    <row r="845" ht="15.75" customHeight="1" s="195"/>
    <row r="846" ht="15.75" customHeight="1" s="195"/>
    <row r="847" ht="15.75" customHeight="1" s="195"/>
    <row r="848" ht="15.75" customHeight="1" s="195"/>
    <row r="849" ht="15.75" customHeight="1" s="195"/>
    <row r="850" ht="15.75" customHeight="1" s="195"/>
    <row r="851" ht="15.75" customHeight="1" s="195"/>
    <row r="852" ht="15.75" customHeight="1" s="195"/>
    <row r="853" ht="15.75" customHeight="1" s="195"/>
    <row r="854" ht="15.75" customHeight="1" s="195"/>
    <row r="855" ht="15.75" customHeight="1" s="195"/>
    <row r="856" ht="15.75" customHeight="1" s="195"/>
    <row r="857" ht="15.75" customHeight="1" s="195"/>
    <row r="858" ht="15.75" customHeight="1" s="195"/>
    <row r="859" ht="15.75" customHeight="1" s="195"/>
    <row r="860" ht="15.75" customHeight="1" s="195"/>
    <row r="861" ht="15.75" customHeight="1" s="195"/>
    <row r="862" ht="15.75" customHeight="1" s="195"/>
    <row r="863" ht="15.75" customHeight="1" s="195"/>
    <row r="864" ht="15.75" customHeight="1" s="195"/>
    <row r="865" ht="15.75" customHeight="1" s="195"/>
    <row r="866" ht="15.75" customHeight="1" s="195"/>
    <row r="867" ht="15.75" customHeight="1" s="195"/>
    <row r="868" ht="15.75" customHeight="1" s="195"/>
    <row r="869" ht="15.75" customHeight="1" s="195"/>
    <row r="870" ht="15.75" customHeight="1" s="195"/>
    <row r="871" ht="15.75" customHeight="1" s="195"/>
    <row r="872" ht="15.75" customHeight="1" s="195"/>
    <row r="873" ht="15.75" customHeight="1" s="195"/>
    <row r="874" ht="15.75" customHeight="1" s="195"/>
    <row r="875" ht="15.75" customHeight="1" s="195"/>
    <row r="876" ht="15.75" customHeight="1" s="195"/>
    <row r="877" ht="15.75" customHeight="1" s="195"/>
    <row r="878" ht="15.75" customHeight="1" s="195"/>
    <row r="879" ht="15.75" customHeight="1" s="195"/>
    <row r="880" ht="15.75" customHeight="1" s="195"/>
    <row r="881" ht="15.75" customHeight="1" s="195"/>
    <row r="882" ht="15.75" customHeight="1" s="195"/>
    <row r="883" ht="15.75" customHeight="1" s="195"/>
    <row r="884" ht="15.75" customHeight="1" s="195"/>
    <row r="885" ht="15.75" customHeight="1" s="195"/>
    <row r="886" ht="15.75" customHeight="1" s="195"/>
    <row r="887" ht="15.75" customHeight="1" s="195"/>
    <row r="888" ht="15.75" customHeight="1" s="195"/>
    <row r="889" ht="15.75" customHeight="1" s="195"/>
    <row r="890" ht="15.75" customHeight="1" s="195"/>
    <row r="891" ht="15.75" customHeight="1" s="195"/>
    <row r="892" ht="15.75" customHeight="1" s="195"/>
    <row r="893" ht="15.75" customHeight="1" s="195"/>
    <row r="894" ht="15.75" customHeight="1" s="195"/>
    <row r="895" ht="15.75" customHeight="1" s="195"/>
    <row r="896" ht="15.75" customHeight="1" s="195"/>
    <row r="897" ht="15.75" customHeight="1" s="195"/>
    <row r="898" ht="15.75" customHeight="1" s="195"/>
    <row r="899" ht="15.75" customHeight="1" s="195"/>
    <row r="900" ht="15.75" customHeight="1" s="195"/>
    <row r="901" ht="15.75" customHeight="1" s="195"/>
    <row r="902" ht="15.75" customHeight="1" s="195"/>
    <row r="903" ht="15.75" customHeight="1" s="195"/>
    <row r="904" ht="15.75" customHeight="1" s="195"/>
    <row r="905" ht="15.75" customHeight="1" s="195"/>
    <row r="906" ht="15.75" customHeight="1" s="195"/>
    <row r="907" ht="15.75" customHeight="1" s="195"/>
    <row r="908" ht="15.75" customHeight="1" s="195"/>
    <row r="909" ht="15.75" customHeight="1" s="195"/>
    <row r="910" ht="15.75" customHeight="1" s="195"/>
    <row r="911" ht="15.75" customHeight="1" s="195"/>
    <row r="912" ht="15.75" customHeight="1" s="195"/>
    <row r="913" ht="15.75" customHeight="1" s="195"/>
    <row r="914" ht="15.75" customHeight="1" s="195"/>
    <row r="915" ht="15.75" customHeight="1" s="195"/>
    <row r="916" ht="15.75" customHeight="1" s="195"/>
    <row r="917" ht="15.75" customHeight="1" s="195"/>
    <row r="918" ht="15.75" customHeight="1" s="195"/>
    <row r="919" ht="15.75" customHeight="1" s="195"/>
    <row r="920" ht="15.75" customHeight="1" s="195"/>
    <row r="921" ht="15.75" customHeight="1" s="195"/>
    <row r="922" ht="15.75" customHeight="1" s="195"/>
    <row r="923" ht="15.75" customHeight="1" s="195"/>
    <row r="924" ht="15.75" customHeight="1" s="195"/>
    <row r="925" ht="15.75" customHeight="1" s="195"/>
    <row r="926" ht="15.75" customHeight="1" s="195"/>
    <row r="927" ht="15.75" customHeight="1" s="195"/>
    <row r="928" ht="15.75" customHeight="1" s="195"/>
    <row r="929" ht="15.75" customHeight="1" s="195"/>
    <row r="930" ht="15.75" customHeight="1" s="195"/>
    <row r="931" ht="15.75" customHeight="1" s="195"/>
    <row r="932" ht="15.75" customHeight="1" s="195"/>
    <row r="933" ht="15.75" customHeight="1" s="195"/>
    <row r="934" ht="15.75" customHeight="1" s="195"/>
    <row r="935" ht="15.75" customHeight="1" s="195"/>
    <row r="936" ht="15.75" customHeight="1" s="195"/>
    <row r="937" ht="15.75" customHeight="1" s="195"/>
    <row r="938" ht="15.75" customHeight="1" s="195"/>
    <row r="939" ht="15.75" customHeight="1" s="195"/>
    <row r="940" ht="15.75" customHeight="1" s="195"/>
    <row r="941" ht="15.75" customHeight="1" s="195"/>
    <row r="942" ht="15.75" customHeight="1" s="195"/>
    <row r="943" ht="15.75" customHeight="1" s="195"/>
    <row r="944" ht="15.75" customHeight="1" s="195"/>
    <row r="945" ht="15.75" customHeight="1" s="195"/>
    <row r="946" ht="15.75" customHeight="1" s="195"/>
    <row r="947" ht="15.75" customHeight="1" s="195"/>
    <row r="948" ht="15.75" customHeight="1" s="195"/>
    <row r="949" ht="15.75" customHeight="1" s="195"/>
    <row r="950" ht="15.75" customHeight="1" s="195"/>
    <row r="951" ht="15.75" customHeight="1" s="195"/>
    <row r="952" ht="15.75" customHeight="1" s="195"/>
    <row r="953" ht="15.75" customHeight="1" s="195"/>
    <row r="954" ht="15.75" customHeight="1" s="195"/>
    <row r="955" ht="15.75" customHeight="1" s="195"/>
    <row r="956" ht="15.75" customHeight="1" s="195"/>
    <row r="957" ht="15.75" customHeight="1" s="195"/>
    <row r="958" ht="15.75" customHeight="1" s="195"/>
    <row r="959" ht="15.75" customHeight="1" s="195"/>
    <row r="960" ht="15.75" customHeight="1" s="195"/>
    <row r="961" ht="15.75" customHeight="1" s="195"/>
    <row r="962" ht="15.75" customHeight="1" s="195"/>
    <row r="963" ht="15.75" customHeight="1" s="195"/>
    <row r="964" ht="15.75" customHeight="1" s="195"/>
    <row r="965" ht="15.75" customHeight="1" s="195"/>
    <row r="966" ht="15.75" customHeight="1" s="195"/>
    <row r="967" ht="15.75" customHeight="1" s="195"/>
    <row r="968" ht="15.75" customHeight="1" s="195"/>
    <row r="969" ht="15.75" customHeight="1" s="195"/>
    <row r="970" ht="15.75" customHeight="1" s="195"/>
    <row r="971" ht="15.75" customHeight="1" s="195"/>
    <row r="972" ht="15.75" customHeight="1" s="195"/>
    <row r="973" ht="15.75" customHeight="1" s="195"/>
    <row r="974" ht="15.75" customHeight="1" s="195"/>
    <row r="975" ht="15.75" customHeight="1" s="195"/>
    <row r="976" ht="15.75" customHeight="1" s="195"/>
    <row r="977" ht="15.75" customHeight="1" s="195"/>
    <row r="978" ht="15.75" customHeight="1" s="195"/>
    <row r="979" ht="15.75" customHeight="1" s="195"/>
    <row r="980" ht="15.75" customHeight="1" s="195"/>
    <row r="981" ht="15.75" customHeight="1" s="195"/>
    <row r="982" ht="15.75" customHeight="1" s="195"/>
    <row r="983" ht="15.75" customHeight="1" s="195"/>
    <row r="984" ht="15.75" customHeight="1" s="195"/>
    <row r="985" ht="15.75" customHeight="1" s="195"/>
    <row r="986" ht="15.75" customHeight="1" s="195"/>
    <row r="987" ht="15.75" customHeight="1" s="195"/>
    <row r="988" ht="15.75" customHeight="1" s="195"/>
    <row r="989" ht="15.75" customHeight="1" s="195"/>
    <row r="990" ht="15.75" customHeight="1" s="195"/>
    <row r="991" ht="15.75" customHeight="1" s="195"/>
    <row r="992" ht="15.75" customHeight="1" s="195"/>
    <row r="993" ht="15.75" customHeight="1" s="195"/>
    <row r="994" ht="15.75" customHeight="1" s="195"/>
    <row r="995" ht="15.75" customHeight="1" s="195"/>
    <row r="996" ht="15.75" customHeight="1" s="195"/>
    <row r="997" ht="15.75" customHeight="1" s="195"/>
    <row r="998" ht="15.75" customHeight="1" s="195"/>
    <row r="999" ht="15.75" customHeight="1" s="195"/>
    <row r="1000" ht="15.75" customHeight="1" s="195"/>
  </sheetData>
  <mergeCells count="13">
    <mergeCell ref="D2:F2"/>
    <mergeCell ref="G2:I2"/>
    <mergeCell ref="S2:T2"/>
    <mergeCell ref="J2:L2"/>
    <mergeCell ref="A506:G506"/>
    <mergeCell ref="U2:V2"/>
    <mergeCell ref="P2:R2"/>
    <mergeCell ref="A1:Y1"/>
    <mergeCell ref="A109:J109"/>
    <mergeCell ref="W2:AC2"/>
    <mergeCell ref="A4:Y4"/>
    <mergeCell ref="M2:O2"/>
    <mergeCell ref="A2:C2"/>
  </mergeCells>
  <conditionalFormatting sqref="T6:T505">
    <cfRule type="expression" rank="0" priority="2" equalAverage="0" aboveAverage="0" dxfId="0" text="" percent="0" bottom="0">
      <formula>EXACT(T6,"APROBADO")</formula>
    </cfRule>
    <cfRule type="expression" rank="0" priority="3" equalAverage="0" aboveAverage="0" dxfId="7" text="" percent="0" bottom="0">
      <formula>EXACT(T6,"PENDIENTE")</formula>
    </cfRule>
  </conditionalFormatting>
  <conditionalFormatting sqref="K6:K505">
    <cfRule type="expression" rank="0" priority="4" equalAverage="0" aboveAverage="0" dxfId="8" text="" percent="0" bottom="0">
      <formula>EXACT(K6,"GASOLINA")</formula>
    </cfRule>
  </conditionalFormatting>
  <conditionalFormatting sqref="Y4:Y130">
    <cfRule type="expression" rank="0" priority="5" equalAverage="0" aboveAverage="0" dxfId="9" text="" percent="0" bottom="0">
      <formula>Y4&lt;&gt;""</formula>
    </cfRule>
  </conditionalFormatting>
  <dataValidations count="4">
    <dataValidation sqref="Y5:Y130" showDropDown="0" showInputMessage="0" showErrorMessage="0" allowBlank="1" type="list" errorStyle="stop" operator="between">
      <formula1>CONDUCTORES!$H$3:$H$104</formula1>
      <formula2>0</formula2>
    </dataValidation>
    <dataValidation sqref="K6:K505" showDropDown="0" showInputMessage="0" showErrorMessage="0" allowBlank="1" type="list" errorStyle="stop" operator="between">
      <formula1>"PETROLEO,GASOLINA"</formula1>
      <formula2>0</formula2>
    </dataValidation>
    <dataValidation sqref="E6:E108 E110:E505" showDropDown="0" showInputMessage="0" showErrorMessage="0" allowBlank="1" type="list" errorStyle="stop" operator="between">
      <formula1>"DNI,CE,PASAPORTE"</formula1>
      <formula2>0</formula2>
    </dataValidation>
    <dataValidation sqref="T6:T505" showDropDown="0" showInputMessage="0" showErrorMessage="0" allowBlank="1" type="list" errorStyle="stop" operator="between">
      <formula1>"APROBADO,PENDIENTE,OBSERVADO"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C5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14.43359375" defaultRowHeight="15" zeroHeight="0" outlineLevelRow="0"/>
  <cols>
    <col width="5" customWidth="1" style="194" min="1" max="1"/>
    <col width="14" customWidth="1" style="194" min="2" max="2"/>
    <col width="8" customWidth="1" style="194" min="3" max="3"/>
    <col width="28" customWidth="1" style="194" min="4" max="4"/>
    <col width="7" customWidth="1" style="194" min="5" max="5"/>
    <col width="14" customWidth="1" style="194" min="6" max="6"/>
    <col width="12" customWidth="1" style="194" min="7" max="7"/>
    <col width="10" customWidth="1" style="194" min="8" max="8"/>
    <col width="30" customWidth="1" style="194" min="9" max="9"/>
    <col width="10" customWidth="1" style="194" min="10" max="10"/>
    <col width="12" customWidth="1" style="194" min="11" max="11"/>
    <col width="10" customWidth="1" style="194" min="12" max="13"/>
    <col width="14" customWidth="1" style="194" min="14" max="15"/>
    <col width="28" customWidth="1" style="194" min="16" max="16"/>
    <col width="12" customWidth="1" style="194" min="17" max="18"/>
    <col width="16" customWidth="1" style="194" min="19" max="19"/>
    <col width="12" customWidth="1" style="194" min="20" max="21"/>
    <col width="14" customWidth="1" style="194" min="22" max="23"/>
    <col width="8" customWidth="1" style="194" min="24" max="24"/>
    <col width="22" customWidth="1" style="194" min="25" max="25"/>
    <col width="8.710000000000001" customWidth="1" style="194" min="26" max="29"/>
  </cols>
  <sheetData>
    <row r="1" ht="27.75" customHeight="1" s="195">
      <c r="A1" s="317" t="inlineStr">
        <is>
          <t>REPORTE DE TRASLADO DE PACIENTES SIS DEL MES DE MAYO 2025 PARA REPOSICION DE COMBUSTIBLE</t>
        </is>
      </c>
    </row>
    <row r="2" ht="21.75" customHeight="1" s="195">
      <c r="A2" s="318" t="inlineStr">
        <is>
          <t>TOTAL PETROLEO (gal):</t>
        </is>
      </c>
      <c r="D2" s="319">
        <f>IFERROR(SUMPRODUCT((K4:K120="PETROLEO")*ISNUMBER(M4:M120)*M4:M120),0)</f>
        <v/>
      </c>
      <c r="G2" s="318" t="inlineStr">
        <is>
          <t>TOTAL GASOLINA (gal):</t>
        </is>
      </c>
      <c r="J2" s="319">
        <f>IFERROR(SUMPRODUCT((K4:K120="GASOLINA")*ISNUMBER(M4:M120)*M4:M120),0)</f>
        <v/>
      </c>
      <c r="M2" s="318" t="inlineStr">
        <is>
          <t>TOTAL SOLES S/.:</t>
        </is>
      </c>
      <c r="P2" s="320">
        <f>IFERROR(SUMPRODUCT(ISNUMBER(M4:M120)*L4:L120*M4:M120),0)</f>
        <v/>
      </c>
      <c r="S2" s="318" t="inlineStr">
        <is>
          <t>N TRASLADOS:</t>
        </is>
      </c>
      <c r="U2" s="321">
        <f>SUBTOTAL(2,A4:A120)</f>
        <v/>
      </c>
      <c r="W2" s="322" t="inlineStr">
        <is>
          <t>↑ Al filtrar por EESS los totales cambian automáticamente</t>
        </is>
      </c>
    </row>
    <row r="3" ht="3.75" customHeight="1" s="195">
      <c r="A3" s="323" t="n"/>
      <c r="B3" s="323" t="n"/>
      <c r="C3" s="323" t="n"/>
      <c r="D3" s="323" t="n"/>
      <c r="E3" s="323" t="n"/>
      <c r="F3" s="323" t="n"/>
      <c r="G3" s="323" t="n"/>
      <c r="H3" s="323" t="n"/>
      <c r="I3" s="323" t="n"/>
      <c r="J3" s="323" t="n"/>
      <c r="K3" s="323" t="n"/>
      <c r="L3" s="323" t="n"/>
      <c r="M3" s="323" t="n"/>
      <c r="N3" s="323" t="n"/>
      <c r="O3" s="323" t="n"/>
      <c r="P3" s="323" t="n"/>
      <c r="Q3" s="323" t="n"/>
      <c r="R3" s="323" t="n"/>
      <c r="S3" s="323" t="n"/>
      <c r="T3" s="323" t="n"/>
      <c r="U3" s="323" t="n"/>
      <c r="V3" s="323" t="n"/>
      <c r="W3" s="323" t="n"/>
      <c r="X3" s="323" t="n"/>
      <c r="Y3" s="324" t="inlineStr">
        <is>
          <t>DEVOLVER A
(IPRESS DESTINO)</t>
        </is>
      </c>
    </row>
    <row r="4" ht="19.5" customHeight="1" s="195">
      <c r="A4" s="325" t="inlineStr">
        <is>
          <t>COLUMNAS EN AZUL = AUTO (no editar) | Ingrese: N, NRO FORMATO, AFILIADO, TIPO DOC, NRO DOC, FECHA TRASLADO, COD RENAES, COD REFERENCIA, DNI CONDUCTOR, PRECIO GAL, GALONES, FECHA ENTREGA, CIE-10, ESTADO FUA, FECHA DIGITACION, OFICIO, O/C, META, OBSERVACION</t>
        </is>
      </c>
    </row>
    <row r="5" ht="30" customHeight="1" s="195">
      <c r="A5" s="326" t="inlineStr">
        <is>
          <t>N</t>
        </is>
      </c>
      <c r="B5" s="327" t="inlineStr">
        <is>
          <t>NRO FORMATO
ATENCION</t>
        </is>
      </c>
      <c r="C5" s="327" t="inlineStr">
        <is>
          <t>UNIDAD
EJECUTORA</t>
        </is>
      </c>
      <c r="D5" s="327" t="inlineStr">
        <is>
          <t>AFILIADO</t>
        </is>
      </c>
      <c r="E5" s="327" t="inlineStr">
        <is>
          <t>TIPO
DOC</t>
        </is>
      </c>
      <c r="F5" s="327" t="inlineStr">
        <is>
          <t>NRO
DOCUMENTO</t>
        </is>
      </c>
      <c r="G5" s="327" t="inlineStr">
        <is>
          <t>FECHA
TRASLADO</t>
        </is>
      </c>
      <c r="H5" s="327" t="inlineStr">
        <is>
          <t>COD
RENAES</t>
        </is>
      </c>
      <c r="I5" s="328" t="inlineStr">
        <is>
          <t>DESCRIPCION
EESS</t>
        </is>
      </c>
      <c r="J5" s="327" t="inlineStr">
        <is>
          <t>COD EESS
REFERENCIA</t>
        </is>
      </c>
      <c r="K5" s="328" t="inlineStr">
        <is>
          <t>TIPO DE
COMBUSTIBLE</t>
        </is>
      </c>
      <c r="L5" s="327" t="inlineStr">
        <is>
          <t>PRECIO
GAL S/.</t>
        </is>
      </c>
      <c r="M5" s="327" t="inlineStr">
        <is>
          <t>GALONES</t>
        </is>
      </c>
      <c r="N5" s="328" t="inlineStr">
        <is>
          <t>TOTAL
COMBUSTIBLE S/.</t>
        </is>
      </c>
      <c r="O5" s="327" t="inlineStr">
        <is>
          <t>DNI
CONDUCTOR</t>
        </is>
      </c>
      <c r="P5" s="329">
        <f>IFERROR(VLOOKUP(TEXT(O5,"0"),CONDUCTORES!$A$3:$G$100,2,0),"")</f>
        <v/>
      </c>
      <c r="Q5" s="329">
        <f>IFERROR(VLOOKUP(TEXT(O5,"0"),CONDUCTORES!$A$3:$H$100,6,0),"")</f>
        <v/>
      </c>
      <c r="R5" s="327" t="inlineStr">
        <is>
          <t>FECHA DE
ENTREGA</t>
        </is>
      </c>
      <c r="S5" s="327" t="inlineStr">
        <is>
          <t>CODIGO DE
DIAGNOSTICO</t>
        </is>
      </c>
      <c r="T5" s="327" t="inlineStr">
        <is>
          <t>ESTADO
FUA</t>
        </is>
      </c>
      <c r="U5" s="327" t="inlineStr">
        <is>
          <t>FECHA
DIGITACION</t>
        </is>
      </c>
      <c r="V5" s="327" t="inlineStr">
        <is>
          <t>OFICIO</t>
        </is>
      </c>
      <c r="W5" s="327" t="inlineStr">
        <is>
          <t>O/C</t>
        </is>
      </c>
      <c r="X5" s="327" t="inlineStr">
        <is>
          <t>META</t>
        </is>
      </c>
      <c r="Y5" s="330" t="inlineStr">
        <is>
          <t>OBSERVACION</t>
        </is>
      </c>
    </row>
    <row r="6" ht="15.75" customHeight="1" s="195">
      <c r="A6" s="337" t="n">
        <v>1</v>
      </c>
      <c r="B6" s="338" t="inlineStr">
        <is>
          <t>00000003</t>
        </is>
      </c>
      <c r="C6" s="337" t="inlineStr">
        <is>
          <t>REGION</t>
        </is>
      </c>
      <c r="D6" s="338" t="inlineStr">
        <is>
          <t>SANCHEZ PAZ SIXTO</t>
        </is>
      </c>
      <c r="E6" s="337" t="inlineStr">
        <is>
          <t>DNI</t>
        </is>
      </c>
      <c r="F6" s="337" t="inlineStr">
        <is>
          <t>33726694</t>
        </is>
      </c>
      <c r="G6" s="339" t="n">
        <v>45784</v>
      </c>
      <c r="H6" s="337" t="inlineStr">
        <is>
          <t>4937</t>
        </is>
      </c>
      <c r="I6" s="332">
        <f>IFERROR(VLOOKUP(TEXT(H6,"0"),IPRESS!$A$3:$B$212,2,0),"")</f>
        <v/>
      </c>
      <c r="J6" s="337" t="inlineStr">
        <is>
          <t>4932</t>
        </is>
      </c>
      <c r="K6" s="332">
        <f>IFERROR(VLOOKUP(TEXT(O6,"0"),CONDUCTORES!$A$3:$G$100,7,0),"")</f>
        <v/>
      </c>
      <c r="L6" s="340" t="n">
        <v>17.95</v>
      </c>
      <c r="M6" s="340" t="n">
        <v>5</v>
      </c>
      <c r="N6" s="333">
        <f>IFERROR(IF(L6*M6=0,"",L6*M6),"")</f>
        <v/>
      </c>
      <c r="O6" s="280" t="n"/>
      <c r="P6" s="332">
        <f>IFERROR(VLOOKUP(TEXT(O6,"0"),CONDUCTORES!$A$3:$G$100,2,0),"")</f>
        <v/>
      </c>
      <c r="Q6" s="332">
        <f>IFERROR(VLOOKUP(TEXT(O6,"0"),CONDUCTORES!$A$3:$H$100,6,0),"")</f>
        <v/>
      </c>
      <c r="R6" s="339" t="n">
        <v>45817</v>
      </c>
      <c r="S6" s="338" t="inlineStr">
        <is>
          <t>R310</t>
        </is>
      </c>
      <c r="T6" s="337" t="n"/>
      <c r="U6" s="341" t="n"/>
      <c r="V6" s="337" t="inlineStr">
        <is>
          <t>OFICIO 2371-2025</t>
        </is>
      </c>
      <c r="W6" s="337" t="inlineStr">
        <is>
          <t>915.0</t>
        </is>
      </c>
      <c r="X6" s="337" t="inlineStr">
        <is>
          <t>102.0</t>
        </is>
      </c>
      <c r="Y6" s="280" t="n"/>
    </row>
    <row r="7" ht="15.75" customHeight="1" s="195">
      <c r="A7" s="337" t="n">
        <v>2</v>
      </c>
      <c r="B7" s="338" t="inlineStr">
        <is>
          <t>00000004</t>
        </is>
      </c>
      <c r="C7" s="337" t="inlineStr">
        <is>
          <t>REGION</t>
        </is>
      </c>
      <c r="D7" s="338" t="inlineStr">
        <is>
          <t>PEREZ BUSTAMANTE MELEYLA OLINDA</t>
        </is>
      </c>
      <c r="E7" s="337" t="inlineStr">
        <is>
          <t>DNI</t>
        </is>
      </c>
      <c r="F7" s="337" t="inlineStr">
        <is>
          <t>71578409</t>
        </is>
      </c>
      <c r="G7" s="339" t="n">
        <v>45790</v>
      </c>
      <c r="H7" s="337" t="inlineStr">
        <is>
          <t>4937</t>
        </is>
      </c>
      <c r="I7" s="332">
        <f>IFERROR(VLOOKUP(TEXT(H7,"0"),IPRESS!$A$3:$B$212,2,0),"")</f>
        <v/>
      </c>
      <c r="J7" s="337" t="inlineStr">
        <is>
          <t>4932</t>
        </is>
      </c>
      <c r="K7" s="332">
        <f>IFERROR(VLOOKUP(TEXT(O7,"0"),CONDUCTORES!$A$3:$G$100,7,0),"")</f>
        <v/>
      </c>
      <c r="L7" s="340" t="n">
        <v>17.95</v>
      </c>
      <c r="M7" s="340" t="n">
        <v>5</v>
      </c>
      <c r="N7" s="333">
        <f>IFERROR(IF(L7*M7=0,"",L7*M7),"")</f>
        <v/>
      </c>
      <c r="O7" s="334" t="n"/>
      <c r="P7" s="332">
        <f>IFERROR(VLOOKUP(TEXT(O7,"0"),CONDUCTORES!$A$3:$G$100,2,0),"")</f>
        <v/>
      </c>
      <c r="Q7" s="332">
        <f>IFERROR(VLOOKUP(TEXT(O7,"0"),CONDUCTORES!$A$3:$H$100,6,0),"")</f>
        <v/>
      </c>
      <c r="R7" s="339" t="n">
        <v>45817</v>
      </c>
      <c r="S7" s="338" t="inlineStr">
        <is>
          <t>P036,Z359,O321</t>
        </is>
      </c>
      <c r="T7" s="337" t="n"/>
      <c r="U7" s="341" t="n"/>
      <c r="V7" s="337" t="inlineStr">
        <is>
          <t>OFICIO 2371-2025</t>
        </is>
      </c>
      <c r="W7" s="337" t="inlineStr">
        <is>
          <t>915.0</t>
        </is>
      </c>
      <c r="X7" s="337" t="inlineStr">
        <is>
          <t>102.0</t>
        </is>
      </c>
      <c r="Y7" s="280" t="n"/>
    </row>
    <row r="8" ht="15.75" customHeight="1" s="195">
      <c r="A8" s="337" t="n">
        <v>3</v>
      </c>
      <c r="B8" s="338" t="inlineStr">
        <is>
          <t>00000005</t>
        </is>
      </c>
      <c r="C8" s="337" t="inlineStr">
        <is>
          <t>REGION</t>
        </is>
      </c>
      <c r="D8" s="338" t="inlineStr">
        <is>
          <t>GALOC CHAVEZ INGRID LIZBETH</t>
        </is>
      </c>
      <c r="E8" s="337" t="inlineStr">
        <is>
          <t>DNI</t>
        </is>
      </c>
      <c r="F8" s="337" t="inlineStr">
        <is>
          <t>74293017</t>
        </is>
      </c>
      <c r="G8" s="339" t="n">
        <v>45791</v>
      </c>
      <c r="H8" s="337" t="inlineStr">
        <is>
          <t>4937</t>
        </is>
      </c>
      <c r="I8" s="332">
        <f>IFERROR(VLOOKUP(TEXT(H8,"0"),IPRESS!$A$3:$B$212,2,0),"")</f>
        <v/>
      </c>
      <c r="J8" s="337" t="inlineStr">
        <is>
          <t>4932</t>
        </is>
      </c>
      <c r="K8" s="332">
        <f>IFERROR(VLOOKUP(TEXT(O8,"0"),CONDUCTORES!$A$3:$G$100,7,0),"")</f>
        <v/>
      </c>
      <c r="L8" s="340" t="n">
        <v>17.95</v>
      </c>
      <c r="M8" s="340" t="n">
        <v>5</v>
      </c>
      <c r="N8" s="333">
        <f>IFERROR(IF(L8*M8=0,"",L8*M8),"")</f>
        <v/>
      </c>
      <c r="O8" s="280" t="n"/>
      <c r="P8" s="332">
        <f>IFERROR(VLOOKUP(TEXT(O8,"0"),CONDUCTORES!$A$3:$G$100,2,0),"")</f>
        <v/>
      </c>
      <c r="Q8" s="332">
        <f>IFERROR(VLOOKUP(TEXT(O8,"0"),CONDUCTORES!$A$3:$H$100,6,0),"")</f>
        <v/>
      </c>
      <c r="R8" s="339" t="n">
        <v>45817</v>
      </c>
      <c r="S8" s="338" t="inlineStr">
        <is>
          <t>O479,Z349,N390</t>
        </is>
      </c>
      <c r="T8" s="337" t="n"/>
      <c r="U8" s="341" t="n"/>
      <c r="V8" s="337" t="inlineStr">
        <is>
          <t>OFICIO 2371-2025</t>
        </is>
      </c>
      <c r="W8" s="337" t="inlineStr">
        <is>
          <t>915.0</t>
        </is>
      </c>
      <c r="X8" s="337" t="inlineStr">
        <is>
          <t>102.0</t>
        </is>
      </c>
      <c r="Y8" s="280" t="n"/>
    </row>
    <row r="9" ht="15.75" customHeight="1" s="195">
      <c r="A9" s="337" t="n">
        <v>4</v>
      </c>
      <c r="B9" s="338" t="inlineStr">
        <is>
          <t>00000006</t>
        </is>
      </c>
      <c r="C9" s="337" t="inlineStr">
        <is>
          <t>REGION</t>
        </is>
      </c>
      <c r="D9" s="338" t="inlineStr">
        <is>
          <t>CHAVEZ DE VALLE LUCINDA</t>
        </is>
      </c>
      <c r="E9" s="337" t="inlineStr">
        <is>
          <t>DNI</t>
        </is>
      </c>
      <c r="F9" s="337" t="inlineStr">
        <is>
          <t>33731600</t>
        </is>
      </c>
      <c r="G9" s="339" t="n">
        <v>45794</v>
      </c>
      <c r="H9" s="337" t="inlineStr">
        <is>
          <t>4937</t>
        </is>
      </c>
      <c r="I9" s="332">
        <f>IFERROR(VLOOKUP(TEXT(H9,"0"),IPRESS!$A$3:$B$212,2,0),"")</f>
        <v/>
      </c>
      <c r="J9" s="337" t="inlineStr">
        <is>
          <t>4932</t>
        </is>
      </c>
      <c r="K9" s="332">
        <f>IFERROR(VLOOKUP(TEXT(O9,"0"),CONDUCTORES!$A$3:$G$100,7,0),"")</f>
        <v/>
      </c>
      <c r="L9" s="340" t="n">
        <v>17.95</v>
      </c>
      <c r="M9" s="340" t="n">
        <v>5</v>
      </c>
      <c r="N9" s="333">
        <f>IFERROR(IF(L9*M9=0,"",L9*M9),"")</f>
        <v/>
      </c>
      <c r="O9" s="334" t="n"/>
      <c r="P9" s="332">
        <f>IFERROR(VLOOKUP(TEXT(O9,"0"),CONDUCTORES!$A$3:$G$100,2,0),"")</f>
        <v/>
      </c>
      <c r="Q9" s="332">
        <f>IFERROR(VLOOKUP(TEXT(O9,"0"),CONDUCTORES!$A$3:$H$100,6,0),"")</f>
        <v/>
      </c>
      <c r="R9" s="339" t="n">
        <v>45817</v>
      </c>
      <c r="S9" s="338" t="inlineStr">
        <is>
          <t>G409</t>
        </is>
      </c>
      <c r="T9" s="337" t="n"/>
      <c r="U9" s="341" t="n"/>
      <c r="V9" s="337" t="inlineStr">
        <is>
          <t>OFICIO 2371-2025</t>
        </is>
      </c>
      <c r="W9" s="337" t="inlineStr">
        <is>
          <t>915.0</t>
        </is>
      </c>
      <c r="X9" s="337" t="inlineStr">
        <is>
          <t>102.0</t>
        </is>
      </c>
      <c r="Y9" s="280" t="n"/>
    </row>
    <row r="10" ht="15.75" customHeight="1" s="195">
      <c r="A10" s="337" t="n">
        <v>5</v>
      </c>
      <c r="B10" s="338" t="inlineStr">
        <is>
          <t>00000007</t>
        </is>
      </c>
      <c r="C10" s="337" t="inlineStr">
        <is>
          <t>REGION</t>
        </is>
      </c>
      <c r="D10" s="338" t="inlineStr">
        <is>
          <t>COTRINA AREVALO ANABERLI</t>
        </is>
      </c>
      <c r="E10" s="337" t="inlineStr">
        <is>
          <t>DNI</t>
        </is>
      </c>
      <c r="F10" s="337" t="inlineStr">
        <is>
          <t>48183179</t>
        </is>
      </c>
      <c r="G10" s="339" t="n">
        <v>45798</v>
      </c>
      <c r="H10" s="337" t="inlineStr">
        <is>
          <t>4937</t>
        </is>
      </c>
      <c r="I10" s="332">
        <f>IFERROR(VLOOKUP(TEXT(H10,"0"),IPRESS!$A$3:$B$212,2,0),"")</f>
        <v/>
      </c>
      <c r="J10" s="337" t="inlineStr">
        <is>
          <t>4932</t>
        </is>
      </c>
      <c r="K10" s="332">
        <f>IFERROR(VLOOKUP(TEXT(O10,"0"),CONDUCTORES!$A$3:$G$100,7,0),"")</f>
        <v/>
      </c>
      <c r="L10" s="340" t="n">
        <v>17.95</v>
      </c>
      <c r="M10" s="340" t="n">
        <v>5</v>
      </c>
      <c r="N10" s="333">
        <f>IFERROR(IF(L10*M10=0,"",L10*M10),"")</f>
        <v/>
      </c>
      <c r="O10" s="280" t="n"/>
      <c r="P10" s="332">
        <f>IFERROR(VLOOKUP(TEXT(O10,"0"),CONDUCTORES!$A$3:$G$100,2,0),"")</f>
        <v/>
      </c>
      <c r="Q10" s="332">
        <f>IFERROR(VLOOKUP(TEXT(O10,"0"),CONDUCTORES!$A$3:$H$100,6,0),"")</f>
        <v/>
      </c>
      <c r="R10" s="339" t="n">
        <v>45817</v>
      </c>
      <c r="S10" s="338" t="inlineStr">
        <is>
          <t>O800,Z349</t>
        </is>
      </c>
      <c r="T10" s="337" t="n"/>
      <c r="U10" s="341" t="n"/>
      <c r="V10" s="337" t="inlineStr">
        <is>
          <t>OFICIO 2371-2025</t>
        </is>
      </c>
      <c r="W10" s="337" t="inlineStr">
        <is>
          <t>915.0</t>
        </is>
      </c>
      <c r="X10" s="337" t="inlineStr">
        <is>
          <t>102.0</t>
        </is>
      </c>
      <c r="Y10" s="280" t="n"/>
    </row>
    <row r="11" ht="15.75" customHeight="1" s="195">
      <c r="A11" s="337" t="n">
        <v>6</v>
      </c>
      <c r="B11" s="338" t="inlineStr">
        <is>
          <t>00000008</t>
        </is>
      </c>
      <c r="C11" s="337" t="inlineStr">
        <is>
          <t>REGION</t>
        </is>
      </c>
      <c r="D11" s="338" t="inlineStr">
        <is>
          <t>CHAMORRO SALCEDO MARTHA MARIA</t>
        </is>
      </c>
      <c r="E11" s="337" t="inlineStr">
        <is>
          <t>DNI</t>
        </is>
      </c>
      <c r="F11" s="337" t="inlineStr">
        <is>
          <t>40980480</t>
        </is>
      </c>
      <c r="G11" s="339" t="n">
        <v>45799</v>
      </c>
      <c r="H11" s="337" t="inlineStr">
        <is>
          <t>4937</t>
        </is>
      </c>
      <c r="I11" s="332">
        <f>IFERROR(VLOOKUP(TEXT(H11,"0"),IPRESS!$A$3:$B$212,2,0),"")</f>
        <v/>
      </c>
      <c r="J11" s="337" t="inlineStr">
        <is>
          <t>4932</t>
        </is>
      </c>
      <c r="K11" s="332">
        <f>IFERROR(VLOOKUP(TEXT(O11,"0"),CONDUCTORES!$A$3:$G$100,7,0),"")</f>
        <v/>
      </c>
      <c r="L11" s="340" t="n">
        <v>17.95</v>
      </c>
      <c r="M11" s="340" t="n">
        <v>5</v>
      </c>
      <c r="N11" s="333">
        <f>IFERROR(IF(L11*M11=0,"",L11*M11),"")</f>
        <v/>
      </c>
      <c r="O11" s="334" t="n"/>
      <c r="P11" s="332">
        <f>IFERROR(VLOOKUP(TEXT(O11,"0"),CONDUCTORES!$A$3:$G$100,2,0),"")</f>
        <v/>
      </c>
      <c r="Q11" s="332">
        <f>IFERROR(VLOOKUP(TEXT(O11,"0"),CONDUCTORES!$A$3:$H$100,6,0),"")</f>
        <v/>
      </c>
      <c r="R11" s="339" t="n">
        <v>45817</v>
      </c>
      <c r="S11" s="338" t="inlineStr">
        <is>
          <t>O800,Z349</t>
        </is>
      </c>
      <c r="T11" s="337" t="n"/>
      <c r="U11" s="341" t="n"/>
      <c r="V11" s="337" t="inlineStr">
        <is>
          <t>OFICIO 2371-2025</t>
        </is>
      </c>
      <c r="W11" s="337" t="inlineStr">
        <is>
          <t>915.0</t>
        </is>
      </c>
      <c r="X11" s="337" t="inlineStr">
        <is>
          <t>102.0</t>
        </is>
      </c>
      <c r="Y11" s="280" t="n"/>
    </row>
    <row r="12" ht="15.75" customHeight="1" s="195">
      <c r="A12" s="337" t="n">
        <v>7</v>
      </c>
      <c r="B12" s="338" t="inlineStr">
        <is>
          <t>00000009</t>
        </is>
      </c>
      <c r="C12" s="337" t="inlineStr">
        <is>
          <t>REGION</t>
        </is>
      </c>
      <c r="D12" s="338" t="inlineStr">
        <is>
          <t>SOLANO RIMAPA PAULINA</t>
        </is>
      </c>
      <c r="E12" s="337" t="inlineStr">
        <is>
          <t>DNI</t>
        </is>
      </c>
      <c r="F12" s="337" t="inlineStr">
        <is>
          <t>60322682</t>
        </is>
      </c>
      <c r="G12" s="339" t="n">
        <v>45802</v>
      </c>
      <c r="H12" s="337" t="inlineStr">
        <is>
          <t>4937</t>
        </is>
      </c>
      <c r="I12" s="332">
        <f>IFERROR(VLOOKUP(TEXT(H12,"0"),IPRESS!$A$3:$B$212,2,0),"")</f>
        <v/>
      </c>
      <c r="J12" s="337" t="inlineStr">
        <is>
          <t>4932</t>
        </is>
      </c>
      <c r="K12" s="332">
        <f>IFERROR(VLOOKUP(TEXT(O12,"0"),CONDUCTORES!$A$3:$G$100,7,0),"")</f>
        <v/>
      </c>
      <c r="L12" s="340" t="n">
        <v>17.95</v>
      </c>
      <c r="M12" s="340" t="n">
        <v>5</v>
      </c>
      <c r="N12" s="333">
        <f>IFERROR(IF(L12*M12=0,"",L12*M12),"")</f>
        <v/>
      </c>
      <c r="O12" s="280" t="n"/>
      <c r="P12" s="332">
        <f>IFERROR(VLOOKUP(TEXT(O12,"0"),CONDUCTORES!$A$3:$G$100,2,0),"")</f>
        <v/>
      </c>
      <c r="Q12" s="332">
        <f>IFERROR(VLOOKUP(TEXT(O12,"0"),CONDUCTORES!$A$3:$H$100,6,0),"")</f>
        <v/>
      </c>
      <c r="R12" s="339" t="n">
        <v>45817</v>
      </c>
      <c r="S12" s="338" t="inlineStr">
        <is>
          <t>O800,Z349</t>
        </is>
      </c>
      <c r="T12" s="337" t="n"/>
      <c r="U12" s="341" t="n"/>
      <c r="V12" s="337" t="inlineStr">
        <is>
          <t>OFICIO 2371-2025</t>
        </is>
      </c>
      <c r="W12" s="337" t="inlineStr">
        <is>
          <t>915.0</t>
        </is>
      </c>
      <c r="X12" s="337" t="inlineStr">
        <is>
          <t>102.0</t>
        </is>
      </c>
      <c r="Y12" s="280" t="n"/>
    </row>
    <row r="13" ht="15.75" customHeight="1" s="195">
      <c r="A13" s="337" t="n">
        <v>8</v>
      </c>
      <c r="B13" s="338" t="inlineStr">
        <is>
          <t>00000010</t>
        </is>
      </c>
      <c r="C13" s="337" t="inlineStr">
        <is>
          <t>REGION</t>
        </is>
      </c>
      <c r="D13" s="338" t="inlineStr">
        <is>
          <t>PEREZ GUEVARA LADY ESMERALDA</t>
        </is>
      </c>
      <c r="E13" s="337" t="inlineStr">
        <is>
          <t>DNI</t>
        </is>
      </c>
      <c r="F13" s="337" t="inlineStr">
        <is>
          <t>72935712</t>
        </is>
      </c>
      <c r="G13" s="339" t="n">
        <v>45802</v>
      </c>
      <c r="H13" s="337" t="inlineStr">
        <is>
          <t>4937</t>
        </is>
      </c>
      <c r="I13" s="332">
        <f>IFERROR(VLOOKUP(TEXT(H13,"0"),IPRESS!$A$3:$B$212,2,0),"")</f>
        <v/>
      </c>
      <c r="J13" s="337" t="inlineStr">
        <is>
          <t>4932</t>
        </is>
      </c>
      <c r="K13" s="332">
        <f>IFERROR(VLOOKUP(TEXT(O13,"0"),CONDUCTORES!$A$3:$G$100,7,0),"")</f>
        <v/>
      </c>
      <c r="L13" s="340" t="n">
        <v>17.95</v>
      </c>
      <c r="M13" s="340" t="n">
        <v>5</v>
      </c>
      <c r="N13" s="333">
        <f>IFERROR(IF(L13*M13=0,"",L13*M13),"")</f>
        <v/>
      </c>
      <c r="O13" s="334" t="n"/>
      <c r="P13" s="332">
        <f>IFERROR(VLOOKUP(TEXT(O13,"0"),CONDUCTORES!$A$3:$G$100,2,0),"")</f>
        <v/>
      </c>
      <c r="Q13" s="332">
        <f>IFERROR(VLOOKUP(TEXT(O13,"0"),CONDUCTORES!$A$3:$H$100,6,0),"")</f>
        <v/>
      </c>
      <c r="R13" s="339" t="n">
        <v>45817</v>
      </c>
      <c r="S13" s="338" t="inlineStr">
        <is>
          <t>B374</t>
        </is>
      </c>
      <c r="T13" s="337" t="n"/>
      <c r="U13" s="341" t="n"/>
      <c r="V13" s="337" t="inlineStr">
        <is>
          <t>OFICIO 2371-2025</t>
        </is>
      </c>
      <c r="W13" s="337" t="inlineStr">
        <is>
          <t>915.0</t>
        </is>
      </c>
      <c r="X13" s="337" t="inlineStr">
        <is>
          <t>102.0</t>
        </is>
      </c>
      <c r="Y13" s="280" t="n"/>
    </row>
    <row r="14" ht="15.75" customHeight="1" s="195">
      <c r="A14" s="337" t="n">
        <v>9</v>
      </c>
      <c r="B14" s="338" t="inlineStr">
        <is>
          <t>00000011</t>
        </is>
      </c>
      <c r="C14" s="337" t="inlineStr">
        <is>
          <t>REGION</t>
        </is>
      </c>
      <c r="D14" s="338" t="inlineStr">
        <is>
          <t>VASQUEZ WALTER CINTHIA LORENA</t>
        </is>
      </c>
      <c r="E14" s="337" t="inlineStr">
        <is>
          <t>DNI</t>
        </is>
      </c>
      <c r="F14" s="337" t="inlineStr">
        <is>
          <t>60052890</t>
        </is>
      </c>
      <c r="G14" s="339" t="n">
        <v>45804</v>
      </c>
      <c r="H14" s="337" t="inlineStr">
        <is>
          <t>4937</t>
        </is>
      </c>
      <c r="I14" s="332">
        <f>IFERROR(VLOOKUP(TEXT(H14,"0"),IPRESS!$A$3:$B$212,2,0),"")</f>
        <v/>
      </c>
      <c r="J14" s="337" t="inlineStr">
        <is>
          <t>4932</t>
        </is>
      </c>
      <c r="K14" s="332">
        <f>IFERROR(VLOOKUP(TEXT(O14,"0"),CONDUCTORES!$A$3:$G$100,7,0),"")</f>
        <v/>
      </c>
      <c r="L14" s="340" t="n">
        <v>17.95</v>
      </c>
      <c r="M14" s="340" t="n">
        <v>5</v>
      </c>
      <c r="N14" s="333">
        <f>IFERROR(IF(L14*M14=0,"",L14*M14),"")</f>
        <v/>
      </c>
      <c r="O14" s="280" t="n"/>
      <c r="P14" s="332">
        <f>IFERROR(VLOOKUP(TEXT(O14,"0"),CONDUCTORES!$A$3:$G$100,2,0),"")</f>
        <v/>
      </c>
      <c r="Q14" s="332">
        <f>IFERROR(VLOOKUP(TEXT(O14,"0"),CONDUCTORES!$A$3:$H$100,6,0),"")</f>
        <v/>
      </c>
      <c r="R14" s="339" t="n">
        <v>45817</v>
      </c>
      <c r="S14" s="338" t="inlineStr">
        <is>
          <t>O800,Z340</t>
        </is>
      </c>
      <c r="T14" s="337" t="n"/>
      <c r="U14" s="341" t="n"/>
      <c r="V14" s="337" t="inlineStr">
        <is>
          <t>OFICIO 2371-2025</t>
        </is>
      </c>
      <c r="W14" s="337" t="inlineStr">
        <is>
          <t>915.0</t>
        </is>
      </c>
      <c r="X14" s="337" t="inlineStr">
        <is>
          <t>102.0</t>
        </is>
      </c>
      <c r="Y14" s="280" t="n"/>
    </row>
    <row r="15" ht="15.75" customHeight="1" s="195">
      <c r="A15" s="337" t="n">
        <v>10</v>
      </c>
      <c r="B15" s="338" t="inlineStr">
        <is>
          <t>00000012</t>
        </is>
      </c>
      <c r="C15" s="337" t="inlineStr">
        <is>
          <t>REGION</t>
        </is>
      </c>
      <c r="D15" s="338" t="inlineStr">
        <is>
          <t>LLAMO VASQUEZ REYNA ISABEL</t>
        </is>
      </c>
      <c r="E15" s="337" t="inlineStr">
        <is>
          <t>DNI</t>
        </is>
      </c>
      <c r="F15" s="337" t="inlineStr">
        <is>
          <t>40852279</t>
        </is>
      </c>
      <c r="G15" s="339" t="n">
        <v>45805</v>
      </c>
      <c r="H15" s="337" t="inlineStr">
        <is>
          <t>4937</t>
        </is>
      </c>
      <c r="I15" s="332">
        <f>IFERROR(VLOOKUP(TEXT(H15,"0"),IPRESS!$A$3:$B$212,2,0),"")</f>
        <v/>
      </c>
      <c r="J15" s="337" t="inlineStr">
        <is>
          <t>4932</t>
        </is>
      </c>
      <c r="K15" s="332">
        <f>IFERROR(VLOOKUP(TEXT(O15,"0"),CONDUCTORES!$A$3:$G$100,7,0),"")</f>
        <v/>
      </c>
      <c r="L15" s="340" t="n">
        <v>17.95</v>
      </c>
      <c r="M15" s="340" t="n">
        <v>5</v>
      </c>
      <c r="N15" s="333">
        <f>IFERROR(IF(L15*M15=0,"",L15*M15),"")</f>
        <v/>
      </c>
      <c r="O15" s="334" t="n"/>
      <c r="P15" s="332">
        <f>IFERROR(VLOOKUP(TEXT(O15,"0"),CONDUCTORES!$A$3:$G$100,2,0),"")</f>
        <v/>
      </c>
      <c r="Q15" s="332">
        <f>IFERROR(VLOOKUP(TEXT(O15,"0"),CONDUCTORES!$A$3:$H$100,6,0),"")</f>
        <v/>
      </c>
      <c r="R15" s="339" t="n">
        <v>45817</v>
      </c>
      <c r="S15" s="338" t="inlineStr">
        <is>
          <t>T633</t>
        </is>
      </c>
      <c r="T15" s="337" t="n"/>
      <c r="U15" s="341" t="n"/>
      <c r="V15" s="337" t="inlineStr">
        <is>
          <t>OFICIO 2371-2025</t>
        </is>
      </c>
      <c r="W15" s="337" t="inlineStr">
        <is>
          <t>915.0</t>
        </is>
      </c>
      <c r="X15" s="337" t="inlineStr">
        <is>
          <t>102.0</t>
        </is>
      </c>
      <c r="Y15" s="280" t="n"/>
    </row>
    <row r="16" ht="15.75" customHeight="1" s="195">
      <c r="A16" s="337" t="n">
        <v>6</v>
      </c>
      <c r="B16" s="338" t="inlineStr">
        <is>
          <t>00000013</t>
        </is>
      </c>
      <c r="C16" s="337" t="inlineStr">
        <is>
          <t>REGION</t>
        </is>
      </c>
      <c r="D16" s="338" t="inlineStr">
        <is>
          <t>BOCANEGRA DELGADO LASTENIA</t>
        </is>
      </c>
      <c r="E16" s="337" t="inlineStr">
        <is>
          <t>DNI</t>
        </is>
      </c>
      <c r="F16" s="337" t="inlineStr">
        <is>
          <t>41393650</t>
        </is>
      </c>
      <c r="G16" s="339" t="n">
        <v>45806</v>
      </c>
      <c r="H16" s="337" t="inlineStr">
        <is>
          <t>4937</t>
        </is>
      </c>
      <c r="I16" s="332">
        <f>IFERROR(VLOOKUP(TEXT(H16,"0"),IPRESS!$A$3:$B$212,2,0),"")</f>
        <v/>
      </c>
      <c r="J16" s="337" t="inlineStr">
        <is>
          <t>4932</t>
        </is>
      </c>
      <c r="K16" s="332">
        <f>IFERROR(VLOOKUP(TEXT(O16,"0"),CONDUCTORES!$A$3:$G$100,7,0),"")</f>
        <v/>
      </c>
      <c r="L16" s="340" t="n">
        <v>17.95</v>
      </c>
      <c r="M16" s="340" t="n">
        <v>5</v>
      </c>
      <c r="N16" s="333">
        <f>IFERROR(IF(L16*M16=0,"",L16*M16),"")</f>
        <v/>
      </c>
      <c r="O16" s="280" t="n"/>
      <c r="P16" s="332">
        <f>IFERROR(VLOOKUP(TEXT(O16,"0"),CONDUCTORES!$A$3:$G$100,2,0),"")</f>
        <v/>
      </c>
      <c r="Q16" s="332">
        <f>IFERROR(VLOOKUP(TEXT(O16,"0"),CONDUCTORES!$A$3:$H$100,6,0),"")</f>
        <v/>
      </c>
      <c r="R16" s="339" t="n">
        <v>45817</v>
      </c>
      <c r="S16" s="338" t="inlineStr">
        <is>
          <t>O800,Z359</t>
        </is>
      </c>
      <c r="T16" s="337" t="n"/>
      <c r="U16" s="341" t="n"/>
      <c r="V16" s="337" t="inlineStr">
        <is>
          <t>OFICIO 2371-2025</t>
        </is>
      </c>
      <c r="W16" s="337" t="inlineStr">
        <is>
          <t>915.0</t>
        </is>
      </c>
      <c r="X16" s="337" t="inlineStr">
        <is>
          <t>102.0</t>
        </is>
      </c>
      <c r="Y16" s="280" t="n"/>
    </row>
    <row r="17" ht="15.75" customHeight="1" s="195">
      <c r="A17" s="241" t="n">
        <v>7</v>
      </c>
      <c r="B17" s="305" t="inlineStr">
        <is>
          <t>00000018</t>
        </is>
      </c>
      <c r="C17" s="241" t="inlineStr">
        <is>
          <t>REGION</t>
        </is>
      </c>
      <c r="D17" s="305" t="inlineStr">
        <is>
          <t>PISANGO SAURIN MARTHA LUZ</t>
        </is>
      </c>
      <c r="E17" s="241" t="inlineStr">
        <is>
          <t>DNI</t>
        </is>
      </c>
      <c r="F17" s="241" t="inlineStr">
        <is>
          <t>75807871</t>
        </is>
      </c>
      <c r="G17" s="336" t="n">
        <v>45786</v>
      </c>
      <c r="H17" s="241" t="inlineStr">
        <is>
          <t>4873</t>
        </is>
      </c>
      <c r="I17" s="332">
        <f>IFERROR(VLOOKUP(TEXT(H17,"0"),IPRESS!$A$3:$B$212,2,0),"")</f>
        <v/>
      </c>
      <c r="J17" s="241" t="inlineStr">
        <is>
          <t>5125</t>
        </is>
      </c>
      <c r="K17" s="332">
        <f>IFERROR(VLOOKUP(TEXT(O17,"0"),CONDUCTORES!$A$3:$G$100,7,0),"")</f>
        <v/>
      </c>
      <c r="L17" s="239" t="n">
        <v>18.18</v>
      </c>
      <c r="M17" s="239" t="n">
        <v>20</v>
      </c>
      <c r="N17" s="333">
        <f>IFERROR(IF(L17*M17=0,"",L17*M17),"")</f>
        <v/>
      </c>
      <c r="O17" s="334" t="n"/>
      <c r="P17" s="332">
        <f>IFERROR(VLOOKUP(TEXT(O17,"0"),CONDUCTORES!$A$3:$G$100,2,0),"")</f>
        <v/>
      </c>
      <c r="Q17" s="332">
        <f>IFERROR(VLOOKUP(TEXT(O17,"0"),CONDUCTORES!$A$3:$H$100,6,0),"")</f>
        <v/>
      </c>
      <c r="R17" s="336" t="n">
        <v>45841</v>
      </c>
      <c r="S17" s="305" t="inlineStr">
        <is>
          <t>O03X</t>
        </is>
      </c>
      <c r="T17" s="241" t="n"/>
      <c r="U17" s="280" t="n"/>
      <c r="V17" s="241" t="n"/>
      <c r="W17" s="241" t="n"/>
      <c r="X17" s="241" t="n"/>
      <c r="Y17" s="280" t="n"/>
    </row>
    <row r="18" ht="15.75" customHeight="1" s="195">
      <c r="A18" s="301" t="n">
        <v>8</v>
      </c>
      <c r="B18" s="302" t="inlineStr">
        <is>
          <t>00000019</t>
        </is>
      </c>
      <c r="C18" s="301" t="inlineStr">
        <is>
          <t>REGION</t>
        </is>
      </c>
      <c r="D18" s="302" t="inlineStr">
        <is>
          <t>ANTICONA TORRES YEILY MEYLI</t>
        </is>
      </c>
      <c r="E18" s="301" t="inlineStr">
        <is>
          <t>DNI</t>
        </is>
      </c>
      <c r="F18" s="301" t="inlineStr">
        <is>
          <t>77324938</t>
        </is>
      </c>
      <c r="G18" s="331" t="n">
        <v>45793</v>
      </c>
      <c r="H18" s="301" t="inlineStr">
        <is>
          <t>4873</t>
        </is>
      </c>
      <c r="I18" s="332">
        <f>IFERROR(VLOOKUP(TEXT(H18,"0"),IPRESS!$A$3:$B$212,2,0),"")</f>
        <v/>
      </c>
      <c r="J18" s="301" t="inlineStr">
        <is>
          <t>4838</t>
        </is>
      </c>
      <c r="K18" s="332">
        <f>IFERROR(VLOOKUP(TEXT(O18,"0"),CONDUCTORES!$A$3:$G$100,7,0),"")</f>
        <v/>
      </c>
      <c r="L18" s="245" t="n">
        <v>18.18</v>
      </c>
      <c r="M18" s="245" t="n">
        <v>20</v>
      </c>
      <c r="N18" s="333">
        <f>IFERROR(IF(L18*M18=0,"",L18*M18),"")</f>
        <v/>
      </c>
      <c r="O18" s="280" t="n"/>
      <c r="P18" s="332">
        <f>IFERROR(VLOOKUP(TEXT(O18,"0"),CONDUCTORES!$A$3:$G$100,2,0),"")</f>
        <v/>
      </c>
      <c r="Q18" s="332">
        <f>IFERROR(VLOOKUP(TEXT(O18,"0"),CONDUCTORES!$A$3:$H$100,6,0),"")</f>
        <v/>
      </c>
      <c r="R18" s="331" t="n">
        <v>45841</v>
      </c>
      <c r="S18" s="302" t="inlineStr">
        <is>
          <t>K359</t>
        </is>
      </c>
      <c r="T18" s="301" t="n"/>
      <c r="U18" s="334" t="n"/>
      <c r="V18" s="301" t="n"/>
      <c r="W18" s="301" t="n"/>
      <c r="X18" s="301" t="n"/>
      <c r="Y18" s="280" t="n"/>
    </row>
    <row r="19" ht="15.75" customHeight="1" s="195">
      <c r="A19" s="337" t="n">
        <v>9</v>
      </c>
      <c r="B19" s="338" t="inlineStr">
        <is>
          <t>00000002</t>
        </is>
      </c>
      <c r="C19" s="337" t="inlineStr">
        <is>
          <t>REGION</t>
        </is>
      </c>
      <c r="D19" s="338" t="inlineStr">
        <is>
          <t>CORONADO HIDALGO CARMEN ROSA</t>
        </is>
      </c>
      <c r="E19" s="337" t="inlineStr">
        <is>
          <t>DNI</t>
        </is>
      </c>
      <c r="F19" s="337" t="inlineStr">
        <is>
          <t>48431988</t>
        </is>
      </c>
      <c r="G19" s="339" t="n">
        <v>45799</v>
      </c>
      <c r="H19" s="337" t="inlineStr">
        <is>
          <t>4885</t>
        </is>
      </c>
      <c r="I19" s="332">
        <f>IFERROR(VLOOKUP(TEXT(H19,"0"),IPRESS!$A$3:$B$212,2,0),"")</f>
        <v/>
      </c>
      <c r="J19" s="337" t="inlineStr">
        <is>
          <t>4838</t>
        </is>
      </c>
      <c r="K19" s="332">
        <f>IFERROR(VLOOKUP(TEXT(O19,"0"),CONDUCTORES!$A$3:$G$100,7,0),"")</f>
        <v/>
      </c>
      <c r="L19" s="340" t="n">
        <v>17.95</v>
      </c>
      <c r="M19" s="340" t="n">
        <v>21</v>
      </c>
      <c r="N19" s="333">
        <f>IFERROR(IF(L19*M19=0,"",L19*M19),"")</f>
        <v/>
      </c>
      <c r="O19" s="334" t="n"/>
      <c r="P19" s="332">
        <f>IFERROR(VLOOKUP(TEXT(O19,"0"),CONDUCTORES!$A$3:$G$100,2,0),"")</f>
        <v/>
      </c>
      <c r="Q19" s="332">
        <f>IFERROR(VLOOKUP(TEXT(O19,"0"),CONDUCTORES!$A$3:$H$100,6,0),"")</f>
        <v/>
      </c>
      <c r="R19" s="339" t="n">
        <v>45827</v>
      </c>
      <c r="S19" s="338" t="inlineStr">
        <is>
          <t>I679</t>
        </is>
      </c>
      <c r="T19" s="337" t="n"/>
      <c r="U19" s="341" t="n"/>
      <c r="V19" s="337" t="n"/>
      <c r="W19" s="337" t="n"/>
      <c r="X19" s="337" t="n"/>
      <c r="Y19" s="280" t="n"/>
    </row>
    <row r="20" ht="15.75" customHeight="1" s="195">
      <c r="A20" s="301" t="n">
        <v>10</v>
      </c>
      <c r="B20" s="302" t="inlineStr">
        <is>
          <t>00000011</t>
        </is>
      </c>
      <c r="C20" s="301" t="inlineStr">
        <is>
          <t>REGION</t>
        </is>
      </c>
      <c r="D20" s="302" t="inlineStr">
        <is>
          <t>ALTAMIRANO MEDINA JADE LISBETH</t>
        </is>
      </c>
      <c r="E20" s="301" t="inlineStr">
        <is>
          <t>DNI</t>
        </is>
      </c>
      <c r="F20" s="301" t="inlineStr">
        <is>
          <t>60130435</t>
        </is>
      </c>
      <c r="G20" s="331" t="n">
        <v>45802</v>
      </c>
      <c r="H20" s="301" t="inlineStr">
        <is>
          <t>4874</t>
        </is>
      </c>
      <c r="I20" s="332">
        <f>IFERROR(VLOOKUP(TEXT(H20,"0"),IPRESS!$A$3:$B$212,2,0),"")</f>
        <v/>
      </c>
      <c r="J20" s="301" t="inlineStr">
        <is>
          <t>4838</t>
        </is>
      </c>
      <c r="K20" s="332">
        <f>IFERROR(VLOOKUP(TEXT(O20,"0"),CONDUCTORES!$A$3:$G$100,7,0),"")</f>
        <v/>
      </c>
      <c r="L20" s="245" t="n">
        <v>18.18</v>
      </c>
      <c r="M20" s="245" t="n">
        <v>25</v>
      </c>
      <c r="N20" s="333">
        <f>IFERROR(IF(L20*M20=0,"",L20*M20),"")</f>
        <v/>
      </c>
      <c r="O20" s="280" t="n"/>
      <c r="P20" s="332">
        <f>IFERROR(VLOOKUP(TEXT(O20,"0"),CONDUCTORES!$A$3:$G$100,2,0),"")</f>
        <v/>
      </c>
      <c r="Q20" s="332">
        <f>IFERROR(VLOOKUP(TEXT(O20,"0"),CONDUCTORES!$A$3:$H$100,6,0),"")</f>
        <v/>
      </c>
      <c r="R20" s="331" t="n">
        <v>45828</v>
      </c>
      <c r="S20" s="302" t="inlineStr">
        <is>
          <t>R100,K566,K562</t>
        </is>
      </c>
      <c r="T20" s="301" t="n"/>
      <c r="U20" s="334" t="n"/>
      <c r="V20" s="301" t="n"/>
      <c r="W20" s="301" t="n"/>
      <c r="X20" s="301" t="n"/>
      <c r="Y20" s="280" t="n"/>
    </row>
    <row r="21" ht="15.75" customHeight="1" s="195">
      <c r="A21" s="241" t="n">
        <v>11</v>
      </c>
      <c r="B21" s="305" t="inlineStr">
        <is>
          <t>00000010</t>
        </is>
      </c>
      <c r="C21" s="241" t="inlineStr">
        <is>
          <t>REGION</t>
        </is>
      </c>
      <c r="D21" s="305" t="inlineStr">
        <is>
          <t>REGALADO LLANOS RUBI DEL PILAR</t>
        </is>
      </c>
      <c r="E21" s="241" t="inlineStr">
        <is>
          <t>DNI</t>
        </is>
      </c>
      <c r="F21" s="241" t="inlineStr">
        <is>
          <t>76667453</t>
        </is>
      </c>
      <c r="G21" s="336" t="n">
        <v>45791</v>
      </c>
      <c r="H21" s="241" t="inlineStr">
        <is>
          <t>4874</t>
        </is>
      </c>
      <c r="I21" s="332">
        <f>IFERROR(VLOOKUP(TEXT(H21,"0"),IPRESS!$A$3:$B$212,2,0),"")</f>
        <v/>
      </c>
      <c r="J21" s="241" t="inlineStr">
        <is>
          <t>4838</t>
        </is>
      </c>
      <c r="K21" s="332">
        <f>IFERROR(VLOOKUP(TEXT(O21,"0"),CONDUCTORES!$A$3:$G$100,7,0),"")</f>
        <v/>
      </c>
      <c r="L21" s="239" t="n">
        <v>18.18</v>
      </c>
      <c r="M21" s="239" t="n">
        <v>25</v>
      </c>
      <c r="N21" s="333">
        <f>IFERROR(IF(L21*M21=0,"",L21*M21),"")</f>
        <v/>
      </c>
      <c r="O21" s="334" t="n"/>
      <c r="P21" s="332">
        <f>IFERROR(VLOOKUP(TEXT(O21,"0"),CONDUCTORES!$A$3:$G$100,2,0),"")</f>
        <v/>
      </c>
      <c r="Q21" s="332">
        <f>IFERROR(VLOOKUP(TEXT(O21,"0"),CONDUCTORES!$A$3:$H$100,6,0),"")</f>
        <v/>
      </c>
      <c r="R21" s="336" t="n">
        <v>45828</v>
      </c>
      <c r="S21" s="305" t="inlineStr">
        <is>
          <t>Z359,O331,O239</t>
        </is>
      </c>
      <c r="T21" s="241" t="n"/>
      <c r="U21" s="280" t="n"/>
      <c r="V21" s="241" t="n"/>
      <c r="W21" s="241" t="n"/>
      <c r="X21" s="241" t="n"/>
      <c r="Y21" s="280" t="n"/>
    </row>
    <row r="22" ht="15.75" customHeight="1" s="195">
      <c r="A22" s="301" t="n">
        <v>12</v>
      </c>
      <c r="B22" s="302" t="inlineStr">
        <is>
          <t>00000009</t>
        </is>
      </c>
      <c r="C22" s="301" t="inlineStr">
        <is>
          <t>REGION</t>
        </is>
      </c>
      <c r="D22" s="302" t="inlineStr">
        <is>
          <t>VEGA PERALTA SEGUNDO AUGUSTO</t>
        </is>
      </c>
      <c r="E22" s="301" t="inlineStr">
        <is>
          <t>DNI</t>
        </is>
      </c>
      <c r="F22" s="301" t="inlineStr">
        <is>
          <t>33783835</t>
        </is>
      </c>
      <c r="G22" s="331" t="n">
        <v>45799</v>
      </c>
      <c r="H22" s="301" t="inlineStr">
        <is>
          <t>4874</t>
        </is>
      </c>
      <c r="I22" s="332">
        <f>IFERROR(VLOOKUP(TEXT(H22,"0"),IPRESS!$A$3:$B$212,2,0),"")</f>
        <v/>
      </c>
      <c r="J22" s="301" t="inlineStr">
        <is>
          <t>5125</t>
        </is>
      </c>
      <c r="K22" s="332">
        <f>IFERROR(VLOOKUP(TEXT(O22,"0"),CONDUCTORES!$A$3:$G$100,7,0),"")</f>
        <v/>
      </c>
      <c r="L22" s="245" t="n">
        <v>18.18</v>
      </c>
      <c r="M22" s="245" t="n">
        <v>20</v>
      </c>
      <c r="N22" s="333">
        <f>IFERROR(IF(L22*M22=0,"",L22*M22),"")</f>
        <v/>
      </c>
      <c r="O22" s="280" t="n"/>
      <c r="P22" s="332">
        <f>IFERROR(VLOOKUP(TEXT(O22,"0"),CONDUCTORES!$A$3:$G$100,2,0),"")</f>
        <v/>
      </c>
      <c r="Q22" s="332">
        <f>IFERROR(VLOOKUP(TEXT(O22,"0"),CONDUCTORES!$A$3:$H$100,6,0),"")</f>
        <v/>
      </c>
      <c r="R22" s="331" t="n">
        <v>45828</v>
      </c>
      <c r="S22" s="302" t="inlineStr">
        <is>
          <t>J960</t>
        </is>
      </c>
      <c r="T22" s="301" t="n"/>
      <c r="U22" s="334" t="n"/>
      <c r="V22" s="301" t="n"/>
      <c r="W22" s="301" t="n"/>
      <c r="X22" s="301" t="n"/>
      <c r="Y22" s="280" t="n"/>
    </row>
    <row r="23" ht="15.75" customHeight="1" s="195">
      <c r="A23" s="241" t="n">
        <v>13</v>
      </c>
      <c r="B23" s="305" t="inlineStr">
        <is>
          <t>00000025</t>
        </is>
      </c>
      <c r="C23" s="241" t="inlineStr">
        <is>
          <t>REGION</t>
        </is>
      </c>
      <c r="D23" s="305" t="inlineStr">
        <is>
          <t>VELA CHAVEZ JORGE</t>
        </is>
      </c>
      <c r="E23" s="241" t="inlineStr">
        <is>
          <t>DNI</t>
        </is>
      </c>
      <c r="F23" s="241" t="inlineStr">
        <is>
          <t>46509580</t>
        </is>
      </c>
      <c r="G23" s="336" t="n">
        <v>45803</v>
      </c>
      <c r="H23" s="241" t="inlineStr">
        <is>
          <t>4895</t>
        </is>
      </c>
      <c r="I23" s="332">
        <f>IFERROR(VLOOKUP(TEXT(H23,"0"),IPRESS!$A$3:$B$212,2,0),"")</f>
        <v/>
      </c>
      <c r="J23" s="241" t="inlineStr">
        <is>
          <t>4838</t>
        </is>
      </c>
      <c r="K23" s="332">
        <f>IFERROR(VLOOKUP(TEXT(O23,"0"),CONDUCTORES!$A$3:$G$100,7,0),"")</f>
        <v/>
      </c>
      <c r="L23" s="239" t="n">
        <v>18.18</v>
      </c>
      <c r="M23" s="239" t="n">
        <v>7</v>
      </c>
      <c r="N23" s="333">
        <f>IFERROR(IF(L23*M23=0,"",L23*M23),"")</f>
        <v/>
      </c>
      <c r="O23" s="334" t="n"/>
      <c r="P23" s="332">
        <f>IFERROR(VLOOKUP(TEXT(O23,"0"),CONDUCTORES!$A$3:$G$100,2,0),"")</f>
        <v/>
      </c>
      <c r="Q23" s="332">
        <f>IFERROR(VLOOKUP(TEXT(O23,"0"),CONDUCTORES!$A$3:$H$100,6,0),"")</f>
        <v/>
      </c>
      <c r="R23" s="336" t="n">
        <v>45828</v>
      </c>
      <c r="S23" s="305" t="inlineStr">
        <is>
          <t>S619</t>
        </is>
      </c>
      <c r="T23" s="241" t="n"/>
      <c r="U23" s="280" t="n"/>
      <c r="V23" s="241" t="n"/>
      <c r="W23" s="241" t="n"/>
      <c r="X23" s="241" t="n"/>
      <c r="Y23" s="280" t="n"/>
    </row>
    <row r="24" ht="15.75" customHeight="1" s="195">
      <c r="A24" s="301" t="n">
        <v>14</v>
      </c>
      <c r="B24" s="302" t="inlineStr">
        <is>
          <t>00000027</t>
        </is>
      </c>
      <c r="C24" s="301" t="inlineStr">
        <is>
          <t>REGION</t>
        </is>
      </c>
      <c r="D24" s="302" t="inlineStr">
        <is>
          <t>LOPEZ GUADALUPE NARDY FIORELA</t>
        </is>
      </c>
      <c r="E24" s="301" t="inlineStr">
        <is>
          <t>DNI</t>
        </is>
      </c>
      <c r="F24" s="301" t="inlineStr">
        <is>
          <t>79521369</t>
        </is>
      </c>
      <c r="G24" s="331" t="n">
        <v>45797</v>
      </c>
      <c r="H24" s="301" t="inlineStr">
        <is>
          <t>4843</t>
        </is>
      </c>
      <c r="I24" s="332">
        <f>IFERROR(VLOOKUP(TEXT(H24,"0"),IPRESS!$A$3:$B$212,2,0),"")</f>
        <v/>
      </c>
      <c r="J24" s="301" t="inlineStr">
        <is>
          <t>4838</t>
        </is>
      </c>
      <c r="K24" s="332">
        <f>IFERROR(VLOOKUP(TEXT(O24,"0"),CONDUCTORES!$A$3:$G$100,7,0),"")</f>
        <v/>
      </c>
      <c r="L24" s="245" t="n">
        <v>18.18</v>
      </c>
      <c r="M24" s="245" t="n">
        <v>20</v>
      </c>
      <c r="N24" s="333">
        <f>IFERROR(IF(L24*M24=0,"",L24*M24),"")</f>
        <v/>
      </c>
      <c r="O24" s="280" t="n"/>
      <c r="P24" s="332">
        <f>IFERROR(VLOOKUP(TEXT(O24,"0"),CONDUCTORES!$A$3:$G$100,2,0),"")</f>
        <v/>
      </c>
      <c r="Q24" s="332">
        <f>IFERROR(VLOOKUP(TEXT(O24,"0"),CONDUCTORES!$A$3:$H$100,6,0),"")</f>
        <v/>
      </c>
      <c r="R24" s="334" t="inlineStr">
        <is>
          <t>ATENDIDO 18/06/2025</t>
        </is>
      </c>
      <c r="S24" s="302" t="inlineStr">
        <is>
          <t>D6103</t>
        </is>
      </c>
      <c r="T24" s="301" t="n"/>
      <c r="U24" s="334" t="n"/>
      <c r="V24" s="301" t="n"/>
      <c r="W24" s="301" t="n"/>
      <c r="X24" s="301" t="n"/>
      <c r="Y24" s="280" t="n"/>
    </row>
    <row r="25" ht="15.75" customHeight="1" s="195">
      <c r="A25" s="241" t="n">
        <v>15</v>
      </c>
      <c r="B25" s="305" t="inlineStr">
        <is>
          <t>00000006</t>
        </is>
      </c>
      <c r="C25" s="241" t="inlineStr">
        <is>
          <t>REGION</t>
        </is>
      </c>
      <c r="D25" s="305" t="inlineStr">
        <is>
          <t>AGUILAR RAMOS OVER</t>
        </is>
      </c>
      <c r="E25" s="241" t="inlineStr">
        <is>
          <t>DNI</t>
        </is>
      </c>
      <c r="F25" s="241" t="inlineStr">
        <is>
          <t>61559327</t>
        </is>
      </c>
      <c r="G25" s="336" t="n">
        <v>45807</v>
      </c>
      <c r="H25" s="241" t="inlineStr">
        <is>
          <t>4843</t>
        </is>
      </c>
      <c r="I25" s="332">
        <f>IFERROR(VLOOKUP(TEXT(H25,"0"),IPRESS!$A$3:$B$212,2,0),"")</f>
        <v/>
      </c>
      <c r="J25" s="241" t="inlineStr">
        <is>
          <t>4838</t>
        </is>
      </c>
      <c r="K25" s="332">
        <f>IFERROR(VLOOKUP(TEXT(O25,"0"),CONDUCTORES!$A$3:$G$100,7,0),"")</f>
        <v/>
      </c>
      <c r="L25" s="239" t="n">
        <v>18.18</v>
      </c>
      <c r="M25" s="239" t="n">
        <v>20</v>
      </c>
      <c r="N25" s="333">
        <f>IFERROR(IF(L25*M25=0,"",L25*M25),"")</f>
        <v/>
      </c>
      <c r="O25" s="334" t="n"/>
      <c r="P25" s="332">
        <f>IFERROR(VLOOKUP(TEXT(O25,"0"),CONDUCTORES!$A$3:$G$100,2,0),"")</f>
        <v/>
      </c>
      <c r="Q25" s="332">
        <f>IFERROR(VLOOKUP(TEXT(O25,"0"),CONDUCTORES!$A$3:$H$100,6,0),"")</f>
        <v/>
      </c>
      <c r="R25" s="280" t="inlineStr">
        <is>
          <t>ATENDIDO 18/06/2025</t>
        </is>
      </c>
      <c r="S25" s="305" t="inlineStr">
        <is>
          <t>K359</t>
        </is>
      </c>
      <c r="T25" s="241" t="n"/>
      <c r="U25" s="280" t="n"/>
      <c r="V25" s="241" t="n"/>
      <c r="W25" s="241" t="n"/>
      <c r="X25" s="241" t="n"/>
      <c r="Y25" s="280" t="n"/>
    </row>
    <row r="26" ht="15.75" customHeight="1" s="195">
      <c r="A26" s="301" t="n">
        <v>11</v>
      </c>
      <c r="B26" s="302" t="inlineStr">
        <is>
          <t>00000102</t>
        </is>
      </c>
      <c r="C26" s="301" t="inlineStr">
        <is>
          <t>REGION</t>
        </is>
      </c>
      <c r="D26" s="302" t="inlineStr">
        <is>
          <t>OCAMPO CASTRO ANGHELINA</t>
        </is>
      </c>
      <c r="E26" s="301" t="inlineStr">
        <is>
          <t>DNI</t>
        </is>
      </c>
      <c r="F26" s="301" t="inlineStr">
        <is>
          <t>62155603</t>
        </is>
      </c>
      <c r="G26" s="331" t="n">
        <v>45779</v>
      </c>
      <c r="H26" s="301" t="inlineStr">
        <is>
          <t>4950</t>
        </is>
      </c>
      <c r="I26" s="332">
        <f>IFERROR(VLOOKUP(TEXT(H26,"0"),IPRESS!$A$3:$B$212,2,0),"")</f>
        <v/>
      </c>
      <c r="J26" s="301" t="inlineStr">
        <is>
          <t>4838</t>
        </is>
      </c>
      <c r="K26" s="332">
        <f>IFERROR(VLOOKUP(TEXT(O26,"0"),CONDUCTORES!$A$3:$G$100,7,0),"")</f>
        <v/>
      </c>
      <c r="L26" s="245" t="n">
        <v>20.25</v>
      </c>
      <c r="M26" s="245" t="n">
        <v>7</v>
      </c>
      <c r="N26" s="333">
        <f>IFERROR(IF(L26*M26=0,"",L26*M26),"")</f>
        <v/>
      </c>
      <c r="O26" s="280" t="n"/>
      <c r="P26" s="332">
        <f>IFERROR(VLOOKUP(TEXT(O26,"0"),CONDUCTORES!$A$3:$G$100,2,0),"")</f>
        <v/>
      </c>
      <c r="Q26" s="332">
        <f>IFERROR(VLOOKUP(TEXT(O26,"0"),CONDUCTORES!$A$3:$H$100,6,0),"")</f>
        <v/>
      </c>
      <c r="R26" s="334" t="inlineStr">
        <is>
          <t>ENTREGADO 17/06/2025</t>
        </is>
      </c>
      <c r="S26" s="302" t="inlineStr">
        <is>
          <t>K359,R11X,N390</t>
        </is>
      </c>
      <c r="T26" s="301" t="n"/>
      <c r="U26" s="334" t="n"/>
      <c r="V26" s="301" t="n"/>
      <c r="W26" s="301" t="inlineStr">
        <is>
          <t>3479.0</t>
        </is>
      </c>
      <c r="X26" s="301" t="inlineStr">
        <is>
          <t>189.0</t>
        </is>
      </c>
      <c r="Y26" s="280" t="n"/>
    </row>
    <row r="27" ht="15.75" customHeight="1" s="195">
      <c r="A27" s="241" t="n">
        <v>12</v>
      </c>
      <c r="B27" s="305" t="inlineStr">
        <is>
          <t>00000103</t>
        </is>
      </c>
      <c r="C27" s="241" t="inlineStr">
        <is>
          <t>REGION</t>
        </is>
      </c>
      <c r="D27" s="305" t="inlineStr">
        <is>
          <t>TAFUR TRUJILLO NOEMI</t>
        </is>
      </c>
      <c r="E27" s="241" t="inlineStr">
        <is>
          <t>DNI</t>
        </is>
      </c>
      <c r="F27" s="241" t="inlineStr">
        <is>
          <t>73752922</t>
        </is>
      </c>
      <c r="G27" s="336" t="n">
        <v>45780</v>
      </c>
      <c r="H27" s="241" t="inlineStr">
        <is>
          <t>4950</t>
        </is>
      </c>
      <c r="I27" s="332">
        <f>IFERROR(VLOOKUP(TEXT(H27,"0"),IPRESS!$A$3:$B$212,2,0),"")</f>
        <v/>
      </c>
      <c r="J27" s="241" t="inlineStr">
        <is>
          <t>4838</t>
        </is>
      </c>
      <c r="K27" s="332">
        <f>IFERROR(VLOOKUP(TEXT(O27,"0"),CONDUCTORES!$A$3:$G$100,7,0),"")</f>
        <v/>
      </c>
      <c r="L27" s="239" t="n">
        <v>20.25</v>
      </c>
      <c r="M27" s="239" t="n">
        <v>6</v>
      </c>
      <c r="N27" s="333">
        <f>IFERROR(IF(L27*M27=0,"",L27*M27),"")</f>
        <v/>
      </c>
      <c r="O27" s="334" t="n"/>
      <c r="P27" s="332">
        <f>IFERROR(VLOOKUP(TEXT(O27,"0"),CONDUCTORES!$A$3:$G$100,2,0),"")</f>
        <v/>
      </c>
      <c r="Q27" s="332">
        <f>IFERROR(VLOOKUP(TEXT(O27,"0"),CONDUCTORES!$A$3:$H$100,6,0),"")</f>
        <v/>
      </c>
      <c r="R27" s="280" t="inlineStr">
        <is>
          <t>ENTREGADO 17/06/2025</t>
        </is>
      </c>
      <c r="S27" s="305" t="inlineStr">
        <is>
          <t>K808,K830,D509</t>
        </is>
      </c>
      <c r="T27" s="241" t="n"/>
      <c r="U27" s="280" t="n"/>
      <c r="V27" s="241" t="n"/>
      <c r="W27" s="241" t="inlineStr">
        <is>
          <t>3479.0</t>
        </is>
      </c>
      <c r="X27" s="241" t="inlineStr">
        <is>
          <t>189.0</t>
        </is>
      </c>
      <c r="Y27" s="280" t="n"/>
    </row>
    <row r="28" ht="15.75" customHeight="1" s="195">
      <c r="A28" s="301" t="n">
        <v>13</v>
      </c>
      <c r="B28" s="302" t="inlineStr">
        <is>
          <t>00000104</t>
        </is>
      </c>
      <c r="C28" s="301" t="inlineStr">
        <is>
          <t>REGION</t>
        </is>
      </c>
      <c r="D28" s="302" t="inlineStr">
        <is>
          <t>QUISPE TUESTA MARYLIN</t>
        </is>
      </c>
      <c r="E28" s="301" t="inlineStr">
        <is>
          <t>DNI</t>
        </is>
      </c>
      <c r="F28" s="301" t="inlineStr">
        <is>
          <t>73452496</t>
        </is>
      </c>
      <c r="G28" s="331" t="n">
        <v>45781</v>
      </c>
      <c r="H28" s="301" t="inlineStr">
        <is>
          <t>4950</t>
        </is>
      </c>
      <c r="I28" s="332">
        <f>IFERROR(VLOOKUP(TEXT(H28,"0"),IPRESS!$A$3:$B$212,2,0),"")</f>
        <v/>
      </c>
      <c r="J28" s="301" t="inlineStr">
        <is>
          <t>4838</t>
        </is>
      </c>
      <c r="K28" s="332">
        <f>IFERROR(VLOOKUP(TEXT(O28,"0"),CONDUCTORES!$A$3:$G$100,7,0),"")</f>
        <v/>
      </c>
      <c r="L28" s="245" t="n">
        <v>20.25</v>
      </c>
      <c r="M28" s="245" t="n">
        <v>6</v>
      </c>
      <c r="N28" s="333">
        <f>IFERROR(IF(L28*M28=0,"",L28*M28),"")</f>
        <v/>
      </c>
      <c r="O28" s="280" t="n"/>
      <c r="P28" s="332">
        <f>IFERROR(VLOOKUP(TEXT(O28,"0"),CONDUCTORES!$A$3:$G$100,2,0),"")</f>
        <v/>
      </c>
      <c r="Q28" s="332">
        <f>IFERROR(VLOOKUP(TEXT(O28,"0"),CONDUCTORES!$A$3:$H$100,6,0),"")</f>
        <v/>
      </c>
      <c r="R28" s="334" t="inlineStr">
        <is>
          <t>ENTREGADO 17/06/2025</t>
        </is>
      </c>
      <c r="S28" s="302" t="inlineStr">
        <is>
          <t>O639</t>
        </is>
      </c>
      <c r="T28" s="301" t="n"/>
      <c r="U28" s="334" t="n"/>
      <c r="V28" s="301" t="n"/>
      <c r="W28" s="301" t="inlineStr">
        <is>
          <t>3479.0</t>
        </is>
      </c>
      <c r="X28" s="301" t="inlineStr">
        <is>
          <t>189.0</t>
        </is>
      </c>
      <c r="Y28" s="280" t="n"/>
    </row>
    <row r="29" ht="15.75" customHeight="1" s="195">
      <c r="A29" s="241" t="n">
        <v>14</v>
      </c>
      <c r="B29" s="305" t="inlineStr">
        <is>
          <t>00000105</t>
        </is>
      </c>
      <c r="C29" s="241" t="inlineStr">
        <is>
          <t>REGION</t>
        </is>
      </c>
      <c r="D29" s="305" t="inlineStr">
        <is>
          <t>LOPEZ QUINTANA JOSE EDILBERTO</t>
        </is>
      </c>
      <c r="E29" s="241" t="inlineStr">
        <is>
          <t>DNI</t>
        </is>
      </c>
      <c r="F29" s="241" t="inlineStr">
        <is>
          <t>33952565</t>
        </is>
      </c>
      <c r="G29" s="336" t="n">
        <v>45781</v>
      </c>
      <c r="H29" s="241" t="inlineStr">
        <is>
          <t>4950</t>
        </is>
      </c>
      <c r="I29" s="332">
        <f>IFERROR(VLOOKUP(TEXT(H29,"0"),IPRESS!$A$3:$B$212,2,0),"")</f>
        <v/>
      </c>
      <c r="J29" s="241" t="inlineStr">
        <is>
          <t>4838</t>
        </is>
      </c>
      <c r="K29" s="332">
        <f>IFERROR(VLOOKUP(TEXT(O29,"0"),CONDUCTORES!$A$3:$G$100,7,0),"")</f>
        <v/>
      </c>
      <c r="L29" s="239" t="n">
        <v>20.25</v>
      </c>
      <c r="M29" s="239" t="n">
        <v>6</v>
      </c>
      <c r="N29" s="333">
        <f>IFERROR(IF(L29*M29=0,"",L29*M29),"")</f>
        <v/>
      </c>
      <c r="O29" s="334" t="n"/>
      <c r="P29" s="332">
        <f>IFERROR(VLOOKUP(TEXT(O29,"0"),CONDUCTORES!$A$3:$G$100,2,0),"")</f>
        <v/>
      </c>
      <c r="Q29" s="332">
        <f>IFERROR(VLOOKUP(TEXT(O29,"0"),CONDUCTORES!$A$3:$H$100,6,0),"")</f>
        <v/>
      </c>
      <c r="R29" s="280" t="inlineStr">
        <is>
          <t>ENTREGADO 17/06/2025</t>
        </is>
      </c>
      <c r="S29" s="305" t="inlineStr">
        <is>
          <t>I500,K743,N179</t>
        </is>
      </c>
      <c r="T29" s="241" t="n"/>
      <c r="U29" s="280" t="n"/>
      <c r="V29" s="241" t="n"/>
      <c r="W29" s="241" t="inlineStr">
        <is>
          <t>3479.0</t>
        </is>
      </c>
      <c r="X29" s="241" t="inlineStr">
        <is>
          <t>189.0</t>
        </is>
      </c>
      <c r="Y29" s="280" t="n"/>
    </row>
    <row r="30" ht="15.75" customHeight="1" s="195">
      <c r="A30" s="301" t="n">
        <v>15</v>
      </c>
      <c r="B30" s="302" t="inlineStr">
        <is>
          <t>00000106</t>
        </is>
      </c>
      <c r="C30" s="301" t="inlineStr">
        <is>
          <t>REGION</t>
        </is>
      </c>
      <c r="D30" s="302" t="inlineStr">
        <is>
          <t>JIMENEZ PINTADO PAULA</t>
        </is>
      </c>
      <c r="E30" s="301" t="inlineStr">
        <is>
          <t>DNI</t>
        </is>
      </c>
      <c r="F30" s="301" t="inlineStr">
        <is>
          <t>48303232</t>
        </is>
      </c>
      <c r="G30" s="331" t="n">
        <v>45782</v>
      </c>
      <c r="H30" s="301" t="inlineStr">
        <is>
          <t>4950</t>
        </is>
      </c>
      <c r="I30" s="332">
        <f>IFERROR(VLOOKUP(TEXT(H30,"0"),IPRESS!$A$3:$B$212,2,0),"")</f>
        <v/>
      </c>
      <c r="J30" s="301" t="inlineStr">
        <is>
          <t>4838</t>
        </is>
      </c>
      <c r="K30" s="332">
        <f>IFERROR(VLOOKUP(TEXT(O30,"0"),CONDUCTORES!$A$3:$G$100,7,0),"")</f>
        <v/>
      </c>
      <c r="L30" s="245" t="n">
        <v>20.25</v>
      </c>
      <c r="M30" s="245" t="n">
        <v>10</v>
      </c>
      <c r="N30" s="333">
        <f>IFERROR(IF(L30*M30=0,"",L30*M30),"")</f>
        <v/>
      </c>
      <c r="O30" s="280" t="n"/>
      <c r="P30" s="332">
        <f>IFERROR(VLOOKUP(TEXT(O30,"0"),CONDUCTORES!$A$3:$G$100,2,0),"")</f>
        <v/>
      </c>
      <c r="Q30" s="332">
        <f>IFERROR(VLOOKUP(TEXT(O30,"0"),CONDUCTORES!$A$3:$H$100,6,0),"")</f>
        <v/>
      </c>
      <c r="R30" s="334" t="inlineStr">
        <is>
          <t>ENTREGADO 17/06/2025</t>
        </is>
      </c>
      <c r="S30" s="302" t="inlineStr">
        <is>
          <t>K359,A010,N390</t>
        </is>
      </c>
      <c r="T30" s="301" t="n"/>
      <c r="U30" s="334" t="n"/>
      <c r="V30" s="301" t="n"/>
      <c r="W30" s="301" t="inlineStr">
        <is>
          <t>3479.0</t>
        </is>
      </c>
      <c r="X30" s="301" t="inlineStr">
        <is>
          <t>189.0</t>
        </is>
      </c>
      <c r="Y30" s="280" t="n"/>
    </row>
    <row r="31" ht="15.75" customHeight="1" s="195">
      <c r="A31" s="241" t="n">
        <v>16</v>
      </c>
      <c r="B31" s="305" t="inlineStr">
        <is>
          <t>00000107</t>
        </is>
      </c>
      <c r="C31" s="241" t="inlineStr">
        <is>
          <t>REGION</t>
        </is>
      </c>
      <c r="D31" s="305" t="inlineStr">
        <is>
          <t>DELGADO DIAZ ERIKA</t>
        </is>
      </c>
      <c r="E31" s="241" t="inlineStr">
        <is>
          <t>DNI</t>
        </is>
      </c>
      <c r="F31" s="241" t="inlineStr">
        <is>
          <t>70792204</t>
        </is>
      </c>
      <c r="G31" s="336" t="n">
        <v>45782</v>
      </c>
      <c r="H31" s="241" t="inlineStr">
        <is>
          <t>4950</t>
        </is>
      </c>
      <c r="I31" s="332">
        <f>IFERROR(VLOOKUP(TEXT(H31,"0"),IPRESS!$A$3:$B$212,2,0),"")</f>
        <v/>
      </c>
      <c r="J31" s="241" t="inlineStr">
        <is>
          <t>4838</t>
        </is>
      </c>
      <c r="K31" s="332">
        <f>IFERROR(VLOOKUP(TEXT(O31,"0"),CONDUCTORES!$A$3:$G$100,7,0),"")</f>
        <v/>
      </c>
      <c r="L31" s="239" t="n">
        <v>20.25</v>
      </c>
      <c r="M31" s="239" t="n">
        <v>7</v>
      </c>
      <c r="N31" s="333">
        <f>IFERROR(IF(L31*M31=0,"",L31*M31),"")</f>
        <v/>
      </c>
      <c r="O31" s="334" t="n"/>
      <c r="P31" s="332">
        <f>IFERROR(VLOOKUP(TEXT(O31,"0"),CONDUCTORES!$A$3:$G$100,2,0),"")</f>
        <v/>
      </c>
      <c r="Q31" s="332">
        <f>IFERROR(VLOOKUP(TEXT(O31,"0"),CONDUCTORES!$A$3:$H$100,6,0),"")</f>
        <v/>
      </c>
      <c r="R31" s="280" t="inlineStr">
        <is>
          <t>ENTREGADO 17/06/2025</t>
        </is>
      </c>
      <c r="S31" s="305" t="inlineStr">
        <is>
          <t>O429</t>
        </is>
      </c>
      <c r="T31" s="241" t="n"/>
      <c r="U31" s="280" t="n"/>
      <c r="V31" s="241" t="n"/>
      <c r="W31" s="241" t="inlineStr">
        <is>
          <t>3479.0</t>
        </is>
      </c>
      <c r="X31" s="241" t="inlineStr">
        <is>
          <t>189.0</t>
        </is>
      </c>
      <c r="Y31" s="280" t="n"/>
    </row>
    <row r="32" ht="15.75" customHeight="1" s="195">
      <c r="A32" s="301" t="n">
        <v>17</v>
      </c>
      <c r="B32" s="302" t="inlineStr">
        <is>
          <t>00000108</t>
        </is>
      </c>
      <c r="C32" s="301" t="inlineStr">
        <is>
          <t>REGION</t>
        </is>
      </c>
      <c r="D32" s="302" t="inlineStr">
        <is>
          <t>MONTOYA MAS FELIX</t>
        </is>
      </c>
      <c r="E32" s="301" t="inlineStr">
        <is>
          <t>DNI</t>
        </is>
      </c>
      <c r="F32" s="301" t="inlineStr">
        <is>
          <t>33959600</t>
        </is>
      </c>
      <c r="G32" s="331" t="n">
        <v>45785</v>
      </c>
      <c r="H32" s="301" t="inlineStr">
        <is>
          <t>4950</t>
        </is>
      </c>
      <c r="I32" s="332">
        <f>IFERROR(VLOOKUP(TEXT(H32,"0"),IPRESS!$A$3:$B$212,2,0),"")</f>
        <v/>
      </c>
      <c r="J32" s="301" t="inlineStr">
        <is>
          <t>4838</t>
        </is>
      </c>
      <c r="K32" s="332">
        <f>IFERROR(VLOOKUP(TEXT(O32,"0"),CONDUCTORES!$A$3:$G$100,7,0),"")</f>
        <v/>
      </c>
      <c r="L32" s="245" t="n">
        <v>20.25</v>
      </c>
      <c r="M32" s="245" t="n">
        <v>6</v>
      </c>
      <c r="N32" s="333">
        <f>IFERROR(IF(L32*M32=0,"",L32*M32),"")</f>
        <v/>
      </c>
      <c r="O32" s="280" t="n"/>
      <c r="P32" s="332">
        <f>IFERROR(VLOOKUP(TEXT(O32,"0"),CONDUCTORES!$A$3:$G$100,2,0),"")</f>
        <v/>
      </c>
      <c r="Q32" s="332">
        <f>IFERROR(VLOOKUP(TEXT(O32,"0"),CONDUCTORES!$A$3:$H$100,6,0),"")</f>
        <v/>
      </c>
      <c r="R32" s="334" t="inlineStr">
        <is>
          <t>ENTREGADO 17/06/2025</t>
        </is>
      </c>
      <c r="S32" s="302" t="inlineStr">
        <is>
          <t>N390,K922,D509,K746</t>
        </is>
      </c>
      <c r="T32" s="301" t="n"/>
      <c r="U32" s="334" t="n"/>
      <c r="V32" s="301" t="n"/>
      <c r="W32" s="301" t="inlineStr">
        <is>
          <t>3479.0</t>
        </is>
      </c>
      <c r="X32" s="301" t="inlineStr">
        <is>
          <t>189.0</t>
        </is>
      </c>
      <c r="Y32" s="280" t="n"/>
    </row>
    <row r="33" ht="15.75" customHeight="1" s="195">
      <c r="A33" s="241" t="n">
        <v>18</v>
      </c>
      <c r="B33" s="305" t="inlineStr">
        <is>
          <t>00000109</t>
        </is>
      </c>
      <c r="C33" s="241" t="inlineStr">
        <is>
          <t>REGION</t>
        </is>
      </c>
      <c r="D33" s="305" t="inlineStr">
        <is>
          <t>CULQUI HUAMAN AMELIA</t>
        </is>
      </c>
      <c r="E33" s="241" t="inlineStr">
        <is>
          <t>DNI</t>
        </is>
      </c>
      <c r="F33" s="241" t="inlineStr">
        <is>
          <t>93490886</t>
        </is>
      </c>
      <c r="G33" s="336" t="n">
        <v>45786</v>
      </c>
      <c r="H33" s="241" t="inlineStr">
        <is>
          <t>4950</t>
        </is>
      </c>
      <c r="I33" s="332">
        <f>IFERROR(VLOOKUP(TEXT(H33,"0"),IPRESS!$A$3:$B$212,2,0),"")</f>
        <v/>
      </c>
      <c r="J33" s="241" t="inlineStr">
        <is>
          <t>4838</t>
        </is>
      </c>
      <c r="K33" s="332">
        <f>IFERROR(VLOOKUP(TEXT(O33,"0"),CONDUCTORES!$A$3:$G$100,7,0),"")</f>
        <v/>
      </c>
      <c r="L33" s="239" t="n">
        <v>20.25</v>
      </c>
      <c r="M33" s="239" t="n">
        <v>7</v>
      </c>
      <c r="N33" s="333">
        <f>IFERROR(IF(L33*M33=0,"",L33*M33),"")</f>
        <v/>
      </c>
      <c r="O33" s="334" t="n"/>
      <c r="P33" s="332">
        <f>IFERROR(VLOOKUP(TEXT(O33,"0"),CONDUCTORES!$A$3:$G$100,2,0),"")</f>
        <v/>
      </c>
      <c r="Q33" s="332">
        <f>IFERROR(VLOOKUP(TEXT(O33,"0"),CONDUCTORES!$A$3:$H$100,6,0),"")</f>
        <v/>
      </c>
      <c r="R33" s="280" t="inlineStr">
        <is>
          <t>ENTREGADO 17/06/2025</t>
        </is>
      </c>
      <c r="S33" s="305" t="inlineStr">
        <is>
          <t>S720</t>
        </is>
      </c>
      <c r="T33" s="241" t="n"/>
      <c r="U33" s="280" t="n"/>
      <c r="V33" s="241" t="n"/>
      <c r="W33" s="241" t="inlineStr">
        <is>
          <t>3479.0</t>
        </is>
      </c>
      <c r="X33" s="241" t="inlineStr">
        <is>
          <t>189.0</t>
        </is>
      </c>
      <c r="Y33" s="280" t="n"/>
    </row>
    <row r="34" ht="15.75" customHeight="1" s="195">
      <c r="A34" s="301" t="n">
        <v>19</v>
      </c>
      <c r="B34" s="302" t="inlineStr">
        <is>
          <t>00000110</t>
        </is>
      </c>
      <c r="C34" s="301" t="inlineStr">
        <is>
          <t>REGION</t>
        </is>
      </c>
      <c r="D34" s="302" t="inlineStr">
        <is>
          <t>CALDERON PORTOCARRERO JUAN BAUTISTA</t>
        </is>
      </c>
      <c r="E34" s="301" t="inlineStr">
        <is>
          <t>DNI</t>
        </is>
      </c>
      <c r="F34" s="301" t="inlineStr">
        <is>
          <t>33953238</t>
        </is>
      </c>
      <c r="G34" s="331" t="n">
        <v>45788</v>
      </c>
      <c r="H34" s="301" t="inlineStr">
        <is>
          <t>4950</t>
        </is>
      </c>
      <c r="I34" s="332">
        <f>IFERROR(VLOOKUP(TEXT(H34,"0"),IPRESS!$A$3:$B$212,2,0),"")</f>
        <v/>
      </c>
      <c r="J34" s="301" t="inlineStr">
        <is>
          <t>4838</t>
        </is>
      </c>
      <c r="K34" s="332">
        <f>IFERROR(VLOOKUP(TEXT(O34,"0"),CONDUCTORES!$A$3:$G$100,7,0),"")</f>
        <v/>
      </c>
      <c r="L34" s="245" t="n">
        <v>20.25</v>
      </c>
      <c r="M34" s="245" t="n">
        <v>7</v>
      </c>
      <c r="N34" s="333">
        <f>IFERROR(IF(L34*M34=0,"",L34*M34),"")</f>
        <v/>
      </c>
      <c r="O34" s="280" t="n"/>
      <c r="P34" s="332">
        <f>IFERROR(VLOOKUP(TEXT(O34,"0"),CONDUCTORES!$A$3:$G$100,2,0),"")</f>
        <v/>
      </c>
      <c r="Q34" s="332">
        <f>IFERROR(VLOOKUP(TEXT(O34,"0"),CONDUCTORES!$A$3:$H$100,6,0),"")</f>
        <v/>
      </c>
      <c r="R34" s="334" t="inlineStr">
        <is>
          <t>ENTREGADO 17/06/2025</t>
        </is>
      </c>
      <c r="S34" s="302" t="inlineStr">
        <is>
          <t>I64X,I10X,N390</t>
        </is>
      </c>
      <c r="T34" s="301" t="n"/>
      <c r="U34" s="334" t="n"/>
      <c r="V34" s="301" t="n"/>
      <c r="W34" s="301" t="inlineStr">
        <is>
          <t>3479.0</t>
        </is>
      </c>
      <c r="X34" s="301" t="inlineStr">
        <is>
          <t>189.0</t>
        </is>
      </c>
      <c r="Y34" s="280" t="n"/>
    </row>
    <row r="35" ht="15.75" customHeight="1" s="195">
      <c r="A35" s="241" t="n">
        <v>20</v>
      </c>
      <c r="B35" s="305" t="inlineStr">
        <is>
          <t>00000111</t>
        </is>
      </c>
      <c r="C35" s="241" t="inlineStr">
        <is>
          <t>REGION</t>
        </is>
      </c>
      <c r="D35" s="305" t="inlineStr">
        <is>
          <t>TUCTO GUIOP, GUSTAVO</t>
        </is>
      </c>
      <c r="E35" s="241" t="inlineStr">
        <is>
          <t>DNI</t>
        </is>
      </c>
      <c r="F35" s="241" t="inlineStr">
        <is>
          <t>40168837</t>
        </is>
      </c>
      <c r="G35" s="336" t="n">
        <v>45789</v>
      </c>
      <c r="H35" s="241" t="inlineStr">
        <is>
          <t>4950</t>
        </is>
      </c>
      <c r="I35" s="332">
        <f>IFERROR(VLOOKUP(TEXT(H35,"0"),IPRESS!$A$3:$B$212,2,0),"")</f>
        <v/>
      </c>
      <c r="J35" s="241" t="inlineStr">
        <is>
          <t>4838</t>
        </is>
      </c>
      <c r="K35" s="332">
        <f>IFERROR(VLOOKUP(TEXT(O35,"0"),CONDUCTORES!$A$3:$G$100,7,0),"")</f>
        <v/>
      </c>
      <c r="L35" s="239" t="n">
        <v>20.25</v>
      </c>
      <c r="M35" s="239" t="n">
        <v>10</v>
      </c>
      <c r="N35" s="333">
        <f>IFERROR(IF(L35*M35=0,"",L35*M35),"")</f>
        <v/>
      </c>
      <c r="O35" s="334" t="n"/>
      <c r="P35" s="332">
        <f>IFERROR(VLOOKUP(TEXT(O35,"0"),CONDUCTORES!$A$3:$G$100,2,0),"")</f>
        <v/>
      </c>
      <c r="Q35" s="332">
        <f>IFERROR(VLOOKUP(TEXT(O35,"0"),CONDUCTORES!$A$3:$H$100,6,0),"")</f>
        <v/>
      </c>
      <c r="R35" s="280" t="inlineStr">
        <is>
          <t>ENTREGADO 17/06/2025</t>
        </is>
      </c>
      <c r="S35" s="305" t="inlineStr">
        <is>
          <t>T600</t>
        </is>
      </c>
      <c r="T35" s="241" t="n"/>
      <c r="U35" s="280" t="n"/>
      <c r="V35" s="241" t="n"/>
      <c r="W35" s="241" t="inlineStr">
        <is>
          <t>3479.0</t>
        </is>
      </c>
      <c r="X35" s="241" t="inlineStr">
        <is>
          <t>189.0</t>
        </is>
      </c>
      <c r="Y35" s="280" t="n"/>
    </row>
    <row r="36" ht="15.75" customHeight="1" s="195">
      <c r="A36" s="301" t="n">
        <v>16</v>
      </c>
      <c r="B36" s="302" t="inlineStr">
        <is>
          <t>00000112</t>
        </is>
      </c>
      <c r="C36" s="301" t="inlineStr">
        <is>
          <t>REGION</t>
        </is>
      </c>
      <c r="D36" s="302" t="inlineStr">
        <is>
          <t>SERVAN MAS DARVIN ALVINO</t>
        </is>
      </c>
      <c r="E36" s="301" t="inlineStr">
        <is>
          <t>DNI</t>
        </is>
      </c>
      <c r="F36" s="301" t="inlineStr">
        <is>
          <t>47870052</t>
        </is>
      </c>
      <c r="G36" s="331" t="n">
        <v>45789</v>
      </c>
      <c r="H36" s="301" t="inlineStr">
        <is>
          <t>4950</t>
        </is>
      </c>
      <c r="I36" s="332">
        <f>IFERROR(VLOOKUP(TEXT(H36,"0"),IPRESS!$A$3:$B$212,2,0),"")</f>
        <v/>
      </c>
      <c r="J36" s="301" t="inlineStr">
        <is>
          <t>4838</t>
        </is>
      </c>
      <c r="K36" s="332">
        <f>IFERROR(VLOOKUP(TEXT(O36,"0"),CONDUCTORES!$A$3:$G$100,7,0),"")</f>
        <v/>
      </c>
      <c r="L36" s="245" t="n">
        <v>20.25</v>
      </c>
      <c r="M36" s="245" t="n">
        <v>7</v>
      </c>
      <c r="N36" s="333">
        <f>IFERROR(IF(L36*M36=0,"",L36*M36),"")</f>
        <v/>
      </c>
      <c r="O36" s="280" t="n"/>
      <c r="P36" s="332">
        <f>IFERROR(VLOOKUP(TEXT(O36,"0"),CONDUCTORES!$A$3:$G$100,2,0),"")</f>
        <v/>
      </c>
      <c r="Q36" s="332">
        <f>IFERROR(VLOOKUP(TEXT(O36,"0"),CONDUCTORES!$A$3:$H$100,6,0),"")</f>
        <v/>
      </c>
      <c r="R36" s="334" t="inlineStr">
        <is>
          <t>ENTREGADO 17/06/2025</t>
        </is>
      </c>
      <c r="S36" s="302" t="inlineStr">
        <is>
          <t>J960,A160,N390,E249,K729</t>
        </is>
      </c>
      <c r="T36" s="301" t="n"/>
      <c r="U36" s="334" t="n"/>
      <c r="V36" s="301" t="n"/>
      <c r="W36" s="301" t="inlineStr">
        <is>
          <t>3479.0</t>
        </is>
      </c>
      <c r="X36" s="301" t="inlineStr">
        <is>
          <t>189.0</t>
        </is>
      </c>
      <c r="Y36" s="280" t="n"/>
    </row>
    <row r="37" ht="15.75" customHeight="1" s="195">
      <c r="A37" s="241" t="n">
        <v>17</v>
      </c>
      <c r="B37" s="305" t="inlineStr">
        <is>
          <t>00000113</t>
        </is>
      </c>
      <c r="C37" s="241" t="inlineStr">
        <is>
          <t>REGION</t>
        </is>
      </c>
      <c r="D37" s="305" t="inlineStr">
        <is>
          <t>LOPEZ RODRIGUEZ MARIA INES</t>
        </is>
      </c>
      <c r="E37" s="241" t="inlineStr">
        <is>
          <t>DNI</t>
        </is>
      </c>
      <c r="F37" s="241" t="inlineStr">
        <is>
          <t>71032511</t>
        </is>
      </c>
      <c r="G37" s="336" t="n">
        <v>45791</v>
      </c>
      <c r="H37" s="241" t="inlineStr">
        <is>
          <t>4950</t>
        </is>
      </c>
      <c r="I37" s="332">
        <f>IFERROR(VLOOKUP(TEXT(H37,"0"),IPRESS!$A$3:$B$212,2,0),"")</f>
        <v/>
      </c>
      <c r="J37" s="241" t="inlineStr">
        <is>
          <t>4838</t>
        </is>
      </c>
      <c r="K37" s="332">
        <f>IFERROR(VLOOKUP(TEXT(O37,"0"),CONDUCTORES!$A$3:$G$100,7,0),"")</f>
        <v/>
      </c>
      <c r="L37" s="239" t="n">
        <v>20.25</v>
      </c>
      <c r="M37" s="239" t="n">
        <v>7</v>
      </c>
      <c r="N37" s="333">
        <f>IFERROR(IF(L37*M37=0,"",L37*M37),"")</f>
        <v/>
      </c>
      <c r="O37" s="334" t="n"/>
      <c r="P37" s="332">
        <f>IFERROR(VLOOKUP(TEXT(O37,"0"),CONDUCTORES!$A$3:$G$100,2,0),"")</f>
        <v/>
      </c>
      <c r="Q37" s="332">
        <f>IFERROR(VLOOKUP(TEXT(O37,"0"),CONDUCTORES!$A$3:$H$100,6,0),"")</f>
        <v/>
      </c>
      <c r="R37" s="280" t="inlineStr">
        <is>
          <t>ENTREGADO 17/06/2025</t>
        </is>
      </c>
      <c r="S37" s="305" t="inlineStr">
        <is>
          <t>O020,O234</t>
        </is>
      </c>
      <c r="T37" s="241" t="n"/>
      <c r="U37" s="280" t="n"/>
      <c r="V37" s="241" t="n"/>
      <c r="W37" s="241" t="inlineStr">
        <is>
          <t>3479.0</t>
        </is>
      </c>
      <c r="X37" s="241" t="inlineStr">
        <is>
          <t>189.0</t>
        </is>
      </c>
      <c r="Y37" s="280" t="n"/>
    </row>
    <row r="38" ht="15.75" customHeight="1" s="195">
      <c r="A38" s="301" t="n">
        <v>18</v>
      </c>
      <c r="B38" s="302" t="inlineStr">
        <is>
          <t>00000114</t>
        </is>
      </c>
      <c r="C38" s="301" t="inlineStr">
        <is>
          <t>REGION</t>
        </is>
      </c>
      <c r="D38" s="302" t="inlineStr">
        <is>
          <t>RIVA ZAVALETA ESTELA</t>
        </is>
      </c>
      <c r="E38" s="301" t="inlineStr">
        <is>
          <t>DNI</t>
        </is>
      </c>
      <c r="F38" s="301" t="inlineStr">
        <is>
          <t>47349557</t>
        </is>
      </c>
      <c r="G38" s="331" t="n">
        <v>45792</v>
      </c>
      <c r="H38" s="301" t="inlineStr">
        <is>
          <t>4950</t>
        </is>
      </c>
      <c r="I38" s="332">
        <f>IFERROR(VLOOKUP(TEXT(H38,"0"),IPRESS!$A$3:$B$212,2,0),"")</f>
        <v/>
      </c>
      <c r="J38" s="301" t="inlineStr">
        <is>
          <t>4838</t>
        </is>
      </c>
      <c r="K38" s="332">
        <f>IFERROR(VLOOKUP(TEXT(O38,"0"),CONDUCTORES!$A$3:$G$100,7,0),"")</f>
        <v/>
      </c>
      <c r="L38" s="245" t="n">
        <v>20.25</v>
      </c>
      <c r="M38" s="245" t="n">
        <v>7</v>
      </c>
      <c r="N38" s="333">
        <f>IFERROR(IF(L38*M38=0,"",L38*M38),"")</f>
        <v/>
      </c>
      <c r="O38" s="280" t="n"/>
      <c r="P38" s="332">
        <f>IFERROR(VLOOKUP(TEXT(O38,"0"),CONDUCTORES!$A$3:$G$100,2,0),"")</f>
        <v/>
      </c>
      <c r="Q38" s="332">
        <f>IFERROR(VLOOKUP(TEXT(O38,"0"),CONDUCTORES!$A$3:$H$100,6,0),"")</f>
        <v/>
      </c>
      <c r="R38" s="334" t="inlineStr">
        <is>
          <t>ENTREGADO 17/06/2025</t>
        </is>
      </c>
      <c r="S38" s="302" t="inlineStr">
        <is>
          <t>O366,E669</t>
        </is>
      </c>
      <c r="T38" s="301" t="n"/>
      <c r="U38" s="334" t="n"/>
      <c r="V38" s="301" t="n"/>
      <c r="W38" s="301" t="inlineStr">
        <is>
          <t>3479.0</t>
        </is>
      </c>
      <c r="X38" s="301" t="inlineStr">
        <is>
          <t>189.0</t>
        </is>
      </c>
      <c r="Y38" s="280" t="n"/>
    </row>
    <row r="39" ht="15.75" customHeight="1" s="195">
      <c r="A39" s="241" t="n">
        <v>19</v>
      </c>
      <c r="B39" s="305" t="inlineStr">
        <is>
          <t>00000115</t>
        </is>
      </c>
      <c r="C39" s="241" t="inlineStr">
        <is>
          <t>REGION</t>
        </is>
      </c>
      <c r="D39" s="305" t="inlineStr">
        <is>
          <t>VARGAS ALVARADO LUIS</t>
        </is>
      </c>
      <c r="E39" s="241" t="inlineStr">
        <is>
          <t>DNI</t>
        </is>
      </c>
      <c r="F39" s="241" t="inlineStr">
        <is>
          <t>33945312</t>
        </is>
      </c>
      <c r="G39" s="336" t="n">
        <v>45795</v>
      </c>
      <c r="H39" s="241" t="inlineStr">
        <is>
          <t>4950</t>
        </is>
      </c>
      <c r="I39" s="332">
        <f>IFERROR(VLOOKUP(TEXT(H39,"0"),IPRESS!$A$3:$B$212,2,0),"")</f>
        <v/>
      </c>
      <c r="J39" s="241" t="inlineStr">
        <is>
          <t>4838</t>
        </is>
      </c>
      <c r="K39" s="332">
        <f>IFERROR(VLOOKUP(TEXT(O39,"0"),CONDUCTORES!$A$3:$G$100,7,0),"")</f>
        <v/>
      </c>
      <c r="L39" s="239" t="n">
        <v>20.25</v>
      </c>
      <c r="M39" s="239" t="n">
        <v>7</v>
      </c>
      <c r="N39" s="333">
        <f>IFERROR(IF(L39*M39=0,"",L39*M39),"")</f>
        <v/>
      </c>
      <c r="O39" s="334" t="n"/>
      <c r="P39" s="332">
        <f>IFERROR(VLOOKUP(TEXT(O39,"0"),CONDUCTORES!$A$3:$G$100,2,0),"")</f>
        <v/>
      </c>
      <c r="Q39" s="332">
        <f>IFERROR(VLOOKUP(TEXT(O39,"0"),CONDUCTORES!$A$3:$H$100,6,0),"")</f>
        <v/>
      </c>
      <c r="R39" s="280" t="inlineStr">
        <is>
          <t>ENTREGADO 17/06/2025</t>
        </is>
      </c>
      <c r="S39" s="305" t="inlineStr">
        <is>
          <t>I64X,I500</t>
        </is>
      </c>
      <c r="T39" s="241" t="n"/>
      <c r="U39" s="280" t="n"/>
      <c r="V39" s="241" t="n"/>
      <c r="W39" s="241" t="inlineStr">
        <is>
          <t>3479.0</t>
        </is>
      </c>
      <c r="X39" s="241" t="inlineStr">
        <is>
          <t>189.0</t>
        </is>
      </c>
      <c r="Y39" s="280" t="n"/>
    </row>
    <row r="40" ht="15.75" customHeight="1" s="195">
      <c r="A40" s="301" t="n">
        <v>20</v>
      </c>
      <c r="B40" s="302" t="inlineStr">
        <is>
          <t>00000116</t>
        </is>
      </c>
      <c r="C40" s="301" t="inlineStr">
        <is>
          <t>REGION</t>
        </is>
      </c>
      <c r="D40" s="302" t="inlineStr">
        <is>
          <t>PILCO GALOC MARTIN FILIBERTO</t>
        </is>
      </c>
      <c r="E40" s="301" t="inlineStr">
        <is>
          <t>DNI</t>
        </is>
      </c>
      <c r="F40" s="301" t="inlineStr">
        <is>
          <t>33425332</t>
        </is>
      </c>
      <c r="G40" s="331" t="n">
        <v>45796</v>
      </c>
      <c r="H40" s="301" t="inlineStr">
        <is>
          <t>4950</t>
        </is>
      </c>
      <c r="I40" s="332">
        <f>IFERROR(VLOOKUP(TEXT(H40,"0"),IPRESS!$A$3:$B$212,2,0),"")</f>
        <v/>
      </c>
      <c r="J40" s="301" t="inlineStr">
        <is>
          <t>4838</t>
        </is>
      </c>
      <c r="K40" s="332">
        <f>IFERROR(VLOOKUP(TEXT(O40,"0"),CONDUCTORES!$A$3:$G$100,7,0),"")</f>
        <v/>
      </c>
      <c r="L40" s="245" t="n">
        <v>20.25</v>
      </c>
      <c r="M40" s="245" t="n">
        <v>7</v>
      </c>
      <c r="N40" s="333">
        <f>IFERROR(IF(L40*M40=0,"",L40*M40),"")</f>
        <v/>
      </c>
      <c r="O40" s="280" t="n"/>
      <c r="P40" s="332">
        <f>IFERROR(VLOOKUP(TEXT(O40,"0"),CONDUCTORES!$A$3:$G$100,2,0),"")</f>
        <v/>
      </c>
      <c r="Q40" s="332">
        <f>IFERROR(VLOOKUP(TEXT(O40,"0"),CONDUCTORES!$A$3:$H$100,6,0),"")</f>
        <v/>
      </c>
      <c r="R40" s="334" t="inlineStr">
        <is>
          <t>ENTREGADO 17/06/2025</t>
        </is>
      </c>
      <c r="S40" s="302" t="inlineStr">
        <is>
          <t>S299</t>
        </is>
      </c>
      <c r="T40" s="301" t="n"/>
      <c r="U40" s="334" t="n"/>
      <c r="V40" s="301" t="n"/>
      <c r="W40" s="301" t="inlineStr">
        <is>
          <t>3479.0</t>
        </is>
      </c>
      <c r="X40" s="301" t="inlineStr">
        <is>
          <t>189.0</t>
        </is>
      </c>
      <c r="Y40" s="280" t="n"/>
    </row>
    <row r="41" ht="15.75" customHeight="1" s="195">
      <c r="A41" s="241" t="n">
        <v>21</v>
      </c>
      <c r="B41" s="305" t="inlineStr">
        <is>
          <t>00000117</t>
        </is>
      </c>
      <c r="C41" s="241" t="inlineStr">
        <is>
          <t>REGION</t>
        </is>
      </c>
      <c r="D41" s="305" t="inlineStr">
        <is>
          <t>CASTRO FERNANDEZ ROSA MAGALY</t>
        </is>
      </c>
      <c r="E41" s="241" t="inlineStr">
        <is>
          <t>DNI</t>
        </is>
      </c>
      <c r="F41" s="241" t="inlineStr">
        <is>
          <t>73696686</t>
        </is>
      </c>
      <c r="G41" s="336" t="n">
        <v>45796</v>
      </c>
      <c r="H41" s="241" t="inlineStr">
        <is>
          <t>4950</t>
        </is>
      </c>
      <c r="I41" s="332">
        <f>IFERROR(VLOOKUP(TEXT(H41,"0"),IPRESS!$A$3:$B$212,2,0),"")</f>
        <v/>
      </c>
      <c r="J41" s="241" t="inlineStr">
        <is>
          <t>4838</t>
        </is>
      </c>
      <c r="K41" s="332">
        <f>IFERROR(VLOOKUP(TEXT(O41,"0"),CONDUCTORES!$A$3:$G$100,7,0),"")</f>
        <v/>
      </c>
      <c r="L41" s="239" t="n">
        <v>20.25</v>
      </c>
      <c r="M41" s="239" t="n">
        <v>7</v>
      </c>
      <c r="N41" s="333">
        <f>IFERROR(IF(L41*M41=0,"",L41*M41),"")</f>
        <v/>
      </c>
      <c r="O41" s="334" t="n"/>
      <c r="P41" s="332">
        <f>IFERROR(VLOOKUP(TEXT(O41,"0"),CONDUCTORES!$A$3:$G$100,2,0),"")</f>
        <v/>
      </c>
      <c r="Q41" s="332">
        <f>IFERROR(VLOOKUP(TEXT(O41,"0"),CONDUCTORES!$A$3:$H$100,6,0),"")</f>
        <v/>
      </c>
      <c r="R41" s="280" t="inlineStr">
        <is>
          <t>ENTREGADO 17/06/2025</t>
        </is>
      </c>
      <c r="S41" s="305" t="inlineStr">
        <is>
          <t>A419,N390,E109,E162</t>
        </is>
      </c>
      <c r="T41" s="241" t="n"/>
      <c r="U41" s="280" t="n"/>
      <c r="V41" s="241" t="n"/>
      <c r="W41" s="241" t="inlineStr">
        <is>
          <t>3479.0</t>
        </is>
      </c>
      <c r="X41" s="241" t="inlineStr">
        <is>
          <t>189.0</t>
        </is>
      </c>
      <c r="Y41" s="280" t="n"/>
    </row>
    <row r="42" ht="15.75" customHeight="1" s="195">
      <c r="A42" s="301" t="n">
        <v>22</v>
      </c>
      <c r="B42" s="302" t="inlineStr">
        <is>
          <t>00000118</t>
        </is>
      </c>
      <c r="C42" s="301" t="inlineStr">
        <is>
          <t>REGION</t>
        </is>
      </c>
      <c r="D42" s="302" t="inlineStr">
        <is>
          <t>SANTILLAN SANTILLAN MARIA AURORA</t>
        </is>
      </c>
      <c r="E42" s="301" t="inlineStr">
        <is>
          <t>DNI</t>
        </is>
      </c>
      <c r="F42" s="301" t="inlineStr">
        <is>
          <t>33942122</t>
        </is>
      </c>
      <c r="G42" s="331" t="n">
        <v>45797</v>
      </c>
      <c r="H42" s="301" t="inlineStr">
        <is>
          <t>4950</t>
        </is>
      </c>
      <c r="I42" s="332">
        <f>IFERROR(VLOOKUP(TEXT(H42,"0"),IPRESS!$A$3:$B$212,2,0),"")</f>
        <v/>
      </c>
      <c r="J42" s="301" t="inlineStr">
        <is>
          <t>4838</t>
        </is>
      </c>
      <c r="K42" s="332">
        <f>IFERROR(VLOOKUP(TEXT(O42,"0"),CONDUCTORES!$A$3:$G$100,7,0),"")</f>
        <v/>
      </c>
      <c r="L42" s="245" t="n">
        <v>20.25</v>
      </c>
      <c r="M42" s="245" t="n">
        <v>7</v>
      </c>
      <c r="N42" s="333">
        <f>IFERROR(IF(L42*M42=0,"",L42*M42),"")</f>
        <v/>
      </c>
      <c r="O42" s="280" t="n"/>
      <c r="P42" s="332">
        <f>IFERROR(VLOOKUP(TEXT(O42,"0"),CONDUCTORES!$A$3:$G$100,2,0),"")</f>
        <v/>
      </c>
      <c r="Q42" s="332">
        <f>IFERROR(VLOOKUP(TEXT(O42,"0"),CONDUCTORES!$A$3:$H$100,6,0),"")</f>
        <v/>
      </c>
      <c r="R42" s="334" t="inlineStr">
        <is>
          <t>ENTREGADO 17/06/2025</t>
        </is>
      </c>
      <c r="S42" s="302" t="inlineStr">
        <is>
          <t>K359,R104</t>
        </is>
      </c>
      <c r="T42" s="301" t="n"/>
      <c r="U42" s="334" t="n"/>
      <c r="V42" s="301" t="n"/>
      <c r="W42" s="301" t="inlineStr">
        <is>
          <t>3479.0</t>
        </is>
      </c>
      <c r="X42" s="301" t="inlineStr">
        <is>
          <t>189.0</t>
        </is>
      </c>
      <c r="Y42" s="280" t="n"/>
    </row>
    <row r="43" ht="15.75" customHeight="1" s="195">
      <c r="A43" s="241" t="n">
        <v>23</v>
      </c>
      <c r="B43" s="305" t="inlineStr">
        <is>
          <t>00000120</t>
        </is>
      </c>
      <c r="C43" s="241" t="inlineStr">
        <is>
          <t>REGION</t>
        </is>
      </c>
      <c r="D43" s="305" t="inlineStr">
        <is>
          <t>YNGA SANCHEZ MARCIAL</t>
        </is>
      </c>
      <c r="E43" s="241" t="inlineStr">
        <is>
          <t>DNI</t>
        </is>
      </c>
      <c r="F43" s="241" t="inlineStr">
        <is>
          <t>33940537</t>
        </is>
      </c>
      <c r="G43" s="336" t="n">
        <v>45798</v>
      </c>
      <c r="H43" s="241" t="inlineStr">
        <is>
          <t>4950</t>
        </is>
      </c>
      <c r="I43" s="332">
        <f>IFERROR(VLOOKUP(TEXT(H43,"0"),IPRESS!$A$3:$B$212,2,0),"")</f>
        <v/>
      </c>
      <c r="J43" s="241" t="inlineStr">
        <is>
          <t>4838</t>
        </is>
      </c>
      <c r="K43" s="332">
        <f>IFERROR(VLOOKUP(TEXT(O43,"0"),CONDUCTORES!$A$3:$G$100,7,0),"")</f>
        <v/>
      </c>
      <c r="L43" s="239" t="n">
        <v>20.25</v>
      </c>
      <c r="M43" s="239" t="n">
        <v>7</v>
      </c>
      <c r="N43" s="333">
        <f>IFERROR(IF(L43*M43=0,"",L43*M43),"")</f>
        <v/>
      </c>
      <c r="O43" s="334" t="n"/>
      <c r="P43" s="332">
        <f>IFERROR(VLOOKUP(TEXT(O43,"0"),CONDUCTORES!$A$3:$G$100,2,0),"")</f>
        <v/>
      </c>
      <c r="Q43" s="332">
        <f>IFERROR(VLOOKUP(TEXT(O43,"0"),CONDUCTORES!$A$3:$H$100,6,0),"")</f>
        <v/>
      </c>
      <c r="R43" s="280" t="inlineStr">
        <is>
          <t>ENTREGADO 17/06/2025</t>
        </is>
      </c>
      <c r="S43" s="305" t="inlineStr">
        <is>
          <t>I64X,I10X</t>
        </is>
      </c>
      <c r="T43" s="241" t="n"/>
      <c r="U43" s="280" t="n"/>
      <c r="V43" s="241" t="n"/>
      <c r="W43" s="241" t="inlineStr">
        <is>
          <t>3479.0</t>
        </is>
      </c>
      <c r="X43" s="241" t="inlineStr">
        <is>
          <t>189.0</t>
        </is>
      </c>
      <c r="Y43" s="280" t="n"/>
    </row>
    <row r="44" ht="15.75" customHeight="1" s="195">
      <c r="A44" s="301" t="n">
        <v>24</v>
      </c>
      <c r="B44" s="302" t="inlineStr">
        <is>
          <t>00000121</t>
        </is>
      </c>
      <c r="C44" s="301" t="inlineStr">
        <is>
          <t>REGION</t>
        </is>
      </c>
      <c r="D44" s="302" t="inlineStr">
        <is>
          <t>RODRIGUEZ ACOSTA MELANY</t>
        </is>
      </c>
      <c r="E44" s="301" t="inlineStr">
        <is>
          <t>DNI</t>
        </is>
      </c>
      <c r="F44" s="301" t="inlineStr">
        <is>
          <t>75075667</t>
        </is>
      </c>
      <c r="G44" s="331" t="n">
        <v>45800</v>
      </c>
      <c r="H44" s="301" t="inlineStr">
        <is>
          <t>4950</t>
        </is>
      </c>
      <c r="I44" s="332">
        <f>IFERROR(VLOOKUP(TEXT(H44,"0"),IPRESS!$A$3:$B$212,2,0),"")</f>
        <v/>
      </c>
      <c r="J44" s="301" t="inlineStr">
        <is>
          <t>4838</t>
        </is>
      </c>
      <c r="K44" s="332">
        <f>IFERROR(VLOOKUP(TEXT(O44,"0"),CONDUCTORES!$A$3:$G$100,7,0),"")</f>
        <v/>
      </c>
      <c r="L44" s="245" t="n">
        <v>20.25</v>
      </c>
      <c r="M44" s="245" t="n">
        <v>6</v>
      </c>
      <c r="N44" s="333">
        <f>IFERROR(IF(L44*M44=0,"",L44*M44),"")</f>
        <v/>
      </c>
      <c r="O44" s="280" t="n"/>
      <c r="P44" s="332">
        <f>IFERROR(VLOOKUP(TEXT(O44,"0"),CONDUCTORES!$A$3:$G$100,2,0),"")</f>
        <v/>
      </c>
      <c r="Q44" s="332">
        <f>IFERROR(VLOOKUP(TEXT(O44,"0"),CONDUCTORES!$A$3:$H$100,6,0),"")</f>
        <v/>
      </c>
      <c r="R44" s="334" t="inlineStr">
        <is>
          <t>ENTREGADO 17/06/2025</t>
        </is>
      </c>
      <c r="S44" s="302" t="inlineStr">
        <is>
          <t>A630,O630</t>
        </is>
      </c>
      <c r="T44" s="301" t="n"/>
      <c r="U44" s="334" t="n"/>
      <c r="V44" s="301" t="n"/>
      <c r="W44" s="301" t="inlineStr">
        <is>
          <t>3479.0</t>
        </is>
      </c>
      <c r="X44" s="301" t="inlineStr">
        <is>
          <t>189.0</t>
        </is>
      </c>
      <c r="Y44" s="280" t="n"/>
    </row>
    <row r="45" ht="15.75" customHeight="1" s="195">
      <c r="A45" s="241" t="n">
        <v>25</v>
      </c>
      <c r="B45" s="305" t="inlineStr">
        <is>
          <t>00000122</t>
        </is>
      </c>
      <c r="C45" s="241" t="inlineStr">
        <is>
          <t>REGION</t>
        </is>
      </c>
      <c r="D45" s="305" t="inlineStr">
        <is>
          <t>GRANDEZ VARGAS LENIN</t>
        </is>
      </c>
      <c r="E45" s="241" t="inlineStr">
        <is>
          <t>DNI</t>
        </is>
      </c>
      <c r="F45" s="241" t="inlineStr">
        <is>
          <t>62451450</t>
        </is>
      </c>
      <c r="G45" s="336" t="n">
        <v>45804</v>
      </c>
      <c r="H45" s="241" t="inlineStr">
        <is>
          <t>4950</t>
        </is>
      </c>
      <c r="I45" s="332">
        <f>IFERROR(VLOOKUP(TEXT(H45,"0"),IPRESS!$A$3:$B$212,2,0),"")</f>
        <v/>
      </c>
      <c r="J45" s="241" t="inlineStr">
        <is>
          <t>4838</t>
        </is>
      </c>
      <c r="K45" s="332">
        <f>IFERROR(VLOOKUP(TEXT(O45,"0"),CONDUCTORES!$A$3:$G$100,7,0),"")</f>
        <v/>
      </c>
      <c r="L45" s="239" t="n">
        <v>20.25</v>
      </c>
      <c r="M45" s="239" t="n">
        <v>6</v>
      </c>
      <c r="N45" s="333">
        <f>IFERROR(IF(L45*M45=0,"",L45*M45),"")</f>
        <v/>
      </c>
      <c r="O45" s="334" t="n"/>
      <c r="P45" s="332">
        <f>IFERROR(VLOOKUP(TEXT(O45,"0"),CONDUCTORES!$A$3:$G$100,2,0),"")</f>
        <v/>
      </c>
      <c r="Q45" s="332">
        <f>IFERROR(VLOOKUP(TEXT(O45,"0"),CONDUCTORES!$A$3:$H$100,6,0),"")</f>
        <v/>
      </c>
      <c r="R45" s="280" t="inlineStr">
        <is>
          <t>ENTREGADO 17/06/2025</t>
        </is>
      </c>
      <c r="S45" s="305" t="inlineStr">
        <is>
          <t>S818</t>
        </is>
      </c>
      <c r="T45" s="241" t="n"/>
      <c r="U45" s="280" t="n"/>
      <c r="V45" s="241" t="n"/>
      <c r="W45" s="241" t="inlineStr">
        <is>
          <t>3479.0</t>
        </is>
      </c>
      <c r="X45" s="241" t="inlineStr">
        <is>
          <t>189.0</t>
        </is>
      </c>
      <c r="Y45" s="280" t="n"/>
    </row>
    <row r="46" ht="15.75" customHeight="1" s="195">
      <c r="A46" s="301" t="n">
        <v>21</v>
      </c>
      <c r="B46" s="302" t="inlineStr">
        <is>
          <t>00000123</t>
        </is>
      </c>
      <c r="C46" s="301" t="inlineStr">
        <is>
          <t>REGION</t>
        </is>
      </c>
      <c r="D46" s="302" t="inlineStr">
        <is>
          <t>MESTANZA GUTIERREZ JUANA</t>
        </is>
      </c>
      <c r="E46" s="301" t="inlineStr">
        <is>
          <t>DNI</t>
        </is>
      </c>
      <c r="F46" s="301" t="inlineStr">
        <is>
          <t>42493372</t>
        </is>
      </c>
      <c r="G46" s="331" t="n">
        <v>45806</v>
      </c>
      <c r="H46" s="301" t="inlineStr">
        <is>
          <t>4950</t>
        </is>
      </c>
      <c r="I46" s="332">
        <f>IFERROR(VLOOKUP(TEXT(H46,"0"),IPRESS!$A$3:$B$212,2,0),"")</f>
        <v/>
      </c>
      <c r="J46" s="301" t="inlineStr">
        <is>
          <t>4838</t>
        </is>
      </c>
      <c r="K46" s="332">
        <f>IFERROR(VLOOKUP(TEXT(O46,"0"),CONDUCTORES!$A$3:$G$100,7,0),"")</f>
        <v/>
      </c>
      <c r="L46" s="245" t="n">
        <v>20.25</v>
      </c>
      <c r="M46" s="245" t="n">
        <v>6</v>
      </c>
      <c r="N46" s="333">
        <f>IFERROR(IF(L46*M46=0,"",L46*M46),"")</f>
        <v/>
      </c>
      <c r="O46" s="280" t="n"/>
      <c r="P46" s="332">
        <f>IFERROR(VLOOKUP(TEXT(O46,"0"),CONDUCTORES!$A$3:$G$100,2,0),"")</f>
        <v/>
      </c>
      <c r="Q46" s="332">
        <f>IFERROR(VLOOKUP(TEXT(O46,"0"),CONDUCTORES!$A$3:$H$100,6,0),"")</f>
        <v/>
      </c>
      <c r="R46" s="334" t="inlineStr">
        <is>
          <t>ENTREGADO 17/06/2025</t>
        </is>
      </c>
      <c r="S46" s="302" t="inlineStr">
        <is>
          <t>K359,R104,N390</t>
        </is>
      </c>
      <c r="T46" s="301" t="n"/>
      <c r="U46" s="334" t="n"/>
      <c r="V46" s="301" t="n"/>
      <c r="W46" s="301" t="inlineStr">
        <is>
          <t>3479.0</t>
        </is>
      </c>
      <c r="X46" s="301" t="inlineStr">
        <is>
          <t>189.0</t>
        </is>
      </c>
      <c r="Y46" s="280" t="n"/>
    </row>
    <row r="47" ht="15.75" customHeight="1" s="195">
      <c r="A47" s="241" t="n">
        <v>22</v>
      </c>
      <c r="B47" s="305" t="inlineStr">
        <is>
          <t>00000124</t>
        </is>
      </c>
      <c r="C47" s="241" t="inlineStr">
        <is>
          <t>REGION</t>
        </is>
      </c>
      <c r="D47" s="305" t="inlineStr">
        <is>
          <t>CULQUI SILVA MARIA AMADEA</t>
        </is>
      </c>
      <c r="E47" s="241" t="inlineStr">
        <is>
          <t>DNI</t>
        </is>
      </c>
      <c r="F47" s="241" t="inlineStr">
        <is>
          <t>33953322</t>
        </is>
      </c>
      <c r="G47" s="336" t="n">
        <v>45807</v>
      </c>
      <c r="H47" s="241" t="inlineStr">
        <is>
          <t>4950</t>
        </is>
      </c>
      <c r="I47" s="332">
        <f>IFERROR(VLOOKUP(TEXT(H47,"0"),IPRESS!$A$3:$B$212,2,0),"")</f>
        <v/>
      </c>
      <c r="J47" s="241" t="inlineStr">
        <is>
          <t>4838</t>
        </is>
      </c>
      <c r="K47" s="332">
        <f>IFERROR(VLOOKUP(TEXT(O47,"0"),CONDUCTORES!$A$3:$G$100,7,0),"")</f>
        <v/>
      </c>
      <c r="L47" s="239" t="n">
        <v>20.25</v>
      </c>
      <c r="M47" s="239" t="n">
        <v>7</v>
      </c>
      <c r="N47" s="333">
        <f>IFERROR(IF(L47*M47=0,"",L47*M47),"")</f>
        <v/>
      </c>
      <c r="O47" s="334" t="n"/>
      <c r="P47" s="332">
        <f>IFERROR(VLOOKUP(TEXT(O47,"0"),CONDUCTORES!$A$3:$G$100,2,0),"")</f>
        <v/>
      </c>
      <c r="Q47" s="332">
        <f>IFERROR(VLOOKUP(TEXT(O47,"0"),CONDUCTORES!$A$3:$H$100,6,0),"")</f>
        <v/>
      </c>
      <c r="R47" s="280" t="inlineStr">
        <is>
          <t>ENTREGADO 17/06/2025</t>
        </is>
      </c>
      <c r="S47" s="305" t="inlineStr">
        <is>
          <t>I64X,J960,R32X</t>
        </is>
      </c>
      <c r="T47" s="241" t="n"/>
      <c r="U47" s="280" t="n"/>
      <c r="V47" s="241" t="n"/>
      <c r="W47" s="241" t="inlineStr">
        <is>
          <t>3479.0</t>
        </is>
      </c>
      <c r="X47" s="241" t="inlineStr">
        <is>
          <t>189.0</t>
        </is>
      </c>
      <c r="Y47" s="280" t="n"/>
    </row>
    <row r="48" ht="15.75" customHeight="1" s="195">
      <c r="A48" s="301" t="n">
        <v>23</v>
      </c>
      <c r="B48" s="302" t="inlineStr">
        <is>
          <t>00000018</t>
        </is>
      </c>
      <c r="C48" s="301" t="inlineStr">
        <is>
          <t>REGION</t>
        </is>
      </c>
      <c r="D48" s="302" t="inlineStr">
        <is>
          <t>VARGAS ALVARADO LUIS</t>
        </is>
      </c>
      <c r="E48" s="301" t="inlineStr">
        <is>
          <t>DNI</t>
        </is>
      </c>
      <c r="F48" s="301" t="inlineStr">
        <is>
          <t>33945312</t>
        </is>
      </c>
      <c r="G48" s="331" t="n">
        <v>45795</v>
      </c>
      <c r="H48" s="301" t="inlineStr">
        <is>
          <t>4943</t>
        </is>
      </c>
      <c r="I48" s="332">
        <f>IFERROR(VLOOKUP(TEXT(H48,"0"),IPRESS!$A$3:$B$212,2,0),"")</f>
        <v/>
      </c>
      <c r="J48" s="301" t="inlineStr">
        <is>
          <t>4950</t>
        </is>
      </c>
      <c r="K48" s="332">
        <f>IFERROR(VLOOKUP(TEXT(O48,"0"),CONDUCTORES!$A$3:$G$100,7,0),"")</f>
        <v/>
      </c>
      <c r="L48" s="245" t="n">
        <v>20.25</v>
      </c>
      <c r="M48" s="245" t="n">
        <v>3</v>
      </c>
      <c r="N48" s="333">
        <f>IFERROR(IF(L48*M48=0,"",L48*M48),"")</f>
        <v/>
      </c>
      <c r="O48" s="280" t="n"/>
      <c r="P48" s="332">
        <f>IFERROR(VLOOKUP(TEXT(O48,"0"),CONDUCTORES!$A$3:$G$100,2,0),"")</f>
        <v/>
      </c>
      <c r="Q48" s="332">
        <f>IFERROR(VLOOKUP(TEXT(O48,"0"),CONDUCTORES!$A$3:$H$100,6,0),"")</f>
        <v/>
      </c>
      <c r="R48" s="331" t="n">
        <v>46010</v>
      </c>
      <c r="S48" s="302" t="inlineStr">
        <is>
          <t>I64X</t>
        </is>
      </c>
      <c r="T48" s="301" t="n"/>
      <c r="U48" s="334" t="n"/>
      <c r="V48" s="301" t="n"/>
      <c r="W48" s="301" t="n"/>
      <c r="X48" s="301" t="n"/>
      <c r="Y48" s="280" t="n"/>
    </row>
    <row r="49" ht="15.75" customHeight="1" s="195">
      <c r="A49" s="241" t="n">
        <v>24</v>
      </c>
      <c r="B49" s="305" t="inlineStr">
        <is>
          <t>00000009</t>
        </is>
      </c>
      <c r="C49" s="241" t="inlineStr">
        <is>
          <t>REGION</t>
        </is>
      </c>
      <c r="D49" s="305" t="inlineStr">
        <is>
          <t>MONTENEGRO PILCO AFORTUNADO RAMIRO</t>
        </is>
      </c>
      <c r="E49" s="241" t="inlineStr">
        <is>
          <t>DNI</t>
        </is>
      </c>
      <c r="F49" s="241" t="inlineStr">
        <is>
          <t>33720485</t>
        </is>
      </c>
      <c r="G49" s="336" t="n">
        <v>45799</v>
      </c>
      <c r="H49" s="241" t="inlineStr">
        <is>
          <t>4917</t>
        </is>
      </c>
      <c r="I49" s="332">
        <f>IFERROR(VLOOKUP(TEXT(H49,"0"),IPRESS!$A$3:$B$212,2,0),"")</f>
        <v/>
      </c>
      <c r="J49" s="241" t="inlineStr">
        <is>
          <t>4838</t>
        </is>
      </c>
      <c r="K49" s="332">
        <f>IFERROR(VLOOKUP(TEXT(O49,"0"),CONDUCTORES!$A$3:$G$100,7,0),"")</f>
        <v/>
      </c>
      <c r="L49" s="239" t="n">
        <v>18.18</v>
      </c>
      <c r="M49" s="239" t="n">
        <v>12</v>
      </c>
      <c r="N49" s="333">
        <f>IFERROR(IF(L49*M49=0,"",L49*M49),"")</f>
        <v/>
      </c>
      <c r="O49" s="334" t="n"/>
      <c r="P49" s="332">
        <f>IFERROR(VLOOKUP(TEXT(O49,"0"),CONDUCTORES!$A$3:$G$100,2,0),"")</f>
        <v/>
      </c>
      <c r="Q49" s="332">
        <f>IFERROR(VLOOKUP(TEXT(O49,"0"),CONDUCTORES!$A$3:$H$100,6,0),"")</f>
        <v/>
      </c>
      <c r="R49" s="336" t="n">
        <v>45828</v>
      </c>
      <c r="S49" s="305" t="inlineStr">
        <is>
          <t>S069,I64X</t>
        </is>
      </c>
      <c r="T49" s="241" t="n"/>
      <c r="U49" s="280" t="n"/>
      <c r="V49" s="241" t="n"/>
      <c r="W49" s="241" t="n"/>
      <c r="X49" s="241" t="n"/>
      <c r="Y49" s="280" t="n"/>
    </row>
    <row r="50" ht="15.75" customHeight="1" s="195">
      <c r="A50" s="301" t="n">
        <v>25</v>
      </c>
      <c r="B50" s="302" t="inlineStr">
        <is>
          <t>00000010</t>
        </is>
      </c>
      <c r="C50" s="301" t="inlineStr">
        <is>
          <t>REGION</t>
        </is>
      </c>
      <c r="D50" s="302" t="inlineStr">
        <is>
          <t>UGAZ SALAZAR ORFELINDA</t>
        </is>
      </c>
      <c r="E50" s="301" t="inlineStr">
        <is>
          <t>DNI</t>
        </is>
      </c>
      <c r="F50" s="301" t="inlineStr">
        <is>
          <t>33594383</t>
        </is>
      </c>
      <c r="G50" s="331" t="n">
        <v>45808</v>
      </c>
      <c r="H50" s="301" t="inlineStr">
        <is>
          <t>4917</t>
        </is>
      </c>
      <c r="I50" s="332">
        <f>IFERROR(VLOOKUP(TEXT(H50,"0"),IPRESS!$A$3:$B$212,2,0),"")</f>
        <v/>
      </c>
      <c r="J50" s="301" t="inlineStr">
        <is>
          <t>4838</t>
        </is>
      </c>
      <c r="K50" s="332">
        <f>IFERROR(VLOOKUP(TEXT(O50,"0"),CONDUCTORES!$A$3:$G$100,7,0),"")</f>
        <v/>
      </c>
      <c r="L50" s="245" t="n">
        <v>18.18</v>
      </c>
      <c r="M50" s="245" t="n">
        <v>12</v>
      </c>
      <c r="N50" s="333">
        <f>IFERROR(IF(L50*M50=0,"",L50*M50),"")</f>
        <v/>
      </c>
      <c r="O50" s="280" t="n"/>
      <c r="P50" s="332">
        <f>IFERROR(VLOOKUP(TEXT(O50,"0"),CONDUCTORES!$A$3:$G$100,2,0),"")</f>
        <v/>
      </c>
      <c r="Q50" s="332">
        <f>IFERROR(VLOOKUP(TEXT(O50,"0"),CONDUCTORES!$A$3:$H$100,6,0),"")</f>
        <v/>
      </c>
      <c r="R50" s="331" t="n">
        <v>45828</v>
      </c>
      <c r="S50" s="302" t="inlineStr">
        <is>
          <t>N939,C539</t>
        </is>
      </c>
      <c r="T50" s="301" t="n"/>
      <c r="U50" s="334" t="n"/>
      <c r="V50" s="301" t="n"/>
      <c r="W50" s="301" t="n"/>
      <c r="X50" s="301" t="n"/>
      <c r="Y50" s="280" t="n"/>
    </row>
    <row r="51" ht="15.75" customHeight="1" s="195">
      <c r="A51" s="241" t="n">
        <v>26</v>
      </c>
      <c r="B51" s="305" t="inlineStr">
        <is>
          <t>00000015</t>
        </is>
      </c>
      <c r="C51" s="241" t="inlineStr">
        <is>
          <t>REGION</t>
        </is>
      </c>
      <c r="D51" s="305" t="inlineStr">
        <is>
          <t>PUSCAN GUIOP MAX ADRIEL</t>
        </is>
      </c>
      <c r="E51" s="241" t="inlineStr">
        <is>
          <t>DNI</t>
        </is>
      </c>
      <c r="F51" s="241" t="inlineStr">
        <is>
          <t>92970079</t>
        </is>
      </c>
      <c r="G51" s="336" t="n">
        <v>45796</v>
      </c>
      <c r="H51" s="241" t="inlineStr">
        <is>
          <t>4905</t>
        </is>
      </c>
      <c r="I51" s="332">
        <f>IFERROR(VLOOKUP(TEXT(H51,"0"),IPRESS!$A$3:$B$212,2,0),"")</f>
        <v/>
      </c>
      <c r="J51" s="241" t="inlineStr">
        <is>
          <t>4838</t>
        </is>
      </c>
      <c r="K51" s="332">
        <f>IFERROR(VLOOKUP(TEXT(O51,"0"),CONDUCTORES!$A$3:$G$100,7,0),"")</f>
        <v/>
      </c>
      <c r="L51" s="239" t="n">
        <v>18.18</v>
      </c>
      <c r="M51" s="239" t="n">
        <v>8</v>
      </c>
      <c r="N51" s="333">
        <f>IFERROR(IF(L51*M51=0,"",L51*M51),"")</f>
        <v/>
      </c>
      <c r="O51" s="334" t="n"/>
      <c r="P51" s="332">
        <f>IFERROR(VLOOKUP(TEXT(O51,"0"),CONDUCTORES!$A$3:$G$100,2,0),"")</f>
        <v/>
      </c>
      <c r="Q51" s="332">
        <f>IFERROR(VLOOKUP(TEXT(O51,"0"),CONDUCTORES!$A$3:$H$100,6,0),"")</f>
        <v/>
      </c>
      <c r="R51" s="280" t="inlineStr">
        <is>
          <t>ATENDIDO 19/06/2025</t>
        </is>
      </c>
      <c r="S51" s="305" t="inlineStr">
        <is>
          <t>J180,J189</t>
        </is>
      </c>
      <c r="T51" s="241" t="n"/>
      <c r="U51" s="280" t="n"/>
      <c r="V51" s="241" t="n"/>
      <c r="W51" s="241" t="n"/>
      <c r="X51" s="241" t="n"/>
      <c r="Y51" s="280" t="n"/>
    </row>
    <row r="52" ht="15.75" customHeight="1" s="195">
      <c r="A52" s="301" t="n">
        <v>27</v>
      </c>
      <c r="B52" s="302" t="inlineStr">
        <is>
          <t>00000016</t>
        </is>
      </c>
      <c r="C52" s="301" t="inlineStr">
        <is>
          <t>REGION</t>
        </is>
      </c>
      <c r="D52" s="302" t="inlineStr">
        <is>
          <t>CULQUI TUCTO JHAYDEN GABRIEL</t>
        </is>
      </c>
      <c r="E52" s="301" t="inlineStr">
        <is>
          <t>DNI</t>
        </is>
      </c>
      <c r="F52" s="301" t="inlineStr">
        <is>
          <t>92887222</t>
        </is>
      </c>
      <c r="G52" s="331" t="n">
        <v>45803</v>
      </c>
      <c r="H52" s="301" t="inlineStr">
        <is>
          <t>4905</t>
        </is>
      </c>
      <c r="I52" s="332">
        <f>IFERROR(VLOOKUP(TEXT(H52,"0"),IPRESS!$A$3:$B$212,2,0),"")</f>
        <v/>
      </c>
      <c r="J52" s="301" t="inlineStr">
        <is>
          <t>4838</t>
        </is>
      </c>
      <c r="K52" s="332">
        <f>IFERROR(VLOOKUP(TEXT(O52,"0"),CONDUCTORES!$A$3:$G$100,7,0),"")</f>
        <v/>
      </c>
      <c r="L52" s="245" t="n">
        <v>18.18</v>
      </c>
      <c r="M52" s="245" t="n">
        <v>8</v>
      </c>
      <c r="N52" s="333">
        <f>IFERROR(IF(L52*M52=0,"",L52*M52),"")</f>
        <v/>
      </c>
      <c r="O52" s="280" t="n"/>
      <c r="P52" s="332">
        <f>IFERROR(VLOOKUP(TEXT(O52,"0"),CONDUCTORES!$A$3:$G$100,2,0),"")</f>
        <v/>
      </c>
      <c r="Q52" s="332">
        <f>IFERROR(VLOOKUP(TEXT(O52,"0"),CONDUCTORES!$A$3:$H$100,6,0),"")</f>
        <v/>
      </c>
      <c r="R52" s="334" t="inlineStr">
        <is>
          <t>ATENDIDO 19/06/2025</t>
        </is>
      </c>
      <c r="S52" s="302" t="inlineStr">
        <is>
          <t>J189</t>
        </is>
      </c>
      <c r="T52" s="301" t="n"/>
      <c r="U52" s="334" t="n"/>
      <c r="V52" s="301" t="n"/>
      <c r="W52" s="301" t="n"/>
      <c r="X52" s="301" t="n"/>
      <c r="Y52" s="280" t="n"/>
    </row>
    <row r="53" ht="15.75" customHeight="1" s="195">
      <c r="A53" s="241" t="n">
        <v>28</v>
      </c>
      <c r="B53" s="305" t="inlineStr">
        <is>
          <t>00000008</t>
        </is>
      </c>
      <c r="C53" s="241" t="inlineStr">
        <is>
          <t>REGION</t>
        </is>
      </c>
      <c r="D53" s="305" t="inlineStr">
        <is>
          <t>HUAMAN TUCTO FLORECINDA</t>
        </is>
      </c>
      <c r="E53" s="241" t="inlineStr">
        <is>
          <t>DNI</t>
        </is>
      </c>
      <c r="F53" s="241" t="inlineStr">
        <is>
          <t>75050754</t>
        </is>
      </c>
      <c r="G53" s="336" t="n">
        <v>45808</v>
      </c>
      <c r="H53" s="241" t="inlineStr">
        <is>
          <t>4905</t>
        </is>
      </c>
      <c r="I53" s="332">
        <f>IFERROR(VLOOKUP(TEXT(H53,"0"),IPRESS!$A$3:$B$212,2,0),"")</f>
        <v/>
      </c>
      <c r="J53" s="241" t="inlineStr">
        <is>
          <t>4838</t>
        </is>
      </c>
      <c r="K53" s="332">
        <f>IFERROR(VLOOKUP(TEXT(O53,"0"),CONDUCTORES!$A$3:$G$100,7,0),"")</f>
        <v/>
      </c>
      <c r="L53" s="239" t="n">
        <v>18.18</v>
      </c>
      <c r="M53" s="239" t="n">
        <v>8</v>
      </c>
      <c r="N53" s="333">
        <f>IFERROR(IF(L53*M53=0,"",L53*M53),"")</f>
        <v/>
      </c>
      <c r="O53" s="334" t="n"/>
      <c r="P53" s="332">
        <f>IFERROR(VLOOKUP(TEXT(O53,"0"),CONDUCTORES!$A$3:$G$100,2,0),"")</f>
        <v/>
      </c>
      <c r="Q53" s="332">
        <f>IFERROR(VLOOKUP(TEXT(O53,"0"),CONDUCTORES!$A$3:$H$100,6,0),"")</f>
        <v/>
      </c>
      <c r="R53" s="280" t="inlineStr">
        <is>
          <t>ATENDIDO 19/06/2025</t>
        </is>
      </c>
      <c r="S53" s="305" t="inlineStr">
        <is>
          <t>C038,F29X</t>
        </is>
      </c>
      <c r="T53" s="241" t="n"/>
      <c r="U53" s="280" t="n"/>
      <c r="V53" s="241" t="n"/>
      <c r="W53" s="241" t="n"/>
      <c r="X53" s="241" t="n"/>
      <c r="Y53" s="280" t="n"/>
    </row>
    <row r="54" ht="15.75" customHeight="1" s="195">
      <c r="A54" s="301" t="n">
        <v>29</v>
      </c>
      <c r="B54" s="302" t="inlineStr">
        <is>
          <t>00000007</t>
        </is>
      </c>
      <c r="C54" s="301" t="inlineStr">
        <is>
          <t>REGION</t>
        </is>
      </c>
      <c r="D54" s="302" t="inlineStr">
        <is>
          <t>HUAMAN CULQUI MAVILA</t>
        </is>
      </c>
      <c r="E54" s="301" t="inlineStr">
        <is>
          <t>DNI</t>
        </is>
      </c>
      <c r="F54" s="301" t="inlineStr">
        <is>
          <t>47351936</t>
        </is>
      </c>
      <c r="G54" s="331" t="n">
        <v>45807</v>
      </c>
      <c r="H54" s="301" t="inlineStr">
        <is>
          <t>4905</t>
        </is>
      </c>
      <c r="I54" s="332">
        <f>IFERROR(VLOOKUP(TEXT(H54,"0"),IPRESS!$A$3:$B$212,2,0),"")</f>
        <v/>
      </c>
      <c r="J54" s="301" t="inlineStr">
        <is>
          <t>4838</t>
        </is>
      </c>
      <c r="K54" s="332">
        <f>IFERROR(VLOOKUP(TEXT(O54,"0"),CONDUCTORES!$A$3:$G$100,7,0),"")</f>
        <v/>
      </c>
      <c r="L54" s="245" t="n">
        <v>18.18</v>
      </c>
      <c r="M54" s="245" t="n">
        <v>8</v>
      </c>
      <c r="N54" s="333">
        <f>IFERROR(IF(L54*M54=0,"",L54*M54),"")</f>
        <v/>
      </c>
      <c r="O54" s="280" t="n"/>
      <c r="P54" s="332">
        <f>IFERROR(VLOOKUP(TEXT(O54,"0"),CONDUCTORES!$A$3:$G$100,2,0),"")</f>
        <v/>
      </c>
      <c r="Q54" s="332">
        <f>IFERROR(VLOOKUP(TEXT(O54,"0"),CONDUCTORES!$A$3:$H$100,6,0),"")</f>
        <v/>
      </c>
      <c r="R54" s="334" t="inlineStr">
        <is>
          <t>ATENDIDO 19/06/2025</t>
        </is>
      </c>
      <c r="S54" s="302" t="inlineStr">
        <is>
          <t>Z359,O342,O809</t>
        </is>
      </c>
      <c r="T54" s="301" t="n"/>
      <c r="U54" s="334" t="n"/>
      <c r="V54" s="301" t="n"/>
      <c r="W54" s="301" t="n"/>
      <c r="X54" s="301" t="n"/>
      <c r="Y54" s="280" t="n"/>
    </row>
    <row r="55" ht="15.75" customHeight="1" s="195">
      <c r="A55" s="241" t="n">
        <v>30</v>
      </c>
      <c r="B55" s="305" t="inlineStr">
        <is>
          <t>00000020</t>
        </is>
      </c>
      <c r="C55" s="241" t="inlineStr">
        <is>
          <t>REGION</t>
        </is>
      </c>
      <c r="D55" s="305" t="inlineStr">
        <is>
          <t>VENTURA GOMES LEONARDO</t>
        </is>
      </c>
      <c r="E55" s="241" t="inlineStr">
        <is>
          <t>DNI</t>
        </is>
      </c>
      <c r="F55" s="241" t="inlineStr">
        <is>
          <t>33781084</t>
        </is>
      </c>
      <c r="G55" s="336" t="n">
        <v>45785</v>
      </c>
      <c r="H55" s="241" t="inlineStr">
        <is>
          <t>4850</t>
        </is>
      </c>
      <c r="I55" s="332">
        <f>IFERROR(VLOOKUP(TEXT(H55,"0"),IPRESS!$A$3:$B$212,2,0),"")</f>
        <v/>
      </c>
      <c r="J55" s="241" t="inlineStr">
        <is>
          <t>4838</t>
        </is>
      </c>
      <c r="K55" s="332">
        <f>IFERROR(VLOOKUP(TEXT(O55,"0"),CONDUCTORES!$A$3:$G$100,7,0),"")</f>
        <v/>
      </c>
      <c r="L55" s="239" t="n">
        <v>18.18</v>
      </c>
      <c r="M55" s="239" t="n">
        <v>4</v>
      </c>
      <c r="N55" s="333">
        <f>IFERROR(IF(L55*M55=0,"",L55*M55),"")</f>
        <v/>
      </c>
      <c r="O55" s="334" t="n"/>
      <c r="P55" s="332">
        <f>IFERROR(VLOOKUP(TEXT(O55,"0"),CONDUCTORES!$A$3:$G$100,2,0),"")</f>
        <v/>
      </c>
      <c r="Q55" s="332">
        <f>IFERROR(VLOOKUP(TEXT(O55,"0"),CONDUCTORES!$A$3:$H$100,6,0),"")</f>
        <v/>
      </c>
      <c r="R55" s="336" t="n">
        <v>45828</v>
      </c>
      <c r="S55" s="305" t="inlineStr">
        <is>
          <t>J969,I500,N10X</t>
        </is>
      </c>
      <c r="T55" s="241" t="n"/>
      <c r="U55" s="280" t="n"/>
      <c r="V55" s="241" t="n"/>
      <c r="W55" s="241" t="n"/>
      <c r="X55" s="241" t="n"/>
      <c r="Y55" s="280" t="n"/>
    </row>
    <row r="56" ht="15.75" customHeight="1" s="195">
      <c r="A56" s="301" t="n">
        <v>26</v>
      </c>
      <c r="B56" s="302" t="inlineStr">
        <is>
          <t>00000025</t>
        </is>
      </c>
      <c r="C56" s="301" t="inlineStr">
        <is>
          <t>REGION</t>
        </is>
      </c>
      <c r="D56" s="302" t="inlineStr">
        <is>
          <t>INGA DE VELA FACUNDA</t>
        </is>
      </c>
      <c r="E56" s="301" t="inlineStr">
        <is>
          <t>DNI</t>
        </is>
      </c>
      <c r="F56" s="301" t="inlineStr">
        <is>
          <t>33793269</t>
        </is>
      </c>
      <c r="G56" s="331" t="n">
        <v>45796</v>
      </c>
      <c r="H56" s="301" t="inlineStr">
        <is>
          <t>4850</t>
        </is>
      </c>
      <c r="I56" s="332">
        <f>IFERROR(VLOOKUP(TEXT(H56,"0"),IPRESS!$A$3:$B$212,2,0),"")</f>
        <v/>
      </c>
      <c r="J56" s="301" t="inlineStr">
        <is>
          <t>4838</t>
        </is>
      </c>
      <c r="K56" s="332">
        <f>IFERROR(VLOOKUP(TEXT(O56,"0"),CONDUCTORES!$A$3:$G$100,7,0),"")</f>
        <v/>
      </c>
      <c r="L56" s="245" t="n">
        <v>18.18</v>
      </c>
      <c r="M56" s="245" t="n">
        <v>4</v>
      </c>
      <c r="N56" s="333">
        <f>IFERROR(IF(L56*M56=0,"",L56*M56),"")</f>
        <v/>
      </c>
      <c r="O56" s="280" t="n"/>
      <c r="P56" s="332">
        <f>IFERROR(VLOOKUP(TEXT(O56,"0"),CONDUCTORES!$A$3:$G$100,2,0),"")</f>
        <v/>
      </c>
      <c r="Q56" s="332">
        <f>IFERROR(VLOOKUP(TEXT(O56,"0"),CONDUCTORES!$A$3:$H$100,6,0),"")</f>
        <v/>
      </c>
      <c r="R56" s="331" t="n">
        <v>45987</v>
      </c>
      <c r="S56" s="302" t="inlineStr">
        <is>
          <t>J960,I500,J189</t>
        </is>
      </c>
      <c r="T56" s="301" t="n"/>
      <c r="U56" s="334" t="n"/>
      <c r="V56" s="301" t="inlineStr">
        <is>
          <t>5989-2025</t>
        </is>
      </c>
      <c r="W56" s="301" t="inlineStr">
        <is>
          <t>CONTRATO N° 001-2025</t>
        </is>
      </c>
      <c r="X56" s="301" t="inlineStr">
        <is>
          <t>266.0</t>
        </is>
      </c>
      <c r="Y56" s="280" t="n"/>
    </row>
    <row r="57" ht="15.75" customHeight="1" s="195">
      <c r="A57" s="241" t="n">
        <v>27</v>
      </c>
      <c r="B57" s="305" t="inlineStr">
        <is>
          <t>00000026</t>
        </is>
      </c>
      <c r="C57" s="241" t="inlineStr">
        <is>
          <t>REGION</t>
        </is>
      </c>
      <c r="D57" s="305" t="inlineStr">
        <is>
          <t>DE LA CRUZ LLANOS ANAMARIA</t>
        </is>
      </c>
      <c r="E57" s="241" t="inlineStr">
        <is>
          <t>DNI</t>
        </is>
      </c>
      <c r="F57" s="241" t="inlineStr">
        <is>
          <t>43369420</t>
        </is>
      </c>
      <c r="G57" s="336" t="n">
        <v>45800</v>
      </c>
      <c r="H57" s="241" t="inlineStr">
        <is>
          <t>4850</t>
        </is>
      </c>
      <c r="I57" s="332">
        <f>IFERROR(VLOOKUP(TEXT(H57,"0"),IPRESS!$A$3:$B$212,2,0),"")</f>
        <v/>
      </c>
      <c r="J57" s="241" t="inlineStr">
        <is>
          <t>4838</t>
        </is>
      </c>
      <c r="K57" s="332">
        <f>IFERROR(VLOOKUP(TEXT(O57,"0"),CONDUCTORES!$A$3:$G$100,7,0),"")</f>
        <v/>
      </c>
      <c r="L57" s="239" t="n">
        <v>18.18</v>
      </c>
      <c r="M57" s="239" t="n">
        <v>4</v>
      </c>
      <c r="N57" s="333">
        <f>IFERROR(IF(L57*M57=0,"",L57*M57),"")</f>
        <v/>
      </c>
      <c r="O57" s="334" t="n"/>
      <c r="P57" s="332">
        <f>IFERROR(VLOOKUP(TEXT(O57,"0"),CONDUCTORES!$A$3:$G$100,2,0),"")</f>
        <v/>
      </c>
      <c r="Q57" s="332">
        <f>IFERROR(VLOOKUP(TEXT(O57,"0"),CONDUCTORES!$A$3:$H$100,6,0),"")</f>
        <v/>
      </c>
      <c r="R57" s="336" t="n">
        <v>45987</v>
      </c>
      <c r="S57" s="305" t="inlineStr">
        <is>
          <t>Z359,O699</t>
        </is>
      </c>
      <c r="T57" s="241" t="n"/>
      <c r="U57" s="280" t="n"/>
      <c r="V57" s="241" t="inlineStr">
        <is>
          <t>5989-2025</t>
        </is>
      </c>
      <c r="W57" s="241" t="inlineStr">
        <is>
          <t>CONTRATO N° 001-2025</t>
        </is>
      </c>
      <c r="X57" s="241" t="inlineStr">
        <is>
          <t>266.0</t>
        </is>
      </c>
      <c r="Y57" s="280" t="n"/>
    </row>
    <row r="58" ht="15.75" customHeight="1" s="195">
      <c r="A58" s="301" t="n">
        <v>28</v>
      </c>
      <c r="B58" s="302" t="inlineStr">
        <is>
          <t>00000021</t>
        </is>
      </c>
      <c r="C58" s="301" t="inlineStr">
        <is>
          <t>REGION</t>
        </is>
      </c>
      <c r="D58" s="302" t="inlineStr">
        <is>
          <t>VASQUEZ TORREJON SANDRA MARILU</t>
        </is>
      </c>
      <c r="E58" s="301" t="inlineStr">
        <is>
          <t>DNI</t>
        </is>
      </c>
      <c r="F58" s="301" t="inlineStr">
        <is>
          <t>42054051</t>
        </is>
      </c>
      <c r="G58" s="331" t="n">
        <v>45791</v>
      </c>
      <c r="H58" s="301" t="inlineStr">
        <is>
          <t>4850</t>
        </is>
      </c>
      <c r="I58" s="332">
        <f>IFERROR(VLOOKUP(TEXT(H58,"0"),IPRESS!$A$3:$B$212,2,0),"")</f>
        <v/>
      </c>
      <c r="J58" s="301" t="inlineStr">
        <is>
          <t>4838</t>
        </is>
      </c>
      <c r="K58" s="332">
        <f>IFERROR(VLOOKUP(TEXT(O58,"0"),CONDUCTORES!$A$3:$G$100,7,0),"")</f>
        <v/>
      </c>
      <c r="L58" s="245" t="n">
        <v>18.18</v>
      </c>
      <c r="M58" s="245" t="n">
        <v>4</v>
      </c>
      <c r="N58" s="333">
        <f>IFERROR(IF(L58*M58=0,"",L58*M58),"")</f>
        <v/>
      </c>
      <c r="O58" s="280" t="n"/>
      <c r="P58" s="332">
        <f>IFERROR(VLOOKUP(TEXT(O58,"0"),CONDUCTORES!$A$3:$G$100,2,0),"")</f>
        <v/>
      </c>
      <c r="Q58" s="332">
        <f>IFERROR(VLOOKUP(TEXT(O58,"0"),CONDUCTORES!$A$3:$H$100,6,0),"")</f>
        <v/>
      </c>
      <c r="R58" s="331" t="n">
        <v>45828</v>
      </c>
      <c r="S58" s="302" t="inlineStr">
        <is>
          <t>O698</t>
        </is>
      </c>
      <c r="T58" s="301" t="n"/>
      <c r="U58" s="334" t="n"/>
      <c r="V58" s="301" t="n"/>
      <c r="W58" s="301" t="n"/>
      <c r="X58" s="301" t="n"/>
      <c r="Y58" s="280" t="n"/>
    </row>
    <row r="59" ht="15.75" customHeight="1" s="195">
      <c r="A59" s="241" t="n">
        <v>29</v>
      </c>
      <c r="B59" s="305" t="inlineStr">
        <is>
          <t>00000022</t>
        </is>
      </c>
      <c r="C59" s="241" t="inlineStr">
        <is>
          <t>REGION</t>
        </is>
      </c>
      <c r="D59" s="305" t="inlineStr">
        <is>
          <t>HUAMAN OLIVARES LUCILA</t>
        </is>
      </c>
      <c r="E59" s="241" t="inlineStr">
        <is>
          <t>DNI</t>
        </is>
      </c>
      <c r="F59" s="241" t="inlineStr">
        <is>
          <t>72134237</t>
        </is>
      </c>
      <c r="G59" s="336" t="n">
        <v>45792</v>
      </c>
      <c r="H59" s="241" t="inlineStr">
        <is>
          <t>4850</t>
        </is>
      </c>
      <c r="I59" s="332">
        <f>IFERROR(VLOOKUP(TEXT(H59,"0"),IPRESS!$A$3:$B$212,2,0),"")</f>
        <v/>
      </c>
      <c r="J59" s="241" t="inlineStr">
        <is>
          <t>4838</t>
        </is>
      </c>
      <c r="K59" s="332">
        <f>IFERROR(VLOOKUP(TEXT(O59,"0"),CONDUCTORES!$A$3:$G$100,7,0),"")</f>
        <v/>
      </c>
      <c r="L59" s="239" t="n">
        <v>18.18</v>
      </c>
      <c r="M59" s="239" t="n">
        <v>4</v>
      </c>
      <c r="N59" s="333">
        <f>IFERROR(IF(L59*M59=0,"",L59*M59),"")</f>
        <v/>
      </c>
      <c r="O59" s="334" t="n"/>
      <c r="P59" s="332">
        <f>IFERROR(VLOOKUP(TEXT(O59,"0"),CONDUCTORES!$A$3:$G$100,2,0),"")</f>
        <v/>
      </c>
      <c r="Q59" s="332">
        <f>IFERROR(VLOOKUP(TEXT(O59,"0"),CONDUCTORES!$A$3:$H$100,6,0),"")</f>
        <v/>
      </c>
      <c r="R59" s="336" t="n">
        <v>45828</v>
      </c>
      <c r="S59" s="305" t="inlineStr">
        <is>
          <t>Z359,O48X</t>
        </is>
      </c>
      <c r="T59" s="241" t="n"/>
      <c r="U59" s="280" t="n"/>
      <c r="V59" s="241" t="n"/>
      <c r="W59" s="241" t="n"/>
      <c r="X59" s="241" t="n"/>
      <c r="Y59" s="280" t="n"/>
    </row>
    <row r="60" ht="15.75" customHeight="1" s="195">
      <c r="A60" s="301" t="n">
        <v>30</v>
      </c>
      <c r="B60" s="302" t="inlineStr">
        <is>
          <t>00000023</t>
        </is>
      </c>
      <c r="C60" s="301" t="inlineStr">
        <is>
          <t>REGION</t>
        </is>
      </c>
      <c r="D60" s="302" t="inlineStr">
        <is>
          <t>SILVA FLORES MARIBENI</t>
        </is>
      </c>
      <c r="E60" s="301" t="inlineStr">
        <is>
          <t>DNI</t>
        </is>
      </c>
      <c r="F60" s="301" t="inlineStr">
        <is>
          <t>72262007</t>
        </is>
      </c>
      <c r="G60" s="331" t="n">
        <v>45793</v>
      </c>
      <c r="H60" s="301" t="inlineStr">
        <is>
          <t>4850</t>
        </is>
      </c>
      <c r="I60" s="332">
        <f>IFERROR(VLOOKUP(TEXT(H60,"0"),IPRESS!$A$3:$B$212,2,0),"")</f>
        <v/>
      </c>
      <c r="J60" s="301" t="inlineStr">
        <is>
          <t>4838</t>
        </is>
      </c>
      <c r="K60" s="332">
        <f>IFERROR(VLOOKUP(TEXT(O60,"0"),CONDUCTORES!$A$3:$G$100,7,0),"")</f>
        <v/>
      </c>
      <c r="L60" s="245" t="n">
        <v>18.18</v>
      </c>
      <c r="M60" s="245" t="n">
        <v>4</v>
      </c>
      <c r="N60" s="333">
        <f>IFERROR(IF(L60*M60=0,"",L60*M60),"")</f>
        <v/>
      </c>
      <c r="O60" s="280" t="n"/>
      <c r="P60" s="332">
        <f>IFERROR(VLOOKUP(TEXT(O60,"0"),CONDUCTORES!$A$3:$G$100,2,0),"")</f>
        <v/>
      </c>
      <c r="Q60" s="332">
        <f>IFERROR(VLOOKUP(TEXT(O60,"0"),CONDUCTORES!$A$3:$H$100,6,0),"")</f>
        <v/>
      </c>
      <c r="R60" s="331" t="n">
        <v>45828</v>
      </c>
      <c r="S60" s="302" t="inlineStr">
        <is>
          <t>Z359,O321</t>
        </is>
      </c>
      <c r="T60" s="301" t="n"/>
      <c r="U60" s="334" t="n"/>
      <c r="V60" s="301" t="n"/>
      <c r="W60" s="301" t="n"/>
      <c r="X60" s="301" t="n"/>
      <c r="Y60" s="280" t="n"/>
    </row>
    <row r="61" ht="15.75" customHeight="1" s="195">
      <c r="A61" s="241" t="n">
        <v>31</v>
      </c>
      <c r="B61" s="305" t="inlineStr">
        <is>
          <t>00000024</t>
        </is>
      </c>
      <c r="C61" s="241" t="inlineStr">
        <is>
          <t>REGION</t>
        </is>
      </c>
      <c r="D61" s="305" t="inlineStr">
        <is>
          <t>CHOCACA BAUTISTA ASUNCIONA</t>
        </is>
      </c>
      <c r="E61" s="241" t="inlineStr">
        <is>
          <t>DNI</t>
        </is>
      </c>
      <c r="F61" s="241" t="inlineStr">
        <is>
          <t>46298075</t>
        </is>
      </c>
      <c r="G61" s="336" t="n">
        <v>45793</v>
      </c>
      <c r="H61" s="241" t="inlineStr">
        <is>
          <t>4850</t>
        </is>
      </c>
      <c r="I61" s="332">
        <f>IFERROR(VLOOKUP(TEXT(H61,"0"),IPRESS!$A$3:$B$212,2,0),"")</f>
        <v/>
      </c>
      <c r="J61" s="241" t="inlineStr">
        <is>
          <t>4838</t>
        </is>
      </c>
      <c r="K61" s="332">
        <f>IFERROR(VLOOKUP(TEXT(O61,"0"),CONDUCTORES!$A$3:$G$100,7,0),"")</f>
        <v/>
      </c>
      <c r="L61" s="239" t="n">
        <v>18.18</v>
      </c>
      <c r="M61" s="239" t="n">
        <v>4</v>
      </c>
      <c r="N61" s="333">
        <f>IFERROR(IF(L61*M61=0,"",L61*M61),"")</f>
        <v/>
      </c>
      <c r="O61" s="334" t="n"/>
      <c r="P61" s="332">
        <f>IFERROR(VLOOKUP(TEXT(O61,"0"),CONDUCTORES!$A$3:$G$100,2,0),"")</f>
        <v/>
      </c>
      <c r="Q61" s="332">
        <f>IFERROR(VLOOKUP(TEXT(O61,"0"),CONDUCTORES!$A$3:$H$100,6,0),"")</f>
        <v/>
      </c>
      <c r="R61" s="336" t="n">
        <v>45828</v>
      </c>
      <c r="S61" s="305" t="inlineStr">
        <is>
          <t>E86X,K922</t>
        </is>
      </c>
      <c r="T61" s="241" t="n"/>
      <c r="U61" s="280" t="n"/>
      <c r="V61" s="241" t="n"/>
      <c r="W61" s="241" t="n"/>
      <c r="X61" s="241" t="n"/>
      <c r="Y61" s="280" t="n"/>
    </row>
    <row r="62" ht="15.75" customHeight="1" s="195">
      <c r="A62" s="301" t="n">
        <v>32</v>
      </c>
      <c r="B62" s="302" t="inlineStr">
        <is>
          <t>00000027</t>
        </is>
      </c>
      <c r="C62" s="301" t="inlineStr">
        <is>
          <t>REGION</t>
        </is>
      </c>
      <c r="D62" s="302" t="inlineStr">
        <is>
          <t>GUELAC PELAEZ ROSARIO</t>
        </is>
      </c>
      <c r="E62" s="301" t="inlineStr">
        <is>
          <t>DNI</t>
        </is>
      </c>
      <c r="F62" s="301" t="inlineStr">
        <is>
          <t>33816435</t>
        </is>
      </c>
      <c r="G62" s="331" t="n">
        <v>45804</v>
      </c>
      <c r="H62" s="301" t="inlineStr">
        <is>
          <t>4850</t>
        </is>
      </c>
      <c r="I62" s="332">
        <f>IFERROR(VLOOKUP(TEXT(H62,"0"),IPRESS!$A$3:$B$212,2,0),"")</f>
        <v/>
      </c>
      <c r="J62" s="301" t="inlineStr">
        <is>
          <t>4838</t>
        </is>
      </c>
      <c r="K62" s="332">
        <f>IFERROR(VLOOKUP(TEXT(O62,"0"),CONDUCTORES!$A$3:$G$100,7,0),"")</f>
        <v/>
      </c>
      <c r="L62" s="245" t="n">
        <v>18.18</v>
      </c>
      <c r="M62" s="245" t="n">
        <v>4</v>
      </c>
      <c r="N62" s="333">
        <f>IFERROR(IF(L62*M62=0,"",L62*M62),"")</f>
        <v/>
      </c>
      <c r="O62" s="280" t="n"/>
      <c r="P62" s="332">
        <f>IFERROR(VLOOKUP(TEXT(O62,"0"),CONDUCTORES!$A$3:$G$100,2,0),"")</f>
        <v/>
      </c>
      <c r="Q62" s="332">
        <f>IFERROR(VLOOKUP(TEXT(O62,"0"),CONDUCTORES!$A$3:$H$100,6,0),"")</f>
        <v/>
      </c>
      <c r="R62" s="331" t="n">
        <v>45987</v>
      </c>
      <c r="S62" s="302" t="inlineStr">
        <is>
          <t>R100,K37X</t>
        </is>
      </c>
      <c r="T62" s="301" t="n"/>
      <c r="U62" s="334" t="n"/>
      <c r="V62" s="301" t="inlineStr">
        <is>
          <t>5989-2025</t>
        </is>
      </c>
      <c r="W62" s="301" t="inlineStr">
        <is>
          <t>CONTRATO N° 001-2025</t>
        </is>
      </c>
      <c r="X62" s="301" t="inlineStr">
        <is>
          <t>266.0</t>
        </is>
      </c>
      <c r="Y62" s="280" t="n"/>
    </row>
    <row r="63" ht="15.75" customHeight="1" s="195">
      <c r="A63" s="241" t="n">
        <v>33</v>
      </c>
      <c r="B63" s="305" t="inlineStr">
        <is>
          <t>00000028</t>
        </is>
      </c>
      <c r="C63" s="241" t="inlineStr">
        <is>
          <t>REGION</t>
        </is>
      </c>
      <c r="D63" s="305" t="inlineStr">
        <is>
          <t>CARRION ZUTA STEPHANY</t>
        </is>
      </c>
      <c r="E63" s="241" t="inlineStr">
        <is>
          <t>DNI</t>
        </is>
      </c>
      <c r="F63" s="241" t="inlineStr">
        <is>
          <t>73591161</t>
        </is>
      </c>
      <c r="G63" s="336" t="n">
        <v>45807</v>
      </c>
      <c r="H63" s="241" t="inlineStr">
        <is>
          <t>4850</t>
        </is>
      </c>
      <c r="I63" s="332">
        <f>IFERROR(VLOOKUP(TEXT(H63,"0"),IPRESS!$A$3:$B$212,2,0),"")</f>
        <v/>
      </c>
      <c r="J63" s="241" t="inlineStr">
        <is>
          <t>4838</t>
        </is>
      </c>
      <c r="K63" s="332">
        <f>IFERROR(VLOOKUP(TEXT(O63,"0"),CONDUCTORES!$A$3:$G$100,7,0),"")</f>
        <v/>
      </c>
      <c r="L63" s="239" t="n">
        <v>18.18</v>
      </c>
      <c r="M63" s="239" t="n">
        <v>4</v>
      </c>
      <c r="N63" s="333">
        <f>IFERROR(IF(L63*M63=0,"",L63*M63),"")</f>
        <v/>
      </c>
      <c r="O63" s="334" t="n"/>
      <c r="P63" s="332">
        <f>IFERROR(VLOOKUP(TEXT(O63,"0"),CONDUCTORES!$A$3:$G$100,2,0),"")</f>
        <v/>
      </c>
      <c r="Q63" s="332">
        <f>IFERROR(VLOOKUP(TEXT(O63,"0"),CONDUCTORES!$A$3:$H$100,6,0),"")</f>
        <v/>
      </c>
      <c r="R63" s="336" t="n">
        <v>45987</v>
      </c>
      <c r="S63" s="305" t="inlineStr">
        <is>
          <t>Z359,O689</t>
        </is>
      </c>
      <c r="T63" s="241" t="n"/>
      <c r="U63" s="280" t="n"/>
      <c r="V63" s="241" t="inlineStr">
        <is>
          <t>5989-2025</t>
        </is>
      </c>
      <c r="W63" s="241" t="inlineStr">
        <is>
          <t>CONTRATO N° 001-2025</t>
        </is>
      </c>
      <c r="X63" s="241" t="inlineStr">
        <is>
          <t>266.0</t>
        </is>
      </c>
      <c r="Y63" s="280" t="n"/>
    </row>
    <row r="64" ht="15.75" customHeight="1" s="195">
      <c r="A64" s="301" t="n">
        <v>34</v>
      </c>
      <c r="B64" s="302" t="inlineStr">
        <is>
          <t>00000015</t>
        </is>
      </c>
      <c r="C64" s="301" t="inlineStr">
        <is>
          <t>REGION</t>
        </is>
      </c>
      <c r="D64" s="302" t="inlineStr">
        <is>
          <t>BARDALES MUÑOZ JUBER</t>
        </is>
      </c>
      <c r="E64" s="301" t="inlineStr">
        <is>
          <t>DNI</t>
        </is>
      </c>
      <c r="F64" s="301" t="inlineStr">
        <is>
          <t>48554125</t>
        </is>
      </c>
      <c r="G64" s="331" t="n">
        <v>45791</v>
      </c>
      <c r="H64" s="301" t="inlineStr">
        <is>
          <t>4859</t>
        </is>
      </c>
      <c r="I64" s="332">
        <f>IFERROR(VLOOKUP(TEXT(H64,"0"),IPRESS!$A$3:$B$212,2,0),"")</f>
        <v/>
      </c>
      <c r="J64" s="301" t="inlineStr">
        <is>
          <t>4838</t>
        </is>
      </c>
      <c r="K64" s="332">
        <f>IFERROR(VLOOKUP(TEXT(O64,"0"),CONDUCTORES!$A$3:$G$100,7,0),"")</f>
        <v/>
      </c>
      <c r="L64" s="245" t="n">
        <v>18.18</v>
      </c>
      <c r="M64" s="245" t="n">
        <v>7.5</v>
      </c>
      <c r="N64" s="333">
        <f>IFERROR(IF(L64*M64=0,"",L64*M64),"")</f>
        <v/>
      </c>
      <c r="O64" s="280" t="n"/>
      <c r="P64" s="332">
        <f>IFERROR(VLOOKUP(TEXT(O64,"0"),CONDUCTORES!$A$3:$G$100,2,0),"")</f>
        <v/>
      </c>
      <c r="Q64" s="332">
        <f>IFERROR(VLOOKUP(TEXT(O64,"0"),CONDUCTORES!$A$3:$H$100,6,0),"")</f>
        <v/>
      </c>
      <c r="R64" s="334" t="inlineStr">
        <is>
          <t>ENTREGADO 17/06/2025</t>
        </is>
      </c>
      <c r="S64" s="302" t="inlineStr">
        <is>
          <t>F200,F79X</t>
        </is>
      </c>
      <c r="T64" s="301" t="n"/>
      <c r="U64" s="334" t="n"/>
      <c r="V64" s="301" t="n"/>
      <c r="W64" s="301" t="inlineStr">
        <is>
          <t>CONTRATO N° 001-2025 DYT</t>
        </is>
      </c>
      <c r="X64" s="301" t="inlineStr">
        <is>
          <t>285.0</t>
        </is>
      </c>
      <c r="Y64" s="280" t="n"/>
    </row>
    <row r="65" ht="15.75" customHeight="1" s="195">
      <c r="A65" s="241" t="n">
        <v>35</v>
      </c>
      <c r="B65" s="305" t="inlineStr">
        <is>
          <t>00000017</t>
        </is>
      </c>
      <c r="C65" s="241" t="inlineStr">
        <is>
          <t>REGION</t>
        </is>
      </c>
      <c r="D65" s="305" t="inlineStr">
        <is>
          <t>CAMACHO CHACON NICANOR</t>
        </is>
      </c>
      <c r="E65" s="241" t="inlineStr">
        <is>
          <t>DNI</t>
        </is>
      </c>
      <c r="F65" s="241" t="inlineStr">
        <is>
          <t>33417944</t>
        </is>
      </c>
      <c r="G65" s="336" t="n">
        <v>45805</v>
      </c>
      <c r="H65" s="241" t="inlineStr">
        <is>
          <t>4859</t>
        </is>
      </c>
      <c r="I65" s="332">
        <f>IFERROR(VLOOKUP(TEXT(H65,"0"),IPRESS!$A$3:$B$212,2,0),"")</f>
        <v/>
      </c>
      <c r="J65" s="241" t="inlineStr">
        <is>
          <t>4838</t>
        </is>
      </c>
      <c r="K65" s="332">
        <f>IFERROR(VLOOKUP(TEXT(O65,"0"),CONDUCTORES!$A$3:$G$100,7,0),"")</f>
        <v/>
      </c>
      <c r="L65" s="239" t="n">
        <v>18.18</v>
      </c>
      <c r="M65" s="239" t="n">
        <v>7.5</v>
      </c>
      <c r="N65" s="333">
        <f>IFERROR(IF(L65*M65=0,"",L65*M65),"")</f>
        <v/>
      </c>
      <c r="O65" s="334" t="n"/>
      <c r="P65" s="332">
        <f>IFERROR(VLOOKUP(TEXT(O65,"0"),CONDUCTORES!$A$3:$G$100,2,0),"")</f>
        <v/>
      </c>
      <c r="Q65" s="332">
        <f>IFERROR(VLOOKUP(TEXT(O65,"0"),CONDUCTORES!$A$3:$H$100,6,0),"")</f>
        <v/>
      </c>
      <c r="R65" s="280" t="inlineStr">
        <is>
          <t>ENTREGADO 17/06/2025</t>
        </is>
      </c>
      <c r="S65" s="305" t="inlineStr">
        <is>
          <t>I679</t>
        </is>
      </c>
      <c r="T65" s="241" t="n"/>
      <c r="U65" s="280" t="n"/>
      <c r="V65" s="241" t="n"/>
      <c r="W65" s="241" t="inlineStr">
        <is>
          <t>CONTRATO N° 001-2025 DYT</t>
        </is>
      </c>
      <c r="X65" s="241" t="inlineStr">
        <is>
          <t>285.0</t>
        </is>
      </c>
      <c r="Y65" s="280" t="n"/>
    </row>
    <row r="66" ht="15.75" customHeight="1" s="195">
      <c r="A66" s="301" t="n">
        <v>31</v>
      </c>
      <c r="B66" s="302" t="inlineStr">
        <is>
          <t>00000016</t>
        </is>
      </c>
      <c r="C66" s="301" t="inlineStr">
        <is>
          <t>REGION</t>
        </is>
      </c>
      <c r="D66" s="302" t="inlineStr">
        <is>
          <t>CHAPOÑAN CAMUS THALIA</t>
        </is>
      </c>
      <c r="E66" s="301" t="inlineStr">
        <is>
          <t>DNI</t>
        </is>
      </c>
      <c r="F66" s="301" t="inlineStr">
        <is>
          <t>73058676</t>
        </is>
      </c>
      <c r="G66" s="331" t="n">
        <v>45792</v>
      </c>
      <c r="H66" s="301" t="inlineStr">
        <is>
          <t>4859</t>
        </is>
      </c>
      <c r="I66" s="332">
        <f>IFERROR(VLOOKUP(TEXT(H66,"0"),IPRESS!$A$3:$B$212,2,0),"")</f>
        <v/>
      </c>
      <c r="J66" s="301" t="inlineStr">
        <is>
          <t>4838</t>
        </is>
      </c>
      <c r="K66" s="332">
        <f>IFERROR(VLOOKUP(TEXT(O66,"0"),CONDUCTORES!$A$3:$G$100,7,0),"")</f>
        <v/>
      </c>
      <c r="L66" s="245" t="n">
        <v>18.18</v>
      </c>
      <c r="M66" s="245" t="n">
        <v>7.5</v>
      </c>
      <c r="N66" s="333">
        <f>IFERROR(IF(L66*M66=0,"",L66*M66),"")</f>
        <v/>
      </c>
      <c r="O66" s="280" t="n"/>
      <c r="P66" s="332">
        <f>IFERROR(VLOOKUP(TEXT(O66,"0"),CONDUCTORES!$A$3:$G$100,2,0),"")</f>
        <v/>
      </c>
      <c r="Q66" s="332">
        <f>IFERROR(VLOOKUP(TEXT(O66,"0"),CONDUCTORES!$A$3:$H$100,6,0),"")</f>
        <v/>
      </c>
      <c r="R66" s="331" t="n">
        <v>45873</v>
      </c>
      <c r="S66" s="302" t="inlineStr">
        <is>
          <t>S369</t>
        </is>
      </c>
      <c r="T66" s="301" t="n"/>
      <c r="U66" s="334" t="n"/>
      <c r="V66" s="301" t="n"/>
      <c r="W66" s="301" t="n"/>
      <c r="X66" s="301" t="n"/>
      <c r="Y66" s="280" t="n"/>
    </row>
    <row r="67" ht="15.75" customHeight="1" s="195">
      <c r="A67" s="241" t="n">
        <v>32</v>
      </c>
      <c r="B67" s="305" t="inlineStr">
        <is>
          <t>00000018</t>
        </is>
      </c>
      <c r="C67" s="241" t="inlineStr">
        <is>
          <t>REGION</t>
        </is>
      </c>
      <c r="D67" s="305" t="inlineStr">
        <is>
          <t>MEJIA MICHA LEILA</t>
        </is>
      </c>
      <c r="E67" s="241" t="inlineStr">
        <is>
          <t>DNI</t>
        </is>
      </c>
      <c r="F67" s="241" t="inlineStr">
        <is>
          <t>62134059</t>
        </is>
      </c>
      <c r="G67" s="336" t="n">
        <v>45806</v>
      </c>
      <c r="H67" s="241" t="inlineStr">
        <is>
          <t>4859</t>
        </is>
      </c>
      <c r="I67" s="332">
        <f>IFERROR(VLOOKUP(TEXT(H67,"0"),IPRESS!$A$3:$B$212,2,0),"")</f>
        <v/>
      </c>
      <c r="J67" s="241" t="inlineStr">
        <is>
          <t>4838</t>
        </is>
      </c>
      <c r="K67" s="332">
        <f>IFERROR(VLOOKUP(TEXT(O67,"0"),CONDUCTORES!$A$3:$G$100,7,0),"")</f>
        <v/>
      </c>
      <c r="L67" s="239" t="n">
        <v>18.18</v>
      </c>
      <c r="M67" s="239" t="n">
        <v>7.5</v>
      </c>
      <c r="N67" s="333">
        <f>IFERROR(IF(L67*M67=0,"",L67*M67),"")</f>
        <v/>
      </c>
      <c r="O67" s="334" t="n"/>
      <c r="P67" s="332">
        <f>IFERROR(VLOOKUP(TEXT(O67,"0"),CONDUCTORES!$A$3:$G$100,2,0),"")</f>
        <v/>
      </c>
      <c r="Q67" s="332">
        <f>IFERROR(VLOOKUP(TEXT(O67,"0"),CONDUCTORES!$A$3:$H$100,6,0),"")</f>
        <v/>
      </c>
      <c r="R67" s="336" t="n">
        <v>45873</v>
      </c>
      <c r="S67" s="305" t="inlineStr">
        <is>
          <t>O629</t>
        </is>
      </c>
      <c r="T67" s="241" t="n"/>
      <c r="U67" s="280" t="n"/>
      <c r="V67" s="241" t="n"/>
      <c r="W67" s="241" t="n"/>
      <c r="X67" s="241" t="n"/>
      <c r="Y67" s="280" t="n"/>
    </row>
    <row r="68" ht="15.75" customHeight="1" s="195">
      <c r="A68" s="301" t="n">
        <v>33</v>
      </c>
      <c r="B68" s="302" t="inlineStr">
        <is>
          <t>00000018</t>
        </is>
      </c>
      <c r="C68" s="301" t="inlineStr">
        <is>
          <t>REGION</t>
        </is>
      </c>
      <c r="D68" s="302" t="inlineStr">
        <is>
          <t>CRUZ TAFUR MARIA ENCARNACION</t>
        </is>
      </c>
      <c r="E68" s="301" t="inlineStr">
        <is>
          <t>DNI</t>
        </is>
      </c>
      <c r="F68" s="301" t="inlineStr">
        <is>
          <t>47094771</t>
        </is>
      </c>
      <c r="G68" s="331" t="n">
        <v>45791</v>
      </c>
      <c r="H68" s="301" t="inlineStr">
        <is>
          <t>4899</t>
        </is>
      </c>
      <c r="I68" s="332">
        <f>IFERROR(VLOOKUP(TEXT(H68,"0"),IPRESS!$A$3:$B$212,2,0),"")</f>
        <v/>
      </c>
      <c r="J68" s="301" t="inlineStr">
        <is>
          <t>4838</t>
        </is>
      </c>
      <c r="K68" s="332">
        <f>IFERROR(VLOOKUP(TEXT(O68,"0"),CONDUCTORES!$A$3:$G$100,7,0),"")</f>
        <v/>
      </c>
      <c r="L68" s="245" t="n">
        <v>18.18</v>
      </c>
      <c r="M68" s="245" t="n">
        <v>25</v>
      </c>
      <c r="N68" s="333">
        <f>IFERROR(IF(L68*M68=0,"",L68*M68),"")</f>
        <v/>
      </c>
      <c r="O68" s="280" t="n"/>
      <c r="P68" s="332">
        <f>IFERROR(VLOOKUP(TEXT(O68,"0"),CONDUCTORES!$A$3:$G$100,2,0),"")</f>
        <v/>
      </c>
      <c r="Q68" s="332">
        <f>IFERROR(VLOOKUP(TEXT(O68,"0"),CONDUCTORES!$A$3:$H$100,6,0),"")</f>
        <v/>
      </c>
      <c r="R68" s="331" t="n">
        <v>45827</v>
      </c>
      <c r="S68" s="302" t="inlineStr">
        <is>
          <t>Z359,O369,O990,O234,O235</t>
        </is>
      </c>
      <c r="T68" s="301" t="n"/>
      <c r="U68" s="334" t="n"/>
      <c r="V68" s="301" t="n"/>
      <c r="W68" s="301" t="n"/>
      <c r="X68" s="301" t="n"/>
      <c r="Y68" s="280" t="n"/>
    </row>
    <row r="69" ht="15.75" customHeight="1" s="195">
      <c r="A69" s="337" t="n">
        <v>34</v>
      </c>
      <c r="B69" s="338" t="inlineStr">
        <is>
          <t>00000024</t>
        </is>
      </c>
      <c r="C69" s="337" t="inlineStr">
        <is>
          <t>REGION</t>
        </is>
      </c>
      <c r="D69" s="338" t="inlineStr">
        <is>
          <t>MENDOZA LOPEZ MARIA NATIVIDAD</t>
        </is>
      </c>
      <c r="E69" s="337" t="inlineStr">
        <is>
          <t>DNI</t>
        </is>
      </c>
      <c r="F69" s="337" t="inlineStr">
        <is>
          <t>80343144</t>
        </is>
      </c>
      <c r="G69" s="339" t="n">
        <v>45781</v>
      </c>
      <c r="H69" s="337" t="inlineStr">
        <is>
          <t>4869</t>
        </is>
      </c>
      <c r="I69" s="332">
        <f>IFERROR(VLOOKUP(TEXT(H69,"0"),IPRESS!$A$3:$B$212,2,0),"")</f>
        <v/>
      </c>
      <c r="J69" s="337" t="inlineStr">
        <is>
          <t>4838</t>
        </is>
      </c>
      <c r="K69" s="332">
        <f>IFERROR(VLOOKUP(TEXT(O69,"0"),CONDUCTORES!$A$3:$G$100,7,0),"")</f>
        <v/>
      </c>
      <c r="L69" s="340" t="n">
        <v>17.95</v>
      </c>
      <c r="M69" s="340" t="n">
        <v>8</v>
      </c>
      <c r="N69" s="333">
        <f>IFERROR(IF(L69*M69=0,"",L69*M69),"")</f>
        <v/>
      </c>
      <c r="O69" s="334" t="n"/>
      <c r="P69" s="332">
        <f>IFERROR(VLOOKUP(TEXT(O69,"0"),CONDUCTORES!$A$3:$G$100,2,0),"")</f>
        <v/>
      </c>
      <c r="Q69" s="332">
        <f>IFERROR(VLOOKUP(TEXT(O69,"0"),CONDUCTORES!$A$3:$H$100,6,0),"")</f>
        <v/>
      </c>
      <c r="R69" s="339" t="n">
        <v>45835</v>
      </c>
      <c r="S69" s="338" t="inlineStr">
        <is>
          <t>K819,K809</t>
        </is>
      </c>
      <c r="T69" s="337" t="n"/>
      <c r="U69" s="341" t="n"/>
      <c r="V69" s="337" t="n"/>
      <c r="W69" s="337" t="n"/>
      <c r="X69" s="337" t="n"/>
      <c r="Y69" s="280" t="n"/>
    </row>
    <row r="70" ht="15.75" customHeight="1" s="195">
      <c r="A70" s="337" t="n">
        <v>35</v>
      </c>
      <c r="B70" s="338" t="inlineStr">
        <is>
          <t>00000025</t>
        </is>
      </c>
      <c r="C70" s="337" t="inlineStr">
        <is>
          <t>REGION</t>
        </is>
      </c>
      <c r="D70" s="338" t="inlineStr">
        <is>
          <t>CULQUI HUAMAN LLAJAIRA</t>
        </is>
      </c>
      <c r="E70" s="337" t="inlineStr">
        <is>
          <t>DNI</t>
        </is>
      </c>
      <c r="F70" s="337" t="inlineStr">
        <is>
          <t>70575707</t>
        </is>
      </c>
      <c r="G70" s="339" t="n">
        <v>45781</v>
      </c>
      <c r="H70" s="337" t="inlineStr">
        <is>
          <t>4869</t>
        </is>
      </c>
      <c r="I70" s="332">
        <f>IFERROR(VLOOKUP(TEXT(H70,"0"),IPRESS!$A$3:$B$212,2,0),"")</f>
        <v/>
      </c>
      <c r="J70" s="337" t="inlineStr">
        <is>
          <t>4838</t>
        </is>
      </c>
      <c r="K70" s="332">
        <f>IFERROR(VLOOKUP(TEXT(O70,"0"),CONDUCTORES!$A$3:$G$100,7,0),"")</f>
        <v/>
      </c>
      <c r="L70" s="340" t="n">
        <v>17.95</v>
      </c>
      <c r="M70" s="340" t="n">
        <v>8</v>
      </c>
      <c r="N70" s="333">
        <f>IFERROR(IF(L70*M70=0,"",L70*M70),"")</f>
        <v/>
      </c>
      <c r="O70" s="280" t="n"/>
      <c r="P70" s="332">
        <f>IFERROR(VLOOKUP(TEXT(O70,"0"),CONDUCTORES!$A$3:$G$100,2,0),"")</f>
        <v/>
      </c>
      <c r="Q70" s="332">
        <f>IFERROR(VLOOKUP(TEXT(O70,"0"),CONDUCTORES!$A$3:$H$100,6,0),"")</f>
        <v/>
      </c>
      <c r="R70" s="339" t="n">
        <v>45835</v>
      </c>
      <c r="S70" s="338" t="inlineStr">
        <is>
          <t>Z359.O689</t>
        </is>
      </c>
      <c r="T70" s="337" t="n"/>
      <c r="U70" s="341" t="n"/>
      <c r="V70" s="337" t="n"/>
      <c r="W70" s="337" t="n"/>
      <c r="X70" s="337" t="n"/>
      <c r="Y70" s="280" t="n"/>
    </row>
    <row r="71" ht="15.75" customHeight="1" s="195">
      <c r="A71" s="337" t="n">
        <v>36</v>
      </c>
      <c r="B71" s="338" t="inlineStr">
        <is>
          <t>00000026</t>
        </is>
      </c>
      <c r="C71" s="337" t="inlineStr">
        <is>
          <t>REGION</t>
        </is>
      </c>
      <c r="D71" s="338" t="inlineStr">
        <is>
          <t>MEJIA TICLLA ANA LELIS</t>
        </is>
      </c>
      <c r="E71" s="337" t="inlineStr">
        <is>
          <t>DNI</t>
        </is>
      </c>
      <c r="F71" s="337" t="inlineStr">
        <is>
          <t>48715587</t>
        </is>
      </c>
      <c r="G71" s="339" t="n">
        <v>45793</v>
      </c>
      <c r="H71" s="337" t="inlineStr">
        <is>
          <t>4869</t>
        </is>
      </c>
      <c r="I71" s="332">
        <f>IFERROR(VLOOKUP(TEXT(H71,"0"),IPRESS!$A$3:$B$212,2,0),"")</f>
        <v/>
      </c>
      <c r="J71" s="337" t="inlineStr">
        <is>
          <t>4838</t>
        </is>
      </c>
      <c r="K71" s="332">
        <f>IFERROR(VLOOKUP(TEXT(O71,"0"),CONDUCTORES!$A$3:$G$100,7,0),"")</f>
        <v/>
      </c>
      <c r="L71" s="340" t="n">
        <v>17.95</v>
      </c>
      <c r="M71" s="340" t="n">
        <v>8</v>
      </c>
      <c r="N71" s="333">
        <f>IFERROR(IF(L71*M71=0,"",L71*M71),"")</f>
        <v/>
      </c>
      <c r="O71" s="334" t="n"/>
      <c r="P71" s="332">
        <f>IFERROR(VLOOKUP(TEXT(O71,"0"),CONDUCTORES!$A$3:$G$100,2,0),"")</f>
        <v/>
      </c>
      <c r="Q71" s="332">
        <f>IFERROR(VLOOKUP(TEXT(O71,"0"),CONDUCTORES!$A$3:$H$100,6,0),"")</f>
        <v/>
      </c>
      <c r="R71" s="339" t="n">
        <v>45835</v>
      </c>
      <c r="S71" s="338" t="inlineStr">
        <is>
          <t>K810</t>
        </is>
      </c>
      <c r="T71" s="337" t="n"/>
      <c r="U71" s="341" t="n"/>
      <c r="V71" s="337" t="n"/>
      <c r="W71" s="337" t="n"/>
      <c r="X71" s="337" t="n"/>
      <c r="Y71" s="280" t="n"/>
    </row>
    <row r="72" ht="15.75" customHeight="1" s="195">
      <c r="A72" s="337" t="n">
        <v>37</v>
      </c>
      <c r="B72" s="338" t="inlineStr">
        <is>
          <t>00000027</t>
        </is>
      </c>
      <c r="C72" s="337" t="inlineStr">
        <is>
          <t>REGION</t>
        </is>
      </c>
      <c r="D72" s="338" t="inlineStr">
        <is>
          <t>ROJAS SOPLA MANUEL SANTOS</t>
        </is>
      </c>
      <c r="E72" s="337" t="inlineStr">
        <is>
          <t>DNI</t>
        </is>
      </c>
      <c r="F72" s="337" t="inlineStr">
        <is>
          <t>33959318</t>
        </is>
      </c>
      <c r="G72" s="339" t="n">
        <v>45804</v>
      </c>
      <c r="H72" s="337" t="inlineStr">
        <is>
          <t>4869</t>
        </is>
      </c>
      <c r="I72" s="332">
        <f>IFERROR(VLOOKUP(TEXT(H72,"0"),IPRESS!$A$3:$B$212,2,0),"")</f>
        <v/>
      </c>
      <c r="J72" s="337" t="inlineStr">
        <is>
          <t>4838</t>
        </is>
      </c>
      <c r="K72" s="332">
        <f>IFERROR(VLOOKUP(TEXT(O72,"0"),CONDUCTORES!$A$3:$G$100,7,0),"")</f>
        <v/>
      </c>
      <c r="L72" s="340" t="n">
        <v>17.95</v>
      </c>
      <c r="M72" s="340" t="n">
        <v>8</v>
      </c>
      <c r="N72" s="333">
        <f>IFERROR(IF(L72*M72=0,"",L72*M72),"")</f>
        <v/>
      </c>
      <c r="O72" s="280" t="n"/>
      <c r="P72" s="332">
        <f>IFERROR(VLOOKUP(TEXT(O72,"0"),CONDUCTORES!$A$3:$G$100,2,0),"")</f>
        <v/>
      </c>
      <c r="Q72" s="332">
        <f>IFERROR(VLOOKUP(TEXT(O72,"0"),CONDUCTORES!$A$3:$H$100,6,0),"")</f>
        <v/>
      </c>
      <c r="R72" s="339" t="n">
        <v>45835</v>
      </c>
      <c r="S72" s="338" t="inlineStr">
        <is>
          <t>J960,J494</t>
        </is>
      </c>
      <c r="T72" s="337" t="n"/>
      <c r="U72" s="341" t="n"/>
      <c r="V72" s="337" t="n"/>
      <c r="W72" s="337" t="n"/>
      <c r="X72" s="337" t="n"/>
      <c r="Y72" s="280" t="n"/>
    </row>
    <row r="73" ht="15.75" customHeight="1" s="195">
      <c r="A73" s="241" t="n">
        <v>38</v>
      </c>
      <c r="B73" s="305" t="inlineStr">
        <is>
          <t>00000001</t>
        </is>
      </c>
      <c r="C73" s="241" t="inlineStr">
        <is>
          <t>REGION</t>
        </is>
      </c>
      <c r="D73" s="305" t="inlineStr">
        <is>
          <t>TUCTO GUIOP, GUSTAVO</t>
        </is>
      </c>
      <c r="E73" s="241" t="inlineStr">
        <is>
          <t>DNI</t>
        </is>
      </c>
      <c r="F73" s="241" t="inlineStr">
        <is>
          <t>40168837</t>
        </is>
      </c>
      <c r="G73" s="336" t="n">
        <v>45789</v>
      </c>
      <c r="H73" s="241" t="inlineStr">
        <is>
          <t>4951</t>
        </is>
      </c>
      <c r="I73" s="332">
        <f>IFERROR(VLOOKUP(TEXT(H73,"0"),IPRESS!$A$3:$B$212,2,0),"")</f>
        <v/>
      </c>
      <c r="J73" s="241" t="inlineStr">
        <is>
          <t>4950</t>
        </is>
      </c>
      <c r="K73" s="332">
        <f>IFERROR(VLOOKUP(TEXT(O73,"0"),CONDUCTORES!$A$3:$G$100,7,0),"")</f>
        <v/>
      </c>
      <c r="L73" s="239" t="n">
        <v>20.25</v>
      </c>
      <c r="M73" s="239" t="n">
        <v>10</v>
      </c>
      <c r="N73" s="333">
        <f>IFERROR(IF(L73*M73=0,"",L73*M73),"")</f>
        <v/>
      </c>
      <c r="O73" s="334" t="n"/>
      <c r="P73" s="332">
        <f>IFERROR(VLOOKUP(TEXT(O73,"0"),CONDUCTORES!$A$3:$G$100,2,0),"")</f>
        <v/>
      </c>
      <c r="Q73" s="332">
        <f>IFERROR(VLOOKUP(TEXT(O73,"0"),CONDUCTORES!$A$3:$H$100,6,0),"")</f>
        <v/>
      </c>
      <c r="R73" s="336" t="n">
        <v>45828</v>
      </c>
      <c r="S73" s="305" t="inlineStr">
        <is>
          <t>R568,T600</t>
        </is>
      </c>
      <c r="T73" s="241" t="n"/>
      <c r="U73" s="280" t="n"/>
      <c r="V73" s="241" t="n"/>
      <c r="W73" s="241" t="n"/>
      <c r="X73" s="241" t="n"/>
      <c r="Y73" s="280" t="n"/>
    </row>
    <row r="74" ht="15.75" customHeight="1" s="195">
      <c r="A74" s="301" t="n">
        <v>39</v>
      </c>
      <c r="B74" s="302" t="inlineStr">
        <is>
          <t>00000012</t>
        </is>
      </c>
      <c r="C74" s="301" t="inlineStr">
        <is>
          <t>REGION</t>
        </is>
      </c>
      <c r="D74" s="302" t="inlineStr">
        <is>
          <t>SERVAN MAS DARVIN ALVINO</t>
        </is>
      </c>
      <c r="E74" s="301" t="inlineStr">
        <is>
          <t>DNI</t>
        </is>
      </c>
      <c r="F74" s="301" t="inlineStr">
        <is>
          <t>47870052</t>
        </is>
      </c>
      <c r="G74" s="331" t="n">
        <v>45788</v>
      </c>
      <c r="H74" s="301" t="inlineStr">
        <is>
          <t>4947</t>
        </is>
      </c>
      <c r="I74" s="332">
        <f>IFERROR(VLOOKUP(TEXT(H74,"0"),IPRESS!$A$3:$B$212,2,0),"")</f>
        <v/>
      </c>
      <c r="J74" s="301" t="inlineStr">
        <is>
          <t>4950</t>
        </is>
      </c>
      <c r="K74" s="332">
        <f>IFERROR(VLOOKUP(TEXT(O74,"0"),CONDUCTORES!$A$3:$G$100,7,0),"")</f>
        <v/>
      </c>
      <c r="L74" s="245" t="n">
        <v>20.25</v>
      </c>
      <c r="M74" s="245" t="n">
        <v>10</v>
      </c>
      <c r="N74" s="333">
        <f>IFERROR(IF(L74*M74=0,"",L74*M74),"")</f>
        <v/>
      </c>
      <c r="O74" s="280" t="n"/>
      <c r="P74" s="332">
        <f>IFERROR(VLOOKUP(TEXT(O74,"0"),CONDUCTORES!$A$3:$G$100,2,0),"")</f>
        <v/>
      </c>
      <c r="Q74" s="332">
        <f>IFERROR(VLOOKUP(TEXT(O74,"0"),CONDUCTORES!$A$3:$H$100,6,0),"")</f>
        <v/>
      </c>
      <c r="R74" s="331" t="n">
        <v>45828</v>
      </c>
      <c r="S74" s="302" t="inlineStr">
        <is>
          <t>J159,A16X,R509,E860</t>
        </is>
      </c>
      <c r="T74" s="301" t="n"/>
      <c r="U74" s="334" t="n"/>
      <c r="V74" s="301" t="inlineStr">
        <is>
          <t>6018-2025</t>
        </is>
      </c>
      <c r="W74" s="301" t="n"/>
      <c r="X74" s="301" t="n"/>
      <c r="Y74" s="280" t="n"/>
    </row>
    <row r="75" ht="15.75" customHeight="1" s="195">
      <c r="A75" s="241" t="n">
        <v>40</v>
      </c>
      <c r="B75" s="305" t="inlineStr">
        <is>
          <t>00000013</t>
        </is>
      </c>
      <c r="C75" s="241" t="inlineStr">
        <is>
          <t>REGION</t>
        </is>
      </c>
      <c r="D75" s="305" t="inlineStr">
        <is>
          <t>PILCO GALOC MARTIN FILIBERTO</t>
        </is>
      </c>
      <c r="E75" s="241" t="inlineStr">
        <is>
          <t>DNI</t>
        </is>
      </c>
      <c r="F75" s="241" t="inlineStr">
        <is>
          <t>33425332</t>
        </is>
      </c>
      <c r="G75" s="336" t="n">
        <v>45795</v>
      </c>
      <c r="H75" s="241" t="inlineStr">
        <is>
          <t>4947</t>
        </is>
      </c>
      <c r="I75" s="332">
        <f>IFERROR(VLOOKUP(TEXT(H75,"0"),IPRESS!$A$3:$B$212,2,0),"")</f>
        <v/>
      </c>
      <c r="J75" s="241" t="inlineStr">
        <is>
          <t>4950</t>
        </is>
      </c>
      <c r="K75" s="332">
        <f>IFERROR(VLOOKUP(TEXT(O75,"0"),CONDUCTORES!$A$3:$G$100,7,0),"")</f>
        <v/>
      </c>
      <c r="L75" s="239" t="n">
        <v>20.25</v>
      </c>
      <c r="M75" s="239" t="n">
        <v>10</v>
      </c>
      <c r="N75" s="333">
        <f>IFERROR(IF(L75*M75=0,"",L75*M75),"")</f>
        <v/>
      </c>
      <c r="O75" s="334" t="n"/>
      <c r="P75" s="332">
        <f>IFERROR(VLOOKUP(TEXT(O75,"0"),CONDUCTORES!$A$3:$G$100,2,0),"")</f>
        <v/>
      </c>
      <c r="Q75" s="332">
        <f>IFERROR(VLOOKUP(TEXT(O75,"0"),CONDUCTORES!$A$3:$H$100,6,0),"")</f>
        <v/>
      </c>
      <c r="R75" s="336" t="n">
        <v>45987</v>
      </c>
      <c r="S75" s="305" t="inlineStr">
        <is>
          <t>S421,S223</t>
        </is>
      </c>
      <c r="T75" s="241" t="n"/>
      <c r="U75" s="280" t="n"/>
      <c r="V75" s="241" t="inlineStr">
        <is>
          <t>6018-2025</t>
        </is>
      </c>
      <c r="W75" s="241" t="inlineStr">
        <is>
          <t>3479.0</t>
        </is>
      </c>
      <c r="X75" s="241" t="inlineStr">
        <is>
          <t>189.0</t>
        </is>
      </c>
      <c r="Y75" s="280" t="n"/>
    </row>
    <row r="76" ht="15.75" customHeight="1" s="195">
      <c r="A76" s="301" t="n">
        <v>36</v>
      </c>
      <c r="B76" s="302" t="inlineStr">
        <is>
          <t>00000014</t>
        </is>
      </c>
      <c r="C76" s="301" t="inlineStr">
        <is>
          <t>REGION</t>
        </is>
      </c>
      <c r="D76" s="302" t="inlineStr">
        <is>
          <t>SALAZAR FERNANDEZ LUZ FANNY</t>
        </is>
      </c>
      <c r="E76" s="301" t="inlineStr">
        <is>
          <t>DNI</t>
        </is>
      </c>
      <c r="F76" s="301" t="inlineStr">
        <is>
          <t>74077703</t>
        </is>
      </c>
      <c r="G76" s="331" t="n">
        <v>45798</v>
      </c>
      <c r="H76" s="301" t="inlineStr">
        <is>
          <t>4947</t>
        </is>
      </c>
      <c r="I76" s="332">
        <f>IFERROR(VLOOKUP(TEXT(H76,"0"),IPRESS!$A$3:$B$212,2,0),"")</f>
        <v/>
      </c>
      <c r="J76" s="301" t="inlineStr">
        <is>
          <t>4950</t>
        </is>
      </c>
      <c r="K76" s="332">
        <f>IFERROR(VLOOKUP(TEXT(O76,"0"),CONDUCTORES!$A$3:$G$100,7,0),"")</f>
        <v/>
      </c>
      <c r="L76" s="245" t="n">
        <v>20.25</v>
      </c>
      <c r="M76" s="245" t="n">
        <v>10</v>
      </c>
      <c r="N76" s="333">
        <f>IFERROR(IF(L76*M76=0,"",L76*M76),"")</f>
        <v/>
      </c>
      <c r="O76" s="280" t="n"/>
      <c r="P76" s="332">
        <f>IFERROR(VLOOKUP(TEXT(O76,"0"),CONDUCTORES!$A$3:$G$100,2,0),"")</f>
        <v/>
      </c>
      <c r="Q76" s="332">
        <f>IFERROR(VLOOKUP(TEXT(O76,"0"),CONDUCTORES!$A$3:$H$100,6,0),"")</f>
        <v/>
      </c>
      <c r="R76" s="331" t="n">
        <v>45987</v>
      </c>
      <c r="S76" s="302" t="inlineStr">
        <is>
          <t>Z348,O200</t>
        </is>
      </c>
      <c r="T76" s="301" t="n"/>
      <c r="U76" s="334" t="n"/>
      <c r="V76" s="301" t="inlineStr">
        <is>
          <t>6018-2025</t>
        </is>
      </c>
      <c r="W76" s="301" t="inlineStr">
        <is>
          <t>3479.0</t>
        </is>
      </c>
      <c r="X76" s="301" t="inlineStr">
        <is>
          <t>189.0</t>
        </is>
      </c>
      <c r="Y76" s="280" t="n"/>
    </row>
    <row r="77" ht="15.75" customHeight="1" s="195">
      <c r="A77" s="241" t="n">
        <v>37</v>
      </c>
      <c r="B77" s="305" t="inlineStr">
        <is>
          <t>00000050</t>
        </is>
      </c>
      <c r="C77" s="241" t="inlineStr">
        <is>
          <t>REGION</t>
        </is>
      </c>
      <c r="D77" s="305" t="inlineStr">
        <is>
          <t>HUAMAN COTRINA MARIA DEL CARMEN</t>
        </is>
      </c>
      <c r="E77" s="241" t="inlineStr">
        <is>
          <t>DNI</t>
        </is>
      </c>
      <c r="F77" s="241" t="inlineStr">
        <is>
          <t>80400300</t>
        </is>
      </c>
      <c r="G77" s="336" t="n">
        <v>45780</v>
      </c>
      <c r="H77" s="241" t="inlineStr">
        <is>
          <t>4876</t>
        </is>
      </c>
      <c r="I77" s="332">
        <f>IFERROR(VLOOKUP(TEXT(H77,"0"),IPRESS!$A$3:$B$212,2,0),"")</f>
        <v/>
      </c>
      <c r="J77" s="241" t="inlineStr">
        <is>
          <t>4838</t>
        </is>
      </c>
      <c r="K77" s="332">
        <f>IFERROR(VLOOKUP(TEXT(O77,"0"),CONDUCTORES!$A$3:$G$100,7,0),"")</f>
        <v/>
      </c>
      <c r="L77" s="239" t="n">
        <v>18.18</v>
      </c>
      <c r="M77" s="239" t="n">
        <v>20</v>
      </c>
      <c r="N77" s="333">
        <f>IFERROR(IF(L77*M77=0,"",L77*M77),"")</f>
        <v/>
      </c>
      <c r="O77" s="334" t="n"/>
      <c r="P77" s="332">
        <f>IFERROR(VLOOKUP(TEXT(O77,"0"),CONDUCTORES!$A$3:$G$100,2,0),"")</f>
        <v/>
      </c>
      <c r="Q77" s="332">
        <f>IFERROR(VLOOKUP(TEXT(O77,"0"),CONDUCTORES!$A$3:$H$100,6,0),"")</f>
        <v/>
      </c>
      <c r="R77" s="336" t="n">
        <v>45825</v>
      </c>
      <c r="S77" s="305" t="inlineStr">
        <is>
          <t>K800,R100</t>
        </is>
      </c>
      <c r="T77" s="241" t="n"/>
      <c r="U77" s="280" t="n"/>
      <c r="V77" s="241" t="n"/>
      <c r="W77" s="241" t="n"/>
      <c r="X77" s="241" t="n"/>
      <c r="Y77" s="280" t="n"/>
    </row>
    <row r="78" ht="15.75" customHeight="1" s="195">
      <c r="A78" s="301" t="n">
        <v>38</v>
      </c>
      <c r="B78" s="302" t="inlineStr">
        <is>
          <t>00000002</t>
        </is>
      </c>
      <c r="C78" s="301" t="inlineStr">
        <is>
          <t>REGION</t>
        </is>
      </c>
      <c r="D78" s="302" t="inlineStr">
        <is>
          <t>MARTINEZ DE FERNANDEZ ANITA</t>
        </is>
      </c>
      <c r="E78" s="301" t="inlineStr">
        <is>
          <t>DNI</t>
        </is>
      </c>
      <c r="F78" s="301" t="inlineStr">
        <is>
          <t>33950589</t>
        </is>
      </c>
      <c r="G78" s="331" t="n">
        <v>45796</v>
      </c>
      <c r="H78" s="301" t="inlineStr">
        <is>
          <t>4946</t>
        </is>
      </c>
      <c r="I78" s="332">
        <f>IFERROR(VLOOKUP(TEXT(H78,"0"),IPRESS!$A$3:$B$212,2,0),"")</f>
        <v/>
      </c>
      <c r="J78" s="301" t="inlineStr">
        <is>
          <t>4950</t>
        </is>
      </c>
      <c r="K78" s="332">
        <f>IFERROR(VLOOKUP(TEXT(O78,"0"),CONDUCTORES!$A$3:$G$100,7,0),"")</f>
        <v/>
      </c>
      <c r="L78" s="245" t="n">
        <v>20.25</v>
      </c>
      <c r="M78" s="245" t="n">
        <v>3</v>
      </c>
      <c r="N78" s="333">
        <f>IFERROR(IF(L78*M78=0,"",L78*M78),"")</f>
        <v/>
      </c>
      <c r="O78" s="280" t="n"/>
      <c r="P78" s="332">
        <f>IFERROR(VLOOKUP(TEXT(O78,"0"),CONDUCTORES!$A$3:$G$100,2,0),"")</f>
        <v/>
      </c>
      <c r="Q78" s="332">
        <f>IFERROR(VLOOKUP(TEXT(O78,"0"),CONDUCTORES!$A$3:$H$100,6,0),"")</f>
        <v/>
      </c>
      <c r="R78" s="331" t="n">
        <v>45839</v>
      </c>
      <c r="S78" s="302" t="inlineStr">
        <is>
          <t>I169</t>
        </is>
      </c>
      <c r="T78" s="301" t="n"/>
      <c r="U78" s="334" t="n"/>
      <c r="V78" s="301" t="n"/>
      <c r="W78" s="301" t="n"/>
      <c r="X78" s="301" t="n"/>
      <c r="Y78" s="280" t="n"/>
    </row>
    <row r="79" ht="15.75" customHeight="1" s="195">
      <c r="A79" s="241" t="n">
        <v>39</v>
      </c>
      <c r="B79" s="305" t="inlineStr">
        <is>
          <t>00000043</t>
        </is>
      </c>
      <c r="C79" s="241" t="inlineStr">
        <is>
          <t>REGION</t>
        </is>
      </c>
      <c r="D79" s="305" t="inlineStr">
        <is>
          <t>ALVAREZ ALVAREZ FLORECILA</t>
        </is>
      </c>
      <c r="E79" s="241" t="inlineStr">
        <is>
          <t>DNI</t>
        </is>
      </c>
      <c r="F79" s="241" t="inlineStr">
        <is>
          <t>70159170</t>
        </is>
      </c>
      <c r="G79" s="336" t="n">
        <v>45791</v>
      </c>
      <c r="H79" s="241" t="inlineStr">
        <is>
          <t>4922</t>
        </is>
      </c>
      <c r="I79" s="332">
        <f>IFERROR(VLOOKUP(TEXT(H79,"0"),IPRESS!$A$3:$B$212,2,0),"")</f>
        <v/>
      </c>
      <c r="J79" s="241" t="inlineStr">
        <is>
          <t>4838</t>
        </is>
      </c>
      <c r="K79" s="332">
        <f>IFERROR(VLOOKUP(TEXT(O79,"0"),CONDUCTORES!$A$3:$G$100,7,0),"")</f>
        <v/>
      </c>
      <c r="L79" s="239" t="n">
        <v>18.18</v>
      </c>
      <c r="M79" s="239" t="n">
        <v>5</v>
      </c>
      <c r="N79" s="333">
        <f>IFERROR(IF(L79*M79=0,"",L79*M79),"")</f>
        <v/>
      </c>
      <c r="O79" s="334" t="n"/>
      <c r="P79" s="332">
        <f>IFERROR(VLOOKUP(TEXT(O79,"0"),CONDUCTORES!$A$3:$G$100,2,0),"")</f>
        <v/>
      </c>
      <c r="Q79" s="332">
        <f>IFERROR(VLOOKUP(TEXT(O79,"0"),CONDUCTORES!$A$3:$H$100,6,0),"")</f>
        <v/>
      </c>
      <c r="R79" s="280" t="inlineStr">
        <is>
          <t>ATENDIDO 17/06/2025</t>
        </is>
      </c>
      <c r="S79" s="305" t="inlineStr">
        <is>
          <t>O021</t>
        </is>
      </c>
      <c r="T79" s="241" t="n"/>
      <c r="U79" s="280" t="n"/>
      <c r="V79" s="241" t="n"/>
      <c r="W79" s="241" t="n"/>
      <c r="X79" s="241" t="n"/>
      <c r="Y79" s="280" t="n"/>
    </row>
    <row r="80" ht="15.75" customHeight="1" s="195">
      <c r="A80" s="301" t="n">
        <v>40</v>
      </c>
      <c r="B80" s="302" t="inlineStr">
        <is>
          <t>00000044</t>
        </is>
      </c>
      <c r="C80" s="301" t="inlineStr">
        <is>
          <t>REGION</t>
        </is>
      </c>
      <c r="D80" s="302" t="inlineStr">
        <is>
          <t>POQUIOMA GARCIA GAUDY BELEN</t>
        </is>
      </c>
      <c r="E80" s="301" t="inlineStr">
        <is>
          <t>DNI</t>
        </is>
      </c>
      <c r="F80" s="301" t="inlineStr">
        <is>
          <t>75070226</t>
        </is>
      </c>
      <c r="G80" s="331" t="n">
        <v>45792</v>
      </c>
      <c r="H80" s="301" t="inlineStr">
        <is>
          <t>4922</t>
        </is>
      </c>
      <c r="I80" s="332">
        <f>IFERROR(VLOOKUP(TEXT(H80,"0"),IPRESS!$A$3:$B$212,2,0),"")</f>
        <v/>
      </c>
      <c r="J80" s="301" t="inlineStr">
        <is>
          <t>4838</t>
        </is>
      </c>
      <c r="K80" s="332">
        <f>IFERROR(VLOOKUP(TEXT(O80,"0"),CONDUCTORES!$A$3:$G$100,7,0),"")</f>
        <v/>
      </c>
      <c r="L80" s="245" t="n">
        <v>18.18</v>
      </c>
      <c r="M80" s="245" t="n">
        <v>5</v>
      </c>
      <c r="N80" s="333">
        <f>IFERROR(IF(L80*M80=0,"",L80*M80),"")</f>
        <v/>
      </c>
      <c r="O80" s="280" t="n"/>
      <c r="P80" s="332">
        <f>IFERROR(VLOOKUP(TEXT(O80,"0"),CONDUCTORES!$A$3:$G$100,2,0),"")</f>
        <v/>
      </c>
      <c r="Q80" s="332">
        <f>IFERROR(VLOOKUP(TEXT(O80,"0"),CONDUCTORES!$A$3:$H$100,6,0),"")</f>
        <v/>
      </c>
      <c r="R80" s="334" t="inlineStr">
        <is>
          <t>ATENDIDO 17/06/2025</t>
        </is>
      </c>
      <c r="S80" s="302" t="inlineStr">
        <is>
          <t>O601</t>
        </is>
      </c>
      <c r="T80" s="301" t="n"/>
      <c r="U80" s="334" t="n"/>
      <c r="V80" s="301" t="n"/>
      <c r="W80" s="301" t="n"/>
      <c r="X80" s="301" t="n"/>
      <c r="Y80" s="280" t="n"/>
    </row>
    <row r="81" ht="15.75" customHeight="1" s="195">
      <c r="A81" s="241" t="n">
        <v>41</v>
      </c>
      <c r="B81" s="305" t="inlineStr">
        <is>
          <t>00000045</t>
        </is>
      </c>
      <c r="C81" s="241" t="inlineStr">
        <is>
          <t>REGION</t>
        </is>
      </c>
      <c r="D81" s="305" t="inlineStr">
        <is>
          <t>GOÑAS SALVA EDILBERTA</t>
        </is>
      </c>
      <c r="E81" s="241" t="inlineStr">
        <is>
          <t>DNI</t>
        </is>
      </c>
      <c r="F81" s="241" t="inlineStr">
        <is>
          <t>33722958</t>
        </is>
      </c>
      <c r="G81" s="336" t="n">
        <v>45795</v>
      </c>
      <c r="H81" s="241" t="inlineStr">
        <is>
          <t>4922</t>
        </is>
      </c>
      <c r="I81" s="332">
        <f>IFERROR(VLOOKUP(TEXT(H81,"0"),IPRESS!$A$3:$B$212,2,0),"")</f>
        <v/>
      </c>
      <c r="J81" s="241" t="inlineStr">
        <is>
          <t>4838</t>
        </is>
      </c>
      <c r="K81" s="332">
        <f>IFERROR(VLOOKUP(TEXT(O81,"0"),CONDUCTORES!$A$3:$G$100,7,0),"")</f>
        <v/>
      </c>
      <c r="L81" s="239" t="n">
        <v>18.18</v>
      </c>
      <c r="M81" s="239" t="n">
        <v>5</v>
      </c>
      <c r="N81" s="333">
        <f>IFERROR(IF(L81*M81=0,"",L81*M81),"")</f>
        <v/>
      </c>
      <c r="O81" s="334" t="n"/>
      <c r="P81" s="332">
        <f>IFERROR(VLOOKUP(TEXT(O81,"0"),CONDUCTORES!$A$3:$G$100,2,0),"")</f>
        <v/>
      </c>
      <c r="Q81" s="332">
        <f>IFERROR(VLOOKUP(TEXT(O81,"0"),CONDUCTORES!$A$3:$H$100,6,0),"")</f>
        <v/>
      </c>
      <c r="R81" s="280" t="inlineStr">
        <is>
          <t>ATENDIDO 17/06/2025</t>
        </is>
      </c>
      <c r="S81" s="305" t="inlineStr">
        <is>
          <t>S069,S430,S370</t>
        </is>
      </c>
      <c r="T81" s="241" t="n"/>
      <c r="U81" s="280" t="n"/>
      <c r="V81" s="241" t="n"/>
      <c r="W81" s="241" t="n"/>
      <c r="X81" s="241" t="n"/>
      <c r="Y81" s="280" t="n"/>
    </row>
    <row r="82" ht="15.75" customHeight="1" s="195">
      <c r="A82" s="337" t="n">
        <v>42</v>
      </c>
      <c r="B82" s="338" t="inlineStr">
        <is>
          <t>00000041</t>
        </is>
      </c>
      <c r="C82" s="337" t="inlineStr">
        <is>
          <t>REGION</t>
        </is>
      </c>
      <c r="D82" s="338" t="inlineStr">
        <is>
          <t>LOPEZ DE POQUIOMA HERMILA</t>
        </is>
      </c>
      <c r="E82" s="337" t="inlineStr">
        <is>
          <t>DNI</t>
        </is>
      </c>
      <c r="F82" s="337" t="inlineStr">
        <is>
          <t>33732773</t>
        </is>
      </c>
      <c r="G82" s="339" t="n">
        <v>45781</v>
      </c>
      <c r="H82" s="337" t="inlineStr">
        <is>
          <t>4922</t>
        </is>
      </c>
      <c r="I82" s="332">
        <f>IFERROR(VLOOKUP(TEXT(H82,"0"),IPRESS!$A$3:$B$212,2,0),"")</f>
        <v/>
      </c>
      <c r="J82" s="337" t="inlineStr">
        <is>
          <t>4838</t>
        </is>
      </c>
      <c r="K82" s="332">
        <f>IFERROR(VLOOKUP(TEXT(O82,"0"),CONDUCTORES!$A$3:$G$100,7,0),"")</f>
        <v/>
      </c>
      <c r="L82" s="340" t="n">
        <v>17.95</v>
      </c>
      <c r="M82" s="340" t="n">
        <v>6</v>
      </c>
      <c r="N82" s="333">
        <f>IFERROR(IF(L82*M82=0,"",L82*M82),"")</f>
        <v/>
      </c>
      <c r="O82" s="280" t="n"/>
      <c r="P82" s="332">
        <f>IFERROR(VLOOKUP(TEXT(O82,"0"),CONDUCTORES!$A$3:$G$100,2,0),"")</f>
        <v/>
      </c>
      <c r="Q82" s="332">
        <f>IFERROR(VLOOKUP(TEXT(O82,"0"),CONDUCTORES!$A$3:$H$100,6,0),"")</f>
        <v/>
      </c>
      <c r="R82" s="339" t="n">
        <v>45870</v>
      </c>
      <c r="S82" s="338" t="inlineStr">
        <is>
          <t>E86X,A048,N390</t>
        </is>
      </c>
      <c r="T82" s="337" t="n"/>
      <c r="U82" s="341" t="n"/>
      <c r="V82" s="337" t="n"/>
      <c r="W82" s="337" t="n"/>
      <c r="X82" s="337" t="n"/>
      <c r="Y82" s="280" t="n"/>
    </row>
    <row r="83" ht="15.75" customHeight="1" s="195">
      <c r="A83" s="337" t="n">
        <v>43</v>
      </c>
      <c r="B83" s="338" t="inlineStr">
        <is>
          <t>00000042</t>
        </is>
      </c>
      <c r="C83" s="337" t="inlineStr">
        <is>
          <t>REGION</t>
        </is>
      </c>
      <c r="D83" s="338" t="inlineStr">
        <is>
          <t>CHUQUIZUTA YALTA ROCIO</t>
        </is>
      </c>
      <c r="E83" s="337" t="inlineStr">
        <is>
          <t>DNI</t>
        </is>
      </c>
      <c r="F83" s="337" t="inlineStr">
        <is>
          <t>76081526</t>
        </is>
      </c>
      <c r="G83" s="339" t="n">
        <v>45790</v>
      </c>
      <c r="H83" s="337" t="inlineStr">
        <is>
          <t>4922</t>
        </is>
      </c>
      <c r="I83" s="332">
        <f>IFERROR(VLOOKUP(TEXT(H83,"0"),IPRESS!$A$3:$B$212,2,0),"")</f>
        <v/>
      </c>
      <c r="J83" s="337" t="inlineStr">
        <is>
          <t>4838</t>
        </is>
      </c>
      <c r="K83" s="332">
        <f>IFERROR(VLOOKUP(TEXT(O83,"0"),CONDUCTORES!$A$3:$G$100,7,0),"")</f>
        <v/>
      </c>
      <c r="L83" s="340" t="n">
        <v>17.95</v>
      </c>
      <c r="M83" s="340" t="n">
        <v>6</v>
      </c>
      <c r="N83" s="333">
        <f>IFERROR(IF(L83*M83=0,"",L83*M83),"")</f>
        <v/>
      </c>
      <c r="O83" s="334" t="n"/>
      <c r="P83" s="332">
        <f>IFERROR(VLOOKUP(TEXT(O83,"0"),CONDUCTORES!$A$3:$G$100,2,0),"")</f>
        <v/>
      </c>
      <c r="Q83" s="332">
        <f>IFERROR(VLOOKUP(TEXT(O83,"0"),CONDUCTORES!$A$3:$H$100,6,0),"")</f>
        <v/>
      </c>
      <c r="R83" s="339" t="n">
        <v>45870</v>
      </c>
      <c r="S83" s="338" t="inlineStr">
        <is>
          <t>O470,R104,N390</t>
        </is>
      </c>
      <c r="T83" s="337" t="n"/>
      <c r="U83" s="341" t="n"/>
      <c r="V83" s="337" t="n"/>
      <c r="W83" s="337" t="n"/>
      <c r="X83" s="337" t="n"/>
      <c r="Y83" s="280" t="n"/>
    </row>
    <row r="84" ht="15.75" customHeight="1" s="195">
      <c r="A84" s="337" t="n">
        <v>44</v>
      </c>
      <c r="B84" s="338" t="inlineStr">
        <is>
          <t>00000048</t>
        </is>
      </c>
      <c r="C84" s="337" t="inlineStr">
        <is>
          <t>REGION</t>
        </is>
      </c>
      <c r="D84" s="338" t="inlineStr">
        <is>
          <t>POQUIOMA CHAVEZ JANA VALENTINA</t>
        </is>
      </c>
      <c r="E84" s="337" t="inlineStr">
        <is>
          <t>DNI</t>
        </is>
      </c>
      <c r="F84" s="337" t="inlineStr">
        <is>
          <t>91058095</t>
        </is>
      </c>
      <c r="G84" s="339" t="n">
        <v>45806</v>
      </c>
      <c r="H84" s="337" t="inlineStr">
        <is>
          <t>4922</t>
        </is>
      </c>
      <c r="I84" s="332">
        <f>IFERROR(VLOOKUP(TEXT(H84,"0"),IPRESS!$A$3:$B$212,2,0),"")</f>
        <v/>
      </c>
      <c r="J84" s="337" t="inlineStr">
        <is>
          <t>4838</t>
        </is>
      </c>
      <c r="K84" s="332">
        <f>IFERROR(VLOOKUP(TEXT(O84,"0"),CONDUCTORES!$A$3:$G$100,7,0),"")</f>
        <v/>
      </c>
      <c r="L84" s="340" t="n">
        <v>17.95</v>
      </c>
      <c r="M84" s="340" t="n">
        <v>6</v>
      </c>
      <c r="N84" s="333">
        <f>IFERROR(IF(L84*M84=0,"",L84*M84),"")</f>
        <v/>
      </c>
      <c r="O84" s="280" t="n"/>
      <c r="P84" s="332">
        <f>IFERROR(VLOOKUP(TEXT(O84,"0"),CONDUCTORES!$A$3:$G$100,2,0),"")</f>
        <v/>
      </c>
      <c r="Q84" s="332">
        <f>IFERROR(VLOOKUP(TEXT(O84,"0"),CONDUCTORES!$A$3:$H$100,6,0),"")</f>
        <v/>
      </c>
      <c r="R84" s="339" t="n">
        <v>45870</v>
      </c>
      <c r="S84" s="338" t="inlineStr">
        <is>
          <t>J039,R104</t>
        </is>
      </c>
      <c r="T84" s="337" t="n"/>
      <c r="U84" s="341" t="n"/>
      <c r="V84" s="337" t="n"/>
      <c r="W84" s="337" t="n"/>
      <c r="X84" s="337" t="n"/>
      <c r="Y84" s="280" t="n"/>
    </row>
    <row r="85" ht="15.75" customHeight="1" s="195">
      <c r="A85" s="241" t="n">
        <v>45</v>
      </c>
      <c r="B85" s="305" t="inlineStr">
        <is>
          <t>00000046</t>
        </is>
      </c>
      <c r="C85" s="241" t="inlineStr">
        <is>
          <t>REGION</t>
        </is>
      </c>
      <c r="D85" s="305" t="inlineStr">
        <is>
          <t>PIZARRO FERNANDEZ VDA DE ZUTA MARIA DE JESUS</t>
        </is>
      </c>
      <c r="E85" s="241" t="inlineStr">
        <is>
          <t>DNI</t>
        </is>
      </c>
      <c r="F85" s="241" t="inlineStr">
        <is>
          <t>33724824</t>
        </is>
      </c>
      <c r="G85" s="336" t="n">
        <v>45796</v>
      </c>
      <c r="H85" s="241" t="inlineStr">
        <is>
          <t>4922</t>
        </is>
      </c>
      <c r="I85" s="332">
        <f>IFERROR(VLOOKUP(TEXT(H85,"0"),IPRESS!$A$3:$B$212,2,0),"")</f>
        <v/>
      </c>
      <c r="J85" s="241" t="inlineStr">
        <is>
          <t>4838</t>
        </is>
      </c>
      <c r="K85" s="332">
        <f>IFERROR(VLOOKUP(TEXT(O85,"0"),CONDUCTORES!$A$3:$G$100,7,0),"")</f>
        <v/>
      </c>
      <c r="L85" s="239" t="n">
        <v>18.18</v>
      </c>
      <c r="M85" s="239" t="n">
        <v>5</v>
      </c>
      <c r="N85" s="333">
        <f>IFERROR(IF(L85*M85=0,"",L85*M85),"")</f>
        <v/>
      </c>
      <c r="O85" s="334" t="n"/>
      <c r="P85" s="332">
        <f>IFERROR(VLOOKUP(TEXT(O85,"0"),CONDUCTORES!$A$3:$G$100,2,0),"")</f>
        <v/>
      </c>
      <c r="Q85" s="332">
        <f>IFERROR(VLOOKUP(TEXT(O85,"0"),CONDUCTORES!$A$3:$H$100,6,0),"")</f>
        <v/>
      </c>
      <c r="R85" s="336" t="n">
        <v>45853</v>
      </c>
      <c r="S85" s="305" t="inlineStr">
        <is>
          <t>J209,J219</t>
        </is>
      </c>
      <c r="T85" s="241" t="n"/>
      <c r="U85" s="280" t="n"/>
      <c r="V85" s="241" t="n"/>
      <c r="W85" s="241" t="n"/>
      <c r="X85" s="241" t="n"/>
      <c r="Y85" s="280" t="n"/>
    </row>
    <row r="86" ht="15.75" customHeight="1" s="195">
      <c r="A86" s="301" t="n">
        <v>41</v>
      </c>
      <c r="B86" s="302" t="inlineStr">
        <is>
          <t>00000047</t>
        </is>
      </c>
      <c r="C86" s="301" t="inlineStr">
        <is>
          <t>REGION</t>
        </is>
      </c>
      <c r="D86" s="302" t="inlineStr">
        <is>
          <t>CHAPPA ZUTA FAUSTA</t>
        </is>
      </c>
      <c r="E86" s="301" t="inlineStr">
        <is>
          <t>DNI</t>
        </is>
      </c>
      <c r="F86" s="301" t="inlineStr">
        <is>
          <t>46917913</t>
        </is>
      </c>
      <c r="G86" s="331" t="n">
        <v>45797</v>
      </c>
      <c r="H86" s="301" t="inlineStr">
        <is>
          <t>4922</t>
        </is>
      </c>
      <c r="I86" s="332">
        <f>IFERROR(VLOOKUP(TEXT(H86,"0"),IPRESS!$A$3:$B$212,2,0),"")</f>
        <v/>
      </c>
      <c r="J86" s="301" t="inlineStr">
        <is>
          <t>4838</t>
        </is>
      </c>
      <c r="K86" s="332">
        <f>IFERROR(VLOOKUP(TEXT(O86,"0"),CONDUCTORES!$A$3:$G$100,7,0),"")</f>
        <v/>
      </c>
      <c r="L86" s="245" t="n">
        <v>18.18</v>
      </c>
      <c r="M86" s="245" t="n">
        <v>5</v>
      </c>
      <c r="N86" s="333">
        <f>IFERROR(IF(L86*M86=0,"",L86*M86),"")</f>
        <v/>
      </c>
      <c r="O86" s="280" t="n"/>
      <c r="P86" s="332">
        <f>IFERROR(VLOOKUP(TEXT(O86,"0"),CONDUCTORES!$A$3:$G$100,2,0),"")</f>
        <v/>
      </c>
      <c r="Q86" s="332">
        <f>IFERROR(VLOOKUP(TEXT(O86,"0"),CONDUCTORES!$A$3:$H$100,6,0),"")</f>
        <v/>
      </c>
      <c r="R86" s="331" t="n">
        <v>45853</v>
      </c>
      <c r="S86" s="302" t="inlineStr">
        <is>
          <t>O200</t>
        </is>
      </c>
      <c r="T86" s="301" t="n"/>
      <c r="U86" s="334" t="n"/>
      <c r="V86" s="301" t="n"/>
      <c r="W86" s="301" t="n"/>
      <c r="X86" s="301" t="n"/>
      <c r="Y86" s="280" t="n"/>
    </row>
    <row r="87" ht="15.75" customHeight="1" s="195">
      <c r="A87" s="241" t="n">
        <v>42</v>
      </c>
      <c r="B87" s="305" t="inlineStr">
        <is>
          <t>00000014</t>
        </is>
      </c>
      <c r="C87" s="241" t="inlineStr">
        <is>
          <t>REGION</t>
        </is>
      </c>
      <c r="D87" s="305" t="inlineStr">
        <is>
          <t>SANCHEZ PAZ SIXTO</t>
        </is>
      </c>
      <c r="E87" s="241" t="inlineStr">
        <is>
          <t>DNI</t>
        </is>
      </c>
      <c r="F87" s="241" t="inlineStr">
        <is>
          <t>33726694</t>
        </is>
      </c>
      <c r="G87" s="336" t="n">
        <v>45784</v>
      </c>
      <c r="H87" s="241" t="inlineStr">
        <is>
          <t>4932</t>
        </is>
      </c>
      <c r="I87" s="332">
        <f>IFERROR(VLOOKUP(TEXT(H87,"0"),IPRESS!$A$3:$B$212,2,0),"")</f>
        <v/>
      </c>
      <c r="J87" s="241" t="inlineStr">
        <is>
          <t>4838</t>
        </is>
      </c>
      <c r="K87" s="332">
        <f>IFERROR(VLOOKUP(TEXT(O87,"0"),CONDUCTORES!$A$3:$G$100,7,0),"")</f>
        <v/>
      </c>
      <c r="L87" s="239" t="n">
        <v>18.18</v>
      </c>
      <c r="M87" s="239" t="n">
        <v>8</v>
      </c>
      <c r="N87" s="333">
        <f>IFERROR(IF(L87*M87=0,"",L87*M87),"")</f>
        <v/>
      </c>
      <c r="O87" s="334" t="n"/>
      <c r="P87" s="332">
        <f>IFERROR(VLOOKUP(TEXT(O87,"0"),CONDUCTORES!$A$3:$G$100,2,0),"")</f>
        <v/>
      </c>
      <c r="Q87" s="332">
        <f>IFERROR(VLOOKUP(TEXT(O87,"0"),CONDUCTORES!$A$3:$H$100,6,0),"")</f>
        <v/>
      </c>
      <c r="R87" s="280" t="inlineStr">
        <is>
          <t>ENTREGADO 18/06/2025</t>
        </is>
      </c>
      <c r="S87" s="305" t="inlineStr">
        <is>
          <t>N40X,S373</t>
        </is>
      </c>
      <c r="T87" s="241" t="n"/>
      <c r="U87" s="280" t="n"/>
      <c r="V87" s="241" t="n"/>
      <c r="W87" s="241" t="n"/>
      <c r="X87" s="241" t="n"/>
      <c r="Y87" s="280" t="n"/>
    </row>
    <row r="88" ht="15.75" customHeight="1" s="195">
      <c r="A88" s="301" t="n">
        <v>43</v>
      </c>
      <c r="B88" s="302" t="inlineStr">
        <is>
          <t>00000015</t>
        </is>
      </c>
      <c r="C88" s="301" t="inlineStr">
        <is>
          <t>REGION</t>
        </is>
      </c>
      <c r="D88" s="302" t="inlineStr">
        <is>
          <t>TARRILLO NAVARRO ROCIO DEL PILAR</t>
        </is>
      </c>
      <c r="E88" s="301" t="inlineStr">
        <is>
          <t>DNI</t>
        </is>
      </c>
      <c r="F88" s="301" t="inlineStr">
        <is>
          <t>62111699</t>
        </is>
      </c>
      <c r="G88" s="331" t="n">
        <v>45785</v>
      </c>
      <c r="H88" s="301" t="inlineStr">
        <is>
          <t>4932</t>
        </is>
      </c>
      <c r="I88" s="332">
        <f>IFERROR(VLOOKUP(TEXT(H88,"0"),IPRESS!$A$3:$B$212,2,0),"")</f>
        <v/>
      </c>
      <c r="J88" s="301" t="inlineStr">
        <is>
          <t>4838</t>
        </is>
      </c>
      <c r="K88" s="332">
        <f>IFERROR(VLOOKUP(TEXT(O88,"0"),CONDUCTORES!$A$3:$G$100,7,0),"")</f>
        <v/>
      </c>
      <c r="L88" s="245" t="n">
        <v>18.18</v>
      </c>
      <c r="M88" s="245" t="n">
        <v>8</v>
      </c>
      <c r="N88" s="333">
        <f>IFERROR(IF(L88*M88=0,"",L88*M88),"")</f>
        <v/>
      </c>
      <c r="O88" s="280" t="n"/>
      <c r="P88" s="332">
        <f>IFERROR(VLOOKUP(TEXT(O88,"0"),CONDUCTORES!$A$3:$G$100,2,0),"")</f>
        <v/>
      </c>
      <c r="Q88" s="332">
        <f>IFERROR(VLOOKUP(TEXT(O88,"0"),CONDUCTORES!$A$3:$H$100,6,0),"")</f>
        <v/>
      </c>
      <c r="R88" s="334" t="inlineStr">
        <is>
          <t>ENTREGADO 18/06/2025</t>
        </is>
      </c>
      <c r="S88" s="302" t="inlineStr">
        <is>
          <t>D709,C910</t>
        </is>
      </c>
      <c r="T88" s="301" t="n"/>
      <c r="U88" s="334" t="n"/>
      <c r="V88" s="301" t="n"/>
      <c r="W88" s="301" t="n"/>
      <c r="X88" s="301" t="n"/>
      <c r="Y88" s="280" t="n"/>
    </row>
    <row r="89" ht="15.75" customHeight="1" s="195">
      <c r="A89" s="241" t="n">
        <v>44</v>
      </c>
      <c r="B89" s="305" t="inlineStr">
        <is>
          <t>00000016</t>
        </is>
      </c>
      <c r="C89" s="241" t="inlineStr">
        <is>
          <t>REGION</t>
        </is>
      </c>
      <c r="D89" s="305" t="inlineStr">
        <is>
          <t>POCLIN INGA FILIBERTO</t>
        </is>
      </c>
      <c r="E89" s="241" t="inlineStr">
        <is>
          <t>DNI</t>
        </is>
      </c>
      <c r="F89" s="241" t="inlineStr">
        <is>
          <t>44624533</t>
        </is>
      </c>
      <c r="G89" s="336" t="n">
        <v>45786</v>
      </c>
      <c r="H89" s="241" t="inlineStr">
        <is>
          <t>4932</t>
        </is>
      </c>
      <c r="I89" s="332">
        <f>IFERROR(VLOOKUP(TEXT(H89,"0"),IPRESS!$A$3:$B$212,2,0),"")</f>
        <v/>
      </c>
      <c r="J89" s="241" t="inlineStr">
        <is>
          <t>4838</t>
        </is>
      </c>
      <c r="K89" s="332">
        <f>IFERROR(VLOOKUP(TEXT(O89,"0"),CONDUCTORES!$A$3:$G$100,7,0),"")</f>
        <v/>
      </c>
      <c r="L89" s="239" t="n">
        <v>18.18</v>
      </c>
      <c r="M89" s="239" t="n">
        <v>8</v>
      </c>
      <c r="N89" s="333">
        <f>IFERROR(IF(L89*M89=0,"",L89*M89),"")</f>
        <v/>
      </c>
      <c r="O89" s="334" t="n"/>
      <c r="P89" s="332">
        <f>IFERROR(VLOOKUP(TEXT(O89,"0"),CONDUCTORES!$A$3:$G$100,2,0),"")</f>
        <v/>
      </c>
      <c r="Q89" s="332">
        <f>IFERROR(VLOOKUP(TEXT(O89,"0"),CONDUCTORES!$A$3:$H$100,6,0),"")</f>
        <v/>
      </c>
      <c r="R89" s="280" t="inlineStr">
        <is>
          <t>ENTREGADO 18/06/2025</t>
        </is>
      </c>
      <c r="S89" s="305" t="inlineStr">
        <is>
          <t>J960,J159</t>
        </is>
      </c>
      <c r="T89" s="241" t="n"/>
      <c r="U89" s="280" t="n"/>
      <c r="V89" s="241" t="n"/>
      <c r="W89" s="241" t="n"/>
      <c r="X89" s="241" t="n"/>
      <c r="Y89" s="280" t="n"/>
    </row>
    <row r="90" ht="15.75" customHeight="1" s="195">
      <c r="A90" s="301" t="n">
        <v>45</v>
      </c>
      <c r="B90" s="302" t="inlineStr">
        <is>
          <t>00000017</t>
        </is>
      </c>
      <c r="C90" s="301" t="inlineStr">
        <is>
          <t>REGION</t>
        </is>
      </c>
      <c r="D90" s="302" t="inlineStr">
        <is>
          <t>CAYAO CASAS DILMA ANALU</t>
        </is>
      </c>
      <c r="E90" s="301" t="inlineStr">
        <is>
          <t>DNI</t>
        </is>
      </c>
      <c r="F90" s="301" t="inlineStr">
        <is>
          <t>60129241</t>
        </is>
      </c>
      <c r="G90" s="331" t="n">
        <v>45788</v>
      </c>
      <c r="H90" s="301" t="inlineStr">
        <is>
          <t>4932</t>
        </is>
      </c>
      <c r="I90" s="332">
        <f>IFERROR(VLOOKUP(TEXT(H90,"0"),IPRESS!$A$3:$B$212,2,0),"")</f>
        <v/>
      </c>
      <c r="J90" s="301" t="inlineStr">
        <is>
          <t>4838</t>
        </is>
      </c>
      <c r="K90" s="332">
        <f>IFERROR(VLOOKUP(TEXT(O90,"0"),CONDUCTORES!$A$3:$G$100,7,0),"")</f>
        <v/>
      </c>
      <c r="L90" s="245" t="n">
        <v>18.18</v>
      </c>
      <c r="M90" s="245" t="n">
        <v>8</v>
      </c>
      <c r="N90" s="333">
        <f>IFERROR(IF(L90*M90=0,"",L90*M90),"")</f>
        <v/>
      </c>
      <c r="O90" s="280" t="n"/>
      <c r="P90" s="332">
        <f>IFERROR(VLOOKUP(TEXT(O90,"0"),CONDUCTORES!$A$3:$G$100,2,0),"")</f>
        <v/>
      </c>
      <c r="Q90" s="332">
        <f>IFERROR(VLOOKUP(TEXT(O90,"0"),CONDUCTORES!$A$3:$H$100,6,0),"")</f>
        <v/>
      </c>
      <c r="R90" s="334" t="inlineStr">
        <is>
          <t>ENTREGADO 18/06/2025</t>
        </is>
      </c>
      <c r="S90" s="302" t="inlineStr">
        <is>
          <t>Z359,O365,O363</t>
        </is>
      </c>
      <c r="T90" s="301" t="n"/>
      <c r="U90" s="334" t="n"/>
      <c r="V90" s="301" t="n"/>
      <c r="W90" s="301" t="n"/>
      <c r="X90" s="301" t="n"/>
      <c r="Y90" s="280" t="n"/>
    </row>
    <row r="91" ht="15.75" customHeight="1" s="195">
      <c r="A91" s="241" t="n">
        <v>46</v>
      </c>
      <c r="B91" s="305" t="inlineStr">
        <is>
          <t>00000018</t>
        </is>
      </c>
      <c r="C91" s="241" t="inlineStr">
        <is>
          <t>REGION</t>
        </is>
      </c>
      <c r="D91" s="305" t="inlineStr">
        <is>
          <t>PEREZ BUSTAMANTE MELEYLA OLINDA</t>
        </is>
      </c>
      <c r="E91" s="241" t="inlineStr">
        <is>
          <t>DNI</t>
        </is>
      </c>
      <c r="F91" s="241" t="inlineStr">
        <is>
          <t>71578409</t>
        </is>
      </c>
      <c r="G91" s="336" t="n">
        <v>45790</v>
      </c>
      <c r="H91" s="241" t="inlineStr">
        <is>
          <t>4932</t>
        </is>
      </c>
      <c r="I91" s="332">
        <f>IFERROR(VLOOKUP(TEXT(H91,"0"),IPRESS!$A$3:$B$212,2,0),"")</f>
        <v/>
      </c>
      <c r="J91" s="241" t="inlineStr">
        <is>
          <t>4838</t>
        </is>
      </c>
      <c r="K91" s="332">
        <f>IFERROR(VLOOKUP(TEXT(O91,"0"),CONDUCTORES!$A$3:$G$100,7,0),"")</f>
        <v/>
      </c>
      <c r="L91" s="239" t="n">
        <v>18.18</v>
      </c>
      <c r="M91" s="239" t="n">
        <v>8</v>
      </c>
      <c r="N91" s="333">
        <f>IFERROR(IF(L91*M91=0,"",L91*M91),"")</f>
        <v/>
      </c>
      <c r="O91" s="334" t="n"/>
      <c r="P91" s="332">
        <f>IFERROR(VLOOKUP(TEXT(O91,"0"),CONDUCTORES!$A$3:$G$100,2,0),"")</f>
        <v/>
      </c>
      <c r="Q91" s="332">
        <f>IFERROR(VLOOKUP(TEXT(O91,"0"),CONDUCTORES!$A$3:$H$100,6,0),"")</f>
        <v/>
      </c>
      <c r="R91" s="280" t="inlineStr">
        <is>
          <t>ENTREGADO 18/06/2025</t>
        </is>
      </c>
      <c r="S91" s="305" t="inlineStr">
        <is>
          <t>Z359,O321</t>
        </is>
      </c>
      <c r="T91" s="241" t="n"/>
      <c r="U91" s="280" t="n"/>
      <c r="V91" s="241" t="n"/>
      <c r="W91" s="241" t="n"/>
      <c r="X91" s="241" t="n"/>
      <c r="Y91" s="280" t="n"/>
    </row>
    <row r="92" ht="15.75" customHeight="1" s="195">
      <c r="A92" s="301" t="n">
        <v>47</v>
      </c>
      <c r="B92" s="302" t="inlineStr">
        <is>
          <t>00000019</t>
        </is>
      </c>
      <c r="C92" s="301" t="inlineStr">
        <is>
          <t>REGION</t>
        </is>
      </c>
      <c r="D92" s="302" t="inlineStr">
        <is>
          <t>LLATAS DELGADO IRMA</t>
        </is>
      </c>
      <c r="E92" s="301" t="inlineStr">
        <is>
          <t>DNI</t>
        </is>
      </c>
      <c r="F92" s="301" t="inlineStr">
        <is>
          <t>44320129</t>
        </is>
      </c>
      <c r="G92" s="331" t="n">
        <v>45790</v>
      </c>
      <c r="H92" s="301" t="inlineStr">
        <is>
          <t>4932</t>
        </is>
      </c>
      <c r="I92" s="332">
        <f>IFERROR(VLOOKUP(TEXT(H92,"0"),IPRESS!$A$3:$B$212,2,0),"")</f>
        <v/>
      </c>
      <c r="J92" s="301" t="inlineStr">
        <is>
          <t>4838</t>
        </is>
      </c>
      <c r="K92" s="332">
        <f>IFERROR(VLOOKUP(TEXT(O92,"0"),CONDUCTORES!$A$3:$G$100,7,0),"")</f>
        <v/>
      </c>
      <c r="L92" s="245" t="n">
        <v>18.18</v>
      </c>
      <c r="M92" s="245" t="n">
        <v>8</v>
      </c>
      <c r="N92" s="333">
        <f>IFERROR(IF(L92*M92=0,"",L92*M92),"")</f>
        <v/>
      </c>
      <c r="O92" s="280" t="n"/>
      <c r="P92" s="332">
        <f>IFERROR(VLOOKUP(TEXT(O92,"0"),CONDUCTORES!$A$3:$G$100,2,0),"")</f>
        <v/>
      </c>
      <c r="Q92" s="332">
        <f>IFERROR(VLOOKUP(TEXT(O92,"0"),CONDUCTORES!$A$3:$H$100,6,0),"")</f>
        <v/>
      </c>
      <c r="R92" s="334" t="inlineStr">
        <is>
          <t>ENTREGADO 18/06/2025</t>
        </is>
      </c>
      <c r="S92" s="302" t="inlineStr">
        <is>
          <t>O031</t>
        </is>
      </c>
      <c r="T92" s="301" t="n"/>
      <c r="U92" s="334" t="n"/>
      <c r="V92" s="301" t="n"/>
      <c r="W92" s="301" t="n"/>
      <c r="X92" s="301" t="n"/>
      <c r="Y92" s="280" t="n"/>
    </row>
    <row r="93" ht="15.75" customHeight="1" s="195">
      <c r="A93" s="241" t="n">
        <v>48</v>
      </c>
      <c r="B93" s="305" t="inlineStr">
        <is>
          <t>00000020</t>
        </is>
      </c>
      <c r="C93" s="241" t="inlineStr">
        <is>
          <t>REGION</t>
        </is>
      </c>
      <c r="D93" s="305" t="inlineStr">
        <is>
          <t>CABRERA GALVEZ NILVER</t>
        </is>
      </c>
      <c r="E93" s="241" t="inlineStr">
        <is>
          <t>DNI</t>
        </is>
      </c>
      <c r="F93" s="241" t="inlineStr">
        <is>
          <t>44818473</t>
        </is>
      </c>
      <c r="G93" s="336" t="n">
        <v>45791</v>
      </c>
      <c r="H93" s="241" t="inlineStr">
        <is>
          <t>4932</t>
        </is>
      </c>
      <c r="I93" s="332">
        <f>IFERROR(VLOOKUP(TEXT(H93,"0"),IPRESS!$A$3:$B$212,2,0),"")</f>
        <v/>
      </c>
      <c r="J93" s="241" t="inlineStr">
        <is>
          <t>4838</t>
        </is>
      </c>
      <c r="K93" s="332">
        <f>IFERROR(VLOOKUP(TEXT(O93,"0"),CONDUCTORES!$A$3:$G$100,7,0),"")</f>
        <v/>
      </c>
      <c r="L93" s="239" t="n">
        <v>18.18</v>
      </c>
      <c r="M93" s="239" t="n">
        <v>8</v>
      </c>
      <c r="N93" s="333">
        <f>IFERROR(IF(L93*M93=0,"",L93*M93),"")</f>
        <v/>
      </c>
      <c r="O93" s="334" t="n"/>
      <c r="P93" s="332">
        <f>IFERROR(VLOOKUP(TEXT(O93,"0"),CONDUCTORES!$A$3:$G$100,2,0),"")</f>
        <v/>
      </c>
      <c r="Q93" s="332">
        <f>IFERROR(VLOOKUP(TEXT(O93,"0"),CONDUCTORES!$A$3:$H$100,6,0),"")</f>
        <v/>
      </c>
      <c r="R93" s="280" t="inlineStr">
        <is>
          <t>ENTREGADO 18/06/2025</t>
        </is>
      </c>
      <c r="S93" s="305" t="inlineStr">
        <is>
          <t>S680</t>
        </is>
      </c>
      <c r="T93" s="241" t="n"/>
      <c r="U93" s="280" t="n"/>
      <c r="V93" s="241" t="n"/>
      <c r="W93" s="241" t="n"/>
      <c r="X93" s="241" t="n"/>
      <c r="Y93" s="280" t="n"/>
    </row>
    <row r="94" ht="15.75" customHeight="1" s="195">
      <c r="A94" s="301" t="n">
        <v>49</v>
      </c>
      <c r="B94" s="302" t="n"/>
      <c r="C94" s="301" t="inlineStr">
        <is>
          <t>REGION</t>
        </is>
      </c>
      <c r="D94" s="302" t="inlineStr">
        <is>
          <t>CHAVEZ DE VALLE LUCINDA</t>
        </is>
      </c>
      <c r="E94" s="301" t="inlineStr">
        <is>
          <t>DNI</t>
        </is>
      </c>
      <c r="F94" s="301" t="inlineStr">
        <is>
          <t>33731600</t>
        </is>
      </c>
      <c r="G94" s="331" t="n">
        <v>45794</v>
      </c>
      <c r="H94" s="301" t="inlineStr">
        <is>
          <t>4932</t>
        </is>
      </c>
      <c r="I94" s="332">
        <f>IFERROR(VLOOKUP(TEXT(H94,"0"),IPRESS!$A$3:$B$212,2,0),"")</f>
        <v/>
      </c>
      <c r="J94" s="301" t="inlineStr">
        <is>
          <t>4838</t>
        </is>
      </c>
      <c r="K94" s="332">
        <f>IFERROR(VLOOKUP(TEXT(O94,"0"),CONDUCTORES!$A$3:$G$100,7,0),"")</f>
        <v/>
      </c>
      <c r="L94" s="245" t="n">
        <v>18.18</v>
      </c>
      <c r="M94" s="245" t="n">
        <v>8</v>
      </c>
      <c r="N94" s="333">
        <f>IFERROR(IF(L94*M94=0,"",L94*M94),"")</f>
        <v/>
      </c>
      <c r="O94" s="280" t="n"/>
      <c r="P94" s="332">
        <f>IFERROR(VLOOKUP(TEXT(O94,"0"),CONDUCTORES!$A$3:$G$100,2,0),"")</f>
        <v/>
      </c>
      <c r="Q94" s="332">
        <f>IFERROR(VLOOKUP(TEXT(O94,"0"),CONDUCTORES!$A$3:$H$100,6,0),"")</f>
        <v/>
      </c>
      <c r="R94" s="334" t="inlineStr">
        <is>
          <t>ENTREGADO 18/06/2025</t>
        </is>
      </c>
      <c r="S94" s="302" t="inlineStr">
        <is>
          <t>I679</t>
        </is>
      </c>
      <c r="T94" s="301" t="n"/>
      <c r="U94" s="334" t="n"/>
      <c r="V94" s="301" t="n"/>
      <c r="W94" s="301" t="n"/>
      <c r="X94" s="301" t="n"/>
      <c r="Y94" s="280" t="n"/>
    </row>
    <row r="95" ht="15.75" customHeight="1" s="195">
      <c r="A95" s="241" t="n">
        <v>50</v>
      </c>
      <c r="B95" s="305" t="inlineStr">
        <is>
          <t>00000021</t>
        </is>
      </c>
      <c r="C95" s="241" t="inlineStr">
        <is>
          <t>REGION</t>
        </is>
      </c>
      <c r="D95" s="305" t="inlineStr">
        <is>
          <t>SAYAVERDE TIRADO MARINA</t>
        </is>
      </c>
      <c r="E95" s="241" t="inlineStr">
        <is>
          <t>DNI</t>
        </is>
      </c>
      <c r="F95" s="241" t="inlineStr">
        <is>
          <t>47577516</t>
        </is>
      </c>
      <c r="G95" s="336" t="n">
        <v>45798</v>
      </c>
      <c r="H95" s="241" t="inlineStr">
        <is>
          <t>4932</t>
        </is>
      </c>
      <c r="I95" s="332">
        <f>IFERROR(VLOOKUP(TEXT(H95,"0"),IPRESS!$A$3:$B$212,2,0),"")</f>
        <v/>
      </c>
      <c r="J95" s="241" t="inlineStr">
        <is>
          <t>4838</t>
        </is>
      </c>
      <c r="K95" s="332">
        <f>IFERROR(VLOOKUP(TEXT(O95,"0"),CONDUCTORES!$A$3:$G$100,7,0),"")</f>
        <v/>
      </c>
      <c r="L95" s="239" t="n">
        <v>18.18</v>
      </c>
      <c r="M95" s="239" t="n">
        <v>8</v>
      </c>
      <c r="N95" s="333">
        <f>IFERROR(IF(L95*M95=0,"",L95*M95),"")</f>
        <v/>
      </c>
      <c r="O95" s="334" t="n"/>
      <c r="P95" s="332">
        <f>IFERROR(VLOOKUP(TEXT(O95,"0"),CONDUCTORES!$A$3:$G$100,2,0),"")</f>
        <v/>
      </c>
      <c r="Q95" s="332">
        <f>IFERROR(VLOOKUP(TEXT(O95,"0"),CONDUCTORES!$A$3:$H$100,6,0),"")</f>
        <v/>
      </c>
      <c r="R95" s="280" t="inlineStr">
        <is>
          <t>ENTREGADO 18/06/2025</t>
        </is>
      </c>
      <c r="S95" s="305" t="inlineStr">
        <is>
          <t>Z359,O342,O363</t>
        </is>
      </c>
      <c r="T95" s="241" t="n"/>
      <c r="U95" s="280" t="n"/>
      <c r="V95" s="241" t="n"/>
      <c r="W95" s="241" t="n"/>
      <c r="X95" s="241" t="n"/>
      <c r="Y95" s="280" t="n"/>
    </row>
    <row r="96" ht="15.75" customHeight="1" s="195">
      <c r="A96" s="301" t="n">
        <v>46</v>
      </c>
      <c r="B96" s="302" t="inlineStr">
        <is>
          <t>00000022</t>
        </is>
      </c>
      <c r="C96" s="301" t="inlineStr">
        <is>
          <t>REGION</t>
        </is>
      </c>
      <c r="D96" s="302" t="inlineStr">
        <is>
          <t>TORRES OLIVERA NELY</t>
        </is>
      </c>
      <c r="E96" s="301" t="inlineStr">
        <is>
          <t>DNI</t>
        </is>
      </c>
      <c r="F96" s="301" t="inlineStr">
        <is>
          <t>80249700</t>
        </is>
      </c>
      <c r="G96" s="331" t="n">
        <v>45799</v>
      </c>
      <c r="H96" s="301" t="inlineStr">
        <is>
          <t>4932</t>
        </is>
      </c>
      <c r="I96" s="332">
        <f>IFERROR(VLOOKUP(TEXT(H96,"0"),IPRESS!$A$3:$B$212,2,0),"")</f>
        <v/>
      </c>
      <c r="J96" s="301" t="inlineStr">
        <is>
          <t>4838</t>
        </is>
      </c>
      <c r="K96" s="332">
        <f>IFERROR(VLOOKUP(TEXT(O96,"0"),CONDUCTORES!$A$3:$G$100,7,0),"")</f>
        <v/>
      </c>
      <c r="L96" s="245" t="n">
        <v>18.18</v>
      </c>
      <c r="M96" s="245" t="n">
        <v>8</v>
      </c>
      <c r="N96" s="333">
        <f>IFERROR(IF(L96*M96=0,"",L96*M96),"")</f>
        <v/>
      </c>
      <c r="O96" s="280" t="n"/>
      <c r="P96" s="332">
        <f>IFERROR(VLOOKUP(TEXT(O96,"0"),CONDUCTORES!$A$3:$G$100,2,0),"")</f>
        <v/>
      </c>
      <c r="Q96" s="332">
        <f>IFERROR(VLOOKUP(TEXT(O96,"0"),CONDUCTORES!$A$3:$H$100,6,0),"")</f>
        <v/>
      </c>
      <c r="R96" s="334" t="inlineStr">
        <is>
          <t>ENTREGADO 18/06/2025</t>
        </is>
      </c>
      <c r="S96" s="302" t="inlineStr">
        <is>
          <t>K85X,K802</t>
        </is>
      </c>
      <c r="T96" s="301" t="n"/>
      <c r="U96" s="334" t="n"/>
      <c r="V96" s="301" t="n"/>
      <c r="W96" s="301" t="n"/>
      <c r="X96" s="301" t="n"/>
      <c r="Y96" s="280" t="n"/>
    </row>
    <row r="97" ht="15.75" customHeight="1" s="195">
      <c r="A97" s="241" t="n">
        <v>47</v>
      </c>
      <c r="B97" s="305" t="inlineStr">
        <is>
          <t>00000023</t>
        </is>
      </c>
      <c r="C97" s="241" t="inlineStr">
        <is>
          <t>REGION</t>
        </is>
      </c>
      <c r="D97" s="305" t="inlineStr">
        <is>
          <t>IRIGOIN CIEZA DANIEL</t>
        </is>
      </c>
      <c r="E97" s="241" t="inlineStr">
        <is>
          <t>DNI</t>
        </is>
      </c>
      <c r="F97" s="241" t="inlineStr">
        <is>
          <t>42377497</t>
        </is>
      </c>
      <c r="G97" s="336" t="n">
        <v>45802</v>
      </c>
      <c r="H97" s="241" t="inlineStr">
        <is>
          <t>4932</t>
        </is>
      </c>
      <c r="I97" s="332">
        <f>IFERROR(VLOOKUP(TEXT(H97,"0"),IPRESS!$A$3:$B$212,2,0),"")</f>
        <v/>
      </c>
      <c r="J97" s="241" t="inlineStr">
        <is>
          <t>4838</t>
        </is>
      </c>
      <c r="K97" s="332">
        <f>IFERROR(VLOOKUP(TEXT(O97,"0"),CONDUCTORES!$A$3:$G$100,7,0),"")</f>
        <v/>
      </c>
      <c r="L97" s="239" t="n">
        <v>18.18</v>
      </c>
      <c r="M97" s="239" t="n">
        <v>8</v>
      </c>
      <c r="N97" s="333">
        <f>IFERROR(IF(L97*M97=0,"",L97*M97),"")</f>
        <v/>
      </c>
      <c r="O97" s="334" t="n"/>
      <c r="P97" s="332">
        <f>IFERROR(VLOOKUP(TEXT(O97,"0"),CONDUCTORES!$A$3:$G$100,2,0),"")</f>
        <v/>
      </c>
      <c r="Q97" s="332">
        <f>IFERROR(VLOOKUP(TEXT(O97,"0"),CONDUCTORES!$A$3:$H$100,6,0),"")</f>
        <v/>
      </c>
      <c r="R97" s="280" t="inlineStr">
        <is>
          <t>ENTREGADO 18/06/2025</t>
        </is>
      </c>
      <c r="S97" s="305" t="inlineStr">
        <is>
          <t>R33X,G822</t>
        </is>
      </c>
      <c r="T97" s="241" t="n"/>
      <c r="U97" s="280" t="n"/>
      <c r="V97" s="241" t="n"/>
      <c r="W97" s="241" t="n"/>
      <c r="X97" s="241" t="n"/>
      <c r="Y97" s="280" t="n"/>
    </row>
    <row r="98" ht="15.75" customHeight="1" s="195">
      <c r="A98" s="301" t="n">
        <v>48</v>
      </c>
      <c r="B98" s="302" t="inlineStr">
        <is>
          <t>00000025</t>
        </is>
      </c>
      <c r="C98" s="301" t="inlineStr">
        <is>
          <t>REGION</t>
        </is>
      </c>
      <c r="D98" s="302" t="inlineStr">
        <is>
          <t>VASQUEZ MEDINA FELIPE</t>
        </is>
      </c>
      <c r="E98" s="301" t="inlineStr">
        <is>
          <t>DNI</t>
        </is>
      </c>
      <c r="F98" s="301" t="inlineStr">
        <is>
          <t>27578700</t>
        </is>
      </c>
      <c r="G98" s="331" t="n">
        <v>45805</v>
      </c>
      <c r="H98" s="301" t="inlineStr">
        <is>
          <t>4932</t>
        </is>
      </c>
      <c r="I98" s="332">
        <f>IFERROR(VLOOKUP(TEXT(H98,"0"),IPRESS!$A$3:$B$212,2,0),"")</f>
        <v/>
      </c>
      <c r="J98" s="301" t="inlineStr">
        <is>
          <t>4838</t>
        </is>
      </c>
      <c r="K98" s="332">
        <f>IFERROR(VLOOKUP(TEXT(O98,"0"),CONDUCTORES!$A$3:$G$100,7,0),"")</f>
        <v/>
      </c>
      <c r="L98" s="245" t="n">
        <v>18.18</v>
      </c>
      <c r="M98" s="245" t="n">
        <v>8</v>
      </c>
      <c r="N98" s="333">
        <f>IFERROR(IF(L98*M98=0,"",L98*M98),"")</f>
        <v/>
      </c>
      <c r="O98" s="280" t="n"/>
      <c r="P98" s="332">
        <f>IFERROR(VLOOKUP(TEXT(O98,"0"),CONDUCTORES!$A$3:$G$100,2,0),"")</f>
        <v/>
      </c>
      <c r="Q98" s="332">
        <f>IFERROR(VLOOKUP(TEXT(O98,"0"),CONDUCTORES!$A$3:$H$100,6,0),"")</f>
        <v/>
      </c>
      <c r="R98" s="334" t="inlineStr">
        <is>
          <t>ENTREGADO 18/06/2025</t>
        </is>
      </c>
      <c r="S98" s="302" t="inlineStr">
        <is>
          <t>D649,K279,C189</t>
        </is>
      </c>
      <c r="T98" s="301" t="n"/>
      <c r="U98" s="334" t="n"/>
      <c r="V98" s="301" t="n"/>
      <c r="W98" s="301" t="n"/>
      <c r="X98" s="301" t="n"/>
      <c r="Y98" s="280" t="n"/>
    </row>
    <row r="99" ht="15.75" customHeight="1" s="195">
      <c r="A99" s="241" t="n">
        <v>49</v>
      </c>
      <c r="B99" s="305" t="inlineStr">
        <is>
          <t>00000027</t>
        </is>
      </c>
      <c r="C99" s="241" t="inlineStr">
        <is>
          <t>REGION</t>
        </is>
      </c>
      <c r="D99" s="305" t="inlineStr">
        <is>
          <t>VELA OCAMPO FLORA</t>
        </is>
      </c>
      <c r="E99" s="241" t="inlineStr">
        <is>
          <t>DNI</t>
        </is>
      </c>
      <c r="F99" s="241" t="inlineStr">
        <is>
          <t>80469195</t>
        </is>
      </c>
      <c r="G99" s="336" t="n">
        <v>45806</v>
      </c>
      <c r="H99" s="241" t="inlineStr">
        <is>
          <t>4932</t>
        </is>
      </c>
      <c r="I99" s="332">
        <f>IFERROR(VLOOKUP(TEXT(H99,"0"),IPRESS!$A$3:$B$212,2,0),"")</f>
        <v/>
      </c>
      <c r="J99" s="241" t="inlineStr">
        <is>
          <t>4838</t>
        </is>
      </c>
      <c r="K99" s="332">
        <f>IFERROR(VLOOKUP(TEXT(O99,"0"),CONDUCTORES!$A$3:$G$100,7,0),"")</f>
        <v/>
      </c>
      <c r="L99" s="239" t="n">
        <v>18.18</v>
      </c>
      <c r="M99" s="239" t="n">
        <v>8</v>
      </c>
      <c r="N99" s="333">
        <f>IFERROR(IF(L99*M99=0,"",L99*M99),"")</f>
        <v/>
      </c>
      <c r="O99" s="334" t="n"/>
      <c r="P99" s="332">
        <f>IFERROR(VLOOKUP(TEXT(O99,"0"),CONDUCTORES!$A$3:$G$100,2,0),"")</f>
        <v/>
      </c>
      <c r="Q99" s="332">
        <f>IFERROR(VLOOKUP(TEXT(O99,"0"),CONDUCTORES!$A$3:$H$100,6,0),"")</f>
        <v/>
      </c>
      <c r="R99" s="280" t="inlineStr">
        <is>
          <t>ENTREGADO 18/06/2025</t>
        </is>
      </c>
      <c r="S99" s="305" t="inlineStr">
        <is>
          <t>I679,I10X</t>
        </is>
      </c>
      <c r="T99" s="241" t="n"/>
      <c r="U99" s="280" t="n"/>
      <c r="V99" s="241" t="n"/>
      <c r="W99" s="241" t="n"/>
      <c r="X99" s="241" t="n"/>
      <c r="Y99" s="280" t="n"/>
    </row>
    <row r="100" ht="15.75" customHeight="1" s="195">
      <c r="A100" s="301" t="n">
        <v>50</v>
      </c>
      <c r="B100" s="302" t="inlineStr">
        <is>
          <t>00000024</t>
        </is>
      </c>
      <c r="C100" s="301" t="inlineStr">
        <is>
          <t>REGION</t>
        </is>
      </c>
      <c r="D100" s="302" t="inlineStr">
        <is>
          <t>PEREZ RIMARACHIN GUMERCINDO</t>
        </is>
      </c>
      <c r="E100" s="301" t="inlineStr">
        <is>
          <t>DNI</t>
        </is>
      </c>
      <c r="F100" s="301" t="inlineStr">
        <is>
          <t>45856102</t>
        </is>
      </c>
      <c r="G100" s="331" t="n">
        <v>45795</v>
      </c>
      <c r="H100" s="301" t="inlineStr">
        <is>
          <t>4932</t>
        </is>
      </c>
      <c r="I100" s="332">
        <f>IFERROR(VLOOKUP(TEXT(H100,"0"),IPRESS!$A$3:$B$212,2,0),"")</f>
        <v/>
      </c>
      <c r="J100" s="301" t="inlineStr">
        <is>
          <t>4838</t>
        </is>
      </c>
      <c r="K100" s="332">
        <f>IFERROR(VLOOKUP(TEXT(O100,"0"),CONDUCTORES!$A$3:$G$100,7,0),"")</f>
        <v/>
      </c>
      <c r="L100" s="245" t="n">
        <v>18.18</v>
      </c>
      <c r="M100" s="245" t="n">
        <v>8</v>
      </c>
      <c r="N100" s="333">
        <f>IFERROR(IF(L100*M100=0,"",L100*M100),"")</f>
        <v/>
      </c>
      <c r="O100" s="280" t="n"/>
      <c r="P100" s="332">
        <f>IFERROR(VLOOKUP(TEXT(O100,"0"),CONDUCTORES!$A$3:$G$100,2,0),"")</f>
        <v/>
      </c>
      <c r="Q100" s="332">
        <f>IFERROR(VLOOKUP(TEXT(O100,"0"),CONDUCTORES!$A$3:$H$100,6,0),"")</f>
        <v/>
      </c>
      <c r="R100" s="334" t="inlineStr">
        <is>
          <t>ENTREGADO 05/08/2025</t>
        </is>
      </c>
      <c r="S100" s="302" t="inlineStr">
        <is>
          <t>K37X</t>
        </is>
      </c>
      <c r="T100" s="301" t="n"/>
      <c r="U100" s="334" t="n"/>
      <c r="V100" s="301" t="n"/>
      <c r="W100" s="301" t="n"/>
      <c r="X100" s="301" t="n"/>
      <c r="Y100" s="280" t="n"/>
    </row>
    <row r="101" ht="15.75" customHeight="1" s="195">
      <c r="A101" s="241" t="n">
        <v>51</v>
      </c>
      <c r="B101" s="305" t="inlineStr">
        <is>
          <t>00000026</t>
        </is>
      </c>
      <c r="C101" s="241" t="inlineStr">
        <is>
          <t>REGION</t>
        </is>
      </c>
      <c r="D101" s="305" t="inlineStr">
        <is>
          <t>CHICANA POZO KENZO ANTONIO</t>
        </is>
      </c>
      <c r="E101" s="241" t="inlineStr">
        <is>
          <t>DNI</t>
        </is>
      </c>
      <c r="F101" s="241" t="inlineStr">
        <is>
          <t>93951949</t>
        </is>
      </c>
      <c r="G101" s="336" t="n">
        <v>45801</v>
      </c>
      <c r="H101" s="241" t="inlineStr">
        <is>
          <t>4932</t>
        </is>
      </c>
      <c r="I101" s="332">
        <f>IFERROR(VLOOKUP(TEXT(H101,"0"),IPRESS!$A$3:$B$212,2,0),"")</f>
        <v/>
      </c>
      <c r="J101" s="241" t="inlineStr">
        <is>
          <t>4838</t>
        </is>
      </c>
      <c r="K101" s="332">
        <f>IFERROR(VLOOKUP(TEXT(O101,"0"),CONDUCTORES!$A$3:$G$100,7,0),"")</f>
        <v/>
      </c>
      <c r="L101" s="239" t="n">
        <v>18.18</v>
      </c>
      <c r="M101" s="239" t="n">
        <v>8</v>
      </c>
      <c r="N101" s="333">
        <f>IFERROR(IF(L101*M101=0,"",L101*M101),"")</f>
        <v/>
      </c>
      <c r="O101" s="334" t="n"/>
      <c r="P101" s="332">
        <f>IFERROR(VLOOKUP(TEXT(O101,"0"),CONDUCTORES!$A$3:$G$100,2,0),"")</f>
        <v/>
      </c>
      <c r="Q101" s="332">
        <f>IFERROR(VLOOKUP(TEXT(O101,"0"),CONDUCTORES!$A$3:$H$100,6,0),"")</f>
        <v/>
      </c>
      <c r="R101" s="280" t="inlineStr">
        <is>
          <t>ENTREGADO 05/08/2025</t>
        </is>
      </c>
      <c r="S101" s="305" t="inlineStr">
        <is>
          <t>E860,D509,A09X</t>
        </is>
      </c>
      <c r="T101" s="241" t="n"/>
      <c r="U101" s="280" t="n"/>
      <c r="V101" s="241" t="n"/>
      <c r="W101" s="241" t="n"/>
      <c r="X101" s="241" t="n"/>
      <c r="Y101" s="280" t="n"/>
    </row>
    <row r="102" ht="15.75" customHeight="1" s="195">
      <c r="A102" s="301" t="n">
        <v>52</v>
      </c>
      <c r="B102" s="302" t="inlineStr">
        <is>
          <t>00000013</t>
        </is>
      </c>
      <c r="C102" s="301" t="inlineStr">
        <is>
          <t>REGION</t>
        </is>
      </c>
      <c r="D102" s="302" t="inlineStr">
        <is>
          <t>TARRILLO GARAY SANTOS ISABEL</t>
        </is>
      </c>
      <c r="E102" s="301" t="inlineStr">
        <is>
          <t>DNI</t>
        </is>
      </c>
      <c r="F102" s="301" t="inlineStr">
        <is>
          <t>27561350</t>
        </is>
      </c>
      <c r="G102" s="331" t="n">
        <v>45778</v>
      </c>
      <c r="H102" s="301" t="inlineStr">
        <is>
          <t>4932</t>
        </is>
      </c>
      <c r="I102" s="332">
        <f>IFERROR(VLOOKUP(TEXT(H102,"0"),IPRESS!$A$3:$B$212,2,0),"")</f>
        <v/>
      </c>
      <c r="J102" s="301" t="inlineStr">
        <is>
          <t>4838</t>
        </is>
      </c>
      <c r="K102" s="332">
        <f>IFERROR(VLOOKUP(TEXT(O102,"0"),CONDUCTORES!$A$3:$G$100,7,0),"")</f>
        <v/>
      </c>
      <c r="L102" s="245" t="n">
        <v>18.18</v>
      </c>
      <c r="M102" s="245" t="n">
        <v>8</v>
      </c>
      <c r="N102" s="333">
        <f>IFERROR(IF(L102*M102=0,"",L102*M102),"")</f>
        <v/>
      </c>
      <c r="O102" s="280" t="n"/>
      <c r="P102" s="332">
        <f>IFERROR(VLOOKUP(TEXT(O102,"0"),CONDUCTORES!$A$3:$G$100,2,0),"")</f>
        <v/>
      </c>
      <c r="Q102" s="332">
        <f>IFERROR(VLOOKUP(TEXT(O102,"0"),CONDUCTORES!$A$3:$H$100,6,0),"")</f>
        <v/>
      </c>
      <c r="R102" s="334" t="inlineStr">
        <is>
          <t>ENTREGADO 18/06/2025</t>
        </is>
      </c>
      <c r="S102" s="302" t="inlineStr">
        <is>
          <t>I679</t>
        </is>
      </c>
      <c r="T102" s="301" t="n"/>
      <c r="U102" s="334" t="n"/>
      <c r="V102" s="301" t="n"/>
      <c r="W102" s="301" t="n"/>
      <c r="X102" s="301" t="n"/>
      <c r="Y102" s="280" t="n"/>
    </row>
    <row r="103" ht="15.75" customHeight="1" s="195">
      <c r="A103" s="337" t="n">
        <v>53</v>
      </c>
      <c r="B103" s="338" t="inlineStr">
        <is>
          <t>00000020</t>
        </is>
      </c>
      <c r="C103" s="337" t="inlineStr">
        <is>
          <t>REGION</t>
        </is>
      </c>
      <c r="D103" s="338" t="inlineStr">
        <is>
          <t>MENDOZA NUNURA EMILY YARITH</t>
        </is>
      </c>
      <c r="E103" s="337" t="inlineStr">
        <is>
          <t>DNI</t>
        </is>
      </c>
      <c r="F103" s="337" t="inlineStr">
        <is>
          <t>81269994</t>
        </is>
      </c>
      <c r="G103" s="339" t="n">
        <v>45781</v>
      </c>
      <c r="H103" s="337" t="inlineStr">
        <is>
          <t>4913</t>
        </is>
      </c>
      <c r="I103" s="332">
        <f>IFERROR(VLOOKUP(TEXT(H103,"0"),IPRESS!$A$3:$B$212,2,0),"")</f>
        <v/>
      </c>
      <c r="J103" s="337" t="inlineStr">
        <is>
          <t>5125</t>
        </is>
      </c>
      <c r="K103" s="332">
        <f>IFERROR(VLOOKUP(TEXT(O103,"0"),CONDUCTORES!$A$3:$G$100,7,0),"")</f>
        <v/>
      </c>
      <c r="L103" s="340" t="n">
        <v>17.95</v>
      </c>
      <c r="M103" s="340" t="n">
        <v>14</v>
      </c>
      <c r="N103" s="333">
        <f>IFERROR(IF(L103*M103=0,"",L103*M103),"")</f>
        <v/>
      </c>
      <c r="O103" s="334" t="n"/>
      <c r="P103" s="332">
        <f>IFERROR(VLOOKUP(TEXT(O103,"0"),CONDUCTORES!$A$3:$G$100,2,0),"")</f>
        <v/>
      </c>
      <c r="Q103" s="332">
        <f>IFERROR(VLOOKUP(TEXT(O103,"0"),CONDUCTORES!$A$3:$H$100,6,0),"")</f>
        <v/>
      </c>
      <c r="R103" s="339" t="n">
        <v>45994</v>
      </c>
      <c r="S103" s="338" t="inlineStr">
        <is>
          <t>K37X</t>
        </is>
      </c>
      <c r="T103" s="337" t="n"/>
      <c r="U103" s="341" t="n"/>
      <c r="V103" s="337" t="n"/>
      <c r="W103" s="337" t="n"/>
      <c r="X103" s="337" t="n"/>
      <c r="Y103" s="280" t="n"/>
    </row>
    <row r="104" ht="15.75" customHeight="1" s="195">
      <c r="A104" s="301" t="n">
        <v>54</v>
      </c>
      <c r="B104" s="302" t="inlineStr">
        <is>
          <t>00000019</t>
        </is>
      </c>
      <c r="C104" s="301" t="inlineStr">
        <is>
          <t>REGION</t>
        </is>
      </c>
      <c r="D104" s="302" t="inlineStr">
        <is>
          <t>BAZAN SEGURA JOSE ABAD</t>
        </is>
      </c>
      <c r="E104" s="301" t="inlineStr">
        <is>
          <t>DNI</t>
        </is>
      </c>
      <c r="F104" s="301" t="inlineStr">
        <is>
          <t>41035005</t>
        </is>
      </c>
      <c r="G104" s="331" t="n">
        <v>45789</v>
      </c>
      <c r="H104" s="301" t="inlineStr">
        <is>
          <t>4887</t>
        </is>
      </c>
      <c r="I104" s="332">
        <f>IFERROR(VLOOKUP(TEXT(H104,"0"),IPRESS!$A$3:$B$212,2,0),"")</f>
        <v/>
      </c>
      <c r="J104" s="301" t="inlineStr">
        <is>
          <t>4838</t>
        </is>
      </c>
      <c r="K104" s="332">
        <f>IFERROR(VLOOKUP(TEXT(O104,"0"),CONDUCTORES!$A$3:$G$100,7,0),"")</f>
        <v/>
      </c>
      <c r="L104" s="245" t="n">
        <v>18.18</v>
      </c>
      <c r="M104" s="245" t="n">
        <v>10</v>
      </c>
      <c r="N104" s="333">
        <f>IFERROR(IF(L104*M104=0,"",L104*M104),"")</f>
        <v/>
      </c>
      <c r="O104" s="280" t="n"/>
      <c r="P104" s="332">
        <f>IFERROR(VLOOKUP(TEXT(O104,"0"),CONDUCTORES!$A$3:$G$100,2,0),"")</f>
        <v/>
      </c>
      <c r="Q104" s="332">
        <f>IFERROR(VLOOKUP(TEXT(O104,"0"),CONDUCTORES!$A$3:$H$100,6,0),"")</f>
        <v/>
      </c>
      <c r="R104" s="331" t="n">
        <v>45939</v>
      </c>
      <c r="S104" s="302" t="inlineStr">
        <is>
          <t>S925</t>
        </is>
      </c>
      <c r="T104" s="301" t="n"/>
      <c r="U104" s="334" t="n"/>
      <c r="V104" s="301" t="n"/>
      <c r="W104" s="301" t="n"/>
      <c r="X104" s="301" t="n"/>
      <c r="Y104" s="280" t="n"/>
    </row>
    <row r="105" ht="15.75" customHeight="1" s="195">
      <c r="A105" s="241" t="n">
        <v>55</v>
      </c>
      <c r="B105" s="305" t="inlineStr">
        <is>
          <t>00000052</t>
        </is>
      </c>
      <c r="C105" s="241" t="inlineStr">
        <is>
          <t>REGION</t>
        </is>
      </c>
      <c r="D105" s="305" t="inlineStr">
        <is>
          <t>VASQUEZ GALLARDO NEIDA MARLENI</t>
        </is>
      </c>
      <c r="E105" s="241" t="inlineStr">
        <is>
          <t>DNI</t>
        </is>
      </c>
      <c r="F105" s="241" t="inlineStr">
        <is>
          <t>60355237</t>
        </is>
      </c>
      <c r="G105" s="336" t="n">
        <v>45785</v>
      </c>
      <c r="H105" s="241" t="inlineStr">
        <is>
          <t>4903</t>
        </is>
      </c>
      <c r="I105" s="332">
        <f>IFERROR(VLOOKUP(TEXT(H105,"0"),IPRESS!$A$3:$B$212,2,0),"")</f>
        <v/>
      </c>
      <c r="J105" s="241" t="inlineStr">
        <is>
          <t>4838</t>
        </is>
      </c>
      <c r="K105" s="332">
        <f>IFERROR(VLOOKUP(TEXT(O105,"0"),CONDUCTORES!$A$3:$G$100,7,0),"")</f>
        <v/>
      </c>
      <c r="L105" s="239" t="n">
        <v>18.18</v>
      </c>
      <c r="M105" s="239" t="n">
        <v>5</v>
      </c>
      <c r="N105" s="333">
        <f>IFERROR(IF(L105*M105=0,"",L105*M105),"")</f>
        <v/>
      </c>
      <c r="O105" s="334" t="n"/>
      <c r="P105" s="332">
        <f>IFERROR(VLOOKUP(TEXT(O105,"0"),CONDUCTORES!$A$3:$G$100,2,0),"")</f>
        <v/>
      </c>
      <c r="Q105" s="332">
        <f>IFERROR(VLOOKUP(TEXT(O105,"0"),CONDUCTORES!$A$3:$H$100,6,0),"")</f>
        <v/>
      </c>
      <c r="R105" s="336" t="n">
        <v>45827</v>
      </c>
      <c r="S105" s="305" t="inlineStr">
        <is>
          <t>O731</t>
        </is>
      </c>
      <c r="T105" s="241" t="n"/>
      <c r="U105" s="280" t="n"/>
      <c r="V105" s="241" t="n"/>
      <c r="W105" s="241" t="n"/>
      <c r="X105" s="241" t="n"/>
      <c r="Y105" s="280" t="n"/>
    </row>
    <row r="106" ht="15.75" customHeight="1" s="195">
      <c r="A106" s="301" t="n">
        <v>51</v>
      </c>
      <c r="B106" s="302" t="inlineStr">
        <is>
          <t>00000053</t>
        </is>
      </c>
      <c r="C106" s="301" t="inlineStr">
        <is>
          <t>REGION</t>
        </is>
      </c>
      <c r="D106" s="302" t="inlineStr">
        <is>
          <t>DIAZ CHAVEZ WILSON ANTONIO</t>
        </is>
      </c>
      <c r="E106" s="301" t="inlineStr">
        <is>
          <t>DNI</t>
        </is>
      </c>
      <c r="F106" s="301" t="inlineStr">
        <is>
          <t>33800223</t>
        </is>
      </c>
      <c r="G106" s="331" t="n">
        <v>45787</v>
      </c>
      <c r="H106" s="301" t="inlineStr">
        <is>
          <t>4903</t>
        </is>
      </c>
      <c r="I106" s="332">
        <f>IFERROR(VLOOKUP(TEXT(H106,"0"),IPRESS!$A$3:$B$212,2,0),"")</f>
        <v/>
      </c>
      <c r="J106" s="301" t="inlineStr">
        <is>
          <t>4838</t>
        </is>
      </c>
      <c r="K106" s="332">
        <f>IFERROR(VLOOKUP(TEXT(O106,"0"),CONDUCTORES!$A$3:$G$100,7,0),"")</f>
        <v/>
      </c>
      <c r="L106" s="245" t="n">
        <v>18.18</v>
      </c>
      <c r="M106" s="245" t="n">
        <v>8</v>
      </c>
      <c r="N106" s="333">
        <f>IFERROR(IF(L106*M106=0,"",L106*M106),"")</f>
        <v/>
      </c>
      <c r="O106" s="280" t="n"/>
      <c r="P106" s="332">
        <f>IFERROR(VLOOKUP(TEXT(O106,"0"),CONDUCTORES!$A$3:$G$100,2,0),"")</f>
        <v/>
      </c>
      <c r="Q106" s="332">
        <f>IFERROR(VLOOKUP(TEXT(O106,"0"),CONDUCTORES!$A$3:$H$100,6,0),"")</f>
        <v/>
      </c>
      <c r="R106" s="331" t="n">
        <v>45827</v>
      </c>
      <c r="S106" s="302" t="inlineStr">
        <is>
          <t>J159,T826</t>
        </is>
      </c>
      <c r="T106" s="301" t="n"/>
      <c r="U106" s="334" t="n"/>
      <c r="V106" s="301" t="n"/>
      <c r="W106" s="301" t="n"/>
      <c r="X106" s="301" t="n"/>
      <c r="Y106" s="280" t="n"/>
    </row>
    <row r="107" ht="15.75" customHeight="1" s="195">
      <c r="A107" s="241" t="n">
        <v>52</v>
      </c>
      <c r="B107" s="305" t="inlineStr">
        <is>
          <t>00000054</t>
        </is>
      </c>
      <c r="C107" s="241" t="inlineStr">
        <is>
          <t>REGION</t>
        </is>
      </c>
      <c r="D107" s="305" t="inlineStr">
        <is>
          <t>RODRIGUEZ JULCA ORFELINDA</t>
        </is>
      </c>
      <c r="E107" s="241" t="inlineStr">
        <is>
          <t>DNI</t>
        </is>
      </c>
      <c r="F107" s="241" t="inlineStr">
        <is>
          <t>42624838</t>
        </is>
      </c>
      <c r="G107" s="336" t="n">
        <v>45788</v>
      </c>
      <c r="H107" s="241" t="inlineStr">
        <is>
          <t>4903</t>
        </is>
      </c>
      <c r="I107" s="332">
        <f>IFERROR(VLOOKUP(TEXT(H107,"0"),IPRESS!$A$3:$B$212,2,0),"")</f>
        <v/>
      </c>
      <c r="J107" s="241" t="inlineStr">
        <is>
          <t>4838</t>
        </is>
      </c>
      <c r="K107" s="332">
        <f>IFERROR(VLOOKUP(TEXT(O107,"0"),CONDUCTORES!$A$3:$G$100,7,0),"")</f>
        <v/>
      </c>
      <c r="L107" s="239" t="n">
        <v>18.18</v>
      </c>
      <c r="M107" s="239" t="n">
        <v>5</v>
      </c>
      <c r="N107" s="333">
        <f>IFERROR(IF(L107*M107=0,"",L107*M107),"")</f>
        <v/>
      </c>
      <c r="O107" s="334" t="n"/>
      <c r="P107" s="332">
        <f>IFERROR(VLOOKUP(TEXT(O107,"0"),CONDUCTORES!$A$3:$G$100,2,0),"")</f>
        <v/>
      </c>
      <c r="Q107" s="332">
        <f>IFERROR(VLOOKUP(TEXT(O107,"0"),CONDUCTORES!$A$3:$H$100,6,0),"")</f>
        <v/>
      </c>
      <c r="R107" s="336" t="n">
        <v>45827</v>
      </c>
      <c r="S107" s="305" t="inlineStr">
        <is>
          <t>R100</t>
        </is>
      </c>
      <c r="T107" s="241" t="n"/>
      <c r="U107" s="280" t="n"/>
      <c r="V107" s="241" t="n"/>
      <c r="W107" s="241" t="n"/>
      <c r="X107" s="241" t="n"/>
      <c r="Y107" s="280" t="n"/>
    </row>
    <row r="108" ht="15.75" customHeight="1" s="195">
      <c r="A108" s="301" t="n">
        <v>53</v>
      </c>
      <c r="B108" s="302" t="inlineStr">
        <is>
          <t>00000055</t>
        </is>
      </c>
      <c r="C108" s="301" t="inlineStr">
        <is>
          <t>REGION</t>
        </is>
      </c>
      <c r="D108" s="302" t="inlineStr">
        <is>
          <t>ZEVALLOS ROJAS ANITA</t>
        </is>
      </c>
      <c r="E108" s="301" t="inlineStr">
        <is>
          <t>DNI</t>
        </is>
      </c>
      <c r="F108" s="301" t="inlineStr">
        <is>
          <t>33800007</t>
        </is>
      </c>
      <c r="G108" s="331" t="n">
        <v>45789</v>
      </c>
      <c r="H108" s="301" t="inlineStr">
        <is>
          <t>4903</t>
        </is>
      </c>
      <c r="I108" s="332">
        <f>IFERROR(VLOOKUP(TEXT(H108,"0"),IPRESS!$A$3:$B$212,2,0),"")</f>
        <v/>
      </c>
      <c r="J108" s="301" t="inlineStr">
        <is>
          <t>4838</t>
        </is>
      </c>
      <c r="K108" s="332">
        <f>IFERROR(VLOOKUP(TEXT(O108,"0"),CONDUCTORES!$A$3:$G$100,7,0),"")</f>
        <v/>
      </c>
      <c r="L108" s="245" t="n">
        <v>18.18</v>
      </c>
      <c r="M108" s="245" t="n">
        <v>5</v>
      </c>
      <c r="N108" s="333">
        <f>IFERROR(IF(L108*M108=0,"",L108*M108),"")</f>
        <v/>
      </c>
      <c r="O108" s="280" t="n"/>
      <c r="P108" s="332">
        <f>IFERROR(VLOOKUP(TEXT(O108,"0"),CONDUCTORES!$A$3:$G$100,2,0),"")</f>
        <v/>
      </c>
      <c r="Q108" s="332">
        <f>IFERROR(VLOOKUP(TEXT(O108,"0"),CONDUCTORES!$A$3:$H$100,6,0),"")</f>
        <v/>
      </c>
      <c r="R108" s="331" t="n">
        <v>45827</v>
      </c>
      <c r="S108" s="302" t="inlineStr">
        <is>
          <t>S060</t>
        </is>
      </c>
      <c r="T108" s="301" t="n"/>
      <c r="U108" s="334" t="n"/>
      <c r="V108" s="301" t="n"/>
      <c r="W108" s="301" t="n"/>
      <c r="X108" s="301" t="n"/>
      <c r="Y108" s="280" t="n"/>
    </row>
    <row r="109" ht="15.75" customHeight="1" s="195">
      <c r="A109" s="241" t="n">
        <v>54</v>
      </c>
      <c r="B109" s="305" t="inlineStr">
        <is>
          <t>00000056</t>
        </is>
      </c>
      <c r="C109" s="241" t="inlineStr">
        <is>
          <t>REGION</t>
        </is>
      </c>
      <c r="D109" s="305" t="inlineStr">
        <is>
          <t>BOLAÑOS HIDALGO MARIA YLMER</t>
        </is>
      </c>
      <c r="E109" s="241" t="inlineStr">
        <is>
          <t>DNI</t>
        </is>
      </c>
      <c r="F109" s="241" t="inlineStr">
        <is>
          <t>49036779</t>
        </is>
      </c>
      <c r="G109" s="336" t="n">
        <v>45790</v>
      </c>
      <c r="H109" s="241" t="inlineStr">
        <is>
          <t>4903</t>
        </is>
      </c>
      <c r="I109" s="332">
        <f>IFERROR(VLOOKUP(TEXT(H109,"0"),IPRESS!$A$3:$B$212,2,0),"")</f>
        <v/>
      </c>
      <c r="J109" s="241" t="inlineStr">
        <is>
          <t>4838</t>
        </is>
      </c>
      <c r="K109" s="332">
        <f>IFERROR(VLOOKUP(TEXT(O109,"0"),CONDUCTORES!$A$3:$G$100,7,0),"")</f>
        <v/>
      </c>
      <c r="L109" s="239" t="n">
        <v>18.18</v>
      </c>
      <c r="M109" s="239" t="n">
        <v>5</v>
      </c>
      <c r="N109" s="333">
        <f>IFERROR(IF(L109*M109=0,"",L109*M109),"")</f>
        <v/>
      </c>
      <c r="O109" s="334" t="n"/>
      <c r="P109" s="332">
        <f>IFERROR(VLOOKUP(TEXT(O109,"0"),CONDUCTORES!$A$3:$G$100,2,0),"")</f>
        <v/>
      </c>
      <c r="Q109" s="332">
        <f>IFERROR(VLOOKUP(TEXT(O109,"0"),CONDUCTORES!$A$3:$H$100,6,0),"")</f>
        <v/>
      </c>
      <c r="R109" s="336" t="n">
        <v>45827</v>
      </c>
      <c r="S109" s="305" t="inlineStr">
        <is>
          <t>J189</t>
        </is>
      </c>
      <c r="T109" s="241" t="n"/>
      <c r="U109" s="280" t="n"/>
      <c r="V109" s="241" t="n"/>
      <c r="W109" s="241" t="n"/>
      <c r="X109" s="241" t="n"/>
      <c r="Y109" s="280" t="n"/>
    </row>
    <row r="110" ht="15.75" customHeight="1" s="195">
      <c r="A110" s="301" t="n">
        <v>55</v>
      </c>
      <c r="B110" s="302" t="inlineStr">
        <is>
          <t>00000057</t>
        </is>
      </c>
      <c r="C110" s="301" t="inlineStr">
        <is>
          <t>REGION</t>
        </is>
      </c>
      <c r="D110" s="302" t="inlineStr">
        <is>
          <t>CHAVEZ TRIGOSO ROSA</t>
        </is>
      </c>
      <c r="E110" s="301" t="inlineStr">
        <is>
          <t>DNI</t>
        </is>
      </c>
      <c r="F110" s="301" t="inlineStr">
        <is>
          <t>48630527</t>
        </is>
      </c>
      <c r="G110" s="331" t="n">
        <v>45796</v>
      </c>
      <c r="H110" s="301" t="inlineStr">
        <is>
          <t>4903</t>
        </is>
      </c>
      <c r="I110" s="332">
        <f>IFERROR(VLOOKUP(TEXT(H110,"0"),IPRESS!$A$3:$B$212,2,0),"")</f>
        <v/>
      </c>
      <c r="J110" s="301" t="inlineStr">
        <is>
          <t>4838</t>
        </is>
      </c>
      <c r="K110" s="332">
        <f>IFERROR(VLOOKUP(TEXT(O110,"0"),CONDUCTORES!$A$3:$G$100,7,0),"")</f>
        <v/>
      </c>
      <c r="L110" s="245" t="n">
        <v>18.18</v>
      </c>
      <c r="M110" s="245" t="n">
        <v>5</v>
      </c>
      <c r="N110" s="333">
        <f>IFERROR(IF(L110*M110=0,"",L110*M110),"")</f>
        <v/>
      </c>
      <c r="O110" s="280" t="n"/>
      <c r="P110" s="332">
        <f>IFERROR(VLOOKUP(TEXT(O110,"0"),CONDUCTORES!$A$3:$G$100,2,0),"")</f>
        <v/>
      </c>
      <c r="Q110" s="332">
        <f>IFERROR(VLOOKUP(TEXT(O110,"0"),CONDUCTORES!$A$3:$H$100,6,0),"")</f>
        <v/>
      </c>
      <c r="R110" s="331" t="n">
        <v>45827</v>
      </c>
      <c r="S110" s="302" t="inlineStr">
        <is>
          <t>I509,J960</t>
        </is>
      </c>
      <c r="T110" s="301" t="n"/>
      <c r="U110" s="334" t="n"/>
      <c r="V110" s="301" t="n"/>
      <c r="W110" s="301" t="n"/>
      <c r="X110" s="301" t="n"/>
      <c r="Y110" s="280" t="n"/>
    </row>
    <row r="111" ht="15.75" customHeight="1" s="195">
      <c r="A111" s="241" t="n">
        <v>56</v>
      </c>
      <c r="B111" s="305" t="inlineStr">
        <is>
          <t>00000059</t>
        </is>
      </c>
      <c r="C111" s="241" t="inlineStr">
        <is>
          <t>REGION</t>
        </is>
      </c>
      <c r="D111" s="305" t="inlineStr">
        <is>
          <t>ACUÑA LEYVA MARCIAL</t>
        </is>
      </c>
      <c r="E111" s="241" t="inlineStr">
        <is>
          <t>DNI</t>
        </is>
      </c>
      <c r="F111" s="241" t="inlineStr">
        <is>
          <t>48943317</t>
        </is>
      </c>
      <c r="G111" s="336" t="n">
        <v>45797</v>
      </c>
      <c r="H111" s="241" t="inlineStr">
        <is>
          <t>4903</t>
        </is>
      </c>
      <c r="I111" s="332">
        <f>IFERROR(VLOOKUP(TEXT(H111,"0"),IPRESS!$A$3:$B$212,2,0),"")</f>
        <v/>
      </c>
      <c r="J111" s="241" t="inlineStr">
        <is>
          <t>4838</t>
        </is>
      </c>
      <c r="K111" s="332">
        <f>IFERROR(VLOOKUP(TEXT(O111,"0"),CONDUCTORES!$A$3:$G$100,7,0),"")</f>
        <v/>
      </c>
      <c r="L111" s="239" t="n">
        <v>18.18</v>
      </c>
      <c r="M111" s="239" t="n">
        <v>5</v>
      </c>
      <c r="N111" s="333">
        <f>IFERROR(IF(L111*M111=0,"",L111*M111),"")</f>
        <v/>
      </c>
      <c r="O111" s="334" t="n"/>
      <c r="P111" s="332">
        <f>IFERROR(VLOOKUP(TEXT(O111,"0"),CONDUCTORES!$A$3:$G$100,2,0),"")</f>
        <v/>
      </c>
      <c r="Q111" s="332">
        <f>IFERROR(VLOOKUP(TEXT(O111,"0"),CONDUCTORES!$A$3:$H$100,6,0),"")</f>
        <v/>
      </c>
      <c r="R111" s="336" t="n">
        <v>45827</v>
      </c>
      <c r="S111" s="305" t="inlineStr">
        <is>
          <t>S369</t>
        </is>
      </c>
      <c r="T111" s="241" t="n"/>
      <c r="U111" s="280" t="n"/>
      <c r="V111" s="241" t="n"/>
      <c r="W111" s="241" t="n"/>
      <c r="X111" s="241" t="n"/>
      <c r="Y111" s="280" t="n"/>
    </row>
    <row r="112" ht="15.75" customHeight="1" s="195">
      <c r="A112" s="301" t="n">
        <v>57</v>
      </c>
      <c r="B112" s="302" t="inlineStr">
        <is>
          <t>00000058</t>
        </is>
      </c>
      <c r="C112" s="301" t="inlineStr">
        <is>
          <t>REGION</t>
        </is>
      </c>
      <c r="D112" s="302" t="inlineStr">
        <is>
          <t>VARGAS ZUMAETA ANGIA JAMIL</t>
        </is>
      </c>
      <c r="E112" s="301" t="inlineStr">
        <is>
          <t>DNI</t>
        </is>
      </c>
      <c r="F112" s="301" t="inlineStr">
        <is>
          <t>62063500</t>
        </is>
      </c>
      <c r="G112" s="331" t="n">
        <v>45797</v>
      </c>
      <c r="H112" s="301" t="inlineStr">
        <is>
          <t>4903</t>
        </is>
      </c>
      <c r="I112" s="332">
        <f>IFERROR(VLOOKUP(TEXT(H112,"0"),IPRESS!$A$3:$B$212,2,0),"")</f>
        <v/>
      </c>
      <c r="J112" s="301" t="inlineStr">
        <is>
          <t>4838</t>
        </is>
      </c>
      <c r="K112" s="332">
        <f>IFERROR(VLOOKUP(TEXT(O112,"0"),CONDUCTORES!$A$3:$G$100,7,0),"")</f>
        <v/>
      </c>
      <c r="L112" s="245" t="n">
        <v>18.18</v>
      </c>
      <c r="M112" s="245" t="n">
        <v>5</v>
      </c>
      <c r="N112" s="333">
        <f>IFERROR(IF(L112*M112=0,"",L112*M112),"")</f>
        <v/>
      </c>
      <c r="O112" s="280" t="n"/>
      <c r="P112" s="332">
        <f>IFERROR(VLOOKUP(TEXT(O112,"0"),CONDUCTORES!$A$3:$G$100,2,0),"")</f>
        <v/>
      </c>
      <c r="Q112" s="332">
        <f>IFERROR(VLOOKUP(TEXT(O112,"0"),CONDUCTORES!$A$3:$H$100,6,0),"")</f>
        <v/>
      </c>
      <c r="R112" s="331" t="n">
        <v>45827</v>
      </c>
      <c r="S112" s="302" t="inlineStr">
        <is>
          <t>O421</t>
        </is>
      </c>
      <c r="T112" s="301" t="n"/>
      <c r="U112" s="334" t="n"/>
      <c r="V112" s="301" t="n"/>
      <c r="W112" s="301" t="n"/>
      <c r="X112" s="301" t="n"/>
      <c r="Y112" s="280" t="n"/>
    </row>
    <row r="113" ht="15.75" customHeight="1" s="195">
      <c r="A113" s="241" t="n">
        <v>58</v>
      </c>
      <c r="B113" s="305" t="inlineStr">
        <is>
          <t>00000060</t>
        </is>
      </c>
      <c r="C113" s="241" t="inlineStr">
        <is>
          <t>REGION</t>
        </is>
      </c>
      <c r="D113" s="305" t="inlineStr">
        <is>
          <t>VILCA VILLANUEVA ROCIO</t>
        </is>
      </c>
      <c r="E113" s="241" t="inlineStr">
        <is>
          <t>DNI</t>
        </is>
      </c>
      <c r="F113" s="241" t="inlineStr">
        <is>
          <t>72785012</t>
        </is>
      </c>
      <c r="G113" s="336" t="n">
        <v>45800</v>
      </c>
      <c r="H113" s="241" t="inlineStr">
        <is>
          <t>4903</t>
        </is>
      </c>
      <c r="I113" s="332">
        <f>IFERROR(VLOOKUP(TEXT(H113,"0"),IPRESS!$A$3:$B$212,2,0),"")</f>
        <v/>
      </c>
      <c r="J113" s="241" t="inlineStr">
        <is>
          <t>4838</t>
        </is>
      </c>
      <c r="K113" s="332">
        <f>IFERROR(VLOOKUP(TEXT(O113,"0"),CONDUCTORES!$A$3:$G$100,7,0),"")</f>
        <v/>
      </c>
      <c r="L113" s="239" t="n">
        <v>18.18</v>
      </c>
      <c r="M113" s="239" t="n">
        <v>5</v>
      </c>
      <c r="N113" s="333">
        <f>IFERROR(IF(L113*M113=0,"",L113*M113),"")</f>
        <v/>
      </c>
      <c r="O113" s="334" t="n"/>
      <c r="P113" s="332">
        <f>IFERROR(VLOOKUP(TEXT(O113,"0"),CONDUCTORES!$A$3:$G$100,2,0),"")</f>
        <v/>
      </c>
      <c r="Q113" s="332">
        <f>IFERROR(VLOOKUP(TEXT(O113,"0"),CONDUCTORES!$A$3:$H$100,6,0),"")</f>
        <v/>
      </c>
      <c r="R113" s="336" t="n">
        <v>45827</v>
      </c>
      <c r="S113" s="305" t="inlineStr">
        <is>
          <t>R100,K810</t>
        </is>
      </c>
      <c r="T113" s="241" t="n"/>
      <c r="U113" s="280" t="n"/>
      <c r="V113" s="241" t="n"/>
      <c r="W113" s="241" t="n"/>
      <c r="X113" s="241" t="n"/>
      <c r="Y113" s="280" t="n"/>
    </row>
    <row r="114" ht="15.75" customHeight="1" s="195">
      <c r="A114" s="301" t="n">
        <v>59</v>
      </c>
      <c r="B114" s="302" t="inlineStr">
        <is>
          <t>00000061</t>
        </is>
      </c>
      <c r="C114" s="301" t="inlineStr">
        <is>
          <t>REGION</t>
        </is>
      </c>
      <c r="D114" s="302" t="inlineStr">
        <is>
          <t>VARGAS INGA ROSA</t>
        </is>
      </c>
      <c r="E114" s="301" t="inlineStr">
        <is>
          <t>DNI</t>
        </is>
      </c>
      <c r="F114" s="301" t="inlineStr">
        <is>
          <t>45023856</t>
        </is>
      </c>
      <c r="G114" s="331" t="n">
        <v>45805</v>
      </c>
      <c r="H114" s="301" t="inlineStr">
        <is>
          <t>4903</t>
        </is>
      </c>
      <c r="I114" s="332">
        <f>IFERROR(VLOOKUP(TEXT(H114,"0"),IPRESS!$A$3:$B$212,2,0),"")</f>
        <v/>
      </c>
      <c r="J114" s="301" t="inlineStr">
        <is>
          <t>4838</t>
        </is>
      </c>
      <c r="K114" s="332">
        <f>IFERROR(VLOOKUP(TEXT(O114,"0"),CONDUCTORES!$A$3:$G$100,7,0),"")</f>
        <v/>
      </c>
      <c r="L114" s="245" t="n">
        <v>18.18</v>
      </c>
      <c r="M114" s="245" t="n">
        <v>5</v>
      </c>
      <c r="N114" s="333">
        <f>IFERROR(IF(L114*M114=0,"",L114*M114),"")</f>
        <v/>
      </c>
      <c r="O114" s="280" t="n"/>
      <c r="P114" s="332">
        <f>IFERROR(VLOOKUP(TEXT(O114,"0"),CONDUCTORES!$A$3:$G$100,2,0),"")</f>
        <v/>
      </c>
      <c r="Q114" s="332">
        <f>IFERROR(VLOOKUP(TEXT(O114,"0"),CONDUCTORES!$A$3:$H$100,6,0),"")</f>
        <v/>
      </c>
      <c r="R114" s="331" t="n">
        <v>45827</v>
      </c>
      <c r="S114" s="302" t="inlineStr">
        <is>
          <t>O141</t>
        </is>
      </c>
      <c r="T114" s="301" t="n"/>
      <c r="U114" s="334" t="n"/>
      <c r="V114" s="301" t="n"/>
      <c r="W114" s="301" t="n"/>
      <c r="X114" s="301" t="n"/>
      <c r="Y114" s="280" t="n"/>
    </row>
    <row r="115" ht="15.75" customHeight="1" s="195">
      <c r="A115" s="241" t="n">
        <v>60</v>
      </c>
      <c r="B115" s="305" t="inlineStr">
        <is>
          <t>00000008</t>
        </is>
      </c>
      <c r="C115" s="241" t="inlineStr">
        <is>
          <t>REGION</t>
        </is>
      </c>
      <c r="D115" s="305" t="inlineStr">
        <is>
          <t>TERRONES CARRERA PEDRO ENCARNACION</t>
        </is>
      </c>
      <c r="E115" s="241" t="inlineStr">
        <is>
          <t>DNI</t>
        </is>
      </c>
      <c r="F115" s="241" t="inlineStr">
        <is>
          <t>46168872</t>
        </is>
      </c>
      <c r="G115" s="336" t="n">
        <v>45803</v>
      </c>
      <c r="H115" s="241" t="inlineStr">
        <is>
          <t>4903</t>
        </is>
      </c>
      <c r="I115" s="332">
        <f>IFERROR(VLOOKUP(TEXT(H115,"0"),IPRESS!$A$3:$B$212,2,0),"")</f>
        <v/>
      </c>
      <c r="J115" s="241" t="inlineStr">
        <is>
          <t>4838</t>
        </is>
      </c>
      <c r="K115" s="332">
        <f>IFERROR(VLOOKUP(TEXT(O115,"0"),CONDUCTORES!$A$3:$G$100,7,0),"")</f>
        <v/>
      </c>
      <c r="L115" s="239" t="n">
        <v>18.18</v>
      </c>
      <c r="M115" s="239" t="n">
        <v>5</v>
      </c>
      <c r="N115" s="333">
        <f>IFERROR(IF(L115*M115=0,"",L115*M115),"")</f>
        <v/>
      </c>
      <c r="O115" s="334" t="n"/>
      <c r="P115" s="332">
        <f>IFERROR(VLOOKUP(TEXT(O115,"0"),CONDUCTORES!$A$3:$G$100,2,0),"")</f>
        <v/>
      </c>
      <c r="Q115" s="332">
        <f>IFERROR(VLOOKUP(TEXT(O115,"0"),CONDUCTORES!$A$3:$H$100,6,0),"")</f>
        <v/>
      </c>
      <c r="R115" s="336" t="n">
        <v>45939</v>
      </c>
      <c r="S115" s="305" t="inlineStr">
        <is>
          <t>S060</t>
        </is>
      </c>
      <c r="T115" s="241" t="n"/>
      <c r="U115" s="280" t="n"/>
      <c r="V115" s="241" t="n"/>
      <c r="W115" s="241" t="n"/>
      <c r="X115" s="241" t="n"/>
      <c r="Y115" s="280" t="n"/>
    </row>
    <row r="116" ht="15.75" customHeight="1" s="195">
      <c r="A116" s="301" t="n">
        <v>56</v>
      </c>
      <c r="B116" s="302" t="inlineStr">
        <is>
          <t>00000009</t>
        </is>
      </c>
      <c r="C116" s="301" t="inlineStr">
        <is>
          <t>REGION</t>
        </is>
      </c>
      <c r="D116" s="302" t="inlineStr">
        <is>
          <t>LOPEZ TACILLA EDITA</t>
        </is>
      </c>
      <c r="E116" s="301" t="inlineStr">
        <is>
          <t>DNI</t>
        </is>
      </c>
      <c r="F116" s="301" t="inlineStr">
        <is>
          <t>80562267</t>
        </is>
      </c>
      <c r="G116" s="331" t="n">
        <v>45808</v>
      </c>
      <c r="H116" s="301" t="inlineStr">
        <is>
          <t>4903</t>
        </is>
      </c>
      <c r="I116" s="332">
        <f>IFERROR(VLOOKUP(TEXT(H116,"0"),IPRESS!$A$3:$B$212,2,0),"")</f>
        <v/>
      </c>
      <c r="J116" s="301" t="inlineStr">
        <is>
          <t>4838</t>
        </is>
      </c>
      <c r="K116" s="332">
        <f>IFERROR(VLOOKUP(TEXT(O116,"0"),CONDUCTORES!$A$3:$G$100,7,0),"")</f>
        <v/>
      </c>
      <c r="L116" s="245" t="n">
        <v>18.18</v>
      </c>
      <c r="M116" s="245" t="n">
        <v>5</v>
      </c>
      <c r="N116" s="333">
        <f>IFERROR(IF(L116*M116=0,"",L116*M116),"")</f>
        <v/>
      </c>
      <c r="O116" s="280" t="n"/>
      <c r="P116" s="332">
        <f>IFERROR(VLOOKUP(TEXT(O116,"0"),CONDUCTORES!$A$3:$G$100,2,0),"")</f>
        <v/>
      </c>
      <c r="Q116" s="332">
        <f>IFERROR(VLOOKUP(TEXT(O116,"0"),CONDUCTORES!$A$3:$H$100,6,0),"")</f>
        <v/>
      </c>
      <c r="R116" s="331" t="n">
        <v>45939</v>
      </c>
      <c r="S116" s="302" t="inlineStr">
        <is>
          <t>S062,S639</t>
        </is>
      </c>
      <c r="T116" s="301" t="n"/>
      <c r="U116" s="334" t="n"/>
      <c r="V116" s="301" t="n"/>
      <c r="W116" s="301" t="n"/>
      <c r="X116" s="301" t="n"/>
      <c r="Y116" s="280" t="n"/>
    </row>
    <row r="117" ht="15.75" customHeight="1" s="195">
      <c r="A117" s="241" t="n">
        <v>57</v>
      </c>
      <c r="B117" s="305" t="inlineStr">
        <is>
          <t>00000014</t>
        </is>
      </c>
      <c r="C117" s="241" t="inlineStr">
        <is>
          <t>REGION</t>
        </is>
      </c>
      <c r="D117" s="305" t="inlineStr">
        <is>
          <t>POQUIOMA BAZAN LETY MELISA</t>
        </is>
      </c>
      <c r="E117" s="241" t="inlineStr">
        <is>
          <t>DNI</t>
        </is>
      </c>
      <c r="F117" s="241" t="inlineStr">
        <is>
          <t>60031305</t>
        </is>
      </c>
      <c r="G117" s="336" t="n">
        <v>45788</v>
      </c>
      <c r="H117" s="241" t="inlineStr">
        <is>
          <t>4904</t>
        </is>
      </c>
      <c r="I117" s="332">
        <f>IFERROR(VLOOKUP(TEXT(H117,"0"),IPRESS!$A$3:$B$212,2,0),"")</f>
        <v/>
      </c>
      <c r="J117" s="241" t="inlineStr">
        <is>
          <t>4838</t>
        </is>
      </c>
      <c r="K117" s="332">
        <f>IFERROR(VLOOKUP(TEXT(O117,"0"),CONDUCTORES!$A$3:$G$100,7,0),"")</f>
        <v/>
      </c>
      <c r="L117" s="239" t="n">
        <v>18.18</v>
      </c>
      <c r="M117" s="239" t="n">
        <v>6</v>
      </c>
      <c r="N117" s="333">
        <f>IFERROR(IF(L117*M117=0,"",L117*M117),"")</f>
        <v/>
      </c>
      <c r="O117" s="334" t="n"/>
      <c r="P117" s="332">
        <f>IFERROR(VLOOKUP(TEXT(O117,"0"),CONDUCTORES!$A$3:$G$100,2,0),"")</f>
        <v/>
      </c>
      <c r="Q117" s="332">
        <f>IFERROR(VLOOKUP(TEXT(O117,"0"),CONDUCTORES!$A$3:$H$100,6,0),"")</f>
        <v/>
      </c>
      <c r="R117" s="336" t="n">
        <v>45828</v>
      </c>
      <c r="S117" s="305" t="inlineStr">
        <is>
          <t>O331</t>
        </is>
      </c>
      <c r="T117" s="241" t="n"/>
      <c r="U117" s="280" t="n"/>
      <c r="V117" s="241" t="n"/>
      <c r="W117" s="241" t="n"/>
      <c r="X117" s="241" t="n"/>
      <c r="Y117" s="280" t="n"/>
    </row>
    <row r="118" ht="15.75" customHeight="1" s="195">
      <c r="A118" s="301" t="n">
        <v>58</v>
      </c>
      <c r="B118" s="302" t="inlineStr">
        <is>
          <t>00000016</t>
        </is>
      </c>
      <c r="C118" s="301" t="inlineStr">
        <is>
          <t>REGION</t>
        </is>
      </c>
      <c r="D118" s="302" t="inlineStr">
        <is>
          <t>CIEZA HERNANDEZ MELVA MAVILA</t>
        </is>
      </c>
      <c r="E118" s="301" t="inlineStr">
        <is>
          <t>DNI</t>
        </is>
      </c>
      <c r="F118" s="301" t="inlineStr">
        <is>
          <t>41823191</t>
        </is>
      </c>
      <c r="G118" s="331" t="n">
        <v>45805</v>
      </c>
      <c r="H118" s="301" t="inlineStr">
        <is>
          <t>4904</t>
        </is>
      </c>
      <c r="I118" s="332">
        <f>IFERROR(VLOOKUP(TEXT(H118,"0"),IPRESS!$A$3:$B$212,2,0),"")</f>
        <v/>
      </c>
      <c r="J118" s="301" t="inlineStr">
        <is>
          <t>4838</t>
        </is>
      </c>
      <c r="K118" s="332">
        <f>IFERROR(VLOOKUP(TEXT(O118,"0"),CONDUCTORES!$A$3:$G$100,7,0),"")</f>
        <v/>
      </c>
      <c r="L118" s="245" t="n">
        <v>18.18</v>
      </c>
      <c r="M118" s="245" t="n">
        <v>6</v>
      </c>
      <c r="N118" s="333">
        <f>IFERROR(IF(L118*M118=0,"",L118*M118),"")</f>
        <v/>
      </c>
      <c r="O118" s="280" t="n"/>
      <c r="P118" s="332">
        <f>IFERROR(VLOOKUP(TEXT(O118,"0"),CONDUCTORES!$A$3:$G$100,2,0),"")</f>
        <v/>
      </c>
      <c r="Q118" s="332">
        <f>IFERROR(VLOOKUP(TEXT(O118,"0"),CONDUCTORES!$A$3:$H$100,6,0),"")</f>
        <v/>
      </c>
      <c r="R118" s="331" t="n">
        <v>45828</v>
      </c>
      <c r="S118" s="302" t="inlineStr">
        <is>
          <t>O342</t>
        </is>
      </c>
      <c r="T118" s="301" t="n"/>
      <c r="U118" s="334" t="n"/>
      <c r="V118" s="301" t="n"/>
      <c r="W118" s="301" t="n"/>
      <c r="X118" s="301" t="n"/>
      <c r="Y118" s="280" t="n"/>
    </row>
    <row r="119" ht="15" customHeight="1" s="195">
      <c r="A119" s="334" t="n"/>
      <c r="B119" s="334" t="n"/>
      <c r="C119" s="334" t="n"/>
      <c r="D119" s="334" t="n"/>
      <c r="E119" s="334" t="n"/>
      <c r="F119" s="334" t="n"/>
      <c r="G119" s="334" t="n"/>
      <c r="H119" s="334" t="n"/>
      <c r="I119" s="332">
        <f>IFERROR(VLOOKUP(TEXT(H119,"0"),IPRESS!$A$3:$B$212,2,0),"")</f>
        <v/>
      </c>
      <c r="J119" s="334" t="n"/>
      <c r="K119" s="332">
        <f>IFERROR(VLOOKUP(TEXT(O119,"0"),CONDUCTORES!$A$3:$G$54,7,0),"")</f>
        <v/>
      </c>
      <c r="L119" s="334" t="n"/>
      <c r="M119" s="334" t="n"/>
      <c r="N119" s="333">
        <f>IFERROR(IF(L119*M119=0,"",L119*M119),"")</f>
        <v/>
      </c>
      <c r="O119" s="334" t="n"/>
      <c r="P119" s="332">
        <f>IFERROR(VLOOKUP(TEXT(O119,"0"),CONDUCTORES!$A$3:$G$54,2,0),"")</f>
        <v/>
      </c>
      <c r="Q119" s="332">
        <f>IFERROR(VLOOKUP(TEXT(O119,"0"),CONDUCTORES!$A$3:$H$54,6,0),"")</f>
        <v/>
      </c>
      <c r="R119" s="334" t="n"/>
      <c r="S119" s="334" t="n"/>
      <c r="T119" s="334" t="n"/>
      <c r="U119" s="334" t="n"/>
      <c r="V119" s="334" t="n"/>
      <c r="W119" s="334" t="n"/>
      <c r="X119" s="334" t="n"/>
      <c r="Y119" s="334" t="n"/>
    </row>
    <row r="120" ht="24" customHeight="1" s="195">
      <c r="A120" s="342" t="inlineStr">
        <is>
          <t>SUBTOTAL (cambia al filtrar por EESS) →</t>
        </is>
      </c>
      <c r="K120" s="343" t="n"/>
      <c r="L120" s="280" t="n"/>
      <c r="M120" s="344">
        <f>SUBTOTAL(9,M4:M118)</f>
        <v/>
      </c>
      <c r="N120" s="344">
        <f>SUBTOTAL(9,N4:N118)</f>
        <v/>
      </c>
      <c r="O120" s="280" t="n"/>
      <c r="P120" s="332">
        <f>IFERROR(VLOOKUP(TEXT(O120,"0"),CONDUCTORES!$A$3:$G$100,2,0),"")</f>
        <v/>
      </c>
      <c r="Q120" s="332">
        <f>IFERROR(VLOOKUP(TEXT(O120,"0"),CONDUCTORES!$A$3:$H$100,6,0),"")</f>
        <v/>
      </c>
      <c r="R120" s="280" t="n"/>
      <c r="S120" s="280" t="n"/>
      <c r="T120" s="280" t="n"/>
      <c r="U120" s="280" t="n"/>
      <c r="V120" s="280" t="n"/>
      <c r="W120" s="280" t="n"/>
      <c r="X120" s="280" t="n"/>
      <c r="Y120" s="280" t="n"/>
    </row>
    <row r="121" ht="15" customHeight="1" s="195">
      <c r="A121" s="334" t="n"/>
      <c r="B121" s="334" t="n"/>
      <c r="C121" s="334" t="n"/>
      <c r="D121" s="334" t="n"/>
      <c r="E121" s="334" t="n"/>
      <c r="F121" s="334" t="n"/>
      <c r="G121" s="334" t="n"/>
      <c r="H121" s="334" t="n"/>
      <c r="I121" s="343" t="n"/>
      <c r="J121" s="334" t="n"/>
      <c r="K121" s="343" t="n"/>
      <c r="L121" s="334" t="n"/>
      <c r="M121" s="334" t="n"/>
      <c r="N121" s="345" t="n"/>
      <c r="O121" s="334" t="n"/>
      <c r="P121" s="343" t="n"/>
      <c r="Q121" s="343" t="n"/>
      <c r="R121" s="334" t="n"/>
      <c r="S121" s="334" t="n"/>
      <c r="T121" s="334" t="n"/>
      <c r="U121" s="334" t="n"/>
      <c r="V121" s="334" t="n"/>
      <c r="W121" s="334" t="n"/>
      <c r="X121" s="334" t="n"/>
      <c r="Y121" s="334" t="n"/>
    </row>
    <row r="122" ht="15" customHeight="1" s="195">
      <c r="A122" s="280" t="n"/>
      <c r="B122" s="280" t="n"/>
      <c r="C122" s="280" t="n"/>
      <c r="D122" s="280" t="n"/>
      <c r="E122" s="280" t="n"/>
      <c r="F122" s="280" t="n"/>
      <c r="G122" s="280" t="n"/>
      <c r="H122" s="280" t="n"/>
      <c r="I122" s="343" t="n"/>
      <c r="J122" s="280" t="n"/>
      <c r="K122" s="343" t="n"/>
      <c r="L122" s="280" t="n"/>
      <c r="M122" s="280" t="n"/>
      <c r="N122" s="345" t="n"/>
      <c r="O122" s="280" t="n"/>
      <c r="P122" s="343" t="n"/>
      <c r="Q122" s="343" t="n"/>
      <c r="R122" s="280" t="n"/>
      <c r="S122" s="280" t="n"/>
      <c r="T122" s="280" t="n"/>
      <c r="U122" s="280" t="n"/>
      <c r="V122" s="280" t="n"/>
      <c r="W122" s="280" t="n"/>
      <c r="X122" s="280" t="n"/>
      <c r="Y122" s="280" t="n"/>
    </row>
    <row r="123" ht="15" customHeight="1" s="195">
      <c r="A123" s="334" t="n"/>
      <c r="B123" s="334" t="n"/>
      <c r="C123" s="334" t="n"/>
      <c r="D123" s="334" t="n"/>
      <c r="E123" s="334" t="n"/>
      <c r="F123" s="334" t="n"/>
      <c r="G123" s="334" t="n"/>
      <c r="H123" s="334" t="n"/>
      <c r="I123" s="343" t="n"/>
      <c r="J123" s="334" t="n"/>
      <c r="K123" s="343" t="n"/>
      <c r="L123" s="334" t="n"/>
      <c r="M123" s="334" t="n"/>
      <c r="N123" s="345" t="n"/>
      <c r="O123" s="334" t="n"/>
      <c r="P123" s="343" t="n"/>
      <c r="Q123" s="343" t="n"/>
      <c r="R123" s="334" t="n"/>
      <c r="S123" s="334" t="n"/>
      <c r="T123" s="334" t="n"/>
      <c r="U123" s="334" t="n"/>
      <c r="V123" s="334" t="n"/>
      <c r="W123" s="334" t="n"/>
      <c r="X123" s="334" t="n"/>
      <c r="Y123" s="334" t="n"/>
    </row>
    <row r="124" ht="15" customHeight="1" s="195">
      <c r="A124" s="280" t="n"/>
      <c r="B124" s="280" t="n"/>
      <c r="C124" s="280" t="n"/>
      <c r="D124" s="280" t="n"/>
      <c r="E124" s="280" t="n"/>
      <c r="F124" s="280" t="n"/>
      <c r="G124" s="280" t="n"/>
      <c r="H124" s="280" t="n"/>
      <c r="I124" s="343" t="n"/>
      <c r="J124" s="280" t="n"/>
      <c r="K124" s="343" t="n"/>
      <c r="L124" s="280" t="n"/>
      <c r="M124" s="280" t="n"/>
      <c r="N124" s="345" t="n"/>
      <c r="O124" s="280" t="n"/>
      <c r="P124" s="343" t="n"/>
      <c r="Q124" s="343" t="n"/>
      <c r="R124" s="280" t="n"/>
      <c r="S124" s="280" t="n"/>
      <c r="T124" s="280" t="n"/>
      <c r="U124" s="280" t="n"/>
      <c r="V124" s="280" t="n"/>
      <c r="W124" s="280" t="n"/>
      <c r="X124" s="280" t="n"/>
      <c r="Y124" s="280" t="n"/>
    </row>
    <row r="125" ht="15" customHeight="1" s="195">
      <c r="A125" s="334" t="n"/>
      <c r="B125" s="334" t="n"/>
      <c r="C125" s="334" t="n"/>
      <c r="D125" s="334" t="n"/>
      <c r="E125" s="334" t="n"/>
      <c r="F125" s="334" t="n"/>
      <c r="G125" s="334" t="n"/>
      <c r="H125" s="334" t="n"/>
      <c r="I125" s="332">
        <f>IFERROR(VLOOKUP(TEXT(H125,"0"),IPRESS!$A$3:$B$212,2,0),"")</f>
        <v/>
      </c>
      <c r="J125" s="334" t="n"/>
      <c r="K125" s="332">
        <f>IFERROR(VLOOKUP(TEXT(O125,"0"),CONDUCTORES!$A$3:$G$54,7,0),"")</f>
        <v/>
      </c>
      <c r="L125" s="334" t="n"/>
      <c r="M125" s="334" t="n"/>
      <c r="N125" s="333">
        <f>IFERROR(IF(L125*M125=0,"",L125*M125),"")</f>
        <v/>
      </c>
      <c r="O125" s="334" t="n"/>
      <c r="P125" s="332">
        <f>IFERROR(VLOOKUP(TEXT(O125,"0"),CONDUCTORES!$A$3:$G$54,2,0),"")</f>
        <v/>
      </c>
      <c r="Q125" s="332">
        <f>IFERROR(VLOOKUP(TEXT(O125,"0"),CONDUCTORES!$A$3:$H$54,6,0),"")</f>
        <v/>
      </c>
      <c r="R125" s="334" t="n"/>
      <c r="S125" s="334" t="n"/>
      <c r="T125" s="334" t="n"/>
      <c r="U125" s="334" t="n"/>
      <c r="V125" s="334" t="n"/>
      <c r="W125" s="334" t="n"/>
      <c r="X125" s="334" t="n"/>
      <c r="Y125" s="334" t="n"/>
    </row>
    <row r="126" ht="15" customHeight="1" s="195">
      <c r="A126" s="280" t="n"/>
      <c r="B126" s="280" t="n"/>
      <c r="C126" s="280" t="n"/>
      <c r="D126" s="280" t="n"/>
      <c r="E126" s="280" t="n"/>
      <c r="F126" s="280" t="n"/>
      <c r="G126" s="280" t="n"/>
      <c r="H126" s="280" t="n"/>
      <c r="I126" s="332">
        <f>IFERROR(VLOOKUP(TEXT(H126,"0"),IPRESS!$A$3:$B$212,2,0),"")</f>
        <v/>
      </c>
      <c r="J126" s="280" t="n"/>
      <c r="K126" s="332">
        <f>IFERROR(VLOOKUP(TEXT(O126,"0"),CONDUCTORES!$A$3:$G$54,7,0),"")</f>
        <v/>
      </c>
      <c r="L126" s="280" t="n"/>
      <c r="M126" s="280" t="n"/>
      <c r="N126" s="333">
        <f>IFERROR(IF(L126*M126=0,"",L126*M126),"")</f>
        <v/>
      </c>
      <c r="O126" s="280" t="n"/>
      <c r="P126" s="332">
        <f>IFERROR(VLOOKUP(TEXT(O126,"0"),CONDUCTORES!$A$3:$G$54,2,0),"")</f>
        <v/>
      </c>
      <c r="Q126" s="332">
        <f>IFERROR(VLOOKUP(TEXT(O126,"0"),CONDUCTORES!$A$3:$H$54,6,0),"")</f>
        <v/>
      </c>
      <c r="R126" s="280" t="n"/>
      <c r="S126" s="280" t="n"/>
      <c r="T126" s="280" t="n"/>
      <c r="U126" s="280" t="n"/>
      <c r="V126" s="280" t="n"/>
      <c r="W126" s="280" t="n"/>
      <c r="X126" s="280" t="n"/>
      <c r="Y126" s="280" t="n"/>
    </row>
    <row r="127" ht="15" customHeight="1" s="195">
      <c r="A127" s="334" t="n"/>
      <c r="B127" s="334" t="n"/>
      <c r="C127" s="334" t="n"/>
      <c r="D127" s="334" t="n"/>
      <c r="E127" s="334" t="n"/>
      <c r="F127" s="334" t="n"/>
      <c r="G127" s="334" t="n"/>
      <c r="H127" s="334" t="n"/>
      <c r="I127" s="332">
        <f>IFERROR(VLOOKUP(TEXT(H127,"0"),IPRESS!$A$3:$B$212,2,0),"")</f>
        <v/>
      </c>
      <c r="J127" s="334" t="n"/>
      <c r="K127" s="332">
        <f>IFERROR(VLOOKUP(TEXT(O127,"0"),CONDUCTORES!$A$3:$G$54,7,0),"")</f>
        <v/>
      </c>
      <c r="L127" s="334" t="n"/>
      <c r="M127" s="334" t="n"/>
      <c r="N127" s="333">
        <f>IFERROR(IF(L127*M127=0,"",L127*M127),"")</f>
        <v/>
      </c>
      <c r="O127" s="334" t="n"/>
      <c r="P127" s="332">
        <f>IFERROR(VLOOKUP(TEXT(O127,"0"),CONDUCTORES!$A$3:$G$54,2,0),"")</f>
        <v/>
      </c>
      <c r="Q127" s="332">
        <f>IFERROR(VLOOKUP(TEXT(O127,"0"),CONDUCTORES!$A$3:$H$54,6,0),"")</f>
        <v/>
      </c>
      <c r="R127" s="334" t="n"/>
      <c r="S127" s="334" t="n"/>
      <c r="T127" s="334" t="n"/>
      <c r="U127" s="334" t="n"/>
      <c r="V127" s="334" t="n"/>
      <c r="W127" s="334" t="n"/>
      <c r="X127" s="334" t="n"/>
      <c r="Y127" s="334" t="n"/>
    </row>
    <row r="128" ht="15" customHeight="1" s="195">
      <c r="A128" s="280" t="n"/>
      <c r="B128" s="280" t="n"/>
      <c r="C128" s="280" t="n"/>
      <c r="D128" s="280" t="n"/>
      <c r="E128" s="280" t="n"/>
      <c r="F128" s="280" t="n"/>
      <c r="G128" s="280" t="n"/>
      <c r="H128" s="280" t="n"/>
      <c r="I128" s="332">
        <f>IFERROR(VLOOKUP(TEXT(H128,"0"),IPRESS!$A$3:$B$212,2,0),"")</f>
        <v/>
      </c>
      <c r="J128" s="280" t="n"/>
      <c r="K128" s="332">
        <f>IFERROR(VLOOKUP(TEXT(O128,"0"),CONDUCTORES!$A$3:$G$54,7,0),"")</f>
        <v/>
      </c>
      <c r="L128" s="280" t="n"/>
      <c r="M128" s="280" t="n"/>
      <c r="N128" s="333">
        <f>IFERROR(IF(L128*M128=0,"",L128*M128),"")</f>
        <v/>
      </c>
      <c r="O128" s="280" t="n"/>
      <c r="P128" s="332">
        <f>IFERROR(VLOOKUP(TEXT(O128,"0"),CONDUCTORES!$A$3:$G$54,2,0),"")</f>
        <v/>
      </c>
      <c r="Q128" s="332">
        <f>IFERROR(VLOOKUP(TEXT(O128,"0"),CONDUCTORES!$A$3:$H$54,6,0),"")</f>
        <v/>
      </c>
      <c r="R128" s="280" t="n"/>
      <c r="S128" s="280" t="n"/>
      <c r="T128" s="280" t="n"/>
      <c r="U128" s="280" t="n"/>
      <c r="V128" s="280" t="n"/>
      <c r="W128" s="280" t="n"/>
      <c r="X128" s="280" t="n"/>
      <c r="Y128" s="280" t="n"/>
    </row>
    <row r="129" ht="15" customHeight="1" s="195">
      <c r="A129" s="334" t="n"/>
      <c r="B129" s="334" t="n"/>
      <c r="C129" s="334" t="n"/>
      <c r="D129" s="334" t="n"/>
      <c r="E129" s="334" t="n"/>
      <c r="F129" s="334" t="n"/>
      <c r="G129" s="334" t="n"/>
      <c r="H129" s="334" t="n"/>
      <c r="I129" s="332">
        <f>IFERROR(VLOOKUP(TEXT(H129,"0"),IPRESS!$A$3:$B$212,2,0),"")</f>
        <v/>
      </c>
      <c r="J129" s="334" t="n"/>
      <c r="K129" s="332">
        <f>IFERROR(VLOOKUP(TEXT(O129,"0"),CONDUCTORES!$A$3:$G$54,7,0),"")</f>
        <v/>
      </c>
      <c r="L129" s="334" t="n"/>
      <c r="M129" s="334" t="n"/>
      <c r="N129" s="333">
        <f>IFERROR(IF(L129*M129=0,"",L129*M129),"")</f>
        <v/>
      </c>
      <c r="O129" s="334" t="n"/>
      <c r="P129" s="332">
        <f>IFERROR(VLOOKUP(TEXT(O129,"0"),CONDUCTORES!$A$3:$G$54,2,0),"")</f>
        <v/>
      </c>
      <c r="Q129" s="332">
        <f>IFERROR(VLOOKUP(TEXT(O129,"0"),CONDUCTORES!$A$3:$H$54,6,0),"")</f>
        <v/>
      </c>
      <c r="R129" s="334" t="n"/>
      <c r="S129" s="334" t="n"/>
      <c r="T129" s="334" t="n"/>
      <c r="U129" s="334" t="n"/>
      <c r="V129" s="334" t="n"/>
      <c r="W129" s="334" t="n"/>
      <c r="X129" s="334" t="n"/>
      <c r="Y129" s="334" t="n"/>
    </row>
    <row r="130" ht="15" customHeight="1" s="195">
      <c r="A130" s="280" t="n"/>
      <c r="B130" s="280" t="n"/>
      <c r="C130" s="280" t="n"/>
      <c r="D130" s="280" t="n"/>
      <c r="E130" s="280" t="n"/>
      <c r="F130" s="280" t="n"/>
      <c r="G130" s="280" t="n"/>
      <c r="H130" s="280" t="n"/>
      <c r="I130" s="332">
        <f>IFERROR(VLOOKUP(TEXT(H130,"0"),IPRESS!$A$3:$B$212,2,0),"")</f>
        <v/>
      </c>
      <c r="J130" s="280" t="n"/>
      <c r="K130" s="332">
        <f>IFERROR(VLOOKUP(TEXT(O130,"0"),CONDUCTORES!$A$3:$G$54,7,0),"")</f>
        <v/>
      </c>
      <c r="L130" s="280" t="n"/>
      <c r="M130" s="280" t="n"/>
      <c r="N130" s="333">
        <f>IFERROR(IF(L130*M130=0,"",L130*M130),"")</f>
        <v/>
      </c>
      <c r="O130" s="280" t="n"/>
      <c r="P130" s="332">
        <f>IFERROR(VLOOKUP(TEXT(O130,"0"),CONDUCTORES!$A$3:$G$54,2,0),"")</f>
        <v/>
      </c>
      <c r="Q130" s="332">
        <f>IFERROR(VLOOKUP(TEXT(O130,"0"),CONDUCTORES!$A$3:$H$54,6,0),"")</f>
        <v/>
      </c>
      <c r="R130" s="280" t="n"/>
      <c r="S130" s="280" t="n"/>
      <c r="T130" s="280" t="n"/>
      <c r="U130" s="280" t="n"/>
      <c r="V130" s="280" t="n"/>
      <c r="W130" s="280" t="n"/>
      <c r="X130" s="280" t="n"/>
      <c r="Y130" s="280" t="n"/>
    </row>
    <row r="131" ht="15" customHeight="1" s="195">
      <c r="A131" s="334" t="n"/>
      <c r="B131" s="334" t="n"/>
      <c r="C131" s="334" t="n"/>
      <c r="D131" s="334" t="n"/>
      <c r="E131" s="334" t="n"/>
      <c r="F131" s="334" t="n"/>
      <c r="G131" s="334" t="n"/>
      <c r="H131" s="334" t="n"/>
      <c r="I131" s="332">
        <f>IFERROR(VLOOKUP(TEXT(H131,"0"),IPRESS!$A$3:$B$212,2,0),"")</f>
        <v/>
      </c>
      <c r="J131" s="334" t="n"/>
      <c r="K131" s="332">
        <f>IFERROR(VLOOKUP(TEXT(O131,"0"),CONDUCTORES!$A$3:$G$54,7,0),"")</f>
        <v/>
      </c>
      <c r="L131" s="334" t="n"/>
      <c r="M131" s="334" t="n"/>
      <c r="N131" s="333">
        <f>IFERROR(IF(L131*M131=0,"",L131*M131),"")</f>
        <v/>
      </c>
      <c r="O131" s="334" t="n"/>
      <c r="P131" s="332">
        <f>IFERROR(VLOOKUP(TEXT(O131,"0"),CONDUCTORES!$A$3:$G$54,2,0),"")</f>
        <v/>
      </c>
      <c r="Q131" s="332">
        <f>IFERROR(VLOOKUP(TEXT(O131,"0"),CONDUCTORES!$A$3:$H$54,6,0),"")</f>
        <v/>
      </c>
      <c r="R131" s="334" t="n"/>
      <c r="S131" s="334" t="n"/>
      <c r="T131" s="334" t="n"/>
      <c r="U131" s="334" t="n"/>
      <c r="V131" s="334" t="n"/>
      <c r="W131" s="334" t="n"/>
      <c r="X131" s="334" t="n"/>
      <c r="Y131" s="334" t="n"/>
    </row>
    <row r="132" ht="15" customHeight="1" s="195">
      <c r="A132" s="280" t="n"/>
      <c r="B132" s="280" t="n"/>
      <c r="C132" s="280" t="n"/>
      <c r="D132" s="280" t="n"/>
      <c r="E132" s="280" t="n"/>
      <c r="F132" s="280" t="n"/>
      <c r="G132" s="280" t="n"/>
      <c r="H132" s="280" t="n"/>
      <c r="I132" s="332">
        <f>IFERROR(VLOOKUP(TEXT(H132,"0"),IPRESS!$A$3:$B$212,2,0),"")</f>
        <v/>
      </c>
      <c r="J132" s="280" t="n"/>
      <c r="K132" s="332">
        <f>IFERROR(VLOOKUP(TEXT(O132,"0"),CONDUCTORES!$A$3:$G$54,7,0),"")</f>
        <v/>
      </c>
      <c r="L132" s="280" t="n"/>
      <c r="M132" s="280" t="n"/>
      <c r="N132" s="333">
        <f>IFERROR(IF(L132*M132=0,"",L132*M132),"")</f>
        <v/>
      </c>
      <c r="O132" s="280" t="n"/>
      <c r="P132" s="332">
        <f>IFERROR(VLOOKUP(TEXT(O132,"0"),CONDUCTORES!$A$3:$G$54,2,0),"")</f>
        <v/>
      </c>
      <c r="Q132" s="332">
        <f>IFERROR(VLOOKUP(TEXT(O132,"0"),CONDUCTORES!$A$3:$H$54,6,0),"")</f>
        <v/>
      </c>
      <c r="R132" s="280" t="n"/>
      <c r="S132" s="280" t="n"/>
      <c r="T132" s="280" t="n"/>
      <c r="U132" s="280" t="n"/>
      <c r="V132" s="280" t="n"/>
      <c r="W132" s="280" t="n"/>
      <c r="X132" s="280" t="n"/>
      <c r="Y132" s="280" t="n"/>
    </row>
    <row r="133" ht="15" customHeight="1" s="195">
      <c r="A133" s="334" t="n"/>
      <c r="B133" s="334" t="n"/>
      <c r="C133" s="334" t="n"/>
      <c r="D133" s="334" t="n"/>
      <c r="E133" s="334" t="n"/>
      <c r="F133" s="334" t="n"/>
      <c r="G133" s="334" t="n"/>
      <c r="H133" s="334" t="n"/>
      <c r="I133" s="332">
        <f>IFERROR(VLOOKUP(TEXT(H133,"0"),IPRESS!$A$3:$B$212,2,0),"")</f>
        <v/>
      </c>
      <c r="J133" s="334" t="n"/>
      <c r="K133" s="332">
        <f>IFERROR(VLOOKUP(TEXT(O133,"0"),CONDUCTORES!$A$3:$G$54,7,0),"")</f>
        <v/>
      </c>
      <c r="L133" s="334" t="n"/>
      <c r="M133" s="334" t="n"/>
      <c r="N133" s="333">
        <f>IFERROR(IF(L133*M133=0,"",L133*M133),"")</f>
        <v/>
      </c>
      <c r="O133" s="334" t="n"/>
      <c r="P133" s="332">
        <f>IFERROR(VLOOKUP(TEXT(O133,"0"),CONDUCTORES!$A$3:$G$54,2,0),"")</f>
        <v/>
      </c>
      <c r="Q133" s="332">
        <f>IFERROR(VLOOKUP(TEXT(O133,"0"),CONDUCTORES!$A$3:$H$54,6,0),"")</f>
        <v/>
      </c>
      <c r="R133" s="334" t="n"/>
      <c r="S133" s="334" t="n"/>
      <c r="T133" s="334" t="n"/>
      <c r="U133" s="334" t="n"/>
      <c r="V133" s="334" t="n"/>
      <c r="W133" s="334" t="n"/>
      <c r="X133" s="334" t="n"/>
      <c r="Y133" s="334" t="n"/>
    </row>
    <row r="134" ht="15" customHeight="1" s="195">
      <c r="A134" s="280" t="n"/>
      <c r="B134" s="280" t="n"/>
      <c r="C134" s="280" t="n"/>
      <c r="D134" s="280" t="n"/>
      <c r="E134" s="280" t="n"/>
      <c r="F134" s="280" t="n"/>
      <c r="G134" s="280" t="n"/>
      <c r="H134" s="280" t="n"/>
      <c r="I134" s="332">
        <f>IFERROR(VLOOKUP(TEXT(H134,"0"),IPRESS!$A$3:$B$212,2,0),"")</f>
        <v/>
      </c>
      <c r="J134" s="280" t="n"/>
      <c r="K134" s="332">
        <f>IFERROR(VLOOKUP(TEXT(O134,"0"),CONDUCTORES!$A$3:$G$54,7,0),"")</f>
        <v/>
      </c>
      <c r="L134" s="280" t="n"/>
      <c r="M134" s="280" t="n"/>
      <c r="N134" s="333">
        <f>IFERROR(IF(L134*M134=0,"",L134*M134),"")</f>
        <v/>
      </c>
      <c r="O134" s="280" t="n"/>
      <c r="P134" s="332">
        <f>IFERROR(VLOOKUP(TEXT(O134,"0"),CONDUCTORES!$A$3:$G$54,2,0),"")</f>
        <v/>
      </c>
      <c r="Q134" s="332">
        <f>IFERROR(VLOOKUP(TEXT(O134,"0"),CONDUCTORES!$A$3:$H$54,6,0),"")</f>
        <v/>
      </c>
      <c r="R134" s="280" t="n"/>
      <c r="S134" s="280" t="n"/>
      <c r="T134" s="280" t="n"/>
      <c r="U134" s="280" t="n"/>
      <c r="V134" s="280" t="n"/>
      <c r="W134" s="280" t="n"/>
      <c r="X134" s="280" t="n"/>
      <c r="Y134" s="280" t="n"/>
    </row>
    <row r="135" ht="15" customHeight="1" s="195">
      <c r="A135" s="334" t="n"/>
      <c r="B135" s="334" t="n"/>
      <c r="C135" s="334" t="n"/>
      <c r="D135" s="334" t="n"/>
      <c r="E135" s="334" t="n"/>
      <c r="F135" s="334" t="n"/>
      <c r="G135" s="334" t="n"/>
      <c r="H135" s="334" t="n"/>
      <c r="I135" s="332">
        <f>IFERROR(VLOOKUP(TEXT(H135,"0"),IPRESS!$A$3:$B$212,2,0),"")</f>
        <v/>
      </c>
      <c r="J135" s="334" t="n"/>
      <c r="K135" s="332">
        <f>IFERROR(VLOOKUP(TEXT(O135,"0"),CONDUCTORES!$A$3:$G$54,7,0),"")</f>
        <v/>
      </c>
      <c r="L135" s="334" t="n"/>
      <c r="M135" s="334" t="n"/>
      <c r="N135" s="333">
        <f>IFERROR(IF(L135*M135=0,"",L135*M135),"")</f>
        <v/>
      </c>
      <c r="O135" s="334" t="n"/>
      <c r="P135" s="332">
        <f>IFERROR(VLOOKUP(TEXT(O135,"0"),CONDUCTORES!$A$3:$G$54,2,0),"")</f>
        <v/>
      </c>
      <c r="Q135" s="332">
        <f>IFERROR(VLOOKUP(TEXT(O135,"0"),CONDUCTORES!$A$3:$H$54,6,0),"")</f>
        <v/>
      </c>
      <c r="R135" s="334" t="n"/>
      <c r="S135" s="334" t="n"/>
      <c r="T135" s="334" t="n"/>
      <c r="U135" s="334" t="n"/>
      <c r="V135" s="334" t="n"/>
      <c r="W135" s="334" t="n"/>
      <c r="X135" s="334" t="n"/>
      <c r="Y135" s="334" t="n"/>
    </row>
    <row r="136" ht="15" customHeight="1" s="195">
      <c r="A136" s="280" t="n"/>
      <c r="B136" s="280" t="n"/>
      <c r="C136" s="280" t="n"/>
      <c r="D136" s="280" t="n"/>
      <c r="E136" s="280" t="n"/>
      <c r="F136" s="280" t="n"/>
      <c r="G136" s="280" t="n"/>
      <c r="H136" s="280" t="n"/>
      <c r="I136" s="332">
        <f>IFERROR(VLOOKUP(TEXT(H136,"0"),IPRESS!$A$3:$B$212,2,0),"")</f>
        <v/>
      </c>
      <c r="J136" s="280" t="n"/>
      <c r="K136" s="332">
        <f>IFERROR(VLOOKUP(TEXT(O136,"0"),CONDUCTORES!$A$3:$G$54,7,0),"")</f>
        <v/>
      </c>
      <c r="L136" s="280" t="n"/>
      <c r="M136" s="280" t="n"/>
      <c r="N136" s="333">
        <f>IFERROR(IF(L136*M136=0,"",L136*M136),"")</f>
        <v/>
      </c>
      <c r="O136" s="280" t="n"/>
      <c r="P136" s="332">
        <f>IFERROR(VLOOKUP(TEXT(O136,"0"),CONDUCTORES!$A$3:$G$54,2,0),"")</f>
        <v/>
      </c>
      <c r="Q136" s="332">
        <f>IFERROR(VLOOKUP(TEXT(O136,"0"),CONDUCTORES!$A$3:$H$54,6,0),"")</f>
        <v/>
      </c>
      <c r="R136" s="280" t="n"/>
      <c r="S136" s="280" t="n"/>
      <c r="T136" s="280" t="n"/>
      <c r="U136" s="280" t="n"/>
      <c r="V136" s="280" t="n"/>
      <c r="W136" s="280" t="n"/>
      <c r="X136" s="280" t="n"/>
      <c r="Y136" s="280" t="n"/>
    </row>
    <row r="137" ht="15" customHeight="1" s="195">
      <c r="A137" s="334" t="n"/>
      <c r="B137" s="334" t="n"/>
      <c r="C137" s="334" t="n"/>
      <c r="D137" s="334" t="n"/>
      <c r="E137" s="334" t="n"/>
      <c r="F137" s="334" t="n"/>
      <c r="G137" s="334" t="n"/>
      <c r="H137" s="334" t="n"/>
      <c r="I137" s="332">
        <f>IFERROR(VLOOKUP(TEXT(H137,"0"),IPRESS!$A$3:$B$212,2,0),"")</f>
        <v/>
      </c>
      <c r="J137" s="334" t="n"/>
      <c r="K137" s="332">
        <f>IFERROR(VLOOKUP(TEXT(O137,"0"),CONDUCTORES!$A$3:$G$54,7,0),"")</f>
        <v/>
      </c>
      <c r="L137" s="334" t="n"/>
      <c r="M137" s="334" t="n"/>
      <c r="N137" s="333">
        <f>IFERROR(IF(L137*M137=0,"",L137*M137),"")</f>
        <v/>
      </c>
      <c r="O137" s="334" t="n"/>
      <c r="P137" s="332">
        <f>IFERROR(VLOOKUP(TEXT(O137,"0"),CONDUCTORES!$A$3:$G$54,2,0),"")</f>
        <v/>
      </c>
      <c r="Q137" s="332">
        <f>IFERROR(VLOOKUP(TEXT(O137,"0"),CONDUCTORES!$A$3:$H$54,6,0),"")</f>
        <v/>
      </c>
      <c r="R137" s="334" t="n"/>
      <c r="S137" s="334" t="n"/>
      <c r="T137" s="334" t="n"/>
      <c r="U137" s="334" t="n"/>
      <c r="V137" s="334" t="n"/>
      <c r="W137" s="334" t="n"/>
      <c r="X137" s="334" t="n"/>
      <c r="Y137" s="334" t="n"/>
    </row>
    <row r="138" ht="15" customHeight="1" s="195">
      <c r="A138" s="280" t="n"/>
      <c r="B138" s="280" t="n"/>
      <c r="C138" s="280" t="n"/>
      <c r="D138" s="280" t="n"/>
      <c r="E138" s="280" t="n"/>
      <c r="F138" s="280" t="n"/>
      <c r="G138" s="280" t="n"/>
      <c r="H138" s="280" t="n"/>
      <c r="I138" s="332">
        <f>IFERROR(VLOOKUP(TEXT(H138,"0"),IPRESS!$A$3:$B$212,2,0),"")</f>
        <v/>
      </c>
      <c r="J138" s="280" t="n"/>
      <c r="K138" s="332">
        <f>IFERROR(VLOOKUP(TEXT(O138,"0"),CONDUCTORES!$A$3:$G$54,7,0),"")</f>
        <v/>
      </c>
      <c r="L138" s="280" t="n"/>
      <c r="M138" s="280" t="n"/>
      <c r="N138" s="333">
        <f>IFERROR(IF(L138*M138=0,"",L138*M138),"")</f>
        <v/>
      </c>
      <c r="O138" s="280" t="n"/>
      <c r="P138" s="332">
        <f>IFERROR(VLOOKUP(TEXT(O138,"0"),CONDUCTORES!$A$3:$G$54,2,0),"")</f>
        <v/>
      </c>
      <c r="Q138" s="332">
        <f>IFERROR(VLOOKUP(TEXT(O138,"0"),CONDUCTORES!$A$3:$H$54,6,0),"")</f>
        <v/>
      </c>
      <c r="R138" s="280" t="n"/>
      <c r="S138" s="280" t="n"/>
      <c r="T138" s="280" t="n"/>
      <c r="U138" s="280" t="n"/>
      <c r="V138" s="280" t="n"/>
      <c r="W138" s="280" t="n"/>
      <c r="X138" s="280" t="n"/>
      <c r="Y138" s="280" t="n"/>
    </row>
    <row r="139" ht="15" customHeight="1" s="195">
      <c r="A139" s="334" t="n"/>
      <c r="B139" s="334" t="n"/>
      <c r="C139" s="334" t="n"/>
      <c r="D139" s="334" t="n"/>
      <c r="E139" s="334" t="n"/>
      <c r="F139" s="334" t="n"/>
      <c r="G139" s="334" t="n"/>
      <c r="H139" s="334" t="n"/>
      <c r="I139" s="332">
        <f>IFERROR(VLOOKUP(TEXT(H139,"0"),IPRESS!$A$3:$B$212,2,0),"")</f>
        <v/>
      </c>
      <c r="J139" s="334" t="n"/>
      <c r="K139" s="332">
        <f>IFERROR(VLOOKUP(TEXT(O139,"0"),CONDUCTORES!$A$3:$G$54,7,0),"")</f>
        <v/>
      </c>
      <c r="L139" s="334" t="n"/>
      <c r="M139" s="334" t="n"/>
      <c r="N139" s="333">
        <f>IFERROR(IF(L139*M139=0,"",L139*M139),"")</f>
        <v/>
      </c>
      <c r="O139" s="334" t="n"/>
      <c r="P139" s="332">
        <f>IFERROR(VLOOKUP(TEXT(O139,"0"),CONDUCTORES!$A$3:$G$54,2,0),"")</f>
        <v/>
      </c>
      <c r="Q139" s="332">
        <f>IFERROR(VLOOKUP(TEXT(O139,"0"),CONDUCTORES!$A$3:$H$54,6,0),"")</f>
        <v/>
      </c>
      <c r="R139" s="334" t="n"/>
      <c r="S139" s="334" t="n"/>
      <c r="T139" s="334" t="n"/>
      <c r="U139" s="334" t="n"/>
      <c r="V139" s="334" t="n"/>
      <c r="W139" s="334" t="n"/>
      <c r="X139" s="334" t="n"/>
      <c r="Y139" s="334" t="n"/>
    </row>
    <row r="140" ht="15" customHeight="1" s="195">
      <c r="A140" s="280" t="n"/>
      <c r="B140" s="280" t="n"/>
      <c r="C140" s="280" t="n"/>
      <c r="D140" s="280" t="n"/>
      <c r="E140" s="280" t="n"/>
      <c r="F140" s="280" t="n"/>
      <c r="G140" s="280" t="n"/>
      <c r="H140" s="280" t="n"/>
      <c r="I140" s="332">
        <f>IFERROR(VLOOKUP(TEXT(H140,"0"),IPRESS!$A$3:$B$212,2,0),"")</f>
        <v/>
      </c>
      <c r="J140" s="280" t="n"/>
      <c r="K140" s="332">
        <f>IFERROR(VLOOKUP(TEXT(O140,"0"),CONDUCTORES!$A$3:$G$54,7,0),"")</f>
        <v/>
      </c>
      <c r="L140" s="280" t="n"/>
      <c r="M140" s="280" t="n"/>
      <c r="N140" s="333">
        <f>IFERROR(IF(L140*M140=0,"",L140*M140),"")</f>
        <v/>
      </c>
      <c r="O140" s="280" t="n"/>
      <c r="P140" s="332">
        <f>IFERROR(VLOOKUP(TEXT(O140,"0"),CONDUCTORES!$A$3:$G$54,2,0),"")</f>
        <v/>
      </c>
      <c r="Q140" s="332">
        <f>IFERROR(VLOOKUP(TEXT(O140,"0"),CONDUCTORES!$A$3:$H$54,6,0),"")</f>
        <v/>
      </c>
      <c r="R140" s="280" t="n"/>
      <c r="S140" s="280" t="n"/>
      <c r="T140" s="280" t="n"/>
      <c r="U140" s="280" t="n"/>
      <c r="V140" s="280" t="n"/>
      <c r="W140" s="280" t="n"/>
      <c r="X140" s="280" t="n"/>
      <c r="Y140" s="280" t="n"/>
    </row>
    <row r="141" ht="15" customHeight="1" s="195">
      <c r="A141" s="334" t="n"/>
      <c r="B141" s="334" t="n"/>
      <c r="C141" s="334" t="n"/>
      <c r="D141" s="334" t="n"/>
      <c r="E141" s="334" t="n"/>
      <c r="F141" s="334" t="n"/>
      <c r="G141" s="334" t="n"/>
      <c r="H141" s="334" t="n"/>
      <c r="I141" s="332">
        <f>IFERROR(VLOOKUP(TEXT(H141,"0"),IPRESS!$A$3:$B$212,2,0),"")</f>
        <v/>
      </c>
      <c r="J141" s="334" t="n"/>
      <c r="K141" s="332">
        <f>IFERROR(VLOOKUP(TEXT(O141,"0"),CONDUCTORES!$A$3:$G$54,7,0),"")</f>
        <v/>
      </c>
      <c r="L141" s="334" t="n"/>
      <c r="M141" s="334" t="n"/>
      <c r="N141" s="333">
        <f>IFERROR(IF(L141*M141=0,"",L141*M141),"")</f>
        <v/>
      </c>
      <c r="O141" s="334" t="n"/>
      <c r="P141" s="332">
        <f>IFERROR(VLOOKUP(TEXT(O141,"0"),CONDUCTORES!$A$3:$G$54,2,0),"")</f>
        <v/>
      </c>
      <c r="Q141" s="332">
        <f>IFERROR(VLOOKUP(TEXT(O141,"0"),CONDUCTORES!$A$3:$H$54,6,0),"")</f>
        <v/>
      </c>
      <c r="R141" s="334" t="n"/>
      <c r="S141" s="334" t="n"/>
      <c r="T141" s="334" t="n"/>
      <c r="U141" s="334" t="n"/>
      <c r="V141" s="334" t="n"/>
      <c r="W141" s="334" t="n"/>
      <c r="X141" s="334" t="n"/>
      <c r="Y141" s="334" t="n"/>
    </row>
    <row r="142" ht="15" customHeight="1" s="195">
      <c r="A142" s="280" t="n"/>
      <c r="B142" s="280" t="n"/>
      <c r="C142" s="280" t="n"/>
      <c r="D142" s="280" t="n"/>
      <c r="E142" s="280" t="n"/>
      <c r="F142" s="280" t="n"/>
      <c r="G142" s="280" t="n"/>
      <c r="H142" s="280" t="n"/>
      <c r="I142" s="332">
        <f>IFERROR(VLOOKUP(TEXT(H142,"0"),IPRESS!$A$3:$B$212,2,0),"")</f>
        <v/>
      </c>
      <c r="J142" s="280" t="n"/>
      <c r="K142" s="332">
        <f>IFERROR(VLOOKUP(TEXT(O142,"0"),CONDUCTORES!$A$3:$G$54,7,0),"")</f>
        <v/>
      </c>
      <c r="L142" s="280" t="n"/>
      <c r="M142" s="280" t="n"/>
      <c r="N142" s="333">
        <f>IFERROR(IF(L142*M142=0,"",L142*M142),"")</f>
        <v/>
      </c>
      <c r="O142" s="280" t="n"/>
      <c r="P142" s="332">
        <f>IFERROR(VLOOKUP(TEXT(O142,"0"),CONDUCTORES!$A$3:$G$54,2,0),"")</f>
        <v/>
      </c>
      <c r="Q142" s="332">
        <f>IFERROR(VLOOKUP(TEXT(O142,"0"),CONDUCTORES!$A$3:$H$54,6,0),"")</f>
        <v/>
      </c>
      <c r="R142" s="280" t="n"/>
      <c r="S142" s="280" t="n"/>
      <c r="T142" s="280" t="n"/>
      <c r="U142" s="280" t="n"/>
      <c r="V142" s="280" t="n"/>
      <c r="W142" s="280" t="n"/>
      <c r="X142" s="280" t="n"/>
      <c r="Y142" s="280" t="n"/>
    </row>
    <row r="143" ht="15" customHeight="1" s="195">
      <c r="A143" s="334" t="n"/>
      <c r="B143" s="334" t="n"/>
      <c r="C143" s="334" t="n"/>
      <c r="D143" s="334" t="n"/>
      <c r="E143" s="334" t="n"/>
      <c r="F143" s="334" t="n"/>
      <c r="G143" s="334" t="n"/>
      <c r="H143" s="334" t="n"/>
      <c r="I143" s="332">
        <f>IFERROR(VLOOKUP(TEXT(H143,"0"),IPRESS!$A$3:$B$212,2,0),"")</f>
        <v/>
      </c>
      <c r="J143" s="334" t="n"/>
      <c r="K143" s="332">
        <f>IFERROR(VLOOKUP(TEXT(O143,"0"),CONDUCTORES!$A$3:$G$54,7,0),"")</f>
        <v/>
      </c>
      <c r="L143" s="334" t="n"/>
      <c r="M143" s="334" t="n"/>
      <c r="N143" s="333">
        <f>IFERROR(IF(L143*M143=0,"",L143*M143),"")</f>
        <v/>
      </c>
      <c r="O143" s="334" t="n"/>
      <c r="P143" s="332">
        <f>IFERROR(VLOOKUP(TEXT(O143,"0"),CONDUCTORES!$A$3:$G$54,2,0),"")</f>
        <v/>
      </c>
      <c r="Q143" s="332">
        <f>IFERROR(VLOOKUP(TEXT(O143,"0"),CONDUCTORES!$A$3:$H$54,6,0),"")</f>
        <v/>
      </c>
      <c r="R143" s="334" t="n"/>
      <c r="S143" s="334" t="n"/>
      <c r="T143" s="334" t="n"/>
      <c r="U143" s="334" t="n"/>
      <c r="V143" s="334" t="n"/>
      <c r="W143" s="334" t="n"/>
      <c r="X143" s="334" t="n"/>
      <c r="Y143" s="334" t="n"/>
    </row>
    <row r="144" ht="15" customHeight="1" s="195">
      <c r="A144" s="280" t="n"/>
      <c r="B144" s="280" t="n"/>
      <c r="C144" s="280" t="n"/>
      <c r="D144" s="280" t="n"/>
      <c r="E144" s="280" t="n"/>
      <c r="F144" s="280" t="n"/>
      <c r="G144" s="280" t="n"/>
      <c r="H144" s="280" t="n"/>
      <c r="I144" s="332">
        <f>IFERROR(VLOOKUP(TEXT(H144,"0"),IPRESS!$A$3:$B$212,2,0),"")</f>
        <v/>
      </c>
      <c r="J144" s="280" t="n"/>
      <c r="K144" s="332">
        <f>IFERROR(VLOOKUP(TEXT(O144,"0"),CONDUCTORES!$A$3:$G$54,7,0),"")</f>
        <v/>
      </c>
      <c r="L144" s="280" t="n"/>
      <c r="M144" s="280" t="n"/>
      <c r="N144" s="333">
        <f>IFERROR(IF(L144*M144=0,"",L144*M144),"")</f>
        <v/>
      </c>
      <c r="O144" s="280" t="n"/>
      <c r="P144" s="332">
        <f>IFERROR(VLOOKUP(TEXT(O144,"0"),CONDUCTORES!$A$3:$G$54,2,0),"")</f>
        <v/>
      </c>
      <c r="Q144" s="332">
        <f>IFERROR(VLOOKUP(TEXT(O144,"0"),CONDUCTORES!$A$3:$H$54,6,0),"")</f>
        <v/>
      </c>
      <c r="R144" s="280" t="n"/>
      <c r="S144" s="280" t="n"/>
      <c r="T144" s="280" t="n"/>
      <c r="U144" s="280" t="n"/>
      <c r="V144" s="280" t="n"/>
      <c r="W144" s="280" t="n"/>
      <c r="X144" s="280" t="n"/>
      <c r="Y144" s="280" t="n"/>
    </row>
    <row r="145" ht="15" customHeight="1" s="195">
      <c r="A145" s="334" t="n"/>
      <c r="B145" s="334" t="n"/>
      <c r="C145" s="334" t="n"/>
      <c r="D145" s="334" t="n"/>
      <c r="E145" s="334" t="n"/>
      <c r="F145" s="334" t="n"/>
      <c r="G145" s="334" t="n"/>
      <c r="H145" s="334" t="n"/>
      <c r="I145" s="332">
        <f>IFERROR(VLOOKUP(TEXT(H145,"0"),IPRESS!$A$3:$B$212,2,0),"")</f>
        <v/>
      </c>
      <c r="J145" s="334" t="n"/>
      <c r="K145" s="332">
        <f>IFERROR(VLOOKUP(TEXT(O145,"0"),CONDUCTORES!$A$3:$G$54,7,0),"")</f>
        <v/>
      </c>
      <c r="L145" s="334" t="n"/>
      <c r="M145" s="334" t="n"/>
      <c r="N145" s="333">
        <f>IFERROR(IF(L145*M145=0,"",L145*M145),"")</f>
        <v/>
      </c>
      <c r="O145" s="334" t="n"/>
      <c r="P145" s="332">
        <f>IFERROR(VLOOKUP(TEXT(O145,"0"),CONDUCTORES!$A$3:$G$54,2,0),"")</f>
        <v/>
      </c>
      <c r="Q145" s="332">
        <f>IFERROR(VLOOKUP(TEXT(O145,"0"),CONDUCTORES!$A$3:$H$54,6,0),"")</f>
        <v/>
      </c>
      <c r="R145" s="334" t="n"/>
      <c r="S145" s="334" t="n"/>
      <c r="T145" s="334" t="n"/>
      <c r="U145" s="334" t="n"/>
      <c r="V145" s="334" t="n"/>
      <c r="W145" s="334" t="n"/>
      <c r="X145" s="334" t="n"/>
      <c r="Y145" s="334" t="n"/>
    </row>
    <row r="146" ht="15" customHeight="1" s="195">
      <c r="A146" s="280" t="n"/>
      <c r="B146" s="280" t="n"/>
      <c r="C146" s="280" t="n"/>
      <c r="D146" s="280" t="n"/>
      <c r="E146" s="280" t="n"/>
      <c r="F146" s="280" t="n"/>
      <c r="G146" s="280" t="n"/>
      <c r="H146" s="280" t="n"/>
      <c r="I146" s="332">
        <f>IFERROR(VLOOKUP(TEXT(H146,"0"),IPRESS!$A$3:$B$212,2,0),"")</f>
        <v/>
      </c>
      <c r="J146" s="280" t="n"/>
      <c r="K146" s="332">
        <f>IFERROR(VLOOKUP(TEXT(O146,"0"),CONDUCTORES!$A$3:$G$54,7,0),"")</f>
        <v/>
      </c>
      <c r="L146" s="280" t="n"/>
      <c r="M146" s="280" t="n"/>
      <c r="N146" s="333">
        <f>IFERROR(IF(L146*M146=0,"",L146*M146),"")</f>
        <v/>
      </c>
      <c r="O146" s="280" t="n"/>
      <c r="P146" s="332">
        <f>IFERROR(VLOOKUP(TEXT(O146,"0"),CONDUCTORES!$A$3:$G$54,2,0),"")</f>
        <v/>
      </c>
      <c r="Q146" s="332">
        <f>IFERROR(VLOOKUP(TEXT(O146,"0"),CONDUCTORES!$A$3:$H$54,6,0),"")</f>
        <v/>
      </c>
      <c r="R146" s="280" t="n"/>
      <c r="S146" s="280" t="n"/>
      <c r="T146" s="280" t="n"/>
      <c r="U146" s="280" t="n"/>
      <c r="V146" s="280" t="n"/>
      <c r="W146" s="280" t="n"/>
      <c r="X146" s="280" t="n"/>
      <c r="Y146" s="280" t="n"/>
    </row>
    <row r="147" ht="15" customHeight="1" s="195">
      <c r="A147" s="334" t="n"/>
      <c r="B147" s="334" t="n"/>
      <c r="C147" s="334" t="n"/>
      <c r="D147" s="334" t="n"/>
      <c r="E147" s="334" t="n"/>
      <c r="F147" s="334" t="n"/>
      <c r="G147" s="334" t="n"/>
      <c r="H147" s="334" t="n"/>
      <c r="I147" s="332">
        <f>IFERROR(VLOOKUP(TEXT(H147,"0"),IPRESS!$A$3:$B$212,2,0),"")</f>
        <v/>
      </c>
      <c r="J147" s="334" t="n"/>
      <c r="K147" s="332">
        <f>IFERROR(VLOOKUP(TEXT(O147,"0"),CONDUCTORES!$A$3:$G$54,7,0),"")</f>
        <v/>
      </c>
      <c r="L147" s="334" t="n"/>
      <c r="M147" s="334" t="n"/>
      <c r="N147" s="333">
        <f>IFERROR(IF(L147*M147=0,"",L147*M147),"")</f>
        <v/>
      </c>
      <c r="O147" s="334" t="n"/>
      <c r="P147" s="332">
        <f>IFERROR(VLOOKUP(TEXT(O147,"0"),CONDUCTORES!$A$3:$G$54,2,0),"")</f>
        <v/>
      </c>
      <c r="Q147" s="332">
        <f>IFERROR(VLOOKUP(TEXT(O147,"0"),CONDUCTORES!$A$3:$H$54,6,0),"")</f>
        <v/>
      </c>
      <c r="R147" s="334" t="n"/>
      <c r="S147" s="334" t="n"/>
      <c r="T147" s="334" t="n"/>
      <c r="U147" s="334" t="n"/>
      <c r="V147" s="334" t="n"/>
      <c r="W147" s="334" t="n"/>
      <c r="X147" s="334" t="n"/>
      <c r="Y147" s="334" t="n"/>
    </row>
    <row r="148" ht="15" customHeight="1" s="195">
      <c r="A148" s="280" t="n"/>
      <c r="B148" s="280" t="n"/>
      <c r="C148" s="280" t="n"/>
      <c r="D148" s="280" t="n"/>
      <c r="E148" s="280" t="n"/>
      <c r="F148" s="280" t="n"/>
      <c r="G148" s="280" t="n"/>
      <c r="H148" s="280" t="n"/>
      <c r="I148" s="332">
        <f>IFERROR(VLOOKUP(TEXT(H148,"0"),IPRESS!$A$3:$B$212,2,0),"")</f>
        <v/>
      </c>
      <c r="J148" s="280" t="n"/>
      <c r="K148" s="332">
        <f>IFERROR(VLOOKUP(TEXT(O148,"0"),CONDUCTORES!$A$3:$G$54,7,0),"")</f>
        <v/>
      </c>
      <c r="L148" s="280" t="n"/>
      <c r="M148" s="280" t="n"/>
      <c r="N148" s="333">
        <f>IFERROR(IF(L148*M148=0,"",L148*M148),"")</f>
        <v/>
      </c>
      <c r="O148" s="280" t="n"/>
      <c r="P148" s="332">
        <f>IFERROR(VLOOKUP(TEXT(O148,"0"),CONDUCTORES!$A$3:$G$54,2,0),"")</f>
        <v/>
      </c>
      <c r="Q148" s="332">
        <f>IFERROR(VLOOKUP(TEXT(O148,"0"),CONDUCTORES!$A$3:$H$54,6,0),"")</f>
        <v/>
      </c>
      <c r="R148" s="280" t="n"/>
      <c r="S148" s="280" t="n"/>
      <c r="T148" s="280" t="n"/>
      <c r="U148" s="280" t="n"/>
      <c r="V148" s="280" t="n"/>
      <c r="W148" s="280" t="n"/>
      <c r="X148" s="280" t="n"/>
      <c r="Y148" s="280" t="n"/>
    </row>
    <row r="149" ht="15" customHeight="1" s="195">
      <c r="A149" s="334" t="n"/>
      <c r="B149" s="334" t="n"/>
      <c r="C149" s="334" t="n"/>
      <c r="D149" s="334" t="n"/>
      <c r="E149" s="334" t="n"/>
      <c r="F149" s="334" t="n"/>
      <c r="G149" s="334" t="n"/>
      <c r="H149" s="334" t="n"/>
      <c r="I149" s="332">
        <f>IFERROR(VLOOKUP(TEXT(H149,"0"),IPRESS!$A$3:$B$212,2,0),"")</f>
        <v/>
      </c>
      <c r="J149" s="334" t="n"/>
      <c r="K149" s="332">
        <f>IFERROR(VLOOKUP(TEXT(O149,"0"),CONDUCTORES!$A$3:$G$54,7,0),"")</f>
        <v/>
      </c>
      <c r="L149" s="334" t="n"/>
      <c r="M149" s="334" t="n"/>
      <c r="N149" s="333">
        <f>IFERROR(IF(L149*M149=0,"",L149*M149),"")</f>
        <v/>
      </c>
      <c r="O149" s="334" t="n"/>
      <c r="P149" s="332">
        <f>IFERROR(VLOOKUP(TEXT(O149,"0"),CONDUCTORES!$A$3:$G$54,2,0),"")</f>
        <v/>
      </c>
      <c r="Q149" s="332">
        <f>IFERROR(VLOOKUP(TEXT(O149,"0"),CONDUCTORES!$A$3:$H$54,6,0),"")</f>
        <v/>
      </c>
      <c r="R149" s="334" t="n"/>
      <c r="S149" s="334" t="n"/>
      <c r="T149" s="334" t="n"/>
      <c r="U149" s="334" t="n"/>
      <c r="V149" s="334" t="n"/>
      <c r="W149" s="334" t="n"/>
      <c r="X149" s="334" t="n"/>
      <c r="Y149" s="334" t="n"/>
    </row>
    <row r="150" ht="15" customHeight="1" s="195">
      <c r="A150" s="280" t="n"/>
      <c r="B150" s="280" t="n"/>
      <c r="C150" s="280" t="n"/>
      <c r="D150" s="280" t="n"/>
      <c r="E150" s="280" t="n"/>
      <c r="F150" s="280" t="n"/>
      <c r="G150" s="280" t="n"/>
      <c r="H150" s="280" t="n"/>
      <c r="I150" s="332">
        <f>IFERROR(VLOOKUP(TEXT(H150,"0"),IPRESS!$A$3:$B$212,2,0),"")</f>
        <v/>
      </c>
      <c r="J150" s="280" t="n"/>
      <c r="K150" s="332">
        <f>IFERROR(VLOOKUP(TEXT(O150,"0"),CONDUCTORES!$A$3:$G$54,7,0),"")</f>
        <v/>
      </c>
      <c r="L150" s="280" t="n"/>
      <c r="M150" s="280" t="n"/>
      <c r="N150" s="333">
        <f>IFERROR(IF(L150*M150=0,"",L150*M150),"")</f>
        <v/>
      </c>
      <c r="O150" s="280" t="n"/>
      <c r="P150" s="332">
        <f>IFERROR(VLOOKUP(TEXT(O150,"0"),CONDUCTORES!$A$3:$G$54,2,0),"")</f>
        <v/>
      </c>
      <c r="Q150" s="332">
        <f>IFERROR(VLOOKUP(TEXT(O150,"0"),CONDUCTORES!$A$3:$H$54,6,0),"")</f>
        <v/>
      </c>
      <c r="R150" s="280" t="n"/>
      <c r="S150" s="280" t="n"/>
      <c r="T150" s="280" t="n"/>
      <c r="U150" s="280" t="n"/>
      <c r="V150" s="280" t="n"/>
      <c r="W150" s="280" t="n"/>
      <c r="X150" s="280" t="n"/>
      <c r="Y150" s="280" t="n"/>
    </row>
    <row r="151" ht="15" customHeight="1" s="195">
      <c r="A151" s="334" t="n"/>
      <c r="B151" s="334" t="n"/>
      <c r="C151" s="334" t="n"/>
      <c r="D151" s="334" t="n"/>
      <c r="E151" s="334" t="n"/>
      <c r="F151" s="334" t="n"/>
      <c r="G151" s="334" t="n"/>
      <c r="H151" s="334" t="n"/>
      <c r="I151" s="332">
        <f>IFERROR(VLOOKUP(TEXT(H151,"0"),IPRESS!$A$3:$B$212,2,0),"")</f>
        <v/>
      </c>
      <c r="J151" s="334" t="n"/>
      <c r="K151" s="332">
        <f>IFERROR(VLOOKUP(TEXT(O151,"0"),CONDUCTORES!$A$3:$G$54,7,0),"")</f>
        <v/>
      </c>
      <c r="L151" s="334" t="n"/>
      <c r="M151" s="334" t="n"/>
      <c r="N151" s="333">
        <f>IFERROR(IF(L151*M151=0,"",L151*M151),"")</f>
        <v/>
      </c>
      <c r="O151" s="334" t="n"/>
      <c r="P151" s="332">
        <f>IFERROR(VLOOKUP(TEXT(O151,"0"),CONDUCTORES!$A$3:$G$54,2,0),"")</f>
        <v/>
      </c>
      <c r="Q151" s="332">
        <f>IFERROR(VLOOKUP(TEXT(O151,"0"),CONDUCTORES!$A$3:$H$54,6,0),"")</f>
        <v/>
      </c>
      <c r="R151" s="334" t="n"/>
      <c r="S151" s="334" t="n"/>
      <c r="T151" s="334" t="n"/>
      <c r="U151" s="334" t="n"/>
      <c r="V151" s="334" t="n"/>
      <c r="W151" s="334" t="n"/>
      <c r="X151" s="334" t="n"/>
      <c r="Y151" s="334" t="n"/>
    </row>
    <row r="152" ht="15" customHeight="1" s="195">
      <c r="A152" s="280" t="n"/>
      <c r="B152" s="280" t="n"/>
      <c r="C152" s="280" t="n"/>
      <c r="D152" s="280" t="n"/>
      <c r="E152" s="280" t="n"/>
      <c r="F152" s="280" t="n"/>
      <c r="G152" s="280" t="n"/>
      <c r="H152" s="280" t="n"/>
      <c r="I152" s="332">
        <f>IFERROR(VLOOKUP(TEXT(H152,"0"),IPRESS!$A$3:$B$212,2,0),"")</f>
        <v/>
      </c>
      <c r="J152" s="280" t="n"/>
      <c r="K152" s="332">
        <f>IFERROR(VLOOKUP(TEXT(O152,"0"),CONDUCTORES!$A$3:$G$54,7,0),"")</f>
        <v/>
      </c>
      <c r="L152" s="280" t="n"/>
      <c r="M152" s="280" t="n"/>
      <c r="N152" s="333">
        <f>IFERROR(IF(L152*M152=0,"",L152*M152),"")</f>
        <v/>
      </c>
      <c r="O152" s="280" t="n"/>
      <c r="P152" s="332">
        <f>IFERROR(VLOOKUP(TEXT(O152,"0"),CONDUCTORES!$A$3:$G$54,2,0),"")</f>
        <v/>
      </c>
      <c r="Q152" s="332">
        <f>IFERROR(VLOOKUP(TEXT(O152,"0"),CONDUCTORES!$A$3:$H$54,6,0),"")</f>
        <v/>
      </c>
      <c r="R152" s="280" t="n"/>
      <c r="S152" s="280" t="n"/>
      <c r="T152" s="280" t="n"/>
      <c r="U152" s="280" t="n"/>
      <c r="V152" s="280" t="n"/>
      <c r="W152" s="280" t="n"/>
      <c r="X152" s="280" t="n"/>
      <c r="Y152" s="280" t="n"/>
    </row>
    <row r="153" ht="15" customHeight="1" s="195">
      <c r="A153" s="334" t="n"/>
      <c r="B153" s="334" t="n"/>
      <c r="C153" s="334" t="n"/>
      <c r="D153" s="334" t="n"/>
      <c r="E153" s="334" t="n"/>
      <c r="F153" s="334" t="n"/>
      <c r="G153" s="334" t="n"/>
      <c r="H153" s="334" t="n"/>
      <c r="I153" s="332">
        <f>IFERROR(VLOOKUP(TEXT(H153,"0"),IPRESS!$A$3:$B$212,2,0),"")</f>
        <v/>
      </c>
      <c r="J153" s="334" t="n"/>
      <c r="K153" s="332">
        <f>IFERROR(VLOOKUP(TEXT(O153,"0"),CONDUCTORES!$A$3:$G$54,7,0),"")</f>
        <v/>
      </c>
      <c r="L153" s="334" t="n"/>
      <c r="M153" s="334" t="n"/>
      <c r="N153" s="333">
        <f>IFERROR(IF(L153*M153=0,"",L153*M153),"")</f>
        <v/>
      </c>
      <c r="O153" s="334" t="n"/>
      <c r="P153" s="332">
        <f>IFERROR(VLOOKUP(TEXT(O153,"0"),CONDUCTORES!$A$3:$G$54,2,0),"")</f>
        <v/>
      </c>
      <c r="Q153" s="332">
        <f>IFERROR(VLOOKUP(TEXT(O153,"0"),CONDUCTORES!$A$3:$H$54,6,0),"")</f>
        <v/>
      </c>
      <c r="R153" s="334" t="n"/>
      <c r="S153" s="334" t="n"/>
      <c r="T153" s="334" t="n"/>
      <c r="U153" s="334" t="n"/>
      <c r="V153" s="334" t="n"/>
      <c r="W153" s="334" t="n"/>
      <c r="X153" s="334" t="n"/>
      <c r="Y153" s="334" t="n"/>
    </row>
    <row r="154" ht="15" customHeight="1" s="195">
      <c r="A154" s="280" t="n"/>
      <c r="B154" s="280" t="n"/>
      <c r="C154" s="280" t="n"/>
      <c r="D154" s="280" t="n"/>
      <c r="E154" s="280" t="n"/>
      <c r="F154" s="280" t="n"/>
      <c r="G154" s="280" t="n"/>
      <c r="H154" s="280" t="n"/>
      <c r="I154" s="332">
        <f>IFERROR(VLOOKUP(TEXT(H154,"0"),IPRESS!$A$3:$B$212,2,0),"")</f>
        <v/>
      </c>
      <c r="J154" s="280" t="n"/>
      <c r="K154" s="332">
        <f>IFERROR(VLOOKUP(TEXT(O154,"0"),CONDUCTORES!$A$3:$G$54,7,0),"")</f>
        <v/>
      </c>
      <c r="L154" s="280" t="n"/>
      <c r="M154" s="280" t="n"/>
      <c r="N154" s="333">
        <f>IFERROR(IF(L154*M154=0,"",L154*M154),"")</f>
        <v/>
      </c>
      <c r="O154" s="280" t="n"/>
      <c r="P154" s="332">
        <f>IFERROR(VLOOKUP(TEXT(O154,"0"),CONDUCTORES!$A$3:$G$54,2,0),"")</f>
        <v/>
      </c>
      <c r="Q154" s="332">
        <f>IFERROR(VLOOKUP(TEXT(O154,"0"),CONDUCTORES!$A$3:$H$54,6,0),"")</f>
        <v/>
      </c>
      <c r="R154" s="280" t="n"/>
      <c r="S154" s="280" t="n"/>
      <c r="T154" s="280" t="n"/>
      <c r="U154" s="280" t="n"/>
      <c r="V154" s="280" t="n"/>
      <c r="W154" s="280" t="n"/>
      <c r="X154" s="280" t="n"/>
      <c r="Y154" s="280" t="n"/>
    </row>
    <row r="155" ht="15" customHeight="1" s="195">
      <c r="A155" s="334" t="n"/>
      <c r="B155" s="334" t="n"/>
      <c r="C155" s="334" t="n"/>
      <c r="D155" s="334" t="n"/>
      <c r="E155" s="334" t="n"/>
      <c r="F155" s="334" t="n"/>
      <c r="G155" s="334" t="n"/>
      <c r="H155" s="334" t="n"/>
      <c r="I155" s="332">
        <f>IFERROR(VLOOKUP(TEXT(H155,"0"),IPRESS!$A$3:$B$212,2,0),"")</f>
        <v/>
      </c>
      <c r="J155" s="334" t="n"/>
      <c r="K155" s="332">
        <f>IFERROR(VLOOKUP(TEXT(O155,"0"),CONDUCTORES!$A$3:$G$54,7,0),"")</f>
        <v/>
      </c>
      <c r="L155" s="334" t="n"/>
      <c r="M155" s="334" t="n"/>
      <c r="N155" s="333">
        <f>IFERROR(IF(L155*M155=0,"",L155*M155),"")</f>
        <v/>
      </c>
      <c r="O155" s="334" t="n"/>
      <c r="P155" s="332">
        <f>IFERROR(VLOOKUP(TEXT(O155,"0"),CONDUCTORES!$A$3:$G$54,2,0),"")</f>
        <v/>
      </c>
      <c r="Q155" s="332">
        <f>IFERROR(VLOOKUP(TEXT(O155,"0"),CONDUCTORES!$A$3:$H$54,6,0),"")</f>
        <v/>
      </c>
      <c r="R155" s="334" t="n"/>
      <c r="S155" s="334" t="n"/>
      <c r="T155" s="334" t="n"/>
      <c r="U155" s="334" t="n"/>
      <c r="V155" s="334" t="n"/>
      <c r="W155" s="334" t="n"/>
      <c r="X155" s="334" t="n"/>
      <c r="Y155" s="334" t="n"/>
    </row>
    <row r="156" ht="15" customHeight="1" s="195">
      <c r="A156" s="280" t="n"/>
      <c r="B156" s="280" t="n"/>
      <c r="C156" s="280" t="n"/>
      <c r="D156" s="280" t="n"/>
      <c r="E156" s="280" t="n"/>
      <c r="F156" s="280" t="n"/>
      <c r="G156" s="280" t="n"/>
      <c r="H156" s="280" t="n"/>
      <c r="I156" s="332">
        <f>IFERROR(VLOOKUP(TEXT(H156,"0"),IPRESS!$A$3:$B$212,2,0),"")</f>
        <v/>
      </c>
      <c r="J156" s="280" t="n"/>
      <c r="K156" s="332">
        <f>IFERROR(VLOOKUP(TEXT(O156,"0"),CONDUCTORES!$A$3:$G$54,7,0),"")</f>
        <v/>
      </c>
      <c r="L156" s="280" t="n"/>
      <c r="M156" s="280" t="n"/>
      <c r="N156" s="333">
        <f>IFERROR(IF(L156*M156=0,"",L156*M156),"")</f>
        <v/>
      </c>
      <c r="O156" s="280" t="n"/>
      <c r="P156" s="332">
        <f>IFERROR(VLOOKUP(TEXT(O156,"0"),CONDUCTORES!$A$3:$G$54,2,0),"")</f>
        <v/>
      </c>
      <c r="Q156" s="332">
        <f>IFERROR(VLOOKUP(TEXT(O156,"0"),CONDUCTORES!$A$3:$H$54,6,0),"")</f>
        <v/>
      </c>
      <c r="R156" s="280" t="n"/>
      <c r="S156" s="280" t="n"/>
      <c r="T156" s="280" t="n"/>
      <c r="U156" s="280" t="n"/>
      <c r="V156" s="280" t="n"/>
      <c r="W156" s="280" t="n"/>
      <c r="X156" s="280" t="n"/>
      <c r="Y156" s="280" t="n"/>
    </row>
    <row r="157" ht="15" customHeight="1" s="195">
      <c r="A157" s="334" t="n"/>
      <c r="B157" s="334" t="n"/>
      <c r="C157" s="334" t="n"/>
      <c r="D157" s="334" t="n"/>
      <c r="E157" s="334" t="n"/>
      <c r="F157" s="334" t="n"/>
      <c r="G157" s="334" t="n"/>
      <c r="H157" s="334" t="n"/>
      <c r="I157" s="332">
        <f>IFERROR(VLOOKUP(TEXT(H157,"0"),IPRESS!$A$3:$B$212,2,0),"")</f>
        <v/>
      </c>
      <c r="J157" s="334" t="n"/>
      <c r="K157" s="332">
        <f>IFERROR(VLOOKUP(TEXT(O157,"0"),CONDUCTORES!$A$3:$G$54,7,0),"")</f>
        <v/>
      </c>
      <c r="L157" s="334" t="n"/>
      <c r="M157" s="334" t="n"/>
      <c r="N157" s="333">
        <f>IFERROR(IF(L157*M157=0,"",L157*M157),"")</f>
        <v/>
      </c>
      <c r="O157" s="334" t="n"/>
      <c r="P157" s="332">
        <f>IFERROR(VLOOKUP(TEXT(O157,"0"),CONDUCTORES!$A$3:$G$54,2,0),"")</f>
        <v/>
      </c>
      <c r="Q157" s="332">
        <f>IFERROR(VLOOKUP(TEXT(O157,"0"),CONDUCTORES!$A$3:$H$54,6,0),"")</f>
        <v/>
      </c>
      <c r="R157" s="334" t="n"/>
      <c r="S157" s="334" t="n"/>
      <c r="T157" s="334" t="n"/>
      <c r="U157" s="334" t="n"/>
      <c r="V157" s="334" t="n"/>
      <c r="W157" s="334" t="n"/>
      <c r="X157" s="334" t="n"/>
      <c r="Y157" s="334" t="n"/>
    </row>
    <row r="158" ht="15" customHeight="1" s="195">
      <c r="A158" s="280" t="n"/>
      <c r="B158" s="280" t="n"/>
      <c r="C158" s="280" t="n"/>
      <c r="D158" s="280" t="n"/>
      <c r="E158" s="280" t="n"/>
      <c r="F158" s="280" t="n"/>
      <c r="G158" s="280" t="n"/>
      <c r="H158" s="280" t="n"/>
      <c r="I158" s="332">
        <f>IFERROR(VLOOKUP(TEXT(H158,"0"),IPRESS!$A$3:$B$212,2,0),"")</f>
        <v/>
      </c>
      <c r="J158" s="280" t="n"/>
      <c r="K158" s="332">
        <f>IFERROR(VLOOKUP(TEXT(O158,"0"),CONDUCTORES!$A$3:$G$54,7,0),"")</f>
        <v/>
      </c>
      <c r="L158" s="280" t="n"/>
      <c r="M158" s="280" t="n"/>
      <c r="N158" s="333">
        <f>IFERROR(IF(L158*M158=0,"",L158*M158),"")</f>
        <v/>
      </c>
      <c r="O158" s="280" t="n"/>
      <c r="P158" s="332">
        <f>IFERROR(VLOOKUP(TEXT(O158,"0"),CONDUCTORES!$A$3:$G$54,2,0),"")</f>
        <v/>
      </c>
      <c r="Q158" s="332">
        <f>IFERROR(VLOOKUP(TEXT(O158,"0"),CONDUCTORES!$A$3:$H$54,6,0),"")</f>
        <v/>
      </c>
      <c r="R158" s="280" t="n"/>
      <c r="S158" s="280" t="n"/>
      <c r="T158" s="280" t="n"/>
      <c r="U158" s="280" t="n"/>
      <c r="V158" s="280" t="n"/>
      <c r="W158" s="280" t="n"/>
      <c r="X158" s="280" t="n"/>
      <c r="Y158" s="280" t="n"/>
    </row>
    <row r="159" ht="15" customHeight="1" s="195">
      <c r="A159" s="334" t="n"/>
      <c r="B159" s="334" t="n"/>
      <c r="C159" s="334" t="n"/>
      <c r="D159" s="334" t="n"/>
      <c r="E159" s="334" t="n"/>
      <c r="F159" s="334" t="n"/>
      <c r="G159" s="334" t="n"/>
      <c r="H159" s="334" t="n"/>
      <c r="I159" s="332">
        <f>IFERROR(VLOOKUP(TEXT(H159,"0"),IPRESS!$A$3:$B$212,2,0),"")</f>
        <v/>
      </c>
      <c r="J159" s="334" t="n"/>
      <c r="K159" s="332">
        <f>IFERROR(VLOOKUP(TEXT(O159,"0"),CONDUCTORES!$A$3:$G$54,7,0),"")</f>
        <v/>
      </c>
      <c r="L159" s="334" t="n"/>
      <c r="M159" s="334" t="n"/>
      <c r="N159" s="333">
        <f>IFERROR(IF(L159*M159=0,"",L159*M159),"")</f>
        <v/>
      </c>
      <c r="O159" s="334" t="n"/>
      <c r="P159" s="332">
        <f>IFERROR(VLOOKUP(TEXT(O159,"0"),CONDUCTORES!$A$3:$G$54,2,0),"")</f>
        <v/>
      </c>
      <c r="Q159" s="332">
        <f>IFERROR(VLOOKUP(TEXT(O159,"0"),CONDUCTORES!$A$3:$H$54,6,0),"")</f>
        <v/>
      </c>
      <c r="R159" s="334" t="n"/>
      <c r="S159" s="334" t="n"/>
      <c r="T159" s="334" t="n"/>
      <c r="U159" s="334" t="n"/>
      <c r="V159" s="334" t="n"/>
      <c r="W159" s="334" t="n"/>
      <c r="X159" s="334" t="n"/>
      <c r="Y159" s="334" t="n"/>
    </row>
    <row r="160" ht="15" customHeight="1" s="195">
      <c r="A160" s="280" t="n"/>
      <c r="B160" s="280" t="n"/>
      <c r="C160" s="280" t="n"/>
      <c r="D160" s="280" t="n"/>
      <c r="E160" s="280" t="n"/>
      <c r="F160" s="280" t="n"/>
      <c r="G160" s="280" t="n"/>
      <c r="H160" s="280" t="n"/>
      <c r="I160" s="332">
        <f>IFERROR(VLOOKUP(TEXT(H160,"0"),IPRESS!$A$3:$B$212,2,0),"")</f>
        <v/>
      </c>
      <c r="J160" s="280" t="n"/>
      <c r="K160" s="332">
        <f>IFERROR(VLOOKUP(TEXT(O160,"0"),CONDUCTORES!$A$3:$G$54,7,0),"")</f>
        <v/>
      </c>
      <c r="L160" s="280" t="n"/>
      <c r="M160" s="280" t="n"/>
      <c r="N160" s="333">
        <f>IFERROR(IF(L160*M160=0,"",L160*M160),"")</f>
        <v/>
      </c>
      <c r="O160" s="280" t="n"/>
      <c r="P160" s="332">
        <f>IFERROR(VLOOKUP(TEXT(O160,"0"),CONDUCTORES!$A$3:$G$54,2,0),"")</f>
        <v/>
      </c>
      <c r="Q160" s="332">
        <f>IFERROR(VLOOKUP(TEXT(O160,"0"),CONDUCTORES!$A$3:$H$54,6,0),"")</f>
        <v/>
      </c>
      <c r="R160" s="280" t="n"/>
      <c r="S160" s="280" t="n"/>
      <c r="T160" s="280" t="n"/>
      <c r="U160" s="280" t="n"/>
      <c r="V160" s="280" t="n"/>
      <c r="W160" s="280" t="n"/>
      <c r="X160" s="280" t="n"/>
      <c r="Y160" s="280" t="n"/>
    </row>
    <row r="161" ht="15" customHeight="1" s="195">
      <c r="A161" s="334" t="n"/>
      <c r="B161" s="334" t="n"/>
      <c r="C161" s="334" t="n"/>
      <c r="D161" s="334" t="n"/>
      <c r="E161" s="334" t="n"/>
      <c r="F161" s="334" t="n"/>
      <c r="G161" s="334" t="n"/>
      <c r="H161" s="334" t="n"/>
      <c r="I161" s="332">
        <f>IFERROR(VLOOKUP(TEXT(H161,"0"),IPRESS!$A$3:$B$212,2,0),"")</f>
        <v/>
      </c>
      <c r="J161" s="334" t="n"/>
      <c r="K161" s="332">
        <f>IFERROR(VLOOKUP(TEXT(O161,"0"),CONDUCTORES!$A$3:$G$54,7,0),"")</f>
        <v/>
      </c>
      <c r="L161" s="334" t="n"/>
      <c r="M161" s="334" t="n"/>
      <c r="N161" s="333">
        <f>IFERROR(IF(L161*M161=0,"",L161*M161),"")</f>
        <v/>
      </c>
      <c r="O161" s="334" t="n"/>
      <c r="P161" s="332">
        <f>IFERROR(VLOOKUP(TEXT(O161,"0"),CONDUCTORES!$A$3:$G$54,2,0),"")</f>
        <v/>
      </c>
      <c r="Q161" s="332">
        <f>IFERROR(VLOOKUP(TEXT(O161,"0"),CONDUCTORES!$A$3:$H$54,6,0),"")</f>
        <v/>
      </c>
      <c r="R161" s="334" t="n"/>
      <c r="S161" s="334" t="n"/>
      <c r="T161" s="334" t="n"/>
      <c r="U161" s="334" t="n"/>
      <c r="V161" s="334" t="n"/>
      <c r="W161" s="334" t="n"/>
      <c r="X161" s="334" t="n"/>
      <c r="Y161" s="334" t="n"/>
    </row>
    <row r="162" ht="15" customHeight="1" s="195">
      <c r="A162" s="280" t="n"/>
      <c r="B162" s="280" t="n"/>
      <c r="C162" s="280" t="n"/>
      <c r="D162" s="280" t="n"/>
      <c r="E162" s="280" t="n"/>
      <c r="F162" s="280" t="n"/>
      <c r="G162" s="280" t="n"/>
      <c r="H162" s="280" t="n"/>
      <c r="I162" s="332">
        <f>IFERROR(VLOOKUP(TEXT(H162,"0"),IPRESS!$A$3:$B$212,2,0),"")</f>
        <v/>
      </c>
      <c r="J162" s="280" t="n"/>
      <c r="K162" s="332">
        <f>IFERROR(VLOOKUP(TEXT(O162,"0"),CONDUCTORES!$A$3:$G$54,7,0),"")</f>
        <v/>
      </c>
      <c r="L162" s="280" t="n"/>
      <c r="M162" s="280" t="n"/>
      <c r="N162" s="333">
        <f>IFERROR(IF(L162*M162=0,"",L162*M162),"")</f>
        <v/>
      </c>
      <c r="O162" s="280" t="n"/>
      <c r="P162" s="332">
        <f>IFERROR(VLOOKUP(TEXT(O162,"0"),CONDUCTORES!$A$3:$G$54,2,0),"")</f>
        <v/>
      </c>
      <c r="Q162" s="332">
        <f>IFERROR(VLOOKUP(TEXT(O162,"0"),CONDUCTORES!$A$3:$H$54,6,0),"")</f>
        <v/>
      </c>
      <c r="R162" s="280" t="n"/>
      <c r="S162" s="280" t="n"/>
      <c r="T162" s="280" t="n"/>
      <c r="U162" s="280" t="n"/>
      <c r="V162" s="280" t="n"/>
      <c r="W162" s="280" t="n"/>
      <c r="X162" s="280" t="n"/>
      <c r="Y162" s="280" t="n"/>
    </row>
    <row r="163" ht="15" customHeight="1" s="195">
      <c r="A163" s="334" t="n"/>
      <c r="B163" s="334" t="n"/>
      <c r="C163" s="334" t="n"/>
      <c r="D163" s="334" t="n"/>
      <c r="E163" s="334" t="n"/>
      <c r="F163" s="334" t="n"/>
      <c r="G163" s="334" t="n"/>
      <c r="H163" s="334" t="n"/>
      <c r="I163" s="332">
        <f>IFERROR(VLOOKUP(TEXT(H163,"0"),IPRESS!$A$3:$B$212,2,0),"")</f>
        <v/>
      </c>
      <c r="J163" s="334" t="n"/>
      <c r="K163" s="332">
        <f>IFERROR(VLOOKUP(TEXT(O163,"0"),CONDUCTORES!$A$3:$G$54,7,0),"")</f>
        <v/>
      </c>
      <c r="L163" s="334" t="n"/>
      <c r="M163" s="334" t="n"/>
      <c r="N163" s="333">
        <f>IFERROR(IF(L163*M163=0,"",L163*M163),"")</f>
        <v/>
      </c>
      <c r="O163" s="334" t="n"/>
      <c r="P163" s="332">
        <f>IFERROR(VLOOKUP(TEXT(O163,"0"),CONDUCTORES!$A$3:$G$54,2,0),"")</f>
        <v/>
      </c>
      <c r="Q163" s="332">
        <f>IFERROR(VLOOKUP(TEXT(O163,"0"),CONDUCTORES!$A$3:$H$54,6,0),"")</f>
        <v/>
      </c>
      <c r="R163" s="334" t="n"/>
      <c r="S163" s="334" t="n"/>
      <c r="T163" s="334" t="n"/>
      <c r="U163" s="334" t="n"/>
      <c r="V163" s="334" t="n"/>
      <c r="W163" s="334" t="n"/>
      <c r="X163" s="334" t="n"/>
      <c r="Y163" s="334" t="n"/>
    </row>
    <row r="164" ht="15" customHeight="1" s="195">
      <c r="A164" s="280" t="n"/>
      <c r="B164" s="280" t="n"/>
      <c r="C164" s="280" t="n"/>
      <c r="D164" s="280" t="n"/>
      <c r="E164" s="280" t="n"/>
      <c r="F164" s="280" t="n"/>
      <c r="G164" s="280" t="n"/>
      <c r="H164" s="280" t="n"/>
      <c r="I164" s="332">
        <f>IFERROR(VLOOKUP(TEXT(H164,"0"),IPRESS!$A$3:$B$212,2,0),"")</f>
        <v/>
      </c>
      <c r="J164" s="280" t="n"/>
      <c r="K164" s="332">
        <f>IFERROR(VLOOKUP(TEXT(O164,"0"),CONDUCTORES!$A$3:$G$54,7,0),"")</f>
        <v/>
      </c>
      <c r="L164" s="280" t="n"/>
      <c r="M164" s="280" t="n"/>
      <c r="N164" s="333">
        <f>IFERROR(IF(L164*M164=0,"",L164*M164),"")</f>
        <v/>
      </c>
      <c r="O164" s="280" t="n"/>
      <c r="P164" s="332">
        <f>IFERROR(VLOOKUP(TEXT(O164,"0"),CONDUCTORES!$A$3:$G$54,2,0),"")</f>
        <v/>
      </c>
      <c r="Q164" s="332">
        <f>IFERROR(VLOOKUP(TEXT(O164,"0"),CONDUCTORES!$A$3:$H$54,6,0),"")</f>
        <v/>
      </c>
      <c r="R164" s="280" t="n"/>
      <c r="S164" s="280" t="n"/>
      <c r="T164" s="280" t="n"/>
      <c r="U164" s="280" t="n"/>
      <c r="V164" s="280" t="n"/>
      <c r="W164" s="280" t="n"/>
      <c r="X164" s="280" t="n"/>
      <c r="Y164" s="280" t="n"/>
    </row>
    <row r="165" ht="15" customHeight="1" s="195">
      <c r="A165" s="334" t="n"/>
      <c r="B165" s="334" t="n"/>
      <c r="C165" s="334" t="n"/>
      <c r="D165" s="334" t="n"/>
      <c r="E165" s="334" t="n"/>
      <c r="F165" s="334" t="n"/>
      <c r="G165" s="334" t="n"/>
      <c r="H165" s="334" t="n"/>
      <c r="I165" s="332">
        <f>IFERROR(VLOOKUP(TEXT(H165,"0"),IPRESS!$A$3:$B$212,2,0),"")</f>
        <v/>
      </c>
      <c r="J165" s="334" t="n"/>
      <c r="K165" s="332">
        <f>IFERROR(VLOOKUP(TEXT(O165,"0"),CONDUCTORES!$A$3:$G$54,7,0),"")</f>
        <v/>
      </c>
      <c r="L165" s="334" t="n"/>
      <c r="M165" s="334" t="n"/>
      <c r="N165" s="333">
        <f>IFERROR(IF(L165*M165=0,"",L165*M165),"")</f>
        <v/>
      </c>
      <c r="O165" s="334" t="n"/>
      <c r="P165" s="332">
        <f>IFERROR(VLOOKUP(TEXT(O165,"0"),CONDUCTORES!$A$3:$G$54,2,0),"")</f>
        <v/>
      </c>
      <c r="Q165" s="332">
        <f>IFERROR(VLOOKUP(TEXT(O165,"0"),CONDUCTORES!$A$3:$H$54,6,0),"")</f>
        <v/>
      </c>
      <c r="R165" s="334" t="n"/>
      <c r="S165" s="334" t="n"/>
      <c r="T165" s="334" t="n"/>
      <c r="U165" s="334" t="n"/>
      <c r="V165" s="334" t="n"/>
      <c r="W165" s="334" t="n"/>
      <c r="X165" s="334" t="n"/>
      <c r="Y165" s="334" t="n"/>
    </row>
    <row r="166" ht="15" customHeight="1" s="195">
      <c r="A166" s="280" t="n"/>
      <c r="B166" s="280" t="n"/>
      <c r="C166" s="280" t="n"/>
      <c r="D166" s="280" t="n"/>
      <c r="E166" s="280" t="n"/>
      <c r="F166" s="280" t="n"/>
      <c r="G166" s="280" t="n"/>
      <c r="H166" s="280" t="n"/>
      <c r="I166" s="332">
        <f>IFERROR(VLOOKUP(TEXT(H166,"0"),IPRESS!$A$3:$B$212,2,0),"")</f>
        <v/>
      </c>
      <c r="J166" s="280" t="n"/>
      <c r="K166" s="332">
        <f>IFERROR(VLOOKUP(TEXT(O166,"0"),CONDUCTORES!$A$3:$G$54,7,0),"")</f>
        <v/>
      </c>
      <c r="L166" s="280" t="n"/>
      <c r="M166" s="280" t="n"/>
      <c r="N166" s="333">
        <f>IFERROR(IF(L166*M166=0,"",L166*M166),"")</f>
        <v/>
      </c>
      <c r="O166" s="280" t="n"/>
      <c r="P166" s="332">
        <f>IFERROR(VLOOKUP(TEXT(O166,"0"),CONDUCTORES!$A$3:$G$54,2,0),"")</f>
        <v/>
      </c>
      <c r="Q166" s="332">
        <f>IFERROR(VLOOKUP(TEXT(O166,"0"),CONDUCTORES!$A$3:$H$54,6,0),"")</f>
        <v/>
      </c>
      <c r="R166" s="280" t="n"/>
      <c r="S166" s="280" t="n"/>
      <c r="T166" s="280" t="n"/>
      <c r="U166" s="280" t="n"/>
      <c r="V166" s="280" t="n"/>
      <c r="W166" s="280" t="n"/>
      <c r="X166" s="280" t="n"/>
      <c r="Y166" s="280" t="n"/>
    </row>
    <row r="167" ht="15" customHeight="1" s="195">
      <c r="A167" s="334" t="n"/>
      <c r="B167" s="334" t="n"/>
      <c r="C167" s="334" t="n"/>
      <c r="D167" s="334" t="n"/>
      <c r="E167" s="334" t="n"/>
      <c r="F167" s="334" t="n"/>
      <c r="G167" s="334" t="n"/>
      <c r="H167" s="334" t="n"/>
      <c r="I167" s="332">
        <f>IFERROR(VLOOKUP(TEXT(H167,"0"),IPRESS!$A$3:$B$212,2,0),"")</f>
        <v/>
      </c>
      <c r="J167" s="334" t="n"/>
      <c r="K167" s="332">
        <f>IFERROR(VLOOKUP(TEXT(O167,"0"),CONDUCTORES!$A$3:$G$54,7,0),"")</f>
        <v/>
      </c>
      <c r="L167" s="334" t="n"/>
      <c r="M167" s="334" t="n"/>
      <c r="N167" s="333">
        <f>IFERROR(IF(L167*M167=0,"",L167*M167),"")</f>
        <v/>
      </c>
      <c r="O167" s="334" t="n"/>
      <c r="P167" s="332">
        <f>IFERROR(VLOOKUP(TEXT(O167,"0"),CONDUCTORES!$A$3:$G$54,2,0),"")</f>
        <v/>
      </c>
      <c r="Q167" s="332">
        <f>IFERROR(VLOOKUP(TEXT(O167,"0"),CONDUCTORES!$A$3:$H$54,6,0),"")</f>
        <v/>
      </c>
      <c r="R167" s="334" t="n"/>
      <c r="S167" s="334" t="n"/>
      <c r="T167" s="334" t="n"/>
      <c r="U167" s="334" t="n"/>
      <c r="V167" s="334" t="n"/>
      <c r="W167" s="334" t="n"/>
      <c r="X167" s="334" t="n"/>
      <c r="Y167" s="334" t="n"/>
    </row>
    <row r="168" ht="15" customHeight="1" s="195">
      <c r="A168" s="280" t="n"/>
      <c r="B168" s="280" t="n"/>
      <c r="C168" s="280" t="n"/>
      <c r="D168" s="280" t="n"/>
      <c r="E168" s="280" t="n"/>
      <c r="F168" s="280" t="n"/>
      <c r="G168" s="280" t="n"/>
      <c r="H168" s="280" t="n"/>
      <c r="I168" s="332">
        <f>IFERROR(VLOOKUP(TEXT(H168,"0"),IPRESS!$A$3:$B$212,2,0),"")</f>
        <v/>
      </c>
      <c r="J168" s="280" t="n"/>
      <c r="K168" s="332">
        <f>IFERROR(VLOOKUP(TEXT(O168,"0"),CONDUCTORES!$A$3:$G$54,7,0),"")</f>
        <v/>
      </c>
      <c r="L168" s="280" t="n"/>
      <c r="M168" s="280" t="n"/>
      <c r="N168" s="333">
        <f>IFERROR(IF(L168*M168=0,"",L168*M168),"")</f>
        <v/>
      </c>
      <c r="O168" s="280" t="n"/>
      <c r="P168" s="332">
        <f>IFERROR(VLOOKUP(TEXT(O168,"0"),CONDUCTORES!$A$3:$G$54,2,0),"")</f>
        <v/>
      </c>
      <c r="Q168" s="332">
        <f>IFERROR(VLOOKUP(TEXT(O168,"0"),CONDUCTORES!$A$3:$H$54,6,0),"")</f>
        <v/>
      </c>
      <c r="R168" s="280" t="n"/>
      <c r="S168" s="280" t="n"/>
      <c r="T168" s="280" t="n"/>
      <c r="U168" s="280" t="n"/>
      <c r="V168" s="280" t="n"/>
      <c r="W168" s="280" t="n"/>
      <c r="X168" s="280" t="n"/>
      <c r="Y168" s="280" t="n"/>
    </row>
    <row r="169" ht="15" customHeight="1" s="195">
      <c r="A169" s="334" t="n"/>
      <c r="B169" s="334" t="n"/>
      <c r="C169" s="334" t="n"/>
      <c r="D169" s="334" t="n"/>
      <c r="E169" s="334" t="n"/>
      <c r="F169" s="334" t="n"/>
      <c r="G169" s="334" t="n"/>
      <c r="H169" s="334" t="n"/>
      <c r="I169" s="332">
        <f>IFERROR(VLOOKUP(TEXT(H169,"0"),IPRESS!$A$3:$B$212,2,0),"")</f>
        <v/>
      </c>
      <c r="J169" s="334" t="n"/>
      <c r="K169" s="332">
        <f>IFERROR(VLOOKUP(TEXT(O169,"0"),CONDUCTORES!$A$3:$G$54,7,0),"")</f>
        <v/>
      </c>
      <c r="L169" s="334" t="n"/>
      <c r="M169" s="334" t="n"/>
      <c r="N169" s="333">
        <f>IFERROR(IF(L169*M169=0,"",L169*M169),"")</f>
        <v/>
      </c>
      <c r="O169" s="334" t="n"/>
      <c r="P169" s="332">
        <f>IFERROR(VLOOKUP(TEXT(O169,"0"),CONDUCTORES!$A$3:$G$54,2,0),"")</f>
        <v/>
      </c>
      <c r="Q169" s="332">
        <f>IFERROR(VLOOKUP(TEXT(O169,"0"),CONDUCTORES!$A$3:$H$54,6,0),"")</f>
        <v/>
      </c>
      <c r="R169" s="334" t="n"/>
      <c r="S169" s="334" t="n"/>
      <c r="T169" s="334" t="n"/>
      <c r="U169" s="334" t="n"/>
      <c r="V169" s="334" t="n"/>
      <c r="W169" s="334" t="n"/>
      <c r="X169" s="334" t="n"/>
      <c r="Y169" s="334" t="n"/>
    </row>
    <row r="170" ht="15" customHeight="1" s="195">
      <c r="A170" s="280" t="n"/>
      <c r="B170" s="280" t="n"/>
      <c r="C170" s="280" t="n"/>
      <c r="D170" s="280" t="n"/>
      <c r="E170" s="280" t="n"/>
      <c r="F170" s="280" t="n"/>
      <c r="G170" s="280" t="n"/>
      <c r="H170" s="280" t="n"/>
      <c r="I170" s="332">
        <f>IFERROR(VLOOKUP(TEXT(H170,"0"),IPRESS!$A$3:$B$212,2,0),"")</f>
        <v/>
      </c>
      <c r="J170" s="280" t="n"/>
      <c r="K170" s="332">
        <f>IFERROR(VLOOKUP(TEXT(O170,"0"),CONDUCTORES!$A$3:$G$54,7,0),"")</f>
        <v/>
      </c>
      <c r="L170" s="280" t="n"/>
      <c r="M170" s="280" t="n"/>
      <c r="N170" s="333">
        <f>IFERROR(IF(L170*M170=0,"",L170*M170),"")</f>
        <v/>
      </c>
      <c r="O170" s="280" t="n"/>
      <c r="P170" s="332">
        <f>IFERROR(VLOOKUP(TEXT(O170,"0"),CONDUCTORES!$A$3:$G$54,2,0),"")</f>
        <v/>
      </c>
      <c r="Q170" s="332">
        <f>IFERROR(VLOOKUP(TEXT(O170,"0"),CONDUCTORES!$A$3:$H$54,6,0),"")</f>
        <v/>
      </c>
      <c r="R170" s="280" t="n"/>
      <c r="S170" s="280" t="n"/>
      <c r="T170" s="280" t="n"/>
      <c r="U170" s="280" t="n"/>
      <c r="V170" s="280" t="n"/>
      <c r="W170" s="280" t="n"/>
      <c r="X170" s="280" t="n"/>
      <c r="Y170" s="280" t="n"/>
    </row>
    <row r="171" ht="15" customHeight="1" s="195">
      <c r="A171" s="334" t="n"/>
      <c r="B171" s="334" t="n"/>
      <c r="C171" s="334" t="n"/>
      <c r="D171" s="334" t="n"/>
      <c r="E171" s="334" t="n"/>
      <c r="F171" s="334" t="n"/>
      <c r="G171" s="334" t="n"/>
      <c r="H171" s="334" t="n"/>
      <c r="I171" s="332">
        <f>IFERROR(VLOOKUP(TEXT(H171,"0"),IPRESS!$A$3:$B$212,2,0),"")</f>
        <v/>
      </c>
      <c r="J171" s="334" t="n"/>
      <c r="K171" s="332">
        <f>IFERROR(VLOOKUP(TEXT(O171,"0"),CONDUCTORES!$A$3:$G$54,7,0),"")</f>
        <v/>
      </c>
      <c r="L171" s="334" t="n"/>
      <c r="M171" s="334" t="n"/>
      <c r="N171" s="333">
        <f>IFERROR(IF(L171*M171=0,"",L171*M171),"")</f>
        <v/>
      </c>
      <c r="O171" s="334" t="n"/>
      <c r="P171" s="332">
        <f>IFERROR(VLOOKUP(TEXT(O171,"0"),CONDUCTORES!$A$3:$G$54,2,0),"")</f>
        <v/>
      </c>
      <c r="Q171" s="332">
        <f>IFERROR(VLOOKUP(TEXT(O171,"0"),CONDUCTORES!$A$3:$H$54,6,0),"")</f>
        <v/>
      </c>
      <c r="R171" s="334" t="n"/>
      <c r="S171" s="334" t="n"/>
      <c r="T171" s="334" t="n"/>
      <c r="U171" s="334" t="n"/>
      <c r="V171" s="334" t="n"/>
      <c r="W171" s="334" t="n"/>
      <c r="X171" s="334" t="n"/>
      <c r="Y171" s="334" t="n"/>
    </row>
    <row r="172" ht="15" customHeight="1" s="195">
      <c r="A172" s="280" t="n"/>
      <c r="B172" s="280" t="n"/>
      <c r="C172" s="280" t="n"/>
      <c r="D172" s="280" t="n"/>
      <c r="E172" s="280" t="n"/>
      <c r="F172" s="280" t="n"/>
      <c r="G172" s="280" t="n"/>
      <c r="H172" s="280" t="n"/>
      <c r="I172" s="332">
        <f>IFERROR(VLOOKUP(TEXT(H172,"0"),IPRESS!$A$3:$B$212,2,0),"")</f>
        <v/>
      </c>
      <c r="J172" s="280" t="n"/>
      <c r="K172" s="332">
        <f>IFERROR(VLOOKUP(TEXT(O172,"0"),CONDUCTORES!$A$3:$G$54,7,0),"")</f>
        <v/>
      </c>
      <c r="L172" s="280" t="n"/>
      <c r="M172" s="280" t="n"/>
      <c r="N172" s="333">
        <f>IFERROR(IF(L172*M172=0,"",L172*M172),"")</f>
        <v/>
      </c>
      <c r="O172" s="280" t="n"/>
      <c r="P172" s="332">
        <f>IFERROR(VLOOKUP(TEXT(O172,"0"),CONDUCTORES!$A$3:$G$54,2,0),"")</f>
        <v/>
      </c>
      <c r="Q172" s="332">
        <f>IFERROR(VLOOKUP(TEXT(O172,"0"),CONDUCTORES!$A$3:$H$54,6,0),"")</f>
        <v/>
      </c>
      <c r="R172" s="280" t="n"/>
      <c r="S172" s="280" t="n"/>
      <c r="T172" s="280" t="n"/>
      <c r="U172" s="280" t="n"/>
      <c r="V172" s="280" t="n"/>
      <c r="W172" s="280" t="n"/>
      <c r="X172" s="280" t="n"/>
      <c r="Y172" s="280" t="n"/>
    </row>
    <row r="173" ht="15" customHeight="1" s="195">
      <c r="A173" s="334" t="n"/>
      <c r="B173" s="334" t="n"/>
      <c r="C173" s="334" t="n"/>
      <c r="D173" s="334" t="n"/>
      <c r="E173" s="334" t="n"/>
      <c r="F173" s="334" t="n"/>
      <c r="G173" s="334" t="n"/>
      <c r="H173" s="334" t="n"/>
      <c r="I173" s="332">
        <f>IFERROR(VLOOKUP(TEXT(H173,"0"),IPRESS!$A$3:$B$212,2,0),"")</f>
        <v/>
      </c>
      <c r="J173" s="334" t="n"/>
      <c r="K173" s="332">
        <f>IFERROR(VLOOKUP(TEXT(O173,"0"),CONDUCTORES!$A$3:$G$54,7,0),"")</f>
        <v/>
      </c>
      <c r="L173" s="334" t="n"/>
      <c r="M173" s="334" t="n"/>
      <c r="N173" s="333">
        <f>IFERROR(IF(L173*M173=0,"",L173*M173),"")</f>
        <v/>
      </c>
      <c r="O173" s="334" t="n"/>
      <c r="P173" s="332">
        <f>IFERROR(VLOOKUP(TEXT(O173,"0"),CONDUCTORES!$A$3:$G$54,2,0),"")</f>
        <v/>
      </c>
      <c r="Q173" s="332">
        <f>IFERROR(VLOOKUP(TEXT(O173,"0"),CONDUCTORES!$A$3:$H$54,6,0),"")</f>
        <v/>
      </c>
      <c r="R173" s="334" t="n"/>
      <c r="S173" s="334" t="n"/>
      <c r="T173" s="334" t="n"/>
      <c r="U173" s="334" t="n"/>
      <c r="V173" s="334" t="n"/>
      <c r="W173" s="334" t="n"/>
      <c r="X173" s="334" t="n"/>
      <c r="Y173" s="334" t="n"/>
    </row>
    <row r="174" ht="15" customHeight="1" s="195">
      <c r="A174" s="280" t="n"/>
      <c r="B174" s="280" t="n"/>
      <c r="C174" s="280" t="n"/>
      <c r="D174" s="280" t="n"/>
      <c r="E174" s="280" t="n"/>
      <c r="F174" s="280" t="n"/>
      <c r="G174" s="280" t="n"/>
      <c r="H174" s="280" t="n"/>
      <c r="I174" s="332">
        <f>IFERROR(VLOOKUP(TEXT(H174,"0"),IPRESS!$A$3:$B$212,2,0),"")</f>
        <v/>
      </c>
      <c r="J174" s="280" t="n"/>
      <c r="K174" s="332">
        <f>IFERROR(VLOOKUP(TEXT(O174,"0"),CONDUCTORES!$A$3:$G$54,7,0),"")</f>
        <v/>
      </c>
      <c r="L174" s="280" t="n"/>
      <c r="M174" s="280" t="n"/>
      <c r="N174" s="333">
        <f>IFERROR(IF(L174*M174=0,"",L174*M174),"")</f>
        <v/>
      </c>
      <c r="O174" s="280" t="n"/>
      <c r="P174" s="332">
        <f>IFERROR(VLOOKUP(TEXT(O174,"0"),CONDUCTORES!$A$3:$G$54,2,0),"")</f>
        <v/>
      </c>
      <c r="Q174" s="332">
        <f>IFERROR(VLOOKUP(TEXT(O174,"0"),CONDUCTORES!$A$3:$H$54,6,0),"")</f>
        <v/>
      </c>
      <c r="R174" s="280" t="n"/>
      <c r="S174" s="280" t="n"/>
      <c r="T174" s="280" t="n"/>
      <c r="U174" s="280" t="n"/>
      <c r="V174" s="280" t="n"/>
      <c r="W174" s="280" t="n"/>
      <c r="X174" s="280" t="n"/>
      <c r="Y174" s="280" t="n"/>
    </row>
    <row r="175" ht="15" customHeight="1" s="195">
      <c r="A175" s="334" t="n"/>
      <c r="B175" s="334" t="n"/>
      <c r="C175" s="334" t="n"/>
      <c r="D175" s="334" t="n"/>
      <c r="E175" s="334" t="n"/>
      <c r="F175" s="334" t="n"/>
      <c r="G175" s="334" t="n"/>
      <c r="H175" s="334" t="n"/>
      <c r="I175" s="332">
        <f>IFERROR(VLOOKUP(TEXT(H175,"0"),IPRESS!$A$3:$B$212,2,0),"")</f>
        <v/>
      </c>
      <c r="J175" s="334" t="n"/>
      <c r="K175" s="332">
        <f>IFERROR(VLOOKUP(TEXT(O175,"0"),CONDUCTORES!$A$3:$G$54,7,0),"")</f>
        <v/>
      </c>
      <c r="L175" s="334" t="n"/>
      <c r="M175" s="334" t="n"/>
      <c r="N175" s="333">
        <f>IFERROR(IF(L175*M175=0,"",L175*M175),"")</f>
        <v/>
      </c>
      <c r="O175" s="334" t="n"/>
      <c r="P175" s="332">
        <f>IFERROR(VLOOKUP(TEXT(O175,"0"),CONDUCTORES!$A$3:$G$54,2,0),"")</f>
        <v/>
      </c>
      <c r="Q175" s="332">
        <f>IFERROR(VLOOKUP(TEXT(O175,"0"),CONDUCTORES!$A$3:$H$54,6,0),"")</f>
        <v/>
      </c>
      <c r="R175" s="334" t="n"/>
      <c r="S175" s="334" t="n"/>
      <c r="T175" s="334" t="n"/>
      <c r="U175" s="334" t="n"/>
      <c r="V175" s="334" t="n"/>
      <c r="W175" s="334" t="n"/>
      <c r="X175" s="334" t="n"/>
      <c r="Y175" s="334" t="n"/>
    </row>
    <row r="176" ht="15" customHeight="1" s="195">
      <c r="A176" s="280" t="n"/>
      <c r="B176" s="280" t="n"/>
      <c r="C176" s="280" t="n"/>
      <c r="D176" s="280" t="n"/>
      <c r="E176" s="280" t="n"/>
      <c r="F176" s="280" t="n"/>
      <c r="G176" s="280" t="n"/>
      <c r="H176" s="280" t="n"/>
      <c r="I176" s="332">
        <f>IFERROR(VLOOKUP(TEXT(H176,"0"),IPRESS!$A$3:$B$212,2,0),"")</f>
        <v/>
      </c>
      <c r="J176" s="280" t="n"/>
      <c r="K176" s="332">
        <f>IFERROR(VLOOKUP(TEXT(O176,"0"),CONDUCTORES!$A$3:$G$54,7,0),"")</f>
        <v/>
      </c>
      <c r="L176" s="280" t="n"/>
      <c r="M176" s="280" t="n"/>
      <c r="N176" s="333">
        <f>IFERROR(IF(L176*M176=0,"",L176*M176),"")</f>
        <v/>
      </c>
      <c r="O176" s="280" t="n"/>
      <c r="P176" s="332">
        <f>IFERROR(VLOOKUP(TEXT(O176,"0"),CONDUCTORES!$A$3:$G$54,2,0),"")</f>
        <v/>
      </c>
      <c r="Q176" s="332">
        <f>IFERROR(VLOOKUP(TEXT(O176,"0"),CONDUCTORES!$A$3:$H$54,6,0),"")</f>
        <v/>
      </c>
      <c r="R176" s="280" t="n"/>
      <c r="S176" s="280" t="n"/>
      <c r="T176" s="280" t="n"/>
      <c r="U176" s="280" t="n"/>
      <c r="V176" s="280" t="n"/>
      <c r="W176" s="280" t="n"/>
      <c r="X176" s="280" t="n"/>
      <c r="Y176" s="280" t="n"/>
    </row>
    <row r="177" ht="15" customHeight="1" s="195">
      <c r="A177" s="334" t="n"/>
      <c r="B177" s="334" t="n"/>
      <c r="C177" s="334" t="n"/>
      <c r="D177" s="334" t="n"/>
      <c r="E177" s="334" t="n"/>
      <c r="F177" s="334" t="n"/>
      <c r="G177" s="334" t="n"/>
      <c r="H177" s="334" t="n"/>
      <c r="I177" s="332">
        <f>IFERROR(VLOOKUP(TEXT(H177,"0"),IPRESS!$A$3:$B$212,2,0),"")</f>
        <v/>
      </c>
      <c r="J177" s="334" t="n"/>
      <c r="K177" s="332">
        <f>IFERROR(VLOOKUP(TEXT(O177,"0"),CONDUCTORES!$A$3:$G$54,7,0),"")</f>
        <v/>
      </c>
      <c r="L177" s="334" t="n"/>
      <c r="M177" s="334" t="n"/>
      <c r="N177" s="333">
        <f>IFERROR(IF(L177*M177=0,"",L177*M177),"")</f>
        <v/>
      </c>
      <c r="O177" s="334" t="n"/>
      <c r="P177" s="332">
        <f>IFERROR(VLOOKUP(TEXT(O177,"0"),CONDUCTORES!$A$3:$G$54,2,0),"")</f>
        <v/>
      </c>
      <c r="Q177" s="332">
        <f>IFERROR(VLOOKUP(TEXT(O177,"0"),CONDUCTORES!$A$3:$H$54,6,0),"")</f>
        <v/>
      </c>
      <c r="R177" s="334" t="n"/>
      <c r="S177" s="334" t="n"/>
      <c r="T177" s="334" t="n"/>
      <c r="U177" s="334" t="n"/>
      <c r="V177" s="334" t="n"/>
      <c r="W177" s="334" t="n"/>
      <c r="X177" s="334" t="n"/>
      <c r="Y177" s="334" t="n"/>
    </row>
    <row r="178" ht="15" customHeight="1" s="195">
      <c r="A178" s="280" t="n"/>
      <c r="B178" s="280" t="n"/>
      <c r="C178" s="280" t="n"/>
      <c r="D178" s="280" t="n"/>
      <c r="E178" s="280" t="n"/>
      <c r="F178" s="280" t="n"/>
      <c r="G178" s="280" t="n"/>
      <c r="H178" s="280" t="n"/>
      <c r="I178" s="332">
        <f>IFERROR(VLOOKUP(TEXT(H178,"0"),IPRESS!$A$3:$B$212,2,0),"")</f>
        <v/>
      </c>
      <c r="J178" s="280" t="n"/>
      <c r="K178" s="332">
        <f>IFERROR(VLOOKUP(TEXT(O178,"0"),CONDUCTORES!$A$3:$G$54,7,0),"")</f>
        <v/>
      </c>
      <c r="L178" s="280" t="n"/>
      <c r="M178" s="280" t="n"/>
      <c r="N178" s="333">
        <f>IFERROR(IF(L178*M178=0,"",L178*M178),"")</f>
        <v/>
      </c>
      <c r="O178" s="280" t="n"/>
      <c r="P178" s="332">
        <f>IFERROR(VLOOKUP(TEXT(O178,"0"),CONDUCTORES!$A$3:$G$54,2,0),"")</f>
        <v/>
      </c>
      <c r="Q178" s="332">
        <f>IFERROR(VLOOKUP(TEXT(O178,"0"),CONDUCTORES!$A$3:$H$54,6,0),"")</f>
        <v/>
      </c>
      <c r="R178" s="280" t="n"/>
      <c r="S178" s="280" t="n"/>
      <c r="T178" s="280" t="n"/>
      <c r="U178" s="280" t="n"/>
      <c r="V178" s="280" t="n"/>
      <c r="W178" s="280" t="n"/>
      <c r="X178" s="280" t="n"/>
      <c r="Y178" s="280" t="n"/>
    </row>
    <row r="179" ht="15" customHeight="1" s="195">
      <c r="A179" s="334" t="n"/>
      <c r="B179" s="334" t="n"/>
      <c r="C179" s="334" t="n"/>
      <c r="D179" s="334" t="n"/>
      <c r="E179" s="334" t="n"/>
      <c r="F179" s="334" t="n"/>
      <c r="G179" s="334" t="n"/>
      <c r="H179" s="334" t="n"/>
      <c r="I179" s="332">
        <f>IFERROR(VLOOKUP(TEXT(H179,"0"),IPRESS!$A$3:$B$212,2,0),"")</f>
        <v/>
      </c>
      <c r="J179" s="334" t="n"/>
      <c r="K179" s="332">
        <f>IFERROR(VLOOKUP(TEXT(O179,"0"),CONDUCTORES!$A$3:$G$54,7,0),"")</f>
        <v/>
      </c>
      <c r="L179" s="334" t="n"/>
      <c r="M179" s="334" t="n"/>
      <c r="N179" s="333">
        <f>IFERROR(IF(L179*M179=0,"",L179*M179),"")</f>
        <v/>
      </c>
      <c r="O179" s="334" t="n"/>
      <c r="P179" s="332">
        <f>IFERROR(VLOOKUP(TEXT(O179,"0"),CONDUCTORES!$A$3:$G$54,2,0),"")</f>
        <v/>
      </c>
      <c r="Q179" s="332">
        <f>IFERROR(VLOOKUP(TEXT(O179,"0"),CONDUCTORES!$A$3:$H$54,6,0),"")</f>
        <v/>
      </c>
      <c r="R179" s="334" t="n"/>
      <c r="S179" s="334" t="n"/>
      <c r="T179" s="334" t="n"/>
      <c r="U179" s="334" t="n"/>
      <c r="V179" s="334" t="n"/>
      <c r="W179" s="334" t="n"/>
      <c r="X179" s="334" t="n"/>
      <c r="Y179" s="334" t="n"/>
    </row>
    <row r="180" ht="15" customHeight="1" s="195">
      <c r="A180" s="280" t="n"/>
      <c r="B180" s="280" t="n"/>
      <c r="C180" s="280" t="n"/>
      <c r="D180" s="280" t="n"/>
      <c r="E180" s="280" t="n"/>
      <c r="F180" s="280" t="n"/>
      <c r="G180" s="280" t="n"/>
      <c r="H180" s="280" t="n"/>
      <c r="I180" s="332">
        <f>IFERROR(VLOOKUP(TEXT(H180,"0"),IPRESS!$A$3:$B$212,2,0),"")</f>
        <v/>
      </c>
      <c r="J180" s="280" t="n"/>
      <c r="K180" s="332">
        <f>IFERROR(VLOOKUP(TEXT(O180,"0"),CONDUCTORES!$A$3:$G$54,7,0),"")</f>
        <v/>
      </c>
      <c r="L180" s="280" t="n"/>
      <c r="M180" s="280" t="n"/>
      <c r="N180" s="333">
        <f>IFERROR(IF(L180*M180=0,"",L180*M180),"")</f>
        <v/>
      </c>
      <c r="O180" s="280" t="n"/>
      <c r="P180" s="332">
        <f>IFERROR(VLOOKUP(TEXT(O180,"0"),CONDUCTORES!$A$3:$G$54,2,0),"")</f>
        <v/>
      </c>
      <c r="Q180" s="332">
        <f>IFERROR(VLOOKUP(TEXT(O180,"0"),CONDUCTORES!$A$3:$H$54,6,0),"")</f>
        <v/>
      </c>
      <c r="R180" s="280" t="n"/>
      <c r="S180" s="280" t="n"/>
      <c r="T180" s="280" t="n"/>
      <c r="U180" s="280" t="n"/>
      <c r="V180" s="280" t="n"/>
      <c r="W180" s="280" t="n"/>
      <c r="X180" s="280" t="n"/>
      <c r="Y180" s="280" t="n"/>
    </row>
    <row r="181" ht="15" customHeight="1" s="195">
      <c r="A181" s="334" t="n"/>
      <c r="B181" s="334" t="n"/>
      <c r="C181" s="334" t="n"/>
      <c r="D181" s="334" t="n"/>
      <c r="E181" s="334" t="n"/>
      <c r="F181" s="334" t="n"/>
      <c r="G181" s="334" t="n"/>
      <c r="H181" s="334" t="n"/>
      <c r="I181" s="332">
        <f>IFERROR(VLOOKUP(TEXT(H181,"0"),IPRESS!$A$3:$B$212,2,0),"")</f>
        <v/>
      </c>
      <c r="J181" s="334" t="n"/>
      <c r="K181" s="332">
        <f>IFERROR(VLOOKUP(TEXT(O181,"0"),CONDUCTORES!$A$3:$G$54,7,0),"")</f>
        <v/>
      </c>
      <c r="L181" s="334" t="n"/>
      <c r="M181" s="334" t="n"/>
      <c r="N181" s="333">
        <f>IFERROR(IF(L181*M181=0,"",L181*M181),"")</f>
        <v/>
      </c>
      <c r="O181" s="334" t="n"/>
      <c r="P181" s="332">
        <f>IFERROR(VLOOKUP(TEXT(O181,"0"),CONDUCTORES!$A$3:$G$54,2,0),"")</f>
        <v/>
      </c>
      <c r="Q181" s="332">
        <f>IFERROR(VLOOKUP(TEXT(O181,"0"),CONDUCTORES!$A$3:$H$54,6,0),"")</f>
        <v/>
      </c>
      <c r="R181" s="334" t="n"/>
      <c r="S181" s="334" t="n"/>
      <c r="T181" s="334" t="n"/>
      <c r="U181" s="334" t="n"/>
      <c r="V181" s="334" t="n"/>
      <c r="W181" s="334" t="n"/>
      <c r="X181" s="334" t="n"/>
      <c r="Y181" s="334" t="n"/>
    </row>
    <row r="182" ht="15" customHeight="1" s="195">
      <c r="A182" s="280" t="n"/>
      <c r="B182" s="280" t="n"/>
      <c r="C182" s="280" t="n"/>
      <c r="D182" s="280" t="n"/>
      <c r="E182" s="280" t="n"/>
      <c r="F182" s="280" t="n"/>
      <c r="G182" s="280" t="n"/>
      <c r="H182" s="280" t="n"/>
      <c r="I182" s="332">
        <f>IFERROR(VLOOKUP(TEXT(H182,"0"),IPRESS!$A$3:$B$212,2,0),"")</f>
        <v/>
      </c>
      <c r="J182" s="280" t="n"/>
      <c r="K182" s="332">
        <f>IFERROR(VLOOKUP(TEXT(O182,"0"),CONDUCTORES!$A$3:$G$54,7,0),"")</f>
        <v/>
      </c>
      <c r="L182" s="280" t="n"/>
      <c r="M182" s="280" t="n"/>
      <c r="N182" s="333">
        <f>IFERROR(IF(L182*M182=0,"",L182*M182),"")</f>
        <v/>
      </c>
      <c r="O182" s="280" t="n"/>
      <c r="P182" s="332">
        <f>IFERROR(VLOOKUP(TEXT(O182,"0"),CONDUCTORES!$A$3:$G$54,2,0),"")</f>
        <v/>
      </c>
      <c r="Q182" s="332">
        <f>IFERROR(VLOOKUP(TEXT(O182,"0"),CONDUCTORES!$A$3:$H$54,6,0),"")</f>
        <v/>
      </c>
      <c r="R182" s="280" t="n"/>
      <c r="S182" s="280" t="n"/>
      <c r="T182" s="280" t="n"/>
      <c r="U182" s="280" t="n"/>
      <c r="V182" s="280" t="n"/>
      <c r="W182" s="280" t="n"/>
      <c r="X182" s="280" t="n"/>
      <c r="Y182" s="280" t="n"/>
    </row>
    <row r="183" ht="15" customHeight="1" s="195">
      <c r="A183" s="334" t="n"/>
      <c r="B183" s="334" t="n"/>
      <c r="C183" s="334" t="n"/>
      <c r="D183" s="334" t="n"/>
      <c r="E183" s="334" t="n"/>
      <c r="F183" s="334" t="n"/>
      <c r="G183" s="334" t="n"/>
      <c r="H183" s="334" t="n"/>
      <c r="I183" s="332">
        <f>IFERROR(VLOOKUP(TEXT(H183,"0"),IPRESS!$A$3:$B$212,2,0),"")</f>
        <v/>
      </c>
      <c r="J183" s="334" t="n"/>
      <c r="K183" s="332">
        <f>IFERROR(VLOOKUP(TEXT(O183,"0"),CONDUCTORES!$A$3:$G$54,7,0),"")</f>
        <v/>
      </c>
      <c r="L183" s="334" t="n"/>
      <c r="M183" s="334" t="n"/>
      <c r="N183" s="333">
        <f>IFERROR(IF(L183*M183=0,"",L183*M183),"")</f>
        <v/>
      </c>
      <c r="O183" s="334" t="n"/>
      <c r="P183" s="332">
        <f>IFERROR(VLOOKUP(TEXT(O183,"0"),CONDUCTORES!$A$3:$G$54,2,0),"")</f>
        <v/>
      </c>
      <c r="Q183" s="332">
        <f>IFERROR(VLOOKUP(TEXT(O183,"0"),CONDUCTORES!$A$3:$H$54,6,0),"")</f>
        <v/>
      </c>
      <c r="R183" s="334" t="n"/>
      <c r="S183" s="334" t="n"/>
      <c r="T183" s="334" t="n"/>
      <c r="U183" s="334" t="n"/>
      <c r="V183" s="334" t="n"/>
      <c r="W183" s="334" t="n"/>
      <c r="X183" s="334" t="n"/>
      <c r="Y183" s="334" t="n"/>
    </row>
    <row r="184" ht="15" customHeight="1" s="195">
      <c r="A184" s="280" t="n"/>
      <c r="B184" s="280" t="n"/>
      <c r="C184" s="280" t="n"/>
      <c r="D184" s="280" t="n"/>
      <c r="E184" s="280" t="n"/>
      <c r="F184" s="280" t="n"/>
      <c r="G184" s="280" t="n"/>
      <c r="H184" s="280" t="n"/>
      <c r="I184" s="332">
        <f>IFERROR(VLOOKUP(TEXT(H184,"0"),IPRESS!$A$3:$B$212,2,0),"")</f>
        <v/>
      </c>
      <c r="J184" s="280" t="n"/>
      <c r="K184" s="332">
        <f>IFERROR(VLOOKUP(TEXT(O184,"0"),CONDUCTORES!$A$3:$G$54,7,0),"")</f>
        <v/>
      </c>
      <c r="L184" s="280" t="n"/>
      <c r="M184" s="280" t="n"/>
      <c r="N184" s="333">
        <f>IFERROR(IF(L184*M184=0,"",L184*M184),"")</f>
        <v/>
      </c>
      <c r="O184" s="280" t="n"/>
      <c r="P184" s="332">
        <f>IFERROR(VLOOKUP(TEXT(O184,"0"),CONDUCTORES!$A$3:$G$54,2,0),"")</f>
        <v/>
      </c>
      <c r="Q184" s="332">
        <f>IFERROR(VLOOKUP(TEXT(O184,"0"),CONDUCTORES!$A$3:$H$54,6,0),"")</f>
        <v/>
      </c>
      <c r="R184" s="280" t="n"/>
      <c r="S184" s="280" t="n"/>
      <c r="T184" s="280" t="n"/>
      <c r="U184" s="280" t="n"/>
      <c r="V184" s="280" t="n"/>
      <c r="W184" s="280" t="n"/>
      <c r="X184" s="280" t="n"/>
      <c r="Y184" s="280" t="n"/>
    </row>
    <row r="185" ht="15" customHeight="1" s="195">
      <c r="A185" s="334" t="n"/>
      <c r="B185" s="334" t="n"/>
      <c r="C185" s="334" t="n"/>
      <c r="D185" s="334" t="n"/>
      <c r="E185" s="334" t="n"/>
      <c r="F185" s="334" t="n"/>
      <c r="G185" s="334" t="n"/>
      <c r="H185" s="334" t="n"/>
      <c r="I185" s="332">
        <f>IFERROR(VLOOKUP(TEXT(H185,"0"),IPRESS!$A$3:$B$212,2,0),"")</f>
        <v/>
      </c>
      <c r="J185" s="334" t="n"/>
      <c r="K185" s="332">
        <f>IFERROR(VLOOKUP(TEXT(O185,"0"),CONDUCTORES!$A$3:$G$54,7,0),"")</f>
        <v/>
      </c>
      <c r="L185" s="334" t="n"/>
      <c r="M185" s="334" t="n"/>
      <c r="N185" s="333">
        <f>IFERROR(IF(L185*M185=0,"",L185*M185),"")</f>
        <v/>
      </c>
      <c r="O185" s="334" t="n"/>
      <c r="P185" s="332">
        <f>IFERROR(VLOOKUP(TEXT(O185,"0"),CONDUCTORES!$A$3:$G$54,2,0),"")</f>
        <v/>
      </c>
      <c r="Q185" s="332">
        <f>IFERROR(VLOOKUP(TEXT(O185,"0"),CONDUCTORES!$A$3:$H$54,6,0),"")</f>
        <v/>
      </c>
      <c r="R185" s="334" t="n"/>
      <c r="S185" s="334" t="n"/>
      <c r="T185" s="334" t="n"/>
      <c r="U185" s="334" t="n"/>
      <c r="V185" s="334" t="n"/>
      <c r="W185" s="334" t="n"/>
      <c r="X185" s="334" t="n"/>
      <c r="Y185" s="334" t="n"/>
    </row>
    <row r="186" ht="15" customHeight="1" s="195">
      <c r="A186" s="280" t="n"/>
      <c r="B186" s="280" t="n"/>
      <c r="C186" s="280" t="n"/>
      <c r="D186" s="280" t="n"/>
      <c r="E186" s="280" t="n"/>
      <c r="F186" s="280" t="n"/>
      <c r="G186" s="280" t="n"/>
      <c r="H186" s="280" t="n"/>
      <c r="I186" s="332">
        <f>IFERROR(VLOOKUP(TEXT(H186,"0"),IPRESS!$A$3:$B$212,2,0),"")</f>
        <v/>
      </c>
      <c r="J186" s="280" t="n"/>
      <c r="K186" s="332">
        <f>IFERROR(VLOOKUP(TEXT(O186,"0"),CONDUCTORES!$A$3:$G$54,7,0),"")</f>
        <v/>
      </c>
      <c r="L186" s="280" t="n"/>
      <c r="M186" s="280" t="n"/>
      <c r="N186" s="333">
        <f>IFERROR(IF(L186*M186=0,"",L186*M186),"")</f>
        <v/>
      </c>
      <c r="O186" s="280" t="n"/>
      <c r="P186" s="332">
        <f>IFERROR(VLOOKUP(TEXT(O186,"0"),CONDUCTORES!$A$3:$G$54,2,0),"")</f>
        <v/>
      </c>
      <c r="Q186" s="332">
        <f>IFERROR(VLOOKUP(TEXT(O186,"0"),CONDUCTORES!$A$3:$H$54,6,0),"")</f>
        <v/>
      </c>
      <c r="R186" s="280" t="n"/>
      <c r="S186" s="280" t="n"/>
      <c r="T186" s="280" t="n"/>
      <c r="U186" s="280" t="n"/>
      <c r="V186" s="280" t="n"/>
      <c r="W186" s="280" t="n"/>
      <c r="X186" s="280" t="n"/>
      <c r="Y186" s="280" t="n"/>
    </row>
    <row r="187" ht="15" customHeight="1" s="195">
      <c r="A187" s="334" t="n"/>
      <c r="B187" s="334" t="n"/>
      <c r="C187" s="334" t="n"/>
      <c r="D187" s="334" t="n"/>
      <c r="E187" s="334" t="n"/>
      <c r="F187" s="334" t="n"/>
      <c r="G187" s="334" t="n"/>
      <c r="H187" s="334" t="n"/>
      <c r="I187" s="332">
        <f>IFERROR(VLOOKUP(TEXT(H187,"0"),IPRESS!$A$3:$B$212,2,0),"")</f>
        <v/>
      </c>
      <c r="J187" s="334" t="n"/>
      <c r="K187" s="332">
        <f>IFERROR(VLOOKUP(TEXT(O187,"0"),CONDUCTORES!$A$3:$G$54,7,0),"")</f>
        <v/>
      </c>
      <c r="L187" s="334" t="n"/>
      <c r="M187" s="334" t="n"/>
      <c r="N187" s="333">
        <f>IFERROR(IF(L187*M187=0,"",L187*M187),"")</f>
        <v/>
      </c>
      <c r="O187" s="334" t="n"/>
      <c r="P187" s="332">
        <f>IFERROR(VLOOKUP(TEXT(O187,"0"),CONDUCTORES!$A$3:$G$54,2,0),"")</f>
        <v/>
      </c>
      <c r="Q187" s="332">
        <f>IFERROR(VLOOKUP(TEXT(O187,"0"),CONDUCTORES!$A$3:$H$54,6,0),"")</f>
        <v/>
      </c>
      <c r="R187" s="334" t="n"/>
      <c r="S187" s="334" t="n"/>
      <c r="T187" s="334" t="n"/>
      <c r="U187" s="334" t="n"/>
      <c r="V187" s="334" t="n"/>
      <c r="W187" s="334" t="n"/>
      <c r="X187" s="334" t="n"/>
      <c r="Y187" s="334" t="n"/>
    </row>
    <row r="188" ht="15" customHeight="1" s="195">
      <c r="A188" s="280" t="n"/>
      <c r="B188" s="280" t="n"/>
      <c r="C188" s="280" t="n"/>
      <c r="D188" s="280" t="n"/>
      <c r="E188" s="280" t="n"/>
      <c r="F188" s="280" t="n"/>
      <c r="G188" s="280" t="n"/>
      <c r="H188" s="280" t="n"/>
      <c r="I188" s="332">
        <f>IFERROR(VLOOKUP(TEXT(H188,"0"),IPRESS!$A$3:$B$212,2,0),"")</f>
        <v/>
      </c>
      <c r="J188" s="280" t="n"/>
      <c r="K188" s="332">
        <f>IFERROR(VLOOKUP(TEXT(O188,"0"),CONDUCTORES!$A$3:$G$54,7,0),"")</f>
        <v/>
      </c>
      <c r="L188" s="280" t="n"/>
      <c r="M188" s="280" t="n"/>
      <c r="N188" s="333">
        <f>IFERROR(IF(L188*M188=0,"",L188*M188),"")</f>
        <v/>
      </c>
      <c r="O188" s="280" t="n"/>
      <c r="P188" s="332">
        <f>IFERROR(VLOOKUP(TEXT(O188,"0"),CONDUCTORES!$A$3:$G$54,2,0),"")</f>
        <v/>
      </c>
      <c r="Q188" s="332">
        <f>IFERROR(VLOOKUP(TEXT(O188,"0"),CONDUCTORES!$A$3:$H$54,6,0),"")</f>
        <v/>
      </c>
      <c r="R188" s="280" t="n"/>
      <c r="S188" s="280" t="n"/>
      <c r="T188" s="280" t="n"/>
      <c r="U188" s="280" t="n"/>
      <c r="V188" s="280" t="n"/>
      <c r="W188" s="280" t="n"/>
      <c r="X188" s="280" t="n"/>
      <c r="Y188" s="280" t="n"/>
    </row>
    <row r="189" ht="15" customHeight="1" s="195">
      <c r="A189" s="334" t="n"/>
      <c r="B189" s="334" t="n"/>
      <c r="C189" s="334" t="n"/>
      <c r="D189" s="334" t="n"/>
      <c r="E189" s="334" t="n"/>
      <c r="F189" s="334" t="n"/>
      <c r="G189" s="334" t="n"/>
      <c r="H189" s="334" t="n"/>
      <c r="I189" s="332">
        <f>IFERROR(VLOOKUP(TEXT(H189,"0"),IPRESS!$A$3:$B$212,2,0),"")</f>
        <v/>
      </c>
      <c r="J189" s="334" t="n"/>
      <c r="K189" s="332">
        <f>IFERROR(VLOOKUP(TEXT(O189,"0"),CONDUCTORES!$A$3:$G$54,7,0),"")</f>
        <v/>
      </c>
      <c r="L189" s="334" t="n"/>
      <c r="M189" s="334" t="n"/>
      <c r="N189" s="333">
        <f>IFERROR(IF(L189*M189=0,"",L189*M189),"")</f>
        <v/>
      </c>
      <c r="O189" s="334" t="n"/>
      <c r="P189" s="332">
        <f>IFERROR(VLOOKUP(TEXT(O189,"0"),CONDUCTORES!$A$3:$G$54,2,0),"")</f>
        <v/>
      </c>
      <c r="Q189" s="332">
        <f>IFERROR(VLOOKUP(TEXT(O189,"0"),CONDUCTORES!$A$3:$H$54,6,0),"")</f>
        <v/>
      </c>
      <c r="R189" s="334" t="n"/>
      <c r="S189" s="334" t="n"/>
      <c r="T189" s="334" t="n"/>
      <c r="U189" s="334" t="n"/>
      <c r="V189" s="334" t="n"/>
      <c r="W189" s="334" t="n"/>
      <c r="X189" s="334" t="n"/>
      <c r="Y189" s="334" t="n"/>
    </row>
    <row r="190" ht="15" customHeight="1" s="195">
      <c r="A190" s="280" t="n"/>
      <c r="B190" s="280" t="n"/>
      <c r="C190" s="280" t="n"/>
      <c r="D190" s="280" t="n"/>
      <c r="E190" s="280" t="n"/>
      <c r="F190" s="280" t="n"/>
      <c r="G190" s="280" t="n"/>
      <c r="H190" s="280" t="n"/>
      <c r="I190" s="332">
        <f>IFERROR(VLOOKUP(TEXT(H190,"0"),IPRESS!$A$3:$B$212,2,0),"")</f>
        <v/>
      </c>
      <c r="J190" s="280" t="n"/>
      <c r="K190" s="332">
        <f>IFERROR(VLOOKUP(TEXT(O190,"0"),CONDUCTORES!$A$3:$G$54,7,0),"")</f>
        <v/>
      </c>
      <c r="L190" s="280" t="n"/>
      <c r="M190" s="280" t="n"/>
      <c r="N190" s="333">
        <f>IFERROR(IF(L190*M190=0,"",L190*M190),"")</f>
        <v/>
      </c>
      <c r="O190" s="280" t="n"/>
      <c r="P190" s="332">
        <f>IFERROR(VLOOKUP(TEXT(O190,"0"),CONDUCTORES!$A$3:$G$54,2,0),"")</f>
        <v/>
      </c>
      <c r="Q190" s="332">
        <f>IFERROR(VLOOKUP(TEXT(O190,"0"),CONDUCTORES!$A$3:$H$54,6,0),"")</f>
        <v/>
      </c>
      <c r="R190" s="280" t="n"/>
      <c r="S190" s="280" t="n"/>
      <c r="T190" s="280" t="n"/>
      <c r="U190" s="280" t="n"/>
      <c r="V190" s="280" t="n"/>
      <c r="W190" s="280" t="n"/>
      <c r="X190" s="280" t="n"/>
      <c r="Y190" s="280" t="n"/>
    </row>
    <row r="191" ht="15" customHeight="1" s="195">
      <c r="A191" s="334" t="n"/>
      <c r="B191" s="334" t="n"/>
      <c r="C191" s="334" t="n"/>
      <c r="D191" s="334" t="n"/>
      <c r="E191" s="334" t="n"/>
      <c r="F191" s="334" t="n"/>
      <c r="G191" s="334" t="n"/>
      <c r="H191" s="334" t="n"/>
      <c r="I191" s="332">
        <f>IFERROR(VLOOKUP(TEXT(H191,"0"),IPRESS!$A$3:$B$212,2,0),"")</f>
        <v/>
      </c>
      <c r="J191" s="334" t="n"/>
      <c r="K191" s="332">
        <f>IFERROR(VLOOKUP(TEXT(O191,"0"),CONDUCTORES!$A$3:$G$54,7,0),"")</f>
        <v/>
      </c>
      <c r="L191" s="334" t="n"/>
      <c r="M191" s="334" t="n"/>
      <c r="N191" s="333">
        <f>IFERROR(IF(L191*M191=0,"",L191*M191),"")</f>
        <v/>
      </c>
      <c r="O191" s="334" t="n"/>
      <c r="P191" s="332">
        <f>IFERROR(VLOOKUP(TEXT(O191,"0"),CONDUCTORES!$A$3:$G$54,2,0),"")</f>
        <v/>
      </c>
      <c r="Q191" s="332">
        <f>IFERROR(VLOOKUP(TEXT(O191,"0"),CONDUCTORES!$A$3:$H$54,6,0),"")</f>
        <v/>
      </c>
      <c r="R191" s="334" t="n"/>
      <c r="S191" s="334" t="n"/>
      <c r="T191" s="334" t="n"/>
      <c r="U191" s="334" t="n"/>
      <c r="V191" s="334" t="n"/>
      <c r="W191" s="334" t="n"/>
      <c r="X191" s="334" t="n"/>
      <c r="Y191" s="334" t="n"/>
    </row>
    <row r="192" ht="15" customHeight="1" s="195">
      <c r="A192" s="280" t="n"/>
      <c r="B192" s="280" t="n"/>
      <c r="C192" s="280" t="n"/>
      <c r="D192" s="280" t="n"/>
      <c r="E192" s="280" t="n"/>
      <c r="F192" s="280" t="n"/>
      <c r="G192" s="280" t="n"/>
      <c r="H192" s="280" t="n"/>
      <c r="I192" s="332">
        <f>IFERROR(VLOOKUP(TEXT(H192,"0"),IPRESS!$A$3:$B$212,2,0),"")</f>
        <v/>
      </c>
      <c r="J192" s="280" t="n"/>
      <c r="K192" s="332">
        <f>IFERROR(VLOOKUP(TEXT(O192,"0"),CONDUCTORES!$A$3:$G$54,7,0),"")</f>
        <v/>
      </c>
      <c r="L192" s="280" t="n"/>
      <c r="M192" s="280" t="n"/>
      <c r="N192" s="333">
        <f>IFERROR(IF(L192*M192=0,"",L192*M192),"")</f>
        <v/>
      </c>
      <c r="O192" s="280" t="n"/>
      <c r="P192" s="332">
        <f>IFERROR(VLOOKUP(TEXT(O192,"0"),CONDUCTORES!$A$3:$G$54,2,0),"")</f>
        <v/>
      </c>
      <c r="Q192" s="332">
        <f>IFERROR(VLOOKUP(TEXT(O192,"0"),CONDUCTORES!$A$3:$H$54,6,0),"")</f>
        <v/>
      </c>
      <c r="R192" s="280" t="n"/>
      <c r="S192" s="280" t="n"/>
      <c r="T192" s="280" t="n"/>
      <c r="U192" s="280" t="n"/>
      <c r="V192" s="280" t="n"/>
      <c r="W192" s="280" t="n"/>
      <c r="X192" s="280" t="n"/>
      <c r="Y192" s="280" t="n"/>
    </row>
    <row r="193" ht="15" customHeight="1" s="195">
      <c r="A193" s="334" t="n"/>
      <c r="B193" s="334" t="n"/>
      <c r="C193" s="334" t="n"/>
      <c r="D193" s="334" t="n"/>
      <c r="E193" s="334" t="n"/>
      <c r="F193" s="334" t="n"/>
      <c r="G193" s="334" t="n"/>
      <c r="H193" s="334" t="n"/>
      <c r="I193" s="332">
        <f>IFERROR(VLOOKUP(TEXT(H193,"0"),IPRESS!$A$3:$B$212,2,0),"")</f>
        <v/>
      </c>
      <c r="J193" s="334" t="n"/>
      <c r="K193" s="332">
        <f>IFERROR(VLOOKUP(TEXT(O193,"0"),CONDUCTORES!$A$3:$G$54,7,0),"")</f>
        <v/>
      </c>
      <c r="L193" s="334" t="n"/>
      <c r="M193" s="334" t="n"/>
      <c r="N193" s="333">
        <f>IFERROR(IF(L193*M193=0,"",L193*M193),"")</f>
        <v/>
      </c>
      <c r="O193" s="334" t="n"/>
      <c r="P193" s="332">
        <f>IFERROR(VLOOKUP(TEXT(O193,"0"),CONDUCTORES!$A$3:$G$54,2,0),"")</f>
        <v/>
      </c>
      <c r="Q193" s="332">
        <f>IFERROR(VLOOKUP(TEXT(O193,"0"),CONDUCTORES!$A$3:$H$54,6,0),"")</f>
        <v/>
      </c>
      <c r="R193" s="334" t="n"/>
      <c r="S193" s="334" t="n"/>
      <c r="T193" s="334" t="n"/>
      <c r="U193" s="334" t="n"/>
      <c r="V193" s="334" t="n"/>
      <c r="W193" s="334" t="n"/>
      <c r="X193" s="334" t="n"/>
      <c r="Y193" s="334" t="n"/>
    </row>
    <row r="194" ht="15" customHeight="1" s="195">
      <c r="A194" s="280" t="n"/>
      <c r="B194" s="280" t="n"/>
      <c r="C194" s="280" t="n"/>
      <c r="D194" s="280" t="n"/>
      <c r="E194" s="280" t="n"/>
      <c r="F194" s="280" t="n"/>
      <c r="G194" s="280" t="n"/>
      <c r="H194" s="280" t="n"/>
      <c r="I194" s="332">
        <f>IFERROR(VLOOKUP(TEXT(H194,"0"),IPRESS!$A$3:$B$212,2,0),"")</f>
        <v/>
      </c>
      <c r="J194" s="280" t="n"/>
      <c r="K194" s="332">
        <f>IFERROR(VLOOKUP(TEXT(O194,"0"),CONDUCTORES!$A$3:$G$54,7,0),"")</f>
        <v/>
      </c>
      <c r="L194" s="280" t="n"/>
      <c r="M194" s="280" t="n"/>
      <c r="N194" s="333">
        <f>IFERROR(IF(L194*M194=0,"",L194*M194),"")</f>
        <v/>
      </c>
      <c r="O194" s="280" t="n"/>
      <c r="P194" s="332">
        <f>IFERROR(VLOOKUP(TEXT(O194,"0"),CONDUCTORES!$A$3:$G$54,2,0),"")</f>
        <v/>
      </c>
      <c r="Q194" s="332">
        <f>IFERROR(VLOOKUP(TEXT(O194,"0"),CONDUCTORES!$A$3:$H$54,6,0),"")</f>
        <v/>
      </c>
      <c r="R194" s="280" t="n"/>
      <c r="S194" s="280" t="n"/>
      <c r="T194" s="280" t="n"/>
      <c r="U194" s="280" t="n"/>
      <c r="V194" s="280" t="n"/>
      <c r="W194" s="280" t="n"/>
      <c r="X194" s="280" t="n"/>
      <c r="Y194" s="280" t="n"/>
    </row>
    <row r="195" ht="15" customHeight="1" s="195">
      <c r="A195" s="334" t="n"/>
      <c r="B195" s="334" t="n"/>
      <c r="C195" s="334" t="n"/>
      <c r="D195" s="334" t="n"/>
      <c r="E195" s="334" t="n"/>
      <c r="F195" s="334" t="n"/>
      <c r="G195" s="334" t="n"/>
      <c r="H195" s="334" t="n"/>
      <c r="I195" s="332">
        <f>IFERROR(VLOOKUP(TEXT(H195,"0"),IPRESS!$A$3:$B$212,2,0),"")</f>
        <v/>
      </c>
      <c r="J195" s="334" t="n"/>
      <c r="K195" s="332">
        <f>IFERROR(VLOOKUP(TEXT(O195,"0"),CONDUCTORES!$A$3:$G$54,7,0),"")</f>
        <v/>
      </c>
      <c r="L195" s="334" t="n"/>
      <c r="M195" s="334" t="n"/>
      <c r="N195" s="333">
        <f>IFERROR(IF(L195*M195=0,"",L195*M195),"")</f>
        <v/>
      </c>
      <c r="O195" s="334" t="n"/>
      <c r="P195" s="332">
        <f>IFERROR(VLOOKUP(TEXT(O195,"0"),CONDUCTORES!$A$3:$G$54,2,0),"")</f>
        <v/>
      </c>
      <c r="Q195" s="332">
        <f>IFERROR(VLOOKUP(TEXT(O195,"0"),CONDUCTORES!$A$3:$H$54,6,0),"")</f>
        <v/>
      </c>
      <c r="R195" s="334" t="n"/>
      <c r="S195" s="334" t="n"/>
      <c r="T195" s="334" t="n"/>
      <c r="U195" s="334" t="n"/>
      <c r="V195" s="334" t="n"/>
      <c r="W195" s="334" t="n"/>
      <c r="X195" s="334" t="n"/>
      <c r="Y195" s="334" t="n"/>
    </row>
    <row r="196" ht="15" customHeight="1" s="195">
      <c r="A196" s="280" t="n"/>
      <c r="B196" s="280" t="n"/>
      <c r="C196" s="280" t="n"/>
      <c r="D196" s="280" t="n"/>
      <c r="E196" s="280" t="n"/>
      <c r="F196" s="280" t="n"/>
      <c r="G196" s="280" t="n"/>
      <c r="H196" s="280" t="n"/>
      <c r="I196" s="332">
        <f>IFERROR(VLOOKUP(TEXT(H196,"0"),IPRESS!$A$3:$B$212,2,0),"")</f>
        <v/>
      </c>
      <c r="J196" s="280" t="n"/>
      <c r="K196" s="332">
        <f>IFERROR(VLOOKUP(TEXT(O196,"0"),CONDUCTORES!$A$3:$G$54,7,0),"")</f>
        <v/>
      </c>
      <c r="L196" s="280" t="n"/>
      <c r="M196" s="280" t="n"/>
      <c r="N196" s="333">
        <f>IFERROR(IF(L196*M196=0,"",L196*M196),"")</f>
        <v/>
      </c>
      <c r="O196" s="280" t="n"/>
      <c r="P196" s="332">
        <f>IFERROR(VLOOKUP(TEXT(O196,"0"),CONDUCTORES!$A$3:$G$54,2,0),"")</f>
        <v/>
      </c>
      <c r="Q196" s="332">
        <f>IFERROR(VLOOKUP(TEXT(O196,"0"),CONDUCTORES!$A$3:$H$54,6,0),"")</f>
        <v/>
      </c>
      <c r="R196" s="280" t="n"/>
      <c r="S196" s="280" t="n"/>
      <c r="T196" s="280" t="n"/>
      <c r="U196" s="280" t="n"/>
      <c r="V196" s="280" t="n"/>
      <c r="W196" s="280" t="n"/>
      <c r="X196" s="280" t="n"/>
      <c r="Y196" s="280" t="n"/>
    </row>
    <row r="197" ht="15" customHeight="1" s="195">
      <c r="A197" s="334" t="n"/>
      <c r="B197" s="334" t="n"/>
      <c r="C197" s="334" t="n"/>
      <c r="D197" s="334" t="n"/>
      <c r="E197" s="334" t="n"/>
      <c r="F197" s="334" t="n"/>
      <c r="G197" s="334" t="n"/>
      <c r="H197" s="334" t="n"/>
      <c r="I197" s="332">
        <f>IFERROR(VLOOKUP(TEXT(H197,"0"),IPRESS!$A$3:$B$212,2,0),"")</f>
        <v/>
      </c>
      <c r="J197" s="334" t="n"/>
      <c r="K197" s="332">
        <f>IFERROR(VLOOKUP(TEXT(O197,"0"),CONDUCTORES!$A$3:$G$54,7,0),"")</f>
        <v/>
      </c>
      <c r="L197" s="334" t="n"/>
      <c r="M197" s="334" t="n"/>
      <c r="N197" s="333">
        <f>IFERROR(IF(L197*M197=0,"",L197*M197),"")</f>
        <v/>
      </c>
      <c r="O197" s="334" t="n"/>
      <c r="P197" s="332">
        <f>IFERROR(VLOOKUP(TEXT(O197,"0"),CONDUCTORES!$A$3:$G$54,2,0),"")</f>
        <v/>
      </c>
      <c r="Q197" s="332">
        <f>IFERROR(VLOOKUP(TEXT(O197,"0"),CONDUCTORES!$A$3:$H$54,6,0),"")</f>
        <v/>
      </c>
      <c r="R197" s="334" t="n"/>
      <c r="S197" s="334" t="n"/>
      <c r="T197" s="334" t="n"/>
      <c r="U197" s="334" t="n"/>
      <c r="V197" s="334" t="n"/>
      <c r="W197" s="334" t="n"/>
      <c r="X197" s="334" t="n"/>
      <c r="Y197" s="334" t="n"/>
    </row>
    <row r="198" ht="15" customHeight="1" s="195">
      <c r="A198" s="280" t="n"/>
      <c r="B198" s="280" t="n"/>
      <c r="C198" s="280" t="n"/>
      <c r="D198" s="280" t="n"/>
      <c r="E198" s="280" t="n"/>
      <c r="F198" s="280" t="n"/>
      <c r="G198" s="280" t="n"/>
      <c r="H198" s="280" t="n"/>
      <c r="I198" s="332">
        <f>IFERROR(VLOOKUP(TEXT(H198,"0"),IPRESS!$A$3:$B$212,2,0),"")</f>
        <v/>
      </c>
      <c r="J198" s="280" t="n"/>
      <c r="K198" s="332">
        <f>IFERROR(VLOOKUP(TEXT(O198,"0"),CONDUCTORES!$A$3:$G$54,7,0),"")</f>
        <v/>
      </c>
      <c r="L198" s="280" t="n"/>
      <c r="M198" s="280" t="n"/>
      <c r="N198" s="333">
        <f>IFERROR(IF(L198*M198=0,"",L198*M198),"")</f>
        <v/>
      </c>
      <c r="O198" s="280" t="n"/>
      <c r="P198" s="332">
        <f>IFERROR(VLOOKUP(TEXT(O198,"0"),CONDUCTORES!$A$3:$G$54,2,0),"")</f>
        <v/>
      </c>
      <c r="Q198" s="332">
        <f>IFERROR(VLOOKUP(TEXT(O198,"0"),CONDUCTORES!$A$3:$H$54,6,0),"")</f>
        <v/>
      </c>
      <c r="R198" s="280" t="n"/>
      <c r="S198" s="280" t="n"/>
      <c r="T198" s="280" t="n"/>
      <c r="U198" s="280" t="n"/>
      <c r="V198" s="280" t="n"/>
      <c r="W198" s="280" t="n"/>
      <c r="X198" s="280" t="n"/>
      <c r="Y198" s="280" t="n"/>
    </row>
    <row r="199" ht="15" customHeight="1" s="195">
      <c r="A199" s="334" t="n"/>
      <c r="B199" s="334" t="n"/>
      <c r="C199" s="334" t="n"/>
      <c r="D199" s="334" t="n"/>
      <c r="E199" s="334" t="n"/>
      <c r="F199" s="334" t="n"/>
      <c r="G199" s="334" t="n"/>
      <c r="H199" s="334" t="n"/>
      <c r="I199" s="332">
        <f>IFERROR(VLOOKUP(TEXT(H199,"0"),IPRESS!$A$3:$B$212,2,0),"")</f>
        <v/>
      </c>
      <c r="J199" s="334" t="n"/>
      <c r="K199" s="332">
        <f>IFERROR(VLOOKUP(TEXT(O199,"0"),CONDUCTORES!$A$3:$G$54,7,0),"")</f>
        <v/>
      </c>
      <c r="L199" s="334" t="n"/>
      <c r="M199" s="334" t="n"/>
      <c r="N199" s="333">
        <f>IFERROR(IF(L199*M199=0,"",L199*M199),"")</f>
        <v/>
      </c>
      <c r="O199" s="334" t="n"/>
      <c r="P199" s="332">
        <f>IFERROR(VLOOKUP(TEXT(O199,"0"),CONDUCTORES!$A$3:$G$54,2,0),"")</f>
        <v/>
      </c>
      <c r="Q199" s="332">
        <f>IFERROR(VLOOKUP(TEXT(O199,"0"),CONDUCTORES!$A$3:$H$54,6,0),"")</f>
        <v/>
      </c>
      <c r="R199" s="334" t="n"/>
      <c r="S199" s="334" t="n"/>
      <c r="T199" s="334" t="n"/>
      <c r="U199" s="334" t="n"/>
      <c r="V199" s="334" t="n"/>
      <c r="W199" s="334" t="n"/>
      <c r="X199" s="334" t="n"/>
      <c r="Y199" s="334" t="n"/>
    </row>
    <row r="200" ht="15" customHeight="1" s="195">
      <c r="A200" s="280" t="n"/>
      <c r="B200" s="280" t="n"/>
      <c r="C200" s="280" t="n"/>
      <c r="D200" s="280" t="n"/>
      <c r="E200" s="280" t="n"/>
      <c r="F200" s="280" t="n"/>
      <c r="G200" s="280" t="n"/>
      <c r="H200" s="280" t="n"/>
      <c r="I200" s="332">
        <f>IFERROR(VLOOKUP(TEXT(H200,"0"),IPRESS!$A$3:$B$212,2,0),"")</f>
        <v/>
      </c>
      <c r="J200" s="280" t="n"/>
      <c r="K200" s="332">
        <f>IFERROR(VLOOKUP(TEXT(O200,"0"),CONDUCTORES!$A$3:$G$54,7,0),"")</f>
        <v/>
      </c>
      <c r="L200" s="280" t="n"/>
      <c r="M200" s="280" t="n"/>
      <c r="N200" s="333">
        <f>IFERROR(IF(L200*M200=0,"",L200*M200),"")</f>
        <v/>
      </c>
      <c r="O200" s="280" t="n"/>
      <c r="P200" s="332">
        <f>IFERROR(VLOOKUP(TEXT(O200,"0"),CONDUCTORES!$A$3:$G$54,2,0),"")</f>
        <v/>
      </c>
      <c r="Q200" s="332">
        <f>IFERROR(VLOOKUP(TEXT(O200,"0"),CONDUCTORES!$A$3:$H$54,6,0),"")</f>
        <v/>
      </c>
      <c r="R200" s="280" t="n"/>
      <c r="S200" s="280" t="n"/>
      <c r="T200" s="280" t="n"/>
      <c r="U200" s="280" t="n"/>
      <c r="V200" s="280" t="n"/>
      <c r="W200" s="280" t="n"/>
      <c r="X200" s="280" t="n"/>
      <c r="Y200" s="280" t="n"/>
    </row>
    <row r="201" ht="15" customHeight="1" s="195">
      <c r="A201" s="334" t="n"/>
      <c r="B201" s="334" t="n"/>
      <c r="C201" s="334" t="n"/>
      <c r="D201" s="334" t="n"/>
      <c r="E201" s="334" t="n"/>
      <c r="F201" s="334" t="n"/>
      <c r="G201" s="334" t="n"/>
      <c r="H201" s="334" t="n"/>
      <c r="I201" s="332">
        <f>IFERROR(VLOOKUP(TEXT(H201,"0"),IPRESS!$A$3:$B$212,2,0),"")</f>
        <v/>
      </c>
      <c r="J201" s="334" t="n"/>
      <c r="K201" s="332">
        <f>IFERROR(VLOOKUP(TEXT(O201,"0"),CONDUCTORES!$A$3:$G$54,7,0),"")</f>
        <v/>
      </c>
      <c r="L201" s="334" t="n"/>
      <c r="M201" s="334" t="n"/>
      <c r="N201" s="333">
        <f>IFERROR(IF(L201*M201=0,"",L201*M201),"")</f>
        <v/>
      </c>
      <c r="O201" s="334" t="n"/>
      <c r="P201" s="332">
        <f>IFERROR(VLOOKUP(TEXT(O201,"0"),CONDUCTORES!$A$3:$G$54,2,0),"")</f>
        <v/>
      </c>
      <c r="Q201" s="332">
        <f>IFERROR(VLOOKUP(TEXT(O201,"0"),CONDUCTORES!$A$3:$H$54,6,0),"")</f>
        <v/>
      </c>
      <c r="R201" s="334" t="n"/>
      <c r="S201" s="334" t="n"/>
      <c r="T201" s="334" t="n"/>
      <c r="U201" s="334" t="n"/>
      <c r="V201" s="334" t="n"/>
      <c r="W201" s="334" t="n"/>
      <c r="X201" s="334" t="n"/>
      <c r="Y201" s="334" t="n"/>
    </row>
    <row r="202" ht="15" customHeight="1" s="195">
      <c r="A202" s="280" t="n"/>
      <c r="B202" s="280" t="n"/>
      <c r="C202" s="280" t="n"/>
      <c r="D202" s="280" t="n"/>
      <c r="E202" s="280" t="n"/>
      <c r="F202" s="280" t="n"/>
      <c r="G202" s="280" t="n"/>
      <c r="H202" s="280" t="n"/>
      <c r="I202" s="332">
        <f>IFERROR(VLOOKUP(TEXT(H202,"0"),IPRESS!$A$3:$B$212,2,0),"")</f>
        <v/>
      </c>
      <c r="J202" s="280" t="n"/>
      <c r="K202" s="332">
        <f>IFERROR(VLOOKUP(TEXT(O202,"0"),CONDUCTORES!$A$3:$G$54,7,0),"")</f>
        <v/>
      </c>
      <c r="L202" s="280" t="n"/>
      <c r="M202" s="280" t="n"/>
      <c r="N202" s="333">
        <f>IFERROR(IF(L202*M202=0,"",L202*M202),"")</f>
        <v/>
      </c>
      <c r="O202" s="280" t="n"/>
      <c r="P202" s="332">
        <f>IFERROR(VLOOKUP(TEXT(O202,"0"),CONDUCTORES!$A$3:$G$54,2,0),"")</f>
        <v/>
      </c>
      <c r="Q202" s="332">
        <f>IFERROR(VLOOKUP(TEXT(O202,"0"),CONDUCTORES!$A$3:$H$54,6,0),"")</f>
        <v/>
      </c>
      <c r="R202" s="280" t="n"/>
      <c r="S202" s="280" t="n"/>
      <c r="T202" s="280" t="n"/>
      <c r="U202" s="280" t="n"/>
      <c r="V202" s="280" t="n"/>
      <c r="W202" s="280" t="n"/>
      <c r="X202" s="280" t="n"/>
      <c r="Y202" s="280" t="n"/>
    </row>
    <row r="203" ht="15" customHeight="1" s="195">
      <c r="A203" s="334" t="n"/>
      <c r="B203" s="334" t="n"/>
      <c r="C203" s="334" t="n"/>
      <c r="D203" s="334" t="n"/>
      <c r="E203" s="334" t="n"/>
      <c r="F203" s="334" t="n"/>
      <c r="G203" s="334" t="n"/>
      <c r="H203" s="334" t="n"/>
      <c r="I203" s="332">
        <f>IFERROR(VLOOKUP(TEXT(H203,"0"),IPRESS!$A$3:$B$212,2,0),"")</f>
        <v/>
      </c>
      <c r="J203" s="334" t="n"/>
      <c r="K203" s="332">
        <f>IFERROR(VLOOKUP(TEXT(O203,"0"),CONDUCTORES!$A$3:$G$54,7,0),"")</f>
        <v/>
      </c>
      <c r="L203" s="334" t="n"/>
      <c r="M203" s="334" t="n"/>
      <c r="N203" s="333">
        <f>IFERROR(IF(L203*M203=0,"",L203*M203),"")</f>
        <v/>
      </c>
      <c r="O203" s="334" t="n"/>
      <c r="P203" s="332">
        <f>IFERROR(VLOOKUP(TEXT(O203,"0"),CONDUCTORES!$A$3:$G$54,2,0),"")</f>
        <v/>
      </c>
      <c r="Q203" s="332">
        <f>IFERROR(VLOOKUP(TEXT(O203,"0"),CONDUCTORES!$A$3:$H$54,6,0),"")</f>
        <v/>
      </c>
      <c r="R203" s="334" t="n"/>
      <c r="S203" s="334" t="n"/>
      <c r="T203" s="334" t="n"/>
      <c r="U203" s="334" t="n"/>
      <c r="V203" s="334" t="n"/>
      <c r="W203" s="334" t="n"/>
      <c r="X203" s="334" t="n"/>
      <c r="Y203" s="334" t="n"/>
    </row>
    <row r="204" ht="15" customHeight="1" s="195">
      <c r="A204" s="280" t="n"/>
      <c r="B204" s="280" t="n"/>
      <c r="C204" s="280" t="n"/>
      <c r="D204" s="280" t="n"/>
      <c r="E204" s="280" t="n"/>
      <c r="F204" s="280" t="n"/>
      <c r="G204" s="280" t="n"/>
      <c r="H204" s="280" t="n"/>
      <c r="I204" s="332">
        <f>IFERROR(VLOOKUP(TEXT(H204,"0"),IPRESS!$A$3:$B$212,2,0),"")</f>
        <v/>
      </c>
      <c r="J204" s="280" t="n"/>
      <c r="K204" s="332">
        <f>IFERROR(VLOOKUP(TEXT(O204,"0"),CONDUCTORES!$A$3:$G$54,7,0),"")</f>
        <v/>
      </c>
      <c r="L204" s="280" t="n"/>
      <c r="M204" s="280" t="n"/>
      <c r="N204" s="333">
        <f>IFERROR(IF(L204*M204=0,"",L204*M204),"")</f>
        <v/>
      </c>
      <c r="O204" s="280" t="n"/>
      <c r="P204" s="332">
        <f>IFERROR(VLOOKUP(TEXT(O204,"0"),CONDUCTORES!$A$3:$G$54,2,0),"")</f>
        <v/>
      </c>
      <c r="Q204" s="332">
        <f>IFERROR(VLOOKUP(TEXT(O204,"0"),CONDUCTORES!$A$3:$H$54,6,0),"")</f>
        <v/>
      </c>
      <c r="R204" s="280" t="n"/>
      <c r="S204" s="280" t="n"/>
      <c r="T204" s="280" t="n"/>
      <c r="U204" s="280" t="n"/>
      <c r="V204" s="280" t="n"/>
      <c r="W204" s="280" t="n"/>
      <c r="X204" s="280" t="n"/>
      <c r="Y204" s="280" t="n"/>
    </row>
    <row r="205" ht="15" customHeight="1" s="195">
      <c r="A205" s="334" t="n"/>
      <c r="B205" s="334" t="n"/>
      <c r="C205" s="334" t="n"/>
      <c r="D205" s="334" t="n"/>
      <c r="E205" s="334" t="n"/>
      <c r="F205" s="334" t="n"/>
      <c r="G205" s="334" t="n"/>
      <c r="H205" s="334" t="n"/>
      <c r="I205" s="332">
        <f>IFERROR(VLOOKUP(TEXT(H205,"0"),IPRESS!$A$3:$B$212,2,0),"")</f>
        <v/>
      </c>
      <c r="J205" s="334" t="n"/>
      <c r="K205" s="332">
        <f>IFERROR(VLOOKUP(TEXT(O205,"0"),CONDUCTORES!$A$3:$G$54,7,0),"")</f>
        <v/>
      </c>
      <c r="L205" s="334" t="n"/>
      <c r="M205" s="334" t="n"/>
      <c r="N205" s="333">
        <f>IFERROR(IF(L205*M205=0,"",L205*M205),"")</f>
        <v/>
      </c>
      <c r="O205" s="334" t="n"/>
      <c r="P205" s="332">
        <f>IFERROR(VLOOKUP(TEXT(O205,"0"),CONDUCTORES!$A$3:$G$54,2,0),"")</f>
        <v/>
      </c>
      <c r="Q205" s="332">
        <f>IFERROR(VLOOKUP(TEXT(O205,"0"),CONDUCTORES!$A$3:$H$54,6,0),"")</f>
        <v/>
      </c>
      <c r="R205" s="334" t="n"/>
      <c r="S205" s="334" t="n"/>
      <c r="T205" s="334" t="n"/>
      <c r="U205" s="334" t="n"/>
      <c r="V205" s="334" t="n"/>
      <c r="W205" s="334" t="n"/>
      <c r="X205" s="334" t="n"/>
      <c r="Y205" s="334" t="n"/>
    </row>
    <row r="206" ht="15" customHeight="1" s="195">
      <c r="A206" s="280" t="n"/>
      <c r="B206" s="280" t="n"/>
      <c r="C206" s="280" t="n"/>
      <c r="D206" s="280" t="n"/>
      <c r="E206" s="280" t="n"/>
      <c r="F206" s="280" t="n"/>
      <c r="G206" s="280" t="n"/>
      <c r="H206" s="280" t="n"/>
      <c r="I206" s="332">
        <f>IFERROR(VLOOKUP(TEXT(H206,"0"),IPRESS!$A$3:$B$212,2,0),"")</f>
        <v/>
      </c>
      <c r="J206" s="280" t="n"/>
      <c r="K206" s="332">
        <f>IFERROR(VLOOKUP(TEXT(O206,"0"),CONDUCTORES!$A$3:$G$54,7,0),"")</f>
        <v/>
      </c>
      <c r="L206" s="280" t="n"/>
      <c r="M206" s="280" t="n"/>
      <c r="N206" s="333">
        <f>IFERROR(IF(L206*M206=0,"",L206*M206),"")</f>
        <v/>
      </c>
      <c r="O206" s="280" t="n"/>
      <c r="P206" s="332">
        <f>IFERROR(VLOOKUP(TEXT(O206,"0"),CONDUCTORES!$A$3:$G$54,2,0),"")</f>
        <v/>
      </c>
      <c r="Q206" s="332">
        <f>IFERROR(VLOOKUP(TEXT(O206,"0"),CONDUCTORES!$A$3:$H$54,6,0),"")</f>
        <v/>
      </c>
      <c r="R206" s="280" t="n"/>
      <c r="S206" s="280" t="n"/>
      <c r="T206" s="280" t="n"/>
      <c r="U206" s="280" t="n"/>
      <c r="V206" s="280" t="n"/>
      <c r="W206" s="280" t="n"/>
      <c r="X206" s="280" t="n"/>
      <c r="Y206" s="280" t="n"/>
    </row>
    <row r="207" ht="15" customHeight="1" s="195">
      <c r="A207" s="334" t="n"/>
      <c r="B207" s="334" t="n"/>
      <c r="C207" s="334" t="n"/>
      <c r="D207" s="334" t="n"/>
      <c r="E207" s="334" t="n"/>
      <c r="F207" s="334" t="n"/>
      <c r="G207" s="334" t="n"/>
      <c r="H207" s="334" t="n"/>
      <c r="I207" s="332">
        <f>IFERROR(VLOOKUP(TEXT(H207,"0"),IPRESS!$A$3:$B$212,2,0),"")</f>
        <v/>
      </c>
      <c r="J207" s="334" t="n"/>
      <c r="K207" s="332">
        <f>IFERROR(VLOOKUP(TEXT(O207,"0"),CONDUCTORES!$A$3:$G$54,7,0),"")</f>
        <v/>
      </c>
      <c r="L207" s="334" t="n"/>
      <c r="M207" s="334" t="n"/>
      <c r="N207" s="333">
        <f>IFERROR(IF(L207*M207=0,"",L207*M207),"")</f>
        <v/>
      </c>
      <c r="O207" s="334" t="n"/>
      <c r="P207" s="332">
        <f>IFERROR(VLOOKUP(TEXT(O207,"0"),CONDUCTORES!$A$3:$G$54,2,0),"")</f>
        <v/>
      </c>
      <c r="Q207" s="332">
        <f>IFERROR(VLOOKUP(TEXT(O207,"0"),CONDUCTORES!$A$3:$H$54,6,0),"")</f>
        <v/>
      </c>
      <c r="R207" s="334" t="n"/>
      <c r="S207" s="334" t="n"/>
      <c r="T207" s="334" t="n"/>
      <c r="U207" s="334" t="n"/>
      <c r="V207" s="334" t="n"/>
      <c r="W207" s="334" t="n"/>
      <c r="X207" s="334" t="n"/>
      <c r="Y207" s="334" t="n"/>
    </row>
    <row r="208" ht="15" customHeight="1" s="195">
      <c r="A208" s="280" t="n"/>
      <c r="B208" s="280" t="n"/>
      <c r="C208" s="280" t="n"/>
      <c r="D208" s="280" t="n"/>
      <c r="E208" s="280" t="n"/>
      <c r="F208" s="280" t="n"/>
      <c r="G208" s="280" t="n"/>
      <c r="H208" s="280" t="n"/>
      <c r="I208" s="332">
        <f>IFERROR(VLOOKUP(TEXT(H208,"0"),IPRESS!$A$3:$B$212,2,0),"")</f>
        <v/>
      </c>
      <c r="J208" s="280" t="n"/>
      <c r="K208" s="332">
        <f>IFERROR(VLOOKUP(TEXT(O208,"0"),CONDUCTORES!$A$3:$G$54,7,0),"")</f>
        <v/>
      </c>
      <c r="L208" s="280" t="n"/>
      <c r="M208" s="280" t="n"/>
      <c r="N208" s="333">
        <f>IFERROR(IF(L208*M208=0,"",L208*M208),"")</f>
        <v/>
      </c>
      <c r="O208" s="280" t="n"/>
      <c r="P208" s="332">
        <f>IFERROR(VLOOKUP(TEXT(O208,"0"),CONDUCTORES!$A$3:$G$54,2,0),"")</f>
        <v/>
      </c>
      <c r="Q208" s="332">
        <f>IFERROR(VLOOKUP(TEXT(O208,"0"),CONDUCTORES!$A$3:$H$54,6,0),"")</f>
        <v/>
      </c>
      <c r="R208" s="280" t="n"/>
      <c r="S208" s="280" t="n"/>
      <c r="T208" s="280" t="n"/>
      <c r="U208" s="280" t="n"/>
      <c r="V208" s="280" t="n"/>
      <c r="W208" s="280" t="n"/>
      <c r="X208" s="280" t="n"/>
      <c r="Y208" s="280" t="n"/>
    </row>
    <row r="209" ht="15" customHeight="1" s="195">
      <c r="A209" s="334" t="n"/>
      <c r="B209" s="334" t="n"/>
      <c r="C209" s="334" t="n"/>
      <c r="D209" s="334" t="n"/>
      <c r="E209" s="334" t="n"/>
      <c r="F209" s="334" t="n"/>
      <c r="G209" s="334" t="n"/>
      <c r="H209" s="334" t="n"/>
      <c r="I209" s="332">
        <f>IFERROR(VLOOKUP(TEXT(H209,"0"),IPRESS!$A$3:$B$212,2,0),"")</f>
        <v/>
      </c>
      <c r="J209" s="334" t="n"/>
      <c r="K209" s="332">
        <f>IFERROR(VLOOKUP(TEXT(O209,"0"),CONDUCTORES!$A$3:$G$54,7,0),"")</f>
        <v/>
      </c>
      <c r="L209" s="334" t="n"/>
      <c r="M209" s="334" t="n"/>
      <c r="N209" s="333">
        <f>IFERROR(IF(L209*M209=0,"",L209*M209),"")</f>
        <v/>
      </c>
      <c r="O209" s="334" t="n"/>
      <c r="P209" s="332">
        <f>IFERROR(VLOOKUP(TEXT(O209,"0"),CONDUCTORES!$A$3:$G$54,2,0),"")</f>
        <v/>
      </c>
      <c r="Q209" s="332">
        <f>IFERROR(VLOOKUP(TEXT(O209,"0"),CONDUCTORES!$A$3:$H$54,6,0),"")</f>
        <v/>
      </c>
      <c r="R209" s="334" t="n"/>
      <c r="S209" s="334" t="n"/>
      <c r="T209" s="334" t="n"/>
      <c r="U209" s="334" t="n"/>
      <c r="V209" s="334" t="n"/>
      <c r="W209" s="334" t="n"/>
      <c r="X209" s="334" t="n"/>
      <c r="Y209" s="334" t="n"/>
    </row>
    <row r="210" ht="15" customHeight="1" s="195">
      <c r="A210" s="280" t="n"/>
      <c r="B210" s="280" t="n"/>
      <c r="C210" s="280" t="n"/>
      <c r="D210" s="280" t="n"/>
      <c r="E210" s="280" t="n"/>
      <c r="F210" s="280" t="n"/>
      <c r="G210" s="280" t="n"/>
      <c r="H210" s="280" t="n"/>
      <c r="I210" s="332">
        <f>IFERROR(VLOOKUP(TEXT(H210,"0"),IPRESS!$A$3:$B$212,2,0),"")</f>
        <v/>
      </c>
      <c r="J210" s="280" t="n"/>
      <c r="K210" s="332">
        <f>IFERROR(VLOOKUP(TEXT(O210,"0"),CONDUCTORES!$A$3:$G$54,7,0),"")</f>
        <v/>
      </c>
      <c r="L210" s="280" t="n"/>
      <c r="M210" s="280" t="n"/>
      <c r="N210" s="333">
        <f>IFERROR(IF(L210*M210=0,"",L210*M210),"")</f>
        <v/>
      </c>
      <c r="O210" s="280" t="n"/>
      <c r="P210" s="332">
        <f>IFERROR(VLOOKUP(TEXT(O210,"0"),CONDUCTORES!$A$3:$G$54,2,0),"")</f>
        <v/>
      </c>
      <c r="Q210" s="332">
        <f>IFERROR(VLOOKUP(TEXT(O210,"0"),CONDUCTORES!$A$3:$H$54,6,0),"")</f>
        <v/>
      </c>
      <c r="R210" s="280" t="n"/>
      <c r="S210" s="280" t="n"/>
      <c r="T210" s="280" t="n"/>
      <c r="U210" s="280" t="n"/>
      <c r="V210" s="280" t="n"/>
      <c r="W210" s="280" t="n"/>
      <c r="X210" s="280" t="n"/>
      <c r="Y210" s="280" t="n"/>
    </row>
    <row r="211" ht="15" customHeight="1" s="195">
      <c r="A211" s="334" t="n"/>
      <c r="B211" s="334" t="n"/>
      <c r="C211" s="334" t="n"/>
      <c r="D211" s="334" t="n"/>
      <c r="E211" s="334" t="n"/>
      <c r="F211" s="334" t="n"/>
      <c r="G211" s="334" t="n"/>
      <c r="H211" s="334" t="n"/>
      <c r="I211" s="332">
        <f>IFERROR(VLOOKUP(TEXT(H211,"0"),IPRESS!$A$3:$B$212,2,0),"")</f>
        <v/>
      </c>
      <c r="J211" s="334" t="n"/>
      <c r="K211" s="332">
        <f>IFERROR(VLOOKUP(TEXT(O211,"0"),CONDUCTORES!$A$3:$G$54,7,0),"")</f>
        <v/>
      </c>
      <c r="L211" s="334" t="n"/>
      <c r="M211" s="334" t="n"/>
      <c r="N211" s="333">
        <f>IFERROR(IF(L211*M211=0,"",L211*M211),"")</f>
        <v/>
      </c>
      <c r="O211" s="334" t="n"/>
      <c r="P211" s="332">
        <f>IFERROR(VLOOKUP(TEXT(O211,"0"),CONDUCTORES!$A$3:$G$54,2,0),"")</f>
        <v/>
      </c>
      <c r="Q211" s="332">
        <f>IFERROR(VLOOKUP(TEXT(O211,"0"),CONDUCTORES!$A$3:$H$54,6,0),"")</f>
        <v/>
      </c>
      <c r="R211" s="334" t="n"/>
      <c r="S211" s="334" t="n"/>
      <c r="T211" s="334" t="n"/>
      <c r="U211" s="334" t="n"/>
      <c r="V211" s="334" t="n"/>
      <c r="W211" s="334" t="n"/>
      <c r="X211" s="334" t="n"/>
      <c r="Y211" s="334" t="n"/>
    </row>
    <row r="212" ht="15" customHeight="1" s="195">
      <c r="A212" s="280" t="n"/>
      <c r="B212" s="280" t="n"/>
      <c r="C212" s="280" t="n"/>
      <c r="D212" s="280" t="n"/>
      <c r="E212" s="280" t="n"/>
      <c r="F212" s="280" t="n"/>
      <c r="G212" s="280" t="n"/>
      <c r="H212" s="280" t="n"/>
      <c r="I212" s="332">
        <f>IFERROR(VLOOKUP(TEXT(H212,"0"),IPRESS!$A$3:$B$212,2,0),"")</f>
        <v/>
      </c>
      <c r="J212" s="280" t="n"/>
      <c r="K212" s="332">
        <f>IFERROR(VLOOKUP(TEXT(O212,"0"),CONDUCTORES!$A$3:$G$54,7,0),"")</f>
        <v/>
      </c>
      <c r="L212" s="280" t="n"/>
      <c r="M212" s="280" t="n"/>
      <c r="N212" s="333">
        <f>IFERROR(IF(L212*M212=0,"",L212*M212),"")</f>
        <v/>
      </c>
      <c r="O212" s="280" t="n"/>
      <c r="P212" s="332">
        <f>IFERROR(VLOOKUP(TEXT(O212,"0"),CONDUCTORES!$A$3:$G$54,2,0),"")</f>
        <v/>
      </c>
      <c r="Q212" s="332">
        <f>IFERROR(VLOOKUP(TEXT(O212,"0"),CONDUCTORES!$A$3:$H$54,6,0),"")</f>
        <v/>
      </c>
      <c r="R212" s="280" t="n"/>
      <c r="S212" s="280" t="n"/>
      <c r="T212" s="280" t="n"/>
      <c r="U212" s="280" t="n"/>
      <c r="V212" s="280" t="n"/>
      <c r="W212" s="280" t="n"/>
      <c r="X212" s="280" t="n"/>
      <c r="Y212" s="280" t="n"/>
    </row>
    <row r="213" ht="15" customHeight="1" s="195">
      <c r="A213" s="334" t="n"/>
      <c r="B213" s="334" t="n"/>
      <c r="C213" s="334" t="n"/>
      <c r="D213" s="334" t="n"/>
      <c r="E213" s="334" t="n"/>
      <c r="F213" s="334" t="n"/>
      <c r="G213" s="334" t="n"/>
      <c r="H213" s="334" t="n"/>
      <c r="I213" s="332">
        <f>IFERROR(VLOOKUP(TEXT(H213,"0"),IPRESS!$A$3:$B$212,2,0),"")</f>
        <v/>
      </c>
      <c r="J213" s="334" t="n"/>
      <c r="K213" s="332">
        <f>IFERROR(VLOOKUP(TEXT(O213,"0"),CONDUCTORES!$A$3:$G$54,7,0),"")</f>
        <v/>
      </c>
      <c r="L213" s="334" t="n"/>
      <c r="M213" s="334" t="n"/>
      <c r="N213" s="333">
        <f>IFERROR(IF(L213*M213=0,"",L213*M213),"")</f>
        <v/>
      </c>
      <c r="O213" s="334" t="n"/>
      <c r="P213" s="332">
        <f>IFERROR(VLOOKUP(TEXT(O213,"0"),CONDUCTORES!$A$3:$G$54,2,0),"")</f>
        <v/>
      </c>
      <c r="Q213" s="332">
        <f>IFERROR(VLOOKUP(TEXT(O213,"0"),CONDUCTORES!$A$3:$H$54,6,0),"")</f>
        <v/>
      </c>
      <c r="R213" s="334" t="n"/>
      <c r="S213" s="334" t="n"/>
      <c r="T213" s="334" t="n"/>
      <c r="U213" s="334" t="n"/>
      <c r="V213" s="334" t="n"/>
      <c r="W213" s="334" t="n"/>
      <c r="X213" s="334" t="n"/>
      <c r="Y213" s="334" t="n"/>
    </row>
    <row r="214" ht="15" customHeight="1" s="195">
      <c r="A214" s="280" t="n"/>
      <c r="B214" s="280" t="n"/>
      <c r="C214" s="280" t="n"/>
      <c r="D214" s="280" t="n"/>
      <c r="E214" s="280" t="n"/>
      <c r="F214" s="280" t="n"/>
      <c r="G214" s="280" t="n"/>
      <c r="H214" s="280" t="n"/>
      <c r="I214" s="332">
        <f>IFERROR(VLOOKUP(TEXT(H214,"0"),IPRESS!$A$3:$B$212,2,0),"")</f>
        <v/>
      </c>
      <c r="J214" s="280" t="n"/>
      <c r="K214" s="332">
        <f>IFERROR(VLOOKUP(TEXT(O214,"0"),CONDUCTORES!$A$3:$G$54,7,0),"")</f>
        <v/>
      </c>
      <c r="L214" s="280" t="n"/>
      <c r="M214" s="280" t="n"/>
      <c r="N214" s="333">
        <f>IFERROR(IF(L214*M214=0,"",L214*M214),"")</f>
        <v/>
      </c>
      <c r="O214" s="280" t="n"/>
      <c r="P214" s="332">
        <f>IFERROR(VLOOKUP(TEXT(O214,"0"),CONDUCTORES!$A$3:$G$54,2,0),"")</f>
        <v/>
      </c>
      <c r="Q214" s="332">
        <f>IFERROR(VLOOKUP(TEXT(O214,"0"),CONDUCTORES!$A$3:$H$54,6,0),"")</f>
        <v/>
      </c>
      <c r="R214" s="280" t="n"/>
      <c r="S214" s="280" t="n"/>
      <c r="T214" s="280" t="n"/>
      <c r="U214" s="280" t="n"/>
      <c r="V214" s="280" t="n"/>
      <c r="W214" s="280" t="n"/>
      <c r="X214" s="280" t="n"/>
      <c r="Y214" s="280" t="n"/>
    </row>
    <row r="215" ht="15" customHeight="1" s="195">
      <c r="A215" s="334" t="n"/>
      <c r="B215" s="334" t="n"/>
      <c r="C215" s="334" t="n"/>
      <c r="D215" s="334" t="n"/>
      <c r="E215" s="334" t="n"/>
      <c r="F215" s="334" t="n"/>
      <c r="G215" s="334" t="n"/>
      <c r="H215" s="334" t="n"/>
      <c r="I215" s="332">
        <f>IFERROR(VLOOKUP(TEXT(H215,"0"),IPRESS!$A$3:$B$212,2,0),"")</f>
        <v/>
      </c>
      <c r="J215" s="334" t="n"/>
      <c r="K215" s="332">
        <f>IFERROR(VLOOKUP(TEXT(O215,"0"),CONDUCTORES!$A$3:$G$54,7,0),"")</f>
        <v/>
      </c>
      <c r="L215" s="334" t="n"/>
      <c r="M215" s="334" t="n"/>
      <c r="N215" s="333">
        <f>IFERROR(IF(L215*M215=0,"",L215*M215),"")</f>
        <v/>
      </c>
      <c r="O215" s="334" t="n"/>
      <c r="P215" s="332">
        <f>IFERROR(VLOOKUP(TEXT(O215,"0"),CONDUCTORES!$A$3:$G$54,2,0),"")</f>
        <v/>
      </c>
      <c r="Q215" s="332">
        <f>IFERROR(VLOOKUP(TEXT(O215,"0"),CONDUCTORES!$A$3:$H$54,6,0),"")</f>
        <v/>
      </c>
      <c r="R215" s="334" t="n"/>
      <c r="S215" s="334" t="n"/>
      <c r="T215" s="334" t="n"/>
      <c r="U215" s="334" t="n"/>
      <c r="V215" s="334" t="n"/>
      <c r="W215" s="334" t="n"/>
      <c r="X215" s="334" t="n"/>
      <c r="Y215" s="334" t="n"/>
    </row>
    <row r="216" ht="15" customHeight="1" s="195">
      <c r="A216" s="280" t="n"/>
      <c r="B216" s="280" t="n"/>
      <c r="C216" s="280" t="n"/>
      <c r="D216" s="280" t="n"/>
      <c r="E216" s="280" t="n"/>
      <c r="F216" s="280" t="n"/>
      <c r="G216" s="280" t="n"/>
      <c r="H216" s="280" t="n"/>
      <c r="I216" s="332">
        <f>IFERROR(VLOOKUP(TEXT(H216,"0"),IPRESS!$A$3:$B$212,2,0),"")</f>
        <v/>
      </c>
      <c r="J216" s="280" t="n"/>
      <c r="K216" s="332">
        <f>IFERROR(VLOOKUP(TEXT(O216,"0"),CONDUCTORES!$A$3:$G$54,7,0),"")</f>
        <v/>
      </c>
      <c r="L216" s="280" t="n"/>
      <c r="M216" s="280" t="n"/>
      <c r="N216" s="333">
        <f>IFERROR(IF(L216*M216=0,"",L216*M216),"")</f>
        <v/>
      </c>
      <c r="O216" s="280" t="n"/>
      <c r="P216" s="332">
        <f>IFERROR(VLOOKUP(TEXT(O216,"0"),CONDUCTORES!$A$3:$G$54,2,0),"")</f>
        <v/>
      </c>
      <c r="Q216" s="332">
        <f>IFERROR(VLOOKUP(TEXT(O216,"0"),CONDUCTORES!$A$3:$H$54,6,0),"")</f>
        <v/>
      </c>
      <c r="R216" s="280" t="n"/>
      <c r="S216" s="280" t="n"/>
      <c r="T216" s="280" t="n"/>
      <c r="U216" s="280" t="n"/>
      <c r="V216" s="280" t="n"/>
      <c r="W216" s="280" t="n"/>
      <c r="X216" s="280" t="n"/>
      <c r="Y216" s="280" t="n"/>
    </row>
    <row r="217" ht="15" customHeight="1" s="195">
      <c r="A217" s="334" t="n"/>
      <c r="B217" s="334" t="n"/>
      <c r="C217" s="334" t="n"/>
      <c r="D217" s="334" t="n"/>
      <c r="E217" s="334" t="n"/>
      <c r="F217" s="334" t="n"/>
      <c r="G217" s="334" t="n"/>
      <c r="H217" s="334" t="n"/>
      <c r="I217" s="332">
        <f>IFERROR(VLOOKUP(TEXT(H217,"0"),IPRESS!$A$3:$B$212,2,0),"")</f>
        <v/>
      </c>
      <c r="J217" s="334" t="n"/>
      <c r="K217" s="332">
        <f>IFERROR(VLOOKUP(TEXT(O217,"0"),CONDUCTORES!$A$3:$G$54,7,0),"")</f>
        <v/>
      </c>
      <c r="L217" s="334" t="n"/>
      <c r="M217" s="334" t="n"/>
      <c r="N217" s="333">
        <f>IFERROR(IF(L217*M217=0,"",L217*M217),"")</f>
        <v/>
      </c>
      <c r="O217" s="334" t="n"/>
      <c r="P217" s="332">
        <f>IFERROR(VLOOKUP(TEXT(O217,"0"),CONDUCTORES!$A$3:$G$54,2,0),"")</f>
        <v/>
      </c>
      <c r="Q217" s="332">
        <f>IFERROR(VLOOKUP(TEXT(O217,"0"),CONDUCTORES!$A$3:$H$54,6,0),"")</f>
        <v/>
      </c>
      <c r="R217" s="334" t="n"/>
      <c r="S217" s="334" t="n"/>
      <c r="T217" s="334" t="n"/>
      <c r="U217" s="334" t="n"/>
      <c r="V217" s="334" t="n"/>
      <c r="W217" s="334" t="n"/>
      <c r="X217" s="334" t="n"/>
      <c r="Y217" s="334" t="n"/>
    </row>
    <row r="218" ht="15" customHeight="1" s="195">
      <c r="A218" s="280" t="n"/>
      <c r="B218" s="280" t="n"/>
      <c r="C218" s="280" t="n"/>
      <c r="D218" s="280" t="n"/>
      <c r="E218" s="280" t="n"/>
      <c r="F218" s="280" t="n"/>
      <c r="G218" s="280" t="n"/>
      <c r="H218" s="280" t="n"/>
      <c r="I218" s="332">
        <f>IFERROR(VLOOKUP(TEXT(H218,"0"),IPRESS!$A$3:$B$212,2,0),"")</f>
        <v/>
      </c>
      <c r="J218" s="280" t="n"/>
      <c r="K218" s="332">
        <f>IFERROR(VLOOKUP(TEXT(O218,"0"),CONDUCTORES!$A$3:$G$54,7,0),"")</f>
        <v/>
      </c>
      <c r="L218" s="280" t="n"/>
      <c r="M218" s="280" t="n"/>
      <c r="N218" s="333">
        <f>IFERROR(IF(L218*M218=0,"",L218*M218),"")</f>
        <v/>
      </c>
      <c r="O218" s="280" t="n"/>
      <c r="P218" s="332">
        <f>IFERROR(VLOOKUP(TEXT(O218,"0"),CONDUCTORES!$A$3:$G$54,2,0),"")</f>
        <v/>
      </c>
      <c r="Q218" s="332">
        <f>IFERROR(VLOOKUP(TEXT(O218,"0"),CONDUCTORES!$A$3:$H$54,6,0),"")</f>
        <v/>
      </c>
      <c r="R218" s="280" t="n"/>
      <c r="S218" s="280" t="n"/>
      <c r="T218" s="280" t="n"/>
      <c r="U218" s="280" t="n"/>
      <c r="V218" s="280" t="n"/>
      <c r="W218" s="280" t="n"/>
      <c r="X218" s="280" t="n"/>
      <c r="Y218" s="280" t="n"/>
    </row>
    <row r="219" ht="15" customHeight="1" s="195">
      <c r="A219" s="334" t="n"/>
      <c r="B219" s="334" t="n"/>
      <c r="C219" s="334" t="n"/>
      <c r="D219" s="334" t="n"/>
      <c r="E219" s="334" t="n"/>
      <c r="F219" s="334" t="n"/>
      <c r="G219" s="334" t="n"/>
      <c r="H219" s="334" t="n"/>
      <c r="I219" s="332">
        <f>IFERROR(VLOOKUP(TEXT(H219,"0"),IPRESS!$A$3:$B$212,2,0),"")</f>
        <v/>
      </c>
      <c r="J219" s="334" t="n"/>
      <c r="K219" s="332">
        <f>IFERROR(VLOOKUP(TEXT(O219,"0"),CONDUCTORES!$A$3:$G$54,7,0),"")</f>
        <v/>
      </c>
      <c r="L219" s="334" t="n"/>
      <c r="M219" s="334" t="n"/>
      <c r="N219" s="333">
        <f>IFERROR(IF(L219*M219=0,"",L219*M219),"")</f>
        <v/>
      </c>
      <c r="O219" s="334" t="n"/>
      <c r="P219" s="332">
        <f>IFERROR(VLOOKUP(TEXT(O219,"0"),CONDUCTORES!$A$3:$G$54,2,0),"")</f>
        <v/>
      </c>
      <c r="Q219" s="332">
        <f>IFERROR(VLOOKUP(TEXT(O219,"0"),CONDUCTORES!$A$3:$H$54,6,0),"")</f>
        <v/>
      </c>
      <c r="R219" s="334" t="n"/>
      <c r="S219" s="334" t="n"/>
      <c r="T219" s="334" t="n"/>
      <c r="U219" s="334" t="n"/>
      <c r="V219" s="334" t="n"/>
      <c r="W219" s="334" t="n"/>
      <c r="X219" s="334" t="n"/>
      <c r="Y219" s="334" t="n"/>
    </row>
    <row r="220" ht="15" customHeight="1" s="195">
      <c r="A220" s="280" t="n"/>
      <c r="B220" s="280" t="n"/>
      <c r="C220" s="280" t="n"/>
      <c r="D220" s="280" t="n"/>
      <c r="E220" s="280" t="n"/>
      <c r="F220" s="280" t="n"/>
      <c r="G220" s="280" t="n"/>
      <c r="H220" s="280" t="n"/>
      <c r="I220" s="332">
        <f>IFERROR(VLOOKUP(TEXT(H220,"0"),IPRESS!$A$3:$B$212,2,0),"")</f>
        <v/>
      </c>
      <c r="J220" s="280" t="n"/>
      <c r="K220" s="332">
        <f>IFERROR(VLOOKUP(TEXT(O220,"0"),CONDUCTORES!$A$3:$G$54,7,0),"")</f>
        <v/>
      </c>
      <c r="L220" s="280" t="n"/>
      <c r="M220" s="280" t="n"/>
      <c r="N220" s="333">
        <f>IFERROR(IF(L220*M220=0,"",L220*M220),"")</f>
        <v/>
      </c>
      <c r="O220" s="280" t="n"/>
      <c r="P220" s="332">
        <f>IFERROR(VLOOKUP(TEXT(O220,"0"),CONDUCTORES!$A$3:$G$54,2,0),"")</f>
        <v/>
      </c>
      <c r="Q220" s="332">
        <f>IFERROR(VLOOKUP(TEXT(O220,"0"),CONDUCTORES!$A$3:$H$54,6,0),"")</f>
        <v/>
      </c>
      <c r="R220" s="280" t="n"/>
      <c r="S220" s="280" t="n"/>
      <c r="T220" s="280" t="n"/>
      <c r="U220" s="280" t="n"/>
      <c r="V220" s="280" t="n"/>
      <c r="W220" s="280" t="n"/>
      <c r="X220" s="280" t="n"/>
      <c r="Y220" s="280" t="n"/>
    </row>
    <row r="221" ht="15" customHeight="1" s="195">
      <c r="A221" s="334" t="n"/>
      <c r="B221" s="334" t="n"/>
      <c r="C221" s="334" t="n"/>
      <c r="D221" s="334" t="n"/>
      <c r="E221" s="334" t="n"/>
      <c r="F221" s="334" t="n"/>
      <c r="G221" s="334" t="n"/>
      <c r="H221" s="334" t="n"/>
      <c r="I221" s="332">
        <f>IFERROR(VLOOKUP(TEXT(H221,"0"),IPRESS!$A$3:$B$212,2,0),"")</f>
        <v/>
      </c>
      <c r="J221" s="334" t="n"/>
      <c r="K221" s="332">
        <f>IFERROR(VLOOKUP(TEXT(O221,"0"),CONDUCTORES!$A$3:$G$54,7,0),"")</f>
        <v/>
      </c>
      <c r="L221" s="334" t="n"/>
      <c r="M221" s="334" t="n"/>
      <c r="N221" s="333">
        <f>IFERROR(IF(L221*M221=0,"",L221*M221),"")</f>
        <v/>
      </c>
      <c r="O221" s="334" t="n"/>
      <c r="P221" s="332">
        <f>IFERROR(VLOOKUP(TEXT(O221,"0"),CONDUCTORES!$A$3:$G$54,2,0),"")</f>
        <v/>
      </c>
      <c r="Q221" s="332">
        <f>IFERROR(VLOOKUP(TEXT(O221,"0"),CONDUCTORES!$A$3:$H$54,6,0),"")</f>
        <v/>
      </c>
      <c r="R221" s="334" t="n"/>
      <c r="S221" s="334" t="n"/>
      <c r="T221" s="334" t="n"/>
      <c r="U221" s="334" t="n"/>
      <c r="V221" s="334" t="n"/>
      <c r="W221" s="334" t="n"/>
      <c r="X221" s="334" t="n"/>
      <c r="Y221" s="334" t="n"/>
    </row>
    <row r="222" ht="15" customHeight="1" s="195">
      <c r="A222" s="280" t="n"/>
      <c r="B222" s="280" t="n"/>
      <c r="C222" s="280" t="n"/>
      <c r="D222" s="280" t="n"/>
      <c r="E222" s="280" t="n"/>
      <c r="F222" s="280" t="n"/>
      <c r="G222" s="280" t="n"/>
      <c r="H222" s="280" t="n"/>
      <c r="I222" s="332">
        <f>IFERROR(VLOOKUP(TEXT(H222,"0"),IPRESS!$A$3:$B$212,2,0),"")</f>
        <v/>
      </c>
      <c r="J222" s="280" t="n"/>
      <c r="K222" s="332">
        <f>IFERROR(VLOOKUP(TEXT(O222,"0"),CONDUCTORES!$A$3:$G$54,7,0),"")</f>
        <v/>
      </c>
      <c r="L222" s="280" t="n"/>
      <c r="M222" s="280" t="n"/>
      <c r="N222" s="333">
        <f>IFERROR(IF(L222*M222=0,"",L222*M222),"")</f>
        <v/>
      </c>
      <c r="O222" s="280" t="n"/>
      <c r="P222" s="332">
        <f>IFERROR(VLOOKUP(TEXT(O222,"0"),CONDUCTORES!$A$3:$G$54,2,0),"")</f>
        <v/>
      </c>
      <c r="Q222" s="332">
        <f>IFERROR(VLOOKUP(TEXT(O222,"0"),CONDUCTORES!$A$3:$H$54,6,0),"")</f>
        <v/>
      </c>
      <c r="R222" s="280" t="n"/>
      <c r="S222" s="280" t="n"/>
      <c r="T222" s="280" t="n"/>
      <c r="U222" s="280" t="n"/>
      <c r="V222" s="280" t="n"/>
      <c r="W222" s="280" t="n"/>
      <c r="X222" s="280" t="n"/>
      <c r="Y222" s="280" t="n"/>
    </row>
    <row r="223" ht="15" customHeight="1" s="195">
      <c r="A223" s="334" t="n"/>
      <c r="B223" s="334" t="n"/>
      <c r="C223" s="334" t="n"/>
      <c r="D223" s="334" t="n"/>
      <c r="E223" s="334" t="n"/>
      <c r="F223" s="334" t="n"/>
      <c r="G223" s="334" t="n"/>
      <c r="H223" s="334" t="n"/>
      <c r="I223" s="332">
        <f>IFERROR(VLOOKUP(TEXT(H223,"0"),IPRESS!$A$3:$B$212,2,0),"")</f>
        <v/>
      </c>
      <c r="J223" s="334" t="n"/>
      <c r="K223" s="332">
        <f>IFERROR(VLOOKUP(TEXT(O223,"0"),CONDUCTORES!$A$3:$G$54,7,0),"")</f>
        <v/>
      </c>
      <c r="L223" s="334" t="n"/>
      <c r="M223" s="334" t="n"/>
      <c r="N223" s="333">
        <f>IFERROR(IF(L223*M223=0,"",L223*M223),"")</f>
        <v/>
      </c>
      <c r="O223" s="334" t="n"/>
      <c r="P223" s="332">
        <f>IFERROR(VLOOKUP(TEXT(O223,"0"),CONDUCTORES!$A$3:$G$54,2,0),"")</f>
        <v/>
      </c>
      <c r="Q223" s="332">
        <f>IFERROR(VLOOKUP(TEXT(O223,"0"),CONDUCTORES!$A$3:$H$54,6,0),"")</f>
        <v/>
      </c>
      <c r="R223" s="334" t="n"/>
      <c r="S223" s="334" t="n"/>
      <c r="T223" s="334" t="n"/>
      <c r="U223" s="334" t="n"/>
      <c r="V223" s="334" t="n"/>
      <c r="W223" s="334" t="n"/>
      <c r="X223" s="334" t="n"/>
      <c r="Y223" s="334" t="n"/>
    </row>
    <row r="224" ht="15" customHeight="1" s="195">
      <c r="A224" s="280" t="n"/>
      <c r="B224" s="280" t="n"/>
      <c r="C224" s="280" t="n"/>
      <c r="D224" s="280" t="n"/>
      <c r="E224" s="280" t="n"/>
      <c r="F224" s="280" t="n"/>
      <c r="G224" s="280" t="n"/>
      <c r="H224" s="280" t="n"/>
      <c r="I224" s="332">
        <f>IFERROR(VLOOKUP(TEXT(H224,"0"),IPRESS!$A$3:$B$212,2,0),"")</f>
        <v/>
      </c>
      <c r="J224" s="280" t="n"/>
      <c r="K224" s="332">
        <f>IFERROR(VLOOKUP(TEXT(O224,"0"),CONDUCTORES!$A$3:$G$54,7,0),"")</f>
        <v/>
      </c>
      <c r="L224" s="280" t="n"/>
      <c r="M224" s="280" t="n"/>
      <c r="N224" s="333">
        <f>IFERROR(IF(L224*M224=0,"",L224*M224),"")</f>
        <v/>
      </c>
      <c r="O224" s="280" t="n"/>
      <c r="P224" s="332">
        <f>IFERROR(VLOOKUP(TEXT(O224,"0"),CONDUCTORES!$A$3:$G$54,2,0),"")</f>
        <v/>
      </c>
      <c r="Q224" s="332">
        <f>IFERROR(VLOOKUP(TEXT(O224,"0"),CONDUCTORES!$A$3:$H$54,6,0),"")</f>
        <v/>
      </c>
      <c r="R224" s="280" t="n"/>
      <c r="S224" s="280" t="n"/>
      <c r="T224" s="280" t="n"/>
      <c r="U224" s="280" t="n"/>
      <c r="V224" s="280" t="n"/>
      <c r="W224" s="280" t="n"/>
      <c r="X224" s="280" t="n"/>
      <c r="Y224" s="280" t="n"/>
    </row>
    <row r="225" ht="15" customHeight="1" s="195">
      <c r="A225" s="334" t="n"/>
      <c r="B225" s="334" t="n"/>
      <c r="C225" s="334" t="n"/>
      <c r="D225" s="334" t="n"/>
      <c r="E225" s="334" t="n"/>
      <c r="F225" s="334" t="n"/>
      <c r="G225" s="334" t="n"/>
      <c r="H225" s="334" t="n"/>
      <c r="I225" s="332">
        <f>IFERROR(VLOOKUP(TEXT(H225,"0"),IPRESS!$A$3:$B$212,2,0),"")</f>
        <v/>
      </c>
      <c r="J225" s="334" t="n"/>
      <c r="K225" s="332">
        <f>IFERROR(VLOOKUP(TEXT(O225,"0"),CONDUCTORES!$A$3:$G$54,7,0),"")</f>
        <v/>
      </c>
      <c r="L225" s="334" t="n"/>
      <c r="M225" s="334" t="n"/>
      <c r="N225" s="333">
        <f>IFERROR(IF(L225*M225=0,"",L225*M225),"")</f>
        <v/>
      </c>
      <c r="O225" s="334" t="n"/>
      <c r="P225" s="332">
        <f>IFERROR(VLOOKUP(TEXT(O225,"0"),CONDUCTORES!$A$3:$G$54,2,0),"")</f>
        <v/>
      </c>
      <c r="Q225" s="332">
        <f>IFERROR(VLOOKUP(TEXT(O225,"0"),CONDUCTORES!$A$3:$H$54,6,0),"")</f>
        <v/>
      </c>
      <c r="R225" s="334" t="n"/>
      <c r="S225" s="334" t="n"/>
      <c r="T225" s="334" t="n"/>
      <c r="U225" s="334" t="n"/>
      <c r="V225" s="334" t="n"/>
      <c r="W225" s="334" t="n"/>
      <c r="X225" s="334" t="n"/>
      <c r="Y225" s="334" t="n"/>
    </row>
    <row r="226" ht="15" customHeight="1" s="195">
      <c r="A226" s="280" t="n"/>
      <c r="B226" s="280" t="n"/>
      <c r="C226" s="280" t="n"/>
      <c r="D226" s="280" t="n"/>
      <c r="E226" s="280" t="n"/>
      <c r="F226" s="280" t="n"/>
      <c r="G226" s="280" t="n"/>
      <c r="H226" s="280" t="n"/>
      <c r="I226" s="332">
        <f>IFERROR(VLOOKUP(TEXT(H226,"0"),IPRESS!$A$3:$B$212,2,0),"")</f>
        <v/>
      </c>
      <c r="J226" s="280" t="n"/>
      <c r="K226" s="332">
        <f>IFERROR(VLOOKUP(TEXT(O226,"0"),CONDUCTORES!$A$3:$G$54,7,0),"")</f>
        <v/>
      </c>
      <c r="L226" s="280" t="n"/>
      <c r="M226" s="280" t="n"/>
      <c r="N226" s="333">
        <f>IFERROR(IF(L226*M226=0,"",L226*M226),"")</f>
        <v/>
      </c>
      <c r="O226" s="280" t="n"/>
      <c r="P226" s="332">
        <f>IFERROR(VLOOKUP(TEXT(O226,"0"),CONDUCTORES!$A$3:$G$54,2,0),"")</f>
        <v/>
      </c>
      <c r="Q226" s="332">
        <f>IFERROR(VLOOKUP(TEXT(O226,"0"),CONDUCTORES!$A$3:$H$54,6,0),"")</f>
        <v/>
      </c>
      <c r="R226" s="280" t="n"/>
      <c r="S226" s="280" t="n"/>
      <c r="T226" s="280" t="n"/>
      <c r="U226" s="280" t="n"/>
      <c r="V226" s="280" t="n"/>
      <c r="W226" s="280" t="n"/>
      <c r="X226" s="280" t="n"/>
      <c r="Y226" s="280" t="n"/>
    </row>
    <row r="227" ht="15" customHeight="1" s="195">
      <c r="A227" s="334" t="n"/>
      <c r="B227" s="334" t="n"/>
      <c r="C227" s="334" t="n"/>
      <c r="D227" s="334" t="n"/>
      <c r="E227" s="334" t="n"/>
      <c r="F227" s="334" t="n"/>
      <c r="G227" s="334" t="n"/>
      <c r="H227" s="334" t="n"/>
      <c r="I227" s="332">
        <f>IFERROR(VLOOKUP(TEXT(H227,"0"),IPRESS!$A$3:$B$212,2,0),"")</f>
        <v/>
      </c>
      <c r="J227" s="334" t="n"/>
      <c r="K227" s="332">
        <f>IFERROR(VLOOKUP(TEXT(O227,"0"),CONDUCTORES!$A$3:$G$54,7,0),"")</f>
        <v/>
      </c>
      <c r="L227" s="334" t="n"/>
      <c r="M227" s="334" t="n"/>
      <c r="N227" s="333">
        <f>IFERROR(IF(L227*M227=0,"",L227*M227),"")</f>
        <v/>
      </c>
      <c r="O227" s="334" t="n"/>
      <c r="P227" s="332">
        <f>IFERROR(VLOOKUP(TEXT(O227,"0"),CONDUCTORES!$A$3:$G$54,2,0),"")</f>
        <v/>
      </c>
      <c r="Q227" s="332">
        <f>IFERROR(VLOOKUP(TEXT(O227,"0"),CONDUCTORES!$A$3:$H$54,6,0),"")</f>
        <v/>
      </c>
      <c r="R227" s="334" t="n"/>
      <c r="S227" s="334" t="n"/>
      <c r="T227" s="334" t="n"/>
      <c r="U227" s="334" t="n"/>
      <c r="V227" s="334" t="n"/>
      <c r="W227" s="334" t="n"/>
      <c r="X227" s="334" t="n"/>
      <c r="Y227" s="334" t="n"/>
    </row>
    <row r="228" ht="15" customHeight="1" s="195">
      <c r="A228" s="280" t="n"/>
      <c r="B228" s="280" t="n"/>
      <c r="C228" s="280" t="n"/>
      <c r="D228" s="280" t="n"/>
      <c r="E228" s="280" t="n"/>
      <c r="F228" s="280" t="n"/>
      <c r="G228" s="280" t="n"/>
      <c r="H228" s="280" t="n"/>
      <c r="I228" s="332">
        <f>IFERROR(VLOOKUP(TEXT(H228,"0"),IPRESS!$A$3:$B$212,2,0),"")</f>
        <v/>
      </c>
      <c r="J228" s="280" t="n"/>
      <c r="K228" s="332">
        <f>IFERROR(VLOOKUP(TEXT(O228,"0"),CONDUCTORES!$A$3:$G$54,7,0),"")</f>
        <v/>
      </c>
      <c r="L228" s="280" t="n"/>
      <c r="M228" s="280" t="n"/>
      <c r="N228" s="333">
        <f>IFERROR(IF(L228*M228=0,"",L228*M228),"")</f>
        <v/>
      </c>
      <c r="O228" s="280" t="n"/>
      <c r="P228" s="332">
        <f>IFERROR(VLOOKUP(TEXT(O228,"0"),CONDUCTORES!$A$3:$G$54,2,0),"")</f>
        <v/>
      </c>
      <c r="Q228" s="332">
        <f>IFERROR(VLOOKUP(TEXT(O228,"0"),CONDUCTORES!$A$3:$H$54,6,0),"")</f>
        <v/>
      </c>
      <c r="R228" s="280" t="n"/>
      <c r="S228" s="280" t="n"/>
      <c r="T228" s="280" t="n"/>
      <c r="U228" s="280" t="n"/>
      <c r="V228" s="280" t="n"/>
      <c r="W228" s="280" t="n"/>
      <c r="X228" s="280" t="n"/>
      <c r="Y228" s="280" t="n"/>
    </row>
    <row r="229" ht="15" customHeight="1" s="195">
      <c r="A229" s="334" t="n"/>
      <c r="B229" s="334" t="n"/>
      <c r="C229" s="334" t="n"/>
      <c r="D229" s="334" t="n"/>
      <c r="E229" s="334" t="n"/>
      <c r="F229" s="334" t="n"/>
      <c r="G229" s="334" t="n"/>
      <c r="H229" s="334" t="n"/>
      <c r="I229" s="332">
        <f>IFERROR(VLOOKUP(TEXT(H229,"0"),IPRESS!$A$3:$B$212,2,0),"")</f>
        <v/>
      </c>
      <c r="J229" s="334" t="n"/>
      <c r="K229" s="332">
        <f>IFERROR(VLOOKUP(TEXT(O229,"0"),CONDUCTORES!$A$3:$G$54,7,0),"")</f>
        <v/>
      </c>
      <c r="L229" s="334" t="n"/>
      <c r="M229" s="334" t="n"/>
      <c r="N229" s="333">
        <f>IFERROR(IF(L229*M229=0,"",L229*M229),"")</f>
        <v/>
      </c>
      <c r="O229" s="334" t="n"/>
      <c r="P229" s="332">
        <f>IFERROR(VLOOKUP(TEXT(O229,"0"),CONDUCTORES!$A$3:$G$54,2,0),"")</f>
        <v/>
      </c>
      <c r="Q229" s="332">
        <f>IFERROR(VLOOKUP(TEXT(O229,"0"),CONDUCTORES!$A$3:$H$54,6,0),"")</f>
        <v/>
      </c>
      <c r="R229" s="334" t="n"/>
      <c r="S229" s="334" t="n"/>
      <c r="T229" s="334" t="n"/>
      <c r="U229" s="334" t="n"/>
      <c r="V229" s="334" t="n"/>
      <c r="W229" s="334" t="n"/>
      <c r="X229" s="334" t="n"/>
      <c r="Y229" s="334" t="n"/>
    </row>
    <row r="230" ht="15" customHeight="1" s="195">
      <c r="A230" s="280" t="n"/>
      <c r="B230" s="280" t="n"/>
      <c r="C230" s="280" t="n"/>
      <c r="D230" s="280" t="n"/>
      <c r="E230" s="280" t="n"/>
      <c r="F230" s="280" t="n"/>
      <c r="G230" s="280" t="n"/>
      <c r="H230" s="280" t="n"/>
      <c r="I230" s="332">
        <f>IFERROR(VLOOKUP(TEXT(H230,"0"),IPRESS!$A$3:$B$212,2,0),"")</f>
        <v/>
      </c>
      <c r="J230" s="280" t="n"/>
      <c r="K230" s="332">
        <f>IFERROR(VLOOKUP(TEXT(O230,"0"),CONDUCTORES!$A$3:$G$54,7,0),"")</f>
        <v/>
      </c>
      <c r="L230" s="280" t="n"/>
      <c r="M230" s="280" t="n"/>
      <c r="N230" s="333">
        <f>IFERROR(IF(L230*M230=0,"",L230*M230),"")</f>
        <v/>
      </c>
      <c r="O230" s="280" t="n"/>
      <c r="P230" s="332">
        <f>IFERROR(VLOOKUP(TEXT(O230,"0"),CONDUCTORES!$A$3:$G$54,2,0),"")</f>
        <v/>
      </c>
      <c r="Q230" s="332">
        <f>IFERROR(VLOOKUP(TEXT(O230,"0"),CONDUCTORES!$A$3:$H$54,6,0),"")</f>
        <v/>
      </c>
      <c r="R230" s="280" t="n"/>
      <c r="S230" s="280" t="n"/>
      <c r="T230" s="280" t="n"/>
      <c r="U230" s="280" t="n"/>
      <c r="V230" s="280" t="n"/>
      <c r="W230" s="280" t="n"/>
      <c r="X230" s="280" t="n"/>
      <c r="Y230" s="280" t="n"/>
    </row>
    <row r="231" ht="15" customHeight="1" s="195">
      <c r="A231" s="334" t="n"/>
      <c r="B231" s="334" t="n"/>
      <c r="C231" s="334" t="n"/>
      <c r="D231" s="334" t="n"/>
      <c r="E231" s="334" t="n"/>
      <c r="F231" s="334" t="n"/>
      <c r="G231" s="334" t="n"/>
      <c r="H231" s="334" t="n"/>
      <c r="I231" s="332">
        <f>IFERROR(VLOOKUP(TEXT(H231,"0"),IPRESS!$A$3:$B$212,2,0),"")</f>
        <v/>
      </c>
      <c r="J231" s="334" t="n"/>
      <c r="K231" s="332">
        <f>IFERROR(VLOOKUP(TEXT(O231,"0"),CONDUCTORES!$A$3:$G$54,7,0),"")</f>
        <v/>
      </c>
      <c r="L231" s="334" t="n"/>
      <c r="M231" s="334" t="n"/>
      <c r="N231" s="333">
        <f>IFERROR(IF(L231*M231=0,"",L231*M231),"")</f>
        <v/>
      </c>
      <c r="O231" s="334" t="n"/>
      <c r="P231" s="332">
        <f>IFERROR(VLOOKUP(TEXT(O231,"0"),CONDUCTORES!$A$3:$G$54,2,0),"")</f>
        <v/>
      </c>
      <c r="Q231" s="332">
        <f>IFERROR(VLOOKUP(TEXT(O231,"0"),CONDUCTORES!$A$3:$H$54,6,0),"")</f>
        <v/>
      </c>
      <c r="R231" s="334" t="n"/>
      <c r="S231" s="334" t="n"/>
      <c r="T231" s="334" t="n"/>
      <c r="U231" s="334" t="n"/>
      <c r="V231" s="334" t="n"/>
      <c r="W231" s="334" t="n"/>
      <c r="X231" s="334" t="n"/>
      <c r="Y231" s="334" t="n"/>
    </row>
    <row r="232" ht="15" customHeight="1" s="195">
      <c r="A232" s="280" t="n"/>
      <c r="B232" s="280" t="n"/>
      <c r="C232" s="280" t="n"/>
      <c r="D232" s="280" t="n"/>
      <c r="E232" s="280" t="n"/>
      <c r="F232" s="280" t="n"/>
      <c r="G232" s="280" t="n"/>
      <c r="H232" s="280" t="n"/>
      <c r="I232" s="332">
        <f>IFERROR(VLOOKUP(TEXT(H232,"0"),IPRESS!$A$3:$B$212,2,0),"")</f>
        <v/>
      </c>
      <c r="J232" s="280" t="n"/>
      <c r="K232" s="332">
        <f>IFERROR(VLOOKUP(TEXT(O232,"0"),CONDUCTORES!$A$3:$G$54,7,0),"")</f>
        <v/>
      </c>
      <c r="L232" s="280" t="n"/>
      <c r="M232" s="280" t="n"/>
      <c r="N232" s="333">
        <f>IFERROR(IF(L232*M232=0,"",L232*M232),"")</f>
        <v/>
      </c>
      <c r="O232" s="280" t="n"/>
      <c r="P232" s="332">
        <f>IFERROR(VLOOKUP(TEXT(O232,"0"),CONDUCTORES!$A$3:$G$54,2,0),"")</f>
        <v/>
      </c>
      <c r="Q232" s="332">
        <f>IFERROR(VLOOKUP(TEXT(O232,"0"),CONDUCTORES!$A$3:$H$54,6,0),"")</f>
        <v/>
      </c>
      <c r="R232" s="280" t="n"/>
      <c r="S232" s="280" t="n"/>
      <c r="T232" s="280" t="n"/>
      <c r="U232" s="280" t="n"/>
      <c r="V232" s="280" t="n"/>
      <c r="W232" s="280" t="n"/>
      <c r="X232" s="280" t="n"/>
      <c r="Y232" s="280" t="n"/>
    </row>
    <row r="233" ht="15" customHeight="1" s="195">
      <c r="A233" s="334" t="n"/>
      <c r="B233" s="334" t="n"/>
      <c r="C233" s="334" t="n"/>
      <c r="D233" s="334" t="n"/>
      <c r="E233" s="334" t="n"/>
      <c r="F233" s="334" t="n"/>
      <c r="G233" s="334" t="n"/>
      <c r="H233" s="334" t="n"/>
      <c r="I233" s="332">
        <f>IFERROR(VLOOKUP(TEXT(H233,"0"),IPRESS!$A$3:$B$212,2,0),"")</f>
        <v/>
      </c>
      <c r="J233" s="334" t="n"/>
      <c r="K233" s="332">
        <f>IFERROR(VLOOKUP(TEXT(O233,"0"),CONDUCTORES!$A$3:$G$54,7,0),"")</f>
        <v/>
      </c>
      <c r="L233" s="334" t="n"/>
      <c r="M233" s="334" t="n"/>
      <c r="N233" s="333">
        <f>IFERROR(IF(L233*M233=0,"",L233*M233),"")</f>
        <v/>
      </c>
      <c r="O233" s="334" t="n"/>
      <c r="P233" s="332">
        <f>IFERROR(VLOOKUP(TEXT(O233,"0"),CONDUCTORES!$A$3:$G$54,2,0),"")</f>
        <v/>
      </c>
      <c r="Q233" s="332">
        <f>IFERROR(VLOOKUP(TEXT(O233,"0"),CONDUCTORES!$A$3:$H$54,6,0),"")</f>
        <v/>
      </c>
      <c r="R233" s="334" t="n"/>
      <c r="S233" s="334" t="n"/>
      <c r="T233" s="334" t="n"/>
      <c r="U233" s="334" t="n"/>
      <c r="V233" s="334" t="n"/>
      <c r="W233" s="334" t="n"/>
      <c r="X233" s="334" t="n"/>
      <c r="Y233" s="334" t="n"/>
    </row>
    <row r="234" ht="15" customHeight="1" s="195">
      <c r="A234" s="280" t="n"/>
      <c r="B234" s="280" t="n"/>
      <c r="C234" s="280" t="n"/>
      <c r="D234" s="280" t="n"/>
      <c r="E234" s="280" t="n"/>
      <c r="F234" s="280" t="n"/>
      <c r="G234" s="280" t="n"/>
      <c r="H234" s="280" t="n"/>
      <c r="I234" s="332">
        <f>IFERROR(VLOOKUP(TEXT(H234,"0"),IPRESS!$A$3:$B$212,2,0),"")</f>
        <v/>
      </c>
      <c r="J234" s="280" t="n"/>
      <c r="K234" s="332">
        <f>IFERROR(VLOOKUP(TEXT(O234,"0"),CONDUCTORES!$A$3:$G$54,7,0),"")</f>
        <v/>
      </c>
      <c r="L234" s="280" t="n"/>
      <c r="M234" s="280" t="n"/>
      <c r="N234" s="333">
        <f>IFERROR(IF(L234*M234=0,"",L234*M234),"")</f>
        <v/>
      </c>
      <c r="O234" s="280" t="n"/>
      <c r="P234" s="332">
        <f>IFERROR(VLOOKUP(TEXT(O234,"0"),CONDUCTORES!$A$3:$G$54,2,0),"")</f>
        <v/>
      </c>
      <c r="Q234" s="332">
        <f>IFERROR(VLOOKUP(TEXT(O234,"0"),CONDUCTORES!$A$3:$H$54,6,0),"")</f>
        <v/>
      </c>
      <c r="R234" s="280" t="n"/>
      <c r="S234" s="280" t="n"/>
      <c r="T234" s="280" t="n"/>
      <c r="U234" s="280" t="n"/>
      <c r="V234" s="280" t="n"/>
      <c r="W234" s="280" t="n"/>
      <c r="X234" s="280" t="n"/>
      <c r="Y234" s="280" t="n"/>
    </row>
    <row r="235" ht="15" customHeight="1" s="195">
      <c r="A235" s="334" t="n"/>
      <c r="B235" s="334" t="n"/>
      <c r="C235" s="334" t="n"/>
      <c r="D235" s="334" t="n"/>
      <c r="E235" s="334" t="n"/>
      <c r="F235" s="334" t="n"/>
      <c r="G235" s="334" t="n"/>
      <c r="H235" s="334" t="n"/>
      <c r="I235" s="332">
        <f>IFERROR(VLOOKUP(TEXT(H235,"0"),IPRESS!$A$3:$B$212,2,0),"")</f>
        <v/>
      </c>
      <c r="J235" s="334" t="n"/>
      <c r="K235" s="332">
        <f>IFERROR(VLOOKUP(TEXT(O235,"0"),CONDUCTORES!$A$3:$G$54,7,0),"")</f>
        <v/>
      </c>
      <c r="L235" s="334" t="n"/>
      <c r="M235" s="334" t="n"/>
      <c r="N235" s="333">
        <f>IFERROR(IF(L235*M235=0,"",L235*M235),"")</f>
        <v/>
      </c>
      <c r="O235" s="334" t="n"/>
      <c r="P235" s="332">
        <f>IFERROR(VLOOKUP(TEXT(O235,"0"),CONDUCTORES!$A$3:$G$54,2,0),"")</f>
        <v/>
      </c>
      <c r="Q235" s="332">
        <f>IFERROR(VLOOKUP(TEXT(O235,"0"),CONDUCTORES!$A$3:$H$54,6,0),"")</f>
        <v/>
      </c>
      <c r="R235" s="334" t="n"/>
      <c r="S235" s="334" t="n"/>
      <c r="T235" s="334" t="n"/>
      <c r="U235" s="334" t="n"/>
      <c r="V235" s="334" t="n"/>
      <c r="W235" s="334" t="n"/>
      <c r="X235" s="334" t="n"/>
      <c r="Y235" s="334" t="n"/>
    </row>
    <row r="236" ht="15" customHeight="1" s="195">
      <c r="A236" s="280" t="n"/>
      <c r="B236" s="280" t="n"/>
      <c r="C236" s="280" t="n"/>
      <c r="D236" s="280" t="n"/>
      <c r="E236" s="280" t="n"/>
      <c r="F236" s="280" t="n"/>
      <c r="G236" s="280" t="n"/>
      <c r="H236" s="280" t="n"/>
      <c r="I236" s="332">
        <f>IFERROR(VLOOKUP(TEXT(H236,"0"),IPRESS!$A$3:$B$212,2,0),"")</f>
        <v/>
      </c>
      <c r="J236" s="280" t="n"/>
      <c r="K236" s="332">
        <f>IFERROR(VLOOKUP(TEXT(O236,"0"),CONDUCTORES!$A$3:$G$54,7,0),"")</f>
        <v/>
      </c>
      <c r="L236" s="280" t="n"/>
      <c r="M236" s="280" t="n"/>
      <c r="N236" s="333">
        <f>IFERROR(IF(L236*M236=0,"",L236*M236),"")</f>
        <v/>
      </c>
      <c r="O236" s="280" t="n"/>
      <c r="P236" s="332">
        <f>IFERROR(VLOOKUP(TEXT(O236,"0"),CONDUCTORES!$A$3:$G$54,2,0),"")</f>
        <v/>
      </c>
      <c r="Q236" s="332">
        <f>IFERROR(VLOOKUP(TEXT(O236,"0"),CONDUCTORES!$A$3:$H$54,6,0),"")</f>
        <v/>
      </c>
      <c r="R236" s="280" t="n"/>
      <c r="S236" s="280" t="n"/>
      <c r="T236" s="280" t="n"/>
      <c r="U236" s="280" t="n"/>
      <c r="V236" s="280" t="n"/>
      <c r="W236" s="280" t="n"/>
      <c r="X236" s="280" t="n"/>
      <c r="Y236" s="280" t="n"/>
    </row>
    <row r="237" ht="15" customHeight="1" s="195">
      <c r="A237" s="334" t="n"/>
      <c r="B237" s="334" t="n"/>
      <c r="C237" s="334" t="n"/>
      <c r="D237" s="334" t="n"/>
      <c r="E237" s="334" t="n"/>
      <c r="F237" s="334" t="n"/>
      <c r="G237" s="334" t="n"/>
      <c r="H237" s="334" t="n"/>
      <c r="I237" s="332">
        <f>IFERROR(VLOOKUP(TEXT(H237,"0"),IPRESS!$A$3:$B$212,2,0),"")</f>
        <v/>
      </c>
      <c r="J237" s="334" t="n"/>
      <c r="K237" s="332">
        <f>IFERROR(VLOOKUP(TEXT(O237,"0"),CONDUCTORES!$A$3:$G$54,7,0),"")</f>
        <v/>
      </c>
      <c r="L237" s="334" t="n"/>
      <c r="M237" s="334" t="n"/>
      <c r="N237" s="333">
        <f>IFERROR(IF(L237*M237=0,"",L237*M237),"")</f>
        <v/>
      </c>
      <c r="O237" s="334" t="n"/>
      <c r="P237" s="332">
        <f>IFERROR(VLOOKUP(TEXT(O237,"0"),CONDUCTORES!$A$3:$G$54,2,0),"")</f>
        <v/>
      </c>
      <c r="Q237" s="332">
        <f>IFERROR(VLOOKUP(TEXT(O237,"0"),CONDUCTORES!$A$3:$H$54,6,0),"")</f>
        <v/>
      </c>
      <c r="R237" s="334" t="n"/>
      <c r="S237" s="334" t="n"/>
      <c r="T237" s="334" t="n"/>
      <c r="U237" s="334" t="n"/>
      <c r="V237" s="334" t="n"/>
      <c r="W237" s="334" t="n"/>
      <c r="X237" s="334" t="n"/>
      <c r="Y237" s="334" t="n"/>
    </row>
    <row r="238" ht="15" customHeight="1" s="195">
      <c r="A238" s="280" t="n"/>
      <c r="B238" s="280" t="n"/>
      <c r="C238" s="280" t="n"/>
      <c r="D238" s="280" t="n"/>
      <c r="E238" s="280" t="n"/>
      <c r="F238" s="280" t="n"/>
      <c r="G238" s="280" t="n"/>
      <c r="H238" s="280" t="n"/>
      <c r="I238" s="332">
        <f>IFERROR(VLOOKUP(TEXT(H238,"0"),IPRESS!$A$3:$B$212,2,0),"")</f>
        <v/>
      </c>
      <c r="J238" s="280" t="n"/>
      <c r="K238" s="332">
        <f>IFERROR(VLOOKUP(TEXT(O238,"0"),CONDUCTORES!$A$3:$G$54,7,0),"")</f>
        <v/>
      </c>
      <c r="L238" s="280" t="n"/>
      <c r="M238" s="280" t="n"/>
      <c r="N238" s="333">
        <f>IFERROR(IF(L238*M238=0,"",L238*M238),"")</f>
        <v/>
      </c>
      <c r="O238" s="280" t="n"/>
      <c r="P238" s="332">
        <f>IFERROR(VLOOKUP(TEXT(O238,"0"),CONDUCTORES!$A$3:$G$54,2,0),"")</f>
        <v/>
      </c>
      <c r="Q238" s="332">
        <f>IFERROR(VLOOKUP(TEXT(O238,"0"),CONDUCTORES!$A$3:$H$54,6,0),"")</f>
        <v/>
      </c>
      <c r="R238" s="280" t="n"/>
      <c r="S238" s="280" t="n"/>
      <c r="T238" s="280" t="n"/>
      <c r="U238" s="280" t="n"/>
      <c r="V238" s="280" t="n"/>
      <c r="W238" s="280" t="n"/>
      <c r="X238" s="280" t="n"/>
      <c r="Y238" s="280" t="n"/>
    </row>
    <row r="239" ht="15" customHeight="1" s="195">
      <c r="A239" s="334" t="n"/>
      <c r="B239" s="334" t="n"/>
      <c r="C239" s="334" t="n"/>
      <c r="D239" s="334" t="n"/>
      <c r="E239" s="334" t="n"/>
      <c r="F239" s="334" t="n"/>
      <c r="G239" s="334" t="n"/>
      <c r="H239" s="334" t="n"/>
      <c r="I239" s="332">
        <f>IFERROR(VLOOKUP(TEXT(H239,"0"),IPRESS!$A$3:$B$212,2,0),"")</f>
        <v/>
      </c>
      <c r="J239" s="334" t="n"/>
      <c r="K239" s="332">
        <f>IFERROR(VLOOKUP(TEXT(O239,"0"),CONDUCTORES!$A$3:$G$54,7,0),"")</f>
        <v/>
      </c>
      <c r="L239" s="334" t="n"/>
      <c r="M239" s="334" t="n"/>
      <c r="N239" s="333">
        <f>IFERROR(IF(L239*M239=0,"",L239*M239),"")</f>
        <v/>
      </c>
      <c r="O239" s="334" t="n"/>
      <c r="P239" s="332">
        <f>IFERROR(VLOOKUP(TEXT(O239,"0"),CONDUCTORES!$A$3:$G$54,2,0),"")</f>
        <v/>
      </c>
      <c r="Q239" s="332">
        <f>IFERROR(VLOOKUP(TEXT(O239,"0"),CONDUCTORES!$A$3:$H$54,6,0),"")</f>
        <v/>
      </c>
      <c r="R239" s="334" t="n"/>
      <c r="S239" s="334" t="n"/>
      <c r="T239" s="334" t="n"/>
      <c r="U239" s="334" t="n"/>
      <c r="V239" s="334" t="n"/>
      <c r="W239" s="334" t="n"/>
      <c r="X239" s="334" t="n"/>
      <c r="Y239" s="334" t="n"/>
    </row>
    <row r="240" ht="15" customHeight="1" s="195">
      <c r="A240" s="280" t="n"/>
      <c r="B240" s="280" t="n"/>
      <c r="C240" s="280" t="n"/>
      <c r="D240" s="280" t="n"/>
      <c r="E240" s="280" t="n"/>
      <c r="F240" s="280" t="n"/>
      <c r="G240" s="280" t="n"/>
      <c r="H240" s="280" t="n"/>
      <c r="I240" s="332">
        <f>IFERROR(VLOOKUP(TEXT(H240,"0"),IPRESS!$A$3:$B$212,2,0),"")</f>
        <v/>
      </c>
      <c r="J240" s="280" t="n"/>
      <c r="K240" s="332">
        <f>IFERROR(VLOOKUP(TEXT(O240,"0"),CONDUCTORES!$A$3:$G$54,7,0),"")</f>
        <v/>
      </c>
      <c r="L240" s="280" t="n"/>
      <c r="M240" s="280" t="n"/>
      <c r="N240" s="333">
        <f>IFERROR(IF(L240*M240=0,"",L240*M240),"")</f>
        <v/>
      </c>
      <c r="O240" s="280" t="n"/>
      <c r="P240" s="332">
        <f>IFERROR(VLOOKUP(TEXT(O240,"0"),CONDUCTORES!$A$3:$G$54,2,0),"")</f>
        <v/>
      </c>
      <c r="Q240" s="332">
        <f>IFERROR(VLOOKUP(TEXT(O240,"0"),CONDUCTORES!$A$3:$H$54,6,0),"")</f>
        <v/>
      </c>
      <c r="R240" s="280" t="n"/>
      <c r="S240" s="280" t="n"/>
      <c r="T240" s="280" t="n"/>
      <c r="U240" s="280" t="n"/>
      <c r="V240" s="280" t="n"/>
      <c r="W240" s="280" t="n"/>
      <c r="X240" s="280" t="n"/>
      <c r="Y240" s="280" t="n"/>
    </row>
    <row r="241" ht="15" customHeight="1" s="195">
      <c r="A241" s="334" t="n"/>
      <c r="B241" s="334" t="n"/>
      <c r="C241" s="334" t="n"/>
      <c r="D241" s="334" t="n"/>
      <c r="E241" s="334" t="n"/>
      <c r="F241" s="334" t="n"/>
      <c r="G241" s="334" t="n"/>
      <c r="H241" s="334" t="n"/>
      <c r="I241" s="332">
        <f>IFERROR(VLOOKUP(TEXT(H241,"0"),IPRESS!$A$3:$B$212,2,0),"")</f>
        <v/>
      </c>
      <c r="J241" s="334" t="n"/>
      <c r="K241" s="332">
        <f>IFERROR(VLOOKUP(TEXT(O241,"0"),CONDUCTORES!$A$3:$G$54,7,0),"")</f>
        <v/>
      </c>
      <c r="L241" s="334" t="n"/>
      <c r="M241" s="334" t="n"/>
      <c r="N241" s="333">
        <f>IFERROR(IF(L241*M241=0,"",L241*M241),"")</f>
        <v/>
      </c>
      <c r="O241" s="334" t="n"/>
      <c r="P241" s="332">
        <f>IFERROR(VLOOKUP(TEXT(O241,"0"),CONDUCTORES!$A$3:$G$54,2,0),"")</f>
        <v/>
      </c>
      <c r="Q241" s="332">
        <f>IFERROR(VLOOKUP(TEXT(O241,"0"),CONDUCTORES!$A$3:$H$54,6,0),"")</f>
        <v/>
      </c>
      <c r="R241" s="334" t="n"/>
      <c r="S241" s="334" t="n"/>
      <c r="T241" s="334" t="n"/>
      <c r="U241" s="334" t="n"/>
      <c r="V241" s="334" t="n"/>
      <c r="W241" s="334" t="n"/>
      <c r="X241" s="334" t="n"/>
      <c r="Y241" s="334" t="n"/>
    </row>
    <row r="242" ht="15" customHeight="1" s="195">
      <c r="A242" s="280" t="n"/>
      <c r="B242" s="280" t="n"/>
      <c r="C242" s="280" t="n"/>
      <c r="D242" s="280" t="n"/>
      <c r="E242" s="280" t="n"/>
      <c r="F242" s="280" t="n"/>
      <c r="G242" s="280" t="n"/>
      <c r="H242" s="280" t="n"/>
      <c r="I242" s="332">
        <f>IFERROR(VLOOKUP(TEXT(H242,"0"),IPRESS!$A$3:$B$212,2,0),"")</f>
        <v/>
      </c>
      <c r="J242" s="280" t="n"/>
      <c r="K242" s="332">
        <f>IFERROR(VLOOKUP(TEXT(O242,"0"),CONDUCTORES!$A$3:$G$54,7,0),"")</f>
        <v/>
      </c>
      <c r="L242" s="280" t="n"/>
      <c r="M242" s="280" t="n"/>
      <c r="N242" s="333">
        <f>IFERROR(IF(L242*M242=0,"",L242*M242),"")</f>
        <v/>
      </c>
      <c r="O242" s="280" t="n"/>
      <c r="P242" s="332">
        <f>IFERROR(VLOOKUP(TEXT(O242,"0"),CONDUCTORES!$A$3:$G$54,2,0),"")</f>
        <v/>
      </c>
      <c r="Q242" s="332">
        <f>IFERROR(VLOOKUP(TEXT(O242,"0"),CONDUCTORES!$A$3:$H$54,6,0),"")</f>
        <v/>
      </c>
      <c r="R242" s="280" t="n"/>
      <c r="S242" s="280" t="n"/>
      <c r="T242" s="280" t="n"/>
      <c r="U242" s="280" t="n"/>
      <c r="V242" s="280" t="n"/>
      <c r="W242" s="280" t="n"/>
      <c r="X242" s="280" t="n"/>
      <c r="Y242" s="280" t="n"/>
    </row>
    <row r="243" ht="15" customHeight="1" s="195">
      <c r="A243" s="334" t="n"/>
      <c r="B243" s="334" t="n"/>
      <c r="C243" s="334" t="n"/>
      <c r="D243" s="334" t="n"/>
      <c r="E243" s="334" t="n"/>
      <c r="F243" s="334" t="n"/>
      <c r="G243" s="334" t="n"/>
      <c r="H243" s="334" t="n"/>
      <c r="I243" s="332">
        <f>IFERROR(VLOOKUP(TEXT(H243,"0"),IPRESS!$A$3:$B$212,2,0),"")</f>
        <v/>
      </c>
      <c r="J243" s="334" t="n"/>
      <c r="K243" s="332">
        <f>IFERROR(VLOOKUP(TEXT(O243,"0"),CONDUCTORES!$A$3:$G$54,7,0),"")</f>
        <v/>
      </c>
      <c r="L243" s="334" t="n"/>
      <c r="M243" s="334" t="n"/>
      <c r="N243" s="333">
        <f>IFERROR(IF(L243*M243=0,"",L243*M243),"")</f>
        <v/>
      </c>
      <c r="O243" s="334" t="n"/>
      <c r="P243" s="332">
        <f>IFERROR(VLOOKUP(TEXT(O243,"0"),CONDUCTORES!$A$3:$G$54,2,0),"")</f>
        <v/>
      </c>
      <c r="Q243" s="332">
        <f>IFERROR(VLOOKUP(TEXT(O243,"0"),CONDUCTORES!$A$3:$H$54,6,0),"")</f>
        <v/>
      </c>
      <c r="R243" s="334" t="n"/>
      <c r="S243" s="334" t="n"/>
      <c r="T243" s="334" t="n"/>
      <c r="U243" s="334" t="n"/>
      <c r="V243" s="334" t="n"/>
      <c r="W243" s="334" t="n"/>
      <c r="X243" s="334" t="n"/>
      <c r="Y243" s="334" t="n"/>
    </row>
    <row r="244" ht="15" customHeight="1" s="195">
      <c r="A244" s="280" t="n"/>
      <c r="B244" s="280" t="n"/>
      <c r="C244" s="280" t="n"/>
      <c r="D244" s="280" t="n"/>
      <c r="E244" s="280" t="n"/>
      <c r="F244" s="280" t="n"/>
      <c r="G244" s="280" t="n"/>
      <c r="H244" s="280" t="n"/>
      <c r="I244" s="332">
        <f>IFERROR(VLOOKUP(TEXT(H244,"0"),IPRESS!$A$3:$B$212,2,0),"")</f>
        <v/>
      </c>
      <c r="J244" s="280" t="n"/>
      <c r="K244" s="332">
        <f>IFERROR(VLOOKUP(TEXT(O244,"0"),CONDUCTORES!$A$3:$G$54,7,0),"")</f>
        <v/>
      </c>
      <c r="L244" s="280" t="n"/>
      <c r="M244" s="280" t="n"/>
      <c r="N244" s="333">
        <f>IFERROR(IF(L244*M244=0,"",L244*M244),"")</f>
        <v/>
      </c>
      <c r="O244" s="280" t="n"/>
      <c r="P244" s="332">
        <f>IFERROR(VLOOKUP(TEXT(O244,"0"),CONDUCTORES!$A$3:$G$54,2,0),"")</f>
        <v/>
      </c>
      <c r="Q244" s="332">
        <f>IFERROR(VLOOKUP(TEXT(O244,"0"),CONDUCTORES!$A$3:$H$54,6,0),"")</f>
        <v/>
      </c>
      <c r="R244" s="280" t="n"/>
      <c r="S244" s="280" t="n"/>
      <c r="T244" s="280" t="n"/>
      <c r="U244" s="280" t="n"/>
      <c r="V244" s="280" t="n"/>
      <c r="W244" s="280" t="n"/>
      <c r="X244" s="280" t="n"/>
      <c r="Y244" s="280" t="n"/>
    </row>
    <row r="245" ht="15" customHeight="1" s="195">
      <c r="A245" s="334" t="n"/>
      <c r="B245" s="334" t="n"/>
      <c r="C245" s="334" t="n"/>
      <c r="D245" s="334" t="n"/>
      <c r="E245" s="334" t="n"/>
      <c r="F245" s="334" t="n"/>
      <c r="G245" s="334" t="n"/>
      <c r="H245" s="334" t="n"/>
      <c r="I245" s="332">
        <f>IFERROR(VLOOKUP(TEXT(H245,"0"),IPRESS!$A$3:$B$212,2,0),"")</f>
        <v/>
      </c>
      <c r="J245" s="334" t="n"/>
      <c r="K245" s="332">
        <f>IFERROR(VLOOKUP(TEXT(O245,"0"),CONDUCTORES!$A$3:$G$54,7,0),"")</f>
        <v/>
      </c>
      <c r="L245" s="334" t="n"/>
      <c r="M245" s="334" t="n"/>
      <c r="N245" s="333">
        <f>IFERROR(IF(L245*M245=0,"",L245*M245),"")</f>
        <v/>
      </c>
      <c r="O245" s="334" t="n"/>
      <c r="P245" s="332">
        <f>IFERROR(VLOOKUP(TEXT(O245,"0"),CONDUCTORES!$A$3:$G$54,2,0),"")</f>
        <v/>
      </c>
      <c r="Q245" s="332">
        <f>IFERROR(VLOOKUP(TEXT(O245,"0"),CONDUCTORES!$A$3:$H$54,6,0),"")</f>
        <v/>
      </c>
      <c r="R245" s="334" t="n"/>
      <c r="S245" s="334" t="n"/>
      <c r="T245" s="334" t="n"/>
      <c r="U245" s="334" t="n"/>
      <c r="V245" s="334" t="n"/>
      <c r="W245" s="334" t="n"/>
      <c r="X245" s="334" t="n"/>
      <c r="Y245" s="334" t="n"/>
    </row>
    <row r="246" ht="15" customHeight="1" s="195">
      <c r="A246" s="280" t="n"/>
      <c r="B246" s="280" t="n"/>
      <c r="C246" s="280" t="n"/>
      <c r="D246" s="280" t="n"/>
      <c r="E246" s="280" t="n"/>
      <c r="F246" s="280" t="n"/>
      <c r="G246" s="280" t="n"/>
      <c r="H246" s="280" t="n"/>
      <c r="I246" s="332">
        <f>IFERROR(VLOOKUP(TEXT(H246,"0"),IPRESS!$A$3:$B$212,2,0),"")</f>
        <v/>
      </c>
      <c r="J246" s="280" t="n"/>
      <c r="K246" s="332">
        <f>IFERROR(VLOOKUP(TEXT(O246,"0"),CONDUCTORES!$A$3:$G$54,7,0),"")</f>
        <v/>
      </c>
      <c r="L246" s="280" t="n"/>
      <c r="M246" s="280" t="n"/>
      <c r="N246" s="333">
        <f>IFERROR(IF(L246*M246=0,"",L246*M246),"")</f>
        <v/>
      </c>
      <c r="O246" s="280" t="n"/>
      <c r="P246" s="332">
        <f>IFERROR(VLOOKUP(TEXT(O246,"0"),CONDUCTORES!$A$3:$G$54,2,0),"")</f>
        <v/>
      </c>
      <c r="Q246" s="332">
        <f>IFERROR(VLOOKUP(TEXT(O246,"0"),CONDUCTORES!$A$3:$H$54,6,0),"")</f>
        <v/>
      </c>
      <c r="R246" s="280" t="n"/>
      <c r="S246" s="280" t="n"/>
      <c r="T246" s="280" t="n"/>
      <c r="U246" s="280" t="n"/>
      <c r="V246" s="280" t="n"/>
      <c r="W246" s="280" t="n"/>
      <c r="X246" s="280" t="n"/>
      <c r="Y246" s="280" t="n"/>
    </row>
    <row r="247" ht="15" customHeight="1" s="195">
      <c r="A247" s="334" t="n"/>
      <c r="B247" s="334" t="n"/>
      <c r="C247" s="334" t="n"/>
      <c r="D247" s="334" t="n"/>
      <c r="E247" s="334" t="n"/>
      <c r="F247" s="334" t="n"/>
      <c r="G247" s="334" t="n"/>
      <c r="H247" s="334" t="n"/>
      <c r="I247" s="332">
        <f>IFERROR(VLOOKUP(TEXT(H247,"0"),IPRESS!$A$3:$B$212,2,0),"")</f>
        <v/>
      </c>
      <c r="J247" s="334" t="n"/>
      <c r="K247" s="332">
        <f>IFERROR(VLOOKUP(TEXT(O247,"0"),CONDUCTORES!$A$3:$G$54,7,0),"")</f>
        <v/>
      </c>
      <c r="L247" s="334" t="n"/>
      <c r="M247" s="334" t="n"/>
      <c r="N247" s="333">
        <f>IFERROR(IF(L247*M247=0,"",L247*M247),"")</f>
        <v/>
      </c>
      <c r="O247" s="334" t="n"/>
      <c r="P247" s="332">
        <f>IFERROR(VLOOKUP(TEXT(O247,"0"),CONDUCTORES!$A$3:$G$54,2,0),"")</f>
        <v/>
      </c>
      <c r="Q247" s="332">
        <f>IFERROR(VLOOKUP(TEXT(O247,"0"),CONDUCTORES!$A$3:$H$54,6,0),"")</f>
        <v/>
      </c>
      <c r="R247" s="334" t="n"/>
      <c r="S247" s="334" t="n"/>
      <c r="T247" s="334" t="n"/>
      <c r="U247" s="334" t="n"/>
      <c r="V247" s="334" t="n"/>
      <c r="W247" s="334" t="n"/>
      <c r="X247" s="334" t="n"/>
      <c r="Y247" s="334" t="n"/>
    </row>
    <row r="248" ht="15" customHeight="1" s="195">
      <c r="A248" s="280" t="n"/>
      <c r="B248" s="280" t="n"/>
      <c r="C248" s="280" t="n"/>
      <c r="D248" s="280" t="n"/>
      <c r="E248" s="280" t="n"/>
      <c r="F248" s="280" t="n"/>
      <c r="G248" s="280" t="n"/>
      <c r="H248" s="280" t="n"/>
      <c r="I248" s="332">
        <f>IFERROR(VLOOKUP(TEXT(H248,"0"),IPRESS!$A$3:$B$212,2,0),"")</f>
        <v/>
      </c>
      <c r="J248" s="280" t="n"/>
      <c r="K248" s="332">
        <f>IFERROR(VLOOKUP(TEXT(O248,"0"),CONDUCTORES!$A$3:$G$54,7,0),"")</f>
        <v/>
      </c>
      <c r="L248" s="280" t="n"/>
      <c r="M248" s="280" t="n"/>
      <c r="N248" s="333">
        <f>IFERROR(IF(L248*M248=0,"",L248*M248),"")</f>
        <v/>
      </c>
      <c r="O248" s="280" t="n"/>
      <c r="P248" s="332">
        <f>IFERROR(VLOOKUP(TEXT(O248,"0"),CONDUCTORES!$A$3:$G$54,2,0),"")</f>
        <v/>
      </c>
      <c r="Q248" s="332">
        <f>IFERROR(VLOOKUP(TEXT(O248,"0"),CONDUCTORES!$A$3:$H$54,6,0),"")</f>
        <v/>
      </c>
      <c r="R248" s="280" t="n"/>
      <c r="S248" s="280" t="n"/>
      <c r="T248" s="280" t="n"/>
      <c r="U248" s="280" t="n"/>
      <c r="V248" s="280" t="n"/>
      <c r="W248" s="280" t="n"/>
      <c r="X248" s="280" t="n"/>
      <c r="Y248" s="280" t="n"/>
    </row>
    <row r="249" ht="15" customHeight="1" s="195">
      <c r="A249" s="334" t="n"/>
      <c r="B249" s="334" t="n"/>
      <c r="C249" s="334" t="n"/>
      <c r="D249" s="334" t="n"/>
      <c r="E249" s="334" t="n"/>
      <c r="F249" s="334" t="n"/>
      <c r="G249" s="334" t="n"/>
      <c r="H249" s="334" t="n"/>
      <c r="I249" s="332">
        <f>IFERROR(VLOOKUP(TEXT(H249,"0"),IPRESS!$A$3:$B$212,2,0),"")</f>
        <v/>
      </c>
      <c r="J249" s="334" t="n"/>
      <c r="K249" s="332">
        <f>IFERROR(VLOOKUP(TEXT(O249,"0"),CONDUCTORES!$A$3:$G$54,7,0),"")</f>
        <v/>
      </c>
      <c r="L249" s="334" t="n"/>
      <c r="M249" s="334" t="n"/>
      <c r="N249" s="333">
        <f>IFERROR(IF(L249*M249=0,"",L249*M249),"")</f>
        <v/>
      </c>
      <c r="O249" s="334" t="n"/>
      <c r="P249" s="332">
        <f>IFERROR(VLOOKUP(TEXT(O249,"0"),CONDUCTORES!$A$3:$G$54,2,0),"")</f>
        <v/>
      </c>
      <c r="Q249" s="332">
        <f>IFERROR(VLOOKUP(TEXT(O249,"0"),CONDUCTORES!$A$3:$H$54,6,0),"")</f>
        <v/>
      </c>
      <c r="R249" s="334" t="n"/>
      <c r="S249" s="334" t="n"/>
      <c r="T249" s="334" t="n"/>
      <c r="U249" s="334" t="n"/>
      <c r="V249" s="334" t="n"/>
      <c r="W249" s="334" t="n"/>
      <c r="X249" s="334" t="n"/>
      <c r="Y249" s="334" t="n"/>
    </row>
    <row r="250" ht="15" customHeight="1" s="195">
      <c r="A250" s="280" t="n"/>
      <c r="B250" s="280" t="n"/>
      <c r="C250" s="280" t="n"/>
      <c r="D250" s="280" t="n"/>
      <c r="E250" s="280" t="n"/>
      <c r="F250" s="280" t="n"/>
      <c r="G250" s="280" t="n"/>
      <c r="H250" s="280" t="n"/>
      <c r="I250" s="332">
        <f>IFERROR(VLOOKUP(TEXT(H250,"0"),IPRESS!$A$3:$B$212,2,0),"")</f>
        <v/>
      </c>
      <c r="J250" s="280" t="n"/>
      <c r="K250" s="332">
        <f>IFERROR(VLOOKUP(TEXT(O250,"0"),CONDUCTORES!$A$3:$G$54,7,0),"")</f>
        <v/>
      </c>
      <c r="L250" s="280" t="n"/>
      <c r="M250" s="280" t="n"/>
      <c r="N250" s="333">
        <f>IFERROR(IF(L250*M250=0,"",L250*M250),"")</f>
        <v/>
      </c>
      <c r="O250" s="280" t="n"/>
      <c r="P250" s="332">
        <f>IFERROR(VLOOKUP(TEXT(O250,"0"),CONDUCTORES!$A$3:$G$54,2,0),"")</f>
        <v/>
      </c>
      <c r="Q250" s="332">
        <f>IFERROR(VLOOKUP(TEXT(O250,"0"),CONDUCTORES!$A$3:$H$54,6,0),"")</f>
        <v/>
      </c>
      <c r="R250" s="280" t="n"/>
      <c r="S250" s="280" t="n"/>
      <c r="T250" s="280" t="n"/>
      <c r="U250" s="280" t="n"/>
      <c r="V250" s="280" t="n"/>
      <c r="W250" s="280" t="n"/>
      <c r="X250" s="280" t="n"/>
      <c r="Y250" s="280" t="n"/>
    </row>
    <row r="251" ht="15" customHeight="1" s="195">
      <c r="A251" s="334" t="n"/>
      <c r="B251" s="334" t="n"/>
      <c r="C251" s="334" t="n"/>
      <c r="D251" s="334" t="n"/>
      <c r="E251" s="334" t="n"/>
      <c r="F251" s="334" t="n"/>
      <c r="G251" s="334" t="n"/>
      <c r="H251" s="334" t="n"/>
      <c r="I251" s="332">
        <f>IFERROR(VLOOKUP(TEXT(H251,"0"),IPRESS!$A$3:$B$212,2,0),"")</f>
        <v/>
      </c>
      <c r="J251" s="334" t="n"/>
      <c r="K251" s="332">
        <f>IFERROR(VLOOKUP(TEXT(O251,"0"),CONDUCTORES!$A$3:$G$54,7,0),"")</f>
        <v/>
      </c>
      <c r="L251" s="334" t="n"/>
      <c r="M251" s="334" t="n"/>
      <c r="N251" s="333">
        <f>IFERROR(IF(L251*M251=0,"",L251*M251),"")</f>
        <v/>
      </c>
      <c r="O251" s="334" t="n"/>
      <c r="P251" s="332">
        <f>IFERROR(VLOOKUP(TEXT(O251,"0"),CONDUCTORES!$A$3:$G$54,2,0),"")</f>
        <v/>
      </c>
      <c r="Q251" s="332">
        <f>IFERROR(VLOOKUP(TEXT(O251,"0"),CONDUCTORES!$A$3:$H$54,6,0),"")</f>
        <v/>
      </c>
      <c r="R251" s="334" t="n"/>
      <c r="S251" s="334" t="n"/>
      <c r="T251" s="334" t="n"/>
      <c r="U251" s="334" t="n"/>
      <c r="V251" s="334" t="n"/>
      <c r="W251" s="334" t="n"/>
      <c r="X251" s="334" t="n"/>
      <c r="Y251" s="334" t="n"/>
    </row>
    <row r="252" ht="15" customHeight="1" s="195">
      <c r="A252" s="280" t="n"/>
      <c r="B252" s="280" t="n"/>
      <c r="C252" s="280" t="n"/>
      <c r="D252" s="280" t="n"/>
      <c r="E252" s="280" t="n"/>
      <c r="F252" s="280" t="n"/>
      <c r="G252" s="280" t="n"/>
      <c r="H252" s="280" t="n"/>
      <c r="I252" s="332">
        <f>IFERROR(VLOOKUP(TEXT(H252,"0"),IPRESS!$A$3:$B$212,2,0),"")</f>
        <v/>
      </c>
      <c r="J252" s="280" t="n"/>
      <c r="K252" s="332">
        <f>IFERROR(VLOOKUP(TEXT(O252,"0"),CONDUCTORES!$A$3:$G$54,7,0),"")</f>
        <v/>
      </c>
      <c r="L252" s="280" t="n"/>
      <c r="M252" s="280" t="n"/>
      <c r="N252" s="333">
        <f>IFERROR(IF(L252*M252=0,"",L252*M252),"")</f>
        <v/>
      </c>
      <c r="O252" s="280" t="n"/>
      <c r="P252" s="332">
        <f>IFERROR(VLOOKUP(TEXT(O252,"0"),CONDUCTORES!$A$3:$G$54,2,0),"")</f>
        <v/>
      </c>
      <c r="Q252" s="332">
        <f>IFERROR(VLOOKUP(TEXT(O252,"0"),CONDUCTORES!$A$3:$H$54,6,0),"")</f>
        <v/>
      </c>
      <c r="R252" s="280" t="n"/>
      <c r="S252" s="280" t="n"/>
      <c r="T252" s="280" t="n"/>
      <c r="U252" s="280" t="n"/>
      <c r="V252" s="280" t="n"/>
      <c r="W252" s="280" t="n"/>
      <c r="X252" s="280" t="n"/>
      <c r="Y252" s="280" t="n"/>
    </row>
    <row r="253" ht="15" customHeight="1" s="195">
      <c r="A253" s="334" t="n"/>
      <c r="B253" s="334" t="n"/>
      <c r="C253" s="334" t="n"/>
      <c r="D253" s="334" t="n"/>
      <c r="E253" s="334" t="n"/>
      <c r="F253" s="334" t="n"/>
      <c r="G253" s="334" t="n"/>
      <c r="H253" s="334" t="n"/>
      <c r="I253" s="332">
        <f>IFERROR(VLOOKUP(TEXT(H253,"0"),IPRESS!$A$3:$B$212,2,0),"")</f>
        <v/>
      </c>
      <c r="J253" s="334" t="n"/>
      <c r="K253" s="332">
        <f>IFERROR(VLOOKUP(TEXT(O253,"0"),CONDUCTORES!$A$3:$G$54,7,0),"")</f>
        <v/>
      </c>
      <c r="L253" s="334" t="n"/>
      <c r="M253" s="334" t="n"/>
      <c r="N253" s="333">
        <f>IFERROR(IF(L253*M253=0,"",L253*M253),"")</f>
        <v/>
      </c>
      <c r="O253" s="334" t="n"/>
      <c r="P253" s="332">
        <f>IFERROR(VLOOKUP(TEXT(O253,"0"),CONDUCTORES!$A$3:$G$54,2,0),"")</f>
        <v/>
      </c>
      <c r="Q253" s="332">
        <f>IFERROR(VLOOKUP(TEXT(O253,"0"),CONDUCTORES!$A$3:$H$54,6,0),"")</f>
        <v/>
      </c>
      <c r="R253" s="334" t="n"/>
      <c r="S253" s="334" t="n"/>
      <c r="T253" s="334" t="n"/>
      <c r="U253" s="334" t="n"/>
      <c r="V253" s="334" t="n"/>
      <c r="W253" s="334" t="n"/>
      <c r="X253" s="334" t="n"/>
      <c r="Y253" s="334" t="n"/>
    </row>
    <row r="254" ht="15" customHeight="1" s="195">
      <c r="A254" s="280" t="n"/>
      <c r="B254" s="280" t="n"/>
      <c r="C254" s="280" t="n"/>
      <c r="D254" s="280" t="n"/>
      <c r="E254" s="280" t="n"/>
      <c r="F254" s="280" t="n"/>
      <c r="G254" s="280" t="n"/>
      <c r="H254" s="280" t="n"/>
      <c r="I254" s="332">
        <f>IFERROR(VLOOKUP(TEXT(H254,"0"),IPRESS!$A$3:$B$212,2,0),"")</f>
        <v/>
      </c>
      <c r="J254" s="280" t="n"/>
      <c r="K254" s="332">
        <f>IFERROR(VLOOKUP(TEXT(O254,"0"),CONDUCTORES!$A$3:$G$54,7,0),"")</f>
        <v/>
      </c>
      <c r="L254" s="280" t="n"/>
      <c r="M254" s="280" t="n"/>
      <c r="N254" s="333">
        <f>IFERROR(IF(L254*M254=0,"",L254*M254),"")</f>
        <v/>
      </c>
      <c r="O254" s="280" t="n"/>
      <c r="P254" s="332">
        <f>IFERROR(VLOOKUP(TEXT(O254,"0"),CONDUCTORES!$A$3:$G$54,2,0),"")</f>
        <v/>
      </c>
      <c r="Q254" s="332">
        <f>IFERROR(VLOOKUP(TEXT(O254,"0"),CONDUCTORES!$A$3:$H$54,6,0),"")</f>
        <v/>
      </c>
      <c r="R254" s="280" t="n"/>
      <c r="S254" s="280" t="n"/>
      <c r="T254" s="280" t="n"/>
      <c r="U254" s="280" t="n"/>
      <c r="V254" s="280" t="n"/>
      <c r="W254" s="280" t="n"/>
      <c r="X254" s="280" t="n"/>
      <c r="Y254" s="280" t="n"/>
    </row>
    <row r="255" ht="15" customHeight="1" s="195">
      <c r="A255" s="334" t="n"/>
      <c r="B255" s="334" t="n"/>
      <c r="C255" s="334" t="n"/>
      <c r="D255" s="334" t="n"/>
      <c r="E255" s="334" t="n"/>
      <c r="F255" s="334" t="n"/>
      <c r="G255" s="334" t="n"/>
      <c r="H255" s="334" t="n"/>
      <c r="I255" s="332">
        <f>IFERROR(VLOOKUP(TEXT(H255,"0"),IPRESS!$A$3:$B$212,2,0),"")</f>
        <v/>
      </c>
      <c r="J255" s="334" t="n"/>
      <c r="K255" s="332">
        <f>IFERROR(VLOOKUP(TEXT(O255,"0"),CONDUCTORES!$A$3:$G$54,7,0),"")</f>
        <v/>
      </c>
      <c r="L255" s="334" t="n"/>
      <c r="M255" s="334" t="n"/>
      <c r="N255" s="333">
        <f>IFERROR(IF(L255*M255=0,"",L255*M255),"")</f>
        <v/>
      </c>
      <c r="O255" s="334" t="n"/>
      <c r="P255" s="332">
        <f>IFERROR(VLOOKUP(TEXT(O255,"0"),CONDUCTORES!$A$3:$G$54,2,0),"")</f>
        <v/>
      </c>
      <c r="Q255" s="332">
        <f>IFERROR(VLOOKUP(TEXT(O255,"0"),CONDUCTORES!$A$3:$H$54,6,0),"")</f>
        <v/>
      </c>
      <c r="R255" s="334" t="n"/>
      <c r="S255" s="334" t="n"/>
      <c r="T255" s="334" t="n"/>
      <c r="U255" s="334" t="n"/>
      <c r="V255" s="334" t="n"/>
      <c r="W255" s="334" t="n"/>
      <c r="X255" s="334" t="n"/>
      <c r="Y255" s="334" t="n"/>
    </row>
    <row r="256" ht="15" customHeight="1" s="195">
      <c r="A256" s="280" t="n"/>
      <c r="B256" s="280" t="n"/>
      <c r="C256" s="280" t="n"/>
      <c r="D256" s="280" t="n"/>
      <c r="E256" s="280" t="n"/>
      <c r="F256" s="280" t="n"/>
      <c r="G256" s="280" t="n"/>
      <c r="H256" s="280" t="n"/>
      <c r="I256" s="332">
        <f>IFERROR(VLOOKUP(TEXT(H256,"0"),IPRESS!$A$3:$B$212,2,0),"")</f>
        <v/>
      </c>
      <c r="J256" s="280" t="n"/>
      <c r="K256" s="332">
        <f>IFERROR(VLOOKUP(TEXT(O256,"0"),CONDUCTORES!$A$3:$G$54,7,0),"")</f>
        <v/>
      </c>
      <c r="L256" s="280" t="n"/>
      <c r="M256" s="280" t="n"/>
      <c r="N256" s="333">
        <f>IFERROR(IF(L256*M256=0,"",L256*M256),"")</f>
        <v/>
      </c>
      <c r="O256" s="280" t="n"/>
      <c r="P256" s="332">
        <f>IFERROR(VLOOKUP(TEXT(O256,"0"),CONDUCTORES!$A$3:$G$54,2,0),"")</f>
        <v/>
      </c>
      <c r="Q256" s="332">
        <f>IFERROR(VLOOKUP(TEXT(O256,"0"),CONDUCTORES!$A$3:$H$54,6,0),"")</f>
        <v/>
      </c>
      <c r="R256" s="280" t="n"/>
      <c r="S256" s="280" t="n"/>
      <c r="T256" s="280" t="n"/>
      <c r="U256" s="280" t="n"/>
      <c r="V256" s="280" t="n"/>
      <c r="W256" s="280" t="n"/>
      <c r="X256" s="280" t="n"/>
      <c r="Y256" s="280" t="n"/>
    </row>
    <row r="257" ht="15" customHeight="1" s="195">
      <c r="A257" s="334" t="n"/>
      <c r="B257" s="334" t="n"/>
      <c r="C257" s="334" t="n"/>
      <c r="D257" s="334" t="n"/>
      <c r="E257" s="334" t="n"/>
      <c r="F257" s="334" t="n"/>
      <c r="G257" s="334" t="n"/>
      <c r="H257" s="334" t="n"/>
      <c r="I257" s="332">
        <f>IFERROR(VLOOKUP(TEXT(H257,"0"),IPRESS!$A$3:$B$212,2,0),"")</f>
        <v/>
      </c>
      <c r="J257" s="334" t="n"/>
      <c r="K257" s="332">
        <f>IFERROR(VLOOKUP(TEXT(O257,"0"),CONDUCTORES!$A$3:$G$54,7,0),"")</f>
        <v/>
      </c>
      <c r="L257" s="334" t="n"/>
      <c r="M257" s="334" t="n"/>
      <c r="N257" s="333">
        <f>IFERROR(IF(L257*M257=0,"",L257*M257),"")</f>
        <v/>
      </c>
      <c r="O257" s="334" t="n"/>
      <c r="P257" s="332">
        <f>IFERROR(VLOOKUP(TEXT(O257,"0"),CONDUCTORES!$A$3:$G$54,2,0),"")</f>
        <v/>
      </c>
      <c r="Q257" s="332">
        <f>IFERROR(VLOOKUP(TEXT(O257,"0"),CONDUCTORES!$A$3:$H$54,6,0),"")</f>
        <v/>
      </c>
      <c r="R257" s="334" t="n"/>
      <c r="S257" s="334" t="n"/>
      <c r="T257" s="334" t="n"/>
      <c r="U257" s="334" t="n"/>
      <c r="V257" s="334" t="n"/>
      <c r="W257" s="334" t="n"/>
      <c r="X257" s="334" t="n"/>
      <c r="Y257" s="334" t="n"/>
    </row>
    <row r="258" ht="15" customHeight="1" s="195">
      <c r="A258" s="280" t="n"/>
      <c r="B258" s="280" t="n"/>
      <c r="C258" s="280" t="n"/>
      <c r="D258" s="280" t="n"/>
      <c r="E258" s="280" t="n"/>
      <c r="F258" s="280" t="n"/>
      <c r="G258" s="280" t="n"/>
      <c r="H258" s="280" t="n"/>
      <c r="I258" s="332">
        <f>IFERROR(VLOOKUP(TEXT(H258,"0"),IPRESS!$A$3:$B$212,2,0),"")</f>
        <v/>
      </c>
      <c r="J258" s="280" t="n"/>
      <c r="K258" s="332">
        <f>IFERROR(VLOOKUP(TEXT(O258,"0"),CONDUCTORES!$A$3:$G$54,7,0),"")</f>
        <v/>
      </c>
      <c r="L258" s="280" t="n"/>
      <c r="M258" s="280" t="n"/>
      <c r="N258" s="333">
        <f>IFERROR(IF(L258*M258=0,"",L258*M258),"")</f>
        <v/>
      </c>
      <c r="O258" s="280" t="n"/>
      <c r="P258" s="332">
        <f>IFERROR(VLOOKUP(TEXT(O258,"0"),CONDUCTORES!$A$3:$G$54,2,0),"")</f>
        <v/>
      </c>
      <c r="Q258" s="332">
        <f>IFERROR(VLOOKUP(TEXT(O258,"0"),CONDUCTORES!$A$3:$H$54,6,0),"")</f>
        <v/>
      </c>
      <c r="R258" s="280" t="n"/>
      <c r="S258" s="280" t="n"/>
      <c r="T258" s="280" t="n"/>
      <c r="U258" s="280" t="n"/>
      <c r="V258" s="280" t="n"/>
      <c r="W258" s="280" t="n"/>
      <c r="X258" s="280" t="n"/>
      <c r="Y258" s="280" t="n"/>
    </row>
    <row r="259" ht="15" customHeight="1" s="195">
      <c r="A259" s="334" t="n"/>
      <c r="B259" s="334" t="n"/>
      <c r="C259" s="334" t="n"/>
      <c r="D259" s="334" t="n"/>
      <c r="E259" s="334" t="n"/>
      <c r="F259" s="334" t="n"/>
      <c r="G259" s="334" t="n"/>
      <c r="H259" s="334" t="n"/>
      <c r="I259" s="332">
        <f>IFERROR(VLOOKUP(TEXT(H259,"0"),IPRESS!$A$3:$B$212,2,0),"")</f>
        <v/>
      </c>
      <c r="J259" s="334" t="n"/>
      <c r="K259" s="332">
        <f>IFERROR(VLOOKUP(TEXT(O259,"0"),CONDUCTORES!$A$3:$G$54,7,0),"")</f>
        <v/>
      </c>
      <c r="L259" s="334" t="n"/>
      <c r="M259" s="334" t="n"/>
      <c r="N259" s="333">
        <f>IFERROR(IF(L259*M259=0,"",L259*M259),"")</f>
        <v/>
      </c>
      <c r="O259" s="334" t="n"/>
      <c r="P259" s="332">
        <f>IFERROR(VLOOKUP(TEXT(O259,"0"),CONDUCTORES!$A$3:$G$54,2,0),"")</f>
        <v/>
      </c>
      <c r="Q259" s="332">
        <f>IFERROR(VLOOKUP(TEXT(O259,"0"),CONDUCTORES!$A$3:$H$54,6,0),"")</f>
        <v/>
      </c>
      <c r="R259" s="334" t="n"/>
      <c r="S259" s="334" t="n"/>
      <c r="T259" s="334" t="n"/>
      <c r="U259" s="334" t="n"/>
      <c r="V259" s="334" t="n"/>
      <c r="W259" s="334" t="n"/>
      <c r="X259" s="334" t="n"/>
      <c r="Y259" s="334" t="n"/>
    </row>
    <row r="260" ht="15" customHeight="1" s="195">
      <c r="A260" s="280" t="n"/>
      <c r="B260" s="280" t="n"/>
      <c r="C260" s="280" t="n"/>
      <c r="D260" s="280" t="n"/>
      <c r="E260" s="280" t="n"/>
      <c r="F260" s="280" t="n"/>
      <c r="G260" s="280" t="n"/>
      <c r="H260" s="280" t="n"/>
      <c r="I260" s="332">
        <f>IFERROR(VLOOKUP(TEXT(H260,"0"),IPRESS!$A$3:$B$212,2,0),"")</f>
        <v/>
      </c>
      <c r="J260" s="280" t="n"/>
      <c r="K260" s="332">
        <f>IFERROR(VLOOKUP(TEXT(O260,"0"),CONDUCTORES!$A$3:$G$54,7,0),"")</f>
        <v/>
      </c>
      <c r="L260" s="280" t="n"/>
      <c r="M260" s="280" t="n"/>
      <c r="N260" s="333">
        <f>IFERROR(IF(L260*M260=0,"",L260*M260),"")</f>
        <v/>
      </c>
      <c r="O260" s="280" t="n"/>
      <c r="P260" s="332">
        <f>IFERROR(VLOOKUP(TEXT(O260,"0"),CONDUCTORES!$A$3:$G$54,2,0),"")</f>
        <v/>
      </c>
      <c r="Q260" s="332">
        <f>IFERROR(VLOOKUP(TEXT(O260,"0"),CONDUCTORES!$A$3:$H$54,6,0),"")</f>
        <v/>
      </c>
      <c r="R260" s="280" t="n"/>
      <c r="S260" s="280" t="n"/>
      <c r="T260" s="280" t="n"/>
      <c r="U260" s="280" t="n"/>
      <c r="V260" s="280" t="n"/>
      <c r="W260" s="280" t="n"/>
      <c r="X260" s="280" t="n"/>
      <c r="Y260" s="280" t="n"/>
    </row>
    <row r="261" ht="15" customHeight="1" s="195">
      <c r="A261" s="334" t="n"/>
      <c r="B261" s="334" t="n"/>
      <c r="C261" s="334" t="n"/>
      <c r="D261" s="334" t="n"/>
      <c r="E261" s="334" t="n"/>
      <c r="F261" s="334" t="n"/>
      <c r="G261" s="334" t="n"/>
      <c r="H261" s="334" t="n"/>
      <c r="I261" s="332">
        <f>IFERROR(VLOOKUP(TEXT(H261,"0"),IPRESS!$A$3:$B$212,2,0),"")</f>
        <v/>
      </c>
      <c r="J261" s="334" t="n"/>
      <c r="K261" s="332">
        <f>IFERROR(VLOOKUP(TEXT(O261,"0"),CONDUCTORES!$A$3:$G$54,7,0),"")</f>
        <v/>
      </c>
      <c r="L261" s="334" t="n"/>
      <c r="M261" s="334" t="n"/>
      <c r="N261" s="333">
        <f>IFERROR(IF(L261*M261=0,"",L261*M261),"")</f>
        <v/>
      </c>
      <c r="O261" s="334" t="n"/>
      <c r="P261" s="332">
        <f>IFERROR(VLOOKUP(TEXT(O261,"0"),CONDUCTORES!$A$3:$G$54,2,0),"")</f>
        <v/>
      </c>
      <c r="Q261" s="332">
        <f>IFERROR(VLOOKUP(TEXT(O261,"0"),CONDUCTORES!$A$3:$H$54,6,0),"")</f>
        <v/>
      </c>
      <c r="R261" s="334" t="n"/>
      <c r="S261" s="334" t="n"/>
      <c r="T261" s="334" t="n"/>
      <c r="U261" s="334" t="n"/>
      <c r="V261" s="334" t="n"/>
      <c r="W261" s="334" t="n"/>
      <c r="X261" s="334" t="n"/>
      <c r="Y261" s="334" t="n"/>
    </row>
    <row r="262" ht="15" customHeight="1" s="195">
      <c r="A262" s="280" t="n"/>
      <c r="B262" s="280" t="n"/>
      <c r="C262" s="280" t="n"/>
      <c r="D262" s="280" t="n"/>
      <c r="E262" s="280" t="n"/>
      <c r="F262" s="280" t="n"/>
      <c r="G262" s="280" t="n"/>
      <c r="H262" s="280" t="n"/>
      <c r="I262" s="332">
        <f>IFERROR(VLOOKUP(TEXT(H262,"0"),IPRESS!$A$3:$B$212,2,0),"")</f>
        <v/>
      </c>
      <c r="J262" s="280" t="n"/>
      <c r="K262" s="332">
        <f>IFERROR(VLOOKUP(TEXT(O262,"0"),CONDUCTORES!$A$3:$G$54,7,0),"")</f>
        <v/>
      </c>
      <c r="L262" s="280" t="n"/>
      <c r="M262" s="280" t="n"/>
      <c r="N262" s="333">
        <f>IFERROR(IF(L262*M262=0,"",L262*M262),"")</f>
        <v/>
      </c>
      <c r="O262" s="280" t="n"/>
      <c r="P262" s="332">
        <f>IFERROR(VLOOKUP(TEXT(O262,"0"),CONDUCTORES!$A$3:$G$54,2,0),"")</f>
        <v/>
      </c>
      <c r="Q262" s="332">
        <f>IFERROR(VLOOKUP(TEXT(O262,"0"),CONDUCTORES!$A$3:$H$54,6,0),"")</f>
        <v/>
      </c>
      <c r="R262" s="280" t="n"/>
      <c r="S262" s="280" t="n"/>
      <c r="T262" s="280" t="n"/>
      <c r="U262" s="280" t="n"/>
      <c r="V262" s="280" t="n"/>
      <c r="W262" s="280" t="n"/>
      <c r="X262" s="280" t="n"/>
      <c r="Y262" s="280" t="n"/>
    </row>
    <row r="263" ht="15" customHeight="1" s="195">
      <c r="A263" s="334" t="n"/>
      <c r="B263" s="334" t="n"/>
      <c r="C263" s="334" t="n"/>
      <c r="D263" s="334" t="n"/>
      <c r="E263" s="334" t="n"/>
      <c r="F263" s="334" t="n"/>
      <c r="G263" s="334" t="n"/>
      <c r="H263" s="334" t="n"/>
      <c r="I263" s="332">
        <f>IFERROR(VLOOKUP(TEXT(H263,"0"),IPRESS!$A$3:$B$212,2,0),"")</f>
        <v/>
      </c>
      <c r="J263" s="334" t="n"/>
      <c r="K263" s="332">
        <f>IFERROR(VLOOKUP(TEXT(O263,"0"),CONDUCTORES!$A$3:$G$54,7,0),"")</f>
        <v/>
      </c>
      <c r="L263" s="334" t="n"/>
      <c r="M263" s="334" t="n"/>
      <c r="N263" s="333">
        <f>IFERROR(IF(L263*M263=0,"",L263*M263),"")</f>
        <v/>
      </c>
      <c r="O263" s="334" t="n"/>
      <c r="P263" s="332">
        <f>IFERROR(VLOOKUP(TEXT(O263,"0"),CONDUCTORES!$A$3:$G$54,2,0),"")</f>
        <v/>
      </c>
      <c r="Q263" s="332">
        <f>IFERROR(VLOOKUP(TEXT(O263,"0"),CONDUCTORES!$A$3:$H$54,6,0),"")</f>
        <v/>
      </c>
      <c r="R263" s="334" t="n"/>
      <c r="S263" s="334" t="n"/>
      <c r="T263" s="334" t="n"/>
      <c r="U263" s="334" t="n"/>
      <c r="V263" s="334" t="n"/>
      <c r="W263" s="334" t="n"/>
      <c r="X263" s="334" t="n"/>
      <c r="Y263" s="334" t="n"/>
    </row>
    <row r="264" ht="15" customHeight="1" s="195">
      <c r="A264" s="280" t="n"/>
      <c r="B264" s="280" t="n"/>
      <c r="C264" s="280" t="n"/>
      <c r="D264" s="280" t="n"/>
      <c r="E264" s="280" t="n"/>
      <c r="F264" s="280" t="n"/>
      <c r="G264" s="280" t="n"/>
      <c r="H264" s="280" t="n"/>
      <c r="I264" s="332">
        <f>IFERROR(VLOOKUP(TEXT(H264,"0"),IPRESS!$A$3:$B$212,2,0),"")</f>
        <v/>
      </c>
      <c r="J264" s="280" t="n"/>
      <c r="K264" s="332">
        <f>IFERROR(VLOOKUP(TEXT(O264,"0"),CONDUCTORES!$A$3:$G$54,7,0),"")</f>
        <v/>
      </c>
      <c r="L264" s="280" t="n"/>
      <c r="M264" s="280" t="n"/>
      <c r="N264" s="333">
        <f>IFERROR(IF(L264*M264=0,"",L264*M264),"")</f>
        <v/>
      </c>
      <c r="O264" s="280" t="n"/>
      <c r="P264" s="332">
        <f>IFERROR(VLOOKUP(TEXT(O264,"0"),CONDUCTORES!$A$3:$G$54,2,0),"")</f>
        <v/>
      </c>
      <c r="Q264" s="332">
        <f>IFERROR(VLOOKUP(TEXT(O264,"0"),CONDUCTORES!$A$3:$H$54,6,0),"")</f>
        <v/>
      </c>
      <c r="R264" s="280" t="n"/>
      <c r="S264" s="280" t="n"/>
      <c r="T264" s="280" t="n"/>
      <c r="U264" s="280" t="n"/>
      <c r="V264" s="280" t="n"/>
      <c r="W264" s="280" t="n"/>
      <c r="X264" s="280" t="n"/>
      <c r="Y264" s="280" t="n"/>
    </row>
    <row r="265" ht="15" customHeight="1" s="195">
      <c r="A265" s="334" t="n"/>
      <c r="B265" s="334" t="n"/>
      <c r="C265" s="334" t="n"/>
      <c r="D265" s="334" t="n"/>
      <c r="E265" s="334" t="n"/>
      <c r="F265" s="334" t="n"/>
      <c r="G265" s="334" t="n"/>
      <c r="H265" s="334" t="n"/>
      <c r="I265" s="332">
        <f>IFERROR(VLOOKUP(TEXT(H265,"0"),IPRESS!$A$3:$B$212,2,0),"")</f>
        <v/>
      </c>
      <c r="J265" s="334" t="n"/>
      <c r="K265" s="332">
        <f>IFERROR(VLOOKUP(TEXT(O265,"0"),CONDUCTORES!$A$3:$G$54,7,0),"")</f>
        <v/>
      </c>
      <c r="L265" s="334" t="n"/>
      <c r="M265" s="334" t="n"/>
      <c r="N265" s="333">
        <f>IFERROR(IF(L265*M265=0,"",L265*M265),"")</f>
        <v/>
      </c>
      <c r="O265" s="334" t="n"/>
      <c r="P265" s="332">
        <f>IFERROR(VLOOKUP(TEXT(O265,"0"),CONDUCTORES!$A$3:$G$54,2,0),"")</f>
        <v/>
      </c>
      <c r="Q265" s="332">
        <f>IFERROR(VLOOKUP(TEXT(O265,"0"),CONDUCTORES!$A$3:$H$54,6,0),"")</f>
        <v/>
      </c>
      <c r="R265" s="334" t="n"/>
      <c r="S265" s="334" t="n"/>
      <c r="T265" s="334" t="n"/>
      <c r="U265" s="334" t="n"/>
      <c r="V265" s="334" t="n"/>
      <c r="W265" s="334" t="n"/>
      <c r="X265" s="334" t="n"/>
      <c r="Y265" s="334" t="n"/>
    </row>
    <row r="266" ht="15" customHeight="1" s="195">
      <c r="A266" s="280" t="n"/>
      <c r="B266" s="280" t="n"/>
      <c r="C266" s="280" t="n"/>
      <c r="D266" s="280" t="n"/>
      <c r="E266" s="280" t="n"/>
      <c r="F266" s="280" t="n"/>
      <c r="G266" s="280" t="n"/>
      <c r="H266" s="280" t="n"/>
      <c r="I266" s="332">
        <f>IFERROR(VLOOKUP(TEXT(H266,"0"),IPRESS!$A$3:$B$212,2,0),"")</f>
        <v/>
      </c>
      <c r="J266" s="280" t="n"/>
      <c r="K266" s="332">
        <f>IFERROR(VLOOKUP(TEXT(O266,"0"),CONDUCTORES!$A$3:$G$54,7,0),"")</f>
        <v/>
      </c>
      <c r="L266" s="280" t="n"/>
      <c r="M266" s="280" t="n"/>
      <c r="N266" s="333">
        <f>IFERROR(IF(L266*M266=0,"",L266*M266),"")</f>
        <v/>
      </c>
      <c r="O266" s="280" t="n"/>
      <c r="P266" s="332">
        <f>IFERROR(VLOOKUP(TEXT(O266,"0"),CONDUCTORES!$A$3:$G$54,2,0),"")</f>
        <v/>
      </c>
      <c r="Q266" s="332">
        <f>IFERROR(VLOOKUP(TEXT(O266,"0"),CONDUCTORES!$A$3:$H$54,6,0),"")</f>
        <v/>
      </c>
      <c r="R266" s="280" t="n"/>
      <c r="S266" s="280" t="n"/>
      <c r="T266" s="280" t="n"/>
      <c r="U266" s="280" t="n"/>
      <c r="V266" s="280" t="n"/>
      <c r="W266" s="280" t="n"/>
      <c r="X266" s="280" t="n"/>
      <c r="Y266" s="280" t="n"/>
    </row>
    <row r="267" ht="15" customHeight="1" s="195">
      <c r="A267" s="334" t="n"/>
      <c r="B267" s="334" t="n"/>
      <c r="C267" s="334" t="n"/>
      <c r="D267" s="334" t="n"/>
      <c r="E267" s="334" t="n"/>
      <c r="F267" s="334" t="n"/>
      <c r="G267" s="334" t="n"/>
      <c r="H267" s="334" t="n"/>
      <c r="I267" s="332">
        <f>IFERROR(VLOOKUP(TEXT(H267,"0"),IPRESS!$A$3:$B$212,2,0),"")</f>
        <v/>
      </c>
      <c r="J267" s="334" t="n"/>
      <c r="K267" s="332">
        <f>IFERROR(VLOOKUP(TEXT(O267,"0"),CONDUCTORES!$A$3:$G$54,7,0),"")</f>
        <v/>
      </c>
      <c r="L267" s="334" t="n"/>
      <c r="M267" s="334" t="n"/>
      <c r="N267" s="333">
        <f>IFERROR(IF(L267*M267=0,"",L267*M267),"")</f>
        <v/>
      </c>
      <c r="O267" s="334" t="n"/>
      <c r="P267" s="332">
        <f>IFERROR(VLOOKUP(TEXT(O267,"0"),CONDUCTORES!$A$3:$G$54,2,0),"")</f>
        <v/>
      </c>
      <c r="Q267" s="332">
        <f>IFERROR(VLOOKUP(TEXT(O267,"0"),CONDUCTORES!$A$3:$H$54,6,0),"")</f>
        <v/>
      </c>
      <c r="R267" s="334" t="n"/>
      <c r="S267" s="334" t="n"/>
      <c r="T267" s="334" t="n"/>
      <c r="U267" s="334" t="n"/>
      <c r="V267" s="334" t="n"/>
      <c r="W267" s="334" t="n"/>
      <c r="X267" s="334" t="n"/>
      <c r="Y267" s="334" t="n"/>
    </row>
    <row r="268" ht="15" customHeight="1" s="195">
      <c r="A268" s="280" t="n"/>
      <c r="B268" s="280" t="n"/>
      <c r="C268" s="280" t="n"/>
      <c r="D268" s="280" t="n"/>
      <c r="E268" s="280" t="n"/>
      <c r="F268" s="280" t="n"/>
      <c r="G268" s="280" t="n"/>
      <c r="H268" s="280" t="n"/>
      <c r="I268" s="332">
        <f>IFERROR(VLOOKUP(TEXT(H268,"0"),IPRESS!$A$3:$B$212,2,0),"")</f>
        <v/>
      </c>
      <c r="J268" s="280" t="n"/>
      <c r="K268" s="332">
        <f>IFERROR(VLOOKUP(TEXT(O268,"0"),CONDUCTORES!$A$3:$G$54,7,0),"")</f>
        <v/>
      </c>
      <c r="L268" s="280" t="n"/>
      <c r="M268" s="280" t="n"/>
      <c r="N268" s="333">
        <f>IFERROR(IF(L268*M268=0,"",L268*M268),"")</f>
        <v/>
      </c>
      <c r="O268" s="280" t="n"/>
      <c r="P268" s="332">
        <f>IFERROR(VLOOKUP(TEXT(O268,"0"),CONDUCTORES!$A$3:$G$54,2,0),"")</f>
        <v/>
      </c>
      <c r="Q268" s="332">
        <f>IFERROR(VLOOKUP(TEXT(O268,"0"),CONDUCTORES!$A$3:$H$54,6,0),"")</f>
        <v/>
      </c>
      <c r="R268" s="280" t="n"/>
      <c r="S268" s="280" t="n"/>
      <c r="T268" s="280" t="n"/>
      <c r="U268" s="280" t="n"/>
      <c r="V268" s="280" t="n"/>
      <c r="W268" s="280" t="n"/>
      <c r="X268" s="280" t="n"/>
      <c r="Y268" s="280" t="n"/>
    </row>
    <row r="269" ht="15" customHeight="1" s="195">
      <c r="A269" s="334" t="n"/>
      <c r="B269" s="334" t="n"/>
      <c r="C269" s="334" t="n"/>
      <c r="D269" s="334" t="n"/>
      <c r="E269" s="334" t="n"/>
      <c r="F269" s="334" t="n"/>
      <c r="G269" s="334" t="n"/>
      <c r="H269" s="334" t="n"/>
      <c r="I269" s="332">
        <f>IFERROR(VLOOKUP(TEXT(H269,"0"),IPRESS!$A$3:$B$212,2,0),"")</f>
        <v/>
      </c>
      <c r="J269" s="334" t="n"/>
      <c r="K269" s="332">
        <f>IFERROR(VLOOKUP(TEXT(O269,"0"),CONDUCTORES!$A$3:$G$54,7,0),"")</f>
        <v/>
      </c>
      <c r="L269" s="334" t="n"/>
      <c r="M269" s="334" t="n"/>
      <c r="N269" s="333">
        <f>IFERROR(IF(L269*M269=0,"",L269*M269),"")</f>
        <v/>
      </c>
      <c r="O269" s="334" t="n"/>
      <c r="P269" s="332">
        <f>IFERROR(VLOOKUP(TEXT(O269,"0"),CONDUCTORES!$A$3:$G$54,2,0),"")</f>
        <v/>
      </c>
      <c r="Q269" s="332">
        <f>IFERROR(VLOOKUP(TEXT(O269,"0"),CONDUCTORES!$A$3:$H$54,6,0),"")</f>
        <v/>
      </c>
      <c r="R269" s="334" t="n"/>
      <c r="S269" s="334" t="n"/>
      <c r="T269" s="334" t="n"/>
      <c r="U269" s="334" t="n"/>
      <c r="V269" s="334" t="n"/>
      <c r="W269" s="334" t="n"/>
      <c r="X269" s="334" t="n"/>
      <c r="Y269" s="334" t="n"/>
    </row>
    <row r="270" ht="15" customHeight="1" s="195">
      <c r="A270" s="280" t="n"/>
      <c r="B270" s="280" t="n"/>
      <c r="C270" s="280" t="n"/>
      <c r="D270" s="280" t="n"/>
      <c r="E270" s="280" t="n"/>
      <c r="F270" s="280" t="n"/>
      <c r="G270" s="280" t="n"/>
      <c r="H270" s="280" t="n"/>
      <c r="I270" s="332">
        <f>IFERROR(VLOOKUP(TEXT(H270,"0"),IPRESS!$A$3:$B$212,2,0),"")</f>
        <v/>
      </c>
      <c r="J270" s="280" t="n"/>
      <c r="K270" s="332">
        <f>IFERROR(VLOOKUP(TEXT(O270,"0"),CONDUCTORES!$A$3:$G$54,7,0),"")</f>
        <v/>
      </c>
      <c r="L270" s="280" t="n"/>
      <c r="M270" s="280" t="n"/>
      <c r="N270" s="333">
        <f>IFERROR(IF(L270*M270=0,"",L270*M270),"")</f>
        <v/>
      </c>
      <c r="O270" s="280" t="n"/>
      <c r="P270" s="332">
        <f>IFERROR(VLOOKUP(TEXT(O270,"0"),CONDUCTORES!$A$3:$G$54,2,0),"")</f>
        <v/>
      </c>
      <c r="Q270" s="332">
        <f>IFERROR(VLOOKUP(TEXT(O270,"0"),CONDUCTORES!$A$3:$H$54,6,0),"")</f>
        <v/>
      </c>
      <c r="R270" s="280" t="n"/>
      <c r="S270" s="280" t="n"/>
      <c r="T270" s="280" t="n"/>
      <c r="U270" s="280" t="n"/>
      <c r="V270" s="280" t="n"/>
      <c r="W270" s="280" t="n"/>
      <c r="X270" s="280" t="n"/>
      <c r="Y270" s="280" t="n"/>
    </row>
    <row r="271" ht="15" customHeight="1" s="195">
      <c r="A271" s="334" t="n"/>
      <c r="B271" s="334" t="n"/>
      <c r="C271" s="334" t="n"/>
      <c r="D271" s="334" t="n"/>
      <c r="E271" s="334" t="n"/>
      <c r="F271" s="334" t="n"/>
      <c r="G271" s="334" t="n"/>
      <c r="H271" s="334" t="n"/>
      <c r="I271" s="332">
        <f>IFERROR(VLOOKUP(TEXT(H271,"0"),IPRESS!$A$3:$B$212,2,0),"")</f>
        <v/>
      </c>
      <c r="J271" s="334" t="n"/>
      <c r="K271" s="332">
        <f>IFERROR(VLOOKUP(TEXT(O271,"0"),CONDUCTORES!$A$3:$G$54,7,0),"")</f>
        <v/>
      </c>
      <c r="L271" s="334" t="n"/>
      <c r="M271" s="334" t="n"/>
      <c r="N271" s="333">
        <f>IFERROR(IF(L271*M271=0,"",L271*M271),"")</f>
        <v/>
      </c>
      <c r="O271" s="334" t="n"/>
      <c r="P271" s="332">
        <f>IFERROR(VLOOKUP(TEXT(O271,"0"),CONDUCTORES!$A$3:$G$54,2,0),"")</f>
        <v/>
      </c>
      <c r="Q271" s="332">
        <f>IFERROR(VLOOKUP(TEXT(O271,"0"),CONDUCTORES!$A$3:$H$54,6,0),"")</f>
        <v/>
      </c>
      <c r="R271" s="334" t="n"/>
      <c r="S271" s="334" t="n"/>
      <c r="T271" s="334" t="n"/>
      <c r="U271" s="334" t="n"/>
      <c r="V271" s="334" t="n"/>
      <c r="W271" s="334" t="n"/>
      <c r="X271" s="334" t="n"/>
      <c r="Y271" s="334" t="n"/>
    </row>
    <row r="272" ht="15" customHeight="1" s="195">
      <c r="A272" s="280" t="n"/>
      <c r="B272" s="280" t="n"/>
      <c r="C272" s="280" t="n"/>
      <c r="D272" s="280" t="n"/>
      <c r="E272" s="280" t="n"/>
      <c r="F272" s="280" t="n"/>
      <c r="G272" s="280" t="n"/>
      <c r="H272" s="280" t="n"/>
      <c r="I272" s="332">
        <f>IFERROR(VLOOKUP(TEXT(H272,"0"),IPRESS!$A$3:$B$212,2,0),"")</f>
        <v/>
      </c>
      <c r="J272" s="280" t="n"/>
      <c r="K272" s="332">
        <f>IFERROR(VLOOKUP(TEXT(O272,"0"),CONDUCTORES!$A$3:$G$54,7,0),"")</f>
        <v/>
      </c>
      <c r="L272" s="280" t="n"/>
      <c r="M272" s="280" t="n"/>
      <c r="N272" s="333">
        <f>IFERROR(IF(L272*M272=0,"",L272*M272),"")</f>
        <v/>
      </c>
      <c r="O272" s="280" t="n"/>
      <c r="P272" s="332">
        <f>IFERROR(VLOOKUP(TEXT(O272,"0"),CONDUCTORES!$A$3:$G$54,2,0),"")</f>
        <v/>
      </c>
      <c r="Q272" s="332">
        <f>IFERROR(VLOOKUP(TEXT(O272,"0"),CONDUCTORES!$A$3:$H$54,6,0),"")</f>
        <v/>
      </c>
      <c r="R272" s="280" t="n"/>
      <c r="S272" s="280" t="n"/>
      <c r="T272" s="280" t="n"/>
      <c r="U272" s="280" t="n"/>
      <c r="V272" s="280" t="n"/>
      <c r="W272" s="280" t="n"/>
      <c r="X272" s="280" t="n"/>
      <c r="Y272" s="280" t="n"/>
    </row>
    <row r="273" ht="15" customHeight="1" s="195">
      <c r="A273" s="334" t="n"/>
      <c r="B273" s="334" t="n"/>
      <c r="C273" s="334" t="n"/>
      <c r="D273" s="334" t="n"/>
      <c r="E273" s="334" t="n"/>
      <c r="F273" s="334" t="n"/>
      <c r="G273" s="334" t="n"/>
      <c r="H273" s="334" t="n"/>
      <c r="I273" s="332">
        <f>IFERROR(VLOOKUP(TEXT(H273,"0"),IPRESS!$A$3:$B$212,2,0),"")</f>
        <v/>
      </c>
      <c r="J273" s="334" t="n"/>
      <c r="K273" s="332">
        <f>IFERROR(VLOOKUP(TEXT(O273,"0"),CONDUCTORES!$A$3:$G$54,7,0),"")</f>
        <v/>
      </c>
      <c r="L273" s="334" t="n"/>
      <c r="M273" s="334" t="n"/>
      <c r="N273" s="333">
        <f>IFERROR(IF(L273*M273=0,"",L273*M273),"")</f>
        <v/>
      </c>
      <c r="O273" s="334" t="n"/>
      <c r="P273" s="332">
        <f>IFERROR(VLOOKUP(TEXT(O273,"0"),CONDUCTORES!$A$3:$G$54,2,0),"")</f>
        <v/>
      </c>
      <c r="Q273" s="332">
        <f>IFERROR(VLOOKUP(TEXT(O273,"0"),CONDUCTORES!$A$3:$H$54,6,0),"")</f>
        <v/>
      </c>
      <c r="R273" s="334" t="n"/>
      <c r="S273" s="334" t="n"/>
      <c r="T273" s="334" t="n"/>
      <c r="U273" s="334" t="n"/>
      <c r="V273" s="334" t="n"/>
      <c r="W273" s="334" t="n"/>
      <c r="X273" s="334" t="n"/>
      <c r="Y273" s="334" t="n"/>
    </row>
    <row r="274" ht="15" customHeight="1" s="195">
      <c r="A274" s="280" t="n"/>
      <c r="B274" s="280" t="n"/>
      <c r="C274" s="280" t="n"/>
      <c r="D274" s="280" t="n"/>
      <c r="E274" s="280" t="n"/>
      <c r="F274" s="280" t="n"/>
      <c r="G274" s="280" t="n"/>
      <c r="H274" s="280" t="n"/>
      <c r="I274" s="332">
        <f>IFERROR(VLOOKUP(TEXT(H274,"0"),IPRESS!$A$3:$B$212,2,0),"")</f>
        <v/>
      </c>
      <c r="J274" s="280" t="n"/>
      <c r="K274" s="332">
        <f>IFERROR(VLOOKUP(TEXT(O274,"0"),CONDUCTORES!$A$3:$G$54,7,0),"")</f>
        <v/>
      </c>
      <c r="L274" s="280" t="n"/>
      <c r="M274" s="280" t="n"/>
      <c r="N274" s="333">
        <f>IFERROR(IF(L274*M274=0,"",L274*M274),"")</f>
        <v/>
      </c>
      <c r="O274" s="280" t="n"/>
      <c r="P274" s="332">
        <f>IFERROR(VLOOKUP(TEXT(O274,"0"),CONDUCTORES!$A$3:$G$54,2,0),"")</f>
        <v/>
      </c>
      <c r="Q274" s="332">
        <f>IFERROR(VLOOKUP(TEXT(O274,"0"),CONDUCTORES!$A$3:$H$54,6,0),"")</f>
        <v/>
      </c>
      <c r="R274" s="280" t="n"/>
      <c r="S274" s="280" t="n"/>
      <c r="T274" s="280" t="n"/>
      <c r="U274" s="280" t="n"/>
      <c r="V274" s="280" t="n"/>
      <c r="W274" s="280" t="n"/>
      <c r="X274" s="280" t="n"/>
      <c r="Y274" s="280" t="n"/>
    </row>
    <row r="275" ht="15" customHeight="1" s="195">
      <c r="A275" s="334" t="n"/>
      <c r="B275" s="334" t="n"/>
      <c r="C275" s="334" t="n"/>
      <c r="D275" s="334" t="n"/>
      <c r="E275" s="334" t="n"/>
      <c r="F275" s="334" t="n"/>
      <c r="G275" s="334" t="n"/>
      <c r="H275" s="334" t="n"/>
      <c r="I275" s="332">
        <f>IFERROR(VLOOKUP(TEXT(H275,"0"),IPRESS!$A$3:$B$212,2,0),"")</f>
        <v/>
      </c>
      <c r="J275" s="334" t="n"/>
      <c r="K275" s="332">
        <f>IFERROR(VLOOKUP(TEXT(O275,"0"),CONDUCTORES!$A$3:$G$54,7,0),"")</f>
        <v/>
      </c>
      <c r="L275" s="334" t="n"/>
      <c r="M275" s="334" t="n"/>
      <c r="N275" s="333">
        <f>IFERROR(IF(L275*M275=0,"",L275*M275),"")</f>
        <v/>
      </c>
      <c r="O275" s="334" t="n"/>
      <c r="P275" s="332">
        <f>IFERROR(VLOOKUP(TEXT(O275,"0"),CONDUCTORES!$A$3:$G$54,2,0),"")</f>
        <v/>
      </c>
      <c r="Q275" s="332">
        <f>IFERROR(VLOOKUP(TEXT(O275,"0"),CONDUCTORES!$A$3:$H$54,6,0),"")</f>
        <v/>
      </c>
      <c r="R275" s="334" t="n"/>
      <c r="S275" s="334" t="n"/>
      <c r="T275" s="334" t="n"/>
      <c r="U275" s="334" t="n"/>
      <c r="V275" s="334" t="n"/>
      <c r="W275" s="334" t="n"/>
      <c r="X275" s="334" t="n"/>
      <c r="Y275" s="334" t="n"/>
    </row>
    <row r="276" ht="15" customHeight="1" s="195">
      <c r="A276" s="280" t="n"/>
      <c r="B276" s="280" t="n"/>
      <c r="C276" s="280" t="n"/>
      <c r="D276" s="280" t="n"/>
      <c r="E276" s="280" t="n"/>
      <c r="F276" s="280" t="n"/>
      <c r="G276" s="280" t="n"/>
      <c r="H276" s="280" t="n"/>
      <c r="I276" s="332">
        <f>IFERROR(VLOOKUP(TEXT(H276,"0"),IPRESS!$A$3:$B$212,2,0),"")</f>
        <v/>
      </c>
      <c r="J276" s="280" t="n"/>
      <c r="K276" s="332">
        <f>IFERROR(VLOOKUP(TEXT(O276,"0"),CONDUCTORES!$A$3:$G$54,7,0),"")</f>
        <v/>
      </c>
      <c r="L276" s="280" t="n"/>
      <c r="M276" s="280" t="n"/>
      <c r="N276" s="333">
        <f>IFERROR(IF(L276*M276=0,"",L276*M276),"")</f>
        <v/>
      </c>
      <c r="O276" s="280" t="n"/>
      <c r="P276" s="332">
        <f>IFERROR(VLOOKUP(TEXT(O276,"0"),CONDUCTORES!$A$3:$G$54,2,0),"")</f>
        <v/>
      </c>
      <c r="Q276" s="332">
        <f>IFERROR(VLOOKUP(TEXT(O276,"0"),CONDUCTORES!$A$3:$H$54,6,0),"")</f>
        <v/>
      </c>
      <c r="R276" s="280" t="n"/>
      <c r="S276" s="280" t="n"/>
      <c r="T276" s="280" t="n"/>
      <c r="U276" s="280" t="n"/>
      <c r="V276" s="280" t="n"/>
      <c r="W276" s="280" t="n"/>
      <c r="X276" s="280" t="n"/>
      <c r="Y276" s="280" t="n"/>
    </row>
    <row r="277" ht="15" customHeight="1" s="195">
      <c r="A277" s="334" t="n"/>
      <c r="B277" s="334" t="n"/>
      <c r="C277" s="334" t="n"/>
      <c r="D277" s="334" t="n"/>
      <c r="E277" s="334" t="n"/>
      <c r="F277" s="334" t="n"/>
      <c r="G277" s="334" t="n"/>
      <c r="H277" s="334" t="n"/>
      <c r="I277" s="332">
        <f>IFERROR(VLOOKUP(TEXT(H277,"0"),IPRESS!$A$3:$B$212,2,0),"")</f>
        <v/>
      </c>
      <c r="J277" s="334" t="n"/>
      <c r="K277" s="332">
        <f>IFERROR(VLOOKUP(TEXT(O277,"0"),CONDUCTORES!$A$3:$G$54,7,0),"")</f>
        <v/>
      </c>
      <c r="L277" s="334" t="n"/>
      <c r="M277" s="334" t="n"/>
      <c r="N277" s="333">
        <f>IFERROR(IF(L277*M277=0,"",L277*M277),"")</f>
        <v/>
      </c>
      <c r="O277" s="334" t="n"/>
      <c r="P277" s="332">
        <f>IFERROR(VLOOKUP(TEXT(O277,"0"),CONDUCTORES!$A$3:$G$54,2,0),"")</f>
        <v/>
      </c>
      <c r="Q277" s="332">
        <f>IFERROR(VLOOKUP(TEXT(O277,"0"),CONDUCTORES!$A$3:$H$54,6,0),"")</f>
        <v/>
      </c>
      <c r="R277" s="334" t="n"/>
      <c r="S277" s="334" t="n"/>
      <c r="T277" s="334" t="n"/>
      <c r="U277" s="334" t="n"/>
      <c r="V277" s="334" t="n"/>
      <c r="W277" s="334" t="n"/>
      <c r="X277" s="334" t="n"/>
      <c r="Y277" s="334" t="n"/>
    </row>
    <row r="278" ht="15" customHeight="1" s="195">
      <c r="A278" s="280" t="n"/>
      <c r="B278" s="280" t="n"/>
      <c r="C278" s="280" t="n"/>
      <c r="D278" s="280" t="n"/>
      <c r="E278" s="280" t="n"/>
      <c r="F278" s="280" t="n"/>
      <c r="G278" s="280" t="n"/>
      <c r="H278" s="280" t="n"/>
      <c r="I278" s="332">
        <f>IFERROR(VLOOKUP(TEXT(H278,"0"),IPRESS!$A$3:$B$212,2,0),"")</f>
        <v/>
      </c>
      <c r="J278" s="280" t="n"/>
      <c r="K278" s="332">
        <f>IFERROR(VLOOKUP(TEXT(O278,"0"),CONDUCTORES!$A$3:$G$54,7,0),"")</f>
        <v/>
      </c>
      <c r="L278" s="280" t="n"/>
      <c r="M278" s="280" t="n"/>
      <c r="N278" s="333">
        <f>IFERROR(IF(L278*M278=0,"",L278*M278),"")</f>
        <v/>
      </c>
      <c r="O278" s="280" t="n"/>
      <c r="P278" s="332">
        <f>IFERROR(VLOOKUP(TEXT(O278,"0"),CONDUCTORES!$A$3:$G$54,2,0),"")</f>
        <v/>
      </c>
      <c r="Q278" s="332">
        <f>IFERROR(VLOOKUP(TEXT(O278,"0"),CONDUCTORES!$A$3:$H$54,6,0),"")</f>
        <v/>
      </c>
      <c r="R278" s="280" t="n"/>
      <c r="S278" s="280" t="n"/>
      <c r="T278" s="280" t="n"/>
      <c r="U278" s="280" t="n"/>
      <c r="V278" s="280" t="n"/>
      <c r="W278" s="280" t="n"/>
      <c r="X278" s="280" t="n"/>
      <c r="Y278" s="280" t="n"/>
    </row>
    <row r="279" ht="15" customHeight="1" s="195">
      <c r="A279" s="334" t="n"/>
      <c r="B279" s="334" t="n"/>
      <c r="C279" s="334" t="n"/>
      <c r="D279" s="334" t="n"/>
      <c r="E279" s="334" t="n"/>
      <c r="F279" s="334" t="n"/>
      <c r="G279" s="334" t="n"/>
      <c r="H279" s="334" t="n"/>
      <c r="I279" s="332">
        <f>IFERROR(VLOOKUP(TEXT(H279,"0"),IPRESS!$A$3:$B$212,2,0),"")</f>
        <v/>
      </c>
      <c r="J279" s="334" t="n"/>
      <c r="K279" s="332">
        <f>IFERROR(VLOOKUP(TEXT(O279,"0"),CONDUCTORES!$A$3:$G$54,7,0),"")</f>
        <v/>
      </c>
      <c r="L279" s="334" t="n"/>
      <c r="M279" s="334" t="n"/>
      <c r="N279" s="333">
        <f>IFERROR(IF(L279*M279=0,"",L279*M279),"")</f>
        <v/>
      </c>
      <c r="O279" s="334" t="n"/>
      <c r="P279" s="332">
        <f>IFERROR(VLOOKUP(TEXT(O279,"0"),CONDUCTORES!$A$3:$G$54,2,0),"")</f>
        <v/>
      </c>
      <c r="Q279" s="332">
        <f>IFERROR(VLOOKUP(TEXT(O279,"0"),CONDUCTORES!$A$3:$H$54,6,0),"")</f>
        <v/>
      </c>
      <c r="R279" s="334" t="n"/>
      <c r="S279" s="334" t="n"/>
      <c r="T279" s="334" t="n"/>
      <c r="U279" s="334" t="n"/>
      <c r="V279" s="334" t="n"/>
      <c r="W279" s="334" t="n"/>
      <c r="X279" s="334" t="n"/>
      <c r="Y279" s="334" t="n"/>
    </row>
    <row r="280" ht="15" customHeight="1" s="195">
      <c r="A280" s="280" t="n"/>
      <c r="B280" s="280" t="n"/>
      <c r="C280" s="280" t="n"/>
      <c r="D280" s="280" t="n"/>
      <c r="E280" s="280" t="n"/>
      <c r="F280" s="280" t="n"/>
      <c r="G280" s="280" t="n"/>
      <c r="H280" s="280" t="n"/>
      <c r="I280" s="332">
        <f>IFERROR(VLOOKUP(TEXT(H280,"0"),IPRESS!$A$3:$B$212,2,0),"")</f>
        <v/>
      </c>
      <c r="J280" s="280" t="n"/>
      <c r="K280" s="332">
        <f>IFERROR(VLOOKUP(TEXT(O280,"0"),CONDUCTORES!$A$3:$G$54,7,0),"")</f>
        <v/>
      </c>
      <c r="L280" s="280" t="n"/>
      <c r="M280" s="280" t="n"/>
      <c r="N280" s="333">
        <f>IFERROR(IF(L280*M280=0,"",L280*M280),"")</f>
        <v/>
      </c>
      <c r="O280" s="280" t="n"/>
      <c r="P280" s="332">
        <f>IFERROR(VLOOKUP(TEXT(O280,"0"),CONDUCTORES!$A$3:$G$54,2,0),"")</f>
        <v/>
      </c>
      <c r="Q280" s="332">
        <f>IFERROR(VLOOKUP(TEXT(O280,"0"),CONDUCTORES!$A$3:$H$54,6,0),"")</f>
        <v/>
      </c>
      <c r="R280" s="280" t="n"/>
      <c r="S280" s="280" t="n"/>
      <c r="T280" s="280" t="n"/>
      <c r="U280" s="280" t="n"/>
      <c r="V280" s="280" t="n"/>
      <c r="W280" s="280" t="n"/>
      <c r="X280" s="280" t="n"/>
      <c r="Y280" s="280" t="n"/>
    </row>
    <row r="281" ht="15" customHeight="1" s="195">
      <c r="A281" s="334" t="n"/>
      <c r="B281" s="334" t="n"/>
      <c r="C281" s="334" t="n"/>
      <c r="D281" s="334" t="n"/>
      <c r="E281" s="334" t="n"/>
      <c r="F281" s="334" t="n"/>
      <c r="G281" s="334" t="n"/>
      <c r="H281" s="334" t="n"/>
      <c r="I281" s="332">
        <f>IFERROR(VLOOKUP(TEXT(H281,"0"),IPRESS!$A$3:$B$212,2,0),"")</f>
        <v/>
      </c>
      <c r="J281" s="334" t="n"/>
      <c r="K281" s="332">
        <f>IFERROR(VLOOKUP(TEXT(O281,"0"),CONDUCTORES!$A$3:$G$54,7,0),"")</f>
        <v/>
      </c>
      <c r="L281" s="334" t="n"/>
      <c r="M281" s="334" t="n"/>
      <c r="N281" s="333">
        <f>IFERROR(IF(L281*M281=0,"",L281*M281),"")</f>
        <v/>
      </c>
      <c r="O281" s="334" t="n"/>
      <c r="P281" s="332">
        <f>IFERROR(VLOOKUP(TEXT(O281,"0"),CONDUCTORES!$A$3:$G$54,2,0),"")</f>
        <v/>
      </c>
      <c r="Q281" s="332">
        <f>IFERROR(VLOOKUP(TEXT(O281,"0"),CONDUCTORES!$A$3:$H$54,6,0),"")</f>
        <v/>
      </c>
      <c r="R281" s="334" t="n"/>
      <c r="S281" s="334" t="n"/>
      <c r="T281" s="334" t="n"/>
      <c r="U281" s="334" t="n"/>
      <c r="V281" s="334" t="n"/>
      <c r="W281" s="334" t="n"/>
      <c r="X281" s="334" t="n"/>
      <c r="Y281" s="334" t="n"/>
    </row>
    <row r="282" ht="15" customHeight="1" s="195">
      <c r="A282" s="280" t="n"/>
      <c r="B282" s="280" t="n"/>
      <c r="C282" s="280" t="n"/>
      <c r="D282" s="280" t="n"/>
      <c r="E282" s="280" t="n"/>
      <c r="F282" s="280" t="n"/>
      <c r="G282" s="280" t="n"/>
      <c r="H282" s="280" t="n"/>
      <c r="I282" s="332">
        <f>IFERROR(VLOOKUP(TEXT(H282,"0"),IPRESS!$A$3:$B$212,2,0),"")</f>
        <v/>
      </c>
      <c r="J282" s="280" t="n"/>
      <c r="K282" s="332">
        <f>IFERROR(VLOOKUP(TEXT(O282,"0"),CONDUCTORES!$A$3:$G$54,7,0),"")</f>
        <v/>
      </c>
      <c r="L282" s="280" t="n"/>
      <c r="M282" s="280" t="n"/>
      <c r="N282" s="333">
        <f>IFERROR(IF(L282*M282=0,"",L282*M282),"")</f>
        <v/>
      </c>
      <c r="O282" s="280" t="n"/>
      <c r="P282" s="332">
        <f>IFERROR(VLOOKUP(TEXT(O282,"0"),CONDUCTORES!$A$3:$G$54,2,0),"")</f>
        <v/>
      </c>
      <c r="Q282" s="332">
        <f>IFERROR(VLOOKUP(TEXT(O282,"0"),CONDUCTORES!$A$3:$H$54,6,0),"")</f>
        <v/>
      </c>
      <c r="R282" s="280" t="n"/>
      <c r="S282" s="280" t="n"/>
      <c r="T282" s="280" t="n"/>
      <c r="U282" s="280" t="n"/>
      <c r="V282" s="280" t="n"/>
      <c r="W282" s="280" t="n"/>
      <c r="X282" s="280" t="n"/>
      <c r="Y282" s="280" t="n"/>
    </row>
    <row r="283" ht="15" customHeight="1" s="195">
      <c r="A283" s="334" t="n"/>
      <c r="B283" s="334" t="n"/>
      <c r="C283" s="334" t="n"/>
      <c r="D283" s="334" t="n"/>
      <c r="E283" s="334" t="n"/>
      <c r="F283" s="334" t="n"/>
      <c r="G283" s="334" t="n"/>
      <c r="H283" s="334" t="n"/>
      <c r="I283" s="332">
        <f>IFERROR(VLOOKUP(TEXT(H283,"0"),IPRESS!$A$3:$B$212,2,0),"")</f>
        <v/>
      </c>
      <c r="J283" s="334" t="n"/>
      <c r="K283" s="332">
        <f>IFERROR(VLOOKUP(TEXT(O283,"0"),CONDUCTORES!$A$3:$G$54,7,0),"")</f>
        <v/>
      </c>
      <c r="L283" s="334" t="n"/>
      <c r="M283" s="334" t="n"/>
      <c r="N283" s="333">
        <f>IFERROR(IF(L283*M283=0,"",L283*M283),"")</f>
        <v/>
      </c>
      <c r="O283" s="334" t="n"/>
      <c r="P283" s="332">
        <f>IFERROR(VLOOKUP(TEXT(O283,"0"),CONDUCTORES!$A$3:$G$54,2,0),"")</f>
        <v/>
      </c>
      <c r="Q283" s="332">
        <f>IFERROR(VLOOKUP(TEXT(O283,"0"),CONDUCTORES!$A$3:$H$54,6,0),"")</f>
        <v/>
      </c>
      <c r="R283" s="334" t="n"/>
      <c r="S283" s="334" t="n"/>
      <c r="T283" s="334" t="n"/>
      <c r="U283" s="334" t="n"/>
      <c r="V283" s="334" t="n"/>
      <c r="W283" s="334" t="n"/>
      <c r="X283" s="334" t="n"/>
      <c r="Y283" s="334" t="n"/>
    </row>
    <row r="284" ht="15" customHeight="1" s="195">
      <c r="A284" s="280" t="n"/>
      <c r="B284" s="280" t="n"/>
      <c r="C284" s="280" t="n"/>
      <c r="D284" s="280" t="n"/>
      <c r="E284" s="280" t="n"/>
      <c r="F284" s="280" t="n"/>
      <c r="G284" s="280" t="n"/>
      <c r="H284" s="280" t="n"/>
      <c r="I284" s="332">
        <f>IFERROR(VLOOKUP(TEXT(H284,"0"),IPRESS!$A$3:$B$212,2,0),"")</f>
        <v/>
      </c>
      <c r="J284" s="280" t="n"/>
      <c r="K284" s="332">
        <f>IFERROR(VLOOKUP(TEXT(O284,"0"),CONDUCTORES!$A$3:$G$54,7,0),"")</f>
        <v/>
      </c>
      <c r="L284" s="280" t="n"/>
      <c r="M284" s="280" t="n"/>
      <c r="N284" s="333">
        <f>IFERROR(IF(L284*M284=0,"",L284*M284),"")</f>
        <v/>
      </c>
      <c r="O284" s="280" t="n"/>
      <c r="P284" s="332">
        <f>IFERROR(VLOOKUP(TEXT(O284,"0"),CONDUCTORES!$A$3:$G$54,2,0),"")</f>
        <v/>
      </c>
      <c r="Q284" s="332">
        <f>IFERROR(VLOOKUP(TEXT(O284,"0"),CONDUCTORES!$A$3:$H$54,6,0),"")</f>
        <v/>
      </c>
      <c r="R284" s="280" t="n"/>
      <c r="S284" s="280" t="n"/>
      <c r="T284" s="280" t="n"/>
      <c r="U284" s="280" t="n"/>
      <c r="V284" s="280" t="n"/>
      <c r="W284" s="280" t="n"/>
      <c r="X284" s="280" t="n"/>
      <c r="Y284" s="280" t="n"/>
    </row>
    <row r="285" ht="15" customHeight="1" s="195">
      <c r="A285" s="334" t="n"/>
      <c r="B285" s="334" t="n"/>
      <c r="C285" s="334" t="n"/>
      <c r="D285" s="334" t="n"/>
      <c r="E285" s="334" t="n"/>
      <c r="F285" s="334" t="n"/>
      <c r="G285" s="334" t="n"/>
      <c r="H285" s="334" t="n"/>
      <c r="I285" s="332">
        <f>IFERROR(VLOOKUP(TEXT(H285,"0"),IPRESS!$A$3:$B$212,2,0),"")</f>
        <v/>
      </c>
      <c r="J285" s="334" t="n"/>
      <c r="K285" s="332">
        <f>IFERROR(VLOOKUP(TEXT(O285,"0"),CONDUCTORES!$A$3:$G$54,7,0),"")</f>
        <v/>
      </c>
      <c r="L285" s="334" t="n"/>
      <c r="M285" s="334" t="n"/>
      <c r="N285" s="333">
        <f>IFERROR(IF(L285*M285=0,"",L285*M285),"")</f>
        <v/>
      </c>
      <c r="O285" s="334" t="n"/>
      <c r="P285" s="332">
        <f>IFERROR(VLOOKUP(TEXT(O285,"0"),CONDUCTORES!$A$3:$G$54,2,0),"")</f>
        <v/>
      </c>
      <c r="Q285" s="332">
        <f>IFERROR(VLOOKUP(TEXT(O285,"0"),CONDUCTORES!$A$3:$H$54,6,0),"")</f>
        <v/>
      </c>
      <c r="R285" s="334" t="n"/>
      <c r="S285" s="334" t="n"/>
      <c r="T285" s="334" t="n"/>
      <c r="U285" s="334" t="n"/>
      <c r="V285" s="334" t="n"/>
      <c r="W285" s="334" t="n"/>
      <c r="X285" s="334" t="n"/>
      <c r="Y285" s="334" t="n"/>
    </row>
    <row r="286" ht="15" customHeight="1" s="195">
      <c r="A286" s="280" t="n"/>
      <c r="B286" s="280" t="n"/>
      <c r="C286" s="280" t="n"/>
      <c r="D286" s="280" t="n"/>
      <c r="E286" s="280" t="n"/>
      <c r="F286" s="280" t="n"/>
      <c r="G286" s="280" t="n"/>
      <c r="H286" s="280" t="n"/>
      <c r="I286" s="332">
        <f>IFERROR(VLOOKUP(TEXT(H286,"0"),IPRESS!$A$3:$B$212,2,0),"")</f>
        <v/>
      </c>
      <c r="J286" s="280" t="n"/>
      <c r="K286" s="332">
        <f>IFERROR(VLOOKUP(TEXT(O286,"0"),CONDUCTORES!$A$3:$G$54,7,0),"")</f>
        <v/>
      </c>
      <c r="L286" s="280" t="n"/>
      <c r="M286" s="280" t="n"/>
      <c r="N286" s="333">
        <f>IFERROR(IF(L286*M286=0,"",L286*M286),"")</f>
        <v/>
      </c>
      <c r="O286" s="280" t="n"/>
      <c r="P286" s="332">
        <f>IFERROR(VLOOKUP(TEXT(O286,"0"),CONDUCTORES!$A$3:$G$54,2,0),"")</f>
        <v/>
      </c>
      <c r="Q286" s="332">
        <f>IFERROR(VLOOKUP(TEXT(O286,"0"),CONDUCTORES!$A$3:$H$54,6,0),"")</f>
        <v/>
      </c>
      <c r="R286" s="280" t="n"/>
      <c r="S286" s="280" t="n"/>
      <c r="T286" s="280" t="n"/>
      <c r="U286" s="280" t="n"/>
      <c r="V286" s="280" t="n"/>
      <c r="W286" s="280" t="n"/>
      <c r="X286" s="280" t="n"/>
      <c r="Y286" s="280" t="n"/>
    </row>
    <row r="287" ht="15" customHeight="1" s="195">
      <c r="A287" s="334" t="n"/>
      <c r="B287" s="334" t="n"/>
      <c r="C287" s="334" t="n"/>
      <c r="D287" s="334" t="n"/>
      <c r="E287" s="334" t="n"/>
      <c r="F287" s="334" t="n"/>
      <c r="G287" s="334" t="n"/>
      <c r="H287" s="334" t="n"/>
      <c r="I287" s="332">
        <f>IFERROR(VLOOKUP(TEXT(H287,"0"),IPRESS!$A$3:$B$212,2,0),"")</f>
        <v/>
      </c>
      <c r="J287" s="334" t="n"/>
      <c r="K287" s="332">
        <f>IFERROR(VLOOKUP(TEXT(O287,"0"),CONDUCTORES!$A$3:$G$54,7,0),"")</f>
        <v/>
      </c>
      <c r="L287" s="334" t="n"/>
      <c r="M287" s="334" t="n"/>
      <c r="N287" s="333">
        <f>IFERROR(IF(L287*M287=0,"",L287*M287),"")</f>
        <v/>
      </c>
      <c r="O287" s="334" t="n"/>
      <c r="P287" s="332">
        <f>IFERROR(VLOOKUP(TEXT(O287,"0"),CONDUCTORES!$A$3:$G$54,2,0),"")</f>
        <v/>
      </c>
      <c r="Q287" s="332">
        <f>IFERROR(VLOOKUP(TEXT(O287,"0"),CONDUCTORES!$A$3:$H$54,6,0),"")</f>
        <v/>
      </c>
      <c r="R287" s="334" t="n"/>
      <c r="S287" s="334" t="n"/>
      <c r="T287" s="334" t="n"/>
      <c r="U287" s="334" t="n"/>
      <c r="V287" s="334" t="n"/>
      <c r="W287" s="334" t="n"/>
      <c r="X287" s="334" t="n"/>
      <c r="Y287" s="334" t="n"/>
    </row>
    <row r="288" ht="15" customHeight="1" s="195">
      <c r="A288" s="280" t="n"/>
      <c r="B288" s="280" t="n"/>
      <c r="C288" s="280" t="n"/>
      <c r="D288" s="280" t="n"/>
      <c r="E288" s="280" t="n"/>
      <c r="F288" s="280" t="n"/>
      <c r="G288" s="280" t="n"/>
      <c r="H288" s="280" t="n"/>
      <c r="I288" s="332">
        <f>IFERROR(VLOOKUP(TEXT(H288,"0"),IPRESS!$A$3:$B$212,2,0),"")</f>
        <v/>
      </c>
      <c r="J288" s="280" t="n"/>
      <c r="K288" s="332">
        <f>IFERROR(VLOOKUP(TEXT(O288,"0"),CONDUCTORES!$A$3:$G$54,7,0),"")</f>
        <v/>
      </c>
      <c r="L288" s="280" t="n"/>
      <c r="M288" s="280" t="n"/>
      <c r="N288" s="333">
        <f>IFERROR(IF(L288*M288=0,"",L288*M288),"")</f>
        <v/>
      </c>
      <c r="O288" s="280" t="n"/>
      <c r="P288" s="332">
        <f>IFERROR(VLOOKUP(TEXT(O288,"0"),CONDUCTORES!$A$3:$G$54,2,0),"")</f>
        <v/>
      </c>
      <c r="Q288" s="332">
        <f>IFERROR(VLOOKUP(TEXT(O288,"0"),CONDUCTORES!$A$3:$H$54,6,0),"")</f>
        <v/>
      </c>
      <c r="R288" s="280" t="n"/>
      <c r="S288" s="280" t="n"/>
      <c r="T288" s="280" t="n"/>
      <c r="U288" s="280" t="n"/>
      <c r="V288" s="280" t="n"/>
      <c r="W288" s="280" t="n"/>
      <c r="X288" s="280" t="n"/>
      <c r="Y288" s="280" t="n"/>
    </row>
    <row r="289" ht="15" customHeight="1" s="195">
      <c r="A289" s="334" t="n"/>
      <c r="B289" s="334" t="n"/>
      <c r="C289" s="334" t="n"/>
      <c r="D289" s="334" t="n"/>
      <c r="E289" s="334" t="n"/>
      <c r="F289" s="334" t="n"/>
      <c r="G289" s="334" t="n"/>
      <c r="H289" s="334" t="n"/>
      <c r="I289" s="332">
        <f>IFERROR(VLOOKUP(TEXT(H289,"0"),IPRESS!$A$3:$B$212,2,0),"")</f>
        <v/>
      </c>
      <c r="J289" s="334" t="n"/>
      <c r="K289" s="332">
        <f>IFERROR(VLOOKUP(TEXT(O289,"0"),CONDUCTORES!$A$3:$G$54,7,0),"")</f>
        <v/>
      </c>
      <c r="L289" s="334" t="n"/>
      <c r="M289" s="334" t="n"/>
      <c r="N289" s="333">
        <f>IFERROR(IF(L289*M289=0,"",L289*M289),"")</f>
        <v/>
      </c>
      <c r="O289" s="334" t="n"/>
      <c r="P289" s="332">
        <f>IFERROR(VLOOKUP(TEXT(O289,"0"),CONDUCTORES!$A$3:$G$54,2,0),"")</f>
        <v/>
      </c>
      <c r="Q289" s="332">
        <f>IFERROR(VLOOKUP(TEXT(O289,"0"),CONDUCTORES!$A$3:$H$54,6,0),"")</f>
        <v/>
      </c>
      <c r="R289" s="334" t="n"/>
      <c r="S289" s="334" t="n"/>
      <c r="T289" s="334" t="n"/>
      <c r="U289" s="334" t="n"/>
      <c r="V289" s="334" t="n"/>
      <c r="W289" s="334" t="n"/>
      <c r="X289" s="334" t="n"/>
      <c r="Y289" s="334" t="n"/>
    </row>
    <row r="290" ht="15" customHeight="1" s="195">
      <c r="A290" s="280" t="n"/>
      <c r="B290" s="280" t="n"/>
      <c r="C290" s="280" t="n"/>
      <c r="D290" s="280" t="n"/>
      <c r="E290" s="280" t="n"/>
      <c r="F290" s="280" t="n"/>
      <c r="G290" s="280" t="n"/>
      <c r="H290" s="280" t="n"/>
      <c r="I290" s="332">
        <f>IFERROR(VLOOKUP(TEXT(H290,"0"),IPRESS!$A$3:$B$212,2,0),"")</f>
        <v/>
      </c>
      <c r="J290" s="280" t="n"/>
      <c r="K290" s="332">
        <f>IFERROR(VLOOKUP(TEXT(O290,"0"),CONDUCTORES!$A$3:$G$54,7,0),"")</f>
        <v/>
      </c>
      <c r="L290" s="280" t="n"/>
      <c r="M290" s="280" t="n"/>
      <c r="N290" s="333">
        <f>IFERROR(IF(L290*M290=0,"",L290*M290),"")</f>
        <v/>
      </c>
      <c r="O290" s="280" t="n"/>
      <c r="P290" s="332">
        <f>IFERROR(VLOOKUP(TEXT(O290,"0"),CONDUCTORES!$A$3:$G$54,2,0),"")</f>
        <v/>
      </c>
      <c r="Q290" s="332">
        <f>IFERROR(VLOOKUP(TEXT(O290,"0"),CONDUCTORES!$A$3:$H$54,6,0),"")</f>
        <v/>
      </c>
      <c r="R290" s="280" t="n"/>
      <c r="S290" s="280" t="n"/>
      <c r="T290" s="280" t="n"/>
      <c r="U290" s="280" t="n"/>
      <c r="V290" s="280" t="n"/>
      <c r="W290" s="280" t="n"/>
      <c r="X290" s="280" t="n"/>
      <c r="Y290" s="280" t="n"/>
    </row>
    <row r="291" ht="15" customHeight="1" s="195">
      <c r="A291" s="334" t="n"/>
      <c r="B291" s="334" t="n"/>
      <c r="C291" s="334" t="n"/>
      <c r="D291" s="334" t="n"/>
      <c r="E291" s="334" t="n"/>
      <c r="F291" s="334" t="n"/>
      <c r="G291" s="334" t="n"/>
      <c r="H291" s="334" t="n"/>
      <c r="I291" s="332">
        <f>IFERROR(VLOOKUP(TEXT(H291,"0"),IPRESS!$A$3:$B$212,2,0),"")</f>
        <v/>
      </c>
      <c r="J291" s="334" t="n"/>
      <c r="K291" s="332">
        <f>IFERROR(VLOOKUP(TEXT(O291,"0"),CONDUCTORES!$A$3:$G$54,7,0),"")</f>
        <v/>
      </c>
      <c r="L291" s="334" t="n"/>
      <c r="M291" s="334" t="n"/>
      <c r="N291" s="333">
        <f>IFERROR(IF(L291*M291=0,"",L291*M291),"")</f>
        <v/>
      </c>
      <c r="O291" s="334" t="n"/>
      <c r="P291" s="332">
        <f>IFERROR(VLOOKUP(TEXT(O291,"0"),CONDUCTORES!$A$3:$G$54,2,0),"")</f>
        <v/>
      </c>
      <c r="Q291" s="332">
        <f>IFERROR(VLOOKUP(TEXT(O291,"0"),CONDUCTORES!$A$3:$H$54,6,0),"")</f>
        <v/>
      </c>
      <c r="R291" s="334" t="n"/>
      <c r="S291" s="334" t="n"/>
      <c r="T291" s="334" t="n"/>
      <c r="U291" s="334" t="n"/>
      <c r="V291" s="334" t="n"/>
      <c r="W291" s="334" t="n"/>
      <c r="X291" s="334" t="n"/>
      <c r="Y291" s="334" t="n"/>
    </row>
    <row r="292" ht="15" customHeight="1" s="195">
      <c r="A292" s="280" t="n"/>
      <c r="B292" s="280" t="n"/>
      <c r="C292" s="280" t="n"/>
      <c r="D292" s="280" t="n"/>
      <c r="E292" s="280" t="n"/>
      <c r="F292" s="280" t="n"/>
      <c r="G292" s="280" t="n"/>
      <c r="H292" s="280" t="n"/>
      <c r="I292" s="332">
        <f>IFERROR(VLOOKUP(TEXT(H292,"0"),IPRESS!$A$3:$B$212,2,0),"")</f>
        <v/>
      </c>
      <c r="J292" s="280" t="n"/>
      <c r="K292" s="332">
        <f>IFERROR(VLOOKUP(TEXT(O292,"0"),CONDUCTORES!$A$3:$G$54,7,0),"")</f>
        <v/>
      </c>
      <c r="L292" s="280" t="n"/>
      <c r="M292" s="280" t="n"/>
      <c r="N292" s="333">
        <f>IFERROR(IF(L292*M292=0,"",L292*M292),"")</f>
        <v/>
      </c>
      <c r="O292" s="280" t="n"/>
      <c r="P292" s="332">
        <f>IFERROR(VLOOKUP(TEXT(O292,"0"),CONDUCTORES!$A$3:$G$54,2,0),"")</f>
        <v/>
      </c>
      <c r="Q292" s="332">
        <f>IFERROR(VLOOKUP(TEXT(O292,"0"),CONDUCTORES!$A$3:$H$54,6,0),"")</f>
        <v/>
      </c>
      <c r="R292" s="280" t="n"/>
      <c r="S292" s="280" t="n"/>
      <c r="T292" s="280" t="n"/>
      <c r="U292" s="280" t="n"/>
      <c r="V292" s="280" t="n"/>
      <c r="W292" s="280" t="n"/>
      <c r="X292" s="280" t="n"/>
      <c r="Y292" s="280" t="n"/>
    </row>
    <row r="293" ht="15" customHeight="1" s="195">
      <c r="A293" s="334" t="n"/>
      <c r="B293" s="334" t="n"/>
      <c r="C293" s="334" t="n"/>
      <c r="D293" s="334" t="n"/>
      <c r="E293" s="334" t="n"/>
      <c r="F293" s="334" t="n"/>
      <c r="G293" s="334" t="n"/>
      <c r="H293" s="334" t="n"/>
      <c r="I293" s="332">
        <f>IFERROR(VLOOKUP(TEXT(H293,"0"),IPRESS!$A$3:$B$212,2,0),"")</f>
        <v/>
      </c>
      <c r="J293" s="334" t="n"/>
      <c r="K293" s="332">
        <f>IFERROR(VLOOKUP(TEXT(O293,"0"),CONDUCTORES!$A$3:$G$54,7,0),"")</f>
        <v/>
      </c>
      <c r="L293" s="334" t="n"/>
      <c r="M293" s="334" t="n"/>
      <c r="N293" s="333">
        <f>IFERROR(IF(L293*M293=0,"",L293*M293),"")</f>
        <v/>
      </c>
      <c r="O293" s="334" t="n"/>
      <c r="P293" s="332">
        <f>IFERROR(VLOOKUP(TEXT(O293,"0"),CONDUCTORES!$A$3:$G$54,2,0),"")</f>
        <v/>
      </c>
      <c r="Q293" s="332">
        <f>IFERROR(VLOOKUP(TEXT(O293,"0"),CONDUCTORES!$A$3:$H$54,6,0),"")</f>
        <v/>
      </c>
      <c r="R293" s="334" t="n"/>
      <c r="S293" s="334" t="n"/>
      <c r="T293" s="334" t="n"/>
      <c r="U293" s="334" t="n"/>
      <c r="V293" s="334" t="n"/>
      <c r="W293" s="334" t="n"/>
      <c r="X293" s="334" t="n"/>
      <c r="Y293" s="334" t="n"/>
    </row>
    <row r="294" ht="15" customHeight="1" s="195">
      <c r="A294" s="280" t="n"/>
      <c r="B294" s="280" t="n"/>
      <c r="C294" s="280" t="n"/>
      <c r="D294" s="280" t="n"/>
      <c r="E294" s="280" t="n"/>
      <c r="F294" s="280" t="n"/>
      <c r="G294" s="280" t="n"/>
      <c r="H294" s="280" t="n"/>
      <c r="I294" s="332">
        <f>IFERROR(VLOOKUP(TEXT(H294,"0"),IPRESS!$A$3:$B$212,2,0),"")</f>
        <v/>
      </c>
      <c r="J294" s="280" t="n"/>
      <c r="K294" s="332">
        <f>IFERROR(VLOOKUP(TEXT(O294,"0"),CONDUCTORES!$A$3:$G$54,7,0),"")</f>
        <v/>
      </c>
      <c r="L294" s="280" t="n"/>
      <c r="M294" s="280" t="n"/>
      <c r="N294" s="333">
        <f>IFERROR(IF(L294*M294=0,"",L294*M294),"")</f>
        <v/>
      </c>
      <c r="O294" s="280" t="n"/>
      <c r="P294" s="332">
        <f>IFERROR(VLOOKUP(TEXT(O294,"0"),CONDUCTORES!$A$3:$G$54,2,0),"")</f>
        <v/>
      </c>
      <c r="Q294" s="332">
        <f>IFERROR(VLOOKUP(TEXT(O294,"0"),CONDUCTORES!$A$3:$H$54,6,0),"")</f>
        <v/>
      </c>
      <c r="R294" s="280" t="n"/>
      <c r="S294" s="280" t="n"/>
      <c r="T294" s="280" t="n"/>
      <c r="U294" s="280" t="n"/>
      <c r="V294" s="280" t="n"/>
      <c r="W294" s="280" t="n"/>
      <c r="X294" s="280" t="n"/>
      <c r="Y294" s="280" t="n"/>
    </row>
    <row r="295" ht="15" customHeight="1" s="195">
      <c r="A295" s="334" t="n"/>
      <c r="B295" s="334" t="n"/>
      <c r="C295" s="334" t="n"/>
      <c r="D295" s="334" t="n"/>
      <c r="E295" s="334" t="n"/>
      <c r="F295" s="334" t="n"/>
      <c r="G295" s="334" t="n"/>
      <c r="H295" s="334" t="n"/>
      <c r="I295" s="332">
        <f>IFERROR(VLOOKUP(TEXT(H295,"0"),IPRESS!$A$3:$B$212,2,0),"")</f>
        <v/>
      </c>
      <c r="J295" s="334" t="n"/>
      <c r="K295" s="332">
        <f>IFERROR(VLOOKUP(TEXT(O295,"0"),CONDUCTORES!$A$3:$G$54,7,0),"")</f>
        <v/>
      </c>
      <c r="L295" s="334" t="n"/>
      <c r="M295" s="334" t="n"/>
      <c r="N295" s="333">
        <f>IFERROR(IF(L295*M295=0,"",L295*M295),"")</f>
        <v/>
      </c>
      <c r="O295" s="334" t="n"/>
      <c r="P295" s="332">
        <f>IFERROR(VLOOKUP(TEXT(O295,"0"),CONDUCTORES!$A$3:$G$54,2,0),"")</f>
        <v/>
      </c>
      <c r="Q295" s="332">
        <f>IFERROR(VLOOKUP(TEXT(O295,"0"),CONDUCTORES!$A$3:$H$54,6,0),"")</f>
        <v/>
      </c>
      <c r="R295" s="334" t="n"/>
      <c r="S295" s="334" t="n"/>
      <c r="T295" s="334" t="n"/>
      <c r="U295" s="334" t="n"/>
      <c r="V295" s="334" t="n"/>
      <c r="W295" s="334" t="n"/>
      <c r="X295" s="334" t="n"/>
      <c r="Y295" s="334" t="n"/>
    </row>
    <row r="296" ht="15" customHeight="1" s="195">
      <c r="A296" s="280" t="n"/>
      <c r="B296" s="280" t="n"/>
      <c r="C296" s="280" t="n"/>
      <c r="D296" s="280" t="n"/>
      <c r="E296" s="280" t="n"/>
      <c r="F296" s="280" t="n"/>
      <c r="G296" s="280" t="n"/>
      <c r="H296" s="280" t="n"/>
      <c r="I296" s="332">
        <f>IFERROR(VLOOKUP(TEXT(H296,"0"),IPRESS!$A$3:$B$212,2,0),"")</f>
        <v/>
      </c>
      <c r="J296" s="280" t="n"/>
      <c r="K296" s="332">
        <f>IFERROR(VLOOKUP(TEXT(O296,"0"),CONDUCTORES!$A$3:$G$54,7,0),"")</f>
        <v/>
      </c>
      <c r="L296" s="280" t="n"/>
      <c r="M296" s="280" t="n"/>
      <c r="N296" s="333">
        <f>IFERROR(IF(L296*M296=0,"",L296*M296),"")</f>
        <v/>
      </c>
      <c r="O296" s="280" t="n"/>
      <c r="P296" s="332">
        <f>IFERROR(VLOOKUP(TEXT(O296,"0"),CONDUCTORES!$A$3:$G$54,2,0),"")</f>
        <v/>
      </c>
      <c r="Q296" s="332">
        <f>IFERROR(VLOOKUP(TEXT(O296,"0"),CONDUCTORES!$A$3:$H$54,6,0),"")</f>
        <v/>
      </c>
      <c r="R296" s="280" t="n"/>
      <c r="S296" s="280" t="n"/>
      <c r="T296" s="280" t="n"/>
      <c r="U296" s="280" t="n"/>
      <c r="V296" s="280" t="n"/>
      <c r="W296" s="280" t="n"/>
      <c r="X296" s="280" t="n"/>
      <c r="Y296" s="280" t="n"/>
    </row>
    <row r="297" ht="15" customHeight="1" s="195">
      <c r="A297" s="334" t="n"/>
      <c r="B297" s="334" t="n"/>
      <c r="C297" s="334" t="n"/>
      <c r="D297" s="334" t="n"/>
      <c r="E297" s="334" t="n"/>
      <c r="F297" s="334" t="n"/>
      <c r="G297" s="334" t="n"/>
      <c r="H297" s="334" t="n"/>
      <c r="I297" s="332">
        <f>IFERROR(VLOOKUP(TEXT(H297,"0"),IPRESS!$A$3:$B$212,2,0),"")</f>
        <v/>
      </c>
      <c r="J297" s="334" t="n"/>
      <c r="K297" s="332">
        <f>IFERROR(VLOOKUP(TEXT(O297,"0"),CONDUCTORES!$A$3:$G$54,7,0),"")</f>
        <v/>
      </c>
      <c r="L297" s="334" t="n"/>
      <c r="M297" s="334" t="n"/>
      <c r="N297" s="333">
        <f>IFERROR(IF(L297*M297=0,"",L297*M297),"")</f>
        <v/>
      </c>
      <c r="O297" s="334" t="n"/>
      <c r="P297" s="332">
        <f>IFERROR(VLOOKUP(TEXT(O297,"0"),CONDUCTORES!$A$3:$G$54,2,0),"")</f>
        <v/>
      </c>
      <c r="Q297" s="332">
        <f>IFERROR(VLOOKUP(TEXT(O297,"0"),CONDUCTORES!$A$3:$H$54,6,0),"")</f>
        <v/>
      </c>
      <c r="R297" s="334" t="n"/>
      <c r="S297" s="334" t="n"/>
      <c r="T297" s="334" t="n"/>
      <c r="U297" s="334" t="n"/>
      <c r="V297" s="334" t="n"/>
      <c r="W297" s="334" t="n"/>
      <c r="X297" s="334" t="n"/>
      <c r="Y297" s="334" t="n"/>
    </row>
    <row r="298" ht="15" customHeight="1" s="195">
      <c r="A298" s="280" t="n"/>
      <c r="B298" s="280" t="n"/>
      <c r="C298" s="280" t="n"/>
      <c r="D298" s="280" t="n"/>
      <c r="E298" s="280" t="n"/>
      <c r="F298" s="280" t="n"/>
      <c r="G298" s="280" t="n"/>
      <c r="H298" s="280" t="n"/>
      <c r="I298" s="332">
        <f>IFERROR(VLOOKUP(TEXT(H298,"0"),IPRESS!$A$3:$B$212,2,0),"")</f>
        <v/>
      </c>
      <c r="J298" s="280" t="n"/>
      <c r="K298" s="332">
        <f>IFERROR(VLOOKUP(TEXT(O298,"0"),CONDUCTORES!$A$3:$G$54,7,0),"")</f>
        <v/>
      </c>
      <c r="L298" s="280" t="n"/>
      <c r="M298" s="280" t="n"/>
      <c r="N298" s="333">
        <f>IFERROR(IF(L298*M298=0,"",L298*M298),"")</f>
        <v/>
      </c>
      <c r="O298" s="280" t="n"/>
      <c r="P298" s="332">
        <f>IFERROR(VLOOKUP(TEXT(O298,"0"),CONDUCTORES!$A$3:$G$54,2,0),"")</f>
        <v/>
      </c>
      <c r="Q298" s="332">
        <f>IFERROR(VLOOKUP(TEXT(O298,"0"),CONDUCTORES!$A$3:$H$54,6,0),"")</f>
        <v/>
      </c>
      <c r="R298" s="280" t="n"/>
      <c r="S298" s="280" t="n"/>
      <c r="T298" s="280" t="n"/>
      <c r="U298" s="280" t="n"/>
      <c r="V298" s="280" t="n"/>
      <c r="W298" s="280" t="n"/>
      <c r="X298" s="280" t="n"/>
      <c r="Y298" s="280" t="n"/>
    </row>
    <row r="299" ht="15" customHeight="1" s="195">
      <c r="A299" s="334" t="n"/>
      <c r="B299" s="334" t="n"/>
      <c r="C299" s="334" t="n"/>
      <c r="D299" s="334" t="n"/>
      <c r="E299" s="334" t="n"/>
      <c r="F299" s="334" t="n"/>
      <c r="G299" s="334" t="n"/>
      <c r="H299" s="334" t="n"/>
      <c r="I299" s="332">
        <f>IFERROR(VLOOKUP(TEXT(H299,"0"),IPRESS!$A$3:$B$212,2,0),"")</f>
        <v/>
      </c>
      <c r="J299" s="334" t="n"/>
      <c r="K299" s="332">
        <f>IFERROR(VLOOKUP(TEXT(O299,"0"),CONDUCTORES!$A$3:$G$54,7,0),"")</f>
        <v/>
      </c>
      <c r="L299" s="334" t="n"/>
      <c r="M299" s="334" t="n"/>
      <c r="N299" s="333">
        <f>IFERROR(IF(L299*M299=0,"",L299*M299),"")</f>
        <v/>
      </c>
      <c r="O299" s="334" t="n"/>
      <c r="P299" s="332">
        <f>IFERROR(VLOOKUP(TEXT(O299,"0"),CONDUCTORES!$A$3:$G$54,2,0),"")</f>
        <v/>
      </c>
      <c r="Q299" s="332">
        <f>IFERROR(VLOOKUP(TEXT(O299,"0"),CONDUCTORES!$A$3:$H$54,6,0),"")</f>
        <v/>
      </c>
      <c r="R299" s="334" t="n"/>
      <c r="S299" s="334" t="n"/>
      <c r="T299" s="334" t="n"/>
      <c r="U299" s="334" t="n"/>
      <c r="V299" s="334" t="n"/>
      <c r="W299" s="334" t="n"/>
      <c r="X299" s="334" t="n"/>
      <c r="Y299" s="334" t="n"/>
    </row>
    <row r="300" ht="15" customHeight="1" s="195">
      <c r="A300" s="280" t="n"/>
      <c r="B300" s="280" t="n"/>
      <c r="C300" s="280" t="n"/>
      <c r="D300" s="280" t="n"/>
      <c r="E300" s="280" t="n"/>
      <c r="F300" s="280" t="n"/>
      <c r="G300" s="280" t="n"/>
      <c r="H300" s="280" t="n"/>
      <c r="I300" s="332">
        <f>IFERROR(VLOOKUP(TEXT(H300,"0"),IPRESS!$A$3:$B$212,2,0),"")</f>
        <v/>
      </c>
      <c r="J300" s="280" t="n"/>
      <c r="K300" s="332">
        <f>IFERROR(VLOOKUP(TEXT(O300,"0"),CONDUCTORES!$A$3:$G$54,7,0),"")</f>
        <v/>
      </c>
      <c r="L300" s="280" t="n"/>
      <c r="M300" s="280" t="n"/>
      <c r="N300" s="333">
        <f>IFERROR(IF(L300*M300=0,"",L300*M300),"")</f>
        <v/>
      </c>
      <c r="O300" s="280" t="n"/>
      <c r="P300" s="332">
        <f>IFERROR(VLOOKUP(TEXT(O300,"0"),CONDUCTORES!$A$3:$G$54,2,0),"")</f>
        <v/>
      </c>
      <c r="Q300" s="332">
        <f>IFERROR(VLOOKUP(TEXT(O300,"0"),CONDUCTORES!$A$3:$H$54,6,0),"")</f>
        <v/>
      </c>
      <c r="R300" s="280" t="n"/>
      <c r="S300" s="280" t="n"/>
      <c r="T300" s="280" t="n"/>
      <c r="U300" s="280" t="n"/>
      <c r="V300" s="280" t="n"/>
      <c r="W300" s="280" t="n"/>
      <c r="X300" s="280" t="n"/>
      <c r="Y300" s="280" t="n"/>
    </row>
    <row r="301" ht="15" customHeight="1" s="195">
      <c r="A301" s="334" t="n"/>
      <c r="B301" s="334" t="n"/>
      <c r="C301" s="334" t="n"/>
      <c r="D301" s="334" t="n"/>
      <c r="E301" s="334" t="n"/>
      <c r="F301" s="334" t="n"/>
      <c r="G301" s="334" t="n"/>
      <c r="H301" s="334" t="n"/>
      <c r="I301" s="332">
        <f>IFERROR(VLOOKUP(TEXT(H301,"0"),IPRESS!$A$3:$B$212,2,0),"")</f>
        <v/>
      </c>
      <c r="J301" s="334" t="n"/>
      <c r="K301" s="332">
        <f>IFERROR(VLOOKUP(TEXT(O301,"0"),CONDUCTORES!$A$3:$G$54,7,0),"")</f>
        <v/>
      </c>
      <c r="L301" s="334" t="n"/>
      <c r="M301" s="334" t="n"/>
      <c r="N301" s="333">
        <f>IFERROR(IF(L301*M301=0,"",L301*M301),"")</f>
        <v/>
      </c>
      <c r="O301" s="334" t="n"/>
      <c r="P301" s="332">
        <f>IFERROR(VLOOKUP(TEXT(O301,"0"),CONDUCTORES!$A$3:$G$54,2,0),"")</f>
        <v/>
      </c>
      <c r="Q301" s="332">
        <f>IFERROR(VLOOKUP(TEXT(O301,"0"),CONDUCTORES!$A$3:$H$54,6,0),"")</f>
        <v/>
      </c>
      <c r="R301" s="334" t="n"/>
      <c r="S301" s="334" t="n"/>
      <c r="T301" s="334" t="n"/>
      <c r="U301" s="334" t="n"/>
      <c r="V301" s="334" t="n"/>
      <c r="W301" s="334" t="n"/>
      <c r="X301" s="334" t="n"/>
      <c r="Y301" s="334" t="n"/>
    </row>
    <row r="302" ht="15" customHeight="1" s="195">
      <c r="A302" s="280" t="n"/>
      <c r="B302" s="280" t="n"/>
      <c r="C302" s="280" t="n"/>
      <c r="D302" s="280" t="n"/>
      <c r="E302" s="280" t="n"/>
      <c r="F302" s="280" t="n"/>
      <c r="G302" s="280" t="n"/>
      <c r="H302" s="280" t="n"/>
      <c r="I302" s="332">
        <f>IFERROR(VLOOKUP(TEXT(H302,"0"),IPRESS!$A$3:$B$212,2,0),"")</f>
        <v/>
      </c>
      <c r="J302" s="280" t="n"/>
      <c r="K302" s="332">
        <f>IFERROR(VLOOKUP(TEXT(O302,"0"),CONDUCTORES!$A$3:$G$54,7,0),"")</f>
        <v/>
      </c>
      <c r="L302" s="280" t="n"/>
      <c r="M302" s="280" t="n"/>
      <c r="N302" s="333">
        <f>IFERROR(IF(L302*M302=0,"",L302*M302),"")</f>
        <v/>
      </c>
      <c r="O302" s="280" t="n"/>
      <c r="P302" s="332">
        <f>IFERROR(VLOOKUP(TEXT(O302,"0"),CONDUCTORES!$A$3:$G$54,2,0),"")</f>
        <v/>
      </c>
      <c r="Q302" s="332">
        <f>IFERROR(VLOOKUP(TEXT(O302,"0"),CONDUCTORES!$A$3:$H$54,6,0),"")</f>
        <v/>
      </c>
      <c r="R302" s="280" t="n"/>
      <c r="S302" s="280" t="n"/>
      <c r="T302" s="280" t="n"/>
      <c r="U302" s="280" t="n"/>
      <c r="V302" s="280" t="n"/>
      <c r="W302" s="280" t="n"/>
      <c r="X302" s="280" t="n"/>
      <c r="Y302" s="280" t="n"/>
    </row>
    <row r="303" ht="15" customHeight="1" s="195">
      <c r="A303" s="334" t="n"/>
      <c r="B303" s="334" t="n"/>
      <c r="C303" s="334" t="n"/>
      <c r="D303" s="334" t="n"/>
      <c r="E303" s="334" t="n"/>
      <c r="F303" s="334" t="n"/>
      <c r="G303" s="334" t="n"/>
      <c r="H303" s="334" t="n"/>
      <c r="I303" s="332">
        <f>IFERROR(VLOOKUP(TEXT(H303,"0"),IPRESS!$A$3:$B$212,2,0),"")</f>
        <v/>
      </c>
      <c r="J303" s="334" t="n"/>
      <c r="K303" s="332">
        <f>IFERROR(VLOOKUP(TEXT(O303,"0"),CONDUCTORES!$A$3:$G$54,7,0),"")</f>
        <v/>
      </c>
      <c r="L303" s="334" t="n"/>
      <c r="M303" s="334" t="n"/>
      <c r="N303" s="333">
        <f>IFERROR(IF(L303*M303=0,"",L303*M303),"")</f>
        <v/>
      </c>
      <c r="O303" s="334" t="n"/>
      <c r="P303" s="332">
        <f>IFERROR(VLOOKUP(TEXT(O303,"0"),CONDUCTORES!$A$3:$G$54,2,0),"")</f>
        <v/>
      </c>
      <c r="Q303" s="332">
        <f>IFERROR(VLOOKUP(TEXT(O303,"0"),CONDUCTORES!$A$3:$H$54,6,0),"")</f>
        <v/>
      </c>
      <c r="R303" s="334" t="n"/>
      <c r="S303" s="334" t="n"/>
      <c r="T303" s="334" t="n"/>
      <c r="U303" s="334" t="n"/>
      <c r="V303" s="334" t="n"/>
      <c r="W303" s="334" t="n"/>
      <c r="X303" s="334" t="n"/>
      <c r="Y303" s="334" t="n"/>
    </row>
    <row r="304" ht="15" customHeight="1" s="195">
      <c r="A304" s="280" t="n"/>
      <c r="B304" s="280" t="n"/>
      <c r="C304" s="280" t="n"/>
      <c r="D304" s="280" t="n"/>
      <c r="E304" s="280" t="n"/>
      <c r="F304" s="280" t="n"/>
      <c r="G304" s="280" t="n"/>
      <c r="H304" s="280" t="n"/>
      <c r="I304" s="332">
        <f>IFERROR(VLOOKUP(TEXT(H304,"0"),IPRESS!$A$3:$B$212,2,0),"")</f>
        <v/>
      </c>
      <c r="J304" s="280" t="n"/>
      <c r="K304" s="332">
        <f>IFERROR(VLOOKUP(TEXT(O304,"0"),CONDUCTORES!$A$3:$G$54,7,0),"")</f>
        <v/>
      </c>
      <c r="L304" s="280" t="n"/>
      <c r="M304" s="280" t="n"/>
      <c r="N304" s="333">
        <f>IFERROR(IF(L304*M304=0,"",L304*M304),"")</f>
        <v/>
      </c>
      <c r="O304" s="280" t="n"/>
      <c r="P304" s="332">
        <f>IFERROR(VLOOKUP(TEXT(O304,"0"),CONDUCTORES!$A$3:$G$54,2,0),"")</f>
        <v/>
      </c>
      <c r="Q304" s="332">
        <f>IFERROR(VLOOKUP(TEXT(O304,"0"),CONDUCTORES!$A$3:$H$54,6,0),"")</f>
        <v/>
      </c>
      <c r="R304" s="280" t="n"/>
      <c r="S304" s="280" t="n"/>
      <c r="T304" s="280" t="n"/>
      <c r="U304" s="280" t="n"/>
      <c r="V304" s="280" t="n"/>
      <c r="W304" s="280" t="n"/>
      <c r="X304" s="280" t="n"/>
      <c r="Y304" s="280" t="n"/>
    </row>
    <row r="305" ht="15" customHeight="1" s="195">
      <c r="A305" s="334" t="n"/>
      <c r="B305" s="334" t="n"/>
      <c r="C305" s="334" t="n"/>
      <c r="D305" s="334" t="n"/>
      <c r="E305" s="334" t="n"/>
      <c r="F305" s="334" t="n"/>
      <c r="G305" s="334" t="n"/>
      <c r="H305" s="334" t="n"/>
      <c r="I305" s="332">
        <f>IFERROR(VLOOKUP(TEXT(H305,"0"),IPRESS!$A$3:$B$212,2,0),"")</f>
        <v/>
      </c>
      <c r="J305" s="334" t="n"/>
      <c r="K305" s="332">
        <f>IFERROR(VLOOKUP(TEXT(O305,"0"),CONDUCTORES!$A$3:$G$54,7,0),"")</f>
        <v/>
      </c>
      <c r="L305" s="334" t="n"/>
      <c r="M305" s="334" t="n"/>
      <c r="N305" s="333">
        <f>IFERROR(IF(L305*M305=0,"",L305*M305),"")</f>
        <v/>
      </c>
      <c r="O305" s="334" t="n"/>
      <c r="P305" s="332">
        <f>IFERROR(VLOOKUP(TEXT(O305,"0"),CONDUCTORES!$A$3:$G$54,2,0),"")</f>
        <v/>
      </c>
      <c r="Q305" s="332">
        <f>IFERROR(VLOOKUP(TEXT(O305,"0"),CONDUCTORES!$A$3:$H$54,6,0),"")</f>
        <v/>
      </c>
      <c r="R305" s="334" t="n"/>
      <c r="S305" s="334" t="n"/>
      <c r="T305" s="334" t="n"/>
      <c r="U305" s="334" t="n"/>
      <c r="V305" s="334" t="n"/>
      <c r="W305" s="334" t="n"/>
      <c r="X305" s="334" t="n"/>
      <c r="Y305" s="334" t="n"/>
    </row>
    <row r="306" ht="15" customHeight="1" s="195">
      <c r="A306" s="280" t="n"/>
      <c r="B306" s="280" t="n"/>
      <c r="C306" s="280" t="n"/>
      <c r="D306" s="280" t="n"/>
      <c r="E306" s="280" t="n"/>
      <c r="F306" s="280" t="n"/>
      <c r="G306" s="280" t="n"/>
      <c r="H306" s="280" t="n"/>
      <c r="I306" s="332">
        <f>IFERROR(VLOOKUP(TEXT(H306,"0"),IPRESS!$A$3:$B$212,2,0),"")</f>
        <v/>
      </c>
      <c r="J306" s="280" t="n"/>
      <c r="K306" s="332">
        <f>IFERROR(VLOOKUP(TEXT(O306,"0"),CONDUCTORES!$A$3:$G$54,7,0),"")</f>
        <v/>
      </c>
      <c r="L306" s="280" t="n"/>
      <c r="M306" s="280" t="n"/>
      <c r="N306" s="333">
        <f>IFERROR(IF(L306*M306=0,"",L306*M306),"")</f>
        <v/>
      </c>
      <c r="O306" s="280" t="n"/>
      <c r="P306" s="332">
        <f>IFERROR(VLOOKUP(TEXT(O306,"0"),CONDUCTORES!$A$3:$G$54,2,0),"")</f>
        <v/>
      </c>
      <c r="Q306" s="332">
        <f>IFERROR(VLOOKUP(TEXT(O306,"0"),CONDUCTORES!$A$3:$H$54,6,0),"")</f>
        <v/>
      </c>
      <c r="R306" s="280" t="n"/>
      <c r="S306" s="280" t="n"/>
      <c r="T306" s="280" t="n"/>
      <c r="U306" s="280" t="n"/>
      <c r="V306" s="280" t="n"/>
      <c r="W306" s="280" t="n"/>
      <c r="X306" s="280" t="n"/>
      <c r="Y306" s="280" t="n"/>
    </row>
    <row r="307" ht="15" customHeight="1" s="195">
      <c r="A307" s="334" t="n"/>
      <c r="B307" s="334" t="n"/>
      <c r="C307" s="334" t="n"/>
      <c r="D307" s="334" t="n"/>
      <c r="E307" s="334" t="n"/>
      <c r="F307" s="334" t="n"/>
      <c r="G307" s="334" t="n"/>
      <c r="H307" s="334" t="n"/>
      <c r="I307" s="332">
        <f>IFERROR(VLOOKUP(TEXT(H307,"0"),IPRESS!$A$3:$B$212,2,0),"")</f>
        <v/>
      </c>
      <c r="J307" s="334" t="n"/>
      <c r="K307" s="332">
        <f>IFERROR(VLOOKUP(TEXT(O307,"0"),CONDUCTORES!$A$3:$G$54,7,0),"")</f>
        <v/>
      </c>
      <c r="L307" s="334" t="n"/>
      <c r="M307" s="334" t="n"/>
      <c r="N307" s="333">
        <f>IFERROR(IF(L307*M307=0,"",L307*M307),"")</f>
        <v/>
      </c>
      <c r="O307" s="334" t="n"/>
      <c r="P307" s="332">
        <f>IFERROR(VLOOKUP(TEXT(O307,"0"),CONDUCTORES!$A$3:$G$54,2,0),"")</f>
        <v/>
      </c>
      <c r="Q307" s="332">
        <f>IFERROR(VLOOKUP(TEXT(O307,"0"),CONDUCTORES!$A$3:$H$54,6,0),"")</f>
        <v/>
      </c>
      <c r="R307" s="334" t="n"/>
      <c r="S307" s="334" t="n"/>
      <c r="T307" s="334" t="n"/>
      <c r="U307" s="334" t="n"/>
      <c r="V307" s="334" t="n"/>
      <c r="W307" s="334" t="n"/>
      <c r="X307" s="334" t="n"/>
      <c r="Y307" s="334" t="n"/>
    </row>
    <row r="308" ht="15" customHeight="1" s="195">
      <c r="A308" s="280" t="n"/>
      <c r="B308" s="280" t="n"/>
      <c r="C308" s="280" t="n"/>
      <c r="D308" s="280" t="n"/>
      <c r="E308" s="280" t="n"/>
      <c r="F308" s="280" t="n"/>
      <c r="G308" s="280" t="n"/>
      <c r="H308" s="280" t="n"/>
      <c r="I308" s="332">
        <f>IFERROR(VLOOKUP(TEXT(H308,"0"),IPRESS!$A$3:$B$212,2,0),"")</f>
        <v/>
      </c>
      <c r="J308" s="280" t="n"/>
      <c r="K308" s="332">
        <f>IFERROR(VLOOKUP(TEXT(O308,"0"),CONDUCTORES!$A$3:$G$54,7,0),"")</f>
        <v/>
      </c>
      <c r="L308" s="280" t="n"/>
      <c r="M308" s="280" t="n"/>
      <c r="N308" s="333">
        <f>IFERROR(IF(L308*M308=0,"",L308*M308),"")</f>
        <v/>
      </c>
      <c r="O308" s="280" t="n"/>
      <c r="P308" s="332">
        <f>IFERROR(VLOOKUP(TEXT(O308,"0"),CONDUCTORES!$A$3:$G$54,2,0),"")</f>
        <v/>
      </c>
      <c r="Q308" s="332">
        <f>IFERROR(VLOOKUP(TEXT(O308,"0"),CONDUCTORES!$A$3:$H$54,6,0),"")</f>
        <v/>
      </c>
      <c r="R308" s="280" t="n"/>
      <c r="S308" s="280" t="n"/>
      <c r="T308" s="280" t="n"/>
      <c r="U308" s="280" t="n"/>
      <c r="V308" s="280" t="n"/>
      <c r="W308" s="280" t="n"/>
      <c r="X308" s="280" t="n"/>
      <c r="Y308" s="280" t="n"/>
    </row>
    <row r="309" ht="15" customHeight="1" s="195">
      <c r="A309" s="334" t="n"/>
      <c r="B309" s="334" t="n"/>
      <c r="C309" s="334" t="n"/>
      <c r="D309" s="334" t="n"/>
      <c r="E309" s="334" t="n"/>
      <c r="F309" s="334" t="n"/>
      <c r="G309" s="334" t="n"/>
      <c r="H309" s="334" t="n"/>
      <c r="I309" s="332">
        <f>IFERROR(VLOOKUP(TEXT(H309,"0"),IPRESS!$A$3:$B$212,2,0),"")</f>
        <v/>
      </c>
      <c r="J309" s="334" t="n"/>
      <c r="K309" s="332">
        <f>IFERROR(VLOOKUP(TEXT(O309,"0"),CONDUCTORES!$A$3:$G$54,7,0),"")</f>
        <v/>
      </c>
      <c r="L309" s="334" t="n"/>
      <c r="M309" s="334" t="n"/>
      <c r="N309" s="333">
        <f>IFERROR(IF(L309*M309=0,"",L309*M309),"")</f>
        <v/>
      </c>
      <c r="O309" s="334" t="n"/>
      <c r="P309" s="332">
        <f>IFERROR(VLOOKUP(TEXT(O309,"0"),CONDUCTORES!$A$3:$G$54,2,0),"")</f>
        <v/>
      </c>
      <c r="Q309" s="332">
        <f>IFERROR(VLOOKUP(TEXT(O309,"0"),CONDUCTORES!$A$3:$H$54,6,0),"")</f>
        <v/>
      </c>
      <c r="R309" s="334" t="n"/>
      <c r="S309" s="334" t="n"/>
      <c r="T309" s="334" t="n"/>
      <c r="U309" s="334" t="n"/>
      <c r="V309" s="334" t="n"/>
      <c r="W309" s="334" t="n"/>
      <c r="X309" s="334" t="n"/>
      <c r="Y309" s="334" t="n"/>
    </row>
    <row r="310" ht="15" customHeight="1" s="195">
      <c r="A310" s="280" t="n"/>
      <c r="B310" s="280" t="n"/>
      <c r="C310" s="280" t="n"/>
      <c r="D310" s="280" t="n"/>
      <c r="E310" s="280" t="n"/>
      <c r="F310" s="280" t="n"/>
      <c r="G310" s="280" t="n"/>
      <c r="H310" s="280" t="n"/>
      <c r="I310" s="332">
        <f>IFERROR(VLOOKUP(TEXT(H310,"0"),IPRESS!$A$3:$B$212,2,0),"")</f>
        <v/>
      </c>
      <c r="J310" s="280" t="n"/>
      <c r="K310" s="332">
        <f>IFERROR(VLOOKUP(TEXT(O310,"0"),CONDUCTORES!$A$3:$G$54,7,0),"")</f>
        <v/>
      </c>
      <c r="L310" s="280" t="n"/>
      <c r="M310" s="280" t="n"/>
      <c r="N310" s="333">
        <f>IFERROR(IF(L310*M310=0,"",L310*M310),"")</f>
        <v/>
      </c>
      <c r="O310" s="280" t="n"/>
      <c r="P310" s="332">
        <f>IFERROR(VLOOKUP(TEXT(O310,"0"),CONDUCTORES!$A$3:$G$54,2,0),"")</f>
        <v/>
      </c>
      <c r="Q310" s="332">
        <f>IFERROR(VLOOKUP(TEXT(O310,"0"),CONDUCTORES!$A$3:$H$54,6,0),"")</f>
        <v/>
      </c>
      <c r="R310" s="280" t="n"/>
      <c r="S310" s="280" t="n"/>
      <c r="T310" s="280" t="n"/>
      <c r="U310" s="280" t="n"/>
      <c r="V310" s="280" t="n"/>
      <c r="W310" s="280" t="n"/>
      <c r="X310" s="280" t="n"/>
      <c r="Y310" s="280" t="n"/>
    </row>
    <row r="311" ht="15" customHeight="1" s="195">
      <c r="A311" s="334" t="n"/>
      <c r="B311" s="334" t="n"/>
      <c r="C311" s="334" t="n"/>
      <c r="D311" s="334" t="n"/>
      <c r="E311" s="334" t="n"/>
      <c r="F311" s="334" t="n"/>
      <c r="G311" s="334" t="n"/>
      <c r="H311" s="334" t="n"/>
      <c r="I311" s="332">
        <f>IFERROR(VLOOKUP(TEXT(H311,"0"),IPRESS!$A$3:$B$212,2,0),"")</f>
        <v/>
      </c>
      <c r="J311" s="334" t="n"/>
      <c r="K311" s="332">
        <f>IFERROR(VLOOKUP(TEXT(O311,"0"),CONDUCTORES!$A$3:$G$54,7,0),"")</f>
        <v/>
      </c>
      <c r="L311" s="334" t="n"/>
      <c r="M311" s="334" t="n"/>
      <c r="N311" s="333">
        <f>IFERROR(IF(L311*M311=0,"",L311*M311),"")</f>
        <v/>
      </c>
      <c r="O311" s="334" t="n"/>
      <c r="P311" s="332">
        <f>IFERROR(VLOOKUP(TEXT(O311,"0"),CONDUCTORES!$A$3:$G$54,2,0),"")</f>
        <v/>
      </c>
      <c r="Q311" s="332">
        <f>IFERROR(VLOOKUP(TEXT(O311,"0"),CONDUCTORES!$A$3:$H$54,6,0),"")</f>
        <v/>
      </c>
      <c r="R311" s="334" t="n"/>
      <c r="S311" s="334" t="n"/>
      <c r="T311" s="334" t="n"/>
      <c r="U311" s="334" t="n"/>
      <c r="V311" s="334" t="n"/>
      <c r="W311" s="334" t="n"/>
      <c r="X311" s="334" t="n"/>
      <c r="Y311" s="334" t="n"/>
    </row>
    <row r="312" ht="15" customHeight="1" s="195">
      <c r="A312" s="280" t="n"/>
      <c r="B312" s="280" t="n"/>
      <c r="C312" s="280" t="n"/>
      <c r="D312" s="280" t="n"/>
      <c r="E312" s="280" t="n"/>
      <c r="F312" s="280" t="n"/>
      <c r="G312" s="280" t="n"/>
      <c r="H312" s="280" t="n"/>
      <c r="I312" s="332">
        <f>IFERROR(VLOOKUP(TEXT(H312,"0"),IPRESS!$A$3:$B$212,2,0),"")</f>
        <v/>
      </c>
      <c r="J312" s="280" t="n"/>
      <c r="K312" s="332">
        <f>IFERROR(VLOOKUP(TEXT(O312,"0"),CONDUCTORES!$A$3:$G$54,7,0),"")</f>
        <v/>
      </c>
      <c r="L312" s="280" t="n"/>
      <c r="M312" s="280" t="n"/>
      <c r="N312" s="333">
        <f>IFERROR(IF(L312*M312=0,"",L312*M312),"")</f>
        <v/>
      </c>
      <c r="O312" s="280" t="n"/>
      <c r="P312" s="332">
        <f>IFERROR(VLOOKUP(TEXT(O312,"0"),CONDUCTORES!$A$3:$G$54,2,0),"")</f>
        <v/>
      </c>
      <c r="Q312" s="332">
        <f>IFERROR(VLOOKUP(TEXT(O312,"0"),CONDUCTORES!$A$3:$H$54,6,0),"")</f>
        <v/>
      </c>
      <c r="R312" s="280" t="n"/>
      <c r="S312" s="280" t="n"/>
      <c r="T312" s="280" t="n"/>
      <c r="U312" s="280" t="n"/>
      <c r="V312" s="280" t="n"/>
      <c r="W312" s="280" t="n"/>
      <c r="X312" s="280" t="n"/>
      <c r="Y312" s="280" t="n"/>
    </row>
    <row r="313" ht="15" customHeight="1" s="195">
      <c r="A313" s="334" t="n"/>
      <c r="B313" s="334" t="n"/>
      <c r="C313" s="334" t="n"/>
      <c r="D313" s="334" t="n"/>
      <c r="E313" s="334" t="n"/>
      <c r="F313" s="334" t="n"/>
      <c r="G313" s="334" t="n"/>
      <c r="H313" s="334" t="n"/>
      <c r="I313" s="332">
        <f>IFERROR(VLOOKUP(TEXT(H313,"0"),IPRESS!$A$3:$B$212,2,0),"")</f>
        <v/>
      </c>
      <c r="J313" s="334" t="n"/>
      <c r="K313" s="332">
        <f>IFERROR(VLOOKUP(TEXT(O313,"0"),CONDUCTORES!$A$3:$G$54,7,0),"")</f>
        <v/>
      </c>
      <c r="L313" s="334" t="n"/>
      <c r="M313" s="334" t="n"/>
      <c r="N313" s="333">
        <f>IFERROR(IF(L313*M313=0,"",L313*M313),"")</f>
        <v/>
      </c>
      <c r="O313" s="334" t="n"/>
      <c r="P313" s="332">
        <f>IFERROR(VLOOKUP(TEXT(O313,"0"),CONDUCTORES!$A$3:$G$54,2,0),"")</f>
        <v/>
      </c>
      <c r="Q313" s="332">
        <f>IFERROR(VLOOKUP(TEXT(O313,"0"),CONDUCTORES!$A$3:$H$54,6,0),"")</f>
        <v/>
      </c>
      <c r="R313" s="334" t="n"/>
      <c r="S313" s="334" t="n"/>
      <c r="T313" s="334" t="n"/>
      <c r="U313" s="334" t="n"/>
      <c r="V313" s="334" t="n"/>
      <c r="W313" s="334" t="n"/>
      <c r="X313" s="334" t="n"/>
      <c r="Y313" s="334" t="n"/>
    </row>
    <row r="314" ht="15" customHeight="1" s="195">
      <c r="A314" s="280" t="n"/>
      <c r="B314" s="280" t="n"/>
      <c r="C314" s="280" t="n"/>
      <c r="D314" s="280" t="n"/>
      <c r="E314" s="280" t="n"/>
      <c r="F314" s="280" t="n"/>
      <c r="G314" s="280" t="n"/>
      <c r="H314" s="280" t="n"/>
      <c r="I314" s="332">
        <f>IFERROR(VLOOKUP(TEXT(H314,"0"),IPRESS!$A$3:$B$212,2,0),"")</f>
        <v/>
      </c>
      <c r="J314" s="280" t="n"/>
      <c r="K314" s="332">
        <f>IFERROR(VLOOKUP(TEXT(O314,"0"),CONDUCTORES!$A$3:$G$54,7,0),"")</f>
        <v/>
      </c>
      <c r="L314" s="280" t="n"/>
      <c r="M314" s="280" t="n"/>
      <c r="N314" s="333">
        <f>IFERROR(IF(L314*M314=0,"",L314*M314),"")</f>
        <v/>
      </c>
      <c r="O314" s="280" t="n"/>
      <c r="P314" s="332">
        <f>IFERROR(VLOOKUP(TEXT(O314,"0"),CONDUCTORES!$A$3:$G$54,2,0),"")</f>
        <v/>
      </c>
      <c r="Q314" s="332">
        <f>IFERROR(VLOOKUP(TEXT(O314,"0"),CONDUCTORES!$A$3:$H$54,6,0),"")</f>
        <v/>
      </c>
      <c r="R314" s="280" t="n"/>
      <c r="S314" s="280" t="n"/>
      <c r="T314" s="280" t="n"/>
      <c r="U314" s="280" t="n"/>
      <c r="V314" s="280" t="n"/>
      <c r="W314" s="280" t="n"/>
      <c r="X314" s="280" t="n"/>
      <c r="Y314" s="280" t="n"/>
    </row>
    <row r="315" ht="15" customHeight="1" s="195">
      <c r="A315" s="334" t="n"/>
      <c r="B315" s="334" t="n"/>
      <c r="C315" s="334" t="n"/>
      <c r="D315" s="334" t="n"/>
      <c r="E315" s="334" t="n"/>
      <c r="F315" s="334" t="n"/>
      <c r="G315" s="334" t="n"/>
      <c r="H315" s="334" t="n"/>
      <c r="I315" s="332">
        <f>IFERROR(VLOOKUP(TEXT(H315,"0"),IPRESS!$A$3:$B$212,2,0),"")</f>
        <v/>
      </c>
      <c r="J315" s="334" t="n"/>
      <c r="K315" s="332">
        <f>IFERROR(VLOOKUP(TEXT(O315,"0"),CONDUCTORES!$A$3:$G$54,7,0),"")</f>
        <v/>
      </c>
      <c r="L315" s="334" t="n"/>
      <c r="M315" s="334" t="n"/>
      <c r="N315" s="333">
        <f>IFERROR(IF(L315*M315=0,"",L315*M315),"")</f>
        <v/>
      </c>
      <c r="O315" s="334" t="n"/>
      <c r="P315" s="332">
        <f>IFERROR(VLOOKUP(TEXT(O315,"0"),CONDUCTORES!$A$3:$G$54,2,0),"")</f>
        <v/>
      </c>
      <c r="Q315" s="332">
        <f>IFERROR(VLOOKUP(TEXT(O315,"0"),CONDUCTORES!$A$3:$H$54,6,0),"")</f>
        <v/>
      </c>
      <c r="R315" s="334" t="n"/>
      <c r="S315" s="334" t="n"/>
      <c r="T315" s="334" t="n"/>
      <c r="U315" s="334" t="n"/>
      <c r="V315" s="334" t="n"/>
      <c r="W315" s="334" t="n"/>
      <c r="X315" s="334" t="n"/>
      <c r="Y315" s="334" t="n"/>
    </row>
    <row r="316" ht="15" customHeight="1" s="195">
      <c r="A316" s="280" t="n"/>
      <c r="B316" s="280" t="n"/>
      <c r="C316" s="280" t="n"/>
      <c r="D316" s="280" t="n"/>
      <c r="E316" s="280" t="n"/>
      <c r="F316" s="280" t="n"/>
      <c r="G316" s="280" t="n"/>
      <c r="H316" s="280" t="n"/>
      <c r="I316" s="332">
        <f>IFERROR(VLOOKUP(TEXT(H316,"0"),IPRESS!$A$3:$B$212,2,0),"")</f>
        <v/>
      </c>
      <c r="J316" s="280" t="n"/>
      <c r="K316" s="332">
        <f>IFERROR(VLOOKUP(TEXT(O316,"0"),CONDUCTORES!$A$3:$G$54,7,0),"")</f>
        <v/>
      </c>
      <c r="L316" s="280" t="n"/>
      <c r="M316" s="280" t="n"/>
      <c r="N316" s="333">
        <f>IFERROR(IF(L316*M316=0,"",L316*M316),"")</f>
        <v/>
      </c>
      <c r="O316" s="280" t="n"/>
      <c r="P316" s="332">
        <f>IFERROR(VLOOKUP(TEXT(O316,"0"),CONDUCTORES!$A$3:$G$54,2,0),"")</f>
        <v/>
      </c>
      <c r="Q316" s="332">
        <f>IFERROR(VLOOKUP(TEXT(O316,"0"),CONDUCTORES!$A$3:$H$54,6,0),"")</f>
        <v/>
      </c>
      <c r="R316" s="280" t="n"/>
      <c r="S316" s="280" t="n"/>
      <c r="T316" s="280" t="n"/>
      <c r="U316" s="280" t="n"/>
      <c r="V316" s="280" t="n"/>
      <c r="W316" s="280" t="n"/>
      <c r="X316" s="280" t="n"/>
      <c r="Y316" s="280" t="n"/>
    </row>
    <row r="317" ht="15" customHeight="1" s="195">
      <c r="A317" s="334" t="n"/>
      <c r="B317" s="334" t="n"/>
      <c r="C317" s="334" t="n"/>
      <c r="D317" s="334" t="n"/>
      <c r="E317" s="334" t="n"/>
      <c r="F317" s="334" t="n"/>
      <c r="G317" s="334" t="n"/>
      <c r="H317" s="334" t="n"/>
      <c r="I317" s="332">
        <f>IFERROR(VLOOKUP(TEXT(H317,"0"),IPRESS!$A$3:$B$212,2,0),"")</f>
        <v/>
      </c>
      <c r="J317" s="334" t="n"/>
      <c r="K317" s="332">
        <f>IFERROR(VLOOKUP(TEXT(O317,"0"),CONDUCTORES!$A$3:$G$54,7,0),"")</f>
        <v/>
      </c>
      <c r="L317" s="334" t="n"/>
      <c r="M317" s="334" t="n"/>
      <c r="N317" s="333">
        <f>IFERROR(IF(L317*M317=0,"",L317*M317),"")</f>
        <v/>
      </c>
      <c r="O317" s="334" t="n"/>
      <c r="P317" s="332">
        <f>IFERROR(VLOOKUP(TEXT(O317,"0"),CONDUCTORES!$A$3:$G$54,2,0),"")</f>
        <v/>
      </c>
      <c r="Q317" s="332">
        <f>IFERROR(VLOOKUP(TEXT(O317,"0"),CONDUCTORES!$A$3:$H$54,6,0),"")</f>
        <v/>
      </c>
      <c r="R317" s="334" t="n"/>
      <c r="S317" s="334" t="n"/>
      <c r="T317" s="334" t="n"/>
      <c r="U317" s="334" t="n"/>
      <c r="V317" s="334" t="n"/>
      <c r="W317" s="334" t="n"/>
      <c r="X317" s="334" t="n"/>
      <c r="Y317" s="334" t="n"/>
    </row>
    <row r="318" ht="15" customHeight="1" s="195">
      <c r="A318" s="280" t="n"/>
      <c r="B318" s="280" t="n"/>
      <c r="C318" s="280" t="n"/>
      <c r="D318" s="280" t="n"/>
      <c r="E318" s="280" t="n"/>
      <c r="F318" s="280" t="n"/>
      <c r="G318" s="280" t="n"/>
      <c r="H318" s="280" t="n"/>
      <c r="I318" s="332">
        <f>IFERROR(VLOOKUP(TEXT(H318,"0"),IPRESS!$A$3:$B$212,2,0),"")</f>
        <v/>
      </c>
      <c r="J318" s="280" t="n"/>
      <c r="K318" s="332">
        <f>IFERROR(VLOOKUP(TEXT(O318,"0"),CONDUCTORES!$A$3:$G$54,7,0),"")</f>
        <v/>
      </c>
      <c r="L318" s="280" t="n"/>
      <c r="M318" s="280" t="n"/>
      <c r="N318" s="333">
        <f>IFERROR(IF(L318*M318=0,"",L318*M318),"")</f>
        <v/>
      </c>
      <c r="O318" s="280" t="n"/>
      <c r="P318" s="332">
        <f>IFERROR(VLOOKUP(TEXT(O318,"0"),CONDUCTORES!$A$3:$G$54,2,0),"")</f>
        <v/>
      </c>
      <c r="Q318" s="332">
        <f>IFERROR(VLOOKUP(TEXT(O318,"0"),CONDUCTORES!$A$3:$H$54,6,0),"")</f>
        <v/>
      </c>
      <c r="R318" s="280" t="n"/>
      <c r="S318" s="280" t="n"/>
      <c r="T318" s="280" t="n"/>
      <c r="U318" s="280" t="n"/>
      <c r="V318" s="280" t="n"/>
      <c r="W318" s="280" t="n"/>
      <c r="X318" s="280" t="n"/>
      <c r="Y318" s="280" t="n"/>
    </row>
    <row r="319" ht="15" customHeight="1" s="195">
      <c r="A319" s="334" t="n"/>
      <c r="B319" s="334" t="n"/>
      <c r="C319" s="334" t="n"/>
      <c r="D319" s="334" t="n"/>
      <c r="E319" s="334" t="n"/>
      <c r="F319" s="334" t="n"/>
      <c r="G319" s="334" t="n"/>
      <c r="H319" s="334" t="n"/>
      <c r="I319" s="332">
        <f>IFERROR(VLOOKUP(TEXT(H319,"0"),IPRESS!$A$3:$B$212,2,0),"")</f>
        <v/>
      </c>
      <c r="J319" s="334" t="n"/>
      <c r="K319" s="332">
        <f>IFERROR(VLOOKUP(TEXT(O319,"0"),CONDUCTORES!$A$3:$G$54,7,0),"")</f>
        <v/>
      </c>
      <c r="L319" s="334" t="n"/>
      <c r="M319" s="334" t="n"/>
      <c r="N319" s="333">
        <f>IFERROR(IF(L319*M319=0,"",L319*M319),"")</f>
        <v/>
      </c>
      <c r="O319" s="334" t="n"/>
      <c r="P319" s="332">
        <f>IFERROR(VLOOKUP(TEXT(O319,"0"),CONDUCTORES!$A$3:$G$54,2,0),"")</f>
        <v/>
      </c>
      <c r="Q319" s="332">
        <f>IFERROR(VLOOKUP(TEXT(O319,"0"),CONDUCTORES!$A$3:$H$54,6,0),"")</f>
        <v/>
      </c>
      <c r="R319" s="334" t="n"/>
      <c r="S319" s="334" t="n"/>
      <c r="T319" s="334" t="n"/>
      <c r="U319" s="334" t="n"/>
      <c r="V319" s="334" t="n"/>
      <c r="W319" s="334" t="n"/>
      <c r="X319" s="334" t="n"/>
      <c r="Y319" s="334" t="n"/>
    </row>
    <row r="320" ht="15" customHeight="1" s="195">
      <c r="A320" s="280" t="n"/>
      <c r="B320" s="280" t="n"/>
      <c r="C320" s="280" t="n"/>
      <c r="D320" s="280" t="n"/>
      <c r="E320" s="280" t="n"/>
      <c r="F320" s="280" t="n"/>
      <c r="G320" s="280" t="n"/>
      <c r="H320" s="280" t="n"/>
      <c r="I320" s="332">
        <f>IFERROR(VLOOKUP(TEXT(H320,"0"),IPRESS!$A$3:$B$212,2,0),"")</f>
        <v/>
      </c>
      <c r="J320" s="280" t="n"/>
      <c r="K320" s="332">
        <f>IFERROR(VLOOKUP(TEXT(O320,"0"),CONDUCTORES!$A$3:$G$54,7,0),"")</f>
        <v/>
      </c>
      <c r="L320" s="280" t="n"/>
      <c r="M320" s="280" t="n"/>
      <c r="N320" s="333">
        <f>IFERROR(IF(L320*M320=0,"",L320*M320),"")</f>
        <v/>
      </c>
      <c r="O320" s="280" t="n"/>
      <c r="P320" s="332">
        <f>IFERROR(VLOOKUP(TEXT(O320,"0"),CONDUCTORES!$A$3:$G$54,2,0),"")</f>
        <v/>
      </c>
      <c r="Q320" s="332">
        <f>IFERROR(VLOOKUP(TEXT(O320,"0"),CONDUCTORES!$A$3:$H$54,6,0),"")</f>
        <v/>
      </c>
      <c r="R320" s="280" t="n"/>
      <c r="S320" s="280" t="n"/>
      <c r="T320" s="280" t="n"/>
      <c r="U320" s="280" t="n"/>
      <c r="V320" s="280" t="n"/>
      <c r="W320" s="280" t="n"/>
      <c r="X320" s="280" t="n"/>
      <c r="Y320" s="280" t="n"/>
    </row>
    <row r="321" ht="15" customHeight="1" s="195">
      <c r="A321" s="334" t="n"/>
      <c r="B321" s="334" t="n"/>
      <c r="C321" s="334" t="n"/>
      <c r="D321" s="334" t="n"/>
      <c r="E321" s="334" t="n"/>
      <c r="F321" s="334" t="n"/>
      <c r="G321" s="334" t="n"/>
      <c r="H321" s="334" t="n"/>
      <c r="I321" s="332">
        <f>IFERROR(VLOOKUP(TEXT(H321,"0"),IPRESS!$A$3:$B$212,2,0),"")</f>
        <v/>
      </c>
      <c r="J321" s="334" t="n"/>
      <c r="K321" s="332">
        <f>IFERROR(VLOOKUP(TEXT(O321,"0"),CONDUCTORES!$A$3:$G$54,7,0),"")</f>
        <v/>
      </c>
      <c r="L321" s="334" t="n"/>
      <c r="M321" s="334" t="n"/>
      <c r="N321" s="333">
        <f>IFERROR(IF(L321*M321=0,"",L321*M321),"")</f>
        <v/>
      </c>
      <c r="O321" s="334" t="n"/>
      <c r="P321" s="332">
        <f>IFERROR(VLOOKUP(TEXT(O321,"0"),CONDUCTORES!$A$3:$G$54,2,0),"")</f>
        <v/>
      </c>
      <c r="Q321" s="332">
        <f>IFERROR(VLOOKUP(TEXT(O321,"0"),CONDUCTORES!$A$3:$H$54,6,0),"")</f>
        <v/>
      </c>
      <c r="R321" s="334" t="n"/>
      <c r="S321" s="334" t="n"/>
      <c r="T321" s="334" t="n"/>
      <c r="U321" s="334" t="n"/>
      <c r="V321" s="334" t="n"/>
      <c r="W321" s="334" t="n"/>
      <c r="X321" s="334" t="n"/>
      <c r="Y321" s="334" t="n"/>
    </row>
    <row r="322" ht="15" customHeight="1" s="195">
      <c r="A322" s="280" t="n"/>
      <c r="B322" s="280" t="n"/>
      <c r="C322" s="280" t="n"/>
      <c r="D322" s="280" t="n"/>
      <c r="E322" s="280" t="n"/>
      <c r="F322" s="280" t="n"/>
      <c r="G322" s="280" t="n"/>
      <c r="H322" s="280" t="n"/>
      <c r="I322" s="332">
        <f>IFERROR(VLOOKUP(TEXT(H322,"0"),IPRESS!$A$3:$B$212,2,0),"")</f>
        <v/>
      </c>
      <c r="J322" s="280" t="n"/>
      <c r="K322" s="332">
        <f>IFERROR(VLOOKUP(TEXT(O322,"0"),CONDUCTORES!$A$3:$G$54,7,0),"")</f>
        <v/>
      </c>
      <c r="L322" s="280" t="n"/>
      <c r="M322" s="280" t="n"/>
      <c r="N322" s="333">
        <f>IFERROR(IF(L322*M322=0,"",L322*M322),"")</f>
        <v/>
      </c>
      <c r="O322" s="280" t="n"/>
      <c r="P322" s="332">
        <f>IFERROR(VLOOKUP(TEXT(O322,"0"),CONDUCTORES!$A$3:$G$54,2,0),"")</f>
        <v/>
      </c>
      <c r="Q322" s="332">
        <f>IFERROR(VLOOKUP(TEXT(O322,"0"),CONDUCTORES!$A$3:$H$54,6,0),"")</f>
        <v/>
      </c>
      <c r="R322" s="280" t="n"/>
      <c r="S322" s="280" t="n"/>
      <c r="T322" s="280" t="n"/>
      <c r="U322" s="280" t="n"/>
      <c r="V322" s="280" t="n"/>
      <c r="W322" s="280" t="n"/>
      <c r="X322" s="280" t="n"/>
      <c r="Y322" s="280" t="n"/>
    </row>
    <row r="323" ht="15" customHeight="1" s="195">
      <c r="A323" s="334" t="n"/>
      <c r="B323" s="334" t="n"/>
      <c r="C323" s="334" t="n"/>
      <c r="D323" s="334" t="n"/>
      <c r="E323" s="334" t="n"/>
      <c r="F323" s="334" t="n"/>
      <c r="G323" s="334" t="n"/>
      <c r="H323" s="334" t="n"/>
      <c r="I323" s="332">
        <f>IFERROR(VLOOKUP(TEXT(H323,"0"),IPRESS!$A$3:$B$212,2,0),"")</f>
        <v/>
      </c>
      <c r="J323" s="334" t="n"/>
      <c r="K323" s="332">
        <f>IFERROR(VLOOKUP(TEXT(O323,"0"),CONDUCTORES!$A$3:$G$54,7,0),"")</f>
        <v/>
      </c>
      <c r="L323" s="334" t="n"/>
      <c r="M323" s="334" t="n"/>
      <c r="N323" s="333">
        <f>IFERROR(IF(L323*M323=0,"",L323*M323),"")</f>
        <v/>
      </c>
      <c r="O323" s="334" t="n"/>
      <c r="P323" s="332">
        <f>IFERROR(VLOOKUP(TEXT(O323,"0"),CONDUCTORES!$A$3:$G$54,2,0),"")</f>
        <v/>
      </c>
      <c r="Q323" s="332">
        <f>IFERROR(VLOOKUP(TEXT(O323,"0"),CONDUCTORES!$A$3:$H$54,6,0),"")</f>
        <v/>
      </c>
      <c r="R323" s="334" t="n"/>
      <c r="S323" s="334" t="n"/>
      <c r="T323" s="334" t="n"/>
      <c r="U323" s="334" t="n"/>
      <c r="V323" s="334" t="n"/>
      <c r="W323" s="334" t="n"/>
      <c r="X323" s="334" t="n"/>
      <c r="Y323" s="334" t="n"/>
    </row>
    <row r="324" ht="15" customHeight="1" s="195">
      <c r="A324" s="280" t="n"/>
      <c r="B324" s="280" t="n"/>
      <c r="C324" s="280" t="n"/>
      <c r="D324" s="280" t="n"/>
      <c r="E324" s="280" t="n"/>
      <c r="F324" s="280" t="n"/>
      <c r="G324" s="280" t="n"/>
      <c r="H324" s="280" t="n"/>
      <c r="I324" s="332">
        <f>IFERROR(VLOOKUP(TEXT(H324,"0"),IPRESS!$A$3:$B$212,2,0),"")</f>
        <v/>
      </c>
      <c r="J324" s="280" t="n"/>
      <c r="K324" s="332">
        <f>IFERROR(VLOOKUP(TEXT(O324,"0"),CONDUCTORES!$A$3:$G$54,7,0),"")</f>
        <v/>
      </c>
      <c r="L324" s="280" t="n"/>
      <c r="M324" s="280" t="n"/>
      <c r="N324" s="333">
        <f>IFERROR(IF(L324*M324=0,"",L324*M324),"")</f>
        <v/>
      </c>
      <c r="O324" s="280" t="n"/>
      <c r="P324" s="332">
        <f>IFERROR(VLOOKUP(TEXT(O324,"0"),CONDUCTORES!$A$3:$G$54,2,0),"")</f>
        <v/>
      </c>
      <c r="Q324" s="332">
        <f>IFERROR(VLOOKUP(TEXT(O324,"0"),CONDUCTORES!$A$3:$H$54,6,0),"")</f>
        <v/>
      </c>
      <c r="R324" s="280" t="n"/>
      <c r="S324" s="280" t="n"/>
      <c r="T324" s="280" t="n"/>
      <c r="U324" s="280" t="n"/>
      <c r="V324" s="280" t="n"/>
      <c r="W324" s="280" t="n"/>
      <c r="X324" s="280" t="n"/>
      <c r="Y324" s="280" t="n"/>
    </row>
    <row r="325" ht="15" customHeight="1" s="195">
      <c r="A325" s="334" t="n"/>
      <c r="B325" s="334" t="n"/>
      <c r="C325" s="334" t="n"/>
      <c r="D325" s="334" t="n"/>
      <c r="E325" s="334" t="n"/>
      <c r="F325" s="334" t="n"/>
      <c r="G325" s="334" t="n"/>
      <c r="H325" s="334" t="n"/>
      <c r="I325" s="332">
        <f>IFERROR(VLOOKUP(TEXT(H325,"0"),IPRESS!$A$3:$B$212,2,0),"")</f>
        <v/>
      </c>
      <c r="J325" s="334" t="n"/>
      <c r="K325" s="332">
        <f>IFERROR(VLOOKUP(TEXT(O325,"0"),CONDUCTORES!$A$3:$G$54,7,0),"")</f>
        <v/>
      </c>
      <c r="L325" s="334" t="n"/>
      <c r="M325" s="334" t="n"/>
      <c r="N325" s="333">
        <f>IFERROR(IF(L325*M325=0,"",L325*M325),"")</f>
        <v/>
      </c>
      <c r="O325" s="334" t="n"/>
      <c r="P325" s="332">
        <f>IFERROR(VLOOKUP(TEXT(O325,"0"),CONDUCTORES!$A$3:$G$54,2,0),"")</f>
        <v/>
      </c>
      <c r="Q325" s="332">
        <f>IFERROR(VLOOKUP(TEXT(O325,"0"),CONDUCTORES!$A$3:$H$54,6,0),"")</f>
        <v/>
      </c>
      <c r="R325" s="334" t="n"/>
      <c r="S325" s="334" t="n"/>
      <c r="T325" s="334" t="n"/>
      <c r="U325" s="334" t="n"/>
      <c r="V325" s="334" t="n"/>
      <c r="W325" s="334" t="n"/>
      <c r="X325" s="334" t="n"/>
      <c r="Y325" s="334" t="n"/>
    </row>
    <row r="326" ht="15" customHeight="1" s="195">
      <c r="A326" s="280" t="n"/>
      <c r="B326" s="280" t="n"/>
      <c r="C326" s="280" t="n"/>
      <c r="D326" s="280" t="n"/>
      <c r="E326" s="280" t="n"/>
      <c r="F326" s="280" t="n"/>
      <c r="G326" s="280" t="n"/>
      <c r="H326" s="280" t="n"/>
      <c r="I326" s="332">
        <f>IFERROR(VLOOKUP(TEXT(H326,"0"),IPRESS!$A$3:$B$212,2,0),"")</f>
        <v/>
      </c>
      <c r="J326" s="280" t="n"/>
      <c r="K326" s="332">
        <f>IFERROR(VLOOKUP(TEXT(O326,"0"),CONDUCTORES!$A$3:$G$54,7,0),"")</f>
        <v/>
      </c>
      <c r="L326" s="280" t="n"/>
      <c r="M326" s="280" t="n"/>
      <c r="N326" s="333">
        <f>IFERROR(IF(L326*M326=0,"",L326*M326),"")</f>
        <v/>
      </c>
      <c r="O326" s="280" t="n"/>
      <c r="P326" s="332">
        <f>IFERROR(VLOOKUP(TEXT(O326,"0"),CONDUCTORES!$A$3:$G$54,2,0),"")</f>
        <v/>
      </c>
      <c r="Q326" s="332">
        <f>IFERROR(VLOOKUP(TEXT(O326,"0"),CONDUCTORES!$A$3:$H$54,6,0),"")</f>
        <v/>
      </c>
      <c r="R326" s="280" t="n"/>
      <c r="S326" s="280" t="n"/>
      <c r="T326" s="280" t="n"/>
      <c r="U326" s="280" t="n"/>
      <c r="V326" s="280" t="n"/>
      <c r="W326" s="280" t="n"/>
      <c r="X326" s="280" t="n"/>
      <c r="Y326" s="280" t="n"/>
    </row>
    <row r="327" ht="15" customHeight="1" s="195">
      <c r="A327" s="334" t="n"/>
      <c r="B327" s="334" t="n"/>
      <c r="C327" s="334" t="n"/>
      <c r="D327" s="334" t="n"/>
      <c r="E327" s="334" t="n"/>
      <c r="F327" s="334" t="n"/>
      <c r="G327" s="334" t="n"/>
      <c r="H327" s="334" t="n"/>
      <c r="I327" s="332">
        <f>IFERROR(VLOOKUP(TEXT(H327,"0"),IPRESS!$A$3:$B$212,2,0),"")</f>
        <v/>
      </c>
      <c r="J327" s="334" t="n"/>
      <c r="K327" s="332">
        <f>IFERROR(VLOOKUP(TEXT(O327,"0"),CONDUCTORES!$A$3:$G$54,7,0),"")</f>
        <v/>
      </c>
      <c r="L327" s="334" t="n"/>
      <c r="M327" s="334" t="n"/>
      <c r="N327" s="333">
        <f>IFERROR(IF(L327*M327=0,"",L327*M327),"")</f>
        <v/>
      </c>
      <c r="O327" s="334" t="n"/>
      <c r="P327" s="332">
        <f>IFERROR(VLOOKUP(TEXT(O327,"0"),CONDUCTORES!$A$3:$G$54,2,0),"")</f>
        <v/>
      </c>
      <c r="Q327" s="332">
        <f>IFERROR(VLOOKUP(TEXT(O327,"0"),CONDUCTORES!$A$3:$H$54,6,0),"")</f>
        <v/>
      </c>
      <c r="R327" s="334" t="n"/>
      <c r="S327" s="334" t="n"/>
      <c r="T327" s="334" t="n"/>
      <c r="U327" s="334" t="n"/>
      <c r="V327" s="334" t="n"/>
      <c r="W327" s="334" t="n"/>
      <c r="X327" s="334" t="n"/>
      <c r="Y327" s="334" t="n"/>
    </row>
    <row r="328" ht="15" customHeight="1" s="195">
      <c r="A328" s="280" t="n"/>
      <c r="B328" s="280" t="n"/>
      <c r="C328" s="280" t="n"/>
      <c r="D328" s="280" t="n"/>
      <c r="E328" s="280" t="n"/>
      <c r="F328" s="280" t="n"/>
      <c r="G328" s="280" t="n"/>
      <c r="H328" s="280" t="n"/>
      <c r="I328" s="332">
        <f>IFERROR(VLOOKUP(TEXT(H328,"0"),IPRESS!$A$3:$B$212,2,0),"")</f>
        <v/>
      </c>
      <c r="J328" s="280" t="n"/>
      <c r="K328" s="332">
        <f>IFERROR(VLOOKUP(TEXT(O328,"0"),CONDUCTORES!$A$3:$G$54,7,0),"")</f>
        <v/>
      </c>
      <c r="L328" s="280" t="n"/>
      <c r="M328" s="280" t="n"/>
      <c r="N328" s="333">
        <f>IFERROR(IF(L328*M328=0,"",L328*M328),"")</f>
        <v/>
      </c>
      <c r="O328" s="280" t="n"/>
      <c r="P328" s="332">
        <f>IFERROR(VLOOKUP(TEXT(O328,"0"),CONDUCTORES!$A$3:$G$54,2,0),"")</f>
        <v/>
      </c>
      <c r="Q328" s="332">
        <f>IFERROR(VLOOKUP(TEXT(O328,"0"),CONDUCTORES!$A$3:$H$54,6,0),"")</f>
        <v/>
      </c>
      <c r="R328" s="280" t="n"/>
      <c r="S328" s="280" t="n"/>
      <c r="T328" s="280" t="n"/>
      <c r="U328" s="280" t="n"/>
      <c r="V328" s="280" t="n"/>
      <c r="W328" s="280" t="n"/>
      <c r="X328" s="280" t="n"/>
      <c r="Y328" s="280" t="n"/>
    </row>
    <row r="329" ht="15" customHeight="1" s="195">
      <c r="A329" s="334" t="n"/>
      <c r="B329" s="334" t="n"/>
      <c r="C329" s="334" t="n"/>
      <c r="D329" s="334" t="n"/>
      <c r="E329" s="334" t="n"/>
      <c r="F329" s="334" t="n"/>
      <c r="G329" s="334" t="n"/>
      <c r="H329" s="334" t="n"/>
      <c r="I329" s="332">
        <f>IFERROR(VLOOKUP(TEXT(H329,"0"),IPRESS!$A$3:$B$212,2,0),"")</f>
        <v/>
      </c>
      <c r="J329" s="334" t="n"/>
      <c r="K329" s="332">
        <f>IFERROR(VLOOKUP(TEXT(O329,"0"),CONDUCTORES!$A$3:$G$54,7,0),"")</f>
        <v/>
      </c>
      <c r="L329" s="334" t="n"/>
      <c r="M329" s="334" t="n"/>
      <c r="N329" s="333">
        <f>IFERROR(IF(L329*M329=0,"",L329*M329),"")</f>
        <v/>
      </c>
      <c r="O329" s="334" t="n"/>
      <c r="P329" s="332">
        <f>IFERROR(VLOOKUP(TEXT(O329,"0"),CONDUCTORES!$A$3:$G$54,2,0),"")</f>
        <v/>
      </c>
      <c r="Q329" s="332">
        <f>IFERROR(VLOOKUP(TEXT(O329,"0"),CONDUCTORES!$A$3:$H$54,6,0),"")</f>
        <v/>
      </c>
      <c r="R329" s="334" t="n"/>
      <c r="S329" s="334" t="n"/>
      <c r="T329" s="334" t="n"/>
      <c r="U329" s="334" t="n"/>
      <c r="V329" s="334" t="n"/>
      <c r="W329" s="334" t="n"/>
      <c r="X329" s="334" t="n"/>
      <c r="Y329" s="334" t="n"/>
    </row>
    <row r="330" ht="15" customHeight="1" s="195">
      <c r="A330" s="280" t="n"/>
      <c r="B330" s="280" t="n"/>
      <c r="C330" s="280" t="n"/>
      <c r="D330" s="280" t="n"/>
      <c r="E330" s="280" t="n"/>
      <c r="F330" s="280" t="n"/>
      <c r="G330" s="280" t="n"/>
      <c r="H330" s="280" t="n"/>
      <c r="I330" s="332">
        <f>IFERROR(VLOOKUP(TEXT(H330,"0"),IPRESS!$A$3:$B$212,2,0),"")</f>
        <v/>
      </c>
      <c r="J330" s="280" t="n"/>
      <c r="K330" s="332">
        <f>IFERROR(VLOOKUP(TEXT(O330,"0"),CONDUCTORES!$A$3:$G$54,7,0),"")</f>
        <v/>
      </c>
      <c r="L330" s="280" t="n"/>
      <c r="M330" s="280" t="n"/>
      <c r="N330" s="333">
        <f>IFERROR(IF(L330*M330=0,"",L330*M330),"")</f>
        <v/>
      </c>
      <c r="O330" s="280" t="n"/>
      <c r="P330" s="332">
        <f>IFERROR(VLOOKUP(TEXT(O330,"0"),CONDUCTORES!$A$3:$G$54,2,0),"")</f>
        <v/>
      </c>
      <c r="Q330" s="332">
        <f>IFERROR(VLOOKUP(TEXT(O330,"0"),CONDUCTORES!$A$3:$H$54,6,0),"")</f>
        <v/>
      </c>
      <c r="R330" s="280" t="n"/>
      <c r="S330" s="280" t="n"/>
      <c r="T330" s="280" t="n"/>
      <c r="U330" s="280" t="n"/>
      <c r="V330" s="280" t="n"/>
      <c r="W330" s="280" t="n"/>
      <c r="X330" s="280" t="n"/>
      <c r="Y330" s="280" t="n"/>
    </row>
    <row r="331" ht="15" customHeight="1" s="195">
      <c r="A331" s="334" t="n"/>
      <c r="B331" s="334" t="n"/>
      <c r="C331" s="334" t="n"/>
      <c r="D331" s="334" t="n"/>
      <c r="E331" s="334" t="n"/>
      <c r="F331" s="334" t="n"/>
      <c r="G331" s="334" t="n"/>
      <c r="H331" s="334" t="n"/>
      <c r="I331" s="332">
        <f>IFERROR(VLOOKUP(TEXT(H331,"0"),IPRESS!$A$3:$B$212,2,0),"")</f>
        <v/>
      </c>
      <c r="J331" s="334" t="n"/>
      <c r="K331" s="332">
        <f>IFERROR(VLOOKUP(TEXT(O331,"0"),CONDUCTORES!$A$3:$G$54,7,0),"")</f>
        <v/>
      </c>
      <c r="L331" s="334" t="n"/>
      <c r="M331" s="334" t="n"/>
      <c r="N331" s="333">
        <f>IFERROR(IF(L331*M331=0,"",L331*M331),"")</f>
        <v/>
      </c>
      <c r="O331" s="334" t="n"/>
      <c r="P331" s="332">
        <f>IFERROR(VLOOKUP(TEXT(O331,"0"),CONDUCTORES!$A$3:$G$54,2,0),"")</f>
        <v/>
      </c>
      <c r="Q331" s="332">
        <f>IFERROR(VLOOKUP(TEXT(O331,"0"),CONDUCTORES!$A$3:$H$54,6,0),"")</f>
        <v/>
      </c>
      <c r="R331" s="334" t="n"/>
      <c r="S331" s="334" t="n"/>
      <c r="T331" s="334" t="n"/>
      <c r="U331" s="334" t="n"/>
      <c r="V331" s="334" t="n"/>
      <c r="W331" s="334" t="n"/>
      <c r="X331" s="334" t="n"/>
      <c r="Y331" s="334" t="n"/>
    </row>
    <row r="332" ht="15" customHeight="1" s="195">
      <c r="A332" s="280" t="n"/>
      <c r="B332" s="280" t="n"/>
      <c r="C332" s="280" t="n"/>
      <c r="D332" s="280" t="n"/>
      <c r="E332" s="280" t="n"/>
      <c r="F332" s="280" t="n"/>
      <c r="G332" s="280" t="n"/>
      <c r="H332" s="280" t="n"/>
      <c r="I332" s="332">
        <f>IFERROR(VLOOKUP(TEXT(H332,"0"),IPRESS!$A$3:$B$212,2,0),"")</f>
        <v/>
      </c>
      <c r="J332" s="280" t="n"/>
      <c r="K332" s="332">
        <f>IFERROR(VLOOKUP(TEXT(O332,"0"),CONDUCTORES!$A$3:$G$54,7,0),"")</f>
        <v/>
      </c>
      <c r="L332" s="280" t="n"/>
      <c r="M332" s="280" t="n"/>
      <c r="N332" s="333">
        <f>IFERROR(IF(L332*M332=0,"",L332*M332),"")</f>
        <v/>
      </c>
      <c r="O332" s="280" t="n"/>
      <c r="P332" s="332">
        <f>IFERROR(VLOOKUP(TEXT(O332,"0"),CONDUCTORES!$A$3:$G$54,2,0),"")</f>
        <v/>
      </c>
      <c r="Q332" s="332">
        <f>IFERROR(VLOOKUP(TEXT(O332,"0"),CONDUCTORES!$A$3:$H$54,6,0),"")</f>
        <v/>
      </c>
      <c r="R332" s="280" t="n"/>
      <c r="S332" s="280" t="n"/>
      <c r="T332" s="280" t="n"/>
      <c r="U332" s="280" t="n"/>
      <c r="V332" s="280" t="n"/>
      <c r="W332" s="280" t="n"/>
      <c r="X332" s="280" t="n"/>
      <c r="Y332" s="280" t="n"/>
    </row>
    <row r="333" ht="15" customHeight="1" s="195">
      <c r="A333" s="334" t="n"/>
      <c r="B333" s="334" t="n"/>
      <c r="C333" s="334" t="n"/>
      <c r="D333" s="334" t="n"/>
      <c r="E333" s="334" t="n"/>
      <c r="F333" s="334" t="n"/>
      <c r="G333" s="334" t="n"/>
      <c r="H333" s="334" t="n"/>
      <c r="I333" s="332">
        <f>IFERROR(VLOOKUP(TEXT(H333,"0"),IPRESS!$A$3:$B$212,2,0),"")</f>
        <v/>
      </c>
      <c r="J333" s="334" t="n"/>
      <c r="K333" s="332">
        <f>IFERROR(VLOOKUP(TEXT(O333,"0"),CONDUCTORES!$A$3:$G$54,7,0),"")</f>
        <v/>
      </c>
      <c r="L333" s="334" t="n"/>
      <c r="M333" s="334" t="n"/>
      <c r="N333" s="333">
        <f>IFERROR(IF(L333*M333=0,"",L333*M333),"")</f>
        <v/>
      </c>
      <c r="O333" s="334" t="n"/>
      <c r="P333" s="332">
        <f>IFERROR(VLOOKUP(TEXT(O333,"0"),CONDUCTORES!$A$3:$G$54,2,0),"")</f>
        <v/>
      </c>
      <c r="Q333" s="332">
        <f>IFERROR(VLOOKUP(TEXT(O333,"0"),CONDUCTORES!$A$3:$H$54,6,0),"")</f>
        <v/>
      </c>
      <c r="R333" s="334" t="n"/>
      <c r="S333" s="334" t="n"/>
      <c r="T333" s="334" t="n"/>
      <c r="U333" s="334" t="n"/>
      <c r="V333" s="334" t="n"/>
      <c r="W333" s="334" t="n"/>
      <c r="X333" s="334" t="n"/>
      <c r="Y333" s="334" t="n"/>
    </row>
    <row r="334" ht="15" customHeight="1" s="195">
      <c r="A334" s="280" t="n"/>
      <c r="B334" s="280" t="n"/>
      <c r="C334" s="280" t="n"/>
      <c r="D334" s="280" t="n"/>
      <c r="E334" s="280" t="n"/>
      <c r="F334" s="280" t="n"/>
      <c r="G334" s="280" t="n"/>
      <c r="H334" s="280" t="n"/>
      <c r="I334" s="332">
        <f>IFERROR(VLOOKUP(TEXT(H334,"0"),IPRESS!$A$3:$B$212,2,0),"")</f>
        <v/>
      </c>
      <c r="J334" s="280" t="n"/>
      <c r="K334" s="332">
        <f>IFERROR(VLOOKUP(TEXT(O334,"0"),CONDUCTORES!$A$3:$G$54,7,0),"")</f>
        <v/>
      </c>
      <c r="L334" s="280" t="n"/>
      <c r="M334" s="280" t="n"/>
      <c r="N334" s="333">
        <f>IFERROR(IF(L334*M334=0,"",L334*M334),"")</f>
        <v/>
      </c>
      <c r="O334" s="280" t="n"/>
      <c r="P334" s="332">
        <f>IFERROR(VLOOKUP(TEXT(O334,"0"),CONDUCTORES!$A$3:$G$54,2,0),"")</f>
        <v/>
      </c>
      <c r="Q334" s="332">
        <f>IFERROR(VLOOKUP(TEXT(O334,"0"),CONDUCTORES!$A$3:$H$54,6,0),"")</f>
        <v/>
      </c>
      <c r="R334" s="280" t="n"/>
      <c r="S334" s="280" t="n"/>
      <c r="T334" s="280" t="n"/>
      <c r="U334" s="280" t="n"/>
      <c r="V334" s="280" t="n"/>
      <c r="W334" s="280" t="n"/>
      <c r="X334" s="280" t="n"/>
      <c r="Y334" s="280" t="n"/>
    </row>
    <row r="335" ht="15" customHeight="1" s="195">
      <c r="A335" s="334" t="n"/>
      <c r="B335" s="334" t="n"/>
      <c r="C335" s="334" t="n"/>
      <c r="D335" s="334" t="n"/>
      <c r="E335" s="334" t="n"/>
      <c r="F335" s="334" t="n"/>
      <c r="G335" s="334" t="n"/>
      <c r="H335" s="334" t="n"/>
      <c r="I335" s="332">
        <f>IFERROR(VLOOKUP(TEXT(H335,"0"),IPRESS!$A$3:$B$212,2,0),"")</f>
        <v/>
      </c>
      <c r="J335" s="334" t="n"/>
      <c r="K335" s="332">
        <f>IFERROR(VLOOKUP(TEXT(O335,"0"),CONDUCTORES!$A$3:$G$54,7,0),"")</f>
        <v/>
      </c>
      <c r="L335" s="334" t="n"/>
      <c r="M335" s="334" t="n"/>
      <c r="N335" s="333">
        <f>IFERROR(IF(L335*M335=0,"",L335*M335),"")</f>
        <v/>
      </c>
      <c r="O335" s="334" t="n"/>
      <c r="P335" s="332">
        <f>IFERROR(VLOOKUP(TEXT(O335,"0"),CONDUCTORES!$A$3:$G$54,2,0),"")</f>
        <v/>
      </c>
      <c r="Q335" s="332">
        <f>IFERROR(VLOOKUP(TEXT(O335,"0"),CONDUCTORES!$A$3:$H$54,6,0),"")</f>
        <v/>
      </c>
      <c r="R335" s="334" t="n"/>
      <c r="S335" s="334" t="n"/>
      <c r="T335" s="334" t="n"/>
      <c r="U335" s="334" t="n"/>
      <c r="V335" s="334" t="n"/>
      <c r="W335" s="334" t="n"/>
      <c r="X335" s="334" t="n"/>
      <c r="Y335" s="334" t="n"/>
    </row>
    <row r="336" ht="15" customHeight="1" s="195">
      <c r="A336" s="280" t="n"/>
      <c r="B336" s="280" t="n"/>
      <c r="C336" s="280" t="n"/>
      <c r="D336" s="280" t="n"/>
      <c r="E336" s="280" t="n"/>
      <c r="F336" s="280" t="n"/>
      <c r="G336" s="280" t="n"/>
      <c r="H336" s="280" t="n"/>
      <c r="I336" s="332">
        <f>IFERROR(VLOOKUP(TEXT(H336,"0"),IPRESS!$A$3:$B$212,2,0),"")</f>
        <v/>
      </c>
      <c r="J336" s="280" t="n"/>
      <c r="K336" s="332">
        <f>IFERROR(VLOOKUP(TEXT(O336,"0"),CONDUCTORES!$A$3:$G$54,7,0),"")</f>
        <v/>
      </c>
      <c r="L336" s="280" t="n"/>
      <c r="M336" s="280" t="n"/>
      <c r="N336" s="333">
        <f>IFERROR(IF(L336*M336=0,"",L336*M336),"")</f>
        <v/>
      </c>
      <c r="O336" s="280" t="n"/>
      <c r="P336" s="332">
        <f>IFERROR(VLOOKUP(TEXT(O336,"0"),CONDUCTORES!$A$3:$G$54,2,0),"")</f>
        <v/>
      </c>
      <c r="Q336" s="332">
        <f>IFERROR(VLOOKUP(TEXT(O336,"0"),CONDUCTORES!$A$3:$H$54,6,0),"")</f>
        <v/>
      </c>
      <c r="R336" s="280" t="n"/>
      <c r="S336" s="280" t="n"/>
      <c r="T336" s="280" t="n"/>
      <c r="U336" s="280" t="n"/>
      <c r="V336" s="280" t="n"/>
      <c r="W336" s="280" t="n"/>
      <c r="X336" s="280" t="n"/>
      <c r="Y336" s="280" t="n"/>
    </row>
    <row r="337" ht="15" customHeight="1" s="195">
      <c r="A337" s="334" t="n"/>
      <c r="B337" s="334" t="n"/>
      <c r="C337" s="334" t="n"/>
      <c r="D337" s="334" t="n"/>
      <c r="E337" s="334" t="n"/>
      <c r="F337" s="334" t="n"/>
      <c r="G337" s="334" t="n"/>
      <c r="H337" s="334" t="n"/>
      <c r="I337" s="332">
        <f>IFERROR(VLOOKUP(TEXT(H337,"0"),IPRESS!$A$3:$B$212,2,0),"")</f>
        <v/>
      </c>
      <c r="J337" s="334" t="n"/>
      <c r="K337" s="332">
        <f>IFERROR(VLOOKUP(TEXT(O337,"0"),CONDUCTORES!$A$3:$G$54,7,0),"")</f>
        <v/>
      </c>
      <c r="L337" s="334" t="n"/>
      <c r="M337" s="334" t="n"/>
      <c r="N337" s="333">
        <f>IFERROR(IF(L337*M337=0,"",L337*M337),"")</f>
        <v/>
      </c>
      <c r="O337" s="334" t="n"/>
      <c r="P337" s="332">
        <f>IFERROR(VLOOKUP(TEXT(O337,"0"),CONDUCTORES!$A$3:$G$54,2,0),"")</f>
        <v/>
      </c>
      <c r="Q337" s="332">
        <f>IFERROR(VLOOKUP(TEXT(O337,"0"),CONDUCTORES!$A$3:$H$54,6,0),"")</f>
        <v/>
      </c>
      <c r="R337" s="334" t="n"/>
      <c r="S337" s="334" t="n"/>
      <c r="T337" s="334" t="n"/>
      <c r="U337" s="334" t="n"/>
      <c r="V337" s="334" t="n"/>
      <c r="W337" s="334" t="n"/>
      <c r="X337" s="334" t="n"/>
      <c r="Y337" s="334" t="n"/>
    </row>
    <row r="338" ht="15" customHeight="1" s="195">
      <c r="A338" s="280" t="n"/>
      <c r="B338" s="280" t="n"/>
      <c r="C338" s="280" t="n"/>
      <c r="D338" s="280" t="n"/>
      <c r="E338" s="280" t="n"/>
      <c r="F338" s="280" t="n"/>
      <c r="G338" s="280" t="n"/>
      <c r="H338" s="280" t="n"/>
      <c r="I338" s="332">
        <f>IFERROR(VLOOKUP(TEXT(H338,"0"),IPRESS!$A$3:$B$212,2,0),"")</f>
        <v/>
      </c>
      <c r="J338" s="280" t="n"/>
      <c r="K338" s="332">
        <f>IFERROR(VLOOKUP(TEXT(O338,"0"),CONDUCTORES!$A$3:$G$54,7,0),"")</f>
        <v/>
      </c>
      <c r="L338" s="280" t="n"/>
      <c r="M338" s="280" t="n"/>
      <c r="N338" s="333">
        <f>IFERROR(IF(L338*M338=0,"",L338*M338),"")</f>
        <v/>
      </c>
      <c r="O338" s="280" t="n"/>
      <c r="P338" s="332">
        <f>IFERROR(VLOOKUP(TEXT(O338,"0"),CONDUCTORES!$A$3:$G$54,2,0),"")</f>
        <v/>
      </c>
      <c r="Q338" s="332">
        <f>IFERROR(VLOOKUP(TEXT(O338,"0"),CONDUCTORES!$A$3:$H$54,6,0),"")</f>
        <v/>
      </c>
      <c r="R338" s="280" t="n"/>
      <c r="S338" s="280" t="n"/>
      <c r="T338" s="280" t="n"/>
      <c r="U338" s="280" t="n"/>
      <c r="V338" s="280" t="n"/>
      <c r="W338" s="280" t="n"/>
      <c r="X338" s="280" t="n"/>
      <c r="Y338" s="280" t="n"/>
    </row>
    <row r="339" ht="15" customHeight="1" s="195">
      <c r="A339" s="334" t="n"/>
      <c r="B339" s="334" t="n"/>
      <c r="C339" s="334" t="n"/>
      <c r="D339" s="334" t="n"/>
      <c r="E339" s="334" t="n"/>
      <c r="F339" s="334" t="n"/>
      <c r="G339" s="334" t="n"/>
      <c r="H339" s="334" t="n"/>
      <c r="I339" s="332">
        <f>IFERROR(VLOOKUP(TEXT(H339,"0"),IPRESS!$A$3:$B$212,2,0),"")</f>
        <v/>
      </c>
      <c r="J339" s="334" t="n"/>
      <c r="K339" s="332">
        <f>IFERROR(VLOOKUP(TEXT(O339,"0"),CONDUCTORES!$A$3:$G$54,7,0),"")</f>
        <v/>
      </c>
      <c r="L339" s="334" t="n"/>
      <c r="M339" s="334" t="n"/>
      <c r="N339" s="333">
        <f>IFERROR(IF(L339*M339=0,"",L339*M339),"")</f>
        <v/>
      </c>
      <c r="O339" s="334" t="n"/>
      <c r="P339" s="332">
        <f>IFERROR(VLOOKUP(TEXT(O339,"0"),CONDUCTORES!$A$3:$G$54,2,0),"")</f>
        <v/>
      </c>
      <c r="Q339" s="332">
        <f>IFERROR(VLOOKUP(TEXT(O339,"0"),CONDUCTORES!$A$3:$H$54,6,0),"")</f>
        <v/>
      </c>
      <c r="R339" s="334" t="n"/>
      <c r="S339" s="334" t="n"/>
      <c r="T339" s="334" t="n"/>
      <c r="U339" s="334" t="n"/>
      <c r="V339" s="334" t="n"/>
      <c r="W339" s="334" t="n"/>
      <c r="X339" s="334" t="n"/>
      <c r="Y339" s="334" t="n"/>
    </row>
    <row r="340" ht="15" customHeight="1" s="195">
      <c r="A340" s="280" t="n"/>
      <c r="B340" s="280" t="n"/>
      <c r="C340" s="280" t="n"/>
      <c r="D340" s="280" t="n"/>
      <c r="E340" s="280" t="n"/>
      <c r="F340" s="280" t="n"/>
      <c r="G340" s="280" t="n"/>
      <c r="H340" s="280" t="n"/>
      <c r="I340" s="332">
        <f>IFERROR(VLOOKUP(TEXT(H340,"0"),IPRESS!$A$3:$B$212,2,0),"")</f>
        <v/>
      </c>
      <c r="J340" s="280" t="n"/>
      <c r="K340" s="332">
        <f>IFERROR(VLOOKUP(TEXT(O340,"0"),CONDUCTORES!$A$3:$G$54,7,0),"")</f>
        <v/>
      </c>
      <c r="L340" s="280" t="n"/>
      <c r="M340" s="280" t="n"/>
      <c r="N340" s="333">
        <f>IFERROR(IF(L340*M340=0,"",L340*M340),"")</f>
        <v/>
      </c>
      <c r="O340" s="280" t="n"/>
      <c r="P340" s="332">
        <f>IFERROR(VLOOKUP(TEXT(O340,"0"),CONDUCTORES!$A$3:$G$54,2,0),"")</f>
        <v/>
      </c>
      <c r="Q340" s="332">
        <f>IFERROR(VLOOKUP(TEXT(O340,"0"),CONDUCTORES!$A$3:$H$54,6,0),"")</f>
        <v/>
      </c>
      <c r="R340" s="280" t="n"/>
      <c r="S340" s="280" t="n"/>
      <c r="T340" s="280" t="n"/>
      <c r="U340" s="280" t="n"/>
      <c r="V340" s="280" t="n"/>
      <c r="W340" s="280" t="n"/>
      <c r="X340" s="280" t="n"/>
      <c r="Y340" s="280" t="n"/>
    </row>
    <row r="341" ht="15" customHeight="1" s="195">
      <c r="A341" s="334" t="n"/>
      <c r="B341" s="334" t="n"/>
      <c r="C341" s="334" t="n"/>
      <c r="D341" s="334" t="n"/>
      <c r="E341" s="334" t="n"/>
      <c r="F341" s="334" t="n"/>
      <c r="G341" s="334" t="n"/>
      <c r="H341" s="334" t="n"/>
      <c r="I341" s="332">
        <f>IFERROR(VLOOKUP(TEXT(H341,"0"),IPRESS!$A$3:$B$212,2,0),"")</f>
        <v/>
      </c>
      <c r="J341" s="334" t="n"/>
      <c r="K341" s="332">
        <f>IFERROR(VLOOKUP(TEXT(O341,"0"),CONDUCTORES!$A$3:$G$54,7,0),"")</f>
        <v/>
      </c>
      <c r="L341" s="334" t="n"/>
      <c r="M341" s="334" t="n"/>
      <c r="N341" s="333">
        <f>IFERROR(IF(L341*M341=0,"",L341*M341),"")</f>
        <v/>
      </c>
      <c r="O341" s="334" t="n"/>
      <c r="P341" s="332">
        <f>IFERROR(VLOOKUP(TEXT(O341,"0"),CONDUCTORES!$A$3:$G$54,2,0),"")</f>
        <v/>
      </c>
      <c r="Q341" s="332">
        <f>IFERROR(VLOOKUP(TEXT(O341,"0"),CONDUCTORES!$A$3:$H$54,6,0),"")</f>
        <v/>
      </c>
      <c r="R341" s="334" t="n"/>
      <c r="S341" s="334" t="n"/>
      <c r="T341" s="334" t="n"/>
      <c r="U341" s="334" t="n"/>
      <c r="V341" s="334" t="n"/>
      <c r="W341" s="334" t="n"/>
      <c r="X341" s="334" t="n"/>
      <c r="Y341" s="334" t="n"/>
    </row>
    <row r="342" ht="15" customHeight="1" s="195">
      <c r="A342" s="280" t="n"/>
      <c r="B342" s="280" t="n"/>
      <c r="C342" s="280" t="n"/>
      <c r="D342" s="280" t="n"/>
      <c r="E342" s="280" t="n"/>
      <c r="F342" s="280" t="n"/>
      <c r="G342" s="280" t="n"/>
      <c r="H342" s="280" t="n"/>
      <c r="I342" s="332">
        <f>IFERROR(VLOOKUP(TEXT(H342,"0"),IPRESS!$A$3:$B$212,2,0),"")</f>
        <v/>
      </c>
      <c r="J342" s="280" t="n"/>
      <c r="K342" s="332">
        <f>IFERROR(VLOOKUP(TEXT(O342,"0"),CONDUCTORES!$A$3:$G$54,7,0),"")</f>
        <v/>
      </c>
      <c r="L342" s="280" t="n"/>
      <c r="M342" s="280" t="n"/>
      <c r="N342" s="333">
        <f>IFERROR(IF(L342*M342=0,"",L342*M342),"")</f>
        <v/>
      </c>
      <c r="O342" s="280" t="n"/>
      <c r="P342" s="332">
        <f>IFERROR(VLOOKUP(TEXT(O342,"0"),CONDUCTORES!$A$3:$G$54,2,0),"")</f>
        <v/>
      </c>
      <c r="Q342" s="332">
        <f>IFERROR(VLOOKUP(TEXT(O342,"0"),CONDUCTORES!$A$3:$H$54,6,0),"")</f>
        <v/>
      </c>
      <c r="R342" s="280" t="n"/>
      <c r="S342" s="280" t="n"/>
      <c r="T342" s="280" t="n"/>
      <c r="U342" s="280" t="n"/>
      <c r="V342" s="280" t="n"/>
      <c r="W342" s="280" t="n"/>
      <c r="X342" s="280" t="n"/>
      <c r="Y342" s="280" t="n"/>
    </row>
    <row r="343" ht="15" customHeight="1" s="195">
      <c r="A343" s="334" t="n"/>
      <c r="B343" s="334" t="n"/>
      <c r="C343" s="334" t="n"/>
      <c r="D343" s="334" t="n"/>
      <c r="E343" s="334" t="n"/>
      <c r="F343" s="334" t="n"/>
      <c r="G343" s="334" t="n"/>
      <c r="H343" s="334" t="n"/>
      <c r="I343" s="332">
        <f>IFERROR(VLOOKUP(TEXT(H343,"0"),IPRESS!$A$3:$B$212,2,0),"")</f>
        <v/>
      </c>
      <c r="J343" s="334" t="n"/>
      <c r="K343" s="332">
        <f>IFERROR(VLOOKUP(TEXT(O343,"0"),CONDUCTORES!$A$3:$G$54,7,0),"")</f>
        <v/>
      </c>
      <c r="L343" s="334" t="n"/>
      <c r="M343" s="334" t="n"/>
      <c r="N343" s="333">
        <f>IFERROR(IF(L343*M343=0,"",L343*M343),"")</f>
        <v/>
      </c>
      <c r="O343" s="334" t="n"/>
      <c r="P343" s="332">
        <f>IFERROR(VLOOKUP(TEXT(O343,"0"),CONDUCTORES!$A$3:$G$54,2,0),"")</f>
        <v/>
      </c>
      <c r="Q343" s="332">
        <f>IFERROR(VLOOKUP(TEXT(O343,"0"),CONDUCTORES!$A$3:$H$54,6,0),"")</f>
        <v/>
      </c>
      <c r="R343" s="334" t="n"/>
      <c r="S343" s="334" t="n"/>
      <c r="T343" s="334" t="n"/>
      <c r="U343" s="334" t="n"/>
      <c r="V343" s="334" t="n"/>
      <c r="W343" s="334" t="n"/>
      <c r="X343" s="334" t="n"/>
      <c r="Y343" s="334" t="n"/>
    </row>
    <row r="344" ht="15" customHeight="1" s="195">
      <c r="A344" s="280" t="n"/>
      <c r="B344" s="280" t="n"/>
      <c r="C344" s="280" t="n"/>
      <c r="D344" s="280" t="n"/>
      <c r="E344" s="280" t="n"/>
      <c r="F344" s="280" t="n"/>
      <c r="G344" s="280" t="n"/>
      <c r="H344" s="280" t="n"/>
      <c r="I344" s="332">
        <f>IFERROR(VLOOKUP(TEXT(H344,"0"),IPRESS!$A$3:$B$212,2,0),"")</f>
        <v/>
      </c>
      <c r="J344" s="280" t="n"/>
      <c r="K344" s="332">
        <f>IFERROR(VLOOKUP(TEXT(O344,"0"),CONDUCTORES!$A$3:$G$54,7,0),"")</f>
        <v/>
      </c>
      <c r="L344" s="280" t="n"/>
      <c r="M344" s="280" t="n"/>
      <c r="N344" s="333">
        <f>IFERROR(IF(L344*M344=0,"",L344*M344),"")</f>
        <v/>
      </c>
      <c r="O344" s="280" t="n"/>
      <c r="P344" s="332">
        <f>IFERROR(VLOOKUP(TEXT(O344,"0"),CONDUCTORES!$A$3:$G$54,2,0),"")</f>
        <v/>
      </c>
      <c r="Q344" s="332">
        <f>IFERROR(VLOOKUP(TEXT(O344,"0"),CONDUCTORES!$A$3:$H$54,6,0),"")</f>
        <v/>
      </c>
      <c r="R344" s="280" t="n"/>
      <c r="S344" s="280" t="n"/>
      <c r="T344" s="280" t="n"/>
      <c r="U344" s="280" t="n"/>
      <c r="V344" s="280" t="n"/>
      <c r="W344" s="280" t="n"/>
      <c r="X344" s="280" t="n"/>
      <c r="Y344" s="280" t="n"/>
    </row>
    <row r="345" ht="15" customHeight="1" s="195">
      <c r="A345" s="334" t="n"/>
      <c r="B345" s="334" t="n"/>
      <c r="C345" s="334" t="n"/>
      <c r="D345" s="334" t="n"/>
      <c r="E345" s="334" t="n"/>
      <c r="F345" s="334" t="n"/>
      <c r="G345" s="334" t="n"/>
      <c r="H345" s="334" t="n"/>
      <c r="I345" s="332">
        <f>IFERROR(VLOOKUP(TEXT(H345,"0"),IPRESS!$A$3:$B$212,2,0),"")</f>
        <v/>
      </c>
      <c r="J345" s="334" t="n"/>
      <c r="K345" s="332">
        <f>IFERROR(VLOOKUP(TEXT(O345,"0"),CONDUCTORES!$A$3:$G$54,7,0),"")</f>
        <v/>
      </c>
      <c r="L345" s="334" t="n"/>
      <c r="M345" s="334" t="n"/>
      <c r="N345" s="333">
        <f>IFERROR(IF(L345*M345=0,"",L345*M345),"")</f>
        <v/>
      </c>
      <c r="O345" s="334" t="n"/>
      <c r="P345" s="332">
        <f>IFERROR(VLOOKUP(TEXT(O345,"0"),CONDUCTORES!$A$3:$G$54,2,0),"")</f>
        <v/>
      </c>
      <c r="Q345" s="332">
        <f>IFERROR(VLOOKUP(TEXT(O345,"0"),CONDUCTORES!$A$3:$H$54,6,0),"")</f>
        <v/>
      </c>
      <c r="R345" s="334" t="n"/>
      <c r="S345" s="334" t="n"/>
      <c r="T345" s="334" t="n"/>
      <c r="U345" s="334" t="n"/>
      <c r="V345" s="334" t="n"/>
      <c r="W345" s="334" t="n"/>
      <c r="X345" s="334" t="n"/>
      <c r="Y345" s="334" t="n"/>
    </row>
    <row r="346" ht="15" customHeight="1" s="195">
      <c r="A346" s="280" t="n"/>
      <c r="B346" s="280" t="n"/>
      <c r="C346" s="280" t="n"/>
      <c r="D346" s="280" t="n"/>
      <c r="E346" s="280" t="n"/>
      <c r="F346" s="280" t="n"/>
      <c r="G346" s="280" t="n"/>
      <c r="H346" s="280" t="n"/>
      <c r="I346" s="332">
        <f>IFERROR(VLOOKUP(TEXT(H346,"0"),IPRESS!$A$3:$B$212,2,0),"")</f>
        <v/>
      </c>
      <c r="J346" s="280" t="n"/>
      <c r="K346" s="332">
        <f>IFERROR(VLOOKUP(TEXT(O346,"0"),CONDUCTORES!$A$3:$G$54,7,0),"")</f>
        <v/>
      </c>
      <c r="L346" s="280" t="n"/>
      <c r="M346" s="280" t="n"/>
      <c r="N346" s="333">
        <f>IFERROR(IF(L346*M346=0,"",L346*M346),"")</f>
        <v/>
      </c>
      <c r="O346" s="280" t="n"/>
      <c r="P346" s="332">
        <f>IFERROR(VLOOKUP(TEXT(O346,"0"),CONDUCTORES!$A$3:$G$54,2,0),"")</f>
        <v/>
      </c>
      <c r="Q346" s="332">
        <f>IFERROR(VLOOKUP(TEXT(O346,"0"),CONDUCTORES!$A$3:$H$54,6,0),"")</f>
        <v/>
      </c>
      <c r="R346" s="280" t="n"/>
      <c r="S346" s="280" t="n"/>
      <c r="T346" s="280" t="n"/>
      <c r="U346" s="280" t="n"/>
      <c r="V346" s="280" t="n"/>
      <c r="W346" s="280" t="n"/>
      <c r="X346" s="280" t="n"/>
      <c r="Y346" s="280" t="n"/>
    </row>
    <row r="347" ht="15" customHeight="1" s="195">
      <c r="A347" s="334" t="n"/>
      <c r="B347" s="334" t="n"/>
      <c r="C347" s="334" t="n"/>
      <c r="D347" s="334" t="n"/>
      <c r="E347" s="334" t="n"/>
      <c r="F347" s="334" t="n"/>
      <c r="G347" s="334" t="n"/>
      <c r="H347" s="334" t="n"/>
      <c r="I347" s="332">
        <f>IFERROR(VLOOKUP(TEXT(H347,"0"),IPRESS!$A$3:$B$212,2,0),"")</f>
        <v/>
      </c>
      <c r="J347" s="334" t="n"/>
      <c r="K347" s="332">
        <f>IFERROR(VLOOKUP(TEXT(O347,"0"),CONDUCTORES!$A$3:$G$54,7,0),"")</f>
        <v/>
      </c>
      <c r="L347" s="334" t="n"/>
      <c r="M347" s="334" t="n"/>
      <c r="N347" s="333">
        <f>IFERROR(IF(L347*M347=0,"",L347*M347),"")</f>
        <v/>
      </c>
      <c r="O347" s="334" t="n"/>
      <c r="P347" s="332">
        <f>IFERROR(VLOOKUP(TEXT(O347,"0"),CONDUCTORES!$A$3:$G$54,2,0),"")</f>
        <v/>
      </c>
      <c r="Q347" s="332">
        <f>IFERROR(VLOOKUP(TEXT(O347,"0"),CONDUCTORES!$A$3:$H$54,6,0),"")</f>
        <v/>
      </c>
      <c r="R347" s="334" t="n"/>
      <c r="S347" s="334" t="n"/>
      <c r="T347" s="334" t="n"/>
      <c r="U347" s="334" t="n"/>
      <c r="V347" s="334" t="n"/>
      <c r="W347" s="334" t="n"/>
      <c r="X347" s="334" t="n"/>
      <c r="Y347" s="334" t="n"/>
    </row>
    <row r="348" ht="15" customHeight="1" s="195">
      <c r="A348" s="280" t="n"/>
      <c r="B348" s="280" t="n"/>
      <c r="C348" s="280" t="n"/>
      <c r="D348" s="280" t="n"/>
      <c r="E348" s="280" t="n"/>
      <c r="F348" s="280" t="n"/>
      <c r="G348" s="280" t="n"/>
      <c r="H348" s="280" t="n"/>
      <c r="I348" s="332">
        <f>IFERROR(VLOOKUP(TEXT(H348,"0"),IPRESS!$A$3:$B$212,2,0),"")</f>
        <v/>
      </c>
      <c r="J348" s="280" t="n"/>
      <c r="K348" s="332">
        <f>IFERROR(VLOOKUP(TEXT(O348,"0"),CONDUCTORES!$A$3:$G$54,7,0),"")</f>
        <v/>
      </c>
      <c r="L348" s="280" t="n"/>
      <c r="M348" s="280" t="n"/>
      <c r="N348" s="333">
        <f>IFERROR(IF(L348*M348=0,"",L348*M348),"")</f>
        <v/>
      </c>
      <c r="O348" s="280" t="n"/>
      <c r="P348" s="332">
        <f>IFERROR(VLOOKUP(TEXT(O348,"0"),CONDUCTORES!$A$3:$G$54,2,0),"")</f>
        <v/>
      </c>
      <c r="Q348" s="332">
        <f>IFERROR(VLOOKUP(TEXT(O348,"0"),CONDUCTORES!$A$3:$H$54,6,0),"")</f>
        <v/>
      </c>
      <c r="R348" s="280" t="n"/>
      <c r="S348" s="280" t="n"/>
      <c r="T348" s="280" t="n"/>
      <c r="U348" s="280" t="n"/>
      <c r="V348" s="280" t="n"/>
      <c r="W348" s="280" t="n"/>
      <c r="X348" s="280" t="n"/>
      <c r="Y348" s="280" t="n"/>
    </row>
    <row r="349" ht="15" customHeight="1" s="195">
      <c r="A349" s="334" t="n"/>
      <c r="B349" s="334" t="n"/>
      <c r="C349" s="334" t="n"/>
      <c r="D349" s="334" t="n"/>
      <c r="E349" s="334" t="n"/>
      <c r="F349" s="334" t="n"/>
      <c r="G349" s="334" t="n"/>
      <c r="H349" s="334" t="n"/>
      <c r="I349" s="332">
        <f>IFERROR(VLOOKUP(TEXT(H349,"0"),IPRESS!$A$3:$B$212,2,0),"")</f>
        <v/>
      </c>
      <c r="J349" s="334" t="n"/>
      <c r="K349" s="332">
        <f>IFERROR(VLOOKUP(TEXT(O349,"0"),CONDUCTORES!$A$3:$G$54,7,0),"")</f>
        <v/>
      </c>
      <c r="L349" s="334" t="n"/>
      <c r="M349" s="334" t="n"/>
      <c r="N349" s="333">
        <f>IFERROR(IF(L349*M349=0,"",L349*M349),"")</f>
        <v/>
      </c>
      <c r="O349" s="334" t="n"/>
      <c r="P349" s="332">
        <f>IFERROR(VLOOKUP(TEXT(O349,"0"),CONDUCTORES!$A$3:$G$54,2,0),"")</f>
        <v/>
      </c>
      <c r="Q349" s="332">
        <f>IFERROR(VLOOKUP(TEXT(O349,"0"),CONDUCTORES!$A$3:$H$54,6,0),"")</f>
        <v/>
      </c>
      <c r="R349" s="334" t="n"/>
      <c r="S349" s="334" t="n"/>
      <c r="T349" s="334" t="n"/>
      <c r="U349" s="334" t="n"/>
      <c r="V349" s="334" t="n"/>
      <c r="W349" s="334" t="n"/>
      <c r="X349" s="334" t="n"/>
      <c r="Y349" s="334" t="n"/>
    </row>
    <row r="350" ht="15" customHeight="1" s="195">
      <c r="A350" s="280" t="n"/>
      <c r="B350" s="280" t="n"/>
      <c r="C350" s="280" t="n"/>
      <c r="D350" s="280" t="n"/>
      <c r="E350" s="280" t="n"/>
      <c r="F350" s="280" t="n"/>
      <c r="G350" s="280" t="n"/>
      <c r="H350" s="280" t="n"/>
      <c r="I350" s="332">
        <f>IFERROR(VLOOKUP(TEXT(H350,"0"),IPRESS!$A$3:$B$212,2,0),"")</f>
        <v/>
      </c>
      <c r="J350" s="280" t="n"/>
      <c r="K350" s="332">
        <f>IFERROR(VLOOKUP(TEXT(O350,"0"),CONDUCTORES!$A$3:$G$54,7,0),"")</f>
        <v/>
      </c>
      <c r="L350" s="280" t="n"/>
      <c r="M350" s="280" t="n"/>
      <c r="N350" s="333">
        <f>IFERROR(IF(L350*M350=0,"",L350*M350),"")</f>
        <v/>
      </c>
      <c r="O350" s="280" t="n"/>
      <c r="P350" s="332">
        <f>IFERROR(VLOOKUP(TEXT(O350,"0"),CONDUCTORES!$A$3:$G$54,2,0),"")</f>
        <v/>
      </c>
      <c r="Q350" s="332">
        <f>IFERROR(VLOOKUP(TEXT(O350,"0"),CONDUCTORES!$A$3:$H$54,6,0),"")</f>
        <v/>
      </c>
      <c r="R350" s="280" t="n"/>
      <c r="S350" s="280" t="n"/>
      <c r="T350" s="280" t="n"/>
      <c r="U350" s="280" t="n"/>
      <c r="V350" s="280" t="n"/>
      <c r="W350" s="280" t="n"/>
      <c r="X350" s="280" t="n"/>
      <c r="Y350" s="280" t="n"/>
    </row>
    <row r="351" ht="15" customHeight="1" s="195">
      <c r="A351" s="334" t="n"/>
      <c r="B351" s="334" t="n"/>
      <c r="C351" s="334" t="n"/>
      <c r="D351" s="334" t="n"/>
      <c r="E351" s="334" t="n"/>
      <c r="F351" s="334" t="n"/>
      <c r="G351" s="334" t="n"/>
      <c r="H351" s="334" t="n"/>
      <c r="I351" s="332">
        <f>IFERROR(VLOOKUP(TEXT(H351,"0"),IPRESS!$A$3:$B$212,2,0),"")</f>
        <v/>
      </c>
      <c r="J351" s="334" t="n"/>
      <c r="K351" s="332">
        <f>IFERROR(VLOOKUP(TEXT(O351,"0"),CONDUCTORES!$A$3:$G$54,7,0),"")</f>
        <v/>
      </c>
      <c r="L351" s="334" t="n"/>
      <c r="M351" s="334" t="n"/>
      <c r="N351" s="333">
        <f>IFERROR(IF(L351*M351=0,"",L351*M351),"")</f>
        <v/>
      </c>
      <c r="O351" s="334" t="n"/>
      <c r="P351" s="332">
        <f>IFERROR(VLOOKUP(TEXT(O351,"0"),CONDUCTORES!$A$3:$G$54,2,0),"")</f>
        <v/>
      </c>
      <c r="Q351" s="332">
        <f>IFERROR(VLOOKUP(TEXT(O351,"0"),CONDUCTORES!$A$3:$H$54,6,0),"")</f>
        <v/>
      </c>
      <c r="R351" s="334" t="n"/>
      <c r="S351" s="334" t="n"/>
      <c r="T351" s="334" t="n"/>
      <c r="U351" s="334" t="n"/>
      <c r="V351" s="334" t="n"/>
      <c r="W351" s="334" t="n"/>
      <c r="X351" s="334" t="n"/>
      <c r="Y351" s="334" t="n"/>
    </row>
    <row r="352" ht="15" customHeight="1" s="195">
      <c r="A352" s="280" t="n"/>
      <c r="B352" s="280" t="n"/>
      <c r="C352" s="280" t="n"/>
      <c r="D352" s="280" t="n"/>
      <c r="E352" s="280" t="n"/>
      <c r="F352" s="280" t="n"/>
      <c r="G352" s="280" t="n"/>
      <c r="H352" s="280" t="n"/>
      <c r="I352" s="332">
        <f>IFERROR(VLOOKUP(TEXT(H352,"0"),IPRESS!$A$3:$B$212,2,0),"")</f>
        <v/>
      </c>
      <c r="J352" s="280" t="n"/>
      <c r="K352" s="332">
        <f>IFERROR(VLOOKUP(TEXT(O352,"0"),CONDUCTORES!$A$3:$G$54,7,0),"")</f>
        <v/>
      </c>
      <c r="L352" s="280" t="n"/>
      <c r="M352" s="280" t="n"/>
      <c r="N352" s="333">
        <f>IFERROR(IF(L352*M352=0,"",L352*M352),"")</f>
        <v/>
      </c>
      <c r="O352" s="280" t="n"/>
      <c r="P352" s="332">
        <f>IFERROR(VLOOKUP(TEXT(O352,"0"),CONDUCTORES!$A$3:$G$54,2,0),"")</f>
        <v/>
      </c>
      <c r="Q352" s="332">
        <f>IFERROR(VLOOKUP(TEXT(O352,"0"),CONDUCTORES!$A$3:$H$54,6,0),"")</f>
        <v/>
      </c>
      <c r="R352" s="280" t="n"/>
      <c r="S352" s="280" t="n"/>
      <c r="T352" s="280" t="n"/>
      <c r="U352" s="280" t="n"/>
      <c r="V352" s="280" t="n"/>
      <c r="W352" s="280" t="n"/>
      <c r="X352" s="280" t="n"/>
      <c r="Y352" s="280" t="n"/>
    </row>
    <row r="353" ht="15" customHeight="1" s="195">
      <c r="A353" s="334" t="n"/>
      <c r="B353" s="334" t="n"/>
      <c r="C353" s="334" t="n"/>
      <c r="D353" s="334" t="n"/>
      <c r="E353" s="334" t="n"/>
      <c r="F353" s="334" t="n"/>
      <c r="G353" s="334" t="n"/>
      <c r="H353" s="334" t="n"/>
      <c r="I353" s="332">
        <f>IFERROR(VLOOKUP(TEXT(H353,"0"),IPRESS!$A$3:$B$212,2,0),"")</f>
        <v/>
      </c>
      <c r="J353" s="334" t="n"/>
      <c r="K353" s="332">
        <f>IFERROR(VLOOKUP(TEXT(O353,"0"),CONDUCTORES!$A$3:$G$54,7,0),"")</f>
        <v/>
      </c>
      <c r="L353" s="334" t="n"/>
      <c r="M353" s="334" t="n"/>
      <c r="N353" s="333">
        <f>IFERROR(IF(L353*M353=0,"",L353*M353),"")</f>
        <v/>
      </c>
      <c r="O353" s="334" t="n"/>
      <c r="P353" s="332">
        <f>IFERROR(VLOOKUP(TEXT(O353,"0"),CONDUCTORES!$A$3:$G$54,2,0),"")</f>
        <v/>
      </c>
      <c r="Q353" s="332">
        <f>IFERROR(VLOOKUP(TEXT(O353,"0"),CONDUCTORES!$A$3:$H$54,6,0),"")</f>
        <v/>
      </c>
      <c r="R353" s="334" t="n"/>
      <c r="S353" s="334" t="n"/>
      <c r="T353" s="334" t="n"/>
      <c r="U353" s="334" t="n"/>
      <c r="V353" s="334" t="n"/>
      <c r="W353" s="334" t="n"/>
      <c r="X353" s="334" t="n"/>
      <c r="Y353" s="334" t="n"/>
    </row>
    <row r="354" ht="15" customHeight="1" s="195">
      <c r="A354" s="280" t="n"/>
      <c r="B354" s="280" t="n"/>
      <c r="C354" s="280" t="n"/>
      <c r="D354" s="280" t="n"/>
      <c r="E354" s="280" t="n"/>
      <c r="F354" s="280" t="n"/>
      <c r="G354" s="280" t="n"/>
      <c r="H354" s="280" t="n"/>
      <c r="I354" s="332">
        <f>IFERROR(VLOOKUP(TEXT(H354,"0"),IPRESS!$A$3:$B$212,2,0),"")</f>
        <v/>
      </c>
      <c r="J354" s="280" t="n"/>
      <c r="K354" s="332">
        <f>IFERROR(VLOOKUP(TEXT(O354,"0"),CONDUCTORES!$A$3:$G$54,7,0),"")</f>
        <v/>
      </c>
      <c r="L354" s="280" t="n"/>
      <c r="M354" s="280" t="n"/>
      <c r="N354" s="333">
        <f>IFERROR(IF(L354*M354=0,"",L354*M354),"")</f>
        <v/>
      </c>
      <c r="O354" s="280" t="n"/>
      <c r="P354" s="332">
        <f>IFERROR(VLOOKUP(TEXT(O354,"0"),CONDUCTORES!$A$3:$G$54,2,0),"")</f>
        <v/>
      </c>
      <c r="Q354" s="332">
        <f>IFERROR(VLOOKUP(TEXT(O354,"0"),CONDUCTORES!$A$3:$H$54,6,0),"")</f>
        <v/>
      </c>
      <c r="R354" s="280" t="n"/>
      <c r="S354" s="280" t="n"/>
      <c r="T354" s="280" t="n"/>
      <c r="U354" s="280" t="n"/>
      <c r="V354" s="280" t="n"/>
      <c r="W354" s="280" t="n"/>
      <c r="X354" s="280" t="n"/>
      <c r="Y354" s="280" t="n"/>
    </row>
    <row r="355" ht="15" customHeight="1" s="195">
      <c r="A355" s="334" t="n"/>
      <c r="B355" s="334" t="n"/>
      <c r="C355" s="334" t="n"/>
      <c r="D355" s="334" t="n"/>
      <c r="E355" s="334" t="n"/>
      <c r="F355" s="334" t="n"/>
      <c r="G355" s="334" t="n"/>
      <c r="H355" s="334" t="n"/>
      <c r="I355" s="332">
        <f>IFERROR(VLOOKUP(TEXT(H355,"0"),IPRESS!$A$3:$B$212,2,0),"")</f>
        <v/>
      </c>
      <c r="J355" s="334" t="n"/>
      <c r="K355" s="332">
        <f>IFERROR(VLOOKUP(TEXT(O355,"0"),CONDUCTORES!$A$3:$G$54,7,0),"")</f>
        <v/>
      </c>
      <c r="L355" s="334" t="n"/>
      <c r="M355" s="334" t="n"/>
      <c r="N355" s="333">
        <f>IFERROR(IF(L355*M355=0,"",L355*M355),"")</f>
        <v/>
      </c>
      <c r="O355" s="334" t="n"/>
      <c r="P355" s="332">
        <f>IFERROR(VLOOKUP(TEXT(O355,"0"),CONDUCTORES!$A$3:$G$54,2,0),"")</f>
        <v/>
      </c>
      <c r="Q355" s="332">
        <f>IFERROR(VLOOKUP(TEXT(O355,"0"),CONDUCTORES!$A$3:$H$54,6,0),"")</f>
        <v/>
      </c>
      <c r="R355" s="334" t="n"/>
      <c r="S355" s="334" t="n"/>
      <c r="T355" s="334" t="n"/>
      <c r="U355" s="334" t="n"/>
      <c r="V355" s="334" t="n"/>
      <c r="W355" s="334" t="n"/>
      <c r="X355" s="334" t="n"/>
      <c r="Y355" s="334" t="n"/>
    </row>
    <row r="356" ht="15" customHeight="1" s="195">
      <c r="A356" s="280" t="n"/>
      <c r="B356" s="280" t="n"/>
      <c r="C356" s="280" t="n"/>
      <c r="D356" s="280" t="n"/>
      <c r="E356" s="280" t="n"/>
      <c r="F356" s="280" t="n"/>
      <c r="G356" s="280" t="n"/>
      <c r="H356" s="280" t="n"/>
      <c r="I356" s="332">
        <f>IFERROR(VLOOKUP(TEXT(H356,"0"),IPRESS!$A$3:$B$212,2,0),"")</f>
        <v/>
      </c>
      <c r="J356" s="280" t="n"/>
      <c r="K356" s="332">
        <f>IFERROR(VLOOKUP(TEXT(O356,"0"),CONDUCTORES!$A$3:$G$54,7,0),"")</f>
        <v/>
      </c>
      <c r="L356" s="280" t="n"/>
      <c r="M356" s="280" t="n"/>
      <c r="N356" s="333">
        <f>IFERROR(IF(L356*M356=0,"",L356*M356),"")</f>
        <v/>
      </c>
      <c r="O356" s="280" t="n"/>
      <c r="P356" s="332">
        <f>IFERROR(VLOOKUP(TEXT(O356,"0"),CONDUCTORES!$A$3:$G$54,2,0),"")</f>
        <v/>
      </c>
      <c r="Q356" s="332">
        <f>IFERROR(VLOOKUP(TEXT(O356,"0"),CONDUCTORES!$A$3:$H$54,6,0),"")</f>
        <v/>
      </c>
      <c r="R356" s="280" t="n"/>
      <c r="S356" s="280" t="n"/>
      <c r="T356" s="280" t="n"/>
      <c r="U356" s="280" t="n"/>
      <c r="V356" s="280" t="n"/>
      <c r="W356" s="280" t="n"/>
      <c r="X356" s="280" t="n"/>
      <c r="Y356" s="280" t="n"/>
    </row>
    <row r="357" ht="15" customHeight="1" s="195">
      <c r="A357" s="334" t="n"/>
      <c r="B357" s="334" t="n"/>
      <c r="C357" s="334" t="n"/>
      <c r="D357" s="334" t="n"/>
      <c r="E357" s="334" t="n"/>
      <c r="F357" s="334" t="n"/>
      <c r="G357" s="334" t="n"/>
      <c r="H357" s="334" t="n"/>
      <c r="I357" s="332">
        <f>IFERROR(VLOOKUP(TEXT(H357,"0"),IPRESS!$A$3:$B$212,2,0),"")</f>
        <v/>
      </c>
      <c r="J357" s="334" t="n"/>
      <c r="K357" s="332">
        <f>IFERROR(VLOOKUP(TEXT(O357,"0"),CONDUCTORES!$A$3:$G$54,7,0),"")</f>
        <v/>
      </c>
      <c r="L357" s="334" t="n"/>
      <c r="M357" s="334" t="n"/>
      <c r="N357" s="333">
        <f>IFERROR(IF(L357*M357=0,"",L357*M357),"")</f>
        <v/>
      </c>
      <c r="O357" s="334" t="n"/>
      <c r="P357" s="332">
        <f>IFERROR(VLOOKUP(TEXT(O357,"0"),CONDUCTORES!$A$3:$G$54,2,0),"")</f>
        <v/>
      </c>
      <c r="Q357" s="332">
        <f>IFERROR(VLOOKUP(TEXT(O357,"0"),CONDUCTORES!$A$3:$H$54,6,0),"")</f>
        <v/>
      </c>
      <c r="R357" s="334" t="n"/>
      <c r="S357" s="334" t="n"/>
      <c r="T357" s="334" t="n"/>
      <c r="U357" s="334" t="n"/>
      <c r="V357" s="334" t="n"/>
      <c r="W357" s="334" t="n"/>
      <c r="X357" s="334" t="n"/>
      <c r="Y357" s="334" t="n"/>
    </row>
    <row r="358" ht="15" customHeight="1" s="195">
      <c r="A358" s="280" t="n"/>
      <c r="B358" s="280" t="n"/>
      <c r="C358" s="280" t="n"/>
      <c r="D358" s="280" t="n"/>
      <c r="E358" s="280" t="n"/>
      <c r="F358" s="280" t="n"/>
      <c r="G358" s="280" t="n"/>
      <c r="H358" s="280" t="n"/>
      <c r="I358" s="332">
        <f>IFERROR(VLOOKUP(TEXT(H358,"0"),IPRESS!$A$3:$B$212,2,0),"")</f>
        <v/>
      </c>
      <c r="J358" s="280" t="n"/>
      <c r="K358" s="332">
        <f>IFERROR(VLOOKUP(TEXT(O358,"0"),CONDUCTORES!$A$3:$G$54,7,0),"")</f>
        <v/>
      </c>
      <c r="L358" s="280" t="n"/>
      <c r="M358" s="280" t="n"/>
      <c r="N358" s="333">
        <f>IFERROR(IF(L358*M358=0,"",L358*M358),"")</f>
        <v/>
      </c>
      <c r="O358" s="280" t="n"/>
      <c r="P358" s="332">
        <f>IFERROR(VLOOKUP(TEXT(O358,"0"),CONDUCTORES!$A$3:$G$54,2,0),"")</f>
        <v/>
      </c>
      <c r="Q358" s="332">
        <f>IFERROR(VLOOKUP(TEXT(O358,"0"),CONDUCTORES!$A$3:$H$54,6,0),"")</f>
        <v/>
      </c>
      <c r="R358" s="280" t="n"/>
      <c r="S358" s="280" t="n"/>
      <c r="T358" s="280" t="n"/>
      <c r="U358" s="280" t="n"/>
      <c r="V358" s="280" t="n"/>
      <c r="W358" s="280" t="n"/>
      <c r="X358" s="280" t="n"/>
      <c r="Y358" s="280" t="n"/>
    </row>
    <row r="359" ht="15" customHeight="1" s="195">
      <c r="A359" s="334" t="n"/>
      <c r="B359" s="334" t="n"/>
      <c r="C359" s="334" t="n"/>
      <c r="D359" s="334" t="n"/>
      <c r="E359" s="334" t="n"/>
      <c r="F359" s="334" t="n"/>
      <c r="G359" s="334" t="n"/>
      <c r="H359" s="334" t="n"/>
      <c r="I359" s="332">
        <f>IFERROR(VLOOKUP(TEXT(H359,"0"),IPRESS!$A$3:$B$212,2,0),"")</f>
        <v/>
      </c>
      <c r="J359" s="334" t="n"/>
      <c r="K359" s="332">
        <f>IFERROR(VLOOKUP(TEXT(O359,"0"),CONDUCTORES!$A$3:$G$54,7,0),"")</f>
        <v/>
      </c>
      <c r="L359" s="334" t="n"/>
      <c r="M359" s="334" t="n"/>
      <c r="N359" s="333">
        <f>IFERROR(IF(L359*M359=0,"",L359*M359),"")</f>
        <v/>
      </c>
      <c r="O359" s="334" t="n"/>
      <c r="P359" s="332">
        <f>IFERROR(VLOOKUP(TEXT(O359,"0"),CONDUCTORES!$A$3:$G$54,2,0),"")</f>
        <v/>
      </c>
      <c r="Q359" s="332">
        <f>IFERROR(VLOOKUP(TEXT(O359,"0"),CONDUCTORES!$A$3:$H$54,6,0),"")</f>
        <v/>
      </c>
      <c r="R359" s="334" t="n"/>
      <c r="S359" s="334" t="n"/>
      <c r="T359" s="334" t="n"/>
      <c r="U359" s="334" t="n"/>
      <c r="V359" s="334" t="n"/>
      <c r="W359" s="334" t="n"/>
      <c r="X359" s="334" t="n"/>
      <c r="Y359" s="334" t="n"/>
    </row>
    <row r="360" ht="15" customHeight="1" s="195">
      <c r="A360" s="280" t="n"/>
      <c r="B360" s="280" t="n"/>
      <c r="C360" s="280" t="n"/>
      <c r="D360" s="280" t="n"/>
      <c r="E360" s="280" t="n"/>
      <c r="F360" s="280" t="n"/>
      <c r="G360" s="280" t="n"/>
      <c r="H360" s="280" t="n"/>
      <c r="I360" s="332">
        <f>IFERROR(VLOOKUP(TEXT(H360,"0"),IPRESS!$A$3:$B$212,2,0),"")</f>
        <v/>
      </c>
      <c r="J360" s="280" t="n"/>
      <c r="K360" s="332">
        <f>IFERROR(VLOOKUP(TEXT(O360,"0"),CONDUCTORES!$A$3:$G$54,7,0),"")</f>
        <v/>
      </c>
      <c r="L360" s="280" t="n"/>
      <c r="M360" s="280" t="n"/>
      <c r="N360" s="333">
        <f>IFERROR(IF(L360*M360=0,"",L360*M360),"")</f>
        <v/>
      </c>
      <c r="O360" s="280" t="n"/>
      <c r="P360" s="332">
        <f>IFERROR(VLOOKUP(TEXT(O360,"0"),CONDUCTORES!$A$3:$G$54,2,0),"")</f>
        <v/>
      </c>
      <c r="Q360" s="332">
        <f>IFERROR(VLOOKUP(TEXT(O360,"0"),CONDUCTORES!$A$3:$H$54,6,0),"")</f>
        <v/>
      </c>
      <c r="R360" s="280" t="n"/>
      <c r="S360" s="280" t="n"/>
      <c r="T360" s="280" t="n"/>
      <c r="U360" s="280" t="n"/>
      <c r="V360" s="280" t="n"/>
      <c r="W360" s="280" t="n"/>
      <c r="X360" s="280" t="n"/>
      <c r="Y360" s="280" t="n"/>
    </row>
    <row r="361" ht="15" customHeight="1" s="195">
      <c r="A361" s="334" t="n"/>
      <c r="B361" s="334" t="n"/>
      <c r="C361" s="334" t="n"/>
      <c r="D361" s="334" t="n"/>
      <c r="E361" s="334" t="n"/>
      <c r="F361" s="334" t="n"/>
      <c r="G361" s="334" t="n"/>
      <c r="H361" s="334" t="n"/>
      <c r="I361" s="332">
        <f>IFERROR(VLOOKUP(TEXT(H361,"0"),IPRESS!$A$3:$B$212,2,0),"")</f>
        <v/>
      </c>
      <c r="J361" s="334" t="n"/>
      <c r="K361" s="332">
        <f>IFERROR(VLOOKUP(TEXT(O361,"0"),CONDUCTORES!$A$3:$G$54,7,0),"")</f>
        <v/>
      </c>
      <c r="L361" s="334" t="n"/>
      <c r="M361" s="334" t="n"/>
      <c r="N361" s="333">
        <f>IFERROR(IF(L361*M361=0,"",L361*M361),"")</f>
        <v/>
      </c>
      <c r="O361" s="334" t="n"/>
      <c r="P361" s="332">
        <f>IFERROR(VLOOKUP(TEXT(O361,"0"),CONDUCTORES!$A$3:$G$54,2,0),"")</f>
        <v/>
      </c>
      <c r="Q361" s="332">
        <f>IFERROR(VLOOKUP(TEXT(O361,"0"),CONDUCTORES!$A$3:$H$54,6,0),"")</f>
        <v/>
      </c>
      <c r="R361" s="334" t="n"/>
      <c r="S361" s="334" t="n"/>
      <c r="T361" s="334" t="n"/>
      <c r="U361" s="334" t="n"/>
      <c r="V361" s="334" t="n"/>
      <c r="W361" s="334" t="n"/>
      <c r="X361" s="334" t="n"/>
      <c r="Y361" s="334" t="n"/>
    </row>
    <row r="362" ht="15" customHeight="1" s="195">
      <c r="A362" s="280" t="n"/>
      <c r="B362" s="280" t="n"/>
      <c r="C362" s="280" t="n"/>
      <c r="D362" s="280" t="n"/>
      <c r="E362" s="280" t="n"/>
      <c r="F362" s="280" t="n"/>
      <c r="G362" s="280" t="n"/>
      <c r="H362" s="280" t="n"/>
      <c r="I362" s="332">
        <f>IFERROR(VLOOKUP(TEXT(H362,"0"),IPRESS!$A$3:$B$212,2,0),"")</f>
        <v/>
      </c>
      <c r="J362" s="280" t="n"/>
      <c r="K362" s="332">
        <f>IFERROR(VLOOKUP(TEXT(O362,"0"),CONDUCTORES!$A$3:$G$54,7,0),"")</f>
        <v/>
      </c>
      <c r="L362" s="280" t="n"/>
      <c r="M362" s="280" t="n"/>
      <c r="N362" s="333">
        <f>IFERROR(IF(L362*M362=0,"",L362*M362),"")</f>
        <v/>
      </c>
      <c r="O362" s="280" t="n"/>
      <c r="P362" s="332">
        <f>IFERROR(VLOOKUP(TEXT(O362,"0"),CONDUCTORES!$A$3:$G$54,2,0),"")</f>
        <v/>
      </c>
      <c r="Q362" s="332">
        <f>IFERROR(VLOOKUP(TEXT(O362,"0"),CONDUCTORES!$A$3:$H$54,6,0),"")</f>
        <v/>
      </c>
      <c r="R362" s="280" t="n"/>
      <c r="S362" s="280" t="n"/>
      <c r="T362" s="280" t="n"/>
      <c r="U362" s="280" t="n"/>
      <c r="V362" s="280" t="n"/>
      <c r="W362" s="280" t="n"/>
      <c r="X362" s="280" t="n"/>
      <c r="Y362" s="280" t="n"/>
    </row>
    <row r="363" ht="15" customHeight="1" s="195">
      <c r="A363" s="334" t="n"/>
      <c r="B363" s="334" t="n"/>
      <c r="C363" s="334" t="n"/>
      <c r="D363" s="334" t="n"/>
      <c r="E363" s="334" t="n"/>
      <c r="F363" s="334" t="n"/>
      <c r="G363" s="334" t="n"/>
      <c r="H363" s="334" t="n"/>
      <c r="I363" s="332">
        <f>IFERROR(VLOOKUP(TEXT(H363,"0"),IPRESS!$A$3:$B$212,2,0),"")</f>
        <v/>
      </c>
      <c r="J363" s="334" t="n"/>
      <c r="K363" s="332">
        <f>IFERROR(VLOOKUP(TEXT(O363,"0"),CONDUCTORES!$A$3:$G$54,7,0),"")</f>
        <v/>
      </c>
      <c r="L363" s="334" t="n"/>
      <c r="M363" s="334" t="n"/>
      <c r="N363" s="333">
        <f>IFERROR(IF(L363*M363=0,"",L363*M363),"")</f>
        <v/>
      </c>
      <c r="O363" s="334" t="n"/>
      <c r="P363" s="332">
        <f>IFERROR(VLOOKUP(TEXT(O363,"0"),CONDUCTORES!$A$3:$G$54,2,0),"")</f>
        <v/>
      </c>
      <c r="Q363" s="332">
        <f>IFERROR(VLOOKUP(TEXT(O363,"0"),CONDUCTORES!$A$3:$H$54,6,0),"")</f>
        <v/>
      </c>
      <c r="R363" s="334" t="n"/>
      <c r="S363" s="334" t="n"/>
      <c r="T363" s="334" t="n"/>
      <c r="U363" s="334" t="n"/>
      <c r="V363" s="334" t="n"/>
      <c r="W363" s="334" t="n"/>
      <c r="X363" s="334" t="n"/>
      <c r="Y363" s="334" t="n"/>
    </row>
    <row r="364" ht="15" customHeight="1" s="195">
      <c r="A364" s="280" t="n"/>
      <c r="B364" s="280" t="n"/>
      <c r="C364" s="280" t="n"/>
      <c r="D364" s="280" t="n"/>
      <c r="E364" s="280" t="n"/>
      <c r="F364" s="280" t="n"/>
      <c r="G364" s="280" t="n"/>
      <c r="H364" s="280" t="n"/>
      <c r="I364" s="332">
        <f>IFERROR(VLOOKUP(TEXT(H364,"0"),IPRESS!$A$3:$B$212,2,0),"")</f>
        <v/>
      </c>
      <c r="J364" s="280" t="n"/>
      <c r="K364" s="332">
        <f>IFERROR(VLOOKUP(TEXT(O364,"0"),CONDUCTORES!$A$3:$G$54,7,0),"")</f>
        <v/>
      </c>
      <c r="L364" s="280" t="n"/>
      <c r="M364" s="280" t="n"/>
      <c r="N364" s="333">
        <f>IFERROR(IF(L364*M364=0,"",L364*M364),"")</f>
        <v/>
      </c>
      <c r="O364" s="280" t="n"/>
      <c r="P364" s="332">
        <f>IFERROR(VLOOKUP(TEXT(O364,"0"),CONDUCTORES!$A$3:$G$54,2,0),"")</f>
        <v/>
      </c>
      <c r="Q364" s="332">
        <f>IFERROR(VLOOKUP(TEXT(O364,"0"),CONDUCTORES!$A$3:$H$54,6,0),"")</f>
        <v/>
      </c>
      <c r="R364" s="280" t="n"/>
      <c r="S364" s="280" t="n"/>
      <c r="T364" s="280" t="n"/>
      <c r="U364" s="280" t="n"/>
      <c r="V364" s="280" t="n"/>
      <c r="W364" s="280" t="n"/>
      <c r="X364" s="280" t="n"/>
      <c r="Y364" s="280" t="n"/>
    </row>
    <row r="365" ht="15" customHeight="1" s="195">
      <c r="A365" s="334" t="n"/>
      <c r="B365" s="334" t="n"/>
      <c r="C365" s="334" t="n"/>
      <c r="D365" s="334" t="n"/>
      <c r="E365" s="334" t="n"/>
      <c r="F365" s="334" t="n"/>
      <c r="G365" s="334" t="n"/>
      <c r="H365" s="334" t="n"/>
      <c r="I365" s="332">
        <f>IFERROR(VLOOKUP(TEXT(H365,"0"),IPRESS!$A$3:$B$212,2,0),"")</f>
        <v/>
      </c>
      <c r="J365" s="334" t="n"/>
      <c r="K365" s="332">
        <f>IFERROR(VLOOKUP(TEXT(O365,"0"),CONDUCTORES!$A$3:$G$54,7,0),"")</f>
        <v/>
      </c>
      <c r="L365" s="334" t="n"/>
      <c r="M365" s="334" t="n"/>
      <c r="N365" s="333">
        <f>IFERROR(IF(L365*M365=0,"",L365*M365),"")</f>
        <v/>
      </c>
      <c r="O365" s="334" t="n"/>
      <c r="P365" s="332">
        <f>IFERROR(VLOOKUP(TEXT(O365,"0"),CONDUCTORES!$A$3:$G$54,2,0),"")</f>
        <v/>
      </c>
      <c r="Q365" s="332">
        <f>IFERROR(VLOOKUP(TEXT(O365,"0"),CONDUCTORES!$A$3:$H$54,6,0),"")</f>
        <v/>
      </c>
      <c r="R365" s="334" t="n"/>
      <c r="S365" s="334" t="n"/>
      <c r="T365" s="334" t="n"/>
      <c r="U365" s="334" t="n"/>
      <c r="V365" s="334" t="n"/>
      <c r="W365" s="334" t="n"/>
      <c r="X365" s="334" t="n"/>
      <c r="Y365" s="334" t="n"/>
    </row>
    <row r="366" ht="15" customHeight="1" s="195">
      <c r="A366" s="280" t="n"/>
      <c r="B366" s="280" t="n"/>
      <c r="C366" s="280" t="n"/>
      <c r="D366" s="280" t="n"/>
      <c r="E366" s="280" t="n"/>
      <c r="F366" s="280" t="n"/>
      <c r="G366" s="280" t="n"/>
      <c r="H366" s="280" t="n"/>
      <c r="I366" s="332">
        <f>IFERROR(VLOOKUP(TEXT(H366,"0"),IPRESS!$A$3:$B$212,2,0),"")</f>
        <v/>
      </c>
      <c r="J366" s="280" t="n"/>
      <c r="K366" s="332">
        <f>IFERROR(VLOOKUP(TEXT(O366,"0"),CONDUCTORES!$A$3:$G$54,7,0),"")</f>
        <v/>
      </c>
      <c r="L366" s="280" t="n"/>
      <c r="M366" s="280" t="n"/>
      <c r="N366" s="333">
        <f>IFERROR(IF(L366*M366=0,"",L366*M366),"")</f>
        <v/>
      </c>
      <c r="O366" s="280" t="n"/>
      <c r="P366" s="332">
        <f>IFERROR(VLOOKUP(TEXT(O366,"0"),CONDUCTORES!$A$3:$G$54,2,0),"")</f>
        <v/>
      </c>
      <c r="Q366" s="332">
        <f>IFERROR(VLOOKUP(TEXT(O366,"0"),CONDUCTORES!$A$3:$H$54,6,0),"")</f>
        <v/>
      </c>
      <c r="R366" s="280" t="n"/>
      <c r="S366" s="280" t="n"/>
      <c r="T366" s="280" t="n"/>
      <c r="U366" s="280" t="n"/>
      <c r="V366" s="280" t="n"/>
      <c r="W366" s="280" t="n"/>
      <c r="X366" s="280" t="n"/>
      <c r="Y366" s="280" t="n"/>
    </row>
    <row r="367" ht="15" customHeight="1" s="195">
      <c r="A367" s="334" t="n"/>
      <c r="B367" s="334" t="n"/>
      <c r="C367" s="334" t="n"/>
      <c r="D367" s="334" t="n"/>
      <c r="E367" s="334" t="n"/>
      <c r="F367" s="334" t="n"/>
      <c r="G367" s="334" t="n"/>
      <c r="H367" s="334" t="n"/>
      <c r="I367" s="332">
        <f>IFERROR(VLOOKUP(TEXT(H367,"0"),IPRESS!$A$3:$B$212,2,0),"")</f>
        <v/>
      </c>
      <c r="J367" s="334" t="n"/>
      <c r="K367" s="332">
        <f>IFERROR(VLOOKUP(TEXT(O367,"0"),CONDUCTORES!$A$3:$G$54,7,0),"")</f>
        <v/>
      </c>
      <c r="L367" s="334" t="n"/>
      <c r="M367" s="334" t="n"/>
      <c r="N367" s="333">
        <f>IFERROR(IF(L367*M367=0,"",L367*M367),"")</f>
        <v/>
      </c>
      <c r="O367" s="334" t="n"/>
      <c r="P367" s="332">
        <f>IFERROR(VLOOKUP(TEXT(O367,"0"),CONDUCTORES!$A$3:$G$54,2,0),"")</f>
        <v/>
      </c>
      <c r="Q367" s="332">
        <f>IFERROR(VLOOKUP(TEXT(O367,"0"),CONDUCTORES!$A$3:$H$54,6,0),"")</f>
        <v/>
      </c>
      <c r="R367" s="334" t="n"/>
      <c r="S367" s="334" t="n"/>
      <c r="T367" s="334" t="n"/>
      <c r="U367" s="334" t="n"/>
      <c r="V367" s="334" t="n"/>
      <c r="W367" s="334" t="n"/>
      <c r="X367" s="334" t="n"/>
      <c r="Y367" s="334" t="n"/>
    </row>
    <row r="368" ht="15" customHeight="1" s="195">
      <c r="A368" s="280" t="n"/>
      <c r="B368" s="280" t="n"/>
      <c r="C368" s="280" t="n"/>
      <c r="D368" s="280" t="n"/>
      <c r="E368" s="280" t="n"/>
      <c r="F368" s="280" t="n"/>
      <c r="G368" s="280" t="n"/>
      <c r="H368" s="280" t="n"/>
      <c r="I368" s="332">
        <f>IFERROR(VLOOKUP(TEXT(H368,"0"),IPRESS!$A$3:$B$212,2,0),"")</f>
        <v/>
      </c>
      <c r="J368" s="280" t="n"/>
      <c r="K368" s="332">
        <f>IFERROR(VLOOKUP(TEXT(O368,"0"),CONDUCTORES!$A$3:$G$54,7,0),"")</f>
        <v/>
      </c>
      <c r="L368" s="280" t="n"/>
      <c r="M368" s="280" t="n"/>
      <c r="N368" s="333">
        <f>IFERROR(IF(L368*M368=0,"",L368*M368),"")</f>
        <v/>
      </c>
      <c r="O368" s="280" t="n"/>
      <c r="P368" s="332">
        <f>IFERROR(VLOOKUP(TEXT(O368,"0"),CONDUCTORES!$A$3:$G$54,2,0),"")</f>
        <v/>
      </c>
      <c r="Q368" s="332">
        <f>IFERROR(VLOOKUP(TEXT(O368,"0"),CONDUCTORES!$A$3:$H$54,6,0),"")</f>
        <v/>
      </c>
      <c r="R368" s="280" t="n"/>
      <c r="S368" s="280" t="n"/>
      <c r="T368" s="280" t="n"/>
      <c r="U368" s="280" t="n"/>
      <c r="V368" s="280" t="n"/>
      <c r="W368" s="280" t="n"/>
      <c r="X368" s="280" t="n"/>
      <c r="Y368" s="280" t="n"/>
    </row>
    <row r="369" ht="15" customHeight="1" s="195">
      <c r="A369" s="334" t="n"/>
      <c r="B369" s="334" t="n"/>
      <c r="C369" s="334" t="n"/>
      <c r="D369" s="334" t="n"/>
      <c r="E369" s="334" t="n"/>
      <c r="F369" s="334" t="n"/>
      <c r="G369" s="334" t="n"/>
      <c r="H369" s="334" t="n"/>
      <c r="I369" s="332">
        <f>IFERROR(VLOOKUP(TEXT(H369,"0"),IPRESS!$A$3:$B$212,2,0),"")</f>
        <v/>
      </c>
      <c r="J369" s="334" t="n"/>
      <c r="K369" s="332">
        <f>IFERROR(VLOOKUP(TEXT(O369,"0"),CONDUCTORES!$A$3:$G$54,7,0),"")</f>
        <v/>
      </c>
      <c r="L369" s="334" t="n"/>
      <c r="M369" s="334" t="n"/>
      <c r="N369" s="333">
        <f>IFERROR(IF(L369*M369=0,"",L369*M369),"")</f>
        <v/>
      </c>
      <c r="O369" s="334" t="n"/>
      <c r="P369" s="332">
        <f>IFERROR(VLOOKUP(TEXT(O369,"0"),CONDUCTORES!$A$3:$G$54,2,0),"")</f>
        <v/>
      </c>
      <c r="Q369" s="332">
        <f>IFERROR(VLOOKUP(TEXT(O369,"0"),CONDUCTORES!$A$3:$H$54,6,0),"")</f>
        <v/>
      </c>
      <c r="R369" s="334" t="n"/>
      <c r="S369" s="334" t="n"/>
      <c r="T369" s="334" t="n"/>
      <c r="U369" s="334" t="n"/>
      <c r="V369" s="334" t="n"/>
      <c r="W369" s="334" t="n"/>
      <c r="X369" s="334" t="n"/>
      <c r="Y369" s="334" t="n"/>
    </row>
    <row r="370" ht="15" customHeight="1" s="195">
      <c r="A370" s="280" t="n"/>
      <c r="B370" s="280" t="n"/>
      <c r="C370" s="280" t="n"/>
      <c r="D370" s="280" t="n"/>
      <c r="E370" s="280" t="n"/>
      <c r="F370" s="280" t="n"/>
      <c r="G370" s="280" t="n"/>
      <c r="H370" s="280" t="n"/>
      <c r="I370" s="332">
        <f>IFERROR(VLOOKUP(TEXT(H370,"0"),IPRESS!$A$3:$B$212,2,0),"")</f>
        <v/>
      </c>
      <c r="J370" s="280" t="n"/>
      <c r="K370" s="332">
        <f>IFERROR(VLOOKUP(TEXT(O370,"0"),CONDUCTORES!$A$3:$G$54,7,0),"")</f>
        <v/>
      </c>
      <c r="L370" s="280" t="n"/>
      <c r="M370" s="280" t="n"/>
      <c r="N370" s="333">
        <f>IFERROR(IF(L370*M370=0,"",L370*M370),"")</f>
        <v/>
      </c>
      <c r="O370" s="280" t="n"/>
      <c r="P370" s="332">
        <f>IFERROR(VLOOKUP(TEXT(O370,"0"),CONDUCTORES!$A$3:$G$54,2,0),"")</f>
        <v/>
      </c>
      <c r="Q370" s="332">
        <f>IFERROR(VLOOKUP(TEXT(O370,"0"),CONDUCTORES!$A$3:$H$54,6,0),"")</f>
        <v/>
      </c>
      <c r="R370" s="280" t="n"/>
      <c r="S370" s="280" t="n"/>
      <c r="T370" s="280" t="n"/>
      <c r="U370" s="280" t="n"/>
      <c r="V370" s="280" t="n"/>
      <c r="W370" s="280" t="n"/>
      <c r="X370" s="280" t="n"/>
      <c r="Y370" s="280" t="n"/>
    </row>
    <row r="371" ht="15" customHeight="1" s="195">
      <c r="A371" s="334" t="n"/>
      <c r="B371" s="334" t="n"/>
      <c r="C371" s="334" t="n"/>
      <c r="D371" s="334" t="n"/>
      <c r="E371" s="334" t="n"/>
      <c r="F371" s="334" t="n"/>
      <c r="G371" s="334" t="n"/>
      <c r="H371" s="334" t="n"/>
      <c r="I371" s="332">
        <f>IFERROR(VLOOKUP(TEXT(H371,"0"),IPRESS!$A$3:$B$212,2,0),"")</f>
        <v/>
      </c>
      <c r="J371" s="334" t="n"/>
      <c r="K371" s="332">
        <f>IFERROR(VLOOKUP(TEXT(O371,"0"),CONDUCTORES!$A$3:$G$54,7,0),"")</f>
        <v/>
      </c>
      <c r="L371" s="334" t="n"/>
      <c r="M371" s="334" t="n"/>
      <c r="N371" s="333">
        <f>IFERROR(IF(L371*M371=0,"",L371*M371),"")</f>
        <v/>
      </c>
      <c r="O371" s="334" t="n"/>
      <c r="P371" s="332">
        <f>IFERROR(VLOOKUP(TEXT(O371,"0"),CONDUCTORES!$A$3:$G$54,2,0),"")</f>
        <v/>
      </c>
      <c r="Q371" s="332">
        <f>IFERROR(VLOOKUP(TEXT(O371,"0"),CONDUCTORES!$A$3:$H$54,6,0),"")</f>
        <v/>
      </c>
      <c r="R371" s="334" t="n"/>
      <c r="S371" s="334" t="n"/>
      <c r="T371" s="334" t="n"/>
      <c r="U371" s="334" t="n"/>
      <c r="V371" s="334" t="n"/>
      <c r="W371" s="334" t="n"/>
      <c r="X371" s="334" t="n"/>
      <c r="Y371" s="334" t="n"/>
    </row>
    <row r="372" ht="15" customHeight="1" s="195">
      <c r="A372" s="280" t="n"/>
      <c r="B372" s="280" t="n"/>
      <c r="C372" s="280" t="n"/>
      <c r="D372" s="280" t="n"/>
      <c r="E372" s="280" t="n"/>
      <c r="F372" s="280" t="n"/>
      <c r="G372" s="280" t="n"/>
      <c r="H372" s="280" t="n"/>
      <c r="I372" s="332">
        <f>IFERROR(VLOOKUP(TEXT(H372,"0"),IPRESS!$A$3:$B$212,2,0),"")</f>
        <v/>
      </c>
      <c r="J372" s="280" t="n"/>
      <c r="K372" s="332">
        <f>IFERROR(VLOOKUP(TEXT(O372,"0"),CONDUCTORES!$A$3:$G$54,7,0),"")</f>
        <v/>
      </c>
      <c r="L372" s="280" t="n"/>
      <c r="M372" s="280" t="n"/>
      <c r="N372" s="333">
        <f>IFERROR(IF(L372*M372=0,"",L372*M372),"")</f>
        <v/>
      </c>
      <c r="O372" s="280" t="n"/>
      <c r="P372" s="332">
        <f>IFERROR(VLOOKUP(TEXT(O372,"0"),CONDUCTORES!$A$3:$G$54,2,0),"")</f>
        <v/>
      </c>
      <c r="Q372" s="332">
        <f>IFERROR(VLOOKUP(TEXT(O372,"0"),CONDUCTORES!$A$3:$H$54,6,0),"")</f>
        <v/>
      </c>
      <c r="R372" s="280" t="n"/>
      <c r="S372" s="280" t="n"/>
      <c r="T372" s="280" t="n"/>
      <c r="U372" s="280" t="n"/>
      <c r="V372" s="280" t="n"/>
      <c r="W372" s="280" t="n"/>
      <c r="X372" s="280" t="n"/>
      <c r="Y372" s="280" t="n"/>
    </row>
    <row r="373" ht="15" customHeight="1" s="195">
      <c r="A373" s="334" t="n"/>
      <c r="B373" s="334" t="n"/>
      <c r="C373" s="334" t="n"/>
      <c r="D373" s="334" t="n"/>
      <c r="E373" s="334" t="n"/>
      <c r="F373" s="334" t="n"/>
      <c r="G373" s="334" t="n"/>
      <c r="H373" s="334" t="n"/>
      <c r="I373" s="332">
        <f>IFERROR(VLOOKUP(TEXT(H373,"0"),IPRESS!$A$3:$B$212,2,0),"")</f>
        <v/>
      </c>
      <c r="J373" s="334" t="n"/>
      <c r="K373" s="332">
        <f>IFERROR(VLOOKUP(TEXT(O373,"0"),CONDUCTORES!$A$3:$G$54,7,0),"")</f>
        <v/>
      </c>
      <c r="L373" s="334" t="n"/>
      <c r="M373" s="334" t="n"/>
      <c r="N373" s="333">
        <f>IFERROR(IF(L373*M373=0,"",L373*M373),"")</f>
        <v/>
      </c>
      <c r="O373" s="334" t="n"/>
      <c r="P373" s="332">
        <f>IFERROR(VLOOKUP(TEXT(O373,"0"),CONDUCTORES!$A$3:$G$54,2,0),"")</f>
        <v/>
      </c>
      <c r="Q373" s="332">
        <f>IFERROR(VLOOKUP(TEXT(O373,"0"),CONDUCTORES!$A$3:$H$54,6,0),"")</f>
        <v/>
      </c>
      <c r="R373" s="334" t="n"/>
      <c r="S373" s="334" t="n"/>
      <c r="T373" s="334" t="n"/>
      <c r="U373" s="334" t="n"/>
      <c r="V373" s="334" t="n"/>
      <c r="W373" s="334" t="n"/>
      <c r="X373" s="334" t="n"/>
      <c r="Y373" s="334" t="n"/>
    </row>
    <row r="374" ht="15" customHeight="1" s="195">
      <c r="A374" s="280" t="n"/>
      <c r="B374" s="280" t="n"/>
      <c r="C374" s="280" t="n"/>
      <c r="D374" s="280" t="n"/>
      <c r="E374" s="280" t="n"/>
      <c r="F374" s="280" t="n"/>
      <c r="G374" s="280" t="n"/>
      <c r="H374" s="280" t="n"/>
      <c r="I374" s="332">
        <f>IFERROR(VLOOKUP(TEXT(H374,"0"),IPRESS!$A$3:$B$212,2,0),"")</f>
        <v/>
      </c>
      <c r="J374" s="280" t="n"/>
      <c r="K374" s="332">
        <f>IFERROR(VLOOKUP(TEXT(O374,"0"),CONDUCTORES!$A$3:$G$54,7,0),"")</f>
        <v/>
      </c>
      <c r="L374" s="280" t="n"/>
      <c r="M374" s="280" t="n"/>
      <c r="N374" s="333">
        <f>IFERROR(IF(L374*M374=0,"",L374*M374),"")</f>
        <v/>
      </c>
      <c r="O374" s="280" t="n"/>
      <c r="P374" s="332">
        <f>IFERROR(VLOOKUP(TEXT(O374,"0"),CONDUCTORES!$A$3:$G$54,2,0),"")</f>
        <v/>
      </c>
      <c r="Q374" s="332">
        <f>IFERROR(VLOOKUP(TEXT(O374,"0"),CONDUCTORES!$A$3:$H$54,6,0),"")</f>
        <v/>
      </c>
      <c r="R374" s="280" t="n"/>
      <c r="S374" s="280" t="n"/>
      <c r="T374" s="280" t="n"/>
      <c r="U374" s="280" t="n"/>
      <c r="V374" s="280" t="n"/>
      <c r="W374" s="280" t="n"/>
      <c r="X374" s="280" t="n"/>
      <c r="Y374" s="280" t="n"/>
    </row>
    <row r="375" ht="15" customHeight="1" s="195">
      <c r="A375" s="334" t="n"/>
      <c r="B375" s="334" t="n"/>
      <c r="C375" s="334" t="n"/>
      <c r="D375" s="334" t="n"/>
      <c r="E375" s="334" t="n"/>
      <c r="F375" s="334" t="n"/>
      <c r="G375" s="334" t="n"/>
      <c r="H375" s="334" t="n"/>
      <c r="I375" s="332">
        <f>IFERROR(VLOOKUP(TEXT(H375,"0"),IPRESS!$A$3:$B$212,2,0),"")</f>
        <v/>
      </c>
      <c r="J375" s="334" t="n"/>
      <c r="K375" s="332">
        <f>IFERROR(VLOOKUP(TEXT(O375,"0"),CONDUCTORES!$A$3:$G$54,7,0),"")</f>
        <v/>
      </c>
      <c r="L375" s="334" t="n"/>
      <c r="M375" s="334" t="n"/>
      <c r="N375" s="333">
        <f>IFERROR(IF(L375*M375=0,"",L375*M375),"")</f>
        <v/>
      </c>
      <c r="O375" s="334" t="n"/>
      <c r="P375" s="332">
        <f>IFERROR(VLOOKUP(TEXT(O375,"0"),CONDUCTORES!$A$3:$G$54,2,0),"")</f>
        <v/>
      </c>
      <c r="Q375" s="332">
        <f>IFERROR(VLOOKUP(TEXT(O375,"0"),CONDUCTORES!$A$3:$H$54,6,0),"")</f>
        <v/>
      </c>
      <c r="R375" s="334" t="n"/>
      <c r="S375" s="334" t="n"/>
      <c r="T375" s="334" t="n"/>
      <c r="U375" s="334" t="n"/>
      <c r="V375" s="334" t="n"/>
      <c r="W375" s="334" t="n"/>
      <c r="X375" s="334" t="n"/>
      <c r="Y375" s="334" t="n"/>
    </row>
    <row r="376" ht="15" customHeight="1" s="195">
      <c r="A376" s="280" t="n"/>
      <c r="B376" s="280" t="n"/>
      <c r="C376" s="280" t="n"/>
      <c r="D376" s="280" t="n"/>
      <c r="E376" s="280" t="n"/>
      <c r="F376" s="280" t="n"/>
      <c r="G376" s="280" t="n"/>
      <c r="H376" s="280" t="n"/>
      <c r="I376" s="332">
        <f>IFERROR(VLOOKUP(TEXT(H376,"0"),IPRESS!$A$3:$B$212,2,0),"")</f>
        <v/>
      </c>
      <c r="J376" s="280" t="n"/>
      <c r="K376" s="332">
        <f>IFERROR(VLOOKUP(TEXT(O376,"0"),CONDUCTORES!$A$3:$G$54,7,0),"")</f>
        <v/>
      </c>
      <c r="L376" s="280" t="n"/>
      <c r="M376" s="280" t="n"/>
      <c r="N376" s="333">
        <f>IFERROR(IF(L376*M376=0,"",L376*M376),"")</f>
        <v/>
      </c>
      <c r="O376" s="280" t="n"/>
      <c r="P376" s="332">
        <f>IFERROR(VLOOKUP(TEXT(O376,"0"),CONDUCTORES!$A$3:$G$54,2,0),"")</f>
        <v/>
      </c>
      <c r="Q376" s="332">
        <f>IFERROR(VLOOKUP(TEXT(O376,"0"),CONDUCTORES!$A$3:$H$54,6,0),"")</f>
        <v/>
      </c>
      <c r="R376" s="280" t="n"/>
      <c r="S376" s="280" t="n"/>
      <c r="T376" s="280" t="n"/>
      <c r="U376" s="280" t="n"/>
      <c r="V376" s="280" t="n"/>
      <c r="W376" s="280" t="n"/>
      <c r="X376" s="280" t="n"/>
      <c r="Y376" s="280" t="n"/>
    </row>
    <row r="377" ht="15" customHeight="1" s="195">
      <c r="A377" s="334" t="n"/>
      <c r="B377" s="334" t="n"/>
      <c r="C377" s="334" t="n"/>
      <c r="D377" s="334" t="n"/>
      <c r="E377" s="334" t="n"/>
      <c r="F377" s="334" t="n"/>
      <c r="G377" s="334" t="n"/>
      <c r="H377" s="334" t="n"/>
      <c r="I377" s="332">
        <f>IFERROR(VLOOKUP(TEXT(H377,"0"),IPRESS!$A$3:$B$212,2,0),"")</f>
        <v/>
      </c>
      <c r="J377" s="334" t="n"/>
      <c r="K377" s="332">
        <f>IFERROR(VLOOKUP(TEXT(O377,"0"),CONDUCTORES!$A$3:$G$54,7,0),"")</f>
        <v/>
      </c>
      <c r="L377" s="334" t="n"/>
      <c r="M377" s="334" t="n"/>
      <c r="N377" s="333">
        <f>IFERROR(IF(L377*M377=0,"",L377*M377),"")</f>
        <v/>
      </c>
      <c r="O377" s="334" t="n"/>
      <c r="P377" s="332">
        <f>IFERROR(VLOOKUP(TEXT(O377,"0"),CONDUCTORES!$A$3:$G$54,2,0),"")</f>
        <v/>
      </c>
      <c r="Q377" s="332">
        <f>IFERROR(VLOOKUP(TEXT(O377,"0"),CONDUCTORES!$A$3:$H$54,6,0),"")</f>
        <v/>
      </c>
      <c r="R377" s="334" t="n"/>
      <c r="S377" s="334" t="n"/>
      <c r="T377" s="334" t="n"/>
      <c r="U377" s="334" t="n"/>
      <c r="V377" s="334" t="n"/>
      <c r="W377" s="334" t="n"/>
      <c r="X377" s="334" t="n"/>
      <c r="Y377" s="334" t="n"/>
    </row>
    <row r="378" ht="15" customHeight="1" s="195">
      <c r="A378" s="280" t="n"/>
      <c r="B378" s="280" t="n"/>
      <c r="C378" s="280" t="n"/>
      <c r="D378" s="280" t="n"/>
      <c r="E378" s="280" t="n"/>
      <c r="F378" s="280" t="n"/>
      <c r="G378" s="280" t="n"/>
      <c r="H378" s="280" t="n"/>
      <c r="I378" s="332">
        <f>IFERROR(VLOOKUP(TEXT(H378,"0"),IPRESS!$A$3:$B$212,2,0),"")</f>
        <v/>
      </c>
      <c r="J378" s="280" t="n"/>
      <c r="K378" s="332">
        <f>IFERROR(VLOOKUP(TEXT(O378,"0"),CONDUCTORES!$A$3:$G$54,7,0),"")</f>
        <v/>
      </c>
      <c r="L378" s="280" t="n"/>
      <c r="M378" s="280" t="n"/>
      <c r="N378" s="333">
        <f>IFERROR(IF(L378*M378=0,"",L378*M378),"")</f>
        <v/>
      </c>
      <c r="O378" s="280" t="n"/>
      <c r="P378" s="332">
        <f>IFERROR(VLOOKUP(TEXT(O378,"0"),CONDUCTORES!$A$3:$G$54,2,0),"")</f>
        <v/>
      </c>
      <c r="Q378" s="332">
        <f>IFERROR(VLOOKUP(TEXT(O378,"0"),CONDUCTORES!$A$3:$H$54,6,0),"")</f>
        <v/>
      </c>
      <c r="R378" s="280" t="n"/>
      <c r="S378" s="280" t="n"/>
      <c r="T378" s="280" t="n"/>
      <c r="U378" s="280" t="n"/>
      <c r="V378" s="280" t="n"/>
      <c r="W378" s="280" t="n"/>
      <c r="X378" s="280" t="n"/>
      <c r="Y378" s="280" t="n"/>
    </row>
    <row r="379" ht="15" customHeight="1" s="195">
      <c r="A379" s="334" t="n"/>
      <c r="B379" s="334" t="n"/>
      <c r="C379" s="334" t="n"/>
      <c r="D379" s="334" t="n"/>
      <c r="E379" s="334" t="n"/>
      <c r="F379" s="334" t="n"/>
      <c r="G379" s="334" t="n"/>
      <c r="H379" s="334" t="n"/>
      <c r="I379" s="332">
        <f>IFERROR(VLOOKUP(TEXT(H379,"0"),IPRESS!$A$3:$B$212,2,0),"")</f>
        <v/>
      </c>
      <c r="J379" s="334" t="n"/>
      <c r="K379" s="332">
        <f>IFERROR(VLOOKUP(TEXT(O379,"0"),CONDUCTORES!$A$3:$G$54,7,0),"")</f>
        <v/>
      </c>
      <c r="L379" s="334" t="n"/>
      <c r="M379" s="334" t="n"/>
      <c r="N379" s="333">
        <f>IFERROR(IF(L379*M379=0,"",L379*M379),"")</f>
        <v/>
      </c>
      <c r="O379" s="334" t="n"/>
      <c r="P379" s="332">
        <f>IFERROR(VLOOKUP(TEXT(O379,"0"),CONDUCTORES!$A$3:$G$54,2,0),"")</f>
        <v/>
      </c>
      <c r="Q379" s="332">
        <f>IFERROR(VLOOKUP(TEXT(O379,"0"),CONDUCTORES!$A$3:$H$54,6,0),"")</f>
        <v/>
      </c>
      <c r="R379" s="334" t="n"/>
      <c r="S379" s="334" t="n"/>
      <c r="T379" s="334" t="n"/>
      <c r="U379" s="334" t="n"/>
      <c r="V379" s="334" t="n"/>
      <c r="W379" s="334" t="n"/>
      <c r="X379" s="334" t="n"/>
      <c r="Y379" s="334" t="n"/>
    </row>
    <row r="380" ht="15" customHeight="1" s="195">
      <c r="A380" s="280" t="n"/>
      <c r="B380" s="280" t="n"/>
      <c r="C380" s="280" t="n"/>
      <c r="D380" s="280" t="n"/>
      <c r="E380" s="280" t="n"/>
      <c r="F380" s="280" t="n"/>
      <c r="G380" s="280" t="n"/>
      <c r="H380" s="280" t="n"/>
      <c r="I380" s="332">
        <f>IFERROR(VLOOKUP(TEXT(H380,"0"),IPRESS!$A$3:$B$212,2,0),"")</f>
        <v/>
      </c>
      <c r="J380" s="280" t="n"/>
      <c r="K380" s="332">
        <f>IFERROR(VLOOKUP(TEXT(O380,"0"),CONDUCTORES!$A$3:$G$54,7,0),"")</f>
        <v/>
      </c>
      <c r="L380" s="280" t="n"/>
      <c r="M380" s="280" t="n"/>
      <c r="N380" s="333">
        <f>IFERROR(IF(L380*M380=0,"",L380*M380),"")</f>
        <v/>
      </c>
      <c r="O380" s="280" t="n"/>
      <c r="P380" s="332">
        <f>IFERROR(VLOOKUP(TEXT(O380,"0"),CONDUCTORES!$A$3:$G$54,2,0),"")</f>
        <v/>
      </c>
      <c r="Q380" s="332">
        <f>IFERROR(VLOOKUP(TEXT(O380,"0"),CONDUCTORES!$A$3:$H$54,6,0),"")</f>
        <v/>
      </c>
      <c r="R380" s="280" t="n"/>
      <c r="S380" s="280" t="n"/>
      <c r="T380" s="280" t="n"/>
      <c r="U380" s="280" t="n"/>
      <c r="V380" s="280" t="n"/>
      <c r="W380" s="280" t="n"/>
      <c r="X380" s="280" t="n"/>
      <c r="Y380" s="280" t="n"/>
    </row>
    <row r="381" ht="15" customHeight="1" s="195">
      <c r="A381" s="334" t="n"/>
      <c r="B381" s="334" t="n"/>
      <c r="C381" s="334" t="n"/>
      <c r="D381" s="334" t="n"/>
      <c r="E381" s="334" t="n"/>
      <c r="F381" s="334" t="n"/>
      <c r="G381" s="334" t="n"/>
      <c r="H381" s="334" t="n"/>
      <c r="I381" s="332">
        <f>IFERROR(VLOOKUP(TEXT(H381,"0"),IPRESS!$A$3:$B$212,2,0),"")</f>
        <v/>
      </c>
      <c r="J381" s="334" t="n"/>
      <c r="K381" s="332">
        <f>IFERROR(VLOOKUP(TEXT(O381,"0"),CONDUCTORES!$A$3:$G$54,7,0),"")</f>
        <v/>
      </c>
      <c r="L381" s="334" t="n"/>
      <c r="M381" s="334" t="n"/>
      <c r="N381" s="333">
        <f>IFERROR(IF(L381*M381=0,"",L381*M381),"")</f>
        <v/>
      </c>
      <c r="O381" s="334" t="n"/>
      <c r="P381" s="332">
        <f>IFERROR(VLOOKUP(TEXT(O381,"0"),CONDUCTORES!$A$3:$G$54,2,0),"")</f>
        <v/>
      </c>
      <c r="Q381" s="332">
        <f>IFERROR(VLOOKUP(TEXT(O381,"0"),CONDUCTORES!$A$3:$H$54,6,0),"")</f>
        <v/>
      </c>
      <c r="R381" s="334" t="n"/>
      <c r="S381" s="334" t="n"/>
      <c r="T381" s="334" t="n"/>
      <c r="U381" s="334" t="n"/>
      <c r="V381" s="334" t="n"/>
      <c r="W381" s="334" t="n"/>
      <c r="X381" s="334" t="n"/>
      <c r="Y381" s="334" t="n"/>
    </row>
    <row r="382" ht="15" customHeight="1" s="195">
      <c r="A382" s="280" t="n"/>
      <c r="B382" s="280" t="n"/>
      <c r="C382" s="280" t="n"/>
      <c r="D382" s="280" t="n"/>
      <c r="E382" s="280" t="n"/>
      <c r="F382" s="280" t="n"/>
      <c r="G382" s="280" t="n"/>
      <c r="H382" s="280" t="n"/>
      <c r="I382" s="332">
        <f>IFERROR(VLOOKUP(TEXT(H382,"0"),IPRESS!$A$3:$B$212,2,0),"")</f>
        <v/>
      </c>
      <c r="J382" s="280" t="n"/>
      <c r="K382" s="332">
        <f>IFERROR(VLOOKUP(TEXT(O382,"0"),CONDUCTORES!$A$3:$G$54,7,0),"")</f>
        <v/>
      </c>
      <c r="L382" s="280" t="n"/>
      <c r="M382" s="280" t="n"/>
      <c r="N382" s="333">
        <f>IFERROR(IF(L382*M382=0,"",L382*M382),"")</f>
        <v/>
      </c>
      <c r="O382" s="280" t="n"/>
      <c r="P382" s="332">
        <f>IFERROR(VLOOKUP(TEXT(O382,"0"),CONDUCTORES!$A$3:$G$54,2,0),"")</f>
        <v/>
      </c>
      <c r="Q382" s="332">
        <f>IFERROR(VLOOKUP(TEXT(O382,"0"),CONDUCTORES!$A$3:$H$54,6,0),"")</f>
        <v/>
      </c>
      <c r="R382" s="280" t="n"/>
      <c r="S382" s="280" t="n"/>
      <c r="T382" s="280" t="n"/>
      <c r="U382" s="280" t="n"/>
      <c r="V382" s="280" t="n"/>
      <c r="W382" s="280" t="n"/>
      <c r="X382" s="280" t="n"/>
      <c r="Y382" s="280" t="n"/>
    </row>
    <row r="383" ht="15" customHeight="1" s="195">
      <c r="A383" s="334" t="n"/>
      <c r="B383" s="334" t="n"/>
      <c r="C383" s="334" t="n"/>
      <c r="D383" s="334" t="n"/>
      <c r="E383" s="334" t="n"/>
      <c r="F383" s="334" t="n"/>
      <c r="G383" s="334" t="n"/>
      <c r="H383" s="334" t="n"/>
      <c r="I383" s="332">
        <f>IFERROR(VLOOKUP(TEXT(H383,"0"),IPRESS!$A$3:$B$212,2,0),"")</f>
        <v/>
      </c>
      <c r="J383" s="334" t="n"/>
      <c r="K383" s="332">
        <f>IFERROR(VLOOKUP(TEXT(O383,"0"),CONDUCTORES!$A$3:$G$54,7,0),"")</f>
        <v/>
      </c>
      <c r="L383" s="334" t="n"/>
      <c r="M383" s="334" t="n"/>
      <c r="N383" s="333">
        <f>IFERROR(IF(L383*M383=0,"",L383*M383),"")</f>
        <v/>
      </c>
      <c r="O383" s="334" t="n"/>
      <c r="P383" s="332">
        <f>IFERROR(VLOOKUP(TEXT(O383,"0"),CONDUCTORES!$A$3:$G$54,2,0),"")</f>
        <v/>
      </c>
      <c r="Q383" s="332">
        <f>IFERROR(VLOOKUP(TEXT(O383,"0"),CONDUCTORES!$A$3:$H$54,6,0),"")</f>
        <v/>
      </c>
      <c r="R383" s="334" t="n"/>
      <c r="S383" s="334" t="n"/>
      <c r="T383" s="334" t="n"/>
      <c r="U383" s="334" t="n"/>
      <c r="V383" s="334" t="n"/>
      <c r="W383" s="334" t="n"/>
      <c r="X383" s="334" t="n"/>
      <c r="Y383" s="334" t="n"/>
    </row>
    <row r="384" ht="15" customHeight="1" s="195">
      <c r="A384" s="280" t="n"/>
      <c r="B384" s="280" t="n"/>
      <c r="C384" s="280" t="n"/>
      <c r="D384" s="280" t="n"/>
      <c r="E384" s="280" t="n"/>
      <c r="F384" s="280" t="n"/>
      <c r="G384" s="280" t="n"/>
      <c r="H384" s="280" t="n"/>
      <c r="I384" s="332">
        <f>IFERROR(VLOOKUP(TEXT(H384,"0"),IPRESS!$A$3:$B$212,2,0),"")</f>
        <v/>
      </c>
      <c r="J384" s="280" t="n"/>
      <c r="K384" s="332">
        <f>IFERROR(VLOOKUP(TEXT(O384,"0"),CONDUCTORES!$A$3:$G$54,7,0),"")</f>
        <v/>
      </c>
      <c r="L384" s="280" t="n"/>
      <c r="M384" s="280" t="n"/>
      <c r="N384" s="333">
        <f>IFERROR(IF(L384*M384=0,"",L384*M384),"")</f>
        <v/>
      </c>
      <c r="O384" s="280" t="n"/>
      <c r="P384" s="332">
        <f>IFERROR(VLOOKUP(TEXT(O384,"0"),CONDUCTORES!$A$3:$G$54,2,0),"")</f>
        <v/>
      </c>
      <c r="Q384" s="332">
        <f>IFERROR(VLOOKUP(TEXT(O384,"0"),CONDUCTORES!$A$3:$H$54,6,0),"")</f>
        <v/>
      </c>
      <c r="R384" s="280" t="n"/>
      <c r="S384" s="280" t="n"/>
      <c r="T384" s="280" t="n"/>
      <c r="U384" s="280" t="n"/>
      <c r="V384" s="280" t="n"/>
      <c r="W384" s="280" t="n"/>
      <c r="X384" s="280" t="n"/>
      <c r="Y384" s="280" t="n"/>
    </row>
    <row r="385" ht="15" customHeight="1" s="195">
      <c r="A385" s="334" t="n"/>
      <c r="B385" s="334" t="n"/>
      <c r="C385" s="334" t="n"/>
      <c r="D385" s="334" t="n"/>
      <c r="E385" s="334" t="n"/>
      <c r="F385" s="334" t="n"/>
      <c r="G385" s="334" t="n"/>
      <c r="H385" s="334" t="n"/>
      <c r="I385" s="332">
        <f>IFERROR(VLOOKUP(TEXT(H385,"0"),IPRESS!$A$3:$B$212,2,0),"")</f>
        <v/>
      </c>
      <c r="J385" s="334" t="n"/>
      <c r="K385" s="332">
        <f>IFERROR(VLOOKUP(TEXT(O385,"0"),CONDUCTORES!$A$3:$G$54,7,0),"")</f>
        <v/>
      </c>
      <c r="L385" s="334" t="n"/>
      <c r="M385" s="334" t="n"/>
      <c r="N385" s="333">
        <f>IFERROR(IF(L385*M385=0,"",L385*M385),"")</f>
        <v/>
      </c>
      <c r="O385" s="334" t="n"/>
      <c r="P385" s="332">
        <f>IFERROR(VLOOKUP(TEXT(O385,"0"),CONDUCTORES!$A$3:$G$54,2,0),"")</f>
        <v/>
      </c>
      <c r="Q385" s="332">
        <f>IFERROR(VLOOKUP(TEXT(O385,"0"),CONDUCTORES!$A$3:$H$54,6,0),"")</f>
        <v/>
      </c>
      <c r="R385" s="334" t="n"/>
      <c r="S385" s="334" t="n"/>
      <c r="T385" s="334" t="n"/>
      <c r="U385" s="334" t="n"/>
      <c r="V385" s="334" t="n"/>
      <c r="W385" s="334" t="n"/>
      <c r="X385" s="334" t="n"/>
      <c r="Y385" s="334" t="n"/>
    </row>
    <row r="386" ht="15" customHeight="1" s="195">
      <c r="A386" s="280" t="n"/>
      <c r="B386" s="280" t="n"/>
      <c r="C386" s="280" t="n"/>
      <c r="D386" s="280" t="n"/>
      <c r="E386" s="280" t="n"/>
      <c r="F386" s="280" t="n"/>
      <c r="G386" s="280" t="n"/>
      <c r="H386" s="280" t="n"/>
      <c r="I386" s="332">
        <f>IFERROR(VLOOKUP(TEXT(H386,"0"),IPRESS!$A$3:$B$212,2,0),"")</f>
        <v/>
      </c>
      <c r="J386" s="280" t="n"/>
      <c r="K386" s="332">
        <f>IFERROR(VLOOKUP(TEXT(O386,"0"),CONDUCTORES!$A$3:$G$54,7,0),"")</f>
        <v/>
      </c>
      <c r="L386" s="280" t="n"/>
      <c r="M386" s="280" t="n"/>
      <c r="N386" s="333">
        <f>IFERROR(IF(L386*M386=0,"",L386*M386),"")</f>
        <v/>
      </c>
      <c r="O386" s="280" t="n"/>
      <c r="P386" s="332">
        <f>IFERROR(VLOOKUP(TEXT(O386,"0"),CONDUCTORES!$A$3:$G$54,2,0),"")</f>
        <v/>
      </c>
      <c r="Q386" s="332">
        <f>IFERROR(VLOOKUP(TEXT(O386,"0"),CONDUCTORES!$A$3:$H$54,6,0),"")</f>
        <v/>
      </c>
      <c r="R386" s="280" t="n"/>
      <c r="S386" s="280" t="n"/>
      <c r="T386" s="280" t="n"/>
      <c r="U386" s="280" t="n"/>
      <c r="V386" s="280" t="n"/>
      <c r="W386" s="280" t="n"/>
      <c r="X386" s="280" t="n"/>
      <c r="Y386" s="280" t="n"/>
    </row>
    <row r="387" ht="15" customHeight="1" s="195">
      <c r="A387" s="334" t="n"/>
      <c r="B387" s="334" t="n"/>
      <c r="C387" s="334" t="n"/>
      <c r="D387" s="334" t="n"/>
      <c r="E387" s="334" t="n"/>
      <c r="F387" s="334" t="n"/>
      <c r="G387" s="334" t="n"/>
      <c r="H387" s="334" t="n"/>
      <c r="I387" s="332">
        <f>IFERROR(VLOOKUP(TEXT(H387,"0"),IPRESS!$A$3:$B$212,2,0),"")</f>
        <v/>
      </c>
      <c r="J387" s="334" t="n"/>
      <c r="K387" s="332">
        <f>IFERROR(VLOOKUP(TEXT(O387,"0"),CONDUCTORES!$A$3:$G$54,7,0),"")</f>
        <v/>
      </c>
      <c r="L387" s="334" t="n"/>
      <c r="M387" s="334" t="n"/>
      <c r="N387" s="333">
        <f>IFERROR(IF(L387*M387=0,"",L387*M387),"")</f>
        <v/>
      </c>
      <c r="O387" s="334" t="n"/>
      <c r="P387" s="332">
        <f>IFERROR(VLOOKUP(TEXT(O387,"0"),CONDUCTORES!$A$3:$G$54,2,0),"")</f>
        <v/>
      </c>
      <c r="Q387" s="332">
        <f>IFERROR(VLOOKUP(TEXT(O387,"0"),CONDUCTORES!$A$3:$H$54,6,0),"")</f>
        <v/>
      </c>
      <c r="R387" s="334" t="n"/>
      <c r="S387" s="334" t="n"/>
      <c r="T387" s="334" t="n"/>
      <c r="U387" s="334" t="n"/>
      <c r="V387" s="334" t="n"/>
      <c r="W387" s="334" t="n"/>
      <c r="X387" s="334" t="n"/>
      <c r="Y387" s="334" t="n"/>
    </row>
    <row r="388" ht="15" customHeight="1" s="195">
      <c r="A388" s="280" t="n"/>
      <c r="B388" s="280" t="n"/>
      <c r="C388" s="280" t="n"/>
      <c r="D388" s="280" t="n"/>
      <c r="E388" s="280" t="n"/>
      <c r="F388" s="280" t="n"/>
      <c r="G388" s="280" t="n"/>
      <c r="H388" s="280" t="n"/>
      <c r="I388" s="332">
        <f>IFERROR(VLOOKUP(TEXT(H388,"0"),IPRESS!$A$3:$B$212,2,0),"")</f>
        <v/>
      </c>
      <c r="J388" s="280" t="n"/>
      <c r="K388" s="332">
        <f>IFERROR(VLOOKUP(TEXT(O388,"0"),CONDUCTORES!$A$3:$G$54,7,0),"")</f>
        <v/>
      </c>
      <c r="L388" s="280" t="n"/>
      <c r="M388" s="280" t="n"/>
      <c r="N388" s="333">
        <f>IFERROR(IF(L388*M388=0,"",L388*M388),"")</f>
        <v/>
      </c>
      <c r="O388" s="280" t="n"/>
      <c r="P388" s="332">
        <f>IFERROR(VLOOKUP(TEXT(O388,"0"),CONDUCTORES!$A$3:$G$54,2,0),"")</f>
        <v/>
      </c>
      <c r="Q388" s="332">
        <f>IFERROR(VLOOKUP(TEXT(O388,"0"),CONDUCTORES!$A$3:$H$54,6,0),"")</f>
        <v/>
      </c>
      <c r="R388" s="280" t="n"/>
      <c r="S388" s="280" t="n"/>
      <c r="T388" s="280" t="n"/>
      <c r="U388" s="280" t="n"/>
      <c r="V388" s="280" t="n"/>
      <c r="W388" s="280" t="n"/>
      <c r="X388" s="280" t="n"/>
      <c r="Y388" s="280" t="n"/>
    </row>
    <row r="389" ht="15" customHeight="1" s="195">
      <c r="A389" s="334" t="n"/>
      <c r="B389" s="334" t="n"/>
      <c r="C389" s="334" t="n"/>
      <c r="D389" s="334" t="n"/>
      <c r="E389" s="334" t="n"/>
      <c r="F389" s="334" t="n"/>
      <c r="G389" s="334" t="n"/>
      <c r="H389" s="334" t="n"/>
      <c r="I389" s="332">
        <f>IFERROR(VLOOKUP(TEXT(H389,"0"),IPRESS!$A$3:$B$212,2,0),"")</f>
        <v/>
      </c>
      <c r="J389" s="334" t="n"/>
      <c r="K389" s="332">
        <f>IFERROR(VLOOKUP(TEXT(O389,"0"),CONDUCTORES!$A$3:$G$54,7,0),"")</f>
        <v/>
      </c>
      <c r="L389" s="334" t="n"/>
      <c r="M389" s="334" t="n"/>
      <c r="N389" s="333">
        <f>IFERROR(IF(L389*M389=0,"",L389*M389),"")</f>
        <v/>
      </c>
      <c r="O389" s="334" t="n"/>
      <c r="P389" s="332">
        <f>IFERROR(VLOOKUP(TEXT(O389,"0"),CONDUCTORES!$A$3:$G$54,2,0),"")</f>
        <v/>
      </c>
      <c r="Q389" s="332">
        <f>IFERROR(VLOOKUP(TEXT(O389,"0"),CONDUCTORES!$A$3:$H$54,6,0),"")</f>
        <v/>
      </c>
      <c r="R389" s="334" t="n"/>
      <c r="S389" s="334" t="n"/>
      <c r="T389" s="334" t="n"/>
      <c r="U389" s="334" t="n"/>
      <c r="V389" s="334" t="n"/>
      <c r="W389" s="334" t="n"/>
      <c r="X389" s="334" t="n"/>
      <c r="Y389" s="334" t="n"/>
    </row>
    <row r="390" ht="15" customHeight="1" s="195">
      <c r="A390" s="280" t="n"/>
      <c r="B390" s="280" t="n"/>
      <c r="C390" s="280" t="n"/>
      <c r="D390" s="280" t="n"/>
      <c r="E390" s="280" t="n"/>
      <c r="F390" s="280" t="n"/>
      <c r="G390" s="280" t="n"/>
      <c r="H390" s="280" t="n"/>
      <c r="I390" s="332">
        <f>IFERROR(VLOOKUP(TEXT(H390,"0"),IPRESS!$A$3:$B$212,2,0),"")</f>
        <v/>
      </c>
      <c r="J390" s="280" t="n"/>
      <c r="K390" s="332">
        <f>IFERROR(VLOOKUP(TEXT(O390,"0"),CONDUCTORES!$A$3:$G$54,7,0),"")</f>
        <v/>
      </c>
      <c r="L390" s="280" t="n"/>
      <c r="M390" s="280" t="n"/>
      <c r="N390" s="333">
        <f>IFERROR(IF(L390*M390=0,"",L390*M390),"")</f>
        <v/>
      </c>
      <c r="O390" s="280" t="n"/>
      <c r="P390" s="332">
        <f>IFERROR(VLOOKUP(TEXT(O390,"0"),CONDUCTORES!$A$3:$G$54,2,0),"")</f>
        <v/>
      </c>
      <c r="Q390" s="332">
        <f>IFERROR(VLOOKUP(TEXT(O390,"0"),CONDUCTORES!$A$3:$H$54,6,0),"")</f>
        <v/>
      </c>
      <c r="R390" s="280" t="n"/>
      <c r="S390" s="280" t="n"/>
      <c r="T390" s="280" t="n"/>
      <c r="U390" s="280" t="n"/>
      <c r="V390" s="280" t="n"/>
      <c r="W390" s="280" t="n"/>
      <c r="X390" s="280" t="n"/>
      <c r="Y390" s="280" t="n"/>
    </row>
    <row r="391" ht="15" customHeight="1" s="195">
      <c r="A391" s="334" t="n"/>
      <c r="B391" s="334" t="n"/>
      <c r="C391" s="334" t="n"/>
      <c r="D391" s="334" t="n"/>
      <c r="E391" s="334" t="n"/>
      <c r="F391" s="334" t="n"/>
      <c r="G391" s="334" t="n"/>
      <c r="H391" s="334" t="n"/>
      <c r="I391" s="332">
        <f>IFERROR(VLOOKUP(TEXT(H391,"0"),IPRESS!$A$3:$B$212,2,0),"")</f>
        <v/>
      </c>
      <c r="J391" s="334" t="n"/>
      <c r="K391" s="332">
        <f>IFERROR(VLOOKUP(TEXT(O391,"0"),CONDUCTORES!$A$3:$G$54,7,0),"")</f>
        <v/>
      </c>
      <c r="L391" s="334" t="n"/>
      <c r="M391" s="334" t="n"/>
      <c r="N391" s="333">
        <f>IFERROR(IF(L391*M391=0,"",L391*M391),"")</f>
        <v/>
      </c>
      <c r="O391" s="334" t="n"/>
      <c r="P391" s="332">
        <f>IFERROR(VLOOKUP(TEXT(O391,"0"),CONDUCTORES!$A$3:$G$54,2,0),"")</f>
        <v/>
      </c>
      <c r="Q391" s="332">
        <f>IFERROR(VLOOKUP(TEXT(O391,"0"),CONDUCTORES!$A$3:$H$54,6,0),"")</f>
        <v/>
      </c>
      <c r="R391" s="334" t="n"/>
      <c r="S391" s="334" t="n"/>
      <c r="T391" s="334" t="n"/>
      <c r="U391" s="334" t="n"/>
      <c r="V391" s="334" t="n"/>
      <c r="W391" s="334" t="n"/>
      <c r="X391" s="334" t="n"/>
      <c r="Y391" s="334" t="n"/>
    </row>
    <row r="392" ht="15" customHeight="1" s="195">
      <c r="A392" s="280" t="n"/>
      <c r="B392" s="280" t="n"/>
      <c r="C392" s="280" t="n"/>
      <c r="D392" s="280" t="n"/>
      <c r="E392" s="280" t="n"/>
      <c r="F392" s="280" t="n"/>
      <c r="G392" s="280" t="n"/>
      <c r="H392" s="280" t="n"/>
      <c r="I392" s="332">
        <f>IFERROR(VLOOKUP(TEXT(H392,"0"),IPRESS!$A$3:$B$212,2,0),"")</f>
        <v/>
      </c>
      <c r="J392" s="280" t="n"/>
      <c r="K392" s="332">
        <f>IFERROR(VLOOKUP(TEXT(O392,"0"),CONDUCTORES!$A$3:$G$54,7,0),"")</f>
        <v/>
      </c>
      <c r="L392" s="280" t="n"/>
      <c r="M392" s="280" t="n"/>
      <c r="N392" s="333">
        <f>IFERROR(IF(L392*M392=0,"",L392*M392),"")</f>
        <v/>
      </c>
      <c r="O392" s="280" t="n"/>
      <c r="P392" s="332">
        <f>IFERROR(VLOOKUP(TEXT(O392,"0"),CONDUCTORES!$A$3:$G$54,2,0),"")</f>
        <v/>
      </c>
      <c r="Q392" s="332">
        <f>IFERROR(VLOOKUP(TEXT(O392,"0"),CONDUCTORES!$A$3:$H$54,6,0),"")</f>
        <v/>
      </c>
      <c r="R392" s="280" t="n"/>
      <c r="S392" s="280" t="n"/>
      <c r="T392" s="280" t="n"/>
      <c r="U392" s="280" t="n"/>
      <c r="V392" s="280" t="n"/>
      <c r="W392" s="280" t="n"/>
      <c r="X392" s="280" t="n"/>
      <c r="Y392" s="280" t="n"/>
    </row>
    <row r="393" ht="15" customHeight="1" s="195">
      <c r="A393" s="334" t="n"/>
      <c r="B393" s="334" t="n"/>
      <c r="C393" s="334" t="n"/>
      <c r="D393" s="334" t="n"/>
      <c r="E393" s="334" t="n"/>
      <c r="F393" s="334" t="n"/>
      <c r="G393" s="334" t="n"/>
      <c r="H393" s="334" t="n"/>
      <c r="I393" s="332">
        <f>IFERROR(VLOOKUP(TEXT(H393,"0"),IPRESS!$A$3:$B$212,2,0),"")</f>
        <v/>
      </c>
      <c r="J393" s="334" t="n"/>
      <c r="K393" s="332">
        <f>IFERROR(VLOOKUP(TEXT(O393,"0"),CONDUCTORES!$A$3:$G$54,7,0),"")</f>
        <v/>
      </c>
      <c r="L393" s="334" t="n"/>
      <c r="M393" s="334" t="n"/>
      <c r="N393" s="333">
        <f>IFERROR(IF(L393*M393=0,"",L393*M393),"")</f>
        <v/>
      </c>
      <c r="O393" s="334" t="n"/>
      <c r="P393" s="332">
        <f>IFERROR(VLOOKUP(TEXT(O393,"0"),CONDUCTORES!$A$3:$G$54,2,0),"")</f>
        <v/>
      </c>
      <c r="Q393" s="332">
        <f>IFERROR(VLOOKUP(TEXT(O393,"0"),CONDUCTORES!$A$3:$H$54,6,0),"")</f>
        <v/>
      </c>
      <c r="R393" s="334" t="n"/>
      <c r="S393" s="334" t="n"/>
      <c r="T393" s="334" t="n"/>
      <c r="U393" s="334" t="n"/>
      <c r="V393" s="334" t="n"/>
      <c r="W393" s="334" t="n"/>
      <c r="X393" s="334" t="n"/>
      <c r="Y393" s="334" t="n"/>
    </row>
    <row r="394" ht="15" customHeight="1" s="195">
      <c r="A394" s="280" t="n"/>
      <c r="B394" s="280" t="n"/>
      <c r="C394" s="280" t="n"/>
      <c r="D394" s="280" t="n"/>
      <c r="E394" s="280" t="n"/>
      <c r="F394" s="280" t="n"/>
      <c r="G394" s="280" t="n"/>
      <c r="H394" s="280" t="n"/>
      <c r="I394" s="332">
        <f>IFERROR(VLOOKUP(TEXT(H394,"0"),IPRESS!$A$3:$B$212,2,0),"")</f>
        <v/>
      </c>
      <c r="J394" s="280" t="n"/>
      <c r="K394" s="332">
        <f>IFERROR(VLOOKUP(TEXT(O394,"0"),CONDUCTORES!$A$3:$G$54,7,0),"")</f>
        <v/>
      </c>
      <c r="L394" s="280" t="n"/>
      <c r="M394" s="280" t="n"/>
      <c r="N394" s="333">
        <f>IFERROR(IF(L394*M394=0,"",L394*M394),"")</f>
        <v/>
      </c>
      <c r="O394" s="280" t="n"/>
      <c r="P394" s="332">
        <f>IFERROR(VLOOKUP(TEXT(O394,"0"),CONDUCTORES!$A$3:$G$54,2,0),"")</f>
        <v/>
      </c>
      <c r="Q394" s="332">
        <f>IFERROR(VLOOKUP(TEXT(O394,"0"),CONDUCTORES!$A$3:$H$54,6,0),"")</f>
        <v/>
      </c>
      <c r="R394" s="280" t="n"/>
      <c r="S394" s="280" t="n"/>
      <c r="T394" s="280" t="n"/>
      <c r="U394" s="280" t="n"/>
      <c r="V394" s="280" t="n"/>
      <c r="W394" s="280" t="n"/>
      <c r="X394" s="280" t="n"/>
      <c r="Y394" s="280" t="n"/>
    </row>
    <row r="395" ht="15" customHeight="1" s="195">
      <c r="A395" s="334" t="n"/>
      <c r="B395" s="334" t="n"/>
      <c r="C395" s="334" t="n"/>
      <c r="D395" s="334" t="n"/>
      <c r="E395" s="334" t="n"/>
      <c r="F395" s="334" t="n"/>
      <c r="G395" s="334" t="n"/>
      <c r="H395" s="334" t="n"/>
      <c r="I395" s="332">
        <f>IFERROR(VLOOKUP(TEXT(H395,"0"),IPRESS!$A$3:$B$212,2,0),"")</f>
        <v/>
      </c>
      <c r="J395" s="334" t="n"/>
      <c r="K395" s="332">
        <f>IFERROR(VLOOKUP(TEXT(O395,"0"),CONDUCTORES!$A$3:$G$54,7,0),"")</f>
        <v/>
      </c>
      <c r="L395" s="334" t="n"/>
      <c r="M395" s="334" t="n"/>
      <c r="N395" s="333">
        <f>IFERROR(IF(L395*M395=0,"",L395*M395),"")</f>
        <v/>
      </c>
      <c r="O395" s="334" t="n"/>
      <c r="P395" s="332">
        <f>IFERROR(VLOOKUP(TEXT(O395,"0"),CONDUCTORES!$A$3:$G$54,2,0),"")</f>
        <v/>
      </c>
      <c r="Q395" s="332">
        <f>IFERROR(VLOOKUP(TEXT(O395,"0"),CONDUCTORES!$A$3:$H$54,6,0),"")</f>
        <v/>
      </c>
      <c r="R395" s="334" t="n"/>
      <c r="S395" s="334" t="n"/>
      <c r="T395" s="334" t="n"/>
      <c r="U395" s="334" t="n"/>
      <c r="V395" s="334" t="n"/>
      <c r="W395" s="334" t="n"/>
      <c r="X395" s="334" t="n"/>
      <c r="Y395" s="334" t="n"/>
    </row>
    <row r="396" ht="15" customHeight="1" s="195">
      <c r="A396" s="280" t="n"/>
      <c r="B396" s="280" t="n"/>
      <c r="C396" s="280" t="n"/>
      <c r="D396" s="280" t="n"/>
      <c r="E396" s="280" t="n"/>
      <c r="F396" s="280" t="n"/>
      <c r="G396" s="280" t="n"/>
      <c r="H396" s="280" t="n"/>
      <c r="I396" s="332">
        <f>IFERROR(VLOOKUP(TEXT(H396,"0"),IPRESS!$A$3:$B$212,2,0),"")</f>
        <v/>
      </c>
      <c r="J396" s="280" t="n"/>
      <c r="K396" s="332">
        <f>IFERROR(VLOOKUP(TEXT(O396,"0"),CONDUCTORES!$A$3:$G$54,7,0),"")</f>
        <v/>
      </c>
      <c r="L396" s="280" t="n"/>
      <c r="M396" s="280" t="n"/>
      <c r="N396" s="333">
        <f>IFERROR(IF(L396*M396=0,"",L396*M396),"")</f>
        <v/>
      </c>
      <c r="O396" s="280" t="n"/>
      <c r="P396" s="332">
        <f>IFERROR(VLOOKUP(TEXT(O396,"0"),CONDUCTORES!$A$3:$G$54,2,0),"")</f>
        <v/>
      </c>
      <c r="Q396" s="332">
        <f>IFERROR(VLOOKUP(TEXT(O396,"0"),CONDUCTORES!$A$3:$H$54,6,0),"")</f>
        <v/>
      </c>
      <c r="R396" s="280" t="n"/>
      <c r="S396" s="280" t="n"/>
      <c r="T396" s="280" t="n"/>
      <c r="U396" s="280" t="n"/>
      <c r="V396" s="280" t="n"/>
      <c r="W396" s="280" t="n"/>
      <c r="X396" s="280" t="n"/>
      <c r="Y396" s="280" t="n"/>
    </row>
    <row r="397" ht="15" customHeight="1" s="195">
      <c r="A397" s="334" t="n"/>
      <c r="B397" s="334" t="n"/>
      <c r="C397" s="334" t="n"/>
      <c r="D397" s="334" t="n"/>
      <c r="E397" s="334" t="n"/>
      <c r="F397" s="334" t="n"/>
      <c r="G397" s="334" t="n"/>
      <c r="H397" s="334" t="n"/>
      <c r="I397" s="332">
        <f>IFERROR(VLOOKUP(TEXT(H397,"0"),IPRESS!$A$3:$B$212,2,0),"")</f>
        <v/>
      </c>
      <c r="J397" s="334" t="n"/>
      <c r="K397" s="332">
        <f>IFERROR(VLOOKUP(TEXT(O397,"0"),CONDUCTORES!$A$3:$G$54,7,0),"")</f>
        <v/>
      </c>
      <c r="L397" s="334" t="n"/>
      <c r="M397" s="334" t="n"/>
      <c r="N397" s="333">
        <f>IFERROR(IF(L397*M397=0,"",L397*M397),"")</f>
        <v/>
      </c>
      <c r="O397" s="334" t="n"/>
      <c r="P397" s="332">
        <f>IFERROR(VLOOKUP(TEXT(O397,"0"),CONDUCTORES!$A$3:$G$54,2,0),"")</f>
        <v/>
      </c>
      <c r="Q397" s="332">
        <f>IFERROR(VLOOKUP(TEXT(O397,"0"),CONDUCTORES!$A$3:$H$54,6,0),"")</f>
        <v/>
      </c>
      <c r="R397" s="334" t="n"/>
      <c r="S397" s="334" t="n"/>
      <c r="T397" s="334" t="n"/>
      <c r="U397" s="334" t="n"/>
      <c r="V397" s="334" t="n"/>
      <c r="W397" s="334" t="n"/>
      <c r="X397" s="334" t="n"/>
      <c r="Y397" s="334" t="n"/>
    </row>
    <row r="398" ht="15" customHeight="1" s="195">
      <c r="A398" s="280" t="n"/>
      <c r="B398" s="280" t="n"/>
      <c r="C398" s="280" t="n"/>
      <c r="D398" s="280" t="n"/>
      <c r="E398" s="280" t="n"/>
      <c r="F398" s="280" t="n"/>
      <c r="G398" s="280" t="n"/>
      <c r="H398" s="280" t="n"/>
      <c r="I398" s="332">
        <f>IFERROR(VLOOKUP(TEXT(H398,"0"),IPRESS!$A$3:$B$212,2,0),"")</f>
        <v/>
      </c>
      <c r="J398" s="280" t="n"/>
      <c r="K398" s="332">
        <f>IFERROR(VLOOKUP(TEXT(O398,"0"),CONDUCTORES!$A$3:$G$54,7,0),"")</f>
        <v/>
      </c>
      <c r="L398" s="280" t="n"/>
      <c r="M398" s="280" t="n"/>
      <c r="N398" s="333">
        <f>IFERROR(IF(L398*M398=0,"",L398*M398),"")</f>
        <v/>
      </c>
      <c r="O398" s="280" t="n"/>
      <c r="P398" s="332">
        <f>IFERROR(VLOOKUP(TEXT(O398,"0"),CONDUCTORES!$A$3:$G$54,2,0),"")</f>
        <v/>
      </c>
      <c r="Q398" s="332">
        <f>IFERROR(VLOOKUP(TEXT(O398,"0"),CONDUCTORES!$A$3:$H$54,6,0),"")</f>
        <v/>
      </c>
      <c r="R398" s="280" t="n"/>
      <c r="S398" s="280" t="n"/>
      <c r="T398" s="280" t="n"/>
      <c r="U398" s="280" t="n"/>
      <c r="V398" s="280" t="n"/>
      <c r="W398" s="280" t="n"/>
      <c r="X398" s="280" t="n"/>
      <c r="Y398" s="280" t="n"/>
    </row>
    <row r="399" ht="15" customHeight="1" s="195">
      <c r="A399" s="334" t="n"/>
      <c r="B399" s="334" t="n"/>
      <c r="C399" s="334" t="n"/>
      <c r="D399" s="334" t="n"/>
      <c r="E399" s="334" t="n"/>
      <c r="F399" s="334" t="n"/>
      <c r="G399" s="334" t="n"/>
      <c r="H399" s="334" t="n"/>
      <c r="I399" s="332">
        <f>IFERROR(VLOOKUP(TEXT(H399,"0"),IPRESS!$A$3:$B$212,2,0),"")</f>
        <v/>
      </c>
      <c r="J399" s="334" t="n"/>
      <c r="K399" s="332">
        <f>IFERROR(VLOOKUP(TEXT(O399,"0"),CONDUCTORES!$A$3:$G$54,7,0),"")</f>
        <v/>
      </c>
      <c r="L399" s="334" t="n"/>
      <c r="M399" s="334" t="n"/>
      <c r="N399" s="333">
        <f>IFERROR(IF(L399*M399=0,"",L399*M399),"")</f>
        <v/>
      </c>
      <c r="O399" s="334" t="n"/>
      <c r="P399" s="332">
        <f>IFERROR(VLOOKUP(TEXT(O399,"0"),CONDUCTORES!$A$3:$G$54,2,0),"")</f>
        <v/>
      </c>
      <c r="Q399" s="332">
        <f>IFERROR(VLOOKUP(TEXT(O399,"0"),CONDUCTORES!$A$3:$H$54,6,0),"")</f>
        <v/>
      </c>
      <c r="R399" s="334" t="n"/>
      <c r="S399" s="334" t="n"/>
      <c r="T399" s="334" t="n"/>
      <c r="U399" s="334" t="n"/>
      <c r="V399" s="334" t="n"/>
      <c r="W399" s="334" t="n"/>
      <c r="X399" s="334" t="n"/>
      <c r="Y399" s="334" t="n"/>
    </row>
    <row r="400" ht="15" customHeight="1" s="195">
      <c r="A400" s="280" t="n"/>
      <c r="B400" s="280" t="n"/>
      <c r="C400" s="280" t="n"/>
      <c r="D400" s="280" t="n"/>
      <c r="E400" s="280" t="n"/>
      <c r="F400" s="280" t="n"/>
      <c r="G400" s="280" t="n"/>
      <c r="H400" s="280" t="n"/>
      <c r="I400" s="332">
        <f>IFERROR(VLOOKUP(TEXT(H400,"0"),IPRESS!$A$3:$B$212,2,0),"")</f>
        <v/>
      </c>
      <c r="J400" s="280" t="n"/>
      <c r="K400" s="332">
        <f>IFERROR(VLOOKUP(TEXT(O400,"0"),CONDUCTORES!$A$3:$G$54,7,0),"")</f>
        <v/>
      </c>
      <c r="L400" s="280" t="n"/>
      <c r="M400" s="280" t="n"/>
      <c r="N400" s="333">
        <f>IFERROR(IF(L400*M400=0,"",L400*M400),"")</f>
        <v/>
      </c>
      <c r="O400" s="280" t="n"/>
      <c r="P400" s="332">
        <f>IFERROR(VLOOKUP(TEXT(O400,"0"),CONDUCTORES!$A$3:$G$54,2,0),"")</f>
        <v/>
      </c>
      <c r="Q400" s="332">
        <f>IFERROR(VLOOKUP(TEXT(O400,"0"),CONDUCTORES!$A$3:$H$54,6,0),"")</f>
        <v/>
      </c>
      <c r="R400" s="280" t="n"/>
      <c r="S400" s="280" t="n"/>
      <c r="T400" s="280" t="n"/>
      <c r="U400" s="280" t="n"/>
      <c r="V400" s="280" t="n"/>
      <c r="W400" s="280" t="n"/>
      <c r="X400" s="280" t="n"/>
      <c r="Y400" s="280" t="n"/>
    </row>
    <row r="401" ht="15" customHeight="1" s="195">
      <c r="A401" s="334" t="n"/>
      <c r="B401" s="334" t="n"/>
      <c r="C401" s="334" t="n"/>
      <c r="D401" s="334" t="n"/>
      <c r="E401" s="334" t="n"/>
      <c r="F401" s="334" t="n"/>
      <c r="G401" s="334" t="n"/>
      <c r="H401" s="334" t="n"/>
      <c r="I401" s="332">
        <f>IFERROR(VLOOKUP(TEXT(H401,"0"),IPRESS!$A$3:$B$212,2,0),"")</f>
        <v/>
      </c>
      <c r="J401" s="334" t="n"/>
      <c r="K401" s="332">
        <f>IFERROR(VLOOKUP(TEXT(O401,"0"),CONDUCTORES!$A$3:$G$54,7,0),"")</f>
        <v/>
      </c>
      <c r="L401" s="334" t="n"/>
      <c r="M401" s="334" t="n"/>
      <c r="N401" s="333">
        <f>IFERROR(IF(L401*M401=0,"",L401*M401),"")</f>
        <v/>
      </c>
      <c r="O401" s="334" t="n"/>
      <c r="P401" s="332">
        <f>IFERROR(VLOOKUP(TEXT(O401,"0"),CONDUCTORES!$A$3:$G$54,2,0),"")</f>
        <v/>
      </c>
      <c r="Q401" s="332">
        <f>IFERROR(VLOOKUP(TEXT(O401,"0"),CONDUCTORES!$A$3:$H$54,6,0),"")</f>
        <v/>
      </c>
      <c r="R401" s="334" t="n"/>
      <c r="S401" s="334" t="n"/>
      <c r="T401" s="334" t="n"/>
      <c r="U401" s="334" t="n"/>
      <c r="V401" s="334" t="n"/>
      <c r="W401" s="334" t="n"/>
      <c r="X401" s="334" t="n"/>
      <c r="Y401" s="334" t="n"/>
    </row>
    <row r="402" ht="15" customHeight="1" s="195">
      <c r="A402" s="280" t="n"/>
      <c r="B402" s="280" t="n"/>
      <c r="C402" s="280" t="n"/>
      <c r="D402" s="280" t="n"/>
      <c r="E402" s="280" t="n"/>
      <c r="F402" s="280" t="n"/>
      <c r="G402" s="280" t="n"/>
      <c r="H402" s="280" t="n"/>
      <c r="I402" s="332">
        <f>IFERROR(VLOOKUP(TEXT(H402,"0"),IPRESS!$A$3:$B$212,2,0),"")</f>
        <v/>
      </c>
      <c r="J402" s="280" t="n"/>
      <c r="K402" s="332">
        <f>IFERROR(VLOOKUP(TEXT(O402,"0"),CONDUCTORES!$A$3:$G$54,7,0),"")</f>
        <v/>
      </c>
      <c r="L402" s="280" t="n"/>
      <c r="M402" s="280" t="n"/>
      <c r="N402" s="333">
        <f>IFERROR(IF(L402*M402=0,"",L402*M402),"")</f>
        <v/>
      </c>
      <c r="O402" s="280" t="n"/>
      <c r="P402" s="332">
        <f>IFERROR(VLOOKUP(TEXT(O402,"0"),CONDUCTORES!$A$3:$G$54,2,0),"")</f>
        <v/>
      </c>
      <c r="Q402" s="332">
        <f>IFERROR(VLOOKUP(TEXT(O402,"0"),CONDUCTORES!$A$3:$H$54,6,0),"")</f>
        <v/>
      </c>
      <c r="R402" s="280" t="n"/>
      <c r="S402" s="280" t="n"/>
      <c r="T402" s="280" t="n"/>
      <c r="U402" s="280" t="n"/>
      <c r="V402" s="280" t="n"/>
      <c r="W402" s="280" t="n"/>
      <c r="X402" s="280" t="n"/>
      <c r="Y402" s="280" t="n"/>
    </row>
    <row r="403" ht="15" customHeight="1" s="195">
      <c r="A403" s="334" t="n"/>
      <c r="B403" s="334" t="n"/>
      <c r="C403" s="334" t="n"/>
      <c r="D403" s="334" t="n"/>
      <c r="E403" s="334" t="n"/>
      <c r="F403" s="334" t="n"/>
      <c r="G403" s="334" t="n"/>
      <c r="H403" s="334" t="n"/>
      <c r="I403" s="332">
        <f>IFERROR(VLOOKUP(TEXT(H403,"0"),IPRESS!$A$3:$B$212,2,0),"")</f>
        <v/>
      </c>
      <c r="J403" s="334" t="n"/>
      <c r="K403" s="332">
        <f>IFERROR(VLOOKUP(TEXT(O403,"0"),CONDUCTORES!$A$3:$G$54,7,0),"")</f>
        <v/>
      </c>
      <c r="L403" s="334" t="n"/>
      <c r="M403" s="334" t="n"/>
      <c r="N403" s="333">
        <f>IFERROR(IF(L403*M403=0,"",L403*M403),"")</f>
        <v/>
      </c>
      <c r="O403" s="334" t="n"/>
      <c r="P403" s="332">
        <f>IFERROR(VLOOKUP(TEXT(O403,"0"),CONDUCTORES!$A$3:$G$54,2,0),"")</f>
        <v/>
      </c>
      <c r="Q403" s="332">
        <f>IFERROR(VLOOKUP(TEXT(O403,"0"),CONDUCTORES!$A$3:$H$54,6,0),"")</f>
        <v/>
      </c>
      <c r="R403" s="334" t="n"/>
      <c r="S403" s="334" t="n"/>
      <c r="T403" s="334" t="n"/>
      <c r="U403" s="334" t="n"/>
      <c r="V403" s="334" t="n"/>
      <c r="W403" s="334" t="n"/>
      <c r="X403" s="334" t="n"/>
      <c r="Y403" s="334" t="n"/>
    </row>
    <row r="404" ht="15" customHeight="1" s="195">
      <c r="A404" s="280" t="n"/>
      <c r="B404" s="280" t="n"/>
      <c r="C404" s="280" t="n"/>
      <c r="D404" s="280" t="n"/>
      <c r="E404" s="280" t="n"/>
      <c r="F404" s="280" t="n"/>
      <c r="G404" s="280" t="n"/>
      <c r="H404" s="280" t="n"/>
      <c r="I404" s="332">
        <f>IFERROR(VLOOKUP(TEXT(H404,"0"),IPRESS!$A$3:$B$212,2,0),"")</f>
        <v/>
      </c>
      <c r="J404" s="280" t="n"/>
      <c r="K404" s="332">
        <f>IFERROR(VLOOKUP(TEXT(O404,"0"),CONDUCTORES!$A$3:$G$54,7,0),"")</f>
        <v/>
      </c>
      <c r="L404" s="280" t="n"/>
      <c r="M404" s="280" t="n"/>
      <c r="N404" s="333">
        <f>IFERROR(IF(L404*M404=0,"",L404*M404),"")</f>
        <v/>
      </c>
      <c r="O404" s="280" t="n"/>
      <c r="P404" s="332">
        <f>IFERROR(VLOOKUP(TEXT(O404,"0"),CONDUCTORES!$A$3:$G$54,2,0),"")</f>
        <v/>
      </c>
      <c r="Q404" s="332">
        <f>IFERROR(VLOOKUP(TEXT(O404,"0"),CONDUCTORES!$A$3:$H$54,6,0),"")</f>
        <v/>
      </c>
      <c r="R404" s="280" t="n"/>
      <c r="S404" s="280" t="n"/>
      <c r="T404" s="280" t="n"/>
      <c r="U404" s="280" t="n"/>
      <c r="V404" s="280" t="n"/>
      <c r="W404" s="280" t="n"/>
      <c r="X404" s="280" t="n"/>
      <c r="Y404" s="280" t="n"/>
    </row>
    <row r="405" ht="15" customHeight="1" s="195">
      <c r="A405" s="334" t="n"/>
      <c r="B405" s="334" t="n"/>
      <c r="C405" s="334" t="n"/>
      <c r="D405" s="334" t="n"/>
      <c r="E405" s="334" t="n"/>
      <c r="F405" s="334" t="n"/>
      <c r="G405" s="334" t="n"/>
      <c r="H405" s="334" t="n"/>
      <c r="I405" s="332">
        <f>IFERROR(VLOOKUP(TEXT(H405,"0"),IPRESS!$A$3:$B$212,2,0),"")</f>
        <v/>
      </c>
      <c r="J405" s="334" t="n"/>
      <c r="K405" s="332">
        <f>IFERROR(VLOOKUP(TEXT(O405,"0"),CONDUCTORES!$A$3:$G$54,7,0),"")</f>
        <v/>
      </c>
      <c r="L405" s="334" t="n"/>
      <c r="M405" s="334" t="n"/>
      <c r="N405" s="333">
        <f>IFERROR(IF(L405*M405=0,"",L405*M405),"")</f>
        <v/>
      </c>
      <c r="O405" s="334" t="n"/>
      <c r="P405" s="332">
        <f>IFERROR(VLOOKUP(TEXT(O405,"0"),CONDUCTORES!$A$3:$G$54,2,0),"")</f>
        <v/>
      </c>
      <c r="Q405" s="332">
        <f>IFERROR(VLOOKUP(TEXT(O405,"0"),CONDUCTORES!$A$3:$H$54,6,0),"")</f>
        <v/>
      </c>
      <c r="R405" s="334" t="n"/>
      <c r="S405" s="334" t="n"/>
      <c r="T405" s="334" t="n"/>
      <c r="U405" s="334" t="n"/>
      <c r="V405" s="334" t="n"/>
      <c r="W405" s="334" t="n"/>
      <c r="X405" s="334" t="n"/>
      <c r="Y405" s="334" t="n"/>
    </row>
    <row r="406" ht="15" customHeight="1" s="195">
      <c r="A406" s="280" t="n"/>
      <c r="B406" s="280" t="n"/>
      <c r="C406" s="280" t="n"/>
      <c r="D406" s="280" t="n"/>
      <c r="E406" s="280" t="n"/>
      <c r="F406" s="280" t="n"/>
      <c r="G406" s="280" t="n"/>
      <c r="H406" s="280" t="n"/>
      <c r="I406" s="332">
        <f>IFERROR(VLOOKUP(TEXT(H406,"0"),IPRESS!$A$3:$B$212,2,0),"")</f>
        <v/>
      </c>
      <c r="J406" s="280" t="n"/>
      <c r="K406" s="332">
        <f>IFERROR(VLOOKUP(TEXT(O406,"0"),CONDUCTORES!$A$3:$G$54,7,0),"")</f>
        <v/>
      </c>
      <c r="L406" s="280" t="n"/>
      <c r="M406" s="280" t="n"/>
      <c r="N406" s="333">
        <f>IFERROR(IF(L406*M406=0,"",L406*M406),"")</f>
        <v/>
      </c>
      <c r="O406" s="280" t="n"/>
      <c r="P406" s="332">
        <f>IFERROR(VLOOKUP(TEXT(O406,"0"),CONDUCTORES!$A$3:$G$54,2,0),"")</f>
        <v/>
      </c>
      <c r="Q406" s="332">
        <f>IFERROR(VLOOKUP(TEXT(O406,"0"),CONDUCTORES!$A$3:$H$54,6,0),"")</f>
        <v/>
      </c>
      <c r="R406" s="280" t="n"/>
      <c r="S406" s="280" t="n"/>
      <c r="T406" s="280" t="n"/>
      <c r="U406" s="280" t="n"/>
      <c r="V406" s="280" t="n"/>
      <c r="W406" s="280" t="n"/>
      <c r="X406" s="280" t="n"/>
      <c r="Y406" s="280" t="n"/>
    </row>
    <row r="407" ht="15" customHeight="1" s="195">
      <c r="A407" s="334" t="n"/>
      <c r="B407" s="334" t="n"/>
      <c r="C407" s="334" t="n"/>
      <c r="D407" s="334" t="n"/>
      <c r="E407" s="334" t="n"/>
      <c r="F407" s="334" t="n"/>
      <c r="G407" s="334" t="n"/>
      <c r="H407" s="334" t="n"/>
      <c r="I407" s="332">
        <f>IFERROR(VLOOKUP(TEXT(H407,"0"),IPRESS!$A$3:$B$212,2,0),"")</f>
        <v/>
      </c>
      <c r="J407" s="334" t="n"/>
      <c r="K407" s="332">
        <f>IFERROR(VLOOKUP(TEXT(O407,"0"),CONDUCTORES!$A$3:$G$54,7,0),"")</f>
        <v/>
      </c>
      <c r="L407" s="334" t="n"/>
      <c r="M407" s="334" t="n"/>
      <c r="N407" s="333">
        <f>IFERROR(IF(L407*M407=0,"",L407*M407),"")</f>
        <v/>
      </c>
      <c r="O407" s="334" t="n"/>
      <c r="P407" s="332">
        <f>IFERROR(VLOOKUP(TEXT(O407,"0"),CONDUCTORES!$A$3:$G$54,2,0),"")</f>
        <v/>
      </c>
      <c r="Q407" s="332">
        <f>IFERROR(VLOOKUP(TEXT(O407,"0"),CONDUCTORES!$A$3:$H$54,6,0),"")</f>
        <v/>
      </c>
      <c r="R407" s="334" t="n"/>
      <c r="S407" s="334" t="n"/>
      <c r="T407" s="334" t="n"/>
      <c r="U407" s="334" t="n"/>
      <c r="V407" s="334" t="n"/>
      <c r="W407" s="334" t="n"/>
      <c r="X407" s="334" t="n"/>
      <c r="Y407" s="334" t="n"/>
    </row>
    <row r="408" ht="15" customHeight="1" s="195">
      <c r="A408" s="280" t="n"/>
      <c r="B408" s="280" t="n"/>
      <c r="C408" s="280" t="n"/>
      <c r="D408" s="280" t="n"/>
      <c r="E408" s="280" t="n"/>
      <c r="F408" s="280" t="n"/>
      <c r="G408" s="280" t="n"/>
      <c r="H408" s="280" t="n"/>
      <c r="I408" s="332">
        <f>IFERROR(VLOOKUP(TEXT(H408,"0"),IPRESS!$A$3:$B$212,2,0),"")</f>
        <v/>
      </c>
      <c r="J408" s="280" t="n"/>
      <c r="K408" s="332">
        <f>IFERROR(VLOOKUP(TEXT(O408,"0"),CONDUCTORES!$A$3:$G$54,7,0),"")</f>
        <v/>
      </c>
      <c r="L408" s="280" t="n"/>
      <c r="M408" s="280" t="n"/>
      <c r="N408" s="333">
        <f>IFERROR(IF(L408*M408=0,"",L408*M408),"")</f>
        <v/>
      </c>
      <c r="O408" s="280" t="n"/>
      <c r="P408" s="332">
        <f>IFERROR(VLOOKUP(TEXT(O408,"0"),CONDUCTORES!$A$3:$G$54,2,0),"")</f>
        <v/>
      </c>
      <c r="Q408" s="332">
        <f>IFERROR(VLOOKUP(TEXT(O408,"0"),CONDUCTORES!$A$3:$H$54,6,0),"")</f>
        <v/>
      </c>
      <c r="R408" s="280" t="n"/>
      <c r="S408" s="280" t="n"/>
      <c r="T408" s="280" t="n"/>
      <c r="U408" s="280" t="n"/>
      <c r="V408" s="280" t="n"/>
      <c r="W408" s="280" t="n"/>
      <c r="X408" s="280" t="n"/>
      <c r="Y408" s="280" t="n"/>
    </row>
    <row r="409" ht="15" customHeight="1" s="195">
      <c r="A409" s="334" t="n"/>
      <c r="B409" s="334" t="n"/>
      <c r="C409" s="334" t="n"/>
      <c r="D409" s="334" t="n"/>
      <c r="E409" s="334" t="n"/>
      <c r="F409" s="334" t="n"/>
      <c r="G409" s="334" t="n"/>
      <c r="H409" s="334" t="n"/>
      <c r="I409" s="332">
        <f>IFERROR(VLOOKUP(TEXT(H409,"0"),IPRESS!$A$3:$B$212,2,0),"")</f>
        <v/>
      </c>
      <c r="J409" s="334" t="n"/>
      <c r="K409" s="332">
        <f>IFERROR(VLOOKUP(TEXT(O409,"0"),CONDUCTORES!$A$3:$G$54,7,0),"")</f>
        <v/>
      </c>
      <c r="L409" s="334" t="n"/>
      <c r="M409" s="334" t="n"/>
      <c r="N409" s="333">
        <f>IFERROR(IF(L409*M409=0,"",L409*M409),"")</f>
        <v/>
      </c>
      <c r="O409" s="334" t="n"/>
      <c r="P409" s="332">
        <f>IFERROR(VLOOKUP(TEXT(O409,"0"),CONDUCTORES!$A$3:$G$54,2,0),"")</f>
        <v/>
      </c>
      <c r="Q409" s="332">
        <f>IFERROR(VLOOKUP(TEXT(O409,"0"),CONDUCTORES!$A$3:$H$54,6,0),"")</f>
        <v/>
      </c>
      <c r="R409" s="334" t="n"/>
      <c r="S409" s="334" t="n"/>
      <c r="T409" s="334" t="n"/>
      <c r="U409" s="334" t="n"/>
      <c r="V409" s="334" t="n"/>
      <c r="W409" s="334" t="n"/>
      <c r="X409" s="334" t="n"/>
      <c r="Y409" s="334" t="n"/>
    </row>
    <row r="410" ht="15" customHeight="1" s="195">
      <c r="A410" s="280" t="n"/>
      <c r="B410" s="280" t="n"/>
      <c r="C410" s="280" t="n"/>
      <c r="D410" s="280" t="n"/>
      <c r="E410" s="280" t="n"/>
      <c r="F410" s="280" t="n"/>
      <c r="G410" s="280" t="n"/>
      <c r="H410" s="280" t="n"/>
      <c r="I410" s="332">
        <f>IFERROR(VLOOKUP(TEXT(H410,"0"),IPRESS!$A$3:$B$212,2,0),"")</f>
        <v/>
      </c>
      <c r="J410" s="280" t="n"/>
      <c r="K410" s="332">
        <f>IFERROR(VLOOKUP(TEXT(O410,"0"),CONDUCTORES!$A$3:$G$54,7,0),"")</f>
        <v/>
      </c>
      <c r="L410" s="280" t="n"/>
      <c r="M410" s="280" t="n"/>
      <c r="N410" s="333">
        <f>IFERROR(IF(L410*M410=0,"",L410*M410),"")</f>
        <v/>
      </c>
      <c r="O410" s="280" t="n"/>
      <c r="P410" s="332">
        <f>IFERROR(VLOOKUP(TEXT(O410,"0"),CONDUCTORES!$A$3:$G$54,2,0),"")</f>
        <v/>
      </c>
      <c r="Q410" s="332">
        <f>IFERROR(VLOOKUP(TEXT(O410,"0"),CONDUCTORES!$A$3:$H$54,6,0),"")</f>
        <v/>
      </c>
      <c r="R410" s="280" t="n"/>
      <c r="S410" s="280" t="n"/>
      <c r="T410" s="280" t="n"/>
      <c r="U410" s="280" t="n"/>
      <c r="V410" s="280" t="n"/>
      <c r="W410" s="280" t="n"/>
      <c r="X410" s="280" t="n"/>
      <c r="Y410" s="280" t="n"/>
    </row>
    <row r="411" ht="15" customHeight="1" s="195">
      <c r="A411" s="334" t="n"/>
      <c r="B411" s="334" t="n"/>
      <c r="C411" s="334" t="n"/>
      <c r="D411" s="334" t="n"/>
      <c r="E411" s="334" t="n"/>
      <c r="F411" s="334" t="n"/>
      <c r="G411" s="334" t="n"/>
      <c r="H411" s="334" t="n"/>
      <c r="I411" s="332">
        <f>IFERROR(VLOOKUP(TEXT(H411,"0"),IPRESS!$A$3:$B$212,2,0),"")</f>
        <v/>
      </c>
      <c r="J411" s="334" t="n"/>
      <c r="K411" s="332">
        <f>IFERROR(VLOOKUP(TEXT(O411,"0"),CONDUCTORES!$A$3:$G$54,7,0),"")</f>
        <v/>
      </c>
      <c r="L411" s="334" t="n"/>
      <c r="M411" s="334" t="n"/>
      <c r="N411" s="333">
        <f>IFERROR(IF(L411*M411=0,"",L411*M411),"")</f>
        <v/>
      </c>
      <c r="O411" s="334" t="n"/>
      <c r="P411" s="332">
        <f>IFERROR(VLOOKUP(TEXT(O411,"0"),CONDUCTORES!$A$3:$G$54,2,0),"")</f>
        <v/>
      </c>
      <c r="Q411" s="332">
        <f>IFERROR(VLOOKUP(TEXT(O411,"0"),CONDUCTORES!$A$3:$H$54,6,0),"")</f>
        <v/>
      </c>
      <c r="R411" s="334" t="n"/>
      <c r="S411" s="334" t="n"/>
      <c r="T411" s="334" t="n"/>
      <c r="U411" s="334" t="n"/>
      <c r="V411" s="334" t="n"/>
      <c r="W411" s="334" t="n"/>
      <c r="X411" s="334" t="n"/>
      <c r="Y411" s="334" t="n"/>
    </row>
    <row r="412" ht="15" customHeight="1" s="195">
      <c r="A412" s="280" t="n"/>
      <c r="B412" s="280" t="n"/>
      <c r="C412" s="280" t="n"/>
      <c r="D412" s="280" t="n"/>
      <c r="E412" s="280" t="n"/>
      <c r="F412" s="280" t="n"/>
      <c r="G412" s="280" t="n"/>
      <c r="H412" s="280" t="n"/>
      <c r="I412" s="332">
        <f>IFERROR(VLOOKUP(TEXT(H412,"0"),IPRESS!$A$3:$B$212,2,0),"")</f>
        <v/>
      </c>
      <c r="J412" s="280" t="n"/>
      <c r="K412" s="332">
        <f>IFERROR(VLOOKUP(TEXT(O412,"0"),CONDUCTORES!$A$3:$G$54,7,0),"")</f>
        <v/>
      </c>
      <c r="L412" s="280" t="n"/>
      <c r="M412" s="280" t="n"/>
      <c r="N412" s="333">
        <f>IFERROR(IF(L412*M412=0,"",L412*M412),"")</f>
        <v/>
      </c>
      <c r="O412" s="280" t="n"/>
      <c r="P412" s="332">
        <f>IFERROR(VLOOKUP(TEXT(O412,"0"),CONDUCTORES!$A$3:$G$54,2,0),"")</f>
        <v/>
      </c>
      <c r="Q412" s="332">
        <f>IFERROR(VLOOKUP(TEXT(O412,"0"),CONDUCTORES!$A$3:$H$54,6,0),"")</f>
        <v/>
      </c>
      <c r="R412" s="280" t="n"/>
      <c r="S412" s="280" t="n"/>
      <c r="T412" s="280" t="n"/>
      <c r="U412" s="280" t="n"/>
      <c r="V412" s="280" t="n"/>
      <c r="W412" s="280" t="n"/>
      <c r="X412" s="280" t="n"/>
      <c r="Y412" s="280" t="n"/>
    </row>
    <row r="413" ht="15" customHeight="1" s="195">
      <c r="A413" s="334" t="n"/>
      <c r="B413" s="334" t="n"/>
      <c r="C413" s="334" t="n"/>
      <c r="D413" s="334" t="n"/>
      <c r="E413" s="334" t="n"/>
      <c r="F413" s="334" t="n"/>
      <c r="G413" s="334" t="n"/>
      <c r="H413" s="334" t="n"/>
      <c r="I413" s="332">
        <f>IFERROR(VLOOKUP(TEXT(H413,"0"),IPRESS!$A$3:$B$212,2,0),"")</f>
        <v/>
      </c>
      <c r="J413" s="334" t="n"/>
      <c r="K413" s="332">
        <f>IFERROR(VLOOKUP(TEXT(O413,"0"),CONDUCTORES!$A$3:$G$54,7,0),"")</f>
        <v/>
      </c>
      <c r="L413" s="334" t="n"/>
      <c r="M413" s="334" t="n"/>
      <c r="N413" s="333">
        <f>IFERROR(IF(L413*M413=0,"",L413*M413),"")</f>
        <v/>
      </c>
      <c r="O413" s="334" t="n"/>
      <c r="P413" s="332">
        <f>IFERROR(VLOOKUP(TEXT(O413,"0"),CONDUCTORES!$A$3:$G$54,2,0),"")</f>
        <v/>
      </c>
      <c r="Q413" s="332">
        <f>IFERROR(VLOOKUP(TEXT(O413,"0"),CONDUCTORES!$A$3:$H$54,6,0),"")</f>
        <v/>
      </c>
      <c r="R413" s="334" t="n"/>
      <c r="S413" s="334" t="n"/>
      <c r="T413" s="334" t="n"/>
      <c r="U413" s="334" t="n"/>
      <c r="V413" s="334" t="n"/>
      <c r="W413" s="334" t="n"/>
      <c r="X413" s="334" t="n"/>
      <c r="Y413" s="334" t="n"/>
    </row>
    <row r="414" ht="15" customHeight="1" s="195">
      <c r="A414" s="280" t="n"/>
      <c r="B414" s="280" t="n"/>
      <c r="C414" s="280" t="n"/>
      <c r="D414" s="280" t="n"/>
      <c r="E414" s="280" t="n"/>
      <c r="F414" s="280" t="n"/>
      <c r="G414" s="280" t="n"/>
      <c r="H414" s="280" t="n"/>
      <c r="I414" s="332">
        <f>IFERROR(VLOOKUP(TEXT(H414,"0"),IPRESS!$A$3:$B$212,2,0),"")</f>
        <v/>
      </c>
      <c r="J414" s="280" t="n"/>
      <c r="K414" s="332">
        <f>IFERROR(VLOOKUP(TEXT(O414,"0"),CONDUCTORES!$A$3:$G$54,7,0),"")</f>
        <v/>
      </c>
      <c r="L414" s="280" t="n"/>
      <c r="M414" s="280" t="n"/>
      <c r="N414" s="333">
        <f>IFERROR(IF(L414*M414=0,"",L414*M414),"")</f>
        <v/>
      </c>
      <c r="O414" s="280" t="n"/>
      <c r="P414" s="332">
        <f>IFERROR(VLOOKUP(TEXT(O414,"0"),CONDUCTORES!$A$3:$G$54,2,0),"")</f>
        <v/>
      </c>
      <c r="Q414" s="332">
        <f>IFERROR(VLOOKUP(TEXT(O414,"0"),CONDUCTORES!$A$3:$H$54,6,0),"")</f>
        <v/>
      </c>
      <c r="R414" s="280" t="n"/>
      <c r="S414" s="280" t="n"/>
      <c r="T414" s="280" t="n"/>
      <c r="U414" s="280" t="n"/>
      <c r="V414" s="280" t="n"/>
      <c r="W414" s="280" t="n"/>
      <c r="X414" s="280" t="n"/>
      <c r="Y414" s="280" t="n"/>
    </row>
    <row r="415" ht="15" customHeight="1" s="195">
      <c r="A415" s="334" t="n"/>
      <c r="B415" s="334" t="n"/>
      <c r="C415" s="334" t="n"/>
      <c r="D415" s="334" t="n"/>
      <c r="E415" s="334" t="n"/>
      <c r="F415" s="334" t="n"/>
      <c r="G415" s="334" t="n"/>
      <c r="H415" s="334" t="n"/>
      <c r="I415" s="332">
        <f>IFERROR(VLOOKUP(TEXT(H415,"0"),IPRESS!$A$3:$B$212,2,0),"")</f>
        <v/>
      </c>
      <c r="J415" s="334" t="n"/>
      <c r="K415" s="332">
        <f>IFERROR(VLOOKUP(TEXT(O415,"0"),CONDUCTORES!$A$3:$G$54,7,0),"")</f>
        <v/>
      </c>
      <c r="L415" s="334" t="n"/>
      <c r="M415" s="334" t="n"/>
      <c r="N415" s="333">
        <f>IFERROR(IF(L415*M415=0,"",L415*M415),"")</f>
        <v/>
      </c>
      <c r="O415" s="334" t="n"/>
      <c r="P415" s="332">
        <f>IFERROR(VLOOKUP(TEXT(O415,"0"),CONDUCTORES!$A$3:$G$54,2,0),"")</f>
        <v/>
      </c>
      <c r="Q415" s="332">
        <f>IFERROR(VLOOKUP(TEXT(O415,"0"),CONDUCTORES!$A$3:$H$54,6,0),"")</f>
        <v/>
      </c>
      <c r="R415" s="334" t="n"/>
      <c r="S415" s="334" t="n"/>
      <c r="T415" s="334" t="n"/>
      <c r="U415" s="334" t="n"/>
      <c r="V415" s="334" t="n"/>
      <c r="W415" s="334" t="n"/>
      <c r="X415" s="334" t="n"/>
      <c r="Y415" s="334" t="n"/>
    </row>
    <row r="416" ht="15" customHeight="1" s="195">
      <c r="A416" s="280" t="n"/>
      <c r="B416" s="280" t="n"/>
      <c r="C416" s="280" t="n"/>
      <c r="D416" s="280" t="n"/>
      <c r="E416" s="280" t="n"/>
      <c r="F416" s="280" t="n"/>
      <c r="G416" s="280" t="n"/>
      <c r="H416" s="280" t="n"/>
      <c r="I416" s="332">
        <f>IFERROR(VLOOKUP(TEXT(H416,"0"),IPRESS!$A$3:$B$212,2,0),"")</f>
        <v/>
      </c>
      <c r="J416" s="280" t="n"/>
      <c r="K416" s="332">
        <f>IFERROR(VLOOKUP(TEXT(O416,"0"),CONDUCTORES!$A$3:$G$54,7,0),"")</f>
        <v/>
      </c>
      <c r="L416" s="280" t="n"/>
      <c r="M416" s="280" t="n"/>
      <c r="N416" s="333">
        <f>IFERROR(IF(L416*M416=0,"",L416*M416),"")</f>
        <v/>
      </c>
      <c r="O416" s="280" t="n"/>
      <c r="P416" s="332">
        <f>IFERROR(VLOOKUP(TEXT(O416,"0"),CONDUCTORES!$A$3:$G$54,2,0),"")</f>
        <v/>
      </c>
      <c r="Q416" s="332">
        <f>IFERROR(VLOOKUP(TEXT(O416,"0"),CONDUCTORES!$A$3:$H$54,6,0),"")</f>
        <v/>
      </c>
      <c r="R416" s="280" t="n"/>
      <c r="S416" s="280" t="n"/>
      <c r="T416" s="280" t="n"/>
      <c r="U416" s="280" t="n"/>
      <c r="V416" s="280" t="n"/>
      <c r="W416" s="280" t="n"/>
      <c r="X416" s="280" t="n"/>
      <c r="Y416" s="280" t="n"/>
    </row>
    <row r="417" ht="15" customHeight="1" s="195">
      <c r="A417" s="334" t="n"/>
      <c r="B417" s="334" t="n"/>
      <c r="C417" s="334" t="n"/>
      <c r="D417" s="334" t="n"/>
      <c r="E417" s="334" t="n"/>
      <c r="F417" s="334" t="n"/>
      <c r="G417" s="334" t="n"/>
      <c r="H417" s="334" t="n"/>
      <c r="I417" s="332">
        <f>IFERROR(VLOOKUP(TEXT(H417,"0"),IPRESS!$A$3:$B$212,2,0),"")</f>
        <v/>
      </c>
      <c r="J417" s="334" t="n"/>
      <c r="K417" s="332">
        <f>IFERROR(VLOOKUP(TEXT(O417,"0"),CONDUCTORES!$A$3:$G$54,7,0),"")</f>
        <v/>
      </c>
      <c r="L417" s="334" t="n"/>
      <c r="M417" s="334" t="n"/>
      <c r="N417" s="333">
        <f>IFERROR(IF(L417*M417=0,"",L417*M417),"")</f>
        <v/>
      </c>
      <c r="O417" s="334" t="n"/>
      <c r="P417" s="332">
        <f>IFERROR(VLOOKUP(TEXT(O417,"0"),CONDUCTORES!$A$3:$G$54,2,0),"")</f>
        <v/>
      </c>
      <c r="Q417" s="332">
        <f>IFERROR(VLOOKUP(TEXT(O417,"0"),CONDUCTORES!$A$3:$H$54,6,0),"")</f>
        <v/>
      </c>
      <c r="R417" s="334" t="n"/>
      <c r="S417" s="334" t="n"/>
      <c r="T417" s="334" t="n"/>
      <c r="U417" s="334" t="n"/>
      <c r="V417" s="334" t="n"/>
      <c r="W417" s="334" t="n"/>
      <c r="X417" s="334" t="n"/>
      <c r="Y417" s="334" t="n"/>
    </row>
    <row r="418" ht="15" customHeight="1" s="195">
      <c r="A418" s="280" t="n"/>
      <c r="B418" s="280" t="n"/>
      <c r="C418" s="280" t="n"/>
      <c r="D418" s="280" t="n"/>
      <c r="E418" s="280" t="n"/>
      <c r="F418" s="280" t="n"/>
      <c r="G418" s="280" t="n"/>
      <c r="H418" s="280" t="n"/>
      <c r="I418" s="332">
        <f>IFERROR(VLOOKUP(TEXT(H418,"0"),IPRESS!$A$3:$B$212,2,0),"")</f>
        <v/>
      </c>
      <c r="J418" s="280" t="n"/>
      <c r="K418" s="332">
        <f>IFERROR(VLOOKUP(TEXT(O418,"0"),CONDUCTORES!$A$3:$G$54,7,0),"")</f>
        <v/>
      </c>
      <c r="L418" s="280" t="n"/>
      <c r="M418" s="280" t="n"/>
      <c r="N418" s="333">
        <f>IFERROR(IF(L418*M418=0,"",L418*M418),"")</f>
        <v/>
      </c>
      <c r="O418" s="280" t="n"/>
      <c r="P418" s="332">
        <f>IFERROR(VLOOKUP(TEXT(O418,"0"),CONDUCTORES!$A$3:$G$54,2,0),"")</f>
        <v/>
      </c>
      <c r="Q418" s="332">
        <f>IFERROR(VLOOKUP(TEXT(O418,"0"),CONDUCTORES!$A$3:$H$54,6,0),"")</f>
        <v/>
      </c>
      <c r="R418" s="280" t="n"/>
      <c r="S418" s="280" t="n"/>
      <c r="T418" s="280" t="n"/>
      <c r="U418" s="280" t="n"/>
      <c r="V418" s="280" t="n"/>
      <c r="W418" s="280" t="n"/>
      <c r="X418" s="280" t="n"/>
      <c r="Y418" s="280" t="n"/>
    </row>
    <row r="419" ht="15" customHeight="1" s="195">
      <c r="A419" s="334" t="n"/>
      <c r="B419" s="334" t="n"/>
      <c r="C419" s="334" t="n"/>
      <c r="D419" s="334" t="n"/>
      <c r="E419" s="334" t="n"/>
      <c r="F419" s="334" t="n"/>
      <c r="G419" s="334" t="n"/>
      <c r="H419" s="334" t="n"/>
      <c r="I419" s="332">
        <f>IFERROR(VLOOKUP(TEXT(H419,"0"),IPRESS!$A$3:$B$212,2,0),"")</f>
        <v/>
      </c>
      <c r="J419" s="334" t="n"/>
      <c r="K419" s="332">
        <f>IFERROR(VLOOKUP(TEXT(O419,"0"),CONDUCTORES!$A$3:$G$54,7,0),"")</f>
        <v/>
      </c>
      <c r="L419" s="334" t="n"/>
      <c r="M419" s="334" t="n"/>
      <c r="N419" s="333">
        <f>IFERROR(IF(L419*M419=0,"",L419*M419),"")</f>
        <v/>
      </c>
      <c r="O419" s="334" t="n"/>
      <c r="P419" s="332">
        <f>IFERROR(VLOOKUP(TEXT(O419,"0"),CONDUCTORES!$A$3:$G$54,2,0),"")</f>
        <v/>
      </c>
      <c r="Q419" s="332">
        <f>IFERROR(VLOOKUP(TEXT(O419,"0"),CONDUCTORES!$A$3:$H$54,6,0),"")</f>
        <v/>
      </c>
      <c r="R419" s="334" t="n"/>
      <c r="S419" s="334" t="n"/>
      <c r="T419" s="334" t="n"/>
      <c r="U419" s="334" t="n"/>
      <c r="V419" s="334" t="n"/>
      <c r="W419" s="334" t="n"/>
      <c r="X419" s="334" t="n"/>
      <c r="Y419" s="334" t="n"/>
    </row>
    <row r="420" ht="15" customHeight="1" s="195">
      <c r="A420" s="280" t="n"/>
      <c r="B420" s="280" t="n"/>
      <c r="C420" s="280" t="n"/>
      <c r="D420" s="280" t="n"/>
      <c r="E420" s="280" t="n"/>
      <c r="F420" s="280" t="n"/>
      <c r="G420" s="280" t="n"/>
      <c r="H420" s="280" t="n"/>
      <c r="I420" s="332">
        <f>IFERROR(VLOOKUP(TEXT(H420,"0"),IPRESS!$A$3:$B$212,2,0),"")</f>
        <v/>
      </c>
      <c r="J420" s="280" t="n"/>
      <c r="K420" s="332">
        <f>IFERROR(VLOOKUP(TEXT(O420,"0"),CONDUCTORES!$A$3:$G$54,7,0),"")</f>
        <v/>
      </c>
      <c r="L420" s="280" t="n"/>
      <c r="M420" s="280" t="n"/>
      <c r="N420" s="333">
        <f>IFERROR(IF(L420*M420=0,"",L420*M420),"")</f>
        <v/>
      </c>
      <c r="O420" s="280" t="n"/>
      <c r="P420" s="332">
        <f>IFERROR(VLOOKUP(TEXT(O420,"0"),CONDUCTORES!$A$3:$G$54,2,0),"")</f>
        <v/>
      </c>
      <c r="Q420" s="332">
        <f>IFERROR(VLOOKUP(TEXT(O420,"0"),CONDUCTORES!$A$3:$H$54,6,0),"")</f>
        <v/>
      </c>
      <c r="R420" s="280" t="n"/>
      <c r="S420" s="280" t="n"/>
      <c r="T420" s="280" t="n"/>
      <c r="U420" s="280" t="n"/>
      <c r="V420" s="280" t="n"/>
      <c r="W420" s="280" t="n"/>
      <c r="X420" s="280" t="n"/>
      <c r="Y420" s="280" t="n"/>
    </row>
    <row r="421" ht="15" customHeight="1" s="195">
      <c r="A421" s="334" t="n"/>
      <c r="B421" s="334" t="n"/>
      <c r="C421" s="334" t="n"/>
      <c r="D421" s="334" t="n"/>
      <c r="E421" s="334" t="n"/>
      <c r="F421" s="334" t="n"/>
      <c r="G421" s="334" t="n"/>
      <c r="H421" s="334" t="n"/>
      <c r="I421" s="332">
        <f>IFERROR(VLOOKUP(TEXT(H421,"0"),IPRESS!$A$3:$B$212,2,0),"")</f>
        <v/>
      </c>
      <c r="J421" s="334" t="n"/>
      <c r="K421" s="332">
        <f>IFERROR(VLOOKUP(TEXT(O421,"0"),CONDUCTORES!$A$3:$G$54,7,0),"")</f>
        <v/>
      </c>
      <c r="L421" s="334" t="n"/>
      <c r="M421" s="334" t="n"/>
      <c r="N421" s="333">
        <f>IFERROR(IF(L421*M421=0,"",L421*M421),"")</f>
        <v/>
      </c>
      <c r="O421" s="334" t="n"/>
      <c r="P421" s="332">
        <f>IFERROR(VLOOKUP(TEXT(O421,"0"),CONDUCTORES!$A$3:$G$54,2,0),"")</f>
        <v/>
      </c>
      <c r="Q421" s="332">
        <f>IFERROR(VLOOKUP(TEXT(O421,"0"),CONDUCTORES!$A$3:$H$54,6,0),"")</f>
        <v/>
      </c>
      <c r="R421" s="334" t="n"/>
      <c r="S421" s="334" t="n"/>
      <c r="T421" s="334" t="n"/>
      <c r="U421" s="334" t="n"/>
      <c r="V421" s="334" t="n"/>
      <c r="W421" s="334" t="n"/>
      <c r="X421" s="334" t="n"/>
      <c r="Y421" s="334" t="n"/>
    </row>
    <row r="422" ht="15" customHeight="1" s="195">
      <c r="A422" s="280" t="n"/>
      <c r="B422" s="280" t="n"/>
      <c r="C422" s="280" t="n"/>
      <c r="D422" s="280" t="n"/>
      <c r="E422" s="280" t="n"/>
      <c r="F422" s="280" t="n"/>
      <c r="G422" s="280" t="n"/>
      <c r="H422" s="280" t="n"/>
      <c r="I422" s="332">
        <f>IFERROR(VLOOKUP(TEXT(H422,"0"),IPRESS!$A$3:$B$212,2,0),"")</f>
        <v/>
      </c>
      <c r="J422" s="280" t="n"/>
      <c r="K422" s="332">
        <f>IFERROR(VLOOKUP(TEXT(O422,"0"),CONDUCTORES!$A$3:$G$54,7,0),"")</f>
        <v/>
      </c>
      <c r="L422" s="280" t="n"/>
      <c r="M422" s="280" t="n"/>
      <c r="N422" s="333">
        <f>IFERROR(IF(L422*M422=0,"",L422*M422),"")</f>
        <v/>
      </c>
      <c r="O422" s="280" t="n"/>
      <c r="P422" s="332">
        <f>IFERROR(VLOOKUP(TEXT(O422,"0"),CONDUCTORES!$A$3:$G$54,2,0),"")</f>
        <v/>
      </c>
      <c r="Q422" s="332">
        <f>IFERROR(VLOOKUP(TEXT(O422,"0"),CONDUCTORES!$A$3:$H$54,6,0),"")</f>
        <v/>
      </c>
      <c r="R422" s="280" t="n"/>
      <c r="S422" s="280" t="n"/>
      <c r="T422" s="280" t="n"/>
      <c r="U422" s="280" t="n"/>
      <c r="V422" s="280" t="n"/>
      <c r="W422" s="280" t="n"/>
      <c r="X422" s="280" t="n"/>
      <c r="Y422" s="280" t="n"/>
    </row>
    <row r="423" ht="15" customHeight="1" s="195">
      <c r="A423" s="334" t="n"/>
      <c r="B423" s="334" t="n"/>
      <c r="C423" s="334" t="n"/>
      <c r="D423" s="334" t="n"/>
      <c r="E423" s="334" t="n"/>
      <c r="F423" s="334" t="n"/>
      <c r="G423" s="334" t="n"/>
      <c r="H423" s="334" t="n"/>
      <c r="I423" s="332">
        <f>IFERROR(VLOOKUP(TEXT(H423,"0"),IPRESS!$A$3:$B$212,2,0),"")</f>
        <v/>
      </c>
      <c r="J423" s="334" t="n"/>
      <c r="K423" s="332">
        <f>IFERROR(VLOOKUP(TEXT(O423,"0"),CONDUCTORES!$A$3:$G$54,7,0),"")</f>
        <v/>
      </c>
      <c r="L423" s="334" t="n"/>
      <c r="M423" s="334" t="n"/>
      <c r="N423" s="333">
        <f>IFERROR(IF(L423*M423=0,"",L423*M423),"")</f>
        <v/>
      </c>
      <c r="O423" s="334" t="n"/>
      <c r="P423" s="332">
        <f>IFERROR(VLOOKUP(TEXT(O423,"0"),CONDUCTORES!$A$3:$G$54,2,0),"")</f>
        <v/>
      </c>
      <c r="Q423" s="332">
        <f>IFERROR(VLOOKUP(TEXT(O423,"0"),CONDUCTORES!$A$3:$H$54,6,0),"")</f>
        <v/>
      </c>
      <c r="R423" s="334" t="n"/>
      <c r="S423" s="334" t="n"/>
      <c r="T423" s="334" t="n"/>
      <c r="U423" s="334" t="n"/>
      <c r="V423" s="334" t="n"/>
      <c r="W423" s="334" t="n"/>
      <c r="X423" s="334" t="n"/>
      <c r="Y423" s="334" t="n"/>
    </row>
    <row r="424" ht="15" customHeight="1" s="195">
      <c r="A424" s="280" t="n"/>
      <c r="B424" s="280" t="n"/>
      <c r="C424" s="280" t="n"/>
      <c r="D424" s="280" t="n"/>
      <c r="E424" s="280" t="n"/>
      <c r="F424" s="280" t="n"/>
      <c r="G424" s="280" t="n"/>
      <c r="H424" s="280" t="n"/>
      <c r="I424" s="332">
        <f>IFERROR(VLOOKUP(TEXT(H424,"0"),IPRESS!$A$3:$B$212,2,0),"")</f>
        <v/>
      </c>
      <c r="J424" s="280" t="n"/>
      <c r="K424" s="332">
        <f>IFERROR(VLOOKUP(TEXT(O424,"0"),CONDUCTORES!$A$3:$G$54,7,0),"")</f>
        <v/>
      </c>
      <c r="L424" s="280" t="n"/>
      <c r="M424" s="280" t="n"/>
      <c r="N424" s="333">
        <f>IFERROR(IF(L424*M424=0,"",L424*M424),"")</f>
        <v/>
      </c>
      <c r="O424" s="280" t="n"/>
      <c r="P424" s="332">
        <f>IFERROR(VLOOKUP(TEXT(O424,"0"),CONDUCTORES!$A$3:$G$54,2,0),"")</f>
        <v/>
      </c>
      <c r="Q424" s="332">
        <f>IFERROR(VLOOKUP(TEXT(O424,"0"),CONDUCTORES!$A$3:$H$54,6,0),"")</f>
        <v/>
      </c>
      <c r="R424" s="280" t="n"/>
      <c r="S424" s="280" t="n"/>
      <c r="T424" s="280" t="n"/>
      <c r="U424" s="280" t="n"/>
      <c r="V424" s="280" t="n"/>
      <c r="W424" s="280" t="n"/>
      <c r="X424" s="280" t="n"/>
      <c r="Y424" s="280" t="n"/>
    </row>
    <row r="425" ht="15" customHeight="1" s="195">
      <c r="A425" s="334" t="n"/>
      <c r="B425" s="334" t="n"/>
      <c r="C425" s="334" t="n"/>
      <c r="D425" s="334" t="n"/>
      <c r="E425" s="334" t="n"/>
      <c r="F425" s="334" t="n"/>
      <c r="G425" s="334" t="n"/>
      <c r="H425" s="334" t="n"/>
      <c r="I425" s="332">
        <f>IFERROR(VLOOKUP(TEXT(H425,"0"),IPRESS!$A$3:$B$212,2,0),"")</f>
        <v/>
      </c>
      <c r="J425" s="334" t="n"/>
      <c r="K425" s="332">
        <f>IFERROR(VLOOKUP(TEXT(O425,"0"),CONDUCTORES!$A$3:$G$54,7,0),"")</f>
        <v/>
      </c>
      <c r="L425" s="334" t="n"/>
      <c r="M425" s="334" t="n"/>
      <c r="N425" s="333">
        <f>IFERROR(IF(L425*M425=0,"",L425*M425),"")</f>
        <v/>
      </c>
      <c r="O425" s="334" t="n"/>
      <c r="P425" s="332">
        <f>IFERROR(VLOOKUP(TEXT(O425,"0"),CONDUCTORES!$A$3:$G$54,2,0),"")</f>
        <v/>
      </c>
      <c r="Q425" s="332">
        <f>IFERROR(VLOOKUP(TEXT(O425,"0"),CONDUCTORES!$A$3:$H$54,6,0),"")</f>
        <v/>
      </c>
      <c r="R425" s="334" t="n"/>
      <c r="S425" s="334" t="n"/>
      <c r="T425" s="334" t="n"/>
      <c r="U425" s="334" t="n"/>
      <c r="V425" s="334" t="n"/>
      <c r="W425" s="334" t="n"/>
      <c r="X425" s="334" t="n"/>
      <c r="Y425" s="334" t="n"/>
    </row>
    <row r="426" ht="15" customHeight="1" s="195">
      <c r="A426" s="280" t="n"/>
      <c r="B426" s="280" t="n"/>
      <c r="C426" s="280" t="n"/>
      <c r="D426" s="280" t="n"/>
      <c r="E426" s="280" t="n"/>
      <c r="F426" s="280" t="n"/>
      <c r="G426" s="280" t="n"/>
      <c r="H426" s="280" t="n"/>
      <c r="I426" s="332">
        <f>IFERROR(VLOOKUP(TEXT(H426,"0"),IPRESS!$A$3:$B$212,2,0),"")</f>
        <v/>
      </c>
      <c r="J426" s="280" t="n"/>
      <c r="K426" s="332">
        <f>IFERROR(VLOOKUP(TEXT(O426,"0"),CONDUCTORES!$A$3:$G$54,7,0),"")</f>
        <v/>
      </c>
      <c r="L426" s="280" t="n"/>
      <c r="M426" s="280" t="n"/>
      <c r="N426" s="333">
        <f>IFERROR(IF(L426*M426=0,"",L426*M426),"")</f>
        <v/>
      </c>
      <c r="O426" s="280" t="n"/>
      <c r="P426" s="332">
        <f>IFERROR(VLOOKUP(TEXT(O426,"0"),CONDUCTORES!$A$3:$G$54,2,0),"")</f>
        <v/>
      </c>
      <c r="Q426" s="332">
        <f>IFERROR(VLOOKUP(TEXT(O426,"0"),CONDUCTORES!$A$3:$H$54,6,0),"")</f>
        <v/>
      </c>
      <c r="R426" s="280" t="n"/>
      <c r="S426" s="280" t="n"/>
      <c r="T426" s="280" t="n"/>
      <c r="U426" s="280" t="n"/>
      <c r="V426" s="280" t="n"/>
      <c r="W426" s="280" t="n"/>
      <c r="X426" s="280" t="n"/>
      <c r="Y426" s="280" t="n"/>
    </row>
    <row r="427" ht="15" customHeight="1" s="195">
      <c r="A427" s="334" t="n"/>
      <c r="B427" s="334" t="n"/>
      <c r="C427" s="334" t="n"/>
      <c r="D427" s="334" t="n"/>
      <c r="E427" s="334" t="n"/>
      <c r="F427" s="334" t="n"/>
      <c r="G427" s="334" t="n"/>
      <c r="H427" s="334" t="n"/>
      <c r="I427" s="332">
        <f>IFERROR(VLOOKUP(TEXT(H427,"0"),IPRESS!$A$3:$B$212,2,0),"")</f>
        <v/>
      </c>
      <c r="J427" s="334" t="n"/>
      <c r="K427" s="332">
        <f>IFERROR(VLOOKUP(TEXT(O427,"0"),CONDUCTORES!$A$3:$G$54,7,0),"")</f>
        <v/>
      </c>
      <c r="L427" s="334" t="n"/>
      <c r="M427" s="334" t="n"/>
      <c r="N427" s="333">
        <f>IFERROR(IF(L427*M427=0,"",L427*M427),"")</f>
        <v/>
      </c>
      <c r="O427" s="334" t="n"/>
      <c r="P427" s="332">
        <f>IFERROR(VLOOKUP(TEXT(O427,"0"),CONDUCTORES!$A$3:$G$54,2,0),"")</f>
        <v/>
      </c>
      <c r="Q427" s="332">
        <f>IFERROR(VLOOKUP(TEXT(O427,"0"),CONDUCTORES!$A$3:$H$54,6,0),"")</f>
        <v/>
      </c>
      <c r="R427" s="334" t="n"/>
      <c r="S427" s="334" t="n"/>
      <c r="T427" s="334" t="n"/>
      <c r="U427" s="334" t="n"/>
      <c r="V427" s="334" t="n"/>
      <c r="W427" s="334" t="n"/>
      <c r="X427" s="334" t="n"/>
      <c r="Y427" s="334" t="n"/>
    </row>
    <row r="428" ht="15" customHeight="1" s="195">
      <c r="A428" s="280" t="n"/>
      <c r="B428" s="280" t="n"/>
      <c r="C428" s="280" t="n"/>
      <c r="D428" s="280" t="n"/>
      <c r="E428" s="280" t="n"/>
      <c r="F428" s="280" t="n"/>
      <c r="G428" s="280" t="n"/>
      <c r="H428" s="280" t="n"/>
      <c r="I428" s="332">
        <f>IFERROR(VLOOKUP(TEXT(H428,"0"),IPRESS!$A$3:$B$212,2,0),"")</f>
        <v/>
      </c>
      <c r="J428" s="280" t="n"/>
      <c r="K428" s="332">
        <f>IFERROR(VLOOKUP(TEXT(O428,"0"),CONDUCTORES!$A$3:$G$54,7,0),"")</f>
        <v/>
      </c>
      <c r="L428" s="280" t="n"/>
      <c r="M428" s="280" t="n"/>
      <c r="N428" s="333">
        <f>IFERROR(IF(L428*M428=0,"",L428*M428),"")</f>
        <v/>
      </c>
      <c r="O428" s="280" t="n"/>
      <c r="P428" s="332">
        <f>IFERROR(VLOOKUP(TEXT(O428,"0"),CONDUCTORES!$A$3:$G$54,2,0),"")</f>
        <v/>
      </c>
      <c r="Q428" s="332">
        <f>IFERROR(VLOOKUP(TEXT(O428,"0"),CONDUCTORES!$A$3:$H$54,6,0),"")</f>
        <v/>
      </c>
      <c r="R428" s="280" t="n"/>
      <c r="S428" s="280" t="n"/>
      <c r="T428" s="280" t="n"/>
      <c r="U428" s="280" t="n"/>
      <c r="V428" s="280" t="n"/>
      <c r="W428" s="280" t="n"/>
      <c r="X428" s="280" t="n"/>
      <c r="Y428" s="280" t="n"/>
    </row>
    <row r="429" ht="15" customHeight="1" s="195">
      <c r="A429" s="334" t="n"/>
      <c r="B429" s="334" t="n"/>
      <c r="C429" s="334" t="n"/>
      <c r="D429" s="334" t="n"/>
      <c r="E429" s="334" t="n"/>
      <c r="F429" s="334" t="n"/>
      <c r="G429" s="334" t="n"/>
      <c r="H429" s="334" t="n"/>
      <c r="I429" s="332">
        <f>IFERROR(VLOOKUP(TEXT(H429,"0"),IPRESS!$A$3:$B$212,2,0),"")</f>
        <v/>
      </c>
      <c r="J429" s="334" t="n"/>
      <c r="K429" s="332">
        <f>IFERROR(VLOOKUP(TEXT(O429,"0"),CONDUCTORES!$A$3:$G$54,7,0),"")</f>
        <v/>
      </c>
      <c r="L429" s="334" t="n"/>
      <c r="M429" s="334" t="n"/>
      <c r="N429" s="333">
        <f>IFERROR(IF(L429*M429=0,"",L429*M429),"")</f>
        <v/>
      </c>
      <c r="O429" s="334" t="n"/>
      <c r="P429" s="332">
        <f>IFERROR(VLOOKUP(TEXT(O429,"0"),CONDUCTORES!$A$3:$G$54,2,0),"")</f>
        <v/>
      </c>
      <c r="Q429" s="332">
        <f>IFERROR(VLOOKUP(TEXT(O429,"0"),CONDUCTORES!$A$3:$H$54,6,0),"")</f>
        <v/>
      </c>
      <c r="R429" s="334" t="n"/>
      <c r="S429" s="334" t="n"/>
      <c r="T429" s="334" t="n"/>
      <c r="U429" s="334" t="n"/>
      <c r="V429" s="334" t="n"/>
      <c r="W429" s="334" t="n"/>
      <c r="X429" s="334" t="n"/>
      <c r="Y429" s="334" t="n"/>
    </row>
    <row r="430" ht="15" customHeight="1" s="195">
      <c r="A430" s="280" t="n"/>
      <c r="B430" s="280" t="n"/>
      <c r="C430" s="280" t="n"/>
      <c r="D430" s="280" t="n"/>
      <c r="E430" s="280" t="n"/>
      <c r="F430" s="280" t="n"/>
      <c r="G430" s="280" t="n"/>
      <c r="H430" s="280" t="n"/>
      <c r="I430" s="332">
        <f>IFERROR(VLOOKUP(TEXT(H430,"0"),IPRESS!$A$3:$B$212,2,0),"")</f>
        <v/>
      </c>
      <c r="J430" s="280" t="n"/>
      <c r="K430" s="332">
        <f>IFERROR(VLOOKUP(TEXT(O430,"0"),CONDUCTORES!$A$3:$G$54,7,0),"")</f>
        <v/>
      </c>
      <c r="L430" s="280" t="n"/>
      <c r="M430" s="280" t="n"/>
      <c r="N430" s="333">
        <f>IFERROR(IF(L430*M430=0,"",L430*M430),"")</f>
        <v/>
      </c>
      <c r="O430" s="280" t="n"/>
      <c r="P430" s="332">
        <f>IFERROR(VLOOKUP(TEXT(O430,"0"),CONDUCTORES!$A$3:$G$54,2,0),"")</f>
        <v/>
      </c>
      <c r="Q430" s="332">
        <f>IFERROR(VLOOKUP(TEXT(O430,"0"),CONDUCTORES!$A$3:$H$54,6,0),"")</f>
        <v/>
      </c>
      <c r="R430" s="280" t="n"/>
      <c r="S430" s="280" t="n"/>
      <c r="T430" s="280" t="n"/>
      <c r="U430" s="280" t="n"/>
      <c r="V430" s="280" t="n"/>
      <c r="W430" s="280" t="n"/>
      <c r="X430" s="280" t="n"/>
      <c r="Y430" s="280" t="n"/>
    </row>
    <row r="431" ht="15" customHeight="1" s="195">
      <c r="A431" s="334" t="n"/>
      <c r="B431" s="334" t="n"/>
      <c r="C431" s="334" t="n"/>
      <c r="D431" s="334" t="n"/>
      <c r="E431" s="334" t="n"/>
      <c r="F431" s="334" t="n"/>
      <c r="G431" s="334" t="n"/>
      <c r="H431" s="334" t="n"/>
      <c r="I431" s="332">
        <f>IFERROR(VLOOKUP(TEXT(H431,"0"),IPRESS!$A$3:$B$212,2,0),"")</f>
        <v/>
      </c>
      <c r="J431" s="334" t="n"/>
      <c r="K431" s="332">
        <f>IFERROR(VLOOKUP(TEXT(O431,"0"),CONDUCTORES!$A$3:$G$54,7,0),"")</f>
        <v/>
      </c>
      <c r="L431" s="334" t="n"/>
      <c r="M431" s="334" t="n"/>
      <c r="N431" s="333">
        <f>IFERROR(IF(L431*M431=0,"",L431*M431),"")</f>
        <v/>
      </c>
      <c r="O431" s="334" t="n"/>
      <c r="P431" s="332">
        <f>IFERROR(VLOOKUP(TEXT(O431,"0"),CONDUCTORES!$A$3:$G$54,2,0),"")</f>
        <v/>
      </c>
      <c r="Q431" s="332">
        <f>IFERROR(VLOOKUP(TEXT(O431,"0"),CONDUCTORES!$A$3:$H$54,6,0),"")</f>
        <v/>
      </c>
      <c r="R431" s="334" t="n"/>
      <c r="S431" s="334" t="n"/>
      <c r="T431" s="334" t="n"/>
      <c r="U431" s="334" t="n"/>
      <c r="V431" s="334" t="n"/>
      <c r="W431" s="334" t="n"/>
      <c r="X431" s="334" t="n"/>
      <c r="Y431" s="334" t="n"/>
    </row>
    <row r="432" ht="15" customHeight="1" s="195">
      <c r="A432" s="280" t="n"/>
      <c r="B432" s="280" t="n"/>
      <c r="C432" s="280" t="n"/>
      <c r="D432" s="280" t="n"/>
      <c r="E432" s="280" t="n"/>
      <c r="F432" s="280" t="n"/>
      <c r="G432" s="280" t="n"/>
      <c r="H432" s="280" t="n"/>
      <c r="I432" s="332">
        <f>IFERROR(VLOOKUP(TEXT(H432,"0"),IPRESS!$A$3:$B$212,2,0),"")</f>
        <v/>
      </c>
      <c r="J432" s="280" t="n"/>
      <c r="K432" s="332">
        <f>IFERROR(VLOOKUP(TEXT(O432,"0"),CONDUCTORES!$A$3:$G$54,7,0),"")</f>
        <v/>
      </c>
      <c r="L432" s="280" t="n"/>
      <c r="M432" s="280" t="n"/>
      <c r="N432" s="333">
        <f>IFERROR(IF(L432*M432=0,"",L432*M432),"")</f>
        <v/>
      </c>
      <c r="O432" s="280" t="n"/>
      <c r="P432" s="332">
        <f>IFERROR(VLOOKUP(TEXT(O432,"0"),CONDUCTORES!$A$3:$G$54,2,0),"")</f>
        <v/>
      </c>
      <c r="Q432" s="332">
        <f>IFERROR(VLOOKUP(TEXT(O432,"0"),CONDUCTORES!$A$3:$H$54,6,0),"")</f>
        <v/>
      </c>
      <c r="R432" s="280" t="n"/>
      <c r="S432" s="280" t="n"/>
      <c r="T432" s="280" t="n"/>
      <c r="U432" s="280" t="n"/>
      <c r="V432" s="280" t="n"/>
      <c r="W432" s="280" t="n"/>
      <c r="X432" s="280" t="n"/>
      <c r="Y432" s="280" t="n"/>
    </row>
    <row r="433" ht="15" customHeight="1" s="195">
      <c r="A433" s="334" t="n"/>
      <c r="B433" s="334" t="n"/>
      <c r="C433" s="334" t="n"/>
      <c r="D433" s="334" t="n"/>
      <c r="E433" s="334" t="n"/>
      <c r="F433" s="334" t="n"/>
      <c r="G433" s="334" t="n"/>
      <c r="H433" s="334" t="n"/>
      <c r="I433" s="332">
        <f>IFERROR(VLOOKUP(TEXT(H433,"0"),IPRESS!$A$3:$B$212,2,0),"")</f>
        <v/>
      </c>
      <c r="J433" s="334" t="n"/>
      <c r="K433" s="332">
        <f>IFERROR(VLOOKUP(TEXT(O433,"0"),CONDUCTORES!$A$3:$G$54,7,0),"")</f>
        <v/>
      </c>
      <c r="L433" s="334" t="n"/>
      <c r="M433" s="334" t="n"/>
      <c r="N433" s="333">
        <f>IFERROR(IF(L433*M433=0,"",L433*M433),"")</f>
        <v/>
      </c>
      <c r="O433" s="334" t="n"/>
      <c r="P433" s="332">
        <f>IFERROR(VLOOKUP(TEXT(O433,"0"),CONDUCTORES!$A$3:$G$54,2,0),"")</f>
        <v/>
      </c>
      <c r="Q433" s="332">
        <f>IFERROR(VLOOKUP(TEXT(O433,"0"),CONDUCTORES!$A$3:$H$54,6,0),"")</f>
        <v/>
      </c>
      <c r="R433" s="334" t="n"/>
      <c r="S433" s="334" t="n"/>
      <c r="T433" s="334" t="n"/>
      <c r="U433" s="334" t="n"/>
      <c r="V433" s="334" t="n"/>
      <c r="W433" s="334" t="n"/>
      <c r="X433" s="334" t="n"/>
      <c r="Y433" s="334" t="n"/>
    </row>
    <row r="434" ht="15" customHeight="1" s="195">
      <c r="A434" s="280" t="n"/>
      <c r="B434" s="280" t="n"/>
      <c r="C434" s="280" t="n"/>
      <c r="D434" s="280" t="n"/>
      <c r="E434" s="280" t="n"/>
      <c r="F434" s="280" t="n"/>
      <c r="G434" s="280" t="n"/>
      <c r="H434" s="280" t="n"/>
      <c r="I434" s="332">
        <f>IFERROR(VLOOKUP(TEXT(H434,"0"),IPRESS!$A$3:$B$212,2,0),"")</f>
        <v/>
      </c>
      <c r="J434" s="280" t="n"/>
      <c r="K434" s="332">
        <f>IFERROR(VLOOKUP(TEXT(O434,"0"),CONDUCTORES!$A$3:$G$54,7,0),"")</f>
        <v/>
      </c>
      <c r="L434" s="280" t="n"/>
      <c r="M434" s="280" t="n"/>
      <c r="N434" s="333">
        <f>IFERROR(IF(L434*M434=0,"",L434*M434),"")</f>
        <v/>
      </c>
      <c r="O434" s="280" t="n"/>
      <c r="P434" s="332">
        <f>IFERROR(VLOOKUP(TEXT(O434,"0"),CONDUCTORES!$A$3:$G$54,2,0),"")</f>
        <v/>
      </c>
      <c r="Q434" s="332">
        <f>IFERROR(VLOOKUP(TEXT(O434,"0"),CONDUCTORES!$A$3:$H$54,6,0),"")</f>
        <v/>
      </c>
      <c r="R434" s="280" t="n"/>
      <c r="S434" s="280" t="n"/>
      <c r="T434" s="280" t="n"/>
      <c r="U434" s="280" t="n"/>
      <c r="V434" s="280" t="n"/>
      <c r="W434" s="280" t="n"/>
      <c r="X434" s="280" t="n"/>
      <c r="Y434" s="280" t="n"/>
    </row>
    <row r="435" ht="15" customHeight="1" s="195">
      <c r="A435" s="334" t="n"/>
      <c r="B435" s="334" t="n"/>
      <c r="C435" s="334" t="n"/>
      <c r="D435" s="334" t="n"/>
      <c r="E435" s="334" t="n"/>
      <c r="F435" s="334" t="n"/>
      <c r="G435" s="334" t="n"/>
      <c r="H435" s="334" t="n"/>
      <c r="I435" s="332">
        <f>IFERROR(VLOOKUP(TEXT(H435,"0"),IPRESS!$A$3:$B$212,2,0),"")</f>
        <v/>
      </c>
      <c r="J435" s="334" t="n"/>
      <c r="K435" s="332">
        <f>IFERROR(VLOOKUP(TEXT(O435,"0"),CONDUCTORES!$A$3:$G$54,7,0),"")</f>
        <v/>
      </c>
      <c r="L435" s="334" t="n"/>
      <c r="M435" s="334" t="n"/>
      <c r="N435" s="333">
        <f>IFERROR(IF(L435*M435=0,"",L435*M435),"")</f>
        <v/>
      </c>
      <c r="O435" s="334" t="n"/>
      <c r="P435" s="332">
        <f>IFERROR(VLOOKUP(TEXT(O435,"0"),CONDUCTORES!$A$3:$G$54,2,0),"")</f>
        <v/>
      </c>
      <c r="Q435" s="332">
        <f>IFERROR(VLOOKUP(TEXT(O435,"0"),CONDUCTORES!$A$3:$H$54,6,0),"")</f>
        <v/>
      </c>
      <c r="R435" s="334" t="n"/>
      <c r="S435" s="334" t="n"/>
      <c r="T435" s="334" t="n"/>
      <c r="U435" s="334" t="n"/>
      <c r="V435" s="334" t="n"/>
      <c r="W435" s="334" t="n"/>
      <c r="X435" s="334" t="n"/>
      <c r="Y435" s="334" t="n"/>
    </row>
    <row r="436" ht="15" customHeight="1" s="195">
      <c r="A436" s="280" t="n"/>
      <c r="B436" s="280" t="n"/>
      <c r="C436" s="280" t="n"/>
      <c r="D436" s="280" t="n"/>
      <c r="E436" s="280" t="n"/>
      <c r="F436" s="280" t="n"/>
      <c r="G436" s="280" t="n"/>
      <c r="H436" s="280" t="n"/>
      <c r="I436" s="332">
        <f>IFERROR(VLOOKUP(TEXT(H436,"0"),IPRESS!$A$3:$B$212,2,0),"")</f>
        <v/>
      </c>
      <c r="J436" s="280" t="n"/>
      <c r="K436" s="332">
        <f>IFERROR(VLOOKUP(TEXT(O436,"0"),CONDUCTORES!$A$3:$G$54,7,0),"")</f>
        <v/>
      </c>
      <c r="L436" s="280" t="n"/>
      <c r="M436" s="280" t="n"/>
      <c r="N436" s="333">
        <f>IFERROR(IF(L436*M436=0,"",L436*M436),"")</f>
        <v/>
      </c>
      <c r="O436" s="280" t="n"/>
      <c r="P436" s="332">
        <f>IFERROR(VLOOKUP(TEXT(O436,"0"),CONDUCTORES!$A$3:$G$54,2,0),"")</f>
        <v/>
      </c>
      <c r="Q436" s="332">
        <f>IFERROR(VLOOKUP(TEXT(O436,"0"),CONDUCTORES!$A$3:$H$54,6,0),"")</f>
        <v/>
      </c>
      <c r="R436" s="280" t="n"/>
      <c r="S436" s="280" t="n"/>
      <c r="T436" s="280" t="n"/>
      <c r="U436" s="280" t="n"/>
      <c r="V436" s="280" t="n"/>
      <c r="W436" s="280" t="n"/>
      <c r="X436" s="280" t="n"/>
      <c r="Y436" s="280" t="n"/>
    </row>
    <row r="437" ht="15" customHeight="1" s="195">
      <c r="A437" s="334" t="n"/>
      <c r="B437" s="334" t="n"/>
      <c r="C437" s="334" t="n"/>
      <c r="D437" s="334" t="n"/>
      <c r="E437" s="334" t="n"/>
      <c r="F437" s="334" t="n"/>
      <c r="G437" s="334" t="n"/>
      <c r="H437" s="334" t="n"/>
      <c r="I437" s="332">
        <f>IFERROR(VLOOKUP(TEXT(H437,"0"),IPRESS!$A$3:$B$212,2,0),"")</f>
        <v/>
      </c>
      <c r="J437" s="334" t="n"/>
      <c r="K437" s="332">
        <f>IFERROR(VLOOKUP(TEXT(O437,"0"),CONDUCTORES!$A$3:$G$54,7,0),"")</f>
        <v/>
      </c>
      <c r="L437" s="334" t="n"/>
      <c r="M437" s="334" t="n"/>
      <c r="N437" s="333">
        <f>IFERROR(IF(L437*M437=0,"",L437*M437),"")</f>
        <v/>
      </c>
      <c r="O437" s="334" t="n"/>
      <c r="P437" s="332">
        <f>IFERROR(VLOOKUP(TEXT(O437,"0"),CONDUCTORES!$A$3:$G$54,2,0),"")</f>
        <v/>
      </c>
      <c r="Q437" s="332">
        <f>IFERROR(VLOOKUP(TEXT(O437,"0"),CONDUCTORES!$A$3:$H$54,6,0),"")</f>
        <v/>
      </c>
      <c r="R437" s="334" t="n"/>
      <c r="S437" s="334" t="n"/>
      <c r="T437" s="334" t="n"/>
      <c r="U437" s="334" t="n"/>
      <c r="V437" s="334" t="n"/>
      <c r="W437" s="334" t="n"/>
      <c r="X437" s="334" t="n"/>
      <c r="Y437" s="334" t="n"/>
    </row>
    <row r="438" ht="15" customHeight="1" s="195">
      <c r="A438" s="280" t="n"/>
      <c r="B438" s="280" t="n"/>
      <c r="C438" s="280" t="n"/>
      <c r="D438" s="280" t="n"/>
      <c r="E438" s="280" t="n"/>
      <c r="F438" s="280" t="n"/>
      <c r="G438" s="280" t="n"/>
      <c r="H438" s="280" t="n"/>
      <c r="I438" s="332">
        <f>IFERROR(VLOOKUP(TEXT(H438,"0"),IPRESS!$A$3:$B$212,2,0),"")</f>
        <v/>
      </c>
      <c r="J438" s="280" t="n"/>
      <c r="K438" s="332">
        <f>IFERROR(VLOOKUP(TEXT(O438,"0"),CONDUCTORES!$A$3:$G$54,7,0),"")</f>
        <v/>
      </c>
      <c r="L438" s="280" t="n"/>
      <c r="M438" s="280" t="n"/>
      <c r="N438" s="333">
        <f>IFERROR(IF(L438*M438=0,"",L438*M438),"")</f>
        <v/>
      </c>
      <c r="O438" s="280" t="n"/>
      <c r="P438" s="332">
        <f>IFERROR(VLOOKUP(TEXT(O438,"0"),CONDUCTORES!$A$3:$G$54,2,0),"")</f>
        <v/>
      </c>
      <c r="Q438" s="332">
        <f>IFERROR(VLOOKUP(TEXT(O438,"0"),CONDUCTORES!$A$3:$H$54,6,0),"")</f>
        <v/>
      </c>
      <c r="R438" s="280" t="n"/>
      <c r="S438" s="280" t="n"/>
      <c r="T438" s="280" t="n"/>
      <c r="U438" s="280" t="n"/>
      <c r="V438" s="280" t="n"/>
      <c r="W438" s="280" t="n"/>
      <c r="X438" s="280" t="n"/>
      <c r="Y438" s="280" t="n"/>
    </row>
    <row r="439" ht="15" customHeight="1" s="195">
      <c r="A439" s="334" t="n"/>
      <c r="B439" s="334" t="n"/>
      <c r="C439" s="334" t="n"/>
      <c r="D439" s="334" t="n"/>
      <c r="E439" s="334" t="n"/>
      <c r="F439" s="334" t="n"/>
      <c r="G439" s="334" t="n"/>
      <c r="H439" s="334" t="n"/>
      <c r="I439" s="332">
        <f>IFERROR(VLOOKUP(TEXT(H439,"0"),IPRESS!$A$3:$B$212,2,0),"")</f>
        <v/>
      </c>
      <c r="J439" s="334" t="n"/>
      <c r="K439" s="332">
        <f>IFERROR(VLOOKUP(TEXT(O439,"0"),CONDUCTORES!$A$3:$G$54,7,0),"")</f>
        <v/>
      </c>
      <c r="L439" s="334" t="n"/>
      <c r="M439" s="334" t="n"/>
      <c r="N439" s="333">
        <f>IFERROR(IF(L439*M439=0,"",L439*M439),"")</f>
        <v/>
      </c>
      <c r="O439" s="334" t="n"/>
      <c r="P439" s="332">
        <f>IFERROR(VLOOKUP(TEXT(O439,"0"),CONDUCTORES!$A$3:$G$54,2,0),"")</f>
        <v/>
      </c>
      <c r="Q439" s="332">
        <f>IFERROR(VLOOKUP(TEXT(O439,"0"),CONDUCTORES!$A$3:$H$54,6,0),"")</f>
        <v/>
      </c>
      <c r="R439" s="334" t="n"/>
      <c r="S439" s="334" t="n"/>
      <c r="T439" s="334" t="n"/>
      <c r="U439" s="334" t="n"/>
      <c r="V439" s="334" t="n"/>
      <c r="W439" s="334" t="n"/>
      <c r="X439" s="334" t="n"/>
      <c r="Y439" s="334" t="n"/>
    </row>
    <row r="440" ht="15" customHeight="1" s="195">
      <c r="A440" s="280" t="n"/>
      <c r="B440" s="280" t="n"/>
      <c r="C440" s="280" t="n"/>
      <c r="D440" s="280" t="n"/>
      <c r="E440" s="280" t="n"/>
      <c r="F440" s="280" t="n"/>
      <c r="G440" s="280" t="n"/>
      <c r="H440" s="280" t="n"/>
      <c r="I440" s="332">
        <f>IFERROR(VLOOKUP(TEXT(H440,"0"),IPRESS!$A$3:$B$212,2,0),"")</f>
        <v/>
      </c>
      <c r="J440" s="280" t="n"/>
      <c r="K440" s="332">
        <f>IFERROR(VLOOKUP(TEXT(O440,"0"),CONDUCTORES!$A$3:$G$54,7,0),"")</f>
        <v/>
      </c>
      <c r="L440" s="280" t="n"/>
      <c r="M440" s="280" t="n"/>
      <c r="N440" s="333">
        <f>IFERROR(IF(L440*M440=0,"",L440*M440),"")</f>
        <v/>
      </c>
      <c r="O440" s="280" t="n"/>
      <c r="P440" s="332">
        <f>IFERROR(VLOOKUP(TEXT(O440,"0"),CONDUCTORES!$A$3:$G$54,2,0),"")</f>
        <v/>
      </c>
      <c r="Q440" s="332">
        <f>IFERROR(VLOOKUP(TEXT(O440,"0"),CONDUCTORES!$A$3:$H$54,6,0),"")</f>
        <v/>
      </c>
      <c r="R440" s="280" t="n"/>
      <c r="S440" s="280" t="n"/>
      <c r="T440" s="280" t="n"/>
      <c r="U440" s="280" t="n"/>
      <c r="V440" s="280" t="n"/>
      <c r="W440" s="280" t="n"/>
      <c r="X440" s="280" t="n"/>
      <c r="Y440" s="280" t="n"/>
    </row>
    <row r="441" ht="15" customHeight="1" s="195">
      <c r="A441" s="334" t="n"/>
      <c r="B441" s="334" t="n"/>
      <c r="C441" s="334" t="n"/>
      <c r="D441" s="334" t="n"/>
      <c r="E441" s="334" t="n"/>
      <c r="F441" s="334" t="n"/>
      <c r="G441" s="334" t="n"/>
      <c r="H441" s="334" t="n"/>
      <c r="I441" s="332">
        <f>IFERROR(VLOOKUP(TEXT(H441,"0"),IPRESS!$A$3:$B$212,2,0),"")</f>
        <v/>
      </c>
      <c r="J441" s="334" t="n"/>
      <c r="K441" s="332">
        <f>IFERROR(VLOOKUP(TEXT(O441,"0"),CONDUCTORES!$A$3:$G$54,7,0),"")</f>
        <v/>
      </c>
      <c r="L441" s="334" t="n"/>
      <c r="M441" s="334" t="n"/>
      <c r="N441" s="333">
        <f>IFERROR(IF(L441*M441=0,"",L441*M441),"")</f>
        <v/>
      </c>
      <c r="O441" s="334" t="n"/>
      <c r="P441" s="332">
        <f>IFERROR(VLOOKUP(TEXT(O441,"0"),CONDUCTORES!$A$3:$G$54,2,0),"")</f>
        <v/>
      </c>
      <c r="Q441" s="332">
        <f>IFERROR(VLOOKUP(TEXT(O441,"0"),CONDUCTORES!$A$3:$H$54,6,0),"")</f>
        <v/>
      </c>
      <c r="R441" s="334" t="n"/>
      <c r="S441" s="334" t="n"/>
      <c r="T441" s="334" t="n"/>
      <c r="U441" s="334" t="n"/>
      <c r="V441" s="334" t="n"/>
      <c r="W441" s="334" t="n"/>
      <c r="X441" s="334" t="n"/>
      <c r="Y441" s="334" t="n"/>
    </row>
    <row r="442" ht="15" customHeight="1" s="195">
      <c r="A442" s="280" t="n"/>
      <c r="B442" s="280" t="n"/>
      <c r="C442" s="280" t="n"/>
      <c r="D442" s="280" t="n"/>
      <c r="E442" s="280" t="n"/>
      <c r="F442" s="280" t="n"/>
      <c r="G442" s="280" t="n"/>
      <c r="H442" s="280" t="n"/>
      <c r="I442" s="332">
        <f>IFERROR(VLOOKUP(TEXT(H442,"0"),IPRESS!$A$3:$B$212,2,0),"")</f>
        <v/>
      </c>
      <c r="J442" s="280" t="n"/>
      <c r="K442" s="332">
        <f>IFERROR(VLOOKUP(TEXT(O442,"0"),CONDUCTORES!$A$3:$G$54,7,0),"")</f>
        <v/>
      </c>
      <c r="L442" s="280" t="n"/>
      <c r="M442" s="280" t="n"/>
      <c r="N442" s="333">
        <f>IFERROR(IF(L442*M442=0,"",L442*M442),"")</f>
        <v/>
      </c>
      <c r="O442" s="280" t="n"/>
      <c r="P442" s="332">
        <f>IFERROR(VLOOKUP(TEXT(O442,"0"),CONDUCTORES!$A$3:$G$54,2,0),"")</f>
        <v/>
      </c>
      <c r="Q442" s="332">
        <f>IFERROR(VLOOKUP(TEXT(O442,"0"),CONDUCTORES!$A$3:$H$54,6,0),"")</f>
        <v/>
      </c>
      <c r="R442" s="280" t="n"/>
      <c r="S442" s="280" t="n"/>
      <c r="T442" s="280" t="n"/>
      <c r="U442" s="280" t="n"/>
      <c r="V442" s="280" t="n"/>
      <c r="W442" s="280" t="n"/>
      <c r="X442" s="280" t="n"/>
      <c r="Y442" s="280" t="n"/>
    </row>
    <row r="443" ht="15" customHeight="1" s="195">
      <c r="A443" s="334" t="n"/>
      <c r="B443" s="334" t="n"/>
      <c r="C443" s="334" t="n"/>
      <c r="D443" s="334" t="n"/>
      <c r="E443" s="334" t="n"/>
      <c r="F443" s="334" t="n"/>
      <c r="G443" s="334" t="n"/>
      <c r="H443" s="334" t="n"/>
      <c r="I443" s="332">
        <f>IFERROR(VLOOKUP(TEXT(H443,"0"),IPRESS!$A$3:$B$212,2,0),"")</f>
        <v/>
      </c>
      <c r="J443" s="334" t="n"/>
      <c r="K443" s="332">
        <f>IFERROR(VLOOKUP(TEXT(O443,"0"),CONDUCTORES!$A$3:$G$54,7,0),"")</f>
        <v/>
      </c>
      <c r="L443" s="334" t="n"/>
      <c r="M443" s="334" t="n"/>
      <c r="N443" s="333">
        <f>IFERROR(IF(L443*M443=0,"",L443*M443),"")</f>
        <v/>
      </c>
      <c r="O443" s="334" t="n"/>
      <c r="P443" s="332">
        <f>IFERROR(VLOOKUP(TEXT(O443,"0"),CONDUCTORES!$A$3:$G$54,2,0),"")</f>
        <v/>
      </c>
      <c r="Q443" s="332">
        <f>IFERROR(VLOOKUP(TEXT(O443,"0"),CONDUCTORES!$A$3:$H$54,6,0),"")</f>
        <v/>
      </c>
      <c r="R443" s="334" t="n"/>
      <c r="S443" s="334" t="n"/>
      <c r="T443" s="334" t="n"/>
      <c r="U443" s="334" t="n"/>
      <c r="V443" s="334" t="n"/>
      <c r="W443" s="334" t="n"/>
      <c r="X443" s="334" t="n"/>
      <c r="Y443" s="334" t="n"/>
    </row>
    <row r="444" ht="15" customHeight="1" s="195">
      <c r="A444" s="280" t="n"/>
      <c r="B444" s="280" t="n"/>
      <c r="C444" s="280" t="n"/>
      <c r="D444" s="280" t="n"/>
      <c r="E444" s="280" t="n"/>
      <c r="F444" s="280" t="n"/>
      <c r="G444" s="280" t="n"/>
      <c r="H444" s="280" t="n"/>
      <c r="I444" s="332">
        <f>IFERROR(VLOOKUP(TEXT(H444,"0"),IPRESS!$A$3:$B$212,2,0),"")</f>
        <v/>
      </c>
      <c r="J444" s="280" t="n"/>
      <c r="K444" s="332">
        <f>IFERROR(VLOOKUP(TEXT(O444,"0"),CONDUCTORES!$A$3:$G$54,7,0),"")</f>
        <v/>
      </c>
      <c r="L444" s="280" t="n"/>
      <c r="M444" s="280" t="n"/>
      <c r="N444" s="333">
        <f>IFERROR(IF(L444*M444=0,"",L444*M444),"")</f>
        <v/>
      </c>
      <c r="O444" s="280" t="n"/>
      <c r="P444" s="332">
        <f>IFERROR(VLOOKUP(TEXT(O444,"0"),CONDUCTORES!$A$3:$G$54,2,0),"")</f>
        <v/>
      </c>
      <c r="Q444" s="332">
        <f>IFERROR(VLOOKUP(TEXT(O444,"0"),CONDUCTORES!$A$3:$H$54,6,0),"")</f>
        <v/>
      </c>
      <c r="R444" s="280" t="n"/>
      <c r="S444" s="280" t="n"/>
      <c r="T444" s="280" t="n"/>
      <c r="U444" s="280" t="n"/>
      <c r="V444" s="280" t="n"/>
      <c r="W444" s="280" t="n"/>
      <c r="X444" s="280" t="n"/>
      <c r="Y444" s="280" t="n"/>
    </row>
    <row r="445" ht="15" customHeight="1" s="195">
      <c r="A445" s="334" t="n"/>
      <c r="B445" s="334" t="n"/>
      <c r="C445" s="334" t="n"/>
      <c r="D445" s="334" t="n"/>
      <c r="E445" s="334" t="n"/>
      <c r="F445" s="334" t="n"/>
      <c r="G445" s="334" t="n"/>
      <c r="H445" s="334" t="n"/>
      <c r="I445" s="332">
        <f>IFERROR(VLOOKUP(TEXT(H445,"0"),IPRESS!$A$3:$B$212,2,0),"")</f>
        <v/>
      </c>
      <c r="J445" s="334" t="n"/>
      <c r="K445" s="332">
        <f>IFERROR(VLOOKUP(TEXT(O445,"0"),CONDUCTORES!$A$3:$G$54,7,0),"")</f>
        <v/>
      </c>
      <c r="L445" s="334" t="n"/>
      <c r="M445" s="334" t="n"/>
      <c r="N445" s="333">
        <f>IFERROR(IF(L445*M445=0,"",L445*M445),"")</f>
        <v/>
      </c>
      <c r="O445" s="334" t="n"/>
      <c r="P445" s="332">
        <f>IFERROR(VLOOKUP(TEXT(O445,"0"),CONDUCTORES!$A$3:$G$54,2,0),"")</f>
        <v/>
      </c>
      <c r="Q445" s="332">
        <f>IFERROR(VLOOKUP(TEXT(O445,"0"),CONDUCTORES!$A$3:$H$54,6,0),"")</f>
        <v/>
      </c>
      <c r="R445" s="334" t="n"/>
      <c r="S445" s="334" t="n"/>
      <c r="T445" s="334" t="n"/>
      <c r="U445" s="334" t="n"/>
      <c r="V445" s="334" t="n"/>
      <c r="W445" s="334" t="n"/>
      <c r="X445" s="334" t="n"/>
      <c r="Y445" s="334" t="n"/>
    </row>
    <row r="446" ht="15" customHeight="1" s="195">
      <c r="A446" s="280" t="n"/>
      <c r="B446" s="280" t="n"/>
      <c r="C446" s="280" t="n"/>
      <c r="D446" s="280" t="n"/>
      <c r="E446" s="280" t="n"/>
      <c r="F446" s="280" t="n"/>
      <c r="G446" s="280" t="n"/>
      <c r="H446" s="280" t="n"/>
      <c r="I446" s="332">
        <f>IFERROR(VLOOKUP(TEXT(H446,"0"),IPRESS!$A$3:$B$212,2,0),"")</f>
        <v/>
      </c>
      <c r="J446" s="280" t="n"/>
      <c r="K446" s="332">
        <f>IFERROR(VLOOKUP(TEXT(O446,"0"),CONDUCTORES!$A$3:$G$54,7,0),"")</f>
        <v/>
      </c>
      <c r="L446" s="280" t="n"/>
      <c r="M446" s="280" t="n"/>
      <c r="N446" s="333">
        <f>IFERROR(IF(L446*M446=0,"",L446*M446),"")</f>
        <v/>
      </c>
      <c r="O446" s="280" t="n"/>
      <c r="P446" s="332">
        <f>IFERROR(VLOOKUP(TEXT(O446,"0"),CONDUCTORES!$A$3:$G$54,2,0),"")</f>
        <v/>
      </c>
      <c r="Q446" s="332">
        <f>IFERROR(VLOOKUP(TEXT(O446,"0"),CONDUCTORES!$A$3:$H$54,6,0),"")</f>
        <v/>
      </c>
      <c r="R446" s="280" t="n"/>
      <c r="S446" s="280" t="n"/>
      <c r="T446" s="280" t="n"/>
      <c r="U446" s="280" t="n"/>
      <c r="V446" s="280" t="n"/>
      <c r="W446" s="280" t="n"/>
      <c r="X446" s="280" t="n"/>
      <c r="Y446" s="280" t="n"/>
    </row>
    <row r="447" ht="15" customHeight="1" s="195">
      <c r="A447" s="334" t="n"/>
      <c r="B447" s="334" t="n"/>
      <c r="C447" s="334" t="n"/>
      <c r="D447" s="334" t="n"/>
      <c r="E447" s="334" t="n"/>
      <c r="F447" s="334" t="n"/>
      <c r="G447" s="334" t="n"/>
      <c r="H447" s="334" t="n"/>
      <c r="I447" s="332">
        <f>IFERROR(VLOOKUP(TEXT(H447,"0"),IPRESS!$A$3:$B$212,2,0),"")</f>
        <v/>
      </c>
      <c r="J447" s="334" t="n"/>
      <c r="K447" s="332">
        <f>IFERROR(VLOOKUP(TEXT(O447,"0"),CONDUCTORES!$A$3:$G$54,7,0),"")</f>
        <v/>
      </c>
      <c r="L447" s="334" t="n"/>
      <c r="M447" s="334" t="n"/>
      <c r="N447" s="333">
        <f>IFERROR(IF(L447*M447=0,"",L447*M447),"")</f>
        <v/>
      </c>
      <c r="O447" s="334" t="n"/>
      <c r="P447" s="332">
        <f>IFERROR(VLOOKUP(TEXT(O447,"0"),CONDUCTORES!$A$3:$G$54,2,0),"")</f>
        <v/>
      </c>
      <c r="Q447" s="332">
        <f>IFERROR(VLOOKUP(TEXT(O447,"0"),CONDUCTORES!$A$3:$H$54,6,0),"")</f>
        <v/>
      </c>
      <c r="R447" s="334" t="n"/>
      <c r="S447" s="334" t="n"/>
      <c r="T447" s="334" t="n"/>
      <c r="U447" s="334" t="n"/>
      <c r="V447" s="334" t="n"/>
      <c r="W447" s="334" t="n"/>
      <c r="X447" s="334" t="n"/>
      <c r="Y447" s="334" t="n"/>
    </row>
    <row r="448" ht="15" customHeight="1" s="195">
      <c r="A448" s="280" t="n"/>
      <c r="B448" s="280" t="n"/>
      <c r="C448" s="280" t="n"/>
      <c r="D448" s="280" t="n"/>
      <c r="E448" s="280" t="n"/>
      <c r="F448" s="280" t="n"/>
      <c r="G448" s="280" t="n"/>
      <c r="H448" s="280" t="n"/>
      <c r="I448" s="332">
        <f>IFERROR(VLOOKUP(TEXT(H448,"0"),IPRESS!$A$3:$B$212,2,0),"")</f>
        <v/>
      </c>
      <c r="J448" s="280" t="n"/>
      <c r="K448" s="332">
        <f>IFERROR(VLOOKUP(TEXT(O448,"0"),CONDUCTORES!$A$3:$G$54,7,0),"")</f>
        <v/>
      </c>
      <c r="L448" s="280" t="n"/>
      <c r="M448" s="280" t="n"/>
      <c r="N448" s="333">
        <f>IFERROR(IF(L448*M448=0,"",L448*M448),"")</f>
        <v/>
      </c>
      <c r="O448" s="280" t="n"/>
      <c r="P448" s="332">
        <f>IFERROR(VLOOKUP(TEXT(O448,"0"),CONDUCTORES!$A$3:$G$54,2,0),"")</f>
        <v/>
      </c>
      <c r="Q448" s="332">
        <f>IFERROR(VLOOKUP(TEXT(O448,"0"),CONDUCTORES!$A$3:$H$54,6,0),"")</f>
        <v/>
      </c>
      <c r="R448" s="280" t="n"/>
      <c r="S448" s="280" t="n"/>
      <c r="T448" s="280" t="n"/>
      <c r="U448" s="280" t="n"/>
      <c r="V448" s="280" t="n"/>
      <c r="W448" s="280" t="n"/>
      <c r="X448" s="280" t="n"/>
      <c r="Y448" s="280" t="n"/>
    </row>
    <row r="449" ht="15" customHeight="1" s="195">
      <c r="A449" s="334" t="n"/>
      <c r="B449" s="334" t="n"/>
      <c r="C449" s="334" t="n"/>
      <c r="D449" s="334" t="n"/>
      <c r="E449" s="334" t="n"/>
      <c r="F449" s="334" t="n"/>
      <c r="G449" s="334" t="n"/>
      <c r="H449" s="334" t="n"/>
      <c r="I449" s="332">
        <f>IFERROR(VLOOKUP(TEXT(H449,"0"),IPRESS!$A$3:$B$212,2,0),"")</f>
        <v/>
      </c>
      <c r="J449" s="334" t="n"/>
      <c r="K449" s="332">
        <f>IFERROR(VLOOKUP(TEXT(O449,"0"),CONDUCTORES!$A$3:$G$54,7,0),"")</f>
        <v/>
      </c>
      <c r="L449" s="334" t="n"/>
      <c r="M449" s="334" t="n"/>
      <c r="N449" s="333">
        <f>IFERROR(IF(L449*M449=0,"",L449*M449),"")</f>
        <v/>
      </c>
      <c r="O449" s="334" t="n"/>
      <c r="P449" s="332">
        <f>IFERROR(VLOOKUP(TEXT(O449,"0"),CONDUCTORES!$A$3:$G$54,2,0),"")</f>
        <v/>
      </c>
      <c r="Q449" s="332">
        <f>IFERROR(VLOOKUP(TEXT(O449,"0"),CONDUCTORES!$A$3:$H$54,6,0),"")</f>
        <v/>
      </c>
      <c r="R449" s="334" t="n"/>
      <c r="S449" s="334" t="n"/>
      <c r="T449" s="334" t="n"/>
      <c r="U449" s="334" t="n"/>
      <c r="V449" s="334" t="n"/>
      <c r="W449" s="334" t="n"/>
      <c r="X449" s="334" t="n"/>
      <c r="Y449" s="334" t="n"/>
    </row>
    <row r="450" ht="15" customHeight="1" s="195">
      <c r="A450" s="280" t="n"/>
      <c r="B450" s="280" t="n"/>
      <c r="C450" s="280" t="n"/>
      <c r="D450" s="280" t="n"/>
      <c r="E450" s="280" t="n"/>
      <c r="F450" s="280" t="n"/>
      <c r="G450" s="280" t="n"/>
      <c r="H450" s="280" t="n"/>
      <c r="I450" s="332">
        <f>IFERROR(VLOOKUP(TEXT(H450,"0"),IPRESS!$A$3:$B$212,2,0),"")</f>
        <v/>
      </c>
      <c r="J450" s="280" t="n"/>
      <c r="K450" s="332">
        <f>IFERROR(VLOOKUP(TEXT(O450,"0"),CONDUCTORES!$A$3:$G$54,7,0),"")</f>
        <v/>
      </c>
      <c r="L450" s="280" t="n"/>
      <c r="M450" s="280" t="n"/>
      <c r="N450" s="333">
        <f>IFERROR(IF(L450*M450=0,"",L450*M450),"")</f>
        <v/>
      </c>
      <c r="O450" s="280" t="n"/>
      <c r="P450" s="332">
        <f>IFERROR(VLOOKUP(TEXT(O450,"0"),CONDUCTORES!$A$3:$G$54,2,0),"")</f>
        <v/>
      </c>
      <c r="Q450" s="332">
        <f>IFERROR(VLOOKUP(TEXT(O450,"0"),CONDUCTORES!$A$3:$H$54,6,0),"")</f>
        <v/>
      </c>
      <c r="R450" s="280" t="n"/>
      <c r="S450" s="280" t="n"/>
      <c r="T450" s="280" t="n"/>
      <c r="U450" s="280" t="n"/>
      <c r="V450" s="280" t="n"/>
      <c r="W450" s="280" t="n"/>
      <c r="X450" s="280" t="n"/>
      <c r="Y450" s="280" t="n"/>
    </row>
    <row r="451" ht="15" customHeight="1" s="195">
      <c r="A451" s="334" t="n"/>
      <c r="B451" s="334" t="n"/>
      <c r="C451" s="334" t="n"/>
      <c r="D451" s="334" t="n"/>
      <c r="E451" s="334" t="n"/>
      <c r="F451" s="334" t="n"/>
      <c r="G451" s="334" t="n"/>
      <c r="H451" s="334" t="n"/>
      <c r="I451" s="332">
        <f>IFERROR(VLOOKUP(TEXT(H451,"0"),IPRESS!$A$3:$B$212,2,0),"")</f>
        <v/>
      </c>
      <c r="J451" s="334" t="n"/>
      <c r="K451" s="332">
        <f>IFERROR(VLOOKUP(TEXT(O451,"0"),CONDUCTORES!$A$3:$G$54,7,0),"")</f>
        <v/>
      </c>
      <c r="L451" s="334" t="n"/>
      <c r="M451" s="334" t="n"/>
      <c r="N451" s="333">
        <f>IFERROR(IF(L451*M451=0,"",L451*M451),"")</f>
        <v/>
      </c>
      <c r="O451" s="334" t="n"/>
      <c r="P451" s="332">
        <f>IFERROR(VLOOKUP(TEXT(O451,"0"),CONDUCTORES!$A$3:$G$54,2,0),"")</f>
        <v/>
      </c>
      <c r="Q451" s="332">
        <f>IFERROR(VLOOKUP(TEXT(O451,"0"),CONDUCTORES!$A$3:$H$54,6,0),"")</f>
        <v/>
      </c>
      <c r="R451" s="334" t="n"/>
      <c r="S451" s="334" t="n"/>
      <c r="T451" s="334" t="n"/>
      <c r="U451" s="334" t="n"/>
      <c r="V451" s="334" t="n"/>
      <c r="W451" s="334" t="n"/>
      <c r="X451" s="334" t="n"/>
      <c r="Y451" s="334" t="n"/>
    </row>
    <row r="452" ht="15" customHeight="1" s="195">
      <c r="A452" s="280" t="n"/>
      <c r="B452" s="280" t="n"/>
      <c r="C452" s="280" t="n"/>
      <c r="D452" s="280" t="n"/>
      <c r="E452" s="280" t="n"/>
      <c r="F452" s="280" t="n"/>
      <c r="G452" s="280" t="n"/>
      <c r="H452" s="280" t="n"/>
      <c r="I452" s="332">
        <f>IFERROR(VLOOKUP(TEXT(H452,"0"),IPRESS!$A$3:$B$212,2,0),"")</f>
        <v/>
      </c>
      <c r="J452" s="280" t="n"/>
      <c r="K452" s="332">
        <f>IFERROR(VLOOKUP(TEXT(O452,"0"),CONDUCTORES!$A$3:$G$54,7,0),"")</f>
        <v/>
      </c>
      <c r="L452" s="280" t="n"/>
      <c r="M452" s="280" t="n"/>
      <c r="N452" s="333">
        <f>IFERROR(IF(L452*M452=0,"",L452*M452),"")</f>
        <v/>
      </c>
      <c r="O452" s="280" t="n"/>
      <c r="P452" s="332">
        <f>IFERROR(VLOOKUP(TEXT(O452,"0"),CONDUCTORES!$A$3:$G$54,2,0),"")</f>
        <v/>
      </c>
      <c r="Q452" s="332">
        <f>IFERROR(VLOOKUP(TEXT(O452,"0"),CONDUCTORES!$A$3:$H$54,6,0),"")</f>
        <v/>
      </c>
      <c r="R452" s="280" t="n"/>
      <c r="S452" s="280" t="n"/>
      <c r="T452" s="280" t="n"/>
      <c r="U452" s="280" t="n"/>
      <c r="V452" s="280" t="n"/>
      <c r="W452" s="280" t="n"/>
      <c r="X452" s="280" t="n"/>
      <c r="Y452" s="280" t="n"/>
    </row>
    <row r="453" ht="15" customHeight="1" s="195">
      <c r="A453" s="334" t="n"/>
      <c r="B453" s="334" t="n"/>
      <c r="C453" s="334" t="n"/>
      <c r="D453" s="334" t="n"/>
      <c r="E453" s="334" t="n"/>
      <c r="F453" s="334" t="n"/>
      <c r="G453" s="334" t="n"/>
      <c r="H453" s="334" t="n"/>
      <c r="I453" s="332">
        <f>IFERROR(VLOOKUP(TEXT(H453,"0"),IPRESS!$A$3:$B$212,2,0),"")</f>
        <v/>
      </c>
      <c r="J453" s="334" t="n"/>
      <c r="K453" s="332">
        <f>IFERROR(VLOOKUP(TEXT(O453,"0"),CONDUCTORES!$A$3:$G$54,7,0),"")</f>
        <v/>
      </c>
      <c r="L453" s="334" t="n"/>
      <c r="M453" s="334" t="n"/>
      <c r="N453" s="333">
        <f>IFERROR(IF(L453*M453=0,"",L453*M453),"")</f>
        <v/>
      </c>
      <c r="O453" s="334" t="n"/>
      <c r="P453" s="332">
        <f>IFERROR(VLOOKUP(TEXT(O453,"0"),CONDUCTORES!$A$3:$G$54,2,0),"")</f>
        <v/>
      </c>
      <c r="Q453" s="332">
        <f>IFERROR(VLOOKUP(TEXT(O453,"0"),CONDUCTORES!$A$3:$H$54,6,0),"")</f>
        <v/>
      </c>
      <c r="R453" s="334" t="n"/>
      <c r="S453" s="334" t="n"/>
      <c r="T453" s="334" t="n"/>
      <c r="U453" s="334" t="n"/>
      <c r="V453" s="334" t="n"/>
      <c r="W453" s="334" t="n"/>
      <c r="X453" s="334" t="n"/>
      <c r="Y453" s="334" t="n"/>
    </row>
    <row r="454" ht="15" customHeight="1" s="195">
      <c r="A454" s="280" t="n"/>
      <c r="B454" s="280" t="n"/>
      <c r="C454" s="280" t="n"/>
      <c r="D454" s="280" t="n"/>
      <c r="E454" s="280" t="n"/>
      <c r="F454" s="280" t="n"/>
      <c r="G454" s="280" t="n"/>
      <c r="H454" s="280" t="n"/>
      <c r="I454" s="332">
        <f>IFERROR(VLOOKUP(TEXT(H454,"0"),IPRESS!$A$3:$B$212,2,0),"")</f>
        <v/>
      </c>
      <c r="J454" s="280" t="n"/>
      <c r="K454" s="332">
        <f>IFERROR(VLOOKUP(TEXT(O454,"0"),CONDUCTORES!$A$3:$G$54,7,0),"")</f>
        <v/>
      </c>
      <c r="L454" s="280" t="n"/>
      <c r="M454" s="280" t="n"/>
      <c r="N454" s="333">
        <f>IFERROR(IF(L454*M454=0,"",L454*M454),"")</f>
        <v/>
      </c>
      <c r="O454" s="280" t="n"/>
      <c r="P454" s="332">
        <f>IFERROR(VLOOKUP(TEXT(O454,"0"),CONDUCTORES!$A$3:$G$54,2,0),"")</f>
        <v/>
      </c>
      <c r="Q454" s="332">
        <f>IFERROR(VLOOKUP(TEXT(O454,"0"),CONDUCTORES!$A$3:$H$54,6,0),"")</f>
        <v/>
      </c>
      <c r="R454" s="280" t="n"/>
      <c r="S454" s="280" t="n"/>
      <c r="T454" s="280" t="n"/>
      <c r="U454" s="280" t="n"/>
      <c r="V454" s="280" t="n"/>
      <c r="W454" s="280" t="n"/>
      <c r="X454" s="280" t="n"/>
      <c r="Y454" s="280" t="n"/>
    </row>
    <row r="455" ht="15" customHeight="1" s="195">
      <c r="A455" s="334" t="n"/>
      <c r="B455" s="334" t="n"/>
      <c r="C455" s="334" t="n"/>
      <c r="D455" s="334" t="n"/>
      <c r="E455" s="334" t="n"/>
      <c r="F455" s="334" t="n"/>
      <c r="G455" s="334" t="n"/>
      <c r="H455" s="334" t="n"/>
      <c r="I455" s="332">
        <f>IFERROR(VLOOKUP(TEXT(H455,"0"),IPRESS!$A$3:$B$212,2,0),"")</f>
        <v/>
      </c>
      <c r="J455" s="334" t="n"/>
      <c r="K455" s="332">
        <f>IFERROR(VLOOKUP(TEXT(O455,"0"),CONDUCTORES!$A$3:$G$54,7,0),"")</f>
        <v/>
      </c>
      <c r="L455" s="334" t="n"/>
      <c r="M455" s="334" t="n"/>
      <c r="N455" s="333">
        <f>IFERROR(IF(L455*M455=0,"",L455*M455),"")</f>
        <v/>
      </c>
      <c r="O455" s="334" t="n"/>
      <c r="P455" s="332">
        <f>IFERROR(VLOOKUP(TEXT(O455,"0"),CONDUCTORES!$A$3:$G$54,2,0),"")</f>
        <v/>
      </c>
      <c r="Q455" s="332">
        <f>IFERROR(VLOOKUP(TEXT(O455,"0"),CONDUCTORES!$A$3:$H$54,6,0),"")</f>
        <v/>
      </c>
      <c r="R455" s="334" t="n"/>
      <c r="S455" s="334" t="n"/>
      <c r="T455" s="334" t="n"/>
      <c r="U455" s="334" t="n"/>
      <c r="V455" s="334" t="n"/>
      <c r="W455" s="334" t="n"/>
      <c r="X455" s="334" t="n"/>
      <c r="Y455" s="334" t="n"/>
    </row>
    <row r="456" ht="15" customHeight="1" s="195">
      <c r="A456" s="280" t="n"/>
      <c r="B456" s="280" t="n"/>
      <c r="C456" s="280" t="n"/>
      <c r="D456" s="280" t="n"/>
      <c r="E456" s="280" t="n"/>
      <c r="F456" s="280" t="n"/>
      <c r="G456" s="280" t="n"/>
      <c r="H456" s="280" t="n"/>
      <c r="I456" s="332">
        <f>IFERROR(VLOOKUP(TEXT(H456,"0"),IPRESS!$A$3:$B$212,2,0),"")</f>
        <v/>
      </c>
      <c r="J456" s="280" t="n"/>
      <c r="K456" s="332">
        <f>IFERROR(VLOOKUP(TEXT(O456,"0"),CONDUCTORES!$A$3:$G$54,7,0),"")</f>
        <v/>
      </c>
      <c r="L456" s="280" t="n"/>
      <c r="M456" s="280" t="n"/>
      <c r="N456" s="333">
        <f>IFERROR(IF(L456*M456=0,"",L456*M456),"")</f>
        <v/>
      </c>
      <c r="O456" s="280" t="n"/>
      <c r="P456" s="332">
        <f>IFERROR(VLOOKUP(TEXT(O456,"0"),CONDUCTORES!$A$3:$G$54,2,0),"")</f>
        <v/>
      </c>
      <c r="Q456" s="332">
        <f>IFERROR(VLOOKUP(TEXT(O456,"0"),CONDUCTORES!$A$3:$H$54,6,0),"")</f>
        <v/>
      </c>
      <c r="R456" s="280" t="n"/>
      <c r="S456" s="280" t="n"/>
      <c r="T456" s="280" t="n"/>
      <c r="U456" s="280" t="n"/>
      <c r="V456" s="280" t="n"/>
      <c r="W456" s="280" t="n"/>
      <c r="X456" s="280" t="n"/>
      <c r="Y456" s="280" t="n"/>
    </row>
    <row r="457" ht="15" customHeight="1" s="195">
      <c r="A457" s="334" t="n"/>
      <c r="B457" s="334" t="n"/>
      <c r="C457" s="334" t="n"/>
      <c r="D457" s="334" t="n"/>
      <c r="E457" s="334" t="n"/>
      <c r="F457" s="334" t="n"/>
      <c r="G457" s="334" t="n"/>
      <c r="H457" s="334" t="n"/>
      <c r="I457" s="332">
        <f>IFERROR(VLOOKUP(TEXT(H457,"0"),IPRESS!$A$3:$B$212,2,0),"")</f>
        <v/>
      </c>
      <c r="J457" s="334" t="n"/>
      <c r="K457" s="332">
        <f>IFERROR(VLOOKUP(TEXT(O457,"0"),CONDUCTORES!$A$3:$G$54,7,0),"")</f>
        <v/>
      </c>
      <c r="L457" s="334" t="n"/>
      <c r="M457" s="334" t="n"/>
      <c r="N457" s="333">
        <f>IFERROR(IF(L457*M457=0,"",L457*M457),"")</f>
        <v/>
      </c>
      <c r="O457" s="334" t="n"/>
      <c r="P457" s="332">
        <f>IFERROR(VLOOKUP(TEXT(O457,"0"),CONDUCTORES!$A$3:$G$54,2,0),"")</f>
        <v/>
      </c>
      <c r="Q457" s="332">
        <f>IFERROR(VLOOKUP(TEXT(O457,"0"),CONDUCTORES!$A$3:$H$54,6,0),"")</f>
        <v/>
      </c>
      <c r="R457" s="334" t="n"/>
      <c r="S457" s="334" t="n"/>
      <c r="T457" s="334" t="n"/>
      <c r="U457" s="334" t="n"/>
      <c r="V457" s="334" t="n"/>
      <c r="W457" s="334" t="n"/>
      <c r="X457" s="334" t="n"/>
      <c r="Y457" s="334" t="n"/>
    </row>
    <row r="458" ht="15" customHeight="1" s="195">
      <c r="A458" s="280" t="n"/>
      <c r="B458" s="280" t="n"/>
      <c r="C458" s="280" t="n"/>
      <c r="D458" s="280" t="n"/>
      <c r="E458" s="280" t="n"/>
      <c r="F458" s="280" t="n"/>
      <c r="G458" s="280" t="n"/>
      <c r="H458" s="280" t="n"/>
      <c r="I458" s="332">
        <f>IFERROR(VLOOKUP(TEXT(H458,"0"),IPRESS!$A$3:$B$212,2,0),"")</f>
        <v/>
      </c>
      <c r="J458" s="280" t="n"/>
      <c r="K458" s="332">
        <f>IFERROR(VLOOKUP(TEXT(O458,"0"),CONDUCTORES!$A$3:$G$54,7,0),"")</f>
        <v/>
      </c>
      <c r="L458" s="280" t="n"/>
      <c r="M458" s="280" t="n"/>
      <c r="N458" s="333">
        <f>IFERROR(IF(L458*M458=0,"",L458*M458),"")</f>
        <v/>
      </c>
      <c r="O458" s="280" t="n"/>
      <c r="P458" s="332">
        <f>IFERROR(VLOOKUP(TEXT(O458,"0"),CONDUCTORES!$A$3:$G$54,2,0),"")</f>
        <v/>
      </c>
      <c r="Q458" s="332">
        <f>IFERROR(VLOOKUP(TEXT(O458,"0"),CONDUCTORES!$A$3:$H$54,6,0),"")</f>
        <v/>
      </c>
      <c r="R458" s="280" t="n"/>
      <c r="S458" s="280" t="n"/>
      <c r="T458" s="280" t="n"/>
      <c r="U458" s="280" t="n"/>
      <c r="V458" s="280" t="n"/>
      <c r="W458" s="280" t="n"/>
      <c r="X458" s="280" t="n"/>
      <c r="Y458" s="280" t="n"/>
    </row>
    <row r="459" ht="15" customHeight="1" s="195">
      <c r="A459" s="334" t="n"/>
      <c r="B459" s="334" t="n"/>
      <c r="C459" s="334" t="n"/>
      <c r="D459" s="334" t="n"/>
      <c r="E459" s="334" t="n"/>
      <c r="F459" s="334" t="n"/>
      <c r="G459" s="334" t="n"/>
      <c r="H459" s="334" t="n"/>
      <c r="I459" s="332">
        <f>IFERROR(VLOOKUP(TEXT(H459,"0"),IPRESS!$A$3:$B$212,2,0),"")</f>
        <v/>
      </c>
      <c r="J459" s="334" t="n"/>
      <c r="K459" s="332">
        <f>IFERROR(VLOOKUP(TEXT(O459,"0"),CONDUCTORES!$A$3:$G$54,7,0),"")</f>
        <v/>
      </c>
      <c r="L459" s="334" t="n"/>
      <c r="M459" s="334" t="n"/>
      <c r="N459" s="333">
        <f>IFERROR(IF(L459*M459=0,"",L459*M459),"")</f>
        <v/>
      </c>
      <c r="O459" s="334" t="n"/>
      <c r="P459" s="332">
        <f>IFERROR(VLOOKUP(TEXT(O459,"0"),CONDUCTORES!$A$3:$G$54,2,0),"")</f>
        <v/>
      </c>
      <c r="Q459" s="332">
        <f>IFERROR(VLOOKUP(TEXT(O459,"0"),CONDUCTORES!$A$3:$H$54,6,0),"")</f>
        <v/>
      </c>
      <c r="R459" s="334" t="n"/>
      <c r="S459" s="334" t="n"/>
      <c r="T459" s="334" t="n"/>
      <c r="U459" s="334" t="n"/>
      <c r="V459" s="334" t="n"/>
      <c r="W459" s="334" t="n"/>
      <c r="X459" s="334" t="n"/>
      <c r="Y459" s="334" t="n"/>
    </row>
    <row r="460" ht="15" customHeight="1" s="195">
      <c r="A460" s="280" t="n"/>
      <c r="B460" s="280" t="n"/>
      <c r="C460" s="280" t="n"/>
      <c r="D460" s="280" t="n"/>
      <c r="E460" s="280" t="n"/>
      <c r="F460" s="280" t="n"/>
      <c r="G460" s="280" t="n"/>
      <c r="H460" s="280" t="n"/>
      <c r="I460" s="332">
        <f>IFERROR(VLOOKUP(TEXT(H460,"0"),IPRESS!$A$3:$B$212,2,0),"")</f>
        <v/>
      </c>
      <c r="J460" s="280" t="n"/>
      <c r="K460" s="332">
        <f>IFERROR(VLOOKUP(TEXT(O460,"0"),CONDUCTORES!$A$3:$G$54,7,0),"")</f>
        <v/>
      </c>
      <c r="L460" s="280" t="n"/>
      <c r="M460" s="280" t="n"/>
      <c r="N460" s="333">
        <f>IFERROR(IF(L460*M460=0,"",L460*M460),"")</f>
        <v/>
      </c>
      <c r="O460" s="280" t="n"/>
      <c r="P460" s="332">
        <f>IFERROR(VLOOKUP(TEXT(O460,"0"),CONDUCTORES!$A$3:$G$54,2,0),"")</f>
        <v/>
      </c>
      <c r="Q460" s="332">
        <f>IFERROR(VLOOKUP(TEXT(O460,"0"),CONDUCTORES!$A$3:$H$54,6,0),"")</f>
        <v/>
      </c>
      <c r="R460" s="280" t="n"/>
      <c r="S460" s="280" t="n"/>
      <c r="T460" s="280" t="n"/>
      <c r="U460" s="280" t="n"/>
      <c r="V460" s="280" t="n"/>
      <c r="W460" s="280" t="n"/>
      <c r="X460" s="280" t="n"/>
      <c r="Y460" s="280" t="n"/>
    </row>
    <row r="461" ht="15" customHeight="1" s="195">
      <c r="A461" s="334" t="n"/>
      <c r="B461" s="334" t="n"/>
      <c r="C461" s="334" t="n"/>
      <c r="D461" s="334" t="n"/>
      <c r="E461" s="334" t="n"/>
      <c r="F461" s="334" t="n"/>
      <c r="G461" s="334" t="n"/>
      <c r="H461" s="334" t="n"/>
      <c r="I461" s="332">
        <f>IFERROR(VLOOKUP(TEXT(H461,"0"),IPRESS!$A$3:$B$212,2,0),"")</f>
        <v/>
      </c>
      <c r="J461" s="334" t="n"/>
      <c r="K461" s="332">
        <f>IFERROR(VLOOKUP(TEXT(O461,"0"),CONDUCTORES!$A$3:$G$54,7,0),"")</f>
        <v/>
      </c>
      <c r="L461" s="334" t="n"/>
      <c r="M461" s="334" t="n"/>
      <c r="N461" s="333">
        <f>IFERROR(IF(L461*M461=0,"",L461*M461),"")</f>
        <v/>
      </c>
      <c r="O461" s="334" t="n"/>
      <c r="P461" s="332">
        <f>IFERROR(VLOOKUP(TEXT(O461,"0"),CONDUCTORES!$A$3:$G$54,2,0),"")</f>
        <v/>
      </c>
      <c r="Q461" s="332">
        <f>IFERROR(VLOOKUP(TEXT(O461,"0"),CONDUCTORES!$A$3:$H$54,6,0),"")</f>
        <v/>
      </c>
      <c r="R461" s="334" t="n"/>
      <c r="S461" s="334" t="n"/>
      <c r="T461" s="334" t="n"/>
      <c r="U461" s="334" t="n"/>
      <c r="V461" s="334" t="n"/>
      <c r="W461" s="334" t="n"/>
      <c r="X461" s="334" t="n"/>
      <c r="Y461" s="334" t="n"/>
    </row>
    <row r="462" ht="15" customHeight="1" s="195">
      <c r="A462" s="280" t="n"/>
      <c r="B462" s="280" t="n"/>
      <c r="C462" s="280" t="n"/>
      <c r="D462" s="280" t="n"/>
      <c r="E462" s="280" t="n"/>
      <c r="F462" s="280" t="n"/>
      <c r="G462" s="280" t="n"/>
      <c r="H462" s="280" t="n"/>
      <c r="I462" s="332">
        <f>IFERROR(VLOOKUP(TEXT(H462,"0"),IPRESS!$A$3:$B$212,2,0),"")</f>
        <v/>
      </c>
      <c r="J462" s="280" t="n"/>
      <c r="K462" s="332">
        <f>IFERROR(VLOOKUP(TEXT(O462,"0"),CONDUCTORES!$A$3:$G$54,7,0),"")</f>
        <v/>
      </c>
      <c r="L462" s="280" t="n"/>
      <c r="M462" s="280" t="n"/>
      <c r="N462" s="333">
        <f>IFERROR(IF(L462*M462=0,"",L462*M462),"")</f>
        <v/>
      </c>
      <c r="O462" s="280" t="n"/>
      <c r="P462" s="332">
        <f>IFERROR(VLOOKUP(TEXT(O462,"0"),CONDUCTORES!$A$3:$G$54,2,0),"")</f>
        <v/>
      </c>
      <c r="Q462" s="332">
        <f>IFERROR(VLOOKUP(TEXT(O462,"0"),CONDUCTORES!$A$3:$H$54,6,0),"")</f>
        <v/>
      </c>
      <c r="R462" s="280" t="n"/>
      <c r="S462" s="280" t="n"/>
      <c r="T462" s="280" t="n"/>
      <c r="U462" s="280" t="n"/>
      <c r="V462" s="280" t="n"/>
      <c r="W462" s="280" t="n"/>
      <c r="X462" s="280" t="n"/>
      <c r="Y462" s="280" t="n"/>
    </row>
    <row r="463" ht="15" customHeight="1" s="195">
      <c r="A463" s="334" t="n"/>
      <c r="B463" s="334" t="n"/>
      <c r="C463" s="334" t="n"/>
      <c r="D463" s="334" t="n"/>
      <c r="E463" s="334" t="n"/>
      <c r="F463" s="334" t="n"/>
      <c r="G463" s="334" t="n"/>
      <c r="H463" s="334" t="n"/>
      <c r="I463" s="332">
        <f>IFERROR(VLOOKUP(TEXT(H463,"0"),IPRESS!$A$3:$B$212,2,0),"")</f>
        <v/>
      </c>
      <c r="J463" s="334" t="n"/>
      <c r="K463" s="332">
        <f>IFERROR(VLOOKUP(TEXT(O463,"0"),CONDUCTORES!$A$3:$G$54,7,0),"")</f>
        <v/>
      </c>
      <c r="L463" s="334" t="n"/>
      <c r="M463" s="334" t="n"/>
      <c r="N463" s="333">
        <f>IFERROR(IF(L463*M463=0,"",L463*M463),"")</f>
        <v/>
      </c>
      <c r="O463" s="334" t="n"/>
      <c r="P463" s="332">
        <f>IFERROR(VLOOKUP(TEXT(O463,"0"),CONDUCTORES!$A$3:$G$54,2,0),"")</f>
        <v/>
      </c>
      <c r="Q463" s="332">
        <f>IFERROR(VLOOKUP(TEXT(O463,"0"),CONDUCTORES!$A$3:$H$54,6,0),"")</f>
        <v/>
      </c>
      <c r="R463" s="334" t="n"/>
      <c r="S463" s="334" t="n"/>
      <c r="T463" s="334" t="n"/>
      <c r="U463" s="334" t="n"/>
      <c r="V463" s="334" t="n"/>
      <c r="W463" s="334" t="n"/>
      <c r="X463" s="334" t="n"/>
      <c r="Y463" s="334" t="n"/>
    </row>
    <row r="464" ht="15" customHeight="1" s="195">
      <c r="A464" s="280" t="n"/>
      <c r="B464" s="280" t="n"/>
      <c r="C464" s="280" t="n"/>
      <c r="D464" s="280" t="n"/>
      <c r="E464" s="280" t="n"/>
      <c r="F464" s="280" t="n"/>
      <c r="G464" s="280" t="n"/>
      <c r="H464" s="280" t="n"/>
      <c r="I464" s="332">
        <f>IFERROR(VLOOKUP(TEXT(H464,"0"),IPRESS!$A$3:$B$212,2,0),"")</f>
        <v/>
      </c>
      <c r="J464" s="280" t="n"/>
      <c r="K464" s="332">
        <f>IFERROR(VLOOKUP(TEXT(O464,"0"),CONDUCTORES!$A$3:$G$54,7,0),"")</f>
        <v/>
      </c>
      <c r="L464" s="280" t="n"/>
      <c r="M464" s="280" t="n"/>
      <c r="N464" s="333">
        <f>IFERROR(IF(L464*M464=0,"",L464*M464),"")</f>
        <v/>
      </c>
      <c r="O464" s="280" t="n"/>
      <c r="P464" s="332">
        <f>IFERROR(VLOOKUP(TEXT(O464,"0"),CONDUCTORES!$A$3:$G$54,2,0),"")</f>
        <v/>
      </c>
      <c r="Q464" s="332">
        <f>IFERROR(VLOOKUP(TEXT(O464,"0"),CONDUCTORES!$A$3:$H$54,6,0),"")</f>
        <v/>
      </c>
      <c r="R464" s="280" t="n"/>
      <c r="S464" s="280" t="n"/>
      <c r="T464" s="280" t="n"/>
      <c r="U464" s="280" t="n"/>
      <c r="V464" s="280" t="n"/>
      <c r="W464" s="280" t="n"/>
      <c r="X464" s="280" t="n"/>
      <c r="Y464" s="280" t="n"/>
    </row>
    <row r="465" ht="15" customHeight="1" s="195">
      <c r="A465" s="334" t="n"/>
      <c r="B465" s="334" t="n"/>
      <c r="C465" s="334" t="n"/>
      <c r="D465" s="334" t="n"/>
      <c r="E465" s="334" t="n"/>
      <c r="F465" s="334" t="n"/>
      <c r="G465" s="334" t="n"/>
      <c r="H465" s="334" t="n"/>
      <c r="I465" s="332">
        <f>IFERROR(VLOOKUP(TEXT(H465,"0"),IPRESS!$A$3:$B$212,2,0),"")</f>
        <v/>
      </c>
      <c r="J465" s="334" t="n"/>
      <c r="K465" s="332">
        <f>IFERROR(VLOOKUP(TEXT(O465,"0"),CONDUCTORES!$A$3:$G$54,7,0),"")</f>
        <v/>
      </c>
      <c r="L465" s="334" t="n"/>
      <c r="M465" s="334" t="n"/>
      <c r="N465" s="333">
        <f>IFERROR(IF(L465*M465=0,"",L465*M465),"")</f>
        <v/>
      </c>
      <c r="O465" s="334" t="n"/>
      <c r="P465" s="332">
        <f>IFERROR(VLOOKUP(TEXT(O465,"0"),CONDUCTORES!$A$3:$G$54,2,0),"")</f>
        <v/>
      </c>
      <c r="Q465" s="332">
        <f>IFERROR(VLOOKUP(TEXT(O465,"0"),CONDUCTORES!$A$3:$H$54,6,0),"")</f>
        <v/>
      </c>
      <c r="R465" s="334" t="n"/>
      <c r="S465" s="334" t="n"/>
      <c r="T465" s="334" t="n"/>
      <c r="U465" s="334" t="n"/>
      <c r="V465" s="334" t="n"/>
      <c r="W465" s="334" t="n"/>
      <c r="X465" s="334" t="n"/>
      <c r="Y465" s="334" t="n"/>
    </row>
    <row r="466" ht="15" customHeight="1" s="195">
      <c r="A466" s="280" t="n"/>
      <c r="B466" s="280" t="n"/>
      <c r="C466" s="280" t="n"/>
      <c r="D466" s="280" t="n"/>
      <c r="E466" s="280" t="n"/>
      <c r="F466" s="280" t="n"/>
      <c r="G466" s="280" t="n"/>
      <c r="H466" s="280" t="n"/>
      <c r="I466" s="332">
        <f>IFERROR(VLOOKUP(TEXT(H466,"0"),IPRESS!$A$3:$B$212,2,0),"")</f>
        <v/>
      </c>
      <c r="J466" s="280" t="n"/>
      <c r="K466" s="332">
        <f>IFERROR(VLOOKUP(TEXT(O466,"0"),CONDUCTORES!$A$3:$G$54,7,0),"")</f>
        <v/>
      </c>
      <c r="L466" s="280" t="n"/>
      <c r="M466" s="280" t="n"/>
      <c r="N466" s="333">
        <f>IFERROR(IF(L466*M466=0,"",L466*M466),"")</f>
        <v/>
      </c>
      <c r="O466" s="280" t="n"/>
      <c r="P466" s="332">
        <f>IFERROR(VLOOKUP(TEXT(O466,"0"),CONDUCTORES!$A$3:$G$54,2,0),"")</f>
        <v/>
      </c>
      <c r="Q466" s="332">
        <f>IFERROR(VLOOKUP(TEXT(O466,"0"),CONDUCTORES!$A$3:$H$54,6,0),"")</f>
        <v/>
      </c>
      <c r="R466" s="280" t="n"/>
      <c r="S466" s="280" t="n"/>
      <c r="T466" s="280" t="n"/>
      <c r="U466" s="280" t="n"/>
      <c r="V466" s="280" t="n"/>
      <c r="W466" s="280" t="n"/>
      <c r="X466" s="280" t="n"/>
      <c r="Y466" s="280" t="n"/>
    </row>
    <row r="467" ht="15" customHeight="1" s="195">
      <c r="A467" s="334" t="n"/>
      <c r="B467" s="334" t="n"/>
      <c r="C467" s="334" t="n"/>
      <c r="D467" s="334" t="n"/>
      <c r="E467" s="334" t="n"/>
      <c r="F467" s="334" t="n"/>
      <c r="G467" s="334" t="n"/>
      <c r="H467" s="334" t="n"/>
      <c r="I467" s="332">
        <f>IFERROR(VLOOKUP(TEXT(H467,"0"),IPRESS!$A$3:$B$212,2,0),"")</f>
        <v/>
      </c>
      <c r="J467" s="334" t="n"/>
      <c r="K467" s="332">
        <f>IFERROR(VLOOKUP(TEXT(O467,"0"),CONDUCTORES!$A$3:$G$54,7,0),"")</f>
        <v/>
      </c>
      <c r="L467" s="334" t="n"/>
      <c r="M467" s="334" t="n"/>
      <c r="N467" s="333">
        <f>IFERROR(IF(L467*M467=0,"",L467*M467),"")</f>
        <v/>
      </c>
      <c r="O467" s="334" t="n"/>
      <c r="P467" s="332">
        <f>IFERROR(VLOOKUP(TEXT(O467,"0"),CONDUCTORES!$A$3:$G$54,2,0),"")</f>
        <v/>
      </c>
      <c r="Q467" s="332">
        <f>IFERROR(VLOOKUP(TEXT(O467,"0"),CONDUCTORES!$A$3:$H$54,6,0),"")</f>
        <v/>
      </c>
      <c r="R467" s="334" t="n"/>
      <c r="S467" s="334" t="n"/>
      <c r="T467" s="334" t="n"/>
      <c r="U467" s="334" t="n"/>
      <c r="V467" s="334" t="n"/>
      <c r="W467" s="334" t="n"/>
      <c r="X467" s="334" t="n"/>
      <c r="Y467" s="334" t="n"/>
    </row>
    <row r="468" ht="15" customHeight="1" s="195">
      <c r="A468" s="280" t="n"/>
      <c r="B468" s="280" t="n"/>
      <c r="C468" s="280" t="n"/>
      <c r="D468" s="280" t="n"/>
      <c r="E468" s="280" t="n"/>
      <c r="F468" s="280" t="n"/>
      <c r="G468" s="280" t="n"/>
      <c r="H468" s="280" t="n"/>
      <c r="I468" s="332">
        <f>IFERROR(VLOOKUP(TEXT(H468,"0"),IPRESS!$A$3:$B$212,2,0),"")</f>
        <v/>
      </c>
      <c r="J468" s="280" t="n"/>
      <c r="K468" s="332">
        <f>IFERROR(VLOOKUP(TEXT(O468,"0"),CONDUCTORES!$A$3:$G$54,7,0),"")</f>
        <v/>
      </c>
      <c r="L468" s="280" t="n"/>
      <c r="M468" s="280" t="n"/>
      <c r="N468" s="333">
        <f>IFERROR(IF(L468*M468=0,"",L468*M468),"")</f>
        <v/>
      </c>
      <c r="O468" s="280" t="n"/>
      <c r="P468" s="332">
        <f>IFERROR(VLOOKUP(TEXT(O468,"0"),CONDUCTORES!$A$3:$G$54,2,0),"")</f>
        <v/>
      </c>
      <c r="Q468" s="332">
        <f>IFERROR(VLOOKUP(TEXT(O468,"0"),CONDUCTORES!$A$3:$H$54,6,0),"")</f>
        <v/>
      </c>
      <c r="R468" s="280" t="n"/>
      <c r="S468" s="280" t="n"/>
      <c r="T468" s="280" t="n"/>
      <c r="U468" s="280" t="n"/>
      <c r="V468" s="280" t="n"/>
      <c r="W468" s="280" t="n"/>
      <c r="X468" s="280" t="n"/>
      <c r="Y468" s="280" t="n"/>
    </row>
    <row r="469" ht="15" customHeight="1" s="195">
      <c r="A469" s="334" t="n"/>
      <c r="B469" s="334" t="n"/>
      <c r="C469" s="334" t="n"/>
      <c r="D469" s="334" t="n"/>
      <c r="E469" s="334" t="n"/>
      <c r="F469" s="334" t="n"/>
      <c r="G469" s="334" t="n"/>
      <c r="H469" s="334" t="n"/>
      <c r="I469" s="332">
        <f>IFERROR(VLOOKUP(TEXT(H469,"0"),IPRESS!$A$3:$B$212,2,0),"")</f>
        <v/>
      </c>
      <c r="J469" s="334" t="n"/>
      <c r="K469" s="332">
        <f>IFERROR(VLOOKUP(TEXT(O469,"0"),CONDUCTORES!$A$3:$G$54,7,0),"")</f>
        <v/>
      </c>
      <c r="L469" s="334" t="n"/>
      <c r="M469" s="334" t="n"/>
      <c r="N469" s="333">
        <f>IFERROR(IF(L469*M469=0,"",L469*M469),"")</f>
        <v/>
      </c>
      <c r="O469" s="334" t="n"/>
      <c r="P469" s="332">
        <f>IFERROR(VLOOKUP(TEXT(O469,"0"),CONDUCTORES!$A$3:$G$54,2,0),"")</f>
        <v/>
      </c>
      <c r="Q469" s="332">
        <f>IFERROR(VLOOKUP(TEXT(O469,"0"),CONDUCTORES!$A$3:$H$54,6,0),"")</f>
        <v/>
      </c>
      <c r="R469" s="334" t="n"/>
      <c r="S469" s="334" t="n"/>
      <c r="T469" s="334" t="n"/>
      <c r="U469" s="334" t="n"/>
      <c r="V469" s="334" t="n"/>
      <c r="W469" s="334" t="n"/>
      <c r="X469" s="334" t="n"/>
      <c r="Y469" s="334" t="n"/>
    </row>
    <row r="470" ht="15" customHeight="1" s="195">
      <c r="A470" s="280" t="n"/>
      <c r="B470" s="280" t="n"/>
      <c r="C470" s="280" t="n"/>
      <c r="D470" s="280" t="n"/>
      <c r="E470" s="280" t="n"/>
      <c r="F470" s="280" t="n"/>
      <c r="G470" s="280" t="n"/>
      <c r="H470" s="280" t="n"/>
      <c r="I470" s="332">
        <f>IFERROR(VLOOKUP(TEXT(H470,"0"),IPRESS!$A$3:$B$212,2,0),"")</f>
        <v/>
      </c>
      <c r="J470" s="280" t="n"/>
      <c r="K470" s="332">
        <f>IFERROR(VLOOKUP(TEXT(O470,"0"),CONDUCTORES!$A$3:$G$54,7,0),"")</f>
        <v/>
      </c>
      <c r="L470" s="280" t="n"/>
      <c r="M470" s="280" t="n"/>
      <c r="N470" s="333">
        <f>IFERROR(IF(L470*M470=0,"",L470*M470),"")</f>
        <v/>
      </c>
      <c r="O470" s="280" t="n"/>
      <c r="P470" s="332">
        <f>IFERROR(VLOOKUP(TEXT(O470,"0"),CONDUCTORES!$A$3:$G$54,2,0),"")</f>
        <v/>
      </c>
      <c r="Q470" s="332">
        <f>IFERROR(VLOOKUP(TEXT(O470,"0"),CONDUCTORES!$A$3:$H$54,6,0),"")</f>
        <v/>
      </c>
      <c r="R470" s="280" t="n"/>
      <c r="S470" s="280" t="n"/>
      <c r="T470" s="280" t="n"/>
      <c r="U470" s="280" t="n"/>
      <c r="V470" s="280" t="n"/>
      <c r="W470" s="280" t="n"/>
      <c r="X470" s="280" t="n"/>
      <c r="Y470" s="280" t="n"/>
    </row>
    <row r="471" ht="15" customHeight="1" s="195">
      <c r="A471" s="334" t="n"/>
      <c r="B471" s="334" t="n"/>
      <c r="C471" s="334" t="n"/>
      <c r="D471" s="334" t="n"/>
      <c r="E471" s="334" t="n"/>
      <c r="F471" s="334" t="n"/>
      <c r="G471" s="334" t="n"/>
      <c r="H471" s="334" t="n"/>
      <c r="I471" s="332">
        <f>IFERROR(VLOOKUP(TEXT(H471,"0"),IPRESS!$A$3:$B$212,2,0),"")</f>
        <v/>
      </c>
      <c r="J471" s="334" t="n"/>
      <c r="K471" s="332">
        <f>IFERROR(VLOOKUP(TEXT(O471,"0"),CONDUCTORES!$A$3:$G$54,7,0),"")</f>
        <v/>
      </c>
      <c r="L471" s="334" t="n"/>
      <c r="M471" s="334" t="n"/>
      <c r="N471" s="333">
        <f>IFERROR(IF(L471*M471=0,"",L471*M471),"")</f>
        <v/>
      </c>
      <c r="O471" s="334" t="n"/>
      <c r="P471" s="332">
        <f>IFERROR(VLOOKUP(TEXT(O471,"0"),CONDUCTORES!$A$3:$G$54,2,0),"")</f>
        <v/>
      </c>
      <c r="Q471" s="332">
        <f>IFERROR(VLOOKUP(TEXT(O471,"0"),CONDUCTORES!$A$3:$H$54,6,0),"")</f>
        <v/>
      </c>
      <c r="R471" s="334" t="n"/>
      <c r="S471" s="334" t="n"/>
      <c r="T471" s="334" t="n"/>
      <c r="U471" s="334" t="n"/>
      <c r="V471" s="334" t="n"/>
      <c r="W471" s="334" t="n"/>
      <c r="X471" s="334" t="n"/>
      <c r="Y471" s="334" t="n"/>
    </row>
    <row r="472" ht="15" customHeight="1" s="195">
      <c r="A472" s="280" t="n"/>
      <c r="B472" s="280" t="n"/>
      <c r="C472" s="280" t="n"/>
      <c r="D472" s="280" t="n"/>
      <c r="E472" s="280" t="n"/>
      <c r="F472" s="280" t="n"/>
      <c r="G472" s="280" t="n"/>
      <c r="H472" s="280" t="n"/>
      <c r="I472" s="332">
        <f>IFERROR(VLOOKUP(TEXT(H472,"0"),IPRESS!$A$3:$B$212,2,0),"")</f>
        <v/>
      </c>
      <c r="J472" s="280" t="n"/>
      <c r="K472" s="332">
        <f>IFERROR(VLOOKUP(TEXT(O472,"0"),CONDUCTORES!$A$3:$G$54,7,0),"")</f>
        <v/>
      </c>
      <c r="L472" s="280" t="n"/>
      <c r="M472" s="280" t="n"/>
      <c r="N472" s="333">
        <f>IFERROR(IF(L472*M472=0,"",L472*M472),"")</f>
        <v/>
      </c>
      <c r="O472" s="280" t="n"/>
      <c r="P472" s="332">
        <f>IFERROR(VLOOKUP(TEXT(O472,"0"),CONDUCTORES!$A$3:$G$54,2,0),"")</f>
        <v/>
      </c>
      <c r="Q472" s="332">
        <f>IFERROR(VLOOKUP(TEXT(O472,"0"),CONDUCTORES!$A$3:$H$54,6,0),"")</f>
        <v/>
      </c>
      <c r="R472" s="280" t="n"/>
      <c r="S472" s="280" t="n"/>
      <c r="T472" s="280" t="n"/>
      <c r="U472" s="280" t="n"/>
      <c r="V472" s="280" t="n"/>
      <c r="W472" s="280" t="n"/>
      <c r="X472" s="280" t="n"/>
      <c r="Y472" s="280" t="n"/>
    </row>
    <row r="473" ht="15" customHeight="1" s="195">
      <c r="A473" s="334" t="n"/>
      <c r="B473" s="334" t="n"/>
      <c r="C473" s="334" t="n"/>
      <c r="D473" s="334" t="n"/>
      <c r="E473" s="334" t="n"/>
      <c r="F473" s="334" t="n"/>
      <c r="G473" s="334" t="n"/>
      <c r="H473" s="334" t="n"/>
      <c r="I473" s="332">
        <f>IFERROR(VLOOKUP(TEXT(H473,"0"),IPRESS!$A$3:$B$212,2,0),"")</f>
        <v/>
      </c>
      <c r="J473" s="334" t="n"/>
      <c r="K473" s="332">
        <f>IFERROR(VLOOKUP(TEXT(O473,"0"),CONDUCTORES!$A$3:$G$54,7,0),"")</f>
        <v/>
      </c>
      <c r="L473" s="334" t="n"/>
      <c r="M473" s="334" t="n"/>
      <c r="N473" s="333">
        <f>IFERROR(IF(L473*M473=0,"",L473*M473),"")</f>
        <v/>
      </c>
      <c r="O473" s="334" t="n"/>
      <c r="P473" s="332">
        <f>IFERROR(VLOOKUP(TEXT(O473,"0"),CONDUCTORES!$A$3:$G$54,2,0),"")</f>
        <v/>
      </c>
      <c r="Q473" s="332">
        <f>IFERROR(VLOOKUP(TEXT(O473,"0"),CONDUCTORES!$A$3:$H$54,6,0),"")</f>
        <v/>
      </c>
      <c r="R473" s="334" t="n"/>
      <c r="S473" s="334" t="n"/>
      <c r="T473" s="334" t="n"/>
      <c r="U473" s="334" t="n"/>
      <c r="V473" s="334" t="n"/>
      <c r="W473" s="334" t="n"/>
      <c r="X473" s="334" t="n"/>
      <c r="Y473" s="334" t="n"/>
    </row>
    <row r="474" ht="15" customHeight="1" s="195">
      <c r="A474" s="280" t="n"/>
      <c r="B474" s="280" t="n"/>
      <c r="C474" s="280" t="n"/>
      <c r="D474" s="280" t="n"/>
      <c r="E474" s="280" t="n"/>
      <c r="F474" s="280" t="n"/>
      <c r="G474" s="280" t="n"/>
      <c r="H474" s="280" t="n"/>
      <c r="I474" s="332">
        <f>IFERROR(VLOOKUP(TEXT(H474,"0"),IPRESS!$A$3:$B$212,2,0),"")</f>
        <v/>
      </c>
      <c r="J474" s="280" t="n"/>
      <c r="K474" s="332">
        <f>IFERROR(VLOOKUP(TEXT(O474,"0"),CONDUCTORES!$A$3:$G$54,7,0),"")</f>
        <v/>
      </c>
      <c r="L474" s="280" t="n"/>
      <c r="M474" s="280" t="n"/>
      <c r="N474" s="333">
        <f>IFERROR(IF(L474*M474=0,"",L474*M474),"")</f>
        <v/>
      </c>
      <c r="O474" s="280" t="n"/>
      <c r="P474" s="332">
        <f>IFERROR(VLOOKUP(TEXT(O474,"0"),CONDUCTORES!$A$3:$G$54,2,0),"")</f>
        <v/>
      </c>
      <c r="Q474" s="332">
        <f>IFERROR(VLOOKUP(TEXT(O474,"0"),CONDUCTORES!$A$3:$H$54,6,0),"")</f>
        <v/>
      </c>
      <c r="R474" s="280" t="n"/>
      <c r="S474" s="280" t="n"/>
      <c r="T474" s="280" t="n"/>
      <c r="U474" s="280" t="n"/>
      <c r="V474" s="280" t="n"/>
      <c r="W474" s="280" t="n"/>
      <c r="X474" s="280" t="n"/>
      <c r="Y474" s="280" t="n"/>
    </row>
    <row r="475" ht="15" customHeight="1" s="195">
      <c r="A475" s="334" t="n"/>
      <c r="B475" s="334" t="n"/>
      <c r="C475" s="334" t="n"/>
      <c r="D475" s="334" t="n"/>
      <c r="E475" s="334" t="n"/>
      <c r="F475" s="334" t="n"/>
      <c r="G475" s="334" t="n"/>
      <c r="H475" s="334" t="n"/>
      <c r="I475" s="332">
        <f>IFERROR(VLOOKUP(TEXT(H475,"0"),IPRESS!$A$3:$B$212,2,0),"")</f>
        <v/>
      </c>
      <c r="J475" s="334" t="n"/>
      <c r="K475" s="332">
        <f>IFERROR(VLOOKUP(TEXT(O475,"0"),CONDUCTORES!$A$3:$G$54,7,0),"")</f>
        <v/>
      </c>
      <c r="L475" s="334" t="n"/>
      <c r="M475" s="334" t="n"/>
      <c r="N475" s="333">
        <f>IFERROR(IF(L475*M475=0,"",L475*M475),"")</f>
        <v/>
      </c>
      <c r="O475" s="334" t="n"/>
      <c r="P475" s="332">
        <f>IFERROR(VLOOKUP(TEXT(O475,"0"),CONDUCTORES!$A$3:$G$54,2,0),"")</f>
        <v/>
      </c>
      <c r="Q475" s="332">
        <f>IFERROR(VLOOKUP(TEXT(O475,"0"),CONDUCTORES!$A$3:$H$54,6,0),"")</f>
        <v/>
      </c>
      <c r="R475" s="334" t="n"/>
      <c r="S475" s="334" t="n"/>
      <c r="T475" s="334" t="n"/>
      <c r="U475" s="334" t="n"/>
      <c r="V475" s="334" t="n"/>
      <c r="W475" s="334" t="n"/>
      <c r="X475" s="334" t="n"/>
      <c r="Y475" s="334" t="n"/>
    </row>
    <row r="476" ht="15" customHeight="1" s="195">
      <c r="A476" s="280" t="n"/>
      <c r="B476" s="280" t="n"/>
      <c r="C476" s="280" t="n"/>
      <c r="D476" s="280" t="n"/>
      <c r="E476" s="280" t="n"/>
      <c r="F476" s="280" t="n"/>
      <c r="G476" s="280" t="n"/>
      <c r="H476" s="280" t="n"/>
      <c r="I476" s="332">
        <f>IFERROR(VLOOKUP(TEXT(H476,"0"),IPRESS!$A$3:$B$212,2,0),"")</f>
        <v/>
      </c>
      <c r="J476" s="280" t="n"/>
      <c r="K476" s="332">
        <f>IFERROR(VLOOKUP(TEXT(O476,"0"),CONDUCTORES!$A$3:$G$54,7,0),"")</f>
        <v/>
      </c>
      <c r="L476" s="280" t="n"/>
      <c r="M476" s="280" t="n"/>
      <c r="N476" s="333">
        <f>IFERROR(IF(L476*M476=0,"",L476*M476),"")</f>
        <v/>
      </c>
      <c r="O476" s="280" t="n"/>
      <c r="P476" s="332">
        <f>IFERROR(VLOOKUP(TEXT(O476,"0"),CONDUCTORES!$A$3:$G$54,2,0),"")</f>
        <v/>
      </c>
      <c r="Q476" s="332">
        <f>IFERROR(VLOOKUP(TEXT(O476,"0"),CONDUCTORES!$A$3:$H$54,6,0),"")</f>
        <v/>
      </c>
      <c r="R476" s="280" t="n"/>
      <c r="S476" s="280" t="n"/>
      <c r="T476" s="280" t="n"/>
      <c r="U476" s="280" t="n"/>
      <c r="V476" s="280" t="n"/>
      <c r="W476" s="280" t="n"/>
      <c r="X476" s="280" t="n"/>
      <c r="Y476" s="280" t="n"/>
    </row>
    <row r="477" ht="15" customHeight="1" s="195">
      <c r="A477" s="334" t="n"/>
      <c r="B477" s="334" t="n"/>
      <c r="C477" s="334" t="n"/>
      <c r="D477" s="334" t="n"/>
      <c r="E477" s="334" t="n"/>
      <c r="F477" s="334" t="n"/>
      <c r="G477" s="334" t="n"/>
      <c r="H477" s="334" t="n"/>
      <c r="I477" s="332">
        <f>IFERROR(VLOOKUP(TEXT(H477,"0"),IPRESS!$A$3:$B$212,2,0),"")</f>
        <v/>
      </c>
      <c r="J477" s="334" t="n"/>
      <c r="K477" s="332">
        <f>IFERROR(VLOOKUP(TEXT(O477,"0"),CONDUCTORES!$A$3:$G$54,7,0),"")</f>
        <v/>
      </c>
      <c r="L477" s="334" t="n"/>
      <c r="M477" s="334" t="n"/>
      <c r="N477" s="333">
        <f>IFERROR(IF(L477*M477=0,"",L477*M477),"")</f>
        <v/>
      </c>
      <c r="O477" s="334" t="n"/>
      <c r="P477" s="332">
        <f>IFERROR(VLOOKUP(TEXT(O477,"0"),CONDUCTORES!$A$3:$G$54,2,0),"")</f>
        <v/>
      </c>
      <c r="Q477" s="332">
        <f>IFERROR(VLOOKUP(TEXT(O477,"0"),CONDUCTORES!$A$3:$H$54,6,0),"")</f>
        <v/>
      </c>
      <c r="R477" s="334" t="n"/>
      <c r="S477" s="334" t="n"/>
      <c r="T477" s="334" t="n"/>
      <c r="U477" s="334" t="n"/>
      <c r="V477" s="334" t="n"/>
      <c r="W477" s="334" t="n"/>
      <c r="X477" s="334" t="n"/>
      <c r="Y477" s="334" t="n"/>
    </row>
    <row r="478" ht="15" customHeight="1" s="195">
      <c r="A478" s="280" t="n"/>
      <c r="B478" s="280" t="n"/>
      <c r="C478" s="280" t="n"/>
      <c r="D478" s="280" t="n"/>
      <c r="E478" s="280" t="n"/>
      <c r="F478" s="280" t="n"/>
      <c r="G478" s="280" t="n"/>
      <c r="H478" s="280" t="n"/>
      <c r="I478" s="332">
        <f>IFERROR(VLOOKUP(TEXT(H478,"0"),IPRESS!$A$3:$B$212,2,0),"")</f>
        <v/>
      </c>
      <c r="J478" s="280" t="n"/>
      <c r="K478" s="332">
        <f>IFERROR(VLOOKUP(TEXT(O478,"0"),CONDUCTORES!$A$3:$G$54,7,0),"")</f>
        <v/>
      </c>
      <c r="L478" s="280" t="n"/>
      <c r="M478" s="280" t="n"/>
      <c r="N478" s="333">
        <f>IFERROR(IF(L478*M478=0,"",L478*M478),"")</f>
        <v/>
      </c>
      <c r="O478" s="280" t="n"/>
      <c r="P478" s="332">
        <f>IFERROR(VLOOKUP(TEXT(O478,"0"),CONDUCTORES!$A$3:$G$54,2,0),"")</f>
        <v/>
      </c>
      <c r="Q478" s="332">
        <f>IFERROR(VLOOKUP(TEXT(O478,"0"),CONDUCTORES!$A$3:$H$54,6,0),"")</f>
        <v/>
      </c>
      <c r="R478" s="280" t="n"/>
      <c r="S478" s="280" t="n"/>
      <c r="T478" s="280" t="n"/>
      <c r="U478" s="280" t="n"/>
      <c r="V478" s="280" t="n"/>
      <c r="W478" s="280" t="n"/>
      <c r="X478" s="280" t="n"/>
      <c r="Y478" s="280" t="n"/>
    </row>
    <row r="479" ht="15" customHeight="1" s="195">
      <c r="A479" s="334" t="n"/>
      <c r="B479" s="334" t="n"/>
      <c r="C479" s="334" t="n"/>
      <c r="D479" s="334" t="n"/>
      <c r="E479" s="334" t="n"/>
      <c r="F479" s="334" t="n"/>
      <c r="G479" s="334" t="n"/>
      <c r="H479" s="334" t="n"/>
      <c r="I479" s="332">
        <f>IFERROR(VLOOKUP(TEXT(H479,"0"),IPRESS!$A$3:$B$212,2,0),"")</f>
        <v/>
      </c>
      <c r="J479" s="334" t="n"/>
      <c r="K479" s="332">
        <f>IFERROR(VLOOKUP(TEXT(O479,"0"),CONDUCTORES!$A$3:$G$54,7,0),"")</f>
        <v/>
      </c>
      <c r="L479" s="334" t="n"/>
      <c r="M479" s="334" t="n"/>
      <c r="N479" s="333">
        <f>IFERROR(IF(L479*M479=0,"",L479*M479),"")</f>
        <v/>
      </c>
      <c r="O479" s="334" t="n"/>
      <c r="P479" s="332">
        <f>IFERROR(VLOOKUP(TEXT(O479,"0"),CONDUCTORES!$A$3:$G$54,2,0),"")</f>
        <v/>
      </c>
      <c r="Q479" s="332">
        <f>IFERROR(VLOOKUP(TEXT(O479,"0"),CONDUCTORES!$A$3:$H$54,6,0),"")</f>
        <v/>
      </c>
      <c r="R479" s="334" t="n"/>
      <c r="S479" s="334" t="n"/>
      <c r="T479" s="334" t="n"/>
      <c r="U479" s="334" t="n"/>
      <c r="V479" s="334" t="n"/>
      <c r="W479" s="334" t="n"/>
      <c r="X479" s="334" t="n"/>
      <c r="Y479" s="334" t="n"/>
    </row>
    <row r="480" ht="15" customHeight="1" s="195">
      <c r="A480" s="280" t="n"/>
      <c r="B480" s="280" t="n"/>
      <c r="C480" s="280" t="n"/>
      <c r="D480" s="280" t="n"/>
      <c r="E480" s="280" t="n"/>
      <c r="F480" s="280" t="n"/>
      <c r="G480" s="280" t="n"/>
      <c r="H480" s="280" t="n"/>
      <c r="I480" s="332">
        <f>IFERROR(VLOOKUP(TEXT(H480,"0"),IPRESS!$A$3:$B$212,2,0),"")</f>
        <v/>
      </c>
      <c r="J480" s="280" t="n"/>
      <c r="K480" s="332">
        <f>IFERROR(VLOOKUP(TEXT(O480,"0"),CONDUCTORES!$A$3:$G$54,7,0),"")</f>
        <v/>
      </c>
      <c r="L480" s="280" t="n"/>
      <c r="M480" s="280" t="n"/>
      <c r="N480" s="333">
        <f>IFERROR(IF(L480*M480=0,"",L480*M480),"")</f>
        <v/>
      </c>
      <c r="O480" s="280" t="n"/>
      <c r="P480" s="332">
        <f>IFERROR(VLOOKUP(TEXT(O480,"0"),CONDUCTORES!$A$3:$G$54,2,0),"")</f>
        <v/>
      </c>
      <c r="Q480" s="332">
        <f>IFERROR(VLOOKUP(TEXT(O480,"0"),CONDUCTORES!$A$3:$H$54,6,0),"")</f>
        <v/>
      </c>
      <c r="R480" s="280" t="n"/>
      <c r="S480" s="280" t="n"/>
      <c r="T480" s="280" t="n"/>
      <c r="U480" s="280" t="n"/>
      <c r="V480" s="280" t="n"/>
      <c r="W480" s="280" t="n"/>
      <c r="X480" s="280" t="n"/>
      <c r="Y480" s="280" t="n"/>
    </row>
    <row r="481" ht="15" customHeight="1" s="195">
      <c r="A481" s="334" t="n"/>
      <c r="B481" s="334" t="n"/>
      <c r="C481" s="334" t="n"/>
      <c r="D481" s="334" t="n"/>
      <c r="E481" s="334" t="n"/>
      <c r="F481" s="334" t="n"/>
      <c r="G481" s="334" t="n"/>
      <c r="H481" s="334" t="n"/>
      <c r="I481" s="332">
        <f>IFERROR(VLOOKUP(TEXT(H481,"0"),IPRESS!$A$3:$B$212,2,0),"")</f>
        <v/>
      </c>
      <c r="J481" s="334" t="n"/>
      <c r="K481" s="332">
        <f>IFERROR(VLOOKUP(TEXT(O481,"0"),CONDUCTORES!$A$3:$G$54,7,0),"")</f>
        <v/>
      </c>
      <c r="L481" s="334" t="n"/>
      <c r="M481" s="334" t="n"/>
      <c r="N481" s="333">
        <f>IFERROR(IF(L481*M481=0,"",L481*M481),"")</f>
        <v/>
      </c>
      <c r="O481" s="334" t="n"/>
      <c r="P481" s="332">
        <f>IFERROR(VLOOKUP(TEXT(O481,"0"),CONDUCTORES!$A$3:$G$54,2,0),"")</f>
        <v/>
      </c>
      <c r="Q481" s="332">
        <f>IFERROR(VLOOKUP(TEXT(O481,"0"),CONDUCTORES!$A$3:$H$54,6,0),"")</f>
        <v/>
      </c>
      <c r="R481" s="334" t="n"/>
      <c r="S481" s="334" t="n"/>
      <c r="T481" s="334" t="n"/>
      <c r="U481" s="334" t="n"/>
      <c r="V481" s="334" t="n"/>
      <c r="W481" s="334" t="n"/>
      <c r="X481" s="334" t="n"/>
      <c r="Y481" s="334" t="n"/>
    </row>
    <row r="482" ht="15" customHeight="1" s="195">
      <c r="A482" s="280" t="n"/>
      <c r="B482" s="280" t="n"/>
      <c r="C482" s="280" t="n"/>
      <c r="D482" s="280" t="n"/>
      <c r="E482" s="280" t="n"/>
      <c r="F482" s="280" t="n"/>
      <c r="G482" s="280" t="n"/>
      <c r="H482" s="280" t="n"/>
      <c r="I482" s="332">
        <f>IFERROR(VLOOKUP(TEXT(H482,"0"),IPRESS!$A$3:$B$212,2,0),"")</f>
        <v/>
      </c>
      <c r="J482" s="280" t="n"/>
      <c r="K482" s="332">
        <f>IFERROR(VLOOKUP(TEXT(O482,"0"),CONDUCTORES!$A$3:$G$54,7,0),"")</f>
        <v/>
      </c>
      <c r="L482" s="280" t="n"/>
      <c r="M482" s="280" t="n"/>
      <c r="N482" s="333">
        <f>IFERROR(IF(L482*M482=0,"",L482*M482),"")</f>
        <v/>
      </c>
      <c r="O482" s="280" t="n"/>
      <c r="P482" s="332">
        <f>IFERROR(VLOOKUP(TEXT(O482,"0"),CONDUCTORES!$A$3:$G$54,2,0),"")</f>
        <v/>
      </c>
      <c r="Q482" s="332">
        <f>IFERROR(VLOOKUP(TEXT(O482,"0"),CONDUCTORES!$A$3:$H$54,6,0),"")</f>
        <v/>
      </c>
      <c r="R482" s="280" t="n"/>
      <c r="S482" s="280" t="n"/>
      <c r="T482" s="280" t="n"/>
      <c r="U482" s="280" t="n"/>
      <c r="V482" s="280" t="n"/>
      <c r="W482" s="280" t="n"/>
      <c r="X482" s="280" t="n"/>
      <c r="Y482" s="280" t="n"/>
    </row>
    <row r="483" ht="15" customHeight="1" s="195">
      <c r="A483" s="334" t="n"/>
      <c r="B483" s="334" t="n"/>
      <c r="C483" s="334" t="n"/>
      <c r="D483" s="334" t="n"/>
      <c r="E483" s="334" t="n"/>
      <c r="F483" s="334" t="n"/>
      <c r="G483" s="334" t="n"/>
      <c r="H483" s="334" t="n"/>
      <c r="I483" s="332">
        <f>IFERROR(VLOOKUP(TEXT(H483,"0"),IPRESS!$A$3:$B$212,2,0),"")</f>
        <v/>
      </c>
      <c r="J483" s="334" t="n"/>
      <c r="K483" s="332">
        <f>IFERROR(VLOOKUP(TEXT(O483,"0"),CONDUCTORES!$A$3:$G$54,7,0),"")</f>
        <v/>
      </c>
      <c r="L483" s="334" t="n"/>
      <c r="M483" s="334" t="n"/>
      <c r="N483" s="333">
        <f>IFERROR(IF(L483*M483=0,"",L483*M483),"")</f>
        <v/>
      </c>
      <c r="O483" s="334" t="n"/>
      <c r="P483" s="332">
        <f>IFERROR(VLOOKUP(TEXT(O483,"0"),CONDUCTORES!$A$3:$G$54,2,0),"")</f>
        <v/>
      </c>
      <c r="Q483" s="332">
        <f>IFERROR(VLOOKUP(TEXT(O483,"0"),CONDUCTORES!$A$3:$H$54,6,0),"")</f>
        <v/>
      </c>
      <c r="R483" s="334" t="n"/>
      <c r="S483" s="334" t="n"/>
      <c r="T483" s="334" t="n"/>
      <c r="U483" s="334" t="n"/>
      <c r="V483" s="334" t="n"/>
      <c r="W483" s="334" t="n"/>
      <c r="X483" s="334" t="n"/>
      <c r="Y483" s="334" t="n"/>
    </row>
    <row r="484" ht="15" customHeight="1" s="195">
      <c r="A484" s="280" t="n"/>
      <c r="B484" s="280" t="n"/>
      <c r="C484" s="280" t="n"/>
      <c r="D484" s="280" t="n"/>
      <c r="E484" s="280" t="n"/>
      <c r="F484" s="280" t="n"/>
      <c r="G484" s="280" t="n"/>
      <c r="H484" s="280" t="n"/>
      <c r="I484" s="332">
        <f>IFERROR(VLOOKUP(TEXT(H484,"0"),IPRESS!$A$3:$B$212,2,0),"")</f>
        <v/>
      </c>
      <c r="J484" s="280" t="n"/>
      <c r="K484" s="332">
        <f>IFERROR(VLOOKUP(TEXT(O484,"0"),CONDUCTORES!$A$3:$G$54,7,0),"")</f>
        <v/>
      </c>
      <c r="L484" s="280" t="n"/>
      <c r="M484" s="280" t="n"/>
      <c r="N484" s="333">
        <f>IFERROR(IF(L484*M484=0,"",L484*M484),"")</f>
        <v/>
      </c>
      <c r="O484" s="280" t="n"/>
      <c r="P484" s="332">
        <f>IFERROR(VLOOKUP(TEXT(O484,"0"),CONDUCTORES!$A$3:$G$54,2,0),"")</f>
        <v/>
      </c>
      <c r="Q484" s="332">
        <f>IFERROR(VLOOKUP(TEXT(O484,"0"),CONDUCTORES!$A$3:$H$54,6,0),"")</f>
        <v/>
      </c>
      <c r="R484" s="280" t="n"/>
      <c r="S484" s="280" t="n"/>
      <c r="T484" s="280" t="n"/>
      <c r="U484" s="280" t="n"/>
      <c r="V484" s="280" t="n"/>
      <c r="W484" s="280" t="n"/>
      <c r="X484" s="280" t="n"/>
      <c r="Y484" s="280" t="n"/>
    </row>
    <row r="485" ht="15" customHeight="1" s="195">
      <c r="A485" s="334" t="n"/>
      <c r="B485" s="334" t="n"/>
      <c r="C485" s="334" t="n"/>
      <c r="D485" s="334" t="n"/>
      <c r="E485" s="334" t="n"/>
      <c r="F485" s="334" t="n"/>
      <c r="G485" s="334" t="n"/>
      <c r="H485" s="334" t="n"/>
      <c r="I485" s="332">
        <f>IFERROR(VLOOKUP(TEXT(H485,"0"),IPRESS!$A$3:$B$212,2,0),"")</f>
        <v/>
      </c>
      <c r="J485" s="334" t="n"/>
      <c r="K485" s="332">
        <f>IFERROR(VLOOKUP(TEXT(O485,"0"),CONDUCTORES!$A$3:$G$54,7,0),"")</f>
        <v/>
      </c>
      <c r="L485" s="334" t="n"/>
      <c r="M485" s="334" t="n"/>
      <c r="N485" s="333">
        <f>IFERROR(IF(L485*M485=0,"",L485*M485),"")</f>
        <v/>
      </c>
      <c r="O485" s="334" t="n"/>
      <c r="P485" s="332">
        <f>IFERROR(VLOOKUP(TEXT(O485,"0"),CONDUCTORES!$A$3:$G$54,2,0),"")</f>
        <v/>
      </c>
      <c r="Q485" s="332">
        <f>IFERROR(VLOOKUP(TEXT(O485,"0"),CONDUCTORES!$A$3:$H$54,6,0),"")</f>
        <v/>
      </c>
      <c r="R485" s="334" t="n"/>
      <c r="S485" s="334" t="n"/>
      <c r="T485" s="334" t="n"/>
      <c r="U485" s="334" t="n"/>
      <c r="V485" s="334" t="n"/>
      <c r="W485" s="334" t="n"/>
      <c r="X485" s="334" t="n"/>
      <c r="Y485" s="334" t="n"/>
    </row>
    <row r="486" ht="15" customHeight="1" s="195">
      <c r="A486" s="280" t="n"/>
      <c r="B486" s="280" t="n"/>
      <c r="C486" s="280" t="n"/>
      <c r="D486" s="280" t="n"/>
      <c r="E486" s="280" t="n"/>
      <c r="F486" s="280" t="n"/>
      <c r="G486" s="280" t="n"/>
      <c r="H486" s="280" t="n"/>
      <c r="I486" s="332">
        <f>IFERROR(VLOOKUP(TEXT(H486,"0"),IPRESS!$A$3:$B$212,2,0),"")</f>
        <v/>
      </c>
      <c r="J486" s="280" t="n"/>
      <c r="K486" s="332">
        <f>IFERROR(VLOOKUP(TEXT(O486,"0"),CONDUCTORES!$A$3:$G$54,7,0),"")</f>
        <v/>
      </c>
      <c r="L486" s="280" t="n"/>
      <c r="M486" s="280" t="n"/>
      <c r="N486" s="333">
        <f>IFERROR(IF(L486*M486=0,"",L486*M486),"")</f>
        <v/>
      </c>
      <c r="O486" s="280" t="n"/>
      <c r="P486" s="332">
        <f>IFERROR(VLOOKUP(TEXT(O486,"0"),CONDUCTORES!$A$3:$G$54,2,0),"")</f>
        <v/>
      </c>
      <c r="Q486" s="332">
        <f>IFERROR(VLOOKUP(TEXT(O486,"0"),CONDUCTORES!$A$3:$H$54,6,0),"")</f>
        <v/>
      </c>
      <c r="R486" s="280" t="n"/>
      <c r="S486" s="280" t="n"/>
      <c r="T486" s="280" t="n"/>
      <c r="U486" s="280" t="n"/>
      <c r="V486" s="280" t="n"/>
      <c r="W486" s="280" t="n"/>
      <c r="X486" s="280" t="n"/>
      <c r="Y486" s="280" t="n"/>
    </row>
    <row r="487" ht="15" customHeight="1" s="195">
      <c r="A487" s="334" t="n"/>
      <c r="B487" s="334" t="n"/>
      <c r="C487" s="334" t="n"/>
      <c r="D487" s="334" t="n"/>
      <c r="E487" s="334" t="n"/>
      <c r="F487" s="334" t="n"/>
      <c r="G487" s="334" t="n"/>
      <c r="H487" s="334" t="n"/>
      <c r="I487" s="332">
        <f>IFERROR(VLOOKUP(TEXT(H487,"0"),IPRESS!$A$3:$B$212,2,0),"")</f>
        <v/>
      </c>
      <c r="J487" s="334" t="n"/>
      <c r="K487" s="332">
        <f>IFERROR(VLOOKUP(TEXT(O487,"0"),CONDUCTORES!$A$3:$G$54,7,0),"")</f>
        <v/>
      </c>
      <c r="L487" s="334" t="n"/>
      <c r="M487" s="334" t="n"/>
      <c r="N487" s="333">
        <f>IFERROR(IF(L487*M487=0,"",L487*M487),"")</f>
        <v/>
      </c>
      <c r="O487" s="334" t="n"/>
      <c r="P487" s="332">
        <f>IFERROR(VLOOKUP(TEXT(O487,"0"),CONDUCTORES!$A$3:$G$54,2,0),"")</f>
        <v/>
      </c>
      <c r="Q487" s="332">
        <f>IFERROR(VLOOKUP(TEXT(O487,"0"),CONDUCTORES!$A$3:$H$54,6,0),"")</f>
        <v/>
      </c>
      <c r="R487" s="334" t="n"/>
      <c r="S487" s="334" t="n"/>
      <c r="T487" s="334" t="n"/>
      <c r="U487" s="334" t="n"/>
      <c r="V487" s="334" t="n"/>
      <c r="W487" s="334" t="n"/>
      <c r="X487" s="334" t="n"/>
      <c r="Y487" s="334" t="n"/>
    </row>
    <row r="488" ht="15" customHeight="1" s="195">
      <c r="A488" s="280" t="n"/>
      <c r="B488" s="280" t="n"/>
      <c r="C488" s="280" t="n"/>
      <c r="D488" s="280" t="n"/>
      <c r="E488" s="280" t="n"/>
      <c r="F488" s="280" t="n"/>
      <c r="G488" s="280" t="n"/>
      <c r="H488" s="280" t="n"/>
      <c r="I488" s="332">
        <f>IFERROR(VLOOKUP(TEXT(H488,"0"),IPRESS!$A$3:$B$212,2,0),"")</f>
        <v/>
      </c>
      <c r="J488" s="280" t="n"/>
      <c r="K488" s="332">
        <f>IFERROR(VLOOKUP(TEXT(O488,"0"),CONDUCTORES!$A$3:$G$54,7,0),"")</f>
        <v/>
      </c>
      <c r="L488" s="280" t="n"/>
      <c r="M488" s="280" t="n"/>
      <c r="N488" s="333">
        <f>IFERROR(IF(L488*M488=0,"",L488*M488),"")</f>
        <v/>
      </c>
      <c r="O488" s="280" t="n"/>
      <c r="P488" s="332">
        <f>IFERROR(VLOOKUP(TEXT(O488,"0"),CONDUCTORES!$A$3:$G$54,2,0),"")</f>
        <v/>
      </c>
      <c r="Q488" s="332">
        <f>IFERROR(VLOOKUP(TEXT(O488,"0"),CONDUCTORES!$A$3:$H$54,6,0),"")</f>
        <v/>
      </c>
      <c r="R488" s="280" t="n"/>
      <c r="S488" s="280" t="n"/>
      <c r="T488" s="280" t="n"/>
      <c r="U488" s="280" t="n"/>
      <c r="V488" s="280" t="n"/>
      <c r="W488" s="280" t="n"/>
      <c r="X488" s="280" t="n"/>
      <c r="Y488" s="280" t="n"/>
    </row>
    <row r="489" ht="15" customHeight="1" s="195">
      <c r="A489" s="334" t="n"/>
      <c r="B489" s="334" t="n"/>
      <c r="C489" s="334" t="n"/>
      <c r="D489" s="334" t="n"/>
      <c r="E489" s="334" t="n"/>
      <c r="F489" s="334" t="n"/>
      <c r="G489" s="334" t="n"/>
      <c r="H489" s="334" t="n"/>
      <c r="I489" s="332">
        <f>IFERROR(VLOOKUP(TEXT(H489,"0"),IPRESS!$A$3:$B$212,2,0),"")</f>
        <v/>
      </c>
      <c r="J489" s="334" t="n"/>
      <c r="K489" s="332">
        <f>IFERROR(VLOOKUP(TEXT(O489,"0"),CONDUCTORES!$A$3:$G$54,7,0),"")</f>
        <v/>
      </c>
      <c r="L489" s="334" t="n"/>
      <c r="M489" s="334" t="n"/>
      <c r="N489" s="333">
        <f>IFERROR(IF(L489*M489=0,"",L489*M489),"")</f>
        <v/>
      </c>
      <c r="O489" s="334" t="n"/>
      <c r="P489" s="332">
        <f>IFERROR(VLOOKUP(TEXT(O489,"0"),CONDUCTORES!$A$3:$G$54,2,0),"")</f>
        <v/>
      </c>
      <c r="Q489" s="332">
        <f>IFERROR(VLOOKUP(TEXT(O489,"0"),CONDUCTORES!$A$3:$H$54,6,0),"")</f>
        <v/>
      </c>
      <c r="R489" s="334" t="n"/>
      <c r="S489" s="334" t="n"/>
      <c r="T489" s="334" t="n"/>
      <c r="U489" s="334" t="n"/>
      <c r="V489" s="334" t="n"/>
      <c r="W489" s="334" t="n"/>
      <c r="X489" s="334" t="n"/>
      <c r="Y489" s="334" t="n"/>
    </row>
    <row r="490" ht="15" customHeight="1" s="195">
      <c r="A490" s="280" t="n"/>
      <c r="B490" s="280" t="n"/>
      <c r="C490" s="280" t="n"/>
      <c r="D490" s="280" t="n"/>
      <c r="E490" s="280" t="n"/>
      <c r="F490" s="280" t="n"/>
      <c r="G490" s="280" t="n"/>
      <c r="H490" s="280" t="n"/>
      <c r="I490" s="332">
        <f>IFERROR(VLOOKUP(TEXT(H490,"0"),IPRESS!$A$3:$B$212,2,0),"")</f>
        <v/>
      </c>
      <c r="J490" s="280" t="n"/>
      <c r="K490" s="332">
        <f>IFERROR(VLOOKUP(TEXT(O490,"0"),CONDUCTORES!$A$3:$G$54,7,0),"")</f>
        <v/>
      </c>
      <c r="L490" s="280" t="n"/>
      <c r="M490" s="280" t="n"/>
      <c r="N490" s="333">
        <f>IFERROR(IF(L490*M490=0,"",L490*M490),"")</f>
        <v/>
      </c>
      <c r="O490" s="280" t="n"/>
      <c r="P490" s="332">
        <f>IFERROR(VLOOKUP(TEXT(O490,"0"),CONDUCTORES!$A$3:$G$54,2,0),"")</f>
        <v/>
      </c>
      <c r="Q490" s="332">
        <f>IFERROR(VLOOKUP(TEXT(O490,"0"),CONDUCTORES!$A$3:$H$54,6,0),"")</f>
        <v/>
      </c>
      <c r="R490" s="280" t="n"/>
      <c r="S490" s="280" t="n"/>
      <c r="T490" s="280" t="n"/>
      <c r="U490" s="280" t="n"/>
      <c r="V490" s="280" t="n"/>
      <c r="W490" s="280" t="n"/>
      <c r="X490" s="280" t="n"/>
      <c r="Y490" s="280" t="n"/>
    </row>
    <row r="491" ht="15" customHeight="1" s="195">
      <c r="A491" s="334" t="n"/>
      <c r="B491" s="334" t="n"/>
      <c r="C491" s="334" t="n"/>
      <c r="D491" s="334" t="n"/>
      <c r="E491" s="334" t="n"/>
      <c r="F491" s="334" t="n"/>
      <c r="G491" s="334" t="n"/>
      <c r="H491" s="334" t="n"/>
      <c r="I491" s="332">
        <f>IFERROR(VLOOKUP(TEXT(H491,"0"),IPRESS!$A$3:$B$212,2,0),"")</f>
        <v/>
      </c>
      <c r="J491" s="334" t="n"/>
      <c r="K491" s="332">
        <f>IFERROR(VLOOKUP(TEXT(O491,"0"),CONDUCTORES!$A$3:$G$54,7,0),"")</f>
        <v/>
      </c>
      <c r="L491" s="334" t="n"/>
      <c r="M491" s="334" t="n"/>
      <c r="N491" s="333">
        <f>IFERROR(IF(L491*M491=0,"",L491*M491),"")</f>
        <v/>
      </c>
      <c r="O491" s="334" t="n"/>
      <c r="P491" s="332">
        <f>IFERROR(VLOOKUP(TEXT(O491,"0"),CONDUCTORES!$A$3:$G$54,2,0),"")</f>
        <v/>
      </c>
      <c r="Q491" s="332">
        <f>IFERROR(VLOOKUP(TEXT(O491,"0"),CONDUCTORES!$A$3:$H$54,6,0),"")</f>
        <v/>
      </c>
      <c r="R491" s="334" t="n"/>
      <c r="S491" s="334" t="n"/>
      <c r="T491" s="334" t="n"/>
      <c r="U491" s="334" t="n"/>
      <c r="V491" s="334" t="n"/>
      <c r="W491" s="334" t="n"/>
      <c r="X491" s="334" t="n"/>
      <c r="Y491" s="334" t="n"/>
    </row>
    <row r="492" ht="15" customHeight="1" s="195">
      <c r="A492" s="280" t="n"/>
      <c r="B492" s="280" t="n"/>
      <c r="C492" s="280" t="n"/>
      <c r="D492" s="280" t="n"/>
      <c r="E492" s="280" t="n"/>
      <c r="F492" s="280" t="n"/>
      <c r="G492" s="280" t="n"/>
      <c r="H492" s="280" t="n"/>
      <c r="I492" s="332">
        <f>IFERROR(VLOOKUP(TEXT(H492,"0"),IPRESS!$A$3:$B$212,2,0),"")</f>
        <v/>
      </c>
      <c r="J492" s="280" t="n"/>
      <c r="K492" s="332">
        <f>IFERROR(VLOOKUP(TEXT(O492,"0"),CONDUCTORES!$A$3:$G$54,7,0),"")</f>
        <v/>
      </c>
      <c r="L492" s="280" t="n"/>
      <c r="M492" s="280" t="n"/>
      <c r="N492" s="333">
        <f>IFERROR(IF(L492*M492=0,"",L492*M492),"")</f>
        <v/>
      </c>
      <c r="O492" s="280" t="n"/>
      <c r="P492" s="332">
        <f>IFERROR(VLOOKUP(TEXT(O492,"0"),CONDUCTORES!$A$3:$G$54,2,0),"")</f>
        <v/>
      </c>
      <c r="Q492" s="332">
        <f>IFERROR(VLOOKUP(TEXT(O492,"0"),CONDUCTORES!$A$3:$H$54,6,0),"")</f>
        <v/>
      </c>
      <c r="R492" s="280" t="n"/>
      <c r="S492" s="280" t="n"/>
      <c r="T492" s="280" t="n"/>
      <c r="U492" s="280" t="n"/>
      <c r="V492" s="280" t="n"/>
      <c r="W492" s="280" t="n"/>
      <c r="X492" s="280" t="n"/>
      <c r="Y492" s="280" t="n"/>
    </row>
    <row r="493" ht="15" customHeight="1" s="195">
      <c r="A493" s="334" t="n"/>
      <c r="B493" s="334" t="n"/>
      <c r="C493" s="334" t="n"/>
      <c r="D493" s="334" t="n"/>
      <c r="E493" s="334" t="n"/>
      <c r="F493" s="334" t="n"/>
      <c r="G493" s="334" t="n"/>
      <c r="H493" s="334" t="n"/>
      <c r="I493" s="332">
        <f>IFERROR(VLOOKUP(TEXT(H493,"0"),IPRESS!$A$3:$B$212,2,0),"")</f>
        <v/>
      </c>
      <c r="J493" s="334" t="n"/>
      <c r="K493" s="332">
        <f>IFERROR(VLOOKUP(TEXT(O493,"0"),CONDUCTORES!$A$3:$G$54,7,0),"")</f>
        <v/>
      </c>
      <c r="L493" s="334" t="n"/>
      <c r="M493" s="334" t="n"/>
      <c r="N493" s="333">
        <f>IFERROR(IF(L493*M493=0,"",L493*M493),"")</f>
        <v/>
      </c>
      <c r="O493" s="334" t="n"/>
      <c r="P493" s="332">
        <f>IFERROR(VLOOKUP(TEXT(O493,"0"),CONDUCTORES!$A$3:$G$54,2,0),"")</f>
        <v/>
      </c>
      <c r="Q493" s="332">
        <f>IFERROR(VLOOKUP(TEXT(O493,"0"),CONDUCTORES!$A$3:$H$54,6,0),"")</f>
        <v/>
      </c>
      <c r="R493" s="334" t="n"/>
      <c r="S493" s="334" t="n"/>
      <c r="T493" s="334" t="n"/>
      <c r="U493" s="334" t="n"/>
      <c r="V493" s="334" t="n"/>
      <c r="W493" s="334" t="n"/>
      <c r="X493" s="334" t="n"/>
      <c r="Y493" s="334" t="n"/>
    </row>
    <row r="494" ht="15" customHeight="1" s="195">
      <c r="A494" s="280" t="n"/>
      <c r="B494" s="280" t="n"/>
      <c r="C494" s="280" t="n"/>
      <c r="D494" s="280" t="n"/>
      <c r="E494" s="280" t="n"/>
      <c r="F494" s="280" t="n"/>
      <c r="G494" s="280" t="n"/>
      <c r="H494" s="280" t="n"/>
      <c r="I494" s="332">
        <f>IFERROR(VLOOKUP(TEXT(H494,"0"),IPRESS!$A$3:$B$212,2,0),"")</f>
        <v/>
      </c>
      <c r="J494" s="280" t="n"/>
      <c r="K494" s="332">
        <f>IFERROR(VLOOKUP(TEXT(O494,"0"),CONDUCTORES!$A$3:$G$54,7,0),"")</f>
        <v/>
      </c>
      <c r="L494" s="280" t="n"/>
      <c r="M494" s="280" t="n"/>
      <c r="N494" s="333">
        <f>IFERROR(IF(L494*M494=0,"",L494*M494),"")</f>
        <v/>
      </c>
      <c r="O494" s="280" t="n"/>
      <c r="P494" s="332">
        <f>IFERROR(VLOOKUP(TEXT(O494,"0"),CONDUCTORES!$A$3:$G$54,2,0),"")</f>
        <v/>
      </c>
      <c r="Q494" s="332">
        <f>IFERROR(VLOOKUP(TEXT(O494,"0"),CONDUCTORES!$A$3:$H$54,6,0),"")</f>
        <v/>
      </c>
      <c r="R494" s="280" t="n"/>
      <c r="S494" s="280" t="n"/>
      <c r="T494" s="280" t="n"/>
      <c r="U494" s="280" t="n"/>
      <c r="V494" s="280" t="n"/>
      <c r="W494" s="280" t="n"/>
      <c r="X494" s="280" t="n"/>
      <c r="Y494" s="280" t="n"/>
    </row>
    <row r="495" ht="15" customHeight="1" s="195">
      <c r="A495" s="334" t="n"/>
      <c r="B495" s="334" t="n"/>
      <c r="C495" s="334" t="n"/>
      <c r="D495" s="334" t="n"/>
      <c r="E495" s="334" t="n"/>
      <c r="F495" s="334" t="n"/>
      <c r="G495" s="334" t="n"/>
      <c r="H495" s="334" t="n"/>
      <c r="I495" s="332">
        <f>IFERROR(VLOOKUP(TEXT(H495,"0"),IPRESS!$A$3:$B$212,2,0),"")</f>
        <v/>
      </c>
      <c r="J495" s="334" t="n"/>
      <c r="K495" s="332">
        <f>IFERROR(VLOOKUP(TEXT(O495,"0"),CONDUCTORES!$A$3:$G$54,7,0),"")</f>
        <v/>
      </c>
      <c r="L495" s="334" t="n"/>
      <c r="M495" s="334" t="n"/>
      <c r="N495" s="333">
        <f>IFERROR(IF(L495*M495=0,"",L495*M495),"")</f>
        <v/>
      </c>
      <c r="O495" s="334" t="n"/>
      <c r="P495" s="332">
        <f>IFERROR(VLOOKUP(TEXT(O495,"0"),CONDUCTORES!$A$3:$G$54,2,0),"")</f>
        <v/>
      </c>
      <c r="Q495" s="332">
        <f>IFERROR(VLOOKUP(TEXT(O495,"0"),CONDUCTORES!$A$3:$H$54,6,0),"")</f>
        <v/>
      </c>
      <c r="R495" s="334" t="n"/>
      <c r="S495" s="334" t="n"/>
      <c r="T495" s="334" t="n"/>
      <c r="U495" s="334" t="n"/>
      <c r="V495" s="334" t="n"/>
      <c r="W495" s="334" t="n"/>
      <c r="X495" s="334" t="n"/>
      <c r="Y495" s="334" t="n"/>
    </row>
    <row r="496" ht="15" customHeight="1" s="195">
      <c r="A496" s="280" t="n"/>
      <c r="B496" s="280" t="n"/>
      <c r="C496" s="280" t="n"/>
      <c r="D496" s="280" t="n"/>
      <c r="E496" s="280" t="n"/>
      <c r="F496" s="280" t="n"/>
      <c r="G496" s="280" t="n"/>
      <c r="H496" s="280" t="n"/>
      <c r="I496" s="332">
        <f>IFERROR(VLOOKUP(TEXT(H496,"0"),IPRESS!$A$3:$B$212,2,0),"")</f>
        <v/>
      </c>
      <c r="J496" s="280" t="n"/>
      <c r="K496" s="332">
        <f>IFERROR(VLOOKUP(TEXT(O496,"0"),CONDUCTORES!$A$3:$G$54,7,0),"")</f>
        <v/>
      </c>
      <c r="L496" s="280" t="n"/>
      <c r="M496" s="280" t="n"/>
      <c r="N496" s="333">
        <f>IFERROR(IF(L496*M496=0,"",L496*M496),"")</f>
        <v/>
      </c>
      <c r="O496" s="280" t="n"/>
      <c r="P496" s="332">
        <f>IFERROR(VLOOKUP(TEXT(O496,"0"),CONDUCTORES!$A$3:$G$54,2,0),"")</f>
        <v/>
      </c>
      <c r="Q496" s="332">
        <f>IFERROR(VLOOKUP(TEXT(O496,"0"),CONDUCTORES!$A$3:$H$54,6,0),"")</f>
        <v/>
      </c>
      <c r="R496" s="280" t="n"/>
      <c r="S496" s="280" t="n"/>
      <c r="T496" s="280" t="n"/>
      <c r="U496" s="280" t="n"/>
      <c r="V496" s="280" t="n"/>
      <c r="W496" s="280" t="n"/>
      <c r="X496" s="280" t="n"/>
      <c r="Y496" s="280" t="n"/>
    </row>
    <row r="497" ht="15" customHeight="1" s="195">
      <c r="A497" s="334" t="n"/>
      <c r="B497" s="334" t="n"/>
      <c r="C497" s="334" t="n"/>
      <c r="D497" s="334" t="n"/>
      <c r="E497" s="334" t="n"/>
      <c r="F497" s="334" t="n"/>
      <c r="G497" s="334" t="n"/>
      <c r="H497" s="334" t="n"/>
      <c r="I497" s="332">
        <f>IFERROR(VLOOKUP(TEXT(H497,"0"),IPRESS!$A$3:$B$212,2,0),"")</f>
        <v/>
      </c>
      <c r="J497" s="334" t="n"/>
      <c r="K497" s="332">
        <f>IFERROR(VLOOKUP(TEXT(O497,"0"),CONDUCTORES!$A$3:$G$54,7,0),"")</f>
        <v/>
      </c>
      <c r="L497" s="334" t="n"/>
      <c r="M497" s="334" t="n"/>
      <c r="N497" s="333">
        <f>IFERROR(IF(L497*M497=0,"",L497*M497),"")</f>
        <v/>
      </c>
      <c r="O497" s="334" t="n"/>
      <c r="P497" s="332">
        <f>IFERROR(VLOOKUP(TEXT(O497,"0"),CONDUCTORES!$A$3:$G$54,2,0),"")</f>
        <v/>
      </c>
      <c r="Q497" s="332">
        <f>IFERROR(VLOOKUP(TEXT(O497,"0"),CONDUCTORES!$A$3:$H$54,6,0),"")</f>
        <v/>
      </c>
      <c r="R497" s="334" t="n"/>
      <c r="S497" s="334" t="n"/>
      <c r="T497" s="334" t="n"/>
      <c r="U497" s="334" t="n"/>
      <c r="V497" s="334" t="n"/>
      <c r="W497" s="334" t="n"/>
      <c r="X497" s="334" t="n"/>
      <c r="Y497" s="334" t="n"/>
    </row>
    <row r="498" ht="15" customHeight="1" s="195">
      <c r="A498" s="280" t="n"/>
      <c r="B498" s="280" t="n"/>
      <c r="C498" s="280" t="n"/>
      <c r="D498" s="280" t="n"/>
      <c r="E498" s="280" t="n"/>
      <c r="F498" s="280" t="n"/>
      <c r="G498" s="280" t="n"/>
      <c r="H498" s="280" t="n"/>
      <c r="I498" s="332">
        <f>IFERROR(VLOOKUP(TEXT(H498,"0"),IPRESS!$A$3:$B$212,2,0),"")</f>
        <v/>
      </c>
      <c r="J498" s="280" t="n"/>
      <c r="K498" s="332">
        <f>IFERROR(VLOOKUP(TEXT(O498,"0"),CONDUCTORES!$A$3:$G$54,7,0),"")</f>
        <v/>
      </c>
      <c r="L498" s="280" t="n"/>
      <c r="M498" s="280" t="n"/>
      <c r="N498" s="333">
        <f>IFERROR(IF(L498*M498=0,"",L498*M498),"")</f>
        <v/>
      </c>
      <c r="O498" s="280" t="n"/>
      <c r="P498" s="332">
        <f>IFERROR(VLOOKUP(TEXT(O498,"0"),CONDUCTORES!$A$3:$G$54,2,0),"")</f>
        <v/>
      </c>
      <c r="Q498" s="332">
        <f>IFERROR(VLOOKUP(TEXT(O498,"0"),CONDUCTORES!$A$3:$H$54,6,0),"")</f>
        <v/>
      </c>
      <c r="R498" s="280" t="n"/>
      <c r="S498" s="280" t="n"/>
      <c r="T498" s="280" t="n"/>
      <c r="U498" s="280" t="n"/>
      <c r="V498" s="280" t="n"/>
      <c r="W498" s="280" t="n"/>
      <c r="X498" s="280" t="n"/>
      <c r="Y498" s="280" t="n"/>
    </row>
    <row r="499" ht="15" customHeight="1" s="195">
      <c r="A499" s="334" t="n"/>
      <c r="B499" s="334" t="n"/>
      <c r="C499" s="334" t="n"/>
      <c r="D499" s="334" t="n"/>
      <c r="E499" s="334" t="n"/>
      <c r="F499" s="334" t="n"/>
      <c r="G499" s="334" t="n"/>
      <c r="H499" s="334" t="n"/>
      <c r="I499" s="332">
        <f>IFERROR(VLOOKUP(TEXT(H499,"0"),IPRESS!$A$3:$B$212,2,0),"")</f>
        <v/>
      </c>
      <c r="J499" s="334" t="n"/>
      <c r="K499" s="332">
        <f>IFERROR(VLOOKUP(TEXT(O499,"0"),CONDUCTORES!$A$3:$G$54,7,0),"")</f>
        <v/>
      </c>
      <c r="L499" s="334" t="n"/>
      <c r="M499" s="334" t="n"/>
      <c r="N499" s="333">
        <f>IFERROR(IF(L499*M499=0,"",L499*M499),"")</f>
        <v/>
      </c>
      <c r="O499" s="334" t="n"/>
      <c r="P499" s="332">
        <f>IFERROR(VLOOKUP(TEXT(O499,"0"),CONDUCTORES!$A$3:$G$54,2,0),"")</f>
        <v/>
      </c>
      <c r="Q499" s="332">
        <f>IFERROR(VLOOKUP(TEXT(O499,"0"),CONDUCTORES!$A$3:$H$54,6,0),"")</f>
        <v/>
      </c>
      <c r="R499" s="334" t="n"/>
      <c r="S499" s="334" t="n"/>
      <c r="T499" s="334" t="n"/>
      <c r="U499" s="334" t="n"/>
      <c r="V499" s="334" t="n"/>
      <c r="W499" s="334" t="n"/>
      <c r="X499" s="334" t="n"/>
      <c r="Y499" s="334" t="n"/>
    </row>
    <row r="500" ht="15" customHeight="1" s="195">
      <c r="A500" s="280" t="n"/>
      <c r="B500" s="280" t="n"/>
      <c r="C500" s="280" t="n"/>
      <c r="D500" s="280" t="n"/>
      <c r="E500" s="280" t="n"/>
      <c r="F500" s="280" t="n"/>
      <c r="G500" s="280" t="n"/>
      <c r="H500" s="280" t="n"/>
      <c r="I500" s="332">
        <f>IFERROR(VLOOKUP(TEXT(H500,"0"),IPRESS!$A$3:$B$212,2,0),"")</f>
        <v/>
      </c>
      <c r="J500" s="280" t="n"/>
      <c r="K500" s="332">
        <f>IFERROR(VLOOKUP(TEXT(O500,"0"),CONDUCTORES!$A$3:$G$54,7,0),"")</f>
        <v/>
      </c>
      <c r="L500" s="280" t="n"/>
      <c r="M500" s="280" t="n"/>
      <c r="N500" s="333">
        <f>IFERROR(IF(L500*M500=0,"",L500*M500),"")</f>
        <v/>
      </c>
      <c r="O500" s="280" t="n"/>
      <c r="P500" s="332">
        <f>IFERROR(VLOOKUP(TEXT(O500,"0"),CONDUCTORES!$A$3:$G$54,2,0),"")</f>
        <v/>
      </c>
      <c r="Q500" s="332">
        <f>IFERROR(VLOOKUP(TEXT(O500,"0"),CONDUCTORES!$A$3:$H$54,6,0),"")</f>
        <v/>
      </c>
      <c r="R500" s="280" t="n"/>
      <c r="S500" s="280" t="n"/>
      <c r="T500" s="280" t="n"/>
      <c r="U500" s="280" t="n"/>
      <c r="V500" s="280" t="n"/>
      <c r="W500" s="280" t="n"/>
      <c r="X500" s="280" t="n"/>
      <c r="Y500" s="280" t="n"/>
    </row>
    <row r="501" ht="15" customHeight="1" s="195">
      <c r="A501" s="334" t="n"/>
      <c r="B501" s="334" t="n"/>
      <c r="C501" s="334" t="n"/>
      <c r="D501" s="334" t="n"/>
      <c r="E501" s="334" t="n"/>
      <c r="F501" s="334" t="n"/>
      <c r="G501" s="334" t="n"/>
      <c r="H501" s="334" t="n"/>
      <c r="I501" s="332">
        <f>IFERROR(VLOOKUP(TEXT(H501,"0"),IPRESS!$A$3:$B$212,2,0),"")</f>
        <v/>
      </c>
      <c r="J501" s="334" t="n"/>
      <c r="K501" s="332">
        <f>IFERROR(VLOOKUP(TEXT(O501,"0"),CONDUCTORES!$A$3:$G$54,7,0),"")</f>
        <v/>
      </c>
      <c r="L501" s="334" t="n"/>
      <c r="M501" s="334" t="n"/>
      <c r="N501" s="333">
        <f>IFERROR(IF(L501*M501=0,"",L501*M501),"")</f>
        <v/>
      </c>
      <c r="O501" s="334" t="n"/>
      <c r="P501" s="332">
        <f>IFERROR(VLOOKUP(TEXT(O501,"0"),CONDUCTORES!$A$3:$G$54,2,0),"")</f>
        <v/>
      </c>
      <c r="Q501" s="332">
        <f>IFERROR(VLOOKUP(TEXT(O501,"0"),CONDUCTORES!$A$3:$H$54,6,0),"")</f>
        <v/>
      </c>
      <c r="R501" s="334" t="n"/>
      <c r="S501" s="334" t="n"/>
      <c r="T501" s="334" t="n"/>
      <c r="U501" s="334" t="n"/>
      <c r="V501" s="334" t="n"/>
      <c r="W501" s="334" t="n"/>
      <c r="X501" s="334" t="n"/>
      <c r="Y501" s="334" t="n"/>
    </row>
    <row r="502" ht="15" customHeight="1" s="195">
      <c r="A502" s="280" t="n"/>
      <c r="B502" s="280" t="n"/>
      <c r="C502" s="280" t="n"/>
      <c r="D502" s="280" t="n"/>
      <c r="E502" s="280" t="n"/>
      <c r="F502" s="280" t="n"/>
      <c r="G502" s="280" t="n"/>
      <c r="H502" s="280" t="n"/>
      <c r="I502" s="332">
        <f>IFERROR(VLOOKUP(TEXT(H502,"0"),IPRESS!$A$3:$B$212,2,0),"")</f>
        <v/>
      </c>
      <c r="J502" s="280" t="n"/>
      <c r="K502" s="332">
        <f>IFERROR(VLOOKUP(TEXT(O502,"0"),CONDUCTORES!$A$3:$G$54,7,0),"")</f>
        <v/>
      </c>
      <c r="L502" s="280" t="n"/>
      <c r="M502" s="280" t="n"/>
      <c r="N502" s="333">
        <f>IFERROR(IF(L502*M502=0,"",L502*M502),"")</f>
        <v/>
      </c>
      <c r="O502" s="280" t="n"/>
      <c r="P502" s="332">
        <f>IFERROR(VLOOKUP(TEXT(O502,"0"),CONDUCTORES!$A$3:$G$54,2,0),"")</f>
        <v/>
      </c>
      <c r="Q502" s="332">
        <f>IFERROR(VLOOKUP(TEXT(O502,"0"),CONDUCTORES!$A$3:$H$54,6,0),"")</f>
        <v/>
      </c>
      <c r="R502" s="280" t="n"/>
      <c r="S502" s="280" t="n"/>
      <c r="T502" s="280" t="n"/>
      <c r="U502" s="280" t="n"/>
      <c r="V502" s="280" t="n"/>
      <c r="W502" s="280" t="n"/>
      <c r="X502" s="280" t="n"/>
      <c r="Y502" s="280" t="n"/>
    </row>
    <row r="503" ht="15" customHeight="1" s="195">
      <c r="A503" s="334" t="n"/>
      <c r="B503" s="334" t="n"/>
      <c r="C503" s="334" t="n"/>
      <c r="D503" s="334" t="n"/>
      <c r="E503" s="334" t="n"/>
      <c r="F503" s="334" t="n"/>
      <c r="G503" s="334" t="n"/>
      <c r="H503" s="334" t="n"/>
      <c r="I503" s="332">
        <f>IFERROR(VLOOKUP(TEXT(H503,"0"),IPRESS!$A$3:$B$212,2,0),"")</f>
        <v/>
      </c>
      <c r="J503" s="334" t="n"/>
      <c r="K503" s="332">
        <f>IFERROR(VLOOKUP(TEXT(O503,"0"),CONDUCTORES!$A$3:$G$54,7,0),"")</f>
        <v/>
      </c>
      <c r="L503" s="334" t="n"/>
      <c r="M503" s="334" t="n"/>
      <c r="N503" s="333">
        <f>IFERROR(IF(L503*M503=0,"",L503*M503),"")</f>
        <v/>
      </c>
      <c r="O503" s="334" t="n"/>
      <c r="P503" s="332">
        <f>IFERROR(VLOOKUP(TEXT(O503,"0"),CONDUCTORES!$A$3:$G$54,2,0),"")</f>
        <v/>
      </c>
      <c r="Q503" s="332">
        <f>IFERROR(VLOOKUP(TEXT(O503,"0"),CONDUCTORES!$A$3:$H$54,6,0),"")</f>
        <v/>
      </c>
      <c r="R503" s="334" t="n"/>
      <c r="S503" s="334" t="n"/>
      <c r="T503" s="334" t="n"/>
      <c r="U503" s="334" t="n"/>
      <c r="V503" s="334" t="n"/>
      <c r="W503" s="334" t="n"/>
      <c r="X503" s="334" t="n"/>
      <c r="Y503" s="334" t="n"/>
    </row>
    <row r="504" ht="15" customHeight="1" s="195">
      <c r="A504" s="280" t="n"/>
      <c r="B504" s="280" t="n"/>
      <c r="C504" s="280" t="n"/>
      <c r="D504" s="280" t="n"/>
      <c r="E504" s="280" t="n"/>
      <c r="F504" s="280" t="n"/>
      <c r="G504" s="280" t="n"/>
      <c r="H504" s="280" t="n"/>
      <c r="I504" s="332">
        <f>IFERROR(VLOOKUP(TEXT(H504,"0"),IPRESS!$A$3:$B$212,2,0),"")</f>
        <v/>
      </c>
      <c r="J504" s="280" t="n"/>
      <c r="K504" s="332">
        <f>IFERROR(VLOOKUP(TEXT(O504,"0"),CONDUCTORES!$A$3:$G$54,7,0),"")</f>
        <v/>
      </c>
      <c r="L504" s="280" t="n"/>
      <c r="M504" s="280" t="n"/>
      <c r="N504" s="333">
        <f>IFERROR(IF(L504*M504=0,"",L504*M504),"")</f>
        <v/>
      </c>
      <c r="O504" s="280" t="n"/>
      <c r="P504" s="332">
        <f>IFERROR(VLOOKUP(TEXT(O504,"0"),CONDUCTORES!$A$3:$G$54,2,0),"")</f>
        <v/>
      </c>
      <c r="Q504" s="332">
        <f>IFERROR(VLOOKUP(TEXT(O504,"0"),CONDUCTORES!$A$3:$H$54,6,0),"")</f>
        <v/>
      </c>
      <c r="R504" s="280" t="n"/>
      <c r="S504" s="280" t="n"/>
      <c r="T504" s="280" t="n"/>
      <c r="U504" s="280" t="n"/>
      <c r="V504" s="280" t="n"/>
      <c r="W504" s="280" t="n"/>
      <c r="X504" s="280" t="n"/>
      <c r="Y504" s="280" t="n"/>
    </row>
    <row r="505" ht="15" customHeight="1" s="195">
      <c r="A505" s="334" t="n"/>
      <c r="B505" s="334" t="n"/>
      <c r="C505" s="334" t="n"/>
      <c r="D505" s="334" t="n"/>
      <c r="E505" s="334" t="n"/>
      <c r="F505" s="334" t="n"/>
      <c r="G505" s="334" t="n"/>
      <c r="H505" s="334" t="n"/>
      <c r="I505" s="332">
        <f>IFERROR(VLOOKUP(TEXT(H505,"0"),IPRESS!$A$3:$B$212,2,0),"")</f>
        <v/>
      </c>
      <c r="J505" s="334" t="n"/>
      <c r="K505" s="332">
        <f>IFERROR(VLOOKUP(TEXT(O505,"0"),CONDUCTORES!$A$3:$G$54,7,0),"")</f>
        <v/>
      </c>
      <c r="L505" s="334" t="n"/>
      <c r="M505" s="334" t="n"/>
      <c r="N505" s="333">
        <f>IFERROR(IF(L505*M505=0,"",L505*M505),"")</f>
        <v/>
      </c>
      <c r="O505" s="334" t="n"/>
      <c r="P505" s="332">
        <f>IFERROR(VLOOKUP(TEXT(O505,"0"),CONDUCTORES!$A$3:$G$54,2,0),"")</f>
        <v/>
      </c>
      <c r="Q505" s="332">
        <f>IFERROR(VLOOKUP(TEXT(O505,"0"),CONDUCTORES!$A$3:$H$54,6,0),"")</f>
        <v/>
      </c>
      <c r="R505" s="334" t="n"/>
      <c r="S505" s="334" t="n"/>
      <c r="T505" s="334" t="n"/>
      <c r="U505" s="334" t="n"/>
      <c r="V505" s="334" t="n"/>
      <c r="W505" s="334" t="n"/>
      <c r="X505" s="334" t="n"/>
      <c r="Y505" s="334" t="n"/>
    </row>
    <row r="506" ht="21.75" customHeight="1" s="195">
      <c r="A506" s="346" t="inlineStr">
        <is>
          <t>TOTALES DEL MES</t>
        </is>
      </c>
      <c r="M506" s="320">
        <f>SUM(M6:M505)</f>
        <v/>
      </c>
      <c r="N506" s="320">
        <f>SUM(N6:N505)</f>
        <v/>
      </c>
    </row>
    <row r="507" ht="15.75" customHeight="1" s="195"/>
    <row r="508" ht="15.75" customHeight="1" s="195"/>
    <row r="509" ht="15.75" customHeight="1" s="195"/>
    <row r="510" ht="15.75" customHeight="1" s="195"/>
    <row r="511" ht="15.75" customHeight="1" s="195"/>
    <row r="512" ht="15.75" customHeight="1" s="195"/>
    <row r="513" ht="15.75" customHeight="1" s="195"/>
    <row r="514" ht="15.75" customHeight="1" s="195"/>
    <row r="515" ht="15.75" customHeight="1" s="195"/>
    <row r="516" ht="15.75" customHeight="1" s="195"/>
    <row r="517" ht="15.75" customHeight="1" s="195"/>
    <row r="518" ht="15.75" customHeight="1" s="195"/>
    <row r="519" ht="15.75" customHeight="1" s="195"/>
    <row r="520" ht="15.75" customHeight="1" s="195"/>
    <row r="521" ht="15.75" customHeight="1" s="195"/>
    <row r="522" ht="15.75" customHeight="1" s="195"/>
    <row r="523" ht="15.75" customHeight="1" s="195"/>
    <row r="524" ht="15.75" customHeight="1" s="195"/>
    <row r="525" ht="15.75" customHeight="1" s="195"/>
    <row r="526" ht="15.75" customHeight="1" s="195"/>
    <row r="527" ht="15.75" customHeight="1" s="195"/>
    <row r="528" ht="15.75" customHeight="1" s="195"/>
    <row r="529" ht="15.75" customHeight="1" s="195"/>
    <row r="530" ht="15.75" customHeight="1" s="195"/>
    <row r="531" ht="15.75" customHeight="1" s="195"/>
    <row r="532" ht="15.75" customHeight="1" s="195"/>
    <row r="533" ht="15.75" customHeight="1" s="195"/>
    <row r="534" ht="15.75" customHeight="1" s="195"/>
    <row r="535" ht="15.75" customHeight="1" s="195"/>
    <row r="536" ht="15.75" customHeight="1" s="195"/>
    <row r="537" ht="15.75" customHeight="1" s="195"/>
    <row r="538" ht="15.75" customHeight="1" s="195"/>
    <row r="539" ht="15.75" customHeight="1" s="195"/>
    <row r="540" ht="15.75" customHeight="1" s="195"/>
    <row r="541" ht="15.75" customHeight="1" s="195"/>
    <row r="542" ht="15.75" customHeight="1" s="195"/>
    <row r="543" ht="15.75" customHeight="1" s="195"/>
    <row r="544" ht="15.75" customHeight="1" s="195"/>
    <row r="545" ht="15.75" customHeight="1" s="195"/>
    <row r="546" ht="15.75" customHeight="1" s="195"/>
    <row r="547" ht="15.75" customHeight="1" s="195"/>
    <row r="548" ht="15.75" customHeight="1" s="195"/>
    <row r="549" ht="15.75" customHeight="1" s="195"/>
    <row r="550" ht="15.75" customHeight="1" s="195"/>
    <row r="551" ht="15.75" customHeight="1" s="195"/>
    <row r="552" ht="15.75" customHeight="1" s="195"/>
    <row r="553" ht="15.75" customHeight="1" s="195"/>
    <row r="554" ht="15.75" customHeight="1" s="195"/>
    <row r="555" ht="15.75" customHeight="1" s="195"/>
    <row r="556" ht="15.75" customHeight="1" s="195"/>
    <row r="557" ht="15.75" customHeight="1" s="195"/>
    <row r="558" ht="15.75" customHeight="1" s="195"/>
    <row r="559" ht="15.75" customHeight="1" s="195"/>
    <row r="560" ht="15.75" customHeight="1" s="195"/>
    <row r="561" ht="15.75" customHeight="1" s="195"/>
    <row r="562" ht="15.75" customHeight="1" s="195"/>
    <row r="563" ht="15.75" customHeight="1" s="195"/>
    <row r="564" ht="15.75" customHeight="1" s="195"/>
    <row r="565" ht="15.75" customHeight="1" s="195"/>
    <row r="566" ht="15.75" customHeight="1" s="195"/>
    <row r="567" ht="15.75" customHeight="1" s="195"/>
    <row r="568" ht="15.75" customHeight="1" s="195"/>
    <row r="569" ht="15.75" customHeight="1" s="195"/>
    <row r="570" ht="15.75" customHeight="1" s="195"/>
    <row r="571" ht="15.75" customHeight="1" s="195"/>
    <row r="572" ht="15.75" customHeight="1" s="195"/>
    <row r="573" ht="15.75" customHeight="1" s="195"/>
    <row r="574" ht="15.75" customHeight="1" s="195"/>
    <row r="575" ht="15.75" customHeight="1" s="195"/>
    <row r="576" ht="15.75" customHeight="1" s="195"/>
    <row r="577" ht="15.75" customHeight="1" s="195"/>
    <row r="578" ht="15.75" customHeight="1" s="195"/>
    <row r="579" ht="15.75" customHeight="1" s="195"/>
    <row r="580" ht="15.75" customHeight="1" s="195"/>
    <row r="581" ht="15.75" customHeight="1" s="195"/>
    <row r="582" ht="15.75" customHeight="1" s="195"/>
    <row r="583" ht="15.75" customHeight="1" s="195"/>
    <row r="584" ht="15.75" customHeight="1" s="195"/>
    <row r="585" ht="15.75" customHeight="1" s="195"/>
    <row r="586" ht="15.75" customHeight="1" s="195"/>
    <row r="587" ht="15.75" customHeight="1" s="195"/>
    <row r="588" ht="15.75" customHeight="1" s="195"/>
    <row r="589" ht="15.75" customHeight="1" s="195"/>
    <row r="590" ht="15.75" customHeight="1" s="195"/>
    <row r="591" ht="15.75" customHeight="1" s="195"/>
    <row r="592" ht="15.75" customHeight="1" s="195"/>
    <row r="593" ht="15.75" customHeight="1" s="195"/>
    <row r="594" ht="15.75" customHeight="1" s="195"/>
    <row r="595" ht="15.75" customHeight="1" s="195"/>
    <row r="596" ht="15.75" customHeight="1" s="195"/>
    <row r="597" ht="15.75" customHeight="1" s="195"/>
    <row r="598" ht="15.75" customHeight="1" s="195"/>
    <row r="599" ht="15.75" customHeight="1" s="195"/>
    <row r="600" ht="15.75" customHeight="1" s="195"/>
    <row r="601" ht="15.75" customHeight="1" s="195"/>
    <row r="602" ht="15.75" customHeight="1" s="195"/>
    <row r="603" ht="15.75" customHeight="1" s="195"/>
    <row r="604" ht="15.75" customHeight="1" s="195"/>
    <row r="605" ht="15.75" customHeight="1" s="195"/>
    <row r="606" ht="15.75" customHeight="1" s="195"/>
    <row r="607" ht="15.75" customHeight="1" s="195"/>
    <row r="608" ht="15.75" customHeight="1" s="195"/>
    <row r="609" ht="15.75" customHeight="1" s="195"/>
    <row r="610" ht="15.75" customHeight="1" s="195"/>
    <row r="611" ht="15.75" customHeight="1" s="195"/>
    <row r="612" ht="15.75" customHeight="1" s="195"/>
    <row r="613" ht="15.75" customHeight="1" s="195"/>
    <row r="614" ht="15.75" customHeight="1" s="195"/>
    <row r="615" ht="15.75" customHeight="1" s="195"/>
    <row r="616" ht="15.75" customHeight="1" s="195"/>
    <row r="617" ht="15.75" customHeight="1" s="195"/>
    <row r="618" ht="15.75" customHeight="1" s="195"/>
    <row r="619" ht="15.75" customHeight="1" s="195"/>
    <row r="620" ht="15.75" customHeight="1" s="195"/>
    <row r="621" ht="15.75" customHeight="1" s="195"/>
    <row r="622" ht="15.75" customHeight="1" s="195"/>
    <row r="623" ht="15.75" customHeight="1" s="195"/>
    <row r="624" ht="15.75" customHeight="1" s="195"/>
    <row r="625" ht="15.75" customHeight="1" s="195"/>
    <row r="626" ht="15.75" customHeight="1" s="195"/>
    <row r="627" ht="15.75" customHeight="1" s="195"/>
    <row r="628" ht="15.75" customHeight="1" s="195"/>
    <row r="629" ht="15.75" customHeight="1" s="195"/>
    <row r="630" ht="15.75" customHeight="1" s="195"/>
    <row r="631" ht="15.75" customHeight="1" s="195"/>
    <row r="632" ht="15.75" customHeight="1" s="195"/>
    <row r="633" ht="15.75" customHeight="1" s="195"/>
    <row r="634" ht="15.75" customHeight="1" s="195"/>
    <row r="635" ht="15.75" customHeight="1" s="195"/>
    <row r="636" ht="15.75" customHeight="1" s="195"/>
    <row r="637" ht="15.75" customHeight="1" s="195"/>
    <row r="638" ht="15.75" customHeight="1" s="195"/>
    <row r="639" ht="15.75" customHeight="1" s="195"/>
    <row r="640" ht="15.75" customHeight="1" s="195"/>
    <row r="641" ht="15.75" customHeight="1" s="195"/>
    <row r="642" ht="15.75" customHeight="1" s="195"/>
    <row r="643" ht="15.75" customHeight="1" s="195"/>
    <row r="644" ht="15.75" customHeight="1" s="195"/>
    <row r="645" ht="15.75" customHeight="1" s="195"/>
    <row r="646" ht="15.75" customHeight="1" s="195"/>
    <row r="647" ht="15.75" customHeight="1" s="195"/>
    <row r="648" ht="15.75" customHeight="1" s="195"/>
    <row r="649" ht="15.75" customHeight="1" s="195"/>
    <row r="650" ht="15.75" customHeight="1" s="195"/>
    <row r="651" ht="15.75" customHeight="1" s="195"/>
    <row r="652" ht="15.75" customHeight="1" s="195"/>
    <row r="653" ht="15.75" customHeight="1" s="195"/>
    <row r="654" ht="15.75" customHeight="1" s="195"/>
    <row r="655" ht="15.75" customHeight="1" s="195"/>
    <row r="656" ht="15.75" customHeight="1" s="195"/>
    <row r="657" ht="15.75" customHeight="1" s="195"/>
    <row r="658" ht="15.75" customHeight="1" s="195"/>
    <row r="659" ht="15.75" customHeight="1" s="195"/>
    <row r="660" ht="15.75" customHeight="1" s="195"/>
    <row r="661" ht="15.75" customHeight="1" s="195"/>
    <row r="662" ht="15.75" customHeight="1" s="195"/>
    <row r="663" ht="15.75" customHeight="1" s="195"/>
    <row r="664" ht="15.75" customHeight="1" s="195"/>
    <row r="665" ht="15.75" customHeight="1" s="195"/>
    <row r="666" ht="15.75" customHeight="1" s="195"/>
    <row r="667" ht="15.75" customHeight="1" s="195"/>
    <row r="668" ht="15.75" customHeight="1" s="195"/>
    <row r="669" ht="15.75" customHeight="1" s="195"/>
    <row r="670" ht="15.75" customHeight="1" s="195"/>
    <row r="671" ht="15.75" customHeight="1" s="195"/>
    <row r="672" ht="15.75" customHeight="1" s="195"/>
    <row r="673" ht="15.75" customHeight="1" s="195"/>
    <row r="674" ht="15.75" customHeight="1" s="195"/>
    <row r="675" ht="15.75" customHeight="1" s="195"/>
    <row r="676" ht="15.75" customHeight="1" s="195"/>
    <row r="677" ht="15.75" customHeight="1" s="195"/>
    <row r="678" ht="15.75" customHeight="1" s="195"/>
    <row r="679" ht="15.75" customHeight="1" s="195"/>
    <row r="680" ht="15.75" customHeight="1" s="195"/>
    <row r="681" ht="15.75" customHeight="1" s="195"/>
    <row r="682" ht="15.75" customHeight="1" s="195"/>
    <row r="683" ht="15.75" customHeight="1" s="195"/>
    <row r="684" ht="15.75" customHeight="1" s="195"/>
    <row r="685" ht="15.75" customHeight="1" s="195"/>
    <row r="686" ht="15.75" customHeight="1" s="195"/>
    <row r="687" ht="15.75" customHeight="1" s="195"/>
    <row r="688" ht="15.75" customHeight="1" s="195"/>
    <row r="689" ht="15.75" customHeight="1" s="195"/>
    <row r="690" ht="15.75" customHeight="1" s="195"/>
    <row r="691" ht="15.75" customHeight="1" s="195"/>
    <row r="692" ht="15.75" customHeight="1" s="195"/>
    <row r="693" ht="15.75" customHeight="1" s="195"/>
    <row r="694" ht="15.75" customHeight="1" s="195"/>
    <row r="695" ht="15.75" customHeight="1" s="195"/>
    <row r="696" ht="15.75" customHeight="1" s="195"/>
    <row r="697" ht="15.75" customHeight="1" s="195"/>
    <row r="698" ht="15.75" customHeight="1" s="195"/>
    <row r="699" ht="15.75" customHeight="1" s="195"/>
    <row r="700" ht="15.75" customHeight="1" s="195"/>
    <row r="701" ht="15.75" customHeight="1" s="195"/>
    <row r="702" ht="15.75" customHeight="1" s="195"/>
    <row r="703" ht="15.75" customHeight="1" s="195"/>
    <row r="704" ht="15.75" customHeight="1" s="195"/>
    <row r="705" ht="15.75" customHeight="1" s="195"/>
    <row r="706" ht="15.75" customHeight="1" s="195"/>
    <row r="707" ht="15.75" customHeight="1" s="195"/>
    <row r="708" ht="15.75" customHeight="1" s="195"/>
    <row r="709" ht="15.75" customHeight="1" s="195"/>
    <row r="710" ht="15.75" customHeight="1" s="195"/>
    <row r="711" ht="15.75" customHeight="1" s="195"/>
    <row r="712" ht="15.75" customHeight="1" s="195"/>
    <row r="713" ht="15.75" customHeight="1" s="195"/>
    <row r="714" ht="15.75" customHeight="1" s="195"/>
    <row r="715" ht="15.75" customHeight="1" s="195"/>
    <row r="716" ht="15.75" customHeight="1" s="195"/>
    <row r="717" ht="15.75" customHeight="1" s="195"/>
    <row r="718" ht="15.75" customHeight="1" s="195"/>
    <row r="719" ht="15.75" customHeight="1" s="195"/>
    <row r="720" ht="15.75" customHeight="1" s="195"/>
    <row r="721" ht="15.75" customHeight="1" s="195"/>
    <row r="722" ht="15.75" customHeight="1" s="195"/>
    <row r="723" ht="15.75" customHeight="1" s="195"/>
    <row r="724" ht="15.75" customHeight="1" s="195"/>
    <row r="725" ht="15.75" customHeight="1" s="195"/>
    <row r="726" ht="15.75" customHeight="1" s="195"/>
    <row r="727" ht="15.75" customHeight="1" s="195"/>
    <row r="728" ht="15.75" customHeight="1" s="195"/>
    <row r="729" ht="15.75" customHeight="1" s="195"/>
    <row r="730" ht="15.75" customHeight="1" s="195"/>
    <row r="731" ht="15.75" customHeight="1" s="195"/>
    <row r="732" ht="15.75" customHeight="1" s="195"/>
    <row r="733" ht="15.75" customHeight="1" s="195"/>
    <row r="734" ht="15.75" customHeight="1" s="195"/>
    <row r="735" ht="15.75" customHeight="1" s="195"/>
    <row r="736" ht="15.75" customHeight="1" s="195"/>
    <row r="737" ht="15.75" customHeight="1" s="195"/>
    <row r="738" ht="15.75" customHeight="1" s="195"/>
    <row r="739" ht="15.75" customHeight="1" s="195"/>
    <row r="740" ht="15.75" customHeight="1" s="195"/>
    <row r="741" ht="15.75" customHeight="1" s="195"/>
    <row r="742" ht="15.75" customHeight="1" s="195"/>
    <row r="743" ht="15.75" customHeight="1" s="195"/>
    <row r="744" ht="15.75" customHeight="1" s="195"/>
    <row r="745" ht="15.75" customHeight="1" s="195"/>
    <row r="746" ht="15.75" customHeight="1" s="195"/>
    <row r="747" ht="15.75" customHeight="1" s="195"/>
    <row r="748" ht="15.75" customHeight="1" s="195"/>
    <row r="749" ht="15.75" customHeight="1" s="195"/>
    <row r="750" ht="15.75" customHeight="1" s="195"/>
    <row r="751" ht="15.75" customHeight="1" s="195"/>
    <row r="752" ht="15.75" customHeight="1" s="195"/>
    <row r="753" ht="15.75" customHeight="1" s="195"/>
    <row r="754" ht="15.75" customHeight="1" s="195"/>
    <row r="755" ht="15.75" customHeight="1" s="195"/>
    <row r="756" ht="15.75" customHeight="1" s="195"/>
    <row r="757" ht="15.75" customHeight="1" s="195"/>
    <row r="758" ht="15.75" customHeight="1" s="195"/>
    <row r="759" ht="15.75" customHeight="1" s="195"/>
    <row r="760" ht="15.75" customHeight="1" s="195"/>
    <row r="761" ht="15.75" customHeight="1" s="195"/>
    <row r="762" ht="15.75" customHeight="1" s="195"/>
    <row r="763" ht="15.75" customHeight="1" s="195"/>
    <row r="764" ht="15.75" customHeight="1" s="195"/>
    <row r="765" ht="15.75" customHeight="1" s="195"/>
    <row r="766" ht="15.75" customHeight="1" s="195"/>
    <row r="767" ht="15.75" customHeight="1" s="195"/>
    <row r="768" ht="15.75" customHeight="1" s="195"/>
    <row r="769" ht="15.75" customHeight="1" s="195"/>
    <row r="770" ht="15.75" customHeight="1" s="195"/>
    <row r="771" ht="15.75" customHeight="1" s="195"/>
    <row r="772" ht="15.75" customHeight="1" s="195"/>
    <row r="773" ht="15.75" customHeight="1" s="195"/>
    <row r="774" ht="15.75" customHeight="1" s="195"/>
    <row r="775" ht="15.75" customHeight="1" s="195"/>
    <row r="776" ht="15.75" customHeight="1" s="195"/>
    <row r="777" ht="15.75" customHeight="1" s="195"/>
    <row r="778" ht="15.75" customHeight="1" s="195"/>
    <row r="779" ht="15.75" customHeight="1" s="195"/>
    <row r="780" ht="15.75" customHeight="1" s="195"/>
    <row r="781" ht="15.75" customHeight="1" s="195"/>
    <row r="782" ht="15.75" customHeight="1" s="195"/>
    <row r="783" ht="15.75" customHeight="1" s="195"/>
    <row r="784" ht="15.75" customHeight="1" s="195"/>
    <row r="785" ht="15.75" customHeight="1" s="195"/>
    <row r="786" ht="15.75" customHeight="1" s="195"/>
    <row r="787" ht="15.75" customHeight="1" s="195"/>
    <row r="788" ht="15.75" customHeight="1" s="195"/>
    <row r="789" ht="15.75" customHeight="1" s="195"/>
    <row r="790" ht="15.75" customHeight="1" s="195"/>
    <row r="791" ht="15.75" customHeight="1" s="195"/>
    <row r="792" ht="15.75" customHeight="1" s="195"/>
    <row r="793" ht="15.75" customHeight="1" s="195"/>
    <row r="794" ht="15.75" customHeight="1" s="195"/>
    <row r="795" ht="15.75" customHeight="1" s="195"/>
    <row r="796" ht="15.75" customHeight="1" s="195"/>
    <row r="797" ht="15.75" customHeight="1" s="195"/>
    <row r="798" ht="15.75" customHeight="1" s="195"/>
    <row r="799" ht="15.75" customHeight="1" s="195"/>
    <row r="800" ht="15.75" customHeight="1" s="195"/>
    <row r="801" ht="15.75" customHeight="1" s="195"/>
    <row r="802" ht="15.75" customHeight="1" s="195"/>
    <row r="803" ht="15.75" customHeight="1" s="195"/>
    <row r="804" ht="15.75" customHeight="1" s="195"/>
    <row r="805" ht="15.75" customHeight="1" s="195"/>
    <row r="806" ht="15.75" customHeight="1" s="195"/>
    <row r="807" ht="15.75" customHeight="1" s="195"/>
    <row r="808" ht="15.75" customHeight="1" s="195"/>
    <row r="809" ht="15.75" customHeight="1" s="195"/>
    <row r="810" ht="15.75" customHeight="1" s="195"/>
    <row r="811" ht="15.75" customHeight="1" s="195"/>
    <row r="812" ht="15.75" customHeight="1" s="195"/>
    <row r="813" ht="15.75" customHeight="1" s="195"/>
    <row r="814" ht="15.75" customHeight="1" s="195"/>
    <row r="815" ht="15.75" customHeight="1" s="195"/>
    <row r="816" ht="15.75" customHeight="1" s="195"/>
    <row r="817" ht="15.75" customHeight="1" s="195"/>
    <row r="818" ht="15.75" customHeight="1" s="195"/>
    <row r="819" ht="15.75" customHeight="1" s="195"/>
    <row r="820" ht="15.75" customHeight="1" s="195"/>
    <row r="821" ht="15.75" customHeight="1" s="195"/>
    <row r="822" ht="15.75" customHeight="1" s="195"/>
    <row r="823" ht="15.75" customHeight="1" s="195"/>
    <row r="824" ht="15.75" customHeight="1" s="195"/>
    <row r="825" ht="15.75" customHeight="1" s="195"/>
    <row r="826" ht="15.75" customHeight="1" s="195"/>
    <row r="827" ht="15.75" customHeight="1" s="195"/>
    <row r="828" ht="15.75" customHeight="1" s="195"/>
    <row r="829" ht="15.75" customHeight="1" s="195"/>
    <row r="830" ht="15.75" customHeight="1" s="195"/>
    <row r="831" ht="15.75" customHeight="1" s="195"/>
    <row r="832" ht="15.75" customHeight="1" s="195"/>
    <row r="833" ht="15.75" customHeight="1" s="195"/>
    <row r="834" ht="15.75" customHeight="1" s="195"/>
    <row r="835" ht="15.75" customHeight="1" s="195"/>
    <row r="836" ht="15.75" customHeight="1" s="195"/>
    <row r="837" ht="15.75" customHeight="1" s="195"/>
    <row r="838" ht="15.75" customHeight="1" s="195"/>
    <row r="839" ht="15.75" customHeight="1" s="195"/>
    <row r="840" ht="15.75" customHeight="1" s="195"/>
    <row r="841" ht="15.75" customHeight="1" s="195"/>
    <row r="842" ht="15.75" customHeight="1" s="195"/>
    <row r="843" ht="15.75" customHeight="1" s="195"/>
    <row r="844" ht="15.75" customHeight="1" s="195"/>
    <row r="845" ht="15.75" customHeight="1" s="195"/>
    <row r="846" ht="15.75" customHeight="1" s="195"/>
    <row r="847" ht="15.75" customHeight="1" s="195"/>
    <row r="848" ht="15.75" customHeight="1" s="195"/>
    <row r="849" ht="15.75" customHeight="1" s="195"/>
    <row r="850" ht="15.75" customHeight="1" s="195"/>
    <row r="851" ht="15.75" customHeight="1" s="195"/>
    <row r="852" ht="15.75" customHeight="1" s="195"/>
    <row r="853" ht="15.75" customHeight="1" s="195"/>
    <row r="854" ht="15.75" customHeight="1" s="195"/>
    <row r="855" ht="15.75" customHeight="1" s="195"/>
    <row r="856" ht="15.75" customHeight="1" s="195"/>
    <row r="857" ht="15.75" customHeight="1" s="195"/>
    <row r="858" ht="15.75" customHeight="1" s="195"/>
    <row r="859" ht="15.75" customHeight="1" s="195"/>
    <row r="860" ht="15.75" customHeight="1" s="195"/>
    <row r="861" ht="15.75" customHeight="1" s="195"/>
    <row r="862" ht="15.75" customHeight="1" s="195"/>
    <row r="863" ht="15.75" customHeight="1" s="195"/>
    <row r="864" ht="15.75" customHeight="1" s="195"/>
    <row r="865" ht="15.75" customHeight="1" s="195"/>
    <row r="866" ht="15.75" customHeight="1" s="195"/>
    <row r="867" ht="15.75" customHeight="1" s="195"/>
    <row r="868" ht="15.75" customHeight="1" s="195"/>
    <row r="869" ht="15.75" customHeight="1" s="195"/>
    <row r="870" ht="15.75" customHeight="1" s="195"/>
    <row r="871" ht="15.75" customHeight="1" s="195"/>
    <row r="872" ht="15.75" customHeight="1" s="195"/>
    <row r="873" ht="15.75" customHeight="1" s="195"/>
    <row r="874" ht="15.75" customHeight="1" s="195"/>
    <row r="875" ht="15.75" customHeight="1" s="195"/>
    <row r="876" ht="15.75" customHeight="1" s="195"/>
    <row r="877" ht="15.75" customHeight="1" s="195"/>
    <row r="878" ht="15.75" customHeight="1" s="195"/>
    <row r="879" ht="15.75" customHeight="1" s="195"/>
    <row r="880" ht="15.75" customHeight="1" s="195"/>
    <row r="881" ht="15.75" customHeight="1" s="195"/>
    <row r="882" ht="15.75" customHeight="1" s="195"/>
    <row r="883" ht="15.75" customHeight="1" s="195"/>
    <row r="884" ht="15.75" customHeight="1" s="195"/>
    <row r="885" ht="15.75" customHeight="1" s="195"/>
    <row r="886" ht="15.75" customHeight="1" s="195"/>
    <row r="887" ht="15.75" customHeight="1" s="195"/>
    <row r="888" ht="15.75" customHeight="1" s="195"/>
    <row r="889" ht="15.75" customHeight="1" s="195"/>
    <row r="890" ht="15.75" customHeight="1" s="195"/>
    <row r="891" ht="15.75" customHeight="1" s="195"/>
    <row r="892" ht="15.75" customHeight="1" s="195"/>
    <row r="893" ht="15.75" customHeight="1" s="195"/>
    <row r="894" ht="15.75" customHeight="1" s="195"/>
    <row r="895" ht="15.75" customHeight="1" s="195"/>
    <row r="896" ht="15.75" customHeight="1" s="195"/>
    <row r="897" ht="15.75" customHeight="1" s="195"/>
    <row r="898" ht="15.75" customHeight="1" s="195"/>
    <row r="899" ht="15.75" customHeight="1" s="195"/>
    <row r="900" ht="15.75" customHeight="1" s="195"/>
    <row r="901" ht="15.75" customHeight="1" s="195"/>
    <row r="902" ht="15.75" customHeight="1" s="195"/>
    <row r="903" ht="15.75" customHeight="1" s="195"/>
    <row r="904" ht="15.75" customHeight="1" s="195"/>
    <row r="905" ht="15.75" customHeight="1" s="195"/>
    <row r="906" ht="15.75" customHeight="1" s="195"/>
    <row r="907" ht="15.75" customHeight="1" s="195"/>
    <row r="908" ht="15.75" customHeight="1" s="195"/>
    <row r="909" ht="15.75" customHeight="1" s="195"/>
    <row r="910" ht="15.75" customHeight="1" s="195"/>
    <row r="911" ht="15.75" customHeight="1" s="195"/>
    <row r="912" ht="15.75" customHeight="1" s="195"/>
    <row r="913" ht="15.75" customHeight="1" s="195"/>
    <row r="914" ht="15.75" customHeight="1" s="195"/>
    <row r="915" ht="15.75" customHeight="1" s="195"/>
    <row r="916" ht="15.75" customHeight="1" s="195"/>
    <row r="917" ht="15.75" customHeight="1" s="195"/>
    <row r="918" ht="15.75" customHeight="1" s="195"/>
    <row r="919" ht="15.75" customHeight="1" s="195"/>
    <row r="920" ht="15.75" customHeight="1" s="195"/>
    <row r="921" ht="15.75" customHeight="1" s="195"/>
    <row r="922" ht="15.75" customHeight="1" s="195"/>
    <row r="923" ht="15.75" customHeight="1" s="195"/>
    <row r="924" ht="15.75" customHeight="1" s="195"/>
    <row r="925" ht="15.75" customHeight="1" s="195"/>
    <row r="926" ht="15.75" customHeight="1" s="195"/>
    <row r="927" ht="15.75" customHeight="1" s="195"/>
    <row r="928" ht="15.75" customHeight="1" s="195"/>
    <row r="929" ht="15.75" customHeight="1" s="195"/>
    <row r="930" ht="15.75" customHeight="1" s="195"/>
    <row r="931" ht="15.75" customHeight="1" s="195"/>
    <row r="932" ht="15.75" customHeight="1" s="195"/>
    <row r="933" ht="15.75" customHeight="1" s="195"/>
    <row r="934" ht="15.75" customHeight="1" s="195"/>
    <row r="935" ht="15.75" customHeight="1" s="195"/>
    <row r="936" ht="15.75" customHeight="1" s="195"/>
    <row r="937" ht="15.75" customHeight="1" s="195"/>
    <row r="938" ht="15.75" customHeight="1" s="195"/>
    <row r="939" ht="15.75" customHeight="1" s="195"/>
    <row r="940" ht="15.75" customHeight="1" s="195"/>
    <row r="941" ht="15.75" customHeight="1" s="195"/>
    <row r="942" ht="15.75" customHeight="1" s="195"/>
    <row r="943" ht="15.75" customHeight="1" s="195"/>
    <row r="944" ht="15.75" customHeight="1" s="195"/>
    <row r="945" ht="15.75" customHeight="1" s="195"/>
    <row r="946" ht="15.75" customHeight="1" s="195"/>
    <row r="947" ht="15.75" customHeight="1" s="195"/>
    <row r="948" ht="15.75" customHeight="1" s="195"/>
    <row r="949" ht="15.75" customHeight="1" s="195"/>
    <row r="950" ht="15.75" customHeight="1" s="195"/>
    <row r="951" ht="15.75" customHeight="1" s="195"/>
    <row r="952" ht="15.75" customHeight="1" s="195"/>
    <row r="953" ht="15.75" customHeight="1" s="195"/>
    <row r="954" ht="15.75" customHeight="1" s="195"/>
    <row r="955" ht="15.75" customHeight="1" s="195"/>
    <row r="956" ht="15.75" customHeight="1" s="195"/>
    <row r="957" ht="15.75" customHeight="1" s="195"/>
    <row r="958" ht="15.75" customHeight="1" s="195"/>
    <row r="959" ht="15.75" customHeight="1" s="195"/>
    <row r="960" ht="15.75" customHeight="1" s="195"/>
    <row r="961" ht="15.75" customHeight="1" s="195"/>
    <row r="962" ht="15.75" customHeight="1" s="195"/>
    <row r="963" ht="15.75" customHeight="1" s="195"/>
    <row r="964" ht="15.75" customHeight="1" s="195"/>
    <row r="965" ht="15.75" customHeight="1" s="195"/>
    <row r="966" ht="15.75" customHeight="1" s="195"/>
    <row r="967" ht="15.75" customHeight="1" s="195"/>
    <row r="968" ht="15.75" customHeight="1" s="195"/>
    <row r="969" ht="15.75" customHeight="1" s="195"/>
    <row r="970" ht="15.75" customHeight="1" s="195"/>
    <row r="971" ht="15.75" customHeight="1" s="195"/>
    <row r="972" ht="15.75" customHeight="1" s="195"/>
    <row r="973" ht="15.75" customHeight="1" s="195"/>
    <row r="974" ht="15.75" customHeight="1" s="195"/>
    <row r="975" ht="15.75" customHeight="1" s="195"/>
    <row r="976" ht="15.75" customHeight="1" s="195"/>
    <row r="977" ht="15.75" customHeight="1" s="195"/>
    <row r="978" ht="15.75" customHeight="1" s="195"/>
    <row r="979" ht="15.75" customHeight="1" s="195"/>
    <row r="980" ht="15.75" customHeight="1" s="195"/>
    <row r="981" ht="15.75" customHeight="1" s="195"/>
    <row r="982" ht="15.75" customHeight="1" s="195"/>
    <row r="983" ht="15.75" customHeight="1" s="195"/>
    <row r="984" ht="15.75" customHeight="1" s="195"/>
    <row r="985" ht="15.75" customHeight="1" s="195"/>
    <row r="986" ht="15.75" customHeight="1" s="195"/>
    <row r="987" ht="15.75" customHeight="1" s="195"/>
    <row r="988" ht="15.75" customHeight="1" s="195"/>
    <row r="989" ht="15.75" customHeight="1" s="195"/>
    <row r="990" ht="15.75" customHeight="1" s="195"/>
    <row r="991" ht="15.75" customHeight="1" s="195"/>
    <row r="992" ht="15.75" customHeight="1" s="195"/>
    <row r="993" ht="15.75" customHeight="1" s="195"/>
    <row r="994" ht="15.75" customHeight="1" s="195"/>
    <row r="995" ht="15.75" customHeight="1" s="195"/>
    <row r="996" ht="15.75" customHeight="1" s="195"/>
    <row r="997" ht="15.75" customHeight="1" s="195"/>
    <row r="998" ht="15.75" customHeight="1" s="195"/>
    <row r="999" ht="15.75" customHeight="1" s="195"/>
    <row r="1000" ht="15.75" customHeight="1" s="195"/>
  </sheetData>
  <mergeCells count="13">
    <mergeCell ref="D2:F2"/>
    <mergeCell ref="G2:I2"/>
    <mergeCell ref="S2:T2"/>
    <mergeCell ref="J2:L2"/>
    <mergeCell ref="A506:G506"/>
    <mergeCell ref="U2:V2"/>
    <mergeCell ref="P2:R2"/>
    <mergeCell ref="A120:J120"/>
    <mergeCell ref="A1:Y1"/>
    <mergeCell ref="W2:AC2"/>
    <mergeCell ref="A4:Y4"/>
    <mergeCell ref="M2:O2"/>
    <mergeCell ref="A2:C2"/>
  </mergeCells>
  <conditionalFormatting sqref="T6:T505">
    <cfRule type="expression" rank="0" priority="2" equalAverage="0" aboveAverage="0" dxfId="0" text="" percent="0" bottom="0">
      <formula>EXACT(T6,"APROBADO")</formula>
    </cfRule>
    <cfRule type="expression" rank="0" priority="3" equalAverage="0" aboveAverage="0" dxfId="7" text="" percent="0" bottom="0">
      <formula>EXACT(T6,"PENDIENTE")</formula>
    </cfRule>
  </conditionalFormatting>
  <conditionalFormatting sqref="K6:K505">
    <cfRule type="expression" rank="0" priority="4" equalAverage="0" aboveAverage="0" dxfId="8" text="" percent="0" bottom="0">
      <formula>EXACT(K6,"GASOLINA")</formula>
    </cfRule>
  </conditionalFormatting>
  <conditionalFormatting sqref="Y4:Y130">
    <cfRule type="expression" rank="0" priority="5" equalAverage="0" aboveAverage="0" dxfId="9" text="" percent="0" bottom="0">
      <formula>Y4&lt;&gt;""</formula>
    </cfRule>
  </conditionalFormatting>
  <dataValidations count="4">
    <dataValidation sqref="Y5:Y130" showDropDown="0" showInputMessage="0" showErrorMessage="0" allowBlank="1" type="list" errorStyle="stop" operator="between">
      <formula1>CONDUCTORES!$H$3:$H$104</formula1>
      <formula2>0</formula2>
    </dataValidation>
    <dataValidation sqref="K6:K505" showDropDown="0" showInputMessage="0" showErrorMessage="0" allowBlank="1" type="list" errorStyle="stop" operator="between">
      <formula1>"PETROLEO,GASOLINA"</formula1>
      <formula2>0</formula2>
    </dataValidation>
    <dataValidation sqref="E6:E119 E121:E505" showDropDown="0" showInputMessage="0" showErrorMessage="0" allowBlank="1" type="list" errorStyle="stop" operator="between">
      <formula1>"DNI,CE,PASAPORTE"</formula1>
      <formula2>0</formula2>
    </dataValidation>
    <dataValidation sqref="T6:T505" showDropDown="0" showInputMessage="0" showErrorMessage="0" allowBlank="1" type="list" errorStyle="stop" operator="between">
      <formula1>"APROBADO,PENDIENTE,OBSERVADO"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C5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14.43359375" defaultRowHeight="15" zeroHeight="0" outlineLevelRow="0"/>
  <cols>
    <col width="5" customWidth="1" style="194" min="1" max="1"/>
    <col width="14" customWidth="1" style="194" min="2" max="2"/>
    <col width="8" customWidth="1" style="194" min="3" max="3"/>
    <col width="28" customWidth="1" style="194" min="4" max="4"/>
    <col width="7" customWidth="1" style="194" min="5" max="5"/>
    <col width="14" customWidth="1" style="194" min="6" max="6"/>
    <col width="12" customWidth="1" style="194" min="7" max="7"/>
    <col width="10" customWidth="1" style="194" min="8" max="8"/>
    <col width="30" customWidth="1" style="194" min="9" max="9"/>
    <col width="10" customWidth="1" style="194" min="10" max="10"/>
    <col width="12" customWidth="1" style="194" min="11" max="11"/>
    <col width="10" customWidth="1" style="194" min="12" max="13"/>
    <col width="14" customWidth="1" style="194" min="14" max="15"/>
    <col width="28" customWidth="1" style="194" min="16" max="16"/>
    <col width="12" customWidth="1" style="194" min="17" max="18"/>
    <col width="16" customWidth="1" style="194" min="19" max="19"/>
    <col width="12" customWidth="1" style="194" min="20" max="21"/>
    <col width="14" customWidth="1" style="194" min="22" max="23"/>
    <col width="8" customWidth="1" style="194" min="24" max="24"/>
    <col width="22" customWidth="1" style="194" min="25" max="25"/>
    <col width="8.710000000000001" customWidth="1" style="194" min="26" max="29"/>
  </cols>
  <sheetData>
    <row r="1" ht="27.75" customHeight="1" s="195">
      <c r="A1" s="317" t="inlineStr">
        <is>
          <t>REPORTE DE TRASLADO DE PACIENTES SIS DEL MES DE JUNIO 2025 PARA REPOSICION DE COMBUSTIBLE</t>
        </is>
      </c>
    </row>
    <row r="2" ht="21.75" customHeight="1" s="195">
      <c r="A2" s="318" t="inlineStr">
        <is>
          <t>TOTAL PETROLEO (gal):</t>
        </is>
      </c>
      <c r="D2" s="319">
        <f>IFERROR(SUMPRODUCT((K4:K113="PETROLEO")*ISNUMBER(M4:M113)*M4:M113),0)</f>
        <v/>
      </c>
      <c r="G2" s="318" t="inlineStr">
        <is>
          <t>TOTAL GASOLINA (gal):</t>
        </is>
      </c>
      <c r="J2" s="319">
        <f>IFERROR(SUMPRODUCT((K4:K113="GASOLINA")*ISNUMBER(M4:M113)*M4:M113),0)</f>
        <v/>
      </c>
      <c r="M2" s="318" t="inlineStr">
        <is>
          <t>TOTAL SOLES S/.:</t>
        </is>
      </c>
      <c r="P2" s="320">
        <f>IFERROR(SUMPRODUCT(ISNUMBER(M4:M113)*L4:L113*M4:M113),0)</f>
        <v/>
      </c>
      <c r="S2" s="318" t="inlineStr">
        <is>
          <t>N TRASLADOS:</t>
        </is>
      </c>
      <c r="U2" s="321">
        <f>SUBTOTAL(2,A4:A113)</f>
        <v/>
      </c>
      <c r="W2" s="322" t="inlineStr">
        <is>
          <t>↑ Al filtrar por EESS los totales cambian automáticamente</t>
        </is>
      </c>
    </row>
    <row r="3" ht="3.75" customHeight="1" s="195">
      <c r="A3" s="323" t="n"/>
      <c r="B3" s="323" t="n"/>
      <c r="C3" s="323" t="n"/>
      <c r="D3" s="323" t="n"/>
      <c r="E3" s="323" t="n"/>
      <c r="F3" s="323" t="n"/>
      <c r="G3" s="323" t="n"/>
      <c r="H3" s="323" t="n"/>
      <c r="I3" s="323" t="n"/>
      <c r="J3" s="323" t="n"/>
      <c r="K3" s="323" t="n"/>
      <c r="L3" s="323" t="n"/>
      <c r="M3" s="323" t="n"/>
      <c r="N3" s="323" t="n"/>
      <c r="O3" s="323" t="n"/>
      <c r="P3" s="323" t="n"/>
      <c r="Q3" s="323" t="n"/>
      <c r="R3" s="323" t="n"/>
      <c r="S3" s="323" t="n"/>
      <c r="T3" s="323" t="n"/>
      <c r="U3" s="323" t="n"/>
      <c r="V3" s="323" t="n"/>
      <c r="W3" s="323" t="n"/>
      <c r="X3" s="323" t="n"/>
      <c r="Y3" s="324" t="inlineStr">
        <is>
          <t>DEVOLVER A
(IPRESS DESTINO)</t>
        </is>
      </c>
    </row>
    <row r="4" ht="19.5" customHeight="1" s="195">
      <c r="A4" s="325" t="inlineStr">
        <is>
          <t>COLUMNAS EN AZUL = AUTO (no editar) | Ingrese: N, NRO FORMATO, AFILIADO, TIPO DOC, NRO DOC, FECHA TRASLADO, COD RENAES, COD REFERENCIA, DNI CONDUCTOR, PRECIO GAL, GALONES, FECHA ENTREGA, CIE-10, ESTADO FUA, FECHA DIGITACION, OFICIO, O/C, META, OBSERVACION</t>
        </is>
      </c>
    </row>
    <row r="5" ht="30" customHeight="1" s="195">
      <c r="A5" s="326" t="inlineStr">
        <is>
          <t>N</t>
        </is>
      </c>
      <c r="B5" s="327" t="inlineStr">
        <is>
          <t>NRO FORMATO
ATENCION</t>
        </is>
      </c>
      <c r="C5" s="327" t="inlineStr">
        <is>
          <t>UNIDAD
EJECUTORA</t>
        </is>
      </c>
      <c r="D5" s="327" t="inlineStr">
        <is>
          <t>AFILIADO</t>
        </is>
      </c>
      <c r="E5" s="327" t="inlineStr">
        <is>
          <t>TIPO
DOC</t>
        </is>
      </c>
      <c r="F5" s="327" t="inlineStr">
        <is>
          <t>NRO
DOCUMENTO</t>
        </is>
      </c>
      <c r="G5" s="327" t="inlineStr">
        <is>
          <t>FECHA
TRASLADO</t>
        </is>
      </c>
      <c r="H5" s="327" t="inlineStr">
        <is>
          <t>COD
RENAES</t>
        </is>
      </c>
      <c r="I5" s="328" t="inlineStr">
        <is>
          <t>DESCRIPCION
EESS</t>
        </is>
      </c>
      <c r="J5" s="327" t="inlineStr">
        <is>
          <t>COD EESS
REFERENCIA</t>
        </is>
      </c>
      <c r="K5" s="328" t="inlineStr">
        <is>
          <t>TIPO DE
COMBUSTIBLE</t>
        </is>
      </c>
      <c r="L5" s="327" t="inlineStr">
        <is>
          <t>PRECIO
GAL S/.</t>
        </is>
      </c>
      <c r="M5" s="327" t="inlineStr">
        <is>
          <t>GALONES</t>
        </is>
      </c>
      <c r="N5" s="328" t="inlineStr">
        <is>
          <t>TOTAL
COMBUSTIBLE S/.</t>
        </is>
      </c>
      <c r="O5" s="327" t="inlineStr">
        <is>
          <t>DNI
CONDUCTOR</t>
        </is>
      </c>
      <c r="P5" s="329">
        <f>IFERROR(VLOOKUP(TEXT(O5,"0"),CONDUCTORES!$A$3:$G$100,2,0),"")</f>
        <v/>
      </c>
      <c r="Q5" s="329">
        <f>IFERROR(VLOOKUP(TEXT(O5,"0"),CONDUCTORES!$A$3:$H$100,6,0),"")</f>
        <v/>
      </c>
      <c r="R5" s="327" t="inlineStr">
        <is>
          <t>FECHA DE
ENTREGA</t>
        </is>
      </c>
      <c r="S5" s="327" t="inlineStr">
        <is>
          <t>CODIGO DE
DIAGNOSTICO</t>
        </is>
      </c>
      <c r="T5" s="327" t="inlineStr">
        <is>
          <t>ESTADO
FUA</t>
        </is>
      </c>
      <c r="U5" s="327" t="inlineStr">
        <is>
          <t>FECHA
DIGITACION</t>
        </is>
      </c>
      <c r="V5" s="327" t="inlineStr">
        <is>
          <t>OFICIO</t>
        </is>
      </c>
      <c r="W5" s="327" t="inlineStr">
        <is>
          <t>O/C</t>
        </is>
      </c>
      <c r="X5" s="327" t="inlineStr">
        <is>
          <t>META</t>
        </is>
      </c>
      <c r="Y5" s="330" t="inlineStr">
        <is>
          <t>OBSERVACION</t>
        </is>
      </c>
    </row>
    <row r="6" ht="15.75" customHeight="1" s="195">
      <c r="A6" s="337" t="n">
        <v>1</v>
      </c>
      <c r="B6" s="338" t="inlineStr">
        <is>
          <t>00000014</t>
        </is>
      </c>
      <c r="C6" s="337" t="inlineStr">
        <is>
          <t>REGION</t>
        </is>
      </c>
      <c r="D6" s="338" t="inlineStr">
        <is>
          <t>GALOC CHAVEZ INGRID LISBETH</t>
        </is>
      </c>
      <c r="E6" s="337" t="inlineStr">
        <is>
          <t>DNI</t>
        </is>
      </c>
      <c r="F6" s="337" t="inlineStr">
        <is>
          <t>74293017</t>
        </is>
      </c>
      <c r="G6" s="339" t="n">
        <v>45809</v>
      </c>
      <c r="H6" s="337" t="inlineStr">
        <is>
          <t>4937</t>
        </is>
      </c>
      <c r="I6" s="332">
        <f>IFERROR(VLOOKUP(TEXT(H6,"0"),IPRESS!$A$3:$B$212,2,0),"")</f>
        <v/>
      </c>
      <c r="J6" s="337" t="inlineStr">
        <is>
          <t>4932</t>
        </is>
      </c>
      <c r="K6" s="332">
        <f>IFERROR(VLOOKUP(TEXT(O6,"0"),CONDUCTORES!$A$3:$G$100,7,0),"")</f>
        <v/>
      </c>
      <c r="L6" s="340" t="n">
        <v>17.95</v>
      </c>
      <c r="M6" s="340" t="n">
        <v>5</v>
      </c>
      <c r="N6" s="333">
        <f>IFERROR(IF(L6*M6=0,"",L6*M6),"")</f>
        <v/>
      </c>
      <c r="O6" s="280" t="n"/>
      <c r="P6" s="332">
        <f>IFERROR(VLOOKUP(TEXT(O6,"0"),CONDUCTORES!$A$3:$G$100,2,0),"")</f>
        <v/>
      </c>
      <c r="Q6" s="332">
        <f>IFERROR(VLOOKUP(TEXT(O6,"0"),CONDUCTORES!$A$3:$H$100,6,0),"")</f>
        <v/>
      </c>
      <c r="R6" s="339" t="n">
        <v>45874</v>
      </c>
      <c r="S6" s="338" t="inlineStr">
        <is>
          <t>O800,Z349,Z352</t>
        </is>
      </c>
      <c r="T6" s="337" t="n"/>
      <c r="U6" s="341" t="n"/>
      <c r="V6" s="337" t="inlineStr">
        <is>
          <t>3691-2025</t>
        </is>
      </c>
      <c r="W6" s="337" t="inlineStr">
        <is>
          <t>adenda 1421-2025</t>
        </is>
      </c>
      <c r="X6" s="337" t="inlineStr">
        <is>
          <t>82.0</t>
        </is>
      </c>
      <c r="Y6" s="280" t="n"/>
    </row>
    <row r="7" ht="15.75" customHeight="1" s="195">
      <c r="A7" s="337" t="n">
        <v>2</v>
      </c>
      <c r="B7" s="338" t="inlineStr">
        <is>
          <t>00000015</t>
        </is>
      </c>
      <c r="C7" s="337" t="inlineStr">
        <is>
          <t>REGION</t>
        </is>
      </c>
      <c r="D7" s="338" t="inlineStr">
        <is>
          <t>TERRONES BARDALES MARIELA TERECITA</t>
        </is>
      </c>
      <c r="E7" s="337" t="inlineStr">
        <is>
          <t>DNI</t>
        </is>
      </c>
      <c r="F7" s="337" t="inlineStr">
        <is>
          <t>76966101</t>
        </is>
      </c>
      <c r="G7" s="339" t="n">
        <v>45812</v>
      </c>
      <c r="H7" s="337" t="inlineStr">
        <is>
          <t>4937</t>
        </is>
      </c>
      <c r="I7" s="332">
        <f>IFERROR(VLOOKUP(TEXT(H7,"0"),IPRESS!$A$3:$B$212,2,0),"")</f>
        <v/>
      </c>
      <c r="J7" s="337" t="inlineStr">
        <is>
          <t>4932</t>
        </is>
      </c>
      <c r="K7" s="332">
        <f>IFERROR(VLOOKUP(TEXT(O7,"0"),CONDUCTORES!$A$3:$G$100,7,0),"")</f>
        <v/>
      </c>
      <c r="L7" s="340" t="n">
        <v>17.95</v>
      </c>
      <c r="M7" s="340" t="n">
        <v>5</v>
      </c>
      <c r="N7" s="333">
        <f>IFERROR(IF(L7*M7=0,"",L7*M7),"")</f>
        <v/>
      </c>
      <c r="O7" s="334" t="n"/>
      <c r="P7" s="332">
        <f>IFERROR(VLOOKUP(TEXT(O7,"0"),CONDUCTORES!$A$3:$G$100,2,0),"")</f>
        <v/>
      </c>
      <c r="Q7" s="332">
        <f>IFERROR(VLOOKUP(TEXT(O7,"0"),CONDUCTORES!$A$3:$H$100,6,0),"")</f>
        <v/>
      </c>
      <c r="R7" s="339" t="n">
        <v>45874</v>
      </c>
      <c r="S7" s="338" t="inlineStr">
        <is>
          <t>O800,Z349</t>
        </is>
      </c>
      <c r="T7" s="337" t="n"/>
      <c r="U7" s="341" t="n"/>
      <c r="V7" s="337" t="inlineStr">
        <is>
          <t>3691-2025</t>
        </is>
      </c>
      <c r="W7" s="337" t="inlineStr">
        <is>
          <t>adenda 1421-2025</t>
        </is>
      </c>
      <c r="X7" s="337" t="inlineStr">
        <is>
          <t>82.0</t>
        </is>
      </c>
      <c r="Y7" s="280" t="n"/>
    </row>
    <row r="8" ht="15.75" customHeight="1" s="195">
      <c r="A8" s="337" t="n">
        <v>3</v>
      </c>
      <c r="B8" s="338" t="inlineStr">
        <is>
          <t>00000017</t>
        </is>
      </c>
      <c r="C8" s="337" t="inlineStr">
        <is>
          <t>REGION</t>
        </is>
      </c>
      <c r="D8" s="338" t="inlineStr">
        <is>
          <t>MONTENEGRO CRUZ HEYDY MERCEDES</t>
        </is>
      </c>
      <c r="E8" s="337" t="inlineStr">
        <is>
          <t>DNI</t>
        </is>
      </c>
      <c r="F8" s="337" t="inlineStr">
        <is>
          <t>63387310</t>
        </is>
      </c>
      <c r="G8" s="339" t="n">
        <v>45821</v>
      </c>
      <c r="H8" s="337" t="inlineStr">
        <is>
          <t>4937</t>
        </is>
      </c>
      <c r="I8" s="332">
        <f>IFERROR(VLOOKUP(TEXT(H8,"0"),IPRESS!$A$3:$B$212,2,0),"")</f>
        <v/>
      </c>
      <c r="J8" s="337" t="inlineStr">
        <is>
          <t>4932</t>
        </is>
      </c>
      <c r="K8" s="332">
        <f>IFERROR(VLOOKUP(TEXT(O8,"0"),CONDUCTORES!$A$3:$G$100,7,0),"")</f>
        <v/>
      </c>
      <c r="L8" s="340" t="n">
        <v>17.95</v>
      </c>
      <c r="M8" s="340" t="n">
        <v>7</v>
      </c>
      <c r="N8" s="333">
        <f>IFERROR(IF(L8*M8=0,"",L8*M8),"")</f>
        <v/>
      </c>
      <c r="O8" s="280" t="n"/>
      <c r="P8" s="332">
        <f>IFERROR(VLOOKUP(TEXT(O8,"0"),CONDUCTORES!$A$3:$G$100,2,0),"")</f>
        <v/>
      </c>
      <c r="Q8" s="332">
        <f>IFERROR(VLOOKUP(TEXT(O8,"0"),CONDUCTORES!$A$3:$H$100,6,0),"")</f>
        <v/>
      </c>
      <c r="R8" s="339" t="n">
        <v>45874</v>
      </c>
      <c r="S8" s="338" t="inlineStr">
        <is>
          <t>O800,Z349</t>
        </is>
      </c>
      <c r="T8" s="337" t="n"/>
      <c r="U8" s="341" t="n"/>
      <c r="V8" s="337" t="inlineStr">
        <is>
          <t>3691-2025</t>
        </is>
      </c>
      <c r="W8" s="337" t="inlineStr">
        <is>
          <t>adenda 1421-2025</t>
        </is>
      </c>
      <c r="X8" s="337" t="inlineStr">
        <is>
          <t>82.0</t>
        </is>
      </c>
      <c r="Y8" s="280" t="n"/>
    </row>
    <row r="9" ht="15.75" customHeight="1" s="195">
      <c r="A9" s="337" t="n">
        <v>4</v>
      </c>
      <c r="B9" s="338" t="inlineStr">
        <is>
          <t>00000016</t>
        </is>
      </c>
      <c r="C9" s="337" t="inlineStr">
        <is>
          <t>REGION</t>
        </is>
      </c>
      <c r="D9" s="338" t="inlineStr">
        <is>
          <t>LLAJA ARCE LIZETT</t>
        </is>
      </c>
      <c r="E9" s="337" t="inlineStr">
        <is>
          <t>DNI</t>
        </is>
      </c>
      <c r="F9" s="337" t="inlineStr">
        <is>
          <t>70208568</t>
        </is>
      </c>
      <c r="G9" s="339" t="n">
        <v>45818</v>
      </c>
      <c r="H9" s="337" t="inlineStr">
        <is>
          <t>4937</t>
        </is>
      </c>
      <c r="I9" s="332">
        <f>IFERROR(VLOOKUP(TEXT(H9,"0"),IPRESS!$A$3:$B$212,2,0),"")</f>
        <v/>
      </c>
      <c r="J9" s="337" t="inlineStr">
        <is>
          <t>4932</t>
        </is>
      </c>
      <c r="K9" s="332">
        <f>IFERROR(VLOOKUP(TEXT(O9,"0"),CONDUCTORES!$A$3:$G$100,7,0),"")</f>
        <v/>
      </c>
      <c r="L9" s="340" t="n">
        <v>17.95</v>
      </c>
      <c r="M9" s="340" t="n">
        <v>5</v>
      </c>
      <c r="N9" s="333">
        <f>IFERROR(IF(L9*M9=0,"",L9*M9),"")</f>
        <v/>
      </c>
      <c r="O9" s="334" t="n"/>
      <c r="P9" s="332">
        <f>IFERROR(VLOOKUP(TEXT(O9,"0"),CONDUCTORES!$A$3:$G$100,2,0),"")</f>
        <v/>
      </c>
      <c r="Q9" s="332">
        <f>IFERROR(VLOOKUP(TEXT(O9,"0"),CONDUCTORES!$A$3:$H$100,6,0),"")</f>
        <v/>
      </c>
      <c r="R9" s="339" t="n">
        <v>45874</v>
      </c>
      <c r="S9" s="338" t="inlineStr">
        <is>
          <t>O800,Z349</t>
        </is>
      </c>
      <c r="T9" s="337" t="n"/>
      <c r="U9" s="341" t="n"/>
      <c r="V9" s="337" t="inlineStr">
        <is>
          <t>3691-2025</t>
        </is>
      </c>
      <c r="W9" s="337" t="inlineStr">
        <is>
          <t>adenda 1421-2025</t>
        </is>
      </c>
      <c r="X9" s="337" t="inlineStr">
        <is>
          <t>82.0</t>
        </is>
      </c>
      <c r="Y9" s="280" t="n"/>
    </row>
    <row r="10" ht="15.75" customHeight="1" s="195">
      <c r="A10" s="337" t="n">
        <v>5</v>
      </c>
      <c r="B10" s="338" t="inlineStr">
        <is>
          <t>00000018</t>
        </is>
      </c>
      <c r="C10" s="337" t="inlineStr">
        <is>
          <t>REGION</t>
        </is>
      </c>
      <c r="D10" s="338" t="inlineStr">
        <is>
          <t>BECERRA CORREA NICOLAS</t>
        </is>
      </c>
      <c r="E10" s="337" t="inlineStr">
        <is>
          <t>DNI</t>
        </is>
      </c>
      <c r="F10" s="337" t="inlineStr">
        <is>
          <t>27062849</t>
        </is>
      </c>
      <c r="G10" s="339" t="n">
        <v>45831</v>
      </c>
      <c r="H10" s="337" t="inlineStr">
        <is>
          <t>4937</t>
        </is>
      </c>
      <c r="I10" s="332">
        <f>IFERROR(VLOOKUP(TEXT(H10,"0"),IPRESS!$A$3:$B$212,2,0),"")</f>
        <v/>
      </c>
      <c r="J10" s="337" t="inlineStr">
        <is>
          <t>4932</t>
        </is>
      </c>
      <c r="K10" s="332">
        <f>IFERROR(VLOOKUP(TEXT(O10,"0"),CONDUCTORES!$A$3:$G$100,7,0),"")</f>
        <v/>
      </c>
      <c r="L10" s="340" t="n">
        <v>17.95</v>
      </c>
      <c r="M10" s="340" t="n">
        <v>5</v>
      </c>
      <c r="N10" s="333">
        <f>IFERROR(IF(L10*M10=0,"",L10*M10),"")</f>
        <v/>
      </c>
      <c r="O10" s="280" t="n"/>
      <c r="P10" s="332">
        <f>IFERROR(VLOOKUP(TEXT(O10,"0"),CONDUCTORES!$A$3:$G$100,2,0),"")</f>
        <v/>
      </c>
      <c r="Q10" s="332">
        <f>IFERROR(VLOOKUP(TEXT(O10,"0"),CONDUCTORES!$A$3:$H$100,6,0),"")</f>
        <v/>
      </c>
      <c r="R10" s="339" t="n">
        <v>45874</v>
      </c>
      <c r="S10" s="338" t="inlineStr">
        <is>
          <t>X228,X208</t>
        </is>
      </c>
      <c r="T10" s="337" t="n"/>
      <c r="U10" s="341" t="n"/>
      <c r="V10" s="337" t="inlineStr">
        <is>
          <t>3691-2025</t>
        </is>
      </c>
      <c r="W10" s="337" t="inlineStr">
        <is>
          <t>adenda 1421-2025</t>
        </is>
      </c>
      <c r="X10" s="337" t="inlineStr">
        <is>
          <t>82.0</t>
        </is>
      </c>
      <c r="Y10" s="280" t="n"/>
    </row>
    <row r="11" ht="15.75" customHeight="1" s="195">
      <c r="A11" s="337" t="n">
        <v>6</v>
      </c>
      <c r="B11" s="338" t="inlineStr">
        <is>
          <t>00000019</t>
        </is>
      </c>
      <c r="C11" s="337" t="inlineStr">
        <is>
          <t>REGION</t>
        </is>
      </c>
      <c r="D11" s="338" t="inlineStr">
        <is>
          <t>LOPEZ NUNCEVAY YRENE</t>
        </is>
      </c>
      <c r="E11" s="337" t="inlineStr">
        <is>
          <t>DNI</t>
        </is>
      </c>
      <c r="F11" s="337" t="inlineStr">
        <is>
          <t>833852</t>
        </is>
      </c>
      <c r="G11" s="339" t="n">
        <v>45832</v>
      </c>
      <c r="H11" s="337" t="inlineStr">
        <is>
          <t>4937</t>
        </is>
      </c>
      <c r="I11" s="332">
        <f>IFERROR(VLOOKUP(TEXT(H11,"0"),IPRESS!$A$3:$B$212,2,0),"")</f>
        <v/>
      </c>
      <c r="J11" s="337" t="inlineStr">
        <is>
          <t>4932</t>
        </is>
      </c>
      <c r="K11" s="332">
        <f>IFERROR(VLOOKUP(TEXT(O11,"0"),CONDUCTORES!$A$3:$G$100,7,0),"")</f>
        <v/>
      </c>
      <c r="L11" s="340" t="n">
        <v>17.95</v>
      </c>
      <c r="M11" s="340" t="n">
        <v>5</v>
      </c>
      <c r="N11" s="333">
        <f>IFERROR(IF(L11*M11=0,"",L11*M11),"")</f>
        <v/>
      </c>
      <c r="O11" s="334" t="n"/>
      <c r="P11" s="332">
        <f>IFERROR(VLOOKUP(TEXT(O11,"0"),CONDUCTORES!$A$3:$G$100,2,0),"")</f>
        <v/>
      </c>
      <c r="Q11" s="332">
        <f>IFERROR(VLOOKUP(TEXT(O11,"0"),CONDUCTORES!$A$3:$H$100,6,0),"")</f>
        <v/>
      </c>
      <c r="R11" s="339" t="n">
        <v>45874</v>
      </c>
      <c r="S11" s="338" t="inlineStr">
        <is>
          <t>E119,I10X,E111</t>
        </is>
      </c>
      <c r="T11" s="337" t="n"/>
      <c r="U11" s="341" t="n"/>
      <c r="V11" s="337" t="inlineStr">
        <is>
          <t>3691-2025</t>
        </is>
      </c>
      <c r="W11" s="337" t="inlineStr">
        <is>
          <t>adenda 1421-2025</t>
        </is>
      </c>
      <c r="X11" s="337" t="inlineStr">
        <is>
          <t>82.0</t>
        </is>
      </c>
      <c r="Y11" s="280" t="n"/>
    </row>
    <row r="12" ht="15.75" customHeight="1" s="195">
      <c r="A12" s="337" t="n">
        <v>7</v>
      </c>
      <c r="B12" s="338" t="inlineStr">
        <is>
          <t>00000020</t>
        </is>
      </c>
      <c r="C12" s="337" t="inlineStr">
        <is>
          <t>REGION</t>
        </is>
      </c>
      <c r="D12" s="338" t="inlineStr">
        <is>
          <t>POMPA PEREZ ARELITA</t>
        </is>
      </c>
      <c r="E12" s="337" t="inlineStr">
        <is>
          <t>DNI</t>
        </is>
      </c>
      <c r="F12" s="337" t="inlineStr">
        <is>
          <t>46833533</t>
        </is>
      </c>
      <c r="G12" s="339" t="n">
        <v>45832</v>
      </c>
      <c r="H12" s="337" t="inlineStr">
        <is>
          <t>4937</t>
        </is>
      </c>
      <c r="I12" s="332">
        <f>IFERROR(VLOOKUP(TEXT(H12,"0"),IPRESS!$A$3:$B$212,2,0),"")</f>
        <v/>
      </c>
      <c r="J12" s="337" t="inlineStr">
        <is>
          <t>4932</t>
        </is>
      </c>
      <c r="K12" s="332">
        <f>IFERROR(VLOOKUP(TEXT(O12,"0"),CONDUCTORES!$A$3:$G$100,7,0),"")</f>
        <v/>
      </c>
      <c r="L12" s="340" t="n">
        <v>17.95</v>
      </c>
      <c r="M12" s="340" t="n">
        <v>5</v>
      </c>
      <c r="N12" s="333">
        <f>IFERROR(IF(L12*M12=0,"",L12*M12),"")</f>
        <v/>
      </c>
      <c r="O12" s="280" t="n"/>
      <c r="P12" s="332">
        <f>IFERROR(VLOOKUP(TEXT(O12,"0"),CONDUCTORES!$A$3:$G$100,2,0),"")</f>
        <v/>
      </c>
      <c r="Q12" s="332">
        <f>IFERROR(VLOOKUP(TEXT(O12,"0"),CONDUCTORES!$A$3:$H$100,6,0),"")</f>
        <v/>
      </c>
      <c r="R12" s="339" t="n">
        <v>45874</v>
      </c>
      <c r="S12" s="338" t="inlineStr">
        <is>
          <t>O800,Z349</t>
        </is>
      </c>
      <c r="T12" s="337" t="n"/>
      <c r="U12" s="341" t="n"/>
      <c r="V12" s="337" t="inlineStr">
        <is>
          <t>3691-2025</t>
        </is>
      </c>
      <c r="W12" s="337" t="inlineStr">
        <is>
          <t>adenda 1421-2025</t>
        </is>
      </c>
      <c r="X12" s="337" t="inlineStr">
        <is>
          <t>82.0</t>
        </is>
      </c>
      <c r="Y12" s="280" t="n"/>
    </row>
    <row r="13" ht="15.75" customHeight="1" s="195">
      <c r="A13" s="241" t="n">
        <v>8</v>
      </c>
      <c r="B13" s="305" t="inlineStr">
        <is>
          <t>00000002</t>
        </is>
      </c>
      <c r="C13" s="241" t="inlineStr">
        <is>
          <t>REGION</t>
        </is>
      </c>
      <c r="D13" s="305" t="inlineStr">
        <is>
          <t>ROJAS MARTINEZ ZULY JUDITH</t>
        </is>
      </c>
      <c r="E13" s="241" t="inlineStr">
        <is>
          <t>DNI</t>
        </is>
      </c>
      <c r="F13" s="241" t="inlineStr">
        <is>
          <t>60354000</t>
        </is>
      </c>
      <c r="G13" s="336" t="n">
        <v>45817</v>
      </c>
      <c r="H13" s="241" t="inlineStr">
        <is>
          <t>4873</t>
        </is>
      </c>
      <c r="I13" s="332">
        <f>IFERROR(VLOOKUP(TEXT(H13,"0"),IPRESS!$A$3:$B$212,2,0),"")</f>
        <v/>
      </c>
      <c r="J13" s="241" t="inlineStr">
        <is>
          <t>5125</t>
        </is>
      </c>
      <c r="K13" s="332">
        <f>IFERROR(VLOOKUP(TEXT(O13,"0"),CONDUCTORES!$A$3:$G$100,7,0),"")</f>
        <v/>
      </c>
      <c r="L13" s="239" t="n">
        <v>18.18</v>
      </c>
      <c r="M13" s="239" t="n">
        <v>20</v>
      </c>
      <c r="N13" s="333">
        <f>IFERROR(IF(L13*M13=0,"",L13*M13),"")</f>
        <v/>
      </c>
      <c r="O13" s="334" t="n"/>
      <c r="P13" s="332">
        <f>IFERROR(VLOOKUP(TEXT(O13,"0"),CONDUCTORES!$A$3:$G$100,2,0),"")</f>
        <v/>
      </c>
      <c r="Q13" s="332">
        <f>IFERROR(VLOOKUP(TEXT(O13,"0"),CONDUCTORES!$A$3:$H$100,6,0),"")</f>
        <v/>
      </c>
      <c r="R13" s="336" t="n">
        <v>45841</v>
      </c>
      <c r="S13" s="305" t="inlineStr">
        <is>
          <t>O05X</t>
        </is>
      </c>
      <c r="T13" s="241" t="n"/>
      <c r="U13" s="280" t="n"/>
      <c r="V13" s="241" t="n"/>
      <c r="W13" s="241" t="n"/>
      <c r="X13" s="241" t="n"/>
      <c r="Y13" s="280" t="n"/>
    </row>
    <row r="14" ht="15.75" customHeight="1" s="195">
      <c r="A14" s="301" t="n">
        <v>9</v>
      </c>
      <c r="B14" s="302" t="inlineStr">
        <is>
          <t>00000002</t>
        </is>
      </c>
      <c r="C14" s="301" t="inlineStr">
        <is>
          <t>REGION</t>
        </is>
      </c>
      <c r="D14" s="302" t="inlineStr">
        <is>
          <t>PELAEZ MUÑOZ ROSA LUCIDA</t>
        </is>
      </c>
      <c r="E14" s="301" t="inlineStr">
        <is>
          <t>DNI</t>
        </is>
      </c>
      <c r="F14" s="301" t="inlineStr">
        <is>
          <t>33413364</t>
        </is>
      </c>
      <c r="G14" s="331" t="n">
        <v>45814</v>
      </c>
      <c r="H14" s="301" t="inlineStr">
        <is>
          <t>4858</t>
        </is>
      </c>
      <c r="I14" s="332">
        <f>IFERROR(VLOOKUP(TEXT(H14,"0"),IPRESS!$A$3:$B$212,2,0),"")</f>
        <v/>
      </c>
      <c r="J14" s="301" t="inlineStr">
        <is>
          <t>4838</t>
        </is>
      </c>
      <c r="K14" s="332">
        <f>IFERROR(VLOOKUP(TEXT(O14,"0"),CONDUCTORES!$A$3:$G$100,7,0),"")</f>
        <v/>
      </c>
      <c r="L14" s="245" t="n">
        <v>18.18</v>
      </c>
      <c r="M14" s="245" t="n">
        <v>15</v>
      </c>
      <c r="N14" s="333">
        <f>IFERROR(IF(L14*M14=0,"",L14*M14),"")</f>
        <v/>
      </c>
      <c r="O14" s="280" t="n"/>
      <c r="P14" s="332">
        <f>IFERROR(VLOOKUP(TEXT(O14,"0"),CONDUCTORES!$A$3:$G$100,2,0),"")</f>
        <v/>
      </c>
      <c r="Q14" s="332">
        <f>IFERROR(VLOOKUP(TEXT(O14,"0"),CONDUCTORES!$A$3:$H$100,6,0),"")</f>
        <v/>
      </c>
      <c r="R14" s="331" t="n">
        <v>45827</v>
      </c>
      <c r="S14" s="302" t="inlineStr">
        <is>
          <t>K805,K564</t>
        </is>
      </c>
      <c r="T14" s="301" t="n"/>
      <c r="U14" s="334" t="n"/>
      <c r="V14" s="301" t="n"/>
      <c r="W14" s="301" t="n"/>
      <c r="X14" s="301" t="n"/>
      <c r="Y14" s="280" t="n"/>
    </row>
    <row r="15" ht="15.75" customHeight="1" s="195">
      <c r="A15" s="241" t="n">
        <v>10</v>
      </c>
      <c r="B15" s="305" t="inlineStr">
        <is>
          <t>00000003</t>
        </is>
      </c>
      <c r="C15" s="241" t="inlineStr">
        <is>
          <t>REGION</t>
        </is>
      </c>
      <c r="D15" s="305" t="inlineStr">
        <is>
          <t>ZABALETA CHANCAHUANA NEISER ROBERT</t>
        </is>
      </c>
      <c r="E15" s="241" t="inlineStr">
        <is>
          <t>DNI</t>
        </is>
      </c>
      <c r="F15" s="241" t="inlineStr">
        <is>
          <t>33413170</t>
        </is>
      </c>
      <c r="G15" s="336" t="n">
        <v>45833</v>
      </c>
      <c r="H15" s="241" t="inlineStr">
        <is>
          <t>4858</t>
        </is>
      </c>
      <c r="I15" s="332">
        <f>IFERROR(VLOOKUP(TEXT(H15,"0"),IPRESS!$A$3:$B$212,2,0),"")</f>
        <v/>
      </c>
      <c r="J15" s="241" t="inlineStr">
        <is>
          <t>4838</t>
        </is>
      </c>
      <c r="K15" s="332">
        <f>IFERROR(VLOOKUP(TEXT(O15,"0"),CONDUCTORES!$A$3:$G$100,7,0),"")</f>
        <v/>
      </c>
      <c r="L15" s="239" t="n">
        <v>18.18</v>
      </c>
      <c r="M15" s="239" t="n">
        <v>15</v>
      </c>
      <c r="N15" s="333">
        <f>IFERROR(IF(L15*M15=0,"",L15*M15),"")</f>
        <v/>
      </c>
      <c r="O15" s="334" t="n"/>
      <c r="P15" s="332">
        <f>IFERROR(VLOOKUP(TEXT(O15,"0"),CONDUCTORES!$A$3:$G$100,2,0),"")</f>
        <v/>
      </c>
      <c r="Q15" s="332">
        <f>IFERROR(VLOOKUP(TEXT(O15,"0"),CONDUCTORES!$A$3:$H$100,6,0),"")</f>
        <v/>
      </c>
      <c r="R15" s="280" t="inlineStr">
        <is>
          <t>VERIFICAR POR QUE LO DIERON GASOLINA18/08/2025</t>
        </is>
      </c>
      <c r="S15" s="305" t="inlineStr">
        <is>
          <t>S829,S632</t>
        </is>
      </c>
      <c r="T15" s="241" t="n"/>
      <c r="U15" s="280" t="n"/>
      <c r="V15" s="241" t="n"/>
      <c r="W15" s="241" t="n"/>
      <c r="X15" s="241" t="n"/>
      <c r="Y15" s="280" t="n"/>
    </row>
    <row r="16" ht="15.75" customHeight="1" s="195">
      <c r="A16" s="337" t="n">
        <v>11</v>
      </c>
      <c r="B16" s="338" t="inlineStr">
        <is>
          <t>00000003</t>
        </is>
      </c>
      <c r="C16" s="337" t="inlineStr">
        <is>
          <t>REGION</t>
        </is>
      </c>
      <c r="D16" s="338" t="inlineStr">
        <is>
          <t>MAYTA MEJIA ROSA MAGNA</t>
        </is>
      </c>
      <c r="E16" s="337" t="inlineStr">
        <is>
          <t>DNI</t>
        </is>
      </c>
      <c r="F16" s="337" t="inlineStr">
        <is>
          <t>43773976</t>
        </is>
      </c>
      <c r="G16" s="339" t="n">
        <v>45827</v>
      </c>
      <c r="H16" s="337" t="inlineStr">
        <is>
          <t>4885</t>
        </is>
      </c>
      <c r="I16" s="332">
        <f>IFERROR(VLOOKUP(TEXT(H16,"0"),IPRESS!$A$3:$B$212,2,0),"")</f>
        <v/>
      </c>
      <c r="J16" s="337" t="inlineStr">
        <is>
          <t>4838</t>
        </is>
      </c>
      <c r="K16" s="332">
        <f>IFERROR(VLOOKUP(TEXT(O16,"0"),CONDUCTORES!$A$3:$G$100,7,0),"")</f>
        <v/>
      </c>
      <c r="L16" s="340" t="n">
        <v>17.95</v>
      </c>
      <c r="M16" s="340" t="n">
        <v>21</v>
      </c>
      <c r="N16" s="333">
        <f>IFERROR(IF(L16*M16=0,"",L16*M16),"")</f>
        <v/>
      </c>
      <c r="O16" s="280" t="n"/>
      <c r="P16" s="332">
        <f>IFERROR(VLOOKUP(TEXT(O16,"0"),CONDUCTORES!$A$3:$G$100,2,0),"")</f>
        <v/>
      </c>
      <c r="Q16" s="332">
        <f>IFERROR(VLOOKUP(TEXT(O16,"0"),CONDUCTORES!$A$3:$H$100,6,0),"")</f>
        <v/>
      </c>
      <c r="R16" s="341" t="n"/>
      <c r="S16" s="338" t="inlineStr">
        <is>
          <t>O034</t>
        </is>
      </c>
      <c r="T16" s="337" t="n"/>
      <c r="U16" s="341" t="n"/>
      <c r="V16" s="337" t="n"/>
      <c r="W16" s="337" t="n"/>
      <c r="X16" s="337" t="n"/>
      <c r="Y16" s="280" t="n"/>
    </row>
    <row r="17" ht="15.75" customHeight="1" s="195">
      <c r="A17" s="241" t="n">
        <v>12</v>
      </c>
      <c r="B17" s="305" t="inlineStr">
        <is>
          <t>00000001</t>
        </is>
      </c>
      <c r="C17" s="241" t="inlineStr">
        <is>
          <t>REGION</t>
        </is>
      </c>
      <c r="D17" s="305" t="inlineStr">
        <is>
          <t>GRANDEZ GUELAC LUCINDA</t>
        </is>
      </c>
      <c r="E17" s="241" t="inlineStr">
        <is>
          <t>DNI</t>
        </is>
      </c>
      <c r="F17" s="241" t="inlineStr">
        <is>
          <t>60364460</t>
        </is>
      </c>
      <c r="G17" s="336" t="n">
        <v>45830</v>
      </c>
      <c r="H17" s="241" t="inlineStr">
        <is>
          <t>7379</t>
        </is>
      </c>
      <c r="I17" s="332">
        <f>IFERROR(VLOOKUP(TEXT(H17,"0"),IPRESS!$A$3:$B$212,2,0),"")</f>
        <v/>
      </c>
      <c r="J17" s="241" t="inlineStr">
        <is>
          <t>4838</t>
        </is>
      </c>
      <c r="K17" s="332">
        <f>IFERROR(VLOOKUP(TEXT(O17,"0"),CONDUCTORES!$A$3:$G$100,7,0),"")</f>
        <v/>
      </c>
      <c r="L17" s="239" t="n">
        <v>18.18</v>
      </c>
      <c r="M17" s="239" t="n">
        <v>6</v>
      </c>
      <c r="N17" s="333">
        <f>IFERROR(IF(L17*M17=0,"",L17*M17),"")</f>
        <v/>
      </c>
      <c r="O17" s="334" t="n"/>
      <c r="P17" s="332">
        <f>IFERROR(VLOOKUP(TEXT(O17,"0"),CONDUCTORES!$A$3:$G$100,2,0),"")</f>
        <v/>
      </c>
      <c r="Q17" s="332">
        <f>IFERROR(VLOOKUP(TEXT(O17,"0"),CONDUCTORES!$A$3:$H$100,6,0),"")</f>
        <v/>
      </c>
      <c r="R17" s="336" t="n">
        <v>45950</v>
      </c>
      <c r="S17" s="305" t="inlineStr">
        <is>
          <t>Z359,P059</t>
        </is>
      </c>
      <c r="T17" s="241" t="n"/>
      <c r="U17" s="280" t="n"/>
      <c r="V17" s="241" t="inlineStr">
        <is>
          <t>5230-2025</t>
        </is>
      </c>
      <c r="W17" s="241" t="inlineStr">
        <is>
          <t>CONTRATO No 001-2025 DYT</t>
        </is>
      </c>
      <c r="X17" s="241" t="inlineStr">
        <is>
          <t>266.0</t>
        </is>
      </c>
      <c r="Y17" s="280" t="n"/>
    </row>
    <row r="18" ht="15.75" customHeight="1" s="195">
      <c r="A18" s="301" t="n">
        <v>13</v>
      </c>
      <c r="B18" s="302" t="inlineStr">
        <is>
          <t>00000126</t>
        </is>
      </c>
      <c r="C18" s="301" t="inlineStr">
        <is>
          <t>REGION</t>
        </is>
      </c>
      <c r="D18" s="302" t="inlineStr">
        <is>
          <t>LOPEZ PORTOCARRERO NILSER</t>
        </is>
      </c>
      <c r="E18" s="301" t="inlineStr">
        <is>
          <t>DNI</t>
        </is>
      </c>
      <c r="F18" s="301" t="inlineStr">
        <is>
          <t>76776977</t>
        </is>
      </c>
      <c r="G18" s="331" t="n">
        <v>45809</v>
      </c>
      <c r="H18" s="301" t="inlineStr">
        <is>
          <t>4950</t>
        </is>
      </c>
      <c r="I18" s="332">
        <f>IFERROR(VLOOKUP(TEXT(H18,"0"),IPRESS!$A$3:$B$212,2,0),"")</f>
        <v/>
      </c>
      <c r="J18" s="301" t="inlineStr">
        <is>
          <t>4838</t>
        </is>
      </c>
      <c r="K18" s="332">
        <f>IFERROR(VLOOKUP(TEXT(O18,"0"),CONDUCTORES!$A$3:$G$100,7,0),"")</f>
        <v/>
      </c>
      <c r="L18" s="245" t="n">
        <v>20.25</v>
      </c>
      <c r="M18" s="245" t="n">
        <v>7</v>
      </c>
      <c r="N18" s="333">
        <f>IFERROR(IF(L18*M18=0,"",L18*M18),"")</f>
        <v/>
      </c>
      <c r="O18" s="280" t="n"/>
      <c r="P18" s="332">
        <f>IFERROR(VLOOKUP(TEXT(O18,"0"),CONDUCTORES!$A$3:$G$100,2,0),"")</f>
        <v/>
      </c>
      <c r="Q18" s="332">
        <f>IFERROR(VLOOKUP(TEXT(O18,"0"),CONDUCTORES!$A$3:$H$100,6,0),"")</f>
        <v/>
      </c>
      <c r="R18" s="334" t="inlineStr">
        <is>
          <t>ENTREGADO 17/06/2025</t>
        </is>
      </c>
      <c r="S18" s="302" t="inlineStr">
        <is>
          <t>S823,S824</t>
        </is>
      </c>
      <c r="T18" s="301" t="n"/>
      <c r="U18" s="334" t="n"/>
      <c r="V18" s="301" t="n"/>
      <c r="W18" s="301" t="inlineStr">
        <is>
          <t>3479.0</t>
        </is>
      </c>
      <c r="X18" s="301" t="inlineStr">
        <is>
          <t>189.0</t>
        </is>
      </c>
      <c r="Y18" s="280" t="n"/>
    </row>
    <row r="19" ht="15.75" customHeight="1" s="195">
      <c r="A19" s="241" t="n">
        <v>14</v>
      </c>
      <c r="B19" s="305" t="inlineStr">
        <is>
          <t>00000125</t>
        </is>
      </c>
      <c r="C19" s="241" t="inlineStr">
        <is>
          <t>REGION</t>
        </is>
      </c>
      <c r="D19" s="305" t="inlineStr">
        <is>
          <t>AGUILAR COLLAZOS JOSE JULIAN</t>
        </is>
      </c>
      <c r="E19" s="241" t="inlineStr">
        <is>
          <t>DNI</t>
        </is>
      </c>
      <c r="F19" s="241" t="inlineStr">
        <is>
          <t>33952517</t>
        </is>
      </c>
      <c r="G19" s="336" t="n">
        <v>45809</v>
      </c>
      <c r="H19" s="241" t="inlineStr">
        <is>
          <t>4950</t>
        </is>
      </c>
      <c r="I19" s="332">
        <f>IFERROR(VLOOKUP(TEXT(H19,"0"),IPRESS!$A$3:$B$212,2,0),"")</f>
        <v/>
      </c>
      <c r="J19" s="241" t="inlineStr">
        <is>
          <t>4838</t>
        </is>
      </c>
      <c r="K19" s="332">
        <f>IFERROR(VLOOKUP(TEXT(O19,"0"),CONDUCTORES!$A$3:$G$100,7,0),"")</f>
        <v/>
      </c>
      <c r="L19" s="239" t="n">
        <v>20.25</v>
      </c>
      <c r="M19" s="239" t="n">
        <v>7</v>
      </c>
      <c r="N19" s="333">
        <f>IFERROR(IF(L19*M19=0,"",L19*M19),"")</f>
        <v/>
      </c>
      <c r="O19" s="334" t="n"/>
      <c r="P19" s="332">
        <f>IFERROR(VLOOKUP(TEXT(O19,"0"),CONDUCTORES!$A$3:$G$100,2,0),"")</f>
        <v/>
      </c>
      <c r="Q19" s="332">
        <f>IFERROR(VLOOKUP(TEXT(O19,"0"),CONDUCTORES!$A$3:$H$100,6,0),"")</f>
        <v/>
      </c>
      <c r="R19" s="280" t="inlineStr">
        <is>
          <t>ENTREGADO 17/06/2025</t>
        </is>
      </c>
      <c r="S19" s="305" t="inlineStr">
        <is>
          <t>H440,I10X,J159</t>
        </is>
      </c>
      <c r="T19" s="241" t="n"/>
      <c r="U19" s="280" t="n"/>
      <c r="V19" s="241" t="n"/>
      <c r="W19" s="241" t="inlineStr">
        <is>
          <t>3479.0</t>
        </is>
      </c>
      <c r="X19" s="241" t="inlineStr">
        <is>
          <t>189.0</t>
        </is>
      </c>
      <c r="Y19" s="280" t="n"/>
    </row>
    <row r="20" ht="15.75" customHeight="1" s="195">
      <c r="A20" s="301" t="n">
        <v>15</v>
      </c>
      <c r="B20" s="302" t="inlineStr">
        <is>
          <t>00000127</t>
        </is>
      </c>
      <c r="C20" s="301" t="inlineStr">
        <is>
          <t>REGION</t>
        </is>
      </c>
      <c r="D20" s="302" t="inlineStr">
        <is>
          <t>ESPICHAN CHUQUIPIONDO CARMEN ROSARIO</t>
        </is>
      </c>
      <c r="E20" s="301" t="inlineStr">
        <is>
          <t>DNI</t>
        </is>
      </c>
      <c r="F20" s="301" t="inlineStr">
        <is>
          <t>33429636</t>
        </is>
      </c>
      <c r="G20" s="331" t="n">
        <v>45810</v>
      </c>
      <c r="H20" s="301" t="inlineStr">
        <is>
          <t>4950</t>
        </is>
      </c>
      <c r="I20" s="332">
        <f>IFERROR(VLOOKUP(TEXT(H20,"0"),IPRESS!$A$3:$B$212,2,0),"")</f>
        <v/>
      </c>
      <c r="J20" s="301" t="inlineStr">
        <is>
          <t>4838</t>
        </is>
      </c>
      <c r="K20" s="332">
        <f>IFERROR(VLOOKUP(TEXT(O20,"0"),CONDUCTORES!$A$3:$G$100,7,0),"")</f>
        <v/>
      </c>
      <c r="L20" s="245" t="n">
        <v>20.25</v>
      </c>
      <c r="M20" s="245" t="n">
        <v>10</v>
      </c>
      <c r="N20" s="333">
        <f>IFERROR(IF(L20*M20=0,"",L20*M20),"")</f>
        <v/>
      </c>
      <c r="O20" s="280" t="n"/>
      <c r="P20" s="332">
        <f>IFERROR(VLOOKUP(TEXT(O20,"0"),CONDUCTORES!$A$3:$G$100,2,0),"")</f>
        <v/>
      </c>
      <c r="Q20" s="332">
        <f>IFERROR(VLOOKUP(TEXT(O20,"0"),CONDUCTORES!$A$3:$H$100,6,0),"")</f>
        <v/>
      </c>
      <c r="R20" s="334" t="inlineStr">
        <is>
          <t>ENTREGADO 17/06/2025</t>
        </is>
      </c>
      <c r="S20" s="302" t="inlineStr">
        <is>
          <t>I679,I10X</t>
        </is>
      </c>
      <c r="T20" s="301" t="n"/>
      <c r="U20" s="334" t="n"/>
      <c r="V20" s="301" t="n"/>
      <c r="W20" s="301" t="inlineStr">
        <is>
          <t>3479.0</t>
        </is>
      </c>
      <c r="X20" s="301" t="inlineStr">
        <is>
          <t>189.0</t>
        </is>
      </c>
      <c r="Y20" s="280" t="n"/>
    </row>
    <row r="21" ht="15.75" customHeight="1" s="195">
      <c r="A21" s="241" t="n">
        <v>16</v>
      </c>
      <c r="B21" s="305" t="inlineStr">
        <is>
          <t>00000128</t>
        </is>
      </c>
      <c r="C21" s="241" t="inlineStr">
        <is>
          <t>REGION</t>
        </is>
      </c>
      <c r="D21" s="305" t="inlineStr">
        <is>
          <t>PORTOCARRERO CALDERON JOSE</t>
        </is>
      </c>
      <c r="E21" s="241" t="inlineStr">
        <is>
          <t>DNI</t>
        </is>
      </c>
      <c r="F21" s="241" t="inlineStr">
        <is>
          <t>33950485</t>
        </is>
      </c>
      <c r="G21" s="336" t="n">
        <v>45812</v>
      </c>
      <c r="H21" s="241" t="inlineStr">
        <is>
          <t>4950</t>
        </is>
      </c>
      <c r="I21" s="332">
        <f>IFERROR(VLOOKUP(TEXT(H21,"0"),IPRESS!$A$3:$B$212,2,0),"")</f>
        <v/>
      </c>
      <c r="J21" s="241" t="inlineStr">
        <is>
          <t>4838</t>
        </is>
      </c>
      <c r="K21" s="332">
        <f>IFERROR(VLOOKUP(TEXT(O21,"0"),CONDUCTORES!$A$3:$G$100,7,0),"")</f>
        <v/>
      </c>
      <c r="L21" s="239" t="n">
        <v>20.25</v>
      </c>
      <c r="M21" s="239" t="n">
        <v>6</v>
      </c>
      <c r="N21" s="333">
        <f>IFERROR(IF(L21*M21=0,"",L21*M21),"")</f>
        <v/>
      </c>
      <c r="O21" s="334" t="n"/>
      <c r="P21" s="332">
        <f>IFERROR(VLOOKUP(TEXT(O21,"0"),CONDUCTORES!$A$3:$G$100,2,0),"")</f>
        <v/>
      </c>
      <c r="Q21" s="332">
        <f>IFERROR(VLOOKUP(TEXT(O21,"0"),CONDUCTORES!$A$3:$H$100,6,0),"")</f>
        <v/>
      </c>
      <c r="R21" s="280" t="inlineStr">
        <is>
          <t>ENTREGADO 17/06/2025</t>
        </is>
      </c>
      <c r="S21" s="305" t="inlineStr">
        <is>
          <t>J960,I10X,J159</t>
        </is>
      </c>
      <c r="T21" s="241" t="n"/>
      <c r="U21" s="280" t="n"/>
      <c r="V21" s="241" t="n"/>
      <c r="W21" s="241" t="inlineStr">
        <is>
          <t>3479.0</t>
        </is>
      </c>
      <c r="X21" s="241" t="inlineStr">
        <is>
          <t>189.0</t>
        </is>
      </c>
      <c r="Y21" s="280" t="n"/>
    </row>
    <row r="22" ht="15.75" customHeight="1" s="195">
      <c r="A22" s="301" t="n">
        <v>17</v>
      </c>
      <c r="B22" s="302" t="inlineStr">
        <is>
          <t>00000129</t>
        </is>
      </c>
      <c r="C22" s="301" t="inlineStr">
        <is>
          <t>REGION</t>
        </is>
      </c>
      <c r="D22" s="302" t="inlineStr">
        <is>
          <t>ARISTA TAFUR MARCIA ABIGAIL</t>
        </is>
      </c>
      <c r="E22" s="301" t="inlineStr">
        <is>
          <t>DNI</t>
        </is>
      </c>
      <c r="F22" s="301" t="inlineStr">
        <is>
          <t>80813236</t>
        </is>
      </c>
      <c r="G22" s="331" t="n">
        <v>45816</v>
      </c>
      <c r="H22" s="301" t="inlineStr">
        <is>
          <t>4838</t>
        </is>
      </c>
      <c r="I22" s="332">
        <f>IFERROR(VLOOKUP(TEXT(H22,"0"),IPRESS!$A$3:$B$212,2,0),"")</f>
        <v/>
      </c>
      <c r="J22" s="301" t="inlineStr">
        <is>
          <t>4838</t>
        </is>
      </c>
      <c r="K22" s="332">
        <f>IFERROR(VLOOKUP(TEXT(O22,"0"),CONDUCTORES!$A$3:$G$100,7,0),"")</f>
        <v/>
      </c>
      <c r="L22" s="245" t="n">
        <v>20.25</v>
      </c>
      <c r="M22" s="245" t="n">
        <v>6</v>
      </c>
      <c r="N22" s="333">
        <f>IFERROR(IF(L22*M22=0,"",L22*M22),"")</f>
        <v/>
      </c>
      <c r="O22" s="280" t="n"/>
      <c r="P22" s="332">
        <f>IFERROR(VLOOKUP(TEXT(O22,"0"),CONDUCTORES!$A$3:$G$100,2,0),"")</f>
        <v/>
      </c>
      <c r="Q22" s="332">
        <f>IFERROR(VLOOKUP(TEXT(O22,"0"),CONDUCTORES!$A$3:$H$100,6,0),"")</f>
        <v/>
      </c>
      <c r="R22" s="334" t="inlineStr">
        <is>
          <t>ENTREGADO 17/06/2025</t>
        </is>
      </c>
      <c r="S22" s="302" t="inlineStr">
        <is>
          <t>K359</t>
        </is>
      </c>
      <c r="T22" s="301" t="n"/>
      <c r="U22" s="334" t="n"/>
      <c r="V22" s="301" t="n"/>
      <c r="W22" s="301" t="inlineStr">
        <is>
          <t>3479.0</t>
        </is>
      </c>
      <c r="X22" s="301" t="inlineStr">
        <is>
          <t>189.0</t>
        </is>
      </c>
      <c r="Y22" s="280" t="n"/>
    </row>
    <row r="23" ht="15.75" customHeight="1" s="195">
      <c r="A23" s="241" t="n">
        <v>18</v>
      </c>
      <c r="B23" s="305" t="inlineStr">
        <is>
          <t>00000130</t>
        </is>
      </c>
      <c r="C23" s="241" t="inlineStr">
        <is>
          <t>REGION</t>
        </is>
      </c>
      <c r="D23" s="305" t="inlineStr">
        <is>
          <t>ANGELES LOPEZ YOVANITA</t>
        </is>
      </c>
      <c r="E23" s="241" t="inlineStr">
        <is>
          <t>DNI</t>
        </is>
      </c>
      <c r="F23" s="241" t="inlineStr">
        <is>
          <t>76366677</t>
        </is>
      </c>
      <c r="G23" s="336" t="n">
        <v>45818</v>
      </c>
      <c r="H23" s="241" t="inlineStr">
        <is>
          <t>4838</t>
        </is>
      </c>
      <c r="I23" s="332">
        <f>IFERROR(VLOOKUP(TEXT(H23,"0"),IPRESS!$A$3:$B$212,2,0),"")</f>
        <v/>
      </c>
      <c r="J23" s="241" t="inlineStr">
        <is>
          <t>4838</t>
        </is>
      </c>
      <c r="K23" s="332">
        <f>IFERROR(VLOOKUP(TEXT(O23,"0"),CONDUCTORES!$A$3:$G$100,7,0),"")</f>
        <v/>
      </c>
      <c r="L23" s="239" t="n">
        <v>20.25</v>
      </c>
      <c r="M23" s="239" t="n">
        <v>7</v>
      </c>
      <c r="N23" s="333">
        <f>IFERROR(IF(L23*M23=0,"",L23*M23),"")</f>
        <v/>
      </c>
      <c r="O23" s="334" t="n"/>
      <c r="P23" s="332">
        <f>IFERROR(VLOOKUP(TEXT(O23,"0"),CONDUCTORES!$A$3:$G$100,2,0),"")</f>
        <v/>
      </c>
      <c r="Q23" s="332">
        <f>IFERROR(VLOOKUP(TEXT(O23,"0"),CONDUCTORES!$A$3:$H$100,6,0),"")</f>
        <v/>
      </c>
      <c r="R23" s="280" t="inlineStr">
        <is>
          <t>ENTREGADO 17/06/2025</t>
        </is>
      </c>
      <c r="S23" s="305" t="inlineStr">
        <is>
          <t>K359,R14X,R11X</t>
        </is>
      </c>
      <c r="T23" s="241" t="n"/>
      <c r="U23" s="280" t="n"/>
      <c r="V23" s="241" t="n"/>
      <c r="W23" s="241" t="inlineStr">
        <is>
          <t>3479.0</t>
        </is>
      </c>
      <c r="X23" s="241" t="inlineStr">
        <is>
          <t>189.0</t>
        </is>
      </c>
      <c r="Y23" s="280" t="n"/>
    </row>
    <row r="24" ht="15.75" customHeight="1" s="195">
      <c r="A24" s="301" t="n">
        <v>19</v>
      </c>
      <c r="B24" s="302" t="inlineStr">
        <is>
          <t>00000134</t>
        </is>
      </c>
      <c r="C24" s="301" t="inlineStr">
        <is>
          <t>REGION</t>
        </is>
      </c>
      <c r="D24" s="302" t="inlineStr">
        <is>
          <t>SILVA ESTELA JOSE OSVER</t>
        </is>
      </c>
      <c r="E24" s="301" t="inlineStr">
        <is>
          <t>DNI</t>
        </is>
      </c>
      <c r="F24" s="301" t="inlineStr">
        <is>
          <t>74656760</t>
        </is>
      </c>
      <c r="G24" s="331" t="n">
        <v>45821</v>
      </c>
      <c r="H24" s="301" t="inlineStr">
        <is>
          <t>4950</t>
        </is>
      </c>
      <c r="I24" s="332">
        <f>IFERROR(VLOOKUP(TEXT(H24,"0"),IPRESS!$A$3:$B$212,2,0),"")</f>
        <v/>
      </c>
      <c r="J24" s="301" t="inlineStr">
        <is>
          <t>4838</t>
        </is>
      </c>
      <c r="K24" s="332">
        <f>IFERROR(VLOOKUP(TEXT(O24,"0"),CONDUCTORES!$A$3:$G$100,7,0),"")</f>
        <v/>
      </c>
      <c r="L24" s="245" t="n">
        <v>20.25</v>
      </c>
      <c r="M24" s="245" t="n">
        <v>6.7</v>
      </c>
      <c r="N24" s="333">
        <f>IFERROR(IF(L24*M24=0,"",L24*M24),"")</f>
        <v/>
      </c>
      <c r="O24" s="280" t="n"/>
      <c r="P24" s="332">
        <f>IFERROR(VLOOKUP(TEXT(O24,"0"),CONDUCTORES!$A$3:$G$100,2,0),"")</f>
        <v/>
      </c>
      <c r="Q24" s="332">
        <f>IFERROR(VLOOKUP(TEXT(O24,"0"),CONDUCTORES!$A$3:$H$100,6,0),"")</f>
        <v/>
      </c>
      <c r="R24" s="331" t="n">
        <v>45968</v>
      </c>
      <c r="S24" s="302" t="inlineStr">
        <is>
          <t>T814</t>
        </is>
      </c>
      <c r="T24" s="301" t="n"/>
      <c r="U24" s="334" t="n"/>
      <c r="V24" s="301" t="n"/>
      <c r="W24" s="301" t="n"/>
      <c r="X24" s="301" t="n"/>
      <c r="Y24" s="280" t="n"/>
    </row>
    <row r="25" ht="15.75" customHeight="1" s="195">
      <c r="A25" s="241" t="n">
        <v>20</v>
      </c>
      <c r="B25" s="305" t="inlineStr">
        <is>
          <t>00000135</t>
        </is>
      </c>
      <c r="C25" s="241" t="inlineStr">
        <is>
          <t>REGION</t>
        </is>
      </c>
      <c r="D25" s="305" t="inlineStr">
        <is>
          <t>VASQUEZ CAMPOS MARIA IRMA</t>
        </is>
      </c>
      <c r="E25" s="241" t="inlineStr">
        <is>
          <t>DNI</t>
        </is>
      </c>
      <c r="F25" s="241" t="inlineStr">
        <is>
          <t>45746074</t>
        </is>
      </c>
      <c r="G25" s="336" t="n">
        <v>45822</v>
      </c>
      <c r="H25" s="241" t="inlineStr">
        <is>
          <t>4950</t>
        </is>
      </c>
      <c r="I25" s="332">
        <f>IFERROR(VLOOKUP(TEXT(H25,"0"),IPRESS!$A$3:$B$212,2,0),"")</f>
        <v/>
      </c>
      <c r="J25" s="241" t="inlineStr">
        <is>
          <t>4838</t>
        </is>
      </c>
      <c r="K25" s="332">
        <f>IFERROR(VLOOKUP(TEXT(O25,"0"),CONDUCTORES!$A$3:$G$100,7,0),"")</f>
        <v/>
      </c>
      <c r="L25" s="239" t="n">
        <v>20.25</v>
      </c>
      <c r="M25" s="239" t="n">
        <v>5.7</v>
      </c>
      <c r="N25" s="333">
        <f>IFERROR(IF(L25*M25=0,"",L25*M25),"")</f>
        <v/>
      </c>
      <c r="O25" s="334" t="n"/>
      <c r="P25" s="332">
        <f>IFERROR(VLOOKUP(TEXT(O25,"0"),CONDUCTORES!$A$3:$G$100,2,0),"")</f>
        <v/>
      </c>
      <c r="Q25" s="332">
        <f>IFERROR(VLOOKUP(TEXT(O25,"0"),CONDUCTORES!$A$3:$H$100,6,0),"")</f>
        <v/>
      </c>
      <c r="R25" s="336" t="n">
        <v>45968</v>
      </c>
      <c r="S25" s="305" t="inlineStr">
        <is>
          <t>D509,R104,K590,K566</t>
        </is>
      </c>
      <c r="T25" s="241" t="n"/>
      <c r="U25" s="280" t="n"/>
      <c r="V25" s="241" t="n"/>
      <c r="W25" s="241" t="n"/>
      <c r="X25" s="241" t="n"/>
      <c r="Y25" s="280" t="n"/>
    </row>
    <row r="26" ht="15.75" customHeight="1" s="195">
      <c r="A26" s="301" t="n">
        <v>21</v>
      </c>
      <c r="B26" s="302" t="inlineStr">
        <is>
          <t>00000131</t>
        </is>
      </c>
      <c r="C26" s="301" t="inlineStr">
        <is>
          <t>REGION</t>
        </is>
      </c>
      <c r="D26" s="302" t="inlineStr">
        <is>
          <t>VASQUEZ GARCIA SEBERINO</t>
        </is>
      </c>
      <c r="E26" s="301" t="inlineStr">
        <is>
          <t>DNI</t>
        </is>
      </c>
      <c r="F26" s="301" t="inlineStr">
        <is>
          <t>33943203</t>
        </is>
      </c>
      <c r="G26" s="331" t="n">
        <v>45819</v>
      </c>
      <c r="H26" s="301" t="inlineStr">
        <is>
          <t>4950</t>
        </is>
      </c>
      <c r="I26" s="332">
        <f>IFERROR(VLOOKUP(TEXT(H26,"0"),IPRESS!$A$3:$B$212,2,0),"")</f>
        <v/>
      </c>
      <c r="J26" s="301" t="inlineStr">
        <is>
          <t>4838</t>
        </is>
      </c>
      <c r="K26" s="332">
        <f>IFERROR(VLOOKUP(TEXT(O26,"0"),CONDUCTORES!$A$3:$G$100,7,0),"")</f>
        <v/>
      </c>
      <c r="L26" s="245" t="n">
        <v>20.25</v>
      </c>
      <c r="M26" s="245" t="n">
        <v>7</v>
      </c>
      <c r="N26" s="333">
        <f>IFERROR(IF(L26*M26=0,"",L26*M26),"")</f>
        <v/>
      </c>
      <c r="O26" s="280" t="n"/>
      <c r="P26" s="332">
        <f>IFERROR(VLOOKUP(TEXT(O26,"0"),CONDUCTORES!$A$3:$G$100,2,0),"")</f>
        <v/>
      </c>
      <c r="Q26" s="332">
        <f>IFERROR(VLOOKUP(TEXT(O26,"0"),CONDUCTORES!$A$3:$H$100,6,0),"")</f>
        <v/>
      </c>
      <c r="R26" s="331" t="n">
        <v>45968</v>
      </c>
      <c r="S26" s="302" t="inlineStr">
        <is>
          <t>S069,H922</t>
        </is>
      </c>
      <c r="T26" s="301" t="n"/>
      <c r="U26" s="334" t="n"/>
      <c r="V26" s="301" t="n"/>
      <c r="W26" s="301" t="n"/>
      <c r="X26" s="301" t="n"/>
      <c r="Y26" s="280" t="n"/>
    </row>
    <row r="27" ht="15.75" customHeight="1" s="195">
      <c r="A27" s="241" t="n">
        <v>22</v>
      </c>
      <c r="B27" s="305" t="inlineStr">
        <is>
          <t>00000132</t>
        </is>
      </c>
      <c r="C27" s="241" t="inlineStr">
        <is>
          <t>REGION</t>
        </is>
      </c>
      <c r="D27" s="305" t="inlineStr">
        <is>
          <t>MAS ARISTA LUIS ALBERTO</t>
        </is>
      </c>
      <c r="E27" s="241" t="inlineStr">
        <is>
          <t>DNI</t>
        </is>
      </c>
      <c r="F27" s="241" t="inlineStr">
        <is>
          <t>80345157</t>
        </is>
      </c>
      <c r="G27" s="336" t="n">
        <v>45820</v>
      </c>
      <c r="H27" s="241" t="inlineStr">
        <is>
          <t>4950</t>
        </is>
      </c>
      <c r="I27" s="332">
        <f>IFERROR(VLOOKUP(TEXT(H27,"0"),IPRESS!$A$3:$B$212,2,0),"")</f>
        <v/>
      </c>
      <c r="J27" s="241" t="inlineStr">
        <is>
          <t>4838</t>
        </is>
      </c>
      <c r="K27" s="332">
        <f>IFERROR(VLOOKUP(TEXT(O27,"0"),CONDUCTORES!$A$3:$G$100,7,0),"")</f>
        <v/>
      </c>
      <c r="L27" s="239" t="n">
        <v>20.25</v>
      </c>
      <c r="M27" s="239" t="n">
        <v>6</v>
      </c>
      <c r="N27" s="333">
        <f>IFERROR(IF(L27*M27=0,"",L27*M27),"")</f>
        <v/>
      </c>
      <c r="O27" s="334" t="n"/>
      <c r="P27" s="332">
        <f>IFERROR(VLOOKUP(TEXT(O27,"0"),CONDUCTORES!$A$3:$G$100,2,0),"")</f>
        <v/>
      </c>
      <c r="Q27" s="332">
        <f>IFERROR(VLOOKUP(TEXT(O27,"0"),CONDUCTORES!$A$3:$H$100,6,0),"")</f>
        <v/>
      </c>
      <c r="R27" s="336" t="n">
        <v>45968</v>
      </c>
      <c r="S27" s="305" t="inlineStr">
        <is>
          <t>D509,K746</t>
        </is>
      </c>
      <c r="T27" s="241" t="n"/>
      <c r="U27" s="280" t="n"/>
      <c r="V27" s="241" t="n"/>
      <c r="W27" s="241" t="n"/>
      <c r="X27" s="241" t="n"/>
      <c r="Y27" s="280" t="n"/>
    </row>
    <row r="28" ht="15.75" customHeight="1" s="195">
      <c r="A28" s="301" t="n">
        <v>23</v>
      </c>
      <c r="B28" s="302" t="inlineStr">
        <is>
          <t>00000133</t>
        </is>
      </c>
      <c r="C28" s="301" t="inlineStr">
        <is>
          <t>REGION</t>
        </is>
      </c>
      <c r="D28" s="302" t="inlineStr">
        <is>
          <t>NAVARO GUEVARA MARIA LADIS</t>
        </is>
      </c>
      <c r="E28" s="301" t="inlineStr">
        <is>
          <t>DNI</t>
        </is>
      </c>
      <c r="F28" s="301" t="inlineStr">
        <is>
          <t>48700492</t>
        </is>
      </c>
      <c r="G28" s="331" t="n">
        <v>45820</v>
      </c>
      <c r="H28" s="301" t="inlineStr">
        <is>
          <t>4950</t>
        </is>
      </c>
      <c r="I28" s="332">
        <f>IFERROR(VLOOKUP(TEXT(H28,"0"),IPRESS!$A$3:$B$212,2,0),"")</f>
        <v/>
      </c>
      <c r="J28" s="301" t="inlineStr">
        <is>
          <t>4838</t>
        </is>
      </c>
      <c r="K28" s="332">
        <f>IFERROR(VLOOKUP(TEXT(O28,"0"),CONDUCTORES!$A$3:$G$100,7,0),"")</f>
        <v/>
      </c>
      <c r="L28" s="245" t="n">
        <v>20.25</v>
      </c>
      <c r="M28" s="245" t="n">
        <v>7</v>
      </c>
      <c r="N28" s="333">
        <f>IFERROR(IF(L28*M28=0,"",L28*M28),"")</f>
        <v/>
      </c>
      <c r="O28" s="280" t="n"/>
      <c r="P28" s="332">
        <f>IFERROR(VLOOKUP(TEXT(O28,"0"),CONDUCTORES!$A$3:$G$100,2,0),"")</f>
        <v/>
      </c>
      <c r="Q28" s="332">
        <f>IFERROR(VLOOKUP(TEXT(O28,"0"),CONDUCTORES!$A$3:$H$100,6,0),"")</f>
        <v/>
      </c>
      <c r="R28" s="331" t="n">
        <v>45968</v>
      </c>
      <c r="S28" s="302" t="inlineStr">
        <is>
          <t>M544,M541</t>
        </is>
      </c>
      <c r="T28" s="301" t="n"/>
      <c r="U28" s="334" t="n"/>
      <c r="V28" s="301" t="n"/>
      <c r="W28" s="301" t="n"/>
      <c r="X28" s="301" t="n"/>
      <c r="Y28" s="280" t="n"/>
    </row>
    <row r="29" ht="15.75" customHeight="1" s="195">
      <c r="A29" s="241" t="n">
        <v>24</v>
      </c>
      <c r="B29" s="305" t="inlineStr">
        <is>
          <t>00000136</t>
        </is>
      </c>
      <c r="C29" s="241" t="inlineStr">
        <is>
          <t>REGION</t>
        </is>
      </c>
      <c r="D29" s="305" t="inlineStr">
        <is>
          <t>ARRIAGA ZELADA WENDY VALERIA</t>
        </is>
      </c>
      <c r="E29" s="241" t="inlineStr">
        <is>
          <t>DNI</t>
        </is>
      </c>
      <c r="F29" s="241" t="inlineStr">
        <is>
          <t>74627564</t>
        </is>
      </c>
      <c r="G29" s="336" t="n">
        <v>45825</v>
      </c>
      <c r="H29" s="241" t="inlineStr">
        <is>
          <t>4950</t>
        </is>
      </c>
      <c r="I29" s="332">
        <f>IFERROR(VLOOKUP(TEXT(H29,"0"),IPRESS!$A$3:$B$212,2,0),"")</f>
        <v/>
      </c>
      <c r="J29" s="241" t="inlineStr">
        <is>
          <t>4838</t>
        </is>
      </c>
      <c r="K29" s="332">
        <f>IFERROR(VLOOKUP(TEXT(O29,"0"),CONDUCTORES!$A$3:$G$100,7,0),"")</f>
        <v/>
      </c>
      <c r="L29" s="239" t="n">
        <v>20.25</v>
      </c>
      <c r="M29" s="239" t="n">
        <v>7</v>
      </c>
      <c r="N29" s="333">
        <f>IFERROR(IF(L29*M29=0,"",L29*M29),"")</f>
        <v/>
      </c>
      <c r="O29" s="334" t="n"/>
      <c r="P29" s="332">
        <f>IFERROR(VLOOKUP(TEXT(O29,"0"),CONDUCTORES!$A$3:$G$100,2,0),"")</f>
        <v/>
      </c>
      <c r="Q29" s="332">
        <f>IFERROR(VLOOKUP(TEXT(O29,"0"),CONDUCTORES!$A$3:$H$100,6,0),"")</f>
        <v/>
      </c>
      <c r="R29" s="336" t="n">
        <v>45968</v>
      </c>
      <c r="S29" s="305" t="inlineStr">
        <is>
          <t>O034</t>
        </is>
      </c>
      <c r="T29" s="241" t="n"/>
      <c r="U29" s="280" t="n"/>
      <c r="V29" s="241" t="n"/>
      <c r="W29" s="241" t="n"/>
      <c r="X29" s="241" t="n"/>
      <c r="Y29" s="280" t="n"/>
    </row>
    <row r="30" ht="15.75" customHeight="1" s="195">
      <c r="A30" s="301" t="n">
        <v>25</v>
      </c>
      <c r="B30" s="302" t="inlineStr">
        <is>
          <t>00000137</t>
        </is>
      </c>
      <c r="C30" s="301" t="inlineStr">
        <is>
          <t>REGION</t>
        </is>
      </c>
      <c r="D30" s="302" t="inlineStr">
        <is>
          <t>RODRIGUEZ PORTOCARRERO THAYRA LINETH</t>
        </is>
      </c>
      <c r="E30" s="301" t="inlineStr">
        <is>
          <t>DNI</t>
        </is>
      </c>
      <c r="F30" s="301" t="inlineStr">
        <is>
          <t>91404190</t>
        </is>
      </c>
      <c r="G30" s="331" t="n">
        <v>45828</v>
      </c>
      <c r="H30" s="301" t="inlineStr">
        <is>
          <t>4950</t>
        </is>
      </c>
      <c r="I30" s="332">
        <f>IFERROR(VLOOKUP(TEXT(H30,"0"),IPRESS!$A$3:$B$212,2,0),"")</f>
        <v/>
      </c>
      <c r="J30" s="301" t="inlineStr">
        <is>
          <t>4838</t>
        </is>
      </c>
      <c r="K30" s="332">
        <f>IFERROR(VLOOKUP(TEXT(O30,"0"),CONDUCTORES!$A$3:$G$100,7,0),"")</f>
        <v/>
      </c>
      <c r="L30" s="245" t="n">
        <v>20.25</v>
      </c>
      <c r="M30" s="245" t="n">
        <v>7</v>
      </c>
      <c r="N30" s="333">
        <f>IFERROR(IF(L30*M30=0,"",L30*M30),"")</f>
        <v/>
      </c>
      <c r="O30" s="280" t="n"/>
      <c r="P30" s="332">
        <f>IFERROR(VLOOKUP(TEXT(O30,"0"),CONDUCTORES!$A$3:$G$100,2,0),"")</f>
        <v/>
      </c>
      <c r="Q30" s="332">
        <f>IFERROR(VLOOKUP(TEXT(O30,"0"),CONDUCTORES!$A$3:$H$100,6,0),"")</f>
        <v/>
      </c>
      <c r="R30" s="331" t="n">
        <v>45968</v>
      </c>
      <c r="S30" s="302" t="inlineStr">
        <is>
          <t>K359,N390</t>
        </is>
      </c>
      <c r="T30" s="301" t="n"/>
      <c r="U30" s="334" t="n"/>
      <c r="V30" s="301" t="n"/>
      <c r="W30" s="301" t="n"/>
      <c r="X30" s="301" t="n"/>
      <c r="Y30" s="280" t="n"/>
    </row>
    <row r="31" ht="15.75" customHeight="1" s="195">
      <c r="A31" s="241" t="n">
        <v>26</v>
      </c>
      <c r="B31" s="305" t="inlineStr">
        <is>
          <t>00000138</t>
        </is>
      </c>
      <c r="C31" s="241" t="inlineStr">
        <is>
          <t>REGION</t>
        </is>
      </c>
      <c r="D31" s="305" t="inlineStr">
        <is>
          <t>ZELADA RODRIGUEZ MIGUEL ANGEL</t>
        </is>
      </c>
      <c r="E31" s="241" t="inlineStr">
        <is>
          <t>DNI</t>
        </is>
      </c>
      <c r="F31" s="241" t="inlineStr">
        <is>
          <t>33946940</t>
        </is>
      </c>
      <c r="G31" s="336" t="n">
        <v>45829</v>
      </c>
      <c r="H31" s="241" t="inlineStr">
        <is>
          <t>4950</t>
        </is>
      </c>
      <c r="I31" s="332">
        <f>IFERROR(VLOOKUP(TEXT(H31,"0"),IPRESS!$A$3:$B$212,2,0),"")</f>
        <v/>
      </c>
      <c r="J31" s="241" t="inlineStr">
        <is>
          <t>4838</t>
        </is>
      </c>
      <c r="K31" s="332">
        <f>IFERROR(VLOOKUP(TEXT(O31,"0"),CONDUCTORES!$A$3:$G$100,7,0),"")</f>
        <v/>
      </c>
      <c r="L31" s="239" t="n">
        <v>20.25</v>
      </c>
      <c r="M31" s="239" t="n">
        <v>6.5</v>
      </c>
      <c r="N31" s="333">
        <f>IFERROR(IF(L31*M31=0,"",L31*M31),"")</f>
        <v/>
      </c>
      <c r="O31" s="334" t="n"/>
      <c r="P31" s="332">
        <f>IFERROR(VLOOKUP(TEXT(O31,"0"),CONDUCTORES!$A$3:$G$100,2,0),"")</f>
        <v/>
      </c>
      <c r="Q31" s="332">
        <f>IFERROR(VLOOKUP(TEXT(O31,"0"),CONDUCTORES!$A$3:$H$100,6,0),"")</f>
        <v/>
      </c>
      <c r="R31" s="336" t="n">
        <v>45968</v>
      </c>
      <c r="S31" s="305" t="inlineStr">
        <is>
          <t>J189,R060,I10X</t>
        </is>
      </c>
      <c r="T31" s="241" t="n"/>
      <c r="U31" s="280" t="n"/>
      <c r="V31" s="241" t="n"/>
      <c r="W31" s="241" t="n"/>
      <c r="X31" s="241" t="n"/>
      <c r="Y31" s="280" t="n"/>
    </row>
    <row r="32" ht="15.75" customHeight="1" s="195">
      <c r="A32" s="301" t="n">
        <v>27</v>
      </c>
      <c r="B32" s="302" t="inlineStr">
        <is>
          <t>00000139</t>
        </is>
      </c>
      <c r="C32" s="301" t="inlineStr">
        <is>
          <t>REGION</t>
        </is>
      </c>
      <c r="D32" s="302" t="inlineStr">
        <is>
          <t>TOCHON PIEROLA VALERIA</t>
        </is>
      </c>
      <c r="E32" s="301" t="inlineStr">
        <is>
          <t>DNI</t>
        </is>
      </c>
      <c r="F32" s="301" t="inlineStr">
        <is>
          <t>60031255</t>
        </is>
      </c>
      <c r="G32" s="331" t="n">
        <v>45830</v>
      </c>
      <c r="H32" s="301" t="inlineStr">
        <is>
          <t>4950</t>
        </is>
      </c>
      <c r="I32" s="332">
        <f>IFERROR(VLOOKUP(TEXT(H32,"0"),IPRESS!$A$3:$B$212,2,0),"")</f>
        <v/>
      </c>
      <c r="J32" s="301" t="inlineStr">
        <is>
          <t>4838</t>
        </is>
      </c>
      <c r="K32" s="332">
        <f>IFERROR(VLOOKUP(TEXT(O32,"0"),CONDUCTORES!$A$3:$G$100,7,0),"")</f>
        <v/>
      </c>
      <c r="L32" s="245" t="n">
        <v>20.25</v>
      </c>
      <c r="M32" s="245" t="n">
        <v>6</v>
      </c>
      <c r="N32" s="333">
        <f>IFERROR(IF(L32*M32=0,"",L32*M32),"")</f>
        <v/>
      </c>
      <c r="O32" s="280" t="n"/>
      <c r="P32" s="332">
        <f>IFERROR(VLOOKUP(TEXT(O32,"0"),CONDUCTORES!$A$3:$G$100,2,0),"")</f>
        <v/>
      </c>
      <c r="Q32" s="332">
        <f>IFERROR(VLOOKUP(TEXT(O32,"0"),CONDUCTORES!$A$3:$H$100,6,0),"")</f>
        <v/>
      </c>
      <c r="R32" s="331" t="n">
        <v>45968</v>
      </c>
      <c r="S32" s="302" t="inlineStr">
        <is>
          <t>O429</t>
        </is>
      </c>
      <c r="T32" s="301" t="n"/>
      <c r="U32" s="334" t="n"/>
      <c r="V32" s="301" t="n"/>
      <c r="W32" s="301" t="n"/>
      <c r="X32" s="301" t="n"/>
      <c r="Y32" s="280" t="n"/>
    </row>
    <row r="33" ht="15.75" customHeight="1" s="195">
      <c r="A33" s="241" t="n">
        <v>28</v>
      </c>
      <c r="B33" s="305" t="inlineStr">
        <is>
          <t>00000140</t>
        </is>
      </c>
      <c r="C33" s="241" t="inlineStr">
        <is>
          <t>REGION</t>
        </is>
      </c>
      <c r="D33" s="305" t="inlineStr">
        <is>
          <t>SILVA CIEZA LENIN</t>
        </is>
      </c>
      <c r="E33" s="241" t="inlineStr">
        <is>
          <t>DNI</t>
        </is>
      </c>
      <c r="F33" s="241" t="inlineStr">
        <is>
          <t>80798128</t>
        </is>
      </c>
      <c r="G33" s="336" t="n">
        <v>45830</v>
      </c>
      <c r="H33" s="241" t="inlineStr">
        <is>
          <t>4950</t>
        </is>
      </c>
      <c r="I33" s="332">
        <f>IFERROR(VLOOKUP(TEXT(H33,"0"),IPRESS!$A$3:$B$212,2,0),"")</f>
        <v/>
      </c>
      <c r="J33" s="241" t="inlineStr">
        <is>
          <t>4838</t>
        </is>
      </c>
      <c r="K33" s="332">
        <f>IFERROR(VLOOKUP(TEXT(O33,"0"),CONDUCTORES!$A$3:$G$100,7,0),"")</f>
        <v/>
      </c>
      <c r="L33" s="239" t="n">
        <v>20.25</v>
      </c>
      <c r="M33" s="239" t="n">
        <v>6</v>
      </c>
      <c r="N33" s="333">
        <f>IFERROR(IF(L33*M33=0,"",L33*M33),"")</f>
        <v/>
      </c>
      <c r="O33" s="334" t="n"/>
      <c r="P33" s="332">
        <f>IFERROR(VLOOKUP(TEXT(O33,"0"),CONDUCTORES!$A$3:$G$100,2,0),"")</f>
        <v/>
      </c>
      <c r="Q33" s="332">
        <f>IFERROR(VLOOKUP(TEXT(O33,"0"),CONDUCTORES!$A$3:$H$100,6,0),"")</f>
        <v/>
      </c>
      <c r="R33" s="336" t="n">
        <v>45968</v>
      </c>
      <c r="S33" s="305" t="inlineStr">
        <is>
          <t>J189,J960</t>
        </is>
      </c>
      <c r="T33" s="241" t="n"/>
      <c r="U33" s="280" t="n"/>
      <c r="V33" s="241" t="n"/>
      <c r="W33" s="241" t="n"/>
      <c r="X33" s="241" t="n"/>
      <c r="Y33" s="280" t="n"/>
    </row>
    <row r="34" ht="15.75" customHeight="1" s="195">
      <c r="A34" s="301" t="n">
        <v>29</v>
      </c>
      <c r="B34" s="302" t="inlineStr">
        <is>
          <t>00000142</t>
        </is>
      </c>
      <c r="C34" s="301" t="inlineStr">
        <is>
          <t>REGION</t>
        </is>
      </c>
      <c r="D34" s="302" t="inlineStr">
        <is>
          <t>MELENDEZ MESIA LILIANA</t>
        </is>
      </c>
      <c r="E34" s="301" t="inlineStr">
        <is>
          <t>DNI</t>
        </is>
      </c>
      <c r="F34" s="301" t="inlineStr">
        <is>
          <t>62155649</t>
        </is>
      </c>
      <c r="G34" s="331" t="n">
        <v>45832</v>
      </c>
      <c r="H34" s="301" t="inlineStr">
        <is>
          <t>4950</t>
        </is>
      </c>
      <c r="I34" s="332">
        <f>IFERROR(VLOOKUP(TEXT(H34,"0"),IPRESS!$A$3:$B$212,2,0),"")</f>
        <v/>
      </c>
      <c r="J34" s="301" t="inlineStr">
        <is>
          <t>4838</t>
        </is>
      </c>
      <c r="K34" s="332">
        <f>IFERROR(VLOOKUP(TEXT(O34,"0"),CONDUCTORES!$A$3:$G$100,7,0),"")</f>
        <v/>
      </c>
      <c r="L34" s="245" t="n">
        <v>20.25</v>
      </c>
      <c r="M34" s="245" t="n">
        <v>7</v>
      </c>
      <c r="N34" s="333">
        <f>IFERROR(IF(L34*M34=0,"",L34*M34),"")</f>
        <v/>
      </c>
      <c r="O34" s="280" t="n"/>
      <c r="P34" s="332">
        <f>IFERROR(VLOOKUP(TEXT(O34,"0"),CONDUCTORES!$A$3:$G$100,2,0),"")</f>
        <v/>
      </c>
      <c r="Q34" s="332">
        <f>IFERROR(VLOOKUP(TEXT(O34,"0"),CONDUCTORES!$A$3:$H$100,6,0),"")</f>
        <v/>
      </c>
      <c r="R34" s="331" t="n">
        <v>45968</v>
      </c>
      <c r="S34" s="302" t="inlineStr">
        <is>
          <t>K359,N390,R104</t>
        </is>
      </c>
      <c r="T34" s="301" t="n"/>
      <c r="U34" s="334" t="n"/>
      <c r="V34" s="301" t="n"/>
      <c r="W34" s="301" t="n"/>
      <c r="X34" s="301" t="n"/>
      <c r="Y34" s="280" t="n"/>
    </row>
    <row r="35" ht="15.75" customHeight="1" s="195">
      <c r="A35" s="241" t="n">
        <v>30</v>
      </c>
      <c r="B35" s="305" t="inlineStr">
        <is>
          <t>00000143</t>
        </is>
      </c>
      <c r="C35" s="241" t="inlineStr">
        <is>
          <t>REGION</t>
        </is>
      </c>
      <c r="D35" s="305" t="inlineStr">
        <is>
          <t>GUAYAMIS QUISTAN KELI FIORELA</t>
        </is>
      </c>
      <c r="E35" s="241" t="inlineStr">
        <is>
          <t>DNI</t>
        </is>
      </c>
      <c r="F35" s="241" t="inlineStr">
        <is>
          <t>60030939</t>
        </is>
      </c>
      <c r="G35" s="336" t="n">
        <v>45833</v>
      </c>
      <c r="H35" s="241" t="inlineStr">
        <is>
          <t>4950</t>
        </is>
      </c>
      <c r="I35" s="332">
        <f>IFERROR(VLOOKUP(TEXT(H35,"0"),IPRESS!$A$3:$B$212,2,0),"")</f>
        <v/>
      </c>
      <c r="J35" s="241" t="inlineStr">
        <is>
          <t>4838</t>
        </is>
      </c>
      <c r="K35" s="332">
        <f>IFERROR(VLOOKUP(TEXT(O35,"0"),CONDUCTORES!$A$3:$G$100,7,0),"")</f>
        <v/>
      </c>
      <c r="L35" s="239" t="n">
        <v>20.25</v>
      </c>
      <c r="M35" s="239" t="n">
        <v>7</v>
      </c>
      <c r="N35" s="333">
        <f>IFERROR(IF(L35*M35=0,"",L35*M35),"")</f>
        <v/>
      </c>
      <c r="O35" s="334" t="n"/>
      <c r="P35" s="332">
        <f>IFERROR(VLOOKUP(TEXT(O35,"0"),CONDUCTORES!$A$3:$G$100,2,0),"")</f>
        <v/>
      </c>
      <c r="Q35" s="332">
        <f>IFERROR(VLOOKUP(TEXT(O35,"0"),CONDUCTORES!$A$3:$H$100,6,0),"")</f>
        <v/>
      </c>
      <c r="R35" s="336" t="n">
        <v>45968</v>
      </c>
      <c r="S35" s="305" t="inlineStr">
        <is>
          <t>K359</t>
        </is>
      </c>
      <c r="T35" s="241" t="n"/>
      <c r="U35" s="280" t="n"/>
      <c r="V35" s="241" t="n"/>
      <c r="W35" s="241" t="n"/>
      <c r="X35" s="241" t="n"/>
      <c r="Y35" s="280" t="n"/>
    </row>
    <row r="36" ht="15.75" customHeight="1" s="195">
      <c r="A36" s="301" t="n">
        <v>31</v>
      </c>
      <c r="B36" s="302" t="inlineStr">
        <is>
          <t>00000145</t>
        </is>
      </c>
      <c r="C36" s="301" t="inlineStr">
        <is>
          <t>REGION</t>
        </is>
      </c>
      <c r="D36" s="302" t="inlineStr">
        <is>
          <t>RAMIREZ ORRILLO ANA ROSI</t>
        </is>
      </c>
      <c r="E36" s="301" t="inlineStr">
        <is>
          <t>DNI</t>
        </is>
      </c>
      <c r="F36" s="301" t="inlineStr">
        <is>
          <t>76078287</t>
        </is>
      </c>
      <c r="G36" s="331" t="n">
        <v>45837</v>
      </c>
      <c r="H36" s="301" t="inlineStr">
        <is>
          <t>4950</t>
        </is>
      </c>
      <c r="I36" s="332">
        <f>IFERROR(VLOOKUP(TEXT(H36,"0"),IPRESS!$A$3:$B$212,2,0),"")</f>
        <v/>
      </c>
      <c r="J36" s="301" t="inlineStr">
        <is>
          <t>4838</t>
        </is>
      </c>
      <c r="K36" s="332">
        <f>IFERROR(VLOOKUP(TEXT(O36,"0"),CONDUCTORES!$A$3:$G$100,7,0),"")</f>
        <v/>
      </c>
      <c r="L36" s="245" t="n">
        <v>20.25</v>
      </c>
      <c r="M36" s="245" t="n">
        <v>7</v>
      </c>
      <c r="N36" s="333">
        <f>IFERROR(IF(L36*M36=0,"",L36*M36),"")</f>
        <v/>
      </c>
      <c r="O36" s="280" t="n"/>
      <c r="P36" s="332">
        <f>IFERROR(VLOOKUP(TEXT(O36,"0"),CONDUCTORES!$A$3:$G$100,2,0),"")</f>
        <v/>
      </c>
      <c r="Q36" s="332">
        <f>IFERROR(VLOOKUP(TEXT(O36,"0"),CONDUCTORES!$A$3:$H$100,6,0),"")</f>
        <v/>
      </c>
      <c r="R36" s="331" t="n">
        <v>45968</v>
      </c>
      <c r="S36" s="302" t="inlineStr">
        <is>
          <t>O342</t>
        </is>
      </c>
      <c r="T36" s="301" t="n"/>
      <c r="U36" s="334" t="n"/>
      <c r="V36" s="301" t="n"/>
      <c r="W36" s="301" t="n"/>
      <c r="X36" s="301" t="n"/>
      <c r="Y36" s="280" t="n"/>
    </row>
    <row r="37" ht="15.75" customHeight="1" s="195">
      <c r="A37" s="241" t="n">
        <v>32</v>
      </c>
      <c r="B37" s="305" t="inlineStr">
        <is>
          <t>00000146</t>
        </is>
      </c>
      <c r="C37" s="241" t="inlineStr">
        <is>
          <t>REGION</t>
        </is>
      </c>
      <c r="D37" s="305" t="inlineStr">
        <is>
          <t>GARCIA LOPEZ ENEIDA</t>
        </is>
      </c>
      <c r="E37" s="241" t="inlineStr">
        <is>
          <t>DNI</t>
        </is>
      </c>
      <c r="F37" s="241" t="inlineStr">
        <is>
          <t>74709202</t>
        </is>
      </c>
      <c r="G37" s="336" t="n">
        <v>45838</v>
      </c>
      <c r="H37" s="241" t="inlineStr">
        <is>
          <t>4950</t>
        </is>
      </c>
      <c r="I37" s="332">
        <f>IFERROR(VLOOKUP(TEXT(H37,"0"),IPRESS!$A$3:$B$212,2,0),"")</f>
        <v/>
      </c>
      <c r="J37" s="241" t="inlineStr">
        <is>
          <t>4838</t>
        </is>
      </c>
      <c r="K37" s="332">
        <f>IFERROR(VLOOKUP(TEXT(O37,"0"),CONDUCTORES!$A$3:$G$100,7,0),"")</f>
        <v/>
      </c>
      <c r="L37" s="239" t="n">
        <v>20.25</v>
      </c>
      <c r="M37" s="239" t="n">
        <v>7</v>
      </c>
      <c r="N37" s="333">
        <f>IFERROR(IF(L37*M37=0,"",L37*M37),"")</f>
        <v/>
      </c>
      <c r="O37" s="334" t="n"/>
      <c r="P37" s="332">
        <f>IFERROR(VLOOKUP(TEXT(O37,"0"),CONDUCTORES!$A$3:$G$100,2,0),"")</f>
        <v/>
      </c>
      <c r="Q37" s="332">
        <f>IFERROR(VLOOKUP(TEXT(O37,"0"),CONDUCTORES!$A$3:$H$100,6,0),"")</f>
        <v/>
      </c>
      <c r="R37" s="336" t="n">
        <v>45968</v>
      </c>
      <c r="S37" s="305" t="inlineStr">
        <is>
          <t>O019</t>
        </is>
      </c>
      <c r="T37" s="241" t="n"/>
      <c r="U37" s="280" t="n"/>
      <c r="V37" s="241" t="n"/>
      <c r="W37" s="241" t="n"/>
      <c r="X37" s="241" t="n"/>
      <c r="Y37" s="280" t="n"/>
    </row>
    <row r="38" ht="15.75" customHeight="1" s="195">
      <c r="A38" s="301" t="n">
        <v>33</v>
      </c>
      <c r="B38" s="302" t="inlineStr">
        <is>
          <t>00000144</t>
        </is>
      </c>
      <c r="C38" s="301" t="inlineStr">
        <is>
          <t>REGION</t>
        </is>
      </c>
      <c r="D38" s="302" t="inlineStr">
        <is>
          <t>RODRIGUEZ ARMIJO CEIDY ARECELI</t>
        </is>
      </c>
      <c r="E38" s="301" t="inlineStr">
        <is>
          <t>DNI</t>
        </is>
      </c>
      <c r="F38" s="301" t="inlineStr">
        <is>
          <t>48840937</t>
        </is>
      </c>
      <c r="G38" s="331" t="n">
        <v>45834</v>
      </c>
      <c r="H38" s="301" t="inlineStr">
        <is>
          <t>4950</t>
        </is>
      </c>
      <c r="I38" s="332">
        <f>IFERROR(VLOOKUP(TEXT(H38,"0"),IPRESS!$A$3:$B$212,2,0),"")</f>
        <v/>
      </c>
      <c r="J38" s="301" t="inlineStr">
        <is>
          <t>4838</t>
        </is>
      </c>
      <c r="K38" s="332">
        <f>IFERROR(VLOOKUP(TEXT(O38,"0"),CONDUCTORES!$A$3:$G$100,7,0),"")</f>
        <v/>
      </c>
      <c r="L38" s="245" t="n">
        <v>20.25</v>
      </c>
      <c r="M38" s="245" t="n">
        <v>10</v>
      </c>
      <c r="N38" s="333">
        <f>IFERROR(IF(L38*M38=0,"",L38*M38),"")</f>
        <v/>
      </c>
      <c r="O38" s="280" t="n"/>
      <c r="P38" s="332">
        <f>IFERROR(VLOOKUP(TEXT(O38,"0"),CONDUCTORES!$A$3:$G$100,2,0),"")</f>
        <v/>
      </c>
      <c r="Q38" s="332">
        <f>IFERROR(VLOOKUP(TEXT(O38,"0"),CONDUCTORES!$A$3:$H$100,6,0),"")</f>
        <v/>
      </c>
      <c r="R38" s="331" t="n">
        <v>45988</v>
      </c>
      <c r="S38" s="302" t="inlineStr">
        <is>
          <t>O689,O419</t>
        </is>
      </c>
      <c r="T38" s="301" t="inlineStr">
        <is>
          <t>DEVOLVER EL COMBUSTIBLE A LA IPRES OMIA</t>
        </is>
      </c>
      <c r="U38" s="334" t="n"/>
      <c r="V38" s="301" t="inlineStr">
        <is>
          <t>6044-2025</t>
        </is>
      </c>
      <c r="W38" s="301" t="inlineStr">
        <is>
          <t>3479.0</t>
        </is>
      </c>
      <c r="X38" s="301" t="inlineStr">
        <is>
          <t>189.0</t>
        </is>
      </c>
      <c r="Y38" s="280" t="n"/>
    </row>
    <row r="39" ht="15.75" customHeight="1" s="195">
      <c r="A39" s="241" t="n">
        <v>34</v>
      </c>
      <c r="B39" s="305" t="inlineStr">
        <is>
          <t>00000141</t>
        </is>
      </c>
      <c r="C39" s="241" t="inlineStr">
        <is>
          <t>REGION</t>
        </is>
      </c>
      <c r="D39" s="305" t="inlineStr">
        <is>
          <t>SALON CARUAJULCA ANDER AZIEL</t>
        </is>
      </c>
      <c r="E39" s="241" t="inlineStr">
        <is>
          <t>DNI</t>
        </is>
      </c>
      <c r="F39" s="241" t="inlineStr">
        <is>
          <t>94179516</t>
        </is>
      </c>
      <c r="G39" s="336" t="n">
        <v>45834</v>
      </c>
      <c r="H39" s="241" t="inlineStr">
        <is>
          <t>4950</t>
        </is>
      </c>
      <c r="I39" s="332">
        <f>IFERROR(VLOOKUP(TEXT(H39,"0"),IPRESS!$A$3:$B$212,2,0),"")</f>
        <v/>
      </c>
      <c r="J39" s="241" t="inlineStr">
        <is>
          <t>4838</t>
        </is>
      </c>
      <c r="K39" s="332">
        <f>IFERROR(VLOOKUP(TEXT(O39,"0"),CONDUCTORES!$A$3:$G$100,7,0),"")</f>
        <v/>
      </c>
      <c r="L39" s="239" t="n">
        <v>20.25</v>
      </c>
      <c r="M39" s="239" t="n">
        <v>10</v>
      </c>
      <c r="N39" s="333">
        <f>IFERROR(IF(L39*M39=0,"",L39*M39),"")</f>
        <v/>
      </c>
      <c r="O39" s="334" t="n"/>
      <c r="P39" s="332">
        <f>IFERROR(VLOOKUP(TEXT(O39,"0"),CONDUCTORES!$A$3:$G$100,2,0),"")</f>
        <v/>
      </c>
      <c r="Q39" s="332">
        <f>IFERROR(VLOOKUP(TEXT(O39,"0"),CONDUCTORES!$A$3:$H$100,6,0),"")</f>
        <v/>
      </c>
      <c r="R39" s="336" t="n">
        <v>45988</v>
      </c>
      <c r="S39" s="305" t="inlineStr">
        <is>
          <t>J189</t>
        </is>
      </c>
      <c r="T39" s="241" t="inlineStr">
        <is>
          <t>DEVOLUCION AL C.S. HUAMBO</t>
        </is>
      </c>
      <c r="U39" s="280" t="n"/>
      <c r="V39" s="241" t="inlineStr">
        <is>
          <t>6044-2025</t>
        </is>
      </c>
      <c r="W39" s="241" t="inlineStr">
        <is>
          <t>3479.0</t>
        </is>
      </c>
      <c r="X39" s="241" t="inlineStr">
        <is>
          <t>189.0</t>
        </is>
      </c>
      <c r="Y39" s="280" t="n"/>
    </row>
    <row r="40" ht="15.75" customHeight="1" s="195">
      <c r="A40" s="301" t="n">
        <v>35</v>
      </c>
      <c r="B40" s="302" t="inlineStr">
        <is>
          <t>00000002</t>
        </is>
      </c>
      <c r="C40" s="301" t="inlineStr">
        <is>
          <t>REGION</t>
        </is>
      </c>
      <c r="D40" s="302" t="inlineStr">
        <is>
          <t>TAFUR GRANDEZ NILVER</t>
        </is>
      </c>
      <c r="E40" s="301" t="inlineStr">
        <is>
          <t>DNI</t>
        </is>
      </c>
      <c r="F40" s="301" t="inlineStr">
        <is>
          <t>47508688</t>
        </is>
      </c>
      <c r="G40" s="331" t="n">
        <v>45809</v>
      </c>
      <c r="H40" s="301" t="inlineStr">
        <is>
          <t>4943</t>
        </is>
      </c>
      <c r="I40" s="332">
        <f>IFERROR(VLOOKUP(TEXT(H40,"0"),IPRESS!$A$3:$B$212,2,0),"")</f>
        <v/>
      </c>
      <c r="J40" s="301" t="inlineStr">
        <is>
          <t>4950</t>
        </is>
      </c>
      <c r="K40" s="332">
        <f>IFERROR(VLOOKUP(TEXT(O40,"0"),CONDUCTORES!$A$3:$G$100,7,0),"")</f>
        <v/>
      </c>
      <c r="L40" s="245" t="n">
        <v>20.25</v>
      </c>
      <c r="M40" s="245" t="n">
        <v>3</v>
      </c>
      <c r="N40" s="333">
        <f>IFERROR(IF(L40*M40=0,"",L40*M40),"")</f>
        <v/>
      </c>
      <c r="O40" s="280" t="n"/>
      <c r="P40" s="332">
        <f>IFERROR(VLOOKUP(TEXT(O40,"0"),CONDUCTORES!$A$3:$G$100,2,0),"")</f>
        <v/>
      </c>
      <c r="Q40" s="332">
        <f>IFERROR(VLOOKUP(TEXT(O40,"0"),CONDUCTORES!$A$3:$H$100,6,0),"")</f>
        <v/>
      </c>
      <c r="R40" s="331" t="n">
        <v>46010</v>
      </c>
      <c r="S40" s="302" t="inlineStr">
        <is>
          <t>I10X,R51X,G419</t>
        </is>
      </c>
      <c r="T40" s="301" t="n"/>
      <c r="U40" s="334" t="n"/>
      <c r="V40" s="301" t="n"/>
      <c r="W40" s="301" t="n"/>
      <c r="X40" s="301" t="n"/>
      <c r="Y40" s="280" t="n"/>
    </row>
    <row r="41" ht="15.75" customHeight="1" s="195">
      <c r="A41" s="241" t="n">
        <v>36</v>
      </c>
      <c r="B41" s="305" t="inlineStr">
        <is>
          <t>00000003</t>
        </is>
      </c>
      <c r="C41" s="241" t="inlineStr">
        <is>
          <t>REGION</t>
        </is>
      </c>
      <c r="D41" s="305" t="inlineStr">
        <is>
          <t>ARISTA DE PORTOCARRERO MARIA TRINIDAD</t>
        </is>
      </c>
      <c r="E41" s="241" t="inlineStr">
        <is>
          <t>DNI</t>
        </is>
      </c>
      <c r="F41" s="241" t="inlineStr">
        <is>
          <t>33944149</t>
        </is>
      </c>
      <c r="G41" s="336" t="n">
        <v>45811</v>
      </c>
      <c r="H41" s="241" t="inlineStr">
        <is>
          <t>4943</t>
        </is>
      </c>
      <c r="I41" s="332">
        <f>IFERROR(VLOOKUP(TEXT(H41,"0"),IPRESS!$A$3:$B$212,2,0),"")</f>
        <v/>
      </c>
      <c r="J41" s="241" t="inlineStr">
        <is>
          <t>4950</t>
        </is>
      </c>
      <c r="K41" s="332">
        <f>IFERROR(VLOOKUP(TEXT(O41,"0"),CONDUCTORES!$A$3:$G$100,7,0),"")</f>
        <v/>
      </c>
      <c r="L41" s="239" t="n">
        <v>20.25</v>
      </c>
      <c r="M41" s="239" t="n">
        <v>3</v>
      </c>
      <c r="N41" s="333">
        <f>IFERROR(IF(L41*M41=0,"",L41*M41),"")</f>
        <v/>
      </c>
      <c r="O41" s="334" t="n"/>
      <c r="P41" s="332">
        <f>IFERROR(VLOOKUP(TEXT(O41,"0"),CONDUCTORES!$A$3:$G$100,2,0),"")</f>
        <v/>
      </c>
      <c r="Q41" s="332">
        <f>IFERROR(VLOOKUP(TEXT(O41,"0"),CONDUCTORES!$A$3:$H$100,6,0),"")</f>
        <v/>
      </c>
      <c r="R41" s="336" t="n">
        <v>46010</v>
      </c>
      <c r="S41" s="305" t="inlineStr">
        <is>
          <t>R092,E43X</t>
        </is>
      </c>
      <c r="T41" s="241" t="n"/>
      <c r="U41" s="280" t="n"/>
      <c r="V41" s="241" t="n"/>
      <c r="W41" s="241" t="n"/>
      <c r="X41" s="241" t="n"/>
      <c r="Y41" s="280" t="n"/>
    </row>
    <row r="42" ht="15.75" customHeight="1" s="195">
      <c r="A42" s="301" t="n">
        <v>37</v>
      </c>
      <c r="B42" s="302" t="inlineStr">
        <is>
          <t>00000005</t>
        </is>
      </c>
      <c r="C42" s="301" t="inlineStr">
        <is>
          <t>REGION</t>
        </is>
      </c>
      <c r="D42" s="302" t="inlineStr">
        <is>
          <t>HOYOS AGUILAR JOSE ALEJANDRO</t>
        </is>
      </c>
      <c r="E42" s="301" t="inlineStr">
        <is>
          <t>DNI</t>
        </is>
      </c>
      <c r="F42" s="301" t="inlineStr">
        <is>
          <t>33944907</t>
        </is>
      </c>
      <c r="G42" s="331" t="n">
        <v>45815</v>
      </c>
      <c r="H42" s="301" t="inlineStr">
        <is>
          <t>4943</t>
        </is>
      </c>
      <c r="I42" s="332">
        <f>IFERROR(VLOOKUP(TEXT(H42,"0"),IPRESS!$A$3:$B$212,2,0),"")</f>
        <v/>
      </c>
      <c r="J42" s="301" t="inlineStr">
        <is>
          <t>4950</t>
        </is>
      </c>
      <c r="K42" s="332">
        <f>IFERROR(VLOOKUP(TEXT(O42,"0"),CONDUCTORES!$A$3:$G$100,7,0),"")</f>
        <v/>
      </c>
      <c r="L42" s="245" t="n">
        <v>20.25</v>
      </c>
      <c r="M42" s="245" t="n">
        <v>3</v>
      </c>
      <c r="N42" s="333">
        <f>IFERROR(IF(L42*M42=0,"",L42*M42),"")</f>
        <v/>
      </c>
      <c r="O42" s="280" t="n"/>
      <c r="P42" s="332">
        <f>IFERROR(VLOOKUP(TEXT(O42,"0"),CONDUCTORES!$A$3:$G$100,2,0),"")</f>
        <v/>
      </c>
      <c r="Q42" s="332">
        <f>IFERROR(VLOOKUP(TEXT(O42,"0"),CONDUCTORES!$A$3:$H$100,6,0),"")</f>
        <v/>
      </c>
      <c r="R42" s="331" t="n">
        <v>46010</v>
      </c>
      <c r="S42" s="302" t="inlineStr">
        <is>
          <t>I10X,H814,H830</t>
        </is>
      </c>
      <c r="T42" s="301" t="n"/>
      <c r="U42" s="334" t="n"/>
      <c r="V42" s="301" t="n"/>
      <c r="W42" s="301" t="n"/>
      <c r="X42" s="301" t="n"/>
      <c r="Y42" s="280" t="n"/>
    </row>
    <row r="43" ht="15.75" customHeight="1" s="195">
      <c r="A43" s="241" t="n">
        <v>38</v>
      </c>
      <c r="B43" s="305" t="inlineStr">
        <is>
          <t>00000004</t>
        </is>
      </c>
      <c r="C43" s="241" t="inlineStr">
        <is>
          <t>REGION</t>
        </is>
      </c>
      <c r="D43" s="305" t="inlineStr">
        <is>
          <t>ARISTA TAFUR MARCIA ABIGAIL</t>
        </is>
      </c>
      <c r="E43" s="241" t="inlineStr">
        <is>
          <t>DNI</t>
        </is>
      </c>
      <c r="F43" s="241" t="inlineStr">
        <is>
          <t>80813236</t>
        </is>
      </c>
      <c r="G43" s="336" t="n">
        <v>45815</v>
      </c>
      <c r="H43" s="241" t="inlineStr">
        <is>
          <t>4943</t>
        </is>
      </c>
      <c r="I43" s="332">
        <f>IFERROR(VLOOKUP(TEXT(H43,"0"),IPRESS!$A$3:$B$212,2,0),"")</f>
        <v/>
      </c>
      <c r="J43" s="241" t="inlineStr">
        <is>
          <t>4950</t>
        </is>
      </c>
      <c r="K43" s="332">
        <f>IFERROR(VLOOKUP(TEXT(O43,"0"),CONDUCTORES!$A$3:$G$100,7,0),"")</f>
        <v/>
      </c>
      <c r="L43" s="239" t="n">
        <v>20.25</v>
      </c>
      <c r="M43" s="239" t="n">
        <v>3</v>
      </c>
      <c r="N43" s="333">
        <f>IFERROR(IF(L43*M43=0,"",L43*M43),"")</f>
        <v/>
      </c>
      <c r="O43" s="334" t="n"/>
      <c r="P43" s="332">
        <f>IFERROR(VLOOKUP(TEXT(O43,"0"),CONDUCTORES!$A$3:$G$100,2,0),"")</f>
        <v/>
      </c>
      <c r="Q43" s="332">
        <f>IFERROR(VLOOKUP(TEXT(O43,"0"),CONDUCTORES!$A$3:$H$100,6,0),"")</f>
        <v/>
      </c>
      <c r="R43" s="336" t="n">
        <v>46010</v>
      </c>
      <c r="S43" s="305" t="inlineStr">
        <is>
          <t>K359</t>
        </is>
      </c>
      <c r="T43" s="241" t="n"/>
      <c r="U43" s="280" t="n"/>
      <c r="V43" s="241" t="n"/>
      <c r="W43" s="241" t="n"/>
      <c r="X43" s="241" t="n"/>
      <c r="Y43" s="280" t="n"/>
    </row>
    <row r="44" ht="15.75" customHeight="1" s="195">
      <c r="A44" s="301" t="n">
        <v>39</v>
      </c>
      <c r="B44" s="302" t="inlineStr">
        <is>
          <t>00000009</t>
        </is>
      </c>
      <c r="C44" s="301" t="inlineStr">
        <is>
          <t>REGION</t>
        </is>
      </c>
      <c r="D44" s="302" t="inlineStr">
        <is>
          <t>VEGA HUAMAN ENRIQUE</t>
        </is>
      </c>
      <c r="E44" s="301" t="inlineStr">
        <is>
          <t>DNI</t>
        </is>
      </c>
      <c r="F44" s="301" t="inlineStr">
        <is>
          <t>45850698</t>
        </is>
      </c>
      <c r="G44" s="331" t="n">
        <v>45813</v>
      </c>
      <c r="H44" s="301" t="inlineStr">
        <is>
          <t>4905</t>
        </is>
      </c>
      <c r="I44" s="332">
        <f>IFERROR(VLOOKUP(TEXT(H44,"0"),IPRESS!$A$3:$B$212,2,0),"")</f>
        <v/>
      </c>
      <c r="J44" s="301" t="inlineStr">
        <is>
          <t>4838</t>
        </is>
      </c>
      <c r="K44" s="332">
        <f>IFERROR(VLOOKUP(TEXT(O44,"0"),CONDUCTORES!$A$3:$G$100,7,0),"")</f>
        <v/>
      </c>
      <c r="L44" s="245" t="n">
        <v>18.18</v>
      </c>
      <c r="M44" s="245" t="n">
        <v>8</v>
      </c>
      <c r="N44" s="333">
        <f>IFERROR(IF(L44*M44=0,"",L44*M44),"")</f>
        <v/>
      </c>
      <c r="O44" s="280" t="n"/>
      <c r="P44" s="332">
        <f>IFERROR(VLOOKUP(TEXT(O44,"0"),CONDUCTORES!$A$3:$G$100,2,0),"")</f>
        <v/>
      </c>
      <c r="Q44" s="332">
        <f>IFERROR(VLOOKUP(TEXT(O44,"0"),CONDUCTORES!$A$3:$H$100,6,0),"")</f>
        <v/>
      </c>
      <c r="R44" s="331" t="n">
        <v>45891</v>
      </c>
      <c r="S44" s="302" t="inlineStr">
        <is>
          <t>R100,K359</t>
        </is>
      </c>
      <c r="T44" s="301" t="n"/>
      <c r="U44" s="334" t="n"/>
      <c r="V44" s="301" t="inlineStr">
        <is>
          <t>4058-2025</t>
        </is>
      </c>
      <c r="W44" s="301" t="inlineStr">
        <is>
          <t>CONTRATO 001-2025</t>
        </is>
      </c>
      <c r="X44" s="301" t="inlineStr">
        <is>
          <t>238.0</t>
        </is>
      </c>
      <c r="Y44" s="280" t="n"/>
    </row>
    <row r="45" ht="15.75" customHeight="1" s="195">
      <c r="A45" s="241" t="n">
        <v>40</v>
      </c>
      <c r="B45" s="305" t="inlineStr">
        <is>
          <t>00000010</t>
        </is>
      </c>
      <c r="C45" s="241" t="inlineStr">
        <is>
          <t>REGION</t>
        </is>
      </c>
      <c r="D45" s="305" t="inlineStr">
        <is>
          <t>PUSCAN PUSCAN EMILY ALEXANDRA</t>
        </is>
      </c>
      <c r="E45" s="241" t="inlineStr">
        <is>
          <t>DNI</t>
        </is>
      </c>
      <c r="F45" s="241" t="inlineStr">
        <is>
          <t>92806042</t>
        </is>
      </c>
      <c r="G45" s="336" t="n">
        <v>45820</v>
      </c>
      <c r="H45" s="241" t="inlineStr">
        <is>
          <t>4905</t>
        </is>
      </c>
      <c r="I45" s="332">
        <f>IFERROR(VLOOKUP(TEXT(H45,"0"),IPRESS!$A$3:$B$212,2,0),"")</f>
        <v/>
      </c>
      <c r="J45" s="241" t="inlineStr">
        <is>
          <t>4838</t>
        </is>
      </c>
      <c r="K45" s="332">
        <f>IFERROR(VLOOKUP(TEXT(O45,"0"),CONDUCTORES!$A$3:$G$100,7,0),"")</f>
        <v/>
      </c>
      <c r="L45" s="239" t="n">
        <v>18.18</v>
      </c>
      <c r="M45" s="239" t="n">
        <v>8</v>
      </c>
      <c r="N45" s="333">
        <f>IFERROR(IF(L45*M45=0,"",L45*M45),"")</f>
        <v/>
      </c>
      <c r="O45" s="334" t="n"/>
      <c r="P45" s="332">
        <f>IFERROR(VLOOKUP(TEXT(O45,"0"),CONDUCTORES!$A$3:$G$100,2,0),"")</f>
        <v/>
      </c>
      <c r="Q45" s="332">
        <f>IFERROR(VLOOKUP(TEXT(O45,"0"),CONDUCTORES!$A$3:$H$100,6,0),"")</f>
        <v/>
      </c>
      <c r="R45" s="336" t="n">
        <v>45891</v>
      </c>
      <c r="S45" s="305" t="inlineStr">
        <is>
          <t>J960,R509,J189,A379</t>
        </is>
      </c>
      <c r="T45" s="241" t="n"/>
      <c r="U45" s="280" t="n"/>
      <c r="V45" s="241" t="inlineStr">
        <is>
          <t>4058-2025</t>
        </is>
      </c>
      <c r="W45" s="241" t="inlineStr">
        <is>
          <t>CONTRATO 001-2025</t>
        </is>
      </c>
      <c r="X45" s="241" t="inlineStr">
        <is>
          <t>238.0</t>
        </is>
      </c>
      <c r="Y45" s="280" t="n"/>
    </row>
    <row r="46" ht="15.75" customHeight="1" s="195">
      <c r="A46" s="301" t="n">
        <v>41</v>
      </c>
      <c r="B46" s="302" t="inlineStr">
        <is>
          <t>00000011</t>
        </is>
      </c>
      <c r="C46" s="301" t="inlineStr">
        <is>
          <t>REGION</t>
        </is>
      </c>
      <c r="D46" s="302" t="inlineStr">
        <is>
          <t>PUSCAN CULQUI YLARIA</t>
        </is>
      </c>
      <c r="E46" s="301" t="inlineStr">
        <is>
          <t>DNI</t>
        </is>
      </c>
      <c r="F46" s="301" t="inlineStr">
        <is>
          <t>33416410</t>
        </is>
      </c>
      <c r="G46" s="331" t="n">
        <v>45824</v>
      </c>
      <c r="H46" s="301" t="inlineStr">
        <is>
          <t>4905</t>
        </is>
      </c>
      <c r="I46" s="332">
        <f>IFERROR(VLOOKUP(TEXT(H46,"0"),IPRESS!$A$3:$B$212,2,0),"")</f>
        <v/>
      </c>
      <c r="J46" s="301" t="inlineStr">
        <is>
          <t>4838</t>
        </is>
      </c>
      <c r="K46" s="332">
        <f>IFERROR(VLOOKUP(TEXT(O46,"0"),CONDUCTORES!$A$3:$G$100,7,0),"")</f>
        <v/>
      </c>
      <c r="L46" s="245" t="n">
        <v>18.18</v>
      </c>
      <c r="M46" s="245" t="n">
        <v>8</v>
      </c>
      <c r="N46" s="333">
        <f>IFERROR(IF(L46*M46=0,"",L46*M46),"")</f>
        <v/>
      </c>
      <c r="O46" s="280" t="n"/>
      <c r="P46" s="332">
        <f>IFERROR(VLOOKUP(TEXT(O46,"0"),CONDUCTORES!$A$3:$G$100,2,0),"")</f>
        <v/>
      </c>
      <c r="Q46" s="332">
        <f>IFERROR(VLOOKUP(TEXT(O46,"0"),CONDUCTORES!$A$3:$H$100,6,0),"")</f>
        <v/>
      </c>
      <c r="R46" s="331" t="n">
        <v>45891</v>
      </c>
      <c r="S46" s="302" t="inlineStr">
        <is>
          <t>S422,I10X</t>
        </is>
      </c>
      <c r="T46" s="301" t="n"/>
      <c r="U46" s="334" t="n"/>
      <c r="V46" s="301" t="inlineStr">
        <is>
          <t>4058-2025</t>
        </is>
      </c>
      <c r="W46" s="301" t="inlineStr">
        <is>
          <t>CONTRATO 001-2025</t>
        </is>
      </c>
      <c r="X46" s="301" t="inlineStr">
        <is>
          <t>238.0</t>
        </is>
      </c>
      <c r="Y46" s="280" t="n"/>
    </row>
    <row r="47" ht="15.75" customHeight="1" s="195">
      <c r="A47" s="241" t="n">
        <v>42</v>
      </c>
      <c r="B47" s="305" t="inlineStr">
        <is>
          <t>00000012</t>
        </is>
      </c>
      <c r="C47" s="241" t="inlineStr">
        <is>
          <t>REGION</t>
        </is>
      </c>
      <c r="D47" s="305" t="inlineStr">
        <is>
          <t>IRIGOIN NUNCEVAY DARIEL</t>
        </is>
      </c>
      <c r="E47" s="241" t="inlineStr">
        <is>
          <t>DNI</t>
        </is>
      </c>
      <c r="F47" s="241" t="inlineStr">
        <is>
          <t>92875047</t>
        </is>
      </c>
      <c r="G47" s="336" t="n">
        <v>45817</v>
      </c>
      <c r="H47" s="241" t="inlineStr">
        <is>
          <t>4917</t>
        </is>
      </c>
      <c r="I47" s="332">
        <f>IFERROR(VLOOKUP(TEXT(H47,"0"),IPRESS!$A$3:$B$212,2,0),"")</f>
        <v/>
      </c>
      <c r="J47" s="241" t="inlineStr">
        <is>
          <t>4838</t>
        </is>
      </c>
      <c r="K47" s="332">
        <f>IFERROR(VLOOKUP(TEXT(O47,"0"),CONDUCTORES!$A$3:$G$100,7,0),"")</f>
        <v/>
      </c>
      <c r="L47" s="239" t="n">
        <v>18.18</v>
      </c>
      <c r="M47" s="239" t="n">
        <v>12</v>
      </c>
      <c r="N47" s="333">
        <f>IFERROR(IF(L47*M47=0,"",L47*M47),"")</f>
        <v/>
      </c>
      <c r="O47" s="334" t="n"/>
      <c r="P47" s="332">
        <f>IFERROR(VLOOKUP(TEXT(O47,"0"),CONDUCTORES!$A$3:$G$100,2,0),"")</f>
        <v/>
      </c>
      <c r="Q47" s="332">
        <f>IFERROR(VLOOKUP(TEXT(O47,"0"),CONDUCTORES!$A$3:$H$100,6,0),"")</f>
        <v/>
      </c>
      <c r="R47" s="336" t="n">
        <v>45978</v>
      </c>
      <c r="S47" s="305" t="inlineStr">
        <is>
          <t>S720</t>
        </is>
      </c>
      <c r="T47" s="241" t="n"/>
      <c r="U47" s="280" t="n"/>
      <c r="V47" s="241" t="inlineStr">
        <is>
          <t>5839.0</t>
        </is>
      </c>
      <c r="W47" s="241" t="inlineStr">
        <is>
          <t>CONTRATO 001-2025</t>
        </is>
      </c>
      <c r="X47" s="241" t="inlineStr">
        <is>
          <t>266.0</t>
        </is>
      </c>
      <c r="Y47" s="280" t="n"/>
    </row>
    <row r="48" ht="15.75" customHeight="1" s="195">
      <c r="A48" s="301" t="n">
        <v>43</v>
      </c>
      <c r="B48" s="302" t="inlineStr">
        <is>
          <t>00000013</t>
        </is>
      </c>
      <c r="C48" s="301" t="inlineStr">
        <is>
          <t>REGION</t>
        </is>
      </c>
      <c r="D48" s="302" t="inlineStr">
        <is>
          <t>SOPLA CARMEN</t>
        </is>
      </c>
      <c r="E48" s="301" t="inlineStr">
        <is>
          <t>DNI</t>
        </is>
      </c>
      <c r="F48" s="301" t="inlineStr">
        <is>
          <t>33721258</t>
        </is>
      </c>
      <c r="G48" s="331" t="n">
        <v>45835</v>
      </c>
      <c r="H48" s="301" t="inlineStr">
        <is>
          <t>4917</t>
        </is>
      </c>
      <c r="I48" s="332">
        <f>IFERROR(VLOOKUP(TEXT(H48,"0"),IPRESS!$A$3:$B$212,2,0),"")</f>
        <v/>
      </c>
      <c r="J48" s="301" t="inlineStr">
        <is>
          <t>4838</t>
        </is>
      </c>
      <c r="K48" s="332">
        <f>IFERROR(VLOOKUP(TEXT(O48,"0"),CONDUCTORES!$A$3:$G$100,7,0),"")</f>
        <v/>
      </c>
      <c r="L48" s="245" t="n">
        <v>18.18</v>
      </c>
      <c r="M48" s="245" t="n">
        <v>12</v>
      </c>
      <c r="N48" s="333">
        <f>IFERROR(IF(L48*M48=0,"",L48*M48),"")</f>
        <v/>
      </c>
      <c r="O48" s="280" t="n"/>
      <c r="P48" s="332">
        <f>IFERROR(VLOOKUP(TEXT(O48,"0"),CONDUCTORES!$A$3:$G$100,2,0),"")</f>
        <v/>
      </c>
      <c r="Q48" s="332">
        <f>IFERROR(VLOOKUP(TEXT(O48,"0"),CONDUCTORES!$A$3:$H$100,6,0),"")</f>
        <v/>
      </c>
      <c r="R48" s="331" t="n">
        <v>45978</v>
      </c>
      <c r="S48" s="302" t="inlineStr">
        <is>
          <t>R601,J961</t>
        </is>
      </c>
      <c r="T48" s="301" t="n"/>
      <c r="U48" s="334" t="n"/>
      <c r="V48" s="301" t="inlineStr">
        <is>
          <t>5839.0</t>
        </is>
      </c>
      <c r="W48" s="301" t="inlineStr">
        <is>
          <t>CONTRATO 001-2025</t>
        </is>
      </c>
      <c r="X48" s="301" t="inlineStr">
        <is>
          <t>266.0</t>
        </is>
      </c>
      <c r="Y48" s="280" t="n"/>
    </row>
    <row r="49" ht="15.75" customHeight="1" s="195">
      <c r="A49" s="241" t="n">
        <v>44</v>
      </c>
      <c r="B49" s="305" t="inlineStr">
        <is>
          <t>00000029</t>
        </is>
      </c>
      <c r="C49" s="241" t="inlineStr">
        <is>
          <t>REGION</t>
        </is>
      </c>
      <c r="D49" s="305" t="inlineStr">
        <is>
          <t>POQUIOMA DE VALQUI AGRIPINA</t>
        </is>
      </c>
      <c r="E49" s="241" t="inlineStr">
        <is>
          <t>DNI</t>
        </is>
      </c>
      <c r="F49" s="241" t="inlineStr">
        <is>
          <t>33804754</t>
        </is>
      </c>
      <c r="G49" s="336" t="n">
        <v>45810</v>
      </c>
      <c r="H49" s="241" t="inlineStr">
        <is>
          <t>4850</t>
        </is>
      </c>
      <c r="I49" s="332">
        <f>IFERROR(VLOOKUP(TEXT(H49,"0"),IPRESS!$A$3:$B$212,2,0),"")</f>
        <v/>
      </c>
      <c r="J49" s="241" t="inlineStr">
        <is>
          <t>4838</t>
        </is>
      </c>
      <c r="K49" s="332">
        <f>IFERROR(VLOOKUP(TEXT(O49,"0"),CONDUCTORES!$A$3:$G$100,7,0),"")</f>
        <v/>
      </c>
      <c r="L49" s="239" t="n">
        <v>18.18</v>
      </c>
      <c r="M49" s="239" t="n">
        <v>4</v>
      </c>
      <c r="N49" s="333">
        <f>IFERROR(IF(L49*M49=0,"",L49*M49),"")</f>
        <v/>
      </c>
      <c r="O49" s="334" t="n"/>
      <c r="P49" s="332">
        <f>IFERROR(VLOOKUP(TEXT(O49,"0"),CONDUCTORES!$A$3:$G$100,2,0),"")</f>
        <v/>
      </c>
      <c r="Q49" s="332">
        <f>IFERROR(VLOOKUP(TEXT(O49,"0"),CONDUCTORES!$A$3:$H$100,6,0),"")</f>
        <v/>
      </c>
      <c r="R49" s="336" t="n">
        <v>45950</v>
      </c>
      <c r="S49" s="305" t="inlineStr">
        <is>
          <t>C229,R601,R18X</t>
        </is>
      </c>
      <c r="T49" s="241" t="n"/>
      <c r="U49" s="280" t="n"/>
      <c r="V49" s="241" t="inlineStr">
        <is>
          <t>5230-2025</t>
        </is>
      </c>
      <c r="W49" s="241" t="inlineStr">
        <is>
          <t>CONTRATO No 001-2025 DYT</t>
        </is>
      </c>
      <c r="X49" s="241" t="inlineStr">
        <is>
          <t>266.0</t>
        </is>
      </c>
      <c r="Y49" s="280" t="n"/>
    </row>
    <row r="50" ht="15.75" customHeight="1" s="195">
      <c r="A50" s="301" t="n">
        <v>45</v>
      </c>
      <c r="B50" s="302" t="inlineStr">
        <is>
          <t>00000030</t>
        </is>
      </c>
      <c r="C50" s="301" t="inlineStr">
        <is>
          <t>REGION</t>
        </is>
      </c>
      <c r="D50" s="302" t="inlineStr">
        <is>
          <t>RUITON CHUQUIZUTA ZAIDITA</t>
        </is>
      </c>
      <c r="E50" s="301" t="inlineStr">
        <is>
          <t>DNI</t>
        </is>
      </c>
      <c r="F50" s="301" t="inlineStr">
        <is>
          <t>73692051</t>
        </is>
      </c>
      <c r="G50" s="331" t="n">
        <v>45812</v>
      </c>
      <c r="H50" s="301" t="inlineStr">
        <is>
          <t>4850</t>
        </is>
      </c>
      <c r="I50" s="332">
        <f>IFERROR(VLOOKUP(TEXT(H50,"0"),IPRESS!$A$3:$B$212,2,0),"")</f>
        <v/>
      </c>
      <c r="J50" s="301" t="inlineStr">
        <is>
          <t>4838</t>
        </is>
      </c>
      <c r="K50" s="332">
        <f>IFERROR(VLOOKUP(TEXT(O50,"0"),CONDUCTORES!$A$3:$G$100,7,0),"")</f>
        <v/>
      </c>
      <c r="L50" s="245" t="n">
        <v>18.18</v>
      </c>
      <c r="M50" s="245" t="n">
        <v>4</v>
      </c>
      <c r="N50" s="333">
        <f>IFERROR(IF(L50*M50=0,"",L50*M50),"")</f>
        <v/>
      </c>
      <c r="O50" s="280" t="n"/>
      <c r="P50" s="332">
        <f>IFERROR(VLOOKUP(TEXT(O50,"0"),CONDUCTORES!$A$3:$G$100,2,0),"")</f>
        <v/>
      </c>
      <c r="Q50" s="332">
        <f>IFERROR(VLOOKUP(TEXT(O50,"0"),CONDUCTORES!$A$3:$H$100,6,0),"")</f>
        <v/>
      </c>
      <c r="R50" s="331" t="n">
        <v>45950</v>
      </c>
      <c r="S50" s="302" t="inlineStr">
        <is>
          <t>Z359,O366</t>
        </is>
      </c>
      <c r="T50" s="301" t="n"/>
      <c r="U50" s="334" t="n"/>
      <c r="V50" s="301" t="inlineStr">
        <is>
          <t>5230-2025</t>
        </is>
      </c>
      <c r="W50" s="301" t="inlineStr">
        <is>
          <t>CONTRATO No 001-2025 DYT</t>
        </is>
      </c>
      <c r="X50" s="301" t="inlineStr">
        <is>
          <t>266.0</t>
        </is>
      </c>
      <c r="Y50" s="280" t="n"/>
    </row>
    <row r="51" ht="15.75" customHeight="1" s="195">
      <c r="A51" s="241" t="n">
        <v>46</v>
      </c>
      <c r="B51" s="305" t="inlineStr">
        <is>
          <t>00000031</t>
        </is>
      </c>
      <c r="C51" s="241" t="inlineStr">
        <is>
          <t>REGION</t>
        </is>
      </c>
      <c r="D51" s="305" t="inlineStr">
        <is>
          <t>OCAMPO CUEVA NOA ZAIRED</t>
        </is>
      </c>
      <c r="E51" s="241" t="inlineStr">
        <is>
          <t>DNI</t>
        </is>
      </c>
      <c r="F51" s="241" t="inlineStr">
        <is>
          <t>94051509</t>
        </is>
      </c>
      <c r="G51" s="336" t="n">
        <v>45817</v>
      </c>
      <c r="H51" s="241" t="inlineStr">
        <is>
          <t>4850</t>
        </is>
      </c>
      <c r="I51" s="332">
        <f>IFERROR(VLOOKUP(TEXT(H51,"0"),IPRESS!$A$3:$B$212,2,0),"")</f>
        <v/>
      </c>
      <c r="J51" s="241" t="inlineStr">
        <is>
          <t>4838</t>
        </is>
      </c>
      <c r="K51" s="332">
        <f>IFERROR(VLOOKUP(TEXT(O51,"0"),CONDUCTORES!$A$3:$G$100,7,0),"")</f>
        <v/>
      </c>
      <c r="L51" s="239" t="n">
        <v>18.18</v>
      </c>
      <c r="M51" s="239" t="n">
        <v>4</v>
      </c>
      <c r="N51" s="333">
        <f>IFERROR(IF(L51*M51=0,"",L51*M51),"")</f>
        <v/>
      </c>
      <c r="O51" s="334" t="n"/>
      <c r="P51" s="332">
        <f>IFERROR(VLOOKUP(TEXT(O51,"0"),CONDUCTORES!$A$3:$G$100,2,0),"")</f>
        <v/>
      </c>
      <c r="Q51" s="332">
        <f>IFERROR(VLOOKUP(TEXT(O51,"0"),CONDUCTORES!$A$3:$H$100,6,0),"")</f>
        <v/>
      </c>
      <c r="R51" s="336" t="n">
        <v>45950</v>
      </c>
      <c r="S51" s="305" t="inlineStr">
        <is>
          <t>J219,I519,Q909</t>
        </is>
      </c>
      <c r="T51" s="241" t="n"/>
      <c r="U51" s="280" t="n"/>
      <c r="V51" s="241" t="inlineStr">
        <is>
          <t>5230-2025</t>
        </is>
      </c>
      <c r="W51" s="241" t="inlineStr">
        <is>
          <t>CONTRATO No 001-2025 DYT</t>
        </is>
      </c>
      <c r="X51" s="241" t="inlineStr">
        <is>
          <t>266.0</t>
        </is>
      </c>
      <c r="Y51" s="280" t="n"/>
    </row>
    <row r="52" ht="15.75" customHeight="1" s="195">
      <c r="A52" s="301" t="n">
        <v>47</v>
      </c>
      <c r="B52" s="302" t="inlineStr">
        <is>
          <t>00000032</t>
        </is>
      </c>
      <c r="C52" s="301" t="inlineStr">
        <is>
          <t>REGION</t>
        </is>
      </c>
      <c r="D52" s="302" t="inlineStr">
        <is>
          <t>ZUTA LLANCA CELESTINO</t>
        </is>
      </c>
      <c r="E52" s="301" t="inlineStr">
        <is>
          <t>DNI</t>
        </is>
      </c>
      <c r="F52" s="301" t="inlineStr">
        <is>
          <t>33780057</t>
        </is>
      </c>
      <c r="G52" s="331" t="n">
        <v>45819</v>
      </c>
      <c r="H52" s="301" t="inlineStr">
        <is>
          <t>4850</t>
        </is>
      </c>
      <c r="I52" s="332">
        <f>IFERROR(VLOOKUP(TEXT(H52,"0"),IPRESS!$A$3:$B$212,2,0),"")</f>
        <v/>
      </c>
      <c r="J52" s="301" t="inlineStr">
        <is>
          <t>4838</t>
        </is>
      </c>
      <c r="K52" s="332">
        <f>IFERROR(VLOOKUP(TEXT(O52,"0"),CONDUCTORES!$A$3:$G$100,7,0),"")</f>
        <v/>
      </c>
      <c r="L52" s="245" t="n">
        <v>18.18</v>
      </c>
      <c r="M52" s="245" t="n">
        <v>4</v>
      </c>
      <c r="N52" s="333">
        <f>IFERROR(IF(L52*M52=0,"",L52*M52),"")</f>
        <v/>
      </c>
      <c r="O52" s="280" t="n"/>
      <c r="P52" s="332">
        <f>IFERROR(VLOOKUP(TEXT(O52,"0"),CONDUCTORES!$A$3:$G$100,2,0),"")</f>
        <v/>
      </c>
      <c r="Q52" s="332">
        <f>IFERROR(VLOOKUP(TEXT(O52,"0"),CONDUCTORES!$A$3:$H$100,6,0),"")</f>
        <v/>
      </c>
      <c r="R52" s="331" t="n">
        <v>45950</v>
      </c>
      <c r="S52" s="302" t="inlineStr">
        <is>
          <t>J189,J969</t>
        </is>
      </c>
      <c r="T52" s="301" t="n"/>
      <c r="U52" s="334" t="n"/>
      <c r="V52" s="301" t="inlineStr">
        <is>
          <t>5230-2025</t>
        </is>
      </c>
      <c r="W52" s="301" t="inlineStr">
        <is>
          <t>CONTRATO No 001-2025 DYT</t>
        </is>
      </c>
      <c r="X52" s="301" t="inlineStr">
        <is>
          <t>266.0</t>
        </is>
      </c>
      <c r="Y52" s="280" t="n"/>
    </row>
    <row r="53" ht="15.75" customHeight="1" s="195">
      <c r="A53" s="241" t="n">
        <v>48</v>
      </c>
      <c r="B53" s="305" t="inlineStr">
        <is>
          <t>00000033</t>
        </is>
      </c>
      <c r="C53" s="241" t="inlineStr">
        <is>
          <t>REGION</t>
        </is>
      </c>
      <c r="D53" s="305" t="inlineStr">
        <is>
          <t>VARGAS DE VALQUI ANGELINA</t>
        </is>
      </c>
      <c r="E53" s="241" t="inlineStr">
        <is>
          <t>DNI</t>
        </is>
      </c>
      <c r="F53" s="241" t="inlineStr">
        <is>
          <t>33800656</t>
        </is>
      </c>
      <c r="G53" s="336" t="n">
        <v>45832</v>
      </c>
      <c r="H53" s="241" t="inlineStr">
        <is>
          <t>4850</t>
        </is>
      </c>
      <c r="I53" s="332">
        <f>IFERROR(VLOOKUP(TEXT(H53,"0"),IPRESS!$A$3:$B$212,2,0),"")</f>
        <v/>
      </c>
      <c r="J53" s="241" t="inlineStr">
        <is>
          <t>4838</t>
        </is>
      </c>
      <c r="K53" s="332">
        <f>IFERROR(VLOOKUP(TEXT(O53,"0"),CONDUCTORES!$A$3:$G$100,7,0),"")</f>
        <v/>
      </c>
      <c r="L53" s="239" t="n">
        <v>18.18</v>
      </c>
      <c r="M53" s="239" t="n">
        <v>4</v>
      </c>
      <c r="N53" s="333">
        <f>IFERROR(IF(L53*M53=0,"",L53*M53),"")</f>
        <v/>
      </c>
      <c r="O53" s="334" t="n"/>
      <c r="P53" s="332">
        <f>IFERROR(VLOOKUP(TEXT(O53,"0"),CONDUCTORES!$A$3:$G$100,2,0),"")</f>
        <v/>
      </c>
      <c r="Q53" s="332">
        <f>IFERROR(VLOOKUP(TEXT(O53,"0"),CONDUCTORES!$A$3:$H$100,6,0),"")</f>
        <v/>
      </c>
      <c r="R53" s="336" t="n">
        <v>45950</v>
      </c>
      <c r="S53" s="305" t="inlineStr">
        <is>
          <t>I449,G459</t>
        </is>
      </c>
      <c r="T53" s="241" t="n"/>
      <c r="U53" s="280" t="n"/>
      <c r="V53" s="241" t="inlineStr">
        <is>
          <t>5230-2025</t>
        </is>
      </c>
      <c r="W53" s="241" t="inlineStr">
        <is>
          <t>CONTRATO No 001-2025 DYT</t>
        </is>
      </c>
      <c r="X53" s="241" t="inlineStr">
        <is>
          <t>266.0</t>
        </is>
      </c>
      <c r="Y53" s="280" t="n"/>
    </row>
    <row r="54" ht="15.75" customHeight="1" s="195">
      <c r="A54" s="301" t="n">
        <v>49</v>
      </c>
      <c r="B54" s="302" t="inlineStr">
        <is>
          <t>00000034</t>
        </is>
      </c>
      <c r="C54" s="301" t="inlineStr">
        <is>
          <t>REGION</t>
        </is>
      </c>
      <c r="D54" s="302" t="inlineStr">
        <is>
          <t>GOSGOTTE PEREZ CINDY DEL PILAR</t>
        </is>
      </c>
      <c r="E54" s="301" t="inlineStr">
        <is>
          <t>DNI</t>
        </is>
      </c>
      <c r="F54" s="301" t="inlineStr">
        <is>
          <t>75826701</t>
        </is>
      </c>
      <c r="G54" s="331" t="n">
        <v>45832</v>
      </c>
      <c r="H54" s="301" t="inlineStr">
        <is>
          <t>4850</t>
        </is>
      </c>
      <c r="I54" s="332">
        <f>IFERROR(VLOOKUP(TEXT(H54,"0"),IPRESS!$A$3:$B$212,2,0),"")</f>
        <v/>
      </c>
      <c r="J54" s="301" t="inlineStr">
        <is>
          <t>4838</t>
        </is>
      </c>
      <c r="K54" s="332">
        <f>IFERROR(VLOOKUP(TEXT(O54,"0"),CONDUCTORES!$A$3:$G$100,7,0),"")</f>
        <v/>
      </c>
      <c r="L54" s="245" t="n">
        <v>18.18</v>
      </c>
      <c r="M54" s="245" t="n">
        <v>4</v>
      </c>
      <c r="N54" s="333">
        <f>IFERROR(IF(L54*M54=0,"",L54*M54),"")</f>
        <v/>
      </c>
      <c r="O54" s="280" t="n"/>
      <c r="P54" s="332">
        <f>IFERROR(VLOOKUP(TEXT(O54,"0"),CONDUCTORES!$A$3:$G$100,2,0),"")</f>
        <v/>
      </c>
      <c r="Q54" s="332">
        <f>IFERROR(VLOOKUP(TEXT(O54,"0"),CONDUCTORES!$A$3:$H$100,6,0),"")</f>
        <v/>
      </c>
      <c r="R54" s="331" t="n">
        <v>45950</v>
      </c>
      <c r="S54" s="302" t="inlineStr">
        <is>
          <t>R101,K810</t>
        </is>
      </c>
      <c r="T54" s="301" t="n"/>
      <c r="U54" s="334" t="n"/>
      <c r="V54" s="301" t="inlineStr">
        <is>
          <t>5230-2025</t>
        </is>
      </c>
      <c r="W54" s="301" t="inlineStr">
        <is>
          <t>CONTRATO No 001-2025 DYT</t>
        </is>
      </c>
      <c r="X54" s="301" t="inlineStr">
        <is>
          <t>266.0</t>
        </is>
      </c>
      <c r="Y54" s="280" t="n"/>
    </row>
    <row r="55" ht="15.75" customHeight="1" s="195">
      <c r="A55" s="241" t="n">
        <v>50</v>
      </c>
      <c r="B55" s="305" t="inlineStr">
        <is>
          <t>00000035</t>
        </is>
      </c>
      <c r="C55" s="241" t="inlineStr">
        <is>
          <t>REGION</t>
        </is>
      </c>
      <c r="D55" s="305" t="inlineStr">
        <is>
          <t>VARGAS RODRIGUEZ ADITA MERCEDES</t>
        </is>
      </c>
      <c r="E55" s="241" t="inlineStr">
        <is>
          <t>DNI</t>
        </is>
      </c>
      <c r="F55" s="241" t="inlineStr">
        <is>
          <t>46456937</t>
        </is>
      </c>
      <c r="G55" s="336" t="n">
        <v>45837</v>
      </c>
      <c r="H55" s="241" t="inlineStr">
        <is>
          <t>4850</t>
        </is>
      </c>
      <c r="I55" s="332">
        <f>IFERROR(VLOOKUP(TEXT(H55,"0"),IPRESS!$A$3:$B$212,2,0),"")</f>
        <v/>
      </c>
      <c r="J55" s="241" t="inlineStr">
        <is>
          <t>4838</t>
        </is>
      </c>
      <c r="K55" s="332">
        <f>IFERROR(VLOOKUP(TEXT(O55,"0"),CONDUCTORES!$A$3:$G$100,7,0),"")</f>
        <v/>
      </c>
      <c r="L55" s="239" t="n">
        <v>18.18</v>
      </c>
      <c r="M55" s="239" t="n">
        <v>4</v>
      </c>
      <c r="N55" s="333">
        <f>IFERROR(IF(L55*M55=0,"",L55*M55),"")</f>
        <v/>
      </c>
      <c r="O55" s="334" t="n"/>
      <c r="P55" s="332">
        <f>IFERROR(VLOOKUP(TEXT(O55,"0"),CONDUCTORES!$A$3:$G$100,2,0),"")</f>
        <v/>
      </c>
      <c r="Q55" s="332">
        <f>IFERROR(VLOOKUP(TEXT(O55,"0"),CONDUCTORES!$A$3:$H$100,6,0),"")</f>
        <v/>
      </c>
      <c r="R55" s="336" t="n">
        <v>45950</v>
      </c>
      <c r="S55" s="305" t="inlineStr">
        <is>
          <t>O034</t>
        </is>
      </c>
      <c r="T55" s="241" t="n"/>
      <c r="U55" s="280" t="n"/>
      <c r="V55" s="241" t="inlineStr">
        <is>
          <t>5230-2025</t>
        </is>
      </c>
      <c r="W55" s="241" t="inlineStr">
        <is>
          <t>CONTRATO No 001-2025 DYT</t>
        </is>
      </c>
      <c r="X55" s="241" t="inlineStr">
        <is>
          <t>266.0</t>
        </is>
      </c>
      <c r="Y55" s="280" t="n"/>
    </row>
    <row r="56" ht="15.75" customHeight="1" s="195">
      <c r="A56" s="301" t="n">
        <v>51</v>
      </c>
      <c r="B56" s="302" t="inlineStr">
        <is>
          <t>00000036</t>
        </is>
      </c>
      <c r="C56" s="301" t="inlineStr">
        <is>
          <t>REGION</t>
        </is>
      </c>
      <c r="D56" s="302" t="inlineStr">
        <is>
          <t>INGA MUÑOZ JUANITA DONATILDE</t>
        </is>
      </c>
      <c r="E56" s="301" t="inlineStr">
        <is>
          <t>DNI</t>
        </is>
      </c>
      <c r="F56" s="301" t="inlineStr">
        <is>
          <t>72261592</t>
        </is>
      </c>
      <c r="G56" s="331" t="n">
        <v>45838</v>
      </c>
      <c r="H56" s="301" t="inlineStr">
        <is>
          <t>4850</t>
        </is>
      </c>
      <c r="I56" s="332">
        <f>IFERROR(VLOOKUP(TEXT(H56,"0"),IPRESS!$A$3:$B$212,2,0),"")</f>
        <v/>
      </c>
      <c r="J56" s="301" t="inlineStr">
        <is>
          <t>4838</t>
        </is>
      </c>
      <c r="K56" s="332">
        <f>IFERROR(VLOOKUP(TEXT(O56,"0"),CONDUCTORES!$A$3:$G$100,7,0),"")</f>
        <v/>
      </c>
      <c r="L56" s="245" t="n">
        <v>18.18</v>
      </c>
      <c r="M56" s="245" t="n">
        <v>4</v>
      </c>
      <c r="N56" s="333">
        <f>IFERROR(IF(L56*M56=0,"",L56*M56),"")</f>
        <v/>
      </c>
      <c r="O56" s="280" t="n"/>
      <c r="P56" s="332">
        <f>IFERROR(VLOOKUP(TEXT(O56,"0"),CONDUCTORES!$A$3:$G$100,2,0),"")</f>
        <v/>
      </c>
      <c r="Q56" s="332">
        <f>IFERROR(VLOOKUP(TEXT(O56,"0"),CONDUCTORES!$A$3:$H$100,6,0),"")</f>
        <v/>
      </c>
      <c r="R56" s="331" t="n">
        <v>45950</v>
      </c>
      <c r="S56" s="302" t="inlineStr">
        <is>
          <t>Z359,O342</t>
        </is>
      </c>
      <c r="T56" s="301" t="n"/>
      <c r="U56" s="334" t="n"/>
      <c r="V56" s="301" t="inlineStr">
        <is>
          <t>5230-2025</t>
        </is>
      </c>
      <c r="W56" s="301" t="inlineStr">
        <is>
          <t>CONTRATO No 001-2025 DYT</t>
        </is>
      </c>
      <c r="X56" s="301" t="inlineStr">
        <is>
          <t>266.0</t>
        </is>
      </c>
      <c r="Y56" s="280" t="n"/>
    </row>
    <row r="57" ht="15.75" customHeight="1" s="195">
      <c r="A57" s="241" t="n">
        <v>52</v>
      </c>
      <c r="B57" s="305" t="inlineStr">
        <is>
          <t>00000037</t>
        </is>
      </c>
      <c r="C57" s="241" t="inlineStr">
        <is>
          <t>REGION</t>
        </is>
      </c>
      <c r="D57" s="305" t="inlineStr">
        <is>
          <t>HURTADO GUPIOC ROSA ELENA</t>
        </is>
      </c>
      <c r="E57" s="241" t="inlineStr">
        <is>
          <t>DNI</t>
        </is>
      </c>
      <c r="F57" s="241" t="inlineStr">
        <is>
          <t>33780658</t>
        </is>
      </c>
      <c r="G57" s="336" t="n">
        <v>45838</v>
      </c>
      <c r="H57" s="241" t="inlineStr">
        <is>
          <t>4850</t>
        </is>
      </c>
      <c r="I57" s="332">
        <f>IFERROR(VLOOKUP(TEXT(H57,"0"),IPRESS!$A$3:$B$212,2,0),"")</f>
        <v/>
      </c>
      <c r="J57" s="241" t="inlineStr">
        <is>
          <t>4838</t>
        </is>
      </c>
      <c r="K57" s="332">
        <f>IFERROR(VLOOKUP(TEXT(O57,"0"),CONDUCTORES!$A$3:$G$100,7,0),"")</f>
        <v/>
      </c>
      <c r="L57" s="239" t="n">
        <v>18.18</v>
      </c>
      <c r="M57" s="239" t="n">
        <v>4</v>
      </c>
      <c r="N57" s="333">
        <f>IFERROR(IF(L57*M57=0,"",L57*M57),"")</f>
        <v/>
      </c>
      <c r="O57" s="334" t="n"/>
      <c r="P57" s="332">
        <f>IFERROR(VLOOKUP(TEXT(O57,"0"),CONDUCTORES!$A$3:$G$100,2,0),"")</f>
        <v/>
      </c>
      <c r="Q57" s="332">
        <f>IFERROR(VLOOKUP(TEXT(O57,"0"),CONDUCTORES!$A$3:$H$100,6,0),"")</f>
        <v/>
      </c>
      <c r="R57" s="336" t="n">
        <v>45950</v>
      </c>
      <c r="S57" s="305" t="inlineStr">
        <is>
          <t>J189,J969,E249</t>
        </is>
      </c>
      <c r="T57" s="241" t="n"/>
      <c r="U57" s="280" t="n"/>
      <c r="V57" s="241" t="inlineStr">
        <is>
          <t>5230-2025</t>
        </is>
      </c>
      <c r="W57" s="241" t="inlineStr">
        <is>
          <t>CONTRATO No 001-2025 DYT</t>
        </is>
      </c>
      <c r="X57" s="241" t="inlineStr">
        <is>
          <t>266.0</t>
        </is>
      </c>
      <c r="Y57" s="280" t="n"/>
    </row>
    <row r="58" ht="15.75" customHeight="1" s="195">
      <c r="A58" s="301" t="n">
        <v>53</v>
      </c>
      <c r="B58" s="302" t="inlineStr">
        <is>
          <t>00000020</t>
        </is>
      </c>
      <c r="C58" s="301" t="inlineStr">
        <is>
          <t>REGION</t>
        </is>
      </c>
      <c r="D58" s="302" t="inlineStr">
        <is>
          <t>MUÑOZ FLORES GUILLERMO</t>
        </is>
      </c>
      <c r="E58" s="301" t="inlineStr">
        <is>
          <t>DNI</t>
        </is>
      </c>
      <c r="F58" s="301" t="inlineStr">
        <is>
          <t>33417752</t>
        </is>
      </c>
      <c r="G58" s="331" t="n">
        <v>45812</v>
      </c>
      <c r="H58" s="301" t="inlineStr">
        <is>
          <t>4859</t>
        </is>
      </c>
      <c r="I58" s="332">
        <f>IFERROR(VLOOKUP(TEXT(H58,"0"),IPRESS!$A$3:$B$212,2,0),"")</f>
        <v/>
      </c>
      <c r="J58" s="301" t="inlineStr">
        <is>
          <t>4838</t>
        </is>
      </c>
      <c r="K58" s="332">
        <f>IFERROR(VLOOKUP(TEXT(O58,"0"),CONDUCTORES!$A$3:$G$100,7,0),"")</f>
        <v/>
      </c>
      <c r="L58" s="245" t="n">
        <v>18.18</v>
      </c>
      <c r="M58" s="245" t="n">
        <v>7.5</v>
      </c>
      <c r="N58" s="333">
        <f>IFERROR(IF(L58*M58=0,"",L58*M58),"")</f>
        <v/>
      </c>
      <c r="O58" s="280" t="n"/>
      <c r="P58" s="332">
        <f>IFERROR(VLOOKUP(TEXT(O58,"0"),CONDUCTORES!$A$3:$G$100,2,0),"")</f>
        <v/>
      </c>
      <c r="Q58" s="332">
        <f>IFERROR(VLOOKUP(TEXT(O58,"0"),CONDUCTORES!$A$3:$H$100,6,0),"")</f>
        <v/>
      </c>
      <c r="R58" s="331" t="n">
        <v>45873</v>
      </c>
      <c r="S58" s="302" t="inlineStr">
        <is>
          <t>R101,K359</t>
        </is>
      </c>
      <c r="T58" s="301" t="n"/>
      <c r="U58" s="334" t="n"/>
      <c r="V58" s="301" t="n"/>
      <c r="W58" s="301" t="n"/>
      <c r="X58" s="301" t="n"/>
      <c r="Y58" s="280" t="n"/>
    </row>
    <row r="59" ht="15.75" customHeight="1" s="195">
      <c r="A59" s="241" t="n">
        <v>54</v>
      </c>
      <c r="B59" s="305" t="inlineStr">
        <is>
          <t>00000022</t>
        </is>
      </c>
      <c r="C59" s="241" t="inlineStr">
        <is>
          <t>REGION</t>
        </is>
      </c>
      <c r="D59" s="305" t="inlineStr">
        <is>
          <t>TAFUR COLLANTES HELEN VANESSA</t>
        </is>
      </c>
      <c r="E59" s="241" t="inlineStr">
        <is>
          <t>DNI</t>
        </is>
      </c>
      <c r="F59" s="241" t="inlineStr">
        <is>
          <t>76968148</t>
        </is>
      </c>
      <c r="G59" s="336" t="n">
        <v>45825</v>
      </c>
      <c r="H59" s="241" t="inlineStr">
        <is>
          <t>4859</t>
        </is>
      </c>
      <c r="I59" s="332">
        <f>IFERROR(VLOOKUP(TEXT(H59,"0"),IPRESS!$A$3:$B$212,2,0),"")</f>
        <v/>
      </c>
      <c r="J59" s="241" t="inlineStr">
        <is>
          <t>4838</t>
        </is>
      </c>
      <c r="K59" s="332">
        <f>IFERROR(VLOOKUP(TEXT(O59,"0"),CONDUCTORES!$A$3:$G$100,7,0),"")</f>
        <v/>
      </c>
      <c r="L59" s="239" t="n">
        <v>18.18</v>
      </c>
      <c r="M59" s="239" t="n">
        <v>7.5</v>
      </c>
      <c r="N59" s="333">
        <f>IFERROR(IF(L59*M59=0,"",L59*M59),"")</f>
        <v/>
      </c>
      <c r="O59" s="334" t="n"/>
      <c r="P59" s="332">
        <f>IFERROR(VLOOKUP(TEXT(O59,"0"),CONDUCTORES!$A$3:$G$100,2,0),"")</f>
        <v/>
      </c>
      <c r="Q59" s="332">
        <f>IFERROR(VLOOKUP(TEXT(O59,"0"),CONDUCTORES!$A$3:$H$100,6,0),"")</f>
        <v/>
      </c>
      <c r="R59" s="336" t="n">
        <v>45873</v>
      </c>
      <c r="S59" s="305" t="inlineStr">
        <is>
          <t>O629</t>
        </is>
      </c>
      <c r="T59" s="241" t="n"/>
      <c r="U59" s="280" t="n"/>
      <c r="V59" s="241" t="n"/>
      <c r="W59" s="241" t="n"/>
      <c r="X59" s="241" t="n"/>
      <c r="Y59" s="280" t="n"/>
    </row>
    <row r="60" ht="15.75" customHeight="1" s="195">
      <c r="A60" s="301" t="n">
        <v>55</v>
      </c>
      <c r="B60" s="302" t="inlineStr">
        <is>
          <t>00000023</t>
        </is>
      </c>
      <c r="C60" s="301" t="inlineStr">
        <is>
          <t>REGION</t>
        </is>
      </c>
      <c r="D60" s="302" t="inlineStr">
        <is>
          <t>LLANOS ATALAYA LUIS RAMIRO</t>
        </is>
      </c>
      <c r="E60" s="301" t="inlineStr">
        <is>
          <t>DNI</t>
        </is>
      </c>
      <c r="F60" s="301" t="inlineStr">
        <is>
          <t>45357945</t>
        </is>
      </c>
      <c r="G60" s="331" t="n">
        <v>45828</v>
      </c>
      <c r="H60" s="301" t="inlineStr">
        <is>
          <t>4859</t>
        </is>
      </c>
      <c r="I60" s="332">
        <f>IFERROR(VLOOKUP(TEXT(H60,"0"),IPRESS!$A$3:$B$212,2,0),"")</f>
        <v/>
      </c>
      <c r="J60" s="301" t="inlineStr">
        <is>
          <t>4838</t>
        </is>
      </c>
      <c r="K60" s="332">
        <f>IFERROR(VLOOKUP(TEXT(O60,"0"),CONDUCTORES!$A$3:$G$100,7,0),"")</f>
        <v/>
      </c>
      <c r="L60" s="245" t="n">
        <v>18.18</v>
      </c>
      <c r="M60" s="245" t="n">
        <v>7.5</v>
      </c>
      <c r="N60" s="333">
        <f>IFERROR(IF(L60*M60=0,"",L60*M60),"")</f>
        <v/>
      </c>
      <c r="O60" s="280" t="n"/>
      <c r="P60" s="332">
        <f>IFERROR(VLOOKUP(TEXT(O60,"0"),CONDUCTORES!$A$3:$G$100,2,0),"")</f>
        <v/>
      </c>
      <c r="Q60" s="332">
        <f>IFERROR(VLOOKUP(TEXT(O60,"0"),CONDUCTORES!$A$3:$H$100,6,0),"")</f>
        <v/>
      </c>
      <c r="R60" s="331" t="n">
        <v>45873</v>
      </c>
      <c r="S60" s="302" t="inlineStr">
        <is>
          <t>S801,S822,M869</t>
        </is>
      </c>
      <c r="T60" s="301" t="n"/>
      <c r="U60" s="334" t="n"/>
      <c r="V60" s="301" t="n"/>
      <c r="W60" s="301" t="n"/>
      <c r="X60" s="301" t="n"/>
      <c r="Y60" s="280" t="n"/>
    </row>
    <row r="61" ht="15.75" customHeight="1" s="195">
      <c r="A61" s="241" t="n">
        <v>56</v>
      </c>
      <c r="B61" s="305" t="inlineStr">
        <is>
          <t>00000024</t>
        </is>
      </c>
      <c r="C61" s="241" t="inlineStr">
        <is>
          <t>REGION</t>
        </is>
      </c>
      <c r="D61" s="305" t="inlineStr">
        <is>
          <t>ACUÑA ZAMORA HILDA</t>
        </is>
      </c>
      <c r="E61" s="241" t="inlineStr">
        <is>
          <t>DNI</t>
        </is>
      </c>
      <c r="F61" s="241" t="inlineStr">
        <is>
          <t>93722118</t>
        </is>
      </c>
      <c r="G61" s="336" t="n">
        <v>45829</v>
      </c>
      <c r="H61" s="241" t="inlineStr">
        <is>
          <t>4859</t>
        </is>
      </c>
      <c r="I61" s="332">
        <f>IFERROR(VLOOKUP(TEXT(H61,"0"),IPRESS!$A$3:$B$212,2,0),"")</f>
        <v/>
      </c>
      <c r="J61" s="241" t="inlineStr">
        <is>
          <t>4838</t>
        </is>
      </c>
      <c r="K61" s="332">
        <f>IFERROR(VLOOKUP(TEXT(O61,"0"),CONDUCTORES!$A$3:$G$100,7,0),"")</f>
        <v/>
      </c>
      <c r="L61" s="239" t="n">
        <v>18.18</v>
      </c>
      <c r="M61" s="239" t="n">
        <v>7.5</v>
      </c>
      <c r="N61" s="333">
        <f>IFERROR(IF(L61*M61=0,"",L61*M61),"")</f>
        <v/>
      </c>
      <c r="O61" s="334" t="n"/>
      <c r="P61" s="332">
        <f>IFERROR(VLOOKUP(TEXT(O61,"0"),CONDUCTORES!$A$3:$G$100,2,0),"")</f>
        <v/>
      </c>
      <c r="Q61" s="332">
        <f>IFERROR(VLOOKUP(TEXT(O61,"0"),CONDUCTORES!$A$3:$H$100,6,0),"")</f>
        <v/>
      </c>
      <c r="R61" s="336" t="n">
        <v>45873</v>
      </c>
      <c r="S61" s="305" t="inlineStr">
        <is>
          <t>J960,J189</t>
        </is>
      </c>
      <c r="T61" s="241" t="n"/>
      <c r="U61" s="280" t="n"/>
      <c r="V61" s="241" t="n"/>
      <c r="W61" s="241" t="n"/>
      <c r="X61" s="241" t="n"/>
      <c r="Y61" s="280" t="n"/>
    </row>
    <row r="62" ht="15.75" customHeight="1" s="195">
      <c r="A62" s="301" t="n">
        <v>57</v>
      </c>
      <c r="B62" s="302" t="inlineStr">
        <is>
          <t>00000025</t>
        </is>
      </c>
      <c r="C62" s="301" t="inlineStr">
        <is>
          <t>REGION</t>
        </is>
      </c>
      <c r="D62" s="302" t="inlineStr">
        <is>
          <t>URBINA BUSTAMANTE MARINA ISABEL</t>
        </is>
      </c>
      <c r="E62" s="301" t="inlineStr">
        <is>
          <t>DNI</t>
        </is>
      </c>
      <c r="F62" s="301" t="inlineStr">
        <is>
          <t>43719451</t>
        </is>
      </c>
      <c r="G62" s="331" t="n">
        <v>45830</v>
      </c>
      <c r="H62" s="301" t="inlineStr">
        <is>
          <t>4859</t>
        </is>
      </c>
      <c r="I62" s="332">
        <f>IFERROR(VLOOKUP(TEXT(H62,"0"),IPRESS!$A$3:$B$212,2,0),"")</f>
        <v/>
      </c>
      <c r="J62" s="301" t="inlineStr">
        <is>
          <t>4838</t>
        </is>
      </c>
      <c r="K62" s="332">
        <f>IFERROR(VLOOKUP(TEXT(O62,"0"),CONDUCTORES!$A$3:$G$100,7,0),"")</f>
        <v/>
      </c>
      <c r="L62" s="245" t="n">
        <v>18.18</v>
      </c>
      <c r="M62" s="245" t="n">
        <v>7.5</v>
      </c>
      <c r="N62" s="333">
        <f>IFERROR(IF(L62*M62=0,"",L62*M62),"")</f>
        <v/>
      </c>
      <c r="O62" s="280" t="n"/>
      <c r="P62" s="332">
        <f>IFERROR(VLOOKUP(TEXT(O62,"0"),CONDUCTORES!$A$3:$G$100,2,0),"")</f>
        <v/>
      </c>
      <c r="Q62" s="332">
        <f>IFERROR(VLOOKUP(TEXT(O62,"0"),CONDUCTORES!$A$3:$H$100,6,0),"")</f>
        <v/>
      </c>
      <c r="R62" s="331" t="n">
        <v>45873</v>
      </c>
      <c r="S62" s="302" t="inlineStr">
        <is>
          <t>R101,J810</t>
        </is>
      </c>
      <c r="T62" s="301" t="n"/>
      <c r="U62" s="334" t="n"/>
      <c r="V62" s="301" t="n"/>
      <c r="W62" s="301" t="n"/>
      <c r="X62" s="301" t="n"/>
      <c r="Y62" s="280" t="n"/>
    </row>
    <row r="63" ht="15.75" customHeight="1" s="195">
      <c r="A63" s="241" t="n">
        <v>58</v>
      </c>
      <c r="B63" s="305" t="inlineStr">
        <is>
          <t>00000026</t>
        </is>
      </c>
      <c r="C63" s="241" t="inlineStr">
        <is>
          <t>REGION</t>
        </is>
      </c>
      <c r="D63" s="305" t="inlineStr">
        <is>
          <t xml:space="preserve">AGUILAR FARJE JOSE ESDRAN </t>
        </is>
      </c>
      <c r="E63" s="241" t="inlineStr">
        <is>
          <t>DNI</t>
        </is>
      </c>
      <c r="F63" s="241" t="inlineStr">
        <is>
          <t>33417804</t>
        </is>
      </c>
      <c r="G63" s="336" t="n">
        <v>45832</v>
      </c>
      <c r="H63" s="241" t="inlineStr">
        <is>
          <t>4859</t>
        </is>
      </c>
      <c r="I63" s="332">
        <f>IFERROR(VLOOKUP(TEXT(H63,"0"),IPRESS!$A$3:$B$212,2,0),"")</f>
        <v/>
      </c>
      <c r="J63" s="241" t="inlineStr">
        <is>
          <t>4838</t>
        </is>
      </c>
      <c r="K63" s="332">
        <f>IFERROR(VLOOKUP(TEXT(O63,"0"),CONDUCTORES!$A$3:$G$100,7,0),"")</f>
        <v/>
      </c>
      <c r="L63" s="239" t="n">
        <v>18.18</v>
      </c>
      <c r="M63" s="239" t="n">
        <v>7.5</v>
      </c>
      <c r="N63" s="333">
        <f>IFERROR(IF(L63*M63=0,"",L63*M63),"")</f>
        <v/>
      </c>
      <c r="O63" s="334" t="n"/>
      <c r="P63" s="332">
        <f>IFERROR(VLOOKUP(TEXT(O63,"0"),CONDUCTORES!$A$3:$G$100,2,0),"")</f>
        <v/>
      </c>
      <c r="Q63" s="332">
        <f>IFERROR(VLOOKUP(TEXT(O63,"0"),CONDUCTORES!$A$3:$H$100,6,0),"")</f>
        <v/>
      </c>
      <c r="R63" s="336" t="n">
        <v>45873</v>
      </c>
      <c r="S63" s="305" t="inlineStr">
        <is>
          <t>J960,J189</t>
        </is>
      </c>
      <c r="T63" s="241" t="n"/>
      <c r="U63" s="280" t="n"/>
      <c r="V63" s="241" t="n"/>
      <c r="W63" s="241" t="n"/>
      <c r="X63" s="241" t="n"/>
      <c r="Y63" s="280" t="n"/>
    </row>
    <row r="64" ht="15.75" customHeight="1" s="195">
      <c r="A64" s="301" t="n">
        <v>59</v>
      </c>
      <c r="B64" s="302" t="inlineStr">
        <is>
          <t>00000028</t>
        </is>
      </c>
      <c r="C64" s="301" t="inlineStr">
        <is>
          <t>REGION</t>
        </is>
      </c>
      <c r="D64" s="302" t="inlineStr">
        <is>
          <t>VASQUEZ CARRANZA LUZ NELIDA</t>
        </is>
      </c>
      <c r="E64" s="301" t="inlineStr">
        <is>
          <t>DNI</t>
        </is>
      </c>
      <c r="F64" s="301" t="inlineStr">
        <is>
          <t>27542871</t>
        </is>
      </c>
      <c r="G64" s="331" t="n">
        <v>45833</v>
      </c>
      <c r="H64" s="301" t="inlineStr">
        <is>
          <t>4859</t>
        </is>
      </c>
      <c r="I64" s="332">
        <f>IFERROR(VLOOKUP(TEXT(H64,"0"),IPRESS!$A$3:$B$212,2,0),"")</f>
        <v/>
      </c>
      <c r="J64" s="301" t="inlineStr">
        <is>
          <t>4838</t>
        </is>
      </c>
      <c r="K64" s="332">
        <f>IFERROR(VLOOKUP(TEXT(O64,"0"),CONDUCTORES!$A$3:$G$100,7,0),"")</f>
        <v/>
      </c>
      <c r="L64" s="245" t="n">
        <v>18.18</v>
      </c>
      <c r="M64" s="245" t="n">
        <v>7</v>
      </c>
      <c r="N64" s="333">
        <f>IFERROR(IF(L64*M64=0,"",L64*M64),"")</f>
        <v/>
      </c>
      <c r="O64" s="280" t="n"/>
      <c r="P64" s="332">
        <f>IFERROR(VLOOKUP(TEXT(O64,"0"),CONDUCTORES!$A$3:$G$100,2,0),"")</f>
        <v/>
      </c>
      <c r="Q64" s="332">
        <f>IFERROR(VLOOKUP(TEXT(O64,"0"),CONDUCTORES!$A$3:$H$100,6,0),"")</f>
        <v/>
      </c>
      <c r="R64" s="331" t="n">
        <v>45873</v>
      </c>
      <c r="S64" s="302" t="inlineStr">
        <is>
          <t>S400,S430</t>
        </is>
      </c>
      <c r="T64" s="301" t="n"/>
      <c r="U64" s="334" t="n"/>
      <c r="V64" s="301" t="n"/>
      <c r="W64" s="301" t="n"/>
      <c r="X64" s="301" t="n"/>
      <c r="Y64" s="280" t="n"/>
    </row>
    <row r="65" ht="15.75" customHeight="1" s="195">
      <c r="A65" s="241" t="n">
        <v>60</v>
      </c>
      <c r="B65" s="305" t="inlineStr">
        <is>
          <t>00000029</t>
        </is>
      </c>
      <c r="C65" s="241" t="inlineStr">
        <is>
          <t>REGION</t>
        </is>
      </c>
      <c r="D65" s="305" t="inlineStr">
        <is>
          <t>ZUTA CHUQUIZUTA WILFREDO</t>
        </is>
      </c>
      <c r="E65" s="241" t="inlineStr">
        <is>
          <t>DNI</t>
        </is>
      </c>
      <c r="F65" s="241" t="inlineStr">
        <is>
          <t>72463552</t>
        </is>
      </c>
      <c r="G65" s="336" t="n">
        <v>45817</v>
      </c>
      <c r="H65" s="241" t="inlineStr">
        <is>
          <t>4866</t>
        </is>
      </c>
      <c r="I65" s="332">
        <f>IFERROR(VLOOKUP(TEXT(H65,"0"),IPRESS!$A$3:$B$212,2,0),"")</f>
        <v/>
      </c>
      <c r="J65" s="241" t="inlineStr">
        <is>
          <t>4838</t>
        </is>
      </c>
      <c r="K65" s="332">
        <f>IFERROR(VLOOKUP(TEXT(O65,"0"),CONDUCTORES!$A$3:$G$100,7,0),"")</f>
        <v/>
      </c>
      <c r="L65" s="239" t="n">
        <v>18.18</v>
      </c>
      <c r="M65" s="239" t="n">
        <v>4</v>
      </c>
      <c r="N65" s="333">
        <f>IFERROR(IF(L65*M65=0,"",L65*M65),"")</f>
        <v/>
      </c>
      <c r="O65" s="334" t="n"/>
      <c r="P65" s="332">
        <f>IFERROR(VLOOKUP(TEXT(O65,"0"),CONDUCTORES!$A$3:$G$100,2,0),"")</f>
        <v/>
      </c>
      <c r="Q65" s="332">
        <f>IFERROR(VLOOKUP(TEXT(O65,"0"),CONDUCTORES!$A$3:$H$100,6,0),"")</f>
        <v/>
      </c>
      <c r="R65" s="336" t="n">
        <v>45887</v>
      </c>
      <c r="S65" s="305" t="inlineStr">
        <is>
          <t>R100,K800</t>
        </is>
      </c>
      <c r="T65" s="241" t="n"/>
      <c r="U65" s="280" t="n"/>
      <c r="V65" s="241" t="inlineStr">
        <is>
          <t>3888-2025</t>
        </is>
      </c>
      <c r="W65" s="241" t="inlineStr">
        <is>
          <t>CONTRATTO 001 -2025</t>
        </is>
      </c>
      <c r="X65" s="241" t="inlineStr">
        <is>
          <t>238.0</t>
        </is>
      </c>
      <c r="Y65" s="280" t="n"/>
    </row>
    <row r="66" ht="15.75" customHeight="1" s="195">
      <c r="A66" s="301" t="n">
        <v>61</v>
      </c>
      <c r="B66" s="302" t="inlineStr">
        <is>
          <t>00000030</t>
        </is>
      </c>
      <c r="C66" s="301" t="inlineStr">
        <is>
          <t>REGION</t>
        </is>
      </c>
      <c r="D66" s="302" t="inlineStr">
        <is>
          <t>GRANDEZ GOMEZ SHIRLEY MASIEL</t>
        </is>
      </c>
      <c r="E66" s="301" t="inlineStr">
        <is>
          <t>DNI</t>
        </is>
      </c>
      <c r="F66" s="301" t="inlineStr">
        <is>
          <t>90978812</t>
        </is>
      </c>
      <c r="G66" s="331" t="n">
        <v>45819</v>
      </c>
      <c r="H66" s="301" t="inlineStr">
        <is>
          <t>4866</t>
        </is>
      </c>
      <c r="I66" s="332">
        <f>IFERROR(VLOOKUP(TEXT(H66,"0"),IPRESS!$A$3:$B$212,2,0),"")</f>
        <v/>
      </c>
      <c r="J66" s="301" t="inlineStr">
        <is>
          <t>4838</t>
        </is>
      </c>
      <c r="K66" s="332">
        <f>IFERROR(VLOOKUP(TEXT(O66,"0"),CONDUCTORES!$A$3:$G$100,7,0),"")</f>
        <v/>
      </c>
      <c r="L66" s="245" t="n">
        <v>18.18</v>
      </c>
      <c r="M66" s="245" t="n">
        <v>4</v>
      </c>
      <c r="N66" s="333">
        <f>IFERROR(IF(L66*M66=0,"",L66*M66),"")</f>
        <v/>
      </c>
      <c r="O66" s="280" t="n"/>
      <c r="P66" s="332">
        <f>IFERROR(VLOOKUP(TEXT(O66,"0"),CONDUCTORES!$A$3:$G$100,2,0),"")</f>
        <v/>
      </c>
      <c r="Q66" s="332">
        <f>IFERROR(VLOOKUP(TEXT(O66,"0"),CONDUCTORES!$A$3:$H$100,6,0),"")</f>
        <v/>
      </c>
      <c r="R66" s="331" t="n">
        <v>45887</v>
      </c>
      <c r="S66" s="302" t="inlineStr">
        <is>
          <t>S424</t>
        </is>
      </c>
      <c r="T66" s="301" t="n"/>
      <c r="U66" s="334" t="n"/>
      <c r="V66" s="301" t="inlineStr">
        <is>
          <t>3888-2025</t>
        </is>
      </c>
      <c r="W66" s="301" t="inlineStr">
        <is>
          <t>CONTRATTO 001 -2025</t>
        </is>
      </c>
      <c r="X66" s="301" t="inlineStr">
        <is>
          <t>238.0</t>
        </is>
      </c>
      <c r="Y66" s="280" t="n"/>
    </row>
    <row r="67" ht="15.75" customHeight="1" s="195">
      <c r="A67" s="241" t="n">
        <v>62</v>
      </c>
      <c r="B67" s="305" t="inlineStr">
        <is>
          <t>00000031</t>
        </is>
      </c>
      <c r="C67" s="241" t="inlineStr">
        <is>
          <t>REGION</t>
        </is>
      </c>
      <c r="D67" s="305" t="inlineStr">
        <is>
          <t>OYARCE CHAVEZ SADITH</t>
        </is>
      </c>
      <c r="E67" s="241" t="inlineStr">
        <is>
          <t>DNI</t>
        </is>
      </c>
      <c r="F67" s="241" t="inlineStr">
        <is>
          <t>73758588</t>
        </is>
      </c>
      <c r="G67" s="336" t="n">
        <v>45822</v>
      </c>
      <c r="H67" s="241" t="inlineStr">
        <is>
          <t>4866</t>
        </is>
      </c>
      <c r="I67" s="332">
        <f>IFERROR(VLOOKUP(TEXT(H67,"0"),IPRESS!$A$3:$B$212,2,0),"")</f>
        <v/>
      </c>
      <c r="J67" s="241" t="inlineStr">
        <is>
          <t>4838</t>
        </is>
      </c>
      <c r="K67" s="332">
        <f>IFERROR(VLOOKUP(TEXT(O67,"0"),CONDUCTORES!$A$3:$G$100,7,0),"")</f>
        <v/>
      </c>
      <c r="L67" s="239" t="n">
        <v>18.18</v>
      </c>
      <c r="M67" s="239" t="n">
        <v>4</v>
      </c>
      <c r="N67" s="333">
        <f>IFERROR(IF(L67*M67=0,"",L67*M67),"")</f>
        <v/>
      </c>
      <c r="O67" s="334" t="n"/>
      <c r="P67" s="332">
        <f>IFERROR(VLOOKUP(TEXT(O67,"0"),CONDUCTORES!$A$3:$G$100,2,0),"")</f>
        <v/>
      </c>
      <c r="Q67" s="332">
        <f>IFERROR(VLOOKUP(TEXT(O67,"0"),CONDUCTORES!$A$3:$H$100,6,0),"")</f>
        <v/>
      </c>
      <c r="R67" s="336" t="n">
        <v>45887</v>
      </c>
      <c r="S67" s="305" t="inlineStr">
        <is>
          <t>O335</t>
        </is>
      </c>
      <c r="T67" s="241" t="n"/>
      <c r="U67" s="280" t="n"/>
      <c r="V67" s="241" t="inlineStr">
        <is>
          <t>3888-2025</t>
        </is>
      </c>
      <c r="W67" s="241" t="inlineStr">
        <is>
          <t>CONTRATTO 001 -2025</t>
        </is>
      </c>
      <c r="X67" s="241" t="inlineStr">
        <is>
          <t>238.0</t>
        </is>
      </c>
      <c r="Y67" s="280" t="n"/>
    </row>
    <row r="68" ht="15.75" customHeight="1" s="195">
      <c r="A68" s="301" t="n">
        <v>63</v>
      </c>
      <c r="B68" s="302" t="inlineStr">
        <is>
          <t>00000032</t>
        </is>
      </c>
      <c r="C68" s="301" t="inlineStr">
        <is>
          <t>REGION</t>
        </is>
      </c>
      <c r="D68" s="302" t="inlineStr">
        <is>
          <t xml:space="preserve">LOPEZ VELA PILAR </t>
        </is>
      </c>
      <c r="E68" s="301" t="inlineStr">
        <is>
          <t>DNI</t>
        </is>
      </c>
      <c r="F68" s="301" t="inlineStr">
        <is>
          <t>73377126</t>
        </is>
      </c>
      <c r="G68" s="331" t="n">
        <v>45833</v>
      </c>
      <c r="H68" s="301" t="inlineStr">
        <is>
          <t>4866</t>
        </is>
      </c>
      <c r="I68" s="332">
        <f>IFERROR(VLOOKUP(TEXT(H68,"0"),IPRESS!$A$3:$B$212,2,0),"")</f>
        <v/>
      </c>
      <c r="J68" s="301" t="inlineStr">
        <is>
          <t>4838</t>
        </is>
      </c>
      <c r="K68" s="332">
        <f>IFERROR(VLOOKUP(TEXT(O68,"0"),CONDUCTORES!$A$3:$G$100,7,0),"")</f>
        <v/>
      </c>
      <c r="L68" s="245" t="n">
        <v>18.18</v>
      </c>
      <c r="M68" s="245" t="n">
        <v>4</v>
      </c>
      <c r="N68" s="333">
        <f>IFERROR(IF(L68*M68=0,"",L68*M68),"")</f>
        <v/>
      </c>
      <c r="O68" s="280" t="n"/>
      <c r="P68" s="332">
        <f>IFERROR(VLOOKUP(TEXT(O68,"0"),CONDUCTORES!$A$3:$G$100,2,0),"")</f>
        <v/>
      </c>
      <c r="Q68" s="332">
        <f>IFERROR(VLOOKUP(TEXT(O68,"0"),CONDUCTORES!$A$3:$H$100,6,0),"")</f>
        <v/>
      </c>
      <c r="R68" s="331" t="n">
        <v>45887</v>
      </c>
      <c r="S68" s="302" t="inlineStr">
        <is>
          <t>O149</t>
        </is>
      </c>
      <c r="T68" s="301" t="n"/>
      <c r="U68" s="334" t="n"/>
      <c r="V68" s="301" t="inlineStr">
        <is>
          <t>3888-2025</t>
        </is>
      </c>
      <c r="W68" s="301" t="inlineStr">
        <is>
          <t>CONTRATTO 001 -2025</t>
        </is>
      </c>
      <c r="X68" s="301" t="inlineStr">
        <is>
          <t>238.0</t>
        </is>
      </c>
      <c r="Y68" s="280" t="n"/>
    </row>
    <row r="69" ht="15.75" customHeight="1" s="195">
      <c r="A69" s="241" t="n">
        <v>64</v>
      </c>
      <c r="B69" s="305" t="inlineStr">
        <is>
          <t>00000033</t>
        </is>
      </c>
      <c r="C69" s="241" t="inlineStr">
        <is>
          <t>REGION</t>
        </is>
      </c>
      <c r="D69" s="305" t="inlineStr">
        <is>
          <t>GUELAC CANTA LILI</t>
        </is>
      </c>
      <c r="E69" s="241" t="inlineStr">
        <is>
          <t>DNI</t>
        </is>
      </c>
      <c r="F69" s="241" t="inlineStr">
        <is>
          <t>47531324</t>
        </is>
      </c>
      <c r="G69" s="336" t="n">
        <v>45837</v>
      </c>
      <c r="H69" s="241" t="inlineStr">
        <is>
          <t>4866</t>
        </is>
      </c>
      <c r="I69" s="332">
        <f>IFERROR(VLOOKUP(TEXT(H69,"0"),IPRESS!$A$3:$B$212,2,0),"")</f>
        <v/>
      </c>
      <c r="J69" s="241" t="inlineStr">
        <is>
          <t>4838</t>
        </is>
      </c>
      <c r="K69" s="332">
        <f>IFERROR(VLOOKUP(TEXT(O69,"0"),CONDUCTORES!$A$3:$G$100,7,0),"")</f>
        <v/>
      </c>
      <c r="L69" s="239" t="n">
        <v>18.18</v>
      </c>
      <c r="M69" s="239" t="n">
        <v>4</v>
      </c>
      <c r="N69" s="333">
        <f>IFERROR(IF(L69*M69=0,"",L69*M69),"")</f>
        <v/>
      </c>
      <c r="O69" s="334" t="n"/>
      <c r="P69" s="332">
        <f>IFERROR(VLOOKUP(TEXT(O69,"0"),CONDUCTORES!$A$3:$G$100,2,0),"")</f>
        <v/>
      </c>
      <c r="Q69" s="332">
        <f>IFERROR(VLOOKUP(TEXT(O69,"0"),CONDUCTORES!$A$3:$H$100,6,0),"")</f>
        <v/>
      </c>
      <c r="R69" s="336" t="n">
        <v>45887</v>
      </c>
      <c r="S69" s="305" t="inlineStr">
        <is>
          <t>O366</t>
        </is>
      </c>
      <c r="T69" s="241" t="n"/>
      <c r="U69" s="280" t="n"/>
      <c r="V69" s="241" t="inlineStr">
        <is>
          <t>3888-2025</t>
        </is>
      </c>
      <c r="W69" s="241" t="inlineStr">
        <is>
          <t>CONTRATTO 001 -2025</t>
        </is>
      </c>
      <c r="X69" s="241" t="inlineStr">
        <is>
          <t>238.0</t>
        </is>
      </c>
      <c r="Y69" s="280" t="n"/>
    </row>
    <row r="70" ht="15.75" customHeight="1" s="195">
      <c r="A70" s="301" t="n">
        <v>65</v>
      </c>
      <c r="B70" s="302" t="inlineStr">
        <is>
          <t>00000001</t>
        </is>
      </c>
      <c r="C70" s="301" t="inlineStr">
        <is>
          <t>REGION</t>
        </is>
      </c>
      <c r="D70" s="302" t="inlineStr">
        <is>
          <t>SALDAÑA BUSTAMANTE ERLITA YOVANI</t>
        </is>
      </c>
      <c r="E70" s="301" t="inlineStr">
        <is>
          <t>DNI</t>
        </is>
      </c>
      <c r="F70" s="301" t="inlineStr">
        <is>
          <t>71588468</t>
        </is>
      </c>
      <c r="G70" s="331" t="n">
        <v>45831</v>
      </c>
      <c r="H70" s="301" t="inlineStr">
        <is>
          <t>4899</t>
        </is>
      </c>
      <c r="I70" s="332">
        <f>IFERROR(VLOOKUP(TEXT(H70,"0"),IPRESS!$A$3:$B$212,2,0),"")</f>
        <v/>
      </c>
      <c r="J70" s="301" t="inlineStr">
        <is>
          <t>4838</t>
        </is>
      </c>
      <c r="K70" s="332">
        <f>IFERROR(VLOOKUP(TEXT(O70,"0"),CONDUCTORES!$A$3:$G$100,7,0),"")</f>
        <v/>
      </c>
      <c r="L70" s="245" t="n">
        <v>18.18</v>
      </c>
      <c r="M70" s="245" t="n">
        <v>9</v>
      </c>
      <c r="N70" s="333">
        <f>IFERROR(IF(L70*M70=0,"",L70*M70),"")</f>
        <v/>
      </c>
      <c r="O70" s="280" t="n"/>
      <c r="P70" s="332">
        <f>IFERROR(VLOOKUP(TEXT(O70,"0"),CONDUCTORES!$A$3:$G$100,2,0),"")</f>
        <v/>
      </c>
      <c r="Q70" s="332">
        <f>IFERROR(VLOOKUP(TEXT(O70,"0"),CONDUCTORES!$A$3:$H$100,6,0),"")</f>
        <v/>
      </c>
      <c r="R70" s="331" t="n">
        <v>45874</v>
      </c>
      <c r="S70" s="302" t="inlineStr">
        <is>
          <t>Z359,O639</t>
        </is>
      </c>
      <c r="T70" s="301" t="n"/>
      <c r="U70" s="334" t="n"/>
      <c r="V70" s="301" t="inlineStr">
        <is>
          <t>OFICIO 3690</t>
        </is>
      </c>
      <c r="W70" s="301" t="inlineStr">
        <is>
          <t>CONTRATO n° 001-2025</t>
        </is>
      </c>
      <c r="X70" s="301" t="inlineStr">
        <is>
          <t>238.0</t>
        </is>
      </c>
      <c r="Y70" s="280" t="n"/>
    </row>
    <row r="71" ht="15.75" customHeight="1" s="195">
      <c r="A71" s="337" t="n">
        <v>66</v>
      </c>
      <c r="B71" s="338" t="inlineStr">
        <is>
          <t>00000005</t>
        </is>
      </c>
      <c r="C71" s="337" t="inlineStr">
        <is>
          <t>REGION</t>
        </is>
      </c>
      <c r="D71" s="338" t="inlineStr">
        <is>
          <t>MELENDEZ INGA MIRIAM</t>
        </is>
      </c>
      <c r="E71" s="337" t="inlineStr">
        <is>
          <t>DNI</t>
        </is>
      </c>
      <c r="F71" s="337" t="inlineStr">
        <is>
          <t>40720061</t>
        </is>
      </c>
      <c r="G71" s="339" t="n">
        <v>45820</v>
      </c>
      <c r="H71" s="337" t="inlineStr">
        <is>
          <t>4869</t>
        </is>
      </c>
      <c r="I71" s="332">
        <f>IFERROR(VLOOKUP(TEXT(H71,"0"),IPRESS!$A$3:$B$212,2,0),"")</f>
        <v/>
      </c>
      <c r="J71" s="337" t="inlineStr">
        <is>
          <t>4838</t>
        </is>
      </c>
      <c r="K71" s="332">
        <f>IFERROR(VLOOKUP(TEXT(O71,"0"),CONDUCTORES!$A$3:$G$100,7,0),"")</f>
        <v/>
      </c>
      <c r="L71" s="340" t="n">
        <v>17.95</v>
      </c>
      <c r="M71" s="340" t="n">
        <v>8</v>
      </c>
      <c r="N71" s="333">
        <f>IFERROR(IF(L71*M71=0,"",L71*M71),"")</f>
        <v/>
      </c>
      <c r="O71" s="334" t="n"/>
      <c r="P71" s="332">
        <f>IFERROR(VLOOKUP(TEXT(O71,"0"),CONDUCTORES!$A$3:$G$100,2,0),"")</f>
        <v/>
      </c>
      <c r="Q71" s="332">
        <f>IFERROR(VLOOKUP(TEXT(O71,"0"),CONDUCTORES!$A$3:$H$100,6,0),"")</f>
        <v/>
      </c>
      <c r="R71" s="339" t="n">
        <v>45835</v>
      </c>
      <c r="S71" s="338" t="inlineStr">
        <is>
          <t>K703,G939,D696,D649</t>
        </is>
      </c>
      <c r="T71" s="337" t="n"/>
      <c r="U71" s="341" t="n"/>
      <c r="V71" s="337" t="n"/>
      <c r="W71" s="337" t="n"/>
      <c r="X71" s="337" t="n"/>
      <c r="Y71" s="280" t="n"/>
    </row>
    <row r="72" ht="15.75" customHeight="1" s="195">
      <c r="A72" s="301" t="n">
        <v>67</v>
      </c>
      <c r="B72" s="302" t="inlineStr">
        <is>
          <t>00000001</t>
        </is>
      </c>
      <c r="C72" s="301" t="inlineStr">
        <is>
          <t>REGION</t>
        </is>
      </c>
      <c r="D72" s="302" t="inlineStr">
        <is>
          <t>VASQUE MEDINA DENIS</t>
        </is>
      </c>
      <c r="E72" s="301" t="inlineStr">
        <is>
          <t>DNI</t>
        </is>
      </c>
      <c r="F72" s="301" t="inlineStr">
        <is>
          <t>78804841</t>
        </is>
      </c>
      <c r="G72" s="331" t="n">
        <v>45810</v>
      </c>
      <c r="H72" s="301" t="inlineStr">
        <is>
          <t>4947</t>
        </is>
      </c>
      <c r="I72" s="332">
        <f>IFERROR(VLOOKUP(TEXT(H72,"0"),IPRESS!$A$3:$B$212,2,0),"")</f>
        <v/>
      </c>
      <c r="J72" s="301" t="inlineStr">
        <is>
          <t>4950</t>
        </is>
      </c>
      <c r="K72" s="332">
        <f>IFERROR(VLOOKUP(TEXT(O72,"0"),CONDUCTORES!$A$3:$G$100,7,0),"")</f>
        <v/>
      </c>
      <c r="L72" s="245" t="n">
        <v>20.25</v>
      </c>
      <c r="M72" s="245" t="n">
        <v>10</v>
      </c>
      <c r="N72" s="333">
        <f>IFERROR(IF(L72*M72=0,"",L72*M72),"")</f>
        <v/>
      </c>
      <c r="O72" s="280" t="n"/>
      <c r="P72" s="332">
        <f>IFERROR(VLOOKUP(TEXT(O72,"0"),CONDUCTORES!$A$3:$G$100,2,0),"")</f>
        <v/>
      </c>
      <c r="Q72" s="332">
        <f>IFERROR(VLOOKUP(TEXT(O72,"0"),CONDUCTORES!$A$3:$H$100,6,0),"")</f>
        <v/>
      </c>
      <c r="R72" s="331" t="n">
        <v>45987</v>
      </c>
      <c r="S72" s="302" t="inlineStr">
        <is>
          <t>O034,G442</t>
        </is>
      </c>
      <c r="T72" s="301" t="n"/>
      <c r="U72" s="334" t="n"/>
      <c r="V72" s="301" t="inlineStr">
        <is>
          <t>6018-2025</t>
        </is>
      </c>
      <c r="W72" s="301" t="inlineStr">
        <is>
          <t>3479.0</t>
        </is>
      </c>
      <c r="X72" s="301" t="inlineStr">
        <is>
          <t>189.0</t>
        </is>
      </c>
      <c r="Y72" s="280" t="n"/>
    </row>
    <row r="73" ht="15.75" customHeight="1" s="195">
      <c r="A73" s="241" t="n">
        <v>68</v>
      </c>
      <c r="B73" s="305" t="inlineStr">
        <is>
          <t>00000002</t>
        </is>
      </c>
      <c r="C73" s="241" t="inlineStr">
        <is>
          <t>REGION</t>
        </is>
      </c>
      <c r="D73" s="305" t="inlineStr">
        <is>
          <t>PORTOCARRERO CALDERON JOSE</t>
        </is>
      </c>
      <c r="E73" s="241" t="inlineStr">
        <is>
          <t>DNI</t>
        </is>
      </c>
      <c r="F73" s="241" t="inlineStr">
        <is>
          <t>33950485</t>
        </is>
      </c>
      <c r="G73" s="336" t="n">
        <v>45811</v>
      </c>
      <c r="H73" s="241" t="inlineStr">
        <is>
          <t>4950</t>
        </is>
      </c>
      <c r="I73" s="332">
        <f>IFERROR(VLOOKUP(TEXT(H73,"0"),IPRESS!$A$3:$B$212,2,0),"")</f>
        <v/>
      </c>
      <c r="J73" s="241" t="inlineStr">
        <is>
          <t>4950</t>
        </is>
      </c>
      <c r="K73" s="332">
        <f>IFERROR(VLOOKUP(TEXT(O73,"0"),CONDUCTORES!$A$3:$G$100,7,0),"")</f>
        <v/>
      </c>
      <c r="L73" s="239" t="n">
        <v>20.25</v>
      </c>
      <c r="M73" s="239" t="n">
        <v>10</v>
      </c>
      <c r="N73" s="333">
        <f>IFERROR(IF(L73*M73=0,"",L73*M73),"")</f>
        <v/>
      </c>
      <c r="O73" s="334" t="n"/>
      <c r="P73" s="332">
        <f>IFERROR(VLOOKUP(TEXT(O73,"0"),CONDUCTORES!$A$3:$G$100,2,0),"")</f>
        <v/>
      </c>
      <c r="Q73" s="332">
        <f>IFERROR(VLOOKUP(TEXT(O73,"0"),CONDUCTORES!$A$3:$H$100,6,0),"")</f>
        <v/>
      </c>
      <c r="R73" s="336" t="n">
        <v>45987</v>
      </c>
      <c r="S73" s="305" t="inlineStr">
        <is>
          <t>O200,O033</t>
        </is>
      </c>
      <c r="T73" s="241" t="n"/>
      <c r="U73" s="280" t="n"/>
      <c r="V73" s="241" t="inlineStr">
        <is>
          <t>6018-2025</t>
        </is>
      </c>
      <c r="W73" s="241" t="inlineStr">
        <is>
          <t>3479.0</t>
        </is>
      </c>
      <c r="X73" s="241" t="inlineStr">
        <is>
          <t>189.0</t>
        </is>
      </c>
      <c r="Y73" s="280" t="n"/>
    </row>
    <row r="74" ht="15.75" customHeight="1" s="195">
      <c r="A74" s="301" t="n">
        <v>69</v>
      </c>
      <c r="B74" s="302" t="inlineStr">
        <is>
          <t>00000003</t>
        </is>
      </c>
      <c r="C74" s="301" t="inlineStr">
        <is>
          <t>REGION</t>
        </is>
      </c>
      <c r="D74" s="302" t="inlineStr">
        <is>
          <t>VASQUEZ RAMOS CESAR</t>
        </is>
      </c>
      <c r="E74" s="301" t="inlineStr">
        <is>
          <t>DNI</t>
        </is>
      </c>
      <c r="F74" s="301" t="inlineStr">
        <is>
          <t>33952012</t>
        </is>
      </c>
      <c r="G74" s="331" t="n">
        <v>45817</v>
      </c>
      <c r="H74" s="301" t="inlineStr">
        <is>
          <t>4946</t>
        </is>
      </c>
      <c r="I74" s="332">
        <f>IFERROR(VLOOKUP(TEXT(H74,"0"),IPRESS!$A$3:$B$212,2,0),"")</f>
        <v/>
      </c>
      <c r="J74" s="301" t="inlineStr">
        <is>
          <t>4950</t>
        </is>
      </c>
      <c r="K74" s="332">
        <f>IFERROR(VLOOKUP(TEXT(O74,"0"),CONDUCTORES!$A$3:$G$100,7,0),"")</f>
        <v/>
      </c>
      <c r="L74" s="245" t="n">
        <v>20.25</v>
      </c>
      <c r="M74" s="245" t="n">
        <v>3</v>
      </c>
      <c r="N74" s="333">
        <f>IFERROR(IF(L74*M74=0,"",L74*M74),"")</f>
        <v/>
      </c>
      <c r="O74" s="280" t="n"/>
      <c r="P74" s="332">
        <f>IFERROR(VLOOKUP(TEXT(O74,"0"),CONDUCTORES!$A$3:$G$100,2,0),"")</f>
        <v/>
      </c>
      <c r="Q74" s="332">
        <f>IFERROR(VLOOKUP(TEXT(O74,"0"),CONDUCTORES!$A$3:$H$100,6,0),"")</f>
        <v/>
      </c>
      <c r="R74" s="331" t="n">
        <v>46010</v>
      </c>
      <c r="S74" s="302" t="inlineStr">
        <is>
          <t>E119</t>
        </is>
      </c>
      <c r="T74" s="301" t="n"/>
      <c r="U74" s="334" t="n"/>
      <c r="V74" s="301" t="n"/>
      <c r="W74" s="301" t="n"/>
      <c r="X74" s="301" t="n"/>
      <c r="Y74" s="280" t="n"/>
    </row>
    <row r="75" ht="15.75" customHeight="1" s="195">
      <c r="A75" s="241" t="n">
        <v>70</v>
      </c>
      <c r="B75" s="305" t="inlineStr">
        <is>
          <t>00000004</t>
        </is>
      </c>
      <c r="C75" s="241" t="inlineStr">
        <is>
          <t>REGION</t>
        </is>
      </c>
      <c r="D75" s="305" t="inlineStr">
        <is>
          <t>VARGAS RODRIGUEZ HILDA MERCEDES</t>
        </is>
      </c>
      <c r="E75" s="241" t="inlineStr">
        <is>
          <t>DNI</t>
        </is>
      </c>
      <c r="F75" s="241" t="inlineStr">
        <is>
          <t>80468687</t>
        </is>
      </c>
      <c r="G75" s="336" t="n">
        <v>45837</v>
      </c>
      <c r="H75" s="241" t="inlineStr">
        <is>
          <t>4946</t>
        </is>
      </c>
      <c r="I75" s="332">
        <f>IFERROR(VLOOKUP(TEXT(H75,"0"),IPRESS!$A$3:$B$212,2,0),"")</f>
        <v/>
      </c>
      <c r="J75" s="241" t="inlineStr">
        <is>
          <t>4950</t>
        </is>
      </c>
      <c r="K75" s="332">
        <f>IFERROR(VLOOKUP(TEXT(O75,"0"),CONDUCTORES!$A$3:$G$100,7,0),"")</f>
        <v/>
      </c>
      <c r="L75" s="239" t="n">
        <v>20.25</v>
      </c>
      <c r="M75" s="239" t="n">
        <v>3</v>
      </c>
      <c r="N75" s="333">
        <f>IFERROR(IF(L75*M75=0,"",L75*M75),"")</f>
        <v/>
      </c>
      <c r="O75" s="334" t="n"/>
      <c r="P75" s="332">
        <f>IFERROR(VLOOKUP(TEXT(O75,"0"),CONDUCTORES!$A$3:$G$100,2,0),"")</f>
        <v/>
      </c>
      <c r="Q75" s="332">
        <f>IFERROR(VLOOKUP(TEXT(O75,"0"),CONDUCTORES!$A$3:$H$100,6,0),"")</f>
        <v/>
      </c>
      <c r="R75" s="336" t="n">
        <v>46010</v>
      </c>
      <c r="S75" s="305" t="inlineStr">
        <is>
          <t>N002</t>
        </is>
      </c>
      <c r="T75" s="241" t="n"/>
      <c r="U75" s="280" t="n"/>
      <c r="V75" s="241" t="n"/>
      <c r="W75" s="241" t="n"/>
      <c r="X75" s="241" t="n"/>
      <c r="Y75" s="280" t="n"/>
    </row>
    <row r="76" ht="15.75" customHeight="1" s="195">
      <c r="A76" s="337" t="n">
        <v>71</v>
      </c>
      <c r="B76" s="338" t="inlineStr">
        <is>
          <t>00000049</t>
        </is>
      </c>
      <c r="C76" s="337" t="inlineStr">
        <is>
          <t>REGION</t>
        </is>
      </c>
      <c r="D76" s="338" t="inlineStr">
        <is>
          <t>CASTRO CULLAMPE MARIA NATIVIDAD</t>
        </is>
      </c>
      <c r="E76" s="337" t="inlineStr">
        <is>
          <t>DNI</t>
        </is>
      </c>
      <c r="F76" s="337" t="inlineStr">
        <is>
          <t>33802348</t>
        </is>
      </c>
      <c r="G76" s="339" t="n">
        <v>45813</v>
      </c>
      <c r="H76" s="337" t="inlineStr">
        <is>
          <t>4922</t>
        </is>
      </c>
      <c r="I76" s="332">
        <f>IFERROR(VLOOKUP(TEXT(H76,"0"),IPRESS!$A$3:$B$212,2,0),"")</f>
        <v/>
      </c>
      <c r="J76" s="337" t="inlineStr">
        <is>
          <t>4838</t>
        </is>
      </c>
      <c r="K76" s="332">
        <f>IFERROR(VLOOKUP(TEXT(O76,"0"),CONDUCTORES!$A$3:$G$100,7,0),"")</f>
        <v/>
      </c>
      <c r="L76" s="340" t="n">
        <v>17.95</v>
      </c>
      <c r="M76" s="340" t="n">
        <v>6</v>
      </c>
      <c r="N76" s="333">
        <f>IFERROR(IF(L76*M76=0,"",L76*M76),"")</f>
        <v/>
      </c>
      <c r="O76" s="280" t="n"/>
      <c r="P76" s="332">
        <f>IFERROR(VLOOKUP(TEXT(O76,"0"),CONDUCTORES!$A$3:$G$100,2,0),"")</f>
        <v/>
      </c>
      <c r="Q76" s="332">
        <f>IFERROR(VLOOKUP(TEXT(O76,"0"),CONDUCTORES!$A$3:$H$100,6,0),"")</f>
        <v/>
      </c>
      <c r="R76" s="339" t="n">
        <v>45853</v>
      </c>
      <c r="S76" s="338" t="inlineStr">
        <is>
          <t>J960,J187</t>
        </is>
      </c>
      <c r="T76" s="337" t="n"/>
      <c r="U76" s="341" t="n"/>
      <c r="V76" s="337" t="n"/>
      <c r="W76" s="337" t="n"/>
      <c r="X76" s="337" t="n"/>
      <c r="Y76" s="280" t="n"/>
    </row>
    <row r="77" ht="15.75" customHeight="1" s="195">
      <c r="A77" s="337" t="n">
        <v>72</v>
      </c>
      <c r="B77" s="338" t="inlineStr">
        <is>
          <t>00000052</t>
        </is>
      </c>
      <c r="C77" s="337" t="inlineStr">
        <is>
          <t>REGION</t>
        </is>
      </c>
      <c r="D77" s="338" t="inlineStr">
        <is>
          <t>BAZAN CAMAN SALOME</t>
        </is>
      </c>
      <c r="E77" s="337" t="inlineStr">
        <is>
          <t>DNI</t>
        </is>
      </c>
      <c r="F77" s="337" t="inlineStr">
        <is>
          <t>80602792</t>
        </is>
      </c>
      <c r="G77" s="339" t="n">
        <v>45816</v>
      </c>
      <c r="H77" s="337" t="inlineStr">
        <is>
          <t>4922</t>
        </is>
      </c>
      <c r="I77" s="332">
        <f>IFERROR(VLOOKUP(TEXT(H77,"0"),IPRESS!$A$3:$B$212,2,0),"")</f>
        <v/>
      </c>
      <c r="J77" s="337" t="inlineStr">
        <is>
          <t>4838</t>
        </is>
      </c>
      <c r="K77" s="332">
        <f>IFERROR(VLOOKUP(TEXT(O77,"0"),CONDUCTORES!$A$3:$G$100,7,0),"")</f>
        <v/>
      </c>
      <c r="L77" s="340" t="n">
        <v>17.95</v>
      </c>
      <c r="M77" s="340" t="n">
        <v>6</v>
      </c>
      <c r="N77" s="333">
        <f>IFERROR(IF(L77*M77=0,"",L77*M77),"")</f>
        <v/>
      </c>
      <c r="O77" s="334" t="n"/>
      <c r="P77" s="332">
        <f>IFERROR(VLOOKUP(TEXT(O77,"0"),CONDUCTORES!$A$3:$G$100,2,0),"")</f>
        <v/>
      </c>
      <c r="Q77" s="332">
        <f>IFERROR(VLOOKUP(TEXT(O77,"0"),CONDUCTORES!$A$3:$H$100,6,0),"")</f>
        <v/>
      </c>
      <c r="R77" s="339" t="n">
        <v>45853</v>
      </c>
      <c r="S77" s="338" t="inlineStr">
        <is>
          <t>D649,K250,K922,Z10X</t>
        </is>
      </c>
      <c r="T77" s="337" t="n"/>
      <c r="U77" s="341" t="n"/>
      <c r="V77" s="337" t="n"/>
      <c r="W77" s="337" t="n"/>
      <c r="X77" s="337" t="n"/>
      <c r="Y77" s="280" t="n"/>
    </row>
    <row r="78" ht="15.75" customHeight="1" s="195">
      <c r="A78" s="337" t="n">
        <v>73</v>
      </c>
      <c r="B78" s="338" t="inlineStr">
        <is>
          <t>00000054</t>
        </is>
      </c>
      <c r="C78" s="337" t="inlineStr">
        <is>
          <t>REGION</t>
        </is>
      </c>
      <c r="D78" s="338" t="inlineStr">
        <is>
          <t>ROJAS VILCA MARIA PETRONILA</t>
        </is>
      </c>
      <c r="E78" s="337" t="inlineStr">
        <is>
          <t>DNI</t>
        </is>
      </c>
      <c r="F78" s="337" t="inlineStr">
        <is>
          <t>48189607</t>
        </is>
      </c>
      <c r="G78" s="339" t="n">
        <v>45817</v>
      </c>
      <c r="H78" s="337" t="inlineStr">
        <is>
          <t>4922</t>
        </is>
      </c>
      <c r="I78" s="332">
        <f>IFERROR(VLOOKUP(TEXT(H78,"0"),IPRESS!$A$3:$B$212,2,0),"")</f>
        <v/>
      </c>
      <c r="J78" s="337" t="inlineStr">
        <is>
          <t>4838</t>
        </is>
      </c>
      <c r="K78" s="332">
        <f>IFERROR(VLOOKUP(TEXT(O78,"0"),CONDUCTORES!$A$3:$G$100,7,0),"")</f>
        <v/>
      </c>
      <c r="L78" s="340" t="n">
        <v>17.95</v>
      </c>
      <c r="M78" s="340" t="n">
        <v>6</v>
      </c>
      <c r="N78" s="333">
        <f>IFERROR(IF(L78*M78=0,"",L78*M78),"")</f>
        <v/>
      </c>
      <c r="O78" s="280" t="n"/>
      <c r="P78" s="332">
        <f>IFERROR(VLOOKUP(TEXT(O78,"0"),CONDUCTORES!$A$3:$G$100,2,0),"")</f>
        <v/>
      </c>
      <c r="Q78" s="332">
        <f>IFERROR(VLOOKUP(TEXT(O78,"0"),CONDUCTORES!$A$3:$H$100,6,0),"")</f>
        <v/>
      </c>
      <c r="R78" s="339" t="n">
        <v>45853</v>
      </c>
      <c r="S78" s="338" t="inlineStr">
        <is>
          <t>A971,N390</t>
        </is>
      </c>
      <c r="T78" s="337" t="n"/>
      <c r="U78" s="341" t="n"/>
      <c r="V78" s="337" t="n"/>
      <c r="W78" s="337" t="n"/>
      <c r="X78" s="337" t="n"/>
      <c r="Y78" s="280" t="n"/>
    </row>
    <row r="79" ht="15.75" customHeight="1" s="195">
      <c r="A79" s="337" t="n">
        <v>74</v>
      </c>
      <c r="B79" s="338" t="inlineStr">
        <is>
          <t>00000058</t>
        </is>
      </c>
      <c r="C79" s="337" t="inlineStr">
        <is>
          <t>REGION</t>
        </is>
      </c>
      <c r="D79" s="338" t="inlineStr">
        <is>
          <t>PAREDES ZUTA ELISA</t>
        </is>
      </c>
      <c r="E79" s="337" t="inlineStr">
        <is>
          <t>DNI</t>
        </is>
      </c>
      <c r="F79" s="337" t="inlineStr">
        <is>
          <t>48524125</t>
        </is>
      </c>
      <c r="G79" s="339" t="n">
        <v>45828</v>
      </c>
      <c r="H79" s="337" t="inlineStr">
        <is>
          <t>4922</t>
        </is>
      </c>
      <c r="I79" s="332">
        <f>IFERROR(VLOOKUP(TEXT(H79,"0"),IPRESS!$A$3:$B$212,2,0),"")</f>
        <v/>
      </c>
      <c r="J79" s="337" t="inlineStr">
        <is>
          <t>4838</t>
        </is>
      </c>
      <c r="K79" s="332">
        <f>IFERROR(VLOOKUP(TEXT(O79,"0"),CONDUCTORES!$A$3:$G$100,7,0),"")</f>
        <v/>
      </c>
      <c r="L79" s="340" t="n">
        <v>17.95</v>
      </c>
      <c r="M79" s="340" t="n">
        <v>6</v>
      </c>
      <c r="N79" s="333">
        <f>IFERROR(IF(L79*M79=0,"",L79*M79),"")</f>
        <v/>
      </c>
      <c r="O79" s="334" t="n"/>
      <c r="P79" s="332">
        <f>IFERROR(VLOOKUP(TEXT(O79,"0"),CONDUCTORES!$A$3:$G$100,2,0),"")</f>
        <v/>
      </c>
      <c r="Q79" s="332">
        <f>IFERROR(VLOOKUP(TEXT(O79,"0"),CONDUCTORES!$A$3:$H$100,6,0),"")</f>
        <v/>
      </c>
      <c r="R79" s="339" t="n">
        <v>45853</v>
      </c>
      <c r="S79" s="338" t="inlineStr">
        <is>
          <t>J960,J441,A419</t>
        </is>
      </c>
      <c r="T79" s="337" t="n"/>
      <c r="U79" s="341" t="n"/>
      <c r="V79" s="337" t="n"/>
      <c r="W79" s="337" t="n"/>
      <c r="X79" s="337" t="n"/>
      <c r="Y79" s="280" t="n"/>
    </row>
    <row r="80" ht="15.75" customHeight="1" s="195">
      <c r="A80" s="337" t="n">
        <v>75</v>
      </c>
      <c r="B80" s="338" t="inlineStr">
        <is>
          <t>00000050</t>
        </is>
      </c>
      <c r="C80" s="337" t="inlineStr">
        <is>
          <t>REGION</t>
        </is>
      </c>
      <c r="D80" s="338" t="inlineStr">
        <is>
          <t>GUZMAN QUILO CASILDA</t>
        </is>
      </c>
      <c r="E80" s="337" t="inlineStr">
        <is>
          <t>DNI</t>
        </is>
      </c>
      <c r="F80" s="337" t="inlineStr">
        <is>
          <t>80294064</t>
        </is>
      </c>
      <c r="G80" s="339" t="n">
        <v>45814</v>
      </c>
      <c r="H80" s="337" t="inlineStr">
        <is>
          <t>4922</t>
        </is>
      </c>
      <c r="I80" s="332">
        <f>IFERROR(VLOOKUP(TEXT(H80,"0"),IPRESS!$A$3:$B$212,2,0),"")</f>
        <v/>
      </c>
      <c r="J80" s="337" t="inlineStr">
        <is>
          <t>4838</t>
        </is>
      </c>
      <c r="K80" s="332">
        <f>IFERROR(VLOOKUP(TEXT(O80,"0"),CONDUCTORES!$A$3:$G$100,7,0),"")</f>
        <v/>
      </c>
      <c r="L80" s="340" t="n">
        <v>17.95</v>
      </c>
      <c r="M80" s="340" t="n">
        <v>6</v>
      </c>
      <c r="N80" s="333">
        <f>IFERROR(IF(L80*M80=0,"",L80*M80),"")</f>
        <v/>
      </c>
      <c r="O80" s="280" t="n"/>
      <c r="P80" s="332">
        <f>IFERROR(VLOOKUP(TEXT(O80,"0"),CONDUCTORES!$A$3:$G$100,2,0),"")</f>
        <v/>
      </c>
      <c r="Q80" s="332">
        <f>IFERROR(VLOOKUP(TEXT(O80,"0"),CONDUCTORES!$A$3:$H$100,6,0),"")</f>
        <v/>
      </c>
      <c r="R80" s="339" t="n">
        <v>45853</v>
      </c>
      <c r="S80" s="338" t="inlineStr">
        <is>
          <t>A419,J189,E119</t>
        </is>
      </c>
      <c r="T80" s="337" t="n"/>
      <c r="U80" s="341" t="n"/>
      <c r="V80" s="337" t="n"/>
      <c r="W80" s="337" t="n"/>
      <c r="X80" s="337" t="n"/>
      <c r="Y80" s="280" t="n"/>
    </row>
    <row r="81" ht="15.75" customHeight="1" s="195">
      <c r="A81" s="241" t="n">
        <v>76</v>
      </c>
      <c r="B81" s="305" t="inlineStr">
        <is>
          <t>00000051</t>
        </is>
      </c>
      <c r="C81" s="241" t="inlineStr">
        <is>
          <t>REGION</t>
        </is>
      </c>
      <c r="D81" s="305" t="inlineStr">
        <is>
          <t>ANGULO AREVALO ALCIDES</t>
        </is>
      </c>
      <c r="E81" s="241" t="inlineStr">
        <is>
          <t>DNI</t>
        </is>
      </c>
      <c r="F81" s="241" t="inlineStr">
        <is>
          <t>43477255</t>
        </is>
      </c>
      <c r="G81" s="336" t="n">
        <v>45814</v>
      </c>
      <c r="H81" s="241" t="inlineStr">
        <is>
          <t>4922</t>
        </is>
      </c>
      <c r="I81" s="332">
        <f>IFERROR(VLOOKUP(TEXT(H81,"0"),IPRESS!$A$3:$B$212,2,0),"")</f>
        <v/>
      </c>
      <c r="J81" s="241" t="inlineStr">
        <is>
          <t>4838</t>
        </is>
      </c>
      <c r="K81" s="332">
        <f>IFERROR(VLOOKUP(TEXT(O81,"0"),CONDUCTORES!$A$3:$G$100,7,0),"")</f>
        <v/>
      </c>
      <c r="L81" s="239" t="n">
        <v>18.18</v>
      </c>
      <c r="M81" s="239" t="n">
        <v>5</v>
      </c>
      <c r="N81" s="333">
        <f>IFERROR(IF(L81*M81=0,"",L81*M81),"")</f>
        <v/>
      </c>
      <c r="O81" s="334" t="n"/>
      <c r="P81" s="332">
        <f>IFERROR(VLOOKUP(TEXT(O81,"0"),CONDUCTORES!$A$3:$G$100,2,0),"")</f>
        <v/>
      </c>
      <c r="Q81" s="332">
        <f>IFERROR(VLOOKUP(TEXT(O81,"0"),CONDUCTORES!$A$3:$H$100,6,0),"")</f>
        <v/>
      </c>
      <c r="R81" s="336" t="n">
        <v>45870</v>
      </c>
      <c r="S81" s="305" t="inlineStr">
        <is>
          <t>N189,J960,I120</t>
        </is>
      </c>
      <c r="T81" s="241" t="n"/>
      <c r="U81" s="280" t="n"/>
      <c r="V81" s="241" t="n"/>
      <c r="W81" s="241" t="n"/>
      <c r="X81" s="241" t="n"/>
      <c r="Y81" s="280" t="n"/>
    </row>
    <row r="82" ht="15.75" customHeight="1" s="195">
      <c r="A82" s="301" t="n">
        <v>77</v>
      </c>
      <c r="B82" s="302" t="inlineStr">
        <is>
          <t>00000057</t>
        </is>
      </c>
      <c r="C82" s="301" t="inlineStr">
        <is>
          <t>REGION</t>
        </is>
      </c>
      <c r="D82" s="302" t="inlineStr">
        <is>
          <t>ROJAS MORA ELISA</t>
        </is>
      </c>
      <c r="E82" s="301" t="inlineStr">
        <is>
          <t>DNI</t>
        </is>
      </c>
      <c r="F82" s="301" t="inlineStr">
        <is>
          <t>73625247</t>
        </is>
      </c>
      <c r="G82" s="331" t="n">
        <v>45826</v>
      </c>
      <c r="H82" s="301" t="inlineStr">
        <is>
          <t>4922</t>
        </is>
      </c>
      <c r="I82" s="332">
        <f>IFERROR(VLOOKUP(TEXT(H82,"0"),IPRESS!$A$3:$B$212,2,0),"")</f>
        <v/>
      </c>
      <c r="J82" s="301" t="inlineStr">
        <is>
          <t>4838</t>
        </is>
      </c>
      <c r="K82" s="332">
        <f>IFERROR(VLOOKUP(TEXT(O82,"0"),CONDUCTORES!$A$3:$G$100,7,0),"")</f>
        <v/>
      </c>
      <c r="L82" s="245" t="n">
        <v>18.18</v>
      </c>
      <c r="M82" s="245" t="n">
        <v>5</v>
      </c>
      <c r="N82" s="333">
        <f>IFERROR(IF(L82*M82=0,"",L82*M82),"")</f>
        <v/>
      </c>
      <c r="O82" s="280" t="n"/>
      <c r="P82" s="332">
        <f>IFERROR(VLOOKUP(TEXT(O82,"0"),CONDUCTORES!$A$3:$G$100,2,0),"")</f>
        <v/>
      </c>
      <c r="Q82" s="332">
        <f>IFERROR(VLOOKUP(TEXT(O82,"0"),CONDUCTORES!$A$3:$H$100,6,0),"")</f>
        <v/>
      </c>
      <c r="R82" s="331" t="n">
        <v>45870</v>
      </c>
      <c r="S82" s="302" t="inlineStr">
        <is>
          <t>O470,O239,O235</t>
        </is>
      </c>
      <c r="T82" s="301" t="n"/>
      <c r="U82" s="334" t="n"/>
      <c r="V82" s="301" t="n"/>
      <c r="W82" s="301" t="n"/>
      <c r="X82" s="301" t="n"/>
      <c r="Y82" s="280" t="n"/>
    </row>
    <row r="83" ht="15.75" customHeight="1" s="195">
      <c r="A83" s="241" t="n">
        <v>78</v>
      </c>
      <c r="B83" s="305" t="inlineStr">
        <is>
          <t>00000053</t>
        </is>
      </c>
      <c r="C83" s="241" t="inlineStr">
        <is>
          <t>REGION</t>
        </is>
      </c>
      <c r="D83" s="305" t="inlineStr">
        <is>
          <t>BOCANEGRA DAZA MIRIAM FABIANA</t>
        </is>
      </c>
      <c r="E83" s="241" t="inlineStr">
        <is>
          <t>DNI</t>
        </is>
      </c>
      <c r="F83" s="241" t="inlineStr">
        <is>
          <t>93431705</t>
        </is>
      </c>
      <c r="G83" s="336" t="n">
        <v>45817</v>
      </c>
      <c r="H83" s="241" t="inlineStr">
        <is>
          <t>4922</t>
        </is>
      </c>
      <c r="I83" s="332">
        <f>IFERROR(VLOOKUP(TEXT(H83,"0"),IPRESS!$A$3:$B$212,2,0),"")</f>
        <v/>
      </c>
      <c r="J83" s="241" t="inlineStr">
        <is>
          <t>4838</t>
        </is>
      </c>
      <c r="K83" s="332">
        <f>IFERROR(VLOOKUP(TEXT(O83,"0"),CONDUCTORES!$A$3:$G$100,7,0),"")</f>
        <v/>
      </c>
      <c r="L83" s="239" t="n">
        <v>18.18</v>
      </c>
      <c r="M83" s="239" t="n">
        <v>5</v>
      </c>
      <c r="N83" s="333">
        <f>IFERROR(IF(L83*M83=0,"",L83*M83),"")</f>
        <v/>
      </c>
      <c r="O83" s="334" t="n"/>
      <c r="P83" s="332">
        <f>IFERROR(VLOOKUP(TEXT(O83,"0"),CONDUCTORES!$A$3:$G$100,2,0),"")</f>
        <v/>
      </c>
      <c r="Q83" s="332">
        <f>IFERROR(VLOOKUP(TEXT(O83,"0"),CONDUCTORES!$A$3:$H$100,6,0),"")</f>
        <v/>
      </c>
      <c r="R83" s="336" t="n">
        <v>45870</v>
      </c>
      <c r="S83" s="305" t="inlineStr">
        <is>
          <t>R568,S069</t>
        </is>
      </c>
      <c r="T83" s="241" t="n"/>
      <c r="U83" s="280" t="n"/>
      <c r="V83" s="241" t="n"/>
      <c r="W83" s="241" t="n"/>
      <c r="X83" s="241" t="n"/>
      <c r="Y83" s="280" t="n"/>
    </row>
    <row r="84" ht="15.75" customHeight="1" s="195">
      <c r="A84" s="301" t="n">
        <v>79</v>
      </c>
      <c r="B84" s="302" t="inlineStr">
        <is>
          <t>00000055</t>
        </is>
      </c>
      <c r="C84" s="301" t="inlineStr">
        <is>
          <t>REGION</t>
        </is>
      </c>
      <c r="D84" s="302" t="inlineStr">
        <is>
          <t>TUCTO PUSCAN GLADIZ MARILU</t>
        </is>
      </c>
      <c r="E84" s="301" t="inlineStr">
        <is>
          <t>DNI</t>
        </is>
      </c>
      <c r="F84" s="301" t="inlineStr">
        <is>
          <t>33422129</t>
        </is>
      </c>
      <c r="G84" s="331" t="n">
        <v>45824</v>
      </c>
      <c r="H84" s="301" t="inlineStr">
        <is>
          <t>4922</t>
        </is>
      </c>
      <c r="I84" s="332">
        <f>IFERROR(VLOOKUP(TEXT(H84,"0"),IPRESS!$A$3:$B$212,2,0),"")</f>
        <v/>
      </c>
      <c r="J84" s="301" t="inlineStr">
        <is>
          <t>4838</t>
        </is>
      </c>
      <c r="K84" s="332">
        <f>IFERROR(VLOOKUP(TEXT(O84,"0"),CONDUCTORES!$A$3:$G$100,7,0),"")</f>
        <v/>
      </c>
      <c r="L84" s="245" t="n">
        <v>18.18</v>
      </c>
      <c r="M84" s="245" t="n">
        <v>5</v>
      </c>
      <c r="N84" s="333">
        <f>IFERROR(IF(L84*M84=0,"",L84*M84),"")</f>
        <v/>
      </c>
      <c r="O84" s="280" t="n"/>
      <c r="P84" s="332">
        <f>IFERROR(VLOOKUP(TEXT(O84,"0"),CONDUCTORES!$A$3:$G$100,2,0),"")</f>
        <v/>
      </c>
      <c r="Q84" s="332">
        <f>IFERROR(VLOOKUP(TEXT(O84,"0"),CONDUCTORES!$A$3:$H$100,6,0),"")</f>
        <v/>
      </c>
      <c r="R84" s="331" t="n">
        <v>45870</v>
      </c>
      <c r="S84" s="302" t="inlineStr">
        <is>
          <t>I679,C119,J10X</t>
        </is>
      </c>
      <c r="T84" s="301" t="n"/>
      <c r="U84" s="334" t="n"/>
      <c r="V84" s="301" t="n"/>
      <c r="W84" s="301" t="n"/>
      <c r="X84" s="301" t="n"/>
      <c r="Y84" s="280" t="n"/>
    </row>
    <row r="85" ht="15.75" customHeight="1" s="195">
      <c r="A85" s="241" t="n">
        <v>80</v>
      </c>
      <c r="B85" s="305" t="inlineStr">
        <is>
          <t>00000056</t>
        </is>
      </c>
      <c r="C85" s="241" t="inlineStr">
        <is>
          <t>REGION</t>
        </is>
      </c>
      <c r="D85" s="305" t="inlineStr">
        <is>
          <t>HUANCAY JULCA MARIVEL</t>
        </is>
      </c>
      <c r="E85" s="241" t="inlineStr">
        <is>
          <t>DNI</t>
        </is>
      </c>
      <c r="F85" s="241" t="inlineStr">
        <is>
          <t>44717343</t>
        </is>
      </c>
      <c r="G85" s="336" t="n">
        <v>45826</v>
      </c>
      <c r="H85" s="241" t="inlineStr">
        <is>
          <t>4922</t>
        </is>
      </c>
      <c r="I85" s="332">
        <f>IFERROR(VLOOKUP(TEXT(H85,"0"),IPRESS!$A$3:$B$212,2,0),"")</f>
        <v/>
      </c>
      <c r="J85" s="241" t="inlineStr">
        <is>
          <t>4838</t>
        </is>
      </c>
      <c r="K85" s="332">
        <f>IFERROR(VLOOKUP(TEXT(O85,"0"),CONDUCTORES!$A$3:$G$100,7,0),"")</f>
        <v/>
      </c>
      <c r="L85" s="239" t="n">
        <v>18.18</v>
      </c>
      <c r="M85" s="239" t="n">
        <v>5</v>
      </c>
      <c r="N85" s="333">
        <f>IFERROR(IF(L85*M85=0,"",L85*M85),"")</f>
        <v/>
      </c>
      <c r="O85" s="334" t="n"/>
      <c r="P85" s="332">
        <f>IFERROR(VLOOKUP(TEXT(O85,"0"),CONDUCTORES!$A$3:$G$100,2,0),"")</f>
        <v/>
      </c>
      <c r="Q85" s="332">
        <f>IFERROR(VLOOKUP(TEXT(O85,"0"),CONDUCTORES!$A$3:$H$100,6,0),"")</f>
        <v/>
      </c>
      <c r="R85" s="336" t="n">
        <v>45870</v>
      </c>
      <c r="S85" s="305" t="inlineStr">
        <is>
          <t>S866,S823</t>
        </is>
      </c>
      <c r="T85" s="241" t="n"/>
      <c r="U85" s="280" t="n"/>
      <c r="V85" s="241" t="n"/>
      <c r="W85" s="241" t="n"/>
      <c r="X85" s="241" t="n"/>
      <c r="Y85" s="280" t="n"/>
    </row>
    <row r="86" ht="15.75" customHeight="1" s="195">
      <c r="A86" s="301" t="n">
        <v>81</v>
      </c>
      <c r="B86" s="302" t="inlineStr">
        <is>
          <t>00000059</t>
        </is>
      </c>
      <c r="C86" s="301" t="inlineStr">
        <is>
          <t>REGION</t>
        </is>
      </c>
      <c r="D86" s="302" t="inlineStr">
        <is>
          <t>CIEZA FUSTAMANTE CELINA</t>
        </is>
      </c>
      <c r="E86" s="301" t="inlineStr">
        <is>
          <t>DNI</t>
        </is>
      </c>
      <c r="F86" s="301" t="inlineStr">
        <is>
          <t>46628474</t>
        </is>
      </c>
      <c r="G86" s="331" t="n">
        <v>45831</v>
      </c>
      <c r="H86" s="301" t="inlineStr">
        <is>
          <t>4922</t>
        </is>
      </c>
      <c r="I86" s="332">
        <f>IFERROR(VLOOKUP(TEXT(H86,"0"),IPRESS!$A$3:$B$212,2,0),"")</f>
        <v/>
      </c>
      <c r="J86" s="301" t="inlineStr">
        <is>
          <t>4838</t>
        </is>
      </c>
      <c r="K86" s="332">
        <f>IFERROR(VLOOKUP(TEXT(O86,"0"),CONDUCTORES!$A$3:$G$100,7,0),"")</f>
        <v/>
      </c>
      <c r="L86" s="245" t="n">
        <v>18.18</v>
      </c>
      <c r="M86" s="245" t="n">
        <v>5</v>
      </c>
      <c r="N86" s="333">
        <f>IFERROR(IF(L86*M86=0,"",L86*M86),"")</f>
        <v/>
      </c>
      <c r="O86" s="280" t="n"/>
      <c r="P86" s="332">
        <f>IFERROR(VLOOKUP(TEXT(O86,"0"),CONDUCTORES!$A$3:$G$100,2,0),"")</f>
        <v/>
      </c>
      <c r="Q86" s="332">
        <f>IFERROR(VLOOKUP(TEXT(O86,"0"),CONDUCTORES!$A$3:$H$100,6,0),"")</f>
        <v/>
      </c>
      <c r="R86" s="331" t="n">
        <v>45870</v>
      </c>
      <c r="S86" s="302" t="inlineStr">
        <is>
          <t>O034</t>
        </is>
      </c>
      <c r="T86" s="301" t="n"/>
      <c r="U86" s="334" t="n"/>
      <c r="V86" s="301" t="n"/>
      <c r="W86" s="301" t="n"/>
      <c r="X86" s="301" t="n"/>
      <c r="Y86" s="280" t="n"/>
    </row>
    <row r="87" ht="15.75" customHeight="1" s="195">
      <c r="A87" s="241" t="n">
        <v>82</v>
      </c>
      <c r="B87" s="305" t="inlineStr">
        <is>
          <t>00000028</t>
        </is>
      </c>
      <c r="C87" s="241" t="inlineStr">
        <is>
          <t>REGION</t>
        </is>
      </c>
      <c r="D87" s="305" t="inlineStr">
        <is>
          <t>ROJAS GALOC ANEL MAYLIN</t>
        </is>
      </c>
      <c r="E87" s="241" t="inlineStr">
        <is>
          <t>DNI</t>
        </is>
      </c>
      <c r="F87" s="241" t="inlineStr">
        <is>
          <t>90597581</t>
        </is>
      </c>
      <c r="G87" s="336" t="n">
        <v>45809</v>
      </c>
      <c r="H87" s="241" t="inlineStr">
        <is>
          <t>4932</t>
        </is>
      </c>
      <c r="I87" s="332">
        <f>IFERROR(VLOOKUP(TEXT(H87,"0"),IPRESS!$A$3:$B$212,2,0),"")</f>
        <v/>
      </c>
      <c r="J87" s="241" t="inlineStr">
        <is>
          <t>4838</t>
        </is>
      </c>
      <c r="K87" s="332">
        <f>IFERROR(VLOOKUP(TEXT(O87,"0"),CONDUCTORES!$A$3:$G$100,7,0),"")</f>
        <v/>
      </c>
      <c r="L87" s="239" t="n">
        <v>18.18</v>
      </c>
      <c r="M87" s="239" t="n">
        <v>8</v>
      </c>
      <c r="N87" s="333">
        <f>IFERROR(IF(L87*M87=0,"",L87*M87),"")</f>
        <v/>
      </c>
      <c r="O87" s="334" t="n"/>
      <c r="P87" s="332">
        <f>IFERROR(VLOOKUP(TEXT(O87,"0"),CONDUCTORES!$A$3:$G$100,2,0),"")</f>
        <v/>
      </c>
      <c r="Q87" s="332">
        <f>IFERROR(VLOOKUP(TEXT(O87,"0"),CONDUCTORES!$A$3:$H$100,6,0),"")</f>
        <v/>
      </c>
      <c r="R87" s="336" t="n">
        <v>45826</v>
      </c>
      <c r="S87" s="305" t="inlineStr">
        <is>
          <t>J961,I509</t>
        </is>
      </c>
      <c r="T87" s="241" t="n"/>
      <c r="U87" s="280" t="n"/>
      <c r="V87" s="241" t="n"/>
      <c r="W87" s="241" t="n"/>
      <c r="X87" s="241" t="n"/>
      <c r="Y87" s="280" t="n"/>
    </row>
    <row r="88" ht="15.75" customHeight="1" s="195">
      <c r="A88" s="301" t="n">
        <v>83</v>
      </c>
      <c r="B88" s="302" t="inlineStr">
        <is>
          <t>00000029</t>
        </is>
      </c>
      <c r="C88" s="301" t="inlineStr">
        <is>
          <t>REGION</t>
        </is>
      </c>
      <c r="D88" s="302" t="inlineStr">
        <is>
          <t>BECERRA MONDRAGON YEIMI RUNEL</t>
        </is>
      </c>
      <c r="E88" s="301" t="inlineStr">
        <is>
          <t>DNI</t>
        </is>
      </c>
      <c r="F88" s="301" t="inlineStr">
        <is>
          <t>74620340</t>
        </is>
      </c>
      <c r="G88" s="331" t="n">
        <v>45819</v>
      </c>
      <c r="H88" s="301" t="inlineStr">
        <is>
          <t>4932</t>
        </is>
      </c>
      <c r="I88" s="332">
        <f>IFERROR(VLOOKUP(TEXT(H88,"0"),IPRESS!$A$3:$B$212,2,0),"")</f>
        <v/>
      </c>
      <c r="J88" s="301" t="inlineStr">
        <is>
          <t>4838</t>
        </is>
      </c>
      <c r="K88" s="332">
        <f>IFERROR(VLOOKUP(TEXT(O88,"0"),CONDUCTORES!$A$3:$G$100,7,0),"")</f>
        <v/>
      </c>
      <c r="L88" s="245" t="n">
        <v>18.18</v>
      </c>
      <c r="M88" s="245" t="n">
        <v>8</v>
      </c>
      <c r="N88" s="333">
        <f>IFERROR(IF(L88*M88=0,"",L88*M88),"")</f>
        <v/>
      </c>
      <c r="O88" s="280" t="n"/>
      <c r="P88" s="332">
        <f>IFERROR(VLOOKUP(TEXT(O88,"0"),CONDUCTORES!$A$3:$G$100,2,0),"")</f>
        <v/>
      </c>
      <c r="Q88" s="332">
        <f>IFERROR(VLOOKUP(TEXT(O88,"0"),CONDUCTORES!$A$3:$H$100,6,0),"")</f>
        <v/>
      </c>
      <c r="R88" s="331" t="n">
        <v>45874</v>
      </c>
      <c r="S88" s="302" t="inlineStr">
        <is>
          <t>Z359,O300,O600</t>
        </is>
      </c>
      <c r="T88" s="301" t="n"/>
      <c r="U88" s="334" t="n"/>
      <c r="V88" s="301" t="inlineStr">
        <is>
          <t>3692-2025</t>
        </is>
      </c>
      <c r="W88" s="301" t="inlineStr">
        <is>
          <t>CONTRATO N|01-2025</t>
        </is>
      </c>
      <c r="X88" s="301" t="inlineStr">
        <is>
          <t>238.0</t>
        </is>
      </c>
      <c r="Y88" s="280" t="n"/>
    </row>
    <row r="89" ht="15.75" customHeight="1" s="195">
      <c r="A89" s="241" t="n">
        <v>84</v>
      </c>
      <c r="B89" s="305" t="inlineStr">
        <is>
          <t>00000033</t>
        </is>
      </c>
      <c r="C89" s="241" t="inlineStr">
        <is>
          <t>REGION</t>
        </is>
      </c>
      <c r="D89" s="305" t="inlineStr">
        <is>
          <t>VELA OCAMPO FLORA</t>
        </is>
      </c>
      <c r="E89" s="241" t="inlineStr">
        <is>
          <t>DNI</t>
        </is>
      </c>
      <c r="F89" s="241" t="inlineStr">
        <is>
          <t>80469195</t>
        </is>
      </c>
      <c r="G89" s="336" t="n">
        <v>45826</v>
      </c>
      <c r="H89" s="241" t="inlineStr">
        <is>
          <t>4932</t>
        </is>
      </c>
      <c r="I89" s="332">
        <f>IFERROR(VLOOKUP(TEXT(H89,"0"),IPRESS!$A$3:$B$212,2,0),"")</f>
        <v/>
      </c>
      <c r="J89" s="241" t="inlineStr">
        <is>
          <t>4838</t>
        </is>
      </c>
      <c r="K89" s="332">
        <f>IFERROR(VLOOKUP(TEXT(O89,"0"),CONDUCTORES!$A$3:$G$100,7,0),"")</f>
        <v/>
      </c>
      <c r="L89" s="239" t="n">
        <v>18.18</v>
      </c>
      <c r="M89" s="239" t="n">
        <v>8</v>
      </c>
      <c r="N89" s="333">
        <f>IFERROR(IF(L89*M89=0,"",L89*M89),"")</f>
        <v/>
      </c>
      <c r="O89" s="334" t="n"/>
      <c r="P89" s="332">
        <f>IFERROR(VLOOKUP(TEXT(O89,"0"),CONDUCTORES!$A$3:$G$100,2,0),"")</f>
        <v/>
      </c>
      <c r="Q89" s="332">
        <f>IFERROR(VLOOKUP(TEXT(O89,"0"),CONDUCTORES!$A$3:$H$100,6,0),"")</f>
        <v/>
      </c>
      <c r="R89" s="336" t="n">
        <v>45874</v>
      </c>
      <c r="S89" s="305" t="inlineStr">
        <is>
          <t>J159,I10X</t>
        </is>
      </c>
      <c r="T89" s="241" t="n"/>
      <c r="U89" s="280" t="n"/>
      <c r="V89" s="241" t="inlineStr">
        <is>
          <t>3692-2025</t>
        </is>
      </c>
      <c r="W89" s="241" t="inlineStr">
        <is>
          <t>CONTRATO N|01-2025</t>
        </is>
      </c>
      <c r="X89" s="241" t="inlineStr">
        <is>
          <t>238.0</t>
        </is>
      </c>
      <c r="Y89" s="280" t="n"/>
    </row>
    <row r="90" ht="15.75" customHeight="1" s="195">
      <c r="A90" s="301" t="n">
        <v>85</v>
      </c>
      <c r="B90" s="302" t="inlineStr">
        <is>
          <t>00000035</t>
        </is>
      </c>
      <c r="C90" s="301" t="inlineStr">
        <is>
          <t>REGION</t>
        </is>
      </c>
      <c r="D90" s="302" t="inlineStr">
        <is>
          <t>VALLE DE PILCO AMANDA</t>
        </is>
      </c>
      <c r="E90" s="301" t="inlineStr">
        <is>
          <t>DNI</t>
        </is>
      </c>
      <c r="F90" s="301" t="inlineStr">
        <is>
          <t>33731681</t>
        </is>
      </c>
      <c r="G90" s="331" t="n">
        <v>45835</v>
      </c>
      <c r="H90" s="301" t="inlineStr">
        <is>
          <t>4932</t>
        </is>
      </c>
      <c r="I90" s="332">
        <f>IFERROR(VLOOKUP(TEXT(H90,"0"),IPRESS!$A$3:$B$212,2,0),"")</f>
        <v/>
      </c>
      <c r="J90" s="301" t="inlineStr">
        <is>
          <t>4838</t>
        </is>
      </c>
      <c r="K90" s="332">
        <f>IFERROR(VLOOKUP(TEXT(O90,"0"),CONDUCTORES!$A$3:$G$100,7,0),"")</f>
        <v/>
      </c>
      <c r="L90" s="245" t="n">
        <v>18.18</v>
      </c>
      <c r="M90" s="245" t="n">
        <v>8</v>
      </c>
      <c r="N90" s="333">
        <f>IFERROR(IF(L90*M90=0,"",L90*M90),"")</f>
        <v/>
      </c>
      <c r="O90" s="280" t="n"/>
      <c r="P90" s="332">
        <f>IFERROR(VLOOKUP(TEXT(O90,"0"),CONDUCTORES!$A$3:$G$100,2,0),"")</f>
        <v/>
      </c>
      <c r="Q90" s="332">
        <f>IFERROR(VLOOKUP(TEXT(O90,"0"),CONDUCTORES!$A$3:$H$100,6,0),"")</f>
        <v/>
      </c>
      <c r="R90" s="331" t="n">
        <v>45874</v>
      </c>
      <c r="S90" s="302" t="inlineStr">
        <is>
          <t>J961,I509</t>
        </is>
      </c>
      <c r="T90" s="301" t="n"/>
      <c r="U90" s="334" t="n"/>
      <c r="V90" s="301" t="inlineStr">
        <is>
          <t>3692-2025</t>
        </is>
      </c>
      <c r="W90" s="301" t="inlineStr">
        <is>
          <t>CONTRATO N|01-2025</t>
        </is>
      </c>
      <c r="X90" s="301" t="inlineStr">
        <is>
          <t>238.0</t>
        </is>
      </c>
      <c r="Y90" s="280" t="n"/>
    </row>
    <row r="91" ht="15.75" customHeight="1" s="195">
      <c r="A91" s="241" t="n">
        <v>86</v>
      </c>
      <c r="B91" s="305" t="inlineStr">
        <is>
          <t>00000036</t>
        </is>
      </c>
      <c r="C91" s="241" t="inlineStr">
        <is>
          <t>REGION</t>
        </is>
      </c>
      <c r="D91" s="305" t="inlineStr">
        <is>
          <t>CERNA JUAREZ CARMEN PATRICIA</t>
        </is>
      </c>
      <c r="E91" s="241" t="inlineStr">
        <is>
          <t>DNI</t>
        </is>
      </c>
      <c r="F91" s="241" t="inlineStr">
        <is>
          <t>70160340</t>
        </is>
      </c>
      <c r="G91" s="336" t="n">
        <v>45838</v>
      </c>
      <c r="H91" s="241" t="inlineStr">
        <is>
          <t>4932</t>
        </is>
      </c>
      <c r="I91" s="332">
        <f>IFERROR(VLOOKUP(TEXT(H91,"0"),IPRESS!$A$3:$B$212,2,0),"")</f>
        <v/>
      </c>
      <c r="J91" s="241" t="inlineStr">
        <is>
          <t>4838</t>
        </is>
      </c>
      <c r="K91" s="332">
        <f>IFERROR(VLOOKUP(TEXT(O91,"0"),CONDUCTORES!$A$3:$G$100,7,0),"")</f>
        <v/>
      </c>
      <c r="L91" s="239" t="n">
        <v>18.18</v>
      </c>
      <c r="M91" s="239" t="n">
        <v>8</v>
      </c>
      <c r="N91" s="333">
        <f>IFERROR(IF(L91*M91=0,"",L91*M91),"")</f>
        <v/>
      </c>
      <c r="O91" s="334" t="n"/>
      <c r="P91" s="332">
        <f>IFERROR(VLOOKUP(TEXT(O91,"0"),CONDUCTORES!$A$3:$G$100,2,0),"")</f>
        <v/>
      </c>
      <c r="Q91" s="332">
        <f>IFERROR(VLOOKUP(TEXT(O91,"0"),CONDUCTORES!$A$3:$H$100,6,0),"")</f>
        <v/>
      </c>
      <c r="R91" s="336" t="n">
        <v>45874</v>
      </c>
      <c r="S91" s="305" t="inlineStr">
        <is>
          <t>O432,O731</t>
        </is>
      </c>
      <c r="T91" s="241" t="n"/>
      <c r="U91" s="280" t="n"/>
      <c r="V91" s="241" t="inlineStr">
        <is>
          <t>3692-2025</t>
        </is>
      </c>
      <c r="W91" s="241" t="inlineStr">
        <is>
          <t>CONTRATO N|01-2025</t>
        </is>
      </c>
      <c r="X91" s="241" t="inlineStr">
        <is>
          <t>238.0</t>
        </is>
      </c>
      <c r="Y91" s="280" t="n"/>
    </row>
    <row r="92" ht="15.75" customHeight="1" s="195">
      <c r="A92" s="301" t="n">
        <v>87</v>
      </c>
      <c r="B92" s="302" t="inlineStr">
        <is>
          <t>00000032</t>
        </is>
      </c>
      <c r="C92" s="301" t="inlineStr">
        <is>
          <t>REGION</t>
        </is>
      </c>
      <c r="D92" s="302" t="inlineStr">
        <is>
          <t>RIVASPLATA GIL MARILYN MARCELA</t>
        </is>
      </c>
      <c r="E92" s="301" t="inlineStr">
        <is>
          <t>DNI</t>
        </is>
      </c>
      <c r="F92" s="301" t="inlineStr">
        <is>
          <t>77088680</t>
        </is>
      </c>
      <c r="G92" s="331" t="n">
        <v>45825</v>
      </c>
      <c r="H92" s="301" t="inlineStr">
        <is>
          <t>4932</t>
        </is>
      </c>
      <c r="I92" s="332">
        <f>IFERROR(VLOOKUP(TEXT(H92,"0"),IPRESS!$A$3:$B$212,2,0),"")</f>
        <v/>
      </c>
      <c r="J92" s="301" t="inlineStr">
        <is>
          <t>4838</t>
        </is>
      </c>
      <c r="K92" s="332">
        <f>IFERROR(VLOOKUP(TEXT(O92,"0"),CONDUCTORES!$A$3:$G$100,7,0),"")</f>
        <v/>
      </c>
      <c r="L92" s="245" t="n">
        <v>18.18</v>
      </c>
      <c r="M92" s="245" t="n">
        <v>8</v>
      </c>
      <c r="N92" s="333">
        <f>IFERROR(IF(L92*M92=0,"",L92*M92),"")</f>
        <v/>
      </c>
      <c r="O92" s="280" t="n"/>
      <c r="P92" s="332">
        <f>IFERROR(VLOOKUP(TEXT(O92,"0"),CONDUCTORES!$A$3:$G$100,2,0),"")</f>
        <v/>
      </c>
      <c r="Q92" s="332">
        <f>IFERROR(VLOOKUP(TEXT(O92,"0"),CONDUCTORES!$A$3:$H$100,6,0),"")</f>
        <v/>
      </c>
      <c r="R92" s="331" t="n">
        <v>45874</v>
      </c>
      <c r="S92" s="302" t="inlineStr">
        <is>
          <t>Z359,O639</t>
        </is>
      </c>
      <c r="T92" s="301" t="n"/>
      <c r="U92" s="334" t="n"/>
      <c r="V92" s="301" t="inlineStr">
        <is>
          <t>3692-2025</t>
        </is>
      </c>
      <c r="W92" s="301" t="inlineStr">
        <is>
          <t>CONTRATO N|01-2025</t>
        </is>
      </c>
      <c r="X92" s="301" t="inlineStr">
        <is>
          <t>238.0</t>
        </is>
      </c>
      <c r="Y92" s="280" t="n"/>
    </row>
    <row r="93" ht="15.75" customHeight="1" s="195">
      <c r="A93" s="241" t="n">
        <v>88</v>
      </c>
      <c r="B93" s="305" t="inlineStr">
        <is>
          <t>00000030</t>
        </is>
      </c>
      <c r="C93" s="241" t="inlineStr">
        <is>
          <t>REGION</t>
        </is>
      </c>
      <c r="D93" s="305" t="inlineStr">
        <is>
          <t>MEDINA GUEVARA JULIA</t>
        </is>
      </c>
      <c r="E93" s="241" t="inlineStr">
        <is>
          <t>DNI</t>
        </is>
      </c>
      <c r="F93" s="241" t="inlineStr">
        <is>
          <t>27400707</t>
        </is>
      </c>
      <c r="G93" s="336" t="n">
        <v>45815</v>
      </c>
      <c r="H93" s="241" t="inlineStr">
        <is>
          <t>4932</t>
        </is>
      </c>
      <c r="I93" s="332">
        <f>IFERROR(VLOOKUP(TEXT(H93,"0"),IPRESS!$A$3:$B$212,2,0),"")</f>
        <v/>
      </c>
      <c r="J93" s="241" t="inlineStr">
        <is>
          <t>4838</t>
        </is>
      </c>
      <c r="K93" s="332">
        <f>IFERROR(VLOOKUP(TEXT(O93,"0"),CONDUCTORES!$A$3:$G$100,7,0),"")</f>
        <v/>
      </c>
      <c r="L93" s="239" t="n">
        <v>18.18</v>
      </c>
      <c r="M93" s="239" t="n">
        <v>8</v>
      </c>
      <c r="N93" s="333">
        <f>IFERROR(IF(L93*M93=0,"",L93*M93),"")</f>
        <v/>
      </c>
      <c r="O93" s="334" t="n"/>
      <c r="P93" s="332">
        <f>IFERROR(VLOOKUP(TEXT(O93,"0"),CONDUCTORES!$A$3:$G$100,2,0),"")</f>
        <v/>
      </c>
      <c r="Q93" s="332">
        <f>IFERROR(VLOOKUP(TEXT(O93,"0"),CONDUCTORES!$A$3:$H$100,6,0),"")</f>
        <v/>
      </c>
      <c r="R93" s="336" t="n">
        <v>45874</v>
      </c>
      <c r="S93" s="305" t="inlineStr">
        <is>
          <t>R18X,K746</t>
        </is>
      </c>
      <c r="T93" s="241" t="n"/>
      <c r="U93" s="280" t="n"/>
      <c r="V93" s="241" t="inlineStr">
        <is>
          <t>3692-2025</t>
        </is>
      </c>
      <c r="W93" s="241" t="inlineStr">
        <is>
          <t>CONTRATO N|01-2025</t>
        </is>
      </c>
      <c r="X93" s="241" t="inlineStr">
        <is>
          <t>238.0</t>
        </is>
      </c>
      <c r="Y93" s="280" t="n"/>
    </row>
    <row r="94" ht="15.75" customHeight="1" s="195">
      <c r="A94" s="301" t="n">
        <v>89</v>
      </c>
      <c r="B94" s="302" t="inlineStr">
        <is>
          <t>00000031</t>
        </is>
      </c>
      <c r="C94" s="301" t="inlineStr">
        <is>
          <t>REGION</t>
        </is>
      </c>
      <c r="D94" s="302" t="inlineStr">
        <is>
          <t>SANCHEZ TARRILLO YULIZA</t>
        </is>
      </c>
      <c r="E94" s="301" t="inlineStr">
        <is>
          <t>DNI</t>
        </is>
      </c>
      <c r="F94" s="301" t="inlineStr">
        <is>
          <t>76119275</t>
        </is>
      </c>
      <c r="G94" s="331" t="n">
        <v>45820</v>
      </c>
      <c r="H94" s="301" t="inlineStr">
        <is>
          <t>4932</t>
        </is>
      </c>
      <c r="I94" s="332">
        <f>IFERROR(VLOOKUP(TEXT(H94,"0"),IPRESS!$A$3:$B$212,2,0),"")</f>
        <v/>
      </c>
      <c r="J94" s="301" t="inlineStr">
        <is>
          <t>4838</t>
        </is>
      </c>
      <c r="K94" s="332">
        <f>IFERROR(VLOOKUP(TEXT(O94,"0"),CONDUCTORES!$A$3:$G$100,7,0),"")</f>
        <v/>
      </c>
      <c r="L94" s="245" t="n">
        <v>18.18</v>
      </c>
      <c r="M94" s="245" t="n">
        <v>8</v>
      </c>
      <c r="N94" s="333">
        <f>IFERROR(IF(L94*M94=0,"",L94*M94),"")</f>
        <v/>
      </c>
      <c r="O94" s="280" t="n"/>
      <c r="P94" s="332">
        <f>IFERROR(VLOOKUP(TEXT(O94,"0"),CONDUCTORES!$A$3:$G$100,2,0),"")</f>
        <v/>
      </c>
      <c r="Q94" s="332">
        <f>IFERROR(VLOOKUP(TEXT(O94,"0"),CONDUCTORES!$A$3:$H$100,6,0),"")</f>
        <v/>
      </c>
      <c r="R94" s="331" t="n">
        <v>45874</v>
      </c>
      <c r="S94" s="302" t="inlineStr">
        <is>
          <t>Z359,O659</t>
        </is>
      </c>
      <c r="T94" s="301" t="n"/>
      <c r="U94" s="334" t="n"/>
      <c r="V94" s="301" t="inlineStr">
        <is>
          <t>3692-2025</t>
        </is>
      </c>
      <c r="W94" s="301" t="inlineStr">
        <is>
          <t>CONTRATO N|01-2025</t>
        </is>
      </c>
      <c r="X94" s="301" t="inlineStr">
        <is>
          <t>238.0</t>
        </is>
      </c>
      <c r="Y94" s="280" t="n"/>
    </row>
    <row r="95" ht="15.75" customHeight="1" s="195">
      <c r="A95" s="241" t="n">
        <v>90</v>
      </c>
      <c r="B95" s="305" t="inlineStr">
        <is>
          <t>00000034</t>
        </is>
      </c>
      <c r="C95" s="241" t="inlineStr">
        <is>
          <t>REGION</t>
        </is>
      </c>
      <c r="D95" s="305" t="inlineStr">
        <is>
          <t>GONZALES MONTEZA ANA YOSI</t>
        </is>
      </c>
      <c r="E95" s="241" t="inlineStr">
        <is>
          <t>DNI</t>
        </is>
      </c>
      <c r="F95" s="241" t="inlineStr">
        <is>
          <t>73933759</t>
        </is>
      </c>
      <c r="G95" s="336" t="n">
        <v>45828</v>
      </c>
      <c r="H95" s="241" t="inlineStr">
        <is>
          <t>4932</t>
        </is>
      </c>
      <c r="I95" s="332">
        <f>IFERROR(VLOOKUP(TEXT(H95,"0"),IPRESS!$A$3:$B$212,2,0),"")</f>
        <v/>
      </c>
      <c r="J95" s="241" t="inlineStr">
        <is>
          <t>4838</t>
        </is>
      </c>
      <c r="K95" s="332">
        <f>IFERROR(VLOOKUP(TEXT(O95,"0"),CONDUCTORES!$A$3:$G$100,7,0),"")</f>
        <v/>
      </c>
      <c r="L95" s="239" t="n">
        <v>18.18</v>
      </c>
      <c r="M95" s="239" t="n">
        <v>8</v>
      </c>
      <c r="N95" s="333">
        <f>IFERROR(IF(L95*M95=0,"",L95*M95),"")</f>
        <v/>
      </c>
      <c r="O95" s="334" t="n"/>
      <c r="P95" s="332">
        <f>IFERROR(VLOOKUP(TEXT(O95,"0"),CONDUCTORES!$A$3:$G$100,2,0),"")</f>
        <v/>
      </c>
      <c r="Q95" s="332">
        <f>IFERROR(VLOOKUP(TEXT(O95,"0"),CONDUCTORES!$A$3:$H$100,6,0),"")</f>
        <v/>
      </c>
      <c r="R95" s="336" t="n">
        <v>45874</v>
      </c>
      <c r="S95" s="305" t="inlineStr">
        <is>
          <t>Z359,O429,P209</t>
        </is>
      </c>
      <c r="T95" s="241" t="n"/>
      <c r="U95" s="280" t="n"/>
      <c r="V95" s="241" t="inlineStr">
        <is>
          <t>3692-2025</t>
        </is>
      </c>
      <c r="W95" s="241" t="inlineStr">
        <is>
          <t>CONTRATO N|01-2025</t>
        </is>
      </c>
      <c r="X95" s="241" t="inlineStr">
        <is>
          <t>238.0</t>
        </is>
      </c>
      <c r="Y95" s="280" t="n"/>
    </row>
    <row r="96" ht="15.75" customHeight="1" s="195">
      <c r="A96" s="301" t="n">
        <v>91</v>
      </c>
      <c r="B96" s="302" t="inlineStr">
        <is>
          <t>00000002</t>
        </is>
      </c>
      <c r="C96" s="301" t="inlineStr">
        <is>
          <t>REGION</t>
        </is>
      </c>
      <c r="D96" s="302" t="inlineStr">
        <is>
          <t>ZAGACETA MENDOZA PABLO</t>
        </is>
      </c>
      <c r="E96" s="301" t="inlineStr">
        <is>
          <t>DNI</t>
        </is>
      </c>
      <c r="F96" s="301" t="inlineStr">
        <is>
          <t>33425663</t>
        </is>
      </c>
      <c r="G96" s="331" t="n">
        <v>45809</v>
      </c>
      <c r="H96" s="301" t="inlineStr">
        <is>
          <t>4844</t>
        </is>
      </c>
      <c r="I96" s="332">
        <f>IFERROR(VLOOKUP(TEXT(H96,"0"),IPRESS!$A$3:$B$212,2,0),"")</f>
        <v/>
      </c>
      <c r="J96" s="301" t="inlineStr">
        <is>
          <t>4838</t>
        </is>
      </c>
      <c r="K96" s="332">
        <f>IFERROR(VLOOKUP(TEXT(O96,"0"),CONDUCTORES!$A$3:$G$100,7,0),"")</f>
        <v/>
      </c>
      <c r="L96" s="245" t="n">
        <v>18.18</v>
      </c>
      <c r="M96" s="245" t="n">
        <v>20</v>
      </c>
      <c r="N96" s="333">
        <f>IFERROR(IF(L96*M96=0,"",L96*M96),"")</f>
        <v/>
      </c>
      <c r="O96" s="280" t="n"/>
      <c r="P96" s="332">
        <f>IFERROR(VLOOKUP(TEXT(O96,"0"),CONDUCTORES!$A$3:$G$100,2,0),"")</f>
        <v/>
      </c>
      <c r="Q96" s="332">
        <f>IFERROR(VLOOKUP(TEXT(O96,"0"),CONDUCTORES!$A$3:$H$100,6,0),"")</f>
        <v/>
      </c>
      <c r="R96" s="331" t="n">
        <v>45996</v>
      </c>
      <c r="S96" s="302" t="inlineStr">
        <is>
          <t>S097,S017</t>
        </is>
      </c>
      <c r="T96" s="301" t="inlineStr">
        <is>
          <t>DEVOLUCION DE COMBUSTIBLE A C.S. COLLONCE</t>
        </is>
      </c>
      <c r="U96" s="334" t="n"/>
      <c r="V96" s="301" t="n"/>
      <c r="W96" s="301" t="n"/>
      <c r="X96" s="301" t="n"/>
      <c r="Y96" s="280" t="n"/>
    </row>
    <row r="97" ht="15.75" customHeight="1" s="195">
      <c r="A97" s="241" t="n">
        <v>92</v>
      </c>
      <c r="B97" s="305" t="inlineStr">
        <is>
          <t>00000004</t>
        </is>
      </c>
      <c r="C97" s="241" t="inlineStr">
        <is>
          <t>REGION</t>
        </is>
      </c>
      <c r="D97" s="305" t="inlineStr">
        <is>
          <t>LOZANO PEDRAZA LAZARO</t>
        </is>
      </c>
      <c r="E97" s="241" t="inlineStr">
        <is>
          <t>DNI</t>
        </is>
      </c>
      <c r="F97" s="241" t="inlineStr">
        <is>
          <t>43457775</t>
        </is>
      </c>
      <c r="G97" s="336" t="n">
        <v>45830</v>
      </c>
      <c r="H97" s="241" t="inlineStr">
        <is>
          <t>4844</t>
        </is>
      </c>
      <c r="I97" s="332">
        <f>IFERROR(VLOOKUP(TEXT(H97,"0"),IPRESS!$A$3:$B$212,2,0),"")</f>
        <v/>
      </c>
      <c r="J97" s="241" t="inlineStr">
        <is>
          <t>4838</t>
        </is>
      </c>
      <c r="K97" s="332">
        <f>IFERROR(VLOOKUP(TEXT(O97,"0"),CONDUCTORES!$A$3:$G$100,7,0),"")</f>
        <v/>
      </c>
      <c r="L97" s="239" t="n">
        <v>18.18</v>
      </c>
      <c r="M97" s="239" t="n">
        <v>20</v>
      </c>
      <c r="N97" s="333">
        <f>IFERROR(IF(L97*M97=0,"",L97*M97),"")</f>
        <v/>
      </c>
      <c r="O97" s="334" t="n"/>
      <c r="P97" s="332">
        <f>IFERROR(VLOOKUP(TEXT(O97,"0"),CONDUCTORES!$A$3:$G$100,2,0),"")</f>
        <v/>
      </c>
      <c r="Q97" s="332">
        <f>IFERROR(VLOOKUP(TEXT(O97,"0"),CONDUCTORES!$A$3:$H$100,6,0),"")</f>
        <v/>
      </c>
      <c r="R97" s="336" t="n">
        <v>45996</v>
      </c>
      <c r="S97" s="305" t="inlineStr">
        <is>
          <t>E111,K85X</t>
        </is>
      </c>
      <c r="T97" s="241" t="inlineStr">
        <is>
          <t>DEVOLUCION DE COMBUSTIBLE A C.S. COLLONCE</t>
        </is>
      </c>
      <c r="U97" s="280" t="n"/>
      <c r="V97" s="241" t="n"/>
      <c r="W97" s="241" t="n"/>
      <c r="X97" s="241" t="n"/>
      <c r="Y97" s="280" t="n"/>
    </row>
    <row r="98" ht="15.75" customHeight="1" s="195">
      <c r="A98" s="301" t="n">
        <v>93</v>
      </c>
      <c r="B98" s="302" t="inlineStr">
        <is>
          <t>00000003</t>
        </is>
      </c>
      <c r="C98" s="301" t="inlineStr">
        <is>
          <t>REGION</t>
        </is>
      </c>
      <c r="D98" s="302" t="inlineStr">
        <is>
          <t>CHAVEZ GUADALUPE ALFREDO</t>
        </is>
      </c>
      <c r="E98" s="301" t="inlineStr">
        <is>
          <t>DNI</t>
        </is>
      </c>
      <c r="F98" s="301" t="inlineStr">
        <is>
          <t>33798568</t>
        </is>
      </c>
      <c r="G98" s="331" t="n">
        <v>45827</v>
      </c>
      <c r="H98" s="301" t="inlineStr">
        <is>
          <t>4844</t>
        </is>
      </c>
      <c r="I98" s="332">
        <f>IFERROR(VLOOKUP(TEXT(H98,"0"),IPRESS!$A$3:$B$212,2,0),"")</f>
        <v/>
      </c>
      <c r="J98" s="301" t="inlineStr">
        <is>
          <t>4838</t>
        </is>
      </c>
      <c r="K98" s="332">
        <f>IFERROR(VLOOKUP(TEXT(O98,"0"),CONDUCTORES!$A$3:$G$100,7,0),"")</f>
        <v/>
      </c>
      <c r="L98" s="245" t="n">
        <v>18.18</v>
      </c>
      <c r="M98" s="245" t="n">
        <v>20</v>
      </c>
      <c r="N98" s="333">
        <f>IFERROR(IF(L98*M98=0,"",L98*M98),"")</f>
        <v/>
      </c>
      <c r="O98" s="280" t="n"/>
      <c r="P98" s="332">
        <f>IFERROR(VLOOKUP(TEXT(O98,"0"),CONDUCTORES!$A$3:$G$100,2,0),"")</f>
        <v/>
      </c>
      <c r="Q98" s="332">
        <f>IFERROR(VLOOKUP(TEXT(O98,"0"),CONDUCTORES!$A$3:$H$100,6,0),"")</f>
        <v/>
      </c>
      <c r="R98" s="331" t="n">
        <v>45996</v>
      </c>
      <c r="S98" s="302" t="inlineStr">
        <is>
          <t>I743,I10X</t>
        </is>
      </c>
      <c r="T98" s="301" t="inlineStr">
        <is>
          <t>DEVOLUCION DE COMBUSTIBLE A C.S. COLLONCE</t>
        </is>
      </c>
      <c r="U98" s="334" t="n"/>
      <c r="V98" s="301" t="n"/>
      <c r="W98" s="301" t="n"/>
      <c r="X98" s="301" t="n"/>
      <c r="Y98" s="280" t="n"/>
    </row>
    <row r="99" ht="15.75" customHeight="1" s="195">
      <c r="A99" s="241" t="n">
        <v>94</v>
      </c>
      <c r="B99" s="305" t="inlineStr">
        <is>
          <t>00000003</t>
        </is>
      </c>
      <c r="C99" s="241" t="inlineStr">
        <is>
          <t>REGION</t>
        </is>
      </c>
      <c r="D99" s="305" t="inlineStr">
        <is>
          <t>SANCHEZ OCAMPO ANNY JHANELY</t>
        </is>
      </c>
      <c r="E99" s="241" t="inlineStr">
        <is>
          <t>DNI</t>
        </is>
      </c>
      <c r="F99" s="241" t="inlineStr">
        <is>
          <t>73616025</t>
        </is>
      </c>
      <c r="G99" s="336" t="n">
        <v>45821</v>
      </c>
      <c r="H99" s="241" t="inlineStr">
        <is>
          <t>4888</t>
        </is>
      </c>
      <c r="I99" s="332">
        <f>IFERROR(VLOOKUP(TEXT(H99,"0"),IPRESS!$A$3:$B$212,2,0),"")</f>
        <v/>
      </c>
      <c r="J99" s="241" t="inlineStr">
        <is>
          <t>4838</t>
        </is>
      </c>
      <c r="K99" s="332">
        <f>IFERROR(VLOOKUP(TEXT(O99,"0"),CONDUCTORES!$A$3:$G$100,7,0),"")</f>
        <v/>
      </c>
      <c r="L99" s="239" t="n">
        <v>18.18</v>
      </c>
      <c r="M99" s="239" t="n">
        <v>10</v>
      </c>
      <c r="N99" s="333">
        <f>IFERROR(IF(L99*M99=0,"",L99*M99),"")</f>
        <v/>
      </c>
      <c r="O99" s="334" t="n"/>
      <c r="P99" s="332">
        <f>IFERROR(VLOOKUP(TEXT(O99,"0"),CONDUCTORES!$A$3:$G$100,2,0),"")</f>
        <v/>
      </c>
      <c r="Q99" s="332">
        <f>IFERROR(VLOOKUP(TEXT(O99,"0"),CONDUCTORES!$A$3:$H$100,6,0),"")</f>
        <v/>
      </c>
      <c r="R99" s="336" t="n">
        <v>45939</v>
      </c>
      <c r="S99" s="305" t="inlineStr">
        <is>
          <t>Z359,O249</t>
        </is>
      </c>
      <c r="T99" s="241" t="n"/>
      <c r="U99" s="280" t="n"/>
      <c r="V99" s="241" t="n"/>
      <c r="W99" s="241" t="n"/>
      <c r="X99" s="241" t="n"/>
      <c r="Y99" s="280" t="n"/>
    </row>
    <row r="100" ht="15.75" customHeight="1" s="195">
      <c r="A100" s="301" t="n">
        <v>95</v>
      </c>
      <c r="B100" s="302" t="inlineStr">
        <is>
          <t>00000011</t>
        </is>
      </c>
      <c r="C100" s="301" t="inlineStr">
        <is>
          <t>REGION</t>
        </is>
      </c>
      <c r="D100" s="302" t="inlineStr">
        <is>
          <t>MENDOZA GARRO ESTEFANY DAYANA</t>
        </is>
      </c>
      <c r="E100" s="301" t="inlineStr">
        <is>
          <t>DNI</t>
        </is>
      </c>
      <c r="F100" s="301" t="inlineStr">
        <is>
          <t>62692323</t>
        </is>
      </c>
      <c r="G100" s="331" t="n">
        <v>45811</v>
      </c>
      <c r="H100" s="301" t="inlineStr">
        <is>
          <t>4903</t>
        </is>
      </c>
      <c r="I100" s="332">
        <f>IFERROR(VLOOKUP(TEXT(H100,"0"),IPRESS!$A$3:$B$212,2,0),"")</f>
        <v/>
      </c>
      <c r="J100" s="301" t="inlineStr">
        <is>
          <t>4838</t>
        </is>
      </c>
      <c r="K100" s="332">
        <f>IFERROR(VLOOKUP(TEXT(O100,"0"),CONDUCTORES!$A$3:$G$100,7,0),"")</f>
        <v/>
      </c>
      <c r="L100" s="245" t="n">
        <v>18.18</v>
      </c>
      <c r="M100" s="245" t="n">
        <v>5</v>
      </c>
      <c r="N100" s="333">
        <f>IFERROR(IF(L100*M100=0,"",L100*M100),"")</f>
        <v/>
      </c>
      <c r="O100" s="280" t="n"/>
      <c r="P100" s="332">
        <f>IFERROR(VLOOKUP(TEXT(O100,"0"),CONDUCTORES!$A$3:$G$100,2,0),"")</f>
        <v/>
      </c>
      <c r="Q100" s="332">
        <f>IFERROR(VLOOKUP(TEXT(O100,"0"),CONDUCTORES!$A$3:$H$100,6,0),"")</f>
        <v/>
      </c>
      <c r="R100" s="331" t="n">
        <v>45939</v>
      </c>
      <c r="S100" s="302" t="inlineStr">
        <is>
          <t>F321</t>
        </is>
      </c>
      <c r="T100" s="301" t="n"/>
      <c r="U100" s="334" t="n"/>
      <c r="V100" s="301" t="n"/>
      <c r="W100" s="301" t="n"/>
      <c r="X100" s="301" t="n"/>
      <c r="Y100" s="280" t="n"/>
    </row>
    <row r="101" ht="15.75" customHeight="1" s="195">
      <c r="A101" s="241" t="n">
        <v>96</v>
      </c>
      <c r="B101" s="305" t="inlineStr">
        <is>
          <t>00000010</t>
        </is>
      </c>
      <c r="C101" s="241" t="inlineStr">
        <is>
          <t>REGION</t>
        </is>
      </c>
      <c r="D101" s="305" t="inlineStr">
        <is>
          <t>GARCIA LOPEZ CARMEN ANABEL</t>
        </is>
      </c>
      <c r="E101" s="241" t="inlineStr">
        <is>
          <t>DNI</t>
        </is>
      </c>
      <c r="F101" s="241" t="inlineStr">
        <is>
          <t>63357119</t>
        </is>
      </c>
      <c r="G101" s="336" t="n">
        <v>45811</v>
      </c>
      <c r="H101" s="241" t="inlineStr">
        <is>
          <t>4903</t>
        </is>
      </c>
      <c r="I101" s="332">
        <f>IFERROR(VLOOKUP(TEXT(H101,"0"),IPRESS!$A$3:$B$212,2,0),"")</f>
        <v/>
      </c>
      <c r="J101" s="241" t="inlineStr">
        <is>
          <t>4838</t>
        </is>
      </c>
      <c r="K101" s="332">
        <f>IFERROR(VLOOKUP(TEXT(O101,"0"),CONDUCTORES!$A$3:$G$100,7,0),"")</f>
        <v/>
      </c>
      <c r="L101" s="239" t="n">
        <v>18.18</v>
      </c>
      <c r="M101" s="239" t="n">
        <v>5</v>
      </c>
      <c r="N101" s="333">
        <f>IFERROR(IF(L101*M101=0,"",L101*M101),"")</f>
        <v/>
      </c>
      <c r="O101" s="334" t="n"/>
      <c r="P101" s="332">
        <f>IFERROR(VLOOKUP(TEXT(O101,"0"),CONDUCTORES!$A$3:$G$100,2,0),"")</f>
        <v/>
      </c>
      <c r="Q101" s="332">
        <f>IFERROR(VLOOKUP(TEXT(O101,"0"),CONDUCTORES!$A$3:$H$100,6,0),"")</f>
        <v/>
      </c>
      <c r="R101" s="336" t="n">
        <v>45939</v>
      </c>
      <c r="S101" s="305" t="inlineStr">
        <is>
          <t>G419,G409</t>
        </is>
      </c>
      <c r="T101" s="241" t="n"/>
      <c r="U101" s="280" t="n"/>
      <c r="V101" s="241" t="n"/>
      <c r="W101" s="241" t="n"/>
      <c r="X101" s="241" t="n"/>
      <c r="Y101" s="280" t="n"/>
    </row>
    <row r="102" ht="15.75" customHeight="1" s="195">
      <c r="A102" s="301" t="n">
        <v>97</v>
      </c>
      <c r="B102" s="302" t="inlineStr">
        <is>
          <t>00000012</t>
        </is>
      </c>
      <c r="C102" s="301" t="inlineStr">
        <is>
          <t>REGION</t>
        </is>
      </c>
      <c r="D102" s="302" t="inlineStr">
        <is>
          <t>FLORES DURAN ESTELITA JHANETH</t>
        </is>
      </c>
      <c r="E102" s="301" t="inlineStr">
        <is>
          <t>DNI</t>
        </is>
      </c>
      <c r="F102" s="301" t="inlineStr">
        <is>
          <t>77276083</t>
        </is>
      </c>
      <c r="G102" s="331" t="n">
        <v>45818</v>
      </c>
      <c r="H102" s="301" t="inlineStr">
        <is>
          <t>4903</t>
        </is>
      </c>
      <c r="I102" s="332">
        <f>IFERROR(VLOOKUP(TEXT(H102,"0"),IPRESS!$A$3:$B$212,2,0),"")</f>
        <v/>
      </c>
      <c r="J102" s="301" t="inlineStr">
        <is>
          <t>4838</t>
        </is>
      </c>
      <c r="K102" s="332">
        <f>IFERROR(VLOOKUP(TEXT(O102,"0"),CONDUCTORES!$A$3:$G$100,7,0),"")</f>
        <v/>
      </c>
      <c r="L102" s="245" t="n">
        <v>18.18</v>
      </c>
      <c r="M102" s="245" t="n">
        <v>5</v>
      </c>
      <c r="N102" s="333">
        <f>IFERROR(IF(L102*M102=0,"",L102*M102),"")</f>
        <v/>
      </c>
      <c r="O102" s="280" t="n"/>
      <c r="P102" s="332">
        <f>IFERROR(VLOOKUP(TEXT(O102,"0"),CONDUCTORES!$A$3:$G$100,2,0),"")</f>
        <v/>
      </c>
      <c r="Q102" s="332">
        <f>IFERROR(VLOOKUP(TEXT(O102,"0"),CONDUCTORES!$A$3:$H$100,6,0),"")</f>
        <v/>
      </c>
      <c r="R102" s="331" t="n">
        <v>45939</v>
      </c>
      <c r="S102" s="302" t="inlineStr">
        <is>
          <t>O470</t>
        </is>
      </c>
      <c r="T102" s="301" t="n"/>
      <c r="U102" s="334" t="n"/>
      <c r="V102" s="301" t="n"/>
      <c r="W102" s="301" t="n"/>
      <c r="X102" s="301" t="n"/>
      <c r="Y102" s="280" t="n"/>
    </row>
    <row r="103" ht="15.75" customHeight="1" s="195">
      <c r="A103" s="241" t="n">
        <v>98</v>
      </c>
      <c r="B103" s="305" t="inlineStr">
        <is>
          <t>00000013</t>
        </is>
      </c>
      <c r="C103" s="241" t="inlineStr">
        <is>
          <t>REGION</t>
        </is>
      </c>
      <c r="D103" s="305" t="inlineStr">
        <is>
          <t>MEDRANO TAPIA ALISSA VALERIA</t>
        </is>
      </c>
      <c r="E103" s="241" t="inlineStr">
        <is>
          <t>DNI</t>
        </is>
      </c>
      <c r="F103" s="241" t="inlineStr">
        <is>
          <t>90807562</t>
        </is>
      </c>
      <c r="G103" s="336" t="n">
        <v>45822</v>
      </c>
      <c r="H103" s="241" t="inlineStr">
        <is>
          <t>4903</t>
        </is>
      </c>
      <c r="I103" s="332">
        <f>IFERROR(VLOOKUP(TEXT(H103,"0"),IPRESS!$A$3:$B$212,2,0),"")</f>
        <v/>
      </c>
      <c r="J103" s="241" t="inlineStr">
        <is>
          <t>4838</t>
        </is>
      </c>
      <c r="K103" s="332">
        <f>IFERROR(VLOOKUP(TEXT(O103,"0"),CONDUCTORES!$A$3:$G$100,7,0),"")</f>
        <v/>
      </c>
      <c r="L103" s="239" t="n">
        <v>18.18</v>
      </c>
      <c r="M103" s="239" t="n">
        <v>5</v>
      </c>
      <c r="N103" s="333">
        <f>IFERROR(IF(L103*M103=0,"",L103*M103),"")</f>
        <v/>
      </c>
      <c r="O103" s="334" t="n"/>
      <c r="P103" s="332">
        <f>IFERROR(VLOOKUP(TEXT(O103,"0"),CONDUCTORES!$A$3:$G$100,2,0),"")</f>
        <v/>
      </c>
      <c r="Q103" s="332">
        <f>IFERROR(VLOOKUP(TEXT(O103,"0"),CONDUCTORES!$A$3:$H$100,6,0),"")</f>
        <v/>
      </c>
      <c r="R103" s="336" t="n">
        <v>45939</v>
      </c>
      <c r="S103" s="305" t="inlineStr">
        <is>
          <t>G419,G409</t>
        </is>
      </c>
      <c r="T103" s="241" t="n"/>
      <c r="U103" s="280" t="n"/>
      <c r="V103" s="241" t="n"/>
      <c r="W103" s="241" t="n"/>
      <c r="X103" s="241" t="n"/>
      <c r="Y103" s="280" t="n"/>
    </row>
    <row r="104" ht="15.75" customHeight="1" s="195">
      <c r="A104" s="301" t="n">
        <v>99</v>
      </c>
      <c r="B104" s="302" t="inlineStr">
        <is>
          <t>00000001</t>
        </is>
      </c>
      <c r="C104" s="301" t="inlineStr">
        <is>
          <t>REGION</t>
        </is>
      </c>
      <c r="D104" s="302" t="inlineStr">
        <is>
          <t>GARCIA LOPEZ ENEIDA</t>
        </is>
      </c>
      <c r="E104" s="301" t="inlineStr">
        <is>
          <t>DNI</t>
        </is>
      </c>
      <c r="F104" s="301" t="inlineStr">
        <is>
          <t>74709202</t>
        </is>
      </c>
      <c r="G104" s="331" t="n">
        <v>45838</v>
      </c>
      <c r="H104" s="301" t="inlineStr">
        <is>
          <t>4949</t>
        </is>
      </c>
      <c r="I104" s="332">
        <f>IFERROR(VLOOKUP(TEXT(H104,"0"),IPRESS!$A$3:$B$212,2,0),"")</f>
        <v/>
      </c>
      <c r="J104" s="301" t="inlineStr">
        <is>
          <t>4950</t>
        </is>
      </c>
      <c r="K104" s="332">
        <f>IFERROR(VLOOKUP(TEXT(O104,"0"),CONDUCTORES!$A$3:$G$100,7,0),"")</f>
        <v/>
      </c>
      <c r="L104" s="245" t="n">
        <v>20.25</v>
      </c>
      <c r="M104" s="245" t="n">
        <v>6</v>
      </c>
      <c r="N104" s="333">
        <f>IFERROR(IF(L104*M104=0,"",L104*M104),"")</f>
        <v/>
      </c>
      <c r="O104" s="280" t="n"/>
      <c r="P104" s="332">
        <f>IFERROR(VLOOKUP(TEXT(O104,"0"),CONDUCTORES!$A$3:$G$100,2,0),"")</f>
        <v/>
      </c>
      <c r="Q104" s="332">
        <f>IFERROR(VLOOKUP(TEXT(O104,"0"),CONDUCTORES!$A$3:$H$100,6,0),"")</f>
        <v/>
      </c>
      <c r="R104" s="331" t="n">
        <v>46010</v>
      </c>
      <c r="S104" s="302" t="inlineStr">
        <is>
          <t>O200</t>
        </is>
      </c>
      <c r="T104" s="301" t="inlineStr">
        <is>
          <t>DEVOLUCION A C.S. OMIA</t>
        </is>
      </c>
      <c r="U104" s="334" t="n"/>
      <c r="V104" s="301" t="n"/>
      <c r="W104" s="301" t="n"/>
      <c r="X104" s="301" t="n"/>
      <c r="Y104" s="280" t="n"/>
    </row>
    <row r="105" ht="15.75" customHeight="1" s="195">
      <c r="A105" s="241" t="n">
        <v>100</v>
      </c>
      <c r="B105" s="305" t="inlineStr">
        <is>
          <t>00000002</t>
        </is>
      </c>
      <c r="C105" s="241" t="inlineStr">
        <is>
          <t>REGION</t>
        </is>
      </c>
      <c r="D105" s="305" t="inlineStr">
        <is>
          <t>SAUCEDO LOPEZ LLANET</t>
        </is>
      </c>
      <c r="E105" s="241" t="inlineStr">
        <is>
          <t>DNI</t>
        </is>
      </c>
      <c r="F105" s="241" t="inlineStr">
        <is>
          <t>73695437</t>
        </is>
      </c>
      <c r="G105" s="336" t="n">
        <v>45814</v>
      </c>
      <c r="H105" s="241" t="inlineStr">
        <is>
          <t>7060</t>
        </is>
      </c>
      <c r="I105" s="332">
        <f>IFERROR(VLOOKUP(TEXT(H105,"0"),IPRESS!$A$3:$B$212,2,0),"")</f>
        <v/>
      </c>
      <c r="J105" s="241" t="inlineStr">
        <is>
          <t>4838</t>
        </is>
      </c>
      <c r="K105" s="332">
        <f>IFERROR(VLOOKUP(TEXT(O105,"0"),CONDUCTORES!$A$3:$G$100,7,0),"")</f>
        <v/>
      </c>
      <c r="L105" s="239" t="n">
        <v>18.18</v>
      </c>
      <c r="M105" s="239" t="n">
        <v>20</v>
      </c>
      <c r="N105" s="333">
        <f>IFERROR(IF(L105*M105=0,"",L105*M105),"")</f>
        <v/>
      </c>
      <c r="O105" s="334" t="n"/>
      <c r="P105" s="332">
        <f>IFERROR(VLOOKUP(TEXT(O105,"0"),CONDUCTORES!$A$3:$G$100,2,0),"")</f>
        <v/>
      </c>
      <c r="Q105" s="332">
        <f>IFERROR(VLOOKUP(TEXT(O105,"0"),CONDUCTORES!$A$3:$H$100,6,0),"")</f>
        <v/>
      </c>
      <c r="R105" s="336" t="n">
        <v>45996</v>
      </c>
      <c r="S105" s="305" t="inlineStr">
        <is>
          <t>O600</t>
        </is>
      </c>
      <c r="T105" s="241" t="inlineStr">
        <is>
          <t>DEVOLVER EL COMBUSTIBLE AL C.S. COLLONCE</t>
        </is>
      </c>
      <c r="U105" s="280" t="n"/>
      <c r="V105" s="241" t="n"/>
      <c r="W105" s="241" t="n"/>
      <c r="X105" s="241" t="n"/>
      <c r="Y105" s="280" t="n"/>
    </row>
    <row r="106" ht="15.75" customHeight="1" s="195">
      <c r="A106" s="301" t="n">
        <v>101</v>
      </c>
      <c r="B106" s="302" t="inlineStr">
        <is>
          <t>00000019</t>
        </is>
      </c>
      <c r="C106" s="301" t="inlineStr">
        <is>
          <t>REGION</t>
        </is>
      </c>
      <c r="D106" s="302" t="inlineStr">
        <is>
          <t>CULQUI CULQUI TEODOCIA</t>
        </is>
      </c>
      <c r="E106" s="301" t="inlineStr">
        <is>
          <t>DNI</t>
        </is>
      </c>
      <c r="F106" s="301" t="inlineStr">
        <is>
          <t>80301703</t>
        </is>
      </c>
      <c r="G106" s="331" t="n">
        <v>45822</v>
      </c>
      <c r="H106" s="301" t="inlineStr">
        <is>
          <t>4904</t>
        </is>
      </c>
      <c r="I106" s="332">
        <f>IFERROR(VLOOKUP(TEXT(H106,"0"),IPRESS!$A$3:$B$212,2,0),"")</f>
        <v/>
      </c>
      <c r="J106" s="301" t="inlineStr">
        <is>
          <t>4838</t>
        </is>
      </c>
      <c r="K106" s="332">
        <f>IFERROR(VLOOKUP(TEXT(O106,"0"),CONDUCTORES!$A$3:$G$100,7,0),"")</f>
        <v/>
      </c>
      <c r="L106" s="245" t="n">
        <v>18.18</v>
      </c>
      <c r="M106" s="245" t="n">
        <v>6</v>
      </c>
      <c r="N106" s="333">
        <f>IFERROR(IF(L106*M106=0,"",L106*M106),"")</f>
        <v/>
      </c>
      <c r="O106" s="280" t="n"/>
      <c r="P106" s="332">
        <f>IFERROR(VLOOKUP(TEXT(O106,"0"),CONDUCTORES!$A$3:$G$100,2,0),"")</f>
        <v/>
      </c>
      <c r="Q106" s="332">
        <f>IFERROR(VLOOKUP(TEXT(O106,"0"),CONDUCTORES!$A$3:$H$100,6,0),"")</f>
        <v/>
      </c>
      <c r="R106" s="331" t="n">
        <v>45981</v>
      </c>
      <c r="S106" s="302" t="inlineStr">
        <is>
          <t>K800</t>
        </is>
      </c>
      <c r="T106" s="301" t="n"/>
      <c r="U106" s="334" t="n"/>
      <c r="V106" s="301" t="n"/>
      <c r="W106" s="301" t="n"/>
      <c r="X106" s="301" t="n"/>
      <c r="Y106" s="280" t="n"/>
    </row>
    <row r="107" ht="15.75" customHeight="1" s="195">
      <c r="A107" s="241" t="n">
        <v>102</v>
      </c>
      <c r="B107" s="305" t="inlineStr">
        <is>
          <t>00000017</t>
        </is>
      </c>
      <c r="C107" s="241" t="inlineStr">
        <is>
          <t>REGION</t>
        </is>
      </c>
      <c r="D107" s="305" t="inlineStr">
        <is>
          <t>CHAVEZ LEIVA ROMULO</t>
        </is>
      </c>
      <c r="E107" s="241" t="inlineStr">
        <is>
          <t>DNI</t>
        </is>
      </c>
      <c r="F107" s="241" t="inlineStr">
        <is>
          <t>48503466</t>
        </is>
      </c>
      <c r="G107" s="336" t="n">
        <v>45812</v>
      </c>
      <c r="H107" s="241" t="inlineStr">
        <is>
          <t>4904</t>
        </is>
      </c>
      <c r="I107" s="332">
        <f>IFERROR(VLOOKUP(TEXT(H107,"0"),IPRESS!$A$3:$B$212,2,0),"")</f>
        <v/>
      </c>
      <c r="J107" s="241" t="inlineStr">
        <is>
          <t>4838</t>
        </is>
      </c>
      <c r="K107" s="332">
        <f>IFERROR(VLOOKUP(TEXT(O107,"0"),CONDUCTORES!$A$3:$G$100,7,0),"")</f>
        <v/>
      </c>
      <c r="L107" s="239" t="n">
        <v>18.18</v>
      </c>
      <c r="M107" s="239" t="n">
        <v>6</v>
      </c>
      <c r="N107" s="333">
        <f>IFERROR(IF(L107*M107=0,"",L107*M107),"")</f>
        <v/>
      </c>
      <c r="O107" s="334" t="n"/>
      <c r="P107" s="332">
        <f>IFERROR(VLOOKUP(TEXT(O107,"0"),CONDUCTORES!$A$3:$G$100,2,0),"")</f>
        <v/>
      </c>
      <c r="Q107" s="332">
        <f>IFERROR(VLOOKUP(TEXT(O107,"0"),CONDUCTORES!$A$3:$H$100,6,0),"")</f>
        <v/>
      </c>
      <c r="R107" s="336" t="n">
        <v>45981</v>
      </c>
      <c r="S107" s="305" t="inlineStr">
        <is>
          <t>K830</t>
        </is>
      </c>
      <c r="T107" s="241" t="n"/>
      <c r="U107" s="280" t="n"/>
      <c r="V107" s="241" t="n"/>
      <c r="W107" s="241" t="n"/>
      <c r="X107" s="241" t="n"/>
      <c r="Y107" s="280" t="n"/>
    </row>
    <row r="108" ht="15.75" customHeight="1" s="195">
      <c r="A108" s="301" t="n">
        <v>103</v>
      </c>
      <c r="B108" s="302" t="inlineStr">
        <is>
          <t>00000018</t>
        </is>
      </c>
      <c r="C108" s="301" t="inlineStr">
        <is>
          <t>REGION</t>
        </is>
      </c>
      <c r="D108" s="302" t="inlineStr">
        <is>
          <t>HUAMAN HUAMAN ORFELINDA</t>
        </is>
      </c>
      <c r="E108" s="301" t="inlineStr">
        <is>
          <t>DNI</t>
        </is>
      </c>
      <c r="F108" s="301" t="inlineStr">
        <is>
          <t>41836418</t>
        </is>
      </c>
      <c r="G108" s="331" t="n">
        <v>45818</v>
      </c>
      <c r="H108" s="301" t="inlineStr">
        <is>
          <t>4904</t>
        </is>
      </c>
      <c r="I108" s="332">
        <f>IFERROR(VLOOKUP(TEXT(H108,"0"),IPRESS!$A$3:$B$212,2,0),"")</f>
        <v/>
      </c>
      <c r="J108" s="301" t="inlineStr">
        <is>
          <t>4838</t>
        </is>
      </c>
      <c r="K108" s="332">
        <f>IFERROR(VLOOKUP(TEXT(O108,"0"),CONDUCTORES!$A$3:$G$100,7,0),"")</f>
        <v/>
      </c>
      <c r="L108" s="245" t="n">
        <v>18.18</v>
      </c>
      <c r="M108" s="245" t="n">
        <v>6</v>
      </c>
      <c r="N108" s="333">
        <f>IFERROR(IF(L108*M108=0,"",L108*M108),"")</f>
        <v/>
      </c>
      <c r="O108" s="280" t="n"/>
      <c r="P108" s="332">
        <f>IFERROR(VLOOKUP(TEXT(O108,"0"),CONDUCTORES!$A$3:$G$100,2,0),"")</f>
        <v/>
      </c>
      <c r="Q108" s="332">
        <f>IFERROR(VLOOKUP(TEXT(O108,"0"),CONDUCTORES!$A$3:$H$100,6,0),"")</f>
        <v/>
      </c>
      <c r="R108" s="331" t="n">
        <v>45981</v>
      </c>
      <c r="S108" s="302" t="inlineStr">
        <is>
          <t>O471,Z641,O628</t>
        </is>
      </c>
      <c r="T108" s="301" t="n"/>
      <c r="U108" s="334" t="n"/>
      <c r="V108" s="301" t="n"/>
      <c r="W108" s="301" t="n"/>
      <c r="X108" s="301" t="n"/>
      <c r="Y108" s="280" t="n"/>
    </row>
    <row r="109" ht="15.75" customHeight="1" s="195">
      <c r="A109" s="241" t="n">
        <v>104</v>
      </c>
      <c r="B109" s="305" t="inlineStr">
        <is>
          <t>00000020</t>
        </is>
      </c>
      <c r="C109" s="241" t="inlineStr">
        <is>
          <t>REGION</t>
        </is>
      </c>
      <c r="D109" s="305" t="inlineStr">
        <is>
          <t>CULQUI PUERTA GERVACIO</t>
        </is>
      </c>
      <c r="E109" s="241" t="inlineStr">
        <is>
          <t>DNI</t>
        </is>
      </c>
      <c r="F109" s="241" t="inlineStr">
        <is>
          <t>33415309</t>
        </is>
      </c>
      <c r="G109" s="336" t="n">
        <v>45822</v>
      </c>
      <c r="H109" s="241" t="inlineStr">
        <is>
          <t>4904</t>
        </is>
      </c>
      <c r="I109" s="332">
        <f>IFERROR(VLOOKUP(TEXT(H109,"0"),IPRESS!$A$3:$B$212,2,0),"")</f>
        <v/>
      </c>
      <c r="J109" s="241" t="inlineStr">
        <is>
          <t>4838</t>
        </is>
      </c>
      <c r="K109" s="332">
        <f>IFERROR(VLOOKUP(TEXT(O109,"0"),CONDUCTORES!$A$3:$G$100,7,0),"")</f>
        <v/>
      </c>
      <c r="L109" s="239" t="n">
        <v>18.18</v>
      </c>
      <c r="M109" s="239" t="n">
        <v>6</v>
      </c>
      <c r="N109" s="333">
        <f>IFERROR(IF(L109*M109=0,"",L109*M109),"")</f>
        <v/>
      </c>
      <c r="O109" s="334" t="n"/>
      <c r="P109" s="332">
        <f>IFERROR(VLOOKUP(TEXT(O109,"0"),CONDUCTORES!$A$3:$G$100,2,0),"")</f>
        <v/>
      </c>
      <c r="Q109" s="332">
        <f>IFERROR(VLOOKUP(TEXT(O109,"0"),CONDUCTORES!$A$3:$H$100,6,0),"")</f>
        <v/>
      </c>
      <c r="R109" s="336" t="n">
        <v>45981</v>
      </c>
      <c r="S109" s="305" t="inlineStr">
        <is>
          <t>R652,J159</t>
        </is>
      </c>
      <c r="T109" s="241" t="n"/>
      <c r="U109" s="280" t="n"/>
      <c r="V109" s="241" t="n"/>
      <c r="W109" s="241" t="n"/>
      <c r="X109" s="241" t="n"/>
      <c r="Y109" s="280" t="n"/>
    </row>
    <row r="110" ht="15.75" customHeight="1" s="195">
      <c r="A110" s="301" t="n">
        <v>105</v>
      </c>
      <c r="B110" s="302" t="inlineStr">
        <is>
          <t>00000021</t>
        </is>
      </c>
      <c r="C110" s="301" t="inlineStr">
        <is>
          <t>REGION</t>
        </is>
      </c>
      <c r="D110" s="302" t="inlineStr">
        <is>
          <t>YNGA TAFUR JOSHUA JASIEL</t>
        </is>
      </c>
      <c r="E110" s="301" t="inlineStr">
        <is>
          <t>DNI</t>
        </is>
      </c>
      <c r="F110" s="301" t="inlineStr">
        <is>
          <t>92734417</t>
        </is>
      </c>
      <c r="G110" s="331" t="n">
        <v>45831</v>
      </c>
      <c r="H110" s="301" t="inlineStr">
        <is>
          <t>4904</t>
        </is>
      </c>
      <c r="I110" s="332">
        <f>IFERROR(VLOOKUP(TEXT(H110,"0"),IPRESS!$A$3:$B$212,2,0),"")</f>
        <v/>
      </c>
      <c r="J110" s="301" t="inlineStr">
        <is>
          <t>4838</t>
        </is>
      </c>
      <c r="K110" s="332">
        <f>IFERROR(VLOOKUP(TEXT(O110,"0"),CONDUCTORES!$A$3:$G$100,7,0),"")</f>
        <v/>
      </c>
      <c r="L110" s="245" t="n">
        <v>18.18</v>
      </c>
      <c r="M110" s="245" t="n">
        <v>6</v>
      </c>
      <c r="N110" s="333">
        <f>IFERROR(IF(L110*M110=0,"",L110*M110),"")</f>
        <v/>
      </c>
      <c r="O110" s="280" t="n"/>
      <c r="P110" s="332">
        <f>IFERROR(VLOOKUP(TEXT(O110,"0"),CONDUCTORES!$A$3:$G$100,2,0),"")</f>
        <v/>
      </c>
      <c r="Q110" s="332">
        <f>IFERROR(VLOOKUP(TEXT(O110,"0"),CONDUCTORES!$A$3:$H$100,6,0),"")</f>
        <v/>
      </c>
      <c r="R110" s="331" t="n">
        <v>45981</v>
      </c>
      <c r="S110" s="302" t="inlineStr">
        <is>
          <t>J129</t>
        </is>
      </c>
      <c r="T110" s="301" t="n"/>
      <c r="U110" s="334" t="n"/>
      <c r="V110" s="301" t="n"/>
      <c r="W110" s="301" t="n"/>
      <c r="X110" s="301" t="n"/>
      <c r="Y110" s="280" t="n"/>
    </row>
    <row r="111" ht="15.75" customHeight="1" s="195">
      <c r="A111" s="241" t="n">
        <v>106</v>
      </c>
      <c r="B111" s="305" t="inlineStr">
        <is>
          <t>00000022</t>
        </is>
      </c>
      <c r="C111" s="241" t="inlineStr">
        <is>
          <t>REGION</t>
        </is>
      </c>
      <c r="D111" s="305" t="inlineStr">
        <is>
          <t>BAZAN DE VIGO SULEMA</t>
        </is>
      </c>
      <c r="E111" s="241" t="inlineStr">
        <is>
          <t>DNI</t>
        </is>
      </c>
      <c r="F111" s="241" t="inlineStr">
        <is>
          <t>33804274</t>
        </is>
      </c>
      <c r="G111" s="336" t="n">
        <v>45838</v>
      </c>
      <c r="H111" s="241" t="inlineStr">
        <is>
          <t>4904</t>
        </is>
      </c>
      <c r="I111" s="332">
        <f>IFERROR(VLOOKUP(TEXT(H111,"0"),IPRESS!$A$3:$B$212,2,0),"")</f>
        <v/>
      </c>
      <c r="J111" s="241" t="inlineStr">
        <is>
          <t>4838</t>
        </is>
      </c>
      <c r="K111" s="332">
        <f>IFERROR(VLOOKUP(TEXT(O111,"0"),CONDUCTORES!$A$3:$G$100,7,0),"")</f>
        <v/>
      </c>
      <c r="L111" s="239" t="n">
        <v>18.18</v>
      </c>
      <c r="M111" s="239" t="n">
        <v>6</v>
      </c>
      <c r="N111" s="333">
        <f>IFERROR(IF(L111*M111=0,"",L111*M111),"")</f>
        <v/>
      </c>
      <c r="O111" s="334" t="n"/>
      <c r="P111" s="332">
        <f>IFERROR(VLOOKUP(TEXT(O111,"0"),CONDUCTORES!$A$3:$G$100,2,0),"")</f>
        <v/>
      </c>
      <c r="Q111" s="332">
        <f>IFERROR(VLOOKUP(TEXT(O111,"0"),CONDUCTORES!$A$3:$H$100,6,0),"")</f>
        <v/>
      </c>
      <c r="R111" s="336" t="n">
        <v>45981</v>
      </c>
      <c r="S111" s="305" t="inlineStr">
        <is>
          <t>I64X</t>
        </is>
      </c>
      <c r="T111" s="241" t="n"/>
      <c r="U111" s="280" t="n"/>
      <c r="V111" s="241" t="n"/>
      <c r="W111" s="241" t="n"/>
      <c r="X111" s="241" t="n"/>
      <c r="Y111" s="280" t="n"/>
    </row>
    <row r="112" ht="15" customHeight="1" s="195">
      <c r="A112" s="280" t="n"/>
      <c r="B112" s="280" t="n"/>
      <c r="C112" s="280" t="n"/>
      <c r="D112" s="280" t="n"/>
      <c r="E112" s="280" t="n"/>
      <c r="F112" s="280" t="n"/>
      <c r="G112" s="280" t="n"/>
      <c r="H112" s="280" t="n"/>
      <c r="I112" s="332">
        <f>IFERROR(VLOOKUP(TEXT(H112,"0"),IPRESS!$A$3:$B$212,2,0),"")</f>
        <v/>
      </c>
      <c r="J112" s="280" t="n"/>
      <c r="K112" s="332">
        <f>IFERROR(VLOOKUP(TEXT(O112,"0"),CONDUCTORES!$A$3:$G$54,7,0),"")</f>
        <v/>
      </c>
      <c r="L112" s="280" t="n"/>
      <c r="M112" s="280" t="n"/>
      <c r="N112" s="333">
        <f>IFERROR(IF(L112*M112=0,"",L112*M112),"")</f>
        <v/>
      </c>
      <c r="O112" s="280" t="n"/>
      <c r="P112" s="332">
        <f>IFERROR(VLOOKUP(TEXT(O112,"0"),CONDUCTORES!$A$3:$G$54,2,0),"")</f>
        <v/>
      </c>
      <c r="Q112" s="332">
        <f>IFERROR(VLOOKUP(TEXT(O112,"0"),CONDUCTORES!$A$3:$H$54,6,0),"")</f>
        <v/>
      </c>
      <c r="R112" s="280" t="n"/>
      <c r="S112" s="280" t="n"/>
      <c r="T112" s="280" t="n"/>
      <c r="U112" s="280" t="n"/>
      <c r="V112" s="280" t="n"/>
      <c r="W112" s="280" t="n"/>
      <c r="X112" s="280" t="n"/>
      <c r="Y112" s="280" t="n"/>
    </row>
    <row r="113" ht="24" customHeight="1" s="195">
      <c r="A113" s="342" t="inlineStr">
        <is>
          <t>SUBTOTAL (cambia al filtrar por EESS) →</t>
        </is>
      </c>
      <c r="K113" s="343" t="n"/>
      <c r="L113" s="280" t="n"/>
      <c r="M113" s="344">
        <f>SUBTOTAL(9,M4:M111)</f>
        <v/>
      </c>
      <c r="N113" s="344">
        <f>SUBTOTAL(9,N4:N111)</f>
        <v/>
      </c>
      <c r="O113" s="280" t="n"/>
      <c r="P113" s="332">
        <f>IFERROR(VLOOKUP(TEXT(O113,"0"),CONDUCTORES!$A$3:$G$100,2,0),"")</f>
        <v/>
      </c>
      <c r="Q113" s="332">
        <f>IFERROR(VLOOKUP(TEXT(O113,"0"),CONDUCTORES!$A$3:$H$100,6,0),"")</f>
        <v/>
      </c>
      <c r="R113" s="280" t="n"/>
      <c r="S113" s="280" t="n"/>
      <c r="T113" s="280" t="n"/>
      <c r="U113" s="280" t="n"/>
      <c r="V113" s="280" t="n"/>
      <c r="W113" s="280" t="n"/>
      <c r="X113" s="280" t="n"/>
      <c r="Y113" s="280" t="n"/>
    </row>
    <row r="114" ht="15" customHeight="1" s="195">
      <c r="A114" s="280" t="n"/>
      <c r="B114" s="280" t="n"/>
      <c r="C114" s="280" t="n"/>
      <c r="D114" s="280" t="n"/>
      <c r="E114" s="280" t="n"/>
      <c r="F114" s="280" t="n"/>
      <c r="G114" s="280" t="n"/>
      <c r="H114" s="280" t="n"/>
      <c r="I114" s="343" t="n"/>
      <c r="J114" s="280" t="n"/>
      <c r="K114" s="343" t="n"/>
      <c r="L114" s="280" t="n"/>
      <c r="M114" s="280" t="n"/>
      <c r="N114" s="345" t="n"/>
      <c r="O114" s="280" t="n"/>
      <c r="P114" s="343" t="n"/>
      <c r="Q114" s="343" t="n"/>
      <c r="R114" s="280" t="n"/>
      <c r="S114" s="280" t="n"/>
      <c r="T114" s="280" t="n"/>
      <c r="U114" s="280" t="n"/>
      <c r="V114" s="280" t="n"/>
      <c r="W114" s="280" t="n"/>
      <c r="X114" s="280" t="n"/>
      <c r="Y114" s="280" t="n"/>
    </row>
    <row r="115" ht="15" customHeight="1" s="195">
      <c r="A115" s="334" t="n"/>
      <c r="B115" s="334" t="n"/>
      <c r="C115" s="334" t="n"/>
      <c r="D115" s="334" t="n"/>
      <c r="E115" s="334" t="n"/>
      <c r="F115" s="334" t="n"/>
      <c r="G115" s="334" t="n"/>
      <c r="H115" s="334" t="n"/>
      <c r="I115" s="343" t="n"/>
      <c r="J115" s="334" t="n"/>
      <c r="K115" s="343" t="n"/>
      <c r="L115" s="334" t="n"/>
      <c r="M115" s="334" t="n"/>
      <c r="N115" s="345" t="n"/>
      <c r="O115" s="334" t="n"/>
      <c r="P115" s="343" t="n"/>
      <c r="Q115" s="343" t="n"/>
      <c r="R115" s="334" t="n"/>
      <c r="S115" s="334" t="n"/>
      <c r="T115" s="334" t="n"/>
      <c r="U115" s="334" t="n"/>
      <c r="V115" s="334" t="n"/>
      <c r="W115" s="334" t="n"/>
      <c r="X115" s="334" t="n"/>
      <c r="Y115" s="334" t="n"/>
    </row>
    <row r="116" ht="15" customHeight="1" s="195">
      <c r="A116" s="280" t="n"/>
      <c r="B116" s="280" t="n"/>
      <c r="C116" s="280" t="n"/>
      <c r="D116" s="280" t="n"/>
      <c r="E116" s="280" t="n"/>
      <c r="F116" s="280" t="n"/>
      <c r="G116" s="280" t="n"/>
      <c r="H116" s="280" t="n"/>
      <c r="I116" s="343" t="n"/>
      <c r="J116" s="280" t="n"/>
      <c r="K116" s="343" t="n"/>
      <c r="L116" s="280" t="n"/>
      <c r="M116" s="280" t="n"/>
      <c r="N116" s="345" t="n"/>
      <c r="O116" s="280" t="n"/>
      <c r="P116" s="343" t="n"/>
      <c r="Q116" s="343" t="n"/>
      <c r="R116" s="280" t="n"/>
      <c r="S116" s="280" t="n"/>
      <c r="T116" s="280" t="n"/>
      <c r="U116" s="280" t="n"/>
      <c r="V116" s="280" t="n"/>
      <c r="W116" s="280" t="n"/>
      <c r="X116" s="280" t="n"/>
      <c r="Y116" s="280" t="n"/>
    </row>
    <row r="117" ht="15" customHeight="1" s="195">
      <c r="A117" s="334" t="n"/>
      <c r="B117" s="334" t="n"/>
      <c r="C117" s="334" t="n"/>
      <c r="D117" s="334" t="n"/>
      <c r="E117" s="334" t="n"/>
      <c r="F117" s="334" t="n"/>
      <c r="G117" s="334" t="n"/>
      <c r="H117" s="334" t="n"/>
      <c r="I117" s="343" t="n"/>
      <c r="J117" s="334" t="n"/>
      <c r="K117" s="343" t="n"/>
      <c r="L117" s="334" t="n"/>
      <c r="M117" s="334" t="n"/>
      <c r="N117" s="345" t="n"/>
      <c r="O117" s="334" t="n"/>
      <c r="P117" s="343" t="n"/>
      <c r="Q117" s="343" t="n"/>
      <c r="R117" s="334" t="n"/>
      <c r="S117" s="334" t="n"/>
      <c r="T117" s="334" t="n"/>
      <c r="U117" s="334" t="n"/>
      <c r="V117" s="334" t="n"/>
      <c r="W117" s="334" t="n"/>
      <c r="X117" s="334" t="n"/>
      <c r="Y117" s="334" t="n"/>
    </row>
    <row r="118" ht="15" customHeight="1" s="195">
      <c r="A118" s="280" t="n"/>
      <c r="B118" s="280" t="n"/>
      <c r="C118" s="280" t="n"/>
      <c r="D118" s="280" t="n"/>
      <c r="E118" s="280" t="n"/>
      <c r="F118" s="280" t="n"/>
      <c r="G118" s="280" t="n"/>
      <c r="H118" s="280" t="n"/>
      <c r="I118" s="332">
        <f>IFERROR(VLOOKUP(TEXT(H118,"0"),IPRESS!$A$3:$B$212,2,0),"")</f>
        <v/>
      </c>
      <c r="J118" s="280" t="n"/>
      <c r="K118" s="332">
        <f>IFERROR(VLOOKUP(TEXT(O118,"0"),CONDUCTORES!$A$3:$G$54,7,0),"")</f>
        <v/>
      </c>
      <c r="L118" s="280" t="n"/>
      <c r="M118" s="280" t="n"/>
      <c r="N118" s="333">
        <f>IFERROR(IF(L118*M118=0,"",L118*M118),"")</f>
        <v/>
      </c>
      <c r="O118" s="280" t="n"/>
      <c r="P118" s="332">
        <f>IFERROR(VLOOKUP(TEXT(O118,"0"),CONDUCTORES!$A$3:$G$54,2,0),"")</f>
        <v/>
      </c>
      <c r="Q118" s="332">
        <f>IFERROR(VLOOKUP(TEXT(O118,"0"),CONDUCTORES!$A$3:$H$54,6,0),"")</f>
        <v/>
      </c>
      <c r="R118" s="280" t="n"/>
      <c r="S118" s="280" t="n"/>
      <c r="T118" s="280" t="n"/>
      <c r="U118" s="280" t="n"/>
      <c r="V118" s="280" t="n"/>
      <c r="W118" s="280" t="n"/>
      <c r="X118" s="280" t="n"/>
      <c r="Y118" s="280" t="n"/>
    </row>
    <row r="119" ht="15" customHeight="1" s="195">
      <c r="A119" s="334" t="n"/>
      <c r="B119" s="334" t="n"/>
      <c r="C119" s="334" t="n"/>
      <c r="D119" s="334" t="n"/>
      <c r="E119" s="334" t="n"/>
      <c r="F119" s="334" t="n"/>
      <c r="G119" s="334" t="n"/>
      <c r="H119" s="334" t="n"/>
      <c r="I119" s="332">
        <f>IFERROR(VLOOKUP(TEXT(H119,"0"),IPRESS!$A$3:$B$212,2,0),"")</f>
        <v/>
      </c>
      <c r="J119" s="334" t="n"/>
      <c r="K119" s="332">
        <f>IFERROR(VLOOKUP(TEXT(O119,"0"),CONDUCTORES!$A$3:$G$54,7,0),"")</f>
        <v/>
      </c>
      <c r="L119" s="334" t="n"/>
      <c r="M119" s="334" t="n"/>
      <c r="N119" s="333">
        <f>IFERROR(IF(L119*M119=0,"",L119*M119),"")</f>
        <v/>
      </c>
      <c r="O119" s="334" t="n"/>
      <c r="P119" s="332">
        <f>IFERROR(VLOOKUP(TEXT(O119,"0"),CONDUCTORES!$A$3:$G$54,2,0),"")</f>
        <v/>
      </c>
      <c r="Q119" s="332">
        <f>IFERROR(VLOOKUP(TEXT(O119,"0"),CONDUCTORES!$A$3:$H$54,6,0),"")</f>
        <v/>
      </c>
      <c r="R119" s="334" t="n"/>
      <c r="S119" s="334" t="n"/>
      <c r="T119" s="334" t="n"/>
      <c r="U119" s="334" t="n"/>
      <c r="V119" s="334" t="n"/>
      <c r="W119" s="334" t="n"/>
      <c r="X119" s="334" t="n"/>
      <c r="Y119" s="334" t="n"/>
    </row>
    <row r="120" ht="15" customHeight="1" s="195">
      <c r="A120" s="280" t="n"/>
      <c r="B120" s="280" t="n"/>
      <c r="C120" s="280" t="n"/>
      <c r="D120" s="280" t="n"/>
      <c r="E120" s="280" t="n"/>
      <c r="F120" s="280" t="n"/>
      <c r="G120" s="280" t="n"/>
      <c r="H120" s="280" t="n"/>
      <c r="I120" s="332">
        <f>IFERROR(VLOOKUP(TEXT(H120,"0"),IPRESS!$A$3:$B$212,2,0),"")</f>
        <v/>
      </c>
      <c r="J120" s="280" t="n"/>
      <c r="K120" s="332">
        <f>IFERROR(VLOOKUP(TEXT(O120,"0"),CONDUCTORES!$A$3:$G$54,7,0),"")</f>
        <v/>
      </c>
      <c r="L120" s="280" t="n"/>
      <c r="M120" s="280" t="n"/>
      <c r="N120" s="333">
        <f>IFERROR(IF(L120*M120=0,"",L120*M120),"")</f>
        <v/>
      </c>
      <c r="O120" s="280" t="n"/>
      <c r="P120" s="332">
        <f>IFERROR(VLOOKUP(TEXT(O120,"0"),CONDUCTORES!$A$3:$G$54,2,0),"")</f>
        <v/>
      </c>
      <c r="Q120" s="332">
        <f>IFERROR(VLOOKUP(TEXT(O120,"0"),CONDUCTORES!$A$3:$H$54,6,0),"")</f>
        <v/>
      </c>
      <c r="R120" s="280" t="n"/>
      <c r="S120" s="280" t="n"/>
      <c r="T120" s="280" t="n"/>
      <c r="U120" s="280" t="n"/>
      <c r="V120" s="280" t="n"/>
      <c r="W120" s="280" t="n"/>
      <c r="X120" s="280" t="n"/>
      <c r="Y120" s="280" t="n"/>
    </row>
    <row r="121" ht="15" customHeight="1" s="195">
      <c r="A121" s="334" t="n"/>
      <c r="B121" s="334" t="n"/>
      <c r="C121" s="334" t="n"/>
      <c r="D121" s="334" t="n"/>
      <c r="E121" s="334" t="n"/>
      <c r="F121" s="334" t="n"/>
      <c r="G121" s="334" t="n"/>
      <c r="H121" s="334" t="n"/>
      <c r="I121" s="332">
        <f>IFERROR(VLOOKUP(TEXT(H121,"0"),IPRESS!$A$3:$B$212,2,0),"")</f>
        <v/>
      </c>
      <c r="J121" s="334" t="n"/>
      <c r="K121" s="332">
        <f>IFERROR(VLOOKUP(TEXT(O121,"0"),CONDUCTORES!$A$3:$G$54,7,0),"")</f>
        <v/>
      </c>
      <c r="L121" s="334" t="n"/>
      <c r="M121" s="334" t="n"/>
      <c r="N121" s="333">
        <f>IFERROR(IF(L121*M121=0,"",L121*M121),"")</f>
        <v/>
      </c>
      <c r="O121" s="334" t="n"/>
      <c r="P121" s="332">
        <f>IFERROR(VLOOKUP(TEXT(O121,"0"),CONDUCTORES!$A$3:$G$54,2,0),"")</f>
        <v/>
      </c>
      <c r="Q121" s="332">
        <f>IFERROR(VLOOKUP(TEXT(O121,"0"),CONDUCTORES!$A$3:$H$54,6,0),"")</f>
        <v/>
      </c>
      <c r="R121" s="334" t="n"/>
      <c r="S121" s="334" t="n"/>
      <c r="T121" s="334" t="n"/>
      <c r="U121" s="334" t="n"/>
      <c r="V121" s="334" t="n"/>
      <c r="W121" s="334" t="n"/>
      <c r="X121" s="334" t="n"/>
      <c r="Y121" s="334" t="n"/>
    </row>
    <row r="122" ht="15" customHeight="1" s="195">
      <c r="A122" s="280" t="n"/>
      <c r="B122" s="280" t="n"/>
      <c r="C122" s="280" t="n"/>
      <c r="D122" s="280" t="n"/>
      <c r="E122" s="280" t="n"/>
      <c r="F122" s="280" t="n"/>
      <c r="G122" s="280" t="n"/>
      <c r="H122" s="280" t="n"/>
      <c r="I122" s="332">
        <f>IFERROR(VLOOKUP(TEXT(H122,"0"),IPRESS!$A$3:$B$212,2,0),"")</f>
        <v/>
      </c>
      <c r="J122" s="280" t="n"/>
      <c r="K122" s="332">
        <f>IFERROR(VLOOKUP(TEXT(O122,"0"),CONDUCTORES!$A$3:$G$54,7,0),"")</f>
        <v/>
      </c>
      <c r="L122" s="280" t="n"/>
      <c r="M122" s="280" t="n"/>
      <c r="N122" s="333">
        <f>IFERROR(IF(L122*M122=0,"",L122*M122),"")</f>
        <v/>
      </c>
      <c r="O122" s="280" t="n"/>
      <c r="P122" s="332">
        <f>IFERROR(VLOOKUP(TEXT(O122,"0"),CONDUCTORES!$A$3:$G$54,2,0),"")</f>
        <v/>
      </c>
      <c r="Q122" s="332">
        <f>IFERROR(VLOOKUP(TEXT(O122,"0"),CONDUCTORES!$A$3:$H$54,6,0),"")</f>
        <v/>
      </c>
      <c r="R122" s="280" t="n"/>
      <c r="S122" s="280" t="n"/>
      <c r="T122" s="280" t="n"/>
      <c r="U122" s="280" t="n"/>
      <c r="V122" s="280" t="n"/>
      <c r="W122" s="280" t="n"/>
      <c r="X122" s="280" t="n"/>
      <c r="Y122" s="280" t="n"/>
    </row>
    <row r="123" ht="15" customHeight="1" s="195">
      <c r="A123" s="334" t="n"/>
      <c r="B123" s="334" t="n"/>
      <c r="C123" s="334" t="n"/>
      <c r="D123" s="334" t="n"/>
      <c r="E123" s="334" t="n"/>
      <c r="F123" s="334" t="n"/>
      <c r="G123" s="334" t="n"/>
      <c r="H123" s="334" t="n"/>
      <c r="I123" s="332">
        <f>IFERROR(VLOOKUP(TEXT(H123,"0"),IPRESS!$A$3:$B$212,2,0),"")</f>
        <v/>
      </c>
      <c r="J123" s="334" t="n"/>
      <c r="K123" s="332">
        <f>IFERROR(VLOOKUP(TEXT(O123,"0"),CONDUCTORES!$A$3:$G$54,7,0),"")</f>
        <v/>
      </c>
      <c r="L123" s="334" t="n"/>
      <c r="M123" s="334" t="n"/>
      <c r="N123" s="333">
        <f>IFERROR(IF(L123*M123=0,"",L123*M123),"")</f>
        <v/>
      </c>
      <c r="O123" s="334" t="n"/>
      <c r="P123" s="332">
        <f>IFERROR(VLOOKUP(TEXT(O123,"0"),CONDUCTORES!$A$3:$G$54,2,0),"")</f>
        <v/>
      </c>
      <c r="Q123" s="332">
        <f>IFERROR(VLOOKUP(TEXT(O123,"0"),CONDUCTORES!$A$3:$H$54,6,0),"")</f>
        <v/>
      </c>
      <c r="R123" s="334" t="n"/>
      <c r="S123" s="334" t="n"/>
      <c r="T123" s="334" t="n"/>
      <c r="U123" s="334" t="n"/>
      <c r="V123" s="334" t="n"/>
      <c r="W123" s="334" t="n"/>
      <c r="X123" s="334" t="n"/>
      <c r="Y123" s="334" t="n"/>
    </row>
    <row r="124" ht="15" customHeight="1" s="195">
      <c r="A124" s="280" t="n"/>
      <c r="B124" s="280" t="n"/>
      <c r="C124" s="280" t="n"/>
      <c r="D124" s="280" t="n"/>
      <c r="E124" s="280" t="n"/>
      <c r="F124" s="280" t="n"/>
      <c r="G124" s="280" t="n"/>
      <c r="H124" s="280" t="n"/>
      <c r="I124" s="332">
        <f>IFERROR(VLOOKUP(TEXT(H124,"0"),IPRESS!$A$3:$B$212,2,0),"")</f>
        <v/>
      </c>
      <c r="J124" s="280" t="n"/>
      <c r="K124" s="332">
        <f>IFERROR(VLOOKUP(TEXT(O124,"0"),CONDUCTORES!$A$3:$G$54,7,0),"")</f>
        <v/>
      </c>
      <c r="L124" s="280" t="n"/>
      <c r="M124" s="280" t="n"/>
      <c r="N124" s="333">
        <f>IFERROR(IF(L124*M124=0,"",L124*M124),"")</f>
        <v/>
      </c>
      <c r="O124" s="280" t="n"/>
      <c r="P124" s="332">
        <f>IFERROR(VLOOKUP(TEXT(O124,"0"),CONDUCTORES!$A$3:$G$54,2,0),"")</f>
        <v/>
      </c>
      <c r="Q124" s="332">
        <f>IFERROR(VLOOKUP(TEXT(O124,"0"),CONDUCTORES!$A$3:$H$54,6,0),"")</f>
        <v/>
      </c>
      <c r="R124" s="280" t="n"/>
      <c r="S124" s="280" t="n"/>
      <c r="T124" s="280" t="n"/>
      <c r="U124" s="280" t="n"/>
      <c r="V124" s="280" t="n"/>
      <c r="W124" s="280" t="n"/>
      <c r="X124" s="280" t="n"/>
      <c r="Y124" s="280" t="n"/>
    </row>
    <row r="125" ht="15" customHeight="1" s="195">
      <c r="A125" s="334" t="n"/>
      <c r="B125" s="334" t="n"/>
      <c r="C125" s="334" t="n"/>
      <c r="D125" s="334" t="n"/>
      <c r="E125" s="334" t="n"/>
      <c r="F125" s="334" t="n"/>
      <c r="G125" s="334" t="n"/>
      <c r="H125" s="334" t="n"/>
      <c r="I125" s="332">
        <f>IFERROR(VLOOKUP(TEXT(H125,"0"),IPRESS!$A$3:$B$212,2,0),"")</f>
        <v/>
      </c>
      <c r="J125" s="334" t="n"/>
      <c r="K125" s="332">
        <f>IFERROR(VLOOKUP(TEXT(O125,"0"),CONDUCTORES!$A$3:$G$54,7,0),"")</f>
        <v/>
      </c>
      <c r="L125" s="334" t="n"/>
      <c r="M125" s="334" t="n"/>
      <c r="N125" s="333">
        <f>IFERROR(IF(L125*M125=0,"",L125*M125),"")</f>
        <v/>
      </c>
      <c r="O125" s="334" t="n"/>
      <c r="P125" s="332">
        <f>IFERROR(VLOOKUP(TEXT(O125,"0"),CONDUCTORES!$A$3:$G$54,2,0),"")</f>
        <v/>
      </c>
      <c r="Q125" s="332">
        <f>IFERROR(VLOOKUP(TEXT(O125,"0"),CONDUCTORES!$A$3:$H$54,6,0),"")</f>
        <v/>
      </c>
      <c r="R125" s="334" t="n"/>
      <c r="S125" s="334" t="n"/>
      <c r="T125" s="334" t="n"/>
      <c r="U125" s="334" t="n"/>
      <c r="V125" s="334" t="n"/>
      <c r="W125" s="334" t="n"/>
      <c r="X125" s="334" t="n"/>
      <c r="Y125" s="334" t="n"/>
    </row>
    <row r="126" ht="15" customHeight="1" s="195">
      <c r="A126" s="280" t="n"/>
      <c r="B126" s="280" t="n"/>
      <c r="C126" s="280" t="n"/>
      <c r="D126" s="280" t="n"/>
      <c r="E126" s="280" t="n"/>
      <c r="F126" s="280" t="n"/>
      <c r="G126" s="280" t="n"/>
      <c r="H126" s="280" t="n"/>
      <c r="I126" s="332">
        <f>IFERROR(VLOOKUP(TEXT(H126,"0"),IPRESS!$A$3:$B$212,2,0),"")</f>
        <v/>
      </c>
      <c r="J126" s="280" t="n"/>
      <c r="K126" s="332">
        <f>IFERROR(VLOOKUP(TEXT(O126,"0"),CONDUCTORES!$A$3:$G$54,7,0),"")</f>
        <v/>
      </c>
      <c r="L126" s="280" t="n"/>
      <c r="M126" s="280" t="n"/>
      <c r="N126" s="333">
        <f>IFERROR(IF(L126*M126=0,"",L126*M126),"")</f>
        <v/>
      </c>
      <c r="O126" s="280" t="n"/>
      <c r="P126" s="332">
        <f>IFERROR(VLOOKUP(TEXT(O126,"0"),CONDUCTORES!$A$3:$G$54,2,0),"")</f>
        <v/>
      </c>
      <c r="Q126" s="332">
        <f>IFERROR(VLOOKUP(TEXT(O126,"0"),CONDUCTORES!$A$3:$H$54,6,0),"")</f>
        <v/>
      </c>
      <c r="R126" s="280" t="n"/>
      <c r="S126" s="280" t="n"/>
      <c r="T126" s="280" t="n"/>
      <c r="U126" s="280" t="n"/>
      <c r="V126" s="280" t="n"/>
      <c r="W126" s="280" t="n"/>
      <c r="X126" s="280" t="n"/>
      <c r="Y126" s="280" t="n"/>
    </row>
    <row r="127" ht="15" customHeight="1" s="195">
      <c r="A127" s="334" t="n"/>
      <c r="B127" s="334" t="n"/>
      <c r="C127" s="334" t="n"/>
      <c r="D127" s="334" t="n"/>
      <c r="E127" s="334" t="n"/>
      <c r="F127" s="334" t="n"/>
      <c r="G127" s="334" t="n"/>
      <c r="H127" s="334" t="n"/>
      <c r="I127" s="332">
        <f>IFERROR(VLOOKUP(TEXT(H127,"0"),IPRESS!$A$3:$B$212,2,0),"")</f>
        <v/>
      </c>
      <c r="J127" s="334" t="n"/>
      <c r="K127" s="332">
        <f>IFERROR(VLOOKUP(TEXT(O127,"0"),CONDUCTORES!$A$3:$G$54,7,0),"")</f>
        <v/>
      </c>
      <c r="L127" s="334" t="n"/>
      <c r="M127" s="334" t="n"/>
      <c r="N127" s="333">
        <f>IFERROR(IF(L127*M127=0,"",L127*M127),"")</f>
        <v/>
      </c>
      <c r="O127" s="334" t="n"/>
      <c r="P127" s="332">
        <f>IFERROR(VLOOKUP(TEXT(O127,"0"),CONDUCTORES!$A$3:$G$54,2,0),"")</f>
        <v/>
      </c>
      <c r="Q127" s="332">
        <f>IFERROR(VLOOKUP(TEXT(O127,"0"),CONDUCTORES!$A$3:$H$54,6,0),"")</f>
        <v/>
      </c>
      <c r="R127" s="334" t="n"/>
      <c r="S127" s="334" t="n"/>
      <c r="T127" s="334" t="n"/>
      <c r="U127" s="334" t="n"/>
      <c r="V127" s="334" t="n"/>
      <c r="W127" s="334" t="n"/>
      <c r="X127" s="334" t="n"/>
      <c r="Y127" s="334" t="n"/>
    </row>
    <row r="128" ht="15" customHeight="1" s="195">
      <c r="A128" s="280" t="n"/>
      <c r="B128" s="280" t="n"/>
      <c r="C128" s="280" t="n"/>
      <c r="D128" s="280" t="n"/>
      <c r="E128" s="280" t="n"/>
      <c r="F128" s="280" t="n"/>
      <c r="G128" s="280" t="n"/>
      <c r="H128" s="280" t="n"/>
      <c r="I128" s="332">
        <f>IFERROR(VLOOKUP(TEXT(H128,"0"),IPRESS!$A$3:$B$212,2,0),"")</f>
        <v/>
      </c>
      <c r="J128" s="280" t="n"/>
      <c r="K128" s="332">
        <f>IFERROR(VLOOKUP(TEXT(O128,"0"),CONDUCTORES!$A$3:$G$54,7,0),"")</f>
        <v/>
      </c>
      <c r="L128" s="280" t="n"/>
      <c r="M128" s="280" t="n"/>
      <c r="N128" s="333">
        <f>IFERROR(IF(L128*M128=0,"",L128*M128),"")</f>
        <v/>
      </c>
      <c r="O128" s="280" t="n"/>
      <c r="P128" s="332">
        <f>IFERROR(VLOOKUP(TEXT(O128,"0"),CONDUCTORES!$A$3:$G$54,2,0),"")</f>
        <v/>
      </c>
      <c r="Q128" s="332">
        <f>IFERROR(VLOOKUP(TEXT(O128,"0"),CONDUCTORES!$A$3:$H$54,6,0),"")</f>
        <v/>
      </c>
      <c r="R128" s="280" t="n"/>
      <c r="S128" s="280" t="n"/>
      <c r="T128" s="280" t="n"/>
      <c r="U128" s="280" t="n"/>
      <c r="V128" s="280" t="n"/>
      <c r="W128" s="280" t="n"/>
      <c r="X128" s="280" t="n"/>
      <c r="Y128" s="280" t="n"/>
    </row>
    <row r="129" ht="15" customHeight="1" s="195">
      <c r="A129" s="334" t="n"/>
      <c r="B129" s="334" t="n"/>
      <c r="C129" s="334" t="n"/>
      <c r="D129" s="334" t="n"/>
      <c r="E129" s="334" t="n"/>
      <c r="F129" s="334" t="n"/>
      <c r="G129" s="334" t="n"/>
      <c r="H129" s="334" t="n"/>
      <c r="I129" s="332">
        <f>IFERROR(VLOOKUP(TEXT(H129,"0"),IPRESS!$A$3:$B$212,2,0),"")</f>
        <v/>
      </c>
      <c r="J129" s="334" t="n"/>
      <c r="K129" s="332">
        <f>IFERROR(VLOOKUP(TEXT(O129,"0"),CONDUCTORES!$A$3:$G$54,7,0),"")</f>
        <v/>
      </c>
      <c r="L129" s="334" t="n"/>
      <c r="M129" s="334" t="n"/>
      <c r="N129" s="333">
        <f>IFERROR(IF(L129*M129=0,"",L129*M129),"")</f>
        <v/>
      </c>
      <c r="O129" s="334" t="n"/>
      <c r="P129" s="332">
        <f>IFERROR(VLOOKUP(TEXT(O129,"0"),CONDUCTORES!$A$3:$G$54,2,0),"")</f>
        <v/>
      </c>
      <c r="Q129" s="332">
        <f>IFERROR(VLOOKUP(TEXT(O129,"0"),CONDUCTORES!$A$3:$H$54,6,0),"")</f>
        <v/>
      </c>
      <c r="R129" s="334" t="n"/>
      <c r="S129" s="334" t="n"/>
      <c r="T129" s="334" t="n"/>
      <c r="U129" s="334" t="n"/>
      <c r="V129" s="334" t="n"/>
      <c r="W129" s="334" t="n"/>
      <c r="X129" s="334" t="n"/>
      <c r="Y129" s="334" t="n"/>
    </row>
    <row r="130" ht="15" customHeight="1" s="195">
      <c r="A130" s="280" t="n"/>
      <c r="B130" s="280" t="n"/>
      <c r="C130" s="280" t="n"/>
      <c r="D130" s="280" t="n"/>
      <c r="E130" s="280" t="n"/>
      <c r="F130" s="280" t="n"/>
      <c r="G130" s="280" t="n"/>
      <c r="H130" s="280" t="n"/>
      <c r="I130" s="332">
        <f>IFERROR(VLOOKUP(TEXT(H130,"0"),IPRESS!$A$3:$B$212,2,0),"")</f>
        <v/>
      </c>
      <c r="J130" s="280" t="n"/>
      <c r="K130" s="332">
        <f>IFERROR(VLOOKUP(TEXT(O130,"0"),CONDUCTORES!$A$3:$G$54,7,0),"")</f>
        <v/>
      </c>
      <c r="L130" s="280" t="n"/>
      <c r="M130" s="280" t="n"/>
      <c r="N130" s="333">
        <f>IFERROR(IF(L130*M130=0,"",L130*M130),"")</f>
        <v/>
      </c>
      <c r="O130" s="280" t="n"/>
      <c r="P130" s="332">
        <f>IFERROR(VLOOKUP(TEXT(O130,"0"),CONDUCTORES!$A$3:$G$54,2,0),"")</f>
        <v/>
      </c>
      <c r="Q130" s="332">
        <f>IFERROR(VLOOKUP(TEXT(O130,"0"),CONDUCTORES!$A$3:$H$54,6,0),"")</f>
        <v/>
      </c>
      <c r="R130" s="280" t="n"/>
      <c r="S130" s="280" t="n"/>
      <c r="T130" s="280" t="n"/>
      <c r="U130" s="280" t="n"/>
      <c r="V130" s="280" t="n"/>
      <c r="W130" s="280" t="n"/>
      <c r="X130" s="280" t="n"/>
      <c r="Y130" s="280" t="n"/>
    </row>
    <row r="131" ht="15" customHeight="1" s="195">
      <c r="A131" s="334" t="n"/>
      <c r="B131" s="334" t="n"/>
      <c r="C131" s="334" t="n"/>
      <c r="D131" s="334" t="n"/>
      <c r="E131" s="334" t="n"/>
      <c r="F131" s="334" t="n"/>
      <c r="G131" s="334" t="n"/>
      <c r="H131" s="334" t="n"/>
      <c r="I131" s="332">
        <f>IFERROR(VLOOKUP(TEXT(H131,"0"),IPRESS!$A$3:$B$212,2,0),"")</f>
        <v/>
      </c>
      <c r="J131" s="334" t="n"/>
      <c r="K131" s="332">
        <f>IFERROR(VLOOKUP(TEXT(O131,"0"),CONDUCTORES!$A$3:$G$54,7,0),"")</f>
        <v/>
      </c>
      <c r="L131" s="334" t="n"/>
      <c r="M131" s="334" t="n"/>
      <c r="N131" s="333">
        <f>IFERROR(IF(L131*M131=0,"",L131*M131),"")</f>
        <v/>
      </c>
      <c r="O131" s="334" t="n"/>
      <c r="P131" s="332">
        <f>IFERROR(VLOOKUP(TEXT(O131,"0"),CONDUCTORES!$A$3:$G$54,2,0),"")</f>
        <v/>
      </c>
      <c r="Q131" s="332">
        <f>IFERROR(VLOOKUP(TEXT(O131,"0"),CONDUCTORES!$A$3:$H$54,6,0),"")</f>
        <v/>
      </c>
      <c r="R131" s="334" t="n"/>
      <c r="S131" s="334" t="n"/>
      <c r="T131" s="334" t="n"/>
      <c r="U131" s="334" t="n"/>
      <c r="V131" s="334" t="n"/>
      <c r="W131" s="334" t="n"/>
      <c r="X131" s="334" t="n"/>
      <c r="Y131" s="334" t="n"/>
    </row>
    <row r="132" ht="15" customHeight="1" s="195">
      <c r="A132" s="280" t="n"/>
      <c r="B132" s="280" t="n"/>
      <c r="C132" s="280" t="n"/>
      <c r="D132" s="280" t="n"/>
      <c r="E132" s="280" t="n"/>
      <c r="F132" s="280" t="n"/>
      <c r="G132" s="280" t="n"/>
      <c r="H132" s="280" t="n"/>
      <c r="I132" s="332">
        <f>IFERROR(VLOOKUP(TEXT(H132,"0"),IPRESS!$A$3:$B$212,2,0),"")</f>
        <v/>
      </c>
      <c r="J132" s="280" t="n"/>
      <c r="K132" s="332">
        <f>IFERROR(VLOOKUP(TEXT(O132,"0"),CONDUCTORES!$A$3:$G$54,7,0),"")</f>
        <v/>
      </c>
      <c r="L132" s="280" t="n"/>
      <c r="M132" s="280" t="n"/>
      <c r="N132" s="333">
        <f>IFERROR(IF(L132*M132=0,"",L132*M132),"")</f>
        <v/>
      </c>
      <c r="O132" s="280" t="n"/>
      <c r="P132" s="332">
        <f>IFERROR(VLOOKUP(TEXT(O132,"0"),CONDUCTORES!$A$3:$G$54,2,0),"")</f>
        <v/>
      </c>
      <c r="Q132" s="332">
        <f>IFERROR(VLOOKUP(TEXT(O132,"0"),CONDUCTORES!$A$3:$H$54,6,0),"")</f>
        <v/>
      </c>
      <c r="R132" s="280" t="n"/>
      <c r="S132" s="280" t="n"/>
      <c r="T132" s="280" t="n"/>
      <c r="U132" s="280" t="n"/>
      <c r="V132" s="280" t="n"/>
      <c r="W132" s="280" t="n"/>
      <c r="X132" s="280" t="n"/>
      <c r="Y132" s="280" t="n"/>
    </row>
    <row r="133" ht="15" customHeight="1" s="195">
      <c r="A133" s="334" t="n"/>
      <c r="B133" s="334" t="n"/>
      <c r="C133" s="334" t="n"/>
      <c r="D133" s="334" t="n"/>
      <c r="E133" s="334" t="n"/>
      <c r="F133" s="334" t="n"/>
      <c r="G133" s="334" t="n"/>
      <c r="H133" s="334" t="n"/>
      <c r="I133" s="332">
        <f>IFERROR(VLOOKUP(TEXT(H133,"0"),IPRESS!$A$3:$B$212,2,0),"")</f>
        <v/>
      </c>
      <c r="J133" s="334" t="n"/>
      <c r="K133" s="332">
        <f>IFERROR(VLOOKUP(TEXT(O133,"0"),CONDUCTORES!$A$3:$G$54,7,0),"")</f>
        <v/>
      </c>
      <c r="L133" s="334" t="n"/>
      <c r="M133" s="334" t="n"/>
      <c r="N133" s="333">
        <f>IFERROR(IF(L133*M133=0,"",L133*M133),"")</f>
        <v/>
      </c>
      <c r="O133" s="334" t="n"/>
      <c r="P133" s="332">
        <f>IFERROR(VLOOKUP(TEXT(O133,"0"),CONDUCTORES!$A$3:$G$54,2,0),"")</f>
        <v/>
      </c>
      <c r="Q133" s="332">
        <f>IFERROR(VLOOKUP(TEXT(O133,"0"),CONDUCTORES!$A$3:$H$54,6,0),"")</f>
        <v/>
      </c>
      <c r="R133" s="334" t="n"/>
      <c r="S133" s="334" t="n"/>
      <c r="T133" s="334" t="n"/>
      <c r="U133" s="334" t="n"/>
      <c r="V133" s="334" t="n"/>
      <c r="W133" s="334" t="n"/>
      <c r="X133" s="334" t="n"/>
      <c r="Y133" s="334" t="n"/>
    </row>
    <row r="134" ht="15" customHeight="1" s="195">
      <c r="A134" s="280" t="n"/>
      <c r="B134" s="280" t="n"/>
      <c r="C134" s="280" t="n"/>
      <c r="D134" s="280" t="n"/>
      <c r="E134" s="280" t="n"/>
      <c r="F134" s="280" t="n"/>
      <c r="G134" s="280" t="n"/>
      <c r="H134" s="280" t="n"/>
      <c r="I134" s="332">
        <f>IFERROR(VLOOKUP(TEXT(H134,"0"),IPRESS!$A$3:$B$212,2,0),"")</f>
        <v/>
      </c>
      <c r="J134" s="280" t="n"/>
      <c r="K134" s="332">
        <f>IFERROR(VLOOKUP(TEXT(O134,"0"),CONDUCTORES!$A$3:$G$54,7,0),"")</f>
        <v/>
      </c>
      <c r="L134" s="280" t="n"/>
      <c r="M134" s="280" t="n"/>
      <c r="N134" s="333">
        <f>IFERROR(IF(L134*M134=0,"",L134*M134),"")</f>
        <v/>
      </c>
      <c r="O134" s="280" t="n"/>
      <c r="P134" s="332">
        <f>IFERROR(VLOOKUP(TEXT(O134,"0"),CONDUCTORES!$A$3:$G$54,2,0),"")</f>
        <v/>
      </c>
      <c r="Q134" s="332">
        <f>IFERROR(VLOOKUP(TEXT(O134,"0"),CONDUCTORES!$A$3:$H$54,6,0),"")</f>
        <v/>
      </c>
      <c r="R134" s="280" t="n"/>
      <c r="S134" s="280" t="n"/>
      <c r="T134" s="280" t="n"/>
      <c r="U134" s="280" t="n"/>
      <c r="V134" s="280" t="n"/>
      <c r="W134" s="280" t="n"/>
      <c r="X134" s="280" t="n"/>
      <c r="Y134" s="280" t="n"/>
    </row>
    <row r="135" ht="15" customHeight="1" s="195">
      <c r="A135" s="334" t="n"/>
      <c r="B135" s="334" t="n"/>
      <c r="C135" s="334" t="n"/>
      <c r="D135" s="334" t="n"/>
      <c r="E135" s="334" t="n"/>
      <c r="F135" s="334" t="n"/>
      <c r="G135" s="334" t="n"/>
      <c r="H135" s="334" t="n"/>
      <c r="I135" s="332">
        <f>IFERROR(VLOOKUP(TEXT(H135,"0"),IPRESS!$A$3:$B$212,2,0),"")</f>
        <v/>
      </c>
      <c r="J135" s="334" t="n"/>
      <c r="K135" s="332">
        <f>IFERROR(VLOOKUP(TEXT(O135,"0"),CONDUCTORES!$A$3:$G$54,7,0),"")</f>
        <v/>
      </c>
      <c r="L135" s="334" t="n"/>
      <c r="M135" s="334" t="n"/>
      <c r="N135" s="333">
        <f>IFERROR(IF(L135*M135=0,"",L135*M135),"")</f>
        <v/>
      </c>
      <c r="O135" s="334" t="n"/>
      <c r="P135" s="332">
        <f>IFERROR(VLOOKUP(TEXT(O135,"0"),CONDUCTORES!$A$3:$G$54,2,0),"")</f>
        <v/>
      </c>
      <c r="Q135" s="332">
        <f>IFERROR(VLOOKUP(TEXT(O135,"0"),CONDUCTORES!$A$3:$H$54,6,0),"")</f>
        <v/>
      </c>
      <c r="R135" s="334" t="n"/>
      <c r="S135" s="334" t="n"/>
      <c r="T135" s="334" t="n"/>
      <c r="U135" s="334" t="n"/>
      <c r="V135" s="334" t="n"/>
      <c r="W135" s="334" t="n"/>
      <c r="X135" s="334" t="n"/>
      <c r="Y135" s="334" t="n"/>
    </row>
    <row r="136" ht="15" customHeight="1" s="195">
      <c r="A136" s="280" t="n"/>
      <c r="B136" s="280" t="n"/>
      <c r="C136" s="280" t="n"/>
      <c r="D136" s="280" t="n"/>
      <c r="E136" s="280" t="n"/>
      <c r="F136" s="280" t="n"/>
      <c r="G136" s="280" t="n"/>
      <c r="H136" s="280" t="n"/>
      <c r="I136" s="332">
        <f>IFERROR(VLOOKUP(TEXT(H136,"0"),IPRESS!$A$3:$B$212,2,0),"")</f>
        <v/>
      </c>
      <c r="J136" s="280" t="n"/>
      <c r="K136" s="332">
        <f>IFERROR(VLOOKUP(TEXT(O136,"0"),CONDUCTORES!$A$3:$G$54,7,0),"")</f>
        <v/>
      </c>
      <c r="L136" s="280" t="n"/>
      <c r="M136" s="280" t="n"/>
      <c r="N136" s="333">
        <f>IFERROR(IF(L136*M136=0,"",L136*M136),"")</f>
        <v/>
      </c>
      <c r="O136" s="280" t="n"/>
      <c r="P136" s="332">
        <f>IFERROR(VLOOKUP(TEXT(O136,"0"),CONDUCTORES!$A$3:$G$54,2,0),"")</f>
        <v/>
      </c>
      <c r="Q136" s="332">
        <f>IFERROR(VLOOKUP(TEXT(O136,"0"),CONDUCTORES!$A$3:$H$54,6,0),"")</f>
        <v/>
      </c>
      <c r="R136" s="280" t="n"/>
      <c r="S136" s="280" t="n"/>
      <c r="T136" s="280" t="n"/>
      <c r="U136" s="280" t="n"/>
      <c r="V136" s="280" t="n"/>
      <c r="W136" s="280" t="n"/>
      <c r="X136" s="280" t="n"/>
      <c r="Y136" s="280" t="n"/>
    </row>
    <row r="137" ht="15" customHeight="1" s="195">
      <c r="A137" s="334" t="n"/>
      <c r="B137" s="334" t="n"/>
      <c r="C137" s="334" t="n"/>
      <c r="D137" s="334" t="n"/>
      <c r="E137" s="334" t="n"/>
      <c r="F137" s="334" t="n"/>
      <c r="G137" s="334" t="n"/>
      <c r="H137" s="334" t="n"/>
      <c r="I137" s="332">
        <f>IFERROR(VLOOKUP(TEXT(H137,"0"),IPRESS!$A$3:$B$212,2,0),"")</f>
        <v/>
      </c>
      <c r="J137" s="334" t="n"/>
      <c r="K137" s="332">
        <f>IFERROR(VLOOKUP(TEXT(O137,"0"),CONDUCTORES!$A$3:$G$54,7,0),"")</f>
        <v/>
      </c>
      <c r="L137" s="334" t="n"/>
      <c r="M137" s="334" t="n"/>
      <c r="N137" s="333">
        <f>IFERROR(IF(L137*M137=0,"",L137*M137),"")</f>
        <v/>
      </c>
      <c r="O137" s="334" t="n"/>
      <c r="P137" s="332">
        <f>IFERROR(VLOOKUP(TEXT(O137,"0"),CONDUCTORES!$A$3:$G$54,2,0),"")</f>
        <v/>
      </c>
      <c r="Q137" s="332">
        <f>IFERROR(VLOOKUP(TEXT(O137,"0"),CONDUCTORES!$A$3:$H$54,6,0),"")</f>
        <v/>
      </c>
      <c r="R137" s="334" t="n"/>
      <c r="S137" s="334" t="n"/>
      <c r="T137" s="334" t="n"/>
      <c r="U137" s="334" t="n"/>
      <c r="V137" s="334" t="n"/>
      <c r="W137" s="334" t="n"/>
      <c r="X137" s="334" t="n"/>
      <c r="Y137" s="334" t="n"/>
    </row>
    <row r="138" ht="15" customHeight="1" s="195">
      <c r="A138" s="280" t="n"/>
      <c r="B138" s="280" t="n"/>
      <c r="C138" s="280" t="n"/>
      <c r="D138" s="280" t="n"/>
      <c r="E138" s="280" t="n"/>
      <c r="F138" s="280" t="n"/>
      <c r="G138" s="280" t="n"/>
      <c r="H138" s="280" t="n"/>
      <c r="I138" s="332">
        <f>IFERROR(VLOOKUP(TEXT(H138,"0"),IPRESS!$A$3:$B$212,2,0),"")</f>
        <v/>
      </c>
      <c r="J138" s="280" t="n"/>
      <c r="K138" s="332">
        <f>IFERROR(VLOOKUP(TEXT(O138,"0"),CONDUCTORES!$A$3:$G$54,7,0),"")</f>
        <v/>
      </c>
      <c r="L138" s="280" t="n"/>
      <c r="M138" s="280" t="n"/>
      <c r="N138" s="333">
        <f>IFERROR(IF(L138*M138=0,"",L138*M138),"")</f>
        <v/>
      </c>
      <c r="O138" s="280" t="n"/>
      <c r="P138" s="332">
        <f>IFERROR(VLOOKUP(TEXT(O138,"0"),CONDUCTORES!$A$3:$G$54,2,0),"")</f>
        <v/>
      </c>
      <c r="Q138" s="332">
        <f>IFERROR(VLOOKUP(TEXT(O138,"0"),CONDUCTORES!$A$3:$H$54,6,0),"")</f>
        <v/>
      </c>
      <c r="R138" s="280" t="n"/>
      <c r="S138" s="280" t="n"/>
      <c r="T138" s="280" t="n"/>
      <c r="U138" s="280" t="n"/>
      <c r="V138" s="280" t="n"/>
      <c r="W138" s="280" t="n"/>
      <c r="X138" s="280" t="n"/>
      <c r="Y138" s="280" t="n"/>
    </row>
    <row r="139" ht="15" customHeight="1" s="195">
      <c r="A139" s="334" t="n"/>
      <c r="B139" s="334" t="n"/>
      <c r="C139" s="334" t="n"/>
      <c r="D139" s="334" t="n"/>
      <c r="E139" s="334" t="n"/>
      <c r="F139" s="334" t="n"/>
      <c r="G139" s="334" t="n"/>
      <c r="H139" s="334" t="n"/>
      <c r="I139" s="332">
        <f>IFERROR(VLOOKUP(TEXT(H139,"0"),IPRESS!$A$3:$B$212,2,0),"")</f>
        <v/>
      </c>
      <c r="J139" s="334" t="n"/>
      <c r="K139" s="332">
        <f>IFERROR(VLOOKUP(TEXT(O139,"0"),CONDUCTORES!$A$3:$G$54,7,0),"")</f>
        <v/>
      </c>
      <c r="L139" s="334" t="n"/>
      <c r="M139" s="334" t="n"/>
      <c r="N139" s="333">
        <f>IFERROR(IF(L139*M139=0,"",L139*M139),"")</f>
        <v/>
      </c>
      <c r="O139" s="334" t="n"/>
      <c r="P139" s="332">
        <f>IFERROR(VLOOKUP(TEXT(O139,"0"),CONDUCTORES!$A$3:$G$54,2,0),"")</f>
        <v/>
      </c>
      <c r="Q139" s="332">
        <f>IFERROR(VLOOKUP(TEXT(O139,"0"),CONDUCTORES!$A$3:$H$54,6,0),"")</f>
        <v/>
      </c>
      <c r="R139" s="334" t="n"/>
      <c r="S139" s="334" t="n"/>
      <c r="T139" s="334" t="n"/>
      <c r="U139" s="334" t="n"/>
      <c r="V139" s="334" t="n"/>
      <c r="W139" s="334" t="n"/>
      <c r="X139" s="334" t="n"/>
      <c r="Y139" s="334" t="n"/>
    </row>
    <row r="140" ht="15" customHeight="1" s="195">
      <c r="A140" s="280" t="n"/>
      <c r="B140" s="280" t="n"/>
      <c r="C140" s="280" t="n"/>
      <c r="D140" s="280" t="n"/>
      <c r="E140" s="280" t="n"/>
      <c r="F140" s="280" t="n"/>
      <c r="G140" s="280" t="n"/>
      <c r="H140" s="280" t="n"/>
      <c r="I140" s="332">
        <f>IFERROR(VLOOKUP(TEXT(H140,"0"),IPRESS!$A$3:$B$212,2,0),"")</f>
        <v/>
      </c>
      <c r="J140" s="280" t="n"/>
      <c r="K140" s="332">
        <f>IFERROR(VLOOKUP(TEXT(O140,"0"),CONDUCTORES!$A$3:$G$54,7,0),"")</f>
        <v/>
      </c>
      <c r="L140" s="280" t="n"/>
      <c r="M140" s="280" t="n"/>
      <c r="N140" s="333">
        <f>IFERROR(IF(L140*M140=0,"",L140*M140),"")</f>
        <v/>
      </c>
      <c r="O140" s="280" t="n"/>
      <c r="P140" s="332">
        <f>IFERROR(VLOOKUP(TEXT(O140,"0"),CONDUCTORES!$A$3:$G$54,2,0),"")</f>
        <v/>
      </c>
      <c r="Q140" s="332">
        <f>IFERROR(VLOOKUP(TEXT(O140,"0"),CONDUCTORES!$A$3:$H$54,6,0),"")</f>
        <v/>
      </c>
      <c r="R140" s="280" t="n"/>
      <c r="S140" s="280" t="n"/>
      <c r="T140" s="280" t="n"/>
      <c r="U140" s="280" t="n"/>
      <c r="V140" s="280" t="n"/>
      <c r="W140" s="280" t="n"/>
      <c r="X140" s="280" t="n"/>
      <c r="Y140" s="280" t="n"/>
    </row>
    <row r="141" ht="15" customHeight="1" s="195">
      <c r="A141" s="334" t="n"/>
      <c r="B141" s="334" t="n"/>
      <c r="C141" s="334" t="n"/>
      <c r="D141" s="334" t="n"/>
      <c r="E141" s="334" t="n"/>
      <c r="F141" s="334" t="n"/>
      <c r="G141" s="334" t="n"/>
      <c r="H141" s="334" t="n"/>
      <c r="I141" s="332">
        <f>IFERROR(VLOOKUP(TEXT(H141,"0"),IPRESS!$A$3:$B$212,2,0),"")</f>
        <v/>
      </c>
      <c r="J141" s="334" t="n"/>
      <c r="K141" s="332">
        <f>IFERROR(VLOOKUP(TEXT(O141,"0"),CONDUCTORES!$A$3:$G$54,7,0),"")</f>
        <v/>
      </c>
      <c r="L141" s="334" t="n"/>
      <c r="M141" s="334" t="n"/>
      <c r="N141" s="333">
        <f>IFERROR(IF(L141*M141=0,"",L141*M141),"")</f>
        <v/>
      </c>
      <c r="O141" s="334" t="n"/>
      <c r="P141" s="332">
        <f>IFERROR(VLOOKUP(TEXT(O141,"0"),CONDUCTORES!$A$3:$G$54,2,0),"")</f>
        <v/>
      </c>
      <c r="Q141" s="332">
        <f>IFERROR(VLOOKUP(TEXT(O141,"0"),CONDUCTORES!$A$3:$H$54,6,0),"")</f>
        <v/>
      </c>
      <c r="R141" s="334" t="n"/>
      <c r="S141" s="334" t="n"/>
      <c r="T141" s="334" t="n"/>
      <c r="U141" s="334" t="n"/>
      <c r="V141" s="334" t="n"/>
      <c r="W141" s="334" t="n"/>
      <c r="X141" s="334" t="n"/>
      <c r="Y141" s="334" t="n"/>
    </row>
    <row r="142" ht="15" customHeight="1" s="195">
      <c r="A142" s="280" t="n"/>
      <c r="B142" s="280" t="n"/>
      <c r="C142" s="280" t="n"/>
      <c r="D142" s="280" t="n"/>
      <c r="E142" s="280" t="n"/>
      <c r="F142" s="280" t="n"/>
      <c r="G142" s="280" t="n"/>
      <c r="H142" s="280" t="n"/>
      <c r="I142" s="332">
        <f>IFERROR(VLOOKUP(TEXT(H142,"0"),IPRESS!$A$3:$B$212,2,0),"")</f>
        <v/>
      </c>
      <c r="J142" s="280" t="n"/>
      <c r="K142" s="332">
        <f>IFERROR(VLOOKUP(TEXT(O142,"0"),CONDUCTORES!$A$3:$G$54,7,0),"")</f>
        <v/>
      </c>
      <c r="L142" s="280" t="n"/>
      <c r="M142" s="280" t="n"/>
      <c r="N142" s="333">
        <f>IFERROR(IF(L142*M142=0,"",L142*M142),"")</f>
        <v/>
      </c>
      <c r="O142" s="280" t="n"/>
      <c r="P142" s="332">
        <f>IFERROR(VLOOKUP(TEXT(O142,"0"),CONDUCTORES!$A$3:$G$54,2,0),"")</f>
        <v/>
      </c>
      <c r="Q142" s="332">
        <f>IFERROR(VLOOKUP(TEXT(O142,"0"),CONDUCTORES!$A$3:$H$54,6,0),"")</f>
        <v/>
      </c>
      <c r="R142" s="280" t="n"/>
      <c r="S142" s="280" t="n"/>
      <c r="T142" s="280" t="n"/>
      <c r="U142" s="280" t="n"/>
      <c r="V142" s="280" t="n"/>
      <c r="W142" s="280" t="n"/>
      <c r="X142" s="280" t="n"/>
      <c r="Y142" s="280" t="n"/>
    </row>
    <row r="143" ht="15" customHeight="1" s="195">
      <c r="A143" s="334" t="n"/>
      <c r="B143" s="334" t="n"/>
      <c r="C143" s="334" t="n"/>
      <c r="D143" s="334" t="n"/>
      <c r="E143" s="334" t="n"/>
      <c r="F143" s="334" t="n"/>
      <c r="G143" s="334" t="n"/>
      <c r="H143" s="334" t="n"/>
      <c r="I143" s="332">
        <f>IFERROR(VLOOKUP(TEXT(H143,"0"),IPRESS!$A$3:$B$212,2,0),"")</f>
        <v/>
      </c>
      <c r="J143" s="334" t="n"/>
      <c r="K143" s="332">
        <f>IFERROR(VLOOKUP(TEXT(O143,"0"),CONDUCTORES!$A$3:$G$54,7,0),"")</f>
        <v/>
      </c>
      <c r="L143" s="334" t="n"/>
      <c r="M143" s="334" t="n"/>
      <c r="N143" s="333">
        <f>IFERROR(IF(L143*M143=0,"",L143*M143),"")</f>
        <v/>
      </c>
      <c r="O143" s="334" t="n"/>
      <c r="P143" s="332">
        <f>IFERROR(VLOOKUP(TEXT(O143,"0"),CONDUCTORES!$A$3:$G$54,2,0),"")</f>
        <v/>
      </c>
      <c r="Q143" s="332">
        <f>IFERROR(VLOOKUP(TEXT(O143,"0"),CONDUCTORES!$A$3:$H$54,6,0),"")</f>
        <v/>
      </c>
      <c r="R143" s="334" t="n"/>
      <c r="S143" s="334" t="n"/>
      <c r="T143" s="334" t="n"/>
      <c r="U143" s="334" t="n"/>
      <c r="V143" s="334" t="n"/>
      <c r="W143" s="334" t="n"/>
      <c r="X143" s="334" t="n"/>
      <c r="Y143" s="334" t="n"/>
    </row>
    <row r="144" ht="15" customHeight="1" s="195">
      <c r="A144" s="280" t="n"/>
      <c r="B144" s="280" t="n"/>
      <c r="C144" s="280" t="n"/>
      <c r="D144" s="280" t="n"/>
      <c r="E144" s="280" t="n"/>
      <c r="F144" s="280" t="n"/>
      <c r="G144" s="280" t="n"/>
      <c r="H144" s="280" t="n"/>
      <c r="I144" s="332">
        <f>IFERROR(VLOOKUP(TEXT(H144,"0"),IPRESS!$A$3:$B$212,2,0),"")</f>
        <v/>
      </c>
      <c r="J144" s="280" t="n"/>
      <c r="K144" s="332">
        <f>IFERROR(VLOOKUP(TEXT(O144,"0"),CONDUCTORES!$A$3:$G$54,7,0),"")</f>
        <v/>
      </c>
      <c r="L144" s="280" t="n"/>
      <c r="M144" s="280" t="n"/>
      <c r="N144" s="333">
        <f>IFERROR(IF(L144*M144=0,"",L144*M144),"")</f>
        <v/>
      </c>
      <c r="O144" s="280" t="n"/>
      <c r="P144" s="332">
        <f>IFERROR(VLOOKUP(TEXT(O144,"0"),CONDUCTORES!$A$3:$G$54,2,0),"")</f>
        <v/>
      </c>
      <c r="Q144" s="332">
        <f>IFERROR(VLOOKUP(TEXT(O144,"0"),CONDUCTORES!$A$3:$H$54,6,0),"")</f>
        <v/>
      </c>
      <c r="R144" s="280" t="n"/>
      <c r="S144" s="280" t="n"/>
      <c r="T144" s="280" t="n"/>
      <c r="U144" s="280" t="n"/>
      <c r="V144" s="280" t="n"/>
      <c r="W144" s="280" t="n"/>
      <c r="X144" s="280" t="n"/>
      <c r="Y144" s="280" t="n"/>
    </row>
    <row r="145" ht="15" customHeight="1" s="195">
      <c r="A145" s="334" t="n"/>
      <c r="B145" s="334" t="n"/>
      <c r="C145" s="334" t="n"/>
      <c r="D145" s="334" t="n"/>
      <c r="E145" s="334" t="n"/>
      <c r="F145" s="334" t="n"/>
      <c r="G145" s="334" t="n"/>
      <c r="H145" s="334" t="n"/>
      <c r="I145" s="332">
        <f>IFERROR(VLOOKUP(TEXT(H145,"0"),IPRESS!$A$3:$B$212,2,0),"")</f>
        <v/>
      </c>
      <c r="J145" s="334" t="n"/>
      <c r="K145" s="332">
        <f>IFERROR(VLOOKUP(TEXT(O145,"0"),CONDUCTORES!$A$3:$G$54,7,0),"")</f>
        <v/>
      </c>
      <c r="L145" s="334" t="n"/>
      <c r="M145" s="334" t="n"/>
      <c r="N145" s="333">
        <f>IFERROR(IF(L145*M145=0,"",L145*M145),"")</f>
        <v/>
      </c>
      <c r="O145" s="334" t="n"/>
      <c r="P145" s="332">
        <f>IFERROR(VLOOKUP(TEXT(O145,"0"),CONDUCTORES!$A$3:$G$54,2,0),"")</f>
        <v/>
      </c>
      <c r="Q145" s="332">
        <f>IFERROR(VLOOKUP(TEXT(O145,"0"),CONDUCTORES!$A$3:$H$54,6,0),"")</f>
        <v/>
      </c>
      <c r="R145" s="334" t="n"/>
      <c r="S145" s="334" t="n"/>
      <c r="T145" s="334" t="n"/>
      <c r="U145" s="334" t="n"/>
      <c r="V145" s="334" t="n"/>
      <c r="W145" s="334" t="n"/>
      <c r="X145" s="334" t="n"/>
      <c r="Y145" s="334" t="n"/>
    </row>
    <row r="146" ht="15" customHeight="1" s="195">
      <c r="A146" s="280" t="n"/>
      <c r="B146" s="280" t="n"/>
      <c r="C146" s="280" t="n"/>
      <c r="D146" s="280" t="n"/>
      <c r="E146" s="280" t="n"/>
      <c r="F146" s="280" t="n"/>
      <c r="G146" s="280" t="n"/>
      <c r="H146" s="280" t="n"/>
      <c r="I146" s="332">
        <f>IFERROR(VLOOKUP(TEXT(H146,"0"),IPRESS!$A$3:$B$212,2,0),"")</f>
        <v/>
      </c>
      <c r="J146" s="280" t="n"/>
      <c r="K146" s="332">
        <f>IFERROR(VLOOKUP(TEXT(O146,"0"),CONDUCTORES!$A$3:$G$54,7,0),"")</f>
        <v/>
      </c>
      <c r="L146" s="280" t="n"/>
      <c r="M146" s="280" t="n"/>
      <c r="N146" s="333">
        <f>IFERROR(IF(L146*M146=0,"",L146*M146),"")</f>
        <v/>
      </c>
      <c r="O146" s="280" t="n"/>
      <c r="P146" s="332">
        <f>IFERROR(VLOOKUP(TEXT(O146,"0"),CONDUCTORES!$A$3:$G$54,2,0),"")</f>
        <v/>
      </c>
      <c r="Q146" s="332">
        <f>IFERROR(VLOOKUP(TEXT(O146,"0"),CONDUCTORES!$A$3:$H$54,6,0),"")</f>
        <v/>
      </c>
      <c r="R146" s="280" t="n"/>
      <c r="S146" s="280" t="n"/>
      <c r="T146" s="280" t="n"/>
      <c r="U146" s="280" t="n"/>
      <c r="V146" s="280" t="n"/>
      <c r="W146" s="280" t="n"/>
      <c r="X146" s="280" t="n"/>
      <c r="Y146" s="280" t="n"/>
    </row>
    <row r="147" ht="15" customHeight="1" s="195">
      <c r="A147" s="334" t="n"/>
      <c r="B147" s="334" t="n"/>
      <c r="C147" s="334" t="n"/>
      <c r="D147" s="334" t="n"/>
      <c r="E147" s="334" t="n"/>
      <c r="F147" s="334" t="n"/>
      <c r="G147" s="334" t="n"/>
      <c r="H147" s="334" t="n"/>
      <c r="I147" s="332">
        <f>IFERROR(VLOOKUP(TEXT(H147,"0"),IPRESS!$A$3:$B$212,2,0),"")</f>
        <v/>
      </c>
      <c r="J147" s="334" t="n"/>
      <c r="K147" s="332">
        <f>IFERROR(VLOOKUP(TEXT(O147,"0"),CONDUCTORES!$A$3:$G$54,7,0),"")</f>
        <v/>
      </c>
      <c r="L147" s="334" t="n"/>
      <c r="M147" s="334" t="n"/>
      <c r="N147" s="333">
        <f>IFERROR(IF(L147*M147=0,"",L147*M147),"")</f>
        <v/>
      </c>
      <c r="O147" s="334" t="n"/>
      <c r="P147" s="332">
        <f>IFERROR(VLOOKUP(TEXT(O147,"0"),CONDUCTORES!$A$3:$G$54,2,0),"")</f>
        <v/>
      </c>
      <c r="Q147" s="332">
        <f>IFERROR(VLOOKUP(TEXT(O147,"0"),CONDUCTORES!$A$3:$H$54,6,0),"")</f>
        <v/>
      </c>
      <c r="R147" s="334" t="n"/>
      <c r="S147" s="334" t="n"/>
      <c r="T147" s="334" t="n"/>
      <c r="U147" s="334" t="n"/>
      <c r="V147" s="334" t="n"/>
      <c r="W147" s="334" t="n"/>
      <c r="X147" s="334" t="n"/>
      <c r="Y147" s="334" t="n"/>
    </row>
    <row r="148" ht="15" customHeight="1" s="195">
      <c r="A148" s="280" t="n"/>
      <c r="B148" s="280" t="n"/>
      <c r="C148" s="280" t="n"/>
      <c r="D148" s="280" t="n"/>
      <c r="E148" s="280" t="n"/>
      <c r="F148" s="280" t="n"/>
      <c r="G148" s="280" t="n"/>
      <c r="H148" s="280" t="n"/>
      <c r="I148" s="332">
        <f>IFERROR(VLOOKUP(TEXT(H148,"0"),IPRESS!$A$3:$B$212,2,0),"")</f>
        <v/>
      </c>
      <c r="J148" s="280" t="n"/>
      <c r="K148" s="332">
        <f>IFERROR(VLOOKUP(TEXT(O148,"0"),CONDUCTORES!$A$3:$G$54,7,0),"")</f>
        <v/>
      </c>
      <c r="L148" s="280" t="n"/>
      <c r="M148" s="280" t="n"/>
      <c r="N148" s="333">
        <f>IFERROR(IF(L148*M148=0,"",L148*M148),"")</f>
        <v/>
      </c>
      <c r="O148" s="280" t="n"/>
      <c r="P148" s="332">
        <f>IFERROR(VLOOKUP(TEXT(O148,"0"),CONDUCTORES!$A$3:$G$54,2,0),"")</f>
        <v/>
      </c>
      <c r="Q148" s="332">
        <f>IFERROR(VLOOKUP(TEXT(O148,"0"),CONDUCTORES!$A$3:$H$54,6,0),"")</f>
        <v/>
      </c>
      <c r="R148" s="280" t="n"/>
      <c r="S148" s="280" t="n"/>
      <c r="T148" s="280" t="n"/>
      <c r="U148" s="280" t="n"/>
      <c r="V148" s="280" t="n"/>
      <c r="W148" s="280" t="n"/>
      <c r="X148" s="280" t="n"/>
      <c r="Y148" s="280" t="n"/>
    </row>
    <row r="149" ht="15" customHeight="1" s="195">
      <c r="A149" s="334" t="n"/>
      <c r="B149" s="334" t="n"/>
      <c r="C149" s="334" t="n"/>
      <c r="D149" s="334" t="n"/>
      <c r="E149" s="334" t="n"/>
      <c r="F149" s="334" t="n"/>
      <c r="G149" s="334" t="n"/>
      <c r="H149" s="334" t="n"/>
      <c r="I149" s="332">
        <f>IFERROR(VLOOKUP(TEXT(H149,"0"),IPRESS!$A$3:$B$212,2,0),"")</f>
        <v/>
      </c>
      <c r="J149" s="334" t="n"/>
      <c r="K149" s="332">
        <f>IFERROR(VLOOKUP(TEXT(O149,"0"),CONDUCTORES!$A$3:$G$54,7,0),"")</f>
        <v/>
      </c>
      <c r="L149" s="334" t="n"/>
      <c r="M149" s="334" t="n"/>
      <c r="N149" s="333">
        <f>IFERROR(IF(L149*M149=0,"",L149*M149),"")</f>
        <v/>
      </c>
      <c r="O149" s="334" t="n"/>
      <c r="P149" s="332">
        <f>IFERROR(VLOOKUP(TEXT(O149,"0"),CONDUCTORES!$A$3:$G$54,2,0),"")</f>
        <v/>
      </c>
      <c r="Q149" s="332">
        <f>IFERROR(VLOOKUP(TEXT(O149,"0"),CONDUCTORES!$A$3:$H$54,6,0),"")</f>
        <v/>
      </c>
      <c r="R149" s="334" t="n"/>
      <c r="S149" s="334" t="n"/>
      <c r="T149" s="334" t="n"/>
      <c r="U149" s="334" t="n"/>
      <c r="V149" s="334" t="n"/>
      <c r="W149" s="334" t="n"/>
      <c r="X149" s="334" t="n"/>
      <c r="Y149" s="334" t="n"/>
    </row>
    <row r="150" ht="15" customHeight="1" s="195">
      <c r="A150" s="280" t="n"/>
      <c r="B150" s="280" t="n"/>
      <c r="C150" s="280" t="n"/>
      <c r="D150" s="280" t="n"/>
      <c r="E150" s="280" t="n"/>
      <c r="F150" s="280" t="n"/>
      <c r="G150" s="280" t="n"/>
      <c r="H150" s="280" t="n"/>
      <c r="I150" s="332">
        <f>IFERROR(VLOOKUP(TEXT(H150,"0"),IPRESS!$A$3:$B$212,2,0),"")</f>
        <v/>
      </c>
      <c r="J150" s="280" t="n"/>
      <c r="K150" s="332">
        <f>IFERROR(VLOOKUP(TEXT(O150,"0"),CONDUCTORES!$A$3:$G$54,7,0),"")</f>
        <v/>
      </c>
      <c r="L150" s="280" t="n"/>
      <c r="M150" s="280" t="n"/>
      <c r="N150" s="333">
        <f>IFERROR(IF(L150*M150=0,"",L150*M150),"")</f>
        <v/>
      </c>
      <c r="O150" s="280" t="n"/>
      <c r="P150" s="332">
        <f>IFERROR(VLOOKUP(TEXT(O150,"0"),CONDUCTORES!$A$3:$G$54,2,0),"")</f>
        <v/>
      </c>
      <c r="Q150" s="332">
        <f>IFERROR(VLOOKUP(TEXT(O150,"0"),CONDUCTORES!$A$3:$H$54,6,0),"")</f>
        <v/>
      </c>
      <c r="R150" s="280" t="n"/>
      <c r="S150" s="280" t="n"/>
      <c r="T150" s="280" t="n"/>
      <c r="U150" s="280" t="n"/>
      <c r="V150" s="280" t="n"/>
      <c r="W150" s="280" t="n"/>
      <c r="X150" s="280" t="n"/>
      <c r="Y150" s="280" t="n"/>
    </row>
    <row r="151" ht="15" customHeight="1" s="195">
      <c r="A151" s="334" t="n"/>
      <c r="B151" s="334" t="n"/>
      <c r="C151" s="334" t="n"/>
      <c r="D151" s="334" t="n"/>
      <c r="E151" s="334" t="n"/>
      <c r="F151" s="334" t="n"/>
      <c r="G151" s="334" t="n"/>
      <c r="H151" s="334" t="n"/>
      <c r="I151" s="332">
        <f>IFERROR(VLOOKUP(TEXT(H151,"0"),IPRESS!$A$3:$B$212,2,0),"")</f>
        <v/>
      </c>
      <c r="J151" s="334" t="n"/>
      <c r="K151" s="332">
        <f>IFERROR(VLOOKUP(TEXT(O151,"0"),CONDUCTORES!$A$3:$G$54,7,0),"")</f>
        <v/>
      </c>
      <c r="L151" s="334" t="n"/>
      <c r="M151" s="334" t="n"/>
      <c r="N151" s="333">
        <f>IFERROR(IF(L151*M151=0,"",L151*M151),"")</f>
        <v/>
      </c>
      <c r="O151" s="334" t="n"/>
      <c r="P151" s="332">
        <f>IFERROR(VLOOKUP(TEXT(O151,"0"),CONDUCTORES!$A$3:$G$54,2,0),"")</f>
        <v/>
      </c>
      <c r="Q151" s="332">
        <f>IFERROR(VLOOKUP(TEXT(O151,"0"),CONDUCTORES!$A$3:$H$54,6,0),"")</f>
        <v/>
      </c>
      <c r="R151" s="334" t="n"/>
      <c r="S151" s="334" t="n"/>
      <c r="T151" s="334" t="n"/>
      <c r="U151" s="334" t="n"/>
      <c r="V151" s="334" t="n"/>
      <c r="W151" s="334" t="n"/>
      <c r="X151" s="334" t="n"/>
      <c r="Y151" s="334" t="n"/>
    </row>
    <row r="152" ht="15" customHeight="1" s="195">
      <c r="A152" s="280" t="n"/>
      <c r="B152" s="280" t="n"/>
      <c r="C152" s="280" t="n"/>
      <c r="D152" s="280" t="n"/>
      <c r="E152" s="280" t="n"/>
      <c r="F152" s="280" t="n"/>
      <c r="G152" s="280" t="n"/>
      <c r="H152" s="280" t="n"/>
      <c r="I152" s="332">
        <f>IFERROR(VLOOKUP(TEXT(H152,"0"),IPRESS!$A$3:$B$212,2,0),"")</f>
        <v/>
      </c>
      <c r="J152" s="280" t="n"/>
      <c r="K152" s="332">
        <f>IFERROR(VLOOKUP(TEXT(O152,"0"),CONDUCTORES!$A$3:$G$54,7,0),"")</f>
        <v/>
      </c>
      <c r="L152" s="280" t="n"/>
      <c r="M152" s="280" t="n"/>
      <c r="N152" s="333">
        <f>IFERROR(IF(L152*M152=0,"",L152*M152),"")</f>
        <v/>
      </c>
      <c r="O152" s="280" t="n"/>
      <c r="P152" s="332">
        <f>IFERROR(VLOOKUP(TEXT(O152,"0"),CONDUCTORES!$A$3:$G$54,2,0),"")</f>
        <v/>
      </c>
      <c r="Q152" s="332">
        <f>IFERROR(VLOOKUP(TEXT(O152,"0"),CONDUCTORES!$A$3:$H$54,6,0),"")</f>
        <v/>
      </c>
      <c r="R152" s="280" t="n"/>
      <c r="S152" s="280" t="n"/>
      <c r="T152" s="280" t="n"/>
      <c r="U152" s="280" t="n"/>
      <c r="V152" s="280" t="n"/>
      <c r="W152" s="280" t="n"/>
      <c r="X152" s="280" t="n"/>
      <c r="Y152" s="280" t="n"/>
    </row>
    <row r="153" ht="15" customHeight="1" s="195">
      <c r="A153" s="334" t="n"/>
      <c r="B153" s="334" t="n"/>
      <c r="C153" s="334" t="n"/>
      <c r="D153" s="334" t="n"/>
      <c r="E153" s="334" t="n"/>
      <c r="F153" s="334" t="n"/>
      <c r="G153" s="334" t="n"/>
      <c r="H153" s="334" t="n"/>
      <c r="I153" s="332">
        <f>IFERROR(VLOOKUP(TEXT(H153,"0"),IPRESS!$A$3:$B$212,2,0),"")</f>
        <v/>
      </c>
      <c r="J153" s="334" t="n"/>
      <c r="K153" s="332">
        <f>IFERROR(VLOOKUP(TEXT(O153,"0"),CONDUCTORES!$A$3:$G$54,7,0),"")</f>
        <v/>
      </c>
      <c r="L153" s="334" t="n"/>
      <c r="M153" s="334" t="n"/>
      <c r="N153" s="333">
        <f>IFERROR(IF(L153*M153=0,"",L153*M153),"")</f>
        <v/>
      </c>
      <c r="O153" s="334" t="n"/>
      <c r="P153" s="332">
        <f>IFERROR(VLOOKUP(TEXT(O153,"0"),CONDUCTORES!$A$3:$G$54,2,0),"")</f>
        <v/>
      </c>
      <c r="Q153" s="332">
        <f>IFERROR(VLOOKUP(TEXT(O153,"0"),CONDUCTORES!$A$3:$H$54,6,0),"")</f>
        <v/>
      </c>
      <c r="R153" s="334" t="n"/>
      <c r="S153" s="334" t="n"/>
      <c r="T153" s="334" t="n"/>
      <c r="U153" s="334" t="n"/>
      <c r="V153" s="334" t="n"/>
      <c r="W153" s="334" t="n"/>
      <c r="X153" s="334" t="n"/>
      <c r="Y153" s="334" t="n"/>
    </row>
    <row r="154" ht="15" customHeight="1" s="195">
      <c r="A154" s="280" t="n"/>
      <c r="B154" s="280" t="n"/>
      <c r="C154" s="280" t="n"/>
      <c r="D154" s="280" t="n"/>
      <c r="E154" s="280" t="n"/>
      <c r="F154" s="280" t="n"/>
      <c r="G154" s="280" t="n"/>
      <c r="H154" s="280" t="n"/>
      <c r="I154" s="332">
        <f>IFERROR(VLOOKUP(TEXT(H154,"0"),IPRESS!$A$3:$B$212,2,0),"")</f>
        <v/>
      </c>
      <c r="J154" s="280" t="n"/>
      <c r="K154" s="332">
        <f>IFERROR(VLOOKUP(TEXT(O154,"0"),CONDUCTORES!$A$3:$G$54,7,0),"")</f>
        <v/>
      </c>
      <c r="L154" s="280" t="n"/>
      <c r="M154" s="280" t="n"/>
      <c r="N154" s="333">
        <f>IFERROR(IF(L154*M154=0,"",L154*M154),"")</f>
        <v/>
      </c>
      <c r="O154" s="280" t="n"/>
      <c r="P154" s="332">
        <f>IFERROR(VLOOKUP(TEXT(O154,"0"),CONDUCTORES!$A$3:$G$54,2,0),"")</f>
        <v/>
      </c>
      <c r="Q154" s="332">
        <f>IFERROR(VLOOKUP(TEXT(O154,"0"),CONDUCTORES!$A$3:$H$54,6,0),"")</f>
        <v/>
      </c>
      <c r="R154" s="280" t="n"/>
      <c r="S154" s="280" t="n"/>
      <c r="T154" s="280" t="n"/>
      <c r="U154" s="280" t="n"/>
      <c r="V154" s="280" t="n"/>
      <c r="W154" s="280" t="n"/>
      <c r="X154" s="280" t="n"/>
      <c r="Y154" s="280" t="n"/>
    </row>
    <row r="155" ht="15" customHeight="1" s="195">
      <c r="A155" s="334" t="n"/>
      <c r="B155" s="334" t="n"/>
      <c r="C155" s="334" t="n"/>
      <c r="D155" s="334" t="n"/>
      <c r="E155" s="334" t="n"/>
      <c r="F155" s="334" t="n"/>
      <c r="G155" s="334" t="n"/>
      <c r="H155" s="334" t="n"/>
      <c r="I155" s="332">
        <f>IFERROR(VLOOKUP(TEXT(H155,"0"),IPRESS!$A$3:$B$212,2,0),"")</f>
        <v/>
      </c>
      <c r="J155" s="334" t="n"/>
      <c r="K155" s="332">
        <f>IFERROR(VLOOKUP(TEXT(O155,"0"),CONDUCTORES!$A$3:$G$54,7,0),"")</f>
        <v/>
      </c>
      <c r="L155" s="334" t="n"/>
      <c r="M155" s="334" t="n"/>
      <c r="N155" s="333">
        <f>IFERROR(IF(L155*M155=0,"",L155*M155),"")</f>
        <v/>
      </c>
      <c r="O155" s="334" t="n"/>
      <c r="P155" s="332">
        <f>IFERROR(VLOOKUP(TEXT(O155,"0"),CONDUCTORES!$A$3:$G$54,2,0),"")</f>
        <v/>
      </c>
      <c r="Q155" s="332">
        <f>IFERROR(VLOOKUP(TEXT(O155,"0"),CONDUCTORES!$A$3:$H$54,6,0),"")</f>
        <v/>
      </c>
      <c r="R155" s="334" t="n"/>
      <c r="S155" s="334" t="n"/>
      <c r="T155" s="334" t="n"/>
      <c r="U155" s="334" t="n"/>
      <c r="V155" s="334" t="n"/>
      <c r="W155" s="334" t="n"/>
      <c r="X155" s="334" t="n"/>
      <c r="Y155" s="334" t="n"/>
    </row>
    <row r="156" ht="15" customHeight="1" s="195">
      <c r="A156" s="280" t="n"/>
      <c r="B156" s="280" t="n"/>
      <c r="C156" s="280" t="n"/>
      <c r="D156" s="280" t="n"/>
      <c r="E156" s="280" t="n"/>
      <c r="F156" s="280" t="n"/>
      <c r="G156" s="280" t="n"/>
      <c r="H156" s="280" t="n"/>
      <c r="I156" s="332">
        <f>IFERROR(VLOOKUP(TEXT(H156,"0"),IPRESS!$A$3:$B$212,2,0),"")</f>
        <v/>
      </c>
      <c r="J156" s="280" t="n"/>
      <c r="K156" s="332">
        <f>IFERROR(VLOOKUP(TEXT(O156,"0"),CONDUCTORES!$A$3:$G$54,7,0),"")</f>
        <v/>
      </c>
      <c r="L156" s="280" t="n"/>
      <c r="M156" s="280" t="n"/>
      <c r="N156" s="333">
        <f>IFERROR(IF(L156*M156=0,"",L156*M156),"")</f>
        <v/>
      </c>
      <c r="O156" s="280" t="n"/>
      <c r="P156" s="332">
        <f>IFERROR(VLOOKUP(TEXT(O156,"0"),CONDUCTORES!$A$3:$G$54,2,0),"")</f>
        <v/>
      </c>
      <c r="Q156" s="332">
        <f>IFERROR(VLOOKUP(TEXT(O156,"0"),CONDUCTORES!$A$3:$H$54,6,0),"")</f>
        <v/>
      </c>
      <c r="R156" s="280" t="n"/>
      <c r="S156" s="280" t="n"/>
      <c r="T156" s="280" t="n"/>
      <c r="U156" s="280" t="n"/>
      <c r="V156" s="280" t="n"/>
      <c r="W156" s="280" t="n"/>
      <c r="X156" s="280" t="n"/>
      <c r="Y156" s="280" t="n"/>
    </row>
    <row r="157" ht="15" customHeight="1" s="195">
      <c r="A157" s="334" t="n"/>
      <c r="B157" s="334" t="n"/>
      <c r="C157" s="334" t="n"/>
      <c r="D157" s="334" t="n"/>
      <c r="E157" s="334" t="n"/>
      <c r="F157" s="334" t="n"/>
      <c r="G157" s="334" t="n"/>
      <c r="H157" s="334" t="n"/>
      <c r="I157" s="332">
        <f>IFERROR(VLOOKUP(TEXT(H157,"0"),IPRESS!$A$3:$B$212,2,0),"")</f>
        <v/>
      </c>
      <c r="J157" s="334" t="n"/>
      <c r="K157" s="332">
        <f>IFERROR(VLOOKUP(TEXT(O157,"0"),CONDUCTORES!$A$3:$G$54,7,0),"")</f>
        <v/>
      </c>
      <c r="L157" s="334" t="n"/>
      <c r="M157" s="334" t="n"/>
      <c r="N157" s="333">
        <f>IFERROR(IF(L157*M157=0,"",L157*M157),"")</f>
        <v/>
      </c>
      <c r="O157" s="334" t="n"/>
      <c r="P157" s="332">
        <f>IFERROR(VLOOKUP(TEXT(O157,"0"),CONDUCTORES!$A$3:$G$54,2,0),"")</f>
        <v/>
      </c>
      <c r="Q157" s="332">
        <f>IFERROR(VLOOKUP(TEXT(O157,"0"),CONDUCTORES!$A$3:$H$54,6,0),"")</f>
        <v/>
      </c>
      <c r="R157" s="334" t="n"/>
      <c r="S157" s="334" t="n"/>
      <c r="T157" s="334" t="n"/>
      <c r="U157" s="334" t="n"/>
      <c r="V157" s="334" t="n"/>
      <c r="W157" s="334" t="n"/>
      <c r="X157" s="334" t="n"/>
      <c r="Y157" s="334" t="n"/>
    </row>
    <row r="158" ht="15" customHeight="1" s="195">
      <c r="A158" s="280" t="n"/>
      <c r="B158" s="280" t="n"/>
      <c r="C158" s="280" t="n"/>
      <c r="D158" s="280" t="n"/>
      <c r="E158" s="280" t="n"/>
      <c r="F158" s="280" t="n"/>
      <c r="G158" s="280" t="n"/>
      <c r="H158" s="280" t="n"/>
      <c r="I158" s="332">
        <f>IFERROR(VLOOKUP(TEXT(H158,"0"),IPRESS!$A$3:$B$212,2,0),"")</f>
        <v/>
      </c>
      <c r="J158" s="280" t="n"/>
      <c r="K158" s="332">
        <f>IFERROR(VLOOKUP(TEXT(O158,"0"),CONDUCTORES!$A$3:$G$54,7,0),"")</f>
        <v/>
      </c>
      <c r="L158" s="280" t="n"/>
      <c r="M158" s="280" t="n"/>
      <c r="N158" s="333">
        <f>IFERROR(IF(L158*M158=0,"",L158*M158),"")</f>
        <v/>
      </c>
      <c r="O158" s="280" t="n"/>
      <c r="P158" s="332">
        <f>IFERROR(VLOOKUP(TEXT(O158,"0"),CONDUCTORES!$A$3:$G$54,2,0),"")</f>
        <v/>
      </c>
      <c r="Q158" s="332">
        <f>IFERROR(VLOOKUP(TEXT(O158,"0"),CONDUCTORES!$A$3:$H$54,6,0),"")</f>
        <v/>
      </c>
      <c r="R158" s="280" t="n"/>
      <c r="S158" s="280" t="n"/>
      <c r="T158" s="280" t="n"/>
      <c r="U158" s="280" t="n"/>
      <c r="V158" s="280" t="n"/>
      <c r="W158" s="280" t="n"/>
      <c r="X158" s="280" t="n"/>
      <c r="Y158" s="280" t="n"/>
    </row>
    <row r="159" ht="15" customHeight="1" s="195">
      <c r="A159" s="334" t="n"/>
      <c r="B159" s="334" t="n"/>
      <c r="C159" s="334" t="n"/>
      <c r="D159" s="334" t="n"/>
      <c r="E159" s="334" t="n"/>
      <c r="F159" s="334" t="n"/>
      <c r="G159" s="334" t="n"/>
      <c r="H159" s="334" t="n"/>
      <c r="I159" s="332">
        <f>IFERROR(VLOOKUP(TEXT(H159,"0"),IPRESS!$A$3:$B$212,2,0),"")</f>
        <v/>
      </c>
      <c r="J159" s="334" t="n"/>
      <c r="K159" s="332">
        <f>IFERROR(VLOOKUP(TEXT(O159,"0"),CONDUCTORES!$A$3:$G$54,7,0),"")</f>
        <v/>
      </c>
      <c r="L159" s="334" t="n"/>
      <c r="M159" s="334" t="n"/>
      <c r="N159" s="333">
        <f>IFERROR(IF(L159*M159=0,"",L159*M159),"")</f>
        <v/>
      </c>
      <c r="O159" s="334" t="n"/>
      <c r="P159" s="332">
        <f>IFERROR(VLOOKUP(TEXT(O159,"0"),CONDUCTORES!$A$3:$G$54,2,0),"")</f>
        <v/>
      </c>
      <c r="Q159" s="332">
        <f>IFERROR(VLOOKUP(TEXT(O159,"0"),CONDUCTORES!$A$3:$H$54,6,0),"")</f>
        <v/>
      </c>
      <c r="R159" s="334" t="n"/>
      <c r="S159" s="334" t="n"/>
      <c r="T159" s="334" t="n"/>
      <c r="U159" s="334" t="n"/>
      <c r="V159" s="334" t="n"/>
      <c r="W159" s="334" t="n"/>
      <c r="X159" s="334" t="n"/>
      <c r="Y159" s="334" t="n"/>
    </row>
    <row r="160" ht="15" customHeight="1" s="195">
      <c r="A160" s="280" t="n"/>
      <c r="B160" s="280" t="n"/>
      <c r="C160" s="280" t="n"/>
      <c r="D160" s="280" t="n"/>
      <c r="E160" s="280" t="n"/>
      <c r="F160" s="280" t="n"/>
      <c r="G160" s="280" t="n"/>
      <c r="H160" s="280" t="n"/>
      <c r="I160" s="332">
        <f>IFERROR(VLOOKUP(TEXT(H160,"0"),IPRESS!$A$3:$B$212,2,0),"")</f>
        <v/>
      </c>
      <c r="J160" s="280" t="n"/>
      <c r="K160" s="332">
        <f>IFERROR(VLOOKUP(TEXT(O160,"0"),CONDUCTORES!$A$3:$G$54,7,0),"")</f>
        <v/>
      </c>
      <c r="L160" s="280" t="n"/>
      <c r="M160" s="280" t="n"/>
      <c r="N160" s="333">
        <f>IFERROR(IF(L160*M160=0,"",L160*M160),"")</f>
        <v/>
      </c>
      <c r="O160" s="280" t="n"/>
      <c r="P160" s="332">
        <f>IFERROR(VLOOKUP(TEXT(O160,"0"),CONDUCTORES!$A$3:$G$54,2,0),"")</f>
        <v/>
      </c>
      <c r="Q160" s="332">
        <f>IFERROR(VLOOKUP(TEXT(O160,"0"),CONDUCTORES!$A$3:$H$54,6,0),"")</f>
        <v/>
      </c>
      <c r="R160" s="280" t="n"/>
      <c r="S160" s="280" t="n"/>
      <c r="T160" s="280" t="n"/>
      <c r="U160" s="280" t="n"/>
      <c r="V160" s="280" t="n"/>
      <c r="W160" s="280" t="n"/>
      <c r="X160" s="280" t="n"/>
      <c r="Y160" s="280" t="n"/>
    </row>
    <row r="161" ht="15" customHeight="1" s="195">
      <c r="A161" s="334" t="n"/>
      <c r="B161" s="334" t="n"/>
      <c r="C161" s="334" t="n"/>
      <c r="D161" s="334" t="n"/>
      <c r="E161" s="334" t="n"/>
      <c r="F161" s="334" t="n"/>
      <c r="G161" s="334" t="n"/>
      <c r="H161" s="334" t="n"/>
      <c r="I161" s="332">
        <f>IFERROR(VLOOKUP(TEXT(H161,"0"),IPRESS!$A$3:$B$212,2,0),"")</f>
        <v/>
      </c>
      <c r="J161" s="334" t="n"/>
      <c r="K161" s="332">
        <f>IFERROR(VLOOKUP(TEXT(O161,"0"),CONDUCTORES!$A$3:$G$54,7,0),"")</f>
        <v/>
      </c>
      <c r="L161" s="334" t="n"/>
      <c r="M161" s="334" t="n"/>
      <c r="N161" s="333">
        <f>IFERROR(IF(L161*M161=0,"",L161*M161),"")</f>
        <v/>
      </c>
      <c r="O161" s="334" t="n"/>
      <c r="P161" s="332">
        <f>IFERROR(VLOOKUP(TEXT(O161,"0"),CONDUCTORES!$A$3:$G$54,2,0),"")</f>
        <v/>
      </c>
      <c r="Q161" s="332">
        <f>IFERROR(VLOOKUP(TEXT(O161,"0"),CONDUCTORES!$A$3:$H$54,6,0),"")</f>
        <v/>
      </c>
      <c r="R161" s="334" t="n"/>
      <c r="S161" s="334" t="n"/>
      <c r="T161" s="334" t="n"/>
      <c r="U161" s="334" t="n"/>
      <c r="V161" s="334" t="n"/>
      <c r="W161" s="334" t="n"/>
      <c r="X161" s="334" t="n"/>
      <c r="Y161" s="334" t="n"/>
    </row>
    <row r="162" ht="15" customHeight="1" s="195">
      <c r="A162" s="280" t="n"/>
      <c r="B162" s="280" t="n"/>
      <c r="C162" s="280" t="n"/>
      <c r="D162" s="280" t="n"/>
      <c r="E162" s="280" t="n"/>
      <c r="F162" s="280" t="n"/>
      <c r="G162" s="280" t="n"/>
      <c r="H162" s="280" t="n"/>
      <c r="I162" s="332">
        <f>IFERROR(VLOOKUP(TEXT(H162,"0"),IPRESS!$A$3:$B$212,2,0),"")</f>
        <v/>
      </c>
      <c r="J162" s="280" t="n"/>
      <c r="K162" s="332">
        <f>IFERROR(VLOOKUP(TEXT(O162,"0"),CONDUCTORES!$A$3:$G$54,7,0),"")</f>
        <v/>
      </c>
      <c r="L162" s="280" t="n"/>
      <c r="M162" s="280" t="n"/>
      <c r="N162" s="333">
        <f>IFERROR(IF(L162*M162=0,"",L162*M162),"")</f>
        <v/>
      </c>
      <c r="O162" s="280" t="n"/>
      <c r="P162" s="332">
        <f>IFERROR(VLOOKUP(TEXT(O162,"0"),CONDUCTORES!$A$3:$G$54,2,0),"")</f>
        <v/>
      </c>
      <c r="Q162" s="332">
        <f>IFERROR(VLOOKUP(TEXT(O162,"0"),CONDUCTORES!$A$3:$H$54,6,0),"")</f>
        <v/>
      </c>
      <c r="R162" s="280" t="n"/>
      <c r="S162" s="280" t="n"/>
      <c r="T162" s="280" t="n"/>
      <c r="U162" s="280" t="n"/>
      <c r="V162" s="280" t="n"/>
      <c r="W162" s="280" t="n"/>
      <c r="X162" s="280" t="n"/>
      <c r="Y162" s="280" t="n"/>
    </row>
    <row r="163" ht="15" customHeight="1" s="195">
      <c r="A163" s="334" t="n"/>
      <c r="B163" s="334" t="n"/>
      <c r="C163" s="334" t="n"/>
      <c r="D163" s="334" t="n"/>
      <c r="E163" s="334" t="n"/>
      <c r="F163" s="334" t="n"/>
      <c r="G163" s="334" t="n"/>
      <c r="H163" s="334" t="n"/>
      <c r="I163" s="332">
        <f>IFERROR(VLOOKUP(TEXT(H163,"0"),IPRESS!$A$3:$B$212,2,0),"")</f>
        <v/>
      </c>
      <c r="J163" s="334" t="n"/>
      <c r="K163" s="332">
        <f>IFERROR(VLOOKUP(TEXT(O163,"0"),CONDUCTORES!$A$3:$G$54,7,0),"")</f>
        <v/>
      </c>
      <c r="L163" s="334" t="n"/>
      <c r="M163" s="334" t="n"/>
      <c r="N163" s="333">
        <f>IFERROR(IF(L163*M163=0,"",L163*M163),"")</f>
        <v/>
      </c>
      <c r="O163" s="334" t="n"/>
      <c r="P163" s="332">
        <f>IFERROR(VLOOKUP(TEXT(O163,"0"),CONDUCTORES!$A$3:$G$54,2,0),"")</f>
        <v/>
      </c>
      <c r="Q163" s="332">
        <f>IFERROR(VLOOKUP(TEXT(O163,"0"),CONDUCTORES!$A$3:$H$54,6,0),"")</f>
        <v/>
      </c>
      <c r="R163" s="334" t="n"/>
      <c r="S163" s="334" t="n"/>
      <c r="T163" s="334" t="n"/>
      <c r="U163" s="334" t="n"/>
      <c r="V163" s="334" t="n"/>
      <c r="W163" s="334" t="n"/>
      <c r="X163" s="334" t="n"/>
      <c r="Y163" s="334" t="n"/>
    </row>
    <row r="164" ht="15" customHeight="1" s="195">
      <c r="A164" s="280" t="n"/>
      <c r="B164" s="280" t="n"/>
      <c r="C164" s="280" t="n"/>
      <c r="D164" s="280" t="n"/>
      <c r="E164" s="280" t="n"/>
      <c r="F164" s="280" t="n"/>
      <c r="G164" s="280" t="n"/>
      <c r="H164" s="280" t="n"/>
      <c r="I164" s="332">
        <f>IFERROR(VLOOKUP(TEXT(H164,"0"),IPRESS!$A$3:$B$212,2,0),"")</f>
        <v/>
      </c>
      <c r="J164" s="280" t="n"/>
      <c r="K164" s="332">
        <f>IFERROR(VLOOKUP(TEXT(O164,"0"),CONDUCTORES!$A$3:$G$54,7,0),"")</f>
        <v/>
      </c>
      <c r="L164" s="280" t="n"/>
      <c r="M164" s="280" t="n"/>
      <c r="N164" s="333">
        <f>IFERROR(IF(L164*M164=0,"",L164*M164),"")</f>
        <v/>
      </c>
      <c r="O164" s="280" t="n"/>
      <c r="P164" s="332">
        <f>IFERROR(VLOOKUP(TEXT(O164,"0"),CONDUCTORES!$A$3:$G$54,2,0),"")</f>
        <v/>
      </c>
      <c r="Q164" s="332">
        <f>IFERROR(VLOOKUP(TEXT(O164,"0"),CONDUCTORES!$A$3:$H$54,6,0),"")</f>
        <v/>
      </c>
      <c r="R164" s="280" t="n"/>
      <c r="S164" s="280" t="n"/>
      <c r="T164" s="280" t="n"/>
      <c r="U164" s="280" t="n"/>
      <c r="V164" s="280" t="n"/>
      <c r="W164" s="280" t="n"/>
      <c r="X164" s="280" t="n"/>
      <c r="Y164" s="280" t="n"/>
    </row>
    <row r="165" ht="15" customHeight="1" s="195">
      <c r="A165" s="334" t="n"/>
      <c r="B165" s="334" t="n"/>
      <c r="C165" s="334" t="n"/>
      <c r="D165" s="334" t="n"/>
      <c r="E165" s="334" t="n"/>
      <c r="F165" s="334" t="n"/>
      <c r="G165" s="334" t="n"/>
      <c r="H165" s="334" t="n"/>
      <c r="I165" s="332">
        <f>IFERROR(VLOOKUP(TEXT(H165,"0"),IPRESS!$A$3:$B$212,2,0),"")</f>
        <v/>
      </c>
      <c r="J165" s="334" t="n"/>
      <c r="K165" s="332">
        <f>IFERROR(VLOOKUP(TEXT(O165,"0"),CONDUCTORES!$A$3:$G$54,7,0),"")</f>
        <v/>
      </c>
      <c r="L165" s="334" t="n"/>
      <c r="M165" s="334" t="n"/>
      <c r="N165" s="333">
        <f>IFERROR(IF(L165*M165=0,"",L165*M165),"")</f>
        <v/>
      </c>
      <c r="O165" s="334" t="n"/>
      <c r="P165" s="332">
        <f>IFERROR(VLOOKUP(TEXT(O165,"0"),CONDUCTORES!$A$3:$G$54,2,0),"")</f>
        <v/>
      </c>
      <c r="Q165" s="332">
        <f>IFERROR(VLOOKUP(TEXT(O165,"0"),CONDUCTORES!$A$3:$H$54,6,0),"")</f>
        <v/>
      </c>
      <c r="R165" s="334" t="n"/>
      <c r="S165" s="334" t="n"/>
      <c r="T165" s="334" t="n"/>
      <c r="U165" s="334" t="n"/>
      <c r="V165" s="334" t="n"/>
      <c r="W165" s="334" t="n"/>
      <c r="X165" s="334" t="n"/>
      <c r="Y165" s="334" t="n"/>
    </row>
    <row r="166" ht="15" customHeight="1" s="195">
      <c r="A166" s="280" t="n"/>
      <c r="B166" s="280" t="n"/>
      <c r="C166" s="280" t="n"/>
      <c r="D166" s="280" t="n"/>
      <c r="E166" s="280" t="n"/>
      <c r="F166" s="280" t="n"/>
      <c r="G166" s="280" t="n"/>
      <c r="H166" s="280" t="n"/>
      <c r="I166" s="332">
        <f>IFERROR(VLOOKUP(TEXT(H166,"0"),IPRESS!$A$3:$B$212,2,0),"")</f>
        <v/>
      </c>
      <c r="J166" s="280" t="n"/>
      <c r="K166" s="332">
        <f>IFERROR(VLOOKUP(TEXT(O166,"0"),CONDUCTORES!$A$3:$G$54,7,0),"")</f>
        <v/>
      </c>
      <c r="L166" s="280" t="n"/>
      <c r="M166" s="280" t="n"/>
      <c r="N166" s="333">
        <f>IFERROR(IF(L166*M166=0,"",L166*M166),"")</f>
        <v/>
      </c>
      <c r="O166" s="280" t="n"/>
      <c r="P166" s="332">
        <f>IFERROR(VLOOKUP(TEXT(O166,"0"),CONDUCTORES!$A$3:$G$54,2,0),"")</f>
        <v/>
      </c>
      <c r="Q166" s="332">
        <f>IFERROR(VLOOKUP(TEXT(O166,"0"),CONDUCTORES!$A$3:$H$54,6,0),"")</f>
        <v/>
      </c>
      <c r="R166" s="280" t="n"/>
      <c r="S166" s="280" t="n"/>
      <c r="T166" s="280" t="n"/>
      <c r="U166" s="280" t="n"/>
      <c r="V166" s="280" t="n"/>
      <c r="W166" s="280" t="n"/>
      <c r="X166" s="280" t="n"/>
      <c r="Y166" s="280" t="n"/>
    </row>
    <row r="167" ht="15" customHeight="1" s="195">
      <c r="A167" s="334" t="n"/>
      <c r="B167" s="334" t="n"/>
      <c r="C167" s="334" t="n"/>
      <c r="D167" s="334" t="n"/>
      <c r="E167" s="334" t="n"/>
      <c r="F167" s="334" t="n"/>
      <c r="G167" s="334" t="n"/>
      <c r="H167" s="334" t="n"/>
      <c r="I167" s="332">
        <f>IFERROR(VLOOKUP(TEXT(H167,"0"),IPRESS!$A$3:$B$212,2,0),"")</f>
        <v/>
      </c>
      <c r="J167" s="334" t="n"/>
      <c r="K167" s="332">
        <f>IFERROR(VLOOKUP(TEXT(O167,"0"),CONDUCTORES!$A$3:$G$54,7,0),"")</f>
        <v/>
      </c>
      <c r="L167" s="334" t="n"/>
      <c r="M167" s="334" t="n"/>
      <c r="N167" s="333">
        <f>IFERROR(IF(L167*M167=0,"",L167*M167),"")</f>
        <v/>
      </c>
      <c r="O167" s="334" t="n"/>
      <c r="P167" s="332">
        <f>IFERROR(VLOOKUP(TEXT(O167,"0"),CONDUCTORES!$A$3:$G$54,2,0),"")</f>
        <v/>
      </c>
      <c r="Q167" s="332">
        <f>IFERROR(VLOOKUP(TEXT(O167,"0"),CONDUCTORES!$A$3:$H$54,6,0),"")</f>
        <v/>
      </c>
      <c r="R167" s="334" t="n"/>
      <c r="S167" s="334" t="n"/>
      <c r="T167" s="334" t="n"/>
      <c r="U167" s="334" t="n"/>
      <c r="V167" s="334" t="n"/>
      <c r="W167" s="334" t="n"/>
      <c r="X167" s="334" t="n"/>
      <c r="Y167" s="334" t="n"/>
    </row>
    <row r="168" ht="15" customHeight="1" s="195">
      <c r="A168" s="280" t="n"/>
      <c r="B168" s="280" t="n"/>
      <c r="C168" s="280" t="n"/>
      <c r="D168" s="280" t="n"/>
      <c r="E168" s="280" t="n"/>
      <c r="F168" s="280" t="n"/>
      <c r="G168" s="280" t="n"/>
      <c r="H168" s="280" t="n"/>
      <c r="I168" s="332">
        <f>IFERROR(VLOOKUP(TEXT(H168,"0"),IPRESS!$A$3:$B$212,2,0),"")</f>
        <v/>
      </c>
      <c r="J168" s="280" t="n"/>
      <c r="K168" s="332">
        <f>IFERROR(VLOOKUP(TEXT(O168,"0"),CONDUCTORES!$A$3:$G$54,7,0),"")</f>
        <v/>
      </c>
      <c r="L168" s="280" t="n"/>
      <c r="M168" s="280" t="n"/>
      <c r="N168" s="333">
        <f>IFERROR(IF(L168*M168=0,"",L168*M168),"")</f>
        <v/>
      </c>
      <c r="O168" s="280" t="n"/>
      <c r="P168" s="332">
        <f>IFERROR(VLOOKUP(TEXT(O168,"0"),CONDUCTORES!$A$3:$G$54,2,0),"")</f>
        <v/>
      </c>
      <c r="Q168" s="332">
        <f>IFERROR(VLOOKUP(TEXT(O168,"0"),CONDUCTORES!$A$3:$H$54,6,0),"")</f>
        <v/>
      </c>
      <c r="R168" s="280" t="n"/>
      <c r="S168" s="280" t="n"/>
      <c r="T168" s="280" t="n"/>
      <c r="U168" s="280" t="n"/>
      <c r="V168" s="280" t="n"/>
      <c r="W168" s="280" t="n"/>
      <c r="X168" s="280" t="n"/>
      <c r="Y168" s="280" t="n"/>
    </row>
    <row r="169" ht="15" customHeight="1" s="195">
      <c r="A169" s="334" t="n"/>
      <c r="B169" s="334" t="n"/>
      <c r="C169" s="334" t="n"/>
      <c r="D169" s="334" t="n"/>
      <c r="E169" s="334" t="n"/>
      <c r="F169" s="334" t="n"/>
      <c r="G169" s="334" t="n"/>
      <c r="H169" s="334" t="n"/>
      <c r="I169" s="332">
        <f>IFERROR(VLOOKUP(TEXT(H169,"0"),IPRESS!$A$3:$B$212,2,0),"")</f>
        <v/>
      </c>
      <c r="J169" s="334" t="n"/>
      <c r="K169" s="332">
        <f>IFERROR(VLOOKUP(TEXT(O169,"0"),CONDUCTORES!$A$3:$G$54,7,0),"")</f>
        <v/>
      </c>
      <c r="L169" s="334" t="n"/>
      <c r="M169" s="334" t="n"/>
      <c r="N169" s="333">
        <f>IFERROR(IF(L169*M169=0,"",L169*M169),"")</f>
        <v/>
      </c>
      <c r="O169" s="334" t="n"/>
      <c r="P169" s="332">
        <f>IFERROR(VLOOKUP(TEXT(O169,"0"),CONDUCTORES!$A$3:$G$54,2,0),"")</f>
        <v/>
      </c>
      <c r="Q169" s="332">
        <f>IFERROR(VLOOKUP(TEXT(O169,"0"),CONDUCTORES!$A$3:$H$54,6,0),"")</f>
        <v/>
      </c>
      <c r="R169" s="334" t="n"/>
      <c r="S169" s="334" t="n"/>
      <c r="T169" s="334" t="n"/>
      <c r="U169" s="334" t="n"/>
      <c r="V169" s="334" t="n"/>
      <c r="W169" s="334" t="n"/>
      <c r="X169" s="334" t="n"/>
      <c r="Y169" s="334" t="n"/>
    </row>
    <row r="170" ht="15" customHeight="1" s="195">
      <c r="A170" s="280" t="n"/>
      <c r="B170" s="280" t="n"/>
      <c r="C170" s="280" t="n"/>
      <c r="D170" s="280" t="n"/>
      <c r="E170" s="280" t="n"/>
      <c r="F170" s="280" t="n"/>
      <c r="G170" s="280" t="n"/>
      <c r="H170" s="280" t="n"/>
      <c r="I170" s="332">
        <f>IFERROR(VLOOKUP(TEXT(H170,"0"),IPRESS!$A$3:$B$212,2,0),"")</f>
        <v/>
      </c>
      <c r="J170" s="280" t="n"/>
      <c r="K170" s="332">
        <f>IFERROR(VLOOKUP(TEXT(O170,"0"),CONDUCTORES!$A$3:$G$54,7,0),"")</f>
        <v/>
      </c>
      <c r="L170" s="280" t="n"/>
      <c r="M170" s="280" t="n"/>
      <c r="N170" s="333">
        <f>IFERROR(IF(L170*M170=0,"",L170*M170),"")</f>
        <v/>
      </c>
      <c r="O170" s="280" t="n"/>
      <c r="P170" s="332">
        <f>IFERROR(VLOOKUP(TEXT(O170,"0"),CONDUCTORES!$A$3:$G$54,2,0),"")</f>
        <v/>
      </c>
      <c r="Q170" s="332">
        <f>IFERROR(VLOOKUP(TEXT(O170,"0"),CONDUCTORES!$A$3:$H$54,6,0),"")</f>
        <v/>
      </c>
      <c r="R170" s="280" t="n"/>
      <c r="S170" s="280" t="n"/>
      <c r="T170" s="280" t="n"/>
      <c r="U170" s="280" t="n"/>
      <c r="V170" s="280" t="n"/>
      <c r="W170" s="280" t="n"/>
      <c r="X170" s="280" t="n"/>
      <c r="Y170" s="280" t="n"/>
    </row>
    <row r="171" ht="15" customHeight="1" s="195">
      <c r="A171" s="334" t="n"/>
      <c r="B171" s="334" t="n"/>
      <c r="C171" s="334" t="n"/>
      <c r="D171" s="334" t="n"/>
      <c r="E171" s="334" t="n"/>
      <c r="F171" s="334" t="n"/>
      <c r="G171" s="334" t="n"/>
      <c r="H171" s="334" t="n"/>
      <c r="I171" s="332">
        <f>IFERROR(VLOOKUP(TEXT(H171,"0"),IPRESS!$A$3:$B$212,2,0),"")</f>
        <v/>
      </c>
      <c r="J171" s="334" t="n"/>
      <c r="K171" s="332">
        <f>IFERROR(VLOOKUP(TEXT(O171,"0"),CONDUCTORES!$A$3:$G$54,7,0),"")</f>
        <v/>
      </c>
      <c r="L171" s="334" t="n"/>
      <c r="M171" s="334" t="n"/>
      <c r="N171" s="333">
        <f>IFERROR(IF(L171*M171=0,"",L171*M171),"")</f>
        <v/>
      </c>
      <c r="O171" s="334" t="n"/>
      <c r="P171" s="332">
        <f>IFERROR(VLOOKUP(TEXT(O171,"0"),CONDUCTORES!$A$3:$G$54,2,0),"")</f>
        <v/>
      </c>
      <c r="Q171" s="332">
        <f>IFERROR(VLOOKUP(TEXT(O171,"0"),CONDUCTORES!$A$3:$H$54,6,0),"")</f>
        <v/>
      </c>
      <c r="R171" s="334" t="n"/>
      <c r="S171" s="334" t="n"/>
      <c r="T171" s="334" t="n"/>
      <c r="U171" s="334" t="n"/>
      <c r="V171" s="334" t="n"/>
      <c r="W171" s="334" t="n"/>
      <c r="X171" s="334" t="n"/>
      <c r="Y171" s="334" t="n"/>
    </row>
    <row r="172" ht="15" customHeight="1" s="195">
      <c r="A172" s="280" t="n"/>
      <c r="B172" s="280" t="n"/>
      <c r="C172" s="280" t="n"/>
      <c r="D172" s="280" t="n"/>
      <c r="E172" s="280" t="n"/>
      <c r="F172" s="280" t="n"/>
      <c r="G172" s="280" t="n"/>
      <c r="H172" s="280" t="n"/>
      <c r="I172" s="332">
        <f>IFERROR(VLOOKUP(TEXT(H172,"0"),IPRESS!$A$3:$B$212,2,0),"")</f>
        <v/>
      </c>
      <c r="J172" s="280" t="n"/>
      <c r="K172" s="332">
        <f>IFERROR(VLOOKUP(TEXT(O172,"0"),CONDUCTORES!$A$3:$G$54,7,0),"")</f>
        <v/>
      </c>
      <c r="L172" s="280" t="n"/>
      <c r="M172" s="280" t="n"/>
      <c r="N172" s="333">
        <f>IFERROR(IF(L172*M172=0,"",L172*M172),"")</f>
        <v/>
      </c>
      <c r="O172" s="280" t="n"/>
      <c r="P172" s="332">
        <f>IFERROR(VLOOKUP(TEXT(O172,"0"),CONDUCTORES!$A$3:$G$54,2,0),"")</f>
        <v/>
      </c>
      <c r="Q172" s="332">
        <f>IFERROR(VLOOKUP(TEXT(O172,"0"),CONDUCTORES!$A$3:$H$54,6,0),"")</f>
        <v/>
      </c>
      <c r="R172" s="280" t="n"/>
      <c r="S172" s="280" t="n"/>
      <c r="T172" s="280" t="n"/>
      <c r="U172" s="280" t="n"/>
      <c r="V172" s="280" t="n"/>
      <c r="W172" s="280" t="n"/>
      <c r="X172" s="280" t="n"/>
      <c r="Y172" s="280" t="n"/>
    </row>
    <row r="173" ht="15" customHeight="1" s="195">
      <c r="A173" s="334" t="n"/>
      <c r="B173" s="334" t="n"/>
      <c r="C173" s="334" t="n"/>
      <c r="D173" s="334" t="n"/>
      <c r="E173" s="334" t="n"/>
      <c r="F173" s="334" t="n"/>
      <c r="G173" s="334" t="n"/>
      <c r="H173" s="334" t="n"/>
      <c r="I173" s="332">
        <f>IFERROR(VLOOKUP(TEXT(H173,"0"),IPRESS!$A$3:$B$212,2,0),"")</f>
        <v/>
      </c>
      <c r="J173" s="334" t="n"/>
      <c r="K173" s="332">
        <f>IFERROR(VLOOKUP(TEXT(O173,"0"),CONDUCTORES!$A$3:$G$54,7,0),"")</f>
        <v/>
      </c>
      <c r="L173" s="334" t="n"/>
      <c r="M173" s="334" t="n"/>
      <c r="N173" s="333">
        <f>IFERROR(IF(L173*M173=0,"",L173*M173),"")</f>
        <v/>
      </c>
      <c r="O173" s="334" t="n"/>
      <c r="P173" s="332">
        <f>IFERROR(VLOOKUP(TEXT(O173,"0"),CONDUCTORES!$A$3:$G$54,2,0),"")</f>
        <v/>
      </c>
      <c r="Q173" s="332">
        <f>IFERROR(VLOOKUP(TEXT(O173,"0"),CONDUCTORES!$A$3:$H$54,6,0),"")</f>
        <v/>
      </c>
      <c r="R173" s="334" t="n"/>
      <c r="S173" s="334" t="n"/>
      <c r="T173" s="334" t="n"/>
      <c r="U173" s="334" t="n"/>
      <c r="V173" s="334" t="n"/>
      <c r="W173" s="334" t="n"/>
      <c r="X173" s="334" t="n"/>
      <c r="Y173" s="334" t="n"/>
    </row>
    <row r="174" ht="15" customHeight="1" s="195">
      <c r="A174" s="280" t="n"/>
      <c r="B174" s="280" t="n"/>
      <c r="C174" s="280" t="n"/>
      <c r="D174" s="280" t="n"/>
      <c r="E174" s="280" t="n"/>
      <c r="F174" s="280" t="n"/>
      <c r="G174" s="280" t="n"/>
      <c r="H174" s="280" t="n"/>
      <c r="I174" s="332">
        <f>IFERROR(VLOOKUP(TEXT(H174,"0"),IPRESS!$A$3:$B$212,2,0),"")</f>
        <v/>
      </c>
      <c r="J174" s="280" t="n"/>
      <c r="K174" s="332">
        <f>IFERROR(VLOOKUP(TEXT(O174,"0"),CONDUCTORES!$A$3:$G$54,7,0),"")</f>
        <v/>
      </c>
      <c r="L174" s="280" t="n"/>
      <c r="M174" s="280" t="n"/>
      <c r="N174" s="333">
        <f>IFERROR(IF(L174*M174=0,"",L174*M174),"")</f>
        <v/>
      </c>
      <c r="O174" s="280" t="n"/>
      <c r="P174" s="332">
        <f>IFERROR(VLOOKUP(TEXT(O174,"0"),CONDUCTORES!$A$3:$G$54,2,0),"")</f>
        <v/>
      </c>
      <c r="Q174" s="332">
        <f>IFERROR(VLOOKUP(TEXT(O174,"0"),CONDUCTORES!$A$3:$H$54,6,0),"")</f>
        <v/>
      </c>
      <c r="R174" s="280" t="n"/>
      <c r="S174" s="280" t="n"/>
      <c r="T174" s="280" t="n"/>
      <c r="U174" s="280" t="n"/>
      <c r="V174" s="280" t="n"/>
      <c r="W174" s="280" t="n"/>
      <c r="X174" s="280" t="n"/>
      <c r="Y174" s="280" t="n"/>
    </row>
    <row r="175" ht="15" customHeight="1" s="195">
      <c r="A175" s="334" t="n"/>
      <c r="B175" s="334" t="n"/>
      <c r="C175" s="334" t="n"/>
      <c r="D175" s="334" t="n"/>
      <c r="E175" s="334" t="n"/>
      <c r="F175" s="334" t="n"/>
      <c r="G175" s="334" t="n"/>
      <c r="H175" s="334" t="n"/>
      <c r="I175" s="332">
        <f>IFERROR(VLOOKUP(TEXT(H175,"0"),IPRESS!$A$3:$B$212,2,0),"")</f>
        <v/>
      </c>
      <c r="J175" s="334" t="n"/>
      <c r="K175" s="332">
        <f>IFERROR(VLOOKUP(TEXT(O175,"0"),CONDUCTORES!$A$3:$G$54,7,0),"")</f>
        <v/>
      </c>
      <c r="L175" s="334" t="n"/>
      <c r="M175" s="334" t="n"/>
      <c r="N175" s="333">
        <f>IFERROR(IF(L175*M175=0,"",L175*M175),"")</f>
        <v/>
      </c>
      <c r="O175" s="334" t="n"/>
      <c r="P175" s="332">
        <f>IFERROR(VLOOKUP(TEXT(O175,"0"),CONDUCTORES!$A$3:$G$54,2,0),"")</f>
        <v/>
      </c>
      <c r="Q175" s="332">
        <f>IFERROR(VLOOKUP(TEXT(O175,"0"),CONDUCTORES!$A$3:$H$54,6,0),"")</f>
        <v/>
      </c>
      <c r="R175" s="334" t="n"/>
      <c r="S175" s="334" t="n"/>
      <c r="T175" s="334" t="n"/>
      <c r="U175" s="334" t="n"/>
      <c r="V175" s="334" t="n"/>
      <c r="W175" s="334" t="n"/>
      <c r="X175" s="334" t="n"/>
      <c r="Y175" s="334" t="n"/>
    </row>
    <row r="176" ht="15" customHeight="1" s="195">
      <c r="A176" s="280" t="n"/>
      <c r="B176" s="280" t="n"/>
      <c r="C176" s="280" t="n"/>
      <c r="D176" s="280" t="n"/>
      <c r="E176" s="280" t="n"/>
      <c r="F176" s="280" t="n"/>
      <c r="G176" s="280" t="n"/>
      <c r="H176" s="280" t="n"/>
      <c r="I176" s="332">
        <f>IFERROR(VLOOKUP(TEXT(H176,"0"),IPRESS!$A$3:$B$212,2,0),"")</f>
        <v/>
      </c>
      <c r="J176" s="280" t="n"/>
      <c r="K176" s="332">
        <f>IFERROR(VLOOKUP(TEXT(O176,"0"),CONDUCTORES!$A$3:$G$54,7,0),"")</f>
        <v/>
      </c>
      <c r="L176" s="280" t="n"/>
      <c r="M176" s="280" t="n"/>
      <c r="N176" s="333">
        <f>IFERROR(IF(L176*M176=0,"",L176*M176),"")</f>
        <v/>
      </c>
      <c r="O176" s="280" t="n"/>
      <c r="P176" s="332">
        <f>IFERROR(VLOOKUP(TEXT(O176,"0"),CONDUCTORES!$A$3:$G$54,2,0),"")</f>
        <v/>
      </c>
      <c r="Q176" s="332">
        <f>IFERROR(VLOOKUP(TEXT(O176,"0"),CONDUCTORES!$A$3:$H$54,6,0),"")</f>
        <v/>
      </c>
      <c r="R176" s="280" t="n"/>
      <c r="S176" s="280" t="n"/>
      <c r="T176" s="280" t="n"/>
      <c r="U176" s="280" t="n"/>
      <c r="V176" s="280" t="n"/>
      <c r="W176" s="280" t="n"/>
      <c r="X176" s="280" t="n"/>
      <c r="Y176" s="280" t="n"/>
    </row>
    <row r="177" ht="15" customHeight="1" s="195">
      <c r="A177" s="334" t="n"/>
      <c r="B177" s="334" t="n"/>
      <c r="C177" s="334" t="n"/>
      <c r="D177" s="334" t="n"/>
      <c r="E177" s="334" t="n"/>
      <c r="F177" s="334" t="n"/>
      <c r="G177" s="334" t="n"/>
      <c r="H177" s="334" t="n"/>
      <c r="I177" s="332">
        <f>IFERROR(VLOOKUP(TEXT(H177,"0"),IPRESS!$A$3:$B$212,2,0),"")</f>
        <v/>
      </c>
      <c r="J177" s="334" t="n"/>
      <c r="K177" s="332">
        <f>IFERROR(VLOOKUP(TEXT(O177,"0"),CONDUCTORES!$A$3:$G$54,7,0),"")</f>
        <v/>
      </c>
      <c r="L177" s="334" t="n"/>
      <c r="M177" s="334" t="n"/>
      <c r="N177" s="333">
        <f>IFERROR(IF(L177*M177=0,"",L177*M177),"")</f>
        <v/>
      </c>
      <c r="O177" s="334" t="n"/>
      <c r="P177" s="332">
        <f>IFERROR(VLOOKUP(TEXT(O177,"0"),CONDUCTORES!$A$3:$G$54,2,0),"")</f>
        <v/>
      </c>
      <c r="Q177" s="332">
        <f>IFERROR(VLOOKUP(TEXT(O177,"0"),CONDUCTORES!$A$3:$H$54,6,0),"")</f>
        <v/>
      </c>
      <c r="R177" s="334" t="n"/>
      <c r="S177" s="334" t="n"/>
      <c r="T177" s="334" t="n"/>
      <c r="U177" s="334" t="n"/>
      <c r="V177" s="334" t="n"/>
      <c r="W177" s="334" t="n"/>
      <c r="X177" s="334" t="n"/>
      <c r="Y177" s="334" t="n"/>
    </row>
    <row r="178" ht="15" customHeight="1" s="195">
      <c r="A178" s="280" t="n"/>
      <c r="B178" s="280" t="n"/>
      <c r="C178" s="280" t="n"/>
      <c r="D178" s="280" t="n"/>
      <c r="E178" s="280" t="n"/>
      <c r="F178" s="280" t="n"/>
      <c r="G178" s="280" t="n"/>
      <c r="H178" s="280" t="n"/>
      <c r="I178" s="332">
        <f>IFERROR(VLOOKUP(TEXT(H178,"0"),IPRESS!$A$3:$B$212,2,0),"")</f>
        <v/>
      </c>
      <c r="J178" s="280" t="n"/>
      <c r="K178" s="332">
        <f>IFERROR(VLOOKUP(TEXT(O178,"0"),CONDUCTORES!$A$3:$G$54,7,0),"")</f>
        <v/>
      </c>
      <c r="L178" s="280" t="n"/>
      <c r="M178" s="280" t="n"/>
      <c r="N178" s="333">
        <f>IFERROR(IF(L178*M178=0,"",L178*M178),"")</f>
        <v/>
      </c>
      <c r="O178" s="280" t="n"/>
      <c r="P178" s="332">
        <f>IFERROR(VLOOKUP(TEXT(O178,"0"),CONDUCTORES!$A$3:$G$54,2,0),"")</f>
        <v/>
      </c>
      <c r="Q178" s="332">
        <f>IFERROR(VLOOKUP(TEXT(O178,"0"),CONDUCTORES!$A$3:$H$54,6,0),"")</f>
        <v/>
      </c>
      <c r="R178" s="280" t="n"/>
      <c r="S178" s="280" t="n"/>
      <c r="T178" s="280" t="n"/>
      <c r="U178" s="280" t="n"/>
      <c r="V178" s="280" t="n"/>
      <c r="W178" s="280" t="n"/>
      <c r="X178" s="280" t="n"/>
      <c r="Y178" s="280" t="n"/>
    </row>
    <row r="179" ht="15" customHeight="1" s="195">
      <c r="A179" s="334" t="n"/>
      <c r="B179" s="334" t="n"/>
      <c r="C179" s="334" t="n"/>
      <c r="D179" s="334" t="n"/>
      <c r="E179" s="334" t="n"/>
      <c r="F179" s="334" t="n"/>
      <c r="G179" s="334" t="n"/>
      <c r="H179" s="334" t="n"/>
      <c r="I179" s="332">
        <f>IFERROR(VLOOKUP(TEXT(H179,"0"),IPRESS!$A$3:$B$212,2,0),"")</f>
        <v/>
      </c>
      <c r="J179" s="334" t="n"/>
      <c r="K179" s="332">
        <f>IFERROR(VLOOKUP(TEXT(O179,"0"),CONDUCTORES!$A$3:$G$54,7,0),"")</f>
        <v/>
      </c>
      <c r="L179" s="334" t="n"/>
      <c r="M179" s="334" t="n"/>
      <c r="N179" s="333">
        <f>IFERROR(IF(L179*M179=0,"",L179*M179),"")</f>
        <v/>
      </c>
      <c r="O179" s="334" t="n"/>
      <c r="P179" s="332">
        <f>IFERROR(VLOOKUP(TEXT(O179,"0"),CONDUCTORES!$A$3:$G$54,2,0),"")</f>
        <v/>
      </c>
      <c r="Q179" s="332">
        <f>IFERROR(VLOOKUP(TEXT(O179,"0"),CONDUCTORES!$A$3:$H$54,6,0),"")</f>
        <v/>
      </c>
      <c r="R179" s="334" t="n"/>
      <c r="S179" s="334" t="n"/>
      <c r="T179" s="334" t="n"/>
      <c r="U179" s="334" t="n"/>
      <c r="V179" s="334" t="n"/>
      <c r="W179" s="334" t="n"/>
      <c r="X179" s="334" t="n"/>
      <c r="Y179" s="334" t="n"/>
    </row>
    <row r="180" ht="15" customHeight="1" s="195">
      <c r="A180" s="280" t="n"/>
      <c r="B180" s="280" t="n"/>
      <c r="C180" s="280" t="n"/>
      <c r="D180" s="280" t="n"/>
      <c r="E180" s="280" t="n"/>
      <c r="F180" s="280" t="n"/>
      <c r="G180" s="280" t="n"/>
      <c r="H180" s="280" t="n"/>
      <c r="I180" s="332">
        <f>IFERROR(VLOOKUP(TEXT(H180,"0"),IPRESS!$A$3:$B$212,2,0),"")</f>
        <v/>
      </c>
      <c r="J180" s="280" t="n"/>
      <c r="K180" s="332">
        <f>IFERROR(VLOOKUP(TEXT(O180,"0"),CONDUCTORES!$A$3:$G$54,7,0),"")</f>
        <v/>
      </c>
      <c r="L180" s="280" t="n"/>
      <c r="M180" s="280" t="n"/>
      <c r="N180" s="333">
        <f>IFERROR(IF(L180*M180=0,"",L180*M180),"")</f>
        <v/>
      </c>
      <c r="O180" s="280" t="n"/>
      <c r="P180" s="332">
        <f>IFERROR(VLOOKUP(TEXT(O180,"0"),CONDUCTORES!$A$3:$G$54,2,0),"")</f>
        <v/>
      </c>
      <c r="Q180" s="332">
        <f>IFERROR(VLOOKUP(TEXT(O180,"0"),CONDUCTORES!$A$3:$H$54,6,0),"")</f>
        <v/>
      </c>
      <c r="R180" s="280" t="n"/>
      <c r="S180" s="280" t="n"/>
      <c r="T180" s="280" t="n"/>
      <c r="U180" s="280" t="n"/>
      <c r="V180" s="280" t="n"/>
      <c r="W180" s="280" t="n"/>
      <c r="X180" s="280" t="n"/>
      <c r="Y180" s="280" t="n"/>
    </row>
    <row r="181" ht="15" customHeight="1" s="195">
      <c r="A181" s="334" t="n"/>
      <c r="B181" s="334" t="n"/>
      <c r="C181" s="334" t="n"/>
      <c r="D181" s="334" t="n"/>
      <c r="E181" s="334" t="n"/>
      <c r="F181" s="334" t="n"/>
      <c r="G181" s="334" t="n"/>
      <c r="H181" s="334" t="n"/>
      <c r="I181" s="332">
        <f>IFERROR(VLOOKUP(TEXT(H181,"0"),IPRESS!$A$3:$B$212,2,0),"")</f>
        <v/>
      </c>
      <c r="J181" s="334" t="n"/>
      <c r="K181" s="332">
        <f>IFERROR(VLOOKUP(TEXT(O181,"0"),CONDUCTORES!$A$3:$G$54,7,0),"")</f>
        <v/>
      </c>
      <c r="L181" s="334" t="n"/>
      <c r="M181" s="334" t="n"/>
      <c r="N181" s="333">
        <f>IFERROR(IF(L181*M181=0,"",L181*M181),"")</f>
        <v/>
      </c>
      <c r="O181" s="334" t="n"/>
      <c r="P181" s="332">
        <f>IFERROR(VLOOKUP(TEXT(O181,"0"),CONDUCTORES!$A$3:$G$54,2,0),"")</f>
        <v/>
      </c>
      <c r="Q181" s="332">
        <f>IFERROR(VLOOKUP(TEXT(O181,"0"),CONDUCTORES!$A$3:$H$54,6,0),"")</f>
        <v/>
      </c>
      <c r="R181" s="334" t="n"/>
      <c r="S181" s="334" t="n"/>
      <c r="T181" s="334" t="n"/>
      <c r="U181" s="334" t="n"/>
      <c r="V181" s="334" t="n"/>
      <c r="W181" s="334" t="n"/>
      <c r="X181" s="334" t="n"/>
      <c r="Y181" s="334" t="n"/>
    </row>
    <row r="182" ht="15" customHeight="1" s="195">
      <c r="A182" s="280" t="n"/>
      <c r="B182" s="280" t="n"/>
      <c r="C182" s="280" t="n"/>
      <c r="D182" s="280" t="n"/>
      <c r="E182" s="280" t="n"/>
      <c r="F182" s="280" t="n"/>
      <c r="G182" s="280" t="n"/>
      <c r="H182" s="280" t="n"/>
      <c r="I182" s="332">
        <f>IFERROR(VLOOKUP(TEXT(H182,"0"),IPRESS!$A$3:$B$212,2,0),"")</f>
        <v/>
      </c>
      <c r="J182" s="280" t="n"/>
      <c r="K182" s="332">
        <f>IFERROR(VLOOKUP(TEXT(O182,"0"),CONDUCTORES!$A$3:$G$54,7,0),"")</f>
        <v/>
      </c>
      <c r="L182" s="280" t="n"/>
      <c r="M182" s="280" t="n"/>
      <c r="N182" s="333">
        <f>IFERROR(IF(L182*M182=0,"",L182*M182),"")</f>
        <v/>
      </c>
      <c r="O182" s="280" t="n"/>
      <c r="P182" s="332">
        <f>IFERROR(VLOOKUP(TEXT(O182,"0"),CONDUCTORES!$A$3:$G$54,2,0),"")</f>
        <v/>
      </c>
      <c r="Q182" s="332">
        <f>IFERROR(VLOOKUP(TEXT(O182,"0"),CONDUCTORES!$A$3:$H$54,6,0),"")</f>
        <v/>
      </c>
      <c r="R182" s="280" t="n"/>
      <c r="S182" s="280" t="n"/>
      <c r="T182" s="280" t="n"/>
      <c r="U182" s="280" t="n"/>
      <c r="V182" s="280" t="n"/>
      <c r="W182" s="280" t="n"/>
      <c r="X182" s="280" t="n"/>
      <c r="Y182" s="280" t="n"/>
    </row>
    <row r="183" ht="15" customHeight="1" s="195">
      <c r="A183" s="334" t="n"/>
      <c r="B183" s="334" t="n"/>
      <c r="C183" s="334" t="n"/>
      <c r="D183" s="334" t="n"/>
      <c r="E183" s="334" t="n"/>
      <c r="F183" s="334" t="n"/>
      <c r="G183" s="334" t="n"/>
      <c r="H183" s="334" t="n"/>
      <c r="I183" s="332">
        <f>IFERROR(VLOOKUP(TEXT(H183,"0"),IPRESS!$A$3:$B$212,2,0),"")</f>
        <v/>
      </c>
      <c r="J183" s="334" t="n"/>
      <c r="K183" s="332">
        <f>IFERROR(VLOOKUP(TEXT(O183,"0"),CONDUCTORES!$A$3:$G$54,7,0),"")</f>
        <v/>
      </c>
      <c r="L183" s="334" t="n"/>
      <c r="M183" s="334" t="n"/>
      <c r="N183" s="333">
        <f>IFERROR(IF(L183*M183=0,"",L183*M183),"")</f>
        <v/>
      </c>
      <c r="O183" s="334" t="n"/>
      <c r="P183" s="332">
        <f>IFERROR(VLOOKUP(TEXT(O183,"0"),CONDUCTORES!$A$3:$G$54,2,0),"")</f>
        <v/>
      </c>
      <c r="Q183" s="332">
        <f>IFERROR(VLOOKUP(TEXT(O183,"0"),CONDUCTORES!$A$3:$H$54,6,0),"")</f>
        <v/>
      </c>
      <c r="R183" s="334" t="n"/>
      <c r="S183" s="334" t="n"/>
      <c r="T183" s="334" t="n"/>
      <c r="U183" s="334" t="n"/>
      <c r="V183" s="334" t="n"/>
      <c r="W183" s="334" t="n"/>
      <c r="X183" s="334" t="n"/>
      <c r="Y183" s="334" t="n"/>
    </row>
    <row r="184" ht="15" customHeight="1" s="195">
      <c r="A184" s="280" t="n"/>
      <c r="B184" s="280" t="n"/>
      <c r="C184" s="280" t="n"/>
      <c r="D184" s="280" t="n"/>
      <c r="E184" s="280" t="n"/>
      <c r="F184" s="280" t="n"/>
      <c r="G184" s="280" t="n"/>
      <c r="H184" s="280" t="n"/>
      <c r="I184" s="332">
        <f>IFERROR(VLOOKUP(TEXT(H184,"0"),IPRESS!$A$3:$B$212,2,0),"")</f>
        <v/>
      </c>
      <c r="J184" s="280" t="n"/>
      <c r="K184" s="332">
        <f>IFERROR(VLOOKUP(TEXT(O184,"0"),CONDUCTORES!$A$3:$G$54,7,0),"")</f>
        <v/>
      </c>
      <c r="L184" s="280" t="n"/>
      <c r="M184" s="280" t="n"/>
      <c r="N184" s="333">
        <f>IFERROR(IF(L184*M184=0,"",L184*M184),"")</f>
        <v/>
      </c>
      <c r="O184" s="280" t="n"/>
      <c r="P184" s="332">
        <f>IFERROR(VLOOKUP(TEXT(O184,"0"),CONDUCTORES!$A$3:$G$54,2,0),"")</f>
        <v/>
      </c>
      <c r="Q184" s="332">
        <f>IFERROR(VLOOKUP(TEXT(O184,"0"),CONDUCTORES!$A$3:$H$54,6,0),"")</f>
        <v/>
      </c>
      <c r="R184" s="280" t="n"/>
      <c r="S184" s="280" t="n"/>
      <c r="T184" s="280" t="n"/>
      <c r="U184" s="280" t="n"/>
      <c r="V184" s="280" t="n"/>
      <c r="W184" s="280" t="n"/>
      <c r="X184" s="280" t="n"/>
      <c r="Y184" s="280" t="n"/>
    </row>
    <row r="185" ht="15" customHeight="1" s="195">
      <c r="A185" s="334" t="n"/>
      <c r="B185" s="334" t="n"/>
      <c r="C185" s="334" t="n"/>
      <c r="D185" s="334" t="n"/>
      <c r="E185" s="334" t="n"/>
      <c r="F185" s="334" t="n"/>
      <c r="G185" s="334" t="n"/>
      <c r="H185" s="334" t="n"/>
      <c r="I185" s="332">
        <f>IFERROR(VLOOKUP(TEXT(H185,"0"),IPRESS!$A$3:$B$212,2,0),"")</f>
        <v/>
      </c>
      <c r="J185" s="334" t="n"/>
      <c r="K185" s="332">
        <f>IFERROR(VLOOKUP(TEXT(O185,"0"),CONDUCTORES!$A$3:$G$54,7,0),"")</f>
        <v/>
      </c>
      <c r="L185" s="334" t="n"/>
      <c r="M185" s="334" t="n"/>
      <c r="N185" s="333">
        <f>IFERROR(IF(L185*M185=0,"",L185*M185),"")</f>
        <v/>
      </c>
      <c r="O185" s="334" t="n"/>
      <c r="P185" s="332">
        <f>IFERROR(VLOOKUP(TEXT(O185,"0"),CONDUCTORES!$A$3:$G$54,2,0),"")</f>
        <v/>
      </c>
      <c r="Q185" s="332">
        <f>IFERROR(VLOOKUP(TEXT(O185,"0"),CONDUCTORES!$A$3:$H$54,6,0),"")</f>
        <v/>
      </c>
      <c r="R185" s="334" t="n"/>
      <c r="S185" s="334" t="n"/>
      <c r="T185" s="334" t="n"/>
      <c r="U185" s="334" t="n"/>
      <c r="V185" s="334" t="n"/>
      <c r="W185" s="334" t="n"/>
      <c r="X185" s="334" t="n"/>
      <c r="Y185" s="334" t="n"/>
    </row>
    <row r="186" ht="15" customHeight="1" s="195">
      <c r="A186" s="280" t="n"/>
      <c r="B186" s="280" t="n"/>
      <c r="C186" s="280" t="n"/>
      <c r="D186" s="280" t="n"/>
      <c r="E186" s="280" t="n"/>
      <c r="F186" s="280" t="n"/>
      <c r="G186" s="280" t="n"/>
      <c r="H186" s="280" t="n"/>
      <c r="I186" s="332">
        <f>IFERROR(VLOOKUP(TEXT(H186,"0"),IPRESS!$A$3:$B$212,2,0),"")</f>
        <v/>
      </c>
      <c r="J186" s="280" t="n"/>
      <c r="K186" s="332">
        <f>IFERROR(VLOOKUP(TEXT(O186,"0"),CONDUCTORES!$A$3:$G$54,7,0),"")</f>
        <v/>
      </c>
      <c r="L186" s="280" t="n"/>
      <c r="M186" s="280" t="n"/>
      <c r="N186" s="333">
        <f>IFERROR(IF(L186*M186=0,"",L186*M186),"")</f>
        <v/>
      </c>
      <c r="O186" s="280" t="n"/>
      <c r="P186" s="332">
        <f>IFERROR(VLOOKUP(TEXT(O186,"0"),CONDUCTORES!$A$3:$G$54,2,0),"")</f>
        <v/>
      </c>
      <c r="Q186" s="332">
        <f>IFERROR(VLOOKUP(TEXT(O186,"0"),CONDUCTORES!$A$3:$H$54,6,0),"")</f>
        <v/>
      </c>
      <c r="R186" s="280" t="n"/>
      <c r="S186" s="280" t="n"/>
      <c r="T186" s="280" t="n"/>
      <c r="U186" s="280" t="n"/>
      <c r="V186" s="280" t="n"/>
      <c r="W186" s="280" t="n"/>
      <c r="X186" s="280" t="n"/>
      <c r="Y186" s="280" t="n"/>
    </row>
    <row r="187" ht="15" customHeight="1" s="195">
      <c r="A187" s="334" t="n"/>
      <c r="B187" s="334" t="n"/>
      <c r="C187" s="334" t="n"/>
      <c r="D187" s="334" t="n"/>
      <c r="E187" s="334" t="n"/>
      <c r="F187" s="334" t="n"/>
      <c r="G187" s="334" t="n"/>
      <c r="H187" s="334" t="n"/>
      <c r="I187" s="332">
        <f>IFERROR(VLOOKUP(TEXT(H187,"0"),IPRESS!$A$3:$B$212,2,0),"")</f>
        <v/>
      </c>
      <c r="J187" s="334" t="n"/>
      <c r="K187" s="332">
        <f>IFERROR(VLOOKUP(TEXT(O187,"0"),CONDUCTORES!$A$3:$G$54,7,0),"")</f>
        <v/>
      </c>
      <c r="L187" s="334" t="n"/>
      <c r="M187" s="334" t="n"/>
      <c r="N187" s="333">
        <f>IFERROR(IF(L187*M187=0,"",L187*M187),"")</f>
        <v/>
      </c>
      <c r="O187" s="334" t="n"/>
      <c r="P187" s="332">
        <f>IFERROR(VLOOKUP(TEXT(O187,"0"),CONDUCTORES!$A$3:$G$54,2,0),"")</f>
        <v/>
      </c>
      <c r="Q187" s="332">
        <f>IFERROR(VLOOKUP(TEXT(O187,"0"),CONDUCTORES!$A$3:$H$54,6,0),"")</f>
        <v/>
      </c>
      <c r="R187" s="334" t="n"/>
      <c r="S187" s="334" t="n"/>
      <c r="T187" s="334" t="n"/>
      <c r="U187" s="334" t="n"/>
      <c r="V187" s="334" t="n"/>
      <c r="W187" s="334" t="n"/>
      <c r="X187" s="334" t="n"/>
      <c r="Y187" s="334" t="n"/>
    </row>
    <row r="188" ht="15" customHeight="1" s="195">
      <c r="A188" s="280" t="n"/>
      <c r="B188" s="280" t="n"/>
      <c r="C188" s="280" t="n"/>
      <c r="D188" s="280" t="n"/>
      <c r="E188" s="280" t="n"/>
      <c r="F188" s="280" t="n"/>
      <c r="G188" s="280" t="n"/>
      <c r="H188" s="280" t="n"/>
      <c r="I188" s="332">
        <f>IFERROR(VLOOKUP(TEXT(H188,"0"),IPRESS!$A$3:$B$212,2,0),"")</f>
        <v/>
      </c>
      <c r="J188" s="280" t="n"/>
      <c r="K188" s="332">
        <f>IFERROR(VLOOKUP(TEXT(O188,"0"),CONDUCTORES!$A$3:$G$54,7,0),"")</f>
        <v/>
      </c>
      <c r="L188" s="280" t="n"/>
      <c r="M188" s="280" t="n"/>
      <c r="N188" s="333">
        <f>IFERROR(IF(L188*M188=0,"",L188*M188),"")</f>
        <v/>
      </c>
      <c r="O188" s="280" t="n"/>
      <c r="P188" s="332">
        <f>IFERROR(VLOOKUP(TEXT(O188,"0"),CONDUCTORES!$A$3:$G$54,2,0),"")</f>
        <v/>
      </c>
      <c r="Q188" s="332">
        <f>IFERROR(VLOOKUP(TEXT(O188,"0"),CONDUCTORES!$A$3:$H$54,6,0),"")</f>
        <v/>
      </c>
      <c r="R188" s="280" t="n"/>
      <c r="S188" s="280" t="n"/>
      <c r="T188" s="280" t="n"/>
      <c r="U188" s="280" t="n"/>
      <c r="V188" s="280" t="n"/>
      <c r="W188" s="280" t="n"/>
      <c r="X188" s="280" t="n"/>
      <c r="Y188" s="280" t="n"/>
    </row>
    <row r="189" ht="15" customHeight="1" s="195">
      <c r="A189" s="334" t="n"/>
      <c r="B189" s="334" t="n"/>
      <c r="C189" s="334" t="n"/>
      <c r="D189" s="334" t="n"/>
      <c r="E189" s="334" t="n"/>
      <c r="F189" s="334" t="n"/>
      <c r="G189" s="334" t="n"/>
      <c r="H189" s="334" t="n"/>
      <c r="I189" s="332">
        <f>IFERROR(VLOOKUP(TEXT(H189,"0"),IPRESS!$A$3:$B$212,2,0),"")</f>
        <v/>
      </c>
      <c r="J189" s="334" t="n"/>
      <c r="K189" s="332">
        <f>IFERROR(VLOOKUP(TEXT(O189,"0"),CONDUCTORES!$A$3:$G$54,7,0),"")</f>
        <v/>
      </c>
      <c r="L189" s="334" t="n"/>
      <c r="M189" s="334" t="n"/>
      <c r="N189" s="333">
        <f>IFERROR(IF(L189*M189=0,"",L189*M189),"")</f>
        <v/>
      </c>
      <c r="O189" s="334" t="n"/>
      <c r="P189" s="332">
        <f>IFERROR(VLOOKUP(TEXT(O189,"0"),CONDUCTORES!$A$3:$G$54,2,0),"")</f>
        <v/>
      </c>
      <c r="Q189" s="332">
        <f>IFERROR(VLOOKUP(TEXT(O189,"0"),CONDUCTORES!$A$3:$H$54,6,0),"")</f>
        <v/>
      </c>
      <c r="R189" s="334" t="n"/>
      <c r="S189" s="334" t="n"/>
      <c r="T189" s="334" t="n"/>
      <c r="U189" s="334" t="n"/>
      <c r="V189" s="334" t="n"/>
      <c r="W189" s="334" t="n"/>
      <c r="X189" s="334" t="n"/>
      <c r="Y189" s="334" t="n"/>
    </row>
    <row r="190" ht="15" customHeight="1" s="195">
      <c r="A190" s="280" t="n"/>
      <c r="B190" s="280" t="n"/>
      <c r="C190" s="280" t="n"/>
      <c r="D190" s="280" t="n"/>
      <c r="E190" s="280" t="n"/>
      <c r="F190" s="280" t="n"/>
      <c r="G190" s="280" t="n"/>
      <c r="H190" s="280" t="n"/>
      <c r="I190" s="332">
        <f>IFERROR(VLOOKUP(TEXT(H190,"0"),IPRESS!$A$3:$B$212,2,0),"")</f>
        <v/>
      </c>
      <c r="J190" s="280" t="n"/>
      <c r="K190" s="332">
        <f>IFERROR(VLOOKUP(TEXT(O190,"0"),CONDUCTORES!$A$3:$G$54,7,0),"")</f>
        <v/>
      </c>
      <c r="L190" s="280" t="n"/>
      <c r="M190" s="280" t="n"/>
      <c r="N190" s="333">
        <f>IFERROR(IF(L190*M190=0,"",L190*M190),"")</f>
        <v/>
      </c>
      <c r="O190" s="280" t="n"/>
      <c r="P190" s="332">
        <f>IFERROR(VLOOKUP(TEXT(O190,"0"),CONDUCTORES!$A$3:$G$54,2,0),"")</f>
        <v/>
      </c>
      <c r="Q190" s="332">
        <f>IFERROR(VLOOKUP(TEXT(O190,"0"),CONDUCTORES!$A$3:$H$54,6,0),"")</f>
        <v/>
      </c>
      <c r="R190" s="280" t="n"/>
      <c r="S190" s="280" t="n"/>
      <c r="T190" s="280" t="n"/>
      <c r="U190" s="280" t="n"/>
      <c r="V190" s="280" t="n"/>
      <c r="W190" s="280" t="n"/>
      <c r="X190" s="280" t="n"/>
      <c r="Y190" s="280" t="n"/>
    </row>
    <row r="191" ht="15" customHeight="1" s="195">
      <c r="A191" s="334" t="n"/>
      <c r="B191" s="334" t="n"/>
      <c r="C191" s="334" t="n"/>
      <c r="D191" s="334" t="n"/>
      <c r="E191" s="334" t="n"/>
      <c r="F191" s="334" t="n"/>
      <c r="G191" s="334" t="n"/>
      <c r="H191" s="334" t="n"/>
      <c r="I191" s="332">
        <f>IFERROR(VLOOKUP(TEXT(H191,"0"),IPRESS!$A$3:$B$212,2,0),"")</f>
        <v/>
      </c>
      <c r="J191" s="334" t="n"/>
      <c r="K191" s="332">
        <f>IFERROR(VLOOKUP(TEXT(O191,"0"),CONDUCTORES!$A$3:$G$54,7,0),"")</f>
        <v/>
      </c>
      <c r="L191" s="334" t="n"/>
      <c r="M191" s="334" t="n"/>
      <c r="N191" s="333">
        <f>IFERROR(IF(L191*M191=0,"",L191*M191),"")</f>
        <v/>
      </c>
      <c r="O191" s="334" t="n"/>
      <c r="P191" s="332">
        <f>IFERROR(VLOOKUP(TEXT(O191,"0"),CONDUCTORES!$A$3:$G$54,2,0),"")</f>
        <v/>
      </c>
      <c r="Q191" s="332">
        <f>IFERROR(VLOOKUP(TEXT(O191,"0"),CONDUCTORES!$A$3:$H$54,6,0),"")</f>
        <v/>
      </c>
      <c r="R191" s="334" t="n"/>
      <c r="S191" s="334" t="n"/>
      <c r="T191" s="334" t="n"/>
      <c r="U191" s="334" t="n"/>
      <c r="V191" s="334" t="n"/>
      <c r="W191" s="334" t="n"/>
      <c r="X191" s="334" t="n"/>
      <c r="Y191" s="334" t="n"/>
    </row>
    <row r="192" ht="15" customHeight="1" s="195">
      <c r="A192" s="280" t="n"/>
      <c r="B192" s="280" t="n"/>
      <c r="C192" s="280" t="n"/>
      <c r="D192" s="280" t="n"/>
      <c r="E192" s="280" t="n"/>
      <c r="F192" s="280" t="n"/>
      <c r="G192" s="280" t="n"/>
      <c r="H192" s="280" t="n"/>
      <c r="I192" s="332">
        <f>IFERROR(VLOOKUP(TEXT(H192,"0"),IPRESS!$A$3:$B$212,2,0),"")</f>
        <v/>
      </c>
      <c r="J192" s="280" t="n"/>
      <c r="K192" s="332">
        <f>IFERROR(VLOOKUP(TEXT(O192,"0"),CONDUCTORES!$A$3:$G$54,7,0),"")</f>
        <v/>
      </c>
      <c r="L192" s="280" t="n"/>
      <c r="M192" s="280" t="n"/>
      <c r="N192" s="333">
        <f>IFERROR(IF(L192*M192=0,"",L192*M192),"")</f>
        <v/>
      </c>
      <c r="O192" s="280" t="n"/>
      <c r="P192" s="332">
        <f>IFERROR(VLOOKUP(TEXT(O192,"0"),CONDUCTORES!$A$3:$G$54,2,0),"")</f>
        <v/>
      </c>
      <c r="Q192" s="332">
        <f>IFERROR(VLOOKUP(TEXT(O192,"0"),CONDUCTORES!$A$3:$H$54,6,0),"")</f>
        <v/>
      </c>
      <c r="R192" s="280" t="n"/>
      <c r="S192" s="280" t="n"/>
      <c r="T192" s="280" t="n"/>
      <c r="U192" s="280" t="n"/>
      <c r="V192" s="280" t="n"/>
      <c r="W192" s="280" t="n"/>
      <c r="X192" s="280" t="n"/>
      <c r="Y192" s="280" t="n"/>
    </row>
    <row r="193" ht="15" customHeight="1" s="195">
      <c r="A193" s="334" t="n"/>
      <c r="B193" s="334" t="n"/>
      <c r="C193" s="334" t="n"/>
      <c r="D193" s="334" t="n"/>
      <c r="E193" s="334" t="n"/>
      <c r="F193" s="334" t="n"/>
      <c r="G193" s="334" t="n"/>
      <c r="H193" s="334" t="n"/>
      <c r="I193" s="332">
        <f>IFERROR(VLOOKUP(TEXT(H193,"0"),IPRESS!$A$3:$B$212,2,0),"")</f>
        <v/>
      </c>
      <c r="J193" s="334" t="n"/>
      <c r="K193" s="332">
        <f>IFERROR(VLOOKUP(TEXT(O193,"0"),CONDUCTORES!$A$3:$G$54,7,0),"")</f>
        <v/>
      </c>
      <c r="L193" s="334" t="n"/>
      <c r="M193" s="334" t="n"/>
      <c r="N193" s="333">
        <f>IFERROR(IF(L193*M193=0,"",L193*M193),"")</f>
        <v/>
      </c>
      <c r="O193" s="334" t="n"/>
      <c r="P193" s="332">
        <f>IFERROR(VLOOKUP(TEXT(O193,"0"),CONDUCTORES!$A$3:$G$54,2,0),"")</f>
        <v/>
      </c>
      <c r="Q193" s="332">
        <f>IFERROR(VLOOKUP(TEXT(O193,"0"),CONDUCTORES!$A$3:$H$54,6,0),"")</f>
        <v/>
      </c>
      <c r="R193" s="334" t="n"/>
      <c r="S193" s="334" t="n"/>
      <c r="T193" s="334" t="n"/>
      <c r="U193" s="334" t="n"/>
      <c r="V193" s="334" t="n"/>
      <c r="W193" s="334" t="n"/>
      <c r="X193" s="334" t="n"/>
      <c r="Y193" s="334" t="n"/>
    </row>
    <row r="194" ht="15" customHeight="1" s="195">
      <c r="A194" s="280" t="n"/>
      <c r="B194" s="280" t="n"/>
      <c r="C194" s="280" t="n"/>
      <c r="D194" s="280" t="n"/>
      <c r="E194" s="280" t="n"/>
      <c r="F194" s="280" t="n"/>
      <c r="G194" s="280" t="n"/>
      <c r="H194" s="280" t="n"/>
      <c r="I194" s="332">
        <f>IFERROR(VLOOKUP(TEXT(H194,"0"),IPRESS!$A$3:$B$212,2,0),"")</f>
        <v/>
      </c>
      <c r="J194" s="280" t="n"/>
      <c r="K194" s="332">
        <f>IFERROR(VLOOKUP(TEXT(O194,"0"),CONDUCTORES!$A$3:$G$54,7,0),"")</f>
        <v/>
      </c>
      <c r="L194" s="280" t="n"/>
      <c r="M194" s="280" t="n"/>
      <c r="N194" s="333">
        <f>IFERROR(IF(L194*M194=0,"",L194*M194),"")</f>
        <v/>
      </c>
      <c r="O194" s="280" t="n"/>
      <c r="P194" s="332">
        <f>IFERROR(VLOOKUP(TEXT(O194,"0"),CONDUCTORES!$A$3:$G$54,2,0),"")</f>
        <v/>
      </c>
      <c r="Q194" s="332">
        <f>IFERROR(VLOOKUP(TEXT(O194,"0"),CONDUCTORES!$A$3:$H$54,6,0),"")</f>
        <v/>
      </c>
      <c r="R194" s="280" t="n"/>
      <c r="S194" s="280" t="n"/>
      <c r="T194" s="280" t="n"/>
      <c r="U194" s="280" t="n"/>
      <c r="V194" s="280" t="n"/>
      <c r="W194" s="280" t="n"/>
      <c r="X194" s="280" t="n"/>
      <c r="Y194" s="280" t="n"/>
    </row>
    <row r="195" ht="15" customHeight="1" s="195">
      <c r="A195" s="334" t="n"/>
      <c r="B195" s="334" t="n"/>
      <c r="C195" s="334" t="n"/>
      <c r="D195" s="334" t="n"/>
      <c r="E195" s="334" t="n"/>
      <c r="F195" s="334" t="n"/>
      <c r="G195" s="334" t="n"/>
      <c r="H195" s="334" t="n"/>
      <c r="I195" s="332">
        <f>IFERROR(VLOOKUP(TEXT(H195,"0"),IPRESS!$A$3:$B$212,2,0),"")</f>
        <v/>
      </c>
      <c r="J195" s="334" t="n"/>
      <c r="K195" s="332">
        <f>IFERROR(VLOOKUP(TEXT(O195,"0"),CONDUCTORES!$A$3:$G$54,7,0),"")</f>
        <v/>
      </c>
      <c r="L195" s="334" t="n"/>
      <c r="M195" s="334" t="n"/>
      <c r="N195" s="333">
        <f>IFERROR(IF(L195*M195=0,"",L195*M195),"")</f>
        <v/>
      </c>
      <c r="O195" s="334" t="n"/>
      <c r="P195" s="332">
        <f>IFERROR(VLOOKUP(TEXT(O195,"0"),CONDUCTORES!$A$3:$G$54,2,0),"")</f>
        <v/>
      </c>
      <c r="Q195" s="332">
        <f>IFERROR(VLOOKUP(TEXT(O195,"0"),CONDUCTORES!$A$3:$H$54,6,0),"")</f>
        <v/>
      </c>
      <c r="R195" s="334" t="n"/>
      <c r="S195" s="334" t="n"/>
      <c r="T195" s="334" t="n"/>
      <c r="U195" s="334" t="n"/>
      <c r="V195" s="334" t="n"/>
      <c r="W195" s="334" t="n"/>
      <c r="X195" s="334" t="n"/>
      <c r="Y195" s="334" t="n"/>
    </row>
    <row r="196" ht="15" customHeight="1" s="195">
      <c r="A196" s="280" t="n"/>
      <c r="B196" s="280" t="n"/>
      <c r="C196" s="280" t="n"/>
      <c r="D196" s="280" t="n"/>
      <c r="E196" s="280" t="n"/>
      <c r="F196" s="280" t="n"/>
      <c r="G196" s="280" t="n"/>
      <c r="H196" s="280" t="n"/>
      <c r="I196" s="332">
        <f>IFERROR(VLOOKUP(TEXT(H196,"0"),IPRESS!$A$3:$B$212,2,0),"")</f>
        <v/>
      </c>
      <c r="J196" s="280" t="n"/>
      <c r="K196" s="332">
        <f>IFERROR(VLOOKUP(TEXT(O196,"0"),CONDUCTORES!$A$3:$G$54,7,0),"")</f>
        <v/>
      </c>
      <c r="L196" s="280" t="n"/>
      <c r="M196" s="280" t="n"/>
      <c r="N196" s="333">
        <f>IFERROR(IF(L196*M196=0,"",L196*M196),"")</f>
        <v/>
      </c>
      <c r="O196" s="280" t="n"/>
      <c r="P196" s="332">
        <f>IFERROR(VLOOKUP(TEXT(O196,"0"),CONDUCTORES!$A$3:$G$54,2,0),"")</f>
        <v/>
      </c>
      <c r="Q196" s="332">
        <f>IFERROR(VLOOKUP(TEXT(O196,"0"),CONDUCTORES!$A$3:$H$54,6,0),"")</f>
        <v/>
      </c>
      <c r="R196" s="280" t="n"/>
      <c r="S196" s="280" t="n"/>
      <c r="T196" s="280" t="n"/>
      <c r="U196" s="280" t="n"/>
      <c r="V196" s="280" t="n"/>
      <c r="W196" s="280" t="n"/>
      <c r="X196" s="280" t="n"/>
      <c r="Y196" s="280" t="n"/>
    </row>
    <row r="197" ht="15" customHeight="1" s="195">
      <c r="A197" s="334" t="n"/>
      <c r="B197" s="334" t="n"/>
      <c r="C197" s="334" t="n"/>
      <c r="D197" s="334" t="n"/>
      <c r="E197" s="334" t="n"/>
      <c r="F197" s="334" t="n"/>
      <c r="G197" s="334" t="n"/>
      <c r="H197" s="334" t="n"/>
      <c r="I197" s="332">
        <f>IFERROR(VLOOKUP(TEXT(H197,"0"),IPRESS!$A$3:$B$212,2,0),"")</f>
        <v/>
      </c>
      <c r="J197" s="334" t="n"/>
      <c r="K197" s="332">
        <f>IFERROR(VLOOKUP(TEXT(O197,"0"),CONDUCTORES!$A$3:$G$54,7,0),"")</f>
        <v/>
      </c>
      <c r="L197" s="334" t="n"/>
      <c r="M197" s="334" t="n"/>
      <c r="N197" s="333">
        <f>IFERROR(IF(L197*M197=0,"",L197*M197),"")</f>
        <v/>
      </c>
      <c r="O197" s="334" t="n"/>
      <c r="P197" s="332">
        <f>IFERROR(VLOOKUP(TEXT(O197,"0"),CONDUCTORES!$A$3:$G$54,2,0),"")</f>
        <v/>
      </c>
      <c r="Q197" s="332">
        <f>IFERROR(VLOOKUP(TEXT(O197,"0"),CONDUCTORES!$A$3:$H$54,6,0),"")</f>
        <v/>
      </c>
      <c r="R197" s="334" t="n"/>
      <c r="S197" s="334" t="n"/>
      <c r="T197" s="334" t="n"/>
      <c r="U197" s="334" t="n"/>
      <c r="V197" s="334" t="n"/>
      <c r="W197" s="334" t="n"/>
      <c r="X197" s="334" t="n"/>
      <c r="Y197" s="334" t="n"/>
    </row>
    <row r="198" ht="15" customHeight="1" s="195">
      <c r="A198" s="280" t="n"/>
      <c r="B198" s="280" t="n"/>
      <c r="C198" s="280" t="n"/>
      <c r="D198" s="280" t="n"/>
      <c r="E198" s="280" t="n"/>
      <c r="F198" s="280" t="n"/>
      <c r="G198" s="280" t="n"/>
      <c r="H198" s="280" t="n"/>
      <c r="I198" s="332">
        <f>IFERROR(VLOOKUP(TEXT(H198,"0"),IPRESS!$A$3:$B$212,2,0),"")</f>
        <v/>
      </c>
      <c r="J198" s="280" t="n"/>
      <c r="K198" s="332">
        <f>IFERROR(VLOOKUP(TEXT(O198,"0"),CONDUCTORES!$A$3:$G$54,7,0),"")</f>
        <v/>
      </c>
      <c r="L198" s="280" t="n"/>
      <c r="M198" s="280" t="n"/>
      <c r="N198" s="333">
        <f>IFERROR(IF(L198*M198=0,"",L198*M198),"")</f>
        <v/>
      </c>
      <c r="O198" s="280" t="n"/>
      <c r="P198" s="332">
        <f>IFERROR(VLOOKUP(TEXT(O198,"0"),CONDUCTORES!$A$3:$G$54,2,0),"")</f>
        <v/>
      </c>
      <c r="Q198" s="332">
        <f>IFERROR(VLOOKUP(TEXT(O198,"0"),CONDUCTORES!$A$3:$H$54,6,0),"")</f>
        <v/>
      </c>
      <c r="R198" s="280" t="n"/>
      <c r="S198" s="280" t="n"/>
      <c r="T198" s="280" t="n"/>
      <c r="U198" s="280" t="n"/>
      <c r="V198" s="280" t="n"/>
      <c r="W198" s="280" t="n"/>
      <c r="X198" s="280" t="n"/>
      <c r="Y198" s="280" t="n"/>
    </row>
    <row r="199" ht="15" customHeight="1" s="195">
      <c r="A199" s="334" t="n"/>
      <c r="B199" s="334" t="n"/>
      <c r="C199" s="334" t="n"/>
      <c r="D199" s="334" t="n"/>
      <c r="E199" s="334" t="n"/>
      <c r="F199" s="334" t="n"/>
      <c r="G199" s="334" t="n"/>
      <c r="H199" s="334" t="n"/>
      <c r="I199" s="332">
        <f>IFERROR(VLOOKUP(TEXT(H199,"0"),IPRESS!$A$3:$B$212,2,0),"")</f>
        <v/>
      </c>
      <c r="J199" s="334" t="n"/>
      <c r="K199" s="332">
        <f>IFERROR(VLOOKUP(TEXT(O199,"0"),CONDUCTORES!$A$3:$G$54,7,0),"")</f>
        <v/>
      </c>
      <c r="L199" s="334" t="n"/>
      <c r="M199" s="334" t="n"/>
      <c r="N199" s="333">
        <f>IFERROR(IF(L199*M199=0,"",L199*M199),"")</f>
        <v/>
      </c>
      <c r="O199" s="334" t="n"/>
      <c r="P199" s="332">
        <f>IFERROR(VLOOKUP(TEXT(O199,"0"),CONDUCTORES!$A$3:$G$54,2,0),"")</f>
        <v/>
      </c>
      <c r="Q199" s="332">
        <f>IFERROR(VLOOKUP(TEXT(O199,"0"),CONDUCTORES!$A$3:$H$54,6,0),"")</f>
        <v/>
      </c>
      <c r="R199" s="334" t="n"/>
      <c r="S199" s="334" t="n"/>
      <c r="T199" s="334" t="n"/>
      <c r="U199" s="334" t="n"/>
      <c r="V199" s="334" t="n"/>
      <c r="W199" s="334" t="n"/>
      <c r="X199" s="334" t="n"/>
      <c r="Y199" s="334" t="n"/>
    </row>
    <row r="200" ht="15" customHeight="1" s="195">
      <c r="A200" s="280" t="n"/>
      <c r="B200" s="280" t="n"/>
      <c r="C200" s="280" t="n"/>
      <c r="D200" s="280" t="n"/>
      <c r="E200" s="280" t="n"/>
      <c r="F200" s="280" t="n"/>
      <c r="G200" s="280" t="n"/>
      <c r="H200" s="280" t="n"/>
      <c r="I200" s="332">
        <f>IFERROR(VLOOKUP(TEXT(H200,"0"),IPRESS!$A$3:$B$212,2,0),"")</f>
        <v/>
      </c>
      <c r="J200" s="280" t="n"/>
      <c r="K200" s="332">
        <f>IFERROR(VLOOKUP(TEXT(O200,"0"),CONDUCTORES!$A$3:$G$54,7,0),"")</f>
        <v/>
      </c>
      <c r="L200" s="280" t="n"/>
      <c r="M200" s="280" t="n"/>
      <c r="N200" s="333">
        <f>IFERROR(IF(L200*M200=0,"",L200*M200),"")</f>
        <v/>
      </c>
      <c r="O200" s="280" t="n"/>
      <c r="P200" s="332">
        <f>IFERROR(VLOOKUP(TEXT(O200,"0"),CONDUCTORES!$A$3:$G$54,2,0),"")</f>
        <v/>
      </c>
      <c r="Q200" s="332">
        <f>IFERROR(VLOOKUP(TEXT(O200,"0"),CONDUCTORES!$A$3:$H$54,6,0),"")</f>
        <v/>
      </c>
      <c r="R200" s="280" t="n"/>
      <c r="S200" s="280" t="n"/>
      <c r="T200" s="280" t="n"/>
      <c r="U200" s="280" t="n"/>
      <c r="V200" s="280" t="n"/>
      <c r="W200" s="280" t="n"/>
      <c r="X200" s="280" t="n"/>
      <c r="Y200" s="280" t="n"/>
    </row>
    <row r="201" ht="15" customHeight="1" s="195">
      <c r="A201" s="334" t="n"/>
      <c r="B201" s="334" t="n"/>
      <c r="C201" s="334" t="n"/>
      <c r="D201" s="334" t="n"/>
      <c r="E201" s="334" t="n"/>
      <c r="F201" s="334" t="n"/>
      <c r="G201" s="334" t="n"/>
      <c r="H201" s="334" t="n"/>
      <c r="I201" s="332">
        <f>IFERROR(VLOOKUP(TEXT(H201,"0"),IPRESS!$A$3:$B$212,2,0),"")</f>
        <v/>
      </c>
      <c r="J201" s="334" t="n"/>
      <c r="K201" s="332">
        <f>IFERROR(VLOOKUP(TEXT(O201,"0"),CONDUCTORES!$A$3:$G$54,7,0),"")</f>
        <v/>
      </c>
      <c r="L201" s="334" t="n"/>
      <c r="M201" s="334" t="n"/>
      <c r="N201" s="333">
        <f>IFERROR(IF(L201*M201=0,"",L201*M201),"")</f>
        <v/>
      </c>
      <c r="O201" s="334" t="n"/>
      <c r="P201" s="332">
        <f>IFERROR(VLOOKUP(TEXT(O201,"0"),CONDUCTORES!$A$3:$G$54,2,0),"")</f>
        <v/>
      </c>
      <c r="Q201" s="332">
        <f>IFERROR(VLOOKUP(TEXT(O201,"0"),CONDUCTORES!$A$3:$H$54,6,0),"")</f>
        <v/>
      </c>
      <c r="R201" s="334" t="n"/>
      <c r="S201" s="334" t="n"/>
      <c r="T201" s="334" t="n"/>
      <c r="U201" s="334" t="n"/>
      <c r="V201" s="334" t="n"/>
      <c r="W201" s="334" t="n"/>
      <c r="X201" s="334" t="n"/>
      <c r="Y201" s="334" t="n"/>
    </row>
    <row r="202" ht="15" customHeight="1" s="195">
      <c r="A202" s="280" t="n"/>
      <c r="B202" s="280" t="n"/>
      <c r="C202" s="280" t="n"/>
      <c r="D202" s="280" t="n"/>
      <c r="E202" s="280" t="n"/>
      <c r="F202" s="280" t="n"/>
      <c r="G202" s="280" t="n"/>
      <c r="H202" s="280" t="n"/>
      <c r="I202" s="332">
        <f>IFERROR(VLOOKUP(TEXT(H202,"0"),IPRESS!$A$3:$B$212,2,0),"")</f>
        <v/>
      </c>
      <c r="J202" s="280" t="n"/>
      <c r="K202" s="332">
        <f>IFERROR(VLOOKUP(TEXT(O202,"0"),CONDUCTORES!$A$3:$G$54,7,0),"")</f>
        <v/>
      </c>
      <c r="L202" s="280" t="n"/>
      <c r="M202" s="280" t="n"/>
      <c r="N202" s="333">
        <f>IFERROR(IF(L202*M202=0,"",L202*M202),"")</f>
        <v/>
      </c>
      <c r="O202" s="280" t="n"/>
      <c r="P202" s="332">
        <f>IFERROR(VLOOKUP(TEXT(O202,"0"),CONDUCTORES!$A$3:$G$54,2,0),"")</f>
        <v/>
      </c>
      <c r="Q202" s="332">
        <f>IFERROR(VLOOKUP(TEXT(O202,"0"),CONDUCTORES!$A$3:$H$54,6,0),"")</f>
        <v/>
      </c>
      <c r="R202" s="280" t="n"/>
      <c r="S202" s="280" t="n"/>
      <c r="T202" s="280" t="n"/>
      <c r="U202" s="280" t="n"/>
      <c r="V202" s="280" t="n"/>
      <c r="W202" s="280" t="n"/>
      <c r="X202" s="280" t="n"/>
      <c r="Y202" s="280" t="n"/>
    </row>
    <row r="203" ht="15" customHeight="1" s="195">
      <c r="A203" s="334" t="n"/>
      <c r="B203" s="334" t="n"/>
      <c r="C203" s="334" t="n"/>
      <c r="D203" s="334" t="n"/>
      <c r="E203" s="334" t="n"/>
      <c r="F203" s="334" t="n"/>
      <c r="G203" s="334" t="n"/>
      <c r="H203" s="334" t="n"/>
      <c r="I203" s="332">
        <f>IFERROR(VLOOKUP(TEXT(H203,"0"),IPRESS!$A$3:$B$212,2,0),"")</f>
        <v/>
      </c>
      <c r="J203" s="334" t="n"/>
      <c r="K203" s="332">
        <f>IFERROR(VLOOKUP(TEXT(O203,"0"),CONDUCTORES!$A$3:$G$54,7,0),"")</f>
        <v/>
      </c>
      <c r="L203" s="334" t="n"/>
      <c r="M203" s="334" t="n"/>
      <c r="N203" s="333">
        <f>IFERROR(IF(L203*M203=0,"",L203*M203),"")</f>
        <v/>
      </c>
      <c r="O203" s="334" t="n"/>
      <c r="P203" s="332">
        <f>IFERROR(VLOOKUP(TEXT(O203,"0"),CONDUCTORES!$A$3:$G$54,2,0),"")</f>
        <v/>
      </c>
      <c r="Q203" s="332">
        <f>IFERROR(VLOOKUP(TEXT(O203,"0"),CONDUCTORES!$A$3:$H$54,6,0),"")</f>
        <v/>
      </c>
      <c r="R203" s="334" t="n"/>
      <c r="S203" s="334" t="n"/>
      <c r="T203" s="334" t="n"/>
      <c r="U203" s="334" t="n"/>
      <c r="V203" s="334" t="n"/>
      <c r="W203" s="334" t="n"/>
      <c r="X203" s="334" t="n"/>
      <c r="Y203" s="334" t="n"/>
    </row>
    <row r="204" ht="15" customHeight="1" s="195">
      <c r="A204" s="280" t="n"/>
      <c r="B204" s="280" t="n"/>
      <c r="C204" s="280" t="n"/>
      <c r="D204" s="280" t="n"/>
      <c r="E204" s="280" t="n"/>
      <c r="F204" s="280" t="n"/>
      <c r="G204" s="280" t="n"/>
      <c r="H204" s="280" t="n"/>
      <c r="I204" s="332">
        <f>IFERROR(VLOOKUP(TEXT(H204,"0"),IPRESS!$A$3:$B$212,2,0),"")</f>
        <v/>
      </c>
      <c r="J204" s="280" t="n"/>
      <c r="K204" s="332">
        <f>IFERROR(VLOOKUP(TEXT(O204,"0"),CONDUCTORES!$A$3:$G$54,7,0),"")</f>
        <v/>
      </c>
      <c r="L204" s="280" t="n"/>
      <c r="M204" s="280" t="n"/>
      <c r="N204" s="333">
        <f>IFERROR(IF(L204*M204=0,"",L204*M204),"")</f>
        <v/>
      </c>
      <c r="O204" s="280" t="n"/>
      <c r="P204" s="332">
        <f>IFERROR(VLOOKUP(TEXT(O204,"0"),CONDUCTORES!$A$3:$G$54,2,0),"")</f>
        <v/>
      </c>
      <c r="Q204" s="332">
        <f>IFERROR(VLOOKUP(TEXT(O204,"0"),CONDUCTORES!$A$3:$H$54,6,0),"")</f>
        <v/>
      </c>
      <c r="R204" s="280" t="n"/>
      <c r="S204" s="280" t="n"/>
      <c r="T204" s="280" t="n"/>
      <c r="U204" s="280" t="n"/>
      <c r="V204" s="280" t="n"/>
      <c r="W204" s="280" t="n"/>
      <c r="X204" s="280" t="n"/>
      <c r="Y204" s="280" t="n"/>
    </row>
    <row r="205" ht="15" customHeight="1" s="195">
      <c r="A205" s="334" t="n"/>
      <c r="B205" s="334" t="n"/>
      <c r="C205" s="334" t="n"/>
      <c r="D205" s="334" t="n"/>
      <c r="E205" s="334" t="n"/>
      <c r="F205" s="334" t="n"/>
      <c r="G205" s="334" t="n"/>
      <c r="H205" s="334" t="n"/>
      <c r="I205" s="332">
        <f>IFERROR(VLOOKUP(TEXT(H205,"0"),IPRESS!$A$3:$B$212,2,0),"")</f>
        <v/>
      </c>
      <c r="J205" s="334" t="n"/>
      <c r="K205" s="332">
        <f>IFERROR(VLOOKUP(TEXT(O205,"0"),CONDUCTORES!$A$3:$G$54,7,0),"")</f>
        <v/>
      </c>
      <c r="L205" s="334" t="n"/>
      <c r="M205" s="334" t="n"/>
      <c r="N205" s="333">
        <f>IFERROR(IF(L205*M205=0,"",L205*M205),"")</f>
        <v/>
      </c>
      <c r="O205" s="334" t="n"/>
      <c r="P205" s="332">
        <f>IFERROR(VLOOKUP(TEXT(O205,"0"),CONDUCTORES!$A$3:$G$54,2,0),"")</f>
        <v/>
      </c>
      <c r="Q205" s="332">
        <f>IFERROR(VLOOKUP(TEXT(O205,"0"),CONDUCTORES!$A$3:$H$54,6,0),"")</f>
        <v/>
      </c>
      <c r="R205" s="334" t="n"/>
      <c r="S205" s="334" t="n"/>
      <c r="T205" s="334" t="n"/>
      <c r="U205" s="334" t="n"/>
      <c r="V205" s="334" t="n"/>
      <c r="W205" s="334" t="n"/>
      <c r="X205" s="334" t="n"/>
      <c r="Y205" s="334" t="n"/>
    </row>
    <row r="206" ht="15" customHeight="1" s="195">
      <c r="A206" s="280" t="n"/>
      <c r="B206" s="280" t="n"/>
      <c r="C206" s="280" t="n"/>
      <c r="D206" s="280" t="n"/>
      <c r="E206" s="280" t="n"/>
      <c r="F206" s="280" t="n"/>
      <c r="G206" s="280" t="n"/>
      <c r="H206" s="280" t="n"/>
      <c r="I206" s="332">
        <f>IFERROR(VLOOKUP(TEXT(H206,"0"),IPRESS!$A$3:$B$212,2,0),"")</f>
        <v/>
      </c>
      <c r="J206" s="280" t="n"/>
      <c r="K206" s="332">
        <f>IFERROR(VLOOKUP(TEXT(O206,"0"),CONDUCTORES!$A$3:$G$54,7,0),"")</f>
        <v/>
      </c>
      <c r="L206" s="280" t="n"/>
      <c r="M206" s="280" t="n"/>
      <c r="N206" s="333">
        <f>IFERROR(IF(L206*M206=0,"",L206*M206),"")</f>
        <v/>
      </c>
      <c r="O206" s="280" t="n"/>
      <c r="P206" s="332">
        <f>IFERROR(VLOOKUP(TEXT(O206,"0"),CONDUCTORES!$A$3:$G$54,2,0),"")</f>
        <v/>
      </c>
      <c r="Q206" s="332">
        <f>IFERROR(VLOOKUP(TEXT(O206,"0"),CONDUCTORES!$A$3:$H$54,6,0),"")</f>
        <v/>
      </c>
      <c r="R206" s="280" t="n"/>
      <c r="S206" s="280" t="n"/>
      <c r="T206" s="280" t="n"/>
      <c r="U206" s="280" t="n"/>
      <c r="V206" s="280" t="n"/>
      <c r="W206" s="280" t="n"/>
      <c r="X206" s="280" t="n"/>
      <c r="Y206" s="280" t="n"/>
    </row>
    <row r="207" ht="15" customHeight="1" s="195">
      <c r="A207" s="334" t="n"/>
      <c r="B207" s="334" t="n"/>
      <c r="C207" s="334" t="n"/>
      <c r="D207" s="334" t="n"/>
      <c r="E207" s="334" t="n"/>
      <c r="F207" s="334" t="n"/>
      <c r="G207" s="334" t="n"/>
      <c r="H207" s="334" t="n"/>
      <c r="I207" s="332">
        <f>IFERROR(VLOOKUP(TEXT(H207,"0"),IPRESS!$A$3:$B$212,2,0),"")</f>
        <v/>
      </c>
      <c r="J207" s="334" t="n"/>
      <c r="K207" s="332">
        <f>IFERROR(VLOOKUP(TEXT(O207,"0"),CONDUCTORES!$A$3:$G$54,7,0),"")</f>
        <v/>
      </c>
      <c r="L207" s="334" t="n"/>
      <c r="M207" s="334" t="n"/>
      <c r="N207" s="333">
        <f>IFERROR(IF(L207*M207=0,"",L207*M207),"")</f>
        <v/>
      </c>
      <c r="O207" s="334" t="n"/>
      <c r="P207" s="332">
        <f>IFERROR(VLOOKUP(TEXT(O207,"0"),CONDUCTORES!$A$3:$G$54,2,0),"")</f>
        <v/>
      </c>
      <c r="Q207" s="332">
        <f>IFERROR(VLOOKUP(TEXT(O207,"0"),CONDUCTORES!$A$3:$H$54,6,0),"")</f>
        <v/>
      </c>
      <c r="R207" s="334" t="n"/>
      <c r="S207" s="334" t="n"/>
      <c r="T207" s="334" t="n"/>
      <c r="U207" s="334" t="n"/>
      <c r="V207" s="334" t="n"/>
      <c r="W207" s="334" t="n"/>
      <c r="X207" s="334" t="n"/>
      <c r="Y207" s="334" t="n"/>
    </row>
    <row r="208" ht="15" customHeight="1" s="195">
      <c r="A208" s="280" t="n"/>
      <c r="B208" s="280" t="n"/>
      <c r="C208" s="280" t="n"/>
      <c r="D208" s="280" t="n"/>
      <c r="E208" s="280" t="n"/>
      <c r="F208" s="280" t="n"/>
      <c r="G208" s="280" t="n"/>
      <c r="H208" s="280" t="n"/>
      <c r="I208" s="332">
        <f>IFERROR(VLOOKUP(TEXT(H208,"0"),IPRESS!$A$3:$B$212,2,0),"")</f>
        <v/>
      </c>
      <c r="J208" s="280" t="n"/>
      <c r="K208" s="332">
        <f>IFERROR(VLOOKUP(TEXT(O208,"0"),CONDUCTORES!$A$3:$G$54,7,0),"")</f>
        <v/>
      </c>
      <c r="L208" s="280" t="n"/>
      <c r="M208" s="280" t="n"/>
      <c r="N208" s="333">
        <f>IFERROR(IF(L208*M208=0,"",L208*M208),"")</f>
        <v/>
      </c>
      <c r="O208" s="280" t="n"/>
      <c r="P208" s="332">
        <f>IFERROR(VLOOKUP(TEXT(O208,"0"),CONDUCTORES!$A$3:$G$54,2,0),"")</f>
        <v/>
      </c>
      <c r="Q208" s="332">
        <f>IFERROR(VLOOKUP(TEXT(O208,"0"),CONDUCTORES!$A$3:$H$54,6,0),"")</f>
        <v/>
      </c>
      <c r="R208" s="280" t="n"/>
      <c r="S208" s="280" t="n"/>
      <c r="T208" s="280" t="n"/>
      <c r="U208" s="280" t="n"/>
      <c r="V208" s="280" t="n"/>
      <c r="W208" s="280" t="n"/>
      <c r="X208" s="280" t="n"/>
      <c r="Y208" s="280" t="n"/>
    </row>
    <row r="209" ht="15" customHeight="1" s="195">
      <c r="A209" s="334" t="n"/>
      <c r="B209" s="334" t="n"/>
      <c r="C209" s="334" t="n"/>
      <c r="D209" s="334" t="n"/>
      <c r="E209" s="334" t="n"/>
      <c r="F209" s="334" t="n"/>
      <c r="G209" s="334" t="n"/>
      <c r="H209" s="334" t="n"/>
      <c r="I209" s="332">
        <f>IFERROR(VLOOKUP(TEXT(H209,"0"),IPRESS!$A$3:$B$212,2,0),"")</f>
        <v/>
      </c>
      <c r="J209" s="334" t="n"/>
      <c r="K209" s="332">
        <f>IFERROR(VLOOKUP(TEXT(O209,"0"),CONDUCTORES!$A$3:$G$54,7,0),"")</f>
        <v/>
      </c>
      <c r="L209" s="334" t="n"/>
      <c r="M209" s="334" t="n"/>
      <c r="N209" s="333">
        <f>IFERROR(IF(L209*M209=0,"",L209*M209),"")</f>
        <v/>
      </c>
      <c r="O209" s="334" t="n"/>
      <c r="P209" s="332">
        <f>IFERROR(VLOOKUP(TEXT(O209,"0"),CONDUCTORES!$A$3:$G$54,2,0),"")</f>
        <v/>
      </c>
      <c r="Q209" s="332">
        <f>IFERROR(VLOOKUP(TEXT(O209,"0"),CONDUCTORES!$A$3:$H$54,6,0),"")</f>
        <v/>
      </c>
      <c r="R209" s="334" t="n"/>
      <c r="S209" s="334" t="n"/>
      <c r="T209" s="334" t="n"/>
      <c r="U209" s="334" t="n"/>
      <c r="V209" s="334" t="n"/>
      <c r="W209" s="334" t="n"/>
      <c r="X209" s="334" t="n"/>
      <c r="Y209" s="334" t="n"/>
    </row>
    <row r="210" ht="15" customHeight="1" s="195">
      <c r="A210" s="280" t="n"/>
      <c r="B210" s="280" t="n"/>
      <c r="C210" s="280" t="n"/>
      <c r="D210" s="280" t="n"/>
      <c r="E210" s="280" t="n"/>
      <c r="F210" s="280" t="n"/>
      <c r="G210" s="280" t="n"/>
      <c r="H210" s="280" t="n"/>
      <c r="I210" s="332">
        <f>IFERROR(VLOOKUP(TEXT(H210,"0"),IPRESS!$A$3:$B$212,2,0),"")</f>
        <v/>
      </c>
      <c r="J210" s="280" t="n"/>
      <c r="K210" s="332">
        <f>IFERROR(VLOOKUP(TEXT(O210,"0"),CONDUCTORES!$A$3:$G$54,7,0),"")</f>
        <v/>
      </c>
      <c r="L210" s="280" t="n"/>
      <c r="M210" s="280" t="n"/>
      <c r="N210" s="333">
        <f>IFERROR(IF(L210*M210=0,"",L210*M210),"")</f>
        <v/>
      </c>
      <c r="O210" s="280" t="n"/>
      <c r="P210" s="332">
        <f>IFERROR(VLOOKUP(TEXT(O210,"0"),CONDUCTORES!$A$3:$G$54,2,0),"")</f>
        <v/>
      </c>
      <c r="Q210" s="332">
        <f>IFERROR(VLOOKUP(TEXT(O210,"0"),CONDUCTORES!$A$3:$H$54,6,0),"")</f>
        <v/>
      </c>
      <c r="R210" s="280" t="n"/>
      <c r="S210" s="280" t="n"/>
      <c r="T210" s="280" t="n"/>
      <c r="U210" s="280" t="n"/>
      <c r="V210" s="280" t="n"/>
      <c r="W210" s="280" t="n"/>
      <c r="X210" s="280" t="n"/>
      <c r="Y210" s="280" t="n"/>
    </row>
    <row r="211" ht="15" customHeight="1" s="195">
      <c r="A211" s="334" t="n"/>
      <c r="B211" s="334" t="n"/>
      <c r="C211" s="334" t="n"/>
      <c r="D211" s="334" t="n"/>
      <c r="E211" s="334" t="n"/>
      <c r="F211" s="334" t="n"/>
      <c r="G211" s="334" t="n"/>
      <c r="H211" s="334" t="n"/>
      <c r="I211" s="332">
        <f>IFERROR(VLOOKUP(TEXT(H211,"0"),IPRESS!$A$3:$B$212,2,0),"")</f>
        <v/>
      </c>
      <c r="J211" s="334" t="n"/>
      <c r="K211" s="332">
        <f>IFERROR(VLOOKUP(TEXT(O211,"0"),CONDUCTORES!$A$3:$G$54,7,0),"")</f>
        <v/>
      </c>
      <c r="L211" s="334" t="n"/>
      <c r="M211" s="334" t="n"/>
      <c r="N211" s="333">
        <f>IFERROR(IF(L211*M211=0,"",L211*M211),"")</f>
        <v/>
      </c>
      <c r="O211" s="334" t="n"/>
      <c r="P211" s="332">
        <f>IFERROR(VLOOKUP(TEXT(O211,"0"),CONDUCTORES!$A$3:$G$54,2,0),"")</f>
        <v/>
      </c>
      <c r="Q211" s="332">
        <f>IFERROR(VLOOKUP(TEXT(O211,"0"),CONDUCTORES!$A$3:$H$54,6,0),"")</f>
        <v/>
      </c>
      <c r="R211" s="334" t="n"/>
      <c r="S211" s="334" t="n"/>
      <c r="T211" s="334" t="n"/>
      <c r="U211" s="334" t="n"/>
      <c r="V211" s="334" t="n"/>
      <c r="W211" s="334" t="n"/>
      <c r="X211" s="334" t="n"/>
      <c r="Y211" s="334" t="n"/>
    </row>
    <row r="212" ht="15" customHeight="1" s="195">
      <c r="A212" s="280" t="n"/>
      <c r="B212" s="280" t="n"/>
      <c r="C212" s="280" t="n"/>
      <c r="D212" s="280" t="n"/>
      <c r="E212" s="280" t="n"/>
      <c r="F212" s="280" t="n"/>
      <c r="G212" s="280" t="n"/>
      <c r="H212" s="280" t="n"/>
      <c r="I212" s="332">
        <f>IFERROR(VLOOKUP(TEXT(H212,"0"),IPRESS!$A$3:$B$212,2,0),"")</f>
        <v/>
      </c>
      <c r="J212" s="280" t="n"/>
      <c r="K212" s="332">
        <f>IFERROR(VLOOKUP(TEXT(O212,"0"),CONDUCTORES!$A$3:$G$54,7,0),"")</f>
        <v/>
      </c>
      <c r="L212" s="280" t="n"/>
      <c r="M212" s="280" t="n"/>
      <c r="N212" s="333">
        <f>IFERROR(IF(L212*M212=0,"",L212*M212),"")</f>
        <v/>
      </c>
      <c r="O212" s="280" t="n"/>
      <c r="P212" s="332">
        <f>IFERROR(VLOOKUP(TEXT(O212,"0"),CONDUCTORES!$A$3:$G$54,2,0),"")</f>
        <v/>
      </c>
      <c r="Q212" s="332">
        <f>IFERROR(VLOOKUP(TEXT(O212,"0"),CONDUCTORES!$A$3:$H$54,6,0),"")</f>
        <v/>
      </c>
      <c r="R212" s="280" t="n"/>
      <c r="S212" s="280" t="n"/>
      <c r="T212" s="280" t="n"/>
      <c r="U212" s="280" t="n"/>
      <c r="V212" s="280" t="n"/>
      <c r="W212" s="280" t="n"/>
      <c r="X212" s="280" t="n"/>
      <c r="Y212" s="280" t="n"/>
    </row>
    <row r="213" ht="15" customHeight="1" s="195">
      <c r="A213" s="334" t="n"/>
      <c r="B213" s="334" t="n"/>
      <c r="C213" s="334" t="n"/>
      <c r="D213" s="334" t="n"/>
      <c r="E213" s="334" t="n"/>
      <c r="F213" s="334" t="n"/>
      <c r="G213" s="334" t="n"/>
      <c r="H213" s="334" t="n"/>
      <c r="I213" s="332">
        <f>IFERROR(VLOOKUP(TEXT(H213,"0"),IPRESS!$A$3:$B$212,2,0),"")</f>
        <v/>
      </c>
      <c r="J213" s="334" t="n"/>
      <c r="K213" s="332">
        <f>IFERROR(VLOOKUP(TEXT(O213,"0"),CONDUCTORES!$A$3:$G$54,7,0),"")</f>
        <v/>
      </c>
      <c r="L213" s="334" t="n"/>
      <c r="M213" s="334" t="n"/>
      <c r="N213" s="333">
        <f>IFERROR(IF(L213*M213=0,"",L213*M213),"")</f>
        <v/>
      </c>
      <c r="O213" s="334" t="n"/>
      <c r="P213" s="332">
        <f>IFERROR(VLOOKUP(TEXT(O213,"0"),CONDUCTORES!$A$3:$G$54,2,0),"")</f>
        <v/>
      </c>
      <c r="Q213" s="332">
        <f>IFERROR(VLOOKUP(TEXT(O213,"0"),CONDUCTORES!$A$3:$H$54,6,0),"")</f>
        <v/>
      </c>
      <c r="R213" s="334" t="n"/>
      <c r="S213" s="334" t="n"/>
      <c r="T213" s="334" t="n"/>
      <c r="U213" s="334" t="n"/>
      <c r="V213" s="334" t="n"/>
      <c r="W213" s="334" t="n"/>
      <c r="X213" s="334" t="n"/>
      <c r="Y213" s="334" t="n"/>
    </row>
    <row r="214" ht="15" customHeight="1" s="195">
      <c r="A214" s="280" t="n"/>
      <c r="B214" s="280" t="n"/>
      <c r="C214" s="280" t="n"/>
      <c r="D214" s="280" t="n"/>
      <c r="E214" s="280" t="n"/>
      <c r="F214" s="280" t="n"/>
      <c r="G214" s="280" t="n"/>
      <c r="H214" s="280" t="n"/>
      <c r="I214" s="332">
        <f>IFERROR(VLOOKUP(TEXT(H214,"0"),IPRESS!$A$3:$B$212,2,0),"")</f>
        <v/>
      </c>
      <c r="J214" s="280" t="n"/>
      <c r="K214" s="332">
        <f>IFERROR(VLOOKUP(TEXT(O214,"0"),CONDUCTORES!$A$3:$G$54,7,0),"")</f>
        <v/>
      </c>
      <c r="L214" s="280" t="n"/>
      <c r="M214" s="280" t="n"/>
      <c r="N214" s="333">
        <f>IFERROR(IF(L214*M214=0,"",L214*M214),"")</f>
        <v/>
      </c>
      <c r="O214" s="280" t="n"/>
      <c r="P214" s="332">
        <f>IFERROR(VLOOKUP(TEXT(O214,"0"),CONDUCTORES!$A$3:$G$54,2,0),"")</f>
        <v/>
      </c>
      <c r="Q214" s="332">
        <f>IFERROR(VLOOKUP(TEXT(O214,"0"),CONDUCTORES!$A$3:$H$54,6,0),"")</f>
        <v/>
      </c>
      <c r="R214" s="280" t="n"/>
      <c r="S214" s="280" t="n"/>
      <c r="T214" s="280" t="n"/>
      <c r="U214" s="280" t="n"/>
      <c r="V214" s="280" t="n"/>
      <c r="W214" s="280" t="n"/>
      <c r="X214" s="280" t="n"/>
      <c r="Y214" s="280" t="n"/>
    </row>
    <row r="215" ht="15" customHeight="1" s="195">
      <c r="A215" s="334" t="n"/>
      <c r="B215" s="334" t="n"/>
      <c r="C215" s="334" t="n"/>
      <c r="D215" s="334" t="n"/>
      <c r="E215" s="334" t="n"/>
      <c r="F215" s="334" t="n"/>
      <c r="G215" s="334" t="n"/>
      <c r="H215" s="334" t="n"/>
      <c r="I215" s="332">
        <f>IFERROR(VLOOKUP(TEXT(H215,"0"),IPRESS!$A$3:$B$212,2,0),"")</f>
        <v/>
      </c>
      <c r="J215" s="334" t="n"/>
      <c r="K215" s="332">
        <f>IFERROR(VLOOKUP(TEXT(O215,"0"),CONDUCTORES!$A$3:$G$54,7,0),"")</f>
        <v/>
      </c>
      <c r="L215" s="334" t="n"/>
      <c r="M215" s="334" t="n"/>
      <c r="N215" s="333">
        <f>IFERROR(IF(L215*M215=0,"",L215*M215),"")</f>
        <v/>
      </c>
      <c r="O215" s="334" t="n"/>
      <c r="P215" s="332">
        <f>IFERROR(VLOOKUP(TEXT(O215,"0"),CONDUCTORES!$A$3:$G$54,2,0),"")</f>
        <v/>
      </c>
      <c r="Q215" s="332">
        <f>IFERROR(VLOOKUP(TEXT(O215,"0"),CONDUCTORES!$A$3:$H$54,6,0),"")</f>
        <v/>
      </c>
      <c r="R215" s="334" t="n"/>
      <c r="S215" s="334" t="n"/>
      <c r="T215" s="334" t="n"/>
      <c r="U215" s="334" t="n"/>
      <c r="V215" s="334" t="n"/>
      <c r="W215" s="334" t="n"/>
      <c r="X215" s="334" t="n"/>
      <c r="Y215" s="334" t="n"/>
    </row>
    <row r="216" ht="15" customHeight="1" s="195">
      <c r="A216" s="280" t="n"/>
      <c r="B216" s="280" t="n"/>
      <c r="C216" s="280" t="n"/>
      <c r="D216" s="280" t="n"/>
      <c r="E216" s="280" t="n"/>
      <c r="F216" s="280" t="n"/>
      <c r="G216" s="280" t="n"/>
      <c r="H216" s="280" t="n"/>
      <c r="I216" s="332">
        <f>IFERROR(VLOOKUP(TEXT(H216,"0"),IPRESS!$A$3:$B$212,2,0),"")</f>
        <v/>
      </c>
      <c r="J216" s="280" t="n"/>
      <c r="K216" s="332">
        <f>IFERROR(VLOOKUP(TEXT(O216,"0"),CONDUCTORES!$A$3:$G$54,7,0),"")</f>
        <v/>
      </c>
      <c r="L216" s="280" t="n"/>
      <c r="M216" s="280" t="n"/>
      <c r="N216" s="333">
        <f>IFERROR(IF(L216*M216=0,"",L216*M216),"")</f>
        <v/>
      </c>
      <c r="O216" s="280" t="n"/>
      <c r="P216" s="332">
        <f>IFERROR(VLOOKUP(TEXT(O216,"0"),CONDUCTORES!$A$3:$G$54,2,0),"")</f>
        <v/>
      </c>
      <c r="Q216" s="332">
        <f>IFERROR(VLOOKUP(TEXT(O216,"0"),CONDUCTORES!$A$3:$H$54,6,0),"")</f>
        <v/>
      </c>
      <c r="R216" s="280" t="n"/>
      <c r="S216" s="280" t="n"/>
      <c r="T216" s="280" t="n"/>
      <c r="U216" s="280" t="n"/>
      <c r="V216" s="280" t="n"/>
      <c r="W216" s="280" t="n"/>
      <c r="X216" s="280" t="n"/>
      <c r="Y216" s="280" t="n"/>
    </row>
    <row r="217" ht="15" customHeight="1" s="195">
      <c r="A217" s="334" t="n"/>
      <c r="B217" s="334" t="n"/>
      <c r="C217" s="334" t="n"/>
      <c r="D217" s="334" t="n"/>
      <c r="E217" s="334" t="n"/>
      <c r="F217" s="334" t="n"/>
      <c r="G217" s="334" t="n"/>
      <c r="H217" s="334" t="n"/>
      <c r="I217" s="332">
        <f>IFERROR(VLOOKUP(TEXT(H217,"0"),IPRESS!$A$3:$B$212,2,0),"")</f>
        <v/>
      </c>
      <c r="J217" s="334" t="n"/>
      <c r="K217" s="332">
        <f>IFERROR(VLOOKUP(TEXT(O217,"0"),CONDUCTORES!$A$3:$G$54,7,0),"")</f>
        <v/>
      </c>
      <c r="L217" s="334" t="n"/>
      <c r="M217" s="334" t="n"/>
      <c r="N217" s="333">
        <f>IFERROR(IF(L217*M217=0,"",L217*M217),"")</f>
        <v/>
      </c>
      <c r="O217" s="334" t="n"/>
      <c r="P217" s="332">
        <f>IFERROR(VLOOKUP(TEXT(O217,"0"),CONDUCTORES!$A$3:$G$54,2,0),"")</f>
        <v/>
      </c>
      <c r="Q217" s="332">
        <f>IFERROR(VLOOKUP(TEXT(O217,"0"),CONDUCTORES!$A$3:$H$54,6,0),"")</f>
        <v/>
      </c>
      <c r="R217" s="334" t="n"/>
      <c r="S217" s="334" t="n"/>
      <c r="T217" s="334" t="n"/>
      <c r="U217" s="334" t="n"/>
      <c r="V217" s="334" t="n"/>
      <c r="W217" s="334" t="n"/>
      <c r="X217" s="334" t="n"/>
      <c r="Y217" s="334" t="n"/>
    </row>
    <row r="218" ht="15" customHeight="1" s="195">
      <c r="A218" s="280" t="n"/>
      <c r="B218" s="280" t="n"/>
      <c r="C218" s="280" t="n"/>
      <c r="D218" s="280" t="n"/>
      <c r="E218" s="280" t="n"/>
      <c r="F218" s="280" t="n"/>
      <c r="G218" s="280" t="n"/>
      <c r="H218" s="280" t="n"/>
      <c r="I218" s="332">
        <f>IFERROR(VLOOKUP(TEXT(H218,"0"),IPRESS!$A$3:$B$212,2,0),"")</f>
        <v/>
      </c>
      <c r="J218" s="280" t="n"/>
      <c r="K218" s="332">
        <f>IFERROR(VLOOKUP(TEXT(O218,"0"),CONDUCTORES!$A$3:$G$54,7,0),"")</f>
        <v/>
      </c>
      <c r="L218" s="280" t="n"/>
      <c r="M218" s="280" t="n"/>
      <c r="N218" s="333">
        <f>IFERROR(IF(L218*M218=0,"",L218*M218),"")</f>
        <v/>
      </c>
      <c r="O218" s="280" t="n"/>
      <c r="P218" s="332">
        <f>IFERROR(VLOOKUP(TEXT(O218,"0"),CONDUCTORES!$A$3:$G$54,2,0),"")</f>
        <v/>
      </c>
      <c r="Q218" s="332">
        <f>IFERROR(VLOOKUP(TEXT(O218,"0"),CONDUCTORES!$A$3:$H$54,6,0),"")</f>
        <v/>
      </c>
      <c r="R218" s="280" t="n"/>
      <c r="S218" s="280" t="n"/>
      <c r="T218" s="280" t="n"/>
      <c r="U218" s="280" t="n"/>
      <c r="V218" s="280" t="n"/>
      <c r="W218" s="280" t="n"/>
      <c r="X218" s="280" t="n"/>
      <c r="Y218" s="280" t="n"/>
    </row>
    <row r="219" ht="15" customHeight="1" s="195">
      <c r="A219" s="334" t="n"/>
      <c r="B219" s="334" t="n"/>
      <c r="C219" s="334" t="n"/>
      <c r="D219" s="334" t="n"/>
      <c r="E219" s="334" t="n"/>
      <c r="F219" s="334" t="n"/>
      <c r="G219" s="334" t="n"/>
      <c r="H219" s="334" t="n"/>
      <c r="I219" s="332">
        <f>IFERROR(VLOOKUP(TEXT(H219,"0"),IPRESS!$A$3:$B$212,2,0),"")</f>
        <v/>
      </c>
      <c r="J219" s="334" t="n"/>
      <c r="K219" s="332">
        <f>IFERROR(VLOOKUP(TEXT(O219,"0"),CONDUCTORES!$A$3:$G$54,7,0),"")</f>
        <v/>
      </c>
      <c r="L219" s="334" t="n"/>
      <c r="M219" s="334" t="n"/>
      <c r="N219" s="333">
        <f>IFERROR(IF(L219*M219=0,"",L219*M219),"")</f>
        <v/>
      </c>
      <c r="O219" s="334" t="n"/>
      <c r="P219" s="332">
        <f>IFERROR(VLOOKUP(TEXT(O219,"0"),CONDUCTORES!$A$3:$G$54,2,0),"")</f>
        <v/>
      </c>
      <c r="Q219" s="332">
        <f>IFERROR(VLOOKUP(TEXT(O219,"0"),CONDUCTORES!$A$3:$H$54,6,0),"")</f>
        <v/>
      </c>
      <c r="R219" s="334" t="n"/>
      <c r="S219" s="334" t="n"/>
      <c r="T219" s="334" t="n"/>
      <c r="U219" s="334" t="n"/>
      <c r="V219" s="334" t="n"/>
      <c r="W219" s="334" t="n"/>
      <c r="X219" s="334" t="n"/>
      <c r="Y219" s="334" t="n"/>
    </row>
    <row r="220" ht="15" customHeight="1" s="195">
      <c r="A220" s="280" t="n"/>
      <c r="B220" s="280" t="n"/>
      <c r="C220" s="280" t="n"/>
      <c r="D220" s="280" t="n"/>
      <c r="E220" s="280" t="n"/>
      <c r="F220" s="280" t="n"/>
      <c r="G220" s="280" t="n"/>
      <c r="H220" s="280" t="n"/>
      <c r="I220" s="332">
        <f>IFERROR(VLOOKUP(TEXT(H220,"0"),IPRESS!$A$3:$B$212,2,0),"")</f>
        <v/>
      </c>
      <c r="J220" s="280" t="n"/>
      <c r="K220" s="332">
        <f>IFERROR(VLOOKUP(TEXT(O220,"0"),CONDUCTORES!$A$3:$G$54,7,0),"")</f>
        <v/>
      </c>
      <c r="L220" s="280" t="n"/>
      <c r="M220" s="280" t="n"/>
      <c r="N220" s="333">
        <f>IFERROR(IF(L220*M220=0,"",L220*M220),"")</f>
        <v/>
      </c>
      <c r="O220" s="280" t="n"/>
      <c r="P220" s="332">
        <f>IFERROR(VLOOKUP(TEXT(O220,"0"),CONDUCTORES!$A$3:$G$54,2,0),"")</f>
        <v/>
      </c>
      <c r="Q220" s="332">
        <f>IFERROR(VLOOKUP(TEXT(O220,"0"),CONDUCTORES!$A$3:$H$54,6,0),"")</f>
        <v/>
      </c>
      <c r="R220" s="280" t="n"/>
      <c r="S220" s="280" t="n"/>
      <c r="T220" s="280" t="n"/>
      <c r="U220" s="280" t="n"/>
      <c r="V220" s="280" t="n"/>
      <c r="W220" s="280" t="n"/>
      <c r="X220" s="280" t="n"/>
      <c r="Y220" s="280" t="n"/>
    </row>
    <row r="221" ht="15" customHeight="1" s="195">
      <c r="A221" s="334" t="n"/>
      <c r="B221" s="334" t="n"/>
      <c r="C221" s="334" t="n"/>
      <c r="D221" s="334" t="n"/>
      <c r="E221" s="334" t="n"/>
      <c r="F221" s="334" t="n"/>
      <c r="G221" s="334" t="n"/>
      <c r="H221" s="334" t="n"/>
      <c r="I221" s="332">
        <f>IFERROR(VLOOKUP(TEXT(H221,"0"),IPRESS!$A$3:$B$212,2,0),"")</f>
        <v/>
      </c>
      <c r="J221" s="334" t="n"/>
      <c r="K221" s="332">
        <f>IFERROR(VLOOKUP(TEXT(O221,"0"),CONDUCTORES!$A$3:$G$54,7,0),"")</f>
        <v/>
      </c>
      <c r="L221" s="334" t="n"/>
      <c r="M221" s="334" t="n"/>
      <c r="N221" s="333">
        <f>IFERROR(IF(L221*M221=0,"",L221*M221),"")</f>
        <v/>
      </c>
      <c r="O221" s="334" t="n"/>
      <c r="P221" s="332">
        <f>IFERROR(VLOOKUP(TEXT(O221,"0"),CONDUCTORES!$A$3:$G$54,2,0),"")</f>
        <v/>
      </c>
      <c r="Q221" s="332">
        <f>IFERROR(VLOOKUP(TEXT(O221,"0"),CONDUCTORES!$A$3:$H$54,6,0),"")</f>
        <v/>
      </c>
      <c r="R221" s="334" t="n"/>
      <c r="S221" s="334" t="n"/>
      <c r="T221" s="334" t="n"/>
      <c r="U221" s="334" t="n"/>
      <c r="V221" s="334" t="n"/>
      <c r="W221" s="334" t="n"/>
      <c r="X221" s="334" t="n"/>
      <c r="Y221" s="334" t="n"/>
    </row>
    <row r="222" ht="15" customHeight="1" s="195">
      <c r="A222" s="280" t="n"/>
      <c r="B222" s="280" t="n"/>
      <c r="C222" s="280" t="n"/>
      <c r="D222" s="280" t="n"/>
      <c r="E222" s="280" t="n"/>
      <c r="F222" s="280" t="n"/>
      <c r="G222" s="280" t="n"/>
      <c r="H222" s="280" t="n"/>
      <c r="I222" s="332">
        <f>IFERROR(VLOOKUP(TEXT(H222,"0"),IPRESS!$A$3:$B$212,2,0),"")</f>
        <v/>
      </c>
      <c r="J222" s="280" t="n"/>
      <c r="K222" s="332">
        <f>IFERROR(VLOOKUP(TEXT(O222,"0"),CONDUCTORES!$A$3:$G$54,7,0),"")</f>
        <v/>
      </c>
      <c r="L222" s="280" t="n"/>
      <c r="M222" s="280" t="n"/>
      <c r="N222" s="333">
        <f>IFERROR(IF(L222*M222=0,"",L222*M222),"")</f>
        <v/>
      </c>
      <c r="O222" s="280" t="n"/>
      <c r="P222" s="332">
        <f>IFERROR(VLOOKUP(TEXT(O222,"0"),CONDUCTORES!$A$3:$G$54,2,0),"")</f>
        <v/>
      </c>
      <c r="Q222" s="332">
        <f>IFERROR(VLOOKUP(TEXT(O222,"0"),CONDUCTORES!$A$3:$H$54,6,0),"")</f>
        <v/>
      </c>
      <c r="R222" s="280" t="n"/>
      <c r="S222" s="280" t="n"/>
      <c r="T222" s="280" t="n"/>
      <c r="U222" s="280" t="n"/>
      <c r="V222" s="280" t="n"/>
      <c r="W222" s="280" t="n"/>
      <c r="X222" s="280" t="n"/>
      <c r="Y222" s="280" t="n"/>
    </row>
    <row r="223" ht="15" customHeight="1" s="195">
      <c r="A223" s="334" t="n"/>
      <c r="B223" s="334" t="n"/>
      <c r="C223" s="334" t="n"/>
      <c r="D223" s="334" t="n"/>
      <c r="E223" s="334" t="n"/>
      <c r="F223" s="334" t="n"/>
      <c r="G223" s="334" t="n"/>
      <c r="H223" s="334" t="n"/>
      <c r="I223" s="332">
        <f>IFERROR(VLOOKUP(TEXT(H223,"0"),IPRESS!$A$3:$B$212,2,0),"")</f>
        <v/>
      </c>
      <c r="J223" s="334" t="n"/>
      <c r="K223" s="332">
        <f>IFERROR(VLOOKUP(TEXT(O223,"0"),CONDUCTORES!$A$3:$G$54,7,0),"")</f>
        <v/>
      </c>
      <c r="L223" s="334" t="n"/>
      <c r="M223" s="334" t="n"/>
      <c r="N223" s="333">
        <f>IFERROR(IF(L223*M223=0,"",L223*M223),"")</f>
        <v/>
      </c>
      <c r="O223" s="334" t="n"/>
      <c r="P223" s="332">
        <f>IFERROR(VLOOKUP(TEXT(O223,"0"),CONDUCTORES!$A$3:$G$54,2,0),"")</f>
        <v/>
      </c>
      <c r="Q223" s="332">
        <f>IFERROR(VLOOKUP(TEXT(O223,"0"),CONDUCTORES!$A$3:$H$54,6,0),"")</f>
        <v/>
      </c>
      <c r="R223" s="334" t="n"/>
      <c r="S223" s="334" t="n"/>
      <c r="T223" s="334" t="n"/>
      <c r="U223" s="334" t="n"/>
      <c r="V223" s="334" t="n"/>
      <c r="W223" s="334" t="n"/>
      <c r="X223" s="334" t="n"/>
      <c r="Y223" s="334" t="n"/>
    </row>
    <row r="224" ht="15" customHeight="1" s="195">
      <c r="A224" s="280" t="n"/>
      <c r="B224" s="280" t="n"/>
      <c r="C224" s="280" t="n"/>
      <c r="D224" s="280" t="n"/>
      <c r="E224" s="280" t="n"/>
      <c r="F224" s="280" t="n"/>
      <c r="G224" s="280" t="n"/>
      <c r="H224" s="280" t="n"/>
      <c r="I224" s="332">
        <f>IFERROR(VLOOKUP(TEXT(H224,"0"),IPRESS!$A$3:$B$212,2,0),"")</f>
        <v/>
      </c>
      <c r="J224" s="280" t="n"/>
      <c r="K224" s="332">
        <f>IFERROR(VLOOKUP(TEXT(O224,"0"),CONDUCTORES!$A$3:$G$54,7,0),"")</f>
        <v/>
      </c>
      <c r="L224" s="280" t="n"/>
      <c r="M224" s="280" t="n"/>
      <c r="N224" s="333">
        <f>IFERROR(IF(L224*M224=0,"",L224*M224),"")</f>
        <v/>
      </c>
      <c r="O224" s="280" t="n"/>
      <c r="P224" s="332">
        <f>IFERROR(VLOOKUP(TEXT(O224,"0"),CONDUCTORES!$A$3:$G$54,2,0),"")</f>
        <v/>
      </c>
      <c r="Q224" s="332">
        <f>IFERROR(VLOOKUP(TEXT(O224,"0"),CONDUCTORES!$A$3:$H$54,6,0),"")</f>
        <v/>
      </c>
      <c r="R224" s="280" t="n"/>
      <c r="S224" s="280" t="n"/>
      <c r="T224" s="280" t="n"/>
      <c r="U224" s="280" t="n"/>
      <c r="V224" s="280" t="n"/>
      <c r="W224" s="280" t="n"/>
      <c r="X224" s="280" t="n"/>
      <c r="Y224" s="280" t="n"/>
    </row>
    <row r="225" ht="15" customHeight="1" s="195">
      <c r="A225" s="334" t="n"/>
      <c r="B225" s="334" t="n"/>
      <c r="C225" s="334" t="n"/>
      <c r="D225" s="334" t="n"/>
      <c r="E225" s="334" t="n"/>
      <c r="F225" s="334" t="n"/>
      <c r="G225" s="334" t="n"/>
      <c r="H225" s="334" t="n"/>
      <c r="I225" s="332">
        <f>IFERROR(VLOOKUP(TEXT(H225,"0"),IPRESS!$A$3:$B$212,2,0),"")</f>
        <v/>
      </c>
      <c r="J225" s="334" t="n"/>
      <c r="K225" s="332">
        <f>IFERROR(VLOOKUP(TEXT(O225,"0"),CONDUCTORES!$A$3:$G$54,7,0),"")</f>
        <v/>
      </c>
      <c r="L225" s="334" t="n"/>
      <c r="M225" s="334" t="n"/>
      <c r="N225" s="333">
        <f>IFERROR(IF(L225*M225=0,"",L225*M225),"")</f>
        <v/>
      </c>
      <c r="O225" s="334" t="n"/>
      <c r="P225" s="332">
        <f>IFERROR(VLOOKUP(TEXT(O225,"0"),CONDUCTORES!$A$3:$G$54,2,0),"")</f>
        <v/>
      </c>
      <c r="Q225" s="332">
        <f>IFERROR(VLOOKUP(TEXT(O225,"0"),CONDUCTORES!$A$3:$H$54,6,0),"")</f>
        <v/>
      </c>
      <c r="R225" s="334" t="n"/>
      <c r="S225" s="334" t="n"/>
      <c r="T225" s="334" t="n"/>
      <c r="U225" s="334" t="n"/>
      <c r="V225" s="334" t="n"/>
      <c r="W225" s="334" t="n"/>
      <c r="X225" s="334" t="n"/>
      <c r="Y225" s="334" t="n"/>
    </row>
    <row r="226" ht="15" customHeight="1" s="195">
      <c r="A226" s="280" t="n"/>
      <c r="B226" s="280" t="n"/>
      <c r="C226" s="280" t="n"/>
      <c r="D226" s="280" t="n"/>
      <c r="E226" s="280" t="n"/>
      <c r="F226" s="280" t="n"/>
      <c r="G226" s="280" t="n"/>
      <c r="H226" s="280" t="n"/>
      <c r="I226" s="332">
        <f>IFERROR(VLOOKUP(TEXT(H226,"0"),IPRESS!$A$3:$B$212,2,0),"")</f>
        <v/>
      </c>
      <c r="J226" s="280" t="n"/>
      <c r="K226" s="332">
        <f>IFERROR(VLOOKUP(TEXT(O226,"0"),CONDUCTORES!$A$3:$G$54,7,0),"")</f>
        <v/>
      </c>
      <c r="L226" s="280" t="n"/>
      <c r="M226" s="280" t="n"/>
      <c r="N226" s="333">
        <f>IFERROR(IF(L226*M226=0,"",L226*M226),"")</f>
        <v/>
      </c>
      <c r="O226" s="280" t="n"/>
      <c r="P226" s="332">
        <f>IFERROR(VLOOKUP(TEXT(O226,"0"),CONDUCTORES!$A$3:$G$54,2,0),"")</f>
        <v/>
      </c>
      <c r="Q226" s="332">
        <f>IFERROR(VLOOKUP(TEXT(O226,"0"),CONDUCTORES!$A$3:$H$54,6,0),"")</f>
        <v/>
      </c>
      <c r="R226" s="280" t="n"/>
      <c r="S226" s="280" t="n"/>
      <c r="T226" s="280" t="n"/>
      <c r="U226" s="280" t="n"/>
      <c r="V226" s="280" t="n"/>
      <c r="W226" s="280" t="n"/>
      <c r="X226" s="280" t="n"/>
      <c r="Y226" s="280" t="n"/>
    </row>
    <row r="227" ht="15" customHeight="1" s="195">
      <c r="A227" s="334" t="n"/>
      <c r="B227" s="334" t="n"/>
      <c r="C227" s="334" t="n"/>
      <c r="D227" s="334" t="n"/>
      <c r="E227" s="334" t="n"/>
      <c r="F227" s="334" t="n"/>
      <c r="G227" s="334" t="n"/>
      <c r="H227" s="334" t="n"/>
      <c r="I227" s="332">
        <f>IFERROR(VLOOKUP(TEXT(H227,"0"),IPRESS!$A$3:$B$212,2,0),"")</f>
        <v/>
      </c>
      <c r="J227" s="334" t="n"/>
      <c r="K227" s="332">
        <f>IFERROR(VLOOKUP(TEXT(O227,"0"),CONDUCTORES!$A$3:$G$54,7,0),"")</f>
        <v/>
      </c>
      <c r="L227" s="334" t="n"/>
      <c r="M227" s="334" t="n"/>
      <c r="N227" s="333">
        <f>IFERROR(IF(L227*M227=0,"",L227*M227),"")</f>
        <v/>
      </c>
      <c r="O227" s="334" t="n"/>
      <c r="P227" s="332">
        <f>IFERROR(VLOOKUP(TEXT(O227,"0"),CONDUCTORES!$A$3:$G$54,2,0),"")</f>
        <v/>
      </c>
      <c r="Q227" s="332">
        <f>IFERROR(VLOOKUP(TEXT(O227,"0"),CONDUCTORES!$A$3:$H$54,6,0),"")</f>
        <v/>
      </c>
      <c r="R227" s="334" t="n"/>
      <c r="S227" s="334" t="n"/>
      <c r="T227" s="334" t="n"/>
      <c r="U227" s="334" t="n"/>
      <c r="V227" s="334" t="n"/>
      <c r="W227" s="334" t="n"/>
      <c r="X227" s="334" t="n"/>
      <c r="Y227" s="334" t="n"/>
    </row>
    <row r="228" ht="15" customHeight="1" s="195">
      <c r="A228" s="280" t="n"/>
      <c r="B228" s="280" t="n"/>
      <c r="C228" s="280" t="n"/>
      <c r="D228" s="280" t="n"/>
      <c r="E228" s="280" t="n"/>
      <c r="F228" s="280" t="n"/>
      <c r="G228" s="280" t="n"/>
      <c r="H228" s="280" t="n"/>
      <c r="I228" s="332">
        <f>IFERROR(VLOOKUP(TEXT(H228,"0"),IPRESS!$A$3:$B$212,2,0),"")</f>
        <v/>
      </c>
      <c r="J228" s="280" t="n"/>
      <c r="K228" s="332">
        <f>IFERROR(VLOOKUP(TEXT(O228,"0"),CONDUCTORES!$A$3:$G$54,7,0),"")</f>
        <v/>
      </c>
      <c r="L228" s="280" t="n"/>
      <c r="M228" s="280" t="n"/>
      <c r="N228" s="333">
        <f>IFERROR(IF(L228*M228=0,"",L228*M228),"")</f>
        <v/>
      </c>
      <c r="O228" s="280" t="n"/>
      <c r="P228" s="332">
        <f>IFERROR(VLOOKUP(TEXT(O228,"0"),CONDUCTORES!$A$3:$G$54,2,0),"")</f>
        <v/>
      </c>
      <c r="Q228" s="332">
        <f>IFERROR(VLOOKUP(TEXT(O228,"0"),CONDUCTORES!$A$3:$H$54,6,0),"")</f>
        <v/>
      </c>
      <c r="R228" s="280" t="n"/>
      <c r="S228" s="280" t="n"/>
      <c r="T228" s="280" t="n"/>
      <c r="U228" s="280" t="n"/>
      <c r="V228" s="280" t="n"/>
      <c r="W228" s="280" t="n"/>
      <c r="X228" s="280" t="n"/>
      <c r="Y228" s="280" t="n"/>
    </row>
    <row r="229" ht="15" customHeight="1" s="195">
      <c r="A229" s="334" t="n"/>
      <c r="B229" s="334" t="n"/>
      <c r="C229" s="334" t="n"/>
      <c r="D229" s="334" t="n"/>
      <c r="E229" s="334" t="n"/>
      <c r="F229" s="334" t="n"/>
      <c r="G229" s="334" t="n"/>
      <c r="H229" s="334" t="n"/>
      <c r="I229" s="332">
        <f>IFERROR(VLOOKUP(TEXT(H229,"0"),IPRESS!$A$3:$B$212,2,0),"")</f>
        <v/>
      </c>
      <c r="J229" s="334" t="n"/>
      <c r="K229" s="332">
        <f>IFERROR(VLOOKUP(TEXT(O229,"0"),CONDUCTORES!$A$3:$G$54,7,0),"")</f>
        <v/>
      </c>
      <c r="L229" s="334" t="n"/>
      <c r="M229" s="334" t="n"/>
      <c r="N229" s="333">
        <f>IFERROR(IF(L229*M229=0,"",L229*M229),"")</f>
        <v/>
      </c>
      <c r="O229" s="334" t="n"/>
      <c r="P229" s="332">
        <f>IFERROR(VLOOKUP(TEXT(O229,"0"),CONDUCTORES!$A$3:$G$54,2,0),"")</f>
        <v/>
      </c>
      <c r="Q229" s="332">
        <f>IFERROR(VLOOKUP(TEXT(O229,"0"),CONDUCTORES!$A$3:$H$54,6,0),"")</f>
        <v/>
      </c>
      <c r="R229" s="334" t="n"/>
      <c r="S229" s="334" t="n"/>
      <c r="T229" s="334" t="n"/>
      <c r="U229" s="334" t="n"/>
      <c r="V229" s="334" t="n"/>
      <c r="W229" s="334" t="n"/>
      <c r="X229" s="334" t="n"/>
      <c r="Y229" s="334" t="n"/>
    </row>
    <row r="230" ht="15" customHeight="1" s="195">
      <c r="A230" s="280" t="n"/>
      <c r="B230" s="280" t="n"/>
      <c r="C230" s="280" t="n"/>
      <c r="D230" s="280" t="n"/>
      <c r="E230" s="280" t="n"/>
      <c r="F230" s="280" t="n"/>
      <c r="G230" s="280" t="n"/>
      <c r="H230" s="280" t="n"/>
      <c r="I230" s="332">
        <f>IFERROR(VLOOKUP(TEXT(H230,"0"),IPRESS!$A$3:$B$212,2,0),"")</f>
        <v/>
      </c>
      <c r="J230" s="280" t="n"/>
      <c r="K230" s="332">
        <f>IFERROR(VLOOKUP(TEXT(O230,"0"),CONDUCTORES!$A$3:$G$54,7,0),"")</f>
        <v/>
      </c>
      <c r="L230" s="280" t="n"/>
      <c r="M230" s="280" t="n"/>
      <c r="N230" s="333">
        <f>IFERROR(IF(L230*M230=0,"",L230*M230),"")</f>
        <v/>
      </c>
      <c r="O230" s="280" t="n"/>
      <c r="P230" s="332">
        <f>IFERROR(VLOOKUP(TEXT(O230,"0"),CONDUCTORES!$A$3:$G$54,2,0),"")</f>
        <v/>
      </c>
      <c r="Q230" s="332">
        <f>IFERROR(VLOOKUP(TEXT(O230,"0"),CONDUCTORES!$A$3:$H$54,6,0),"")</f>
        <v/>
      </c>
      <c r="R230" s="280" t="n"/>
      <c r="S230" s="280" t="n"/>
      <c r="T230" s="280" t="n"/>
      <c r="U230" s="280" t="n"/>
      <c r="V230" s="280" t="n"/>
      <c r="W230" s="280" t="n"/>
      <c r="X230" s="280" t="n"/>
      <c r="Y230" s="280" t="n"/>
    </row>
    <row r="231" ht="15" customHeight="1" s="195">
      <c r="A231" s="334" t="n"/>
      <c r="B231" s="334" t="n"/>
      <c r="C231" s="334" t="n"/>
      <c r="D231" s="334" t="n"/>
      <c r="E231" s="334" t="n"/>
      <c r="F231" s="334" t="n"/>
      <c r="G231" s="334" t="n"/>
      <c r="H231" s="334" t="n"/>
      <c r="I231" s="332">
        <f>IFERROR(VLOOKUP(TEXT(H231,"0"),IPRESS!$A$3:$B$212,2,0),"")</f>
        <v/>
      </c>
      <c r="J231" s="334" t="n"/>
      <c r="K231" s="332">
        <f>IFERROR(VLOOKUP(TEXT(O231,"0"),CONDUCTORES!$A$3:$G$54,7,0),"")</f>
        <v/>
      </c>
      <c r="L231" s="334" t="n"/>
      <c r="M231" s="334" t="n"/>
      <c r="N231" s="333">
        <f>IFERROR(IF(L231*M231=0,"",L231*M231),"")</f>
        <v/>
      </c>
      <c r="O231" s="334" t="n"/>
      <c r="P231" s="332">
        <f>IFERROR(VLOOKUP(TEXT(O231,"0"),CONDUCTORES!$A$3:$G$54,2,0),"")</f>
        <v/>
      </c>
      <c r="Q231" s="332">
        <f>IFERROR(VLOOKUP(TEXT(O231,"0"),CONDUCTORES!$A$3:$H$54,6,0),"")</f>
        <v/>
      </c>
      <c r="R231" s="334" t="n"/>
      <c r="S231" s="334" t="n"/>
      <c r="T231" s="334" t="n"/>
      <c r="U231" s="334" t="n"/>
      <c r="V231" s="334" t="n"/>
      <c r="W231" s="334" t="n"/>
      <c r="X231" s="334" t="n"/>
      <c r="Y231" s="334" t="n"/>
    </row>
    <row r="232" ht="15" customHeight="1" s="195">
      <c r="A232" s="280" t="n"/>
      <c r="B232" s="280" t="n"/>
      <c r="C232" s="280" t="n"/>
      <c r="D232" s="280" t="n"/>
      <c r="E232" s="280" t="n"/>
      <c r="F232" s="280" t="n"/>
      <c r="G232" s="280" t="n"/>
      <c r="H232" s="280" t="n"/>
      <c r="I232" s="332">
        <f>IFERROR(VLOOKUP(TEXT(H232,"0"),IPRESS!$A$3:$B$212,2,0),"")</f>
        <v/>
      </c>
      <c r="J232" s="280" t="n"/>
      <c r="K232" s="332">
        <f>IFERROR(VLOOKUP(TEXT(O232,"0"),CONDUCTORES!$A$3:$G$54,7,0),"")</f>
        <v/>
      </c>
      <c r="L232" s="280" t="n"/>
      <c r="M232" s="280" t="n"/>
      <c r="N232" s="333">
        <f>IFERROR(IF(L232*M232=0,"",L232*M232),"")</f>
        <v/>
      </c>
      <c r="O232" s="280" t="n"/>
      <c r="P232" s="332">
        <f>IFERROR(VLOOKUP(TEXT(O232,"0"),CONDUCTORES!$A$3:$G$54,2,0),"")</f>
        <v/>
      </c>
      <c r="Q232" s="332">
        <f>IFERROR(VLOOKUP(TEXT(O232,"0"),CONDUCTORES!$A$3:$H$54,6,0),"")</f>
        <v/>
      </c>
      <c r="R232" s="280" t="n"/>
      <c r="S232" s="280" t="n"/>
      <c r="T232" s="280" t="n"/>
      <c r="U232" s="280" t="n"/>
      <c r="V232" s="280" t="n"/>
      <c r="W232" s="280" t="n"/>
      <c r="X232" s="280" t="n"/>
      <c r="Y232" s="280" t="n"/>
    </row>
    <row r="233" ht="15" customHeight="1" s="195">
      <c r="A233" s="334" t="n"/>
      <c r="B233" s="334" t="n"/>
      <c r="C233" s="334" t="n"/>
      <c r="D233" s="334" t="n"/>
      <c r="E233" s="334" t="n"/>
      <c r="F233" s="334" t="n"/>
      <c r="G233" s="334" t="n"/>
      <c r="H233" s="334" t="n"/>
      <c r="I233" s="332">
        <f>IFERROR(VLOOKUP(TEXT(H233,"0"),IPRESS!$A$3:$B$212,2,0),"")</f>
        <v/>
      </c>
      <c r="J233" s="334" t="n"/>
      <c r="K233" s="332">
        <f>IFERROR(VLOOKUP(TEXT(O233,"0"),CONDUCTORES!$A$3:$G$54,7,0),"")</f>
        <v/>
      </c>
      <c r="L233" s="334" t="n"/>
      <c r="M233" s="334" t="n"/>
      <c r="N233" s="333">
        <f>IFERROR(IF(L233*M233=0,"",L233*M233),"")</f>
        <v/>
      </c>
      <c r="O233" s="334" t="n"/>
      <c r="P233" s="332">
        <f>IFERROR(VLOOKUP(TEXT(O233,"0"),CONDUCTORES!$A$3:$G$54,2,0),"")</f>
        <v/>
      </c>
      <c r="Q233" s="332">
        <f>IFERROR(VLOOKUP(TEXT(O233,"0"),CONDUCTORES!$A$3:$H$54,6,0),"")</f>
        <v/>
      </c>
      <c r="R233" s="334" t="n"/>
      <c r="S233" s="334" t="n"/>
      <c r="T233" s="334" t="n"/>
      <c r="U233" s="334" t="n"/>
      <c r="V233" s="334" t="n"/>
      <c r="W233" s="334" t="n"/>
      <c r="X233" s="334" t="n"/>
      <c r="Y233" s="334" t="n"/>
    </row>
    <row r="234" ht="15" customHeight="1" s="195">
      <c r="A234" s="280" t="n"/>
      <c r="B234" s="280" t="n"/>
      <c r="C234" s="280" t="n"/>
      <c r="D234" s="280" t="n"/>
      <c r="E234" s="280" t="n"/>
      <c r="F234" s="280" t="n"/>
      <c r="G234" s="280" t="n"/>
      <c r="H234" s="280" t="n"/>
      <c r="I234" s="332">
        <f>IFERROR(VLOOKUP(TEXT(H234,"0"),IPRESS!$A$3:$B$212,2,0),"")</f>
        <v/>
      </c>
      <c r="J234" s="280" t="n"/>
      <c r="K234" s="332">
        <f>IFERROR(VLOOKUP(TEXT(O234,"0"),CONDUCTORES!$A$3:$G$54,7,0),"")</f>
        <v/>
      </c>
      <c r="L234" s="280" t="n"/>
      <c r="M234" s="280" t="n"/>
      <c r="N234" s="333">
        <f>IFERROR(IF(L234*M234=0,"",L234*M234),"")</f>
        <v/>
      </c>
      <c r="O234" s="280" t="n"/>
      <c r="P234" s="332">
        <f>IFERROR(VLOOKUP(TEXT(O234,"0"),CONDUCTORES!$A$3:$G$54,2,0),"")</f>
        <v/>
      </c>
      <c r="Q234" s="332">
        <f>IFERROR(VLOOKUP(TEXT(O234,"0"),CONDUCTORES!$A$3:$H$54,6,0),"")</f>
        <v/>
      </c>
      <c r="R234" s="280" t="n"/>
      <c r="S234" s="280" t="n"/>
      <c r="T234" s="280" t="n"/>
      <c r="U234" s="280" t="n"/>
      <c r="V234" s="280" t="n"/>
      <c r="W234" s="280" t="n"/>
      <c r="X234" s="280" t="n"/>
      <c r="Y234" s="280" t="n"/>
    </row>
    <row r="235" ht="15" customHeight="1" s="195">
      <c r="A235" s="334" t="n"/>
      <c r="B235" s="334" t="n"/>
      <c r="C235" s="334" t="n"/>
      <c r="D235" s="334" t="n"/>
      <c r="E235" s="334" t="n"/>
      <c r="F235" s="334" t="n"/>
      <c r="G235" s="334" t="n"/>
      <c r="H235" s="334" t="n"/>
      <c r="I235" s="332">
        <f>IFERROR(VLOOKUP(TEXT(H235,"0"),IPRESS!$A$3:$B$212,2,0),"")</f>
        <v/>
      </c>
      <c r="J235" s="334" t="n"/>
      <c r="K235" s="332">
        <f>IFERROR(VLOOKUP(TEXT(O235,"0"),CONDUCTORES!$A$3:$G$54,7,0),"")</f>
        <v/>
      </c>
      <c r="L235" s="334" t="n"/>
      <c r="M235" s="334" t="n"/>
      <c r="N235" s="333">
        <f>IFERROR(IF(L235*M235=0,"",L235*M235),"")</f>
        <v/>
      </c>
      <c r="O235" s="334" t="n"/>
      <c r="P235" s="332">
        <f>IFERROR(VLOOKUP(TEXT(O235,"0"),CONDUCTORES!$A$3:$G$54,2,0),"")</f>
        <v/>
      </c>
      <c r="Q235" s="332">
        <f>IFERROR(VLOOKUP(TEXT(O235,"0"),CONDUCTORES!$A$3:$H$54,6,0),"")</f>
        <v/>
      </c>
      <c r="R235" s="334" t="n"/>
      <c r="S235" s="334" t="n"/>
      <c r="T235" s="334" t="n"/>
      <c r="U235" s="334" t="n"/>
      <c r="V235" s="334" t="n"/>
      <c r="W235" s="334" t="n"/>
      <c r="X235" s="334" t="n"/>
      <c r="Y235" s="334" t="n"/>
    </row>
    <row r="236" ht="15" customHeight="1" s="195">
      <c r="A236" s="280" t="n"/>
      <c r="B236" s="280" t="n"/>
      <c r="C236" s="280" t="n"/>
      <c r="D236" s="280" t="n"/>
      <c r="E236" s="280" t="n"/>
      <c r="F236" s="280" t="n"/>
      <c r="G236" s="280" t="n"/>
      <c r="H236" s="280" t="n"/>
      <c r="I236" s="332">
        <f>IFERROR(VLOOKUP(TEXT(H236,"0"),IPRESS!$A$3:$B$212,2,0),"")</f>
        <v/>
      </c>
      <c r="J236" s="280" t="n"/>
      <c r="K236" s="332">
        <f>IFERROR(VLOOKUP(TEXT(O236,"0"),CONDUCTORES!$A$3:$G$54,7,0),"")</f>
        <v/>
      </c>
      <c r="L236" s="280" t="n"/>
      <c r="M236" s="280" t="n"/>
      <c r="N236" s="333">
        <f>IFERROR(IF(L236*M236=0,"",L236*M236),"")</f>
        <v/>
      </c>
      <c r="O236" s="280" t="n"/>
      <c r="P236" s="332">
        <f>IFERROR(VLOOKUP(TEXT(O236,"0"),CONDUCTORES!$A$3:$G$54,2,0),"")</f>
        <v/>
      </c>
      <c r="Q236" s="332">
        <f>IFERROR(VLOOKUP(TEXT(O236,"0"),CONDUCTORES!$A$3:$H$54,6,0),"")</f>
        <v/>
      </c>
      <c r="R236" s="280" t="n"/>
      <c r="S236" s="280" t="n"/>
      <c r="T236" s="280" t="n"/>
      <c r="U236" s="280" t="n"/>
      <c r="V236" s="280" t="n"/>
      <c r="W236" s="280" t="n"/>
      <c r="X236" s="280" t="n"/>
      <c r="Y236" s="280" t="n"/>
    </row>
    <row r="237" ht="15" customHeight="1" s="195">
      <c r="A237" s="334" t="n"/>
      <c r="B237" s="334" t="n"/>
      <c r="C237" s="334" t="n"/>
      <c r="D237" s="334" t="n"/>
      <c r="E237" s="334" t="n"/>
      <c r="F237" s="334" t="n"/>
      <c r="G237" s="334" t="n"/>
      <c r="H237" s="334" t="n"/>
      <c r="I237" s="332">
        <f>IFERROR(VLOOKUP(TEXT(H237,"0"),IPRESS!$A$3:$B$212,2,0),"")</f>
        <v/>
      </c>
      <c r="J237" s="334" t="n"/>
      <c r="K237" s="332">
        <f>IFERROR(VLOOKUP(TEXT(O237,"0"),CONDUCTORES!$A$3:$G$54,7,0),"")</f>
        <v/>
      </c>
      <c r="L237" s="334" t="n"/>
      <c r="M237" s="334" t="n"/>
      <c r="N237" s="333">
        <f>IFERROR(IF(L237*M237=0,"",L237*M237),"")</f>
        <v/>
      </c>
      <c r="O237" s="334" t="n"/>
      <c r="P237" s="332">
        <f>IFERROR(VLOOKUP(TEXT(O237,"0"),CONDUCTORES!$A$3:$G$54,2,0),"")</f>
        <v/>
      </c>
      <c r="Q237" s="332">
        <f>IFERROR(VLOOKUP(TEXT(O237,"0"),CONDUCTORES!$A$3:$H$54,6,0),"")</f>
        <v/>
      </c>
      <c r="R237" s="334" t="n"/>
      <c r="S237" s="334" t="n"/>
      <c r="T237" s="334" t="n"/>
      <c r="U237" s="334" t="n"/>
      <c r="V237" s="334" t="n"/>
      <c r="W237" s="334" t="n"/>
      <c r="X237" s="334" t="n"/>
      <c r="Y237" s="334" t="n"/>
    </row>
    <row r="238" ht="15" customHeight="1" s="195">
      <c r="A238" s="280" t="n"/>
      <c r="B238" s="280" t="n"/>
      <c r="C238" s="280" t="n"/>
      <c r="D238" s="280" t="n"/>
      <c r="E238" s="280" t="n"/>
      <c r="F238" s="280" t="n"/>
      <c r="G238" s="280" t="n"/>
      <c r="H238" s="280" t="n"/>
      <c r="I238" s="332">
        <f>IFERROR(VLOOKUP(TEXT(H238,"0"),IPRESS!$A$3:$B$212,2,0),"")</f>
        <v/>
      </c>
      <c r="J238" s="280" t="n"/>
      <c r="K238" s="332">
        <f>IFERROR(VLOOKUP(TEXT(O238,"0"),CONDUCTORES!$A$3:$G$54,7,0),"")</f>
        <v/>
      </c>
      <c r="L238" s="280" t="n"/>
      <c r="M238" s="280" t="n"/>
      <c r="N238" s="333">
        <f>IFERROR(IF(L238*M238=0,"",L238*M238),"")</f>
        <v/>
      </c>
      <c r="O238" s="280" t="n"/>
      <c r="P238" s="332">
        <f>IFERROR(VLOOKUP(TEXT(O238,"0"),CONDUCTORES!$A$3:$G$54,2,0),"")</f>
        <v/>
      </c>
      <c r="Q238" s="332">
        <f>IFERROR(VLOOKUP(TEXT(O238,"0"),CONDUCTORES!$A$3:$H$54,6,0),"")</f>
        <v/>
      </c>
      <c r="R238" s="280" t="n"/>
      <c r="S238" s="280" t="n"/>
      <c r="T238" s="280" t="n"/>
      <c r="U238" s="280" t="n"/>
      <c r="V238" s="280" t="n"/>
      <c r="W238" s="280" t="n"/>
      <c r="X238" s="280" t="n"/>
      <c r="Y238" s="280" t="n"/>
    </row>
    <row r="239" ht="15" customHeight="1" s="195">
      <c r="A239" s="334" t="n"/>
      <c r="B239" s="334" t="n"/>
      <c r="C239" s="334" t="n"/>
      <c r="D239" s="334" t="n"/>
      <c r="E239" s="334" t="n"/>
      <c r="F239" s="334" t="n"/>
      <c r="G239" s="334" t="n"/>
      <c r="H239" s="334" t="n"/>
      <c r="I239" s="332">
        <f>IFERROR(VLOOKUP(TEXT(H239,"0"),IPRESS!$A$3:$B$212,2,0),"")</f>
        <v/>
      </c>
      <c r="J239" s="334" t="n"/>
      <c r="K239" s="332">
        <f>IFERROR(VLOOKUP(TEXT(O239,"0"),CONDUCTORES!$A$3:$G$54,7,0),"")</f>
        <v/>
      </c>
      <c r="L239" s="334" t="n"/>
      <c r="M239" s="334" t="n"/>
      <c r="N239" s="333">
        <f>IFERROR(IF(L239*M239=0,"",L239*M239),"")</f>
        <v/>
      </c>
      <c r="O239" s="334" t="n"/>
      <c r="P239" s="332">
        <f>IFERROR(VLOOKUP(TEXT(O239,"0"),CONDUCTORES!$A$3:$G$54,2,0),"")</f>
        <v/>
      </c>
      <c r="Q239" s="332">
        <f>IFERROR(VLOOKUP(TEXT(O239,"0"),CONDUCTORES!$A$3:$H$54,6,0),"")</f>
        <v/>
      </c>
      <c r="R239" s="334" t="n"/>
      <c r="S239" s="334" t="n"/>
      <c r="T239" s="334" t="n"/>
      <c r="U239" s="334" t="n"/>
      <c r="V239" s="334" t="n"/>
      <c r="W239" s="334" t="n"/>
      <c r="X239" s="334" t="n"/>
      <c r="Y239" s="334" t="n"/>
    </row>
    <row r="240" ht="15" customHeight="1" s="195">
      <c r="A240" s="280" t="n"/>
      <c r="B240" s="280" t="n"/>
      <c r="C240" s="280" t="n"/>
      <c r="D240" s="280" t="n"/>
      <c r="E240" s="280" t="n"/>
      <c r="F240" s="280" t="n"/>
      <c r="G240" s="280" t="n"/>
      <c r="H240" s="280" t="n"/>
      <c r="I240" s="332">
        <f>IFERROR(VLOOKUP(TEXT(H240,"0"),IPRESS!$A$3:$B$212,2,0),"")</f>
        <v/>
      </c>
      <c r="J240" s="280" t="n"/>
      <c r="K240" s="332">
        <f>IFERROR(VLOOKUP(TEXT(O240,"0"),CONDUCTORES!$A$3:$G$54,7,0),"")</f>
        <v/>
      </c>
      <c r="L240" s="280" t="n"/>
      <c r="M240" s="280" t="n"/>
      <c r="N240" s="333">
        <f>IFERROR(IF(L240*M240=0,"",L240*M240),"")</f>
        <v/>
      </c>
      <c r="O240" s="280" t="n"/>
      <c r="P240" s="332">
        <f>IFERROR(VLOOKUP(TEXT(O240,"0"),CONDUCTORES!$A$3:$G$54,2,0),"")</f>
        <v/>
      </c>
      <c r="Q240" s="332">
        <f>IFERROR(VLOOKUP(TEXT(O240,"0"),CONDUCTORES!$A$3:$H$54,6,0),"")</f>
        <v/>
      </c>
      <c r="R240" s="280" t="n"/>
      <c r="S240" s="280" t="n"/>
      <c r="T240" s="280" t="n"/>
      <c r="U240" s="280" t="n"/>
      <c r="V240" s="280" t="n"/>
      <c r="W240" s="280" t="n"/>
      <c r="X240" s="280" t="n"/>
      <c r="Y240" s="280" t="n"/>
    </row>
    <row r="241" ht="15" customHeight="1" s="195">
      <c r="A241" s="334" t="n"/>
      <c r="B241" s="334" t="n"/>
      <c r="C241" s="334" t="n"/>
      <c r="D241" s="334" t="n"/>
      <c r="E241" s="334" t="n"/>
      <c r="F241" s="334" t="n"/>
      <c r="G241" s="334" t="n"/>
      <c r="H241" s="334" t="n"/>
      <c r="I241" s="332">
        <f>IFERROR(VLOOKUP(TEXT(H241,"0"),IPRESS!$A$3:$B$212,2,0),"")</f>
        <v/>
      </c>
      <c r="J241" s="334" t="n"/>
      <c r="K241" s="332">
        <f>IFERROR(VLOOKUP(TEXT(O241,"0"),CONDUCTORES!$A$3:$G$54,7,0),"")</f>
        <v/>
      </c>
      <c r="L241" s="334" t="n"/>
      <c r="M241" s="334" t="n"/>
      <c r="N241" s="333">
        <f>IFERROR(IF(L241*M241=0,"",L241*M241),"")</f>
        <v/>
      </c>
      <c r="O241" s="334" t="n"/>
      <c r="P241" s="332">
        <f>IFERROR(VLOOKUP(TEXT(O241,"0"),CONDUCTORES!$A$3:$G$54,2,0),"")</f>
        <v/>
      </c>
      <c r="Q241" s="332">
        <f>IFERROR(VLOOKUP(TEXT(O241,"0"),CONDUCTORES!$A$3:$H$54,6,0),"")</f>
        <v/>
      </c>
      <c r="R241" s="334" t="n"/>
      <c r="S241" s="334" t="n"/>
      <c r="T241" s="334" t="n"/>
      <c r="U241" s="334" t="n"/>
      <c r="V241" s="334" t="n"/>
      <c r="W241" s="334" t="n"/>
      <c r="X241" s="334" t="n"/>
      <c r="Y241" s="334" t="n"/>
    </row>
    <row r="242" ht="15" customHeight="1" s="195">
      <c r="A242" s="280" t="n"/>
      <c r="B242" s="280" t="n"/>
      <c r="C242" s="280" t="n"/>
      <c r="D242" s="280" t="n"/>
      <c r="E242" s="280" t="n"/>
      <c r="F242" s="280" t="n"/>
      <c r="G242" s="280" t="n"/>
      <c r="H242" s="280" t="n"/>
      <c r="I242" s="332">
        <f>IFERROR(VLOOKUP(TEXT(H242,"0"),IPRESS!$A$3:$B$212,2,0),"")</f>
        <v/>
      </c>
      <c r="J242" s="280" t="n"/>
      <c r="K242" s="332">
        <f>IFERROR(VLOOKUP(TEXT(O242,"0"),CONDUCTORES!$A$3:$G$54,7,0),"")</f>
        <v/>
      </c>
      <c r="L242" s="280" t="n"/>
      <c r="M242" s="280" t="n"/>
      <c r="N242" s="333">
        <f>IFERROR(IF(L242*M242=0,"",L242*M242),"")</f>
        <v/>
      </c>
      <c r="O242" s="280" t="n"/>
      <c r="P242" s="332">
        <f>IFERROR(VLOOKUP(TEXT(O242,"0"),CONDUCTORES!$A$3:$G$54,2,0),"")</f>
        <v/>
      </c>
      <c r="Q242" s="332">
        <f>IFERROR(VLOOKUP(TEXT(O242,"0"),CONDUCTORES!$A$3:$H$54,6,0),"")</f>
        <v/>
      </c>
      <c r="R242" s="280" t="n"/>
      <c r="S242" s="280" t="n"/>
      <c r="T242" s="280" t="n"/>
      <c r="U242" s="280" t="n"/>
      <c r="V242" s="280" t="n"/>
      <c r="W242" s="280" t="n"/>
      <c r="X242" s="280" t="n"/>
      <c r="Y242" s="280" t="n"/>
    </row>
    <row r="243" ht="15" customHeight="1" s="195">
      <c r="A243" s="334" t="n"/>
      <c r="B243" s="334" t="n"/>
      <c r="C243" s="334" t="n"/>
      <c r="D243" s="334" t="n"/>
      <c r="E243" s="334" t="n"/>
      <c r="F243" s="334" t="n"/>
      <c r="G243" s="334" t="n"/>
      <c r="H243" s="334" t="n"/>
      <c r="I243" s="332">
        <f>IFERROR(VLOOKUP(TEXT(H243,"0"),IPRESS!$A$3:$B$212,2,0),"")</f>
        <v/>
      </c>
      <c r="J243" s="334" t="n"/>
      <c r="K243" s="332">
        <f>IFERROR(VLOOKUP(TEXT(O243,"0"),CONDUCTORES!$A$3:$G$54,7,0),"")</f>
        <v/>
      </c>
      <c r="L243" s="334" t="n"/>
      <c r="M243" s="334" t="n"/>
      <c r="N243" s="333">
        <f>IFERROR(IF(L243*M243=0,"",L243*M243),"")</f>
        <v/>
      </c>
      <c r="O243" s="334" t="n"/>
      <c r="P243" s="332">
        <f>IFERROR(VLOOKUP(TEXT(O243,"0"),CONDUCTORES!$A$3:$G$54,2,0),"")</f>
        <v/>
      </c>
      <c r="Q243" s="332">
        <f>IFERROR(VLOOKUP(TEXT(O243,"0"),CONDUCTORES!$A$3:$H$54,6,0),"")</f>
        <v/>
      </c>
      <c r="R243" s="334" t="n"/>
      <c r="S243" s="334" t="n"/>
      <c r="T243" s="334" t="n"/>
      <c r="U243" s="334" t="n"/>
      <c r="V243" s="334" t="n"/>
      <c r="W243" s="334" t="n"/>
      <c r="X243" s="334" t="n"/>
      <c r="Y243" s="334" t="n"/>
    </row>
    <row r="244" ht="15" customHeight="1" s="195">
      <c r="A244" s="280" t="n"/>
      <c r="B244" s="280" t="n"/>
      <c r="C244" s="280" t="n"/>
      <c r="D244" s="280" t="n"/>
      <c r="E244" s="280" t="n"/>
      <c r="F244" s="280" t="n"/>
      <c r="G244" s="280" t="n"/>
      <c r="H244" s="280" t="n"/>
      <c r="I244" s="332">
        <f>IFERROR(VLOOKUP(TEXT(H244,"0"),IPRESS!$A$3:$B$212,2,0),"")</f>
        <v/>
      </c>
      <c r="J244" s="280" t="n"/>
      <c r="K244" s="332">
        <f>IFERROR(VLOOKUP(TEXT(O244,"0"),CONDUCTORES!$A$3:$G$54,7,0),"")</f>
        <v/>
      </c>
      <c r="L244" s="280" t="n"/>
      <c r="M244" s="280" t="n"/>
      <c r="N244" s="333">
        <f>IFERROR(IF(L244*M244=0,"",L244*M244),"")</f>
        <v/>
      </c>
      <c r="O244" s="280" t="n"/>
      <c r="P244" s="332">
        <f>IFERROR(VLOOKUP(TEXT(O244,"0"),CONDUCTORES!$A$3:$G$54,2,0),"")</f>
        <v/>
      </c>
      <c r="Q244" s="332">
        <f>IFERROR(VLOOKUP(TEXT(O244,"0"),CONDUCTORES!$A$3:$H$54,6,0),"")</f>
        <v/>
      </c>
      <c r="R244" s="280" t="n"/>
      <c r="S244" s="280" t="n"/>
      <c r="T244" s="280" t="n"/>
      <c r="U244" s="280" t="n"/>
      <c r="V244" s="280" t="n"/>
      <c r="W244" s="280" t="n"/>
      <c r="X244" s="280" t="n"/>
      <c r="Y244" s="280" t="n"/>
    </row>
    <row r="245" ht="15" customHeight="1" s="195">
      <c r="A245" s="334" t="n"/>
      <c r="B245" s="334" t="n"/>
      <c r="C245" s="334" t="n"/>
      <c r="D245" s="334" t="n"/>
      <c r="E245" s="334" t="n"/>
      <c r="F245" s="334" t="n"/>
      <c r="G245" s="334" t="n"/>
      <c r="H245" s="334" t="n"/>
      <c r="I245" s="332">
        <f>IFERROR(VLOOKUP(TEXT(H245,"0"),IPRESS!$A$3:$B$212,2,0),"")</f>
        <v/>
      </c>
      <c r="J245" s="334" t="n"/>
      <c r="K245" s="332">
        <f>IFERROR(VLOOKUP(TEXT(O245,"0"),CONDUCTORES!$A$3:$G$54,7,0),"")</f>
        <v/>
      </c>
      <c r="L245" s="334" t="n"/>
      <c r="M245" s="334" t="n"/>
      <c r="N245" s="333">
        <f>IFERROR(IF(L245*M245=0,"",L245*M245),"")</f>
        <v/>
      </c>
      <c r="O245" s="334" t="n"/>
      <c r="P245" s="332">
        <f>IFERROR(VLOOKUP(TEXT(O245,"0"),CONDUCTORES!$A$3:$G$54,2,0),"")</f>
        <v/>
      </c>
      <c r="Q245" s="332">
        <f>IFERROR(VLOOKUP(TEXT(O245,"0"),CONDUCTORES!$A$3:$H$54,6,0),"")</f>
        <v/>
      </c>
      <c r="R245" s="334" t="n"/>
      <c r="S245" s="334" t="n"/>
      <c r="T245" s="334" t="n"/>
      <c r="U245" s="334" t="n"/>
      <c r="V245" s="334" t="n"/>
      <c r="W245" s="334" t="n"/>
      <c r="X245" s="334" t="n"/>
      <c r="Y245" s="334" t="n"/>
    </row>
    <row r="246" ht="15" customHeight="1" s="195">
      <c r="A246" s="280" t="n"/>
      <c r="B246" s="280" t="n"/>
      <c r="C246" s="280" t="n"/>
      <c r="D246" s="280" t="n"/>
      <c r="E246" s="280" t="n"/>
      <c r="F246" s="280" t="n"/>
      <c r="G246" s="280" t="n"/>
      <c r="H246" s="280" t="n"/>
      <c r="I246" s="332">
        <f>IFERROR(VLOOKUP(TEXT(H246,"0"),IPRESS!$A$3:$B$212,2,0),"")</f>
        <v/>
      </c>
      <c r="J246" s="280" t="n"/>
      <c r="K246" s="332">
        <f>IFERROR(VLOOKUP(TEXT(O246,"0"),CONDUCTORES!$A$3:$G$54,7,0),"")</f>
        <v/>
      </c>
      <c r="L246" s="280" t="n"/>
      <c r="M246" s="280" t="n"/>
      <c r="N246" s="333">
        <f>IFERROR(IF(L246*M246=0,"",L246*M246),"")</f>
        <v/>
      </c>
      <c r="O246" s="280" t="n"/>
      <c r="P246" s="332">
        <f>IFERROR(VLOOKUP(TEXT(O246,"0"),CONDUCTORES!$A$3:$G$54,2,0),"")</f>
        <v/>
      </c>
      <c r="Q246" s="332">
        <f>IFERROR(VLOOKUP(TEXT(O246,"0"),CONDUCTORES!$A$3:$H$54,6,0),"")</f>
        <v/>
      </c>
      <c r="R246" s="280" t="n"/>
      <c r="S246" s="280" t="n"/>
      <c r="T246" s="280" t="n"/>
      <c r="U246" s="280" t="n"/>
      <c r="V246" s="280" t="n"/>
      <c r="W246" s="280" t="n"/>
      <c r="X246" s="280" t="n"/>
      <c r="Y246" s="280" t="n"/>
    </row>
    <row r="247" ht="15" customHeight="1" s="195">
      <c r="A247" s="334" t="n"/>
      <c r="B247" s="334" t="n"/>
      <c r="C247" s="334" t="n"/>
      <c r="D247" s="334" t="n"/>
      <c r="E247" s="334" t="n"/>
      <c r="F247" s="334" t="n"/>
      <c r="G247" s="334" t="n"/>
      <c r="H247" s="334" t="n"/>
      <c r="I247" s="332">
        <f>IFERROR(VLOOKUP(TEXT(H247,"0"),IPRESS!$A$3:$B$212,2,0),"")</f>
        <v/>
      </c>
      <c r="J247" s="334" t="n"/>
      <c r="K247" s="332">
        <f>IFERROR(VLOOKUP(TEXT(O247,"0"),CONDUCTORES!$A$3:$G$54,7,0),"")</f>
        <v/>
      </c>
      <c r="L247" s="334" t="n"/>
      <c r="M247" s="334" t="n"/>
      <c r="N247" s="333">
        <f>IFERROR(IF(L247*M247=0,"",L247*M247),"")</f>
        <v/>
      </c>
      <c r="O247" s="334" t="n"/>
      <c r="P247" s="332">
        <f>IFERROR(VLOOKUP(TEXT(O247,"0"),CONDUCTORES!$A$3:$G$54,2,0),"")</f>
        <v/>
      </c>
      <c r="Q247" s="332">
        <f>IFERROR(VLOOKUP(TEXT(O247,"0"),CONDUCTORES!$A$3:$H$54,6,0),"")</f>
        <v/>
      </c>
      <c r="R247" s="334" t="n"/>
      <c r="S247" s="334" t="n"/>
      <c r="T247" s="334" t="n"/>
      <c r="U247" s="334" t="n"/>
      <c r="V247" s="334" t="n"/>
      <c r="W247" s="334" t="n"/>
      <c r="X247" s="334" t="n"/>
      <c r="Y247" s="334" t="n"/>
    </row>
    <row r="248" ht="15" customHeight="1" s="195">
      <c r="A248" s="280" t="n"/>
      <c r="B248" s="280" t="n"/>
      <c r="C248" s="280" t="n"/>
      <c r="D248" s="280" t="n"/>
      <c r="E248" s="280" t="n"/>
      <c r="F248" s="280" t="n"/>
      <c r="G248" s="280" t="n"/>
      <c r="H248" s="280" t="n"/>
      <c r="I248" s="332">
        <f>IFERROR(VLOOKUP(TEXT(H248,"0"),IPRESS!$A$3:$B$212,2,0),"")</f>
        <v/>
      </c>
      <c r="J248" s="280" t="n"/>
      <c r="K248" s="332">
        <f>IFERROR(VLOOKUP(TEXT(O248,"0"),CONDUCTORES!$A$3:$G$54,7,0),"")</f>
        <v/>
      </c>
      <c r="L248" s="280" t="n"/>
      <c r="M248" s="280" t="n"/>
      <c r="N248" s="333">
        <f>IFERROR(IF(L248*M248=0,"",L248*M248),"")</f>
        <v/>
      </c>
      <c r="O248" s="280" t="n"/>
      <c r="P248" s="332">
        <f>IFERROR(VLOOKUP(TEXT(O248,"0"),CONDUCTORES!$A$3:$G$54,2,0),"")</f>
        <v/>
      </c>
      <c r="Q248" s="332">
        <f>IFERROR(VLOOKUP(TEXT(O248,"0"),CONDUCTORES!$A$3:$H$54,6,0),"")</f>
        <v/>
      </c>
      <c r="R248" s="280" t="n"/>
      <c r="S248" s="280" t="n"/>
      <c r="T248" s="280" t="n"/>
      <c r="U248" s="280" t="n"/>
      <c r="V248" s="280" t="n"/>
      <c r="W248" s="280" t="n"/>
      <c r="X248" s="280" t="n"/>
      <c r="Y248" s="280" t="n"/>
    </row>
    <row r="249" ht="15" customHeight="1" s="195">
      <c r="A249" s="334" t="n"/>
      <c r="B249" s="334" t="n"/>
      <c r="C249" s="334" t="n"/>
      <c r="D249" s="334" t="n"/>
      <c r="E249" s="334" t="n"/>
      <c r="F249" s="334" t="n"/>
      <c r="G249" s="334" t="n"/>
      <c r="H249" s="334" t="n"/>
      <c r="I249" s="332">
        <f>IFERROR(VLOOKUP(TEXT(H249,"0"),IPRESS!$A$3:$B$212,2,0),"")</f>
        <v/>
      </c>
      <c r="J249" s="334" t="n"/>
      <c r="K249" s="332">
        <f>IFERROR(VLOOKUP(TEXT(O249,"0"),CONDUCTORES!$A$3:$G$54,7,0),"")</f>
        <v/>
      </c>
      <c r="L249" s="334" t="n"/>
      <c r="M249" s="334" t="n"/>
      <c r="N249" s="333">
        <f>IFERROR(IF(L249*M249=0,"",L249*M249),"")</f>
        <v/>
      </c>
      <c r="O249" s="334" t="n"/>
      <c r="P249" s="332">
        <f>IFERROR(VLOOKUP(TEXT(O249,"0"),CONDUCTORES!$A$3:$G$54,2,0),"")</f>
        <v/>
      </c>
      <c r="Q249" s="332">
        <f>IFERROR(VLOOKUP(TEXT(O249,"0"),CONDUCTORES!$A$3:$H$54,6,0),"")</f>
        <v/>
      </c>
      <c r="R249" s="334" t="n"/>
      <c r="S249" s="334" t="n"/>
      <c r="T249" s="334" t="n"/>
      <c r="U249" s="334" t="n"/>
      <c r="V249" s="334" t="n"/>
      <c r="W249" s="334" t="n"/>
      <c r="X249" s="334" t="n"/>
      <c r="Y249" s="334" t="n"/>
    </row>
    <row r="250" ht="15" customHeight="1" s="195">
      <c r="A250" s="280" t="n"/>
      <c r="B250" s="280" t="n"/>
      <c r="C250" s="280" t="n"/>
      <c r="D250" s="280" t="n"/>
      <c r="E250" s="280" t="n"/>
      <c r="F250" s="280" t="n"/>
      <c r="G250" s="280" t="n"/>
      <c r="H250" s="280" t="n"/>
      <c r="I250" s="332">
        <f>IFERROR(VLOOKUP(TEXT(H250,"0"),IPRESS!$A$3:$B$212,2,0),"")</f>
        <v/>
      </c>
      <c r="J250" s="280" t="n"/>
      <c r="K250" s="332">
        <f>IFERROR(VLOOKUP(TEXT(O250,"0"),CONDUCTORES!$A$3:$G$54,7,0),"")</f>
        <v/>
      </c>
      <c r="L250" s="280" t="n"/>
      <c r="M250" s="280" t="n"/>
      <c r="N250" s="333">
        <f>IFERROR(IF(L250*M250=0,"",L250*M250),"")</f>
        <v/>
      </c>
      <c r="O250" s="280" t="n"/>
      <c r="P250" s="332">
        <f>IFERROR(VLOOKUP(TEXT(O250,"0"),CONDUCTORES!$A$3:$G$54,2,0),"")</f>
        <v/>
      </c>
      <c r="Q250" s="332">
        <f>IFERROR(VLOOKUP(TEXT(O250,"0"),CONDUCTORES!$A$3:$H$54,6,0),"")</f>
        <v/>
      </c>
      <c r="R250" s="280" t="n"/>
      <c r="S250" s="280" t="n"/>
      <c r="T250" s="280" t="n"/>
      <c r="U250" s="280" t="n"/>
      <c r="V250" s="280" t="n"/>
      <c r="W250" s="280" t="n"/>
      <c r="X250" s="280" t="n"/>
      <c r="Y250" s="280" t="n"/>
    </row>
    <row r="251" ht="15" customHeight="1" s="195">
      <c r="A251" s="334" t="n"/>
      <c r="B251" s="334" t="n"/>
      <c r="C251" s="334" t="n"/>
      <c r="D251" s="334" t="n"/>
      <c r="E251" s="334" t="n"/>
      <c r="F251" s="334" t="n"/>
      <c r="G251" s="334" t="n"/>
      <c r="H251" s="334" t="n"/>
      <c r="I251" s="332">
        <f>IFERROR(VLOOKUP(TEXT(H251,"0"),IPRESS!$A$3:$B$212,2,0),"")</f>
        <v/>
      </c>
      <c r="J251" s="334" t="n"/>
      <c r="K251" s="332">
        <f>IFERROR(VLOOKUP(TEXT(O251,"0"),CONDUCTORES!$A$3:$G$54,7,0),"")</f>
        <v/>
      </c>
      <c r="L251" s="334" t="n"/>
      <c r="M251" s="334" t="n"/>
      <c r="N251" s="333">
        <f>IFERROR(IF(L251*M251=0,"",L251*M251),"")</f>
        <v/>
      </c>
      <c r="O251" s="334" t="n"/>
      <c r="P251" s="332">
        <f>IFERROR(VLOOKUP(TEXT(O251,"0"),CONDUCTORES!$A$3:$G$54,2,0),"")</f>
        <v/>
      </c>
      <c r="Q251" s="332">
        <f>IFERROR(VLOOKUP(TEXT(O251,"0"),CONDUCTORES!$A$3:$H$54,6,0),"")</f>
        <v/>
      </c>
      <c r="R251" s="334" t="n"/>
      <c r="S251" s="334" t="n"/>
      <c r="T251" s="334" t="n"/>
      <c r="U251" s="334" t="n"/>
      <c r="V251" s="334" t="n"/>
      <c r="W251" s="334" t="n"/>
      <c r="X251" s="334" t="n"/>
      <c r="Y251" s="334" t="n"/>
    </row>
    <row r="252" ht="15" customHeight="1" s="195">
      <c r="A252" s="280" t="n"/>
      <c r="B252" s="280" t="n"/>
      <c r="C252" s="280" t="n"/>
      <c r="D252" s="280" t="n"/>
      <c r="E252" s="280" t="n"/>
      <c r="F252" s="280" t="n"/>
      <c r="G252" s="280" t="n"/>
      <c r="H252" s="280" t="n"/>
      <c r="I252" s="332">
        <f>IFERROR(VLOOKUP(TEXT(H252,"0"),IPRESS!$A$3:$B$212,2,0),"")</f>
        <v/>
      </c>
      <c r="J252" s="280" t="n"/>
      <c r="K252" s="332">
        <f>IFERROR(VLOOKUP(TEXT(O252,"0"),CONDUCTORES!$A$3:$G$54,7,0),"")</f>
        <v/>
      </c>
      <c r="L252" s="280" t="n"/>
      <c r="M252" s="280" t="n"/>
      <c r="N252" s="333">
        <f>IFERROR(IF(L252*M252=0,"",L252*M252),"")</f>
        <v/>
      </c>
      <c r="O252" s="280" t="n"/>
      <c r="P252" s="332">
        <f>IFERROR(VLOOKUP(TEXT(O252,"0"),CONDUCTORES!$A$3:$G$54,2,0),"")</f>
        <v/>
      </c>
      <c r="Q252" s="332">
        <f>IFERROR(VLOOKUP(TEXT(O252,"0"),CONDUCTORES!$A$3:$H$54,6,0),"")</f>
        <v/>
      </c>
      <c r="R252" s="280" t="n"/>
      <c r="S252" s="280" t="n"/>
      <c r="T252" s="280" t="n"/>
      <c r="U252" s="280" t="n"/>
      <c r="V252" s="280" t="n"/>
      <c r="W252" s="280" t="n"/>
      <c r="X252" s="280" t="n"/>
      <c r="Y252" s="280" t="n"/>
    </row>
    <row r="253" ht="15" customHeight="1" s="195">
      <c r="A253" s="334" t="n"/>
      <c r="B253" s="334" t="n"/>
      <c r="C253" s="334" t="n"/>
      <c r="D253" s="334" t="n"/>
      <c r="E253" s="334" t="n"/>
      <c r="F253" s="334" t="n"/>
      <c r="G253" s="334" t="n"/>
      <c r="H253" s="334" t="n"/>
      <c r="I253" s="332">
        <f>IFERROR(VLOOKUP(TEXT(H253,"0"),IPRESS!$A$3:$B$212,2,0),"")</f>
        <v/>
      </c>
      <c r="J253" s="334" t="n"/>
      <c r="K253" s="332">
        <f>IFERROR(VLOOKUP(TEXT(O253,"0"),CONDUCTORES!$A$3:$G$54,7,0),"")</f>
        <v/>
      </c>
      <c r="L253" s="334" t="n"/>
      <c r="M253" s="334" t="n"/>
      <c r="N253" s="333">
        <f>IFERROR(IF(L253*M253=0,"",L253*M253),"")</f>
        <v/>
      </c>
      <c r="O253" s="334" t="n"/>
      <c r="P253" s="332">
        <f>IFERROR(VLOOKUP(TEXT(O253,"0"),CONDUCTORES!$A$3:$G$54,2,0),"")</f>
        <v/>
      </c>
      <c r="Q253" s="332">
        <f>IFERROR(VLOOKUP(TEXT(O253,"0"),CONDUCTORES!$A$3:$H$54,6,0),"")</f>
        <v/>
      </c>
      <c r="R253" s="334" t="n"/>
      <c r="S253" s="334" t="n"/>
      <c r="T253" s="334" t="n"/>
      <c r="U253" s="334" t="n"/>
      <c r="V253" s="334" t="n"/>
      <c r="W253" s="334" t="n"/>
      <c r="X253" s="334" t="n"/>
      <c r="Y253" s="334" t="n"/>
    </row>
    <row r="254" ht="15" customHeight="1" s="195">
      <c r="A254" s="280" t="n"/>
      <c r="B254" s="280" t="n"/>
      <c r="C254" s="280" t="n"/>
      <c r="D254" s="280" t="n"/>
      <c r="E254" s="280" t="n"/>
      <c r="F254" s="280" t="n"/>
      <c r="G254" s="280" t="n"/>
      <c r="H254" s="280" t="n"/>
      <c r="I254" s="332">
        <f>IFERROR(VLOOKUP(TEXT(H254,"0"),IPRESS!$A$3:$B$212,2,0),"")</f>
        <v/>
      </c>
      <c r="J254" s="280" t="n"/>
      <c r="K254" s="332">
        <f>IFERROR(VLOOKUP(TEXT(O254,"0"),CONDUCTORES!$A$3:$G$54,7,0),"")</f>
        <v/>
      </c>
      <c r="L254" s="280" t="n"/>
      <c r="M254" s="280" t="n"/>
      <c r="N254" s="333">
        <f>IFERROR(IF(L254*M254=0,"",L254*M254),"")</f>
        <v/>
      </c>
      <c r="O254" s="280" t="n"/>
      <c r="P254" s="332">
        <f>IFERROR(VLOOKUP(TEXT(O254,"0"),CONDUCTORES!$A$3:$G$54,2,0),"")</f>
        <v/>
      </c>
      <c r="Q254" s="332">
        <f>IFERROR(VLOOKUP(TEXT(O254,"0"),CONDUCTORES!$A$3:$H$54,6,0),"")</f>
        <v/>
      </c>
      <c r="R254" s="280" t="n"/>
      <c r="S254" s="280" t="n"/>
      <c r="T254" s="280" t="n"/>
      <c r="U254" s="280" t="n"/>
      <c r="V254" s="280" t="n"/>
      <c r="W254" s="280" t="n"/>
      <c r="X254" s="280" t="n"/>
      <c r="Y254" s="280" t="n"/>
    </row>
    <row r="255" ht="15" customHeight="1" s="195">
      <c r="A255" s="334" t="n"/>
      <c r="B255" s="334" t="n"/>
      <c r="C255" s="334" t="n"/>
      <c r="D255" s="334" t="n"/>
      <c r="E255" s="334" t="n"/>
      <c r="F255" s="334" t="n"/>
      <c r="G255" s="334" t="n"/>
      <c r="H255" s="334" t="n"/>
      <c r="I255" s="332">
        <f>IFERROR(VLOOKUP(TEXT(H255,"0"),IPRESS!$A$3:$B$212,2,0),"")</f>
        <v/>
      </c>
      <c r="J255" s="334" t="n"/>
      <c r="K255" s="332">
        <f>IFERROR(VLOOKUP(TEXT(O255,"0"),CONDUCTORES!$A$3:$G$54,7,0),"")</f>
        <v/>
      </c>
      <c r="L255" s="334" t="n"/>
      <c r="M255" s="334" t="n"/>
      <c r="N255" s="333">
        <f>IFERROR(IF(L255*M255=0,"",L255*M255),"")</f>
        <v/>
      </c>
      <c r="O255" s="334" t="n"/>
      <c r="P255" s="332">
        <f>IFERROR(VLOOKUP(TEXT(O255,"0"),CONDUCTORES!$A$3:$G$54,2,0),"")</f>
        <v/>
      </c>
      <c r="Q255" s="332">
        <f>IFERROR(VLOOKUP(TEXT(O255,"0"),CONDUCTORES!$A$3:$H$54,6,0),"")</f>
        <v/>
      </c>
      <c r="R255" s="334" t="n"/>
      <c r="S255" s="334" t="n"/>
      <c r="T255" s="334" t="n"/>
      <c r="U255" s="334" t="n"/>
      <c r="V255" s="334" t="n"/>
      <c r="W255" s="334" t="n"/>
      <c r="X255" s="334" t="n"/>
      <c r="Y255" s="334" t="n"/>
    </row>
    <row r="256" ht="15" customHeight="1" s="195">
      <c r="A256" s="280" t="n"/>
      <c r="B256" s="280" t="n"/>
      <c r="C256" s="280" t="n"/>
      <c r="D256" s="280" t="n"/>
      <c r="E256" s="280" t="n"/>
      <c r="F256" s="280" t="n"/>
      <c r="G256" s="280" t="n"/>
      <c r="H256" s="280" t="n"/>
      <c r="I256" s="332">
        <f>IFERROR(VLOOKUP(TEXT(H256,"0"),IPRESS!$A$3:$B$212,2,0),"")</f>
        <v/>
      </c>
      <c r="J256" s="280" t="n"/>
      <c r="K256" s="332">
        <f>IFERROR(VLOOKUP(TEXT(O256,"0"),CONDUCTORES!$A$3:$G$54,7,0),"")</f>
        <v/>
      </c>
      <c r="L256" s="280" t="n"/>
      <c r="M256" s="280" t="n"/>
      <c r="N256" s="333">
        <f>IFERROR(IF(L256*M256=0,"",L256*M256),"")</f>
        <v/>
      </c>
      <c r="O256" s="280" t="n"/>
      <c r="P256" s="332">
        <f>IFERROR(VLOOKUP(TEXT(O256,"0"),CONDUCTORES!$A$3:$G$54,2,0),"")</f>
        <v/>
      </c>
      <c r="Q256" s="332">
        <f>IFERROR(VLOOKUP(TEXT(O256,"0"),CONDUCTORES!$A$3:$H$54,6,0),"")</f>
        <v/>
      </c>
      <c r="R256" s="280" t="n"/>
      <c r="S256" s="280" t="n"/>
      <c r="T256" s="280" t="n"/>
      <c r="U256" s="280" t="n"/>
      <c r="V256" s="280" t="n"/>
      <c r="W256" s="280" t="n"/>
      <c r="X256" s="280" t="n"/>
      <c r="Y256" s="280" t="n"/>
    </row>
    <row r="257" ht="15" customHeight="1" s="195">
      <c r="A257" s="334" t="n"/>
      <c r="B257" s="334" t="n"/>
      <c r="C257" s="334" t="n"/>
      <c r="D257" s="334" t="n"/>
      <c r="E257" s="334" t="n"/>
      <c r="F257" s="334" t="n"/>
      <c r="G257" s="334" t="n"/>
      <c r="H257" s="334" t="n"/>
      <c r="I257" s="332">
        <f>IFERROR(VLOOKUP(TEXT(H257,"0"),IPRESS!$A$3:$B$212,2,0),"")</f>
        <v/>
      </c>
      <c r="J257" s="334" t="n"/>
      <c r="K257" s="332">
        <f>IFERROR(VLOOKUP(TEXT(O257,"0"),CONDUCTORES!$A$3:$G$54,7,0),"")</f>
        <v/>
      </c>
      <c r="L257" s="334" t="n"/>
      <c r="M257" s="334" t="n"/>
      <c r="N257" s="333">
        <f>IFERROR(IF(L257*M257=0,"",L257*M257),"")</f>
        <v/>
      </c>
      <c r="O257" s="334" t="n"/>
      <c r="P257" s="332">
        <f>IFERROR(VLOOKUP(TEXT(O257,"0"),CONDUCTORES!$A$3:$G$54,2,0),"")</f>
        <v/>
      </c>
      <c r="Q257" s="332">
        <f>IFERROR(VLOOKUP(TEXT(O257,"0"),CONDUCTORES!$A$3:$H$54,6,0),"")</f>
        <v/>
      </c>
      <c r="R257" s="334" t="n"/>
      <c r="S257" s="334" t="n"/>
      <c r="T257" s="334" t="n"/>
      <c r="U257" s="334" t="n"/>
      <c r="V257" s="334" t="n"/>
      <c r="W257" s="334" t="n"/>
      <c r="X257" s="334" t="n"/>
      <c r="Y257" s="334" t="n"/>
    </row>
    <row r="258" ht="15" customHeight="1" s="195">
      <c r="A258" s="280" t="n"/>
      <c r="B258" s="280" t="n"/>
      <c r="C258" s="280" t="n"/>
      <c r="D258" s="280" t="n"/>
      <c r="E258" s="280" t="n"/>
      <c r="F258" s="280" t="n"/>
      <c r="G258" s="280" t="n"/>
      <c r="H258" s="280" t="n"/>
      <c r="I258" s="332">
        <f>IFERROR(VLOOKUP(TEXT(H258,"0"),IPRESS!$A$3:$B$212,2,0),"")</f>
        <v/>
      </c>
      <c r="J258" s="280" t="n"/>
      <c r="K258" s="332">
        <f>IFERROR(VLOOKUP(TEXT(O258,"0"),CONDUCTORES!$A$3:$G$54,7,0),"")</f>
        <v/>
      </c>
      <c r="L258" s="280" t="n"/>
      <c r="M258" s="280" t="n"/>
      <c r="N258" s="333">
        <f>IFERROR(IF(L258*M258=0,"",L258*M258),"")</f>
        <v/>
      </c>
      <c r="O258" s="280" t="n"/>
      <c r="P258" s="332">
        <f>IFERROR(VLOOKUP(TEXT(O258,"0"),CONDUCTORES!$A$3:$G$54,2,0),"")</f>
        <v/>
      </c>
      <c r="Q258" s="332">
        <f>IFERROR(VLOOKUP(TEXT(O258,"0"),CONDUCTORES!$A$3:$H$54,6,0),"")</f>
        <v/>
      </c>
      <c r="R258" s="280" t="n"/>
      <c r="S258" s="280" t="n"/>
      <c r="T258" s="280" t="n"/>
      <c r="U258" s="280" t="n"/>
      <c r="V258" s="280" t="n"/>
      <c r="W258" s="280" t="n"/>
      <c r="X258" s="280" t="n"/>
      <c r="Y258" s="280" t="n"/>
    </row>
    <row r="259" ht="15" customHeight="1" s="195">
      <c r="A259" s="334" t="n"/>
      <c r="B259" s="334" t="n"/>
      <c r="C259" s="334" t="n"/>
      <c r="D259" s="334" t="n"/>
      <c r="E259" s="334" t="n"/>
      <c r="F259" s="334" t="n"/>
      <c r="G259" s="334" t="n"/>
      <c r="H259" s="334" t="n"/>
      <c r="I259" s="332">
        <f>IFERROR(VLOOKUP(TEXT(H259,"0"),IPRESS!$A$3:$B$212,2,0),"")</f>
        <v/>
      </c>
      <c r="J259" s="334" t="n"/>
      <c r="K259" s="332">
        <f>IFERROR(VLOOKUP(TEXT(O259,"0"),CONDUCTORES!$A$3:$G$54,7,0),"")</f>
        <v/>
      </c>
      <c r="L259" s="334" t="n"/>
      <c r="M259" s="334" t="n"/>
      <c r="N259" s="333">
        <f>IFERROR(IF(L259*M259=0,"",L259*M259),"")</f>
        <v/>
      </c>
      <c r="O259" s="334" t="n"/>
      <c r="P259" s="332">
        <f>IFERROR(VLOOKUP(TEXT(O259,"0"),CONDUCTORES!$A$3:$G$54,2,0),"")</f>
        <v/>
      </c>
      <c r="Q259" s="332">
        <f>IFERROR(VLOOKUP(TEXT(O259,"0"),CONDUCTORES!$A$3:$H$54,6,0),"")</f>
        <v/>
      </c>
      <c r="R259" s="334" t="n"/>
      <c r="S259" s="334" t="n"/>
      <c r="T259" s="334" t="n"/>
      <c r="U259" s="334" t="n"/>
      <c r="V259" s="334" t="n"/>
      <c r="W259" s="334" t="n"/>
      <c r="X259" s="334" t="n"/>
      <c r="Y259" s="334" t="n"/>
    </row>
    <row r="260" ht="15" customHeight="1" s="195">
      <c r="A260" s="280" t="n"/>
      <c r="B260" s="280" t="n"/>
      <c r="C260" s="280" t="n"/>
      <c r="D260" s="280" t="n"/>
      <c r="E260" s="280" t="n"/>
      <c r="F260" s="280" t="n"/>
      <c r="G260" s="280" t="n"/>
      <c r="H260" s="280" t="n"/>
      <c r="I260" s="332">
        <f>IFERROR(VLOOKUP(TEXT(H260,"0"),IPRESS!$A$3:$B$212,2,0),"")</f>
        <v/>
      </c>
      <c r="J260" s="280" t="n"/>
      <c r="K260" s="332">
        <f>IFERROR(VLOOKUP(TEXT(O260,"0"),CONDUCTORES!$A$3:$G$54,7,0),"")</f>
        <v/>
      </c>
      <c r="L260" s="280" t="n"/>
      <c r="M260" s="280" t="n"/>
      <c r="N260" s="333">
        <f>IFERROR(IF(L260*M260=0,"",L260*M260),"")</f>
        <v/>
      </c>
      <c r="O260" s="280" t="n"/>
      <c r="P260" s="332">
        <f>IFERROR(VLOOKUP(TEXT(O260,"0"),CONDUCTORES!$A$3:$G$54,2,0),"")</f>
        <v/>
      </c>
      <c r="Q260" s="332">
        <f>IFERROR(VLOOKUP(TEXT(O260,"0"),CONDUCTORES!$A$3:$H$54,6,0),"")</f>
        <v/>
      </c>
      <c r="R260" s="280" t="n"/>
      <c r="S260" s="280" t="n"/>
      <c r="T260" s="280" t="n"/>
      <c r="U260" s="280" t="n"/>
      <c r="V260" s="280" t="n"/>
      <c r="W260" s="280" t="n"/>
      <c r="X260" s="280" t="n"/>
      <c r="Y260" s="280" t="n"/>
    </row>
    <row r="261" ht="15" customHeight="1" s="195">
      <c r="A261" s="334" t="n"/>
      <c r="B261" s="334" t="n"/>
      <c r="C261" s="334" t="n"/>
      <c r="D261" s="334" t="n"/>
      <c r="E261" s="334" t="n"/>
      <c r="F261" s="334" t="n"/>
      <c r="G261" s="334" t="n"/>
      <c r="H261" s="334" t="n"/>
      <c r="I261" s="332">
        <f>IFERROR(VLOOKUP(TEXT(H261,"0"),IPRESS!$A$3:$B$212,2,0),"")</f>
        <v/>
      </c>
      <c r="J261" s="334" t="n"/>
      <c r="K261" s="332">
        <f>IFERROR(VLOOKUP(TEXT(O261,"0"),CONDUCTORES!$A$3:$G$54,7,0),"")</f>
        <v/>
      </c>
      <c r="L261" s="334" t="n"/>
      <c r="M261" s="334" t="n"/>
      <c r="N261" s="333">
        <f>IFERROR(IF(L261*M261=0,"",L261*M261),"")</f>
        <v/>
      </c>
      <c r="O261" s="334" t="n"/>
      <c r="P261" s="332">
        <f>IFERROR(VLOOKUP(TEXT(O261,"0"),CONDUCTORES!$A$3:$G$54,2,0),"")</f>
        <v/>
      </c>
      <c r="Q261" s="332">
        <f>IFERROR(VLOOKUP(TEXT(O261,"0"),CONDUCTORES!$A$3:$H$54,6,0),"")</f>
        <v/>
      </c>
      <c r="R261" s="334" t="n"/>
      <c r="S261" s="334" t="n"/>
      <c r="T261" s="334" t="n"/>
      <c r="U261" s="334" t="n"/>
      <c r="V261" s="334" t="n"/>
      <c r="W261" s="334" t="n"/>
      <c r="X261" s="334" t="n"/>
      <c r="Y261" s="334" t="n"/>
    </row>
    <row r="262" ht="15" customHeight="1" s="195">
      <c r="A262" s="280" t="n"/>
      <c r="B262" s="280" t="n"/>
      <c r="C262" s="280" t="n"/>
      <c r="D262" s="280" t="n"/>
      <c r="E262" s="280" t="n"/>
      <c r="F262" s="280" t="n"/>
      <c r="G262" s="280" t="n"/>
      <c r="H262" s="280" t="n"/>
      <c r="I262" s="332">
        <f>IFERROR(VLOOKUP(TEXT(H262,"0"),IPRESS!$A$3:$B$212,2,0),"")</f>
        <v/>
      </c>
      <c r="J262" s="280" t="n"/>
      <c r="K262" s="332">
        <f>IFERROR(VLOOKUP(TEXT(O262,"0"),CONDUCTORES!$A$3:$G$54,7,0),"")</f>
        <v/>
      </c>
      <c r="L262" s="280" t="n"/>
      <c r="M262" s="280" t="n"/>
      <c r="N262" s="333">
        <f>IFERROR(IF(L262*M262=0,"",L262*M262),"")</f>
        <v/>
      </c>
      <c r="O262" s="280" t="n"/>
      <c r="P262" s="332">
        <f>IFERROR(VLOOKUP(TEXT(O262,"0"),CONDUCTORES!$A$3:$G$54,2,0),"")</f>
        <v/>
      </c>
      <c r="Q262" s="332">
        <f>IFERROR(VLOOKUP(TEXT(O262,"0"),CONDUCTORES!$A$3:$H$54,6,0),"")</f>
        <v/>
      </c>
      <c r="R262" s="280" t="n"/>
      <c r="S262" s="280" t="n"/>
      <c r="T262" s="280" t="n"/>
      <c r="U262" s="280" t="n"/>
      <c r="V262" s="280" t="n"/>
      <c r="W262" s="280" t="n"/>
      <c r="X262" s="280" t="n"/>
      <c r="Y262" s="280" t="n"/>
    </row>
    <row r="263" ht="15" customHeight="1" s="195">
      <c r="A263" s="334" t="n"/>
      <c r="B263" s="334" t="n"/>
      <c r="C263" s="334" t="n"/>
      <c r="D263" s="334" t="n"/>
      <c r="E263" s="334" t="n"/>
      <c r="F263" s="334" t="n"/>
      <c r="G263" s="334" t="n"/>
      <c r="H263" s="334" t="n"/>
      <c r="I263" s="332">
        <f>IFERROR(VLOOKUP(TEXT(H263,"0"),IPRESS!$A$3:$B$212,2,0),"")</f>
        <v/>
      </c>
      <c r="J263" s="334" t="n"/>
      <c r="K263" s="332">
        <f>IFERROR(VLOOKUP(TEXT(O263,"0"),CONDUCTORES!$A$3:$G$54,7,0),"")</f>
        <v/>
      </c>
      <c r="L263" s="334" t="n"/>
      <c r="M263" s="334" t="n"/>
      <c r="N263" s="333">
        <f>IFERROR(IF(L263*M263=0,"",L263*M263),"")</f>
        <v/>
      </c>
      <c r="O263" s="334" t="n"/>
      <c r="P263" s="332">
        <f>IFERROR(VLOOKUP(TEXT(O263,"0"),CONDUCTORES!$A$3:$G$54,2,0),"")</f>
        <v/>
      </c>
      <c r="Q263" s="332">
        <f>IFERROR(VLOOKUP(TEXT(O263,"0"),CONDUCTORES!$A$3:$H$54,6,0),"")</f>
        <v/>
      </c>
      <c r="R263" s="334" t="n"/>
      <c r="S263" s="334" t="n"/>
      <c r="T263" s="334" t="n"/>
      <c r="U263" s="334" t="n"/>
      <c r="V263" s="334" t="n"/>
      <c r="W263" s="334" t="n"/>
      <c r="X263" s="334" t="n"/>
      <c r="Y263" s="334" t="n"/>
    </row>
    <row r="264" ht="15" customHeight="1" s="195">
      <c r="A264" s="280" t="n"/>
      <c r="B264" s="280" t="n"/>
      <c r="C264" s="280" t="n"/>
      <c r="D264" s="280" t="n"/>
      <c r="E264" s="280" t="n"/>
      <c r="F264" s="280" t="n"/>
      <c r="G264" s="280" t="n"/>
      <c r="H264" s="280" t="n"/>
      <c r="I264" s="332">
        <f>IFERROR(VLOOKUP(TEXT(H264,"0"),IPRESS!$A$3:$B$212,2,0),"")</f>
        <v/>
      </c>
      <c r="J264" s="280" t="n"/>
      <c r="K264" s="332">
        <f>IFERROR(VLOOKUP(TEXT(O264,"0"),CONDUCTORES!$A$3:$G$54,7,0),"")</f>
        <v/>
      </c>
      <c r="L264" s="280" t="n"/>
      <c r="M264" s="280" t="n"/>
      <c r="N264" s="333">
        <f>IFERROR(IF(L264*M264=0,"",L264*M264),"")</f>
        <v/>
      </c>
      <c r="O264" s="280" t="n"/>
      <c r="P264" s="332">
        <f>IFERROR(VLOOKUP(TEXT(O264,"0"),CONDUCTORES!$A$3:$G$54,2,0),"")</f>
        <v/>
      </c>
      <c r="Q264" s="332">
        <f>IFERROR(VLOOKUP(TEXT(O264,"0"),CONDUCTORES!$A$3:$H$54,6,0),"")</f>
        <v/>
      </c>
      <c r="R264" s="280" t="n"/>
      <c r="S264" s="280" t="n"/>
      <c r="T264" s="280" t="n"/>
      <c r="U264" s="280" t="n"/>
      <c r="V264" s="280" t="n"/>
      <c r="W264" s="280" t="n"/>
      <c r="X264" s="280" t="n"/>
      <c r="Y264" s="280" t="n"/>
    </row>
    <row r="265" ht="15" customHeight="1" s="195">
      <c r="A265" s="334" t="n"/>
      <c r="B265" s="334" t="n"/>
      <c r="C265" s="334" t="n"/>
      <c r="D265" s="334" t="n"/>
      <c r="E265" s="334" t="n"/>
      <c r="F265" s="334" t="n"/>
      <c r="G265" s="334" t="n"/>
      <c r="H265" s="334" t="n"/>
      <c r="I265" s="332">
        <f>IFERROR(VLOOKUP(TEXT(H265,"0"),IPRESS!$A$3:$B$212,2,0),"")</f>
        <v/>
      </c>
      <c r="J265" s="334" t="n"/>
      <c r="K265" s="332">
        <f>IFERROR(VLOOKUP(TEXT(O265,"0"),CONDUCTORES!$A$3:$G$54,7,0),"")</f>
        <v/>
      </c>
      <c r="L265" s="334" t="n"/>
      <c r="M265" s="334" t="n"/>
      <c r="N265" s="333">
        <f>IFERROR(IF(L265*M265=0,"",L265*M265),"")</f>
        <v/>
      </c>
      <c r="O265" s="334" t="n"/>
      <c r="P265" s="332">
        <f>IFERROR(VLOOKUP(TEXT(O265,"0"),CONDUCTORES!$A$3:$G$54,2,0),"")</f>
        <v/>
      </c>
      <c r="Q265" s="332">
        <f>IFERROR(VLOOKUP(TEXT(O265,"0"),CONDUCTORES!$A$3:$H$54,6,0),"")</f>
        <v/>
      </c>
      <c r="R265" s="334" t="n"/>
      <c r="S265" s="334" t="n"/>
      <c r="T265" s="334" t="n"/>
      <c r="U265" s="334" t="n"/>
      <c r="V265" s="334" t="n"/>
      <c r="W265" s="334" t="n"/>
      <c r="X265" s="334" t="n"/>
      <c r="Y265" s="334" t="n"/>
    </row>
    <row r="266" ht="15" customHeight="1" s="195">
      <c r="A266" s="280" t="n"/>
      <c r="B266" s="280" t="n"/>
      <c r="C266" s="280" t="n"/>
      <c r="D266" s="280" t="n"/>
      <c r="E266" s="280" t="n"/>
      <c r="F266" s="280" t="n"/>
      <c r="G266" s="280" t="n"/>
      <c r="H266" s="280" t="n"/>
      <c r="I266" s="332">
        <f>IFERROR(VLOOKUP(TEXT(H266,"0"),IPRESS!$A$3:$B$212,2,0),"")</f>
        <v/>
      </c>
      <c r="J266" s="280" t="n"/>
      <c r="K266" s="332">
        <f>IFERROR(VLOOKUP(TEXT(O266,"0"),CONDUCTORES!$A$3:$G$54,7,0),"")</f>
        <v/>
      </c>
      <c r="L266" s="280" t="n"/>
      <c r="M266" s="280" t="n"/>
      <c r="N266" s="333">
        <f>IFERROR(IF(L266*M266=0,"",L266*M266),"")</f>
        <v/>
      </c>
      <c r="O266" s="280" t="n"/>
      <c r="P266" s="332">
        <f>IFERROR(VLOOKUP(TEXT(O266,"0"),CONDUCTORES!$A$3:$G$54,2,0),"")</f>
        <v/>
      </c>
      <c r="Q266" s="332">
        <f>IFERROR(VLOOKUP(TEXT(O266,"0"),CONDUCTORES!$A$3:$H$54,6,0),"")</f>
        <v/>
      </c>
      <c r="R266" s="280" t="n"/>
      <c r="S266" s="280" t="n"/>
      <c r="T266" s="280" t="n"/>
      <c r="U266" s="280" t="n"/>
      <c r="V266" s="280" t="n"/>
      <c r="W266" s="280" t="n"/>
      <c r="X266" s="280" t="n"/>
      <c r="Y266" s="280" t="n"/>
    </row>
    <row r="267" ht="15" customHeight="1" s="195">
      <c r="A267" s="334" t="n"/>
      <c r="B267" s="334" t="n"/>
      <c r="C267" s="334" t="n"/>
      <c r="D267" s="334" t="n"/>
      <c r="E267" s="334" t="n"/>
      <c r="F267" s="334" t="n"/>
      <c r="G267" s="334" t="n"/>
      <c r="H267" s="334" t="n"/>
      <c r="I267" s="332">
        <f>IFERROR(VLOOKUP(TEXT(H267,"0"),IPRESS!$A$3:$B$212,2,0),"")</f>
        <v/>
      </c>
      <c r="J267" s="334" t="n"/>
      <c r="K267" s="332">
        <f>IFERROR(VLOOKUP(TEXT(O267,"0"),CONDUCTORES!$A$3:$G$54,7,0),"")</f>
        <v/>
      </c>
      <c r="L267" s="334" t="n"/>
      <c r="M267" s="334" t="n"/>
      <c r="N267" s="333">
        <f>IFERROR(IF(L267*M267=0,"",L267*M267),"")</f>
        <v/>
      </c>
      <c r="O267" s="334" t="n"/>
      <c r="P267" s="332">
        <f>IFERROR(VLOOKUP(TEXT(O267,"0"),CONDUCTORES!$A$3:$G$54,2,0),"")</f>
        <v/>
      </c>
      <c r="Q267" s="332">
        <f>IFERROR(VLOOKUP(TEXT(O267,"0"),CONDUCTORES!$A$3:$H$54,6,0),"")</f>
        <v/>
      </c>
      <c r="R267" s="334" t="n"/>
      <c r="S267" s="334" t="n"/>
      <c r="T267" s="334" t="n"/>
      <c r="U267" s="334" t="n"/>
      <c r="V267" s="334" t="n"/>
      <c r="W267" s="334" t="n"/>
      <c r="X267" s="334" t="n"/>
      <c r="Y267" s="334" t="n"/>
    </row>
    <row r="268" ht="15" customHeight="1" s="195">
      <c r="A268" s="280" t="n"/>
      <c r="B268" s="280" t="n"/>
      <c r="C268" s="280" t="n"/>
      <c r="D268" s="280" t="n"/>
      <c r="E268" s="280" t="n"/>
      <c r="F268" s="280" t="n"/>
      <c r="G268" s="280" t="n"/>
      <c r="H268" s="280" t="n"/>
      <c r="I268" s="332">
        <f>IFERROR(VLOOKUP(TEXT(H268,"0"),IPRESS!$A$3:$B$212,2,0),"")</f>
        <v/>
      </c>
      <c r="J268" s="280" t="n"/>
      <c r="K268" s="332">
        <f>IFERROR(VLOOKUP(TEXT(O268,"0"),CONDUCTORES!$A$3:$G$54,7,0),"")</f>
        <v/>
      </c>
      <c r="L268" s="280" t="n"/>
      <c r="M268" s="280" t="n"/>
      <c r="N268" s="333">
        <f>IFERROR(IF(L268*M268=0,"",L268*M268),"")</f>
        <v/>
      </c>
      <c r="O268" s="280" t="n"/>
      <c r="P268" s="332">
        <f>IFERROR(VLOOKUP(TEXT(O268,"0"),CONDUCTORES!$A$3:$G$54,2,0),"")</f>
        <v/>
      </c>
      <c r="Q268" s="332">
        <f>IFERROR(VLOOKUP(TEXT(O268,"0"),CONDUCTORES!$A$3:$H$54,6,0),"")</f>
        <v/>
      </c>
      <c r="R268" s="280" t="n"/>
      <c r="S268" s="280" t="n"/>
      <c r="T268" s="280" t="n"/>
      <c r="U268" s="280" t="n"/>
      <c r="V268" s="280" t="n"/>
      <c r="W268" s="280" t="n"/>
      <c r="X268" s="280" t="n"/>
      <c r="Y268" s="280" t="n"/>
    </row>
    <row r="269" ht="15" customHeight="1" s="195">
      <c r="A269" s="334" t="n"/>
      <c r="B269" s="334" t="n"/>
      <c r="C269" s="334" t="n"/>
      <c r="D269" s="334" t="n"/>
      <c r="E269" s="334" t="n"/>
      <c r="F269" s="334" t="n"/>
      <c r="G269" s="334" t="n"/>
      <c r="H269" s="334" t="n"/>
      <c r="I269" s="332">
        <f>IFERROR(VLOOKUP(TEXT(H269,"0"),IPRESS!$A$3:$B$212,2,0),"")</f>
        <v/>
      </c>
      <c r="J269" s="334" t="n"/>
      <c r="K269" s="332">
        <f>IFERROR(VLOOKUP(TEXT(O269,"0"),CONDUCTORES!$A$3:$G$54,7,0),"")</f>
        <v/>
      </c>
      <c r="L269" s="334" t="n"/>
      <c r="M269" s="334" t="n"/>
      <c r="N269" s="333">
        <f>IFERROR(IF(L269*M269=0,"",L269*M269),"")</f>
        <v/>
      </c>
      <c r="O269" s="334" t="n"/>
      <c r="P269" s="332">
        <f>IFERROR(VLOOKUP(TEXT(O269,"0"),CONDUCTORES!$A$3:$G$54,2,0),"")</f>
        <v/>
      </c>
      <c r="Q269" s="332">
        <f>IFERROR(VLOOKUP(TEXT(O269,"0"),CONDUCTORES!$A$3:$H$54,6,0),"")</f>
        <v/>
      </c>
      <c r="R269" s="334" t="n"/>
      <c r="S269" s="334" t="n"/>
      <c r="T269" s="334" t="n"/>
      <c r="U269" s="334" t="n"/>
      <c r="V269" s="334" t="n"/>
      <c r="W269" s="334" t="n"/>
      <c r="X269" s="334" t="n"/>
      <c r="Y269" s="334" t="n"/>
    </row>
    <row r="270" ht="15" customHeight="1" s="195">
      <c r="A270" s="280" t="n"/>
      <c r="B270" s="280" t="n"/>
      <c r="C270" s="280" t="n"/>
      <c r="D270" s="280" t="n"/>
      <c r="E270" s="280" t="n"/>
      <c r="F270" s="280" t="n"/>
      <c r="G270" s="280" t="n"/>
      <c r="H270" s="280" t="n"/>
      <c r="I270" s="332">
        <f>IFERROR(VLOOKUP(TEXT(H270,"0"),IPRESS!$A$3:$B$212,2,0),"")</f>
        <v/>
      </c>
      <c r="J270" s="280" t="n"/>
      <c r="K270" s="332">
        <f>IFERROR(VLOOKUP(TEXT(O270,"0"),CONDUCTORES!$A$3:$G$54,7,0),"")</f>
        <v/>
      </c>
      <c r="L270" s="280" t="n"/>
      <c r="M270" s="280" t="n"/>
      <c r="N270" s="333">
        <f>IFERROR(IF(L270*M270=0,"",L270*M270),"")</f>
        <v/>
      </c>
      <c r="O270" s="280" t="n"/>
      <c r="P270" s="332">
        <f>IFERROR(VLOOKUP(TEXT(O270,"0"),CONDUCTORES!$A$3:$G$54,2,0),"")</f>
        <v/>
      </c>
      <c r="Q270" s="332">
        <f>IFERROR(VLOOKUP(TEXT(O270,"0"),CONDUCTORES!$A$3:$H$54,6,0),"")</f>
        <v/>
      </c>
      <c r="R270" s="280" t="n"/>
      <c r="S270" s="280" t="n"/>
      <c r="T270" s="280" t="n"/>
      <c r="U270" s="280" t="n"/>
      <c r="V270" s="280" t="n"/>
      <c r="W270" s="280" t="n"/>
      <c r="X270" s="280" t="n"/>
      <c r="Y270" s="280" t="n"/>
    </row>
    <row r="271" ht="15" customHeight="1" s="195">
      <c r="A271" s="334" t="n"/>
      <c r="B271" s="334" t="n"/>
      <c r="C271" s="334" t="n"/>
      <c r="D271" s="334" t="n"/>
      <c r="E271" s="334" t="n"/>
      <c r="F271" s="334" t="n"/>
      <c r="G271" s="334" t="n"/>
      <c r="H271" s="334" t="n"/>
      <c r="I271" s="332">
        <f>IFERROR(VLOOKUP(TEXT(H271,"0"),IPRESS!$A$3:$B$212,2,0),"")</f>
        <v/>
      </c>
      <c r="J271" s="334" t="n"/>
      <c r="K271" s="332">
        <f>IFERROR(VLOOKUP(TEXT(O271,"0"),CONDUCTORES!$A$3:$G$54,7,0),"")</f>
        <v/>
      </c>
      <c r="L271" s="334" t="n"/>
      <c r="M271" s="334" t="n"/>
      <c r="N271" s="333">
        <f>IFERROR(IF(L271*M271=0,"",L271*M271),"")</f>
        <v/>
      </c>
      <c r="O271" s="334" t="n"/>
      <c r="P271" s="332">
        <f>IFERROR(VLOOKUP(TEXT(O271,"0"),CONDUCTORES!$A$3:$G$54,2,0),"")</f>
        <v/>
      </c>
      <c r="Q271" s="332">
        <f>IFERROR(VLOOKUP(TEXT(O271,"0"),CONDUCTORES!$A$3:$H$54,6,0),"")</f>
        <v/>
      </c>
      <c r="R271" s="334" t="n"/>
      <c r="S271" s="334" t="n"/>
      <c r="T271" s="334" t="n"/>
      <c r="U271" s="334" t="n"/>
      <c r="V271" s="334" t="n"/>
      <c r="W271" s="334" t="n"/>
      <c r="X271" s="334" t="n"/>
      <c r="Y271" s="334" t="n"/>
    </row>
    <row r="272" ht="15" customHeight="1" s="195">
      <c r="A272" s="280" t="n"/>
      <c r="B272" s="280" t="n"/>
      <c r="C272" s="280" t="n"/>
      <c r="D272" s="280" t="n"/>
      <c r="E272" s="280" t="n"/>
      <c r="F272" s="280" t="n"/>
      <c r="G272" s="280" t="n"/>
      <c r="H272" s="280" t="n"/>
      <c r="I272" s="332">
        <f>IFERROR(VLOOKUP(TEXT(H272,"0"),IPRESS!$A$3:$B$212,2,0),"")</f>
        <v/>
      </c>
      <c r="J272" s="280" t="n"/>
      <c r="K272" s="332">
        <f>IFERROR(VLOOKUP(TEXT(O272,"0"),CONDUCTORES!$A$3:$G$54,7,0),"")</f>
        <v/>
      </c>
      <c r="L272" s="280" t="n"/>
      <c r="M272" s="280" t="n"/>
      <c r="N272" s="333">
        <f>IFERROR(IF(L272*M272=0,"",L272*M272),"")</f>
        <v/>
      </c>
      <c r="O272" s="280" t="n"/>
      <c r="P272" s="332">
        <f>IFERROR(VLOOKUP(TEXT(O272,"0"),CONDUCTORES!$A$3:$G$54,2,0),"")</f>
        <v/>
      </c>
      <c r="Q272" s="332">
        <f>IFERROR(VLOOKUP(TEXT(O272,"0"),CONDUCTORES!$A$3:$H$54,6,0),"")</f>
        <v/>
      </c>
      <c r="R272" s="280" t="n"/>
      <c r="S272" s="280" t="n"/>
      <c r="T272" s="280" t="n"/>
      <c r="U272" s="280" t="n"/>
      <c r="V272" s="280" t="n"/>
      <c r="W272" s="280" t="n"/>
      <c r="X272" s="280" t="n"/>
      <c r="Y272" s="280" t="n"/>
    </row>
    <row r="273" ht="15" customHeight="1" s="195">
      <c r="A273" s="334" t="n"/>
      <c r="B273" s="334" t="n"/>
      <c r="C273" s="334" t="n"/>
      <c r="D273" s="334" t="n"/>
      <c r="E273" s="334" t="n"/>
      <c r="F273" s="334" t="n"/>
      <c r="G273" s="334" t="n"/>
      <c r="H273" s="334" t="n"/>
      <c r="I273" s="332">
        <f>IFERROR(VLOOKUP(TEXT(H273,"0"),IPRESS!$A$3:$B$212,2,0),"")</f>
        <v/>
      </c>
      <c r="J273" s="334" t="n"/>
      <c r="K273" s="332">
        <f>IFERROR(VLOOKUP(TEXT(O273,"0"),CONDUCTORES!$A$3:$G$54,7,0),"")</f>
        <v/>
      </c>
      <c r="L273" s="334" t="n"/>
      <c r="M273" s="334" t="n"/>
      <c r="N273" s="333">
        <f>IFERROR(IF(L273*M273=0,"",L273*M273),"")</f>
        <v/>
      </c>
      <c r="O273" s="334" t="n"/>
      <c r="P273" s="332">
        <f>IFERROR(VLOOKUP(TEXT(O273,"0"),CONDUCTORES!$A$3:$G$54,2,0),"")</f>
        <v/>
      </c>
      <c r="Q273" s="332">
        <f>IFERROR(VLOOKUP(TEXT(O273,"0"),CONDUCTORES!$A$3:$H$54,6,0),"")</f>
        <v/>
      </c>
      <c r="R273" s="334" t="n"/>
      <c r="S273" s="334" t="n"/>
      <c r="T273" s="334" t="n"/>
      <c r="U273" s="334" t="n"/>
      <c r="V273" s="334" t="n"/>
      <c r="W273" s="334" t="n"/>
      <c r="X273" s="334" t="n"/>
      <c r="Y273" s="334" t="n"/>
    </row>
    <row r="274" ht="15" customHeight="1" s="195">
      <c r="A274" s="280" t="n"/>
      <c r="B274" s="280" t="n"/>
      <c r="C274" s="280" t="n"/>
      <c r="D274" s="280" t="n"/>
      <c r="E274" s="280" t="n"/>
      <c r="F274" s="280" t="n"/>
      <c r="G274" s="280" t="n"/>
      <c r="H274" s="280" t="n"/>
      <c r="I274" s="332">
        <f>IFERROR(VLOOKUP(TEXT(H274,"0"),IPRESS!$A$3:$B$212,2,0),"")</f>
        <v/>
      </c>
      <c r="J274" s="280" t="n"/>
      <c r="K274" s="332">
        <f>IFERROR(VLOOKUP(TEXT(O274,"0"),CONDUCTORES!$A$3:$G$54,7,0),"")</f>
        <v/>
      </c>
      <c r="L274" s="280" t="n"/>
      <c r="M274" s="280" t="n"/>
      <c r="N274" s="333">
        <f>IFERROR(IF(L274*M274=0,"",L274*M274),"")</f>
        <v/>
      </c>
      <c r="O274" s="280" t="n"/>
      <c r="P274" s="332">
        <f>IFERROR(VLOOKUP(TEXT(O274,"0"),CONDUCTORES!$A$3:$G$54,2,0),"")</f>
        <v/>
      </c>
      <c r="Q274" s="332">
        <f>IFERROR(VLOOKUP(TEXT(O274,"0"),CONDUCTORES!$A$3:$H$54,6,0),"")</f>
        <v/>
      </c>
      <c r="R274" s="280" t="n"/>
      <c r="S274" s="280" t="n"/>
      <c r="T274" s="280" t="n"/>
      <c r="U274" s="280" t="n"/>
      <c r="V274" s="280" t="n"/>
      <c r="W274" s="280" t="n"/>
      <c r="X274" s="280" t="n"/>
      <c r="Y274" s="280" t="n"/>
    </row>
    <row r="275" ht="15" customHeight="1" s="195">
      <c r="A275" s="334" t="n"/>
      <c r="B275" s="334" t="n"/>
      <c r="C275" s="334" t="n"/>
      <c r="D275" s="334" t="n"/>
      <c r="E275" s="334" t="n"/>
      <c r="F275" s="334" t="n"/>
      <c r="G275" s="334" t="n"/>
      <c r="H275" s="334" t="n"/>
      <c r="I275" s="332">
        <f>IFERROR(VLOOKUP(TEXT(H275,"0"),IPRESS!$A$3:$B$212,2,0),"")</f>
        <v/>
      </c>
      <c r="J275" s="334" t="n"/>
      <c r="K275" s="332">
        <f>IFERROR(VLOOKUP(TEXT(O275,"0"),CONDUCTORES!$A$3:$G$54,7,0),"")</f>
        <v/>
      </c>
      <c r="L275" s="334" t="n"/>
      <c r="M275" s="334" t="n"/>
      <c r="N275" s="333">
        <f>IFERROR(IF(L275*M275=0,"",L275*M275),"")</f>
        <v/>
      </c>
      <c r="O275" s="334" t="n"/>
      <c r="P275" s="332">
        <f>IFERROR(VLOOKUP(TEXT(O275,"0"),CONDUCTORES!$A$3:$G$54,2,0),"")</f>
        <v/>
      </c>
      <c r="Q275" s="332">
        <f>IFERROR(VLOOKUP(TEXT(O275,"0"),CONDUCTORES!$A$3:$H$54,6,0),"")</f>
        <v/>
      </c>
      <c r="R275" s="334" t="n"/>
      <c r="S275" s="334" t="n"/>
      <c r="T275" s="334" t="n"/>
      <c r="U275" s="334" t="n"/>
      <c r="V275" s="334" t="n"/>
      <c r="W275" s="334" t="n"/>
      <c r="X275" s="334" t="n"/>
      <c r="Y275" s="334" t="n"/>
    </row>
    <row r="276" ht="15" customHeight="1" s="195">
      <c r="A276" s="280" t="n"/>
      <c r="B276" s="280" t="n"/>
      <c r="C276" s="280" t="n"/>
      <c r="D276" s="280" t="n"/>
      <c r="E276" s="280" t="n"/>
      <c r="F276" s="280" t="n"/>
      <c r="G276" s="280" t="n"/>
      <c r="H276" s="280" t="n"/>
      <c r="I276" s="332">
        <f>IFERROR(VLOOKUP(TEXT(H276,"0"),IPRESS!$A$3:$B$212,2,0),"")</f>
        <v/>
      </c>
      <c r="J276" s="280" t="n"/>
      <c r="K276" s="332">
        <f>IFERROR(VLOOKUP(TEXT(O276,"0"),CONDUCTORES!$A$3:$G$54,7,0),"")</f>
        <v/>
      </c>
      <c r="L276" s="280" t="n"/>
      <c r="M276" s="280" t="n"/>
      <c r="N276" s="333">
        <f>IFERROR(IF(L276*M276=0,"",L276*M276),"")</f>
        <v/>
      </c>
      <c r="O276" s="280" t="n"/>
      <c r="P276" s="332">
        <f>IFERROR(VLOOKUP(TEXT(O276,"0"),CONDUCTORES!$A$3:$G$54,2,0),"")</f>
        <v/>
      </c>
      <c r="Q276" s="332">
        <f>IFERROR(VLOOKUP(TEXT(O276,"0"),CONDUCTORES!$A$3:$H$54,6,0),"")</f>
        <v/>
      </c>
      <c r="R276" s="280" t="n"/>
      <c r="S276" s="280" t="n"/>
      <c r="T276" s="280" t="n"/>
      <c r="U276" s="280" t="n"/>
      <c r="V276" s="280" t="n"/>
      <c r="W276" s="280" t="n"/>
      <c r="X276" s="280" t="n"/>
      <c r="Y276" s="280" t="n"/>
    </row>
    <row r="277" ht="15" customHeight="1" s="195">
      <c r="A277" s="334" t="n"/>
      <c r="B277" s="334" t="n"/>
      <c r="C277" s="334" t="n"/>
      <c r="D277" s="334" t="n"/>
      <c r="E277" s="334" t="n"/>
      <c r="F277" s="334" t="n"/>
      <c r="G277" s="334" t="n"/>
      <c r="H277" s="334" t="n"/>
      <c r="I277" s="332">
        <f>IFERROR(VLOOKUP(TEXT(H277,"0"),IPRESS!$A$3:$B$212,2,0),"")</f>
        <v/>
      </c>
      <c r="J277" s="334" t="n"/>
      <c r="K277" s="332">
        <f>IFERROR(VLOOKUP(TEXT(O277,"0"),CONDUCTORES!$A$3:$G$54,7,0),"")</f>
        <v/>
      </c>
      <c r="L277" s="334" t="n"/>
      <c r="M277" s="334" t="n"/>
      <c r="N277" s="333">
        <f>IFERROR(IF(L277*M277=0,"",L277*M277),"")</f>
        <v/>
      </c>
      <c r="O277" s="334" t="n"/>
      <c r="P277" s="332">
        <f>IFERROR(VLOOKUP(TEXT(O277,"0"),CONDUCTORES!$A$3:$G$54,2,0),"")</f>
        <v/>
      </c>
      <c r="Q277" s="332">
        <f>IFERROR(VLOOKUP(TEXT(O277,"0"),CONDUCTORES!$A$3:$H$54,6,0),"")</f>
        <v/>
      </c>
      <c r="R277" s="334" t="n"/>
      <c r="S277" s="334" t="n"/>
      <c r="T277" s="334" t="n"/>
      <c r="U277" s="334" t="n"/>
      <c r="V277" s="334" t="n"/>
      <c r="W277" s="334" t="n"/>
      <c r="X277" s="334" t="n"/>
      <c r="Y277" s="334" t="n"/>
    </row>
    <row r="278" ht="15" customHeight="1" s="195">
      <c r="A278" s="280" t="n"/>
      <c r="B278" s="280" t="n"/>
      <c r="C278" s="280" t="n"/>
      <c r="D278" s="280" t="n"/>
      <c r="E278" s="280" t="n"/>
      <c r="F278" s="280" t="n"/>
      <c r="G278" s="280" t="n"/>
      <c r="H278" s="280" t="n"/>
      <c r="I278" s="332">
        <f>IFERROR(VLOOKUP(TEXT(H278,"0"),IPRESS!$A$3:$B$212,2,0),"")</f>
        <v/>
      </c>
      <c r="J278" s="280" t="n"/>
      <c r="K278" s="332">
        <f>IFERROR(VLOOKUP(TEXT(O278,"0"),CONDUCTORES!$A$3:$G$54,7,0),"")</f>
        <v/>
      </c>
      <c r="L278" s="280" t="n"/>
      <c r="M278" s="280" t="n"/>
      <c r="N278" s="333">
        <f>IFERROR(IF(L278*M278=0,"",L278*M278),"")</f>
        <v/>
      </c>
      <c r="O278" s="280" t="n"/>
      <c r="P278" s="332">
        <f>IFERROR(VLOOKUP(TEXT(O278,"0"),CONDUCTORES!$A$3:$G$54,2,0),"")</f>
        <v/>
      </c>
      <c r="Q278" s="332">
        <f>IFERROR(VLOOKUP(TEXT(O278,"0"),CONDUCTORES!$A$3:$H$54,6,0),"")</f>
        <v/>
      </c>
      <c r="R278" s="280" t="n"/>
      <c r="S278" s="280" t="n"/>
      <c r="T278" s="280" t="n"/>
      <c r="U278" s="280" t="n"/>
      <c r="V278" s="280" t="n"/>
      <c r="W278" s="280" t="n"/>
      <c r="X278" s="280" t="n"/>
      <c r="Y278" s="280" t="n"/>
    </row>
    <row r="279" ht="15" customHeight="1" s="195">
      <c r="A279" s="334" t="n"/>
      <c r="B279" s="334" t="n"/>
      <c r="C279" s="334" t="n"/>
      <c r="D279" s="334" t="n"/>
      <c r="E279" s="334" t="n"/>
      <c r="F279" s="334" t="n"/>
      <c r="G279" s="334" t="n"/>
      <c r="H279" s="334" t="n"/>
      <c r="I279" s="332">
        <f>IFERROR(VLOOKUP(TEXT(H279,"0"),IPRESS!$A$3:$B$212,2,0),"")</f>
        <v/>
      </c>
      <c r="J279" s="334" t="n"/>
      <c r="K279" s="332">
        <f>IFERROR(VLOOKUP(TEXT(O279,"0"),CONDUCTORES!$A$3:$G$54,7,0),"")</f>
        <v/>
      </c>
      <c r="L279" s="334" t="n"/>
      <c r="M279" s="334" t="n"/>
      <c r="N279" s="333">
        <f>IFERROR(IF(L279*M279=0,"",L279*M279),"")</f>
        <v/>
      </c>
      <c r="O279" s="334" t="n"/>
      <c r="P279" s="332">
        <f>IFERROR(VLOOKUP(TEXT(O279,"0"),CONDUCTORES!$A$3:$G$54,2,0),"")</f>
        <v/>
      </c>
      <c r="Q279" s="332">
        <f>IFERROR(VLOOKUP(TEXT(O279,"0"),CONDUCTORES!$A$3:$H$54,6,0),"")</f>
        <v/>
      </c>
      <c r="R279" s="334" t="n"/>
      <c r="S279" s="334" t="n"/>
      <c r="T279" s="334" t="n"/>
      <c r="U279" s="334" t="n"/>
      <c r="V279" s="334" t="n"/>
      <c r="W279" s="334" t="n"/>
      <c r="X279" s="334" t="n"/>
      <c r="Y279" s="334" t="n"/>
    </row>
    <row r="280" ht="15" customHeight="1" s="195">
      <c r="A280" s="280" t="n"/>
      <c r="B280" s="280" t="n"/>
      <c r="C280" s="280" t="n"/>
      <c r="D280" s="280" t="n"/>
      <c r="E280" s="280" t="n"/>
      <c r="F280" s="280" t="n"/>
      <c r="G280" s="280" t="n"/>
      <c r="H280" s="280" t="n"/>
      <c r="I280" s="332">
        <f>IFERROR(VLOOKUP(TEXT(H280,"0"),IPRESS!$A$3:$B$212,2,0),"")</f>
        <v/>
      </c>
      <c r="J280" s="280" t="n"/>
      <c r="K280" s="332">
        <f>IFERROR(VLOOKUP(TEXT(O280,"0"),CONDUCTORES!$A$3:$G$54,7,0),"")</f>
        <v/>
      </c>
      <c r="L280" s="280" t="n"/>
      <c r="M280" s="280" t="n"/>
      <c r="N280" s="333">
        <f>IFERROR(IF(L280*M280=0,"",L280*M280),"")</f>
        <v/>
      </c>
      <c r="O280" s="280" t="n"/>
      <c r="P280" s="332">
        <f>IFERROR(VLOOKUP(TEXT(O280,"0"),CONDUCTORES!$A$3:$G$54,2,0),"")</f>
        <v/>
      </c>
      <c r="Q280" s="332">
        <f>IFERROR(VLOOKUP(TEXT(O280,"0"),CONDUCTORES!$A$3:$H$54,6,0),"")</f>
        <v/>
      </c>
      <c r="R280" s="280" t="n"/>
      <c r="S280" s="280" t="n"/>
      <c r="T280" s="280" t="n"/>
      <c r="U280" s="280" t="n"/>
      <c r="V280" s="280" t="n"/>
      <c r="W280" s="280" t="n"/>
      <c r="X280" s="280" t="n"/>
      <c r="Y280" s="280" t="n"/>
    </row>
    <row r="281" ht="15" customHeight="1" s="195">
      <c r="A281" s="334" t="n"/>
      <c r="B281" s="334" t="n"/>
      <c r="C281" s="334" t="n"/>
      <c r="D281" s="334" t="n"/>
      <c r="E281" s="334" t="n"/>
      <c r="F281" s="334" t="n"/>
      <c r="G281" s="334" t="n"/>
      <c r="H281" s="334" t="n"/>
      <c r="I281" s="332">
        <f>IFERROR(VLOOKUP(TEXT(H281,"0"),IPRESS!$A$3:$B$212,2,0),"")</f>
        <v/>
      </c>
      <c r="J281" s="334" t="n"/>
      <c r="K281" s="332">
        <f>IFERROR(VLOOKUP(TEXT(O281,"0"),CONDUCTORES!$A$3:$G$54,7,0),"")</f>
        <v/>
      </c>
      <c r="L281" s="334" t="n"/>
      <c r="M281" s="334" t="n"/>
      <c r="N281" s="333">
        <f>IFERROR(IF(L281*M281=0,"",L281*M281),"")</f>
        <v/>
      </c>
      <c r="O281" s="334" t="n"/>
      <c r="P281" s="332">
        <f>IFERROR(VLOOKUP(TEXT(O281,"0"),CONDUCTORES!$A$3:$G$54,2,0),"")</f>
        <v/>
      </c>
      <c r="Q281" s="332">
        <f>IFERROR(VLOOKUP(TEXT(O281,"0"),CONDUCTORES!$A$3:$H$54,6,0),"")</f>
        <v/>
      </c>
      <c r="R281" s="334" t="n"/>
      <c r="S281" s="334" t="n"/>
      <c r="T281" s="334" t="n"/>
      <c r="U281" s="334" t="n"/>
      <c r="V281" s="334" t="n"/>
      <c r="W281" s="334" t="n"/>
      <c r="X281" s="334" t="n"/>
      <c r="Y281" s="334" t="n"/>
    </row>
    <row r="282" ht="15" customHeight="1" s="195">
      <c r="A282" s="280" t="n"/>
      <c r="B282" s="280" t="n"/>
      <c r="C282" s="280" t="n"/>
      <c r="D282" s="280" t="n"/>
      <c r="E282" s="280" t="n"/>
      <c r="F282" s="280" t="n"/>
      <c r="G282" s="280" t="n"/>
      <c r="H282" s="280" t="n"/>
      <c r="I282" s="332">
        <f>IFERROR(VLOOKUP(TEXT(H282,"0"),IPRESS!$A$3:$B$212,2,0),"")</f>
        <v/>
      </c>
      <c r="J282" s="280" t="n"/>
      <c r="K282" s="332">
        <f>IFERROR(VLOOKUP(TEXT(O282,"0"),CONDUCTORES!$A$3:$G$54,7,0),"")</f>
        <v/>
      </c>
      <c r="L282" s="280" t="n"/>
      <c r="M282" s="280" t="n"/>
      <c r="N282" s="333">
        <f>IFERROR(IF(L282*M282=0,"",L282*M282),"")</f>
        <v/>
      </c>
      <c r="O282" s="280" t="n"/>
      <c r="P282" s="332">
        <f>IFERROR(VLOOKUP(TEXT(O282,"0"),CONDUCTORES!$A$3:$G$54,2,0),"")</f>
        <v/>
      </c>
      <c r="Q282" s="332">
        <f>IFERROR(VLOOKUP(TEXT(O282,"0"),CONDUCTORES!$A$3:$H$54,6,0),"")</f>
        <v/>
      </c>
      <c r="R282" s="280" t="n"/>
      <c r="S282" s="280" t="n"/>
      <c r="T282" s="280" t="n"/>
      <c r="U282" s="280" t="n"/>
      <c r="V282" s="280" t="n"/>
      <c r="W282" s="280" t="n"/>
      <c r="X282" s="280" t="n"/>
      <c r="Y282" s="280" t="n"/>
    </row>
    <row r="283" ht="15" customHeight="1" s="195">
      <c r="A283" s="334" t="n"/>
      <c r="B283" s="334" t="n"/>
      <c r="C283" s="334" t="n"/>
      <c r="D283" s="334" t="n"/>
      <c r="E283" s="334" t="n"/>
      <c r="F283" s="334" t="n"/>
      <c r="G283" s="334" t="n"/>
      <c r="H283" s="334" t="n"/>
      <c r="I283" s="332">
        <f>IFERROR(VLOOKUP(TEXT(H283,"0"),IPRESS!$A$3:$B$212,2,0),"")</f>
        <v/>
      </c>
      <c r="J283" s="334" t="n"/>
      <c r="K283" s="332">
        <f>IFERROR(VLOOKUP(TEXT(O283,"0"),CONDUCTORES!$A$3:$G$54,7,0),"")</f>
        <v/>
      </c>
      <c r="L283" s="334" t="n"/>
      <c r="M283" s="334" t="n"/>
      <c r="N283" s="333">
        <f>IFERROR(IF(L283*M283=0,"",L283*M283),"")</f>
        <v/>
      </c>
      <c r="O283" s="334" t="n"/>
      <c r="P283" s="332">
        <f>IFERROR(VLOOKUP(TEXT(O283,"0"),CONDUCTORES!$A$3:$G$54,2,0),"")</f>
        <v/>
      </c>
      <c r="Q283" s="332">
        <f>IFERROR(VLOOKUP(TEXT(O283,"0"),CONDUCTORES!$A$3:$H$54,6,0),"")</f>
        <v/>
      </c>
      <c r="R283" s="334" t="n"/>
      <c r="S283" s="334" t="n"/>
      <c r="T283" s="334" t="n"/>
      <c r="U283" s="334" t="n"/>
      <c r="V283" s="334" t="n"/>
      <c r="W283" s="334" t="n"/>
      <c r="X283" s="334" t="n"/>
      <c r="Y283" s="334" t="n"/>
    </row>
    <row r="284" ht="15" customHeight="1" s="195">
      <c r="A284" s="280" t="n"/>
      <c r="B284" s="280" t="n"/>
      <c r="C284" s="280" t="n"/>
      <c r="D284" s="280" t="n"/>
      <c r="E284" s="280" t="n"/>
      <c r="F284" s="280" t="n"/>
      <c r="G284" s="280" t="n"/>
      <c r="H284" s="280" t="n"/>
      <c r="I284" s="332">
        <f>IFERROR(VLOOKUP(TEXT(H284,"0"),IPRESS!$A$3:$B$212,2,0),"")</f>
        <v/>
      </c>
      <c r="J284" s="280" t="n"/>
      <c r="K284" s="332">
        <f>IFERROR(VLOOKUP(TEXT(O284,"0"),CONDUCTORES!$A$3:$G$54,7,0),"")</f>
        <v/>
      </c>
      <c r="L284" s="280" t="n"/>
      <c r="M284" s="280" t="n"/>
      <c r="N284" s="333">
        <f>IFERROR(IF(L284*M284=0,"",L284*M284),"")</f>
        <v/>
      </c>
      <c r="O284" s="280" t="n"/>
      <c r="P284" s="332">
        <f>IFERROR(VLOOKUP(TEXT(O284,"0"),CONDUCTORES!$A$3:$G$54,2,0),"")</f>
        <v/>
      </c>
      <c r="Q284" s="332">
        <f>IFERROR(VLOOKUP(TEXT(O284,"0"),CONDUCTORES!$A$3:$H$54,6,0),"")</f>
        <v/>
      </c>
      <c r="R284" s="280" t="n"/>
      <c r="S284" s="280" t="n"/>
      <c r="T284" s="280" t="n"/>
      <c r="U284" s="280" t="n"/>
      <c r="V284" s="280" t="n"/>
      <c r="W284" s="280" t="n"/>
      <c r="X284" s="280" t="n"/>
      <c r="Y284" s="280" t="n"/>
    </row>
    <row r="285" ht="15" customHeight="1" s="195">
      <c r="A285" s="334" t="n"/>
      <c r="B285" s="334" t="n"/>
      <c r="C285" s="334" t="n"/>
      <c r="D285" s="334" t="n"/>
      <c r="E285" s="334" t="n"/>
      <c r="F285" s="334" t="n"/>
      <c r="G285" s="334" t="n"/>
      <c r="H285" s="334" t="n"/>
      <c r="I285" s="332">
        <f>IFERROR(VLOOKUP(TEXT(H285,"0"),IPRESS!$A$3:$B$212,2,0),"")</f>
        <v/>
      </c>
      <c r="J285" s="334" t="n"/>
      <c r="K285" s="332">
        <f>IFERROR(VLOOKUP(TEXT(O285,"0"),CONDUCTORES!$A$3:$G$54,7,0),"")</f>
        <v/>
      </c>
      <c r="L285" s="334" t="n"/>
      <c r="M285" s="334" t="n"/>
      <c r="N285" s="333">
        <f>IFERROR(IF(L285*M285=0,"",L285*M285),"")</f>
        <v/>
      </c>
      <c r="O285" s="334" t="n"/>
      <c r="P285" s="332">
        <f>IFERROR(VLOOKUP(TEXT(O285,"0"),CONDUCTORES!$A$3:$G$54,2,0),"")</f>
        <v/>
      </c>
      <c r="Q285" s="332">
        <f>IFERROR(VLOOKUP(TEXT(O285,"0"),CONDUCTORES!$A$3:$H$54,6,0),"")</f>
        <v/>
      </c>
      <c r="R285" s="334" t="n"/>
      <c r="S285" s="334" t="n"/>
      <c r="T285" s="334" t="n"/>
      <c r="U285" s="334" t="n"/>
      <c r="V285" s="334" t="n"/>
      <c r="W285" s="334" t="n"/>
      <c r="X285" s="334" t="n"/>
      <c r="Y285" s="334" t="n"/>
    </row>
    <row r="286" ht="15" customHeight="1" s="195">
      <c r="A286" s="280" t="n"/>
      <c r="B286" s="280" t="n"/>
      <c r="C286" s="280" t="n"/>
      <c r="D286" s="280" t="n"/>
      <c r="E286" s="280" t="n"/>
      <c r="F286" s="280" t="n"/>
      <c r="G286" s="280" t="n"/>
      <c r="H286" s="280" t="n"/>
      <c r="I286" s="332">
        <f>IFERROR(VLOOKUP(TEXT(H286,"0"),IPRESS!$A$3:$B$212,2,0),"")</f>
        <v/>
      </c>
      <c r="J286" s="280" t="n"/>
      <c r="K286" s="332">
        <f>IFERROR(VLOOKUP(TEXT(O286,"0"),CONDUCTORES!$A$3:$G$54,7,0),"")</f>
        <v/>
      </c>
      <c r="L286" s="280" t="n"/>
      <c r="M286" s="280" t="n"/>
      <c r="N286" s="333">
        <f>IFERROR(IF(L286*M286=0,"",L286*M286),"")</f>
        <v/>
      </c>
      <c r="O286" s="280" t="n"/>
      <c r="P286" s="332">
        <f>IFERROR(VLOOKUP(TEXT(O286,"0"),CONDUCTORES!$A$3:$G$54,2,0),"")</f>
        <v/>
      </c>
      <c r="Q286" s="332">
        <f>IFERROR(VLOOKUP(TEXT(O286,"0"),CONDUCTORES!$A$3:$H$54,6,0),"")</f>
        <v/>
      </c>
      <c r="R286" s="280" t="n"/>
      <c r="S286" s="280" t="n"/>
      <c r="T286" s="280" t="n"/>
      <c r="U286" s="280" t="n"/>
      <c r="V286" s="280" t="n"/>
      <c r="W286" s="280" t="n"/>
      <c r="X286" s="280" t="n"/>
      <c r="Y286" s="280" t="n"/>
    </row>
    <row r="287" ht="15" customHeight="1" s="195">
      <c r="A287" s="334" t="n"/>
      <c r="B287" s="334" t="n"/>
      <c r="C287" s="334" t="n"/>
      <c r="D287" s="334" t="n"/>
      <c r="E287" s="334" t="n"/>
      <c r="F287" s="334" t="n"/>
      <c r="G287" s="334" t="n"/>
      <c r="H287" s="334" t="n"/>
      <c r="I287" s="332">
        <f>IFERROR(VLOOKUP(TEXT(H287,"0"),IPRESS!$A$3:$B$212,2,0),"")</f>
        <v/>
      </c>
      <c r="J287" s="334" t="n"/>
      <c r="K287" s="332">
        <f>IFERROR(VLOOKUP(TEXT(O287,"0"),CONDUCTORES!$A$3:$G$54,7,0),"")</f>
        <v/>
      </c>
      <c r="L287" s="334" t="n"/>
      <c r="M287" s="334" t="n"/>
      <c r="N287" s="333">
        <f>IFERROR(IF(L287*M287=0,"",L287*M287),"")</f>
        <v/>
      </c>
      <c r="O287" s="334" t="n"/>
      <c r="P287" s="332">
        <f>IFERROR(VLOOKUP(TEXT(O287,"0"),CONDUCTORES!$A$3:$G$54,2,0),"")</f>
        <v/>
      </c>
      <c r="Q287" s="332">
        <f>IFERROR(VLOOKUP(TEXT(O287,"0"),CONDUCTORES!$A$3:$H$54,6,0),"")</f>
        <v/>
      </c>
      <c r="R287" s="334" t="n"/>
      <c r="S287" s="334" t="n"/>
      <c r="T287" s="334" t="n"/>
      <c r="U287" s="334" t="n"/>
      <c r="V287" s="334" t="n"/>
      <c r="W287" s="334" t="n"/>
      <c r="X287" s="334" t="n"/>
      <c r="Y287" s="334" t="n"/>
    </row>
    <row r="288" ht="15" customHeight="1" s="195">
      <c r="A288" s="280" t="n"/>
      <c r="B288" s="280" t="n"/>
      <c r="C288" s="280" t="n"/>
      <c r="D288" s="280" t="n"/>
      <c r="E288" s="280" t="n"/>
      <c r="F288" s="280" t="n"/>
      <c r="G288" s="280" t="n"/>
      <c r="H288" s="280" t="n"/>
      <c r="I288" s="332">
        <f>IFERROR(VLOOKUP(TEXT(H288,"0"),IPRESS!$A$3:$B$212,2,0),"")</f>
        <v/>
      </c>
      <c r="J288" s="280" t="n"/>
      <c r="K288" s="332">
        <f>IFERROR(VLOOKUP(TEXT(O288,"0"),CONDUCTORES!$A$3:$G$54,7,0),"")</f>
        <v/>
      </c>
      <c r="L288" s="280" t="n"/>
      <c r="M288" s="280" t="n"/>
      <c r="N288" s="333">
        <f>IFERROR(IF(L288*M288=0,"",L288*M288),"")</f>
        <v/>
      </c>
      <c r="O288" s="280" t="n"/>
      <c r="P288" s="332">
        <f>IFERROR(VLOOKUP(TEXT(O288,"0"),CONDUCTORES!$A$3:$G$54,2,0),"")</f>
        <v/>
      </c>
      <c r="Q288" s="332">
        <f>IFERROR(VLOOKUP(TEXT(O288,"0"),CONDUCTORES!$A$3:$H$54,6,0),"")</f>
        <v/>
      </c>
      <c r="R288" s="280" t="n"/>
      <c r="S288" s="280" t="n"/>
      <c r="T288" s="280" t="n"/>
      <c r="U288" s="280" t="n"/>
      <c r="V288" s="280" t="n"/>
      <c r="W288" s="280" t="n"/>
      <c r="X288" s="280" t="n"/>
      <c r="Y288" s="280" t="n"/>
    </row>
    <row r="289" ht="15" customHeight="1" s="195">
      <c r="A289" s="334" t="n"/>
      <c r="B289" s="334" t="n"/>
      <c r="C289" s="334" t="n"/>
      <c r="D289" s="334" t="n"/>
      <c r="E289" s="334" t="n"/>
      <c r="F289" s="334" t="n"/>
      <c r="G289" s="334" t="n"/>
      <c r="H289" s="334" t="n"/>
      <c r="I289" s="332">
        <f>IFERROR(VLOOKUP(TEXT(H289,"0"),IPRESS!$A$3:$B$212,2,0),"")</f>
        <v/>
      </c>
      <c r="J289" s="334" t="n"/>
      <c r="K289" s="332">
        <f>IFERROR(VLOOKUP(TEXT(O289,"0"),CONDUCTORES!$A$3:$G$54,7,0),"")</f>
        <v/>
      </c>
      <c r="L289" s="334" t="n"/>
      <c r="M289" s="334" t="n"/>
      <c r="N289" s="333">
        <f>IFERROR(IF(L289*M289=0,"",L289*M289),"")</f>
        <v/>
      </c>
      <c r="O289" s="334" t="n"/>
      <c r="P289" s="332">
        <f>IFERROR(VLOOKUP(TEXT(O289,"0"),CONDUCTORES!$A$3:$G$54,2,0),"")</f>
        <v/>
      </c>
      <c r="Q289" s="332">
        <f>IFERROR(VLOOKUP(TEXT(O289,"0"),CONDUCTORES!$A$3:$H$54,6,0),"")</f>
        <v/>
      </c>
      <c r="R289" s="334" t="n"/>
      <c r="S289" s="334" t="n"/>
      <c r="T289" s="334" t="n"/>
      <c r="U289" s="334" t="n"/>
      <c r="V289" s="334" t="n"/>
      <c r="W289" s="334" t="n"/>
      <c r="X289" s="334" t="n"/>
      <c r="Y289" s="334" t="n"/>
    </row>
    <row r="290" ht="15" customHeight="1" s="195">
      <c r="A290" s="280" t="n"/>
      <c r="B290" s="280" t="n"/>
      <c r="C290" s="280" t="n"/>
      <c r="D290" s="280" t="n"/>
      <c r="E290" s="280" t="n"/>
      <c r="F290" s="280" t="n"/>
      <c r="G290" s="280" t="n"/>
      <c r="H290" s="280" t="n"/>
      <c r="I290" s="332">
        <f>IFERROR(VLOOKUP(TEXT(H290,"0"),IPRESS!$A$3:$B$212,2,0),"")</f>
        <v/>
      </c>
      <c r="J290" s="280" t="n"/>
      <c r="K290" s="332">
        <f>IFERROR(VLOOKUP(TEXT(O290,"0"),CONDUCTORES!$A$3:$G$54,7,0),"")</f>
        <v/>
      </c>
      <c r="L290" s="280" t="n"/>
      <c r="M290" s="280" t="n"/>
      <c r="N290" s="333">
        <f>IFERROR(IF(L290*M290=0,"",L290*M290),"")</f>
        <v/>
      </c>
      <c r="O290" s="280" t="n"/>
      <c r="P290" s="332">
        <f>IFERROR(VLOOKUP(TEXT(O290,"0"),CONDUCTORES!$A$3:$G$54,2,0),"")</f>
        <v/>
      </c>
      <c r="Q290" s="332">
        <f>IFERROR(VLOOKUP(TEXT(O290,"0"),CONDUCTORES!$A$3:$H$54,6,0),"")</f>
        <v/>
      </c>
      <c r="R290" s="280" t="n"/>
      <c r="S290" s="280" t="n"/>
      <c r="T290" s="280" t="n"/>
      <c r="U290" s="280" t="n"/>
      <c r="V290" s="280" t="n"/>
      <c r="W290" s="280" t="n"/>
      <c r="X290" s="280" t="n"/>
      <c r="Y290" s="280" t="n"/>
    </row>
    <row r="291" ht="15" customHeight="1" s="195">
      <c r="A291" s="334" t="n"/>
      <c r="B291" s="334" t="n"/>
      <c r="C291" s="334" t="n"/>
      <c r="D291" s="334" t="n"/>
      <c r="E291" s="334" t="n"/>
      <c r="F291" s="334" t="n"/>
      <c r="G291" s="334" t="n"/>
      <c r="H291" s="334" t="n"/>
      <c r="I291" s="332">
        <f>IFERROR(VLOOKUP(TEXT(H291,"0"),IPRESS!$A$3:$B$212,2,0),"")</f>
        <v/>
      </c>
      <c r="J291" s="334" t="n"/>
      <c r="K291" s="332">
        <f>IFERROR(VLOOKUP(TEXT(O291,"0"),CONDUCTORES!$A$3:$G$54,7,0),"")</f>
        <v/>
      </c>
      <c r="L291" s="334" t="n"/>
      <c r="M291" s="334" t="n"/>
      <c r="N291" s="333">
        <f>IFERROR(IF(L291*M291=0,"",L291*M291),"")</f>
        <v/>
      </c>
      <c r="O291" s="334" t="n"/>
      <c r="P291" s="332">
        <f>IFERROR(VLOOKUP(TEXT(O291,"0"),CONDUCTORES!$A$3:$G$54,2,0),"")</f>
        <v/>
      </c>
      <c r="Q291" s="332">
        <f>IFERROR(VLOOKUP(TEXT(O291,"0"),CONDUCTORES!$A$3:$H$54,6,0),"")</f>
        <v/>
      </c>
      <c r="R291" s="334" t="n"/>
      <c r="S291" s="334" t="n"/>
      <c r="T291" s="334" t="n"/>
      <c r="U291" s="334" t="n"/>
      <c r="V291" s="334" t="n"/>
      <c r="W291" s="334" t="n"/>
      <c r="X291" s="334" t="n"/>
      <c r="Y291" s="334" t="n"/>
    </row>
    <row r="292" ht="15" customHeight="1" s="195">
      <c r="A292" s="280" t="n"/>
      <c r="B292" s="280" t="n"/>
      <c r="C292" s="280" t="n"/>
      <c r="D292" s="280" t="n"/>
      <c r="E292" s="280" t="n"/>
      <c r="F292" s="280" t="n"/>
      <c r="G292" s="280" t="n"/>
      <c r="H292" s="280" t="n"/>
      <c r="I292" s="332">
        <f>IFERROR(VLOOKUP(TEXT(H292,"0"),IPRESS!$A$3:$B$212,2,0),"")</f>
        <v/>
      </c>
      <c r="J292" s="280" t="n"/>
      <c r="K292" s="332">
        <f>IFERROR(VLOOKUP(TEXT(O292,"0"),CONDUCTORES!$A$3:$G$54,7,0),"")</f>
        <v/>
      </c>
      <c r="L292" s="280" t="n"/>
      <c r="M292" s="280" t="n"/>
      <c r="N292" s="333">
        <f>IFERROR(IF(L292*M292=0,"",L292*M292),"")</f>
        <v/>
      </c>
      <c r="O292" s="280" t="n"/>
      <c r="P292" s="332">
        <f>IFERROR(VLOOKUP(TEXT(O292,"0"),CONDUCTORES!$A$3:$G$54,2,0),"")</f>
        <v/>
      </c>
      <c r="Q292" s="332">
        <f>IFERROR(VLOOKUP(TEXT(O292,"0"),CONDUCTORES!$A$3:$H$54,6,0),"")</f>
        <v/>
      </c>
      <c r="R292" s="280" t="n"/>
      <c r="S292" s="280" t="n"/>
      <c r="T292" s="280" t="n"/>
      <c r="U292" s="280" t="n"/>
      <c r="V292" s="280" t="n"/>
      <c r="W292" s="280" t="n"/>
      <c r="X292" s="280" t="n"/>
      <c r="Y292" s="280" t="n"/>
    </row>
    <row r="293" ht="15" customHeight="1" s="195">
      <c r="A293" s="334" t="n"/>
      <c r="B293" s="334" t="n"/>
      <c r="C293" s="334" t="n"/>
      <c r="D293" s="334" t="n"/>
      <c r="E293" s="334" t="n"/>
      <c r="F293" s="334" t="n"/>
      <c r="G293" s="334" t="n"/>
      <c r="H293" s="334" t="n"/>
      <c r="I293" s="332">
        <f>IFERROR(VLOOKUP(TEXT(H293,"0"),IPRESS!$A$3:$B$212,2,0),"")</f>
        <v/>
      </c>
      <c r="J293" s="334" t="n"/>
      <c r="K293" s="332">
        <f>IFERROR(VLOOKUP(TEXT(O293,"0"),CONDUCTORES!$A$3:$G$54,7,0),"")</f>
        <v/>
      </c>
      <c r="L293" s="334" t="n"/>
      <c r="M293" s="334" t="n"/>
      <c r="N293" s="333">
        <f>IFERROR(IF(L293*M293=0,"",L293*M293),"")</f>
        <v/>
      </c>
      <c r="O293" s="334" t="n"/>
      <c r="P293" s="332">
        <f>IFERROR(VLOOKUP(TEXT(O293,"0"),CONDUCTORES!$A$3:$G$54,2,0),"")</f>
        <v/>
      </c>
      <c r="Q293" s="332">
        <f>IFERROR(VLOOKUP(TEXT(O293,"0"),CONDUCTORES!$A$3:$H$54,6,0),"")</f>
        <v/>
      </c>
      <c r="R293" s="334" t="n"/>
      <c r="S293" s="334" t="n"/>
      <c r="T293" s="334" t="n"/>
      <c r="U293" s="334" t="n"/>
      <c r="V293" s="334" t="n"/>
      <c r="W293" s="334" t="n"/>
      <c r="X293" s="334" t="n"/>
      <c r="Y293" s="334" t="n"/>
    </row>
    <row r="294" ht="15" customHeight="1" s="195">
      <c r="A294" s="280" t="n"/>
      <c r="B294" s="280" t="n"/>
      <c r="C294" s="280" t="n"/>
      <c r="D294" s="280" t="n"/>
      <c r="E294" s="280" t="n"/>
      <c r="F294" s="280" t="n"/>
      <c r="G294" s="280" t="n"/>
      <c r="H294" s="280" t="n"/>
      <c r="I294" s="332">
        <f>IFERROR(VLOOKUP(TEXT(H294,"0"),IPRESS!$A$3:$B$212,2,0),"")</f>
        <v/>
      </c>
      <c r="J294" s="280" t="n"/>
      <c r="K294" s="332">
        <f>IFERROR(VLOOKUP(TEXT(O294,"0"),CONDUCTORES!$A$3:$G$54,7,0),"")</f>
        <v/>
      </c>
      <c r="L294" s="280" t="n"/>
      <c r="M294" s="280" t="n"/>
      <c r="N294" s="333">
        <f>IFERROR(IF(L294*M294=0,"",L294*M294),"")</f>
        <v/>
      </c>
      <c r="O294" s="280" t="n"/>
      <c r="P294" s="332">
        <f>IFERROR(VLOOKUP(TEXT(O294,"0"),CONDUCTORES!$A$3:$G$54,2,0),"")</f>
        <v/>
      </c>
      <c r="Q294" s="332">
        <f>IFERROR(VLOOKUP(TEXT(O294,"0"),CONDUCTORES!$A$3:$H$54,6,0),"")</f>
        <v/>
      </c>
      <c r="R294" s="280" t="n"/>
      <c r="S294" s="280" t="n"/>
      <c r="T294" s="280" t="n"/>
      <c r="U294" s="280" t="n"/>
      <c r="V294" s="280" t="n"/>
      <c r="W294" s="280" t="n"/>
      <c r="X294" s="280" t="n"/>
      <c r="Y294" s="280" t="n"/>
    </row>
    <row r="295" ht="15" customHeight="1" s="195">
      <c r="A295" s="334" t="n"/>
      <c r="B295" s="334" t="n"/>
      <c r="C295" s="334" t="n"/>
      <c r="D295" s="334" t="n"/>
      <c r="E295" s="334" t="n"/>
      <c r="F295" s="334" t="n"/>
      <c r="G295" s="334" t="n"/>
      <c r="H295" s="334" t="n"/>
      <c r="I295" s="332">
        <f>IFERROR(VLOOKUP(TEXT(H295,"0"),IPRESS!$A$3:$B$212,2,0),"")</f>
        <v/>
      </c>
      <c r="J295" s="334" t="n"/>
      <c r="K295" s="332">
        <f>IFERROR(VLOOKUP(TEXT(O295,"0"),CONDUCTORES!$A$3:$G$54,7,0),"")</f>
        <v/>
      </c>
      <c r="L295" s="334" t="n"/>
      <c r="M295" s="334" t="n"/>
      <c r="N295" s="333">
        <f>IFERROR(IF(L295*M295=0,"",L295*M295),"")</f>
        <v/>
      </c>
      <c r="O295" s="334" t="n"/>
      <c r="P295" s="332">
        <f>IFERROR(VLOOKUP(TEXT(O295,"0"),CONDUCTORES!$A$3:$G$54,2,0),"")</f>
        <v/>
      </c>
      <c r="Q295" s="332">
        <f>IFERROR(VLOOKUP(TEXT(O295,"0"),CONDUCTORES!$A$3:$H$54,6,0),"")</f>
        <v/>
      </c>
      <c r="R295" s="334" t="n"/>
      <c r="S295" s="334" t="n"/>
      <c r="T295" s="334" t="n"/>
      <c r="U295" s="334" t="n"/>
      <c r="V295" s="334" t="n"/>
      <c r="W295" s="334" t="n"/>
      <c r="X295" s="334" t="n"/>
      <c r="Y295" s="334" t="n"/>
    </row>
    <row r="296" ht="15" customHeight="1" s="195">
      <c r="A296" s="280" t="n"/>
      <c r="B296" s="280" t="n"/>
      <c r="C296" s="280" t="n"/>
      <c r="D296" s="280" t="n"/>
      <c r="E296" s="280" t="n"/>
      <c r="F296" s="280" t="n"/>
      <c r="G296" s="280" t="n"/>
      <c r="H296" s="280" t="n"/>
      <c r="I296" s="332">
        <f>IFERROR(VLOOKUP(TEXT(H296,"0"),IPRESS!$A$3:$B$212,2,0),"")</f>
        <v/>
      </c>
      <c r="J296" s="280" t="n"/>
      <c r="K296" s="332">
        <f>IFERROR(VLOOKUP(TEXT(O296,"0"),CONDUCTORES!$A$3:$G$54,7,0),"")</f>
        <v/>
      </c>
      <c r="L296" s="280" t="n"/>
      <c r="M296" s="280" t="n"/>
      <c r="N296" s="333">
        <f>IFERROR(IF(L296*M296=0,"",L296*M296),"")</f>
        <v/>
      </c>
      <c r="O296" s="280" t="n"/>
      <c r="P296" s="332">
        <f>IFERROR(VLOOKUP(TEXT(O296,"0"),CONDUCTORES!$A$3:$G$54,2,0),"")</f>
        <v/>
      </c>
      <c r="Q296" s="332">
        <f>IFERROR(VLOOKUP(TEXT(O296,"0"),CONDUCTORES!$A$3:$H$54,6,0),"")</f>
        <v/>
      </c>
      <c r="R296" s="280" t="n"/>
      <c r="S296" s="280" t="n"/>
      <c r="T296" s="280" t="n"/>
      <c r="U296" s="280" t="n"/>
      <c r="V296" s="280" t="n"/>
      <c r="W296" s="280" t="n"/>
      <c r="X296" s="280" t="n"/>
      <c r="Y296" s="280" t="n"/>
    </row>
    <row r="297" ht="15" customHeight="1" s="195">
      <c r="A297" s="334" t="n"/>
      <c r="B297" s="334" t="n"/>
      <c r="C297" s="334" t="n"/>
      <c r="D297" s="334" t="n"/>
      <c r="E297" s="334" t="n"/>
      <c r="F297" s="334" t="n"/>
      <c r="G297" s="334" t="n"/>
      <c r="H297" s="334" t="n"/>
      <c r="I297" s="332">
        <f>IFERROR(VLOOKUP(TEXT(H297,"0"),IPRESS!$A$3:$B$212,2,0),"")</f>
        <v/>
      </c>
      <c r="J297" s="334" t="n"/>
      <c r="K297" s="332">
        <f>IFERROR(VLOOKUP(TEXT(O297,"0"),CONDUCTORES!$A$3:$G$54,7,0),"")</f>
        <v/>
      </c>
      <c r="L297" s="334" t="n"/>
      <c r="M297" s="334" t="n"/>
      <c r="N297" s="333">
        <f>IFERROR(IF(L297*M297=0,"",L297*M297),"")</f>
        <v/>
      </c>
      <c r="O297" s="334" t="n"/>
      <c r="P297" s="332">
        <f>IFERROR(VLOOKUP(TEXT(O297,"0"),CONDUCTORES!$A$3:$G$54,2,0),"")</f>
        <v/>
      </c>
      <c r="Q297" s="332">
        <f>IFERROR(VLOOKUP(TEXT(O297,"0"),CONDUCTORES!$A$3:$H$54,6,0),"")</f>
        <v/>
      </c>
      <c r="R297" s="334" t="n"/>
      <c r="S297" s="334" t="n"/>
      <c r="T297" s="334" t="n"/>
      <c r="U297" s="334" t="n"/>
      <c r="V297" s="334" t="n"/>
      <c r="W297" s="334" t="n"/>
      <c r="X297" s="334" t="n"/>
      <c r="Y297" s="334" t="n"/>
    </row>
    <row r="298" ht="15" customHeight="1" s="195">
      <c r="A298" s="280" t="n"/>
      <c r="B298" s="280" t="n"/>
      <c r="C298" s="280" t="n"/>
      <c r="D298" s="280" t="n"/>
      <c r="E298" s="280" t="n"/>
      <c r="F298" s="280" t="n"/>
      <c r="G298" s="280" t="n"/>
      <c r="H298" s="280" t="n"/>
      <c r="I298" s="332">
        <f>IFERROR(VLOOKUP(TEXT(H298,"0"),IPRESS!$A$3:$B$212,2,0),"")</f>
        <v/>
      </c>
      <c r="J298" s="280" t="n"/>
      <c r="K298" s="332">
        <f>IFERROR(VLOOKUP(TEXT(O298,"0"),CONDUCTORES!$A$3:$G$54,7,0),"")</f>
        <v/>
      </c>
      <c r="L298" s="280" t="n"/>
      <c r="M298" s="280" t="n"/>
      <c r="N298" s="333">
        <f>IFERROR(IF(L298*M298=0,"",L298*M298),"")</f>
        <v/>
      </c>
      <c r="O298" s="280" t="n"/>
      <c r="P298" s="332">
        <f>IFERROR(VLOOKUP(TEXT(O298,"0"),CONDUCTORES!$A$3:$G$54,2,0),"")</f>
        <v/>
      </c>
      <c r="Q298" s="332">
        <f>IFERROR(VLOOKUP(TEXT(O298,"0"),CONDUCTORES!$A$3:$H$54,6,0),"")</f>
        <v/>
      </c>
      <c r="R298" s="280" t="n"/>
      <c r="S298" s="280" t="n"/>
      <c r="T298" s="280" t="n"/>
      <c r="U298" s="280" t="n"/>
      <c r="V298" s="280" t="n"/>
      <c r="W298" s="280" t="n"/>
      <c r="X298" s="280" t="n"/>
      <c r="Y298" s="280" t="n"/>
    </row>
    <row r="299" ht="15" customHeight="1" s="195">
      <c r="A299" s="334" t="n"/>
      <c r="B299" s="334" t="n"/>
      <c r="C299" s="334" t="n"/>
      <c r="D299" s="334" t="n"/>
      <c r="E299" s="334" t="n"/>
      <c r="F299" s="334" t="n"/>
      <c r="G299" s="334" t="n"/>
      <c r="H299" s="334" t="n"/>
      <c r="I299" s="332">
        <f>IFERROR(VLOOKUP(TEXT(H299,"0"),IPRESS!$A$3:$B$212,2,0),"")</f>
        <v/>
      </c>
      <c r="J299" s="334" t="n"/>
      <c r="K299" s="332">
        <f>IFERROR(VLOOKUP(TEXT(O299,"0"),CONDUCTORES!$A$3:$G$54,7,0),"")</f>
        <v/>
      </c>
      <c r="L299" s="334" t="n"/>
      <c r="M299" s="334" t="n"/>
      <c r="N299" s="333">
        <f>IFERROR(IF(L299*M299=0,"",L299*M299),"")</f>
        <v/>
      </c>
      <c r="O299" s="334" t="n"/>
      <c r="P299" s="332">
        <f>IFERROR(VLOOKUP(TEXT(O299,"0"),CONDUCTORES!$A$3:$G$54,2,0),"")</f>
        <v/>
      </c>
      <c r="Q299" s="332">
        <f>IFERROR(VLOOKUP(TEXT(O299,"0"),CONDUCTORES!$A$3:$H$54,6,0),"")</f>
        <v/>
      </c>
      <c r="R299" s="334" t="n"/>
      <c r="S299" s="334" t="n"/>
      <c r="T299" s="334" t="n"/>
      <c r="U299" s="334" t="n"/>
      <c r="V299" s="334" t="n"/>
      <c r="W299" s="334" t="n"/>
      <c r="X299" s="334" t="n"/>
      <c r="Y299" s="334" t="n"/>
    </row>
    <row r="300" ht="15" customHeight="1" s="195">
      <c r="A300" s="280" t="n"/>
      <c r="B300" s="280" t="n"/>
      <c r="C300" s="280" t="n"/>
      <c r="D300" s="280" t="n"/>
      <c r="E300" s="280" t="n"/>
      <c r="F300" s="280" t="n"/>
      <c r="G300" s="280" t="n"/>
      <c r="H300" s="280" t="n"/>
      <c r="I300" s="332">
        <f>IFERROR(VLOOKUP(TEXT(H300,"0"),IPRESS!$A$3:$B$212,2,0),"")</f>
        <v/>
      </c>
      <c r="J300" s="280" t="n"/>
      <c r="K300" s="332">
        <f>IFERROR(VLOOKUP(TEXT(O300,"0"),CONDUCTORES!$A$3:$G$54,7,0),"")</f>
        <v/>
      </c>
      <c r="L300" s="280" t="n"/>
      <c r="M300" s="280" t="n"/>
      <c r="N300" s="333">
        <f>IFERROR(IF(L300*M300=0,"",L300*M300),"")</f>
        <v/>
      </c>
      <c r="O300" s="280" t="n"/>
      <c r="P300" s="332">
        <f>IFERROR(VLOOKUP(TEXT(O300,"0"),CONDUCTORES!$A$3:$G$54,2,0),"")</f>
        <v/>
      </c>
      <c r="Q300" s="332">
        <f>IFERROR(VLOOKUP(TEXT(O300,"0"),CONDUCTORES!$A$3:$H$54,6,0),"")</f>
        <v/>
      </c>
      <c r="R300" s="280" t="n"/>
      <c r="S300" s="280" t="n"/>
      <c r="T300" s="280" t="n"/>
      <c r="U300" s="280" t="n"/>
      <c r="V300" s="280" t="n"/>
      <c r="W300" s="280" t="n"/>
      <c r="X300" s="280" t="n"/>
      <c r="Y300" s="280" t="n"/>
    </row>
    <row r="301" ht="15" customHeight="1" s="195">
      <c r="A301" s="334" t="n"/>
      <c r="B301" s="334" t="n"/>
      <c r="C301" s="334" t="n"/>
      <c r="D301" s="334" t="n"/>
      <c r="E301" s="334" t="n"/>
      <c r="F301" s="334" t="n"/>
      <c r="G301" s="334" t="n"/>
      <c r="H301" s="334" t="n"/>
      <c r="I301" s="332">
        <f>IFERROR(VLOOKUP(TEXT(H301,"0"),IPRESS!$A$3:$B$212,2,0),"")</f>
        <v/>
      </c>
      <c r="J301" s="334" t="n"/>
      <c r="K301" s="332">
        <f>IFERROR(VLOOKUP(TEXT(O301,"0"),CONDUCTORES!$A$3:$G$54,7,0),"")</f>
        <v/>
      </c>
      <c r="L301" s="334" t="n"/>
      <c r="M301" s="334" t="n"/>
      <c r="N301" s="333">
        <f>IFERROR(IF(L301*M301=0,"",L301*M301),"")</f>
        <v/>
      </c>
      <c r="O301" s="334" t="n"/>
      <c r="P301" s="332">
        <f>IFERROR(VLOOKUP(TEXT(O301,"0"),CONDUCTORES!$A$3:$G$54,2,0),"")</f>
        <v/>
      </c>
      <c r="Q301" s="332">
        <f>IFERROR(VLOOKUP(TEXT(O301,"0"),CONDUCTORES!$A$3:$H$54,6,0),"")</f>
        <v/>
      </c>
      <c r="R301" s="334" t="n"/>
      <c r="S301" s="334" t="n"/>
      <c r="T301" s="334" t="n"/>
      <c r="U301" s="334" t="n"/>
      <c r="V301" s="334" t="n"/>
      <c r="W301" s="334" t="n"/>
      <c r="X301" s="334" t="n"/>
      <c r="Y301" s="334" t="n"/>
    </row>
    <row r="302" ht="15" customHeight="1" s="195">
      <c r="A302" s="280" t="n"/>
      <c r="B302" s="280" t="n"/>
      <c r="C302" s="280" t="n"/>
      <c r="D302" s="280" t="n"/>
      <c r="E302" s="280" t="n"/>
      <c r="F302" s="280" t="n"/>
      <c r="G302" s="280" t="n"/>
      <c r="H302" s="280" t="n"/>
      <c r="I302" s="332">
        <f>IFERROR(VLOOKUP(TEXT(H302,"0"),IPRESS!$A$3:$B$212,2,0),"")</f>
        <v/>
      </c>
      <c r="J302" s="280" t="n"/>
      <c r="K302" s="332">
        <f>IFERROR(VLOOKUP(TEXT(O302,"0"),CONDUCTORES!$A$3:$G$54,7,0),"")</f>
        <v/>
      </c>
      <c r="L302" s="280" t="n"/>
      <c r="M302" s="280" t="n"/>
      <c r="N302" s="333">
        <f>IFERROR(IF(L302*M302=0,"",L302*M302),"")</f>
        <v/>
      </c>
      <c r="O302" s="280" t="n"/>
      <c r="P302" s="332">
        <f>IFERROR(VLOOKUP(TEXT(O302,"0"),CONDUCTORES!$A$3:$G$54,2,0),"")</f>
        <v/>
      </c>
      <c r="Q302" s="332">
        <f>IFERROR(VLOOKUP(TEXT(O302,"0"),CONDUCTORES!$A$3:$H$54,6,0),"")</f>
        <v/>
      </c>
      <c r="R302" s="280" t="n"/>
      <c r="S302" s="280" t="n"/>
      <c r="T302" s="280" t="n"/>
      <c r="U302" s="280" t="n"/>
      <c r="V302" s="280" t="n"/>
      <c r="W302" s="280" t="n"/>
      <c r="X302" s="280" t="n"/>
      <c r="Y302" s="280" t="n"/>
    </row>
    <row r="303" ht="15" customHeight="1" s="195">
      <c r="A303" s="334" t="n"/>
      <c r="B303" s="334" t="n"/>
      <c r="C303" s="334" t="n"/>
      <c r="D303" s="334" t="n"/>
      <c r="E303" s="334" t="n"/>
      <c r="F303" s="334" t="n"/>
      <c r="G303" s="334" t="n"/>
      <c r="H303" s="334" t="n"/>
      <c r="I303" s="332">
        <f>IFERROR(VLOOKUP(TEXT(H303,"0"),IPRESS!$A$3:$B$212,2,0),"")</f>
        <v/>
      </c>
      <c r="J303" s="334" t="n"/>
      <c r="K303" s="332">
        <f>IFERROR(VLOOKUP(TEXT(O303,"0"),CONDUCTORES!$A$3:$G$54,7,0),"")</f>
        <v/>
      </c>
      <c r="L303" s="334" t="n"/>
      <c r="M303" s="334" t="n"/>
      <c r="N303" s="333">
        <f>IFERROR(IF(L303*M303=0,"",L303*M303),"")</f>
        <v/>
      </c>
      <c r="O303" s="334" t="n"/>
      <c r="P303" s="332">
        <f>IFERROR(VLOOKUP(TEXT(O303,"0"),CONDUCTORES!$A$3:$G$54,2,0),"")</f>
        <v/>
      </c>
      <c r="Q303" s="332">
        <f>IFERROR(VLOOKUP(TEXT(O303,"0"),CONDUCTORES!$A$3:$H$54,6,0),"")</f>
        <v/>
      </c>
      <c r="R303" s="334" t="n"/>
      <c r="S303" s="334" t="n"/>
      <c r="T303" s="334" t="n"/>
      <c r="U303" s="334" t="n"/>
      <c r="V303" s="334" t="n"/>
      <c r="W303" s="334" t="n"/>
      <c r="X303" s="334" t="n"/>
      <c r="Y303" s="334" t="n"/>
    </row>
    <row r="304" ht="15" customHeight="1" s="195">
      <c r="A304" s="280" t="n"/>
      <c r="B304" s="280" t="n"/>
      <c r="C304" s="280" t="n"/>
      <c r="D304" s="280" t="n"/>
      <c r="E304" s="280" t="n"/>
      <c r="F304" s="280" t="n"/>
      <c r="G304" s="280" t="n"/>
      <c r="H304" s="280" t="n"/>
      <c r="I304" s="332">
        <f>IFERROR(VLOOKUP(TEXT(H304,"0"),IPRESS!$A$3:$B$212,2,0),"")</f>
        <v/>
      </c>
      <c r="J304" s="280" t="n"/>
      <c r="K304" s="332">
        <f>IFERROR(VLOOKUP(TEXT(O304,"0"),CONDUCTORES!$A$3:$G$54,7,0),"")</f>
        <v/>
      </c>
      <c r="L304" s="280" t="n"/>
      <c r="M304" s="280" t="n"/>
      <c r="N304" s="333">
        <f>IFERROR(IF(L304*M304=0,"",L304*M304),"")</f>
        <v/>
      </c>
      <c r="O304" s="280" t="n"/>
      <c r="P304" s="332">
        <f>IFERROR(VLOOKUP(TEXT(O304,"0"),CONDUCTORES!$A$3:$G$54,2,0),"")</f>
        <v/>
      </c>
      <c r="Q304" s="332">
        <f>IFERROR(VLOOKUP(TEXT(O304,"0"),CONDUCTORES!$A$3:$H$54,6,0),"")</f>
        <v/>
      </c>
      <c r="R304" s="280" t="n"/>
      <c r="S304" s="280" t="n"/>
      <c r="T304" s="280" t="n"/>
      <c r="U304" s="280" t="n"/>
      <c r="V304" s="280" t="n"/>
      <c r="W304" s="280" t="n"/>
      <c r="X304" s="280" t="n"/>
      <c r="Y304" s="280" t="n"/>
    </row>
    <row r="305" ht="15" customHeight="1" s="195">
      <c r="A305" s="334" t="n"/>
      <c r="B305" s="334" t="n"/>
      <c r="C305" s="334" t="n"/>
      <c r="D305" s="334" t="n"/>
      <c r="E305" s="334" t="n"/>
      <c r="F305" s="334" t="n"/>
      <c r="G305" s="334" t="n"/>
      <c r="H305" s="334" t="n"/>
      <c r="I305" s="332">
        <f>IFERROR(VLOOKUP(TEXT(H305,"0"),IPRESS!$A$3:$B$212,2,0),"")</f>
        <v/>
      </c>
      <c r="J305" s="334" t="n"/>
      <c r="K305" s="332">
        <f>IFERROR(VLOOKUP(TEXT(O305,"0"),CONDUCTORES!$A$3:$G$54,7,0),"")</f>
        <v/>
      </c>
      <c r="L305" s="334" t="n"/>
      <c r="M305" s="334" t="n"/>
      <c r="N305" s="333">
        <f>IFERROR(IF(L305*M305=0,"",L305*M305),"")</f>
        <v/>
      </c>
      <c r="O305" s="334" t="n"/>
      <c r="P305" s="332">
        <f>IFERROR(VLOOKUP(TEXT(O305,"0"),CONDUCTORES!$A$3:$G$54,2,0),"")</f>
        <v/>
      </c>
      <c r="Q305" s="332">
        <f>IFERROR(VLOOKUP(TEXT(O305,"0"),CONDUCTORES!$A$3:$H$54,6,0),"")</f>
        <v/>
      </c>
      <c r="R305" s="334" t="n"/>
      <c r="S305" s="334" t="n"/>
      <c r="T305" s="334" t="n"/>
      <c r="U305" s="334" t="n"/>
      <c r="V305" s="334" t="n"/>
      <c r="W305" s="334" t="n"/>
      <c r="X305" s="334" t="n"/>
      <c r="Y305" s="334" t="n"/>
    </row>
    <row r="306" ht="15" customHeight="1" s="195">
      <c r="A306" s="280" t="n"/>
      <c r="B306" s="280" t="n"/>
      <c r="C306" s="280" t="n"/>
      <c r="D306" s="280" t="n"/>
      <c r="E306" s="280" t="n"/>
      <c r="F306" s="280" t="n"/>
      <c r="G306" s="280" t="n"/>
      <c r="H306" s="280" t="n"/>
      <c r="I306" s="332">
        <f>IFERROR(VLOOKUP(TEXT(H306,"0"),IPRESS!$A$3:$B$212,2,0),"")</f>
        <v/>
      </c>
      <c r="J306" s="280" t="n"/>
      <c r="K306" s="332">
        <f>IFERROR(VLOOKUP(TEXT(O306,"0"),CONDUCTORES!$A$3:$G$54,7,0),"")</f>
        <v/>
      </c>
      <c r="L306" s="280" t="n"/>
      <c r="M306" s="280" t="n"/>
      <c r="N306" s="333">
        <f>IFERROR(IF(L306*M306=0,"",L306*M306),"")</f>
        <v/>
      </c>
      <c r="O306" s="280" t="n"/>
      <c r="P306" s="332">
        <f>IFERROR(VLOOKUP(TEXT(O306,"0"),CONDUCTORES!$A$3:$G$54,2,0),"")</f>
        <v/>
      </c>
      <c r="Q306" s="332">
        <f>IFERROR(VLOOKUP(TEXT(O306,"0"),CONDUCTORES!$A$3:$H$54,6,0),"")</f>
        <v/>
      </c>
      <c r="R306" s="280" t="n"/>
      <c r="S306" s="280" t="n"/>
      <c r="T306" s="280" t="n"/>
      <c r="U306" s="280" t="n"/>
      <c r="V306" s="280" t="n"/>
      <c r="W306" s="280" t="n"/>
      <c r="X306" s="280" t="n"/>
      <c r="Y306" s="280" t="n"/>
    </row>
    <row r="307" ht="15" customHeight="1" s="195">
      <c r="A307" s="334" t="n"/>
      <c r="B307" s="334" t="n"/>
      <c r="C307" s="334" t="n"/>
      <c r="D307" s="334" t="n"/>
      <c r="E307" s="334" t="n"/>
      <c r="F307" s="334" t="n"/>
      <c r="G307" s="334" t="n"/>
      <c r="H307" s="334" t="n"/>
      <c r="I307" s="332">
        <f>IFERROR(VLOOKUP(TEXT(H307,"0"),IPRESS!$A$3:$B$212,2,0),"")</f>
        <v/>
      </c>
      <c r="J307" s="334" t="n"/>
      <c r="K307" s="332">
        <f>IFERROR(VLOOKUP(TEXT(O307,"0"),CONDUCTORES!$A$3:$G$54,7,0),"")</f>
        <v/>
      </c>
      <c r="L307" s="334" t="n"/>
      <c r="M307" s="334" t="n"/>
      <c r="N307" s="333">
        <f>IFERROR(IF(L307*M307=0,"",L307*M307),"")</f>
        <v/>
      </c>
      <c r="O307" s="334" t="n"/>
      <c r="P307" s="332">
        <f>IFERROR(VLOOKUP(TEXT(O307,"0"),CONDUCTORES!$A$3:$G$54,2,0),"")</f>
        <v/>
      </c>
      <c r="Q307" s="332">
        <f>IFERROR(VLOOKUP(TEXT(O307,"0"),CONDUCTORES!$A$3:$H$54,6,0),"")</f>
        <v/>
      </c>
      <c r="R307" s="334" t="n"/>
      <c r="S307" s="334" t="n"/>
      <c r="T307" s="334" t="n"/>
      <c r="U307" s="334" t="n"/>
      <c r="V307" s="334" t="n"/>
      <c r="W307" s="334" t="n"/>
      <c r="X307" s="334" t="n"/>
      <c r="Y307" s="334" t="n"/>
    </row>
    <row r="308" ht="15" customHeight="1" s="195">
      <c r="A308" s="280" t="n"/>
      <c r="B308" s="280" t="n"/>
      <c r="C308" s="280" t="n"/>
      <c r="D308" s="280" t="n"/>
      <c r="E308" s="280" t="n"/>
      <c r="F308" s="280" t="n"/>
      <c r="G308" s="280" t="n"/>
      <c r="H308" s="280" t="n"/>
      <c r="I308" s="332">
        <f>IFERROR(VLOOKUP(TEXT(H308,"0"),IPRESS!$A$3:$B$212,2,0),"")</f>
        <v/>
      </c>
      <c r="J308" s="280" t="n"/>
      <c r="K308" s="332">
        <f>IFERROR(VLOOKUP(TEXT(O308,"0"),CONDUCTORES!$A$3:$G$54,7,0),"")</f>
        <v/>
      </c>
      <c r="L308" s="280" t="n"/>
      <c r="M308" s="280" t="n"/>
      <c r="N308" s="333">
        <f>IFERROR(IF(L308*M308=0,"",L308*M308),"")</f>
        <v/>
      </c>
      <c r="O308" s="280" t="n"/>
      <c r="P308" s="332">
        <f>IFERROR(VLOOKUP(TEXT(O308,"0"),CONDUCTORES!$A$3:$G$54,2,0),"")</f>
        <v/>
      </c>
      <c r="Q308" s="332">
        <f>IFERROR(VLOOKUP(TEXT(O308,"0"),CONDUCTORES!$A$3:$H$54,6,0),"")</f>
        <v/>
      </c>
      <c r="R308" s="280" t="n"/>
      <c r="S308" s="280" t="n"/>
      <c r="T308" s="280" t="n"/>
      <c r="U308" s="280" t="n"/>
      <c r="V308" s="280" t="n"/>
      <c r="W308" s="280" t="n"/>
      <c r="X308" s="280" t="n"/>
      <c r="Y308" s="280" t="n"/>
    </row>
    <row r="309" ht="15" customHeight="1" s="195">
      <c r="A309" s="334" t="n"/>
      <c r="B309" s="334" t="n"/>
      <c r="C309" s="334" t="n"/>
      <c r="D309" s="334" t="n"/>
      <c r="E309" s="334" t="n"/>
      <c r="F309" s="334" t="n"/>
      <c r="G309" s="334" t="n"/>
      <c r="H309" s="334" t="n"/>
      <c r="I309" s="332">
        <f>IFERROR(VLOOKUP(TEXT(H309,"0"),IPRESS!$A$3:$B$212,2,0),"")</f>
        <v/>
      </c>
      <c r="J309" s="334" t="n"/>
      <c r="K309" s="332">
        <f>IFERROR(VLOOKUP(TEXT(O309,"0"),CONDUCTORES!$A$3:$G$54,7,0),"")</f>
        <v/>
      </c>
      <c r="L309" s="334" t="n"/>
      <c r="M309" s="334" t="n"/>
      <c r="N309" s="333">
        <f>IFERROR(IF(L309*M309=0,"",L309*M309),"")</f>
        <v/>
      </c>
      <c r="O309" s="334" t="n"/>
      <c r="P309" s="332">
        <f>IFERROR(VLOOKUP(TEXT(O309,"0"),CONDUCTORES!$A$3:$G$54,2,0),"")</f>
        <v/>
      </c>
      <c r="Q309" s="332">
        <f>IFERROR(VLOOKUP(TEXT(O309,"0"),CONDUCTORES!$A$3:$H$54,6,0),"")</f>
        <v/>
      </c>
      <c r="R309" s="334" t="n"/>
      <c r="S309" s="334" t="n"/>
      <c r="T309" s="334" t="n"/>
      <c r="U309" s="334" t="n"/>
      <c r="V309" s="334" t="n"/>
      <c r="W309" s="334" t="n"/>
      <c r="X309" s="334" t="n"/>
      <c r="Y309" s="334" t="n"/>
    </row>
    <row r="310" ht="15" customHeight="1" s="195">
      <c r="A310" s="280" t="n"/>
      <c r="B310" s="280" t="n"/>
      <c r="C310" s="280" t="n"/>
      <c r="D310" s="280" t="n"/>
      <c r="E310" s="280" t="n"/>
      <c r="F310" s="280" t="n"/>
      <c r="G310" s="280" t="n"/>
      <c r="H310" s="280" t="n"/>
      <c r="I310" s="332">
        <f>IFERROR(VLOOKUP(TEXT(H310,"0"),IPRESS!$A$3:$B$212,2,0),"")</f>
        <v/>
      </c>
      <c r="J310" s="280" t="n"/>
      <c r="K310" s="332">
        <f>IFERROR(VLOOKUP(TEXT(O310,"0"),CONDUCTORES!$A$3:$G$54,7,0),"")</f>
        <v/>
      </c>
      <c r="L310" s="280" t="n"/>
      <c r="M310" s="280" t="n"/>
      <c r="N310" s="333">
        <f>IFERROR(IF(L310*M310=0,"",L310*M310),"")</f>
        <v/>
      </c>
      <c r="O310" s="280" t="n"/>
      <c r="P310" s="332">
        <f>IFERROR(VLOOKUP(TEXT(O310,"0"),CONDUCTORES!$A$3:$G$54,2,0),"")</f>
        <v/>
      </c>
      <c r="Q310" s="332">
        <f>IFERROR(VLOOKUP(TEXT(O310,"0"),CONDUCTORES!$A$3:$H$54,6,0),"")</f>
        <v/>
      </c>
      <c r="R310" s="280" t="n"/>
      <c r="S310" s="280" t="n"/>
      <c r="T310" s="280" t="n"/>
      <c r="U310" s="280" t="n"/>
      <c r="V310" s="280" t="n"/>
      <c r="W310" s="280" t="n"/>
      <c r="X310" s="280" t="n"/>
      <c r="Y310" s="280" t="n"/>
    </row>
    <row r="311" ht="15" customHeight="1" s="195">
      <c r="A311" s="334" t="n"/>
      <c r="B311" s="334" t="n"/>
      <c r="C311" s="334" t="n"/>
      <c r="D311" s="334" t="n"/>
      <c r="E311" s="334" t="n"/>
      <c r="F311" s="334" t="n"/>
      <c r="G311" s="334" t="n"/>
      <c r="H311" s="334" t="n"/>
      <c r="I311" s="332">
        <f>IFERROR(VLOOKUP(TEXT(H311,"0"),IPRESS!$A$3:$B$212,2,0),"")</f>
        <v/>
      </c>
      <c r="J311" s="334" t="n"/>
      <c r="K311" s="332">
        <f>IFERROR(VLOOKUP(TEXT(O311,"0"),CONDUCTORES!$A$3:$G$54,7,0),"")</f>
        <v/>
      </c>
      <c r="L311" s="334" t="n"/>
      <c r="M311" s="334" t="n"/>
      <c r="N311" s="333">
        <f>IFERROR(IF(L311*M311=0,"",L311*M311),"")</f>
        <v/>
      </c>
      <c r="O311" s="334" t="n"/>
      <c r="P311" s="332">
        <f>IFERROR(VLOOKUP(TEXT(O311,"0"),CONDUCTORES!$A$3:$G$54,2,0),"")</f>
        <v/>
      </c>
      <c r="Q311" s="332">
        <f>IFERROR(VLOOKUP(TEXT(O311,"0"),CONDUCTORES!$A$3:$H$54,6,0),"")</f>
        <v/>
      </c>
      <c r="R311" s="334" t="n"/>
      <c r="S311" s="334" t="n"/>
      <c r="T311" s="334" t="n"/>
      <c r="U311" s="334" t="n"/>
      <c r="V311" s="334" t="n"/>
      <c r="W311" s="334" t="n"/>
      <c r="X311" s="334" t="n"/>
      <c r="Y311" s="334" t="n"/>
    </row>
    <row r="312" ht="15" customHeight="1" s="195">
      <c r="A312" s="280" t="n"/>
      <c r="B312" s="280" t="n"/>
      <c r="C312" s="280" t="n"/>
      <c r="D312" s="280" t="n"/>
      <c r="E312" s="280" t="n"/>
      <c r="F312" s="280" t="n"/>
      <c r="G312" s="280" t="n"/>
      <c r="H312" s="280" t="n"/>
      <c r="I312" s="332">
        <f>IFERROR(VLOOKUP(TEXT(H312,"0"),IPRESS!$A$3:$B$212,2,0),"")</f>
        <v/>
      </c>
      <c r="J312" s="280" t="n"/>
      <c r="K312" s="332">
        <f>IFERROR(VLOOKUP(TEXT(O312,"0"),CONDUCTORES!$A$3:$G$54,7,0),"")</f>
        <v/>
      </c>
      <c r="L312" s="280" t="n"/>
      <c r="M312" s="280" t="n"/>
      <c r="N312" s="333">
        <f>IFERROR(IF(L312*M312=0,"",L312*M312),"")</f>
        <v/>
      </c>
      <c r="O312" s="280" t="n"/>
      <c r="P312" s="332">
        <f>IFERROR(VLOOKUP(TEXT(O312,"0"),CONDUCTORES!$A$3:$G$54,2,0),"")</f>
        <v/>
      </c>
      <c r="Q312" s="332">
        <f>IFERROR(VLOOKUP(TEXT(O312,"0"),CONDUCTORES!$A$3:$H$54,6,0),"")</f>
        <v/>
      </c>
      <c r="R312" s="280" t="n"/>
      <c r="S312" s="280" t="n"/>
      <c r="T312" s="280" t="n"/>
      <c r="U312" s="280" t="n"/>
      <c r="V312" s="280" t="n"/>
      <c r="W312" s="280" t="n"/>
      <c r="X312" s="280" t="n"/>
      <c r="Y312" s="280" t="n"/>
    </row>
    <row r="313" ht="15" customHeight="1" s="195">
      <c r="A313" s="334" t="n"/>
      <c r="B313" s="334" t="n"/>
      <c r="C313" s="334" t="n"/>
      <c r="D313" s="334" t="n"/>
      <c r="E313" s="334" t="n"/>
      <c r="F313" s="334" t="n"/>
      <c r="G313" s="334" t="n"/>
      <c r="H313" s="334" t="n"/>
      <c r="I313" s="332">
        <f>IFERROR(VLOOKUP(TEXT(H313,"0"),IPRESS!$A$3:$B$212,2,0),"")</f>
        <v/>
      </c>
      <c r="J313" s="334" t="n"/>
      <c r="K313" s="332">
        <f>IFERROR(VLOOKUP(TEXT(O313,"0"),CONDUCTORES!$A$3:$G$54,7,0),"")</f>
        <v/>
      </c>
      <c r="L313" s="334" t="n"/>
      <c r="M313" s="334" t="n"/>
      <c r="N313" s="333">
        <f>IFERROR(IF(L313*M313=0,"",L313*M313),"")</f>
        <v/>
      </c>
      <c r="O313" s="334" t="n"/>
      <c r="P313" s="332">
        <f>IFERROR(VLOOKUP(TEXT(O313,"0"),CONDUCTORES!$A$3:$G$54,2,0),"")</f>
        <v/>
      </c>
      <c r="Q313" s="332">
        <f>IFERROR(VLOOKUP(TEXT(O313,"0"),CONDUCTORES!$A$3:$H$54,6,0),"")</f>
        <v/>
      </c>
      <c r="R313" s="334" t="n"/>
      <c r="S313" s="334" t="n"/>
      <c r="T313" s="334" t="n"/>
      <c r="U313" s="334" t="n"/>
      <c r="V313" s="334" t="n"/>
      <c r="W313" s="334" t="n"/>
      <c r="X313" s="334" t="n"/>
      <c r="Y313" s="334" t="n"/>
    </row>
    <row r="314" ht="15" customHeight="1" s="195">
      <c r="A314" s="280" t="n"/>
      <c r="B314" s="280" t="n"/>
      <c r="C314" s="280" t="n"/>
      <c r="D314" s="280" t="n"/>
      <c r="E314" s="280" t="n"/>
      <c r="F314" s="280" t="n"/>
      <c r="G314" s="280" t="n"/>
      <c r="H314" s="280" t="n"/>
      <c r="I314" s="332">
        <f>IFERROR(VLOOKUP(TEXT(H314,"0"),IPRESS!$A$3:$B$212,2,0),"")</f>
        <v/>
      </c>
      <c r="J314" s="280" t="n"/>
      <c r="K314" s="332">
        <f>IFERROR(VLOOKUP(TEXT(O314,"0"),CONDUCTORES!$A$3:$G$54,7,0),"")</f>
        <v/>
      </c>
      <c r="L314" s="280" t="n"/>
      <c r="M314" s="280" t="n"/>
      <c r="N314" s="333">
        <f>IFERROR(IF(L314*M314=0,"",L314*M314),"")</f>
        <v/>
      </c>
      <c r="O314" s="280" t="n"/>
      <c r="P314" s="332">
        <f>IFERROR(VLOOKUP(TEXT(O314,"0"),CONDUCTORES!$A$3:$G$54,2,0),"")</f>
        <v/>
      </c>
      <c r="Q314" s="332">
        <f>IFERROR(VLOOKUP(TEXT(O314,"0"),CONDUCTORES!$A$3:$H$54,6,0),"")</f>
        <v/>
      </c>
      <c r="R314" s="280" t="n"/>
      <c r="S314" s="280" t="n"/>
      <c r="T314" s="280" t="n"/>
      <c r="U314" s="280" t="n"/>
      <c r="V314" s="280" t="n"/>
      <c r="W314" s="280" t="n"/>
      <c r="X314" s="280" t="n"/>
      <c r="Y314" s="280" t="n"/>
    </row>
    <row r="315" ht="15" customHeight="1" s="195">
      <c r="A315" s="334" t="n"/>
      <c r="B315" s="334" t="n"/>
      <c r="C315" s="334" t="n"/>
      <c r="D315" s="334" t="n"/>
      <c r="E315" s="334" t="n"/>
      <c r="F315" s="334" t="n"/>
      <c r="G315" s="334" t="n"/>
      <c r="H315" s="334" t="n"/>
      <c r="I315" s="332">
        <f>IFERROR(VLOOKUP(TEXT(H315,"0"),IPRESS!$A$3:$B$212,2,0),"")</f>
        <v/>
      </c>
      <c r="J315" s="334" t="n"/>
      <c r="K315" s="332">
        <f>IFERROR(VLOOKUP(TEXT(O315,"0"),CONDUCTORES!$A$3:$G$54,7,0),"")</f>
        <v/>
      </c>
      <c r="L315" s="334" t="n"/>
      <c r="M315" s="334" t="n"/>
      <c r="N315" s="333">
        <f>IFERROR(IF(L315*M315=0,"",L315*M315),"")</f>
        <v/>
      </c>
      <c r="O315" s="334" t="n"/>
      <c r="P315" s="332">
        <f>IFERROR(VLOOKUP(TEXT(O315,"0"),CONDUCTORES!$A$3:$G$54,2,0),"")</f>
        <v/>
      </c>
      <c r="Q315" s="332">
        <f>IFERROR(VLOOKUP(TEXT(O315,"0"),CONDUCTORES!$A$3:$H$54,6,0),"")</f>
        <v/>
      </c>
      <c r="R315" s="334" t="n"/>
      <c r="S315" s="334" t="n"/>
      <c r="T315" s="334" t="n"/>
      <c r="U315" s="334" t="n"/>
      <c r="V315" s="334" t="n"/>
      <c r="W315" s="334" t="n"/>
      <c r="X315" s="334" t="n"/>
      <c r="Y315" s="334" t="n"/>
    </row>
    <row r="316" ht="15" customHeight="1" s="195">
      <c r="A316" s="280" t="n"/>
      <c r="B316" s="280" t="n"/>
      <c r="C316" s="280" t="n"/>
      <c r="D316" s="280" t="n"/>
      <c r="E316" s="280" t="n"/>
      <c r="F316" s="280" t="n"/>
      <c r="G316" s="280" t="n"/>
      <c r="H316" s="280" t="n"/>
      <c r="I316" s="332">
        <f>IFERROR(VLOOKUP(TEXT(H316,"0"),IPRESS!$A$3:$B$212,2,0),"")</f>
        <v/>
      </c>
      <c r="J316" s="280" t="n"/>
      <c r="K316" s="332">
        <f>IFERROR(VLOOKUP(TEXT(O316,"0"),CONDUCTORES!$A$3:$G$54,7,0),"")</f>
        <v/>
      </c>
      <c r="L316" s="280" t="n"/>
      <c r="M316" s="280" t="n"/>
      <c r="N316" s="333">
        <f>IFERROR(IF(L316*M316=0,"",L316*M316),"")</f>
        <v/>
      </c>
      <c r="O316" s="280" t="n"/>
      <c r="P316" s="332">
        <f>IFERROR(VLOOKUP(TEXT(O316,"0"),CONDUCTORES!$A$3:$G$54,2,0),"")</f>
        <v/>
      </c>
      <c r="Q316" s="332">
        <f>IFERROR(VLOOKUP(TEXT(O316,"0"),CONDUCTORES!$A$3:$H$54,6,0),"")</f>
        <v/>
      </c>
      <c r="R316" s="280" t="n"/>
      <c r="S316" s="280" t="n"/>
      <c r="T316" s="280" t="n"/>
      <c r="U316" s="280" t="n"/>
      <c r="V316" s="280" t="n"/>
      <c r="W316" s="280" t="n"/>
      <c r="X316" s="280" t="n"/>
      <c r="Y316" s="280" t="n"/>
    </row>
    <row r="317" ht="15" customHeight="1" s="195">
      <c r="A317" s="334" t="n"/>
      <c r="B317" s="334" t="n"/>
      <c r="C317" s="334" t="n"/>
      <c r="D317" s="334" t="n"/>
      <c r="E317" s="334" t="n"/>
      <c r="F317" s="334" t="n"/>
      <c r="G317" s="334" t="n"/>
      <c r="H317" s="334" t="n"/>
      <c r="I317" s="332">
        <f>IFERROR(VLOOKUP(TEXT(H317,"0"),IPRESS!$A$3:$B$212,2,0),"")</f>
        <v/>
      </c>
      <c r="J317" s="334" t="n"/>
      <c r="K317" s="332">
        <f>IFERROR(VLOOKUP(TEXT(O317,"0"),CONDUCTORES!$A$3:$G$54,7,0),"")</f>
        <v/>
      </c>
      <c r="L317" s="334" t="n"/>
      <c r="M317" s="334" t="n"/>
      <c r="N317" s="333">
        <f>IFERROR(IF(L317*M317=0,"",L317*M317),"")</f>
        <v/>
      </c>
      <c r="O317" s="334" t="n"/>
      <c r="P317" s="332">
        <f>IFERROR(VLOOKUP(TEXT(O317,"0"),CONDUCTORES!$A$3:$G$54,2,0),"")</f>
        <v/>
      </c>
      <c r="Q317" s="332">
        <f>IFERROR(VLOOKUP(TEXT(O317,"0"),CONDUCTORES!$A$3:$H$54,6,0),"")</f>
        <v/>
      </c>
      <c r="R317" s="334" t="n"/>
      <c r="S317" s="334" t="n"/>
      <c r="T317" s="334" t="n"/>
      <c r="U317" s="334" t="n"/>
      <c r="V317" s="334" t="n"/>
      <c r="W317" s="334" t="n"/>
      <c r="X317" s="334" t="n"/>
      <c r="Y317" s="334" t="n"/>
    </row>
    <row r="318" ht="15" customHeight="1" s="195">
      <c r="A318" s="280" t="n"/>
      <c r="B318" s="280" t="n"/>
      <c r="C318" s="280" t="n"/>
      <c r="D318" s="280" t="n"/>
      <c r="E318" s="280" t="n"/>
      <c r="F318" s="280" t="n"/>
      <c r="G318" s="280" t="n"/>
      <c r="H318" s="280" t="n"/>
      <c r="I318" s="332">
        <f>IFERROR(VLOOKUP(TEXT(H318,"0"),IPRESS!$A$3:$B$212,2,0),"")</f>
        <v/>
      </c>
      <c r="J318" s="280" t="n"/>
      <c r="K318" s="332">
        <f>IFERROR(VLOOKUP(TEXT(O318,"0"),CONDUCTORES!$A$3:$G$54,7,0),"")</f>
        <v/>
      </c>
      <c r="L318" s="280" t="n"/>
      <c r="M318" s="280" t="n"/>
      <c r="N318" s="333">
        <f>IFERROR(IF(L318*M318=0,"",L318*M318),"")</f>
        <v/>
      </c>
      <c r="O318" s="280" t="n"/>
      <c r="P318" s="332">
        <f>IFERROR(VLOOKUP(TEXT(O318,"0"),CONDUCTORES!$A$3:$G$54,2,0),"")</f>
        <v/>
      </c>
      <c r="Q318" s="332">
        <f>IFERROR(VLOOKUP(TEXT(O318,"0"),CONDUCTORES!$A$3:$H$54,6,0),"")</f>
        <v/>
      </c>
      <c r="R318" s="280" t="n"/>
      <c r="S318" s="280" t="n"/>
      <c r="T318" s="280" t="n"/>
      <c r="U318" s="280" t="n"/>
      <c r="V318" s="280" t="n"/>
      <c r="W318" s="280" t="n"/>
      <c r="X318" s="280" t="n"/>
      <c r="Y318" s="280" t="n"/>
    </row>
    <row r="319" ht="15" customHeight="1" s="195">
      <c r="A319" s="334" t="n"/>
      <c r="B319" s="334" t="n"/>
      <c r="C319" s="334" t="n"/>
      <c r="D319" s="334" t="n"/>
      <c r="E319" s="334" t="n"/>
      <c r="F319" s="334" t="n"/>
      <c r="G319" s="334" t="n"/>
      <c r="H319" s="334" t="n"/>
      <c r="I319" s="332">
        <f>IFERROR(VLOOKUP(TEXT(H319,"0"),IPRESS!$A$3:$B$212,2,0),"")</f>
        <v/>
      </c>
      <c r="J319" s="334" t="n"/>
      <c r="K319" s="332">
        <f>IFERROR(VLOOKUP(TEXT(O319,"0"),CONDUCTORES!$A$3:$G$54,7,0),"")</f>
        <v/>
      </c>
      <c r="L319" s="334" t="n"/>
      <c r="M319" s="334" t="n"/>
      <c r="N319" s="333">
        <f>IFERROR(IF(L319*M319=0,"",L319*M319),"")</f>
        <v/>
      </c>
      <c r="O319" s="334" t="n"/>
      <c r="P319" s="332">
        <f>IFERROR(VLOOKUP(TEXT(O319,"0"),CONDUCTORES!$A$3:$G$54,2,0),"")</f>
        <v/>
      </c>
      <c r="Q319" s="332">
        <f>IFERROR(VLOOKUP(TEXT(O319,"0"),CONDUCTORES!$A$3:$H$54,6,0),"")</f>
        <v/>
      </c>
      <c r="R319" s="334" t="n"/>
      <c r="S319" s="334" t="n"/>
      <c r="T319" s="334" t="n"/>
      <c r="U319" s="334" t="n"/>
      <c r="V319" s="334" t="n"/>
      <c r="W319" s="334" t="n"/>
      <c r="X319" s="334" t="n"/>
      <c r="Y319" s="334" t="n"/>
    </row>
    <row r="320" ht="15" customHeight="1" s="195">
      <c r="A320" s="280" t="n"/>
      <c r="B320" s="280" t="n"/>
      <c r="C320" s="280" t="n"/>
      <c r="D320" s="280" t="n"/>
      <c r="E320" s="280" t="n"/>
      <c r="F320" s="280" t="n"/>
      <c r="G320" s="280" t="n"/>
      <c r="H320" s="280" t="n"/>
      <c r="I320" s="332">
        <f>IFERROR(VLOOKUP(TEXT(H320,"0"),IPRESS!$A$3:$B$212,2,0),"")</f>
        <v/>
      </c>
      <c r="J320" s="280" t="n"/>
      <c r="K320" s="332">
        <f>IFERROR(VLOOKUP(TEXT(O320,"0"),CONDUCTORES!$A$3:$G$54,7,0),"")</f>
        <v/>
      </c>
      <c r="L320" s="280" t="n"/>
      <c r="M320" s="280" t="n"/>
      <c r="N320" s="333">
        <f>IFERROR(IF(L320*M320=0,"",L320*M320),"")</f>
        <v/>
      </c>
      <c r="O320" s="280" t="n"/>
      <c r="P320" s="332">
        <f>IFERROR(VLOOKUP(TEXT(O320,"0"),CONDUCTORES!$A$3:$G$54,2,0),"")</f>
        <v/>
      </c>
      <c r="Q320" s="332">
        <f>IFERROR(VLOOKUP(TEXT(O320,"0"),CONDUCTORES!$A$3:$H$54,6,0),"")</f>
        <v/>
      </c>
      <c r="R320" s="280" t="n"/>
      <c r="S320" s="280" t="n"/>
      <c r="T320" s="280" t="n"/>
      <c r="U320" s="280" t="n"/>
      <c r="V320" s="280" t="n"/>
      <c r="W320" s="280" t="n"/>
      <c r="X320" s="280" t="n"/>
      <c r="Y320" s="280" t="n"/>
    </row>
    <row r="321" ht="15" customHeight="1" s="195">
      <c r="A321" s="334" t="n"/>
      <c r="B321" s="334" t="n"/>
      <c r="C321" s="334" t="n"/>
      <c r="D321" s="334" t="n"/>
      <c r="E321" s="334" t="n"/>
      <c r="F321" s="334" t="n"/>
      <c r="G321" s="334" t="n"/>
      <c r="H321" s="334" t="n"/>
      <c r="I321" s="332">
        <f>IFERROR(VLOOKUP(TEXT(H321,"0"),IPRESS!$A$3:$B$212,2,0),"")</f>
        <v/>
      </c>
      <c r="J321" s="334" t="n"/>
      <c r="K321" s="332">
        <f>IFERROR(VLOOKUP(TEXT(O321,"0"),CONDUCTORES!$A$3:$G$54,7,0),"")</f>
        <v/>
      </c>
      <c r="L321" s="334" t="n"/>
      <c r="M321" s="334" t="n"/>
      <c r="N321" s="333">
        <f>IFERROR(IF(L321*M321=0,"",L321*M321),"")</f>
        <v/>
      </c>
      <c r="O321" s="334" t="n"/>
      <c r="P321" s="332">
        <f>IFERROR(VLOOKUP(TEXT(O321,"0"),CONDUCTORES!$A$3:$G$54,2,0),"")</f>
        <v/>
      </c>
      <c r="Q321" s="332">
        <f>IFERROR(VLOOKUP(TEXT(O321,"0"),CONDUCTORES!$A$3:$H$54,6,0),"")</f>
        <v/>
      </c>
      <c r="R321" s="334" t="n"/>
      <c r="S321" s="334" t="n"/>
      <c r="T321" s="334" t="n"/>
      <c r="U321" s="334" t="n"/>
      <c r="V321" s="334" t="n"/>
      <c r="W321" s="334" t="n"/>
      <c r="X321" s="334" t="n"/>
      <c r="Y321" s="334" t="n"/>
    </row>
    <row r="322" ht="15" customHeight="1" s="195">
      <c r="A322" s="280" t="n"/>
      <c r="B322" s="280" t="n"/>
      <c r="C322" s="280" t="n"/>
      <c r="D322" s="280" t="n"/>
      <c r="E322" s="280" t="n"/>
      <c r="F322" s="280" t="n"/>
      <c r="G322" s="280" t="n"/>
      <c r="H322" s="280" t="n"/>
      <c r="I322" s="332">
        <f>IFERROR(VLOOKUP(TEXT(H322,"0"),IPRESS!$A$3:$B$212,2,0),"")</f>
        <v/>
      </c>
      <c r="J322" s="280" t="n"/>
      <c r="K322" s="332">
        <f>IFERROR(VLOOKUP(TEXT(O322,"0"),CONDUCTORES!$A$3:$G$54,7,0),"")</f>
        <v/>
      </c>
      <c r="L322" s="280" t="n"/>
      <c r="M322" s="280" t="n"/>
      <c r="N322" s="333">
        <f>IFERROR(IF(L322*M322=0,"",L322*M322),"")</f>
        <v/>
      </c>
      <c r="O322" s="280" t="n"/>
      <c r="P322" s="332">
        <f>IFERROR(VLOOKUP(TEXT(O322,"0"),CONDUCTORES!$A$3:$G$54,2,0),"")</f>
        <v/>
      </c>
      <c r="Q322" s="332">
        <f>IFERROR(VLOOKUP(TEXT(O322,"0"),CONDUCTORES!$A$3:$H$54,6,0),"")</f>
        <v/>
      </c>
      <c r="R322" s="280" t="n"/>
      <c r="S322" s="280" t="n"/>
      <c r="T322" s="280" t="n"/>
      <c r="U322" s="280" t="n"/>
      <c r="V322" s="280" t="n"/>
      <c r="W322" s="280" t="n"/>
      <c r="X322" s="280" t="n"/>
      <c r="Y322" s="280" t="n"/>
    </row>
    <row r="323" ht="15" customHeight="1" s="195">
      <c r="A323" s="334" t="n"/>
      <c r="B323" s="334" t="n"/>
      <c r="C323" s="334" t="n"/>
      <c r="D323" s="334" t="n"/>
      <c r="E323" s="334" t="n"/>
      <c r="F323" s="334" t="n"/>
      <c r="G323" s="334" t="n"/>
      <c r="H323" s="334" t="n"/>
      <c r="I323" s="332">
        <f>IFERROR(VLOOKUP(TEXT(H323,"0"),IPRESS!$A$3:$B$212,2,0),"")</f>
        <v/>
      </c>
      <c r="J323" s="334" t="n"/>
      <c r="K323" s="332">
        <f>IFERROR(VLOOKUP(TEXT(O323,"0"),CONDUCTORES!$A$3:$G$54,7,0),"")</f>
        <v/>
      </c>
      <c r="L323" s="334" t="n"/>
      <c r="M323" s="334" t="n"/>
      <c r="N323" s="333">
        <f>IFERROR(IF(L323*M323=0,"",L323*M323),"")</f>
        <v/>
      </c>
      <c r="O323" s="334" t="n"/>
      <c r="P323" s="332">
        <f>IFERROR(VLOOKUP(TEXT(O323,"0"),CONDUCTORES!$A$3:$G$54,2,0),"")</f>
        <v/>
      </c>
      <c r="Q323" s="332">
        <f>IFERROR(VLOOKUP(TEXT(O323,"0"),CONDUCTORES!$A$3:$H$54,6,0),"")</f>
        <v/>
      </c>
      <c r="R323" s="334" t="n"/>
      <c r="S323" s="334" t="n"/>
      <c r="T323" s="334" t="n"/>
      <c r="U323" s="334" t="n"/>
      <c r="V323" s="334" t="n"/>
      <c r="W323" s="334" t="n"/>
      <c r="X323" s="334" t="n"/>
      <c r="Y323" s="334" t="n"/>
    </row>
    <row r="324" ht="15" customHeight="1" s="195">
      <c r="A324" s="280" t="n"/>
      <c r="B324" s="280" t="n"/>
      <c r="C324" s="280" t="n"/>
      <c r="D324" s="280" t="n"/>
      <c r="E324" s="280" t="n"/>
      <c r="F324" s="280" t="n"/>
      <c r="G324" s="280" t="n"/>
      <c r="H324" s="280" t="n"/>
      <c r="I324" s="332">
        <f>IFERROR(VLOOKUP(TEXT(H324,"0"),IPRESS!$A$3:$B$212,2,0),"")</f>
        <v/>
      </c>
      <c r="J324" s="280" t="n"/>
      <c r="K324" s="332">
        <f>IFERROR(VLOOKUP(TEXT(O324,"0"),CONDUCTORES!$A$3:$G$54,7,0),"")</f>
        <v/>
      </c>
      <c r="L324" s="280" t="n"/>
      <c r="M324" s="280" t="n"/>
      <c r="N324" s="333">
        <f>IFERROR(IF(L324*M324=0,"",L324*M324),"")</f>
        <v/>
      </c>
      <c r="O324" s="280" t="n"/>
      <c r="P324" s="332">
        <f>IFERROR(VLOOKUP(TEXT(O324,"0"),CONDUCTORES!$A$3:$G$54,2,0),"")</f>
        <v/>
      </c>
      <c r="Q324" s="332">
        <f>IFERROR(VLOOKUP(TEXT(O324,"0"),CONDUCTORES!$A$3:$H$54,6,0),"")</f>
        <v/>
      </c>
      <c r="R324" s="280" t="n"/>
      <c r="S324" s="280" t="n"/>
      <c r="T324" s="280" t="n"/>
      <c r="U324" s="280" t="n"/>
      <c r="V324" s="280" t="n"/>
      <c r="W324" s="280" t="n"/>
      <c r="X324" s="280" t="n"/>
      <c r="Y324" s="280" t="n"/>
    </row>
    <row r="325" ht="15" customHeight="1" s="195">
      <c r="A325" s="334" t="n"/>
      <c r="B325" s="334" t="n"/>
      <c r="C325" s="334" t="n"/>
      <c r="D325" s="334" t="n"/>
      <c r="E325" s="334" t="n"/>
      <c r="F325" s="334" t="n"/>
      <c r="G325" s="334" t="n"/>
      <c r="H325" s="334" t="n"/>
      <c r="I325" s="332">
        <f>IFERROR(VLOOKUP(TEXT(H325,"0"),IPRESS!$A$3:$B$212,2,0),"")</f>
        <v/>
      </c>
      <c r="J325" s="334" t="n"/>
      <c r="K325" s="332">
        <f>IFERROR(VLOOKUP(TEXT(O325,"0"),CONDUCTORES!$A$3:$G$54,7,0),"")</f>
        <v/>
      </c>
      <c r="L325" s="334" t="n"/>
      <c r="M325" s="334" t="n"/>
      <c r="N325" s="333">
        <f>IFERROR(IF(L325*M325=0,"",L325*M325),"")</f>
        <v/>
      </c>
      <c r="O325" s="334" t="n"/>
      <c r="P325" s="332">
        <f>IFERROR(VLOOKUP(TEXT(O325,"0"),CONDUCTORES!$A$3:$G$54,2,0),"")</f>
        <v/>
      </c>
      <c r="Q325" s="332">
        <f>IFERROR(VLOOKUP(TEXT(O325,"0"),CONDUCTORES!$A$3:$H$54,6,0),"")</f>
        <v/>
      </c>
      <c r="R325" s="334" t="n"/>
      <c r="S325" s="334" t="n"/>
      <c r="T325" s="334" t="n"/>
      <c r="U325" s="334" t="n"/>
      <c r="V325" s="334" t="n"/>
      <c r="W325" s="334" t="n"/>
      <c r="X325" s="334" t="n"/>
      <c r="Y325" s="334" t="n"/>
    </row>
    <row r="326" ht="15" customHeight="1" s="195">
      <c r="A326" s="280" t="n"/>
      <c r="B326" s="280" t="n"/>
      <c r="C326" s="280" t="n"/>
      <c r="D326" s="280" t="n"/>
      <c r="E326" s="280" t="n"/>
      <c r="F326" s="280" t="n"/>
      <c r="G326" s="280" t="n"/>
      <c r="H326" s="280" t="n"/>
      <c r="I326" s="332">
        <f>IFERROR(VLOOKUP(TEXT(H326,"0"),IPRESS!$A$3:$B$212,2,0),"")</f>
        <v/>
      </c>
      <c r="J326" s="280" t="n"/>
      <c r="K326" s="332">
        <f>IFERROR(VLOOKUP(TEXT(O326,"0"),CONDUCTORES!$A$3:$G$54,7,0),"")</f>
        <v/>
      </c>
      <c r="L326" s="280" t="n"/>
      <c r="M326" s="280" t="n"/>
      <c r="N326" s="333">
        <f>IFERROR(IF(L326*M326=0,"",L326*M326),"")</f>
        <v/>
      </c>
      <c r="O326" s="280" t="n"/>
      <c r="P326" s="332">
        <f>IFERROR(VLOOKUP(TEXT(O326,"0"),CONDUCTORES!$A$3:$G$54,2,0),"")</f>
        <v/>
      </c>
      <c r="Q326" s="332">
        <f>IFERROR(VLOOKUP(TEXT(O326,"0"),CONDUCTORES!$A$3:$H$54,6,0),"")</f>
        <v/>
      </c>
      <c r="R326" s="280" t="n"/>
      <c r="S326" s="280" t="n"/>
      <c r="T326" s="280" t="n"/>
      <c r="U326" s="280" t="n"/>
      <c r="V326" s="280" t="n"/>
      <c r="W326" s="280" t="n"/>
      <c r="X326" s="280" t="n"/>
      <c r="Y326" s="280" t="n"/>
    </row>
    <row r="327" ht="15" customHeight="1" s="195">
      <c r="A327" s="334" t="n"/>
      <c r="B327" s="334" t="n"/>
      <c r="C327" s="334" t="n"/>
      <c r="D327" s="334" t="n"/>
      <c r="E327" s="334" t="n"/>
      <c r="F327" s="334" t="n"/>
      <c r="G327" s="334" t="n"/>
      <c r="H327" s="334" t="n"/>
      <c r="I327" s="332">
        <f>IFERROR(VLOOKUP(TEXT(H327,"0"),IPRESS!$A$3:$B$212,2,0),"")</f>
        <v/>
      </c>
      <c r="J327" s="334" t="n"/>
      <c r="K327" s="332">
        <f>IFERROR(VLOOKUP(TEXT(O327,"0"),CONDUCTORES!$A$3:$G$54,7,0),"")</f>
        <v/>
      </c>
      <c r="L327" s="334" t="n"/>
      <c r="M327" s="334" t="n"/>
      <c r="N327" s="333">
        <f>IFERROR(IF(L327*M327=0,"",L327*M327),"")</f>
        <v/>
      </c>
      <c r="O327" s="334" t="n"/>
      <c r="P327" s="332">
        <f>IFERROR(VLOOKUP(TEXT(O327,"0"),CONDUCTORES!$A$3:$G$54,2,0),"")</f>
        <v/>
      </c>
      <c r="Q327" s="332">
        <f>IFERROR(VLOOKUP(TEXT(O327,"0"),CONDUCTORES!$A$3:$H$54,6,0),"")</f>
        <v/>
      </c>
      <c r="R327" s="334" t="n"/>
      <c r="S327" s="334" t="n"/>
      <c r="T327" s="334" t="n"/>
      <c r="U327" s="334" t="n"/>
      <c r="V327" s="334" t="n"/>
      <c r="W327" s="334" t="n"/>
      <c r="X327" s="334" t="n"/>
      <c r="Y327" s="334" t="n"/>
    </row>
    <row r="328" ht="15" customHeight="1" s="195">
      <c r="A328" s="280" t="n"/>
      <c r="B328" s="280" t="n"/>
      <c r="C328" s="280" t="n"/>
      <c r="D328" s="280" t="n"/>
      <c r="E328" s="280" t="n"/>
      <c r="F328" s="280" t="n"/>
      <c r="G328" s="280" t="n"/>
      <c r="H328" s="280" t="n"/>
      <c r="I328" s="332">
        <f>IFERROR(VLOOKUP(TEXT(H328,"0"),IPRESS!$A$3:$B$212,2,0),"")</f>
        <v/>
      </c>
      <c r="J328" s="280" t="n"/>
      <c r="K328" s="332">
        <f>IFERROR(VLOOKUP(TEXT(O328,"0"),CONDUCTORES!$A$3:$G$54,7,0),"")</f>
        <v/>
      </c>
      <c r="L328" s="280" t="n"/>
      <c r="M328" s="280" t="n"/>
      <c r="N328" s="333">
        <f>IFERROR(IF(L328*M328=0,"",L328*M328),"")</f>
        <v/>
      </c>
      <c r="O328" s="280" t="n"/>
      <c r="P328" s="332">
        <f>IFERROR(VLOOKUP(TEXT(O328,"0"),CONDUCTORES!$A$3:$G$54,2,0),"")</f>
        <v/>
      </c>
      <c r="Q328" s="332">
        <f>IFERROR(VLOOKUP(TEXT(O328,"0"),CONDUCTORES!$A$3:$H$54,6,0),"")</f>
        <v/>
      </c>
      <c r="R328" s="280" t="n"/>
      <c r="S328" s="280" t="n"/>
      <c r="T328" s="280" t="n"/>
      <c r="U328" s="280" t="n"/>
      <c r="V328" s="280" t="n"/>
      <c r="W328" s="280" t="n"/>
      <c r="X328" s="280" t="n"/>
      <c r="Y328" s="280" t="n"/>
    </row>
    <row r="329" ht="15" customHeight="1" s="195">
      <c r="A329" s="334" t="n"/>
      <c r="B329" s="334" t="n"/>
      <c r="C329" s="334" t="n"/>
      <c r="D329" s="334" t="n"/>
      <c r="E329" s="334" t="n"/>
      <c r="F329" s="334" t="n"/>
      <c r="G329" s="334" t="n"/>
      <c r="H329" s="334" t="n"/>
      <c r="I329" s="332">
        <f>IFERROR(VLOOKUP(TEXT(H329,"0"),IPRESS!$A$3:$B$212,2,0),"")</f>
        <v/>
      </c>
      <c r="J329" s="334" t="n"/>
      <c r="K329" s="332">
        <f>IFERROR(VLOOKUP(TEXT(O329,"0"),CONDUCTORES!$A$3:$G$54,7,0),"")</f>
        <v/>
      </c>
      <c r="L329" s="334" t="n"/>
      <c r="M329" s="334" t="n"/>
      <c r="N329" s="333">
        <f>IFERROR(IF(L329*M329=0,"",L329*M329),"")</f>
        <v/>
      </c>
      <c r="O329" s="334" t="n"/>
      <c r="P329" s="332">
        <f>IFERROR(VLOOKUP(TEXT(O329,"0"),CONDUCTORES!$A$3:$G$54,2,0),"")</f>
        <v/>
      </c>
      <c r="Q329" s="332">
        <f>IFERROR(VLOOKUP(TEXT(O329,"0"),CONDUCTORES!$A$3:$H$54,6,0),"")</f>
        <v/>
      </c>
      <c r="R329" s="334" t="n"/>
      <c r="S329" s="334" t="n"/>
      <c r="T329" s="334" t="n"/>
      <c r="U329" s="334" t="n"/>
      <c r="V329" s="334" t="n"/>
      <c r="W329" s="334" t="n"/>
      <c r="X329" s="334" t="n"/>
      <c r="Y329" s="334" t="n"/>
    </row>
    <row r="330" ht="15" customHeight="1" s="195">
      <c r="A330" s="280" t="n"/>
      <c r="B330" s="280" t="n"/>
      <c r="C330" s="280" t="n"/>
      <c r="D330" s="280" t="n"/>
      <c r="E330" s="280" t="n"/>
      <c r="F330" s="280" t="n"/>
      <c r="G330" s="280" t="n"/>
      <c r="H330" s="280" t="n"/>
      <c r="I330" s="332">
        <f>IFERROR(VLOOKUP(TEXT(H330,"0"),IPRESS!$A$3:$B$212,2,0),"")</f>
        <v/>
      </c>
      <c r="J330" s="280" t="n"/>
      <c r="K330" s="332">
        <f>IFERROR(VLOOKUP(TEXT(O330,"0"),CONDUCTORES!$A$3:$G$54,7,0),"")</f>
        <v/>
      </c>
      <c r="L330" s="280" t="n"/>
      <c r="M330" s="280" t="n"/>
      <c r="N330" s="333">
        <f>IFERROR(IF(L330*M330=0,"",L330*M330),"")</f>
        <v/>
      </c>
      <c r="O330" s="280" t="n"/>
      <c r="P330" s="332">
        <f>IFERROR(VLOOKUP(TEXT(O330,"0"),CONDUCTORES!$A$3:$G$54,2,0),"")</f>
        <v/>
      </c>
      <c r="Q330" s="332">
        <f>IFERROR(VLOOKUP(TEXT(O330,"0"),CONDUCTORES!$A$3:$H$54,6,0),"")</f>
        <v/>
      </c>
      <c r="R330" s="280" t="n"/>
      <c r="S330" s="280" t="n"/>
      <c r="T330" s="280" t="n"/>
      <c r="U330" s="280" t="n"/>
      <c r="V330" s="280" t="n"/>
      <c r="W330" s="280" t="n"/>
      <c r="X330" s="280" t="n"/>
      <c r="Y330" s="280" t="n"/>
    </row>
    <row r="331" ht="15" customHeight="1" s="195">
      <c r="A331" s="334" t="n"/>
      <c r="B331" s="334" t="n"/>
      <c r="C331" s="334" t="n"/>
      <c r="D331" s="334" t="n"/>
      <c r="E331" s="334" t="n"/>
      <c r="F331" s="334" t="n"/>
      <c r="G331" s="334" t="n"/>
      <c r="H331" s="334" t="n"/>
      <c r="I331" s="332">
        <f>IFERROR(VLOOKUP(TEXT(H331,"0"),IPRESS!$A$3:$B$212,2,0),"")</f>
        <v/>
      </c>
      <c r="J331" s="334" t="n"/>
      <c r="K331" s="332">
        <f>IFERROR(VLOOKUP(TEXT(O331,"0"),CONDUCTORES!$A$3:$G$54,7,0),"")</f>
        <v/>
      </c>
      <c r="L331" s="334" t="n"/>
      <c r="M331" s="334" t="n"/>
      <c r="N331" s="333">
        <f>IFERROR(IF(L331*M331=0,"",L331*M331),"")</f>
        <v/>
      </c>
      <c r="O331" s="334" t="n"/>
      <c r="P331" s="332">
        <f>IFERROR(VLOOKUP(TEXT(O331,"0"),CONDUCTORES!$A$3:$G$54,2,0),"")</f>
        <v/>
      </c>
      <c r="Q331" s="332">
        <f>IFERROR(VLOOKUP(TEXT(O331,"0"),CONDUCTORES!$A$3:$H$54,6,0),"")</f>
        <v/>
      </c>
      <c r="R331" s="334" t="n"/>
      <c r="S331" s="334" t="n"/>
      <c r="T331" s="334" t="n"/>
      <c r="U331" s="334" t="n"/>
      <c r="V331" s="334" t="n"/>
      <c r="W331" s="334" t="n"/>
      <c r="X331" s="334" t="n"/>
      <c r="Y331" s="334" t="n"/>
    </row>
    <row r="332" ht="15" customHeight="1" s="195">
      <c r="A332" s="280" t="n"/>
      <c r="B332" s="280" t="n"/>
      <c r="C332" s="280" t="n"/>
      <c r="D332" s="280" t="n"/>
      <c r="E332" s="280" t="n"/>
      <c r="F332" s="280" t="n"/>
      <c r="G332" s="280" t="n"/>
      <c r="H332" s="280" t="n"/>
      <c r="I332" s="332">
        <f>IFERROR(VLOOKUP(TEXT(H332,"0"),IPRESS!$A$3:$B$212,2,0),"")</f>
        <v/>
      </c>
      <c r="J332" s="280" t="n"/>
      <c r="K332" s="332">
        <f>IFERROR(VLOOKUP(TEXT(O332,"0"),CONDUCTORES!$A$3:$G$54,7,0),"")</f>
        <v/>
      </c>
      <c r="L332" s="280" t="n"/>
      <c r="M332" s="280" t="n"/>
      <c r="N332" s="333">
        <f>IFERROR(IF(L332*M332=0,"",L332*M332),"")</f>
        <v/>
      </c>
      <c r="O332" s="280" t="n"/>
      <c r="P332" s="332">
        <f>IFERROR(VLOOKUP(TEXT(O332,"0"),CONDUCTORES!$A$3:$G$54,2,0),"")</f>
        <v/>
      </c>
      <c r="Q332" s="332">
        <f>IFERROR(VLOOKUP(TEXT(O332,"0"),CONDUCTORES!$A$3:$H$54,6,0),"")</f>
        <v/>
      </c>
      <c r="R332" s="280" t="n"/>
      <c r="S332" s="280" t="n"/>
      <c r="T332" s="280" t="n"/>
      <c r="U332" s="280" t="n"/>
      <c r="V332" s="280" t="n"/>
      <c r="W332" s="280" t="n"/>
      <c r="X332" s="280" t="n"/>
      <c r="Y332" s="280" t="n"/>
    </row>
    <row r="333" ht="15" customHeight="1" s="195">
      <c r="A333" s="334" t="n"/>
      <c r="B333" s="334" t="n"/>
      <c r="C333" s="334" t="n"/>
      <c r="D333" s="334" t="n"/>
      <c r="E333" s="334" t="n"/>
      <c r="F333" s="334" t="n"/>
      <c r="G333" s="334" t="n"/>
      <c r="H333" s="334" t="n"/>
      <c r="I333" s="332">
        <f>IFERROR(VLOOKUP(TEXT(H333,"0"),IPRESS!$A$3:$B$212,2,0),"")</f>
        <v/>
      </c>
      <c r="J333" s="334" t="n"/>
      <c r="K333" s="332">
        <f>IFERROR(VLOOKUP(TEXT(O333,"0"),CONDUCTORES!$A$3:$G$54,7,0),"")</f>
        <v/>
      </c>
      <c r="L333" s="334" t="n"/>
      <c r="M333" s="334" t="n"/>
      <c r="N333" s="333">
        <f>IFERROR(IF(L333*M333=0,"",L333*M333),"")</f>
        <v/>
      </c>
      <c r="O333" s="334" t="n"/>
      <c r="P333" s="332">
        <f>IFERROR(VLOOKUP(TEXT(O333,"0"),CONDUCTORES!$A$3:$G$54,2,0),"")</f>
        <v/>
      </c>
      <c r="Q333" s="332">
        <f>IFERROR(VLOOKUP(TEXT(O333,"0"),CONDUCTORES!$A$3:$H$54,6,0),"")</f>
        <v/>
      </c>
      <c r="R333" s="334" t="n"/>
      <c r="S333" s="334" t="n"/>
      <c r="T333" s="334" t="n"/>
      <c r="U333" s="334" t="n"/>
      <c r="V333" s="334" t="n"/>
      <c r="W333" s="334" t="n"/>
      <c r="X333" s="334" t="n"/>
      <c r="Y333" s="334" t="n"/>
    </row>
    <row r="334" ht="15" customHeight="1" s="195">
      <c r="A334" s="280" t="n"/>
      <c r="B334" s="280" t="n"/>
      <c r="C334" s="280" t="n"/>
      <c r="D334" s="280" t="n"/>
      <c r="E334" s="280" t="n"/>
      <c r="F334" s="280" t="n"/>
      <c r="G334" s="280" t="n"/>
      <c r="H334" s="280" t="n"/>
      <c r="I334" s="332">
        <f>IFERROR(VLOOKUP(TEXT(H334,"0"),IPRESS!$A$3:$B$212,2,0),"")</f>
        <v/>
      </c>
      <c r="J334" s="280" t="n"/>
      <c r="K334" s="332">
        <f>IFERROR(VLOOKUP(TEXT(O334,"0"),CONDUCTORES!$A$3:$G$54,7,0),"")</f>
        <v/>
      </c>
      <c r="L334" s="280" t="n"/>
      <c r="M334" s="280" t="n"/>
      <c r="N334" s="333">
        <f>IFERROR(IF(L334*M334=0,"",L334*M334),"")</f>
        <v/>
      </c>
      <c r="O334" s="280" t="n"/>
      <c r="P334" s="332">
        <f>IFERROR(VLOOKUP(TEXT(O334,"0"),CONDUCTORES!$A$3:$G$54,2,0),"")</f>
        <v/>
      </c>
      <c r="Q334" s="332">
        <f>IFERROR(VLOOKUP(TEXT(O334,"0"),CONDUCTORES!$A$3:$H$54,6,0),"")</f>
        <v/>
      </c>
      <c r="R334" s="280" t="n"/>
      <c r="S334" s="280" t="n"/>
      <c r="T334" s="280" t="n"/>
      <c r="U334" s="280" t="n"/>
      <c r="V334" s="280" t="n"/>
      <c r="W334" s="280" t="n"/>
      <c r="X334" s="280" t="n"/>
      <c r="Y334" s="280" t="n"/>
    </row>
    <row r="335" ht="15" customHeight="1" s="195">
      <c r="A335" s="334" t="n"/>
      <c r="B335" s="334" t="n"/>
      <c r="C335" s="334" t="n"/>
      <c r="D335" s="334" t="n"/>
      <c r="E335" s="334" t="n"/>
      <c r="F335" s="334" t="n"/>
      <c r="G335" s="334" t="n"/>
      <c r="H335" s="334" t="n"/>
      <c r="I335" s="332">
        <f>IFERROR(VLOOKUP(TEXT(H335,"0"),IPRESS!$A$3:$B$212,2,0),"")</f>
        <v/>
      </c>
      <c r="J335" s="334" t="n"/>
      <c r="K335" s="332">
        <f>IFERROR(VLOOKUP(TEXT(O335,"0"),CONDUCTORES!$A$3:$G$54,7,0),"")</f>
        <v/>
      </c>
      <c r="L335" s="334" t="n"/>
      <c r="M335" s="334" t="n"/>
      <c r="N335" s="333">
        <f>IFERROR(IF(L335*M335=0,"",L335*M335),"")</f>
        <v/>
      </c>
      <c r="O335" s="334" t="n"/>
      <c r="P335" s="332">
        <f>IFERROR(VLOOKUP(TEXT(O335,"0"),CONDUCTORES!$A$3:$G$54,2,0),"")</f>
        <v/>
      </c>
      <c r="Q335" s="332">
        <f>IFERROR(VLOOKUP(TEXT(O335,"0"),CONDUCTORES!$A$3:$H$54,6,0),"")</f>
        <v/>
      </c>
      <c r="R335" s="334" t="n"/>
      <c r="S335" s="334" t="n"/>
      <c r="T335" s="334" t="n"/>
      <c r="U335" s="334" t="n"/>
      <c r="V335" s="334" t="n"/>
      <c r="W335" s="334" t="n"/>
      <c r="X335" s="334" t="n"/>
      <c r="Y335" s="334" t="n"/>
    </row>
    <row r="336" ht="15" customHeight="1" s="195">
      <c r="A336" s="280" t="n"/>
      <c r="B336" s="280" t="n"/>
      <c r="C336" s="280" t="n"/>
      <c r="D336" s="280" t="n"/>
      <c r="E336" s="280" t="n"/>
      <c r="F336" s="280" t="n"/>
      <c r="G336" s="280" t="n"/>
      <c r="H336" s="280" t="n"/>
      <c r="I336" s="332">
        <f>IFERROR(VLOOKUP(TEXT(H336,"0"),IPRESS!$A$3:$B$212,2,0),"")</f>
        <v/>
      </c>
      <c r="J336" s="280" t="n"/>
      <c r="K336" s="332">
        <f>IFERROR(VLOOKUP(TEXT(O336,"0"),CONDUCTORES!$A$3:$G$54,7,0),"")</f>
        <v/>
      </c>
      <c r="L336" s="280" t="n"/>
      <c r="M336" s="280" t="n"/>
      <c r="N336" s="333">
        <f>IFERROR(IF(L336*M336=0,"",L336*M336),"")</f>
        <v/>
      </c>
      <c r="O336" s="280" t="n"/>
      <c r="P336" s="332">
        <f>IFERROR(VLOOKUP(TEXT(O336,"0"),CONDUCTORES!$A$3:$G$54,2,0),"")</f>
        <v/>
      </c>
      <c r="Q336" s="332">
        <f>IFERROR(VLOOKUP(TEXT(O336,"0"),CONDUCTORES!$A$3:$H$54,6,0),"")</f>
        <v/>
      </c>
      <c r="R336" s="280" t="n"/>
      <c r="S336" s="280" t="n"/>
      <c r="T336" s="280" t="n"/>
      <c r="U336" s="280" t="n"/>
      <c r="V336" s="280" t="n"/>
      <c r="W336" s="280" t="n"/>
      <c r="X336" s="280" t="n"/>
      <c r="Y336" s="280" t="n"/>
    </row>
    <row r="337" ht="15" customHeight="1" s="195">
      <c r="A337" s="334" t="n"/>
      <c r="B337" s="334" t="n"/>
      <c r="C337" s="334" t="n"/>
      <c r="D337" s="334" t="n"/>
      <c r="E337" s="334" t="n"/>
      <c r="F337" s="334" t="n"/>
      <c r="G337" s="334" t="n"/>
      <c r="H337" s="334" t="n"/>
      <c r="I337" s="332">
        <f>IFERROR(VLOOKUP(TEXT(H337,"0"),IPRESS!$A$3:$B$212,2,0),"")</f>
        <v/>
      </c>
      <c r="J337" s="334" t="n"/>
      <c r="K337" s="332">
        <f>IFERROR(VLOOKUP(TEXT(O337,"0"),CONDUCTORES!$A$3:$G$54,7,0),"")</f>
        <v/>
      </c>
      <c r="L337" s="334" t="n"/>
      <c r="M337" s="334" t="n"/>
      <c r="N337" s="333">
        <f>IFERROR(IF(L337*M337=0,"",L337*M337),"")</f>
        <v/>
      </c>
      <c r="O337" s="334" t="n"/>
      <c r="P337" s="332">
        <f>IFERROR(VLOOKUP(TEXT(O337,"0"),CONDUCTORES!$A$3:$G$54,2,0),"")</f>
        <v/>
      </c>
      <c r="Q337" s="332">
        <f>IFERROR(VLOOKUP(TEXT(O337,"0"),CONDUCTORES!$A$3:$H$54,6,0),"")</f>
        <v/>
      </c>
      <c r="R337" s="334" t="n"/>
      <c r="S337" s="334" t="n"/>
      <c r="T337" s="334" t="n"/>
      <c r="U337" s="334" t="n"/>
      <c r="V337" s="334" t="n"/>
      <c r="W337" s="334" t="n"/>
      <c r="X337" s="334" t="n"/>
      <c r="Y337" s="334" t="n"/>
    </row>
    <row r="338" ht="15" customHeight="1" s="195">
      <c r="A338" s="280" t="n"/>
      <c r="B338" s="280" t="n"/>
      <c r="C338" s="280" t="n"/>
      <c r="D338" s="280" t="n"/>
      <c r="E338" s="280" t="n"/>
      <c r="F338" s="280" t="n"/>
      <c r="G338" s="280" t="n"/>
      <c r="H338" s="280" t="n"/>
      <c r="I338" s="332">
        <f>IFERROR(VLOOKUP(TEXT(H338,"0"),IPRESS!$A$3:$B$212,2,0),"")</f>
        <v/>
      </c>
      <c r="J338" s="280" t="n"/>
      <c r="K338" s="332">
        <f>IFERROR(VLOOKUP(TEXT(O338,"0"),CONDUCTORES!$A$3:$G$54,7,0),"")</f>
        <v/>
      </c>
      <c r="L338" s="280" t="n"/>
      <c r="M338" s="280" t="n"/>
      <c r="N338" s="333">
        <f>IFERROR(IF(L338*M338=0,"",L338*M338),"")</f>
        <v/>
      </c>
      <c r="O338" s="280" t="n"/>
      <c r="P338" s="332">
        <f>IFERROR(VLOOKUP(TEXT(O338,"0"),CONDUCTORES!$A$3:$G$54,2,0),"")</f>
        <v/>
      </c>
      <c r="Q338" s="332">
        <f>IFERROR(VLOOKUP(TEXT(O338,"0"),CONDUCTORES!$A$3:$H$54,6,0),"")</f>
        <v/>
      </c>
      <c r="R338" s="280" t="n"/>
      <c r="S338" s="280" t="n"/>
      <c r="T338" s="280" t="n"/>
      <c r="U338" s="280" t="n"/>
      <c r="V338" s="280" t="n"/>
      <c r="W338" s="280" t="n"/>
      <c r="X338" s="280" t="n"/>
      <c r="Y338" s="280" t="n"/>
    </row>
    <row r="339" ht="15" customHeight="1" s="195">
      <c r="A339" s="334" t="n"/>
      <c r="B339" s="334" t="n"/>
      <c r="C339" s="334" t="n"/>
      <c r="D339" s="334" t="n"/>
      <c r="E339" s="334" t="n"/>
      <c r="F339" s="334" t="n"/>
      <c r="G339" s="334" t="n"/>
      <c r="H339" s="334" t="n"/>
      <c r="I339" s="332">
        <f>IFERROR(VLOOKUP(TEXT(H339,"0"),IPRESS!$A$3:$B$212,2,0),"")</f>
        <v/>
      </c>
      <c r="J339" s="334" t="n"/>
      <c r="K339" s="332">
        <f>IFERROR(VLOOKUP(TEXT(O339,"0"),CONDUCTORES!$A$3:$G$54,7,0),"")</f>
        <v/>
      </c>
      <c r="L339" s="334" t="n"/>
      <c r="M339" s="334" t="n"/>
      <c r="N339" s="333">
        <f>IFERROR(IF(L339*M339=0,"",L339*M339),"")</f>
        <v/>
      </c>
      <c r="O339" s="334" t="n"/>
      <c r="P339" s="332">
        <f>IFERROR(VLOOKUP(TEXT(O339,"0"),CONDUCTORES!$A$3:$G$54,2,0),"")</f>
        <v/>
      </c>
      <c r="Q339" s="332">
        <f>IFERROR(VLOOKUP(TEXT(O339,"0"),CONDUCTORES!$A$3:$H$54,6,0),"")</f>
        <v/>
      </c>
      <c r="R339" s="334" t="n"/>
      <c r="S339" s="334" t="n"/>
      <c r="T339" s="334" t="n"/>
      <c r="U339" s="334" t="n"/>
      <c r="V339" s="334" t="n"/>
      <c r="W339" s="334" t="n"/>
      <c r="X339" s="334" t="n"/>
      <c r="Y339" s="334" t="n"/>
    </row>
    <row r="340" ht="15" customHeight="1" s="195">
      <c r="A340" s="280" t="n"/>
      <c r="B340" s="280" t="n"/>
      <c r="C340" s="280" t="n"/>
      <c r="D340" s="280" t="n"/>
      <c r="E340" s="280" t="n"/>
      <c r="F340" s="280" t="n"/>
      <c r="G340" s="280" t="n"/>
      <c r="H340" s="280" t="n"/>
      <c r="I340" s="332">
        <f>IFERROR(VLOOKUP(TEXT(H340,"0"),IPRESS!$A$3:$B$212,2,0),"")</f>
        <v/>
      </c>
      <c r="J340" s="280" t="n"/>
      <c r="K340" s="332">
        <f>IFERROR(VLOOKUP(TEXT(O340,"0"),CONDUCTORES!$A$3:$G$54,7,0),"")</f>
        <v/>
      </c>
      <c r="L340" s="280" t="n"/>
      <c r="M340" s="280" t="n"/>
      <c r="N340" s="333">
        <f>IFERROR(IF(L340*M340=0,"",L340*M340),"")</f>
        <v/>
      </c>
      <c r="O340" s="280" t="n"/>
      <c r="P340" s="332">
        <f>IFERROR(VLOOKUP(TEXT(O340,"0"),CONDUCTORES!$A$3:$G$54,2,0),"")</f>
        <v/>
      </c>
      <c r="Q340" s="332">
        <f>IFERROR(VLOOKUP(TEXT(O340,"0"),CONDUCTORES!$A$3:$H$54,6,0),"")</f>
        <v/>
      </c>
      <c r="R340" s="280" t="n"/>
      <c r="S340" s="280" t="n"/>
      <c r="T340" s="280" t="n"/>
      <c r="U340" s="280" t="n"/>
      <c r="V340" s="280" t="n"/>
      <c r="W340" s="280" t="n"/>
      <c r="X340" s="280" t="n"/>
      <c r="Y340" s="280" t="n"/>
    </row>
    <row r="341" ht="15" customHeight="1" s="195">
      <c r="A341" s="334" t="n"/>
      <c r="B341" s="334" t="n"/>
      <c r="C341" s="334" t="n"/>
      <c r="D341" s="334" t="n"/>
      <c r="E341" s="334" t="n"/>
      <c r="F341" s="334" t="n"/>
      <c r="G341" s="334" t="n"/>
      <c r="H341" s="334" t="n"/>
      <c r="I341" s="332">
        <f>IFERROR(VLOOKUP(TEXT(H341,"0"),IPRESS!$A$3:$B$212,2,0),"")</f>
        <v/>
      </c>
      <c r="J341" s="334" t="n"/>
      <c r="K341" s="332">
        <f>IFERROR(VLOOKUP(TEXT(O341,"0"),CONDUCTORES!$A$3:$G$54,7,0),"")</f>
        <v/>
      </c>
      <c r="L341" s="334" t="n"/>
      <c r="M341" s="334" t="n"/>
      <c r="N341" s="333">
        <f>IFERROR(IF(L341*M341=0,"",L341*M341),"")</f>
        <v/>
      </c>
      <c r="O341" s="334" t="n"/>
      <c r="P341" s="332">
        <f>IFERROR(VLOOKUP(TEXT(O341,"0"),CONDUCTORES!$A$3:$G$54,2,0),"")</f>
        <v/>
      </c>
      <c r="Q341" s="332">
        <f>IFERROR(VLOOKUP(TEXT(O341,"0"),CONDUCTORES!$A$3:$H$54,6,0),"")</f>
        <v/>
      </c>
      <c r="R341" s="334" t="n"/>
      <c r="S341" s="334" t="n"/>
      <c r="T341" s="334" t="n"/>
      <c r="U341" s="334" t="n"/>
      <c r="V341" s="334" t="n"/>
      <c r="W341" s="334" t="n"/>
      <c r="X341" s="334" t="n"/>
      <c r="Y341" s="334" t="n"/>
    </row>
    <row r="342" ht="15" customHeight="1" s="195">
      <c r="A342" s="280" t="n"/>
      <c r="B342" s="280" t="n"/>
      <c r="C342" s="280" t="n"/>
      <c r="D342" s="280" t="n"/>
      <c r="E342" s="280" t="n"/>
      <c r="F342" s="280" t="n"/>
      <c r="G342" s="280" t="n"/>
      <c r="H342" s="280" t="n"/>
      <c r="I342" s="332">
        <f>IFERROR(VLOOKUP(TEXT(H342,"0"),IPRESS!$A$3:$B$212,2,0),"")</f>
        <v/>
      </c>
      <c r="J342" s="280" t="n"/>
      <c r="K342" s="332">
        <f>IFERROR(VLOOKUP(TEXT(O342,"0"),CONDUCTORES!$A$3:$G$54,7,0),"")</f>
        <v/>
      </c>
      <c r="L342" s="280" t="n"/>
      <c r="M342" s="280" t="n"/>
      <c r="N342" s="333">
        <f>IFERROR(IF(L342*M342=0,"",L342*M342),"")</f>
        <v/>
      </c>
      <c r="O342" s="280" t="n"/>
      <c r="P342" s="332">
        <f>IFERROR(VLOOKUP(TEXT(O342,"0"),CONDUCTORES!$A$3:$G$54,2,0),"")</f>
        <v/>
      </c>
      <c r="Q342" s="332">
        <f>IFERROR(VLOOKUP(TEXT(O342,"0"),CONDUCTORES!$A$3:$H$54,6,0),"")</f>
        <v/>
      </c>
      <c r="R342" s="280" t="n"/>
      <c r="S342" s="280" t="n"/>
      <c r="T342" s="280" t="n"/>
      <c r="U342" s="280" t="n"/>
      <c r="V342" s="280" t="n"/>
      <c r="W342" s="280" t="n"/>
      <c r="X342" s="280" t="n"/>
      <c r="Y342" s="280" t="n"/>
    </row>
    <row r="343" ht="15" customHeight="1" s="195">
      <c r="A343" s="334" t="n"/>
      <c r="B343" s="334" t="n"/>
      <c r="C343" s="334" t="n"/>
      <c r="D343" s="334" t="n"/>
      <c r="E343" s="334" t="n"/>
      <c r="F343" s="334" t="n"/>
      <c r="G343" s="334" t="n"/>
      <c r="H343" s="334" t="n"/>
      <c r="I343" s="332">
        <f>IFERROR(VLOOKUP(TEXT(H343,"0"),IPRESS!$A$3:$B$212,2,0),"")</f>
        <v/>
      </c>
      <c r="J343" s="334" t="n"/>
      <c r="K343" s="332">
        <f>IFERROR(VLOOKUP(TEXT(O343,"0"),CONDUCTORES!$A$3:$G$54,7,0),"")</f>
        <v/>
      </c>
      <c r="L343" s="334" t="n"/>
      <c r="M343" s="334" t="n"/>
      <c r="N343" s="333">
        <f>IFERROR(IF(L343*M343=0,"",L343*M343),"")</f>
        <v/>
      </c>
      <c r="O343" s="334" t="n"/>
      <c r="P343" s="332">
        <f>IFERROR(VLOOKUP(TEXT(O343,"0"),CONDUCTORES!$A$3:$G$54,2,0),"")</f>
        <v/>
      </c>
      <c r="Q343" s="332">
        <f>IFERROR(VLOOKUP(TEXT(O343,"0"),CONDUCTORES!$A$3:$H$54,6,0),"")</f>
        <v/>
      </c>
      <c r="R343" s="334" t="n"/>
      <c r="S343" s="334" t="n"/>
      <c r="T343" s="334" t="n"/>
      <c r="U343" s="334" t="n"/>
      <c r="V343" s="334" t="n"/>
      <c r="W343" s="334" t="n"/>
      <c r="X343" s="334" t="n"/>
      <c r="Y343" s="334" t="n"/>
    </row>
    <row r="344" ht="15" customHeight="1" s="195">
      <c r="A344" s="280" t="n"/>
      <c r="B344" s="280" t="n"/>
      <c r="C344" s="280" t="n"/>
      <c r="D344" s="280" t="n"/>
      <c r="E344" s="280" t="n"/>
      <c r="F344" s="280" t="n"/>
      <c r="G344" s="280" t="n"/>
      <c r="H344" s="280" t="n"/>
      <c r="I344" s="332">
        <f>IFERROR(VLOOKUP(TEXT(H344,"0"),IPRESS!$A$3:$B$212,2,0),"")</f>
        <v/>
      </c>
      <c r="J344" s="280" t="n"/>
      <c r="K344" s="332">
        <f>IFERROR(VLOOKUP(TEXT(O344,"0"),CONDUCTORES!$A$3:$G$54,7,0),"")</f>
        <v/>
      </c>
      <c r="L344" s="280" t="n"/>
      <c r="M344" s="280" t="n"/>
      <c r="N344" s="333">
        <f>IFERROR(IF(L344*M344=0,"",L344*M344),"")</f>
        <v/>
      </c>
      <c r="O344" s="280" t="n"/>
      <c r="P344" s="332">
        <f>IFERROR(VLOOKUP(TEXT(O344,"0"),CONDUCTORES!$A$3:$G$54,2,0),"")</f>
        <v/>
      </c>
      <c r="Q344" s="332">
        <f>IFERROR(VLOOKUP(TEXT(O344,"0"),CONDUCTORES!$A$3:$H$54,6,0),"")</f>
        <v/>
      </c>
      <c r="R344" s="280" t="n"/>
      <c r="S344" s="280" t="n"/>
      <c r="T344" s="280" t="n"/>
      <c r="U344" s="280" t="n"/>
      <c r="V344" s="280" t="n"/>
      <c r="W344" s="280" t="n"/>
      <c r="X344" s="280" t="n"/>
      <c r="Y344" s="280" t="n"/>
    </row>
    <row r="345" ht="15" customHeight="1" s="195">
      <c r="A345" s="334" t="n"/>
      <c r="B345" s="334" t="n"/>
      <c r="C345" s="334" t="n"/>
      <c r="D345" s="334" t="n"/>
      <c r="E345" s="334" t="n"/>
      <c r="F345" s="334" t="n"/>
      <c r="G345" s="334" t="n"/>
      <c r="H345" s="334" t="n"/>
      <c r="I345" s="332">
        <f>IFERROR(VLOOKUP(TEXT(H345,"0"),IPRESS!$A$3:$B$212,2,0),"")</f>
        <v/>
      </c>
      <c r="J345" s="334" t="n"/>
      <c r="K345" s="332">
        <f>IFERROR(VLOOKUP(TEXT(O345,"0"),CONDUCTORES!$A$3:$G$54,7,0),"")</f>
        <v/>
      </c>
      <c r="L345" s="334" t="n"/>
      <c r="M345" s="334" t="n"/>
      <c r="N345" s="333">
        <f>IFERROR(IF(L345*M345=0,"",L345*M345),"")</f>
        <v/>
      </c>
      <c r="O345" s="334" t="n"/>
      <c r="P345" s="332">
        <f>IFERROR(VLOOKUP(TEXT(O345,"0"),CONDUCTORES!$A$3:$G$54,2,0),"")</f>
        <v/>
      </c>
      <c r="Q345" s="332">
        <f>IFERROR(VLOOKUP(TEXT(O345,"0"),CONDUCTORES!$A$3:$H$54,6,0),"")</f>
        <v/>
      </c>
      <c r="R345" s="334" t="n"/>
      <c r="S345" s="334" t="n"/>
      <c r="T345" s="334" t="n"/>
      <c r="U345" s="334" t="n"/>
      <c r="V345" s="334" t="n"/>
      <c r="W345" s="334" t="n"/>
      <c r="X345" s="334" t="n"/>
      <c r="Y345" s="334" t="n"/>
    </row>
    <row r="346" ht="15" customHeight="1" s="195">
      <c r="A346" s="280" t="n"/>
      <c r="B346" s="280" t="n"/>
      <c r="C346" s="280" t="n"/>
      <c r="D346" s="280" t="n"/>
      <c r="E346" s="280" t="n"/>
      <c r="F346" s="280" t="n"/>
      <c r="G346" s="280" t="n"/>
      <c r="H346" s="280" t="n"/>
      <c r="I346" s="332">
        <f>IFERROR(VLOOKUP(TEXT(H346,"0"),IPRESS!$A$3:$B$212,2,0),"")</f>
        <v/>
      </c>
      <c r="J346" s="280" t="n"/>
      <c r="K346" s="332">
        <f>IFERROR(VLOOKUP(TEXT(O346,"0"),CONDUCTORES!$A$3:$G$54,7,0),"")</f>
        <v/>
      </c>
      <c r="L346" s="280" t="n"/>
      <c r="M346" s="280" t="n"/>
      <c r="N346" s="333">
        <f>IFERROR(IF(L346*M346=0,"",L346*M346),"")</f>
        <v/>
      </c>
      <c r="O346" s="280" t="n"/>
      <c r="P346" s="332">
        <f>IFERROR(VLOOKUP(TEXT(O346,"0"),CONDUCTORES!$A$3:$G$54,2,0),"")</f>
        <v/>
      </c>
      <c r="Q346" s="332">
        <f>IFERROR(VLOOKUP(TEXT(O346,"0"),CONDUCTORES!$A$3:$H$54,6,0),"")</f>
        <v/>
      </c>
      <c r="R346" s="280" t="n"/>
      <c r="S346" s="280" t="n"/>
      <c r="T346" s="280" t="n"/>
      <c r="U346" s="280" t="n"/>
      <c r="V346" s="280" t="n"/>
      <c r="W346" s="280" t="n"/>
      <c r="X346" s="280" t="n"/>
      <c r="Y346" s="280" t="n"/>
    </row>
    <row r="347" ht="15" customHeight="1" s="195">
      <c r="A347" s="334" t="n"/>
      <c r="B347" s="334" t="n"/>
      <c r="C347" s="334" t="n"/>
      <c r="D347" s="334" t="n"/>
      <c r="E347" s="334" t="n"/>
      <c r="F347" s="334" t="n"/>
      <c r="G347" s="334" t="n"/>
      <c r="H347" s="334" t="n"/>
      <c r="I347" s="332">
        <f>IFERROR(VLOOKUP(TEXT(H347,"0"),IPRESS!$A$3:$B$212,2,0),"")</f>
        <v/>
      </c>
      <c r="J347" s="334" t="n"/>
      <c r="K347" s="332">
        <f>IFERROR(VLOOKUP(TEXT(O347,"0"),CONDUCTORES!$A$3:$G$54,7,0),"")</f>
        <v/>
      </c>
      <c r="L347" s="334" t="n"/>
      <c r="M347" s="334" t="n"/>
      <c r="N347" s="333">
        <f>IFERROR(IF(L347*M347=0,"",L347*M347),"")</f>
        <v/>
      </c>
      <c r="O347" s="334" t="n"/>
      <c r="P347" s="332">
        <f>IFERROR(VLOOKUP(TEXT(O347,"0"),CONDUCTORES!$A$3:$G$54,2,0),"")</f>
        <v/>
      </c>
      <c r="Q347" s="332">
        <f>IFERROR(VLOOKUP(TEXT(O347,"0"),CONDUCTORES!$A$3:$H$54,6,0),"")</f>
        <v/>
      </c>
      <c r="R347" s="334" t="n"/>
      <c r="S347" s="334" t="n"/>
      <c r="T347" s="334" t="n"/>
      <c r="U347" s="334" t="n"/>
      <c r="V347" s="334" t="n"/>
      <c r="W347" s="334" t="n"/>
      <c r="X347" s="334" t="n"/>
      <c r="Y347" s="334" t="n"/>
    </row>
    <row r="348" ht="15" customHeight="1" s="195">
      <c r="A348" s="280" t="n"/>
      <c r="B348" s="280" t="n"/>
      <c r="C348" s="280" t="n"/>
      <c r="D348" s="280" t="n"/>
      <c r="E348" s="280" t="n"/>
      <c r="F348" s="280" t="n"/>
      <c r="G348" s="280" t="n"/>
      <c r="H348" s="280" t="n"/>
      <c r="I348" s="332">
        <f>IFERROR(VLOOKUP(TEXT(H348,"0"),IPRESS!$A$3:$B$212,2,0),"")</f>
        <v/>
      </c>
      <c r="J348" s="280" t="n"/>
      <c r="K348" s="332">
        <f>IFERROR(VLOOKUP(TEXT(O348,"0"),CONDUCTORES!$A$3:$G$54,7,0),"")</f>
        <v/>
      </c>
      <c r="L348" s="280" t="n"/>
      <c r="M348" s="280" t="n"/>
      <c r="N348" s="333">
        <f>IFERROR(IF(L348*M348=0,"",L348*M348),"")</f>
        <v/>
      </c>
      <c r="O348" s="280" t="n"/>
      <c r="P348" s="332">
        <f>IFERROR(VLOOKUP(TEXT(O348,"0"),CONDUCTORES!$A$3:$G$54,2,0),"")</f>
        <v/>
      </c>
      <c r="Q348" s="332">
        <f>IFERROR(VLOOKUP(TEXT(O348,"0"),CONDUCTORES!$A$3:$H$54,6,0),"")</f>
        <v/>
      </c>
      <c r="R348" s="280" t="n"/>
      <c r="S348" s="280" t="n"/>
      <c r="T348" s="280" t="n"/>
      <c r="U348" s="280" t="n"/>
      <c r="V348" s="280" t="n"/>
      <c r="W348" s="280" t="n"/>
      <c r="X348" s="280" t="n"/>
      <c r="Y348" s="280" t="n"/>
    </row>
    <row r="349" ht="15" customHeight="1" s="195">
      <c r="A349" s="334" t="n"/>
      <c r="B349" s="334" t="n"/>
      <c r="C349" s="334" t="n"/>
      <c r="D349" s="334" t="n"/>
      <c r="E349" s="334" t="n"/>
      <c r="F349" s="334" t="n"/>
      <c r="G349" s="334" t="n"/>
      <c r="H349" s="334" t="n"/>
      <c r="I349" s="332">
        <f>IFERROR(VLOOKUP(TEXT(H349,"0"),IPRESS!$A$3:$B$212,2,0),"")</f>
        <v/>
      </c>
      <c r="J349" s="334" t="n"/>
      <c r="K349" s="332">
        <f>IFERROR(VLOOKUP(TEXT(O349,"0"),CONDUCTORES!$A$3:$G$54,7,0),"")</f>
        <v/>
      </c>
      <c r="L349" s="334" t="n"/>
      <c r="M349" s="334" t="n"/>
      <c r="N349" s="333">
        <f>IFERROR(IF(L349*M349=0,"",L349*M349),"")</f>
        <v/>
      </c>
      <c r="O349" s="334" t="n"/>
      <c r="P349" s="332">
        <f>IFERROR(VLOOKUP(TEXT(O349,"0"),CONDUCTORES!$A$3:$G$54,2,0),"")</f>
        <v/>
      </c>
      <c r="Q349" s="332">
        <f>IFERROR(VLOOKUP(TEXT(O349,"0"),CONDUCTORES!$A$3:$H$54,6,0),"")</f>
        <v/>
      </c>
      <c r="R349" s="334" t="n"/>
      <c r="S349" s="334" t="n"/>
      <c r="T349" s="334" t="n"/>
      <c r="U349" s="334" t="n"/>
      <c r="V349" s="334" t="n"/>
      <c r="W349" s="334" t="n"/>
      <c r="X349" s="334" t="n"/>
      <c r="Y349" s="334" t="n"/>
    </row>
    <row r="350" ht="15" customHeight="1" s="195">
      <c r="A350" s="280" t="n"/>
      <c r="B350" s="280" t="n"/>
      <c r="C350" s="280" t="n"/>
      <c r="D350" s="280" t="n"/>
      <c r="E350" s="280" t="n"/>
      <c r="F350" s="280" t="n"/>
      <c r="G350" s="280" t="n"/>
      <c r="H350" s="280" t="n"/>
      <c r="I350" s="332">
        <f>IFERROR(VLOOKUP(TEXT(H350,"0"),IPRESS!$A$3:$B$212,2,0),"")</f>
        <v/>
      </c>
      <c r="J350" s="280" t="n"/>
      <c r="K350" s="332">
        <f>IFERROR(VLOOKUP(TEXT(O350,"0"),CONDUCTORES!$A$3:$G$54,7,0),"")</f>
        <v/>
      </c>
      <c r="L350" s="280" t="n"/>
      <c r="M350" s="280" t="n"/>
      <c r="N350" s="333">
        <f>IFERROR(IF(L350*M350=0,"",L350*M350),"")</f>
        <v/>
      </c>
      <c r="O350" s="280" t="n"/>
      <c r="P350" s="332">
        <f>IFERROR(VLOOKUP(TEXT(O350,"0"),CONDUCTORES!$A$3:$G$54,2,0),"")</f>
        <v/>
      </c>
      <c r="Q350" s="332">
        <f>IFERROR(VLOOKUP(TEXT(O350,"0"),CONDUCTORES!$A$3:$H$54,6,0),"")</f>
        <v/>
      </c>
      <c r="R350" s="280" t="n"/>
      <c r="S350" s="280" t="n"/>
      <c r="T350" s="280" t="n"/>
      <c r="U350" s="280" t="n"/>
      <c r="V350" s="280" t="n"/>
      <c r="W350" s="280" t="n"/>
      <c r="X350" s="280" t="n"/>
      <c r="Y350" s="280" t="n"/>
    </row>
    <row r="351" ht="15" customHeight="1" s="195">
      <c r="A351" s="334" t="n"/>
      <c r="B351" s="334" t="n"/>
      <c r="C351" s="334" t="n"/>
      <c r="D351" s="334" t="n"/>
      <c r="E351" s="334" t="n"/>
      <c r="F351" s="334" t="n"/>
      <c r="G351" s="334" t="n"/>
      <c r="H351" s="334" t="n"/>
      <c r="I351" s="332">
        <f>IFERROR(VLOOKUP(TEXT(H351,"0"),IPRESS!$A$3:$B$212,2,0),"")</f>
        <v/>
      </c>
      <c r="J351" s="334" t="n"/>
      <c r="K351" s="332">
        <f>IFERROR(VLOOKUP(TEXT(O351,"0"),CONDUCTORES!$A$3:$G$54,7,0),"")</f>
        <v/>
      </c>
      <c r="L351" s="334" t="n"/>
      <c r="M351" s="334" t="n"/>
      <c r="N351" s="333">
        <f>IFERROR(IF(L351*M351=0,"",L351*M351),"")</f>
        <v/>
      </c>
      <c r="O351" s="334" t="n"/>
      <c r="P351" s="332">
        <f>IFERROR(VLOOKUP(TEXT(O351,"0"),CONDUCTORES!$A$3:$G$54,2,0),"")</f>
        <v/>
      </c>
      <c r="Q351" s="332">
        <f>IFERROR(VLOOKUP(TEXT(O351,"0"),CONDUCTORES!$A$3:$H$54,6,0),"")</f>
        <v/>
      </c>
      <c r="R351" s="334" t="n"/>
      <c r="S351" s="334" t="n"/>
      <c r="T351" s="334" t="n"/>
      <c r="U351" s="334" t="n"/>
      <c r="V351" s="334" t="n"/>
      <c r="W351" s="334" t="n"/>
      <c r="X351" s="334" t="n"/>
      <c r="Y351" s="334" t="n"/>
    </row>
    <row r="352" ht="15" customHeight="1" s="195">
      <c r="A352" s="280" t="n"/>
      <c r="B352" s="280" t="n"/>
      <c r="C352" s="280" t="n"/>
      <c r="D352" s="280" t="n"/>
      <c r="E352" s="280" t="n"/>
      <c r="F352" s="280" t="n"/>
      <c r="G352" s="280" t="n"/>
      <c r="H352" s="280" t="n"/>
      <c r="I352" s="332">
        <f>IFERROR(VLOOKUP(TEXT(H352,"0"),IPRESS!$A$3:$B$212,2,0),"")</f>
        <v/>
      </c>
      <c r="J352" s="280" t="n"/>
      <c r="K352" s="332">
        <f>IFERROR(VLOOKUP(TEXT(O352,"0"),CONDUCTORES!$A$3:$G$54,7,0),"")</f>
        <v/>
      </c>
      <c r="L352" s="280" t="n"/>
      <c r="M352" s="280" t="n"/>
      <c r="N352" s="333">
        <f>IFERROR(IF(L352*M352=0,"",L352*M352),"")</f>
        <v/>
      </c>
      <c r="O352" s="280" t="n"/>
      <c r="P352" s="332">
        <f>IFERROR(VLOOKUP(TEXT(O352,"0"),CONDUCTORES!$A$3:$G$54,2,0),"")</f>
        <v/>
      </c>
      <c r="Q352" s="332">
        <f>IFERROR(VLOOKUP(TEXT(O352,"0"),CONDUCTORES!$A$3:$H$54,6,0),"")</f>
        <v/>
      </c>
      <c r="R352" s="280" t="n"/>
      <c r="S352" s="280" t="n"/>
      <c r="T352" s="280" t="n"/>
      <c r="U352" s="280" t="n"/>
      <c r="V352" s="280" t="n"/>
      <c r="W352" s="280" t="n"/>
      <c r="X352" s="280" t="n"/>
      <c r="Y352" s="280" t="n"/>
    </row>
    <row r="353" ht="15" customHeight="1" s="195">
      <c r="A353" s="334" t="n"/>
      <c r="B353" s="334" t="n"/>
      <c r="C353" s="334" t="n"/>
      <c r="D353" s="334" t="n"/>
      <c r="E353" s="334" t="n"/>
      <c r="F353" s="334" t="n"/>
      <c r="G353" s="334" t="n"/>
      <c r="H353" s="334" t="n"/>
      <c r="I353" s="332">
        <f>IFERROR(VLOOKUP(TEXT(H353,"0"),IPRESS!$A$3:$B$212,2,0),"")</f>
        <v/>
      </c>
      <c r="J353" s="334" t="n"/>
      <c r="K353" s="332">
        <f>IFERROR(VLOOKUP(TEXT(O353,"0"),CONDUCTORES!$A$3:$G$54,7,0),"")</f>
        <v/>
      </c>
      <c r="L353" s="334" t="n"/>
      <c r="M353" s="334" t="n"/>
      <c r="N353" s="333">
        <f>IFERROR(IF(L353*M353=0,"",L353*M353),"")</f>
        <v/>
      </c>
      <c r="O353" s="334" t="n"/>
      <c r="P353" s="332">
        <f>IFERROR(VLOOKUP(TEXT(O353,"0"),CONDUCTORES!$A$3:$G$54,2,0),"")</f>
        <v/>
      </c>
      <c r="Q353" s="332">
        <f>IFERROR(VLOOKUP(TEXT(O353,"0"),CONDUCTORES!$A$3:$H$54,6,0),"")</f>
        <v/>
      </c>
      <c r="R353" s="334" t="n"/>
      <c r="S353" s="334" t="n"/>
      <c r="T353" s="334" t="n"/>
      <c r="U353" s="334" t="n"/>
      <c r="V353" s="334" t="n"/>
      <c r="W353" s="334" t="n"/>
      <c r="X353" s="334" t="n"/>
      <c r="Y353" s="334" t="n"/>
    </row>
    <row r="354" ht="15" customHeight="1" s="195">
      <c r="A354" s="280" t="n"/>
      <c r="B354" s="280" t="n"/>
      <c r="C354" s="280" t="n"/>
      <c r="D354" s="280" t="n"/>
      <c r="E354" s="280" t="n"/>
      <c r="F354" s="280" t="n"/>
      <c r="G354" s="280" t="n"/>
      <c r="H354" s="280" t="n"/>
      <c r="I354" s="332">
        <f>IFERROR(VLOOKUP(TEXT(H354,"0"),IPRESS!$A$3:$B$212,2,0),"")</f>
        <v/>
      </c>
      <c r="J354" s="280" t="n"/>
      <c r="K354" s="332">
        <f>IFERROR(VLOOKUP(TEXT(O354,"0"),CONDUCTORES!$A$3:$G$54,7,0),"")</f>
        <v/>
      </c>
      <c r="L354" s="280" t="n"/>
      <c r="M354" s="280" t="n"/>
      <c r="N354" s="333">
        <f>IFERROR(IF(L354*M354=0,"",L354*M354),"")</f>
        <v/>
      </c>
      <c r="O354" s="280" t="n"/>
      <c r="P354" s="332">
        <f>IFERROR(VLOOKUP(TEXT(O354,"0"),CONDUCTORES!$A$3:$G$54,2,0),"")</f>
        <v/>
      </c>
      <c r="Q354" s="332">
        <f>IFERROR(VLOOKUP(TEXT(O354,"0"),CONDUCTORES!$A$3:$H$54,6,0),"")</f>
        <v/>
      </c>
      <c r="R354" s="280" t="n"/>
      <c r="S354" s="280" t="n"/>
      <c r="T354" s="280" t="n"/>
      <c r="U354" s="280" t="n"/>
      <c r="V354" s="280" t="n"/>
      <c r="W354" s="280" t="n"/>
      <c r="X354" s="280" t="n"/>
      <c r="Y354" s="280" t="n"/>
    </row>
    <row r="355" ht="15" customHeight="1" s="195">
      <c r="A355" s="334" t="n"/>
      <c r="B355" s="334" t="n"/>
      <c r="C355" s="334" t="n"/>
      <c r="D355" s="334" t="n"/>
      <c r="E355" s="334" t="n"/>
      <c r="F355" s="334" t="n"/>
      <c r="G355" s="334" t="n"/>
      <c r="H355" s="334" t="n"/>
      <c r="I355" s="332">
        <f>IFERROR(VLOOKUP(TEXT(H355,"0"),IPRESS!$A$3:$B$212,2,0),"")</f>
        <v/>
      </c>
      <c r="J355" s="334" t="n"/>
      <c r="K355" s="332">
        <f>IFERROR(VLOOKUP(TEXT(O355,"0"),CONDUCTORES!$A$3:$G$54,7,0),"")</f>
        <v/>
      </c>
      <c r="L355" s="334" t="n"/>
      <c r="M355" s="334" t="n"/>
      <c r="N355" s="333">
        <f>IFERROR(IF(L355*M355=0,"",L355*M355),"")</f>
        <v/>
      </c>
      <c r="O355" s="334" t="n"/>
      <c r="P355" s="332">
        <f>IFERROR(VLOOKUP(TEXT(O355,"0"),CONDUCTORES!$A$3:$G$54,2,0),"")</f>
        <v/>
      </c>
      <c r="Q355" s="332">
        <f>IFERROR(VLOOKUP(TEXT(O355,"0"),CONDUCTORES!$A$3:$H$54,6,0),"")</f>
        <v/>
      </c>
      <c r="R355" s="334" t="n"/>
      <c r="S355" s="334" t="n"/>
      <c r="T355" s="334" t="n"/>
      <c r="U355" s="334" t="n"/>
      <c r="V355" s="334" t="n"/>
      <c r="W355" s="334" t="n"/>
      <c r="X355" s="334" t="n"/>
      <c r="Y355" s="334" t="n"/>
    </row>
    <row r="356" ht="15" customHeight="1" s="195">
      <c r="A356" s="280" t="n"/>
      <c r="B356" s="280" t="n"/>
      <c r="C356" s="280" t="n"/>
      <c r="D356" s="280" t="n"/>
      <c r="E356" s="280" t="n"/>
      <c r="F356" s="280" t="n"/>
      <c r="G356" s="280" t="n"/>
      <c r="H356" s="280" t="n"/>
      <c r="I356" s="332">
        <f>IFERROR(VLOOKUP(TEXT(H356,"0"),IPRESS!$A$3:$B$212,2,0),"")</f>
        <v/>
      </c>
      <c r="J356" s="280" t="n"/>
      <c r="K356" s="332">
        <f>IFERROR(VLOOKUP(TEXT(O356,"0"),CONDUCTORES!$A$3:$G$54,7,0),"")</f>
        <v/>
      </c>
      <c r="L356" s="280" t="n"/>
      <c r="M356" s="280" t="n"/>
      <c r="N356" s="333">
        <f>IFERROR(IF(L356*M356=0,"",L356*M356),"")</f>
        <v/>
      </c>
      <c r="O356" s="280" t="n"/>
      <c r="P356" s="332">
        <f>IFERROR(VLOOKUP(TEXT(O356,"0"),CONDUCTORES!$A$3:$G$54,2,0),"")</f>
        <v/>
      </c>
      <c r="Q356" s="332">
        <f>IFERROR(VLOOKUP(TEXT(O356,"0"),CONDUCTORES!$A$3:$H$54,6,0),"")</f>
        <v/>
      </c>
      <c r="R356" s="280" t="n"/>
      <c r="S356" s="280" t="n"/>
      <c r="T356" s="280" t="n"/>
      <c r="U356" s="280" t="n"/>
      <c r="V356" s="280" t="n"/>
      <c r="W356" s="280" t="n"/>
      <c r="X356" s="280" t="n"/>
      <c r="Y356" s="280" t="n"/>
    </row>
    <row r="357" ht="15" customHeight="1" s="195">
      <c r="A357" s="334" t="n"/>
      <c r="B357" s="334" t="n"/>
      <c r="C357" s="334" t="n"/>
      <c r="D357" s="334" t="n"/>
      <c r="E357" s="334" t="n"/>
      <c r="F357" s="334" t="n"/>
      <c r="G357" s="334" t="n"/>
      <c r="H357" s="334" t="n"/>
      <c r="I357" s="332">
        <f>IFERROR(VLOOKUP(TEXT(H357,"0"),IPRESS!$A$3:$B$212,2,0),"")</f>
        <v/>
      </c>
      <c r="J357" s="334" t="n"/>
      <c r="K357" s="332">
        <f>IFERROR(VLOOKUP(TEXT(O357,"0"),CONDUCTORES!$A$3:$G$54,7,0),"")</f>
        <v/>
      </c>
      <c r="L357" s="334" t="n"/>
      <c r="M357" s="334" t="n"/>
      <c r="N357" s="333">
        <f>IFERROR(IF(L357*M357=0,"",L357*M357),"")</f>
        <v/>
      </c>
      <c r="O357" s="334" t="n"/>
      <c r="P357" s="332">
        <f>IFERROR(VLOOKUP(TEXT(O357,"0"),CONDUCTORES!$A$3:$G$54,2,0),"")</f>
        <v/>
      </c>
      <c r="Q357" s="332">
        <f>IFERROR(VLOOKUP(TEXT(O357,"0"),CONDUCTORES!$A$3:$H$54,6,0),"")</f>
        <v/>
      </c>
      <c r="R357" s="334" t="n"/>
      <c r="S357" s="334" t="n"/>
      <c r="T357" s="334" t="n"/>
      <c r="U357" s="334" t="n"/>
      <c r="V357" s="334" t="n"/>
      <c r="W357" s="334" t="n"/>
      <c r="X357" s="334" t="n"/>
      <c r="Y357" s="334" t="n"/>
    </row>
    <row r="358" ht="15" customHeight="1" s="195">
      <c r="A358" s="280" t="n"/>
      <c r="B358" s="280" t="n"/>
      <c r="C358" s="280" t="n"/>
      <c r="D358" s="280" t="n"/>
      <c r="E358" s="280" t="n"/>
      <c r="F358" s="280" t="n"/>
      <c r="G358" s="280" t="n"/>
      <c r="H358" s="280" t="n"/>
      <c r="I358" s="332">
        <f>IFERROR(VLOOKUP(TEXT(H358,"0"),IPRESS!$A$3:$B$212,2,0),"")</f>
        <v/>
      </c>
      <c r="J358" s="280" t="n"/>
      <c r="K358" s="332">
        <f>IFERROR(VLOOKUP(TEXT(O358,"0"),CONDUCTORES!$A$3:$G$54,7,0),"")</f>
        <v/>
      </c>
      <c r="L358" s="280" t="n"/>
      <c r="M358" s="280" t="n"/>
      <c r="N358" s="333">
        <f>IFERROR(IF(L358*M358=0,"",L358*M358),"")</f>
        <v/>
      </c>
      <c r="O358" s="280" t="n"/>
      <c r="P358" s="332">
        <f>IFERROR(VLOOKUP(TEXT(O358,"0"),CONDUCTORES!$A$3:$G$54,2,0),"")</f>
        <v/>
      </c>
      <c r="Q358" s="332">
        <f>IFERROR(VLOOKUP(TEXT(O358,"0"),CONDUCTORES!$A$3:$H$54,6,0),"")</f>
        <v/>
      </c>
      <c r="R358" s="280" t="n"/>
      <c r="S358" s="280" t="n"/>
      <c r="T358" s="280" t="n"/>
      <c r="U358" s="280" t="n"/>
      <c r="V358" s="280" t="n"/>
      <c r="W358" s="280" t="n"/>
      <c r="X358" s="280" t="n"/>
      <c r="Y358" s="280" t="n"/>
    </row>
    <row r="359" ht="15" customHeight="1" s="195">
      <c r="A359" s="334" t="n"/>
      <c r="B359" s="334" t="n"/>
      <c r="C359" s="334" t="n"/>
      <c r="D359" s="334" t="n"/>
      <c r="E359" s="334" t="n"/>
      <c r="F359" s="334" t="n"/>
      <c r="G359" s="334" t="n"/>
      <c r="H359" s="334" t="n"/>
      <c r="I359" s="332">
        <f>IFERROR(VLOOKUP(TEXT(H359,"0"),IPRESS!$A$3:$B$212,2,0),"")</f>
        <v/>
      </c>
      <c r="J359" s="334" t="n"/>
      <c r="K359" s="332">
        <f>IFERROR(VLOOKUP(TEXT(O359,"0"),CONDUCTORES!$A$3:$G$54,7,0),"")</f>
        <v/>
      </c>
      <c r="L359" s="334" t="n"/>
      <c r="M359" s="334" t="n"/>
      <c r="N359" s="333">
        <f>IFERROR(IF(L359*M359=0,"",L359*M359),"")</f>
        <v/>
      </c>
      <c r="O359" s="334" t="n"/>
      <c r="P359" s="332">
        <f>IFERROR(VLOOKUP(TEXT(O359,"0"),CONDUCTORES!$A$3:$G$54,2,0),"")</f>
        <v/>
      </c>
      <c r="Q359" s="332">
        <f>IFERROR(VLOOKUP(TEXT(O359,"0"),CONDUCTORES!$A$3:$H$54,6,0),"")</f>
        <v/>
      </c>
      <c r="R359" s="334" t="n"/>
      <c r="S359" s="334" t="n"/>
      <c r="T359" s="334" t="n"/>
      <c r="U359" s="334" t="n"/>
      <c r="V359" s="334" t="n"/>
      <c r="W359" s="334" t="n"/>
      <c r="X359" s="334" t="n"/>
      <c r="Y359" s="334" t="n"/>
    </row>
    <row r="360" ht="15" customHeight="1" s="195">
      <c r="A360" s="280" t="n"/>
      <c r="B360" s="280" t="n"/>
      <c r="C360" s="280" t="n"/>
      <c r="D360" s="280" t="n"/>
      <c r="E360" s="280" t="n"/>
      <c r="F360" s="280" t="n"/>
      <c r="G360" s="280" t="n"/>
      <c r="H360" s="280" t="n"/>
      <c r="I360" s="332">
        <f>IFERROR(VLOOKUP(TEXT(H360,"0"),IPRESS!$A$3:$B$212,2,0),"")</f>
        <v/>
      </c>
      <c r="J360" s="280" t="n"/>
      <c r="K360" s="332">
        <f>IFERROR(VLOOKUP(TEXT(O360,"0"),CONDUCTORES!$A$3:$G$54,7,0),"")</f>
        <v/>
      </c>
      <c r="L360" s="280" t="n"/>
      <c r="M360" s="280" t="n"/>
      <c r="N360" s="333">
        <f>IFERROR(IF(L360*M360=0,"",L360*M360),"")</f>
        <v/>
      </c>
      <c r="O360" s="280" t="n"/>
      <c r="P360" s="332">
        <f>IFERROR(VLOOKUP(TEXT(O360,"0"),CONDUCTORES!$A$3:$G$54,2,0),"")</f>
        <v/>
      </c>
      <c r="Q360" s="332">
        <f>IFERROR(VLOOKUP(TEXT(O360,"0"),CONDUCTORES!$A$3:$H$54,6,0),"")</f>
        <v/>
      </c>
      <c r="R360" s="280" t="n"/>
      <c r="S360" s="280" t="n"/>
      <c r="T360" s="280" t="n"/>
      <c r="U360" s="280" t="n"/>
      <c r="V360" s="280" t="n"/>
      <c r="W360" s="280" t="n"/>
      <c r="X360" s="280" t="n"/>
      <c r="Y360" s="280" t="n"/>
    </row>
    <row r="361" ht="15" customHeight="1" s="195">
      <c r="A361" s="334" t="n"/>
      <c r="B361" s="334" t="n"/>
      <c r="C361" s="334" t="n"/>
      <c r="D361" s="334" t="n"/>
      <c r="E361" s="334" t="n"/>
      <c r="F361" s="334" t="n"/>
      <c r="G361" s="334" t="n"/>
      <c r="H361" s="334" t="n"/>
      <c r="I361" s="332">
        <f>IFERROR(VLOOKUP(TEXT(H361,"0"),IPRESS!$A$3:$B$212,2,0),"")</f>
        <v/>
      </c>
      <c r="J361" s="334" t="n"/>
      <c r="K361" s="332">
        <f>IFERROR(VLOOKUP(TEXT(O361,"0"),CONDUCTORES!$A$3:$G$54,7,0),"")</f>
        <v/>
      </c>
      <c r="L361" s="334" t="n"/>
      <c r="M361" s="334" t="n"/>
      <c r="N361" s="333">
        <f>IFERROR(IF(L361*M361=0,"",L361*M361),"")</f>
        <v/>
      </c>
      <c r="O361" s="334" t="n"/>
      <c r="P361" s="332">
        <f>IFERROR(VLOOKUP(TEXT(O361,"0"),CONDUCTORES!$A$3:$G$54,2,0),"")</f>
        <v/>
      </c>
      <c r="Q361" s="332">
        <f>IFERROR(VLOOKUP(TEXT(O361,"0"),CONDUCTORES!$A$3:$H$54,6,0),"")</f>
        <v/>
      </c>
      <c r="R361" s="334" t="n"/>
      <c r="S361" s="334" t="n"/>
      <c r="T361" s="334" t="n"/>
      <c r="U361" s="334" t="n"/>
      <c r="V361" s="334" t="n"/>
      <c r="W361" s="334" t="n"/>
      <c r="X361" s="334" t="n"/>
      <c r="Y361" s="334" t="n"/>
    </row>
    <row r="362" ht="15" customHeight="1" s="195">
      <c r="A362" s="280" t="n"/>
      <c r="B362" s="280" t="n"/>
      <c r="C362" s="280" t="n"/>
      <c r="D362" s="280" t="n"/>
      <c r="E362" s="280" t="n"/>
      <c r="F362" s="280" t="n"/>
      <c r="G362" s="280" t="n"/>
      <c r="H362" s="280" t="n"/>
      <c r="I362" s="332">
        <f>IFERROR(VLOOKUP(TEXT(H362,"0"),IPRESS!$A$3:$B$212,2,0),"")</f>
        <v/>
      </c>
      <c r="J362" s="280" t="n"/>
      <c r="K362" s="332">
        <f>IFERROR(VLOOKUP(TEXT(O362,"0"),CONDUCTORES!$A$3:$G$54,7,0),"")</f>
        <v/>
      </c>
      <c r="L362" s="280" t="n"/>
      <c r="M362" s="280" t="n"/>
      <c r="N362" s="333">
        <f>IFERROR(IF(L362*M362=0,"",L362*M362),"")</f>
        <v/>
      </c>
      <c r="O362" s="280" t="n"/>
      <c r="P362" s="332">
        <f>IFERROR(VLOOKUP(TEXT(O362,"0"),CONDUCTORES!$A$3:$G$54,2,0),"")</f>
        <v/>
      </c>
      <c r="Q362" s="332">
        <f>IFERROR(VLOOKUP(TEXT(O362,"0"),CONDUCTORES!$A$3:$H$54,6,0),"")</f>
        <v/>
      </c>
      <c r="R362" s="280" t="n"/>
      <c r="S362" s="280" t="n"/>
      <c r="T362" s="280" t="n"/>
      <c r="U362" s="280" t="n"/>
      <c r="V362" s="280" t="n"/>
      <c r="W362" s="280" t="n"/>
      <c r="X362" s="280" t="n"/>
      <c r="Y362" s="280" t="n"/>
    </row>
    <row r="363" ht="15" customHeight="1" s="195">
      <c r="A363" s="334" t="n"/>
      <c r="B363" s="334" t="n"/>
      <c r="C363" s="334" t="n"/>
      <c r="D363" s="334" t="n"/>
      <c r="E363" s="334" t="n"/>
      <c r="F363" s="334" t="n"/>
      <c r="G363" s="334" t="n"/>
      <c r="H363" s="334" t="n"/>
      <c r="I363" s="332">
        <f>IFERROR(VLOOKUP(TEXT(H363,"0"),IPRESS!$A$3:$B$212,2,0),"")</f>
        <v/>
      </c>
      <c r="J363" s="334" t="n"/>
      <c r="K363" s="332">
        <f>IFERROR(VLOOKUP(TEXT(O363,"0"),CONDUCTORES!$A$3:$G$54,7,0),"")</f>
        <v/>
      </c>
      <c r="L363" s="334" t="n"/>
      <c r="M363" s="334" t="n"/>
      <c r="N363" s="333">
        <f>IFERROR(IF(L363*M363=0,"",L363*M363),"")</f>
        <v/>
      </c>
      <c r="O363" s="334" t="n"/>
      <c r="P363" s="332">
        <f>IFERROR(VLOOKUP(TEXT(O363,"0"),CONDUCTORES!$A$3:$G$54,2,0),"")</f>
        <v/>
      </c>
      <c r="Q363" s="332">
        <f>IFERROR(VLOOKUP(TEXT(O363,"0"),CONDUCTORES!$A$3:$H$54,6,0),"")</f>
        <v/>
      </c>
      <c r="R363" s="334" t="n"/>
      <c r="S363" s="334" t="n"/>
      <c r="T363" s="334" t="n"/>
      <c r="U363" s="334" t="n"/>
      <c r="V363" s="334" t="n"/>
      <c r="W363" s="334" t="n"/>
      <c r="X363" s="334" t="n"/>
      <c r="Y363" s="334" t="n"/>
    </row>
    <row r="364" ht="15" customHeight="1" s="195">
      <c r="A364" s="280" t="n"/>
      <c r="B364" s="280" t="n"/>
      <c r="C364" s="280" t="n"/>
      <c r="D364" s="280" t="n"/>
      <c r="E364" s="280" t="n"/>
      <c r="F364" s="280" t="n"/>
      <c r="G364" s="280" t="n"/>
      <c r="H364" s="280" t="n"/>
      <c r="I364" s="332">
        <f>IFERROR(VLOOKUP(TEXT(H364,"0"),IPRESS!$A$3:$B$212,2,0),"")</f>
        <v/>
      </c>
      <c r="J364" s="280" t="n"/>
      <c r="K364" s="332">
        <f>IFERROR(VLOOKUP(TEXT(O364,"0"),CONDUCTORES!$A$3:$G$54,7,0),"")</f>
        <v/>
      </c>
      <c r="L364" s="280" t="n"/>
      <c r="M364" s="280" t="n"/>
      <c r="N364" s="333">
        <f>IFERROR(IF(L364*M364=0,"",L364*M364),"")</f>
        <v/>
      </c>
      <c r="O364" s="280" t="n"/>
      <c r="P364" s="332">
        <f>IFERROR(VLOOKUP(TEXT(O364,"0"),CONDUCTORES!$A$3:$G$54,2,0),"")</f>
        <v/>
      </c>
      <c r="Q364" s="332">
        <f>IFERROR(VLOOKUP(TEXT(O364,"0"),CONDUCTORES!$A$3:$H$54,6,0),"")</f>
        <v/>
      </c>
      <c r="R364" s="280" t="n"/>
      <c r="S364" s="280" t="n"/>
      <c r="T364" s="280" t="n"/>
      <c r="U364" s="280" t="n"/>
      <c r="V364" s="280" t="n"/>
      <c r="W364" s="280" t="n"/>
      <c r="X364" s="280" t="n"/>
      <c r="Y364" s="280" t="n"/>
    </row>
    <row r="365" ht="15" customHeight="1" s="195">
      <c r="A365" s="334" t="n"/>
      <c r="B365" s="334" t="n"/>
      <c r="C365" s="334" t="n"/>
      <c r="D365" s="334" t="n"/>
      <c r="E365" s="334" t="n"/>
      <c r="F365" s="334" t="n"/>
      <c r="G365" s="334" t="n"/>
      <c r="H365" s="334" t="n"/>
      <c r="I365" s="332">
        <f>IFERROR(VLOOKUP(TEXT(H365,"0"),IPRESS!$A$3:$B$212,2,0),"")</f>
        <v/>
      </c>
      <c r="J365" s="334" t="n"/>
      <c r="K365" s="332">
        <f>IFERROR(VLOOKUP(TEXT(O365,"0"),CONDUCTORES!$A$3:$G$54,7,0),"")</f>
        <v/>
      </c>
      <c r="L365" s="334" t="n"/>
      <c r="M365" s="334" t="n"/>
      <c r="N365" s="333">
        <f>IFERROR(IF(L365*M365=0,"",L365*M365),"")</f>
        <v/>
      </c>
      <c r="O365" s="334" t="n"/>
      <c r="P365" s="332">
        <f>IFERROR(VLOOKUP(TEXT(O365,"0"),CONDUCTORES!$A$3:$G$54,2,0),"")</f>
        <v/>
      </c>
      <c r="Q365" s="332">
        <f>IFERROR(VLOOKUP(TEXT(O365,"0"),CONDUCTORES!$A$3:$H$54,6,0),"")</f>
        <v/>
      </c>
      <c r="R365" s="334" t="n"/>
      <c r="S365" s="334" t="n"/>
      <c r="T365" s="334" t="n"/>
      <c r="U365" s="334" t="n"/>
      <c r="V365" s="334" t="n"/>
      <c r="W365" s="334" t="n"/>
      <c r="X365" s="334" t="n"/>
      <c r="Y365" s="334" t="n"/>
    </row>
    <row r="366" ht="15" customHeight="1" s="195">
      <c r="A366" s="280" t="n"/>
      <c r="B366" s="280" t="n"/>
      <c r="C366" s="280" t="n"/>
      <c r="D366" s="280" t="n"/>
      <c r="E366" s="280" t="n"/>
      <c r="F366" s="280" t="n"/>
      <c r="G366" s="280" t="n"/>
      <c r="H366" s="280" t="n"/>
      <c r="I366" s="332">
        <f>IFERROR(VLOOKUP(TEXT(H366,"0"),IPRESS!$A$3:$B$212,2,0),"")</f>
        <v/>
      </c>
      <c r="J366" s="280" t="n"/>
      <c r="K366" s="332">
        <f>IFERROR(VLOOKUP(TEXT(O366,"0"),CONDUCTORES!$A$3:$G$54,7,0),"")</f>
        <v/>
      </c>
      <c r="L366" s="280" t="n"/>
      <c r="M366" s="280" t="n"/>
      <c r="N366" s="333">
        <f>IFERROR(IF(L366*M366=0,"",L366*M366),"")</f>
        <v/>
      </c>
      <c r="O366" s="280" t="n"/>
      <c r="P366" s="332">
        <f>IFERROR(VLOOKUP(TEXT(O366,"0"),CONDUCTORES!$A$3:$G$54,2,0),"")</f>
        <v/>
      </c>
      <c r="Q366" s="332">
        <f>IFERROR(VLOOKUP(TEXT(O366,"0"),CONDUCTORES!$A$3:$H$54,6,0),"")</f>
        <v/>
      </c>
      <c r="R366" s="280" t="n"/>
      <c r="S366" s="280" t="n"/>
      <c r="T366" s="280" t="n"/>
      <c r="U366" s="280" t="n"/>
      <c r="V366" s="280" t="n"/>
      <c r="W366" s="280" t="n"/>
      <c r="X366" s="280" t="n"/>
      <c r="Y366" s="280" t="n"/>
    </row>
    <row r="367" ht="15" customHeight="1" s="195">
      <c r="A367" s="334" t="n"/>
      <c r="B367" s="334" t="n"/>
      <c r="C367" s="334" t="n"/>
      <c r="D367" s="334" t="n"/>
      <c r="E367" s="334" t="n"/>
      <c r="F367" s="334" t="n"/>
      <c r="G367" s="334" t="n"/>
      <c r="H367" s="334" t="n"/>
      <c r="I367" s="332">
        <f>IFERROR(VLOOKUP(TEXT(H367,"0"),IPRESS!$A$3:$B$212,2,0),"")</f>
        <v/>
      </c>
      <c r="J367" s="334" t="n"/>
      <c r="K367" s="332">
        <f>IFERROR(VLOOKUP(TEXT(O367,"0"),CONDUCTORES!$A$3:$G$54,7,0),"")</f>
        <v/>
      </c>
      <c r="L367" s="334" t="n"/>
      <c r="M367" s="334" t="n"/>
      <c r="N367" s="333">
        <f>IFERROR(IF(L367*M367=0,"",L367*M367),"")</f>
        <v/>
      </c>
      <c r="O367" s="334" t="n"/>
      <c r="P367" s="332">
        <f>IFERROR(VLOOKUP(TEXT(O367,"0"),CONDUCTORES!$A$3:$G$54,2,0),"")</f>
        <v/>
      </c>
      <c r="Q367" s="332">
        <f>IFERROR(VLOOKUP(TEXT(O367,"0"),CONDUCTORES!$A$3:$H$54,6,0),"")</f>
        <v/>
      </c>
      <c r="R367" s="334" t="n"/>
      <c r="S367" s="334" t="n"/>
      <c r="T367" s="334" t="n"/>
      <c r="U367" s="334" t="n"/>
      <c r="V367" s="334" t="n"/>
      <c r="W367" s="334" t="n"/>
      <c r="X367" s="334" t="n"/>
      <c r="Y367" s="334" t="n"/>
    </row>
    <row r="368" ht="15" customHeight="1" s="195">
      <c r="A368" s="280" t="n"/>
      <c r="B368" s="280" t="n"/>
      <c r="C368" s="280" t="n"/>
      <c r="D368" s="280" t="n"/>
      <c r="E368" s="280" t="n"/>
      <c r="F368" s="280" t="n"/>
      <c r="G368" s="280" t="n"/>
      <c r="H368" s="280" t="n"/>
      <c r="I368" s="332">
        <f>IFERROR(VLOOKUP(TEXT(H368,"0"),IPRESS!$A$3:$B$212,2,0),"")</f>
        <v/>
      </c>
      <c r="J368" s="280" t="n"/>
      <c r="K368" s="332">
        <f>IFERROR(VLOOKUP(TEXT(O368,"0"),CONDUCTORES!$A$3:$G$54,7,0),"")</f>
        <v/>
      </c>
      <c r="L368" s="280" t="n"/>
      <c r="M368" s="280" t="n"/>
      <c r="N368" s="333">
        <f>IFERROR(IF(L368*M368=0,"",L368*M368),"")</f>
        <v/>
      </c>
      <c r="O368" s="280" t="n"/>
      <c r="P368" s="332">
        <f>IFERROR(VLOOKUP(TEXT(O368,"0"),CONDUCTORES!$A$3:$G$54,2,0),"")</f>
        <v/>
      </c>
      <c r="Q368" s="332">
        <f>IFERROR(VLOOKUP(TEXT(O368,"0"),CONDUCTORES!$A$3:$H$54,6,0),"")</f>
        <v/>
      </c>
      <c r="R368" s="280" t="n"/>
      <c r="S368" s="280" t="n"/>
      <c r="T368" s="280" t="n"/>
      <c r="U368" s="280" t="n"/>
      <c r="V368" s="280" t="n"/>
      <c r="W368" s="280" t="n"/>
      <c r="X368" s="280" t="n"/>
      <c r="Y368" s="280" t="n"/>
    </row>
    <row r="369" ht="15" customHeight="1" s="195">
      <c r="A369" s="334" t="n"/>
      <c r="B369" s="334" t="n"/>
      <c r="C369" s="334" t="n"/>
      <c r="D369" s="334" t="n"/>
      <c r="E369" s="334" t="n"/>
      <c r="F369" s="334" t="n"/>
      <c r="G369" s="334" t="n"/>
      <c r="H369" s="334" t="n"/>
      <c r="I369" s="332">
        <f>IFERROR(VLOOKUP(TEXT(H369,"0"),IPRESS!$A$3:$B$212,2,0),"")</f>
        <v/>
      </c>
      <c r="J369" s="334" t="n"/>
      <c r="K369" s="332">
        <f>IFERROR(VLOOKUP(TEXT(O369,"0"),CONDUCTORES!$A$3:$G$54,7,0),"")</f>
        <v/>
      </c>
      <c r="L369" s="334" t="n"/>
      <c r="M369" s="334" t="n"/>
      <c r="N369" s="333">
        <f>IFERROR(IF(L369*M369=0,"",L369*M369),"")</f>
        <v/>
      </c>
      <c r="O369" s="334" t="n"/>
      <c r="P369" s="332">
        <f>IFERROR(VLOOKUP(TEXT(O369,"0"),CONDUCTORES!$A$3:$G$54,2,0),"")</f>
        <v/>
      </c>
      <c r="Q369" s="332">
        <f>IFERROR(VLOOKUP(TEXT(O369,"0"),CONDUCTORES!$A$3:$H$54,6,0),"")</f>
        <v/>
      </c>
      <c r="R369" s="334" t="n"/>
      <c r="S369" s="334" t="n"/>
      <c r="T369" s="334" t="n"/>
      <c r="U369" s="334" t="n"/>
      <c r="V369" s="334" t="n"/>
      <c r="W369" s="334" t="n"/>
      <c r="X369" s="334" t="n"/>
      <c r="Y369" s="334" t="n"/>
    </row>
    <row r="370" ht="15" customHeight="1" s="195">
      <c r="A370" s="280" t="n"/>
      <c r="B370" s="280" t="n"/>
      <c r="C370" s="280" t="n"/>
      <c r="D370" s="280" t="n"/>
      <c r="E370" s="280" t="n"/>
      <c r="F370" s="280" t="n"/>
      <c r="G370" s="280" t="n"/>
      <c r="H370" s="280" t="n"/>
      <c r="I370" s="332">
        <f>IFERROR(VLOOKUP(TEXT(H370,"0"),IPRESS!$A$3:$B$212,2,0),"")</f>
        <v/>
      </c>
      <c r="J370" s="280" t="n"/>
      <c r="K370" s="332">
        <f>IFERROR(VLOOKUP(TEXT(O370,"0"),CONDUCTORES!$A$3:$G$54,7,0),"")</f>
        <v/>
      </c>
      <c r="L370" s="280" t="n"/>
      <c r="M370" s="280" t="n"/>
      <c r="N370" s="333">
        <f>IFERROR(IF(L370*M370=0,"",L370*M370),"")</f>
        <v/>
      </c>
      <c r="O370" s="280" t="n"/>
      <c r="P370" s="332">
        <f>IFERROR(VLOOKUP(TEXT(O370,"0"),CONDUCTORES!$A$3:$G$54,2,0),"")</f>
        <v/>
      </c>
      <c r="Q370" s="332">
        <f>IFERROR(VLOOKUP(TEXT(O370,"0"),CONDUCTORES!$A$3:$H$54,6,0),"")</f>
        <v/>
      </c>
      <c r="R370" s="280" t="n"/>
      <c r="S370" s="280" t="n"/>
      <c r="T370" s="280" t="n"/>
      <c r="U370" s="280" t="n"/>
      <c r="V370" s="280" t="n"/>
      <c r="W370" s="280" t="n"/>
      <c r="X370" s="280" t="n"/>
      <c r="Y370" s="280" t="n"/>
    </row>
    <row r="371" ht="15" customHeight="1" s="195">
      <c r="A371" s="334" t="n"/>
      <c r="B371" s="334" t="n"/>
      <c r="C371" s="334" t="n"/>
      <c r="D371" s="334" t="n"/>
      <c r="E371" s="334" t="n"/>
      <c r="F371" s="334" t="n"/>
      <c r="G371" s="334" t="n"/>
      <c r="H371" s="334" t="n"/>
      <c r="I371" s="332">
        <f>IFERROR(VLOOKUP(TEXT(H371,"0"),IPRESS!$A$3:$B$212,2,0),"")</f>
        <v/>
      </c>
      <c r="J371" s="334" t="n"/>
      <c r="K371" s="332">
        <f>IFERROR(VLOOKUP(TEXT(O371,"0"),CONDUCTORES!$A$3:$G$54,7,0),"")</f>
        <v/>
      </c>
      <c r="L371" s="334" t="n"/>
      <c r="M371" s="334" t="n"/>
      <c r="N371" s="333">
        <f>IFERROR(IF(L371*M371=0,"",L371*M371),"")</f>
        <v/>
      </c>
      <c r="O371" s="334" t="n"/>
      <c r="P371" s="332">
        <f>IFERROR(VLOOKUP(TEXT(O371,"0"),CONDUCTORES!$A$3:$G$54,2,0),"")</f>
        <v/>
      </c>
      <c r="Q371" s="332">
        <f>IFERROR(VLOOKUP(TEXT(O371,"0"),CONDUCTORES!$A$3:$H$54,6,0),"")</f>
        <v/>
      </c>
      <c r="R371" s="334" t="n"/>
      <c r="S371" s="334" t="n"/>
      <c r="T371" s="334" t="n"/>
      <c r="U371" s="334" t="n"/>
      <c r="V371" s="334" t="n"/>
      <c r="W371" s="334" t="n"/>
      <c r="X371" s="334" t="n"/>
      <c r="Y371" s="334" t="n"/>
    </row>
    <row r="372" ht="15" customHeight="1" s="195">
      <c r="A372" s="280" t="n"/>
      <c r="B372" s="280" t="n"/>
      <c r="C372" s="280" t="n"/>
      <c r="D372" s="280" t="n"/>
      <c r="E372" s="280" t="n"/>
      <c r="F372" s="280" t="n"/>
      <c r="G372" s="280" t="n"/>
      <c r="H372" s="280" t="n"/>
      <c r="I372" s="332">
        <f>IFERROR(VLOOKUP(TEXT(H372,"0"),IPRESS!$A$3:$B$212,2,0),"")</f>
        <v/>
      </c>
      <c r="J372" s="280" t="n"/>
      <c r="K372" s="332">
        <f>IFERROR(VLOOKUP(TEXT(O372,"0"),CONDUCTORES!$A$3:$G$54,7,0),"")</f>
        <v/>
      </c>
      <c r="L372" s="280" t="n"/>
      <c r="M372" s="280" t="n"/>
      <c r="N372" s="333">
        <f>IFERROR(IF(L372*M372=0,"",L372*M372),"")</f>
        <v/>
      </c>
      <c r="O372" s="280" t="n"/>
      <c r="P372" s="332">
        <f>IFERROR(VLOOKUP(TEXT(O372,"0"),CONDUCTORES!$A$3:$G$54,2,0),"")</f>
        <v/>
      </c>
      <c r="Q372" s="332">
        <f>IFERROR(VLOOKUP(TEXT(O372,"0"),CONDUCTORES!$A$3:$H$54,6,0),"")</f>
        <v/>
      </c>
      <c r="R372" s="280" t="n"/>
      <c r="S372" s="280" t="n"/>
      <c r="T372" s="280" t="n"/>
      <c r="U372" s="280" t="n"/>
      <c r="V372" s="280" t="n"/>
      <c r="W372" s="280" t="n"/>
      <c r="X372" s="280" t="n"/>
      <c r="Y372" s="280" t="n"/>
    </row>
    <row r="373" ht="15" customHeight="1" s="195">
      <c r="A373" s="334" t="n"/>
      <c r="B373" s="334" t="n"/>
      <c r="C373" s="334" t="n"/>
      <c r="D373" s="334" t="n"/>
      <c r="E373" s="334" t="n"/>
      <c r="F373" s="334" t="n"/>
      <c r="G373" s="334" t="n"/>
      <c r="H373" s="334" t="n"/>
      <c r="I373" s="332">
        <f>IFERROR(VLOOKUP(TEXT(H373,"0"),IPRESS!$A$3:$B$212,2,0),"")</f>
        <v/>
      </c>
      <c r="J373" s="334" t="n"/>
      <c r="K373" s="332">
        <f>IFERROR(VLOOKUP(TEXT(O373,"0"),CONDUCTORES!$A$3:$G$54,7,0),"")</f>
        <v/>
      </c>
      <c r="L373" s="334" t="n"/>
      <c r="M373" s="334" t="n"/>
      <c r="N373" s="333">
        <f>IFERROR(IF(L373*M373=0,"",L373*M373),"")</f>
        <v/>
      </c>
      <c r="O373" s="334" t="n"/>
      <c r="P373" s="332">
        <f>IFERROR(VLOOKUP(TEXT(O373,"0"),CONDUCTORES!$A$3:$G$54,2,0),"")</f>
        <v/>
      </c>
      <c r="Q373" s="332">
        <f>IFERROR(VLOOKUP(TEXT(O373,"0"),CONDUCTORES!$A$3:$H$54,6,0),"")</f>
        <v/>
      </c>
      <c r="R373" s="334" t="n"/>
      <c r="S373" s="334" t="n"/>
      <c r="T373" s="334" t="n"/>
      <c r="U373" s="334" t="n"/>
      <c r="V373" s="334" t="n"/>
      <c r="W373" s="334" t="n"/>
      <c r="X373" s="334" t="n"/>
      <c r="Y373" s="334" t="n"/>
    </row>
    <row r="374" ht="15" customHeight="1" s="195">
      <c r="A374" s="280" t="n"/>
      <c r="B374" s="280" t="n"/>
      <c r="C374" s="280" t="n"/>
      <c r="D374" s="280" t="n"/>
      <c r="E374" s="280" t="n"/>
      <c r="F374" s="280" t="n"/>
      <c r="G374" s="280" t="n"/>
      <c r="H374" s="280" t="n"/>
      <c r="I374" s="332">
        <f>IFERROR(VLOOKUP(TEXT(H374,"0"),IPRESS!$A$3:$B$212,2,0),"")</f>
        <v/>
      </c>
      <c r="J374" s="280" t="n"/>
      <c r="K374" s="332">
        <f>IFERROR(VLOOKUP(TEXT(O374,"0"),CONDUCTORES!$A$3:$G$54,7,0),"")</f>
        <v/>
      </c>
      <c r="L374" s="280" t="n"/>
      <c r="M374" s="280" t="n"/>
      <c r="N374" s="333">
        <f>IFERROR(IF(L374*M374=0,"",L374*M374),"")</f>
        <v/>
      </c>
      <c r="O374" s="280" t="n"/>
      <c r="P374" s="332">
        <f>IFERROR(VLOOKUP(TEXT(O374,"0"),CONDUCTORES!$A$3:$G$54,2,0),"")</f>
        <v/>
      </c>
      <c r="Q374" s="332">
        <f>IFERROR(VLOOKUP(TEXT(O374,"0"),CONDUCTORES!$A$3:$H$54,6,0),"")</f>
        <v/>
      </c>
      <c r="R374" s="280" t="n"/>
      <c r="S374" s="280" t="n"/>
      <c r="T374" s="280" t="n"/>
      <c r="U374" s="280" t="n"/>
      <c r="V374" s="280" t="n"/>
      <c r="W374" s="280" t="n"/>
      <c r="X374" s="280" t="n"/>
      <c r="Y374" s="280" t="n"/>
    </row>
    <row r="375" ht="15" customHeight="1" s="195">
      <c r="A375" s="334" t="n"/>
      <c r="B375" s="334" t="n"/>
      <c r="C375" s="334" t="n"/>
      <c r="D375" s="334" t="n"/>
      <c r="E375" s="334" t="n"/>
      <c r="F375" s="334" t="n"/>
      <c r="G375" s="334" t="n"/>
      <c r="H375" s="334" t="n"/>
      <c r="I375" s="332">
        <f>IFERROR(VLOOKUP(TEXT(H375,"0"),IPRESS!$A$3:$B$212,2,0),"")</f>
        <v/>
      </c>
      <c r="J375" s="334" t="n"/>
      <c r="K375" s="332">
        <f>IFERROR(VLOOKUP(TEXT(O375,"0"),CONDUCTORES!$A$3:$G$54,7,0),"")</f>
        <v/>
      </c>
      <c r="L375" s="334" t="n"/>
      <c r="M375" s="334" t="n"/>
      <c r="N375" s="333">
        <f>IFERROR(IF(L375*M375=0,"",L375*M375),"")</f>
        <v/>
      </c>
      <c r="O375" s="334" t="n"/>
      <c r="P375" s="332">
        <f>IFERROR(VLOOKUP(TEXT(O375,"0"),CONDUCTORES!$A$3:$G$54,2,0),"")</f>
        <v/>
      </c>
      <c r="Q375" s="332">
        <f>IFERROR(VLOOKUP(TEXT(O375,"0"),CONDUCTORES!$A$3:$H$54,6,0),"")</f>
        <v/>
      </c>
      <c r="R375" s="334" t="n"/>
      <c r="S375" s="334" t="n"/>
      <c r="T375" s="334" t="n"/>
      <c r="U375" s="334" t="n"/>
      <c r="V375" s="334" t="n"/>
      <c r="W375" s="334" t="n"/>
      <c r="X375" s="334" t="n"/>
      <c r="Y375" s="334" t="n"/>
    </row>
    <row r="376" ht="15" customHeight="1" s="195">
      <c r="A376" s="280" t="n"/>
      <c r="B376" s="280" t="n"/>
      <c r="C376" s="280" t="n"/>
      <c r="D376" s="280" t="n"/>
      <c r="E376" s="280" t="n"/>
      <c r="F376" s="280" t="n"/>
      <c r="G376" s="280" t="n"/>
      <c r="H376" s="280" t="n"/>
      <c r="I376" s="332">
        <f>IFERROR(VLOOKUP(TEXT(H376,"0"),IPRESS!$A$3:$B$212,2,0),"")</f>
        <v/>
      </c>
      <c r="J376" s="280" t="n"/>
      <c r="K376" s="332">
        <f>IFERROR(VLOOKUP(TEXT(O376,"0"),CONDUCTORES!$A$3:$G$54,7,0),"")</f>
        <v/>
      </c>
      <c r="L376" s="280" t="n"/>
      <c r="M376" s="280" t="n"/>
      <c r="N376" s="333">
        <f>IFERROR(IF(L376*M376=0,"",L376*M376),"")</f>
        <v/>
      </c>
      <c r="O376" s="280" t="n"/>
      <c r="P376" s="332">
        <f>IFERROR(VLOOKUP(TEXT(O376,"0"),CONDUCTORES!$A$3:$G$54,2,0),"")</f>
        <v/>
      </c>
      <c r="Q376" s="332">
        <f>IFERROR(VLOOKUP(TEXT(O376,"0"),CONDUCTORES!$A$3:$H$54,6,0),"")</f>
        <v/>
      </c>
      <c r="R376" s="280" t="n"/>
      <c r="S376" s="280" t="n"/>
      <c r="T376" s="280" t="n"/>
      <c r="U376" s="280" t="n"/>
      <c r="V376" s="280" t="n"/>
      <c r="W376" s="280" t="n"/>
      <c r="X376" s="280" t="n"/>
      <c r="Y376" s="280" t="n"/>
    </row>
    <row r="377" ht="15" customHeight="1" s="195">
      <c r="A377" s="334" t="n"/>
      <c r="B377" s="334" t="n"/>
      <c r="C377" s="334" t="n"/>
      <c r="D377" s="334" t="n"/>
      <c r="E377" s="334" t="n"/>
      <c r="F377" s="334" t="n"/>
      <c r="G377" s="334" t="n"/>
      <c r="H377" s="334" t="n"/>
      <c r="I377" s="332">
        <f>IFERROR(VLOOKUP(TEXT(H377,"0"),IPRESS!$A$3:$B$212,2,0),"")</f>
        <v/>
      </c>
      <c r="J377" s="334" t="n"/>
      <c r="K377" s="332">
        <f>IFERROR(VLOOKUP(TEXT(O377,"0"),CONDUCTORES!$A$3:$G$54,7,0),"")</f>
        <v/>
      </c>
      <c r="L377" s="334" t="n"/>
      <c r="M377" s="334" t="n"/>
      <c r="N377" s="333">
        <f>IFERROR(IF(L377*M377=0,"",L377*M377),"")</f>
        <v/>
      </c>
      <c r="O377" s="334" t="n"/>
      <c r="P377" s="332">
        <f>IFERROR(VLOOKUP(TEXT(O377,"0"),CONDUCTORES!$A$3:$G$54,2,0),"")</f>
        <v/>
      </c>
      <c r="Q377" s="332">
        <f>IFERROR(VLOOKUP(TEXT(O377,"0"),CONDUCTORES!$A$3:$H$54,6,0),"")</f>
        <v/>
      </c>
      <c r="R377" s="334" t="n"/>
      <c r="S377" s="334" t="n"/>
      <c r="T377" s="334" t="n"/>
      <c r="U377" s="334" t="n"/>
      <c r="V377" s="334" t="n"/>
      <c r="W377" s="334" t="n"/>
      <c r="X377" s="334" t="n"/>
      <c r="Y377" s="334" t="n"/>
    </row>
    <row r="378" ht="15" customHeight="1" s="195">
      <c r="A378" s="280" t="n"/>
      <c r="B378" s="280" t="n"/>
      <c r="C378" s="280" t="n"/>
      <c r="D378" s="280" t="n"/>
      <c r="E378" s="280" t="n"/>
      <c r="F378" s="280" t="n"/>
      <c r="G378" s="280" t="n"/>
      <c r="H378" s="280" t="n"/>
      <c r="I378" s="332">
        <f>IFERROR(VLOOKUP(TEXT(H378,"0"),IPRESS!$A$3:$B$212,2,0),"")</f>
        <v/>
      </c>
      <c r="J378" s="280" t="n"/>
      <c r="K378" s="332">
        <f>IFERROR(VLOOKUP(TEXT(O378,"0"),CONDUCTORES!$A$3:$G$54,7,0),"")</f>
        <v/>
      </c>
      <c r="L378" s="280" t="n"/>
      <c r="M378" s="280" t="n"/>
      <c r="N378" s="333">
        <f>IFERROR(IF(L378*M378=0,"",L378*M378),"")</f>
        <v/>
      </c>
      <c r="O378" s="280" t="n"/>
      <c r="P378" s="332">
        <f>IFERROR(VLOOKUP(TEXT(O378,"0"),CONDUCTORES!$A$3:$G$54,2,0),"")</f>
        <v/>
      </c>
      <c r="Q378" s="332">
        <f>IFERROR(VLOOKUP(TEXT(O378,"0"),CONDUCTORES!$A$3:$H$54,6,0),"")</f>
        <v/>
      </c>
      <c r="R378" s="280" t="n"/>
      <c r="S378" s="280" t="n"/>
      <c r="T378" s="280" t="n"/>
      <c r="U378" s="280" t="n"/>
      <c r="V378" s="280" t="n"/>
      <c r="W378" s="280" t="n"/>
      <c r="X378" s="280" t="n"/>
      <c r="Y378" s="280" t="n"/>
    </row>
    <row r="379" ht="15" customHeight="1" s="195">
      <c r="A379" s="334" t="n"/>
      <c r="B379" s="334" t="n"/>
      <c r="C379" s="334" t="n"/>
      <c r="D379" s="334" t="n"/>
      <c r="E379" s="334" t="n"/>
      <c r="F379" s="334" t="n"/>
      <c r="G379" s="334" t="n"/>
      <c r="H379" s="334" t="n"/>
      <c r="I379" s="332">
        <f>IFERROR(VLOOKUP(TEXT(H379,"0"),IPRESS!$A$3:$B$212,2,0),"")</f>
        <v/>
      </c>
      <c r="J379" s="334" t="n"/>
      <c r="K379" s="332">
        <f>IFERROR(VLOOKUP(TEXT(O379,"0"),CONDUCTORES!$A$3:$G$54,7,0),"")</f>
        <v/>
      </c>
      <c r="L379" s="334" t="n"/>
      <c r="M379" s="334" t="n"/>
      <c r="N379" s="333">
        <f>IFERROR(IF(L379*M379=0,"",L379*M379),"")</f>
        <v/>
      </c>
      <c r="O379" s="334" t="n"/>
      <c r="P379" s="332">
        <f>IFERROR(VLOOKUP(TEXT(O379,"0"),CONDUCTORES!$A$3:$G$54,2,0),"")</f>
        <v/>
      </c>
      <c r="Q379" s="332">
        <f>IFERROR(VLOOKUP(TEXT(O379,"0"),CONDUCTORES!$A$3:$H$54,6,0),"")</f>
        <v/>
      </c>
      <c r="R379" s="334" t="n"/>
      <c r="S379" s="334" t="n"/>
      <c r="T379" s="334" t="n"/>
      <c r="U379" s="334" t="n"/>
      <c r="V379" s="334" t="n"/>
      <c r="W379" s="334" t="n"/>
      <c r="X379" s="334" t="n"/>
      <c r="Y379" s="334" t="n"/>
    </row>
    <row r="380" ht="15" customHeight="1" s="195">
      <c r="A380" s="280" t="n"/>
      <c r="B380" s="280" t="n"/>
      <c r="C380" s="280" t="n"/>
      <c r="D380" s="280" t="n"/>
      <c r="E380" s="280" t="n"/>
      <c r="F380" s="280" t="n"/>
      <c r="G380" s="280" t="n"/>
      <c r="H380" s="280" t="n"/>
      <c r="I380" s="332">
        <f>IFERROR(VLOOKUP(TEXT(H380,"0"),IPRESS!$A$3:$B$212,2,0),"")</f>
        <v/>
      </c>
      <c r="J380" s="280" t="n"/>
      <c r="K380" s="332">
        <f>IFERROR(VLOOKUP(TEXT(O380,"0"),CONDUCTORES!$A$3:$G$54,7,0),"")</f>
        <v/>
      </c>
      <c r="L380" s="280" t="n"/>
      <c r="M380" s="280" t="n"/>
      <c r="N380" s="333">
        <f>IFERROR(IF(L380*M380=0,"",L380*M380),"")</f>
        <v/>
      </c>
      <c r="O380" s="280" t="n"/>
      <c r="P380" s="332">
        <f>IFERROR(VLOOKUP(TEXT(O380,"0"),CONDUCTORES!$A$3:$G$54,2,0),"")</f>
        <v/>
      </c>
      <c r="Q380" s="332">
        <f>IFERROR(VLOOKUP(TEXT(O380,"0"),CONDUCTORES!$A$3:$H$54,6,0),"")</f>
        <v/>
      </c>
      <c r="R380" s="280" t="n"/>
      <c r="S380" s="280" t="n"/>
      <c r="T380" s="280" t="n"/>
      <c r="U380" s="280" t="n"/>
      <c r="V380" s="280" t="n"/>
      <c r="W380" s="280" t="n"/>
      <c r="X380" s="280" t="n"/>
      <c r="Y380" s="280" t="n"/>
    </row>
    <row r="381" ht="15" customHeight="1" s="195">
      <c r="A381" s="334" t="n"/>
      <c r="B381" s="334" t="n"/>
      <c r="C381" s="334" t="n"/>
      <c r="D381" s="334" t="n"/>
      <c r="E381" s="334" t="n"/>
      <c r="F381" s="334" t="n"/>
      <c r="G381" s="334" t="n"/>
      <c r="H381" s="334" t="n"/>
      <c r="I381" s="332">
        <f>IFERROR(VLOOKUP(TEXT(H381,"0"),IPRESS!$A$3:$B$212,2,0),"")</f>
        <v/>
      </c>
      <c r="J381" s="334" t="n"/>
      <c r="K381" s="332">
        <f>IFERROR(VLOOKUP(TEXT(O381,"0"),CONDUCTORES!$A$3:$G$54,7,0),"")</f>
        <v/>
      </c>
      <c r="L381" s="334" t="n"/>
      <c r="M381" s="334" t="n"/>
      <c r="N381" s="333">
        <f>IFERROR(IF(L381*M381=0,"",L381*M381),"")</f>
        <v/>
      </c>
      <c r="O381" s="334" t="n"/>
      <c r="P381" s="332">
        <f>IFERROR(VLOOKUP(TEXT(O381,"0"),CONDUCTORES!$A$3:$G$54,2,0),"")</f>
        <v/>
      </c>
      <c r="Q381" s="332">
        <f>IFERROR(VLOOKUP(TEXT(O381,"0"),CONDUCTORES!$A$3:$H$54,6,0),"")</f>
        <v/>
      </c>
      <c r="R381" s="334" t="n"/>
      <c r="S381" s="334" t="n"/>
      <c r="T381" s="334" t="n"/>
      <c r="U381" s="334" t="n"/>
      <c r="V381" s="334" t="n"/>
      <c r="W381" s="334" t="n"/>
      <c r="X381" s="334" t="n"/>
      <c r="Y381" s="334" t="n"/>
    </row>
    <row r="382" ht="15" customHeight="1" s="195">
      <c r="A382" s="280" t="n"/>
      <c r="B382" s="280" t="n"/>
      <c r="C382" s="280" t="n"/>
      <c r="D382" s="280" t="n"/>
      <c r="E382" s="280" t="n"/>
      <c r="F382" s="280" t="n"/>
      <c r="G382" s="280" t="n"/>
      <c r="H382" s="280" t="n"/>
      <c r="I382" s="332">
        <f>IFERROR(VLOOKUP(TEXT(H382,"0"),IPRESS!$A$3:$B$212,2,0),"")</f>
        <v/>
      </c>
      <c r="J382" s="280" t="n"/>
      <c r="K382" s="332">
        <f>IFERROR(VLOOKUP(TEXT(O382,"0"),CONDUCTORES!$A$3:$G$54,7,0),"")</f>
        <v/>
      </c>
      <c r="L382" s="280" t="n"/>
      <c r="M382" s="280" t="n"/>
      <c r="N382" s="333">
        <f>IFERROR(IF(L382*M382=0,"",L382*M382),"")</f>
        <v/>
      </c>
      <c r="O382" s="280" t="n"/>
      <c r="P382" s="332">
        <f>IFERROR(VLOOKUP(TEXT(O382,"0"),CONDUCTORES!$A$3:$G$54,2,0),"")</f>
        <v/>
      </c>
      <c r="Q382" s="332">
        <f>IFERROR(VLOOKUP(TEXT(O382,"0"),CONDUCTORES!$A$3:$H$54,6,0),"")</f>
        <v/>
      </c>
      <c r="R382" s="280" t="n"/>
      <c r="S382" s="280" t="n"/>
      <c r="T382" s="280" t="n"/>
      <c r="U382" s="280" t="n"/>
      <c r="V382" s="280" t="n"/>
      <c r="W382" s="280" t="n"/>
      <c r="X382" s="280" t="n"/>
      <c r="Y382" s="280" t="n"/>
    </row>
    <row r="383" ht="15" customHeight="1" s="195">
      <c r="A383" s="334" t="n"/>
      <c r="B383" s="334" t="n"/>
      <c r="C383" s="334" t="n"/>
      <c r="D383" s="334" t="n"/>
      <c r="E383" s="334" t="n"/>
      <c r="F383" s="334" t="n"/>
      <c r="G383" s="334" t="n"/>
      <c r="H383" s="334" t="n"/>
      <c r="I383" s="332">
        <f>IFERROR(VLOOKUP(TEXT(H383,"0"),IPRESS!$A$3:$B$212,2,0),"")</f>
        <v/>
      </c>
      <c r="J383" s="334" t="n"/>
      <c r="K383" s="332">
        <f>IFERROR(VLOOKUP(TEXT(O383,"0"),CONDUCTORES!$A$3:$G$54,7,0),"")</f>
        <v/>
      </c>
      <c r="L383" s="334" t="n"/>
      <c r="M383" s="334" t="n"/>
      <c r="N383" s="333">
        <f>IFERROR(IF(L383*M383=0,"",L383*M383),"")</f>
        <v/>
      </c>
      <c r="O383" s="334" t="n"/>
      <c r="P383" s="332">
        <f>IFERROR(VLOOKUP(TEXT(O383,"0"),CONDUCTORES!$A$3:$G$54,2,0),"")</f>
        <v/>
      </c>
      <c r="Q383" s="332">
        <f>IFERROR(VLOOKUP(TEXT(O383,"0"),CONDUCTORES!$A$3:$H$54,6,0),"")</f>
        <v/>
      </c>
      <c r="R383" s="334" t="n"/>
      <c r="S383" s="334" t="n"/>
      <c r="T383" s="334" t="n"/>
      <c r="U383" s="334" t="n"/>
      <c r="V383" s="334" t="n"/>
      <c r="W383" s="334" t="n"/>
      <c r="X383" s="334" t="n"/>
      <c r="Y383" s="334" t="n"/>
    </row>
    <row r="384" ht="15" customHeight="1" s="195">
      <c r="A384" s="280" t="n"/>
      <c r="B384" s="280" t="n"/>
      <c r="C384" s="280" t="n"/>
      <c r="D384" s="280" t="n"/>
      <c r="E384" s="280" t="n"/>
      <c r="F384" s="280" t="n"/>
      <c r="G384" s="280" t="n"/>
      <c r="H384" s="280" t="n"/>
      <c r="I384" s="332">
        <f>IFERROR(VLOOKUP(TEXT(H384,"0"),IPRESS!$A$3:$B$212,2,0),"")</f>
        <v/>
      </c>
      <c r="J384" s="280" t="n"/>
      <c r="K384" s="332">
        <f>IFERROR(VLOOKUP(TEXT(O384,"0"),CONDUCTORES!$A$3:$G$54,7,0),"")</f>
        <v/>
      </c>
      <c r="L384" s="280" t="n"/>
      <c r="M384" s="280" t="n"/>
      <c r="N384" s="333">
        <f>IFERROR(IF(L384*M384=0,"",L384*M384),"")</f>
        <v/>
      </c>
      <c r="O384" s="280" t="n"/>
      <c r="P384" s="332">
        <f>IFERROR(VLOOKUP(TEXT(O384,"0"),CONDUCTORES!$A$3:$G$54,2,0),"")</f>
        <v/>
      </c>
      <c r="Q384" s="332">
        <f>IFERROR(VLOOKUP(TEXT(O384,"0"),CONDUCTORES!$A$3:$H$54,6,0),"")</f>
        <v/>
      </c>
      <c r="R384" s="280" t="n"/>
      <c r="S384" s="280" t="n"/>
      <c r="T384" s="280" t="n"/>
      <c r="U384" s="280" t="n"/>
      <c r="V384" s="280" t="n"/>
      <c r="W384" s="280" t="n"/>
      <c r="X384" s="280" t="n"/>
      <c r="Y384" s="280" t="n"/>
    </row>
    <row r="385" ht="15" customHeight="1" s="195">
      <c r="A385" s="334" t="n"/>
      <c r="B385" s="334" t="n"/>
      <c r="C385" s="334" t="n"/>
      <c r="D385" s="334" t="n"/>
      <c r="E385" s="334" t="n"/>
      <c r="F385" s="334" t="n"/>
      <c r="G385" s="334" t="n"/>
      <c r="H385" s="334" t="n"/>
      <c r="I385" s="332">
        <f>IFERROR(VLOOKUP(TEXT(H385,"0"),IPRESS!$A$3:$B$212,2,0),"")</f>
        <v/>
      </c>
      <c r="J385" s="334" t="n"/>
      <c r="K385" s="332">
        <f>IFERROR(VLOOKUP(TEXT(O385,"0"),CONDUCTORES!$A$3:$G$54,7,0),"")</f>
        <v/>
      </c>
      <c r="L385" s="334" t="n"/>
      <c r="M385" s="334" t="n"/>
      <c r="N385" s="333">
        <f>IFERROR(IF(L385*M385=0,"",L385*M385),"")</f>
        <v/>
      </c>
      <c r="O385" s="334" t="n"/>
      <c r="P385" s="332">
        <f>IFERROR(VLOOKUP(TEXT(O385,"0"),CONDUCTORES!$A$3:$G$54,2,0),"")</f>
        <v/>
      </c>
      <c r="Q385" s="332">
        <f>IFERROR(VLOOKUP(TEXT(O385,"0"),CONDUCTORES!$A$3:$H$54,6,0),"")</f>
        <v/>
      </c>
      <c r="R385" s="334" t="n"/>
      <c r="S385" s="334" t="n"/>
      <c r="T385" s="334" t="n"/>
      <c r="U385" s="334" t="n"/>
      <c r="V385" s="334" t="n"/>
      <c r="W385" s="334" t="n"/>
      <c r="X385" s="334" t="n"/>
      <c r="Y385" s="334" t="n"/>
    </row>
    <row r="386" ht="15" customHeight="1" s="195">
      <c r="A386" s="280" t="n"/>
      <c r="B386" s="280" t="n"/>
      <c r="C386" s="280" t="n"/>
      <c r="D386" s="280" t="n"/>
      <c r="E386" s="280" t="n"/>
      <c r="F386" s="280" t="n"/>
      <c r="G386" s="280" t="n"/>
      <c r="H386" s="280" t="n"/>
      <c r="I386" s="332">
        <f>IFERROR(VLOOKUP(TEXT(H386,"0"),IPRESS!$A$3:$B$212,2,0),"")</f>
        <v/>
      </c>
      <c r="J386" s="280" t="n"/>
      <c r="K386" s="332">
        <f>IFERROR(VLOOKUP(TEXT(O386,"0"),CONDUCTORES!$A$3:$G$54,7,0),"")</f>
        <v/>
      </c>
      <c r="L386" s="280" t="n"/>
      <c r="M386" s="280" t="n"/>
      <c r="N386" s="333">
        <f>IFERROR(IF(L386*M386=0,"",L386*M386),"")</f>
        <v/>
      </c>
      <c r="O386" s="280" t="n"/>
      <c r="P386" s="332">
        <f>IFERROR(VLOOKUP(TEXT(O386,"0"),CONDUCTORES!$A$3:$G$54,2,0),"")</f>
        <v/>
      </c>
      <c r="Q386" s="332">
        <f>IFERROR(VLOOKUP(TEXT(O386,"0"),CONDUCTORES!$A$3:$H$54,6,0),"")</f>
        <v/>
      </c>
      <c r="R386" s="280" t="n"/>
      <c r="S386" s="280" t="n"/>
      <c r="T386" s="280" t="n"/>
      <c r="U386" s="280" t="n"/>
      <c r="V386" s="280" t="n"/>
      <c r="W386" s="280" t="n"/>
      <c r="X386" s="280" t="n"/>
      <c r="Y386" s="280" t="n"/>
    </row>
    <row r="387" ht="15" customHeight="1" s="195">
      <c r="A387" s="334" t="n"/>
      <c r="B387" s="334" t="n"/>
      <c r="C387" s="334" t="n"/>
      <c r="D387" s="334" t="n"/>
      <c r="E387" s="334" t="n"/>
      <c r="F387" s="334" t="n"/>
      <c r="G387" s="334" t="n"/>
      <c r="H387" s="334" t="n"/>
      <c r="I387" s="332">
        <f>IFERROR(VLOOKUP(TEXT(H387,"0"),IPRESS!$A$3:$B$212,2,0),"")</f>
        <v/>
      </c>
      <c r="J387" s="334" t="n"/>
      <c r="K387" s="332">
        <f>IFERROR(VLOOKUP(TEXT(O387,"0"),CONDUCTORES!$A$3:$G$54,7,0),"")</f>
        <v/>
      </c>
      <c r="L387" s="334" t="n"/>
      <c r="M387" s="334" t="n"/>
      <c r="N387" s="333">
        <f>IFERROR(IF(L387*M387=0,"",L387*M387),"")</f>
        <v/>
      </c>
      <c r="O387" s="334" t="n"/>
      <c r="P387" s="332">
        <f>IFERROR(VLOOKUP(TEXT(O387,"0"),CONDUCTORES!$A$3:$G$54,2,0),"")</f>
        <v/>
      </c>
      <c r="Q387" s="332">
        <f>IFERROR(VLOOKUP(TEXT(O387,"0"),CONDUCTORES!$A$3:$H$54,6,0),"")</f>
        <v/>
      </c>
      <c r="R387" s="334" t="n"/>
      <c r="S387" s="334" t="n"/>
      <c r="T387" s="334" t="n"/>
      <c r="U387" s="334" t="n"/>
      <c r="V387" s="334" t="n"/>
      <c r="W387" s="334" t="n"/>
      <c r="X387" s="334" t="n"/>
      <c r="Y387" s="334" t="n"/>
    </row>
    <row r="388" ht="15" customHeight="1" s="195">
      <c r="A388" s="280" t="n"/>
      <c r="B388" s="280" t="n"/>
      <c r="C388" s="280" t="n"/>
      <c r="D388" s="280" t="n"/>
      <c r="E388" s="280" t="n"/>
      <c r="F388" s="280" t="n"/>
      <c r="G388" s="280" t="n"/>
      <c r="H388" s="280" t="n"/>
      <c r="I388" s="332">
        <f>IFERROR(VLOOKUP(TEXT(H388,"0"),IPRESS!$A$3:$B$212,2,0),"")</f>
        <v/>
      </c>
      <c r="J388" s="280" t="n"/>
      <c r="K388" s="332">
        <f>IFERROR(VLOOKUP(TEXT(O388,"0"),CONDUCTORES!$A$3:$G$54,7,0),"")</f>
        <v/>
      </c>
      <c r="L388" s="280" t="n"/>
      <c r="M388" s="280" t="n"/>
      <c r="N388" s="333">
        <f>IFERROR(IF(L388*M388=0,"",L388*M388),"")</f>
        <v/>
      </c>
      <c r="O388" s="280" t="n"/>
      <c r="P388" s="332">
        <f>IFERROR(VLOOKUP(TEXT(O388,"0"),CONDUCTORES!$A$3:$G$54,2,0),"")</f>
        <v/>
      </c>
      <c r="Q388" s="332">
        <f>IFERROR(VLOOKUP(TEXT(O388,"0"),CONDUCTORES!$A$3:$H$54,6,0),"")</f>
        <v/>
      </c>
      <c r="R388" s="280" t="n"/>
      <c r="S388" s="280" t="n"/>
      <c r="T388" s="280" t="n"/>
      <c r="U388" s="280" t="n"/>
      <c r="V388" s="280" t="n"/>
      <c r="W388" s="280" t="n"/>
      <c r="X388" s="280" t="n"/>
      <c r="Y388" s="280" t="n"/>
    </row>
    <row r="389" ht="15" customHeight="1" s="195">
      <c r="A389" s="334" t="n"/>
      <c r="B389" s="334" t="n"/>
      <c r="C389" s="334" t="n"/>
      <c r="D389" s="334" t="n"/>
      <c r="E389" s="334" t="n"/>
      <c r="F389" s="334" t="n"/>
      <c r="G389" s="334" t="n"/>
      <c r="H389" s="334" t="n"/>
      <c r="I389" s="332">
        <f>IFERROR(VLOOKUP(TEXT(H389,"0"),IPRESS!$A$3:$B$212,2,0),"")</f>
        <v/>
      </c>
      <c r="J389" s="334" t="n"/>
      <c r="K389" s="332">
        <f>IFERROR(VLOOKUP(TEXT(O389,"0"),CONDUCTORES!$A$3:$G$54,7,0),"")</f>
        <v/>
      </c>
      <c r="L389" s="334" t="n"/>
      <c r="M389" s="334" t="n"/>
      <c r="N389" s="333">
        <f>IFERROR(IF(L389*M389=0,"",L389*M389),"")</f>
        <v/>
      </c>
      <c r="O389" s="334" t="n"/>
      <c r="P389" s="332">
        <f>IFERROR(VLOOKUP(TEXT(O389,"0"),CONDUCTORES!$A$3:$G$54,2,0),"")</f>
        <v/>
      </c>
      <c r="Q389" s="332">
        <f>IFERROR(VLOOKUP(TEXT(O389,"0"),CONDUCTORES!$A$3:$H$54,6,0),"")</f>
        <v/>
      </c>
      <c r="R389" s="334" t="n"/>
      <c r="S389" s="334" t="n"/>
      <c r="T389" s="334" t="n"/>
      <c r="U389" s="334" t="n"/>
      <c r="V389" s="334" t="n"/>
      <c r="W389" s="334" t="n"/>
      <c r="X389" s="334" t="n"/>
      <c r="Y389" s="334" t="n"/>
    </row>
    <row r="390" ht="15" customHeight="1" s="195">
      <c r="A390" s="280" t="n"/>
      <c r="B390" s="280" t="n"/>
      <c r="C390" s="280" t="n"/>
      <c r="D390" s="280" t="n"/>
      <c r="E390" s="280" t="n"/>
      <c r="F390" s="280" t="n"/>
      <c r="G390" s="280" t="n"/>
      <c r="H390" s="280" t="n"/>
      <c r="I390" s="332">
        <f>IFERROR(VLOOKUP(TEXT(H390,"0"),IPRESS!$A$3:$B$212,2,0),"")</f>
        <v/>
      </c>
      <c r="J390" s="280" t="n"/>
      <c r="K390" s="332">
        <f>IFERROR(VLOOKUP(TEXT(O390,"0"),CONDUCTORES!$A$3:$G$54,7,0),"")</f>
        <v/>
      </c>
      <c r="L390" s="280" t="n"/>
      <c r="M390" s="280" t="n"/>
      <c r="N390" s="333">
        <f>IFERROR(IF(L390*M390=0,"",L390*M390),"")</f>
        <v/>
      </c>
      <c r="O390" s="280" t="n"/>
      <c r="P390" s="332">
        <f>IFERROR(VLOOKUP(TEXT(O390,"0"),CONDUCTORES!$A$3:$G$54,2,0),"")</f>
        <v/>
      </c>
      <c r="Q390" s="332">
        <f>IFERROR(VLOOKUP(TEXT(O390,"0"),CONDUCTORES!$A$3:$H$54,6,0),"")</f>
        <v/>
      </c>
      <c r="R390" s="280" t="n"/>
      <c r="S390" s="280" t="n"/>
      <c r="T390" s="280" t="n"/>
      <c r="U390" s="280" t="n"/>
      <c r="V390" s="280" t="n"/>
      <c r="W390" s="280" t="n"/>
      <c r="X390" s="280" t="n"/>
      <c r="Y390" s="280" t="n"/>
    </row>
    <row r="391" ht="15" customHeight="1" s="195">
      <c r="A391" s="334" t="n"/>
      <c r="B391" s="334" t="n"/>
      <c r="C391" s="334" t="n"/>
      <c r="D391" s="334" t="n"/>
      <c r="E391" s="334" t="n"/>
      <c r="F391" s="334" t="n"/>
      <c r="G391" s="334" t="n"/>
      <c r="H391" s="334" t="n"/>
      <c r="I391" s="332">
        <f>IFERROR(VLOOKUP(TEXT(H391,"0"),IPRESS!$A$3:$B$212,2,0),"")</f>
        <v/>
      </c>
      <c r="J391" s="334" t="n"/>
      <c r="K391" s="332">
        <f>IFERROR(VLOOKUP(TEXT(O391,"0"),CONDUCTORES!$A$3:$G$54,7,0),"")</f>
        <v/>
      </c>
      <c r="L391" s="334" t="n"/>
      <c r="M391" s="334" t="n"/>
      <c r="N391" s="333">
        <f>IFERROR(IF(L391*M391=0,"",L391*M391),"")</f>
        <v/>
      </c>
      <c r="O391" s="334" t="n"/>
      <c r="P391" s="332">
        <f>IFERROR(VLOOKUP(TEXT(O391,"0"),CONDUCTORES!$A$3:$G$54,2,0),"")</f>
        <v/>
      </c>
      <c r="Q391" s="332">
        <f>IFERROR(VLOOKUP(TEXT(O391,"0"),CONDUCTORES!$A$3:$H$54,6,0),"")</f>
        <v/>
      </c>
      <c r="R391" s="334" t="n"/>
      <c r="S391" s="334" t="n"/>
      <c r="T391" s="334" t="n"/>
      <c r="U391" s="334" t="n"/>
      <c r="V391" s="334" t="n"/>
      <c r="W391" s="334" t="n"/>
      <c r="X391" s="334" t="n"/>
      <c r="Y391" s="334" t="n"/>
    </row>
    <row r="392" ht="15" customHeight="1" s="195">
      <c r="A392" s="280" t="n"/>
      <c r="B392" s="280" t="n"/>
      <c r="C392" s="280" t="n"/>
      <c r="D392" s="280" t="n"/>
      <c r="E392" s="280" t="n"/>
      <c r="F392" s="280" t="n"/>
      <c r="G392" s="280" t="n"/>
      <c r="H392" s="280" t="n"/>
      <c r="I392" s="332">
        <f>IFERROR(VLOOKUP(TEXT(H392,"0"),IPRESS!$A$3:$B$212,2,0),"")</f>
        <v/>
      </c>
      <c r="J392" s="280" t="n"/>
      <c r="K392" s="332">
        <f>IFERROR(VLOOKUP(TEXT(O392,"0"),CONDUCTORES!$A$3:$G$54,7,0),"")</f>
        <v/>
      </c>
      <c r="L392" s="280" t="n"/>
      <c r="M392" s="280" t="n"/>
      <c r="N392" s="333">
        <f>IFERROR(IF(L392*M392=0,"",L392*M392),"")</f>
        <v/>
      </c>
      <c r="O392" s="280" t="n"/>
      <c r="P392" s="332">
        <f>IFERROR(VLOOKUP(TEXT(O392,"0"),CONDUCTORES!$A$3:$G$54,2,0),"")</f>
        <v/>
      </c>
      <c r="Q392" s="332">
        <f>IFERROR(VLOOKUP(TEXT(O392,"0"),CONDUCTORES!$A$3:$H$54,6,0),"")</f>
        <v/>
      </c>
      <c r="R392" s="280" t="n"/>
      <c r="S392" s="280" t="n"/>
      <c r="T392" s="280" t="n"/>
      <c r="U392" s="280" t="n"/>
      <c r="V392" s="280" t="n"/>
      <c r="W392" s="280" t="n"/>
      <c r="X392" s="280" t="n"/>
      <c r="Y392" s="280" t="n"/>
    </row>
    <row r="393" ht="15" customHeight="1" s="195">
      <c r="A393" s="334" t="n"/>
      <c r="B393" s="334" t="n"/>
      <c r="C393" s="334" t="n"/>
      <c r="D393" s="334" t="n"/>
      <c r="E393" s="334" t="n"/>
      <c r="F393" s="334" t="n"/>
      <c r="G393" s="334" t="n"/>
      <c r="H393" s="334" t="n"/>
      <c r="I393" s="332">
        <f>IFERROR(VLOOKUP(TEXT(H393,"0"),IPRESS!$A$3:$B$212,2,0),"")</f>
        <v/>
      </c>
      <c r="J393" s="334" t="n"/>
      <c r="K393" s="332">
        <f>IFERROR(VLOOKUP(TEXT(O393,"0"),CONDUCTORES!$A$3:$G$54,7,0),"")</f>
        <v/>
      </c>
      <c r="L393" s="334" t="n"/>
      <c r="M393" s="334" t="n"/>
      <c r="N393" s="333">
        <f>IFERROR(IF(L393*M393=0,"",L393*M393),"")</f>
        <v/>
      </c>
      <c r="O393" s="334" t="n"/>
      <c r="P393" s="332">
        <f>IFERROR(VLOOKUP(TEXT(O393,"0"),CONDUCTORES!$A$3:$G$54,2,0),"")</f>
        <v/>
      </c>
      <c r="Q393" s="332">
        <f>IFERROR(VLOOKUP(TEXT(O393,"0"),CONDUCTORES!$A$3:$H$54,6,0),"")</f>
        <v/>
      </c>
      <c r="R393" s="334" t="n"/>
      <c r="S393" s="334" t="n"/>
      <c r="T393" s="334" t="n"/>
      <c r="U393" s="334" t="n"/>
      <c r="V393" s="334" t="n"/>
      <c r="W393" s="334" t="n"/>
      <c r="X393" s="334" t="n"/>
      <c r="Y393" s="334" t="n"/>
    </row>
    <row r="394" ht="15" customHeight="1" s="195">
      <c r="A394" s="280" t="n"/>
      <c r="B394" s="280" t="n"/>
      <c r="C394" s="280" t="n"/>
      <c r="D394" s="280" t="n"/>
      <c r="E394" s="280" t="n"/>
      <c r="F394" s="280" t="n"/>
      <c r="G394" s="280" t="n"/>
      <c r="H394" s="280" t="n"/>
      <c r="I394" s="332">
        <f>IFERROR(VLOOKUP(TEXT(H394,"0"),IPRESS!$A$3:$B$212,2,0),"")</f>
        <v/>
      </c>
      <c r="J394" s="280" t="n"/>
      <c r="K394" s="332">
        <f>IFERROR(VLOOKUP(TEXT(O394,"0"),CONDUCTORES!$A$3:$G$54,7,0),"")</f>
        <v/>
      </c>
      <c r="L394" s="280" t="n"/>
      <c r="M394" s="280" t="n"/>
      <c r="N394" s="333">
        <f>IFERROR(IF(L394*M394=0,"",L394*M394),"")</f>
        <v/>
      </c>
      <c r="O394" s="280" t="n"/>
      <c r="P394" s="332">
        <f>IFERROR(VLOOKUP(TEXT(O394,"0"),CONDUCTORES!$A$3:$G$54,2,0),"")</f>
        <v/>
      </c>
      <c r="Q394" s="332">
        <f>IFERROR(VLOOKUP(TEXT(O394,"0"),CONDUCTORES!$A$3:$H$54,6,0),"")</f>
        <v/>
      </c>
      <c r="R394" s="280" t="n"/>
      <c r="S394" s="280" t="n"/>
      <c r="T394" s="280" t="n"/>
      <c r="U394" s="280" t="n"/>
      <c r="V394" s="280" t="n"/>
      <c r="W394" s="280" t="n"/>
      <c r="X394" s="280" t="n"/>
      <c r="Y394" s="280" t="n"/>
    </row>
    <row r="395" ht="15" customHeight="1" s="195">
      <c r="A395" s="334" t="n"/>
      <c r="B395" s="334" t="n"/>
      <c r="C395" s="334" t="n"/>
      <c r="D395" s="334" t="n"/>
      <c r="E395" s="334" t="n"/>
      <c r="F395" s="334" t="n"/>
      <c r="G395" s="334" t="n"/>
      <c r="H395" s="334" t="n"/>
      <c r="I395" s="332">
        <f>IFERROR(VLOOKUP(TEXT(H395,"0"),IPRESS!$A$3:$B$212,2,0),"")</f>
        <v/>
      </c>
      <c r="J395" s="334" t="n"/>
      <c r="K395" s="332">
        <f>IFERROR(VLOOKUP(TEXT(O395,"0"),CONDUCTORES!$A$3:$G$54,7,0),"")</f>
        <v/>
      </c>
      <c r="L395" s="334" t="n"/>
      <c r="M395" s="334" t="n"/>
      <c r="N395" s="333">
        <f>IFERROR(IF(L395*M395=0,"",L395*M395),"")</f>
        <v/>
      </c>
      <c r="O395" s="334" t="n"/>
      <c r="P395" s="332">
        <f>IFERROR(VLOOKUP(TEXT(O395,"0"),CONDUCTORES!$A$3:$G$54,2,0),"")</f>
        <v/>
      </c>
      <c r="Q395" s="332">
        <f>IFERROR(VLOOKUP(TEXT(O395,"0"),CONDUCTORES!$A$3:$H$54,6,0),"")</f>
        <v/>
      </c>
      <c r="R395" s="334" t="n"/>
      <c r="S395" s="334" t="n"/>
      <c r="T395" s="334" t="n"/>
      <c r="U395" s="334" t="n"/>
      <c r="V395" s="334" t="n"/>
      <c r="W395" s="334" t="n"/>
      <c r="X395" s="334" t="n"/>
      <c r="Y395" s="334" t="n"/>
    </row>
    <row r="396" ht="15" customHeight="1" s="195">
      <c r="A396" s="280" t="n"/>
      <c r="B396" s="280" t="n"/>
      <c r="C396" s="280" t="n"/>
      <c r="D396" s="280" t="n"/>
      <c r="E396" s="280" t="n"/>
      <c r="F396" s="280" t="n"/>
      <c r="G396" s="280" t="n"/>
      <c r="H396" s="280" t="n"/>
      <c r="I396" s="332">
        <f>IFERROR(VLOOKUP(TEXT(H396,"0"),IPRESS!$A$3:$B$212,2,0),"")</f>
        <v/>
      </c>
      <c r="J396" s="280" t="n"/>
      <c r="K396" s="332">
        <f>IFERROR(VLOOKUP(TEXT(O396,"0"),CONDUCTORES!$A$3:$G$54,7,0),"")</f>
        <v/>
      </c>
      <c r="L396" s="280" t="n"/>
      <c r="M396" s="280" t="n"/>
      <c r="N396" s="333">
        <f>IFERROR(IF(L396*M396=0,"",L396*M396),"")</f>
        <v/>
      </c>
      <c r="O396" s="280" t="n"/>
      <c r="P396" s="332">
        <f>IFERROR(VLOOKUP(TEXT(O396,"0"),CONDUCTORES!$A$3:$G$54,2,0),"")</f>
        <v/>
      </c>
      <c r="Q396" s="332">
        <f>IFERROR(VLOOKUP(TEXT(O396,"0"),CONDUCTORES!$A$3:$H$54,6,0),"")</f>
        <v/>
      </c>
      <c r="R396" s="280" t="n"/>
      <c r="S396" s="280" t="n"/>
      <c r="T396" s="280" t="n"/>
      <c r="U396" s="280" t="n"/>
      <c r="V396" s="280" t="n"/>
      <c r="W396" s="280" t="n"/>
      <c r="X396" s="280" t="n"/>
      <c r="Y396" s="280" t="n"/>
    </row>
    <row r="397" ht="15" customHeight="1" s="195">
      <c r="A397" s="334" t="n"/>
      <c r="B397" s="334" t="n"/>
      <c r="C397" s="334" t="n"/>
      <c r="D397" s="334" t="n"/>
      <c r="E397" s="334" t="n"/>
      <c r="F397" s="334" t="n"/>
      <c r="G397" s="334" t="n"/>
      <c r="H397" s="334" t="n"/>
      <c r="I397" s="332">
        <f>IFERROR(VLOOKUP(TEXT(H397,"0"),IPRESS!$A$3:$B$212,2,0),"")</f>
        <v/>
      </c>
      <c r="J397" s="334" t="n"/>
      <c r="K397" s="332">
        <f>IFERROR(VLOOKUP(TEXT(O397,"0"),CONDUCTORES!$A$3:$G$54,7,0),"")</f>
        <v/>
      </c>
      <c r="L397" s="334" t="n"/>
      <c r="M397" s="334" t="n"/>
      <c r="N397" s="333">
        <f>IFERROR(IF(L397*M397=0,"",L397*M397),"")</f>
        <v/>
      </c>
      <c r="O397" s="334" t="n"/>
      <c r="P397" s="332">
        <f>IFERROR(VLOOKUP(TEXT(O397,"0"),CONDUCTORES!$A$3:$G$54,2,0),"")</f>
        <v/>
      </c>
      <c r="Q397" s="332">
        <f>IFERROR(VLOOKUP(TEXT(O397,"0"),CONDUCTORES!$A$3:$H$54,6,0),"")</f>
        <v/>
      </c>
      <c r="R397" s="334" t="n"/>
      <c r="S397" s="334" t="n"/>
      <c r="T397" s="334" t="n"/>
      <c r="U397" s="334" t="n"/>
      <c r="V397" s="334" t="n"/>
      <c r="W397" s="334" t="n"/>
      <c r="X397" s="334" t="n"/>
      <c r="Y397" s="334" t="n"/>
    </row>
    <row r="398" ht="15" customHeight="1" s="195">
      <c r="A398" s="280" t="n"/>
      <c r="B398" s="280" t="n"/>
      <c r="C398" s="280" t="n"/>
      <c r="D398" s="280" t="n"/>
      <c r="E398" s="280" t="n"/>
      <c r="F398" s="280" t="n"/>
      <c r="G398" s="280" t="n"/>
      <c r="H398" s="280" t="n"/>
      <c r="I398" s="332">
        <f>IFERROR(VLOOKUP(TEXT(H398,"0"),IPRESS!$A$3:$B$212,2,0),"")</f>
        <v/>
      </c>
      <c r="J398" s="280" t="n"/>
      <c r="K398" s="332">
        <f>IFERROR(VLOOKUP(TEXT(O398,"0"),CONDUCTORES!$A$3:$G$54,7,0),"")</f>
        <v/>
      </c>
      <c r="L398" s="280" t="n"/>
      <c r="M398" s="280" t="n"/>
      <c r="N398" s="333">
        <f>IFERROR(IF(L398*M398=0,"",L398*M398),"")</f>
        <v/>
      </c>
      <c r="O398" s="280" t="n"/>
      <c r="P398" s="332">
        <f>IFERROR(VLOOKUP(TEXT(O398,"0"),CONDUCTORES!$A$3:$G$54,2,0),"")</f>
        <v/>
      </c>
      <c r="Q398" s="332">
        <f>IFERROR(VLOOKUP(TEXT(O398,"0"),CONDUCTORES!$A$3:$H$54,6,0),"")</f>
        <v/>
      </c>
      <c r="R398" s="280" t="n"/>
      <c r="S398" s="280" t="n"/>
      <c r="T398" s="280" t="n"/>
      <c r="U398" s="280" t="n"/>
      <c r="V398" s="280" t="n"/>
      <c r="W398" s="280" t="n"/>
      <c r="X398" s="280" t="n"/>
      <c r="Y398" s="280" t="n"/>
    </row>
    <row r="399" ht="15" customHeight="1" s="195">
      <c r="A399" s="334" t="n"/>
      <c r="B399" s="334" t="n"/>
      <c r="C399" s="334" t="n"/>
      <c r="D399" s="334" t="n"/>
      <c r="E399" s="334" t="n"/>
      <c r="F399" s="334" t="n"/>
      <c r="G399" s="334" t="n"/>
      <c r="H399" s="334" t="n"/>
      <c r="I399" s="332">
        <f>IFERROR(VLOOKUP(TEXT(H399,"0"),IPRESS!$A$3:$B$212,2,0),"")</f>
        <v/>
      </c>
      <c r="J399" s="334" t="n"/>
      <c r="K399" s="332">
        <f>IFERROR(VLOOKUP(TEXT(O399,"0"),CONDUCTORES!$A$3:$G$54,7,0),"")</f>
        <v/>
      </c>
      <c r="L399" s="334" t="n"/>
      <c r="M399" s="334" t="n"/>
      <c r="N399" s="333">
        <f>IFERROR(IF(L399*M399=0,"",L399*M399),"")</f>
        <v/>
      </c>
      <c r="O399" s="334" t="n"/>
      <c r="P399" s="332">
        <f>IFERROR(VLOOKUP(TEXT(O399,"0"),CONDUCTORES!$A$3:$G$54,2,0),"")</f>
        <v/>
      </c>
      <c r="Q399" s="332">
        <f>IFERROR(VLOOKUP(TEXT(O399,"0"),CONDUCTORES!$A$3:$H$54,6,0),"")</f>
        <v/>
      </c>
      <c r="R399" s="334" t="n"/>
      <c r="S399" s="334" t="n"/>
      <c r="T399" s="334" t="n"/>
      <c r="U399" s="334" t="n"/>
      <c r="V399" s="334" t="n"/>
      <c r="W399" s="334" t="n"/>
      <c r="X399" s="334" t="n"/>
      <c r="Y399" s="334" t="n"/>
    </row>
    <row r="400" ht="15" customHeight="1" s="195">
      <c r="A400" s="280" t="n"/>
      <c r="B400" s="280" t="n"/>
      <c r="C400" s="280" t="n"/>
      <c r="D400" s="280" t="n"/>
      <c r="E400" s="280" t="n"/>
      <c r="F400" s="280" t="n"/>
      <c r="G400" s="280" t="n"/>
      <c r="H400" s="280" t="n"/>
      <c r="I400" s="332">
        <f>IFERROR(VLOOKUP(TEXT(H400,"0"),IPRESS!$A$3:$B$212,2,0),"")</f>
        <v/>
      </c>
      <c r="J400" s="280" t="n"/>
      <c r="K400" s="332">
        <f>IFERROR(VLOOKUP(TEXT(O400,"0"),CONDUCTORES!$A$3:$G$54,7,0),"")</f>
        <v/>
      </c>
      <c r="L400" s="280" t="n"/>
      <c r="M400" s="280" t="n"/>
      <c r="N400" s="333">
        <f>IFERROR(IF(L400*M400=0,"",L400*M400),"")</f>
        <v/>
      </c>
      <c r="O400" s="280" t="n"/>
      <c r="P400" s="332">
        <f>IFERROR(VLOOKUP(TEXT(O400,"0"),CONDUCTORES!$A$3:$G$54,2,0),"")</f>
        <v/>
      </c>
      <c r="Q400" s="332">
        <f>IFERROR(VLOOKUP(TEXT(O400,"0"),CONDUCTORES!$A$3:$H$54,6,0),"")</f>
        <v/>
      </c>
      <c r="R400" s="280" t="n"/>
      <c r="S400" s="280" t="n"/>
      <c r="T400" s="280" t="n"/>
      <c r="U400" s="280" t="n"/>
      <c r="V400" s="280" t="n"/>
      <c r="W400" s="280" t="n"/>
      <c r="X400" s="280" t="n"/>
      <c r="Y400" s="280" t="n"/>
    </row>
    <row r="401" ht="15" customHeight="1" s="195">
      <c r="A401" s="334" t="n"/>
      <c r="B401" s="334" t="n"/>
      <c r="C401" s="334" t="n"/>
      <c r="D401" s="334" t="n"/>
      <c r="E401" s="334" t="n"/>
      <c r="F401" s="334" t="n"/>
      <c r="G401" s="334" t="n"/>
      <c r="H401" s="334" t="n"/>
      <c r="I401" s="332">
        <f>IFERROR(VLOOKUP(TEXT(H401,"0"),IPRESS!$A$3:$B$212,2,0),"")</f>
        <v/>
      </c>
      <c r="J401" s="334" t="n"/>
      <c r="K401" s="332">
        <f>IFERROR(VLOOKUP(TEXT(O401,"0"),CONDUCTORES!$A$3:$G$54,7,0),"")</f>
        <v/>
      </c>
      <c r="L401" s="334" t="n"/>
      <c r="M401" s="334" t="n"/>
      <c r="N401" s="333">
        <f>IFERROR(IF(L401*M401=0,"",L401*M401),"")</f>
        <v/>
      </c>
      <c r="O401" s="334" t="n"/>
      <c r="P401" s="332">
        <f>IFERROR(VLOOKUP(TEXT(O401,"0"),CONDUCTORES!$A$3:$G$54,2,0),"")</f>
        <v/>
      </c>
      <c r="Q401" s="332">
        <f>IFERROR(VLOOKUP(TEXT(O401,"0"),CONDUCTORES!$A$3:$H$54,6,0),"")</f>
        <v/>
      </c>
      <c r="R401" s="334" t="n"/>
      <c r="S401" s="334" t="n"/>
      <c r="T401" s="334" t="n"/>
      <c r="U401" s="334" t="n"/>
      <c r="V401" s="334" t="n"/>
      <c r="W401" s="334" t="n"/>
      <c r="X401" s="334" t="n"/>
      <c r="Y401" s="334" t="n"/>
    </row>
    <row r="402" ht="15" customHeight="1" s="195">
      <c r="A402" s="280" t="n"/>
      <c r="B402" s="280" t="n"/>
      <c r="C402" s="280" t="n"/>
      <c r="D402" s="280" t="n"/>
      <c r="E402" s="280" t="n"/>
      <c r="F402" s="280" t="n"/>
      <c r="G402" s="280" t="n"/>
      <c r="H402" s="280" t="n"/>
      <c r="I402" s="332">
        <f>IFERROR(VLOOKUP(TEXT(H402,"0"),IPRESS!$A$3:$B$212,2,0),"")</f>
        <v/>
      </c>
      <c r="J402" s="280" t="n"/>
      <c r="K402" s="332">
        <f>IFERROR(VLOOKUP(TEXT(O402,"0"),CONDUCTORES!$A$3:$G$54,7,0),"")</f>
        <v/>
      </c>
      <c r="L402" s="280" t="n"/>
      <c r="M402" s="280" t="n"/>
      <c r="N402" s="333">
        <f>IFERROR(IF(L402*M402=0,"",L402*M402),"")</f>
        <v/>
      </c>
      <c r="O402" s="280" t="n"/>
      <c r="P402" s="332">
        <f>IFERROR(VLOOKUP(TEXT(O402,"0"),CONDUCTORES!$A$3:$G$54,2,0),"")</f>
        <v/>
      </c>
      <c r="Q402" s="332">
        <f>IFERROR(VLOOKUP(TEXT(O402,"0"),CONDUCTORES!$A$3:$H$54,6,0),"")</f>
        <v/>
      </c>
      <c r="R402" s="280" t="n"/>
      <c r="S402" s="280" t="n"/>
      <c r="T402" s="280" t="n"/>
      <c r="U402" s="280" t="n"/>
      <c r="V402" s="280" t="n"/>
      <c r="W402" s="280" t="n"/>
      <c r="X402" s="280" t="n"/>
      <c r="Y402" s="280" t="n"/>
    </row>
    <row r="403" ht="15" customHeight="1" s="195">
      <c r="A403" s="334" t="n"/>
      <c r="B403" s="334" t="n"/>
      <c r="C403" s="334" t="n"/>
      <c r="D403" s="334" t="n"/>
      <c r="E403" s="334" t="n"/>
      <c r="F403" s="334" t="n"/>
      <c r="G403" s="334" t="n"/>
      <c r="H403" s="334" t="n"/>
      <c r="I403" s="332">
        <f>IFERROR(VLOOKUP(TEXT(H403,"0"),IPRESS!$A$3:$B$212,2,0),"")</f>
        <v/>
      </c>
      <c r="J403" s="334" t="n"/>
      <c r="K403" s="332">
        <f>IFERROR(VLOOKUP(TEXT(O403,"0"),CONDUCTORES!$A$3:$G$54,7,0),"")</f>
        <v/>
      </c>
      <c r="L403" s="334" t="n"/>
      <c r="M403" s="334" t="n"/>
      <c r="N403" s="333">
        <f>IFERROR(IF(L403*M403=0,"",L403*M403),"")</f>
        <v/>
      </c>
      <c r="O403" s="334" t="n"/>
      <c r="P403" s="332">
        <f>IFERROR(VLOOKUP(TEXT(O403,"0"),CONDUCTORES!$A$3:$G$54,2,0),"")</f>
        <v/>
      </c>
      <c r="Q403" s="332">
        <f>IFERROR(VLOOKUP(TEXT(O403,"0"),CONDUCTORES!$A$3:$H$54,6,0),"")</f>
        <v/>
      </c>
      <c r="R403" s="334" t="n"/>
      <c r="S403" s="334" t="n"/>
      <c r="T403" s="334" t="n"/>
      <c r="U403" s="334" t="n"/>
      <c r="V403" s="334" t="n"/>
      <c r="W403" s="334" t="n"/>
      <c r="X403" s="334" t="n"/>
      <c r="Y403" s="334" t="n"/>
    </row>
    <row r="404" ht="15" customHeight="1" s="195">
      <c r="A404" s="280" t="n"/>
      <c r="B404" s="280" t="n"/>
      <c r="C404" s="280" t="n"/>
      <c r="D404" s="280" t="n"/>
      <c r="E404" s="280" t="n"/>
      <c r="F404" s="280" t="n"/>
      <c r="G404" s="280" t="n"/>
      <c r="H404" s="280" t="n"/>
      <c r="I404" s="332">
        <f>IFERROR(VLOOKUP(TEXT(H404,"0"),IPRESS!$A$3:$B$212,2,0),"")</f>
        <v/>
      </c>
      <c r="J404" s="280" t="n"/>
      <c r="K404" s="332">
        <f>IFERROR(VLOOKUP(TEXT(O404,"0"),CONDUCTORES!$A$3:$G$54,7,0),"")</f>
        <v/>
      </c>
      <c r="L404" s="280" t="n"/>
      <c r="M404" s="280" t="n"/>
      <c r="N404" s="333">
        <f>IFERROR(IF(L404*M404=0,"",L404*M404),"")</f>
        <v/>
      </c>
      <c r="O404" s="280" t="n"/>
      <c r="P404" s="332">
        <f>IFERROR(VLOOKUP(TEXT(O404,"0"),CONDUCTORES!$A$3:$G$54,2,0),"")</f>
        <v/>
      </c>
      <c r="Q404" s="332">
        <f>IFERROR(VLOOKUP(TEXT(O404,"0"),CONDUCTORES!$A$3:$H$54,6,0),"")</f>
        <v/>
      </c>
      <c r="R404" s="280" t="n"/>
      <c r="S404" s="280" t="n"/>
      <c r="T404" s="280" t="n"/>
      <c r="U404" s="280" t="n"/>
      <c r="V404" s="280" t="n"/>
      <c r="W404" s="280" t="n"/>
      <c r="X404" s="280" t="n"/>
      <c r="Y404" s="280" t="n"/>
    </row>
    <row r="405" ht="15" customHeight="1" s="195">
      <c r="A405" s="334" t="n"/>
      <c r="B405" s="334" t="n"/>
      <c r="C405" s="334" t="n"/>
      <c r="D405" s="334" t="n"/>
      <c r="E405" s="334" t="n"/>
      <c r="F405" s="334" t="n"/>
      <c r="G405" s="334" t="n"/>
      <c r="H405" s="334" t="n"/>
      <c r="I405" s="332">
        <f>IFERROR(VLOOKUP(TEXT(H405,"0"),IPRESS!$A$3:$B$212,2,0),"")</f>
        <v/>
      </c>
      <c r="J405" s="334" t="n"/>
      <c r="K405" s="332">
        <f>IFERROR(VLOOKUP(TEXT(O405,"0"),CONDUCTORES!$A$3:$G$54,7,0),"")</f>
        <v/>
      </c>
      <c r="L405" s="334" t="n"/>
      <c r="M405" s="334" t="n"/>
      <c r="N405" s="333">
        <f>IFERROR(IF(L405*M405=0,"",L405*M405),"")</f>
        <v/>
      </c>
      <c r="O405" s="334" t="n"/>
      <c r="P405" s="332">
        <f>IFERROR(VLOOKUP(TEXT(O405,"0"),CONDUCTORES!$A$3:$G$54,2,0),"")</f>
        <v/>
      </c>
      <c r="Q405" s="332">
        <f>IFERROR(VLOOKUP(TEXT(O405,"0"),CONDUCTORES!$A$3:$H$54,6,0),"")</f>
        <v/>
      </c>
      <c r="R405" s="334" t="n"/>
      <c r="S405" s="334" t="n"/>
      <c r="T405" s="334" t="n"/>
      <c r="U405" s="334" t="n"/>
      <c r="V405" s="334" t="n"/>
      <c r="W405" s="334" t="n"/>
      <c r="X405" s="334" t="n"/>
      <c r="Y405" s="334" t="n"/>
    </row>
    <row r="406" ht="15" customHeight="1" s="195">
      <c r="A406" s="280" t="n"/>
      <c r="B406" s="280" t="n"/>
      <c r="C406" s="280" t="n"/>
      <c r="D406" s="280" t="n"/>
      <c r="E406" s="280" t="n"/>
      <c r="F406" s="280" t="n"/>
      <c r="G406" s="280" t="n"/>
      <c r="H406" s="280" t="n"/>
      <c r="I406" s="332">
        <f>IFERROR(VLOOKUP(TEXT(H406,"0"),IPRESS!$A$3:$B$212,2,0),"")</f>
        <v/>
      </c>
      <c r="J406" s="280" t="n"/>
      <c r="K406" s="332">
        <f>IFERROR(VLOOKUP(TEXT(O406,"0"),CONDUCTORES!$A$3:$G$54,7,0),"")</f>
        <v/>
      </c>
      <c r="L406" s="280" t="n"/>
      <c r="M406" s="280" t="n"/>
      <c r="N406" s="333">
        <f>IFERROR(IF(L406*M406=0,"",L406*M406),"")</f>
        <v/>
      </c>
      <c r="O406" s="280" t="n"/>
      <c r="P406" s="332">
        <f>IFERROR(VLOOKUP(TEXT(O406,"0"),CONDUCTORES!$A$3:$G$54,2,0),"")</f>
        <v/>
      </c>
      <c r="Q406" s="332">
        <f>IFERROR(VLOOKUP(TEXT(O406,"0"),CONDUCTORES!$A$3:$H$54,6,0),"")</f>
        <v/>
      </c>
      <c r="R406" s="280" t="n"/>
      <c r="S406" s="280" t="n"/>
      <c r="T406" s="280" t="n"/>
      <c r="U406" s="280" t="n"/>
      <c r="V406" s="280" t="n"/>
      <c r="W406" s="280" t="n"/>
      <c r="X406" s="280" t="n"/>
      <c r="Y406" s="280" t="n"/>
    </row>
    <row r="407" ht="15" customHeight="1" s="195">
      <c r="A407" s="334" t="n"/>
      <c r="B407" s="334" t="n"/>
      <c r="C407" s="334" t="n"/>
      <c r="D407" s="334" t="n"/>
      <c r="E407" s="334" t="n"/>
      <c r="F407" s="334" t="n"/>
      <c r="G407" s="334" t="n"/>
      <c r="H407" s="334" t="n"/>
      <c r="I407" s="332">
        <f>IFERROR(VLOOKUP(TEXT(H407,"0"),IPRESS!$A$3:$B$212,2,0),"")</f>
        <v/>
      </c>
      <c r="J407" s="334" t="n"/>
      <c r="K407" s="332">
        <f>IFERROR(VLOOKUP(TEXT(O407,"0"),CONDUCTORES!$A$3:$G$54,7,0),"")</f>
        <v/>
      </c>
      <c r="L407" s="334" t="n"/>
      <c r="M407" s="334" t="n"/>
      <c r="N407" s="333">
        <f>IFERROR(IF(L407*M407=0,"",L407*M407),"")</f>
        <v/>
      </c>
      <c r="O407" s="334" t="n"/>
      <c r="P407" s="332">
        <f>IFERROR(VLOOKUP(TEXT(O407,"0"),CONDUCTORES!$A$3:$G$54,2,0),"")</f>
        <v/>
      </c>
      <c r="Q407" s="332">
        <f>IFERROR(VLOOKUP(TEXT(O407,"0"),CONDUCTORES!$A$3:$H$54,6,0),"")</f>
        <v/>
      </c>
      <c r="R407" s="334" t="n"/>
      <c r="S407" s="334" t="n"/>
      <c r="T407" s="334" t="n"/>
      <c r="U407" s="334" t="n"/>
      <c r="V407" s="334" t="n"/>
      <c r="W407" s="334" t="n"/>
      <c r="X407" s="334" t="n"/>
      <c r="Y407" s="334" t="n"/>
    </row>
    <row r="408" ht="15" customHeight="1" s="195">
      <c r="A408" s="280" t="n"/>
      <c r="B408" s="280" t="n"/>
      <c r="C408" s="280" t="n"/>
      <c r="D408" s="280" t="n"/>
      <c r="E408" s="280" t="n"/>
      <c r="F408" s="280" t="n"/>
      <c r="G408" s="280" t="n"/>
      <c r="H408" s="280" t="n"/>
      <c r="I408" s="332">
        <f>IFERROR(VLOOKUP(TEXT(H408,"0"),IPRESS!$A$3:$B$212,2,0),"")</f>
        <v/>
      </c>
      <c r="J408" s="280" t="n"/>
      <c r="K408" s="332">
        <f>IFERROR(VLOOKUP(TEXT(O408,"0"),CONDUCTORES!$A$3:$G$54,7,0),"")</f>
        <v/>
      </c>
      <c r="L408" s="280" t="n"/>
      <c r="M408" s="280" t="n"/>
      <c r="N408" s="333">
        <f>IFERROR(IF(L408*M408=0,"",L408*M408),"")</f>
        <v/>
      </c>
      <c r="O408" s="280" t="n"/>
      <c r="P408" s="332">
        <f>IFERROR(VLOOKUP(TEXT(O408,"0"),CONDUCTORES!$A$3:$G$54,2,0),"")</f>
        <v/>
      </c>
      <c r="Q408" s="332">
        <f>IFERROR(VLOOKUP(TEXT(O408,"0"),CONDUCTORES!$A$3:$H$54,6,0),"")</f>
        <v/>
      </c>
      <c r="R408" s="280" t="n"/>
      <c r="S408" s="280" t="n"/>
      <c r="T408" s="280" t="n"/>
      <c r="U408" s="280" t="n"/>
      <c r="V408" s="280" t="n"/>
      <c r="W408" s="280" t="n"/>
      <c r="X408" s="280" t="n"/>
      <c r="Y408" s="280" t="n"/>
    </row>
    <row r="409" ht="15" customHeight="1" s="195">
      <c r="A409" s="334" t="n"/>
      <c r="B409" s="334" t="n"/>
      <c r="C409" s="334" t="n"/>
      <c r="D409" s="334" t="n"/>
      <c r="E409" s="334" t="n"/>
      <c r="F409" s="334" t="n"/>
      <c r="G409" s="334" t="n"/>
      <c r="H409" s="334" t="n"/>
      <c r="I409" s="332">
        <f>IFERROR(VLOOKUP(TEXT(H409,"0"),IPRESS!$A$3:$B$212,2,0),"")</f>
        <v/>
      </c>
      <c r="J409" s="334" t="n"/>
      <c r="K409" s="332">
        <f>IFERROR(VLOOKUP(TEXT(O409,"0"),CONDUCTORES!$A$3:$G$54,7,0),"")</f>
        <v/>
      </c>
      <c r="L409" s="334" t="n"/>
      <c r="M409" s="334" t="n"/>
      <c r="N409" s="333">
        <f>IFERROR(IF(L409*M409=0,"",L409*M409),"")</f>
        <v/>
      </c>
      <c r="O409" s="334" t="n"/>
      <c r="P409" s="332">
        <f>IFERROR(VLOOKUP(TEXT(O409,"0"),CONDUCTORES!$A$3:$G$54,2,0),"")</f>
        <v/>
      </c>
      <c r="Q409" s="332">
        <f>IFERROR(VLOOKUP(TEXT(O409,"0"),CONDUCTORES!$A$3:$H$54,6,0),"")</f>
        <v/>
      </c>
      <c r="R409" s="334" t="n"/>
      <c r="S409" s="334" t="n"/>
      <c r="T409" s="334" t="n"/>
      <c r="U409" s="334" t="n"/>
      <c r="V409" s="334" t="n"/>
      <c r="W409" s="334" t="n"/>
      <c r="X409" s="334" t="n"/>
      <c r="Y409" s="334" t="n"/>
    </row>
    <row r="410" ht="15" customHeight="1" s="195">
      <c r="A410" s="280" t="n"/>
      <c r="B410" s="280" t="n"/>
      <c r="C410" s="280" t="n"/>
      <c r="D410" s="280" t="n"/>
      <c r="E410" s="280" t="n"/>
      <c r="F410" s="280" t="n"/>
      <c r="G410" s="280" t="n"/>
      <c r="H410" s="280" t="n"/>
      <c r="I410" s="332">
        <f>IFERROR(VLOOKUP(TEXT(H410,"0"),IPRESS!$A$3:$B$212,2,0),"")</f>
        <v/>
      </c>
      <c r="J410" s="280" t="n"/>
      <c r="K410" s="332">
        <f>IFERROR(VLOOKUP(TEXT(O410,"0"),CONDUCTORES!$A$3:$G$54,7,0),"")</f>
        <v/>
      </c>
      <c r="L410" s="280" t="n"/>
      <c r="M410" s="280" t="n"/>
      <c r="N410" s="333">
        <f>IFERROR(IF(L410*M410=0,"",L410*M410),"")</f>
        <v/>
      </c>
      <c r="O410" s="280" t="n"/>
      <c r="P410" s="332">
        <f>IFERROR(VLOOKUP(TEXT(O410,"0"),CONDUCTORES!$A$3:$G$54,2,0),"")</f>
        <v/>
      </c>
      <c r="Q410" s="332">
        <f>IFERROR(VLOOKUP(TEXT(O410,"0"),CONDUCTORES!$A$3:$H$54,6,0),"")</f>
        <v/>
      </c>
      <c r="R410" s="280" t="n"/>
      <c r="S410" s="280" t="n"/>
      <c r="T410" s="280" t="n"/>
      <c r="U410" s="280" t="n"/>
      <c r="V410" s="280" t="n"/>
      <c r="W410" s="280" t="n"/>
      <c r="X410" s="280" t="n"/>
      <c r="Y410" s="280" t="n"/>
    </row>
    <row r="411" ht="15" customHeight="1" s="195">
      <c r="A411" s="334" t="n"/>
      <c r="B411" s="334" t="n"/>
      <c r="C411" s="334" t="n"/>
      <c r="D411" s="334" t="n"/>
      <c r="E411" s="334" t="n"/>
      <c r="F411" s="334" t="n"/>
      <c r="G411" s="334" t="n"/>
      <c r="H411" s="334" t="n"/>
      <c r="I411" s="332">
        <f>IFERROR(VLOOKUP(TEXT(H411,"0"),IPRESS!$A$3:$B$212,2,0),"")</f>
        <v/>
      </c>
      <c r="J411" s="334" t="n"/>
      <c r="K411" s="332">
        <f>IFERROR(VLOOKUP(TEXT(O411,"0"),CONDUCTORES!$A$3:$G$54,7,0),"")</f>
        <v/>
      </c>
      <c r="L411" s="334" t="n"/>
      <c r="M411" s="334" t="n"/>
      <c r="N411" s="333">
        <f>IFERROR(IF(L411*M411=0,"",L411*M411),"")</f>
        <v/>
      </c>
      <c r="O411" s="334" t="n"/>
      <c r="P411" s="332">
        <f>IFERROR(VLOOKUP(TEXT(O411,"0"),CONDUCTORES!$A$3:$G$54,2,0),"")</f>
        <v/>
      </c>
      <c r="Q411" s="332">
        <f>IFERROR(VLOOKUP(TEXT(O411,"0"),CONDUCTORES!$A$3:$H$54,6,0),"")</f>
        <v/>
      </c>
      <c r="R411" s="334" t="n"/>
      <c r="S411" s="334" t="n"/>
      <c r="T411" s="334" t="n"/>
      <c r="U411" s="334" t="n"/>
      <c r="V411" s="334" t="n"/>
      <c r="W411" s="334" t="n"/>
      <c r="X411" s="334" t="n"/>
      <c r="Y411" s="334" t="n"/>
    </row>
    <row r="412" ht="15" customHeight="1" s="195">
      <c r="A412" s="280" t="n"/>
      <c r="B412" s="280" t="n"/>
      <c r="C412" s="280" t="n"/>
      <c r="D412" s="280" t="n"/>
      <c r="E412" s="280" t="n"/>
      <c r="F412" s="280" t="n"/>
      <c r="G412" s="280" t="n"/>
      <c r="H412" s="280" t="n"/>
      <c r="I412" s="332">
        <f>IFERROR(VLOOKUP(TEXT(H412,"0"),IPRESS!$A$3:$B$212,2,0),"")</f>
        <v/>
      </c>
      <c r="J412" s="280" t="n"/>
      <c r="K412" s="332">
        <f>IFERROR(VLOOKUP(TEXT(O412,"0"),CONDUCTORES!$A$3:$G$54,7,0),"")</f>
        <v/>
      </c>
      <c r="L412" s="280" t="n"/>
      <c r="M412" s="280" t="n"/>
      <c r="N412" s="333">
        <f>IFERROR(IF(L412*M412=0,"",L412*M412),"")</f>
        <v/>
      </c>
      <c r="O412" s="280" t="n"/>
      <c r="P412" s="332">
        <f>IFERROR(VLOOKUP(TEXT(O412,"0"),CONDUCTORES!$A$3:$G$54,2,0),"")</f>
        <v/>
      </c>
      <c r="Q412" s="332">
        <f>IFERROR(VLOOKUP(TEXT(O412,"0"),CONDUCTORES!$A$3:$H$54,6,0),"")</f>
        <v/>
      </c>
      <c r="R412" s="280" t="n"/>
      <c r="S412" s="280" t="n"/>
      <c r="T412" s="280" t="n"/>
      <c r="U412" s="280" t="n"/>
      <c r="V412" s="280" t="n"/>
      <c r="W412" s="280" t="n"/>
      <c r="X412" s="280" t="n"/>
      <c r="Y412" s="280" t="n"/>
    </row>
    <row r="413" ht="15" customHeight="1" s="195">
      <c r="A413" s="334" t="n"/>
      <c r="B413" s="334" t="n"/>
      <c r="C413" s="334" t="n"/>
      <c r="D413" s="334" t="n"/>
      <c r="E413" s="334" t="n"/>
      <c r="F413" s="334" t="n"/>
      <c r="G413" s="334" t="n"/>
      <c r="H413" s="334" t="n"/>
      <c r="I413" s="332">
        <f>IFERROR(VLOOKUP(TEXT(H413,"0"),IPRESS!$A$3:$B$212,2,0),"")</f>
        <v/>
      </c>
      <c r="J413" s="334" t="n"/>
      <c r="K413" s="332">
        <f>IFERROR(VLOOKUP(TEXT(O413,"0"),CONDUCTORES!$A$3:$G$54,7,0),"")</f>
        <v/>
      </c>
      <c r="L413" s="334" t="n"/>
      <c r="M413" s="334" t="n"/>
      <c r="N413" s="333">
        <f>IFERROR(IF(L413*M413=0,"",L413*M413),"")</f>
        <v/>
      </c>
      <c r="O413" s="334" t="n"/>
      <c r="P413" s="332">
        <f>IFERROR(VLOOKUP(TEXT(O413,"0"),CONDUCTORES!$A$3:$G$54,2,0),"")</f>
        <v/>
      </c>
      <c r="Q413" s="332">
        <f>IFERROR(VLOOKUP(TEXT(O413,"0"),CONDUCTORES!$A$3:$H$54,6,0),"")</f>
        <v/>
      </c>
      <c r="R413" s="334" t="n"/>
      <c r="S413" s="334" t="n"/>
      <c r="T413" s="334" t="n"/>
      <c r="U413" s="334" t="n"/>
      <c r="V413" s="334" t="n"/>
      <c r="W413" s="334" t="n"/>
      <c r="X413" s="334" t="n"/>
      <c r="Y413" s="334" t="n"/>
    </row>
    <row r="414" ht="15" customHeight="1" s="195">
      <c r="A414" s="280" t="n"/>
      <c r="B414" s="280" t="n"/>
      <c r="C414" s="280" t="n"/>
      <c r="D414" s="280" t="n"/>
      <c r="E414" s="280" t="n"/>
      <c r="F414" s="280" t="n"/>
      <c r="G414" s="280" t="n"/>
      <c r="H414" s="280" t="n"/>
      <c r="I414" s="332">
        <f>IFERROR(VLOOKUP(TEXT(H414,"0"),IPRESS!$A$3:$B$212,2,0),"")</f>
        <v/>
      </c>
      <c r="J414" s="280" t="n"/>
      <c r="K414" s="332">
        <f>IFERROR(VLOOKUP(TEXT(O414,"0"),CONDUCTORES!$A$3:$G$54,7,0),"")</f>
        <v/>
      </c>
      <c r="L414" s="280" t="n"/>
      <c r="M414" s="280" t="n"/>
      <c r="N414" s="333">
        <f>IFERROR(IF(L414*M414=0,"",L414*M414),"")</f>
        <v/>
      </c>
      <c r="O414" s="280" t="n"/>
      <c r="P414" s="332">
        <f>IFERROR(VLOOKUP(TEXT(O414,"0"),CONDUCTORES!$A$3:$G$54,2,0),"")</f>
        <v/>
      </c>
      <c r="Q414" s="332">
        <f>IFERROR(VLOOKUP(TEXT(O414,"0"),CONDUCTORES!$A$3:$H$54,6,0),"")</f>
        <v/>
      </c>
      <c r="R414" s="280" t="n"/>
      <c r="S414" s="280" t="n"/>
      <c r="T414" s="280" t="n"/>
      <c r="U414" s="280" t="n"/>
      <c r="V414" s="280" t="n"/>
      <c r="W414" s="280" t="n"/>
      <c r="X414" s="280" t="n"/>
      <c r="Y414" s="280" t="n"/>
    </row>
    <row r="415" ht="15" customHeight="1" s="195">
      <c r="A415" s="334" t="n"/>
      <c r="B415" s="334" t="n"/>
      <c r="C415" s="334" t="n"/>
      <c r="D415" s="334" t="n"/>
      <c r="E415" s="334" t="n"/>
      <c r="F415" s="334" t="n"/>
      <c r="G415" s="334" t="n"/>
      <c r="H415" s="334" t="n"/>
      <c r="I415" s="332">
        <f>IFERROR(VLOOKUP(TEXT(H415,"0"),IPRESS!$A$3:$B$212,2,0),"")</f>
        <v/>
      </c>
      <c r="J415" s="334" t="n"/>
      <c r="K415" s="332">
        <f>IFERROR(VLOOKUP(TEXT(O415,"0"),CONDUCTORES!$A$3:$G$54,7,0),"")</f>
        <v/>
      </c>
      <c r="L415" s="334" t="n"/>
      <c r="M415" s="334" t="n"/>
      <c r="N415" s="333">
        <f>IFERROR(IF(L415*M415=0,"",L415*M415),"")</f>
        <v/>
      </c>
      <c r="O415" s="334" t="n"/>
      <c r="P415" s="332">
        <f>IFERROR(VLOOKUP(TEXT(O415,"0"),CONDUCTORES!$A$3:$G$54,2,0),"")</f>
        <v/>
      </c>
      <c r="Q415" s="332">
        <f>IFERROR(VLOOKUP(TEXT(O415,"0"),CONDUCTORES!$A$3:$H$54,6,0),"")</f>
        <v/>
      </c>
      <c r="R415" s="334" t="n"/>
      <c r="S415" s="334" t="n"/>
      <c r="T415" s="334" t="n"/>
      <c r="U415" s="334" t="n"/>
      <c r="V415" s="334" t="n"/>
      <c r="W415" s="334" t="n"/>
      <c r="X415" s="334" t="n"/>
      <c r="Y415" s="334" t="n"/>
    </row>
    <row r="416" ht="15" customHeight="1" s="195">
      <c r="A416" s="280" t="n"/>
      <c r="B416" s="280" t="n"/>
      <c r="C416" s="280" t="n"/>
      <c r="D416" s="280" t="n"/>
      <c r="E416" s="280" t="n"/>
      <c r="F416" s="280" t="n"/>
      <c r="G416" s="280" t="n"/>
      <c r="H416" s="280" t="n"/>
      <c r="I416" s="332">
        <f>IFERROR(VLOOKUP(TEXT(H416,"0"),IPRESS!$A$3:$B$212,2,0),"")</f>
        <v/>
      </c>
      <c r="J416" s="280" t="n"/>
      <c r="K416" s="332">
        <f>IFERROR(VLOOKUP(TEXT(O416,"0"),CONDUCTORES!$A$3:$G$54,7,0),"")</f>
        <v/>
      </c>
      <c r="L416" s="280" t="n"/>
      <c r="M416" s="280" t="n"/>
      <c r="N416" s="333">
        <f>IFERROR(IF(L416*M416=0,"",L416*M416),"")</f>
        <v/>
      </c>
      <c r="O416" s="280" t="n"/>
      <c r="P416" s="332">
        <f>IFERROR(VLOOKUP(TEXT(O416,"0"),CONDUCTORES!$A$3:$G$54,2,0),"")</f>
        <v/>
      </c>
      <c r="Q416" s="332">
        <f>IFERROR(VLOOKUP(TEXT(O416,"0"),CONDUCTORES!$A$3:$H$54,6,0),"")</f>
        <v/>
      </c>
      <c r="R416" s="280" t="n"/>
      <c r="S416" s="280" t="n"/>
      <c r="T416" s="280" t="n"/>
      <c r="U416" s="280" t="n"/>
      <c r="V416" s="280" t="n"/>
      <c r="W416" s="280" t="n"/>
      <c r="X416" s="280" t="n"/>
      <c r="Y416" s="280" t="n"/>
    </row>
    <row r="417" ht="15" customHeight="1" s="195">
      <c r="A417" s="334" t="n"/>
      <c r="B417" s="334" t="n"/>
      <c r="C417" s="334" t="n"/>
      <c r="D417" s="334" t="n"/>
      <c r="E417" s="334" t="n"/>
      <c r="F417" s="334" t="n"/>
      <c r="G417" s="334" t="n"/>
      <c r="H417" s="334" t="n"/>
      <c r="I417" s="332">
        <f>IFERROR(VLOOKUP(TEXT(H417,"0"),IPRESS!$A$3:$B$212,2,0),"")</f>
        <v/>
      </c>
      <c r="J417" s="334" t="n"/>
      <c r="K417" s="332">
        <f>IFERROR(VLOOKUP(TEXT(O417,"0"),CONDUCTORES!$A$3:$G$54,7,0),"")</f>
        <v/>
      </c>
      <c r="L417" s="334" t="n"/>
      <c r="M417" s="334" t="n"/>
      <c r="N417" s="333">
        <f>IFERROR(IF(L417*M417=0,"",L417*M417),"")</f>
        <v/>
      </c>
      <c r="O417" s="334" t="n"/>
      <c r="P417" s="332">
        <f>IFERROR(VLOOKUP(TEXT(O417,"0"),CONDUCTORES!$A$3:$G$54,2,0),"")</f>
        <v/>
      </c>
      <c r="Q417" s="332">
        <f>IFERROR(VLOOKUP(TEXT(O417,"0"),CONDUCTORES!$A$3:$H$54,6,0),"")</f>
        <v/>
      </c>
      <c r="R417" s="334" t="n"/>
      <c r="S417" s="334" t="n"/>
      <c r="T417" s="334" t="n"/>
      <c r="U417" s="334" t="n"/>
      <c r="V417" s="334" t="n"/>
      <c r="W417" s="334" t="n"/>
      <c r="X417" s="334" t="n"/>
      <c r="Y417" s="334" t="n"/>
    </row>
    <row r="418" ht="15" customHeight="1" s="195">
      <c r="A418" s="280" t="n"/>
      <c r="B418" s="280" t="n"/>
      <c r="C418" s="280" t="n"/>
      <c r="D418" s="280" t="n"/>
      <c r="E418" s="280" t="n"/>
      <c r="F418" s="280" t="n"/>
      <c r="G418" s="280" t="n"/>
      <c r="H418" s="280" t="n"/>
      <c r="I418" s="332">
        <f>IFERROR(VLOOKUP(TEXT(H418,"0"),IPRESS!$A$3:$B$212,2,0),"")</f>
        <v/>
      </c>
      <c r="J418" s="280" t="n"/>
      <c r="K418" s="332">
        <f>IFERROR(VLOOKUP(TEXT(O418,"0"),CONDUCTORES!$A$3:$G$54,7,0),"")</f>
        <v/>
      </c>
      <c r="L418" s="280" t="n"/>
      <c r="M418" s="280" t="n"/>
      <c r="N418" s="333">
        <f>IFERROR(IF(L418*M418=0,"",L418*M418),"")</f>
        <v/>
      </c>
      <c r="O418" s="280" t="n"/>
      <c r="P418" s="332">
        <f>IFERROR(VLOOKUP(TEXT(O418,"0"),CONDUCTORES!$A$3:$G$54,2,0),"")</f>
        <v/>
      </c>
      <c r="Q418" s="332">
        <f>IFERROR(VLOOKUP(TEXT(O418,"0"),CONDUCTORES!$A$3:$H$54,6,0),"")</f>
        <v/>
      </c>
      <c r="R418" s="280" t="n"/>
      <c r="S418" s="280" t="n"/>
      <c r="T418" s="280" t="n"/>
      <c r="U418" s="280" t="n"/>
      <c r="V418" s="280" t="n"/>
      <c r="W418" s="280" t="n"/>
      <c r="X418" s="280" t="n"/>
      <c r="Y418" s="280" t="n"/>
    </row>
    <row r="419" ht="15" customHeight="1" s="195">
      <c r="A419" s="334" t="n"/>
      <c r="B419" s="334" t="n"/>
      <c r="C419" s="334" t="n"/>
      <c r="D419" s="334" t="n"/>
      <c r="E419" s="334" t="n"/>
      <c r="F419" s="334" t="n"/>
      <c r="G419" s="334" t="n"/>
      <c r="H419" s="334" t="n"/>
      <c r="I419" s="332">
        <f>IFERROR(VLOOKUP(TEXT(H419,"0"),IPRESS!$A$3:$B$212,2,0),"")</f>
        <v/>
      </c>
      <c r="J419" s="334" t="n"/>
      <c r="K419" s="332">
        <f>IFERROR(VLOOKUP(TEXT(O419,"0"),CONDUCTORES!$A$3:$G$54,7,0),"")</f>
        <v/>
      </c>
      <c r="L419" s="334" t="n"/>
      <c r="M419" s="334" t="n"/>
      <c r="N419" s="333">
        <f>IFERROR(IF(L419*M419=0,"",L419*M419),"")</f>
        <v/>
      </c>
      <c r="O419" s="334" t="n"/>
      <c r="P419" s="332">
        <f>IFERROR(VLOOKUP(TEXT(O419,"0"),CONDUCTORES!$A$3:$G$54,2,0),"")</f>
        <v/>
      </c>
      <c r="Q419" s="332">
        <f>IFERROR(VLOOKUP(TEXT(O419,"0"),CONDUCTORES!$A$3:$H$54,6,0),"")</f>
        <v/>
      </c>
      <c r="R419" s="334" t="n"/>
      <c r="S419" s="334" t="n"/>
      <c r="T419" s="334" t="n"/>
      <c r="U419" s="334" t="n"/>
      <c r="V419" s="334" t="n"/>
      <c r="W419" s="334" t="n"/>
      <c r="X419" s="334" t="n"/>
      <c r="Y419" s="334" t="n"/>
    </row>
    <row r="420" ht="15" customHeight="1" s="195">
      <c r="A420" s="280" t="n"/>
      <c r="B420" s="280" t="n"/>
      <c r="C420" s="280" t="n"/>
      <c r="D420" s="280" t="n"/>
      <c r="E420" s="280" t="n"/>
      <c r="F420" s="280" t="n"/>
      <c r="G420" s="280" t="n"/>
      <c r="H420" s="280" t="n"/>
      <c r="I420" s="332">
        <f>IFERROR(VLOOKUP(TEXT(H420,"0"),IPRESS!$A$3:$B$212,2,0),"")</f>
        <v/>
      </c>
      <c r="J420" s="280" t="n"/>
      <c r="K420" s="332">
        <f>IFERROR(VLOOKUP(TEXT(O420,"0"),CONDUCTORES!$A$3:$G$54,7,0),"")</f>
        <v/>
      </c>
      <c r="L420" s="280" t="n"/>
      <c r="M420" s="280" t="n"/>
      <c r="N420" s="333">
        <f>IFERROR(IF(L420*M420=0,"",L420*M420),"")</f>
        <v/>
      </c>
      <c r="O420" s="280" t="n"/>
      <c r="P420" s="332">
        <f>IFERROR(VLOOKUP(TEXT(O420,"0"),CONDUCTORES!$A$3:$G$54,2,0),"")</f>
        <v/>
      </c>
      <c r="Q420" s="332">
        <f>IFERROR(VLOOKUP(TEXT(O420,"0"),CONDUCTORES!$A$3:$H$54,6,0),"")</f>
        <v/>
      </c>
      <c r="R420" s="280" t="n"/>
      <c r="S420" s="280" t="n"/>
      <c r="T420" s="280" t="n"/>
      <c r="U420" s="280" t="n"/>
      <c r="V420" s="280" t="n"/>
      <c r="W420" s="280" t="n"/>
      <c r="X420" s="280" t="n"/>
      <c r="Y420" s="280" t="n"/>
    </row>
    <row r="421" ht="15" customHeight="1" s="195">
      <c r="A421" s="334" t="n"/>
      <c r="B421" s="334" t="n"/>
      <c r="C421" s="334" t="n"/>
      <c r="D421" s="334" t="n"/>
      <c r="E421" s="334" t="n"/>
      <c r="F421" s="334" t="n"/>
      <c r="G421" s="334" t="n"/>
      <c r="H421" s="334" t="n"/>
      <c r="I421" s="332">
        <f>IFERROR(VLOOKUP(TEXT(H421,"0"),IPRESS!$A$3:$B$212,2,0),"")</f>
        <v/>
      </c>
      <c r="J421" s="334" t="n"/>
      <c r="K421" s="332">
        <f>IFERROR(VLOOKUP(TEXT(O421,"0"),CONDUCTORES!$A$3:$G$54,7,0),"")</f>
        <v/>
      </c>
      <c r="L421" s="334" t="n"/>
      <c r="M421" s="334" t="n"/>
      <c r="N421" s="333">
        <f>IFERROR(IF(L421*M421=0,"",L421*M421),"")</f>
        <v/>
      </c>
      <c r="O421" s="334" t="n"/>
      <c r="P421" s="332">
        <f>IFERROR(VLOOKUP(TEXT(O421,"0"),CONDUCTORES!$A$3:$G$54,2,0),"")</f>
        <v/>
      </c>
      <c r="Q421" s="332">
        <f>IFERROR(VLOOKUP(TEXT(O421,"0"),CONDUCTORES!$A$3:$H$54,6,0),"")</f>
        <v/>
      </c>
      <c r="R421" s="334" t="n"/>
      <c r="S421" s="334" t="n"/>
      <c r="T421" s="334" t="n"/>
      <c r="U421" s="334" t="n"/>
      <c r="V421" s="334" t="n"/>
      <c r="W421" s="334" t="n"/>
      <c r="X421" s="334" t="n"/>
      <c r="Y421" s="334" t="n"/>
    </row>
    <row r="422" ht="15" customHeight="1" s="195">
      <c r="A422" s="280" t="n"/>
      <c r="B422" s="280" t="n"/>
      <c r="C422" s="280" t="n"/>
      <c r="D422" s="280" t="n"/>
      <c r="E422" s="280" t="n"/>
      <c r="F422" s="280" t="n"/>
      <c r="G422" s="280" t="n"/>
      <c r="H422" s="280" t="n"/>
      <c r="I422" s="332">
        <f>IFERROR(VLOOKUP(TEXT(H422,"0"),IPRESS!$A$3:$B$212,2,0),"")</f>
        <v/>
      </c>
      <c r="J422" s="280" t="n"/>
      <c r="K422" s="332">
        <f>IFERROR(VLOOKUP(TEXT(O422,"0"),CONDUCTORES!$A$3:$G$54,7,0),"")</f>
        <v/>
      </c>
      <c r="L422" s="280" t="n"/>
      <c r="M422" s="280" t="n"/>
      <c r="N422" s="333">
        <f>IFERROR(IF(L422*M422=0,"",L422*M422),"")</f>
        <v/>
      </c>
      <c r="O422" s="280" t="n"/>
      <c r="P422" s="332">
        <f>IFERROR(VLOOKUP(TEXT(O422,"0"),CONDUCTORES!$A$3:$G$54,2,0),"")</f>
        <v/>
      </c>
      <c r="Q422" s="332">
        <f>IFERROR(VLOOKUP(TEXT(O422,"0"),CONDUCTORES!$A$3:$H$54,6,0),"")</f>
        <v/>
      </c>
      <c r="R422" s="280" t="n"/>
      <c r="S422" s="280" t="n"/>
      <c r="T422" s="280" t="n"/>
      <c r="U422" s="280" t="n"/>
      <c r="V422" s="280" t="n"/>
      <c r="W422" s="280" t="n"/>
      <c r="X422" s="280" t="n"/>
      <c r="Y422" s="280" t="n"/>
    </row>
    <row r="423" ht="15" customHeight="1" s="195">
      <c r="A423" s="334" t="n"/>
      <c r="B423" s="334" t="n"/>
      <c r="C423" s="334" t="n"/>
      <c r="D423" s="334" t="n"/>
      <c r="E423" s="334" t="n"/>
      <c r="F423" s="334" t="n"/>
      <c r="G423" s="334" t="n"/>
      <c r="H423" s="334" t="n"/>
      <c r="I423" s="332">
        <f>IFERROR(VLOOKUP(TEXT(H423,"0"),IPRESS!$A$3:$B$212,2,0),"")</f>
        <v/>
      </c>
      <c r="J423" s="334" t="n"/>
      <c r="K423" s="332">
        <f>IFERROR(VLOOKUP(TEXT(O423,"0"),CONDUCTORES!$A$3:$G$54,7,0),"")</f>
        <v/>
      </c>
      <c r="L423" s="334" t="n"/>
      <c r="M423" s="334" t="n"/>
      <c r="N423" s="333">
        <f>IFERROR(IF(L423*M423=0,"",L423*M423),"")</f>
        <v/>
      </c>
      <c r="O423" s="334" t="n"/>
      <c r="P423" s="332">
        <f>IFERROR(VLOOKUP(TEXT(O423,"0"),CONDUCTORES!$A$3:$G$54,2,0),"")</f>
        <v/>
      </c>
      <c r="Q423" s="332">
        <f>IFERROR(VLOOKUP(TEXT(O423,"0"),CONDUCTORES!$A$3:$H$54,6,0),"")</f>
        <v/>
      </c>
      <c r="R423" s="334" t="n"/>
      <c r="S423" s="334" t="n"/>
      <c r="T423" s="334" t="n"/>
      <c r="U423" s="334" t="n"/>
      <c r="V423" s="334" t="n"/>
      <c r="W423" s="334" t="n"/>
      <c r="X423" s="334" t="n"/>
      <c r="Y423" s="334" t="n"/>
    </row>
    <row r="424" ht="15" customHeight="1" s="195">
      <c r="A424" s="280" t="n"/>
      <c r="B424" s="280" t="n"/>
      <c r="C424" s="280" t="n"/>
      <c r="D424" s="280" t="n"/>
      <c r="E424" s="280" t="n"/>
      <c r="F424" s="280" t="n"/>
      <c r="G424" s="280" t="n"/>
      <c r="H424" s="280" t="n"/>
      <c r="I424" s="332">
        <f>IFERROR(VLOOKUP(TEXT(H424,"0"),IPRESS!$A$3:$B$212,2,0),"")</f>
        <v/>
      </c>
      <c r="J424" s="280" t="n"/>
      <c r="K424" s="332">
        <f>IFERROR(VLOOKUP(TEXT(O424,"0"),CONDUCTORES!$A$3:$G$54,7,0),"")</f>
        <v/>
      </c>
      <c r="L424" s="280" t="n"/>
      <c r="M424" s="280" t="n"/>
      <c r="N424" s="333">
        <f>IFERROR(IF(L424*M424=0,"",L424*M424),"")</f>
        <v/>
      </c>
      <c r="O424" s="280" t="n"/>
      <c r="P424" s="332">
        <f>IFERROR(VLOOKUP(TEXT(O424,"0"),CONDUCTORES!$A$3:$G$54,2,0),"")</f>
        <v/>
      </c>
      <c r="Q424" s="332">
        <f>IFERROR(VLOOKUP(TEXT(O424,"0"),CONDUCTORES!$A$3:$H$54,6,0),"")</f>
        <v/>
      </c>
      <c r="R424" s="280" t="n"/>
      <c r="S424" s="280" t="n"/>
      <c r="T424" s="280" t="n"/>
      <c r="U424" s="280" t="n"/>
      <c r="V424" s="280" t="n"/>
      <c r="W424" s="280" t="n"/>
      <c r="X424" s="280" t="n"/>
      <c r="Y424" s="280" t="n"/>
    </row>
    <row r="425" ht="15" customHeight="1" s="195">
      <c r="A425" s="334" t="n"/>
      <c r="B425" s="334" t="n"/>
      <c r="C425" s="334" t="n"/>
      <c r="D425" s="334" t="n"/>
      <c r="E425" s="334" t="n"/>
      <c r="F425" s="334" t="n"/>
      <c r="G425" s="334" t="n"/>
      <c r="H425" s="334" t="n"/>
      <c r="I425" s="332">
        <f>IFERROR(VLOOKUP(TEXT(H425,"0"),IPRESS!$A$3:$B$212,2,0),"")</f>
        <v/>
      </c>
      <c r="J425" s="334" t="n"/>
      <c r="K425" s="332">
        <f>IFERROR(VLOOKUP(TEXT(O425,"0"),CONDUCTORES!$A$3:$G$54,7,0),"")</f>
        <v/>
      </c>
      <c r="L425" s="334" t="n"/>
      <c r="M425" s="334" t="n"/>
      <c r="N425" s="333">
        <f>IFERROR(IF(L425*M425=0,"",L425*M425),"")</f>
        <v/>
      </c>
      <c r="O425" s="334" t="n"/>
      <c r="P425" s="332">
        <f>IFERROR(VLOOKUP(TEXT(O425,"0"),CONDUCTORES!$A$3:$G$54,2,0),"")</f>
        <v/>
      </c>
      <c r="Q425" s="332">
        <f>IFERROR(VLOOKUP(TEXT(O425,"0"),CONDUCTORES!$A$3:$H$54,6,0),"")</f>
        <v/>
      </c>
      <c r="R425" s="334" t="n"/>
      <c r="S425" s="334" t="n"/>
      <c r="T425" s="334" t="n"/>
      <c r="U425" s="334" t="n"/>
      <c r="V425" s="334" t="n"/>
      <c r="W425" s="334" t="n"/>
      <c r="X425" s="334" t="n"/>
      <c r="Y425" s="334" t="n"/>
    </row>
    <row r="426" ht="15" customHeight="1" s="195">
      <c r="A426" s="280" t="n"/>
      <c r="B426" s="280" t="n"/>
      <c r="C426" s="280" t="n"/>
      <c r="D426" s="280" t="n"/>
      <c r="E426" s="280" t="n"/>
      <c r="F426" s="280" t="n"/>
      <c r="G426" s="280" t="n"/>
      <c r="H426" s="280" t="n"/>
      <c r="I426" s="332">
        <f>IFERROR(VLOOKUP(TEXT(H426,"0"),IPRESS!$A$3:$B$212,2,0),"")</f>
        <v/>
      </c>
      <c r="J426" s="280" t="n"/>
      <c r="K426" s="332">
        <f>IFERROR(VLOOKUP(TEXT(O426,"0"),CONDUCTORES!$A$3:$G$54,7,0),"")</f>
        <v/>
      </c>
      <c r="L426" s="280" t="n"/>
      <c r="M426" s="280" t="n"/>
      <c r="N426" s="333">
        <f>IFERROR(IF(L426*M426=0,"",L426*M426),"")</f>
        <v/>
      </c>
      <c r="O426" s="280" t="n"/>
      <c r="P426" s="332">
        <f>IFERROR(VLOOKUP(TEXT(O426,"0"),CONDUCTORES!$A$3:$G$54,2,0),"")</f>
        <v/>
      </c>
      <c r="Q426" s="332">
        <f>IFERROR(VLOOKUP(TEXT(O426,"0"),CONDUCTORES!$A$3:$H$54,6,0),"")</f>
        <v/>
      </c>
      <c r="R426" s="280" t="n"/>
      <c r="S426" s="280" t="n"/>
      <c r="T426" s="280" t="n"/>
      <c r="U426" s="280" t="n"/>
      <c r="V426" s="280" t="n"/>
      <c r="W426" s="280" t="n"/>
      <c r="X426" s="280" t="n"/>
      <c r="Y426" s="280" t="n"/>
    </row>
    <row r="427" ht="15" customHeight="1" s="195">
      <c r="A427" s="334" t="n"/>
      <c r="B427" s="334" t="n"/>
      <c r="C427" s="334" t="n"/>
      <c r="D427" s="334" t="n"/>
      <c r="E427" s="334" t="n"/>
      <c r="F427" s="334" t="n"/>
      <c r="G427" s="334" t="n"/>
      <c r="H427" s="334" t="n"/>
      <c r="I427" s="332">
        <f>IFERROR(VLOOKUP(TEXT(H427,"0"),IPRESS!$A$3:$B$212,2,0),"")</f>
        <v/>
      </c>
      <c r="J427" s="334" t="n"/>
      <c r="K427" s="332">
        <f>IFERROR(VLOOKUP(TEXT(O427,"0"),CONDUCTORES!$A$3:$G$54,7,0),"")</f>
        <v/>
      </c>
      <c r="L427" s="334" t="n"/>
      <c r="M427" s="334" t="n"/>
      <c r="N427" s="333">
        <f>IFERROR(IF(L427*M427=0,"",L427*M427),"")</f>
        <v/>
      </c>
      <c r="O427" s="334" t="n"/>
      <c r="P427" s="332">
        <f>IFERROR(VLOOKUP(TEXT(O427,"0"),CONDUCTORES!$A$3:$G$54,2,0),"")</f>
        <v/>
      </c>
      <c r="Q427" s="332">
        <f>IFERROR(VLOOKUP(TEXT(O427,"0"),CONDUCTORES!$A$3:$H$54,6,0),"")</f>
        <v/>
      </c>
      <c r="R427" s="334" t="n"/>
      <c r="S427" s="334" t="n"/>
      <c r="T427" s="334" t="n"/>
      <c r="U427" s="334" t="n"/>
      <c r="V427" s="334" t="n"/>
      <c r="W427" s="334" t="n"/>
      <c r="X427" s="334" t="n"/>
      <c r="Y427" s="334" t="n"/>
    </row>
    <row r="428" ht="15" customHeight="1" s="195">
      <c r="A428" s="280" t="n"/>
      <c r="B428" s="280" t="n"/>
      <c r="C428" s="280" t="n"/>
      <c r="D428" s="280" t="n"/>
      <c r="E428" s="280" t="n"/>
      <c r="F428" s="280" t="n"/>
      <c r="G428" s="280" t="n"/>
      <c r="H428" s="280" t="n"/>
      <c r="I428" s="332">
        <f>IFERROR(VLOOKUP(TEXT(H428,"0"),IPRESS!$A$3:$B$212,2,0),"")</f>
        <v/>
      </c>
      <c r="J428" s="280" t="n"/>
      <c r="K428" s="332">
        <f>IFERROR(VLOOKUP(TEXT(O428,"0"),CONDUCTORES!$A$3:$G$54,7,0),"")</f>
        <v/>
      </c>
      <c r="L428" s="280" t="n"/>
      <c r="M428" s="280" t="n"/>
      <c r="N428" s="333">
        <f>IFERROR(IF(L428*M428=0,"",L428*M428),"")</f>
        <v/>
      </c>
      <c r="O428" s="280" t="n"/>
      <c r="P428" s="332">
        <f>IFERROR(VLOOKUP(TEXT(O428,"0"),CONDUCTORES!$A$3:$G$54,2,0),"")</f>
        <v/>
      </c>
      <c r="Q428" s="332">
        <f>IFERROR(VLOOKUP(TEXT(O428,"0"),CONDUCTORES!$A$3:$H$54,6,0),"")</f>
        <v/>
      </c>
      <c r="R428" s="280" t="n"/>
      <c r="S428" s="280" t="n"/>
      <c r="T428" s="280" t="n"/>
      <c r="U428" s="280" t="n"/>
      <c r="V428" s="280" t="n"/>
      <c r="W428" s="280" t="n"/>
      <c r="X428" s="280" t="n"/>
      <c r="Y428" s="280" t="n"/>
    </row>
    <row r="429" ht="15" customHeight="1" s="195">
      <c r="A429" s="334" t="n"/>
      <c r="B429" s="334" t="n"/>
      <c r="C429" s="334" t="n"/>
      <c r="D429" s="334" t="n"/>
      <c r="E429" s="334" t="n"/>
      <c r="F429" s="334" t="n"/>
      <c r="G429" s="334" t="n"/>
      <c r="H429" s="334" t="n"/>
      <c r="I429" s="332">
        <f>IFERROR(VLOOKUP(TEXT(H429,"0"),IPRESS!$A$3:$B$212,2,0),"")</f>
        <v/>
      </c>
      <c r="J429" s="334" t="n"/>
      <c r="K429" s="332">
        <f>IFERROR(VLOOKUP(TEXT(O429,"0"),CONDUCTORES!$A$3:$G$54,7,0),"")</f>
        <v/>
      </c>
      <c r="L429" s="334" t="n"/>
      <c r="M429" s="334" t="n"/>
      <c r="N429" s="333">
        <f>IFERROR(IF(L429*M429=0,"",L429*M429),"")</f>
        <v/>
      </c>
      <c r="O429" s="334" t="n"/>
      <c r="P429" s="332">
        <f>IFERROR(VLOOKUP(TEXT(O429,"0"),CONDUCTORES!$A$3:$G$54,2,0),"")</f>
        <v/>
      </c>
      <c r="Q429" s="332">
        <f>IFERROR(VLOOKUP(TEXT(O429,"0"),CONDUCTORES!$A$3:$H$54,6,0),"")</f>
        <v/>
      </c>
      <c r="R429" s="334" t="n"/>
      <c r="S429" s="334" t="n"/>
      <c r="T429" s="334" t="n"/>
      <c r="U429" s="334" t="n"/>
      <c r="V429" s="334" t="n"/>
      <c r="W429" s="334" t="n"/>
      <c r="X429" s="334" t="n"/>
      <c r="Y429" s="334" t="n"/>
    </row>
    <row r="430" ht="15" customHeight="1" s="195">
      <c r="A430" s="280" t="n"/>
      <c r="B430" s="280" t="n"/>
      <c r="C430" s="280" t="n"/>
      <c r="D430" s="280" t="n"/>
      <c r="E430" s="280" t="n"/>
      <c r="F430" s="280" t="n"/>
      <c r="G430" s="280" t="n"/>
      <c r="H430" s="280" t="n"/>
      <c r="I430" s="332">
        <f>IFERROR(VLOOKUP(TEXT(H430,"0"),IPRESS!$A$3:$B$212,2,0),"")</f>
        <v/>
      </c>
      <c r="J430" s="280" t="n"/>
      <c r="K430" s="332">
        <f>IFERROR(VLOOKUP(TEXT(O430,"0"),CONDUCTORES!$A$3:$G$54,7,0),"")</f>
        <v/>
      </c>
      <c r="L430" s="280" t="n"/>
      <c r="M430" s="280" t="n"/>
      <c r="N430" s="333">
        <f>IFERROR(IF(L430*M430=0,"",L430*M430),"")</f>
        <v/>
      </c>
      <c r="O430" s="280" t="n"/>
      <c r="P430" s="332">
        <f>IFERROR(VLOOKUP(TEXT(O430,"0"),CONDUCTORES!$A$3:$G$54,2,0),"")</f>
        <v/>
      </c>
      <c r="Q430" s="332">
        <f>IFERROR(VLOOKUP(TEXT(O430,"0"),CONDUCTORES!$A$3:$H$54,6,0),"")</f>
        <v/>
      </c>
      <c r="R430" s="280" t="n"/>
      <c r="S430" s="280" t="n"/>
      <c r="T430" s="280" t="n"/>
      <c r="U430" s="280" t="n"/>
      <c r="V430" s="280" t="n"/>
      <c r="W430" s="280" t="n"/>
      <c r="X430" s="280" t="n"/>
      <c r="Y430" s="280" t="n"/>
    </row>
    <row r="431" ht="15" customHeight="1" s="195">
      <c r="A431" s="334" t="n"/>
      <c r="B431" s="334" t="n"/>
      <c r="C431" s="334" t="n"/>
      <c r="D431" s="334" t="n"/>
      <c r="E431" s="334" t="n"/>
      <c r="F431" s="334" t="n"/>
      <c r="G431" s="334" t="n"/>
      <c r="H431" s="334" t="n"/>
      <c r="I431" s="332">
        <f>IFERROR(VLOOKUP(TEXT(H431,"0"),IPRESS!$A$3:$B$212,2,0),"")</f>
        <v/>
      </c>
      <c r="J431" s="334" t="n"/>
      <c r="K431" s="332">
        <f>IFERROR(VLOOKUP(TEXT(O431,"0"),CONDUCTORES!$A$3:$G$54,7,0),"")</f>
        <v/>
      </c>
      <c r="L431" s="334" t="n"/>
      <c r="M431" s="334" t="n"/>
      <c r="N431" s="333">
        <f>IFERROR(IF(L431*M431=0,"",L431*M431),"")</f>
        <v/>
      </c>
      <c r="O431" s="334" t="n"/>
      <c r="P431" s="332">
        <f>IFERROR(VLOOKUP(TEXT(O431,"0"),CONDUCTORES!$A$3:$G$54,2,0),"")</f>
        <v/>
      </c>
      <c r="Q431" s="332">
        <f>IFERROR(VLOOKUP(TEXT(O431,"0"),CONDUCTORES!$A$3:$H$54,6,0),"")</f>
        <v/>
      </c>
      <c r="R431" s="334" t="n"/>
      <c r="S431" s="334" t="n"/>
      <c r="T431" s="334" t="n"/>
      <c r="U431" s="334" t="n"/>
      <c r="V431" s="334" t="n"/>
      <c r="W431" s="334" t="n"/>
      <c r="X431" s="334" t="n"/>
      <c r="Y431" s="334" t="n"/>
    </row>
    <row r="432" ht="15" customHeight="1" s="195">
      <c r="A432" s="280" t="n"/>
      <c r="B432" s="280" t="n"/>
      <c r="C432" s="280" t="n"/>
      <c r="D432" s="280" t="n"/>
      <c r="E432" s="280" t="n"/>
      <c r="F432" s="280" t="n"/>
      <c r="G432" s="280" t="n"/>
      <c r="H432" s="280" t="n"/>
      <c r="I432" s="332">
        <f>IFERROR(VLOOKUP(TEXT(H432,"0"),IPRESS!$A$3:$B$212,2,0),"")</f>
        <v/>
      </c>
      <c r="J432" s="280" t="n"/>
      <c r="K432" s="332">
        <f>IFERROR(VLOOKUP(TEXT(O432,"0"),CONDUCTORES!$A$3:$G$54,7,0),"")</f>
        <v/>
      </c>
      <c r="L432" s="280" t="n"/>
      <c r="M432" s="280" t="n"/>
      <c r="N432" s="333">
        <f>IFERROR(IF(L432*M432=0,"",L432*M432),"")</f>
        <v/>
      </c>
      <c r="O432" s="280" t="n"/>
      <c r="P432" s="332">
        <f>IFERROR(VLOOKUP(TEXT(O432,"0"),CONDUCTORES!$A$3:$G$54,2,0),"")</f>
        <v/>
      </c>
      <c r="Q432" s="332">
        <f>IFERROR(VLOOKUP(TEXT(O432,"0"),CONDUCTORES!$A$3:$H$54,6,0),"")</f>
        <v/>
      </c>
      <c r="R432" s="280" t="n"/>
      <c r="S432" s="280" t="n"/>
      <c r="T432" s="280" t="n"/>
      <c r="U432" s="280" t="n"/>
      <c r="V432" s="280" t="n"/>
      <c r="W432" s="280" t="n"/>
      <c r="X432" s="280" t="n"/>
      <c r="Y432" s="280" t="n"/>
    </row>
    <row r="433" ht="15" customHeight="1" s="195">
      <c r="A433" s="334" t="n"/>
      <c r="B433" s="334" t="n"/>
      <c r="C433" s="334" t="n"/>
      <c r="D433" s="334" t="n"/>
      <c r="E433" s="334" t="n"/>
      <c r="F433" s="334" t="n"/>
      <c r="G433" s="334" t="n"/>
      <c r="H433" s="334" t="n"/>
      <c r="I433" s="332">
        <f>IFERROR(VLOOKUP(TEXT(H433,"0"),IPRESS!$A$3:$B$212,2,0),"")</f>
        <v/>
      </c>
      <c r="J433" s="334" t="n"/>
      <c r="K433" s="332">
        <f>IFERROR(VLOOKUP(TEXT(O433,"0"),CONDUCTORES!$A$3:$G$54,7,0),"")</f>
        <v/>
      </c>
      <c r="L433" s="334" t="n"/>
      <c r="M433" s="334" t="n"/>
      <c r="N433" s="333">
        <f>IFERROR(IF(L433*M433=0,"",L433*M433),"")</f>
        <v/>
      </c>
      <c r="O433" s="334" t="n"/>
      <c r="P433" s="332">
        <f>IFERROR(VLOOKUP(TEXT(O433,"0"),CONDUCTORES!$A$3:$G$54,2,0),"")</f>
        <v/>
      </c>
      <c r="Q433" s="332">
        <f>IFERROR(VLOOKUP(TEXT(O433,"0"),CONDUCTORES!$A$3:$H$54,6,0),"")</f>
        <v/>
      </c>
      <c r="R433" s="334" t="n"/>
      <c r="S433" s="334" t="n"/>
      <c r="T433" s="334" t="n"/>
      <c r="U433" s="334" t="n"/>
      <c r="V433" s="334" t="n"/>
      <c r="W433" s="334" t="n"/>
      <c r="X433" s="334" t="n"/>
      <c r="Y433" s="334" t="n"/>
    </row>
    <row r="434" ht="15" customHeight="1" s="195">
      <c r="A434" s="280" t="n"/>
      <c r="B434" s="280" t="n"/>
      <c r="C434" s="280" t="n"/>
      <c r="D434" s="280" t="n"/>
      <c r="E434" s="280" t="n"/>
      <c r="F434" s="280" t="n"/>
      <c r="G434" s="280" t="n"/>
      <c r="H434" s="280" t="n"/>
      <c r="I434" s="332">
        <f>IFERROR(VLOOKUP(TEXT(H434,"0"),IPRESS!$A$3:$B$212,2,0),"")</f>
        <v/>
      </c>
      <c r="J434" s="280" t="n"/>
      <c r="K434" s="332">
        <f>IFERROR(VLOOKUP(TEXT(O434,"0"),CONDUCTORES!$A$3:$G$54,7,0),"")</f>
        <v/>
      </c>
      <c r="L434" s="280" t="n"/>
      <c r="M434" s="280" t="n"/>
      <c r="N434" s="333">
        <f>IFERROR(IF(L434*M434=0,"",L434*M434),"")</f>
        <v/>
      </c>
      <c r="O434" s="280" t="n"/>
      <c r="P434" s="332">
        <f>IFERROR(VLOOKUP(TEXT(O434,"0"),CONDUCTORES!$A$3:$G$54,2,0),"")</f>
        <v/>
      </c>
      <c r="Q434" s="332">
        <f>IFERROR(VLOOKUP(TEXT(O434,"0"),CONDUCTORES!$A$3:$H$54,6,0),"")</f>
        <v/>
      </c>
      <c r="R434" s="280" t="n"/>
      <c r="S434" s="280" t="n"/>
      <c r="T434" s="280" t="n"/>
      <c r="U434" s="280" t="n"/>
      <c r="V434" s="280" t="n"/>
      <c r="W434" s="280" t="n"/>
      <c r="X434" s="280" t="n"/>
      <c r="Y434" s="280" t="n"/>
    </row>
    <row r="435" ht="15" customHeight="1" s="195">
      <c r="A435" s="334" t="n"/>
      <c r="B435" s="334" t="n"/>
      <c r="C435" s="334" t="n"/>
      <c r="D435" s="334" t="n"/>
      <c r="E435" s="334" t="n"/>
      <c r="F435" s="334" t="n"/>
      <c r="G435" s="334" t="n"/>
      <c r="H435" s="334" t="n"/>
      <c r="I435" s="332">
        <f>IFERROR(VLOOKUP(TEXT(H435,"0"),IPRESS!$A$3:$B$212,2,0),"")</f>
        <v/>
      </c>
      <c r="J435" s="334" t="n"/>
      <c r="K435" s="332">
        <f>IFERROR(VLOOKUP(TEXT(O435,"0"),CONDUCTORES!$A$3:$G$54,7,0),"")</f>
        <v/>
      </c>
      <c r="L435" s="334" t="n"/>
      <c r="M435" s="334" t="n"/>
      <c r="N435" s="333">
        <f>IFERROR(IF(L435*M435=0,"",L435*M435),"")</f>
        <v/>
      </c>
      <c r="O435" s="334" t="n"/>
      <c r="P435" s="332">
        <f>IFERROR(VLOOKUP(TEXT(O435,"0"),CONDUCTORES!$A$3:$G$54,2,0),"")</f>
        <v/>
      </c>
      <c r="Q435" s="332">
        <f>IFERROR(VLOOKUP(TEXT(O435,"0"),CONDUCTORES!$A$3:$H$54,6,0),"")</f>
        <v/>
      </c>
      <c r="R435" s="334" t="n"/>
      <c r="S435" s="334" t="n"/>
      <c r="T435" s="334" t="n"/>
      <c r="U435" s="334" t="n"/>
      <c r="V435" s="334" t="n"/>
      <c r="W435" s="334" t="n"/>
      <c r="X435" s="334" t="n"/>
      <c r="Y435" s="334" t="n"/>
    </row>
    <row r="436" ht="15" customHeight="1" s="195">
      <c r="A436" s="280" t="n"/>
      <c r="B436" s="280" t="n"/>
      <c r="C436" s="280" t="n"/>
      <c r="D436" s="280" t="n"/>
      <c r="E436" s="280" t="n"/>
      <c r="F436" s="280" t="n"/>
      <c r="G436" s="280" t="n"/>
      <c r="H436" s="280" t="n"/>
      <c r="I436" s="332">
        <f>IFERROR(VLOOKUP(TEXT(H436,"0"),IPRESS!$A$3:$B$212,2,0),"")</f>
        <v/>
      </c>
      <c r="J436" s="280" t="n"/>
      <c r="K436" s="332">
        <f>IFERROR(VLOOKUP(TEXT(O436,"0"),CONDUCTORES!$A$3:$G$54,7,0),"")</f>
        <v/>
      </c>
      <c r="L436" s="280" t="n"/>
      <c r="M436" s="280" t="n"/>
      <c r="N436" s="333">
        <f>IFERROR(IF(L436*M436=0,"",L436*M436),"")</f>
        <v/>
      </c>
      <c r="O436" s="280" t="n"/>
      <c r="P436" s="332">
        <f>IFERROR(VLOOKUP(TEXT(O436,"0"),CONDUCTORES!$A$3:$G$54,2,0),"")</f>
        <v/>
      </c>
      <c r="Q436" s="332">
        <f>IFERROR(VLOOKUP(TEXT(O436,"0"),CONDUCTORES!$A$3:$H$54,6,0),"")</f>
        <v/>
      </c>
      <c r="R436" s="280" t="n"/>
      <c r="S436" s="280" t="n"/>
      <c r="T436" s="280" t="n"/>
      <c r="U436" s="280" t="n"/>
      <c r="V436" s="280" t="n"/>
      <c r="W436" s="280" t="n"/>
      <c r="X436" s="280" t="n"/>
      <c r="Y436" s="280" t="n"/>
    </row>
    <row r="437" ht="15" customHeight="1" s="195">
      <c r="A437" s="334" t="n"/>
      <c r="B437" s="334" t="n"/>
      <c r="C437" s="334" t="n"/>
      <c r="D437" s="334" t="n"/>
      <c r="E437" s="334" t="n"/>
      <c r="F437" s="334" t="n"/>
      <c r="G437" s="334" t="n"/>
      <c r="H437" s="334" t="n"/>
      <c r="I437" s="332">
        <f>IFERROR(VLOOKUP(TEXT(H437,"0"),IPRESS!$A$3:$B$212,2,0),"")</f>
        <v/>
      </c>
      <c r="J437" s="334" t="n"/>
      <c r="K437" s="332">
        <f>IFERROR(VLOOKUP(TEXT(O437,"0"),CONDUCTORES!$A$3:$G$54,7,0),"")</f>
        <v/>
      </c>
      <c r="L437" s="334" t="n"/>
      <c r="M437" s="334" t="n"/>
      <c r="N437" s="333">
        <f>IFERROR(IF(L437*M437=0,"",L437*M437),"")</f>
        <v/>
      </c>
      <c r="O437" s="334" t="n"/>
      <c r="P437" s="332">
        <f>IFERROR(VLOOKUP(TEXT(O437,"0"),CONDUCTORES!$A$3:$G$54,2,0),"")</f>
        <v/>
      </c>
      <c r="Q437" s="332">
        <f>IFERROR(VLOOKUP(TEXT(O437,"0"),CONDUCTORES!$A$3:$H$54,6,0),"")</f>
        <v/>
      </c>
      <c r="R437" s="334" t="n"/>
      <c r="S437" s="334" t="n"/>
      <c r="T437" s="334" t="n"/>
      <c r="U437" s="334" t="n"/>
      <c r="V437" s="334" t="n"/>
      <c r="W437" s="334" t="n"/>
      <c r="X437" s="334" t="n"/>
      <c r="Y437" s="334" t="n"/>
    </row>
    <row r="438" ht="15" customHeight="1" s="195">
      <c r="A438" s="280" t="n"/>
      <c r="B438" s="280" t="n"/>
      <c r="C438" s="280" t="n"/>
      <c r="D438" s="280" t="n"/>
      <c r="E438" s="280" t="n"/>
      <c r="F438" s="280" t="n"/>
      <c r="G438" s="280" t="n"/>
      <c r="H438" s="280" t="n"/>
      <c r="I438" s="332">
        <f>IFERROR(VLOOKUP(TEXT(H438,"0"),IPRESS!$A$3:$B$212,2,0),"")</f>
        <v/>
      </c>
      <c r="J438" s="280" t="n"/>
      <c r="K438" s="332">
        <f>IFERROR(VLOOKUP(TEXT(O438,"0"),CONDUCTORES!$A$3:$G$54,7,0),"")</f>
        <v/>
      </c>
      <c r="L438" s="280" t="n"/>
      <c r="M438" s="280" t="n"/>
      <c r="N438" s="333">
        <f>IFERROR(IF(L438*M438=0,"",L438*M438),"")</f>
        <v/>
      </c>
      <c r="O438" s="280" t="n"/>
      <c r="P438" s="332">
        <f>IFERROR(VLOOKUP(TEXT(O438,"0"),CONDUCTORES!$A$3:$G$54,2,0),"")</f>
        <v/>
      </c>
      <c r="Q438" s="332">
        <f>IFERROR(VLOOKUP(TEXT(O438,"0"),CONDUCTORES!$A$3:$H$54,6,0),"")</f>
        <v/>
      </c>
      <c r="R438" s="280" t="n"/>
      <c r="S438" s="280" t="n"/>
      <c r="T438" s="280" t="n"/>
      <c r="U438" s="280" t="n"/>
      <c r="V438" s="280" t="n"/>
      <c r="W438" s="280" t="n"/>
      <c r="X438" s="280" t="n"/>
      <c r="Y438" s="280" t="n"/>
    </row>
    <row r="439" ht="15" customHeight="1" s="195">
      <c r="A439" s="334" t="n"/>
      <c r="B439" s="334" t="n"/>
      <c r="C439" s="334" t="n"/>
      <c r="D439" s="334" t="n"/>
      <c r="E439" s="334" t="n"/>
      <c r="F439" s="334" t="n"/>
      <c r="G439" s="334" t="n"/>
      <c r="H439" s="334" t="n"/>
      <c r="I439" s="332">
        <f>IFERROR(VLOOKUP(TEXT(H439,"0"),IPRESS!$A$3:$B$212,2,0),"")</f>
        <v/>
      </c>
      <c r="J439" s="334" t="n"/>
      <c r="K439" s="332">
        <f>IFERROR(VLOOKUP(TEXT(O439,"0"),CONDUCTORES!$A$3:$G$54,7,0),"")</f>
        <v/>
      </c>
      <c r="L439" s="334" t="n"/>
      <c r="M439" s="334" t="n"/>
      <c r="N439" s="333">
        <f>IFERROR(IF(L439*M439=0,"",L439*M439),"")</f>
        <v/>
      </c>
      <c r="O439" s="334" t="n"/>
      <c r="P439" s="332">
        <f>IFERROR(VLOOKUP(TEXT(O439,"0"),CONDUCTORES!$A$3:$G$54,2,0),"")</f>
        <v/>
      </c>
      <c r="Q439" s="332">
        <f>IFERROR(VLOOKUP(TEXT(O439,"0"),CONDUCTORES!$A$3:$H$54,6,0),"")</f>
        <v/>
      </c>
      <c r="R439" s="334" t="n"/>
      <c r="S439" s="334" t="n"/>
      <c r="T439" s="334" t="n"/>
      <c r="U439" s="334" t="n"/>
      <c r="V439" s="334" t="n"/>
      <c r="W439" s="334" t="n"/>
      <c r="X439" s="334" t="n"/>
      <c r="Y439" s="334" t="n"/>
    </row>
    <row r="440" ht="15" customHeight="1" s="195">
      <c r="A440" s="280" t="n"/>
      <c r="B440" s="280" t="n"/>
      <c r="C440" s="280" t="n"/>
      <c r="D440" s="280" t="n"/>
      <c r="E440" s="280" t="n"/>
      <c r="F440" s="280" t="n"/>
      <c r="G440" s="280" t="n"/>
      <c r="H440" s="280" t="n"/>
      <c r="I440" s="332">
        <f>IFERROR(VLOOKUP(TEXT(H440,"0"),IPRESS!$A$3:$B$212,2,0),"")</f>
        <v/>
      </c>
      <c r="J440" s="280" t="n"/>
      <c r="K440" s="332">
        <f>IFERROR(VLOOKUP(TEXT(O440,"0"),CONDUCTORES!$A$3:$G$54,7,0),"")</f>
        <v/>
      </c>
      <c r="L440" s="280" t="n"/>
      <c r="M440" s="280" t="n"/>
      <c r="N440" s="333">
        <f>IFERROR(IF(L440*M440=0,"",L440*M440),"")</f>
        <v/>
      </c>
      <c r="O440" s="280" t="n"/>
      <c r="P440" s="332">
        <f>IFERROR(VLOOKUP(TEXT(O440,"0"),CONDUCTORES!$A$3:$G$54,2,0),"")</f>
        <v/>
      </c>
      <c r="Q440" s="332">
        <f>IFERROR(VLOOKUP(TEXT(O440,"0"),CONDUCTORES!$A$3:$H$54,6,0),"")</f>
        <v/>
      </c>
      <c r="R440" s="280" t="n"/>
      <c r="S440" s="280" t="n"/>
      <c r="T440" s="280" t="n"/>
      <c r="U440" s="280" t="n"/>
      <c r="V440" s="280" t="n"/>
      <c r="W440" s="280" t="n"/>
      <c r="X440" s="280" t="n"/>
      <c r="Y440" s="280" t="n"/>
    </row>
    <row r="441" ht="15" customHeight="1" s="195">
      <c r="A441" s="334" t="n"/>
      <c r="B441" s="334" t="n"/>
      <c r="C441" s="334" t="n"/>
      <c r="D441" s="334" t="n"/>
      <c r="E441" s="334" t="n"/>
      <c r="F441" s="334" t="n"/>
      <c r="G441" s="334" t="n"/>
      <c r="H441" s="334" t="n"/>
      <c r="I441" s="332">
        <f>IFERROR(VLOOKUP(TEXT(H441,"0"),IPRESS!$A$3:$B$212,2,0),"")</f>
        <v/>
      </c>
      <c r="J441" s="334" t="n"/>
      <c r="K441" s="332">
        <f>IFERROR(VLOOKUP(TEXT(O441,"0"),CONDUCTORES!$A$3:$G$54,7,0),"")</f>
        <v/>
      </c>
      <c r="L441" s="334" t="n"/>
      <c r="M441" s="334" t="n"/>
      <c r="N441" s="333">
        <f>IFERROR(IF(L441*M441=0,"",L441*M441),"")</f>
        <v/>
      </c>
      <c r="O441" s="334" t="n"/>
      <c r="P441" s="332">
        <f>IFERROR(VLOOKUP(TEXT(O441,"0"),CONDUCTORES!$A$3:$G$54,2,0),"")</f>
        <v/>
      </c>
      <c r="Q441" s="332">
        <f>IFERROR(VLOOKUP(TEXT(O441,"0"),CONDUCTORES!$A$3:$H$54,6,0),"")</f>
        <v/>
      </c>
      <c r="R441" s="334" t="n"/>
      <c r="S441" s="334" t="n"/>
      <c r="T441" s="334" t="n"/>
      <c r="U441" s="334" t="n"/>
      <c r="V441" s="334" t="n"/>
      <c r="W441" s="334" t="n"/>
      <c r="X441" s="334" t="n"/>
      <c r="Y441" s="334" t="n"/>
    </row>
    <row r="442" ht="15" customHeight="1" s="195">
      <c r="A442" s="280" t="n"/>
      <c r="B442" s="280" t="n"/>
      <c r="C442" s="280" t="n"/>
      <c r="D442" s="280" t="n"/>
      <c r="E442" s="280" t="n"/>
      <c r="F442" s="280" t="n"/>
      <c r="G442" s="280" t="n"/>
      <c r="H442" s="280" t="n"/>
      <c r="I442" s="332">
        <f>IFERROR(VLOOKUP(TEXT(H442,"0"),IPRESS!$A$3:$B$212,2,0),"")</f>
        <v/>
      </c>
      <c r="J442" s="280" t="n"/>
      <c r="K442" s="332">
        <f>IFERROR(VLOOKUP(TEXT(O442,"0"),CONDUCTORES!$A$3:$G$54,7,0),"")</f>
        <v/>
      </c>
      <c r="L442" s="280" t="n"/>
      <c r="M442" s="280" t="n"/>
      <c r="N442" s="333">
        <f>IFERROR(IF(L442*M442=0,"",L442*M442),"")</f>
        <v/>
      </c>
      <c r="O442" s="280" t="n"/>
      <c r="P442" s="332">
        <f>IFERROR(VLOOKUP(TEXT(O442,"0"),CONDUCTORES!$A$3:$G$54,2,0),"")</f>
        <v/>
      </c>
      <c r="Q442" s="332">
        <f>IFERROR(VLOOKUP(TEXT(O442,"0"),CONDUCTORES!$A$3:$H$54,6,0),"")</f>
        <v/>
      </c>
      <c r="R442" s="280" t="n"/>
      <c r="S442" s="280" t="n"/>
      <c r="T442" s="280" t="n"/>
      <c r="U442" s="280" t="n"/>
      <c r="V442" s="280" t="n"/>
      <c r="W442" s="280" t="n"/>
      <c r="X442" s="280" t="n"/>
      <c r="Y442" s="280" t="n"/>
    </row>
    <row r="443" ht="15" customHeight="1" s="195">
      <c r="A443" s="334" t="n"/>
      <c r="B443" s="334" t="n"/>
      <c r="C443" s="334" t="n"/>
      <c r="D443" s="334" t="n"/>
      <c r="E443" s="334" t="n"/>
      <c r="F443" s="334" t="n"/>
      <c r="G443" s="334" t="n"/>
      <c r="H443" s="334" t="n"/>
      <c r="I443" s="332">
        <f>IFERROR(VLOOKUP(TEXT(H443,"0"),IPRESS!$A$3:$B$212,2,0),"")</f>
        <v/>
      </c>
      <c r="J443" s="334" t="n"/>
      <c r="K443" s="332">
        <f>IFERROR(VLOOKUP(TEXT(O443,"0"),CONDUCTORES!$A$3:$G$54,7,0),"")</f>
        <v/>
      </c>
      <c r="L443" s="334" t="n"/>
      <c r="M443" s="334" t="n"/>
      <c r="N443" s="333">
        <f>IFERROR(IF(L443*M443=0,"",L443*M443),"")</f>
        <v/>
      </c>
      <c r="O443" s="334" t="n"/>
      <c r="P443" s="332">
        <f>IFERROR(VLOOKUP(TEXT(O443,"0"),CONDUCTORES!$A$3:$G$54,2,0),"")</f>
        <v/>
      </c>
      <c r="Q443" s="332">
        <f>IFERROR(VLOOKUP(TEXT(O443,"0"),CONDUCTORES!$A$3:$H$54,6,0),"")</f>
        <v/>
      </c>
      <c r="R443" s="334" t="n"/>
      <c r="S443" s="334" t="n"/>
      <c r="T443" s="334" t="n"/>
      <c r="U443" s="334" t="n"/>
      <c r="V443" s="334" t="n"/>
      <c r="W443" s="334" t="n"/>
      <c r="X443" s="334" t="n"/>
      <c r="Y443" s="334" t="n"/>
    </row>
    <row r="444" ht="15" customHeight="1" s="195">
      <c r="A444" s="280" t="n"/>
      <c r="B444" s="280" t="n"/>
      <c r="C444" s="280" t="n"/>
      <c r="D444" s="280" t="n"/>
      <c r="E444" s="280" t="n"/>
      <c r="F444" s="280" t="n"/>
      <c r="G444" s="280" t="n"/>
      <c r="H444" s="280" t="n"/>
      <c r="I444" s="332">
        <f>IFERROR(VLOOKUP(TEXT(H444,"0"),IPRESS!$A$3:$B$212,2,0),"")</f>
        <v/>
      </c>
      <c r="J444" s="280" t="n"/>
      <c r="K444" s="332">
        <f>IFERROR(VLOOKUP(TEXT(O444,"0"),CONDUCTORES!$A$3:$G$54,7,0),"")</f>
        <v/>
      </c>
      <c r="L444" s="280" t="n"/>
      <c r="M444" s="280" t="n"/>
      <c r="N444" s="333">
        <f>IFERROR(IF(L444*M444=0,"",L444*M444),"")</f>
        <v/>
      </c>
      <c r="O444" s="280" t="n"/>
      <c r="P444" s="332">
        <f>IFERROR(VLOOKUP(TEXT(O444,"0"),CONDUCTORES!$A$3:$G$54,2,0),"")</f>
        <v/>
      </c>
      <c r="Q444" s="332">
        <f>IFERROR(VLOOKUP(TEXT(O444,"0"),CONDUCTORES!$A$3:$H$54,6,0),"")</f>
        <v/>
      </c>
      <c r="R444" s="280" t="n"/>
      <c r="S444" s="280" t="n"/>
      <c r="T444" s="280" t="n"/>
      <c r="U444" s="280" t="n"/>
      <c r="V444" s="280" t="n"/>
      <c r="W444" s="280" t="n"/>
      <c r="X444" s="280" t="n"/>
      <c r="Y444" s="280" t="n"/>
    </row>
    <row r="445" ht="15" customHeight="1" s="195">
      <c r="A445" s="334" t="n"/>
      <c r="B445" s="334" t="n"/>
      <c r="C445" s="334" t="n"/>
      <c r="D445" s="334" t="n"/>
      <c r="E445" s="334" t="n"/>
      <c r="F445" s="334" t="n"/>
      <c r="G445" s="334" t="n"/>
      <c r="H445" s="334" t="n"/>
      <c r="I445" s="332">
        <f>IFERROR(VLOOKUP(TEXT(H445,"0"),IPRESS!$A$3:$B$212,2,0),"")</f>
        <v/>
      </c>
      <c r="J445" s="334" t="n"/>
      <c r="K445" s="332">
        <f>IFERROR(VLOOKUP(TEXT(O445,"0"),CONDUCTORES!$A$3:$G$54,7,0),"")</f>
        <v/>
      </c>
      <c r="L445" s="334" t="n"/>
      <c r="M445" s="334" t="n"/>
      <c r="N445" s="333">
        <f>IFERROR(IF(L445*M445=0,"",L445*M445),"")</f>
        <v/>
      </c>
      <c r="O445" s="334" t="n"/>
      <c r="P445" s="332">
        <f>IFERROR(VLOOKUP(TEXT(O445,"0"),CONDUCTORES!$A$3:$G$54,2,0),"")</f>
        <v/>
      </c>
      <c r="Q445" s="332">
        <f>IFERROR(VLOOKUP(TEXT(O445,"0"),CONDUCTORES!$A$3:$H$54,6,0),"")</f>
        <v/>
      </c>
      <c r="R445" s="334" t="n"/>
      <c r="S445" s="334" t="n"/>
      <c r="T445" s="334" t="n"/>
      <c r="U445" s="334" t="n"/>
      <c r="V445" s="334" t="n"/>
      <c r="W445" s="334" t="n"/>
      <c r="X445" s="334" t="n"/>
      <c r="Y445" s="334" t="n"/>
    </row>
    <row r="446" ht="15" customHeight="1" s="195">
      <c r="A446" s="280" t="n"/>
      <c r="B446" s="280" t="n"/>
      <c r="C446" s="280" t="n"/>
      <c r="D446" s="280" t="n"/>
      <c r="E446" s="280" t="n"/>
      <c r="F446" s="280" t="n"/>
      <c r="G446" s="280" t="n"/>
      <c r="H446" s="280" t="n"/>
      <c r="I446" s="332">
        <f>IFERROR(VLOOKUP(TEXT(H446,"0"),IPRESS!$A$3:$B$212,2,0),"")</f>
        <v/>
      </c>
      <c r="J446" s="280" t="n"/>
      <c r="K446" s="332">
        <f>IFERROR(VLOOKUP(TEXT(O446,"0"),CONDUCTORES!$A$3:$G$54,7,0),"")</f>
        <v/>
      </c>
      <c r="L446" s="280" t="n"/>
      <c r="M446" s="280" t="n"/>
      <c r="N446" s="333">
        <f>IFERROR(IF(L446*M446=0,"",L446*M446),"")</f>
        <v/>
      </c>
      <c r="O446" s="280" t="n"/>
      <c r="P446" s="332">
        <f>IFERROR(VLOOKUP(TEXT(O446,"0"),CONDUCTORES!$A$3:$G$54,2,0),"")</f>
        <v/>
      </c>
      <c r="Q446" s="332">
        <f>IFERROR(VLOOKUP(TEXT(O446,"0"),CONDUCTORES!$A$3:$H$54,6,0),"")</f>
        <v/>
      </c>
      <c r="R446" s="280" t="n"/>
      <c r="S446" s="280" t="n"/>
      <c r="T446" s="280" t="n"/>
      <c r="U446" s="280" t="n"/>
      <c r="V446" s="280" t="n"/>
      <c r="W446" s="280" t="n"/>
      <c r="X446" s="280" t="n"/>
      <c r="Y446" s="280" t="n"/>
    </row>
    <row r="447" ht="15" customHeight="1" s="195">
      <c r="A447" s="334" t="n"/>
      <c r="B447" s="334" t="n"/>
      <c r="C447" s="334" t="n"/>
      <c r="D447" s="334" t="n"/>
      <c r="E447" s="334" t="n"/>
      <c r="F447" s="334" t="n"/>
      <c r="G447" s="334" t="n"/>
      <c r="H447" s="334" t="n"/>
      <c r="I447" s="332">
        <f>IFERROR(VLOOKUP(TEXT(H447,"0"),IPRESS!$A$3:$B$212,2,0),"")</f>
        <v/>
      </c>
      <c r="J447" s="334" t="n"/>
      <c r="K447" s="332">
        <f>IFERROR(VLOOKUP(TEXT(O447,"0"),CONDUCTORES!$A$3:$G$54,7,0),"")</f>
        <v/>
      </c>
      <c r="L447" s="334" t="n"/>
      <c r="M447" s="334" t="n"/>
      <c r="N447" s="333">
        <f>IFERROR(IF(L447*M447=0,"",L447*M447),"")</f>
        <v/>
      </c>
      <c r="O447" s="334" t="n"/>
      <c r="P447" s="332">
        <f>IFERROR(VLOOKUP(TEXT(O447,"0"),CONDUCTORES!$A$3:$G$54,2,0),"")</f>
        <v/>
      </c>
      <c r="Q447" s="332">
        <f>IFERROR(VLOOKUP(TEXT(O447,"0"),CONDUCTORES!$A$3:$H$54,6,0),"")</f>
        <v/>
      </c>
      <c r="R447" s="334" t="n"/>
      <c r="S447" s="334" t="n"/>
      <c r="T447" s="334" t="n"/>
      <c r="U447" s="334" t="n"/>
      <c r="V447" s="334" t="n"/>
      <c r="W447" s="334" t="n"/>
      <c r="X447" s="334" t="n"/>
      <c r="Y447" s="334" t="n"/>
    </row>
    <row r="448" ht="15" customHeight="1" s="195">
      <c r="A448" s="280" t="n"/>
      <c r="B448" s="280" t="n"/>
      <c r="C448" s="280" t="n"/>
      <c r="D448" s="280" t="n"/>
      <c r="E448" s="280" t="n"/>
      <c r="F448" s="280" t="n"/>
      <c r="G448" s="280" t="n"/>
      <c r="H448" s="280" t="n"/>
      <c r="I448" s="332">
        <f>IFERROR(VLOOKUP(TEXT(H448,"0"),IPRESS!$A$3:$B$212,2,0),"")</f>
        <v/>
      </c>
      <c r="J448" s="280" t="n"/>
      <c r="K448" s="332">
        <f>IFERROR(VLOOKUP(TEXT(O448,"0"),CONDUCTORES!$A$3:$G$54,7,0),"")</f>
        <v/>
      </c>
      <c r="L448" s="280" t="n"/>
      <c r="M448" s="280" t="n"/>
      <c r="N448" s="333">
        <f>IFERROR(IF(L448*M448=0,"",L448*M448),"")</f>
        <v/>
      </c>
      <c r="O448" s="280" t="n"/>
      <c r="P448" s="332">
        <f>IFERROR(VLOOKUP(TEXT(O448,"0"),CONDUCTORES!$A$3:$G$54,2,0),"")</f>
        <v/>
      </c>
      <c r="Q448" s="332">
        <f>IFERROR(VLOOKUP(TEXT(O448,"0"),CONDUCTORES!$A$3:$H$54,6,0),"")</f>
        <v/>
      </c>
      <c r="R448" s="280" t="n"/>
      <c r="S448" s="280" t="n"/>
      <c r="T448" s="280" t="n"/>
      <c r="U448" s="280" t="n"/>
      <c r="V448" s="280" t="n"/>
      <c r="W448" s="280" t="n"/>
      <c r="X448" s="280" t="n"/>
      <c r="Y448" s="280" t="n"/>
    </row>
    <row r="449" ht="15" customHeight="1" s="195">
      <c r="A449" s="334" t="n"/>
      <c r="B449" s="334" t="n"/>
      <c r="C449" s="334" t="n"/>
      <c r="D449" s="334" t="n"/>
      <c r="E449" s="334" t="n"/>
      <c r="F449" s="334" t="n"/>
      <c r="G449" s="334" t="n"/>
      <c r="H449" s="334" t="n"/>
      <c r="I449" s="332">
        <f>IFERROR(VLOOKUP(TEXT(H449,"0"),IPRESS!$A$3:$B$212,2,0),"")</f>
        <v/>
      </c>
      <c r="J449" s="334" t="n"/>
      <c r="K449" s="332">
        <f>IFERROR(VLOOKUP(TEXT(O449,"0"),CONDUCTORES!$A$3:$G$54,7,0),"")</f>
        <v/>
      </c>
      <c r="L449" s="334" t="n"/>
      <c r="M449" s="334" t="n"/>
      <c r="N449" s="333">
        <f>IFERROR(IF(L449*M449=0,"",L449*M449),"")</f>
        <v/>
      </c>
      <c r="O449" s="334" t="n"/>
      <c r="P449" s="332">
        <f>IFERROR(VLOOKUP(TEXT(O449,"0"),CONDUCTORES!$A$3:$G$54,2,0),"")</f>
        <v/>
      </c>
      <c r="Q449" s="332">
        <f>IFERROR(VLOOKUP(TEXT(O449,"0"),CONDUCTORES!$A$3:$H$54,6,0),"")</f>
        <v/>
      </c>
      <c r="R449" s="334" t="n"/>
      <c r="S449" s="334" t="n"/>
      <c r="T449" s="334" t="n"/>
      <c r="U449" s="334" t="n"/>
      <c r="V449" s="334" t="n"/>
      <c r="W449" s="334" t="n"/>
      <c r="X449" s="334" t="n"/>
      <c r="Y449" s="334" t="n"/>
    </row>
    <row r="450" ht="15" customHeight="1" s="195">
      <c r="A450" s="280" t="n"/>
      <c r="B450" s="280" t="n"/>
      <c r="C450" s="280" t="n"/>
      <c r="D450" s="280" t="n"/>
      <c r="E450" s="280" t="n"/>
      <c r="F450" s="280" t="n"/>
      <c r="G450" s="280" t="n"/>
      <c r="H450" s="280" t="n"/>
      <c r="I450" s="332">
        <f>IFERROR(VLOOKUP(TEXT(H450,"0"),IPRESS!$A$3:$B$212,2,0),"")</f>
        <v/>
      </c>
      <c r="J450" s="280" t="n"/>
      <c r="K450" s="332">
        <f>IFERROR(VLOOKUP(TEXT(O450,"0"),CONDUCTORES!$A$3:$G$54,7,0),"")</f>
        <v/>
      </c>
      <c r="L450" s="280" t="n"/>
      <c r="M450" s="280" t="n"/>
      <c r="N450" s="333">
        <f>IFERROR(IF(L450*M450=0,"",L450*M450),"")</f>
        <v/>
      </c>
      <c r="O450" s="280" t="n"/>
      <c r="P450" s="332">
        <f>IFERROR(VLOOKUP(TEXT(O450,"0"),CONDUCTORES!$A$3:$G$54,2,0),"")</f>
        <v/>
      </c>
      <c r="Q450" s="332">
        <f>IFERROR(VLOOKUP(TEXT(O450,"0"),CONDUCTORES!$A$3:$H$54,6,0),"")</f>
        <v/>
      </c>
      <c r="R450" s="280" t="n"/>
      <c r="S450" s="280" t="n"/>
      <c r="T450" s="280" t="n"/>
      <c r="U450" s="280" t="n"/>
      <c r="V450" s="280" t="n"/>
      <c r="W450" s="280" t="n"/>
      <c r="X450" s="280" t="n"/>
      <c r="Y450" s="280" t="n"/>
    </row>
    <row r="451" ht="15" customHeight="1" s="195">
      <c r="A451" s="334" t="n"/>
      <c r="B451" s="334" t="n"/>
      <c r="C451" s="334" t="n"/>
      <c r="D451" s="334" t="n"/>
      <c r="E451" s="334" t="n"/>
      <c r="F451" s="334" t="n"/>
      <c r="G451" s="334" t="n"/>
      <c r="H451" s="334" t="n"/>
      <c r="I451" s="332">
        <f>IFERROR(VLOOKUP(TEXT(H451,"0"),IPRESS!$A$3:$B$212,2,0),"")</f>
        <v/>
      </c>
      <c r="J451" s="334" t="n"/>
      <c r="K451" s="332">
        <f>IFERROR(VLOOKUP(TEXT(O451,"0"),CONDUCTORES!$A$3:$G$54,7,0),"")</f>
        <v/>
      </c>
      <c r="L451" s="334" t="n"/>
      <c r="M451" s="334" t="n"/>
      <c r="N451" s="333">
        <f>IFERROR(IF(L451*M451=0,"",L451*M451),"")</f>
        <v/>
      </c>
      <c r="O451" s="334" t="n"/>
      <c r="P451" s="332">
        <f>IFERROR(VLOOKUP(TEXT(O451,"0"),CONDUCTORES!$A$3:$G$54,2,0),"")</f>
        <v/>
      </c>
      <c r="Q451" s="332">
        <f>IFERROR(VLOOKUP(TEXT(O451,"0"),CONDUCTORES!$A$3:$H$54,6,0),"")</f>
        <v/>
      </c>
      <c r="R451" s="334" t="n"/>
      <c r="S451" s="334" t="n"/>
      <c r="T451" s="334" t="n"/>
      <c r="U451" s="334" t="n"/>
      <c r="V451" s="334" t="n"/>
      <c r="W451" s="334" t="n"/>
      <c r="X451" s="334" t="n"/>
      <c r="Y451" s="334" t="n"/>
    </row>
    <row r="452" ht="15" customHeight="1" s="195">
      <c r="A452" s="280" t="n"/>
      <c r="B452" s="280" t="n"/>
      <c r="C452" s="280" t="n"/>
      <c r="D452" s="280" t="n"/>
      <c r="E452" s="280" t="n"/>
      <c r="F452" s="280" t="n"/>
      <c r="G452" s="280" t="n"/>
      <c r="H452" s="280" t="n"/>
      <c r="I452" s="332">
        <f>IFERROR(VLOOKUP(TEXT(H452,"0"),IPRESS!$A$3:$B$212,2,0),"")</f>
        <v/>
      </c>
      <c r="J452" s="280" t="n"/>
      <c r="K452" s="332">
        <f>IFERROR(VLOOKUP(TEXT(O452,"0"),CONDUCTORES!$A$3:$G$54,7,0),"")</f>
        <v/>
      </c>
      <c r="L452" s="280" t="n"/>
      <c r="M452" s="280" t="n"/>
      <c r="N452" s="333">
        <f>IFERROR(IF(L452*M452=0,"",L452*M452),"")</f>
        <v/>
      </c>
      <c r="O452" s="280" t="n"/>
      <c r="P452" s="332">
        <f>IFERROR(VLOOKUP(TEXT(O452,"0"),CONDUCTORES!$A$3:$G$54,2,0),"")</f>
        <v/>
      </c>
      <c r="Q452" s="332">
        <f>IFERROR(VLOOKUP(TEXT(O452,"0"),CONDUCTORES!$A$3:$H$54,6,0),"")</f>
        <v/>
      </c>
      <c r="R452" s="280" t="n"/>
      <c r="S452" s="280" t="n"/>
      <c r="T452" s="280" t="n"/>
      <c r="U452" s="280" t="n"/>
      <c r="V452" s="280" t="n"/>
      <c r="W452" s="280" t="n"/>
      <c r="X452" s="280" t="n"/>
      <c r="Y452" s="280" t="n"/>
    </row>
    <row r="453" ht="15" customHeight="1" s="195">
      <c r="A453" s="334" t="n"/>
      <c r="B453" s="334" t="n"/>
      <c r="C453" s="334" t="n"/>
      <c r="D453" s="334" t="n"/>
      <c r="E453" s="334" t="n"/>
      <c r="F453" s="334" t="n"/>
      <c r="G453" s="334" t="n"/>
      <c r="H453" s="334" t="n"/>
      <c r="I453" s="332">
        <f>IFERROR(VLOOKUP(TEXT(H453,"0"),IPRESS!$A$3:$B$212,2,0),"")</f>
        <v/>
      </c>
      <c r="J453" s="334" t="n"/>
      <c r="K453" s="332">
        <f>IFERROR(VLOOKUP(TEXT(O453,"0"),CONDUCTORES!$A$3:$G$54,7,0),"")</f>
        <v/>
      </c>
      <c r="L453" s="334" t="n"/>
      <c r="M453" s="334" t="n"/>
      <c r="N453" s="333">
        <f>IFERROR(IF(L453*M453=0,"",L453*M453),"")</f>
        <v/>
      </c>
      <c r="O453" s="334" t="n"/>
      <c r="P453" s="332">
        <f>IFERROR(VLOOKUP(TEXT(O453,"0"),CONDUCTORES!$A$3:$G$54,2,0),"")</f>
        <v/>
      </c>
      <c r="Q453" s="332">
        <f>IFERROR(VLOOKUP(TEXT(O453,"0"),CONDUCTORES!$A$3:$H$54,6,0),"")</f>
        <v/>
      </c>
      <c r="R453" s="334" t="n"/>
      <c r="S453" s="334" t="n"/>
      <c r="T453" s="334" t="n"/>
      <c r="U453" s="334" t="n"/>
      <c r="V453" s="334" t="n"/>
      <c r="W453" s="334" t="n"/>
      <c r="X453" s="334" t="n"/>
      <c r="Y453" s="334" t="n"/>
    </row>
    <row r="454" ht="15" customHeight="1" s="195">
      <c r="A454" s="280" t="n"/>
      <c r="B454" s="280" t="n"/>
      <c r="C454" s="280" t="n"/>
      <c r="D454" s="280" t="n"/>
      <c r="E454" s="280" t="n"/>
      <c r="F454" s="280" t="n"/>
      <c r="G454" s="280" t="n"/>
      <c r="H454" s="280" t="n"/>
      <c r="I454" s="332">
        <f>IFERROR(VLOOKUP(TEXT(H454,"0"),IPRESS!$A$3:$B$212,2,0),"")</f>
        <v/>
      </c>
      <c r="J454" s="280" t="n"/>
      <c r="K454" s="332">
        <f>IFERROR(VLOOKUP(TEXT(O454,"0"),CONDUCTORES!$A$3:$G$54,7,0),"")</f>
        <v/>
      </c>
      <c r="L454" s="280" t="n"/>
      <c r="M454" s="280" t="n"/>
      <c r="N454" s="333">
        <f>IFERROR(IF(L454*M454=0,"",L454*M454),"")</f>
        <v/>
      </c>
      <c r="O454" s="280" t="n"/>
      <c r="P454" s="332">
        <f>IFERROR(VLOOKUP(TEXT(O454,"0"),CONDUCTORES!$A$3:$G$54,2,0),"")</f>
        <v/>
      </c>
      <c r="Q454" s="332">
        <f>IFERROR(VLOOKUP(TEXT(O454,"0"),CONDUCTORES!$A$3:$H$54,6,0),"")</f>
        <v/>
      </c>
      <c r="R454" s="280" t="n"/>
      <c r="S454" s="280" t="n"/>
      <c r="T454" s="280" t="n"/>
      <c r="U454" s="280" t="n"/>
      <c r="V454" s="280" t="n"/>
      <c r="W454" s="280" t="n"/>
      <c r="X454" s="280" t="n"/>
      <c r="Y454" s="280" t="n"/>
    </row>
    <row r="455" ht="15" customHeight="1" s="195">
      <c r="A455" s="334" t="n"/>
      <c r="B455" s="334" t="n"/>
      <c r="C455" s="334" t="n"/>
      <c r="D455" s="334" t="n"/>
      <c r="E455" s="334" t="n"/>
      <c r="F455" s="334" t="n"/>
      <c r="G455" s="334" t="n"/>
      <c r="H455" s="334" t="n"/>
      <c r="I455" s="332">
        <f>IFERROR(VLOOKUP(TEXT(H455,"0"),IPRESS!$A$3:$B$212,2,0),"")</f>
        <v/>
      </c>
      <c r="J455" s="334" t="n"/>
      <c r="K455" s="332">
        <f>IFERROR(VLOOKUP(TEXT(O455,"0"),CONDUCTORES!$A$3:$G$54,7,0),"")</f>
        <v/>
      </c>
      <c r="L455" s="334" t="n"/>
      <c r="M455" s="334" t="n"/>
      <c r="N455" s="333">
        <f>IFERROR(IF(L455*M455=0,"",L455*M455),"")</f>
        <v/>
      </c>
      <c r="O455" s="334" t="n"/>
      <c r="P455" s="332">
        <f>IFERROR(VLOOKUP(TEXT(O455,"0"),CONDUCTORES!$A$3:$G$54,2,0),"")</f>
        <v/>
      </c>
      <c r="Q455" s="332">
        <f>IFERROR(VLOOKUP(TEXT(O455,"0"),CONDUCTORES!$A$3:$H$54,6,0),"")</f>
        <v/>
      </c>
      <c r="R455" s="334" t="n"/>
      <c r="S455" s="334" t="n"/>
      <c r="T455" s="334" t="n"/>
      <c r="U455" s="334" t="n"/>
      <c r="V455" s="334" t="n"/>
      <c r="W455" s="334" t="n"/>
      <c r="X455" s="334" t="n"/>
      <c r="Y455" s="334" t="n"/>
    </row>
    <row r="456" ht="15" customHeight="1" s="195">
      <c r="A456" s="280" t="n"/>
      <c r="B456" s="280" t="n"/>
      <c r="C456" s="280" t="n"/>
      <c r="D456" s="280" t="n"/>
      <c r="E456" s="280" t="n"/>
      <c r="F456" s="280" t="n"/>
      <c r="G456" s="280" t="n"/>
      <c r="H456" s="280" t="n"/>
      <c r="I456" s="332">
        <f>IFERROR(VLOOKUP(TEXT(H456,"0"),IPRESS!$A$3:$B$212,2,0),"")</f>
        <v/>
      </c>
      <c r="J456" s="280" t="n"/>
      <c r="K456" s="332">
        <f>IFERROR(VLOOKUP(TEXT(O456,"0"),CONDUCTORES!$A$3:$G$54,7,0),"")</f>
        <v/>
      </c>
      <c r="L456" s="280" t="n"/>
      <c r="M456" s="280" t="n"/>
      <c r="N456" s="333">
        <f>IFERROR(IF(L456*M456=0,"",L456*M456),"")</f>
        <v/>
      </c>
      <c r="O456" s="280" t="n"/>
      <c r="P456" s="332">
        <f>IFERROR(VLOOKUP(TEXT(O456,"0"),CONDUCTORES!$A$3:$G$54,2,0),"")</f>
        <v/>
      </c>
      <c r="Q456" s="332">
        <f>IFERROR(VLOOKUP(TEXT(O456,"0"),CONDUCTORES!$A$3:$H$54,6,0),"")</f>
        <v/>
      </c>
      <c r="R456" s="280" t="n"/>
      <c r="S456" s="280" t="n"/>
      <c r="T456" s="280" t="n"/>
      <c r="U456" s="280" t="n"/>
      <c r="V456" s="280" t="n"/>
      <c r="W456" s="280" t="n"/>
      <c r="X456" s="280" t="n"/>
      <c r="Y456" s="280" t="n"/>
    </row>
    <row r="457" ht="15" customHeight="1" s="195">
      <c r="A457" s="334" t="n"/>
      <c r="B457" s="334" t="n"/>
      <c r="C457" s="334" t="n"/>
      <c r="D457" s="334" t="n"/>
      <c r="E457" s="334" t="n"/>
      <c r="F457" s="334" t="n"/>
      <c r="G457" s="334" t="n"/>
      <c r="H457" s="334" t="n"/>
      <c r="I457" s="332">
        <f>IFERROR(VLOOKUP(TEXT(H457,"0"),IPRESS!$A$3:$B$212,2,0),"")</f>
        <v/>
      </c>
      <c r="J457" s="334" t="n"/>
      <c r="K457" s="332">
        <f>IFERROR(VLOOKUP(TEXT(O457,"0"),CONDUCTORES!$A$3:$G$54,7,0),"")</f>
        <v/>
      </c>
      <c r="L457" s="334" t="n"/>
      <c r="M457" s="334" t="n"/>
      <c r="N457" s="333">
        <f>IFERROR(IF(L457*M457=0,"",L457*M457),"")</f>
        <v/>
      </c>
      <c r="O457" s="334" t="n"/>
      <c r="P457" s="332">
        <f>IFERROR(VLOOKUP(TEXT(O457,"0"),CONDUCTORES!$A$3:$G$54,2,0),"")</f>
        <v/>
      </c>
      <c r="Q457" s="332">
        <f>IFERROR(VLOOKUP(TEXT(O457,"0"),CONDUCTORES!$A$3:$H$54,6,0),"")</f>
        <v/>
      </c>
      <c r="R457" s="334" t="n"/>
      <c r="S457" s="334" t="n"/>
      <c r="T457" s="334" t="n"/>
      <c r="U457" s="334" t="n"/>
      <c r="V457" s="334" t="n"/>
      <c r="W457" s="334" t="n"/>
      <c r="X457" s="334" t="n"/>
      <c r="Y457" s="334" t="n"/>
    </row>
    <row r="458" ht="15" customHeight="1" s="195">
      <c r="A458" s="280" t="n"/>
      <c r="B458" s="280" t="n"/>
      <c r="C458" s="280" t="n"/>
      <c r="D458" s="280" t="n"/>
      <c r="E458" s="280" t="n"/>
      <c r="F458" s="280" t="n"/>
      <c r="G458" s="280" t="n"/>
      <c r="H458" s="280" t="n"/>
      <c r="I458" s="332">
        <f>IFERROR(VLOOKUP(TEXT(H458,"0"),IPRESS!$A$3:$B$212,2,0),"")</f>
        <v/>
      </c>
      <c r="J458" s="280" t="n"/>
      <c r="K458" s="332">
        <f>IFERROR(VLOOKUP(TEXT(O458,"0"),CONDUCTORES!$A$3:$G$54,7,0),"")</f>
        <v/>
      </c>
      <c r="L458" s="280" t="n"/>
      <c r="M458" s="280" t="n"/>
      <c r="N458" s="333">
        <f>IFERROR(IF(L458*M458=0,"",L458*M458),"")</f>
        <v/>
      </c>
      <c r="O458" s="280" t="n"/>
      <c r="P458" s="332">
        <f>IFERROR(VLOOKUP(TEXT(O458,"0"),CONDUCTORES!$A$3:$G$54,2,0),"")</f>
        <v/>
      </c>
      <c r="Q458" s="332">
        <f>IFERROR(VLOOKUP(TEXT(O458,"0"),CONDUCTORES!$A$3:$H$54,6,0),"")</f>
        <v/>
      </c>
      <c r="R458" s="280" t="n"/>
      <c r="S458" s="280" t="n"/>
      <c r="T458" s="280" t="n"/>
      <c r="U458" s="280" t="n"/>
      <c r="V458" s="280" t="n"/>
      <c r="W458" s="280" t="n"/>
      <c r="X458" s="280" t="n"/>
      <c r="Y458" s="280" t="n"/>
    </row>
    <row r="459" ht="15" customHeight="1" s="195">
      <c r="A459" s="334" t="n"/>
      <c r="B459" s="334" t="n"/>
      <c r="C459" s="334" t="n"/>
      <c r="D459" s="334" t="n"/>
      <c r="E459" s="334" t="n"/>
      <c r="F459" s="334" t="n"/>
      <c r="G459" s="334" t="n"/>
      <c r="H459" s="334" t="n"/>
      <c r="I459" s="332">
        <f>IFERROR(VLOOKUP(TEXT(H459,"0"),IPRESS!$A$3:$B$212,2,0),"")</f>
        <v/>
      </c>
      <c r="J459" s="334" t="n"/>
      <c r="K459" s="332">
        <f>IFERROR(VLOOKUP(TEXT(O459,"0"),CONDUCTORES!$A$3:$G$54,7,0),"")</f>
        <v/>
      </c>
      <c r="L459" s="334" t="n"/>
      <c r="M459" s="334" t="n"/>
      <c r="N459" s="333">
        <f>IFERROR(IF(L459*M459=0,"",L459*M459),"")</f>
        <v/>
      </c>
      <c r="O459" s="334" t="n"/>
      <c r="P459" s="332">
        <f>IFERROR(VLOOKUP(TEXT(O459,"0"),CONDUCTORES!$A$3:$G$54,2,0),"")</f>
        <v/>
      </c>
      <c r="Q459" s="332">
        <f>IFERROR(VLOOKUP(TEXT(O459,"0"),CONDUCTORES!$A$3:$H$54,6,0),"")</f>
        <v/>
      </c>
      <c r="R459" s="334" t="n"/>
      <c r="S459" s="334" t="n"/>
      <c r="T459" s="334" t="n"/>
      <c r="U459" s="334" t="n"/>
      <c r="V459" s="334" t="n"/>
      <c r="W459" s="334" t="n"/>
      <c r="X459" s="334" t="n"/>
      <c r="Y459" s="334" t="n"/>
    </row>
    <row r="460" ht="15" customHeight="1" s="195">
      <c r="A460" s="280" t="n"/>
      <c r="B460" s="280" t="n"/>
      <c r="C460" s="280" t="n"/>
      <c r="D460" s="280" t="n"/>
      <c r="E460" s="280" t="n"/>
      <c r="F460" s="280" t="n"/>
      <c r="G460" s="280" t="n"/>
      <c r="H460" s="280" t="n"/>
      <c r="I460" s="332">
        <f>IFERROR(VLOOKUP(TEXT(H460,"0"),IPRESS!$A$3:$B$212,2,0),"")</f>
        <v/>
      </c>
      <c r="J460" s="280" t="n"/>
      <c r="K460" s="332">
        <f>IFERROR(VLOOKUP(TEXT(O460,"0"),CONDUCTORES!$A$3:$G$54,7,0),"")</f>
        <v/>
      </c>
      <c r="L460" s="280" t="n"/>
      <c r="M460" s="280" t="n"/>
      <c r="N460" s="333">
        <f>IFERROR(IF(L460*M460=0,"",L460*M460),"")</f>
        <v/>
      </c>
      <c r="O460" s="280" t="n"/>
      <c r="P460" s="332">
        <f>IFERROR(VLOOKUP(TEXT(O460,"0"),CONDUCTORES!$A$3:$G$54,2,0),"")</f>
        <v/>
      </c>
      <c r="Q460" s="332">
        <f>IFERROR(VLOOKUP(TEXT(O460,"0"),CONDUCTORES!$A$3:$H$54,6,0),"")</f>
        <v/>
      </c>
      <c r="R460" s="280" t="n"/>
      <c r="S460" s="280" t="n"/>
      <c r="T460" s="280" t="n"/>
      <c r="U460" s="280" t="n"/>
      <c r="V460" s="280" t="n"/>
      <c r="W460" s="280" t="n"/>
      <c r="X460" s="280" t="n"/>
      <c r="Y460" s="280" t="n"/>
    </row>
    <row r="461" ht="15" customHeight="1" s="195">
      <c r="A461" s="334" t="n"/>
      <c r="B461" s="334" t="n"/>
      <c r="C461" s="334" t="n"/>
      <c r="D461" s="334" t="n"/>
      <c r="E461" s="334" t="n"/>
      <c r="F461" s="334" t="n"/>
      <c r="G461" s="334" t="n"/>
      <c r="H461" s="334" t="n"/>
      <c r="I461" s="332">
        <f>IFERROR(VLOOKUP(TEXT(H461,"0"),IPRESS!$A$3:$B$212,2,0),"")</f>
        <v/>
      </c>
      <c r="J461" s="334" t="n"/>
      <c r="K461" s="332">
        <f>IFERROR(VLOOKUP(TEXT(O461,"0"),CONDUCTORES!$A$3:$G$54,7,0),"")</f>
        <v/>
      </c>
      <c r="L461" s="334" t="n"/>
      <c r="M461" s="334" t="n"/>
      <c r="N461" s="333">
        <f>IFERROR(IF(L461*M461=0,"",L461*M461),"")</f>
        <v/>
      </c>
      <c r="O461" s="334" t="n"/>
      <c r="P461" s="332">
        <f>IFERROR(VLOOKUP(TEXT(O461,"0"),CONDUCTORES!$A$3:$G$54,2,0),"")</f>
        <v/>
      </c>
      <c r="Q461" s="332">
        <f>IFERROR(VLOOKUP(TEXT(O461,"0"),CONDUCTORES!$A$3:$H$54,6,0),"")</f>
        <v/>
      </c>
      <c r="R461" s="334" t="n"/>
      <c r="S461" s="334" t="n"/>
      <c r="T461" s="334" t="n"/>
      <c r="U461" s="334" t="n"/>
      <c r="V461" s="334" t="n"/>
      <c r="W461" s="334" t="n"/>
      <c r="X461" s="334" t="n"/>
      <c r="Y461" s="334" t="n"/>
    </row>
    <row r="462" ht="15" customHeight="1" s="195">
      <c r="A462" s="280" t="n"/>
      <c r="B462" s="280" t="n"/>
      <c r="C462" s="280" t="n"/>
      <c r="D462" s="280" t="n"/>
      <c r="E462" s="280" t="n"/>
      <c r="F462" s="280" t="n"/>
      <c r="G462" s="280" t="n"/>
      <c r="H462" s="280" t="n"/>
      <c r="I462" s="332">
        <f>IFERROR(VLOOKUP(TEXT(H462,"0"),IPRESS!$A$3:$B$212,2,0),"")</f>
        <v/>
      </c>
      <c r="J462" s="280" t="n"/>
      <c r="K462" s="332">
        <f>IFERROR(VLOOKUP(TEXT(O462,"0"),CONDUCTORES!$A$3:$G$54,7,0),"")</f>
        <v/>
      </c>
      <c r="L462" s="280" t="n"/>
      <c r="M462" s="280" t="n"/>
      <c r="N462" s="333">
        <f>IFERROR(IF(L462*M462=0,"",L462*M462),"")</f>
        <v/>
      </c>
      <c r="O462" s="280" t="n"/>
      <c r="P462" s="332">
        <f>IFERROR(VLOOKUP(TEXT(O462,"0"),CONDUCTORES!$A$3:$G$54,2,0),"")</f>
        <v/>
      </c>
      <c r="Q462" s="332">
        <f>IFERROR(VLOOKUP(TEXT(O462,"0"),CONDUCTORES!$A$3:$H$54,6,0),"")</f>
        <v/>
      </c>
      <c r="R462" s="280" t="n"/>
      <c r="S462" s="280" t="n"/>
      <c r="T462" s="280" t="n"/>
      <c r="U462" s="280" t="n"/>
      <c r="V462" s="280" t="n"/>
      <c r="W462" s="280" t="n"/>
      <c r="X462" s="280" t="n"/>
      <c r="Y462" s="280" t="n"/>
    </row>
    <row r="463" ht="15" customHeight="1" s="195">
      <c r="A463" s="334" t="n"/>
      <c r="B463" s="334" t="n"/>
      <c r="C463" s="334" t="n"/>
      <c r="D463" s="334" t="n"/>
      <c r="E463" s="334" t="n"/>
      <c r="F463" s="334" t="n"/>
      <c r="G463" s="334" t="n"/>
      <c r="H463" s="334" t="n"/>
      <c r="I463" s="332">
        <f>IFERROR(VLOOKUP(TEXT(H463,"0"),IPRESS!$A$3:$B$212,2,0),"")</f>
        <v/>
      </c>
      <c r="J463" s="334" t="n"/>
      <c r="K463" s="332">
        <f>IFERROR(VLOOKUP(TEXT(O463,"0"),CONDUCTORES!$A$3:$G$54,7,0),"")</f>
        <v/>
      </c>
      <c r="L463" s="334" t="n"/>
      <c r="M463" s="334" t="n"/>
      <c r="N463" s="333">
        <f>IFERROR(IF(L463*M463=0,"",L463*M463),"")</f>
        <v/>
      </c>
      <c r="O463" s="334" t="n"/>
      <c r="P463" s="332">
        <f>IFERROR(VLOOKUP(TEXT(O463,"0"),CONDUCTORES!$A$3:$G$54,2,0),"")</f>
        <v/>
      </c>
      <c r="Q463" s="332">
        <f>IFERROR(VLOOKUP(TEXT(O463,"0"),CONDUCTORES!$A$3:$H$54,6,0),"")</f>
        <v/>
      </c>
      <c r="R463" s="334" t="n"/>
      <c r="S463" s="334" t="n"/>
      <c r="T463" s="334" t="n"/>
      <c r="U463" s="334" t="n"/>
      <c r="V463" s="334" t="n"/>
      <c r="W463" s="334" t="n"/>
      <c r="X463" s="334" t="n"/>
      <c r="Y463" s="334" t="n"/>
    </row>
    <row r="464" ht="15" customHeight="1" s="195">
      <c r="A464" s="280" t="n"/>
      <c r="B464" s="280" t="n"/>
      <c r="C464" s="280" t="n"/>
      <c r="D464" s="280" t="n"/>
      <c r="E464" s="280" t="n"/>
      <c r="F464" s="280" t="n"/>
      <c r="G464" s="280" t="n"/>
      <c r="H464" s="280" t="n"/>
      <c r="I464" s="332">
        <f>IFERROR(VLOOKUP(TEXT(H464,"0"),IPRESS!$A$3:$B$212,2,0),"")</f>
        <v/>
      </c>
      <c r="J464" s="280" t="n"/>
      <c r="K464" s="332">
        <f>IFERROR(VLOOKUP(TEXT(O464,"0"),CONDUCTORES!$A$3:$G$54,7,0),"")</f>
        <v/>
      </c>
      <c r="L464" s="280" t="n"/>
      <c r="M464" s="280" t="n"/>
      <c r="N464" s="333">
        <f>IFERROR(IF(L464*M464=0,"",L464*M464),"")</f>
        <v/>
      </c>
      <c r="O464" s="280" t="n"/>
      <c r="P464" s="332">
        <f>IFERROR(VLOOKUP(TEXT(O464,"0"),CONDUCTORES!$A$3:$G$54,2,0),"")</f>
        <v/>
      </c>
      <c r="Q464" s="332">
        <f>IFERROR(VLOOKUP(TEXT(O464,"0"),CONDUCTORES!$A$3:$H$54,6,0),"")</f>
        <v/>
      </c>
      <c r="R464" s="280" t="n"/>
      <c r="S464" s="280" t="n"/>
      <c r="T464" s="280" t="n"/>
      <c r="U464" s="280" t="n"/>
      <c r="V464" s="280" t="n"/>
      <c r="W464" s="280" t="n"/>
      <c r="X464" s="280" t="n"/>
      <c r="Y464" s="280" t="n"/>
    </row>
    <row r="465" ht="15" customHeight="1" s="195">
      <c r="A465" s="334" t="n"/>
      <c r="B465" s="334" t="n"/>
      <c r="C465" s="334" t="n"/>
      <c r="D465" s="334" t="n"/>
      <c r="E465" s="334" t="n"/>
      <c r="F465" s="334" t="n"/>
      <c r="G465" s="334" t="n"/>
      <c r="H465" s="334" t="n"/>
      <c r="I465" s="332">
        <f>IFERROR(VLOOKUP(TEXT(H465,"0"),IPRESS!$A$3:$B$212,2,0),"")</f>
        <v/>
      </c>
      <c r="J465" s="334" t="n"/>
      <c r="K465" s="332">
        <f>IFERROR(VLOOKUP(TEXT(O465,"0"),CONDUCTORES!$A$3:$G$54,7,0),"")</f>
        <v/>
      </c>
      <c r="L465" s="334" t="n"/>
      <c r="M465" s="334" t="n"/>
      <c r="N465" s="333">
        <f>IFERROR(IF(L465*M465=0,"",L465*M465),"")</f>
        <v/>
      </c>
      <c r="O465" s="334" t="n"/>
      <c r="P465" s="332">
        <f>IFERROR(VLOOKUP(TEXT(O465,"0"),CONDUCTORES!$A$3:$G$54,2,0),"")</f>
        <v/>
      </c>
      <c r="Q465" s="332">
        <f>IFERROR(VLOOKUP(TEXT(O465,"0"),CONDUCTORES!$A$3:$H$54,6,0),"")</f>
        <v/>
      </c>
      <c r="R465" s="334" t="n"/>
      <c r="S465" s="334" t="n"/>
      <c r="T465" s="334" t="n"/>
      <c r="U465" s="334" t="n"/>
      <c r="V465" s="334" t="n"/>
      <c r="W465" s="334" t="n"/>
      <c r="X465" s="334" t="n"/>
      <c r="Y465" s="334" t="n"/>
    </row>
    <row r="466" ht="15" customHeight="1" s="195">
      <c r="A466" s="280" t="n"/>
      <c r="B466" s="280" t="n"/>
      <c r="C466" s="280" t="n"/>
      <c r="D466" s="280" t="n"/>
      <c r="E466" s="280" t="n"/>
      <c r="F466" s="280" t="n"/>
      <c r="G466" s="280" t="n"/>
      <c r="H466" s="280" t="n"/>
      <c r="I466" s="332">
        <f>IFERROR(VLOOKUP(TEXT(H466,"0"),IPRESS!$A$3:$B$212,2,0),"")</f>
        <v/>
      </c>
      <c r="J466" s="280" t="n"/>
      <c r="K466" s="332">
        <f>IFERROR(VLOOKUP(TEXT(O466,"0"),CONDUCTORES!$A$3:$G$54,7,0),"")</f>
        <v/>
      </c>
      <c r="L466" s="280" t="n"/>
      <c r="M466" s="280" t="n"/>
      <c r="N466" s="333">
        <f>IFERROR(IF(L466*M466=0,"",L466*M466),"")</f>
        <v/>
      </c>
      <c r="O466" s="280" t="n"/>
      <c r="P466" s="332">
        <f>IFERROR(VLOOKUP(TEXT(O466,"0"),CONDUCTORES!$A$3:$G$54,2,0),"")</f>
        <v/>
      </c>
      <c r="Q466" s="332">
        <f>IFERROR(VLOOKUP(TEXT(O466,"0"),CONDUCTORES!$A$3:$H$54,6,0),"")</f>
        <v/>
      </c>
      <c r="R466" s="280" t="n"/>
      <c r="S466" s="280" t="n"/>
      <c r="T466" s="280" t="n"/>
      <c r="U466" s="280" t="n"/>
      <c r="V466" s="280" t="n"/>
      <c r="W466" s="280" t="n"/>
      <c r="X466" s="280" t="n"/>
      <c r="Y466" s="280" t="n"/>
    </row>
    <row r="467" ht="15" customHeight="1" s="195">
      <c r="A467" s="334" t="n"/>
      <c r="B467" s="334" t="n"/>
      <c r="C467" s="334" t="n"/>
      <c r="D467" s="334" t="n"/>
      <c r="E467" s="334" t="n"/>
      <c r="F467" s="334" t="n"/>
      <c r="G467" s="334" t="n"/>
      <c r="H467" s="334" t="n"/>
      <c r="I467" s="332">
        <f>IFERROR(VLOOKUP(TEXT(H467,"0"),IPRESS!$A$3:$B$212,2,0),"")</f>
        <v/>
      </c>
      <c r="J467" s="334" t="n"/>
      <c r="K467" s="332">
        <f>IFERROR(VLOOKUP(TEXT(O467,"0"),CONDUCTORES!$A$3:$G$54,7,0),"")</f>
        <v/>
      </c>
      <c r="L467" s="334" t="n"/>
      <c r="M467" s="334" t="n"/>
      <c r="N467" s="333">
        <f>IFERROR(IF(L467*M467=0,"",L467*M467),"")</f>
        <v/>
      </c>
      <c r="O467" s="334" t="n"/>
      <c r="P467" s="332">
        <f>IFERROR(VLOOKUP(TEXT(O467,"0"),CONDUCTORES!$A$3:$G$54,2,0),"")</f>
        <v/>
      </c>
      <c r="Q467" s="332">
        <f>IFERROR(VLOOKUP(TEXT(O467,"0"),CONDUCTORES!$A$3:$H$54,6,0),"")</f>
        <v/>
      </c>
      <c r="R467" s="334" t="n"/>
      <c r="S467" s="334" t="n"/>
      <c r="T467" s="334" t="n"/>
      <c r="U467" s="334" t="n"/>
      <c r="V467" s="334" t="n"/>
      <c r="W467" s="334" t="n"/>
      <c r="X467" s="334" t="n"/>
      <c r="Y467" s="334" t="n"/>
    </row>
    <row r="468" ht="15" customHeight="1" s="195">
      <c r="A468" s="280" t="n"/>
      <c r="B468" s="280" t="n"/>
      <c r="C468" s="280" t="n"/>
      <c r="D468" s="280" t="n"/>
      <c r="E468" s="280" t="n"/>
      <c r="F468" s="280" t="n"/>
      <c r="G468" s="280" t="n"/>
      <c r="H468" s="280" t="n"/>
      <c r="I468" s="332">
        <f>IFERROR(VLOOKUP(TEXT(H468,"0"),IPRESS!$A$3:$B$212,2,0),"")</f>
        <v/>
      </c>
      <c r="J468" s="280" t="n"/>
      <c r="K468" s="332">
        <f>IFERROR(VLOOKUP(TEXT(O468,"0"),CONDUCTORES!$A$3:$G$54,7,0),"")</f>
        <v/>
      </c>
      <c r="L468" s="280" t="n"/>
      <c r="M468" s="280" t="n"/>
      <c r="N468" s="333">
        <f>IFERROR(IF(L468*M468=0,"",L468*M468),"")</f>
        <v/>
      </c>
      <c r="O468" s="280" t="n"/>
      <c r="P468" s="332">
        <f>IFERROR(VLOOKUP(TEXT(O468,"0"),CONDUCTORES!$A$3:$G$54,2,0),"")</f>
        <v/>
      </c>
      <c r="Q468" s="332">
        <f>IFERROR(VLOOKUP(TEXT(O468,"0"),CONDUCTORES!$A$3:$H$54,6,0),"")</f>
        <v/>
      </c>
      <c r="R468" s="280" t="n"/>
      <c r="S468" s="280" t="n"/>
      <c r="T468" s="280" t="n"/>
      <c r="U468" s="280" t="n"/>
      <c r="V468" s="280" t="n"/>
      <c r="W468" s="280" t="n"/>
      <c r="X468" s="280" t="n"/>
      <c r="Y468" s="280" t="n"/>
    </row>
    <row r="469" ht="15" customHeight="1" s="195">
      <c r="A469" s="334" t="n"/>
      <c r="B469" s="334" t="n"/>
      <c r="C469" s="334" t="n"/>
      <c r="D469" s="334" t="n"/>
      <c r="E469" s="334" t="n"/>
      <c r="F469" s="334" t="n"/>
      <c r="G469" s="334" t="n"/>
      <c r="H469" s="334" t="n"/>
      <c r="I469" s="332">
        <f>IFERROR(VLOOKUP(TEXT(H469,"0"),IPRESS!$A$3:$B$212,2,0),"")</f>
        <v/>
      </c>
      <c r="J469" s="334" t="n"/>
      <c r="K469" s="332">
        <f>IFERROR(VLOOKUP(TEXT(O469,"0"),CONDUCTORES!$A$3:$G$54,7,0),"")</f>
        <v/>
      </c>
      <c r="L469" s="334" t="n"/>
      <c r="M469" s="334" t="n"/>
      <c r="N469" s="333">
        <f>IFERROR(IF(L469*M469=0,"",L469*M469),"")</f>
        <v/>
      </c>
      <c r="O469" s="334" t="n"/>
      <c r="P469" s="332">
        <f>IFERROR(VLOOKUP(TEXT(O469,"0"),CONDUCTORES!$A$3:$G$54,2,0),"")</f>
        <v/>
      </c>
      <c r="Q469" s="332">
        <f>IFERROR(VLOOKUP(TEXT(O469,"0"),CONDUCTORES!$A$3:$H$54,6,0),"")</f>
        <v/>
      </c>
      <c r="R469" s="334" t="n"/>
      <c r="S469" s="334" t="n"/>
      <c r="T469" s="334" t="n"/>
      <c r="U469" s="334" t="n"/>
      <c r="V469" s="334" t="n"/>
      <c r="W469" s="334" t="n"/>
      <c r="X469" s="334" t="n"/>
      <c r="Y469" s="334" t="n"/>
    </row>
    <row r="470" ht="15" customHeight="1" s="195">
      <c r="A470" s="280" t="n"/>
      <c r="B470" s="280" t="n"/>
      <c r="C470" s="280" t="n"/>
      <c r="D470" s="280" t="n"/>
      <c r="E470" s="280" t="n"/>
      <c r="F470" s="280" t="n"/>
      <c r="G470" s="280" t="n"/>
      <c r="H470" s="280" t="n"/>
      <c r="I470" s="332">
        <f>IFERROR(VLOOKUP(TEXT(H470,"0"),IPRESS!$A$3:$B$212,2,0),"")</f>
        <v/>
      </c>
      <c r="J470" s="280" t="n"/>
      <c r="K470" s="332">
        <f>IFERROR(VLOOKUP(TEXT(O470,"0"),CONDUCTORES!$A$3:$G$54,7,0),"")</f>
        <v/>
      </c>
      <c r="L470" s="280" t="n"/>
      <c r="M470" s="280" t="n"/>
      <c r="N470" s="333">
        <f>IFERROR(IF(L470*M470=0,"",L470*M470),"")</f>
        <v/>
      </c>
      <c r="O470" s="280" t="n"/>
      <c r="P470" s="332">
        <f>IFERROR(VLOOKUP(TEXT(O470,"0"),CONDUCTORES!$A$3:$G$54,2,0),"")</f>
        <v/>
      </c>
      <c r="Q470" s="332">
        <f>IFERROR(VLOOKUP(TEXT(O470,"0"),CONDUCTORES!$A$3:$H$54,6,0),"")</f>
        <v/>
      </c>
      <c r="R470" s="280" t="n"/>
      <c r="S470" s="280" t="n"/>
      <c r="T470" s="280" t="n"/>
      <c r="U470" s="280" t="n"/>
      <c r="V470" s="280" t="n"/>
      <c r="W470" s="280" t="n"/>
      <c r="X470" s="280" t="n"/>
      <c r="Y470" s="280" t="n"/>
    </row>
    <row r="471" ht="15" customHeight="1" s="195">
      <c r="A471" s="334" t="n"/>
      <c r="B471" s="334" t="n"/>
      <c r="C471" s="334" t="n"/>
      <c r="D471" s="334" t="n"/>
      <c r="E471" s="334" t="n"/>
      <c r="F471" s="334" t="n"/>
      <c r="G471" s="334" t="n"/>
      <c r="H471" s="334" t="n"/>
      <c r="I471" s="332">
        <f>IFERROR(VLOOKUP(TEXT(H471,"0"),IPRESS!$A$3:$B$212,2,0),"")</f>
        <v/>
      </c>
      <c r="J471" s="334" t="n"/>
      <c r="K471" s="332">
        <f>IFERROR(VLOOKUP(TEXT(O471,"0"),CONDUCTORES!$A$3:$G$54,7,0),"")</f>
        <v/>
      </c>
      <c r="L471" s="334" t="n"/>
      <c r="M471" s="334" t="n"/>
      <c r="N471" s="333">
        <f>IFERROR(IF(L471*M471=0,"",L471*M471),"")</f>
        <v/>
      </c>
      <c r="O471" s="334" t="n"/>
      <c r="P471" s="332">
        <f>IFERROR(VLOOKUP(TEXT(O471,"0"),CONDUCTORES!$A$3:$G$54,2,0),"")</f>
        <v/>
      </c>
      <c r="Q471" s="332">
        <f>IFERROR(VLOOKUP(TEXT(O471,"0"),CONDUCTORES!$A$3:$H$54,6,0),"")</f>
        <v/>
      </c>
      <c r="R471" s="334" t="n"/>
      <c r="S471" s="334" t="n"/>
      <c r="T471" s="334" t="n"/>
      <c r="U471" s="334" t="n"/>
      <c r="V471" s="334" t="n"/>
      <c r="W471" s="334" t="n"/>
      <c r="X471" s="334" t="n"/>
      <c r="Y471" s="334" t="n"/>
    </row>
    <row r="472" ht="15" customHeight="1" s="195">
      <c r="A472" s="280" t="n"/>
      <c r="B472" s="280" t="n"/>
      <c r="C472" s="280" t="n"/>
      <c r="D472" s="280" t="n"/>
      <c r="E472" s="280" t="n"/>
      <c r="F472" s="280" t="n"/>
      <c r="G472" s="280" t="n"/>
      <c r="H472" s="280" t="n"/>
      <c r="I472" s="332">
        <f>IFERROR(VLOOKUP(TEXT(H472,"0"),IPRESS!$A$3:$B$212,2,0),"")</f>
        <v/>
      </c>
      <c r="J472" s="280" t="n"/>
      <c r="K472" s="332">
        <f>IFERROR(VLOOKUP(TEXT(O472,"0"),CONDUCTORES!$A$3:$G$54,7,0),"")</f>
        <v/>
      </c>
      <c r="L472" s="280" t="n"/>
      <c r="M472" s="280" t="n"/>
      <c r="N472" s="333">
        <f>IFERROR(IF(L472*M472=0,"",L472*M472),"")</f>
        <v/>
      </c>
      <c r="O472" s="280" t="n"/>
      <c r="P472" s="332">
        <f>IFERROR(VLOOKUP(TEXT(O472,"0"),CONDUCTORES!$A$3:$G$54,2,0),"")</f>
        <v/>
      </c>
      <c r="Q472" s="332">
        <f>IFERROR(VLOOKUP(TEXT(O472,"0"),CONDUCTORES!$A$3:$H$54,6,0),"")</f>
        <v/>
      </c>
      <c r="R472" s="280" t="n"/>
      <c r="S472" s="280" t="n"/>
      <c r="T472" s="280" t="n"/>
      <c r="U472" s="280" t="n"/>
      <c r="V472" s="280" t="n"/>
      <c r="W472" s="280" t="n"/>
      <c r="X472" s="280" t="n"/>
      <c r="Y472" s="280" t="n"/>
    </row>
    <row r="473" ht="15" customHeight="1" s="195">
      <c r="A473" s="334" t="n"/>
      <c r="B473" s="334" t="n"/>
      <c r="C473" s="334" t="n"/>
      <c r="D473" s="334" t="n"/>
      <c r="E473" s="334" t="n"/>
      <c r="F473" s="334" t="n"/>
      <c r="G473" s="334" t="n"/>
      <c r="H473" s="334" t="n"/>
      <c r="I473" s="332">
        <f>IFERROR(VLOOKUP(TEXT(H473,"0"),IPRESS!$A$3:$B$212,2,0),"")</f>
        <v/>
      </c>
      <c r="J473" s="334" t="n"/>
      <c r="K473" s="332">
        <f>IFERROR(VLOOKUP(TEXT(O473,"0"),CONDUCTORES!$A$3:$G$54,7,0),"")</f>
        <v/>
      </c>
      <c r="L473" s="334" t="n"/>
      <c r="M473" s="334" t="n"/>
      <c r="N473" s="333">
        <f>IFERROR(IF(L473*M473=0,"",L473*M473),"")</f>
        <v/>
      </c>
      <c r="O473" s="334" t="n"/>
      <c r="P473" s="332">
        <f>IFERROR(VLOOKUP(TEXT(O473,"0"),CONDUCTORES!$A$3:$G$54,2,0),"")</f>
        <v/>
      </c>
      <c r="Q473" s="332">
        <f>IFERROR(VLOOKUP(TEXT(O473,"0"),CONDUCTORES!$A$3:$H$54,6,0),"")</f>
        <v/>
      </c>
      <c r="R473" s="334" t="n"/>
      <c r="S473" s="334" t="n"/>
      <c r="T473" s="334" t="n"/>
      <c r="U473" s="334" t="n"/>
      <c r="V473" s="334" t="n"/>
      <c r="W473" s="334" t="n"/>
      <c r="X473" s="334" t="n"/>
      <c r="Y473" s="334" t="n"/>
    </row>
    <row r="474" ht="15" customHeight="1" s="195">
      <c r="A474" s="280" t="n"/>
      <c r="B474" s="280" t="n"/>
      <c r="C474" s="280" t="n"/>
      <c r="D474" s="280" t="n"/>
      <c r="E474" s="280" t="n"/>
      <c r="F474" s="280" t="n"/>
      <c r="G474" s="280" t="n"/>
      <c r="H474" s="280" t="n"/>
      <c r="I474" s="332">
        <f>IFERROR(VLOOKUP(TEXT(H474,"0"),IPRESS!$A$3:$B$212,2,0),"")</f>
        <v/>
      </c>
      <c r="J474" s="280" t="n"/>
      <c r="K474" s="332">
        <f>IFERROR(VLOOKUP(TEXT(O474,"0"),CONDUCTORES!$A$3:$G$54,7,0),"")</f>
        <v/>
      </c>
      <c r="L474" s="280" t="n"/>
      <c r="M474" s="280" t="n"/>
      <c r="N474" s="333">
        <f>IFERROR(IF(L474*M474=0,"",L474*M474),"")</f>
        <v/>
      </c>
      <c r="O474" s="280" t="n"/>
      <c r="P474" s="332">
        <f>IFERROR(VLOOKUP(TEXT(O474,"0"),CONDUCTORES!$A$3:$G$54,2,0),"")</f>
        <v/>
      </c>
      <c r="Q474" s="332">
        <f>IFERROR(VLOOKUP(TEXT(O474,"0"),CONDUCTORES!$A$3:$H$54,6,0),"")</f>
        <v/>
      </c>
      <c r="R474" s="280" t="n"/>
      <c r="S474" s="280" t="n"/>
      <c r="T474" s="280" t="n"/>
      <c r="U474" s="280" t="n"/>
      <c r="V474" s="280" t="n"/>
      <c r="W474" s="280" t="n"/>
      <c r="X474" s="280" t="n"/>
      <c r="Y474" s="280" t="n"/>
    </row>
    <row r="475" ht="15" customHeight="1" s="195">
      <c r="A475" s="334" t="n"/>
      <c r="B475" s="334" t="n"/>
      <c r="C475" s="334" t="n"/>
      <c r="D475" s="334" t="n"/>
      <c r="E475" s="334" t="n"/>
      <c r="F475" s="334" t="n"/>
      <c r="G475" s="334" t="n"/>
      <c r="H475" s="334" t="n"/>
      <c r="I475" s="332">
        <f>IFERROR(VLOOKUP(TEXT(H475,"0"),IPRESS!$A$3:$B$212,2,0),"")</f>
        <v/>
      </c>
      <c r="J475" s="334" t="n"/>
      <c r="K475" s="332">
        <f>IFERROR(VLOOKUP(TEXT(O475,"0"),CONDUCTORES!$A$3:$G$54,7,0),"")</f>
        <v/>
      </c>
      <c r="L475" s="334" t="n"/>
      <c r="M475" s="334" t="n"/>
      <c r="N475" s="333">
        <f>IFERROR(IF(L475*M475=0,"",L475*M475),"")</f>
        <v/>
      </c>
      <c r="O475" s="334" t="n"/>
      <c r="P475" s="332">
        <f>IFERROR(VLOOKUP(TEXT(O475,"0"),CONDUCTORES!$A$3:$G$54,2,0),"")</f>
        <v/>
      </c>
      <c r="Q475" s="332">
        <f>IFERROR(VLOOKUP(TEXT(O475,"0"),CONDUCTORES!$A$3:$H$54,6,0),"")</f>
        <v/>
      </c>
      <c r="R475" s="334" t="n"/>
      <c r="S475" s="334" t="n"/>
      <c r="T475" s="334" t="n"/>
      <c r="U475" s="334" t="n"/>
      <c r="V475" s="334" t="n"/>
      <c r="W475" s="334" t="n"/>
      <c r="X475" s="334" t="n"/>
      <c r="Y475" s="334" t="n"/>
    </row>
    <row r="476" ht="15" customHeight="1" s="195">
      <c r="A476" s="280" t="n"/>
      <c r="B476" s="280" t="n"/>
      <c r="C476" s="280" t="n"/>
      <c r="D476" s="280" t="n"/>
      <c r="E476" s="280" t="n"/>
      <c r="F476" s="280" t="n"/>
      <c r="G476" s="280" t="n"/>
      <c r="H476" s="280" t="n"/>
      <c r="I476" s="332">
        <f>IFERROR(VLOOKUP(TEXT(H476,"0"),IPRESS!$A$3:$B$212,2,0),"")</f>
        <v/>
      </c>
      <c r="J476" s="280" t="n"/>
      <c r="K476" s="332">
        <f>IFERROR(VLOOKUP(TEXT(O476,"0"),CONDUCTORES!$A$3:$G$54,7,0),"")</f>
        <v/>
      </c>
      <c r="L476" s="280" t="n"/>
      <c r="M476" s="280" t="n"/>
      <c r="N476" s="333">
        <f>IFERROR(IF(L476*M476=0,"",L476*M476),"")</f>
        <v/>
      </c>
      <c r="O476" s="280" t="n"/>
      <c r="P476" s="332">
        <f>IFERROR(VLOOKUP(TEXT(O476,"0"),CONDUCTORES!$A$3:$G$54,2,0),"")</f>
        <v/>
      </c>
      <c r="Q476" s="332">
        <f>IFERROR(VLOOKUP(TEXT(O476,"0"),CONDUCTORES!$A$3:$H$54,6,0),"")</f>
        <v/>
      </c>
      <c r="R476" s="280" t="n"/>
      <c r="S476" s="280" t="n"/>
      <c r="T476" s="280" t="n"/>
      <c r="U476" s="280" t="n"/>
      <c r="V476" s="280" t="n"/>
      <c r="W476" s="280" t="n"/>
      <c r="X476" s="280" t="n"/>
      <c r="Y476" s="280" t="n"/>
    </row>
    <row r="477" ht="15" customHeight="1" s="195">
      <c r="A477" s="334" t="n"/>
      <c r="B477" s="334" t="n"/>
      <c r="C477" s="334" t="n"/>
      <c r="D477" s="334" t="n"/>
      <c r="E477" s="334" t="n"/>
      <c r="F477" s="334" t="n"/>
      <c r="G477" s="334" t="n"/>
      <c r="H477" s="334" t="n"/>
      <c r="I477" s="332">
        <f>IFERROR(VLOOKUP(TEXT(H477,"0"),IPRESS!$A$3:$B$212,2,0),"")</f>
        <v/>
      </c>
      <c r="J477" s="334" t="n"/>
      <c r="K477" s="332">
        <f>IFERROR(VLOOKUP(TEXT(O477,"0"),CONDUCTORES!$A$3:$G$54,7,0),"")</f>
        <v/>
      </c>
      <c r="L477" s="334" t="n"/>
      <c r="M477" s="334" t="n"/>
      <c r="N477" s="333">
        <f>IFERROR(IF(L477*M477=0,"",L477*M477),"")</f>
        <v/>
      </c>
      <c r="O477" s="334" t="n"/>
      <c r="P477" s="332">
        <f>IFERROR(VLOOKUP(TEXT(O477,"0"),CONDUCTORES!$A$3:$G$54,2,0),"")</f>
        <v/>
      </c>
      <c r="Q477" s="332">
        <f>IFERROR(VLOOKUP(TEXT(O477,"0"),CONDUCTORES!$A$3:$H$54,6,0),"")</f>
        <v/>
      </c>
      <c r="R477" s="334" t="n"/>
      <c r="S477" s="334" t="n"/>
      <c r="T477" s="334" t="n"/>
      <c r="U477" s="334" t="n"/>
      <c r="V477" s="334" t="n"/>
      <c r="W477" s="334" t="n"/>
      <c r="X477" s="334" t="n"/>
      <c r="Y477" s="334" t="n"/>
    </row>
    <row r="478" ht="15" customHeight="1" s="195">
      <c r="A478" s="280" t="n"/>
      <c r="B478" s="280" t="n"/>
      <c r="C478" s="280" t="n"/>
      <c r="D478" s="280" t="n"/>
      <c r="E478" s="280" t="n"/>
      <c r="F478" s="280" t="n"/>
      <c r="G478" s="280" t="n"/>
      <c r="H478" s="280" t="n"/>
      <c r="I478" s="332">
        <f>IFERROR(VLOOKUP(TEXT(H478,"0"),IPRESS!$A$3:$B$212,2,0),"")</f>
        <v/>
      </c>
      <c r="J478" s="280" t="n"/>
      <c r="K478" s="332">
        <f>IFERROR(VLOOKUP(TEXT(O478,"0"),CONDUCTORES!$A$3:$G$54,7,0),"")</f>
        <v/>
      </c>
      <c r="L478" s="280" t="n"/>
      <c r="M478" s="280" t="n"/>
      <c r="N478" s="333">
        <f>IFERROR(IF(L478*M478=0,"",L478*M478),"")</f>
        <v/>
      </c>
      <c r="O478" s="280" t="n"/>
      <c r="P478" s="332">
        <f>IFERROR(VLOOKUP(TEXT(O478,"0"),CONDUCTORES!$A$3:$G$54,2,0),"")</f>
        <v/>
      </c>
      <c r="Q478" s="332">
        <f>IFERROR(VLOOKUP(TEXT(O478,"0"),CONDUCTORES!$A$3:$H$54,6,0),"")</f>
        <v/>
      </c>
      <c r="R478" s="280" t="n"/>
      <c r="S478" s="280" t="n"/>
      <c r="T478" s="280" t="n"/>
      <c r="U478" s="280" t="n"/>
      <c r="V478" s="280" t="n"/>
      <c r="W478" s="280" t="n"/>
      <c r="X478" s="280" t="n"/>
      <c r="Y478" s="280" t="n"/>
    </row>
    <row r="479" ht="15" customHeight="1" s="195">
      <c r="A479" s="334" t="n"/>
      <c r="B479" s="334" t="n"/>
      <c r="C479" s="334" t="n"/>
      <c r="D479" s="334" t="n"/>
      <c r="E479" s="334" t="n"/>
      <c r="F479" s="334" t="n"/>
      <c r="G479" s="334" t="n"/>
      <c r="H479" s="334" t="n"/>
      <c r="I479" s="332">
        <f>IFERROR(VLOOKUP(TEXT(H479,"0"),IPRESS!$A$3:$B$212,2,0),"")</f>
        <v/>
      </c>
      <c r="J479" s="334" t="n"/>
      <c r="K479" s="332">
        <f>IFERROR(VLOOKUP(TEXT(O479,"0"),CONDUCTORES!$A$3:$G$54,7,0),"")</f>
        <v/>
      </c>
      <c r="L479" s="334" t="n"/>
      <c r="M479" s="334" t="n"/>
      <c r="N479" s="333">
        <f>IFERROR(IF(L479*M479=0,"",L479*M479),"")</f>
        <v/>
      </c>
      <c r="O479" s="334" t="n"/>
      <c r="P479" s="332">
        <f>IFERROR(VLOOKUP(TEXT(O479,"0"),CONDUCTORES!$A$3:$G$54,2,0),"")</f>
        <v/>
      </c>
      <c r="Q479" s="332">
        <f>IFERROR(VLOOKUP(TEXT(O479,"0"),CONDUCTORES!$A$3:$H$54,6,0),"")</f>
        <v/>
      </c>
      <c r="R479" s="334" t="n"/>
      <c r="S479" s="334" t="n"/>
      <c r="T479" s="334" t="n"/>
      <c r="U479" s="334" t="n"/>
      <c r="V479" s="334" t="n"/>
      <c r="W479" s="334" t="n"/>
      <c r="X479" s="334" t="n"/>
      <c r="Y479" s="334" t="n"/>
    </row>
    <row r="480" ht="15" customHeight="1" s="195">
      <c r="A480" s="280" t="n"/>
      <c r="B480" s="280" t="n"/>
      <c r="C480" s="280" t="n"/>
      <c r="D480" s="280" t="n"/>
      <c r="E480" s="280" t="n"/>
      <c r="F480" s="280" t="n"/>
      <c r="G480" s="280" t="n"/>
      <c r="H480" s="280" t="n"/>
      <c r="I480" s="332">
        <f>IFERROR(VLOOKUP(TEXT(H480,"0"),IPRESS!$A$3:$B$212,2,0),"")</f>
        <v/>
      </c>
      <c r="J480" s="280" t="n"/>
      <c r="K480" s="332">
        <f>IFERROR(VLOOKUP(TEXT(O480,"0"),CONDUCTORES!$A$3:$G$54,7,0),"")</f>
        <v/>
      </c>
      <c r="L480" s="280" t="n"/>
      <c r="M480" s="280" t="n"/>
      <c r="N480" s="333">
        <f>IFERROR(IF(L480*M480=0,"",L480*M480),"")</f>
        <v/>
      </c>
      <c r="O480" s="280" t="n"/>
      <c r="P480" s="332">
        <f>IFERROR(VLOOKUP(TEXT(O480,"0"),CONDUCTORES!$A$3:$G$54,2,0),"")</f>
        <v/>
      </c>
      <c r="Q480" s="332">
        <f>IFERROR(VLOOKUP(TEXT(O480,"0"),CONDUCTORES!$A$3:$H$54,6,0),"")</f>
        <v/>
      </c>
      <c r="R480" s="280" t="n"/>
      <c r="S480" s="280" t="n"/>
      <c r="T480" s="280" t="n"/>
      <c r="U480" s="280" t="n"/>
      <c r="V480" s="280" t="n"/>
      <c r="W480" s="280" t="n"/>
      <c r="X480" s="280" t="n"/>
      <c r="Y480" s="280" t="n"/>
    </row>
    <row r="481" ht="15" customHeight="1" s="195">
      <c r="A481" s="334" t="n"/>
      <c r="B481" s="334" t="n"/>
      <c r="C481" s="334" t="n"/>
      <c r="D481" s="334" t="n"/>
      <c r="E481" s="334" t="n"/>
      <c r="F481" s="334" t="n"/>
      <c r="G481" s="334" t="n"/>
      <c r="H481" s="334" t="n"/>
      <c r="I481" s="332">
        <f>IFERROR(VLOOKUP(TEXT(H481,"0"),IPRESS!$A$3:$B$212,2,0),"")</f>
        <v/>
      </c>
      <c r="J481" s="334" t="n"/>
      <c r="K481" s="332">
        <f>IFERROR(VLOOKUP(TEXT(O481,"0"),CONDUCTORES!$A$3:$G$54,7,0),"")</f>
        <v/>
      </c>
      <c r="L481" s="334" t="n"/>
      <c r="M481" s="334" t="n"/>
      <c r="N481" s="333">
        <f>IFERROR(IF(L481*M481=0,"",L481*M481),"")</f>
        <v/>
      </c>
      <c r="O481" s="334" t="n"/>
      <c r="P481" s="332">
        <f>IFERROR(VLOOKUP(TEXT(O481,"0"),CONDUCTORES!$A$3:$G$54,2,0),"")</f>
        <v/>
      </c>
      <c r="Q481" s="332">
        <f>IFERROR(VLOOKUP(TEXT(O481,"0"),CONDUCTORES!$A$3:$H$54,6,0),"")</f>
        <v/>
      </c>
      <c r="R481" s="334" t="n"/>
      <c r="S481" s="334" t="n"/>
      <c r="T481" s="334" t="n"/>
      <c r="U481" s="334" t="n"/>
      <c r="V481" s="334" t="n"/>
      <c r="W481" s="334" t="n"/>
      <c r="X481" s="334" t="n"/>
      <c r="Y481" s="334" t="n"/>
    </row>
    <row r="482" ht="15" customHeight="1" s="195">
      <c r="A482" s="280" t="n"/>
      <c r="B482" s="280" t="n"/>
      <c r="C482" s="280" t="n"/>
      <c r="D482" s="280" t="n"/>
      <c r="E482" s="280" t="n"/>
      <c r="F482" s="280" t="n"/>
      <c r="G482" s="280" t="n"/>
      <c r="H482" s="280" t="n"/>
      <c r="I482" s="332">
        <f>IFERROR(VLOOKUP(TEXT(H482,"0"),IPRESS!$A$3:$B$212,2,0),"")</f>
        <v/>
      </c>
      <c r="J482" s="280" t="n"/>
      <c r="K482" s="332">
        <f>IFERROR(VLOOKUP(TEXT(O482,"0"),CONDUCTORES!$A$3:$G$54,7,0),"")</f>
        <v/>
      </c>
      <c r="L482" s="280" t="n"/>
      <c r="M482" s="280" t="n"/>
      <c r="N482" s="333">
        <f>IFERROR(IF(L482*M482=0,"",L482*M482),"")</f>
        <v/>
      </c>
      <c r="O482" s="280" t="n"/>
      <c r="P482" s="332">
        <f>IFERROR(VLOOKUP(TEXT(O482,"0"),CONDUCTORES!$A$3:$G$54,2,0),"")</f>
        <v/>
      </c>
      <c r="Q482" s="332">
        <f>IFERROR(VLOOKUP(TEXT(O482,"0"),CONDUCTORES!$A$3:$H$54,6,0),"")</f>
        <v/>
      </c>
      <c r="R482" s="280" t="n"/>
      <c r="S482" s="280" t="n"/>
      <c r="T482" s="280" t="n"/>
      <c r="U482" s="280" t="n"/>
      <c r="V482" s="280" t="n"/>
      <c r="W482" s="280" t="n"/>
      <c r="X482" s="280" t="n"/>
      <c r="Y482" s="280" t="n"/>
    </row>
    <row r="483" ht="15" customHeight="1" s="195">
      <c r="A483" s="334" t="n"/>
      <c r="B483" s="334" t="n"/>
      <c r="C483" s="334" t="n"/>
      <c r="D483" s="334" t="n"/>
      <c r="E483" s="334" t="n"/>
      <c r="F483" s="334" t="n"/>
      <c r="G483" s="334" t="n"/>
      <c r="H483" s="334" t="n"/>
      <c r="I483" s="332">
        <f>IFERROR(VLOOKUP(TEXT(H483,"0"),IPRESS!$A$3:$B$212,2,0),"")</f>
        <v/>
      </c>
      <c r="J483" s="334" t="n"/>
      <c r="K483" s="332">
        <f>IFERROR(VLOOKUP(TEXT(O483,"0"),CONDUCTORES!$A$3:$G$54,7,0),"")</f>
        <v/>
      </c>
      <c r="L483" s="334" t="n"/>
      <c r="M483" s="334" t="n"/>
      <c r="N483" s="333">
        <f>IFERROR(IF(L483*M483=0,"",L483*M483),"")</f>
        <v/>
      </c>
      <c r="O483" s="334" t="n"/>
      <c r="P483" s="332">
        <f>IFERROR(VLOOKUP(TEXT(O483,"0"),CONDUCTORES!$A$3:$G$54,2,0),"")</f>
        <v/>
      </c>
      <c r="Q483" s="332">
        <f>IFERROR(VLOOKUP(TEXT(O483,"0"),CONDUCTORES!$A$3:$H$54,6,0),"")</f>
        <v/>
      </c>
      <c r="R483" s="334" t="n"/>
      <c r="S483" s="334" t="n"/>
      <c r="T483" s="334" t="n"/>
      <c r="U483" s="334" t="n"/>
      <c r="V483" s="334" t="n"/>
      <c r="W483" s="334" t="n"/>
      <c r="X483" s="334" t="n"/>
      <c r="Y483" s="334" t="n"/>
    </row>
    <row r="484" ht="15" customHeight="1" s="195">
      <c r="A484" s="280" t="n"/>
      <c r="B484" s="280" t="n"/>
      <c r="C484" s="280" t="n"/>
      <c r="D484" s="280" t="n"/>
      <c r="E484" s="280" t="n"/>
      <c r="F484" s="280" t="n"/>
      <c r="G484" s="280" t="n"/>
      <c r="H484" s="280" t="n"/>
      <c r="I484" s="332">
        <f>IFERROR(VLOOKUP(TEXT(H484,"0"),IPRESS!$A$3:$B$212,2,0),"")</f>
        <v/>
      </c>
      <c r="J484" s="280" t="n"/>
      <c r="K484" s="332">
        <f>IFERROR(VLOOKUP(TEXT(O484,"0"),CONDUCTORES!$A$3:$G$54,7,0),"")</f>
        <v/>
      </c>
      <c r="L484" s="280" t="n"/>
      <c r="M484" s="280" t="n"/>
      <c r="N484" s="333">
        <f>IFERROR(IF(L484*M484=0,"",L484*M484),"")</f>
        <v/>
      </c>
      <c r="O484" s="280" t="n"/>
      <c r="P484" s="332">
        <f>IFERROR(VLOOKUP(TEXT(O484,"0"),CONDUCTORES!$A$3:$G$54,2,0),"")</f>
        <v/>
      </c>
      <c r="Q484" s="332">
        <f>IFERROR(VLOOKUP(TEXT(O484,"0"),CONDUCTORES!$A$3:$H$54,6,0),"")</f>
        <v/>
      </c>
      <c r="R484" s="280" t="n"/>
      <c r="S484" s="280" t="n"/>
      <c r="T484" s="280" t="n"/>
      <c r="U484" s="280" t="n"/>
      <c r="V484" s="280" t="n"/>
      <c r="W484" s="280" t="n"/>
      <c r="X484" s="280" t="n"/>
      <c r="Y484" s="280" t="n"/>
    </row>
    <row r="485" ht="15" customHeight="1" s="195">
      <c r="A485" s="334" t="n"/>
      <c r="B485" s="334" t="n"/>
      <c r="C485" s="334" t="n"/>
      <c r="D485" s="334" t="n"/>
      <c r="E485" s="334" t="n"/>
      <c r="F485" s="334" t="n"/>
      <c r="G485" s="334" t="n"/>
      <c r="H485" s="334" t="n"/>
      <c r="I485" s="332">
        <f>IFERROR(VLOOKUP(TEXT(H485,"0"),IPRESS!$A$3:$B$212,2,0),"")</f>
        <v/>
      </c>
      <c r="J485" s="334" t="n"/>
      <c r="K485" s="332">
        <f>IFERROR(VLOOKUP(TEXT(O485,"0"),CONDUCTORES!$A$3:$G$54,7,0),"")</f>
        <v/>
      </c>
      <c r="L485" s="334" t="n"/>
      <c r="M485" s="334" t="n"/>
      <c r="N485" s="333">
        <f>IFERROR(IF(L485*M485=0,"",L485*M485),"")</f>
        <v/>
      </c>
      <c r="O485" s="334" t="n"/>
      <c r="P485" s="332">
        <f>IFERROR(VLOOKUP(TEXT(O485,"0"),CONDUCTORES!$A$3:$G$54,2,0),"")</f>
        <v/>
      </c>
      <c r="Q485" s="332">
        <f>IFERROR(VLOOKUP(TEXT(O485,"0"),CONDUCTORES!$A$3:$H$54,6,0),"")</f>
        <v/>
      </c>
      <c r="R485" s="334" t="n"/>
      <c r="S485" s="334" t="n"/>
      <c r="T485" s="334" t="n"/>
      <c r="U485" s="334" t="n"/>
      <c r="V485" s="334" t="n"/>
      <c r="W485" s="334" t="n"/>
      <c r="X485" s="334" t="n"/>
      <c r="Y485" s="334" t="n"/>
    </row>
    <row r="486" ht="15" customHeight="1" s="195">
      <c r="A486" s="280" t="n"/>
      <c r="B486" s="280" t="n"/>
      <c r="C486" s="280" t="n"/>
      <c r="D486" s="280" t="n"/>
      <c r="E486" s="280" t="n"/>
      <c r="F486" s="280" t="n"/>
      <c r="G486" s="280" t="n"/>
      <c r="H486" s="280" t="n"/>
      <c r="I486" s="332">
        <f>IFERROR(VLOOKUP(TEXT(H486,"0"),IPRESS!$A$3:$B$212,2,0),"")</f>
        <v/>
      </c>
      <c r="J486" s="280" t="n"/>
      <c r="K486" s="332">
        <f>IFERROR(VLOOKUP(TEXT(O486,"0"),CONDUCTORES!$A$3:$G$54,7,0),"")</f>
        <v/>
      </c>
      <c r="L486" s="280" t="n"/>
      <c r="M486" s="280" t="n"/>
      <c r="N486" s="333">
        <f>IFERROR(IF(L486*M486=0,"",L486*M486),"")</f>
        <v/>
      </c>
      <c r="O486" s="280" t="n"/>
      <c r="P486" s="332">
        <f>IFERROR(VLOOKUP(TEXT(O486,"0"),CONDUCTORES!$A$3:$G$54,2,0),"")</f>
        <v/>
      </c>
      <c r="Q486" s="332">
        <f>IFERROR(VLOOKUP(TEXT(O486,"0"),CONDUCTORES!$A$3:$H$54,6,0),"")</f>
        <v/>
      </c>
      <c r="R486" s="280" t="n"/>
      <c r="S486" s="280" t="n"/>
      <c r="T486" s="280" t="n"/>
      <c r="U486" s="280" t="n"/>
      <c r="V486" s="280" t="n"/>
      <c r="W486" s="280" t="n"/>
      <c r="X486" s="280" t="n"/>
      <c r="Y486" s="280" t="n"/>
    </row>
    <row r="487" ht="15" customHeight="1" s="195">
      <c r="A487" s="334" t="n"/>
      <c r="B487" s="334" t="n"/>
      <c r="C487" s="334" t="n"/>
      <c r="D487" s="334" t="n"/>
      <c r="E487" s="334" t="n"/>
      <c r="F487" s="334" t="n"/>
      <c r="G487" s="334" t="n"/>
      <c r="H487" s="334" t="n"/>
      <c r="I487" s="332">
        <f>IFERROR(VLOOKUP(TEXT(H487,"0"),IPRESS!$A$3:$B$212,2,0),"")</f>
        <v/>
      </c>
      <c r="J487" s="334" t="n"/>
      <c r="K487" s="332">
        <f>IFERROR(VLOOKUP(TEXT(O487,"0"),CONDUCTORES!$A$3:$G$54,7,0),"")</f>
        <v/>
      </c>
      <c r="L487" s="334" t="n"/>
      <c r="M487" s="334" t="n"/>
      <c r="N487" s="333">
        <f>IFERROR(IF(L487*M487=0,"",L487*M487),"")</f>
        <v/>
      </c>
      <c r="O487" s="334" t="n"/>
      <c r="P487" s="332">
        <f>IFERROR(VLOOKUP(TEXT(O487,"0"),CONDUCTORES!$A$3:$G$54,2,0),"")</f>
        <v/>
      </c>
      <c r="Q487" s="332">
        <f>IFERROR(VLOOKUP(TEXT(O487,"0"),CONDUCTORES!$A$3:$H$54,6,0),"")</f>
        <v/>
      </c>
      <c r="R487" s="334" t="n"/>
      <c r="S487" s="334" t="n"/>
      <c r="T487" s="334" t="n"/>
      <c r="U487" s="334" t="n"/>
      <c r="V487" s="334" t="n"/>
      <c r="W487" s="334" t="n"/>
      <c r="X487" s="334" t="n"/>
      <c r="Y487" s="334" t="n"/>
    </row>
    <row r="488" ht="15" customHeight="1" s="195">
      <c r="A488" s="280" t="n"/>
      <c r="B488" s="280" t="n"/>
      <c r="C488" s="280" t="n"/>
      <c r="D488" s="280" t="n"/>
      <c r="E488" s="280" t="n"/>
      <c r="F488" s="280" t="n"/>
      <c r="G488" s="280" t="n"/>
      <c r="H488" s="280" t="n"/>
      <c r="I488" s="332">
        <f>IFERROR(VLOOKUP(TEXT(H488,"0"),IPRESS!$A$3:$B$212,2,0),"")</f>
        <v/>
      </c>
      <c r="J488" s="280" t="n"/>
      <c r="K488" s="332">
        <f>IFERROR(VLOOKUP(TEXT(O488,"0"),CONDUCTORES!$A$3:$G$54,7,0),"")</f>
        <v/>
      </c>
      <c r="L488" s="280" t="n"/>
      <c r="M488" s="280" t="n"/>
      <c r="N488" s="333">
        <f>IFERROR(IF(L488*M488=0,"",L488*M488),"")</f>
        <v/>
      </c>
      <c r="O488" s="280" t="n"/>
      <c r="P488" s="332">
        <f>IFERROR(VLOOKUP(TEXT(O488,"0"),CONDUCTORES!$A$3:$G$54,2,0),"")</f>
        <v/>
      </c>
      <c r="Q488" s="332">
        <f>IFERROR(VLOOKUP(TEXT(O488,"0"),CONDUCTORES!$A$3:$H$54,6,0),"")</f>
        <v/>
      </c>
      <c r="R488" s="280" t="n"/>
      <c r="S488" s="280" t="n"/>
      <c r="T488" s="280" t="n"/>
      <c r="U488" s="280" t="n"/>
      <c r="V488" s="280" t="n"/>
      <c r="W488" s="280" t="n"/>
      <c r="X488" s="280" t="n"/>
      <c r="Y488" s="280" t="n"/>
    </row>
    <row r="489" ht="15" customHeight="1" s="195">
      <c r="A489" s="334" t="n"/>
      <c r="B489" s="334" t="n"/>
      <c r="C489" s="334" t="n"/>
      <c r="D489" s="334" t="n"/>
      <c r="E489" s="334" t="n"/>
      <c r="F489" s="334" t="n"/>
      <c r="G489" s="334" t="n"/>
      <c r="H489" s="334" t="n"/>
      <c r="I489" s="332">
        <f>IFERROR(VLOOKUP(TEXT(H489,"0"),IPRESS!$A$3:$B$212,2,0),"")</f>
        <v/>
      </c>
      <c r="J489" s="334" t="n"/>
      <c r="K489" s="332">
        <f>IFERROR(VLOOKUP(TEXT(O489,"0"),CONDUCTORES!$A$3:$G$54,7,0),"")</f>
        <v/>
      </c>
      <c r="L489" s="334" t="n"/>
      <c r="M489" s="334" t="n"/>
      <c r="N489" s="333">
        <f>IFERROR(IF(L489*M489=0,"",L489*M489),"")</f>
        <v/>
      </c>
      <c r="O489" s="334" t="n"/>
      <c r="P489" s="332">
        <f>IFERROR(VLOOKUP(TEXT(O489,"0"),CONDUCTORES!$A$3:$G$54,2,0),"")</f>
        <v/>
      </c>
      <c r="Q489" s="332">
        <f>IFERROR(VLOOKUP(TEXT(O489,"0"),CONDUCTORES!$A$3:$H$54,6,0),"")</f>
        <v/>
      </c>
      <c r="R489" s="334" t="n"/>
      <c r="S489" s="334" t="n"/>
      <c r="T489" s="334" t="n"/>
      <c r="U489" s="334" t="n"/>
      <c r="V489" s="334" t="n"/>
      <c r="W489" s="334" t="n"/>
      <c r="X489" s="334" t="n"/>
      <c r="Y489" s="334" t="n"/>
    </row>
    <row r="490" ht="15" customHeight="1" s="195">
      <c r="A490" s="280" t="n"/>
      <c r="B490" s="280" t="n"/>
      <c r="C490" s="280" t="n"/>
      <c r="D490" s="280" t="n"/>
      <c r="E490" s="280" t="n"/>
      <c r="F490" s="280" t="n"/>
      <c r="G490" s="280" t="n"/>
      <c r="H490" s="280" t="n"/>
      <c r="I490" s="332">
        <f>IFERROR(VLOOKUP(TEXT(H490,"0"),IPRESS!$A$3:$B$212,2,0),"")</f>
        <v/>
      </c>
      <c r="J490" s="280" t="n"/>
      <c r="K490" s="332">
        <f>IFERROR(VLOOKUP(TEXT(O490,"0"),CONDUCTORES!$A$3:$G$54,7,0),"")</f>
        <v/>
      </c>
      <c r="L490" s="280" t="n"/>
      <c r="M490" s="280" t="n"/>
      <c r="N490" s="333">
        <f>IFERROR(IF(L490*M490=0,"",L490*M490),"")</f>
        <v/>
      </c>
      <c r="O490" s="280" t="n"/>
      <c r="P490" s="332">
        <f>IFERROR(VLOOKUP(TEXT(O490,"0"),CONDUCTORES!$A$3:$G$54,2,0),"")</f>
        <v/>
      </c>
      <c r="Q490" s="332">
        <f>IFERROR(VLOOKUP(TEXT(O490,"0"),CONDUCTORES!$A$3:$H$54,6,0),"")</f>
        <v/>
      </c>
      <c r="R490" s="280" t="n"/>
      <c r="S490" s="280" t="n"/>
      <c r="T490" s="280" t="n"/>
      <c r="U490" s="280" t="n"/>
      <c r="V490" s="280" t="n"/>
      <c r="W490" s="280" t="n"/>
      <c r="X490" s="280" t="n"/>
      <c r="Y490" s="280" t="n"/>
    </row>
    <row r="491" ht="15" customHeight="1" s="195">
      <c r="A491" s="334" t="n"/>
      <c r="B491" s="334" t="n"/>
      <c r="C491" s="334" t="n"/>
      <c r="D491" s="334" t="n"/>
      <c r="E491" s="334" t="n"/>
      <c r="F491" s="334" t="n"/>
      <c r="G491" s="334" t="n"/>
      <c r="H491" s="334" t="n"/>
      <c r="I491" s="332">
        <f>IFERROR(VLOOKUP(TEXT(H491,"0"),IPRESS!$A$3:$B$212,2,0),"")</f>
        <v/>
      </c>
      <c r="J491" s="334" t="n"/>
      <c r="K491" s="332">
        <f>IFERROR(VLOOKUP(TEXT(O491,"0"),CONDUCTORES!$A$3:$G$54,7,0),"")</f>
        <v/>
      </c>
      <c r="L491" s="334" t="n"/>
      <c r="M491" s="334" t="n"/>
      <c r="N491" s="333">
        <f>IFERROR(IF(L491*M491=0,"",L491*M491),"")</f>
        <v/>
      </c>
      <c r="O491" s="334" t="n"/>
      <c r="P491" s="332">
        <f>IFERROR(VLOOKUP(TEXT(O491,"0"),CONDUCTORES!$A$3:$G$54,2,0),"")</f>
        <v/>
      </c>
      <c r="Q491" s="332">
        <f>IFERROR(VLOOKUP(TEXT(O491,"0"),CONDUCTORES!$A$3:$H$54,6,0),"")</f>
        <v/>
      </c>
      <c r="R491" s="334" t="n"/>
      <c r="S491" s="334" t="n"/>
      <c r="T491" s="334" t="n"/>
      <c r="U491" s="334" t="n"/>
      <c r="V491" s="334" t="n"/>
      <c r="W491" s="334" t="n"/>
      <c r="X491" s="334" t="n"/>
      <c r="Y491" s="334" t="n"/>
    </row>
    <row r="492" ht="15" customHeight="1" s="195">
      <c r="A492" s="280" t="n"/>
      <c r="B492" s="280" t="n"/>
      <c r="C492" s="280" t="n"/>
      <c r="D492" s="280" t="n"/>
      <c r="E492" s="280" t="n"/>
      <c r="F492" s="280" t="n"/>
      <c r="G492" s="280" t="n"/>
      <c r="H492" s="280" t="n"/>
      <c r="I492" s="332">
        <f>IFERROR(VLOOKUP(TEXT(H492,"0"),IPRESS!$A$3:$B$212,2,0),"")</f>
        <v/>
      </c>
      <c r="J492" s="280" t="n"/>
      <c r="K492" s="332">
        <f>IFERROR(VLOOKUP(TEXT(O492,"0"),CONDUCTORES!$A$3:$G$54,7,0),"")</f>
        <v/>
      </c>
      <c r="L492" s="280" t="n"/>
      <c r="M492" s="280" t="n"/>
      <c r="N492" s="333">
        <f>IFERROR(IF(L492*M492=0,"",L492*M492),"")</f>
        <v/>
      </c>
      <c r="O492" s="280" t="n"/>
      <c r="P492" s="332">
        <f>IFERROR(VLOOKUP(TEXT(O492,"0"),CONDUCTORES!$A$3:$G$54,2,0),"")</f>
        <v/>
      </c>
      <c r="Q492" s="332">
        <f>IFERROR(VLOOKUP(TEXT(O492,"0"),CONDUCTORES!$A$3:$H$54,6,0),"")</f>
        <v/>
      </c>
      <c r="R492" s="280" t="n"/>
      <c r="S492" s="280" t="n"/>
      <c r="T492" s="280" t="n"/>
      <c r="U492" s="280" t="n"/>
      <c r="V492" s="280" t="n"/>
      <c r="W492" s="280" t="n"/>
      <c r="X492" s="280" t="n"/>
      <c r="Y492" s="280" t="n"/>
    </row>
    <row r="493" ht="15" customHeight="1" s="195">
      <c r="A493" s="334" t="n"/>
      <c r="B493" s="334" t="n"/>
      <c r="C493" s="334" t="n"/>
      <c r="D493" s="334" t="n"/>
      <c r="E493" s="334" t="n"/>
      <c r="F493" s="334" t="n"/>
      <c r="G493" s="334" t="n"/>
      <c r="H493" s="334" t="n"/>
      <c r="I493" s="332">
        <f>IFERROR(VLOOKUP(TEXT(H493,"0"),IPRESS!$A$3:$B$212,2,0),"")</f>
        <v/>
      </c>
      <c r="J493" s="334" t="n"/>
      <c r="K493" s="332">
        <f>IFERROR(VLOOKUP(TEXT(O493,"0"),CONDUCTORES!$A$3:$G$54,7,0),"")</f>
        <v/>
      </c>
      <c r="L493" s="334" t="n"/>
      <c r="M493" s="334" t="n"/>
      <c r="N493" s="333">
        <f>IFERROR(IF(L493*M493=0,"",L493*M493),"")</f>
        <v/>
      </c>
      <c r="O493" s="334" t="n"/>
      <c r="P493" s="332">
        <f>IFERROR(VLOOKUP(TEXT(O493,"0"),CONDUCTORES!$A$3:$G$54,2,0),"")</f>
        <v/>
      </c>
      <c r="Q493" s="332">
        <f>IFERROR(VLOOKUP(TEXT(O493,"0"),CONDUCTORES!$A$3:$H$54,6,0),"")</f>
        <v/>
      </c>
      <c r="R493" s="334" t="n"/>
      <c r="S493" s="334" t="n"/>
      <c r="T493" s="334" t="n"/>
      <c r="U493" s="334" t="n"/>
      <c r="V493" s="334" t="n"/>
      <c r="W493" s="334" t="n"/>
      <c r="X493" s="334" t="n"/>
      <c r="Y493" s="334" t="n"/>
    </row>
    <row r="494" ht="15" customHeight="1" s="195">
      <c r="A494" s="280" t="n"/>
      <c r="B494" s="280" t="n"/>
      <c r="C494" s="280" t="n"/>
      <c r="D494" s="280" t="n"/>
      <c r="E494" s="280" t="n"/>
      <c r="F494" s="280" t="n"/>
      <c r="G494" s="280" t="n"/>
      <c r="H494" s="280" t="n"/>
      <c r="I494" s="332">
        <f>IFERROR(VLOOKUP(TEXT(H494,"0"),IPRESS!$A$3:$B$212,2,0),"")</f>
        <v/>
      </c>
      <c r="J494" s="280" t="n"/>
      <c r="K494" s="332">
        <f>IFERROR(VLOOKUP(TEXT(O494,"0"),CONDUCTORES!$A$3:$G$54,7,0),"")</f>
        <v/>
      </c>
      <c r="L494" s="280" t="n"/>
      <c r="M494" s="280" t="n"/>
      <c r="N494" s="333">
        <f>IFERROR(IF(L494*M494=0,"",L494*M494),"")</f>
        <v/>
      </c>
      <c r="O494" s="280" t="n"/>
      <c r="P494" s="332">
        <f>IFERROR(VLOOKUP(TEXT(O494,"0"),CONDUCTORES!$A$3:$G$54,2,0),"")</f>
        <v/>
      </c>
      <c r="Q494" s="332">
        <f>IFERROR(VLOOKUP(TEXT(O494,"0"),CONDUCTORES!$A$3:$H$54,6,0),"")</f>
        <v/>
      </c>
      <c r="R494" s="280" t="n"/>
      <c r="S494" s="280" t="n"/>
      <c r="T494" s="280" t="n"/>
      <c r="U494" s="280" t="n"/>
      <c r="V494" s="280" t="n"/>
      <c r="W494" s="280" t="n"/>
      <c r="X494" s="280" t="n"/>
      <c r="Y494" s="280" t="n"/>
    </row>
    <row r="495" ht="15" customHeight="1" s="195">
      <c r="A495" s="334" t="n"/>
      <c r="B495" s="334" t="n"/>
      <c r="C495" s="334" t="n"/>
      <c r="D495" s="334" t="n"/>
      <c r="E495" s="334" t="n"/>
      <c r="F495" s="334" t="n"/>
      <c r="G495" s="334" t="n"/>
      <c r="H495" s="334" t="n"/>
      <c r="I495" s="332">
        <f>IFERROR(VLOOKUP(TEXT(H495,"0"),IPRESS!$A$3:$B$212,2,0),"")</f>
        <v/>
      </c>
      <c r="J495" s="334" t="n"/>
      <c r="K495" s="332">
        <f>IFERROR(VLOOKUP(TEXT(O495,"0"),CONDUCTORES!$A$3:$G$54,7,0),"")</f>
        <v/>
      </c>
      <c r="L495" s="334" t="n"/>
      <c r="M495" s="334" t="n"/>
      <c r="N495" s="333">
        <f>IFERROR(IF(L495*M495=0,"",L495*M495),"")</f>
        <v/>
      </c>
      <c r="O495" s="334" t="n"/>
      <c r="P495" s="332">
        <f>IFERROR(VLOOKUP(TEXT(O495,"0"),CONDUCTORES!$A$3:$G$54,2,0),"")</f>
        <v/>
      </c>
      <c r="Q495" s="332">
        <f>IFERROR(VLOOKUP(TEXT(O495,"0"),CONDUCTORES!$A$3:$H$54,6,0),"")</f>
        <v/>
      </c>
      <c r="R495" s="334" t="n"/>
      <c r="S495" s="334" t="n"/>
      <c r="T495" s="334" t="n"/>
      <c r="U495" s="334" t="n"/>
      <c r="V495" s="334" t="n"/>
      <c r="W495" s="334" t="n"/>
      <c r="X495" s="334" t="n"/>
      <c r="Y495" s="334" t="n"/>
    </row>
    <row r="496" ht="15" customHeight="1" s="195">
      <c r="A496" s="280" t="n"/>
      <c r="B496" s="280" t="n"/>
      <c r="C496" s="280" t="n"/>
      <c r="D496" s="280" t="n"/>
      <c r="E496" s="280" t="n"/>
      <c r="F496" s="280" t="n"/>
      <c r="G496" s="280" t="n"/>
      <c r="H496" s="280" t="n"/>
      <c r="I496" s="332">
        <f>IFERROR(VLOOKUP(TEXT(H496,"0"),IPRESS!$A$3:$B$212,2,0),"")</f>
        <v/>
      </c>
      <c r="J496" s="280" t="n"/>
      <c r="K496" s="332">
        <f>IFERROR(VLOOKUP(TEXT(O496,"0"),CONDUCTORES!$A$3:$G$54,7,0),"")</f>
        <v/>
      </c>
      <c r="L496" s="280" t="n"/>
      <c r="M496" s="280" t="n"/>
      <c r="N496" s="333">
        <f>IFERROR(IF(L496*M496=0,"",L496*M496),"")</f>
        <v/>
      </c>
      <c r="O496" s="280" t="n"/>
      <c r="P496" s="332">
        <f>IFERROR(VLOOKUP(TEXT(O496,"0"),CONDUCTORES!$A$3:$G$54,2,0),"")</f>
        <v/>
      </c>
      <c r="Q496" s="332">
        <f>IFERROR(VLOOKUP(TEXT(O496,"0"),CONDUCTORES!$A$3:$H$54,6,0),"")</f>
        <v/>
      </c>
      <c r="R496" s="280" t="n"/>
      <c r="S496" s="280" t="n"/>
      <c r="T496" s="280" t="n"/>
      <c r="U496" s="280" t="n"/>
      <c r="V496" s="280" t="n"/>
      <c r="W496" s="280" t="n"/>
      <c r="X496" s="280" t="n"/>
      <c r="Y496" s="280" t="n"/>
    </row>
    <row r="497" ht="15" customHeight="1" s="195">
      <c r="A497" s="334" t="n"/>
      <c r="B497" s="334" t="n"/>
      <c r="C497" s="334" t="n"/>
      <c r="D497" s="334" t="n"/>
      <c r="E497" s="334" t="n"/>
      <c r="F497" s="334" t="n"/>
      <c r="G497" s="334" t="n"/>
      <c r="H497" s="334" t="n"/>
      <c r="I497" s="332">
        <f>IFERROR(VLOOKUP(TEXT(H497,"0"),IPRESS!$A$3:$B$212,2,0),"")</f>
        <v/>
      </c>
      <c r="J497" s="334" t="n"/>
      <c r="K497" s="332">
        <f>IFERROR(VLOOKUP(TEXT(O497,"0"),CONDUCTORES!$A$3:$G$54,7,0),"")</f>
        <v/>
      </c>
      <c r="L497" s="334" t="n"/>
      <c r="M497" s="334" t="n"/>
      <c r="N497" s="333">
        <f>IFERROR(IF(L497*M497=0,"",L497*M497),"")</f>
        <v/>
      </c>
      <c r="O497" s="334" t="n"/>
      <c r="P497" s="332">
        <f>IFERROR(VLOOKUP(TEXT(O497,"0"),CONDUCTORES!$A$3:$G$54,2,0),"")</f>
        <v/>
      </c>
      <c r="Q497" s="332">
        <f>IFERROR(VLOOKUP(TEXT(O497,"0"),CONDUCTORES!$A$3:$H$54,6,0),"")</f>
        <v/>
      </c>
      <c r="R497" s="334" t="n"/>
      <c r="S497" s="334" t="n"/>
      <c r="T497" s="334" t="n"/>
      <c r="U497" s="334" t="n"/>
      <c r="V497" s="334" t="n"/>
      <c r="W497" s="334" t="n"/>
      <c r="X497" s="334" t="n"/>
      <c r="Y497" s="334" t="n"/>
    </row>
    <row r="498" ht="15" customHeight="1" s="195">
      <c r="A498" s="280" t="n"/>
      <c r="B498" s="280" t="n"/>
      <c r="C498" s="280" t="n"/>
      <c r="D498" s="280" t="n"/>
      <c r="E498" s="280" t="n"/>
      <c r="F498" s="280" t="n"/>
      <c r="G498" s="280" t="n"/>
      <c r="H498" s="280" t="n"/>
      <c r="I498" s="332">
        <f>IFERROR(VLOOKUP(TEXT(H498,"0"),IPRESS!$A$3:$B$212,2,0),"")</f>
        <v/>
      </c>
      <c r="J498" s="280" t="n"/>
      <c r="K498" s="332">
        <f>IFERROR(VLOOKUP(TEXT(O498,"0"),CONDUCTORES!$A$3:$G$54,7,0),"")</f>
        <v/>
      </c>
      <c r="L498" s="280" t="n"/>
      <c r="M498" s="280" t="n"/>
      <c r="N498" s="333">
        <f>IFERROR(IF(L498*M498=0,"",L498*M498),"")</f>
        <v/>
      </c>
      <c r="O498" s="280" t="n"/>
      <c r="P498" s="332">
        <f>IFERROR(VLOOKUP(TEXT(O498,"0"),CONDUCTORES!$A$3:$G$54,2,0),"")</f>
        <v/>
      </c>
      <c r="Q498" s="332">
        <f>IFERROR(VLOOKUP(TEXT(O498,"0"),CONDUCTORES!$A$3:$H$54,6,0),"")</f>
        <v/>
      </c>
      <c r="R498" s="280" t="n"/>
      <c r="S498" s="280" t="n"/>
      <c r="T498" s="280" t="n"/>
      <c r="U498" s="280" t="n"/>
      <c r="V498" s="280" t="n"/>
      <c r="W498" s="280" t="n"/>
      <c r="X498" s="280" t="n"/>
      <c r="Y498" s="280" t="n"/>
    </row>
    <row r="499" ht="15" customHeight="1" s="195">
      <c r="A499" s="334" t="n"/>
      <c r="B499" s="334" t="n"/>
      <c r="C499" s="334" t="n"/>
      <c r="D499" s="334" t="n"/>
      <c r="E499" s="334" t="n"/>
      <c r="F499" s="334" t="n"/>
      <c r="G499" s="334" t="n"/>
      <c r="H499" s="334" t="n"/>
      <c r="I499" s="332">
        <f>IFERROR(VLOOKUP(TEXT(H499,"0"),IPRESS!$A$3:$B$212,2,0),"")</f>
        <v/>
      </c>
      <c r="J499" s="334" t="n"/>
      <c r="K499" s="332">
        <f>IFERROR(VLOOKUP(TEXT(O499,"0"),CONDUCTORES!$A$3:$G$54,7,0),"")</f>
        <v/>
      </c>
      <c r="L499" s="334" t="n"/>
      <c r="M499" s="334" t="n"/>
      <c r="N499" s="333">
        <f>IFERROR(IF(L499*M499=0,"",L499*M499),"")</f>
        <v/>
      </c>
      <c r="O499" s="334" t="n"/>
      <c r="P499" s="332">
        <f>IFERROR(VLOOKUP(TEXT(O499,"0"),CONDUCTORES!$A$3:$G$54,2,0),"")</f>
        <v/>
      </c>
      <c r="Q499" s="332">
        <f>IFERROR(VLOOKUP(TEXT(O499,"0"),CONDUCTORES!$A$3:$H$54,6,0),"")</f>
        <v/>
      </c>
      <c r="R499" s="334" t="n"/>
      <c r="S499" s="334" t="n"/>
      <c r="T499" s="334" t="n"/>
      <c r="U499" s="334" t="n"/>
      <c r="V499" s="334" t="n"/>
      <c r="W499" s="334" t="n"/>
      <c r="X499" s="334" t="n"/>
      <c r="Y499" s="334" t="n"/>
    </row>
    <row r="500" ht="15" customHeight="1" s="195">
      <c r="A500" s="280" t="n"/>
      <c r="B500" s="280" t="n"/>
      <c r="C500" s="280" t="n"/>
      <c r="D500" s="280" t="n"/>
      <c r="E500" s="280" t="n"/>
      <c r="F500" s="280" t="n"/>
      <c r="G500" s="280" t="n"/>
      <c r="H500" s="280" t="n"/>
      <c r="I500" s="332">
        <f>IFERROR(VLOOKUP(TEXT(H500,"0"),IPRESS!$A$3:$B$212,2,0),"")</f>
        <v/>
      </c>
      <c r="J500" s="280" t="n"/>
      <c r="K500" s="332">
        <f>IFERROR(VLOOKUP(TEXT(O500,"0"),CONDUCTORES!$A$3:$G$54,7,0),"")</f>
        <v/>
      </c>
      <c r="L500" s="280" t="n"/>
      <c r="M500" s="280" t="n"/>
      <c r="N500" s="333">
        <f>IFERROR(IF(L500*M500=0,"",L500*M500),"")</f>
        <v/>
      </c>
      <c r="O500" s="280" t="n"/>
      <c r="P500" s="332">
        <f>IFERROR(VLOOKUP(TEXT(O500,"0"),CONDUCTORES!$A$3:$G$54,2,0),"")</f>
        <v/>
      </c>
      <c r="Q500" s="332">
        <f>IFERROR(VLOOKUP(TEXT(O500,"0"),CONDUCTORES!$A$3:$H$54,6,0),"")</f>
        <v/>
      </c>
      <c r="R500" s="280" t="n"/>
      <c r="S500" s="280" t="n"/>
      <c r="T500" s="280" t="n"/>
      <c r="U500" s="280" t="n"/>
      <c r="V500" s="280" t="n"/>
      <c r="W500" s="280" t="n"/>
      <c r="X500" s="280" t="n"/>
      <c r="Y500" s="280" t="n"/>
    </row>
    <row r="501" ht="15" customHeight="1" s="195">
      <c r="A501" s="334" t="n"/>
      <c r="B501" s="334" t="n"/>
      <c r="C501" s="334" t="n"/>
      <c r="D501" s="334" t="n"/>
      <c r="E501" s="334" t="n"/>
      <c r="F501" s="334" t="n"/>
      <c r="G501" s="334" t="n"/>
      <c r="H501" s="334" t="n"/>
      <c r="I501" s="332">
        <f>IFERROR(VLOOKUP(TEXT(H501,"0"),IPRESS!$A$3:$B$212,2,0),"")</f>
        <v/>
      </c>
      <c r="J501" s="334" t="n"/>
      <c r="K501" s="332">
        <f>IFERROR(VLOOKUP(TEXT(O501,"0"),CONDUCTORES!$A$3:$G$54,7,0),"")</f>
        <v/>
      </c>
      <c r="L501" s="334" t="n"/>
      <c r="M501" s="334" t="n"/>
      <c r="N501" s="333">
        <f>IFERROR(IF(L501*M501=0,"",L501*M501),"")</f>
        <v/>
      </c>
      <c r="O501" s="334" t="n"/>
      <c r="P501" s="332">
        <f>IFERROR(VLOOKUP(TEXT(O501,"0"),CONDUCTORES!$A$3:$G$54,2,0),"")</f>
        <v/>
      </c>
      <c r="Q501" s="332">
        <f>IFERROR(VLOOKUP(TEXT(O501,"0"),CONDUCTORES!$A$3:$H$54,6,0),"")</f>
        <v/>
      </c>
      <c r="R501" s="334" t="n"/>
      <c r="S501" s="334" t="n"/>
      <c r="T501" s="334" t="n"/>
      <c r="U501" s="334" t="n"/>
      <c r="V501" s="334" t="n"/>
      <c r="W501" s="334" t="n"/>
      <c r="X501" s="334" t="n"/>
      <c r="Y501" s="334" t="n"/>
    </row>
    <row r="502" ht="15" customHeight="1" s="195">
      <c r="A502" s="280" t="n"/>
      <c r="B502" s="280" t="n"/>
      <c r="C502" s="280" t="n"/>
      <c r="D502" s="280" t="n"/>
      <c r="E502" s="280" t="n"/>
      <c r="F502" s="280" t="n"/>
      <c r="G502" s="280" t="n"/>
      <c r="H502" s="280" t="n"/>
      <c r="I502" s="332">
        <f>IFERROR(VLOOKUP(TEXT(H502,"0"),IPRESS!$A$3:$B$212,2,0),"")</f>
        <v/>
      </c>
      <c r="J502" s="280" t="n"/>
      <c r="K502" s="332">
        <f>IFERROR(VLOOKUP(TEXT(O502,"0"),CONDUCTORES!$A$3:$G$54,7,0),"")</f>
        <v/>
      </c>
      <c r="L502" s="280" t="n"/>
      <c r="M502" s="280" t="n"/>
      <c r="N502" s="333">
        <f>IFERROR(IF(L502*M502=0,"",L502*M502),"")</f>
        <v/>
      </c>
      <c r="O502" s="280" t="n"/>
      <c r="P502" s="332">
        <f>IFERROR(VLOOKUP(TEXT(O502,"0"),CONDUCTORES!$A$3:$G$54,2,0),"")</f>
        <v/>
      </c>
      <c r="Q502" s="332">
        <f>IFERROR(VLOOKUP(TEXT(O502,"0"),CONDUCTORES!$A$3:$H$54,6,0),"")</f>
        <v/>
      </c>
      <c r="R502" s="280" t="n"/>
      <c r="S502" s="280" t="n"/>
      <c r="T502" s="280" t="n"/>
      <c r="U502" s="280" t="n"/>
      <c r="V502" s="280" t="n"/>
      <c r="W502" s="280" t="n"/>
      <c r="X502" s="280" t="n"/>
      <c r="Y502" s="280" t="n"/>
    </row>
    <row r="503" ht="15" customHeight="1" s="195">
      <c r="A503" s="334" t="n"/>
      <c r="B503" s="334" t="n"/>
      <c r="C503" s="334" t="n"/>
      <c r="D503" s="334" t="n"/>
      <c r="E503" s="334" t="n"/>
      <c r="F503" s="334" t="n"/>
      <c r="G503" s="334" t="n"/>
      <c r="H503" s="334" t="n"/>
      <c r="I503" s="332">
        <f>IFERROR(VLOOKUP(TEXT(H503,"0"),IPRESS!$A$3:$B$212,2,0),"")</f>
        <v/>
      </c>
      <c r="J503" s="334" t="n"/>
      <c r="K503" s="332">
        <f>IFERROR(VLOOKUP(TEXT(O503,"0"),CONDUCTORES!$A$3:$G$54,7,0),"")</f>
        <v/>
      </c>
      <c r="L503" s="334" t="n"/>
      <c r="M503" s="334" t="n"/>
      <c r="N503" s="333">
        <f>IFERROR(IF(L503*M503=0,"",L503*M503),"")</f>
        <v/>
      </c>
      <c r="O503" s="334" t="n"/>
      <c r="P503" s="332">
        <f>IFERROR(VLOOKUP(TEXT(O503,"0"),CONDUCTORES!$A$3:$G$54,2,0),"")</f>
        <v/>
      </c>
      <c r="Q503" s="332">
        <f>IFERROR(VLOOKUP(TEXT(O503,"0"),CONDUCTORES!$A$3:$H$54,6,0),"")</f>
        <v/>
      </c>
      <c r="R503" s="334" t="n"/>
      <c r="S503" s="334" t="n"/>
      <c r="T503" s="334" t="n"/>
      <c r="U503" s="334" t="n"/>
      <c r="V503" s="334" t="n"/>
      <c r="W503" s="334" t="n"/>
      <c r="X503" s="334" t="n"/>
      <c r="Y503" s="334" t="n"/>
    </row>
    <row r="504" ht="15" customHeight="1" s="195">
      <c r="A504" s="280" t="n"/>
      <c r="B504" s="280" t="n"/>
      <c r="C504" s="280" t="n"/>
      <c r="D504" s="280" t="n"/>
      <c r="E504" s="280" t="n"/>
      <c r="F504" s="280" t="n"/>
      <c r="G504" s="280" t="n"/>
      <c r="H504" s="280" t="n"/>
      <c r="I504" s="332">
        <f>IFERROR(VLOOKUP(TEXT(H504,"0"),IPRESS!$A$3:$B$212,2,0),"")</f>
        <v/>
      </c>
      <c r="J504" s="280" t="n"/>
      <c r="K504" s="332">
        <f>IFERROR(VLOOKUP(TEXT(O504,"0"),CONDUCTORES!$A$3:$G$54,7,0),"")</f>
        <v/>
      </c>
      <c r="L504" s="280" t="n"/>
      <c r="M504" s="280" t="n"/>
      <c r="N504" s="333">
        <f>IFERROR(IF(L504*M504=0,"",L504*M504),"")</f>
        <v/>
      </c>
      <c r="O504" s="280" t="n"/>
      <c r="P504" s="332">
        <f>IFERROR(VLOOKUP(TEXT(O504,"0"),CONDUCTORES!$A$3:$G$54,2,0),"")</f>
        <v/>
      </c>
      <c r="Q504" s="332">
        <f>IFERROR(VLOOKUP(TEXT(O504,"0"),CONDUCTORES!$A$3:$H$54,6,0),"")</f>
        <v/>
      </c>
      <c r="R504" s="280" t="n"/>
      <c r="S504" s="280" t="n"/>
      <c r="T504" s="280" t="n"/>
      <c r="U504" s="280" t="n"/>
      <c r="V504" s="280" t="n"/>
      <c r="W504" s="280" t="n"/>
      <c r="X504" s="280" t="n"/>
      <c r="Y504" s="280" t="n"/>
    </row>
    <row r="505" ht="15" customHeight="1" s="195">
      <c r="A505" s="334" t="n"/>
      <c r="B505" s="334" t="n"/>
      <c r="C505" s="334" t="n"/>
      <c r="D505" s="334" t="n"/>
      <c r="E505" s="334" t="n"/>
      <c r="F505" s="334" t="n"/>
      <c r="G505" s="334" t="n"/>
      <c r="H505" s="334" t="n"/>
      <c r="I505" s="332">
        <f>IFERROR(VLOOKUP(TEXT(H505,"0"),IPRESS!$A$3:$B$212,2,0),"")</f>
        <v/>
      </c>
      <c r="J505" s="334" t="n"/>
      <c r="K505" s="332">
        <f>IFERROR(VLOOKUP(TEXT(O505,"0"),CONDUCTORES!$A$3:$G$54,7,0),"")</f>
        <v/>
      </c>
      <c r="L505" s="334" t="n"/>
      <c r="M505" s="334" t="n"/>
      <c r="N505" s="333">
        <f>IFERROR(IF(L505*M505=0,"",L505*M505),"")</f>
        <v/>
      </c>
      <c r="O505" s="334" t="n"/>
      <c r="P505" s="332">
        <f>IFERROR(VLOOKUP(TEXT(O505,"0"),CONDUCTORES!$A$3:$G$54,2,0),"")</f>
        <v/>
      </c>
      <c r="Q505" s="332">
        <f>IFERROR(VLOOKUP(TEXT(O505,"0"),CONDUCTORES!$A$3:$H$54,6,0),"")</f>
        <v/>
      </c>
      <c r="R505" s="334" t="n"/>
      <c r="S505" s="334" t="n"/>
      <c r="T505" s="334" t="n"/>
      <c r="U505" s="334" t="n"/>
      <c r="V505" s="334" t="n"/>
      <c r="W505" s="334" t="n"/>
      <c r="X505" s="334" t="n"/>
      <c r="Y505" s="334" t="n"/>
    </row>
    <row r="506" ht="21.75" customHeight="1" s="195">
      <c r="A506" s="346" t="inlineStr">
        <is>
          <t>TOTALES DEL MES</t>
        </is>
      </c>
      <c r="M506" s="320">
        <f>SUM(M6:M505)</f>
        <v/>
      </c>
      <c r="N506" s="320">
        <f>SUM(N6:N505)</f>
        <v/>
      </c>
    </row>
    <row r="507" ht="15.75" customHeight="1" s="195"/>
    <row r="508" ht="15.75" customHeight="1" s="195"/>
    <row r="509" ht="15.75" customHeight="1" s="195"/>
    <row r="510" ht="15.75" customHeight="1" s="195"/>
    <row r="511" ht="15.75" customHeight="1" s="195"/>
    <row r="512" ht="15.75" customHeight="1" s="195"/>
    <row r="513" ht="15.75" customHeight="1" s="195"/>
    <row r="514" ht="15.75" customHeight="1" s="195"/>
    <row r="515" ht="15.75" customHeight="1" s="195"/>
    <row r="516" ht="15.75" customHeight="1" s="195"/>
    <row r="517" ht="15.75" customHeight="1" s="195"/>
    <row r="518" ht="15.75" customHeight="1" s="195"/>
    <row r="519" ht="15.75" customHeight="1" s="195"/>
    <row r="520" ht="15.75" customHeight="1" s="195"/>
    <row r="521" ht="15.75" customHeight="1" s="195"/>
    <row r="522" ht="15.75" customHeight="1" s="195"/>
    <row r="523" ht="15.75" customHeight="1" s="195"/>
    <row r="524" ht="15.75" customHeight="1" s="195"/>
    <row r="525" ht="15.75" customHeight="1" s="195"/>
    <row r="526" ht="15.75" customHeight="1" s="195"/>
    <row r="527" ht="15.75" customHeight="1" s="195"/>
    <row r="528" ht="15.75" customHeight="1" s="195"/>
    <row r="529" ht="15.75" customHeight="1" s="195"/>
    <row r="530" ht="15.75" customHeight="1" s="195"/>
    <row r="531" ht="15.75" customHeight="1" s="195"/>
    <row r="532" ht="15.75" customHeight="1" s="195"/>
    <row r="533" ht="15.75" customHeight="1" s="195"/>
    <row r="534" ht="15.75" customHeight="1" s="195"/>
    <row r="535" ht="15.75" customHeight="1" s="195"/>
    <row r="536" ht="15.75" customHeight="1" s="195"/>
    <row r="537" ht="15.75" customHeight="1" s="195"/>
    <row r="538" ht="15.75" customHeight="1" s="195"/>
    <row r="539" ht="15.75" customHeight="1" s="195"/>
    <row r="540" ht="15.75" customHeight="1" s="195"/>
    <row r="541" ht="15.75" customHeight="1" s="195"/>
    <row r="542" ht="15.75" customHeight="1" s="195"/>
    <row r="543" ht="15.75" customHeight="1" s="195"/>
    <row r="544" ht="15.75" customHeight="1" s="195"/>
    <row r="545" ht="15.75" customHeight="1" s="195"/>
    <row r="546" ht="15.75" customHeight="1" s="195"/>
    <row r="547" ht="15.75" customHeight="1" s="195"/>
    <row r="548" ht="15.75" customHeight="1" s="195"/>
    <row r="549" ht="15.75" customHeight="1" s="195"/>
    <row r="550" ht="15.75" customHeight="1" s="195"/>
    <row r="551" ht="15.75" customHeight="1" s="195"/>
    <row r="552" ht="15.75" customHeight="1" s="195"/>
    <row r="553" ht="15.75" customHeight="1" s="195"/>
    <row r="554" ht="15.75" customHeight="1" s="195"/>
    <row r="555" ht="15.75" customHeight="1" s="195"/>
    <row r="556" ht="15.75" customHeight="1" s="195"/>
    <row r="557" ht="15.75" customHeight="1" s="195"/>
    <row r="558" ht="15.75" customHeight="1" s="195"/>
    <row r="559" ht="15.75" customHeight="1" s="195"/>
    <row r="560" ht="15.75" customHeight="1" s="195"/>
    <row r="561" ht="15.75" customHeight="1" s="195"/>
    <row r="562" ht="15.75" customHeight="1" s="195"/>
    <row r="563" ht="15.75" customHeight="1" s="195"/>
    <row r="564" ht="15.75" customHeight="1" s="195"/>
    <row r="565" ht="15.75" customHeight="1" s="195"/>
    <row r="566" ht="15.75" customHeight="1" s="195"/>
    <row r="567" ht="15.75" customHeight="1" s="195"/>
    <row r="568" ht="15.75" customHeight="1" s="195"/>
    <row r="569" ht="15.75" customHeight="1" s="195"/>
    <row r="570" ht="15.75" customHeight="1" s="195"/>
    <row r="571" ht="15.75" customHeight="1" s="195"/>
    <row r="572" ht="15.75" customHeight="1" s="195"/>
    <row r="573" ht="15.75" customHeight="1" s="195"/>
    <row r="574" ht="15.75" customHeight="1" s="195"/>
    <row r="575" ht="15.75" customHeight="1" s="195"/>
    <row r="576" ht="15.75" customHeight="1" s="195"/>
    <row r="577" ht="15.75" customHeight="1" s="195"/>
    <row r="578" ht="15.75" customHeight="1" s="195"/>
    <row r="579" ht="15.75" customHeight="1" s="195"/>
    <row r="580" ht="15.75" customHeight="1" s="195"/>
    <row r="581" ht="15.75" customHeight="1" s="195"/>
    <row r="582" ht="15.75" customHeight="1" s="195"/>
    <row r="583" ht="15.75" customHeight="1" s="195"/>
    <row r="584" ht="15.75" customHeight="1" s="195"/>
    <row r="585" ht="15.75" customHeight="1" s="195"/>
    <row r="586" ht="15.75" customHeight="1" s="195"/>
    <row r="587" ht="15.75" customHeight="1" s="195"/>
    <row r="588" ht="15.75" customHeight="1" s="195"/>
    <row r="589" ht="15.75" customHeight="1" s="195"/>
    <row r="590" ht="15.75" customHeight="1" s="195"/>
    <row r="591" ht="15.75" customHeight="1" s="195"/>
    <row r="592" ht="15.75" customHeight="1" s="195"/>
    <row r="593" ht="15.75" customHeight="1" s="195"/>
    <row r="594" ht="15.75" customHeight="1" s="195"/>
    <row r="595" ht="15.75" customHeight="1" s="195"/>
    <row r="596" ht="15.75" customHeight="1" s="195"/>
    <row r="597" ht="15.75" customHeight="1" s="195"/>
    <row r="598" ht="15.75" customHeight="1" s="195"/>
    <row r="599" ht="15.75" customHeight="1" s="195"/>
    <row r="600" ht="15.75" customHeight="1" s="195"/>
    <row r="601" ht="15.75" customHeight="1" s="195"/>
    <row r="602" ht="15.75" customHeight="1" s="195"/>
    <row r="603" ht="15.75" customHeight="1" s="195"/>
    <row r="604" ht="15.75" customHeight="1" s="195"/>
    <row r="605" ht="15.75" customHeight="1" s="195"/>
    <row r="606" ht="15.75" customHeight="1" s="195"/>
    <row r="607" ht="15.75" customHeight="1" s="195"/>
    <row r="608" ht="15.75" customHeight="1" s="195"/>
    <row r="609" ht="15.75" customHeight="1" s="195"/>
    <row r="610" ht="15.75" customHeight="1" s="195"/>
    <row r="611" ht="15.75" customHeight="1" s="195"/>
    <row r="612" ht="15.75" customHeight="1" s="195"/>
    <row r="613" ht="15.75" customHeight="1" s="195"/>
    <row r="614" ht="15.75" customHeight="1" s="195"/>
    <row r="615" ht="15.75" customHeight="1" s="195"/>
    <row r="616" ht="15.75" customHeight="1" s="195"/>
    <row r="617" ht="15.75" customHeight="1" s="195"/>
    <row r="618" ht="15.75" customHeight="1" s="195"/>
    <row r="619" ht="15.75" customHeight="1" s="195"/>
    <row r="620" ht="15.75" customHeight="1" s="195"/>
    <row r="621" ht="15.75" customHeight="1" s="195"/>
    <row r="622" ht="15.75" customHeight="1" s="195"/>
    <row r="623" ht="15.75" customHeight="1" s="195"/>
    <row r="624" ht="15.75" customHeight="1" s="195"/>
    <row r="625" ht="15.75" customHeight="1" s="195"/>
    <row r="626" ht="15.75" customHeight="1" s="195"/>
    <row r="627" ht="15.75" customHeight="1" s="195"/>
    <row r="628" ht="15.75" customHeight="1" s="195"/>
    <row r="629" ht="15.75" customHeight="1" s="195"/>
    <row r="630" ht="15.75" customHeight="1" s="195"/>
    <row r="631" ht="15.75" customHeight="1" s="195"/>
    <row r="632" ht="15.75" customHeight="1" s="195"/>
    <row r="633" ht="15.75" customHeight="1" s="195"/>
    <row r="634" ht="15.75" customHeight="1" s="195"/>
    <row r="635" ht="15.75" customHeight="1" s="195"/>
    <row r="636" ht="15.75" customHeight="1" s="195"/>
    <row r="637" ht="15.75" customHeight="1" s="195"/>
    <row r="638" ht="15.75" customHeight="1" s="195"/>
    <row r="639" ht="15.75" customHeight="1" s="195"/>
    <row r="640" ht="15.75" customHeight="1" s="195"/>
    <row r="641" ht="15.75" customHeight="1" s="195"/>
    <row r="642" ht="15.75" customHeight="1" s="195"/>
    <row r="643" ht="15.75" customHeight="1" s="195"/>
    <row r="644" ht="15.75" customHeight="1" s="195"/>
    <row r="645" ht="15.75" customHeight="1" s="195"/>
    <row r="646" ht="15.75" customHeight="1" s="195"/>
    <row r="647" ht="15.75" customHeight="1" s="195"/>
    <row r="648" ht="15.75" customHeight="1" s="195"/>
    <row r="649" ht="15.75" customHeight="1" s="195"/>
    <row r="650" ht="15.75" customHeight="1" s="195"/>
    <row r="651" ht="15.75" customHeight="1" s="195"/>
    <row r="652" ht="15.75" customHeight="1" s="195"/>
    <row r="653" ht="15.75" customHeight="1" s="195"/>
    <row r="654" ht="15.75" customHeight="1" s="195"/>
    <row r="655" ht="15.75" customHeight="1" s="195"/>
    <row r="656" ht="15.75" customHeight="1" s="195"/>
    <row r="657" ht="15.75" customHeight="1" s="195"/>
    <row r="658" ht="15.75" customHeight="1" s="195"/>
    <row r="659" ht="15.75" customHeight="1" s="195"/>
    <row r="660" ht="15.75" customHeight="1" s="195"/>
    <row r="661" ht="15.75" customHeight="1" s="195"/>
    <row r="662" ht="15.75" customHeight="1" s="195"/>
    <row r="663" ht="15.75" customHeight="1" s="195"/>
    <row r="664" ht="15.75" customHeight="1" s="195"/>
    <row r="665" ht="15.75" customHeight="1" s="195"/>
    <row r="666" ht="15.75" customHeight="1" s="195"/>
    <row r="667" ht="15.75" customHeight="1" s="195"/>
    <row r="668" ht="15.75" customHeight="1" s="195"/>
    <row r="669" ht="15.75" customHeight="1" s="195"/>
    <row r="670" ht="15.75" customHeight="1" s="195"/>
    <row r="671" ht="15.75" customHeight="1" s="195"/>
    <row r="672" ht="15.75" customHeight="1" s="195"/>
    <row r="673" ht="15.75" customHeight="1" s="195"/>
    <row r="674" ht="15.75" customHeight="1" s="195"/>
    <row r="675" ht="15.75" customHeight="1" s="195"/>
    <row r="676" ht="15.75" customHeight="1" s="195"/>
    <row r="677" ht="15.75" customHeight="1" s="195"/>
    <row r="678" ht="15.75" customHeight="1" s="195"/>
    <row r="679" ht="15.75" customHeight="1" s="195"/>
    <row r="680" ht="15.75" customHeight="1" s="195"/>
    <row r="681" ht="15.75" customHeight="1" s="195"/>
    <row r="682" ht="15.75" customHeight="1" s="195"/>
    <row r="683" ht="15.75" customHeight="1" s="195"/>
    <row r="684" ht="15.75" customHeight="1" s="195"/>
    <row r="685" ht="15.75" customHeight="1" s="195"/>
    <row r="686" ht="15.75" customHeight="1" s="195"/>
    <row r="687" ht="15.75" customHeight="1" s="195"/>
    <row r="688" ht="15.75" customHeight="1" s="195"/>
    <row r="689" ht="15.75" customHeight="1" s="195"/>
    <row r="690" ht="15.75" customHeight="1" s="195"/>
    <row r="691" ht="15.75" customHeight="1" s="195"/>
    <row r="692" ht="15.75" customHeight="1" s="195"/>
    <row r="693" ht="15.75" customHeight="1" s="195"/>
    <row r="694" ht="15.75" customHeight="1" s="195"/>
    <row r="695" ht="15.75" customHeight="1" s="195"/>
    <row r="696" ht="15.75" customHeight="1" s="195"/>
    <row r="697" ht="15.75" customHeight="1" s="195"/>
    <row r="698" ht="15.75" customHeight="1" s="195"/>
    <row r="699" ht="15.75" customHeight="1" s="195"/>
    <row r="700" ht="15.75" customHeight="1" s="195"/>
    <row r="701" ht="15.75" customHeight="1" s="195"/>
    <row r="702" ht="15.75" customHeight="1" s="195"/>
    <row r="703" ht="15.75" customHeight="1" s="195"/>
    <row r="704" ht="15.75" customHeight="1" s="195"/>
    <row r="705" ht="15.75" customHeight="1" s="195"/>
    <row r="706" ht="15.75" customHeight="1" s="195"/>
    <row r="707" ht="15.75" customHeight="1" s="195"/>
    <row r="708" ht="15.75" customHeight="1" s="195"/>
    <row r="709" ht="15.75" customHeight="1" s="195"/>
    <row r="710" ht="15.75" customHeight="1" s="195"/>
    <row r="711" ht="15.75" customHeight="1" s="195"/>
    <row r="712" ht="15.75" customHeight="1" s="195"/>
    <row r="713" ht="15.75" customHeight="1" s="195"/>
    <row r="714" ht="15.75" customHeight="1" s="195"/>
    <row r="715" ht="15.75" customHeight="1" s="195"/>
    <row r="716" ht="15.75" customHeight="1" s="195"/>
    <row r="717" ht="15.75" customHeight="1" s="195"/>
    <row r="718" ht="15.75" customHeight="1" s="195"/>
    <row r="719" ht="15.75" customHeight="1" s="195"/>
    <row r="720" ht="15.75" customHeight="1" s="195"/>
    <row r="721" ht="15.75" customHeight="1" s="195"/>
    <row r="722" ht="15.75" customHeight="1" s="195"/>
    <row r="723" ht="15.75" customHeight="1" s="195"/>
    <row r="724" ht="15.75" customHeight="1" s="195"/>
    <row r="725" ht="15.75" customHeight="1" s="195"/>
    <row r="726" ht="15.75" customHeight="1" s="195"/>
    <row r="727" ht="15.75" customHeight="1" s="195"/>
    <row r="728" ht="15.75" customHeight="1" s="195"/>
    <row r="729" ht="15.75" customHeight="1" s="195"/>
    <row r="730" ht="15.75" customHeight="1" s="195"/>
    <row r="731" ht="15.75" customHeight="1" s="195"/>
    <row r="732" ht="15.75" customHeight="1" s="195"/>
    <row r="733" ht="15.75" customHeight="1" s="195"/>
    <row r="734" ht="15.75" customHeight="1" s="195"/>
    <row r="735" ht="15.75" customHeight="1" s="195"/>
    <row r="736" ht="15.75" customHeight="1" s="195"/>
    <row r="737" ht="15.75" customHeight="1" s="195"/>
    <row r="738" ht="15.75" customHeight="1" s="195"/>
    <row r="739" ht="15.75" customHeight="1" s="195"/>
    <row r="740" ht="15.75" customHeight="1" s="195"/>
    <row r="741" ht="15.75" customHeight="1" s="195"/>
    <row r="742" ht="15.75" customHeight="1" s="195"/>
    <row r="743" ht="15.75" customHeight="1" s="195"/>
    <row r="744" ht="15.75" customHeight="1" s="195"/>
    <row r="745" ht="15.75" customHeight="1" s="195"/>
    <row r="746" ht="15.75" customHeight="1" s="195"/>
    <row r="747" ht="15.75" customHeight="1" s="195"/>
    <row r="748" ht="15.75" customHeight="1" s="195"/>
    <row r="749" ht="15.75" customHeight="1" s="195"/>
    <row r="750" ht="15.75" customHeight="1" s="195"/>
    <row r="751" ht="15.75" customHeight="1" s="195"/>
    <row r="752" ht="15.75" customHeight="1" s="195"/>
    <row r="753" ht="15.75" customHeight="1" s="195"/>
    <row r="754" ht="15.75" customHeight="1" s="195"/>
    <row r="755" ht="15.75" customHeight="1" s="195"/>
    <row r="756" ht="15.75" customHeight="1" s="195"/>
    <row r="757" ht="15.75" customHeight="1" s="195"/>
    <row r="758" ht="15.75" customHeight="1" s="195"/>
    <row r="759" ht="15.75" customHeight="1" s="195"/>
    <row r="760" ht="15.75" customHeight="1" s="195"/>
    <row r="761" ht="15.75" customHeight="1" s="195"/>
    <row r="762" ht="15.75" customHeight="1" s="195"/>
    <row r="763" ht="15.75" customHeight="1" s="195"/>
    <row r="764" ht="15.75" customHeight="1" s="195"/>
    <row r="765" ht="15.75" customHeight="1" s="195"/>
    <row r="766" ht="15.75" customHeight="1" s="195"/>
    <row r="767" ht="15.75" customHeight="1" s="195"/>
    <row r="768" ht="15.75" customHeight="1" s="195"/>
    <row r="769" ht="15.75" customHeight="1" s="195"/>
    <row r="770" ht="15.75" customHeight="1" s="195"/>
    <row r="771" ht="15.75" customHeight="1" s="195"/>
    <row r="772" ht="15.75" customHeight="1" s="195"/>
    <row r="773" ht="15.75" customHeight="1" s="195"/>
    <row r="774" ht="15.75" customHeight="1" s="195"/>
    <row r="775" ht="15.75" customHeight="1" s="195"/>
    <row r="776" ht="15.75" customHeight="1" s="195"/>
    <row r="777" ht="15.75" customHeight="1" s="195"/>
    <row r="778" ht="15.75" customHeight="1" s="195"/>
    <row r="779" ht="15.75" customHeight="1" s="195"/>
    <row r="780" ht="15.75" customHeight="1" s="195"/>
    <row r="781" ht="15.75" customHeight="1" s="195"/>
    <row r="782" ht="15.75" customHeight="1" s="195"/>
    <row r="783" ht="15.75" customHeight="1" s="195"/>
    <row r="784" ht="15.75" customHeight="1" s="195"/>
    <row r="785" ht="15.75" customHeight="1" s="195"/>
    <row r="786" ht="15.75" customHeight="1" s="195"/>
    <row r="787" ht="15.75" customHeight="1" s="195"/>
    <row r="788" ht="15.75" customHeight="1" s="195"/>
    <row r="789" ht="15.75" customHeight="1" s="195"/>
    <row r="790" ht="15.75" customHeight="1" s="195"/>
    <row r="791" ht="15.75" customHeight="1" s="195"/>
    <row r="792" ht="15.75" customHeight="1" s="195"/>
    <row r="793" ht="15.75" customHeight="1" s="195"/>
    <row r="794" ht="15.75" customHeight="1" s="195"/>
    <row r="795" ht="15.75" customHeight="1" s="195"/>
    <row r="796" ht="15.75" customHeight="1" s="195"/>
    <row r="797" ht="15.75" customHeight="1" s="195"/>
    <row r="798" ht="15.75" customHeight="1" s="195"/>
    <row r="799" ht="15.75" customHeight="1" s="195"/>
    <row r="800" ht="15.75" customHeight="1" s="195"/>
    <row r="801" ht="15.75" customHeight="1" s="195"/>
    <row r="802" ht="15.75" customHeight="1" s="195"/>
    <row r="803" ht="15.75" customHeight="1" s="195"/>
    <row r="804" ht="15.75" customHeight="1" s="195"/>
    <row r="805" ht="15.75" customHeight="1" s="195"/>
    <row r="806" ht="15.75" customHeight="1" s="195"/>
    <row r="807" ht="15.75" customHeight="1" s="195"/>
    <row r="808" ht="15.75" customHeight="1" s="195"/>
    <row r="809" ht="15.75" customHeight="1" s="195"/>
    <row r="810" ht="15.75" customHeight="1" s="195"/>
    <row r="811" ht="15.75" customHeight="1" s="195"/>
    <row r="812" ht="15.75" customHeight="1" s="195"/>
    <row r="813" ht="15.75" customHeight="1" s="195"/>
    <row r="814" ht="15.75" customHeight="1" s="195"/>
    <row r="815" ht="15.75" customHeight="1" s="195"/>
    <row r="816" ht="15.75" customHeight="1" s="195"/>
    <row r="817" ht="15.75" customHeight="1" s="195"/>
    <row r="818" ht="15.75" customHeight="1" s="195"/>
    <row r="819" ht="15.75" customHeight="1" s="195"/>
    <row r="820" ht="15.75" customHeight="1" s="195"/>
    <row r="821" ht="15.75" customHeight="1" s="195"/>
    <row r="822" ht="15.75" customHeight="1" s="195"/>
    <row r="823" ht="15.75" customHeight="1" s="195"/>
    <row r="824" ht="15.75" customHeight="1" s="195"/>
    <row r="825" ht="15.75" customHeight="1" s="195"/>
    <row r="826" ht="15.75" customHeight="1" s="195"/>
    <row r="827" ht="15.75" customHeight="1" s="195"/>
    <row r="828" ht="15.75" customHeight="1" s="195"/>
    <row r="829" ht="15.75" customHeight="1" s="195"/>
    <row r="830" ht="15.75" customHeight="1" s="195"/>
    <row r="831" ht="15.75" customHeight="1" s="195"/>
    <row r="832" ht="15.75" customHeight="1" s="195"/>
    <row r="833" ht="15.75" customHeight="1" s="195"/>
    <row r="834" ht="15.75" customHeight="1" s="195"/>
    <row r="835" ht="15.75" customHeight="1" s="195"/>
    <row r="836" ht="15.75" customHeight="1" s="195"/>
    <row r="837" ht="15.75" customHeight="1" s="195"/>
    <row r="838" ht="15.75" customHeight="1" s="195"/>
    <row r="839" ht="15.75" customHeight="1" s="195"/>
    <row r="840" ht="15.75" customHeight="1" s="195"/>
    <row r="841" ht="15.75" customHeight="1" s="195"/>
    <row r="842" ht="15.75" customHeight="1" s="195"/>
    <row r="843" ht="15.75" customHeight="1" s="195"/>
    <row r="844" ht="15.75" customHeight="1" s="195"/>
    <row r="845" ht="15.75" customHeight="1" s="195"/>
    <row r="846" ht="15.75" customHeight="1" s="195"/>
    <row r="847" ht="15.75" customHeight="1" s="195"/>
    <row r="848" ht="15.75" customHeight="1" s="195"/>
    <row r="849" ht="15.75" customHeight="1" s="195"/>
    <row r="850" ht="15.75" customHeight="1" s="195"/>
    <row r="851" ht="15.75" customHeight="1" s="195"/>
    <row r="852" ht="15.75" customHeight="1" s="195"/>
    <row r="853" ht="15.75" customHeight="1" s="195"/>
    <row r="854" ht="15.75" customHeight="1" s="195"/>
    <row r="855" ht="15.75" customHeight="1" s="195"/>
    <row r="856" ht="15.75" customHeight="1" s="195"/>
    <row r="857" ht="15.75" customHeight="1" s="195"/>
    <row r="858" ht="15.75" customHeight="1" s="195"/>
    <row r="859" ht="15.75" customHeight="1" s="195"/>
    <row r="860" ht="15.75" customHeight="1" s="195"/>
    <row r="861" ht="15.75" customHeight="1" s="195"/>
    <row r="862" ht="15.75" customHeight="1" s="195"/>
    <row r="863" ht="15.75" customHeight="1" s="195"/>
    <row r="864" ht="15.75" customHeight="1" s="195"/>
    <row r="865" ht="15.75" customHeight="1" s="195"/>
    <row r="866" ht="15.75" customHeight="1" s="195"/>
    <row r="867" ht="15.75" customHeight="1" s="195"/>
    <row r="868" ht="15.75" customHeight="1" s="195"/>
    <row r="869" ht="15.75" customHeight="1" s="195"/>
    <row r="870" ht="15.75" customHeight="1" s="195"/>
    <row r="871" ht="15.75" customHeight="1" s="195"/>
    <row r="872" ht="15.75" customHeight="1" s="195"/>
    <row r="873" ht="15.75" customHeight="1" s="195"/>
    <row r="874" ht="15.75" customHeight="1" s="195"/>
    <row r="875" ht="15.75" customHeight="1" s="195"/>
    <row r="876" ht="15.75" customHeight="1" s="195"/>
    <row r="877" ht="15.75" customHeight="1" s="195"/>
    <row r="878" ht="15.75" customHeight="1" s="195"/>
    <row r="879" ht="15.75" customHeight="1" s="195"/>
    <row r="880" ht="15.75" customHeight="1" s="195"/>
    <row r="881" ht="15.75" customHeight="1" s="195"/>
    <row r="882" ht="15.75" customHeight="1" s="195"/>
    <row r="883" ht="15.75" customHeight="1" s="195"/>
    <row r="884" ht="15.75" customHeight="1" s="195"/>
    <row r="885" ht="15.75" customHeight="1" s="195"/>
    <row r="886" ht="15.75" customHeight="1" s="195"/>
    <row r="887" ht="15.75" customHeight="1" s="195"/>
    <row r="888" ht="15.75" customHeight="1" s="195"/>
    <row r="889" ht="15.75" customHeight="1" s="195"/>
    <row r="890" ht="15.75" customHeight="1" s="195"/>
    <row r="891" ht="15.75" customHeight="1" s="195"/>
    <row r="892" ht="15.75" customHeight="1" s="195"/>
    <row r="893" ht="15.75" customHeight="1" s="195"/>
    <row r="894" ht="15.75" customHeight="1" s="195"/>
    <row r="895" ht="15.75" customHeight="1" s="195"/>
    <row r="896" ht="15.75" customHeight="1" s="195"/>
    <row r="897" ht="15.75" customHeight="1" s="195"/>
    <row r="898" ht="15.75" customHeight="1" s="195"/>
    <row r="899" ht="15.75" customHeight="1" s="195"/>
    <row r="900" ht="15.75" customHeight="1" s="195"/>
    <row r="901" ht="15.75" customHeight="1" s="195"/>
    <row r="902" ht="15.75" customHeight="1" s="195"/>
    <row r="903" ht="15.75" customHeight="1" s="195"/>
    <row r="904" ht="15.75" customHeight="1" s="195"/>
    <row r="905" ht="15.75" customHeight="1" s="195"/>
    <row r="906" ht="15.75" customHeight="1" s="195"/>
    <row r="907" ht="15.75" customHeight="1" s="195"/>
    <row r="908" ht="15.75" customHeight="1" s="195"/>
    <row r="909" ht="15.75" customHeight="1" s="195"/>
    <row r="910" ht="15.75" customHeight="1" s="195"/>
    <row r="911" ht="15.75" customHeight="1" s="195"/>
    <row r="912" ht="15.75" customHeight="1" s="195"/>
    <row r="913" ht="15.75" customHeight="1" s="195"/>
    <row r="914" ht="15.75" customHeight="1" s="195"/>
    <row r="915" ht="15.75" customHeight="1" s="195"/>
    <row r="916" ht="15.75" customHeight="1" s="195"/>
    <row r="917" ht="15.75" customHeight="1" s="195"/>
    <row r="918" ht="15.75" customHeight="1" s="195"/>
    <row r="919" ht="15.75" customHeight="1" s="195"/>
    <row r="920" ht="15.75" customHeight="1" s="195"/>
    <row r="921" ht="15.75" customHeight="1" s="195"/>
    <row r="922" ht="15.75" customHeight="1" s="195"/>
    <row r="923" ht="15.75" customHeight="1" s="195"/>
    <row r="924" ht="15.75" customHeight="1" s="195"/>
    <row r="925" ht="15.75" customHeight="1" s="195"/>
    <row r="926" ht="15.75" customHeight="1" s="195"/>
    <row r="927" ht="15.75" customHeight="1" s="195"/>
    <row r="928" ht="15.75" customHeight="1" s="195"/>
    <row r="929" ht="15.75" customHeight="1" s="195"/>
    <row r="930" ht="15.75" customHeight="1" s="195"/>
    <row r="931" ht="15.75" customHeight="1" s="195"/>
    <row r="932" ht="15.75" customHeight="1" s="195"/>
    <row r="933" ht="15.75" customHeight="1" s="195"/>
    <row r="934" ht="15.75" customHeight="1" s="195"/>
    <row r="935" ht="15.75" customHeight="1" s="195"/>
    <row r="936" ht="15.75" customHeight="1" s="195"/>
    <row r="937" ht="15.75" customHeight="1" s="195"/>
    <row r="938" ht="15.75" customHeight="1" s="195"/>
    <row r="939" ht="15.75" customHeight="1" s="195"/>
    <row r="940" ht="15.75" customHeight="1" s="195"/>
    <row r="941" ht="15.75" customHeight="1" s="195"/>
    <row r="942" ht="15.75" customHeight="1" s="195"/>
    <row r="943" ht="15.75" customHeight="1" s="195"/>
    <row r="944" ht="15.75" customHeight="1" s="195"/>
    <row r="945" ht="15.75" customHeight="1" s="195"/>
    <row r="946" ht="15.75" customHeight="1" s="195"/>
    <row r="947" ht="15.75" customHeight="1" s="195"/>
    <row r="948" ht="15.75" customHeight="1" s="195"/>
    <row r="949" ht="15.75" customHeight="1" s="195"/>
    <row r="950" ht="15.75" customHeight="1" s="195"/>
    <row r="951" ht="15.75" customHeight="1" s="195"/>
    <row r="952" ht="15.75" customHeight="1" s="195"/>
    <row r="953" ht="15.75" customHeight="1" s="195"/>
    <row r="954" ht="15.75" customHeight="1" s="195"/>
    <row r="955" ht="15.75" customHeight="1" s="195"/>
    <row r="956" ht="15.75" customHeight="1" s="195"/>
    <row r="957" ht="15.75" customHeight="1" s="195"/>
    <row r="958" ht="15.75" customHeight="1" s="195"/>
    <row r="959" ht="15.75" customHeight="1" s="195"/>
    <row r="960" ht="15.75" customHeight="1" s="195"/>
    <row r="961" ht="15.75" customHeight="1" s="195"/>
    <row r="962" ht="15.75" customHeight="1" s="195"/>
    <row r="963" ht="15.75" customHeight="1" s="195"/>
    <row r="964" ht="15.75" customHeight="1" s="195"/>
    <row r="965" ht="15.75" customHeight="1" s="195"/>
    <row r="966" ht="15.75" customHeight="1" s="195"/>
    <row r="967" ht="15.75" customHeight="1" s="195"/>
    <row r="968" ht="15.75" customHeight="1" s="195"/>
    <row r="969" ht="15.75" customHeight="1" s="195"/>
    <row r="970" ht="15.75" customHeight="1" s="195"/>
    <row r="971" ht="15.75" customHeight="1" s="195"/>
    <row r="972" ht="15.75" customHeight="1" s="195"/>
    <row r="973" ht="15.75" customHeight="1" s="195"/>
    <row r="974" ht="15.75" customHeight="1" s="195"/>
    <row r="975" ht="15.75" customHeight="1" s="195"/>
    <row r="976" ht="15.75" customHeight="1" s="195"/>
    <row r="977" ht="15.75" customHeight="1" s="195"/>
    <row r="978" ht="15.75" customHeight="1" s="195"/>
    <row r="979" ht="15.75" customHeight="1" s="195"/>
    <row r="980" ht="15.75" customHeight="1" s="195"/>
    <row r="981" ht="15.75" customHeight="1" s="195"/>
    <row r="982" ht="15.75" customHeight="1" s="195"/>
    <row r="983" ht="15.75" customHeight="1" s="195"/>
    <row r="984" ht="15.75" customHeight="1" s="195"/>
    <row r="985" ht="15.75" customHeight="1" s="195"/>
    <row r="986" ht="15.75" customHeight="1" s="195"/>
    <row r="987" ht="15.75" customHeight="1" s="195"/>
    <row r="988" ht="15.75" customHeight="1" s="195"/>
    <row r="989" ht="15.75" customHeight="1" s="195"/>
    <row r="990" ht="15.75" customHeight="1" s="195"/>
    <row r="991" ht="15.75" customHeight="1" s="195"/>
    <row r="992" ht="15.75" customHeight="1" s="195"/>
    <row r="993" ht="15.75" customHeight="1" s="195"/>
    <row r="994" ht="15.75" customHeight="1" s="195"/>
    <row r="995" ht="15.75" customHeight="1" s="195"/>
    <row r="996" ht="15.75" customHeight="1" s="195"/>
    <row r="997" ht="15.75" customHeight="1" s="195"/>
    <row r="998" ht="15.75" customHeight="1" s="195"/>
    <row r="999" ht="15.75" customHeight="1" s="195"/>
    <row r="1000" ht="15.75" customHeight="1" s="195"/>
  </sheetData>
  <mergeCells count="13">
    <mergeCell ref="D2:F2"/>
    <mergeCell ref="G2:I2"/>
    <mergeCell ref="S2:T2"/>
    <mergeCell ref="J2:L2"/>
    <mergeCell ref="A506:G506"/>
    <mergeCell ref="U2:V2"/>
    <mergeCell ref="P2:R2"/>
    <mergeCell ref="A1:Y1"/>
    <mergeCell ref="W2:AC2"/>
    <mergeCell ref="A113:J113"/>
    <mergeCell ref="A4:Y4"/>
    <mergeCell ref="M2:O2"/>
    <mergeCell ref="A2:C2"/>
  </mergeCells>
  <conditionalFormatting sqref="T6:T505">
    <cfRule type="expression" rank="0" priority="2" equalAverage="0" aboveAverage="0" dxfId="0" text="" percent="0" bottom="0">
      <formula>EXACT(T6,"APROBADO")</formula>
    </cfRule>
    <cfRule type="expression" rank="0" priority="3" equalAverage="0" aboveAverage="0" dxfId="7" text="" percent="0" bottom="0">
      <formula>EXACT(T6,"PENDIENTE")</formula>
    </cfRule>
  </conditionalFormatting>
  <conditionalFormatting sqref="K6:K505">
    <cfRule type="expression" rank="0" priority="4" equalAverage="0" aboveAverage="0" dxfId="8" text="" percent="0" bottom="0">
      <formula>EXACT(K6,"GASOLINA")</formula>
    </cfRule>
  </conditionalFormatting>
  <conditionalFormatting sqref="Y4:Y130">
    <cfRule type="expression" rank="0" priority="5" equalAverage="0" aboveAverage="0" dxfId="9" text="" percent="0" bottom="0">
      <formula>Y4&lt;&gt;""</formula>
    </cfRule>
  </conditionalFormatting>
  <dataValidations count="4">
    <dataValidation sqref="Y5:Y130" showDropDown="0" showInputMessage="0" showErrorMessage="0" allowBlank="1" type="list" errorStyle="stop" operator="between">
      <formula1>CONDUCTORES!$H$3:$H$104</formula1>
      <formula2>0</formula2>
    </dataValidation>
    <dataValidation sqref="K6:K505" showDropDown="0" showInputMessage="0" showErrorMessage="0" allowBlank="1" type="list" errorStyle="stop" operator="between">
      <formula1>"PETROLEO,GASOLINA"</formula1>
      <formula2>0</formula2>
    </dataValidation>
    <dataValidation sqref="E6:E112 E114:E505" showDropDown="0" showInputMessage="0" showErrorMessage="0" allowBlank="1" type="list" errorStyle="stop" operator="between">
      <formula1>"DNI,CE,PASAPORTE"</formula1>
      <formula2>0</formula2>
    </dataValidation>
    <dataValidation sqref="T6:T505" showDropDown="0" showInputMessage="0" showErrorMessage="0" allowBlank="1" type="list" errorStyle="stop" operator="between">
      <formula1>"APROBADO,PENDIENTE,OBSERVADO"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C5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14.43359375" defaultRowHeight="15" zeroHeight="0" outlineLevelRow="0"/>
  <cols>
    <col width="5" customWidth="1" style="194" min="1" max="1"/>
    <col width="14" customWidth="1" style="194" min="2" max="2"/>
    <col width="8" customWidth="1" style="194" min="3" max="3"/>
    <col width="28" customWidth="1" style="194" min="4" max="4"/>
    <col width="7" customWidth="1" style="194" min="5" max="5"/>
    <col width="14" customWidth="1" style="194" min="6" max="6"/>
    <col width="12" customWidth="1" style="194" min="7" max="7"/>
    <col width="10" customWidth="1" style="194" min="8" max="8"/>
    <col width="30" customWidth="1" style="194" min="9" max="9"/>
    <col width="10" customWidth="1" style="194" min="10" max="10"/>
    <col width="12" customWidth="1" style="194" min="11" max="11"/>
    <col width="10" customWidth="1" style="194" min="12" max="13"/>
    <col width="14" customWidth="1" style="194" min="14" max="15"/>
    <col width="28" customWidth="1" style="194" min="16" max="16"/>
    <col width="12" customWidth="1" style="194" min="17" max="18"/>
    <col width="16" customWidth="1" style="194" min="19" max="19"/>
    <col width="12" customWidth="1" style="194" min="20" max="21"/>
    <col width="14" customWidth="1" style="194" min="22" max="23"/>
    <col width="8" customWidth="1" style="194" min="24" max="24"/>
    <col width="22" customWidth="1" style="194" min="25" max="25"/>
    <col width="8.710000000000001" customWidth="1" style="194" min="26" max="29"/>
  </cols>
  <sheetData>
    <row r="1" ht="27.75" customHeight="1" s="195">
      <c r="A1" s="317" t="inlineStr">
        <is>
          <t>REPORTE DE TRASLADO DE PACIENTES SIS DEL MES DE JULIO 2025 PARA REPOSICION DE COMBUSTIBLE</t>
        </is>
      </c>
    </row>
    <row r="2" ht="21.75" customHeight="1" s="195">
      <c r="A2" s="318" t="inlineStr">
        <is>
          <t>TOTAL PETROLEO (gal):</t>
        </is>
      </c>
      <c r="D2" s="319">
        <f>IFERROR(SUMPRODUCT((K4:K124="PETROLEO")*ISNUMBER(M4:M124)*M4:M124),0)</f>
        <v/>
      </c>
      <c r="G2" s="318" t="inlineStr">
        <is>
          <t>TOTAL GASOLINA (gal):</t>
        </is>
      </c>
      <c r="J2" s="319">
        <f>IFERROR(SUMPRODUCT((K4:K124="GASOLINA")*ISNUMBER(M4:M124)*M4:M124),0)</f>
        <v/>
      </c>
      <c r="M2" s="318" t="inlineStr">
        <is>
          <t>TOTAL SOLES S/.:</t>
        </is>
      </c>
      <c r="P2" s="320">
        <f>IFERROR(SUMPRODUCT(ISNUMBER(M4:M124)*L4:L124*M4:M124),0)</f>
        <v/>
      </c>
      <c r="S2" s="318" t="inlineStr">
        <is>
          <t>N TRASLADOS:</t>
        </is>
      </c>
      <c r="U2" s="321">
        <f>SUBTOTAL(2,A4:A124)</f>
        <v/>
      </c>
      <c r="W2" s="322" t="inlineStr">
        <is>
          <t>↑ Al filtrar por EESS los totales cambian automáticamente</t>
        </is>
      </c>
    </row>
    <row r="3" ht="3.75" customHeight="1" s="195">
      <c r="A3" s="323" t="n"/>
      <c r="B3" s="323" t="n"/>
      <c r="C3" s="323" t="n"/>
      <c r="D3" s="323" t="n"/>
      <c r="E3" s="323" t="n"/>
      <c r="F3" s="323" t="n"/>
      <c r="G3" s="323" t="n"/>
      <c r="H3" s="323" t="n"/>
      <c r="I3" s="323" t="n"/>
      <c r="J3" s="323" t="n"/>
      <c r="K3" s="323" t="n"/>
      <c r="L3" s="323" t="n"/>
      <c r="M3" s="323" t="n"/>
      <c r="N3" s="323" t="n"/>
      <c r="O3" s="323" t="n"/>
      <c r="P3" s="323" t="n"/>
      <c r="Q3" s="323" t="n"/>
      <c r="R3" s="323" t="n"/>
      <c r="S3" s="323" t="n"/>
      <c r="T3" s="323" t="n"/>
      <c r="U3" s="323" t="n"/>
      <c r="V3" s="323" t="n"/>
      <c r="W3" s="323" t="n"/>
      <c r="X3" s="323" t="n"/>
      <c r="Y3" s="324" t="inlineStr">
        <is>
          <t>DEVOLVER A
(IPRESS DESTINO)</t>
        </is>
      </c>
    </row>
    <row r="4" ht="19.5" customHeight="1" s="195">
      <c r="A4" s="325" t="inlineStr">
        <is>
          <t>COLUMNAS EN AZUL = AUTO (no editar) | Ingrese: N, NRO FORMATO, AFILIADO, TIPO DOC, NRO DOC, FECHA TRASLADO, COD RENAES, COD REFERENCIA, DNI CONDUCTOR, PRECIO GAL, GALONES, FECHA ENTREGA, CIE-10, ESTADO FUA, FECHA DIGITACION, OFICIO, O/C, META, OBSERVACION</t>
        </is>
      </c>
    </row>
    <row r="5" ht="30" customHeight="1" s="195">
      <c r="A5" s="326" t="inlineStr">
        <is>
          <t>N</t>
        </is>
      </c>
      <c r="B5" s="327" t="inlineStr">
        <is>
          <t>NRO FORMATO
ATENCION</t>
        </is>
      </c>
      <c r="C5" s="327" t="inlineStr">
        <is>
          <t>UNIDAD
EJECUTORA</t>
        </is>
      </c>
      <c r="D5" s="327" t="inlineStr">
        <is>
          <t>AFILIADO</t>
        </is>
      </c>
      <c r="E5" s="327" t="inlineStr">
        <is>
          <t>TIPO
DOC</t>
        </is>
      </c>
      <c r="F5" s="327" t="inlineStr">
        <is>
          <t>NRO
DOCUMENTO</t>
        </is>
      </c>
      <c r="G5" s="327" t="inlineStr">
        <is>
          <t>FECHA
TRASLADO</t>
        </is>
      </c>
      <c r="H5" s="327" t="inlineStr">
        <is>
          <t>COD
RENAES</t>
        </is>
      </c>
      <c r="I5" s="328" t="inlineStr">
        <is>
          <t>DESCRIPCION
EESS</t>
        </is>
      </c>
      <c r="J5" s="327" t="inlineStr">
        <is>
          <t>COD EESS
REFERENCIA</t>
        </is>
      </c>
      <c r="K5" s="328" t="inlineStr">
        <is>
          <t>TIPO DE
COMBUSTIBLE</t>
        </is>
      </c>
      <c r="L5" s="327" t="inlineStr">
        <is>
          <t>PRECIO
GAL S/.</t>
        </is>
      </c>
      <c r="M5" s="327" t="inlineStr">
        <is>
          <t>GALONES</t>
        </is>
      </c>
      <c r="N5" s="328" t="inlineStr">
        <is>
          <t>TOTAL
COMBUSTIBLE S/.</t>
        </is>
      </c>
      <c r="O5" s="327" t="inlineStr">
        <is>
          <t>DNI
CONDUCTOR</t>
        </is>
      </c>
      <c r="P5" s="329">
        <f>IFERROR(VLOOKUP(TEXT(O5,"0"),CONDUCTORES!$A$3:$G$100,2,0),"")</f>
        <v/>
      </c>
      <c r="Q5" s="329">
        <f>IFERROR(VLOOKUP(TEXT(O5,"0"),CONDUCTORES!$A$3:$H$100,6,0),"")</f>
        <v/>
      </c>
      <c r="R5" s="327" t="inlineStr">
        <is>
          <t>FECHA DE
ENTREGA</t>
        </is>
      </c>
      <c r="S5" s="327" t="inlineStr">
        <is>
          <t>CODIGO DE
DIAGNOSTICO</t>
        </is>
      </c>
      <c r="T5" s="327" t="inlineStr">
        <is>
          <t>ESTADO
FUA</t>
        </is>
      </c>
      <c r="U5" s="327" t="inlineStr">
        <is>
          <t>FECHA
DIGITACION</t>
        </is>
      </c>
      <c r="V5" s="327" t="inlineStr">
        <is>
          <t>OFICIO</t>
        </is>
      </c>
      <c r="W5" s="327" t="inlineStr">
        <is>
          <t>O/C</t>
        </is>
      </c>
      <c r="X5" s="327" t="inlineStr">
        <is>
          <t>META</t>
        </is>
      </c>
      <c r="Y5" s="330" t="inlineStr">
        <is>
          <t>OBSERVACION</t>
        </is>
      </c>
    </row>
    <row r="6" ht="15.75" customHeight="1" s="195">
      <c r="A6" s="337" t="n">
        <v>1</v>
      </c>
      <c r="B6" s="338" t="inlineStr">
        <is>
          <t>00000021</t>
        </is>
      </c>
      <c r="C6" s="337" t="inlineStr">
        <is>
          <t>REGION</t>
        </is>
      </c>
      <c r="D6" s="338" t="inlineStr">
        <is>
          <t>PEREZ DIAZ LEILA</t>
        </is>
      </c>
      <c r="E6" s="337" t="inlineStr">
        <is>
          <t>DNI</t>
        </is>
      </c>
      <c r="F6" s="337" t="inlineStr">
        <is>
          <t>46921694</t>
        </is>
      </c>
      <c r="G6" s="339" t="n">
        <v>45855</v>
      </c>
      <c r="H6" s="337" t="inlineStr">
        <is>
          <t>4937</t>
        </is>
      </c>
      <c r="I6" s="332">
        <f>IFERROR(VLOOKUP(TEXT(H6,"0"),IPRESS!$A$3:$B$212,2,0),"")</f>
        <v/>
      </c>
      <c r="J6" s="337" t="inlineStr">
        <is>
          <t>4932</t>
        </is>
      </c>
      <c r="K6" s="332">
        <f>IFERROR(VLOOKUP(TEXT(O6,"0"),CONDUCTORES!$A$3:$G$100,7,0),"")</f>
        <v/>
      </c>
      <c r="L6" s="340" t="n">
        <v>17.95</v>
      </c>
      <c r="M6" s="340" t="n">
        <v>15</v>
      </c>
      <c r="N6" s="333">
        <f>IFERROR(IF(L6*M6=0,"",L6*M6),"")</f>
        <v/>
      </c>
      <c r="O6" s="280" t="n"/>
      <c r="P6" s="332">
        <f>IFERROR(VLOOKUP(TEXT(O6,"0"),CONDUCTORES!$A$3:$G$100,2,0),"")</f>
        <v/>
      </c>
      <c r="Q6" s="332">
        <f>IFERROR(VLOOKUP(TEXT(O6,"0"),CONDUCTORES!$A$3:$H$100,6,0),"")</f>
        <v/>
      </c>
      <c r="R6" s="339" t="n">
        <v>45951</v>
      </c>
      <c r="S6" s="338" t="inlineStr">
        <is>
          <t>K802</t>
        </is>
      </c>
      <c r="T6" s="337" t="n"/>
      <c r="U6" s="341" t="n"/>
      <c r="V6" s="337" t="inlineStr">
        <is>
          <t>5258-2025</t>
        </is>
      </c>
      <c r="W6" s="337" t="inlineStr">
        <is>
          <t>ADENDA No 877-2025</t>
        </is>
      </c>
      <c r="X6" s="337" t="inlineStr">
        <is>
          <t>189.0</t>
        </is>
      </c>
      <c r="Y6" s="280" t="n"/>
    </row>
    <row r="7" ht="15.75" customHeight="1" s="195">
      <c r="A7" s="337" t="n">
        <v>2</v>
      </c>
      <c r="B7" s="338" t="inlineStr">
        <is>
          <t>00000022</t>
        </is>
      </c>
      <c r="C7" s="337" t="inlineStr">
        <is>
          <t>REGION</t>
        </is>
      </c>
      <c r="D7" s="338" t="inlineStr">
        <is>
          <t>CABANILLAS INGA SHAREN BELEN</t>
        </is>
      </c>
      <c r="E7" s="337" t="inlineStr">
        <is>
          <t>DNI</t>
        </is>
      </c>
      <c r="F7" s="337" t="inlineStr">
        <is>
          <t>90875009</t>
        </is>
      </c>
      <c r="G7" s="339" t="n">
        <v>45862</v>
      </c>
      <c r="H7" s="337" t="inlineStr">
        <is>
          <t>4937</t>
        </is>
      </c>
      <c r="I7" s="332">
        <f>IFERROR(VLOOKUP(TEXT(H7,"0"),IPRESS!$A$3:$B$212,2,0),"")</f>
        <v/>
      </c>
      <c r="J7" s="337" t="inlineStr">
        <is>
          <t>4838</t>
        </is>
      </c>
      <c r="K7" s="332">
        <f>IFERROR(VLOOKUP(TEXT(O7,"0"),CONDUCTORES!$A$3:$G$100,7,0),"")</f>
        <v/>
      </c>
      <c r="L7" s="340" t="n">
        <v>17.95</v>
      </c>
      <c r="M7" s="340" t="n">
        <v>15</v>
      </c>
      <c r="N7" s="333">
        <f>IFERROR(IF(L7*M7=0,"",L7*M7),"")</f>
        <v/>
      </c>
      <c r="O7" s="334" t="n"/>
      <c r="P7" s="332">
        <f>IFERROR(VLOOKUP(TEXT(O7,"0"),CONDUCTORES!$A$3:$G$100,2,0),"")</f>
        <v/>
      </c>
      <c r="Q7" s="332">
        <f>IFERROR(VLOOKUP(TEXT(O7,"0"),CONDUCTORES!$A$3:$H$100,6,0),"")</f>
        <v/>
      </c>
      <c r="R7" s="339" t="n">
        <v>45951</v>
      </c>
      <c r="S7" s="338" t="inlineStr">
        <is>
          <t>J960,J159</t>
        </is>
      </c>
      <c r="T7" s="337" t="n"/>
      <c r="U7" s="341" t="n"/>
      <c r="V7" s="337" t="inlineStr">
        <is>
          <t>5258-2025</t>
        </is>
      </c>
      <c r="W7" s="337" t="inlineStr">
        <is>
          <t>ADENDA No 877-2025</t>
        </is>
      </c>
      <c r="X7" s="337" t="inlineStr">
        <is>
          <t>189.0</t>
        </is>
      </c>
      <c r="Y7" s="280" t="n"/>
    </row>
    <row r="8" ht="15.75" customHeight="1" s="195">
      <c r="A8" s="337" t="n">
        <v>3</v>
      </c>
      <c r="B8" s="338" t="inlineStr">
        <is>
          <t>00000023</t>
        </is>
      </c>
      <c r="C8" s="337" t="inlineStr">
        <is>
          <t>REGION</t>
        </is>
      </c>
      <c r="D8" s="338" t="inlineStr">
        <is>
          <t>BUSTAMANTE HERRERA IRVING MAYCOL</t>
        </is>
      </c>
      <c r="E8" s="337" t="inlineStr">
        <is>
          <t>DNI</t>
        </is>
      </c>
      <c r="F8" s="337" t="inlineStr">
        <is>
          <t>63124546</t>
        </is>
      </c>
      <c r="G8" s="339" t="n">
        <v>45863</v>
      </c>
      <c r="H8" s="337" t="inlineStr">
        <is>
          <t>4937</t>
        </is>
      </c>
      <c r="I8" s="332">
        <f>IFERROR(VLOOKUP(TEXT(H8,"0"),IPRESS!$A$3:$B$212,2,0),"")</f>
        <v/>
      </c>
      <c r="J8" s="337" t="inlineStr">
        <is>
          <t>4932</t>
        </is>
      </c>
      <c r="K8" s="332">
        <f>IFERROR(VLOOKUP(TEXT(O8,"0"),CONDUCTORES!$A$3:$G$100,7,0),"")</f>
        <v/>
      </c>
      <c r="L8" s="340" t="n">
        <v>17.95</v>
      </c>
      <c r="M8" s="340" t="n">
        <v>5</v>
      </c>
      <c r="N8" s="333">
        <f>IFERROR(IF(L8*M8=0,"",L8*M8),"")</f>
        <v/>
      </c>
      <c r="O8" s="280" t="n"/>
      <c r="P8" s="332">
        <f>IFERROR(VLOOKUP(TEXT(O8,"0"),CONDUCTORES!$A$3:$G$100,2,0),"")</f>
        <v/>
      </c>
      <c r="Q8" s="332">
        <f>IFERROR(VLOOKUP(TEXT(O8,"0"),CONDUCTORES!$A$3:$H$100,6,0),"")</f>
        <v/>
      </c>
      <c r="R8" s="339" t="n">
        <v>45951</v>
      </c>
      <c r="S8" s="338" t="inlineStr">
        <is>
          <t>K37X</t>
        </is>
      </c>
      <c r="T8" s="337" t="n"/>
      <c r="U8" s="341" t="n"/>
      <c r="V8" s="337" t="inlineStr">
        <is>
          <t>5258-2025</t>
        </is>
      </c>
      <c r="W8" s="337" t="inlineStr">
        <is>
          <t>ADENDA No 877-2025</t>
        </is>
      </c>
      <c r="X8" s="337" t="inlineStr">
        <is>
          <t>189.0</t>
        </is>
      </c>
      <c r="Y8" s="280" t="n"/>
    </row>
    <row r="9" ht="15.75" customHeight="1" s="195">
      <c r="A9" s="241" t="n">
        <v>4</v>
      </c>
      <c r="B9" s="305" t="inlineStr">
        <is>
          <t>00000006</t>
        </is>
      </c>
      <c r="C9" s="241" t="inlineStr">
        <is>
          <t>REGION</t>
        </is>
      </c>
      <c r="D9" s="305" t="inlineStr">
        <is>
          <t>CAMPOS VELA LUCESITA ARACELY</t>
        </is>
      </c>
      <c r="E9" s="241" t="inlineStr">
        <is>
          <t>DNI</t>
        </is>
      </c>
      <c r="F9" s="241" t="inlineStr">
        <is>
          <t>71780815</t>
        </is>
      </c>
      <c r="G9" s="336" t="n">
        <v>45848</v>
      </c>
      <c r="H9" s="241" t="inlineStr">
        <is>
          <t>4873</t>
        </is>
      </c>
      <c r="I9" s="332">
        <f>IFERROR(VLOOKUP(TEXT(H9,"0"),IPRESS!$A$3:$B$212,2,0),"")</f>
        <v/>
      </c>
      <c r="J9" s="241" t="inlineStr">
        <is>
          <t>5125</t>
        </is>
      </c>
      <c r="K9" s="332">
        <f>IFERROR(VLOOKUP(TEXT(O9,"0"),CONDUCTORES!$A$3:$G$100,7,0),"")</f>
        <v/>
      </c>
      <c r="L9" s="239" t="n">
        <v>18.18</v>
      </c>
      <c r="M9" s="239" t="n">
        <v>20</v>
      </c>
      <c r="N9" s="333">
        <f>IFERROR(IF(L9*M9=0,"",L9*M9),"")</f>
        <v/>
      </c>
      <c r="O9" s="334" t="n"/>
      <c r="P9" s="332">
        <f>IFERROR(VLOOKUP(TEXT(O9,"0"),CONDUCTORES!$A$3:$G$100,2,0),"")</f>
        <v/>
      </c>
      <c r="Q9" s="332">
        <f>IFERROR(VLOOKUP(TEXT(O9,"0"),CONDUCTORES!$A$3:$H$100,6,0),"")</f>
        <v/>
      </c>
      <c r="R9" s="336" t="n">
        <v>45889</v>
      </c>
      <c r="S9" s="305" t="inlineStr">
        <is>
          <t>O691</t>
        </is>
      </c>
      <c r="T9" s="241" t="n"/>
      <c r="U9" s="280" t="n"/>
      <c r="V9" s="241" t="inlineStr">
        <is>
          <t>3969-2025</t>
        </is>
      </c>
      <c r="W9" s="241" t="inlineStr">
        <is>
          <t>CONTRATO 001-2025</t>
        </is>
      </c>
      <c r="X9" s="241" t="inlineStr">
        <is>
          <t>238.0</t>
        </is>
      </c>
      <c r="Y9" s="280" t="n"/>
    </row>
    <row r="10" ht="15.75" customHeight="1" s="195">
      <c r="A10" s="301" t="n">
        <v>5</v>
      </c>
      <c r="B10" s="302" t="inlineStr">
        <is>
          <t>00000007</t>
        </is>
      </c>
      <c r="C10" s="301" t="inlineStr">
        <is>
          <t>REGION</t>
        </is>
      </c>
      <c r="D10" s="302" t="inlineStr">
        <is>
          <t>AYALA HERRERA CARMEN</t>
        </is>
      </c>
      <c r="E10" s="301" t="inlineStr">
        <is>
          <t>DNI</t>
        </is>
      </c>
      <c r="F10" s="301" t="inlineStr">
        <is>
          <t>80402483</t>
        </is>
      </c>
      <c r="G10" s="331" t="n">
        <v>45854</v>
      </c>
      <c r="H10" s="301" t="inlineStr">
        <is>
          <t>4873</t>
        </is>
      </c>
      <c r="I10" s="332">
        <f>IFERROR(VLOOKUP(TEXT(H10,"0"),IPRESS!$A$3:$B$212,2,0),"")</f>
        <v/>
      </c>
      <c r="J10" s="301" t="inlineStr">
        <is>
          <t>5125</t>
        </is>
      </c>
      <c r="K10" s="332">
        <f>IFERROR(VLOOKUP(TEXT(O10,"0"),CONDUCTORES!$A$3:$G$100,7,0),"")</f>
        <v/>
      </c>
      <c r="L10" s="245" t="n">
        <v>18.18</v>
      </c>
      <c r="M10" s="245" t="n">
        <v>20</v>
      </c>
      <c r="N10" s="333">
        <f>IFERROR(IF(L10*M10=0,"",L10*M10),"")</f>
        <v/>
      </c>
      <c r="O10" s="280" t="n"/>
      <c r="P10" s="332">
        <f>IFERROR(VLOOKUP(TEXT(O10,"0"),CONDUCTORES!$A$3:$G$100,2,0),"")</f>
        <v/>
      </c>
      <c r="Q10" s="332">
        <f>IFERROR(VLOOKUP(TEXT(O10,"0"),CONDUCTORES!$A$3:$H$100,6,0),"")</f>
        <v/>
      </c>
      <c r="R10" s="331" t="n">
        <v>45889</v>
      </c>
      <c r="S10" s="302" t="inlineStr">
        <is>
          <t>R001</t>
        </is>
      </c>
      <c r="T10" s="301" t="n"/>
      <c r="U10" s="334" t="n"/>
      <c r="V10" s="301" t="inlineStr">
        <is>
          <t>3969-2025</t>
        </is>
      </c>
      <c r="W10" s="301" t="inlineStr">
        <is>
          <t>CONTRATO 001-2025</t>
        </is>
      </c>
      <c r="X10" s="301" t="inlineStr">
        <is>
          <t>238.0</t>
        </is>
      </c>
      <c r="Y10" s="280" t="n"/>
    </row>
    <row r="11" ht="15.75" customHeight="1" s="195">
      <c r="A11" s="241" t="n">
        <v>6</v>
      </c>
      <c r="B11" s="305" t="inlineStr">
        <is>
          <t>00000008</t>
        </is>
      </c>
      <c r="C11" s="241" t="inlineStr">
        <is>
          <t>REGION</t>
        </is>
      </c>
      <c r="D11" s="305" t="inlineStr">
        <is>
          <t>FERNANDEZ ROBLES LENTIN</t>
        </is>
      </c>
      <c r="E11" s="241" t="inlineStr">
        <is>
          <t>DNI</t>
        </is>
      </c>
      <c r="F11" s="241" t="inlineStr">
        <is>
          <t>62747596</t>
        </is>
      </c>
      <c r="G11" s="336" t="n">
        <v>45862</v>
      </c>
      <c r="H11" s="241" t="inlineStr">
        <is>
          <t>4873</t>
        </is>
      </c>
      <c r="I11" s="332">
        <f>IFERROR(VLOOKUP(TEXT(H11,"0"),IPRESS!$A$3:$B$212,2,0),"")</f>
        <v/>
      </c>
      <c r="J11" s="241" t="inlineStr">
        <is>
          <t>4838</t>
        </is>
      </c>
      <c r="K11" s="332">
        <f>IFERROR(VLOOKUP(TEXT(O11,"0"),CONDUCTORES!$A$3:$G$100,7,0),"")</f>
        <v/>
      </c>
      <c r="L11" s="239" t="n">
        <v>18.18</v>
      </c>
      <c r="M11" s="239" t="n">
        <v>20</v>
      </c>
      <c r="N11" s="333">
        <f>IFERROR(IF(L11*M11=0,"",L11*M11),"")</f>
        <v/>
      </c>
      <c r="O11" s="334" t="n"/>
      <c r="P11" s="332">
        <f>IFERROR(VLOOKUP(TEXT(O11,"0"),CONDUCTORES!$A$3:$G$100,2,0),"")</f>
        <v/>
      </c>
      <c r="Q11" s="332">
        <f>IFERROR(VLOOKUP(TEXT(O11,"0"),CONDUCTORES!$A$3:$H$100,6,0),"")</f>
        <v/>
      </c>
      <c r="R11" s="336" t="n">
        <v>45889</v>
      </c>
      <c r="S11" s="305" t="inlineStr">
        <is>
          <t>K800</t>
        </is>
      </c>
      <c r="T11" s="241" t="n"/>
      <c r="U11" s="280" t="n"/>
      <c r="V11" s="241" t="inlineStr">
        <is>
          <t>3969-2025</t>
        </is>
      </c>
      <c r="W11" s="241" t="inlineStr">
        <is>
          <t>CONTRATO 001-2025</t>
        </is>
      </c>
      <c r="X11" s="241" t="inlineStr">
        <is>
          <t>238.0</t>
        </is>
      </c>
      <c r="Y11" s="280" t="n"/>
    </row>
    <row r="12" ht="15.75" customHeight="1" s="195">
      <c r="A12" s="301" t="n">
        <v>7</v>
      </c>
      <c r="B12" s="302" t="inlineStr">
        <is>
          <t>00000004</t>
        </is>
      </c>
      <c r="C12" s="301" t="inlineStr">
        <is>
          <t>REGION</t>
        </is>
      </c>
      <c r="D12" s="302" t="inlineStr">
        <is>
          <t>REQUEJO FARGE ROSAS</t>
        </is>
      </c>
      <c r="E12" s="301" t="inlineStr">
        <is>
          <t>DNI</t>
        </is>
      </c>
      <c r="F12" s="301" t="inlineStr">
        <is>
          <t>33412547</t>
        </is>
      </c>
      <c r="G12" s="331" t="n">
        <v>45854</v>
      </c>
      <c r="H12" s="301" t="inlineStr">
        <is>
          <t>4858</t>
        </is>
      </c>
      <c r="I12" s="332">
        <f>IFERROR(VLOOKUP(TEXT(H12,"0"),IPRESS!$A$3:$B$212,2,0),"")</f>
        <v/>
      </c>
      <c r="J12" s="301" t="inlineStr">
        <is>
          <t>4838</t>
        </is>
      </c>
      <c r="K12" s="332">
        <f>IFERROR(VLOOKUP(TEXT(O12,"0"),CONDUCTORES!$A$3:$G$100,7,0),"")</f>
        <v/>
      </c>
      <c r="L12" s="245" t="n">
        <v>18.18</v>
      </c>
      <c r="M12" s="245" t="n">
        <v>15</v>
      </c>
      <c r="N12" s="333">
        <f>IFERROR(IF(L12*M12=0,"",L12*M12),"")</f>
        <v/>
      </c>
      <c r="O12" s="280" t="n"/>
      <c r="P12" s="332">
        <f>IFERROR(VLOOKUP(TEXT(O12,"0"),CONDUCTORES!$A$3:$G$100,2,0),"")</f>
        <v/>
      </c>
      <c r="Q12" s="332">
        <f>IFERROR(VLOOKUP(TEXT(O12,"0"),CONDUCTORES!$A$3:$H$100,6,0),"")</f>
        <v/>
      </c>
      <c r="R12" s="331" t="n">
        <v>45951</v>
      </c>
      <c r="S12" s="302" t="inlineStr">
        <is>
          <t>K565</t>
        </is>
      </c>
      <c r="T12" s="301" t="n"/>
      <c r="U12" s="334" t="n"/>
      <c r="V12" s="301" t="inlineStr">
        <is>
          <t>5234-2025</t>
        </is>
      </c>
      <c r="W12" s="301" t="inlineStr">
        <is>
          <t>CONTRATO No 001-2025 DYT</t>
        </is>
      </c>
      <c r="X12" s="301" t="inlineStr">
        <is>
          <t>266.0</t>
        </is>
      </c>
      <c r="Y12" s="280" t="n"/>
    </row>
    <row r="13" ht="15.75" customHeight="1" s="195">
      <c r="A13" s="241" t="n">
        <v>8</v>
      </c>
      <c r="B13" s="305" t="inlineStr">
        <is>
          <t>00000012</t>
        </is>
      </c>
      <c r="C13" s="241" t="inlineStr">
        <is>
          <t>REGION</t>
        </is>
      </c>
      <c r="D13" s="305" t="inlineStr">
        <is>
          <t>BACALLA VASQUEZ SECIA ELIZABETH</t>
        </is>
      </c>
      <c r="E13" s="241" t="inlineStr">
        <is>
          <t>DNI</t>
        </is>
      </c>
      <c r="F13" s="241" t="inlineStr">
        <is>
          <t>92642562</t>
        </is>
      </c>
      <c r="G13" s="336" t="n">
        <v>45847</v>
      </c>
      <c r="H13" s="241" t="inlineStr">
        <is>
          <t>4874</t>
        </is>
      </c>
      <c r="I13" s="332">
        <f>IFERROR(VLOOKUP(TEXT(H13,"0"),IPRESS!$A$3:$B$212,2,0),"")</f>
        <v/>
      </c>
      <c r="J13" s="241" t="inlineStr">
        <is>
          <t>4838</t>
        </is>
      </c>
      <c r="K13" s="332">
        <f>IFERROR(VLOOKUP(TEXT(O13,"0"),CONDUCTORES!$A$3:$G$100,7,0),"")</f>
        <v/>
      </c>
      <c r="L13" s="239" t="n">
        <v>18.18</v>
      </c>
      <c r="M13" s="239" t="n">
        <v>25</v>
      </c>
      <c r="N13" s="333">
        <f>IFERROR(IF(L13*M13=0,"",L13*M13),"")</f>
        <v/>
      </c>
      <c r="O13" s="334" t="n"/>
      <c r="P13" s="332">
        <f>IFERROR(VLOOKUP(TEXT(O13,"0"),CONDUCTORES!$A$3:$G$100,2,0),"")</f>
        <v/>
      </c>
      <c r="Q13" s="332">
        <f>IFERROR(VLOOKUP(TEXT(O13,"0"),CONDUCTORES!$A$3:$H$100,6,0),"")</f>
        <v/>
      </c>
      <c r="R13" s="336" t="n">
        <v>45909</v>
      </c>
      <c r="S13" s="305" t="inlineStr">
        <is>
          <t>J800,J202</t>
        </is>
      </c>
      <c r="T13" s="241" t="n"/>
      <c r="U13" s="280" t="n"/>
      <c r="V13" s="241" t="n"/>
      <c r="W13" s="241" t="n"/>
      <c r="X13" s="241" t="n"/>
      <c r="Y13" s="280" t="n"/>
    </row>
    <row r="14" ht="15.75" customHeight="1" s="195">
      <c r="A14" s="301" t="n">
        <v>9</v>
      </c>
      <c r="B14" s="302" t="inlineStr">
        <is>
          <t>00000013</t>
        </is>
      </c>
      <c r="C14" s="301" t="inlineStr">
        <is>
          <t>REGION</t>
        </is>
      </c>
      <c r="D14" s="302" t="inlineStr">
        <is>
          <t>OBLITAS MONTENEGRO YALET</t>
        </is>
      </c>
      <c r="E14" s="301" t="inlineStr">
        <is>
          <t>DNI</t>
        </is>
      </c>
      <c r="F14" s="301" t="inlineStr">
        <is>
          <t>80797262</t>
        </is>
      </c>
      <c r="G14" s="331" t="n">
        <v>45849</v>
      </c>
      <c r="H14" s="301" t="inlineStr">
        <is>
          <t>4874</t>
        </is>
      </c>
      <c r="I14" s="332">
        <f>IFERROR(VLOOKUP(TEXT(H14,"0"),IPRESS!$A$3:$B$212,2,0),"")</f>
        <v/>
      </c>
      <c r="J14" s="301" t="inlineStr">
        <is>
          <t>5125</t>
        </is>
      </c>
      <c r="K14" s="332">
        <f>IFERROR(VLOOKUP(TEXT(O14,"0"),CONDUCTORES!$A$3:$G$100,7,0),"")</f>
        <v/>
      </c>
      <c r="L14" s="245" t="n">
        <v>18.18</v>
      </c>
      <c r="M14" s="245" t="n">
        <v>20</v>
      </c>
      <c r="N14" s="333">
        <f>IFERROR(IF(L14*M14=0,"",L14*M14),"")</f>
        <v/>
      </c>
      <c r="O14" s="280" t="n"/>
      <c r="P14" s="332">
        <f>IFERROR(VLOOKUP(TEXT(O14,"0"),CONDUCTORES!$A$3:$G$100,2,0),"")</f>
        <v/>
      </c>
      <c r="Q14" s="332">
        <f>IFERROR(VLOOKUP(TEXT(O14,"0"),CONDUCTORES!$A$3:$H$100,6,0),"")</f>
        <v/>
      </c>
      <c r="R14" s="331" t="n">
        <v>45909</v>
      </c>
      <c r="S14" s="302" t="inlineStr">
        <is>
          <t>J960,J516,S822</t>
        </is>
      </c>
      <c r="T14" s="301" t="n"/>
      <c r="U14" s="334" t="n"/>
      <c r="V14" s="301" t="n"/>
      <c r="W14" s="301" t="n"/>
      <c r="X14" s="301" t="n"/>
      <c r="Y14" s="280" t="n"/>
    </row>
    <row r="15" ht="15.75" customHeight="1" s="195">
      <c r="A15" s="241" t="n">
        <v>10</v>
      </c>
      <c r="B15" s="305" t="inlineStr">
        <is>
          <t>00000014</t>
        </is>
      </c>
      <c r="C15" s="241" t="inlineStr">
        <is>
          <t>REGION</t>
        </is>
      </c>
      <c r="D15" s="305" t="inlineStr">
        <is>
          <t>PAREJAS GONZALES LOLIZ MEDALY</t>
        </is>
      </c>
      <c r="E15" s="241" t="inlineStr">
        <is>
          <t>DNI</t>
        </is>
      </c>
      <c r="F15" s="241" t="inlineStr">
        <is>
          <t>48593644</t>
        </is>
      </c>
      <c r="G15" s="336" t="n">
        <v>45855</v>
      </c>
      <c r="H15" s="241" t="inlineStr">
        <is>
          <t>4874</t>
        </is>
      </c>
      <c r="I15" s="332">
        <f>IFERROR(VLOOKUP(TEXT(H15,"0"),IPRESS!$A$3:$B$212,2,0),"")</f>
        <v/>
      </c>
      <c r="J15" s="241" t="inlineStr">
        <is>
          <t>4838</t>
        </is>
      </c>
      <c r="K15" s="332">
        <f>IFERROR(VLOOKUP(TEXT(O15,"0"),CONDUCTORES!$A$3:$G$100,7,0),"")</f>
        <v/>
      </c>
      <c r="L15" s="239" t="n">
        <v>18.18</v>
      </c>
      <c r="M15" s="239" t="n">
        <v>25</v>
      </c>
      <c r="N15" s="333">
        <f>IFERROR(IF(L15*M15=0,"",L15*M15),"")</f>
        <v/>
      </c>
      <c r="O15" s="334" t="n"/>
      <c r="P15" s="332">
        <f>IFERROR(VLOOKUP(TEXT(O15,"0"),CONDUCTORES!$A$3:$G$100,2,0),"")</f>
        <v/>
      </c>
      <c r="Q15" s="332">
        <f>IFERROR(VLOOKUP(TEXT(O15,"0"),CONDUCTORES!$A$3:$H$100,6,0),"")</f>
        <v/>
      </c>
      <c r="R15" s="336" t="n">
        <v>45909</v>
      </c>
      <c r="S15" s="305" t="inlineStr">
        <is>
          <t>K810,K800,R110</t>
        </is>
      </c>
      <c r="T15" s="241" t="n"/>
      <c r="U15" s="280" t="n"/>
      <c r="V15" s="241" t="n"/>
      <c r="W15" s="241" t="n"/>
      <c r="X15" s="241" t="n"/>
      <c r="Y15" s="280" t="n"/>
    </row>
    <row r="16" ht="15.75" customHeight="1" s="195">
      <c r="A16" s="301" t="n">
        <v>11</v>
      </c>
      <c r="B16" s="302" t="inlineStr">
        <is>
          <t>00000006</t>
        </is>
      </c>
      <c r="C16" s="301" t="inlineStr">
        <is>
          <t>REGION</t>
        </is>
      </c>
      <c r="D16" s="302" t="inlineStr">
        <is>
          <t>QUILO GOMEZ LUDECINDA</t>
        </is>
      </c>
      <c r="E16" s="301" t="inlineStr">
        <is>
          <t>DNI</t>
        </is>
      </c>
      <c r="F16" s="301" t="inlineStr">
        <is>
          <t>42410347</t>
        </is>
      </c>
      <c r="G16" s="331" t="n">
        <v>45866</v>
      </c>
      <c r="H16" s="301" t="inlineStr">
        <is>
          <t>4895</t>
        </is>
      </c>
      <c r="I16" s="332">
        <f>IFERROR(VLOOKUP(TEXT(H16,"0"),IPRESS!$A$3:$B$212,2,0),"")</f>
        <v/>
      </c>
      <c r="J16" s="301" t="inlineStr">
        <is>
          <t>4838</t>
        </is>
      </c>
      <c r="K16" s="332">
        <f>IFERROR(VLOOKUP(TEXT(O16,"0"),CONDUCTORES!$A$3:$G$100,7,0),"")</f>
        <v/>
      </c>
      <c r="L16" s="245" t="n">
        <v>18.18</v>
      </c>
      <c r="M16" s="245" t="n">
        <v>7</v>
      </c>
      <c r="N16" s="333">
        <f>IFERROR(IF(L16*M16=0,"",L16*M16),"")</f>
        <v/>
      </c>
      <c r="O16" s="280" t="n"/>
      <c r="P16" s="332">
        <f>IFERROR(VLOOKUP(TEXT(O16,"0"),CONDUCTORES!$A$3:$G$100,2,0),"")</f>
        <v/>
      </c>
      <c r="Q16" s="332">
        <f>IFERROR(VLOOKUP(TEXT(O16,"0"),CONDUCTORES!$A$3:$H$100,6,0),"")</f>
        <v/>
      </c>
      <c r="R16" s="334" t="n"/>
      <c r="S16" s="302" t="inlineStr">
        <is>
          <t>N938</t>
        </is>
      </c>
      <c r="T16" s="301" t="n"/>
      <c r="U16" s="334" t="n"/>
      <c r="V16" s="301" t="n"/>
      <c r="W16" s="301" t="n"/>
      <c r="X16" s="301" t="n"/>
      <c r="Y16" s="280" t="n"/>
    </row>
    <row r="17" ht="15.75" customHeight="1" s="195">
      <c r="A17" s="241" t="n">
        <v>12</v>
      </c>
      <c r="B17" s="305" t="inlineStr">
        <is>
          <t>00000008</t>
        </is>
      </c>
      <c r="C17" s="241" t="inlineStr">
        <is>
          <t>REGION</t>
        </is>
      </c>
      <c r="D17" s="305" t="inlineStr">
        <is>
          <t>PAISIC HUAMAN JOSE ROBERTO</t>
        </is>
      </c>
      <c r="E17" s="241" t="inlineStr">
        <is>
          <t>DNI</t>
        </is>
      </c>
      <c r="F17" s="241" t="inlineStr">
        <is>
          <t>33812597</t>
        </is>
      </c>
      <c r="G17" s="336" t="n">
        <v>45855</v>
      </c>
      <c r="H17" s="241" t="inlineStr">
        <is>
          <t>4843</t>
        </is>
      </c>
      <c r="I17" s="332">
        <f>IFERROR(VLOOKUP(TEXT(H17,"0"),IPRESS!$A$3:$B$212,2,0),"")</f>
        <v/>
      </c>
      <c r="J17" s="241" t="inlineStr">
        <is>
          <t>4838</t>
        </is>
      </c>
      <c r="K17" s="332">
        <f>IFERROR(VLOOKUP(TEXT(O17,"0"),CONDUCTORES!$A$3:$G$100,7,0),"")</f>
        <v/>
      </c>
      <c r="L17" s="239" t="n">
        <v>18.18</v>
      </c>
      <c r="M17" s="239" t="n">
        <v>20</v>
      </c>
      <c r="N17" s="333">
        <f>IFERROR(IF(L17*M17=0,"",L17*M17),"")</f>
        <v/>
      </c>
      <c r="O17" s="334" t="n"/>
      <c r="P17" s="332">
        <f>IFERROR(VLOOKUP(TEXT(O17,"0"),CONDUCTORES!$A$3:$G$100,2,0),"")</f>
        <v/>
      </c>
      <c r="Q17" s="332">
        <f>IFERROR(VLOOKUP(TEXT(O17,"0"),CONDUCTORES!$A$3:$H$100,6,0),"")</f>
        <v/>
      </c>
      <c r="R17" s="336" t="n">
        <v>45996</v>
      </c>
      <c r="S17" s="305" t="inlineStr">
        <is>
          <t>I64X</t>
        </is>
      </c>
      <c r="T17" s="241" t="n"/>
      <c r="U17" s="280" t="n"/>
      <c r="V17" s="241" t="n"/>
      <c r="W17" s="241" t="n"/>
      <c r="X17" s="241" t="n"/>
      <c r="Y17" s="280" t="n"/>
    </row>
    <row r="18" ht="15.75" customHeight="1" s="195">
      <c r="A18" s="301" t="n">
        <v>13</v>
      </c>
      <c r="B18" s="302" t="inlineStr">
        <is>
          <t>00000009</t>
        </is>
      </c>
      <c r="C18" s="301" t="inlineStr">
        <is>
          <t>REGION</t>
        </is>
      </c>
      <c r="D18" s="302" t="inlineStr">
        <is>
          <t>CHAMAYA PUERTA CLEMIRA</t>
        </is>
      </c>
      <c r="E18" s="301" t="inlineStr">
        <is>
          <t>DNI</t>
        </is>
      </c>
      <c r="F18" s="301" t="inlineStr">
        <is>
          <t>80484377</t>
        </is>
      </c>
      <c r="G18" s="331" t="n">
        <v>45859</v>
      </c>
      <c r="H18" s="301" t="inlineStr">
        <is>
          <t>4843</t>
        </is>
      </c>
      <c r="I18" s="332">
        <f>IFERROR(VLOOKUP(TEXT(H18,"0"),IPRESS!$A$3:$B$212,2,0),"")</f>
        <v/>
      </c>
      <c r="J18" s="301" t="inlineStr">
        <is>
          <t>4838</t>
        </is>
      </c>
      <c r="K18" s="332">
        <f>IFERROR(VLOOKUP(TEXT(O18,"0"),CONDUCTORES!$A$3:$G$100,7,0),"")</f>
        <v/>
      </c>
      <c r="L18" s="245" t="n">
        <v>18.18</v>
      </c>
      <c r="M18" s="245" t="n">
        <v>20</v>
      </c>
      <c r="N18" s="333">
        <f>IFERROR(IF(L18*M18=0,"",L18*M18),"")</f>
        <v/>
      </c>
      <c r="O18" s="280" t="n"/>
      <c r="P18" s="332">
        <f>IFERROR(VLOOKUP(TEXT(O18,"0"),CONDUCTORES!$A$3:$G$100,2,0),"")</f>
        <v/>
      </c>
      <c r="Q18" s="332">
        <f>IFERROR(VLOOKUP(TEXT(O18,"0"),CONDUCTORES!$A$3:$H$100,6,0),"")</f>
        <v/>
      </c>
      <c r="R18" s="331" t="n">
        <v>45996</v>
      </c>
      <c r="S18" s="302" t="inlineStr">
        <is>
          <t>J129,I10X,D638</t>
        </is>
      </c>
      <c r="T18" s="301" t="n"/>
      <c r="U18" s="334" t="n"/>
      <c r="V18" s="301" t="n"/>
      <c r="W18" s="301" t="n"/>
      <c r="X18" s="301" t="n"/>
      <c r="Y18" s="280" t="n"/>
    </row>
    <row r="19" ht="15.75" customHeight="1" s="195">
      <c r="A19" s="241" t="n">
        <v>14</v>
      </c>
      <c r="B19" s="305" t="inlineStr">
        <is>
          <t>00000010</t>
        </is>
      </c>
      <c r="C19" s="241" t="inlineStr">
        <is>
          <t>REGION</t>
        </is>
      </c>
      <c r="D19" s="305" t="inlineStr">
        <is>
          <t>LOPEZ GUADALUPE NARDY FIORELA</t>
        </is>
      </c>
      <c r="E19" s="241" t="inlineStr">
        <is>
          <t>DNI</t>
        </is>
      </c>
      <c r="F19" s="241" t="inlineStr">
        <is>
          <t>79521364</t>
        </is>
      </c>
      <c r="G19" s="336" t="n">
        <v>45857</v>
      </c>
      <c r="H19" s="241" t="inlineStr">
        <is>
          <t>4843</t>
        </is>
      </c>
      <c r="I19" s="332">
        <f>IFERROR(VLOOKUP(TEXT(H19,"0"),IPRESS!$A$3:$B$212,2,0),"")</f>
        <v/>
      </c>
      <c r="J19" s="241" t="inlineStr">
        <is>
          <t>4838</t>
        </is>
      </c>
      <c r="K19" s="332">
        <f>IFERROR(VLOOKUP(TEXT(O19,"0"),CONDUCTORES!$A$3:$G$100,7,0),"")</f>
        <v/>
      </c>
      <c r="L19" s="239" t="n">
        <v>18.18</v>
      </c>
      <c r="M19" s="239" t="n">
        <v>20</v>
      </c>
      <c r="N19" s="333">
        <f>IFERROR(IF(L19*M19=0,"",L19*M19),"")</f>
        <v/>
      </c>
      <c r="O19" s="334" t="n"/>
      <c r="P19" s="332">
        <f>IFERROR(VLOOKUP(TEXT(O19,"0"),CONDUCTORES!$A$3:$G$100,2,0),"")</f>
        <v/>
      </c>
      <c r="Q19" s="332">
        <f>IFERROR(VLOOKUP(TEXT(O19,"0"),CONDUCTORES!$A$3:$H$100,6,0),"")</f>
        <v/>
      </c>
      <c r="R19" s="280" t="n"/>
      <c r="S19" s="305" t="inlineStr">
        <is>
          <t>D610</t>
        </is>
      </c>
      <c r="T19" s="241" t="n"/>
      <c r="U19" s="280" t="n"/>
      <c r="V19" s="241" t="n"/>
      <c r="W19" s="241" t="n"/>
      <c r="X19" s="241" t="n"/>
      <c r="Y19" s="280" t="n"/>
    </row>
    <row r="20" ht="15.75" customHeight="1" s="195">
      <c r="A20" s="301" t="n">
        <v>1</v>
      </c>
      <c r="B20" s="302" t="inlineStr">
        <is>
          <t>00000147</t>
        </is>
      </c>
      <c r="C20" s="301" t="inlineStr">
        <is>
          <t>REGION</t>
        </is>
      </c>
      <c r="D20" s="302" t="inlineStr">
        <is>
          <t>TAFUR LOPEZ DELINA</t>
        </is>
      </c>
      <c r="E20" s="301" t="inlineStr">
        <is>
          <t>DNI</t>
        </is>
      </c>
      <c r="F20" s="301" t="inlineStr">
        <is>
          <t>80495032</t>
        </is>
      </c>
      <c r="G20" s="331" t="n">
        <v>45839</v>
      </c>
      <c r="H20" s="301" t="inlineStr">
        <is>
          <t>4950</t>
        </is>
      </c>
      <c r="I20" s="332">
        <f>IFERROR(VLOOKUP(TEXT(H20,"0"),IPRESS!$A$3:$B$212,2,0),"")</f>
        <v/>
      </c>
      <c r="J20" s="301" t="inlineStr">
        <is>
          <t>4838</t>
        </is>
      </c>
      <c r="K20" s="332">
        <f>IFERROR(VLOOKUP(TEXT(O20,"0"),CONDUCTORES!$A$3:$G$100,7,0),"")</f>
        <v/>
      </c>
      <c r="L20" s="245" t="n">
        <v>20.25</v>
      </c>
      <c r="M20" s="245" t="n">
        <v>7</v>
      </c>
      <c r="N20" s="333">
        <f>IFERROR(IF(L20*M20=0,"",L20*M20),"")</f>
        <v/>
      </c>
      <c r="O20" s="280" t="n"/>
      <c r="P20" s="332">
        <f>IFERROR(VLOOKUP(TEXT(O20,"0"),CONDUCTORES!$A$3:$G$100,2,0),"")</f>
        <v/>
      </c>
      <c r="Q20" s="332">
        <f>IFERROR(VLOOKUP(TEXT(O20,"0"),CONDUCTORES!$A$3:$H$100,6,0),"")</f>
        <v/>
      </c>
      <c r="R20" s="331" t="n">
        <v>45968</v>
      </c>
      <c r="S20" s="302" t="inlineStr">
        <is>
          <t>J189,I500,I10X,J848</t>
        </is>
      </c>
      <c r="T20" s="301" t="n"/>
      <c r="U20" s="334" t="n"/>
      <c r="V20" s="301" t="n"/>
      <c r="W20" s="301" t="n"/>
      <c r="X20" s="301" t="n"/>
      <c r="Y20" s="280" t="n"/>
    </row>
    <row r="21" ht="15.75" customHeight="1" s="195">
      <c r="A21" s="241" t="n">
        <v>2</v>
      </c>
      <c r="B21" s="305" t="inlineStr">
        <is>
          <t>00000148</t>
        </is>
      </c>
      <c r="C21" s="241" t="inlineStr">
        <is>
          <t>REGION</t>
        </is>
      </c>
      <c r="D21" s="305" t="inlineStr">
        <is>
          <t>ZAVALETA LOJA CINTIA PAOLA</t>
        </is>
      </c>
      <c r="E21" s="241" t="inlineStr">
        <is>
          <t>DNI</t>
        </is>
      </c>
      <c r="F21" s="241" t="inlineStr">
        <is>
          <t>60636146</t>
        </is>
      </c>
      <c r="G21" s="336" t="n">
        <v>45840</v>
      </c>
      <c r="H21" s="241" t="inlineStr">
        <is>
          <t>4950</t>
        </is>
      </c>
      <c r="I21" s="332">
        <f>IFERROR(VLOOKUP(TEXT(H21,"0"),IPRESS!$A$3:$B$212,2,0),"")</f>
        <v/>
      </c>
      <c r="J21" s="241" t="inlineStr">
        <is>
          <t>4838</t>
        </is>
      </c>
      <c r="K21" s="332">
        <f>IFERROR(VLOOKUP(TEXT(O21,"0"),CONDUCTORES!$A$3:$G$100,7,0),"")</f>
        <v/>
      </c>
      <c r="L21" s="239" t="n">
        <v>20.25</v>
      </c>
      <c r="M21" s="239" t="n">
        <v>7</v>
      </c>
      <c r="N21" s="333">
        <f>IFERROR(IF(L21*M21=0,"",L21*M21),"")</f>
        <v/>
      </c>
      <c r="O21" s="334" t="n"/>
      <c r="P21" s="332">
        <f>IFERROR(VLOOKUP(TEXT(O21,"0"),CONDUCTORES!$A$3:$G$100,2,0),"")</f>
        <v/>
      </c>
      <c r="Q21" s="332">
        <f>IFERROR(VLOOKUP(TEXT(O21,"0"),CONDUCTORES!$A$3:$H$100,6,0),"")</f>
        <v/>
      </c>
      <c r="R21" s="336" t="n">
        <v>45968</v>
      </c>
      <c r="S21" s="305" t="inlineStr">
        <is>
          <t>O429,O809,O717</t>
        </is>
      </c>
      <c r="T21" s="241" t="n"/>
      <c r="U21" s="280" t="n"/>
      <c r="V21" s="241" t="n"/>
      <c r="W21" s="241" t="n"/>
      <c r="X21" s="241" t="n"/>
      <c r="Y21" s="280" t="n"/>
    </row>
    <row r="22" ht="15.75" customHeight="1" s="195">
      <c r="A22" s="301" t="n">
        <v>3</v>
      </c>
      <c r="B22" s="302" t="inlineStr">
        <is>
          <t>00000151</t>
        </is>
      </c>
      <c r="C22" s="301" t="inlineStr">
        <is>
          <t>REGION</t>
        </is>
      </c>
      <c r="D22" s="302" t="inlineStr">
        <is>
          <t>ALVARADO PUERTA CELITA</t>
        </is>
      </c>
      <c r="E22" s="301" t="inlineStr">
        <is>
          <t>DNI</t>
        </is>
      </c>
      <c r="F22" s="301" t="inlineStr">
        <is>
          <t>33952062</t>
        </is>
      </c>
      <c r="G22" s="331" t="n">
        <v>45845</v>
      </c>
      <c r="H22" s="301" t="inlineStr">
        <is>
          <t>4950</t>
        </is>
      </c>
      <c r="I22" s="332">
        <f>IFERROR(VLOOKUP(TEXT(H22,"0"),IPRESS!$A$3:$B$212,2,0),"")</f>
        <v/>
      </c>
      <c r="J22" s="301" t="inlineStr">
        <is>
          <t>4838</t>
        </is>
      </c>
      <c r="K22" s="332">
        <f>IFERROR(VLOOKUP(TEXT(O22,"0"),CONDUCTORES!$A$3:$G$100,7,0),"")</f>
        <v/>
      </c>
      <c r="L22" s="245" t="n">
        <v>20.25</v>
      </c>
      <c r="M22" s="245" t="n">
        <v>7</v>
      </c>
      <c r="N22" s="333">
        <f>IFERROR(IF(L22*M22=0,"",L22*M22),"")</f>
        <v/>
      </c>
      <c r="O22" s="280" t="n"/>
      <c r="P22" s="332">
        <f>IFERROR(VLOOKUP(TEXT(O22,"0"),CONDUCTORES!$A$3:$G$100,2,0),"")</f>
        <v/>
      </c>
      <c r="Q22" s="332">
        <f>IFERROR(VLOOKUP(TEXT(O22,"0"),CONDUCTORES!$A$3:$H$100,6,0),"")</f>
        <v/>
      </c>
      <c r="R22" s="331" t="n">
        <v>45968</v>
      </c>
      <c r="S22" s="302" t="inlineStr">
        <is>
          <t>S065,S430</t>
        </is>
      </c>
      <c r="T22" s="301" t="n"/>
      <c r="U22" s="334" t="n"/>
      <c r="V22" s="301" t="n"/>
      <c r="W22" s="301" t="n"/>
      <c r="X22" s="301" t="n"/>
      <c r="Y22" s="280" t="n"/>
    </row>
    <row r="23" ht="15.75" customHeight="1" s="195">
      <c r="A23" s="241" t="n">
        <v>4</v>
      </c>
      <c r="B23" s="305" t="inlineStr">
        <is>
          <t>00000152</t>
        </is>
      </c>
      <c r="C23" s="241" t="inlineStr">
        <is>
          <t>REGION</t>
        </is>
      </c>
      <c r="D23" s="305" t="inlineStr">
        <is>
          <t>HERRERA DE LA CRUZ ABELINO</t>
        </is>
      </c>
      <c r="E23" s="241" t="inlineStr">
        <is>
          <t>DNI</t>
        </is>
      </c>
      <c r="F23" s="241" t="inlineStr">
        <is>
          <t>27276649</t>
        </is>
      </c>
      <c r="G23" s="336" t="n">
        <v>45846</v>
      </c>
      <c r="H23" s="241" t="inlineStr">
        <is>
          <t>4950</t>
        </is>
      </c>
      <c r="I23" s="332">
        <f>IFERROR(VLOOKUP(TEXT(H23,"0"),IPRESS!$A$3:$B$212,2,0),"")</f>
        <v/>
      </c>
      <c r="J23" s="241" t="inlineStr">
        <is>
          <t>4838</t>
        </is>
      </c>
      <c r="K23" s="332">
        <f>IFERROR(VLOOKUP(TEXT(O23,"0"),CONDUCTORES!$A$3:$G$100,7,0),"")</f>
        <v/>
      </c>
      <c r="L23" s="239" t="n">
        <v>20.25</v>
      </c>
      <c r="M23" s="239" t="n">
        <v>7</v>
      </c>
      <c r="N23" s="333">
        <f>IFERROR(IF(L23*M23=0,"",L23*M23),"")</f>
        <v/>
      </c>
      <c r="O23" s="334" t="n"/>
      <c r="P23" s="332">
        <f>IFERROR(VLOOKUP(TEXT(O23,"0"),CONDUCTORES!$A$3:$G$100,2,0),"")</f>
        <v/>
      </c>
      <c r="Q23" s="332">
        <f>IFERROR(VLOOKUP(TEXT(O23,"0"),CONDUCTORES!$A$3:$H$100,6,0),"")</f>
        <v/>
      </c>
      <c r="R23" s="336" t="n">
        <v>45968</v>
      </c>
      <c r="S23" s="305" t="inlineStr">
        <is>
          <t>S682</t>
        </is>
      </c>
      <c r="T23" s="241" t="n"/>
      <c r="U23" s="280" t="n"/>
      <c r="V23" s="241" t="n"/>
      <c r="W23" s="241" t="n"/>
      <c r="X23" s="241" t="n"/>
      <c r="Y23" s="280" t="n"/>
    </row>
    <row r="24" ht="15.75" customHeight="1" s="195">
      <c r="A24" s="301" t="n">
        <v>5</v>
      </c>
      <c r="B24" s="302" t="inlineStr">
        <is>
          <t>00000154</t>
        </is>
      </c>
      <c r="C24" s="301" t="inlineStr">
        <is>
          <t>REGION</t>
        </is>
      </c>
      <c r="D24" s="302" t="inlineStr">
        <is>
          <t>LOPEZ SALAZAR GEGNER KENDI</t>
        </is>
      </c>
      <c r="E24" s="301" t="inlineStr">
        <is>
          <t>DNI</t>
        </is>
      </c>
      <c r="F24" s="301" t="inlineStr">
        <is>
          <t>76085834</t>
        </is>
      </c>
      <c r="G24" s="331" t="n">
        <v>45847</v>
      </c>
      <c r="H24" s="301" t="inlineStr">
        <is>
          <t>4950</t>
        </is>
      </c>
      <c r="I24" s="332">
        <f>IFERROR(VLOOKUP(TEXT(H24,"0"),IPRESS!$A$3:$B$212,2,0),"")</f>
        <v/>
      </c>
      <c r="J24" s="301" t="inlineStr">
        <is>
          <t>4838</t>
        </is>
      </c>
      <c r="K24" s="332">
        <f>IFERROR(VLOOKUP(TEXT(O24,"0"),CONDUCTORES!$A$3:$G$100,7,0),"")</f>
        <v/>
      </c>
      <c r="L24" s="245" t="n">
        <v>20.25</v>
      </c>
      <c r="M24" s="245" t="n">
        <v>9</v>
      </c>
      <c r="N24" s="333">
        <f>IFERROR(IF(L24*M24=0,"",L24*M24),"")</f>
        <v/>
      </c>
      <c r="O24" s="280" t="n"/>
      <c r="P24" s="332">
        <f>IFERROR(VLOOKUP(TEXT(O24,"0"),CONDUCTORES!$A$3:$G$100,2,0),"")</f>
        <v/>
      </c>
      <c r="Q24" s="332">
        <f>IFERROR(VLOOKUP(TEXT(O24,"0"),CONDUCTORES!$A$3:$H$100,6,0),"")</f>
        <v/>
      </c>
      <c r="R24" s="331" t="n">
        <v>45968</v>
      </c>
      <c r="S24" s="302" t="inlineStr">
        <is>
          <t>K359,N390</t>
        </is>
      </c>
      <c r="T24" s="301" t="n"/>
      <c r="U24" s="334" t="n"/>
      <c r="V24" s="301" t="n"/>
      <c r="W24" s="301" t="n"/>
      <c r="X24" s="301" t="n"/>
      <c r="Y24" s="280" t="n"/>
    </row>
    <row r="25" ht="15.75" customHeight="1" s="195">
      <c r="A25" s="241" t="n">
        <v>6</v>
      </c>
      <c r="B25" s="305" t="inlineStr">
        <is>
          <t>00000155</t>
        </is>
      </c>
      <c r="C25" s="241" t="inlineStr">
        <is>
          <t>REGION</t>
        </is>
      </c>
      <c r="D25" s="305" t="inlineStr">
        <is>
          <t>PINEDO MANANITA DIANA LUZ</t>
        </is>
      </c>
      <c r="E25" s="241" t="inlineStr">
        <is>
          <t>DNI</t>
        </is>
      </c>
      <c r="F25" s="241" t="inlineStr">
        <is>
          <t>73683220</t>
        </is>
      </c>
      <c r="G25" s="336" t="n">
        <v>45848</v>
      </c>
      <c r="H25" s="241" t="inlineStr">
        <is>
          <t>4950</t>
        </is>
      </c>
      <c r="I25" s="332">
        <f>IFERROR(VLOOKUP(TEXT(H25,"0"),IPRESS!$A$3:$B$212,2,0),"")</f>
        <v/>
      </c>
      <c r="J25" s="241" t="inlineStr">
        <is>
          <t>4838</t>
        </is>
      </c>
      <c r="K25" s="332">
        <f>IFERROR(VLOOKUP(TEXT(O25,"0"),CONDUCTORES!$A$3:$G$100,7,0),"")</f>
        <v/>
      </c>
      <c r="L25" s="239" t="n">
        <v>20.25</v>
      </c>
      <c r="M25" s="239" t="n">
        <v>7</v>
      </c>
      <c r="N25" s="333">
        <f>IFERROR(IF(L25*M25=0,"",L25*M25),"")</f>
        <v/>
      </c>
      <c r="O25" s="334" t="n"/>
      <c r="P25" s="332">
        <f>IFERROR(VLOOKUP(TEXT(O25,"0"),CONDUCTORES!$A$3:$G$100,2,0),"")</f>
        <v/>
      </c>
      <c r="Q25" s="332">
        <f>IFERROR(VLOOKUP(TEXT(O25,"0"),CONDUCTORES!$A$3:$H$100,6,0),"")</f>
        <v/>
      </c>
      <c r="R25" s="336" t="n">
        <v>45968</v>
      </c>
      <c r="S25" s="305" t="inlineStr">
        <is>
          <t>O689</t>
        </is>
      </c>
      <c r="T25" s="241" t="n"/>
      <c r="U25" s="280" t="n"/>
      <c r="V25" s="241" t="n"/>
      <c r="W25" s="241" t="n"/>
      <c r="X25" s="241" t="n"/>
      <c r="Y25" s="280" t="n"/>
    </row>
    <row r="26" ht="15.75" customHeight="1" s="195">
      <c r="A26" s="301" t="n">
        <v>7</v>
      </c>
      <c r="B26" s="302" t="inlineStr">
        <is>
          <t>00000156</t>
        </is>
      </c>
      <c r="C26" s="301" t="inlineStr">
        <is>
          <t>REGION</t>
        </is>
      </c>
      <c r="D26" s="302" t="inlineStr">
        <is>
          <t>GRANDEZ ALVARADO NATIVIDAD</t>
        </is>
      </c>
      <c r="E26" s="301" t="inlineStr">
        <is>
          <t>DNI</t>
        </is>
      </c>
      <c r="F26" s="301" t="inlineStr">
        <is>
          <t>47613290</t>
        </is>
      </c>
      <c r="G26" s="331" t="n">
        <v>45849</v>
      </c>
      <c r="H26" s="301" t="inlineStr">
        <is>
          <t>4950</t>
        </is>
      </c>
      <c r="I26" s="332">
        <f>IFERROR(VLOOKUP(TEXT(H26,"0"),IPRESS!$A$3:$B$212,2,0),"")</f>
        <v/>
      </c>
      <c r="J26" s="301" t="inlineStr">
        <is>
          <t>4838</t>
        </is>
      </c>
      <c r="K26" s="332">
        <f>IFERROR(VLOOKUP(TEXT(O26,"0"),CONDUCTORES!$A$3:$G$100,7,0),"")</f>
        <v/>
      </c>
      <c r="L26" s="245" t="n">
        <v>20.25</v>
      </c>
      <c r="M26" s="245" t="n">
        <v>7</v>
      </c>
      <c r="N26" s="333">
        <f>IFERROR(IF(L26*M26=0,"",L26*M26),"")</f>
        <v/>
      </c>
      <c r="O26" s="280" t="n"/>
      <c r="P26" s="332">
        <f>IFERROR(VLOOKUP(TEXT(O26,"0"),CONDUCTORES!$A$3:$G$100,2,0),"")</f>
        <v/>
      </c>
      <c r="Q26" s="332">
        <f>IFERROR(VLOOKUP(TEXT(O26,"0"),CONDUCTORES!$A$3:$H$100,6,0),"")</f>
        <v/>
      </c>
      <c r="R26" s="331" t="n">
        <v>45968</v>
      </c>
      <c r="S26" s="302" t="inlineStr">
        <is>
          <t>F412,F332,Z915</t>
        </is>
      </c>
      <c r="T26" s="301" t="n"/>
      <c r="U26" s="334" t="n"/>
      <c r="V26" s="301" t="n"/>
      <c r="W26" s="301" t="n"/>
      <c r="X26" s="301" t="n"/>
      <c r="Y26" s="280" t="n"/>
    </row>
    <row r="27" ht="15.75" customHeight="1" s="195">
      <c r="A27" s="241" t="n">
        <v>8</v>
      </c>
      <c r="B27" s="305" t="inlineStr">
        <is>
          <t>00000157</t>
        </is>
      </c>
      <c r="C27" s="241" t="inlineStr">
        <is>
          <t>REGION</t>
        </is>
      </c>
      <c r="D27" s="305" t="inlineStr">
        <is>
          <t>FERNANDEZ ROJAS JHON GENRI</t>
        </is>
      </c>
      <c r="E27" s="241" t="inlineStr">
        <is>
          <t>DNI</t>
        </is>
      </c>
      <c r="F27" s="241" t="inlineStr">
        <is>
          <t>78568625</t>
        </is>
      </c>
      <c r="G27" s="336" t="n">
        <v>45851</v>
      </c>
      <c r="H27" s="241" t="inlineStr">
        <is>
          <t>4950</t>
        </is>
      </c>
      <c r="I27" s="332">
        <f>IFERROR(VLOOKUP(TEXT(H27,"0"),IPRESS!$A$3:$B$212,2,0),"")</f>
        <v/>
      </c>
      <c r="J27" s="241" t="inlineStr">
        <is>
          <t>4838</t>
        </is>
      </c>
      <c r="K27" s="332">
        <f>IFERROR(VLOOKUP(TEXT(O27,"0"),CONDUCTORES!$A$3:$G$100,7,0),"")</f>
        <v/>
      </c>
      <c r="L27" s="239" t="n">
        <v>20.25</v>
      </c>
      <c r="M27" s="239" t="n">
        <v>7</v>
      </c>
      <c r="N27" s="333">
        <f>IFERROR(IF(L27*M27=0,"",L27*M27),"")</f>
        <v/>
      </c>
      <c r="O27" s="334" t="n"/>
      <c r="P27" s="332">
        <f>IFERROR(VLOOKUP(TEXT(O27,"0"),CONDUCTORES!$A$3:$G$100,2,0),"")</f>
        <v/>
      </c>
      <c r="Q27" s="332">
        <f>IFERROR(VLOOKUP(TEXT(O27,"0"),CONDUCTORES!$A$3:$H$100,6,0),"")</f>
        <v/>
      </c>
      <c r="R27" s="336" t="n">
        <v>45968</v>
      </c>
      <c r="S27" s="305" t="inlineStr">
        <is>
          <t>G419,N390</t>
        </is>
      </c>
      <c r="T27" s="241" t="n"/>
      <c r="U27" s="280" t="n"/>
      <c r="V27" s="241" t="n"/>
      <c r="W27" s="241" t="n"/>
      <c r="X27" s="241" t="n"/>
      <c r="Y27" s="280" t="n"/>
    </row>
    <row r="28" ht="15.75" customHeight="1" s="195">
      <c r="A28" s="301" t="n">
        <v>9</v>
      </c>
      <c r="B28" s="302" t="inlineStr">
        <is>
          <t>00000158</t>
        </is>
      </c>
      <c r="C28" s="301" t="inlineStr">
        <is>
          <t>REGION</t>
        </is>
      </c>
      <c r="D28" s="302" t="inlineStr">
        <is>
          <t>PUERTA GRANDEZ YOANINE</t>
        </is>
      </c>
      <c r="E28" s="301" t="inlineStr">
        <is>
          <t>DNI</t>
        </is>
      </c>
      <c r="F28" s="301" t="inlineStr">
        <is>
          <t>43882032</t>
        </is>
      </c>
      <c r="G28" s="331" t="n">
        <v>45851</v>
      </c>
      <c r="H28" s="301" t="inlineStr">
        <is>
          <t>4950</t>
        </is>
      </c>
      <c r="I28" s="332">
        <f>IFERROR(VLOOKUP(TEXT(H28,"0"),IPRESS!$A$3:$B$212,2,0),"")</f>
        <v/>
      </c>
      <c r="J28" s="301" t="inlineStr">
        <is>
          <t>4838</t>
        </is>
      </c>
      <c r="K28" s="332">
        <f>IFERROR(VLOOKUP(TEXT(O28,"0"),CONDUCTORES!$A$3:$G$100,7,0),"")</f>
        <v/>
      </c>
      <c r="L28" s="245" t="n">
        <v>20.25</v>
      </c>
      <c r="M28" s="245" t="n">
        <v>7</v>
      </c>
      <c r="N28" s="333">
        <f>IFERROR(IF(L28*M28=0,"",L28*M28),"")</f>
        <v/>
      </c>
      <c r="O28" s="280" t="n"/>
      <c r="P28" s="332">
        <f>IFERROR(VLOOKUP(TEXT(O28,"0"),CONDUCTORES!$A$3:$G$100,2,0),"")</f>
        <v/>
      </c>
      <c r="Q28" s="332">
        <f>IFERROR(VLOOKUP(TEXT(O28,"0"),CONDUCTORES!$A$3:$H$100,6,0),"")</f>
        <v/>
      </c>
      <c r="R28" s="331" t="n">
        <v>45968</v>
      </c>
      <c r="S28" s="302" t="inlineStr">
        <is>
          <t>K359,N390</t>
        </is>
      </c>
      <c r="T28" s="301" t="n"/>
      <c r="U28" s="334" t="n"/>
      <c r="V28" s="301" t="n"/>
      <c r="W28" s="301" t="n"/>
      <c r="X28" s="301" t="n"/>
      <c r="Y28" s="280" t="n"/>
    </row>
    <row r="29" ht="15.75" customHeight="1" s="195">
      <c r="A29" s="241" t="n">
        <v>10</v>
      </c>
      <c r="B29" s="305" t="inlineStr">
        <is>
          <t>00000160</t>
        </is>
      </c>
      <c r="C29" s="241" t="inlineStr">
        <is>
          <t>REGION</t>
        </is>
      </c>
      <c r="D29" s="305" t="inlineStr">
        <is>
          <t>PEREA RODRIGUEZ DENIS CARMELA</t>
        </is>
      </c>
      <c r="E29" s="241" t="inlineStr">
        <is>
          <t>DNI</t>
        </is>
      </c>
      <c r="F29" s="241" t="inlineStr">
        <is>
          <t>33942070</t>
        </is>
      </c>
      <c r="G29" s="336" t="n">
        <v>45852</v>
      </c>
      <c r="H29" s="241" t="inlineStr">
        <is>
          <t>4950</t>
        </is>
      </c>
      <c r="I29" s="332">
        <f>IFERROR(VLOOKUP(TEXT(H29,"0"),IPRESS!$A$3:$B$212,2,0),"")</f>
        <v/>
      </c>
      <c r="J29" s="241" t="inlineStr">
        <is>
          <t>4838</t>
        </is>
      </c>
      <c r="K29" s="332">
        <f>IFERROR(VLOOKUP(TEXT(O29,"0"),CONDUCTORES!$A$3:$G$100,7,0),"")</f>
        <v/>
      </c>
      <c r="L29" s="239" t="n">
        <v>20.25</v>
      </c>
      <c r="M29" s="239" t="n">
        <v>7</v>
      </c>
      <c r="N29" s="333">
        <f>IFERROR(IF(L29*M29=0,"",L29*M29),"")</f>
        <v/>
      </c>
      <c r="O29" s="334" t="n"/>
      <c r="P29" s="332">
        <f>IFERROR(VLOOKUP(TEXT(O29,"0"),CONDUCTORES!$A$3:$G$100,2,0),"")</f>
        <v/>
      </c>
      <c r="Q29" s="332">
        <f>IFERROR(VLOOKUP(TEXT(O29,"0"),CONDUCTORES!$A$3:$H$100,6,0),"")</f>
        <v/>
      </c>
      <c r="R29" s="336" t="n">
        <v>45968</v>
      </c>
      <c r="S29" s="305" t="inlineStr">
        <is>
          <t>K358,R104,E119</t>
        </is>
      </c>
      <c r="T29" s="241" t="n"/>
      <c r="U29" s="280" t="n"/>
      <c r="V29" s="241" t="n"/>
      <c r="W29" s="241" t="n"/>
      <c r="X29" s="241" t="n"/>
      <c r="Y29" s="280" t="n"/>
    </row>
    <row r="30" ht="15.75" customHeight="1" s="195">
      <c r="A30" s="301" t="n">
        <v>11</v>
      </c>
      <c r="B30" s="302" t="inlineStr">
        <is>
          <t>00000161</t>
        </is>
      </c>
      <c r="C30" s="301" t="inlineStr">
        <is>
          <t>REGION</t>
        </is>
      </c>
      <c r="D30" s="302" t="inlineStr">
        <is>
          <t>CALDERON LLANOS LUZ MARLENY</t>
        </is>
      </c>
      <c r="E30" s="301" t="inlineStr">
        <is>
          <t>DNI</t>
        </is>
      </c>
      <c r="F30" s="301" t="inlineStr">
        <is>
          <t>46204830</t>
        </is>
      </c>
      <c r="G30" s="331" t="n">
        <v>45854</v>
      </c>
      <c r="H30" s="301" t="inlineStr">
        <is>
          <t>4950</t>
        </is>
      </c>
      <c r="I30" s="332">
        <f>IFERROR(VLOOKUP(TEXT(H30,"0"),IPRESS!$A$3:$B$212,2,0),"")</f>
        <v/>
      </c>
      <c r="J30" s="301" t="inlineStr">
        <is>
          <t>4838</t>
        </is>
      </c>
      <c r="K30" s="332">
        <f>IFERROR(VLOOKUP(TEXT(O30,"0"),CONDUCTORES!$A$3:$G$100,7,0),"")</f>
        <v/>
      </c>
      <c r="L30" s="245" t="n">
        <v>20.25</v>
      </c>
      <c r="M30" s="245" t="n">
        <v>7</v>
      </c>
      <c r="N30" s="333">
        <f>IFERROR(IF(L30*M30=0,"",L30*M30),"")</f>
        <v/>
      </c>
      <c r="O30" s="280" t="n"/>
      <c r="P30" s="332">
        <f>IFERROR(VLOOKUP(TEXT(O30,"0"),CONDUCTORES!$A$3:$G$100,2,0),"")</f>
        <v/>
      </c>
      <c r="Q30" s="332">
        <f>IFERROR(VLOOKUP(TEXT(O30,"0"),CONDUCTORES!$A$3:$H$100,6,0),"")</f>
        <v/>
      </c>
      <c r="R30" s="331" t="n">
        <v>45968</v>
      </c>
      <c r="S30" s="302" t="inlineStr">
        <is>
          <t>O689</t>
        </is>
      </c>
      <c r="T30" s="301" t="n"/>
      <c r="U30" s="334" t="n"/>
      <c r="V30" s="301" t="n"/>
      <c r="W30" s="301" t="n"/>
      <c r="X30" s="301" t="n"/>
      <c r="Y30" s="280" t="n"/>
    </row>
    <row r="31" ht="15.75" customHeight="1" s="195">
      <c r="A31" s="241" t="n">
        <v>12</v>
      </c>
      <c r="B31" s="305" t="inlineStr">
        <is>
          <t>00000162</t>
        </is>
      </c>
      <c r="C31" s="241" t="inlineStr">
        <is>
          <t>REGION</t>
        </is>
      </c>
      <c r="D31" s="305" t="inlineStr">
        <is>
          <t>MONTENEGRO GONZALES VICTOR</t>
        </is>
      </c>
      <c r="E31" s="241" t="inlineStr">
        <is>
          <t>DNI</t>
        </is>
      </c>
      <c r="F31" s="241" t="inlineStr">
        <is>
          <t>75958214</t>
        </is>
      </c>
      <c r="G31" s="336" t="n">
        <v>45855</v>
      </c>
      <c r="H31" s="241" t="inlineStr">
        <is>
          <t>4950</t>
        </is>
      </c>
      <c r="I31" s="332">
        <f>IFERROR(VLOOKUP(TEXT(H31,"0"),IPRESS!$A$3:$B$212,2,0),"")</f>
        <v/>
      </c>
      <c r="J31" s="241" t="inlineStr">
        <is>
          <t>4838</t>
        </is>
      </c>
      <c r="K31" s="332">
        <f>IFERROR(VLOOKUP(TEXT(O31,"0"),CONDUCTORES!$A$3:$G$100,7,0),"")</f>
        <v/>
      </c>
      <c r="L31" s="239" t="n">
        <v>20.25</v>
      </c>
      <c r="M31" s="239" t="n">
        <v>7</v>
      </c>
      <c r="N31" s="333">
        <f>IFERROR(IF(L31*M31=0,"",L31*M31),"")</f>
        <v/>
      </c>
      <c r="O31" s="334" t="n"/>
      <c r="P31" s="332">
        <f>IFERROR(VLOOKUP(TEXT(O31,"0"),CONDUCTORES!$A$3:$G$100,2,0),"")</f>
        <v/>
      </c>
      <c r="Q31" s="332">
        <f>IFERROR(VLOOKUP(TEXT(O31,"0"),CONDUCTORES!$A$3:$H$100,6,0),"")</f>
        <v/>
      </c>
      <c r="R31" s="336" t="n">
        <v>45968</v>
      </c>
      <c r="S31" s="305" t="inlineStr">
        <is>
          <t>S099,S122</t>
        </is>
      </c>
      <c r="T31" s="241" t="n"/>
      <c r="U31" s="280" t="n"/>
      <c r="V31" s="241" t="n"/>
      <c r="W31" s="241" t="n"/>
      <c r="X31" s="241" t="n"/>
      <c r="Y31" s="280" t="n"/>
    </row>
    <row r="32" ht="15.75" customHeight="1" s="195">
      <c r="A32" s="301" t="n">
        <v>13</v>
      </c>
      <c r="B32" s="302" t="inlineStr">
        <is>
          <t>00000163</t>
        </is>
      </c>
      <c r="C32" s="301" t="inlineStr">
        <is>
          <t>REGION</t>
        </is>
      </c>
      <c r="D32" s="302" t="inlineStr">
        <is>
          <t>ALIAGA GUIOP DEYSI TEHANY</t>
        </is>
      </c>
      <c r="E32" s="301" t="inlineStr">
        <is>
          <t>DNI</t>
        </is>
      </c>
      <c r="F32" s="301" t="inlineStr">
        <is>
          <t>76165043</t>
        </is>
      </c>
      <c r="G32" s="331" t="n">
        <v>45856</v>
      </c>
      <c r="H32" s="301" t="inlineStr">
        <is>
          <t>4950</t>
        </is>
      </c>
      <c r="I32" s="332">
        <f>IFERROR(VLOOKUP(TEXT(H32,"0"),IPRESS!$A$3:$B$212,2,0),"")</f>
        <v/>
      </c>
      <c r="J32" s="301" t="inlineStr">
        <is>
          <t>4838</t>
        </is>
      </c>
      <c r="K32" s="332">
        <f>IFERROR(VLOOKUP(TEXT(O32,"0"),CONDUCTORES!$A$3:$G$100,7,0),"")</f>
        <v/>
      </c>
      <c r="L32" s="245" t="n">
        <v>20.25</v>
      </c>
      <c r="M32" s="245" t="n">
        <v>6.7</v>
      </c>
      <c r="N32" s="333">
        <f>IFERROR(IF(L32*M32=0,"",L32*M32),"")</f>
        <v/>
      </c>
      <c r="O32" s="280" t="n"/>
      <c r="P32" s="332">
        <f>IFERROR(VLOOKUP(TEXT(O32,"0"),CONDUCTORES!$A$3:$G$100,2,0),"")</f>
        <v/>
      </c>
      <c r="Q32" s="332">
        <f>IFERROR(VLOOKUP(TEXT(O32,"0"),CONDUCTORES!$A$3:$H$100,6,0),"")</f>
        <v/>
      </c>
      <c r="R32" s="331" t="n">
        <v>45968</v>
      </c>
      <c r="S32" s="302" t="inlineStr">
        <is>
          <t>O429</t>
        </is>
      </c>
      <c r="T32" s="301" t="n"/>
      <c r="U32" s="334" t="n"/>
      <c r="V32" s="301" t="n"/>
      <c r="W32" s="301" t="n"/>
      <c r="X32" s="301" t="n"/>
      <c r="Y32" s="280" t="n"/>
    </row>
    <row r="33" ht="15.75" customHeight="1" s="195">
      <c r="A33" s="241" t="n">
        <v>14</v>
      </c>
      <c r="B33" s="305" t="inlineStr">
        <is>
          <t>00000164</t>
        </is>
      </c>
      <c r="C33" s="241" t="inlineStr">
        <is>
          <t>REGION</t>
        </is>
      </c>
      <c r="D33" s="305" t="inlineStr">
        <is>
          <t>MARIN BUSTAMANTE DANITZA YARDENI</t>
        </is>
      </c>
      <c r="E33" s="241" t="inlineStr">
        <is>
          <t>DNI</t>
        </is>
      </c>
      <c r="F33" s="241" t="inlineStr">
        <is>
          <t>60031707</t>
        </is>
      </c>
      <c r="G33" s="336" t="n">
        <v>45858</v>
      </c>
      <c r="H33" s="241" t="inlineStr">
        <is>
          <t>4950</t>
        </is>
      </c>
      <c r="I33" s="332">
        <f>IFERROR(VLOOKUP(TEXT(H33,"0"),IPRESS!$A$3:$B$212,2,0),"")</f>
        <v/>
      </c>
      <c r="J33" s="241" t="inlineStr">
        <is>
          <t>4838</t>
        </is>
      </c>
      <c r="K33" s="332">
        <f>IFERROR(VLOOKUP(TEXT(O33,"0"),CONDUCTORES!$A$3:$G$100,7,0),"")</f>
        <v/>
      </c>
      <c r="L33" s="239" t="n">
        <v>20.25</v>
      </c>
      <c r="M33" s="239" t="n">
        <v>7</v>
      </c>
      <c r="N33" s="333">
        <f>IFERROR(IF(L33*M33=0,"",L33*M33),"")</f>
        <v/>
      </c>
      <c r="O33" s="334" t="n"/>
      <c r="P33" s="332">
        <f>IFERROR(VLOOKUP(TEXT(O33,"0"),CONDUCTORES!$A$3:$G$100,2,0),"")</f>
        <v/>
      </c>
      <c r="Q33" s="332">
        <f>IFERROR(VLOOKUP(TEXT(O33,"0"),CONDUCTORES!$A$3:$H$100,6,0),"")</f>
        <v/>
      </c>
      <c r="R33" s="336" t="n">
        <v>45968</v>
      </c>
      <c r="S33" s="305" t="inlineStr">
        <is>
          <t>O699</t>
        </is>
      </c>
      <c r="T33" s="241" t="n"/>
      <c r="U33" s="280" t="n"/>
      <c r="V33" s="241" t="n"/>
      <c r="W33" s="241" t="n"/>
      <c r="X33" s="241" t="n"/>
      <c r="Y33" s="280" t="n"/>
    </row>
    <row r="34" ht="15.75" customHeight="1" s="195">
      <c r="A34" s="301" t="n">
        <v>15</v>
      </c>
      <c r="B34" s="302" t="inlineStr">
        <is>
          <t>00000165</t>
        </is>
      </c>
      <c r="C34" s="301" t="inlineStr">
        <is>
          <t>REGION</t>
        </is>
      </c>
      <c r="D34" s="302" t="inlineStr">
        <is>
          <t>NOVOA TAFUR EDIHTA CONSUELO</t>
        </is>
      </c>
      <c r="E34" s="301" t="inlineStr">
        <is>
          <t>DNI</t>
        </is>
      </c>
      <c r="F34" s="301" t="inlineStr">
        <is>
          <t>33951427</t>
        </is>
      </c>
      <c r="G34" s="331" t="n">
        <v>45858</v>
      </c>
      <c r="H34" s="301" t="inlineStr">
        <is>
          <t>4950</t>
        </is>
      </c>
      <c r="I34" s="332">
        <f>IFERROR(VLOOKUP(TEXT(H34,"0"),IPRESS!$A$3:$B$212,2,0),"")</f>
        <v/>
      </c>
      <c r="J34" s="301" t="inlineStr">
        <is>
          <t>4838</t>
        </is>
      </c>
      <c r="K34" s="332">
        <f>IFERROR(VLOOKUP(TEXT(O34,"0"),CONDUCTORES!$A$3:$G$100,7,0),"")</f>
        <v/>
      </c>
      <c r="L34" s="245" t="n">
        <v>20.25</v>
      </c>
      <c r="M34" s="245" t="n">
        <v>6.1</v>
      </c>
      <c r="N34" s="333">
        <f>IFERROR(IF(L34*M34=0,"",L34*M34),"")</f>
        <v/>
      </c>
      <c r="O34" s="280" t="n"/>
      <c r="P34" s="332">
        <f>IFERROR(VLOOKUP(TEXT(O34,"0"),CONDUCTORES!$A$3:$G$100,2,0),"")</f>
        <v/>
      </c>
      <c r="Q34" s="332">
        <f>IFERROR(VLOOKUP(TEXT(O34,"0"),CONDUCTORES!$A$3:$H$100,6,0),"")</f>
        <v/>
      </c>
      <c r="R34" s="331" t="n">
        <v>45968</v>
      </c>
      <c r="S34" s="302" t="inlineStr">
        <is>
          <t>I500,J960,N185</t>
        </is>
      </c>
      <c r="T34" s="301" t="n"/>
      <c r="U34" s="334" t="n"/>
      <c r="V34" s="301" t="n"/>
      <c r="W34" s="301" t="n"/>
      <c r="X34" s="301" t="n"/>
      <c r="Y34" s="280" t="n"/>
    </row>
    <row r="35" ht="15.75" customHeight="1" s="195">
      <c r="A35" s="241" t="n">
        <v>16</v>
      </c>
      <c r="B35" s="305" t="inlineStr">
        <is>
          <t>00000166</t>
        </is>
      </c>
      <c r="C35" s="241" t="inlineStr">
        <is>
          <t>REGION</t>
        </is>
      </c>
      <c r="D35" s="305" t="inlineStr">
        <is>
          <t>GUEVARA VARGAS MATHIAS SEBASTIAN</t>
        </is>
      </c>
      <c r="E35" s="241" t="inlineStr">
        <is>
          <t>DNI</t>
        </is>
      </c>
      <c r="F35" s="241" t="inlineStr">
        <is>
          <t>94108203</t>
        </is>
      </c>
      <c r="G35" s="336" t="n">
        <v>45859</v>
      </c>
      <c r="H35" s="241" t="inlineStr">
        <is>
          <t>4950</t>
        </is>
      </c>
      <c r="I35" s="332">
        <f>IFERROR(VLOOKUP(TEXT(H35,"0"),IPRESS!$A$3:$B$212,2,0),"")</f>
        <v/>
      </c>
      <c r="J35" s="241" t="inlineStr">
        <is>
          <t>4838</t>
        </is>
      </c>
      <c r="K35" s="332">
        <f>IFERROR(VLOOKUP(TEXT(O35,"0"),CONDUCTORES!$A$3:$G$100,7,0),"")</f>
        <v/>
      </c>
      <c r="L35" s="239" t="n">
        <v>20.25</v>
      </c>
      <c r="M35" s="239" t="n">
        <v>7</v>
      </c>
      <c r="N35" s="333">
        <f>IFERROR(IF(L35*M35=0,"",L35*M35),"")</f>
        <v/>
      </c>
      <c r="O35" s="334" t="n"/>
      <c r="P35" s="332">
        <f>IFERROR(VLOOKUP(TEXT(O35,"0"),CONDUCTORES!$A$3:$G$100,2,0),"")</f>
        <v/>
      </c>
      <c r="Q35" s="332">
        <f>IFERROR(VLOOKUP(TEXT(O35,"0"),CONDUCTORES!$A$3:$H$100,6,0),"")</f>
        <v/>
      </c>
      <c r="R35" s="336" t="n">
        <v>45968</v>
      </c>
      <c r="S35" s="305" t="inlineStr">
        <is>
          <t>J159,J960,N390</t>
        </is>
      </c>
      <c r="T35" s="241" t="n"/>
      <c r="U35" s="280" t="n"/>
      <c r="V35" s="241" t="n"/>
      <c r="W35" s="241" t="n"/>
      <c r="X35" s="241" t="n"/>
      <c r="Y35" s="280" t="n"/>
    </row>
    <row r="36" ht="15.75" customHeight="1" s="195">
      <c r="A36" s="301" t="n">
        <v>17</v>
      </c>
      <c r="B36" s="302" t="inlineStr">
        <is>
          <t>00000167</t>
        </is>
      </c>
      <c r="C36" s="301" t="inlineStr">
        <is>
          <t>REGION</t>
        </is>
      </c>
      <c r="D36" s="302" t="inlineStr">
        <is>
          <t>PUSCAN HUAMAN HELEN NICOL</t>
        </is>
      </c>
      <c r="E36" s="301" t="inlineStr">
        <is>
          <t>DNI</t>
        </is>
      </c>
      <c r="F36" s="301" t="inlineStr">
        <is>
          <t>90775772</t>
        </is>
      </c>
      <c r="G36" s="331" t="n">
        <v>45860</v>
      </c>
      <c r="H36" s="301" t="inlineStr">
        <is>
          <t>4950</t>
        </is>
      </c>
      <c r="I36" s="332">
        <f>IFERROR(VLOOKUP(TEXT(H36,"0"),IPRESS!$A$3:$B$212,2,0),"")</f>
        <v/>
      </c>
      <c r="J36" s="301" t="inlineStr">
        <is>
          <t>4838</t>
        </is>
      </c>
      <c r="K36" s="332">
        <f>IFERROR(VLOOKUP(TEXT(O36,"0"),CONDUCTORES!$A$3:$G$100,7,0),"")</f>
        <v/>
      </c>
      <c r="L36" s="245" t="n">
        <v>20.25</v>
      </c>
      <c r="M36" s="245" t="n">
        <v>6.5</v>
      </c>
      <c r="N36" s="333">
        <f>IFERROR(IF(L36*M36=0,"",L36*M36),"")</f>
        <v/>
      </c>
      <c r="O36" s="280" t="n"/>
      <c r="P36" s="332">
        <f>IFERROR(VLOOKUP(TEXT(O36,"0"),CONDUCTORES!$A$3:$G$100,2,0),"")</f>
        <v/>
      </c>
      <c r="Q36" s="332">
        <f>IFERROR(VLOOKUP(TEXT(O36,"0"),CONDUCTORES!$A$3:$H$100,6,0),"")</f>
        <v/>
      </c>
      <c r="R36" s="331" t="n">
        <v>45968</v>
      </c>
      <c r="S36" s="302" t="inlineStr">
        <is>
          <t>J159,J960</t>
        </is>
      </c>
      <c r="T36" s="301" t="n"/>
      <c r="U36" s="334" t="n"/>
      <c r="V36" s="301" t="n"/>
      <c r="W36" s="301" t="n"/>
      <c r="X36" s="301" t="n"/>
      <c r="Y36" s="280" t="n"/>
    </row>
    <row r="37" ht="15.75" customHeight="1" s="195">
      <c r="A37" s="241" t="n">
        <v>18</v>
      </c>
      <c r="B37" s="305" t="inlineStr">
        <is>
          <t>00000168</t>
        </is>
      </c>
      <c r="C37" s="241" t="inlineStr">
        <is>
          <t>REGION</t>
        </is>
      </c>
      <c r="D37" s="305" t="inlineStr">
        <is>
          <t>HERRERA HIDALGO TAYLOR ESMID</t>
        </is>
      </c>
      <c r="E37" s="241" t="inlineStr">
        <is>
          <t>DNI</t>
        </is>
      </c>
      <c r="F37" s="241" t="inlineStr">
        <is>
          <t>62133860</t>
        </is>
      </c>
      <c r="G37" s="336" t="n">
        <v>45861</v>
      </c>
      <c r="H37" s="241" t="inlineStr">
        <is>
          <t>4950</t>
        </is>
      </c>
      <c r="I37" s="332">
        <f>IFERROR(VLOOKUP(TEXT(H37,"0"),IPRESS!$A$3:$B$212,2,0),"")</f>
        <v/>
      </c>
      <c r="J37" s="241" t="inlineStr">
        <is>
          <t>4838</t>
        </is>
      </c>
      <c r="K37" s="332">
        <f>IFERROR(VLOOKUP(TEXT(O37,"0"),CONDUCTORES!$A$3:$G$100,7,0),"")</f>
        <v/>
      </c>
      <c r="L37" s="239" t="n">
        <v>20.25</v>
      </c>
      <c r="M37" s="239" t="n">
        <v>6.1</v>
      </c>
      <c r="N37" s="333">
        <f>IFERROR(IF(L37*M37=0,"",L37*M37),"")</f>
        <v/>
      </c>
      <c r="O37" s="334" t="n"/>
      <c r="P37" s="332">
        <f>IFERROR(VLOOKUP(TEXT(O37,"0"),CONDUCTORES!$A$3:$G$100,2,0),"")</f>
        <v/>
      </c>
      <c r="Q37" s="332">
        <f>IFERROR(VLOOKUP(TEXT(O37,"0"),CONDUCTORES!$A$3:$H$100,6,0),"")</f>
        <v/>
      </c>
      <c r="R37" s="336" t="n">
        <v>45968</v>
      </c>
      <c r="S37" s="305" t="inlineStr">
        <is>
          <t>S202,S223</t>
        </is>
      </c>
      <c r="T37" s="241" t="n"/>
      <c r="U37" s="280" t="n"/>
      <c r="V37" s="241" t="n"/>
      <c r="W37" s="241" t="n"/>
      <c r="X37" s="241" t="n"/>
      <c r="Y37" s="280" t="n"/>
    </row>
    <row r="38" ht="15.75" customHeight="1" s="195">
      <c r="A38" s="301" t="n">
        <v>19</v>
      </c>
      <c r="B38" s="302" t="inlineStr">
        <is>
          <t>00000169</t>
        </is>
      </c>
      <c r="C38" s="301" t="inlineStr">
        <is>
          <t>REGION</t>
        </is>
      </c>
      <c r="D38" s="302" t="inlineStr">
        <is>
          <t>MARCAS PALOMINO ELBERTINA</t>
        </is>
      </c>
      <c r="E38" s="301" t="inlineStr">
        <is>
          <t>DNI</t>
        </is>
      </c>
      <c r="F38" s="301" t="inlineStr">
        <is>
          <t>46865433</t>
        </is>
      </c>
      <c r="G38" s="331" t="n">
        <v>45867</v>
      </c>
      <c r="H38" s="301" t="inlineStr">
        <is>
          <t>4950</t>
        </is>
      </c>
      <c r="I38" s="332">
        <f>IFERROR(VLOOKUP(TEXT(H38,"0"),IPRESS!$A$3:$B$212,2,0),"")</f>
        <v/>
      </c>
      <c r="J38" s="301" t="inlineStr">
        <is>
          <t>4838</t>
        </is>
      </c>
      <c r="K38" s="332">
        <f>IFERROR(VLOOKUP(TEXT(O38,"0"),CONDUCTORES!$A$3:$G$100,7,0),"")</f>
        <v/>
      </c>
      <c r="L38" s="245" t="n">
        <v>20.25</v>
      </c>
      <c r="M38" s="245" t="n">
        <v>7</v>
      </c>
      <c r="N38" s="333">
        <f>IFERROR(IF(L38*M38=0,"",L38*M38),"")</f>
        <v/>
      </c>
      <c r="O38" s="280" t="n"/>
      <c r="P38" s="332">
        <f>IFERROR(VLOOKUP(TEXT(O38,"0"),CONDUCTORES!$A$3:$G$100,2,0),"")</f>
        <v/>
      </c>
      <c r="Q38" s="332">
        <f>IFERROR(VLOOKUP(TEXT(O38,"0"),CONDUCTORES!$A$3:$H$100,6,0),"")</f>
        <v/>
      </c>
      <c r="R38" s="331" t="n">
        <v>45968</v>
      </c>
      <c r="S38" s="302" t="inlineStr">
        <is>
          <t>O366,O320</t>
        </is>
      </c>
      <c r="T38" s="301" t="n"/>
      <c r="U38" s="334" t="n"/>
      <c r="V38" s="301" t="n"/>
      <c r="W38" s="301" t="n"/>
      <c r="X38" s="301" t="n"/>
      <c r="Y38" s="280" t="n"/>
    </row>
    <row r="39" ht="15.75" customHeight="1" s="195">
      <c r="A39" s="241" t="n">
        <v>20</v>
      </c>
      <c r="B39" s="305" t="inlineStr">
        <is>
          <t>00000170</t>
        </is>
      </c>
      <c r="C39" s="241" t="inlineStr">
        <is>
          <t>REGION</t>
        </is>
      </c>
      <c r="D39" s="305" t="inlineStr">
        <is>
          <t>IFANTE AQUISE DONATILA</t>
        </is>
      </c>
      <c r="E39" s="241" t="inlineStr">
        <is>
          <t>DNI</t>
        </is>
      </c>
      <c r="F39" s="241" t="inlineStr">
        <is>
          <t>31487852</t>
        </is>
      </c>
      <c r="G39" s="336" t="n">
        <v>45867</v>
      </c>
      <c r="H39" s="241" t="inlineStr">
        <is>
          <t>4950</t>
        </is>
      </c>
      <c r="I39" s="332">
        <f>IFERROR(VLOOKUP(TEXT(H39,"0"),IPRESS!$A$3:$B$212,2,0),"")</f>
        <v/>
      </c>
      <c r="J39" s="241" t="inlineStr">
        <is>
          <t>4838</t>
        </is>
      </c>
      <c r="K39" s="332">
        <f>IFERROR(VLOOKUP(TEXT(O39,"0"),CONDUCTORES!$A$3:$G$100,7,0),"")</f>
        <v/>
      </c>
      <c r="L39" s="239" t="n">
        <v>20.25</v>
      </c>
      <c r="M39" s="239" t="n">
        <v>7</v>
      </c>
      <c r="N39" s="333">
        <f>IFERROR(IF(L39*M39=0,"",L39*M39),"")</f>
        <v/>
      </c>
      <c r="O39" s="334" t="n"/>
      <c r="P39" s="332">
        <f>IFERROR(VLOOKUP(TEXT(O39,"0"),CONDUCTORES!$A$3:$G$100,2,0),"")</f>
        <v/>
      </c>
      <c r="Q39" s="332">
        <f>IFERROR(VLOOKUP(TEXT(O39,"0"),CONDUCTORES!$A$3:$H$100,6,0),"")</f>
        <v/>
      </c>
      <c r="R39" s="336" t="n">
        <v>45968</v>
      </c>
      <c r="S39" s="305" t="inlineStr">
        <is>
          <t>D509,N182</t>
        </is>
      </c>
      <c r="T39" s="241" t="n"/>
      <c r="U39" s="280" t="n"/>
      <c r="V39" s="241" t="n"/>
      <c r="W39" s="241" t="n"/>
      <c r="X39" s="241" t="n"/>
      <c r="Y39" s="280" t="n"/>
    </row>
    <row r="40" ht="15.75" customHeight="1" s="195">
      <c r="A40" s="301" t="n">
        <v>21</v>
      </c>
      <c r="B40" s="302" t="inlineStr">
        <is>
          <t>00000149</t>
        </is>
      </c>
      <c r="C40" s="301" t="inlineStr">
        <is>
          <t>REGION</t>
        </is>
      </c>
      <c r="D40" s="302" t="inlineStr">
        <is>
          <t>COTRINA LLAMOCTANTA GILMER PERCY</t>
        </is>
      </c>
      <c r="E40" s="301" t="inlineStr">
        <is>
          <t>DNI</t>
        </is>
      </c>
      <c r="F40" s="301" t="inlineStr">
        <is>
          <t>76768675</t>
        </is>
      </c>
      <c r="G40" s="331" t="n">
        <v>45844</v>
      </c>
      <c r="H40" s="301" t="inlineStr">
        <is>
          <t>4950</t>
        </is>
      </c>
      <c r="I40" s="332">
        <f>IFERROR(VLOOKUP(TEXT(H40,"0"),IPRESS!$A$3:$B$212,2,0),"")</f>
        <v/>
      </c>
      <c r="J40" s="301" t="inlineStr">
        <is>
          <t>4838</t>
        </is>
      </c>
      <c r="K40" s="332">
        <f>IFERROR(VLOOKUP(TEXT(O40,"0"),CONDUCTORES!$A$3:$G$100,7,0),"")</f>
        <v/>
      </c>
      <c r="L40" s="245" t="n">
        <v>20.25</v>
      </c>
      <c r="M40" s="245" t="n">
        <v>10</v>
      </c>
      <c r="N40" s="333">
        <f>IFERROR(IF(L40*M40=0,"",L40*M40),"")</f>
        <v/>
      </c>
      <c r="O40" s="280" t="n"/>
      <c r="P40" s="332">
        <f>IFERROR(VLOOKUP(TEXT(O40,"0"),CONDUCTORES!$A$3:$G$100,2,0),"")</f>
        <v/>
      </c>
      <c r="Q40" s="332">
        <f>IFERROR(VLOOKUP(TEXT(O40,"0"),CONDUCTORES!$A$3:$H$100,6,0),"")</f>
        <v/>
      </c>
      <c r="R40" s="331" t="n">
        <v>45988</v>
      </c>
      <c r="S40" s="302" t="inlineStr">
        <is>
          <t>S822</t>
        </is>
      </c>
      <c r="T40" s="301" t="inlineStr">
        <is>
          <t>DEVOLUCION AL C.S. OMIA</t>
        </is>
      </c>
      <c r="U40" s="334" t="n"/>
      <c r="V40" s="301" t="inlineStr">
        <is>
          <t>6044-2025</t>
        </is>
      </c>
      <c r="W40" s="301" t="inlineStr">
        <is>
          <t>3479.0</t>
        </is>
      </c>
      <c r="X40" s="301" t="inlineStr">
        <is>
          <t>189.0</t>
        </is>
      </c>
      <c r="Y40" s="280" t="n"/>
    </row>
    <row r="41" ht="15.75" customHeight="1" s="195">
      <c r="A41" s="241" t="n">
        <v>22</v>
      </c>
      <c r="B41" s="305" t="inlineStr">
        <is>
          <t>00000159</t>
        </is>
      </c>
      <c r="C41" s="241" t="inlineStr">
        <is>
          <t>REGION</t>
        </is>
      </c>
      <c r="D41" s="305" t="inlineStr">
        <is>
          <t>CASANOVA REYNA MOISES VALENTINO</t>
        </is>
      </c>
      <c r="E41" s="241" t="inlineStr">
        <is>
          <t>DNI</t>
        </is>
      </c>
      <c r="F41" s="241" t="inlineStr">
        <is>
          <t>11111287</t>
        </is>
      </c>
      <c r="G41" s="336" t="n">
        <v>45852</v>
      </c>
      <c r="H41" s="241" t="inlineStr">
        <is>
          <t>4950</t>
        </is>
      </c>
      <c r="I41" s="332">
        <f>IFERROR(VLOOKUP(TEXT(H41,"0"),IPRESS!$A$3:$B$212,2,0),"")</f>
        <v/>
      </c>
      <c r="J41" s="241" t="inlineStr">
        <is>
          <t>4838</t>
        </is>
      </c>
      <c r="K41" s="332">
        <f>IFERROR(VLOOKUP(TEXT(O41,"0"),CONDUCTORES!$A$3:$G$100,7,0),"")</f>
        <v/>
      </c>
      <c r="L41" s="239" t="n">
        <v>20.25</v>
      </c>
      <c r="M41" s="239" t="n">
        <v>10</v>
      </c>
      <c r="N41" s="333">
        <f>IFERROR(IF(L41*M41=0,"",L41*M41),"")</f>
        <v/>
      </c>
      <c r="O41" s="334" t="n"/>
      <c r="P41" s="332">
        <f>IFERROR(VLOOKUP(TEXT(O41,"0"),CONDUCTORES!$A$3:$G$100,2,0),"")</f>
        <v/>
      </c>
      <c r="Q41" s="332">
        <f>IFERROR(VLOOKUP(TEXT(O41,"0"),CONDUCTORES!$A$3:$H$100,6,0),"")</f>
        <v/>
      </c>
      <c r="R41" s="336" t="n">
        <v>45988</v>
      </c>
      <c r="S41" s="305" t="inlineStr">
        <is>
          <t>P369,E162</t>
        </is>
      </c>
      <c r="T41" s="241" t="inlineStr">
        <is>
          <t>DEVOLUCION C.S OMIA</t>
        </is>
      </c>
      <c r="U41" s="280" t="n"/>
      <c r="V41" s="241" t="inlineStr">
        <is>
          <t>6044-2025</t>
        </is>
      </c>
      <c r="W41" s="241" t="inlineStr">
        <is>
          <t>3479.0</t>
        </is>
      </c>
      <c r="X41" s="241" t="inlineStr">
        <is>
          <t>189.0</t>
        </is>
      </c>
      <c r="Y41" s="280" t="n"/>
    </row>
    <row r="42" ht="15.75" customHeight="1" s="195">
      <c r="A42" s="301" t="n">
        <v>23</v>
      </c>
      <c r="B42" s="302" t="inlineStr">
        <is>
          <t>00000150</t>
        </is>
      </c>
      <c r="C42" s="301" t="inlineStr">
        <is>
          <t>REGION</t>
        </is>
      </c>
      <c r="D42" s="302" t="inlineStr">
        <is>
          <t>MARCAS PALOMINO ELBERTINA</t>
        </is>
      </c>
      <c r="E42" s="301" t="inlineStr">
        <is>
          <t>DNI</t>
        </is>
      </c>
      <c r="F42" s="301" t="inlineStr">
        <is>
          <t>46865433</t>
        </is>
      </c>
      <c r="G42" s="331" t="n">
        <v>45845</v>
      </c>
      <c r="H42" s="301" t="inlineStr">
        <is>
          <t>4950</t>
        </is>
      </c>
      <c r="I42" s="332">
        <f>IFERROR(VLOOKUP(TEXT(H42,"0"),IPRESS!$A$3:$B$212,2,0),"")</f>
        <v/>
      </c>
      <c r="J42" s="301" t="inlineStr">
        <is>
          <t>4838</t>
        </is>
      </c>
      <c r="K42" s="332">
        <f>IFERROR(VLOOKUP(TEXT(O42,"0"),CONDUCTORES!$A$3:$G$100,7,0),"")</f>
        <v/>
      </c>
      <c r="L42" s="245" t="n">
        <v>20.25</v>
      </c>
      <c r="M42" s="245" t="n">
        <v>10</v>
      </c>
      <c r="N42" s="333">
        <f>IFERROR(IF(L42*M42=0,"",L42*M42),"")</f>
        <v/>
      </c>
      <c r="O42" s="280" t="n"/>
      <c r="P42" s="332">
        <f>IFERROR(VLOOKUP(TEXT(O42,"0"),CONDUCTORES!$A$3:$G$100,2,0),"")</f>
        <v/>
      </c>
      <c r="Q42" s="332">
        <f>IFERROR(VLOOKUP(TEXT(O42,"0"),CONDUCTORES!$A$3:$H$100,6,0),"")</f>
        <v/>
      </c>
      <c r="R42" s="331" t="n">
        <v>45988</v>
      </c>
      <c r="S42" s="302" t="inlineStr">
        <is>
          <t>O689</t>
        </is>
      </c>
      <c r="T42" s="301" t="inlineStr">
        <is>
          <t>DEVOLUCION C.S. HUAMBO</t>
        </is>
      </c>
      <c r="U42" s="334" t="n"/>
      <c r="V42" s="301" t="inlineStr">
        <is>
          <t>6044-2025</t>
        </is>
      </c>
      <c r="W42" s="301" t="inlineStr">
        <is>
          <t>3479.0</t>
        </is>
      </c>
      <c r="X42" s="301" t="inlineStr">
        <is>
          <t>189.0</t>
        </is>
      </c>
      <c r="Y42" s="280" t="n"/>
    </row>
    <row r="43" ht="15.75" customHeight="1" s="195">
      <c r="A43" s="241" t="n">
        <v>24</v>
      </c>
      <c r="B43" s="305" t="inlineStr">
        <is>
          <t>00000012</t>
        </is>
      </c>
      <c r="C43" s="241" t="inlineStr">
        <is>
          <t>REGION</t>
        </is>
      </c>
      <c r="D43" s="305" t="inlineStr">
        <is>
          <t>HUAMAN CHOCTALIN KELY MEDALITH</t>
        </is>
      </c>
      <c r="E43" s="241" t="inlineStr">
        <is>
          <t>DNI</t>
        </is>
      </c>
      <c r="F43" s="241" t="inlineStr">
        <is>
          <t>62258658</t>
        </is>
      </c>
      <c r="G43" s="336" t="n">
        <v>45851</v>
      </c>
      <c r="H43" s="241" t="inlineStr">
        <is>
          <t>4905</t>
        </is>
      </c>
      <c r="I43" s="332">
        <f>IFERROR(VLOOKUP(TEXT(H43,"0"),IPRESS!$A$3:$B$212,2,0),"")</f>
        <v/>
      </c>
      <c r="J43" s="241" t="inlineStr">
        <is>
          <t>4838</t>
        </is>
      </c>
      <c r="K43" s="332">
        <f>IFERROR(VLOOKUP(TEXT(O43,"0"),CONDUCTORES!$A$3:$G$100,7,0),"")</f>
        <v/>
      </c>
      <c r="L43" s="239" t="n">
        <v>18.18</v>
      </c>
      <c r="M43" s="239" t="n">
        <v>8</v>
      </c>
      <c r="N43" s="333">
        <f>IFERROR(IF(L43*M43=0,"",L43*M43),"")</f>
        <v/>
      </c>
      <c r="O43" s="334" t="n"/>
      <c r="P43" s="332">
        <f>IFERROR(VLOOKUP(TEXT(O43,"0"),CONDUCTORES!$A$3:$G$100,2,0),"")</f>
        <v/>
      </c>
      <c r="Q43" s="332">
        <f>IFERROR(VLOOKUP(TEXT(O43,"0"),CONDUCTORES!$A$3:$H$100,6,0),"")</f>
        <v/>
      </c>
      <c r="R43" s="336" t="n">
        <v>45891</v>
      </c>
      <c r="S43" s="305" t="inlineStr">
        <is>
          <t>W599</t>
        </is>
      </c>
      <c r="T43" s="241" t="n"/>
      <c r="U43" s="280" t="n"/>
      <c r="V43" s="241" t="inlineStr">
        <is>
          <t>4058-2025</t>
        </is>
      </c>
      <c r="W43" s="241" t="inlineStr">
        <is>
          <t>CONTRATO 001-2025</t>
        </is>
      </c>
      <c r="X43" s="241" t="inlineStr">
        <is>
          <t>238.0</t>
        </is>
      </c>
      <c r="Y43" s="280" t="n"/>
    </row>
    <row r="44" ht="15.75" customHeight="1" s="195">
      <c r="A44" s="301" t="n">
        <v>25</v>
      </c>
      <c r="B44" s="302" t="inlineStr">
        <is>
          <t>00000013</t>
        </is>
      </c>
      <c r="C44" s="301" t="inlineStr">
        <is>
          <t>REGION</t>
        </is>
      </c>
      <c r="D44" s="302" t="inlineStr">
        <is>
          <t>ROJAS HUAMAN SOFIA</t>
        </is>
      </c>
      <c r="E44" s="301" t="inlineStr">
        <is>
          <t>DNI</t>
        </is>
      </c>
      <c r="F44" s="301" t="inlineStr">
        <is>
          <t>60260431</t>
        </is>
      </c>
      <c r="G44" s="331" t="n">
        <v>45868</v>
      </c>
      <c r="H44" s="301" t="inlineStr">
        <is>
          <t>4905</t>
        </is>
      </c>
      <c r="I44" s="332">
        <f>IFERROR(VLOOKUP(TEXT(H44,"0"),IPRESS!$A$3:$B$212,2,0),"")</f>
        <v/>
      </c>
      <c r="J44" s="301" t="inlineStr">
        <is>
          <t>4838</t>
        </is>
      </c>
      <c r="K44" s="332">
        <f>IFERROR(VLOOKUP(TEXT(O44,"0"),CONDUCTORES!$A$3:$G$100,7,0),"")</f>
        <v/>
      </c>
      <c r="L44" s="245" t="n">
        <v>18.18</v>
      </c>
      <c r="M44" s="245" t="n">
        <v>8</v>
      </c>
      <c r="N44" s="333">
        <f>IFERROR(IF(L44*M44=0,"",L44*M44),"")</f>
        <v/>
      </c>
      <c r="O44" s="280" t="n"/>
      <c r="P44" s="332">
        <f>IFERROR(VLOOKUP(TEXT(O44,"0"),CONDUCTORES!$A$3:$G$100,2,0),"")</f>
        <v/>
      </c>
      <c r="Q44" s="332">
        <f>IFERROR(VLOOKUP(TEXT(O44,"0"),CONDUCTORES!$A$3:$H$100,6,0),"")</f>
        <v/>
      </c>
      <c r="R44" s="331" t="n">
        <v>45891</v>
      </c>
      <c r="S44" s="302" t="inlineStr">
        <is>
          <t>Z359</t>
        </is>
      </c>
      <c r="T44" s="301" t="n"/>
      <c r="U44" s="334" t="n"/>
      <c r="V44" s="301" t="inlineStr">
        <is>
          <t>4058-2025</t>
        </is>
      </c>
      <c r="W44" s="301" t="inlineStr">
        <is>
          <t>CONTRATO 001-2025</t>
        </is>
      </c>
      <c r="X44" s="301" t="inlineStr">
        <is>
          <t>238.0</t>
        </is>
      </c>
      <c r="Y44" s="280" t="n"/>
    </row>
    <row r="45" ht="15.75" customHeight="1" s="195">
      <c r="A45" s="241" t="n">
        <v>26</v>
      </c>
      <c r="B45" s="305" t="inlineStr">
        <is>
          <t>00000153</t>
        </is>
      </c>
      <c r="C45" s="241" t="inlineStr">
        <is>
          <t>REGION</t>
        </is>
      </c>
      <c r="D45" s="305" t="inlineStr">
        <is>
          <t>PUSCAN PUERTA JHEMS KALETH</t>
        </is>
      </c>
      <c r="E45" s="241" t="inlineStr">
        <is>
          <t>DNI</t>
        </is>
      </c>
      <c r="F45" s="241" t="inlineStr">
        <is>
          <t>90556625</t>
        </is>
      </c>
      <c r="G45" s="336" t="n">
        <v>45847</v>
      </c>
      <c r="H45" s="241" t="inlineStr">
        <is>
          <t>4950</t>
        </is>
      </c>
      <c r="I45" s="332">
        <f>IFERROR(VLOOKUP(TEXT(H45,"0"),IPRESS!$A$3:$B$212,2,0),"")</f>
        <v/>
      </c>
      <c r="J45" s="241" t="inlineStr">
        <is>
          <t>4838</t>
        </is>
      </c>
      <c r="K45" s="332">
        <f>IFERROR(VLOOKUP(TEXT(O45,"0"),CONDUCTORES!$A$3:$G$100,7,0),"")</f>
        <v/>
      </c>
      <c r="L45" s="239" t="n">
        <v>20.25</v>
      </c>
      <c r="M45" s="239" t="n">
        <v>10</v>
      </c>
      <c r="N45" s="333">
        <f>IFERROR(IF(L45*M45=0,"",L45*M45),"")</f>
        <v/>
      </c>
      <c r="O45" s="334" t="n"/>
      <c r="P45" s="332">
        <f>IFERROR(VLOOKUP(TEXT(O45,"0"),CONDUCTORES!$A$3:$G$100,2,0),"")</f>
        <v/>
      </c>
      <c r="Q45" s="332">
        <f>IFERROR(VLOOKUP(TEXT(O45,"0"),CONDUCTORES!$A$3:$H$100,6,0),"")</f>
        <v/>
      </c>
      <c r="R45" s="336" t="n">
        <v>45988</v>
      </c>
      <c r="S45" s="305" t="inlineStr">
        <is>
          <t>S069,G419</t>
        </is>
      </c>
      <c r="T45" s="241" t="inlineStr">
        <is>
          <t>DEVOLUCION C.S. HUAMBO</t>
        </is>
      </c>
      <c r="U45" s="280" t="n"/>
      <c r="V45" s="241" t="inlineStr">
        <is>
          <t>6044-2025</t>
        </is>
      </c>
      <c r="W45" s="241" t="inlineStr">
        <is>
          <t>3479.0</t>
        </is>
      </c>
      <c r="X45" s="241" t="inlineStr">
        <is>
          <t>189.0</t>
        </is>
      </c>
      <c r="Y45" s="280" t="n"/>
    </row>
    <row r="46" ht="15.75" customHeight="1" s="195">
      <c r="A46" s="301" t="n">
        <v>27</v>
      </c>
      <c r="B46" s="302" t="inlineStr">
        <is>
          <t>00000006</t>
        </is>
      </c>
      <c r="C46" s="301" t="inlineStr">
        <is>
          <t>REGION</t>
        </is>
      </c>
      <c r="D46" s="302" t="inlineStr">
        <is>
          <t>TOCHON SANTILLAN MELITON</t>
        </is>
      </c>
      <c r="E46" s="301" t="inlineStr">
        <is>
          <t>DNI</t>
        </is>
      </c>
      <c r="F46" s="301" t="inlineStr">
        <is>
          <t>33944955</t>
        </is>
      </c>
      <c r="G46" s="331" t="n">
        <v>45868</v>
      </c>
      <c r="H46" s="301" t="inlineStr">
        <is>
          <t>4943</t>
        </is>
      </c>
      <c r="I46" s="332">
        <f>IFERROR(VLOOKUP(TEXT(H46,"0"),IPRESS!$A$3:$B$212,2,0),"")</f>
        <v/>
      </c>
      <c r="J46" s="301" t="inlineStr">
        <is>
          <t>4950</t>
        </is>
      </c>
      <c r="K46" s="332">
        <f>IFERROR(VLOOKUP(TEXT(O46,"0"),CONDUCTORES!$A$3:$G$100,7,0),"")</f>
        <v/>
      </c>
      <c r="L46" s="245" t="n">
        <v>20.25</v>
      </c>
      <c r="M46" s="245" t="n">
        <v>3</v>
      </c>
      <c r="N46" s="333">
        <f>IFERROR(IF(L46*M46=0,"",L46*M46),"")</f>
        <v/>
      </c>
      <c r="O46" s="280" t="n"/>
      <c r="P46" s="332">
        <f>IFERROR(VLOOKUP(TEXT(O46,"0"),CONDUCTORES!$A$3:$G$100,2,0),"")</f>
        <v/>
      </c>
      <c r="Q46" s="332">
        <f>IFERROR(VLOOKUP(TEXT(O46,"0"),CONDUCTORES!$A$3:$H$100,6,0),"")</f>
        <v/>
      </c>
      <c r="R46" s="331" t="n">
        <v>46010</v>
      </c>
      <c r="S46" s="302" t="inlineStr">
        <is>
          <t>R001</t>
        </is>
      </c>
      <c r="T46" s="301" t="n"/>
      <c r="U46" s="334" t="n"/>
      <c r="V46" s="301" t="n"/>
      <c r="W46" s="301" t="n"/>
      <c r="X46" s="301" t="n"/>
      <c r="Y46" s="280" t="n"/>
    </row>
    <row r="47" ht="15.75" customHeight="1" s="195">
      <c r="A47" s="241" t="n">
        <v>28</v>
      </c>
      <c r="B47" s="305" t="inlineStr">
        <is>
          <t>00000014</t>
        </is>
      </c>
      <c r="C47" s="241" t="inlineStr">
        <is>
          <t>REGION</t>
        </is>
      </c>
      <c r="D47" s="305" t="inlineStr">
        <is>
          <t>CHAVEZ VEGA JULY</t>
        </is>
      </c>
      <c r="E47" s="241" t="inlineStr">
        <is>
          <t>DNI</t>
        </is>
      </c>
      <c r="F47" s="241" t="inlineStr">
        <is>
          <t>44703317</t>
        </is>
      </c>
      <c r="G47" s="336" t="n">
        <v>45868</v>
      </c>
      <c r="H47" s="241" t="inlineStr">
        <is>
          <t>4917</t>
        </is>
      </c>
      <c r="I47" s="332">
        <f>IFERROR(VLOOKUP(TEXT(H47,"0"),IPRESS!$A$3:$B$212,2,0),"")</f>
        <v/>
      </c>
      <c r="J47" s="241" t="inlineStr">
        <is>
          <t>4838</t>
        </is>
      </c>
      <c r="K47" s="332">
        <f>IFERROR(VLOOKUP(TEXT(O47,"0"),CONDUCTORES!$A$3:$G$100,7,0),"")</f>
        <v/>
      </c>
      <c r="L47" s="239" t="n">
        <v>18.18</v>
      </c>
      <c r="M47" s="239" t="n">
        <v>12</v>
      </c>
      <c r="N47" s="333">
        <f>IFERROR(IF(L47*M47=0,"",L47*M47),"")</f>
        <v/>
      </c>
      <c r="O47" s="334" t="n"/>
      <c r="P47" s="332">
        <f>IFERROR(VLOOKUP(TEXT(O47,"0"),CONDUCTORES!$A$3:$G$100,2,0),"")</f>
        <v/>
      </c>
      <c r="Q47" s="332">
        <f>IFERROR(VLOOKUP(TEXT(O47,"0"),CONDUCTORES!$A$3:$H$100,6,0),"")</f>
        <v/>
      </c>
      <c r="R47" s="336" t="n">
        <v>45978</v>
      </c>
      <c r="S47" s="305" t="inlineStr">
        <is>
          <t>Z359,O322</t>
        </is>
      </c>
      <c r="T47" s="241" t="n"/>
      <c r="U47" s="280" t="n"/>
      <c r="V47" s="241" t="inlineStr">
        <is>
          <t>5839.0</t>
        </is>
      </c>
      <c r="W47" s="241" t="inlineStr">
        <is>
          <t>CONTRATO 001-2025</t>
        </is>
      </c>
      <c r="X47" s="241" t="inlineStr">
        <is>
          <t>266.0</t>
        </is>
      </c>
      <c r="Y47" s="280" t="n"/>
    </row>
    <row r="48" ht="15.75" customHeight="1" s="195">
      <c r="A48" s="301" t="n">
        <v>29</v>
      </c>
      <c r="B48" s="302" t="inlineStr">
        <is>
          <t>00000038</t>
        </is>
      </c>
      <c r="C48" s="301" t="inlineStr">
        <is>
          <t>REGION</t>
        </is>
      </c>
      <c r="D48" s="302" t="inlineStr">
        <is>
          <t>GOMEZ MENDOZA MARISELI</t>
        </is>
      </c>
      <c r="E48" s="301" t="inlineStr">
        <is>
          <t>DNI</t>
        </is>
      </c>
      <c r="F48" s="301" t="inlineStr">
        <is>
          <t>46582689</t>
        </is>
      </c>
      <c r="G48" s="331" t="n">
        <v>45839</v>
      </c>
      <c r="H48" s="301" t="inlineStr">
        <is>
          <t>4850</t>
        </is>
      </c>
      <c r="I48" s="332">
        <f>IFERROR(VLOOKUP(TEXT(H48,"0"),IPRESS!$A$3:$B$212,2,0),"")</f>
        <v/>
      </c>
      <c r="J48" s="301" t="inlineStr">
        <is>
          <t>4838</t>
        </is>
      </c>
      <c r="K48" s="332">
        <f>IFERROR(VLOOKUP(TEXT(O48,"0"),CONDUCTORES!$A$3:$G$100,7,0),"")</f>
        <v/>
      </c>
      <c r="L48" s="245" t="n">
        <v>18.18</v>
      </c>
      <c r="M48" s="245" t="n">
        <v>4</v>
      </c>
      <c r="N48" s="333">
        <f>IFERROR(IF(L48*M48=0,"",L48*M48),"")</f>
        <v/>
      </c>
      <c r="O48" s="280" t="n"/>
      <c r="P48" s="332">
        <f>IFERROR(VLOOKUP(TEXT(O48,"0"),CONDUCTORES!$A$3:$G$100,2,0),"")</f>
        <v/>
      </c>
      <c r="Q48" s="332">
        <f>IFERROR(VLOOKUP(TEXT(O48,"0"),CONDUCTORES!$A$3:$H$100,6,0),"")</f>
        <v/>
      </c>
      <c r="R48" s="331" t="n">
        <v>45950</v>
      </c>
      <c r="S48" s="302" t="inlineStr">
        <is>
          <t>O020,O021</t>
        </is>
      </c>
      <c r="T48" s="301" t="n"/>
      <c r="U48" s="334" t="n"/>
      <c r="V48" s="301" t="inlineStr">
        <is>
          <t>5230-2025</t>
        </is>
      </c>
      <c r="W48" s="301" t="inlineStr">
        <is>
          <t>CONTRATO No 001-2025 DYT</t>
        </is>
      </c>
      <c r="X48" s="301" t="inlineStr">
        <is>
          <t>266.0</t>
        </is>
      </c>
      <c r="Y48" s="280" t="n"/>
    </row>
    <row r="49" ht="15.75" customHeight="1" s="195">
      <c r="A49" s="241" t="n">
        <v>30</v>
      </c>
      <c r="B49" s="305" t="inlineStr">
        <is>
          <t>00000039</t>
        </is>
      </c>
      <c r="C49" s="241" t="inlineStr">
        <is>
          <t>REGION</t>
        </is>
      </c>
      <c r="D49" s="305" t="inlineStr">
        <is>
          <t>TOMANGUILLA VALLEJOS HEIDY MEDALITH</t>
        </is>
      </c>
      <c r="E49" s="241" t="inlineStr">
        <is>
          <t>DNI</t>
        </is>
      </c>
      <c r="F49" s="241" t="inlineStr">
        <is>
          <t>60364474</t>
        </is>
      </c>
      <c r="G49" s="336" t="n">
        <v>45843</v>
      </c>
      <c r="H49" s="241" t="inlineStr">
        <is>
          <t>4850</t>
        </is>
      </c>
      <c r="I49" s="332">
        <f>IFERROR(VLOOKUP(TEXT(H49,"0"),IPRESS!$A$3:$B$212,2,0),"")</f>
        <v/>
      </c>
      <c r="J49" s="241" t="inlineStr">
        <is>
          <t>4838</t>
        </is>
      </c>
      <c r="K49" s="332">
        <f>IFERROR(VLOOKUP(TEXT(O49,"0"),CONDUCTORES!$A$3:$G$100,7,0),"")</f>
        <v/>
      </c>
      <c r="L49" s="239" t="n">
        <v>18.18</v>
      </c>
      <c r="M49" s="239" t="n">
        <v>4</v>
      </c>
      <c r="N49" s="333">
        <f>IFERROR(IF(L49*M49=0,"",L49*M49),"")</f>
        <v/>
      </c>
      <c r="O49" s="334" t="n"/>
      <c r="P49" s="332">
        <f>IFERROR(VLOOKUP(TEXT(O49,"0"),CONDUCTORES!$A$3:$G$100,2,0),"")</f>
        <v/>
      </c>
      <c r="Q49" s="332">
        <f>IFERROR(VLOOKUP(TEXT(O49,"0"),CONDUCTORES!$A$3:$H$100,6,0),"")</f>
        <v/>
      </c>
      <c r="R49" s="336" t="n">
        <v>45950</v>
      </c>
      <c r="S49" s="305" t="inlineStr">
        <is>
          <t>Z356,O48X,O365</t>
        </is>
      </c>
      <c r="T49" s="241" t="n"/>
      <c r="U49" s="280" t="n"/>
      <c r="V49" s="241" t="inlineStr">
        <is>
          <t>5230-2025</t>
        </is>
      </c>
      <c r="W49" s="241" t="inlineStr">
        <is>
          <t>CONTRATO No 001-2025 DYT</t>
        </is>
      </c>
      <c r="X49" s="241" t="inlineStr">
        <is>
          <t>266.0</t>
        </is>
      </c>
      <c r="Y49" s="280" t="n"/>
    </row>
    <row r="50" ht="15.75" customHeight="1" s="195">
      <c r="A50" s="301" t="n">
        <v>31</v>
      </c>
      <c r="B50" s="302" t="inlineStr">
        <is>
          <t>00000040</t>
        </is>
      </c>
      <c r="C50" s="301" t="inlineStr">
        <is>
          <t>REGION</t>
        </is>
      </c>
      <c r="D50" s="302" t="inlineStr">
        <is>
          <t>GUTIERREZ VILCA OLGA</t>
        </is>
      </c>
      <c r="E50" s="301" t="inlineStr">
        <is>
          <t>DNI</t>
        </is>
      </c>
      <c r="F50" s="301" t="inlineStr">
        <is>
          <t>33780067</t>
        </is>
      </c>
      <c r="G50" s="331" t="n">
        <v>45844</v>
      </c>
      <c r="H50" s="301" t="inlineStr">
        <is>
          <t>4850</t>
        </is>
      </c>
      <c r="I50" s="332">
        <f>IFERROR(VLOOKUP(TEXT(H50,"0"),IPRESS!$A$3:$B$212,2,0),"")</f>
        <v/>
      </c>
      <c r="J50" s="301" t="inlineStr">
        <is>
          <t>4838</t>
        </is>
      </c>
      <c r="K50" s="332">
        <f>IFERROR(VLOOKUP(TEXT(O50,"0"),CONDUCTORES!$A$3:$G$100,7,0),"")</f>
        <v/>
      </c>
      <c r="L50" s="245" t="n">
        <v>18.18</v>
      </c>
      <c r="M50" s="245" t="n">
        <v>4</v>
      </c>
      <c r="N50" s="333">
        <f>IFERROR(IF(L50*M50=0,"",L50*M50),"")</f>
        <v/>
      </c>
      <c r="O50" s="280" t="n"/>
      <c r="P50" s="332">
        <f>IFERROR(VLOOKUP(TEXT(O50,"0"),CONDUCTORES!$A$3:$G$100,2,0),"")</f>
        <v/>
      </c>
      <c r="Q50" s="332">
        <f>IFERROR(VLOOKUP(TEXT(O50,"0"),CONDUCTORES!$A$3:$H$100,6,0),"")</f>
        <v/>
      </c>
      <c r="R50" s="331" t="n">
        <v>45950</v>
      </c>
      <c r="S50" s="302" t="inlineStr">
        <is>
          <t>I679,J960</t>
        </is>
      </c>
      <c r="T50" s="301" t="n"/>
      <c r="U50" s="334" t="n"/>
      <c r="V50" s="301" t="inlineStr">
        <is>
          <t>5230-2025</t>
        </is>
      </c>
      <c r="W50" s="301" t="inlineStr">
        <is>
          <t>CONTRATO No 001-2025 DYT</t>
        </is>
      </c>
      <c r="X50" s="301" t="inlineStr">
        <is>
          <t>266.0</t>
        </is>
      </c>
      <c r="Y50" s="280" t="n"/>
    </row>
    <row r="51" ht="15.75" customHeight="1" s="195">
      <c r="A51" s="241" t="n">
        <v>32</v>
      </c>
      <c r="B51" s="305" t="inlineStr">
        <is>
          <t>00000041</t>
        </is>
      </c>
      <c r="C51" s="241" t="inlineStr">
        <is>
          <t>REGION</t>
        </is>
      </c>
      <c r="D51" s="305" t="inlineStr">
        <is>
          <t>CHUQUIZUTA CHAPPA ALBERTINA</t>
        </is>
      </c>
      <c r="E51" s="241" t="inlineStr">
        <is>
          <t>DNI</t>
        </is>
      </c>
      <c r="F51" s="241" t="inlineStr">
        <is>
          <t>48671326</t>
        </is>
      </c>
      <c r="G51" s="336" t="n">
        <v>45844</v>
      </c>
      <c r="H51" s="241" t="inlineStr">
        <is>
          <t>4850</t>
        </is>
      </c>
      <c r="I51" s="332">
        <f>IFERROR(VLOOKUP(TEXT(H51,"0"),IPRESS!$A$3:$B$212,2,0),"")</f>
        <v/>
      </c>
      <c r="J51" s="241" t="inlineStr">
        <is>
          <t>4838</t>
        </is>
      </c>
      <c r="K51" s="332">
        <f>IFERROR(VLOOKUP(TEXT(O51,"0"),CONDUCTORES!$A$3:$G$100,7,0),"")</f>
        <v/>
      </c>
      <c r="L51" s="239" t="n">
        <v>18.18</v>
      </c>
      <c r="M51" s="239" t="n">
        <v>4</v>
      </c>
      <c r="N51" s="333">
        <f>IFERROR(IF(L51*M51=0,"",L51*M51),"")</f>
        <v/>
      </c>
      <c r="O51" s="334" t="n"/>
      <c r="P51" s="332">
        <f>IFERROR(VLOOKUP(TEXT(O51,"0"),CONDUCTORES!$A$3:$G$100,2,0),"")</f>
        <v/>
      </c>
      <c r="Q51" s="332">
        <f>IFERROR(VLOOKUP(TEXT(O51,"0"),CONDUCTORES!$A$3:$H$100,6,0),"")</f>
        <v/>
      </c>
      <c r="R51" s="336" t="n">
        <v>45950</v>
      </c>
      <c r="S51" s="305" t="inlineStr">
        <is>
          <t>Z356,J90X,A419</t>
        </is>
      </c>
      <c r="T51" s="241" t="n"/>
      <c r="U51" s="280" t="n"/>
      <c r="V51" s="241" t="inlineStr">
        <is>
          <t>5230-2025</t>
        </is>
      </c>
      <c r="W51" s="241" t="inlineStr">
        <is>
          <t>CONTRATO No 001-2025 DYT</t>
        </is>
      </c>
      <c r="X51" s="241" t="inlineStr">
        <is>
          <t>266.0</t>
        </is>
      </c>
      <c r="Y51" s="280" t="n"/>
    </row>
    <row r="52" ht="15.75" customHeight="1" s="195">
      <c r="A52" s="301" t="n">
        <v>33</v>
      </c>
      <c r="B52" s="302" t="inlineStr">
        <is>
          <t>00000029</t>
        </is>
      </c>
      <c r="C52" s="301" t="inlineStr">
        <is>
          <t>REGION</t>
        </is>
      </c>
      <c r="D52" s="302" t="inlineStr">
        <is>
          <t>GUTIERREZ GUTIERREZ SENOVIO</t>
        </is>
      </c>
      <c r="E52" s="301" t="inlineStr">
        <is>
          <t>DNI</t>
        </is>
      </c>
      <c r="F52" s="301" t="inlineStr">
        <is>
          <t>48779383</t>
        </is>
      </c>
      <c r="G52" s="331" t="n">
        <v>45839</v>
      </c>
      <c r="H52" s="301" t="inlineStr">
        <is>
          <t>4859</t>
        </is>
      </c>
      <c r="I52" s="332">
        <f>IFERROR(VLOOKUP(TEXT(H52,"0"),IPRESS!$A$3:$B$212,2,0),"")</f>
        <v/>
      </c>
      <c r="J52" s="301" t="inlineStr">
        <is>
          <t>4838</t>
        </is>
      </c>
      <c r="K52" s="332">
        <f>IFERROR(VLOOKUP(TEXT(O52,"0"),CONDUCTORES!$A$3:$G$100,7,0),"")</f>
        <v/>
      </c>
      <c r="L52" s="245" t="n">
        <v>18.18</v>
      </c>
      <c r="M52" s="245" t="n">
        <v>7.5</v>
      </c>
      <c r="N52" s="333">
        <f>IFERROR(IF(L52*M52=0,"",L52*M52),"")</f>
        <v/>
      </c>
      <c r="O52" s="280" t="n"/>
      <c r="P52" s="332">
        <f>IFERROR(VLOOKUP(TEXT(O52,"0"),CONDUCTORES!$A$3:$G$100,2,0),"")</f>
        <v/>
      </c>
      <c r="Q52" s="332">
        <f>IFERROR(VLOOKUP(TEXT(O52,"0"),CONDUCTORES!$A$3:$H$100,6,0),"")</f>
        <v/>
      </c>
      <c r="R52" s="331" t="n">
        <v>45987</v>
      </c>
      <c r="S52" s="302" t="inlineStr">
        <is>
          <t>J960,J189</t>
        </is>
      </c>
      <c r="T52" s="301" t="n"/>
      <c r="U52" s="334" t="n"/>
      <c r="V52" s="301" t="inlineStr">
        <is>
          <t>5985-2025</t>
        </is>
      </c>
      <c r="W52" s="301" t="inlineStr">
        <is>
          <t>N°001-2025</t>
        </is>
      </c>
      <c r="X52" s="301" t="inlineStr">
        <is>
          <t>266.0</t>
        </is>
      </c>
      <c r="Y52" s="280" t="n"/>
    </row>
    <row r="53" ht="15.75" customHeight="1" s="195">
      <c r="A53" s="241" t="n">
        <v>34</v>
      </c>
      <c r="B53" s="305" t="inlineStr">
        <is>
          <t>00000030</t>
        </is>
      </c>
      <c r="C53" s="241" t="inlineStr">
        <is>
          <t>REGION</t>
        </is>
      </c>
      <c r="D53" s="305" t="inlineStr">
        <is>
          <t>BARDALES RITUY LUCINDA</t>
        </is>
      </c>
      <c r="E53" s="241" t="inlineStr">
        <is>
          <t>DNI</t>
        </is>
      </c>
      <c r="F53" s="241" t="inlineStr">
        <is>
          <t>33417621</t>
        </is>
      </c>
      <c r="G53" s="336" t="n">
        <v>45854</v>
      </c>
      <c r="H53" s="241" t="inlineStr">
        <is>
          <t>4859</t>
        </is>
      </c>
      <c r="I53" s="332">
        <f>IFERROR(VLOOKUP(TEXT(H53,"0"),IPRESS!$A$3:$B$212,2,0),"")</f>
        <v/>
      </c>
      <c r="J53" s="241" t="inlineStr">
        <is>
          <t>4838</t>
        </is>
      </c>
      <c r="K53" s="332">
        <f>IFERROR(VLOOKUP(TEXT(O53,"0"),CONDUCTORES!$A$3:$G$100,7,0),"")</f>
        <v/>
      </c>
      <c r="L53" s="239" t="n">
        <v>18.18</v>
      </c>
      <c r="M53" s="239" t="n">
        <v>7.5</v>
      </c>
      <c r="N53" s="333">
        <f>IFERROR(IF(L53*M53=0,"",L53*M53),"")</f>
        <v/>
      </c>
      <c r="O53" s="334" t="n"/>
      <c r="P53" s="332">
        <f>IFERROR(VLOOKUP(TEXT(O53,"0"),CONDUCTORES!$A$3:$G$100,2,0),"")</f>
        <v/>
      </c>
      <c r="Q53" s="332">
        <f>IFERROR(VLOOKUP(TEXT(O53,"0"),CONDUCTORES!$A$3:$H$100,6,0),"")</f>
        <v/>
      </c>
      <c r="R53" s="336" t="n">
        <v>45987</v>
      </c>
      <c r="S53" s="305" t="inlineStr">
        <is>
          <t>K819,K85X</t>
        </is>
      </c>
      <c r="T53" s="241" t="n"/>
      <c r="U53" s="280" t="n"/>
      <c r="V53" s="241" t="inlineStr">
        <is>
          <t>5985-2025</t>
        </is>
      </c>
      <c r="W53" s="241" t="inlineStr">
        <is>
          <t>N°001-2025</t>
        </is>
      </c>
      <c r="X53" s="241" t="inlineStr">
        <is>
          <t>266.0</t>
        </is>
      </c>
      <c r="Y53" s="280" t="n"/>
    </row>
    <row r="54" ht="15.75" customHeight="1" s="195">
      <c r="A54" s="301" t="n">
        <v>35</v>
      </c>
      <c r="B54" s="302" t="inlineStr">
        <is>
          <t>00000031</t>
        </is>
      </c>
      <c r="C54" s="301" t="inlineStr">
        <is>
          <t>REGION</t>
        </is>
      </c>
      <c r="D54" s="302" t="inlineStr">
        <is>
          <t>QUISPE SAYAVERDE ADAN</t>
        </is>
      </c>
      <c r="E54" s="301" t="inlineStr">
        <is>
          <t>DNI</t>
        </is>
      </c>
      <c r="F54" s="301" t="inlineStr">
        <is>
          <t>45012247</t>
        </is>
      </c>
      <c r="G54" s="331" t="n">
        <v>45854</v>
      </c>
      <c r="H54" s="301" t="inlineStr">
        <is>
          <t>4859</t>
        </is>
      </c>
      <c r="I54" s="332">
        <f>IFERROR(VLOOKUP(TEXT(H54,"0"),IPRESS!$A$3:$B$212,2,0),"")</f>
        <v/>
      </c>
      <c r="J54" s="301" t="inlineStr">
        <is>
          <t>4838</t>
        </is>
      </c>
      <c r="K54" s="332">
        <f>IFERROR(VLOOKUP(TEXT(O54,"0"),CONDUCTORES!$A$3:$G$100,7,0),"")</f>
        <v/>
      </c>
      <c r="L54" s="245" t="n">
        <v>18.18</v>
      </c>
      <c r="M54" s="245" t="n">
        <v>7.5</v>
      </c>
      <c r="N54" s="333">
        <f>IFERROR(IF(L54*M54=0,"",L54*M54),"")</f>
        <v/>
      </c>
      <c r="O54" s="280" t="n"/>
      <c r="P54" s="332">
        <f>IFERROR(VLOOKUP(TEXT(O54,"0"),CONDUCTORES!$A$3:$G$100,2,0),"")</f>
        <v/>
      </c>
      <c r="Q54" s="332">
        <f>IFERROR(VLOOKUP(TEXT(O54,"0"),CONDUCTORES!$A$3:$H$100,6,0),"")</f>
        <v/>
      </c>
      <c r="R54" s="331" t="n">
        <v>45987</v>
      </c>
      <c r="S54" s="302" t="inlineStr">
        <is>
          <t>M879,A480</t>
        </is>
      </c>
      <c r="T54" s="301" t="n"/>
      <c r="U54" s="334" t="n"/>
      <c r="V54" s="301" t="inlineStr">
        <is>
          <t>5985-2025</t>
        </is>
      </c>
      <c r="W54" s="301" t="inlineStr">
        <is>
          <t>N°001-2025</t>
        </is>
      </c>
      <c r="X54" s="301" t="inlineStr">
        <is>
          <t>266.0</t>
        </is>
      </c>
      <c r="Y54" s="280" t="n"/>
    </row>
    <row r="55" ht="15.75" customHeight="1" s="195">
      <c r="A55" s="241" t="n">
        <v>36</v>
      </c>
      <c r="B55" s="305" t="inlineStr">
        <is>
          <t>00000034</t>
        </is>
      </c>
      <c r="C55" s="241" t="inlineStr">
        <is>
          <t>REGION</t>
        </is>
      </c>
      <c r="D55" s="305" t="inlineStr">
        <is>
          <t>RIVERA MALQUI VICTOR RAUL</t>
        </is>
      </c>
      <c r="E55" s="241" t="inlineStr">
        <is>
          <t>DNI</t>
        </is>
      </c>
      <c r="F55" s="241" t="inlineStr">
        <is>
          <t>33789048</t>
        </is>
      </c>
      <c r="G55" s="336" t="n">
        <v>45840</v>
      </c>
      <c r="H55" s="241" t="inlineStr">
        <is>
          <t>4866</t>
        </is>
      </c>
      <c r="I55" s="332">
        <f>IFERROR(VLOOKUP(TEXT(H55,"0"),IPRESS!$A$3:$B$212,2,0),"")</f>
        <v/>
      </c>
      <c r="J55" s="241" t="inlineStr">
        <is>
          <t>4838</t>
        </is>
      </c>
      <c r="K55" s="332">
        <f>IFERROR(VLOOKUP(TEXT(O55,"0"),CONDUCTORES!$A$3:$G$100,7,0),"")</f>
        <v/>
      </c>
      <c r="L55" s="239" t="n">
        <v>18.18</v>
      </c>
      <c r="M55" s="239" t="n">
        <v>4</v>
      </c>
      <c r="N55" s="333">
        <f>IFERROR(IF(L55*M55=0,"",L55*M55),"")</f>
        <v/>
      </c>
      <c r="O55" s="334" t="n"/>
      <c r="P55" s="332">
        <f>IFERROR(VLOOKUP(TEXT(O55,"0"),CONDUCTORES!$A$3:$G$100,2,0),"")</f>
        <v/>
      </c>
      <c r="Q55" s="332">
        <f>IFERROR(VLOOKUP(TEXT(O55,"0"),CONDUCTORES!$A$3:$H$100,6,0),"")</f>
        <v/>
      </c>
      <c r="R55" s="336" t="n">
        <v>45887</v>
      </c>
      <c r="S55" s="305" t="inlineStr">
        <is>
          <t>K564</t>
        </is>
      </c>
      <c r="T55" s="241" t="n"/>
      <c r="U55" s="280" t="n"/>
      <c r="V55" s="241" t="inlineStr">
        <is>
          <t>3888-2025</t>
        </is>
      </c>
      <c r="W55" s="241" t="inlineStr">
        <is>
          <t>CONTRATTO 001 -2025</t>
        </is>
      </c>
      <c r="X55" s="241" t="inlineStr">
        <is>
          <t>238.0</t>
        </is>
      </c>
      <c r="Y55" s="280" t="n"/>
    </row>
    <row r="56" ht="15.75" customHeight="1" s="195">
      <c r="A56" s="301" t="n">
        <v>37</v>
      </c>
      <c r="B56" s="302" t="inlineStr">
        <is>
          <t>00000035</t>
        </is>
      </c>
      <c r="C56" s="301" t="inlineStr">
        <is>
          <t>REGION</t>
        </is>
      </c>
      <c r="D56" s="302" t="inlineStr">
        <is>
          <t>CHUQUIZUTA RAFAEL MATIAS</t>
        </is>
      </c>
      <c r="E56" s="301" t="inlineStr">
        <is>
          <t>DNI</t>
        </is>
      </c>
      <c r="F56" s="301" t="inlineStr">
        <is>
          <t>93988283</t>
        </is>
      </c>
      <c r="G56" s="331" t="n">
        <v>45851</v>
      </c>
      <c r="H56" s="301" t="inlineStr">
        <is>
          <t>4866</t>
        </is>
      </c>
      <c r="I56" s="332">
        <f>IFERROR(VLOOKUP(TEXT(H56,"0"),IPRESS!$A$3:$B$212,2,0),"")</f>
        <v/>
      </c>
      <c r="J56" s="301" t="inlineStr">
        <is>
          <t>4838</t>
        </is>
      </c>
      <c r="K56" s="332">
        <f>IFERROR(VLOOKUP(TEXT(O56,"0"),CONDUCTORES!$A$3:$G$100,7,0),"")</f>
        <v/>
      </c>
      <c r="L56" s="245" t="n">
        <v>18.18</v>
      </c>
      <c r="M56" s="245" t="n">
        <v>4</v>
      </c>
      <c r="N56" s="333">
        <f>IFERROR(IF(L56*M56=0,"",L56*M56),"")</f>
        <v/>
      </c>
      <c r="O56" s="280" t="n"/>
      <c r="P56" s="332">
        <f>IFERROR(VLOOKUP(TEXT(O56,"0"),CONDUCTORES!$A$3:$G$100,2,0),"")</f>
        <v/>
      </c>
      <c r="Q56" s="332">
        <f>IFERROR(VLOOKUP(TEXT(O56,"0"),CONDUCTORES!$A$3:$H$100,6,0),"")</f>
        <v/>
      </c>
      <c r="R56" s="331" t="n">
        <v>45924</v>
      </c>
      <c r="S56" s="302" t="inlineStr">
        <is>
          <t>J960,J209</t>
        </is>
      </c>
      <c r="T56" s="301" t="n"/>
      <c r="U56" s="334" t="n"/>
      <c r="V56" s="301" t="n"/>
      <c r="W56" s="301" t="n"/>
      <c r="X56" s="301" t="n"/>
      <c r="Y56" s="280" t="n"/>
    </row>
    <row r="57" ht="15.75" customHeight="1" s="195">
      <c r="A57" s="241" t="n">
        <v>38</v>
      </c>
      <c r="B57" s="305" t="inlineStr">
        <is>
          <t>00000036</t>
        </is>
      </c>
      <c r="C57" s="241" t="inlineStr">
        <is>
          <t>REGION</t>
        </is>
      </c>
      <c r="D57" s="305" t="inlineStr">
        <is>
          <t>ZUTA CHIQUIZUTA JUAN</t>
        </is>
      </c>
      <c r="E57" s="241" t="inlineStr">
        <is>
          <t>DNI</t>
        </is>
      </c>
      <c r="F57" s="241" t="inlineStr">
        <is>
          <t>33811535</t>
        </is>
      </c>
      <c r="G57" s="336" t="n">
        <v>45852</v>
      </c>
      <c r="H57" s="241" t="inlineStr">
        <is>
          <t>4866</t>
        </is>
      </c>
      <c r="I57" s="332">
        <f>IFERROR(VLOOKUP(TEXT(H57,"0"),IPRESS!$A$3:$B$212,2,0),"")</f>
        <v/>
      </c>
      <c r="J57" s="241" t="inlineStr">
        <is>
          <t>4838</t>
        </is>
      </c>
      <c r="K57" s="332">
        <f>IFERROR(VLOOKUP(TEXT(O57,"0"),CONDUCTORES!$A$3:$G$100,7,0),"")</f>
        <v/>
      </c>
      <c r="L57" s="239" t="n">
        <v>18.18</v>
      </c>
      <c r="M57" s="239" t="n">
        <v>4</v>
      </c>
      <c r="N57" s="333">
        <f>IFERROR(IF(L57*M57=0,"",L57*M57),"")</f>
        <v/>
      </c>
      <c r="O57" s="334" t="n"/>
      <c r="P57" s="332">
        <f>IFERROR(VLOOKUP(TEXT(O57,"0"),CONDUCTORES!$A$3:$G$100,2,0),"")</f>
        <v/>
      </c>
      <c r="Q57" s="332">
        <f>IFERROR(VLOOKUP(TEXT(O57,"0"),CONDUCTORES!$A$3:$H$100,6,0),"")</f>
        <v/>
      </c>
      <c r="R57" s="336" t="n">
        <v>45924</v>
      </c>
      <c r="S57" s="305" t="inlineStr">
        <is>
          <t>I679,G409</t>
        </is>
      </c>
      <c r="T57" s="241" t="n"/>
      <c r="U57" s="280" t="n"/>
      <c r="V57" s="241" t="n"/>
      <c r="W57" s="241" t="n"/>
      <c r="X57" s="241" t="n"/>
      <c r="Y57" s="280" t="n"/>
    </row>
    <row r="58" ht="15.75" customHeight="1" s="195">
      <c r="A58" s="301" t="n">
        <v>39</v>
      </c>
      <c r="B58" s="302" t="inlineStr">
        <is>
          <t>00000037</t>
        </is>
      </c>
      <c r="C58" s="301" t="inlineStr">
        <is>
          <t>REGION</t>
        </is>
      </c>
      <c r="D58" s="302" t="inlineStr">
        <is>
          <t>CRUZ GUELAC JUDITH</t>
        </is>
      </c>
      <c r="E58" s="301" t="inlineStr">
        <is>
          <t>DNI</t>
        </is>
      </c>
      <c r="F58" s="301" t="inlineStr">
        <is>
          <t>60349376</t>
        </is>
      </c>
      <c r="G58" s="331" t="n">
        <v>45852</v>
      </c>
      <c r="H58" s="301" t="inlineStr">
        <is>
          <t>4866</t>
        </is>
      </c>
      <c r="I58" s="332">
        <f>IFERROR(VLOOKUP(TEXT(H58,"0"),IPRESS!$A$3:$B$212,2,0),"")</f>
        <v/>
      </c>
      <c r="J58" s="301" t="inlineStr">
        <is>
          <t>4838</t>
        </is>
      </c>
      <c r="K58" s="332">
        <f>IFERROR(VLOOKUP(TEXT(O58,"0"),CONDUCTORES!$A$3:$G$100,7,0),"")</f>
        <v/>
      </c>
      <c r="L58" s="245" t="n">
        <v>18.18</v>
      </c>
      <c r="M58" s="245" t="n">
        <v>4</v>
      </c>
      <c r="N58" s="333">
        <f>IFERROR(IF(L58*M58=0,"",L58*M58),"")</f>
        <v/>
      </c>
      <c r="O58" s="280" t="n"/>
      <c r="P58" s="332">
        <f>IFERROR(VLOOKUP(TEXT(O58,"0"),CONDUCTORES!$A$3:$G$100,2,0),"")</f>
        <v/>
      </c>
      <c r="Q58" s="332">
        <f>IFERROR(VLOOKUP(TEXT(O58,"0"),CONDUCTORES!$A$3:$H$100,6,0),"")</f>
        <v/>
      </c>
      <c r="R58" s="331" t="n">
        <v>45924</v>
      </c>
      <c r="S58" s="302" t="inlineStr">
        <is>
          <t>G419</t>
        </is>
      </c>
      <c r="T58" s="301" t="n"/>
      <c r="U58" s="334" t="n"/>
      <c r="V58" s="301" t="n"/>
      <c r="W58" s="301" t="n"/>
      <c r="X58" s="301" t="n"/>
      <c r="Y58" s="280" t="n"/>
    </row>
    <row r="59" ht="15.75" customHeight="1" s="195">
      <c r="A59" s="241" t="n">
        <v>40</v>
      </c>
      <c r="B59" s="305" t="inlineStr">
        <is>
          <t>00000038</t>
        </is>
      </c>
      <c r="C59" s="241" t="inlineStr">
        <is>
          <t>REGION</t>
        </is>
      </c>
      <c r="D59" s="305" t="inlineStr">
        <is>
          <t>CHUQUIZUTA MENDOZA MAXIMO</t>
        </is>
      </c>
      <c r="E59" s="241" t="inlineStr">
        <is>
          <t>DNI</t>
        </is>
      </c>
      <c r="F59" s="241" t="inlineStr">
        <is>
          <t>48776596</t>
        </is>
      </c>
      <c r="G59" s="336" t="n">
        <v>45853</v>
      </c>
      <c r="H59" s="241" t="inlineStr">
        <is>
          <t>4866</t>
        </is>
      </c>
      <c r="I59" s="332">
        <f>IFERROR(VLOOKUP(TEXT(H59,"0"),IPRESS!$A$3:$B$212,2,0),"")</f>
        <v/>
      </c>
      <c r="J59" s="241" t="inlineStr">
        <is>
          <t>4838</t>
        </is>
      </c>
      <c r="K59" s="332">
        <f>IFERROR(VLOOKUP(TEXT(O59,"0"),CONDUCTORES!$A$3:$G$100,7,0),"")</f>
        <v/>
      </c>
      <c r="L59" s="239" t="n">
        <v>18.18</v>
      </c>
      <c r="M59" s="239" t="n">
        <v>4</v>
      </c>
      <c r="N59" s="333">
        <f>IFERROR(IF(L59*M59=0,"",L59*M59),"")</f>
        <v/>
      </c>
      <c r="O59" s="334" t="n"/>
      <c r="P59" s="332">
        <f>IFERROR(VLOOKUP(TEXT(O59,"0"),CONDUCTORES!$A$3:$G$100,2,0),"")</f>
        <v/>
      </c>
      <c r="Q59" s="332">
        <f>IFERROR(VLOOKUP(TEXT(O59,"0"),CONDUCTORES!$A$3:$H$100,6,0),"")</f>
        <v/>
      </c>
      <c r="R59" s="336" t="n">
        <v>45924</v>
      </c>
      <c r="S59" s="305" t="inlineStr">
        <is>
          <t>K566,R100</t>
        </is>
      </c>
      <c r="T59" s="241" t="n"/>
      <c r="U59" s="280" t="n"/>
      <c r="V59" s="241" t="n"/>
      <c r="W59" s="241" t="n"/>
      <c r="X59" s="241" t="n"/>
      <c r="Y59" s="280" t="n"/>
    </row>
    <row r="60" ht="15.75" customHeight="1" s="195">
      <c r="A60" s="301" t="n">
        <v>41</v>
      </c>
      <c r="B60" s="302" t="inlineStr">
        <is>
          <t>00000039</t>
        </is>
      </c>
      <c r="C60" s="301" t="inlineStr">
        <is>
          <t>REGION</t>
        </is>
      </c>
      <c r="D60" s="302" t="inlineStr">
        <is>
          <t>RAFAEL LLANOS PATRICK STIVE</t>
        </is>
      </c>
      <c r="E60" s="301" t="inlineStr">
        <is>
          <t>DNI</t>
        </is>
      </c>
      <c r="F60" s="301" t="inlineStr">
        <is>
          <t>90831139</t>
        </is>
      </c>
      <c r="G60" s="331" t="n">
        <v>45860</v>
      </c>
      <c r="H60" s="301" t="inlineStr">
        <is>
          <t>4866</t>
        </is>
      </c>
      <c r="I60" s="332">
        <f>IFERROR(VLOOKUP(TEXT(H60,"0"),IPRESS!$A$3:$B$212,2,0),"")</f>
        <v/>
      </c>
      <c r="J60" s="301" t="inlineStr">
        <is>
          <t>4838</t>
        </is>
      </c>
      <c r="K60" s="332">
        <f>IFERROR(VLOOKUP(TEXT(O60,"0"),CONDUCTORES!$A$3:$G$100,7,0),"")</f>
        <v/>
      </c>
      <c r="L60" s="245" t="n">
        <v>18.18</v>
      </c>
      <c r="M60" s="245" t="n">
        <v>4</v>
      </c>
      <c r="N60" s="333">
        <f>IFERROR(IF(L60*M60=0,"",L60*M60),"")</f>
        <v/>
      </c>
      <c r="O60" s="280" t="n"/>
      <c r="P60" s="332">
        <f>IFERROR(VLOOKUP(TEXT(O60,"0"),CONDUCTORES!$A$3:$G$100,2,0),"")</f>
        <v/>
      </c>
      <c r="Q60" s="332">
        <f>IFERROR(VLOOKUP(TEXT(O60,"0"),CONDUCTORES!$A$3:$H$100,6,0),"")</f>
        <v/>
      </c>
      <c r="R60" s="331" t="n">
        <v>45924</v>
      </c>
      <c r="S60" s="302" t="inlineStr">
        <is>
          <t>S501,S529</t>
        </is>
      </c>
      <c r="T60" s="301" t="n"/>
      <c r="U60" s="334" t="n"/>
      <c r="V60" s="301" t="n"/>
      <c r="W60" s="301" t="n"/>
      <c r="X60" s="301" t="n"/>
      <c r="Y60" s="280" t="n"/>
    </row>
    <row r="61" ht="15.75" customHeight="1" s="195">
      <c r="A61" s="241" t="n">
        <v>42</v>
      </c>
      <c r="B61" s="305" t="inlineStr">
        <is>
          <t>00000040</t>
        </is>
      </c>
      <c r="C61" s="241" t="inlineStr">
        <is>
          <t>REGION</t>
        </is>
      </c>
      <c r="D61" s="305" t="inlineStr">
        <is>
          <t>SANTILLAN GUELAC VICTOR MANUEL</t>
        </is>
      </c>
      <c r="E61" s="241" t="inlineStr">
        <is>
          <t>DNI</t>
        </is>
      </c>
      <c r="F61" s="241" t="inlineStr">
        <is>
          <t>33804547</t>
        </is>
      </c>
      <c r="G61" s="336" t="n">
        <v>45862</v>
      </c>
      <c r="H61" s="241" t="inlineStr">
        <is>
          <t>4866</t>
        </is>
      </c>
      <c r="I61" s="332">
        <f>IFERROR(VLOOKUP(TEXT(H61,"0"),IPRESS!$A$3:$B$212,2,0),"")</f>
        <v/>
      </c>
      <c r="J61" s="241" t="inlineStr">
        <is>
          <t>4838</t>
        </is>
      </c>
      <c r="K61" s="332">
        <f>IFERROR(VLOOKUP(TEXT(O61,"0"),CONDUCTORES!$A$3:$G$100,7,0),"")</f>
        <v/>
      </c>
      <c r="L61" s="239" t="n">
        <v>18.18</v>
      </c>
      <c r="M61" s="239" t="n">
        <v>4</v>
      </c>
      <c r="N61" s="333">
        <f>IFERROR(IF(L61*M61=0,"",L61*M61),"")</f>
        <v/>
      </c>
      <c r="O61" s="334" t="n"/>
      <c r="P61" s="332">
        <f>IFERROR(VLOOKUP(TEXT(O61,"0"),CONDUCTORES!$A$3:$G$100,2,0),"")</f>
        <v/>
      </c>
      <c r="Q61" s="332">
        <f>IFERROR(VLOOKUP(TEXT(O61,"0"),CONDUCTORES!$A$3:$H$100,6,0),"")</f>
        <v/>
      </c>
      <c r="R61" s="336" t="n">
        <v>45924</v>
      </c>
      <c r="S61" s="305" t="inlineStr">
        <is>
          <t>R103,R100</t>
        </is>
      </c>
      <c r="T61" s="241" t="n"/>
      <c r="U61" s="280" t="n"/>
      <c r="V61" s="241" t="n"/>
      <c r="W61" s="241" t="n"/>
      <c r="X61" s="241" t="n"/>
      <c r="Y61" s="280" t="n"/>
    </row>
    <row r="62" ht="15.75" customHeight="1" s="195">
      <c r="A62" s="301" t="n">
        <v>43</v>
      </c>
      <c r="B62" s="302" t="inlineStr">
        <is>
          <t>00000041</t>
        </is>
      </c>
      <c r="C62" s="301" t="inlineStr">
        <is>
          <t>REGION</t>
        </is>
      </c>
      <c r="D62" s="302" t="inlineStr">
        <is>
          <t>CHOCA ROJAS MANUEL</t>
        </is>
      </c>
      <c r="E62" s="301" t="inlineStr">
        <is>
          <t>DNI</t>
        </is>
      </c>
      <c r="F62" s="301" t="inlineStr">
        <is>
          <t>72708247</t>
        </is>
      </c>
      <c r="G62" s="331" t="n">
        <v>45863</v>
      </c>
      <c r="H62" s="301" t="inlineStr">
        <is>
          <t>4866</t>
        </is>
      </c>
      <c r="I62" s="332">
        <f>IFERROR(VLOOKUP(TEXT(H62,"0"),IPRESS!$A$3:$B$212,2,0),"")</f>
        <v/>
      </c>
      <c r="J62" s="301" t="inlineStr">
        <is>
          <t>4838</t>
        </is>
      </c>
      <c r="K62" s="332">
        <f>IFERROR(VLOOKUP(TEXT(O62,"0"),CONDUCTORES!$A$3:$G$100,7,0),"")</f>
        <v/>
      </c>
      <c r="L62" s="245" t="n">
        <v>18.18</v>
      </c>
      <c r="M62" s="245" t="n">
        <v>4</v>
      </c>
      <c r="N62" s="333">
        <f>IFERROR(IF(L62*M62=0,"",L62*M62),"")</f>
        <v/>
      </c>
      <c r="O62" s="280" t="n"/>
      <c r="P62" s="332">
        <f>IFERROR(VLOOKUP(TEXT(O62,"0"),CONDUCTORES!$A$3:$G$100,2,0),"")</f>
        <v/>
      </c>
      <c r="Q62" s="332">
        <f>IFERROR(VLOOKUP(TEXT(O62,"0"),CONDUCTORES!$A$3:$H$100,6,0),"")</f>
        <v/>
      </c>
      <c r="R62" s="331" t="n">
        <v>45924</v>
      </c>
      <c r="S62" s="302" t="inlineStr">
        <is>
          <t>R103,R100</t>
        </is>
      </c>
      <c r="T62" s="301" t="n"/>
      <c r="U62" s="334" t="n"/>
      <c r="V62" s="301" t="n"/>
      <c r="W62" s="301" t="n"/>
      <c r="X62" s="301" t="n"/>
      <c r="Y62" s="280" t="n"/>
    </row>
    <row r="63" ht="15.75" customHeight="1" s="195">
      <c r="A63" s="241" t="n">
        <v>44</v>
      </c>
      <c r="B63" s="305" t="inlineStr">
        <is>
          <t>00000042</t>
        </is>
      </c>
      <c r="C63" s="241" t="inlineStr">
        <is>
          <t>REGION</t>
        </is>
      </c>
      <c r="D63" s="305" t="inlineStr">
        <is>
          <t>VELAYARCE SANTILLAN FILIZANDRO</t>
        </is>
      </c>
      <c r="E63" s="241" t="inlineStr">
        <is>
          <t>DNI</t>
        </is>
      </c>
      <c r="F63" s="241" t="inlineStr">
        <is>
          <t>33791998</t>
        </is>
      </c>
      <c r="G63" s="336" t="n">
        <v>45867</v>
      </c>
      <c r="H63" s="241" t="inlineStr">
        <is>
          <t>4866</t>
        </is>
      </c>
      <c r="I63" s="332">
        <f>IFERROR(VLOOKUP(TEXT(H63,"0"),IPRESS!$A$3:$B$212,2,0),"")</f>
        <v/>
      </c>
      <c r="J63" s="241" t="inlineStr">
        <is>
          <t>4838</t>
        </is>
      </c>
      <c r="K63" s="332">
        <f>IFERROR(VLOOKUP(TEXT(O63,"0"),CONDUCTORES!$A$3:$G$100,7,0),"")</f>
        <v/>
      </c>
      <c r="L63" s="239" t="n">
        <v>18.18</v>
      </c>
      <c r="M63" s="239" t="n">
        <v>4</v>
      </c>
      <c r="N63" s="333">
        <f>IFERROR(IF(L63*M63=0,"",L63*M63),"")</f>
        <v/>
      </c>
      <c r="O63" s="334" t="n"/>
      <c r="P63" s="332">
        <f>IFERROR(VLOOKUP(TEXT(O63,"0"),CONDUCTORES!$A$3:$G$100,2,0),"")</f>
        <v/>
      </c>
      <c r="Q63" s="332">
        <f>IFERROR(VLOOKUP(TEXT(O63,"0"),CONDUCTORES!$A$3:$H$100,6,0),"")</f>
        <v/>
      </c>
      <c r="R63" s="336" t="n">
        <v>45924</v>
      </c>
      <c r="S63" s="305" t="inlineStr">
        <is>
          <t>S624,S697</t>
        </is>
      </c>
      <c r="T63" s="241" t="n"/>
      <c r="U63" s="280" t="n"/>
      <c r="V63" s="241" t="n"/>
      <c r="W63" s="241" t="n"/>
      <c r="X63" s="241" t="n"/>
      <c r="Y63" s="280" t="n"/>
    </row>
    <row r="64" ht="15.75" customHeight="1" s="195">
      <c r="A64" s="301" t="n">
        <v>45</v>
      </c>
      <c r="B64" s="302" t="inlineStr">
        <is>
          <t>00000043</t>
        </is>
      </c>
      <c r="C64" s="301" t="inlineStr">
        <is>
          <t>REGION</t>
        </is>
      </c>
      <c r="D64" s="302" t="inlineStr">
        <is>
          <t>PINGUS BUSTOS ROSA VIRGILIA</t>
        </is>
      </c>
      <c r="E64" s="301" t="inlineStr">
        <is>
          <t>DNI</t>
        </is>
      </c>
      <c r="F64" s="301" t="inlineStr">
        <is>
          <t>48916265</t>
        </is>
      </c>
      <c r="G64" s="331" t="n">
        <v>45867</v>
      </c>
      <c r="H64" s="301" t="inlineStr">
        <is>
          <t>4866</t>
        </is>
      </c>
      <c r="I64" s="332">
        <f>IFERROR(VLOOKUP(TEXT(H64,"0"),IPRESS!$A$3:$B$212,2,0),"")</f>
        <v/>
      </c>
      <c r="J64" s="301" t="inlineStr">
        <is>
          <t>4838</t>
        </is>
      </c>
      <c r="K64" s="332">
        <f>IFERROR(VLOOKUP(TEXT(O64,"0"),CONDUCTORES!$A$3:$G$100,7,0),"")</f>
        <v/>
      </c>
      <c r="L64" s="245" t="n">
        <v>18.18</v>
      </c>
      <c r="M64" s="245" t="n">
        <v>4</v>
      </c>
      <c r="N64" s="333">
        <f>IFERROR(IF(L64*M64=0,"",L64*M64),"")</f>
        <v/>
      </c>
      <c r="O64" s="280" t="n"/>
      <c r="P64" s="332">
        <f>IFERROR(VLOOKUP(TEXT(O64,"0"),CONDUCTORES!$A$3:$G$100,2,0),"")</f>
        <v/>
      </c>
      <c r="Q64" s="332">
        <f>IFERROR(VLOOKUP(TEXT(O64,"0"),CONDUCTORES!$A$3:$H$100,6,0),"")</f>
        <v/>
      </c>
      <c r="R64" s="331" t="n">
        <v>45924</v>
      </c>
      <c r="S64" s="302" t="inlineStr">
        <is>
          <t>S982</t>
        </is>
      </c>
      <c r="T64" s="301" t="n"/>
      <c r="U64" s="334" t="n"/>
      <c r="V64" s="301" t="n"/>
      <c r="W64" s="301" t="n"/>
      <c r="X64" s="301" t="n"/>
      <c r="Y64" s="280" t="n"/>
    </row>
    <row r="65" ht="15.75" customHeight="1" s="195">
      <c r="A65" s="241" t="n">
        <v>46</v>
      </c>
      <c r="B65" s="305" t="inlineStr">
        <is>
          <t>00000044</t>
        </is>
      </c>
      <c r="C65" s="241" t="inlineStr">
        <is>
          <t>REGION</t>
        </is>
      </c>
      <c r="D65" s="305" t="inlineStr">
        <is>
          <t>REYNA BRICEÑO ANDRES</t>
        </is>
      </c>
      <c r="E65" s="241" t="inlineStr">
        <is>
          <t>DNI</t>
        </is>
      </c>
      <c r="F65" s="241" t="inlineStr">
        <is>
          <t>33797877</t>
        </is>
      </c>
      <c r="G65" s="336" t="n">
        <v>45868</v>
      </c>
      <c r="H65" s="241" t="inlineStr">
        <is>
          <t>4866</t>
        </is>
      </c>
      <c r="I65" s="332">
        <f>IFERROR(VLOOKUP(TEXT(H65,"0"),IPRESS!$A$3:$B$212,2,0),"")</f>
        <v/>
      </c>
      <c r="J65" s="241" t="inlineStr">
        <is>
          <t>4838</t>
        </is>
      </c>
      <c r="K65" s="332">
        <f>IFERROR(VLOOKUP(TEXT(O65,"0"),CONDUCTORES!$A$3:$G$100,7,0),"")</f>
        <v/>
      </c>
      <c r="L65" s="239" t="n">
        <v>18.18</v>
      </c>
      <c r="M65" s="239" t="n">
        <v>4</v>
      </c>
      <c r="N65" s="333">
        <f>IFERROR(IF(L65*M65=0,"",L65*M65),"")</f>
        <v/>
      </c>
      <c r="O65" s="334" t="n"/>
      <c r="P65" s="332">
        <f>IFERROR(VLOOKUP(TEXT(O65,"0"),CONDUCTORES!$A$3:$G$100,2,0),"")</f>
        <v/>
      </c>
      <c r="Q65" s="332">
        <f>IFERROR(VLOOKUP(TEXT(O65,"0"),CONDUCTORES!$A$3:$H$100,6,0),"")</f>
        <v/>
      </c>
      <c r="R65" s="336" t="n">
        <v>45924</v>
      </c>
      <c r="S65" s="305" t="inlineStr">
        <is>
          <t>J960,J159</t>
        </is>
      </c>
      <c r="T65" s="241" t="n"/>
      <c r="U65" s="280" t="n"/>
      <c r="V65" s="241" t="n"/>
      <c r="W65" s="241" t="n"/>
      <c r="X65" s="241" t="n"/>
      <c r="Y65" s="280" t="n"/>
    </row>
    <row r="66" ht="15.75" customHeight="1" s="195">
      <c r="A66" s="301" t="n">
        <v>47</v>
      </c>
      <c r="B66" s="302" t="inlineStr">
        <is>
          <t>00000045</t>
        </is>
      </c>
      <c r="C66" s="301" t="inlineStr">
        <is>
          <t>REGION</t>
        </is>
      </c>
      <c r="D66" s="302" t="inlineStr">
        <is>
          <t>TOMANGUILLA CHUQUIZUTA HERMINIO</t>
        </is>
      </c>
      <c r="E66" s="301" t="inlineStr">
        <is>
          <t>DNI</t>
        </is>
      </c>
      <c r="F66" s="301" t="inlineStr">
        <is>
          <t>33786981</t>
        </is>
      </c>
      <c r="G66" s="331" t="n">
        <v>45869</v>
      </c>
      <c r="H66" s="301" t="inlineStr">
        <is>
          <t>4866</t>
        </is>
      </c>
      <c r="I66" s="332">
        <f>IFERROR(VLOOKUP(TEXT(H66,"0"),IPRESS!$A$3:$B$212,2,0),"")</f>
        <v/>
      </c>
      <c r="J66" s="301" t="inlineStr">
        <is>
          <t>4838</t>
        </is>
      </c>
      <c r="K66" s="332">
        <f>IFERROR(VLOOKUP(TEXT(O66,"0"),CONDUCTORES!$A$3:$G$100,7,0),"")</f>
        <v/>
      </c>
      <c r="L66" s="245" t="n">
        <v>18.18</v>
      </c>
      <c r="M66" s="245" t="n">
        <v>4</v>
      </c>
      <c r="N66" s="333">
        <f>IFERROR(IF(L66*M66=0,"",L66*M66),"")</f>
        <v/>
      </c>
      <c r="O66" s="280" t="n"/>
      <c r="P66" s="332">
        <f>IFERROR(VLOOKUP(TEXT(O66,"0"),CONDUCTORES!$A$3:$G$100,2,0),"")</f>
        <v/>
      </c>
      <c r="Q66" s="332">
        <f>IFERROR(VLOOKUP(TEXT(O66,"0"),CONDUCTORES!$A$3:$H$100,6,0),"")</f>
        <v/>
      </c>
      <c r="R66" s="331" t="n">
        <v>45924</v>
      </c>
      <c r="S66" s="302" t="inlineStr">
        <is>
          <t>J960</t>
        </is>
      </c>
      <c r="T66" s="301" t="n"/>
      <c r="U66" s="334" t="n"/>
      <c r="V66" s="301" t="n"/>
      <c r="W66" s="301" t="n"/>
      <c r="X66" s="301" t="n"/>
      <c r="Y66" s="280" t="n"/>
    </row>
    <row r="67" ht="15.75" customHeight="1" s="195">
      <c r="A67" s="241" t="n">
        <v>48</v>
      </c>
      <c r="B67" s="305" t="inlineStr">
        <is>
          <t>00000032</t>
        </is>
      </c>
      <c r="C67" s="241" t="inlineStr">
        <is>
          <t>REGION</t>
        </is>
      </c>
      <c r="D67" s="305" t="inlineStr">
        <is>
          <t>VERGARAY MUÑOZ KELVIN MOISES</t>
        </is>
      </c>
      <c r="E67" s="241" t="inlineStr">
        <is>
          <t>DNI</t>
        </is>
      </c>
      <c r="F67" s="241" t="inlineStr">
        <is>
          <t>60031093</t>
        </is>
      </c>
      <c r="G67" s="336" t="n">
        <v>45857</v>
      </c>
      <c r="H67" s="241" t="inlineStr">
        <is>
          <t>4859</t>
        </is>
      </c>
      <c r="I67" s="332">
        <f>IFERROR(VLOOKUP(TEXT(H67,"0"),IPRESS!$A$3:$B$212,2,0),"")</f>
        <v/>
      </c>
      <c r="J67" s="241" t="inlineStr">
        <is>
          <t>4838</t>
        </is>
      </c>
      <c r="K67" s="332">
        <f>IFERROR(VLOOKUP(TEXT(O67,"0"),CONDUCTORES!$A$3:$G$100,7,0),"")</f>
        <v/>
      </c>
      <c r="L67" s="239" t="n">
        <v>18.18</v>
      </c>
      <c r="M67" s="239" t="n">
        <v>7.5</v>
      </c>
      <c r="N67" s="333">
        <f>IFERROR(IF(L67*M67=0,"",L67*M67),"")</f>
        <v/>
      </c>
      <c r="O67" s="334" t="n"/>
      <c r="P67" s="332">
        <f>IFERROR(VLOOKUP(TEXT(O67,"0"),CONDUCTORES!$A$3:$G$100,2,0),"")</f>
        <v/>
      </c>
      <c r="Q67" s="332">
        <f>IFERROR(VLOOKUP(TEXT(O67,"0"),CONDUCTORES!$A$3:$H$100,6,0),"")</f>
        <v/>
      </c>
      <c r="R67" s="336" t="n">
        <v>45987</v>
      </c>
      <c r="S67" s="305" t="inlineStr">
        <is>
          <t>S801,T135,S829</t>
        </is>
      </c>
      <c r="T67" s="241" t="n"/>
      <c r="U67" s="280" t="n"/>
      <c r="V67" s="241" t="inlineStr">
        <is>
          <t>5985-2025</t>
        </is>
      </c>
      <c r="W67" s="241" t="inlineStr">
        <is>
          <t>N°001-2025</t>
        </is>
      </c>
      <c r="X67" s="241" t="inlineStr">
        <is>
          <t>266.0</t>
        </is>
      </c>
      <c r="Y67" s="280" t="n"/>
    </row>
    <row r="68" ht="15.75" customHeight="1" s="195">
      <c r="A68" s="301" t="n">
        <v>49</v>
      </c>
      <c r="B68" s="302" t="inlineStr">
        <is>
          <t>00000033</t>
        </is>
      </c>
      <c r="C68" s="301" t="inlineStr">
        <is>
          <t>REGION</t>
        </is>
      </c>
      <c r="D68" s="302" t="inlineStr">
        <is>
          <t>HIDALGO MUÑOZ NATHALY DEL CARMEN</t>
        </is>
      </c>
      <c r="E68" s="301" t="inlineStr">
        <is>
          <t>DNI</t>
        </is>
      </c>
      <c r="F68" s="301" t="inlineStr">
        <is>
          <t>47243873</t>
        </is>
      </c>
      <c r="G68" s="331" t="n">
        <v>45866</v>
      </c>
      <c r="H68" s="301" t="inlineStr">
        <is>
          <t>4859</t>
        </is>
      </c>
      <c r="I68" s="332">
        <f>IFERROR(VLOOKUP(TEXT(H68,"0"),IPRESS!$A$3:$B$212,2,0),"")</f>
        <v/>
      </c>
      <c r="J68" s="301" t="inlineStr">
        <is>
          <t>4838</t>
        </is>
      </c>
      <c r="K68" s="332">
        <f>IFERROR(VLOOKUP(TEXT(O68,"0"),CONDUCTORES!$A$3:$G$100,7,0),"")</f>
        <v/>
      </c>
      <c r="L68" s="245" t="n">
        <v>18.18</v>
      </c>
      <c r="M68" s="245" t="n">
        <v>7.5</v>
      </c>
      <c r="N68" s="333">
        <f>IFERROR(IF(L68*M68=0,"",L68*M68),"")</f>
        <v/>
      </c>
      <c r="O68" s="280" t="n"/>
      <c r="P68" s="332">
        <f>IFERROR(VLOOKUP(TEXT(O68,"0"),CONDUCTORES!$A$3:$G$100,2,0),"")</f>
        <v/>
      </c>
      <c r="Q68" s="332">
        <f>IFERROR(VLOOKUP(TEXT(O68,"0"),CONDUCTORES!$A$3:$H$100,6,0),"")</f>
        <v/>
      </c>
      <c r="R68" s="331" t="n">
        <v>45987</v>
      </c>
      <c r="S68" s="302" t="inlineStr">
        <is>
          <t>O601</t>
        </is>
      </c>
      <c r="T68" s="301" t="n"/>
      <c r="U68" s="334" t="n"/>
      <c r="V68" s="301" t="inlineStr">
        <is>
          <t>5985-2025</t>
        </is>
      </c>
      <c r="W68" s="301" t="inlineStr">
        <is>
          <t>N°001-2025</t>
        </is>
      </c>
      <c r="X68" s="301" t="inlineStr">
        <is>
          <t>266.0</t>
        </is>
      </c>
      <c r="Y68" s="280" t="n"/>
    </row>
    <row r="69" ht="15.75" customHeight="1" s="195">
      <c r="A69" s="241" t="n">
        <v>50</v>
      </c>
      <c r="B69" s="305" t="inlineStr">
        <is>
          <t>00000001</t>
        </is>
      </c>
      <c r="C69" s="241" t="inlineStr">
        <is>
          <t>REGION</t>
        </is>
      </c>
      <c r="D69" s="305" t="inlineStr">
        <is>
          <t>YNGA TORRES ADOLFINA</t>
        </is>
      </c>
      <c r="E69" s="241" t="inlineStr">
        <is>
          <t>DNI</t>
        </is>
      </c>
      <c r="F69" s="241" t="inlineStr">
        <is>
          <t>33789849</t>
        </is>
      </c>
      <c r="G69" s="336" t="n">
        <v>45847</v>
      </c>
      <c r="H69" s="241" t="inlineStr">
        <is>
          <t>4897</t>
        </is>
      </c>
      <c r="I69" s="332">
        <f>IFERROR(VLOOKUP(TEXT(H69,"0"),IPRESS!$A$3:$B$212,2,0),"")</f>
        <v/>
      </c>
      <c r="J69" s="241" t="inlineStr">
        <is>
          <t>4838</t>
        </is>
      </c>
      <c r="K69" s="332">
        <f>IFERROR(VLOOKUP(TEXT(O69,"0"),CONDUCTORES!$A$3:$G$100,7,0),"")</f>
        <v/>
      </c>
      <c r="L69" s="239" t="n">
        <v>18.18</v>
      </c>
      <c r="M69" s="239" t="n">
        <v>8</v>
      </c>
      <c r="N69" s="333">
        <f>IFERROR(IF(L69*M69=0,"",L69*M69),"")</f>
        <v/>
      </c>
      <c r="O69" s="334" t="n"/>
      <c r="P69" s="332">
        <f>IFERROR(VLOOKUP(TEXT(O69,"0"),CONDUCTORES!$A$3:$G$100,2,0),"")</f>
        <v/>
      </c>
      <c r="Q69" s="332">
        <f>IFERROR(VLOOKUP(TEXT(O69,"0"),CONDUCTORES!$A$3:$H$100,6,0),"")</f>
        <v/>
      </c>
      <c r="R69" s="336" t="n">
        <v>45939</v>
      </c>
      <c r="S69" s="305" t="inlineStr">
        <is>
          <t>S770,S729</t>
        </is>
      </c>
      <c r="T69" s="241" t="inlineStr">
        <is>
          <t>DEVOLUCION C.S.TINGO</t>
        </is>
      </c>
      <c r="U69" s="280" t="n"/>
      <c r="V69" s="241" t="n"/>
      <c r="W69" s="241" t="n"/>
      <c r="X69" s="241" t="n"/>
      <c r="Y69" s="280" t="n"/>
    </row>
    <row r="70" ht="15.75" customHeight="1" s="195">
      <c r="A70" s="337" t="n">
        <v>51</v>
      </c>
      <c r="B70" s="338" t="inlineStr">
        <is>
          <t>00000006</t>
        </is>
      </c>
      <c r="C70" s="337" t="inlineStr">
        <is>
          <t>REGION</t>
        </is>
      </c>
      <c r="D70" s="338" t="inlineStr">
        <is>
          <t>SERVAN HUAMAN ALEX</t>
        </is>
      </c>
      <c r="E70" s="337" t="inlineStr">
        <is>
          <t>DNI</t>
        </is>
      </c>
      <c r="F70" s="337" t="inlineStr">
        <is>
          <t>60253187</t>
        </is>
      </c>
      <c r="G70" s="339" t="n">
        <v>45853</v>
      </c>
      <c r="H70" s="337" t="inlineStr">
        <is>
          <t>4869</t>
        </is>
      </c>
      <c r="I70" s="332">
        <f>IFERROR(VLOOKUP(TEXT(H70,"0"),IPRESS!$A$3:$B$212,2,0),"")</f>
        <v/>
      </c>
      <c r="J70" s="337" t="inlineStr">
        <is>
          <t>4838</t>
        </is>
      </c>
      <c r="K70" s="332">
        <f>IFERROR(VLOOKUP(TEXT(O70,"0"),CONDUCTORES!$A$3:$G$100,7,0),"")</f>
        <v/>
      </c>
      <c r="L70" s="340" t="n">
        <v>17.95</v>
      </c>
      <c r="M70" s="340" t="n">
        <v>8</v>
      </c>
      <c r="N70" s="333">
        <f>IFERROR(IF(L70*M70=0,"",L70*M70),"")</f>
        <v/>
      </c>
      <c r="O70" s="280" t="n"/>
      <c r="P70" s="332">
        <f>IFERROR(VLOOKUP(TEXT(O70,"0"),CONDUCTORES!$A$3:$G$100,2,0),"")</f>
        <v/>
      </c>
      <c r="Q70" s="332">
        <f>IFERROR(VLOOKUP(TEXT(O70,"0"),CONDUCTORES!$A$3:$H$100,6,0),"")</f>
        <v/>
      </c>
      <c r="R70" s="341" t="n"/>
      <c r="S70" s="338" t="inlineStr">
        <is>
          <t>K35X</t>
        </is>
      </c>
      <c r="T70" s="337" t="n"/>
      <c r="U70" s="341" t="n"/>
      <c r="V70" s="337" t="inlineStr">
        <is>
          <t>6007-2025</t>
        </is>
      </c>
      <c r="W70" s="337" t="inlineStr">
        <is>
          <t>877.0</t>
        </is>
      </c>
      <c r="X70" s="337" t="inlineStr">
        <is>
          <t>489.0</t>
        </is>
      </c>
      <c r="Y70" s="280" t="n"/>
    </row>
    <row r="71" ht="15.75" customHeight="1" s="195">
      <c r="A71" s="337" t="n">
        <v>52</v>
      </c>
      <c r="B71" s="338" t="inlineStr">
        <is>
          <t>00000007</t>
        </is>
      </c>
      <c r="C71" s="337" t="inlineStr">
        <is>
          <t>REGION</t>
        </is>
      </c>
      <c r="D71" s="338" t="inlineStr">
        <is>
          <t>CULQUI PEREA REYCER</t>
        </is>
      </c>
      <c r="E71" s="337" t="inlineStr">
        <is>
          <t>DNI</t>
        </is>
      </c>
      <c r="F71" s="337" t="inlineStr">
        <is>
          <t>70575541</t>
        </is>
      </c>
      <c r="G71" s="339" t="n">
        <v>45856</v>
      </c>
      <c r="H71" s="337" t="inlineStr">
        <is>
          <t>4869</t>
        </is>
      </c>
      <c r="I71" s="332">
        <f>IFERROR(VLOOKUP(TEXT(H71,"0"),IPRESS!$A$3:$B$212,2,0),"")</f>
        <v/>
      </c>
      <c r="J71" s="337" t="inlineStr">
        <is>
          <t>4838</t>
        </is>
      </c>
      <c r="K71" s="332">
        <f>IFERROR(VLOOKUP(TEXT(O71,"0"),CONDUCTORES!$A$3:$G$100,7,0),"")</f>
        <v/>
      </c>
      <c r="L71" s="340" t="n">
        <v>17.95</v>
      </c>
      <c r="M71" s="340" t="n">
        <v>8</v>
      </c>
      <c r="N71" s="333">
        <f>IFERROR(IF(L71*M71=0,"",L71*M71),"")</f>
        <v/>
      </c>
      <c r="O71" s="334" t="n"/>
      <c r="P71" s="332">
        <f>IFERROR(VLOOKUP(TEXT(O71,"0"),CONDUCTORES!$A$3:$G$100,2,0),"")</f>
        <v/>
      </c>
      <c r="Q71" s="332">
        <f>IFERROR(VLOOKUP(TEXT(O71,"0"),CONDUCTORES!$A$3:$H$100,6,0),"")</f>
        <v/>
      </c>
      <c r="R71" s="341" t="n"/>
      <c r="S71" s="338" t="inlineStr">
        <is>
          <t>S099,W27X</t>
        </is>
      </c>
      <c r="T71" s="337" t="n"/>
      <c r="U71" s="341" t="n"/>
      <c r="V71" s="337" t="inlineStr">
        <is>
          <t>6007-2025</t>
        </is>
      </c>
      <c r="W71" s="337" t="inlineStr">
        <is>
          <t>877.0</t>
        </is>
      </c>
      <c r="X71" s="337" t="inlineStr">
        <is>
          <t>489.0</t>
        </is>
      </c>
      <c r="Y71" s="280" t="n"/>
    </row>
    <row r="72" ht="15.75" customHeight="1" s="195">
      <c r="A72" s="337" t="n">
        <v>53</v>
      </c>
      <c r="B72" s="338" t="inlineStr">
        <is>
          <t>00000008</t>
        </is>
      </c>
      <c r="C72" s="337" t="inlineStr">
        <is>
          <t>REGION</t>
        </is>
      </c>
      <c r="D72" s="338" t="inlineStr">
        <is>
          <t>GUAYAMIS OLIVA CELESTINO</t>
        </is>
      </c>
      <c r="E72" s="337" t="inlineStr">
        <is>
          <t>DNI</t>
        </is>
      </c>
      <c r="F72" s="337" t="inlineStr">
        <is>
          <t>33422756</t>
        </is>
      </c>
      <c r="G72" s="339" t="n">
        <v>45858</v>
      </c>
      <c r="H72" s="337" t="inlineStr">
        <is>
          <t>4869</t>
        </is>
      </c>
      <c r="I72" s="332">
        <f>IFERROR(VLOOKUP(TEXT(H72,"0"),IPRESS!$A$3:$B$212,2,0),"")</f>
        <v/>
      </c>
      <c r="J72" s="337" t="inlineStr">
        <is>
          <t>4838</t>
        </is>
      </c>
      <c r="K72" s="332">
        <f>IFERROR(VLOOKUP(TEXT(O72,"0"),CONDUCTORES!$A$3:$G$100,7,0),"")</f>
        <v/>
      </c>
      <c r="L72" s="340" t="n">
        <v>17.95</v>
      </c>
      <c r="M72" s="340" t="n">
        <v>8</v>
      </c>
      <c r="N72" s="333">
        <f>IFERROR(IF(L72*M72=0,"",L72*M72),"")</f>
        <v/>
      </c>
      <c r="O72" s="280" t="n"/>
      <c r="P72" s="332">
        <f>IFERROR(VLOOKUP(TEXT(O72,"0"),CONDUCTORES!$A$3:$G$100,2,0),"")</f>
        <v/>
      </c>
      <c r="Q72" s="332">
        <f>IFERROR(VLOOKUP(TEXT(O72,"0"),CONDUCTORES!$A$3:$H$100,6,0),"")</f>
        <v/>
      </c>
      <c r="R72" s="341" t="n"/>
      <c r="S72" s="338" t="inlineStr">
        <is>
          <t>S529,S009,W17X</t>
        </is>
      </c>
      <c r="T72" s="337" t="n"/>
      <c r="U72" s="341" t="n"/>
      <c r="V72" s="337" t="inlineStr">
        <is>
          <t>6007-2025</t>
        </is>
      </c>
      <c r="W72" s="337" t="inlineStr">
        <is>
          <t>877.0</t>
        </is>
      </c>
      <c r="X72" s="337" t="inlineStr">
        <is>
          <t>489.0</t>
        </is>
      </c>
      <c r="Y72" s="280" t="n"/>
    </row>
    <row r="73" ht="15.75" customHeight="1" s="195">
      <c r="A73" s="241" t="n">
        <v>54</v>
      </c>
      <c r="B73" s="305" t="inlineStr">
        <is>
          <t>00000003</t>
        </is>
      </c>
      <c r="C73" s="241" t="inlineStr">
        <is>
          <t>REGION</t>
        </is>
      </c>
      <c r="D73" s="305" t="inlineStr">
        <is>
          <t>MORI CUSQUIPOMA EGILDA JUDITH</t>
        </is>
      </c>
      <c r="E73" s="241" t="inlineStr">
        <is>
          <t>DNI</t>
        </is>
      </c>
      <c r="F73" s="241" t="inlineStr">
        <is>
          <t>47554498</t>
        </is>
      </c>
      <c r="G73" s="336" t="n">
        <v>45843</v>
      </c>
      <c r="H73" s="241" t="inlineStr">
        <is>
          <t>4947</t>
        </is>
      </c>
      <c r="I73" s="332">
        <f>IFERROR(VLOOKUP(TEXT(H73,"0"),IPRESS!$A$3:$B$212,2,0),"")</f>
        <v/>
      </c>
      <c r="J73" s="241" t="inlineStr">
        <is>
          <t>4950</t>
        </is>
      </c>
      <c r="K73" s="332">
        <f>IFERROR(VLOOKUP(TEXT(O73,"0"),CONDUCTORES!$A$3:$G$100,7,0),"")</f>
        <v/>
      </c>
      <c r="L73" s="239" t="n">
        <v>20.25</v>
      </c>
      <c r="M73" s="239" t="n">
        <v>10</v>
      </c>
      <c r="N73" s="333">
        <f>IFERROR(IF(L73*M73=0,"",L73*M73),"")</f>
        <v/>
      </c>
      <c r="O73" s="334" t="n"/>
      <c r="P73" s="332">
        <f>IFERROR(VLOOKUP(TEXT(O73,"0"),CONDUCTORES!$A$3:$G$100,2,0),"")</f>
        <v/>
      </c>
      <c r="Q73" s="332">
        <f>IFERROR(VLOOKUP(TEXT(O73,"0"),CONDUCTORES!$A$3:$H$100,6,0),"")</f>
        <v/>
      </c>
      <c r="R73" s="336" t="n">
        <v>45987</v>
      </c>
      <c r="S73" s="305" t="inlineStr">
        <is>
          <t>Z359,O200</t>
        </is>
      </c>
      <c r="T73" s="241" t="n"/>
      <c r="U73" s="280" t="n"/>
      <c r="V73" s="241" t="inlineStr">
        <is>
          <t>6018-2025</t>
        </is>
      </c>
      <c r="W73" s="241" t="inlineStr">
        <is>
          <t>3479.0</t>
        </is>
      </c>
      <c r="X73" s="241" t="inlineStr">
        <is>
          <t>189.0</t>
        </is>
      </c>
      <c r="Y73" s="280" t="n"/>
    </row>
    <row r="74" ht="15.75" customHeight="1" s="195">
      <c r="A74" s="301" t="n">
        <v>55</v>
      </c>
      <c r="B74" s="302" t="inlineStr">
        <is>
          <t>00000004</t>
        </is>
      </c>
      <c r="C74" s="301" t="inlineStr">
        <is>
          <t>REGION</t>
        </is>
      </c>
      <c r="D74" s="302" t="inlineStr">
        <is>
          <t>COTRINA LLAMOCTANTA GILMER PERCY</t>
        </is>
      </c>
      <c r="E74" s="301" t="inlineStr">
        <is>
          <t>DNI</t>
        </is>
      </c>
      <c r="F74" s="301" t="inlineStr">
        <is>
          <t>76768675</t>
        </is>
      </c>
      <c r="G74" s="331" t="n">
        <v>45844</v>
      </c>
      <c r="H74" s="301" t="inlineStr">
        <is>
          <t>4947</t>
        </is>
      </c>
      <c r="I74" s="332">
        <f>IFERROR(VLOOKUP(TEXT(H74,"0"),IPRESS!$A$3:$B$212,2,0),"")</f>
        <v/>
      </c>
      <c r="J74" s="301" t="inlineStr">
        <is>
          <t>4950</t>
        </is>
      </c>
      <c r="K74" s="332">
        <f>IFERROR(VLOOKUP(TEXT(O74,"0"),CONDUCTORES!$A$3:$G$100,7,0),"")</f>
        <v/>
      </c>
      <c r="L74" s="245" t="n">
        <v>20.25</v>
      </c>
      <c r="M74" s="245" t="n">
        <v>10</v>
      </c>
      <c r="N74" s="333">
        <f>IFERROR(IF(L74*M74=0,"",L74*M74),"")</f>
        <v/>
      </c>
      <c r="O74" s="280" t="n"/>
      <c r="P74" s="332">
        <f>IFERROR(VLOOKUP(TEXT(O74,"0"),CONDUCTORES!$A$3:$G$100,2,0),"")</f>
        <v/>
      </c>
      <c r="Q74" s="332">
        <f>IFERROR(VLOOKUP(TEXT(O74,"0"),CONDUCTORES!$A$3:$H$100,6,0),"")</f>
        <v/>
      </c>
      <c r="R74" s="331" t="n">
        <v>45987</v>
      </c>
      <c r="S74" s="302" t="inlineStr">
        <is>
          <t>S822,S824</t>
        </is>
      </c>
      <c r="T74" s="301" t="n"/>
      <c r="U74" s="334" t="n"/>
      <c r="V74" s="301" t="inlineStr">
        <is>
          <t>6018-2025</t>
        </is>
      </c>
      <c r="W74" s="301" t="inlineStr">
        <is>
          <t>3479.0</t>
        </is>
      </c>
      <c r="X74" s="301" t="inlineStr">
        <is>
          <t>189.0</t>
        </is>
      </c>
      <c r="Y74" s="280" t="n"/>
    </row>
    <row r="75" ht="15.75" customHeight="1" s="195">
      <c r="A75" s="241" t="n">
        <v>56</v>
      </c>
      <c r="B75" s="305" t="inlineStr">
        <is>
          <t>00000005</t>
        </is>
      </c>
      <c r="C75" s="241" t="inlineStr">
        <is>
          <t>REGION</t>
        </is>
      </c>
      <c r="D75" s="305" t="inlineStr">
        <is>
          <t>HUAMAN PUERTA IABEL</t>
        </is>
      </c>
      <c r="E75" s="241" t="inlineStr">
        <is>
          <t>DNI</t>
        </is>
      </c>
      <c r="F75" s="241" t="inlineStr">
        <is>
          <t>33421714</t>
        </is>
      </c>
      <c r="G75" s="336" t="n">
        <v>45847</v>
      </c>
      <c r="H75" s="241" t="inlineStr">
        <is>
          <t>4947</t>
        </is>
      </c>
      <c r="I75" s="332">
        <f>IFERROR(VLOOKUP(TEXT(H75,"0"),IPRESS!$A$3:$B$212,2,0),"")</f>
        <v/>
      </c>
      <c r="J75" s="241" t="inlineStr">
        <is>
          <t>4950</t>
        </is>
      </c>
      <c r="K75" s="332">
        <f>IFERROR(VLOOKUP(TEXT(O75,"0"),CONDUCTORES!$A$3:$G$100,7,0),"")</f>
        <v/>
      </c>
      <c r="L75" s="239" t="n">
        <v>20.25</v>
      </c>
      <c r="M75" s="239" t="n">
        <v>10</v>
      </c>
      <c r="N75" s="333">
        <f>IFERROR(IF(L75*M75=0,"",L75*M75),"")</f>
        <v/>
      </c>
      <c r="O75" s="334" t="n"/>
      <c r="P75" s="332">
        <f>IFERROR(VLOOKUP(TEXT(O75,"0"),CONDUCTORES!$A$3:$G$100,2,0),"")</f>
        <v/>
      </c>
      <c r="Q75" s="332">
        <f>IFERROR(VLOOKUP(TEXT(O75,"0"),CONDUCTORES!$A$3:$H$100,6,0),"")</f>
        <v/>
      </c>
      <c r="R75" s="336" t="n">
        <v>45987</v>
      </c>
      <c r="S75" s="305" t="inlineStr">
        <is>
          <t>I500,R18X</t>
        </is>
      </c>
      <c r="T75" s="241" t="n"/>
      <c r="U75" s="280" t="n"/>
      <c r="V75" s="241" t="inlineStr">
        <is>
          <t>6018-2025</t>
        </is>
      </c>
      <c r="W75" s="241" t="inlineStr">
        <is>
          <t>3479.0</t>
        </is>
      </c>
      <c r="X75" s="241" t="inlineStr">
        <is>
          <t>189.0</t>
        </is>
      </c>
      <c r="Y75" s="280" t="n"/>
    </row>
    <row r="76" ht="15.75" customHeight="1" s="195">
      <c r="A76" s="301" t="n">
        <v>57</v>
      </c>
      <c r="B76" s="302" t="inlineStr">
        <is>
          <t>00000006</t>
        </is>
      </c>
      <c r="C76" s="301" t="inlineStr">
        <is>
          <t>REGION</t>
        </is>
      </c>
      <c r="D76" s="302" t="inlineStr">
        <is>
          <t>ALTAMIRANO CHAVEZ LUZ DELDINA</t>
        </is>
      </c>
      <c r="E76" s="301" t="inlineStr">
        <is>
          <t>DNI</t>
        </is>
      </c>
      <c r="F76" s="301" t="inlineStr">
        <is>
          <t>71827106</t>
        </is>
      </c>
      <c r="G76" s="331" t="n">
        <v>45855</v>
      </c>
      <c r="H76" s="301" t="inlineStr">
        <is>
          <t>4947</t>
        </is>
      </c>
      <c r="I76" s="332">
        <f>IFERROR(VLOOKUP(TEXT(H76,"0"),IPRESS!$A$3:$B$212,2,0),"")</f>
        <v/>
      </c>
      <c r="J76" s="301" t="inlineStr">
        <is>
          <t>4950</t>
        </is>
      </c>
      <c r="K76" s="332">
        <f>IFERROR(VLOOKUP(TEXT(O76,"0"),CONDUCTORES!$A$3:$G$100,7,0),"")</f>
        <v/>
      </c>
      <c r="L76" s="245" t="n">
        <v>20.25</v>
      </c>
      <c r="M76" s="245" t="n">
        <v>10</v>
      </c>
      <c r="N76" s="333">
        <f>IFERROR(IF(L76*M76=0,"",L76*M76),"")</f>
        <v/>
      </c>
      <c r="O76" s="280" t="n"/>
      <c r="P76" s="332">
        <f>IFERROR(VLOOKUP(TEXT(O76,"0"),CONDUCTORES!$A$3:$G$100,2,0),"")</f>
        <v/>
      </c>
      <c r="Q76" s="332">
        <f>IFERROR(VLOOKUP(TEXT(O76,"0"),CONDUCTORES!$A$3:$H$100,6,0),"")</f>
        <v/>
      </c>
      <c r="R76" s="331" t="n">
        <v>45987</v>
      </c>
      <c r="S76" s="302" t="inlineStr">
        <is>
          <t>Z348,O60X</t>
        </is>
      </c>
      <c r="T76" s="301" t="n"/>
      <c r="U76" s="334" t="n"/>
      <c r="V76" s="301" t="inlineStr">
        <is>
          <t>6018-2025</t>
        </is>
      </c>
      <c r="W76" s="301" t="inlineStr">
        <is>
          <t>3479.0</t>
        </is>
      </c>
      <c r="X76" s="301" t="inlineStr">
        <is>
          <t>189.0</t>
        </is>
      </c>
      <c r="Y76" s="280" t="n"/>
    </row>
    <row r="77" ht="15.75" customHeight="1" s="195">
      <c r="A77" s="241" t="n">
        <v>58</v>
      </c>
      <c r="B77" s="305" t="inlineStr">
        <is>
          <t>00000060</t>
        </is>
      </c>
      <c r="C77" s="241" t="inlineStr">
        <is>
          <t>REGION</t>
        </is>
      </c>
      <c r="D77" s="305" t="inlineStr">
        <is>
          <t>MASLUCAN GOÑAS RN</t>
        </is>
      </c>
      <c r="E77" s="241" t="inlineStr">
        <is>
          <t>DNI</t>
        </is>
      </c>
      <c r="F77" s="241" t="inlineStr">
        <is>
          <t>11114187</t>
        </is>
      </c>
      <c r="G77" s="336" t="n">
        <v>45852</v>
      </c>
      <c r="H77" s="241" t="inlineStr">
        <is>
          <t>4922</t>
        </is>
      </c>
      <c r="I77" s="332">
        <f>IFERROR(VLOOKUP(TEXT(H77,"0"),IPRESS!$A$3:$B$212,2,0),"")</f>
        <v/>
      </c>
      <c r="J77" s="241" t="inlineStr">
        <is>
          <t>4838</t>
        </is>
      </c>
      <c r="K77" s="332">
        <f>IFERROR(VLOOKUP(TEXT(O77,"0"),CONDUCTORES!$A$3:$G$100,7,0),"")</f>
        <v/>
      </c>
      <c r="L77" s="239" t="n">
        <v>18.18</v>
      </c>
      <c r="M77" s="239" t="n">
        <v>5</v>
      </c>
      <c r="N77" s="333">
        <f>IFERROR(IF(L77*M77=0,"",L77*M77),"")</f>
        <v/>
      </c>
      <c r="O77" s="334" t="n"/>
      <c r="P77" s="332">
        <f>IFERROR(VLOOKUP(TEXT(O77,"0"),CONDUCTORES!$A$3:$G$100,2,0),"")</f>
        <v/>
      </c>
      <c r="Q77" s="332">
        <f>IFERROR(VLOOKUP(TEXT(O77,"0"),CONDUCTORES!$A$3:$H$100,6,0),"")</f>
        <v/>
      </c>
      <c r="R77" s="336" t="n">
        <v>45936</v>
      </c>
      <c r="S77" s="305" t="inlineStr">
        <is>
          <t>P599,P551,P369</t>
        </is>
      </c>
      <c r="T77" s="241" t="n"/>
      <c r="U77" s="280" t="n"/>
      <c r="V77" s="241" t="n"/>
      <c r="W77" s="241" t="n"/>
      <c r="X77" s="241" t="n"/>
      <c r="Y77" s="280" t="n"/>
    </row>
    <row r="78" ht="15.75" customHeight="1" s="195">
      <c r="A78" s="337" t="n">
        <v>59</v>
      </c>
      <c r="B78" s="338" t="inlineStr">
        <is>
          <t>00000061</t>
        </is>
      </c>
      <c r="C78" s="337" t="inlineStr">
        <is>
          <t>REGION</t>
        </is>
      </c>
      <c r="D78" s="338" t="inlineStr">
        <is>
          <t>ZUTA ALEGRIA ABRAHAM DAVID</t>
        </is>
      </c>
      <c r="E78" s="337" t="inlineStr">
        <is>
          <t>DNI</t>
        </is>
      </c>
      <c r="F78" s="337" t="inlineStr">
        <is>
          <t>62241732</t>
        </is>
      </c>
      <c r="G78" s="339" t="n">
        <v>45853</v>
      </c>
      <c r="H78" s="337" t="inlineStr">
        <is>
          <t>4922</t>
        </is>
      </c>
      <c r="I78" s="332">
        <f>IFERROR(VLOOKUP(TEXT(H78,"0"),IPRESS!$A$3:$B$212,2,0),"")</f>
        <v/>
      </c>
      <c r="J78" s="337" t="inlineStr">
        <is>
          <t>4838</t>
        </is>
      </c>
      <c r="K78" s="332">
        <f>IFERROR(VLOOKUP(TEXT(O78,"0"),CONDUCTORES!$A$3:$G$100,7,0),"")</f>
        <v/>
      </c>
      <c r="L78" s="340" t="n">
        <v>17.95</v>
      </c>
      <c r="M78" s="340" t="n">
        <v>6</v>
      </c>
      <c r="N78" s="333">
        <f>IFERROR(IF(L78*M78=0,"",L78*M78),"")</f>
        <v/>
      </c>
      <c r="O78" s="280" t="n"/>
      <c r="P78" s="332">
        <f>IFERROR(VLOOKUP(TEXT(O78,"0"),CONDUCTORES!$A$3:$G$100,2,0),"")</f>
        <v/>
      </c>
      <c r="Q78" s="332">
        <f>IFERROR(VLOOKUP(TEXT(O78,"0"),CONDUCTORES!$A$3:$H$100,6,0),"")</f>
        <v/>
      </c>
      <c r="R78" s="339" t="n">
        <v>45936</v>
      </c>
      <c r="S78" s="338" t="inlineStr">
        <is>
          <t>R100,K359</t>
        </is>
      </c>
      <c r="T78" s="337" t="n"/>
      <c r="U78" s="341" t="n"/>
      <c r="V78" s="337" t="n"/>
      <c r="W78" s="337" t="n"/>
      <c r="X78" s="337" t="n"/>
      <c r="Y78" s="280" t="n"/>
    </row>
    <row r="79" ht="15.75" customHeight="1" s="195">
      <c r="A79" s="337" t="n">
        <v>60</v>
      </c>
      <c r="B79" s="338" t="inlineStr">
        <is>
          <t>00000062</t>
        </is>
      </c>
      <c r="C79" s="337" t="inlineStr">
        <is>
          <t>REGION</t>
        </is>
      </c>
      <c r="D79" s="338" t="inlineStr">
        <is>
          <t>SHEEN PACHECO JOSE MANUEL</t>
        </is>
      </c>
      <c r="E79" s="337" t="inlineStr">
        <is>
          <t>DNI</t>
        </is>
      </c>
      <c r="F79" s="337" t="inlineStr">
        <is>
          <t>33732655</t>
        </is>
      </c>
      <c r="G79" s="339" t="n">
        <v>45861</v>
      </c>
      <c r="H79" s="337" t="inlineStr">
        <is>
          <t>4922</t>
        </is>
      </c>
      <c r="I79" s="332">
        <f>IFERROR(VLOOKUP(TEXT(H79,"0"),IPRESS!$A$3:$B$212,2,0),"")</f>
        <v/>
      </c>
      <c r="J79" s="337" t="inlineStr">
        <is>
          <t>4838</t>
        </is>
      </c>
      <c r="K79" s="332">
        <f>IFERROR(VLOOKUP(TEXT(O79,"0"),CONDUCTORES!$A$3:$G$100,7,0),"")</f>
        <v/>
      </c>
      <c r="L79" s="340" t="n">
        <v>17.95</v>
      </c>
      <c r="M79" s="340" t="n">
        <v>6</v>
      </c>
      <c r="N79" s="333">
        <f>IFERROR(IF(L79*M79=0,"",L79*M79),"")</f>
        <v/>
      </c>
      <c r="O79" s="334" t="n"/>
      <c r="P79" s="332">
        <f>IFERROR(VLOOKUP(TEXT(O79,"0"),CONDUCTORES!$A$3:$G$100,2,0),"")</f>
        <v/>
      </c>
      <c r="Q79" s="332">
        <f>IFERROR(VLOOKUP(TEXT(O79,"0"),CONDUCTORES!$A$3:$H$100,6,0),"")</f>
        <v/>
      </c>
      <c r="R79" s="339" t="n">
        <v>45936</v>
      </c>
      <c r="S79" s="338" t="inlineStr">
        <is>
          <t>S700,S73X,S729</t>
        </is>
      </c>
      <c r="T79" s="337" t="n"/>
      <c r="U79" s="341" t="n"/>
      <c r="V79" s="337" t="n"/>
      <c r="W79" s="337" t="n"/>
      <c r="X79" s="337" t="n"/>
      <c r="Y79" s="280" t="n"/>
    </row>
    <row r="80" ht="15.75" customHeight="1" s="195">
      <c r="A80" s="337" t="n">
        <v>61</v>
      </c>
      <c r="B80" s="338" t="inlineStr">
        <is>
          <t>00000063</t>
        </is>
      </c>
      <c r="C80" s="337" t="inlineStr">
        <is>
          <t>REGION</t>
        </is>
      </c>
      <c r="D80" s="338" t="inlineStr">
        <is>
          <t>HERRERA KIM RN</t>
        </is>
      </c>
      <c r="E80" s="337" t="inlineStr">
        <is>
          <t>DNI</t>
        </is>
      </c>
      <c r="F80" s="337" t="inlineStr">
        <is>
          <t>11125157</t>
        </is>
      </c>
      <c r="G80" s="339" t="n">
        <v>45866</v>
      </c>
      <c r="H80" s="337" t="inlineStr">
        <is>
          <t>4922</t>
        </is>
      </c>
      <c r="I80" s="332">
        <f>IFERROR(VLOOKUP(TEXT(H80,"0"),IPRESS!$A$3:$B$212,2,0),"")</f>
        <v/>
      </c>
      <c r="J80" s="337" t="inlineStr">
        <is>
          <t>4838</t>
        </is>
      </c>
      <c r="K80" s="332">
        <f>IFERROR(VLOOKUP(TEXT(O80,"0"),CONDUCTORES!$A$3:$G$100,7,0),"")</f>
        <v/>
      </c>
      <c r="L80" s="340" t="n">
        <v>17.95</v>
      </c>
      <c r="M80" s="340" t="n">
        <v>6</v>
      </c>
      <c r="N80" s="333">
        <f>IFERROR(IF(L80*M80=0,"",L80*M80),"")</f>
        <v/>
      </c>
      <c r="O80" s="280" t="n"/>
      <c r="P80" s="332">
        <f>IFERROR(VLOOKUP(TEXT(O80,"0"),CONDUCTORES!$A$3:$G$100,2,0),"")</f>
        <v/>
      </c>
      <c r="Q80" s="332">
        <f>IFERROR(VLOOKUP(TEXT(O80,"0"),CONDUCTORES!$A$3:$H$100,6,0),"")</f>
        <v/>
      </c>
      <c r="R80" s="339" t="n">
        <v>45936</v>
      </c>
      <c r="S80" s="338" t="inlineStr">
        <is>
          <t>P369</t>
        </is>
      </c>
      <c r="T80" s="337" t="n"/>
      <c r="U80" s="341" t="n"/>
      <c r="V80" s="337" t="n"/>
      <c r="W80" s="337" t="n"/>
      <c r="X80" s="337" t="n"/>
      <c r="Y80" s="280" t="n"/>
    </row>
    <row r="81" ht="15.75" customHeight="1" s="195">
      <c r="A81" s="241" t="n">
        <v>62</v>
      </c>
      <c r="B81" s="305" t="inlineStr">
        <is>
          <t>00000007</t>
        </is>
      </c>
      <c r="C81" s="241" t="inlineStr">
        <is>
          <t>REGION</t>
        </is>
      </c>
      <c r="D81" s="305" t="inlineStr">
        <is>
          <t>PORTOCARRERO OCAMPO ELDA ROSA</t>
        </is>
      </c>
      <c r="E81" s="241" t="inlineStr">
        <is>
          <t>DNI</t>
        </is>
      </c>
      <c r="F81" s="241" t="inlineStr">
        <is>
          <t>6138654</t>
        </is>
      </c>
      <c r="G81" s="336" t="n">
        <v>45869</v>
      </c>
      <c r="H81" s="241" t="inlineStr">
        <is>
          <t>4947</t>
        </is>
      </c>
      <c r="I81" s="332">
        <f>IFERROR(VLOOKUP(TEXT(H81,"0"),IPRESS!$A$3:$B$212,2,0),"")</f>
        <v/>
      </c>
      <c r="J81" s="241" t="inlineStr">
        <is>
          <t>4950</t>
        </is>
      </c>
      <c r="K81" s="332">
        <f>IFERROR(VLOOKUP(TEXT(O81,"0"),CONDUCTORES!$A$3:$G$100,7,0),"")</f>
        <v/>
      </c>
      <c r="L81" s="239" t="n">
        <v>20.25</v>
      </c>
      <c r="M81" s="239" t="n">
        <v>10</v>
      </c>
      <c r="N81" s="333">
        <f>IFERROR(IF(L81*M81=0,"",L81*M81),"")</f>
        <v/>
      </c>
      <c r="O81" s="334" t="n"/>
      <c r="P81" s="332">
        <f>IFERROR(VLOOKUP(TEXT(O81,"0"),CONDUCTORES!$A$3:$G$100,2,0),"")</f>
        <v/>
      </c>
      <c r="Q81" s="332">
        <f>IFERROR(VLOOKUP(TEXT(O81,"0"),CONDUCTORES!$A$3:$H$100,6,0),"")</f>
        <v/>
      </c>
      <c r="R81" s="336" t="n">
        <v>45987</v>
      </c>
      <c r="S81" s="305" t="inlineStr">
        <is>
          <t>R104,K359</t>
        </is>
      </c>
      <c r="T81" s="241" t="n"/>
      <c r="U81" s="280" t="n"/>
      <c r="V81" s="241" t="inlineStr">
        <is>
          <t>6018-2025</t>
        </is>
      </c>
      <c r="W81" s="241" t="inlineStr">
        <is>
          <t>3479.0</t>
        </is>
      </c>
      <c r="X81" s="241" t="inlineStr">
        <is>
          <t>189.0</t>
        </is>
      </c>
      <c r="Y81" s="280" t="n"/>
    </row>
    <row r="82" ht="15.75" customHeight="1" s="195">
      <c r="A82" s="301" t="n">
        <v>63</v>
      </c>
      <c r="B82" s="302" t="inlineStr">
        <is>
          <t>00000015</t>
        </is>
      </c>
      <c r="C82" s="301" t="inlineStr">
        <is>
          <t>REGION</t>
        </is>
      </c>
      <c r="D82" s="302" t="inlineStr">
        <is>
          <t>DELGADO DELGADO KAITLYN PATRICIA</t>
        </is>
      </c>
      <c r="E82" s="301" t="inlineStr">
        <is>
          <t>DNI</t>
        </is>
      </c>
      <c r="F82" s="301" t="inlineStr">
        <is>
          <t>78095322</t>
        </is>
      </c>
      <c r="G82" s="331" t="n">
        <v>45858</v>
      </c>
      <c r="H82" s="301" t="inlineStr">
        <is>
          <t>4876</t>
        </is>
      </c>
      <c r="I82" s="332">
        <f>IFERROR(VLOOKUP(TEXT(H82,"0"),IPRESS!$A$3:$B$212,2,0),"")</f>
        <v/>
      </c>
      <c r="J82" s="301" t="inlineStr">
        <is>
          <t>4838</t>
        </is>
      </c>
      <c r="K82" s="332">
        <f>IFERROR(VLOOKUP(TEXT(O82,"0"),CONDUCTORES!$A$3:$G$100,7,0),"")</f>
        <v/>
      </c>
      <c r="L82" s="245" t="n">
        <v>18.18</v>
      </c>
      <c r="M82" s="245" t="n">
        <v>30</v>
      </c>
      <c r="N82" s="333">
        <f>IFERROR(IF(L82*M82=0,"",L82*M82),"")</f>
        <v/>
      </c>
      <c r="O82" s="280" t="n"/>
      <c r="P82" s="332">
        <f>IFERROR(VLOOKUP(TEXT(O82,"0"),CONDUCTORES!$A$3:$G$100,2,0),"")</f>
        <v/>
      </c>
      <c r="Q82" s="332">
        <f>IFERROR(VLOOKUP(TEXT(O82,"0"),CONDUCTORES!$A$3:$H$100,6,0),"")</f>
        <v/>
      </c>
      <c r="R82" s="334" t="n"/>
      <c r="S82" s="302" t="inlineStr">
        <is>
          <t>K359,R100</t>
        </is>
      </c>
      <c r="T82" s="301" t="inlineStr">
        <is>
          <t>DEVOLUCION AL C.S. CAMPORREDONDO</t>
        </is>
      </c>
      <c r="U82" s="334" t="n"/>
      <c r="V82" s="301" t="n"/>
      <c r="W82" s="301" t="n"/>
      <c r="X82" s="301" t="n"/>
      <c r="Y82" s="280" t="n"/>
    </row>
    <row r="83" ht="15.75" customHeight="1" s="195">
      <c r="A83" s="241" t="n">
        <v>64</v>
      </c>
      <c r="B83" s="305" t="inlineStr">
        <is>
          <t>00000018</t>
        </is>
      </c>
      <c r="C83" s="241" t="inlineStr">
        <is>
          <t>REGION</t>
        </is>
      </c>
      <c r="D83" s="305" t="inlineStr">
        <is>
          <t>URIARTE MEDINA JACK MILLER</t>
        </is>
      </c>
      <c r="E83" s="241" t="inlineStr">
        <is>
          <t>DNI</t>
        </is>
      </c>
      <c r="F83" s="241" t="inlineStr">
        <is>
          <t>61650560</t>
        </is>
      </c>
      <c r="G83" s="336" t="n">
        <v>45867</v>
      </c>
      <c r="H83" s="241" t="inlineStr">
        <is>
          <t>4876</t>
        </is>
      </c>
      <c r="I83" s="332">
        <f>IFERROR(VLOOKUP(TEXT(H83,"0"),IPRESS!$A$3:$B$212,2,0),"")</f>
        <v/>
      </c>
      <c r="J83" s="241" t="inlineStr">
        <is>
          <t>4838</t>
        </is>
      </c>
      <c r="K83" s="332">
        <f>IFERROR(VLOOKUP(TEXT(O83,"0"),CONDUCTORES!$A$3:$G$100,7,0),"")</f>
        <v/>
      </c>
      <c r="L83" s="239" t="n">
        <v>18.18</v>
      </c>
      <c r="M83" s="239" t="n">
        <v>20</v>
      </c>
      <c r="N83" s="333">
        <f>IFERROR(IF(L83*M83=0,"",L83*M83),"")</f>
        <v/>
      </c>
      <c r="O83" s="334" t="n"/>
      <c r="P83" s="332">
        <f>IFERROR(VLOOKUP(TEXT(O83,"0"),CONDUCTORES!$A$3:$G$100,2,0),"")</f>
        <v/>
      </c>
      <c r="Q83" s="332">
        <f>IFERROR(VLOOKUP(TEXT(O83,"0"),CONDUCTORES!$A$3:$H$100,6,0),"")</f>
        <v/>
      </c>
      <c r="R83" s="280" t="n"/>
      <c r="S83" s="305" t="inlineStr">
        <is>
          <t>K359,R100</t>
        </is>
      </c>
      <c r="T83" s="241" t="inlineStr">
        <is>
          <t>DEVOLVER COMBUSTIBLE C.S. CAMPORREDONDO</t>
        </is>
      </c>
      <c r="U83" s="280" t="n"/>
      <c r="V83" s="241" t="n"/>
      <c r="W83" s="241" t="n"/>
      <c r="X83" s="241" t="n"/>
      <c r="Y83" s="280" t="n"/>
    </row>
    <row r="84" ht="15.75" customHeight="1" s="195">
      <c r="A84" s="301" t="n">
        <v>65</v>
      </c>
      <c r="B84" s="302" t="inlineStr">
        <is>
          <t>00000005</t>
        </is>
      </c>
      <c r="C84" s="301" t="inlineStr">
        <is>
          <t>REGION</t>
        </is>
      </c>
      <c r="D84" s="302" t="inlineStr">
        <is>
          <t>VASQUEZ RAMOS CESAR</t>
        </is>
      </c>
      <c r="E84" s="301" t="inlineStr">
        <is>
          <t>DNI</t>
        </is>
      </c>
      <c r="F84" s="301" t="inlineStr">
        <is>
          <t>33952012</t>
        </is>
      </c>
      <c r="G84" s="331" t="n">
        <v>45846</v>
      </c>
      <c r="H84" s="301" t="inlineStr">
        <is>
          <t>4946</t>
        </is>
      </c>
      <c r="I84" s="332">
        <f>IFERROR(VLOOKUP(TEXT(H84,"0"),IPRESS!$A$3:$B$212,2,0),"")</f>
        <v/>
      </c>
      <c r="J84" s="301" t="inlineStr">
        <is>
          <t>4950</t>
        </is>
      </c>
      <c r="K84" s="332">
        <f>IFERROR(VLOOKUP(TEXT(O84,"0"),CONDUCTORES!$A$3:$G$100,7,0),"")</f>
        <v/>
      </c>
      <c r="L84" s="245" t="n">
        <v>20.25</v>
      </c>
      <c r="M84" s="245" t="n">
        <v>3</v>
      </c>
      <c r="N84" s="333">
        <f>IFERROR(IF(L84*M84=0,"",L84*M84),"")</f>
        <v/>
      </c>
      <c r="O84" s="280" t="n"/>
      <c r="P84" s="332">
        <f>IFERROR(VLOOKUP(TEXT(O84,"0"),CONDUCTORES!$A$3:$G$100,2,0),"")</f>
        <v/>
      </c>
      <c r="Q84" s="332">
        <f>IFERROR(VLOOKUP(TEXT(O84,"0"),CONDUCTORES!$A$3:$H$100,6,0),"")</f>
        <v/>
      </c>
      <c r="R84" s="331" t="n">
        <v>46010</v>
      </c>
      <c r="S84" s="302" t="inlineStr">
        <is>
          <t>E116</t>
        </is>
      </c>
      <c r="T84" s="301" t="n"/>
      <c r="U84" s="334" t="n"/>
      <c r="V84" s="301" t="n"/>
      <c r="W84" s="301" t="n"/>
      <c r="X84" s="301" t="n"/>
      <c r="Y84" s="280" t="n"/>
    </row>
    <row r="85" ht="15.75" customHeight="1" s="195">
      <c r="A85" s="241" t="n">
        <v>66</v>
      </c>
      <c r="B85" s="305" t="inlineStr">
        <is>
          <t>00000037</t>
        </is>
      </c>
      <c r="C85" s="241" t="inlineStr">
        <is>
          <t>REGION</t>
        </is>
      </c>
      <c r="D85" s="305" t="inlineStr">
        <is>
          <t>QUISTAN DE ALVARADO JUANA</t>
        </is>
      </c>
      <c r="E85" s="241" t="inlineStr">
        <is>
          <t>DNI</t>
        </is>
      </c>
      <c r="F85" s="241" t="inlineStr">
        <is>
          <t>33726098</t>
        </is>
      </c>
      <c r="G85" s="336" t="n">
        <v>45846</v>
      </c>
      <c r="H85" s="241" t="inlineStr">
        <is>
          <t>4932</t>
        </is>
      </c>
      <c r="I85" s="332">
        <f>IFERROR(VLOOKUP(TEXT(H85,"0"),IPRESS!$A$3:$B$212,2,0),"")</f>
        <v/>
      </c>
      <c r="J85" s="241" t="inlineStr">
        <is>
          <t>4838</t>
        </is>
      </c>
      <c r="K85" s="332">
        <f>IFERROR(VLOOKUP(TEXT(O85,"0"),CONDUCTORES!$A$3:$G$100,7,0),"")</f>
        <v/>
      </c>
      <c r="L85" s="239" t="n">
        <v>18.18</v>
      </c>
      <c r="M85" s="239" t="n">
        <v>8</v>
      </c>
      <c r="N85" s="333">
        <f>IFERROR(IF(L85*M85=0,"",L85*M85),"")</f>
        <v/>
      </c>
      <c r="O85" s="334" t="n"/>
      <c r="P85" s="332">
        <f>IFERROR(VLOOKUP(TEXT(O85,"0"),CONDUCTORES!$A$3:$G$100,2,0),"")</f>
        <v/>
      </c>
      <c r="Q85" s="332">
        <f>IFERROR(VLOOKUP(TEXT(O85,"0"),CONDUCTORES!$A$3:$H$100,6,0),"")</f>
        <v/>
      </c>
      <c r="R85" s="336" t="n">
        <v>45968</v>
      </c>
      <c r="S85" s="305" t="inlineStr">
        <is>
          <t>J960,J209,J159</t>
        </is>
      </c>
      <c r="T85" s="241" t="n"/>
      <c r="U85" s="280" t="n"/>
      <c r="V85" s="241" t="n"/>
      <c r="W85" s="241" t="n"/>
      <c r="X85" s="241" t="n"/>
      <c r="Y85" s="280" t="n"/>
    </row>
    <row r="86" ht="15.75" customHeight="1" s="195">
      <c r="A86" s="301" t="n">
        <v>67</v>
      </c>
      <c r="B86" s="302" t="inlineStr">
        <is>
          <t>00000040</t>
        </is>
      </c>
      <c r="C86" s="301" t="inlineStr">
        <is>
          <t>REGION</t>
        </is>
      </c>
      <c r="D86" s="302" t="inlineStr">
        <is>
          <t>YALTA VDA DE SANTILLAN ROSA MERCEDES</t>
        </is>
      </c>
      <c r="E86" s="301" t="inlineStr">
        <is>
          <t>DNI</t>
        </is>
      </c>
      <c r="F86" s="301" t="inlineStr">
        <is>
          <t>33724901</t>
        </is>
      </c>
      <c r="G86" s="331" t="n">
        <v>45851</v>
      </c>
      <c r="H86" s="301" t="inlineStr">
        <is>
          <t>4932</t>
        </is>
      </c>
      <c r="I86" s="332">
        <f>IFERROR(VLOOKUP(TEXT(H86,"0"),IPRESS!$A$3:$B$212,2,0),"")</f>
        <v/>
      </c>
      <c r="J86" s="301" t="inlineStr">
        <is>
          <t>4838</t>
        </is>
      </c>
      <c r="K86" s="332">
        <f>IFERROR(VLOOKUP(TEXT(O86,"0"),CONDUCTORES!$A$3:$G$100,7,0),"")</f>
        <v/>
      </c>
      <c r="L86" s="245" t="n">
        <v>18.18</v>
      </c>
      <c r="M86" s="245" t="n">
        <v>8</v>
      </c>
      <c r="N86" s="333">
        <f>IFERROR(IF(L86*M86=0,"",L86*M86),"")</f>
        <v/>
      </c>
      <c r="O86" s="280" t="n"/>
      <c r="P86" s="332">
        <f>IFERROR(VLOOKUP(TEXT(O86,"0"),CONDUCTORES!$A$3:$G$100,2,0),"")</f>
        <v/>
      </c>
      <c r="Q86" s="332">
        <f>IFERROR(VLOOKUP(TEXT(O86,"0"),CONDUCTORES!$A$3:$H$100,6,0),"")</f>
        <v/>
      </c>
      <c r="R86" s="331" t="n">
        <v>45968</v>
      </c>
      <c r="S86" s="302" t="inlineStr">
        <is>
          <t>K746,R18X,R601</t>
        </is>
      </c>
      <c r="T86" s="301" t="n"/>
      <c r="U86" s="334" t="n"/>
      <c r="V86" s="301" t="n"/>
      <c r="W86" s="301" t="n"/>
      <c r="X86" s="301" t="n"/>
      <c r="Y86" s="280" t="n"/>
    </row>
    <row r="87" ht="15.75" customHeight="1" s="195">
      <c r="A87" s="241" t="n">
        <v>68</v>
      </c>
      <c r="B87" s="305" t="inlineStr">
        <is>
          <t>00000038</t>
        </is>
      </c>
      <c r="C87" s="241" t="inlineStr">
        <is>
          <t>REGION</t>
        </is>
      </c>
      <c r="D87" s="305" t="inlineStr">
        <is>
          <t>TAPIA POMPA RN</t>
        </is>
      </c>
      <c r="E87" s="241" t="inlineStr">
        <is>
          <t>DNI</t>
        </is>
      </c>
      <c r="F87" s="241" t="inlineStr">
        <is>
          <t>11106632</t>
        </is>
      </c>
      <c r="G87" s="336" t="n">
        <v>45842</v>
      </c>
      <c r="H87" s="241" t="inlineStr">
        <is>
          <t>4932</t>
        </is>
      </c>
      <c r="I87" s="332">
        <f>IFERROR(VLOOKUP(TEXT(H87,"0"),IPRESS!$A$3:$B$212,2,0),"")</f>
        <v/>
      </c>
      <c r="J87" s="241" t="inlineStr">
        <is>
          <t>4838</t>
        </is>
      </c>
      <c r="K87" s="332">
        <f>IFERROR(VLOOKUP(TEXT(O87,"0"),CONDUCTORES!$A$3:$G$100,7,0),"")</f>
        <v/>
      </c>
      <c r="L87" s="239" t="n">
        <v>18.18</v>
      </c>
      <c r="M87" s="239" t="n">
        <v>8</v>
      </c>
      <c r="N87" s="333">
        <f>IFERROR(IF(L87*M87=0,"",L87*M87),"")</f>
        <v/>
      </c>
      <c r="O87" s="334" t="n"/>
      <c r="P87" s="332">
        <f>IFERROR(VLOOKUP(TEXT(O87,"0"),CONDUCTORES!$A$3:$G$100,2,0),"")</f>
        <v/>
      </c>
      <c r="Q87" s="332">
        <f>IFERROR(VLOOKUP(TEXT(O87,"0"),CONDUCTORES!$A$3:$H$100,6,0),"")</f>
        <v/>
      </c>
      <c r="R87" s="336" t="n">
        <v>45968</v>
      </c>
      <c r="S87" s="305" t="inlineStr">
        <is>
          <t>Z380,P221,P704,Q172</t>
        </is>
      </c>
      <c r="T87" s="241" t="n"/>
      <c r="U87" s="280" t="n"/>
      <c r="V87" s="241" t="n"/>
      <c r="W87" s="241" t="n"/>
      <c r="X87" s="241" t="n"/>
      <c r="Y87" s="280" t="n"/>
    </row>
    <row r="88" ht="15.75" customHeight="1" s="195">
      <c r="A88" s="301" t="n">
        <v>69</v>
      </c>
      <c r="B88" s="302" t="inlineStr">
        <is>
          <t>00000039</t>
        </is>
      </c>
      <c r="C88" s="301" t="inlineStr">
        <is>
          <t>REGION</t>
        </is>
      </c>
      <c r="D88" s="302" t="inlineStr">
        <is>
          <t>DAVILA CHOCHABOT DIANA ESTEFANNY</t>
        </is>
      </c>
      <c r="E88" s="301" t="inlineStr">
        <is>
          <t>DNI</t>
        </is>
      </c>
      <c r="F88" s="301" t="inlineStr">
        <is>
          <t>73362660</t>
        </is>
      </c>
      <c r="G88" s="331" t="n">
        <v>45844</v>
      </c>
      <c r="H88" s="301" t="inlineStr">
        <is>
          <t>4932</t>
        </is>
      </c>
      <c r="I88" s="332">
        <f>IFERROR(VLOOKUP(TEXT(H88,"0"),IPRESS!$A$3:$B$212,2,0),"")</f>
        <v/>
      </c>
      <c r="J88" s="301" t="inlineStr">
        <is>
          <t>4838</t>
        </is>
      </c>
      <c r="K88" s="332">
        <f>IFERROR(VLOOKUP(TEXT(O88,"0"),CONDUCTORES!$A$3:$G$100,7,0),"")</f>
        <v/>
      </c>
      <c r="L88" s="245" t="n">
        <v>18.18</v>
      </c>
      <c r="M88" s="245" t="n">
        <v>8</v>
      </c>
      <c r="N88" s="333">
        <f>IFERROR(IF(L88*M88=0,"",L88*M88),"")</f>
        <v/>
      </c>
      <c r="O88" s="280" t="n"/>
      <c r="P88" s="332">
        <f>IFERROR(VLOOKUP(TEXT(O88,"0"),CONDUCTORES!$A$3:$G$100,2,0),"")</f>
        <v/>
      </c>
      <c r="Q88" s="332">
        <f>IFERROR(VLOOKUP(TEXT(O88,"0"),CONDUCTORES!$A$3:$H$100,6,0),"")</f>
        <v/>
      </c>
      <c r="R88" s="331" t="n">
        <v>45968</v>
      </c>
      <c r="S88" s="302" t="inlineStr">
        <is>
          <t>O141</t>
        </is>
      </c>
      <c r="T88" s="301" t="n"/>
      <c r="U88" s="334" t="n"/>
      <c r="V88" s="301" t="n"/>
      <c r="W88" s="301" t="n"/>
      <c r="X88" s="301" t="n"/>
      <c r="Y88" s="280" t="n"/>
    </row>
    <row r="89" ht="15.75" customHeight="1" s="195">
      <c r="A89" s="241" t="n">
        <v>70</v>
      </c>
      <c r="B89" s="305" t="inlineStr">
        <is>
          <t>00000042</t>
        </is>
      </c>
      <c r="C89" s="241" t="inlineStr">
        <is>
          <t>REGION</t>
        </is>
      </c>
      <c r="D89" s="305" t="inlineStr">
        <is>
          <t>SEGURA REGALADO NELIDA</t>
        </is>
      </c>
      <c r="E89" s="241" t="inlineStr">
        <is>
          <t>DNI</t>
        </is>
      </c>
      <c r="F89" s="241" t="inlineStr">
        <is>
          <t>74446340</t>
        </is>
      </c>
      <c r="G89" s="336" t="n">
        <v>45854</v>
      </c>
      <c r="H89" s="241" t="inlineStr">
        <is>
          <t>4932</t>
        </is>
      </c>
      <c r="I89" s="332">
        <f>IFERROR(VLOOKUP(TEXT(H89,"0"),IPRESS!$A$3:$B$212,2,0),"")</f>
        <v/>
      </c>
      <c r="J89" s="241" t="inlineStr">
        <is>
          <t>4838</t>
        </is>
      </c>
      <c r="K89" s="332">
        <f>IFERROR(VLOOKUP(TEXT(O89,"0"),CONDUCTORES!$A$3:$G$100,7,0),"")</f>
        <v/>
      </c>
      <c r="L89" s="239" t="n">
        <v>18.18</v>
      </c>
      <c r="M89" s="239" t="n">
        <v>8</v>
      </c>
      <c r="N89" s="333">
        <f>IFERROR(IF(L89*M89=0,"",L89*M89),"")</f>
        <v/>
      </c>
      <c r="O89" s="334" t="n"/>
      <c r="P89" s="332">
        <f>IFERROR(VLOOKUP(TEXT(O89,"0"),CONDUCTORES!$A$3:$G$100,2,0),"")</f>
        <v/>
      </c>
      <c r="Q89" s="332">
        <f>IFERROR(VLOOKUP(TEXT(O89,"0"),CONDUCTORES!$A$3:$H$100,6,0),"")</f>
        <v/>
      </c>
      <c r="R89" s="336" t="n">
        <v>45968</v>
      </c>
      <c r="S89" s="305" t="inlineStr">
        <is>
          <t>Z359,O429,O234</t>
        </is>
      </c>
      <c r="T89" s="241" t="n"/>
      <c r="U89" s="280" t="n"/>
      <c r="V89" s="241" t="n"/>
      <c r="W89" s="241" t="n"/>
      <c r="X89" s="241" t="n"/>
      <c r="Y89" s="280" t="n"/>
    </row>
    <row r="90" ht="15.75" customHeight="1" s="195">
      <c r="A90" s="301" t="n">
        <v>71</v>
      </c>
      <c r="B90" s="302" t="inlineStr">
        <is>
          <t>00000043</t>
        </is>
      </c>
      <c r="C90" s="301" t="inlineStr">
        <is>
          <t>REGION</t>
        </is>
      </c>
      <c r="D90" s="302" t="inlineStr">
        <is>
          <t>OBLITAS CAMPOS VICTORIA</t>
        </is>
      </c>
      <c r="E90" s="301" t="inlineStr">
        <is>
          <t>DNI</t>
        </is>
      </c>
      <c r="F90" s="301" t="inlineStr">
        <is>
          <t>48333994</t>
        </is>
      </c>
      <c r="G90" s="331" t="n">
        <v>45855</v>
      </c>
      <c r="H90" s="301" t="inlineStr">
        <is>
          <t>4932</t>
        </is>
      </c>
      <c r="I90" s="332">
        <f>IFERROR(VLOOKUP(TEXT(H90,"0"),IPRESS!$A$3:$B$212,2,0),"")</f>
        <v/>
      </c>
      <c r="J90" s="301" t="inlineStr">
        <is>
          <t>4838</t>
        </is>
      </c>
      <c r="K90" s="332">
        <f>IFERROR(VLOOKUP(TEXT(O90,"0"),CONDUCTORES!$A$3:$G$100,7,0),"")</f>
        <v/>
      </c>
      <c r="L90" s="245" t="n">
        <v>18.18</v>
      </c>
      <c r="M90" s="245" t="n">
        <v>8</v>
      </c>
      <c r="N90" s="333">
        <f>IFERROR(IF(L90*M90=0,"",L90*M90),"")</f>
        <v/>
      </c>
      <c r="O90" s="280" t="n"/>
      <c r="P90" s="332">
        <f>IFERROR(VLOOKUP(TEXT(O90,"0"),CONDUCTORES!$A$3:$G$100,2,0),"")</f>
        <v/>
      </c>
      <c r="Q90" s="332">
        <f>IFERROR(VLOOKUP(TEXT(O90,"0"),CONDUCTORES!$A$3:$H$100,6,0),"")</f>
        <v/>
      </c>
      <c r="R90" s="331" t="n">
        <v>45968</v>
      </c>
      <c r="S90" s="302" t="inlineStr">
        <is>
          <t>N390,N10X,A419</t>
        </is>
      </c>
      <c r="T90" s="301" t="n"/>
      <c r="U90" s="334" t="n"/>
      <c r="V90" s="301" t="n"/>
      <c r="W90" s="301" t="n"/>
      <c r="X90" s="301" t="n"/>
      <c r="Y90" s="280" t="n"/>
    </row>
    <row r="91" ht="15.75" customHeight="1" s="195">
      <c r="A91" s="241" t="n">
        <v>72</v>
      </c>
      <c r="B91" s="305" t="inlineStr">
        <is>
          <t>00000044</t>
        </is>
      </c>
      <c r="C91" s="241" t="inlineStr">
        <is>
          <t>REGION</t>
        </is>
      </c>
      <c r="D91" s="305" t="inlineStr">
        <is>
          <t>LEIVA SANCHEZ MARITZA</t>
        </is>
      </c>
      <c r="E91" s="241" t="inlineStr">
        <is>
          <t>DNI</t>
        </is>
      </c>
      <c r="F91" s="241" t="inlineStr">
        <is>
          <t>62150302</t>
        </is>
      </c>
      <c r="G91" s="336" t="n">
        <v>45855</v>
      </c>
      <c r="H91" s="241" t="inlineStr">
        <is>
          <t>4932</t>
        </is>
      </c>
      <c r="I91" s="332">
        <f>IFERROR(VLOOKUP(TEXT(H91,"0"),IPRESS!$A$3:$B$212,2,0),"")</f>
        <v/>
      </c>
      <c r="J91" s="241" t="inlineStr">
        <is>
          <t>4838</t>
        </is>
      </c>
      <c r="K91" s="332">
        <f>IFERROR(VLOOKUP(TEXT(O91,"0"),CONDUCTORES!$A$3:$G$100,7,0),"")</f>
        <v/>
      </c>
      <c r="L91" s="239" t="n">
        <v>18.18</v>
      </c>
      <c r="M91" s="239" t="n">
        <v>8</v>
      </c>
      <c r="N91" s="333">
        <f>IFERROR(IF(L91*M91=0,"",L91*M91),"")</f>
        <v/>
      </c>
      <c r="O91" s="334" t="n"/>
      <c r="P91" s="332">
        <f>IFERROR(VLOOKUP(TEXT(O91,"0"),CONDUCTORES!$A$3:$G$100,2,0),"")</f>
        <v/>
      </c>
      <c r="Q91" s="332">
        <f>IFERROR(VLOOKUP(TEXT(O91,"0"),CONDUCTORES!$A$3:$H$100,6,0),"")</f>
        <v/>
      </c>
      <c r="R91" s="336" t="n">
        <v>45968</v>
      </c>
      <c r="S91" s="305" t="inlineStr">
        <is>
          <t>Z359,O600</t>
        </is>
      </c>
      <c r="T91" s="241" t="n"/>
      <c r="U91" s="280" t="n"/>
      <c r="V91" s="241" t="n"/>
      <c r="W91" s="241" t="n"/>
      <c r="X91" s="241" t="n"/>
      <c r="Y91" s="280" t="n"/>
    </row>
    <row r="92" ht="15.75" customHeight="1" s="195">
      <c r="A92" s="301" t="n">
        <v>73</v>
      </c>
      <c r="B92" s="302" t="inlineStr">
        <is>
          <t>00000045</t>
        </is>
      </c>
      <c r="C92" s="301" t="inlineStr">
        <is>
          <t>REGION</t>
        </is>
      </c>
      <c r="D92" s="302" t="inlineStr">
        <is>
          <t>RODRIGUEZ CHICANA ISRAEL DAVID</t>
        </is>
      </c>
      <c r="E92" s="301" t="inlineStr">
        <is>
          <t>DNI</t>
        </is>
      </c>
      <c r="F92" s="301" t="inlineStr">
        <is>
          <t>91102919</t>
        </is>
      </c>
      <c r="G92" s="331" t="n">
        <v>45856</v>
      </c>
      <c r="H92" s="301" t="inlineStr">
        <is>
          <t>4932</t>
        </is>
      </c>
      <c r="I92" s="332">
        <f>IFERROR(VLOOKUP(TEXT(H92,"0"),IPRESS!$A$3:$B$212,2,0),"")</f>
        <v/>
      </c>
      <c r="J92" s="301" t="inlineStr">
        <is>
          <t>4838</t>
        </is>
      </c>
      <c r="K92" s="332">
        <f>IFERROR(VLOOKUP(TEXT(O92,"0"),CONDUCTORES!$A$3:$G$100,7,0),"")</f>
        <v/>
      </c>
      <c r="L92" s="245" t="n">
        <v>18.18</v>
      </c>
      <c r="M92" s="245" t="n">
        <v>8</v>
      </c>
      <c r="N92" s="333">
        <f>IFERROR(IF(L92*M92=0,"",L92*M92),"")</f>
        <v/>
      </c>
      <c r="O92" s="280" t="n"/>
      <c r="P92" s="332">
        <f>IFERROR(VLOOKUP(TEXT(O92,"0"),CONDUCTORES!$A$3:$G$100,2,0),"")</f>
        <v/>
      </c>
      <c r="Q92" s="332">
        <f>IFERROR(VLOOKUP(TEXT(O92,"0"),CONDUCTORES!$A$3:$H$100,6,0),"")</f>
        <v/>
      </c>
      <c r="R92" s="331" t="n">
        <v>45968</v>
      </c>
      <c r="S92" s="302" t="inlineStr">
        <is>
          <t>K359</t>
        </is>
      </c>
      <c r="T92" s="301" t="n"/>
      <c r="U92" s="334" t="n"/>
      <c r="V92" s="301" t="n"/>
      <c r="W92" s="301" t="n"/>
      <c r="X92" s="301" t="n"/>
      <c r="Y92" s="280" t="n"/>
    </row>
    <row r="93" ht="15.75" customHeight="1" s="195">
      <c r="A93" s="241" t="n">
        <v>74</v>
      </c>
      <c r="B93" s="305" t="inlineStr">
        <is>
          <t>00000046</t>
        </is>
      </c>
      <c r="C93" s="241" t="inlineStr">
        <is>
          <t>REGION</t>
        </is>
      </c>
      <c r="D93" s="305" t="inlineStr">
        <is>
          <t>OLIVERA SALDAÑA WILMA YANELLI</t>
        </is>
      </c>
      <c r="E93" s="241" t="inlineStr">
        <is>
          <t>DNI</t>
        </is>
      </c>
      <c r="F93" s="241" t="inlineStr">
        <is>
          <t>63267623</t>
        </is>
      </c>
      <c r="G93" s="336" t="n">
        <v>45857</v>
      </c>
      <c r="H93" s="241" t="inlineStr">
        <is>
          <t>4932</t>
        </is>
      </c>
      <c r="I93" s="332">
        <f>IFERROR(VLOOKUP(TEXT(H93,"0"),IPRESS!$A$3:$B$212,2,0),"")</f>
        <v/>
      </c>
      <c r="J93" s="241" t="inlineStr">
        <is>
          <t>4838</t>
        </is>
      </c>
      <c r="K93" s="332">
        <f>IFERROR(VLOOKUP(TEXT(O93,"0"),CONDUCTORES!$A$3:$G$100,7,0),"")</f>
        <v/>
      </c>
      <c r="L93" s="239" t="n">
        <v>18.18</v>
      </c>
      <c r="M93" s="239" t="n">
        <v>8</v>
      </c>
      <c r="N93" s="333">
        <f>IFERROR(IF(L93*M93=0,"",L93*M93),"")</f>
        <v/>
      </c>
      <c r="O93" s="334" t="n"/>
      <c r="P93" s="332">
        <f>IFERROR(VLOOKUP(TEXT(O93,"0"),CONDUCTORES!$A$3:$G$100,2,0),"")</f>
        <v/>
      </c>
      <c r="Q93" s="332">
        <f>IFERROR(VLOOKUP(TEXT(O93,"0"),CONDUCTORES!$A$3:$H$100,6,0),"")</f>
        <v/>
      </c>
      <c r="R93" s="336" t="n">
        <v>45968</v>
      </c>
      <c r="S93" s="305" t="inlineStr">
        <is>
          <t>K37X</t>
        </is>
      </c>
      <c r="T93" s="241" t="n"/>
      <c r="U93" s="280" t="n"/>
      <c r="V93" s="241" t="n"/>
      <c r="W93" s="241" t="n"/>
      <c r="X93" s="241" t="n"/>
      <c r="Y93" s="280" t="n"/>
    </row>
    <row r="94" ht="15.75" customHeight="1" s="195">
      <c r="A94" s="301" t="n">
        <v>75</v>
      </c>
      <c r="B94" s="302" t="inlineStr">
        <is>
          <t>00000047</t>
        </is>
      </c>
      <c r="C94" s="301" t="inlineStr">
        <is>
          <t>REGION</t>
        </is>
      </c>
      <c r="D94" s="302" t="inlineStr">
        <is>
          <t>VASQUEZ DELGADO ANALI</t>
        </is>
      </c>
      <c r="E94" s="301" t="inlineStr">
        <is>
          <t>DNI</t>
        </is>
      </c>
      <c r="F94" s="301" t="inlineStr">
        <is>
          <t>61678961</t>
        </is>
      </c>
      <c r="G94" s="331" t="n">
        <v>45858</v>
      </c>
      <c r="H94" s="301" t="inlineStr">
        <is>
          <t>4932</t>
        </is>
      </c>
      <c r="I94" s="332">
        <f>IFERROR(VLOOKUP(TEXT(H94,"0"),IPRESS!$A$3:$B$212,2,0),"")</f>
        <v/>
      </c>
      <c r="J94" s="301" t="inlineStr">
        <is>
          <t>4838</t>
        </is>
      </c>
      <c r="K94" s="332">
        <f>IFERROR(VLOOKUP(TEXT(O94,"0"),CONDUCTORES!$A$3:$G$100,7,0),"")</f>
        <v/>
      </c>
      <c r="L94" s="245" t="n">
        <v>18.18</v>
      </c>
      <c r="M94" s="245" t="n">
        <v>10</v>
      </c>
      <c r="N94" s="333">
        <f>IFERROR(IF(L94*M94=0,"",L94*M94),"")</f>
        <v/>
      </c>
      <c r="O94" s="280" t="n"/>
      <c r="P94" s="332">
        <f>IFERROR(VLOOKUP(TEXT(O94,"0"),CONDUCTORES!$A$3:$G$100,2,0),"")</f>
        <v/>
      </c>
      <c r="Q94" s="332">
        <f>IFERROR(VLOOKUP(TEXT(O94,"0"),CONDUCTORES!$A$3:$H$100,6,0),"")</f>
        <v/>
      </c>
      <c r="R94" s="331" t="n">
        <v>45968</v>
      </c>
      <c r="S94" s="302" t="inlineStr">
        <is>
          <t>Z359,O331</t>
        </is>
      </c>
      <c r="T94" s="301" t="n"/>
      <c r="U94" s="334" t="n"/>
      <c r="V94" s="301" t="n"/>
      <c r="W94" s="301" t="n"/>
      <c r="X94" s="301" t="n"/>
      <c r="Y94" s="280" t="n"/>
    </row>
    <row r="95" ht="15.75" customHeight="1" s="195">
      <c r="A95" s="241" t="n">
        <v>76</v>
      </c>
      <c r="B95" s="305" t="inlineStr">
        <is>
          <t>00000048</t>
        </is>
      </c>
      <c r="C95" s="241" t="inlineStr">
        <is>
          <t>REGION</t>
        </is>
      </c>
      <c r="D95" s="305" t="inlineStr">
        <is>
          <t>CABRERA VASQUEZ ROSMERY LIZET</t>
        </is>
      </c>
      <c r="E95" s="241" t="inlineStr">
        <is>
          <t>DNI</t>
        </is>
      </c>
      <c r="F95" s="241" t="inlineStr">
        <is>
          <t>60318114</t>
        </is>
      </c>
      <c r="G95" s="336" t="n">
        <v>45859</v>
      </c>
      <c r="H95" s="241" t="inlineStr">
        <is>
          <t>4932</t>
        </is>
      </c>
      <c r="I95" s="332">
        <f>IFERROR(VLOOKUP(TEXT(H95,"0"),IPRESS!$A$3:$B$212,2,0),"")</f>
        <v/>
      </c>
      <c r="J95" s="241" t="inlineStr">
        <is>
          <t>4838</t>
        </is>
      </c>
      <c r="K95" s="332">
        <f>IFERROR(VLOOKUP(TEXT(O95,"0"),CONDUCTORES!$A$3:$G$100,7,0),"")</f>
        <v/>
      </c>
      <c r="L95" s="239" t="n">
        <v>18.18</v>
      </c>
      <c r="M95" s="239" t="n">
        <v>8</v>
      </c>
      <c r="N95" s="333">
        <f>IFERROR(IF(L95*M95=0,"",L95*M95),"")</f>
        <v/>
      </c>
      <c r="O95" s="334" t="n"/>
      <c r="P95" s="332">
        <f>IFERROR(VLOOKUP(TEXT(O95,"0"),CONDUCTORES!$A$3:$G$100,2,0),"")</f>
        <v/>
      </c>
      <c r="Q95" s="332">
        <f>IFERROR(VLOOKUP(TEXT(O95,"0"),CONDUCTORES!$A$3:$H$100,6,0),"")</f>
        <v/>
      </c>
      <c r="R95" s="336" t="n">
        <v>45968</v>
      </c>
      <c r="S95" s="305" t="inlineStr">
        <is>
          <t>Z359</t>
        </is>
      </c>
      <c r="T95" s="241" t="n"/>
      <c r="U95" s="280" t="n"/>
      <c r="V95" s="241" t="n"/>
      <c r="W95" s="241" t="n"/>
      <c r="X95" s="241" t="n"/>
      <c r="Y95" s="280" t="n"/>
    </row>
    <row r="96" ht="15.75" customHeight="1" s="195">
      <c r="A96" s="301" t="n">
        <v>77</v>
      </c>
      <c r="B96" s="302" t="inlineStr">
        <is>
          <t>00000049</t>
        </is>
      </c>
      <c r="C96" s="301" t="inlineStr">
        <is>
          <t>REGION</t>
        </is>
      </c>
      <c r="D96" s="302" t="inlineStr">
        <is>
          <t>CHAMAYA VASQUEZ LUZ MILAGRITOS</t>
        </is>
      </c>
      <c r="E96" s="301" t="inlineStr">
        <is>
          <t>DNI</t>
        </is>
      </c>
      <c r="F96" s="301" t="inlineStr">
        <is>
          <t>77440468</t>
        </is>
      </c>
      <c r="G96" s="331" t="n">
        <v>45862</v>
      </c>
      <c r="H96" s="301" t="inlineStr">
        <is>
          <t>4932</t>
        </is>
      </c>
      <c r="I96" s="332">
        <f>IFERROR(VLOOKUP(TEXT(H96,"0"),IPRESS!$A$3:$B$212,2,0),"")</f>
        <v/>
      </c>
      <c r="J96" s="301" t="inlineStr">
        <is>
          <t>4838</t>
        </is>
      </c>
      <c r="K96" s="332">
        <f>IFERROR(VLOOKUP(TEXT(O96,"0"),CONDUCTORES!$A$3:$G$100,7,0),"")</f>
        <v/>
      </c>
      <c r="L96" s="245" t="n">
        <v>18.18</v>
      </c>
      <c r="M96" s="245" t="n">
        <v>8</v>
      </c>
      <c r="N96" s="333">
        <f>IFERROR(IF(L96*M96=0,"",L96*M96),"")</f>
        <v/>
      </c>
      <c r="O96" s="280" t="n"/>
      <c r="P96" s="332">
        <f>IFERROR(VLOOKUP(TEXT(O96,"0"),CONDUCTORES!$A$3:$G$100,2,0),"")</f>
        <v/>
      </c>
      <c r="Q96" s="332">
        <f>IFERROR(VLOOKUP(TEXT(O96,"0"),CONDUCTORES!$A$3:$H$100,6,0),"")</f>
        <v/>
      </c>
      <c r="R96" s="331" t="n">
        <v>45968</v>
      </c>
      <c r="S96" s="302" t="inlineStr">
        <is>
          <t>O721,O711</t>
        </is>
      </c>
      <c r="T96" s="301" t="n"/>
      <c r="U96" s="334" t="n"/>
      <c r="V96" s="301" t="n"/>
      <c r="W96" s="301" t="n"/>
      <c r="X96" s="301" t="n"/>
      <c r="Y96" s="280" t="n"/>
    </row>
    <row r="97" ht="15.75" customHeight="1" s="195">
      <c r="A97" s="241" t="n">
        <v>78</v>
      </c>
      <c r="B97" s="305" t="inlineStr">
        <is>
          <t>00000051</t>
        </is>
      </c>
      <c r="C97" s="241" t="inlineStr">
        <is>
          <t>REGION</t>
        </is>
      </c>
      <c r="D97" s="305" t="inlineStr">
        <is>
          <t>VALLE DE PILCO AMANDA</t>
        </is>
      </c>
      <c r="E97" s="241" t="inlineStr">
        <is>
          <t>DNI</t>
        </is>
      </c>
      <c r="F97" s="241" t="inlineStr">
        <is>
          <t>33731681</t>
        </is>
      </c>
      <c r="G97" s="336" t="n">
        <v>45861</v>
      </c>
      <c r="H97" s="241" t="inlineStr">
        <is>
          <t>4932</t>
        </is>
      </c>
      <c r="I97" s="332">
        <f>IFERROR(VLOOKUP(TEXT(H97,"0"),IPRESS!$A$3:$B$212,2,0),"")</f>
        <v/>
      </c>
      <c r="J97" s="241" t="inlineStr">
        <is>
          <t>4838</t>
        </is>
      </c>
      <c r="K97" s="332">
        <f>IFERROR(VLOOKUP(TEXT(O97,"0"),CONDUCTORES!$A$3:$G$100,7,0),"")</f>
        <v/>
      </c>
      <c r="L97" s="239" t="n">
        <v>18.18</v>
      </c>
      <c r="M97" s="239" t="n">
        <v>8</v>
      </c>
      <c r="N97" s="333">
        <f>IFERROR(IF(L97*M97=0,"",L97*M97),"")</f>
        <v/>
      </c>
      <c r="O97" s="334" t="n"/>
      <c r="P97" s="332">
        <f>IFERROR(VLOOKUP(TEXT(O97,"0"),CONDUCTORES!$A$3:$G$100,2,0),"")</f>
        <v/>
      </c>
      <c r="Q97" s="332">
        <f>IFERROR(VLOOKUP(TEXT(O97,"0"),CONDUCTORES!$A$3:$H$100,6,0),"")</f>
        <v/>
      </c>
      <c r="R97" s="336" t="n">
        <v>45968</v>
      </c>
      <c r="S97" s="305" t="inlineStr">
        <is>
          <t>J960,I500</t>
        </is>
      </c>
      <c r="T97" s="241" t="n"/>
      <c r="U97" s="280" t="n"/>
      <c r="V97" s="241" t="n"/>
      <c r="W97" s="241" t="n"/>
      <c r="X97" s="241" t="n"/>
      <c r="Y97" s="280" t="n"/>
    </row>
    <row r="98" ht="15.75" customHeight="1" s="195">
      <c r="A98" s="301" t="n">
        <v>79</v>
      </c>
      <c r="B98" s="302" t="inlineStr">
        <is>
          <t>00000052</t>
        </is>
      </c>
      <c r="C98" s="301" t="inlineStr">
        <is>
          <t>REGION</t>
        </is>
      </c>
      <c r="D98" s="302" t="inlineStr">
        <is>
          <t>CORONEL CIEZA JOSE PRESENTACION</t>
        </is>
      </c>
      <c r="E98" s="301" t="inlineStr">
        <is>
          <t>DNI</t>
        </is>
      </c>
      <c r="F98" s="301" t="inlineStr">
        <is>
          <t>27267623</t>
        </is>
      </c>
      <c r="G98" s="331" t="n">
        <v>45864</v>
      </c>
      <c r="H98" s="301" t="inlineStr">
        <is>
          <t>4932</t>
        </is>
      </c>
      <c r="I98" s="332">
        <f>IFERROR(VLOOKUP(TEXT(H98,"0"),IPRESS!$A$3:$B$212,2,0),"")</f>
        <v/>
      </c>
      <c r="J98" s="301" t="inlineStr">
        <is>
          <t>4838</t>
        </is>
      </c>
      <c r="K98" s="332">
        <f>IFERROR(VLOOKUP(TEXT(O98,"0"),CONDUCTORES!$A$3:$G$100,7,0),"")</f>
        <v/>
      </c>
      <c r="L98" s="245" t="n">
        <v>18.18</v>
      </c>
      <c r="M98" s="245" t="n">
        <v>8</v>
      </c>
      <c r="N98" s="333">
        <f>IFERROR(IF(L98*M98=0,"",L98*M98),"")</f>
        <v/>
      </c>
      <c r="O98" s="280" t="n"/>
      <c r="P98" s="332">
        <f>IFERROR(VLOOKUP(TEXT(O98,"0"),CONDUCTORES!$A$3:$G$100,2,0),"")</f>
        <v/>
      </c>
      <c r="Q98" s="332">
        <f>IFERROR(VLOOKUP(TEXT(O98,"0"),CONDUCTORES!$A$3:$H$100,6,0),"")</f>
        <v/>
      </c>
      <c r="R98" s="331" t="n">
        <v>45968</v>
      </c>
      <c r="S98" s="302" t="inlineStr">
        <is>
          <t>K85X</t>
        </is>
      </c>
      <c r="T98" s="301" t="n"/>
      <c r="U98" s="334" t="n"/>
      <c r="V98" s="301" t="n"/>
      <c r="W98" s="301" t="n"/>
      <c r="X98" s="301" t="n"/>
      <c r="Y98" s="280" t="n"/>
    </row>
    <row r="99" ht="15.75" customHeight="1" s="195">
      <c r="A99" s="241" t="n">
        <v>80</v>
      </c>
      <c r="B99" s="305" t="inlineStr">
        <is>
          <t>00000053</t>
        </is>
      </c>
      <c r="C99" s="241" t="inlineStr">
        <is>
          <t>REGION</t>
        </is>
      </c>
      <c r="D99" s="305" t="inlineStr">
        <is>
          <t>MONTENEGRO AGUILAR LUZ EMERITA</t>
        </is>
      </c>
      <c r="E99" s="241" t="inlineStr">
        <is>
          <t>DNI</t>
        </is>
      </c>
      <c r="F99" s="241" t="inlineStr">
        <is>
          <t>44467803</t>
        </is>
      </c>
      <c r="G99" s="336" t="n">
        <v>45868</v>
      </c>
      <c r="H99" s="241" t="inlineStr">
        <is>
          <t>4932</t>
        </is>
      </c>
      <c r="I99" s="332">
        <f>IFERROR(VLOOKUP(TEXT(H99,"0"),IPRESS!$A$3:$B$212,2,0),"")</f>
        <v/>
      </c>
      <c r="J99" s="241" t="inlineStr">
        <is>
          <t>4838</t>
        </is>
      </c>
      <c r="K99" s="332">
        <f>IFERROR(VLOOKUP(TEXT(O99,"0"),CONDUCTORES!$A$3:$G$100,7,0),"")</f>
        <v/>
      </c>
      <c r="L99" s="239" t="n">
        <v>18.18</v>
      </c>
      <c r="M99" s="239" t="n">
        <v>8</v>
      </c>
      <c r="N99" s="333">
        <f>IFERROR(IF(L99*M99=0,"",L99*M99),"")</f>
        <v/>
      </c>
      <c r="O99" s="334" t="n"/>
      <c r="P99" s="332">
        <f>IFERROR(VLOOKUP(TEXT(O99,"0"),CONDUCTORES!$A$3:$G$100,2,0),"")</f>
        <v/>
      </c>
      <c r="Q99" s="332">
        <f>IFERROR(VLOOKUP(TEXT(O99,"0"),CONDUCTORES!$A$3:$H$100,6,0),"")</f>
        <v/>
      </c>
      <c r="R99" s="336" t="n">
        <v>45968</v>
      </c>
      <c r="S99" s="305" t="inlineStr">
        <is>
          <t>Z359,O149</t>
        </is>
      </c>
      <c r="T99" s="241" t="n"/>
      <c r="U99" s="280" t="n"/>
      <c r="V99" s="241" t="n"/>
      <c r="W99" s="241" t="n"/>
      <c r="X99" s="241" t="n"/>
      <c r="Y99" s="280" t="n"/>
    </row>
    <row r="100" ht="15.75" customHeight="1" s="195">
      <c r="A100" s="301" t="n">
        <v>81</v>
      </c>
      <c r="B100" s="302" t="inlineStr">
        <is>
          <t>00000054</t>
        </is>
      </c>
      <c r="C100" s="301" t="inlineStr">
        <is>
          <t>REGION</t>
        </is>
      </c>
      <c r="D100" s="302" t="inlineStr">
        <is>
          <t>FUSTAMANTE MONTENEGRO HAYLINK XIMENA</t>
        </is>
      </c>
      <c r="E100" s="301" t="inlineStr">
        <is>
          <t>DNI</t>
        </is>
      </c>
      <c r="F100" s="301" t="inlineStr">
        <is>
          <t>92858891</t>
        </is>
      </c>
      <c r="G100" s="331" t="n">
        <v>45869</v>
      </c>
      <c r="H100" s="301" t="inlineStr">
        <is>
          <t>4932</t>
        </is>
      </c>
      <c r="I100" s="332">
        <f>IFERROR(VLOOKUP(TEXT(H100,"0"),IPRESS!$A$3:$B$212,2,0),"")</f>
        <v/>
      </c>
      <c r="J100" s="301" t="inlineStr">
        <is>
          <t>4838</t>
        </is>
      </c>
      <c r="K100" s="332">
        <f>IFERROR(VLOOKUP(TEXT(O100,"0"),CONDUCTORES!$A$3:$G$100,7,0),"")</f>
        <v/>
      </c>
      <c r="L100" s="245" t="n">
        <v>18.18</v>
      </c>
      <c r="M100" s="245" t="n">
        <v>8</v>
      </c>
      <c r="N100" s="333">
        <f>IFERROR(IF(L100*M100=0,"",L100*M100),"")</f>
        <v/>
      </c>
      <c r="O100" s="280" t="n"/>
      <c r="P100" s="332">
        <f>IFERROR(VLOOKUP(TEXT(O100,"0"),CONDUCTORES!$A$3:$G$100,2,0),"")</f>
        <v/>
      </c>
      <c r="Q100" s="332">
        <f>IFERROR(VLOOKUP(TEXT(O100,"0"),CONDUCTORES!$A$3:$H$100,6,0),"")</f>
        <v/>
      </c>
      <c r="R100" s="331" t="n">
        <v>45968</v>
      </c>
      <c r="S100" s="302" t="inlineStr">
        <is>
          <t>T316</t>
        </is>
      </c>
      <c r="T100" s="301" t="n"/>
      <c r="U100" s="334" t="n"/>
      <c r="V100" s="301" t="n"/>
      <c r="W100" s="301" t="n"/>
      <c r="X100" s="301" t="n"/>
      <c r="Y100" s="280" t="n"/>
    </row>
    <row r="101" ht="15.75" customHeight="1" s="195">
      <c r="A101" s="337" t="n">
        <v>82</v>
      </c>
      <c r="B101" s="338" t="inlineStr">
        <is>
          <t>00000041</t>
        </is>
      </c>
      <c r="C101" s="337" t="inlineStr">
        <is>
          <t>REGION</t>
        </is>
      </c>
      <c r="D101" s="338" t="inlineStr">
        <is>
          <t>VELA OCAMPO FLORA</t>
        </is>
      </c>
      <c r="E101" s="337" t="inlineStr">
        <is>
          <t>DNI</t>
        </is>
      </c>
      <c r="F101" s="337" t="inlineStr">
        <is>
          <t>80469195</t>
        </is>
      </c>
      <c r="G101" s="339" t="n">
        <v>45854</v>
      </c>
      <c r="H101" s="337" t="inlineStr">
        <is>
          <t>4932</t>
        </is>
      </c>
      <c r="I101" s="332">
        <f>IFERROR(VLOOKUP(TEXT(H101,"0"),IPRESS!$A$3:$B$212,2,0),"")</f>
        <v/>
      </c>
      <c r="J101" s="337" t="inlineStr">
        <is>
          <t>4838</t>
        </is>
      </c>
      <c r="K101" s="332">
        <f>IFERROR(VLOOKUP(TEXT(O101,"0"),CONDUCTORES!$A$3:$G$100,7,0),"")</f>
        <v/>
      </c>
      <c r="L101" s="340" t="n">
        <v>17.95</v>
      </c>
      <c r="M101" s="340" t="n">
        <v>15</v>
      </c>
      <c r="N101" s="333">
        <f>IFERROR(IF(L101*M101=0,"",L101*M101),"")</f>
        <v/>
      </c>
      <c r="O101" s="334" t="n"/>
      <c r="P101" s="332">
        <f>IFERROR(VLOOKUP(TEXT(O101,"0"),CONDUCTORES!$A$3:$G$100,2,0),"")</f>
        <v/>
      </c>
      <c r="Q101" s="332">
        <f>IFERROR(VLOOKUP(TEXT(O101,"0"),CONDUCTORES!$A$3:$H$100,6,0),"")</f>
        <v/>
      </c>
      <c r="R101" s="341" t="n"/>
      <c r="S101" s="338" t="inlineStr">
        <is>
          <t>J960,J159</t>
        </is>
      </c>
      <c r="T101" s="337" t="inlineStr">
        <is>
          <t>DEVOLVER COMBUSTIBLE AL P.S. BUENOS AIRES</t>
        </is>
      </c>
      <c r="U101" s="341" t="n"/>
      <c r="V101" s="337" t="n"/>
      <c r="W101" s="337" t="n"/>
      <c r="X101" s="337" t="n"/>
      <c r="Y101" s="280" t="n"/>
    </row>
    <row r="102" ht="15.75" customHeight="1" s="195">
      <c r="A102" s="337" t="n">
        <v>82</v>
      </c>
      <c r="B102" s="338" t="inlineStr">
        <is>
          <t>00000050</t>
        </is>
      </c>
      <c r="C102" s="337" t="inlineStr">
        <is>
          <t>REGION</t>
        </is>
      </c>
      <c r="D102" s="338" t="inlineStr">
        <is>
          <t>BUSTAMANTE HERRERA IRVING MAYCOL</t>
        </is>
      </c>
      <c r="E102" s="337" t="inlineStr">
        <is>
          <t>DNI</t>
        </is>
      </c>
      <c r="F102" s="337" t="inlineStr">
        <is>
          <t>63124546</t>
        </is>
      </c>
      <c r="G102" s="339" t="n">
        <v>45863</v>
      </c>
      <c r="H102" s="337" t="inlineStr">
        <is>
          <t>4932</t>
        </is>
      </c>
      <c r="I102" s="332">
        <f>IFERROR(VLOOKUP(TEXT(H102,"0"),IPRESS!$A$3:$B$212,2,0),"")</f>
        <v/>
      </c>
      <c r="J102" s="337" t="inlineStr">
        <is>
          <t>4838</t>
        </is>
      </c>
      <c r="K102" s="332">
        <f>IFERROR(VLOOKUP(TEXT(O102,"0"),CONDUCTORES!$A$3:$G$100,7,0),"")</f>
        <v/>
      </c>
      <c r="L102" s="340" t="n">
        <v>17.95</v>
      </c>
      <c r="M102" s="340" t="n">
        <v>15</v>
      </c>
      <c r="N102" s="333">
        <f>IFERROR(IF(L102*M102=0,"",L102*M102),"")</f>
        <v/>
      </c>
      <c r="O102" s="280" t="n"/>
      <c r="P102" s="332">
        <f>IFERROR(VLOOKUP(TEXT(O102,"0"),CONDUCTORES!$A$3:$G$100,2,0),"")</f>
        <v/>
      </c>
      <c r="Q102" s="332">
        <f>IFERROR(VLOOKUP(TEXT(O102,"0"),CONDUCTORES!$A$3:$H$100,6,0),"")</f>
        <v/>
      </c>
      <c r="R102" s="341" t="n"/>
      <c r="S102" s="338" t="inlineStr">
        <is>
          <t>K37X</t>
        </is>
      </c>
      <c r="T102" s="337" t="inlineStr">
        <is>
          <t>DEVOLVER COMBUSTIBLE AL P.S. BUENOS AIRES</t>
        </is>
      </c>
      <c r="U102" s="341" t="n"/>
      <c r="V102" s="337" t="n"/>
      <c r="W102" s="337" t="n"/>
      <c r="X102" s="337" t="n"/>
      <c r="Y102" s="280" t="n"/>
    </row>
    <row r="103" ht="15.75" customHeight="1" s="195">
      <c r="A103" s="241" t="n">
        <v>83</v>
      </c>
      <c r="B103" s="305" t="inlineStr">
        <is>
          <t>00000004</t>
        </is>
      </c>
      <c r="C103" s="241" t="inlineStr">
        <is>
          <t>REGION</t>
        </is>
      </c>
      <c r="D103" s="305" t="inlineStr">
        <is>
          <t>TRUJILLO CUBAS MARDELI</t>
        </is>
      </c>
      <c r="E103" s="241" t="inlineStr">
        <is>
          <t>DNI</t>
        </is>
      </c>
      <c r="F103" s="241" t="inlineStr">
        <is>
          <t>60297603</t>
        </is>
      </c>
      <c r="G103" s="336" t="n">
        <v>45856</v>
      </c>
      <c r="H103" s="241" t="inlineStr">
        <is>
          <t>4888</t>
        </is>
      </c>
      <c r="I103" s="332">
        <f>IFERROR(VLOOKUP(TEXT(H103,"0"),IPRESS!$A$3:$B$212,2,0),"")</f>
        <v/>
      </c>
      <c r="J103" s="241" t="inlineStr">
        <is>
          <t>4838</t>
        </is>
      </c>
      <c r="K103" s="332">
        <f>IFERROR(VLOOKUP(TEXT(O103,"0"),CONDUCTORES!$A$3:$G$100,7,0),"")</f>
        <v/>
      </c>
      <c r="L103" s="239" t="n">
        <v>18.18</v>
      </c>
      <c r="M103" s="239" t="n">
        <v>10</v>
      </c>
      <c r="N103" s="333">
        <f>IFERROR(IF(L103*M103=0,"",L103*M103),"")</f>
        <v/>
      </c>
      <c r="O103" s="334" t="n"/>
      <c r="P103" s="332">
        <f>IFERROR(VLOOKUP(TEXT(O103,"0"),CONDUCTORES!$A$3:$G$100,2,0),"")</f>
        <v/>
      </c>
      <c r="Q103" s="332">
        <f>IFERROR(VLOOKUP(TEXT(O103,"0"),CONDUCTORES!$A$3:$H$100,6,0),"")</f>
        <v/>
      </c>
      <c r="R103" s="336" t="n">
        <v>45939</v>
      </c>
      <c r="S103" s="305" t="inlineStr">
        <is>
          <t>T539</t>
        </is>
      </c>
      <c r="T103" s="241" t="n"/>
      <c r="U103" s="280" t="n"/>
      <c r="V103" s="241" t="n"/>
      <c r="W103" s="241" t="n"/>
      <c r="X103" s="241" t="n"/>
      <c r="Y103" s="280" t="n"/>
    </row>
    <row r="104" ht="15.75" customHeight="1" s="195">
      <c r="A104" s="301" t="n">
        <v>84</v>
      </c>
      <c r="B104" s="302" t="inlineStr">
        <is>
          <t>00000014</t>
        </is>
      </c>
      <c r="C104" s="301" t="inlineStr">
        <is>
          <t>REGION</t>
        </is>
      </c>
      <c r="D104" s="302" t="inlineStr">
        <is>
          <t>VARGAS LA TORRE JUSTO GERMAN</t>
        </is>
      </c>
      <c r="E104" s="301" t="inlineStr">
        <is>
          <t>DNI</t>
        </is>
      </c>
      <c r="F104" s="301" t="inlineStr">
        <is>
          <t>33807669</t>
        </is>
      </c>
      <c r="G104" s="331" t="n">
        <v>45839</v>
      </c>
      <c r="H104" s="301" t="inlineStr">
        <is>
          <t>4903</t>
        </is>
      </c>
      <c r="I104" s="332">
        <f>IFERROR(VLOOKUP(TEXT(H104,"0"),IPRESS!$A$3:$B$212,2,0),"")</f>
        <v/>
      </c>
      <c r="J104" s="301" t="inlineStr">
        <is>
          <t>4838</t>
        </is>
      </c>
      <c r="K104" s="332">
        <f>IFERROR(VLOOKUP(TEXT(O104,"0"),CONDUCTORES!$A$3:$G$100,7,0),"")</f>
        <v/>
      </c>
      <c r="L104" s="245" t="n">
        <v>18.18</v>
      </c>
      <c r="M104" s="245" t="n">
        <v>5</v>
      </c>
      <c r="N104" s="333">
        <f>IFERROR(IF(L104*M104=0,"",L104*M104),"")</f>
        <v/>
      </c>
      <c r="O104" s="280" t="n"/>
      <c r="P104" s="332">
        <f>IFERROR(VLOOKUP(TEXT(O104,"0"),CONDUCTORES!$A$3:$G$100,2,0),"")</f>
        <v/>
      </c>
      <c r="Q104" s="332">
        <f>IFERROR(VLOOKUP(TEXT(O104,"0"),CONDUCTORES!$A$3:$H$100,6,0),"")</f>
        <v/>
      </c>
      <c r="R104" s="331" t="n">
        <v>45939</v>
      </c>
      <c r="S104" s="302" t="inlineStr">
        <is>
          <t>N419</t>
        </is>
      </c>
      <c r="T104" s="301" t="n"/>
      <c r="U104" s="334" t="n"/>
      <c r="V104" s="301" t="n"/>
      <c r="W104" s="301" t="n"/>
      <c r="X104" s="301" t="n"/>
      <c r="Y104" s="280" t="n"/>
    </row>
    <row r="105" ht="15.75" customHeight="1" s="195">
      <c r="A105" s="241" t="n">
        <v>85</v>
      </c>
      <c r="B105" s="305" t="inlineStr">
        <is>
          <t>00000015</t>
        </is>
      </c>
      <c r="C105" s="241" t="inlineStr">
        <is>
          <t>REGION</t>
        </is>
      </c>
      <c r="D105" s="305" t="inlineStr">
        <is>
          <t>OLASCUAGA VELASQUEZ SANTOS MADAY</t>
        </is>
      </c>
      <c r="E105" s="241" t="inlineStr">
        <is>
          <t>DNI</t>
        </is>
      </c>
      <c r="F105" s="241" t="inlineStr">
        <is>
          <t>48027501</t>
        </is>
      </c>
      <c r="G105" s="336" t="n">
        <v>45840</v>
      </c>
      <c r="H105" s="241" t="inlineStr">
        <is>
          <t>4903</t>
        </is>
      </c>
      <c r="I105" s="332">
        <f>IFERROR(VLOOKUP(TEXT(H105,"0"),IPRESS!$A$3:$B$212,2,0),"")</f>
        <v/>
      </c>
      <c r="J105" s="241" t="inlineStr">
        <is>
          <t>4838</t>
        </is>
      </c>
      <c r="K105" s="332">
        <f>IFERROR(VLOOKUP(TEXT(O105,"0"),CONDUCTORES!$A$3:$G$100,7,0),"")</f>
        <v/>
      </c>
      <c r="L105" s="239" t="n">
        <v>18.18</v>
      </c>
      <c r="M105" s="239" t="n">
        <v>5</v>
      </c>
      <c r="N105" s="333">
        <f>IFERROR(IF(L105*M105=0,"",L105*M105),"")</f>
        <v/>
      </c>
      <c r="O105" s="334" t="n"/>
      <c r="P105" s="332">
        <f>IFERROR(VLOOKUP(TEXT(O105,"0"),CONDUCTORES!$A$3:$G$100,2,0),"")</f>
        <v/>
      </c>
      <c r="Q105" s="332">
        <f>IFERROR(VLOOKUP(TEXT(O105,"0"),CONDUCTORES!$A$3:$H$100,6,0),"")</f>
        <v/>
      </c>
      <c r="R105" s="336" t="n">
        <v>45939</v>
      </c>
      <c r="S105" s="305" t="inlineStr">
        <is>
          <t>O200</t>
        </is>
      </c>
      <c r="T105" s="241" t="n"/>
      <c r="U105" s="280" t="n"/>
      <c r="V105" s="241" t="n"/>
      <c r="W105" s="241" t="n"/>
      <c r="X105" s="241" t="n"/>
      <c r="Y105" s="280" t="n"/>
    </row>
    <row r="106" ht="15.75" customHeight="1" s="195">
      <c r="A106" s="301" t="n">
        <v>86</v>
      </c>
      <c r="B106" s="302" t="inlineStr">
        <is>
          <t>00000016</t>
        </is>
      </c>
      <c r="C106" s="301" t="inlineStr">
        <is>
          <t>REGION</t>
        </is>
      </c>
      <c r="D106" s="302" t="inlineStr">
        <is>
          <t>DELGADO GARCIA SANTOS ANITA</t>
        </is>
      </c>
      <c r="E106" s="301" t="inlineStr">
        <is>
          <t>DNI</t>
        </is>
      </c>
      <c r="F106" s="301" t="inlineStr">
        <is>
          <t>47809754</t>
        </is>
      </c>
      <c r="G106" s="331" t="n">
        <v>45842</v>
      </c>
      <c r="H106" s="301" t="inlineStr">
        <is>
          <t>4903</t>
        </is>
      </c>
      <c r="I106" s="332">
        <f>IFERROR(VLOOKUP(TEXT(H106,"0"),IPRESS!$A$3:$B$212,2,0),"")</f>
        <v/>
      </c>
      <c r="J106" s="301" t="inlineStr">
        <is>
          <t>4838</t>
        </is>
      </c>
      <c r="K106" s="332">
        <f>IFERROR(VLOOKUP(TEXT(O106,"0"),CONDUCTORES!$A$3:$G$100,7,0),"")</f>
        <v/>
      </c>
      <c r="L106" s="245" t="n">
        <v>18.18</v>
      </c>
      <c r="M106" s="245" t="n">
        <v>5</v>
      </c>
      <c r="N106" s="333">
        <f>IFERROR(IF(L106*M106=0,"",L106*M106),"")</f>
        <v/>
      </c>
      <c r="O106" s="280" t="n"/>
      <c r="P106" s="332">
        <f>IFERROR(VLOOKUP(TEXT(O106,"0"),CONDUCTORES!$A$3:$G$100,2,0),"")</f>
        <v/>
      </c>
      <c r="Q106" s="332">
        <f>IFERROR(VLOOKUP(TEXT(O106,"0"),CONDUCTORES!$A$3:$H$100,6,0),"")</f>
        <v/>
      </c>
      <c r="R106" s="331" t="n">
        <v>45939</v>
      </c>
      <c r="S106" s="302" t="inlineStr">
        <is>
          <t>O200</t>
        </is>
      </c>
      <c r="T106" s="301" t="n"/>
      <c r="U106" s="334" t="n"/>
      <c r="V106" s="301" t="n"/>
      <c r="W106" s="301" t="n"/>
      <c r="X106" s="301" t="n"/>
      <c r="Y106" s="280" t="n"/>
    </row>
    <row r="107" ht="15.75" customHeight="1" s="195">
      <c r="A107" s="241" t="n">
        <v>87</v>
      </c>
      <c r="B107" s="305" t="inlineStr">
        <is>
          <t>00000017</t>
        </is>
      </c>
      <c r="C107" s="241" t="inlineStr">
        <is>
          <t>REGION</t>
        </is>
      </c>
      <c r="D107" s="305" t="inlineStr">
        <is>
          <t>MICHA SANCHEZ ALBERTO</t>
        </is>
      </c>
      <c r="E107" s="241" t="inlineStr">
        <is>
          <t>DNI</t>
        </is>
      </c>
      <c r="F107" s="241" t="inlineStr">
        <is>
          <t>43886502</t>
        </is>
      </c>
      <c r="G107" s="336" t="n">
        <v>45842</v>
      </c>
      <c r="H107" s="241" t="inlineStr">
        <is>
          <t>4903</t>
        </is>
      </c>
      <c r="I107" s="332">
        <f>IFERROR(VLOOKUP(TEXT(H107,"0"),IPRESS!$A$3:$B$212,2,0),"")</f>
        <v/>
      </c>
      <c r="J107" s="241" t="inlineStr">
        <is>
          <t>4838</t>
        </is>
      </c>
      <c r="K107" s="332">
        <f>IFERROR(VLOOKUP(TEXT(O107,"0"),CONDUCTORES!$A$3:$G$100,7,0),"")</f>
        <v/>
      </c>
      <c r="L107" s="239" t="n">
        <v>18.18</v>
      </c>
      <c r="M107" s="239" t="n">
        <v>5</v>
      </c>
      <c r="N107" s="333">
        <f>IFERROR(IF(L107*M107=0,"",L107*M107),"")</f>
        <v/>
      </c>
      <c r="O107" s="334" t="n"/>
      <c r="P107" s="332">
        <f>IFERROR(VLOOKUP(TEXT(O107,"0"),CONDUCTORES!$A$3:$G$100,2,0),"")</f>
        <v/>
      </c>
      <c r="Q107" s="332">
        <f>IFERROR(VLOOKUP(TEXT(O107,"0"),CONDUCTORES!$A$3:$H$100,6,0),"")</f>
        <v/>
      </c>
      <c r="R107" s="336" t="n">
        <v>45939</v>
      </c>
      <c r="S107" s="305" t="inlineStr">
        <is>
          <t>K37X</t>
        </is>
      </c>
      <c r="T107" s="241" t="n"/>
      <c r="U107" s="280" t="n"/>
      <c r="V107" s="241" t="n"/>
      <c r="W107" s="241" t="n"/>
      <c r="X107" s="241" t="n"/>
      <c r="Y107" s="280" t="n"/>
    </row>
    <row r="108" ht="15.75" customHeight="1" s="195">
      <c r="A108" s="301" t="n">
        <v>88</v>
      </c>
      <c r="B108" s="302" t="inlineStr">
        <is>
          <t>00000018</t>
        </is>
      </c>
      <c r="C108" s="301" t="inlineStr">
        <is>
          <t>REGION</t>
        </is>
      </c>
      <c r="D108" s="302" t="inlineStr">
        <is>
          <t>LOJA MAZUELOS LOYDI</t>
        </is>
      </c>
      <c r="E108" s="301" t="inlineStr">
        <is>
          <t>DNI</t>
        </is>
      </c>
      <c r="F108" s="301" t="inlineStr">
        <is>
          <t>45833684</t>
        </is>
      </c>
      <c r="G108" s="331" t="n">
        <v>45848</v>
      </c>
      <c r="H108" s="301" t="inlineStr">
        <is>
          <t>4903</t>
        </is>
      </c>
      <c r="I108" s="332">
        <f>IFERROR(VLOOKUP(TEXT(H108,"0"),IPRESS!$A$3:$B$212,2,0),"")</f>
        <v/>
      </c>
      <c r="J108" s="301" t="inlineStr">
        <is>
          <t>4838</t>
        </is>
      </c>
      <c r="K108" s="332">
        <f>IFERROR(VLOOKUP(TEXT(O108,"0"),CONDUCTORES!$A$3:$G$100,7,0),"")</f>
        <v/>
      </c>
      <c r="L108" s="245" t="n">
        <v>18.18</v>
      </c>
      <c r="M108" s="245" t="n">
        <v>5</v>
      </c>
      <c r="N108" s="333">
        <f>IFERROR(IF(L108*M108=0,"",L108*M108),"")</f>
        <v/>
      </c>
      <c r="O108" s="280" t="n"/>
      <c r="P108" s="332">
        <f>IFERROR(VLOOKUP(TEXT(O108,"0"),CONDUCTORES!$A$3:$G$100,2,0),"")</f>
        <v/>
      </c>
      <c r="Q108" s="332">
        <f>IFERROR(VLOOKUP(TEXT(O108,"0"),CONDUCTORES!$A$3:$H$100,6,0),"")</f>
        <v/>
      </c>
      <c r="R108" s="331" t="n">
        <v>45939</v>
      </c>
      <c r="S108" s="302" t="inlineStr">
        <is>
          <t>O268</t>
        </is>
      </c>
      <c r="T108" s="301" t="n"/>
      <c r="U108" s="334" t="n"/>
      <c r="V108" s="301" t="n"/>
      <c r="W108" s="301" t="n"/>
      <c r="X108" s="301" t="n"/>
      <c r="Y108" s="280" t="n"/>
    </row>
    <row r="109" ht="15.75" customHeight="1" s="195">
      <c r="A109" s="241" t="n">
        <v>89</v>
      </c>
      <c r="B109" s="305" t="inlineStr">
        <is>
          <t>00000019</t>
        </is>
      </c>
      <c r="C109" s="241" t="inlineStr">
        <is>
          <t>REGION</t>
        </is>
      </c>
      <c r="D109" s="305" t="inlineStr">
        <is>
          <t>SIPAN PICON MARGE LIZ</t>
        </is>
      </c>
      <c r="E109" s="241" t="inlineStr">
        <is>
          <t>DNI</t>
        </is>
      </c>
      <c r="F109" s="241" t="inlineStr">
        <is>
          <t>43961362</t>
        </is>
      </c>
      <c r="G109" s="336" t="n">
        <v>45851</v>
      </c>
      <c r="H109" s="241" t="inlineStr">
        <is>
          <t>4903</t>
        </is>
      </c>
      <c r="I109" s="332">
        <f>IFERROR(VLOOKUP(TEXT(H109,"0"),IPRESS!$A$3:$B$212,2,0),"")</f>
        <v/>
      </c>
      <c r="J109" s="241" t="inlineStr">
        <is>
          <t>4838</t>
        </is>
      </c>
      <c r="K109" s="332">
        <f>IFERROR(VLOOKUP(TEXT(O109,"0"),CONDUCTORES!$A$3:$G$100,7,0),"")</f>
        <v/>
      </c>
      <c r="L109" s="239" t="n">
        <v>18.18</v>
      </c>
      <c r="M109" s="239" t="n">
        <v>5</v>
      </c>
      <c r="N109" s="333">
        <f>IFERROR(IF(L109*M109=0,"",L109*M109),"")</f>
        <v/>
      </c>
      <c r="O109" s="334" t="n"/>
      <c r="P109" s="332">
        <f>IFERROR(VLOOKUP(TEXT(O109,"0"),CONDUCTORES!$A$3:$G$100,2,0),"")</f>
        <v/>
      </c>
      <c r="Q109" s="332">
        <f>IFERROR(VLOOKUP(TEXT(O109,"0"),CONDUCTORES!$A$3:$H$100,6,0),"")</f>
        <v/>
      </c>
      <c r="R109" s="336" t="n">
        <v>45939</v>
      </c>
      <c r="S109" s="305" t="inlineStr">
        <is>
          <t>G433,Q282</t>
        </is>
      </c>
      <c r="T109" s="241" t="n"/>
      <c r="U109" s="280" t="n"/>
      <c r="V109" s="241" t="n"/>
      <c r="W109" s="241" t="n"/>
      <c r="X109" s="241" t="n"/>
      <c r="Y109" s="280" t="n"/>
    </row>
    <row r="110" ht="15.75" customHeight="1" s="195">
      <c r="A110" s="301" t="n">
        <v>90</v>
      </c>
      <c r="B110" s="302" t="inlineStr">
        <is>
          <t>00000020</t>
        </is>
      </c>
      <c r="C110" s="301" t="inlineStr">
        <is>
          <t>REGION</t>
        </is>
      </c>
      <c r="D110" s="302" t="inlineStr">
        <is>
          <t>JULCA MICHA ALFREDO</t>
        </is>
      </c>
      <c r="E110" s="301" t="inlineStr">
        <is>
          <t>DNI</t>
        </is>
      </c>
      <c r="F110" s="301" t="inlineStr">
        <is>
          <t>45825379</t>
        </is>
      </c>
      <c r="G110" s="331" t="n">
        <v>45852</v>
      </c>
      <c r="H110" s="301" t="inlineStr">
        <is>
          <t>4903</t>
        </is>
      </c>
      <c r="I110" s="332">
        <f>IFERROR(VLOOKUP(TEXT(H110,"0"),IPRESS!$A$3:$B$212,2,0),"")</f>
        <v/>
      </c>
      <c r="J110" s="301" t="inlineStr">
        <is>
          <t>4838</t>
        </is>
      </c>
      <c r="K110" s="332">
        <f>IFERROR(VLOOKUP(TEXT(O110,"0"),CONDUCTORES!$A$3:$G$100,7,0),"")</f>
        <v/>
      </c>
      <c r="L110" s="245" t="n">
        <v>18.18</v>
      </c>
      <c r="M110" s="245" t="n">
        <v>5</v>
      </c>
      <c r="N110" s="333">
        <f>IFERROR(IF(L110*M110=0,"",L110*M110),"")</f>
        <v/>
      </c>
      <c r="O110" s="280" t="n"/>
      <c r="P110" s="332">
        <f>IFERROR(VLOOKUP(TEXT(O110,"0"),CONDUCTORES!$A$3:$G$100,2,0),"")</f>
        <v/>
      </c>
      <c r="Q110" s="332">
        <f>IFERROR(VLOOKUP(TEXT(O110,"0"),CONDUCTORES!$A$3:$H$100,6,0),"")</f>
        <v/>
      </c>
      <c r="R110" s="331" t="n">
        <v>45939</v>
      </c>
      <c r="S110" s="302" t="inlineStr">
        <is>
          <t>S641,S628</t>
        </is>
      </c>
      <c r="T110" s="301" t="n"/>
      <c r="U110" s="334" t="n"/>
      <c r="V110" s="301" t="n"/>
      <c r="W110" s="301" t="n"/>
      <c r="X110" s="301" t="n"/>
      <c r="Y110" s="280" t="n"/>
    </row>
    <row r="111" ht="15.75" customHeight="1" s="195">
      <c r="A111" s="241" t="n">
        <v>91</v>
      </c>
      <c r="B111" s="305" t="inlineStr">
        <is>
          <t>00000021</t>
        </is>
      </c>
      <c r="C111" s="241" t="inlineStr">
        <is>
          <t>REGION</t>
        </is>
      </c>
      <c r="D111" s="305" t="inlineStr">
        <is>
          <t>CHAVEZ HUAMAN AMELIA</t>
        </is>
      </c>
      <c r="E111" s="241" t="inlineStr">
        <is>
          <t>DNI</t>
        </is>
      </c>
      <c r="F111" s="241" t="inlineStr">
        <is>
          <t>80302422</t>
        </is>
      </c>
      <c r="G111" s="336" t="n">
        <v>45853</v>
      </c>
      <c r="H111" s="241" t="inlineStr">
        <is>
          <t>4903</t>
        </is>
      </c>
      <c r="I111" s="332">
        <f>IFERROR(VLOOKUP(TEXT(H111,"0"),IPRESS!$A$3:$B$212,2,0),"")</f>
        <v/>
      </c>
      <c r="J111" s="241" t="inlineStr">
        <is>
          <t>4838</t>
        </is>
      </c>
      <c r="K111" s="332">
        <f>IFERROR(VLOOKUP(TEXT(O111,"0"),CONDUCTORES!$A$3:$G$100,7,0),"")</f>
        <v/>
      </c>
      <c r="L111" s="239" t="n">
        <v>18.18</v>
      </c>
      <c r="M111" s="239" t="n">
        <v>5</v>
      </c>
      <c r="N111" s="333">
        <f>IFERROR(IF(L111*M111=0,"",L111*M111),"")</f>
        <v/>
      </c>
      <c r="O111" s="334" t="n"/>
      <c r="P111" s="332">
        <f>IFERROR(VLOOKUP(TEXT(O111,"0"),CONDUCTORES!$A$3:$G$100,2,0),"")</f>
        <v/>
      </c>
      <c r="Q111" s="332">
        <f>IFERROR(VLOOKUP(TEXT(O111,"0"),CONDUCTORES!$A$3:$H$100,6,0),"")</f>
        <v/>
      </c>
      <c r="R111" s="336" t="n">
        <v>45939</v>
      </c>
      <c r="S111" s="305" t="inlineStr">
        <is>
          <t>R100</t>
        </is>
      </c>
      <c r="T111" s="241" t="n"/>
      <c r="U111" s="280" t="n"/>
      <c r="V111" s="241" t="n"/>
      <c r="W111" s="241" t="n"/>
      <c r="X111" s="241" t="n"/>
      <c r="Y111" s="280" t="n"/>
    </row>
    <row r="112" ht="15.75" customHeight="1" s="195">
      <c r="A112" s="301" t="n">
        <v>92</v>
      </c>
      <c r="B112" s="302" t="inlineStr">
        <is>
          <t>00000022</t>
        </is>
      </c>
      <c r="C112" s="301" t="inlineStr">
        <is>
          <t>REGION</t>
        </is>
      </c>
      <c r="D112" s="302" t="inlineStr">
        <is>
          <t>LOPEZ GUEVARA FANNY NORIT</t>
        </is>
      </c>
      <c r="E112" s="301" t="inlineStr">
        <is>
          <t>DNI</t>
        </is>
      </c>
      <c r="F112" s="301" t="inlineStr">
        <is>
          <t>47076777</t>
        </is>
      </c>
      <c r="G112" s="331" t="n">
        <v>45857</v>
      </c>
      <c r="H112" s="301" t="inlineStr">
        <is>
          <t>4903</t>
        </is>
      </c>
      <c r="I112" s="332">
        <f>IFERROR(VLOOKUP(TEXT(H112,"0"),IPRESS!$A$3:$B$212,2,0),"")</f>
        <v/>
      </c>
      <c r="J112" s="301" t="inlineStr">
        <is>
          <t>4838</t>
        </is>
      </c>
      <c r="K112" s="332">
        <f>IFERROR(VLOOKUP(TEXT(O112,"0"),CONDUCTORES!$A$3:$G$100,7,0),"")</f>
        <v/>
      </c>
      <c r="L112" s="245" t="n">
        <v>18.18</v>
      </c>
      <c r="M112" s="245" t="n">
        <v>5</v>
      </c>
      <c r="N112" s="333">
        <f>IFERROR(IF(L112*M112=0,"",L112*M112),"")</f>
        <v/>
      </c>
      <c r="O112" s="280" t="n"/>
      <c r="P112" s="332">
        <f>IFERROR(VLOOKUP(TEXT(O112,"0"),CONDUCTORES!$A$3:$G$100,2,0),"")</f>
        <v/>
      </c>
      <c r="Q112" s="332">
        <f>IFERROR(VLOOKUP(TEXT(O112,"0"),CONDUCTORES!$A$3:$H$100,6,0),"")</f>
        <v/>
      </c>
      <c r="R112" s="331" t="n">
        <v>45939</v>
      </c>
      <c r="S112" s="302" t="inlineStr">
        <is>
          <t>O470</t>
        </is>
      </c>
      <c r="T112" s="301" t="n"/>
      <c r="U112" s="334" t="n"/>
      <c r="V112" s="301" t="n"/>
      <c r="W112" s="301" t="n"/>
      <c r="X112" s="301" t="n"/>
      <c r="Y112" s="280" t="n"/>
    </row>
    <row r="113" ht="15.75" customHeight="1" s="195">
      <c r="A113" s="241" t="n">
        <v>93</v>
      </c>
      <c r="B113" s="305" t="inlineStr">
        <is>
          <t>00000023</t>
        </is>
      </c>
      <c r="C113" s="241" t="inlineStr">
        <is>
          <t>REGION</t>
        </is>
      </c>
      <c r="D113" s="305" t="inlineStr">
        <is>
          <t>CRUZ HUAMAN REYNALDO</t>
        </is>
      </c>
      <c r="E113" s="241" t="inlineStr">
        <is>
          <t>DNI</t>
        </is>
      </c>
      <c r="F113" s="241" t="inlineStr">
        <is>
          <t>33807323</t>
        </is>
      </c>
      <c r="G113" s="336" t="n">
        <v>45859</v>
      </c>
      <c r="H113" s="241" t="inlineStr">
        <is>
          <t>4903</t>
        </is>
      </c>
      <c r="I113" s="332">
        <f>IFERROR(VLOOKUP(TEXT(H113,"0"),IPRESS!$A$3:$B$212,2,0),"")</f>
        <v/>
      </c>
      <c r="J113" s="241" t="inlineStr">
        <is>
          <t>4838</t>
        </is>
      </c>
      <c r="K113" s="332">
        <f>IFERROR(VLOOKUP(TEXT(O113,"0"),CONDUCTORES!$A$3:$G$100,7,0),"")</f>
        <v/>
      </c>
      <c r="L113" s="239" t="n">
        <v>18.18</v>
      </c>
      <c r="M113" s="239" t="n">
        <v>5</v>
      </c>
      <c r="N113" s="333">
        <f>IFERROR(IF(L113*M113=0,"",L113*M113),"")</f>
        <v/>
      </c>
      <c r="O113" s="334" t="n"/>
      <c r="P113" s="332">
        <f>IFERROR(VLOOKUP(TEXT(O113,"0"),CONDUCTORES!$A$3:$G$100,2,0),"")</f>
        <v/>
      </c>
      <c r="Q113" s="332">
        <f>IFERROR(VLOOKUP(TEXT(O113,"0"),CONDUCTORES!$A$3:$H$100,6,0),"")</f>
        <v/>
      </c>
      <c r="R113" s="336" t="n">
        <v>45939</v>
      </c>
      <c r="S113" s="305" t="inlineStr">
        <is>
          <t>A419</t>
        </is>
      </c>
      <c r="T113" s="241" t="n"/>
      <c r="U113" s="280" t="n"/>
      <c r="V113" s="241" t="n"/>
      <c r="W113" s="241" t="n"/>
      <c r="X113" s="241" t="n"/>
      <c r="Y113" s="280" t="n"/>
    </row>
    <row r="114" ht="15.75" customHeight="1" s="195">
      <c r="A114" s="301" t="n">
        <v>94</v>
      </c>
      <c r="B114" s="302" t="inlineStr">
        <is>
          <t>00000024</t>
        </is>
      </c>
      <c r="C114" s="301" t="inlineStr">
        <is>
          <t>REGION</t>
        </is>
      </c>
      <c r="D114" s="302" t="inlineStr">
        <is>
          <t>CHAMBA SANTILLAN SEGUNDO MAXIMO</t>
        </is>
      </c>
      <c r="E114" s="301" t="inlineStr">
        <is>
          <t>DNI</t>
        </is>
      </c>
      <c r="F114" s="301" t="inlineStr">
        <is>
          <t>62174067</t>
        </is>
      </c>
      <c r="G114" s="331" t="n">
        <v>45859</v>
      </c>
      <c r="H114" s="301" t="inlineStr">
        <is>
          <t>4903</t>
        </is>
      </c>
      <c r="I114" s="332">
        <f>IFERROR(VLOOKUP(TEXT(H114,"0"),IPRESS!$A$3:$B$212,2,0),"")</f>
        <v/>
      </c>
      <c r="J114" s="301" t="inlineStr">
        <is>
          <t>4838</t>
        </is>
      </c>
      <c r="K114" s="332">
        <f>IFERROR(VLOOKUP(TEXT(O114,"0"),CONDUCTORES!$A$3:$G$100,7,0),"")</f>
        <v/>
      </c>
      <c r="L114" s="245" t="n">
        <v>18.18</v>
      </c>
      <c r="M114" s="245" t="n">
        <v>5</v>
      </c>
      <c r="N114" s="333">
        <f>IFERROR(IF(L114*M114=0,"",L114*M114),"")</f>
        <v/>
      </c>
      <c r="O114" s="280" t="n"/>
      <c r="P114" s="332">
        <f>IFERROR(VLOOKUP(TEXT(O114,"0"),CONDUCTORES!$A$3:$G$100,2,0),"")</f>
        <v/>
      </c>
      <c r="Q114" s="332">
        <f>IFERROR(VLOOKUP(TEXT(O114,"0"),CONDUCTORES!$A$3:$H$100,6,0),"")</f>
        <v/>
      </c>
      <c r="R114" s="331" t="n">
        <v>45939</v>
      </c>
      <c r="S114" s="302" t="inlineStr">
        <is>
          <t>R100</t>
        </is>
      </c>
      <c r="T114" s="301" t="n"/>
      <c r="U114" s="334" t="n"/>
      <c r="V114" s="301" t="n"/>
      <c r="W114" s="301" t="n"/>
      <c r="X114" s="301" t="n"/>
      <c r="Y114" s="280" t="n"/>
    </row>
    <row r="115" ht="15.75" customHeight="1" s="195">
      <c r="A115" s="241" t="n">
        <v>95</v>
      </c>
      <c r="B115" s="305" t="inlineStr">
        <is>
          <t>00000025</t>
        </is>
      </c>
      <c r="C115" s="241" t="inlineStr">
        <is>
          <t>REGION</t>
        </is>
      </c>
      <c r="D115" s="305" t="inlineStr">
        <is>
          <t>VASQUEZ TORREJON MELANI</t>
        </is>
      </c>
      <c r="E115" s="241" t="inlineStr">
        <is>
          <t>DNI</t>
        </is>
      </c>
      <c r="F115" s="241" t="inlineStr">
        <is>
          <t>60031536</t>
        </is>
      </c>
      <c r="G115" s="336" t="n">
        <v>45860</v>
      </c>
      <c r="H115" s="241" t="inlineStr">
        <is>
          <t>4903</t>
        </is>
      </c>
      <c r="I115" s="332">
        <f>IFERROR(VLOOKUP(TEXT(H115,"0"),IPRESS!$A$3:$B$212,2,0),"")</f>
        <v/>
      </c>
      <c r="J115" s="241" t="inlineStr">
        <is>
          <t>4838</t>
        </is>
      </c>
      <c r="K115" s="332">
        <f>IFERROR(VLOOKUP(TEXT(O115,"0"),CONDUCTORES!$A$3:$G$100,7,0),"")</f>
        <v/>
      </c>
      <c r="L115" s="239" t="n">
        <v>18.18</v>
      </c>
      <c r="M115" s="239" t="n">
        <v>5</v>
      </c>
      <c r="N115" s="333">
        <f>IFERROR(IF(L115*M115=0,"",L115*M115),"")</f>
        <v/>
      </c>
      <c r="O115" s="334" t="n"/>
      <c r="P115" s="332">
        <f>IFERROR(VLOOKUP(TEXT(O115,"0"),CONDUCTORES!$A$3:$G$100,2,0),"")</f>
        <v/>
      </c>
      <c r="Q115" s="332">
        <f>IFERROR(VLOOKUP(TEXT(O115,"0"),CONDUCTORES!$A$3:$H$100,6,0),"")</f>
        <v/>
      </c>
      <c r="R115" s="336" t="n">
        <v>45939</v>
      </c>
      <c r="S115" s="305" t="inlineStr">
        <is>
          <t>R100</t>
        </is>
      </c>
      <c r="T115" s="241" t="n"/>
      <c r="U115" s="280" t="n"/>
      <c r="V115" s="241" t="n"/>
      <c r="W115" s="241" t="n"/>
      <c r="X115" s="241" t="n"/>
      <c r="Y115" s="280" t="n"/>
    </row>
    <row r="116" ht="15.75" customHeight="1" s="195">
      <c r="A116" s="301" t="n">
        <v>96</v>
      </c>
      <c r="B116" s="302" t="inlineStr">
        <is>
          <t>00000026</t>
        </is>
      </c>
      <c r="C116" s="301" t="inlineStr">
        <is>
          <t>REGION</t>
        </is>
      </c>
      <c r="D116" s="302" t="inlineStr">
        <is>
          <t>CRUZ PINPINGOS BICTORIANO</t>
        </is>
      </c>
      <c r="E116" s="301" t="inlineStr">
        <is>
          <t>DNI</t>
        </is>
      </c>
      <c r="F116" s="301" t="inlineStr">
        <is>
          <t>33807621</t>
        </is>
      </c>
      <c r="G116" s="331" t="n">
        <v>45862</v>
      </c>
      <c r="H116" s="301" t="inlineStr">
        <is>
          <t>4903</t>
        </is>
      </c>
      <c r="I116" s="332">
        <f>IFERROR(VLOOKUP(TEXT(H116,"0"),IPRESS!$A$3:$B$212,2,0),"")</f>
        <v/>
      </c>
      <c r="J116" s="301" t="inlineStr">
        <is>
          <t>4838</t>
        </is>
      </c>
      <c r="K116" s="332">
        <f>IFERROR(VLOOKUP(TEXT(O116,"0"),CONDUCTORES!$A$3:$G$100,7,0),"")</f>
        <v/>
      </c>
      <c r="L116" s="245" t="n">
        <v>18.18</v>
      </c>
      <c r="M116" s="245" t="n">
        <v>5</v>
      </c>
      <c r="N116" s="333">
        <f>IFERROR(IF(L116*M116=0,"",L116*M116),"")</f>
        <v/>
      </c>
      <c r="O116" s="280" t="n"/>
      <c r="P116" s="332">
        <f>IFERROR(VLOOKUP(TEXT(O116,"0"),CONDUCTORES!$A$3:$G$100,2,0),"")</f>
        <v/>
      </c>
      <c r="Q116" s="332">
        <f>IFERROR(VLOOKUP(TEXT(O116,"0"),CONDUCTORES!$A$3:$H$100,6,0),"")</f>
        <v/>
      </c>
      <c r="R116" s="331" t="n">
        <v>45939</v>
      </c>
      <c r="S116" s="302" t="inlineStr">
        <is>
          <t>W548,S818</t>
        </is>
      </c>
      <c r="T116" s="301" t="n"/>
      <c r="U116" s="334" t="n"/>
      <c r="V116" s="301" t="n"/>
      <c r="W116" s="301" t="n"/>
      <c r="X116" s="301" t="n"/>
      <c r="Y116" s="280" t="n"/>
    </row>
    <row r="117" ht="15.75" customHeight="1" s="195">
      <c r="A117" s="241" t="n">
        <v>97</v>
      </c>
      <c r="B117" s="305" t="inlineStr">
        <is>
          <t>00000027</t>
        </is>
      </c>
      <c r="C117" s="241" t="inlineStr">
        <is>
          <t>REGION</t>
        </is>
      </c>
      <c r="D117" s="305" t="inlineStr">
        <is>
          <t>MICHAN LOPEZ FELICITA</t>
        </is>
      </c>
      <c r="E117" s="241" t="inlineStr">
        <is>
          <t>DNI</t>
        </is>
      </c>
      <c r="F117" s="241" t="inlineStr">
        <is>
          <t>73702350</t>
        </is>
      </c>
      <c r="G117" s="336" t="n">
        <v>45865</v>
      </c>
      <c r="H117" s="241" t="inlineStr">
        <is>
          <t>4903</t>
        </is>
      </c>
      <c r="I117" s="332">
        <f>IFERROR(VLOOKUP(TEXT(H117,"0"),IPRESS!$A$3:$B$212,2,0),"")</f>
        <v/>
      </c>
      <c r="J117" s="241" t="inlineStr">
        <is>
          <t>4838</t>
        </is>
      </c>
      <c r="K117" s="332">
        <f>IFERROR(VLOOKUP(TEXT(O117,"0"),CONDUCTORES!$A$3:$G$100,7,0),"")</f>
        <v/>
      </c>
      <c r="L117" s="239" t="n">
        <v>18.18</v>
      </c>
      <c r="M117" s="239" t="n">
        <v>5</v>
      </c>
      <c r="N117" s="333">
        <f>IFERROR(IF(L117*M117=0,"",L117*M117),"")</f>
        <v/>
      </c>
      <c r="O117" s="334" t="n"/>
      <c r="P117" s="332">
        <f>IFERROR(VLOOKUP(TEXT(O117,"0"),CONDUCTORES!$A$3:$G$100,2,0),"")</f>
        <v/>
      </c>
      <c r="Q117" s="332">
        <f>IFERROR(VLOOKUP(TEXT(O117,"0"),CONDUCTORES!$A$3:$H$100,6,0),"")</f>
        <v/>
      </c>
      <c r="R117" s="336" t="n">
        <v>45939</v>
      </c>
      <c r="S117" s="305" t="inlineStr">
        <is>
          <t>O630</t>
        </is>
      </c>
      <c r="T117" s="241" t="n"/>
      <c r="U117" s="280" t="n"/>
      <c r="V117" s="241" t="n"/>
      <c r="W117" s="241" t="n"/>
      <c r="X117" s="241" t="n"/>
      <c r="Y117" s="280" t="n"/>
    </row>
    <row r="118" ht="15.75" customHeight="1" s="195">
      <c r="A118" s="301" t="n">
        <v>98</v>
      </c>
      <c r="B118" s="302" t="inlineStr">
        <is>
          <t>00000001</t>
        </is>
      </c>
      <c r="C118" s="301" t="inlineStr">
        <is>
          <t>REGION</t>
        </is>
      </c>
      <c r="D118" s="302" t="inlineStr">
        <is>
          <t>TAFUR ALVARADO JHESICA</t>
        </is>
      </c>
      <c r="E118" s="301" t="inlineStr">
        <is>
          <t>DNI</t>
        </is>
      </c>
      <c r="F118" s="301" t="inlineStr">
        <is>
          <t>46344043</t>
        </is>
      </c>
      <c r="G118" s="331" t="n">
        <v>45866</v>
      </c>
      <c r="H118" s="301" t="inlineStr">
        <is>
          <t>7381</t>
        </is>
      </c>
      <c r="I118" s="332">
        <f>IFERROR(VLOOKUP(TEXT(H118,"0"),IPRESS!$A$3:$B$212,2,0),"")</f>
        <v/>
      </c>
      <c r="J118" s="301" t="inlineStr">
        <is>
          <t>4838</t>
        </is>
      </c>
      <c r="K118" s="332">
        <f>IFERROR(VLOOKUP(TEXT(O118,"0"),CONDUCTORES!$A$3:$G$100,7,0),"")</f>
        <v/>
      </c>
      <c r="L118" s="245" t="n">
        <v>18.18</v>
      </c>
      <c r="M118" s="245" t="n">
        <v>6</v>
      </c>
      <c r="N118" s="333">
        <f>IFERROR(IF(L118*M118=0,"",L118*M118),"")</f>
        <v/>
      </c>
      <c r="O118" s="280" t="n"/>
      <c r="P118" s="332">
        <f>IFERROR(VLOOKUP(TEXT(O118,"0"),CONDUCTORES!$A$3:$G$100,2,0),"")</f>
        <v/>
      </c>
      <c r="Q118" s="332">
        <f>IFERROR(VLOOKUP(TEXT(O118,"0"),CONDUCTORES!$A$3:$H$100,6,0),"")</f>
        <v/>
      </c>
      <c r="R118" s="331" t="n">
        <v>45939</v>
      </c>
      <c r="S118" s="302" t="inlineStr">
        <is>
          <t>Z359.O063</t>
        </is>
      </c>
      <c r="T118" s="301" t="n"/>
      <c r="U118" s="334" t="n"/>
      <c r="V118" s="301" t="n"/>
      <c r="W118" s="301" t="n"/>
      <c r="X118" s="301" t="n"/>
      <c r="Y118" s="280" t="n"/>
    </row>
    <row r="119" ht="15.75" customHeight="1" s="195">
      <c r="A119" s="241" t="n">
        <v>99</v>
      </c>
      <c r="B119" s="305" t="inlineStr">
        <is>
          <t>00000003</t>
        </is>
      </c>
      <c r="C119" s="241" t="inlineStr">
        <is>
          <t>REGION</t>
        </is>
      </c>
      <c r="D119" s="305" t="inlineStr">
        <is>
          <t>HUAMANBAL MARRUFO ABEL</t>
        </is>
      </c>
      <c r="E119" s="241" t="inlineStr">
        <is>
          <t>DNI</t>
        </is>
      </c>
      <c r="F119" s="241" t="inlineStr">
        <is>
          <t>33662063</t>
        </is>
      </c>
      <c r="G119" s="336" t="n">
        <v>45859</v>
      </c>
      <c r="H119" s="241" t="inlineStr">
        <is>
          <t>4938</t>
        </is>
      </c>
      <c r="I119" s="332">
        <f>IFERROR(VLOOKUP(TEXT(H119,"0"),IPRESS!$A$3:$B$212,2,0),"")</f>
        <v/>
      </c>
      <c r="J119" s="241" t="inlineStr">
        <is>
          <t>4932</t>
        </is>
      </c>
      <c r="K119" s="332">
        <f>IFERROR(VLOOKUP(TEXT(O119,"0"),CONDUCTORES!$A$3:$G$100,7,0),"")</f>
        <v/>
      </c>
      <c r="L119" s="239" t="n">
        <v>18.18</v>
      </c>
      <c r="M119" s="239" t="n">
        <v>4</v>
      </c>
      <c r="N119" s="333">
        <f>IFERROR(IF(L119*M119=0,"",L119*M119),"")</f>
        <v/>
      </c>
      <c r="O119" s="334" t="n"/>
      <c r="P119" s="332">
        <f>IFERROR(VLOOKUP(TEXT(O119,"0"),CONDUCTORES!$A$3:$G$100,2,0),"")</f>
        <v/>
      </c>
      <c r="Q119" s="332">
        <f>IFERROR(VLOOKUP(TEXT(O119,"0"),CONDUCTORES!$A$3:$H$100,6,0),"")</f>
        <v/>
      </c>
      <c r="R119" s="280" t="n"/>
      <c r="S119" s="305" t="inlineStr">
        <is>
          <t>X2091</t>
        </is>
      </c>
      <c r="T119" s="241" t="n"/>
      <c r="U119" s="280" t="n"/>
      <c r="V119" s="241" t="n"/>
      <c r="W119" s="241" t="n"/>
      <c r="X119" s="241" t="n"/>
      <c r="Y119" s="280" t="n"/>
    </row>
    <row r="120" ht="15.75" customHeight="1" s="195">
      <c r="A120" s="301" t="n">
        <v>100</v>
      </c>
      <c r="B120" s="302" t="inlineStr">
        <is>
          <t>00000023</t>
        </is>
      </c>
      <c r="C120" s="301" t="inlineStr">
        <is>
          <t>REGION</t>
        </is>
      </c>
      <c r="D120" s="302" t="inlineStr">
        <is>
          <t>OLANO MARTINEZ JOSE EDILBERTO</t>
        </is>
      </c>
      <c r="E120" s="301" t="inlineStr">
        <is>
          <t>DNI</t>
        </is>
      </c>
      <c r="F120" s="301" t="inlineStr">
        <is>
          <t>27662491</t>
        </is>
      </c>
      <c r="G120" s="331" t="n">
        <v>45847</v>
      </c>
      <c r="H120" s="301" t="inlineStr">
        <is>
          <t>4904</t>
        </is>
      </c>
      <c r="I120" s="332">
        <f>IFERROR(VLOOKUP(TEXT(H120,"0"),IPRESS!$A$3:$B$212,2,0),"")</f>
        <v/>
      </c>
      <c r="J120" s="301" t="inlineStr">
        <is>
          <t>4838</t>
        </is>
      </c>
      <c r="K120" s="332">
        <f>IFERROR(VLOOKUP(TEXT(O120,"0"),CONDUCTORES!$A$3:$G$100,7,0),"")</f>
        <v/>
      </c>
      <c r="L120" s="245" t="n">
        <v>18.18</v>
      </c>
      <c r="M120" s="245" t="n">
        <v>6</v>
      </c>
      <c r="N120" s="333">
        <f>IFERROR(IF(L120*M120=0,"",L120*M120),"")</f>
        <v/>
      </c>
      <c r="O120" s="280" t="n"/>
      <c r="P120" s="332">
        <f>IFERROR(VLOOKUP(TEXT(O120,"0"),CONDUCTORES!$A$3:$G$100,2,0),"")</f>
        <v/>
      </c>
      <c r="Q120" s="332">
        <f>IFERROR(VLOOKUP(TEXT(O120,"0"),CONDUCTORES!$A$3:$H$100,6,0),"")</f>
        <v/>
      </c>
      <c r="R120" s="331" t="n">
        <v>45981</v>
      </c>
      <c r="S120" s="302" t="inlineStr">
        <is>
          <t>J960,J159</t>
        </is>
      </c>
      <c r="T120" s="301" t="n"/>
      <c r="U120" s="334" t="n"/>
      <c r="V120" s="301" t="n"/>
      <c r="W120" s="301" t="n"/>
      <c r="X120" s="301" t="n"/>
      <c r="Y120" s="280" t="n"/>
    </row>
    <row r="121" ht="15.75" customHeight="1" s="195">
      <c r="A121" s="241" t="n">
        <v>101</v>
      </c>
      <c r="B121" s="305" t="inlineStr">
        <is>
          <t>00000024</t>
        </is>
      </c>
      <c r="C121" s="241" t="inlineStr">
        <is>
          <t>REGION</t>
        </is>
      </c>
      <c r="D121" s="305" t="inlineStr">
        <is>
          <t>ESCOBAL GALLARDO MARIA IDUVINA</t>
        </is>
      </c>
      <c r="E121" s="241" t="inlineStr">
        <is>
          <t>DNI</t>
        </is>
      </c>
      <c r="F121" s="241" t="inlineStr">
        <is>
          <t>45449366</t>
        </is>
      </c>
      <c r="G121" s="336" t="n">
        <v>45864</v>
      </c>
      <c r="H121" s="241" t="inlineStr">
        <is>
          <t>4904</t>
        </is>
      </c>
      <c r="I121" s="332">
        <f>IFERROR(VLOOKUP(TEXT(H121,"0"),IPRESS!$A$3:$B$212,2,0),"")</f>
        <v/>
      </c>
      <c r="J121" s="241" t="inlineStr">
        <is>
          <t>4838</t>
        </is>
      </c>
      <c r="K121" s="332">
        <f>IFERROR(VLOOKUP(TEXT(O121,"0"),CONDUCTORES!$A$3:$G$100,7,0),"")</f>
        <v/>
      </c>
      <c r="L121" s="239" t="n">
        <v>18.18</v>
      </c>
      <c r="M121" s="239" t="n">
        <v>6</v>
      </c>
      <c r="N121" s="333">
        <f>IFERROR(IF(L121*M121=0,"",L121*M121),"")</f>
        <v/>
      </c>
      <c r="O121" s="334" t="n"/>
      <c r="P121" s="332">
        <f>IFERROR(VLOOKUP(TEXT(O121,"0"),CONDUCTORES!$A$3:$G$100,2,0),"")</f>
        <v/>
      </c>
      <c r="Q121" s="332">
        <f>IFERROR(VLOOKUP(TEXT(O121,"0"),CONDUCTORES!$A$3:$H$100,6,0),"")</f>
        <v/>
      </c>
      <c r="R121" s="336" t="n">
        <v>45981</v>
      </c>
      <c r="S121" s="305" t="inlineStr">
        <is>
          <t>S681</t>
        </is>
      </c>
      <c r="T121" s="241" t="n"/>
      <c r="U121" s="280" t="n"/>
      <c r="V121" s="241" t="n"/>
      <c r="W121" s="241" t="n"/>
      <c r="X121" s="241" t="n"/>
      <c r="Y121" s="280" t="n"/>
    </row>
    <row r="122" ht="15.75" customHeight="1" s="195">
      <c r="A122" s="301" t="n">
        <v>102</v>
      </c>
      <c r="B122" s="302" t="inlineStr">
        <is>
          <t>00000025</t>
        </is>
      </c>
      <c r="C122" s="301" t="inlineStr">
        <is>
          <t>REGION</t>
        </is>
      </c>
      <c r="D122" s="302" t="inlineStr">
        <is>
          <t>BUSTOS LOJA ROSITA</t>
        </is>
      </c>
      <c r="E122" s="301" t="inlineStr">
        <is>
          <t>DNI</t>
        </is>
      </c>
      <c r="F122" s="301" t="inlineStr">
        <is>
          <t>48864581</t>
        </is>
      </c>
      <c r="G122" s="331" t="n">
        <v>45866</v>
      </c>
      <c r="H122" s="301" t="inlineStr">
        <is>
          <t>4904</t>
        </is>
      </c>
      <c r="I122" s="332">
        <f>IFERROR(VLOOKUP(TEXT(H122,"0"),IPRESS!$A$3:$B$212,2,0),"")</f>
        <v/>
      </c>
      <c r="J122" s="301" t="inlineStr">
        <is>
          <t>4838</t>
        </is>
      </c>
      <c r="K122" s="332">
        <f>IFERROR(VLOOKUP(TEXT(O122,"0"),CONDUCTORES!$A$3:$G$100,7,0),"")</f>
        <v/>
      </c>
      <c r="L122" s="245" t="n">
        <v>18.18</v>
      </c>
      <c r="M122" s="245" t="n">
        <v>6</v>
      </c>
      <c r="N122" s="333">
        <f>IFERROR(IF(L122*M122=0,"",L122*M122),"")</f>
        <v/>
      </c>
      <c r="O122" s="280" t="n"/>
      <c r="P122" s="332">
        <f>IFERROR(VLOOKUP(TEXT(O122,"0"),CONDUCTORES!$A$3:$G$100,2,0),"")</f>
        <v/>
      </c>
      <c r="Q122" s="332">
        <f>IFERROR(VLOOKUP(TEXT(O122,"0"),CONDUCTORES!$A$3:$H$100,6,0),"")</f>
        <v/>
      </c>
      <c r="R122" s="331" t="n">
        <v>45981</v>
      </c>
      <c r="S122" s="302" t="inlineStr">
        <is>
          <t>O149</t>
        </is>
      </c>
      <c r="T122" s="301" t="n"/>
      <c r="U122" s="334" t="n"/>
      <c r="V122" s="301" t="n"/>
      <c r="W122" s="301" t="n"/>
      <c r="X122" s="301" t="n"/>
      <c r="Y122" s="280" t="n"/>
    </row>
    <row r="123" ht="15" customHeight="1" s="195">
      <c r="A123" s="334" t="n"/>
      <c r="B123" s="334" t="n"/>
      <c r="C123" s="334" t="n"/>
      <c r="D123" s="334" t="n"/>
      <c r="E123" s="334" t="n"/>
      <c r="F123" s="334" t="n"/>
      <c r="G123" s="334" t="n"/>
      <c r="H123" s="334" t="n"/>
      <c r="I123" s="332">
        <f>IFERROR(VLOOKUP(TEXT(H123,"0"),IPRESS!$A$3:$B$212,2,0),"")</f>
        <v/>
      </c>
      <c r="J123" s="334" t="n"/>
      <c r="K123" s="332">
        <f>IFERROR(VLOOKUP(TEXT(O123,"0"),CONDUCTORES!$A$3:$G$54,7,0),"")</f>
        <v/>
      </c>
      <c r="L123" s="334" t="n"/>
      <c r="M123" s="334" t="n"/>
      <c r="N123" s="333">
        <f>IFERROR(IF(L123*M123=0,"",L123*M123),"")</f>
        <v/>
      </c>
      <c r="O123" s="334" t="n"/>
      <c r="P123" s="332">
        <f>IFERROR(VLOOKUP(TEXT(O123,"0"),CONDUCTORES!$A$3:$G$54,2,0),"")</f>
        <v/>
      </c>
      <c r="Q123" s="332">
        <f>IFERROR(VLOOKUP(TEXT(O123,"0"),CONDUCTORES!$A$3:$H$54,6,0),"")</f>
        <v/>
      </c>
      <c r="R123" s="334" t="n"/>
      <c r="S123" s="334" t="n"/>
      <c r="T123" s="334" t="n"/>
      <c r="U123" s="334" t="n"/>
      <c r="V123" s="334" t="n"/>
      <c r="W123" s="334" t="n"/>
      <c r="X123" s="334" t="n"/>
      <c r="Y123" s="334" t="n"/>
    </row>
    <row r="124" ht="24" customHeight="1" s="195">
      <c r="A124" s="342" t="inlineStr">
        <is>
          <t>SUBTOTAL (cambia al filtrar por EESS) →</t>
        </is>
      </c>
      <c r="K124" s="343" t="n"/>
      <c r="L124" s="280" t="n"/>
      <c r="M124" s="344">
        <f>SUBTOTAL(9,M4:M122)</f>
        <v/>
      </c>
      <c r="N124" s="344">
        <f>SUBTOTAL(9,N4:N122)</f>
        <v/>
      </c>
      <c r="O124" s="280" t="n"/>
      <c r="P124" s="332">
        <f>IFERROR(VLOOKUP(TEXT(O124,"0"),CONDUCTORES!$A$3:$G$100,2,0),"")</f>
        <v/>
      </c>
      <c r="Q124" s="332">
        <f>IFERROR(VLOOKUP(TEXT(O124,"0"),CONDUCTORES!$A$3:$H$100,6,0),"")</f>
        <v/>
      </c>
      <c r="R124" s="280" t="n"/>
      <c r="S124" s="280" t="n"/>
      <c r="T124" s="280" t="n"/>
      <c r="U124" s="280" t="n"/>
      <c r="V124" s="280" t="n"/>
      <c r="W124" s="280" t="n"/>
      <c r="X124" s="280" t="n"/>
      <c r="Y124" s="280" t="n"/>
    </row>
    <row r="125" ht="15" customHeight="1" s="195">
      <c r="A125" s="334" t="n"/>
      <c r="B125" s="334" t="n"/>
      <c r="C125" s="334" t="n"/>
      <c r="D125" s="334" t="n"/>
      <c r="E125" s="334" t="n"/>
      <c r="F125" s="334" t="n"/>
      <c r="G125" s="334" t="n"/>
      <c r="H125" s="334" t="n"/>
      <c r="I125" s="343" t="n"/>
      <c r="J125" s="334" t="n"/>
      <c r="K125" s="343" t="n"/>
      <c r="L125" s="334" t="n"/>
      <c r="M125" s="334" t="n"/>
      <c r="N125" s="345" t="n"/>
      <c r="O125" s="334" t="n"/>
      <c r="P125" s="343" t="n"/>
      <c r="Q125" s="343" t="n"/>
      <c r="R125" s="334" t="n"/>
      <c r="S125" s="334" t="n"/>
      <c r="T125" s="334" t="n"/>
      <c r="U125" s="334" t="n"/>
      <c r="V125" s="334" t="n"/>
      <c r="W125" s="334" t="n"/>
      <c r="X125" s="334" t="n"/>
      <c r="Y125" s="334" t="n"/>
    </row>
    <row r="126" ht="15" customHeight="1" s="195">
      <c r="A126" s="280" t="n"/>
      <c r="B126" s="280" t="n"/>
      <c r="C126" s="280" t="n"/>
      <c r="D126" s="280" t="n"/>
      <c r="E126" s="280" t="n"/>
      <c r="F126" s="280" t="n"/>
      <c r="G126" s="280" t="n"/>
      <c r="H126" s="280" t="n"/>
      <c r="I126" s="343" t="n"/>
      <c r="J126" s="280" t="n"/>
      <c r="K126" s="343" t="n"/>
      <c r="L126" s="280" t="n"/>
      <c r="M126" s="280" t="n"/>
      <c r="N126" s="345" t="n"/>
      <c r="O126" s="280" t="n"/>
      <c r="P126" s="343" t="n"/>
      <c r="Q126" s="343" t="n"/>
      <c r="R126" s="280" t="n"/>
      <c r="S126" s="280" t="n"/>
      <c r="T126" s="280" t="n"/>
      <c r="U126" s="280" t="n"/>
      <c r="V126" s="280" t="n"/>
      <c r="W126" s="280" t="n"/>
      <c r="X126" s="280" t="n"/>
      <c r="Y126" s="280" t="n"/>
    </row>
    <row r="127" ht="15" customHeight="1" s="195">
      <c r="A127" s="334" t="n"/>
      <c r="B127" s="334" t="n"/>
      <c r="C127" s="334" t="n"/>
      <c r="D127" s="334" t="n"/>
      <c r="E127" s="334" t="n"/>
      <c r="F127" s="334" t="n"/>
      <c r="G127" s="334" t="n"/>
      <c r="H127" s="334" t="n"/>
      <c r="I127" s="343" t="n"/>
      <c r="J127" s="334" t="n"/>
      <c r="K127" s="343" t="n"/>
      <c r="L127" s="334" t="n"/>
      <c r="M127" s="334" t="n"/>
      <c r="N127" s="345" t="n"/>
      <c r="O127" s="334" t="n"/>
      <c r="P127" s="343" t="n"/>
      <c r="Q127" s="343" t="n"/>
      <c r="R127" s="334" t="n"/>
      <c r="S127" s="334" t="n"/>
      <c r="T127" s="334" t="n"/>
      <c r="U127" s="334" t="n"/>
      <c r="V127" s="334" t="n"/>
      <c r="W127" s="334" t="n"/>
      <c r="X127" s="334" t="n"/>
      <c r="Y127" s="334" t="n"/>
    </row>
    <row r="128" ht="15" customHeight="1" s="195">
      <c r="A128" s="280" t="n"/>
      <c r="B128" s="280" t="n"/>
      <c r="C128" s="280" t="n"/>
      <c r="D128" s="280" t="n"/>
      <c r="E128" s="280" t="n"/>
      <c r="F128" s="280" t="n"/>
      <c r="G128" s="280" t="n"/>
      <c r="H128" s="280" t="n"/>
      <c r="I128" s="343" t="n"/>
      <c r="J128" s="280" t="n"/>
      <c r="K128" s="343" t="n"/>
      <c r="L128" s="280" t="n"/>
      <c r="M128" s="280" t="n"/>
      <c r="N128" s="345" t="n"/>
      <c r="O128" s="280" t="n"/>
      <c r="P128" s="343" t="n"/>
      <c r="Q128" s="343" t="n"/>
      <c r="R128" s="280" t="n"/>
      <c r="S128" s="280" t="n"/>
      <c r="T128" s="280" t="n"/>
      <c r="U128" s="280" t="n"/>
      <c r="V128" s="280" t="n"/>
      <c r="W128" s="280" t="n"/>
      <c r="X128" s="280" t="n"/>
      <c r="Y128" s="280" t="n"/>
    </row>
    <row r="129" ht="15" customHeight="1" s="195">
      <c r="A129" s="334" t="n"/>
      <c r="B129" s="334" t="n"/>
      <c r="C129" s="334" t="n"/>
      <c r="D129" s="334" t="n"/>
      <c r="E129" s="334" t="n"/>
      <c r="F129" s="334" t="n"/>
      <c r="G129" s="334" t="n"/>
      <c r="H129" s="334" t="n"/>
      <c r="I129" s="332">
        <f>IFERROR(VLOOKUP(TEXT(H129,"0"),IPRESS!$A$3:$B$212,2,0),"")</f>
        <v/>
      </c>
      <c r="J129" s="334" t="n"/>
      <c r="K129" s="332">
        <f>IFERROR(VLOOKUP(TEXT(O129,"0"),CONDUCTORES!$A$3:$G$54,7,0),"")</f>
        <v/>
      </c>
      <c r="L129" s="334" t="n"/>
      <c r="M129" s="334" t="n"/>
      <c r="N129" s="333">
        <f>IFERROR(IF(L129*M129=0,"",L129*M129),"")</f>
        <v/>
      </c>
      <c r="O129" s="334" t="n"/>
      <c r="P129" s="332">
        <f>IFERROR(VLOOKUP(TEXT(O129,"0"),CONDUCTORES!$A$3:$G$54,2,0),"")</f>
        <v/>
      </c>
      <c r="Q129" s="332">
        <f>IFERROR(VLOOKUP(TEXT(O129,"0"),CONDUCTORES!$A$3:$H$54,6,0),"")</f>
        <v/>
      </c>
      <c r="R129" s="334" t="n"/>
      <c r="S129" s="334" t="n"/>
      <c r="T129" s="334" t="n"/>
      <c r="U129" s="334" t="n"/>
      <c r="V129" s="334" t="n"/>
      <c r="W129" s="334" t="n"/>
      <c r="X129" s="334" t="n"/>
      <c r="Y129" s="334" t="n"/>
    </row>
    <row r="130" ht="15" customHeight="1" s="195">
      <c r="A130" s="280" t="n"/>
      <c r="B130" s="280" t="n"/>
      <c r="C130" s="280" t="n"/>
      <c r="D130" s="280" t="n"/>
      <c r="E130" s="280" t="n"/>
      <c r="F130" s="280" t="n"/>
      <c r="G130" s="280" t="n"/>
      <c r="H130" s="280" t="n"/>
      <c r="I130" s="332">
        <f>IFERROR(VLOOKUP(TEXT(H130,"0"),IPRESS!$A$3:$B$212,2,0),"")</f>
        <v/>
      </c>
      <c r="J130" s="280" t="n"/>
      <c r="K130" s="332">
        <f>IFERROR(VLOOKUP(TEXT(O130,"0"),CONDUCTORES!$A$3:$G$54,7,0),"")</f>
        <v/>
      </c>
      <c r="L130" s="280" t="n"/>
      <c r="M130" s="280" t="n"/>
      <c r="N130" s="333">
        <f>IFERROR(IF(L130*M130=0,"",L130*M130),"")</f>
        <v/>
      </c>
      <c r="O130" s="280" t="n"/>
      <c r="P130" s="332">
        <f>IFERROR(VLOOKUP(TEXT(O130,"0"),CONDUCTORES!$A$3:$G$54,2,0),"")</f>
        <v/>
      </c>
      <c r="Q130" s="332">
        <f>IFERROR(VLOOKUP(TEXT(O130,"0"),CONDUCTORES!$A$3:$H$54,6,0),"")</f>
        <v/>
      </c>
      <c r="R130" s="280" t="n"/>
      <c r="S130" s="280" t="n"/>
      <c r="T130" s="280" t="n"/>
      <c r="U130" s="280" t="n"/>
      <c r="V130" s="280" t="n"/>
      <c r="W130" s="280" t="n"/>
      <c r="X130" s="280" t="n"/>
      <c r="Y130" s="280" t="n"/>
    </row>
    <row r="131" ht="15" customHeight="1" s="195">
      <c r="A131" s="334" t="n"/>
      <c r="B131" s="334" t="n"/>
      <c r="C131" s="334" t="n"/>
      <c r="D131" s="334" t="n"/>
      <c r="E131" s="334" t="n"/>
      <c r="F131" s="334" t="n"/>
      <c r="G131" s="334" t="n"/>
      <c r="H131" s="334" t="n"/>
      <c r="I131" s="332">
        <f>IFERROR(VLOOKUP(TEXT(H131,"0"),IPRESS!$A$3:$B$212,2,0),"")</f>
        <v/>
      </c>
      <c r="J131" s="334" t="n"/>
      <c r="K131" s="332">
        <f>IFERROR(VLOOKUP(TEXT(O131,"0"),CONDUCTORES!$A$3:$G$54,7,0),"")</f>
        <v/>
      </c>
      <c r="L131" s="334" t="n"/>
      <c r="M131" s="334" t="n"/>
      <c r="N131" s="333">
        <f>IFERROR(IF(L131*M131=0,"",L131*M131),"")</f>
        <v/>
      </c>
      <c r="O131" s="334" t="n"/>
      <c r="P131" s="332">
        <f>IFERROR(VLOOKUP(TEXT(O131,"0"),CONDUCTORES!$A$3:$G$54,2,0),"")</f>
        <v/>
      </c>
      <c r="Q131" s="332">
        <f>IFERROR(VLOOKUP(TEXT(O131,"0"),CONDUCTORES!$A$3:$H$54,6,0),"")</f>
        <v/>
      </c>
      <c r="R131" s="334" t="n"/>
      <c r="S131" s="334" t="n"/>
      <c r="T131" s="334" t="n"/>
      <c r="U131" s="334" t="n"/>
      <c r="V131" s="334" t="n"/>
      <c r="W131" s="334" t="n"/>
      <c r="X131" s="334" t="n"/>
      <c r="Y131" s="334" t="n"/>
    </row>
    <row r="132" ht="15" customHeight="1" s="195">
      <c r="A132" s="280" t="n"/>
      <c r="B132" s="280" t="n"/>
      <c r="C132" s="280" t="n"/>
      <c r="D132" s="280" t="n"/>
      <c r="E132" s="280" t="n"/>
      <c r="F132" s="280" t="n"/>
      <c r="G132" s="280" t="n"/>
      <c r="H132" s="280" t="n"/>
      <c r="I132" s="332">
        <f>IFERROR(VLOOKUP(TEXT(H132,"0"),IPRESS!$A$3:$B$212,2,0),"")</f>
        <v/>
      </c>
      <c r="J132" s="280" t="n"/>
      <c r="K132" s="332">
        <f>IFERROR(VLOOKUP(TEXT(O132,"0"),CONDUCTORES!$A$3:$G$54,7,0),"")</f>
        <v/>
      </c>
      <c r="L132" s="280" t="n"/>
      <c r="M132" s="280" t="n"/>
      <c r="N132" s="333">
        <f>IFERROR(IF(L132*M132=0,"",L132*M132),"")</f>
        <v/>
      </c>
      <c r="O132" s="280" t="n"/>
      <c r="P132" s="332">
        <f>IFERROR(VLOOKUP(TEXT(O132,"0"),CONDUCTORES!$A$3:$G$54,2,0),"")</f>
        <v/>
      </c>
      <c r="Q132" s="332">
        <f>IFERROR(VLOOKUP(TEXT(O132,"0"),CONDUCTORES!$A$3:$H$54,6,0),"")</f>
        <v/>
      </c>
      <c r="R132" s="280" t="n"/>
      <c r="S132" s="280" t="n"/>
      <c r="T132" s="280" t="n"/>
      <c r="U132" s="280" t="n"/>
      <c r="V132" s="280" t="n"/>
      <c r="W132" s="280" t="n"/>
      <c r="X132" s="280" t="n"/>
      <c r="Y132" s="280" t="n"/>
    </row>
    <row r="133" ht="15" customHeight="1" s="195">
      <c r="A133" s="334" t="n"/>
      <c r="B133" s="334" t="n"/>
      <c r="C133" s="334" t="n"/>
      <c r="D133" s="334" t="n"/>
      <c r="E133" s="334" t="n"/>
      <c r="F133" s="334" t="n"/>
      <c r="G133" s="334" t="n"/>
      <c r="H133" s="334" t="n"/>
      <c r="I133" s="332">
        <f>IFERROR(VLOOKUP(TEXT(H133,"0"),IPRESS!$A$3:$B$212,2,0),"")</f>
        <v/>
      </c>
      <c r="J133" s="334" t="n"/>
      <c r="K133" s="332">
        <f>IFERROR(VLOOKUP(TEXT(O133,"0"),CONDUCTORES!$A$3:$G$54,7,0),"")</f>
        <v/>
      </c>
      <c r="L133" s="334" t="n"/>
      <c r="M133" s="334" t="n"/>
      <c r="N133" s="333">
        <f>IFERROR(IF(L133*M133=0,"",L133*M133),"")</f>
        <v/>
      </c>
      <c r="O133" s="334" t="n"/>
      <c r="P133" s="332">
        <f>IFERROR(VLOOKUP(TEXT(O133,"0"),CONDUCTORES!$A$3:$G$54,2,0),"")</f>
        <v/>
      </c>
      <c r="Q133" s="332">
        <f>IFERROR(VLOOKUP(TEXT(O133,"0"),CONDUCTORES!$A$3:$H$54,6,0),"")</f>
        <v/>
      </c>
      <c r="R133" s="334" t="n"/>
      <c r="S133" s="334" t="n"/>
      <c r="T133" s="334" t="n"/>
      <c r="U133" s="334" t="n"/>
      <c r="V133" s="334" t="n"/>
      <c r="W133" s="334" t="n"/>
      <c r="X133" s="334" t="n"/>
      <c r="Y133" s="334" t="n"/>
    </row>
    <row r="134" ht="15" customHeight="1" s="195">
      <c r="A134" s="280" t="n"/>
      <c r="B134" s="280" t="n"/>
      <c r="C134" s="280" t="n"/>
      <c r="D134" s="280" t="n"/>
      <c r="E134" s="280" t="n"/>
      <c r="F134" s="280" t="n"/>
      <c r="G134" s="280" t="n"/>
      <c r="H134" s="280" t="n"/>
      <c r="I134" s="332">
        <f>IFERROR(VLOOKUP(TEXT(H134,"0"),IPRESS!$A$3:$B$212,2,0),"")</f>
        <v/>
      </c>
      <c r="J134" s="280" t="n"/>
      <c r="K134" s="332">
        <f>IFERROR(VLOOKUP(TEXT(O134,"0"),CONDUCTORES!$A$3:$G$54,7,0),"")</f>
        <v/>
      </c>
      <c r="L134" s="280" t="n"/>
      <c r="M134" s="280" t="n"/>
      <c r="N134" s="333">
        <f>IFERROR(IF(L134*M134=0,"",L134*M134),"")</f>
        <v/>
      </c>
      <c r="O134" s="280" t="n"/>
      <c r="P134" s="332">
        <f>IFERROR(VLOOKUP(TEXT(O134,"0"),CONDUCTORES!$A$3:$G$54,2,0),"")</f>
        <v/>
      </c>
      <c r="Q134" s="332">
        <f>IFERROR(VLOOKUP(TEXT(O134,"0"),CONDUCTORES!$A$3:$H$54,6,0),"")</f>
        <v/>
      </c>
      <c r="R134" s="280" t="n"/>
      <c r="S134" s="280" t="n"/>
      <c r="T134" s="280" t="n"/>
      <c r="U134" s="280" t="n"/>
      <c r="V134" s="280" t="n"/>
      <c r="W134" s="280" t="n"/>
      <c r="X134" s="280" t="n"/>
      <c r="Y134" s="280" t="n"/>
    </row>
    <row r="135" ht="15" customHeight="1" s="195">
      <c r="A135" s="334" t="n"/>
      <c r="B135" s="334" t="n"/>
      <c r="C135" s="334" t="n"/>
      <c r="D135" s="334" t="n"/>
      <c r="E135" s="334" t="n"/>
      <c r="F135" s="334" t="n"/>
      <c r="G135" s="334" t="n"/>
      <c r="H135" s="334" t="n"/>
      <c r="I135" s="332">
        <f>IFERROR(VLOOKUP(TEXT(H135,"0"),IPRESS!$A$3:$B$212,2,0),"")</f>
        <v/>
      </c>
      <c r="J135" s="334" t="n"/>
      <c r="K135" s="332">
        <f>IFERROR(VLOOKUP(TEXT(O135,"0"),CONDUCTORES!$A$3:$G$54,7,0),"")</f>
        <v/>
      </c>
      <c r="L135" s="334" t="n"/>
      <c r="M135" s="334" t="n"/>
      <c r="N135" s="333">
        <f>IFERROR(IF(L135*M135=0,"",L135*M135),"")</f>
        <v/>
      </c>
      <c r="O135" s="334" t="n"/>
      <c r="P135" s="332">
        <f>IFERROR(VLOOKUP(TEXT(O135,"0"),CONDUCTORES!$A$3:$G$54,2,0),"")</f>
        <v/>
      </c>
      <c r="Q135" s="332">
        <f>IFERROR(VLOOKUP(TEXT(O135,"0"),CONDUCTORES!$A$3:$H$54,6,0),"")</f>
        <v/>
      </c>
      <c r="R135" s="334" t="n"/>
      <c r="S135" s="334" t="n"/>
      <c r="T135" s="334" t="n"/>
      <c r="U135" s="334" t="n"/>
      <c r="V135" s="334" t="n"/>
      <c r="W135" s="334" t="n"/>
      <c r="X135" s="334" t="n"/>
      <c r="Y135" s="334" t="n"/>
    </row>
    <row r="136" ht="15" customHeight="1" s="195">
      <c r="A136" s="280" t="n"/>
      <c r="B136" s="280" t="n"/>
      <c r="C136" s="280" t="n"/>
      <c r="D136" s="280" t="n"/>
      <c r="E136" s="280" t="n"/>
      <c r="F136" s="280" t="n"/>
      <c r="G136" s="280" t="n"/>
      <c r="H136" s="280" t="n"/>
      <c r="I136" s="332">
        <f>IFERROR(VLOOKUP(TEXT(H136,"0"),IPRESS!$A$3:$B$212,2,0),"")</f>
        <v/>
      </c>
      <c r="J136" s="280" t="n"/>
      <c r="K136" s="332">
        <f>IFERROR(VLOOKUP(TEXT(O136,"0"),CONDUCTORES!$A$3:$G$54,7,0),"")</f>
        <v/>
      </c>
      <c r="L136" s="280" t="n"/>
      <c r="M136" s="280" t="n"/>
      <c r="N136" s="333">
        <f>IFERROR(IF(L136*M136=0,"",L136*M136),"")</f>
        <v/>
      </c>
      <c r="O136" s="280" t="n"/>
      <c r="P136" s="332">
        <f>IFERROR(VLOOKUP(TEXT(O136,"0"),CONDUCTORES!$A$3:$G$54,2,0),"")</f>
        <v/>
      </c>
      <c r="Q136" s="332">
        <f>IFERROR(VLOOKUP(TEXT(O136,"0"),CONDUCTORES!$A$3:$H$54,6,0),"")</f>
        <v/>
      </c>
      <c r="R136" s="280" t="n"/>
      <c r="S136" s="280" t="n"/>
      <c r="T136" s="280" t="n"/>
      <c r="U136" s="280" t="n"/>
      <c r="V136" s="280" t="n"/>
      <c r="W136" s="280" t="n"/>
      <c r="X136" s="280" t="n"/>
      <c r="Y136" s="280" t="n"/>
    </row>
    <row r="137" ht="15" customHeight="1" s="195">
      <c r="A137" s="334" t="n"/>
      <c r="B137" s="334" t="n"/>
      <c r="C137" s="334" t="n"/>
      <c r="D137" s="334" t="n"/>
      <c r="E137" s="334" t="n"/>
      <c r="F137" s="334" t="n"/>
      <c r="G137" s="334" t="n"/>
      <c r="H137" s="334" t="n"/>
      <c r="I137" s="332">
        <f>IFERROR(VLOOKUP(TEXT(H137,"0"),IPRESS!$A$3:$B$212,2,0),"")</f>
        <v/>
      </c>
      <c r="J137" s="334" t="n"/>
      <c r="K137" s="332">
        <f>IFERROR(VLOOKUP(TEXT(O137,"0"),CONDUCTORES!$A$3:$G$54,7,0),"")</f>
        <v/>
      </c>
      <c r="L137" s="334" t="n"/>
      <c r="M137" s="334" t="n"/>
      <c r="N137" s="333">
        <f>IFERROR(IF(L137*M137=0,"",L137*M137),"")</f>
        <v/>
      </c>
      <c r="O137" s="334" t="n"/>
      <c r="P137" s="332">
        <f>IFERROR(VLOOKUP(TEXT(O137,"0"),CONDUCTORES!$A$3:$G$54,2,0),"")</f>
        <v/>
      </c>
      <c r="Q137" s="332">
        <f>IFERROR(VLOOKUP(TEXT(O137,"0"),CONDUCTORES!$A$3:$H$54,6,0),"")</f>
        <v/>
      </c>
      <c r="R137" s="334" t="n"/>
      <c r="S137" s="334" t="n"/>
      <c r="T137" s="334" t="n"/>
      <c r="U137" s="334" t="n"/>
      <c r="V137" s="334" t="n"/>
      <c r="W137" s="334" t="n"/>
      <c r="X137" s="334" t="n"/>
      <c r="Y137" s="334" t="n"/>
    </row>
    <row r="138" ht="15" customHeight="1" s="195">
      <c r="A138" s="280" t="n"/>
      <c r="B138" s="280" t="n"/>
      <c r="C138" s="280" t="n"/>
      <c r="D138" s="280" t="n"/>
      <c r="E138" s="280" t="n"/>
      <c r="F138" s="280" t="n"/>
      <c r="G138" s="280" t="n"/>
      <c r="H138" s="280" t="n"/>
      <c r="I138" s="332">
        <f>IFERROR(VLOOKUP(TEXT(H138,"0"),IPRESS!$A$3:$B$212,2,0),"")</f>
        <v/>
      </c>
      <c r="J138" s="280" t="n"/>
      <c r="K138" s="332">
        <f>IFERROR(VLOOKUP(TEXT(O138,"0"),CONDUCTORES!$A$3:$G$54,7,0),"")</f>
        <v/>
      </c>
      <c r="L138" s="280" t="n"/>
      <c r="M138" s="280" t="n"/>
      <c r="N138" s="333">
        <f>IFERROR(IF(L138*M138=0,"",L138*M138),"")</f>
        <v/>
      </c>
      <c r="O138" s="280" t="n"/>
      <c r="P138" s="332">
        <f>IFERROR(VLOOKUP(TEXT(O138,"0"),CONDUCTORES!$A$3:$G$54,2,0),"")</f>
        <v/>
      </c>
      <c r="Q138" s="332">
        <f>IFERROR(VLOOKUP(TEXT(O138,"0"),CONDUCTORES!$A$3:$H$54,6,0),"")</f>
        <v/>
      </c>
      <c r="R138" s="280" t="n"/>
      <c r="S138" s="280" t="n"/>
      <c r="T138" s="280" t="n"/>
      <c r="U138" s="280" t="n"/>
      <c r="V138" s="280" t="n"/>
      <c r="W138" s="280" t="n"/>
      <c r="X138" s="280" t="n"/>
      <c r="Y138" s="280" t="n"/>
    </row>
    <row r="139" ht="15" customHeight="1" s="195">
      <c r="A139" s="334" t="n"/>
      <c r="B139" s="334" t="n"/>
      <c r="C139" s="334" t="n"/>
      <c r="D139" s="334" t="n"/>
      <c r="E139" s="334" t="n"/>
      <c r="F139" s="334" t="n"/>
      <c r="G139" s="334" t="n"/>
      <c r="H139" s="334" t="n"/>
      <c r="I139" s="332">
        <f>IFERROR(VLOOKUP(TEXT(H139,"0"),IPRESS!$A$3:$B$212,2,0),"")</f>
        <v/>
      </c>
      <c r="J139" s="334" t="n"/>
      <c r="K139" s="332">
        <f>IFERROR(VLOOKUP(TEXT(O139,"0"),CONDUCTORES!$A$3:$G$54,7,0),"")</f>
        <v/>
      </c>
      <c r="L139" s="334" t="n"/>
      <c r="M139" s="334" t="n"/>
      <c r="N139" s="333">
        <f>IFERROR(IF(L139*M139=0,"",L139*M139),"")</f>
        <v/>
      </c>
      <c r="O139" s="334" t="n"/>
      <c r="P139" s="332">
        <f>IFERROR(VLOOKUP(TEXT(O139,"0"),CONDUCTORES!$A$3:$G$54,2,0),"")</f>
        <v/>
      </c>
      <c r="Q139" s="332">
        <f>IFERROR(VLOOKUP(TEXT(O139,"0"),CONDUCTORES!$A$3:$H$54,6,0),"")</f>
        <v/>
      </c>
      <c r="R139" s="334" t="n"/>
      <c r="S139" s="334" t="n"/>
      <c r="T139" s="334" t="n"/>
      <c r="U139" s="334" t="n"/>
      <c r="V139" s="334" t="n"/>
      <c r="W139" s="334" t="n"/>
      <c r="X139" s="334" t="n"/>
      <c r="Y139" s="334" t="n"/>
    </row>
    <row r="140" ht="15" customHeight="1" s="195">
      <c r="A140" s="280" t="n"/>
      <c r="B140" s="280" t="n"/>
      <c r="C140" s="280" t="n"/>
      <c r="D140" s="280" t="n"/>
      <c r="E140" s="280" t="n"/>
      <c r="F140" s="280" t="n"/>
      <c r="G140" s="280" t="n"/>
      <c r="H140" s="280" t="n"/>
      <c r="I140" s="332">
        <f>IFERROR(VLOOKUP(TEXT(H140,"0"),IPRESS!$A$3:$B$212,2,0),"")</f>
        <v/>
      </c>
      <c r="J140" s="280" t="n"/>
      <c r="K140" s="332">
        <f>IFERROR(VLOOKUP(TEXT(O140,"0"),CONDUCTORES!$A$3:$G$54,7,0),"")</f>
        <v/>
      </c>
      <c r="L140" s="280" t="n"/>
      <c r="M140" s="280" t="n"/>
      <c r="N140" s="333">
        <f>IFERROR(IF(L140*M140=0,"",L140*M140),"")</f>
        <v/>
      </c>
      <c r="O140" s="280" t="n"/>
      <c r="P140" s="332">
        <f>IFERROR(VLOOKUP(TEXT(O140,"0"),CONDUCTORES!$A$3:$G$54,2,0),"")</f>
        <v/>
      </c>
      <c r="Q140" s="332">
        <f>IFERROR(VLOOKUP(TEXT(O140,"0"),CONDUCTORES!$A$3:$H$54,6,0),"")</f>
        <v/>
      </c>
      <c r="R140" s="280" t="n"/>
      <c r="S140" s="280" t="n"/>
      <c r="T140" s="280" t="n"/>
      <c r="U140" s="280" t="n"/>
      <c r="V140" s="280" t="n"/>
      <c r="W140" s="280" t="n"/>
      <c r="X140" s="280" t="n"/>
      <c r="Y140" s="280" t="n"/>
    </row>
    <row r="141" ht="15" customHeight="1" s="195">
      <c r="A141" s="334" t="n"/>
      <c r="B141" s="334" t="n"/>
      <c r="C141" s="334" t="n"/>
      <c r="D141" s="334" t="n"/>
      <c r="E141" s="334" t="n"/>
      <c r="F141" s="334" t="n"/>
      <c r="G141" s="334" t="n"/>
      <c r="H141" s="334" t="n"/>
      <c r="I141" s="332">
        <f>IFERROR(VLOOKUP(TEXT(H141,"0"),IPRESS!$A$3:$B$212,2,0),"")</f>
        <v/>
      </c>
      <c r="J141" s="334" t="n"/>
      <c r="K141" s="332">
        <f>IFERROR(VLOOKUP(TEXT(O141,"0"),CONDUCTORES!$A$3:$G$54,7,0),"")</f>
        <v/>
      </c>
      <c r="L141" s="334" t="n"/>
      <c r="M141" s="334" t="n"/>
      <c r="N141" s="333">
        <f>IFERROR(IF(L141*M141=0,"",L141*M141),"")</f>
        <v/>
      </c>
      <c r="O141" s="334" t="n"/>
      <c r="P141" s="332">
        <f>IFERROR(VLOOKUP(TEXT(O141,"0"),CONDUCTORES!$A$3:$G$54,2,0),"")</f>
        <v/>
      </c>
      <c r="Q141" s="332">
        <f>IFERROR(VLOOKUP(TEXT(O141,"0"),CONDUCTORES!$A$3:$H$54,6,0),"")</f>
        <v/>
      </c>
      <c r="R141" s="334" t="n"/>
      <c r="S141" s="334" t="n"/>
      <c r="T141" s="334" t="n"/>
      <c r="U141" s="334" t="n"/>
      <c r="V141" s="334" t="n"/>
      <c r="W141" s="334" t="n"/>
      <c r="X141" s="334" t="n"/>
      <c r="Y141" s="334" t="n"/>
    </row>
    <row r="142" ht="15" customHeight="1" s="195">
      <c r="A142" s="280" t="n"/>
      <c r="B142" s="280" t="n"/>
      <c r="C142" s="280" t="n"/>
      <c r="D142" s="280" t="n"/>
      <c r="E142" s="280" t="n"/>
      <c r="F142" s="280" t="n"/>
      <c r="G142" s="280" t="n"/>
      <c r="H142" s="280" t="n"/>
      <c r="I142" s="332">
        <f>IFERROR(VLOOKUP(TEXT(H142,"0"),IPRESS!$A$3:$B$212,2,0),"")</f>
        <v/>
      </c>
      <c r="J142" s="280" t="n"/>
      <c r="K142" s="332">
        <f>IFERROR(VLOOKUP(TEXT(O142,"0"),CONDUCTORES!$A$3:$G$54,7,0),"")</f>
        <v/>
      </c>
      <c r="L142" s="280" t="n"/>
      <c r="M142" s="280" t="n"/>
      <c r="N142" s="333">
        <f>IFERROR(IF(L142*M142=0,"",L142*M142),"")</f>
        <v/>
      </c>
      <c r="O142" s="280" t="n"/>
      <c r="P142" s="332">
        <f>IFERROR(VLOOKUP(TEXT(O142,"0"),CONDUCTORES!$A$3:$G$54,2,0),"")</f>
        <v/>
      </c>
      <c r="Q142" s="332">
        <f>IFERROR(VLOOKUP(TEXT(O142,"0"),CONDUCTORES!$A$3:$H$54,6,0),"")</f>
        <v/>
      </c>
      <c r="R142" s="280" t="n"/>
      <c r="S142" s="280" t="n"/>
      <c r="T142" s="280" t="n"/>
      <c r="U142" s="280" t="n"/>
      <c r="V142" s="280" t="n"/>
      <c r="W142" s="280" t="n"/>
      <c r="X142" s="280" t="n"/>
      <c r="Y142" s="280" t="n"/>
    </row>
    <row r="143" ht="15" customHeight="1" s="195">
      <c r="A143" s="334" t="n"/>
      <c r="B143" s="334" t="n"/>
      <c r="C143" s="334" t="n"/>
      <c r="D143" s="334" t="n"/>
      <c r="E143" s="334" t="n"/>
      <c r="F143" s="334" t="n"/>
      <c r="G143" s="334" t="n"/>
      <c r="H143" s="334" t="n"/>
      <c r="I143" s="332">
        <f>IFERROR(VLOOKUP(TEXT(H143,"0"),IPRESS!$A$3:$B$212,2,0),"")</f>
        <v/>
      </c>
      <c r="J143" s="334" t="n"/>
      <c r="K143" s="332">
        <f>IFERROR(VLOOKUP(TEXT(O143,"0"),CONDUCTORES!$A$3:$G$54,7,0),"")</f>
        <v/>
      </c>
      <c r="L143" s="334" t="n"/>
      <c r="M143" s="334" t="n"/>
      <c r="N143" s="333">
        <f>IFERROR(IF(L143*M143=0,"",L143*M143),"")</f>
        <v/>
      </c>
      <c r="O143" s="334" t="n"/>
      <c r="P143" s="332">
        <f>IFERROR(VLOOKUP(TEXT(O143,"0"),CONDUCTORES!$A$3:$G$54,2,0),"")</f>
        <v/>
      </c>
      <c r="Q143" s="332">
        <f>IFERROR(VLOOKUP(TEXT(O143,"0"),CONDUCTORES!$A$3:$H$54,6,0),"")</f>
        <v/>
      </c>
      <c r="R143" s="334" t="n"/>
      <c r="S143" s="334" t="n"/>
      <c r="T143" s="334" t="n"/>
      <c r="U143" s="334" t="n"/>
      <c r="V143" s="334" t="n"/>
      <c r="W143" s="334" t="n"/>
      <c r="X143" s="334" t="n"/>
      <c r="Y143" s="334" t="n"/>
    </row>
    <row r="144" ht="15" customHeight="1" s="195">
      <c r="A144" s="280" t="n"/>
      <c r="B144" s="280" t="n"/>
      <c r="C144" s="280" t="n"/>
      <c r="D144" s="280" t="n"/>
      <c r="E144" s="280" t="n"/>
      <c r="F144" s="280" t="n"/>
      <c r="G144" s="280" t="n"/>
      <c r="H144" s="280" t="n"/>
      <c r="I144" s="332">
        <f>IFERROR(VLOOKUP(TEXT(H144,"0"),IPRESS!$A$3:$B$212,2,0),"")</f>
        <v/>
      </c>
      <c r="J144" s="280" t="n"/>
      <c r="K144" s="332">
        <f>IFERROR(VLOOKUP(TEXT(O144,"0"),CONDUCTORES!$A$3:$G$54,7,0),"")</f>
        <v/>
      </c>
      <c r="L144" s="280" t="n"/>
      <c r="M144" s="280" t="n"/>
      <c r="N144" s="333">
        <f>IFERROR(IF(L144*M144=0,"",L144*M144),"")</f>
        <v/>
      </c>
      <c r="O144" s="280" t="n"/>
      <c r="P144" s="332">
        <f>IFERROR(VLOOKUP(TEXT(O144,"0"),CONDUCTORES!$A$3:$G$54,2,0),"")</f>
        <v/>
      </c>
      <c r="Q144" s="332">
        <f>IFERROR(VLOOKUP(TEXT(O144,"0"),CONDUCTORES!$A$3:$H$54,6,0),"")</f>
        <v/>
      </c>
      <c r="R144" s="280" t="n"/>
      <c r="S144" s="280" t="n"/>
      <c r="T144" s="280" t="n"/>
      <c r="U144" s="280" t="n"/>
      <c r="V144" s="280" t="n"/>
      <c r="W144" s="280" t="n"/>
      <c r="X144" s="280" t="n"/>
      <c r="Y144" s="280" t="n"/>
    </row>
    <row r="145" ht="15" customHeight="1" s="195">
      <c r="A145" s="334" t="n"/>
      <c r="B145" s="334" t="n"/>
      <c r="C145" s="334" t="n"/>
      <c r="D145" s="334" t="n"/>
      <c r="E145" s="334" t="n"/>
      <c r="F145" s="334" t="n"/>
      <c r="G145" s="334" t="n"/>
      <c r="H145" s="334" t="n"/>
      <c r="I145" s="332">
        <f>IFERROR(VLOOKUP(TEXT(H145,"0"),IPRESS!$A$3:$B$212,2,0),"")</f>
        <v/>
      </c>
      <c r="J145" s="334" t="n"/>
      <c r="K145" s="332">
        <f>IFERROR(VLOOKUP(TEXT(O145,"0"),CONDUCTORES!$A$3:$G$54,7,0),"")</f>
        <v/>
      </c>
      <c r="L145" s="334" t="n"/>
      <c r="M145" s="334" t="n"/>
      <c r="N145" s="333">
        <f>IFERROR(IF(L145*M145=0,"",L145*M145),"")</f>
        <v/>
      </c>
      <c r="O145" s="334" t="n"/>
      <c r="P145" s="332">
        <f>IFERROR(VLOOKUP(TEXT(O145,"0"),CONDUCTORES!$A$3:$G$54,2,0),"")</f>
        <v/>
      </c>
      <c r="Q145" s="332">
        <f>IFERROR(VLOOKUP(TEXT(O145,"0"),CONDUCTORES!$A$3:$H$54,6,0),"")</f>
        <v/>
      </c>
      <c r="R145" s="334" t="n"/>
      <c r="S145" s="334" t="n"/>
      <c r="T145" s="334" t="n"/>
      <c r="U145" s="334" t="n"/>
      <c r="V145" s="334" t="n"/>
      <c r="W145" s="334" t="n"/>
      <c r="X145" s="334" t="n"/>
      <c r="Y145" s="334" t="n"/>
    </row>
    <row r="146" ht="15" customHeight="1" s="195">
      <c r="A146" s="280" t="n"/>
      <c r="B146" s="280" t="n"/>
      <c r="C146" s="280" t="n"/>
      <c r="D146" s="280" t="n"/>
      <c r="E146" s="280" t="n"/>
      <c r="F146" s="280" t="n"/>
      <c r="G146" s="280" t="n"/>
      <c r="H146" s="280" t="n"/>
      <c r="I146" s="332">
        <f>IFERROR(VLOOKUP(TEXT(H146,"0"),IPRESS!$A$3:$B$212,2,0),"")</f>
        <v/>
      </c>
      <c r="J146" s="280" t="n"/>
      <c r="K146" s="332">
        <f>IFERROR(VLOOKUP(TEXT(O146,"0"),CONDUCTORES!$A$3:$G$54,7,0),"")</f>
        <v/>
      </c>
      <c r="L146" s="280" t="n"/>
      <c r="M146" s="280" t="n"/>
      <c r="N146" s="333">
        <f>IFERROR(IF(L146*M146=0,"",L146*M146),"")</f>
        <v/>
      </c>
      <c r="O146" s="280" t="n"/>
      <c r="P146" s="332">
        <f>IFERROR(VLOOKUP(TEXT(O146,"0"),CONDUCTORES!$A$3:$G$54,2,0),"")</f>
        <v/>
      </c>
      <c r="Q146" s="332">
        <f>IFERROR(VLOOKUP(TEXT(O146,"0"),CONDUCTORES!$A$3:$H$54,6,0),"")</f>
        <v/>
      </c>
      <c r="R146" s="280" t="n"/>
      <c r="S146" s="280" t="n"/>
      <c r="T146" s="280" t="n"/>
      <c r="U146" s="280" t="n"/>
      <c r="V146" s="280" t="n"/>
      <c r="W146" s="280" t="n"/>
      <c r="X146" s="280" t="n"/>
      <c r="Y146" s="280" t="n"/>
    </row>
    <row r="147" ht="15" customHeight="1" s="195">
      <c r="A147" s="334" t="n"/>
      <c r="B147" s="334" t="n"/>
      <c r="C147" s="334" t="n"/>
      <c r="D147" s="334" t="n"/>
      <c r="E147" s="334" t="n"/>
      <c r="F147" s="334" t="n"/>
      <c r="G147" s="334" t="n"/>
      <c r="H147" s="334" t="n"/>
      <c r="I147" s="332">
        <f>IFERROR(VLOOKUP(TEXT(H147,"0"),IPRESS!$A$3:$B$212,2,0),"")</f>
        <v/>
      </c>
      <c r="J147" s="334" t="n"/>
      <c r="K147" s="332">
        <f>IFERROR(VLOOKUP(TEXT(O147,"0"),CONDUCTORES!$A$3:$G$54,7,0),"")</f>
        <v/>
      </c>
      <c r="L147" s="334" t="n"/>
      <c r="M147" s="334" t="n"/>
      <c r="N147" s="333">
        <f>IFERROR(IF(L147*M147=0,"",L147*M147),"")</f>
        <v/>
      </c>
      <c r="O147" s="334" t="n"/>
      <c r="P147" s="332">
        <f>IFERROR(VLOOKUP(TEXT(O147,"0"),CONDUCTORES!$A$3:$G$54,2,0),"")</f>
        <v/>
      </c>
      <c r="Q147" s="332">
        <f>IFERROR(VLOOKUP(TEXT(O147,"0"),CONDUCTORES!$A$3:$H$54,6,0),"")</f>
        <v/>
      </c>
      <c r="R147" s="334" t="n"/>
      <c r="S147" s="334" t="n"/>
      <c r="T147" s="334" t="n"/>
      <c r="U147" s="334" t="n"/>
      <c r="V147" s="334" t="n"/>
      <c r="W147" s="334" t="n"/>
      <c r="X147" s="334" t="n"/>
      <c r="Y147" s="334" t="n"/>
    </row>
    <row r="148" ht="15" customHeight="1" s="195">
      <c r="A148" s="280" t="n"/>
      <c r="B148" s="280" t="n"/>
      <c r="C148" s="280" t="n"/>
      <c r="D148" s="280" t="n"/>
      <c r="E148" s="280" t="n"/>
      <c r="F148" s="280" t="n"/>
      <c r="G148" s="280" t="n"/>
      <c r="H148" s="280" t="n"/>
      <c r="I148" s="332">
        <f>IFERROR(VLOOKUP(TEXT(H148,"0"),IPRESS!$A$3:$B$212,2,0),"")</f>
        <v/>
      </c>
      <c r="J148" s="280" t="n"/>
      <c r="K148" s="332">
        <f>IFERROR(VLOOKUP(TEXT(O148,"0"),CONDUCTORES!$A$3:$G$54,7,0),"")</f>
        <v/>
      </c>
      <c r="L148" s="280" t="n"/>
      <c r="M148" s="280" t="n"/>
      <c r="N148" s="333">
        <f>IFERROR(IF(L148*M148=0,"",L148*M148),"")</f>
        <v/>
      </c>
      <c r="O148" s="280" t="n"/>
      <c r="P148" s="332">
        <f>IFERROR(VLOOKUP(TEXT(O148,"0"),CONDUCTORES!$A$3:$G$54,2,0),"")</f>
        <v/>
      </c>
      <c r="Q148" s="332">
        <f>IFERROR(VLOOKUP(TEXT(O148,"0"),CONDUCTORES!$A$3:$H$54,6,0),"")</f>
        <v/>
      </c>
      <c r="R148" s="280" t="n"/>
      <c r="S148" s="280" t="n"/>
      <c r="T148" s="280" t="n"/>
      <c r="U148" s="280" t="n"/>
      <c r="V148" s="280" t="n"/>
      <c r="W148" s="280" t="n"/>
      <c r="X148" s="280" t="n"/>
      <c r="Y148" s="280" t="n"/>
    </row>
    <row r="149" ht="15" customHeight="1" s="195">
      <c r="A149" s="334" t="n"/>
      <c r="B149" s="334" t="n"/>
      <c r="C149" s="334" t="n"/>
      <c r="D149" s="334" t="n"/>
      <c r="E149" s="334" t="n"/>
      <c r="F149" s="334" t="n"/>
      <c r="G149" s="334" t="n"/>
      <c r="H149" s="334" t="n"/>
      <c r="I149" s="332">
        <f>IFERROR(VLOOKUP(TEXT(H149,"0"),IPRESS!$A$3:$B$212,2,0),"")</f>
        <v/>
      </c>
      <c r="J149" s="334" t="n"/>
      <c r="K149" s="332">
        <f>IFERROR(VLOOKUP(TEXT(O149,"0"),CONDUCTORES!$A$3:$G$54,7,0),"")</f>
        <v/>
      </c>
      <c r="L149" s="334" t="n"/>
      <c r="M149" s="334" t="n"/>
      <c r="N149" s="333">
        <f>IFERROR(IF(L149*M149=0,"",L149*M149),"")</f>
        <v/>
      </c>
      <c r="O149" s="334" t="n"/>
      <c r="P149" s="332">
        <f>IFERROR(VLOOKUP(TEXT(O149,"0"),CONDUCTORES!$A$3:$G$54,2,0),"")</f>
        <v/>
      </c>
      <c r="Q149" s="332">
        <f>IFERROR(VLOOKUP(TEXT(O149,"0"),CONDUCTORES!$A$3:$H$54,6,0),"")</f>
        <v/>
      </c>
      <c r="R149" s="334" t="n"/>
      <c r="S149" s="334" t="n"/>
      <c r="T149" s="334" t="n"/>
      <c r="U149" s="334" t="n"/>
      <c r="V149" s="334" t="n"/>
      <c r="W149" s="334" t="n"/>
      <c r="X149" s="334" t="n"/>
      <c r="Y149" s="334" t="n"/>
    </row>
    <row r="150" ht="15" customHeight="1" s="195">
      <c r="A150" s="280" t="n"/>
      <c r="B150" s="280" t="n"/>
      <c r="C150" s="280" t="n"/>
      <c r="D150" s="280" t="n"/>
      <c r="E150" s="280" t="n"/>
      <c r="F150" s="280" t="n"/>
      <c r="G150" s="280" t="n"/>
      <c r="H150" s="280" t="n"/>
      <c r="I150" s="332">
        <f>IFERROR(VLOOKUP(TEXT(H150,"0"),IPRESS!$A$3:$B$212,2,0),"")</f>
        <v/>
      </c>
      <c r="J150" s="280" t="n"/>
      <c r="K150" s="332">
        <f>IFERROR(VLOOKUP(TEXT(O150,"0"),CONDUCTORES!$A$3:$G$54,7,0),"")</f>
        <v/>
      </c>
      <c r="L150" s="280" t="n"/>
      <c r="M150" s="280" t="n"/>
      <c r="N150" s="333">
        <f>IFERROR(IF(L150*M150=0,"",L150*M150),"")</f>
        <v/>
      </c>
      <c r="O150" s="280" t="n"/>
      <c r="P150" s="332">
        <f>IFERROR(VLOOKUP(TEXT(O150,"0"),CONDUCTORES!$A$3:$G$54,2,0),"")</f>
        <v/>
      </c>
      <c r="Q150" s="332">
        <f>IFERROR(VLOOKUP(TEXT(O150,"0"),CONDUCTORES!$A$3:$H$54,6,0),"")</f>
        <v/>
      </c>
      <c r="R150" s="280" t="n"/>
      <c r="S150" s="280" t="n"/>
      <c r="T150" s="280" t="n"/>
      <c r="U150" s="280" t="n"/>
      <c r="V150" s="280" t="n"/>
      <c r="W150" s="280" t="n"/>
      <c r="X150" s="280" t="n"/>
      <c r="Y150" s="280" t="n"/>
    </row>
    <row r="151" ht="15" customHeight="1" s="195">
      <c r="A151" s="334" t="n"/>
      <c r="B151" s="334" t="n"/>
      <c r="C151" s="334" t="n"/>
      <c r="D151" s="334" t="n"/>
      <c r="E151" s="334" t="n"/>
      <c r="F151" s="334" t="n"/>
      <c r="G151" s="334" t="n"/>
      <c r="H151" s="334" t="n"/>
      <c r="I151" s="332">
        <f>IFERROR(VLOOKUP(TEXT(H151,"0"),IPRESS!$A$3:$B$212,2,0),"")</f>
        <v/>
      </c>
      <c r="J151" s="334" t="n"/>
      <c r="K151" s="332">
        <f>IFERROR(VLOOKUP(TEXT(O151,"0"),CONDUCTORES!$A$3:$G$54,7,0),"")</f>
        <v/>
      </c>
      <c r="L151" s="334" t="n"/>
      <c r="M151" s="334" t="n"/>
      <c r="N151" s="333">
        <f>IFERROR(IF(L151*M151=0,"",L151*M151),"")</f>
        <v/>
      </c>
      <c r="O151" s="334" t="n"/>
      <c r="P151" s="332">
        <f>IFERROR(VLOOKUP(TEXT(O151,"0"),CONDUCTORES!$A$3:$G$54,2,0),"")</f>
        <v/>
      </c>
      <c r="Q151" s="332">
        <f>IFERROR(VLOOKUP(TEXT(O151,"0"),CONDUCTORES!$A$3:$H$54,6,0),"")</f>
        <v/>
      </c>
      <c r="R151" s="334" t="n"/>
      <c r="S151" s="334" t="n"/>
      <c r="T151" s="334" t="n"/>
      <c r="U151" s="334" t="n"/>
      <c r="V151" s="334" t="n"/>
      <c r="W151" s="334" t="n"/>
      <c r="X151" s="334" t="n"/>
      <c r="Y151" s="334" t="n"/>
    </row>
    <row r="152" ht="15" customHeight="1" s="195">
      <c r="A152" s="280" t="n"/>
      <c r="B152" s="280" t="n"/>
      <c r="C152" s="280" t="n"/>
      <c r="D152" s="280" t="n"/>
      <c r="E152" s="280" t="n"/>
      <c r="F152" s="280" t="n"/>
      <c r="G152" s="280" t="n"/>
      <c r="H152" s="280" t="n"/>
      <c r="I152" s="332">
        <f>IFERROR(VLOOKUP(TEXT(H152,"0"),IPRESS!$A$3:$B$212,2,0),"")</f>
        <v/>
      </c>
      <c r="J152" s="280" t="n"/>
      <c r="K152" s="332">
        <f>IFERROR(VLOOKUP(TEXT(O152,"0"),CONDUCTORES!$A$3:$G$54,7,0),"")</f>
        <v/>
      </c>
      <c r="L152" s="280" t="n"/>
      <c r="M152" s="280" t="n"/>
      <c r="N152" s="333">
        <f>IFERROR(IF(L152*M152=0,"",L152*M152),"")</f>
        <v/>
      </c>
      <c r="O152" s="280" t="n"/>
      <c r="P152" s="332">
        <f>IFERROR(VLOOKUP(TEXT(O152,"0"),CONDUCTORES!$A$3:$G$54,2,0),"")</f>
        <v/>
      </c>
      <c r="Q152" s="332">
        <f>IFERROR(VLOOKUP(TEXT(O152,"0"),CONDUCTORES!$A$3:$H$54,6,0),"")</f>
        <v/>
      </c>
      <c r="R152" s="280" t="n"/>
      <c r="S152" s="280" t="n"/>
      <c r="T152" s="280" t="n"/>
      <c r="U152" s="280" t="n"/>
      <c r="V152" s="280" t="n"/>
      <c r="W152" s="280" t="n"/>
      <c r="X152" s="280" t="n"/>
      <c r="Y152" s="280" t="n"/>
    </row>
    <row r="153" ht="15" customHeight="1" s="195">
      <c r="A153" s="334" t="n"/>
      <c r="B153" s="334" t="n"/>
      <c r="C153" s="334" t="n"/>
      <c r="D153" s="334" t="n"/>
      <c r="E153" s="334" t="n"/>
      <c r="F153" s="334" t="n"/>
      <c r="G153" s="334" t="n"/>
      <c r="H153" s="334" t="n"/>
      <c r="I153" s="332">
        <f>IFERROR(VLOOKUP(TEXT(H153,"0"),IPRESS!$A$3:$B$212,2,0),"")</f>
        <v/>
      </c>
      <c r="J153" s="334" t="n"/>
      <c r="K153" s="332">
        <f>IFERROR(VLOOKUP(TEXT(O153,"0"),CONDUCTORES!$A$3:$G$54,7,0),"")</f>
        <v/>
      </c>
      <c r="L153" s="334" t="n"/>
      <c r="M153" s="334" t="n"/>
      <c r="N153" s="333">
        <f>IFERROR(IF(L153*M153=0,"",L153*M153),"")</f>
        <v/>
      </c>
      <c r="O153" s="334" t="n"/>
      <c r="P153" s="332">
        <f>IFERROR(VLOOKUP(TEXT(O153,"0"),CONDUCTORES!$A$3:$G$54,2,0),"")</f>
        <v/>
      </c>
      <c r="Q153" s="332">
        <f>IFERROR(VLOOKUP(TEXT(O153,"0"),CONDUCTORES!$A$3:$H$54,6,0),"")</f>
        <v/>
      </c>
      <c r="R153" s="334" t="n"/>
      <c r="S153" s="334" t="n"/>
      <c r="T153" s="334" t="n"/>
      <c r="U153" s="334" t="n"/>
      <c r="V153" s="334" t="n"/>
      <c r="W153" s="334" t="n"/>
      <c r="X153" s="334" t="n"/>
      <c r="Y153" s="334" t="n"/>
    </row>
    <row r="154" ht="15" customHeight="1" s="195">
      <c r="A154" s="280" t="n"/>
      <c r="B154" s="280" t="n"/>
      <c r="C154" s="280" t="n"/>
      <c r="D154" s="280" t="n"/>
      <c r="E154" s="280" t="n"/>
      <c r="F154" s="280" t="n"/>
      <c r="G154" s="280" t="n"/>
      <c r="H154" s="280" t="n"/>
      <c r="I154" s="332">
        <f>IFERROR(VLOOKUP(TEXT(H154,"0"),IPRESS!$A$3:$B$212,2,0),"")</f>
        <v/>
      </c>
      <c r="J154" s="280" t="n"/>
      <c r="K154" s="332">
        <f>IFERROR(VLOOKUP(TEXT(O154,"0"),CONDUCTORES!$A$3:$G$54,7,0),"")</f>
        <v/>
      </c>
      <c r="L154" s="280" t="n"/>
      <c r="M154" s="280" t="n"/>
      <c r="N154" s="333">
        <f>IFERROR(IF(L154*M154=0,"",L154*M154),"")</f>
        <v/>
      </c>
      <c r="O154" s="280" t="n"/>
      <c r="P154" s="332">
        <f>IFERROR(VLOOKUP(TEXT(O154,"0"),CONDUCTORES!$A$3:$G$54,2,0),"")</f>
        <v/>
      </c>
      <c r="Q154" s="332">
        <f>IFERROR(VLOOKUP(TEXT(O154,"0"),CONDUCTORES!$A$3:$H$54,6,0),"")</f>
        <v/>
      </c>
      <c r="R154" s="280" t="n"/>
      <c r="S154" s="280" t="n"/>
      <c r="T154" s="280" t="n"/>
      <c r="U154" s="280" t="n"/>
      <c r="V154" s="280" t="n"/>
      <c r="W154" s="280" t="n"/>
      <c r="X154" s="280" t="n"/>
      <c r="Y154" s="280" t="n"/>
    </row>
    <row r="155" ht="15" customHeight="1" s="195">
      <c r="A155" s="334" t="n"/>
      <c r="B155" s="334" t="n"/>
      <c r="C155" s="334" t="n"/>
      <c r="D155" s="334" t="n"/>
      <c r="E155" s="334" t="n"/>
      <c r="F155" s="334" t="n"/>
      <c r="G155" s="334" t="n"/>
      <c r="H155" s="334" t="n"/>
      <c r="I155" s="332">
        <f>IFERROR(VLOOKUP(TEXT(H155,"0"),IPRESS!$A$3:$B$212,2,0),"")</f>
        <v/>
      </c>
      <c r="J155" s="334" t="n"/>
      <c r="K155" s="332">
        <f>IFERROR(VLOOKUP(TEXT(O155,"0"),CONDUCTORES!$A$3:$G$54,7,0),"")</f>
        <v/>
      </c>
      <c r="L155" s="334" t="n"/>
      <c r="M155" s="334" t="n"/>
      <c r="N155" s="333">
        <f>IFERROR(IF(L155*M155=0,"",L155*M155),"")</f>
        <v/>
      </c>
      <c r="O155" s="334" t="n"/>
      <c r="P155" s="332">
        <f>IFERROR(VLOOKUP(TEXT(O155,"0"),CONDUCTORES!$A$3:$G$54,2,0),"")</f>
        <v/>
      </c>
      <c r="Q155" s="332">
        <f>IFERROR(VLOOKUP(TEXT(O155,"0"),CONDUCTORES!$A$3:$H$54,6,0),"")</f>
        <v/>
      </c>
      <c r="R155" s="334" t="n"/>
      <c r="S155" s="334" t="n"/>
      <c r="T155" s="334" t="n"/>
      <c r="U155" s="334" t="n"/>
      <c r="V155" s="334" t="n"/>
      <c r="W155" s="334" t="n"/>
      <c r="X155" s="334" t="n"/>
      <c r="Y155" s="334" t="n"/>
    </row>
    <row r="156" ht="15" customHeight="1" s="195">
      <c r="A156" s="280" t="n"/>
      <c r="B156" s="280" t="n"/>
      <c r="C156" s="280" t="n"/>
      <c r="D156" s="280" t="n"/>
      <c r="E156" s="280" t="n"/>
      <c r="F156" s="280" t="n"/>
      <c r="G156" s="280" t="n"/>
      <c r="H156" s="280" t="n"/>
      <c r="I156" s="332">
        <f>IFERROR(VLOOKUP(TEXT(H156,"0"),IPRESS!$A$3:$B$212,2,0),"")</f>
        <v/>
      </c>
      <c r="J156" s="280" t="n"/>
      <c r="K156" s="332">
        <f>IFERROR(VLOOKUP(TEXT(O156,"0"),CONDUCTORES!$A$3:$G$54,7,0),"")</f>
        <v/>
      </c>
      <c r="L156" s="280" t="n"/>
      <c r="M156" s="280" t="n"/>
      <c r="N156" s="333">
        <f>IFERROR(IF(L156*M156=0,"",L156*M156),"")</f>
        <v/>
      </c>
      <c r="O156" s="280" t="n"/>
      <c r="P156" s="332">
        <f>IFERROR(VLOOKUP(TEXT(O156,"0"),CONDUCTORES!$A$3:$G$54,2,0),"")</f>
        <v/>
      </c>
      <c r="Q156" s="332">
        <f>IFERROR(VLOOKUP(TEXT(O156,"0"),CONDUCTORES!$A$3:$H$54,6,0),"")</f>
        <v/>
      </c>
      <c r="R156" s="280" t="n"/>
      <c r="S156" s="280" t="n"/>
      <c r="T156" s="280" t="n"/>
      <c r="U156" s="280" t="n"/>
      <c r="V156" s="280" t="n"/>
      <c r="W156" s="280" t="n"/>
      <c r="X156" s="280" t="n"/>
      <c r="Y156" s="280" t="n"/>
    </row>
    <row r="157" ht="15" customHeight="1" s="195">
      <c r="A157" s="334" t="n"/>
      <c r="B157" s="334" t="n"/>
      <c r="C157" s="334" t="n"/>
      <c r="D157" s="334" t="n"/>
      <c r="E157" s="334" t="n"/>
      <c r="F157" s="334" t="n"/>
      <c r="G157" s="334" t="n"/>
      <c r="H157" s="334" t="n"/>
      <c r="I157" s="332">
        <f>IFERROR(VLOOKUP(TEXT(H157,"0"),IPRESS!$A$3:$B$212,2,0),"")</f>
        <v/>
      </c>
      <c r="J157" s="334" t="n"/>
      <c r="K157" s="332">
        <f>IFERROR(VLOOKUP(TEXT(O157,"0"),CONDUCTORES!$A$3:$G$54,7,0),"")</f>
        <v/>
      </c>
      <c r="L157" s="334" t="n"/>
      <c r="M157" s="334" t="n"/>
      <c r="N157" s="333">
        <f>IFERROR(IF(L157*M157=0,"",L157*M157),"")</f>
        <v/>
      </c>
      <c r="O157" s="334" t="n"/>
      <c r="P157" s="332">
        <f>IFERROR(VLOOKUP(TEXT(O157,"0"),CONDUCTORES!$A$3:$G$54,2,0),"")</f>
        <v/>
      </c>
      <c r="Q157" s="332">
        <f>IFERROR(VLOOKUP(TEXT(O157,"0"),CONDUCTORES!$A$3:$H$54,6,0),"")</f>
        <v/>
      </c>
      <c r="R157" s="334" t="n"/>
      <c r="S157" s="334" t="n"/>
      <c r="T157" s="334" t="n"/>
      <c r="U157" s="334" t="n"/>
      <c r="V157" s="334" t="n"/>
      <c r="W157" s="334" t="n"/>
      <c r="X157" s="334" t="n"/>
      <c r="Y157" s="334" t="n"/>
    </row>
    <row r="158" ht="15" customHeight="1" s="195">
      <c r="A158" s="280" t="n"/>
      <c r="B158" s="280" t="n"/>
      <c r="C158" s="280" t="n"/>
      <c r="D158" s="280" t="n"/>
      <c r="E158" s="280" t="n"/>
      <c r="F158" s="280" t="n"/>
      <c r="G158" s="280" t="n"/>
      <c r="H158" s="280" t="n"/>
      <c r="I158" s="332">
        <f>IFERROR(VLOOKUP(TEXT(H158,"0"),IPRESS!$A$3:$B$212,2,0),"")</f>
        <v/>
      </c>
      <c r="J158" s="280" t="n"/>
      <c r="K158" s="332">
        <f>IFERROR(VLOOKUP(TEXT(O158,"0"),CONDUCTORES!$A$3:$G$54,7,0),"")</f>
        <v/>
      </c>
      <c r="L158" s="280" t="n"/>
      <c r="M158" s="280" t="n"/>
      <c r="N158" s="333">
        <f>IFERROR(IF(L158*M158=0,"",L158*M158),"")</f>
        <v/>
      </c>
      <c r="O158" s="280" t="n"/>
      <c r="P158" s="332">
        <f>IFERROR(VLOOKUP(TEXT(O158,"0"),CONDUCTORES!$A$3:$G$54,2,0),"")</f>
        <v/>
      </c>
      <c r="Q158" s="332">
        <f>IFERROR(VLOOKUP(TEXT(O158,"0"),CONDUCTORES!$A$3:$H$54,6,0),"")</f>
        <v/>
      </c>
      <c r="R158" s="280" t="n"/>
      <c r="S158" s="280" t="n"/>
      <c r="T158" s="280" t="n"/>
      <c r="U158" s="280" t="n"/>
      <c r="V158" s="280" t="n"/>
      <c r="W158" s="280" t="n"/>
      <c r="X158" s="280" t="n"/>
      <c r="Y158" s="280" t="n"/>
    </row>
    <row r="159" ht="15" customHeight="1" s="195">
      <c r="A159" s="334" t="n"/>
      <c r="B159" s="334" t="n"/>
      <c r="C159" s="334" t="n"/>
      <c r="D159" s="334" t="n"/>
      <c r="E159" s="334" t="n"/>
      <c r="F159" s="334" t="n"/>
      <c r="G159" s="334" t="n"/>
      <c r="H159" s="334" t="n"/>
      <c r="I159" s="332">
        <f>IFERROR(VLOOKUP(TEXT(H159,"0"),IPRESS!$A$3:$B$212,2,0),"")</f>
        <v/>
      </c>
      <c r="J159" s="334" t="n"/>
      <c r="K159" s="332">
        <f>IFERROR(VLOOKUP(TEXT(O159,"0"),CONDUCTORES!$A$3:$G$54,7,0),"")</f>
        <v/>
      </c>
      <c r="L159" s="334" t="n"/>
      <c r="M159" s="334" t="n"/>
      <c r="N159" s="333">
        <f>IFERROR(IF(L159*M159=0,"",L159*M159),"")</f>
        <v/>
      </c>
      <c r="O159" s="334" t="n"/>
      <c r="P159" s="332">
        <f>IFERROR(VLOOKUP(TEXT(O159,"0"),CONDUCTORES!$A$3:$G$54,2,0),"")</f>
        <v/>
      </c>
      <c r="Q159" s="332">
        <f>IFERROR(VLOOKUP(TEXT(O159,"0"),CONDUCTORES!$A$3:$H$54,6,0),"")</f>
        <v/>
      </c>
      <c r="R159" s="334" t="n"/>
      <c r="S159" s="334" t="n"/>
      <c r="T159" s="334" t="n"/>
      <c r="U159" s="334" t="n"/>
      <c r="V159" s="334" t="n"/>
      <c r="W159" s="334" t="n"/>
      <c r="X159" s="334" t="n"/>
      <c r="Y159" s="334" t="n"/>
    </row>
    <row r="160" ht="15" customHeight="1" s="195">
      <c r="A160" s="280" t="n"/>
      <c r="B160" s="280" t="n"/>
      <c r="C160" s="280" t="n"/>
      <c r="D160" s="280" t="n"/>
      <c r="E160" s="280" t="n"/>
      <c r="F160" s="280" t="n"/>
      <c r="G160" s="280" t="n"/>
      <c r="H160" s="280" t="n"/>
      <c r="I160" s="332">
        <f>IFERROR(VLOOKUP(TEXT(H160,"0"),IPRESS!$A$3:$B$212,2,0),"")</f>
        <v/>
      </c>
      <c r="J160" s="280" t="n"/>
      <c r="K160" s="332">
        <f>IFERROR(VLOOKUP(TEXT(O160,"0"),CONDUCTORES!$A$3:$G$54,7,0),"")</f>
        <v/>
      </c>
      <c r="L160" s="280" t="n"/>
      <c r="M160" s="280" t="n"/>
      <c r="N160" s="333">
        <f>IFERROR(IF(L160*M160=0,"",L160*M160),"")</f>
        <v/>
      </c>
      <c r="O160" s="280" t="n"/>
      <c r="P160" s="332">
        <f>IFERROR(VLOOKUP(TEXT(O160,"0"),CONDUCTORES!$A$3:$G$54,2,0),"")</f>
        <v/>
      </c>
      <c r="Q160" s="332">
        <f>IFERROR(VLOOKUP(TEXT(O160,"0"),CONDUCTORES!$A$3:$H$54,6,0),"")</f>
        <v/>
      </c>
      <c r="R160" s="280" t="n"/>
      <c r="S160" s="280" t="n"/>
      <c r="T160" s="280" t="n"/>
      <c r="U160" s="280" t="n"/>
      <c r="V160" s="280" t="n"/>
      <c r="W160" s="280" t="n"/>
      <c r="X160" s="280" t="n"/>
      <c r="Y160" s="280" t="n"/>
    </row>
    <row r="161" ht="15" customHeight="1" s="195">
      <c r="A161" s="334" t="n"/>
      <c r="B161" s="334" t="n"/>
      <c r="C161" s="334" t="n"/>
      <c r="D161" s="334" t="n"/>
      <c r="E161" s="334" t="n"/>
      <c r="F161" s="334" t="n"/>
      <c r="G161" s="334" t="n"/>
      <c r="H161" s="334" t="n"/>
      <c r="I161" s="332">
        <f>IFERROR(VLOOKUP(TEXT(H161,"0"),IPRESS!$A$3:$B$212,2,0),"")</f>
        <v/>
      </c>
      <c r="J161" s="334" t="n"/>
      <c r="K161" s="332">
        <f>IFERROR(VLOOKUP(TEXT(O161,"0"),CONDUCTORES!$A$3:$G$54,7,0),"")</f>
        <v/>
      </c>
      <c r="L161" s="334" t="n"/>
      <c r="M161" s="334" t="n"/>
      <c r="N161" s="333">
        <f>IFERROR(IF(L161*M161=0,"",L161*M161),"")</f>
        <v/>
      </c>
      <c r="O161" s="334" t="n"/>
      <c r="P161" s="332">
        <f>IFERROR(VLOOKUP(TEXT(O161,"0"),CONDUCTORES!$A$3:$G$54,2,0),"")</f>
        <v/>
      </c>
      <c r="Q161" s="332">
        <f>IFERROR(VLOOKUP(TEXT(O161,"0"),CONDUCTORES!$A$3:$H$54,6,0),"")</f>
        <v/>
      </c>
      <c r="R161" s="334" t="n"/>
      <c r="S161" s="334" t="n"/>
      <c r="T161" s="334" t="n"/>
      <c r="U161" s="334" t="n"/>
      <c r="V161" s="334" t="n"/>
      <c r="W161" s="334" t="n"/>
      <c r="X161" s="334" t="n"/>
      <c r="Y161" s="334" t="n"/>
    </row>
    <row r="162" ht="15" customHeight="1" s="195">
      <c r="A162" s="280" t="n"/>
      <c r="B162" s="280" t="n"/>
      <c r="C162" s="280" t="n"/>
      <c r="D162" s="280" t="n"/>
      <c r="E162" s="280" t="n"/>
      <c r="F162" s="280" t="n"/>
      <c r="G162" s="280" t="n"/>
      <c r="H162" s="280" t="n"/>
      <c r="I162" s="332">
        <f>IFERROR(VLOOKUP(TEXT(H162,"0"),IPRESS!$A$3:$B$212,2,0),"")</f>
        <v/>
      </c>
      <c r="J162" s="280" t="n"/>
      <c r="K162" s="332">
        <f>IFERROR(VLOOKUP(TEXT(O162,"0"),CONDUCTORES!$A$3:$G$54,7,0),"")</f>
        <v/>
      </c>
      <c r="L162" s="280" t="n"/>
      <c r="M162" s="280" t="n"/>
      <c r="N162" s="333">
        <f>IFERROR(IF(L162*M162=0,"",L162*M162),"")</f>
        <v/>
      </c>
      <c r="O162" s="280" t="n"/>
      <c r="P162" s="332">
        <f>IFERROR(VLOOKUP(TEXT(O162,"0"),CONDUCTORES!$A$3:$G$54,2,0),"")</f>
        <v/>
      </c>
      <c r="Q162" s="332">
        <f>IFERROR(VLOOKUP(TEXT(O162,"0"),CONDUCTORES!$A$3:$H$54,6,0),"")</f>
        <v/>
      </c>
      <c r="R162" s="280" t="n"/>
      <c r="S162" s="280" t="n"/>
      <c r="T162" s="280" t="n"/>
      <c r="U162" s="280" t="n"/>
      <c r="V162" s="280" t="n"/>
      <c r="W162" s="280" t="n"/>
      <c r="X162" s="280" t="n"/>
      <c r="Y162" s="280" t="n"/>
    </row>
    <row r="163" ht="15" customHeight="1" s="195">
      <c r="A163" s="334" t="n"/>
      <c r="B163" s="334" t="n"/>
      <c r="C163" s="334" t="n"/>
      <c r="D163" s="334" t="n"/>
      <c r="E163" s="334" t="n"/>
      <c r="F163" s="334" t="n"/>
      <c r="G163" s="334" t="n"/>
      <c r="H163" s="334" t="n"/>
      <c r="I163" s="332">
        <f>IFERROR(VLOOKUP(TEXT(H163,"0"),IPRESS!$A$3:$B$212,2,0),"")</f>
        <v/>
      </c>
      <c r="J163" s="334" t="n"/>
      <c r="K163" s="332">
        <f>IFERROR(VLOOKUP(TEXT(O163,"0"),CONDUCTORES!$A$3:$G$54,7,0),"")</f>
        <v/>
      </c>
      <c r="L163" s="334" t="n"/>
      <c r="M163" s="334" t="n"/>
      <c r="N163" s="333">
        <f>IFERROR(IF(L163*M163=0,"",L163*M163),"")</f>
        <v/>
      </c>
      <c r="O163" s="334" t="n"/>
      <c r="P163" s="332">
        <f>IFERROR(VLOOKUP(TEXT(O163,"0"),CONDUCTORES!$A$3:$G$54,2,0),"")</f>
        <v/>
      </c>
      <c r="Q163" s="332">
        <f>IFERROR(VLOOKUP(TEXT(O163,"0"),CONDUCTORES!$A$3:$H$54,6,0),"")</f>
        <v/>
      </c>
      <c r="R163" s="334" t="n"/>
      <c r="S163" s="334" t="n"/>
      <c r="T163" s="334" t="n"/>
      <c r="U163" s="334" t="n"/>
      <c r="V163" s="334" t="n"/>
      <c r="W163" s="334" t="n"/>
      <c r="X163" s="334" t="n"/>
      <c r="Y163" s="334" t="n"/>
    </row>
    <row r="164" ht="15" customHeight="1" s="195">
      <c r="A164" s="280" t="n"/>
      <c r="B164" s="280" t="n"/>
      <c r="C164" s="280" t="n"/>
      <c r="D164" s="280" t="n"/>
      <c r="E164" s="280" t="n"/>
      <c r="F164" s="280" t="n"/>
      <c r="G164" s="280" t="n"/>
      <c r="H164" s="280" t="n"/>
      <c r="I164" s="332">
        <f>IFERROR(VLOOKUP(TEXT(H164,"0"),IPRESS!$A$3:$B$212,2,0),"")</f>
        <v/>
      </c>
      <c r="J164" s="280" t="n"/>
      <c r="K164" s="332">
        <f>IFERROR(VLOOKUP(TEXT(O164,"0"),CONDUCTORES!$A$3:$G$54,7,0),"")</f>
        <v/>
      </c>
      <c r="L164" s="280" t="n"/>
      <c r="M164" s="280" t="n"/>
      <c r="N164" s="333">
        <f>IFERROR(IF(L164*M164=0,"",L164*M164),"")</f>
        <v/>
      </c>
      <c r="O164" s="280" t="n"/>
      <c r="P164" s="332">
        <f>IFERROR(VLOOKUP(TEXT(O164,"0"),CONDUCTORES!$A$3:$G$54,2,0),"")</f>
        <v/>
      </c>
      <c r="Q164" s="332">
        <f>IFERROR(VLOOKUP(TEXT(O164,"0"),CONDUCTORES!$A$3:$H$54,6,0),"")</f>
        <v/>
      </c>
      <c r="R164" s="280" t="n"/>
      <c r="S164" s="280" t="n"/>
      <c r="T164" s="280" t="n"/>
      <c r="U164" s="280" t="n"/>
      <c r="V164" s="280" t="n"/>
      <c r="W164" s="280" t="n"/>
      <c r="X164" s="280" t="n"/>
      <c r="Y164" s="280" t="n"/>
    </row>
    <row r="165" ht="15" customHeight="1" s="195">
      <c r="A165" s="334" t="n"/>
      <c r="B165" s="334" t="n"/>
      <c r="C165" s="334" t="n"/>
      <c r="D165" s="334" t="n"/>
      <c r="E165" s="334" t="n"/>
      <c r="F165" s="334" t="n"/>
      <c r="G165" s="334" t="n"/>
      <c r="H165" s="334" t="n"/>
      <c r="I165" s="332">
        <f>IFERROR(VLOOKUP(TEXT(H165,"0"),IPRESS!$A$3:$B$212,2,0),"")</f>
        <v/>
      </c>
      <c r="J165" s="334" t="n"/>
      <c r="K165" s="332">
        <f>IFERROR(VLOOKUP(TEXT(O165,"0"),CONDUCTORES!$A$3:$G$54,7,0),"")</f>
        <v/>
      </c>
      <c r="L165" s="334" t="n"/>
      <c r="M165" s="334" t="n"/>
      <c r="N165" s="333">
        <f>IFERROR(IF(L165*M165=0,"",L165*M165),"")</f>
        <v/>
      </c>
      <c r="O165" s="334" t="n"/>
      <c r="P165" s="332">
        <f>IFERROR(VLOOKUP(TEXT(O165,"0"),CONDUCTORES!$A$3:$G$54,2,0),"")</f>
        <v/>
      </c>
      <c r="Q165" s="332">
        <f>IFERROR(VLOOKUP(TEXT(O165,"0"),CONDUCTORES!$A$3:$H$54,6,0),"")</f>
        <v/>
      </c>
      <c r="R165" s="334" t="n"/>
      <c r="S165" s="334" t="n"/>
      <c r="T165" s="334" t="n"/>
      <c r="U165" s="334" t="n"/>
      <c r="V165" s="334" t="n"/>
      <c r="W165" s="334" t="n"/>
      <c r="X165" s="334" t="n"/>
      <c r="Y165" s="334" t="n"/>
    </row>
    <row r="166" ht="15" customHeight="1" s="195">
      <c r="A166" s="280" t="n"/>
      <c r="B166" s="280" t="n"/>
      <c r="C166" s="280" t="n"/>
      <c r="D166" s="280" t="n"/>
      <c r="E166" s="280" t="n"/>
      <c r="F166" s="280" t="n"/>
      <c r="G166" s="280" t="n"/>
      <c r="H166" s="280" t="n"/>
      <c r="I166" s="332">
        <f>IFERROR(VLOOKUP(TEXT(H166,"0"),IPRESS!$A$3:$B$212,2,0),"")</f>
        <v/>
      </c>
      <c r="J166" s="280" t="n"/>
      <c r="K166" s="332">
        <f>IFERROR(VLOOKUP(TEXT(O166,"0"),CONDUCTORES!$A$3:$G$54,7,0),"")</f>
        <v/>
      </c>
      <c r="L166" s="280" t="n"/>
      <c r="M166" s="280" t="n"/>
      <c r="N166" s="333">
        <f>IFERROR(IF(L166*M166=0,"",L166*M166),"")</f>
        <v/>
      </c>
      <c r="O166" s="280" t="n"/>
      <c r="P166" s="332">
        <f>IFERROR(VLOOKUP(TEXT(O166,"0"),CONDUCTORES!$A$3:$G$54,2,0),"")</f>
        <v/>
      </c>
      <c r="Q166" s="332">
        <f>IFERROR(VLOOKUP(TEXT(O166,"0"),CONDUCTORES!$A$3:$H$54,6,0),"")</f>
        <v/>
      </c>
      <c r="R166" s="280" t="n"/>
      <c r="S166" s="280" t="n"/>
      <c r="T166" s="280" t="n"/>
      <c r="U166" s="280" t="n"/>
      <c r="V166" s="280" t="n"/>
      <c r="W166" s="280" t="n"/>
      <c r="X166" s="280" t="n"/>
      <c r="Y166" s="280" t="n"/>
    </row>
    <row r="167" ht="15" customHeight="1" s="195">
      <c r="A167" s="334" t="n"/>
      <c r="B167" s="334" t="n"/>
      <c r="C167" s="334" t="n"/>
      <c r="D167" s="334" t="n"/>
      <c r="E167" s="334" t="n"/>
      <c r="F167" s="334" t="n"/>
      <c r="G167" s="334" t="n"/>
      <c r="H167" s="334" t="n"/>
      <c r="I167" s="332">
        <f>IFERROR(VLOOKUP(TEXT(H167,"0"),IPRESS!$A$3:$B$212,2,0),"")</f>
        <v/>
      </c>
      <c r="J167" s="334" t="n"/>
      <c r="K167" s="332">
        <f>IFERROR(VLOOKUP(TEXT(O167,"0"),CONDUCTORES!$A$3:$G$54,7,0),"")</f>
        <v/>
      </c>
      <c r="L167" s="334" t="n"/>
      <c r="M167" s="334" t="n"/>
      <c r="N167" s="333">
        <f>IFERROR(IF(L167*M167=0,"",L167*M167),"")</f>
        <v/>
      </c>
      <c r="O167" s="334" t="n"/>
      <c r="P167" s="332">
        <f>IFERROR(VLOOKUP(TEXT(O167,"0"),CONDUCTORES!$A$3:$G$54,2,0),"")</f>
        <v/>
      </c>
      <c r="Q167" s="332">
        <f>IFERROR(VLOOKUP(TEXT(O167,"0"),CONDUCTORES!$A$3:$H$54,6,0),"")</f>
        <v/>
      </c>
      <c r="R167" s="334" t="n"/>
      <c r="S167" s="334" t="n"/>
      <c r="T167" s="334" t="n"/>
      <c r="U167" s="334" t="n"/>
      <c r="V167" s="334" t="n"/>
      <c r="W167" s="334" t="n"/>
      <c r="X167" s="334" t="n"/>
      <c r="Y167" s="334" t="n"/>
    </row>
    <row r="168" ht="15" customHeight="1" s="195">
      <c r="A168" s="280" t="n"/>
      <c r="B168" s="280" t="n"/>
      <c r="C168" s="280" t="n"/>
      <c r="D168" s="280" t="n"/>
      <c r="E168" s="280" t="n"/>
      <c r="F168" s="280" t="n"/>
      <c r="G168" s="280" t="n"/>
      <c r="H168" s="280" t="n"/>
      <c r="I168" s="332">
        <f>IFERROR(VLOOKUP(TEXT(H168,"0"),IPRESS!$A$3:$B$212,2,0),"")</f>
        <v/>
      </c>
      <c r="J168" s="280" t="n"/>
      <c r="K168" s="332">
        <f>IFERROR(VLOOKUP(TEXT(O168,"0"),CONDUCTORES!$A$3:$G$54,7,0),"")</f>
        <v/>
      </c>
      <c r="L168" s="280" t="n"/>
      <c r="M168" s="280" t="n"/>
      <c r="N168" s="333">
        <f>IFERROR(IF(L168*M168=0,"",L168*M168),"")</f>
        <v/>
      </c>
      <c r="O168" s="280" t="n"/>
      <c r="P168" s="332">
        <f>IFERROR(VLOOKUP(TEXT(O168,"0"),CONDUCTORES!$A$3:$G$54,2,0),"")</f>
        <v/>
      </c>
      <c r="Q168" s="332">
        <f>IFERROR(VLOOKUP(TEXT(O168,"0"),CONDUCTORES!$A$3:$H$54,6,0),"")</f>
        <v/>
      </c>
      <c r="R168" s="280" t="n"/>
      <c r="S168" s="280" t="n"/>
      <c r="T168" s="280" t="n"/>
      <c r="U168" s="280" t="n"/>
      <c r="V168" s="280" t="n"/>
      <c r="W168" s="280" t="n"/>
      <c r="X168" s="280" t="n"/>
      <c r="Y168" s="280" t="n"/>
    </row>
    <row r="169" ht="15" customHeight="1" s="195">
      <c r="A169" s="334" t="n"/>
      <c r="B169" s="334" t="n"/>
      <c r="C169" s="334" t="n"/>
      <c r="D169" s="334" t="n"/>
      <c r="E169" s="334" t="n"/>
      <c r="F169" s="334" t="n"/>
      <c r="G169" s="334" t="n"/>
      <c r="H169" s="334" t="n"/>
      <c r="I169" s="332">
        <f>IFERROR(VLOOKUP(TEXT(H169,"0"),IPRESS!$A$3:$B$212,2,0),"")</f>
        <v/>
      </c>
      <c r="J169" s="334" t="n"/>
      <c r="K169" s="332">
        <f>IFERROR(VLOOKUP(TEXT(O169,"0"),CONDUCTORES!$A$3:$G$54,7,0),"")</f>
        <v/>
      </c>
      <c r="L169" s="334" t="n"/>
      <c r="M169" s="334" t="n"/>
      <c r="N169" s="333">
        <f>IFERROR(IF(L169*M169=0,"",L169*M169),"")</f>
        <v/>
      </c>
      <c r="O169" s="334" t="n"/>
      <c r="P169" s="332">
        <f>IFERROR(VLOOKUP(TEXT(O169,"0"),CONDUCTORES!$A$3:$G$54,2,0),"")</f>
        <v/>
      </c>
      <c r="Q169" s="332">
        <f>IFERROR(VLOOKUP(TEXT(O169,"0"),CONDUCTORES!$A$3:$H$54,6,0),"")</f>
        <v/>
      </c>
      <c r="R169" s="334" t="n"/>
      <c r="S169" s="334" t="n"/>
      <c r="T169" s="334" t="n"/>
      <c r="U169" s="334" t="n"/>
      <c r="V169" s="334" t="n"/>
      <c r="W169" s="334" t="n"/>
      <c r="X169" s="334" t="n"/>
      <c r="Y169" s="334" t="n"/>
    </row>
    <row r="170" ht="15" customHeight="1" s="195">
      <c r="A170" s="280" t="n"/>
      <c r="B170" s="280" t="n"/>
      <c r="C170" s="280" t="n"/>
      <c r="D170" s="280" t="n"/>
      <c r="E170" s="280" t="n"/>
      <c r="F170" s="280" t="n"/>
      <c r="G170" s="280" t="n"/>
      <c r="H170" s="280" t="n"/>
      <c r="I170" s="332">
        <f>IFERROR(VLOOKUP(TEXT(H170,"0"),IPRESS!$A$3:$B$212,2,0),"")</f>
        <v/>
      </c>
      <c r="J170" s="280" t="n"/>
      <c r="K170" s="332">
        <f>IFERROR(VLOOKUP(TEXT(O170,"0"),CONDUCTORES!$A$3:$G$54,7,0),"")</f>
        <v/>
      </c>
      <c r="L170" s="280" t="n"/>
      <c r="M170" s="280" t="n"/>
      <c r="N170" s="333">
        <f>IFERROR(IF(L170*M170=0,"",L170*M170),"")</f>
        <v/>
      </c>
      <c r="O170" s="280" t="n"/>
      <c r="P170" s="332">
        <f>IFERROR(VLOOKUP(TEXT(O170,"0"),CONDUCTORES!$A$3:$G$54,2,0),"")</f>
        <v/>
      </c>
      <c r="Q170" s="332">
        <f>IFERROR(VLOOKUP(TEXT(O170,"0"),CONDUCTORES!$A$3:$H$54,6,0),"")</f>
        <v/>
      </c>
      <c r="R170" s="280" t="n"/>
      <c r="S170" s="280" t="n"/>
      <c r="T170" s="280" t="n"/>
      <c r="U170" s="280" t="n"/>
      <c r="V170" s="280" t="n"/>
      <c r="W170" s="280" t="n"/>
      <c r="X170" s="280" t="n"/>
      <c r="Y170" s="280" t="n"/>
    </row>
    <row r="171" ht="15" customHeight="1" s="195">
      <c r="A171" s="334" t="n"/>
      <c r="B171" s="334" t="n"/>
      <c r="C171" s="334" t="n"/>
      <c r="D171" s="334" t="n"/>
      <c r="E171" s="334" t="n"/>
      <c r="F171" s="334" t="n"/>
      <c r="G171" s="334" t="n"/>
      <c r="H171" s="334" t="n"/>
      <c r="I171" s="332">
        <f>IFERROR(VLOOKUP(TEXT(H171,"0"),IPRESS!$A$3:$B$212,2,0),"")</f>
        <v/>
      </c>
      <c r="J171" s="334" t="n"/>
      <c r="K171" s="332">
        <f>IFERROR(VLOOKUP(TEXT(O171,"0"),CONDUCTORES!$A$3:$G$54,7,0),"")</f>
        <v/>
      </c>
      <c r="L171" s="334" t="n"/>
      <c r="M171" s="334" t="n"/>
      <c r="N171" s="333">
        <f>IFERROR(IF(L171*M171=0,"",L171*M171),"")</f>
        <v/>
      </c>
      <c r="O171" s="334" t="n"/>
      <c r="P171" s="332">
        <f>IFERROR(VLOOKUP(TEXT(O171,"0"),CONDUCTORES!$A$3:$G$54,2,0),"")</f>
        <v/>
      </c>
      <c r="Q171" s="332">
        <f>IFERROR(VLOOKUP(TEXT(O171,"0"),CONDUCTORES!$A$3:$H$54,6,0),"")</f>
        <v/>
      </c>
      <c r="R171" s="334" t="n"/>
      <c r="S171" s="334" t="n"/>
      <c r="T171" s="334" t="n"/>
      <c r="U171" s="334" t="n"/>
      <c r="V171" s="334" t="n"/>
      <c r="W171" s="334" t="n"/>
      <c r="X171" s="334" t="n"/>
      <c r="Y171" s="334" t="n"/>
    </row>
    <row r="172" ht="15" customHeight="1" s="195">
      <c r="A172" s="280" t="n"/>
      <c r="B172" s="280" t="n"/>
      <c r="C172" s="280" t="n"/>
      <c r="D172" s="280" t="n"/>
      <c r="E172" s="280" t="n"/>
      <c r="F172" s="280" t="n"/>
      <c r="G172" s="280" t="n"/>
      <c r="H172" s="280" t="n"/>
      <c r="I172" s="332">
        <f>IFERROR(VLOOKUP(TEXT(H172,"0"),IPRESS!$A$3:$B$212,2,0),"")</f>
        <v/>
      </c>
      <c r="J172" s="280" t="n"/>
      <c r="K172" s="332">
        <f>IFERROR(VLOOKUP(TEXT(O172,"0"),CONDUCTORES!$A$3:$G$54,7,0),"")</f>
        <v/>
      </c>
      <c r="L172" s="280" t="n"/>
      <c r="M172" s="280" t="n"/>
      <c r="N172" s="333">
        <f>IFERROR(IF(L172*M172=0,"",L172*M172),"")</f>
        <v/>
      </c>
      <c r="O172" s="280" t="n"/>
      <c r="P172" s="332">
        <f>IFERROR(VLOOKUP(TEXT(O172,"0"),CONDUCTORES!$A$3:$G$54,2,0),"")</f>
        <v/>
      </c>
      <c r="Q172" s="332">
        <f>IFERROR(VLOOKUP(TEXT(O172,"0"),CONDUCTORES!$A$3:$H$54,6,0),"")</f>
        <v/>
      </c>
      <c r="R172" s="280" t="n"/>
      <c r="S172" s="280" t="n"/>
      <c r="T172" s="280" t="n"/>
      <c r="U172" s="280" t="n"/>
      <c r="V172" s="280" t="n"/>
      <c r="W172" s="280" t="n"/>
      <c r="X172" s="280" t="n"/>
      <c r="Y172" s="280" t="n"/>
    </row>
    <row r="173" ht="15" customHeight="1" s="195">
      <c r="A173" s="334" t="n"/>
      <c r="B173" s="334" t="n"/>
      <c r="C173" s="334" t="n"/>
      <c r="D173" s="334" t="n"/>
      <c r="E173" s="334" t="n"/>
      <c r="F173" s="334" t="n"/>
      <c r="G173" s="334" t="n"/>
      <c r="H173" s="334" t="n"/>
      <c r="I173" s="332">
        <f>IFERROR(VLOOKUP(TEXT(H173,"0"),IPRESS!$A$3:$B$212,2,0),"")</f>
        <v/>
      </c>
      <c r="J173" s="334" t="n"/>
      <c r="K173" s="332">
        <f>IFERROR(VLOOKUP(TEXT(O173,"0"),CONDUCTORES!$A$3:$G$54,7,0),"")</f>
        <v/>
      </c>
      <c r="L173" s="334" t="n"/>
      <c r="M173" s="334" t="n"/>
      <c r="N173" s="333">
        <f>IFERROR(IF(L173*M173=0,"",L173*M173),"")</f>
        <v/>
      </c>
      <c r="O173" s="334" t="n"/>
      <c r="P173" s="332">
        <f>IFERROR(VLOOKUP(TEXT(O173,"0"),CONDUCTORES!$A$3:$G$54,2,0),"")</f>
        <v/>
      </c>
      <c r="Q173" s="332">
        <f>IFERROR(VLOOKUP(TEXT(O173,"0"),CONDUCTORES!$A$3:$H$54,6,0),"")</f>
        <v/>
      </c>
      <c r="R173" s="334" t="n"/>
      <c r="S173" s="334" t="n"/>
      <c r="T173" s="334" t="n"/>
      <c r="U173" s="334" t="n"/>
      <c r="V173" s="334" t="n"/>
      <c r="W173" s="334" t="n"/>
      <c r="X173" s="334" t="n"/>
      <c r="Y173" s="334" t="n"/>
    </row>
    <row r="174" ht="15" customHeight="1" s="195">
      <c r="A174" s="280" t="n"/>
      <c r="B174" s="280" t="n"/>
      <c r="C174" s="280" t="n"/>
      <c r="D174" s="280" t="n"/>
      <c r="E174" s="280" t="n"/>
      <c r="F174" s="280" t="n"/>
      <c r="G174" s="280" t="n"/>
      <c r="H174" s="280" t="n"/>
      <c r="I174" s="332">
        <f>IFERROR(VLOOKUP(TEXT(H174,"0"),IPRESS!$A$3:$B$212,2,0),"")</f>
        <v/>
      </c>
      <c r="J174" s="280" t="n"/>
      <c r="K174" s="332">
        <f>IFERROR(VLOOKUP(TEXT(O174,"0"),CONDUCTORES!$A$3:$G$54,7,0),"")</f>
        <v/>
      </c>
      <c r="L174" s="280" t="n"/>
      <c r="M174" s="280" t="n"/>
      <c r="N174" s="333">
        <f>IFERROR(IF(L174*M174=0,"",L174*M174),"")</f>
        <v/>
      </c>
      <c r="O174" s="280" t="n"/>
      <c r="P174" s="332">
        <f>IFERROR(VLOOKUP(TEXT(O174,"0"),CONDUCTORES!$A$3:$G$54,2,0),"")</f>
        <v/>
      </c>
      <c r="Q174" s="332">
        <f>IFERROR(VLOOKUP(TEXT(O174,"0"),CONDUCTORES!$A$3:$H$54,6,0),"")</f>
        <v/>
      </c>
      <c r="R174" s="280" t="n"/>
      <c r="S174" s="280" t="n"/>
      <c r="T174" s="280" t="n"/>
      <c r="U174" s="280" t="n"/>
      <c r="V174" s="280" t="n"/>
      <c r="W174" s="280" t="n"/>
      <c r="X174" s="280" t="n"/>
      <c r="Y174" s="280" t="n"/>
    </row>
    <row r="175" ht="15" customHeight="1" s="195">
      <c r="A175" s="334" t="n"/>
      <c r="B175" s="334" t="n"/>
      <c r="C175" s="334" t="n"/>
      <c r="D175" s="334" t="n"/>
      <c r="E175" s="334" t="n"/>
      <c r="F175" s="334" t="n"/>
      <c r="G175" s="334" t="n"/>
      <c r="H175" s="334" t="n"/>
      <c r="I175" s="332">
        <f>IFERROR(VLOOKUP(TEXT(H175,"0"),IPRESS!$A$3:$B$212,2,0),"")</f>
        <v/>
      </c>
      <c r="J175" s="334" t="n"/>
      <c r="K175" s="332">
        <f>IFERROR(VLOOKUP(TEXT(O175,"0"),CONDUCTORES!$A$3:$G$54,7,0),"")</f>
        <v/>
      </c>
      <c r="L175" s="334" t="n"/>
      <c r="M175" s="334" t="n"/>
      <c r="N175" s="333">
        <f>IFERROR(IF(L175*M175=0,"",L175*M175),"")</f>
        <v/>
      </c>
      <c r="O175" s="334" t="n"/>
      <c r="P175" s="332">
        <f>IFERROR(VLOOKUP(TEXT(O175,"0"),CONDUCTORES!$A$3:$G$54,2,0),"")</f>
        <v/>
      </c>
      <c r="Q175" s="332">
        <f>IFERROR(VLOOKUP(TEXT(O175,"0"),CONDUCTORES!$A$3:$H$54,6,0),"")</f>
        <v/>
      </c>
      <c r="R175" s="334" t="n"/>
      <c r="S175" s="334" t="n"/>
      <c r="T175" s="334" t="n"/>
      <c r="U175" s="334" t="n"/>
      <c r="V175" s="334" t="n"/>
      <c r="W175" s="334" t="n"/>
      <c r="X175" s="334" t="n"/>
      <c r="Y175" s="334" t="n"/>
    </row>
    <row r="176" ht="15" customHeight="1" s="195">
      <c r="A176" s="280" t="n"/>
      <c r="B176" s="280" t="n"/>
      <c r="C176" s="280" t="n"/>
      <c r="D176" s="280" t="n"/>
      <c r="E176" s="280" t="n"/>
      <c r="F176" s="280" t="n"/>
      <c r="G176" s="280" t="n"/>
      <c r="H176" s="280" t="n"/>
      <c r="I176" s="332">
        <f>IFERROR(VLOOKUP(TEXT(H176,"0"),IPRESS!$A$3:$B$212,2,0),"")</f>
        <v/>
      </c>
      <c r="J176" s="280" t="n"/>
      <c r="K176" s="332">
        <f>IFERROR(VLOOKUP(TEXT(O176,"0"),CONDUCTORES!$A$3:$G$54,7,0),"")</f>
        <v/>
      </c>
      <c r="L176" s="280" t="n"/>
      <c r="M176" s="280" t="n"/>
      <c r="N176" s="333">
        <f>IFERROR(IF(L176*M176=0,"",L176*M176),"")</f>
        <v/>
      </c>
      <c r="O176" s="280" t="n"/>
      <c r="P176" s="332">
        <f>IFERROR(VLOOKUP(TEXT(O176,"0"),CONDUCTORES!$A$3:$G$54,2,0),"")</f>
        <v/>
      </c>
      <c r="Q176" s="332">
        <f>IFERROR(VLOOKUP(TEXT(O176,"0"),CONDUCTORES!$A$3:$H$54,6,0),"")</f>
        <v/>
      </c>
      <c r="R176" s="280" t="n"/>
      <c r="S176" s="280" t="n"/>
      <c r="T176" s="280" t="n"/>
      <c r="U176" s="280" t="n"/>
      <c r="V176" s="280" t="n"/>
      <c r="W176" s="280" t="n"/>
      <c r="X176" s="280" t="n"/>
      <c r="Y176" s="280" t="n"/>
    </row>
    <row r="177" ht="15" customHeight="1" s="195">
      <c r="A177" s="334" t="n"/>
      <c r="B177" s="334" t="n"/>
      <c r="C177" s="334" t="n"/>
      <c r="D177" s="334" t="n"/>
      <c r="E177" s="334" t="n"/>
      <c r="F177" s="334" t="n"/>
      <c r="G177" s="334" t="n"/>
      <c r="H177" s="334" t="n"/>
      <c r="I177" s="332">
        <f>IFERROR(VLOOKUP(TEXT(H177,"0"),IPRESS!$A$3:$B$212,2,0),"")</f>
        <v/>
      </c>
      <c r="J177" s="334" t="n"/>
      <c r="K177" s="332">
        <f>IFERROR(VLOOKUP(TEXT(O177,"0"),CONDUCTORES!$A$3:$G$54,7,0),"")</f>
        <v/>
      </c>
      <c r="L177" s="334" t="n"/>
      <c r="M177" s="334" t="n"/>
      <c r="N177" s="333">
        <f>IFERROR(IF(L177*M177=0,"",L177*M177),"")</f>
        <v/>
      </c>
      <c r="O177" s="334" t="n"/>
      <c r="P177" s="332">
        <f>IFERROR(VLOOKUP(TEXT(O177,"0"),CONDUCTORES!$A$3:$G$54,2,0),"")</f>
        <v/>
      </c>
      <c r="Q177" s="332">
        <f>IFERROR(VLOOKUP(TEXT(O177,"0"),CONDUCTORES!$A$3:$H$54,6,0),"")</f>
        <v/>
      </c>
      <c r="R177" s="334" t="n"/>
      <c r="S177" s="334" t="n"/>
      <c r="T177" s="334" t="n"/>
      <c r="U177" s="334" t="n"/>
      <c r="V177" s="334" t="n"/>
      <c r="W177" s="334" t="n"/>
      <c r="X177" s="334" t="n"/>
      <c r="Y177" s="334" t="n"/>
    </row>
    <row r="178" ht="15" customHeight="1" s="195">
      <c r="A178" s="280" t="n"/>
      <c r="B178" s="280" t="n"/>
      <c r="C178" s="280" t="n"/>
      <c r="D178" s="280" t="n"/>
      <c r="E178" s="280" t="n"/>
      <c r="F178" s="280" t="n"/>
      <c r="G178" s="280" t="n"/>
      <c r="H178" s="280" t="n"/>
      <c r="I178" s="332">
        <f>IFERROR(VLOOKUP(TEXT(H178,"0"),IPRESS!$A$3:$B$212,2,0),"")</f>
        <v/>
      </c>
      <c r="J178" s="280" t="n"/>
      <c r="K178" s="332">
        <f>IFERROR(VLOOKUP(TEXT(O178,"0"),CONDUCTORES!$A$3:$G$54,7,0),"")</f>
        <v/>
      </c>
      <c r="L178" s="280" t="n"/>
      <c r="M178" s="280" t="n"/>
      <c r="N178" s="333">
        <f>IFERROR(IF(L178*M178=0,"",L178*M178),"")</f>
        <v/>
      </c>
      <c r="O178" s="280" t="n"/>
      <c r="P178" s="332">
        <f>IFERROR(VLOOKUP(TEXT(O178,"0"),CONDUCTORES!$A$3:$G$54,2,0),"")</f>
        <v/>
      </c>
      <c r="Q178" s="332">
        <f>IFERROR(VLOOKUP(TEXT(O178,"0"),CONDUCTORES!$A$3:$H$54,6,0),"")</f>
        <v/>
      </c>
      <c r="R178" s="280" t="n"/>
      <c r="S178" s="280" t="n"/>
      <c r="T178" s="280" t="n"/>
      <c r="U178" s="280" t="n"/>
      <c r="V178" s="280" t="n"/>
      <c r="W178" s="280" t="n"/>
      <c r="X178" s="280" t="n"/>
      <c r="Y178" s="280" t="n"/>
    </row>
    <row r="179" ht="15" customHeight="1" s="195">
      <c r="A179" s="334" t="n"/>
      <c r="B179" s="334" t="n"/>
      <c r="C179" s="334" t="n"/>
      <c r="D179" s="334" t="n"/>
      <c r="E179" s="334" t="n"/>
      <c r="F179" s="334" t="n"/>
      <c r="G179" s="334" t="n"/>
      <c r="H179" s="334" t="n"/>
      <c r="I179" s="332">
        <f>IFERROR(VLOOKUP(TEXT(H179,"0"),IPRESS!$A$3:$B$212,2,0),"")</f>
        <v/>
      </c>
      <c r="J179" s="334" t="n"/>
      <c r="K179" s="332">
        <f>IFERROR(VLOOKUP(TEXT(O179,"0"),CONDUCTORES!$A$3:$G$54,7,0),"")</f>
        <v/>
      </c>
      <c r="L179" s="334" t="n"/>
      <c r="M179" s="334" t="n"/>
      <c r="N179" s="333">
        <f>IFERROR(IF(L179*M179=0,"",L179*M179),"")</f>
        <v/>
      </c>
      <c r="O179" s="334" t="n"/>
      <c r="P179" s="332">
        <f>IFERROR(VLOOKUP(TEXT(O179,"0"),CONDUCTORES!$A$3:$G$54,2,0),"")</f>
        <v/>
      </c>
      <c r="Q179" s="332">
        <f>IFERROR(VLOOKUP(TEXT(O179,"0"),CONDUCTORES!$A$3:$H$54,6,0),"")</f>
        <v/>
      </c>
      <c r="R179" s="334" t="n"/>
      <c r="S179" s="334" t="n"/>
      <c r="T179" s="334" t="n"/>
      <c r="U179" s="334" t="n"/>
      <c r="V179" s="334" t="n"/>
      <c r="W179" s="334" t="n"/>
      <c r="X179" s="334" t="n"/>
      <c r="Y179" s="334" t="n"/>
    </row>
    <row r="180" ht="15" customHeight="1" s="195">
      <c r="A180" s="280" t="n"/>
      <c r="B180" s="280" t="n"/>
      <c r="C180" s="280" t="n"/>
      <c r="D180" s="280" t="n"/>
      <c r="E180" s="280" t="n"/>
      <c r="F180" s="280" t="n"/>
      <c r="G180" s="280" t="n"/>
      <c r="H180" s="280" t="n"/>
      <c r="I180" s="332">
        <f>IFERROR(VLOOKUP(TEXT(H180,"0"),IPRESS!$A$3:$B$212,2,0),"")</f>
        <v/>
      </c>
      <c r="J180" s="280" t="n"/>
      <c r="K180" s="332">
        <f>IFERROR(VLOOKUP(TEXT(O180,"0"),CONDUCTORES!$A$3:$G$54,7,0),"")</f>
        <v/>
      </c>
      <c r="L180" s="280" t="n"/>
      <c r="M180" s="280" t="n"/>
      <c r="N180" s="333">
        <f>IFERROR(IF(L180*M180=0,"",L180*M180),"")</f>
        <v/>
      </c>
      <c r="O180" s="280" t="n"/>
      <c r="P180" s="332">
        <f>IFERROR(VLOOKUP(TEXT(O180,"0"),CONDUCTORES!$A$3:$G$54,2,0),"")</f>
        <v/>
      </c>
      <c r="Q180" s="332">
        <f>IFERROR(VLOOKUP(TEXT(O180,"0"),CONDUCTORES!$A$3:$H$54,6,0),"")</f>
        <v/>
      </c>
      <c r="R180" s="280" t="n"/>
      <c r="S180" s="280" t="n"/>
      <c r="T180" s="280" t="n"/>
      <c r="U180" s="280" t="n"/>
      <c r="V180" s="280" t="n"/>
      <c r="W180" s="280" t="n"/>
      <c r="X180" s="280" t="n"/>
      <c r="Y180" s="280" t="n"/>
    </row>
    <row r="181" ht="15" customHeight="1" s="195">
      <c r="A181" s="334" t="n"/>
      <c r="B181" s="334" t="n"/>
      <c r="C181" s="334" t="n"/>
      <c r="D181" s="334" t="n"/>
      <c r="E181" s="334" t="n"/>
      <c r="F181" s="334" t="n"/>
      <c r="G181" s="334" t="n"/>
      <c r="H181" s="334" t="n"/>
      <c r="I181" s="332">
        <f>IFERROR(VLOOKUP(TEXT(H181,"0"),IPRESS!$A$3:$B$212,2,0),"")</f>
        <v/>
      </c>
      <c r="J181" s="334" t="n"/>
      <c r="K181" s="332">
        <f>IFERROR(VLOOKUP(TEXT(O181,"0"),CONDUCTORES!$A$3:$G$54,7,0),"")</f>
        <v/>
      </c>
      <c r="L181" s="334" t="n"/>
      <c r="M181" s="334" t="n"/>
      <c r="N181" s="333">
        <f>IFERROR(IF(L181*M181=0,"",L181*M181),"")</f>
        <v/>
      </c>
      <c r="O181" s="334" t="n"/>
      <c r="P181" s="332">
        <f>IFERROR(VLOOKUP(TEXT(O181,"0"),CONDUCTORES!$A$3:$G$54,2,0),"")</f>
        <v/>
      </c>
      <c r="Q181" s="332">
        <f>IFERROR(VLOOKUP(TEXT(O181,"0"),CONDUCTORES!$A$3:$H$54,6,0),"")</f>
        <v/>
      </c>
      <c r="R181" s="334" t="n"/>
      <c r="S181" s="334" t="n"/>
      <c r="T181" s="334" t="n"/>
      <c r="U181" s="334" t="n"/>
      <c r="V181" s="334" t="n"/>
      <c r="W181" s="334" t="n"/>
      <c r="X181" s="334" t="n"/>
      <c r="Y181" s="334" t="n"/>
    </row>
    <row r="182" ht="15" customHeight="1" s="195">
      <c r="A182" s="280" t="n"/>
      <c r="B182" s="280" t="n"/>
      <c r="C182" s="280" t="n"/>
      <c r="D182" s="280" t="n"/>
      <c r="E182" s="280" t="n"/>
      <c r="F182" s="280" t="n"/>
      <c r="G182" s="280" t="n"/>
      <c r="H182" s="280" t="n"/>
      <c r="I182" s="332">
        <f>IFERROR(VLOOKUP(TEXT(H182,"0"),IPRESS!$A$3:$B$212,2,0),"")</f>
        <v/>
      </c>
      <c r="J182" s="280" t="n"/>
      <c r="K182" s="332">
        <f>IFERROR(VLOOKUP(TEXT(O182,"0"),CONDUCTORES!$A$3:$G$54,7,0),"")</f>
        <v/>
      </c>
      <c r="L182" s="280" t="n"/>
      <c r="M182" s="280" t="n"/>
      <c r="N182" s="333">
        <f>IFERROR(IF(L182*M182=0,"",L182*M182),"")</f>
        <v/>
      </c>
      <c r="O182" s="280" t="n"/>
      <c r="P182" s="332">
        <f>IFERROR(VLOOKUP(TEXT(O182,"0"),CONDUCTORES!$A$3:$G$54,2,0),"")</f>
        <v/>
      </c>
      <c r="Q182" s="332">
        <f>IFERROR(VLOOKUP(TEXT(O182,"0"),CONDUCTORES!$A$3:$H$54,6,0),"")</f>
        <v/>
      </c>
      <c r="R182" s="280" t="n"/>
      <c r="S182" s="280" t="n"/>
      <c r="T182" s="280" t="n"/>
      <c r="U182" s="280" t="n"/>
      <c r="V182" s="280" t="n"/>
      <c r="W182" s="280" t="n"/>
      <c r="X182" s="280" t="n"/>
      <c r="Y182" s="280" t="n"/>
    </row>
    <row r="183" ht="15" customHeight="1" s="195">
      <c r="A183" s="334" t="n"/>
      <c r="B183" s="334" t="n"/>
      <c r="C183" s="334" t="n"/>
      <c r="D183" s="334" t="n"/>
      <c r="E183" s="334" t="n"/>
      <c r="F183" s="334" t="n"/>
      <c r="G183" s="334" t="n"/>
      <c r="H183" s="334" t="n"/>
      <c r="I183" s="332">
        <f>IFERROR(VLOOKUP(TEXT(H183,"0"),IPRESS!$A$3:$B$212,2,0),"")</f>
        <v/>
      </c>
      <c r="J183" s="334" t="n"/>
      <c r="K183" s="332">
        <f>IFERROR(VLOOKUP(TEXT(O183,"0"),CONDUCTORES!$A$3:$G$54,7,0),"")</f>
        <v/>
      </c>
      <c r="L183" s="334" t="n"/>
      <c r="M183" s="334" t="n"/>
      <c r="N183" s="333">
        <f>IFERROR(IF(L183*M183=0,"",L183*M183),"")</f>
        <v/>
      </c>
      <c r="O183" s="334" t="n"/>
      <c r="P183" s="332">
        <f>IFERROR(VLOOKUP(TEXT(O183,"0"),CONDUCTORES!$A$3:$G$54,2,0),"")</f>
        <v/>
      </c>
      <c r="Q183" s="332">
        <f>IFERROR(VLOOKUP(TEXT(O183,"0"),CONDUCTORES!$A$3:$H$54,6,0),"")</f>
        <v/>
      </c>
      <c r="R183" s="334" t="n"/>
      <c r="S183" s="334" t="n"/>
      <c r="T183" s="334" t="n"/>
      <c r="U183" s="334" t="n"/>
      <c r="V183" s="334" t="n"/>
      <c r="W183" s="334" t="n"/>
      <c r="X183" s="334" t="n"/>
      <c r="Y183" s="334" t="n"/>
    </row>
    <row r="184" ht="15" customHeight="1" s="195">
      <c r="A184" s="280" t="n"/>
      <c r="B184" s="280" t="n"/>
      <c r="C184" s="280" t="n"/>
      <c r="D184" s="280" t="n"/>
      <c r="E184" s="280" t="n"/>
      <c r="F184" s="280" t="n"/>
      <c r="G184" s="280" t="n"/>
      <c r="H184" s="280" t="n"/>
      <c r="I184" s="332">
        <f>IFERROR(VLOOKUP(TEXT(H184,"0"),IPRESS!$A$3:$B$212,2,0),"")</f>
        <v/>
      </c>
      <c r="J184" s="280" t="n"/>
      <c r="K184" s="332">
        <f>IFERROR(VLOOKUP(TEXT(O184,"0"),CONDUCTORES!$A$3:$G$54,7,0),"")</f>
        <v/>
      </c>
      <c r="L184" s="280" t="n"/>
      <c r="M184" s="280" t="n"/>
      <c r="N184" s="333">
        <f>IFERROR(IF(L184*M184=0,"",L184*M184),"")</f>
        <v/>
      </c>
      <c r="O184" s="280" t="n"/>
      <c r="P184" s="332">
        <f>IFERROR(VLOOKUP(TEXT(O184,"0"),CONDUCTORES!$A$3:$G$54,2,0),"")</f>
        <v/>
      </c>
      <c r="Q184" s="332">
        <f>IFERROR(VLOOKUP(TEXT(O184,"0"),CONDUCTORES!$A$3:$H$54,6,0),"")</f>
        <v/>
      </c>
      <c r="R184" s="280" t="n"/>
      <c r="S184" s="280" t="n"/>
      <c r="T184" s="280" t="n"/>
      <c r="U184" s="280" t="n"/>
      <c r="V184" s="280" t="n"/>
      <c r="W184" s="280" t="n"/>
      <c r="X184" s="280" t="n"/>
      <c r="Y184" s="280" t="n"/>
    </row>
    <row r="185" ht="15" customHeight="1" s="195">
      <c r="A185" s="334" t="n"/>
      <c r="B185" s="334" t="n"/>
      <c r="C185" s="334" t="n"/>
      <c r="D185" s="334" t="n"/>
      <c r="E185" s="334" t="n"/>
      <c r="F185" s="334" t="n"/>
      <c r="G185" s="334" t="n"/>
      <c r="H185" s="334" t="n"/>
      <c r="I185" s="332">
        <f>IFERROR(VLOOKUP(TEXT(H185,"0"),IPRESS!$A$3:$B$212,2,0),"")</f>
        <v/>
      </c>
      <c r="J185" s="334" t="n"/>
      <c r="K185" s="332">
        <f>IFERROR(VLOOKUP(TEXT(O185,"0"),CONDUCTORES!$A$3:$G$54,7,0),"")</f>
        <v/>
      </c>
      <c r="L185" s="334" t="n"/>
      <c r="M185" s="334" t="n"/>
      <c r="N185" s="333">
        <f>IFERROR(IF(L185*M185=0,"",L185*M185),"")</f>
        <v/>
      </c>
      <c r="O185" s="334" t="n"/>
      <c r="P185" s="332">
        <f>IFERROR(VLOOKUP(TEXT(O185,"0"),CONDUCTORES!$A$3:$G$54,2,0),"")</f>
        <v/>
      </c>
      <c r="Q185" s="332">
        <f>IFERROR(VLOOKUP(TEXT(O185,"0"),CONDUCTORES!$A$3:$H$54,6,0),"")</f>
        <v/>
      </c>
      <c r="R185" s="334" t="n"/>
      <c r="S185" s="334" t="n"/>
      <c r="T185" s="334" t="n"/>
      <c r="U185" s="334" t="n"/>
      <c r="V185" s="334" t="n"/>
      <c r="W185" s="334" t="n"/>
      <c r="X185" s="334" t="n"/>
      <c r="Y185" s="334" t="n"/>
    </row>
    <row r="186" ht="15" customHeight="1" s="195">
      <c r="A186" s="280" t="n"/>
      <c r="B186" s="280" t="n"/>
      <c r="C186" s="280" t="n"/>
      <c r="D186" s="280" t="n"/>
      <c r="E186" s="280" t="n"/>
      <c r="F186" s="280" t="n"/>
      <c r="G186" s="280" t="n"/>
      <c r="H186" s="280" t="n"/>
      <c r="I186" s="332">
        <f>IFERROR(VLOOKUP(TEXT(H186,"0"),IPRESS!$A$3:$B$212,2,0),"")</f>
        <v/>
      </c>
      <c r="J186" s="280" t="n"/>
      <c r="K186" s="332">
        <f>IFERROR(VLOOKUP(TEXT(O186,"0"),CONDUCTORES!$A$3:$G$54,7,0),"")</f>
        <v/>
      </c>
      <c r="L186" s="280" t="n"/>
      <c r="M186" s="280" t="n"/>
      <c r="N186" s="333">
        <f>IFERROR(IF(L186*M186=0,"",L186*M186),"")</f>
        <v/>
      </c>
      <c r="O186" s="280" t="n"/>
      <c r="P186" s="332">
        <f>IFERROR(VLOOKUP(TEXT(O186,"0"),CONDUCTORES!$A$3:$G$54,2,0),"")</f>
        <v/>
      </c>
      <c r="Q186" s="332">
        <f>IFERROR(VLOOKUP(TEXT(O186,"0"),CONDUCTORES!$A$3:$H$54,6,0),"")</f>
        <v/>
      </c>
      <c r="R186" s="280" t="n"/>
      <c r="S186" s="280" t="n"/>
      <c r="T186" s="280" t="n"/>
      <c r="U186" s="280" t="n"/>
      <c r="V186" s="280" t="n"/>
      <c r="W186" s="280" t="n"/>
      <c r="X186" s="280" t="n"/>
      <c r="Y186" s="280" t="n"/>
    </row>
    <row r="187" ht="15" customHeight="1" s="195">
      <c r="A187" s="334" t="n"/>
      <c r="B187" s="334" t="n"/>
      <c r="C187" s="334" t="n"/>
      <c r="D187" s="334" t="n"/>
      <c r="E187" s="334" t="n"/>
      <c r="F187" s="334" t="n"/>
      <c r="G187" s="334" t="n"/>
      <c r="H187" s="334" t="n"/>
      <c r="I187" s="332">
        <f>IFERROR(VLOOKUP(TEXT(H187,"0"),IPRESS!$A$3:$B$212,2,0),"")</f>
        <v/>
      </c>
      <c r="J187" s="334" t="n"/>
      <c r="K187" s="332">
        <f>IFERROR(VLOOKUP(TEXT(O187,"0"),CONDUCTORES!$A$3:$G$54,7,0),"")</f>
        <v/>
      </c>
      <c r="L187" s="334" t="n"/>
      <c r="M187" s="334" t="n"/>
      <c r="N187" s="333">
        <f>IFERROR(IF(L187*M187=0,"",L187*M187),"")</f>
        <v/>
      </c>
      <c r="O187" s="334" t="n"/>
      <c r="P187" s="332">
        <f>IFERROR(VLOOKUP(TEXT(O187,"0"),CONDUCTORES!$A$3:$G$54,2,0),"")</f>
        <v/>
      </c>
      <c r="Q187" s="332">
        <f>IFERROR(VLOOKUP(TEXT(O187,"0"),CONDUCTORES!$A$3:$H$54,6,0),"")</f>
        <v/>
      </c>
      <c r="R187" s="334" t="n"/>
      <c r="S187" s="334" t="n"/>
      <c r="T187" s="334" t="n"/>
      <c r="U187" s="334" t="n"/>
      <c r="V187" s="334" t="n"/>
      <c r="W187" s="334" t="n"/>
      <c r="X187" s="334" t="n"/>
      <c r="Y187" s="334" t="n"/>
    </row>
    <row r="188" ht="15" customHeight="1" s="195">
      <c r="A188" s="280" t="n"/>
      <c r="B188" s="280" t="n"/>
      <c r="C188" s="280" t="n"/>
      <c r="D188" s="280" t="n"/>
      <c r="E188" s="280" t="n"/>
      <c r="F188" s="280" t="n"/>
      <c r="G188" s="280" t="n"/>
      <c r="H188" s="280" t="n"/>
      <c r="I188" s="332">
        <f>IFERROR(VLOOKUP(TEXT(H188,"0"),IPRESS!$A$3:$B$212,2,0),"")</f>
        <v/>
      </c>
      <c r="J188" s="280" t="n"/>
      <c r="K188" s="332">
        <f>IFERROR(VLOOKUP(TEXT(O188,"0"),CONDUCTORES!$A$3:$G$54,7,0),"")</f>
        <v/>
      </c>
      <c r="L188" s="280" t="n"/>
      <c r="M188" s="280" t="n"/>
      <c r="N188" s="333">
        <f>IFERROR(IF(L188*M188=0,"",L188*M188),"")</f>
        <v/>
      </c>
      <c r="O188" s="280" t="n"/>
      <c r="P188" s="332">
        <f>IFERROR(VLOOKUP(TEXT(O188,"0"),CONDUCTORES!$A$3:$G$54,2,0),"")</f>
        <v/>
      </c>
      <c r="Q188" s="332">
        <f>IFERROR(VLOOKUP(TEXT(O188,"0"),CONDUCTORES!$A$3:$H$54,6,0),"")</f>
        <v/>
      </c>
      <c r="R188" s="280" t="n"/>
      <c r="S188" s="280" t="n"/>
      <c r="T188" s="280" t="n"/>
      <c r="U188" s="280" t="n"/>
      <c r="V188" s="280" t="n"/>
      <c r="W188" s="280" t="n"/>
      <c r="X188" s="280" t="n"/>
      <c r="Y188" s="280" t="n"/>
    </row>
    <row r="189" ht="15" customHeight="1" s="195">
      <c r="A189" s="334" t="n"/>
      <c r="B189" s="334" t="n"/>
      <c r="C189" s="334" t="n"/>
      <c r="D189" s="334" t="n"/>
      <c r="E189" s="334" t="n"/>
      <c r="F189" s="334" t="n"/>
      <c r="G189" s="334" t="n"/>
      <c r="H189" s="334" t="n"/>
      <c r="I189" s="332">
        <f>IFERROR(VLOOKUP(TEXT(H189,"0"),IPRESS!$A$3:$B$212,2,0),"")</f>
        <v/>
      </c>
      <c r="J189" s="334" t="n"/>
      <c r="K189" s="332">
        <f>IFERROR(VLOOKUP(TEXT(O189,"0"),CONDUCTORES!$A$3:$G$54,7,0),"")</f>
        <v/>
      </c>
      <c r="L189" s="334" t="n"/>
      <c r="M189" s="334" t="n"/>
      <c r="N189" s="333">
        <f>IFERROR(IF(L189*M189=0,"",L189*M189),"")</f>
        <v/>
      </c>
      <c r="O189" s="334" t="n"/>
      <c r="P189" s="332">
        <f>IFERROR(VLOOKUP(TEXT(O189,"0"),CONDUCTORES!$A$3:$G$54,2,0),"")</f>
        <v/>
      </c>
      <c r="Q189" s="332">
        <f>IFERROR(VLOOKUP(TEXT(O189,"0"),CONDUCTORES!$A$3:$H$54,6,0),"")</f>
        <v/>
      </c>
      <c r="R189" s="334" t="n"/>
      <c r="S189" s="334" t="n"/>
      <c r="T189" s="334" t="n"/>
      <c r="U189" s="334" t="n"/>
      <c r="V189" s="334" t="n"/>
      <c r="W189" s="334" t="n"/>
      <c r="X189" s="334" t="n"/>
      <c r="Y189" s="334" t="n"/>
    </row>
    <row r="190" ht="15" customHeight="1" s="195">
      <c r="A190" s="280" t="n"/>
      <c r="B190" s="280" t="n"/>
      <c r="C190" s="280" t="n"/>
      <c r="D190" s="280" t="n"/>
      <c r="E190" s="280" t="n"/>
      <c r="F190" s="280" t="n"/>
      <c r="G190" s="280" t="n"/>
      <c r="H190" s="280" t="n"/>
      <c r="I190" s="332">
        <f>IFERROR(VLOOKUP(TEXT(H190,"0"),IPRESS!$A$3:$B$212,2,0),"")</f>
        <v/>
      </c>
      <c r="J190" s="280" t="n"/>
      <c r="K190" s="332">
        <f>IFERROR(VLOOKUP(TEXT(O190,"0"),CONDUCTORES!$A$3:$G$54,7,0),"")</f>
        <v/>
      </c>
      <c r="L190" s="280" t="n"/>
      <c r="M190" s="280" t="n"/>
      <c r="N190" s="333">
        <f>IFERROR(IF(L190*M190=0,"",L190*M190),"")</f>
        <v/>
      </c>
      <c r="O190" s="280" t="n"/>
      <c r="P190" s="332">
        <f>IFERROR(VLOOKUP(TEXT(O190,"0"),CONDUCTORES!$A$3:$G$54,2,0),"")</f>
        <v/>
      </c>
      <c r="Q190" s="332">
        <f>IFERROR(VLOOKUP(TEXT(O190,"0"),CONDUCTORES!$A$3:$H$54,6,0),"")</f>
        <v/>
      </c>
      <c r="R190" s="280" t="n"/>
      <c r="S190" s="280" t="n"/>
      <c r="T190" s="280" t="n"/>
      <c r="U190" s="280" t="n"/>
      <c r="V190" s="280" t="n"/>
      <c r="W190" s="280" t="n"/>
      <c r="X190" s="280" t="n"/>
      <c r="Y190" s="280" t="n"/>
    </row>
    <row r="191" ht="15" customHeight="1" s="195">
      <c r="A191" s="334" t="n"/>
      <c r="B191" s="334" t="n"/>
      <c r="C191" s="334" t="n"/>
      <c r="D191" s="334" t="n"/>
      <c r="E191" s="334" t="n"/>
      <c r="F191" s="334" t="n"/>
      <c r="G191" s="334" t="n"/>
      <c r="H191" s="334" t="n"/>
      <c r="I191" s="332">
        <f>IFERROR(VLOOKUP(TEXT(H191,"0"),IPRESS!$A$3:$B$212,2,0),"")</f>
        <v/>
      </c>
      <c r="J191" s="334" t="n"/>
      <c r="K191" s="332">
        <f>IFERROR(VLOOKUP(TEXT(O191,"0"),CONDUCTORES!$A$3:$G$54,7,0),"")</f>
        <v/>
      </c>
      <c r="L191" s="334" t="n"/>
      <c r="M191" s="334" t="n"/>
      <c r="N191" s="333">
        <f>IFERROR(IF(L191*M191=0,"",L191*M191),"")</f>
        <v/>
      </c>
      <c r="O191" s="334" t="n"/>
      <c r="P191" s="332">
        <f>IFERROR(VLOOKUP(TEXT(O191,"0"),CONDUCTORES!$A$3:$G$54,2,0),"")</f>
        <v/>
      </c>
      <c r="Q191" s="332">
        <f>IFERROR(VLOOKUP(TEXT(O191,"0"),CONDUCTORES!$A$3:$H$54,6,0),"")</f>
        <v/>
      </c>
      <c r="R191" s="334" t="n"/>
      <c r="S191" s="334" t="n"/>
      <c r="T191" s="334" t="n"/>
      <c r="U191" s="334" t="n"/>
      <c r="V191" s="334" t="n"/>
      <c r="W191" s="334" t="n"/>
      <c r="X191" s="334" t="n"/>
      <c r="Y191" s="334" t="n"/>
    </row>
    <row r="192" ht="15" customHeight="1" s="195">
      <c r="A192" s="280" t="n"/>
      <c r="B192" s="280" t="n"/>
      <c r="C192" s="280" t="n"/>
      <c r="D192" s="280" t="n"/>
      <c r="E192" s="280" t="n"/>
      <c r="F192" s="280" t="n"/>
      <c r="G192" s="280" t="n"/>
      <c r="H192" s="280" t="n"/>
      <c r="I192" s="332">
        <f>IFERROR(VLOOKUP(TEXT(H192,"0"),IPRESS!$A$3:$B$212,2,0),"")</f>
        <v/>
      </c>
      <c r="J192" s="280" t="n"/>
      <c r="K192" s="332">
        <f>IFERROR(VLOOKUP(TEXT(O192,"0"),CONDUCTORES!$A$3:$G$54,7,0),"")</f>
        <v/>
      </c>
      <c r="L192" s="280" t="n"/>
      <c r="M192" s="280" t="n"/>
      <c r="N192" s="333">
        <f>IFERROR(IF(L192*M192=0,"",L192*M192),"")</f>
        <v/>
      </c>
      <c r="O192" s="280" t="n"/>
      <c r="P192" s="332">
        <f>IFERROR(VLOOKUP(TEXT(O192,"0"),CONDUCTORES!$A$3:$G$54,2,0),"")</f>
        <v/>
      </c>
      <c r="Q192" s="332">
        <f>IFERROR(VLOOKUP(TEXT(O192,"0"),CONDUCTORES!$A$3:$H$54,6,0),"")</f>
        <v/>
      </c>
      <c r="R192" s="280" t="n"/>
      <c r="S192" s="280" t="n"/>
      <c r="T192" s="280" t="n"/>
      <c r="U192" s="280" t="n"/>
      <c r="V192" s="280" t="n"/>
      <c r="W192" s="280" t="n"/>
      <c r="X192" s="280" t="n"/>
      <c r="Y192" s="280" t="n"/>
    </row>
    <row r="193" ht="15" customHeight="1" s="195">
      <c r="A193" s="334" t="n"/>
      <c r="B193" s="334" t="n"/>
      <c r="C193" s="334" t="n"/>
      <c r="D193" s="334" t="n"/>
      <c r="E193" s="334" t="n"/>
      <c r="F193" s="334" t="n"/>
      <c r="G193" s="334" t="n"/>
      <c r="H193" s="334" t="n"/>
      <c r="I193" s="332">
        <f>IFERROR(VLOOKUP(TEXT(H193,"0"),IPRESS!$A$3:$B$212,2,0),"")</f>
        <v/>
      </c>
      <c r="J193" s="334" t="n"/>
      <c r="K193" s="332">
        <f>IFERROR(VLOOKUP(TEXT(O193,"0"),CONDUCTORES!$A$3:$G$54,7,0),"")</f>
        <v/>
      </c>
      <c r="L193" s="334" t="n"/>
      <c r="M193" s="334" t="n"/>
      <c r="N193" s="333">
        <f>IFERROR(IF(L193*M193=0,"",L193*M193),"")</f>
        <v/>
      </c>
      <c r="O193" s="334" t="n"/>
      <c r="P193" s="332">
        <f>IFERROR(VLOOKUP(TEXT(O193,"0"),CONDUCTORES!$A$3:$G$54,2,0),"")</f>
        <v/>
      </c>
      <c r="Q193" s="332">
        <f>IFERROR(VLOOKUP(TEXT(O193,"0"),CONDUCTORES!$A$3:$H$54,6,0),"")</f>
        <v/>
      </c>
      <c r="R193" s="334" t="n"/>
      <c r="S193" s="334" t="n"/>
      <c r="T193" s="334" t="n"/>
      <c r="U193" s="334" t="n"/>
      <c r="V193" s="334" t="n"/>
      <c r="W193" s="334" t="n"/>
      <c r="X193" s="334" t="n"/>
      <c r="Y193" s="334" t="n"/>
    </row>
    <row r="194" ht="15" customHeight="1" s="195">
      <c r="A194" s="280" t="n"/>
      <c r="B194" s="280" t="n"/>
      <c r="C194" s="280" t="n"/>
      <c r="D194" s="280" t="n"/>
      <c r="E194" s="280" t="n"/>
      <c r="F194" s="280" t="n"/>
      <c r="G194" s="280" t="n"/>
      <c r="H194" s="280" t="n"/>
      <c r="I194" s="332">
        <f>IFERROR(VLOOKUP(TEXT(H194,"0"),IPRESS!$A$3:$B$212,2,0),"")</f>
        <v/>
      </c>
      <c r="J194" s="280" t="n"/>
      <c r="K194" s="332">
        <f>IFERROR(VLOOKUP(TEXT(O194,"0"),CONDUCTORES!$A$3:$G$54,7,0),"")</f>
        <v/>
      </c>
      <c r="L194" s="280" t="n"/>
      <c r="M194" s="280" t="n"/>
      <c r="N194" s="333">
        <f>IFERROR(IF(L194*M194=0,"",L194*M194),"")</f>
        <v/>
      </c>
      <c r="O194" s="280" t="n"/>
      <c r="P194" s="332">
        <f>IFERROR(VLOOKUP(TEXT(O194,"0"),CONDUCTORES!$A$3:$G$54,2,0),"")</f>
        <v/>
      </c>
      <c r="Q194" s="332">
        <f>IFERROR(VLOOKUP(TEXT(O194,"0"),CONDUCTORES!$A$3:$H$54,6,0),"")</f>
        <v/>
      </c>
      <c r="R194" s="280" t="n"/>
      <c r="S194" s="280" t="n"/>
      <c r="T194" s="280" t="n"/>
      <c r="U194" s="280" t="n"/>
      <c r="V194" s="280" t="n"/>
      <c r="W194" s="280" t="n"/>
      <c r="X194" s="280" t="n"/>
      <c r="Y194" s="280" t="n"/>
    </row>
    <row r="195" ht="15" customHeight="1" s="195">
      <c r="A195" s="334" t="n"/>
      <c r="B195" s="334" t="n"/>
      <c r="C195" s="334" t="n"/>
      <c r="D195" s="334" t="n"/>
      <c r="E195" s="334" t="n"/>
      <c r="F195" s="334" t="n"/>
      <c r="G195" s="334" t="n"/>
      <c r="H195" s="334" t="n"/>
      <c r="I195" s="332">
        <f>IFERROR(VLOOKUP(TEXT(H195,"0"),IPRESS!$A$3:$B$212,2,0),"")</f>
        <v/>
      </c>
      <c r="J195" s="334" t="n"/>
      <c r="K195" s="332">
        <f>IFERROR(VLOOKUP(TEXT(O195,"0"),CONDUCTORES!$A$3:$G$54,7,0),"")</f>
        <v/>
      </c>
      <c r="L195" s="334" t="n"/>
      <c r="M195" s="334" t="n"/>
      <c r="N195" s="333">
        <f>IFERROR(IF(L195*M195=0,"",L195*M195),"")</f>
        <v/>
      </c>
      <c r="O195" s="334" t="n"/>
      <c r="P195" s="332">
        <f>IFERROR(VLOOKUP(TEXT(O195,"0"),CONDUCTORES!$A$3:$G$54,2,0),"")</f>
        <v/>
      </c>
      <c r="Q195" s="332">
        <f>IFERROR(VLOOKUP(TEXT(O195,"0"),CONDUCTORES!$A$3:$H$54,6,0),"")</f>
        <v/>
      </c>
      <c r="R195" s="334" t="n"/>
      <c r="S195" s="334" t="n"/>
      <c r="T195" s="334" t="n"/>
      <c r="U195" s="334" t="n"/>
      <c r="V195" s="334" t="n"/>
      <c r="W195" s="334" t="n"/>
      <c r="X195" s="334" t="n"/>
      <c r="Y195" s="334" t="n"/>
    </row>
    <row r="196" ht="15" customHeight="1" s="195">
      <c r="A196" s="280" t="n"/>
      <c r="B196" s="280" t="n"/>
      <c r="C196" s="280" t="n"/>
      <c r="D196" s="280" t="n"/>
      <c r="E196" s="280" t="n"/>
      <c r="F196" s="280" t="n"/>
      <c r="G196" s="280" t="n"/>
      <c r="H196" s="280" t="n"/>
      <c r="I196" s="332">
        <f>IFERROR(VLOOKUP(TEXT(H196,"0"),IPRESS!$A$3:$B$212,2,0),"")</f>
        <v/>
      </c>
      <c r="J196" s="280" t="n"/>
      <c r="K196" s="332">
        <f>IFERROR(VLOOKUP(TEXT(O196,"0"),CONDUCTORES!$A$3:$G$54,7,0),"")</f>
        <v/>
      </c>
      <c r="L196" s="280" t="n"/>
      <c r="M196" s="280" t="n"/>
      <c r="N196" s="333">
        <f>IFERROR(IF(L196*M196=0,"",L196*M196),"")</f>
        <v/>
      </c>
      <c r="O196" s="280" t="n"/>
      <c r="P196" s="332">
        <f>IFERROR(VLOOKUP(TEXT(O196,"0"),CONDUCTORES!$A$3:$G$54,2,0),"")</f>
        <v/>
      </c>
      <c r="Q196" s="332">
        <f>IFERROR(VLOOKUP(TEXT(O196,"0"),CONDUCTORES!$A$3:$H$54,6,0),"")</f>
        <v/>
      </c>
      <c r="R196" s="280" t="n"/>
      <c r="S196" s="280" t="n"/>
      <c r="T196" s="280" t="n"/>
      <c r="U196" s="280" t="n"/>
      <c r="V196" s="280" t="n"/>
      <c r="W196" s="280" t="n"/>
      <c r="X196" s="280" t="n"/>
      <c r="Y196" s="280" t="n"/>
    </row>
    <row r="197" ht="15" customHeight="1" s="195">
      <c r="A197" s="334" t="n"/>
      <c r="B197" s="334" t="n"/>
      <c r="C197" s="334" t="n"/>
      <c r="D197" s="334" t="n"/>
      <c r="E197" s="334" t="n"/>
      <c r="F197" s="334" t="n"/>
      <c r="G197" s="334" t="n"/>
      <c r="H197" s="334" t="n"/>
      <c r="I197" s="332">
        <f>IFERROR(VLOOKUP(TEXT(H197,"0"),IPRESS!$A$3:$B$212,2,0),"")</f>
        <v/>
      </c>
      <c r="J197" s="334" t="n"/>
      <c r="K197" s="332">
        <f>IFERROR(VLOOKUP(TEXT(O197,"0"),CONDUCTORES!$A$3:$G$54,7,0),"")</f>
        <v/>
      </c>
      <c r="L197" s="334" t="n"/>
      <c r="M197" s="334" t="n"/>
      <c r="N197" s="333">
        <f>IFERROR(IF(L197*M197=0,"",L197*M197),"")</f>
        <v/>
      </c>
      <c r="O197" s="334" t="n"/>
      <c r="P197" s="332">
        <f>IFERROR(VLOOKUP(TEXT(O197,"0"),CONDUCTORES!$A$3:$G$54,2,0),"")</f>
        <v/>
      </c>
      <c r="Q197" s="332">
        <f>IFERROR(VLOOKUP(TEXT(O197,"0"),CONDUCTORES!$A$3:$H$54,6,0),"")</f>
        <v/>
      </c>
      <c r="R197" s="334" t="n"/>
      <c r="S197" s="334" t="n"/>
      <c r="T197" s="334" t="n"/>
      <c r="U197" s="334" t="n"/>
      <c r="V197" s="334" t="n"/>
      <c r="W197" s="334" t="n"/>
      <c r="X197" s="334" t="n"/>
      <c r="Y197" s="334" t="n"/>
    </row>
    <row r="198" ht="15" customHeight="1" s="195">
      <c r="A198" s="280" t="n"/>
      <c r="B198" s="280" t="n"/>
      <c r="C198" s="280" t="n"/>
      <c r="D198" s="280" t="n"/>
      <c r="E198" s="280" t="n"/>
      <c r="F198" s="280" t="n"/>
      <c r="G198" s="280" t="n"/>
      <c r="H198" s="280" t="n"/>
      <c r="I198" s="332">
        <f>IFERROR(VLOOKUP(TEXT(H198,"0"),IPRESS!$A$3:$B$212,2,0),"")</f>
        <v/>
      </c>
      <c r="J198" s="280" t="n"/>
      <c r="K198" s="332">
        <f>IFERROR(VLOOKUP(TEXT(O198,"0"),CONDUCTORES!$A$3:$G$54,7,0),"")</f>
        <v/>
      </c>
      <c r="L198" s="280" t="n"/>
      <c r="M198" s="280" t="n"/>
      <c r="N198" s="333">
        <f>IFERROR(IF(L198*M198=0,"",L198*M198),"")</f>
        <v/>
      </c>
      <c r="O198" s="280" t="n"/>
      <c r="P198" s="332">
        <f>IFERROR(VLOOKUP(TEXT(O198,"0"),CONDUCTORES!$A$3:$G$54,2,0),"")</f>
        <v/>
      </c>
      <c r="Q198" s="332">
        <f>IFERROR(VLOOKUP(TEXT(O198,"0"),CONDUCTORES!$A$3:$H$54,6,0),"")</f>
        <v/>
      </c>
      <c r="R198" s="280" t="n"/>
      <c r="S198" s="280" t="n"/>
      <c r="T198" s="280" t="n"/>
      <c r="U198" s="280" t="n"/>
      <c r="V198" s="280" t="n"/>
      <c r="W198" s="280" t="n"/>
      <c r="X198" s="280" t="n"/>
      <c r="Y198" s="280" t="n"/>
    </row>
    <row r="199" ht="15" customHeight="1" s="195">
      <c r="A199" s="334" t="n"/>
      <c r="B199" s="334" t="n"/>
      <c r="C199" s="334" t="n"/>
      <c r="D199" s="334" t="n"/>
      <c r="E199" s="334" t="n"/>
      <c r="F199" s="334" t="n"/>
      <c r="G199" s="334" t="n"/>
      <c r="H199" s="334" t="n"/>
      <c r="I199" s="332">
        <f>IFERROR(VLOOKUP(TEXT(H199,"0"),IPRESS!$A$3:$B$212,2,0),"")</f>
        <v/>
      </c>
      <c r="J199" s="334" t="n"/>
      <c r="K199" s="332">
        <f>IFERROR(VLOOKUP(TEXT(O199,"0"),CONDUCTORES!$A$3:$G$54,7,0),"")</f>
        <v/>
      </c>
      <c r="L199" s="334" t="n"/>
      <c r="M199" s="334" t="n"/>
      <c r="N199" s="333">
        <f>IFERROR(IF(L199*M199=0,"",L199*M199),"")</f>
        <v/>
      </c>
      <c r="O199" s="334" t="n"/>
      <c r="P199" s="332">
        <f>IFERROR(VLOOKUP(TEXT(O199,"0"),CONDUCTORES!$A$3:$G$54,2,0),"")</f>
        <v/>
      </c>
      <c r="Q199" s="332">
        <f>IFERROR(VLOOKUP(TEXT(O199,"0"),CONDUCTORES!$A$3:$H$54,6,0),"")</f>
        <v/>
      </c>
      <c r="R199" s="334" t="n"/>
      <c r="S199" s="334" t="n"/>
      <c r="T199" s="334" t="n"/>
      <c r="U199" s="334" t="n"/>
      <c r="V199" s="334" t="n"/>
      <c r="W199" s="334" t="n"/>
      <c r="X199" s="334" t="n"/>
      <c r="Y199" s="334" t="n"/>
    </row>
    <row r="200" ht="15" customHeight="1" s="195">
      <c r="A200" s="280" t="n"/>
      <c r="B200" s="280" t="n"/>
      <c r="C200" s="280" t="n"/>
      <c r="D200" s="280" t="n"/>
      <c r="E200" s="280" t="n"/>
      <c r="F200" s="280" t="n"/>
      <c r="G200" s="280" t="n"/>
      <c r="H200" s="280" t="n"/>
      <c r="I200" s="332">
        <f>IFERROR(VLOOKUP(TEXT(H200,"0"),IPRESS!$A$3:$B$212,2,0),"")</f>
        <v/>
      </c>
      <c r="J200" s="280" t="n"/>
      <c r="K200" s="332">
        <f>IFERROR(VLOOKUP(TEXT(O200,"0"),CONDUCTORES!$A$3:$G$54,7,0),"")</f>
        <v/>
      </c>
      <c r="L200" s="280" t="n"/>
      <c r="M200" s="280" t="n"/>
      <c r="N200" s="333">
        <f>IFERROR(IF(L200*M200=0,"",L200*M200),"")</f>
        <v/>
      </c>
      <c r="O200" s="280" t="n"/>
      <c r="P200" s="332">
        <f>IFERROR(VLOOKUP(TEXT(O200,"0"),CONDUCTORES!$A$3:$G$54,2,0),"")</f>
        <v/>
      </c>
      <c r="Q200" s="332">
        <f>IFERROR(VLOOKUP(TEXT(O200,"0"),CONDUCTORES!$A$3:$H$54,6,0),"")</f>
        <v/>
      </c>
      <c r="R200" s="280" t="n"/>
      <c r="S200" s="280" t="n"/>
      <c r="T200" s="280" t="n"/>
      <c r="U200" s="280" t="n"/>
      <c r="V200" s="280" t="n"/>
      <c r="W200" s="280" t="n"/>
      <c r="X200" s="280" t="n"/>
      <c r="Y200" s="280" t="n"/>
    </row>
    <row r="201" ht="15" customHeight="1" s="195">
      <c r="A201" s="334" t="n"/>
      <c r="B201" s="334" t="n"/>
      <c r="C201" s="334" t="n"/>
      <c r="D201" s="334" t="n"/>
      <c r="E201" s="334" t="n"/>
      <c r="F201" s="334" t="n"/>
      <c r="G201" s="334" t="n"/>
      <c r="H201" s="334" t="n"/>
      <c r="I201" s="332">
        <f>IFERROR(VLOOKUP(TEXT(H201,"0"),IPRESS!$A$3:$B$212,2,0),"")</f>
        <v/>
      </c>
      <c r="J201" s="334" t="n"/>
      <c r="K201" s="332">
        <f>IFERROR(VLOOKUP(TEXT(O201,"0"),CONDUCTORES!$A$3:$G$54,7,0),"")</f>
        <v/>
      </c>
      <c r="L201" s="334" t="n"/>
      <c r="M201" s="334" t="n"/>
      <c r="N201" s="333">
        <f>IFERROR(IF(L201*M201=0,"",L201*M201),"")</f>
        <v/>
      </c>
      <c r="O201" s="334" t="n"/>
      <c r="P201" s="332">
        <f>IFERROR(VLOOKUP(TEXT(O201,"0"),CONDUCTORES!$A$3:$G$54,2,0),"")</f>
        <v/>
      </c>
      <c r="Q201" s="332">
        <f>IFERROR(VLOOKUP(TEXT(O201,"0"),CONDUCTORES!$A$3:$H$54,6,0),"")</f>
        <v/>
      </c>
      <c r="R201" s="334" t="n"/>
      <c r="S201" s="334" t="n"/>
      <c r="T201" s="334" t="n"/>
      <c r="U201" s="334" t="n"/>
      <c r="V201" s="334" t="n"/>
      <c r="W201" s="334" t="n"/>
      <c r="X201" s="334" t="n"/>
      <c r="Y201" s="334" t="n"/>
    </row>
    <row r="202" ht="15" customHeight="1" s="195">
      <c r="A202" s="280" t="n"/>
      <c r="B202" s="280" t="n"/>
      <c r="C202" s="280" t="n"/>
      <c r="D202" s="280" t="n"/>
      <c r="E202" s="280" t="n"/>
      <c r="F202" s="280" t="n"/>
      <c r="G202" s="280" t="n"/>
      <c r="H202" s="280" t="n"/>
      <c r="I202" s="332">
        <f>IFERROR(VLOOKUP(TEXT(H202,"0"),IPRESS!$A$3:$B$212,2,0),"")</f>
        <v/>
      </c>
      <c r="J202" s="280" t="n"/>
      <c r="K202" s="332">
        <f>IFERROR(VLOOKUP(TEXT(O202,"0"),CONDUCTORES!$A$3:$G$54,7,0),"")</f>
        <v/>
      </c>
      <c r="L202" s="280" t="n"/>
      <c r="M202" s="280" t="n"/>
      <c r="N202" s="333">
        <f>IFERROR(IF(L202*M202=0,"",L202*M202),"")</f>
        <v/>
      </c>
      <c r="O202" s="280" t="n"/>
      <c r="P202" s="332">
        <f>IFERROR(VLOOKUP(TEXT(O202,"0"),CONDUCTORES!$A$3:$G$54,2,0),"")</f>
        <v/>
      </c>
      <c r="Q202" s="332">
        <f>IFERROR(VLOOKUP(TEXT(O202,"0"),CONDUCTORES!$A$3:$H$54,6,0),"")</f>
        <v/>
      </c>
      <c r="R202" s="280" t="n"/>
      <c r="S202" s="280" t="n"/>
      <c r="T202" s="280" t="n"/>
      <c r="U202" s="280" t="n"/>
      <c r="V202" s="280" t="n"/>
      <c r="W202" s="280" t="n"/>
      <c r="X202" s="280" t="n"/>
      <c r="Y202" s="280" t="n"/>
    </row>
    <row r="203" ht="15" customHeight="1" s="195">
      <c r="A203" s="334" t="n"/>
      <c r="B203" s="334" t="n"/>
      <c r="C203" s="334" t="n"/>
      <c r="D203" s="334" t="n"/>
      <c r="E203" s="334" t="n"/>
      <c r="F203" s="334" t="n"/>
      <c r="G203" s="334" t="n"/>
      <c r="H203" s="334" t="n"/>
      <c r="I203" s="332">
        <f>IFERROR(VLOOKUP(TEXT(H203,"0"),IPRESS!$A$3:$B$212,2,0),"")</f>
        <v/>
      </c>
      <c r="J203" s="334" t="n"/>
      <c r="K203" s="332">
        <f>IFERROR(VLOOKUP(TEXT(O203,"0"),CONDUCTORES!$A$3:$G$54,7,0),"")</f>
        <v/>
      </c>
      <c r="L203" s="334" t="n"/>
      <c r="M203" s="334" t="n"/>
      <c r="N203" s="333">
        <f>IFERROR(IF(L203*M203=0,"",L203*M203),"")</f>
        <v/>
      </c>
      <c r="O203" s="334" t="n"/>
      <c r="P203" s="332">
        <f>IFERROR(VLOOKUP(TEXT(O203,"0"),CONDUCTORES!$A$3:$G$54,2,0),"")</f>
        <v/>
      </c>
      <c r="Q203" s="332">
        <f>IFERROR(VLOOKUP(TEXT(O203,"0"),CONDUCTORES!$A$3:$H$54,6,0),"")</f>
        <v/>
      </c>
      <c r="R203" s="334" t="n"/>
      <c r="S203" s="334" t="n"/>
      <c r="T203" s="334" t="n"/>
      <c r="U203" s="334" t="n"/>
      <c r="V203" s="334" t="n"/>
      <c r="W203" s="334" t="n"/>
      <c r="X203" s="334" t="n"/>
      <c r="Y203" s="334" t="n"/>
    </row>
    <row r="204" ht="15" customHeight="1" s="195">
      <c r="A204" s="280" t="n"/>
      <c r="B204" s="280" t="n"/>
      <c r="C204" s="280" t="n"/>
      <c r="D204" s="280" t="n"/>
      <c r="E204" s="280" t="n"/>
      <c r="F204" s="280" t="n"/>
      <c r="G204" s="280" t="n"/>
      <c r="H204" s="280" t="n"/>
      <c r="I204" s="332">
        <f>IFERROR(VLOOKUP(TEXT(H204,"0"),IPRESS!$A$3:$B$212,2,0),"")</f>
        <v/>
      </c>
      <c r="J204" s="280" t="n"/>
      <c r="K204" s="332">
        <f>IFERROR(VLOOKUP(TEXT(O204,"0"),CONDUCTORES!$A$3:$G$54,7,0),"")</f>
        <v/>
      </c>
      <c r="L204" s="280" t="n"/>
      <c r="M204" s="280" t="n"/>
      <c r="N204" s="333">
        <f>IFERROR(IF(L204*M204=0,"",L204*M204),"")</f>
        <v/>
      </c>
      <c r="O204" s="280" t="n"/>
      <c r="P204" s="332">
        <f>IFERROR(VLOOKUP(TEXT(O204,"0"),CONDUCTORES!$A$3:$G$54,2,0),"")</f>
        <v/>
      </c>
      <c r="Q204" s="332">
        <f>IFERROR(VLOOKUP(TEXT(O204,"0"),CONDUCTORES!$A$3:$H$54,6,0),"")</f>
        <v/>
      </c>
      <c r="R204" s="280" t="n"/>
      <c r="S204" s="280" t="n"/>
      <c r="T204" s="280" t="n"/>
      <c r="U204" s="280" t="n"/>
      <c r="V204" s="280" t="n"/>
      <c r="W204" s="280" t="n"/>
      <c r="X204" s="280" t="n"/>
      <c r="Y204" s="280" t="n"/>
    </row>
    <row r="205" ht="15" customHeight="1" s="195">
      <c r="A205" s="334" t="n"/>
      <c r="B205" s="334" t="n"/>
      <c r="C205" s="334" t="n"/>
      <c r="D205" s="334" t="n"/>
      <c r="E205" s="334" t="n"/>
      <c r="F205" s="334" t="n"/>
      <c r="G205" s="334" t="n"/>
      <c r="H205" s="334" t="n"/>
      <c r="I205" s="332">
        <f>IFERROR(VLOOKUP(TEXT(H205,"0"),IPRESS!$A$3:$B$212,2,0),"")</f>
        <v/>
      </c>
      <c r="J205" s="334" t="n"/>
      <c r="K205" s="332">
        <f>IFERROR(VLOOKUP(TEXT(O205,"0"),CONDUCTORES!$A$3:$G$54,7,0),"")</f>
        <v/>
      </c>
      <c r="L205" s="334" t="n"/>
      <c r="M205" s="334" t="n"/>
      <c r="N205" s="333">
        <f>IFERROR(IF(L205*M205=0,"",L205*M205),"")</f>
        <v/>
      </c>
      <c r="O205" s="334" t="n"/>
      <c r="P205" s="332">
        <f>IFERROR(VLOOKUP(TEXT(O205,"0"),CONDUCTORES!$A$3:$G$54,2,0),"")</f>
        <v/>
      </c>
      <c r="Q205" s="332">
        <f>IFERROR(VLOOKUP(TEXT(O205,"0"),CONDUCTORES!$A$3:$H$54,6,0),"")</f>
        <v/>
      </c>
      <c r="R205" s="334" t="n"/>
      <c r="S205" s="334" t="n"/>
      <c r="T205" s="334" t="n"/>
      <c r="U205" s="334" t="n"/>
      <c r="V205" s="334" t="n"/>
      <c r="W205" s="334" t="n"/>
      <c r="X205" s="334" t="n"/>
      <c r="Y205" s="334" t="n"/>
    </row>
    <row r="206" ht="15" customHeight="1" s="195">
      <c r="A206" s="280" t="n"/>
      <c r="B206" s="280" t="n"/>
      <c r="C206" s="280" t="n"/>
      <c r="D206" s="280" t="n"/>
      <c r="E206" s="280" t="n"/>
      <c r="F206" s="280" t="n"/>
      <c r="G206" s="280" t="n"/>
      <c r="H206" s="280" t="n"/>
      <c r="I206" s="332">
        <f>IFERROR(VLOOKUP(TEXT(H206,"0"),IPRESS!$A$3:$B$212,2,0),"")</f>
        <v/>
      </c>
      <c r="J206" s="280" t="n"/>
      <c r="K206" s="332">
        <f>IFERROR(VLOOKUP(TEXT(O206,"0"),CONDUCTORES!$A$3:$G$54,7,0),"")</f>
        <v/>
      </c>
      <c r="L206" s="280" t="n"/>
      <c r="M206" s="280" t="n"/>
      <c r="N206" s="333">
        <f>IFERROR(IF(L206*M206=0,"",L206*M206),"")</f>
        <v/>
      </c>
      <c r="O206" s="280" t="n"/>
      <c r="P206" s="332">
        <f>IFERROR(VLOOKUP(TEXT(O206,"0"),CONDUCTORES!$A$3:$G$54,2,0),"")</f>
        <v/>
      </c>
      <c r="Q206" s="332">
        <f>IFERROR(VLOOKUP(TEXT(O206,"0"),CONDUCTORES!$A$3:$H$54,6,0),"")</f>
        <v/>
      </c>
      <c r="R206" s="280" t="n"/>
      <c r="S206" s="280" t="n"/>
      <c r="T206" s="280" t="n"/>
      <c r="U206" s="280" t="n"/>
      <c r="V206" s="280" t="n"/>
      <c r="W206" s="280" t="n"/>
      <c r="X206" s="280" t="n"/>
      <c r="Y206" s="280" t="n"/>
    </row>
    <row r="207" ht="15" customHeight="1" s="195">
      <c r="A207" s="334" t="n"/>
      <c r="B207" s="334" t="n"/>
      <c r="C207" s="334" t="n"/>
      <c r="D207" s="334" t="n"/>
      <c r="E207" s="334" t="n"/>
      <c r="F207" s="334" t="n"/>
      <c r="G207" s="334" t="n"/>
      <c r="H207" s="334" t="n"/>
      <c r="I207" s="332">
        <f>IFERROR(VLOOKUP(TEXT(H207,"0"),IPRESS!$A$3:$B$212,2,0),"")</f>
        <v/>
      </c>
      <c r="J207" s="334" t="n"/>
      <c r="K207" s="332">
        <f>IFERROR(VLOOKUP(TEXT(O207,"0"),CONDUCTORES!$A$3:$G$54,7,0),"")</f>
        <v/>
      </c>
      <c r="L207" s="334" t="n"/>
      <c r="M207" s="334" t="n"/>
      <c r="N207" s="333">
        <f>IFERROR(IF(L207*M207=0,"",L207*M207),"")</f>
        <v/>
      </c>
      <c r="O207" s="334" t="n"/>
      <c r="P207" s="332">
        <f>IFERROR(VLOOKUP(TEXT(O207,"0"),CONDUCTORES!$A$3:$G$54,2,0),"")</f>
        <v/>
      </c>
      <c r="Q207" s="332">
        <f>IFERROR(VLOOKUP(TEXT(O207,"0"),CONDUCTORES!$A$3:$H$54,6,0),"")</f>
        <v/>
      </c>
      <c r="R207" s="334" t="n"/>
      <c r="S207" s="334" t="n"/>
      <c r="T207" s="334" t="n"/>
      <c r="U207" s="334" t="n"/>
      <c r="V207" s="334" t="n"/>
      <c r="W207" s="334" t="n"/>
      <c r="X207" s="334" t="n"/>
      <c r="Y207" s="334" t="n"/>
    </row>
    <row r="208" ht="15" customHeight="1" s="195">
      <c r="A208" s="280" t="n"/>
      <c r="B208" s="280" t="n"/>
      <c r="C208" s="280" t="n"/>
      <c r="D208" s="280" t="n"/>
      <c r="E208" s="280" t="n"/>
      <c r="F208" s="280" t="n"/>
      <c r="G208" s="280" t="n"/>
      <c r="H208" s="280" t="n"/>
      <c r="I208" s="332">
        <f>IFERROR(VLOOKUP(TEXT(H208,"0"),IPRESS!$A$3:$B$212,2,0),"")</f>
        <v/>
      </c>
      <c r="J208" s="280" t="n"/>
      <c r="K208" s="332">
        <f>IFERROR(VLOOKUP(TEXT(O208,"0"),CONDUCTORES!$A$3:$G$54,7,0),"")</f>
        <v/>
      </c>
      <c r="L208" s="280" t="n"/>
      <c r="M208" s="280" t="n"/>
      <c r="N208" s="333">
        <f>IFERROR(IF(L208*M208=0,"",L208*M208),"")</f>
        <v/>
      </c>
      <c r="O208" s="280" t="n"/>
      <c r="P208" s="332">
        <f>IFERROR(VLOOKUP(TEXT(O208,"0"),CONDUCTORES!$A$3:$G$54,2,0),"")</f>
        <v/>
      </c>
      <c r="Q208" s="332">
        <f>IFERROR(VLOOKUP(TEXT(O208,"0"),CONDUCTORES!$A$3:$H$54,6,0),"")</f>
        <v/>
      </c>
      <c r="R208" s="280" t="n"/>
      <c r="S208" s="280" t="n"/>
      <c r="T208" s="280" t="n"/>
      <c r="U208" s="280" t="n"/>
      <c r="V208" s="280" t="n"/>
      <c r="W208" s="280" t="n"/>
      <c r="X208" s="280" t="n"/>
      <c r="Y208" s="280" t="n"/>
    </row>
    <row r="209" ht="15" customHeight="1" s="195">
      <c r="A209" s="334" t="n"/>
      <c r="B209" s="334" t="n"/>
      <c r="C209" s="334" t="n"/>
      <c r="D209" s="334" t="n"/>
      <c r="E209" s="334" t="n"/>
      <c r="F209" s="334" t="n"/>
      <c r="G209" s="334" t="n"/>
      <c r="H209" s="334" t="n"/>
      <c r="I209" s="332">
        <f>IFERROR(VLOOKUP(TEXT(H209,"0"),IPRESS!$A$3:$B$212,2,0),"")</f>
        <v/>
      </c>
      <c r="J209" s="334" t="n"/>
      <c r="K209" s="332">
        <f>IFERROR(VLOOKUP(TEXT(O209,"0"),CONDUCTORES!$A$3:$G$54,7,0),"")</f>
        <v/>
      </c>
      <c r="L209" s="334" t="n"/>
      <c r="M209" s="334" t="n"/>
      <c r="N209" s="333">
        <f>IFERROR(IF(L209*M209=0,"",L209*M209),"")</f>
        <v/>
      </c>
      <c r="O209" s="334" t="n"/>
      <c r="P209" s="332">
        <f>IFERROR(VLOOKUP(TEXT(O209,"0"),CONDUCTORES!$A$3:$G$54,2,0),"")</f>
        <v/>
      </c>
      <c r="Q209" s="332">
        <f>IFERROR(VLOOKUP(TEXT(O209,"0"),CONDUCTORES!$A$3:$H$54,6,0),"")</f>
        <v/>
      </c>
      <c r="R209" s="334" t="n"/>
      <c r="S209" s="334" t="n"/>
      <c r="T209" s="334" t="n"/>
      <c r="U209" s="334" t="n"/>
      <c r="V209" s="334" t="n"/>
      <c r="W209" s="334" t="n"/>
      <c r="X209" s="334" t="n"/>
      <c r="Y209" s="334" t="n"/>
    </row>
    <row r="210" ht="15" customHeight="1" s="195">
      <c r="A210" s="280" t="n"/>
      <c r="B210" s="280" t="n"/>
      <c r="C210" s="280" t="n"/>
      <c r="D210" s="280" t="n"/>
      <c r="E210" s="280" t="n"/>
      <c r="F210" s="280" t="n"/>
      <c r="G210" s="280" t="n"/>
      <c r="H210" s="280" t="n"/>
      <c r="I210" s="332">
        <f>IFERROR(VLOOKUP(TEXT(H210,"0"),IPRESS!$A$3:$B$212,2,0),"")</f>
        <v/>
      </c>
      <c r="J210" s="280" t="n"/>
      <c r="K210" s="332">
        <f>IFERROR(VLOOKUP(TEXT(O210,"0"),CONDUCTORES!$A$3:$G$54,7,0),"")</f>
        <v/>
      </c>
      <c r="L210" s="280" t="n"/>
      <c r="M210" s="280" t="n"/>
      <c r="N210" s="333">
        <f>IFERROR(IF(L210*M210=0,"",L210*M210),"")</f>
        <v/>
      </c>
      <c r="O210" s="280" t="n"/>
      <c r="P210" s="332">
        <f>IFERROR(VLOOKUP(TEXT(O210,"0"),CONDUCTORES!$A$3:$G$54,2,0),"")</f>
        <v/>
      </c>
      <c r="Q210" s="332">
        <f>IFERROR(VLOOKUP(TEXT(O210,"0"),CONDUCTORES!$A$3:$H$54,6,0),"")</f>
        <v/>
      </c>
      <c r="R210" s="280" t="n"/>
      <c r="S210" s="280" t="n"/>
      <c r="T210" s="280" t="n"/>
      <c r="U210" s="280" t="n"/>
      <c r="V210" s="280" t="n"/>
      <c r="W210" s="280" t="n"/>
      <c r="X210" s="280" t="n"/>
      <c r="Y210" s="280" t="n"/>
    </row>
    <row r="211" ht="15" customHeight="1" s="195">
      <c r="A211" s="334" t="n"/>
      <c r="B211" s="334" t="n"/>
      <c r="C211" s="334" t="n"/>
      <c r="D211" s="334" t="n"/>
      <c r="E211" s="334" t="n"/>
      <c r="F211" s="334" t="n"/>
      <c r="G211" s="334" t="n"/>
      <c r="H211" s="334" t="n"/>
      <c r="I211" s="332">
        <f>IFERROR(VLOOKUP(TEXT(H211,"0"),IPRESS!$A$3:$B$212,2,0),"")</f>
        <v/>
      </c>
      <c r="J211" s="334" t="n"/>
      <c r="K211" s="332">
        <f>IFERROR(VLOOKUP(TEXT(O211,"0"),CONDUCTORES!$A$3:$G$54,7,0),"")</f>
        <v/>
      </c>
      <c r="L211" s="334" t="n"/>
      <c r="M211" s="334" t="n"/>
      <c r="N211" s="333">
        <f>IFERROR(IF(L211*M211=0,"",L211*M211),"")</f>
        <v/>
      </c>
      <c r="O211" s="334" t="n"/>
      <c r="P211" s="332">
        <f>IFERROR(VLOOKUP(TEXT(O211,"0"),CONDUCTORES!$A$3:$G$54,2,0),"")</f>
        <v/>
      </c>
      <c r="Q211" s="332">
        <f>IFERROR(VLOOKUP(TEXT(O211,"0"),CONDUCTORES!$A$3:$H$54,6,0),"")</f>
        <v/>
      </c>
      <c r="R211" s="334" t="n"/>
      <c r="S211" s="334" t="n"/>
      <c r="T211" s="334" t="n"/>
      <c r="U211" s="334" t="n"/>
      <c r="V211" s="334" t="n"/>
      <c r="W211" s="334" t="n"/>
      <c r="X211" s="334" t="n"/>
      <c r="Y211" s="334" t="n"/>
    </row>
    <row r="212" ht="15" customHeight="1" s="195">
      <c r="A212" s="280" t="n"/>
      <c r="B212" s="280" t="n"/>
      <c r="C212" s="280" t="n"/>
      <c r="D212" s="280" t="n"/>
      <c r="E212" s="280" t="n"/>
      <c r="F212" s="280" t="n"/>
      <c r="G212" s="280" t="n"/>
      <c r="H212" s="280" t="n"/>
      <c r="I212" s="332">
        <f>IFERROR(VLOOKUP(TEXT(H212,"0"),IPRESS!$A$3:$B$212,2,0),"")</f>
        <v/>
      </c>
      <c r="J212" s="280" t="n"/>
      <c r="K212" s="332">
        <f>IFERROR(VLOOKUP(TEXT(O212,"0"),CONDUCTORES!$A$3:$G$54,7,0),"")</f>
        <v/>
      </c>
      <c r="L212" s="280" t="n"/>
      <c r="M212" s="280" t="n"/>
      <c r="N212" s="333">
        <f>IFERROR(IF(L212*M212=0,"",L212*M212),"")</f>
        <v/>
      </c>
      <c r="O212" s="280" t="n"/>
      <c r="P212" s="332">
        <f>IFERROR(VLOOKUP(TEXT(O212,"0"),CONDUCTORES!$A$3:$G$54,2,0),"")</f>
        <v/>
      </c>
      <c r="Q212" s="332">
        <f>IFERROR(VLOOKUP(TEXT(O212,"0"),CONDUCTORES!$A$3:$H$54,6,0),"")</f>
        <v/>
      </c>
      <c r="R212" s="280" t="n"/>
      <c r="S212" s="280" t="n"/>
      <c r="T212" s="280" t="n"/>
      <c r="U212" s="280" t="n"/>
      <c r="V212" s="280" t="n"/>
      <c r="W212" s="280" t="n"/>
      <c r="X212" s="280" t="n"/>
      <c r="Y212" s="280" t="n"/>
    </row>
    <row r="213" ht="15" customHeight="1" s="195">
      <c r="A213" s="334" t="n"/>
      <c r="B213" s="334" t="n"/>
      <c r="C213" s="334" t="n"/>
      <c r="D213" s="334" t="n"/>
      <c r="E213" s="334" t="n"/>
      <c r="F213" s="334" t="n"/>
      <c r="G213" s="334" t="n"/>
      <c r="H213" s="334" t="n"/>
      <c r="I213" s="332">
        <f>IFERROR(VLOOKUP(TEXT(H213,"0"),IPRESS!$A$3:$B$212,2,0),"")</f>
        <v/>
      </c>
      <c r="J213" s="334" t="n"/>
      <c r="K213" s="332">
        <f>IFERROR(VLOOKUP(TEXT(O213,"0"),CONDUCTORES!$A$3:$G$54,7,0),"")</f>
        <v/>
      </c>
      <c r="L213" s="334" t="n"/>
      <c r="M213" s="334" t="n"/>
      <c r="N213" s="333">
        <f>IFERROR(IF(L213*M213=0,"",L213*M213),"")</f>
        <v/>
      </c>
      <c r="O213" s="334" t="n"/>
      <c r="P213" s="332">
        <f>IFERROR(VLOOKUP(TEXT(O213,"0"),CONDUCTORES!$A$3:$G$54,2,0),"")</f>
        <v/>
      </c>
      <c r="Q213" s="332">
        <f>IFERROR(VLOOKUP(TEXT(O213,"0"),CONDUCTORES!$A$3:$H$54,6,0),"")</f>
        <v/>
      </c>
      <c r="R213" s="334" t="n"/>
      <c r="S213" s="334" t="n"/>
      <c r="T213" s="334" t="n"/>
      <c r="U213" s="334" t="n"/>
      <c r="V213" s="334" t="n"/>
      <c r="W213" s="334" t="n"/>
      <c r="X213" s="334" t="n"/>
      <c r="Y213" s="334" t="n"/>
    </row>
    <row r="214" ht="15" customHeight="1" s="195">
      <c r="A214" s="280" t="n"/>
      <c r="B214" s="280" t="n"/>
      <c r="C214" s="280" t="n"/>
      <c r="D214" s="280" t="n"/>
      <c r="E214" s="280" t="n"/>
      <c r="F214" s="280" t="n"/>
      <c r="G214" s="280" t="n"/>
      <c r="H214" s="280" t="n"/>
      <c r="I214" s="332">
        <f>IFERROR(VLOOKUP(TEXT(H214,"0"),IPRESS!$A$3:$B$212,2,0),"")</f>
        <v/>
      </c>
      <c r="J214" s="280" t="n"/>
      <c r="K214" s="332">
        <f>IFERROR(VLOOKUP(TEXT(O214,"0"),CONDUCTORES!$A$3:$G$54,7,0),"")</f>
        <v/>
      </c>
      <c r="L214" s="280" t="n"/>
      <c r="M214" s="280" t="n"/>
      <c r="N214" s="333">
        <f>IFERROR(IF(L214*M214=0,"",L214*M214),"")</f>
        <v/>
      </c>
      <c r="O214" s="280" t="n"/>
      <c r="P214" s="332">
        <f>IFERROR(VLOOKUP(TEXT(O214,"0"),CONDUCTORES!$A$3:$G$54,2,0),"")</f>
        <v/>
      </c>
      <c r="Q214" s="332">
        <f>IFERROR(VLOOKUP(TEXT(O214,"0"),CONDUCTORES!$A$3:$H$54,6,0),"")</f>
        <v/>
      </c>
      <c r="R214" s="280" t="n"/>
      <c r="S214" s="280" t="n"/>
      <c r="T214" s="280" t="n"/>
      <c r="U214" s="280" t="n"/>
      <c r="V214" s="280" t="n"/>
      <c r="W214" s="280" t="n"/>
      <c r="X214" s="280" t="n"/>
      <c r="Y214" s="280" t="n"/>
    </row>
    <row r="215" ht="15" customHeight="1" s="195">
      <c r="A215" s="334" t="n"/>
      <c r="B215" s="334" t="n"/>
      <c r="C215" s="334" t="n"/>
      <c r="D215" s="334" t="n"/>
      <c r="E215" s="334" t="n"/>
      <c r="F215" s="334" t="n"/>
      <c r="G215" s="334" t="n"/>
      <c r="H215" s="334" t="n"/>
      <c r="I215" s="332">
        <f>IFERROR(VLOOKUP(TEXT(H215,"0"),IPRESS!$A$3:$B$212,2,0),"")</f>
        <v/>
      </c>
      <c r="J215" s="334" t="n"/>
      <c r="K215" s="332">
        <f>IFERROR(VLOOKUP(TEXT(O215,"0"),CONDUCTORES!$A$3:$G$54,7,0),"")</f>
        <v/>
      </c>
      <c r="L215" s="334" t="n"/>
      <c r="M215" s="334" t="n"/>
      <c r="N215" s="333">
        <f>IFERROR(IF(L215*M215=0,"",L215*M215),"")</f>
        <v/>
      </c>
      <c r="O215" s="334" t="n"/>
      <c r="P215" s="332">
        <f>IFERROR(VLOOKUP(TEXT(O215,"0"),CONDUCTORES!$A$3:$G$54,2,0),"")</f>
        <v/>
      </c>
      <c r="Q215" s="332">
        <f>IFERROR(VLOOKUP(TEXT(O215,"0"),CONDUCTORES!$A$3:$H$54,6,0),"")</f>
        <v/>
      </c>
      <c r="R215" s="334" t="n"/>
      <c r="S215" s="334" t="n"/>
      <c r="T215" s="334" t="n"/>
      <c r="U215" s="334" t="n"/>
      <c r="V215" s="334" t="n"/>
      <c r="W215" s="334" t="n"/>
      <c r="X215" s="334" t="n"/>
      <c r="Y215" s="334" t="n"/>
    </row>
    <row r="216" ht="15" customHeight="1" s="195">
      <c r="A216" s="280" t="n"/>
      <c r="B216" s="280" t="n"/>
      <c r="C216" s="280" t="n"/>
      <c r="D216" s="280" t="n"/>
      <c r="E216" s="280" t="n"/>
      <c r="F216" s="280" t="n"/>
      <c r="G216" s="280" t="n"/>
      <c r="H216" s="280" t="n"/>
      <c r="I216" s="332">
        <f>IFERROR(VLOOKUP(TEXT(H216,"0"),IPRESS!$A$3:$B$212,2,0),"")</f>
        <v/>
      </c>
      <c r="J216" s="280" t="n"/>
      <c r="K216" s="332">
        <f>IFERROR(VLOOKUP(TEXT(O216,"0"),CONDUCTORES!$A$3:$G$54,7,0),"")</f>
        <v/>
      </c>
      <c r="L216" s="280" t="n"/>
      <c r="M216" s="280" t="n"/>
      <c r="N216" s="333">
        <f>IFERROR(IF(L216*M216=0,"",L216*M216),"")</f>
        <v/>
      </c>
      <c r="O216" s="280" t="n"/>
      <c r="P216" s="332">
        <f>IFERROR(VLOOKUP(TEXT(O216,"0"),CONDUCTORES!$A$3:$G$54,2,0),"")</f>
        <v/>
      </c>
      <c r="Q216" s="332">
        <f>IFERROR(VLOOKUP(TEXT(O216,"0"),CONDUCTORES!$A$3:$H$54,6,0),"")</f>
        <v/>
      </c>
      <c r="R216" s="280" t="n"/>
      <c r="S216" s="280" t="n"/>
      <c r="T216" s="280" t="n"/>
      <c r="U216" s="280" t="n"/>
      <c r="V216" s="280" t="n"/>
      <c r="W216" s="280" t="n"/>
      <c r="X216" s="280" t="n"/>
      <c r="Y216" s="280" t="n"/>
    </row>
    <row r="217" ht="15" customHeight="1" s="195">
      <c r="A217" s="334" t="n"/>
      <c r="B217" s="334" t="n"/>
      <c r="C217" s="334" t="n"/>
      <c r="D217" s="334" t="n"/>
      <c r="E217" s="334" t="n"/>
      <c r="F217" s="334" t="n"/>
      <c r="G217" s="334" t="n"/>
      <c r="H217" s="334" t="n"/>
      <c r="I217" s="332">
        <f>IFERROR(VLOOKUP(TEXT(H217,"0"),IPRESS!$A$3:$B$212,2,0),"")</f>
        <v/>
      </c>
      <c r="J217" s="334" t="n"/>
      <c r="K217" s="332">
        <f>IFERROR(VLOOKUP(TEXT(O217,"0"),CONDUCTORES!$A$3:$G$54,7,0),"")</f>
        <v/>
      </c>
      <c r="L217" s="334" t="n"/>
      <c r="M217" s="334" t="n"/>
      <c r="N217" s="333">
        <f>IFERROR(IF(L217*M217=0,"",L217*M217),"")</f>
        <v/>
      </c>
      <c r="O217" s="334" t="n"/>
      <c r="P217" s="332">
        <f>IFERROR(VLOOKUP(TEXT(O217,"0"),CONDUCTORES!$A$3:$G$54,2,0),"")</f>
        <v/>
      </c>
      <c r="Q217" s="332">
        <f>IFERROR(VLOOKUP(TEXT(O217,"0"),CONDUCTORES!$A$3:$H$54,6,0),"")</f>
        <v/>
      </c>
      <c r="R217" s="334" t="n"/>
      <c r="S217" s="334" t="n"/>
      <c r="T217" s="334" t="n"/>
      <c r="U217" s="334" t="n"/>
      <c r="V217" s="334" t="n"/>
      <c r="W217" s="334" t="n"/>
      <c r="X217" s="334" t="n"/>
      <c r="Y217" s="334" t="n"/>
    </row>
    <row r="218" ht="15" customHeight="1" s="195">
      <c r="A218" s="280" t="n"/>
      <c r="B218" s="280" t="n"/>
      <c r="C218" s="280" t="n"/>
      <c r="D218" s="280" t="n"/>
      <c r="E218" s="280" t="n"/>
      <c r="F218" s="280" t="n"/>
      <c r="G218" s="280" t="n"/>
      <c r="H218" s="280" t="n"/>
      <c r="I218" s="332">
        <f>IFERROR(VLOOKUP(TEXT(H218,"0"),IPRESS!$A$3:$B$212,2,0),"")</f>
        <v/>
      </c>
      <c r="J218" s="280" t="n"/>
      <c r="K218" s="332">
        <f>IFERROR(VLOOKUP(TEXT(O218,"0"),CONDUCTORES!$A$3:$G$54,7,0),"")</f>
        <v/>
      </c>
      <c r="L218" s="280" t="n"/>
      <c r="M218" s="280" t="n"/>
      <c r="N218" s="333">
        <f>IFERROR(IF(L218*M218=0,"",L218*M218),"")</f>
        <v/>
      </c>
      <c r="O218" s="280" t="n"/>
      <c r="P218" s="332">
        <f>IFERROR(VLOOKUP(TEXT(O218,"0"),CONDUCTORES!$A$3:$G$54,2,0),"")</f>
        <v/>
      </c>
      <c r="Q218" s="332">
        <f>IFERROR(VLOOKUP(TEXT(O218,"0"),CONDUCTORES!$A$3:$H$54,6,0),"")</f>
        <v/>
      </c>
      <c r="R218" s="280" t="n"/>
      <c r="S218" s="280" t="n"/>
      <c r="T218" s="280" t="n"/>
      <c r="U218" s="280" t="n"/>
      <c r="V218" s="280" t="n"/>
      <c r="W218" s="280" t="n"/>
      <c r="X218" s="280" t="n"/>
      <c r="Y218" s="280" t="n"/>
    </row>
    <row r="219" ht="15" customHeight="1" s="195">
      <c r="A219" s="334" t="n"/>
      <c r="B219" s="334" t="n"/>
      <c r="C219" s="334" t="n"/>
      <c r="D219" s="334" t="n"/>
      <c r="E219" s="334" t="n"/>
      <c r="F219" s="334" t="n"/>
      <c r="G219" s="334" t="n"/>
      <c r="H219" s="334" t="n"/>
      <c r="I219" s="332">
        <f>IFERROR(VLOOKUP(TEXT(H219,"0"),IPRESS!$A$3:$B$212,2,0),"")</f>
        <v/>
      </c>
      <c r="J219" s="334" t="n"/>
      <c r="K219" s="332">
        <f>IFERROR(VLOOKUP(TEXT(O219,"0"),CONDUCTORES!$A$3:$G$54,7,0),"")</f>
        <v/>
      </c>
      <c r="L219" s="334" t="n"/>
      <c r="M219" s="334" t="n"/>
      <c r="N219" s="333">
        <f>IFERROR(IF(L219*M219=0,"",L219*M219),"")</f>
        <v/>
      </c>
      <c r="O219" s="334" t="n"/>
      <c r="P219" s="332">
        <f>IFERROR(VLOOKUP(TEXT(O219,"0"),CONDUCTORES!$A$3:$G$54,2,0),"")</f>
        <v/>
      </c>
      <c r="Q219" s="332">
        <f>IFERROR(VLOOKUP(TEXT(O219,"0"),CONDUCTORES!$A$3:$H$54,6,0),"")</f>
        <v/>
      </c>
      <c r="R219" s="334" t="n"/>
      <c r="S219" s="334" t="n"/>
      <c r="T219" s="334" t="n"/>
      <c r="U219" s="334" t="n"/>
      <c r="V219" s="334" t="n"/>
      <c r="W219" s="334" t="n"/>
      <c r="X219" s="334" t="n"/>
      <c r="Y219" s="334" t="n"/>
    </row>
    <row r="220" ht="15" customHeight="1" s="195">
      <c r="A220" s="280" t="n"/>
      <c r="B220" s="280" t="n"/>
      <c r="C220" s="280" t="n"/>
      <c r="D220" s="280" t="n"/>
      <c r="E220" s="280" t="n"/>
      <c r="F220" s="280" t="n"/>
      <c r="G220" s="280" t="n"/>
      <c r="H220" s="280" t="n"/>
      <c r="I220" s="332">
        <f>IFERROR(VLOOKUP(TEXT(H220,"0"),IPRESS!$A$3:$B$212,2,0),"")</f>
        <v/>
      </c>
      <c r="J220" s="280" t="n"/>
      <c r="K220" s="332">
        <f>IFERROR(VLOOKUP(TEXT(O220,"0"),CONDUCTORES!$A$3:$G$54,7,0),"")</f>
        <v/>
      </c>
      <c r="L220" s="280" t="n"/>
      <c r="M220" s="280" t="n"/>
      <c r="N220" s="333">
        <f>IFERROR(IF(L220*M220=0,"",L220*M220),"")</f>
        <v/>
      </c>
      <c r="O220" s="280" t="n"/>
      <c r="P220" s="332">
        <f>IFERROR(VLOOKUP(TEXT(O220,"0"),CONDUCTORES!$A$3:$G$54,2,0),"")</f>
        <v/>
      </c>
      <c r="Q220" s="332">
        <f>IFERROR(VLOOKUP(TEXT(O220,"0"),CONDUCTORES!$A$3:$H$54,6,0),"")</f>
        <v/>
      </c>
      <c r="R220" s="280" t="n"/>
      <c r="S220" s="280" t="n"/>
      <c r="T220" s="280" t="n"/>
      <c r="U220" s="280" t="n"/>
      <c r="V220" s="280" t="n"/>
      <c r="W220" s="280" t="n"/>
      <c r="X220" s="280" t="n"/>
      <c r="Y220" s="280" t="n"/>
    </row>
    <row r="221" ht="15" customHeight="1" s="195">
      <c r="A221" s="334" t="n"/>
      <c r="B221" s="334" t="n"/>
      <c r="C221" s="334" t="n"/>
      <c r="D221" s="334" t="n"/>
      <c r="E221" s="334" t="n"/>
      <c r="F221" s="334" t="n"/>
      <c r="G221" s="334" t="n"/>
      <c r="H221" s="334" t="n"/>
      <c r="I221" s="332">
        <f>IFERROR(VLOOKUP(TEXT(H221,"0"),IPRESS!$A$3:$B$212,2,0),"")</f>
        <v/>
      </c>
      <c r="J221" s="334" t="n"/>
      <c r="K221" s="332">
        <f>IFERROR(VLOOKUP(TEXT(O221,"0"),CONDUCTORES!$A$3:$G$54,7,0),"")</f>
        <v/>
      </c>
      <c r="L221" s="334" t="n"/>
      <c r="M221" s="334" t="n"/>
      <c r="N221" s="333">
        <f>IFERROR(IF(L221*M221=0,"",L221*M221),"")</f>
        <v/>
      </c>
      <c r="O221" s="334" t="n"/>
      <c r="P221" s="332">
        <f>IFERROR(VLOOKUP(TEXT(O221,"0"),CONDUCTORES!$A$3:$G$54,2,0),"")</f>
        <v/>
      </c>
      <c r="Q221" s="332">
        <f>IFERROR(VLOOKUP(TEXT(O221,"0"),CONDUCTORES!$A$3:$H$54,6,0),"")</f>
        <v/>
      </c>
      <c r="R221" s="334" t="n"/>
      <c r="S221" s="334" t="n"/>
      <c r="T221" s="334" t="n"/>
      <c r="U221" s="334" t="n"/>
      <c r="V221" s="334" t="n"/>
      <c r="W221" s="334" t="n"/>
      <c r="X221" s="334" t="n"/>
      <c r="Y221" s="334" t="n"/>
    </row>
    <row r="222" ht="15" customHeight="1" s="195">
      <c r="A222" s="280" t="n"/>
      <c r="B222" s="280" t="n"/>
      <c r="C222" s="280" t="n"/>
      <c r="D222" s="280" t="n"/>
      <c r="E222" s="280" t="n"/>
      <c r="F222" s="280" t="n"/>
      <c r="G222" s="280" t="n"/>
      <c r="H222" s="280" t="n"/>
      <c r="I222" s="332">
        <f>IFERROR(VLOOKUP(TEXT(H222,"0"),IPRESS!$A$3:$B$212,2,0),"")</f>
        <v/>
      </c>
      <c r="J222" s="280" t="n"/>
      <c r="K222" s="332">
        <f>IFERROR(VLOOKUP(TEXT(O222,"0"),CONDUCTORES!$A$3:$G$54,7,0),"")</f>
        <v/>
      </c>
      <c r="L222" s="280" t="n"/>
      <c r="M222" s="280" t="n"/>
      <c r="N222" s="333">
        <f>IFERROR(IF(L222*M222=0,"",L222*M222),"")</f>
        <v/>
      </c>
      <c r="O222" s="280" t="n"/>
      <c r="P222" s="332">
        <f>IFERROR(VLOOKUP(TEXT(O222,"0"),CONDUCTORES!$A$3:$G$54,2,0),"")</f>
        <v/>
      </c>
      <c r="Q222" s="332">
        <f>IFERROR(VLOOKUP(TEXT(O222,"0"),CONDUCTORES!$A$3:$H$54,6,0),"")</f>
        <v/>
      </c>
      <c r="R222" s="280" t="n"/>
      <c r="S222" s="280" t="n"/>
      <c r="T222" s="280" t="n"/>
      <c r="U222" s="280" t="n"/>
      <c r="V222" s="280" t="n"/>
      <c r="W222" s="280" t="n"/>
      <c r="X222" s="280" t="n"/>
      <c r="Y222" s="280" t="n"/>
    </row>
    <row r="223" ht="15" customHeight="1" s="195">
      <c r="A223" s="334" t="n"/>
      <c r="B223" s="334" t="n"/>
      <c r="C223" s="334" t="n"/>
      <c r="D223" s="334" t="n"/>
      <c r="E223" s="334" t="n"/>
      <c r="F223" s="334" t="n"/>
      <c r="G223" s="334" t="n"/>
      <c r="H223" s="334" t="n"/>
      <c r="I223" s="332">
        <f>IFERROR(VLOOKUP(TEXT(H223,"0"),IPRESS!$A$3:$B$212,2,0),"")</f>
        <v/>
      </c>
      <c r="J223" s="334" t="n"/>
      <c r="K223" s="332">
        <f>IFERROR(VLOOKUP(TEXT(O223,"0"),CONDUCTORES!$A$3:$G$54,7,0),"")</f>
        <v/>
      </c>
      <c r="L223" s="334" t="n"/>
      <c r="M223" s="334" t="n"/>
      <c r="N223" s="333">
        <f>IFERROR(IF(L223*M223=0,"",L223*M223),"")</f>
        <v/>
      </c>
      <c r="O223" s="334" t="n"/>
      <c r="P223" s="332">
        <f>IFERROR(VLOOKUP(TEXT(O223,"0"),CONDUCTORES!$A$3:$G$54,2,0),"")</f>
        <v/>
      </c>
      <c r="Q223" s="332">
        <f>IFERROR(VLOOKUP(TEXT(O223,"0"),CONDUCTORES!$A$3:$H$54,6,0),"")</f>
        <v/>
      </c>
      <c r="R223" s="334" t="n"/>
      <c r="S223" s="334" t="n"/>
      <c r="T223" s="334" t="n"/>
      <c r="U223" s="334" t="n"/>
      <c r="V223" s="334" t="n"/>
      <c r="W223" s="334" t="n"/>
      <c r="X223" s="334" t="n"/>
      <c r="Y223" s="334" t="n"/>
    </row>
    <row r="224" ht="15" customHeight="1" s="195">
      <c r="A224" s="280" t="n"/>
      <c r="B224" s="280" t="n"/>
      <c r="C224" s="280" t="n"/>
      <c r="D224" s="280" t="n"/>
      <c r="E224" s="280" t="n"/>
      <c r="F224" s="280" t="n"/>
      <c r="G224" s="280" t="n"/>
      <c r="H224" s="280" t="n"/>
      <c r="I224" s="332">
        <f>IFERROR(VLOOKUP(TEXT(H224,"0"),IPRESS!$A$3:$B$212,2,0),"")</f>
        <v/>
      </c>
      <c r="J224" s="280" t="n"/>
      <c r="K224" s="332">
        <f>IFERROR(VLOOKUP(TEXT(O224,"0"),CONDUCTORES!$A$3:$G$54,7,0),"")</f>
        <v/>
      </c>
      <c r="L224" s="280" t="n"/>
      <c r="M224" s="280" t="n"/>
      <c r="N224" s="333">
        <f>IFERROR(IF(L224*M224=0,"",L224*M224),"")</f>
        <v/>
      </c>
      <c r="O224" s="280" t="n"/>
      <c r="P224" s="332">
        <f>IFERROR(VLOOKUP(TEXT(O224,"0"),CONDUCTORES!$A$3:$G$54,2,0),"")</f>
        <v/>
      </c>
      <c r="Q224" s="332">
        <f>IFERROR(VLOOKUP(TEXT(O224,"0"),CONDUCTORES!$A$3:$H$54,6,0),"")</f>
        <v/>
      </c>
      <c r="R224" s="280" t="n"/>
      <c r="S224" s="280" t="n"/>
      <c r="T224" s="280" t="n"/>
      <c r="U224" s="280" t="n"/>
      <c r="V224" s="280" t="n"/>
      <c r="W224" s="280" t="n"/>
      <c r="X224" s="280" t="n"/>
      <c r="Y224" s="280" t="n"/>
    </row>
    <row r="225" ht="15" customHeight="1" s="195">
      <c r="A225" s="334" t="n"/>
      <c r="B225" s="334" t="n"/>
      <c r="C225" s="334" t="n"/>
      <c r="D225" s="334" t="n"/>
      <c r="E225" s="334" t="n"/>
      <c r="F225" s="334" t="n"/>
      <c r="G225" s="334" t="n"/>
      <c r="H225" s="334" t="n"/>
      <c r="I225" s="332">
        <f>IFERROR(VLOOKUP(TEXT(H225,"0"),IPRESS!$A$3:$B$212,2,0),"")</f>
        <v/>
      </c>
      <c r="J225" s="334" t="n"/>
      <c r="K225" s="332">
        <f>IFERROR(VLOOKUP(TEXT(O225,"0"),CONDUCTORES!$A$3:$G$54,7,0),"")</f>
        <v/>
      </c>
      <c r="L225" s="334" t="n"/>
      <c r="M225" s="334" t="n"/>
      <c r="N225" s="333">
        <f>IFERROR(IF(L225*M225=0,"",L225*M225),"")</f>
        <v/>
      </c>
      <c r="O225" s="334" t="n"/>
      <c r="P225" s="332">
        <f>IFERROR(VLOOKUP(TEXT(O225,"0"),CONDUCTORES!$A$3:$G$54,2,0),"")</f>
        <v/>
      </c>
      <c r="Q225" s="332">
        <f>IFERROR(VLOOKUP(TEXT(O225,"0"),CONDUCTORES!$A$3:$H$54,6,0),"")</f>
        <v/>
      </c>
      <c r="R225" s="334" t="n"/>
      <c r="S225" s="334" t="n"/>
      <c r="T225" s="334" t="n"/>
      <c r="U225" s="334" t="n"/>
      <c r="V225" s="334" t="n"/>
      <c r="W225" s="334" t="n"/>
      <c r="X225" s="334" t="n"/>
      <c r="Y225" s="334" t="n"/>
    </row>
    <row r="226" ht="15" customHeight="1" s="195">
      <c r="A226" s="280" t="n"/>
      <c r="B226" s="280" t="n"/>
      <c r="C226" s="280" t="n"/>
      <c r="D226" s="280" t="n"/>
      <c r="E226" s="280" t="n"/>
      <c r="F226" s="280" t="n"/>
      <c r="G226" s="280" t="n"/>
      <c r="H226" s="280" t="n"/>
      <c r="I226" s="332">
        <f>IFERROR(VLOOKUP(TEXT(H226,"0"),IPRESS!$A$3:$B$212,2,0),"")</f>
        <v/>
      </c>
      <c r="J226" s="280" t="n"/>
      <c r="K226" s="332">
        <f>IFERROR(VLOOKUP(TEXT(O226,"0"),CONDUCTORES!$A$3:$G$54,7,0),"")</f>
        <v/>
      </c>
      <c r="L226" s="280" t="n"/>
      <c r="M226" s="280" t="n"/>
      <c r="N226" s="333">
        <f>IFERROR(IF(L226*M226=0,"",L226*M226),"")</f>
        <v/>
      </c>
      <c r="O226" s="280" t="n"/>
      <c r="P226" s="332">
        <f>IFERROR(VLOOKUP(TEXT(O226,"0"),CONDUCTORES!$A$3:$G$54,2,0),"")</f>
        <v/>
      </c>
      <c r="Q226" s="332">
        <f>IFERROR(VLOOKUP(TEXT(O226,"0"),CONDUCTORES!$A$3:$H$54,6,0),"")</f>
        <v/>
      </c>
      <c r="R226" s="280" t="n"/>
      <c r="S226" s="280" t="n"/>
      <c r="T226" s="280" t="n"/>
      <c r="U226" s="280" t="n"/>
      <c r="V226" s="280" t="n"/>
      <c r="W226" s="280" t="n"/>
      <c r="X226" s="280" t="n"/>
      <c r="Y226" s="280" t="n"/>
    </row>
    <row r="227" ht="15" customHeight="1" s="195">
      <c r="A227" s="334" t="n"/>
      <c r="B227" s="334" t="n"/>
      <c r="C227" s="334" t="n"/>
      <c r="D227" s="334" t="n"/>
      <c r="E227" s="334" t="n"/>
      <c r="F227" s="334" t="n"/>
      <c r="G227" s="334" t="n"/>
      <c r="H227" s="334" t="n"/>
      <c r="I227" s="332">
        <f>IFERROR(VLOOKUP(TEXT(H227,"0"),IPRESS!$A$3:$B$212,2,0),"")</f>
        <v/>
      </c>
      <c r="J227" s="334" t="n"/>
      <c r="K227" s="332">
        <f>IFERROR(VLOOKUP(TEXT(O227,"0"),CONDUCTORES!$A$3:$G$54,7,0),"")</f>
        <v/>
      </c>
      <c r="L227" s="334" t="n"/>
      <c r="M227" s="334" t="n"/>
      <c r="N227" s="333">
        <f>IFERROR(IF(L227*M227=0,"",L227*M227),"")</f>
        <v/>
      </c>
      <c r="O227" s="334" t="n"/>
      <c r="P227" s="332">
        <f>IFERROR(VLOOKUP(TEXT(O227,"0"),CONDUCTORES!$A$3:$G$54,2,0),"")</f>
        <v/>
      </c>
      <c r="Q227" s="332">
        <f>IFERROR(VLOOKUP(TEXT(O227,"0"),CONDUCTORES!$A$3:$H$54,6,0),"")</f>
        <v/>
      </c>
      <c r="R227" s="334" t="n"/>
      <c r="S227" s="334" t="n"/>
      <c r="T227" s="334" t="n"/>
      <c r="U227" s="334" t="n"/>
      <c r="V227" s="334" t="n"/>
      <c r="W227" s="334" t="n"/>
      <c r="X227" s="334" t="n"/>
      <c r="Y227" s="334" t="n"/>
    </row>
    <row r="228" ht="15" customHeight="1" s="195">
      <c r="A228" s="280" t="n"/>
      <c r="B228" s="280" t="n"/>
      <c r="C228" s="280" t="n"/>
      <c r="D228" s="280" t="n"/>
      <c r="E228" s="280" t="n"/>
      <c r="F228" s="280" t="n"/>
      <c r="G228" s="280" t="n"/>
      <c r="H228" s="280" t="n"/>
      <c r="I228" s="332">
        <f>IFERROR(VLOOKUP(TEXT(H228,"0"),IPRESS!$A$3:$B$212,2,0),"")</f>
        <v/>
      </c>
      <c r="J228" s="280" t="n"/>
      <c r="K228" s="332">
        <f>IFERROR(VLOOKUP(TEXT(O228,"0"),CONDUCTORES!$A$3:$G$54,7,0),"")</f>
        <v/>
      </c>
      <c r="L228" s="280" t="n"/>
      <c r="M228" s="280" t="n"/>
      <c r="N228" s="333">
        <f>IFERROR(IF(L228*M228=0,"",L228*M228),"")</f>
        <v/>
      </c>
      <c r="O228" s="280" t="n"/>
      <c r="P228" s="332">
        <f>IFERROR(VLOOKUP(TEXT(O228,"0"),CONDUCTORES!$A$3:$G$54,2,0),"")</f>
        <v/>
      </c>
      <c r="Q228" s="332">
        <f>IFERROR(VLOOKUP(TEXT(O228,"0"),CONDUCTORES!$A$3:$H$54,6,0),"")</f>
        <v/>
      </c>
      <c r="R228" s="280" t="n"/>
      <c r="S228" s="280" t="n"/>
      <c r="T228" s="280" t="n"/>
      <c r="U228" s="280" t="n"/>
      <c r="V228" s="280" t="n"/>
      <c r="W228" s="280" t="n"/>
      <c r="X228" s="280" t="n"/>
      <c r="Y228" s="280" t="n"/>
    </row>
    <row r="229" ht="15" customHeight="1" s="195">
      <c r="A229" s="334" t="n"/>
      <c r="B229" s="334" t="n"/>
      <c r="C229" s="334" t="n"/>
      <c r="D229" s="334" t="n"/>
      <c r="E229" s="334" t="n"/>
      <c r="F229" s="334" t="n"/>
      <c r="G229" s="334" t="n"/>
      <c r="H229" s="334" t="n"/>
      <c r="I229" s="332">
        <f>IFERROR(VLOOKUP(TEXT(H229,"0"),IPRESS!$A$3:$B$212,2,0),"")</f>
        <v/>
      </c>
      <c r="J229" s="334" t="n"/>
      <c r="K229" s="332">
        <f>IFERROR(VLOOKUP(TEXT(O229,"0"),CONDUCTORES!$A$3:$G$54,7,0),"")</f>
        <v/>
      </c>
      <c r="L229" s="334" t="n"/>
      <c r="M229" s="334" t="n"/>
      <c r="N229" s="333">
        <f>IFERROR(IF(L229*M229=0,"",L229*M229),"")</f>
        <v/>
      </c>
      <c r="O229" s="334" t="n"/>
      <c r="P229" s="332">
        <f>IFERROR(VLOOKUP(TEXT(O229,"0"),CONDUCTORES!$A$3:$G$54,2,0),"")</f>
        <v/>
      </c>
      <c r="Q229" s="332">
        <f>IFERROR(VLOOKUP(TEXT(O229,"0"),CONDUCTORES!$A$3:$H$54,6,0),"")</f>
        <v/>
      </c>
      <c r="R229" s="334" t="n"/>
      <c r="S229" s="334" t="n"/>
      <c r="T229" s="334" t="n"/>
      <c r="U229" s="334" t="n"/>
      <c r="V229" s="334" t="n"/>
      <c r="W229" s="334" t="n"/>
      <c r="X229" s="334" t="n"/>
      <c r="Y229" s="334" t="n"/>
    </row>
    <row r="230" ht="15" customHeight="1" s="195">
      <c r="A230" s="280" t="n"/>
      <c r="B230" s="280" t="n"/>
      <c r="C230" s="280" t="n"/>
      <c r="D230" s="280" t="n"/>
      <c r="E230" s="280" t="n"/>
      <c r="F230" s="280" t="n"/>
      <c r="G230" s="280" t="n"/>
      <c r="H230" s="280" t="n"/>
      <c r="I230" s="332">
        <f>IFERROR(VLOOKUP(TEXT(H230,"0"),IPRESS!$A$3:$B$212,2,0),"")</f>
        <v/>
      </c>
      <c r="J230" s="280" t="n"/>
      <c r="K230" s="332">
        <f>IFERROR(VLOOKUP(TEXT(O230,"0"),CONDUCTORES!$A$3:$G$54,7,0),"")</f>
        <v/>
      </c>
      <c r="L230" s="280" t="n"/>
      <c r="M230" s="280" t="n"/>
      <c r="N230" s="333">
        <f>IFERROR(IF(L230*M230=0,"",L230*M230),"")</f>
        <v/>
      </c>
      <c r="O230" s="280" t="n"/>
      <c r="P230" s="332">
        <f>IFERROR(VLOOKUP(TEXT(O230,"0"),CONDUCTORES!$A$3:$G$54,2,0),"")</f>
        <v/>
      </c>
      <c r="Q230" s="332">
        <f>IFERROR(VLOOKUP(TEXT(O230,"0"),CONDUCTORES!$A$3:$H$54,6,0),"")</f>
        <v/>
      </c>
      <c r="R230" s="280" t="n"/>
      <c r="S230" s="280" t="n"/>
      <c r="T230" s="280" t="n"/>
      <c r="U230" s="280" t="n"/>
      <c r="V230" s="280" t="n"/>
      <c r="W230" s="280" t="n"/>
      <c r="X230" s="280" t="n"/>
      <c r="Y230" s="280" t="n"/>
    </row>
    <row r="231" ht="15" customHeight="1" s="195">
      <c r="A231" s="334" t="n"/>
      <c r="B231" s="334" t="n"/>
      <c r="C231" s="334" t="n"/>
      <c r="D231" s="334" t="n"/>
      <c r="E231" s="334" t="n"/>
      <c r="F231" s="334" t="n"/>
      <c r="G231" s="334" t="n"/>
      <c r="H231" s="334" t="n"/>
      <c r="I231" s="332">
        <f>IFERROR(VLOOKUP(TEXT(H231,"0"),IPRESS!$A$3:$B$212,2,0),"")</f>
        <v/>
      </c>
      <c r="J231" s="334" t="n"/>
      <c r="K231" s="332">
        <f>IFERROR(VLOOKUP(TEXT(O231,"0"),CONDUCTORES!$A$3:$G$54,7,0),"")</f>
        <v/>
      </c>
      <c r="L231" s="334" t="n"/>
      <c r="M231" s="334" t="n"/>
      <c r="N231" s="333">
        <f>IFERROR(IF(L231*M231=0,"",L231*M231),"")</f>
        <v/>
      </c>
      <c r="O231" s="334" t="n"/>
      <c r="P231" s="332">
        <f>IFERROR(VLOOKUP(TEXT(O231,"0"),CONDUCTORES!$A$3:$G$54,2,0),"")</f>
        <v/>
      </c>
      <c r="Q231" s="332">
        <f>IFERROR(VLOOKUP(TEXT(O231,"0"),CONDUCTORES!$A$3:$H$54,6,0),"")</f>
        <v/>
      </c>
      <c r="R231" s="334" t="n"/>
      <c r="S231" s="334" t="n"/>
      <c r="T231" s="334" t="n"/>
      <c r="U231" s="334" t="n"/>
      <c r="V231" s="334" t="n"/>
      <c r="W231" s="334" t="n"/>
      <c r="X231" s="334" t="n"/>
      <c r="Y231" s="334" t="n"/>
    </row>
    <row r="232" ht="15" customHeight="1" s="195">
      <c r="A232" s="280" t="n"/>
      <c r="B232" s="280" t="n"/>
      <c r="C232" s="280" t="n"/>
      <c r="D232" s="280" t="n"/>
      <c r="E232" s="280" t="n"/>
      <c r="F232" s="280" t="n"/>
      <c r="G232" s="280" t="n"/>
      <c r="H232" s="280" t="n"/>
      <c r="I232" s="332">
        <f>IFERROR(VLOOKUP(TEXT(H232,"0"),IPRESS!$A$3:$B$212,2,0),"")</f>
        <v/>
      </c>
      <c r="J232" s="280" t="n"/>
      <c r="K232" s="332">
        <f>IFERROR(VLOOKUP(TEXT(O232,"0"),CONDUCTORES!$A$3:$G$54,7,0),"")</f>
        <v/>
      </c>
      <c r="L232" s="280" t="n"/>
      <c r="M232" s="280" t="n"/>
      <c r="N232" s="333">
        <f>IFERROR(IF(L232*M232=0,"",L232*M232),"")</f>
        <v/>
      </c>
      <c r="O232" s="280" t="n"/>
      <c r="P232" s="332">
        <f>IFERROR(VLOOKUP(TEXT(O232,"0"),CONDUCTORES!$A$3:$G$54,2,0),"")</f>
        <v/>
      </c>
      <c r="Q232" s="332">
        <f>IFERROR(VLOOKUP(TEXT(O232,"0"),CONDUCTORES!$A$3:$H$54,6,0),"")</f>
        <v/>
      </c>
      <c r="R232" s="280" t="n"/>
      <c r="S232" s="280" t="n"/>
      <c r="T232" s="280" t="n"/>
      <c r="U232" s="280" t="n"/>
      <c r="V232" s="280" t="n"/>
      <c r="W232" s="280" t="n"/>
      <c r="X232" s="280" t="n"/>
      <c r="Y232" s="280" t="n"/>
    </row>
    <row r="233" ht="15" customHeight="1" s="195">
      <c r="A233" s="334" t="n"/>
      <c r="B233" s="334" t="n"/>
      <c r="C233" s="334" t="n"/>
      <c r="D233" s="334" t="n"/>
      <c r="E233" s="334" t="n"/>
      <c r="F233" s="334" t="n"/>
      <c r="G233" s="334" t="n"/>
      <c r="H233" s="334" t="n"/>
      <c r="I233" s="332">
        <f>IFERROR(VLOOKUP(TEXT(H233,"0"),IPRESS!$A$3:$B$212,2,0),"")</f>
        <v/>
      </c>
      <c r="J233" s="334" t="n"/>
      <c r="K233" s="332">
        <f>IFERROR(VLOOKUP(TEXT(O233,"0"),CONDUCTORES!$A$3:$G$54,7,0),"")</f>
        <v/>
      </c>
      <c r="L233" s="334" t="n"/>
      <c r="M233" s="334" t="n"/>
      <c r="N233" s="333">
        <f>IFERROR(IF(L233*M233=0,"",L233*M233),"")</f>
        <v/>
      </c>
      <c r="O233" s="334" t="n"/>
      <c r="P233" s="332">
        <f>IFERROR(VLOOKUP(TEXT(O233,"0"),CONDUCTORES!$A$3:$G$54,2,0),"")</f>
        <v/>
      </c>
      <c r="Q233" s="332">
        <f>IFERROR(VLOOKUP(TEXT(O233,"0"),CONDUCTORES!$A$3:$H$54,6,0),"")</f>
        <v/>
      </c>
      <c r="R233" s="334" t="n"/>
      <c r="S233" s="334" t="n"/>
      <c r="T233" s="334" t="n"/>
      <c r="U233" s="334" t="n"/>
      <c r="V233" s="334" t="n"/>
      <c r="W233" s="334" t="n"/>
      <c r="X233" s="334" t="n"/>
      <c r="Y233" s="334" t="n"/>
    </row>
    <row r="234" ht="15" customHeight="1" s="195">
      <c r="A234" s="280" t="n"/>
      <c r="B234" s="280" t="n"/>
      <c r="C234" s="280" t="n"/>
      <c r="D234" s="280" t="n"/>
      <c r="E234" s="280" t="n"/>
      <c r="F234" s="280" t="n"/>
      <c r="G234" s="280" t="n"/>
      <c r="H234" s="280" t="n"/>
      <c r="I234" s="332">
        <f>IFERROR(VLOOKUP(TEXT(H234,"0"),IPRESS!$A$3:$B$212,2,0),"")</f>
        <v/>
      </c>
      <c r="J234" s="280" t="n"/>
      <c r="K234" s="332">
        <f>IFERROR(VLOOKUP(TEXT(O234,"0"),CONDUCTORES!$A$3:$G$54,7,0),"")</f>
        <v/>
      </c>
      <c r="L234" s="280" t="n"/>
      <c r="M234" s="280" t="n"/>
      <c r="N234" s="333">
        <f>IFERROR(IF(L234*M234=0,"",L234*M234),"")</f>
        <v/>
      </c>
      <c r="O234" s="280" t="n"/>
      <c r="P234" s="332">
        <f>IFERROR(VLOOKUP(TEXT(O234,"0"),CONDUCTORES!$A$3:$G$54,2,0),"")</f>
        <v/>
      </c>
      <c r="Q234" s="332">
        <f>IFERROR(VLOOKUP(TEXT(O234,"0"),CONDUCTORES!$A$3:$H$54,6,0),"")</f>
        <v/>
      </c>
      <c r="R234" s="280" t="n"/>
      <c r="S234" s="280" t="n"/>
      <c r="T234" s="280" t="n"/>
      <c r="U234" s="280" t="n"/>
      <c r="V234" s="280" t="n"/>
      <c r="W234" s="280" t="n"/>
      <c r="X234" s="280" t="n"/>
      <c r="Y234" s="280" t="n"/>
    </row>
    <row r="235" ht="15" customHeight="1" s="195">
      <c r="A235" s="334" t="n"/>
      <c r="B235" s="334" t="n"/>
      <c r="C235" s="334" t="n"/>
      <c r="D235" s="334" t="n"/>
      <c r="E235" s="334" t="n"/>
      <c r="F235" s="334" t="n"/>
      <c r="G235" s="334" t="n"/>
      <c r="H235" s="334" t="n"/>
      <c r="I235" s="332">
        <f>IFERROR(VLOOKUP(TEXT(H235,"0"),IPRESS!$A$3:$B$212,2,0),"")</f>
        <v/>
      </c>
      <c r="J235" s="334" t="n"/>
      <c r="K235" s="332">
        <f>IFERROR(VLOOKUP(TEXT(O235,"0"),CONDUCTORES!$A$3:$G$54,7,0),"")</f>
        <v/>
      </c>
      <c r="L235" s="334" t="n"/>
      <c r="M235" s="334" t="n"/>
      <c r="N235" s="333">
        <f>IFERROR(IF(L235*M235=0,"",L235*M235),"")</f>
        <v/>
      </c>
      <c r="O235" s="334" t="n"/>
      <c r="P235" s="332">
        <f>IFERROR(VLOOKUP(TEXT(O235,"0"),CONDUCTORES!$A$3:$G$54,2,0),"")</f>
        <v/>
      </c>
      <c r="Q235" s="332">
        <f>IFERROR(VLOOKUP(TEXT(O235,"0"),CONDUCTORES!$A$3:$H$54,6,0),"")</f>
        <v/>
      </c>
      <c r="R235" s="334" t="n"/>
      <c r="S235" s="334" t="n"/>
      <c r="T235" s="334" t="n"/>
      <c r="U235" s="334" t="n"/>
      <c r="V235" s="334" t="n"/>
      <c r="W235" s="334" t="n"/>
      <c r="X235" s="334" t="n"/>
      <c r="Y235" s="334" t="n"/>
    </row>
    <row r="236" ht="15" customHeight="1" s="195">
      <c r="A236" s="280" t="n"/>
      <c r="B236" s="280" t="n"/>
      <c r="C236" s="280" t="n"/>
      <c r="D236" s="280" t="n"/>
      <c r="E236" s="280" t="n"/>
      <c r="F236" s="280" t="n"/>
      <c r="G236" s="280" t="n"/>
      <c r="H236" s="280" t="n"/>
      <c r="I236" s="332">
        <f>IFERROR(VLOOKUP(TEXT(H236,"0"),IPRESS!$A$3:$B$212,2,0),"")</f>
        <v/>
      </c>
      <c r="J236" s="280" t="n"/>
      <c r="K236" s="332">
        <f>IFERROR(VLOOKUP(TEXT(O236,"0"),CONDUCTORES!$A$3:$G$54,7,0),"")</f>
        <v/>
      </c>
      <c r="L236" s="280" t="n"/>
      <c r="M236" s="280" t="n"/>
      <c r="N236" s="333">
        <f>IFERROR(IF(L236*M236=0,"",L236*M236),"")</f>
        <v/>
      </c>
      <c r="O236" s="280" t="n"/>
      <c r="P236" s="332">
        <f>IFERROR(VLOOKUP(TEXT(O236,"0"),CONDUCTORES!$A$3:$G$54,2,0),"")</f>
        <v/>
      </c>
      <c r="Q236" s="332">
        <f>IFERROR(VLOOKUP(TEXT(O236,"0"),CONDUCTORES!$A$3:$H$54,6,0),"")</f>
        <v/>
      </c>
      <c r="R236" s="280" t="n"/>
      <c r="S236" s="280" t="n"/>
      <c r="T236" s="280" t="n"/>
      <c r="U236" s="280" t="n"/>
      <c r="V236" s="280" t="n"/>
      <c r="W236" s="280" t="n"/>
      <c r="X236" s="280" t="n"/>
      <c r="Y236" s="280" t="n"/>
    </row>
    <row r="237" ht="15" customHeight="1" s="195">
      <c r="A237" s="334" t="n"/>
      <c r="B237" s="334" t="n"/>
      <c r="C237" s="334" t="n"/>
      <c r="D237" s="334" t="n"/>
      <c r="E237" s="334" t="n"/>
      <c r="F237" s="334" t="n"/>
      <c r="G237" s="334" t="n"/>
      <c r="H237" s="334" t="n"/>
      <c r="I237" s="332">
        <f>IFERROR(VLOOKUP(TEXT(H237,"0"),IPRESS!$A$3:$B$212,2,0),"")</f>
        <v/>
      </c>
      <c r="J237" s="334" t="n"/>
      <c r="K237" s="332">
        <f>IFERROR(VLOOKUP(TEXT(O237,"0"),CONDUCTORES!$A$3:$G$54,7,0),"")</f>
        <v/>
      </c>
      <c r="L237" s="334" t="n"/>
      <c r="M237" s="334" t="n"/>
      <c r="N237" s="333">
        <f>IFERROR(IF(L237*M237=0,"",L237*M237),"")</f>
        <v/>
      </c>
      <c r="O237" s="334" t="n"/>
      <c r="P237" s="332">
        <f>IFERROR(VLOOKUP(TEXT(O237,"0"),CONDUCTORES!$A$3:$G$54,2,0),"")</f>
        <v/>
      </c>
      <c r="Q237" s="332">
        <f>IFERROR(VLOOKUP(TEXT(O237,"0"),CONDUCTORES!$A$3:$H$54,6,0),"")</f>
        <v/>
      </c>
      <c r="R237" s="334" t="n"/>
      <c r="S237" s="334" t="n"/>
      <c r="T237" s="334" t="n"/>
      <c r="U237" s="334" t="n"/>
      <c r="V237" s="334" t="n"/>
      <c r="W237" s="334" t="n"/>
      <c r="X237" s="334" t="n"/>
      <c r="Y237" s="334" t="n"/>
    </row>
    <row r="238" ht="15" customHeight="1" s="195">
      <c r="A238" s="280" t="n"/>
      <c r="B238" s="280" t="n"/>
      <c r="C238" s="280" t="n"/>
      <c r="D238" s="280" t="n"/>
      <c r="E238" s="280" t="n"/>
      <c r="F238" s="280" t="n"/>
      <c r="G238" s="280" t="n"/>
      <c r="H238" s="280" t="n"/>
      <c r="I238" s="332">
        <f>IFERROR(VLOOKUP(TEXT(H238,"0"),IPRESS!$A$3:$B$212,2,0),"")</f>
        <v/>
      </c>
      <c r="J238" s="280" t="n"/>
      <c r="K238" s="332">
        <f>IFERROR(VLOOKUP(TEXT(O238,"0"),CONDUCTORES!$A$3:$G$54,7,0),"")</f>
        <v/>
      </c>
      <c r="L238" s="280" t="n"/>
      <c r="M238" s="280" t="n"/>
      <c r="N238" s="333">
        <f>IFERROR(IF(L238*M238=0,"",L238*M238),"")</f>
        <v/>
      </c>
      <c r="O238" s="280" t="n"/>
      <c r="P238" s="332">
        <f>IFERROR(VLOOKUP(TEXT(O238,"0"),CONDUCTORES!$A$3:$G$54,2,0),"")</f>
        <v/>
      </c>
      <c r="Q238" s="332">
        <f>IFERROR(VLOOKUP(TEXT(O238,"0"),CONDUCTORES!$A$3:$H$54,6,0),"")</f>
        <v/>
      </c>
      <c r="R238" s="280" t="n"/>
      <c r="S238" s="280" t="n"/>
      <c r="T238" s="280" t="n"/>
      <c r="U238" s="280" t="n"/>
      <c r="V238" s="280" t="n"/>
      <c r="W238" s="280" t="n"/>
      <c r="X238" s="280" t="n"/>
      <c r="Y238" s="280" t="n"/>
    </row>
    <row r="239" ht="15" customHeight="1" s="195">
      <c r="A239" s="334" t="n"/>
      <c r="B239" s="334" t="n"/>
      <c r="C239" s="334" t="n"/>
      <c r="D239" s="334" t="n"/>
      <c r="E239" s="334" t="n"/>
      <c r="F239" s="334" t="n"/>
      <c r="G239" s="334" t="n"/>
      <c r="H239" s="334" t="n"/>
      <c r="I239" s="332">
        <f>IFERROR(VLOOKUP(TEXT(H239,"0"),IPRESS!$A$3:$B$212,2,0),"")</f>
        <v/>
      </c>
      <c r="J239" s="334" t="n"/>
      <c r="K239" s="332">
        <f>IFERROR(VLOOKUP(TEXT(O239,"0"),CONDUCTORES!$A$3:$G$54,7,0),"")</f>
        <v/>
      </c>
      <c r="L239" s="334" t="n"/>
      <c r="M239" s="334" t="n"/>
      <c r="N239" s="333">
        <f>IFERROR(IF(L239*M239=0,"",L239*M239),"")</f>
        <v/>
      </c>
      <c r="O239" s="334" t="n"/>
      <c r="P239" s="332">
        <f>IFERROR(VLOOKUP(TEXT(O239,"0"),CONDUCTORES!$A$3:$G$54,2,0),"")</f>
        <v/>
      </c>
      <c r="Q239" s="332">
        <f>IFERROR(VLOOKUP(TEXT(O239,"0"),CONDUCTORES!$A$3:$H$54,6,0),"")</f>
        <v/>
      </c>
      <c r="R239" s="334" t="n"/>
      <c r="S239" s="334" t="n"/>
      <c r="T239" s="334" t="n"/>
      <c r="U239" s="334" t="n"/>
      <c r="V239" s="334" t="n"/>
      <c r="W239" s="334" t="n"/>
      <c r="X239" s="334" t="n"/>
      <c r="Y239" s="334" t="n"/>
    </row>
    <row r="240" ht="15" customHeight="1" s="195">
      <c r="A240" s="280" t="n"/>
      <c r="B240" s="280" t="n"/>
      <c r="C240" s="280" t="n"/>
      <c r="D240" s="280" t="n"/>
      <c r="E240" s="280" t="n"/>
      <c r="F240" s="280" t="n"/>
      <c r="G240" s="280" t="n"/>
      <c r="H240" s="280" t="n"/>
      <c r="I240" s="332">
        <f>IFERROR(VLOOKUP(TEXT(H240,"0"),IPRESS!$A$3:$B$212,2,0),"")</f>
        <v/>
      </c>
      <c r="J240" s="280" t="n"/>
      <c r="K240" s="332">
        <f>IFERROR(VLOOKUP(TEXT(O240,"0"),CONDUCTORES!$A$3:$G$54,7,0),"")</f>
        <v/>
      </c>
      <c r="L240" s="280" t="n"/>
      <c r="M240" s="280" t="n"/>
      <c r="N240" s="333">
        <f>IFERROR(IF(L240*M240=0,"",L240*M240),"")</f>
        <v/>
      </c>
      <c r="O240" s="280" t="n"/>
      <c r="P240" s="332">
        <f>IFERROR(VLOOKUP(TEXT(O240,"0"),CONDUCTORES!$A$3:$G$54,2,0),"")</f>
        <v/>
      </c>
      <c r="Q240" s="332">
        <f>IFERROR(VLOOKUP(TEXT(O240,"0"),CONDUCTORES!$A$3:$H$54,6,0),"")</f>
        <v/>
      </c>
      <c r="R240" s="280" t="n"/>
      <c r="S240" s="280" t="n"/>
      <c r="T240" s="280" t="n"/>
      <c r="U240" s="280" t="n"/>
      <c r="V240" s="280" t="n"/>
      <c r="W240" s="280" t="n"/>
      <c r="X240" s="280" t="n"/>
      <c r="Y240" s="280" t="n"/>
    </row>
    <row r="241" ht="15" customHeight="1" s="195">
      <c r="A241" s="334" t="n"/>
      <c r="B241" s="334" t="n"/>
      <c r="C241" s="334" t="n"/>
      <c r="D241" s="334" t="n"/>
      <c r="E241" s="334" t="n"/>
      <c r="F241" s="334" t="n"/>
      <c r="G241" s="334" t="n"/>
      <c r="H241" s="334" t="n"/>
      <c r="I241" s="332">
        <f>IFERROR(VLOOKUP(TEXT(H241,"0"),IPRESS!$A$3:$B$212,2,0),"")</f>
        <v/>
      </c>
      <c r="J241" s="334" t="n"/>
      <c r="K241" s="332">
        <f>IFERROR(VLOOKUP(TEXT(O241,"0"),CONDUCTORES!$A$3:$G$54,7,0),"")</f>
        <v/>
      </c>
      <c r="L241" s="334" t="n"/>
      <c r="M241" s="334" t="n"/>
      <c r="N241" s="333">
        <f>IFERROR(IF(L241*M241=0,"",L241*M241),"")</f>
        <v/>
      </c>
      <c r="O241" s="334" t="n"/>
      <c r="P241" s="332">
        <f>IFERROR(VLOOKUP(TEXT(O241,"0"),CONDUCTORES!$A$3:$G$54,2,0),"")</f>
        <v/>
      </c>
      <c r="Q241" s="332">
        <f>IFERROR(VLOOKUP(TEXT(O241,"0"),CONDUCTORES!$A$3:$H$54,6,0),"")</f>
        <v/>
      </c>
      <c r="R241" s="334" t="n"/>
      <c r="S241" s="334" t="n"/>
      <c r="T241" s="334" t="n"/>
      <c r="U241" s="334" t="n"/>
      <c r="V241" s="334" t="n"/>
      <c r="W241" s="334" t="n"/>
      <c r="X241" s="334" t="n"/>
      <c r="Y241" s="334" t="n"/>
    </row>
    <row r="242" ht="15" customHeight="1" s="195">
      <c r="A242" s="280" t="n"/>
      <c r="B242" s="280" t="n"/>
      <c r="C242" s="280" t="n"/>
      <c r="D242" s="280" t="n"/>
      <c r="E242" s="280" t="n"/>
      <c r="F242" s="280" t="n"/>
      <c r="G242" s="280" t="n"/>
      <c r="H242" s="280" t="n"/>
      <c r="I242" s="332">
        <f>IFERROR(VLOOKUP(TEXT(H242,"0"),IPRESS!$A$3:$B$212,2,0),"")</f>
        <v/>
      </c>
      <c r="J242" s="280" t="n"/>
      <c r="K242" s="332">
        <f>IFERROR(VLOOKUP(TEXT(O242,"0"),CONDUCTORES!$A$3:$G$54,7,0),"")</f>
        <v/>
      </c>
      <c r="L242" s="280" t="n"/>
      <c r="M242" s="280" t="n"/>
      <c r="N242" s="333">
        <f>IFERROR(IF(L242*M242=0,"",L242*M242),"")</f>
        <v/>
      </c>
      <c r="O242" s="280" t="n"/>
      <c r="P242" s="332">
        <f>IFERROR(VLOOKUP(TEXT(O242,"0"),CONDUCTORES!$A$3:$G$54,2,0),"")</f>
        <v/>
      </c>
      <c r="Q242" s="332">
        <f>IFERROR(VLOOKUP(TEXT(O242,"0"),CONDUCTORES!$A$3:$H$54,6,0),"")</f>
        <v/>
      </c>
      <c r="R242" s="280" t="n"/>
      <c r="S242" s="280" t="n"/>
      <c r="T242" s="280" t="n"/>
      <c r="U242" s="280" t="n"/>
      <c r="V242" s="280" t="n"/>
      <c r="W242" s="280" t="n"/>
      <c r="X242" s="280" t="n"/>
      <c r="Y242" s="280" t="n"/>
    </row>
    <row r="243" ht="15" customHeight="1" s="195">
      <c r="A243" s="334" t="n"/>
      <c r="B243" s="334" t="n"/>
      <c r="C243" s="334" t="n"/>
      <c r="D243" s="334" t="n"/>
      <c r="E243" s="334" t="n"/>
      <c r="F243" s="334" t="n"/>
      <c r="G243" s="334" t="n"/>
      <c r="H243" s="334" t="n"/>
      <c r="I243" s="332">
        <f>IFERROR(VLOOKUP(TEXT(H243,"0"),IPRESS!$A$3:$B$212,2,0),"")</f>
        <v/>
      </c>
      <c r="J243" s="334" t="n"/>
      <c r="K243" s="332">
        <f>IFERROR(VLOOKUP(TEXT(O243,"0"),CONDUCTORES!$A$3:$G$54,7,0),"")</f>
        <v/>
      </c>
      <c r="L243" s="334" t="n"/>
      <c r="M243" s="334" t="n"/>
      <c r="N243" s="333">
        <f>IFERROR(IF(L243*M243=0,"",L243*M243),"")</f>
        <v/>
      </c>
      <c r="O243" s="334" t="n"/>
      <c r="P243" s="332">
        <f>IFERROR(VLOOKUP(TEXT(O243,"0"),CONDUCTORES!$A$3:$G$54,2,0),"")</f>
        <v/>
      </c>
      <c r="Q243" s="332">
        <f>IFERROR(VLOOKUP(TEXT(O243,"0"),CONDUCTORES!$A$3:$H$54,6,0),"")</f>
        <v/>
      </c>
      <c r="R243" s="334" t="n"/>
      <c r="S243" s="334" t="n"/>
      <c r="T243" s="334" t="n"/>
      <c r="U243" s="334" t="n"/>
      <c r="V243" s="334" t="n"/>
      <c r="W243" s="334" t="n"/>
      <c r="X243" s="334" t="n"/>
      <c r="Y243" s="334" t="n"/>
    </row>
    <row r="244" ht="15" customHeight="1" s="195">
      <c r="A244" s="280" t="n"/>
      <c r="B244" s="280" t="n"/>
      <c r="C244" s="280" t="n"/>
      <c r="D244" s="280" t="n"/>
      <c r="E244" s="280" t="n"/>
      <c r="F244" s="280" t="n"/>
      <c r="G244" s="280" t="n"/>
      <c r="H244" s="280" t="n"/>
      <c r="I244" s="332">
        <f>IFERROR(VLOOKUP(TEXT(H244,"0"),IPRESS!$A$3:$B$212,2,0),"")</f>
        <v/>
      </c>
      <c r="J244" s="280" t="n"/>
      <c r="K244" s="332">
        <f>IFERROR(VLOOKUP(TEXT(O244,"0"),CONDUCTORES!$A$3:$G$54,7,0),"")</f>
        <v/>
      </c>
      <c r="L244" s="280" t="n"/>
      <c r="M244" s="280" t="n"/>
      <c r="N244" s="333">
        <f>IFERROR(IF(L244*M244=0,"",L244*M244),"")</f>
        <v/>
      </c>
      <c r="O244" s="280" t="n"/>
      <c r="P244" s="332">
        <f>IFERROR(VLOOKUP(TEXT(O244,"0"),CONDUCTORES!$A$3:$G$54,2,0),"")</f>
        <v/>
      </c>
      <c r="Q244" s="332">
        <f>IFERROR(VLOOKUP(TEXT(O244,"0"),CONDUCTORES!$A$3:$H$54,6,0),"")</f>
        <v/>
      </c>
      <c r="R244" s="280" t="n"/>
      <c r="S244" s="280" t="n"/>
      <c r="T244" s="280" t="n"/>
      <c r="U244" s="280" t="n"/>
      <c r="V244" s="280" t="n"/>
      <c r="W244" s="280" t="n"/>
      <c r="X244" s="280" t="n"/>
      <c r="Y244" s="280" t="n"/>
    </row>
    <row r="245" ht="15" customHeight="1" s="195">
      <c r="A245" s="334" t="n"/>
      <c r="B245" s="334" t="n"/>
      <c r="C245" s="334" t="n"/>
      <c r="D245" s="334" t="n"/>
      <c r="E245" s="334" t="n"/>
      <c r="F245" s="334" t="n"/>
      <c r="G245" s="334" t="n"/>
      <c r="H245" s="334" t="n"/>
      <c r="I245" s="332">
        <f>IFERROR(VLOOKUP(TEXT(H245,"0"),IPRESS!$A$3:$B$212,2,0),"")</f>
        <v/>
      </c>
      <c r="J245" s="334" t="n"/>
      <c r="K245" s="332">
        <f>IFERROR(VLOOKUP(TEXT(O245,"0"),CONDUCTORES!$A$3:$G$54,7,0),"")</f>
        <v/>
      </c>
      <c r="L245" s="334" t="n"/>
      <c r="M245" s="334" t="n"/>
      <c r="N245" s="333">
        <f>IFERROR(IF(L245*M245=0,"",L245*M245),"")</f>
        <v/>
      </c>
      <c r="O245" s="334" t="n"/>
      <c r="P245" s="332">
        <f>IFERROR(VLOOKUP(TEXT(O245,"0"),CONDUCTORES!$A$3:$G$54,2,0),"")</f>
        <v/>
      </c>
      <c r="Q245" s="332">
        <f>IFERROR(VLOOKUP(TEXT(O245,"0"),CONDUCTORES!$A$3:$H$54,6,0),"")</f>
        <v/>
      </c>
      <c r="R245" s="334" t="n"/>
      <c r="S245" s="334" t="n"/>
      <c r="T245" s="334" t="n"/>
      <c r="U245" s="334" t="n"/>
      <c r="V245" s="334" t="n"/>
      <c r="W245" s="334" t="n"/>
      <c r="X245" s="334" t="n"/>
      <c r="Y245" s="334" t="n"/>
    </row>
    <row r="246" ht="15" customHeight="1" s="195">
      <c r="A246" s="280" t="n"/>
      <c r="B246" s="280" t="n"/>
      <c r="C246" s="280" t="n"/>
      <c r="D246" s="280" t="n"/>
      <c r="E246" s="280" t="n"/>
      <c r="F246" s="280" t="n"/>
      <c r="G246" s="280" t="n"/>
      <c r="H246" s="280" t="n"/>
      <c r="I246" s="332">
        <f>IFERROR(VLOOKUP(TEXT(H246,"0"),IPRESS!$A$3:$B$212,2,0),"")</f>
        <v/>
      </c>
      <c r="J246" s="280" t="n"/>
      <c r="K246" s="332">
        <f>IFERROR(VLOOKUP(TEXT(O246,"0"),CONDUCTORES!$A$3:$G$54,7,0),"")</f>
        <v/>
      </c>
      <c r="L246" s="280" t="n"/>
      <c r="M246" s="280" t="n"/>
      <c r="N246" s="333">
        <f>IFERROR(IF(L246*M246=0,"",L246*M246),"")</f>
        <v/>
      </c>
      <c r="O246" s="280" t="n"/>
      <c r="P246" s="332">
        <f>IFERROR(VLOOKUP(TEXT(O246,"0"),CONDUCTORES!$A$3:$G$54,2,0),"")</f>
        <v/>
      </c>
      <c r="Q246" s="332">
        <f>IFERROR(VLOOKUP(TEXT(O246,"0"),CONDUCTORES!$A$3:$H$54,6,0),"")</f>
        <v/>
      </c>
      <c r="R246" s="280" t="n"/>
      <c r="S246" s="280" t="n"/>
      <c r="T246" s="280" t="n"/>
      <c r="U246" s="280" t="n"/>
      <c r="V246" s="280" t="n"/>
      <c r="W246" s="280" t="n"/>
      <c r="X246" s="280" t="n"/>
      <c r="Y246" s="280" t="n"/>
    </row>
    <row r="247" ht="15" customHeight="1" s="195">
      <c r="A247" s="334" t="n"/>
      <c r="B247" s="334" t="n"/>
      <c r="C247" s="334" t="n"/>
      <c r="D247" s="334" t="n"/>
      <c r="E247" s="334" t="n"/>
      <c r="F247" s="334" t="n"/>
      <c r="G247" s="334" t="n"/>
      <c r="H247" s="334" t="n"/>
      <c r="I247" s="332">
        <f>IFERROR(VLOOKUP(TEXT(H247,"0"),IPRESS!$A$3:$B$212,2,0),"")</f>
        <v/>
      </c>
      <c r="J247" s="334" t="n"/>
      <c r="K247" s="332">
        <f>IFERROR(VLOOKUP(TEXT(O247,"0"),CONDUCTORES!$A$3:$G$54,7,0),"")</f>
        <v/>
      </c>
      <c r="L247" s="334" t="n"/>
      <c r="M247" s="334" t="n"/>
      <c r="N247" s="333">
        <f>IFERROR(IF(L247*M247=0,"",L247*M247),"")</f>
        <v/>
      </c>
      <c r="O247" s="334" t="n"/>
      <c r="P247" s="332">
        <f>IFERROR(VLOOKUP(TEXT(O247,"0"),CONDUCTORES!$A$3:$G$54,2,0),"")</f>
        <v/>
      </c>
      <c r="Q247" s="332">
        <f>IFERROR(VLOOKUP(TEXT(O247,"0"),CONDUCTORES!$A$3:$H$54,6,0),"")</f>
        <v/>
      </c>
      <c r="R247" s="334" t="n"/>
      <c r="S247" s="334" t="n"/>
      <c r="T247" s="334" t="n"/>
      <c r="U247" s="334" t="n"/>
      <c r="V247" s="334" t="n"/>
      <c r="W247" s="334" t="n"/>
      <c r="X247" s="334" t="n"/>
      <c r="Y247" s="334" t="n"/>
    </row>
    <row r="248" ht="15" customHeight="1" s="195">
      <c r="A248" s="280" t="n"/>
      <c r="B248" s="280" t="n"/>
      <c r="C248" s="280" t="n"/>
      <c r="D248" s="280" t="n"/>
      <c r="E248" s="280" t="n"/>
      <c r="F248" s="280" t="n"/>
      <c r="G248" s="280" t="n"/>
      <c r="H248" s="280" t="n"/>
      <c r="I248" s="332">
        <f>IFERROR(VLOOKUP(TEXT(H248,"0"),IPRESS!$A$3:$B$212,2,0),"")</f>
        <v/>
      </c>
      <c r="J248" s="280" t="n"/>
      <c r="K248" s="332">
        <f>IFERROR(VLOOKUP(TEXT(O248,"0"),CONDUCTORES!$A$3:$G$54,7,0),"")</f>
        <v/>
      </c>
      <c r="L248" s="280" t="n"/>
      <c r="M248" s="280" t="n"/>
      <c r="N248" s="333">
        <f>IFERROR(IF(L248*M248=0,"",L248*M248),"")</f>
        <v/>
      </c>
      <c r="O248" s="280" t="n"/>
      <c r="P248" s="332">
        <f>IFERROR(VLOOKUP(TEXT(O248,"0"),CONDUCTORES!$A$3:$G$54,2,0),"")</f>
        <v/>
      </c>
      <c r="Q248" s="332">
        <f>IFERROR(VLOOKUP(TEXT(O248,"0"),CONDUCTORES!$A$3:$H$54,6,0),"")</f>
        <v/>
      </c>
      <c r="R248" s="280" t="n"/>
      <c r="S248" s="280" t="n"/>
      <c r="T248" s="280" t="n"/>
      <c r="U248" s="280" t="n"/>
      <c r="V248" s="280" t="n"/>
      <c r="W248" s="280" t="n"/>
      <c r="X248" s="280" t="n"/>
      <c r="Y248" s="280" t="n"/>
    </row>
    <row r="249" ht="15" customHeight="1" s="195">
      <c r="A249" s="334" t="n"/>
      <c r="B249" s="334" t="n"/>
      <c r="C249" s="334" t="n"/>
      <c r="D249" s="334" t="n"/>
      <c r="E249" s="334" t="n"/>
      <c r="F249" s="334" t="n"/>
      <c r="G249" s="334" t="n"/>
      <c r="H249" s="334" t="n"/>
      <c r="I249" s="332">
        <f>IFERROR(VLOOKUP(TEXT(H249,"0"),IPRESS!$A$3:$B$212,2,0),"")</f>
        <v/>
      </c>
      <c r="J249" s="334" t="n"/>
      <c r="K249" s="332">
        <f>IFERROR(VLOOKUP(TEXT(O249,"0"),CONDUCTORES!$A$3:$G$54,7,0),"")</f>
        <v/>
      </c>
      <c r="L249" s="334" t="n"/>
      <c r="M249" s="334" t="n"/>
      <c r="N249" s="333">
        <f>IFERROR(IF(L249*M249=0,"",L249*M249),"")</f>
        <v/>
      </c>
      <c r="O249" s="334" t="n"/>
      <c r="P249" s="332">
        <f>IFERROR(VLOOKUP(TEXT(O249,"0"),CONDUCTORES!$A$3:$G$54,2,0),"")</f>
        <v/>
      </c>
      <c r="Q249" s="332">
        <f>IFERROR(VLOOKUP(TEXT(O249,"0"),CONDUCTORES!$A$3:$H$54,6,0),"")</f>
        <v/>
      </c>
      <c r="R249" s="334" t="n"/>
      <c r="S249" s="334" t="n"/>
      <c r="T249" s="334" t="n"/>
      <c r="U249" s="334" t="n"/>
      <c r="V249" s="334" t="n"/>
      <c r="W249" s="334" t="n"/>
      <c r="X249" s="334" t="n"/>
      <c r="Y249" s="334" t="n"/>
    </row>
    <row r="250" ht="15" customHeight="1" s="195">
      <c r="A250" s="280" t="n"/>
      <c r="B250" s="280" t="n"/>
      <c r="C250" s="280" t="n"/>
      <c r="D250" s="280" t="n"/>
      <c r="E250" s="280" t="n"/>
      <c r="F250" s="280" t="n"/>
      <c r="G250" s="280" t="n"/>
      <c r="H250" s="280" t="n"/>
      <c r="I250" s="332">
        <f>IFERROR(VLOOKUP(TEXT(H250,"0"),IPRESS!$A$3:$B$212,2,0),"")</f>
        <v/>
      </c>
      <c r="J250" s="280" t="n"/>
      <c r="K250" s="332">
        <f>IFERROR(VLOOKUP(TEXT(O250,"0"),CONDUCTORES!$A$3:$G$54,7,0),"")</f>
        <v/>
      </c>
      <c r="L250" s="280" t="n"/>
      <c r="M250" s="280" t="n"/>
      <c r="N250" s="333">
        <f>IFERROR(IF(L250*M250=0,"",L250*M250),"")</f>
        <v/>
      </c>
      <c r="O250" s="280" t="n"/>
      <c r="P250" s="332">
        <f>IFERROR(VLOOKUP(TEXT(O250,"0"),CONDUCTORES!$A$3:$G$54,2,0),"")</f>
        <v/>
      </c>
      <c r="Q250" s="332">
        <f>IFERROR(VLOOKUP(TEXT(O250,"0"),CONDUCTORES!$A$3:$H$54,6,0),"")</f>
        <v/>
      </c>
      <c r="R250" s="280" t="n"/>
      <c r="S250" s="280" t="n"/>
      <c r="T250" s="280" t="n"/>
      <c r="U250" s="280" t="n"/>
      <c r="V250" s="280" t="n"/>
      <c r="W250" s="280" t="n"/>
      <c r="X250" s="280" t="n"/>
      <c r="Y250" s="280" t="n"/>
    </row>
    <row r="251" ht="15" customHeight="1" s="195">
      <c r="A251" s="334" t="n"/>
      <c r="B251" s="334" t="n"/>
      <c r="C251" s="334" t="n"/>
      <c r="D251" s="334" t="n"/>
      <c r="E251" s="334" t="n"/>
      <c r="F251" s="334" t="n"/>
      <c r="G251" s="334" t="n"/>
      <c r="H251" s="334" t="n"/>
      <c r="I251" s="332">
        <f>IFERROR(VLOOKUP(TEXT(H251,"0"),IPRESS!$A$3:$B$212,2,0),"")</f>
        <v/>
      </c>
      <c r="J251" s="334" t="n"/>
      <c r="K251" s="332">
        <f>IFERROR(VLOOKUP(TEXT(O251,"0"),CONDUCTORES!$A$3:$G$54,7,0),"")</f>
        <v/>
      </c>
      <c r="L251" s="334" t="n"/>
      <c r="M251" s="334" t="n"/>
      <c r="N251" s="333">
        <f>IFERROR(IF(L251*M251=0,"",L251*M251),"")</f>
        <v/>
      </c>
      <c r="O251" s="334" t="n"/>
      <c r="P251" s="332">
        <f>IFERROR(VLOOKUP(TEXT(O251,"0"),CONDUCTORES!$A$3:$G$54,2,0),"")</f>
        <v/>
      </c>
      <c r="Q251" s="332">
        <f>IFERROR(VLOOKUP(TEXT(O251,"0"),CONDUCTORES!$A$3:$H$54,6,0),"")</f>
        <v/>
      </c>
      <c r="R251" s="334" t="n"/>
      <c r="S251" s="334" t="n"/>
      <c r="T251" s="334" t="n"/>
      <c r="U251" s="334" t="n"/>
      <c r="V251" s="334" t="n"/>
      <c r="W251" s="334" t="n"/>
      <c r="X251" s="334" t="n"/>
      <c r="Y251" s="334" t="n"/>
    </row>
    <row r="252" ht="15" customHeight="1" s="195">
      <c r="A252" s="280" t="n"/>
      <c r="B252" s="280" t="n"/>
      <c r="C252" s="280" t="n"/>
      <c r="D252" s="280" t="n"/>
      <c r="E252" s="280" t="n"/>
      <c r="F252" s="280" t="n"/>
      <c r="G252" s="280" t="n"/>
      <c r="H252" s="280" t="n"/>
      <c r="I252" s="332">
        <f>IFERROR(VLOOKUP(TEXT(H252,"0"),IPRESS!$A$3:$B$212,2,0),"")</f>
        <v/>
      </c>
      <c r="J252" s="280" t="n"/>
      <c r="K252" s="332">
        <f>IFERROR(VLOOKUP(TEXT(O252,"0"),CONDUCTORES!$A$3:$G$54,7,0),"")</f>
        <v/>
      </c>
      <c r="L252" s="280" t="n"/>
      <c r="M252" s="280" t="n"/>
      <c r="N252" s="333">
        <f>IFERROR(IF(L252*M252=0,"",L252*M252),"")</f>
        <v/>
      </c>
      <c r="O252" s="280" t="n"/>
      <c r="P252" s="332">
        <f>IFERROR(VLOOKUP(TEXT(O252,"0"),CONDUCTORES!$A$3:$G$54,2,0),"")</f>
        <v/>
      </c>
      <c r="Q252" s="332">
        <f>IFERROR(VLOOKUP(TEXT(O252,"0"),CONDUCTORES!$A$3:$H$54,6,0),"")</f>
        <v/>
      </c>
      <c r="R252" s="280" t="n"/>
      <c r="S252" s="280" t="n"/>
      <c r="T252" s="280" t="n"/>
      <c r="U252" s="280" t="n"/>
      <c r="V252" s="280" t="n"/>
      <c r="W252" s="280" t="n"/>
      <c r="X252" s="280" t="n"/>
      <c r="Y252" s="280" t="n"/>
    </row>
    <row r="253" ht="15" customHeight="1" s="195">
      <c r="A253" s="334" t="n"/>
      <c r="B253" s="334" t="n"/>
      <c r="C253" s="334" t="n"/>
      <c r="D253" s="334" t="n"/>
      <c r="E253" s="334" t="n"/>
      <c r="F253" s="334" t="n"/>
      <c r="G253" s="334" t="n"/>
      <c r="H253" s="334" t="n"/>
      <c r="I253" s="332">
        <f>IFERROR(VLOOKUP(TEXT(H253,"0"),IPRESS!$A$3:$B$212,2,0),"")</f>
        <v/>
      </c>
      <c r="J253" s="334" t="n"/>
      <c r="K253" s="332">
        <f>IFERROR(VLOOKUP(TEXT(O253,"0"),CONDUCTORES!$A$3:$G$54,7,0),"")</f>
        <v/>
      </c>
      <c r="L253" s="334" t="n"/>
      <c r="M253" s="334" t="n"/>
      <c r="N253" s="333">
        <f>IFERROR(IF(L253*M253=0,"",L253*M253),"")</f>
        <v/>
      </c>
      <c r="O253" s="334" t="n"/>
      <c r="P253" s="332">
        <f>IFERROR(VLOOKUP(TEXT(O253,"0"),CONDUCTORES!$A$3:$G$54,2,0),"")</f>
        <v/>
      </c>
      <c r="Q253" s="332">
        <f>IFERROR(VLOOKUP(TEXT(O253,"0"),CONDUCTORES!$A$3:$H$54,6,0),"")</f>
        <v/>
      </c>
      <c r="R253" s="334" t="n"/>
      <c r="S253" s="334" t="n"/>
      <c r="T253" s="334" t="n"/>
      <c r="U253" s="334" t="n"/>
      <c r="V253" s="334" t="n"/>
      <c r="W253" s="334" t="n"/>
      <c r="X253" s="334" t="n"/>
      <c r="Y253" s="334" t="n"/>
    </row>
    <row r="254" ht="15" customHeight="1" s="195">
      <c r="A254" s="280" t="n"/>
      <c r="B254" s="280" t="n"/>
      <c r="C254" s="280" t="n"/>
      <c r="D254" s="280" t="n"/>
      <c r="E254" s="280" t="n"/>
      <c r="F254" s="280" t="n"/>
      <c r="G254" s="280" t="n"/>
      <c r="H254" s="280" t="n"/>
      <c r="I254" s="332">
        <f>IFERROR(VLOOKUP(TEXT(H254,"0"),IPRESS!$A$3:$B$212,2,0),"")</f>
        <v/>
      </c>
      <c r="J254" s="280" t="n"/>
      <c r="K254" s="332">
        <f>IFERROR(VLOOKUP(TEXT(O254,"0"),CONDUCTORES!$A$3:$G$54,7,0),"")</f>
        <v/>
      </c>
      <c r="L254" s="280" t="n"/>
      <c r="M254" s="280" t="n"/>
      <c r="N254" s="333">
        <f>IFERROR(IF(L254*M254=0,"",L254*M254),"")</f>
        <v/>
      </c>
      <c r="O254" s="280" t="n"/>
      <c r="P254" s="332">
        <f>IFERROR(VLOOKUP(TEXT(O254,"0"),CONDUCTORES!$A$3:$G$54,2,0),"")</f>
        <v/>
      </c>
      <c r="Q254" s="332">
        <f>IFERROR(VLOOKUP(TEXT(O254,"0"),CONDUCTORES!$A$3:$H$54,6,0),"")</f>
        <v/>
      </c>
      <c r="R254" s="280" t="n"/>
      <c r="S254" s="280" t="n"/>
      <c r="T254" s="280" t="n"/>
      <c r="U254" s="280" t="n"/>
      <c r="V254" s="280" t="n"/>
      <c r="W254" s="280" t="n"/>
      <c r="X254" s="280" t="n"/>
      <c r="Y254" s="280" t="n"/>
    </row>
    <row r="255" ht="15" customHeight="1" s="195">
      <c r="A255" s="334" t="n"/>
      <c r="B255" s="334" t="n"/>
      <c r="C255" s="334" t="n"/>
      <c r="D255" s="334" t="n"/>
      <c r="E255" s="334" t="n"/>
      <c r="F255" s="334" t="n"/>
      <c r="G255" s="334" t="n"/>
      <c r="H255" s="334" t="n"/>
      <c r="I255" s="332">
        <f>IFERROR(VLOOKUP(TEXT(H255,"0"),IPRESS!$A$3:$B$212,2,0),"")</f>
        <v/>
      </c>
      <c r="J255" s="334" t="n"/>
      <c r="K255" s="332">
        <f>IFERROR(VLOOKUP(TEXT(O255,"0"),CONDUCTORES!$A$3:$G$54,7,0),"")</f>
        <v/>
      </c>
      <c r="L255" s="334" t="n"/>
      <c r="M255" s="334" t="n"/>
      <c r="N255" s="333">
        <f>IFERROR(IF(L255*M255=0,"",L255*M255),"")</f>
        <v/>
      </c>
      <c r="O255" s="334" t="n"/>
      <c r="P255" s="332">
        <f>IFERROR(VLOOKUP(TEXT(O255,"0"),CONDUCTORES!$A$3:$G$54,2,0),"")</f>
        <v/>
      </c>
      <c r="Q255" s="332">
        <f>IFERROR(VLOOKUP(TEXT(O255,"0"),CONDUCTORES!$A$3:$H$54,6,0),"")</f>
        <v/>
      </c>
      <c r="R255" s="334" t="n"/>
      <c r="S255" s="334" t="n"/>
      <c r="T255" s="334" t="n"/>
      <c r="U255" s="334" t="n"/>
      <c r="V255" s="334" t="n"/>
      <c r="W255" s="334" t="n"/>
      <c r="X255" s="334" t="n"/>
      <c r="Y255" s="334" t="n"/>
    </row>
    <row r="256" ht="15" customHeight="1" s="195">
      <c r="A256" s="280" t="n"/>
      <c r="B256" s="280" t="n"/>
      <c r="C256" s="280" t="n"/>
      <c r="D256" s="280" t="n"/>
      <c r="E256" s="280" t="n"/>
      <c r="F256" s="280" t="n"/>
      <c r="G256" s="280" t="n"/>
      <c r="H256" s="280" t="n"/>
      <c r="I256" s="332">
        <f>IFERROR(VLOOKUP(TEXT(H256,"0"),IPRESS!$A$3:$B$212,2,0),"")</f>
        <v/>
      </c>
      <c r="J256" s="280" t="n"/>
      <c r="K256" s="332">
        <f>IFERROR(VLOOKUP(TEXT(O256,"0"),CONDUCTORES!$A$3:$G$54,7,0),"")</f>
        <v/>
      </c>
      <c r="L256" s="280" t="n"/>
      <c r="M256" s="280" t="n"/>
      <c r="N256" s="333">
        <f>IFERROR(IF(L256*M256=0,"",L256*M256),"")</f>
        <v/>
      </c>
      <c r="O256" s="280" t="n"/>
      <c r="P256" s="332">
        <f>IFERROR(VLOOKUP(TEXT(O256,"0"),CONDUCTORES!$A$3:$G$54,2,0),"")</f>
        <v/>
      </c>
      <c r="Q256" s="332">
        <f>IFERROR(VLOOKUP(TEXT(O256,"0"),CONDUCTORES!$A$3:$H$54,6,0),"")</f>
        <v/>
      </c>
      <c r="R256" s="280" t="n"/>
      <c r="S256" s="280" t="n"/>
      <c r="T256" s="280" t="n"/>
      <c r="U256" s="280" t="n"/>
      <c r="V256" s="280" t="n"/>
      <c r="W256" s="280" t="n"/>
      <c r="X256" s="280" t="n"/>
      <c r="Y256" s="280" t="n"/>
    </row>
    <row r="257" ht="15" customHeight="1" s="195">
      <c r="A257" s="334" t="n"/>
      <c r="B257" s="334" t="n"/>
      <c r="C257" s="334" t="n"/>
      <c r="D257" s="334" t="n"/>
      <c r="E257" s="334" t="n"/>
      <c r="F257" s="334" t="n"/>
      <c r="G257" s="334" t="n"/>
      <c r="H257" s="334" t="n"/>
      <c r="I257" s="332">
        <f>IFERROR(VLOOKUP(TEXT(H257,"0"),IPRESS!$A$3:$B$212,2,0),"")</f>
        <v/>
      </c>
      <c r="J257" s="334" t="n"/>
      <c r="K257" s="332">
        <f>IFERROR(VLOOKUP(TEXT(O257,"0"),CONDUCTORES!$A$3:$G$54,7,0),"")</f>
        <v/>
      </c>
      <c r="L257" s="334" t="n"/>
      <c r="M257" s="334" t="n"/>
      <c r="N257" s="333">
        <f>IFERROR(IF(L257*M257=0,"",L257*M257),"")</f>
        <v/>
      </c>
      <c r="O257" s="334" t="n"/>
      <c r="P257" s="332">
        <f>IFERROR(VLOOKUP(TEXT(O257,"0"),CONDUCTORES!$A$3:$G$54,2,0),"")</f>
        <v/>
      </c>
      <c r="Q257" s="332">
        <f>IFERROR(VLOOKUP(TEXT(O257,"0"),CONDUCTORES!$A$3:$H$54,6,0),"")</f>
        <v/>
      </c>
      <c r="R257" s="334" t="n"/>
      <c r="S257" s="334" t="n"/>
      <c r="T257" s="334" t="n"/>
      <c r="U257" s="334" t="n"/>
      <c r="V257" s="334" t="n"/>
      <c r="W257" s="334" t="n"/>
      <c r="X257" s="334" t="n"/>
      <c r="Y257" s="334" t="n"/>
    </row>
    <row r="258" ht="15" customHeight="1" s="195">
      <c r="A258" s="280" t="n"/>
      <c r="B258" s="280" t="n"/>
      <c r="C258" s="280" t="n"/>
      <c r="D258" s="280" t="n"/>
      <c r="E258" s="280" t="n"/>
      <c r="F258" s="280" t="n"/>
      <c r="G258" s="280" t="n"/>
      <c r="H258" s="280" t="n"/>
      <c r="I258" s="332">
        <f>IFERROR(VLOOKUP(TEXT(H258,"0"),IPRESS!$A$3:$B$212,2,0),"")</f>
        <v/>
      </c>
      <c r="J258" s="280" t="n"/>
      <c r="K258" s="332">
        <f>IFERROR(VLOOKUP(TEXT(O258,"0"),CONDUCTORES!$A$3:$G$54,7,0),"")</f>
        <v/>
      </c>
      <c r="L258" s="280" t="n"/>
      <c r="M258" s="280" t="n"/>
      <c r="N258" s="333">
        <f>IFERROR(IF(L258*M258=0,"",L258*M258),"")</f>
        <v/>
      </c>
      <c r="O258" s="280" t="n"/>
      <c r="P258" s="332">
        <f>IFERROR(VLOOKUP(TEXT(O258,"0"),CONDUCTORES!$A$3:$G$54,2,0),"")</f>
        <v/>
      </c>
      <c r="Q258" s="332">
        <f>IFERROR(VLOOKUP(TEXT(O258,"0"),CONDUCTORES!$A$3:$H$54,6,0),"")</f>
        <v/>
      </c>
      <c r="R258" s="280" t="n"/>
      <c r="S258" s="280" t="n"/>
      <c r="T258" s="280" t="n"/>
      <c r="U258" s="280" t="n"/>
      <c r="V258" s="280" t="n"/>
      <c r="W258" s="280" t="n"/>
      <c r="X258" s="280" t="n"/>
      <c r="Y258" s="280" t="n"/>
    </row>
    <row r="259" ht="15" customHeight="1" s="195">
      <c r="A259" s="334" t="n"/>
      <c r="B259" s="334" t="n"/>
      <c r="C259" s="334" t="n"/>
      <c r="D259" s="334" t="n"/>
      <c r="E259" s="334" t="n"/>
      <c r="F259" s="334" t="n"/>
      <c r="G259" s="334" t="n"/>
      <c r="H259" s="334" t="n"/>
      <c r="I259" s="332">
        <f>IFERROR(VLOOKUP(TEXT(H259,"0"),IPRESS!$A$3:$B$212,2,0),"")</f>
        <v/>
      </c>
      <c r="J259" s="334" t="n"/>
      <c r="K259" s="332">
        <f>IFERROR(VLOOKUP(TEXT(O259,"0"),CONDUCTORES!$A$3:$G$54,7,0),"")</f>
        <v/>
      </c>
      <c r="L259" s="334" t="n"/>
      <c r="M259" s="334" t="n"/>
      <c r="N259" s="333">
        <f>IFERROR(IF(L259*M259=0,"",L259*M259),"")</f>
        <v/>
      </c>
      <c r="O259" s="334" t="n"/>
      <c r="P259" s="332">
        <f>IFERROR(VLOOKUP(TEXT(O259,"0"),CONDUCTORES!$A$3:$G$54,2,0),"")</f>
        <v/>
      </c>
      <c r="Q259" s="332">
        <f>IFERROR(VLOOKUP(TEXT(O259,"0"),CONDUCTORES!$A$3:$H$54,6,0),"")</f>
        <v/>
      </c>
      <c r="R259" s="334" t="n"/>
      <c r="S259" s="334" t="n"/>
      <c r="T259" s="334" t="n"/>
      <c r="U259" s="334" t="n"/>
      <c r="V259" s="334" t="n"/>
      <c r="W259" s="334" t="n"/>
      <c r="X259" s="334" t="n"/>
      <c r="Y259" s="334" t="n"/>
    </row>
    <row r="260" ht="15" customHeight="1" s="195">
      <c r="A260" s="280" t="n"/>
      <c r="B260" s="280" t="n"/>
      <c r="C260" s="280" t="n"/>
      <c r="D260" s="280" t="n"/>
      <c r="E260" s="280" t="n"/>
      <c r="F260" s="280" t="n"/>
      <c r="G260" s="280" t="n"/>
      <c r="H260" s="280" t="n"/>
      <c r="I260" s="332">
        <f>IFERROR(VLOOKUP(TEXT(H260,"0"),IPRESS!$A$3:$B$212,2,0),"")</f>
        <v/>
      </c>
      <c r="J260" s="280" t="n"/>
      <c r="K260" s="332">
        <f>IFERROR(VLOOKUP(TEXT(O260,"0"),CONDUCTORES!$A$3:$G$54,7,0),"")</f>
        <v/>
      </c>
      <c r="L260" s="280" t="n"/>
      <c r="M260" s="280" t="n"/>
      <c r="N260" s="333">
        <f>IFERROR(IF(L260*M260=0,"",L260*M260),"")</f>
        <v/>
      </c>
      <c r="O260" s="280" t="n"/>
      <c r="P260" s="332">
        <f>IFERROR(VLOOKUP(TEXT(O260,"0"),CONDUCTORES!$A$3:$G$54,2,0),"")</f>
        <v/>
      </c>
      <c r="Q260" s="332">
        <f>IFERROR(VLOOKUP(TEXT(O260,"0"),CONDUCTORES!$A$3:$H$54,6,0),"")</f>
        <v/>
      </c>
      <c r="R260" s="280" t="n"/>
      <c r="S260" s="280" t="n"/>
      <c r="T260" s="280" t="n"/>
      <c r="U260" s="280" t="n"/>
      <c r="V260" s="280" t="n"/>
      <c r="W260" s="280" t="n"/>
      <c r="X260" s="280" t="n"/>
      <c r="Y260" s="280" t="n"/>
    </row>
    <row r="261" ht="15" customHeight="1" s="195">
      <c r="A261" s="334" t="n"/>
      <c r="B261" s="334" t="n"/>
      <c r="C261" s="334" t="n"/>
      <c r="D261" s="334" t="n"/>
      <c r="E261" s="334" t="n"/>
      <c r="F261" s="334" t="n"/>
      <c r="G261" s="334" t="n"/>
      <c r="H261" s="334" t="n"/>
      <c r="I261" s="332">
        <f>IFERROR(VLOOKUP(TEXT(H261,"0"),IPRESS!$A$3:$B$212,2,0),"")</f>
        <v/>
      </c>
      <c r="J261" s="334" t="n"/>
      <c r="K261" s="332">
        <f>IFERROR(VLOOKUP(TEXT(O261,"0"),CONDUCTORES!$A$3:$G$54,7,0),"")</f>
        <v/>
      </c>
      <c r="L261" s="334" t="n"/>
      <c r="M261" s="334" t="n"/>
      <c r="N261" s="333">
        <f>IFERROR(IF(L261*M261=0,"",L261*M261),"")</f>
        <v/>
      </c>
      <c r="O261" s="334" t="n"/>
      <c r="P261" s="332">
        <f>IFERROR(VLOOKUP(TEXT(O261,"0"),CONDUCTORES!$A$3:$G$54,2,0),"")</f>
        <v/>
      </c>
      <c r="Q261" s="332">
        <f>IFERROR(VLOOKUP(TEXT(O261,"0"),CONDUCTORES!$A$3:$H$54,6,0),"")</f>
        <v/>
      </c>
      <c r="R261" s="334" t="n"/>
      <c r="S261" s="334" t="n"/>
      <c r="T261" s="334" t="n"/>
      <c r="U261" s="334" t="n"/>
      <c r="V261" s="334" t="n"/>
      <c r="W261" s="334" t="n"/>
      <c r="X261" s="334" t="n"/>
      <c r="Y261" s="334" t="n"/>
    </row>
    <row r="262" ht="15" customHeight="1" s="195">
      <c r="A262" s="280" t="n"/>
      <c r="B262" s="280" t="n"/>
      <c r="C262" s="280" t="n"/>
      <c r="D262" s="280" t="n"/>
      <c r="E262" s="280" t="n"/>
      <c r="F262" s="280" t="n"/>
      <c r="G262" s="280" t="n"/>
      <c r="H262" s="280" t="n"/>
      <c r="I262" s="332">
        <f>IFERROR(VLOOKUP(TEXT(H262,"0"),IPRESS!$A$3:$B$212,2,0),"")</f>
        <v/>
      </c>
      <c r="J262" s="280" t="n"/>
      <c r="K262" s="332">
        <f>IFERROR(VLOOKUP(TEXT(O262,"0"),CONDUCTORES!$A$3:$G$54,7,0),"")</f>
        <v/>
      </c>
      <c r="L262" s="280" t="n"/>
      <c r="M262" s="280" t="n"/>
      <c r="N262" s="333">
        <f>IFERROR(IF(L262*M262=0,"",L262*M262),"")</f>
        <v/>
      </c>
      <c r="O262" s="280" t="n"/>
      <c r="P262" s="332">
        <f>IFERROR(VLOOKUP(TEXT(O262,"0"),CONDUCTORES!$A$3:$G$54,2,0),"")</f>
        <v/>
      </c>
      <c r="Q262" s="332">
        <f>IFERROR(VLOOKUP(TEXT(O262,"0"),CONDUCTORES!$A$3:$H$54,6,0),"")</f>
        <v/>
      </c>
      <c r="R262" s="280" t="n"/>
      <c r="S262" s="280" t="n"/>
      <c r="T262" s="280" t="n"/>
      <c r="U262" s="280" t="n"/>
      <c r="V262" s="280" t="n"/>
      <c r="W262" s="280" t="n"/>
      <c r="X262" s="280" t="n"/>
      <c r="Y262" s="280" t="n"/>
    </row>
    <row r="263" ht="15" customHeight="1" s="195">
      <c r="A263" s="334" t="n"/>
      <c r="B263" s="334" t="n"/>
      <c r="C263" s="334" t="n"/>
      <c r="D263" s="334" t="n"/>
      <c r="E263" s="334" t="n"/>
      <c r="F263" s="334" t="n"/>
      <c r="G263" s="334" t="n"/>
      <c r="H263" s="334" t="n"/>
      <c r="I263" s="332">
        <f>IFERROR(VLOOKUP(TEXT(H263,"0"),IPRESS!$A$3:$B$212,2,0),"")</f>
        <v/>
      </c>
      <c r="J263" s="334" t="n"/>
      <c r="K263" s="332">
        <f>IFERROR(VLOOKUP(TEXT(O263,"0"),CONDUCTORES!$A$3:$G$54,7,0),"")</f>
        <v/>
      </c>
      <c r="L263" s="334" t="n"/>
      <c r="M263" s="334" t="n"/>
      <c r="N263" s="333">
        <f>IFERROR(IF(L263*M263=0,"",L263*M263),"")</f>
        <v/>
      </c>
      <c r="O263" s="334" t="n"/>
      <c r="P263" s="332">
        <f>IFERROR(VLOOKUP(TEXT(O263,"0"),CONDUCTORES!$A$3:$G$54,2,0),"")</f>
        <v/>
      </c>
      <c r="Q263" s="332">
        <f>IFERROR(VLOOKUP(TEXT(O263,"0"),CONDUCTORES!$A$3:$H$54,6,0),"")</f>
        <v/>
      </c>
      <c r="R263" s="334" t="n"/>
      <c r="S263" s="334" t="n"/>
      <c r="T263" s="334" t="n"/>
      <c r="U263" s="334" t="n"/>
      <c r="V263" s="334" t="n"/>
      <c r="W263" s="334" t="n"/>
      <c r="X263" s="334" t="n"/>
      <c r="Y263" s="334" t="n"/>
    </row>
    <row r="264" ht="15" customHeight="1" s="195">
      <c r="A264" s="280" t="n"/>
      <c r="B264" s="280" t="n"/>
      <c r="C264" s="280" t="n"/>
      <c r="D264" s="280" t="n"/>
      <c r="E264" s="280" t="n"/>
      <c r="F264" s="280" t="n"/>
      <c r="G264" s="280" t="n"/>
      <c r="H264" s="280" t="n"/>
      <c r="I264" s="332">
        <f>IFERROR(VLOOKUP(TEXT(H264,"0"),IPRESS!$A$3:$B$212,2,0),"")</f>
        <v/>
      </c>
      <c r="J264" s="280" t="n"/>
      <c r="K264" s="332">
        <f>IFERROR(VLOOKUP(TEXT(O264,"0"),CONDUCTORES!$A$3:$G$54,7,0),"")</f>
        <v/>
      </c>
      <c r="L264" s="280" t="n"/>
      <c r="M264" s="280" t="n"/>
      <c r="N264" s="333">
        <f>IFERROR(IF(L264*M264=0,"",L264*M264),"")</f>
        <v/>
      </c>
      <c r="O264" s="280" t="n"/>
      <c r="P264" s="332">
        <f>IFERROR(VLOOKUP(TEXT(O264,"0"),CONDUCTORES!$A$3:$G$54,2,0),"")</f>
        <v/>
      </c>
      <c r="Q264" s="332">
        <f>IFERROR(VLOOKUP(TEXT(O264,"0"),CONDUCTORES!$A$3:$H$54,6,0),"")</f>
        <v/>
      </c>
      <c r="R264" s="280" t="n"/>
      <c r="S264" s="280" t="n"/>
      <c r="T264" s="280" t="n"/>
      <c r="U264" s="280" t="n"/>
      <c r="V264" s="280" t="n"/>
      <c r="W264" s="280" t="n"/>
      <c r="X264" s="280" t="n"/>
      <c r="Y264" s="280" t="n"/>
    </row>
    <row r="265" ht="15" customHeight="1" s="195">
      <c r="A265" s="334" t="n"/>
      <c r="B265" s="334" t="n"/>
      <c r="C265" s="334" t="n"/>
      <c r="D265" s="334" t="n"/>
      <c r="E265" s="334" t="n"/>
      <c r="F265" s="334" t="n"/>
      <c r="G265" s="334" t="n"/>
      <c r="H265" s="334" t="n"/>
      <c r="I265" s="332">
        <f>IFERROR(VLOOKUP(TEXT(H265,"0"),IPRESS!$A$3:$B$212,2,0),"")</f>
        <v/>
      </c>
      <c r="J265" s="334" t="n"/>
      <c r="K265" s="332">
        <f>IFERROR(VLOOKUP(TEXT(O265,"0"),CONDUCTORES!$A$3:$G$54,7,0),"")</f>
        <v/>
      </c>
      <c r="L265" s="334" t="n"/>
      <c r="M265" s="334" t="n"/>
      <c r="N265" s="333">
        <f>IFERROR(IF(L265*M265=0,"",L265*M265),"")</f>
        <v/>
      </c>
      <c r="O265" s="334" t="n"/>
      <c r="P265" s="332">
        <f>IFERROR(VLOOKUP(TEXT(O265,"0"),CONDUCTORES!$A$3:$G$54,2,0),"")</f>
        <v/>
      </c>
      <c r="Q265" s="332">
        <f>IFERROR(VLOOKUP(TEXT(O265,"0"),CONDUCTORES!$A$3:$H$54,6,0),"")</f>
        <v/>
      </c>
      <c r="R265" s="334" t="n"/>
      <c r="S265" s="334" t="n"/>
      <c r="T265" s="334" t="n"/>
      <c r="U265" s="334" t="n"/>
      <c r="V265" s="334" t="n"/>
      <c r="W265" s="334" t="n"/>
      <c r="X265" s="334" t="n"/>
      <c r="Y265" s="334" t="n"/>
    </row>
    <row r="266" ht="15" customHeight="1" s="195">
      <c r="A266" s="280" t="n"/>
      <c r="B266" s="280" t="n"/>
      <c r="C266" s="280" t="n"/>
      <c r="D266" s="280" t="n"/>
      <c r="E266" s="280" t="n"/>
      <c r="F266" s="280" t="n"/>
      <c r="G266" s="280" t="n"/>
      <c r="H266" s="280" t="n"/>
      <c r="I266" s="332">
        <f>IFERROR(VLOOKUP(TEXT(H266,"0"),IPRESS!$A$3:$B$212,2,0),"")</f>
        <v/>
      </c>
      <c r="J266" s="280" t="n"/>
      <c r="K266" s="332">
        <f>IFERROR(VLOOKUP(TEXT(O266,"0"),CONDUCTORES!$A$3:$G$54,7,0),"")</f>
        <v/>
      </c>
      <c r="L266" s="280" t="n"/>
      <c r="M266" s="280" t="n"/>
      <c r="N266" s="333">
        <f>IFERROR(IF(L266*M266=0,"",L266*M266),"")</f>
        <v/>
      </c>
      <c r="O266" s="280" t="n"/>
      <c r="P266" s="332">
        <f>IFERROR(VLOOKUP(TEXT(O266,"0"),CONDUCTORES!$A$3:$G$54,2,0),"")</f>
        <v/>
      </c>
      <c r="Q266" s="332">
        <f>IFERROR(VLOOKUP(TEXT(O266,"0"),CONDUCTORES!$A$3:$H$54,6,0),"")</f>
        <v/>
      </c>
      <c r="R266" s="280" t="n"/>
      <c r="S266" s="280" t="n"/>
      <c r="T266" s="280" t="n"/>
      <c r="U266" s="280" t="n"/>
      <c r="V266" s="280" t="n"/>
      <c r="W266" s="280" t="n"/>
      <c r="X266" s="280" t="n"/>
      <c r="Y266" s="280" t="n"/>
    </row>
    <row r="267" ht="15" customHeight="1" s="195">
      <c r="A267" s="334" t="n"/>
      <c r="B267" s="334" t="n"/>
      <c r="C267" s="334" t="n"/>
      <c r="D267" s="334" t="n"/>
      <c r="E267" s="334" t="n"/>
      <c r="F267" s="334" t="n"/>
      <c r="G267" s="334" t="n"/>
      <c r="H267" s="334" t="n"/>
      <c r="I267" s="332">
        <f>IFERROR(VLOOKUP(TEXT(H267,"0"),IPRESS!$A$3:$B$212,2,0),"")</f>
        <v/>
      </c>
      <c r="J267" s="334" t="n"/>
      <c r="K267" s="332">
        <f>IFERROR(VLOOKUP(TEXT(O267,"0"),CONDUCTORES!$A$3:$G$54,7,0),"")</f>
        <v/>
      </c>
      <c r="L267" s="334" t="n"/>
      <c r="M267" s="334" t="n"/>
      <c r="N267" s="333">
        <f>IFERROR(IF(L267*M267=0,"",L267*M267),"")</f>
        <v/>
      </c>
      <c r="O267" s="334" t="n"/>
      <c r="P267" s="332">
        <f>IFERROR(VLOOKUP(TEXT(O267,"0"),CONDUCTORES!$A$3:$G$54,2,0),"")</f>
        <v/>
      </c>
      <c r="Q267" s="332">
        <f>IFERROR(VLOOKUP(TEXT(O267,"0"),CONDUCTORES!$A$3:$H$54,6,0),"")</f>
        <v/>
      </c>
      <c r="R267" s="334" t="n"/>
      <c r="S267" s="334" t="n"/>
      <c r="T267" s="334" t="n"/>
      <c r="U267" s="334" t="n"/>
      <c r="V267" s="334" t="n"/>
      <c r="W267" s="334" t="n"/>
      <c r="X267" s="334" t="n"/>
      <c r="Y267" s="334" t="n"/>
    </row>
    <row r="268" ht="15" customHeight="1" s="195">
      <c r="A268" s="280" t="n"/>
      <c r="B268" s="280" t="n"/>
      <c r="C268" s="280" t="n"/>
      <c r="D268" s="280" t="n"/>
      <c r="E268" s="280" t="n"/>
      <c r="F268" s="280" t="n"/>
      <c r="G268" s="280" t="n"/>
      <c r="H268" s="280" t="n"/>
      <c r="I268" s="332">
        <f>IFERROR(VLOOKUP(TEXT(H268,"0"),IPRESS!$A$3:$B$212,2,0),"")</f>
        <v/>
      </c>
      <c r="J268" s="280" t="n"/>
      <c r="K268" s="332">
        <f>IFERROR(VLOOKUP(TEXT(O268,"0"),CONDUCTORES!$A$3:$G$54,7,0),"")</f>
        <v/>
      </c>
      <c r="L268" s="280" t="n"/>
      <c r="M268" s="280" t="n"/>
      <c r="N268" s="333">
        <f>IFERROR(IF(L268*M268=0,"",L268*M268),"")</f>
        <v/>
      </c>
      <c r="O268" s="280" t="n"/>
      <c r="P268" s="332">
        <f>IFERROR(VLOOKUP(TEXT(O268,"0"),CONDUCTORES!$A$3:$G$54,2,0),"")</f>
        <v/>
      </c>
      <c r="Q268" s="332">
        <f>IFERROR(VLOOKUP(TEXT(O268,"0"),CONDUCTORES!$A$3:$H$54,6,0),"")</f>
        <v/>
      </c>
      <c r="R268" s="280" t="n"/>
      <c r="S268" s="280" t="n"/>
      <c r="T268" s="280" t="n"/>
      <c r="U268" s="280" t="n"/>
      <c r="V268" s="280" t="n"/>
      <c r="W268" s="280" t="n"/>
      <c r="X268" s="280" t="n"/>
      <c r="Y268" s="280" t="n"/>
    </row>
    <row r="269" ht="15" customHeight="1" s="195">
      <c r="A269" s="334" t="n"/>
      <c r="B269" s="334" t="n"/>
      <c r="C269" s="334" t="n"/>
      <c r="D269" s="334" t="n"/>
      <c r="E269" s="334" t="n"/>
      <c r="F269" s="334" t="n"/>
      <c r="G269" s="334" t="n"/>
      <c r="H269" s="334" t="n"/>
      <c r="I269" s="332">
        <f>IFERROR(VLOOKUP(TEXT(H269,"0"),IPRESS!$A$3:$B$212,2,0),"")</f>
        <v/>
      </c>
      <c r="J269" s="334" t="n"/>
      <c r="K269" s="332">
        <f>IFERROR(VLOOKUP(TEXT(O269,"0"),CONDUCTORES!$A$3:$G$54,7,0),"")</f>
        <v/>
      </c>
      <c r="L269" s="334" t="n"/>
      <c r="M269" s="334" t="n"/>
      <c r="N269" s="333">
        <f>IFERROR(IF(L269*M269=0,"",L269*M269),"")</f>
        <v/>
      </c>
      <c r="O269" s="334" t="n"/>
      <c r="P269" s="332">
        <f>IFERROR(VLOOKUP(TEXT(O269,"0"),CONDUCTORES!$A$3:$G$54,2,0),"")</f>
        <v/>
      </c>
      <c r="Q269" s="332">
        <f>IFERROR(VLOOKUP(TEXT(O269,"0"),CONDUCTORES!$A$3:$H$54,6,0),"")</f>
        <v/>
      </c>
      <c r="R269" s="334" t="n"/>
      <c r="S269" s="334" t="n"/>
      <c r="T269" s="334" t="n"/>
      <c r="U269" s="334" t="n"/>
      <c r="V269" s="334" t="n"/>
      <c r="W269" s="334" t="n"/>
      <c r="X269" s="334" t="n"/>
      <c r="Y269" s="334" t="n"/>
    </row>
    <row r="270" ht="15" customHeight="1" s="195">
      <c r="A270" s="280" t="n"/>
      <c r="B270" s="280" t="n"/>
      <c r="C270" s="280" t="n"/>
      <c r="D270" s="280" t="n"/>
      <c r="E270" s="280" t="n"/>
      <c r="F270" s="280" t="n"/>
      <c r="G270" s="280" t="n"/>
      <c r="H270" s="280" t="n"/>
      <c r="I270" s="332">
        <f>IFERROR(VLOOKUP(TEXT(H270,"0"),IPRESS!$A$3:$B$212,2,0),"")</f>
        <v/>
      </c>
      <c r="J270" s="280" t="n"/>
      <c r="K270" s="332">
        <f>IFERROR(VLOOKUP(TEXT(O270,"0"),CONDUCTORES!$A$3:$G$54,7,0),"")</f>
        <v/>
      </c>
      <c r="L270" s="280" t="n"/>
      <c r="M270" s="280" t="n"/>
      <c r="N270" s="333">
        <f>IFERROR(IF(L270*M270=0,"",L270*M270),"")</f>
        <v/>
      </c>
      <c r="O270" s="280" t="n"/>
      <c r="P270" s="332">
        <f>IFERROR(VLOOKUP(TEXT(O270,"0"),CONDUCTORES!$A$3:$G$54,2,0),"")</f>
        <v/>
      </c>
      <c r="Q270" s="332">
        <f>IFERROR(VLOOKUP(TEXT(O270,"0"),CONDUCTORES!$A$3:$H$54,6,0),"")</f>
        <v/>
      </c>
      <c r="R270" s="280" t="n"/>
      <c r="S270" s="280" t="n"/>
      <c r="T270" s="280" t="n"/>
      <c r="U270" s="280" t="n"/>
      <c r="V270" s="280" t="n"/>
      <c r="W270" s="280" t="n"/>
      <c r="X270" s="280" t="n"/>
      <c r="Y270" s="280" t="n"/>
    </row>
    <row r="271" ht="15" customHeight="1" s="195">
      <c r="A271" s="334" t="n"/>
      <c r="B271" s="334" t="n"/>
      <c r="C271" s="334" t="n"/>
      <c r="D271" s="334" t="n"/>
      <c r="E271" s="334" t="n"/>
      <c r="F271" s="334" t="n"/>
      <c r="G271" s="334" t="n"/>
      <c r="H271" s="334" t="n"/>
      <c r="I271" s="332">
        <f>IFERROR(VLOOKUP(TEXT(H271,"0"),IPRESS!$A$3:$B$212,2,0),"")</f>
        <v/>
      </c>
      <c r="J271" s="334" t="n"/>
      <c r="K271" s="332">
        <f>IFERROR(VLOOKUP(TEXT(O271,"0"),CONDUCTORES!$A$3:$G$54,7,0),"")</f>
        <v/>
      </c>
      <c r="L271" s="334" t="n"/>
      <c r="M271" s="334" t="n"/>
      <c r="N271" s="333">
        <f>IFERROR(IF(L271*M271=0,"",L271*M271),"")</f>
        <v/>
      </c>
      <c r="O271" s="334" t="n"/>
      <c r="P271" s="332">
        <f>IFERROR(VLOOKUP(TEXT(O271,"0"),CONDUCTORES!$A$3:$G$54,2,0),"")</f>
        <v/>
      </c>
      <c r="Q271" s="332">
        <f>IFERROR(VLOOKUP(TEXT(O271,"0"),CONDUCTORES!$A$3:$H$54,6,0),"")</f>
        <v/>
      </c>
      <c r="R271" s="334" t="n"/>
      <c r="S271" s="334" t="n"/>
      <c r="T271" s="334" t="n"/>
      <c r="U271" s="334" t="n"/>
      <c r="V271" s="334" t="n"/>
      <c r="W271" s="334" t="n"/>
      <c r="X271" s="334" t="n"/>
      <c r="Y271" s="334" t="n"/>
    </row>
    <row r="272" ht="15" customHeight="1" s="195">
      <c r="A272" s="280" t="n"/>
      <c r="B272" s="280" t="n"/>
      <c r="C272" s="280" t="n"/>
      <c r="D272" s="280" t="n"/>
      <c r="E272" s="280" t="n"/>
      <c r="F272" s="280" t="n"/>
      <c r="G272" s="280" t="n"/>
      <c r="H272" s="280" t="n"/>
      <c r="I272" s="332">
        <f>IFERROR(VLOOKUP(TEXT(H272,"0"),IPRESS!$A$3:$B$212,2,0),"")</f>
        <v/>
      </c>
      <c r="J272" s="280" t="n"/>
      <c r="K272" s="332">
        <f>IFERROR(VLOOKUP(TEXT(O272,"0"),CONDUCTORES!$A$3:$G$54,7,0),"")</f>
        <v/>
      </c>
      <c r="L272" s="280" t="n"/>
      <c r="M272" s="280" t="n"/>
      <c r="N272" s="333">
        <f>IFERROR(IF(L272*M272=0,"",L272*M272),"")</f>
        <v/>
      </c>
      <c r="O272" s="280" t="n"/>
      <c r="P272" s="332">
        <f>IFERROR(VLOOKUP(TEXT(O272,"0"),CONDUCTORES!$A$3:$G$54,2,0),"")</f>
        <v/>
      </c>
      <c r="Q272" s="332">
        <f>IFERROR(VLOOKUP(TEXT(O272,"0"),CONDUCTORES!$A$3:$H$54,6,0),"")</f>
        <v/>
      </c>
      <c r="R272" s="280" t="n"/>
      <c r="S272" s="280" t="n"/>
      <c r="T272" s="280" t="n"/>
      <c r="U272" s="280" t="n"/>
      <c r="V272" s="280" t="n"/>
      <c r="W272" s="280" t="n"/>
      <c r="X272" s="280" t="n"/>
      <c r="Y272" s="280" t="n"/>
    </row>
    <row r="273" ht="15" customHeight="1" s="195">
      <c r="A273" s="334" t="n"/>
      <c r="B273" s="334" t="n"/>
      <c r="C273" s="334" t="n"/>
      <c r="D273" s="334" t="n"/>
      <c r="E273" s="334" t="n"/>
      <c r="F273" s="334" t="n"/>
      <c r="G273" s="334" t="n"/>
      <c r="H273" s="334" t="n"/>
      <c r="I273" s="332">
        <f>IFERROR(VLOOKUP(TEXT(H273,"0"),IPRESS!$A$3:$B$212,2,0),"")</f>
        <v/>
      </c>
      <c r="J273" s="334" t="n"/>
      <c r="K273" s="332">
        <f>IFERROR(VLOOKUP(TEXT(O273,"0"),CONDUCTORES!$A$3:$G$54,7,0),"")</f>
        <v/>
      </c>
      <c r="L273" s="334" t="n"/>
      <c r="M273" s="334" t="n"/>
      <c r="N273" s="333">
        <f>IFERROR(IF(L273*M273=0,"",L273*M273),"")</f>
        <v/>
      </c>
      <c r="O273" s="334" t="n"/>
      <c r="P273" s="332">
        <f>IFERROR(VLOOKUP(TEXT(O273,"0"),CONDUCTORES!$A$3:$G$54,2,0),"")</f>
        <v/>
      </c>
      <c r="Q273" s="332">
        <f>IFERROR(VLOOKUP(TEXT(O273,"0"),CONDUCTORES!$A$3:$H$54,6,0),"")</f>
        <v/>
      </c>
      <c r="R273" s="334" t="n"/>
      <c r="S273" s="334" t="n"/>
      <c r="T273" s="334" t="n"/>
      <c r="U273" s="334" t="n"/>
      <c r="V273" s="334" t="n"/>
      <c r="W273" s="334" t="n"/>
      <c r="X273" s="334" t="n"/>
      <c r="Y273" s="334" t="n"/>
    </row>
    <row r="274" ht="15" customHeight="1" s="195">
      <c r="A274" s="280" t="n"/>
      <c r="B274" s="280" t="n"/>
      <c r="C274" s="280" t="n"/>
      <c r="D274" s="280" t="n"/>
      <c r="E274" s="280" t="n"/>
      <c r="F274" s="280" t="n"/>
      <c r="G274" s="280" t="n"/>
      <c r="H274" s="280" t="n"/>
      <c r="I274" s="332">
        <f>IFERROR(VLOOKUP(TEXT(H274,"0"),IPRESS!$A$3:$B$212,2,0),"")</f>
        <v/>
      </c>
      <c r="J274" s="280" t="n"/>
      <c r="K274" s="332">
        <f>IFERROR(VLOOKUP(TEXT(O274,"0"),CONDUCTORES!$A$3:$G$54,7,0),"")</f>
        <v/>
      </c>
      <c r="L274" s="280" t="n"/>
      <c r="M274" s="280" t="n"/>
      <c r="N274" s="333">
        <f>IFERROR(IF(L274*M274=0,"",L274*M274),"")</f>
        <v/>
      </c>
      <c r="O274" s="280" t="n"/>
      <c r="P274" s="332">
        <f>IFERROR(VLOOKUP(TEXT(O274,"0"),CONDUCTORES!$A$3:$G$54,2,0),"")</f>
        <v/>
      </c>
      <c r="Q274" s="332">
        <f>IFERROR(VLOOKUP(TEXT(O274,"0"),CONDUCTORES!$A$3:$H$54,6,0),"")</f>
        <v/>
      </c>
      <c r="R274" s="280" t="n"/>
      <c r="S274" s="280" t="n"/>
      <c r="T274" s="280" t="n"/>
      <c r="U274" s="280" t="n"/>
      <c r="V274" s="280" t="n"/>
      <c r="W274" s="280" t="n"/>
      <c r="X274" s="280" t="n"/>
      <c r="Y274" s="280" t="n"/>
    </row>
    <row r="275" ht="15" customHeight="1" s="195">
      <c r="A275" s="334" t="n"/>
      <c r="B275" s="334" t="n"/>
      <c r="C275" s="334" t="n"/>
      <c r="D275" s="334" t="n"/>
      <c r="E275" s="334" t="n"/>
      <c r="F275" s="334" t="n"/>
      <c r="G275" s="334" t="n"/>
      <c r="H275" s="334" t="n"/>
      <c r="I275" s="332">
        <f>IFERROR(VLOOKUP(TEXT(H275,"0"),IPRESS!$A$3:$B$212,2,0),"")</f>
        <v/>
      </c>
      <c r="J275" s="334" t="n"/>
      <c r="K275" s="332">
        <f>IFERROR(VLOOKUP(TEXT(O275,"0"),CONDUCTORES!$A$3:$G$54,7,0),"")</f>
        <v/>
      </c>
      <c r="L275" s="334" t="n"/>
      <c r="M275" s="334" t="n"/>
      <c r="N275" s="333">
        <f>IFERROR(IF(L275*M275=0,"",L275*M275),"")</f>
        <v/>
      </c>
      <c r="O275" s="334" t="n"/>
      <c r="P275" s="332">
        <f>IFERROR(VLOOKUP(TEXT(O275,"0"),CONDUCTORES!$A$3:$G$54,2,0),"")</f>
        <v/>
      </c>
      <c r="Q275" s="332">
        <f>IFERROR(VLOOKUP(TEXT(O275,"0"),CONDUCTORES!$A$3:$H$54,6,0),"")</f>
        <v/>
      </c>
      <c r="R275" s="334" t="n"/>
      <c r="S275" s="334" t="n"/>
      <c r="T275" s="334" t="n"/>
      <c r="U275" s="334" t="n"/>
      <c r="V275" s="334" t="n"/>
      <c r="W275" s="334" t="n"/>
      <c r="X275" s="334" t="n"/>
      <c r="Y275" s="334" t="n"/>
    </row>
    <row r="276" ht="15" customHeight="1" s="195">
      <c r="A276" s="280" t="n"/>
      <c r="B276" s="280" t="n"/>
      <c r="C276" s="280" t="n"/>
      <c r="D276" s="280" t="n"/>
      <c r="E276" s="280" t="n"/>
      <c r="F276" s="280" t="n"/>
      <c r="G276" s="280" t="n"/>
      <c r="H276" s="280" t="n"/>
      <c r="I276" s="332">
        <f>IFERROR(VLOOKUP(TEXT(H276,"0"),IPRESS!$A$3:$B$212,2,0),"")</f>
        <v/>
      </c>
      <c r="J276" s="280" t="n"/>
      <c r="K276" s="332">
        <f>IFERROR(VLOOKUP(TEXT(O276,"0"),CONDUCTORES!$A$3:$G$54,7,0),"")</f>
        <v/>
      </c>
      <c r="L276" s="280" t="n"/>
      <c r="M276" s="280" t="n"/>
      <c r="N276" s="333">
        <f>IFERROR(IF(L276*M276=0,"",L276*M276),"")</f>
        <v/>
      </c>
      <c r="O276" s="280" t="n"/>
      <c r="P276" s="332">
        <f>IFERROR(VLOOKUP(TEXT(O276,"0"),CONDUCTORES!$A$3:$G$54,2,0),"")</f>
        <v/>
      </c>
      <c r="Q276" s="332">
        <f>IFERROR(VLOOKUP(TEXT(O276,"0"),CONDUCTORES!$A$3:$H$54,6,0),"")</f>
        <v/>
      </c>
      <c r="R276" s="280" t="n"/>
      <c r="S276" s="280" t="n"/>
      <c r="T276" s="280" t="n"/>
      <c r="U276" s="280" t="n"/>
      <c r="V276" s="280" t="n"/>
      <c r="W276" s="280" t="n"/>
      <c r="X276" s="280" t="n"/>
      <c r="Y276" s="280" t="n"/>
    </row>
    <row r="277" ht="15" customHeight="1" s="195">
      <c r="A277" s="334" t="n"/>
      <c r="B277" s="334" t="n"/>
      <c r="C277" s="334" t="n"/>
      <c r="D277" s="334" t="n"/>
      <c r="E277" s="334" t="n"/>
      <c r="F277" s="334" t="n"/>
      <c r="G277" s="334" t="n"/>
      <c r="H277" s="334" t="n"/>
      <c r="I277" s="332">
        <f>IFERROR(VLOOKUP(TEXT(H277,"0"),IPRESS!$A$3:$B$212,2,0),"")</f>
        <v/>
      </c>
      <c r="J277" s="334" t="n"/>
      <c r="K277" s="332">
        <f>IFERROR(VLOOKUP(TEXT(O277,"0"),CONDUCTORES!$A$3:$G$54,7,0),"")</f>
        <v/>
      </c>
      <c r="L277" s="334" t="n"/>
      <c r="M277" s="334" t="n"/>
      <c r="N277" s="333">
        <f>IFERROR(IF(L277*M277=0,"",L277*M277),"")</f>
        <v/>
      </c>
      <c r="O277" s="334" t="n"/>
      <c r="P277" s="332">
        <f>IFERROR(VLOOKUP(TEXT(O277,"0"),CONDUCTORES!$A$3:$G$54,2,0),"")</f>
        <v/>
      </c>
      <c r="Q277" s="332">
        <f>IFERROR(VLOOKUP(TEXT(O277,"0"),CONDUCTORES!$A$3:$H$54,6,0),"")</f>
        <v/>
      </c>
      <c r="R277" s="334" t="n"/>
      <c r="S277" s="334" t="n"/>
      <c r="T277" s="334" t="n"/>
      <c r="U277" s="334" t="n"/>
      <c r="V277" s="334" t="n"/>
      <c r="W277" s="334" t="n"/>
      <c r="X277" s="334" t="n"/>
      <c r="Y277" s="334" t="n"/>
    </row>
    <row r="278" ht="15" customHeight="1" s="195">
      <c r="A278" s="280" t="n"/>
      <c r="B278" s="280" t="n"/>
      <c r="C278" s="280" t="n"/>
      <c r="D278" s="280" t="n"/>
      <c r="E278" s="280" t="n"/>
      <c r="F278" s="280" t="n"/>
      <c r="G278" s="280" t="n"/>
      <c r="H278" s="280" t="n"/>
      <c r="I278" s="332">
        <f>IFERROR(VLOOKUP(TEXT(H278,"0"),IPRESS!$A$3:$B$212,2,0),"")</f>
        <v/>
      </c>
      <c r="J278" s="280" t="n"/>
      <c r="K278" s="332">
        <f>IFERROR(VLOOKUP(TEXT(O278,"0"),CONDUCTORES!$A$3:$G$54,7,0),"")</f>
        <v/>
      </c>
      <c r="L278" s="280" t="n"/>
      <c r="M278" s="280" t="n"/>
      <c r="N278" s="333">
        <f>IFERROR(IF(L278*M278=0,"",L278*M278),"")</f>
        <v/>
      </c>
      <c r="O278" s="280" t="n"/>
      <c r="P278" s="332">
        <f>IFERROR(VLOOKUP(TEXT(O278,"0"),CONDUCTORES!$A$3:$G$54,2,0),"")</f>
        <v/>
      </c>
      <c r="Q278" s="332">
        <f>IFERROR(VLOOKUP(TEXT(O278,"0"),CONDUCTORES!$A$3:$H$54,6,0),"")</f>
        <v/>
      </c>
      <c r="R278" s="280" t="n"/>
      <c r="S278" s="280" t="n"/>
      <c r="T278" s="280" t="n"/>
      <c r="U278" s="280" t="n"/>
      <c r="V278" s="280" t="n"/>
      <c r="W278" s="280" t="n"/>
      <c r="X278" s="280" t="n"/>
      <c r="Y278" s="280" t="n"/>
    </row>
    <row r="279" ht="15" customHeight="1" s="195">
      <c r="A279" s="334" t="n"/>
      <c r="B279" s="334" t="n"/>
      <c r="C279" s="334" t="n"/>
      <c r="D279" s="334" t="n"/>
      <c r="E279" s="334" t="n"/>
      <c r="F279" s="334" t="n"/>
      <c r="G279" s="334" t="n"/>
      <c r="H279" s="334" t="n"/>
      <c r="I279" s="332">
        <f>IFERROR(VLOOKUP(TEXT(H279,"0"),IPRESS!$A$3:$B$212,2,0),"")</f>
        <v/>
      </c>
      <c r="J279" s="334" t="n"/>
      <c r="K279" s="332">
        <f>IFERROR(VLOOKUP(TEXT(O279,"0"),CONDUCTORES!$A$3:$G$54,7,0),"")</f>
        <v/>
      </c>
      <c r="L279" s="334" t="n"/>
      <c r="M279" s="334" t="n"/>
      <c r="N279" s="333">
        <f>IFERROR(IF(L279*M279=0,"",L279*M279),"")</f>
        <v/>
      </c>
      <c r="O279" s="334" t="n"/>
      <c r="P279" s="332">
        <f>IFERROR(VLOOKUP(TEXT(O279,"0"),CONDUCTORES!$A$3:$G$54,2,0),"")</f>
        <v/>
      </c>
      <c r="Q279" s="332">
        <f>IFERROR(VLOOKUP(TEXT(O279,"0"),CONDUCTORES!$A$3:$H$54,6,0),"")</f>
        <v/>
      </c>
      <c r="R279" s="334" t="n"/>
      <c r="S279" s="334" t="n"/>
      <c r="T279" s="334" t="n"/>
      <c r="U279" s="334" t="n"/>
      <c r="V279" s="334" t="n"/>
      <c r="W279" s="334" t="n"/>
      <c r="X279" s="334" t="n"/>
      <c r="Y279" s="334" t="n"/>
    </row>
    <row r="280" ht="15" customHeight="1" s="195">
      <c r="A280" s="280" t="n"/>
      <c r="B280" s="280" t="n"/>
      <c r="C280" s="280" t="n"/>
      <c r="D280" s="280" t="n"/>
      <c r="E280" s="280" t="n"/>
      <c r="F280" s="280" t="n"/>
      <c r="G280" s="280" t="n"/>
      <c r="H280" s="280" t="n"/>
      <c r="I280" s="332">
        <f>IFERROR(VLOOKUP(TEXT(H280,"0"),IPRESS!$A$3:$B$212,2,0),"")</f>
        <v/>
      </c>
      <c r="J280" s="280" t="n"/>
      <c r="K280" s="332">
        <f>IFERROR(VLOOKUP(TEXT(O280,"0"),CONDUCTORES!$A$3:$G$54,7,0),"")</f>
        <v/>
      </c>
      <c r="L280" s="280" t="n"/>
      <c r="M280" s="280" t="n"/>
      <c r="N280" s="333">
        <f>IFERROR(IF(L280*M280=0,"",L280*M280),"")</f>
        <v/>
      </c>
      <c r="O280" s="280" t="n"/>
      <c r="P280" s="332">
        <f>IFERROR(VLOOKUP(TEXT(O280,"0"),CONDUCTORES!$A$3:$G$54,2,0),"")</f>
        <v/>
      </c>
      <c r="Q280" s="332">
        <f>IFERROR(VLOOKUP(TEXT(O280,"0"),CONDUCTORES!$A$3:$H$54,6,0),"")</f>
        <v/>
      </c>
      <c r="R280" s="280" t="n"/>
      <c r="S280" s="280" t="n"/>
      <c r="T280" s="280" t="n"/>
      <c r="U280" s="280" t="n"/>
      <c r="V280" s="280" t="n"/>
      <c r="W280" s="280" t="n"/>
      <c r="X280" s="280" t="n"/>
      <c r="Y280" s="280" t="n"/>
    </row>
    <row r="281" ht="15" customHeight="1" s="195">
      <c r="A281" s="334" t="n"/>
      <c r="B281" s="334" t="n"/>
      <c r="C281" s="334" t="n"/>
      <c r="D281" s="334" t="n"/>
      <c r="E281" s="334" t="n"/>
      <c r="F281" s="334" t="n"/>
      <c r="G281" s="334" t="n"/>
      <c r="H281" s="334" t="n"/>
      <c r="I281" s="332">
        <f>IFERROR(VLOOKUP(TEXT(H281,"0"),IPRESS!$A$3:$B$212,2,0),"")</f>
        <v/>
      </c>
      <c r="J281" s="334" t="n"/>
      <c r="K281" s="332">
        <f>IFERROR(VLOOKUP(TEXT(O281,"0"),CONDUCTORES!$A$3:$G$54,7,0),"")</f>
        <v/>
      </c>
      <c r="L281" s="334" t="n"/>
      <c r="M281" s="334" t="n"/>
      <c r="N281" s="333">
        <f>IFERROR(IF(L281*M281=0,"",L281*M281),"")</f>
        <v/>
      </c>
      <c r="O281" s="334" t="n"/>
      <c r="P281" s="332">
        <f>IFERROR(VLOOKUP(TEXT(O281,"0"),CONDUCTORES!$A$3:$G$54,2,0),"")</f>
        <v/>
      </c>
      <c r="Q281" s="332">
        <f>IFERROR(VLOOKUP(TEXT(O281,"0"),CONDUCTORES!$A$3:$H$54,6,0),"")</f>
        <v/>
      </c>
      <c r="R281" s="334" t="n"/>
      <c r="S281" s="334" t="n"/>
      <c r="T281" s="334" t="n"/>
      <c r="U281" s="334" t="n"/>
      <c r="V281" s="334" t="n"/>
      <c r="W281" s="334" t="n"/>
      <c r="X281" s="334" t="n"/>
      <c r="Y281" s="334" t="n"/>
    </row>
    <row r="282" ht="15" customHeight="1" s="195">
      <c r="A282" s="280" t="n"/>
      <c r="B282" s="280" t="n"/>
      <c r="C282" s="280" t="n"/>
      <c r="D282" s="280" t="n"/>
      <c r="E282" s="280" t="n"/>
      <c r="F282" s="280" t="n"/>
      <c r="G282" s="280" t="n"/>
      <c r="H282" s="280" t="n"/>
      <c r="I282" s="332">
        <f>IFERROR(VLOOKUP(TEXT(H282,"0"),IPRESS!$A$3:$B$212,2,0),"")</f>
        <v/>
      </c>
      <c r="J282" s="280" t="n"/>
      <c r="K282" s="332">
        <f>IFERROR(VLOOKUP(TEXT(O282,"0"),CONDUCTORES!$A$3:$G$54,7,0),"")</f>
        <v/>
      </c>
      <c r="L282" s="280" t="n"/>
      <c r="M282" s="280" t="n"/>
      <c r="N282" s="333">
        <f>IFERROR(IF(L282*M282=0,"",L282*M282),"")</f>
        <v/>
      </c>
      <c r="O282" s="280" t="n"/>
      <c r="P282" s="332">
        <f>IFERROR(VLOOKUP(TEXT(O282,"0"),CONDUCTORES!$A$3:$G$54,2,0),"")</f>
        <v/>
      </c>
      <c r="Q282" s="332">
        <f>IFERROR(VLOOKUP(TEXT(O282,"0"),CONDUCTORES!$A$3:$H$54,6,0),"")</f>
        <v/>
      </c>
      <c r="R282" s="280" t="n"/>
      <c r="S282" s="280" t="n"/>
      <c r="T282" s="280" t="n"/>
      <c r="U282" s="280" t="n"/>
      <c r="V282" s="280" t="n"/>
      <c r="W282" s="280" t="n"/>
      <c r="X282" s="280" t="n"/>
      <c r="Y282" s="280" t="n"/>
    </row>
    <row r="283" ht="15" customHeight="1" s="195">
      <c r="A283" s="334" t="n"/>
      <c r="B283" s="334" t="n"/>
      <c r="C283" s="334" t="n"/>
      <c r="D283" s="334" t="n"/>
      <c r="E283" s="334" t="n"/>
      <c r="F283" s="334" t="n"/>
      <c r="G283" s="334" t="n"/>
      <c r="H283" s="334" t="n"/>
      <c r="I283" s="332">
        <f>IFERROR(VLOOKUP(TEXT(H283,"0"),IPRESS!$A$3:$B$212,2,0),"")</f>
        <v/>
      </c>
      <c r="J283" s="334" t="n"/>
      <c r="K283" s="332">
        <f>IFERROR(VLOOKUP(TEXT(O283,"0"),CONDUCTORES!$A$3:$G$54,7,0),"")</f>
        <v/>
      </c>
      <c r="L283" s="334" t="n"/>
      <c r="M283" s="334" t="n"/>
      <c r="N283" s="333">
        <f>IFERROR(IF(L283*M283=0,"",L283*M283),"")</f>
        <v/>
      </c>
      <c r="O283" s="334" t="n"/>
      <c r="P283" s="332">
        <f>IFERROR(VLOOKUP(TEXT(O283,"0"),CONDUCTORES!$A$3:$G$54,2,0),"")</f>
        <v/>
      </c>
      <c r="Q283" s="332">
        <f>IFERROR(VLOOKUP(TEXT(O283,"0"),CONDUCTORES!$A$3:$H$54,6,0),"")</f>
        <v/>
      </c>
      <c r="R283" s="334" t="n"/>
      <c r="S283" s="334" t="n"/>
      <c r="T283" s="334" t="n"/>
      <c r="U283" s="334" t="n"/>
      <c r="V283" s="334" t="n"/>
      <c r="W283" s="334" t="n"/>
      <c r="X283" s="334" t="n"/>
      <c r="Y283" s="334" t="n"/>
    </row>
    <row r="284" ht="15" customHeight="1" s="195">
      <c r="A284" s="280" t="n"/>
      <c r="B284" s="280" t="n"/>
      <c r="C284" s="280" t="n"/>
      <c r="D284" s="280" t="n"/>
      <c r="E284" s="280" t="n"/>
      <c r="F284" s="280" t="n"/>
      <c r="G284" s="280" t="n"/>
      <c r="H284" s="280" t="n"/>
      <c r="I284" s="332">
        <f>IFERROR(VLOOKUP(TEXT(H284,"0"),IPRESS!$A$3:$B$212,2,0),"")</f>
        <v/>
      </c>
      <c r="J284" s="280" t="n"/>
      <c r="K284" s="332">
        <f>IFERROR(VLOOKUP(TEXT(O284,"0"),CONDUCTORES!$A$3:$G$54,7,0),"")</f>
        <v/>
      </c>
      <c r="L284" s="280" t="n"/>
      <c r="M284" s="280" t="n"/>
      <c r="N284" s="333">
        <f>IFERROR(IF(L284*M284=0,"",L284*M284),"")</f>
        <v/>
      </c>
      <c r="O284" s="280" t="n"/>
      <c r="P284" s="332">
        <f>IFERROR(VLOOKUP(TEXT(O284,"0"),CONDUCTORES!$A$3:$G$54,2,0),"")</f>
        <v/>
      </c>
      <c r="Q284" s="332">
        <f>IFERROR(VLOOKUP(TEXT(O284,"0"),CONDUCTORES!$A$3:$H$54,6,0),"")</f>
        <v/>
      </c>
      <c r="R284" s="280" t="n"/>
      <c r="S284" s="280" t="n"/>
      <c r="T284" s="280" t="n"/>
      <c r="U284" s="280" t="n"/>
      <c r="V284" s="280" t="n"/>
      <c r="W284" s="280" t="n"/>
      <c r="X284" s="280" t="n"/>
      <c r="Y284" s="280" t="n"/>
    </row>
    <row r="285" ht="15" customHeight="1" s="195">
      <c r="A285" s="334" t="n"/>
      <c r="B285" s="334" t="n"/>
      <c r="C285" s="334" t="n"/>
      <c r="D285" s="334" t="n"/>
      <c r="E285" s="334" t="n"/>
      <c r="F285" s="334" t="n"/>
      <c r="G285" s="334" t="n"/>
      <c r="H285" s="334" t="n"/>
      <c r="I285" s="332">
        <f>IFERROR(VLOOKUP(TEXT(H285,"0"),IPRESS!$A$3:$B$212,2,0),"")</f>
        <v/>
      </c>
      <c r="J285" s="334" t="n"/>
      <c r="K285" s="332">
        <f>IFERROR(VLOOKUP(TEXT(O285,"0"),CONDUCTORES!$A$3:$G$54,7,0),"")</f>
        <v/>
      </c>
      <c r="L285" s="334" t="n"/>
      <c r="M285" s="334" t="n"/>
      <c r="N285" s="333">
        <f>IFERROR(IF(L285*M285=0,"",L285*M285),"")</f>
        <v/>
      </c>
      <c r="O285" s="334" t="n"/>
      <c r="P285" s="332">
        <f>IFERROR(VLOOKUP(TEXT(O285,"0"),CONDUCTORES!$A$3:$G$54,2,0),"")</f>
        <v/>
      </c>
      <c r="Q285" s="332">
        <f>IFERROR(VLOOKUP(TEXT(O285,"0"),CONDUCTORES!$A$3:$H$54,6,0),"")</f>
        <v/>
      </c>
      <c r="R285" s="334" t="n"/>
      <c r="S285" s="334" t="n"/>
      <c r="T285" s="334" t="n"/>
      <c r="U285" s="334" t="n"/>
      <c r="V285" s="334" t="n"/>
      <c r="W285" s="334" t="n"/>
      <c r="X285" s="334" t="n"/>
      <c r="Y285" s="334" t="n"/>
    </row>
    <row r="286" ht="15" customHeight="1" s="195">
      <c r="A286" s="280" t="n"/>
      <c r="B286" s="280" t="n"/>
      <c r="C286" s="280" t="n"/>
      <c r="D286" s="280" t="n"/>
      <c r="E286" s="280" t="n"/>
      <c r="F286" s="280" t="n"/>
      <c r="G286" s="280" t="n"/>
      <c r="H286" s="280" t="n"/>
      <c r="I286" s="332">
        <f>IFERROR(VLOOKUP(TEXT(H286,"0"),IPRESS!$A$3:$B$212,2,0),"")</f>
        <v/>
      </c>
      <c r="J286" s="280" t="n"/>
      <c r="K286" s="332">
        <f>IFERROR(VLOOKUP(TEXT(O286,"0"),CONDUCTORES!$A$3:$G$54,7,0),"")</f>
        <v/>
      </c>
      <c r="L286" s="280" t="n"/>
      <c r="M286" s="280" t="n"/>
      <c r="N286" s="333">
        <f>IFERROR(IF(L286*M286=0,"",L286*M286),"")</f>
        <v/>
      </c>
      <c r="O286" s="280" t="n"/>
      <c r="P286" s="332">
        <f>IFERROR(VLOOKUP(TEXT(O286,"0"),CONDUCTORES!$A$3:$G$54,2,0),"")</f>
        <v/>
      </c>
      <c r="Q286" s="332">
        <f>IFERROR(VLOOKUP(TEXT(O286,"0"),CONDUCTORES!$A$3:$H$54,6,0),"")</f>
        <v/>
      </c>
      <c r="R286" s="280" t="n"/>
      <c r="S286" s="280" t="n"/>
      <c r="T286" s="280" t="n"/>
      <c r="U286" s="280" t="n"/>
      <c r="V286" s="280" t="n"/>
      <c r="W286" s="280" t="n"/>
      <c r="X286" s="280" t="n"/>
      <c r="Y286" s="280" t="n"/>
    </row>
    <row r="287" ht="15" customHeight="1" s="195">
      <c r="A287" s="334" t="n"/>
      <c r="B287" s="334" t="n"/>
      <c r="C287" s="334" t="n"/>
      <c r="D287" s="334" t="n"/>
      <c r="E287" s="334" t="n"/>
      <c r="F287" s="334" t="n"/>
      <c r="G287" s="334" t="n"/>
      <c r="H287" s="334" t="n"/>
      <c r="I287" s="332">
        <f>IFERROR(VLOOKUP(TEXT(H287,"0"),IPRESS!$A$3:$B$212,2,0),"")</f>
        <v/>
      </c>
      <c r="J287" s="334" t="n"/>
      <c r="K287" s="332">
        <f>IFERROR(VLOOKUP(TEXT(O287,"0"),CONDUCTORES!$A$3:$G$54,7,0),"")</f>
        <v/>
      </c>
      <c r="L287" s="334" t="n"/>
      <c r="M287" s="334" t="n"/>
      <c r="N287" s="333">
        <f>IFERROR(IF(L287*M287=0,"",L287*M287),"")</f>
        <v/>
      </c>
      <c r="O287" s="334" t="n"/>
      <c r="P287" s="332">
        <f>IFERROR(VLOOKUP(TEXT(O287,"0"),CONDUCTORES!$A$3:$G$54,2,0),"")</f>
        <v/>
      </c>
      <c r="Q287" s="332">
        <f>IFERROR(VLOOKUP(TEXT(O287,"0"),CONDUCTORES!$A$3:$H$54,6,0),"")</f>
        <v/>
      </c>
      <c r="R287" s="334" t="n"/>
      <c r="S287" s="334" t="n"/>
      <c r="T287" s="334" t="n"/>
      <c r="U287" s="334" t="n"/>
      <c r="V287" s="334" t="n"/>
      <c r="W287" s="334" t="n"/>
      <c r="X287" s="334" t="n"/>
      <c r="Y287" s="334" t="n"/>
    </row>
    <row r="288" ht="15" customHeight="1" s="195">
      <c r="A288" s="280" t="n"/>
      <c r="B288" s="280" t="n"/>
      <c r="C288" s="280" t="n"/>
      <c r="D288" s="280" t="n"/>
      <c r="E288" s="280" t="n"/>
      <c r="F288" s="280" t="n"/>
      <c r="G288" s="280" t="n"/>
      <c r="H288" s="280" t="n"/>
      <c r="I288" s="332">
        <f>IFERROR(VLOOKUP(TEXT(H288,"0"),IPRESS!$A$3:$B$212,2,0),"")</f>
        <v/>
      </c>
      <c r="J288" s="280" t="n"/>
      <c r="K288" s="332">
        <f>IFERROR(VLOOKUP(TEXT(O288,"0"),CONDUCTORES!$A$3:$G$54,7,0),"")</f>
        <v/>
      </c>
      <c r="L288" s="280" t="n"/>
      <c r="M288" s="280" t="n"/>
      <c r="N288" s="333">
        <f>IFERROR(IF(L288*M288=0,"",L288*M288),"")</f>
        <v/>
      </c>
      <c r="O288" s="280" t="n"/>
      <c r="P288" s="332">
        <f>IFERROR(VLOOKUP(TEXT(O288,"0"),CONDUCTORES!$A$3:$G$54,2,0),"")</f>
        <v/>
      </c>
      <c r="Q288" s="332">
        <f>IFERROR(VLOOKUP(TEXT(O288,"0"),CONDUCTORES!$A$3:$H$54,6,0),"")</f>
        <v/>
      </c>
      <c r="R288" s="280" t="n"/>
      <c r="S288" s="280" t="n"/>
      <c r="T288" s="280" t="n"/>
      <c r="U288" s="280" t="n"/>
      <c r="V288" s="280" t="n"/>
      <c r="W288" s="280" t="n"/>
      <c r="X288" s="280" t="n"/>
      <c r="Y288" s="280" t="n"/>
    </row>
    <row r="289" ht="15" customHeight="1" s="195">
      <c r="A289" s="334" t="n"/>
      <c r="B289" s="334" t="n"/>
      <c r="C289" s="334" t="n"/>
      <c r="D289" s="334" t="n"/>
      <c r="E289" s="334" t="n"/>
      <c r="F289" s="334" t="n"/>
      <c r="G289" s="334" t="n"/>
      <c r="H289" s="334" t="n"/>
      <c r="I289" s="332">
        <f>IFERROR(VLOOKUP(TEXT(H289,"0"),IPRESS!$A$3:$B$212,2,0),"")</f>
        <v/>
      </c>
      <c r="J289" s="334" t="n"/>
      <c r="K289" s="332">
        <f>IFERROR(VLOOKUP(TEXT(O289,"0"),CONDUCTORES!$A$3:$G$54,7,0),"")</f>
        <v/>
      </c>
      <c r="L289" s="334" t="n"/>
      <c r="M289" s="334" t="n"/>
      <c r="N289" s="333">
        <f>IFERROR(IF(L289*M289=0,"",L289*M289),"")</f>
        <v/>
      </c>
      <c r="O289" s="334" t="n"/>
      <c r="P289" s="332">
        <f>IFERROR(VLOOKUP(TEXT(O289,"0"),CONDUCTORES!$A$3:$G$54,2,0),"")</f>
        <v/>
      </c>
      <c r="Q289" s="332">
        <f>IFERROR(VLOOKUP(TEXT(O289,"0"),CONDUCTORES!$A$3:$H$54,6,0),"")</f>
        <v/>
      </c>
      <c r="R289" s="334" t="n"/>
      <c r="S289" s="334" t="n"/>
      <c r="T289" s="334" t="n"/>
      <c r="U289" s="334" t="n"/>
      <c r="V289" s="334" t="n"/>
      <c r="W289" s="334" t="n"/>
      <c r="X289" s="334" t="n"/>
      <c r="Y289" s="334" t="n"/>
    </row>
    <row r="290" ht="15" customHeight="1" s="195">
      <c r="A290" s="280" t="n"/>
      <c r="B290" s="280" t="n"/>
      <c r="C290" s="280" t="n"/>
      <c r="D290" s="280" t="n"/>
      <c r="E290" s="280" t="n"/>
      <c r="F290" s="280" t="n"/>
      <c r="G290" s="280" t="n"/>
      <c r="H290" s="280" t="n"/>
      <c r="I290" s="332">
        <f>IFERROR(VLOOKUP(TEXT(H290,"0"),IPRESS!$A$3:$B$212,2,0),"")</f>
        <v/>
      </c>
      <c r="J290" s="280" t="n"/>
      <c r="K290" s="332">
        <f>IFERROR(VLOOKUP(TEXT(O290,"0"),CONDUCTORES!$A$3:$G$54,7,0),"")</f>
        <v/>
      </c>
      <c r="L290" s="280" t="n"/>
      <c r="M290" s="280" t="n"/>
      <c r="N290" s="333">
        <f>IFERROR(IF(L290*M290=0,"",L290*M290),"")</f>
        <v/>
      </c>
      <c r="O290" s="280" t="n"/>
      <c r="P290" s="332">
        <f>IFERROR(VLOOKUP(TEXT(O290,"0"),CONDUCTORES!$A$3:$G$54,2,0),"")</f>
        <v/>
      </c>
      <c r="Q290" s="332">
        <f>IFERROR(VLOOKUP(TEXT(O290,"0"),CONDUCTORES!$A$3:$H$54,6,0),"")</f>
        <v/>
      </c>
      <c r="R290" s="280" t="n"/>
      <c r="S290" s="280" t="n"/>
      <c r="T290" s="280" t="n"/>
      <c r="U290" s="280" t="n"/>
      <c r="V290" s="280" t="n"/>
      <c r="W290" s="280" t="n"/>
      <c r="X290" s="280" t="n"/>
      <c r="Y290" s="280" t="n"/>
    </row>
    <row r="291" ht="15" customHeight="1" s="195">
      <c r="A291" s="334" t="n"/>
      <c r="B291" s="334" t="n"/>
      <c r="C291" s="334" t="n"/>
      <c r="D291" s="334" t="n"/>
      <c r="E291" s="334" t="n"/>
      <c r="F291" s="334" t="n"/>
      <c r="G291" s="334" t="n"/>
      <c r="H291" s="334" t="n"/>
      <c r="I291" s="332">
        <f>IFERROR(VLOOKUP(TEXT(H291,"0"),IPRESS!$A$3:$B$212,2,0),"")</f>
        <v/>
      </c>
      <c r="J291" s="334" t="n"/>
      <c r="K291" s="332">
        <f>IFERROR(VLOOKUP(TEXT(O291,"0"),CONDUCTORES!$A$3:$G$54,7,0),"")</f>
        <v/>
      </c>
      <c r="L291" s="334" t="n"/>
      <c r="M291" s="334" t="n"/>
      <c r="N291" s="333">
        <f>IFERROR(IF(L291*M291=0,"",L291*M291),"")</f>
        <v/>
      </c>
      <c r="O291" s="334" t="n"/>
      <c r="P291" s="332">
        <f>IFERROR(VLOOKUP(TEXT(O291,"0"),CONDUCTORES!$A$3:$G$54,2,0),"")</f>
        <v/>
      </c>
      <c r="Q291" s="332">
        <f>IFERROR(VLOOKUP(TEXT(O291,"0"),CONDUCTORES!$A$3:$H$54,6,0),"")</f>
        <v/>
      </c>
      <c r="R291" s="334" t="n"/>
      <c r="S291" s="334" t="n"/>
      <c r="T291" s="334" t="n"/>
      <c r="U291" s="334" t="n"/>
      <c r="V291" s="334" t="n"/>
      <c r="W291" s="334" t="n"/>
      <c r="X291" s="334" t="n"/>
      <c r="Y291" s="334" t="n"/>
    </row>
    <row r="292" ht="15" customHeight="1" s="195">
      <c r="A292" s="280" t="n"/>
      <c r="B292" s="280" t="n"/>
      <c r="C292" s="280" t="n"/>
      <c r="D292" s="280" t="n"/>
      <c r="E292" s="280" t="n"/>
      <c r="F292" s="280" t="n"/>
      <c r="G292" s="280" t="n"/>
      <c r="H292" s="280" t="n"/>
      <c r="I292" s="332">
        <f>IFERROR(VLOOKUP(TEXT(H292,"0"),IPRESS!$A$3:$B$212,2,0),"")</f>
        <v/>
      </c>
      <c r="J292" s="280" t="n"/>
      <c r="K292" s="332">
        <f>IFERROR(VLOOKUP(TEXT(O292,"0"),CONDUCTORES!$A$3:$G$54,7,0),"")</f>
        <v/>
      </c>
      <c r="L292" s="280" t="n"/>
      <c r="M292" s="280" t="n"/>
      <c r="N292" s="333">
        <f>IFERROR(IF(L292*M292=0,"",L292*M292),"")</f>
        <v/>
      </c>
      <c r="O292" s="280" t="n"/>
      <c r="P292" s="332">
        <f>IFERROR(VLOOKUP(TEXT(O292,"0"),CONDUCTORES!$A$3:$G$54,2,0),"")</f>
        <v/>
      </c>
      <c r="Q292" s="332">
        <f>IFERROR(VLOOKUP(TEXT(O292,"0"),CONDUCTORES!$A$3:$H$54,6,0),"")</f>
        <v/>
      </c>
      <c r="R292" s="280" t="n"/>
      <c r="S292" s="280" t="n"/>
      <c r="T292" s="280" t="n"/>
      <c r="U292" s="280" t="n"/>
      <c r="V292" s="280" t="n"/>
      <c r="W292" s="280" t="n"/>
      <c r="X292" s="280" t="n"/>
      <c r="Y292" s="280" t="n"/>
    </row>
    <row r="293" ht="15" customHeight="1" s="195">
      <c r="A293" s="334" t="n"/>
      <c r="B293" s="334" t="n"/>
      <c r="C293" s="334" t="n"/>
      <c r="D293" s="334" t="n"/>
      <c r="E293" s="334" t="n"/>
      <c r="F293" s="334" t="n"/>
      <c r="G293" s="334" t="n"/>
      <c r="H293" s="334" t="n"/>
      <c r="I293" s="332">
        <f>IFERROR(VLOOKUP(TEXT(H293,"0"),IPRESS!$A$3:$B$212,2,0),"")</f>
        <v/>
      </c>
      <c r="J293" s="334" t="n"/>
      <c r="K293" s="332">
        <f>IFERROR(VLOOKUP(TEXT(O293,"0"),CONDUCTORES!$A$3:$G$54,7,0),"")</f>
        <v/>
      </c>
      <c r="L293" s="334" t="n"/>
      <c r="M293" s="334" t="n"/>
      <c r="N293" s="333">
        <f>IFERROR(IF(L293*M293=0,"",L293*M293),"")</f>
        <v/>
      </c>
      <c r="O293" s="334" t="n"/>
      <c r="P293" s="332">
        <f>IFERROR(VLOOKUP(TEXT(O293,"0"),CONDUCTORES!$A$3:$G$54,2,0),"")</f>
        <v/>
      </c>
      <c r="Q293" s="332">
        <f>IFERROR(VLOOKUP(TEXT(O293,"0"),CONDUCTORES!$A$3:$H$54,6,0),"")</f>
        <v/>
      </c>
      <c r="R293" s="334" t="n"/>
      <c r="S293" s="334" t="n"/>
      <c r="T293" s="334" t="n"/>
      <c r="U293" s="334" t="n"/>
      <c r="V293" s="334" t="n"/>
      <c r="W293" s="334" t="n"/>
      <c r="X293" s="334" t="n"/>
      <c r="Y293" s="334" t="n"/>
    </row>
    <row r="294" ht="15" customHeight="1" s="195">
      <c r="A294" s="280" t="n"/>
      <c r="B294" s="280" t="n"/>
      <c r="C294" s="280" t="n"/>
      <c r="D294" s="280" t="n"/>
      <c r="E294" s="280" t="n"/>
      <c r="F294" s="280" t="n"/>
      <c r="G294" s="280" t="n"/>
      <c r="H294" s="280" t="n"/>
      <c r="I294" s="332">
        <f>IFERROR(VLOOKUP(TEXT(H294,"0"),IPRESS!$A$3:$B$212,2,0),"")</f>
        <v/>
      </c>
      <c r="J294" s="280" t="n"/>
      <c r="K294" s="332">
        <f>IFERROR(VLOOKUP(TEXT(O294,"0"),CONDUCTORES!$A$3:$G$54,7,0),"")</f>
        <v/>
      </c>
      <c r="L294" s="280" t="n"/>
      <c r="M294" s="280" t="n"/>
      <c r="N294" s="333">
        <f>IFERROR(IF(L294*M294=0,"",L294*M294),"")</f>
        <v/>
      </c>
      <c r="O294" s="280" t="n"/>
      <c r="P294" s="332">
        <f>IFERROR(VLOOKUP(TEXT(O294,"0"),CONDUCTORES!$A$3:$G$54,2,0),"")</f>
        <v/>
      </c>
      <c r="Q294" s="332">
        <f>IFERROR(VLOOKUP(TEXT(O294,"0"),CONDUCTORES!$A$3:$H$54,6,0),"")</f>
        <v/>
      </c>
      <c r="R294" s="280" t="n"/>
      <c r="S294" s="280" t="n"/>
      <c r="T294" s="280" t="n"/>
      <c r="U294" s="280" t="n"/>
      <c r="V294" s="280" t="n"/>
      <c r="W294" s="280" t="n"/>
      <c r="X294" s="280" t="n"/>
      <c r="Y294" s="280" t="n"/>
    </row>
    <row r="295" ht="15" customHeight="1" s="195">
      <c r="A295" s="334" t="n"/>
      <c r="B295" s="334" t="n"/>
      <c r="C295" s="334" t="n"/>
      <c r="D295" s="334" t="n"/>
      <c r="E295" s="334" t="n"/>
      <c r="F295" s="334" t="n"/>
      <c r="G295" s="334" t="n"/>
      <c r="H295" s="334" t="n"/>
      <c r="I295" s="332">
        <f>IFERROR(VLOOKUP(TEXT(H295,"0"),IPRESS!$A$3:$B$212,2,0),"")</f>
        <v/>
      </c>
      <c r="J295" s="334" t="n"/>
      <c r="K295" s="332">
        <f>IFERROR(VLOOKUP(TEXT(O295,"0"),CONDUCTORES!$A$3:$G$54,7,0),"")</f>
        <v/>
      </c>
      <c r="L295" s="334" t="n"/>
      <c r="M295" s="334" t="n"/>
      <c r="N295" s="333">
        <f>IFERROR(IF(L295*M295=0,"",L295*M295),"")</f>
        <v/>
      </c>
      <c r="O295" s="334" t="n"/>
      <c r="P295" s="332">
        <f>IFERROR(VLOOKUP(TEXT(O295,"0"),CONDUCTORES!$A$3:$G$54,2,0),"")</f>
        <v/>
      </c>
      <c r="Q295" s="332">
        <f>IFERROR(VLOOKUP(TEXT(O295,"0"),CONDUCTORES!$A$3:$H$54,6,0),"")</f>
        <v/>
      </c>
      <c r="R295" s="334" t="n"/>
      <c r="S295" s="334" t="n"/>
      <c r="T295" s="334" t="n"/>
      <c r="U295" s="334" t="n"/>
      <c r="V295" s="334" t="n"/>
      <c r="W295" s="334" t="n"/>
      <c r="X295" s="334" t="n"/>
      <c r="Y295" s="334" t="n"/>
    </row>
    <row r="296" ht="15" customHeight="1" s="195">
      <c r="A296" s="280" t="n"/>
      <c r="B296" s="280" t="n"/>
      <c r="C296" s="280" t="n"/>
      <c r="D296" s="280" t="n"/>
      <c r="E296" s="280" t="n"/>
      <c r="F296" s="280" t="n"/>
      <c r="G296" s="280" t="n"/>
      <c r="H296" s="280" t="n"/>
      <c r="I296" s="332">
        <f>IFERROR(VLOOKUP(TEXT(H296,"0"),IPRESS!$A$3:$B$212,2,0),"")</f>
        <v/>
      </c>
      <c r="J296" s="280" t="n"/>
      <c r="K296" s="332">
        <f>IFERROR(VLOOKUP(TEXT(O296,"0"),CONDUCTORES!$A$3:$G$54,7,0),"")</f>
        <v/>
      </c>
      <c r="L296" s="280" t="n"/>
      <c r="M296" s="280" t="n"/>
      <c r="N296" s="333">
        <f>IFERROR(IF(L296*M296=0,"",L296*M296),"")</f>
        <v/>
      </c>
      <c r="O296" s="280" t="n"/>
      <c r="P296" s="332">
        <f>IFERROR(VLOOKUP(TEXT(O296,"0"),CONDUCTORES!$A$3:$G$54,2,0),"")</f>
        <v/>
      </c>
      <c r="Q296" s="332">
        <f>IFERROR(VLOOKUP(TEXT(O296,"0"),CONDUCTORES!$A$3:$H$54,6,0),"")</f>
        <v/>
      </c>
      <c r="R296" s="280" t="n"/>
      <c r="S296" s="280" t="n"/>
      <c r="T296" s="280" t="n"/>
      <c r="U296" s="280" t="n"/>
      <c r="V296" s="280" t="n"/>
      <c r="W296" s="280" t="n"/>
      <c r="X296" s="280" t="n"/>
      <c r="Y296" s="280" t="n"/>
    </row>
    <row r="297" ht="15" customHeight="1" s="195">
      <c r="A297" s="334" t="n"/>
      <c r="B297" s="334" t="n"/>
      <c r="C297" s="334" t="n"/>
      <c r="D297" s="334" t="n"/>
      <c r="E297" s="334" t="n"/>
      <c r="F297" s="334" t="n"/>
      <c r="G297" s="334" t="n"/>
      <c r="H297" s="334" t="n"/>
      <c r="I297" s="332">
        <f>IFERROR(VLOOKUP(TEXT(H297,"0"),IPRESS!$A$3:$B$212,2,0),"")</f>
        <v/>
      </c>
      <c r="J297" s="334" t="n"/>
      <c r="K297" s="332">
        <f>IFERROR(VLOOKUP(TEXT(O297,"0"),CONDUCTORES!$A$3:$G$54,7,0),"")</f>
        <v/>
      </c>
      <c r="L297" s="334" t="n"/>
      <c r="M297" s="334" t="n"/>
      <c r="N297" s="333">
        <f>IFERROR(IF(L297*M297=0,"",L297*M297),"")</f>
        <v/>
      </c>
      <c r="O297" s="334" t="n"/>
      <c r="P297" s="332">
        <f>IFERROR(VLOOKUP(TEXT(O297,"0"),CONDUCTORES!$A$3:$G$54,2,0),"")</f>
        <v/>
      </c>
      <c r="Q297" s="332">
        <f>IFERROR(VLOOKUP(TEXT(O297,"0"),CONDUCTORES!$A$3:$H$54,6,0),"")</f>
        <v/>
      </c>
      <c r="R297" s="334" t="n"/>
      <c r="S297" s="334" t="n"/>
      <c r="T297" s="334" t="n"/>
      <c r="U297" s="334" t="n"/>
      <c r="V297" s="334" t="n"/>
      <c r="W297" s="334" t="n"/>
      <c r="X297" s="334" t="n"/>
      <c r="Y297" s="334" t="n"/>
    </row>
    <row r="298" ht="15" customHeight="1" s="195">
      <c r="A298" s="280" t="n"/>
      <c r="B298" s="280" t="n"/>
      <c r="C298" s="280" t="n"/>
      <c r="D298" s="280" t="n"/>
      <c r="E298" s="280" t="n"/>
      <c r="F298" s="280" t="n"/>
      <c r="G298" s="280" t="n"/>
      <c r="H298" s="280" t="n"/>
      <c r="I298" s="332">
        <f>IFERROR(VLOOKUP(TEXT(H298,"0"),IPRESS!$A$3:$B$212,2,0),"")</f>
        <v/>
      </c>
      <c r="J298" s="280" t="n"/>
      <c r="K298" s="332">
        <f>IFERROR(VLOOKUP(TEXT(O298,"0"),CONDUCTORES!$A$3:$G$54,7,0),"")</f>
        <v/>
      </c>
      <c r="L298" s="280" t="n"/>
      <c r="M298" s="280" t="n"/>
      <c r="N298" s="333">
        <f>IFERROR(IF(L298*M298=0,"",L298*M298),"")</f>
        <v/>
      </c>
      <c r="O298" s="280" t="n"/>
      <c r="P298" s="332">
        <f>IFERROR(VLOOKUP(TEXT(O298,"0"),CONDUCTORES!$A$3:$G$54,2,0),"")</f>
        <v/>
      </c>
      <c r="Q298" s="332">
        <f>IFERROR(VLOOKUP(TEXT(O298,"0"),CONDUCTORES!$A$3:$H$54,6,0),"")</f>
        <v/>
      </c>
      <c r="R298" s="280" t="n"/>
      <c r="S298" s="280" t="n"/>
      <c r="T298" s="280" t="n"/>
      <c r="U298" s="280" t="n"/>
      <c r="V298" s="280" t="n"/>
      <c r="W298" s="280" t="n"/>
      <c r="X298" s="280" t="n"/>
      <c r="Y298" s="280" t="n"/>
    </row>
    <row r="299" ht="15" customHeight="1" s="195">
      <c r="A299" s="334" t="n"/>
      <c r="B299" s="334" t="n"/>
      <c r="C299" s="334" t="n"/>
      <c r="D299" s="334" t="n"/>
      <c r="E299" s="334" t="n"/>
      <c r="F299" s="334" t="n"/>
      <c r="G299" s="334" t="n"/>
      <c r="H299" s="334" t="n"/>
      <c r="I299" s="332">
        <f>IFERROR(VLOOKUP(TEXT(H299,"0"),IPRESS!$A$3:$B$212,2,0),"")</f>
        <v/>
      </c>
      <c r="J299" s="334" t="n"/>
      <c r="K299" s="332">
        <f>IFERROR(VLOOKUP(TEXT(O299,"0"),CONDUCTORES!$A$3:$G$54,7,0),"")</f>
        <v/>
      </c>
      <c r="L299" s="334" t="n"/>
      <c r="M299" s="334" t="n"/>
      <c r="N299" s="333">
        <f>IFERROR(IF(L299*M299=0,"",L299*M299),"")</f>
        <v/>
      </c>
      <c r="O299" s="334" t="n"/>
      <c r="P299" s="332">
        <f>IFERROR(VLOOKUP(TEXT(O299,"0"),CONDUCTORES!$A$3:$G$54,2,0),"")</f>
        <v/>
      </c>
      <c r="Q299" s="332">
        <f>IFERROR(VLOOKUP(TEXT(O299,"0"),CONDUCTORES!$A$3:$H$54,6,0),"")</f>
        <v/>
      </c>
      <c r="R299" s="334" t="n"/>
      <c r="S299" s="334" t="n"/>
      <c r="T299" s="334" t="n"/>
      <c r="U299" s="334" t="n"/>
      <c r="V299" s="334" t="n"/>
      <c r="W299" s="334" t="n"/>
      <c r="X299" s="334" t="n"/>
      <c r="Y299" s="334" t="n"/>
    </row>
    <row r="300" ht="15" customHeight="1" s="195">
      <c r="A300" s="280" t="n"/>
      <c r="B300" s="280" t="n"/>
      <c r="C300" s="280" t="n"/>
      <c r="D300" s="280" t="n"/>
      <c r="E300" s="280" t="n"/>
      <c r="F300" s="280" t="n"/>
      <c r="G300" s="280" t="n"/>
      <c r="H300" s="280" t="n"/>
      <c r="I300" s="332">
        <f>IFERROR(VLOOKUP(TEXT(H300,"0"),IPRESS!$A$3:$B$212,2,0),"")</f>
        <v/>
      </c>
      <c r="J300" s="280" t="n"/>
      <c r="K300" s="332">
        <f>IFERROR(VLOOKUP(TEXT(O300,"0"),CONDUCTORES!$A$3:$G$54,7,0),"")</f>
        <v/>
      </c>
      <c r="L300" s="280" t="n"/>
      <c r="M300" s="280" t="n"/>
      <c r="N300" s="333">
        <f>IFERROR(IF(L300*M300=0,"",L300*M300),"")</f>
        <v/>
      </c>
      <c r="O300" s="280" t="n"/>
      <c r="P300" s="332">
        <f>IFERROR(VLOOKUP(TEXT(O300,"0"),CONDUCTORES!$A$3:$G$54,2,0),"")</f>
        <v/>
      </c>
      <c r="Q300" s="332">
        <f>IFERROR(VLOOKUP(TEXT(O300,"0"),CONDUCTORES!$A$3:$H$54,6,0),"")</f>
        <v/>
      </c>
      <c r="R300" s="280" t="n"/>
      <c r="S300" s="280" t="n"/>
      <c r="T300" s="280" t="n"/>
      <c r="U300" s="280" t="n"/>
      <c r="V300" s="280" t="n"/>
      <c r="W300" s="280" t="n"/>
      <c r="X300" s="280" t="n"/>
      <c r="Y300" s="280" t="n"/>
    </row>
    <row r="301" ht="15" customHeight="1" s="195">
      <c r="A301" s="334" t="n"/>
      <c r="B301" s="334" t="n"/>
      <c r="C301" s="334" t="n"/>
      <c r="D301" s="334" t="n"/>
      <c r="E301" s="334" t="n"/>
      <c r="F301" s="334" t="n"/>
      <c r="G301" s="334" t="n"/>
      <c r="H301" s="334" t="n"/>
      <c r="I301" s="332">
        <f>IFERROR(VLOOKUP(TEXT(H301,"0"),IPRESS!$A$3:$B$212,2,0),"")</f>
        <v/>
      </c>
      <c r="J301" s="334" t="n"/>
      <c r="K301" s="332">
        <f>IFERROR(VLOOKUP(TEXT(O301,"0"),CONDUCTORES!$A$3:$G$54,7,0),"")</f>
        <v/>
      </c>
      <c r="L301" s="334" t="n"/>
      <c r="M301" s="334" t="n"/>
      <c r="N301" s="333">
        <f>IFERROR(IF(L301*M301=0,"",L301*M301),"")</f>
        <v/>
      </c>
      <c r="O301" s="334" t="n"/>
      <c r="P301" s="332">
        <f>IFERROR(VLOOKUP(TEXT(O301,"0"),CONDUCTORES!$A$3:$G$54,2,0),"")</f>
        <v/>
      </c>
      <c r="Q301" s="332">
        <f>IFERROR(VLOOKUP(TEXT(O301,"0"),CONDUCTORES!$A$3:$H$54,6,0),"")</f>
        <v/>
      </c>
      <c r="R301" s="334" t="n"/>
      <c r="S301" s="334" t="n"/>
      <c r="T301" s="334" t="n"/>
      <c r="U301" s="334" t="n"/>
      <c r="V301" s="334" t="n"/>
      <c r="W301" s="334" t="n"/>
      <c r="X301" s="334" t="n"/>
      <c r="Y301" s="334" t="n"/>
    </row>
    <row r="302" ht="15" customHeight="1" s="195">
      <c r="A302" s="280" t="n"/>
      <c r="B302" s="280" t="n"/>
      <c r="C302" s="280" t="n"/>
      <c r="D302" s="280" t="n"/>
      <c r="E302" s="280" t="n"/>
      <c r="F302" s="280" t="n"/>
      <c r="G302" s="280" t="n"/>
      <c r="H302" s="280" t="n"/>
      <c r="I302" s="332">
        <f>IFERROR(VLOOKUP(TEXT(H302,"0"),IPRESS!$A$3:$B$212,2,0),"")</f>
        <v/>
      </c>
      <c r="J302" s="280" t="n"/>
      <c r="K302" s="332">
        <f>IFERROR(VLOOKUP(TEXT(O302,"0"),CONDUCTORES!$A$3:$G$54,7,0),"")</f>
        <v/>
      </c>
      <c r="L302" s="280" t="n"/>
      <c r="M302" s="280" t="n"/>
      <c r="N302" s="333">
        <f>IFERROR(IF(L302*M302=0,"",L302*M302),"")</f>
        <v/>
      </c>
      <c r="O302" s="280" t="n"/>
      <c r="P302" s="332">
        <f>IFERROR(VLOOKUP(TEXT(O302,"0"),CONDUCTORES!$A$3:$G$54,2,0),"")</f>
        <v/>
      </c>
      <c r="Q302" s="332">
        <f>IFERROR(VLOOKUP(TEXT(O302,"0"),CONDUCTORES!$A$3:$H$54,6,0),"")</f>
        <v/>
      </c>
      <c r="R302" s="280" t="n"/>
      <c r="S302" s="280" t="n"/>
      <c r="T302" s="280" t="n"/>
      <c r="U302" s="280" t="n"/>
      <c r="V302" s="280" t="n"/>
      <c r="W302" s="280" t="n"/>
      <c r="X302" s="280" t="n"/>
      <c r="Y302" s="280" t="n"/>
    </row>
    <row r="303" ht="15" customHeight="1" s="195">
      <c r="A303" s="334" t="n"/>
      <c r="B303" s="334" t="n"/>
      <c r="C303" s="334" t="n"/>
      <c r="D303" s="334" t="n"/>
      <c r="E303" s="334" t="n"/>
      <c r="F303" s="334" t="n"/>
      <c r="G303" s="334" t="n"/>
      <c r="H303" s="334" t="n"/>
      <c r="I303" s="332">
        <f>IFERROR(VLOOKUP(TEXT(H303,"0"),IPRESS!$A$3:$B$212,2,0),"")</f>
        <v/>
      </c>
      <c r="J303" s="334" t="n"/>
      <c r="K303" s="332">
        <f>IFERROR(VLOOKUP(TEXT(O303,"0"),CONDUCTORES!$A$3:$G$54,7,0),"")</f>
        <v/>
      </c>
      <c r="L303" s="334" t="n"/>
      <c r="M303" s="334" t="n"/>
      <c r="N303" s="333">
        <f>IFERROR(IF(L303*M303=0,"",L303*M303),"")</f>
        <v/>
      </c>
      <c r="O303" s="334" t="n"/>
      <c r="P303" s="332">
        <f>IFERROR(VLOOKUP(TEXT(O303,"0"),CONDUCTORES!$A$3:$G$54,2,0),"")</f>
        <v/>
      </c>
      <c r="Q303" s="332">
        <f>IFERROR(VLOOKUP(TEXT(O303,"0"),CONDUCTORES!$A$3:$H$54,6,0),"")</f>
        <v/>
      </c>
      <c r="R303" s="334" t="n"/>
      <c r="S303" s="334" t="n"/>
      <c r="T303" s="334" t="n"/>
      <c r="U303" s="334" t="n"/>
      <c r="V303" s="334" t="n"/>
      <c r="W303" s="334" t="n"/>
      <c r="X303" s="334" t="n"/>
      <c r="Y303" s="334" t="n"/>
    </row>
    <row r="304" ht="15" customHeight="1" s="195">
      <c r="A304" s="280" t="n"/>
      <c r="B304" s="280" t="n"/>
      <c r="C304" s="280" t="n"/>
      <c r="D304" s="280" t="n"/>
      <c r="E304" s="280" t="n"/>
      <c r="F304" s="280" t="n"/>
      <c r="G304" s="280" t="n"/>
      <c r="H304" s="280" t="n"/>
      <c r="I304" s="332">
        <f>IFERROR(VLOOKUP(TEXT(H304,"0"),IPRESS!$A$3:$B$212,2,0),"")</f>
        <v/>
      </c>
      <c r="J304" s="280" t="n"/>
      <c r="K304" s="332">
        <f>IFERROR(VLOOKUP(TEXT(O304,"0"),CONDUCTORES!$A$3:$G$54,7,0),"")</f>
        <v/>
      </c>
      <c r="L304" s="280" t="n"/>
      <c r="M304" s="280" t="n"/>
      <c r="N304" s="333">
        <f>IFERROR(IF(L304*M304=0,"",L304*M304),"")</f>
        <v/>
      </c>
      <c r="O304" s="280" t="n"/>
      <c r="P304" s="332">
        <f>IFERROR(VLOOKUP(TEXT(O304,"0"),CONDUCTORES!$A$3:$G$54,2,0),"")</f>
        <v/>
      </c>
      <c r="Q304" s="332">
        <f>IFERROR(VLOOKUP(TEXT(O304,"0"),CONDUCTORES!$A$3:$H$54,6,0),"")</f>
        <v/>
      </c>
      <c r="R304" s="280" t="n"/>
      <c r="S304" s="280" t="n"/>
      <c r="T304" s="280" t="n"/>
      <c r="U304" s="280" t="n"/>
      <c r="V304" s="280" t="n"/>
      <c r="W304" s="280" t="n"/>
      <c r="X304" s="280" t="n"/>
      <c r="Y304" s="280" t="n"/>
    </row>
    <row r="305" ht="15" customHeight="1" s="195">
      <c r="A305" s="334" t="n"/>
      <c r="B305" s="334" t="n"/>
      <c r="C305" s="334" t="n"/>
      <c r="D305" s="334" t="n"/>
      <c r="E305" s="334" t="n"/>
      <c r="F305" s="334" t="n"/>
      <c r="G305" s="334" t="n"/>
      <c r="H305" s="334" t="n"/>
      <c r="I305" s="332">
        <f>IFERROR(VLOOKUP(TEXT(H305,"0"),IPRESS!$A$3:$B$212,2,0),"")</f>
        <v/>
      </c>
      <c r="J305" s="334" t="n"/>
      <c r="K305" s="332">
        <f>IFERROR(VLOOKUP(TEXT(O305,"0"),CONDUCTORES!$A$3:$G$54,7,0),"")</f>
        <v/>
      </c>
      <c r="L305" s="334" t="n"/>
      <c r="M305" s="334" t="n"/>
      <c r="N305" s="333">
        <f>IFERROR(IF(L305*M305=0,"",L305*M305),"")</f>
        <v/>
      </c>
      <c r="O305" s="334" t="n"/>
      <c r="P305" s="332">
        <f>IFERROR(VLOOKUP(TEXT(O305,"0"),CONDUCTORES!$A$3:$G$54,2,0),"")</f>
        <v/>
      </c>
      <c r="Q305" s="332">
        <f>IFERROR(VLOOKUP(TEXT(O305,"0"),CONDUCTORES!$A$3:$H$54,6,0),"")</f>
        <v/>
      </c>
      <c r="R305" s="334" t="n"/>
      <c r="S305" s="334" t="n"/>
      <c r="T305" s="334" t="n"/>
      <c r="U305" s="334" t="n"/>
      <c r="V305" s="334" t="n"/>
      <c r="W305" s="334" t="n"/>
      <c r="X305" s="334" t="n"/>
      <c r="Y305" s="334" t="n"/>
    </row>
    <row r="306" ht="15" customHeight="1" s="195">
      <c r="A306" s="280" t="n"/>
      <c r="B306" s="280" t="n"/>
      <c r="C306" s="280" t="n"/>
      <c r="D306" s="280" t="n"/>
      <c r="E306" s="280" t="n"/>
      <c r="F306" s="280" t="n"/>
      <c r="G306" s="280" t="n"/>
      <c r="H306" s="280" t="n"/>
      <c r="I306" s="332">
        <f>IFERROR(VLOOKUP(TEXT(H306,"0"),IPRESS!$A$3:$B$212,2,0),"")</f>
        <v/>
      </c>
      <c r="J306" s="280" t="n"/>
      <c r="K306" s="332">
        <f>IFERROR(VLOOKUP(TEXT(O306,"0"),CONDUCTORES!$A$3:$G$54,7,0),"")</f>
        <v/>
      </c>
      <c r="L306" s="280" t="n"/>
      <c r="M306" s="280" t="n"/>
      <c r="N306" s="333">
        <f>IFERROR(IF(L306*M306=0,"",L306*M306),"")</f>
        <v/>
      </c>
      <c r="O306" s="280" t="n"/>
      <c r="P306" s="332">
        <f>IFERROR(VLOOKUP(TEXT(O306,"0"),CONDUCTORES!$A$3:$G$54,2,0),"")</f>
        <v/>
      </c>
      <c r="Q306" s="332">
        <f>IFERROR(VLOOKUP(TEXT(O306,"0"),CONDUCTORES!$A$3:$H$54,6,0),"")</f>
        <v/>
      </c>
      <c r="R306" s="280" t="n"/>
      <c r="S306" s="280" t="n"/>
      <c r="T306" s="280" t="n"/>
      <c r="U306" s="280" t="n"/>
      <c r="V306" s="280" t="n"/>
      <c r="W306" s="280" t="n"/>
      <c r="X306" s="280" t="n"/>
      <c r="Y306" s="280" t="n"/>
    </row>
    <row r="307" ht="15" customHeight="1" s="195">
      <c r="A307" s="334" t="n"/>
      <c r="B307" s="334" t="n"/>
      <c r="C307" s="334" t="n"/>
      <c r="D307" s="334" t="n"/>
      <c r="E307" s="334" t="n"/>
      <c r="F307" s="334" t="n"/>
      <c r="G307" s="334" t="n"/>
      <c r="H307" s="334" t="n"/>
      <c r="I307" s="332">
        <f>IFERROR(VLOOKUP(TEXT(H307,"0"),IPRESS!$A$3:$B$212,2,0),"")</f>
        <v/>
      </c>
      <c r="J307" s="334" t="n"/>
      <c r="K307" s="332">
        <f>IFERROR(VLOOKUP(TEXT(O307,"0"),CONDUCTORES!$A$3:$G$54,7,0),"")</f>
        <v/>
      </c>
      <c r="L307" s="334" t="n"/>
      <c r="M307" s="334" t="n"/>
      <c r="N307" s="333">
        <f>IFERROR(IF(L307*M307=0,"",L307*M307),"")</f>
        <v/>
      </c>
      <c r="O307" s="334" t="n"/>
      <c r="P307" s="332">
        <f>IFERROR(VLOOKUP(TEXT(O307,"0"),CONDUCTORES!$A$3:$G$54,2,0),"")</f>
        <v/>
      </c>
      <c r="Q307" s="332">
        <f>IFERROR(VLOOKUP(TEXT(O307,"0"),CONDUCTORES!$A$3:$H$54,6,0),"")</f>
        <v/>
      </c>
      <c r="R307" s="334" t="n"/>
      <c r="S307" s="334" t="n"/>
      <c r="T307" s="334" t="n"/>
      <c r="U307" s="334" t="n"/>
      <c r="V307" s="334" t="n"/>
      <c r="W307" s="334" t="n"/>
      <c r="X307" s="334" t="n"/>
      <c r="Y307" s="334" t="n"/>
    </row>
    <row r="308" ht="15" customHeight="1" s="195">
      <c r="A308" s="280" t="n"/>
      <c r="B308" s="280" t="n"/>
      <c r="C308" s="280" t="n"/>
      <c r="D308" s="280" t="n"/>
      <c r="E308" s="280" t="n"/>
      <c r="F308" s="280" t="n"/>
      <c r="G308" s="280" t="n"/>
      <c r="H308" s="280" t="n"/>
      <c r="I308" s="332">
        <f>IFERROR(VLOOKUP(TEXT(H308,"0"),IPRESS!$A$3:$B$212,2,0),"")</f>
        <v/>
      </c>
      <c r="J308" s="280" t="n"/>
      <c r="K308" s="332">
        <f>IFERROR(VLOOKUP(TEXT(O308,"0"),CONDUCTORES!$A$3:$G$54,7,0),"")</f>
        <v/>
      </c>
      <c r="L308" s="280" t="n"/>
      <c r="M308" s="280" t="n"/>
      <c r="N308" s="333">
        <f>IFERROR(IF(L308*M308=0,"",L308*M308),"")</f>
        <v/>
      </c>
      <c r="O308" s="280" t="n"/>
      <c r="P308" s="332">
        <f>IFERROR(VLOOKUP(TEXT(O308,"0"),CONDUCTORES!$A$3:$G$54,2,0),"")</f>
        <v/>
      </c>
      <c r="Q308" s="332">
        <f>IFERROR(VLOOKUP(TEXT(O308,"0"),CONDUCTORES!$A$3:$H$54,6,0),"")</f>
        <v/>
      </c>
      <c r="R308" s="280" t="n"/>
      <c r="S308" s="280" t="n"/>
      <c r="T308" s="280" t="n"/>
      <c r="U308" s="280" t="n"/>
      <c r="V308" s="280" t="n"/>
      <c r="W308" s="280" t="n"/>
      <c r="X308" s="280" t="n"/>
      <c r="Y308" s="280" t="n"/>
    </row>
    <row r="309" ht="15" customHeight="1" s="195">
      <c r="A309" s="334" t="n"/>
      <c r="B309" s="334" t="n"/>
      <c r="C309" s="334" t="n"/>
      <c r="D309" s="334" t="n"/>
      <c r="E309" s="334" t="n"/>
      <c r="F309" s="334" t="n"/>
      <c r="G309" s="334" t="n"/>
      <c r="H309" s="334" t="n"/>
      <c r="I309" s="332">
        <f>IFERROR(VLOOKUP(TEXT(H309,"0"),IPRESS!$A$3:$B$212,2,0),"")</f>
        <v/>
      </c>
      <c r="J309" s="334" t="n"/>
      <c r="K309" s="332">
        <f>IFERROR(VLOOKUP(TEXT(O309,"0"),CONDUCTORES!$A$3:$G$54,7,0),"")</f>
        <v/>
      </c>
      <c r="L309" s="334" t="n"/>
      <c r="M309" s="334" t="n"/>
      <c r="N309" s="333">
        <f>IFERROR(IF(L309*M309=0,"",L309*M309),"")</f>
        <v/>
      </c>
      <c r="O309" s="334" t="n"/>
      <c r="P309" s="332">
        <f>IFERROR(VLOOKUP(TEXT(O309,"0"),CONDUCTORES!$A$3:$G$54,2,0),"")</f>
        <v/>
      </c>
      <c r="Q309" s="332">
        <f>IFERROR(VLOOKUP(TEXT(O309,"0"),CONDUCTORES!$A$3:$H$54,6,0),"")</f>
        <v/>
      </c>
      <c r="R309" s="334" t="n"/>
      <c r="S309" s="334" t="n"/>
      <c r="T309" s="334" t="n"/>
      <c r="U309" s="334" t="n"/>
      <c r="V309" s="334" t="n"/>
      <c r="W309" s="334" t="n"/>
      <c r="X309" s="334" t="n"/>
      <c r="Y309" s="334" t="n"/>
    </row>
    <row r="310" ht="15" customHeight="1" s="195">
      <c r="A310" s="280" t="n"/>
      <c r="B310" s="280" t="n"/>
      <c r="C310" s="280" t="n"/>
      <c r="D310" s="280" t="n"/>
      <c r="E310" s="280" t="n"/>
      <c r="F310" s="280" t="n"/>
      <c r="G310" s="280" t="n"/>
      <c r="H310" s="280" t="n"/>
      <c r="I310" s="332">
        <f>IFERROR(VLOOKUP(TEXT(H310,"0"),IPRESS!$A$3:$B$212,2,0),"")</f>
        <v/>
      </c>
      <c r="J310" s="280" t="n"/>
      <c r="K310" s="332">
        <f>IFERROR(VLOOKUP(TEXT(O310,"0"),CONDUCTORES!$A$3:$G$54,7,0),"")</f>
        <v/>
      </c>
      <c r="L310" s="280" t="n"/>
      <c r="M310" s="280" t="n"/>
      <c r="N310" s="333">
        <f>IFERROR(IF(L310*M310=0,"",L310*M310),"")</f>
        <v/>
      </c>
      <c r="O310" s="280" t="n"/>
      <c r="P310" s="332">
        <f>IFERROR(VLOOKUP(TEXT(O310,"0"),CONDUCTORES!$A$3:$G$54,2,0),"")</f>
        <v/>
      </c>
      <c r="Q310" s="332">
        <f>IFERROR(VLOOKUP(TEXT(O310,"0"),CONDUCTORES!$A$3:$H$54,6,0),"")</f>
        <v/>
      </c>
      <c r="R310" s="280" t="n"/>
      <c r="S310" s="280" t="n"/>
      <c r="T310" s="280" t="n"/>
      <c r="U310" s="280" t="n"/>
      <c r="V310" s="280" t="n"/>
      <c r="W310" s="280" t="n"/>
      <c r="X310" s="280" t="n"/>
      <c r="Y310" s="280" t="n"/>
    </row>
    <row r="311" ht="15" customHeight="1" s="195">
      <c r="A311" s="334" t="n"/>
      <c r="B311" s="334" t="n"/>
      <c r="C311" s="334" t="n"/>
      <c r="D311" s="334" t="n"/>
      <c r="E311" s="334" t="n"/>
      <c r="F311" s="334" t="n"/>
      <c r="G311" s="334" t="n"/>
      <c r="H311" s="334" t="n"/>
      <c r="I311" s="332">
        <f>IFERROR(VLOOKUP(TEXT(H311,"0"),IPRESS!$A$3:$B$212,2,0),"")</f>
        <v/>
      </c>
      <c r="J311" s="334" t="n"/>
      <c r="K311" s="332">
        <f>IFERROR(VLOOKUP(TEXT(O311,"0"),CONDUCTORES!$A$3:$G$54,7,0),"")</f>
        <v/>
      </c>
      <c r="L311" s="334" t="n"/>
      <c r="M311" s="334" t="n"/>
      <c r="N311" s="333">
        <f>IFERROR(IF(L311*M311=0,"",L311*M311),"")</f>
        <v/>
      </c>
      <c r="O311" s="334" t="n"/>
      <c r="P311" s="332">
        <f>IFERROR(VLOOKUP(TEXT(O311,"0"),CONDUCTORES!$A$3:$G$54,2,0),"")</f>
        <v/>
      </c>
      <c r="Q311" s="332">
        <f>IFERROR(VLOOKUP(TEXT(O311,"0"),CONDUCTORES!$A$3:$H$54,6,0),"")</f>
        <v/>
      </c>
      <c r="R311" s="334" t="n"/>
      <c r="S311" s="334" t="n"/>
      <c r="T311" s="334" t="n"/>
      <c r="U311" s="334" t="n"/>
      <c r="V311" s="334" t="n"/>
      <c r="W311" s="334" t="n"/>
      <c r="X311" s="334" t="n"/>
      <c r="Y311" s="334" t="n"/>
    </row>
    <row r="312" ht="15" customHeight="1" s="195">
      <c r="A312" s="280" t="n"/>
      <c r="B312" s="280" t="n"/>
      <c r="C312" s="280" t="n"/>
      <c r="D312" s="280" t="n"/>
      <c r="E312" s="280" t="n"/>
      <c r="F312" s="280" t="n"/>
      <c r="G312" s="280" t="n"/>
      <c r="H312" s="280" t="n"/>
      <c r="I312" s="332">
        <f>IFERROR(VLOOKUP(TEXT(H312,"0"),IPRESS!$A$3:$B$212,2,0),"")</f>
        <v/>
      </c>
      <c r="J312" s="280" t="n"/>
      <c r="K312" s="332">
        <f>IFERROR(VLOOKUP(TEXT(O312,"0"),CONDUCTORES!$A$3:$G$54,7,0),"")</f>
        <v/>
      </c>
      <c r="L312" s="280" t="n"/>
      <c r="M312" s="280" t="n"/>
      <c r="N312" s="333">
        <f>IFERROR(IF(L312*M312=0,"",L312*M312),"")</f>
        <v/>
      </c>
      <c r="O312" s="280" t="n"/>
      <c r="P312" s="332">
        <f>IFERROR(VLOOKUP(TEXT(O312,"0"),CONDUCTORES!$A$3:$G$54,2,0),"")</f>
        <v/>
      </c>
      <c r="Q312" s="332">
        <f>IFERROR(VLOOKUP(TEXT(O312,"0"),CONDUCTORES!$A$3:$H$54,6,0),"")</f>
        <v/>
      </c>
      <c r="R312" s="280" t="n"/>
      <c r="S312" s="280" t="n"/>
      <c r="T312" s="280" t="n"/>
      <c r="U312" s="280" t="n"/>
      <c r="V312" s="280" t="n"/>
      <c r="W312" s="280" t="n"/>
      <c r="X312" s="280" t="n"/>
      <c r="Y312" s="280" t="n"/>
    </row>
    <row r="313" ht="15" customHeight="1" s="195">
      <c r="A313" s="334" t="n"/>
      <c r="B313" s="334" t="n"/>
      <c r="C313" s="334" t="n"/>
      <c r="D313" s="334" t="n"/>
      <c r="E313" s="334" t="n"/>
      <c r="F313" s="334" t="n"/>
      <c r="G313" s="334" t="n"/>
      <c r="H313" s="334" t="n"/>
      <c r="I313" s="332">
        <f>IFERROR(VLOOKUP(TEXT(H313,"0"),IPRESS!$A$3:$B$212,2,0),"")</f>
        <v/>
      </c>
      <c r="J313" s="334" t="n"/>
      <c r="K313" s="332">
        <f>IFERROR(VLOOKUP(TEXT(O313,"0"),CONDUCTORES!$A$3:$G$54,7,0),"")</f>
        <v/>
      </c>
      <c r="L313" s="334" t="n"/>
      <c r="M313" s="334" t="n"/>
      <c r="N313" s="333">
        <f>IFERROR(IF(L313*M313=0,"",L313*M313),"")</f>
        <v/>
      </c>
      <c r="O313" s="334" t="n"/>
      <c r="P313" s="332">
        <f>IFERROR(VLOOKUP(TEXT(O313,"0"),CONDUCTORES!$A$3:$G$54,2,0),"")</f>
        <v/>
      </c>
      <c r="Q313" s="332">
        <f>IFERROR(VLOOKUP(TEXT(O313,"0"),CONDUCTORES!$A$3:$H$54,6,0),"")</f>
        <v/>
      </c>
      <c r="R313" s="334" t="n"/>
      <c r="S313" s="334" t="n"/>
      <c r="T313" s="334" t="n"/>
      <c r="U313" s="334" t="n"/>
      <c r="V313" s="334" t="n"/>
      <c r="W313" s="334" t="n"/>
      <c r="X313" s="334" t="n"/>
      <c r="Y313" s="334" t="n"/>
    </row>
    <row r="314" ht="15" customHeight="1" s="195">
      <c r="A314" s="280" t="n"/>
      <c r="B314" s="280" t="n"/>
      <c r="C314" s="280" t="n"/>
      <c r="D314" s="280" t="n"/>
      <c r="E314" s="280" t="n"/>
      <c r="F314" s="280" t="n"/>
      <c r="G314" s="280" t="n"/>
      <c r="H314" s="280" t="n"/>
      <c r="I314" s="332">
        <f>IFERROR(VLOOKUP(TEXT(H314,"0"),IPRESS!$A$3:$B$212,2,0),"")</f>
        <v/>
      </c>
      <c r="J314" s="280" t="n"/>
      <c r="K314" s="332">
        <f>IFERROR(VLOOKUP(TEXT(O314,"0"),CONDUCTORES!$A$3:$G$54,7,0),"")</f>
        <v/>
      </c>
      <c r="L314" s="280" t="n"/>
      <c r="M314" s="280" t="n"/>
      <c r="N314" s="333">
        <f>IFERROR(IF(L314*M314=0,"",L314*M314),"")</f>
        <v/>
      </c>
      <c r="O314" s="280" t="n"/>
      <c r="P314" s="332">
        <f>IFERROR(VLOOKUP(TEXT(O314,"0"),CONDUCTORES!$A$3:$G$54,2,0),"")</f>
        <v/>
      </c>
      <c r="Q314" s="332">
        <f>IFERROR(VLOOKUP(TEXT(O314,"0"),CONDUCTORES!$A$3:$H$54,6,0),"")</f>
        <v/>
      </c>
      <c r="R314" s="280" t="n"/>
      <c r="S314" s="280" t="n"/>
      <c r="T314" s="280" t="n"/>
      <c r="U314" s="280" t="n"/>
      <c r="V314" s="280" t="n"/>
      <c r="W314" s="280" t="n"/>
      <c r="X314" s="280" t="n"/>
      <c r="Y314" s="280" t="n"/>
    </row>
    <row r="315" ht="15" customHeight="1" s="195">
      <c r="A315" s="334" t="n"/>
      <c r="B315" s="334" t="n"/>
      <c r="C315" s="334" t="n"/>
      <c r="D315" s="334" t="n"/>
      <c r="E315" s="334" t="n"/>
      <c r="F315" s="334" t="n"/>
      <c r="G315" s="334" t="n"/>
      <c r="H315" s="334" t="n"/>
      <c r="I315" s="332">
        <f>IFERROR(VLOOKUP(TEXT(H315,"0"),IPRESS!$A$3:$B$212,2,0),"")</f>
        <v/>
      </c>
      <c r="J315" s="334" t="n"/>
      <c r="K315" s="332">
        <f>IFERROR(VLOOKUP(TEXT(O315,"0"),CONDUCTORES!$A$3:$G$54,7,0),"")</f>
        <v/>
      </c>
      <c r="L315" s="334" t="n"/>
      <c r="M315" s="334" t="n"/>
      <c r="N315" s="333">
        <f>IFERROR(IF(L315*M315=0,"",L315*M315),"")</f>
        <v/>
      </c>
      <c r="O315" s="334" t="n"/>
      <c r="P315" s="332">
        <f>IFERROR(VLOOKUP(TEXT(O315,"0"),CONDUCTORES!$A$3:$G$54,2,0),"")</f>
        <v/>
      </c>
      <c r="Q315" s="332">
        <f>IFERROR(VLOOKUP(TEXT(O315,"0"),CONDUCTORES!$A$3:$H$54,6,0),"")</f>
        <v/>
      </c>
      <c r="R315" s="334" t="n"/>
      <c r="S315" s="334" t="n"/>
      <c r="T315" s="334" t="n"/>
      <c r="U315" s="334" t="n"/>
      <c r="V315" s="334" t="n"/>
      <c r="W315" s="334" t="n"/>
      <c r="X315" s="334" t="n"/>
      <c r="Y315" s="334" t="n"/>
    </row>
    <row r="316" ht="15" customHeight="1" s="195">
      <c r="A316" s="280" t="n"/>
      <c r="B316" s="280" t="n"/>
      <c r="C316" s="280" t="n"/>
      <c r="D316" s="280" t="n"/>
      <c r="E316" s="280" t="n"/>
      <c r="F316" s="280" t="n"/>
      <c r="G316" s="280" t="n"/>
      <c r="H316" s="280" t="n"/>
      <c r="I316" s="332">
        <f>IFERROR(VLOOKUP(TEXT(H316,"0"),IPRESS!$A$3:$B$212,2,0),"")</f>
        <v/>
      </c>
      <c r="J316" s="280" t="n"/>
      <c r="K316" s="332">
        <f>IFERROR(VLOOKUP(TEXT(O316,"0"),CONDUCTORES!$A$3:$G$54,7,0),"")</f>
        <v/>
      </c>
      <c r="L316" s="280" t="n"/>
      <c r="M316" s="280" t="n"/>
      <c r="N316" s="333">
        <f>IFERROR(IF(L316*M316=0,"",L316*M316),"")</f>
        <v/>
      </c>
      <c r="O316" s="280" t="n"/>
      <c r="P316" s="332">
        <f>IFERROR(VLOOKUP(TEXT(O316,"0"),CONDUCTORES!$A$3:$G$54,2,0),"")</f>
        <v/>
      </c>
      <c r="Q316" s="332">
        <f>IFERROR(VLOOKUP(TEXT(O316,"0"),CONDUCTORES!$A$3:$H$54,6,0),"")</f>
        <v/>
      </c>
      <c r="R316" s="280" t="n"/>
      <c r="S316" s="280" t="n"/>
      <c r="T316" s="280" t="n"/>
      <c r="U316" s="280" t="n"/>
      <c r="V316" s="280" t="n"/>
      <c r="W316" s="280" t="n"/>
      <c r="X316" s="280" t="n"/>
      <c r="Y316" s="280" t="n"/>
    </row>
    <row r="317" ht="15" customHeight="1" s="195">
      <c r="A317" s="334" t="n"/>
      <c r="B317" s="334" t="n"/>
      <c r="C317" s="334" t="n"/>
      <c r="D317" s="334" t="n"/>
      <c r="E317" s="334" t="n"/>
      <c r="F317" s="334" t="n"/>
      <c r="G317" s="334" t="n"/>
      <c r="H317" s="334" t="n"/>
      <c r="I317" s="332">
        <f>IFERROR(VLOOKUP(TEXT(H317,"0"),IPRESS!$A$3:$B$212,2,0),"")</f>
        <v/>
      </c>
      <c r="J317" s="334" t="n"/>
      <c r="K317" s="332">
        <f>IFERROR(VLOOKUP(TEXT(O317,"0"),CONDUCTORES!$A$3:$G$54,7,0),"")</f>
        <v/>
      </c>
      <c r="L317" s="334" t="n"/>
      <c r="M317" s="334" t="n"/>
      <c r="N317" s="333">
        <f>IFERROR(IF(L317*M317=0,"",L317*M317),"")</f>
        <v/>
      </c>
      <c r="O317" s="334" t="n"/>
      <c r="P317" s="332">
        <f>IFERROR(VLOOKUP(TEXT(O317,"0"),CONDUCTORES!$A$3:$G$54,2,0),"")</f>
        <v/>
      </c>
      <c r="Q317" s="332">
        <f>IFERROR(VLOOKUP(TEXT(O317,"0"),CONDUCTORES!$A$3:$H$54,6,0),"")</f>
        <v/>
      </c>
      <c r="R317" s="334" t="n"/>
      <c r="S317" s="334" t="n"/>
      <c r="T317" s="334" t="n"/>
      <c r="U317" s="334" t="n"/>
      <c r="V317" s="334" t="n"/>
      <c r="W317" s="334" t="n"/>
      <c r="X317" s="334" t="n"/>
      <c r="Y317" s="334" t="n"/>
    </row>
    <row r="318" ht="15" customHeight="1" s="195">
      <c r="A318" s="280" t="n"/>
      <c r="B318" s="280" t="n"/>
      <c r="C318" s="280" t="n"/>
      <c r="D318" s="280" t="n"/>
      <c r="E318" s="280" t="n"/>
      <c r="F318" s="280" t="n"/>
      <c r="G318" s="280" t="n"/>
      <c r="H318" s="280" t="n"/>
      <c r="I318" s="332">
        <f>IFERROR(VLOOKUP(TEXT(H318,"0"),IPRESS!$A$3:$B$212,2,0),"")</f>
        <v/>
      </c>
      <c r="J318" s="280" t="n"/>
      <c r="K318" s="332">
        <f>IFERROR(VLOOKUP(TEXT(O318,"0"),CONDUCTORES!$A$3:$G$54,7,0),"")</f>
        <v/>
      </c>
      <c r="L318" s="280" t="n"/>
      <c r="M318" s="280" t="n"/>
      <c r="N318" s="333">
        <f>IFERROR(IF(L318*M318=0,"",L318*M318),"")</f>
        <v/>
      </c>
      <c r="O318" s="280" t="n"/>
      <c r="P318" s="332">
        <f>IFERROR(VLOOKUP(TEXT(O318,"0"),CONDUCTORES!$A$3:$G$54,2,0),"")</f>
        <v/>
      </c>
      <c r="Q318" s="332">
        <f>IFERROR(VLOOKUP(TEXT(O318,"0"),CONDUCTORES!$A$3:$H$54,6,0),"")</f>
        <v/>
      </c>
      <c r="R318" s="280" t="n"/>
      <c r="S318" s="280" t="n"/>
      <c r="T318" s="280" t="n"/>
      <c r="U318" s="280" t="n"/>
      <c r="V318" s="280" t="n"/>
      <c r="W318" s="280" t="n"/>
      <c r="X318" s="280" t="n"/>
      <c r="Y318" s="280" t="n"/>
    </row>
    <row r="319" ht="15" customHeight="1" s="195">
      <c r="A319" s="334" t="n"/>
      <c r="B319" s="334" t="n"/>
      <c r="C319" s="334" t="n"/>
      <c r="D319" s="334" t="n"/>
      <c r="E319" s="334" t="n"/>
      <c r="F319" s="334" t="n"/>
      <c r="G319" s="334" t="n"/>
      <c r="H319" s="334" t="n"/>
      <c r="I319" s="332">
        <f>IFERROR(VLOOKUP(TEXT(H319,"0"),IPRESS!$A$3:$B$212,2,0),"")</f>
        <v/>
      </c>
      <c r="J319" s="334" t="n"/>
      <c r="K319" s="332">
        <f>IFERROR(VLOOKUP(TEXT(O319,"0"),CONDUCTORES!$A$3:$G$54,7,0),"")</f>
        <v/>
      </c>
      <c r="L319" s="334" t="n"/>
      <c r="M319" s="334" t="n"/>
      <c r="N319" s="333">
        <f>IFERROR(IF(L319*M319=0,"",L319*M319),"")</f>
        <v/>
      </c>
      <c r="O319" s="334" t="n"/>
      <c r="P319" s="332">
        <f>IFERROR(VLOOKUP(TEXT(O319,"0"),CONDUCTORES!$A$3:$G$54,2,0),"")</f>
        <v/>
      </c>
      <c r="Q319" s="332">
        <f>IFERROR(VLOOKUP(TEXT(O319,"0"),CONDUCTORES!$A$3:$H$54,6,0),"")</f>
        <v/>
      </c>
      <c r="R319" s="334" t="n"/>
      <c r="S319" s="334" t="n"/>
      <c r="T319" s="334" t="n"/>
      <c r="U319" s="334" t="n"/>
      <c r="V319" s="334" t="n"/>
      <c r="W319" s="334" t="n"/>
      <c r="X319" s="334" t="n"/>
      <c r="Y319" s="334" t="n"/>
    </row>
    <row r="320" ht="15" customHeight="1" s="195">
      <c r="A320" s="280" t="n"/>
      <c r="B320" s="280" t="n"/>
      <c r="C320" s="280" t="n"/>
      <c r="D320" s="280" t="n"/>
      <c r="E320" s="280" t="n"/>
      <c r="F320" s="280" t="n"/>
      <c r="G320" s="280" t="n"/>
      <c r="H320" s="280" t="n"/>
      <c r="I320" s="332">
        <f>IFERROR(VLOOKUP(TEXT(H320,"0"),IPRESS!$A$3:$B$212,2,0),"")</f>
        <v/>
      </c>
      <c r="J320" s="280" t="n"/>
      <c r="K320" s="332">
        <f>IFERROR(VLOOKUP(TEXT(O320,"0"),CONDUCTORES!$A$3:$G$54,7,0),"")</f>
        <v/>
      </c>
      <c r="L320" s="280" t="n"/>
      <c r="M320" s="280" t="n"/>
      <c r="N320" s="333">
        <f>IFERROR(IF(L320*M320=0,"",L320*M320),"")</f>
        <v/>
      </c>
      <c r="O320" s="280" t="n"/>
      <c r="P320" s="332">
        <f>IFERROR(VLOOKUP(TEXT(O320,"0"),CONDUCTORES!$A$3:$G$54,2,0),"")</f>
        <v/>
      </c>
      <c r="Q320" s="332">
        <f>IFERROR(VLOOKUP(TEXT(O320,"0"),CONDUCTORES!$A$3:$H$54,6,0),"")</f>
        <v/>
      </c>
      <c r="R320" s="280" t="n"/>
      <c r="S320" s="280" t="n"/>
      <c r="T320" s="280" t="n"/>
      <c r="U320" s="280" t="n"/>
      <c r="V320" s="280" t="n"/>
      <c r="W320" s="280" t="n"/>
      <c r="X320" s="280" t="n"/>
      <c r="Y320" s="280" t="n"/>
    </row>
    <row r="321" ht="15" customHeight="1" s="195">
      <c r="A321" s="334" t="n"/>
      <c r="B321" s="334" t="n"/>
      <c r="C321" s="334" t="n"/>
      <c r="D321" s="334" t="n"/>
      <c r="E321" s="334" t="n"/>
      <c r="F321" s="334" t="n"/>
      <c r="G321" s="334" t="n"/>
      <c r="H321" s="334" t="n"/>
      <c r="I321" s="332">
        <f>IFERROR(VLOOKUP(TEXT(H321,"0"),IPRESS!$A$3:$B$212,2,0),"")</f>
        <v/>
      </c>
      <c r="J321" s="334" t="n"/>
      <c r="K321" s="332">
        <f>IFERROR(VLOOKUP(TEXT(O321,"0"),CONDUCTORES!$A$3:$G$54,7,0),"")</f>
        <v/>
      </c>
      <c r="L321" s="334" t="n"/>
      <c r="M321" s="334" t="n"/>
      <c r="N321" s="333">
        <f>IFERROR(IF(L321*M321=0,"",L321*M321),"")</f>
        <v/>
      </c>
      <c r="O321" s="334" t="n"/>
      <c r="P321" s="332">
        <f>IFERROR(VLOOKUP(TEXT(O321,"0"),CONDUCTORES!$A$3:$G$54,2,0),"")</f>
        <v/>
      </c>
      <c r="Q321" s="332">
        <f>IFERROR(VLOOKUP(TEXT(O321,"0"),CONDUCTORES!$A$3:$H$54,6,0),"")</f>
        <v/>
      </c>
      <c r="R321" s="334" t="n"/>
      <c r="S321" s="334" t="n"/>
      <c r="T321" s="334" t="n"/>
      <c r="U321" s="334" t="n"/>
      <c r="V321" s="334" t="n"/>
      <c r="W321" s="334" t="n"/>
      <c r="X321" s="334" t="n"/>
      <c r="Y321" s="334" t="n"/>
    </row>
    <row r="322" ht="15" customHeight="1" s="195">
      <c r="A322" s="280" t="n"/>
      <c r="B322" s="280" t="n"/>
      <c r="C322" s="280" t="n"/>
      <c r="D322" s="280" t="n"/>
      <c r="E322" s="280" t="n"/>
      <c r="F322" s="280" t="n"/>
      <c r="G322" s="280" t="n"/>
      <c r="H322" s="280" t="n"/>
      <c r="I322" s="332">
        <f>IFERROR(VLOOKUP(TEXT(H322,"0"),IPRESS!$A$3:$B$212,2,0),"")</f>
        <v/>
      </c>
      <c r="J322" s="280" t="n"/>
      <c r="K322" s="332">
        <f>IFERROR(VLOOKUP(TEXT(O322,"0"),CONDUCTORES!$A$3:$G$54,7,0),"")</f>
        <v/>
      </c>
      <c r="L322" s="280" t="n"/>
      <c r="M322" s="280" t="n"/>
      <c r="N322" s="333">
        <f>IFERROR(IF(L322*M322=0,"",L322*M322),"")</f>
        <v/>
      </c>
      <c r="O322" s="280" t="n"/>
      <c r="P322" s="332">
        <f>IFERROR(VLOOKUP(TEXT(O322,"0"),CONDUCTORES!$A$3:$G$54,2,0),"")</f>
        <v/>
      </c>
      <c r="Q322" s="332">
        <f>IFERROR(VLOOKUP(TEXT(O322,"0"),CONDUCTORES!$A$3:$H$54,6,0),"")</f>
        <v/>
      </c>
      <c r="R322" s="280" t="n"/>
      <c r="S322" s="280" t="n"/>
      <c r="T322" s="280" t="n"/>
      <c r="U322" s="280" t="n"/>
      <c r="V322" s="280" t="n"/>
      <c r="W322" s="280" t="n"/>
      <c r="X322" s="280" t="n"/>
      <c r="Y322" s="280" t="n"/>
    </row>
    <row r="323" ht="15" customHeight="1" s="195">
      <c r="A323" s="334" t="n"/>
      <c r="B323" s="334" t="n"/>
      <c r="C323" s="334" t="n"/>
      <c r="D323" s="334" t="n"/>
      <c r="E323" s="334" t="n"/>
      <c r="F323" s="334" t="n"/>
      <c r="G323" s="334" t="n"/>
      <c r="H323" s="334" t="n"/>
      <c r="I323" s="332">
        <f>IFERROR(VLOOKUP(TEXT(H323,"0"),IPRESS!$A$3:$B$212,2,0),"")</f>
        <v/>
      </c>
      <c r="J323" s="334" t="n"/>
      <c r="K323" s="332">
        <f>IFERROR(VLOOKUP(TEXT(O323,"0"),CONDUCTORES!$A$3:$G$54,7,0),"")</f>
        <v/>
      </c>
      <c r="L323" s="334" t="n"/>
      <c r="M323" s="334" t="n"/>
      <c r="N323" s="333">
        <f>IFERROR(IF(L323*M323=0,"",L323*M323),"")</f>
        <v/>
      </c>
      <c r="O323" s="334" t="n"/>
      <c r="P323" s="332">
        <f>IFERROR(VLOOKUP(TEXT(O323,"0"),CONDUCTORES!$A$3:$G$54,2,0),"")</f>
        <v/>
      </c>
      <c r="Q323" s="332">
        <f>IFERROR(VLOOKUP(TEXT(O323,"0"),CONDUCTORES!$A$3:$H$54,6,0),"")</f>
        <v/>
      </c>
      <c r="R323" s="334" t="n"/>
      <c r="S323" s="334" t="n"/>
      <c r="T323" s="334" t="n"/>
      <c r="U323" s="334" t="n"/>
      <c r="V323" s="334" t="n"/>
      <c r="W323" s="334" t="n"/>
      <c r="X323" s="334" t="n"/>
      <c r="Y323" s="334" t="n"/>
    </row>
    <row r="324" ht="15" customHeight="1" s="195">
      <c r="A324" s="280" t="n"/>
      <c r="B324" s="280" t="n"/>
      <c r="C324" s="280" t="n"/>
      <c r="D324" s="280" t="n"/>
      <c r="E324" s="280" t="n"/>
      <c r="F324" s="280" t="n"/>
      <c r="G324" s="280" t="n"/>
      <c r="H324" s="280" t="n"/>
      <c r="I324" s="332">
        <f>IFERROR(VLOOKUP(TEXT(H324,"0"),IPRESS!$A$3:$B$212,2,0),"")</f>
        <v/>
      </c>
      <c r="J324" s="280" t="n"/>
      <c r="K324" s="332">
        <f>IFERROR(VLOOKUP(TEXT(O324,"0"),CONDUCTORES!$A$3:$G$54,7,0),"")</f>
        <v/>
      </c>
      <c r="L324" s="280" t="n"/>
      <c r="M324" s="280" t="n"/>
      <c r="N324" s="333">
        <f>IFERROR(IF(L324*M324=0,"",L324*M324),"")</f>
        <v/>
      </c>
      <c r="O324" s="280" t="n"/>
      <c r="P324" s="332">
        <f>IFERROR(VLOOKUP(TEXT(O324,"0"),CONDUCTORES!$A$3:$G$54,2,0),"")</f>
        <v/>
      </c>
      <c r="Q324" s="332">
        <f>IFERROR(VLOOKUP(TEXT(O324,"0"),CONDUCTORES!$A$3:$H$54,6,0),"")</f>
        <v/>
      </c>
      <c r="R324" s="280" t="n"/>
      <c r="S324" s="280" t="n"/>
      <c r="T324" s="280" t="n"/>
      <c r="U324" s="280" t="n"/>
      <c r="V324" s="280" t="n"/>
      <c r="W324" s="280" t="n"/>
      <c r="X324" s="280" t="n"/>
      <c r="Y324" s="280" t="n"/>
    </row>
    <row r="325" ht="15" customHeight="1" s="195">
      <c r="A325" s="334" t="n"/>
      <c r="B325" s="334" t="n"/>
      <c r="C325" s="334" t="n"/>
      <c r="D325" s="334" t="n"/>
      <c r="E325" s="334" t="n"/>
      <c r="F325" s="334" t="n"/>
      <c r="G325" s="334" t="n"/>
      <c r="H325" s="334" t="n"/>
      <c r="I325" s="332">
        <f>IFERROR(VLOOKUP(TEXT(H325,"0"),IPRESS!$A$3:$B$212,2,0),"")</f>
        <v/>
      </c>
      <c r="J325" s="334" t="n"/>
      <c r="K325" s="332">
        <f>IFERROR(VLOOKUP(TEXT(O325,"0"),CONDUCTORES!$A$3:$G$54,7,0),"")</f>
        <v/>
      </c>
      <c r="L325" s="334" t="n"/>
      <c r="M325" s="334" t="n"/>
      <c r="N325" s="333">
        <f>IFERROR(IF(L325*M325=0,"",L325*M325),"")</f>
        <v/>
      </c>
      <c r="O325" s="334" t="n"/>
      <c r="P325" s="332">
        <f>IFERROR(VLOOKUP(TEXT(O325,"0"),CONDUCTORES!$A$3:$G$54,2,0),"")</f>
        <v/>
      </c>
      <c r="Q325" s="332">
        <f>IFERROR(VLOOKUP(TEXT(O325,"0"),CONDUCTORES!$A$3:$H$54,6,0),"")</f>
        <v/>
      </c>
      <c r="R325" s="334" t="n"/>
      <c r="S325" s="334" t="n"/>
      <c r="T325" s="334" t="n"/>
      <c r="U325" s="334" t="n"/>
      <c r="V325" s="334" t="n"/>
      <c r="W325" s="334" t="n"/>
      <c r="X325" s="334" t="n"/>
      <c r="Y325" s="334" t="n"/>
    </row>
    <row r="326" ht="15" customHeight="1" s="195">
      <c r="A326" s="280" t="n"/>
      <c r="B326" s="280" t="n"/>
      <c r="C326" s="280" t="n"/>
      <c r="D326" s="280" t="n"/>
      <c r="E326" s="280" t="n"/>
      <c r="F326" s="280" t="n"/>
      <c r="G326" s="280" t="n"/>
      <c r="H326" s="280" t="n"/>
      <c r="I326" s="332">
        <f>IFERROR(VLOOKUP(TEXT(H326,"0"),IPRESS!$A$3:$B$212,2,0),"")</f>
        <v/>
      </c>
      <c r="J326" s="280" t="n"/>
      <c r="K326" s="332">
        <f>IFERROR(VLOOKUP(TEXT(O326,"0"),CONDUCTORES!$A$3:$G$54,7,0),"")</f>
        <v/>
      </c>
      <c r="L326" s="280" t="n"/>
      <c r="M326" s="280" t="n"/>
      <c r="N326" s="333">
        <f>IFERROR(IF(L326*M326=0,"",L326*M326),"")</f>
        <v/>
      </c>
      <c r="O326" s="280" t="n"/>
      <c r="P326" s="332">
        <f>IFERROR(VLOOKUP(TEXT(O326,"0"),CONDUCTORES!$A$3:$G$54,2,0),"")</f>
        <v/>
      </c>
      <c r="Q326" s="332">
        <f>IFERROR(VLOOKUP(TEXT(O326,"0"),CONDUCTORES!$A$3:$H$54,6,0),"")</f>
        <v/>
      </c>
      <c r="R326" s="280" t="n"/>
      <c r="S326" s="280" t="n"/>
      <c r="T326" s="280" t="n"/>
      <c r="U326" s="280" t="n"/>
      <c r="V326" s="280" t="n"/>
      <c r="W326" s="280" t="n"/>
      <c r="X326" s="280" t="n"/>
      <c r="Y326" s="280" t="n"/>
    </row>
    <row r="327" ht="15" customHeight="1" s="195">
      <c r="A327" s="334" t="n"/>
      <c r="B327" s="334" t="n"/>
      <c r="C327" s="334" t="n"/>
      <c r="D327" s="334" t="n"/>
      <c r="E327" s="334" t="n"/>
      <c r="F327" s="334" t="n"/>
      <c r="G327" s="334" t="n"/>
      <c r="H327" s="334" t="n"/>
      <c r="I327" s="332">
        <f>IFERROR(VLOOKUP(TEXT(H327,"0"),IPRESS!$A$3:$B$212,2,0),"")</f>
        <v/>
      </c>
      <c r="J327" s="334" t="n"/>
      <c r="K327" s="332">
        <f>IFERROR(VLOOKUP(TEXT(O327,"0"),CONDUCTORES!$A$3:$G$54,7,0),"")</f>
        <v/>
      </c>
      <c r="L327" s="334" t="n"/>
      <c r="M327" s="334" t="n"/>
      <c r="N327" s="333">
        <f>IFERROR(IF(L327*M327=0,"",L327*M327),"")</f>
        <v/>
      </c>
      <c r="O327" s="334" t="n"/>
      <c r="P327" s="332">
        <f>IFERROR(VLOOKUP(TEXT(O327,"0"),CONDUCTORES!$A$3:$G$54,2,0),"")</f>
        <v/>
      </c>
      <c r="Q327" s="332">
        <f>IFERROR(VLOOKUP(TEXT(O327,"0"),CONDUCTORES!$A$3:$H$54,6,0),"")</f>
        <v/>
      </c>
      <c r="R327" s="334" t="n"/>
      <c r="S327" s="334" t="n"/>
      <c r="T327" s="334" t="n"/>
      <c r="U327" s="334" t="n"/>
      <c r="V327" s="334" t="n"/>
      <c r="W327" s="334" t="n"/>
      <c r="X327" s="334" t="n"/>
      <c r="Y327" s="334" t="n"/>
    </row>
    <row r="328" ht="15" customHeight="1" s="195">
      <c r="A328" s="280" t="n"/>
      <c r="B328" s="280" t="n"/>
      <c r="C328" s="280" t="n"/>
      <c r="D328" s="280" t="n"/>
      <c r="E328" s="280" t="n"/>
      <c r="F328" s="280" t="n"/>
      <c r="G328" s="280" t="n"/>
      <c r="H328" s="280" t="n"/>
      <c r="I328" s="332">
        <f>IFERROR(VLOOKUP(TEXT(H328,"0"),IPRESS!$A$3:$B$212,2,0),"")</f>
        <v/>
      </c>
      <c r="J328" s="280" t="n"/>
      <c r="K328" s="332">
        <f>IFERROR(VLOOKUP(TEXT(O328,"0"),CONDUCTORES!$A$3:$G$54,7,0),"")</f>
        <v/>
      </c>
      <c r="L328" s="280" t="n"/>
      <c r="M328" s="280" t="n"/>
      <c r="N328" s="333">
        <f>IFERROR(IF(L328*M328=0,"",L328*M328),"")</f>
        <v/>
      </c>
      <c r="O328" s="280" t="n"/>
      <c r="P328" s="332">
        <f>IFERROR(VLOOKUP(TEXT(O328,"0"),CONDUCTORES!$A$3:$G$54,2,0),"")</f>
        <v/>
      </c>
      <c r="Q328" s="332">
        <f>IFERROR(VLOOKUP(TEXT(O328,"0"),CONDUCTORES!$A$3:$H$54,6,0),"")</f>
        <v/>
      </c>
      <c r="R328" s="280" t="n"/>
      <c r="S328" s="280" t="n"/>
      <c r="T328" s="280" t="n"/>
      <c r="U328" s="280" t="n"/>
      <c r="V328" s="280" t="n"/>
      <c r="W328" s="280" t="n"/>
      <c r="X328" s="280" t="n"/>
      <c r="Y328" s="280" t="n"/>
    </row>
    <row r="329" ht="15" customHeight="1" s="195">
      <c r="A329" s="334" t="n"/>
      <c r="B329" s="334" t="n"/>
      <c r="C329" s="334" t="n"/>
      <c r="D329" s="334" t="n"/>
      <c r="E329" s="334" t="n"/>
      <c r="F329" s="334" t="n"/>
      <c r="G329" s="334" t="n"/>
      <c r="H329" s="334" t="n"/>
      <c r="I329" s="332">
        <f>IFERROR(VLOOKUP(TEXT(H329,"0"),IPRESS!$A$3:$B$212,2,0),"")</f>
        <v/>
      </c>
      <c r="J329" s="334" t="n"/>
      <c r="K329" s="332">
        <f>IFERROR(VLOOKUP(TEXT(O329,"0"),CONDUCTORES!$A$3:$G$54,7,0),"")</f>
        <v/>
      </c>
      <c r="L329" s="334" t="n"/>
      <c r="M329" s="334" t="n"/>
      <c r="N329" s="333">
        <f>IFERROR(IF(L329*M329=0,"",L329*M329),"")</f>
        <v/>
      </c>
      <c r="O329" s="334" t="n"/>
      <c r="P329" s="332">
        <f>IFERROR(VLOOKUP(TEXT(O329,"0"),CONDUCTORES!$A$3:$G$54,2,0),"")</f>
        <v/>
      </c>
      <c r="Q329" s="332">
        <f>IFERROR(VLOOKUP(TEXT(O329,"0"),CONDUCTORES!$A$3:$H$54,6,0),"")</f>
        <v/>
      </c>
      <c r="R329" s="334" t="n"/>
      <c r="S329" s="334" t="n"/>
      <c r="T329" s="334" t="n"/>
      <c r="U329" s="334" t="n"/>
      <c r="V329" s="334" t="n"/>
      <c r="W329" s="334" t="n"/>
      <c r="X329" s="334" t="n"/>
      <c r="Y329" s="334" t="n"/>
    </row>
    <row r="330" ht="15" customHeight="1" s="195">
      <c r="A330" s="280" t="n"/>
      <c r="B330" s="280" t="n"/>
      <c r="C330" s="280" t="n"/>
      <c r="D330" s="280" t="n"/>
      <c r="E330" s="280" t="n"/>
      <c r="F330" s="280" t="n"/>
      <c r="G330" s="280" t="n"/>
      <c r="H330" s="280" t="n"/>
      <c r="I330" s="332">
        <f>IFERROR(VLOOKUP(TEXT(H330,"0"),IPRESS!$A$3:$B$212,2,0),"")</f>
        <v/>
      </c>
      <c r="J330" s="280" t="n"/>
      <c r="K330" s="332">
        <f>IFERROR(VLOOKUP(TEXT(O330,"0"),CONDUCTORES!$A$3:$G$54,7,0),"")</f>
        <v/>
      </c>
      <c r="L330" s="280" t="n"/>
      <c r="M330" s="280" t="n"/>
      <c r="N330" s="333">
        <f>IFERROR(IF(L330*M330=0,"",L330*M330),"")</f>
        <v/>
      </c>
      <c r="O330" s="280" t="n"/>
      <c r="P330" s="332">
        <f>IFERROR(VLOOKUP(TEXT(O330,"0"),CONDUCTORES!$A$3:$G$54,2,0),"")</f>
        <v/>
      </c>
      <c r="Q330" s="332">
        <f>IFERROR(VLOOKUP(TEXT(O330,"0"),CONDUCTORES!$A$3:$H$54,6,0),"")</f>
        <v/>
      </c>
      <c r="R330" s="280" t="n"/>
      <c r="S330" s="280" t="n"/>
      <c r="T330" s="280" t="n"/>
      <c r="U330" s="280" t="n"/>
      <c r="V330" s="280" t="n"/>
      <c r="W330" s="280" t="n"/>
      <c r="X330" s="280" t="n"/>
      <c r="Y330" s="280" t="n"/>
    </row>
    <row r="331" ht="15" customHeight="1" s="195">
      <c r="A331" s="334" t="n"/>
      <c r="B331" s="334" t="n"/>
      <c r="C331" s="334" t="n"/>
      <c r="D331" s="334" t="n"/>
      <c r="E331" s="334" t="n"/>
      <c r="F331" s="334" t="n"/>
      <c r="G331" s="334" t="n"/>
      <c r="H331" s="334" t="n"/>
      <c r="I331" s="332">
        <f>IFERROR(VLOOKUP(TEXT(H331,"0"),IPRESS!$A$3:$B$212,2,0),"")</f>
        <v/>
      </c>
      <c r="J331" s="334" t="n"/>
      <c r="K331" s="332">
        <f>IFERROR(VLOOKUP(TEXT(O331,"0"),CONDUCTORES!$A$3:$G$54,7,0),"")</f>
        <v/>
      </c>
      <c r="L331" s="334" t="n"/>
      <c r="M331" s="334" t="n"/>
      <c r="N331" s="333">
        <f>IFERROR(IF(L331*M331=0,"",L331*M331),"")</f>
        <v/>
      </c>
      <c r="O331" s="334" t="n"/>
      <c r="P331" s="332">
        <f>IFERROR(VLOOKUP(TEXT(O331,"0"),CONDUCTORES!$A$3:$G$54,2,0),"")</f>
        <v/>
      </c>
      <c r="Q331" s="332">
        <f>IFERROR(VLOOKUP(TEXT(O331,"0"),CONDUCTORES!$A$3:$H$54,6,0),"")</f>
        <v/>
      </c>
      <c r="R331" s="334" t="n"/>
      <c r="S331" s="334" t="n"/>
      <c r="T331" s="334" t="n"/>
      <c r="U331" s="334" t="n"/>
      <c r="V331" s="334" t="n"/>
      <c r="W331" s="334" t="n"/>
      <c r="X331" s="334" t="n"/>
      <c r="Y331" s="334" t="n"/>
    </row>
    <row r="332" ht="15" customHeight="1" s="195">
      <c r="A332" s="280" t="n"/>
      <c r="B332" s="280" t="n"/>
      <c r="C332" s="280" t="n"/>
      <c r="D332" s="280" t="n"/>
      <c r="E332" s="280" t="n"/>
      <c r="F332" s="280" t="n"/>
      <c r="G332" s="280" t="n"/>
      <c r="H332" s="280" t="n"/>
      <c r="I332" s="332">
        <f>IFERROR(VLOOKUP(TEXT(H332,"0"),IPRESS!$A$3:$B$212,2,0),"")</f>
        <v/>
      </c>
      <c r="J332" s="280" t="n"/>
      <c r="K332" s="332">
        <f>IFERROR(VLOOKUP(TEXT(O332,"0"),CONDUCTORES!$A$3:$G$54,7,0),"")</f>
        <v/>
      </c>
      <c r="L332" s="280" t="n"/>
      <c r="M332" s="280" t="n"/>
      <c r="N332" s="333">
        <f>IFERROR(IF(L332*M332=0,"",L332*M332),"")</f>
        <v/>
      </c>
      <c r="O332" s="280" t="n"/>
      <c r="P332" s="332">
        <f>IFERROR(VLOOKUP(TEXT(O332,"0"),CONDUCTORES!$A$3:$G$54,2,0),"")</f>
        <v/>
      </c>
      <c r="Q332" s="332">
        <f>IFERROR(VLOOKUP(TEXT(O332,"0"),CONDUCTORES!$A$3:$H$54,6,0),"")</f>
        <v/>
      </c>
      <c r="R332" s="280" t="n"/>
      <c r="S332" s="280" t="n"/>
      <c r="T332" s="280" t="n"/>
      <c r="U332" s="280" t="n"/>
      <c r="V332" s="280" t="n"/>
      <c r="W332" s="280" t="n"/>
      <c r="X332" s="280" t="n"/>
      <c r="Y332" s="280" t="n"/>
    </row>
    <row r="333" ht="15" customHeight="1" s="195">
      <c r="A333" s="334" t="n"/>
      <c r="B333" s="334" t="n"/>
      <c r="C333" s="334" t="n"/>
      <c r="D333" s="334" t="n"/>
      <c r="E333" s="334" t="n"/>
      <c r="F333" s="334" t="n"/>
      <c r="G333" s="334" t="n"/>
      <c r="H333" s="334" t="n"/>
      <c r="I333" s="332">
        <f>IFERROR(VLOOKUP(TEXT(H333,"0"),IPRESS!$A$3:$B$212,2,0),"")</f>
        <v/>
      </c>
      <c r="J333" s="334" t="n"/>
      <c r="K333" s="332">
        <f>IFERROR(VLOOKUP(TEXT(O333,"0"),CONDUCTORES!$A$3:$G$54,7,0),"")</f>
        <v/>
      </c>
      <c r="L333" s="334" t="n"/>
      <c r="M333" s="334" t="n"/>
      <c r="N333" s="333">
        <f>IFERROR(IF(L333*M333=0,"",L333*M333),"")</f>
        <v/>
      </c>
      <c r="O333" s="334" t="n"/>
      <c r="P333" s="332">
        <f>IFERROR(VLOOKUP(TEXT(O333,"0"),CONDUCTORES!$A$3:$G$54,2,0),"")</f>
        <v/>
      </c>
      <c r="Q333" s="332">
        <f>IFERROR(VLOOKUP(TEXT(O333,"0"),CONDUCTORES!$A$3:$H$54,6,0),"")</f>
        <v/>
      </c>
      <c r="R333" s="334" t="n"/>
      <c r="S333" s="334" t="n"/>
      <c r="T333" s="334" t="n"/>
      <c r="U333" s="334" t="n"/>
      <c r="V333" s="334" t="n"/>
      <c r="W333" s="334" t="n"/>
      <c r="X333" s="334" t="n"/>
      <c r="Y333" s="334" t="n"/>
    </row>
    <row r="334" ht="15" customHeight="1" s="195">
      <c r="A334" s="280" t="n"/>
      <c r="B334" s="280" t="n"/>
      <c r="C334" s="280" t="n"/>
      <c r="D334" s="280" t="n"/>
      <c r="E334" s="280" t="n"/>
      <c r="F334" s="280" t="n"/>
      <c r="G334" s="280" t="n"/>
      <c r="H334" s="280" t="n"/>
      <c r="I334" s="332">
        <f>IFERROR(VLOOKUP(TEXT(H334,"0"),IPRESS!$A$3:$B$212,2,0),"")</f>
        <v/>
      </c>
      <c r="J334" s="280" t="n"/>
      <c r="K334" s="332">
        <f>IFERROR(VLOOKUP(TEXT(O334,"0"),CONDUCTORES!$A$3:$G$54,7,0),"")</f>
        <v/>
      </c>
      <c r="L334" s="280" t="n"/>
      <c r="M334" s="280" t="n"/>
      <c r="N334" s="333">
        <f>IFERROR(IF(L334*M334=0,"",L334*M334),"")</f>
        <v/>
      </c>
      <c r="O334" s="280" t="n"/>
      <c r="P334" s="332">
        <f>IFERROR(VLOOKUP(TEXT(O334,"0"),CONDUCTORES!$A$3:$G$54,2,0),"")</f>
        <v/>
      </c>
      <c r="Q334" s="332">
        <f>IFERROR(VLOOKUP(TEXT(O334,"0"),CONDUCTORES!$A$3:$H$54,6,0),"")</f>
        <v/>
      </c>
      <c r="R334" s="280" t="n"/>
      <c r="S334" s="280" t="n"/>
      <c r="T334" s="280" t="n"/>
      <c r="U334" s="280" t="n"/>
      <c r="V334" s="280" t="n"/>
      <c r="W334" s="280" t="n"/>
      <c r="X334" s="280" t="n"/>
      <c r="Y334" s="280" t="n"/>
    </row>
    <row r="335" ht="15" customHeight="1" s="195">
      <c r="A335" s="334" t="n"/>
      <c r="B335" s="334" t="n"/>
      <c r="C335" s="334" t="n"/>
      <c r="D335" s="334" t="n"/>
      <c r="E335" s="334" t="n"/>
      <c r="F335" s="334" t="n"/>
      <c r="G335" s="334" t="n"/>
      <c r="H335" s="334" t="n"/>
      <c r="I335" s="332">
        <f>IFERROR(VLOOKUP(TEXT(H335,"0"),IPRESS!$A$3:$B$212,2,0),"")</f>
        <v/>
      </c>
      <c r="J335" s="334" t="n"/>
      <c r="K335" s="332">
        <f>IFERROR(VLOOKUP(TEXT(O335,"0"),CONDUCTORES!$A$3:$G$54,7,0),"")</f>
        <v/>
      </c>
      <c r="L335" s="334" t="n"/>
      <c r="M335" s="334" t="n"/>
      <c r="N335" s="333">
        <f>IFERROR(IF(L335*M335=0,"",L335*M335),"")</f>
        <v/>
      </c>
      <c r="O335" s="334" t="n"/>
      <c r="P335" s="332">
        <f>IFERROR(VLOOKUP(TEXT(O335,"0"),CONDUCTORES!$A$3:$G$54,2,0),"")</f>
        <v/>
      </c>
      <c r="Q335" s="332">
        <f>IFERROR(VLOOKUP(TEXT(O335,"0"),CONDUCTORES!$A$3:$H$54,6,0),"")</f>
        <v/>
      </c>
      <c r="R335" s="334" t="n"/>
      <c r="S335" s="334" t="n"/>
      <c r="T335" s="334" t="n"/>
      <c r="U335" s="334" t="n"/>
      <c r="V335" s="334" t="n"/>
      <c r="W335" s="334" t="n"/>
      <c r="X335" s="334" t="n"/>
      <c r="Y335" s="334" t="n"/>
    </row>
    <row r="336" ht="15" customHeight="1" s="195">
      <c r="A336" s="280" t="n"/>
      <c r="B336" s="280" t="n"/>
      <c r="C336" s="280" t="n"/>
      <c r="D336" s="280" t="n"/>
      <c r="E336" s="280" t="n"/>
      <c r="F336" s="280" t="n"/>
      <c r="G336" s="280" t="n"/>
      <c r="H336" s="280" t="n"/>
      <c r="I336" s="332">
        <f>IFERROR(VLOOKUP(TEXT(H336,"0"),IPRESS!$A$3:$B$212,2,0),"")</f>
        <v/>
      </c>
      <c r="J336" s="280" t="n"/>
      <c r="K336" s="332">
        <f>IFERROR(VLOOKUP(TEXT(O336,"0"),CONDUCTORES!$A$3:$G$54,7,0),"")</f>
        <v/>
      </c>
      <c r="L336" s="280" t="n"/>
      <c r="M336" s="280" t="n"/>
      <c r="N336" s="333">
        <f>IFERROR(IF(L336*M336=0,"",L336*M336),"")</f>
        <v/>
      </c>
      <c r="O336" s="280" t="n"/>
      <c r="P336" s="332">
        <f>IFERROR(VLOOKUP(TEXT(O336,"0"),CONDUCTORES!$A$3:$G$54,2,0),"")</f>
        <v/>
      </c>
      <c r="Q336" s="332">
        <f>IFERROR(VLOOKUP(TEXT(O336,"0"),CONDUCTORES!$A$3:$H$54,6,0),"")</f>
        <v/>
      </c>
      <c r="R336" s="280" t="n"/>
      <c r="S336" s="280" t="n"/>
      <c r="T336" s="280" t="n"/>
      <c r="U336" s="280" t="n"/>
      <c r="V336" s="280" t="n"/>
      <c r="W336" s="280" t="n"/>
      <c r="X336" s="280" t="n"/>
      <c r="Y336" s="280" t="n"/>
    </row>
    <row r="337" ht="15" customHeight="1" s="195">
      <c r="A337" s="334" t="n"/>
      <c r="B337" s="334" t="n"/>
      <c r="C337" s="334" t="n"/>
      <c r="D337" s="334" t="n"/>
      <c r="E337" s="334" t="n"/>
      <c r="F337" s="334" t="n"/>
      <c r="G337" s="334" t="n"/>
      <c r="H337" s="334" t="n"/>
      <c r="I337" s="332">
        <f>IFERROR(VLOOKUP(TEXT(H337,"0"),IPRESS!$A$3:$B$212,2,0),"")</f>
        <v/>
      </c>
      <c r="J337" s="334" t="n"/>
      <c r="K337" s="332">
        <f>IFERROR(VLOOKUP(TEXT(O337,"0"),CONDUCTORES!$A$3:$G$54,7,0),"")</f>
        <v/>
      </c>
      <c r="L337" s="334" t="n"/>
      <c r="M337" s="334" t="n"/>
      <c r="N337" s="333">
        <f>IFERROR(IF(L337*M337=0,"",L337*M337),"")</f>
        <v/>
      </c>
      <c r="O337" s="334" t="n"/>
      <c r="P337" s="332">
        <f>IFERROR(VLOOKUP(TEXT(O337,"0"),CONDUCTORES!$A$3:$G$54,2,0),"")</f>
        <v/>
      </c>
      <c r="Q337" s="332">
        <f>IFERROR(VLOOKUP(TEXT(O337,"0"),CONDUCTORES!$A$3:$H$54,6,0),"")</f>
        <v/>
      </c>
      <c r="R337" s="334" t="n"/>
      <c r="S337" s="334" t="n"/>
      <c r="T337" s="334" t="n"/>
      <c r="U337" s="334" t="n"/>
      <c r="V337" s="334" t="n"/>
      <c r="W337" s="334" t="n"/>
      <c r="X337" s="334" t="n"/>
      <c r="Y337" s="334" t="n"/>
    </row>
    <row r="338" ht="15" customHeight="1" s="195">
      <c r="A338" s="280" t="n"/>
      <c r="B338" s="280" t="n"/>
      <c r="C338" s="280" t="n"/>
      <c r="D338" s="280" t="n"/>
      <c r="E338" s="280" t="n"/>
      <c r="F338" s="280" t="n"/>
      <c r="G338" s="280" t="n"/>
      <c r="H338" s="280" t="n"/>
      <c r="I338" s="332">
        <f>IFERROR(VLOOKUP(TEXT(H338,"0"),IPRESS!$A$3:$B$212,2,0),"")</f>
        <v/>
      </c>
      <c r="J338" s="280" t="n"/>
      <c r="K338" s="332">
        <f>IFERROR(VLOOKUP(TEXT(O338,"0"),CONDUCTORES!$A$3:$G$54,7,0),"")</f>
        <v/>
      </c>
      <c r="L338" s="280" t="n"/>
      <c r="M338" s="280" t="n"/>
      <c r="N338" s="333">
        <f>IFERROR(IF(L338*M338=0,"",L338*M338),"")</f>
        <v/>
      </c>
      <c r="O338" s="280" t="n"/>
      <c r="P338" s="332">
        <f>IFERROR(VLOOKUP(TEXT(O338,"0"),CONDUCTORES!$A$3:$G$54,2,0),"")</f>
        <v/>
      </c>
      <c r="Q338" s="332">
        <f>IFERROR(VLOOKUP(TEXT(O338,"0"),CONDUCTORES!$A$3:$H$54,6,0),"")</f>
        <v/>
      </c>
      <c r="R338" s="280" t="n"/>
      <c r="S338" s="280" t="n"/>
      <c r="T338" s="280" t="n"/>
      <c r="U338" s="280" t="n"/>
      <c r="V338" s="280" t="n"/>
      <c r="W338" s="280" t="n"/>
      <c r="X338" s="280" t="n"/>
      <c r="Y338" s="280" t="n"/>
    </row>
    <row r="339" ht="15" customHeight="1" s="195">
      <c r="A339" s="334" t="n"/>
      <c r="B339" s="334" t="n"/>
      <c r="C339" s="334" t="n"/>
      <c r="D339" s="334" t="n"/>
      <c r="E339" s="334" t="n"/>
      <c r="F339" s="334" t="n"/>
      <c r="G339" s="334" t="n"/>
      <c r="H339" s="334" t="n"/>
      <c r="I339" s="332">
        <f>IFERROR(VLOOKUP(TEXT(H339,"0"),IPRESS!$A$3:$B$212,2,0),"")</f>
        <v/>
      </c>
      <c r="J339" s="334" t="n"/>
      <c r="K339" s="332">
        <f>IFERROR(VLOOKUP(TEXT(O339,"0"),CONDUCTORES!$A$3:$G$54,7,0),"")</f>
        <v/>
      </c>
      <c r="L339" s="334" t="n"/>
      <c r="M339" s="334" t="n"/>
      <c r="N339" s="333">
        <f>IFERROR(IF(L339*M339=0,"",L339*M339),"")</f>
        <v/>
      </c>
      <c r="O339" s="334" t="n"/>
      <c r="P339" s="332">
        <f>IFERROR(VLOOKUP(TEXT(O339,"0"),CONDUCTORES!$A$3:$G$54,2,0),"")</f>
        <v/>
      </c>
      <c r="Q339" s="332">
        <f>IFERROR(VLOOKUP(TEXT(O339,"0"),CONDUCTORES!$A$3:$H$54,6,0),"")</f>
        <v/>
      </c>
      <c r="R339" s="334" t="n"/>
      <c r="S339" s="334" t="n"/>
      <c r="T339" s="334" t="n"/>
      <c r="U339" s="334" t="n"/>
      <c r="V339" s="334" t="n"/>
      <c r="W339" s="334" t="n"/>
      <c r="X339" s="334" t="n"/>
      <c r="Y339" s="334" t="n"/>
    </row>
    <row r="340" ht="15" customHeight="1" s="195">
      <c r="A340" s="280" t="n"/>
      <c r="B340" s="280" t="n"/>
      <c r="C340" s="280" t="n"/>
      <c r="D340" s="280" t="n"/>
      <c r="E340" s="280" t="n"/>
      <c r="F340" s="280" t="n"/>
      <c r="G340" s="280" t="n"/>
      <c r="H340" s="280" t="n"/>
      <c r="I340" s="332">
        <f>IFERROR(VLOOKUP(TEXT(H340,"0"),IPRESS!$A$3:$B$212,2,0),"")</f>
        <v/>
      </c>
      <c r="J340" s="280" t="n"/>
      <c r="K340" s="332">
        <f>IFERROR(VLOOKUP(TEXT(O340,"0"),CONDUCTORES!$A$3:$G$54,7,0),"")</f>
        <v/>
      </c>
      <c r="L340" s="280" t="n"/>
      <c r="M340" s="280" t="n"/>
      <c r="N340" s="333">
        <f>IFERROR(IF(L340*M340=0,"",L340*M340),"")</f>
        <v/>
      </c>
      <c r="O340" s="280" t="n"/>
      <c r="P340" s="332">
        <f>IFERROR(VLOOKUP(TEXT(O340,"0"),CONDUCTORES!$A$3:$G$54,2,0),"")</f>
        <v/>
      </c>
      <c r="Q340" s="332">
        <f>IFERROR(VLOOKUP(TEXT(O340,"0"),CONDUCTORES!$A$3:$H$54,6,0),"")</f>
        <v/>
      </c>
      <c r="R340" s="280" t="n"/>
      <c r="S340" s="280" t="n"/>
      <c r="T340" s="280" t="n"/>
      <c r="U340" s="280" t="n"/>
      <c r="V340" s="280" t="n"/>
      <c r="W340" s="280" t="n"/>
      <c r="X340" s="280" t="n"/>
      <c r="Y340" s="280" t="n"/>
    </row>
    <row r="341" ht="15" customHeight="1" s="195">
      <c r="A341" s="334" t="n"/>
      <c r="B341" s="334" t="n"/>
      <c r="C341" s="334" t="n"/>
      <c r="D341" s="334" t="n"/>
      <c r="E341" s="334" t="n"/>
      <c r="F341" s="334" t="n"/>
      <c r="G341" s="334" t="n"/>
      <c r="H341" s="334" t="n"/>
      <c r="I341" s="332">
        <f>IFERROR(VLOOKUP(TEXT(H341,"0"),IPRESS!$A$3:$B$212,2,0),"")</f>
        <v/>
      </c>
      <c r="J341" s="334" t="n"/>
      <c r="K341" s="332">
        <f>IFERROR(VLOOKUP(TEXT(O341,"0"),CONDUCTORES!$A$3:$G$54,7,0),"")</f>
        <v/>
      </c>
      <c r="L341" s="334" t="n"/>
      <c r="M341" s="334" t="n"/>
      <c r="N341" s="333">
        <f>IFERROR(IF(L341*M341=0,"",L341*M341),"")</f>
        <v/>
      </c>
      <c r="O341" s="334" t="n"/>
      <c r="P341" s="332">
        <f>IFERROR(VLOOKUP(TEXT(O341,"0"),CONDUCTORES!$A$3:$G$54,2,0),"")</f>
        <v/>
      </c>
      <c r="Q341" s="332">
        <f>IFERROR(VLOOKUP(TEXT(O341,"0"),CONDUCTORES!$A$3:$H$54,6,0),"")</f>
        <v/>
      </c>
      <c r="R341" s="334" t="n"/>
      <c r="S341" s="334" t="n"/>
      <c r="T341" s="334" t="n"/>
      <c r="U341" s="334" t="n"/>
      <c r="V341" s="334" t="n"/>
      <c r="W341" s="334" t="n"/>
      <c r="X341" s="334" t="n"/>
      <c r="Y341" s="334" t="n"/>
    </row>
    <row r="342" ht="15" customHeight="1" s="195">
      <c r="A342" s="280" t="n"/>
      <c r="B342" s="280" t="n"/>
      <c r="C342" s="280" t="n"/>
      <c r="D342" s="280" t="n"/>
      <c r="E342" s="280" t="n"/>
      <c r="F342" s="280" t="n"/>
      <c r="G342" s="280" t="n"/>
      <c r="H342" s="280" t="n"/>
      <c r="I342" s="332">
        <f>IFERROR(VLOOKUP(TEXT(H342,"0"),IPRESS!$A$3:$B$212,2,0),"")</f>
        <v/>
      </c>
      <c r="J342" s="280" t="n"/>
      <c r="K342" s="332">
        <f>IFERROR(VLOOKUP(TEXT(O342,"0"),CONDUCTORES!$A$3:$G$54,7,0),"")</f>
        <v/>
      </c>
      <c r="L342" s="280" t="n"/>
      <c r="M342" s="280" t="n"/>
      <c r="N342" s="333">
        <f>IFERROR(IF(L342*M342=0,"",L342*M342),"")</f>
        <v/>
      </c>
      <c r="O342" s="280" t="n"/>
      <c r="P342" s="332">
        <f>IFERROR(VLOOKUP(TEXT(O342,"0"),CONDUCTORES!$A$3:$G$54,2,0),"")</f>
        <v/>
      </c>
      <c r="Q342" s="332">
        <f>IFERROR(VLOOKUP(TEXT(O342,"0"),CONDUCTORES!$A$3:$H$54,6,0),"")</f>
        <v/>
      </c>
      <c r="R342" s="280" t="n"/>
      <c r="S342" s="280" t="n"/>
      <c r="T342" s="280" t="n"/>
      <c r="U342" s="280" t="n"/>
      <c r="V342" s="280" t="n"/>
      <c r="W342" s="280" t="n"/>
      <c r="X342" s="280" t="n"/>
      <c r="Y342" s="280" t="n"/>
    </row>
    <row r="343" ht="15" customHeight="1" s="195">
      <c r="A343" s="334" t="n"/>
      <c r="B343" s="334" t="n"/>
      <c r="C343" s="334" t="n"/>
      <c r="D343" s="334" t="n"/>
      <c r="E343" s="334" t="n"/>
      <c r="F343" s="334" t="n"/>
      <c r="G343" s="334" t="n"/>
      <c r="H343" s="334" t="n"/>
      <c r="I343" s="332">
        <f>IFERROR(VLOOKUP(TEXT(H343,"0"),IPRESS!$A$3:$B$212,2,0),"")</f>
        <v/>
      </c>
      <c r="J343" s="334" t="n"/>
      <c r="K343" s="332">
        <f>IFERROR(VLOOKUP(TEXT(O343,"0"),CONDUCTORES!$A$3:$G$54,7,0),"")</f>
        <v/>
      </c>
      <c r="L343" s="334" t="n"/>
      <c r="M343" s="334" t="n"/>
      <c r="N343" s="333">
        <f>IFERROR(IF(L343*M343=0,"",L343*M343),"")</f>
        <v/>
      </c>
      <c r="O343" s="334" t="n"/>
      <c r="P343" s="332">
        <f>IFERROR(VLOOKUP(TEXT(O343,"0"),CONDUCTORES!$A$3:$G$54,2,0),"")</f>
        <v/>
      </c>
      <c r="Q343" s="332">
        <f>IFERROR(VLOOKUP(TEXT(O343,"0"),CONDUCTORES!$A$3:$H$54,6,0),"")</f>
        <v/>
      </c>
      <c r="R343" s="334" t="n"/>
      <c r="S343" s="334" t="n"/>
      <c r="T343" s="334" t="n"/>
      <c r="U343" s="334" t="n"/>
      <c r="V343" s="334" t="n"/>
      <c r="W343" s="334" t="n"/>
      <c r="X343" s="334" t="n"/>
      <c r="Y343" s="334" t="n"/>
    </row>
    <row r="344" ht="15" customHeight="1" s="195">
      <c r="A344" s="280" t="n"/>
      <c r="B344" s="280" t="n"/>
      <c r="C344" s="280" t="n"/>
      <c r="D344" s="280" t="n"/>
      <c r="E344" s="280" t="n"/>
      <c r="F344" s="280" t="n"/>
      <c r="G344" s="280" t="n"/>
      <c r="H344" s="280" t="n"/>
      <c r="I344" s="332">
        <f>IFERROR(VLOOKUP(TEXT(H344,"0"),IPRESS!$A$3:$B$212,2,0),"")</f>
        <v/>
      </c>
      <c r="J344" s="280" t="n"/>
      <c r="K344" s="332">
        <f>IFERROR(VLOOKUP(TEXT(O344,"0"),CONDUCTORES!$A$3:$G$54,7,0),"")</f>
        <v/>
      </c>
      <c r="L344" s="280" t="n"/>
      <c r="M344" s="280" t="n"/>
      <c r="N344" s="333">
        <f>IFERROR(IF(L344*M344=0,"",L344*M344),"")</f>
        <v/>
      </c>
      <c r="O344" s="280" t="n"/>
      <c r="P344" s="332">
        <f>IFERROR(VLOOKUP(TEXT(O344,"0"),CONDUCTORES!$A$3:$G$54,2,0),"")</f>
        <v/>
      </c>
      <c r="Q344" s="332">
        <f>IFERROR(VLOOKUP(TEXT(O344,"0"),CONDUCTORES!$A$3:$H$54,6,0),"")</f>
        <v/>
      </c>
      <c r="R344" s="280" t="n"/>
      <c r="S344" s="280" t="n"/>
      <c r="T344" s="280" t="n"/>
      <c r="U344" s="280" t="n"/>
      <c r="V344" s="280" t="n"/>
      <c r="W344" s="280" t="n"/>
      <c r="X344" s="280" t="n"/>
      <c r="Y344" s="280" t="n"/>
    </row>
    <row r="345" ht="15" customHeight="1" s="195">
      <c r="A345" s="334" t="n"/>
      <c r="B345" s="334" t="n"/>
      <c r="C345" s="334" t="n"/>
      <c r="D345" s="334" t="n"/>
      <c r="E345" s="334" t="n"/>
      <c r="F345" s="334" t="n"/>
      <c r="G345" s="334" t="n"/>
      <c r="H345" s="334" t="n"/>
      <c r="I345" s="332">
        <f>IFERROR(VLOOKUP(TEXT(H345,"0"),IPRESS!$A$3:$B$212,2,0),"")</f>
        <v/>
      </c>
      <c r="J345" s="334" t="n"/>
      <c r="K345" s="332">
        <f>IFERROR(VLOOKUP(TEXT(O345,"0"),CONDUCTORES!$A$3:$G$54,7,0),"")</f>
        <v/>
      </c>
      <c r="L345" s="334" t="n"/>
      <c r="M345" s="334" t="n"/>
      <c r="N345" s="333">
        <f>IFERROR(IF(L345*M345=0,"",L345*M345),"")</f>
        <v/>
      </c>
      <c r="O345" s="334" t="n"/>
      <c r="P345" s="332">
        <f>IFERROR(VLOOKUP(TEXT(O345,"0"),CONDUCTORES!$A$3:$G$54,2,0),"")</f>
        <v/>
      </c>
      <c r="Q345" s="332">
        <f>IFERROR(VLOOKUP(TEXT(O345,"0"),CONDUCTORES!$A$3:$H$54,6,0),"")</f>
        <v/>
      </c>
      <c r="R345" s="334" t="n"/>
      <c r="S345" s="334" t="n"/>
      <c r="T345" s="334" t="n"/>
      <c r="U345" s="334" t="n"/>
      <c r="V345" s="334" t="n"/>
      <c r="W345" s="334" t="n"/>
      <c r="X345" s="334" t="n"/>
      <c r="Y345" s="334" t="n"/>
    </row>
    <row r="346" ht="15" customHeight="1" s="195">
      <c r="A346" s="280" t="n"/>
      <c r="B346" s="280" t="n"/>
      <c r="C346" s="280" t="n"/>
      <c r="D346" s="280" t="n"/>
      <c r="E346" s="280" t="n"/>
      <c r="F346" s="280" t="n"/>
      <c r="G346" s="280" t="n"/>
      <c r="H346" s="280" t="n"/>
      <c r="I346" s="332">
        <f>IFERROR(VLOOKUP(TEXT(H346,"0"),IPRESS!$A$3:$B$212,2,0),"")</f>
        <v/>
      </c>
      <c r="J346" s="280" t="n"/>
      <c r="K346" s="332">
        <f>IFERROR(VLOOKUP(TEXT(O346,"0"),CONDUCTORES!$A$3:$G$54,7,0),"")</f>
        <v/>
      </c>
      <c r="L346" s="280" t="n"/>
      <c r="M346" s="280" t="n"/>
      <c r="N346" s="333">
        <f>IFERROR(IF(L346*M346=0,"",L346*M346),"")</f>
        <v/>
      </c>
      <c r="O346" s="280" t="n"/>
      <c r="P346" s="332">
        <f>IFERROR(VLOOKUP(TEXT(O346,"0"),CONDUCTORES!$A$3:$G$54,2,0),"")</f>
        <v/>
      </c>
      <c r="Q346" s="332">
        <f>IFERROR(VLOOKUP(TEXT(O346,"0"),CONDUCTORES!$A$3:$H$54,6,0),"")</f>
        <v/>
      </c>
      <c r="R346" s="280" t="n"/>
      <c r="S346" s="280" t="n"/>
      <c r="T346" s="280" t="n"/>
      <c r="U346" s="280" t="n"/>
      <c r="V346" s="280" t="n"/>
      <c r="W346" s="280" t="n"/>
      <c r="X346" s="280" t="n"/>
      <c r="Y346" s="280" t="n"/>
    </row>
    <row r="347" ht="15" customHeight="1" s="195">
      <c r="A347" s="334" t="n"/>
      <c r="B347" s="334" t="n"/>
      <c r="C347" s="334" t="n"/>
      <c r="D347" s="334" t="n"/>
      <c r="E347" s="334" t="n"/>
      <c r="F347" s="334" t="n"/>
      <c r="G347" s="334" t="n"/>
      <c r="H347" s="334" t="n"/>
      <c r="I347" s="332">
        <f>IFERROR(VLOOKUP(TEXT(H347,"0"),IPRESS!$A$3:$B$212,2,0),"")</f>
        <v/>
      </c>
      <c r="J347" s="334" t="n"/>
      <c r="K347" s="332">
        <f>IFERROR(VLOOKUP(TEXT(O347,"0"),CONDUCTORES!$A$3:$G$54,7,0),"")</f>
        <v/>
      </c>
      <c r="L347" s="334" t="n"/>
      <c r="M347" s="334" t="n"/>
      <c r="N347" s="333">
        <f>IFERROR(IF(L347*M347=0,"",L347*M347),"")</f>
        <v/>
      </c>
      <c r="O347" s="334" t="n"/>
      <c r="P347" s="332">
        <f>IFERROR(VLOOKUP(TEXT(O347,"0"),CONDUCTORES!$A$3:$G$54,2,0),"")</f>
        <v/>
      </c>
      <c r="Q347" s="332">
        <f>IFERROR(VLOOKUP(TEXT(O347,"0"),CONDUCTORES!$A$3:$H$54,6,0),"")</f>
        <v/>
      </c>
      <c r="R347" s="334" t="n"/>
      <c r="S347" s="334" t="n"/>
      <c r="T347" s="334" t="n"/>
      <c r="U347" s="334" t="n"/>
      <c r="V347" s="334" t="n"/>
      <c r="W347" s="334" t="n"/>
      <c r="X347" s="334" t="n"/>
      <c r="Y347" s="334" t="n"/>
    </row>
    <row r="348" ht="15" customHeight="1" s="195">
      <c r="A348" s="280" t="n"/>
      <c r="B348" s="280" t="n"/>
      <c r="C348" s="280" t="n"/>
      <c r="D348" s="280" t="n"/>
      <c r="E348" s="280" t="n"/>
      <c r="F348" s="280" t="n"/>
      <c r="G348" s="280" t="n"/>
      <c r="H348" s="280" t="n"/>
      <c r="I348" s="332">
        <f>IFERROR(VLOOKUP(TEXT(H348,"0"),IPRESS!$A$3:$B$212,2,0),"")</f>
        <v/>
      </c>
      <c r="J348" s="280" t="n"/>
      <c r="K348" s="332">
        <f>IFERROR(VLOOKUP(TEXT(O348,"0"),CONDUCTORES!$A$3:$G$54,7,0),"")</f>
        <v/>
      </c>
      <c r="L348" s="280" t="n"/>
      <c r="M348" s="280" t="n"/>
      <c r="N348" s="333">
        <f>IFERROR(IF(L348*M348=0,"",L348*M348),"")</f>
        <v/>
      </c>
      <c r="O348" s="280" t="n"/>
      <c r="P348" s="332">
        <f>IFERROR(VLOOKUP(TEXT(O348,"0"),CONDUCTORES!$A$3:$G$54,2,0),"")</f>
        <v/>
      </c>
      <c r="Q348" s="332">
        <f>IFERROR(VLOOKUP(TEXT(O348,"0"),CONDUCTORES!$A$3:$H$54,6,0),"")</f>
        <v/>
      </c>
      <c r="R348" s="280" t="n"/>
      <c r="S348" s="280" t="n"/>
      <c r="T348" s="280" t="n"/>
      <c r="U348" s="280" t="n"/>
      <c r="V348" s="280" t="n"/>
      <c r="W348" s="280" t="n"/>
      <c r="X348" s="280" t="n"/>
      <c r="Y348" s="280" t="n"/>
    </row>
    <row r="349" ht="15" customHeight="1" s="195">
      <c r="A349" s="334" t="n"/>
      <c r="B349" s="334" t="n"/>
      <c r="C349" s="334" t="n"/>
      <c r="D349" s="334" t="n"/>
      <c r="E349" s="334" t="n"/>
      <c r="F349" s="334" t="n"/>
      <c r="G349" s="334" t="n"/>
      <c r="H349" s="334" t="n"/>
      <c r="I349" s="332">
        <f>IFERROR(VLOOKUP(TEXT(H349,"0"),IPRESS!$A$3:$B$212,2,0),"")</f>
        <v/>
      </c>
      <c r="J349" s="334" t="n"/>
      <c r="K349" s="332">
        <f>IFERROR(VLOOKUP(TEXT(O349,"0"),CONDUCTORES!$A$3:$G$54,7,0),"")</f>
        <v/>
      </c>
      <c r="L349" s="334" t="n"/>
      <c r="M349" s="334" t="n"/>
      <c r="N349" s="333">
        <f>IFERROR(IF(L349*M349=0,"",L349*M349),"")</f>
        <v/>
      </c>
      <c r="O349" s="334" t="n"/>
      <c r="P349" s="332">
        <f>IFERROR(VLOOKUP(TEXT(O349,"0"),CONDUCTORES!$A$3:$G$54,2,0),"")</f>
        <v/>
      </c>
      <c r="Q349" s="332">
        <f>IFERROR(VLOOKUP(TEXT(O349,"0"),CONDUCTORES!$A$3:$H$54,6,0),"")</f>
        <v/>
      </c>
      <c r="R349" s="334" t="n"/>
      <c r="S349" s="334" t="n"/>
      <c r="T349" s="334" t="n"/>
      <c r="U349" s="334" t="n"/>
      <c r="V349" s="334" t="n"/>
      <c r="W349" s="334" t="n"/>
      <c r="X349" s="334" t="n"/>
      <c r="Y349" s="334" t="n"/>
    </row>
    <row r="350" ht="15" customHeight="1" s="195">
      <c r="A350" s="280" t="n"/>
      <c r="B350" s="280" t="n"/>
      <c r="C350" s="280" t="n"/>
      <c r="D350" s="280" t="n"/>
      <c r="E350" s="280" t="n"/>
      <c r="F350" s="280" t="n"/>
      <c r="G350" s="280" t="n"/>
      <c r="H350" s="280" t="n"/>
      <c r="I350" s="332">
        <f>IFERROR(VLOOKUP(TEXT(H350,"0"),IPRESS!$A$3:$B$212,2,0),"")</f>
        <v/>
      </c>
      <c r="J350" s="280" t="n"/>
      <c r="K350" s="332">
        <f>IFERROR(VLOOKUP(TEXT(O350,"0"),CONDUCTORES!$A$3:$G$54,7,0),"")</f>
        <v/>
      </c>
      <c r="L350" s="280" t="n"/>
      <c r="M350" s="280" t="n"/>
      <c r="N350" s="333">
        <f>IFERROR(IF(L350*M350=0,"",L350*M350),"")</f>
        <v/>
      </c>
      <c r="O350" s="280" t="n"/>
      <c r="P350" s="332">
        <f>IFERROR(VLOOKUP(TEXT(O350,"0"),CONDUCTORES!$A$3:$G$54,2,0),"")</f>
        <v/>
      </c>
      <c r="Q350" s="332">
        <f>IFERROR(VLOOKUP(TEXT(O350,"0"),CONDUCTORES!$A$3:$H$54,6,0),"")</f>
        <v/>
      </c>
      <c r="R350" s="280" t="n"/>
      <c r="S350" s="280" t="n"/>
      <c r="T350" s="280" t="n"/>
      <c r="U350" s="280" t="n"/>
      <c r="V350" s="280" t="n"/>
      <c r="W350" s="280" t="n"/>
      <c r="X350" s="280" t="n"/>
      <c r="Y350" s="280" t="n"/>
    </row>
    <row r="351" ht="15" customHeight="1" s="195">
      <c r="A351" s="334" t="n"/>
      <c r="B351" s="334" t="n"/>
      <c r="C351" s="334" t="n"/>
      <c r="D351" s="334" t="n"/>
      <c r="E351" s="334" t="n"/>
      <c r="F351" s="334" t="n"/>
      <c r="G351" s="334" t="n"/>
      <c r="H351" s="334" t="n"/>
      <c r="I351" s="332">
        <f>IFERROR(VLOOKUP(TEXT(H351,"0"),IPRESS!$A$3:$B$212,2,0),"")</f>
        <v/>
      </c>
      <c r="J351" s="334" t="n"/>
      <c r="K351" s="332">
        <f>IFERROR(VLOOKUP(TEXT(O351,"0"),CONDUCTORES!$A$3:$G$54,7,0),"")</f>
        <v/>
      </c>
      <c r="L351" s="334" t="n"/>
      <c r="M351" s="334" t="n"/>
      <c r="N351" s="333">
        <f>IFERROR(IF(L351*M351=0,"",L351*M351),"")</f>
        <v/>
      </c>
      <c r="O351" s="334" t="n"/>
      <c r="P351" s="332">
        <f>IFERROR(VLOOKUP(TEXT(O351,"0"),CONDUCTORES!$A$3:$G$54,2,0),"")</f>
        <v/>
      </c>
      <c r="Q351" s="332">
        <f>IFERROR(VLOOKUP(TEXT(O351,"0"),CONDUCTORES!$A$3:$H$54,6,0),"")</f>
        <v/>
      </c>
      <c r="R351" s="334" t="n"/>
      <c r="S351" s="334" t="n"/>
      <c r="T351" s="334" t="n"/>
      <c r="U351" s="334" t="n"/>
      <c r="V351" s="334" t="n"/>
      <c r="W351" s="334" t="n"/>
      <c r="X351" s="334" t="n"/>
      <c r="Y351" s="334" t="n"/>
    </row>
    <row r="352" ht="15" customHeight="1" s="195">
      <c r="A352" s="280" t="n"/>
      <c r="B352" s="280" t="n"/>
      <c r="C352" s="280" t="n"/>
      <c r="D352" s="280" t="n"/>
      <c r="E352" s="280" t="n"/>
      <c r="F352" s="280" t="n"/>
      <c r="G352" s="280" t="n"/>
      <c r="H352" s="280" t="n"/>
      <c r="I352" s="332">
        <f>IFERROR(VLOOKUP(TEXT(H352,"0"),IPRESS!$A$3:$B$212,2,0),"")</f>
        <v/>
      </c>
      <c r="J352" s="280" t="n"/>
      <c r="K352" s="332">
        <f>IFERROR(VLOOKUP(TEXT(O352,"0"),CONDUCTORES!$A$3:$G$54,7,0),"")</f>
        <v/>
      </c>
      <c r="L352" s="280" t="n"/>
      <c r="M352" s="280" t="n"/>
      <c r="N352" s="333">
        <f>IFERROR(IF(L352*M352=0,"",L352*M352),"")</f>
        <v/>
      </c>
      <c r="O352" s="280" t="n"/>
      <c r="P352" s="332">
        <f>IFERROR(VLOOKUP(TEXT(O352,"0"),CONDUCTORES!$A$3:$G$54,2,0),"")</f>
        <v/>
      </c>
      <c r="Q352" s="332">
        <f>IFERROR(VLOOKUP(TEXT(O352,"0"),CONDUCTORES!$A$3:$H$54,6,0),"")</f>
        <v/>
      </c>
      <c r="R352" s="280" t="n"/>
      <c r="S352" s="280" t="n"/>
      <c r="T352" s="280" t="n"/>
      <c r="U352" s="280" t="n"/>
      <c r="V352" s="280" t="n"/>
      <c r="W352" s="280" t="n"/>
      <c r="X352" s="280" t="n"/>
      <c r="Y352" s="280" t="n"/>
    </row>
    <row r="353" ht="15" customHeight="1" s="195">
      <c r="A353" s="334" t="n"/>
      <c r="B353" s="334" t="n"/>
      <c r="C353" s="334" t="n"/>
      <c r="D353" s="334" t="n"/>
      <c r="E353" s="334" t="n"/>
      <c r="F353" s="334" t="n"/>
      <c r="G353" s="334" t="n"/>
      <c r="H353" s="334" t="n"/>
      <c r="I353" s="332">
        <f>IFERROR(VLOOKUP(TEXT(H353,"0"),IPRESS!$A$3:$B$212,2,0),"")</f>
        <v/>
      </c>
      <c r="J353" s="334" t="n"/>
      <c r="K353" s="332">
        <f>IFERROR(VLOOKUP(TEXT(O353,"0"),CONDUCTORES!$A$3:$G$54,7,0),"")</f>
        <v/>
      </c>
      <c r="L353" s="334" t="n"/>
      <c r="M353" s="334" t="n"/>
      <c r="N353" s="333">
        <f>IFERROR(IF(L353*M353=0,"",L353*M353),"")</f>
        <v/>
      </c>
      <c r="O353" s="334" t="n"/>
      <c r="P353" s="332">
        <f>IFERROR(VLOOKUP(TEXT(O353,"0"),CONDUCTORES!$A$3:$G$54,2,0),"")</f>
        <v/>
      </c>
      <c r="Q353" s="332">
        <f>IFERROR(VLOOKUP(TEXT(O353,"0"),CONDUCTORES!$A$3:$H$54,6,0),"")</f>
        <v/>
      </c>
      <c r="R353" s="334" t="n"/>
      <c r="S353" s="334" t="n"/>
      <c r="T353" s="334" t="n"/>
      <c r="U353" s="334" t="n"/>
      <c r="V353" s="334" t="n"/>
      <c r="W353" s="334" t="n"/>
      <c r="X353" s="334" t="n"/>
      <c r="Y353" s="334" t="n"/>
    </row>
    <row r="354" ht="15" customHeight="1" s="195">
      <c r="A354" s="280" t="n"/>
      <c r="B354" s="280" t="n"/>
      <c r="C354" s="280" t="n"/>
      <c r="D354" s="280" t="n"/>
      <c r="E354" s="280" t="n"/>
      <c r="F354" s="280" t="n"/>
      <c r="G354" s="280" t="n"/>
      <c r="H354" s="280" t="n"/>
      <c r="I354" s="332">
        <f>IFERROR(VLOOKUP(TEXT(H354,"0"),IPRESS!$A$3:$B$212,2,0),"")</f>
        <v/>
      </c>
      <c r="J354" s="280" t="n"/>
      <c r="K354" s="332">
        <f>IFERROR(VLOOKUP(TEXT(O354,"0"),CONDUCTORES!$A$3:$G$54,7,0),"")</f>
        <v/>
      </c>
      <c r="L354" s="280" t="n"/>
      <c r="M354" s="280" t="n"/>
      <c r="N354" s="333">
        <f>IFERROR(IF(L354*M354=0,"",L354*M354),"")</f>
        <v/>
      </c>
      <c r="O354" s="280" t="n"/>
      <c r="P354" s="332">
        <f>IFERROR(VLOOKUP(TEXT(O354,"0"),CONDUCTORES!$A$3:$G$54,2,0),"")</f>
        <v/>
      </c>
      <c r="Q354" s="332">
        <f>IFERROR(VLOOKUP(TEXT(O354,"0"),CONDUCTORES!$A$3:$H$54,6,0),"")</f>
        <v/>
      </c>
      <c r="R354" s="280" t="n"/>
      <c r="S354" s="280" t="n"/>
      <c r="T354" s="280" t="n"/>
      <c r="U354" s="280" t="n"/>
      <c r="V354" s="280" t="n"/>
      <c r="W354" s="280" t="n"/>
      <c r="X354" s="280" t="n"/>
      <c r="Y354" s="280" t="n"/>
    </row>
    <row r="355" ht="15" customHeight="1" s="195">
      <c r="A355" s="334" t="n"/>
      <c r="B355" s="334" t="n"/>
      <c r="C355" s="334" t="n"/>
      <c r="D355" s="334" t="n"/>
      <c r="E355" s="334" t="n"/>
      <c r="F355" s="334" t="n"/>
      <c r="G355" s="334" t="n"/>
      <c r="H355" s="334" t="n"/>
      <c r="I355" s="332">
        <f>IFERROR(VLOOKUP(TEXT(H355,"0"),IPRESS!$A$3:$B$212,2,0),"")</f>
        <v/>
      </c>
      <c r="J355" s="334" t="n"/>
      <c r="K355" s="332">
        <f>IFERROR(VLOOKUP(TEXT(O355,"0"),CONDUCTORES!$A$3:$G$54,7,0),"")</f>
        <v/>
      </c>
      <c r="L355" s="334" t="n"/>
      <c r="M355" s="334" t="n"/>
      <c r="N355" s="333">
        <f>IFERROR(IF(L355*M355=0,"",L355*M355),"")</f>
        <v/>
      </c>
      <c r="O355" s="334" t="n"/>
      <c r="P355" s="332">
        <f>IFERROR(VLOOKUP(TEXT(O355,"0"),CONDUCTORES!$A$3:$G$54,2,0),"")</f>
        <v/>
      </c>
      <c r="Q355" s="332">
        <f>IFERROR(VLOOKUP(TEXT(O355,"0"),CONDUCTORES!$A$3:$H$54,6,0),"")</f>
        <v/>
      </c>
      <c r="R355" s="334" t="n"/>
      <c r="S355" s="334" t="n"/>
      <c r="T355" s="334" t="n"/>
      <c r="U355" s="334" t="n"/>
      <c r="V355" s="334" t="n"/>
      <c r="W355" s="334" t="n"/>
      <c r="X355" s="334" t="n"/>
      <c r="Y355" s="334" t="n"/>
    </row>
    <row r="356" ht="15" customHeight="1" s="195">
      <c r="A356" s="280" t="n"/>
      <c r="B356" s="280" t="n"/>
      <c r="C356" s="280" t="n"/>
      <c r="D356" s="280" t="n"/>
      <c r="E356" s="280" t="n"/>
      <c r="F356" s="280" t="n"/>
      <c r="G356" s="280" t="n"/>
      <c r="H356" s="280" t="n"/>
      <c r="I356" s="332">
        <f>IFERROR(VLOOKUP(TEXT(H356,"0"),IPRESS!$A$3:$B$212,2,0),"")</f>
        <v/>
      </c>
      <c r="J356" s="280" t="n"/>
      <c r="K356" s="332">
        <f>IFERROR(VLOOKUP(TEXT(O356,"0"),CONDUCTORES!$A$3:$G$54,7,0),"")</f>
        <v/>
      </c>
      <c r="L356" s="280" t="n"/>
      <c r="M356" s="280" t="n"/>
      <c r="N356" s="333">
        <f>IFERROR(IF(L356*M356=0,"",L356*M356),"")</f>
        <v/>
      </c>
      <c r="O356" s="280" t="n"/>
      <c r="P356" s="332">
        <f>IFERROR(VLOOKUP(TEXT(O356,"0"),CONDUCTORES!$A$3:$G$54,2,0),"")</f>
        <v/>
      </c>
      <c r="Q356" s="332">
        <f>IFERROR(VLOOKUP(TEXT(O356,"0"),CONDUCTORES!$A$3:$H$54,6,0),"")</f>
        <v/>
      </c>
      <c r="R356" s="280" t="n"/>
      <c r="S356" s="280" t="n"/>
      <c r="T356" s="280" t="n"/>
      <c r="U356" s="280" t="n"/>
      <c r="V356" s="280" t="n"/>
      <c r="W356" s="280" t="n"/>
      <c r="X356" s="280" t="n"/>
      <c r="Y356" s="280" t="n"/>
    </row>
    <row r="357" ht="15" customHeight="1" s="195">
      <c r="A357" s="334" t="n"/>
      <c r="B357" s="334" t="n"/>
      <c r="C357" s="334" t="n"/>
      <c r="D357" s="334" t="n"/>
      <c r="E357" s="334" t="n"/>
      <c r="F357" s="334" t="n"/>
      <c r="G357" s="334" t="n"/>
      <c r="H357" s="334" t="n"/>
      <c r="I357" s="332">
        <f>IFERROR(VLOOKUP(TEXT(H357,"0"),IPRESS!$A$3:$B$212,2,0),"")</f>
        <v/>
      </c>
      <c r="J357" s="334" t="n"/>
      <c r="K357" s="332">
        <f>IFERROR(VLOOKUP(TEXT(O357,"0"),CONDUCTORES!$A$3:$G$54,7,0),"")</f>
        <v/>
      </c>
      <c r="L357" s="334" t="n"/>
      <c r="M357" s="334" t="n"/>
      <c r="N357" s="333">
        <f>IFERROR(IF(L357*M357=0,"",L357*M357),"")</f>
        <v/>
      </c>
      <c r="O357" s="334" t="n"/>
      <c r="P357" s="332">
        <f>IFERROR(VLOOKUP(TEXT(O357,"0"),CONDUCTORES!$A$3:$G$54,2,0),"")</f>
        <v/>
      </c>
      <c r="Q357" s="332">
        <f>IFERROR(VLOOKUP(TEXT(O357,"0"),CONDUCTORES!$A$3:$H$54,6,0),"")</f>
        <v/>
      </c>
      <c r="R357" s="334" t="n"/>
      <c r="S357" s="334" t="n"/>
      <c r="T357" s="334" t="n"/>
      <c r="U357" s="334" t="n"/>
      <c r="V357" s="334" t="n"/>
      <c r="W357" s="334" t="n"/>
      <c r="X357" s="334" t="n"/>
      <c r="Y357" s="334" t="n"/>
    </row>
    <row r="358" ht="15" customHeight="1" s="195">
      <c r="A358" s="280" t="n"/>
      <c r="B358" s="280" t="n"/>
      <c r="C358" s="280" t="n"/>
      <c r="D358" s="280" t="n"/>
      <c r="E358" s="280" t="n"/>
      <c r="F358" s="280" t="n"/>
      <c r="G358" s="280" t="n"/>
      <c r="H358" s="280" t="n"/>
      <c r="I358" s="332">
        <f>IFERROR(VLOOKUP(TEXT(H358,"0"),IPRESS!$A$3:$B$212,2,0),"")</f>
        <v/>
      </c>
      <c r="J358" s="280" t="n"/>
      <c r="K358" s="332">
        <f>IFERROR(VLOOKUP(TEXT(O358,"0"),CONDUCTORES!$A$3:$G$54,7,0),"")</f>
        <v/>
      </c>
      <c r="L358" s="280" t="n"/>
      <c r="M358" s="280" t="n"/>
      <c r="N358" s="333">
        <f>IFERROR(IF(L358*M358=0,"",L358*M358),"")</f>
        <v/>
      </c>
      <c r="O358" s="280" t="n"/>
      <c r="P358" s="332">
        <f>IFERROR(VLOOKUP(TEXT(O358,"0"),CONDUCTORES!$A$3:$G$54,2,0),"")</f>
        <v/>
      </c>
      <c r="Q358" s="332">
        <f>IFERROR(VLOOKUP(TEXT(O358,"0"),CONDUCTORES!$A$3:$H$54,6,0),"")</f>
        <v/>
      </c>
      <c r="R358" s="280" t="n"/>
      <c r="S358" s="280" t="n"/>
      <c r="T358" s="280" t="n"/>
      <c r="U358" s="280" t="n"/>
      <c r="V358" s="280" t="n"/>
      <c r="W358" s="280" t="n"/>
      <c r="X358" s="280" t="n"/>
      <c r="Y358" s="280" t="n"/>
    </row>
    <row r="359" ht="15" customHeight="1" s="195">
      <c r="A359" s="334" t="n"/>
      <c r="B359" s="334" t="n"/>
      <c r="C359" s="334" t="n"/>
      <c r="D359" s="334" t="n"/>
      <c r="E359" s="334" t="n"/>
      <c r="F359" s="334" t="n"/>
      <c r="G359" s="334" t="n"/>
      <c r="H359" s="334" t="n"/>
      <c r="I359" s="332">
        <f>IFERROR(VLOOKUP(TEXT(H359,"0"),IPRESS!$A$3:$B$212,2,0),"")</f>
        <v/>
      </c>
      <c r="J359" s="334" t="n"/>
      <c r="K359" s="332">
        <f>IFERROR(VLOOKUP(TEXT(O359,"0"),CONDUCTORES!$A$3:$G$54,7,0),"")</f>
        <v/>
      </c>
      <c r="L359" s="334" t="n"/>
      <c r="M359" s="334" t="n"/>
      <c r="N359" s="333">
        <f>IFERROR(IF(L359*M359=0,"",L359*M359),"")</f>
        <v/>
      </c>
      <c r="O359" s="334" t="n"/>
      <c r="P359" s="332">
        <f>IFERROR(VLOOKUP(TEXT(O359,"0"),CONDUCTORES!$A$3:$G$54,2,0),"")</f>
        <v/>
      </c>
      <c r="Q359" s="332">
        <f>IFERROR(VLOOKUP(TEXT(O359,"0"),CONDUCTORES!$A$3:$H$54,6,0),"")</f>
        <v/>
      </c>
      <c r="R359" s="334" t="n"/>
      <c r="S359" s="334" t="n"/>
      <c r="T359" s="334" t="n"/>
      <c r="U359" s="334" t="n"/>
      <c r="V359" s="334" t="n"/>
      <c r="W359" s="334" t="n"/>
      <c r="X359" s="334" t="n"/>
      <c r="Y359" s="334" t="n"/>
    </row>
    <row r="360" ht="15" customHeight="1" s="195">
      <c r="A360" s="280" t="n"/>
      <c r="B360" s="280" t="n"/>
      <c r="C360" s="280" t="n"/>
      <c r="D360" s="280" t="n"/>
      <c r="E360" s="280" t="n"/>
      <c r="F360" s="280" t="n"/>
      <c r="G360" s="280" t="n"/>
      <c r="H360" s="280" t="n"/>
      <c r="I360" s="332">
        <f>IFERROR(VLOOKUP(TEXT(H360,"0"),IPRESS!$A$3:$B$212,2,0),"")</f>
        <v/>
      </c>
      <c r="J360" s="280" t="n"/>
      <c r="K360" s="332">
        <f>IFERROR(VLOOKUP(TEXT(O360,"0"),CONDUCTORES!$A$3:$G$54,7,0),"")</f>
        <v/>
      </c>
      <c r="L360" s="280" t="n"/>
      <c r="M360" s="280" t="n"/>
      <c r="N360" s="333">
        <f>IFERROR(IF(L360*M360=0,"",L360*M360),"")</f>
        <v/>
      </c>
      <c r="O360" s="280" t="n"/>
      <c r="P360" s="332">
        <f>IFERROR(VLOOKUP(TEXT(O360,"0"),CONDUCTORES!$A$3:$G$54,2,0),"")</f>
        <v/>
      </c>
      <c r="Q360" s="332">
        <f>IFERROR(VLOOKUP(TEXT(O360,"0"),CONDUCTORES!$A$3:$H$54,6,0),"")</f>
        <v/>
      </c>
      <c r="R360" s="280" t="n"/>
      <c r="S360" s="280" t="n"/>
      <c r="T360" s="280" t="n"/>
      <c r="U360" s="280" t="n"/>
      <c r="V360" s="280" t="n"/>
      <c r="W360" s="280" t="n"/>
      <c r="X360" s="280" t="n"/>
      <c r="Y360" s="280" t="n"/>
    </row>
    <row r="361" ht="15" customHeight="1" s="195">
      <c r="A361" s="334" t="n"/>
      <c r="B361" s="334" t="n"/>
      <c r="C361" s="334" t="n"/>
      <c r="D361" s="334" t="n"/>
      <c r="E361" s="334" t="n"/>
      <c r="F361" s="334" t="n"/>
      <c r="G361" s="334" t="n"/>
      <c r="H361" s="334" t="n"/>
      <c r="I361" s="332">
        <f>IFERROR(VLOOKUP(TEXT(H361,"0"),IPRESS!$A$3:$B$212,2,0),"")</f>
        <v/>
      </c>
      <c r="J361" s="334" t="n"/>
      <c r="K361" s="332">
        <f>IFERROR(VLOOKUP(TEXT(O361,"0"),CONDUCTORES!$A$3:$G$54,7,0),"")</f>
        <v/>
      </c>
      <c r="L361" s="334" t="n"/>
      <c r="M361" s="334" t="n"/>
      <c r="N361" s="333">
        <f>IFERROR(IF(L361*M361=0,"",L361*M361),"")</f>
        <v/>
      </c>
      <c r="O361" s="334" t="n"/>
      <c r="P361" s="332">
        <f>IFERROR(VLOOKUP(TEXT(O361,"0"),CONDUCTORES!$A$3:$G$54,2,0),"")</f>
        <v/>
      </c>
      <c r="Q361" s="332">
        <f>IFERROR(VLOOKUP(TEXT(O361,"0"),CONDUCTORES!$A$3:$H$54,6,0),"")</f>
        <v/>
      </c>
      <c r="R361" s="334" t="n"/>
      <c r="S361" s="334" t="n"/>
      <c r="T361" s="334" t="n"/>
      <c r="U361" s="334" t="n"/>
      <c r="V361" s="334" t="n"/>
      <c r="W361" s="334" t="n"/>
      <c r="X361" s="334" t="n"/>
      <c r="Y361" s="334" t="n"/>
    </row>
    <row r="362" ht="15" customHeight="1" s="195">
      <c r="A362" s="280" t="n"/>
      <c r="B362" s="280" t="n"/>
      <c r="C362" s="280" t="n"/>
      <c r="D362" s="280" t="n"/>
      <c r="E362" s="280" t="n"/>
      <c r="F362" s="280" t="n"/>
      <c r="G362" s="280" t="n"/>
      <c r="H362" s="280" t="n"/>
      <c r="I362" s="332">
        <f>IFERROR(VLOOKUP(TEXT(H362,"0"),IPRESS!$A$3:$B$212,2,0),"")</f>
        <v/>
      </c>
      <c r="J362" s="280" t="n"/>
      <c r="K362" s="332">
        <f>IFERROR(VLOOKUP(TEXT(O362,"0"),CONDUCTORES!$A$3:$G$54,7,0),"")</f>
        <v/>
      </c>
      <c r="L362" s="280" t="n"/>
      <c r="M362" s="280" t="n"/>
      <c r="N362" s="333">
        <f>IFERROR(IF(L362*M362=0,"",L362*M362),"")</f>
        <v/>
      </c>
      <c r="O362" s="280" t="n"/>
      <c r="P362" s="332">
        <f>IFERROR(VLOOKUP(TEXT(O362,"0"),CONDUCTORES!$A$3:$G$54,2,0),"")</f>
        <v/>
      </c>
      <c r="Q362" s="332">
        <f>IFERROR(VLOOKUP(TEXT(O362,"0"),CONDUCTORES!$A$3:$H$54,6,0),"")</f>
        <v/>
      </c>
      <c r="R362" s="280" t="n"/>
      <c r="S362" s="280" t="n"/>
      <c r="T362" s="280" t="n"/>
      <c r="U362" s="280" t="n"/>
      <c r="V362" s="280" t="n"/>
      <c r="W362" s="280" t="n"/>
      <c r="X362" s="280" t="n"/>
      <c r="Y362" s="280" t="n"/>
    </row>
    <row r="363" ht="15" customHeight="1" s="195">
      <c r="A363" s="334" t="n"/>
      <c r="B363" s="334" t="n"/>
      <c r="C363" s="334" t="n"/>
      <c r="D363" s="334" t="n"/>
      <c r="E363" s="334" t="n"/>
      <c r="F363" s="334" t="n"/>
      <c r="G363" s="334" t="n"/>
      <c r="H363" s="334" t="n"/>
      <c r="I363" s="332">
        <f>IFERROR(VLOOKUP(TEXT(H363,"0"),IPRESS!$A$3:$B$212,2,0),"")</f>
        <v/>
      </c>
      <c r="J363" s="334" t="n"/>
      <c r="K363" s="332">
        <f>IFERROR(VLOOKUP(TEXT(O363,"0"),CONDUCTORES!$A$3:$G$54,7,0),"")</f>
        <v/>
      </c>
      <c r="L363" s="334" t="n"/>
      <c r="M363" s="334" t="n"/>
      <c r="N363" s="333">
        <f>IFERROR(IF(L363*M363=0,"",L363*M363),"")</f>
        <v/>
      </c>
      <c r="O363" s="334" t="n"/>
      <c r="P363" s="332">
        <f>IFERROR(VLOOKUP(TEXT(O363,"0"),CONDUCTORES!$A$3:$G$54,2,0),"")</f>
        <v/>
      </c>
      <c r="Q363" s="332">
        <f>IFERROR(VLOOKUP(TEXT(O363,"0"),CONDUCTORES!$A$3:$H$54,6,0),"")</f>
        <v/>
      </c>
      <c r="R363" s="334" t="n"/>
      <c r="S363" s="334" t="n"/>
      <c r="T363" s="334" t="n"/>
      <c r="U363" s="334" t="n"/>
      <c r="V363" s="334" t="n"/>
      <c r="W363" s="334" t="n"/>
      <c r="X363" s="334" t="n"/>
      <c r="Y363" s="334" t="n"/>
    </row>
    <row r="364" ht="15" customHeight="1" s="195">
      <c r="A364" s="280" t="n"/>
      <c r="B364" s="280" t="n"/>
      <c r="C364" s="280" t="n"/>
      <c r="D364" s="280" t="n"/>
      <c r="E364" s="280" t="n"/>
      <c r="F364" s="280" t="n"/>
      <c r="G364" s="280" t="n"/>
      <c r="H364" s="280" t="n"/>
      <c r="I364" s="332">
        <f>IFERROR(VLOOKUP(TEXT(H364,"0"),IPRESS!$A$3:$B$212,2,0),"")</f>
        <v/>
      </c>
      <c r="J364" s="280" t="n"/>
      <c r="K364" s="332">
        <f>IFERROR(VLOOKUP(TEXT(O364,"0"),CONDUCTORES!$A$3:$G$54,7,0),"")</f>
        <v/>
      </c>
      <c r="L364" s="280" t="n"/>
      <c r="M364" s="280" t="n"/>
      <c r="N364" s="333">
        <f>IFERROR(IF(L364*M364=0,"",L364*M364),"")</f>
        <v/>
      </c>
      <c r="O364" s="280" t="n"/>
      <c r="P364" s="332">
        <f>IFERROR(VLOOKUP(TEXT(O364,"0"),CONDUCTORES!$A$3:$G$54,2,0),"")</f>
        <v/>
      </c>
      <c r="Q364" s="332">
        <f>IFERROR(VLOOKUP(TEXT(O364,"0"),CONDUCTORES!$A$3:$H$54,6,0),"")</f>
        <v/>
      </c>
      <c r="R364" s="280" t="n"/>
      <c r="S364" s="280" t="n"/>
      <c r="T364" s="280" t="n"/>
      <c r="U364" s="280" t="n"/>
      <c r="V364" s="280" t="n"/>
      <c r="W364" s="280" t="n"/>
      <c r="X364" s="280" t="n"/>
      <c r="Y364" s="280" t="n"/>
    </row>
    <row r="365" ht="15" customHeight="1" s="195">
      <c r="A365" s="334" t="n"/>
      <c r="B365" s="334" t="n"/>
      <c r="C365" s="334" t="n"/>
      <c r="D365" s="334" t="n"/>
      <c r="E365" s="334" t="n"/>
      <c r="F365" s="334" t="n"/>
      <c r="G365" s="334" t="n"/>
      <c r="H365" s="334" t="n"/>
      <c r="I365" s="332">
        <f>IFERROR(VLOOKUP(TEXT(H365,"0"),IPRESS!$A$3:$B$212,2,0),"")</f>
        <v/>
      </c>
      <c r="J365" s="334" t="n"/>
      <c r="K365" s="332">
        <f>IFERROR(VLOOKUP(TEXT(O365,"0"),CONDUCTORES!$A$3:$G$54,7,0),"")</f>
        <v/>
      </c>
      <c r="L365" s="334" t="n"/>
      <c r="M365" s="334" t="n"/>
      <c r="N365" s="333">
        <f>IFERROR(IF(L365*M365=0,"",L365*M365),"")</f>
        <v/>
      </c>
      <c r="O365" s="334" t="n"/>
      <c r="P365" s="332">
        <f>IFERROR(VLOOKUP(TEXT(O365,"0"),CONDUCTORES!$A$3:$G$54,2,0),"")</f>
        <v/>
      </c>
      <c r="Q365" s="332">
        <f>IFERROR(VLOOKUP(TEXT(O365,"0"),CONDUCTORES!$A$3:$H$54,6,0),"")</f>
        <v/>
      </c>
      <c r="R365" s="334" t="n"/>
      <c r="S365" s="334" t="n"/>
      <c r="T365" s="334" t="n"/>
      <c r="U365" s="334" t="n"/>
      <c r="V365" s="334" t="n"/>
      <c r="W365" s="334" t="n"/>
      <c r="X365" s="334" t="n"/>
      <c r="Y365" s="334" t="n"/>
    </row>
    <row r="366" ht="15" customHeight="1" s="195">
      <c r="A366" s="280" t="n"/>
      <c r="B366" s="280" t="n"/>
      <c r="C366" s="280" t="n"/>
      <c r="D366" s="280" t="n"/>
      <c r="E366" s="280" t="n"/>
      <c r="F366" s="280" t="n"/>
      <c r="G366" s="280" t="n"/>
      <c r="H366" s="280" t="n"/>
      <c r="I366" s="332">
        <f>IFERROR(VLOOKUP(TEXT(H366,"0"),IPRESS!$A$3:$B$212,2,0),"")</f>
        <v/>
      </c>
      <c r="J366" s="280" t="n"/>
      <c r="K366" s="332">
        <f>IFERROR(VLOOKUP(TEXT(O366,"0"),CONDUCTORES!$A$3:$G$54,7,0),"")</f>
        <v/>
      </c>
      <c r="L366" s="280" t="n"/>
      <c r="M366" s="280" t="n"/>
      <c r="N366" s="333">
        <f>IFERROR(IF(L366*M366=0,"",L366*M366),"")</f>
        <v/>
      </c>
      <c r="O366" s="280" t="n"/>
      <c r="P366" s="332">
        <f>IFERROR(VLOOKUP(TEXT(O366,"0"),CONDUCTORES!$A$3:$G$54,2,0),"")</f>
        <v/>
      </c>
      <c r="Q366" s="332">
        <f>IFERROR(VLOOKUP(TEXT(O366,"0"),CONDUCTORES!$A$3:$H$54,6,0),"")</f>
        <v/>
      </c>
      <c r="R366" s="280" t="n"/>
      <c r="S366" s="280" t="n"/>
      <c r="T366" s="280" t="n"/>
      <c r="U366" s="280" t="n"/>
      <c r="V366" s="280" t="n"/>
      <c r="W366" s="280" t="n"/>
      <c r="X366" s="280" t="n"/>
      <c r="Y366" s="280" t="n"/>
    </row>
    <row r="367" ht="15" customHeight="1" s="195">
      <c r="A367" s="334" t="n"/>
      <c r="B367" s="334" t="n"/>
      <c r="C367" s="334" t="n"/>
      <c r="D367" s="334" t="n"/>
      <c r="E367" s="334" t="n"/>
      <c r="F367" s="334" t="n"/>
      <c r="G367" s="334" t="n"/>
      <c r="H367" s="334" t="n"/>
      <c r="I367" s="332">
        <f>IFERROR(VLOOKUP(TEXT(H367,"0"),IPRESS!$A$3:$B$212,2,0),"")</f>
        <v/>
      </c>
      <c r="J367" s="334" t="n"/>
      <c r="K367" s="332">
        <f>IFERROR(VLOOKUP(TEXT(O367,"0"),CONDUCTORES!$A$3:$G$54,7,0),"")</f>
        <v/>
      </c>
      <c r="L367" s="334" t="n"/>
      <c r="M367" s="334" t="n"/>
      <c r="N367" s="333">
        <f>IFERROR(IF(L367*M367=0,"",L367*M367),"")</f>
        <v/>
      </c>
      <c r="O367" s="334" t="n"/>
      <c r="P367" s="332">
        <f>IFERROR(VLOOKUP(TEXT(O367,"0"),CONDUCTORES!$A$3:$G$54,2,0),"")</f>
        <v/>
      </c>
      <c r="Q367" s="332">
        <f>IFERROR(VLOOKUP(TEXT(O367,"0"),CONDUCTORES!$A$3:$H$54,6,0),"")</f>
        <v/>
      </c>
      <c r="R367" s="334" t="n"/>
      <c r="S367" s="334" t="n"/>
      <c r="T367" s="334" t="n"/>
      <c r="U367" s="334" t="n"/>
      <c r="V367" s="334" t="n"/>
      <c r="W367" s="334" t="n"/>
      <c r="X367" s="334" t="n"/>
      <c r="Y367" s="334" t="n"/>
    </row>
    <row r="368" ht="15" customHeight="1" s="195">
      <c r="A368" s="280" t="n"/>
      <c r="B368" s="280" t="n"/>
      <c r="C368" s="280" t="n"/>
      <c r="D368" s="280" t="n"/>
      <c r="E368" s="280" t="n"/>
      <c r="F368" s="280" t="n"/>
      <c r="G368" s="280" t="n"/>
      <c r="H368" s="280" t="n"/>
      <c r="I368" s="332">
        <f>IFERROR(VLOOKUP(TEXT(H368,"0"),IPRESS!$A$3:$B$212,2,0),"")</f>
        <v/>
      </c>
      <c r="J368" s="280" t="n"/>
      <c r="K368" s="332">
        <f>IFERROR(VLOOKUP(TEXT(O368,"0"),CONDUCTORES!$A$3:$G$54,7,0),"")</f>
        <v/>
      </c>
      <c r="L368" s="280" t="n"/>
      <c r="M368" s="280" t="n"/>
      <c r="N368" s="333">
        <f>IFERROR(IF(L368*M368=0,"",L368*M368),"")</f>
        <v/>
      </c>
      <c r="O368" s="280" t="n"/>
      <c r="P368" s="332">
        <f>IFERROR(VLOOKUP(TEXT(O368,"0"),CONDUCTORES!$A$3:$G$54,2,0),"")</f>
        <v/>
      </c>
      <c r="Q368" s="332">
        <f>IFERROR(VLOOKUP(TEXT(O368,"0"),CONDUCTORES!$A$3:$H$54,6,0),"")</f>
        <v/>
      </c>
      <c r="R368" s="280" t="n"/>
      <c r="S368" s="280" t="n"/>
      <c r="T368" s="280" t="n"/>
      <c r="U368" s="280" t="n"/>
      <c r="V368" s="280" t="n"/>
      <c r="W368" s="280" t="n"/>
      <c r="X368" s="280" t="n"/>
      <c r="Y368" s="280" t="n"/>
    </row>
    <row r="369" ht="15" customHeight="1" s="195">
      <c r="A369" s="334" t="n"/>
      <c r="B369" s="334" t="n"/>
      <c r="C369" s="334" t="n"/>
      <c r="D369" s="334" t="n"/>
      <c r="E369" s="334" t="n"/>
      <c r="F369" s="334" t="n"/>
      <c r="G369" s="334" t="n"/>
      <c r="H369" s="334" t="n"/>
      <c r="I369" s="332">
        <f>IFERROR(VLOOKUP(TEXT(H369,"0"),IPRESS!$A$3:$B$212,2,0),"")</f>
        <v/>
      </c>
      <c r="J369" s="334" t="n"/>
      <c r="K369" s="332">
        <f>IFERROR(VLOOKUP(TEXT(O369,"0"),CONDUCTORES!$A$3:$G$54,7,0),"")</f>
        <v/>
      </c>
      <c r="L369" s="334" t="n"/>
      <c r="M369" s="334" t="n"/>
      <c r="N369" s="333">
        <f>IFERROR(IF(L369*M369=0,"",L369*M369),"")</f>
        <v/>
      </c>
      <c r="O369" s="334" t="n"/>
      <c r="P369" s="332">
        <f>IFERROR(VLOOKUP(TEXT(O369,"0"),CONDUCTORES!$A$3:$G$54,2,0),"")</f>
        <v/>
      </c>
      <c r="Q369" s="332">
        <f>IFERROR(VLOOKUP(TEXT(O369,"0"),CONDUCTORES!$A$3:$H$54,6,0),"")</f>
        <v/>
      </c>
      <c r="R369" s="334" t="n"/>
      <c r="S369" s="334" t="n"/>
      <c r="T369" s="334" t="n"/>
      <c r="U369" s="334" t="n"/>
      <c r="V369" s="334" t="n"/>
      <c r="W369" s="334" t="n"/>
      <c r="X369" s="334" t="n"/>
      <c r="Y369" s="334" t="n"/>
    </row>
    <row r="370" ht="15" customHeight="1" s="195">
      <c r="A370" s="280" t="n"/>
      <c r="B370" s="280" t="n"/>
      <c r="C370" s="280" t="n"/>
      <c r="D370" s="280" t="n"/>
      <c r="E370" s="280" t="n"/>
      <c r="F370" s="280" t="n"/>
      <c r="G370" s="280" t="n"/>
      <c r="H370" s="280" t="n"/>
      <c r="I370" s="332">
        <f>IFERROR(VLOOKUP(TEXT(H370,"0"),IPRESS!$A$3:$B$212,2,0),"")</f>
        <v/>
      </c>
      <c r="J370" s="280" t="n"/>
      <c r="K370" s="332">
        <f>IFERROR(VLOOKUP(TEXT(O370,"0"),CONDUCTORES!$A$3:$G$54,7,0),"")</f>
        <v/>
      </c>
      <c r="L370" s="280" t="n"/>
      <c r="M370" s="280" t="n"/>
      <c r="N370" s="333">
        <f>IFERROR(IF(L370*M370=0,"",L370*M370),"")</f>
        <v/>
      </c>
      <c r="O370" s="280" t="n"/>
      <c r="P370" s="332">
        <f>IFERROR(VLOOKUP(TEXT(O370,"0"),CONDUCTORES!$A$3:$G$54,2,0),"")</f>
        <v/>
      </c>
      <c r="Q370" s="332">
        <f>IFERROR(VLOOKUP(TEXT(O370,"0"),CONDUCTORES!$A$3:$H$54,6,0),"")</f>
        <v/>
      </c>
      <c r="R370" s="280" t="n"/>
      <c r="S370" s="280" t="n"/>
      <c r="T370" s="280" t="n"/>
      <c r="U370" s="280" t="n"/>
      <c r="V370" s="280" t="n"/>
      <c r="W370" s="280" t="n"/>
      <c r="X370" s="280" t="n"/>
      <c r="Y370" s="280" t="n"/>
    </row>
    <row r="371" ht="15" customHeight="1" s="195">
      <c r="A371" s="334" t="n"/>
      <c r="B371" s="334" t="n"/>
      <c r="C371" s="334" t="n"/>
      <c r="D371" s="334" t="n"/>
      <c r="E371" s="334" t="n"/>
      <c r="F371" s="334" t="n"/>
      <c r="G371" s="334" t="n"/>
      <c r="H371" s="334" t="n"/>
      <c r="I371" s="332">
        <f>IFERROR(VLOOKUP(TEXT(H371,"0"),IPRESS!$A$3:$B$212,2,0),"")</f>
        <v/>
      </c>
      <c r="J371" s="334" t="n"/>
      <c r="K371" s="332">
        <f>IFERROR(VLOOKUP(TEXT(O371,"0"),CONDUCTORES!$A$3:$G$54,7,0),"")</f>
        <v/>
      </c>
      <c r="L371" s="334" t="n"/>
      <c r="M371" s="334" t="n"/>
      <c r="N371" s="333">
        <f>IFERROR(IF(L371*M371=0,"",L371*M371),"")</f>
        <v/>
      </c>
      <c r="O371" s="334" t="n"/>
      <c r="P371" s="332">
        <f>IFERROR(VLOOKUP(TEXT(O371,"0"),CONDUCTORES!$A$3:$G$54,2,0),"")</f>
        <v/>
      </c>
      <c r="Q371" s="332">
        <f>IFERROR(VLOOKUP(TEXT(O371,"0"),CONDUCTORES!$A$3:$H$54,6,0),"")</f>
        <v/>
      </c>
      <c r="R371" s="334" t="n"/>
      <c r="S371" s="334" t="n"/>
      <c r="T371" s="334" t="n"/>
      <c r="U371" s="334" t="n"/>
      <c r="V371" s="334" t="n"/>
      <c r="W371" s="334" t="n"/>
      <c r="X371" s="334" t="n"/>
      <c r="Y371" s="334" t="n"/>
    </row>
    <row r="372" ht="15" customHeight="1" s="195">
      <c r="A372" s="280" t="n"/>
      <c r="B372" s="280" t="n"/>
      <c r="C372" s="280" t="n"/>
      <c r="D372" s="280" t="n"/>
      <c r="E372" s="280" t="n"/>
      <c r="F372" s="280" t="n"/>
      <c r="G372" s="280" t="n"/>
      <c r="H372" s="280" t="n"/>
      <c r="I372" s="332">
        <f>IFERROR(VLOOKUP(TEXT(H372,"0"),IPRESS!$A$3:$B$212,2,0),"")</f>
        <v/>
      </c>
      <c r="J372" s="280" t="n"/>
      <c r="K372" s="332">
        <f>IFERROR(VLOOKUP(TEXT(O372,"0"),CONDUCTORES!$A$3:$G$54,7,0),"")</f>
        <v/>
      </c>
      <c r="L372" s="280" t="n"/>
      <c r="M372" s="280" t="n"/>
      <c r="N372" s="333">
        <f>IFERROR(IF(L372*M372=0,"",L372*M372),"")</f>
        <v/>
      </c>
      <c r="O372" s="280" t="n"/>
      <c r="P372" s="332">
        <f>IFERROR(VLOOKUP(TEXT(O372,"0"),CONDUCTORES!$A$3:$G$54,2,0),"")</f>
        <v/>
      </c>
      <c r="Q372" s="332">
        <f>IFERROR(VLOOKUP(TEXT(O372,"0"),CONDUCTORES!$A$3:$H$54,6,0),"")</f>
        <v/>
      </c>
      <c r="R372" s="280" t="n"/>
      <c r="S372" s="280" t="n"/>
      <c r="T372" s="280" t="n"/>
      <c r="U372" s="280" t="n"/>
      <c r="V372" s="280" t="n"/>
      <c r="W372" s="280" t="n"/>
      <c r="X372" s="280" t="n"/>
      <c r="Y372" s="280" t="n"/>
    </row>
    <row r="373" ht="15" customHeight="1" s="195">
      <c r="A373" s="334" t="n"/>
      <c r="B373" s="334" t="n"/>
      <c r="C373" s="334" t="n"/>
      <c r="D373" s="334" t="n"/>
      <c r="E373" s="334" t="n"/>
      <c r="F373" s="334" t="n"/>
      <c r="G373" s="334" t="n"/>
      <c r="H373" s="334" t="n"/>
      <c r="I373" s="332">
        <f>IFERROR(VLOOKUP(TEXT(H373,"0"),IPRESS!$A$3:$B$212,2,0),"")</f>
        <v/>
      </c>
      <c r="J373" s="334" t="n"/>
      <c r="K373" s="332">
        <f>IFERROR(VLOOKUP(TEXT(O373,"0"),CONDUCTORES!$A$3:$G$54,7,0),"")</f>
        <v/>
      </c>
      <c r="L373" s="334" t="n"/>
      <c r="M373" s="334" t="n"/>
      <c r="N373" s="333">
        <f>IFERROR(IF(L373*M373=0,"",L373*M373),"")</f>
        <v/>
      </c>
      <c r="O373" s="334" t="n"/>
      <c r="P373" s="332">
        <f>IFERROR(VLOOKUP(TEXT(O373,"0"),CONDUCTORES!$A$3:$G$54,2,0),"")</f>
        <v/>
      </c>
      <c r="Q373" s="332">
        <f>IFERROR(VLOOKUP(TEXT(O373,"0"),CONDUCTORES!$A$3:$H$54,6,0),"")</f>
        <v/>
      </c>
      <c r="R373" s="334" t="n"/>
      <c r="S373" s="334" t="n"/>
      <c r="T373" s="334" t="n"/>
      <c r="U373" s="334" t="n"/>
      <c r="V373" s="334" t="n"/>
      <c r="W373" s="334" t="n"/>
      <c r="X373" s="334" t="n"/>
      <c r="Y373" s="334" t="n"/>
    </row>
    <row r="374" ht="15" customHeight="1" s="195">
      <c r="A374" s="280" t="n"/>
      <c r="B374" s="280" t="n"/>
      <c r="C374" s="280" t="n"/>
      <c r="D374" s="280" t="n"/>
      <c r="E374" s="280" t="n"/>
      <c r="F374" s="280" t="n"/>
      <c r="G374" s="280" t="n"/>
      <c r="H374" s="280" t="n"/>
      <c r="I374" s="332">
        <f>IFERROR(VLOOKUP(TEXT(H374,"0"),IPRESS!$A$3:$B$212,2,0),"")</f>
        <v/>
      </c>
      <c r="J374" s="280" t="n"/>
      <c r="K374" s="332">
        <f>IFERROR(VLOOKUP(TEXT(O374,"0"),CONDUCTORES!$A$3:$G$54,7,0),"")</f>
        <v/>
      </c>
      <c r="L374" s="280" t="n"/>
      <c r="M374" s="280" t="n"/>
      <c r="N374" s="333">
        <f>IFERROR(IF(L374*M374=0,"",L374*M374),"")</f>
        <v/>
      </c>
      <c r="O374" s="280" t="n"/>
      <c r="P374" s="332">
        <f>IFERROR(VLOOKUP(TEXT(O374,"0"),CONDUCTORES!$A$3:$G$54,2,0),"")</f>
        <v/>
      </c>
      <c r="Q374" s="332">
        <f>IFERROR(VLOOKUP(TEXT(O374,"0"),CONDUCTORES!$A$3:$H$54,6,0),"")</f>
        <v/>
      </c>
      <c r="R374" s="280" t="n"/>
      <c r="S374" s="280" t="n"/>
      <c r="T374" s="280" t="n"/>
      <c r="U374" s="280" t="n"/>
      <c r="V374" s="280" t="n"/>
      <c r="W374" s="280" t="n"/>
      <c r="X374" s="280" t="n"/>
      <c r="Y374" s="280" t="n"/>
    </row>
    <row r="375" ht="15" customHeight="1" s="195">
      <c r="A375" s="334" t="n"/>
      <c r="B375" s="334" t="n"/>
      <c r="C375" s="334" t="n"/>
      <c r="D375" s="334" t="n"/>
      <c r="E375" s="334" t="n"/>
      <c r="F375" s="334" t="n"/>
      <c r="G375" s="334" t="n"/>
      <c r="H375" s="334" t="n"/>
      <c r="I375" s="332">
        <f>IFERROR(VLOOKUP(TEXT(H375,"0"),IPRESS!$A$3:$B$212,2,0),"")</f>
        <v/>
      </c>
      <c r="J375" s="334" t="n"/>
      <c r="K375" s="332">
        <f>IFERROR(VLOOKUP(TEXT(O375,"0"),CONDUCTORES!$A$3:$G$54,7,0),"")</f>
        <v/>
      </c>
      <c r="L375" s="334" t="n"/>
      <c r="M375" s="334" t="n"/>
      <c r="N375" s="333">
        <f>IFERROR(IF(L375*M375=0,"",L375*M375),"")</f>
        <v/>
      </c>
      <c r="O375" s="334" t="n"/>
      <c r="P375" s="332">
        <f>IFERROR(VLOOKUP(TEXT(O375,"0"),CONDUCTORES!$A$3:$G$54,2,0),"")</f>
        <v/>
      </c>
      <c r="Q375" s="332">
        <f>IFERROR(VLOOKUP(TEXT(O375,"0"),CONDUCTORES!$A$3:$H$54,6,0),"")</f>
        <v/>
      </c>
      <c r="R375" s="334" t="n"/>
      <c r="S375" s="334" t="n"/>
      <c r="T375" s="334" t="n"/>
      <c r="U375" s="334" t="n"/>
      <c r="V375" s="334" t="n"/>
      <c r="W375" s="334" t="n"/>
      <c r="X375" s="334" t="n"/>
      <c r="Y375" s="334" t="n"/>
    </row>
    <row r="376" ht="15" customHeight="1" s="195">
      <c r="A376" s="280" t="n"/>
      <c r="B376" s="280" t="n"/>
      <c r="C376" s="280" t="n"/>
      <c r="D376" s="280" t="n"/>
      <c r="E376" s="280" t="n"/>
      <c r="F376" s="280" t="n"/>
      <c r="G376" s="280" t="n"/>
      <c r="H376" s="280" t="n"/>
      <c r="I376" s="332">
        <f>IFERROR(VLOOKUP(TEXT(H376,"0"),IPRESS!$A$3:$B$212,2,0),"")</f>
        <v/>
      </c>
      <c r="J376" s="280" t="n"/>
      <c r="K376" s="332">
        <f>IFERROR(VLOOKUP(TEXT(O376,"0"),CONDUCTORES!$A$3:$G$54,7,0),"")</f>
        <v/>
      </c>
      <c r="L376" s="280" t="n"/>
      <c r="M376" s="280" t="n"/>
      <c r="N376" s="333">
        <f>IFERROR(IF(L376*M376=0,"",L376*M376),"")</f>
        <v/>
      </c>
      <c r="O376" s="280" t="n"/>
      <c r="P376" s="332">
        <f>IFERROR(VLOOKUP(TEXT(O376,"0"),CONDUCTORES!$A$3:$G$54,2,0),"")</f>
        <v/>
      </c>
      <c r="Q376" s="332">
        <f>IFERROR(VLOOKUP(TEXT(O376,"0"),CONDUCTORES!$A$3:$H$54,6,0),"")</f>
        <v/>
      </c>
      <c r="R376" s="280" t="n"/>
      <c r="S376" s="280" t="n"/>
      <c r="T376" s="280" t="n"/>
      <c r="U376" s="280" t="n"/>
      <c r="V376" s="280" t="n"/>
      <c r="W376" s="280" t="n"/>
      <c r="X376" s="280" t="n"/>
      <c r="Y376" s="280" t="n"/>
    </row>
    <row r="377" ht="15" customHeight="1" s="195">
      <c r="A377" s="334" t="n"/>
      <c r="B377" s="334" t="n"/>
      <c r="C377" s="334" t="n"/>
      <c r="D377" s="334" t="n"/>
      <c r="E377" s="334" t="n"/>
      <c r="F377" s="334" t="n"/>
      <c r="G377" s="334" t="n"/>
      <c r="H377" s="334" t="n"/>
      <c r="I377" s="332">
        <f>IFERROR(VLOOKUP(TEXT(H377,"0"),IPRESS!$A$3:$B$212,2,0),"")</f>
        <v/>
      </c>
      <c r="J377" s="334" t="n"/>
      <c r="K377" s="332">
        <f>IFERROR(VLOOKUP(TEXT(O377,"0"),CONDUCTORES!$A$3:$G$54,7,0),"")</f>
        <v/>
      </c>
      <c r="L377" s="334" t="n"/>
      <c r="M377" s="334" t="n"/>
      <c r="N377" s="333">
        <f>IFERROR(IF(L377*M377=0,"",L377*M377),"")</f>
        <v/>
      </c>
      <c r="O377" s="334" t="n"/>
      <c r="P377" s="332">
        <f>IFERROR(VLOOKUP(TEXT(O377,"0"),CONDUCTORES!$A$3:$G$54,2,0),"")</f>
        <v/>
      </c>
      <c r="Q377" s="332">
        <f>IFERROR(VLOOKUP(TEXT(O377,"0"),CONDUCTORES!$A$3:$H$54,6,0),"")</f>
        <v/>
      </c>
      <c r="R377" s="334" t="n"/>
      <c r="S377" s="334" t="n"/>
      <c r="T377" s="334" t="n"/>
      <c r="U377" s="334" t="n"/>
      <c r="V377" s="334" t="n"/>
      <c r="W377" s="334" t="n"/>
      <c r="X377" s="334" t="n"/>
      <c r="Y377" s="334" t="n"/>
    </row>
    <row r="378" ht="15" customHeight="1" s="195">
      <c r="A378" s="280" t="n"/>
      <c r="B378" s="280" t="n"/>
      <c r="C378" s="280" t="n"/>
      <c r="D378" s="280" t="n"/>
      <c r="E378" s="280" t="n"/>
      <c r="F378" s="280" t="n"/>
      <c r="G378" s="280" t="n"/>
      <c r="H378" s="280" t="n"/>
      <c r="I378" s="332">
        <f>IFERROR(VLOOKUP(TEXT(H378,"0"),IPRESS!$A$3:$B$212,2,0),"")</f>
        <v/>
      </c>
      <c r="J378" s="280" t="n"/>
      <c r="K378" s="332">
        <f>IFERROR(VLOOKUP(TEXT(O378,"0"),CONDUCTORES!$A$3:$G$54,7,0),"")</f>
        <v/>
      </c>
      <c r="L378" s="280" t="n"/>
      <c r="M378" s="280" t="n"/>
      <c r="N378" s="333">
        <f>IFERROR(IF(L378*M378=0,"",L378*M378),"")</f>
        <v/>
      </c>
      <c r="O378" s="280" t="n"/>
      <c r="P378" s="332">
        <f>IFERROR(VLOOKUP(TEXT(O378,"0"),CONDUCTORES!$A$3:$G$54,2,0),"")</f>
        <v/>
      </c>
      <c r="Q378" s="332">
        <f>IFERROR(VLOOKUP(TEXT(O378,"0"),CONDUCTORES!$A$3:$H$54,6,0),"")</f>
        <v/>
      </c>
      <c r="R378" s="280" t="n"/>
      <c r="S378" s="280" t="n"/>
      <c r="T378" s="280" t="n"/>
      <c r="U378" s="280" t="n"/>
      <c r="V378" s="280" t="n"/>
      <c r="W378" s="280" t="n"/>
      <c r="X378" s="280" t="n"/>
      <c r="Y378" s="280" t="n"/>
    </row>
    <row r="379" ht="15" customHeight="1" s="195">
      <c r="A379" s="334" t="n"/>
      <c r="B379" s="334" t="n"/>
      <c r="C379" s="334" t="n"/>
      <c r="D379" s="334" t="n"/>
      <c r="E379" s="334" t="n"/>
      <c r="F379" s="334" t="n"/>
      <c r="G379" s="334" t="n"/>
      <c r="H379" s="334" t="n"/>
      <c r="I379" s="332">
        <f>IFERROR(VLOOKUP(TEXT(H379,"0"),IPRESS!$A$3:$B$212,2,0),"")</f>
        <v/>
      </c>
      <c r="J379" s="334" t="n"/>
      <c r="K379" s="332">
        <f>IFERROR(VLOOKUP(TEXT(O379,"0"),CONDUCTORES!$A$3:$G$54,7,0),"")</f>
        <v/>
      </c>
      <c r="L379" s="334" t="n"/>
      <c r="M379" s="334" t="n"/>
      <c r="N379" s="333">
        <f>IFERROR(IF(L379*M379=0,"",L379*M379),"")</f>
        <v/>
      </c>
      <c r="O379" s="334" t="n"/>
      <c r="P379" s="332">
        <f>IFERROR(VLOOKUP(TEXT(O379,"0"),CONDUCTORES!$A$3:$G$54,2,0),"")</f>
        <v/>
      </c>
      <c r="Q379" s="332">
        <f>IFERROR(VLOOKUP(TEXT(O379,"0"),CONDUCTORES!$A$3:$H$54,6,0),"")</f>
        <v/>
      </c>
      <c r="R379" s="334" t="n"/>
      <c r="S379" s="334" t="n"/>
      <c r="T379" s="334" t="n"/>
      <c r="U379" s="334" t="n"/>
      <c r="V379" s="334" t="n"/>
      <c r="W379" s="334" t="n"/>
      <c r="X379" s="334" t="n"/>
      <c r="Y379" s="334" t="n"/>
    </row>
    <row r="380" ht="15" customHeight="1" s="195">
      <c r="A380" s="280" t="n"/>
      <c r="B380" s="280" t="n"/>
      <c r="C380" s="280" t="n"/>
      <c r="D380" s="280" t="n"/>
      <c r="E380" s="280" t="n"/>
      <c r="F380" s="280" t="n"/>
      <c r="G380" s="280" t="n"/>
      <c r="H380" s="280" t="n"/>
      <c r="I380" s="332">
        <f>IFERROR(VLOOKUP(TEXT(H380,"0"),IPRESS!$A$3:$B$212,2,0),"")</f>
        <v/>
      </c>
      <c r="J380" s="280" t="n"/>
      <c r="K380" s="332">
        <f>IFERROR(VLOOKUP(TEXT(O380,"0"),CONDUCTORES!$A$3:$G$54,7,0),"")</f>
        <v/>
      </c>
      <c r="L380" s="280" t="n"/>
      <c r="M380" s="280" t="n"/>
      <c r="N380" s="333">
        <f>IFERROR(IF(L380*M380=0,"",L380*M380),"")</f>
        <v/>
      </c>
      <c r="O380" s="280" t="n"/>
      <c r="P380" s="332">
        <f>IFERROR(VLOOKUP(TEXT(O380,"0"),CONDUCTORES!$A$3:$G$54,2,0),"")</f>
        <v/>
      </c>
      <c r="Q380" s="332">
        <f>IFERROR(VLOOKUP(TEXT(O380,"0"),CONDUCTORES!$A$3:$H$54,6,0),"")</f>
        <v/>
      </c>
      <c r="R380" s="280" t="n"/>
      <c r="S380" s="280" t="n"/>
      <c r="T380" s="280" t="n"/>
      <c r="U380" s="280" t="n"/>
      <c r="V380" s="280" t="n"/>
      <c r="W380" s="280" t="n"/>
      <c r="X380" s="280" t="n"/>
      <c r="Y380" s="280" t="n"/>
    </row>
    <row r="381" ht="15" customHeight="1" s="195">
      <c r="A381" s="334" t="n"/>
      <c r="B381" s="334" t="n"/>
      <c r="C381" s="334" t="n"/>
      <c r="D381" s="334" t="n"/>
      <c r="E381" s="334" t="n"/>
      <c r="F381" s="334" t="n"/>
      <c r="G381" s="334" t="n"/>
      <c r="H381" s="334" t="n"/>
      <c r="I381" s="332">
        <f>IFERROR(VLOOKUP(TEXT(H381,"0"),IPRESS!$A$3:$B$212,2,0),"")</f>
        <v/>
      </c>
      <c r="J381" s="334" t="n"/>
      <c r="K381" s="332">
        <f>IFERROR(VLOOKUP(TEXT(O381,"0"),CONDUCTORES!$A$3:$G$54,7,0),"")</f>
        <v/>
      </c>
      <c r="L381" s="334" t="n"/>
      <c r="M381" s="334" t="n"/>
      <c r="N381" s="333">
        <f>IFERROR(IF(L381*M381=0,"",L381*M381),"")</f>
        <v/>
      </c>
      <c r="O381" s="334" t="n"/>
      <c r="P381" s="332">
        <f>IFERROR(VLOOKUP(TEXT(O381,"0"),CONDUCTORES!$A$3:$G$54,2,0),"")</f>
        <v/>
      </c>
      <c r="Q381" s="332">
        <f>IFERROR(VLOOKUP(TEXT(O381,"0"),CONDUCTORES!$A$3:$H$54,6,0),"")</f>
        <v/>
      </c>
      <c r="R381" s="334" t="n"/>
      <c r="S381" s="334" t="n"/>
      <c r="T381" s="334" t="n"/>
      <c r="U381" s="334" t="n"/>
      <c r="V381" s="334" t="n"/>
      <c r="W381" s="334" t="n"/>
      <c r="X381" s="334" t="n"/>
      <c r="Y381" s="334" t="n"/>
    </row>
    <row r="382" ht="15" customHeight="1" s="195">
      <c r="A382" s="280" t="n"/>
      <c r="B382" s="280" t="n"/>
      <c r="C382" s="280" t="n"/>
      <c r="D382" s="280" t="n"/>
      <c r="E382" s="280" t="n"/>
      <c r="F382" s="280" t="n"/>
      <c r="G382" s="280" t="n"/>
      <c r="H382" s="280" t="n"/>
      <c r="I382" s="332">
        <f>IFERROR(VLOOKUP(TEXT(H382,"0"),IPRESS!$A$3:$B$212,2,0),"")</f>
        <v/>
      </c>
      <c r="J382" s="280" t="n"/>
      <c r="K382" s="332">
        <f>IFERROR(VLOOKUP(TEXT(O382,"0"),CONDUCTORES!$A$3:$G$54,7,0),"")</f>
        <v/>
      </c>
      <c r="L382" s="280" t="n"/>
      <c r="M382" s="280" t="n"/>
      <c r="N382" s="333">
        <f>IFERROR(IF(L382*M382=0,"",L382*M382),"")</f>
        <v/>
      </c>
      <c r="O382" s="280" t="n"/>
      <c r="P382" s="332">
        <f>IFERROR(VLOOKUP(TEXT(O382,"0"),CONDUCTORES!$A$3:$G$54,2,0),"")</f>
        <v/>
      </c>
      <c r="Q382" s="332">
        <f>IFERROR(VLOOKUP(TEXT(O382,"0"),CONDUCTORES!$A$3:$H$54,6,0),"")</f>
        <v/>
      </c>
      <c r="R382" s="280" t="n"/>
      <c r="S382" s="280" t="n"/>
      <c r="T382" s="280" t="n"/>
      <c r="U382" s="280" t="n"/>
      <c r="V382" s="280" t="n"/>
      <c r="W382" s="280" t="n"/>
      <c r="X382" s="280" t="n"/>
      <c r="Y382" s="280" t="n"/>
    </row>
    <row r="383" ht="15" customHeight="1" s="195">
      <c r="A383" s="334" t="n"/>
      <c r="B383" s="334" t="n"/>
      <c r="C383" s="334" t="n"/>
      <c r="D383" s="334" t="n"/>
      <c r="E383" s="334" t="n"/>
      <c r="F383" s="334" t="n"/>
      <c r="G383" s="334" t="n"/>
      <c r="H383" s="334" t="n"/>
      <c r="I383" s="332">
        <f>IFERROR(VLOOKUP(TEXT(H383,"0"),IPRESS!$A$3:$B$212,2,0),"")</f>
        <v/>
      </c>
      <c r="J383" s="334" t="n"/>
      <c r="K383" s="332">
        <f>IFERROR(VLOOKUP(TEXT(O383,"0"),CONDUCTORES!$A$3:$G$54,7,0),"")</f>
        <v/>
      </c>
      <c r="L383" s="334" t="n"/>
      <c r="M383" s="334" t="n"/>
      <c r="N383" s="333">
        <f>IFERROR(IF(L383*M383=0,"",L383*M383),"")</f>
        <v/>
      </c>
      <c r="O383" s="334" t="n"/>
      <c r="P383" s="332">
        <f>IFERROR(VLOOKUP(TEXT(O383,"0"),CONDUCTORES!$A$3:$G$54,2,0),"")</f>
        <v/>
      </c>
      <c r="Q383" s="332">
        <f>IFERROR(VLOOKUP(TEXT(O383,"0"),CONDUCTORES!$A$3:$H$54,6,0),"")</f>
        <v/>
      </c>
      <c r="R383" s="334" t="n"/>
      <c r="S383" s="334" t="n"/>
      <c r="T383" s="334" t="n"/>
      <c r="U383" s="334" t="n"/>
      <c r="V383" s="334" t="n"/>
      <c r="W383" s="334" t="n"/>
      <c r="X383" s="334" t="n"/>
      <c r="Y383" s="334" t="n"/>
    </row>
    <row r="384" ht="15" customHeight="1" s="195">
      <c r="A384" s="280" t="n"/>
      <c r="B384" s="280" t="n"/>
      <c r="C384" s="280" t="n"/>
      <c r="D384" s="280" t="n"/>
      <c r="E384" s="280" t="n"/>
      <c r="F384" s="280" t="n"/>
      <c r="G384" s="280" t="n"/>
      <c r="H384" s="280" t="n"/>
      <c r="I384" s="332">
        <f>IFERROR(VLOOKUP(TEXT(H384,"0"),IPRESS!$A$3:$B$212,2,0),"")</f>
        <v/>
      </c>
      <c r="J384" s="280" t="n"/>
      <c r="K384" s="332">
        <f>IFERROR(VLOOKUP(TEXT(O384,"0"),CONDUCTORES!$A$3:$G$54,7,0),"")</f>
        <v/>
      </c>
      <c r="L384" s="280" t="n"/>
      <c r="M384" s="280" t="n"/>
      <c r="N384" s="333">
        <f>IFERROR(IF(L384*M384=0,"",L384*M384),"")</f>
        <v/>
      </c>
      <c r="O384" s="280" t="n"/>
      <c r="P384" s="332">
        <f>IFERROR(VLOOKUP(TEXT(O384,"0"),CONDUCTORES!$A$3:$G$54,2,0),"")</f>
        <v/>
      </c>
      <c r="Q384" s="332">
        <f>IFERROR(VLOOKUP(TEXT(O384,"0"),CONDUCTORES!$A$3:$H$54,6,0),"")</f>
        <v/>
      </c>
      <c r="R384" s="280" t="n"/>
      <c r="S384" s="280" t="n"/>
      <c r="T384" s="280" t="n"/>
      <c r="U384" s="280" t="n"/>
      <c r="V384" s="280" t="n"/>
      <c r="W384" s="280" t="n"/>
      <c r="X384" s="280" t="n"/>
      <c r="Y384" s="280" t="n"/>
    </row>
    <row r="385" ht="15" customHeight="1" s="195">
      <c r="A385" s="334" t="n"/>
      <c r="B385" s="334" t="n"/>
      <c r="C385" s="334" t="n"/>
      <c r="D385" s="334" t="n"/>
      <c r="E385" s="334" t="n"/>
      <c r="F385" s="334" t="n"/>
      <c r="G385" s="334" t="n"/>
      <c r="H385" s="334" t="n"/>
      <c r="I385" s="332">
        <f>IFERROR(VLOOKUP(TEXT(H385,"0"),IPRESS!$A$3:$B$212,2,0),"")</f>
        <v/>
      </c>
      <c r="J385" s="334" t="n"/>
      <c r="K385" s="332">
        <f>IFERROR(VLOOKUP(TEXT(O385,"0"),CONDUCTORES!$A$3:$G$54,7,0),"")</f>
        <v/>
      </c>
      <c r="L385" s="334" t="n"/>
      <c r="M385" s="334" t="n"/>
      <c r="N385" s="333">
        <f>IFERROR(IF(L385*M385=0,"",L385*M385),"")</f>
        <v/>
      </c>
      <c r="O385" s="334" t="n"/>
      <c r="P385" s="332">
        <f>IFERROR(VLOOKUP(TEXT(O385,"0"),CONDUCTORES!$A$3:$G$54,2,0),"")</f>
        <v/>
      </c>
      <c r="Q385" s="332">
        <f>IFERROR(VLOOKUP(TEXT(O385,"0"),CONDUCTORES!$A$3:$H$54,6,0),"")</f>
        <v/>
      </c>
      <c r="R385" s="334" t="n"/>
      <c r="S385" s="334" t="n"/>
      <c r="T385" s="334" t="n"/>
      <c r="U385" s="334" t="n"/>
      <c r="V385" s="334" t="n"/>
      <c r="W385" s="334" t="n"/>
      <c r="X385" s="334" t="n"/>
      <c r="Y385" s="334" t="n"/>
    </row>
    <row r="386" ht="15" customHeight="1" s="195">
      <c r="A386" s="280" t="n"/>
      <c r="B386" s="280" t="n"/>
      <c r="C386" s="280" t="n"/>
      <c r="D386" s="280" t="n"/>
      <c r="E386" s="280" t="n"/>
      <c r="F386" s="280" t="n"/>
      <c r="G386" s="280" t="n"/>
      <c r="H386" s="280" t="n"/>
      <c r="I386" s="332">
        <f>IFERROR(VLOOKUP(TEXT(H386,"0"),IPRESS!$A$3:$B$212,2,0),"")</f>
        <v/>
      </c>
      <c r="J386" s="280" t="n"/>
      <c r="K386" s="332">
        <f>IFERROR(VLOOKUP(TEXT(O386,"0"),CONDUCTORES!$A$3:$G$54,7,0),"")</f>
        <v/>
      </c>
      <c r="L386" s="280" t="n"/>
      <c r="M386" s="280" t="n"/>
      <c r="N386" s="333">
        <f>IFERROR(IF(L386*M386=0,"",L386*M386),"")</f>
        <v/>
      </c>
      <c r="O386" s="280" t="n"/>
      <c r="P386" s="332">
        <f>IFERROR(VLOOKUP(TEXT(O386,"0"),CONDUCTORES!$A$3:$G$54,2,0),"")</f>
        <v/>
      </c>
      <c r="Q386" s="332">
        <f>IFERROR(VLOOKUP(TEXT(O386,"0"),CONDUCTORES!$A$3:$H$54,6,0),"")</f>
        <v/>
      </c>
      <c r="R386" s="280" t="n"/>
      <c r="S386" s="280" t="n"/>
      <c r="T386" s="280" t="n"/>
      <c r="U386" s="280" t="n"/>
      <c r="V386" s="280" t="n"/>
      <c r="W386" s="280" t="n"/>
      <c r="X386" s="280" t="n"/>
      <c r="Y386" s="280" t="n"/>
    </row>
    <row r="387" ht="15" customHeight="1" s="195">
      <c r="A387" s="334" t="n"/>
      <c r="B387" s="334" t="n"/>
      <c r="C387" s="334" t="n"/>
      <c r="D387" s="334" t="n"/>
      <c r="E387" s="334" t="n"/>
      <c r="F387" s="334" t="n"/>
      <c r="G387" s="334" t="n"/>
      <c r="H387" s="334" t="n"/>
      <c r="I387" s="332">
        <f>IFERROR(VLOOKUP(TEXT(H387,"0"),IPRESS!$A$3:$B$212,2,0),"")</f>
        <v/>
      </c>
      <c r="J387" s="334" t="n"/>
      <c r="K387" s="332">
        <f>IFERROR(VLOOKUP(TEXT(O387,"0"),CONDUCTORES!$A$3:$G$54,7,0),"")</f>
        <v/>
      </c>
      <c r="L387" s="334" t="n"/>
      <c r="M387" s="334" t="n"/>
      <c r="N387" s="333">
        <f>IFERROR(IF(L387*M387=0,"",L387*M387),"")</f>
        <v/>
      </c>
      <c r="O387" s="334" t="n"/>
      <c r="P387" s="332">
        <f>IFERROR(VLOOKUP(TEXT(O387,"0"),CONDUCTORES!$A$3:$G$54,2,0),"")</f>
        <v/>
      </c>
      <c r="Q387" s="332">
        <f>IFERROR(VLOOKUP(TEXT(O387,"0"),CONDUCTORES!$A$3:$H$54,6,0),"")</f>
        <v/>
      </c>
      <c r="R387" s="334" t="n"/>
      <c r="S387" s="334" t="n"/>
      <c r="T387" s="334" t="n"/>
      <c r="U387" s="334" t="n"/>
      <c r="V387" s="334" t="n"/>
      <c r="W387" s="334" t="n"/>
      <c r="X387" s="334" t="n"/>
      <c r="Y387" s="334" t="n"/>
    </row>
    <row r="388" ht="15" customHeight="1" s="195">
      <c r="A388" s="280" t="n"/>
      <c r="B388" s="280" t="n"/>
      <c r="C388" s="280" t="n"/>
      <c r="D388" s="280" t="n"/>
      <c r="E388" s="280" t="n"/>
      <c r="F388" s="280" t="n"/>
      <c r="G388" s="280" t="n"/>
      <c r="H388" s="280" t="n"/>
      <c r="I388" s="332">
        <f>IFERROR(VLOOKUP(TEXT(H388,"0"),IPRESS!$A$3:$B$212,2,0),"")</f>
        <v/>
      </c>
      <c r="J388" s="280" t="n"/>
      <c r="K388" s="332">
        <f>IFERROR(VLOOKUP(TEXT(O388,"0"),CONDUCTORES!$A$3:$G$54,7,0),"")</f>
        <v/>
      </c>
      <c r="L388" s="280" t="n"/>
      <c r="M388" s="280" t="n"/>
      <c r="N388" s="333">
        <f>IFERROR(IF(L388*M388=0,"",L388*M388),"")</f>
        <v/>
      </c>
      <c r="O388" s="280" t="n"/>
      <c r="P388" s="332">
        <f>IFERROR(VLOOKUP(TEXT(O388,"0"),CONDUCTORES!$A$3:$G$54,2,0),"")</f>
        <v/>
      </c>
      <c r="Q388" s="332">
        <f>IFERROR(VLOOKUP(TEXT(O388,"0"),CONDUCTORES!$A$3:$H$54,6,0),"")</f>
        <v/>
      </c>
      <c r="R388" s="280" t="n"/>
      <c r="S388" s="280" t="n"/>
      <c r="T388" s="280" t="n"/>
      <c r="U388" s="280" t="n"/>
      <c r="V388" s="280" t="n"/>
      <c r="W388" s="280" t="n"/>
      <c r="X388" s="280" t="n"/>
      <c r="Y388" s="280" t="n"/>
    </row>
    <row r="389" ht="15" customHeight="1" s="195">
      <c r="A389" s="334" t="n"/>
      <c r="B389" s="334" t="n"/>
      <c r="C389" s="334" t="n"/>
      <c r="D389" s="334" t="n"/>
      <c r="E389" s="334" t="n"/>
      <c r="F389" s="334" t="n"/>
      <c r="G389" s="334" t="n"/>
      <c r="H389" s="334" t="n"/>
      <c r="I389" s="332">
        <f>IFERROR(VLOOKUP(TEXT(H389,"0"),IPRESS!$A$3:$B$212,2,0),"")</f>
        <v/>
      </c>
      <c r="J389" s="334" t="n"/>
      <c r="K389" s="332">
        <f>IFERROR(VLOOKUP(TEXT(O389,"0"),CONDUCTORES!$A$3:$G$54,7,0),"")</f>
        <v/>
      </c>
      <c r="L389" s="334" t="n"/>
      <c r="M389" s="334" t="n"/>
      <c r="N389" s="333">
        <f>IFERROR(IF(L389*M389=0,"",L389*M389),"")</f>
        <v/>
      </c>
      <c r="O389" s="334" t="n"/>
      <c r="P389" s="332">
        <f>IFERROR(VLOOKUP(TEXT(O389,"0"),CONDUCTORES!$A$3:$G$54,2,0),"")</f>
        <v/>
      </c>
      <c r="Q389" s="332">
        <f>IFERROR(VLOOKUP(TEXT(O389,"0"),CONDUCTORES!$A$3:$H$54,6,0),"")</f>
        <v/>
      </c>
      <c r="R389" s="334" t="n"/>
      <c r="S389" s="334" t="n"/>
      <c r="T389" s="334" t="n"/>
      <c r="U389" s="334" t="n"/>
      <c r="V389" s="334" t="n"/>
      <c r="W389" s="334" t="n"/>
      <c r="X389" s="334" t="n"/>
      <c r="Y389" s="334" t="n"/>
    </row>
    <row r="390" ht="15" customHeight="1" s="195">
      <c r="A390" s="280" t="n"/>
      <c r="B390" s="280" t="n"/>
      <c r="C390" s="280" t="n"/>
      <c r="D390" s="280" t="n"/>
      <c r="E390" s="280" t="n"/>
      <c r="F390" s="280" t="n"/>
      <c r="G390" s="280" t="n"/>
      <c r="H390" s="280" t="n"/>
      <c r="I390" s="332">
        <f>IFERROR(VLOOKUP(TEXT(H390,"0"),IPRESS!$A$3:$B$212,2,0),"")</f>
        <v/>
      </c>
      <c r="J390" s="280" t="n"/>
      <c r="K390" s="332">
        <f>IFERROR(VLOOKUP(TEXT(O390,"0"),CONDUCTORES!$A$3:$G$54,7,0),"")</f>
        <v/>
      </c>
      <c r="L390" s="280" t="n"/>
      <c r="M390" s="280" t="n"/>
      <c r="N390" s="333">
        <f>IFERROR(IF(L390*M390=0,"",L390*M390),"")</f>
        <v/>
      </c>
      <c r="O390" s="280" t="n"/>
      <c r="P390" s="332">
        <f>IFERROR(VLOOKUP(TEXT(O390,"0"),CONDUCTORES!$A$3:$G$54,2,0),"")</f>
        <v/>
      </c>
      <c r="Q390" s="332">
        <f>IFERROR(VLOOKUP(TEXT(O390,"0"),CONDUCTORES!$A$3:$H$54,6,0),"")</f>
        <v/>
      </c>
      <c r="R390" s="280" t="n"/>
      <c r="S390" s="280" t="n"/>
      <c r="T390" s="280" t="n"/>
      <c r="U390" s="280" t="n"/>
      <c r="V390" s="280" t="n"/>
      <c r="W390" s="280" t="n"/>
      <c r="X390" s="280" t="n"/>
      <c r="Y390" s="280" t="n"/>
    </row>
    <row r="391" ht="15" customHeight="1" s="195">
      <c r="A391" s="334" t="n"/>
      <c r="B391" s="334" t="n"/>
      <c r="C391" s="334" t="n"/>
      <c r="D391" s="334" t="n"/>
      <c r="E391" s="334" t="n"/>
      <c r="F391" s="334" t="n"/>
      <c r="G391" s="334" t="n"/>
      <c r="H391" s="334" t="n"/>
      <c r="I391" s="332">
        <f>IFERROR(VLOOKUP(TEXT(H391,"0"),IPRESS!$A$3:$B$212,2,0),"")</f>
        <v/>
      </c>
      <c r="J391" s="334" t="n"/>
      <c r="K391" s="332">
        <f>IFERROR(VLOOKUP(TEXT(O391,"0"),CONDUCTORES!$A$3:$G$54,7,0),"")</f>
        <v/>
      </c>
      <c r="L391" s="334" t="n"/>
      <c r="M391" s="334" t="n"/>
      <c r="N391" s="333">
        <f>IFERROR(IF(L391*M391=0,"",L391*M391),"")</f>
        <v/>
      </c>
      <c r="O391" s="334" t="n"/>
      <c r="P391" s="332">
        <f>IFERROR(VLOOKUP(TEXT(O391,"0"),CONDUCTORES!$A$3:$G$54,2,0),"")</f>
        <v/>
      </c>
      <c r="Q391" s="332">
        <f>IFERROR(VLOOKUP(TEXT(O391,"0"),CONDUCTORES!$A$3:$H$54,6,0),"")</f>
        <v/>
      </c>
      <c r="R391" s="334" t="n"/>
      <c r="S391" s="334" t="n"/>
      <c r="T391" s="334" t="n"/>
      <c r="U391" s="334" t="n"/>
      <c r="V391" s="334" t="n"/>
      <c r="W391" s="334" t="n"/>
      <c r="X391" s="334" t="n"/>
      <c r="Y391" s="334" t="n"/>
    </row>
    <row r="392" ht="15" customHeight="1" s="195">
      <c r="A392" s="280" t="n"/>
      <c r="B392" s="280" t="n"/>
      <c r="C392" s="280" t="n"/>
      <c r="D392" s="280" t="n"/>
      <c r="E392" s="280" t="n"/>
      <c r="F392" s="280" t="n"/>
      <c r="G392" s="280" t="n"/>
      <c r="H392" s="280" t="n"/>
      <c r="I392" s="332">
        <f>IFERROR(VLOOKUP(TEXT(H392,"0"),IPRESS!$A$3:$B$212,2,0),"")</f>
        <v/>
      </c>
      <c r="J392" s="280" t="n"/>
      <c r="K392" s="332">
        <f>IFERROR(VLOOKUP(TEXT(O392,"0"),CONDUCTORES!$A$3:$G$54,7,0),"")</f>
        <v/>
      </c>
      <c r="L392" s="280" t="n"/>
      <c r="M392" s="280" t="n"/>
      <c r="N392" s="333">
        <f>IFERROR(IF(L392*M392=0,"",L392*M392),"")</f>
        <v/>
      </c>
      <c r="O392" s="280" t="n"/>
      <c r="P392" s="332">
        <f>IFERROR(VLOOKUP(TEXT(O392,"0"),CONDUCTORES!$A$3:$G$54,2,0),"")</f>
        <v/>
      </c>
      <c r="Q392" s="332">
        <f>IFERROR(VLOOKUP(TEXT(O392,"0"),CONDUCTORES!$A$3:$H$54,6,0),"")</f>
        <v/>
      </c>
      <c r="R392" s="280" t="n"/>
      <c r="S392" s="280" t="n"/>
      <c r="T392" s="280" t="n"/>
      <c r="U392" s="280" t="n"/>
      <c r="V392" s="280" t="n"/>
      <c r="W392" s="280" t="n"/>
      <c r="X392" s="280" t="n"/>
      <c r="Y392" s="280" t="n"/>
    </row>
    <row r="393" ht="15" customHeight="1" s="195">
      <c r="A393" s="334" t="n"/>
      <c r="B393" s="334" t="n"/>
      <c r="C393" s="334" t="n"/>
      <c r="D393" s="334" t="n"/>
      <c r="E393" s="334" t="n"/>
      <c r="F393" s="334" t="n"/>
      <c r="G393" s="334" t="n"/>
      <c r="H393" s="334" t="n"/>
      <c r="I393" s="332">
        <f>IFERROR(VLOOKUP(TEXT(H393,"0"),IPRESS!$A$3:$B$212,2,0),"")</f>
        <v/>
      </c>
      <c r="J393" s="334" t="n"/>
      <c r="K393" s="332">
        <f>IFERROR(VLOOKUP(TEXT(O393,"0"),CONDUCTORES!$A$3:$G$54,7,0),"")</f>
        <v/>
      </c>
      <c r="L393" s="334" t="n"/>
      <c r="M393" s="334" t="n"/>
      <c r="N393" s="333">
        <f>IFERROR(IF(L393*M393=0,"",L393*M393),"")</f>
        <v/>
      </c>
      <c r="O393" s="334" t="n"/>
      <c r="P393" s="332">
        <f>IFERROR(VLOOKUP(TEXT(O393,"0"),CONDUCTORES!$A$3:$G$54,2,0),"")</f>
        <v/>
      </c>
      <c r="Q393" s="332">
        <f>IFERROR(VLOOKUP(TEXT(O393,"0"),CONDUCTORES!$A$3:$H$54,6,0),"")</f>
        <v/>
      </c>
      <c r="R393" s="334" t="n"/>
      <c r="S393" s="334" t="n"/>
      <c r="T393" s="334" t="n"/>
      <c r="U393" s="334" t="n"/>
      <c r="V393" s="334" t="n"/>
      <c r="W393" s="334" t="n"/>
      <c r="X393" s="334" t="n"/>
      <c r="Y393" s="334" t="n"/>
    </row>
    <row r="394" ht="15" customHeight="1" s="195">
      <c r="A394" s="280" t="n"/>
      <c r="B394" s="280" t="n"/>
      <c r="C394" s="280" t="n"/>
      <c r="D394" s="280" t="n"/>
      <c r="E394" s="280" t="n"/>
      <c r="F394" s="280" t="n"/>
      <c r="G394" s="280" t="n"/>
      <c r="H394" s="280" t="n"/>
      <c r="I394" s="332">
        <f>IFERROR(VLOOKUP(TEXT(H394,"0"),IPRESS!$A$3:$B$212,2,0),"")</f>
        <v/>
      </c>
      <c r="J394" s="280" t="n"/>
      <c r="K394" s="332">
        <f>IFERROR(VLOOKUP(TEXT(O394,"0"),CONDUCTORES!$A$3:$G$54,7,0),"")</f>
        <v/>
      </c>
      <c r="L394" s="280" t="n"/>
      <c r="M394" s="280" t="n"/>
      <c r="N394" s="333">
        <f>IFERROR(IF(L394*M394=0,"",L394*M394),"")</f>
        <v/>
      </c>
      <c r="O394" s="280" t="n"/>
      <c r="P394" s="332">
        <f>IFERROR(VLOOKUP(TEXT(O394,"0"),CONDUCTORES!$A$3:$G$54,2,0),"")</f>
        <v/>
      </c>
      <c r="Q394" s="332">
        <f>IFERROR(VLOOKUP(TEXT(O394,"0"),CONDUCTORES!$A$3:$H$54,6,0),"")</f>
        <v/>
      </c>
      <c r="R394" s="280" t="n"/>
      <c r="S394" s="280" t="n"/>
      <c r="T394" s="280" t="n"/>
      <c r="U394" s="280" t="n"/>
      <c r="V394" s="280" t="n"/>
      <c r="W394" s="280" t="n"/>
      <c r="X394" s="280" t="n"/>
      <c r="Y394" s="280" t="n"/>
    </row>
    <row r="395" ht="15" customHeight="1" s="195">
      <c r="A395" s="334" t="n"/>
      <c r="B395" s="334" t="n"/>
      <c r="C395" s="334" t="n"/>
      <c r="D395" s="334" t="n"/>
      <c r="E395" s="334" t="n"/>
      <c r="F395" s="334" t="n"/>
      <c r="G395" s="334" t="n"/>
      <c r="H395" s="334" t="n"/>
      <c r="I395" s="332">
        <f>IFERROR(VLOOKUP(TEXT(H395,"0"),IPRESS!$A$3:$B$212,2,0),"")</f>
        <v/>
      </c>
      <c r="J395" s="334" t="n"/>
      <c r="K395" s="332">
        <f>IFERROR(VLOOKUP(TEXT(O395,"0"),CONDUCTORES!$A$3:$G$54,7,0),"")</f>
        <v/>
      </c>
      <c r="L395" s="334" t="n"/>
      <c r="M395" s="334" t="n"/>
      <c r="N395" s="333">
        <f>IFERROR(IF(L395*M395=0,"",L395*M395),"")</f>
        <v/>
      </c>
      <c r="O395" s="334" t="n"/>
      <c r="P395" s="332">
        <f>IFERROR(VLOOKUP(TEXT(O395,"0"),CONDUCTORES!$A$3:$G$54,2,0),"")</f>
        <v/>
      </c>
      <c r="Q395" s="332">
        <f>IFERROR(VLOOKUP(TEXT(O395,"0"),CONDUCTORES!$A$3:$H$54,6,0),"")</f>
        <v/>
      </c>
      <c r="R395" s="334" t="n"/>
      <c r="S395" s="334" t="n"/>
      <c r="T395" s="334" t="n"/>
      <c r="U395" s="334" t="n"/>
      <c r="V395" s="334" t="n"/>
      <c r="W395" s="334" t="n"/>
      <c r="X395" s="334" t="n"/>
      <c r="Y395" s="334" t="n"/>
    </row>
    <row r="396" ht="15" customHeight="1" s="195">
      <c r="A396" s="280" t="n"/>
      <c r="B396" s="280" t="n"/>
      <c r="C396" s="280" t="n"/>
      <c r="D396" s="280" t="n"/>
      <c r="E396" s="280" t="n"/>
      <c r="F396" s="280" t="n"/>
      <c r="G396" s="280" t="n"/>
      <c r="H396" s="280" t="n"/>
      <c r="I396" s="332">
        <f>IFERROR(VLOOKUP(TEXT(H396,"0"),IPRESS!$A$3:$B$212,2,0),"")</f>
        <v/>
      </c>
      <c r="J396" s="280" t="n"/>
      <c r="K396" s="332">
        <f>IFERROR(VLOOKUP(TEXT(O396,"0"),CONDUCTORES!$A$3:$G$54,7,0),"")</f>
        <v/>
      </c>
      <c r="L396" s="280" t="n"/>
      <c r="M396" s="280" t="n"/>
      <c r="N396" s="333">
        <f>IFERROR(IF(L396*M396=0,"",L396*M396),"")</f>
        <v/>
      </c>
      <c r="O396" s="280" t="n"/>
      <c r="P396" s="332">
        <f>IFERROR(VLOOKUP(TEXT(O396,"0"),CONDUCTORES!$A$3:$G$54,2,0),"")</f>
        <v/>
      </c>
      <c r="Q396" s="332">
        <f>IFERROR(VLOOKUP(TEXT(O396,"0"),CONDUCTORES!$A$3:$H$54,6,0),"")</f>
        <v/>
      </c>
      <c r="R396" s="280" t="n"/>
      <c r="S396" s="280" t="n"/>
      <c r="T396" s="280" t="n"/>
      <c r="U396" s="280" t="n"/>
      <c r="V396" s="280" t="n"/>
      <c r="W396" s="280" t="n"/>
      <c r="X396" s="280" t="n"/>
      <c r="Y396" s="280" t="n"/>
    </row>
    <row r="397" ht="15" customHeight="1" s="195">
      <c r="A397" s="334" t="n"/>
      <c r="B397" s="334" t="n"/>
      <c r="C397" s="334" t="n"/>
      <c r="D397" s="334" t="n"/>
      <c r="E397" s="334" t="n"/>
      <c r="F397" s="334" t="n"/>
      <c r="G397" s="334" t="n"/>
      <c r="H397" s="334" t="n"/>
      <c r="I397" s="332">
        <f>IFERROR(VLOOKUP(TEXT(H397,"0"),IPRESS!$A$3:$B$212,2,0),"")</f>
        <v/>
      </c>
      <c r="J397" s="334" t="n"/>
      <c r="K397" s="332">
        <f>IFERROR(VLOOKUP(TEXT(O397,"0"),CONDUCTORES!$A$3:$G$54,7,0),"")</f>
        <v/>
      </c>
      <c r="L397" s="334" t="n"/>
      <c r="M397" s="334" t="n"/>
      <c r="N397" s="333">
        <f>IFERROR(IF(L397*M397=0,"",L397*M397),"")</f>
        <v/>
      </c>
      <c r="O397" s="334" t="n"/>
      <c r="P397" s="332">
        <f>IFERROR(VLOOKUP(TEXT(O397,"0"),CONDUCTORES!$A$3:$G$54,2,0),"")</f>
        <v/>
      </c>
      <c r="Q397" s="332">
        <f>IFERROR(VLOOKUP(TEXT(O397,"0"),CONDUCTORES!$A$3:$H$54,6,0),"")</f>
        <v/>
      </c>
      <c r="R397" s="334" t="n"/>
      <c r="S397" s="334" t="n"/>
      <c r="T397" s="334" t="n"/>
      <c r="U397" s="334" t="n"/>
      <c r="V397" s="334" t="n"/>
      <c r="W397" s="334" t="n"/>
      <c r="X397" s="334" t="n"/>
      <c r="Y397" s="334" t="n"/>
    </row>
    <row r="398" ht="15" customHeight="1" s="195">
      <c r="A398" s="280" t="n"/>
      <c r="B398" s="280" t="n"/>
      <c r="C398" s="280" t="n"/>
      <c r="D398" s="280" t="n"/>
      <c r="E398" s="280" t="n"/>
      <c r="F398" s="280" t="n"/>
      <c r="G398" s="280" t="n"/>
      <c r="H398" s="280" t="n"/>
      <c r="I398" s="332">
        <f>IFERROR(VLOOKUP(TEXT(H398,"0"),IPRESS!$A$3:$B$212,2,0),"")</f>
        <v/>
      </c>
      <c r="J398" s="280" t="n"/>
      <c r="K398" s="332">
        <f>IFERROR(VLOOKUP(TEXT(O398,"0"),CONDUCTORES!$A$3:$G$54,7,0),"")</f>
        <v/>
      </c>
      <c r="L398" s="280" t="n"/>
      <c r="M398" s="280" t="n"/>
      <c r="N398" s="333">
        <f>IFERROR(IF(L398*M398=0,"",L398*M398),"")</f>
        <v/>
      </c>
      <c r="O398" s="280" t="n"/>
      <c r="P398" s="332">
        <f>IFERROR(VLOOKUP(TEXT(O398,"0"),CONDUCTORES!$A$3:$G$54,2,0),"")</f>
        <v/>
      </c>
      <c r="Q398" s="332">
        <f>IFERROR(VLOOKUP(TEXT(O398,"0"),CONDUCTORES!$A$3:$H$54,6,0),"")</f>
        <v/>
      </c>
      <c r="R398" s="280" t="n"/>
      <c r="S398" s="280" t="n"/>
      <c r="T398" s="280" t="n"/>
      <c r="U398" s="280" t="n"/>
      <c r="V398" s="280" t="n"/>
      <c r="W398" s="280" t="n"/>
      <c r="X398" s="280" t="n"/>
      <c r="Y398" s="280" t="n"/>
    </row>
    <row r="399" ht="15" customHeight="1" s="195">
      <c r="A399" s="334" t="n"/>
      <c r="B399" s="334" t="n"/>
      <c r="C399" s="334" t="n"/>
      <c r="D399" s="334" t="n"/>
      <c r="E399" s="334" t="n"/>
      <c r="F399" s="334" t="n"/>
      <c r="G399" s="334" t="n"/>
      <c r="H399" s="334" t="n"/>
      <c r="I399" s="332">
        <f>IFERROR(VLOOKUP(TEXT(H399,"0"),IPRESS!$A$3:$B$212,2,0),"")</f>
        <v/>
      </c>
      <c r="J399" s="334" t="n"/>
      <c r="K399" s="332">
        <f>IFERROR(VLOOKUP(TEXT(O399,"0"),CONDUCTORES!$A$3:$G$54,7,0),"")</f>
        <v/>
      </c>
      <c r="L399" s="334" t="n"/>
      <c r="M399" s="334" t="n"/>
      <c r="N399" s="333">
        <f>IFERROR(IF(L399*M399=0,"",L399*M399),"")</f>
        <v/>
      </c>
      <c r="O399" s="334" t="n"/>
      <c r="P399" s="332">
        <f>IFERROR(VLOOKUP(TEXT(O399,"0"),CONDUCTORES!$A$3:$G$54,2,0),"")</f>
        <v/>
      </c>
      <c r="Q399" s="332">
        <f>IFERROR(VLOOKUP(TEXT(O399,"0"),CONDUCTORES!$A$3:$H$54,6,0),"")</f>
        <v/>
      </c>
      <c r="R399" s="334" t="n"/>
      <c r="S399" s="334" t="n"/>
      <c r="T399" s="334" t="n"/>
      <c r="U399" s="334" t="n"/>
      <c r="V399" s="334" t="n"/>
      <c r="W399" s="334" t="n"/>
      <c r="X399" s="334" t="n"/>
      <c r="Y399" s="334" t="n"/>
    </row>
    <row r="400" ht="15" customHeight="1" s="195">
      <c r="A400" s="280" t="n"/>
      <c r="B400" s="280" t="n"/>
      <c r="C400" s="280" t="n"/>
      <c r="D400" s="280" t="n"/>
      <c r="E400" s="280" t="n"/>
      <c r="F400" s="280" t="n"/>
      <c r="G400" s="280" t="n"/>
      <c r="H400" s="280" t="n"/>
      <c r="I400" s="332">
        <f>IFERROR(VLOOKUP(TEXT(H400,"0"),IPRESS!$A$3:$B$212,2,0),"")</f>
        <v/>
      </c>
      <c r="J400" s="280" t="n"/>
      <c r="K400" s="332">
        <f>IFERROR(VLOOKUP(TEXT(O400,"0"),CONDUCTORES!$A$3:$G$54,7,0),"")</f>
        <v/>
      </c>
      <c r="L400" s="280" t="n"/>
      <c r="M400" s="280" t="n"/>
      <c r="N400" s="333">
        <f>IFERROR(IF(L400*M400=0,"",L400*M400),"")</f>
        <v/>
      </c>
      <c r="O400" s="280" t="n"/>
      <c r="P400" s="332">
        <f>IFERROR(VLOOKUP(TEXT(O400,"0"),CONDUCTORES!$A$3:$G$54,2,0),"")</f>
        <v/>
      </c>
      <c r="Q400" s="332">
        <f>IFERROR(VLOOKUP(TEXT(O400,"0"),CONDUCTORES!$A$3:$H$54,6,0),"")</f>
        <v/>
      </c>
      <c r="R400" s="280" t="n"/>
      <c r="S400" s="280" t="n"/>
      <c r="T400" s="280" t="n"/>
      <c r="U400" s="280" t="n"/>
      <c r="V400" s="280" t="n"/>
      <c r="W400" s="280" t="n"/>
      <c r="X400" s="280" t="n"/>
      <c r="Y400" s="280" t="n"/>
    </row>
    <row r="401" ht="15" customHeight="1" s="195">
      <c r="A401" s="334" t="n"/>
      <c r="B401" s="334" t="n"/>
      <c r="C401" s="334" t="n"/>
      <c r="D401" s="334" t="n"/>
      <c r="E401" s="334" t="n"/>
      <c r="F401" s="334" t="n"/>
      <c r="G401" s="334" t="n"/>
      <c r="H401" s="334" t="n"/>
      <c r="I401" s="332">
        <f>IFERROR(VLOOKUP(TEXT(H401,"0"),IPRESS!$A$3:$B$212,2,0),"")</f>
        <v/>
      </c>
      <c r="J401" s="334" t="n"/>
      <c r="K401" s="332">
        <f>IFERROR(VLOOKUP(TEXT(O401,"0"),CONDUCTORES!$A$3:$G$54,7,0),"")</f>
        <v/>
      </c>
      <c r="L401" s="334" t="n"/>
      <c r="M401" s="334" t="n"/>
      <c r="N401" s="333">
        <f>IFERROR(IF(L401*M401=0,"",L401*M401),"")</f>
        <v/>
      </c>
      <c r="O401" s="334" t="n"/>
      <c r="P401" s="332">
        <f>IFERROR(VLOOKUP(TEXT(O401,"0"),CONDUCTORES!$A$3:$G$54,2,0),"")</f>
        <v/>
      </c>
      <c r="Q401" s="332">
        <f>IFERROR(VLOOKUP(TEXT(O401,"0"),CONDUCTORES!$A$3:$H$54,6,0),"")</f>
        <v/>
      </c>
      <c r="R401" s="334" t="n"/>
      <c r="S401" s="334" t="n"/>
      <c r="T401" s="334" t="n"/>
      <c r="U401" s="334" t="n"/>
      <c r="V401" s="334" t="n"/>
      <c r="W401" s="334" t="n"/>
      <c r="X401" s="334" t="n"/>
      <c r="Y401" s="334" t="n"/>
    </row>
    <row r="402" ht="15" customHeight="1" s="195">
      <c r="A402" s="280" t="n"/>
      <c r="B402" s="280" t="n"/>
      <c r="C402" s="280" t="n"/>
      <c r="D402" s="280" t="n"/>
      <c r="E402" s="280" t="n"/>
      <c r="F402" s="280" t="n"/>
      <c r="G402" s="280" t="n"/>
      <c r="H402" s="280" t="n"/>
      <c r="I402" s="332">
        <f>IFERROR(VLOOKUP(TEXT(H402,"0"),IPRESS!$A$3:$B$212,2,0),"")</f>
        <v/>
      </c>
      <c r="J402" s="280" t="n"/>
      <c r="K402" s="332">
        <f>IFERROR(VLOOKUP(TEXT(O402,"0"),CONDUCTORES!$A$3:$G$54,7,0),"")</f>
        <v/>
      </c>
      <c r="L402" s="280" t="n"/>
      <c r="M402" s="280" t="n"/>
      <c r="N402" s="333">
        <f>IFERROR(IF(L402*M402=0,"",L402*M402),"")</f>
        <v/>
      </c>
      <c r="O402" s="280" t="n"/>
      <c r="P402" s="332">
        <f>IFERROR(VLOOKUP(TEXT(O402,"0"),CONDUCTORES!$A$3:$G$54,2,0),"")</f>
        <v/>
      </c>
      <c r="Q402" s="332">
        <f>IFERROR(VLOOKUP(TEXT(O402,"0"),CONDUCTORES!$A$3:$H$54,6,0),"")</f>
        <v/>
      </c>
      <c r="R402" s="280" t="n"/>
      <c r="S402" s="280" t="n"/>
      <c r="T402" s="280" t="n"/>
      <c r="U402" s="280" t="n"/>
      <c r="V402" s="280" t="n"/>
      <c r="W402" s="280" t="n"/>
      <c r="X402" s="280" t="n"/>
      <c r="Y402" s="280" t="n"/>
    </row>
    <row r="403" ht="15" customHeight="1" s="195">
      <c r="A403" s="334" t="n"/>
      <c r="B403" s="334" t="n"/>
      <c r="C403" s="334" t="n"/>
      <c r="D403" s="334" t="n"/>
      <c r="E403" s="334" t="n"/>
      <c r="F403" s="334" t="n"/>
      <c r="G403" s="334" t="n"/>
      <c r="H403" s="334" t="n"/>
      <c r="I403" s="332">
        <f>IFERROR(VLOOKUP(TEXT(H403,"0"),IPRESS!$A$3:$B$212,2,0),"")</f>
        <v/>
      </c>
      <c r="J403" s="334" t="n"/>
      <c r="K403" s="332">
        <f>IFERROR(VLOOKUP(TEXT(O403,"0"),CONDUCTORES!$A$3:$G$54,7,0),"")</f>
        <v/>
      </c>
      <c r="L403" s="334" t="n"/>
      <c r="M403" s="334" t="n"/>
      <c r="N403" s="333">
        <f>IFERROR(IF(L403*M403=0,"",L403*M403),"")</f>
        <v/>
      </c>
      <c r="O403" s="334" t="n"/>
      <c r="P403" s="332">
        <f>IFERROR(VLOOKUP(TEXT(O403,"0"),CONDUCTORES!$A$3:$G$54,2,0),"")</f>
        <v/>
      </c>
      <c r="Q403" s="332">
        <f>IFERROR(VLOOKUP(TEXT(O403,"0"),CONDUCTORES!$A$3:$H$54,6,0),"")</f>
        <v/>
      </c>
      <c r="R403" s="334" t="n"/>
      <c r="S403" s="334" t="n"/>
      <c r="T403" s="334" t="n"/>
      <c r="U403" s="334" t="n"/>
      <c r="V403" s="334" t="n"/>
      <c r="W403" s="334" t="n"/>
      <c r="X403" s="334" t="n"/>
      <c r="Y403" s="334" t="n"/>
    </row>
    <row r="404" ht="15" customHeight="1" s="195">
      <c r="A404" s="280" t="n"/>
      <c r="B404" s="280" t="n"/>
      <c r="C404" s="280" t="n"/>
      <c r="D404" s="280" t="n"/>
      <c r="E404" s="280" t="n"/>
      <c r="F404" s="280" t="n"/>
      <c r="G404" s="280" t="n"/>
      <c r="H404" s="280" t="n"/>
      <c r="I404" s="332">
        <f>IFERROR(VLOOKUP(TEXT(H404,"0"),IPRESS!$A$3:$B$212,2,0),"")</f>
        <v/>
      </c>
      <c r="J404" s="280" t="n"/>
      <c r="K404" s="332">
        <f>IFERROR(VLOOKUP(TEXT(O404,"0"),CONDUCTORES!$A$3:$G$54,7,0),"")</f>
        <v/>
      </c>
      <c r="L404" s="280" t="n"/>
      <c r="M404" s="280" t="n"/>
      <c r="N404" s="333">
        <f>IFERROR(IF(L404*M404=0,"",L404*M404),"")</f>
        <v/>
      </c>
      <c r="O404" s="280" t="n"/>
      <c r="P404" s="332">
        <f>IFERROR(VLOOKUP(TEXT(O404,"0"),CONDUCTORES!$A$3:$G$54,2,0),"")</f>
        <v/>
      </c>
      <c r="Q404" s="332">
        <f>IFERROR(VLOOKUP(TEXT(O404,"0"),CONDUCTORES!$A$3:$H$54,6,0),"")</f>
        <v/>
      </c>
      <c r="R404" s="280" t="n"/>
      <c r="S404" s="280" t="n"/>
      <c r="T404" s="280" t="n"/>
      <c r="U404" s="280" t="n"/>
      <c r="V404" s="280" t="n"/>
      <c r="W404" s="280" t="n"/>
      <c r="X404" s="280" t="n"/>
      <c r="Y404" s="280" t="n"/>
    </row>
    <row r="405" ht="15" customHeight="1" s="195">
      <c r="A405" s="334" t="n"/>
      <c r="B405" s="334" t="n"/>
      <c r="C405" s="334" t="n"/>
      <c r="D405" s="334" t="n"/>
      <c r="E405" s="334" t="n"/>
      <c r="F405" s="334" t="n"/>
      <c r="G405" s="334" t="n"/>
      <c r="H405" s="334" t="n"/>
      <c r="I405" s="332">
        <f>IFERROR(VLOOKUP(TEXT(H405,"0"),IPRESS!$A$3:$B$212,2,0),"")</f>
        <v/>
      </c>
      <c r="J405" s="334" t="n"/>
      <c r="K405" s="332">
        <f>IFERROR(VLOOKUP(TEXT(O405,"0"),CONDUCTORES!$A$3:$G$54,7,0),"")</f>
        <v/>
      </c>
      <c r="L405" s="334" t="n"/>
      <c r="M405" s="334" t="n"/>
      <c r="N405" s="333">
        <f>IFERROR(IF(L405*M405=0,"",L405*M405),"")</f>
        <v/>
      </c>
      <c r="O405" s="334" t="n"/>
      <c r="P405" s="332">
        <f>IFERROR(VLOOKUP(TEXT(O405,"0"),CONDUCTORES!$A$3:$G$54,2,0),"")</f>
        <v/>
      </c>
      <c r="Q405" s="332">
        <f>IFERROR(VLOOKUP(TEXT(O405,"0"),CONDUCTORES!$A$3:$H$54,6,0),"")</f>
        <v/>
      </c>
      <c r="R405" s="334" t="n"/>
      <c r="S405" s="334" t="n"/>
      <c r="T405" s="334" t="n"/>
      <c r="U405" s="334" t="n"/>
      <c r="V405" s="334" t="n"/>
      <c r="W405" s="334" t="n"/>
      <c r="X405" s="334" t="n"/>
      <c r="Y405" s="334" t="n"/>
    </row>
    <row r="406" ht="15" customHeight="1" s="195">
      <c r="A406" s="280" t="n"/>
      <c r="B406" s="280" t="n"/>
      <c r="C406" s="280" t="n"/>
      <c r="D406" s="280" t="n"/>
      <c r="E406" s="280" t="n"/>
      <c r="F406" s="280" t="n"/>
      <c r="G406" s="280" t="n"/>
      <c r="H406" s="280" t="n"/>
      <c r="I406" s="332">
        <f>IFERROR(VLOOKUP(TEXT(H406,"0"),IPRESS!$A$3:$B$212,2,0),"")</f>
        <v/>
      </c>
      <c r="J406" s="280" t="n"/>
      <c r="K406" s="332">
        <f>IFERROR(VLOOKUP(TEXT(O406,"0"),CONDUCTORES!$A$3:$G$54,7,0),"")</f>
        <v/>
      </c>
      <c r="L406" s="280" t="n"/>
      <c r="M406" s="280" t="n"/>
      <c r="N406" s="333">
        <f>IFERROR(IF(L406*M406=0,"",L406*M406),"")</f>
        <v/>
      </c>
      <c r="O406" s="280" t="n"/>
      <c r="P406" s="332">
        <f>IFERROR(VLOOKUP(TEXT(O406,"0"),CONDUCTORES!$A$3:$G$54,2,0),"")</f>
        <v/>
      </c>
      <c r="Q406" s="332">
        <f>IFERROR(VLOOKUP(TEXT(O406,"0"),CONDUCTORES!$A$3:$H$54,6,0),"")</f>
        <v/>
      </c>
      <c r="R406" s="280" t="n"/>
      <c r="S406" s="280" t="n"/>
      <c r="T406" s="280" t="n"/>
      <c r="U406" s="280" t="n"/>
      <c r="V406" s="280" t="n"/>
      <c r="W406" s="280" t="n"/>
      <c r="X406" s="280" t="n"/>
      <c r="Y406" s="280" t="n"/>
    </row>
    <row r="407" ht="15" customHeight="1" s="195">
      <c r="A407" s="334" t="n"/>
      <c r="B407" s="334" t="n"/>
      <c r="C407" s="334" t="n"/>
      <c r="D407" s="334" t="n"/>
      <c r="E407" s="334" t="n"/>
      <c r="F407" s="334" t="n"/>
      <c r="G407" s="334" t="n"/>
      <c r="H407" s="334" t="n"/>
      <c r="I407" s="332">
        <f>IFERROR(VLOOKUP(TEXT(H407,"0"),IPRESS!$A$3:$B$212,2,0),"")</f>
        <v/>
      </c>
      <c r="J407" s="334" t="n"/>
      <c r="K407" s="332">
        <f>IFERROR(VLOOKUP(TEXT(O407,"0"),CONDUCTORES!$A$3:$G$54,7,0),"")</f>
        <v/>
      </c>
      <c r="L407" s="334" t="n"/>
      <c r="M407" s="334" t="n"/>
      <c r="N407" s="333">
        <f>IFERROR(IF(L407*M407=0,"",L407*M407),"")</f>
        <v/>
      </c>
      <c r="O407" s="334" t="n"/>
      <c r="P407" s="332">
        <f>IFERROR(VLOOKUP(TEXT(O407,"0"),CONDUCTORES!$A$3:$G$54,2,0),"")</f>
        <v/>
      </c>
      <c r="Q407" s="332">
        <f>IFERROR(VLOOKUP(TEXT(O407,"0"),CONDUCTORES!$A$3:$H$54,6,0),"")</f>
        <v/>
      </c>
      <c r="R407" s="334" t="n"/>
      <c r="S407" s="334" t="n"/>
      <c r="T407" s="334" t="n"/>
      <c r="U407" s="334" t="n"/>
      <c r="V407" s="334" t="n"/>
      <c r="W407" s="334" t="n"/>
      <c r="X407" s="334" t="n"/>
      <c r="Y407" s="334" t="n"/>
    </row>
    <row r="408" ht="15" customHeight="1" s="195">
      <c r="A408" s="280" t="n"/>
      <c r="B408" s="280" t="n"/>
      <c r="C408" s="280" t="n"/>
      <c r="D408" s="280" t="n"/>
      <c r="E408" s="280" t="n"/>
      <c r="F408" s="280" t="n"/>
      <c r="G408" s="280" t="n"/>
      <c r="H408" s="280" t="n"/>
      <c r="I408" s="332">
        <f>IFERROR(VLOOKUP(TEXT(H408,"0"),IPRESS!$A$3:$B$212,2,0),"")</f>
        <v/>
      </c>
      <c r="J408" s="280" t="n"/>
      <c r="K408" s="332">
        <f>IFERROR(VLOOKUP(TEXT(O408,"0"),CONDUCTORES!$A$3:$G$54,7,0),"")</f>
        <v/>
      </c>
      <c r="L408" s="280" t="n"/>
      <c r="M408" s="280" t="n"/>
      <c r="N408" s="333">
        <f>IFERROR(IF(L408*M408=0,"",L408*M408),"")</f>
        <v/>
      </c>
      <c r="O408" s="280" t="n"/>
      <c r="P408" s="332">
        <f>IFERROR(VLOOKUP(TEXT(O408,"0"),CONDUCTORES!$A$3:$G$54,2,0),"")</f>
        <v/>
      </c>
      <c r="Q408" s="332">
        <f>IFERROR(VLOOKUP(TEXT(O408,"0"),CONDUCTORES!$A$3:$H$54,6,0),"")</f>
        <v/>
      </c>
      <c r="R408" s="280" t="n"/>
      <c r="S408" s="280" t="n"/>
      <c r="T408" s="280" t="n"/>
      <c r="U408" s="280" t="n"/>
      <c r="V408" s="280" t="n"/>
      <c r="W408" s="280" t="n"/>
      <c r="X408" s="280" t="n"/>
      <c r="Y408" s="280" t="n"/>
    </row>
    <row r="409" ht="15" customHeight="1" s="195">
      <c r="A409" s="334" t="n"/>
      <c r="B409" s="334" t="n"/>
      <c r="C409" s="334" t="n"/>
      <c r="D409" s="334" t="n"/>
      <c r="E409" s="334" t="n"/>
      <c r="F409" s="334" t="n"/>
      <c r="G409" s="334" t="n"/>
      <c r="H409" s="334" t="n"/>
      <c r="I409" s="332">
        <f>IFERROR(VLOOKUP(TEXT(H409,"0"),IPRESS!$A$3:$B$212,2,0),"")</f>
        <v/>
      </c>
      <c r="J409" s="334" t="n"/>
      <c r="K409" s="332">
        <f>IFERROR(VLOOKUP(TEXT(O409,"0"),CONDUCTORES!$A$3:$G$54,7,0),"")</f>
        <v/>
      </c>
      <c r="L409" s="334" t="n"/>
      <c r="M409" s="334" t="n"/>
      <c r="N409" s="333">
        <f>IFERROR(IF(L409*M409=0,"",L409*M409),"")</f>
        <v/>
      </c>
      <c r="O409" s="334" t="n"/>
      <c r="P409" s="332">
        <f>IFERROR(VLOOKUP(TEXT(O409,"0"),CONDUCTORES!$A$3:$G$54,2,0),"")</f>
        <v/>
      </c>
      <c r="Q409" s="332">
        <f>IFERROR(VLOOKUP(TEXT(O409,"0"),CONDUCTORES!$A$3:$H$54,6,0),"")</f>
        <v/>
      </c>
      <c r="R409" s="334" t="n"/>
      <c r="S409" s="334" t="n"/>
      <c r="T409" s="334" t="n"/>
      <c r="U409" s="334" t="n"/>
      <c r="V409" s="334" t="n"/>
      <c r="W409" s="334" t="n"/>
      <c r="X409" s="334" t="n"/>
      <c r="Y409" s="334" t="n"/>
    </row>
    <row r="410" ht="15" customHeight="1" s="195">
      <c r="A410" s="280" t="n"/>
      <c r="B410" s="280" t="n"/>
      <c r="C410" s="280" t="n"/>
      <c r="D410" s="280" t="n"/>
      <c r="E410" s="280" t="n"/>
      <c r="F410" s="280" t="n"/>
      <c r="G410" s="280" t="n"/>
      <c r="H410" s="280" t="n"/>
      <c r="I410" s="332">
        <f>IFERROR(VLOOKUP(TEXT(H410,"0"),IPRESS!$A$3:$B$212,2,0),"")</f>
        <v/>
      </c>
      <c r="J410" s="280" t="n"/>
      <c r="K410" s="332">
        <f>IFERROR(VLOOKUP(TEXT(O410,"0"),CONDUCTORES!$A$3:$G$54,7,0),"")</f>
        <v/>
      </c>
      <c r="L410" s="280" t="n"/>
      <c r="M410" s="280" t="n"/>
      <c r="N410" s="333">
        <f>IFERROR(IF(L410*M410=0,"",L410*M410),"")</f>
        <v/>
      </c>
      <c r="O410" s="280" t="n"/>
      <c r="P410" s="332">
        <f>IFERROR(VLOOKUP(TEXT(O410,"0"),CONDUCTORES!$A$3:$G$54,2,0),"")</f>
        <v/>
      </c>
      <c r="Q410" s="332">
        <f>IFERROR(VLOOKUP(TEXT(O410,"0"),CONDUCTORES!$A$3:$H$54,6,0),"")</f>
        <v/>
      </c>
      <c r="R410" s="280" t="n"/>
      <c r="S410" s="280" t="n"/>
      <c r="T410" s="280" t="n"/>
      <c r="U410" s="280" t="n"/>
      <c r="V410" s="280" t="n"/>
      <c r="W410" s="280" t="n"/>
      <c r="X410" s="280" t="n"/>
      <c r="Y410" s="280" t="n"/>
    </row>
    <row r="411" ht="15" customHeight="1" s="195">
      <c r="A411" s="334" t="n"/>
      <c r="B411" s="334" t="n"/>
      <c r="C411" s="334" t="n"/>
      <c r="D411" s="334" t="n"/>
      <c r="E411" s="334" t="n"/>
      <c r="F411" s="334" t="n"/>
      <c r="G411" s="334" t="n"/>
      <c r="H411" s="334" t="n"/>
      <c r="I411" s="332">
        <f>IFERROR(VLOOKUP(TEXT(H411,"0"),IPRESS!$A$3:$B$212,2,0),"")</f>
        <v/>
      </c>
      <c r="J411" s="334" t="n"/>
      <c r="K411" s="332">
        <f>IFERROR(VLOOKUP(TEXT(O411,"0"),CONDUCTORES!$A$3:$G$54,7,0),"")</f>
        <v/>
      </c>
      <c r="L411" s="334" t="n"/>
      <c r="M411" s="334" t="n"/>
      <c r="N411" s="333">
        <f>IFERROR(IF(L411*M411=0,"",L411*M411),"")</f>
        <v/>
      </c>
      <c r="O411" s="334" t="n"/>
      <c r="P411" s="332">
        <f>IFERROR(VLOOKUP(TEXT(O411,"0"),CONDUCTORES!$A$3:$G$54,2,0),"")</f>
        <v/>
      </c>
      <c r="Q411" s="332">
        <f>IFERROR(VLOOKUP(TEXT(O411,"0"),CONDUCTORES!$A$3:$H$54,6,0),"")</f>
        <v/>
      </c>
      <c r="R411" s="334" t="n"/>
      <c r="S411" s="334" t="n"/>
      <c r="T411" s="334" t="n"/>
      <c r="U411" s="334" t="n"/>
      <c r="V411" s="334" t="n"/>
      <c r="W411" s="334" t="n"/>
      <c r="X411" s="334" t="n"/>
      <c r="Y411" s="334" t="n"/>
    </row>
    <row r="412" ht="15" customHeight="1" s="195">
      <c r="A412" s="280" t="n"/>
      <c r="B412" s="280" t="n"/>
      <c r="C412" s="280" t="n"/>
      <c r="D412" s="280" t="n"/>
      <c r="E412" s="280" t="n"/>
      <c r="F412" s="280" t="n"/>
      <c r="G412" s="280" t="n"/>
      <c r="H412" s="280" t="n"/>
      <c r="I412" s="332">
        <f>IFERROR(VLOOKUP(TEXT(H412,"0"),IPRESS!$A$3:$B$212,2,0),"")</f>
        <v/>
      </c>
      <c r="J412" s="280" t="n"/>
      <c r="K412" s="332">
        <f>IFERROR(VLOOKUP(TEXT(O412,"0"),CONDUCTORES!$A$3:$G$54,7,0),"")</f>
        <v/>
      </c>
      <c r="L412" s="280" t="n"/>
      <c r="M412" s="280" t="n"/>
      <c r="N412" s="333">
        <f>IFERROR(IF(L412*M412=0,"",L412*M412),"")</f>
        <v/>
      </c>
      <c r="O412" s="280" t="n"/>
      <c r="P412" s="332">
        <f>IFERROR(VLOOKUP(TEXT(O412,"0"),CONDUCTORES!$A$3:$G$54,2,0),"")</f>
        <v/>
      </c>
      <c r="Q412" s="332">
        <f>IFERROR(VLOOKUP(TEXT(O412,"0"),CONDUCTORES!$A$3:$H$54,6,0),"")</f>
        <v/>
      </c>
      <c r="R412" s="280" t="n"/>
      <c r="S412" s="280" t="n"/>
      <c r="T412" s="280" t="n"/>
      <c r="U412" s="280" t="n"/>
      <c r="V412" s="280" t="n"/>
      <c r="W412" s="280" t="n"/>
      <c r="X412" s="280" t="n"/>
      <c r="Y412" s="280" t="n"/>
    </row>
    <row r="413" ht="15" customHeight="1" s="195">
      <c r="A413" s="334" t="n"/>
      <c r="B413" s="334" t="n"/>
      <c r="C413" s="334" t="n"/>
      <c r="D413" s="334" t="n"/>
      <c r="E413" s="334" t="n"/>
      <c r="F413" s="334" t="n"/>
      <c r="G413" s="334" t="n"/>
      <c r="H413" s="334" t="n"/>
      <c r="I413" s="332">
        <f>IFERROR(VLOOKUP(TEXT(H413,"0"),IPRESS!$A$3:$B$212,2,0),"")</f>
        <v/>
      </c>
      <c r="J413" s="334" t="n"/>
      <c r="K413" s="332">
        <f>IFERROR(VLOOKUP(TEXT(O413,"0"),CONDUCTORES!$A$3:$G$54,7,0),"")</f>
        <v/>
      </c>
      <c r="L413" s="334" t="n"/>
      <c r="M413" s="334" t="n"/>
      <c r="N413" s="333">
        <f>IFERROR(IF(L413*M413=0,"",L413*M413),"")</f>
        <v/>
      </c>
      <c r="O413" s="334" t="n"/>
      <c r="P413" s="332">
        <f>IFERROR(VLOOKUP(TEXT(O413,"0"),CONDUCTORES!$A$3:$G$54,2,0),"")</f>
        <v/>
      </c>
      <c r="Q413" s="332">
        <f>IFERROR(VLOOKUP(TEXT(O413,"0"),CONDUCTORES!$A$3:$H$54,6,0),"")</f>
        <v/>
      </c>
      <c r="R413" s="334" t="n"/>
      <c r="S413" s="334" t="n"/>
      <c r="T413" s="334" t="n"/>
      <c r="U413" s="334" t="n"/>
      <c r="V413" s="334" t="n"/>
      <c r="W413" s="334" t="n"/>
      <c r="X413" s="334" t="n"/>
      <c r="Y413" s="334" t="n"/>
    </row>
    <row r="414" ht="15" customHeight="1" s="195">
      <c r="A414" s="280" t="n"/>
      <c r="B414" s="280" t="n"/>
      <c r="C414" s="280" t="n"/>
      <c r="D414" s="280" t="n"/>
      <c r="E414" s="280" t="n"/>
      <c r="F414" s="280" t="n"/>
      <c r="G414" s="280" t="n"/>
      <c r="H414" s="280" t="n"/>
      <c r="I414" s="332">
        <f>IFERROR(VLOOKUP(TEXT(H414,"0"),IPRESS!$A$3:$B$212,2,0),"")</f>
        <v/>
      </c>
      <c r="J414" s="280" t="n"/>
      <c r="K414" s="332">
        <f>IFERROR(VLOOKUP(TEXT(O414,"0"),CONDUCTORES!$A$3:$G$54,7,0),"")</f>
        <v/>
      </c>
      <c r="L414" s="280" t="n"/>
      <c r="M414" s="280" t="n"/>
      <c r="N414" s="333">
        <f>IFERROR(IF(L414*M414=0,"",L414*M414),"")</f>
        <v/>
      </c>
      <c r="O414" s="280" t="n"/>
      <c r="P414" s="332">
        <f>IFERROR(VLOOKUP(TEXT(O414,"0"),CONDUCTORES!$A$3:$G$54,2,0),"")</f>
        <v/>
      </c>
      <c r="Q414" s="332">
        <f>IFERROR(VLOOKUP(TEXT(O414,"0"),CONDUCTORES!$A$3:$H$54,6,0),"")</f>
        <v/>
      </c>
      <c r="R414" s="280" t="n"/>
      <c r="S414" s="280" t="n"/>
      <c r="T414" s="280" t="n"/>
      <c r="U414" s="280" t="n"/>
      <c r="V414" s="280" t="n"/>
      <c r="W414" s="280" t="n"/>
      <c r="X414" s="280" t="n"/>
      <c r="Y414" s="280" t="n"/>
    </row>
    <row r="415" ht="15" customHeight="1" s="195">
      <c r="A415" s="334" t="n"/>
      <c r="B415" s="334" t="n"/>
      <c r="C415" s="334" t="n"/>
      <c r="D415" s="334" t="n"/>
      <c r="E415" s="334" t="n"/>
      <c r="F415" s="334" t="n"/>
      <c r="G415" s="334" t="n"/>
      <c r="H415" s="334" t="n"/>
      <c r="I415" s="332">
        <f>IFERROR(VLOOKUP(TEXT(H415,"0"),IPRESS!$A$3:$B$212,2,0),"")</f>
        <v/>
      </c>
      <c r="J415" s="334" t="n"/>
      <c r="K415" s="332">
        <f>IFERROR(VLOOKUP(TEXT(O415,"0"),CONDUCTORES!$A$3:$G$54,7,0),"")</f>
        <v/>
      </c>
      <c r="L415" s="334" t="n"/>
      <c r="M415" s="334" t="n"/>
      <c r="N415" s="333">
        <f>IFERROR(IF(L415*M415=0,"",L415*M415),"")</f>
        <v/>
      </c>
      <c r="O415" s="334" t="n"/>
      <c r="P415" s="332">
        <f>IFERROR(VLOOKUP(TEXT(O415,"0"),CONDUCTORES!$A$3:$G$54,2,0),"")</f>
        <v/>
      </c>
      <c r="Q415" s="332">
        <f>IFERROR(VLOOKUP(TEXT(O415,"0"),CONDUCTORES!$A$3:$H$54,6,0),"")</f>
        <v/>
      </c>
      <c r="R415" s="334" t="n"/>
      <c r="S415" s="334" t="n"/>
      <c r="T415" s="334" t="n"/>
      <c r="U415" s="334" t="n"/>
      <c r="V415" s="334" t="n"/>
      <c r="W415" s="334" t="n"/>
      <c r="X415" s="334" t="n"/>
      <c r="Y415" s="334" t="n"/>
    </row>
    <row r="416" ht="15" customHeight="1" s="195">
      <c r="A416" s="280" t="n"/>
      <c r="B416" s="280" t="n"/>
      <c r="C416" s="280" t="n"/>
      <c r="D416" s="280" t="n"/>
      <c r="E416" s="280" t="n"/>
      <c r="F416" s="280" t="n"/>
      <c r="G416" s="280" t="n"/>
      <c r="H416" s="280" t="n"/>
      <c r="I416" s="332">
        <f>IFERROR(VLOOKUP(TEXT(H416,"0"),IPRESS!$A$3:$B$212,2,0),"")</f>
        <v/>
      </c>
      <c r="J416" s="280" t="n"/>
      <c r="K416" s="332">
        <f>IFERROR(VLOOKUP(TEXT(O416,"0"),CONDUCTORES!$A$3:$G$54,7,0),"")</f>
        <v/>
      </c>
      <c r="L416" s="280" t="n"/>
      <c r="M416" s="280" t="n"/>
      <c r="N416" s="333">
        <f>IFERROR(IF(L416*M416=0,"",L416*M416),"")</f>
        <v/>
      </c>
      <c r="O416" s="280" t="n"/>
      <c r="P416" s="332">
        <f>IFERROR(VLOOKUP(TEXT(O416,"0"),CONDUCTORES!$A$3:$G$54,2,0),"")</f>
        <v/>
      </c>
      <c r="Q416" s="332">
        <f>IFERROR(VLOOKUP(TEXT(O416,"0"),CONDUCTORES!$A$3:$H$54,6,0),"")</f>
        <v/>
      </c>
      <c r="R416" s="280" t="n"/>
      <c r="S416" s="280" t="n"/>
      <c r="T416" s="280" t="n"/>
      <c r="U416" s="280" t="n"/>
      <c r="V416" s="280" t="n"/>
      <c r="W416" s="280" t="n"/>
      <c r="X416" s="280" t="n"/>
      <c r="Y416" s="280" t="n"/>
    </row>
    <row r="417" ht="15" customHeight="1" s="195">
      <c r="A417" s="334" t="n"/>
      <c r="B417" s="334" t="n"/>
      <c r="C417" s="334" t="n"/>
      <c r="D417" s="334" t="n"/>
      <c r="E417" s="334" t="n"/>
      <c r="F417" s="334" t="n"/>
      <c r="G417" s="334" t="n"/>
      <c r="H417" s="334" t="n"/>
      <c r="I417" s="332">
        <f>IFERROR(VLOOKUP(TEXT(H417,"0"),IPRESS!$A$3:$B$212,2,0),"")</f>
        <v/>
      </c>
      <c r="J417" s="334" t="n"/>
      <c r="K417" s="332">
        <f>IFERROR(VLOOKUP(TEXT(O417,"0"),CONDUCTORES!$A$3:$G$54,7,0),"")</f>
        <v/>
      </c>
      <c r="L417" s="334" t="n"/>
      <c r="M417" s="334" t="n"/>
      <c r="N417" s="333">
        <f>IFERROR(IF(L417*M417=0,"",L417*M417),"")</f>
        <v/>
      </c>
      <c r="O417" s="334" t="n"/>
      <c r="P417" s="332">
        <f>IFERROR(VLOOKUP(TEXT(O417,"0"),CONDUCTORES!$A$3:$G$54,2,0),"")</f>
        <v/>
      </c>
      <c r="Q417" s="332">
        <f>IFERROR(VLOOKUP(TEXT(O417,"0"),CONDUCTORES!$A$3:$H$54,6,0),"")</f>
        <v/>
      </c>
      <c r="R417" s="334" t="n"/>
      <c r="S417" s="334" t="n"/>
      <c r="T417" s="334" t="n"/>
      <c r="U417" s="334" t="n"/>
      <c r="V417" s="334" t="n"/>
      <c r="W417" s="334" t="n"/>
      <c r="X417" s="334" t="n"/>
      <c r="Y417" s="334" t="n"/>
    </row>
    <row r="418" ht="15" customHeight="1" s="195">
      <c r="A418" s="280" t="n"/>
      <c r="B418" s="280" t="n"/>
      <c r="C418" s="280" t="n"/>
      <c r="D418" s="280" t="n"/>
      <c r="E418" s="280" t="n"/>
      <c r="F418" s="280" t="n"/>
      <c r="G418" s="280" t="n"/>
      <c r="H418" s="280" t="n"/>
      <c r="I418" s="332">
        <f>IFERROR(VLOOKUP(TEXT(H418,"0"),IPRESS!$A$3:$B$212,2,0),"")</f>
        <v/>
      </c>
      <c r="J418" s="280" t="n"/>
      <c r="K418" s="332">
        <f>IFERROR(VLOOKUP(TEXT(O418,"0"),CONDUCTORES!$A$3:$G$54,7,0),"")</f>
        <v/>
      </c>
      <c r="L418" s="280" t="n"/>
      <c r="M418" s="280" t="n"/>
      <c r="N418" s="333">
        <f>IFERROR(IF(L418*M418=0,"",L418*M418),"")</f>
        <v/>
      </c>
      <c r="O418" s="280" t="n"/>
      <c r="P418" s="332">
        <f>IFERROR(VLOOKUP(TEXT(O418,"0"),CONDUCTORES!$A$3:$G$54,2,0),"")</f>
        <v/>
      </c>
      <c r="Q418" s="332">
        <f>IFERROR(VLOOKUP(TEXT(O418,"0"),CONDUCTORES!$A$3:$H$54,6,0),"")</f>
        <v/>
      </c>
      <c r="R418" s="280" t="n"/>
      <c r="S418" s="280" t="n"/>
      <c r="T418" s="280" t="n"/>
      <c r="U418" s="280" t="n"/>
      <c r="V418" s="280" t="n"/>
      <c r="W418" s="280" t="n"/>
      <c r="X418" s="280" t="n"/>
      <c r="Y418" s="280" t="n"/>
    </row>
    <row r="419" ht="15" customHeight="1" s="195">
      <c r="A419" s="334" t="n"/>
      <c r="B419" s="334" t="n"/>
      <c r="C419" s="334" t="n"/>
      <c r="D419" s="334" t="n"/>
      <c r="E419" s="334" t="n"/>
      <c r="F419" s="334" t="n"/>
      <c r="G419" s="334" t="n"/>
      <c r="H419" s="334" t="n"/>
      <c r="I419" s="332">
        <f>IFERROR(VLOOKUP(TEXT(H419,"0"),IPRESS!$A$3:$B$212,2,0),"")</f>
        <v/>
      </c>
      <c r="J419" s="334" t="n"/>
      <c r="K419" s="332">
        <f>IFERROR(VLOOKUP(TEXT(O419,"0"),CONDUCTORES!$A$3:$G$54,7,0),"")</f>
        <v/>
      </c>
      <c r="L419" s="334" t="n"/>
      <c r="M419" s="334" t="n"/>
      <c r="N419" s="333">
        <f>IFERROR(IF(L419*M419=0,"",L419*M419),"")</f>
        <v/>
      </c>
      <c r="O419" s="334" t="n"/>
      <c r="P419" s="332">
        <f>IFERROR(VLOOKUP(TEXT(O419,"0"),CONDUCTORES!$A$3:$G$54,2,0),"")</f>
        <v/>
      </c>
      <c r="Q419" s="332">
        <f>IFERROR(VLOOKUP(TEXT(O419,"0"),CONDUCTORES!$A$3:$H$54,6,0),"")</f>
        <v/>
      </c>
      <c r="R419" s="334" t="n"/>
      <c r="S419" s="334" t="n"/>
      <c r="T419" s="334" t="n"/>
      <c r="U419" s="334" t="n"/>
      <c r="V419" s="334" t="n"/>
      <c r="W419" s="334" t="n"/>
      <c r="X419" s="334" t="n"/>
      <c r="Y419" s="334" t="n"/>
    </row>
    <row r="420" ht="15" customHeight="1" s="195">
      <c r="A420" s="280" t="n"/>
      <c r="B420" s="280" t="n"/>
      <c r="C420" s="280" t="n"/>
      <c r="D420" s="280" t="n"/>
      <c r="E420" s="280" t="n"/>
      <c r="F420" s="280" t="n"/>
      <c r="G420" s="280" t="n"/>
      <c r="H420" s="280" t="n"/>
      <c r="I420" s="332">
        <f>IFERROR(VLOOKUP(TEXT(H420,"0"),IPRESS!$A$3:$B$212,2,0),"")</f>
        <v/>
      </c>
      <c r="J420" s="280" t="n"/>
      <c r="K420" s="332">
        <f>IFERROR(VLOOKUP(TEXT(O420,"0"),CONDUCTORES!$A$3:$G$54,7,0),"")</f>
        <v/>
      </c>
      <c r="L420" s="280" t="n"/>
      <c r="M420" s="280" t="n"/>
      <c r="N420" s="333">
        <f>IFERROR(IF(L420*M420=0,"",L420*M420),"")</f>
        <v/>
      </c>
      <c r="O420" s="280" t="n"/>
      <c r="P420" s="332">
        <f>IFERROR(VLOOKUP(TEXT(O420,"0"),CONDUCTORES!$A$3:$G$54,2,0),"")</f>
        <v/>
      </c>
      <c r="Q420" s="332">
        <f>IFERROR(VLOOKUP(TEXT(O420,"0"),CONDUCTORES!$A$3:$H$54,6,0),"")</f>
        <v/>
      </c>
      <c r="R420" s="280" t="n"/>
      <c r="S420" s="280" t="n"/>
      <c r="T420" s="280" t="n"/>
      <c r="U420" s="280" t="n"/>
      <c r="V420" s="280" t="n"/>
      <c r="W420" s="280" t="n"/>
      <c r="X420" s="280" t="n"/>
      <c r="Y420" s="280" t="n"/>
    </row>
    <row r="421" ht="15" customHeight="1" s="195">
      <c r="A421" s="334" t="n"/>
      <c r="B421" s="334" t="n"/>
      <c r="C421" s="334" t="n"/>
      <c r="D421" s="334" t="n"/>
      <c r="E421" s="334" t="n"/>
      <c r="F421" s="334" t="n"/>
      <c r="G421" s="334" t="n"/>
      <c r="H421" s="334" t="n"/>
      <c r="I421" s="332">
        <f>IFERROR(VLOOKUP(TEXT(H421,"0"),IPRESS!$A$3:$B$212,2,0),"")</f>
        <v/>
      </c>
      <c r="J421" s="334" t="n"/>
      <c r="K421" s="332">
        <f>IFERROR(VLOOKUP(TEXT(O421,"0"),CONDUCTORES!$A$3:$G$54,7,0),"")</f>
        <v/>
      </c>
      <c r="L421" s="334" t="n"/>
      <c r="M421" s="334" t="n"/>
      <c r="N421" s="333">
        <f>IFERROR(IF(L421*M421=0,"",L421*M421),"")</f>
        <v/>
      </c>
      <c r="O421" s="334" t="n"/>
      <c r="P421" s="332">
        <f>IFERROR(VLOOKUP(TEXT(O421,"0"),CONDUCTORES!$A$3:$G$54,2,0),"")</f>
        <v/>
      </c>
      <c r="Q421" s="332">
        <f>IFERROR(VLOOKUP(TEXT(O421,"0"),CONDUCTORES!$A$3:$H$54,6,0),"")</f>
        <v/>
      </c>
      <c r="R421" s="334" t="n"/>
      <c r="S421" s="334" t="n"/>
      <c r="T421" s="334" t="n"/>
      <c r="U421" s="334" t="n"/>
      <c r="V421" s="334" t="n"/>
      <c r="W421" s="334" t="n"/>
      <c r="X421" s="334" t="n"/>
      <c r="Y421" s="334" t="n"/>
    </row>
    <row r="422" ht="15" customHeight="1" s="195">
      <c r="A422" s="280" t="n"/>
      <c r="B422" s="280" t="n"/>
      <c r="C422" s="280" t="n"/>
      <c r="D422" s="280" t="n"/>
      <c r="E422" s="280" t="n"/>
      <c r="F422" s="280" t="n"/>
      <c r="G422" s="280" t="n"/>
      <c r="H422" s="280" t="n"/>
      <c r="I422" s="332">
        <f>IFERROR(VLOOKUP(TEXT(H422,"0"),IPRESS!$A$3:$B$212,2,0),"")</f>
        <v/>
      </c>
      <c r="J422" s="280" t="n"/>
      <c r="K422" s="332">
        <f>IFERROR(VLOOKUP(TEXT(O422,"0"),CONDUCTORES!$A$3:$G$54,7,0),"")</f>
        <v/>
      </c>
      <c r="L422" s="280" t="n"/>
      <c r="M422" s="280" t="n"/>
      <c r="N422" s="333">
        <f>IFERROR(IF(L422*M422=0,"",L422*M422),"")</f>
        <v/>
      </c>
      <c r="O422" s="280" t="n"/>
      <c r="P422" s="332">
        <f>IFERROR(VLOOKUP(TEXT(O422,"0"),CONDUCTORES!$A$3:$G$54,2,0),"")</f>
        <v/>
      </c>
      <c r="Q422" s="332">
        <f>IFERROR(VLOOKUP(TEXT(O422,"0"),CONDUCTORES!$A$3:$H$54,6,0),"")</f>
        <v/>
      </c>
      <c r="R422" s="280" t="n"/>
      <c r="S422" s="280" t="n"/>
      <c r="T422" s="280" t="n"/>
      <c r="U422" s="280" t="n"/>
      <c r="V422" s="280" t="n"/>
      <c r="W422" s="280" t="n"/>
      <c r="X422" s="280" t="n"/>
      <c r="Y422" s="280" t="n"/>
    </row>
    <row r="423" ht="15" customHeight="1" s="195">
      <c r="A423" s="334" t="n"/>
      <c r="B423" s="334" t="n"/>
      <c r="C423" s="334" t="n"/>
      <c r="D423" s="334" t="n"/>
      <c r="E423" s="334" t="n"/>
      <c r="F423" s="334" t="n"/>
      <c r="G423" s="334" t="n"/>
      <c r="H423" s="334" t="n"/>
      <c r="I423" s="332">
        <f>IFERROR(VLOOKUP(TEXT(H423,"0"),IPRESS!$A$3:$B$212,2,0),"")</f>
        <v/>
      </c>
      <c r="J423" s="334" t="n"/>
      <c r="K423" s="332">
        <f>IFERROR(VLOOKUP(TEXT(O423,"0"),CONDUCTORES!$A$3:$G$54,7,0),"")</f>
        <v/>
      </c>
      <c r="L423" s="334" t="n"/>
      <c r="M423" s="334" t="n"/>
      <c r="N423" s="333">
        <f>IFERROR(IF(L423*M423=0,"",L423*M423),"")</f>
        <v/>
      </c>
      <c r="O423" s="334" t="n"/>
      <c r="P423" s="332">
        <f>IFERROR(VLOOKUP(TEXT(O423,"0"),CONDUCTORES!$A$3:$G$54,2,0),"")</f>
        <v/>
      </c>
      <c r="Q423" s="332">
        <f>IFERROR(VLOOKUP(TEXT(O423,"0"),CONDUCTORES!$A$3:$H$54,6,0),"")</f>
        <v/>
      </c>
      <c r="R423" s="334" t="n"/>
      <c r="S423" s="334" t="n"/>
      <c r="T423" s="334" t="n"/>
      <c r="U423" s="334" t="n"/>
      <c r="V423" s="334" t="n"/>
      <c r="W423" s="334" t="n"/>
      <c r="X423" s="334" t="n"/>
      <c r="Y423" s="334" t="n"/>
    </row>
    <row r="424" ht="15" customHeight="1" s="195">
      <c r="A424" s="280" t="n"/>
      <c r="B424" s="280" t="n"/>
      <c r="C424" s="280" t="n"/>
      <c r="D424" s="280" t="n"/>
      <c r="E424" s="280" t="n"/>
      <c r="F424" s="280" t="n"/>
      <c r="G424" s="280" t="n"/>
      <c r="H424" s="280" t="n"/>
      <c r="I424" s="332">
        <f>IFERROR(VLOOKUP(TEXT(H424,"0"),IPRESS!$A$3:$B$212,2,0),"")</f>
        <v/>
      </c>
      <c r="J424" s="280" t="n"/>
      <c r="K424" s="332">
        <f>IFERROR(VLOOKUP(TEXT(O424,"0"),CONDUCTORES!$A$3:$G$54,7,0),"")</f>
        <v/>
      </c>
      <c r="L424" s="280" t="n"/>
      <c r="M424" s="280" t="n"/>
      <c r="N424" s="333">
        <f>IFERROR(IF(L424*M424=0,"",L424*M424),"")</f>
        <v/>
      </c>
      <c r="O424" s="280" t="n"/>
      <c r="P424" s="332">
        <f>IFERROR(VLOOKUP(TEXT(O424,"0"),CONDUCTORES!$A$3:$G$54,2,0),"")</f>
        <v/>
      </c>
      <c r="Q424" s="332">
        <f>IFERROR(VLOOKUP(TEXT(O424,"0"),CONDUCTORES!$A$3:$H$54,6,0),"")</f>
        <v/>
      </c>
      <c r="R424" s="280" t="n"/>
      <c r="S424" s="280" t="n"/>
      <c r="T424" s="280" t="n"/>
      <c r="U424" s="280" t="n"/>
      <c r="V424" s="280" t="n"/>
      <c r="W424" s="280" t="n"/>
      <c r="X424" s="280" t="n"/>
      <c r="Y424" s="280" t="n"/>
    </row>
    <row r="425" ht="15" customHeight="1" s="195">
      <c r="A425" s="334" t="n"/>
      <c r="B425" s="334" t="n"/>
      <c r="C425" s="334" t="n"/>
      <c r="D425" s="334" t="n"/>
      <c r="E425" s="334" t="n"/>
      <c r="F425" s="334" t="n"/>
      <c r="G425" s="334" t="n"/>
      <c r="H425" s="334" t="n"/>
      <c r="I425" s="332">
        <f>IFERROR(VLOOKUP(TEXT(H425,"0"),IPRESS!$A$3:$B$212,2,0),"")</f>
        <v/>
      </c>
      <c r="J425" s="334" t="n"/>
      <c r="K425" s="332">
        <f>IFERROR(VLOOKUP(TEXT(O425,"0"),CONDUCTORES!$A$3:$G$54,7,0),"")</f>
        <v/>
      </c>
      <c r="L425" s="334" t="n"/>
      <c r="M425" s="334" t="n"/>
      <c r="N425" s="333">
        <f>IFERROR(IF(L425*M425=0,"",L425*M425),"")</f>
        <v/>
      </c>
      <c r="O425" s="334" t="n"/>
      <c r="P425" s="332">
        <f>IFERROR(VLOOKUP(TEXT(O425,"0"),CONDUCTORES!$A$3:$G$54,2,0),"")</f>
        <v/>
      </c>
      <c r="Q425" s="332">
        <f>IFERROR(VLOOKUP(TEXT(O425,"0"),CONDUCTORES!$A$3:$H$54,6,0),"")</f>
        <v/>
      </c>
      <c r="R425" s="334" t="n"/>
      <c r="S425" s="334" t="n"/>
      <c r="T425" s="334" t="n"/>
      <c r="U425" s="334" t="n"/>
      <c r="V425" s="334" t="n"/>
      <c r="W425" s="334" t="n"/>
      <c r="X425" s="334" t="n"/>
      <c r="Y425" s="334" t="n"/>
    </row>
    <row r="426" ht="15" customHeight="1" s="195">
      <c r="A426" s="280" t="n"/>
      <c r="B426" s="280" t="n"/>
      <c r="C426" s="280" t="n"/>
      <c r="D426" s="280" t="n"/>
      <c r="E426" s="280" t="n"/>
      <c r="F426" s="280" t="n"/>
      <c r="G426" s="280" t="n"/>
      <c r="H426" s="280" t="n"/>
      <c r="I426" s="332">
        <f>IFERROR(VLOOKUP(TEXT(H426,"0"),IPRESS!$A$3:$B$212,2,0),"")</f>
        <v/>
      </c>
      <c r="J426" s="280" t="n"/>
      <c r="K426" s="332">
        <f>IFERROR(VLOOKUP(TEXT(O426,"0"),CONDUCTORES!$A$3:$G$54,7,0),"")</f>
        <v/>
      </c>
      <c r="L426" s="280" t="n"/>
      <c r="M426" s="280" t="n"/>
      <c r="N426" s="333">
        <f>IFERROR(IF(L426*M426=0,"",L426*M426),"")</f>
        <v/>
      </c>
      <c r="O426" s="280" t="n"/>
      <c r="P426" s="332">
        <f>IFERROR(VLOOKUP(TEXT(O426,"0"),CONDUCTORES!$A$3:$G$54,2,0),"")</f>
        <v/>
      </c>
      <c r="Q426" s="332">
        <f>IFERROR(VLOOKUP(TEXT(O426,"0"),CONDUCTORES!$A$3:$H$54,6,0),"")</f>
        <v/>
      </c>
      <c r="R426" s="280" t="n"/>
      <c r="S426" s="280" t="n"/>
      <c r="T426" s="280" t="n"/>
      <c r="U426" s="280" t="n"/>
      <c r="V426" s="280" t="n"/>
      <c r="W426" s="280" t="n"/>
      <c r="X426" s="280" t="n"/>
      <c r="Y426" s="280" t="n"/>
    </row>
    <row r="427" ht="15" customHeight="1" s="195">
      <c r="A427" s="334" t="n"/>
      <c r="B427" s="334" t="n"/>
      <c r="C427" s="334" t="n"/>
      <c r="D427" s="334" t="n"/>
      <c r="E427" s="334" t="n"/>
      <c r="F427" s="334" t="n"/>
      <c r="G427" s="334" t="n"/>
      <c r="H427" s="334" t="n"/>
      <c r="I427" s="332">
        <f>IFERROR(VLOOKUP(TEXT(H427,"0"),IPRESS!$A$3:$B$212,2,0),"")</f>
        <v/>
      </c>
      <c r="J427" s="334" t="n"/>
      <c r="K427" s="332">
        <f>IFERROR(VLOOKUP(TEXT(O427,"0"),CONDUCTORES!$A$3:$G$54,7,0),"")</f>
        <v/>
      </c>
      <c r="L427" s="334" t="n"/>
      <c r="M427" s="334" t="n"/>
      <c r="N427" s="333">
        <f>IFERROR(IF(L427*M427=0,"",L427*M427),"")</f>
        <v/>
      </c>
      <c r="O427" s="334" t="n"/>
      <c r="P427" s="332">
        <f>IFERROR(VLOOKUP(TEXT(O427,"0"),CONDUCTORES!$A$3:$G$54,2,0),"")</f>
        <v/>
      </c>
      <c r="Q427" s="332">
        <f>IFERROR(VLOOKUP(TEXT(O427,"0"),CONDUCTORES!$A$3:$H$54,6,0),"")</f>
        <v/>
      </c>
      <c r="R427" s="334" t="n"/>
      <c r="S427" s="334" t="n"/>
      <c r="T427" s="334" t="n"/>
      <c r="U427" s="334" t="n"/>
      <c r="V427" s="334" t="n"/>
      <c r="W427" s="334" t="n"/>
      <c r="X427" s="334" t="n"/>
      <c r="Y427" s="334" t="n"/>
    </row>
    <row r="428" ht="15" customHeight="1" s="195">
      <c r="A428" s="280" t="n"/>
      <c r="B428" s="280" t="n"/>
      <c r="C428" s="280" t="n"/>
      <c r="D428" s="280" t="n"/>
      <c r="E428" s="280" t="n"/>
      <c r="F428" s="280" t="n"/>
      <c r="G428" s="280" t="n"/>
      <c r="H428" s="280" t="n"/>
      <c r="I428" s="332">
        <f>IFERROR(VLOOKUP(TEXT(H428,"0"),IPRESS!$A$3:$B$212,2,0),"")</f>
        <v/>
      </c>
      <c r="J428" s="280" t="n"/>
      <c r="K428" s="332">
        <f>IFERROR(VLOOKUP(TEXT(O428,"0"),CONDUCTORES!$A$3:$G$54,7,0),"")</f>
        <v/>
      </c>
      <c r="L428" s="280" t="n"/>
      <c r="M428" s="280" t="n"/>
      <c r="N428" s="333">
        <f>IFERROR(IF(L428*M428=0,"",L428*M428),"")</f>
        <v/>
      </c>
      <c r="O428" s="280" t="n"/>
      <c r="P428" s="332">
        <f>IFERROR(VLOOKUP(TEXT(O428,"0"),CONDUCTORES!$A$3:$G$54,2,0),"")</f>
        <v/>
      </c>
      <c r="Q428" s="332">
        <f>IFERROR(VLOOKUP(TEXT(O428,"0"),CONDUCTORES!$A$3:$H$54,6,0),"")</f>
        <v/>
      </c>
      <c r="R428" s="280" t="n"/>
      <c r="S428" s="280" t="n"/>
      <c r="T428" s="280" t="n"/>
      <c r="U428" s="280" t="n"/>
      <c r="V428" s="280" t="n"/>
      <c r="W428" s="280" t="n"/>
      <c r="X428" s="280" t="n"/>
      <c r="Y428" s="280" t="n"/>
    </row>
    <row r="429" ht="15" customHeight="1" s="195">
      <c r="A429" s="334" t="n"/>
      <c r="B429" s="334" t="n"/>
      <c r="C429" s="334" t="n"/>
      <c r="D429" s="334" t="n"/>
      <c r="E429" s="334" t="n"/>
      <c r="F429" s="334" t="n"/>
      <c r="G429" s="334" t="n"/>
      <c r="H429" s="334" t="n"/>
      <c r="I429" s="332">
        <f>IFERROR(VLOOKUP(TEXT(H429,"0"),IPRESS!$A$3:$B$212,2,0),"")</f>
        <v/>
      </c>
      <c r="J429" s="334" t="n"/>
      <c r="K429" s="332">
        <f>IFERROR(VLOOKUP(TEXT(O429,"0"),CONDUCTORES!$A$3:$G$54,7,0),"")</f>
        <v/>
      </c>
      <c r="L429" s="334" t="n"/>
      <c r="M429" s="334" t="n"/>
      <c r="N429" s="333">
        <f>IFERROR(IF(L429*M429=0,"",L429*M429),"")</f>
        <v/>
      </c>
      <c r="O429" s="334" t="n"/>
      <c r="P429" s="332">
        <f>IFERROR(VLOOKUP(TEXT(O429,"0"),CONDUCTORES!$A$3:$G$54,2,0),"")</f>
        <v/>
      </c>
      <c r="Q429" s="332">
        <f>IFERROR(VLOOKUP(TEXT(O429,"0"),CONDUCTORES!$A$3:$H$54,6,0),"")</f>
        <v/>
      </c>
      <c r="R429" s="334" t="n"/>
      <c r="S429" s="334" t="n"/>
      <c r="T429" s="334" t="n"/>
      <c r="U429" s="334" t="n"/>
      <c r="V429" s="334" t="n"/>
      <c r="W429" s="334" t="n"/>
      <c r="X429" s="334" t="n"/>
      <c r="Y429" s="334" t="n"/>
    </row>
    <row r="430" ht="15" customHeight="1" s="195">
      <c r="A430" s="280" t="n"/>
      <c r="B430" s="280" t="n"/>
      <c r="C430" s="280" t="n"/>
      <c r="D430" s="280" t="n"/>
      <c r="E430" s="280" t="n"/>
      <c r="F430" s="280" t="n"/>
      <c r="G430" s="280" t="n"/>
      <c r="H430" s="280" t="n"/>
      <c r="I430" s="332">
        <f>IFERROR(VLOOKUP(TEXT(H430,"0"),IPRESS!$A$3:$B$212,2,0),"")</f>
        <v/>
      </c>
      <c r="J430" s="280" t="n"/>
      <c r="K430" s="332">
        <f>IFERROR(VLOOKUP(TEXT(O430,"0"),CONDUCTORES!$A$3:$G$54,7,0),"")</f>
        <v/>
      </c>
      <c r="L430" s="280" t="n"/>
      <c r="M430" s="280" t="n"/>
      <c r="N430" s="333">
        <f>IFERROR(IF(L430*M430=0,"",L430*M430),"")</f>
        <v/>
      </c>
      <c r="O430" s="280" t="n"/>
      <c r="P430" s="332">
        <f>IFERROR(VLOOKUP(TEXT(O430,"0"),CONDUCTORES!$A$3:$G$54,2,0),"")</f>
        <v/>
      </c>
      <c r="Q430" s="332">
        <f>IFERROR(VLOOKUP(TEXT(O430,"0"),CONDUCTORES!$A$3:$H$54,6,0),"")</f>
        <v/>
      </c>
      <c r="R430" s="280" t="n"/>
      <c r="S430" s="280" t="n"/>
      <c r="T430" s="280" t="n"/>
      <c r="U430" s="280" t="n"/>
      <c r="V430" s="280" t="n"/>
      <c r="W430" s="280" t="n"/>
      <c r="X430" s="280" t="n"/>
      <c r="Y430" s="280" t="n"/>
    </row>
    <row r="431" ht="15" customHeight="1" s="195">
      <c r="A431" s="334" t="n"/>
      <c r="B431" s="334" t="n"/>
      <c r="C431" s="334" t="n"/>
      <c r="D431" s="334" t="n"/>
      <c r="E431" s="334" t="n"/>
      <c r="F431" s="334" t="n"/>
      <c r="G431" s="334" t="n"/>
      <c r="H431" s="334" t="n"/>
      <c r="I431" s="332">
        <f>IFERROR(VLOOKUP(TEXT(H431,"0"),IPRESS!$A$3:$B$212,2,0),"")</f>
        <v/>
      </c>
      <c r="J431" s="334" t="n"/>
      <c r="K431" s="332">
        <f>IFERROR(VLOOKUP(TEXT(O431,"0"),CONDUCTORES!$A$3:$G$54,7,0),"")</f>
        <v/>
      </c>
      <c r="L431" s="334" t="n"/>
      <c r="M431" s="334" t="n"/>
      <c r="N431" s="333">
        <f>IFERROR(IF(L431*M431=0,"",L431*M431),"")</f>
        <v/>
      </c>
      <c r="O431" s="334" t="n"/>
      <c r="P431" s="332">
        <f>IFERROR(VLOOKUP(TEXT(O431,"0"),CONDUCTORES!$A$3:$G$54,2,0),"")</f>
        <v/>
      </c>
      <c r="Q431" s="332">
        <f>IFERROR(VLOOKUP(TEXT(O431,"0"),CONDUCTORES!$A$3:$H$54,6,0),"")</f>
        <v/>
      </c>
      <c r="R431" s="334" t="n"/>
      <c r="S431" s="334" t="n"/>
      <c r="T431" s="334" t="n"/>
      <c r="U431" s="334" t="n"/>
      <c r="V431" s="334" t="n"/>
      <c r="W431" s="334" t="n"/>
      <c r="X431" s="334" t="n"/>
      <c r="Y431" s="334" t="n"/>
    </row>
    <row r="432" ht="15" customHeight="1" s="195">
      <c r="A432" s="280" t="n"/>
      <c r="B432" s="280" t="n"/>
      <c r="C432" s="280" t="n"/>
      <c r="D432" s="280" t="n"/>
      <c r="E432" s="280" t="n"/>
      <c r="F432" s="280" t="n"/>
      <c r="G432" s="280" t="n"/>
      <c r="H432" s="280" t="n"/>
      <c r="I432" s="332">
        <f>IFERROR(VLOOKUP(TEXT(H432,"0"),IPRESS!$A$3:$B$212,2,0),"")</f>
        <v/>
      </c>
      <c r="J432" s="280" t="n"/>
      <c r="K432" s="332">
        <f>IFERROR(VLOOKUP(TEXT(O432,"0"),CONDUCTORES!$A$3:$G$54,7,0),"")</f>
        <v/>
      </c>
      <c r="L432" s="280" t="n"/>
      <c r="M432" s="280" t="n"/>
      <c r="N432" s="333">
        <f>IFERROR(IF(L432*M432=0,"",L432*M432),"")</f>
        <v/>
      </c>
      <c r="O432" s="280" t="n"/>
      <c r="P432" s="332">
        <f>IFERROR(VLOOKUP(TEXT(O432,"0"),CONDUCTORES!$A$3:$G$54,2,0),"")</f>
        <v/>
      </c>
      <c r="Q432" s="332">
        <f>IFERROR(VLOOKUP(TEXT(O432,"0"),CONDUCTORES!$A$3:$H$54,6,0),"")</f>
        <v/>
      </c>
      <c r="R432" s="280" t="n"/>
      <c r="S432" s="280" t="n"/>
      <c r="T432" s="280" t="n"/>
      <c r="U432" s="280" t="n"/>
      <c r="V432" s="280" t="n"/>
      <c r="W432" s="280" t="n"/>
      <c r="X432" s="280" t="n"/>
      <c r="Y432" s="280" t="n"/>
    </row>
    <row r="433" ht="15" customHeight="1" s="195">
      <c r="A433" s="334" t="n"/>
      <c r="B433" s="334" t="n"/>
      <c r="C433" s="334" t="n"/>
      <c r="D433" s="334" t="n"/>
      <c r="E433" s="334" t="n"/>
      <c r="F433" s="334" t="n"/>
      <c r="G433" s="334" t="n"/>
      <c r="H433" s="334" t="n"/>
      <c r="I433" s="332">
        <f>IFERROR(VLOOKUP(TEXT(H433,"0"),IPRESS!$A$3:$B$212,2,0),"")</f>
        <v/>
      </c>
      <c r="J433" s="334" t="n"/>
      <c r="K433" s="332">
        <f>IFERROR(VLOOKUP(TEXT(O433,"0"),CONDUCTORES!$A$3:$G$54,7,0),"")</f>
        <v/>
      </c>
      <c r="L433" s="334" t="n"/>
      <c r="M433" s="334" t="n"/>
      <c r="N433" s="333">
        <f>IFERROR(IF(L433*M433=0,"",L433*M433),"")</f>
        <v/>
      </c>
      <c r="O433" s="334" t="n"/>
      <c r="P433" s="332">
        <f>IFERROR(VLOOKUP(TEXT(O433,"0"),CONDUCTORES!$A$3:$G$54,2,0),"")</f>
        <v/>
      </c>
      <c r="Q433" s="332">
        <f>IFERROR(VLOOKUP(TEXT(O433,"0"),CONDUCTORES!$A$3:$H$54,6,0),"")</f>
        <v/>
      </c>
      <c r="R433" s="334" t="n"/>
      <c r="S433" s="334" t="n"/>
      <c r="T433" s="334" t="n"/>
      <c r="U433" s="334" t="n"/>
      <c r="V433" s="334" t="n"/>
      <c r="W433" s="334" t="n"/>
      <c r="X433" s="334" t="n"/>
      <c r="Y433" s="334" t="n"/>
    </row>
    <row r="434" ht="15" customHeight="1" s="195">
      <c r="A434" s="280" t="n"/>
      <c r="B434" s="280" t="n"/>
      <c r="C434" s="280" t="n"/>
      <c r="D434" s="280" t="n"/>
      <c r="E434" s="280" t="n"/>
      <c r="F434" s="280" t="n"/>
      <c r="G434" s="280" t="n"/>
      <c r="H434" s="280" t="n"/>
      <c r="I434" s="332">
        <f>IFERROR(VLOOKUP(TEXT(H434,"0"),IPRESS!$A$3:$B$212,2,0),"")</f>
        <v/>
      </c>
      <c r="J434" s="280" t="n"/>
      <c r="K434" s="332">
        <f>IFERROR(VLOOKUP(TEXT(O434,"0"),CONDUCTORES!$A$3:$G$54,7,0),"")</f>
        <v/>
      </c>
      <c r="L434" s="280" t="n"/>
      <c r="M434" s="280" t="n"/>
      <c r="N434" s="333">
        <f>IFERROR(IF(L434*M434=0,"",L434*M434),"")</f>
        <v/>
      </c>
      <c r="O434" s="280" t="n"/>
      <c r="P434" s="332">
        <f>IFERROR(VLOOKUP(TEXT(O434,"0"),CONDUCTORES!$A$3:$G$54,2,0),"")</f>
        <v/>
      </c>
      <c r="Q434" s="332">
        <f>IFERROR(VLOOKUP(TEXT(O434,"0"),CONDUCTORES!$A$3:$H$54,6,0),"")</f>
        <v/>
      </c>
      <c r="R434" s="280" t="n"/>
      <c r="S434" s="280" t="n"/>
      <c r="T434" s="280" t="n"/>
      <c r="U434" s="280" t="n"/>
      <c r="V434" s="280" t="n"/>
      <c r="W434" s="280" t="n"/>
      <c r="X434" s="280" t="n"/>
      <c r="Y434" s="280" t="n"/>
    </row>
    <row r="435" ht="15" customHeight="1" s="195">
      <c r="A435" s="334" t="n"/>
      <c r="B435" s="334" t="n"/>
      <c r="C435" s="334" t="n"/>
      <c r="D435" s="334" t="n"/>
      <c r="E435" s="334" t="n"/>
      <c r="F435" s="334" t="n"/>
      <c r="G435" s="334" t="n"/>
      <c r="H435" s="334" t="n"/>
      <c r="I435" s="332">
        <f>IFERROR(VLOOKUP(TEXT(H435,"0"),IPRESS!$A$3:$B$212,2,0),"")</f>
        <v/>
      </c>
      <c r="J435" s="334" t="n"/>
      <c r="K435" s="332">
        <f>IFERROR(VLOOKUP(TEXT(O435,"0"),CONDUCTORES!$A$3:$G$54,7,0),"")</f>
        <v/>
      </c>
      <c r="L435" s="334" t="n"/>
      <c r="M435" s="334" t="n"/>
      <c r="N435" s="333">
        <f>IFERROR(IF(L435*M435=0,"",L435*M435),"")</f>
        <v/>
      </c>
      <c r="O435" s="334" t="n"/>
      <c r="P435" s="332">
        <f>IFERROR(VLOOKUP(TEXT(O435,"0"),CONDUCTORES!$A$3:$G$54,2,0),"")</f>
        <v/>
      </c>
      <c r="Q435" s="332">
        <f>IFERROR(VLOOKUP(TEXT(O435,"0"),CONDUCTORES!$A$3:$H$54,6,0),"")</f>
        <v/>
      </c>
      <c r="R435" s="334" t="n"/>
      <c r="S435" s="334" t="n"/>
      <c r="T435" s="334" t="n"/>
      <c r="U435" s="334" t="n"/>
      <c r="V435" s="334" t="n"/>
      <c r="W435" s="334" t="n"/>
      <c r="X435" s="334" t="n"/>
      <c r="Y435" s="334" t="n"/>
    </row>
    <row r="436" ht="15" customHeight="1" s="195">
      <c r="A436" s="280" t="n"/>
      <c r="B436" s="280" t="n"/>
      <c r="C436" s="280" t="n"/>
      <c r="D436" s="280" t="n"/>
      <c r="E436" s="280" t="n"/>
      <c r="F436" s="280" t="n"/>
      <c r="G436" s="280" t="n"/>
      <c r="H436" s="280" t="n"/>
      <c r="I436" s="332">
        <f>IFERROR(VLOOKUP(TEXT(H436,"0"),IPRESS!$A$3:$B$212,2,0),"")</f>
        <v/>
      </c>
      <c r="J436" s="280" t="n"/>
      <c r="K436" s="332">
        <f>IFERROR(VLOOKUP(TEXT(O436,"0"),CONDUCTORES!$A$3:$G$54,7,0),"")</f>
        <v/>
      </c>
      <c r="L436" s="280" t="n"/>
      <c r="M436" s="280" t="n"/>
      <c r="N436" s="333">
        <f>IFERROR(IF(L436*M436=0,"",L436*M436),"")</f>
        <v/>
      </c>
      <c r="O436" s="280" t="n"/>
      <c r="P436" s="332">
        <f>IFERROR(VLOOKUP(TEXT(O436,"0"),CONDUCTORES!$A$3:$G$54,2,0),"")</f>
        <v/>
      </c>
      <c r="Q436" s="332">
        <f>IFERROR(VLOOKUP(TEXT(O436,"0"),CONDUCTORES!$A$3:$H$54,6,0),"")</f>
        <v/>
      </c>
      <c r="R436" s="280" t="n"/>
      <c r="S436" s="280" t="n"/>
      <c r="T436" s="280" t="n"/>
      <c r="U436" s="280" t="n"/>
      <c r="V436" s="280" t="n"/>
      <c r="W436" s="280" t="n"/>
      <c r="X436" s="280" t="n"/>
      <c r="Y436" s="280" t="n"/>
    </row>
    <row r="437" ht="15" customHeight="1" s="195">
      <c r="A437" s="334" t="n"/>
      <c r="B437" s="334" t="n"/>
      <c r="C437" s="334" t="n"/>
      <c r="D437" s="334" t="n"/>
      <c r="E437" s="334" t="n"/>
      <c r="F437" s="334" t="n"/>
      <c r="G437" s="334" t="n"/>
      <c r="H437" s="334" t="n"/>
      <c r="I437" s="332">
        <f>IFERROR(VLOOKUP(TEXT(H437,"0"),IPRESS!$A$3:$B$212,2,0),"")</f>
        <v/>
      </c>
      <c r="J437" s="334" t="n"/>
      <c r="K437" s="332">
        <f>IFERROR(VLOOKUP(TEXT(O437,"0"),CONDUCTORES!$A$3:$G$54,7,0),"")</f>
        <v/>
      </c>
      <c r="L437" s="334" t="n"/>
      <c r="M437" s="334" t="n"/>
      <c r="N437" s="333">
        <f>IFERROR(IF(L437*M437=0,"",L437*M437),"")</f>
        <v/>
      </c>
      <c r="O437" s="334" t="n"/>
      <c r="P437" s="332">
        <f>IFERROR(VLOOKUP(TEXT(O437,"0"),CONDUCTORES!$A$3:$G$54,2,0),"")</f>
        <v/>
      </c>
      <c r="Q437" s="332">
        <f>IFERROR(VLOOKUP(TEXT(O437,"0"),CONDUCTORES!$A$3:$H$54,6,0),"")</f>
        <v/>
      </c>
      <c r="R437" s="334" t="n"/>
      <c r="S437" s="334" t="n"/>
      <c r="T437" s="334" t="n"/>
      <c r="U437" s="334" t="n"/>
      <c r="V437" s="334" t="n"/>
      <c r="W437" s="334" t="n"/>
      <c r="X437" s="334" t="n"/>
      <c r="Y437" s="334" t="n"/>
    </row>
    <row r="438" ht="15" customHeight="1" s="195">
      <c r="A438" s="280" t="n"/>
      <c r="B438" s="280" t="n"/>
      <c r="C438" s="280" t="n"/>
      <c r="D438" s="280" t="n"/>
      <c r="E438" s="280" t="n"/>
      <c r="F438" s="280" t="n"/>
      <c r="G438" s="280" t="n"/>
      <c r="H438" s="280" t="n"/>
      <c r="I438" s="332">
        <f>IFERROR(VLOOKUP(TEXT(H438,"0"),IPRESS!$A$3:$B$212,2,0),"")</f>
        <v/>
      </c>
      <c r="J438" s="280" t="n"/>
      <c r="K438" s="332">
        <f>IFERROR(VLOOKUP(TEXT(O438,"0"),CONDUCTORES!$A$3:$G$54,7,0),"")</f>
        <v/>
      </c>
      <c r="L438" s="280" t="n"/>
      <c r="M438" s="280" t="n"/>
      <c r="N438" s="333">
        <f>IFERROR(IF(L438*M438=0,"",L438*M438),"")</f>
        <v/>
      </c>
      <c r="O438" s="280" t="n"/>
      <c r="P438" s="332">
        <f>IFERROR(VLOOKUP(TEXT(O438,"0"),CONDUCTORES!$A$3:$G$54,2,0),"")</f>
        <v/>
      </c>
      <c r="Q438" s="332">
        <f>IFERROR(VLOOKUP(TEXT(O438,"0"),CONDUCTORES!$A$3:$H$54,6,0),"")</f>
        <v/>
      </c>
      <c r="R438" s="280" t="n"/>
      <c r="S438" s="280" t="n"/>
      <c r="T438" s="280" t="n"/>
      <c r="U438" s="280" t="n"/>
      <c r="V438" s="280" t="n"/>
      <c r="W438" s="280" t="n"/>
      <c r="X438" s="280" t="n"/>
      <c r="Y438" s="280" t="n"/>
    </row>
    <row r="439" ht="15" customHeight="1" s="195">
      <c r="A439" s="334" t="n"/>
      <c r="B439" s="334" t="n"/>
      <c r="C439" s="334" t="n"/>
      <c r="D439" s="334" t="n"/>
      <c r="E439" s="334" t="n"/>
      <c r="F439" s="334" t="n"/>
      <c r="G439" s="334" t="n"/>
      <c r="H439" s="334" t="n"/>
      <c r="I439" s="332">
        <f>IFERROR(VLOOKUP(TEXT(H439,"0"),IPRESS!$A$3:$B$212,2,0),"")</f>
        <v/>
      </c>
      <c r="J439" s="334" t="n"/>
      <c r="K439" s="332">
        <f>IFERROR(VLOOKUP(TEXT(O439,"0"),CONDUCTORES!$A$3:$G$54,7,0),"")</f>
        <v/>
      </c>
      <c r="L439" s="334" t="n"/>
      <c r="M439" s="334" t="n"/>
      <c r="N439" s="333">
        <f>IFERROR(IF(L439*M439=0,"",L439*M439),"")</f>
        <v/>
      </c>
      <c r="O439" s="334" t="n"/>
      <c r="P439" s="332">
        <f>IFERROR(VLOOKUP(TEXT(O439,"0"),CONDUCTORES!$A$3:$G$54,2,0),"")</f>
        <v/>
      </c>
      <c r="Q439" s="332">
        <f>IFERROR(VLOOKUP(TEXT(O439,"0"),CONDUCTORES!$A$3:$H$54,6,0),"")</f>
        <v/>
      </c>
      <c r="R439" s="334" t="n"/>
      <c r="S439" s="334" t="n"/>
      <c r="T439" s="334" t="n"/>
      <c r="U439" s="334" t="n"/>
      <c r="V439" s="334" t="n"/>
      <c r="W439" s="334" t="n"/>
      <c r="X439" s="334" t="n"/>
      <c r="Y439" s="334" t="n"/>
    </row>
    <row r="440" ht="15" customHeight="1" s="195">
      <c r="A440" s="280" t="n"/>
      <c r="B440" s="280" t="n"/>
      <c r="C440" s="280" t="n"/>
      <c r="D440" s="280" t="n"/>
      <c r="E440" s="280" t="n"/>
      <c r="F440" s="280" t="n"/>
      <c r="G440" s="280" t="n"/>
      <c r="H440" s="280" t="n"/>
      <c r="I440" s="332">
        <f>IFERROR(VLOOKUP(TEXT(H440,"0"),IPRESS!$A$3:$B$212,2,0),"")</f>
        <v/>
      </c>
      <c r="J440" s="280" t="n"/>
      <c r="K440" s="332">
        <f>IFERROR(VLOOKUP(TEXT(O440,"0"),CONDUCTORES!$A$3:$G$54,7,0),"")</f>
        <v/>
      </c>
      <c r="L440" s="280" t="n"/>
      <c r="M440" s="280" t="n"/>
      <c r="N440" s="333">
        <f>IFERROR(IF(L440*M440=0,"",L440*M440),"")</f>
        <v/>
      </c>
      <c r="O440" s="280" t="n"/>
      <c r="P440" s="332">
        <f>IFERROR(VLOOKUP(TEXT(O440,"0"),CONDUCTORES!$A$3:$G$54,2,0),"")</f>
        <v/>
      </c>
      <c r="Q440" s="332">
        <f>IFERROR(VLOOKUP(TEXT(O440,"0"),CONDUCTORES!$A$3:$H$54,6,0),"")</f>
        <v/>
      </c>
      <c r="R440" s="280" t="n"/>
      <c r="S440" s="280" t="n"/>
      <c r="T440" s="280" t="n"/>
      <c r="U440" s="280" t="n"/>
      <c r="V440" s="280" t="n"/>
      <c r="W440" s="280" t="n"/>
      <c r="X440" s="280" t="n"/>
      <c r="Y440" s="280" t="n"/>
    </row>
    <row r="441" ht="15" customHeight="1" s="195">
      <c r="A441" s="334" t="n"/>
      <c r="B441" s="334" t="n"/>
      <c r="C441" s="334" t="n"/>
      <c r="D441" s="334" t="n"/>
      <c r="E441" s="334" t="n"/>
      <c r="F441" s="334" t="n"/>
      <c r="G441" s="334" t="n"/>
      <c r="H441" s="334" t="n"/>
      <c r="I441" s="332">
        <f>IFERROR(VLOOKUP(TEXT(H441,"0"),IPRESS!$A$3:$B$212,2,0),"")</f>
        <v/>
      </c>
      <c r="J441" s="334" t="n"/>
      <c r="K441" s="332">
        <f>IFERROR(VLOOKUP(TEXT(O441,"0"),CONDUCTORES!$A$3:$G$54,7,0),"")</f>
        <v/>
      </c>
      <c r="L441" s="334" t="n"/>
      <c r="M441" s="334" t="n"/>
      <c r="N441" s="333">
        <f>IFERROR(IF(L441*M441=0,"",L441*M441),"")</f>
        <v/>
      </c>
      <c r="O441" s="334" t="n"/>
      <c r="P441" s="332">
        <f>IFERROR(VLOOKUP(TEXT(O441,"0"),CONDUCTORES!$A$3:$G$54,2,0),"")</f>
        <v/>
      </c>
      <c r="Q441" s="332">
        <f>IFERROR(VLOOKUP(TEXT(O441,"0"),CONDUCTORES!$A$3:$H$54,6,0),"")</f>
        <v/>
      </c>
      <c r="R441" s="334" t="n"/>
      <c r="S441" s="334" t="n"/>
      <c r="T441" s="334" t="n"/>
      <c r="U441" s="334" t="n"/>
      <c r="V441" s="334" t="n"/>
      <c r="W441" s="334" t="n"/>
      <c r="X441" s="334" t="n"/>
      <c r="Y441" s="334" t="n"/>
    </row>
    <row r="442" ht="15" customHeight="1" s="195">
      <c r="A442" s="280" t="n"/>
      <c r="B442" s="280" t="n"/>
      <c r="C442" s="280" t="n"/>
      <c r="D442" s="280" t="n"/>
      <c r="E442" s="280" t="n"/>
      <c r="F442" s="280" t="n"/>
      <c r="G442" s="280" t="n"/>
      <c r="H442" s="280" t="n"/>
      <c r="I442" s="332">
        <f>IFERROR(VLOOKUP(TEXT(H442,"0"),IPRESS!$A$3:$B$212,2,0),"")</f>
        <v/>
      </c>
      <c r="J442" s="280" t="n"/>
      <c r="K442" s="332">
        <f>IFERROR(VLOOKUP(TEXT(O442,"0"),CONDUCTORES!$A$3:$G$54,7,0),"")</f>
        <v/>
      </c>
      <c r="L442" s="280" t="n"/>
      <c r="M442" s="280" t="n"/>
      <c r="N442" s="333">
        <f>IFERROR(IF(L442*M442=0,"",L442*M442),"")</f>
        <v/>
      </c>
      <c r="O442" s="280" t="n"/>
      <c r="P442" s="332">
        <f>IFERROR(VLOOKUP(TEXT(O442,"0"),CONDUCTORES!$A$3:$G$54,2,0),"")</f>
        <v/>
      </c>
      <c r="Q442" s="332">
        <f>IFERROR(VLOOKUP(TEXT(O442,"0"),CONDUCTORES!$A$3:$H$54,6,0),"")</f>
        <v/>
      </c>
      <c r="R442" s="280" t="n"/>
      <c r="S442" s="280" t="n"/>
      <c r="T442" s="280" t="n"/>
      <c r="U442" s="280" t="n"/>
      <c r="V442" s="280" t="n"/>
      <c r="W442" s="280" t="n"/>
      <c r="X442" s="280" t="n"/>
      <c r="Y442" s="280" t="n"/>
    </row>
    <row r="443" ht="15" customHeight="1" s="195">
      <c r="A443" s="334" t="n"/>
      <c r="B443" s="334" t="n"/>
      <c r="C443" s="334" t="n"/>
      <c r="D443" s="334" t="n"/>
      <c r="E443" s="334" t="n"/>
      <c r="F443" s="334" t="n"/>
      <c r="G443" s="334" t="n"/>
      <c r="H443" s="334" t="n"/>
      <c r="I443" s="332">
        <f>IFERROR(VLOOKUP(TEXT(H443,"0"),IPRESS!$A$3:$B$212,2,0),"")</f>
        <v/>
      </c>
      <c r="J443" s="334" t="n"/>
      <c r="K443" s="332">
        <f>IFERROR(VLOOKUP(TEXT(O443,"0"),CONDUCTORES!$A$3:$G$54,7,0),"")</f>
        <v/>
      </c>
      <c r="L443" s="334" t="n"/>
      <c r="M443" s="334" t="n"/>
      <c r="N443" s="333">
        <f>IFERROR(IF(L443*M443=0,"",L443*M443),"")</f>
        <v/>
      </c>
      <c r="O443" s="334" t="n"/>
      <c r="P443" s="332">
        <f>IFERROR(VLOOKUP(TEXT(O443,"0"),CONDUCTORES!$A$3:$G$54,2,0),"")</f>
        <v/>
      </c>
      <c r="Q443" s="332">
        <f>IFERROR(VLOOKUP(TEXT(O443,"0"),CONDUCTORES!$A$3:$H$54,6,0),"")</f>
        <v/>
      </c>
      <c r="R443" s="334" t="n"/>
      <c r="S443" s="334" t="n"/>
      <c r="T443" s="334" t="n"/>
      <c r="U443" s="334" t="n"/>
      <c r="V443" s="334" t="n"/>
      <c r="W443" s="334" t="n"/>
      <c r="X443" s="334" t="n"/>
      <c r="Y443" s="334" t="n"/>
    </row>
    <row r="444" ht="15" customHeight="1" s="195">
      <c r="A444" s="280" t="n"/>
      <c r="B444" s="280" t="n"/>
      <c r="C444" s="280" t="n"/>
      <c r="D444" s="280" t="n"/>
      <c r="E444" s="280" t="n"/>
      <c r="F444" s="280" t="n"/>
      <c r="G444" s="280" t="n"/>
      <c r="H444" s="280" t="n"/>
      <c r="I444" s="332">
        <f>IFERROR(VLOOKUP(TEXT(H444,"0"),IPRESS!$A$3:$B$212,2,0),"")</f>
        <v/>
      </c>
      <c r="J444" s="280" t="n"/>
      <c r="K444" s="332">
        <f>IFERROR(VLOOKUP(TEXT(O444,"0"),CONDUCTORES!$A$3:$G$54,7,0),"")</f>
        <v/>
      </c>
      <c r="L444" s="280" t="n"/>
      <c r="M444" s="280" t="n"/>
      <c r="N444" s="333">
        <f>IFERROR(IF(L444*M444=0,"",L444*M444),"")</f>
        <v/>
      </c>
      <c r="O444" s="280" t="n"/>
      <c r="P444" s="332">
        <f>IFERROR(VLOOKUP(TEXT(O444,"0"),CONDUCTORES!$A$3:$G$54,2,0),"")</f>
        <v/>
      </c>
      <c r="Q444" s="332">
        <f>IFERROR(VLOOKUP(TEXT(O444,"0"),CONDUCTORES!$A$3:$H$54,6,0),"")</f>
        <v/>
      </c>
      <c r="R444" s="280" t="n"/>
      <c r="S444" s="280" t="n"/>
      <c r="T444" s="280" t="n"/>
      <c r="U444" s="280" t="n"/>
      <c r="V444" s="280" t="n"/>
      <c r="W444" s="280" t="n"/>
      <c r="X444" s="280" t="n"/>
      <c r="Y444" s="280" t="n"/>
    </row>
    <row r="445" ht="15" customHeight="1" s="195">
      <c r="A445" s="334" t="n"/>
      <c r="B445" s="334" t="n"/>
      <c r="C445" s="334" t="n"/>
      <c r="D445" s="334" t="n"/>
      <c r="E445" s="334" t="n"/>
      <c r="F445" s="334" t="n"/>
      <c r="G445" s="334" t="n"/>
      <c r="H445" s="334" t="n"/>
      <c r="I445" s="332">
        <f>IFERROR(VLOOKUP(TEXT(H445,"0"),IPRESS!$A$3:$B$212,2,0),"")</f>
        <v/>
      </c>
      <c r="J445" s="334" t="n"/>
      <c r="K445" s="332">
        <f>IFERROR(VLOOKUP(TEXT(O445,"0"),CONDUCTORES!$A$3:$G$54,7,0),"")</f>
        <v/>
      </c>
      <c r="L445" s="334" t="n"/>
      <c r="M445" s="334" t="n"/>
      <c r="N445" s="333">
        <f>IFERROR(IF(L445*M445=0,"",L445*M445),"")</f>
        <v/>
      </c>
      <c r="O445" s="334" t="n"/>
      <c r="P445" s="332">
        <f>IFERROR(VLOOKUP(TEXT(O445,"0"),CONDUCTORES!$A$3:$G$54,2,0),"")</f>
        <v/>
      </c>
      <c r="Q445" s="332">
        <f>IFERROR(VLOOKUP(TEXT(O445,"0"),CONDUCTORES!$A$3:$H$54,6,0),"")</f>
        <v/>
      </c>
      <c r="R445" s="334" t="n"/>
      <c r="S445" s="334" t="n"/>
      <c r="T445" s="334" t="n"/>
      <c r="U445" s="334" t="n"/>
      <c r="V445" s="334" t="n"/>
      <c r="W445" s="334" t="n"/>
      <c r="X445" s="334" t="n"/>
      <c r="Y445" s="334" t="n"/>
    </row>
    <row r="446" ht="15" customHeight="1" s="195">
      <c r="A446" s="280" t="n"/>
      <c r="B446" s="280" t="n"/>
      <c r="C446" s="280" t="n"/>
      <c r="D446" s="280" t="n"/>
      <c r="E446" s="280" t="n"/>
      <c r="F446" s="280" t="n"/>
      <c r="G446" s="280" t="n"/>
      <c r="H446" s="280" t="n"/>
      <c r="I446" s="332">
        <f>IFERROR(VLOOKUP(TEXT(H446,"0"),IPRESS!$A$3:$B$212,2,0),"")</f>
        <v/>
      </c>
      <c r="J446" s="280" t="n"/>
      <c r="K446" s="332">
        <f>IFERROR(VLOOKUP(TEXT(O446,"0"),CONDUCTORES!$A$3:$G$54,7,0),"")</f>
        <v/>
      </c>
      <c r="L446" s="280" t="n"/>
      <c r="M446" s="280" t="n"/>
      <c r="N446" s="333">
        <f>IFERROR(IF(L446*M446=0,"",L446*M446),"")</f>
        <v/>
      </c>
      <c r="O446" s="280" t="n"/>
      <c r="P446" s="332">
        <f>IFERROR(VLOOKUP(TEXT(O446,"0"),CONDUCTORES!$A$3:$G$54,2,0),"")</f>
        <v/>
      </c>
      <c r="Q446" s="332">
        <f>IFERROR(VLOOKUP(TEXT(O446,"0"),CONDUCTORES!$A$3:$H$54,6,0),"")</f>
        <v/>
      </c>
      <c r="R446" s="280" t="n"/>
      <c r="S446" s="280" t="n"/>
      <c r="T446" s="280" t="n"/>
      <c r="U446" s="280" t="n"/>
      <c r="V446" s="280" t="n"/>
      <c r="W446" s="280" t="n"/>
      <c r="X446" s="280" t="n"/>
      <c r="Y446" s="280" t="n"/>
    </row>
    <row r="447" ht="15" customHeight="1" s="195">
      <c r="A447" s="334" t="n"/>
      <c r="B447" s="334" t="n"/>
      <c r="C447" s="334" t="n"/>
      <c r="D447" s="334" t="n"/>
      <c r="E447" s="334" t="n"/>
      <c r="F447" s="334" t="n"/>
      <c r="G447" s="334" t="n"/>
      <c r="H447" s="334" t="n"/>
      <c r="I447" s="332">
        <f>IFERROR(VLOOKUP(TEXT(H447,"0"),IPRESS!$A$3:$B$212,2,0),"")</f>
        <v/>
      </c>
      <c r="J447" s="334" t="n"/>
      <c r="K447" s="332">
        <f>IFERROR(VLOOKUP(TEXT(O447,"0"),CONDUCTORES!$A$3:$G$54,7,0),"")</f>
        <v/>
      </c>
      <c r="L447" s="334" t="n"/>
      <c r="M447" s="334" t="n"/>
      <c r="N447" s="333">
        <f>IFERROR(IF(L447*M447=0,"",L447*M447),"")</f>
        <v/>
      </c>
      <c r="O447" s="334" t="n"/>
      <c r="P447" s="332">
        <f>IFERROR(VLOOKUP(TEXT(O447,"0"),CONDUCTORES!$A$3:$G$54,2,0),"")</f>
        <v/>
      </c>
      <c r="Q447" s="332">
        <f>IFERROR(VLOOKUP(TEXT(O447,"0"),CONDUCTORES!$A$3:$H$54,6,0),"")</f>
        <v/>
      </c>
      <c r="R447" s="334" t="n"/>
      <c r="S447" s="334" t="n"/>
      <c r="T447" s="334" t="n"/>
      <c r="U447" s="334" t="n"/>
      <c r="V447" s="334" t="n"/>
      <c r="W447" s="334" t="n"/>
      <c r="X447" s="334" t="n"/>
      <c r="Y447" s="334" t="n"/>
    </row>
    <row r="448" ht="15" customHeight="1" s="195">
      <c r="A448" s="280" t="n"/>
      <c r="B448" s="280" t="n"/>
      <c r="C448" s="280" t="n"/>
      <c r="D448" s="280" t="n"/>
      <c r="E448" s="280" t="n"/>
      <c r="F448" s="280" t="n"/>
      <c r="G448" s="280" t="n"/>
      <c r="H448" s="280" t="n"/>
      <c r="I448" s="332">
        <f>IFERROR(VLOOKUP(TEXT(H448,"0"),IPRESS!$A$3:$B$212,2,0),"")</f>
        <v/>
      </c>
      <c r="J448" s="280" t="n"/>
      <c r="K448" s="332">
        <f>IFERROR(VLOOKUP(TEXT(O448,"0"),CONDUCTORES!$A$3:$G$54,7,0),"")</f>
        <v/>
      </c>
      <c r="L448" s="280" t="n"/>
      <c r="M448" s="280" t="n"/>
      <c r="N448" s="333">
        <f>IFERROR(IF(L448*M448=0,"",L448*M448),"")</f>
        <v/>
      </c>
      <c r="O448" s="280" t="n"/>
      <c r="P448" s="332">
        <f>IFERROR(VLOOKUP(TEXT(O448,"0"),CONDUCTORES!$A$3:$G$54,2,0),"")</f>
        <v/>
      </c>
      <c r="Q448" s="332">
        <f>IFERROR(VLOOKUP(TEXT(O448,"0"),CONDUCTORES!$A$3:$H$54,6,0),"")</f>
        <v/>
      </c>
      <c r="R448" s="280" t="n"/>
      <c r="S448" s="280" t="n"/>
      <c r="T448" s="280" t="n"/>
      <c r="U448" s="280" t="n"/>
      <c r="V448" s="280" t="n"/>
      <c r="W448" s="280" t="n"/>
      <c r="X448" s="280" t="n"/>
      <c r="Y448" s="280" t="n"/>
    </row>
    <row r="449" ht="15" customHeight="1" s="195">
      <c r="A449" s="334" t="n"/>
      <c r="B449" s="334" t="n"/>
      <c r="C449" s="334" t="n"/>
      <c r="D449" s="334" t="n"/>
      <c r="E449" s="334" t="n"/>
      <c r="F449" s="334" t="n"/>
      <c r="G449" s="334" t="n"/>
      <c r="H449" s="334" t="n"/>
      <c r="I449" s="332">
        <f>IFERROR(VLOOKUP(TEXT(H449,"0"),IPRESS!$A$3:$B$212,2,0),"")</f>
        <v/>
      </c>
      <c r="J449" s="334" t="n"/>
      <c r="K449" s="332">
        <f>IFERROR(VLOOKUP(TEXT(O449,"0"),CONDUCTORES!$A$3:$G$54,7,0),"")</f>
        <v/>
      </c>
      <c r="L449" s="334" t="n"/>
      <c r="M449" s="334" t="n"/>
      <c r="N449" s="333">
        <f>IFERROR(IF(L449*M449=0,"",L449*M449),"")</f>
        <v/>
      </c>
      <c r="O449" s="334" t="n"/>
      <c r="P449" s="332">
        <f>IFERROR(VLOOKUP(TEXT(O449,"0"),CONDUCTORES!$A$3:$G$54,2,0),"")</f>
        <v/>
      </c>
      <c r="Q449" s="332">
        <f>IFERROR(VLOOKUP(TEXT(O449,"0"),CONDUCTORES!$A$3:$H$54,6,0),"")</f>
        <v/>
      </c>
      <c r="R449" s="334" t="n"/>
      <c r="S449" s="334" t="n"/>
      <c r="T449" s="334" t="n"/>
      <c r="U449" s="334" t="n"/>
      <c r="V449" s="334" t="n"/>
      <c r="W449" s="334" t="n"/>
      <c r="X449" s="334" t="n"/>
      <c r="Y449" s="334" t="n"/>
    </row>
    <row r="450" ht="15" customHeight="1" s="195">
      <c r="A450" s="280" t="n"/>
      <c r="B450" s="280" t="n"/>
      <c r="C450" s="280" t="n"/>
      <c r="D450" s="280" t="n"/>
      <c r="E450" s="280" t="n"/>
      <c r="F450" s="280" t="n"/>
      <c r="G450" s="280" t="n"/>
      <c r="H450" s="280" t="n"/>
      <c r="I450" s="332">
        <f>IFERROR(VLOOKUP(TEXT(H450,"0"),IPRESS!$A$3:$B$212,2,0),"")</f>
        <v/>
      </c>
      <c r="J450" s="280" t="n"/>
      <c r="K450" s="332">
        <f>IFERROR(VLOOKUP(TEXT(O450,"0"),CONDUCTORES!$A$3:$G$54,7,0),"")</f>
        <v/>
      </c>
      <c r="L450" s="280" t="n"/>
      <c r="M450" s="280" t="n"/>
      <c r="N450" s="333">
        <f>IFERROR(IF(L450*M450=0,"",L450*M450),"")</f>
        <v/>
      </c>
      <c r="O450" s="280" t="n"/>
      <c r="P450" s="332">
        <f>IFERROR(VLOOKUP(TEXT(O450,"0"),CONDUCTORES!$A$3:$G$54,2,0),"")</f>
        <v/>
      </c>
      <c r="Q450" s="332">
        <f>IFERROR(VLOOKUP(TEXT(O450,"0"),CONDUCTORES!$A$3:$H$54,6,0),"")</f>
        <v/>
      </c>
      <c r="R450" s="280" t="n"/>
      <c r="S450" s="280" t="n"/>
      <c r="T450" s="280" t="n"/>
      <c r="U450" s="280" t="n"/>
      <c r="V450" s="280" t="n"/>
      <c r="W450" s="280" t="n"/>
      <c r="X450" s="280" t="n"/>
      <c r="Y450" s="280" t="n"/>
    </row>
    <row r="451" ht="15" customHeight="1" s="195">
      <c r="A451" s="334" t="n"/>
      <c r="B451" s="334" t="n"/>
      <c r="C451" s="334" t="n"/>
      <c r="D451" s="334" t="n"/>
      <c r="E451" s="334" t="n"/>
      <c r="F451" s="334" t="n"/>
      <c r="G451" s="334" t="n"/>
      <c r="H451" s="334" t="n"/>
      <c r="I451" s="332">
        <f>IFERROR(VLOOKUP(TEXT(H451,"0"),IPRESS!$A$3:$B$212,2,0),"")</f>
        <v/>
      </c>
      <c r="J451" s="334" t="n"/>
      <c r="K451" s="332">
        <f>IFERROR(VLOOKUP(TEXT(O451,"0"),CONDUCTORES!$A$3:$G$54,7,0),"")</f>
        <v/>
      </c>
      <c r="L451" s="334" t="n"/>
      <c r="M451" s="334" t="n"/>
      <c r="N451" s="333">
        <f>IFERROR(IF(L451*M451=0,"",L451*M451),"")</f>
        <v/>
      </c>
      <c r="O451" s="334" t="n"/>
      <c r="P451" s="332">
        <f>IFERROR(VLOOKUP(TEXT(O451,"0"),CONDUCTORES!$A$3:$G$54,2,0),"")</f>
        <v/>
      </c>
      <c r="Q451" s="332">
        <f>IFERROR(VLOOKUP(TEXT(O451,"0"),CONDUCTORES!$A$3:$H$54,6,0),"")</f>
        <v/>
      </c>
      <c r="R451" s="334" t="n"/>
      <c r="S451" s="334" t="n"/>
      <c r="T451" s="334" t="n"/>
      <c r="U451" s="334" t="n"/>
      <c r="V451" s="334" t="n"/>
      <c r="W451" s="334" t="n"/>
      <c r="X451" s="334" t="n"/>
      <c r="Y451" s="334" t="n"/>
    </row>
    <row r="452" ht="15" customHeight="1" s="195">
      <c r="A452" s="280" t="n"/>
      <c r="B452" s="280" t="n"/>
      <c r="C452" s="280" t="n"/>
      <c r="D452" s="280" t="n"/>
      <c r="E452" s="280" t="n"/>
      <c r="F452" s="280" t="n"/>
      <c r="G452" s="280" t="n"/>
      <c r="H452" s="280" t="n"/>
      <c r="I452" s="332">
        <f>IFERROR(VLOOKUP(TEXT(H452,"0"),IPRESS!$A$3:$B$212,2,0),"")</f>
        <v/>
      </c>
      <c r="J452" s="280" t="n"/>
      <c r="K452" s="332">
        <f>IFERROR(VLOOKUP(TEXT(O452,"0"),CONDUCTORES!$A$3:$G$54,7,0),"")</f>
        <v/>
      </c>
      <c r="L452" s="280" t="n"/>
      <c r="M452" s="280" t="n"/>
      <c r="N452" s="333">
        <f>IFERROR(IF(L452*M452=0,"",L452*M452),"")</f>
        <v/>
      </c>
      <c r="O452" s="280" t="n"/>
      <c r="P452" s="332">
        <f>IFERROR(VLOOKUP(TEXT(O452,"0"),CONDUCTORES!$A$3:$G$54,2,0),"")</f>
        <v/>
      </c>
      <c r="Q452" s="332">
        <f>IFERROR(VLOOKUP(TEXT(O452,"0"),CONDUCTORES!$A$3:$H$54,6,0),"")</f>
        <v/>
      </c>
      <c r="R452" s="280" t="n"/>
      <c r="S452" s="280" t="n"/>
      <c r="T452" s="280" t="n"/>
      <c r="U452" s="280" t="n"/>
      <c r="V452" s="280" t="n"/>
      <c r="W452" s="280" t="n"/>
      <c r="X452" s="280" t="n"/>
      <c r="Y452" s="280" t="n"/>
    </row>
    <row r="453" ht="15" customHeight="1" s="195">
      <c r="A453" s="334" t="n"/>
      <c r="B453" s="334" t="n"/>
      <c r="C453" s="334" t="n"/>
      <c r="D453" s="334" t="n"/>
      <c r="E453" s="334" t="n"/>
      <c r="F453" s="334" t="n"/>
      <c r="G453" s="334" t="n"/>
      <c r="H453" s="334" t="n"/>
      <c r="I453" s="332">
        <f>IFERROR(VLOOKUP(TEXT(H453,"0"),IPRESS!$A$3:$B$212,2,0),"")</f>
        <v/>
      </c>
      <c r="J453" s="334" t="n"/>
      <c r="K453" s="332">
        <f>IFERROR(VLOOKUP(TEXT(O453,"0"),CONDUCTORES!$A$3:$G$54,7,0),"")</f>
        <v/>
      </c>
      <c r="L453" s="334" t="n"/>
      <c r="M453" s="334" t="n"/>
      <c r="N453" s="333">
        <f>IFERROR(IF(L453*M453=0,"",L453*M453),"")</f>
        <v/>
      </c>
      <c r="O453" s="334" t="n"/>
      <c r="P453" s="332">
        <f>IFERROR(VLOOKUP(TEXT(O453,"0"),CONDUCTORES!$A$3:$G$54,2,0),"")</f>
        <v/>
      </c>
      <c r="Q453" s="332">
        <f>IFERROR(VLOOKUP(TEXT(O453,"0"),CONDUCTORES!$A$3:$H$54,6,0),"")</f>
        <v/>
      </c>
      <c r="R453" s="334" t="n"/>
      <c r="S453" s="334" t="n"/>
      <c r="T453" s="334" t="n"/>
      <c r="U453" s="334" t="n"/>
      <c r="V453" s="334" t="n"/>
      <c r="W453" s="334" t="n"/>
      <c r="X453" s="334" t="n"/>
      <c r="Y453" s="334" t="n"/>
    </row>
    <row r="454" ht="15" customHeight="1" s="195">
      <c r="A454" s="280" t="n"/>
      <c r="B454" s="280" t="n"/>
      <c r="C454" s="280" t="n"/>
      <c r="D454" s="280" t="n"/>
      <c r="E454" s="280" t="n"/>
      <c r="F454" s="280" t="n"/>
      <c r="G454" s="280" t="n"/>
      <c r="H454" s="280" t="n"/>
      <c r="I454" s="332">
        <f>IFERROR(VLOOKUP(TEXT(H454,"0"),IPRESS!$A$3:$B$212,2,0),"")</f>
        <v/>
      </c>
      <c r="J454" s="280" t="n"/>
      <c r="K454" s="332">
        <f>IFERROR(VLOOKUP(TEXT(O454,"0"),CONDUCTORES!$A$3:$G$54,7,0),"")</f>
        <v/>
      </c>
      <c r="L454" s="280" t="n"/>
      <c r="M454" s="280" t="n"/>
      <c r="N454" s="333">
        <f>IFERROR(IF(L454*M454=0,"",L454*M454),"")</f>
        <v/>
      </c>
      <c r="O454" s="280" t="n"/>
      <c r="P454" s="332">
        <f>IFERROR(VLOOKUP(TEXT(O454,"0"),CONDUCTORES!$A$3:$G$54,2,0),"")</f>
        <v/>
      </c>
      <c r="Q454" s="332">
        <f>IFERROR(VLOOKUP(TEXT(O454,"0"),CONDUCTORES!$A$3:$H$54,6,0),"")</f>
        <v/>
      </c>
      <c r="R454" s="280" t="n"/>
      <c r="S454" s="280" t="n"/>
      <c r="T454" s="280" t="n"/>
      <c r="U454" s="280" t="n"/>
      <c r="V454" s="280" t="n"/>
      <c r="W454" s="280" t="n"/>
      <c r="X454" s="280" t="n"/>
      <c r="Y454" s="280" t="n"/>
    </row>
    <row r="455" ht="15" customHeight="1" s="195">
      <c r="A455" s="334" t="n"/>
      <c r="B455" s="334" t="n"/>
      <c r="C455" s="334" t="n"/>
      <c r="D455" s="334" t="n"/>
      <c r="E455" s="334" t="n"/>
      <c r="F455" s="334" t="n"/>
      <c r="G455" s="334" t="n"/>
      <c r="H455" s="334" t="n"/>
      <c r="I455" s="332">
        <f>IFERROR(VLOOKUP(TEXT(H455,"0"),IPRESS!$A$3:$B$212,2,0),"")</f>
        <v/>
      </c>
      <c r="J455" s="334" t="n"/>
      <c r="K455" s="332">
        <f>IFERROR(VLOOKUP(TEXT(O455,"0"),CONDUCTORES!$A$3:$G$54,7,0),"")</f>
        <v/>
      </c>
      <c r="L455" s="334" t="n"/>
      <c r="M455" s="334" t="n"/>
      <c r="N455" s="333">
        <f>IFERROR(IF(L455*M455=0,"",L455*M455),"")</f>
        <v/>
      </c>
      <c r="O455" s="334" t="n"/>
      <c r="P455" s="332">
        <f>IFERROR(VLOOKUP(TEXT(O455,"0"),CONDUCTORES!$A$3:$G$54,2,0),"")</f>
        <v/>
      </c>
      <c r="Q455" s="332">
        <f>IFERROR(VLOOKUP(TEXT(O455,"0"),CONDUCTORES!$A$3:$H$54,6,0),"")</f>
        <v/>
      </c>
      <c r="R455" s="334" t="n"/>
      <c r="S455" s="334" t="n"/>
      <c r="T455" s="334" t="n"/>
      <c r="U455" s="334" t="n"/>
      <c r="V455" s="334" t="n"/>
      <c r="W455" s="334" t="n"/>
      <c r="X455" s="334" t="n"/>
      <c r="Y455" s="334" t="n"/>
    </row>
    <row r="456" ht="15" customHeight="1" s="195">
      <c r="A456" s="280" t="n"/>
      <c r="B456" s="280" t="n"/>
      <c r="C456" s="280" t="n"/>
      <c r="D456" s="280" t="n"/>
      <c r="E456" s="280" t="n"/>
      <c r="F456" s="280" t="n"/>
      <c r="G456" s="280" t="n"/>
      <c r="H456" s="280" t="n"/>
      <c r="I456" s="332">
        <f>IFERROR(VLOOKUP(TEXT(H456,"0"),IPRESS!$A$3:$B$212,2,0),"")</f>
        <v/>
      </c>
      <c r="J456" s="280" t="n"/>
      <c r="K456" s="332">
        <f>IFERROR(VLOOKUP(TEXT(O456,"0"),CONDUCTORES!$A$3:$G$54,7,0),"")</f>
        <v/>
      </c>
      <c r="L456" s="280" t="n"/>
      <c r="M456" s="280" t="n"/>
      <c r="N456" s="333">
        <f>IFERROR(IF(L456*M456=0,"",L456*M456),"")</f>
        <v/>
      </c>
      <c r="O456" s="280" t="n"/>
      <c r="P456" s="332">
        <f>IFERROR(VLOOKUP(TEXT(O456,"0"),CONDUCTORES!$A$3:$G$54,2,0),"")</f>
        <v/>
      </c>
      <c r="Q456" s="332">
        <f>IFERROR(VLOOKUP(TEXT(O456,"0"),CONDUCTORES!$A$3:$H$54,6,0),"")</f>
        <v/>
      </c>
      <c r="R456" s="280" t="n"/>
      <c r="S456" s="280" t="n"/>
      <c r="T456" s="280" t="n"/>
      <c r="U456" s="280" t="n"/>
      <c r="V456" s="280" t="n"/>
      <c r="W456" s="280" t="n"/>
      <c r="X456" s="280" t="n"/>
      <c r="Y456" s="280" t="n"/>
    </row>
    <row r="457" ht="15" customHeight="1" s="195">
      <c r="A457" s="334" t="n"/>
      <c r="B457" s="334" t="n"/>
      <c r="C457" s="334" t="n"/>
      <c r="D457" s="334" t="n"/>
      <c r="E457" s="334" t="n"/>
      <c r="F457" s="334" t="n"/>
      <c r="G457" s="334" t="n"/>
      <c r="H457" s="334" t="n"/>
      <c r="I457" s="332">
        <f>IFERROR(VLOOKUP(TEXT(H457,"0"),IPRESS!$A$3:$B$212,2,0),"")</f>
        <v/>
      </c>
      <c r="J457" s="334" t="n"/>
      <c r="K457" s="332">
        <f>IFERROR(VLOOKUP(TEXT(O457,"0"),CONDUCTORES!$A$3:$G$54,7,0),"")</f>
        <v/>
      </c>
      <c r="L457" s="334" t="n"/>
      <c r="M457" s="334" t="n"/>
      <c r="N457" s="333">
        <f>IFERROR(IF(L457*M457=0,"",L457*M457),"")</f>
        <v/>
      </c>
      <c r="O457" s="334" t="n"/>
      <c r="P457" s="332">
        <f>IFERROR(VLOOKUP(TEXT(O457,"0"),CONDUCTORES!$A$3:$G$54,2,0),"")</f>
        <v/>
      </c>
      <c r="Q457" s="332">
        <f>IFERROR(VLOOKUP(TEXT(O457,"0"),CONDUCTORES!$A$3:$H$54,6,0),"")</f>
        <v/>
      </c>
      <c r="R457" s="334" t="n"/>
      <c r="S457" s="334" t="n"/>
      <c r="T457" s="334" t="n"/>
      <c r="U457" s="334" t="n"/>
      <c r="V457" s="334" t="n"/>
      <c r="W457" s="334" t="n"/>
      <c r="X457" s="334" t="n"/>
      <c r="Y457" s="334" t="n"/>
    </row>
    <row r="458" ht="15" customHeight="1" s="195">
      <c r="A458" s="280" t="n"/>
      <c r="B458" s="280" t="n"/>
      <c r="C458" s="280" t="n"/>
      <c r="D458" s="280" t="n"/>
      <c r="E458" s="280" t="n"/>
      <c r="F458" s="280" t="n"/>
      <c r="G458" s="280" t="n"/>
      <c r="H458" s="280" t="n"/>
      <c r="I458" s="332">
        <f>IFERROR(VLOOKUP(TEXT(H458,"0"),IPRESS!$A$3:$B$212,2,0),"")</f>
        <v/>
      </c>
      <c r="J458" s="280" t="n"/>
      <c r="K458" s="332">
        <f>IFERROR(VLOOKUP(TEXT(O458,"0"),CONDUCTORES!$A$3:$G$54,7,0),"")</f>
        <v/>
      </c>
      <c r="L458" s="280" t="n"/>
      <c r="M458" s="280" t="n"/>
      <c r="N458" s="333">
        <f>IFERROR(IF(L458*M458=0,"",L458*M458),"")</f>
        <v/>
      </c>
      <c r="O458" s="280" t="n"/>
      <c r="P458" s="332">
        <f>IFERROR(VLOOKUP(TEXT(O458,"0"),CONDUCTORES!$A$3:$G$54,2,0),"")</f>
        <v/>
      </c>
      <c r="Q458" s="332">
        <f>IFERROR(VLOOKUP(TEXT(O458,"0"),CONDUCTORES!$A$3:$H$54,6,0),"")</f>
        <v/>
      </c>
      <c r="R458" s="280" t="n"/>
      <c r="S458" s="280" t="n"/>
      <c r="T458" s="280" t="n"/>
      <c r="U458" s="280" t="n"/>
      <c r="V458" s="280" t="n"/>
      <c r="W458" s="280" t="n"/>
      <c r="X458" s="280" t="n"/>
      <c r="Y458" s="280" t="n"/>
    </row>
    <row r="459" ht="15" customHeight="1" s="195">
      <c r="A459" s="334" t="n"/>
      <c r="B459" s="334" t="n"/>
      <c r="C459" s="334" t="n"/>
      <c r="D459" s="334" t="n"/>
      <c r="E459" s="334" t="n"/>
      <c r="F459" s="334" t="n"/>
      <c r="G459" s="334" t="n"/>
      <c r="H459" s="334" t="n"/>
      <c r="I459" s="332">
        <f>IFERROR(VLOOKUP(TEXT(H459,"0"),IPRESS!$A$3:$B$212,2,0),"")</f>
        <v/>
      </c>
      <c r="J459" s="334" t="n"/>
      <c r="K459" s="332">
        <f>IFERROR(VLOOKUP(TEXT(O459,"0"),CONDUCTORES!$A$3:$G$54,7,0),"")</f>
        <v/>
      </c>
      <c r="L459" s="334" t="n"/>
      <c r="M459" s="334" t="n"/>
      <c r="N459" s="333">
        <f>IFERROR(IF(L459*M459=0,"",L459*M459),"")</f>
        <v/>
      </c>
      <c r="O459" s="334" t="n"/>
      <c r="P459" s="332">
        <f>IFERROR(VLOOKUP(TEXT(O459,"0"),CONDUCTORES!$A$3:$G$54,2,0),"")</f>
        <v/>
      </c>
      <c r="Q459" s="332">
        <f>IFERROR(VLOOKUP(TEXT(O459,"0"),CONDUCTORES!$A$3:$H$54,6,0),"")</f>
        <v/>
      </c>
      <c r="R459" s="334" t="n"/>
      <c r="S459" s="334" t="n"/>
      <c r="T459" s="334" t="n"/>
      <c r="U459" s="334" t="n"/>
      <c r="V459" s="334" t="n"/>
      <c r="W459" s="334" t="n"/>
      <c r="X459" s="334" t="n"/>
      <c r="Y459" s="334" t="n"/>
    </row>
    <row r="460" ht="15" customHeight="1" s="195">
      <c r="A460" s="280" t="n"/>
      <c r="B460" s="280" t="n"/>
      <c r="C460" s="280" t="n"/>
      <c r="D460" s="280" t="n"/>
      <c r="E460" s="280" t="n"/>
      <c r="F460" s="280" t="n"/>
      <c r="G460" s="280" t="n"/>
      <c r="H460" s="280" t="n"/>
      <c r="I460" s="332">
        <f>IFERROR(VLOOKUP(TEXT(H460,"0"),IPRESS!$A$3:$B$212,2,0),"")</f>
        <v/>
      </c>
      <c r="J460" s="280" t="n"/>
      <c r="K460" s="332">
        <f>IFERROR(VLOOKUP(TEXT(O460,"0"),CONDUCTORES!$A$3:$G$54,7,0),"")</f>
        <v/>
      </c>
      <c r="L460" s="280" t="n"/>
      <c r="M460" s="280" t="n"/>
      <c r="N460" s="333">
        <f>IFERROR(IF(L460*M460=0,"",L460*M460),"")</f>
        <v/>
      </c>
      <c r="O460" s="280" t="n"/>
      <c r="P460" s="332">
        <f>IFERROR(VLOOKUP(TEXT(O460,"0"),CONDUCTORES!$A$3:$G$54,2,0),"")</f>
        <v/>
      </c>
      <c r="Q460" s="332">
        <f>IFERROR(VLOOKUP(TEXT(O460,"0"),CONDUCTORES!$A$3:$H$54,6,0),"")</f>
        <v/>
      </c>
      <c r="R460" s="280" t="n"/>
      <c r="S460" s="280" t="n"/>
      <c r="T460" s="280" t="n"/>
      <c r="U460" s="280" t="n"/>
      <c r="V460" s="280" t="n"/>
      <c r="W460" s="280" t="n"/>
      <c r="X460" s="280" t="n"/>
      <c r="Y460" s="280" t="n"/>
    </row>
    <row r="461" ht="15" customHeight="1" s="195">
      <c r="A461" s="334" t="n"/>
      <c r="B461" s="334" t="n"/>
      <c r="C461" s="334" t="n"/>
      <c r="D461" s="334" t="n"/>
      <c r="E461" s="334" t="n"/>
      <c r="F461" s="334" t="n"/>
      <c r="G461" s="334" t="n"/>
      <c r="H461" s="334" t="n"/>
      <c r="I461" s="332">
        <f>IFERROR(VLOOKUP(TEXT(H461,"0"),IPRESS!$A$3:$B$212,2,0),"")</f>
        <v/>
      </c>
      <c r="J461" s="334" t="n"/>
      <c r="K461" s="332">
        <f>IFERROR(VLOOKUP(TEXT(O461,"0"),CONDUCTORES!$A$3:$G$54,7,0),"")</f>
        <v/>
      </c>
      <c r="L461" s="334" t="n"/>
      <c r="M461" s="334" t="n"/>
      <c r="N461" s="333">
        <f>IFERROR(IF(L461*M461=0,"",L461*M461),"")</f>
        <v/>
      </c>
      <c r="O461" s="334" t="n"/>
      <c r="P461" s="332">
        <f>IFERROR(VLOOKUP(TEXT(O461,"0"),CONDUCTORES!$A$3:$G$54,2,0),"")</f>
        <v/>
      </c>
      <c r="Q461" s="332">
        <f>IFERROR(VLOOKUP(TEXT(O461,"0"),CONDUCTORES!$A$3:$H$54,6,0),"")</f>
        <v/>
      </c>
      <c r="R461" s="334" t="n"/>
      <c r="S461" s="334" t="n"/>
      <c r="T461" s="334" t="n"/>
      <c r="U461" s="334" t="n"/>
      <c r="V461" s="334" t="n"/>
      <c r="W461" s="334" t="n"/>
      <c r="X461" s="334" t="n"/>
      <c r="Y461" s="334" t="n"/>
    </row>
    <row r="462" ht="15" customHeight="1" s="195">
      <c r="A462" s="280" t="n"/>
      <c r="B462" s="280" t="n"/>
      <c r="C462" s="280" t="n"/>
      <c r="D462" s="280" t="n"/>
      <c r="E462" s="280" t="n"/>
      <c r="F462" s="280" t="n"/>
      <c r="G462" s="280" t="n"/>
      <c r="H462" s="280" t="n"/>
      <c r="I462" s="332">
        <f>IFERROR(VLOOKUP(TEXT(H462,"0"),IPRESS!$A$3:$B$212,2,0),"")</f>
        <v/>
      </c>
      <c r="J462" s="280" t="n"/>
      <c r="K462" s="332">
        <f>IFERROR(VLOOKUP(TEXT(O462,"0"),CONDUCTORES!$A$3:$G$54,7,0),"")</f>
        <v/>
      </c>
      <c r="L462" s="280" t="n"/>
      <c r="M462" s="280" t="n"/>
      <c r="N462" s="333">
        <f>IFERROR(IF(L462*M462=0,"",L462*M462),"")</f>
        <v/>
      </c>
      <c r="O462" s="280" t="n"/>
      <c r="P462" s="332">
        <f>IFERROR(VLOOKUP(TEXT(O462,"0"),CONDUCTORES!$A$3:$G$54,2,0),"")</f>
        <v/>
      </c>
      <c r="Q462" s="332">
        <f>IFERROR(VLOOKUP(TEXT(O462,"0"),CONDUCTORES!$A$3:$H$54,6,0),"")</f>
        <v/>
      </c>
      <c r="R462" s="280" t="n"/>
      <c r="S462" s="280" t="n"/>
      <c r="T462" s="280" t="n"/>
      <c r="U462" s="280" t="n"/>
      <c r="V462" s="280" t="n"/>
      <c r="W462" s="280" t="n"/>
      <c r="X462" s="280" t="n"/>
      <c r="Y462" s="280" t="n"/>
    </row>
    <row r="463" ht="15" customHeight="1" s="195">
      <c r="A463" s="334" t="n"/>
      <c r="B463" s="334" t="n"/>
      <c r="C463" s="334" t="n"/>
      <c r="D463" s="334" t="n"/>
      <c r="E463" s="334" t="n"/>
      <c r="F463" s="334" t="n"/>
      <c r="G463" s="334" t="n"/>
      <c r="H463" s="334" t="n"/>
      <c r="I463" s="332">
        <f>IFERROR(VLOOKUP(TEXT(H463,"0"),IPRESS!$A$3:$B$212,2,0),"")</f>
        <v/>
      </c>
      <c r="J463" s="334" t="n"/>
      <c r="K463" s="332">
        <f>IFERROR(VLOOKUP(TEXT(O463,"0"),CONDUCTORES!$A$3:$G$54,7,0),"")</f>
        <v/>
      </c>
      <c r="L463" s="334" t="n"/>
      <c r="M463" s="334" t="n"/>
      <c r="N463" s="333">
        <f>IFERROR(IF(L463*M463=0,"",L463*M463),"")</f>
        <v/>
      </c>
      <c r="O463" s="334" t="n"/>
      <c r="P463" s="332">
        <f>IFERROR(VLOOKUP(TEXT(O463,"0"),CONDUCTORES!$A$3:$G$54,2,0),"")</f>
        <v/>
      </c>
      <c r="Q463" s="332">
        <f>IFERROR(VLOOKUP(TEXT(O463,"0"),CONDUCTORES!$A$3:$H$54,6,0),"")</f>
        <v/>
      </c>
      <c r="R463" s="334" t="n"/>
      <c r="S463" s="334" t="n"/>
      <c r="T463" s="334" t="n"/>
      <c r="U463" s="334" t="n"/>
      <c r="V463" s="334" t="n"/>
      <c r="W463" s="334" t="n"/>
      <c r="X463" s="334" t="n"/>
      <c r="Y463" s="334" t="n"/>
    </row>
    <row r="464" ht="15" customHeight="1" s="195">
      <c r="A464" s="280" t="n"/>
      <c r="B464" s="280" t="n"/>
      <c r="C464" s="280" t="n"/>
      <c r="D464" s="280" t="n"/>
      <c r="E464" s="280" t="n"/>
      <c r="F464" s="280" t="n"/>
      <c r="G464" s="280" t="n"/>
      <c r="H464" s="280" t="n"/>
      <c r="I464" s="332">
        <f>IFERROR(VLOOKUP(TEXT(H464,"0"),IPRESS!$A$3:$B$212,2,0),"")</f>
        <v/>
      </c>
      <c r="J464" s="280" t="n"/>
      <c r="K464" s="332">
        <f>IFERROR(VLOOKUP(TEXT(O464,"0"),CONDUCTORES!$A$3:$G$54,7,0),"")</f>
        <v/>
      </c>
      <c r="L464" s="280" t="n"/>
      <c r="M464" s="280" t="n"/>
      <c r="N464" s="333">
        <f>IFERROR(IF(L464*M464=0,"",L464*M464),"")</f>
        <v/>
      </c>
      <c r="O464" s="280" t="n"/>
      <c r="P464" s="332">
        <f>IFERROR(VLOOKUP(TEXT(O464,"0"),CONDUCTORES!$A$3:$G$54,2,0),"")</f>
        <v/>
      </c>
      <c r="Q464" s="332">
        <f>IFERROR(VLOOKUP(TEXT(O464,"0"),CONDUCTORES!$A$3:$H$54,6,0),"")</f>
        <v/>
      </c>
      <c r="R464" s="280" t="n"/>
      <c r="S464" s="280" t="n"/>
      <c r="T464" s="280" t="n"/>
      <c r="U464" s="280" t="n"/>
      <c r="V464" s="280" t="n"/>
      <c r="W464" s="280" t="n"/>
      <c r="X464" s="280" t="n"/>
      <c r="Y464" s="280" t="n"/>
    </row>
    <row r="465" ht="15" customHeight="1" s="195">
      <c r="A465" s="334" t="n"/>
      <c r="B465" s="334" t="n"/>
      <c r="C465" s="334" t="n"/>
      <c r="D465" s="334" t="n"/>
      <c r="E465" s="334" t="n"/>
      <c r="F465" s="334" t="n"/>
      <c r="G465" s="334" t="n"/>
      <c r="H465" s="334" t="n"/>
      <c r="I465" s="332">
        <f>IFERROR(VLOOKUP(TEXT(H465,"0"),IPRESS!$A$3:$B$212,2,0),"")</f>
        <v/>
      </c>
      <c r="J465" s="334" t="n"/>
      <c r="K465" s="332">
        <f>IFERROR(VLOOKUP(TEXT(O465,"0"),CONDUCTORES!$A$3:$G$54,7,0),"")</f>
        <v/>
      </c>
      <c r="L465" s="334" t="n"/>
      <c r="M465" s="334" t="n"/>
      <c r="N465" s="333">
        <f>IFERROR(IF(L465*M465=0,"",L465*M465),"")</f>
        <v/>
      </c>
      <c r="O465" s="334" t="n"/>
      <c r="P465" s="332">
        <f>IFERROR(VLOOKUP(TEXT(O465,"0"),CONDUCTORES!$A$3:$G$54,2,0),"")</f>
        <v/>
      </c>
      <c r="Q465" s="332">
        <f>IFERROR(VLOOKUP(TEXT(O465,"0"),CONDUCTORES!$A$3:$H$54,6,0),"")</f>
        <v/>
      </c>
      <c r="R465" s="334" t="n"/>
      <c r="S465" s="334" t="n"/>
      <c r="T465" s="334" t="n"/>
      <c r="U465" s="334" t="n"/>
      <c r="V465" s="334" t="n"/>
      <c r="W465" s="334" t="n"/>
      <c r="X465" s="334" t="n"/>
      <c r="Y465" s="334" t="n"/>
    </row>
    <row r="466" ht="15" customHeight="1" s="195">
      <c r="A466" s="280" t="n"/>
      <c r="B466" s="280" t="n"/>
      <c r="C466" s="280" t="n"/>
      <c r="D466" s="280" t="n"/>
      <c r="E466" s="280" t="n"/>
      <c r="F466" s="280" t="n"/>
      <c r="G466" s="280" t="n"/>
      <c r="H466" s="280" t="n"/>
      <c r="I466" s="332">
        <f>IFERROR(VLOOKUP(TEXT(H466,"0"),IPRESS!$A$3:$B$212,2,0),"")</f>
        <v/>
      </c>
      <c r="J466" s="280" t="n"/>
      <c r="K466" s="332">
        <f>IFERROR(VLOOKUP(TEXT(O466,"0"),CONDUCTORES!$A$3:$G$54,7,0),"")</f>
        <v/>
      </c>
      <c r="L466" s="280" t="n"/>
      <c r="M466" s="280" t="n"/>
      <c r="N466" s="333">
        <f>IFERROR(IF(L466*M466=0,"",L466*M466),"")</f>
        <v/>
      </c>
      <c r="O466" s="280" t="n"/>
      <c r="P466" s="332">
        <f>IFERROR(VLOOKUP(TEXT(O466,"0"),CONDUCTORES!$A$3:$G$54,2,0),"")</f>
        <v/>
      </c>
      <c r="Q466" s="332">
        <f>IFERROR(VLOOKUP(TEXT(O466,"0"),CONDUCTORES!$A$3:$H$54,6,0),"")</f>
        <v/>
      </c>
      <c r="R466" s="280" t="n"/>
      <c r="S466" s="280" t="n"/>
      <c r="T466" s="280" t="n"/>
      <c r="U466" s="280" t="n"/>
      <c r="V466" s="280" t="n"/>
      <c r="W466" s="280" t="n"/>
      <c r="X466" s="280" t="n"/>
      <c r="Y466" s="280" t="n"/>
    </row>
    <row r="467" ht="15" customHeight="1" s="195">
      <c r="A467" s="334" t="n"/>
      <c r="B467" s="334" t="n"/>
      <c r="C467" s="334" t="n"/>
      <c r="D467" s="334" t="n"/>
      <c r="E467" s="334" t="n"/>
      <c r="F467" s="334" t="n"/>
      <c r="G467" s="334" t="n"/>
      <c r="H467" s="334" t="n"/>
      <c r="I467" s="332">
        <f>IFERROR(VLOOKUP(TEXT(H467,"0"),IPRESS!$A$3:$B$212,2,0),"")</f>
        <v/>
      </c>
      <c r="J467" s="334" t="n"/>
      <c r="K467" s="332">
        <f>IFERROR(VLOOKUP(TEXT(O467,"0"),CONDUCTORES!$A$3:$G$54,7,0),"")</f>
        <v/>
      </c>
      <c r="L467" s="334" t="n"/>
      <c r="M467" s="334" t="n"/>
      <c r="N467" s="333">
        <f>IFERROR(IF(L467*M467=0,"",L467*M467),"")</f>
        <v/>
      </c>
      <c r="O467" s="334" t="n"/>
      <c r="P467" s="332">
        <f>IFERROR(VLOOKUP(TEXT(O467,"0"),CONDUCTORES!$A$3:$G$54,2,0),"")</f>
        <v/>
      </c>
      <c r="Q467" s="332">
        <f>IFERROR(VLOOKUP(TEXT(O467,"0"),CONDUCTORES!$A$3:$H$54,6,0),"")</f>
        <v/>
      </c>
      <c r="R467" s="334" t="n"/>
      <c r="S467" s="334" t="n"/>
      <c r="T467" s="334" t="n"/>
      <c r="U467" s="334" t="n"/>
      <c r="V467" s="334" t="n"/>
      <c r="W467" s="334" t="n"/>
      <c r="X467" s="334" t="n"/>
      <c r="Y467" s="334" t="n"/>
    </row>
    <row r="468" ht="15" customHeight="1" s="195">
      <c r="A468" s="280" t="n"/>
      <c r="B468" s="280" t="n"/>
      <c r="C468" s="280" t="n"/>
      <c r="D468" s="280" t="n"/>
      <c r="E468" s="280" t="n"/>
      <c r="F468" s="280" t="n"/>
      <c r="G468" s="280" t="n"/>
      <c r="H468" s="280" t="n"/>
      <c r="I468" s="332">
        <f>IFERROR(VLOOKUP(TEXT(H468,"0"),IPRESS!$A$3:$B$212,2,0),"")</f>
        <v/>
      </c>
      <c r="J468" s="280" t="n"/>
      <c r="K468" s="332">
        <f>IFERROR(VLOOKUP(TEXT(O468,"0"),CONDUCTORES!$A$3:$G$54,7,0),"")</f>
        <v/>
      </c>
      <c r="L468" s="280" t="n"/>
      <c r="M468" s="280" t="n"/>
      <c r="N468" s="333">
        <f>IFERROR(IF(L468*M468=0,"",L468*M468),"")</f>
        <v/>
      </c>
      <c r="O468" s="280" t="n"/>
      <c r="P468" s="332">
        <f>IFERROR(VLOOKUP(TEXT(O468,"0"),CONDUCTORES!$A$3:$G$54,2,0),"")</f>
        <v/>
      </c>
      <c r="Q468" s="332">
        <f>IFERROR(VLOOKUP(TEXT(O468,"0"),CONDUCTORES!$A$3:$H$54,6,0),"")</f>
        <v/>
      </c>
      <c r="R468" s="280" t="n"/>
      <c r="S468" s="280" t="n"/>
      <c r="T468" s="280" t="n"/>
      <c r="U468" s="280" t="n"/>
      <c r="V468" s="280" t="n"/>
      <c r="W468" s="280" t="n"/>
      <c r="X468" s="280" t="n"/>
      <c r="Y468" s="280" t="n"/>
    </row>
    <row r="469" ht="15" customHeight="1" s="195">
      <c r="A469" s="334" t="n"/>
      <c r="B469" s="334" t="n"/>
      <c r="C469" s="334" t="n"/>
      <c r="D469" s="334" t="n"/>
      <c r="E469" s="334" t="n"/>
      <c r="F469" s="334" t="n"/>
      <c r="G469" s="334" t="n"/>
      <c r="H469" s="334" t="n"/>
      <c r="I469" s="332">
        <f>IFERROR(VLOOKUP(TEXT(H469,"0"),IPRESS!$A$3:$B$212,2,0),"")</f>
        <v/>
      </c>
      <c r="J469" s="334" t="n"/>
      <c r="K469" s="332">
        <f>IFERROR(VLOOKUP(TEXT(O469,"0"),CONDUCTORES!$A$3:$G$54,7,0),"")</f>
        <v/>
      </c>
      <c r="L469" s="334" t="n"/>
      <c r="M469" s="334" t="n"/>
      <c r="N469" s="333">
        <f>IFERROR(IF(L469*M469=0,"",L469*M469),"")</f>
        <v/>
      </c>
      <c r="O469" s="334" t="n"/>
      <c r="P469" s="332">
        <f>IFERROR(VLOOKUP(TEXT(O469,"0"),CONDUCTORES!$A$3:$G$54,2,0),"")</f>
        <v/>
      </c>
      <c r="Q469" s="332">
        <f>IFERROR(VLOOKUP(TEXT(O469,"0"),CONDUCTORES!$A$3:$H$54,6,0),"")</f>
        <v/>
      </c>
      <c r="R469" s="334" t="n"/>
      <c r="S469" s="334" t="n"/>
      <c r="T469" s="334" t="n"/>
      <c r="U469" s="334" t="n"/>
      <c r="V469" s="334" t="n"/>
      <c r="W469" s="334" t="n"/>
      <c r="X469" s="334" t="n"/>
      <c r="Y469" s="334" t="n"/>
    </row>
    <row r="470" ht="15" customHeight="1" s="195">
      <c r="A470" s="280" t="n"/>
      <c r="B470" s="280" t="n"/>
      <c r="C470" s="280" t="n"/>
      <c r="D470" s="280" t="n"/>
      <c r="E470" s="280" t="n"/>
      <c r="F470" s="280" t="n"/>
      <c r="G470" s="280" t="n"/>
      <c r="H470" s="280" t="n"/>
      <c r="I470" s="332">
        <f>IFERROR(VLOOKUP(TEXT(H470,"0"),IPRESS!$A$3:$B$212,2,0),"")</f>
        <v/>
      </c>
      <c r="J470" s="280" t="n"/>
      <c r="K470" s="332">
        <f>IFERROR(VLOOKUP(TEXT(O470,"0"),CONDUCTORES!$A$3:$G$54,7,0),"")</f>
        <v/>
      </c>
      <c r="L470" s="280" t="n"/>
      <c r="M470" s="280" t="n"/>
      <c r="N470" s="333">
        <f>IFERROR(IF(L470*M470=0,"",L470*M470),"")</f>
        <v/>
      </c>
      <c r="O470" s="280" t="n"/>
      <c r="P470" s="332">
        <f>IFERROR(VLOOKUP(TEXT(O470,"0"),CONDUCTORES!$A$3:$G$54,2,0),"")</f>
        <v/>
      </c>
      <c r="Q470" s="332">
        <f>IFERROR(VLOOKUP(TEXT(O470,"0"),CONDUCTORES!$A$3:$H$54,6,0),"")</f>
        <v/>
      </c>
      <c r="R470" s="280" t="n"/>
      <c r="S470" s="280" t="n"/>
      <c r="T470" s="280" t="n"/>
      <c r="U470" s="280" t="n"/>
      <c r="V470" s="280" t="n"/>
      <c r="W470" s="280" t="n"/>
      <c r="X470" s="280" t="n"/>
      <c r="Y470" s="280" t="n"/>
    </row>
    <row r="471" ht="15" customHeight="1" s="195">
      <c r="A471" s="334" t="n"/>
      <c r="B471" s="334" t="n"/>
      <c r="C471" s="334" t="n"/>
      <c r="D471" s="334" t="n"/>
      <c r="E471" s="334" t="n"/>
      <c r="F471" s="334" t="n"/>
      <c r="G471" s="334" t="n"/>
      <c r="H471" s="334" t="n"/>
      <c r="I471" s="332">
        <f>IFERROR(VLOOKUP(TEXT(H471,"0"),IPRESS!$A$3:$B$212,2,0),"")</f>
        <v/>
      </c>
      <c r="J471" s="334" t="n"/>
      <c r="K471" s="332">
        <f>IFERROR(VLOOKUP(TEXT(O471,"0"),CONDUCTORES!$A$3:$G$54,7,0),"")</f>
        <v/>
      </c>
      <c r="L471" s="334" t="n"/>
      <c r="M471" s="334" t="n"/>
      <c r="N471" s="333">
        <f>IFERROR(IF(L471*M471=0,"",L471*M471),"")</f>
        <v/>
      </c>
      <c r="O471" s="334" t="n"/>
      <c r="P471" s="332">
        <f>IFERROR(VLOOKUP(TEXT(O471,"0"),CONDUCTORES!$A$3:$G$54,2,0),"")</f>
        <v/>
      </c>
      <c r="Q471" s="332">
        <f>IFERROR(VLOOKUP(TEXT(O471,"0"),CONDUCTORES!$A$3:$H$54,6,0),"")</f>
        <v/>
      </c>
      <c r="R471" s="334" t="n"/>
      <c r="S471" s="334" t="n"/>
      <c r="T471" s="334" t="n"/>
      <c r="U471" s="334" t="n"/>
      <c r="V471" s="334" t="n"/>
      <c r="W471" s="334" t="n"/>
      <c r="X471" s="334" t="n"/>
      <c r="Y471" s="334" t="n"/>
    </row>
    <row r="472" ht="15" customHeight="1" s="195">
      <c r="A472" s="280" t="n"/>
      <c r="B472" s="280" t="n"/>
      <c r="C472" s="280" t="n"/>
      <c r="D472" s="280" t="n"/>
      <c r="E472" s="280" t="n"/>
      <c r="F472" s="280" t="n"/>
      <c r="G472" s="280" t="n"/>
      <c r="H472" s="280" t="n"/>
      <c r="I472" s="332">
        <f>IFERROR(VLOOKUP(TEXT(H472,"0"),IPRESS!$A$3:$B$212,2,0),"")</f>
        <v/>
      </c>
      <c r="J472" s="280" t="n"/>
      <c r="K472" s="332">
        <f>IFERROR(VLOOKUP(TEXT(O472,"0"),CONDUCTORES!$A$3:$G$54,7,0),"")</f>
        <v/>
      </c>
      <c r="L472" s="280" t="n"/>
      <c r="M472" s="280" t="n"/>
      <c r="N472" s="333">
        <f>IFERROR(IF(L472*M472=0,"",L472*M472),"")</f>
        <v/>
      </c>
      <c r="O472" s="280" t="n"/>
      <c r="P472" s="332">
        <f>IFERROR(VLOOKUP(TEXT(O472,"0"),CONDUCTORES!$A$3:$G$54,2,0),"")</f>
        <v/>
      </c>
      <c r="Q472" s="332">
        <f>IFERROR(VLOOKUP(TEXT(O472,"0"),CONDUCTORES!$A$3:$H$54,6,0),"")</f>
        <v/>
      </c>
      <c r="R472" s="280" t="n"/>
      <c r="S472" s="280" t="n"/>
      <c r="T472" s="280" t="n"/>
      <c r="U472" s="280" t="n"/>
      <c r="V472" s="280" t="n"/>
      <c r="W472" s="280" t="n"/>
      <c r="X472" s="280" t="n"/>
      <c r="Y472" s="280" t="n"/>
    </row>
    <row r="473" ht="15" customHeight="1" s="195">
      <c r="A473" s="334" t="n"/>
      <c r="B473" s="334" t="n"/>
      <c r="C473" s="334" t="n"/>
      <c r="D473" s="334" t="n"/>
      <c r="E473" s="334" t="n"/>
      <c r="F473" s="334" t="n"/>
      <c r="G473" s="334" t="n"/>
      <c r="H473" s="334" t="n"/>
      <c r="I473" s="332">
        <f>IFERROR(VLOOKUP(TEXT(H473,"0"),IPRESS!$A$3:$B$212,2,0),"")</f>
        <v/>
      </c>
      <c r="J473" s="334" t="n"/>
      <c r="K473" s="332">
        <f>IFERROR(VLOOKUP(TEXT(O473,"0"),CONDUCTORES!$A$3:$G$54,7,0),"")</f>
        <v/>
      </c>
      <c r="L473" s="334" t="n"/>
      <c r="M473" s="334" t="n"/>
      <c r="N473" s="333">
        <f>IFERROR(IF(L473*M473=0,"",L473*M473),"")</f>
        <v/>
      </c>
      <c r="O473" s="334" t="n"/>
      <c r="P473" s="332">
        <f>IFERROR(VLOOKUP(TEXT(O473,"0"),CONDUCTORES!$A$3:$G$54,2,0),"")</f>
        <v/>
      </c>
      <c r="Q473" s="332">
        <f>IFERROR(VLOOKUP(TEXT(O473,"0"),CONDUCTORES!$A$3:$H$54,6,0),"")</f>
        <v/>
      </c>
      <c r="R473" s="334" t="n"/>
      <c r="S473" s="334" t="n"/>
      <c r="T473" s="334" t="n"/>
      <c r="U473" s="334" t="n"/>
      <c r="V473" s="334" t="n"/>
      <c r="W473" s="334" t="n"/>
      <c r="X473" s="334" t="n"/>
      <c r="Y473" s="334" t="n"/>
    </row>
    <row r="474" ht="15" customHeight="1" s="195">
      <c r="A474" s="280" t="n"/>
      <c r="B474" s="280" t="n"/>
      <c r="C474" s="280" t="n"/>
      <c r="D474" s="280" t="n"/>
      <c r="E474" s="280" t="n"/>
      <c r="F474" s="280" t="n"/>
      <c r="G474" s="280" t="n"/>
      <c r="H474" s="280" t="n"/>
      <c r="I474" s="332">
        <f>IFERROR(VLOOKUP(TEXT(H474,"0"),IPRESS!$A$3:$B$212,2,0),"")</f>
        <v/>
      </c>
      <c r="J474" s="280" t="n"/>
      <c r="K474" s="332">
        <f>IFERROR(VLOOKUP(TEXT(O474,"0"),CONDUCTORES!$A$3:$G$54,7,0),"")</f>
        <v/>
      </c>
      <c r="L474" s="280" t="n"/>
      <c r="M474" s="280" t="n"/>
      <c r="N474" s="333">
        <f>IFERROR(IF(L474*M474=0,"",L474*M474),"")</f>
        <v/>
      </c>
      <c r="O474" s="280" t="n"/>
      <c r="P474" s="332">
        <f>IFERROR(VLOOKUP(TEXT(O474,"0"),CONDUCTORES!$A$3:$G$54,2,0),"")</f>
        <v/>
      </c>
      <c r="Q474" s="332">
        <f>IFERROR(VLOOKUP(TEXT(O474,"0"),CONDUCTORES!$A$3:$H$54,6,0),"")</f>
        <v/>
      </c>
      <c r="R474" s="280" t="n"/>
      <c r="S474" s="280" t="n"/>
      <c r="T474" s="280" t="n"/>
      <c r="U474" s="280" t="n"/>
      <c r="V474" s="280" t="n"/>
      <c r="W474" s="280" t="n"/>
      <c r="X474" s="280" t="n"/>
      <c r="Y474" s="280" t="n"/>
    </row>
    <row r="475" ht="15" customHeight="1" s="195">
      <c r="A475" s="334" t="n"/>
      <c r="B475" s="334" t="n"/>
      <c r="C475" s="334" t="n"/>
      <c r="D475" s="334" t="n"/>
      <c r="E475" s="334" t="n"/>
      <c r="F475" s="334" t="n"/>
      <c r="G475" s="334" t="n"/>
      <c r="H475" s="334" t="n"/>
      <c r="I475" s="332">
        <f>IFERROR(VLOOKUP(TEXT(H475,"0"),IPRESS!$A$3:$B$212,2,0),"")</f>
        <v/>
      </c>
      <c r="J475" s="334" t="n"/>
      <c r="K475" s="332">
        <f>IFERROR(VLOOKUP(TEXT(O475,"0"),CONDUCTORES!$A$3:$G$54,7,0),"")</f>
        <v/>
      </c>
      <c r="L475" s="334" t="n"/>
      <c r="M475" s="334" t="n"/>
      <c r="N475" s="333">
        <f>IFERROR(IF(L475*M475=0,"",L475*M475),"")</f>
        <v/>
      </c>
      <c r="O475" s="334" t="n"/>
      <c r="P475" s="332">
        <f>IFERROR(VLOOKUP(TEXT(O475,"0"),CONDUCTORES!$A$3:$G$54,2,0),"")</f>
        <v/>
      </c>
      <c r="Q475" s="332">
        <f>IFERROR(VLOOKUP(TEXT(O475,"0"),CONDUCTORES!$A$3:$H$54,6,0),"")</f>
        <v/>
      </c>
      <c r="R475" s="334" t="n"/>
      <c r="S475" s="334" t="n"/>
      <c r="T475" s="334" t="n"/>
      <c r="U475" s="334" t="n"/>
      <c r="V475" s="334" t="n"/>
      <c r="W475" s="334" t="n"/>
      <c r="X475" s="334" t="n"/>
      <c r="Y475" s="334" t="n"/>
    </row>
    <row r="476" ht="15" customHeight="1" s="195">
      <c r="A476" s="280" t="n"/>
      <c r="B476" s="280" t="n"/>
      <c r="C476" s="280" t="n"/>
      <c r="D476" s="280" t="n"/>
      <c r="E476" s="280" t="n"/>
      <c r="F476" s="280" t="n"/>
      <c r="G476" s="280" t="n"/>
      <c r="H476" s="280" t="n"/>
      <c r="I476" s="332">
        <f>IFERROR(VLOOKUP(TEXT(H476,"0"),IPRESS!$A$3:$B$212,2,0),"")</f>
        <v/>
      </c>
      <c r="J476" s="280" t="n"/>
      <c r="K476" s="332">
        <f>IFERROR(VLOOKUP(TEXT(O476,"0"),CONDUCTORES!$A$3:$G$54,7,0),"")</f>
        <v/>
      </c>
      <c r="L476" s="280" t="n"/>
      <c r="M476" s="280" t="n"/>
      <c r="N476" s="333">
        <f>IFERROR(IF(L476*M476=0,"",L476*M476),"")</f>
        <v/>
      </c>
      <c r="O476" s="280" t="n"/>
      <c r="P476" s="332">
        <f>IFERROR(VLOOKUP(TEXT(O476,"0"),CONDUCTORES!$A$3:$G$54,2,0),"")</f>
        <v/>
      </c>
      <c r="Q476" s="332">
        <f>IFERROR(VLOOKUP(TEXT(O476,"0"),CONDUCTORES!$A$3:$H$54,6,0),"")</f>
        <v/>
      </c>
      <c r="R476" s="280" t="n"/>
      <c r="S476" s="280" t="n"/>
      <c r="T476" s="280" t="n"/>
      <c r="U476" s="280" t="n"/>
      <c r="V476" s="280" t="n"/>
      <c r="W476" s="280" t="n"/>
      <c r="X476" s="280" t="n"/>
      <c r="Y476" s="280" t="n"/>
    </row>
    <row r="477" ht="15" customHeight="1" s="195">
      <c r="A477" s="334" t="n"/>
      <c r="B477" s="334" t="n"/>
      <c r="C477" s="334" t="n"/>
      <c r="D477" s="334" t="n"/>
      <c r="E477" s="334" t="n"/>
      <c r="F477" s="334" t="n"/>
      <c r="G477" s="334" t="n"/>
      <c r="H477" s="334" t="n"/>
      <c r="I477" s="332">
        <f>IFERROR(VLOOKUP(TEXT(H477,"0"),IPRESS!$A$3:$B$212,2,0),"")</f>
        <v/>
      </c>
      <c r="J477" s="334" t="n"/>
      <c r="K477" s="332">
        <f>IFERROR(VLOOKUP(TEXT(O477,"0"),CONDUCTORES!$A$3:$G$54,7,0),"")</f>
        <v/>
      </c>
      <c r="L477" s="334" t="n"/>
      <c r="M477" s="334" t="n"/>
      <c r="N477" s="333">
        <f>IFERROR(IF(L477*M477=0,"",L477*M477),"")</f>
        <v/>
      </c>
      <c r="O477" s="334" t="n"/>
      <c r="P477" s="332">
        <f>IFERROR(VLOOKUP(TEXT(O477,"0"),CONDUCTORES!$A$3:$G$54,2,0),"")</f>
        <v/>
      </c>
      <c r="Q477" s="332">
        <f>IFERROR(VLOOKUP(TEXT(O477,"0"),CONDUCTORES!$A$3:$H$54,6,0),"")</f>
        <v/>
      </c>
      <c r="R477" s="334" t="n"/>
      <c r="S477" s="334" t="n"/>
      <c r="T477" s="334" t="n"/>
      <c r="U477" s="334" t="n"/>
      <c r="V477" s="334" t="n"/>
      <c r="W477" s="334" t="n"/>
      <c r="X477" s="334" t="n"/>
      <c r="Y477" s="334" t="n"/>
    </row>
    <row r="478" ht="15" customHeight="1" s="195">
      <c r="A478" s="280" t="n"/>
      <c r="B478" s="280" t="n"/>
      <c r="C478" s="280" t="n"/>
      <c r="D478" s="280" t="n"/>
      <c r="E478" s="280" t="n"/>
      <c r="F478" s="280" t="n"/>
      <c r="G478" s="280" t="n"/>
      <c r="H478" s="280" t="n"/>
      <c r="I478" s="332">
        <f>IFERROR(VLOOKUP(TEXT(H478,"0"),IPRESS!$A$3:$B$212,2,0),"")</f>
        <v/>
      </c>
      <c r="J478" s="280" t="n"/>
      <c r="K478" s="332">
        <f>IFERROR(VLOOKUP(TEXT(O478,"0"),CONDUCTORES!$A$3:$G$54,7,0),"")</f>
        <v/>
      </c>
      <c r="L478" s="280" t="n"/>
      <c r="M478" s="280" t="n"/>
      <c r="N478" s="333">
        <f>IFERROR(IF(L478*M478=0,"",L478*M478),"")</f>
        <v/>
      </c>
      <c r="O478" s="280" t="n"/>
      <c r="P478" s="332">
        <f>IFERROR(VLOOKUP(TEXT(O478,"0"),CONDUCTORES!$A$3:$G$54,2,0),"")</f>
        <v/>
      </c>
      <c r="Q478" s="332">
        <f>IFERROR(VLOOKUP(TEXT(O478,"0"),CONDUCTORES!$A$3:$H$54,6,0),"")</f>
        <v/>
      </c>
      <c r="R478" s="280" t="n"/>
      <c r="S478" s="280" t="n"/>
      <c r="T478" s="280" t="n"/>
      <c r="U478" s="280" t="n"/>
      <c r="V478" s="280" t="n"/>
      <c r="W478" s="280" t="n"/>
      <c r="X478" s="280" t="n"/>
      <c r="Y478" s="280" t="n"/>
    </row>
    <row r="479" ht="15" customHeight="1" s="195">
      <c r="A479" s="334" t="n"/>
      <c r="B479" s="334" t="n"/>
      <c r="C479" s="334" t="n"/>
      <c r="D479" s="334" t="n"/>
      <c r="E479" s="334" t="n"/>
      <c r="F479" s="334" t="n"/>
      <c r="G479" s="334" t="n"/>
      <c r="H479" s="334" t="n"/>
      <c r="I479" s="332">
        <f>IFERROR(VLOOKUP(TEXT(H479,"0"),IPRESS!$A$3:$B$212,2,0),"")</f>
        <v/>
      </c>
      <c r="J479" s="334" t="n"/>
      <c r="K479" s="332">
        <f>IFERROR(VLOOKUP(TEXT(O479,"0"),CONDUCTORES!$A$3:$G$54,7,0),"")</f>
        <v/>
      </c>
      <c r="L479" s="334" t="n"/>
      <c r="M479" s="334" t="n"/>
      <c r="N479" s="333">
        <f>IFERROR(IF(L479*M479=0,"",L479*M479),"")</f>
        <v/>
      </c>
      <c r="O479" s="334" t="n"/>
      <c r="P479" s="332">
        <f>IFERROR(VLOOKUP(TEXT(O479,"0"),CONDUCTORES!$A$3:$G$54,2,0),"")</f>
        <v/>
      </c>
      <c r="Q479" s="332">
        <f>IFERROR(VLOOKUP(TEXT(O479,"0"),CONDUCTORES!$A$3:$H$54,6,0),"")</f>
        <v/>
      </c>
      <c r="R479" s="334" t="n"/>
      <c r="S479" s="334" t="n"/>
      <c r="T479" s="334" t="n"/>
      <c r="U479" s="334" t="n"/>
      <c r="V479" s="334" t="n"/>
      <c r="W479" s="334" t="n"/>
      <c r="X479" s="334" t="n"/>
      <c r="Y479" s="334" t="n"/>
    </row>
    <row r="480" ht="15" customHeight="1" s="195">
      <c r="A480" s="280" t="n"/>
      <c r="B480" s="280" t="n"/>
      <c r="C480" s="280" t="n"/>
      <c r="D480" s="280" t="n"/>
      <c r="E480" s="280" t="n"/>
      <c r="F480" s="280" t="n"/>
      <c r="G480" s="280" t="n"/>
      <c r="H480" s="280" t="n"/>
      <c r="I480" s="332">
        <f>IFERROR(VLOOKUP(TEXT(H480,"0"),IPRESS!$A$3:$B$212,2,0),"")</f>
        <v/>
      </c>
      <c r="J480" s="280" t="n"/>
      <c r="K480" s="332">
        <f>IFERROR(VLOOKUP(TEXT(O480,"0"),CONDUCTORES!$A$3:$G$54,7,0),"")</f>
        <v/>
      </c>
      <c r="L480" s="280" t="n"/>
      <c r="M480" s="280" t="n"/>
      <c r="N480" s="333">
        <f>IFERROR(IF(L480*M480=0,"",L480*M480),"")</f>
        <v/>
      </c>
      <c r="O480" s="280" t="n"/>
      <c r="P480" s="332">
        <f>IFERROR(VLOOKUP(TEXT(O480,"0"),CONDUCTORES!$A$3:$G$54,2,0),"")</f>
        <v/>
      </c>
      <c r="Q480" s="332">
        <f>IFERROR(VLOOKUP(TEXT(O480,"0"),CONDUCTORES!$A$3:$H$54,6,0),"")</f>
        <v/>
      </c>
      <c r="R480" s="280" t="n"/>
      <c r="S480" s="280" t="n"/>
      <c r="T480" s="280" t="n"/>
      <c r="U480" s="280" t="n"/>
      <c r="V480" s="280" t="n"/>
      <c r="W480" s="280" t="n"/>
      <c r="X480" s="280" t="n"/>
      <c r="Y480" s="280" t="n"/>
    </row>
    <row r="481" ht="15" customHeight="1" s="195">
      <c r="A481" s="334" t="n"/>
      <c r="B481" s="334" t="n"/>
      <c r="C481" s="334" t="n"/>
      <c r="D481" s="334" t="n"/>
      <c r="E481" s="334" t="n"/>
      <c r="F481" s="334" t="n"/>
      <c r="G481" s="334" t="n"/>
      <c r="H481" s="334" t="n"/>
      <c r="I481" s="332">
        <f>IFERROR(VLOOKUP(TEXT(H481,"0"),IPRESS!$A$3:$B$212,2,0),"")</f>
        <v/>
      </c>
      <c r="J481" s="334" t="n"/>
      <c r="K481" s="332">
        <f>IFERROR(VLOOKUP(TEXT(O481,"0"),CONDUCTORES!$A$3:$G$54,7,0),"")</f>
        <v/>
      </c>
      <c r="L481" s="334" t="n"/>
      <c r="M481" s="334" t="n"/>
      <c r="N481" s="333">
        <f>IFERROR(IF(L481*M481=0,"",L481*M481),"")</f>
        <v/>
      </c>
      <c r="O481" s="334" t="n"/>
      <c r="P481" s="332">
        <f>IFERROR(VLOOKUP(TEXT(O481,"0"),CONDUCTORES!$A$3:$G$54,2,0),"")</f>
        <v/>
      </c>
      <c r="Q481" s="332">
        <f>IFERROR(VLOOKUP(TEXT(O481,"0"),CONDUCTORES!$A$3:$H$54,6,0),"")</f>
        <v/>
      </c>
      <c r="R481" s="334" t="n"/>
      <c r="S481" s="334" t="n"/>
      <c r="T481" s="334" t="n"/>
      <c r="U481" s="334" t="n"/>
      <c r="V481" s="334" t="n"/>
      <c r="W481" s="334" t="n"/>
      <c r="X481" s="334" t="n"/>
      <c r="Y481" s="334" t="n"/>
    </row>
    <row r="482" ht="15" customHeight="1" s="195">
      <c r="A482" s="280" t="n"/>
      <c r="B482" s="280" t="n"/>
      <c r="C482" s="280" t="n"/>
      <c r="D482" s="280" t="n"/>
      <c r="E482" s="280" t="n"/>
      <c r="F482" s="280" t="n"/>
      <c r="G482" s="280" t="n"/>
      <c r="H482" s="280" t="n"/>
      <c r="I482" s="332">
        <f>IFERROR(VLOOKUP(TEXT(H482,"0"),IPRESS!$A$3:$B$212,2,0),"")</f>
        <v/>
      </c>
      <c r="J482" s="280" t="n"/>
      <c r="K482" s="332">
        <f>IFERROR(VLOOKUP(TEXT(O482,"0"),CONDUCTORES!$A$3:$G$54,7,0),"")</f>
        <v/>
      </c>
      <c r="L482" s="280" t="n"/>
      <c r="M482" s="280" t="n"/>
      <c r="N482" s="333">
        <f>IFERROR(IF(L482*M482=0,"",L482*M482),"")</f>
        <v/>
      </c>
      <c r="O482" s="280" t="n"/>
      <c r="P482" s="332">
        <f>IFERROR(VLOOKUP(TEXT(O482,"0"),CONDUCTORES!$A$3:$G$54,2,0),"")</f>
        <v/>
      </c>
      <c r="Q482" s="332">
        <f>IFERROR(VLOOKUP(TEXT(O482,"0"),CONDUCTORES!$A$3:$H$54,6,0),"")</f>
        <v/>
      </c>
      <c r="R482" s="280" t="n"/>
      <c r="S482" s="280" t="n"/>
      <c r="T482" s="280" t="n"/>
      <c r="U482" s="280" t="n"/>
      <c r="V482" s="280" t="n"/>
      <c r="W482" s="280" t="n"/>
      <c r="X482" s="280" t="n"/>
      <c r="Y482" s="280" t="n"/>
    </row>
    <row r="483" ht="15" customHeight="1" s="195">
      <c r="A483" s="334" t="n"/>
      <c r="B483" s="334" t="n"/>
      <c r="C483" s="334" t="n"/>
      <c r="D483" s="334" t="n"/>
      <c r="E483" s="334" t="n"/>
      <c r="F483" s="334" t="n"/>
      <c r="G483" s="334" t="n"/>
      <c r="H483" s="334" t="n"/>
      <c r="I483" s="332">
        <f>IFERROR(VLOOKUP(TEXT(H483,"0"),IPRESS!$A$3:$B$212,2,0),"")</f>
        <v/>
      </c>
      <c r="J483" s="334" t="n"/>
      <c r="K483" s="332">
        <f>IFERROR(VLOOKUP(TEXT(O483,"0"),CONDUCTORES!$A$3:$G$54,7,0),"")</f>
        <v/>
      </c>
      <c r="L483" s="334" t="n"/>
      <c r="M483" s="334" t="n"/>
      <c r="N483" s="333">
        <f>IFERROR(IF(L483*M483=0,"",L483*M483),"")</f>
        <v/>
      </c>
      <c r="O483" s="334" t="n"/>
      <c r="P483" s="332">
        <f>IFERROR(VLOOKUP(TEXT(O483,"0"),CONDUCTORES!$A$3:$G$54,2,0),"")</f>
        <v/>
      </c>
      <c r="Q483" s="332">
        <f>IFERROR(VLOOKUP(TEXT(O483,"0"),CONDUCTORES!$A$3:$H$54,6,0),"")</f>
        <v/>
      </c>
      <c r="R483" s="334" t="n"/>
      <c r="S483" s="334" t="n"/>
      <c r="T483" s="334" t="n"/>
      <c r="U483" s="334" t="n"/>
      <c r="V483" s="334" t="n"/>
      <c r="W483" s="334" t="n"/>
      <c r="X483" s="334" t="n"/>
      <c r="Y483" s="334" t="n"/>
    </row>
    <row r="484" ht="15" customHeight="1" s="195">
      <c r="A484" s="280" t="n"/>
      <c r="B484" s="280" t="n"/>
      <c r="C484" s="280" t="n"/>
      <c r="D484" s="280" t="n"/>
      <c r="E484" s="280" t="n"/>
      <c r="F484" s="280" t="n"/>
      <c r="G484" s="280" t="n"/>
      <c r="H484" s="280" t="n"/>
      <c r="I484" s="332">
        <f>IFERROR(VLOOKUP(TEXT(H484,"0"),IPRESS!$A$3:$B$212,2,0),"")</f>
        <v/>
      </c>
      <c r="J484" s="280" t="n"/>
      <c r="K484" s="332">
        <f>IFERROR(VLOOKUP(TEXT(O484,"0"),CONDUCTORES!$A$3:$G$54,7,0),"")</f>
        <v/>
      </c>
      <c r="L484" s="280" t="n"/>
      <c r="M484" s="280" t="n"/>
      <c r="N484" s="333">
        <f>IFERROR(IF(L484*M484=0,"",L484*M484),"")</f>
        <v/>
      </c>
      <c r="O484" s="280" t="n"/>
      <c r="P484" s="332">
        <f>IFERROR(VLOOKUP(TEXT(O484,"0"),CONDUCTORES!$A$3:$G$54,2,0),"")</f>
        <v/>
      </c>
      <c r="Q484" s="332">
        <f>IFERROR(VLOOKUP(TEXT(O484,"0"),CONDUCTORES!$A$3:$H$54,6,0),"")</f>
        <v/>
      </c>
      <c r="R484" s="280" t="n"/>
      <c r="S484" s="280" t="n"/>
      <c r="T484" s="280" t="n"/>
      <c r="U484" s="280" t="n"/>
      <c r="V484" s="280" t="n"/>
      <c r="W484" s="280" t="n"/>
      <c r="X484" s="280" t="n"/>
      <c r="Y484" s="280" t="n"/>
    </row>
    <row r="485" ht="15" customHeight="1" s="195">
      <c r="A485" s="334" t="n"/>
      <c r="B485" s="334" t="n"/>
      <c r="C485" s="334" t="n"/>
      <c r="D485" s="334" t="n"/>
      <c r="E485" s="334" t="n"/>
      <c r="F485" s="334" t="n"/>
      <c r="G485" s="334" t="n"/>
      <c r="H485" s="334" t="n"/>
      <c r="I485" s="332">
        <f>IFERROR(VLOOKUP(TEXT(H485,"0"),IPRESS!$A$3:$B$212,2,0),"")</f>
        <v/>
      </c>
      <c r="J485" s="334" t="n"/>
      <c r="K485" s="332">
        <f>IFERROR(VLOOKUP(TEXT(O485,"0"),CONDUCTORES!$A$3:$G$54,7,0),"")</f>
        <v/>
      </c>
      <c r="L485" s="334" t="n"/>
      <c r="M485" s="334" t="n"/>
      <c r="N485" s="333">
        <f>IFERROR(IF(L485*M485=0,"",L485*M485),"")</f>
        <v/>
      </c>
      <c r="O485" s="334" t="n"/>
      <c r="P485" s="332">
        <f>IFERROR(VLOOKUP(TEXT(O485,"0"),CONDUCTORES!$A$3:$G$54,2,0),"")</f>
        <v/>
      </c>
      <c r="Q485" s="332">
        <f>IFERROR(VLOOKUP(TEXT(O485,"0"),CONDUCTORES!$A$3:$H$54,6,0),"")</f>
        <v/>
      </c>
      <c r="R485" s="334" t="n"/>
      <c r="S485" s="334" t="n"/>
      <c r="T485" s="334" t="n"/>
      <c r="U485" s="334" t="n"/>
      <c r="V485" s="334" t="n"/>
      <c r="W485" s="334" t="n"/>
      <c r="X485" s="334" t="n"/>
      <c r="Y485" s="334" t="n"/>
    </row>
    <row r="486" ht="15" customHeight="1" s="195">
      <c r="A486" s="280" t="n"/>
      <c r="B486" s="280" t="n"/>
      <c r="C486" s="280" t="n"/>
      <c r="D486" s="280" t="n"/>
      <c r="E486" s="280" t="n"/>
      <c r="F486" s="280" t="n"/>
      <c r="G486" s="280" t="n"/>
      <c r="H486" s="280" t="n"/>
      <c r="I486" s="332">
        <f>IFERROR(VLOOKUP(TEXT(H486,"0"),IPRESS!$A$3:$B$212,2,0),"")</f>
        <v/>
      </c>
      <c r="J486" s="280" t="n"/>
      <c r="K486" s="332">
        <f>IFERROR(VLOOKUP(TEXT(O486,"0"),CONDUCTORES!$A$3:$G$54,7,0),"")</f>
        <v/>
      </c>
      <c r="L486" s="280" t="n"/>
      <c r="M486" s="280" t="n"/>
      <c r="N486" s="333">
        <f>IFERROR(IF(L486*M486=0,"",L486*M486),"")</f>
        <v/>
      </c>
      <c r="O486" s="280" t="n"/>
      <c r="P486" s="332">
        <f>IFERROR(VLOOKUP(TEXT(O486,"0"),CONDUCTORES!$A$3:$G$54,2,0),"")</f>
        <v/>
      </c>
      <c r="Q486" s="332">
        <f>IFERROR(VLOOKUP(TEXT(O486,"0"),CONDUCTORES!$A$3:$H$54,6,0),"")</f>
        <v/>
      </c>
      <c r="R486" s="280" t="n"/>
      <c r="S486" s="280" t="n"/>
      <c r="T486" s="280" t="n"/>
      <c r="U486" s="280" t="n"/>
      <c r="V486" s="280" t="n"/>
      <c r="W486" s="280" t="n"/>
      <c r="X486" s="280" t="n"/>
      <c r="Y486" s="280" t="n"/>
    </row>
    <row r="487" ht="15" customHeight="1" s="195">
      <c r="A487" s="334" t="n"/>
      <c r="B487" s="334" t="n"/>
      <c r="C487" s="334" t="n"/>
      <c r="D487" s="334" t="n"/>
      <c r="E487" s="334" t="n"/>
      <c r="F487" s="334" t="n"/>
      <c r="G487" s="334" t="n"/>
      <c r="H487" s="334" t="n"/>
      <c r="I487" s="332">
        <f>IFERROR(VLOOKUP(TEXT(H487,"0"),IPRESS!$A$3:$B$212,2,0),"")</f>
        <v/>
      </c>
      <c r="J487" s="334" t="n"/>
      <c r="K487" s="332">
        <f>IFERROR(VLOOKUP(TEXT(O487,"0"),CONDUCTORES!$A$3:$G$54,7,0),"")</f>
        <v/>
      </c>
      <c r="L487" s="334" t="n"/>
      <c r="M487" s="334" t="n"/>
      <c r="N487" s="333">
        <f>IFERROR(IF(L487*M487=0,"",L487*M487),"")</f>
        <v/>
      </c>
      <c r="O487" s="334" t="n"/>
      <c r="P487" s="332">
        <f>IFERROR(VLOOKUP(TEXT(O487,"0"),CONDUCTORES!$A$3:$G$54,2,0),"")</f>
        <v/>
      </c>
      <c r="Q487" s="332">
        <f>IFERROR(VLOOKUP(TEXT(O487,"0"),CONDUCTORES!$A$3:$H$54,6,0),"")</f>
        <v/>
      </c>
      <c r="R487" s="334" t="n"/>
      <c r="S487" s="334" t="n"/>
      <c r="T487" s="334" t="n"/>
      <c r="U487" s="334" t="n"/>
      <c r="V487" s="334" t="n"/>
      <c r="W487" s="334" t="n"/>
      <c r="X487" s="334" t="n"/>
      <c r="Y487" s="334" t="n"/>
    </row>
    <row r="488" ht="15" customHeight="1" s="195">
      <c r="A488" s="280" t="n"/>
      <c r="B488" s="280" t="n"/>
      <c r="C488" s="280" t="n"/>
      <c r="D488" s="280" t="n"/>
      <c r="E488" s="280" t="n"/>
      <c r="F488" s="280" t="n"/>
      <c r="G488" s="280" t="n"/>
      <c r="H488" s="280" t="n"/>
      <c r="I488" s="332">
        <f>IFERROR(VLOOKUP(TEXT(H488,"0"),IPRESS!$A$3:$B$212,2,0),"")</f>
        <v/>
      </c>
      <c r="J488" s="280" t="n"/>
      <c r="K488" s="332">
        <f>IFERROR(VLOOKUP(TEXT(O488,"0"),CONDUCTORES!$A$3:$G$54,7,0),"")</f>
        <v/>
      </c>
      <c r="L488" s="280" t="n"/>
      <c r="M488" s="280" t="n"/>
      <c r="N488" s="333">
        <f>IFERROR(IF(L488*M488=0,"",L488*M488),"")</f>
        <v/>
      </c>
      <c r="O488" s="280" t="n"/>
      <c r="P488" s="332">
        <f>IFERROR(VLOOKUP(TEXT(O488,"0"),CONDUCTORES!$A$3:$G$54,2,0),"")</f>
        <v/>
      </c>
      <c r="Q488" s="332">
        <f>IFERROR(VLOOKUP(TEXT(O488,"0"),CONDUCTORES!$A$3:$H$54,6,0),"")</f>
        <v/>
      </c>
      <c r="R488" s="280" t="n"/>
      <c r="S488" s="280" t="n"/>
      <c r="T488" s="280" t="n"/>
      <c r="U488" s="280" t="n"/>
      <c r="V488" s="280" t="n"/>
      <c r="W488" s="280" t="n"/>
      <c r="X488" s="280" t="n"/>
      <c r="Y488" s="280" t="n"/>
    </row>
    <row r="489" ht="15" customHeight="1" s="195">
      <c r="A489" s="334" t="n"/>
      <c r="B489" s="334" t="n"/>
      <c r="C489" s="334" t="n"/>
      <c r="D489" s="334" t="n"/>
      <c r="E489" s="334" t="n"/>
      <c r="F489" s="334" t="n"/>
      <c r="G489" s="334" t="n"/>
      <c r="H489" s="334" t="n"/>
      <c r="I489" s="332">
        <f>IFERROR(VLOOKUP(TEXT(H489,"0"),IPRESS!$A$3:$B$212,2,0),"")</f>
        <v/>
      </c>
      <c r="J489" s="334" t="n"/>
      <c r="K489" s="332">
        <f>IFERROR(VLOOKUP(TEXT(O489,"0"),CONDUCTORES!$A$3:$G$54,7,0),"")</f>
        <v/>
      </c>
      <c r="L489" s="334" t="n"/>
      <c r="M489" s="334" t="n"/>
      <c r="N489" s="333">
        <f>IFERROR(IF(L489*M489=0,"",L489*M489),"")</f>
        <v/>
      </c>
      <c r="O489" s="334" t="n"/>
      <c r="P489" s="332">
        <f>IFERROR(VLOOKUP(TEXT(O489,"0"),CONDUCTORES!$A$3:$G$54,2,0),"")</f>
        <v/>
      </c>
      <c r="Q489" s="332">
        <f>IFERROR(VLOOKUP(TEXT(O489,"0"),CONDUCTORES!$A$3:$H$54,6,0),"")</f>
        <v/>
      </c>
      <c r="R489" s="334" t="n"/>
      <c r="S489" s="334" t="n"/>
      <c r="T489" s="334" t="n"/>
      <c r="U489" s="334" t="n"/>
      <c r="V489" s="334" t="n"/>
      <c r="W489" s="334" t="n"/>
      <c r="X489" s="334" t="n"/>
      <c r="Y489" s="334" t="n"/>
    </row>
    <row r="490" ht="15" customHeight="1" s="195">
      <c r="A490" s="280" t="n"/>
      <c r="B490" s="280" t="n"/>
      <c r="C490" s="280" t="n"/>
      <c r="D490" s="280" t="n"/>
      <c r="E490" s="280" t="n"/>
      <c r="F490" s="280" t="n"/>
      <c r="G490" s="280" t="n"/>
      <c r="H490" s="280" t="n"/>
      <c r="I490" s="332">
        <f>IFERROR(VLOOKUP(TEXT(H490,"0"),IPRESS!$A$3:$B$212,2,0),"")</f>
        <v/>
      </c>
      <c r="J490" s="280" t="n"/>
      <c r="K490" s="332">
        <f>IFERROR(VLOOKUP(TEXT(O490,"0"),CONDUCTORES!$A$3:$G$54,7,0),"")</f>
        <v/>
      </c>
      <c r="L490" s="280" t="n"/>
      <c r="M490" s="280" t="n"/>
      <c r="N490" s="333">
        <f>IFERROR(IF(L490*M490=0,"",L490*M490),"")</f>
        <v/>
      </c>
      <c r="O490" s="280" t="n"/>
      <c r="P490" s="332">
        <f>IFERROR(VLOOKUP(TEXT(O490,"0"),CONDUCTORES!$A$3:$G$54,2,0),"")</f>
        <v/>
      </c>
      <c r="Q490" s="332">
        <f>IFERROR(VLOOKUP(TEXT(O490,"0"),CONDUCTORES!$A$3:$H$54,6,0),"")</f>
        <v/>
      </c>
      <c r="R490" s="280" t="n"/>
      <c r="S490" s="280" t="n"/>
      <c r="T490" s="280" t="n"/>
      <c r="U490" s="280" t="n"/>
      <c r="V490" s="280" t="n"/>
      <c r="W490" s="280" t="n"/>
      <c r="X490" s="280" t="n"/>
      <c r="Y490" s="280" t="n"/>
    </row>
    <row r="491" ht="15" customHeight="1" s="195">
      <c r="A491" s="334" t="n"/>
      <c r="B491" s="334" t="n"/>
      <c r="C491" s="334" t="n"/>
      <c r="D491" s="334" t="n"/>
      <c r="E491" s="334" t="n"/>
      <c r="F491" s="334" t="n"/>
      <c r="G491" s="334" t="n"/>
      <c r="H491" s="334" t="n"/>
      <c r="I491" s="332">
        <f>IFERROR(VLOOKUP(TEXT(H491,"0"),IPRESS!$A$3:$B$212,2,0),"")</f>
        <v/>
      </c>
      <c r="J491" s="334" t="n"/>
      <c r="K491" s="332">
        <f>IFERROR(VLOOKUP(TEXT(O491,"0"),CONDUCTORES!$A$3:$G$54,7,0),"")</f>
        <v/>
      </c>
      <c r="L491" s="334" t="n"/>
      <c r="M491" s="334" t="n"/>
      <c r="N491" s="333">
        <f>IFERROR(IF(L491*M491=0,"",L491*M491),"")</f>
        <v/>
      </c>
      <c r="O491" s="334" t="n"/>
      <c r="P491" s="332">
        <f>IFERROR(VLOOKUP(TEXT(O491,"0"),CONDUCTORES!$A$3:$G$54,2,0),"")</f>
        <v/>
      </c>
      <c r="Q491" s="332">
        <f>IFERROR(VLOOKUP(TEXT(O491,"0"),CONDUCTORES!$A$3:$H$54,6,0),"")</f>
        <v/>
      </c>
      <c r="R491" s="334" t="n"/>
      <c r="S491" s="334" t="n"/>
      <c r="T491" s="334" t="n"/>
      <c r="U491" s="334" t="n"/>
      <c r="V491" s="334" t="n"/>
      <c r="W491" s="334" t="n"/>
      <c r="X491" s="334" t="n"/>
      <c r="Y491" s="334" t="n"/>
    </row>
    <row r="492" ht="15" customHeight="1" s="195">
      <c r="A492" s="280" t="n"/>
      <c r="B492" s="280" t="n"/>
      <c r="C492" s="280" t="n"/>
      <c r="D492" s="280" t="n"/>
      <c r="E492" s="280" t="n"/>
      <c r="F492" s="280" t="n"/>
      <c r="G492" s="280" t="n"/>
      <c r="H492" s="280" t="n"/>
      <c r="I492" s="332">
        <f>IFERROR(VLOOKUP(TEXT(H492,"0"),IPRESS!$A$3:$B$212,2,0),"")</f>
        <v/>
      </c>
      <c r="J492" s="280" t="n"/>
      <c r="K492" s="332">
        <f>IFERROR(VLOOKUP(TEXT(O492,"0"),CONDUCTORES!$A$3:$G$54,7,0),"")</f>
        <v/>
      </c>
      <c r="L492" s="280" t="n"/>
      <c r="M492" s="280" t="n"/>
      <c r="N492" s="333">
        <f>IFERROR(IF(L492*M492=0,"",L492*M492),"")</f>
        <v/>
      </c>
      <c r="O492" s="280" t="n"/>
      <c r="P492" s="332">
        <f>IFERROR(VLOOKUP(TEXT(O492,"0"),CONDUCTORES!$A$3:$G$54,2,0),"")</f>
        <v/>
      </c>
      <c r="Q492" s="332">
        <f>IFERROR(VLOOKUP(TEXT(O492,"0"),CONDUCTORES!$A$3:$H$54,6,0),"")</f>
        <v/>
      </c>
      <c r="R492" s="280" t="n"/>
      <c r="S492" s="280" t="n"/>
      <c r="T492" s="280" t="n"/>
      <c r="U492" s="280" t="n"/>
      <c r="V492" s="280" t="n"/>
      <c r="W492" s="280" t="n"/>
      <c r="X492" s="280" t="n"/>
      <c r="Y492" s="280" t="n"/>
    </row>
    <row r="493" ht="15" customHeight="1" s="195">
      <c r="A493" s="334" t="n"/>
      <c r="B493" s="334" t="n"/>
      <c r="C493" s="334" t="n"/>
      <c r="D493" s="334" t="n"/>
      <c r="E493" s="334" t="n"/>
      <c r="F493" s="334" t="n"/>
      <c r="G493" s="334" t="n"/>
      <c r="H493" s="334" t="n"/>
      <c r="I493" s="332">
        <f>IFERROR(VLOOKUP(TEXT(H493,"0"),IPRESS!$A$3:$B$212,2,0),"")</f>
        <v/>
      </c>
      <c r="J493" s="334" t="n"/>
      <c r="K493" s="332">
        <f>IFERROR(VLOOKUP(TEXT(O493,"0"),CONDUCTORES!$A$3:$G$54,7,0),"")</f>
        <v/>
      </c>
      <c r="L493" s="334" t="n"/>
      <c r="M493" s="334" t="n"/>
      <c r="N493" s="333">
        <f>IFERROR(IF(L493*M493=0,"",L493*M493),"")</f>
        <v/>
      </c>
      <c r="O493" s="334" t="n"/>
      <c r="P493" s="332">
        <f>IFERROR(VLOOKUP(TEXT(O493,"0"),CONDUCTORES!$A$3:$G$54,2,0),"")</f>
        <v/>
      </c>
      <c r="Q493" s="332">
        <f>IFERROR(VLOOKUP(TEXT(O493,"0"),CONDUCTORES!$A$3:$H$54,6,0),"")</f>
        <v/>
      </c>
      <c r="R493" s="334" t="n"/>
      <c r="S493" s="334" t="n"/>
      <c r="T493" s="334" t="n"/>
      <c r="U493" s="334" t="n"/>
      <c r="V493" s="334" t="n"/>
      <c r="W493" s="334" t="n"/>
      <c r="X493" s="334" t="n"/>
      <c r="Y493" s="334" t="n"/>
    </row>
    <row r="494" ht="15" customHeight="1" s="195">
      <c r="A494" s="280" t="n"/>
      <c r="B494" s="280" t="n"/>
      <c r="C494" s="280" t="n"/>
      <c r="D494" s="280" t="n"/>
      <c r="E494" s="280" t="n"/>
      <c r="F494" s="280" t="n"/>
      <c r="G494" s="280" t="n"/>
      <c r="H494" s="280" t="n"/>
      <c r="I494" s="332">
        <f>IFERROR(VLOOKUP(TEXT(H494,"0"),IPRESS!$A$3:$B$212,2,0),"")</f>
        <v/>
      </c>
      <c r="J494" s="280" t="n"/>
      <c r="K494" s="332">
        <f>IFERROR(VLOOKUP(TEXT(O494,"0"),CONDUCTORES!$A$3:$G$54,7,0),"")</f>
        <v/>
      </c>
      <c r="L494" s="280" t="n"/>
      <c r="M494" s="280" t="n"/>
      <c r="N494" s="333">
        <f>IFERROR(IF(L494*M494=0,"",L494*M494),"")</f>
        <v/>
      </c>
      <c r="O494" s="280" t="n"/>
      <c r="P494" s="332">
        <f>IFERROR(VLOOKUP(TEXT(O494,"0"),CONDUCTORES!$A$3:$G$54,2,0),"")</f>
        <v/>
      </c>
      <c r="Q494" s="332">
        <f>IFERROR(VLOOKUP(TEXT(O494,"0"),CONDUCTORES!$A$3:$H$54,6,0),"")</f>
        <v/>
      </c>
      <c r="R494" s="280" t="n"/>
      <c r="S494" s="280" t="n"/>
      <c r="T494" s="280" t="n"/>
      <c r="U494" s="280" t="n"/>
      <c r="V494" s="280" t="n"/>
      <c r="W494" s="280" t="n"/>
      <c r="X494" s="280" t="n"/>
      <c r="Y494" s="280" t="n"/>
    </row>
    <row r="495" ht="15" customHeight="1" s="195">
      <c r="A495" s="334" t="n"/>
      <c r="B495" s="334" t="n"/>
      <c r="C495" s="334" t="n"/>
      <c r="D495" s="334" t="n"/>
      <c r="E495" s="334" t="n"/>
      <c r="F495" s="334" t="n"/>
      <c r="G495" s="334" t="n"/>
      <c r="H495" s="334" t="n"/>
      <c r="I495" s="332">
        <f>IFERROR(VLOOKUP(TEXT(H495,"0"),IPRESS!$A$3:$B$212,2,0),"")</f>
        <v/>
      </c>
      <c r="J495" s="334" t="n"/>
      <c r="K495" s="332">
        <f>IFERROR(VLOOKUP(TEXT(O495,"0"),CONDUCTORES!$A$3:$G$54,7,0),"")</f>
        <v/>
      </c>
      <c r="L495" s="334" t="n"/>
      <c r="M495" s="334" t="n"/>
      <c r="N495" s="333">
        <f>IFERROR(IF(L495*M495=0,"",L495*M495),"")</f>
        <v/>
      </c>
      <c r="O495" s="334" t="n"/>
      <c r="P495" s="332">
        <f>IFERROR(VLOOKUP(TEXT(O495,"0"),CONDUCTORES!$A$3:$G$54,2,0),"")</f>
        <v/>
      </c>
      <c r="Q495" s="332">
        <f>IFERROR(VLOOKUP(TEXT(O495,"0"),CONDUCTORES!$A$3:$H$54,6,0),"")</f>
        <v/>
      </c>
      <c r="R495" s="334" t="n"/>
      <c r="S495" s="334" t="n"/>
      <c r="T495" s="334" t="n"/>
      <c r="U495" s="334" t="n"/>
      <c r="V495" s="334" t="n"/>
      <c r="W495" s="334" t="n"/>
      <c r="X495" s="334" t="n"/>
      <c r="Y495" s="334" t="n"/>
    </row>
    <row r="496" ht="15" customHeight="1" s="195">
      <c r="A496" s="280" t="n"/>
      <c r="B496" s="280" t="n"/>
      <c r="C496" s="280" t="n"/>
      <c r="D496" s="280" t="n"/>
      <c r="E496" s="280" t="n"/>
      <c r="F496" s="280" t="n"/>
      <c r="G496" s="280" t="n"/>
      <c r="H496" s="280" t="n"/>
      <c r="I496" s="332">
        <f>IFERROR(VLOOKUP(TEXT(H496,"0"),IPRESS!$A$3:$B$212,2,0),"")</f>
        <v/>
      </c>
      <c r="J496" s="280" t="n"/>
      <c r="K496" s="332">
        <f>IFERROR(VLOOKUP(TEXT(O496,"0"),CONDUCTORES!$A$3:$G$54,7,0),"")</f>
        <v/>
      </c>
      <c r="L496" s="280" t="n"/>
      <c r="M496" s="280" t="n"/>
      <c r="N496" s="333">
        <f>IFERROR(IF(L496*M496=0,"",L496*M496),"")</f>
        <v/>
      </c>
      <c r="O496" s="280" t="n"/>
      <c r="P496" s="332">
        <f>IFERROR(VLOOKUP(TEXT(O496,"0"),CONDUCTORES!$A$3:$G$54,2,0),"")</f>
        <v/>
      </c>
      <c r="Q496" s="332">
        <f>IFERROR(VLOOKUP(TEXT(O496,"0"),CONDUCTORES!$A$3:$H$54,6,0),"")</f>
        <v/>
      </c>
      <c r="R496" s="280" t="n"/>
      <c r="S496" s="280" t="n"/>
      <c r="T496" s="280" t="n"/>
      <c r="U496" s="280" t="n"/>
      <c r="V496" s="280" t="n"/>
      <c r="W496" s="280" t="n"/>
      <c r="X496" s="280" t="n"/>
      <c r="Y496" s="280" t="n"/>
    </row>
    <row r="497" ht="15" customHeight="1" s="195">
      <c r="A497" s="334" t="n"/>
      <c r="B497" s="334" t="n"/>
      <c r="C497" s="334" t="n"/>
      <c r="D497" s="334" t="n"/>
      <c r="E497" s="334" t="n"/>
      <c r="F497" s="334" t="n"/>
      <c r="G497" s="334" t="n"/>
      <c r="H497" s="334" t="n"/>
      <c r="I497" s="332">
        <f>IFERROR(VLOOKUP(TEXT(H497,"0"),IPRESS!$A$3:$B$212,2,0),"")</f>
        <v/>
      </c>
      <c r="J497" s="334" t="n"/>
      <c r="K497" s="332">
        <f>IFERROR(VLOOKUP(TEXT(O497,"0"),CONDUCTORES!$A$3:$G$54,7,0),"")</f>
        <v/>
      </c>
      <c r="L497" s="334" t="n"/>
      <c r="M497" s="334" t="n"/>
      <c r="N497" s="333">
        <f>IFERROR(IF(L497*M497=0,"",L497*M497),"")</f>
        <v/>
      </c>
      <c r="O497" s="334" t="n"/>
      <c r="P497" s="332">
        <f>IFERROR(VLOOKUP(TEXT(O497,"0"),CONDUCTORES!$A$3:$G$54,2,0),"")</f>
        <v/>
      </c>
      <c r="Q497" s="332">
        <f>IFERROR(VLOOKUP(TEXT(O497,"0"),CONDUCTORES!$A$3:$H$54,6,0),"")</f>
        <v/>
      </c>
      <c r="R497" s="334" t="n"/>
      <c r="S497" s="334" t="n"/>
      <c r="T497" s="334" t="n"/>
      <c r="U497" s="334" t="n"/>
      <c r="V497" s="334" t="n"/>
      <c r="W497" s="334" t="n"/>
      <c r="X497" s="334" t="n"/>
      <c r="Y497" s="334" t="n"/>
    </row>
    <row r="498" ht="15" customHeight="1" s="195">
      <c r="A498" s="280" t="n"/>
      <c r="B498" s="280" t="n"/>
      <c r="C498" s="280" t="n"/>
      <c r="D498" s="280" t="n"/>
      <c r="E498" s="280" t="n"/>
      <c r="F498" s="280" t="n"/>
      <c r="G498" s="280" t="n"/>
      <c r="H498" s="280" t="n"/>
      <c r="I498" s="332">
        <f>IFERROR(VLOOKUP(TEXT(H498,"0"),IPRESS!$A$3:$B$212,2,0),"")</f>
        <v/>
      </c>
      <c r="J498" s="280" t="n"/>
      <c r="K498" s="332">
        <f>IFERROR(VLOOKUP(TEXT(O498,"0"),CONDUCTORES!$A$3:$G$54,7,0),"")</f>
        <v/>
      </c>
      <c r="L498" s="280" t="n"/>
      <c r="M498" s="280" t="n"/>
      <c r="N498" s="333">
        <f>IFERROR(IF(L498*M498=0,"",L498*M498),"")</f>
        <v/>
      </c>
      <c r="O498" s="280" t="n"/>
      <c r="P498" s="332">
        <f>IFERROR(VLOOKUP(TEXT(O498,"0"),CONDUCTORES!$A$3:$G$54,2,0),"")</f>
        <v/>
      </c>
      <c r="Q498" s="332">
        <f>IFERROR(VLOOKUP(TEXT(O498,"0"),CONDUCTORES!$A$3:$H$54,6,0),"")</f>
        <v/>
      </c>
      <c r="R498" s="280" t="n"/>
      <c r="S498" s="280" t="n"/>
      <c r="T498" s="280" t="n"/>
      <c r="U498" s="280" t="n"/>
      <c r="V498" s="280" t="n"/>
      <c r="W498" s="280" t="n"/>
      <c r="X498" s="280" t="n"/>
      <c r="Y498" s="280" t="n"/>
    </row>
    <row r="499" ht="15" customHeight="1" s="195">
      <c r="A499" s="334" t="n"/>
      <c r="B499" s="334" t="n"/>
      <c r="C499" s="334" t="n"/>
      <c r="D499" s="334" t="n"/>
      <c r="E499" s="334" t="n"/>
      <c r="F499" s="334" t="n"/>
      <c r="G499" s="334" t="n"/>
      <c r="H499" s="334" t="n"/>
      <c r="I499" s="332">
        <f>IFERROR(VLOOKUP(TEXT(H499,"0"),IPRESS!$A$3:$B$212,2,0),"")</f>
        <v/>
      </c>
      <c r="J499" s="334" t="n"/>
      <c r="K499" s="332">
        <f>IFERROR(VLOOKUP(TEXT(O499,"0"),CONDUCTORES!$A$3:$G$54,7,0),"")</f>
        <v/>
      </c>
      <c r="L499" s="334" t="n"/>
      <c r="M499" s="334" t="n"/>
      <c r="N499" s="333">
        <f>IFERROR(IF(L499*M499=0,"",L499*M499),"")</f>
        <v/>
      </c>
      <c r="O499" s="334" t="n"/>
      <c r="P499" s="332">
        <f>IFERROR(VLOOKUP(TEXT(O499,"0"),CONDUCTORES!$A$3:$G$54,2,0),"")</f>
        <v/>
      </c>
      <c r="Q499" s="332">
        <f>IFERROR(VLOOKUP(TEXT(O499,"0"),CONDUCTORES!$A$3:$H$54,6,0),"")</f>
        <v/>
      </c>
      <c r="R499" s="334" t="n"/>
      <c r="S499" s="334" t="n"/>
      <c r="T499" s="334" t="n"/>
      <c r="U499" s="334" t="n"/>
      <c r="V499" s="334" t="n"/>
      <c r="W499" s="334" t="n"/>
      <c r="X499" s="334" t="n"/>
      <c r="Y499" s="334" t="n"/>
    </row>
    <row r="500" ht="15" customHeight="1" s="195">
      <c r="A500" s="280" t="n"/>
      <c r="B500" s="280" t="n"/>
      <c r="C500" s="280" t="n"/>
      <c r="D500" s="280" t="n"/>
      <c r="E500" s="280" t="n"/>
      <c r="F500" s="280" t="n"/>
      <c r="G500" s="280" t="n"/>
      <c r="H500" s="280" t="n"/>
      <c r="I500" s="332">
        <f>IFERROR(VLOOKUP(TEXT(H500,"0"),IPRESS!$A$3:$B$212,2,0),"")</f>
        <v/>
      </c>
      <c r="J500" s="280" t="n"/>
      <c r="K500" s="332">
        <f>IFERROR(VLOOKUP(TEXT(O500,"0"),CONDUCTORES!$A$3:$G$54,7,0),"")</f>
        <v/>
      </c>
      <c r="L500" s="280" t="n"/>
      <c r="M500" s="280" t="n"/>
      <c r="N500" s="333">
        <f>IFERROR(IF(L500*M500=0,"",L500*M500),"")</f>
        <v/>
      </c>
      <c r="O500" s="280" t="n"/>
      <c r="P500" s="332">
        <f>IFERROR(VLOOKUP(TEXT(O500,"0"),CONDUCTORES!$A$3:$G$54,2,0),"")</f>
        <v/>
      </c>
      <c r="Q500" s="332">
        <f>IFERROR(VLOOKUP(TEXT(O500,"0"),CONDUCTORES!$A$3:$H$54,6,0),"")</f>
        <v/>
      </c>
      <c r="R500" s="280" t="n"/>
      <c r="S500" s="280" t="n"/>
      <c r="T500" s="280" t="n"/>
      <c r="U500" s="280" t="n"/>
      <c r="V500" s="280" t="n"/>
      <c r="W500" s="280" t="n"/>
      <c r="X500" s="280" t="n"/>
      <c r="Y500" s="280" t="n"/>
    </row>
    <row r="501" ht="15" customHeight="1" s="195">
      <c r="A501" s="334" t="n"/>
      <c r="B501" s="334" t="n"/>
      <c r="C501" s="334" t="n"/>
      <c r="D501" s="334" t="n"/>
      <c r="E501" s="334" t="n"/>
      <c r="F501" s="334" t="n"/>
      <c r="G501" s="334" t="n"/>
      <c r="H501" s="334" t="n"/>
      <c r="I501" s="332">
        <f>IFERROR(VLOOKUP(TEXT(H501,"0"),IPRESS!$A$3:$B$212,2,0),"")</f>
        <v/>
      </c>
      <c r="J501" s="334" t="n"/>
      <c r="K501" s="332">
        <f>IFERROR(VLOOKUP(TEXT(O501,"0"),CONDUCTORES!$A$3:$G$54,7,0),"")</f>
        <v/>
      </c>
      <c r="L501" s="334" t="n"/>
      <c r="M501" s="334" t="n"/>
      <c r="N501" s="333">
        <f>IFERROR(IF(L501*M501=0,"",L501*M501),"")</f>
        <v/>
      </c>
      <c r="O501" s="334" t="n"/>
      <c r="P501" s="332">
        <f>IFERROR(VLOOKUP(TEXT(O501,"0"),CONDUCTORES!$A$3:$G$54,2,0),"")</f>
        <v/>
      </c>
      <c r="Q501" s="332">
        <f>IFERROR(VLOOKUP(TEXT(O501,"0"),CONDUCTORES!$A$3:$H$54,6,0),"")</f>
        <v/>
      </c>
      <c r="R501" s="334" t="n"/>
      <c r="S501" s="334" t="n"/>
      <c r="T501" s="334" t="n"/>
      <c r="U501" s="334" t="n"/>
      <c r="V501" s="334" t="n"/>
      <c r="W501" s="334" t="n"/>
      <c r="X501" s="334" t="n"/>
      <c r="Y501" s="334" t="n"/>
    </row>
    <row r="502" ht="15" customHeight="1" s="195">
      <c r="A502" s="280" t="n"/>
      <c r="B502" s="280" t="n"/>
      <c r="C502" s="280" t="n"/>
      <c r="D502" s="280" t="n"/>
      <c r="E502" s="280" t="n"/>
      <c r="F502" s="280" t="n"/>
      <c r="G502" s="280" t="n"/>
      <c r="H502" s="280" t="n"/>
      <c r="I502" s="332">
        <f>IFERROR(VLOOKUP(TEXT(H502,"0"),IPRESS!$A$3:$B$212,2,0),"")</f>
        <v/>
      </c>
      <c r="J502" s="280" t="n"/>
      <c r="K502" s="332">
        <f>IFERROR(VLOOKUP(TEXT(O502,"0"),CONDUCTORES!$A$3:$G$54,7,0),"")</f>
        <v/>
      </c>
      <c r="L502" s="280" t="n"/>
      <c r="M502" s="280" t="n"/>
      <c r="N502" s="333">
        <f>IFERROR(IF(L502*M502=0,"",L502*M502),"")</f>
        <v/>
      </c>
      <c r="O502" s="280" t="n"/>
      <c r="P502" s="332">
        <f>IFERROR(VLOOKUP(TEXT(O502,"0"),CONDUCTORES!$A$3:$G$54,2,0),"")</f>
        <v/>
      </c>
      <c r="Q502" s="332">
        <f>IFERROR(VLOOKUP(TEXT(O502,"0"),CONDUCTORES!$A$3:$H$54,6,0),"")</f>
        <v/>
      </c>
      <c r="R502" s="280" t="n"/>
      <c r="S502" s="280" t="n"/>
      <c r="T502" s="280" t="n"/>
      <c r="U502" s="280" t="n"/>
      <c r="V502" s="280" t="n"/>
      <c r="W502" s="280" t="n"/>
      <c r="X502" s="280" t="n"/>
      <c r="Y502" s="280" t="n"/>
    </row>
    <row r="503" ht="15" customHeight="1" s="195">
      <c r="A503" s="334" t="n"/>
      <c r="B503" s="334" t="n"/>
      <c r="C503" s="334" t="n"/>
      <c r="D503" s="334" t="n"/>
      <c r="E503" s="334" t="n"/>
      <c r="F503" s="334" t="n"/>
      <c r="G503" s="334" t="n"/>
      <c r="H503" s="334" t="n"/>
      <c r="I503" s="332">
        <f>IFERROR(VLOOKUP(TEXT(H503,"0"),IPRESS!$A$3:$B$212,2,0),"")</f>
        <v/>
      </c>
      <c r="J503" s="334" t="n"/>
      <c r="K503" s="332">
        <f>IFERROR(VLOOKUP(TEXT(O503,"0"),CONDUCTORES!$A$3:$G$54,7,0),"")</f>
        <v/>
      </c>
      <c r="L503" s="334" t="n"/>
      <c r="M503" s="334" t="n"/>
      <c r="N503" s="333">
        <f>IFERROR(IF(L503*M503=0,"",L503*M503),"")</f>
        <v/>
      </c>
      <c r="O503" s="334" t="n"/>
      <c r="P503" s="332">
        <f>IFERROR(VLOOKUP(TEXT(O503,"0"),CONDUCTORES!$A$3:$G$54,2,0),"")</f>
        <v/>
      </c>
      <c r="Q503" s="332">
        <f>IFERROR(VLOOKUP(TEXT(O503,"0"),CONDUCTORES!$A$3:$H$54,6,0),"")</f>
        <v/>
      </c>
      <c r="R503" s="334" t="n"/>
      <c r="S503" s="334" t="n"/>
      <c r="T503" s="334" t="n"/>
      <c r="U503" s="334" t="n"/>
      <c r="V503" s="334" t="n"/>
      <c r="W503" s="334" t="n"/>
      <c r="X503" s="334" t="n"/>
      <c r="Y503" s="334" t="n"/>
    </row>
    <row r="504" ht="15" customHeight="1" s="195">
      <c r="A504" s="280" t="n"/>
      <c r="B504" s="280" t="n"/>
      <c r="C504" s="280" t="n"/>
      <c r="D504" s="280" t="n"/>
      <c r="E504" s="280" t="n"/>
      <c r="F504" s="280" t="n"/>
      <c r="G504" s="280" t="n"/>
      <c r="H504" s="280" t="n"/>
      <c r="I504" s="332">
        <f>IFERROR(VLOOKUP(TEXT(H504,"0"),IPRESS!$A$3:$B$212,2,0),"")</f>
        <v/>
      </c>
      <c r="J504" s="280" t="n"/>
      <c r="K504" s="332">
        <f>IFERROR(VLOOKUP(TEXT(O504,"0"),CONDUCTORES!$A$3:$G$54,7,0),"")</f>
        <v/>
      </c>
      <c r="L504" s="280" t="n"/>
      <c r="M504" s="280" t="n"/>
      <c r="N504" s="333">
        <f>IFERROR(IF(L504*M504=0,"",L504*M504),"")</f>
        <v/>
      </c>
      <c r="O504" s="280" t="n"/>
      <c r="P504" s="332">
        <f>IFERROR(VLOOKUP(TEXT(O504,"0"),CONDUCTORES!$A$3:$G$54,2,0),"")</f>
        <v/>
      </c>
      <c r="Q504" s="332">
        <f>IFERROR(VLOOKUP(TEXT(O504,"0"),CONDUCTORES!$A$3:$H$54,6,0),"")</f>
        <v/>
      </c>
      <c r="R504" s="280" t="n"/>
      <c r="S504" s="280" t="n"/>
      <c r="T504" s="280" t="n"/>
      <c r="U504" s="280" t="n"/>
      <c r="V504" s="280" t="n"/>
      <c r="W504" s="280" t="n"/>
      <c r="X504" s="280" t="n"/>
      <c r="Y504" s="280" t="n"/>
    </row>
    <row r="505" ht="15" customHeight="1" s="195">
      <c r="A505" s="334" t="n"/>
      <c r="B505" s="334" t="n"/>
      <c r="C505" s="334" t="n"/>
      <c r="D505" s="334" t="n"/>
      <c r="E505" s="334" t="n"/>
      <c r="F505" s="334" t="n"/>
      <c r="G505" s="334" t="n"/>
      <c r="H505" s="334" t="n"/>
      <c r="I505" s="332">
        <f>IFERROR(VLOOKUP(TEXT(H505,"0"),IPRESS!$A$3:$B$212,2,0),"")</f>
        <v/>
      </c>
      <c r="J505" s="334" t="n"/>
      <c r="K505" s="332">
        <f>IFERROR(VLOOKUP(TEXT(O505,"0"),CONDUCTORES!$A$3:$G$54,7,0),"")</f>
        <v/>
      </c>
      <c r="L505" s="334" t="n"/>
      <c r="M505" s="334" t="n"/>
      <c r="N505" s="333">
        <f>IFERROR(IF(L505*M505=0,"",L505*M505),"")</f>
        <v/>
      </c>
      <c r="O505" s="334" t="n"/>
      <c r="P505" s="332">
        <f>IFERROR(VLOOKUP(TEXT(O505,"0"),CONDUCTORES!$A$3:$G$54,2,0),"")</f>
        <v/>
      </c>
      <c r="Q505" s="332">
        <f>IFERROR(VLOOKUP(TEXT(O505,"0"),CONDUCTORES!$A$3:$H$54,6,0),"")</f>
        <v/>
      </c>
      <c r="R505" s="334" t="n"/>
      <c r="S505" s="334" t="n"/>
      <c r="T505" s="334" t="n"/>
      <c r="U505" s="334" t="n"/>
      <c r="V505" s="334" t="n"/>
      <c r="W505" s="334" t="n"/>
      <c r="X505" s="334" t="n"/>
      <c r="Y505" s="334" t="n"/>
    </row>
    <row r="506" ht="21.75" customHeight="1" s="195">
      <c r="A506" s="346" t="inlineStr">
        <is>
          <t>TOTALES DEL MES</t>
        </is>
      </c>
      <c r="M506" s="320">
        <f>SUM(M6:M505)</f>
        <v/>
      </c>
      <c r="N506" s="320">
        <f>SUM(N6:N505)</f>
        <v/>
      </c>
    </row>
    <row r="507" ht="15.75" customHeight="1" s="195"/>
    <row r="508" ht="15.75" customHeight="1" s="195"/>
    <row r="509" ht="15.75" customHeight="1" s="195"/>
    <row r="510" ht="15.75" customHeight="1" s="195"/>
    <row r="511" ht="15.75" customHeight="1" s="195"/>
    <row r="512" ht="15.75" customHeight="1" s="195"/>
    <row r="513" ht="15.75" customHeight="1" s="195"/>
    <row r="514" ht="15.75" customHeight="1" s="195"/>
    <row r="515" ht="15.75" customHeight="1" s="195"/>
    <row r="516" ht="15.75" customHeight="1" s="195"/>
    <row r="517" ht="15.75" customHeight="1" s="195"/>
    <row r="518" ht="15.75" customHeight="1" s="195"/>
    <row r="519" ht="15.75" customHeight="1" s="195"/>
    <row r="520" ht="15.75" customHeight="1" s="195"/>
    <row r="521" ht="15.75" customHeight="1" s="195"/>
    <row r="522" ht="15.75" customHeight="1" s="195"/>
    <row r="523" ht="15.75" customHeight="1" s="195"/>
    <row r="524" ht="15.75" customHeight="1" s="195"/>
    <row r="525" ht="15.75" customHeight="1" s="195"/>
    <row r="526" ht="15.75" customHeight="1" s="195"/>
    <row r="527" ht="15.75" customHeight="1" s="195"/>
    <row r="528" ht="15.75" customHeight="1" s="195"/>
    <row r="529" ht="15.75" customHeight="1" s="195"/>
    <row r="530" ht="15.75" customHeight="1" s="195"/>
    <row r="531" ht="15.75" customHeight="1" s="195"/>
    <row r="532" ht="15.75" customHeight="1" s="195"/>
    <row r="533" ht="15.75" customHeight="1" s="195"/>
    <row r="534" ht="15.75" customHeight="1" s="195"/>
    <row r="535" ht="15.75" customHeight="1" s="195"/>
    <row r="536" ht="15.75" customHeight="1" s="195"/>
    <row r="537" ht="15.75" customHeight="1" s="195"/>
    <row r="538" ht="15.75" customHeight="1" s="195"/>
    <row r="539" ht="15.75" customHeight="1" s="195"/>
    <row r="540" ht="15.75" customHeight="1" s="195"/>
    <row r="541" ht="15.75" customHeight="1" s="195"/>
    <row r="542" ht="15.75" customHeight="1" s="195"/>
    <row r="543" ht="15.75" customHeight="1" s="195"/>
    <row r="544" ht="15.75" customHeight="1" s="195"/>
    <row r="545" ht="15.75" customHeight="1" s="195"/>
    <row r="546" ht="15.75" customHeight="1" s="195"/>
    <row r="547" ht="15.75" customHeight="1" s="195"/>
    <row r="548" ht="15.75" customHeight="1" s="195"/>
    <row r="549" ht="15.75" customHeight="1" s="195"/>
    <row r="550" ht="15.75" customHeight="1" s="195"/>
    <row r="551" ht="15.75" customHeight="1" s="195"/>
    <row r="552" ht="15.75" customHeight="1" s="195"/>
    <row r="553" ht="15.75" customHeight="1" s="195"/>
    <row r="554" ht="15.75" customHeight="1" s="195"/>
    <row r="555" ht="15.75" customHeight="1" s="195"/>
    <row r="556" ht="15.75" customHeight="1" s="195"/>
    <row r="557" ht="15.75" customHeight="1" s="195"/>
    <row r="558" ht="15.75" customHeight="1" s="195"/>
    <row r="559" ht="15.75" customHeight="1" s="195"/>
    <row r="560" ht="15.75" customHeight="1" s="195"/>
    <row r="561" ht="15.75" customHeight="1" s="195"/>
    <row r="562" ht="15.75" customHeight="1" s="195"/>
    <row r="563" ht="15.75" customHeight="1" s="195"/>
    <row r="564" ht="15.75" customHeight="1" s="195"/>
    <row r="565" ht="15.75" customHeight="1" s="195"/>
    <row r="566" ht="15.75" customHeight="1" s="195"/>
    <row r="567" ht="15.75" customHeight="1" s="195"/>
    <row r="568" ht="15.75" customHeight="1" s="195"/>
    <row r="569" ht="15.75" customHeight="1" s="195"/>
    <row r="570" ht="15.75" customHeight="1" s="195"/>
    <row r="571" ht="15.75" customHeight="1" s="195"/>
    <row r="572" ht="15.75" customHeight="1" s="195"/>
    <row r="573" ht="15.75" customHeight="1" s="195"/>
    <row r="574" ht="15.75" customHeight="1" s="195"/>
    <row r="575" ht="15.75" customHeight="1" s="195"/>
    <row r="576" ht="15.75" customHeight="1" s="195"/>
    <row r="577" ht="15.75" customHeight="1" s="195"/>
    <row r="578" ht="15.75" customHeight="1" s="195"/>
    <row r="579" ht="15.75" customHeight="1" s="195"/>
    <row r="580" ht="15.75" customHeight="1" s="195"/>
    <row r="581" ht="15.75" customHeight="1" s="195"/>
    <row r="582" ht="15.75" customHeight="1" s="195"/>
    <row r="583" ht="15.75" customHeight="1" s="195"/>
    <row r="584" ht="15.75" customHeight="1" s="195"/>
    <row r="585" ht="15.75" customHeight="1" s="195"/>
    <row r="586" ht="15.75" customHeight="1" s="195"/>
    <row r="587" ht="15.75" customHeight="1" s="195"/>
    <row r="588" ht="15.75" customHeight="1" s="195"/>
    <row r="589" ht="15.75" customHeight="1" s="195"/>
    <row r="590" ht="15.75" customHeight="1" s="195"/>
    <row r="591" ht="15.75" customHeight="1" s="195"/>
    <row r="592" ht="15.75" customHeight="1" s="195"/>
    <row r="593" ht="15.75" customHeight="1" s="195"/>
    <row r="594" ht="15.75" customHeight="1" s="195"/>
    <row r="595" ht="15.75" customHeight="1" s="195"/>
    <row r="596" ht="15.75" customHeight="1" s="195"/>
    <row r="597" ht="15.75" customHeight="1" s="195"/>
    <row r="598" ht="15.75" customHeight="1" s="195"/>
    <row r="599" ht="15.75" customHeight="1" s="195"/>
    <row r="600" ht="15.75" customHeight="1" s="195"/>
    <row r="601" ht="15.75" customHeight="1" s="195"/>
    <row r="602" ht="15.75" customHeight="1" s="195"/>
    <row r="603" ht="15.75" customHeight="1" s="195"/>
    <row r="604" ht="15.75" customHeight="1" s="195"/>
    <row r="605" ht="15.75" customHeight="1" s="195"/>
    <row r="606" ht="15.75" customHeight="1" s="195"/>
    <row r="607" ht="15.75" customHeight="1" s="195"/>
    <row r="608" ht="15.75" customHeight="1" s="195"/>
    <row r="609" ht="15.75" customHeight="1" s="195"/>
    <row r="610" ht="15.75" customHeight="1" s="195"/>
    <row r="611" ht="15.75" customHeight="1" s="195"/>
    <row r="612" ht="15.75" customHeight="1" s="195"/>
    <row r="613" ht="15.75" customHeight="1" s="195"/>
    <row r="614" ht="15.75" customHeight="1" s="195"/>
    <row r="615" ht="15.75" customHeight="1" s="195"/>
    <row r="616" ht="15.75" customHeight="1" s="195"/>
    <row r="617" ht="15.75" customHeight="1" s="195"/>
    <row r="618" ht="15.75" customHeight="1" s="195"/>
    <row r="619" ht="15.75" customHeight="1" s="195"/>
    <row r="620" ht="15.75" customHeight="1" s="195"/>
    <row r="621" ht="15.75" customHeight="1" s="195"/>
    <row r="622" ht="15.75" customHeight="1" s="195"/>
    <row r="623" ht="15.75" customHeight="1" s="195"/>
    <row r="624" ht="15.75" customHeight="1" s="195"/>
    <row r="625" ht="15.75" customHeight="1" s="195"/>
    <row r="626" ht="15.75" customHeight="1" s="195"/>
    <row r="627" ht="15.75" customHeight="1" s="195"/>
    <row r="628" ht="15.75" customHeight="1" s="195"/>
    <row r="629" ht="15.75" customHeight="1" s="195"/>
    <row r="630" ht="15.75" customHeight="1" s="195"/>
    <row r="631" ht="15.75" customHeight="1" s="195"/>
    <row r="632" ht="15.75" customHeight="1" s="195"/>
    <row r="633" ht="15.75" customHeight="1" s="195"/>
    <row r="634" ht="15.75" customHeight="1" s="195"/>
    <row r="635" ht="15.75" customHeight="1" s="195"/>
    <row r="636" ht="15.75" customHeight="1" s="195"/>
    <row r="637" ht="15.75" customHeight="1" s="195"/>
    <row r="638" ht="15.75" customHeight="1" s="195"/>
    <row r="639" ht="15.75" customHeight="1" s="195"/>
    <row r="640" ht="15.75" customHeight="1" s="195"/>
    <row r="641" ht="15.75" customHeight="1" s="195"/>
    <row r="642" ht="15.75" customHeight="1" s="195"/>
    <row r="643" ht="15.75" customHeight="1" s="195"/>
    <row r="644" ht="15.75" customHeight="1" s="195"/>
    <row r="645" ht="15.75" customHeight="1" s="195"/>
    <row r="646" ht="15.75" customHeight="1" s="195"/>
    <row r="647" ht="15.75" customHeight="1" s="195"/>
    <row r="648" ht="15.75" customHeight="1" s="195"/>
    <row r="649" ht="15.75" customHeight="1" s="195"/>
    <row r="650" ht="15.75" customHeight="1" s="195"/>
    <row r="651" ht="15.75" customHeight="1" s="195"/>
    <row r="652" ht="15.75" customHeight="1" s="195"/>
    <row r="653" ht="15.75" customHeight="1" s="195"/>
    <row r="654" ht="15.75" customHeight="1" s="195"/>
    <row r="655" ht="15.75" customHeight="1" s="195"/>
    <row r="656" ht="15.75" customHeight="1" s="195"/>
    <row r="657" ht="15.75" customHeight="1" s="195"/>
    <row r="658" ht="15.75" customHeight="1" s="195"/>
    <row r="659" ht="15.75" customHeight="1" s="195"/>
    <row r="660" ht="15.75" customHeight="1" s="195"/>
    <row r="661" ht="15.75" customHeight="1" s="195"/>
    <row r="662" ht="15.75" customHeight="1" s="195"/>
    <row r="663" ht="15.75" customHeight="1" s="195"/>
    <row r="664" ht="15.75" customHeight="1" s="195"/>
    <row r="665" ht="15.75" customHeight="1" s="195"/>
    <row r="666" ht="15.75" customHeight="1" s="195"/>
    <row r="667" ht="15.75" customHeight="1" s="195"/>
    <row r="668" ht="15.75" customHeight="1" s="195"/>
    <row r="669" ht="15.75" customHeight="1" s="195"/>
    <row r="670" ht="15.75" customHeight="1" s="195"/>
    <row r="671" ht="15.75" customHeight="1" s="195"/>
    <row r="672" ht="15.75" customHeight="1" s="195"/>
    <row r="673" ht="15.75" customHeight="1" s="195"/>
    <row r="674" ht="15.75" customHeight="1" s="195"/>
    <row r="675" ht="15.75" customHeight="1" s="195"/>
    <row r="676" ht="15.75" customHeight="1" s="195"/>
    <row r="677" ht="15.75" customHeight="1" s="195"/>
    <row r="678" ht="15.75" customHeight="1" s="195"/>
    <row r="679" ht="15.75" customHeight="1" s="195"/>
    <row r="680" ht="15.75" customHeight="1" s="195"/>
    <row r="681" ht="15.75" customHeight="1" s="195"/>
    <row r="682" ht="15.75" customHeight="1" s="195"/>
    <row r="683" ht="15.75" customHeight="1" s="195"/>
    <row r="684" ht="15.75" customHeight="1" s="195"/>
    <row r="685" ht="15.75" customHeight="1" s="195"/>
    <row r="686" ht="15.75" customHeight="1" s="195"/>
    <row r="687" ht="15.75" customHeight="1" s="195"/>
    <row r="688" ht="15.75" customHeight="1" s="195"/>
    <row r="689" ht="15.75" customHeight="1" s="195"/>
    <row r="690" ht="15.75" customHeight="1" s="195"/>
    <row r="691" ht="15.75" customHeight="1" s="195"/>
    <row r="692" ht="15.75" customHeight="1" s="195"/>
    <row r="693" ht="15.75" customHeight="1" s="195"/>
    <row r="694" ht="15.75" customHeight="1" s="195"/>
    <row r="695" ht="15.75" customHeight="1" s="195"/>
    <row r="696" ht="15.75" customHeight="1" s="195"/>
    <row r="697" ht="15.75" customHeight="1" s="195"/>
    <row r="698" ht="15.75" customHeight="1" s="195"/>
    <row r="699" ht="15.75" customHeight="1" s="195"/>
    <row r="700" ht="15.75" customHeight="1" s="195"/>
    <row r="701" ht="15.75" customHeight="1" s="195"/>
    <row r="702" ht="15.75" customHeight="1" s="195"/>
    <row r="703" ht="15.75" customHeight="1" s="195"/>
    <row r="704" ht="15.75" customHeight="1" s="195"/>
    <row r="705" ht="15.75" customHeight="1" s="195"/>
    <row r="706" ht="15.75" customHeight="1" s="195"/>
    <row r="707" ht="15.75" customHeight="1" s="195"/>
    <row r="708" ht="15.75" customHeight="1" s="195"/>
    <row r="709" ht="15.75" customHeight="1" s="195"/>
    <row r="710" ht="15.75" customHeight="1" s="195"/>
    <row r="711" ht="15.75" customHeight="1" s="195"/>
    <row r="712" ht="15.75" customHeight="1" s="195"/>
    <row r="713" ht="15.75" customHeight="1" s="195"/>
    <row r="714" ht="15.75" customHeight="1" s="195"/>
    <row r="715" ht="15.75" customHeight="1" s="195"/>
    <row r="716" ht="15.75" customHeight="1" s="195"/>
    <row r="717" ht="15.75" customHeight="1" s="195"/>
    <row r="718" ht="15.75" customHeight="1" s="195"/>
    <row r="719" ht="15.75" customHeight="1" s="195"/>
    <row r="720" ht="15.75" customHeight="1" s="195"/>
    <row r="721" ht="15.75" customHeight="1" s="195"/>
    <row r="722" ht="15.75" customHeight="1" s="195"/>
    <row r="723" ht="15.75" customHeight="1" s="195"/>
    <row r="724" ht="15.75" customHeight="1" s="195"/>
    <row r="725" ht="15.75" customHeight="1" s="195"/>
    <row r="726" ht="15.75" customHeight="1" s="195"/>
    <row r="727" ht="15.75" customHeight="1" s="195"/>
    <row r="728" ht="15.75" customHeight="1" s="195"/>
    <row r="729" ht="15.75" customHeight="1" s="195"/>
    <row r="730" ht="15.75" customHeight="1" s="195"/>
    <row r="731" ht="15.75" customHeight="1" s="195"/>
    <row r="732" ht="15.75" customHeight="1" s="195"/>
    <row r="733" ht="15.75" customHeight="1" s="195"/>
    <row r="734" ht="15.75" customHeight="1" s="195"/>
    <row r="735" ht="15.75" customHeight="1" s="195"/>
    <row r="736" ht="15.75" customHeight="1" s="195"/>
    <row r="737" ht="15.75" customHeight="1" s="195"/>
    <row r="738" ht="15.75" customHeight="1" s="195"/>
    <row r="739" ht="15.75" customHeight="1" s="195"/>
    <row r="740" ht="15.75" customHeight="1" s="195"/>
    <row r="741" ht="15.75" customHeight="1" s="195"/>
    <row r="742" ht="15.75" customHeight="1" s="195"/>
    <row r="743" ht="15.75" customHeight="1" s="195"/>
    <row r="744" ht="15.75" customHeight="1" s="195"/>
    <row r="745" ht="15.75" customHeight="1" s="195"/>
    <row r="746" ht="15.75" customHeight="1" s="195"/>
    <row r="747" ht="15.75" customHeight="1" s="195"/>
    <row r="748" ht="15.75" customHeight="1" s="195"/>
    <row r="749" ht="15.75" customHeight="1" s="195"/>
    <row r="750" ht="15.75" customHeight="1" s="195"/>
    <row r="751" ht="15.75" customHeight="1" s="195"/>
    <row r="752" ht="15.75" customHeight="1" s="195"/>
    <row r="753" ht="15.75" customHeight="1" s="195"/>
    <row r="754" ht="15.75" customHeight="1" s="195"/>
    <row r="755" ht="15.75" customHeight="1" s="195"/>
    <row r="756" ht="15.75" customHeight="1" s="195"/>
    <row r="757" ht="15.75" customHeight="1" s="195"/>
    <row r="758" ht="15.75" customHeight="1" s="195"/>
    <row r="759" ht="15.75" customHeight="1" s="195"/>
    <row r="760" ht="15.75" customHeight="1" s="195"/>
    <row r="761" ht="15.75" customHeight="1" s="195"/>
    <row r="762" ht="15.75" customHeight="1" s="195"/>
    <row r="763" ht="15.75" customHeight="1" s="195"/>
    <row r="764" ht="15.75" customHeight="1" s="195"/>
    <row r="765" ht="15.75" customHeight="1" s="195"/>
    <row r="766" ht="15.75" customHeight="1" s="195"/>
    <row r="767" ht="15.75" customHeight="1" s="195"/>
    <row r="768" ht="15.75" customHeight="1" s="195"/>
    <row r="769" ht="15.75" customHeight="1" s="195"/>
    <row r="770" ht="15.75" customHeight="1" s="195"/>
    <row r="771" ht="15.75" customHeight="1" s="195"/>
    <row r="772" ht="15.75" customHeight="1" s="195"/>
    <row r="773" ht="15.75" customHeight="1" s="195"/>
    <row r="774" ht="15.75" customHeight="1" s="195"/>
    <row r="775" ht="15.75" customHeight="1" s="195"/>
    <row r="776" ht="15.75" customHeight="1" s="195"/>
    <row r="777" ht="15.75" customHeight="1" s="195"/>
    <row r="778" ht="15.75" customHeight="1" s="195"/>
    <row r="779" ht="15.75" customHeight="1" s="195"/>
    <row r="780" ht="15.75" customHeight="1" s="195"/>
    <row r="781" ht="15.75" customHeight="1" s="195"/>
    <row r="782" ht="15.75" customHeight="1" s="195"/>
    <row r="783" ht="15.75" customHeight="1" s="195"/>
    <row r="784" ht="15.75" customHeight="1" s="195"/>
    <row r="785" ht="15.75" customHeight="1" s="195"/>
    <row r="786" ht="15.75" customHeight="1" s="195"/>
    <row r="787" ht="15.75" customHeight="1" s="195"/>
    <row r="788" ht="15.75" customHeight="1" s="195"/>
    <row r="789" ht="15.75" customHeight="1" s="195"/>
    <row r="790" ht="15.75" customHeight="1" s="195"/>
    <row r="791" ht="15.75" customHeight="1" s="195"/>
    <row r="792" ht="15.75" customHeight="1" s="195"/>
    <row r="793" ht="15.75" customHeight="1" s="195"/>
    <row r="794" ht="15.75" customHeight="1" s="195"/>
    <row r="795" ht="15.75" customHeight="1" s="195"/>
    <row r="796" ht="15.75" customHeight="1" s="195"/>
    <row r="797" ht="15.75" customHeight="1" s="195"/>
    <row r="798" ht="15.75" customHeight="1" s="195"/>
    <row r="799" ht="15.75" customHeight="1" s="195"/>
    <row r="800" ht="15.75" customHeight="1" s="195"/>
    <row r="801" ht="15.75" customHeight="1" s="195"/>
    <row r="802" ht="15.75" customHeight="1" s="195"/>
    <row r="803" ht="15.75" customHeight="1" s="195"/>
    <row r="804" ht="15.75" customHeight="1" s="195"/>
    <row r="805" ht="15.75" customHeight="1" s="195"/>
    <row r="806" ht="15.75" customHeight="1" s="195"/>
    <row r="807" ht="15.75" customHeight="1" s="195"/>
    <row r="808" ht="15.75" customHeight="1" s="195"/>
    <row r="809" ht="15.75" customHeight="1" s="195"/>
    <row r="810" ht="15.75" customHeight="1" s="195"/>
    <row r="811" ht="15.75" customHeight="1" s="195"/>
    <row r="812" ht="15.75" customHeight="1" s="195"/>
    <row r="813" ht="15.75" customHeight="1" s="195"/>
    <row r="814" ht="15.75" customHeight="1" s="195"/>
    <row r="815" ht="15.75" customHeight="1" s="195"/>
    <row r="816" ht="15.75" customHeight="1" s="195"/>
    <row r="817" ht="15.75" customHeight="1" s="195"/>
    <row r="818" ht="15.75" customHeight="1" s="195"/>
    <row r="819" ht="15.75" customHeight="1" s="195"/>
    <row r="820" ht="15.75" customHeight="1" s="195"/>
    <row r="821" ht="15.75" customHeight="1" s="195"/>
    <row r="822" ht="15.75" customHeight="1" s="195"/>
    <row r="823" ht="15.75" customHeight="1" s="195"/>
    <row r="824" ht="15.75" customHeight="1" s="195"/>
    <row r="825" ht="15.75" customHeight="1" s="195"/>
    <row r="826" ht="15.75" customHeight="1" s="195"/>
    <row r="827" ht="15.75" customHeight="1" s="195"/>
    <row r="828" ht="15.75" customHeight="1" s="195"/>
    <row r="829" ht="15.75" customHeight="1" s="195"/>
    <row r="830" ht="15.75" customHeight="1" s="195"/>
    <row r="831" ht="15.75" customHeight="1" s="195"/>
    <row r="832" ht="15.75" customHeight="1" s="195"/>
    <row r="833" ht="15.75" customHeight="1" s="195"/>
    <row r="834" ht="15.75" customHeight="1" s="195"/>
    <row r="835" ht="15.75" customHeight="1" s="195"/>
    <row r="836" ht="15.75" customHeight="1" s="195"/>
    <row r="837" ht="15.75" customHeight="1" s="195"/>
    <row r="838" ht="15.75" customHeight="1" s="195"/>
    <row r="839" ht="15.75" customHeight="1" s="195"/>
    <row r="840" ht="15.75" customHeight="1" s="195"/>
    <row r="841" ht="15.75" customHeight="1" s="195"/>
    <row r="842" ht="15.75" customHeight="1" s="195"/>
    <row r="843" ht="15.75" customHeight="1" s="195"/>
    <row r="844" ht="15.75" customHeight="1" s="195"/>
    <row r="845" ht="15.75" customHeight="1" s="195"/>
    <row r="846" ht="15.75" customHeight="1" s="195"/>
    <row r="847" ht="15.75" customHeight="1" s="195"/>
    <row r="848" ht="15.75" customHeight="1" s="195"/>
    <row r="849" ht="15.75" customHeight="1" s="195"/>
    <row r="850" ht="15.75" customHeight="1" s="195"/>
    <row r="851" ht="15.75" customHeight="1" s="195"/>
    <row r="852" ht="15.75" customHeight="1" s="195"/>
    <row r="853" ht="15.75" customHeight="1" s="195"/>
    <row r="854" ht="15.75" customHeight="1" s="195"/>
    <row r="855" ht="15.75" customHeight="1" s="195"/>
    <row r="856" ht="15.75" customHeight="1" s="195"/>
    <row r="857" ht="15.75" customHeight="1" s="195"/>
    <row r="858" ht="15.75" customHeight="1" s="195"/>
    <row r="859" ht="15.75" customHeight="1" s="195"/>
    <row r="860" ht="15.75" customHeight="1" s="195"/>
    <row r="861" ht="15.75" customHeight="1" s="195"/>
    <row r="862" ht="15.75" customHeight="1" s="195"/>
    <row r="863" ht="15.75" customHeight="1" s="195"/>
    <row r="864" ht="15.75" customHeight="1" s="195"/>
    <row r="865" ht="15.75" customHeight="1" s="195"/>
    <row r="866" ht="15.75" customHeight="1" s="195"/>
    <row r="867" ht="15.75" customHeight="1" s="195"/>
    <row r="868" ht="15.75" customHeight="1" s="195"/>
    <row r="869" ht="15.75" customHeight="1" s="195"/>
    <row r="870" ht="15.75" customHeight="1" s="195"/>
    <row r="871" ht="15.75" customHeight="1" s="195"/>
    <row r="872" ht="15.75" customHeight="1" s="195"/>
    <row r="873" ht="15.75" customHeight="1" s="195"/>
    <row r="874" ht="15.75" customHeight="1" s="195"/>
    <row r="875" ht="15.75" customHeight="1" s="195"/>
    <row r="876" ht="15.75" customHeight="1" s="195"/>
    <row r="877" ht="15.75" customHeight="1" s="195"/>
    <row r="878" ht="15.75" customHeight="1" s="195"/>
    <row r="879" ht="15.75" customHeight="1" s="195"/>
    <row r="880" ht="15.75" customHeight="1" s="195"/>
    <row r="881" ht="15.75" customHeight="1" s="195"/>
    <row r="882" ht="15.75" customHeight="1" s="195"/>
    <row r="883" ht="15.75" customHeight="1" s="195"/>
    <row r="884" ht="15.75" customHeight="1" s="195"/>
    <row r="885" ht="15.75" customHeight="1" s="195"/>
    <row r="886" ht="15.75" customHeight="1" s="195"/>
    <row r="887" ht="15.75" customHeight="1" s="195"/>
    <row r="888" ht="15.75" customHeight="1" s="195"/>
    <row r="889" ht="15.75" customHeight="1" s="195"/>
    <row r="890" ht="15.75" customHeight="1" s="195"/>
    <row r="891" ht="15.75" customHeight="1" s="195"/>
    <row r="892" ht="15.75" customHeight="1" s="195"/>
    <row r="893" ht="15.75" customHeight="1" s="195"/>
    <row r="894" ht="15.75" customHeight="1" s="195"/>
    <row r="895" ht="15.75" customHeight="1" s="195"/>
    <row r="896" ht="15.75" customHeight="1" s="195"/>
    <row r="897" ht="15.75" customHeight="1" s="195"/>
    <row r="898" ht="15.75" customHeight="1" s="195"/>
    <row r="899" ht="15.75" customHeight="1" s="195"/>
    <row r="900" ht="15.75" customHeight="1" s="195"/>
    <row r="901" ht="15.75" customHeight="1" s="195"/>
    <row r="902" ht="15.75" customHeight="1" s="195"/>
    <row r="903" ht="15.75" customHeight="1" s="195"/>
    <row r="904" ht="15.75" customHeight="1" s="195"/>
    <row r="905" ht="15.75" customHeight="1" s="195"/>
    <row r="906" ht="15.75" customHeight="1" s="195"/>
    <row r="907" ht="15.75" customHeight="1" s="195"/>
    <row r="908" ht="15.75" customHeight="1" s="195"/>
    <row r="909" ht="15.75" customHeight="1" s="195"/>
    <row r="910" ht="15.75" customHeight="1" s="195"/>
    <row r="911" ht="15.75" customHeight="1" s="195"/>
    <row r="912" ht="15.75" customHeight="1" s="195"/>
    <row r="913" ht="15.75" customHeight="1" s="195"/>
    <row r="914" ht="15.75" customHeight="1" s="195"/>
    <row r="915" ht="15.75" customHeight="1" s="195"/>
    <row r="916" ht="15.75" customHeight="1" s="195"/>
    <row r="917" ht="15.75" customHeight="1" s="195"/>
    <row r="918" ht="15.75" customHeight="1" s="195"/>
    <row r="919" ht="15.75" customHeight="1" s="195"/>
    <row r="920" ht="15.75" customHeight="1" s="195"/>
    <row r="921" ht="15.75" customHeight="1" s="195"/>
    <row r="922" ht="15.75" customHeight="1" s="195"/>
    <row r="923" ht="15.75" customHeight="1" s="195"/>
    <row r="924" ht="15.75" customHeight="1" s="195"/>
    <row r="925" ht="15.75" customHeight="1" s="195"/>
    <row r="926" ht="15.75" customHeight="1" s="195"/>
    <row r="927" ht="15.75" customHeight="1" s="195"/>
    <row r="928" ht="15.75" customHeight="1" s="195"/>
    <row r="929" ht="15.75" customHeight="1" s="195"/>
    <row r="930" ht="15.75" customHeight="1" s="195"/>
    <row r="931" ht="15.75" customHeight="1" s="195"/>
    <row r="932" ht="15.75" customHeight="1" s="195"/>
    <row r="933" ht="15.75" customHeight="1" s="195"/>
    <row r="934" ht="15.75" customHeight="1" s="195"/>
    <row r="935" ht="15.75" customHeight="1" s="195"/>
    <row r="936" ht="15.75" customHeight="1" s="195"/>
    <row r="937" ht="15.75" customHeight="1" s="195"/>
    <row r="938" ht="15.75" customHeight="1" s="195"/>
    <row r="939" ht="15.75" customHeight="1" s="195"/>
    <row r="940" ht="15.75" customHeight="1" s="195"/>
    <row r="941" ht="15.75" customHeight="1" s="195"/>
    <row r="942" ht="15.75" customHeight="1" s="195"/>
    <row r="943" ht="15.75" customHeight="1" s="195"/>
    <row r="944" ht="15.75" customHeight="1" s="195"/>
    <row r="945" ht="15.75" customHeight="1" s="195"/>
    <row r="946" ht="15.75" customHeight="1" s="195"/>
    <row r="947" ht="15.75" customHeight="1" s="195"/>
    <row r="948" ht="15.75" customHeight="1" s="195"/>
    <row r="949" ht="15.75" customHeight="1" s="195"/>
    <row r="950" ht="15.75" customHeight="1" s="195"/>
    <row r="951" ht="15.75" customHeight="1" s="195"/>
    <row r="952" ht="15.75" customHeight="1" s="195"/>
    <row r="953" ht="15.75" customHeight="1" s="195"/>
    <row r="954" ht="15.75" customHeight="1" s="195"/>
    <row r="955" ht="15.75" customHeight="1" s="195"/>
    <row r="956" ht="15.75" customHeight="1" s="195"/>
    <row r="957" ht="15.75" customHeight="1" s="195"/>
    <row r="958" ht="15.75" customHeight="1" s="195"/>
    <row r="959" ht="15.75" customHeight="1" s="195"/>
    <row r="960" ht="15.75" customHeight="1" s="195"/>
    <row r="961" ht="15.75" customHeight="1" s="195"/>
    <row r="962" ht="15.75" customHeight="1" s="195"/>
    <row r="963" ht="15.75" customHeight="1" s="195"/>
    <row r="964" ht="15.75" customHeight="1" s="195"/>
    <row r="965" ht="15.75" customHeight="1" s="195"/>
    <row r="966" ht="15.75" customHeight="1" s="195"/>
    <row r="967" ht="15.75" customHeight="1" s="195"/>
    <row r="968" ht="15.75" customHeight="1" s="195"/>
    <row r="969" ht="15.75" customHeight="1" s="195"/>
    <row r="970" ht="15.75" customHeight="1" s="195"/>
    <row r="971" ht="15.75" customHeight="1" s="195"/>
    <row r="972" ht="15.75" customHeight="1" s="195"/>
    <row r="973" ht="15.75" customHeight="1" s="195"/>
    <row r="974" ht="15.75" customHeight="1" s="195"/>
    <row r="975" ht="15.75" customHeight="1" s="195"/>
    <row r="976" ht="15.75" customHeight="1" s="195"/>
    <row r="977" ht="15.75" customHeight="1" s="195"/>
    <row r="978" ht="15.75" customHeight="1" s="195"/>
    <row r="979" ht="15.75" customHeight="1" s="195"/>
    <row r="980" ht="15.75" customHeight="1" s="195"/>
    <row r="981" ht="15.75" customHeight="1" s="195"/>
    <row r="982" ht="15.75" customHeight="1" s="195"/>
    <row r="983" ht="15.75" customHeight="1" s="195"/>
    <row r="984" ht="15.75" customHeight="1" s="195"/>
    <row r="985" ht="15.75" customHeight="1" s="195"/>
    <row r="986" ht="15.75" customHeight="1" s="195"/>
    <row r="987" ht="15.75" customHeight="1" s="195"/>
    <row r="988" ht="15.75" customHeight="1" s="195"/>
    <row r="989" ht="15.75" customHeight="1" s="195"/>
    <row r="990" ht="15.75" customHeight="1" s="195"/>
    <row r="991" ht="15.75" customHeight="1" s="195"/>
    <row r="992" ht="15.75" customHeight="1" s="195"/>
    <row r="993" ht="15.75" customHeight="1" s="195"/>
    <row r="994" ht="15.75" customHeight="1" s="195"/>
    <row r="995" ht="15.75" customHeight="1" s="195"/>
    <row r="996" ht="15.75" customHeight="1" s="195"/>
    <row r="997" ht="15.75" customHeight="1" s="195"/>
    <row r="998" ht="15.75" customHeight="1" s="195"/>
    <row r="999" ht="15.75" customHeight="1" s="195"/>
    <row r="1000" ht="15.75" customHeight="1" s="195"/>
  </sheetData>
  <mergeCells count="13">
    <mergeCell ref="D2:F2"/>
    <mergeCell ref="G2:I2"/>
    <mergeCell ref="S2:T2"/>
    <mergeCell ref="J2:L2"/>
    <mergeCell ref="A506:G506"/>
    <mergeCell ref="U2:V2"/>
    <mergeCell ref="P2:R2"/>
    <mergeCell ref="A124:J124"/>
    <mergeCell ref="A1:Y1"/>
    <mergeCell ref="W2:AC2"/>
    <mergeCell ref="A4:Y4"/>
    <mergeCell ref="M2:O2"/>
    <mergeCell ref="A2:C2"/>
  </mergeCells>
  <conditionalFormatting sqref="T6:T505">
    <cfRule type="expression" rank="0" priority="2" equalAverage="0" aboveAverage="0" dxfId="0" text="" percent="0" bottom="0">
      <formula>EXACT(T6,"APROBADO")</formula>
    </cfRule>
    <cfRule type="expression" rank="0" priority="3" equalAverage="0" aboveAverage="0" dxfId="7" text="" percent="0" bottom="0">
      <formula>EXACT(T6,"PENDIENTE")</formula>
    </cfRule>
  </conditionalFormatting>
  <conditionalFormatting sqref="K6:K505">
    <cfRule type="expression" rank="0" priority="4" equalAverage="0" aboveAverage="0" dxfId="8" text="" percent="0" bottom="0">
      <formula>EXACT(K6,"GASOLINA")</formula>
    </cfRule>
  </conditionalFormatting>
  <conditionalFormatting sqref="Y4:Y130">
    <cfRule type="expression" rank="0" priority="5" equalAverage="0" aboveAverage="0" dxfId="9" text="" percent="0" bottom="0">
      <formula>Y4&lt;&gt;""</formula>
    </cfRule>
  </conditionalFormatting>
  <dataValidations count="4">
    <dataValidation sqref="Y5:Y130" showDropDown="0" showInputMessage="0" showErrorMessage="0" allowBlank="1" type="list" errorStyle="stop" operator="between">
      <formula1>CONDUCTORES!$H$3:$H$104</formula1>
      <formula2>0</formula2>
    </dataValidation>
    <dataValidation sqref="K6:K505" showDropDown="0" showInputMessage="0" showErrorMessage="0" allowBlank="1" type="list" errorStyle="stop" operator="between">
      <formula1>"PETROLEO,GASOLINA"</formula1>
      <formula2>0</formula2>
    </dataValidation>
    <dataValidation sqref="E6:E123 E125:E505" showDropDown="0" showInputMessage="0" showErrorMessage="0" allowBlank="1" type="list" errorStyle="stop" operator="between">
      <formula1>"DNI,CE,PASAPORTE"</formula1>
      <formula2>0</formula2>
    </dataValidation>
    <dataValidation sqref="T6:T505" showDropDown="0" showInputMessage="0" showErrorMessage="0" allowBlank="1" type="list" errorStyle="stop" operator="between">
      <formula1>"APROBADO,PENDIENTE,OBSERVADO"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C5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14.43359375" defaultRowHeight="15" zeroHeight="0" outlineLevelRow="0"/>
  <cols>
    <col width="5" customWidth="1" style="194" min="1" max="1"/>
    <col width="14" customWidth="1" style="194" min="2" max="2"/>
    <col width="8" customWidth="1" style="194" min="3" max="3"/>
    <col width="28" customWidth="1" style="194" min="4" max="4"/>
    <col width="7" customWidth="1" style="194" min="5" max="5"/>
    <col width="14" customWidth="1" style="194" min="6" max="6"/>
    <col width="12" customWidth="1" style="194" min="7" max="7"/>
    <col width="10" customWidth="1" style="194" min="8" max="8"/>
    <col width="30" customWidth="1" style="194" min="9" max="9"/>
    <col width="10" customWidth="1" style="194" min="10" max="10"/>
    <col width="12" customWidth="1" style="194" min="11" max="11"/>
    <col width="10" customWidth="1" style="194" min="12" max="13"/>
    <col width="14" customWidth="1" style="194" min="14" max="15"/>
    <col width="28" customWidth="1" style="194" min="16" max="16"/>
    <col width="12" customWidth="1" style="194" min="17" max="18"/>
    <col width="16" customWidth="1" style="194" min="19" max="19"/>
    <col width="12" customWidth="1" style="194" min="20" max="21"/>
    <col width="14" customWidth="1" style="194" min="22" max="23"/>
    <col width="8" customWidth="1" style="194" min="24" max="24"/>
    <col width="22" customWidth="1" style="194" min="25" max="25"/>
    <col width="8.710000000000001" customWidth="1" style="194" min="26" max="29"/>
  </cols>
  <sheetData>
    <row r="1" ht="27.75" customHeight="1" s="195">
      <c r="A1" s="317" t="inlineStr">
        <is>
          <t>REPORTE DE TRASLADO DE PACIENTES SIS DEL MES DE AGOSTO 2025 PARA REPOSICION DE COMBUSTIBLE</t>
        </is>
      </c>
    </row>
    <row r="2" ht="21.75" customHeight="1" s="195">
      <c r="A2" s="318" t="inlineStr">
        <is>
          <t>TOTAL PETROLEO (gal):</t>
        </is>
      </c>
      <c r="D2" s="319">
        <f>IFERROR(SUMPRODUCT((K4:K125="PETROLEO")*ISNUMBER(M4:M125)*M4:M125),0)</f>
        <v/>
      </c>
      <c r="G2" s="318" t="inlineStr">
        <is>
          <t>TOTAL GASOLINA (gal):</t>
        </is>
      </c>
      <c r="J2" s="319">
        <f>IFERROR(SUMPRODUCT((K4:K125="GASOLINA")*ISNUMBER(M4:M125)*M4:M125),0)</f>
        <v/>
      </c>
      <c r="M2" s="318" t="inlineStr">
        <is>
          <t>TOTAL SOLES S/.:</t>
        </is>
      </c>
      <c r="P2" s="320">
        <f>IFERROR(SUMPRODUCT(ISNUMBER(M4:M125)*L4:L125*M4:M125),0)</f>
        <v/>
      </c>
      <c r="S2" s="318" t="inlineStr">
        <is>
          <t>N TRASLADOS:</t>
        </is>
      </c>
      <c r="U2" s="321">
        <f>SUBTOTAL(2,A4:A125)</f>
        <v/>
      </c>
      <c r="W2" s="322" t="inlineStr">
        <is>
          <t>↑ Al filtrar por EESS los totales cambian automáticamente</t>
        </is>
      </c>
    </row>
    <row r="3" ht="3.75" customHeight="1" s="195">
      <c r="A3" s="323" t="n"/>
      <c r="B3" s="323" t="n"/>
      <c r="C3" s="323" t="n"/>
      <c r="D3" s="323" t="n"/>
      <c r="E3" s="323" t="n"/>
      <c r="F3" s="323" t="n"/>
      <c r="G3" s="323" t="n"/>
      <c r="H3" s="323" t="n"/>
      <c r="I3" s="323" t="n"/>
      <c r="J3" s="323" t="n"/>
      <c r="K3" s="323" t="n"/>
      <c r="L3" s="323" t="n"/>
      <c r="M3" s="323" t="n"/>
      <c r="N3" s="323" t="n"/>
      <c r="O3" s="323" t="n"/>
      <c r="P3" s="323" t="n"/>
      <c r="Q3" s="323" t="n"/>
      <c r="R3" s="323" t="n"/>
      <c r="S3" s="323" t="n"/>
      <c r="T3" s="323" t="n"/>
      <c r="U3" s="323" t="n"/>
      <c r="V3" s="323" t="n"/>
      <c r="W3" s="323" t="n"/>
      <c r="X3" s="323" t="n"/>
      <c r="Y3" s="324" t="inlineStr">
        <is>
          <t>DEVOLVER A
(IPRESS DESTINO)</t>
        </is>
      </c>
    </row>
    <row r="4" ht="19.5" customHeight="1" s="195">
      <c r="A4" s="325" t="inlineStr">
        <is>
          <t>COLUMNAS EN AZUL = AUTO (no editar) | Ingrese: N, NRO FORMATO, AFILIADO, TIPO DOC, NRO DOC, FECHA TRASLADO, COD RENAES, COD REFERENCIA, DNI CONDUCTOR, PRECIO GAL, GALONES, FECHA ENTREGA, CIE-10, ESTADO FUA, FECHA DIGITACION, OFICIO, O/C, META, OBSERVACION</t>
        </is>
      </c>
    </row>
    <row r="5" ht="30" customHeight="1" s="195">
      <c r="A5" s="326" t="inlineStr">
        <is>
          <t>N</t>
        </is>
      </c>
      <c r="B5" s="327" t="inlineStr">
        <is>
          <t>NRO FORMATO
ATENCION</t>
        </is>
      </c>
      <c r="C5" s="327" t="inlineStr">
        <is>
          <t>UNIDAD
EJECUTORA</t>
        </is>
      </c>
      <c r="D5" s="327" t="inlineStr">
        <is>
          <t>AFILIADO</t>
        </is>
      </c>
      <c r="E5" s="327" t="inlineStr">
        <is>
          <t>TIPO
DOC</t>
        </is>
      </c>
      <c r="F5" s="327" t="inlineStr">
        <is>
          <t>NRO
DOCUMENTO</t>
        </is>
      </c>
      <c r="G5" s="327" t="inlineStr">
        <is>
          <t>FECHA
TRASLADO</t>
        </is>
      </c>
      <c r="H5" s="327" t="inlineStr">
        <is>
          <t>COD
RENAES</t>
        </is>
      </c>
      <c r="I5" s="328" t="inlineStr">
        <is>
          <t>DESCRIPCION
EESS</t>
        </is>
      </c>
      <c r="J5" s="327" t="inlineStr">
        <is>
          <t>COD EESS
REFERENCIA</t>
        </is>
      </c>
      <c r="K5" s="328" t="inlineStr">
        <is>
          <t>TIPO DE
COMBUSTIBLE</t>
        </is>
      </c>
      <c r="L5" s="327" t="inlineStr">
        <is>
          <t>PRECIO
GAL S/.</t>
        </is>
      </c>
      <c r="M5" s="327" t="inlineStr">
        <is>
          <t>GALONES</t>
        </is>
      </c>
      <c r="N5" s="328" t="inlineStr">
        <is>
          <t>TOTAL
COMBUSTIBLE S/.</t>
        </is>
      </c>
      <c r="O5" s="327" t="inlineStr">
        <is>
          <t>DNI
CONDUCTOR</t>
        </is>
      </c>
      <c r="P5" s="329">
        <f>IFERROR(VLOOKUP(TEXT(O5,"0"),CONDUCTORES!$A$3:$G$100,2,0),"")</f>
        <v/>
      </c>
      <c r="Q5" s="329">
        <f>IFERROR(VLOOKUP(TEXT(O5,"0"),CONDUCTORES!$A$3:$H$100,6,0),"")</f>
        <v/>
      </c>
      <c r="R5" s="327" t="inlineStr">
        <is>
          <t>FECHA DE
ENTREGA</t>
        </is>
      </c>
      <c r="S5" s="327" t="inlineStr">
        <is>
          <t>CODIGO DE
DIAGNOSTICO</t>
        </is>
      </c>
      <c r="T5" s="327" t="inlineStr">
        <is>
          <t>ESTADO
FUA</t>
        </is>
      </c>
      <c r="U5" s="327" t="inlineStr">
        <is>
          <t>FECHA
DIGITACION</t>
        </is>
      </c>
      <c r="V5" s="327" t="inlineStr">
        <is>
          <t>OFICIO</t>
        </is>
      </c>
      <c r="W5" s="327" t="inlineStr">
        <is>
          <t>O/C</t>
        </is>
      </c>
      <c r="X5" s="327" t="inlineStr">
        <is>
          <t>META</t>
        </is>
      </c>
      <c r="Y5" s="330" t="inlineStr">
        <is>
          <t>OBSERVACION</t>
        </is>
      </c>
    </row>
    <row r="6" ht="15.75" customHeight="1" s="195">
      <c r="A6" s="337" t="n">
        <v>1</v>
      </c>
      <c r="B6" s="338" t="inlineStr">
        <is>
          <t>00000024</t>
        </is>
      </c>
      <c r="C6" s="337" t="inlineStr">
        <is>
          <t>REGION</t>
        </is>
      </c>
      <c r="D6" s="338" t="inlineStr">
        <is>
          <t>ORTIZ IDROGO KAREN YAMILA</t>
        </is>
      </c>
      <c r="E6" s="337" t="inlineStr">
        <is>
          <t>DNI</t>
        </is>
      </c>
      <c r="F6" s="337" t="inlineStr">
        <is>
          <t>80692089</t>
        </is>
      </c>
      <c r="G6" s="339" t="n">
        <v>45876</v>
      </c>
      <c r="H6" s="337" t="inlineStr">
        <is>
          <t>4937</t>
        </is>
      </c>
      <c r="I6" s="332">
        <f>IFERROR(VLOOKUP(TEXT(H6,"0"),IPRESS!$A$3:$B$212,2,0),"")</f>
        <v/>
      </c>
      <c r="J6" s="337" t="inlineStr">
        <is>
          <t>4838</t>
        </is>
      </c>
      <c r="K6" s="332">
        <f>IFERROR(VLOOKUP(TEXT(O6,"0"),CONDUCTORES!$A$3:$G$100,7,0),"")</f>
        <v/>
      </c>
      <c r="L6" s="340" t="n">
        <v>17.95</v>
      </c>
      <c r="M6" s="340" t="n">
        <v>15</v>
      </c>
      <c r="N6" s="333">
        <f>IFERROR(IF(L6*M6=0,"",L6*M6),"")</f>
        <v/>
      </c>
      <c r="O6" s="280" t="n"/>
      <c r="P6" s="332">
        <f>IFERROR(VLOOKUP(TEXT(O6,"0"),CONDUCTORES!$A$3:$G$100,2,0),"")</f>
        <v/>
      </c>
      <c r="Q6" s="332">
        <f>IFERROR(VLOOKUP(TEXT(O6,"0"),CONDUCTORES!$A$3:$H$100,6,0),"")</f>
        <v/>
      </c>
      <c r="R6" s="339" t="n">
        <v>45951</v>
      </c>
      <c r="S6" s="338" t="inlineStr">
        <is>
          <t>S634</t>
        </is>
      </c>
      <c r="T6" s="337" t="n"/>
      <c r="U6" s="341" t="n"/>
      <c r="V6" s="337" t="inlineStr">
        <is>
          <t>5258-2025</t>
        </is>
      </c>
      <c r="W6" s="347" t="inlineStr">
        <is>
          <t xml:space="preserve">
ADENDA No 877-2025</t>
        </is>
      </c>
      <c r="X6" s="337" t="inlineStr">
        <is>
          <t>189.0</t>
        </is>
      </c>
      <c r="Y6" s="280" t="n"/>
    </row>
    <row r="7" ht="15.75" customHeight="1" s="195">
      <c r="A7" s="337" t="n">
        <v>2</v>
      </c>
      <c r="B7" s="338" t="inlineStr">
        <is>
          <t>00000025</t>
        </is>
      </c>
      <c r="C7" s="337" t="inlineStr">
        <is>
          <t>REGION</t>
        </is>
      </c>
      <c r="D7" s="338" t="inlineStr">
        <is>
          <t>UGARTE VALLE ERIKA</t>
        </is>
      </c>
      <c r="E7" s="337" t="inlineStr">
        <is>
          <t>DNI</t>
        </is>
      </c>
      <c r="F7" s="337" t="inlineStr">
        <is>
          <t>77218837</t>
        </is>
      </c>
      <c r="G7" s="339" t="n">
        <v>45883</v>
      </c>
      <c r="H7" s="337" t="inlineStr">
        <is>
          <t>4937</t>
        </is>
      </c>
      <c r="I7" s="332">
        <f>IFERROR(VLOOKUP(TEXT(H7,"0"),IPRESS!$A$3:$B$212,2,0),"")</f>
        <v/>
      </c>
      <c r="J7" s="337" t="inlineStr">
        <is>
          <t>4932</t>
        </is>
      </c>
      <c r="K7" s="332">
        <f>IFERROR(VLOOKUP(TEXT(O7,"0"),CONDUCTORES!$A$3:$G$100,7,0),"")</f>
        <v/>
      </c>
      <c r="L7" s="340" t="n">
        <v>17.95</v>
      </c>
      <c r="M7" s="340" t="n">
        <v>5</v>
      </c>
      <c r="N7" s="333">
        <f>IFERROR(IF(L7*M7=0,"",L7*M7),"")</f>
        <v/>
      </c>
      <c r="O7" s="334" t="n"/>
      <c r="P7" s="332">
        <f>IFERROR(VLOOKUP(TEXT(O7,"0"),CONDUCTORES!$A$3:$G$100,2,0),"")</f>
        <v/>
      </c>
      <c r="Q7" s="332">
        <f>IFERROR(VLOOKUP(TEXT(O7,"0"),CONDUCTORES!$A$3:$H$100,6,0),"")</f>
        <v/>
      </c>
      <c r="R7" s="339" t="n">
        <v>45951</v>
      </c>
      <c r="S7" s="338" t="inlineStr">
        <is>
          <t>Z359,O471,P550,D990</t>
        </is>
      </c>
      <c r="T7" s="337" t="n"/>
      <c r="U7" s="341" t="n"/>
      <c r="V7" s="337" t="inlineStr">
        <is>
          <t>5258-2025</t>
        </is>
      </c>
      <c r="W7" s="347" t="inlineStr">
        <is>
          <t xml:space="preserve">
ADENDA No 877-2025</t>
        </is>
      </c>
      <c r="X7" s="337" t="inlineStr">
        <is>
          <t>189.0</t>
        </is>
      </c>
      <c r="Y7" s="280" t="n"/>
    </row>
    <row r="8" ht="15.75" customHeight="1" s="195">
      <c r="A8" s="337" t="n">
        <v>3</v>
      </c>
      <c r="B8" s="338" t="inlineStr">
        <is>
          <t>00000026</t>
        </is>
      </c>
      <c r="C8" s="337" t="inlineStr">
        <is>
          <t>REGION</t>
        </is>
      </c>
      <c r="D8" s="338" t="inlineStr">
        <is>
          <t>CADENILLAS DELGADO MARILIN</t>
        </is>
      </c>
      <c r="E8" s="337" t="inlineStr">
        <is>
          <t>DNI</t>
        </is>
      </c>
      <c r="F8" s="337" t="inlineStr">
        <is>
          <t>71653036</t>
        </is>
      </c>
      <c r="G8" s="339" t="n">
        <v>45891</v>
      </c>
      <c r="H8" s="337" t="inlineStr">
        <is>
          <t>4937</t>
        </is>
      </c>
      <c r="I8" s="332">
        <f>IFERROR(VLOOKUP(TEXT(H8,"0"),IPRESS!$A$3:$B$212,2,0),"")</f>
        <v/>
      </c>
      <c r="J8" s="337" t="inlineStr">
        <is>
          <t>4932</t>
        </is>
      </c>
      <c r="K8" s="332">
        <f>IFERROR(VLOOKUP(TEXT(O8,"0"),CONDUCTORES!$A$3:$G$100,7,0),"")</f>
        <v/>
      </c>
      <c r="L8" s="340" t="n">
        <v>17.95</v>
      </c>
      <c r="M8" s="340" t="n">
        <v>5</v>
      </c>
      <c r="N8" s="333">
        <f>IFERROR(IF(L8*M8=0,"",L8*M8),"")</f>
        <v/>
      </c>
      <c r="O8" s="280" t="n"/>
      <c r="P8" s="332">
        <f>IFERROR(VLOOKUP(TEXT(O8,"0"),CONDUCTORES!$A$3:$G$100,2,0),"")</f>
        <v/>
      </c>
      <c r="Q8" s="332">
        <f>IFERROR(VLOOKUP(TEXT(O8,"0"),CONDUCTORES!$A$3:$H$100,6,0),"")</f>
        <v/>
      </c>
      <c r="R8" s="339" t="n">
        <v>45951</v>
      </c>
      <c r="S8" s="338" t="inlineStr">
        <is>
          <t>Z359,O471,O234</t>
        </is>
      </c>
      <c r="T8" s="337" t="n"/>
      <c r="U8" s="341" t="n"/>
      <c r="V8" s="337" t="inlineStr">
        <is>
          <t>5258-2025</t>
        </is>
      </c>
      <c r="W8" s="347" t="inlineStr">
        <is>
          <t xml:space="preserve">
ADENDA No 877-2025</t>
        </is>
      </c>
      <c r="X8" s="337" t="inlineStr">
        <is>
          <t>189.0</t>
        </is>
      </c>
      <c r="Y8" s="280" t="n"/>
    </row>
    <row r="9" ht="15.75" customHeight="1" s="195">
      <c r="A9" s="337" t="n">
        <v>4</v>
      </c>
      <c r="B9" s="338" t="inlineStr">
        <is>
          <t>00000027</t>
        </is>
      </c>
      <c r="C9" s="337" t="inlineStr">
        <is>
          <t>REGION</t>
        </is>
      </c>
      <c r="D9" s="338" t="inlineStr">
        <is>
          <t>VALLE MAS CARMELA</t>
        </is>
      </c>
      <c r="E9" s="337" t="inlineStr">
        <is>
          <t>DNI</t>
        </is>
      </c>
      <c r="F9" s="337" t="inlineStr">
        <is>
          <t>43874149</t>
        </is>
      </c>
      <c r="G9" s="339" t="n">
        <v>45893</v>
      </c>
      <c r="H9" s="337" t="inlineStr">
        <is>
          <t>4937</t>
        </is>
      </c>
      <c r="I9" s="332">
        <f>IFERROR(VLOOKUP(TEXT(H9,"0"),IPRESS!$A$3:$B$212,2,0),"")</f>
        <v/>
      </c>
      <c r="J9" s="337" t="inlineStr">
        <is>
          <t>4932</t>
        </is>
      </c>
      <c r="K9" s="332">
        <f>IFERROR(VLOOKUP(TEXT(O9,"0"),CONDUCTORES!$A$3:$G$100,7,0),"")</f>
        <v/>
      </c>
      <c r="L9" s="340" t="n">
        <v>17.95</v>
      </c>
      <c r="M9" s="340" t="n">
        <v>5</v>
      </c>
      <c r="N9" s="333">
        <f>IFERROR(IF(L9*M9=0,"",L9*M9),"")</f>
        <v/>
      </c>
      <c r="O9" s="334" t="n"/>
      <c r="P9" s="332">
        <f>IFERROR(VLOOKUP(TEXT(O9,"0"),CONDUCTORES!$A$3:$G$100,2,0),"")</f>
        <v/>
      </c>
      <c r="Q9" s="332">
        <f>IFERROR(VLOOKUP(TEXT(O9,"0"),CONDUCTORES!$A$3:$H$100,6,0),"")</f>
        <v/>
      </c>
      <c r="R9" s="339" t="n">
        <v>45951</v>
      </c>
      <c r="S9" s="338" t="inlineStr">
        <is>
          <t>Z355,O632,Z354</t>
        </is>
      </c>
      <c r="T9" s="337" t="n"/>
      <c r="U9" s="341" t="n"/>
      <c r="V9" s="337" t="inlineStr">
        <is>
          <t>5258-2025</t>
        </is>
      </c>
      <c r="W9" s="347" t="inlineStr">
        <is>
          <t xml:space="preserve">
ADENDA No 877-2025</t>
        </is>
      </c>
      <c r="X9" s="337" t="inlineStr">
        <is>
          <t>189.0</t>
        </is>
      </c>
      <c r="Y9" s="280" t="n"/>
    </row>
    <row r="10" ht="15.75" customHeight="1" s="195">
      <c r="A10" s="337" t="n">
        <v>5</v>
      </c>
      <c r="B10" s="338" t="inlineStr">
        <is>
          <t>00000028</t>
        </is>
      </c>
      <c r="C10" s="337" t="inlineStr">
        <is>
          <t>REGION</t>
        </is>
      </c>
      <c r="D10" s="338" t="inlineStr">
        <is>
          <t>CADENILLAS DELGADO MARILIN</t>
        </is>
      </c>
      <c r="E10" s="337" t="inlineStr">
        <is>
          <t>DNI</t>
        </is>
      </c>
      <c r="F10" s="337" t="inlineStr">
        <is>
          <t>71653036</t>
        </is>
      </c>
      <c r="G10" s="339" t="n">
        <v>45899</v>
      </c>
      <c r="H10" s="337" t="inlineStr">
        <is>
          <t>4937</t>
        </is>
      </c>
      <c r="I10" s="332">
        <f>IFERROR(VLOOKUP(TEXT(H10,"0"),IPRESS!$A$3:$B$212,2,0),"")</f>
        <v/>
      </c>
      <c r="J10" s="337" t="inlineStr">
        <is>
          <t>4932</t>
        </is>
      </c>
      <c r="K10" s="332">
        <f>IFERROR(VLOOKUP(TEXT(O10,"0"),CONDUCTORES!$A$3:$G$100,7,0),"")</f>
        <v/>
      </c>
      <c r="L10" s="340" t="n">
        <v>17.95</v>
      </c>
      <c r="M10" s="340" t="n">
        <v>5</v>
      </c>
      <c r="N10" s="333">
        <f>IFERROR(IF(L10*M10=0,"",L10*M10),"")</f>
        <v/>
      </c>
      <c r="O10" s="280" t="n"/>
      <c r="P10" s="332">
        <f>IFERROR(VLOOKUP(TEXT(O10,"0"),CONDUCTORES!$A$3:$G$100,2,0),"")</f>
        <v/>
      </c>
      <c r="Q10" s="332">
        <f>IFERROR(VLOOKUP(TEXT(O10,"0"),CONDUCTORES!$A$3:$H$100,6,0),"")</f>
        <v/>
      </c>
      <c r="R10" s="339" t="n">
        <v>45951</v>
      </c>
      <c r="S10" s="338" t="inlineStr">
        <is>
          <t>Z349,O622</t>
        </is>
      </c>
      <c r="T10" s="337" t="n"/>
      <c r="U10" s="341" t="n"/>
      <c r="V10" s="337" t="inlineStr">
        <is>
          <t>5258-2025</t>
        </is>
      </c>
      <c r="W10" s="347" t="inlineStr">
        <is>
          <t xml:space="preserve">
ADENDA No 877-2025</t>
        </is>
      </c>
      <c r="X10" s="337" t="inlineStr">
        <is>
          <t>189.0</t>
        </is>
      </c>
      <c r="Y10" s="280" t="n"/>
    </row>
    <row r="11" ht="15.75" customHeight="1" s="195">
      <c r="A11" s="241" t="n">
        <v>6</v>
      </c>
      <c r="B11" s="305" t="inlineStr">
        <is>
          <t>00000009</t>
        </is>
      </c>
      <c r="C11" s="241" t="inlineStr">
        <is>
          <t>REGION</t>
        </is>
      </c>
      <c r="D11" s="305" t="inlineStr">
        <is>
          <t>FERNANDEZ CASTAÑEDA KARIN JHULISA</t>
        </is>
      </c>
      <c r="E11" s="241" t="inlineStr">
        <is>
          <t>DNI</t>
        </is>
      </c>
      <c r="F11" s="241" t="inlineStr">
        <is>
          <t>62112476</t>
        </is>
      </c>
      <c r="G11" s="336" t="n">
        <v>45888</v>
      </c>
      <c r="H11" s="241" t="inlineStr">
        <is>
          <t>4873</t>
        </is>
      </c>
      <c r="I11" s="332">
        <f>IFERROR(VLOOKUP(TEXT(H11,"0"),IPRESS!$A$3:$B$212,2,0),"")</f>
        <v/>
      </c>
      <c r="J11" s="241" t="inlineStr">
        <is>
          <t>4838</t>
        </is>
      </c>
      <c r="K11" s="332">
        <f>IFERROR(VLOOKUP(TEXT(O11,"0"),CONDUCTORES!$A$3:$G$100,7,0),"")</f>
        <v/>
      </c>
      <c r="L11" s="239" t="n">
        <v>18.18</v>
      </c>
      <c r="M11" s="239" t="n">
        <v>20</v>
      </c>
      <c r="N11" s="333">
        <f>IFERROR(IF(L11*M11=0,"",L11*M11),"")</f>
        <v/>
      </c>
      <c r="O11" s="334" t="n"/>
      <c r="P11" s="332">
        <f>IFERROR(VLOOKUP(TEXT(O11,"0"),CONDUCTORES!$A$3:$G$100,2,0),"")</f>
        <v/>
      </c>
      <c r="Q11" s="332">
        <f>IFERROR(VLOOKUP(TEXT(O11,"0"),CONDUCTORES!$A$3:$H$100,6,0),"")</f>
        <v/>
      </c>
      <c r="R11" s="280" t="n"/>
      <c r="S11" s="305" t="inlineStr">
        <is>
          <t>K37X</t>
        </is>
      </c>
      <c r="T11" s="241" t="n"/>
      <c r="U11" s="280" t="n"/>
      <c r="V11" s="241" t="n"/>
      <c r="W11" s="241" t="n"/>
      <c r="X11" s="241" t="n"/>
      <c r="Y11" s="280" t="n"/>
    </row>
    <row r="12" ht="15.75" customHeight="1" s="195">
      <c r="A12" s="301" t="n">
        <v>7</v>
      </c>
      <c r="B12" s="302" t="inlineStr">
        <is>
          <t>00000005</t>
        </is>
      </c>
      <c r="C12" s="301" t="inlineStr">
        <is>
          <t>REGION</t>
        </is>
      </c>
      <c r="D12" s="302" t="inlineStr">
        <is>
          <t>ZABALETA CHANCAHUANA NEISER ROBERT</t>
        </is>
      </c>
      <c r="E12" s="301" t="inlineStr">
        <is>
          <t>DNI</t>
        </is>
      </c>
      <c r="F12" s="301" t="inlineStr">
        <is>
          <t>33413170</t>
        </is>
      </c>
      <c r="G12" s="331" t="n">
        <v>45896</v>
      </c>
      <c r="H12" s="301" t="inlineStr">
        <is>
          <t>4858</t>
        </is>
      </c>
      <c r="I12" s="332">
        <f>IFERROR(VLOOKUP(TEXT(H12,"0"),IPRESS!$A$3:$B$212,2,0),"")</f>
        <v/>
      </c>
      <c r="J12" s="301" t="inlineStr">
        <is>
          <t>4838</t>
        </is>
      </c>
      <c r="K12" s="332">
        <f>IFERROR(VLOOKUP(TEXT(O12,"0"),CONDUCTORES!$A$3:$G$100,7,0),"")</f>
        <v/>
      </c>
      <c r="L12" s="245" t="n">
        <v>18.18</v>
      </c>
      <c r="M12" s="245" t="n">
        <v>15</v>
      </c>
      <c r="N12" s="333">
        <f>IFERROR(IF(L12*M12=0,"",L12*M12),"")</f>
        <v/>
      </c>
      <c r="O12" s="280" t="n"/>
      <c r="P12" s="332">
        <f>IFERROR(VLOOKUP(TEXT(O12,"0"),CONDUCTORES!$A$3:$G$100,2,0),"")</f>
        <v/>
      </c>
      <c r="Q12" s="332">
        <f>IFERROR(VLOOKUP(TEXT(O12,"0"),CONDUCTORES!$A$3:$H$100,6,0),"")</f>
        <v/>
      </c>
      <c r="R12" s="331" t="n">
        <v>45951</v>
      </c>
      <c r="S12" s="302" t="inlineStr">
        <is>
          <t>T819</t>
        </is>
      </c>
      <c r="T12" s="301" t="n"/>
      <c r="U12" s="334" t="n"/>
      <c r="V12" s="301" t="inlineStr">
        <is>
          <t>5234-2025</t>
        </is>
      </c>
      <c r="W12" s="301" t="inlineStr">
        <is>
          <t>CONTRATO No 001-2025 DYT</t>
        </is>
      </c>
      <c r="X12" s="301" t="inlineStr">
        <is>
          <t>266.0</t>
        </is>
      </c>
      <c r="Y12" s="280" t="n"/>
    </row>
    <row r="13" ht="15.75" customHeight="1" s="195">
      <c r="A13" s="241" t="n">
        <v>8</v>
      </c>
      <c r="B13" s="305" t="inlineStr">
        <is>
          <t>00000015</t>
        </is>
      </c>
      <c r="C13" s="241" t="inlineStr">
        <is>
          <t>REGION</t>
        </is>
      </c>
      <c r="D13" s="305" t="inlineStr">
        <is>
          <t>CASTAÑEDA CABRERA ORFELINDA</t>
        </is>
      </c>
      <c r="E13" s="241" t="inlineStr">
        <is>
          <t>DNI</t>
        </is>
      </c>
      <c r="F13" s="241" t="inlineStr">
        <is>
          <t>60135433</t>
        </is>
      </c>
      <c r="G13" s="336" t="n">
        <v>45887</v>
      </c>
      <c r="H13" s="241" t="inlineStr">
        <is>
          <t>4874</t>
        </is>
      </c>
      <c r="I13" s="332">
        <f>IFERROR(VLOOKUP(TEXT(H13,"0"),IPRESS!$A$3:$B$212,2,0),"")</f>
        <v/>
      </c>
      <c r="J13" s="241" t="inlineStr">
        <is>
          <t>5125</t>
        </is>
      </c>
      <c r="K13" s="332">
        <f>IFERROR(VLOOKUP(TEXT(O13,"0"),CONDUCTORES!$A$3:$G$100,7,0),"")</f>
        <v/>
      </c>
      <c r="L13" s="239" t="n">
        <v>18.18</v>
      </c>
      <c r="M13" s="239" t="n">
        <v>25</v>
      </c>
      <c r="N13" s="333">
        <f>IFERROR(IF(L13*M13=0,"",L13*M13),"")</f>
        <v/>
      </c>
      <c r="O13" s="334" t="n"/>
      <c r="P13" s="332">
        <f>IFERROR(VLOOKUP(TEXT(O13,"0"),CONDUCTORES!$A$3:$G$100,2,0),"")</f>
        <v/>
      </c>
      <c r="Q13" s="332">
        <f>IFERROR(VLOOKUP(TEXT(O13,"0"),CONDUCTORES!$A$3:$H$100,6,0),"")</f>
        <v/>
      </c>
      <c r="R13" s="336" t="n">
        <v>45933</v>
      </c>
      <c r="S13" s="305" t="inlineStr">
        <is>
          <t>Z359,O629</t>
        </is>
      </c>
      <c r="T13" s="241" t="n"/>
      <c r="U13" s="280" t="n"/>
      <c r="V13" s="241" t="n"/>
      <c r="W13" s="241" t="n"/>
      <c r="X13" s="241" t="n"/>
      <c r="Y13" s="280" t="n"/>
    </row>
    <row r="14" ht="15.75" customHeight="1" s="195">
      <c r="A14" s="301" t="n">
        <v>9</v>
      </c>
      <c r="B14" s="302" t="inlineStr">
        <is>
          <t>00000016</t>
        </is>
      </c>
      <c r="C14" s="301" t="inlineStr">
        <is>
          <t>REGION</t>
        </is>
      </c>
      <c r="D14" s="302" t="inlineStr">
        <is>
          <t>SAAVEDRA RAMOS LEYSI NAVANY</t>
        </is>
      </c>
      <c r="E14" s="301" t="inlineStr">
        <is>
          <t>DNI</t>
        </is>
      </c>
      <c r="F14" s="301" t="inlineStr">
        <is>
          <t>75982453</t>
        </is>
      </c>
      <c r="G14" s="331" t="n">
        <v>45894</v>
      </c>
      <c r="H14" s="301" t="inlineStr">
        <is>
          <t>4874</t>
        </is>
      </c>
      <c r="I14" s="332">
        <f>IFERROR(VLOOKUP(TEXT(H14,"0"),IPRESS!$A$3:$B$212,2,0),"")</f>
        <v/>
      </c>
      <c r="J14" s="301" t="inlineStr">
        <is>
          <t>4838</t>
        </is>
      </c>
      <c r="K14" s="332">
        <f>IFERROR(VLOOKUP(TEXT(O14,"0"),CONDUCTORES!$A$3:$G$100,7,0),"")</f>
        <v/>
      </c>
      <c r="L14" s="245" t="n">
        <v>18.18</v>
      </c>
      <c r="M14" s="245" t="n">
        <v>20</v>
      </c>
      <c r="N14" s="333">
        <f>IFERROR(IF(L14*M14=0,"",L14*M14),"")</f>
        <v/>
      </c>
      <c r="O14" s="280" t="n"/>
      <c r="P14" s="332">
        <f>IFERROR(VLOOKUP(TEXT(O14,"0"),CONDUCTORES!$A$3:$G$100,2,0),"")</f>
        <v/>
      </c>
      <c r="Q14" s="332">
        <f>IFERROR(VLOOKUP(TEXT(O14,"0"),CONDUCTORES!$A$3:$H$100,6,0),"")</f>
        <v/>
      </c>
      <c r="R14" s="331" t="n">
        <v>45933</v>
      </c>
      <c r="S14" s="302" t="inlineStr">
        <is>
          <t>F200</t>
        </is>
      </c>
      <c r="T14" s="301" t="n"/>
      <c r="U14" s="334" t="n"/>
      <c r="V14" s="301" t="n"/>
      <c r="W14" s="301" t="n"/>
      <c r="X14" s="301" t="n"/>
      <c r="Y14" s="280" t="n"/>
    </row>
    <row r="15" ht="15.75" customHeight="1" s="195">
      <c r="A15" s="241" t="n">
        <v>10</v>
      </c>
      <c r="B15" s="305" t="inlineStr">
        <is>
          <t>00000017</t>
        </is>
      </c>
      <c r="C15" s="241" t="inlineStr">
        <is>
          <t>REGION</t>
        </is>
      </c>
      <c r="D15" s="305" t="inlineStr">
        <is>
          <t>GUEVARA ALTAMIRANO NAOMI ESMERALDA</t>
        </is>
      </c>
      <c r="E15" s="241" t="inlineStr">
        <is>
          <t>DNI</t>
        </is>
      </c>
      <c r="F15" s="241" t="inlineStr">
        <is>
          <t>81906532</t>
        </is>
      </c>
      <c r="G15" s="336" t="n">
        <v>45899</v>
      </c>
      <c r="H15" s="241" t="inlineStr">
        <is>
          <t>4874</t>
        </is>
      </c>
      <c r="I15" s="332">
        <f>IFERROR(VLOOKUP(TEXT(H15,"0"),IPRESS!$A$3:$B$212,2,0),"")</f>
        <v/>
      </c>
      <c r="J15" s="241" t="inlineStr">
        <is>
          <t>4838</t>
        </is>
      </c>
      <c r="K15" s="332">
        <f>IFERROR(VLOOKUP(TEXT(O15,"0"),CONDUCTORES!$A$3:$G$100,7,0),"")</f>
        <v/>
      </c>
      <c r="L15" s="239" t="n">
        <v>18.18</v>
      </c>
      <c r="M15" s="239" t="n">
        <v>25</v>
      </c>
      <c r="N15" s="333">
        <f>IFERROR(IF(L15*M15=0,"",L15*M15),"")</f>
        <v/>
      </c>
      <c r="O15" s="334" t="n"/>
      <c r="P15" s="332">
        <f>IFERROR(VLOOKUP(TEXT(O15,"0"),CONDUCTORES!$A$3:$G$100,2,0),"")</f>
        <v/>
      </c>
      <c r="Q15" s="332">
        <f>IFERROR(VLOOKUP(TEXT(O15,"0"),CONDUCTORES!$A$3:$H$100,6,0),"")</f>
        <v/>
      </c>
      <c r="R15" s="336" t="n">
        <v>45933</v>
      </c>
      <c r="S15" s="305" t="inlineStr">
        <is>
          <t>J960,J189,Q909</t>
        </is>
      </c>
      <c r="T15" s="241" t="n"/>
      <c r="U15" s="280" t="n"/>
      <c r="V15" s="241" t="n"/>
      <c r="W15" s="241" t="n"/>
      <c r="X15" s="241" t="n"/>
      <c r="Y15" s="280" t="n"/>
    </row>
    <row r="16" ht="15.75" customHeight="1" s="195">
      <c r="A16" s="301" t="n">
        <v>11</v>
      </c>
      <c r="B16" s="302" t="inlineStr">
        <is>
          <t>00000007</t>
        </is>
      </c>
      <c r="C16" s="301" t="inlineStr">
        <is>
          <t>REGION</t>
        </is>
      </c>
      <c r="D16" s="302" t="inlineStr">
        <is>
          <t>TUESTA CARBAJAL MARELYN NICOLE</t>
        </is>
      </c>
      <c r="E16" s="301" t="inlineStr">
        <is>
          <t>DNI</t>
        </is>
      </c>
      <c r="F16" s="301" t="inlineStr">
        <is>
          <t>60229598</t>
        </is>
      </c>
      <c r="G16" s="331" t="n">
        <v>45894</v>
      </c>
      <c r="H16" s="301" t="inlineStr">
        <is>
          <t>4895</t>
        </is>
      </c>
      <c r="I16" s="332">
        <f>IFERROR(VLOOKUP(TEXT(H16,"0"),IPRESS!$A$3:$B$212,2,0),"")</f>
        <v/>
      </c>
      <c r="J16" s="301" t="inlineStr">
        <is>
          <t>4838</t>
        </is>
      </c>
      <c r="K16" s="332">
        <f>IFERROR(VLOOKUP(TEXT(O16,"0"),CONDUCTORES!$A$3:$G$100,7,0),"")</f>
        <v/>
      </c>
      <c r="L16" s="245" t="n">
        <v>18.18</v>
      </c>
      <c r="M16" s="245" t="n">
        <v>7</v>
      </c>
      <c r="N16" s="333">
        <f>IFERROR(IF(L16*M16=0,"",L16*M16),"")</f>
        <v/>
      </c>
      <c r="O16" s="280" t="n"/>
      <c r="P16" s="332">
        <f>IFERROR(VLOOKUP(TEXT(O16,"0"),CONDUCTORES!$A$3:$G$100,2,0),"")</f>
        <v/>
      </c>
      <c r="Q16" s="332">
        <f>IFERROR(VLOOKUP(TEXT(O16,"0"),CONDUCTORES!$A$3:$H$100,6,0),"")</f>
        <v/>
      </c>
      <c r="R16" s="334" t="n"/>
      <c r="S16" s="302" t="inlineStr">
        <is>
          <t>O998</t>
        </is>
      </c>
      <c r="T16" s="301" t="n"/>
      <c r="U16" s="334" t="n"/>
      <c r="V16" s="301" t="n"/>
      <c r="W16" s="301" t="n"/>
      <c r="X16" s="301" t="n"/>
      <c r="Y16" s="280" t="n"/>
    </row>
    <row r="17" ht="15.75" customHeight="1" s="195">
      <c r="A17" s="241" t="n">
        <v>12</v>
      </c>
      <c r="B17" s="305" t="inlineStr">
        <is>
          <t>00000008</t>
        </is>
      </c>
      <c r="C17" s="241" t="inlineStr">
        <is>
          <t>REGION</t>
        </is>
      </c>
      <c r="D17" s="305" t="inlineStr">
        <is>
          <t>PINGUS ILIQUIN KEILY EDELITH</t>
        </is>
      </c>
      <c r="E17" s="241" t="inlineStr">
        <is>
          <t>DNI</t>
        </is>
      </c>
      <c r="F17" s="241" t="inlineStr">
        <is>
          <t>62002537</t>
        </is>
      </c>
      <c r="G17" s="336" t="n">
        <v>45898</v>
      </c>
      <c r="H17" s="241" t="inlineStr">
        <is>
          <t>4895</t>
        </is>
      </c>
      <c r="I17" s="332">
        <f>IFERROR(VLOOKUP(TEXT(H17,"0"),IPRESS!$A$3:$B$212,2,0),"")</f>
        <v/>
      </c>
      <c r="J17" s="241" t="inlineStr">
        <is>
          <t>4838</t>
        </is>
      </c>
      <c r="K17" s="332">
        <f>IFERROR(VLOOKUP(TEXT(O17,"0"),CONDUCTORES!$A$3:$G$100,7,0),"")</f>
        <v/>
      </c>
      <c r="L17" s="239" t="n">
        <v>18.18</v>
      </c>
      <c r="M17" s="239" t="n">
        <v>7</v>
      </c>
      <c r="N17" s="333">
        <f>IFERROR(IF(L17*M17=0,"",L17*M17),"")</f>
        <v/>
      </c>
      <c r="O17" s="334" t="n"/>
      <c r="P17" s="332">
        <f>IFERROR(VLOOKUP(TEXT(O17,"0"),CONDUCTORES!$A$3:$G$100,2,0),"")</f>
        <v/>
      </c>
      <c r="Q17" s="332">
        <f>IFERROR(VLOOKUP(TEXT(O17,"0"),CONDUCTORES!$A$3:$H$100,6,0),"")</f>
        <v/>
      </c>
      <c r="R17" s="280" t="n"/>
      <c r="S17" s="305" t="inlineStr">
        <is>
          <t>K564,K590</t>
        </is>
      </c>
      <c r="T17" s="241" t="n"/>
      <c r="U17" s="280" t="n"/>
      <c r="V17" s="241" t="n"/>
      <c r="W17" s="241" t="n"/>
      <c r="X17" s="241" t="n"/>
      <c r="Y17" s="280" t="n"/>
    </row>
    <row r="18" ht="15.75" customHeight="1" s="195">
      <c r="A18" s="301" t="n">
        <v>13</v>
      </c>
      <c r="B18" s="302" t="inlineStr">
        <is>
          <t>00000003</t>
        </is>
      </c>
      <c r="C18" s="301" t="inlineStr">
        <is>
          <t>REGION</t>
        </is>
      </c>
      <c r="D18" s="302" t="inlineStr">
        <is>
          <t>FERNANDEZ VILCAMANGO MARIA NEIRA</t>
        </is>
      </c>
      <c r="E18" s="301" t="inlineStr">
        <is>
          <t>DNI</t>
        </is>
      </c>
      <c r="F18" s="301" t="inlineStr">
        <is>
          <t>47292466</t>
        </is>
      </c>
      <c r="G18" s="331" t="n">
        <v>45882</v>
      </c>
      <c r="H18" s="301" t="inlineStr">
        <is>
          <t>4875</t>
        </is>
      </c>
      <c r="I18" s="332">
        <f>IFERROR(VLOOKUP(TEXT(H18,"0"),IPRESS!$A$3:$B$212,2,0),"")</f>
        <v/>
      </c>
      <c r="J18" s="301" t="inlineStr">
        <is>
          <t>4838</t>
        </is>
      </c>
      <c r="K18" s="332">
        <f>IFERROR(VLOOKUP(TEXT(O18,"0"),CONDUCTORES!$A$3:$G$100,7,0),"")</f>
        <v/>
      </c>
      <c r="L18" s="245" t="n">
        <v>18.18</v>
      </c>
      <c r="M18" s="245" t="n">
        <v>25</v>
      </c>
      <c r="N18" s="333">
        <f>IFERROR(IF(L18*M18=0,"",L18*M18),"")</f>
        <v/>
      </c>
      <c r="O18" s="280" t="n"/>
      <c r="P18" s="332">
        <f>IFERROR(VLOOKUP(TEXT(O18,"0"),CONDUCTORES!$A$3:$G$100,2,0),"")</f>
        <v/>
      </c>
      <c r="Q18" s="332">
        <f>IFERROR(VLOOKUP(TEXT(O18,"0"),CONDUCTORES!$A$3:$H$100,6,0),"")</f>
        <v/>
      </c>
      <c r="R18" s="331" t="n">
        <v>45965</v>
      </c>
      <c r="S18" s="302" t="inlineStr">
        <is>
          <t>Z349,O342</t>
        </is>
      </c>
      <c r="T18" s="301" t="inlineStr">
        <is>
          <t>DEVOLUCION DE COMBUSTIBLE A C.S. COCOCHO</t>
        </is>
      </c>
      <c r="U18" s="334" t="n"/>
      <c r="V18" s="301" t="n"/>
      <c r="W18" s="301" t="n"/>
      <c r="X18" s="301" t="n"/>
      <c r="Y18" s="280" t="n"/>
    </row>
    <row r="19" ht="15.75" customHeight="1" s="195">
      <c r="A19" s="241" t="n">
        <v>14</v>
      </c>
      <c r="B19" s="305" t="inlineStr">
        <is>
          <t>00000171</t>
        </is>
      </c>
      <c r="C19" s="241" t="inlineStr">
        <is>
          <t>REGION</t>
        </is>
      </c>
      <c r="D19" s="305" t="inlineStr">
        <is>
          <t>LOPES MORI TEODORA</t>
        </is>
      </c>
      <c r="E19" s="241" t="inlineStr">
        <is>
          <t>DNI</t>
        </is>
      </c>
      <c r="F19" s="241" t="inlineStr">
        <is>
          <t>33784767</t>
        </is>
      </c>
      <c r="G19" s="336" t="n">
        <v>45873</v>
      </c>
      <c r="H19" s="241" t="inlineStr">
        <is>
          <t>4950</t>
        </is>
      </c>
      <c r="I19" s="332">
        <f>IFERROR(VLOOKUP(TEXT(H19,"0"),IPRESS!$A$3:$B$212,2,0),"")</f>
        <v/>
      </c>
      <c r="J19" s="241" t="inlineStr">
        <is>
          <t>4838</t>
        </is>
      </c>
      <c r="K19" s="332">
        <f>IFERROR(VLOOKUP(TEXT(O19,"0"),CONDUCTORES!$A$3:$G$100,7,0),"")</f>
        <v/>
      </c>
      <c r="L19" s="239" t="n">
        <v>20.25</v>
      </c>
      <c r="M19" s="239" t="n">
        <v>7</v>
      </c>
      <c r="N19" s="333">
        <f>IFERROR(IF(L19*M19=0,"",L19*M19),"")</f>
        <v/>
      </c>
      <c r="O19" s="334" t="n"/>
      <c r="P19" s="332">
        <f>IFERROR(VLOOKUP(TEXT(O19,"0"),CONDUCTORES!$A$3:$G$100,2,0),"")</f>
        <v/>
      </c>
      <c r="Q19" s="332">
        <f>IFERROR(VLOOKUP(TEXT(O19,"0"),CONDUCTORES!$A$3:$H$100,6,0),"")</f>
        <v/>
      </c>
      <c r="R19" s="336" t="n">
        <v>45968</v>
      </c>
      <c r="S19" s="305" t="inlineStr">
        <is>
          <t>K359,N390</t>
        </is>
      </c>
      <c r="T19" s="241" t="n"/>
      <c r="U19" s="280" t="n"/>
      <c r="V19" s="241" t="n"/>
      <c r="W19" s="241" t="n"/>
      <c r="X19" s="241" t="n"/>
      <c r="Y19" s="280" t="n"/>
    </row>
    <row r="20" ht="15.75" customHeight="1" s="195">
      <c r="A20" s="301" t="n">
        <v>15</v>
      </c>
      <c r="B20" s="302" t="inlineStr">
        <is>
          <t>00000172</t>
        </is>
      </c>
      <c r="C20" s="301" t="inlineStr">
        <is>
          <t>REGION</t>
        </is>
      </c>
      <c r="D20" s="302" t="inlineStr">
        <is>
          <t>FERNANDEZ NUÑEZ HOBERT ELVIS</t>
        </is>
      </c>
      <c r="E20" s="301" t="inlineStr">
        <is>
          <t>DNI</t>
        </is>
      </c>
      <c r="F20" s="301" t="inlineStr">
        <is>
          <t>76581316</t>
        </is>
      </c>
      <c r="G20" s="331" t="n">
        <v>45873</v>
      </c>
      <c r="H20" s="301" t="inlineStr">
        <is>
          <t>4950</t>
        </is>
      </c>
      <c r="I20" s="332">
        <f>IFERROR(VLOOKUP(TEXT(H20,"0"),IPRESS!$A$3:$B$212,2,0),"")</f>
        <v/>
      </c>
      <c r="J20" s="301" t="inlineStr">
        <is>
          <t>4838</t>
        </is>
      </c>
      <c r="K20" s="332">
        <f>IFERROR(VLOOKUP(TEXT(O20,"0"),CONDUCTORES!$A$3:$G$100,7,0),"")</f>
        <v/>
      </c>
      <c r="L20" s="245" t="n">
        <v>20.25</v>
      </c>
      <c r="M20" s="245" t="n">
        <v>7</v>
      </c>
      <c r="N20" s="333">
        <f>IFERROR(IF(L20*M20=0,"",L20*M20),"")</f>
        <v/>
      </c>
      <c r="O20" s="280" t="n"/>
      <c r="P20" s="332">
        <f>IFERROR(VLOOKUP(TEXT(O20,"0"),CONDUCTORES!$A$3:$G$100,2,0),"")</f>
        <v/>
      </c>
      <c r="Q20" s="332">
        <f>IFERROR(VLOOKUP(TEXT(O20,"0"),CONDUCTORES!$A$3:$H$100,6,0),"")</f>
        <v/>
      </c>
      <c r="R20" s="331" t="n">
        <v>45968</v>
      </c>
      <c r="S20" s="302" t="inlineStr">
        <is>
          <t>K351</t>
        </is>
      </c>
      <c r="T20" s="301" t="n"/>
      <c r="U20" s="334" t="n"/>
      <c r="V20" s="301" t="n"/>
      <c r="W20" s="301" t="n"/>
      <c r="X20" s="301" t="n"/>
      <c r="Y20" s="280" t="n"/>
    </row>
    <row r="21" ht="15.75" customHeight="1" s="195">
      <c r="A21" s="241" t="n">
        <v>16</v>
      </c>
      <c r="B21" s="305" t="inlineStr">
        <is>
          <t>00000173</t>
        </is>
      </c>
      <c r="C21" s="241" t="inlineStr">
        <is>
          <t>REGION</t>
        </is>
      </c>
      <c r="D21" s="305" t="inlineStr">
        <is>
          <t>GUTIERREZ EPQUIN BEYVI</t>
        </is>
      </c>
      <c r="E21" s="241" t="inlineStr">
        <is>
          <t>DNI</t>
        </is>
      </c>
      <c r="F21" s="241" t="inlineStr">
        <is>
          <t>46791254</t>
        </is>
      </c>
      <c r="G21" s="336" t="n">
        <v>45874</v>
      </c>
      <c r="H21" s="241" t="inlineStr">
        <is>
          <t>4950</t>
        </is>
      </c>
      <c r="I21" s="332">
        <f>IFERROR(VLOOKUP(TEXT(H21,"0"),IPRESS!$A$3:$B$212,2,0),"")</f>
        <v/>
      </c>
      <c r="J21" s="241" t="inlineStr">
        <is>
          <t>4838</t>
        </is>
      </c>
      <c r="K21" s="332">
        <f>IFERROR(VLOOKUP(TEXT(O21,"0"),CONDUCTORES!$A$3:$G$100,7,0),"")</f>
        <v/>
      </c>
      <c r="L21" s="239" t="n">
        <v>20.25</v>
      </c>
      <c r="M21" s="239" t="n">
        <v>7</v>
      </c>
      <c r="N21" s="333">
        <f>IFERROR(IF(L21*M21=0,"",L21*M21),"")</f>
        <v/>
      </c>
      <c r="O21" s="334" t="n"/>
      <c r="P21" s="332">
        <f>IFERROR(VLOOKUP(TEXT(O21,"0"),CONDUCTORES!$A$3:$G$100,2,0),"")</f>
        <v/>
      </c>
      <c r="Q21" s="332">
        <f>IFERROR(VLOOKUP(TEXT(O21,"0"),CONDUCTORES!$A$3:$H$100,6,0),"")</f>
        <v/>
      </c>
      <c r="R21" s="336" t="n">
        <v>45968</v>
      </c>
      <c r="S21" s="305" t="inlineStr">
        <is>
          <t>R104,K37X</t>
        </is>
      </c>
      <c r="T21" s="241" t="n"/>
      <c r="U21" s="280" t="n"/>
      <c r="V21" s="241" t="n"/>
      <c r="W21" s="241" t="n"/>
      <c r="X21" s="241" t="n"/>
      <c r="Y21" s="280" t="n"/>
    </row>
    <row r="22" ht="15.75" customHeight="1" s="195">
      <c r="A22" s="301" t="n">
        <v>17</v>
      </c>
      <c r="B22" s="302" t="inlineStr">
        <is>
          <t>00000174</t>
        </is>
      </c>
      <c r="C22" s="301" t="inlineStr">
        <is>
          <t>REGION</t>
        </is>
      </c>
      <c r="D22" s="302" t="inlineStr">
        <is>
          <t>ZUTA CHAVEZ MILTON</t>
        </is>
      </c>
      <c r="E22" s="301" t="inlineStr">
        <is>
          <t>DNI</t>
        </is>
      </c>
      <c r="F22" s="301" t="inlineStr">
        <is>
          <t>76658434</t>
        </is>
      </c>
      <c r="G22" s="331" t="n">
        <v>45874</v>
      </c>
      <c r="H22" s="301" t="inlineStr">
        <is>
          <t>4950</t>
        </is>
      </c>
      <c r="I22" s="332">
        <f>IFERROR(VLOOKUP(TEXT(H22,"0"),IPRESS!$A$3:$B$212,2,0),"")</f>
        <v/>
      </c>
      <c r="J22" s="301" t="inlineStr">
        <is>
          <t>4838</t>
        </is>
      </c>
      <c r="K22" s="332">
        <f>IFERROR(VLOOKUP(TEXT(O22,"0"),CONDUCTORES!$A$3:$G$100,7,0),"")</f>
        <v/>
      </c>
      <c r="L22" s="245" t="n">
        <v>20.25</v>
      </c>
      <c r="M22" s="245" t="n">
        <v>7</v>
      </c>
      <c r="N22" s="333">
        <f>IFERROR(IF(L22*M22=0,"",L22*M22),"")</f>
        <v/>
      </c>
      <c r="O22" s="280" t="n"/>
      <c r="P22" s="332">
        <f>IFERROR(VLOOKUP(TEXT(O22,"0"),CONDUCTORES!$A$3:$G$100,2,0),"")</f>
        <v/>
      </c>
      <c r="Q22" s="332">
        <f>IFERROR(VLOOKUP(TEXT(O22,"0"),CONDUCTORES!$A$3:$H$100,6,0),"")</f>
        <v/>
      </c>
      <c r="R22" s="331" t="n">
        <v>45968</v>
      </c>
      <c r="S22" s="302" t="inlineStr">
        <is>
          <t>I609,G419</t>
        </is>
      </c>
      <c r="T22" s="301" t="n"/>
      <c r="U22" s="334" t="n"/>
      <c r="V22" s="301" t="n"/>
      <c r="W22" s="301" t="n"/>
      <c r="X22" s="301" t="n"/>
      <c r="Y22" s="280" t="n"/>
    </row>
    <row r="23" ht="15.75" customHeight="1" s="195">
      <c r="A23" s="241" t="n">
        <v>18</v>
      </c>
      <c r="B23" s="305" t="inlineStr">
        <is>
          <t>00000175</t>
        </is>
      </c>
      <c r="C23" s="241" t="inlineStr">
        <is>
          <t>REGION</t>
        </is>
      </c>
      <c r="D23" s="305" t="inlineStr">
        <is>
          <t>LOJA DE MESTANZA HORTENCIA PRIMITIVA</t>
        </is>
      </c>
      <c r="E23" s="241" t="inlineStr">
        <is>
          <t>DNI</t>
        </is>
      </c>
      <c r="F23" s="241" t="inlineStr">
        <is>
          <t>33949411</t>
        </is>
      </c>
      <c r="G23" s="336" t="n">
        <v>45875</v>
      </c>
      <c r="H23" s="241" t="inlineStr">
        <is>
          <t>4950</t>
        </is>
      </c>
      <c r="I23" s="332">
        <f>IFERROR(VLOOKUP(TEXT(H23,"0"),IPRESS!$A$3:$B$212,2,0),"")</f>
        <v/>
      </c>
      <c r="J23" s="241" t="inlineStr">
        <is>
          <t>4838</t>
        </is>
      </c>
      <c r="K23" s="332">
        <f>IFERROR(VLOOKUP(TEXT(O23,"0"),CONDUCTORES!$A$3:$G$100,7,0),"")</f>
        <v/>
      </c>
      <c r="L23" s="239" t="n">
        <v>20.25</v>
      </c>
      <c r="M23" s="239" t="n">
        <v>7</v>
      </c>
      <c r="N23" s="333">
        <f>IFERROR(IF(L23*M23=0,"",L23*M23),"")</f>
        <v/>
      </c>
      <c r="O23" s="334" t="n"/>
      <c r="P23" s="332">
        <f>IFERROR(VLOOKUP(TEXT(O23,"0"),CONDUCTORES!$A$3:$G$100,2,0),"")</f>
        <v/>
      </c>
      <c r="Q23" s="332">
        <f>IFERROR(VLOOKUP(TEXT(O23,"0"),CONDUCTORES!$A$3:$H$100,6,0),"")</f>
        <v/>
      </c>
      <c r="R23" s="336" t="n">
        <v>45968</v>
      </c>
      <c r="S23" s="305" t="inlineStr">
        <is>
          <t>J159,A419</t>
        </is>
      </c>
      <c r="T23" s="241" t="n"/>
      <c r="U23" s="280" t="n"/>
      <c r="V23" s="241" t="n"/>
      <c r="W23" s="241" t="n"/>
      <c r="X23" s="241" t="n"/>
      <c r="Y23" s="280" t="n"/>
    </row>
    <row r="24" ht="15.75" customHeight="1" s="195">
      <c r="A24" s="301" t="n">
        <v>19</v>
      </c>
      <c r="B24" s="302" t="inlineStr">
        <is>
          <t>00000176</t>
        </is>
      </c>
      <c r="C24" s="301" t="inlineStr">
        <is>
          <t>REGION</t>
        </is>
      </c>
      <c r="D24" s="302" t="inlineStr">
        <is>
          <t>CHUQUIZUTA LLAJA ARACELY</t>
        </is>
      </c>
      <c r="E24" s="301" t="inlineStr">
        <is>
          <t>DNI</t>
        </is>
      </c>
      <c r="F24" s="301" t="inlineStr">
        <is>
          <t>73587292</t>
        </is>
      </c>
      <c r="G24" s="331" t="n">
        <v>45876</v>
      </c>
      <c r="H24" s="301" t="inlineStr">
        <is>
          <t>4950</t>
        </is>
      </c>
      <c r="I24" s="332">
        <f>IFERROR(VLOOKUP(TEXT(H24,"0"),IPRESS!$A$3:$B$212,2,0),"")</f>
        <v/>
      </c>
      <c r="J24" s="301" t="inlineStr">
        <is>
          <t>4838</t>
        </is>
      </c>
      <c r="K24" s="332">
        <f>IFERROR(VLOOKUP(TEXT(O24,"0"),CONDUCTORES!$A$3:$G$100,7,0),"")</f>
        <v/>
      </c>
      <c r="L24" s="245" t="n">
        <v>20.25</v>
      </c>
      <c r="M24" s="245" t="n">
        <v>6</v>
      </c>
      <c r="N24" s="333">
        <f>IFERROR(IF(L24*M24=0,"",L24*M24),"")</f>
        <v/>
      </c>
      <c r="O24" s="280" t="n"/>
      <c r="P24" s="332">
        <f>IFERROR(VLOOKUP(TEXT(O24,"0"),CONDUCTORES!$A$3:$G$100,2,0),"")</f>
        <v/>
      </c>
      <c r="Q24" s="332">
        <f>IFERROR(VLOOKUP(TEXT(O24,"0"),CONDUCTORES!$A$3:$H$100,6,0),"")</f>
        <v/>
      </c>
      <c r="R24" s="331" t="n">
        <v>45968</v>
      </c>
      <c r="S24" s="302" t="inlineStr">
        <is>
          <t>O600</t>
        </is>
      </c>
      <c r="T24" s="301" t="n"/>
      <c r="U24" s="334" t="n"/>
      <c r="V24" s="301" t="n"/>
      <c r="W24" s="301" t="n"/>
      <c r="X24" s="301" t="n"/>
      <c r="Y24" s="280" t="n"/>
    </row>
    <row r="25" ht="15.75" customHeight="1" s="195">
      <c r="A25" s="241" t="n">
        <v>20</v>
      </c>
      <c r="B25" s="305" t="inlineStr">
        <is>
          <t>00000178</t>
        </is>
      </c>
      <c r="C25" s="241" t="inlineStr">
        <is>
          <t>REGION</t>
        </is>
      </c>
      <c r="D25" s="305" t="inlineStr">
        <is>
          <t>CRUZ RODRIGUEZ NESTOR RAMOS</t>
        </is>
      </c>
      <c r="E25" s="241" t="inlineStr">
        <is>
          <t>DNI</t>
        </is>
      </c>
      <c r="F25" s="241" t="inlineStr">
        <is>
          <t>33947137</t>
        </is>
      </c>
      <c r="G25" s="336" t="n">
        <v>45878</v>
      </c>
      <c r="H25" s="241" t="inlineStr">
        <is>
          <t>4950</t>
        </is>
      </c>
      <c r="I25" s="332">
        <f>IFERROR(VLOOKUP(TEXT(H25,"0"),IPRESS!$A$3:$B$212,2,0),"")</f>
        <v/>
      </c>
      <c r="J25" s="241" t="inlineStr">
        <is>
          <t>4838</t>
        </is>
      </c>
      <c r="K25" s="332">
        <f>IFERROR(VLOOKUP(TEXT(O25,"0"),CONDUCTORES!$A$3:$G$100,7,0),"")</f>
        <v/>
      </c>
      <c r="L25" s="239" t="n">
        <v>20.25</v>
      </c>
      <c r="M25" s="239" t="n">
        <v>7</v>
      </c>
      <c r="N25" s="333">
        <f>IFERROR(IF(L25*M25=0,"",L25*M25),"")</f>
        <v/>
      </c>
      <c r="O25" s="334" t="n"/>
      <c r="P25" s="332">
        <f>IFERROR(VLOOKUP(TEXT(O25,"0"),CONDUCTORES!$A$3:$G$100,2,0),"")</f>
        <v/>
      </c>
      <c r="Q25" s="332">
        <f>IFERROR(VLOOKUP(TEXT(O25,"0"),CONDUCTORES!$A$3:$H$100,6,0),"")</f>
        <v/>
      </c>
      <c r="R25" s="336" t="n">
        <v>45968</v>
      </c>
      <c r="S25" s="305" t="inlineStr">
        <is>
          <t>S534</t>
        </is>
      </c>
      <c r="T25" s="241" t="n"/>
      <c r="U25" s="280" t="n"/>
      <c r="V25" s="241" t="n"/>
      <c r="W25" s="241" t="n"/>
      <c r="X25" s="241" t="n"/>
      <c r="Y25" s="280" t="n"/>
    </row>
    <row r="26" ht="15.75" customHeight="1" s="195">
      <c r="A26" s="301" t="n">
        <v>21</v>
      </c>
      <c r="B26" s="302" t="inlineStr">
        <is>
          <t>00000179</t>
        </is>
      </c>
      <c r="C26" s="301" t="inlineStr">
        <is>
          <t>REGION</t>
        </is>
      </c>
      <c r="D26" s="302" t="inlineStr">
        <is>
          <t>VASQUEZ CARHUAJULCA FRANCISCO</t>
        </is>
      </c>
      <c r="E26" s="301" t="inlineStr">
        <is>
          <t>DNI</t>
        </is>
      </c>
      <c r="F26" s="301" t="inlineStr">
        <is>
          <t>27554292</t>
        </is>
      </c>
      <c r="G26" s="331" t="n">
        <v>45884</v>
      </c>
      <c r="H26" s="301" t="inlineStr">
        <is>
          <t>4950</t>
        </is>
      </c>
      <c r="I26" s="332">
        <f>IFERROR(VLOOKUP(TEXT(H26,"0"),IPRESS!$A$3:$B$212,2,0),"")</f>
        <v/>
      </c>
      <c r="J26" s="301" t="inlineStr">
        <is>
          <t>4838</t>
        </is>
      </c>
      <c r="K26" s="332">
        <f>IFERROR(VLOOKUP(TEXT(O26,"0"),CONDUCTORES!$A$3:$G$100,7,0),"")</f>
        <v/>
      </c>
      <c r="L26" s="245" t="n">
        <v>20.25</v>
      </c>
      <c r="M26" s="245" t="n">
        <v>7</v>
      </c>
      <c r="N26" s="333">
        <f>IFERROR(IF(L26*M26=0,"",L26*M26),"")</f>
        <v/>
      </c>
      <c r="O26" s="280" t="n"/>
      <c r="P26" s="332">
        <f>IFERROR(VLOOKUP(TEXT(O26,"0"),CONDUCTORES!$A$3:$G$100,2,0),"")</f>
        <v/>
      </c>
      <c r="Q26" s="332">
        <f>IFERROR(VLOOKUP(TEXT(O26,"0"),CONDUCTORES!$A$3:$H$100,6,0),"")</f>
        <v/>
      </c>
      <c r="R26" s="331" t="n">
        <v>45968</v>
      </c>
      <c r="S26" s="302" t="inlineStr">
        <is>
          <t>K400</t>
        </is>
      </c>
      <c r="T26" s="301" t="n"/>
      <c r="U26" s="334" t="n"/>
      <c r="V26" s="301" t="n"/>
      <c r="W26" s="301" t="n"/>
      <c r="X26" s="301" t="n"/>
      <c r="Y26" s="280" t="n"/>
    </row>
    <row r="27" ht="15.75" customHeight="1" s="195">
      <c r="A27" s="241" t="n">
        <v>22</v>
      </c>
      <c r="B27" s="305" t="inlineStr">
        <is>
          <t>00000180</t>
        </is>
      </c>
      <c r="C27" s="241" t="inlineStr">
        <is>
          <t>REGION</t>
        </is>
      </c>
      <c r="D27" s="305" t="inlineStr">
        <is>
          <t>SANTILLAN SALAZAR EDITH NOEMI</t>
        </is>
      </c>
      <c r="E27" s="241" t="inlineStr">
        <is>
          <t>DNI</t>
        </is>
      </c>
      <c r="F27" s="241" t="inlineStr">
        <is>
          <t>76748422</t>
        </is>
      </c>
      <c r="G27" s="336" t="n">
        <v>45885</v>
      </c>
      <c r="H27" s="241" t="inlineStr">
        <is>
          <t>4950</t>
        </is>
      </c>
      <c r="I27" s="332">
        <f>IFERROR(VLOOKUP(TEXT(H27,"0"),IPRESS!$A$3:$B$212,2,0),"")</f>
        <v/>
      </c>
      <c r="J27" s="241" t="inlineStr">
        <is>
          <t>4838</t>
        </is>
      </c>
      <c r="K27" s="332">
        <f>IFERROR(VLOOKUP(TEXT(O27,"0"),CONDUCTORES!$A$3:$G$100,7,0),"")</f>
        <v/>
      </c>
      <c r="L27" s="239" t="n">
        <v>20.25</v>
      </c>
      <c r="M27" s="239" t="n">
        <v>7</v>
      </c>
      <c r="N27" s="333">
        <f>IFERROR(IF(L27*M27=0,"",L27*M27),"")</f>
        <v/>
      </c>
      <c r="O27" s="334" t="n"/>
      <c r="P27" s="332">
        <f>IFERROR(VLOOKUP(TEXT(O27,"0"),CONDUCTORES!$A$3:$G$100,2,0),"")</f>
        <v/>
      </c>
      <c r="Q27" s="332">
        <f>IFERROR(VLOOKUP(TEXT(O27,"0"),CONDUCTORES!$A$3:$H$100,6,0),"")</f>
        <v/>
      </c>
      <c r="R27" s="336" t="n">
        <v>45968</v>
      </c>
      <c r="S27" s="305" t="inlineStr">
        <is>
          <t>O48X,O990</t>
        </is>
      </c>
      <c r="T27" s="241" t="n"/>
      <c r="U27" s="280" t="n"/>
      <c r="V27" s="241" t="n"/>
      <c r="W27" s="241" t="n"/>
      <c r="X27" s="241" t="n"/>
      <c r="Y27" s="280" t="n"/>
    </row>
    <row r="28" ht="15.75" customHeight="1" s="195">
      <c r="A28" s="301" t="n">
        <v>23</v>
      </c>
      <c r="B28" s="302" t="inlineStr">
        <is>
          <t>00000184</t>
        </is>
      </c>
      <c r="C28" s="301" t="inlineStr">
        <is>
          <t>REGION</t>
        </is>
      </c>
      <c r="D28" s="302" t="inlineStr">
        <is>
          <t>GRANDEZ PORTOCARRERO LUIS HUMBERTO</t>
        </is>
      </c>
      <c r="E28" s="301" t="inlineStr">
        <is>
          <t>DNI</t>
        </is>
      </c>
      <c r="F28" s="301" t="inlineStr">
        <is>
          <t>33944708</t>
        </is>
      </c>
      <c r="G28" s="331" t="n">
        <v>45888</v>
      </c>
      <c r="H28" s="301" t="inlineStr">
        <is>
          <t>4950</t>
        </is>
      </c>
      <c r="I28" s="332">
        <f>IFERROR(VLOOKUP(TEXT(H28,"0"),IPRESS!$A$3:$B$212,2,0),"")</f>
        <v/>
      </c>
      <c r="J28" s="301" t="inlineStr">
        <is>
          <t>4838</t>
        </is>
      </c>
      <c r="K28" s="332">
        <f>IFERROR(VLOOKUP(TEXT(O28,"0"),CONDUCTORES!$A$3:$G$100,7,0),"")</f>
        <v/>
      </c>
      <c r="L28" s="245" t="n">
        <v>20.25</v>
      </c>
      <c r="M28" s="245" t="n">
        <v>7</v>
      </c>
      <c r="N28" s="333">
        <f>IFERROR(IF(L28*M28=0,"",L28*M28),"")</f>
        <v/>
      </c>
      <c r="O28" s="280" t="n"/>
      <c r="P28" s="332">
        <f>IFERROR(VLOOKUP(TEXT(O28,"0"),CONDUCTORES!$A$3:$G$100,2,0),"")</f>
        <v/>
      </c>
      <c r="Q28" s="332">
        <f>IFERROR(VLOOKUP(TEXT(O28,"0"),CONDUCTORES!$A$3:$H$100,6,0),"")</f>
        <v/>
      </c>
      <c r="R28" s="331" t="n">
        <v>45968</v>
      </c>
      <c r="S28" s="302" t="inlineStr">
        <is>
          <t>A419,R02X,N189,I702</t>
        </is>
      </c>
      <c r="T28" s="301" t="n"/>
      <c r="U28" s="334" t="n"/>
      <c r="V28" s="301" t="n"/>
      <c r="W28" s="301" t="n"/>
      <c r="X28" s="301" t="n"/>
      <c r="Y28" s="280" t="n"/>
    </row>
    <row r="29" ht="15.75" customHeight="1" s="195">
      <c r="A29" s="241" t="n">
        <v>24</v>
      </c>
      <c r="B29" s="305" t="inlineStr">
        <is>
          <t>00000185</t>
        </is>
      </c>
      <c r="C29" s="241" t="inlineStr">
        <is>
          <t>REGION</t>
        </is>
      </c>
      <c r="D29" s="305" t="inlineStr">
        <is>
          <t>MUÑOZ GUEVARA ANITA MELCHORA</t>
        </is>
      </c>
      <c r="E29" s="241" t="inlineStr">
        <is>
          <t>DNI</t>
        </is>
      </c>
      <c r="F29" s="241" t="inlineStr">
        <is>
          <t>45698579</t>
        </is>
      </c>
      <c r="G29" s="336" t="n">
        <v>45889</v>
      </c>
      <c r="H29" s="241" t="inlineStr">
        <is>
          <t>4950</t>
        </is>
      </c>
      <c r="I29" s="332">
        <f>IFERROR(VLOOKUP(TEXT(H29,"0"),IPRESS!$A$3:$B$212,2,0),"")</f>
        <v/>
      </c>
      <c r="J29" s="241" t="inlineStr">
        <is>
          <t>4838</t>
        </is>
      </c>
      <c r="K29" s="332">
        <f>IFERROR(VLOOKUP(TEXT(O29,"0"),CONDUCTORES!$A$3:$G$100,7,0),"")</f>
        <v/>
      </c>
      <c r="L29" s="239" t="n">
        <v>20.25</v>
      </c>
      <c r="M29" s="239" t="n">
        <v>7</v>
      </c>
      <c r="N29" s="333">
        <f>IFERROR(IF(L29*M29=0,"",L29*M29),"")</f>
        <v/>
      </c>
      <c r="O29" s="334" t="n"/>
      <c r="P29" s="332">
        <f>IFERROR(VLOOKUP(TEXT(O29,"0"),CONDUCTORES!$A$3:$G$100,2,0),"")</f>
        <v/>
      </c>
      <c r="Q29" s="332">
        <f>IFERROR(VLOOKUP(TEXT(O29,"0"),CONDUCTORES!$A$3:$H$100,6,0),"")</f>
        <v/>
      </c>
      <c r="R29" s="336" t="n">
        <v>45968</v>
      </c>
      <c r="S29" s="305" t="inlineStr">
        <is>
          <t>O009</t>
        </is>
      </c>
      <c r="T29" s="241" t="n"/>
      <c r="U29" s="280" t="n"/>
      <c r="V29" s="241" t="n"/>
      <c r="W29" s="241" t="n"/>
      <c r="X29" s="241" t="n"/>
      <c r="Y29" s="280" t="n"/>
    </row>
    <row r="30" ht="15.75" customHeight="1" s="195">
      <c r="A30" s="301" t="n">
        <v>25</v>
      </c>
      <c r="B30" s="302" t="inlineStr">
        <is>
          <t>00000186</t>
        </is>
      </c>
      <c r="C30" s="301" t="inlineStr">
        <is>
          <t>REGION</t>
        </is>
      </c>
      <c r="D30" s="302" t="inlineStr">
        <is>
          <t>MAS MAS VIRGILIO</t>
        </is>
      </c>
      <c r="E30" s="301" t="inlineStr">
        <is>
          <t>DNI</t>
        </is>
      </c>
      <c r="F30" s="301" t="inlineStr">
        <is>
          <t>33425144</t>
        </is>
      </c>
      <c r="G30" s="331" t="n">
        <v>45893</v>
      </c>
      <c r="H30" s="301" t="inlineStr">
        <is>
          <t>4950</t>
        </is>
      </c>
      <c r="I30" s="332">
        <f>IFERROR(VLOOKUP(TEXT(H30,"0"),IPRESS!$A$3:$B$212,2,0),"")</f>
        <v/>
      </c>
      <c r="J30" s="301" t="inlineStr">
        <is>
          <t>4838</t>
        </is>
      </c>
      <c r="K30" s="332">
        <f>IFERROR(VLOOKUP(TEXT(O30,"0"),CONDUCTORES!$A$3:$G$100,7,0),"")</f>
        <v/>
      </c>
      <c r="L30" s="245" t="n">
        <v>20.25</v>
      </c>
      <c r="M30" s="245" t="n">
        <v>7</v>
      </c>
      <c r="N30" s="333">
        <f>IFERROR(IF(L30*M30=0,"",L30*M30),"")</f>
        <v/>
      </c>
      <c r="O30" s="280" t="n"/>
      <c r="P30" s="332">
        <f>IFERROR(VLOOKUP(TEXT(O30,"0"),CONDUCTORES!$A$3:$G$100,2,0),"")</f>
        <v/>
      </c>
      <c r="Q30" s="332">
        <f>IFERROR(VLOOKUP(TEXT(O30,"0"),CONDUCTORES!$A$3:$H$100,6,0),"")</f>
        <v/>
      </c>
      <c r="R30" s="331" t="n">
        <v>45968</v>
      </c>
      <c r="S30" s="302" t="inlineStr">
        <is>
          <t>T630</t>
        </is>
      </c>
      <c r="T30" s="301" t="n"/>
      <c r="U30" s="334" t="n"/>
      <c r="V30" s="301" t="n"/>
      <c r="W30" s="301" t="n"/>
      <c r="X30" s="301" t="n"/>
      <c r="Y30" s="280" t="n"/>
    </row>
    <row r="31" ht="15.75" customHeight="1" s="195">
      <c r="A31" s="241" t="n">
        <v>26</v>
      </c>
      <c r="B31" s="305" t="inlineStr">
        <is>
          <t>00000187</t>
        </is>
      </c>
      <c r="C31" s="241" t="inlineStr">
        <is>
          <t>REGION</t>
        </is>
      </c>
      <c r="D31" s="305" t="inlineStr">
        <is>
          <t>OLIVERA BUSTAMANTE FABRICIO CALEK</t>
        </is>
      </c>
      <c r="E31" s="241" t="inlineStr">
        <is>
          <t>DNI</t>
        </is>
      </c>
      <c r="F31" s="241" t="inlineStr">
        <is>
          <t>78767726</t>
        </is>
      </c>
      <c r="G31" s="336" t="n">
        <v>45893</v>
      </c>
      <c r="H31" s="241" t="inlineStr">
        <is>
          <t>4950</t>
        </is>
      </c>
      <c r="I31" s="332">
        <f>IFERROR(VLOOKUP(TEXT(H31,"0"),IPRESS!$A$3:$B$212,2,0),"")</f>
        <v/>
      </c>
      <c r="J31" s="241" t="inlineStr">
        <is>
          <t>4838</t>
        </is>
      </c>
      <c r="K31" s="332">
        <f>IFERROR(VLOOKUP(TEXT(O31,"0"),CONDUCTORES!$A$3:$G$100,7,0),"")</f>
        <v/>
      </c>
      <c r="L31" s="239" t="n">
        <v>20.25</v>
      </c>
      <c r="M31" s="239" t="n">
        <v>7</v>
      </c>
      <c r="N31" s="333">
        <f>IFERROR(IF(L31*M31=0,"",L31*M31),"")</f>
        <v/>
      </c>
      <c r="O31" s="334" t="n"/>
      <c r="P31" s="332">
        <f>IFERROR(VLOOKUP(TEXT(O31,"0"),CONDUCTORES!$A$3:$G$100,2,0),"")</f>
        <v/>
      </c>
      <c r="Q31" s="332">
        <f>IFERROR(VLOOKUP(TEXT(O31,"0"),CONDUCTORES!$A$3:$H$100,6,0),"")</f>
        <v/>
      </c>
      <c r="R31" s="336" t="n">
        <v>45968</v>
      </c>
      <c r="S31" s="305" t="inlineStr">
        <is>
          <t>R104,K359</t>
        </is>
      </c>
      <c r="T31" s="241" t="n"/>
      <c r="U31" s="280" t="n"/>
      <c r="V31" s="241" t="n"/>
      <c r="W31" s="241" t="n"/>
      <c r="X31" s="241" t="n"/>
      <c r="Y31" s="280" t="n"/>
    </row>
    <row r="32" ht="15.75" customHeight="1" s="195">
      <c r="A32" s="301" t="n">
        <v>27</v>
      </c>
      <c r="B32" s="302" t="inlineStr">
        <is>
          <t>00000188</t>
        </is>
      </c>
      <c r="C32" s="301" t="inlineStr">
        <is>
          <t>REGION</t>
        </is>
      </c>
      <c r="D32" s="302" t="inlineStr">
        <is>
          <t>LAPIZ PINEDO FLORECINDA</t>
        </is>
      </c>
      <c r="E32" s="301" t="inlineStr">
        <is>
          <t>DNI</t>
        </is>
      </c>
      <c r="F32" s="301" t="inlineStr">
        <is>
          <t>43079054</t>
        </is>
      </c>
      <c r="G32" s="331" t="n">
        <v>45894</v>
      </c>
      <c r="H32" s="301" t="inlineStr">
        <is>
          <t>4950</t>
        </is>
      </c>
      <c r="I32" s="332">
        <f>IFERROR(VLOOKUP(TEXT(H32,"0"),IPRESS!$A$3:$B$212,2,0),"")</f>
        <v/>
      </c>
      <c r="J32" s="301" t="inlineStr">
        <is>
          <t>4838</t>
        </is>
      </c>
      <c r="K32" s="332">
        <f>IFERROR(VLOOKUP(TEXT(O32,"0"),CONDUCTORES!$A$3:$G$100,7,0),"")</f>
        <v/>
      </c>
      <c r="L32" s="245" t="n">
        <v>20.25</v>
      </c>
      <c r="M32" s="245" t="n">
        <v>7</v>
      </c>
      <c r="N32" s="333">
        <f>IFERROR(IF(L32*M32=0,"",L32*M32),"")</f>
        <v/>
      </c>
      <c r="O32" s="280" t="n"/>
      <c r="P32" s="332">
        <f>IFERROR(VLOOKUP(TEXT(O32,"0"),CONDUCTORES!$A$3:$G$100,2,0),"")</f>
        <v/>
      </c>
      <c r="Q32" s="332">
        <f>IFERROR(VLOOKUP(TEXT(O32,"0"),CONDUCTORES!$A$3:$H$100,6,0),"")</f>
        <v/>
      </c>
      <c r="R32" s="331" t="n">
        <v>45968</v>
      </c>
      <c r="S32" s="302" t="inlineStr">
        <is>
          <t>X208</t>
        </is>
      </c>
      <c r="T32" s="301" t="n"/>
      <c r="U32" s="334" t="n"/>
      <c r="V32" s="301" t="n"/>
      <c r="W32" s="301" t="n"/>
      <c r="X32" s="301" t="n"/>
      <c r="Y32" s="280" t="n"/>
    </row>
    <row r="33" ht="15.75" customHeight="1" s="195">
      <c r="A33" s="241" t="n">
        <v>28</v>
      </c>
      <c r="B33" s="305" t="inlineStr">
        <is>
          <t>00000189</t>
        </is>
      </c>
      <c r="C33" s="241" t="inlineStr">
        <is>
          <t>REGION</t>
        </is>
      </c>
      <c r="D33" s="305" t="inlineStr">
        <is>
          <t>VARGAS FARFAN ANA GABRIEL</t>
        </is>
      </c>
      <c r="E33" s="241" t="inlineStr">
        <is>
          <t>DNI</t>
        </is>
      </c>
      <c r="F33" s="241" t="inlineStr">
        <is>
          <t>63038936</t>
        </is>
      </c>
      <c r="G33" s="336" t="n">
        <v>45895</v>
      </c>
      <c r="H33" s="241" t="inlineStr">
        <is>
          <t>4950</t>
        </is>
      </c>
      <c r="I33" s="332">
        <f>IFERROR(VLOOKUP(TEXT(H33,"0"),IPRESS!$A$3:$B$212,2,0),"")</f>
        <v/>
      </c>
      <c r="J33" s="241" t="inlineStr">
        <is>
          <t>4838</t>
        </is>
      </c>
      <c r="K33" s="332">
        <f>IFERROR(VLOOKUP(TEXT(O33,"0"),CONDUCTORES!$A$3:$G$100,7,0),"")</f>
        <v/>
      </c>
      <c r="L33" s="239" t="n">
        <v>20.25</v>
      </c>
      <c r="M33" s="239" t="n">
        <v>7</v>
      </c>
      <c r="N33" s="333">
        <f>IFERROR(IF(L33*M33=0,"",L33*M33),"")</f>
        <v/>
      </c>
      <c r="O33" s="334" t="n"/>
      <c r="P33" s="332">
        <f>IFERROR(VLOOKUP(TEXT(O33,"0"),CONDUCTORES!$A$3:$G$100,2,0),"")</f>
        <v/>
      </c>
      <c r="Q33" s="332">
        <f>IFERROR(VLOOKUP(TEXT(O33,"0"),CONDUCTORES!$A$3:$H$100,6,0),"")</f>
        <v/>
      </c>
      <c r="R33" s="336" t="n">
        <v>45968</v>
      </c>
      <c r="S33" s="305" t="inlineStr">
        <is>
          <t>R104,N385</t>
        </is>
      </c>
      <c r="T33" s="241" t="n"/>
      <c r="U33" s="280" t="n"/>
      <c r="V33" s="241" t="n"/>
      <c r="W33" s="241" t="n"/>
      <c r="X33" s="241" t="n"/>
      <c r="Y33" s="280" t="n"/>
    </row>
    <row r="34" ht="15.75" customHeight="1" s="195">
      <c r="A34" s="301" t="n">
        <v>29</v>
      </c>
      <c r="B34" s="302" t="inlineStr">
        <is>
          <t>00000190</t>
        </is>
      </c>
      <c r="C34" s="301" t="inlineStr">
        <is>
          <t>REGION</t>
        </is>
      </c>
      <c r="D34" s="302" t="inlineStr">
        <is>
          <t>JIMENEZ VILLANUEVA JHARLIN YOSVITH</t>
        </is>
      </c>
      <c r="E34" s="301" t="inlineStr">
        <is>
          <t>DNI</t>
        </is>
      </c>
      <c r="F34" s="301" t="inlineStr">
        <is>
          <t>80751823</t>
        </is>
      </c>
      <c r="G34" s="331" t="n">
        <v>45895</v>
      </c>
      <c r="H34" s="301" t="inlineStr">
        <is>
          <t>4950</t>
        </is>
      </c>
      <c r="I34" s="332">
        <f>IFERROR(VLOOKUP(TEXT(H34,"0"),IPRESS!$A$3:$B$212,2,0),"")</f>
        <v/>
      </c>
      <c r="J34" s="301" t="inlineStr">
        <is>
          <t>4838</t>
        </is>
      </c>
      <c r="K34" s="332">
        <f>IFERROR(VLOOKUP(TEXT(O34,"0"),CONDUCTORES!$A$3:$G$100,7,0),"")</f>
        <v/>
      </c>
      <c r="L34" s="245" t="n">
        <v>20.25</v>
      </c>
      <c r="M34" s="245" t="n">
        <v>7</v>
      </c>
      <c r="N34" s="333">
        <f>IFERROR(IF(L34*M34=0,"",L34*M34),"")</f>
        <v/>
      </c>
      <c r="O34" s="280" t="n"/>
      <c r="P34" s="332">
        <f>IFERROR(VLOOKUP(TEXT(O34,"0"),CONDUCTORES!$A$3:$G$100,2,0),"")</f>
        <v/>
      </c>
      <c r="Q34" s="332">
        <f>IFERROR(VLOOKUP(TEXT(O34,"0"),CONDUCTORES!$A$3:$H$100,6,0),"")</f>
        <v/>
      </c>
      <c r="R34" s="331" t="n">
        <v>45968</v>
      </c>
      <c r="S34" s="302" t="inlineStr">
        <is>
          <t>R104,A419</t>
        </is>
      </c>
      <c r="T34" s="301" t="n"/>
      <c r="U34" s="334" t="n"/>
      <c r="V34" s="301" t="n"/>
      <c r="W34" s="301" t="n"/>
      <c r="X34" s="301" t="n"/>
      <c r="Y34" s="280" t="n"/>
    </row>
    <row r="35" ht="15.75" customHeight="1" s="195">
      <c r="A35" s="241" t="n">
        <v>30</v>
      </c>
      <c r="B35" s="305" t="inlineStr">
        <is>
          <t>00000191</t>
        </is>
      </c>
      <c r="C35" s="241" t="inlineStr">
        <is>
          <t>REGION</t>
        </is>
      </c>
      <c r="D35" s="305" t="inlineStr">
        <is>
          <t>MUÑOZ VASQUEZ ELEAZAR</t>
        </is>
      </c>
      <c r="E35" s="241" t="inlineStr">
        <is>
          <t>DNI</t>
        </is>
      </c>
      <c r="F35" s="241" t="inlineStr">
        <is>
          <t>47800180</t>
        </is>
      </c>
      <c r="G35" s="336" t="n">
        <v>45896</v>
      </c>
      <c r="H35" s="241" t="inlineStr">
        <is>
          <t>4950</t>
        </is>
      </c>
      <c r="I35" s="332">
        <f>IFERROR(VLOOKUP(TEXT(H35,"0"),IPRESS!$A$3:$B$212,2,0),"")</f>
        <v/>
      </c>
      <c r="J35" s="241" t="inlineStr">
        <is>
          <t>4838</t>
        </is>
      </c>
      <c r="K35" s="332">
        <f>IFERROR(VLOOKUP(TEXT(O35,"0"),CONDUCTORES!$A$3:$G$100,7,0),"")</f>
        <v/>
      </c>
      <c r="L35" s="239" t="n">
        <v>20.25</v>
      </c>
      <c r="M35" s="239" t="n">
        <v>7</v>
      </c>
      <c r="N35" s="333">
        <f>IFERROR(IF(L35*M35=0,"",L35*M35),"")</f>
        <v/>
      </c>
      <c r="O35" s="334" t="n"/>
      <c r="P35" s="332">
        <f>IFERROR(VLOOKUP(TEXT(O35,"0"),CONDUCTORES!$A$3:$G$100,2,0),"")</f>
        <v/>
      </c>
      <c r="Q35" s="332">
        <f>IFERROR(VLOOKUP(TEXT(O35,"0"),CONDUCTORES!$A$3:$H$100,6,0),"")</f>
        <v/>
      </c>
      <c r="R35" s="336" t="n">
        <v>45968</v>
      </c>
      <c r="S35" s="305" t="inlineStr">
        <is>
          <t>S069,S029,H922</t>
        </is>
      </c>
      <c r="T35" s="241" t="n"/>
      <c r="U35" s="280" t="n"/>
      <c r="V35" s="241" t="n"/>
      <c r="W35" s="241" t="n"/>
      <c r="X35" s="241" t="n"/>
      <c r="Y35" s="280" t="n"/>
    </row>
    <row r="36" ht="15.75" customHeight="1" s="195">
      <c r="A36" s="301" t="n">
        <v>31</v>
      </c>
      <c r="B36" s="302" t="inlineStr">
        <is>
          <t>00000192</t>
        </is>
      </c>
      <c r="C36" s="301" t="inlineStr">
        <is>
          <t>REGION</t>
        </is>
      </c>
      <c r="D36" s="302" t="inlineStr">
        <is>
          <t>GRANDEZ LOPEZ MARCELINDA</t>
        </is>
      </c>
      <c r="E36" s="301" t="inlineStr">
        <is>
          <t>DNI</t>
        </is>
      </c>
      <c r="F36" s="301" t="inlineStr">
        <is>
          <t>48887033</t>
        </is>
      </c>
      <c r="G36" s="331" t="n">
        <v>45897</v>
      </c>
      <c r="H36" s="301" t="inlineStr">
        <is>
          <t>4950</t>
        </is>
      </c>
      <c r="I36" s="332">
        <f>IFERROR(VLOOKUP(TEXT(H36,"0"),IPRESS!$A$3:$B$212,2,0),"")</f>
        <v/>
      </c>
      <c r="J36" s="301" t="inlineStr">
        <is>
          <t>4838</t>
        </is>
      </c>
      <c r="K36" s="332">
        <f>IFERROR(VLOOKUP(TEXT(O36,"0"),CONDUCTORES!$A$3:$G$100,7,0),"")</f>
        <v/>
      </c>
      <c r="L36" s="245" t="n">
        <v>20.25</v>
      </c>
      <c r="M36" s="245" t="n">
        <v>7</v>
      </c>
      <c r="N36" s="333">
        <f>IFERROR(IF(L36*M36=0,"",L36*M36),"")</f>
        <v/>
      </c>
      <c r="O36" s="280" t="n"/>
      <c r="P36" s="332">
        <f>IFERROR(VLOOKUP(TEXT(O36,"0"),CONDUCTORES!$A$3:$G$100,2,0),"")</f>
        <v/>
      </c>
      <c r="Q36" s="332">
        <f>IFERROR(VLOOKUP(TEXT(O36,"0"),CONDUCTORES!$A$3:$H$100,6,0),"")</f>
        <v/>
      </c>
      <c r="R36" s="331" t="n">
        <v>45968</v>
      </c>
      <c r="S36" s="302" t="inlineStr">
        <is>
          <t>F209</t>
        </is>
      </c>
      <c r="T36" s="301" t="n"/>
      <c r="U36" s="334" t="n"/>
      <c r="V36" s="301" t="n"/>
      <c r="W36" s="301" t="n"/>
      <c r="X36" s="301" t="n"/>
      <c r="Y36" s="280" t="n"/>
    </row>
    <row r="37" ht="15.75" customHeight="1" s="195">
      <c r="A37" s="241" t="n">
        <v>32</v>
      </c>
      <c r="B37" s="305" t="inlineStr">
        <is>
          <t>00000194</t>
        </is>
      </c>
      <c r="C37" s="241" t="inlineStr">
        <is>
          <t>REGION</t>
        </is>
      </c>
      <c r="D37" s="305" t="inlineStr">
        <is>
          <t>SANTILLAN LABAJOS DALILA</t>
        </is>
      </c>
      <c r="E37" s="241" t="inlineStr">
        <is>
          <t>DNI</t>
        </is>
      </c>
      <c r="F37" s="241" t="inlineStr">
        <is>
          <t>46269042</t>
        </is>
      </c>
      <c r="G37" s="336" t="n">
        <v>45898</v>
      </c>
      <c r="H37" s="241" t="inlineStr">
        <is>
          <t>4950</t>
        </is>
      </c>
      <c r="I37" s="332">
        <f>IFERROR(VLOOKUP(TEXT(H37,"0"),IPRESS!$A$3:$B$212,2,0),"")</f>
        <v/>
      </c>
      <c r="J37" s="241" t="inlineStr">
        <is>
          <t>4838</t>
        </is>
      </c>
      <c r="K37" s="332">
        <f>IFERROR(VLOOKUP(TEXT(O37,"0"),CONDUCTORES!$A$3:$G$100,7,0),"")</f>
        <v/>
      </c>
      <c r="L37" s="239" t="n">
        <v>20.25</v>
      </c>
      <c r="M37" s="239" t="n">
        <v>7</v>
      </c>
      <c r="N37" s="333">
        <f>IFERROR(IF(L37*M37=0,"",L37*M37),"")</f>
        <v/>
      </c>
      <c r="O37" s="334" t="n"/>
      <c r="P37" s="332">
        <f>IFERROR(VLOOKUP(TEXT(O37,"0"),CONDUCTORES!$A$3:$G$100,2,0),"")</f>
        <v/>
      </c>
      <c r="Q37" s="332">
        <f>IFERROR(VLOOKUP(TEXT(O37,"0"),CONDUCTORES!$A$3:$H$100,6,0),"")</f>
        <v/>
      </c>
      <c r="R37" s="336" t="n">
        <v>45968</v>
      </c>
      <c r="S37" s="305" t="inlineStr">
        <is>
          <t>O48X</t>
        </is>
      </c>
      <c r="T37" s="241" t="n"/>
      <c r="U37" s="280" t="n"/>
      <c r="V37" s="241" t="n"/>
      <c r="W37" s="241" t="n"/>
      <c r="X37" s="241" t="n"/>
      <c r="Y37" s="280" t="n"/>
    </row>
    <row r="38" ht="15.75" customHeight="1" s="195">
      <c r="A38" s="301" t="n">
        <v>33</v>
      </c>
      <c r="B38" s="302" t="inlineStr">
        <is>
          <t>00000195</t>
        </is>
      </c>
      <c r="C38" s="301" t="inlineStr">
        <is>
          <t>REGION</t>
        </is>
      </c>
      <c r="D38" s="302" t="inlineStr">
        <is>
          <t xml:space="preserve">ULISES ARISTA PEDRO </t>
        </is>
      </c>
      <c r="E38" s="301" t="inlineStr">
        <is>
          <t>DNI</t>
        </is>
      </c>
      <c r="F38" s="301" t="inlineStr">
        <is>
          <t>33944095</t>
        </is>
      </c>
      <c r="G38" s="331" t="n">
        <v>45899</v>
      </c>
      <c r="H38" s="301" t="inlineStr">
        <is>
          <t>4950</t>
        </is>
      </c>
      <c r="I38" s="332">
        <f>IFERROR(VLOOKUP(TEXT(H38,"0"),IPRESS!$A$3:$B$212,2,0),"")</f>
        <v/>
      </c>
      <c r="J38" s="301" t="inlineStr">
        <is>
          <t>4838</t>
        </is>
      </c>
      <c r="K38" s="332">
        <f>IFERROR(VLOOKUP(TEXT(O38,"0"),CONDUCTORES!$A$3:$G$100,7,0),"")</f>
        <v/>
      </c>
      <c r="L38" s="245" t="n">
        <v>20.25</v>
      </c>
      <c r="M38" s="245" t="n">
        <v>7</v>
      </c>
      <c r="N38" s="333">
        <f>IFERROR(IF(L38*M38=0,"",L38*M38),"")</f>
        <v/>
      </c>
      <c r="O38" s="280" t="n"/>
      <c r="P38" s="332">
        <f>IFERROR(VLOOKUP(TEXT(O38,"0"),CONDUCTORES!$A$3:$G$100,2,0),"")</f>
        <v/>
      </c>
      <c r="Q38" s="332">
        <f>IFERROR(VLOOKUP(TEXT(O38,"0"),CONDUCTORES!$A$3:$H$100,6,0),"")</f>
        <v/>
      </c>
      <c r="R38" s="331" t="n">
        <v>45968</v>
      </c>
      <c r="S38" s="302" t="inlineStr">
        <is>
          <t>C169,K922,D500,11X</t>
        </is>
      </c>
      <c r="T38" s="301" t="n"/>
      <c r="U38" s="334" t="n"/>
      <c r="V38" s="301" t="n"/>
      <c r="W38" s="301" t="n"/>
      <c r="X38" s="301" t="n"/>
      <c r="Y38" s="280" t="n"/>
    </row>
    <row r="39" ht="15.75" customHeight="1" s="195">
      <c r="A39" s="241" t="n">
        <v>34</v>
      </c>
      <c r="B39" s="305" t="inlineStr">
        <is>
          <t>00000196</t>
        </is>
      </c>
      <c r="C39" s="241" t="inlineStr">
        <is>
          <t>REGION</t>
        </is>
      </c>
      <c r="D39" s="305" t="inlineStr">
        <is>
          <t>ACOSTA SANTILLAN JOSE JOSE CILO</t>
        </is>
      </c>
      <c r="E39" s="241" t="inlineStr">
        <is>
          <t>DNI</t>
        </is>
      </c>
      <c r="F39" s="241" t="inlineStr">
        <is>
          <t>33944276</t>
        </is>
      </c>
      <c r="G39" s="336" t="n">
        <v>45900</v>
      </c>
      <c r="H39" s="241" t="inlineStr">
        <is>
          <t>4950</t>
        </is>
      </c>
      <c r="I39" s="332">
        <f>IFERROR(VLOOKUP(TEXT(H39,"0"),IPRESS!$A$3:$B$212,2,0),"")</f>
        <v/>
      </c>
      <c r="J39" s="241" t="inlineStr">
        <is>
          <t>4838</t>
        </is>
      </c>
      <c r="K39" s="332">
        <f>IFERROR(VLOOKUP(TEXT(O39,"0"),CONDUCTORES!$A$3:$G$100,7,0),"")</f>
        <v/>
      </c>
      <c r="L39" s="239" t="n">
        <v>20.25</v>
      </c>
      <c r="M39" s="239" t="n">
        <v>7</v>
      </c>
      <c r="N39" s="333">
        <f>IFERROR(IF(L39*M39=0,"",L39*M39),"")</f>
        <v/>
      </c>
      <c r="O39" s="334" t="n"/>
      <c r="P39" s="332">
        <f>IFERROR(VLOOKUP(TEXT(O39,"0"),CONDUCTORES!$A$3:$G$100,2,0),"")</f>
        <v/>
      </c>
      <c r="Q39" s="332">
        <f>IFERROR(VLOOKUP(TEXT(O39,"0"),CONDUCTORES!$A$3:$H$100,6,0),"")</f>
        <v/>
      </c>
      <c r="R39" s="336" t="n">
        <v>45968</v>
      </c>
      <c r="S39" s="305" t="inlineStr">
        <is>
          <t>E141,I10X,E878,N390</t>
        </is>
      </c>
      <c r="T39" s="241" t="n"/>
      <c r="U39" s="280" t="n"/>
      <c r="V39" s="241" t="n"/>
      <c r="W39" s="241" t="n"/>
      <c r="X39" s="241" t="n"/>
      <c r="Y39" s="280" t="n"/>
    </row>
    <row r="40" ht="15.75" customHeight="1" s="195">
      <c r="A40" s="301" t="n">
        <v>35</v>
      </c>
      <c r="B40" s="302" t="inlineStr">
        <is>
          <t>00000177</t>
        </is>
      </c>
      <c r="C40" s="301" t="inlineStr">
        <is>
          <t>REGION</t>
        </is>
      </c>
      <c r="D40" s="302" t="inlineStr">
        <is>
          <t>CHOCTALIN SOROE LUIS ALBERTO</t>
        </is>
      </c>
      <c r="E40" s="301" t="inlineStr">
        <is>
          <t>DNI</t>
        </is>
      </c>
      <c r="F40" s="301" t="inlineStr">
        <is>
          <t>40432392</t>
        </is>
      </c>
      <c r="G40" s="331" t="n">
        <v>45876</v>
      </c>
      <c r="H40" s="301" t="inlineStr">
        <is>
          <t>4950</t>
        </is>
      </c>
      <c r="I40" s="332">
        <f>IFERROR(VLOOKUP(TEXT(H40,"0"),IPRESS!$A$3:$B$212,2,0),"")</f>
        <v/>
      </c>
      <c r="J40" s="301" t="inlineStr">
        <is>
          <t>4838</t>
        </is>
      </c>
      <c r="K40" s="332">
        <f>IFERROR(VLOOKUP(TEXT(O40,"0"),CONDUCTORES!$A$3:$G$100,7,0),"")</f>
        <v/>
      </c>
      <c r="L40" s="245" t="n">
        <v>20.25</v>
      </c>
      <c r="M40" s="245" t="n">
        <v>10</v>
      </c>
      <c r="N40" s="333">
        <f>IFERROR(IF(L40*M40=0,"",L40*M40),"")</f>
        <v/>
      </c>
      <c r="O40" s="280" t="n"/>
      <c r="P40" s="332">
        <f>IFERROR(VLOOKUP(TEXT(O40,"0"),CONDUCTORES!$A$3:$G$100,2,0),"")</f>
        <v/>
      </c>
      <c r="Q40" s="332">
        <f>IFERROR(VLOOKUP(TEXT(O40,"0"),CONDUCTORES!$A$3:$H$100,6,0),"")</f>
        <v/>
      </c>
      <c r="R40" s="331" t="n">
        <v>45988</v>
      </c>
      <c r="S40" s="302" t="inlineStr">
        <is>
          <t>K703</t>
        </is>
      </c>
      <c r="T40" s="301" t="inlineStr">
        <is>
          <t>DEVOLUCION DE COMBUSTIBLE AL C.S. OMIA</t>
        </is>
      </c>
      <c r="U40" s="334" t="n"/>
      <c r="V40" s="301" t="inlineStr">
        <is>
          <t>6044-2025</t>
        </is>
      </c>
      <c r="W40" s="301" t="inlineStr">
        <is>
          <t>3479.0</t>
        </is>
      </c>
      <c r="X40" s="301" t="inlineStr">
        <is>
          <t>189.0</t>
        </is>
      </c>
      <c r="Y40" s="280" t="n"/>
    </row>
    <row r="41" ht="15.75" customHeight="1" s="195">
      <c r="A41" s="241" t="n">
        <v>36</v>
      </c>
      <c r="B41" s="305" t="inlineStr">
        <is>
          <t>00000183</t>
        </is>
      </c>
      <c r="C41" s="241" t="inlineStr">
        <is>
          <t>REGION</t>
        </is>
      </c>
      <c r="D41" s="305" t="inlineStr">
        <is>
          <t>CALDERON GRANDEZ SEGUNDO EMILIANO</t>
        </is>
      </c>
      <c r="E41" s="241" t="inlineStr">
        <is>
          <t>DNI</t>
        </is>
      </c>
      <c r="F41" s="241" t="inlineStr">
        <is>
          <t>33962868</t>
        </is>
      </c>
      <c r="G41" s="336" t="n">
        <v>45887</v>
      </c>
      <c r="H41" s="241" t="inlineStr">
        <is>
          <t>4950</t>
        </is>
      </c>
      <c r="I41" s="332">
        <f>IFERROR(VLOOKUP(TEXT(H41,"0"),IPRESS!$A$3:$B$212,2,0),"")</f>
        <v/>
      </c>
      <c r="J41" s="241" t="inlineStr">
        <is>
          <t>4838</t>
        </is>
      </c>
      <c r="K41" s="332">
        <f>IFERROR(VLOOKUP(TEXT(O41,"0"),CONDUCTORES!$A$3:$G$100,7,0),"")</f>
        <v/>
      </c>
      <c r="L41" s="239" t="n">
        <v>20.25</v>
      </c>
      <c r="M41" s="239" t="n">
        <v>10</v>
      </c>
      <c r="N41" s="333">
        <f>IFERROR(IF(L41*M41=0,"",L41*M41),"")</f>
        <v/>
      </c>
      <c r="O41" s="334" t="n"/>
      <c r="P41" s="332">
        <f>IFERROR(VLOOKUP(TEXT(O41,"0"),CONDUCTORES!$A$3:$G$100,2,0),"")</f>
        <v/>
      </c>
      <c r="Q41" s="332">
        <f>IFERROR(VLOOKUP(TEXT(O41,"0"),CONDUCTORES!$A$3:$H$100,6,0),"")</f>
        <v/>
      </c>
      <c r="R41" s="336" t="n">
        <v>45988</v>
      </c>
      <c r="S41" s="305" t="inlineStr">
        <is>
          <t>I64X,I609,R568</t>
        </is>
      </c>
      <c r="T41" s="241" t="inlineStr">
        <is>
          <t>DEVOLUCION AL C.S. OMIA</t>
        </is>
      </c>
      <c r="U41" s="280" t="n"/>
      <c r="V41" s="241" t="inlineStr">
        <is>
          <t>6044-2025</t>
        </is>
      </c>
      <c r="W41" s="241" t="inlineStr">
        <is>
          <t>3479.0</t>
        </is>
      </c>
      <c r="X41" s="241" t="inlineStr">
        <is>
          <t>189.0</t>
        </is>
      </c>
      <c r="Y41" s="280" t="n"/>
    </row>
    <row r="42" ht="15.75" customHeight="1" s="195">
      <c r="A42" s="301" t="n">
        <v>37</v>
      </c>
      <c r="B42" s="302" t="inlineStr">
        <is>
          <t>00000007</t>
        </is>
      </c>
      <c r="C42" s="301" t="inlineStr">
        <is>
          <t>REGION</t>
        </is>
      </c>
      <c r="D42" s="302" t="inlineStr">
        <is>
          <t>ACOSTA TEJADA ROXANA</t>
        </is>
      </c>
      <c r="E42" s="301" t="inlineStr">
        <is>
          <t>DNI</t>
        </is>
      </c>
      <c r="F42" s="301" t="inlineStr">
        <is>
          <t>73426619</t>
        </is>
      </c>
      <c r="G42" s="331" t="n">
        <v>45892</v>
      </c>
      <c r="H42" s="301" t="inlineStr">
        <is>
          <t>4943</t>
        </is>
      </c>
      <c r="I42" s="332">
        <f>IFERROR(VLOOKUP(TEXT(H42,"0"),IPRESS!$A$3:$B$212,2,0),"")</f>
        <v/>
      </c>
      <c r="J42" s="301" t="inlineStr">
        <is>
          <t>4950</t>
        </is>
      </c>
      <c r="K42" s="332">
        <f>IFERROR(VLOOKUP(TEXT(O42,"0"),CONDUCTORES!$A$3:$G$100,7,0),"")</f>
        <v/>
      </c>
      <c r="L42" s="245" t="n">
        <v>20.25</v>
      </c>
      <c r="M42" s="245" t="n">
        <v>3</v>
      </c>
      <c r="N42" s="333">
        <f>IFERROR(IF(L42*M42=0,"",L42*M42),"")</f>
        <v/>
      </c>
      <c r="O42" s="280" t="n"/>
      <c r="P42" s="332">
        <f>IFERROR(VLOOKUP(TEXT(O42,"0"),CONDUCTORES!$A$3:$G$100,2,0),"")</f>
        <v/>
      </c>
      <c r="Q42" s="332">
        <f>IFERROR(VLOOKUP(TEXT(O42,"0"),CONDUCTORES!$A$3:$H$100,6,0),"")</f>
        <v/>
      </c>
      <c r="R42" s="331" t="n">
        <v>46010</v>
      </c>
      <c r="S42" s="302" t="inlineStr">
        <is>
          <t>O429</t>
        </is>
      </c>
      <c r="T42" s="301" t="n"/>
      <c r="U42" s="334" t="n"/>
      <c r="V42" s="301" t="n"/>
      <c r="W42" s="301" t="n"/>
      <c r="X42" s="301" t="n"/>
      <c r="Y42" s="280" t="n"/>
    </row>
    <row r="43" ht="15.75" customHeight="1" s="195">
      <c r="A43" s="241" t="n">
        <v>38</v>
      </c>
      <c r="B43" s="305" t="inlineStr">
        <is>
          <t>00000014</t>
        </is>
      </c>
      <c r="C43" s="241" t="inlineStr">
        <is>
          <t>REGION</t>
        </is>
      </c>
      <c r="D43" s="305" t="inlineStr">
        <is>
          <t>HUAMAN GUIOP IRMA</t>
        </is>
      </c>
      <c r="E43" s="241" t="inlineStr">
        <is>
          <t>DNI</t>
        </is>
      </c>
      <c r="F43" s="241" t="inlineStr">
        <is>
          <t>73228125</t>
        </is>
      </c>
      <c r="G43" s="336" t="n">
        <v>45888</v>
      </c>
      <c r="H43" s="241" t="inlineStr">
        <is>
          <t>4905</t>
        </is>
      </c>
      <c r="I43" s="332">
        <f>IFERROR(VLOOKUP(TEXT(H43,"0"),IPRESS!$A$3:$B$212,2,0),"")</f>
        <v/>
      </c>
      <c r="J43" s="241" t="inlineStr">
        <is>
          <t>4838</t>
        </is>
      </c>
      <c r="K43" s="332">
        <f>IFERROR(VLOOKUP(TEXT(O43,"0"),CONDUCTORES!$A$3:$G$100,7,0),"")</f>
        <v/>
      </c>
      <c r="L43" s="239" t="n">
        <v>18.18</v>
      </c>
      <c r="M43" s="239" t="n">
        <v>8</v>
      </c>
      <c r="N43" s="333">
        <f>IFERROR(IF(L43*M43=0,"",L43*M43),"")</f>
        <v/>
      </c>
      <c r="O43" s="334" t="n"/>
      <c r="P43" s="332">
        <f>IFERROR(VLOOKUP(TEXT(O43,"0"),CONDUCTORES!$A$3:$G$100,2,0),"")</f>
        <v/>
      </c>
      <c r="Q43" s="332">
        <f>IFERROR(VLOOKUP(TEXT(O43,"0"),CONDUCTORES!$A$3:$H$100,6,0),"")</f>
        <v/>
      </c>
      <c r="R43" s="336" t="n">
        <v>45957</v>
      </c>
      <c r="S43" s="305" t="inlineStr">
        <is>
          <t>S531,S424,S520</t>
        </is>
      </c>
      <c r="T43" s="241" t="n"/>
      <c r="U43" s="280" t="n"/>
      <c r="V43" s="241" t="n"/>
      <c r="W43" s="241" t="n"/>
      <c r="X43" s="241" t="n"/>
      <c r="Y43" s="280" t="n"/>
    </row>
    <row r="44" ht="15.75" customHeight="1" s="195">
      <c r="A44" s="301" t="n">
        <v>39</v>
      </c>
      <c r="B44" s="302" t="inlineStr">
        <is>
          <t>00000015</t>
        </is>
      </c>
      <c r="C44" s="301" t="inlineStr">
        <is>
          <t>REGION</t>
        </is>
      </c>
      <c r="D44" s="302" t="inlineStr">
        <is>
          <t>ALVARADO HUAMAN CLARIZA</t>
        </is>
      </c>
      <c r="E44" s="301" t="inlineStr">
        <is>
          <t>DNI</t>
        </is>
      </c>
      <c r="F44" s="301" t="inlineStr">
        <is>
          <t>70126969</t>
        </is>
      </c>
      <c r="G44" s="331" t="n">
        <v>45895</v>
      </c>
      <c r="H44" s="301" t="inlineStr">
        <is>
          <t>4905</t>
        </is>
      </c>
      <c r="I44" s="332">
        <f>IFERROR(VLOOKUP(TEXT(H44,"0"),IPRESS!$A$3:$B$212,2,0),"")</f>
        <v/>
      </c>
      <c r="J44" s="301" t="inlineStr">
        <is>
          <t>4838</t>
        </is>
      </c>
      <c r="K44" s="332">
        <f>IFERROR(VLOOKUP(TEXT(O44,"0"),CONDUCTORES!$A$3:$G$100,7,0),"")</f>
        <v/>
      </c>
      <c r="L44" s="245" t="n">
        <v>18.18</v>
      </c>
      <c r="M44" s="245" t="n">
        <v>8</v>
      </c>
      <c r="N44" s="333">
        <f>IFERROR(IF(L44*M44=0,"",L44*M44),"")</f>
        <v/>
      </c>
      <c r="O44" s="280" t="n"/>
      <c r="P44" s="332">
        <f>IFERROR(VLOOKUP(TEXT(O44,"0"),CONDUCTORES!$A$3:$G$100,2,0),"")</f>
        <v/>
      </c>
      <c r="Q44" s="332">
        <f>IFERROR(VLOOKUP(TEXT(O44,"0"),CONDUCTORES!$A$3:$H$100,6,0),"")</f>
        <v/>
      </c>
      <c r="R44" s="331" t="n">
        <v>45957</v>
      </c>
      <c r="S44" s="302" t="inlineStr">
        <is>
          <t>D080</t>
        </is>
      </c>
      <c r="T44" s="301" t="n"/>
      <c r="U44" s="334" t="n"/>
      <c r="V44" s="301" t="n"/>
      <c r="W44" s="301" t="n"/>
      <c r="X44" s="301" t="n"/>
      <c r="Y44" s="280" t="n"/>
    </row>
    <row r="45" ht="15.75" customHeight="1" s="195">
      <c r="A45" s="241" t="n">
        <v>40</v>
      </c>
      <c r="B45" s="305" t="inlineStr">
        <is>
          <t>00000016</t>
        </is>
      </c>
      <c r="C45" s="241" t="inlineStr">
        <is>
          <t>REGION</t>
        </is>
      </c>
      <c r="D45" s="305" t="inlineStr">
        <is>
          <t>CLAUDIO PUERTA EXILDA FLORIS</t>
        </is>
      </c>
      <c r="E45" s="241" t="inlineStr">
        <is>
          <t>DNI</t>
        </is>
      </c>
      <c r="F45" s="241" t="inlineStr">
        <is>
          <t>60354211</t>
        </is>
      </c>
      <c r="G45" s="336" t="n">
        <v>45897</v>
      </c>
      <c r="H45" s="241" t="inlineStr">
        <is>
          <t>4905</t>
        </is>
      </c>
      <c r="I45" s="332">
        <f>IFERROR(VLOOKUP(TEXT(H45,"0"),IPRESS!$A$3:$B$212,2,0),"")</f>
        <v/>
      </c>
      <c r="J45" s="241" t="inlineStr">
        <is>
          <t>4838</t>
        </is>
      </c>
      <c r="K45" s="332">
        <f>IFERROR(VLOOKUP(TEXT(O45,"0"),CONDUCTORES!$A$3:$G$100,7,0),"")</f>
        <v/>
      </c>
      <c r="L45" s="239" t="n">
        <v>18.18</v>
      </c>
      <c r="M45" s="239" t="n">
        <v>8</v>
      </c>
      <c r="N45" s="333">
        <f>IFERROR(IF(L45*M45=0,"",L45*M45),"")</f>
        <v/>
      </c>
      <c r="O45" s="334" t="n"/>
      <c r="P45" s="332">
        <f>IFERROR(VLOOKUP(TEXT(O45,"0"),CONDUCTORES!$A$3:$G$100,2,0),"")</f>
        <v/>
      </c>
      <c r="Q45" s="332">
        <f>IFERROR(VLOOKUP(TEXT(O45,"0"),CONDUCTORES!$A$3:$H$100,6,0),"")</f>
        <v/>
      </c>
      <c r="R45" s="336" t="n">
        <v>45957</v>
      </c>
      <c r="S45" s="305" t="inlineStr">
        <is>
          <t>O809,Z359</t>
        </is>
      </c>
      <c r="T45" s="241" t="n"/>
      <c r="U45" s="280" t="n"/>
      <c r="V45" s="241" t="n"/>
      <c r="W45" s="241" t="n"/>
      <c r="X45" s="241" t="n"/>
      <c r="Y45" s="280" t="n"/>
    </row>
    <row r="46" ht="15.75" customHeight="1" s="195">
      <c r="A46" s="301" t="n">
        <v>41</v>
      </c>
      <c r="B46" s="302" t="inlineStr">
        <is>
          <t>00000015</t>
        </is>
      </c>
      <c r="C46" s="301" t="inlineStr">
        <is>
          <t>REGION</t>
        </is>
      </c>
      <c r="D46" s="302" t="inlineStr">
        <is>
          <t>MEDINA SAAVEDRA ADELI</t>
        </is>
      </c>
      <c r="E46" s="301" t="inlineStr">
        <is>
          <t>DNI</t>
        </is>
      </c>
      <c r="F46" s="301" t="inlineStr">
        <is>
          <t>60052860</t>
        </is>
      </c>
      <c r="G46" s="331" t="n">
        <v>45889</v>
      </c>
      <c r="H46" s="301" t="inlineStr">
        <is>
          <t>4917</t>
        </is>
      </c>
      <c r="I46" s="332">
        <f>IFERROR(VLOOKUP(TEXT(H46,"0"),IPRESS!$A$3:$B$212,2,0),"")</f>
        <v/>
      </c>
      <c r="J46" s="301" t="inlineStr">
        <is>
          <t>4838</t>
        </is>
      </c>
      <c r="K46" s="332">
        <f>IFERROR(VLOOKUP(TEXT(O46,"0"),CONDUCTORES!$A$3:$G$100,7,0),"")</f>
        <v/>
      </c>
      <c r="L46" s="245" t="n">
        <v>18.18</v>
      </c>
      <c r="M46" s="245" t="n">
        <v>12</v>
      </c>
      <c r="N46" s="333">
        <f>IFERROR(IF(L46*M46=0,"",L46*M46),"")</f>
        <v/>
      </c>
      <c r="O46" s="280" t="n"/>
      <c r="P46" s="332">
        <f>IFERROR(VLOOKUP(TEXT(O46,"0"),CONDUCTORES!$A$3:$G$100,2,0),"")</f>
        <v/>
      </c>
      <c r="Q46" s="332">
        <f>IFERROR(VLOOKUP(TEXT(O46,"0"),CONDUCTORES!$A$3:$H$100,6,0),"")</f>
        <v/>
      </c>
      <c r="R46" s="331" t="n">
        <v>45978</v>
      </c>
      <c r="S46" s="302" t="inlineStr">
        <is>
          <t>O651</t>
        </is>
      </c>
      <c r="T46" s="301" t="n"/>
      <c r="U46" s="334" t="n"/>
      <c r="V46" s="301" t="inlineStr">
        <is>
          <t>5839.0</t>
        </is>
      </c>
      <c r="W46" s="301" t="inlineStr">
        <is>
          <t>CONTRATO 001-2025</t>
        </is>
      </c>
      <c r="X46" s="301" t="inlineStr">
        <is>
          <t>266.0</t>
        </is>
      </c>
      <c r="Y46" s="280" t="n"/>
    </row>
    <row r="47" ht="15.75" customHeight="1" s="195">
      <c r="A47" s="241" t="n">
        <v>42</v>
      </c>
      <c r="B47" s="305" t="inlineStr">
        <is>
          <t>00000016</t>
        </is>
      </c>
      <c r="C47" s="241" t="inlineStr">
        <is>
          <t>REGION</t>
        </is>
      </c>
      <c r="D47" s="305" t="inlineStr">
        <is>
          <t>CALANGOS AGUILAR JORGE ANTONIO</t>
        </is>
      </c>
      <c r="E47" s="241" t="inlineStr">
        <is>
          <t>DNI</t>
        </is>
      </c>
      <c r="F47" s="241" t="inlineStr">
        <is>
          <t>33720842</t>
        </is>
      </c>
      <c r="G47" s="336" t="n">
        <v>45896</v>
      </c>
      <c r="H47" s="241" t="inlineStr">
        <is>
          <t>4917</t>
        </is>
      </c>
      <c r="I47" s="332">
        <f>IFERROR(VLOOKUP(TEXT(H47,"0"),IPRESS!$A$3:$B$212,2,0),"")</f>
        <v/>
      </c>
      <c r="J47" s="241" t="inlineStr">
        <is>
          <t>4838</t>
        </is>
      </c>
      <c r="K47" s="332">
        <f>IFERROR(VLOOKUP(TEXT(O47,"0"),CONDUCTORES!$A$3:$G$100,7,0),"")</f>
        <v/>
      </c>
      <c r="L47" s="239" t="n">
        <v>18.18</v>
      </c>
      <c r="M47" s="239" t="n">
        <v>12</v>
      </c>
      <c r="N47" s="333">
        <f>IFERROR(IF(L47*M47=0,"",L47*M47),"")</f>
        <v/>
      </c>
      <c r="O47" s="334" t="n"/>
      <c r="P47" s="332">
        <f>IFERROR(VLOOKUP(TEXT(O47,"0"),CONDUCTORES!$A$3:$G$100,2,0),"")</f>
        <v/>
      </c>
      <c r="Q47" s="332">
        <f>IFERROR(VLOOKUP(TEXT(O47,"0"),CONDUCTORES!$A$3:$H$100,6,0),"")</f>
        <v/>
      </c>
      <c r="R47" s="336" t="n">
        <v>45978</v>
      </c>
      <c r="S47" s="305" t="inlineStr">
        <is>
          <t>K566,C189</t>
        </is>
      </c>
      <c r="T47" s="241" t="n"/>
      <c r="U47" s="280" t="n"/>
      <c r="V47" s="241" t="inlineStr">
        <is>
          <t>5839.0</t>
        </is>
      </c>
      <c r="W47" s="241" t="inlineStr">
        <is>
          <t>CONTRATO 001-2025</t>
        </is>
      </c>
      <c r="X47" s="241" t="inlineStr">
        <is>
          <t>266.0</t>
        </is>
      </c>
      <c r="Y47" s="280" t="n"/>
    </row>
    <row r="48" ht="15.75" customHeight="1" s="195">
      <c r="A48" s="301" t="n">
        <v>43</v>
      </c>
      <c r="B48" s="302" t="inlineStr">
        <is>
          <t>00000017</t>
        </is>
      </c>
      <c r="C48" s="301" t="inlineStr">
        <is>
          <t>REGION</t>
        </is>
      </c>
      <c r="D48" s="302" t="inlineStr">
        <is>
          <t>MASLUCAN DE VISALOT JUANA</t>
        </is>
      </c>
      <c r="E48" s="301" t="inlineStr">
        <is>
          <t>DNI</t>
        </is>
      </c>
      <c r="F48" s="301" t="inlineStr">
        <is>
          <t>33720469</t>
        </is>
      </c>
      <c r="G48" s="331" t="n">
        <v>45897</v>
      </c>
      <c r="H48" s="301" t="inlineStr">
        <is>
          <t>4917</t>
        </is>
      </c>
      <c r="I48" s="332">
        <f>IFERROR(VLOOKUP(TEXT(H48,"0"),IPRESS!$A$3:$B$212,2,0),"")</f>
        <v/>
      </c>
      <c r="J48" s="301" t="inlineStr">
        <is>
          <t>4838</t>
        </is>
      </c>
      <c r="K48" s="332">
        <f>IFERROR(VLOOKUP(TEXT(O48,"0"),CONDUCTORES!$A$3:$G$100,7,0),"")</f>
        <v/>
      </c>
      <c r="L48" s="245" t="n">
        <v>18.18</v>
      </c>
      <c r="M48" s="245" t="n">
        <v>12</v>
      </c>
      <c r="N48" s="333">
        <f>IFERROR(IF(L48*M48=0,"",L48*M48),"")</f>
        <v/>
      </c>
      <c r="O48" s="280" t="n"/>
      <c r="P48" s="332">
        <f>IFERROR(VLOOKUP(TEXT(O48,"0"),CONDUCTORES!$A$3:$G$100,2,0),"")</f>
        <v/>
      </c>
      <c r="Q48" s="332">
        <f>IFERROR(VLOOKUP(TEXT(O48,"0"),CONDUCTORES!$A$3:$H$100,6,0),"")</f>
        <v/>
      </c>
      <c r="R48" s="331" t="n">
        <v>45978</v>
      </c>
      <c r="S48" s="302" t="inlineStr">
        <is>
          <t>K359</t>
        </is>
      </c>
      <c r="T48" s="301" t="n"/>
      <c r="U48" s="334" t="n"/>
      <c r="V48" s="301" t="inlineStr">
        <is>
          <t>5839.0</t>
        </is>
      </c>
      <c r="W48" s="301" t="inlineStr">
        <is>
          <t>CONTRATO 001-2025</t>
        </is>
      </c>
      <c r="X48" s="301" t="inlineStr">
        <is>
          <t>266.0</t>
        </is>
      </c>
      <c r="Y48" s="280" t="n"/>
    </row>
    <row r="49" ht="15.75" customHeight="1" s="195">
      <c r="A49" s="241" t="n">
        <v>44</v>
      </c>
      <c r="B49" s="305" t="inlineStr">
        <is>
          <t>00000042</t>
        </is>
      </c>
      <c r="C49" s="241" t="inlineStr">
        <is>
          <t>REGION</t>
        </is>
      </c>
      <c r="D49" s="305" t="inlineStr">
        <is>
          <t>POQUIS CUIPAL FLORDELI</t>
        </is>
      </c>
      <c r="E49" s="241" t="inlineStr">
        <is>
          <t>DNI</t>
        </is>
      </c>
      <c r="F49" s="241" t="inlineStr">
        <is>
          <t>74620308</t>
        </is>
      </c>
      <c r="G49" s="336" t="n">
        <v>45883</v>
      </c>
      <c r="H49" s="241" t="inlineStr">
        <is>
          <t>4850</t>
        </is>
      </c>
      <c r="I49" s="332">
        <f>IFERROR(VLOOKUP(TEXT(H49,"0"),IPRESS!$A$3:$B$212,2,0),"")</f>
        <v/>
      </c>
      <c r="J49" s="241" t="inlineStr">
        <is>
          <t>4838</t>
        </is>
      </c>
      <c r="K49" s="332">
        <f>IFERROR(VLOOKUP(TEXT(O49,"0"),CONDUCTORES!$A$3:$G$100,7,0),"")</f>
        <v/>
      </c>
      <c r="L49" s="239" t="n">
        <v>18.18</v>
      </c>
      <c r="M49" s="239" t="n">
        <v>4</v>
      </c>
      <c r="N49" s="333">
        <f>IFERROR(IF(L49*M49=0,"",L49*M49),"")</f>
        <v/>
      </c>
      <c r="O49" s="334" t="n"/>
      <c r="P49" s="332">
        <f>IFERROR(VLOOKUP(TEXT(O49,"0"),CONDUCTORES!$A$3:$G$100,2,0),"")</f>
        <v/>
      </c>
      <c r="Q49" s="332">
        <f>IFERROR(VLOOKUP(TEXT(O49,"0"),CONDUCTORES!$A$3:$H$100,6,0),"")</f>
        <v/>
      </c>
      <c r="R49" s="336" t="n">
        <v>45950</v>
      </c>
      <c r="S49" s="305" t="inlineStr">
        <is>
          <t>O021</t>
        </is>
      </c>
      <c r="T49" s="241" t="n"/>
      <c r="U49" s="280" t="n"/>
      <c r="V49" s="241" t="inlineStr">
        <is>
          <t>5230-2025</t>
        </is>
      </c>
      <c r="W49" s="241" t="inlineStr">
        <is>
          <t>CONTRATO No 001-2025 DYT</t>
        </is>
      </c>
      <c r="X49" s="241" t="inlineStr">
        <is>
          <t>266.0</t>
        </is>
      </c>
      <c r="Y49" s="280" t="n"/>
    </row>
    <row r="50" ht="15.75" customHeight="1" s="195">
      <c r="A50" s="301" t="n">
        <v>45</v>
      </c>
      <c r="B50" s="302" t="inlineStr">
        <is>
          <t>00000043</t>
        </is>
      </c>
      <c r="C50" s="301" t="inlineStr">
        <is>
          <t>REGION</t>
        </is>
      </c>
      <c r="D50" s="302" t="inlineStr">
        <is>
          <t>TROGOSO ALVARADO LUZ MILA</t>
        </is>
      </c>
      <c r="E50" s="301" t="inlineStr">
        <is>
          <t>DNI</t>
        </is>
      </c>
      <c r="F50" s="301" t="inlineStr">
        <is>
          <t>60397879</t>
        </is>
      </c>
      <c r="G50" s="331" t="n">
        <v>45889</v>
      </c>
      <c r="H50" s="301" t="inlineStr">
        <is>
          <t>4850</t>
        </is>
      </c>
      <c r="I50" s="332">
        <f>IFERROR(VLOOKUP(TEXT(H50,"0"),IPRESS!$A$3:$B$212,2,0),"")</f>
        <v/>
      </c>
      <c r="J50" s="301" t="inlineStr">
        <is>
          <t>4838</t>
        </is>
      </c>
      <c r="K50" s="332">
        <f>IFERROR(VLOOKUP(TEXT(O50,"0"),CONDUCTORES!$A$3:$G$100,7,0),"")</f>
        <v/>
      </c>
      <c r="L50" s="245" t="n">
        <v>18.18</v>
      </c>
      <c r="M50" s="245" t="n">
        <v>4</v>
      </c>
      <c r="N50" s="333">
        <f>IFERROR(IF(L50*M50=0,"",L50*M50),"")</f>
        <v/>
      </c>
      <c r="O50" s="280" t="n"/>
      <c r="P50" s="332">
        <f>IFERROR(VLOOKUP(TEXT(O50,"0"),CONDUCTORES!$A$3:$G$100,2,0),"")</f>
        <v/>
      </c>
      <c r="Q50" s="332">
        <f>IFERROR(VLOOKUP(TEXT(O50,"0"),CONDUCTORES!$A$3:$H$100,6,0),"")</f>
        <v/>
      </c>
      <c r="R50" s="331" t="n">
        <v>45950</v>
      </c>
      <c r="S50" s="302" t="inlineStr">
        <is>
          <t>R103,R100,N23X</t>
        </is>
      </c>
      <c r="T50" s="301" t="n"/>
      <c r="U50" s="334" t="n"/>
      <c r="V50" s="301" t="inlineStr">
        <is>
          <t>5230-2025</t>
        </is>
      </c>
      <c r="W50" s="301" t="inlineStr">
        <is>
          <t>CONTRATO No 001-2025 DYT</t>
        </is>
      </c>
      <c r="X50" s="301" t="inlineStr">
        <is>
          <t>266.0</t>
        </is>
      </c>
      <c r="Y50" s="280" t="n"/>
    </row>
    <row r="51" ht="15.75" customHeight="1" s="195">
      <c r="A51" s="241" t="n">
        <v>46</v>
      </c>
      <c r="B51" s="305" t="inlineStr">
        <is>
          <t>00000044</t>
        </is>
      </c>
      <c r="C51" s="241" t="inlineStr">
        <is>
          <t>REGION</t>
        </is>
      </c>
      <c r="D51" s="305" t="inlineStr">
        <is>
          <t>VELA MENDOZA MAICOL JHUNIOR</t>
        </is>
      </c>
      <c r="E51" s="241" t="inlineStr">
        <is>
          <t>DNI</t>
        </is>
      </c>
      <c r="F51" s="241" t="inlineStr">
        <is>
          <t>60032136</t>
        </is>
      </c>
      <c r="G51" s="336" t="n">
        <v>45898</v>
      </c>
      <c r="H51" s="241" t="inlineStr">
        <is>
          <t>4850</t>
        </is>
      </c>
      <c r="I51" s="332">
        <f>IFERROR(VLOOKUP(TEXT(H51,"0"),IPRESS!$A$3:$B$212,2,0),"")</f>
        <v/>
      </c>
      <c r="J51" s="241" t="inlineStr">
        <is>
          <t>4838</t>
        </is>
      </c>
      <c r="K51" s="332">
        <f>IFERROR(VLOOKUP(TEXT(O51,"0"),CONDUCTORES!$A$3:$G$100,7,0),"")</f>
        <v/>
      </c>
      <c r="L51" s="239" t="n">
        <v>18.18</v>
      </c>
      <c r="M51" s="239" t="n">
        <v>4</v>
      </c>
      <c r="N51" s="333">
        <f>IFERROR(IF(L51*M51=0,"",L51*M51),"")</f>
        <v/>
      </c>
      <c r="O51" s="334" t="n"/>
      <c r="P51" s="332">
        <f>IFERROR(VLOOKUP(TEXT(O51,"0"),CONDUCTORES!$A$3:$G$100,2,0),"")</f>
        <v/>
      </c>
      <c r="Q51" s="332">
        <f>IFERROR(VLOOKUP(TEXT(O51,"0"),CONDUCTORES!$A$3:$H$100,6,0),"")</f>
        <v/>
      </c>
      <c r="R51" s="336" t="n">
        <v>45950</v>
      </c>
      <c r="S51" s="305" t="inlineStr">
        <is>
          <t>S069</t>
        </is>
      </c>
      <c r="T51" s="241" t="n"/>
      <c r="U51" s="280" t="n"/>
      <c r="V51" s="241" t="inlineStr">
        <is>
          <t>5230-2025</t>
        </is>
      </c>
      <c r="W51" s="241" t="inlineStr">
        <is>
          <t>CONTRATO No 001-2025 DYT</t>
        </is>
      </c>
      <c r="X51" s="241" t="inlineStr">
        <is>
          <t>266.0</t>
        </is>
      </c>
      <c r="Y51" s="280" t="n"/>
    </row>
    <row r="52" ht="15.75" customHeight="1" s="195">
      <c r="A52" s="301" t="n">
        <v>47</v>
      </c>
      <c r="B52" s="302" t="inlineStr">
        <is>
          <t>00000059</t>
        </is>
      </c>
      <c r="C52" s="301" t="inlineStr">
        <is>
          <t>REGION</t>
        </is>
      </c>
      <c r="D52" s="302" t="inlineStr">
        <is>
          <t>CUEVA OLIVARES ASHLEY NICOLE</t>
        </is>
      </c>
      <c r="E52" s="301" t="inlineStr">
        <is>
          <t>DNI</t>
        </is>
      </c>
      <c r="F52" s="301" t="inlineStr">
        <is>
          <t>92819826</t>
        </is>
      </c>
      <c r="G52" s="331" t="n">
        <v>45900</v>
      </c>
      <c r="H52" s="301" t="inlineStr">
        <is>
          <t>4850</t>
        </is>
      </c>
      <c r="I52" s="332">
        <f>IFERROR(VLOOKUP(TEXT(H52,"0"),IPRESS!$A$3:$B$212,2,0),"")</f>
        <v/>
      </c>
      <c r="J52" s="301" t="inlineStr">
        <is>
          <t>4838</t>
        </is>
      </c>
      <c r="K52" s="332">
        <f>IFERROR(VLOOKUP(TEXT(O52,"0"),CONDUCTORES!$A$3:$G$100,7,0),"")</f>
        <v/>
      </c>
      <c r="L52" s="245" t="n">
        <v>18.18</v>
      </c>
      <c r="M52" s="245" t="n">
        <v>4</v>
      </c>
      <c r="N52" s="333">
        <f>IFERROR(IF(L52*M52=0,"",L52*M52),"")</f>
        <v/>
      </c>
      <c r="O52" s="280" t="n"/>
      <c r="P52" s="332">
        <f>IFERROR(VLOOKUP(TEXT(O52,"0"),CONDUCTORES!$A$3:$G$100,2,0),"")</f>
        <v/>
      </c>
      <c r="Q52" s="332">
        <f>IFERROR(VLOOKUP(TEXT(O52,"0"),CONDUCTORES!$A$3:$H$100,6,0),"")</f>
        <v/>
      </c>
      <c r="R52" s="331" t="n">
        <v>45950</v>
      </c>
      <c r="S52" s="302" t="inlineStr">
        <is>
          <t>R100,K37X</t>
        </is>
      </c>
      <c r="T52" s="301" t="n"/>
      <c r="U52" s="334" t="n"/>
      <c r="V52" s="301" t="inlineStr">
        <is>
          <t>5230-2025</t>
        </is>
      </c>
      <c r="W52" s="301" t="inlineStr">
        <is>
          <t>CONTRATO No 001-2025 DYT</t>
        </is>
      </c>
      <c r="X52" s="301" t="inlineStr">
        <is>
          <t>266.0</t>
        </is>
      </c>
      <c r="Y52" s="280" t="n"/>
    </row>
    <row r="53" ht="15.75" customHeight="1" s="195">
      <c r="A53" s="241" t="n">
        <v>48</v>
      </c>
      <c r="B53" s="305" t="inlineStr">
        <is>
          <t>00000034</t>
        </is>
      </c>
      <c r="C53" s="241" t="inlineStr">
        <is>
          <t>REGION</t>
        </is>
      </c>
      <c r="D53" s="305" t="inlineStr">
        <is>
          <t>CAMAN FARJE GILMER</t>
        </is>
      </c>
      <c r="E53" s="241" t="inlineStr">
        <is>
          <t>DNI</t>
        </is>
      </c>
      <c r="F53" s="241" t="inlineStr">
        <is>
          <t>33417924</t>
        </is>
      </c>
      <c r="G53" s="336" t="n">
        <v>45873</v>
      </c>
      <c r="H53" s="241" t="inlineStr">
        <is>
          <t>4859</t>
        </is>
      </c>
      <c r="I53" s="332">
        <f>IFERROR(VLOOKUP(TEXT(H53,"0"),IPRESS!$A$3:$B$212,2,0),"")</f>
        <v/>
      </c>
      <c r="J53" s="241" t="inlineStr">
        <is>
          <t>4838</t>
        </is>
      </c>
      <c r="K53" s="332">
        <f>IFERROR(VLOOKUP(TEXT(O53,"0"),CONDUCTORES!$A$3:$G$100,7,0),"")</f>
        <v/>
      </c>
      <c r="L53" s="239" t="n">
        <v>18.18</v>
      </c>
      <c r="M53" s="239" t="n">
        <v>7.5</v>
      </c>
      <c r="N53" s="333">
        <f>IFERROR(IF(L53*M53=0,"",L53*M53),"")</f>
        <v/>
      </c>
      <c r="O53" s="334" t="n"/>
      <c r="P53" s="332">
        <f>IFERROR(VLOOKUP(TEXT(O53,"0"),CONDUCTORES!$A$3:$G$100,2,0),"")</f>
        <v/>
      </c>
      <c r="Q53" s="332">
        <f>IFERROR(VLOOKUP(TEXT(O53,"0"),CONDUCTORES!$A$3:$H$100,6,0),"")</f>
        <v/>
      </c>
      <c r="R53" s="336" t="n">
        <v>45987</v>
      </c>
      <c r="S53" s="305" t="inlineStr">
        <is>
          <t>I500,J80X</t>
        </is>
      </c>
      <c r="T53" s="241" t="n"/>
      <c r="U53" s="280" t="n"/>
      <c r="V53" s="241" t="inlineStr">
        <is>
          <t>5985-2025</t>
        </is>
      </c>
      <c r="W53" s="241" t="inlineStr">
        <is>
          <t>N°001-2025</t>
        </is>
      </c>
      <c r="X53" s="241" t="inlineStr">
        <is>
          <t>266.0</t>
        </is>
      </c>
      <c r="Y53" s="280" t="n"/>
    </row>
    <row r="54" ht="15.75" customHeight="1" s="195">
      <c r="A54" s="301" t="n">
        <v>49</v>
      </c>
      <c r="B54" s="302" t="inlineStr">
        <is>
          <t>00000035</t>
        </is>
      </c>
      <c r="C54" s="301" t="inlineStr">
        <is>
          <t>REGION</t>
        </is>
      </c>
      <c r="D54" s="302" t="inlineStr">
        <is>
          <t>HUAMAN VEGA EVELIN MARLYN</t>
        </is>
      </c>
      <c r="E54" s="301" t="inlineStr">
        <is>
          <t>DNI</t>
        </is>
      </c>
      <c r="F54" s="301" t="inlineStr">
        <is>
          <t>61613704</t>
        </is>
      </c>
      <c r="G54" s="331" t="n">
        <v>45873</v>
      </c>
      <c r="H54" s="301" t="inlineStr">
        <is>
          <t>4859</t>
        </is>
      </c>
      <c r="I54" s="332">
        <f>IFERROR(VLOOKUP(TEXT(H54,"0"),IPRESS!$A$3:$B$212,2,0),"")</f>
        <v/>
      </c>
      <c r="J54" s="301" t="inlineStr">
        <is>
          <t>4838</t>
        </is>
      </c>
      <c r="K54" s="332">
        <f>IFERROR(VLOOKUP(TEXT(O54,"0"),CONDUCTORES!$A$3:$G$100,7,0),"")</f>
        <v/>
      </c>
      <c r="L54" s="245" t="n">
        <v>18.18</v>
      </c>
      <c r="M54" s="245" t="n">
        <v>7.5</v>
      </c>
      <c r="N54" s="333">
        <f>IFERROR(IF(L54*M54=0,"",L54*M54),"")</f>
        <v/>
      </c>
      <c r="O54" s="280" t="n"/>
      <c r="P54" s="332">
        <f>IFERROR(VLOOKUP(TEXT(O54,"0"),CONDUCTORES!$A$3:$G$100,2,0),"")</f>
        <v/>
      </c>
      <c r="Q54" s="332">
        <f>IFERROR(VLOOKUP(TEXT(O54,"0"),CONDUCTORES!$A$3:$H$100,6,0),"")</f>
        <v/>
      </c>
      <c r="R54" s="331" t="n">
        <v>45987</v>
      </c>
      <c r="S54" s="302" t="inlineStr">
        <is>
          <t>R101,K359</t>
        </is>
      </c>
      <c r="T54" s="301" t="n"/>
      <c r="U54" s="334" t="n"/>
      <c r="V54" s="301" t="inlineStr">
        <is>
          <t>5985-2025</t>
        </is>
      </c>
      <c r="W54" s="301" t="inlineStr">
        <is>
          <t>N°001-2025</t>
        </is>
      </c>
      <c r="X54" s="301" t="inlineStr">
        <is>
          <t>266.0</t>
        </is>
      </c>
      <c r="Y54" s="280" t="n"/>
    </row>
    <row r="55" ht="15.75" customHeight="1" s="195">
      <c r="A55" s="241" t="n">
        <v>50</v>
      </c>
      <c r="B55" s="305" t="inlineStr">
        <is>
          <t>00000037</t>
        </is>
      </c>
      <c r="C55" s="241" t="inlineStr">
        <is>
          <t>REGION</t>
        </is>
      </c>
      <c r="D55" s="305" t="inlineStr">
        <is>
          <t>ATALAYA IZQUERDO FRANCISCO</t>
        </is>
      </c>
      <c r="E55" s="241" t="inlineStr">
        <is>
          <t>DNI</t>
        </is>
      </c>
      <c r="F55" s="241" t="inlineStr">
        <is>
          <t>46145345</t>
        </is>
      </c>
      <c r="G55" s="336" t="n">
        <v>45889</v>
      </c>
      <c r="H55" s="241" t="inlineStr">
        <is>
          <t>4859</t>
        </is>
      </c>
      <c r="I55" s="332">
        <f>IFERROR(VLOOKUP(TEXT(H55,"0"),IPRESS!$A$3:$B$212,2,0),"")</f>
        <v/>
      </c>
      <c r="J55" s="241" t="inlineStr">
        <is>
          <t>4838</t>
        </is>
      </c>
      <c r="K55" s="332">
        <f>IFERROR(VLOOKUP(TEXT(O55,"0"),CONDUCTORES!$A$3:$G$100,7,0),"")</f>
        <v/>
      </c>
      <c r="L55" s="239" t="n">
        <v>18.18</v>
      </c>
      <c r="M55" s="239" t="n">
        <v>7.5</v>
      </c>
      <c r="N55" s="333">
        <f>IFERROR(IF(L55*M55=0,"",L55*M55),"")</f>
        <v/>
      </c>
      <c r="O55" s="334" t="n"/>
      <c r="P55" s="332">
        <f>IFERROR(VLOOKUP(TEXT(O55,"0"),CONDUCTORES!$A$3:$G$100,2,0),"")</f>
        <v/>
      </c>
      <c r="Q55" s="332">
        <f>IFERROR(VLOOKUP(TEXT(O55,"0"),CONDUCTORES!$A$3:$H$100,6,0),"")</f>
        <v/>
      </c>
      <c r="R55" s="336" t="n">
        <v>45987</v>
      </c>
      <c r="S55" s="305" t="inlineStr">
        <is>
          <t>S099,S420</t>
        </is>
      </c>
      <c r="T55" s="241" t="n"/>
      <c r="U55" s="280" t="n"/>
      <c r="V55" s="241" t="inlineStr">
        <is>
          <t>5985-2025</t>
        </is>
      </c>
      <c r="W55" s="241" t="inlineStr">
        <is>
          <t>N°001-2025</t>
        </is>
      </c>
      <c r="X55" s="241" t="inlineStr">
        <is>
          <t>266.0</t>
        </is>
      </c>
      <c r="Y55" s="280" t="n"/>
    </row>
    <row r="56" ht="15.75" customHeight="1" s="195">
      <c r="A56" s="301" t="n">
        <v>51</v>
      </c>
      <c r="B56" s="302" t="inlineStr">
        <is>
          <t>00000036</t>
        </is>
      </c>
      <c r="C56" s="301" t="inlineStr">
        <is>
          <t>REGION</t>
        </is>
      </c>
      <c r="D56" s="302" t="inlineStr">
        <is>
          <t>ROJAS BARDALES MANOLITH ZOILITA</t>
        </is>
      </c>
      <c r="E56" s="301" t="inlineStr">
        <is>
          <t>DNI</t>
        </is>
      </c>
      <c r="F56" s="301" t="inlineStr">
        <is>
          <t>73697031</t>
        </is>
      </c>
      <c r="G56" s="331" t="n">
        <v>45893</v>
      </c>
      <c r="H56" s="301" t="inlineStr">
        <is>
          <t>4859</t>
        </is>
      </c>
      <c r="I56" s="332">
        <f>IFERROR(VLOOKUP(TEXT(H56,"0"),IPRESS!$A$3:$B$212,2,0),"")</f>
        <v/>
      </c>
      <c r="J56" s="301" t="inlineStr">
        <is>
          <t>4838</t>
        </is>
      </c>
      <c r="K56" s="332">
        <f>IFERROR(VLOOKUP(TEXT(O56,"0"),CONDUCTORES!$A$3:$G$100,7,0),"")</f>
        <v/>
      </c>
      <c r="L56" s="245" t="n">
        <v>18.18</v>
      </c>
      <c r="M56" s="245" t="n">
        <v>7.5</v>
      </c>
      <c r="N56" s="333">
        <f>IFERROR(IF(L56*M56=0,"",L56*M56),"")</f>
        <v/>
      </c>
      <c r="O56" s="280" t="n"/>
      <c r="P56" s="332">
        <f>IFERROR(VLOOKUP(TEXT(O56,"0"),CONDUCTORES!$A$3:$G$100,2,0),"")</f>
        <v/>
      </c>
      <c r="Q56" s="332">
        <f>IFERROR(VLOOKUP(TEXT(O56,"0"),CONDUCTORES!$A$3:$H$100,6,0),"")</f>
        <v/>
      </c>
      <c r="R56" s="331" t="n">
        <v>45987</v>
      </c>
      <c r="S56" s="302" t="inlineStr">
        <is>
          <t>O601,O342</t>
        </is>
      </c>
      <c r="T56" s="301" t="n"/>
      <c r="U56" s="334" t="n"/>
      <c r="V56" s="301" t="inlineStr">
        <is>
          <t>5985-2025</t>
        </is>
      </c>
      <c r="W56" s="301" t="inlineStr">
        <is>
          <t>N°001-2025</t>
        </is>
      </c>
      <c r="X56" s="301" t="inlineStr">
        <is>
          <t>266.0</t>
        </is>
      </c>
      <c r="Y56" s="280" t="n"/>
    </row>
    <row r="57" ht="15.75" customHeight="1" s="195">
      <c r="A57" s="241" t="n">
        <v>52</v>
      </c>
      <c r="B57" s="305" t="inlineStr">
        <is>
          <t>00000038</t>
        </is>
      </c>
      <c r="C57" s="241" t="inlineStr">
        <is>
          <t>REGION</t>
        </is>
      </c>
      <c r="D57" s="305" t="inlineStr">
        <is>
          <t>ALVITRES TERRONES SERGIO</t>
        </is>
      </c>
      <c r="E57" s="241" t="inlineStr">
        <is>
          <t>DNI</t>
        </is>
      </c>
      <c r="F57" s="241" t="inlineStr">
        <is>
          <t>27165048</t>
        </is>
      </c>
      <c r="G57" s="336" t="n">
        <v>45896</v>
      </c>
      <c r="H57" s="241" t="inlineStr">
        <is>
          <t>4859</t>
        </is>
      </c>
      <c r="I57" s="332">
        <f>IFERROR(VLOOKUP(TEXT(H57,"0"),IPRESS!$A$3:$B$212,2,0),"")</f>
        <v/>
      </c>
      <c r="J57" s="241" t="inlineStr">
        <is>
          <t>4838</t>
        </is>
      </c>
      <c r="K57" s="332">
        <f>IFERROR(VLOOKUP(TEXT(O57,"0"),CONDUCTORES!$A$3:$G$100,7,0),"")</f>
        <v/>
      </c>
      <c r="L57" s="239" t="n">
        <v>18.18</v>
      </c>
      <c r="M57" s="239" t="n">
        <v>7.5</v>
      </c>
      <c r="N57" s="333">
        <f>IFERROR(IF(L57*M57=0,"",L57*M57),"")</f>
        <v/>
      </c>
      <c r="O57" s="334" t="n"/>
      <c r="P57" s="332">
        <f>IFERROR(VLOOKUP(TEXT(O57,"0"),CONDUCTORES!$A$3:$G$100,2,0),"")</f>
        <v/>
      </c>
      <c r="Q57" s="332">
        <f>IFERROR(VLOOKUP(TEXT(O57,"0"),CONDUCTORES!$A$3:$H$100,6,0),"")</f>
        <v/>
      </c>
      <c r="R57" s="336" t="n">
        <v>45987</v>
      </c>
      <c r="S57" s="305" t="inlineStr">
        <is>
          <t>I679</t>
        </is>
      </c>
      <c r="T57" s="241" t="n"/>
      <c r="U57" s="280" t="n"/>
      <c r="V57" s="241" t="inlineStr">
        <is>
          <t>5985-2025</t>
        </is>
      </c>
      <c r="W57" s="241" t="inlineStr">
        <is>
          <t>N°001-2025</t>
        </is>
      </c>
      <c r="X57" s="241" t="inlineStr">
        <is>
          <t>266.0</t>
        </is>
      </c>
      <c r="Y57" s="280" t="n"/>
    </row>
    <row r="58" ht="15.75" customHeight="1" s="195">
      <c r="A58" s="301" t="n">
        <v>53</v>
      </c>
      <c r="B58" s="302" t="inlineStr">
        <is>
          <t>00000046</t>
        </is>
      </c>
      <c r="C58" s="301" t="inlineStr">
        <is>
          <t>REGION</t>
        </is>
      </c>
      <c r="D58" s="302" t="inlineStr">
        <is>
          <t>ZUMAETA ALVA DERSI</t>
        </is>
      </c>
      <c r="E58" s="301" t="inlineStr">
        <is>
          <t>DNI</t>
        </is>
      </c>
      <c r="F58" s="301" t="inlineStr">
        <is>
          <t>74627687</t>
        </is>
      </c>
      <c r="G58" s="331" t="n">
        <v>45873</v>
      </c>
      <c r="H58" s="301" t="inlineStr">
        <is>
          <t>4866</t>
        </is>
      </c>
      <c r="I58" s="332">
        <f>IFERROR(VLOOKUP(TEXT(H58,"0"),IPRESS!$A$3:$B$212,2,0),"")</f>
        <v/>
      </c>
      <c r="J58" s="301" t="inlineStr">
        <is>
          <t>4838</t>
        </is>
      </c>
      <c r="K58" s="332">
        <f>IFERROR(VLOOKUP(TEXT(O58,"0"),CONDUCTORES!$A$3:$G$100,7,0),"")</f>
        <v/>
      </c>
      <c r="L58" s="245" t="n">
        <v>18.18</v>
      </c>
      <c r="M58" s="245" t="n">
        <v>4</v>
      </c>
      <c r="N58" s="333">
        <f>IFERROR(IF(L58*M58=0,"",L58*M58),"")</f>
        <v/>
      </c>
      <c r="O58" s="280" t="n"/>
      <c r="P58" s="332">
        <f>IFERROR(VLOOKUP(TEXT(O58,"0"),CONDUCTORES!$A$3:$G$100,2,0),"")</f>
        <v/>
      </c>
      <c r="Q58" s="332">
        <f>IFERROR(VLOOKUP(TEXT(O58,"0"),CONDUCTORES!$A$3:$H$100,6,0),"")</f>
        <v/>
      </c>
      <c r="R58" s="331" t="n">
        <v>45924</v>
      </c>
      <c r="S58" s="302" t="inlineStr">
        <is>
          <t>O365</t>
        </is>
      </c>
      <c r="T58" s="301" t="n"/>
      <c r="U58" s="334" t="n"/>
      <c r="V58" s="301" t="n"/>
      <c r="W58" s="301" t="n"/>
      <c r="X58" s="301" t="n"/>
      <c r="Y58" s="280" t="n"/>
    </row>
    <row r="59" ht="15.75" customHeight="1" s="195">
      <c r="A59" s="241" t="n">
        <v>54</v>
      </c>
      <c r="B59" s="305" t="inlineStr">
        <is>
          <t>00000047</t>
        </is>
      </c>
      <c r="C59" s="241" t="inlineStr">
        <is>
          <t>REGION</t>
        </is>
      </c>
      <c r="D59" s="305" t="inlineStr">
        <is>
          <t>MENDOZA DE CHUQUIZUTA ZACARIAS</t>
        </is>
      </c>
      <c r="E59" s="241" t="inlineStr">
        <is>
          <t>DNI</t>
        </is>
      </c>
      <c r="F59" s="241" t="inlineStr">
        <is>
          <t>33790841</t>
        </is>
      </c>
      <c r="G59" s="336" t="n">
        <v>45875</v>
      </c>
      <c r="H59" s="241" t="inlineStr">
        <is>
          <t>4866</t>
        </is>
      </c>
      <c r="I59" s="332">
        <f>IFERROR(VLOOKUP(TEXT(H59,"0"),IPRESS!$A$3:$B$212,2,0),"")</f>
        <v/>
      </c>
      <c r="J59" s="241" t="inlineStr">
        <is>
          <t>4838</t>
        </is>
      </c>
      <c r="K59" s="332">
        <f>IFERROR(VLOOKUP(TEXT(O59,"0"),CONDUCTORES!$A$3:$G$100,7,0),"")</f>
        <v/>
      </c>
      <c r="L59" s="239" t="n">
        <v>18.18</v>
      </c>
      <c r="M59" s="239" t="n">
        <v>4</v>
      </c>
      <c r="N59" s="333">
        <f>IFERROR(IF(L59*M59=0,"",L59*M59),"")</f>
        <v/>
      </c>
      <c r="O59" s="334" t="n"/>
      <c r="P59" s="332">
        <f>IFERROR(VLOOKUP(TEXT(O59,"0"),CONDUCTORES!$A$3:$G$100,2,0),"")</f>
        <v/>
      </c>
      <c r="Q59" s="332">
        <f>IFERROR(VLOOKUP(TEXT(O59,"0"),CONDUCTORES!$A$3:$H$100,6,0),"")</f>
        <v/>
      </c>
      <c r="R59" s="336" t="n">
        <v>45924</v>
      </c>
      <c r="S59" s="305" t="inlineStr">
        <is>
          <t>K922,J960</t>
        </is>
      </c>
      <c r="T59" s="241" t="n"/>
      <c r="U59" s="280" t="n"/>
      <c r="V59" s="241" t="n"/>
      <c r="W59" s="241" t="n"/>
      <c r="X59" s="241" t="n"/>
      <c r="Y59" s="280" t="n"/>
    </row>
    <row r="60" ht="15.75" customHeight="1" s="195">
      <c r="A60" s="301" t="n">
        <v>55</v>
      </c>
      <c r="B60" s="302" t="inlineStr">
        <is>
          <t>00000048</t>
        </is>
      </c>
      <c r="C60" s="301" t="inlineStr">
        <is>
          <t>REGION</t>
        </is>
      </c>
      <c r="D60" s="302" t="inlineStr">
        <is>
          <t>MAYLLE TRAUCO JUANITA</t>
        </is>
      </c>
      <c r="E60" s="301" t="inlineStr">
        <is>
          <t>DNI</t>
        </is>
      </c>
      <c r="F60" s="301" t="inlineStr">
        <is>
          <t>42564269</t>
        </is>
      </c>
      <c r="G60" s="331" t="n">
        <v>45877</v>
      </c>
      <c r="H60" s="301" t="inlineStr">
        <is>
          <t>4866</t>
        </is>
      </c>
      <c r="I60" s="332">
        <f>IFERROR(VLOOKUP(TEXT(H60,"0"),IPRESS!$A$3:$B$212,2,0),"")</f>
        <v/>
      </c>
      <c r="J60" s="301" t="inlineStr">
        <is>
          <t>4838</t>
        </is>
      </c>
      <c r="K60" s="332">
        <f>IFERROR(VLOOKUP(TEXT(O60,"0"),CONDUCTORES!$A$3:$G$100,7,0),"")</f>
        <v/>
      </c>
      <c r="L60" s="245" t="n">
        <v>18.18</v>
      </c>
      <c r="M60" s="245" t="n">
        <v>4</v>
      </c>
      <c r="N60" s="333">
        <f>IFERROR(IF(L60*M60=0,"",L60*M60),"")</f>
        <v/>
      </c>
      <c r="O60" s="280" t="n"/>
      <c r="P60" s="332">
        <f>IFERROR(VLOOKUP(TEXT(O60,"0"),CONDUCTORES!$A$3:$G$100,2,0),"")</f>
        <v/>
      </c>
      <c r="Q60" s="332">
        <f>IFERROR(VLOOKUP(TEXT(O60,"0"),CONDUCTORES!$A$3:$H$100,6,0),"")</f>
        <v/>
      </c>
      <c r="R60" s="331" t="n">
        <v>45924</v>
      </c>
      <c r="S60" s="302" t="inlineStr">
        <is>
          <t>O365,O429</t>
        </is>
      </c>
      <c r="T60" s="301" t="n"/>
      <c r="U60" s="334" t="n"/>
      <c r="V60" s="301" t="n"/>
      <c r="W60" s="301" t="n"/>
      <c r="X60" s="301" t="n"/>
      <c r="Y60" s="280" t="n"/>
    </row>
    <row r="61" ht="15.75" customHeight="1" s="195">
      <c r="A61" s="241" t="n">
        <v>56</v>
      </c>
      <c r="B61" s="305" t="inlineStr">
        <is>
          <t>00000049</t>
        </is>
      </c>
      <c r="C61" s="241" t="inlineStr">
        <is>
          <t>REGION</t>
        </is>
      </c>
      <c r="D61" s="305" t="inlineStr">
        <is>
          <t>CRUZ AGUILAR KATERIN LUCIA</t>
        </is>
      </c>
      <c r="E61" s="241" t="inlineStr">
        <is>
          <t>DNI</t>
        </is>
      </c>
      <c r="F61" s="241" t="inlineStr">
        <is>
          <t>76627601</t>
        </is>
      </c>
      <c r="G61" s="336" t="n">
        <v>45879</v>
      </c>
      <c r="H61" s="241" t="inlineStr">
        <is>
          <t>4866</t>
        </is>
      </c>
      <c r="I61" s="332">
        <f>IFERROR(VLOOKUP(TEXT(H61,"0"),IPRESS!$A$3:$B$212,2,0),"")</f>
        <v/>
      </c>
      <c r="J61" s="241" t="inlineStr">
        <is>
          <t>4838</t>
        </is>
      </c>
      <c r="K61" s="332">
        <f>IFERROR(VLOOKUP(TEXT(O61,"0"),CONDUCTORES!$A$3:$G$100,7,0),"")</f>
        <v/>
      </c>
      <c r="L61" s="239" t="n">
        <v>18.18</v>
      </c>
      <c r="M61" s="239" t="n">
        <v>4</v>
      </c>
      <c r="N61" s="333">
        <f>IFERROR(IF(L61*M61=0,"",L61*M61),"")</f>
        <v/>
      </c>
      <c r="O61" s="334" t="n"/>
      <c r="P61" s="332">
        <f>IFERROR(VLOOKUP(TEXT(O61,"0"),CONDUCTORES!$A$3:$G$100,2,0),"")</f>
        <v/>
      </c>
      <c r="Q61" s="332">
        <f>IFERROR(VLOOKUP(TEXT(O61,"0"),CONDUCTORES!$A$3:$H$100,6,0),"")</f>
        <v/>
      </c>
      <c r="R61" s="336" t="n">
        <v>45924</v>
      </c>
      <c r="S61" s="305" t="inlineStr">
        <is>
          <t>N938</t>
        </is>
      </c>
      <c r="T61" s="241" t="n"/>
      <c r="U61" s="280" t="n"/>
      <c r="V61" s="241" t="n"/>
      <c r="W61" s="241" t="n"/>
      <c r="X61" s="241" t="n"/>
      <c r="Y61" s="280" t="n"/>
    </row>
    <row r="62" ht="15.75" customHeight="1" s="195">
      <c r="A62" s="301" t="n">
        <v>57</v>
      </c>
      <c r="B62" s="302" t="inlineStr">
        <is>
          <t>00000050</t>
        </is>
      </c>
      <c r="C62" s="301" t="inlineStr">
        <is>
          <t>REGION</t>
        </is>
      </c>
      <c r="D62" s="302" t="inlineStr">
        <is>
          <t>MENDOZA VALLEJOS LEYDITH</t>
        </is>
      </c>
      <c r="E62" s="301" t="inlineStr">
        <is>
          <t>DNI</t>
        </is>
      </c>
      <c r="F62" s="301" t="inlineStr">
        <is>
          <t>74616286</t>
        </is>
      </c>
      <c r="G62" s="331" t="n">
        <v>45879</v>
      </c>
      <c r="H62" s="301" t="inlineStr">
        <is>
          <t>4866</t>
        </is>
      </c>
      <c r="I62" s="332">
        <f>IFERROR(VLOOKUP(TEXT(H62,"0"),IPRESS!$A$3:$B$212,2,0),"")</f>
        <v/>
      </c>
      <c r="J62" s="301" t="inlineStr">
        <is>
          <t>4838</t>
        </is>
      </c>
      <c r="K62" s="332">
        <f>IFERROR(VLOOKUP(TEXT(O62,"0"),CONDUCTORES!$A$3:$G$100,7,0),"")</f>
        <v/>
      </c>
      <c r="L62" s="245" t="n">
        <v>18.18</v>
      </c>
      <c r="M62" s="245" t="n">
        <v>4</v>
      </c>
      <c r="N62" s="333">
        <f>IFERROR(IF(L62*M62=0,"",L62*M62),"")</f>
        <v/>
      </c>
      <c r="O62" s="280" t="n"/>
      <c r="P62" s="332">
        <f>IFERROR(VLOOKUP(TEXT(O62,"0"),CONDUCTORES!$A$3:$G$100,2,0),"")</f>
        <v/>
      </c>
      <c r="Q62" s="332">
        <f>IFERROR(VLOOKUP(TEXT(O62,"0"),CONDUCTORES!$A$3:$H$100,6,0),"")</f>
        <v/>
      </c>
      <c r="R62" s="331" t="n">
        <v>45924</v>
      </c>
      <c r="S62" s="302" t="inlineStr">
        <is>
          <t>O639,O698</t>
        </is>
      </c>
      <c r="T62" s="301" t="n"/>
      <c r="U62" s="334" t="n"/>
      <c r="V62" s="301" t="n"/>
      <c r="W62" s="301" t="n"/>
      <c r="X62" s="301" t="n"/>
      <c r="Y62" s="280" t="n"/>
    </row>
    <row r="63" ht="15.75" customHeight="1" s="195">
      <c r="A63" s="241" t="n">
        <v>58</v>
      </c>
      <c r="B63" s="305" t="inlineStr">
        <is>
          <t>00000051</t>
        </is>
      </c>
      <c r="C63" s="241" t="inlineStr">
        <is>
          <t>REGION</t>
        </is>
      </c>
      <c r="D63" s="305" t="inlineStr">
        <is>
          <t>MUÑOZ RUIZ ALICIA MERCEDES</t>
        </is>
      </c>
      <c r="E63" s="241" t="inlineStr">
        <is>
          <t>DNI</t>
        </is>
      </c>
      <c r="F63" s="241" t="inlineStr">
        <is>
          <t>6868752</t>
        </is>
      </c>
      <c r="G63" s="336" t="n">
        <v>45882</v>
      </c>
      <c r="H63" s="241" t="inlineStr">
        <is>
          <t>4866</t>
        </is>
      </c>
      <c r="I63" s="332">
        <f>IFERROR(VLOOKUP(TEXT(H63,"0"),IPRESS!$A$3:$B$212,2,0),"")</f>
        <v/>
      </c>
      <c r="J63" s="241" t="inlineStr">
        <is>
          <t>4838</t>
        </is>
      </c>
      <c r="K63" s="332">
        <f>IFERROR(VLOOKUP(TEXT(O63,"0"),CONDUCTORES!$A$3:$G$100,7,0),"")</f>
        <v/>
      </c>
      <c r="L63" s="239" t="n">
        <v>18.18</v>
      </c>
      <c r="M63" s="239" t="n">
        <v>4</v>
      </c>
      <c r="N63" s="333">
        <f>IFERROR(IF(L63*M63=0,"",L63*M63),"")</f>
        <v/>
      </c>
      <c r="O63" s="334" t="n"/>
      <c r="P63" s="332">
        <f>IFERROR(VLOOKUP(TEXT(O63,"0"),CONDUCTORES!$A$3:$G$100,2,0),"")</f>
        <v/>
      </c>
      <c r="Q63" s="332">
        <f>IFERROR(VLOOKUP(TEXT(O63,"0"),CONDUCTORES!$A$3:$H$100,6,0),"")</f>
        <v/>
      </c>
      <c r="R63" s="336" t="n">
        <v>45924</v>
      </c>
      <c r="S63" s="305" t="inlineStr">
        <is>
          <t>K250,K920</t>
        </is>
      </c>
      <c r="T63" s="241" t="n"/>
      <c r="U63" s="280" t="n"/>
      <c r="V63" s="241" t="n"/>
      <c r="W63" s="241" t="n"/>
      <c r="X63" s="241" t="n"/>
      <c r="Y63" s="280" t="n"/>
    </row>
    <row r="64" ht="15.75" customHeight="1" s="195">
      <c r="A64" s="301" t="n">
        <v>59</v>
      </c>
      <c r="B64" s="302" t="inlineStr">
        <is>
          <t>00000052</t>
        </is>
      </c>
      <c r="C64" s="301" t="inlineStr">
        <is>
          <t>REGION</t>
        </is>
      </c>
      <c r="D64" s="302" t="inlineStr">
        <is>
          <t>SANTILLAN POQUIOMA RN</t>
        </is>
      </c>
      <c r="E64" s="301" t="inlineStr">
        <is>
          <t>DNI</t>
        </is>
      </c>
      <c r="F64" s="301" t="inlineStr">
        <is>
          <t>11138644</t>
        </is>
      </c>
      <c r="G64" s="331" t="n">
        <v>45883</v>
      </c>
      <c r="H64" s="301" t="inlineStr">
        <is>
          <t>4866</t>
        </is>
      </c>
      <c r="I64" s="332">
        <f>IFERROR(VLOOKUP(TEXT(H64,"0"),IPRESS!$A$3:$B$212,2,0),"")</f>
        <v/>
      </c>
      <c r="J64" s="301" t="inlineStr">
        <is>
          <t>4838</t>
        </is>
      </c>
      <c r="K64" s="332">
        <f>IFERROR(VLOOKUP(TEXT(O64,"0"),CONDUCTORES!$A$3:$G$100,7,0),"")</f>
        <v/>
      </c>
      <c r="L64" s="245" t="n">
        <v>18.18</v>
      </c>
      <c r="M64" s="245" t="n">
        <v>4</v>
      </c>
      <c r="N64" s="333">
        <f>IFERROR(IF(L64*M64=0,"",L64*M64),"")</f>
        <v/>
      </c>
      <c r="O64" s="280" t="n"/>
      <c r="P64" s="332">
        <f>IFERROR(VLOOKUP(TEXT(O64,"0"),CONDUCTORES!$A$3:$G$100,2,0),"")</f>
        <v/>
      </c>
      <c r="Q64" s="332">
        <f>IFERROR(VLOOKUP(TEXT(O64,"0"),CONDUCTORES!$A$3:$H$100,6,0),"")</f>
        <v/>
      </c>
      <c r="R64" s="331" t="n">
        <v>45924</v>
      </c>
      <c r="S64" s="302" t="inlineStr">
        <is>
          <t>E162</t>
        </is>
      </c>
      <c r="T64" s="301" t="n"/>
      <c r="U64" s="334" t="n"/>
      <c r="V64" s="301" t="n"/>
      <c r="W64" s="301" t="n"/>
      <c r="X64" s="301" t="n"/>
      <c r="Y64" s="280" t="n"/>
    </row>
    <row r="65" ht="15.75" customHeight="1" s="195">
      <c r="A65" s="241" t="n">
        <v>60</v>
      </c>
      <c r="B65" s="305" t="inlineStr">
        <is>
          <t>00000053</t>
        </is>
      </c>
      <c r="C65" s="241" t="inlineStr">
        <is>
          <t>REGION</t>
        </is>
      </c>
      <c r="D65" s="305" t="inlineStr">
        <is>
          <t>VENTURA DE CHUQUIZUTA LUCINDA</t>
        </is>
      </c>
      <c r="E65" s="241" t="inlineStr">
        <is>
          <t>DNI</t>
        </is>
      </c>
      <c r="F65" s="241" t="inlineStr">
        <is>
          <t>33791543</t>
        </is>
      </c>
      <c r="G65" s="336" t="n">
        <v>45884</v>
      </c>
      <c r="H65" s="241" t="inlineStr">
        <is>
          <t>4866</t>
        </is>
      </c>
      <c r="I65" s="332">
        <f>IFERROR(VLOOKUP(TEXT(H65,"0"),IPRESS!$A$3:$B$212,2,0),"")</f>
        <v/>
      </c>
      <c r="J65" s="241" t="inlineStr">
        <is>
          <t>4838</t>
        </is>
      </c>
      <c r="K65" s="332">
        <f>IFERROR(VLOOKUP(TEXT(O65,"0"),CONDUCTORES!$A$3:$G$100,7,0),"")</f>
        <v/>
      </c>
      <c r="L65" s="239" t="n">
        <v>18.18</v>
      </c>
      <c r="M65" s="239" t="n">
        <v>4</v>
      </c>
      <c r="N65" s="333">
        <f>IFERROR(IF(L65*M65=0,"",L65*M65),"")</f>
        <v/>
      </c>
      <c r="O65" s="334" t="n"/>
      <c r="P65" s="332">
        <f>IFERROR(VLOOKUP(TEXT(O65,"0"),CONDUCTORES!$A$3:$G$100,2,0),"")</f>
        <v/>
      </c>
      <c r="Q65" s="332">
        <f>IFERROR(VLOOKUP(TEXT(O65,"0"),CONDUCTORES!$A$3:$H$100,6,0),"")</f>
        <v/>
      </c>
      <c r="R65" s="336" t="n">
        <v>45924</v>
      </c>
      <c r="S65" s="305" t="inlineStr">
        <is>
          <t>E86X,K564</t>
        </is>
      </c>
      <c r="T65" s="241" t="n"/>
      <c r="U65" s="280" t="n"/>
      <c r="V65" s="241" t="n"/>
      <c r="W65" s="241" t="n"/>
      <c r="X65" s="241" t="n"/>
      <c r="Y65" s="280" t="n"/>
    </row>
    <row r="66" ht="15.75" customHeight="1" s="195">
      <c r="A66" s="301" t="n">
        <v>61</v>
      </c>
      <c r="B66" s="302" t="inlineStr">
        <is>
          <t>00000054</t>
        </is>
      </c>
      <c r="C66" s="301" t="inlineStr">
        <is>
          <t>REGION</t>
        </is>
      </c>
      <c r="D66" s="302" t="inlineStr">
        <is>
          <t>ZUMAETA MENDOZA RONAL JESUS</t>
        </is>
      </c>
      <c r="E66" s="301" t="inlineStr">
        <is>
          <t>DNI</t>
        </is>
      </c>
      <c r="F66" s="301" t="inlineStr">
        <is>
          <t>47243933</t>
        </is>
      </c>
      <c r="G66" s="331" t="n">
        <v>45889</v>
      </c>
      <c r="H66" s="301" t="inlineStr">
        <is>
          <t>4866</t>
        </is>
      </c>
      <c r="I66" s="332">
        <f>IFERROR(VLOOKUP(TEXT(H66,"0"),IPRESS!$A$3:$B$212,2,0),"")</f>
        <v/>
      </c>
      <c r="J66" s="301" t="inlineStr">
        <is>
          <t>4838</t>
        </is>
      </c>
      <c r="K66" s="332">
        <f>IFERROR(VLOOKUP(TEXT(O66,"0"),CONDUCTORES!$A$3:$G$100,7,0),"")</f>
        <v/>
      </c>
      <c r="L66" s="245" t="n">
        <v>18.18</v>
      </c>
      <c r="M66" s="245" t="n">
        <v>4</v>
      </c>
      <c r="N66" s="333">
        <f>IFERROR(IF(L66*M66=0,"",L66*M66),"")</f>
        <v/>
      </c>
      <c r="O66" s="280" t="n"/>
      <c r="P66" s="332">
        <f>IFERROR(VLOOKUP(TEXT(O66,"0"),CONDUCTORES!$A$3:$G$100,2,0),"")</f>
        <v/>
      </c>
      <c r="Q66" s="332">
        <f>IFERROR(VLOOKUP(TEXT(O66,"0"),CONDUCTORES!$A$3:$H$100,6,0),"")</f>
        <v/>
      </c>
      <c r="R66" s="331" t="n">
        <v>45967</v>
      </c>
      <c r="S66" s="302" t="inlineStr">
        <is>
          <t>S648,S617</t>
        </is>
      </c>
      <c r="T66" s="301" t="n"/>
      <c r="U66" s="334" t="n"/>
      <c r="V66" s="301" t="n"/>
      <c r="W66" s="301" t="n"/>
      <c r="X66" s="301" t="n"/>
      <c r="Y66" s="280" t="n"/>
    </row>
    <row r="67" ht="15.75" customHeight="1" s="195">
      <c r="A67" s="241" t="n">
        <v>62</v>
      </c>
      <c r="B67" s="305" t="inlineStr">
        <is>
          <t>00000055</t>
        </is>
      </c>
      <c r="C67" s="241" t="inlineStr">
        <is>
          <t>REGION</t>
        </is>
      </c>
      <c r="D67" s="305" t="inlineStr">
        <is>
          <t>GRANDES MENDOZA FAUSTINA</t>
        </is>
      </c>
      <c r="E67" s="241" t="inlineStr">
        <is>
          <t>DNI</t>
        </is>
      </c>
      <c r="F67" s="241" t="inlineStr">
        <is>
          <t>33787101</t>
        </is>
      </c>
      <c r="G67" s="336" t="n">
        <v>45892</v>
      </c>
      <c r="H67" s="241" t="inlineStr">
        <is>
          <t>4866</t>
        </is>
      </c>
      <c r="I67" s="332">
        <f>IFERROR(VLOOKUP(TEXT(H67,"0"),IPRESS!$A$3:$B$212,2,0),"")</f>
        <v/>
      </c>
      <c r="J67" s="241" t="inlineStr">
        <is>
          <t>4838</t>
        </is>
      </c>
      <c r="K67" s="332">
        <f>IFERROR(VLOOKUP(TEXT(O67,"0"),CONDUCTORES!$A$3:$G$100,7,0),"")</f>
        <v/>
      </c>
      <c r="L67" s="239" t="n">
        <v>18.18</v>
      </c>
      <c r="M67" s="239" t="n">
        <v>4</v>
      </c>
      <c r="N67" s="333">
        <f>IFERROR(IF(L67*M67=0,"",L67*M67),"")</f>
        <v/>
      </c>
      <c r="O67" s="334" t="n"/>
      <c r="P67" s="332">
        <f>IFERROR(VLOOKUP(TEXT(O67,"0"),CONDUCTORES!$A$3:$G$100,2,0),"")</f>
        <v/>
      </c>
      <c r="Q67" s="332">
        <f>IFERROR(VLOOKUP(TEXT(O67,"0"),CONDUCTORES!$A$3:$H$100,6,0),"")</f>
        <v/>
      </c>
      <c r="R67" s="336" t="n">
        <v>45967</v>
      </c>
      <c r="S67" s="305" t="inlineStr">
        <is>
          <t>J960,J159</t>
        </is>
      </c>
      <c r="T67" s="241" t="n"/>
      <c r="U67" s="280" t="n"/>
      <c r="V67" s="241" t="n"/>
      <c r="W67" s="241" t="n"/>
      <c r="X67" s="241" t="n"/>
      <c r="Y67" s="280" t="n"/>
    </row>
    <row r="68" ht="15.75" customHeight="1" s="195">
      <c r="A68" s="301" t="n">
        <v>63</v>
      </c>
      <c r="B68" s="302" t="inlineStr">
        <is>
          <t>00000056</t>
        </is>
      </c>
      <c r="C68" s="301" t="inlineStr">
        <is>
          <t>REGION</t>
        </is>
      </c>
      <c r="D68" s="302" t="inlineStr">
        <is>
          <t>ROJAS ZUTA HERMELINDA</t>
        </is>
      </c>
      <c r="E68" s="301" t="inlineStr">
        <is>
          <t>DNI</t>
        </is>
      </c>
      <c r="F68" s="301" t="inlineStr">
        <is>
          <t>75374962</t>
        </is>
      </c>
      <c r="G68" s="331" t="n">
        <v>45894</v>
      </c>
      <c r="H68" s="301" t="inlineStr">
        <is>
          <t>4866</t>
        </is>
      </c>
      <c r="I68" s="332">
        <f>IFERROR(VLOOKUP(TEXT(H68,"0"),IPRESS!$A$3:$B$212,2,0),"")</f>
        <v/>
      </c>
      <c r="J68" s="301" t="inlineStr">
        <is>
          <t>4838</t>
        </is>
      </c>
      <c r="K68" s="332">
        <f>IFERROR(VLOOKUP(TEXT(O68,"0"),CONDUCTORES!$A$3:$G$100,7,0),"")</f>
        <v/>
      </c>
      <c r="L68" s="245" t="n">
        <v>18.18</v>
      </c>
      <c r="M68" s="245" t="n">
        <v>4</v>
      </c>
      <c r="N68" s="333">
        <f>IFERROR(IF(L68*M68=0,"",L68*M68),"")</f>
        <v/>
      </c>
      <c r="O68" s="280" t="n"/>
      <c r="P68" s="332">
        <f>IFERROR(VLOOKUP(TEXT(O68,"0"),CONDUCTORES!$A$3:$G$100,2,0),"")</f>
        <v/>
      </c>
      <c r="Q68" s="332">
        <f>IFERROR(VLOOKUP(TEXT(O68,"0"),CONDUCTORES!$A$3:$H$100,6,0),"")</f>
        <v/>
      </c>
      <c r="R68" s="331" t="n">
        <v>45967</v>
      </c>
      <c r="S68" s="302" t="inlineStr">
        <is>
          <t>O200,O211</t>
        </is>
      </c>
      <c r="T68" s="301" t="n"/>
      <c r="U68" s="334" t="n"/>
      <c r="V68" s="301" t="n"/>
      <c r="W68" s="301" t="n"/>
      <c r="X68" s="301" t="n"/>
      <c r="Y68" s="280" t="n"/>
    </row>
    <row r="69" ht="15.75" customHeight="1" s="195">
      <c r="A69" s="241" t="n">
        <v>64</v>
      </c>
      <c r="B69" s="305" t="inlineStr">
        <is>
          <t>00000057</t>
        </is>
      </c>
      <c r="C69" s="241" t="inlineStr">
        <is>
          <t>REGION</t>
        </is>
      </c>
      <c r="D69" s="305" t="inlineStr">
        <is>
          <t>CHAVEZ GOMEZ LIDIO</t>
        </is>
      </c>
      <c r="E69" s="241" t="inlineStr">
        <is>
          <t>DNI</t>
        </is>
      </c>
      <c r="F69" s="241" t="inlineStr">
        <is>
          <t>33785537</t>
        </is>
      </c>
      <c r="G69" s="336" t="n">
        <v>45897</v>
      </c>
      <c r="H69" s="241" t="inlineStr">
        <is>
          <t>4866</t>
        </is>
      </c>
      <c r="I69" s="332">
        <f>IFERROR(VLOOKUP(TEXT(H69,"0"),IPRESS!$A$3:$B$212,2,0),"")</f>
        <v/>
      </c>
      <c r="J69" s="241" t="inlineStr">
        <is>
          <t>4838</t>
        </is>
      </c>
      <c r="K69" s="332">
        <f>IFERROR(VLOOKUP(TEXT(O69,"0"),CONDUCTORES!$A$3:$G$100,7,0),"")</f>
        <v/>
      </c>
      <c r="L69" s="239" t="n">
        <v>18.18</v>
      </c>
      <c r="M69" s="239" t="n">
        <v>4</v>
      </c>
      <c r="N69" s="333">
        <f>IFERROR(IF(L69*M69=0,"",L69*M69),"")</f>
        <v/>
      </c>
      <c r="O69" s="334" t="n"/>
      <c r="P69" s="332">
        <f>IFERROR(VLOOKUP(TEXT(O69,"0"),CONDUCTORES!$A$3:$G$100,2,0),"")</f>
        <v/>
      </c>
      <c r="Q69" s="332">
        <f>IFERROR(VLOOKUP(TEXT(O69,"0"),CONDUCTORES!$A$3:$H$100,6,0),"")</f>
        <v/>
      </c>
      <c r="R69" s="336" t="n">
        <v>45967</v>
      </c>
      <c r="S69" s="305" t="inlineStr">
        <is>
          <t>D649,C182</t>
        </is>
      </c>
      <c r="T69" s="241" t="n"/>
      <c r="U69" s="280" t="n"/>
      <c r="V69" s="241" t="n"/>
      <c r="W69" s="241" t="n"/>
      <c r="X69" s="241" t="n"/>
      <c r="Y69" s="280" t="n"/>
    </row>
    <row r="70" ht="15.75" customHeight="1" s="195">
      <c r="A70" s="301" t="n">
        <v>65</v>
      </c>
      <c r="B70" s="302" t="inlineStr">
        <is>
          <t>00000058</t>
        </is>
      </c>
      <c r="C70" s="301" t="inlineStr">
        <is>
          <t>REGION</t>
        </is>
      </c>
      <c r="D70" s="302" t="inlineStr">
        <is>
          <t>TUESTA GUADALUPE ELITA</t>
        </is>
      </c>
      <c r="E70" s="301" t="inlineStr">
        <is>
          <t>DNI</t>
        </is>
      </c>
      <c r="F70" s="301" t="inlineStr">
        <is>
          <t>46714690</t>
        </is>
      </c>
      <c r="G70" s="331" t="n">
        <v>45900</v>
      </c>
      <c r="H70" s="301" t="inlineStr">
        <is>
          <t>4866</t>
        </is>
      </c>
      <c r="I70" s="332">
        <f>IFERROR(VLOOKUP(TEXT(H70,"0"),IPRESS!$A$3:$B$212,2,0),"")</f>
        <v/>
      </c>
      <c r="J70" s="301" t="inlineStr">
        <is>
          <t>4838</t>
        </is>
      </c>
      <c r="K70" s="332">
        <f>IFERROR(VLOOKUP(TEXT(O70,"0"),CONDUCTORES!$A$3:$G$100,7,0),"")</f>
        <v/>
      </c>
      <c r="L70" s="245" t="n">
        <v>18.18</v>
      </c>
      <c r="M70" s="245" t="n">
        <v>4</v>
      </c>
      <c r="N70" s="333">
        <f>IFERROR(IF(L70*M70=0,"",L70*M70),"")</f>
        <v/>
      </c>
      <c r="O70" s="280" t="n"/>
      <c r="P70" s="332">
        <f>IFERROR(VLOOKUP(TEXT(O70,"0"),CONDUCTORES!$A$3:$G$100,2,0),"")</f>
        <v/>
      </c>
      <c r="Q70" s="332">
        <f>IFERROR(VLOOKUP(TEXT(O70,"0"),CONDUCTORES!$A$3:$H$100,6,0),"")</f>
        <v/>
      </c>
      <c r="R70" s="331" t="n">
        <v>45967</v>
      </c>
      <c r="S70" s="302" t="inlineStr">
        <is>
          <t>Z354</t>
        </is>
      </c>
      <c r="T70" s="301" t="n"/>
      <c r="U70" s="334" t="n"/>
      <c r="V70" s="301" t="n"/>
      <c r="W70" s="301" t="n"/>
      <c r="X70" s="301" t="n"/>
      <c r="Y70" s="280" t="n"/>
    </row>
    <row r="71" ht="15.75" customHeight="1" s="195">
      <c r="A71" s="241" t="n">
        <v>66</v>
      </c>
      <c r="B71" s="305" t="inlineStr">
        <is>
          <t>00000002</t>
        </is>
      </c>
      <c r="C71" s="241" t="inlineStr">
        <is>
          <t>REGION</t>
        </is>
      </c>
      <c r="D71" s="305" t="inlineStr">
        <is>
          <t>GUEVARA TUESTA MARLENI</t>
        </is>
      </c>
      <c r="E71" s="241" t="inlineStr">
        <is>
          <t>DNI</t>
        </is>
      </c>
      <c r="F71" s="241" t="inlineStr">
        <is>
          <t>33813061</t>
        </is>
      </c>
      <c r="G71" s="336" t="n">
        <v>45878</v>
      </c>
      <c r="H71" s="241" t="inlineStr">
        <is>
          <t>4899</t>
        </is>
      </c>
      <c r="I71" s="332">
        <f>IFERROR(VLOOKUP(TEXT(H71,"0"),IPRESS!$A$3:$B$212,2,0),"")</f>
        <v/>
      </c>
      <c r="J71" s="241" t="inlineStr">
        <is>
          <t>4838</t>
        </is>
      </c>
      <c r="K71" s="332">
        <f>IFERROR(VLOOKUP(TEXT(O71,"0"),CONDUCTORES!$A$3:$G$100,7,0),"")</f>
        <v/>
      </c>
      <c r="L71" s="239" t="n">
        <v>18.18</v>
      </c>
      <c r="M71" s="239" t="n">
        <v>9</v>
      </c>
      <c r="N71" s="333">
        <f>IFERROR(IF(L71*M71=0,"",L71*M71),"")</f>
        <v/>
      </c>
      <c r="O71" s="334" t="n"/>
      <c r="P71" s="332">
        <f>IFERROR(VLOOKUP(TEXT(O71,"0"),CONDUCTORES!$A$3:$G$100,2,0),"")</f>
        <v/>
      </c>
      <c r="Q71" s="332">
        <f>IFERROR(VLOOKUP(TEXT(O71,"0"),CONDUCTORES!$A$3:$H$100,6,0),"")</f>
        <v/>
      </c>
      <c r="R71" s="336" t="n">
        <v>45987</v>
      </c>
      <c r="S71" s="305" t="inlineStr">
        <is>
          <t>S069</t>
        </is>
      </c>
      <c r="T71" s="241" t="n"/>
      <c r="U71" s="280" t="n"/>
      <c r="V71" s="241" t="inlineStr">
        <is>
          <t>6009-2025</t>
        </is>
      </c>
      <c r="W71" s="241" t="inlineStr">
        <is>
          <t>CONTRATO N°001-2025</t>
        </is>
      </c>
      <c r="X71" s="241" t="inlineStr">
        <is>
          <t>266.0</t>
        </is>
      </c>
      <c r="Y71" s="280" t="n"/>
    </row>
    <row r="72" ht="15.75" customHeight="1" s="195">
      <c r="A72" s="301" t="n">
        <v>67</v>
      </c>
      <c r="B72" s="302" t="inlineStr">
        <is>
          <t>00000003</t>
        </is>
      </c>
      <c r="C72" s="301" t="inlineStr">
        <is>
          <t>REGION</t>
        </is>
      </c>
      <c r="D72" s="302" t="inlineStr">
        <is>
          <t>VARGAS HUAMAN MARISA DOLORES</t>
        </is>
      </c>
      <c r="E72" s="301" t="inlineStr">
        <is>
          <t>DNI</t>
        </is>
      </c>
      <c r="F72" s="301" t="inlineStr">
        <is>
          <t>46373869</t>
        </is>
      </c>
      <c r="G72" s="331" t="n">
        <v>45887</v>
      </c>
      <c r="H72" s="301" t="inlineStr">
        <is>
          <t>4899</t>
        </is>
      </c>
      <c r="I72" s="332">
        <f>IFERROR(VLOOKUP(TEXT(H72,"0"),IPRESS!$A$3:$B$212,2,0),"")</f>
        <v/>
      </c>
      <c r="J72" s="301" t="inlineStr">
        <is>
          <t>4838</t>
        </is>
      </c>
      <c r="K72" s="332">
        <f>IFERROR(VLOOKUP(TEXT(O72,"0"),CONDUCTORES!$A$3:$G$100,7,0),"")</f>
        <v/>
      </c>
      <c r="L72" s="245" t="n">
        <v>18.18</v>
      </c>
      <c r="M72" s="245" t="n">
        <v>18</v>
      </c>
      <c r="N72" s="333">
        <f>IFERROR(IF(L72*M72=0,"",L72*M72),"")</f>
        <v/>
      </c>
      <c r="O72" s="280" t="n"/>
      <c r="P72" s="332">
        <f>IFERROR(VLOOKUP(TEXT(O72,"0"),CONDUCTORES!$A$3:$G$100,2,0),"")</f>
        <v/>
      </c>
      <c r="Q72" s="332">
        <f>IFERROR(VLOOKUP(TEXT(O72,"0"),CONDUCTORES!$A$3:$H$100,6,0),"")</f>
        <v/>
      </c>
      <c r="R72" s="331" t="n">
        <v>45987</v>
      </c>
      <c r="S72" s="302" t="inlineStr">
        <is>
          <t>K359</t>
        </is>
      </c>
      <c r="T72" s="301" t="n"/>
      <c r="U72" s="334" t="n"/>
      <c r="V72" s="301" t="inlineStr">
        <is>
          <t>6009-2025</t>
        </is>
      </c>
      <c r="W72" s="301" t="inlineStr">
        <is>
          <t>CONTRATO N°001-2025</t>
        </is>
      </c>
      <c r="X72" s="301" t="inlineStr">
        <is>
          <t>266.0</t>
        </is>
      </c>
      <c r="Y72" s="280" t="n"/>
    </row>
    <row r="73" ht="15.75" customHeight="1" s="195">
      <c r="A73" s="241" t="n">
        <v>68</v>
      </c>
      <c r="B73" s="305" t="inlineStr">
        <is>
          <t>00000004</t>
        </is>
      </c>
      <c r="C73" s="241" t="inlineStr">
        <is>
          <t>REGION</t>
        </is>
      </c>
      <c r="D73" s="305" t="inlineStr">
        <is>
          <t>SANCHEZ MICHA ELVA</t>
        </is>
      </c>
      <c r="E73" s="241" t="inlineStr">
        <is>
          <t>DNI</t>
        </is>
      </c>
      <c r="F73" s="241" t="inlineStr">
        <is>
          <t>47690919</t>
        </is>
      </c>
      <c r="G73" s="336" t="n">
        <v>45894</v>
      </c>
      <c r="H73" s="241" t="inlineStr">
        <is>
          <t>4899</t>
        </is>
      </c>
      <c r="I73" s="332">
        <f>IFERROR(VLOOKUP(TEXT(H73,"0"),IPRESS!$A$3:$B$212,2,0),"")</f>
        <v/>
      </c>
      <c r="J73" s="241" t="inlineStr">
        <is>
          <t>4838</t>
        </is>
      </c>
      <c r="K73" s="332">
        <f>IFERROR(VLOOKUP(TEXT(O73,"0"),CONDUCTORES!$A$3:$G$100,7,0),"")</f>
        <v/>
      </c>
      <c r="L73" s="239" t="n">
        <v>18.18</v>
      </c>
      <c r="M73" s="239" t="n">
        <v>18</v>
      </c>
      <c r="N73" s="333">
        <f>IFERROR(IF(L73*M73=0,"",L73*M73),"")</f>
        <v/>
      </c>
      <c r="O73" s="334" t="n"/>
      <c r="P73" s="332">
        <f>IFERROR(VLOOKUP(TEXT(O73,"0"),CONDUCTORES!$A$3:$G$100,2,0),"")</f>
        <v/>
      </c>
      <c r="Q73" s="332">
        <f>IFERROR(VLOOKUP(TEXT(O73,"0"),CONDUCTORES!$A$3:$H$100,6,0),"")</f>
        <v/>
      </c>
      <c r="R73" s="336" t="n">
        <v>45987</v>
      </c>
      <c r="S73" s="305" t="inlineStr">
        <is>
          <t>O60X</t>
        </is>
      </c>
      <c r="T73" s="241" t="n"/>
      <c r="U73" s="280" t="n"/>
      <c r="V73" s="241" t="inlineStr">
        <is>
          <t>6009-2025</t>
        </is>
      </c>
      <c r="W73" s="241" t="inlineStr">
        <is>
          <t>CONTRATO N°001-2025</t>
        </is>
      </c>
      <c r="X73" s="241" t="inlineStr">
        <is>
          <t>266.0</t>
        </is>
      </c>
      <c r="Y73" s="280" t="n"/>
    </row>
    <row r="74" ht="15.75" customHeight="1" s="195">
      <c r="A74" s="337" t="n">
        <v>69</v>
      </c>
      <c r="B74" s="338" t="inlineStr">
        <is>
          <t>00000009</t>
        </is>
      </c>
      <c r="C74" s="337" t="inlineStr">
        <is>
          <t>REGION</t>
        </is>
      </c>
      <c r="D74" s="338" t="inlineStr">
        <is>
          <t>OLIVARES COTRINA YANET</t>
        </is>
      </c>
      <c r="E74" s="337" t="inlineStr">
        <is>
          <t>DNI</t>
        </is>
      </c>
      <c r="F74" s="337" t="inlineStr">
        <is>
          <t>47394209</t>
        </is>
      </c>
      <c r="G74" s="339" t="n">
        <v>45892</v>
      </c>
      <c r="H74" s="337" t="inlineStr">
        <is>
          <t>4869</t>
        </is>
      </c>
      <c r="I74" s="332">
        <f>IFERROR(VLOOKUP(TEXT(H74,"0"),IPRESS!$A$3:$B$212,2,0),"")</f>
        <v/>
      </c>
      <c r="J74" s="337" t="inlineStr">
        <is>
          <t>4838</t>
        </is>
      </c>
      <c r="K74" s="332">
        <f>IFERROR(VLOOKUP(TEXT(O74,"0"),CONDUCTORES!$A$3:$G$100,7,0),"")</f>
        <v/>
      </c>
      <c r="L74" s="340" t="n">
        <v>17.95</v>
      </c>
      <c r="M74" s="340" t="n">
        <v>8</v>
      </c>
      <c r="N74" s="333">
        <f>IFERROR(IF(L74*M74=0,"",L74*M74),"")</f>
        <v/>
      </c>
      <c r="O74" s="280" t="n"/>
      <c r="P74" s="332">
        <f>IFERROR(VLOOKUP(TEXT(O74,"0"),CONDUCTORES!$A$3:$G$100,2,0),"")</f>
        <v/>
      </c>
      <c r="Q74" s="332">
        <f>IFERROR(VLOOKUP(TEXT(O74,"0"),CONDUCTORES!$A$3:$H$100,6,0),"")</f>
        <v/>
      </c>
      <c r="R74" s="339" t="n">
        <v>45987</v>
      </c>
      <c r="S74" s="338" t="inlineStr">
        <is>
          <t>K37X</t>
        </is>
      </c>
      <c r="T74" s="337" t="n"/>
      <c r="U74" s="341" t="n"/>
      <c r="V74" s="337" t="inlineStr">
        <is>
          <t>6007-2025</t>
        </is>
      </c>
      <c r="W74" s="337" t="inlineStr">
        <is>
          <t>877.0</t>
        </is>
      </c>
      <c r="X74" s="337" t="inlineStr">
        <is>
          <t>489.0</t>
        </is>
      </c>
      <c r="Y74" s="280" t="n"/>
    </row>
    <row r="75" ht="15.75" customHeight="1" s="195">
      <c r="A75" s="337" t="n">
        <v>70</v>
      </c>
      <c r="B75" s="338" t="inlineStr">
        <is>
          <t>00000010</t>
        </is>
      </c>
      <c r="C75" s="337" t="inlineStr">
        <is>
          <t>REGION</t>
        </is>
      </c>
      <c r="D75" s="338" t="inlineStr">
        <is>
          <t>GOMEZ ROJAS SAIDI</t>
        </is>
      </c>
      <c r="E75" s="337" t="inlineStr">
        <is>
          <t>DNI</t>
        </is>
      </c>
      <c r="F75" s="337" t="inlineStr">
        <is>
          <t>2152935</t>
        </is>
      </c>
      <c r="G75" s="339" t="n">
        <v>45895</v>
      </c>
      <c r="H75" s="337" t="inlineStr">
        <is>
          <t>4869</t>
        </is>
      </c>
      <c r="I75" s="332">
        <f>IFERROR(VLOOKUP(TEXT(H75,"0"),IPRESS!$A$3:$B$212,2,0),"")</f>
        <v/>
      </c>
      <c r="J75" s="337" t="inlineStr">
        <is>
          <t>4838</t>
        </is>
      </c>
      <c r="K75" s="332">
        <f>IFERROR(VLOOKUP(TEXT(O75,"0"),CONDUCTORES!$A$3:$G$100,7,0),"")</f>
        <v/>
      </c>
      <c r="L75" s="340" t="n">
        <v>17.95</v>
      </c>
      <c r="M75" s="340" t="n">
        <v>8</v>
      </c>
      <c r="N75" s="333">
        <f>IFERROR(IF(L75*M75=0,"",L75*M75),"")</f>
        <v/>
      </c>
      <c r="O75" s="334" t="n"/>
      <c r="P75" s="332">
        <f>IFERROR(VLOOKUP(TEXT(O75,"0"),CONDUCTORES!$A$3:$G$100,2,0),"")</f>
        <v/>
      </c>
      <c r="Q75" s="332">
        <f>IFERROR(VLOOKUP(TEXT(O75,"0"),CONDUCTORES!$A$3:$H$100,6,0),"")</f>
        <v/>
      </c>
      <c r="R75" s="339" t="n">
        <v>45987</v>
      </c>
      <c r="S75" s="338" t="inlineStr">
        <is>
          <t>D013</t>
        </is>
      </c>
      <c r="T75" s="337" t="n"/>
      <c r="U75" s="341" t="n"/>
      <c r="V75" s="337" t="inlineStr">
        <is>
          <t>6007-2025</t>
        </is>
      </c>
      <c r="W75" s="337" t="inlineStr">
        <is>
          <t>877.0</t>
        </is>
      </c>
      <c r="X75" s="337" t="inlineStr">
        <is>
          <t>489.0</t>
        </is>
      </c>
      <c r="Y75" s="280" t="n"/>
    </row>
    <row r="76" ht="15.75" customHeight="1" s="195">
      <c r="A76" s="301" t="n">
        <v>71</v>
      </c>
      <c r="B76" s="302" t="inlineStr">
        <is>
          <t>00000008</t>
        </is>
      </c>
      <c r="C76" s="301" t="inlineStr">
        <is>
          <t>REGION</t>
        </is>
      </c>
      <c r="D76" s="302" t="inlineStr">
        <is>
          <t>ZUTA CHAVEZ MILTON</t>
        </is>
      </c>
      <c r="E76" s="301" t="inlineStr">
        <is>
          <t>DNI</t>
        </is>
      </c>
      <c r="F76" s="301" t="inlineStr">
        <is>
          <t>76658434</t>
        </is>
      </c>
      <c r="G76" s="331" t="n">
        <v>45874</v>
      </c>
      <c r="H76" s="301" t="inlineStr">
        <is>
          <t>4947</t>
        </is>
      </c>
      <c r="I76" s="332">
        <f>IFERROR(VLOOKUP(TEXT(H76,"0"),IPRESS!$A$3:$B$212,2,0),"")</f>
        <v/>
      </c>
      <c r="J76" s="301" t="inlineStr">
        <is>
          <t>4950</t>
        </is>
      </c>
      <c r="K76" s="332">
        <f>IFERROR(VLOOKUP(TEXT(O76,"0"),CONDUCTORES!$A$3:$G$100,7,0),"")</f>
        <v/>
      </c>
      <c r="L76" s="245" t="n">
        <v>20.25</v>
      </c>
      <c r="M76" s="245" t="n">
        <v>10</v>
      </c>
      <c r="N76" s="333">
        <f>IFERROR(IF(L76*M76=0,"",L76*M76),"")</f>
        <v/>
      </c>
      <c r="O76" s="280" t="n"/>
      <c r="P76" s="332">
        <f>IFERROR(VLOOKUP(TEXT(O76,"0"),CONDUCTORES!$A$3:$G$100,2,0),"")</f>
        <v/>
      </c>
      <c r="Q76" s="332">
        <f>IFERROR(VLOOKUP(TEXT(O76,"0"),CONDUCTORES!$A$3:$H$100,6,0),"")</f>
        <v/>
      </c>
      <c r="R76" s="331" t="n">
        <v>45987</v>
      </c>
      <c r="S76" s="302" t="inlineStr">
        <is>
          <t>R51X,G430,J67X,G932,K568</t>
        </is>
      </c>
      <c r="T76" s="301" t="n"/>
      <c r="U76" s="334" t="n"/>
      <c r="V76" s="301" t="inlineStr">
        <is>
          <t>6018-2025</t>
        </is>
      </c>
      <c r="W76" s="301" t="inlineStr">
        <is>
          <t>3479.0</t>
        </is>
      </c>
      <c r="X76" s="301" t="inlineStr">
        <is>
          <t>189.0</t>
        </is>
      </c>
      <c r="Y76" s="280" t="n"/>
    </row>
    <row r="77" ht="15.75" customHeight="1" s="195">
      <c r="A77" s="241" t="n">
        <v>72</v>
      </c>
      <c r="B77" s="305" t="inlineStr">
        <is>
          <t>00000009</t>
        </is>
      </c>
      <c r="C77" s="241" t="inlineStr">
        <is>
          <t>REGION</t>
        </is>
      </c>
      <c r="D77" s="305" t="inlineStr">
        <is>
          <t>ROJAS GALLARDO KARIN LARISA</t>
        </is>
      </c>
      <c r="E77" s="241" t="inlineStr">
        <is>
          <t>DNI</t>
        </is>
      </c>
      <c r="F77" s="241" t="inlineStr">
        <is>
          <t>48250353</t>
        </is>
      </c>
      <c r="G77" s="336" t="n">
        <v>45878</v>
      </c>
      <c r="H77" s="241" t="inlineStr">
        <is>
          <t>4947</t>
        </is>
      </c>
      <c r="I77" s="332">
        <f>IFERROR(VLOOKUP(TEXT(H77,"0"),IPRESS!$A$3:$B$212,2,0),"")</f>
        <v/>
      </c>
      <c r="J77" s="241" t="inlineStr">
        <is>
          <t>4950</t>
        </is>
      </c>
      <c r="K77" s="332">
        <f>IFERROR(VLOOKUP(TEXT(O77,"0"),CONDUCTORES!$A$3:$G$100,7,0),"")</f>
        <v/>
      </c>
      <c r="L77" s="239" t="n">
        <v>20.25</v>
      </c>
      <c r="M77" s="239" t="n">
        <v>10</v>
      </c>
      <c r="N77" s="333">
        <f>IFERROR(IF(L77*M77=0,"",L77*M77),"")</f>
        <v/>
      </c>
      <c r="O77" s="334" t="n"/>
      <c r="P77" s="332">
        <f>IFERROR(VLOOKUP(TEXT(O77,"0"),CONDUCTORES!$A$3:$G$100,2,0),"")</f>
        <v/>
      </c>
      <c r="Q77" s="332">
        <f>IFERROR(VLOOKUP(TEXT(O77,"0"),CONDUCTORES!$A$3:$H$100,6,0),"")</f>
        <v/>
      </c>
      <c r="R77" s="336" t="n">
        <v>45987</v>
      </c>
      <c r="S77" s="305" t="inlineStr">
        <is>
          <t>Z359,O200</t>
        </is>
      </c>
      <c r="T77" s="241" t="n"/>
      <c r="U77" s="280" t="n"/>
      <c r="V77" s="241" t="inlineStr">
        <is>
          <t>6018-2025</t>
        </is>
      </c>
      <c r="W77" s="241" t="inlineStr">
        <is>
          <t>3479.0</t>
        </is>
      </c>
      <c r="X77" s="241" t="inlineStr">
        <is>
          <t>189.0</t>
        </is>
      </c>
      <c r="Y77" s="280" t="n"/>
    </row>
    <row r="78" ht="15.75" customHeight="1" s="195">
      <c r="A78" s="301" t="n">
        <v>73</v>
      </c>
      <c r="B78" s="302" t="inlineStr">
        <is>
          <t>00000010</t>
        </is>
      </c>
      <c r="C78" s="301" t="inlineStr">
        <is>
          <t>REGION</t>
        </is>
      </c>
      <c r="D78" s="302" t="inlineStr">
        <is>
          <t>CHAVEZ CHACON DILMA</t>
        </is>
      </c>
      <c r="E78" s="301" t="inlineStr">
        <is>
          <t>DNI</t>
        </is>
      </c>
      <c r="F78" s="301" t="inlineStr">
        <is>
          <t>76674213</t>
        </is>
      </c>
      <c r="G78" s="331" t="n">
        <v>45885</v>
      </c>
      <c r="H78" s="301" t="inlineStr">
        <is>
          <t>4947</t>
        </is>
      </c>
      <c r="I78" s="332">
        <f>IFERROR(VLOOKUP(TEXT(H78,"0"),IPRESS!$A$3:$B$212,2,0),"")</f>
        <v/>
      </c>
      <c r="J78" s="301" t="inlineStr">
        <is>
          <t>4950</t>
        </is>
      </c>
      <c r="K78" s="332">
        <f>IFERROR(VLOOKUP(TEXT(O78,"0"),CONDUCTORES!$A$3:$G$100,7,0),"")</f>
        <v/>
      </c>
      <c r="L78" s="245" t="n">
        <v>20.25</v>
      </c>
      <c r="M78" s="245" t="n">
        <v>10</v>
      </c>
      <c r="N78" s="333">
        <f>IFERROR(IF(L78*M78=0,"",L78*M78),"")</f>
        <v/>
      </c>
      <c r="O78" s="280" t="n"/>
      <c r="P78" s="332">
        <f>IFERROR(VLOOKUP(TEXT(O78,"0"),CONDUCTORES!$A$3:$G$100,2,0),"")</f>
        <v/>
      </c>
      <c r="Q78" s="332">
        <f>IFERROR(VLOOKUP(TEXT(O78,"0"),CONDUCTORES!$A$3:$H$100,6,0),"")</f>
        <v/>
      </c>
      <c r="R78" s="331" t="n">
        <v>45987</v>
      </c>
      <c r="S78" s="302" t="inlineStr">
        <is>
          <t>Z6350,O620,O990</t>
        </is>
      </c>
      <c r="T78" s="301" t="n"/>
      <c r="U78" s="334" t="n"/>
      <c r="V78" s="301" t="inlineStr">
        <is>
          <t>6018-2025</t>
        </is>
      </c>
      <c r="W78" s="301" t="inlineStr">
        <is>
          <t>3479.0</t>
        </is>
      </c>
      <c r="X78" s="301" t="inlineStr">
        <is>
          <t>189.0</t>
        </is>
      </c>
      <c r="Y78" s="280" t="n"/>
    </row>
    <row r="79" ht="15.75" customHeight="1" s="195">
      <c r="A79" s="241" t="n">
        <v>74</v>
      </c>
      <c r="B79" s="305" t="inlineStr">
        <is>
          <t>00000011</t>
        </is>
      </c>
      <c r="C79" s="241" t="inlineStr">
        <is>
          <t>REGION</t>
        </is>
      </c>
      <c r="D79" s="305" t="inlineStr">
        <is>
          <t>JIMENEZ VILLANUEVA JHARLIN YOSVITH</t>
        </is>
      </c>
      <c r="E79" s="241" t="inlineStr">
        <is>
          <t>DNI</t>
        </is>
      </c>
      <c r="F79" s="241" t="inlineStr">
        <is>
          <t>80751823</t>
        </is>
      </c>
      <c r="G79" s="336" t="n">
        <v>45889</v>
      </c>
      <c r="H79" s="241" t="inlineStr">
        <is>
          <t>4947</t>
        </is>
      </c>
      <c r="I79" s="332">
        <f>IFERROR(VLOOKUP(TEXT(H79,"0"),IPRESS!$A$3:$B$212,2,0),"")</f>
        <v/>
      </c>
      <c r="J79" s="241" t="inlineStr">
        <is>
          <t>4950</t>
        </is>
      </c>
      <c r="K79" s="332">
        <f>IFERROR(VLOOKUP(TEXT(O79,"0"),CONDUCTORES!$A$3:$G$100,7,0),"")</f>
        <v/>
      </c>
      <c r="L79" s="239" t="n">
        <v>20.25</v>
      </c>
      <c r="M79" s="239" t="n">
        <v>10</v>
      </c>
      <c r="N79" s="333">
        <f>IFERROR(IF(L79*M79=0,"",L79*M79),"")</f>
        <v/>
      </c>
      <c r="O79" s="334" t="n"/>
      <c r="P79" s="332">
        <f>IFERROR(VLOOKUP(TEXT(O79,"0"),CONDUCTORES!$A$3:$G$100,2,0),"")</f>
        <v/>
      </c>
      <c r="Q79" s="332">
        <f>IFERROR(VLOOKUP(TEXT(O79,"0"),CONDUCTORES!$A$3:$H$100,6,0),"")</f>
        <v/>
      </c>
      <c r="R79" s="336" t="n">
        <v>45987</v>
      </c>
      <c r="S79" s="305" t="inlineStr">
        <is>
          <t>R51X,A010</t>
        </is>
      </c>
      <c r="T79" s="241" t="n"/>
      <c r="U79" s="280" t="n"/>
      <c r="V79" s="241" t="inlineStr">
        <is>
          <t>6018-2025</t>
        </is>
      </c>
      <c r="W79" s="241" t="inlineStr">
        <is>
          <t>3479.0</t>
        </is>
      </c>
      <c r="X79" s="241" t="inlineStr">
        <is>
          <t>189.0</t>
        </is>
      </c>
      <c r="Y79" s="280" t="n"/>
    </row>
    <row r="80" ht="15.75" customHeight="1" s="195">
      <c r="A80" s="301" t="n">
        <v>75</v>
      </c>
      <c r="B80" s="302" t="inlineStr">
        <is>
          <t>00000012</t>
        </is>
      </c>
      <c r="C80" s="301" t="inlineStr">
        <is>
          <t>REGION</t>
        </is>
      </c>
      <c r="D80" s="302" t="inlineStr">
        <is>
          <t>HUAMAN PUSCAN DILMER</t>
        </is>
      </c>
      <c r="E80" s="301" t="inlineStr">
        <is>
          <t>DNI</t>
        </is>
      </c>
      <c r="F80" s="301" t="inlineStr">
        <is>
          <t>75050765</t>
        </is>
      </c>
      <c r="G80" s="331" t="n">
        <v>45892</v>
      </c>
      <c r="H80" s="301" t="inlineStr">
        <is>
          <t>4947</t>
        </is>
      </c>
      <c r="I80" s="332">
        <f>IFERROR(VLOOKUP(TEXT(H80,"0"),IPRESS!$A$3:$B$212,2,0),"")</f>
        <v/>
      </c>
      <c r="J80" s="301" t="inlineStr">
        <is>
          <t>4950</t>
        </is>
      </c>
      <c r="K80" s="332">
        <f>IFERROR(VLOOKUP(TEXT(O80,"0"),CONDUCTORES!$A$3:$G$100,7,0),"")</f>
        <v/>
      </c>
      <c r="L80" s="245" t="n">
        <v>20.25</v>
      </c>
      <c r="M80" s="245" t="n">
        <v>10</v>
      </c>
      <c r="N80" s="333">
        <f>IFERROR(IF(L80*M80=0,"",L80*M80),"")</f>
        <v/>
      </c>
      <c r="O80" s="280" t="n"/>
      <c r="P80" s="332">
        <f>IFERROR(VLOOKUP(TEXT(O80,"0"),CONDUCTORES!$A$3:$G$100,2,0),"")</f>
        <v/>
      </c>
      <c r="Q80" s="332">
        <f>IFERROR(VLOOKUP(TEXT(O80,"0"),CONDUCTORES!$A$3:$H$100,6,0),"")</f>
        <v/>
      </c>
      <c r="R80" s="331" t="n">
        <v>45987</v>
      </c>
      <c r="S80" s="302" t="inlineStr">
        <is>
          <t>K37X</t>
        </is>
      </c>
      <c r="T80" s="301" t="n"/>
      <c r="U80" s="334" t="n"/>
      <c r="V80" s="301" t="inlineStr">
        <is>
          <t>6018-2025</t>
        </is>
      </c>
      <c r="W80" s="301" t="inlineStr">
        <is>
          <t>3479.0</t>
        </is>
      </c>
      <c r="X80" s="301" t="inlineStr">
        <is>
          <t>189.0</t>
        </is>
      </c>
      <c r="Y80" s="280" t="n"/>
    </row>
    <row r="81" ht="15.75" customHeight="1" s="195">
      <c r="A81" s="241" t="n">
        <v>76</v>
      </c>
      <c r="B81" s="305" t="inlineStr">
        <is>
          <t>00000023</t>
        </is>
      </c>
      <c r="C81" s="241" t="inlineStr">
        <is>
          <t>REGION</t>
        </is>
      </c>
      <c r="D81" s="305" t="inlineStr">
        <is>
          <t>CHAVEZ VEGA ODALIS STEFANY</t>
        </is>
      </c>
      <c r="E81" s="241" t="inlineStr">
        <is>
          <t>DNI</t>
        </is>
      </c>
      <c r="F81" s="241" t="inlineStr">
        <is>
          <t>73532308</t>
        </is>
      </c>
      <c r="G81" s="336" t="n">
        <v>45899</v>
      </c>
      <c r="H81" s="241" t="inlineStr">
        <is>
          <t>4876</t>
        </is>
      </c>
      <c r="I81" s="332">
        <f>IFERROR(VLOOKUP(TEXT(H81,"0"),IPRESS!$A$3:$B$212,2,0),"")</f>
        <v/>
      </c>
      <c r="J81" s="241" t="inlineStr">
        <is>
          <t>4838</t>
        </is>
      </c>
      <c r="K81" s="332">
        <f>IFERROR(VLOOKUP(TEXT(O81,"0"),CONDUCTORES!$A$3:$G$100,7,0),"")</f>
        <v/>
      </c>
      <c r="L81" s="239" t="n">
        <v>18.18</v>
      </c>
      <c r="M81" s="239" t="n">
        <v>30</v>
      </c>
      <c r="N81" s="333">
        <f>IFERROR(IF(L81*M81=0,"",L81*M81),"")</f>
        <v/>
      </c>
      <c r="O81" s="334" t="n"/>
      <c r="P81" s="332">
        <f>IFERROR(VLOOKUP(TEXT(O81,"0"),CONDUCTORES!$A$3:$G$100,2,0),"")</f>
        <v/>
      </c>
      <c r="Q81" s="332">
        <f>IFERROR(VLOOKUP(TEXT(O81,"0"),CONDUCTORES!$A$3:$H$100,6,0),"")</f>
        <v/>
      </c>
      <c r="R81" s="280" t="n"/>
      <c r="S81" s="305" t="inlineStr">
        <is>
          <t>O034</t>
        </is>
      </c>
      <c r="T81" s="241" t="inlineStr">
        <is>
          <t>DEVOLVER EL COMBUSTIBLE A C.S. CAMPORREDONDO</t>
        </is>
      </c>
      <c r="U81" s="280" t="n"/>
      <c r="V81" s="241" t="n"/>
      <c r="W81" s="241" t="n"/>
      <c r="X81" s="241" t="n"/>
      <c r="Y81" s="280" t="n"/>
    </row>
    <row r="82" ht="15.75" customHeight="1" s="195">
      <c r="A82" s="301" t="n">
        <v>77</v>
      </c>
      <c r="B82" s="302" t="inlineStr">
        <is>
          <t>00000006</t>
        </is>
      </c>
      <c r="C82" s="301" t="inlineStr">
        <is>
          <t>REGION</t>
        </is>
      </c>
      <c r="D82" s="302" t="inlineStr">
        <is>
          <t>CALDERON SANTILLAN ANA MARIA</t>
        </is>
      </c>
      <c r="E82" s="301" t="inlineStr">
        <is>
          <t>DNI</t>
        </is>
      </c>
      <c r="F82" s="301" t="inlineStr">
        <is>
          <t>33950478</t>
        </is>
      </c>
      <c r="G82" s="331" t="n">
        <v>45871</v>
      </c>
      <c r="H82" s="301" t="inlineStr">
        <is>
          <t>4946</t>
        </is>
      </c>
      <c r="I82" s="332">
        <f>IFERROR(VLOOKUP(TEXT(H82,"0"),IPRESS!$A$3:$B$212,2,0),"")</f>
        <v/>
      </c>
      <c r="J82" s="301" t="inlineStr">
        <is>
          <t>4950</t>
        </is>
      </c>
      <c r="K82" s="332">
        <f>IFERROR(VLOOKUP(TEXT(O82,"0"),CONDUCTORES!$A$3:$G$100,7,0),"")</f>
        <v/>
      </c>
      <c r="L82" s="245" t="n">
        <v>20.25</v>
      </c>
      <c r="M82" s="245" t="n">
        <v>3</v>
      </c>
      <c r="N82" s="333">
        <f>IFERROR(IF(L82*M82=0,"",L82*M82),"")</f>
        <v/>
      </c>
      <c r="O82" s="280" t="n"/>
      <c r="P82" s="332">
        <f>IFERROR(VLOOKUP(TEXT(O82,"0"),CONDUCTORES!$A$3:$G$100,2,0),"")</f>
        <v/>
      </c>
      <c r="Q82" s="332">
        <f>IFERROR(VLOOKUP(TEXT(O82,"0"),CONDUCTORES!$A$3:$H$100,6,0),"")</f>
        <v/>
      </c>
      <c r="R82" s="331" t="n">
        <v>46010</v>
      </c>
      <c r="S82" s="302" t="inlineStr">
        <is>
          <t>S729</t>
        </is>
      </c>
      <c r="T82" s="301" t="n"/>
      <c r="U82" s="334" t="n"/>
      <c r="V82" s="301" t="n"/>
      <c r="W82" s="301" t="n"/>
      <c r="X82" s="301" t="n"/>
      <c r="Y82" s="280" t="n"/>
    </row>
    <row r="83" ht="15.75" customHeight="1" s="195">
      <c r="A83" s="241" t="n">
        <v>78</v>
      </c>
      <c r="B83" s="305" t="inlineStr">
        <is>
          <t>00000007</t>
        </is>
      </c>
      <c r="C83" s="241" t="inlineStr">
        <is>
          <t>REGION</t>
        </is>
      </c>
      <c r="D83" s="305" t="inlineStr">
        <is>
          <t>CALDERON GRANDEZ SEGUNDO EMILIANO</t>
        </is>
      </c>
      <c r="E83" s="241" t="inlineStr">
        <is>
          <t>DNI</t>
        </is>
      </c>
      <c r="F83" s="241" t="inlineStr">
        <is>
          <t>33962868</t>
        </is>
      </c>
      <c r="G83" s="336" t="n">
        <v>45886</v>
      </c>
      <c r="H83" s="241" t="inlineStr">
        <is>
          <t>4946</t>
        </is>
      </c>
      <c r="I83" s="332">
        <f>IFERROR(VLOOKUP(TEXT(H83,"0"),IPRESS!$A$3:$B$212,2,0),"")</f>
        <v/>
      </c>
      <c r="J83" s="241" t="inlineStr">
        <is>
          <t>4950</t>
        </is>
      </c>
      <c r="K83" s="332">
        <f>IFERROR(VLOOKUP(TEXT(O83,"0"),CONDUCTORES!$A$3:$G$100,7,0),"")</f>
        <v/>
      </c>
      <c r="L83" s="239" t="n">
        <v>20.25</v>
      </c>
      <c r="M83" s="239" t="n">
        <v>3</v>
      </c>
      <c r="N83" s="333">
        <f>IFERROR(IF(L83*M83=0,"",L83*M83),"")</f>
        <v/>
      </c>
      <c r="O83" s="334" t="n"/>
      <c r="P83" s="332">
        <f>IFERROR(VLOOKUP(TEXT(O83,"0"),CONDUCTORES!$A$3:$G$100,2,0),"")</f>
        <v/>
      </c>
      <c r="Q83" s="332">
        <f>IFERROR(VLOOKUP(TEXT(O83,"0"),CONDUCTORES!$A$3:$H$100,6,0),"")</f>
        <v/>
      </c>
      <c r="R83" s="336" t="n">
        <v>46010</v>
      </c>
      <c r="S83" s="305" t="inlineStr">
        <is>
          <t>F109</t>
        </is>
      </c>
      <c r="T83" s="241" t="n"/>
      <c r="U83" s="280" t="n"/>
      <c r="V83" s="241" t="n"/>
      <c r="W83" s="241" t="n"/>
      <c r="X83" s="241" t="n"/>
      <c r="Y83" s="280" t="n"/>
    </row>
    <row r="84" ht="15.75" customHeight="1" s="195">
      <c r="A84" s="301" t="n">
        <v>79</v>
      </c>
      <c r="B84" s="302" t="inlineStr">
        <is>
          <t>00000008</t>
        </is>
      </c>
      <c r="C84" s="301" t="inlineStr">
        <is>
          <t>REGION</t>
        </is>
      </c>
      <c r="D84" s="302" t="inlineStr">
        <is>
          <t>VARGAS FARFAN ANA GABRIEL</t>
        </is>
      </c>
      <c r="E84" s="301" t="inlineStr">
        <is>
          <t>DNI</t>
        </is>
      </c>
      <c r="F84" s="301" t="inlineStr">
        <is>
          <t>63038936</t>
        </is>
      </c>
      <c r="G84" s="331" t="n">
        <v>45894</v>
      </c>
      <c r="H84" s="301" t="inlineStr">
        <is>
          <t>4946</t>
        </is>
      </c>
      <c r="I84" s="332">
        <f>IFERROR(VLOOKUP(TEXT(H84,"0"),IPRESS!$A$3:$B$212,2,0),"")</f>
        <v/>
      </c>
      <c r="J84" s="301" t="inlineStr">
        <is>
          <t>4950</t>
        </is>
      </c>
      <c r="K84" s="332">
        <f>IFERROR(VLOOKUP(TEXT(O84,"0"),CONDUCTORES!$A$3:$G$100,7,0),"")</f>
        <v/>
      </c>
      <c r="L84" s="245" t="n">
        <v>20.25</v>
      </c>
      <c r="M84" s="245" t="n">
        <v>3</v>
      </c>
      <c r="N84" s="333">
        <f>IFERROR(IF(L84*M84=0,"",L84*M84),"")</f>
        <v/>
      </c>
      <c r="O84" s="280" t="n"/>
      <c r="P84" s="332">
        <f>IFERROR(VLOOKUP(TEXT(O84,"0"),CONDUCTORES!$A$3:$G$100,2,0),"")</f>
        <v/>
      </c>
      <c r="Q84" s="332">
        <f>IFERROR(VLOOKUP(TEXT(O84,"0"),CONDUCTORES!$A$3:$H$100,6,0),"")</f>
        <v/>
      </c>
      <c r="R84" s="331" t="n">
        <v>46010</v>
      </c>
      <c r="S84" s="302" t="inlineStr">
        <is>
          <t>R104</t>
        </is>
      </c>
      <c r="T84" s="301" t="n"/>
      <c r="U84" s="334" t="n"/>
      <c r="V84" s="301" t="n"/>
      <c r="W84" s="301" t="n"/>
      <c r="X84" s="301" t="n"/>
      <c r="Y84" s="280" t="n"/>
    </row>
    <row r="85" ht="15.75" customHeight="1" s="195">
      <c r="A85" s="241" t="n">
        <v>80</v>
      </c>
      <c r="B85" s="305" t="inlineStr">
        <is>
          <t>00000064</t>
        </is>
      </c>
      <c r="C85" s="241" t="inlineStr">
        <is>
          <t>REGION</t>
        </is>
      </c>
      <c r="D85" s="305" t="inlineStr">
        <is>
          <t>ZAGACETA ZUTA NANCY</t>
        </is>
      </c>
      <c r="E85" s="241" t="inlineStr">
        <is>
          <t>DNI</t>
        </is>
      </c>
      <c r="F85" s="241" t="inlineStr">
        <is>
          <t>62425853</t>
        </is>
      </c>
      <c r="G85" s="336" t="n">
        <v>45877</v>
      </c>
      <c r="H85" s="241" t="inlineStr">
        <is>
          <t>4922</t>
        </is>
      </c>
      <c r="I85" s="332">
        <f>IFERROR(VLOOKUP(TEXT(H85,"0"),IPRESS!$A$3:$B$212,2,0),"")</f>
        <v/>
      </c>
      <c r="J85" s="241" t="inlineStr">
        <is>
          <t>4838</t>
        </is>
      </c>
      <c r="K85" s="332">
        <f>IFERROR(VLOOKUP(TEXT(O85,"0"),CONDUCTORES!$A$3:$G$100,7,0),"")</f>
        <v/>
      </c>
      <c r="L85" s="239" t="n">
        <v>18.18</v>
      </c>
      <c r="M85" s="239" t="n">
        <v>5</v>
      </c>
      <c r="N85" s="333">
        <f>IFERROR(IF(L85*M85=0,"",L85*M85),"")</f>
        <v/>
      </c>
      <c r="O85" s="334" t="n"/>
      <c r="P85" s="332">
        <f>IFERROR(VLOOKUP(TEXT(O85,"0"),CONDUCTORES!$A$3:$G$100,2,0),"")</f>
        <v/>
      </c>
      <c r="Q85" s="332">
        <f>IFERROR(VLOOKUP(TEXT(O85,"0"),CONDUCTORES!$A$3:$H$100,6,0),"")</f>
        <v/>
      </c>
      <c r="R85" s="336" t="n">
        <v>45936</v>
      </c>
      <c r="S85" s="305" t="inlineStr">
        <is>
          <t>Z359,O335,O90X</t>
        </is>
      </c>
      <c r="T85" s="241" t="n"/>
      <c r="U85" s="280" t="n"/>
      <c r="V85" s="241" t="n"/>
      <c r="W85" s="241" t="n"/>
      <c r="X85" s="241" t="n"/>
      <c r="Y85" s="280" t="n"/>
    </row>
    <row r="86" ht="15.75" customHeight="1" s="195">
      <c r="A86" s="301" t="n">
        <v>81</v>
      </c>
      <c r="B86" s="302" t="inlineStr">
        <is>
          <t>00000065</t>
        </is>
      </c>
      <c r="C86" s="301" t="inlineStr">
        <is>
          <t>REGION</t>
        </is>
      </c>
      <c r="D86" s="302" t="inlineStr">
        <is>
          <t>MORENO GARCIA WILLIAM</t>
        </is>
      </c>
      <c r="E86" s="301" t="inlineStr">
        <is>
          <t>DNI</t>
        </is>
      </c>
      <c r="F86" s="301" t="inlineStr">
        <is>
          <t>44571231</t>
        </is>
      </c>
      <c r="G86" s="331" t="n">
        <v>45883</v>
      </c>
      <c r="H86" s="301" t="inlineStr">
        <is>
          <t>4922</t>
        </is>
      </c>
      <c r="I86" s="332">
        <f>IFERROR(VLOOKUP(TEXT(H86,"0"),IPRESS!$A$3:$B$212,2,0),"")</f>
        <v/>
      </c>
      <c r="J86" s="301" t="inlineStr">
        <is>
          <t>4838</t>
        </is>
      </c>
      <c r="K86" s="332">
        <f>IFERROR(VLOOKUP(TEXT(O86,"0"),CONDUCTORES!$A$3:$G$100,7,0),"")</f>
        <v/>
      </c>
      <c r="L86" s="245" t="n">
        <v>18.18</v>
      </c>
      <c r="M86" s="245" t="n">
        <v>5</v>
      </c>
      <c r="N86" s="333">
        <f>IFERROR(IF(L86*M86=0,"",L86*M86),"")</f>
        <v/>
      </c>
      <c r="O86" s="280" t="n"/>
      <c r="P86" s="332">
        <f>IFERROR(VLOOKUP(TEXT(O86,"0"),CONDUCTORES!$A$3:$G$100,2,0),"")</f>
        <v/>
      </c>
      <c r="Q86" s="332">
        <f>IFERROR(VLOOKUP(TEXT(O86,"0"),CONDUCTORES!$A$3:$H$100,6,0),"")</f>
        <v/>
      </c>
      <c r="R86" s="331" t="n">
        <v>45936</v>
      </c>
      <c r="S86" s="302" t="inlineStr">
        <is>
          <t>S660</t>
        </is>
      </c>
      <c r="T86" s="301" t="n"/>
      <c r="U86" s="334" t="n"/>
      <c r="V86" s="301" t="n"/>
      <c r="W86" s="301" t="n"/>
      <c r="X86" s="301" t="n"/>
      <c r="Y86" s="280" t="n"/>
    </row>
    <row r="87" ht="15.75" customHeight="1" s="195">
      <c r="A87" s="337" t="n">
        <v>82</v>
      </c>
      <c r="B87" s="338" t="inlineStr">
        <is>
          <t>00000066</t>
        </is>
      </c>
      <c r="C87" s="337" t="inlineStr">
        <is>
          <t>REGION</t>
        </is>
      </c>
      <c r="D87" s="338" t="inlineStr">
        <is>
          <t>CHICHIPE VARGAS KEYLI ROSAURA</t>
        </is>
      </c>
      <c r="E87" s="337" t="inlineStr">
        <is>
          <t>DNI</t>
        </is>
      </c>
      <c r="F87" s="337" t="inlineStr">
        <is>
          <t>61744766</t>
        </is>
      </c>
      <c r="G87" s="339" t="n">
        <v>45884</v>
      </c>
      <c r="H87" s="337" t="inlineStr">
        <is>
          <t>4922</t>
        </is>
      </c>
      <c r="I87" s="332">
        <f>IFERROR(VLOOKUP(TEXT(H87,"0"),IPRESS!$A$3:$B$212,2,0),"")</f>
        <v/>
      </c>
      <c r="J87" s="337" t="inlineStr">
        <is>
          <t>4838</t>
        </is>
      </c>
      <c r="K87" s="332">
        <f>IFERROR(VLOOKUP(TEXT(O87,"0"),CONDUCTORES!$A$3:$G$100,7,0),"")</f>
        <v/>
      </c>
      <c r="L87" s="340" t="n">
        <v>17.95</v>
      </c>
      <c r="M87" s="340" t="n">
        <v>6</v>
      </c>
      <c r="N87" s="333">
        <f>IFERROR(IF(L87*M87=0,"",L87*M87),"")</f>
        <v/>
      </c>
      <c r="O87" s="334" t="n"/>
      <c r="P87" s="332">
        <f>IFERROR(VLOOKUP(TEXT(O87,"0"),CONDUCTORES!$A$3:$G$100,2,0),"")</f>
        <v/>
      </c>
      <c r="Q87" s="332">
        <f>IFERROR(VLOOKUP(TEXT(O87,"0"),CONDUCTORES!$A$3:$H$100,6,0),"")</f>
        <v/>
      </c>
      <c r="R87" s="339" t="n">
        <v>45936</v>
      </c>
      <c r="S87" s="338" t="inlineStr">
        <is>
          <t>O034</t>
        </is>
      </c>
      <c r="T87" s="337" t="n"/>
      <c r="U87" s="341" t="n"/>
      <c r="V87" s="337" t="n"/>
      <c r="W87" s="337" t="n"/>
      <c r="X87" s="337" t="n"/>
      <c r="Y87" s="280" t="n"/>
    </row>
    <row r="88" ht="15.75" customHeight="1" s="195">
      <c r="A88" s="301" t="n">
        <v>83</v>
      </c>
      <c r="B88" s="302" t="inlineStr">
        <is>
          <t>00000067</t>
        </is>
      </c>
      <c r="C88" s="301" t="inlineStr">
        <is>
          <t>REGION</t>
        </is>
      </c>
      <c r="D88" s="302" t="inlineStr">
        <is>
          <t>SABEDRA ZUTA ANGEL SEGUNDO</t>
        </is>
      </c>
      <c r="E88" s="301" t="inlineStr">
        <is>
          <t>DNI</t>
        </is>
      </c>
      <c r="F88" s="301" t="inlineStr">
        <is>
          <t>45715136</t>
        </is>
      </c>
      <c r="G88" s="331" t="n">
        <v>45884</v>
      </c>
      <c r="H88" s="301" t="inlineStr">
        <is>
          <t>4922</t>
        </is>
      </c>
      <c r="I88" s="332">
        <f>IFERROR(VLOOKUP(TEXT(H88,"0"),IPRESS!$A$3:$B$212,2,0),"")</f>
        <v/>
      </c>
      <c r="J88" s="301" t="inlineStr">
        <is>
          <t>4838</t>
        </is>
      </c>
      <c r="K88" s="332">
        <f>IFERROR(VLOOKUP(TEXT(O88,"0"),CONDUCTORES!$A$3:$G$100,7,0),"")</f>
        <v/>
      </c>
      <c r="L88" s="245" t="n">
        <v>18.18</v>
      </c>
      <c r="M88" s="245" t="n">
        <v>5</v>
      </c>
      <c r="N88" s="333">
        <f>IFERROR(IF(L88*M88=0,"",L88*M88),"")</f>
        <v/>
      </c>
      <c r="O88" s="280" t="n"/>
      <c r="P88" s="332">
        <f>IFERROR(VLOOKUP(TEXT(O88,"0"),CONDUCTORES!$A$3:$G$100,2,0),"")</f>
        <v/>
      </c>
      <c r="Q88" s="332">
        <f>IFERROR(VLOOKUP(TEXT(O88,"0"),CONDUCTORES!$A$3:$H$100,6,0),"")</f>
        <v/>
      </c>
      <c r="R88" s="331" t="n">
        <v>45936</v>
      </c>
      <c r="S88" s="302" t="inlineStr">
        <is>
          <t>S069,J690,E512</t>
        </is>
      </c>
      <c r="T88" s="301" t="n"/>
      <c r="U88" s="334" t="n"/>
      <c r="V88" s="301" t="n"/>
      <c r="W88" s="301" t="n"/>
      <c r="X88" s="301" t="n"/>
      <c r="Y88" s="280" t="n"/>
    </row>
    <row r="89" ht="15.75" customHeight="1" s="195">
      <c r="A89" s="337" t="n">
        <v>84</v>
      </c>
      <c r="B89" s="338" t="inlineStr">
        <is>
          <t>00000068</t>
        </is>
      </c>
      <c r="C89" s="337" t="inlineStr">
        <is>
          <t>REGION</t>
        </is>
      </c>
      <c r="D89" s="338" t="inlineStr">
        <is>
          <t>CORREA PERALTA LEYDI DIANA</t>
        </is>
      </c>
      <c r="E89" s="337" t="inlineStr">
        <is>
          <t>DNI</t>
        </is>
      </c>
      <c r="F89" s="337" t="inlineStr">
        <is>
          <t>76741949</t>
        </is>
      </c>
      <c r="G89" s="339" t="n">
        <v>45887</v>
      </c>
      <c r="H89" s="337" t="inlineStr">
        <is>
          <t>4922</t>
        </is>
      </c>
      <c r="I89" s="332">
        <f>IFERROR(VLOOKUP(TEXT(H89,"0"),IPRESS!$A$3:$B$212,2,0),"")</f>
        <v/>
      </c>
      <c r="J89" s="337" t="inlineStr">
        <is>
          <t>4838</t>
        </is>
      </c>
      <c r="K89" s="332">
        <f>IFERROR(VLOOKUP(TEXT(O89,"0"),CONDUCTORES!$A$3:$G$100,7,0),"")</f>
        <v/>
      </c>
      <c r="L89" s="340" t="n">
        <v>17.95</v>
      </c>
      <c r="M89" s="340" t="n">
        <v>6</v>
      </c>
      <c r="N89" s="333">
        <f>IFERROR(IF(L89*M89=0,"",L89*M89),"")</f>
        <v/>
      </c>
      <c r="O89" s="334" t="n"/>
      <c r="P89" s="332">
        <f>IFERROR(VLOOKUP(TEXT(O89,"0"),CONDUCTORES!$A$3:$G$100,2,0),"")</f>
        <v/>
      </c>
      <c r="Q89" s="332">
        <f>IFERROR(VLOOKUP(TEXT(O89,"0"),CONDUCTORES!$A$3:$H$100,6,0),"")</f>
        <v/>
      </c>
      <c r="R89" s="339" t="n">
        <v>45936</v>
      </c>
      <c r="S89" s="338" t="inlineStr">
        <is>
          <t>O420</t>
        </is>
      </c>
      <c r="T89" s="337" t="n"/>
      <c r="U89" s="341" t="n"/>
      <c r="V89" s="337" t="n"/>
      <c r="W89" s="337" t="n"/>
      <c r="X89" s="337" t="n"/>
      <c r="Y89" s="280" t="n"/>
    </row>
    <row r="90" ht="15.75" customHeight="1" s="195">
      <c r="A90" s="301" t="n">
        <v>85</v>
      </c>
      <c r="B90" s="302" t="inlineStr">
        <is>
          <t>00000069</t>
        </is>
      </c>
      <c r="C90" s="301" t="inlineStr">
        <is>
          <t>REGION</t>
        </is>
      </c>
      <c r="D90" s="302" t="inlineStr">
        <is>
          <t>DIAZ CHUMBE JORGE LUIS</t>
        </is>
      </c>
      <c r="E90" s="301" t="inlineStr">
        <is>
          <t>DNI</t>
        </is>
      </c>
      <c r="F90" s="301" t="inlineStr">
        <is>
          <t>81004054</t>
        </is>
      </c>
      <c r="G90" s="331" t="n">
        <v>45892</v>
      </c>
      <c r="H90" s="301" t="inlineStr">
        <is>
          <t>4922</t>
        </is>
      </c>
      <c r="I90" s="332">
        <f>IFERROR(VLOOKUP(TEXT(H90,"0"),IPRESS!$A$3:$B$212,2,0),"")</f>
        <v/>
      </c>
      <c r="J90" s="301" t="inlineStr">
        <is>
          <t>4838</t>
        </is>
      </c>
      <c r="K90" s="332">
        <f>IFERROR(VLOOKUP(TEXT(O90,"0"),CONDUCTORES!$A$3:$G$100,7,0),"")</f>
        <v/>
      </c>
      <c r="L90" s="245" t="n">
        <v>18.18</v>
      </c>
      <c r="M90" s="245" t="n">
        <v>5</v>
      </c>
      <c r="N90" s="333">
        <f>IFERROR(IF(L90*M90=0,"",L90*M90),"")</f>
        <v/>
      </c>
      <c r="O90" s="280" t="n"/>
      <c r="P90" s="332">
        <f>IFERROR(VLOOKUP(TEXT(O90,"0"),CONDUCTORES!$A$3:$G$100,2,0),"")</f>
        <v/>
      </c>
      <c r="Q90" s="332">
        <f>IFERROR(VLOOKUP(TEXT(O90,"0"),CONDUCTORES!$A$3:$H$100,6,0),"")</f>
        <v/>
      </c>
      <c r="R90" s="331" t="n">
        <v>45936</v>
      </c>
      <c r="S90" s="302" t="inlineStr">
        <is>
          <t>S069,S820,S202</t>
        </is>
      </c>
      <c r="T90" s="301" t="n"/>
      <c r="U90" s="334" t="n"/>
      <c r="V90" s="301" t="n"/>
      <c r="W90" s="301" t="n"/>
      <c r="X90" s="301" t="n"/>
      <c r="Y90" s="280" t="n"/>
    </row>
    <row r="91" ht="15.75" customHeight="1" s="195">
      <c r="A91" s="241" t="n">
        <v>86</v>
      </c>
      <c r="B91" s="305" t="inlineStr">
        <is>
          <t>00000070</t>
        </is>
      </c>
      <c r="C91" s="241" t="inlineStr">
        <is>
          <t>REGION</t>
        </is>
      </c>
      <c r="D91" s="305" t="inlineStr">
        <is>
          <t>CUIPAL DE OCAMPO MARIA MERCEDES</t>
        </is>
      </c>
      <c r="E91" s="241" t="inlineStr">
        <is>
          <t>DNI</t>
        </is>
      </c>
      <c r="F91" s="241" t="inlineStr">
        <is>
          <t>33802352</t>
        </is>
      </c>
      <c r="G91" s="336" t="n">
        <v>45895</v>
      </c>
      <c r="H91" s="241" t="inlineStr">
        <is>
          <t>4922</t>
        </is>
      </c>
      <c r="I91" s="332">
        <f>IFERROR(VLOOKUP(TEXT(H91,"0"),IPRESS!$A$3:$B$212,2,0),"")</f>
        <v/>
      </c>
      <c r="J91" s="241" t="inlineStr">
        <is>
          <t>4838</t>
        </is>
      </c>
      <c r="K91" s="332">
        <f>IFERROR(VLOOKUP(TEXT(O91,"0"),CONDUCTORES!$A$3:$G$100,7,0),"")</f>
        <v/>
      </c>
      <c r="L91" s="239" t="n">
        <v>18.18</v>
      </c>
      <c r="M91" s="239" t="n">
        <v>5</v>
      </c>
      <c r="N91" s="333">
        <f>IFERROR(IF(L91*M91=0,"",L91*M91),"")</f>
        <v/>
      </c>
      <c r="O91" s="334" t="n"/>
      <c r="P91" s="332">
        <f>IFERROR(VLOOKUP(TEXT(O91,"0"),CONDUCTORES!$A$3:$G$100,2,0),"")</f>
        <v/>
      </c>
      <c r="Q91" s="332">
        <f>IFERROR(VLOOKUP(TEXT(O91,"0"),CONDUCTORES!$A$3:$H$100,6,0),"")</f>
        <v/>
      </c>
      <c r="R91" s="336" t="n">
        <v>45936</v>
      </c>
      <c r="S91" s="305" t="inlineStr">
        <is>
          <t>I10X,I670</t>
        </is>
      </c>
      <c r="T91" s="241" t="n"/>
      <c r="U91" s="280" t="n"/>
      <c r="V91" s="241" t="n"/>
      <c r="W91" s="241" t="n"/>
      <c r="X91" s="241" t="n"/>
      <c r="Y91" s="280" t="n"/>
    </row>
    <row r="92" ht="15.75" customHeight="1" s="195">
      <c r="A92" s="301" t="n">
        <v>87</v>
      </c>
      <c r="B92" s="302" t="inlineStr">
        <is>
          <t>00000071</t>
        </is>
      </c>
      <c r="C92" s="301" t="inlineStr">
        <is>
          <t>REGION</t>
        </is>
      </c>
      <c r="D92" s="302" t="inlineStr">
        <is>
          <t>HUAMAN TORREJON EMILIANA</t>
        </is>
      </c>
      <c r="E92" s="301" t="inlineStr">
        <is>
          <t>DNI</t>
        </is>
      </c>
      <c r="F92" s="301" t="inlineStr">
        <is>
          <t>33732537</t>
        </is>
      </c>
      <c r="G92" s="331" t="n">
        <v>45899</v>
      </c>
      <c r="H92" s="301" t="inlineStr">
        <is>
          <t>4922</t>
        </is>
      </c>
      <c r="I92" s="332">
        <f>IFERROR(VLOOKUP(TEXT(H92,"0"),IPRESS!$A$3:$B$212,2,0),"")</f>
        <v/>
      </c>
      <c r="J92" s="301" t="inlineStr">
        <is>
          <t>4838</t>
        </is>
      </c>
      <c r="K92" s="332">
        <f>IFERROR(VLOOKUP(TEXT(O92,"0"),CONDUCTORES!$A$3:$G$100,7,0),"")</f>
        <v/>
      </c>
      <c r="L92" s="245" t="n">
        <v>18.18</v>
      </c>
      <c r="M92" s="245" t="n">
        <v>5</v>
      </c>
      <c r="N92" s="333">
        <f>IFERROR(IF(L92*M92=0,"",L92*M92),"")</f>
        <v/>
      </c>
      <c r="O92" s="280" t="n"/>
      <c r="P92" s="332">
        <f>IFERROR(VLOOKUP(TEXT(O92,"0"),CONDUCTORES!$A$3:$G$100,2,0),"")</f>
        <v/>
      </c>
      <c r="Q92" s="332">
        <f>IFERROR(VLOOKUP(TEXT(O92,"0"),CONDUCTORES!$A$3:$H$100,6,0),"")</f>
        <v/>
      </c>
      <c r="R92" s="331" t="n">
        <v>45936</v>
      </c>
      <c r="S92" s="302" t="inlineStr">
        <is>
          <t>J960,J159,N390,I60X</t>
        </is>
      </c>
      <c r="T92" s="301" t="n"/>
      <c r="U92" s="334" t="n"/>
      <c r="V92" s="301" t="n"/>
      <c r="W92" s="301" t="n"/>
      <c r="X92" s="301" t="n"/>
      <c r="Y92" s="280" t="n"/>
    </row>
    <row r="93" ht="15.75" customHeight="1" s="195">
      <c r="A93" s="241" t="n">
        <v>88</v>
      </c>
      <c r="B93" s="305" t="inlineStr">
        <is>
          <t>00000055</t>
        </is>
      </c>
      <c r="C93" s="241" t="inlineStr">
        <is>
          <t>REGION</t>
        </is>
      </c>
      <c r="D93" s="305" t="inlineStr">
        <is>
          <t>FERNANDEZ PEREZ DORIS MARLI</t>
        </is>
      </c>
      <c r="E93" s="241" t="inlineStr">
        <is>
          <t>DNI</t>
        </is>
      </c>
      <c r="F93" s="241" t="inlineStr">
        <is>
          <t>80815937</t>
        </is>
      </c>
      <c r="G93" s="336" t="n">
        <v>45873</v>
      </c>
      <c r="H93" s="241" t="inlineStr">
        <is>
          <t>4932</t>
        </is>
      </c>
      <c r="I93" s="332">
        <f>IFERROR(VLOOKUP(TEXT(H93,"0"),IPRESS!$A$3:$B$212,2,0),"")</f>
        <v/>
      </c>
      <c r="J93" s="241" t="inlineStr">
        <is>
          <t>4838</t>
        </is>
      </c>
      <c r="K93" s="332">
        <f>IFERROR(VLOOKUP(TEXT(O93,"0"),CONDUCTORES!$A$3:$G$100,7,0),"")</f>
        <v/>
      </c>
      <c r="L93" s="239" t="n">
        <v>18.18</v>
      </c>
      <c r="M93" s="239" t="n">
        <v>8</v>
      </c>
      <c r="N93" s="333">
        <f>IFERROR(IF(L93*M93=0,"",L93*M93),"")</f>
        <v/>
      </c>
      <c r="O93" s="334" t="n"/>
      <c r="P93" s="332">
        <f>IFERROR(VLOOKUP(TEXT(O93,"0"),CONDUCTORES!$A$3:$G$100,2,0),"")</f>
        <v/>
      </c>
      <c r="Q93" s="332">
        <f>IFERROR(VLOOKUP(TEXT(O93,"0"),CONDUCTORES!$A$3:$H$100,6,0),"")</f>
        <v/>
      </c>
      <c r="R93" s="336" t="n">
        <v>45968</v>
      </c>
      <c r="S93" s="305" t="inlineStr">
        <is>
          <t>K359</t>
        </is>
      </c>
      <c r="T93" s="241" t="n"/>
      <c r="U93" s="280" t="n"/>
      <c r="V93" s="241" t="n"/>
      <c r="W93" s="241" t="n"/>
      <c r="X93" s="241" t="n"/>
      <c r="Y93" s="280" t="n"/>
    </row>
    <row r="94" ht="15.75" customHeight="1" s="195">
      <c r="A94" s="301" t="n">
        <v>89</v>
      </c>
      <c r="B94" s="302" t="inlineStr">
        <is>
          <t>00000056</t>
        </is>
      </c>
      <c r="C94" s="301" t="inlineStr">
        <is>
          <t>REGION</t>
        </is>
      </c>
      <c r="D94" s="302" t="inlineStr">
        <is>
          <t>GARCIA MEGO RN</t>
        </is>
      </c>
      <c r="E94" s="301" t="inlineStr">
        <is>
          <t>DNI</t>
        </is>
      </c>
      <c r="F94" s="301" t="inlineStr">
        <is>
          <t>11130524</t>
        </is>
      </c>
      <c r="G94" s="331" t="n">
        <v>45873</v>
      </c>
      <c r="H94" s="301" t="inlineStr">
        <is>
          <t>4932</t>
        </is>
      </c>
      <c r="I94" s="332">
        <f>IFERROR(VLOOKUP(TEXT(H94,"0"),IPRESS!$A$3:$B$212,2,0),"")</f>
        <v/>
      </c>
      <c r="J94" s="301" t="inlineStr">
        <is>
          <t>4838</t>
        </is>
      </c>
      <c r="K94" s="332">
        <f>IFERROR(VLOOKUP(TEXT(O94,"0"),CONDUCTORES!$A$3:$G$100,7,0),"")</f>
        <v/>
      </c>
      <c r="L94" s="245" t="n">
        <v>18.18</v>
      </c>
      <c r="M94" s="245" t="n">
        <v>8</v>
      </c>
      <c r="N94" s="333">
        <f>IFERROR(IF(L94*M94=0,"",L94*M94),"")</f>
        <v/>
      </c>
      <c r="O94" s="280" t="n"/>
      <c r="P94" s="332">
        <f>IFERROR(VLOOKUP(TEXT(O94,"0"),CONDUCTORES!$A$3:$G$100,2,0),"")</f>
        <v/>
      </c>
      <c r="Q94" s="332">
        <f>IFERROR(VLOOKUP(TEXT(O94,"0"),CONDUCTORES!$A$3:$H$100,6,0),"")</f>
        <v/>
      </c>
      <c r="R94" s="331" t="n">
        <v>45968</v>
      </c>
      <c r="S94" s="302" t="inlineStr">
        <is>
          <t>P073,P285</t>
        </is>
      </c>
      <c r="T94" s="301" t="n"/>
      <c r="U94" s="334" t="n"/>
      <c r="V94" s="301" t="n"/>
      <c r="W94" s="301" t="n"/>
      <c r="X94" s="301" t="n"/>
      <c r="Y94" s="280" t="n"/>
    </row>
    <row r="95" ht="15.75" customHeight="1" s="195">
      <c r="A95" s="241" t="n">
        <v>90</v>
      </c>
      <c r="B95" s="305" t="inlineStr">
        <is>
          <t>00000057</t>
        </is>
      </c>
      <c r="C95" s="241" t="inlineStr">
        <is>
          <t>REGION</t>
        </is>
      </c>
      <c r="D95" s="305" t="inlineStr">
        <is>
          <t>VEGA GUERRERO ANITA</t>
        </is>
      </c>
      <c r="E95" s="241" t="inlineStr">
        <is>
          <t>DNI</t>
        </is>
      </c>
      <c r="F95" s="241" t="inlineStr">
        <is>
          <t>27665359</t>
        </is>
      </c>
      <c r="G95" s="336" t="n">
        <v>45877</v>
      </c>
      <c r="H95" s="241" t="inlineStr">
        <is>
          <t>4932</t>
        </is>
      </c>
      <c r="I95" s="332">
        <f>IFERROR(VLOOKUP(TEXT(H95,"0"),IPRESS!$A$3:$B$212,2,0),"")</f>
        <v/>
      </c>
      <c r="J95" s="241" t="inlineStr">
        <is>
          <t>4838</t>
        </is>
      </c>
      <c r="K95" s="332">
        <f>IFERROR(VLOOKUP(TEXT(O95,"0"),CONDUCTORES!$A$3:$G$100,7,0),"")</f>
        <v/>
      </c>
      <c r="L95" s="239" t="n">
        <v>18.18</v>
      </c>
      <c r="M95" s="239" t="n">
        <v>8</v>
      </c>
      <c r="N95" s="333">
        <f>IFERROR(IF(L95*M95=0,"",L95*M95),"")</f>
        <v/>
      </c>
      <c r="O95" s="334" t="n"/>
      <c r="P95" s="332">
        <f>IFERROR(VLOOKUP(TEXT(O95,"0"),CONDUCTORES!$A$3:$G$100,2,0),"")</f>
        <v/>
      </c>
      <c r="Q95" s="332">
        <f>IFERROR(VLOOKUP(TEXT(O95,"0"),CONDUCTORES!$A$3:$H$100,6,0),"")</f>
        <v/>
      </c>
      <c r="R95" s="336" t="n">
        <v>45968</v>
      </c>
      <c r="S95" s="305" t="inlineStr">
        <is>
          <t>I169,G510</t>
        </is>
      </c>
      <c r="T95" s="241" t="n"/>
      <c r="U95" s="280" t="n"/>
      <c r="V95" s="241" t="n"/>
      <c r="W95" s="241" t="n"/>
      <c r="X95" s="241" t="n"/>
      <c r="Y95" s="280" t="n"/>
    </row>
    <row r="96" ht="15.75" customHeight="1" s="195">
      <c r="A96" s="301" t="n">
        <v>91</v>
      </c>
      <c r="B96" s="302" t="inlineStr">
        <is>
          <t>00000058</t>
        </is>
      </c>
      <c r="C96" s="301" t="inlineStr">
        <is>
          <t>REGION</t>
        </is>
      </c>
      <c r="D96" s="302" t="inlineStr">
        <is>
          <t>AGUILAR COLUNCHE NILSER</t>
        </is>
      </c>
      <c r="E96" s="301" t="inlineStr">
        <is>
          <t>DNI</t>
        </is>
      </c>
      <c r="F96" s="301" t="inlineStr">
        <is>
          <t>46556860</t>
        </is>
      </c>
      <c r="G96" s="331" t="n">
        <v>45878</v>
      </c>
      <c r="H96" s="301" t="inlineStr">
        <is>
          <t>4932</t>
        </is>
      </c>
      <c r="I96" s="332">
        <f>IFERROR(VLOOKUP(TEXT(H96,"0"),IPRESS!$A$3:$B$212,2,0),"")</f>
        <v/>
      </c>
      <c r="J96" s="301" t="inlineStr">
        <is>
          <t>4838</t>
        </is>
      </c>
      <c r="K96" s="332">
        <f>IFERROR(VLOOKUP(TEXT(O96,"0"),CONDUCTORES!$A$3:$G$100,7,0),"")</f>
        <v/>
      </c>
      <c r="L96" s="245" t="n">
        <v>18.18</v>
      </c>
      <c r="M96" s="245" t="n">
        <v>8</v>
      </c>
      <c r="N96" s="333">
        <f>IFERROR(IF(L96*M96=0,"",L96*M96),"")</f>
        <v/>
      </c>
      <c r="O96" s="280" t="n"/>
      <c r="P96" s="332">
        <f>IFERROR(VLOOKUP(TEXT(O96,"0"),CONDUCTORES!$A$3:$G$100,2,0),"")</f>
        <v/>
      </c>
      <c r="Q96" s="332">
        <f>IFERROR(VLOOKUP(TEXT(O96,"0"),CONDUCTORES!$A$3:$H$100,6,0),"")</f>
        <v/>
      </c>
      <c r="R96" s="331" t="n">
        <v>45968</v>
      </c>
      <c r="S96" s="302" t="inlineStr">
        <is>
          <t>N44X</t>
        </is>
      </c>
      <c r="T96" s="301" t="n"/>
      <c r="U96" s="334" t="n"/>
      <c r="V96" s="301" t="n"/>
      <c r="W96" s="301" t="n"/>
      <c r="X96" s="301" t="n"/>
      <c r="Y96" s="280" t="n"/>
    </row>
    <row r="97" ht="15.75" customHeight="1" s="195">
      <c r="A97" s="241" t="n">
        <v>92</v>
      </c>
      <c r="B97" s="305" t="inlineStr">
        <is>
          <t>00000059</t>
        </is>
      </c>
      <c r="C97" s="241" t="inlineStr">
        <is>
          <t>REGION</t>
        </is>
      </c>
      <c r="D97" s="305" t="inlineStr">
        <is>
          <t>VITON CUSMA ROSA MERY</t>
        </is>
      </c>
      <c r="E97" s="241" t="inlineStr">
        <is>
          <t>DNI</t>
        </is>
      </c>
      <c r="F97" s="241" t="inlineStr">
        <is>
          <t>42409157</t>
        </is>
      </c>
      <c r="G97" s="336" t="n">
        <v>45881</v>
      </c>
      <c r="H97" s="241" t="inlineStr">
        <is>
          <t>4932</t>
        </is>
      </c>
      <c r="I97" s="332">
        <f>IFERROR(VLOOKUP(TEXT(H97,"0"),IPRESS!$A$3:$B$212,2,0),"")</f>
        <v/>
      </c>
      <c r="J97" s="241" t="inlineStr">
        <is>
          <t>4838</t>
        </is>
      </c>
      <c r="K97" s="332">
        <f>IFERROR(VLOOKUP(TEXT(O97,"0"),CONDUCTORES!$A$3:$G$100,7,0),"")</f>
        <v/>
      </c>
      <c r="L97" s="239" t="n">
        <v>18.18</v>
      </c>
      <c r="M97" s="239" t="n">
        <v>8</v>
      </c>
      <c r="N97" s="333">
        <f>IFERROR(IF(L97*M97=0,"",L97*M97),"")</f>
        <v/>
      </c>
      <c r="O97" s="334" t="n"/>
      <c r="P97" s="332">
        <f>IFERROR(VLOOKUP(TEXT(O97,"0"),CONDUCTORES!$A$3:$G$100,2,0),"")</f>
        <v/>
      </c>
      <c r="Q97" s="332">
        <f>IFERROR(VLOOKUP(TEXT(O97,"0"),CONDUCTORES!$A$3:$H$100,6,0),"")</f>
        <v/>
      </c>
      <c r="R97" s="336" t="n">
        <v>45968</v>
      </c>
      <c r="S97" s="305" t="inlineStr">
        <is>
          <t>Z359,O210,O234</t>
        </is>
      </c>
      <c r="T97" s="241" t="n"/>
      <c r="U97" s="280" t="n"/>
      <c r="V97" s="241" t="n"/>
      <c r="W97" s="241" t="n"/>
      <c r="X97" s="241" t="n"/>
      <c r="Y97" s="280" t="n"/>
    </row>
    <row r="98" ht="15.75" customHeight="1" s="195">
      <c r="A98" s="301" t="n">
        <v>93</v>
      </c>
      <c r="B98" s="302" t="inlineStr">
        <is>
          <t>00000060</t>
        </is>
      </c>
      <c r="C98" s="301" t="inlineStr">
        <is>
          <t>REGION</t>
        </is>
      </c>
      <c r="D98" s="302" t="inlineStr">
        <is>
          <t>TARRILLO SANCHEZ DEISI ANABELI</t>
        </is>
      </c>
      <c r="E98" s="301" t="inlineStr">
        <is>
          <t>DNI</t>
        </is>
      </c>
      <c r="F98" s="301" t="inlineStr">
        <is>
          <t>60155892</t>
        </is>
      </c>
      <c r="G98" s="331" t="n">
        <v>45881</v>
      </c>
      <c r="H98" s="301" t="inlineStr">
        <is>
          <t>4932</t>
        </is>
      </c>
      <c r="I98" s="332">
        <f>IFERROR(VLOOKUP(TEXT(H98,"0"),IPRESS!$A$3:$B$212,2,0),"")</f>
        <v/>
      </c>
      <c r="J98" s="301" t="inlineStr">
        <is>
          <t>4838</t>
        </is>
      </c>
      <c r="K98" s="332">
        <f>IFERROR(VLOOKUP(TEXT(O98,"0"),CONDUCTORES!$A$3:$G$100,7,0),"")</f>
        <v/>
      </c>
      <c r="L98" s="245" t="n">
        <v>18.18</v>
      </c>
      <c r="M98" s="245" t="n">
        <v>8</v>
      </c>
      <c r="N98" s="333">
        <f>IFERROR(IF(L98*M98=0,"",L98*M98),"")</f>
        <v/>
      </c>
      <c r="O98" s="280" t="n"/>
      <c r="P98" s="332">
        <f>IFERROR(VLOOKUP(TEXT(O98,"0"),CONDUCTORES!$A$3:$G$100,2,0),"")</f>
        <v/>
      </c>
      <c r="Q98" s="332">
        <f>IFERROR(VLOOKUP(TEXT(O98,"0"),CONDUCTORES!$A$3:$H$100,6,0),"")</f>
        <v/>
      </c>
      <c r="R98" s="331" t="n">
        <v>45968</v>
      </c>
      <c r="S98" s="302" t="inlineStr">
        <is>
          <t>Z359,O698,O368</t>
        </is>
      </c>
      <c r="T98" s="301" t="n"/>
      <c r="U98" s="334" t="n"/>
      <c r="V98" s="301" t="n"/>
      <c r="W98" s="301" t="n"/>
      <c r="X98" s="301" t="n"/>
      <c r="Y98" s="280" t="n"/>
    </row>
    <row r="99" ht="15.75" customHeight="1" s="195">
      <c r="A99" s="241" t="n">
        <v>94</v>
      </c>
      <c r="B99" s="305" t="inlineStr">
        <is>
          <t>00000061</t>
        </is>
      </c>
      <c r="C99" s="241" t="inlineStr">
        <is>
          <t>REGION</t>
        </is>
      </c>
      <c r="D99" s="305" t="inlineStr">
        <is>
          <t>UGARTE VALLE ERIKA</t>
        </is>
      </c>
      <c r="E99" s="241" t="inlineStr">
        <is>
          <t>DNI</t>
        </is>
      </c>
      <c r="F99" s="241" t="inlineStr">
        <is>
          <t>77218837</t>
        </is>
      </c>
      <c r="G99" s="336" t="n">
        <v>45883</v>
      </c>
      <c r="H99" s="241" t="inlineStr">
        <is>
          <t>4932</t>
        </is>
      </c>
      <c r="I99" s="332">
        <f>IFERROR(VLOOKUP(TEXT(H99,"0"),IPRESS!$A$3:$B$212,2,0),"")</f>
        <v/>
      </c>
      <c r="J99" s="241" t="inlineStr">
        <is>
          <t>4838</t>
        </is>
      </c>
      <c r="K99" s="332">
        <f>IFERROR(VLOOKUP(TEXT(O99,"0"),CONDUCTORES!$A$3:$G$100,7,0),"")</f>
        <v/>
      </c>
      <c r="L99" s="239" t="n">
        <v>18.18</v>
      </c>
      <c r="M99" s="239" t="n">
        <v>8</v>
      </c>
      <c r="N99" s="333">
        <f>IFERROR(IF(L99*M99=0,"",L99*M99),"")</f>
        <v/>
      </c>
      <c r="O99" s="334" t="n"/>
      <c r="P99" s="332">
        <f>IFERROR(VLOOKUP(TEXT(O99,"0"),CONDUCTORES!$A$3:$G$100,2,0),"")</f>
        <v/>
      </c>
      <c r="Q99" s="332">
        <f>IFERROR(VLOOKUP(TEXT(O99,"0"),CONDUCTORES!$A$3:$H$100,6,0),"")</f>
        <v/>
      </c>
      <c r="R99" s="336" t="n">
        <v>45968</v>
      </c>
      <c r="S99" s="305" t="inlineStr">
        <is>
          <t>Z359,O360</t>
        </is>
      </c>
      <c r="T99" s="241" t="n"/>
      <c r="U99" s="280" t="n"/>
      <c r="V99" s="241" t="n"/>
      <c r="W99" s="241" t="n"/>
      <c r="X99" s="241" t="n"/>
      <c r="Y99" s="280" t="n"/>
    </row>
    <row r="100" ht="15.75" customHeight="1" s="195">
      <c r="A100" s="301" t="n">
        <v>95</v>
      </c>
      <c r="B100" s="302" t="inlineStr">
        <is>
          <t>00000062</t>
        </is>
      </c>
      <c r="C100" s="301" t="inlineStr">
        <is>
          <t>REGION</t>
        </is>
      </c>
      <c r="D100" s="302" t="inlineStr">
        <is>
          <t>LOZADA RODRIGUEZ LISVED CAROL</t>
        </is>
      </c>
      <c r="E100" s="301" t="inlineStr">
        <is>
          <t>DNI</t>
        </is>
      </c>
      <c r="F100" s="301" t="inlineStr">
        <is>
          <t>77128318</t>
        </is>
      </c>
      <c r="G100" s="331" t="n">
        <v>45883</v>
      </c>
      <c r="H100" s="301" t="inlineStr">
        <is>
          <t>4932</t>
        </is>
      </c>
      <c r="I100" s="332">
        <f>IFERROR(VLOOKUP(TEXT(H100,"0"),IPRESS!$A$3:$B$212,2,0),"")</f>
        <v/>
      </c>
      <c r="J100" s="301" t="inlineStr">
        <is>
          <t>4838</t>
        </is>
      </c>
      <c r="K100" s="332">
        <f>IFERROR(VLOOKUP(TEXT(O100,"0"),CONDUCTORES!$A$3:$G$100,7,0),"")</f>
        <v/>
      </c>
      <c r="L100" s="245" t="n">
        <v>18.18</v>
      </c>
      <c r="M100" s="245" t="n">
        <v>8</v>
      </c>
      <c r="N100" s="333">
        <f>IFERROR(IF(L100*M100=0,"",L100*M100),"")</f>
        <v/>
      </c>
      <c r="O100" s="280" t="n"/>
      <c r="P100" s="332">
        <f>IFERROR(VLOOKUP(TEXT(O100,"0"),CONDUCTORES!$A$3:$G$100,2,0),"")</f>
        <v/>
      </c>
      <c r="Q100" s="332">
        <f>IFERROR(VLOOKUP(TEXT(O100,"0"),CONDUCTORES!$A$3:$H$100,6,0),"")</f>
        <v/>
      </c>
      <c r="R100" s="331" t="n">
        <v>45968</v>
      </c>
      <c r="S100" s="302" t="inlineStr">
        <is>
          <t>Z359,O987</t>
        </is>
      </c>
      <c r="T100" s="301" t="n"/>
      <c r="U100" s="334" t="n"/>
      <c r="V100" s="301" t="n"/>
      <c r="W100" s="301" t="n"/>
      <c r="X100" s="301" t="n"/>
      <c r="Y100" s="280" t="n"/>
    </row>
    <row r="101" ht="15.75" customHeight="1" s="195">
      <c r="A101" s="241" t="n">
        <v>96</v>
      </c>
      <c r="B101" s="305" t="inlineStr">
        <is>
          <t>00000063</t>
        </is>
      </c>
      <c r="C101" s="241" t="inlineStr">
        <is>
          <t>REGION</t>
        </is>
      </c>
      <c r="D101" s="305" t="inlineStr">
        <is>
          <t>YDROGO BURGA JAIME EDUARDO</t>
        </is>
      </c>
      <c r="E101" s="241" t="inlineStr">
        <is>
          <t>DNI</t>
        </is>
      </c>
      <c r="F101" s="241" t="inlineStr">
        <is>
          <t>41515566</t>
        </is>
      </c>
      <c r="G101" s="336" t="n">
        <v>45884</v>
      </c>
      <c r="H101" s="241" t="inlineStr">
        <is>
          <t>4932</t>
        </is>
      </c>
      <c r="I101" s="332">
        <f>IFERROR(VLOOKUP(TEXT(H101,"0"),IPRESS!$A$3:$B$212,2,0),"")</f>
        <v/>
      </c>
      <c r="J101" s="241" t="inlineStr">
        <is>
          <t>4838</t>
        </is>
      </c>
      <c r="K101" s="332">
        <f>IFERROR(VLOOKUP(TEXT(O101,"0"),CONDUCTORES!$A$3:$G$100,7,0),"")</f>
        <v/>
      </c>
      <c r="L101" s="239" t="n">
        <v>18.18</v>
      </c>
      <c r="M101" s="239" t="n">
        <v>8</v>
      </c>
      <c r="N101" s="333">
        <f>IFERROR(IF(L101*M101=0,"",L101*M101),"")</f>
        <v/>
      </c>
      <c r="O101" s="334" t="n"/>
      <c r="P101" s="332">
        <f>IFERROR(VLOOKUP(TEXT(O101,"0"),CONDUCTORES!$A$3:$G$100,2,0),"")</f>
        <v/>
      </c>
      <c r="Q101" s="332">
        <f>IFERROR(VLOOKUP(TEXT(O101,"0"),CONDUCTORES!$A$3:$H$100,6,0),"")</f>
        <v/>
      </c>
      <c r="R101" s="336" t="n">
        <v>45968</v>
      </c>
      <c r="S101" s="305" t="inlineStr">
        <is>
          <t>S610</t>
        </is>
      </c>
      <c r="T101" s="241" t="n"/>
      <c r="U101" s="280" t="n"/>
      <c r="V101" s="241" t="n"/>
      <c r="W101" s="241" t="n"/>
      <c r="X101" s="241" t="n"/>
      <c r="Y101" s="280" t="n"/>
    </row>
    <row r="102" ht="15.75" customHeight="1" s="195">
      <c r="A102" s="301" t="n">
        <v>97</v>
      </c>
      <c r="B102" s="302" t="inlineStr">
        <is>
          <t>00000064</t>
        </is>
      </c>
      <c r="C102" s="301" t="inlineStr">
        <is>
          <t>REGION</t>
        </is>
      </c>
      <c r="D102" s="302" t="inlineStr">
        <is>
          <t>CORDOVA SARABIA DIANA ADELAIDA</t>
        </is>
      </c>
      <c r="E102" s="301" t="inlineStr">
        <is>
          <t>DNI</t>
        </is>
      </c>
      <c r="F102" s="301" t="inlineStr">
        <is>
          <t>62133580</t>
        </is>
      </c>
      <c r="G102" s="331" t="n">
        <v>45891</v>
      </c>
      <c r="H102" s="301" t="inlineStr">
        <is>
          <t>4932</t>
        </is>
      </c>
      <c r="I102" s="332">
        <f>IFERROR(VLOOKUP(TEXT(H102,"0"),IPRESS!$A$3:$B$212,2,0),"")</f>
        <v/>
      </c>
      <c r="J102" s="301" t="inlineStr">
        <is>
          <t>4838</t>
        </is>
      </c>
      <c r="K102" s="332">
        <f>IFERROR(VLOOKUP(TEXT(O102,"0"),CONDUCTORES!$A$3:$G$100,7,0),"")</f>
        <v/>
      </c>
      <c r="L102" s="245" t="n">
        <v>18.18</v>
      </c>
      <c r="M102" s="245" t="n">
        <v>8</v>
      </c>
      <c r="N102" s="333">
        <f>IFERROR(IF(L102*M102=0,"",L102*M102),"")</f>
        <v/>
      </c>
      <c r="O102" s="280" t="n"/>
      <c r="P102" s="332">
        <f>IFERROR(VLOOKUP(TEXT(O102,"0"),CONDUCTORES!$A$3:$G$100,2,0),"")</f>
        <v/>
      </c>
      <c r="Q102" s="332">
        <f>IFERROR(VLOOKUP(TEXT(O102,"0"),CONDUCTORES!$A$3:$H$100,6,0),"")</f>
        <v/>
      </c>
      <c r="R102" s="331" t="n">
        <v>45968</v>
      </c>
      <c r="S102" s="302" t="inlineStr">
        <is>
          <t>Z359,O332</t>
        </is>
      </c>
      <c r="T102" s="301" t="n"/>
      <c r="U102" s="334" t="n"/>
      <c r="V102" s="301" t="n"/>
      <c r="W102" s="301" t="n"/>
      <c r="X102" s="301" t="n"/>
      <c r="Y102" s="280" t="n"/>
    </row>
    <row r="103" ht="15.75" customHeight="1" s="195">
      <c r="A103" s="241" t="n">
        <v>98</v>
      </c>
      <c r="B103" s="305" t="inlineStr">
        <is>
          <t>00000065</t>
        </is>
      </c>
      <c r="C103" s="241" t="inlineStr">
        <is>
          <t>REGION</t>
        </is>
      </c>
      <c r="D103" s="305" t="inlineStr">
        <is>
          <t>CABALLERO VASQUEZ LANDI NOCOL</t>
        </is>
      </c>
      <c r="E103" s="241" t="inlineStr">
        <is>
          <t>DNI</t>
        </is>
      </c>
      <c r="F103" s="241" t="inlineStr">
        <is>
          <t>75836822</t>
        </is>
      </c>
      <c r="G103" s="336" t="n">
        <v>45892</v>
      </c>
      <c r="H103" s="241" t="inlineStr">
        <is>
          <t>4932</t>
        </is>
      </c>
      <c r="I103" s="332">
        <f>IFERROR(VLOOKUP(TEXT(H103,"0"),IPRESS!$A$3:$B$212,2,0),"")</f>
        <v/>
      </c>
      <c r="J103" s="241" t="inlineStr">
        <is>
          <t>4838</t>
        </is>
      </c>
      <c r="K103" s="332">
        <f>IFERROR(VLOOKUP(TEXT(O103,"0"),CONDUCTORES!$A$3:$G$100,7,0),"")</f>
        <v/>
      </c>
      <c r="L103" s="239" t="n">
        <v>18.18</v>
      </c>
      <c r="M103" s="239" t="n">
        <v>8</v>
      </c>
      <c r="N103" s="333">
        <f>IFERROR(IF(L103*M103=0,"",L103*M103),"")</f>
        <v/>
      </c>
      <c r="O103" s="334" t="n"/>
      <c r="P103" s="332">
        <f>IFERROR(VLOOKUP(TEXT(O103,"0"),CONDUCTORES!$A$3:$G$100,2,0),"")</f>
        <v/>
      </c>
      <c r="Q103" s="332">
        <f>IFERROR(VLOOKUP(TEXT(O103,"0"),CONDUCTORES!$A$3:$H$100,6,0),"")</f>
        <v/>
      </c>
      <c r="R103" s="336" t="n">
        <v>45968</v>
      </c>
      <c r="S103" s="305" t="inlineStr">
        <is>
          <t>Z359,O342,O368</t>
        </is>
      </c>
      <c r="T103" s="241" t="n"/>
      <c r="U103" s="280" t="n"/>
      <c r="V103" s="241" t="n"/>
      <c r="W103" s="241" t="n"/>
      <c r="X103" s="241" t="n"/>
      <c r="Y103" s="280" t="n"/>
    </row>
    <row r="104" ht="15.75" customHeight="1" s="195">
      <c r="A104" s="301" t="n">
        <v>99</v>
      </c>
      <c r="B104" s="302" t="inlineStr">
        <is>
          <t>00000066</t>
        </is>
      </c>
      <c r="C104" s="301" t="inlineStr">
        <is>
          <t>REGION</t>
        </is>
      </c>
      <c r="D104" s="302" t="inlineStr">
        <is>
          <t>MAS JULCA AMIR</t>
        </is>
      </c>
      <c r="E104" s="301" t="inlineStr">
        <is>
          <t>DNI</t>
        </is>
      </c>
      <c r="F104" s="301" t="inlineStr">
        <is>
          <t>94361404</t>
        </is>
      </c>
      <c r="G104" s="331" t="n">
        <v>45896</v>
      </c>
      <c r="H104" s="301" t="inlineStr">
        <is>
          <t>4932</t>
        </is>
      </c>
      <c r="I104" s="332">
        <f>IFERROR(VLOOKUP(TEXT(H104,"0"),IPRESS!$A$3:$B$212,2,0),"")</f>
        <v/>
      </c>
      <c r="J104" s="301" t="inlineStr">
        <is>
          <t>4838</t>
        </is>
      </c>
      <c r="K104" s="332">
        <f>IFERROR(VLOOKUP(TEXT(O104,"0"),CONDUCTORES!$A$3:$G$100,7,0),"")</f>
        <v/>
      </c>
      <c r="L104" s="245" t="n">
        <v>18.18</v>
      </c>
      <c r="M104" s="245" t="n">
        <v>8</v>
      </c>
      <c r="N104" s="333">
        <f>IFERROR(IF(L104*M104=0,"",L104*M104),"")</f>
        <v/>
      </c>
      <c r="O104" s="280" t="n"/>
      <c r="P104" s="332">
        <f>IFERROR(VLOOKUP(TEXT(O104,"0"),CONDUCTORES!$A$3:$G$100,2,0),"")</f>
        <v/>
      </c>
      <c r="Q104" s="332">
        <f>IFERROR(VLOOKUP(TEXT(O104,"0"),CONDUCTORES!$A$3:$H$100,6,0),"")</f>
        <v/>
      </c>
      <c r="R104" s="331" t="n">
        <v>45968</v>
      </c>
      <c r="S104" s="302" t="inlineStr">
        <is>
          <t>P599,P051</t>
        </is>
      </c>
      <c r="T104" s="301" t="n"/>
      <c r="U104" s="334" t="n"/>
      <c r="V104" s="301" t="n"/>
      <c r="W104" s="301" t="n"/>
      <c r="X104" s="301" t="n"/>
      <c r="Y104" s="280" t="n"/>
    </row>
    <row r="105" ht="15.75" customHeight="1" s="195">
      <c r="A105" s="241" t="n">
        <v>100</v>
      </c>
      <c r="B105" s="305" t="inlineStr">
        <is>
          <t>00000028</t>
        </is>
      </c>
      <c r="C105" s="241" t="inlineStr">
        <is>
          <t>REGION</t>
        </is>
      </c>
      <c r="D105" s="305" t="inlineStr">
        <is>
          <t>SALDAÑA TUESTA LLOSELYN HERMELITA</t>
        </is>
      </c>
      <c r="E105" s="241" t="inlineStr">
        <is>
          <t>DNI</t>
        </is>
      </c>
      <c r="F105" s="241" t="inlineStr">
        <is>
          <t>72123548</t>
        </is>
      </c>
      <c r="G105" s="336" t="n">
        <v>45873</v>
      </c>
      <c r="H105" s="241" t="inlineStr">
        <is>
          <t>4903</t>
        </is>
      </c>
      <c r="I105" s="332">
        <f>IFERROR(VLOOKUP(TEXT(H105,"0"),IPRESS!$A$3:$B$212,2,0),"")</f>
        <v/>
      </c>
      <c r="J105" s="241" t="inlineStr">
        <is>
          <t>4838</t>
        </is>
      </c>
      <c r="K105" s="332">
        <f>IFERROR(VLOOKUP(TEXT(O105,"0"),CONDUCTORES!$A$3:$G$100,7,0),"")</f>
        <v/>
      </c>
      <c r="L105" s="239" t="n">
        <v>18.18</v>
      </c>
      <c r="M105" s="239" t="n">
        <v>5</v>
      </c>
      <c r="N105" s="333">
        <f>IFERROR(IF(L105*M105=0,"",L105*M105),"")</f>
        <v/>
      </c>
      <c r="O105" s="334" t="n"/>
      <c r="P105" s="332">
        <f>IFERROR(VLOOKUP(TEXT(O105,"0"),CONDUCTORES!$A$3:$G$100,2,0),"")</f>
        <v/>
      </c>
      <c r="Q105" s="332">
        <f>IFERROR(VLOOKUP(TEXT(O105,"0"),CONDUCTORES!$A$3:$H$100,6,0),"")</f>
        <v/>
      </c>
      <c r="R105" s="336" t="n">
        <v>45939</v>
      </c>
      <c r="S105" s="305" t="inlineStr">
        <is>
          <t>R100</t>
        </is>
      </c>
      <c r="T105" s="241" t="n"/>
      <c r="U105" s="280" t="n"/>
      <c r="V105" s="241" t="n"/>
      <c r="W105" s="241" t="n"/>
      <c r="X105" s="241" t="n"/>
      <c r="Y105" s="280" t="n"/>
    </row>
    <row r="106" ht="15.75" customHeight="1" s="195">
      <c r="A106" s="301" t="n">
        <v>101</v>
      </c>
      <c r="B106" s="302" t="inlineStr">
        <is>
          <t>00000029</t>
        </is>
      </c>
      <c r="C106" s="301" t="inlineStr">
        <is>
          <t>REGION</t>
        </is>
      </c>
      <c r="D106" s="302" t="inlineStr">
        <is>
          <t>HORNA RODRIGO JHORVIN GAEL</t>
        </is>
      </c>
      <c r="E106" s="301" t="inlineStr">
        <is>
          <t>DNI</t>
        </is>
      </c>
      <c r="F106" s="301" t="inlineStr">
        <is>
          <t>92553366</t>
        </is>
      </c>
      <c r="G106" s="331" t="n">
        <v>45875</v>
      </c>
      <c r="H106" s="301" t="inlineStr">
        <is>
          <t>4903</t>
        </is>
      </c>
      <c r="I106" s="332">
        <f>IFERROR(VLOOKUP(TEXT(H106,"0"),IPRESS!$A$3:$B$212,2,0),"")</f>
        <v/>
      </c>
      <c r="J106" s="301" t="inlineStr">
        <is>
          <t>4838</t>
        </is>
      </c>
      <c r="K106" s="332">
        <f>IFERROR(VLOOKUP(TEXT(O106,"0"),CONDUCTORES!$A$3:$G$100,7,0),"")</f>
        <v/>
      </c>
      <c r="L106" s="245" t="n">
        <v>18.18</v>
      </c>
      <c r="M106" s="245" t="n">
        <v>5</v>
      </c>
      <c r="N106" s="333">
        <f>IFERROR(IF(L106*M106=0,"",L106*M106),"")</f>
        <v/>
      </c>
      <c r="O106" s="280" t="n"/>
      <c r="P106" s="332">
        <f>IFERROR(VLOOKUP(TEXT(O106,"0"),CONDUCTORES!$A$3:$G$100,2,0),"")</f>
        <v/>
      </c>
      <c r="Q106" s="332">
        <f>IFERROR(VLOOKUP(TEXT(O106,"0"),CONDUCTORES!$A$3:$H$100,6,0),"")</f>
        <v/>
      </c>
      <c r="R106" s="331" t="n">
        <v>45939</v>
      </c>
      <c r="S106" s="302" t="inlineStr">
        <is>
          <t>S069</t>
        </is>
      </c>
      <c r="T106" s="301" t="n"/>
      <c r="U106" s="334" t="n"/>
      <c r="V106" s="301" t="n"/>
      <c r="W106" s="301" t="n"/>
      <c r="X106" s="301" t="n"/>
      <c r="Y106" s="280" t="n"/>
    </row>
    <row r="107" ht="15.75" customHeight="1" s="195">
      <c r="A107" s="241" t="n">
        <v>102</v>
      </c>
      <c r="B107" s="305" t="inlineStr">
        <is>
          <t>00000030</t>
        </is>
      </c>
      <c r="C107" s="241" t="inlineStr">
        <is>
          <t>REGION</t>
        </is>
      </c>
      <c r="D107" s="305" t="inlineStr">
        <is>
          <t>CHAVEZ VARGAS JESUS</t>
        </is>
      </c>
      <c r="E107" s="241" t="inlineStr">
        <is>
          <t>DNI</t>
        </is>
      </c>
      <c r="F107" s="241" t="inlineStr">
        <is>
          <t>48947296</t>
        </is>
      </c>
      <c r="G107" s="336" t="n">
        <v>45876</v>
      </c>
      <c r="H107" s="241" t="inlineStr">
        <is>
          <t>4903</t>
        </is>
      </c>
      <c r="I107" s="332">
        <f>IFERROR(VLOOKUP(TEXT(H107,"0"),IPRESS!$A$3:$B$212,2,0),"")</f>
        <v/>
      </c>
      <c r="J107" s="241" t="inlineStr">
        <is>
          <t>4838</t>
        </is>
      </c>
      <c r="K107" s="332">
        <f>IFERROR(VLOOKUP(TEXT(O107,"0"),CONDUCTORES!$A$3:$G$100,7,0),"")</f>
        <v/>
      </c>
      <c r="L107" s="239" t="n">
        <v>18.18</v>
      </c>
      <c r="M107" s="239" t="n">
        <v>5</v>
      </c>
      <c r="N107" s="333">
        <f>IFERROR(IF(L107*M107=0,"",L107*M107),"")</f>
        <v/>
      </c>
      <c r="O107" s="334" t="n"/>
      <c r="P107" s="332">
        <f>IFERROR(VLOOKUP(TEXT(O107,"0"),CONDUCTORES!$A$3:$G$100,2,0),"")</f>
        <v/>
      </c>
      <c r="Q107" s="332">
        <f>IFERROR(VLOOKUP(TEXT(O107,"0"),CONDUCTORES!$A$3:$H$100,6,0),"")</f>
        <v/>
      </c>
      <c r="R107" s="336" t="n">
        <v>45939</v>
      </c>
      <c r="S107" s="305" t="inlineStr">
        <is>
          <t>I672</t>
        </is>
      </c>
      <c r="T107" s="241" t="n"/>
      <c r="U107" s="280" t="n"/>
      <c r="V107" s="241" t="n"/>
      <c r="W107" s="241" t="n"/>
      <c r="X107" s="241" t="n"/>
      <c r="Y107" s="280" t="n"/>
    </row>
    <row r="108" ht="15.75" customHeight="1" s="195">
      <c r="A108" s="301" t="n">
        <v>103</v>
      </c>
      <c r="B108" s="302" t="inlineStr">
        <is>
          <t>00000031</t>
        </is>
      </c>
      <c r="C108" s="301" t="inlineStr">
        <is>
          <t>REGION</t>
        </is>
      </c>
      <c r="D108" s="302" t="inlineStr">
        <is>
          <t>SERBAN CHAVEZ GIL HUMBERTO</t>
        </is>
      </c>
      <c r="E108" s="301" t="inlineStr">
        <is>
          <t>DNI</t>
        </is>
      </c>
      <c r="F108" s="301" t="inlineStr">
        <is>
          <t>62198558</t>
        </is>
      </c>
      <c r="G108" s="331" t="n">
        <v>45878</v>
      </c>
      <c r="H108" s="301" t="inlineStr">
        <is>
          <t>4903</t>
        </is>
      </c>
      <c r="I108" s="332">
        <f>IFERROR(VLOOKUP(TEXT(H108,"0"),IPRESS!$A$3:$B$212,2,0),"")</f>
        <v/>
      </c>
      <c r="J108" s="301" t="inlineStr">
        <is>
          <t>4838</t>
        </is>
      </c>
      <c r="K108" s="332">
        <f>IFERROR(VLOOKUP(TEXT(O108,"0"),CONDUCTORES!$A$3:$G$100,7,0),"")</f>
        <v/>
      </c>
      <c r="L108" s="245" t="n">
        <v>18.18</v>
      </c>
      <c r="M108" s="245" t="n">
        <v>5</v>
      </c>
      <c r="N108" s="333">
        <f>IFERROR(IF(L108*M108=0,"",L108*M108),"")</f>
        <v/>
      </c>
      <c r="O108" s="280" t="n"/>
      <c r="P108" s="332">
        <f>IFERROR(VLOOKUP(TEXT(O108,"0"),CONDUCTORES!$A$3:$G$100,2,0),"")</f>
        <v/>
      </c>
      <c r="Q108" s="332">
        <f>IFERROR(VLOOKUP(TEXT(O108,"0"),CONDUCTORES!$A$3:$H$100,6,0),"")</f>
        <v/>
      </c>
      <c r="R108" s="331" t="n">
        <v>45939</v>
      </c>
      <c r="S108" s="302" t="inlineStr">
        <is>
          <t>S069</t>
        </is>
      </c>
      <c r="T108" s="301" t="n"/>
      <c r="U108" s="334" t="n"/>
      <c r="V108" s="301" t="n"/>
      <c r="W108" s="301" t="n"/>
      <c r="X108" s="301" t="n"/>
      <c r="Y108" s="280" t="n"/>
    </row>
    <row r="109" ht="15.75" customHeight="1" s="195">
      <c r="A109" s="241" t="n">
        <v>104</v>
      </c>
      <c r="B109" s="305" t="inlineStr">
        <is>
          <t>00000032</t>
        </is>
      </c>
      <c r="C109" s="241" t="inlineStr">
        <is>
          <t>REGION</t>
        </is>
      </c>
      <c r="D109" s="305" t="inlineStr">
        <is>
          <t>CHAMAY POMATANTA YOIDER YOAN</t>
        </is>
      </c>
      <c r="E109" s="241" t="inlineStr">
        <is>
          <t>DNI</t>
        </is>
      </c>
      <c r="F109" s="241" t="inlineStr">
        <is>
          <t>93564481</t>
        </is>
      </c>
      <c r="G109" s="336" t="n">
        <v>45879</v>
      </c>
      <c r="H109" s="241" t="inlineStr">
        <is>
          <t>4903</t>
        </is>
      </c>
      <c r="I109" s="332">
        <f>IFERROR(VLOOKUP(TEXT(H109,"0"),IPRESS!$A$3:$B$212,2,0),"")</f>
        <v/>
      </c>
      <c r="J109" s="241" t="inlineStr">
        <is>
          <t>4838</t>
        </is>
      </c>
      <c r="K109" s="332">
        <f>IFERROR(VLOOKUP(TEXT(O109,"0"),CONDUCTORES!$A$3:$G$100,7,0),"")</f>
        <v/>
      </c>
      <c r="L109" s="239" t="n">
        <v>18.18</v>
      </c>
      <c r="M109" s="239" t="n">
        <v>5</v>
      </c>
      <c r="N109" s="333">
        <f>IFERROR(IF(L109*M109=0,"",L109*M109),"")</f>
        <v/>
      </c>
      <c r="O109" s="334" t="n"/>
      <c r="P109" s="332">
        <f>IFERROR(VLOOKUP(TEXT(O109,"0"),CONDUCTORES!$A$3:$G$100,2,0),"")</f>
        <v/>
      </c>
      <c r="Q109" s="332">
        <f>IFERROR(VLOOKUP(TEXT(O109,"0"),CONDUCTORES!$A$3:$H$100,6,0),"")</f>
        <v/>
      </c>
      <c r="R109" s="336" t="n">
        <v>45939</v>
      </c>
      <c r="S109" s="305" t="inlineStr">
        <is>
          <t>T300</t>
        </is>
      </c>
      <c r="T109" s="241" t="n"/>
      <c r="U109" s="280" t="n"/>
      <c r="V109" s="241" t="n"/>
      <c r="W109" s="241" t="n"/>
      <c r="X109" s="241" t="n"/>
      <c r="Y109" s="280" t="n"/>
    </row>
    <row r="110" ht="15.75" customHeight="1" s="195">
      <c r="A110" s="301" t="n">
        <v>105</v>
      </c>
      <c r="B110" s="302" t="inlineStr">
        <is>
          <t>00000033</t>
        </is>
      </c>
      <c r="C110" s="301" t="inlineStr">
        <is>
          <t>REGION</t>
        </is>
      </c>
      <c r="D110" s="302" t="inlineStr">
        <is>
          <t>VELASQUEZ PEREIRA MODESTO</t>
        </is>
      </c>
      <c r="E110" s="301" t="inlineStr">
        <is>
          <t>DNI</t>
        </is>
      </c>
      <c r="F110" s="301" t="inlineStr">
        <is>
          <t>33807220</t>
        </is>
      </c>
      <c r="G110" s="331" t="n">
        <v>45881</v>
      </c>
      <c r="H110" s="301" t="inlineStr">
        <is>
          <t>4903</t>
        </is>
      </c>
      <c r="I110" s="332">
        <f>IFERROR(VLOOKUP(TEXT(H110,"0"),IPRESS!$A$3:$B$212,2,0),"")</f>
        <v/>
      </c>
      <c r="J110" s="301" t="inlineStr">
        <is>
          <t>4838</t>
        </is>
      </c>
      <c r="K110" s="332">
        <f>IFERROR(VLOOKUP(TEXT(O110,"0"),CONDUCTORES!$A$3:$G$100,7,0),"")</f>
        <v/>
      </c>
      <c r="L110" s="245" t="n">
        <v>18.18</v>
      </c>
      <c r="M110" s="245" t="n">
        <v>5</v>
      </c>
      <c r="N110" s="333">
        <f>IFERROR(IF(L110*M110=0,"",L110*M110),"")</f>
        <v/>
      </c>
      <c r="O110" s="280" t="n"/>
      <c r="P110" s="332">
        <f>IFERROR(VLOOKUP(TEXT(O110,"0"),CONDUCTORES!$A$3:$G$100,2,0),"")</f>
        <v/>
      </c>
      <c r="Q110" s="332">
        <f>IFERROR(VLOOKUP(TEXT(O110,"0"),CONDUCTORES!$A$3:$H$100,6,0),"")</f>
        <v/>
      </c>
      <c r="R110" s="331" t="n">
        <v>45939</v>
      </c>
      <c r="S110" s="302" t="inlineStr">
        <is>
          <t>I672</t>
        </is>
      </c>
      <c r="T110" s="301" t="n"/>
      <c r="U110" s="334" t="n"/>
      <c r="V110" s="301" t="n"/>
      <c r="W110" s="301" t="n"/>
      <c r="X110" s="301" t="n"/>
      <c r="Y110" s="280" t="n"/>
    </row>
    <row r="111" ht="15.75" customHeight="1" s="195">
      <c r="A111" s="241" t="n">
        <v>106</v>
      </c>
      <c r="B111" s="305" t="inlineStr">
        <is>
          <t>00000034</t>
        </is>
      </c>
      <c r="C111" s="241" t="inlineStr">
        <is>
          <t>REGION</t>
        </is>
      </c>
      <c r="D111" s="305" t="inlineStr">
        <is>
          <t>LOZANO VARGAS OLIVER ANDRE</t>
        </is>
      </c>
      <c r="E111" s="241" t="inlineStr">
        <is>
          <t>DNI</t>
        </is>
      </c>
      <c r="F111" s="241" t="inlineStr">
        <is>
          <t>94261914</t>
        </is>
      </c>
      <c r="G111" s="336" t="n">
        <v>45885</v>
      </c>
      <c r="H111" s="241" t="inlineStr">
        <is>
          <t>4903</t>
        </is>
      </c>
      <c r="I111" s="332">
        <f>IFERROR(VLOOKUP(TEXT(H111,"0"),IPRESS!$A$3:$B$212,2,0),"")</f>
        <v/>
      </c>
      <c r="J111" s="241" t="inlineStr">
        <is>
          <t>4838</t>
        </is>
      </c>
      <c r="K111" s="332">
        <f>IFERROR(VLOOKUP(TEXT(O111,"0"),CONDUCTORES!$A$3:$G$100,7,0),"")</f>
        <v/>
      </c>
      <c r="L111" s="239" t="n">
        <v>18.18</v>
      </c>
      <c r="M111" s="239" t="n">
        <v>5</v>
      </c>
      <c r="N111" s="333">
        <f>IFERROR(IF(L111*M111=0,"",L111*M111),"")</f>
        <v/>
      </c>
      <c r="O111" s="334" t="n"/>
      <c r="P111" s="332">
        <f>IFERROR(VLOOKUP(TEXT(O111,"0"),CONDUCTORES!$A$3:$G$100,2,0),"")</f>
        <v/>
      </c>
      <c r="Q111" s="332">
        <f>IFERROR(VLOOKUP(TEXT(O111,"0"),CONDUCTORES!$A$3:$H$100,6,0),"")</f>
        <v/>
      </c>
      <c r="R111" s="336" t="n">
        <v>45939</v>
      </c>
      <c r="S111" s="305" t="inlineStr">
        <is>
          <t>J960</t>
        </is>
      </c>
      <c r="T111" s="241" t="n"/>
      <c r="U111" s="280" t="n"/>
      <c r="V111" s="241" t="n"/>
      <c r="W111" s="241" t="n"/>
      <c r="X111" s="241" t="n"/>
      <c r="Y111" s="280" t="n"/>
    </row>
    <row r="112" ht="15.75" customHeight="1" s="195">
      <c r="A112" s="301" t="n">
        <v>107</v>
      </c>
      <c r="B112" s="302" t="inlineStr">
        <is>
          <t>00000035</t>
        </is>
      </c>
      <c r="C112" s="301" t="inlineStr">
        <is>
          <t>REGION</t>
        </is>
      </c>
      <c r="D112" s="302" t="inlineStr">
        <is>
          <t>DE LA CRUZ  LUCANA LLENINSON</t>
        </is>
      </c>
      <c r="E112" s="301" t="inlineStr">
        <is>
          <t>DNI</t>
        </is>
      </c>
      <c r="F112" s="301" t="inlineStr">
        <is>
          <t>63396710</t>
        </is>
      </c>
      <c r="G112" s="331" t="n">
        <v>45885</v>
      </c>
      <c r="H112" s="301" t="inlineStr">
        <is>
          <t>4903</t>
        </is>
      </c>
      <c r="I112" s="332">
        <f>IFERROR(VLOOKUP(TEXT(H112,"0"),IPRESS!$A$3:$B$212,2,0),"")</f>
        <v/>
      </c>
      <c r="J112" s="301" t="inlineStr">
        <is>
          <t>4838</t>
        </is>
      </c>
      <c r="K112" s="332">
        <f>IFERROR(VLOOKUP(TEXT(O112,"0"),CONDUCTORES!$A$3:$G$100,7,0),"")</f>
        <v/>
      </c>
      <c r="L112" s="245" t="n">
        <v>18.18</v>
      </c>
      <c r="M112" s="245" t="n">
        <v>5</v>
      </c>
      <c r="N112" s="333">
        <f>IFERROR(IF(L112*M112=0,"",L112*M112),"")</f>
        <v/>
      </c>
      <c r="O112" s="280" t="n"/>
      <c r="P112" s="332">
        <f>IFERROR(VLOOKUP(TEXT(O112,"0"),CONDUCTORES!$A$3:$G$100,2,0),"")</f>
        <v/>
      </c>
      <c r="Q112" s="332">
        <f>IFERROR(VLOOKUP(TEXT(O112,"0"),CONDUCTORES!$A$3:$H$100,6,0),"")</f>
        <v/>
      </c>
      <c r="R112" s="331" t="n">
        <v>45939</v>
      </c>
      <c r="S112" s="302" t="inlineStr">
        <is>
          <t>F230</t>
        </is>
      </c>
      <c r="T112" s="301" t="n"/>
      <c r="U112" s="334" t="n"/>
      <c r="V112" s="301" t="n"/>
      <c r="W112" s="301" t="n"/>
      <c r="X112" s="301" t="n"/>
      <c r="Y112" s="280" t="n"/>
    </row>
    <row r="113" ht="15.75" customHeight="1" s="195">
      <c r="A113" s="241" t="n">
        <v>108</v>
      </c>
      <c r="B113" s="305" t="inlineStr">
        <is>
          <t>00000036</t>
        </is>
      </c>
      <c r="C113" s="241" t="inlineStr">
        <is>
          <t>REGION</t>
        </is>
      </c>
      <c r="D113" s="305" t="inlineStr">
        <is>
          <t>VARGAS ZAGACETA EDSON DANILO</t>
        </is>
      </c>
      <c r="E113" s="241" t="inlineStr">
        <is>
          <t>DNI</t>
        </is>
      </c>
      <c r="F113" s="241" t="inlineStr">
        <is>
          <t>60032708</t>
        </is>
      </c>
      <c r="G113" s="336" t="n">
        <v>45887</v>
      </c>
      <c r="H113" s="241" t="inlineStr">
        <is>
          <t>4903</t>
        </is>
      </c>
      <c r="I113" s="332">
        <f>IFERROR(VLOOKUP(TEXT(H113,"0"),IPRESS!$A$3:$B$212,2,0),"")</f>
        <v/>
      </c>
      <c r="J113" s="241" t="inlineStr">
        <is>
          <t>4838</t>
        </is>
      </c>
      <c r="K113" s="332">
        <f>IFERROR(VLOOKUP(TEXT(O113,"0"),CONDUCTORES!$A$3:$G$100,7,0),"")</f>
        <v/>
      </c>
      <c r="L113" s="239" t="n">
        <v>18.18</v>
      </c>
      <c r="M113" s="239" t="n">
        <v>5</v>
      </c>
      <c r="N113" s="333">
        <f>IFERROR(IF(L113*M113=0,"",L113*M113),"")</f>
        <v/>
      </c>
      <c r="O113" s="334" t="n"/>
      <c r="P113" s="332">
        <f>IFERROR(VLOOKUP(TEXT(O113,"0"),CONDUCTORES!$A$3:$G$100,2,0),"")</f>
        <v/>
      </c>
      <c r="Q113" s="332">
        <f>IFERROR(VLOOKUP(TEXT(O113,"0"),CONDUCTORES!$A$3:$H$100,6,0),"")</f>
        <v/>
      </c>
      <c r="R113" s="336" t="n">
        <v>45939</v>
      </c>
      <c r="S113" s="305" t="inlineStr">
        <is>
          <t>F323</t>
        </is>
      </c>
      <c r="T113" s="241" t="n"/>
      <c r="U113" s="280" t="n"/>
      <c r="V113" s="241" t="n"/>
      <c r="W113" s="241" t="n"/>
      <c r="X113" s="241" t="n"/>
      <c r="Y113" s="280" t="n"/>
    </row>
    <row r="114" ht="15.75" customHeight="1" s="195">
      <c r="A114" s="301" t="n">
        <v>109</v>
      </c>
      <c r="B114" s="302" t="inlineStr">
        <is>
          <t>00000037</t>
        </is>
      </c>
      <c r="C114" s="301" t="inlineStr">
        <is>
          <t>REGION</t>
        </is>
      </c>
      <c r="D114" s="302" t="inlineStr">
        <is>
          <t>VELASQUEZ ROMERO MAYLLURI SAYURI</t>
        </is>
      </c>
      <c r="E114" s="301" t="inlineStr">
        <is>
          <t>DNI</t>
        </is>
      </c>
      <c r="F114" s="301" t="inlineStr">
        <is>
          <t>63396733</t>
        </is>
      </c>
      <c r="G114" s="331" t="n">
        <v>45889</v>
      </c>
      <c r="H114" s="301" t="inlineStr">
        <is>
          <t>4903</t>
        </is>
      </c>
      <c r="I114" s="332">
        <f>IFERROR(VLOOKUP(TEXT(H114,"0"),IPRESS!$A$3:$B$212,2,0),"")</f>
        <v/>
      </c>
      <c r="J114" s="301" t="inlineStr">
        <is>
          <t>4838</t>
        </is>
      </c>
      <c r="K114" s="332">
        <f>IFERROR(VLOOKUP(TEXT(O114,"0"),CONDUCTORES!$A$3:$G$100,7,0),"")</f>
        <v/>
      </c>
      <c r="L114" s="245" t="n">
        <v>18.18</v>
      </c>
      <c r="M114" s="245" t="n">
        <v>5</v>
      </c>
      <c r="N114" s="333">
        <f>IFERROR(IF(L114*M114=0,"",L114*M114),"")</f>
        <v/>
      </c>
      <c r="O114" s="280" t="n"/>
      <c r="P114" s="332">
        <f>IFERROR(VLOOKUP(TEXT(O114,"0"),CONDUCTORES!$A$3:$G$100,2,0),"")</f>
        <v/>
      </c>
      <c r="Q114" s="332">
        <f>IFERROR(VLOOKUP(TEXT(O114,"0"),CONDUCTORES!$A$3:$H$100,6,0),"")</f>
        <v/>
      </c>
      <c r="R114" s="331" t="n">
        <v>45939</v>
      </c>
      <c r="S114" s="302" t="inlineStr">
        <is>
          <t>F323</t>
        </is>
      </c>
      <c r="T114" s="301" t="n"/>
      <c r="U114" s="334" t="n"/>
      <c r="V114" s="301" t="n"/>
      <c r="W114" s="301" t="n"/>
      <c r="X114" s="301" t="n"/>
      <c r="Y114" s="280" t="n"/>
    </row>
    <row r="115" ht="15.75" customHeight="1" s="195">
      <c r="A115" s="241" t="n">
        <v>110</v>
      </c>
      <c r="B115" s="305" t="inlineStr">
        <is>
          <t>00000038</t>
        </is>
      </c>
      <c r="C115" s="241" t="inlineStr">
        <is>
          <t>REGION</t>
        </is>
      </c>
      <c r="D115" s="305" t="inlineStr">
        <is>
          <t>ZAGACETA CHAVEZ JAIR</t>
        </is>
      </c>
      <c r="E115" s="241" t="inlineStr">
        <is>
          <t>DNI</t>
        </is>
      </c>
      <c r="F115" s="241" t="inlineStr">
        <is>
          <t>73562042</t>
        </is>
      </c>
      <c r="G115" s="336" t="n">
        <v>45891</v>
      </c>
      <c r="H115" s="241" t="inlineStr">
        <is>
          <t>4903</t>
        </is>
      </c>
      <c r="I115" s="332">
        <f>IFERROR(VLOOKUP(TEXT(H115,"0"),IPRESS!$A$3:$B$212,2,0),"")</f>
        <v/>
      </c>
      <c r="J115" s="241" t="inlineStr">
        <is>
          <t>4838</t>
        </is>
      </c>
      <c r="K115" s="332">
        <f>IFERROR(VLOOKUP(TEXT(O115,"0"),CONDUCTORES!$A$3:$G$100,7,0),"")</f>
        <v/>
      </c>
      <c r="L115" s="239" t="n">
        <v>18.18</v>
      </c>
      <c r="M115" s="239" t="n">
        <v>5</v>
      </c>
      <c r="N115" s="333">
        <f>IFERROR(IF(L115*M115=0,"",L115*M115),"")</f>
        <v/>
      </c>
      <c r="O115" s="334" t="n"/>
      <c r="P115" s="332">
        <f>IFERROR(VLOOKUP(TEXT(O115,"0"),CONDUCTORES!$A$3:$G$100,2,0),"")</f>
        <v/>
      </c>
      <c r="Q115" s="332">
        <f>IFERROR(VLOOKUP(TEXT(O115,"0"),CONDUCTORES!$A$3:$H$100,6,0),"")</f>
        <v/>
      </c>
      <c r="R115" s="336" t="n">
        <v>45939</v>
      </c>
      <c r="S115" s="305" t="inlineStr">
        <is>
          <t>S626</t>
        </is>
      </c>
      <c r="T115" s="241" t="n"/>
      <c r="U115" s="280" t="n"/>
      <c r="V115" s="241" t="n"/>
      <c r="W115" s="241" t="n"/>
      <c r="X115" s="241" t="n"/>
      <c r="Y115" s="280" t="n"/>
    </row>
    <row r="116" ht="15.75" customHeight="1" s="195">
      <c r="A116" s="301" t="n">
        <v>111</v>
      </c>
      <c r="B116" s="302" t="inlineStr">
        <is>
          <t>00000039</t>
        </is>
      </c>
      <c r="C116" s="301" t="inlineStr">
        <is>
          <t>REGION</t>
        </is>
      </c>
      <c r="D116" s="302" t="inlineStr">
        <is>
          <t>BARBOZA CHAVEZ IRMA YASELY</t>
        </is>
      </c>
      <c r="E116" s="301" t="inlineStr">
        <is>
          <t>DNI</t>
        </is>
      </c>
      <c r="F116" s="301" t="inlineStr">
        <is>
          <t>80813091</t>
        </is>
      </c>
      <c r="G116" s="331" t="n">
        <v>45896</v>
      </c>
      <c r="H116" s="301" t="inlineStr">
        <is>
          <t>4903</t>
        </is>
      </c>
      <c r="I116" s="332">
        <f>IFERROR(VLOOKUP(TEXT(H116,"0"),IPRESS!$A$3:$B$212,2,0),"")</f>
        <v/>
      </c>
      <c r="J116" s="301" t="inlineStr">
        <is>
          <t>4838</t>
        </is>
      </c>
      <c r="K116" s="332">
        <f>IFERROR(VLOOKUP(TEXT(O116,"0"),CONDUCTORES!$A$3:$G$100,7,0),"")</f>
        <v/>
      </c>
      <c r="L116" s="245" t="n">
        <v>18.18</v>
      </c>
      <c r="M116" s="245" t="n">
        <v>5</v>
      </c>
      <c r="N116" s="333">
        <f>IFERROR(IF(L116*M116=0,"",L116*M116),"")</f>
        <v/>
      </c>
      <c r="O116" s="280" t="n"/>
      <c r="P116" s="332">
        <f>IFERROR(VLOOKUP(TEXT(O116,"0"),CONDUCTORES!$A$3:$G$100,2,0),"")</f>
        <v/>
      </c>
      <c r="Q116" s="332">
        <f>IFERROR(VLOOKUP(TEXT(O116,"0"),CONDUCTORES!$A$3:$H$100,6,0),"")</f>
        <v/>
      </c>
      <c r="R116" s="331" t="n">
        <v>45939</v>
      </c>
      <c r="S116" s="302" t="inlineStr">
        <is>
          <t>S800</t>
        </is>
      </c>
      <c r="T116" s="301" t="n"/>
      <c r="U116" s="334" t="n"/>
      <c r="V116" s="301" t="n"/>
      <c r="W116" s="301" t="n"/>
      <c r="X116" s="301" t="n"/>
      <c r="Y116" s="280" t="n"/>
    </row>
    <row r="117" ht="15.75" customHeight="1" s="195">
      <c r="A117" s="241" t="n">
        <v>112</v>
      </c>
      <c r="B117" s="305" t="inlineStr">
        <is>
          <t>00000040</t>
        </is>
      </c>
      <c r="C117" s="241" t="inlineStr">
        <is>
          <t>REGION</t>
        </is>
      </c>
      <c r="D117" s="305" t="inlineStr">
        <is>
          <t>GARRIDO PORTOCARRERO MARBELLE BELEN</t>
        </is>
      </c>
      <c r="E117" s="241" t="inlineStr">
        <is>
          <t>DNI</t>
        </is>
      </c>
      <c r="F117" s="241" t="inlineStr">
        <is>
          <t>91364091</t>
        </is>
      </c>
      <c r="G117" s="336" t="n">
        <v>45897</v>
      </c>
      <c r="H117" s="241" t="inlineStr">
        <is>
          <t>4903</t>
        </is>
      </c>
      <c r="I117" s="332">
        <f>IFERROR(VLOOKUP(TEXT(H117,"0"),IPRESS!$A$3:$B$212,2,0),"")</f>
        <v/>
      </c>
      <c r="J117" s="241" t="inlineStr">
        <is>
          <t>4838</t>
        </is>
      </c>
      <c r="K117" s="332">
        <f>IFERROR(VLOOKUP(TEXT(O117,"0"),CONDUCTORES!$A$3:$G$100,7,0),"")</f>
        <v/>
      </c>
      <c r="L117" s="239" t="n">
        <v>18.18</v>
      </c>
      <c r="M117" s="239" t="n">
        <v>5</v>
      </c>
      <c r="N117" s="333">
        <f>IFERROR(IF(L117*M117=0,"",L117*M117),"")</f>
        <v/>
      </c>
      <c r="O117" s="334" t="n"/>
      <c r="P117" s="332">
        <f>IFERROR(VLOOKUP(TEXT(O117,"0"),CONDUCTORES!$A$3:$G$100,2,0),"")</f>
        <v/>
      </c>
      <c r="Q117" s="332">
        <f>IFERROR(VLOOKUP(TEXT(O117,"0"),CONDUCTORES!$A$3:$H$100,6,0),"")</f>
        <v/>
      </c>
      <c r="R117" s="336" t="n">
        <v>45939</v>
      </c>
      <c r="S117" s="305" t="inlineStr">
        <is>
          <t>S069,T07X</t>
        </is>
      </c>
      <c r="T117" s="241" t="n"/>
      <c r="U117" s="280" t="n"/>
      <c r="V117" s="241" t="n"/>
      <c r="W117" s="241" t="n"/>
      <c r="X117" s="241" t="n"/>
      <c r="Y117" s="280" t="n"/>
    </row>
    <row r="118" ht="15.75" customHeight="1" s="195">
      <c r="A118" s="301" t="n">
        <v>113</v>
      </c>
      <c r="B118" s="302" t="inlineStr">
        <is>
          <t>00000004</t>
        </is>
      </c>
      <c r="C118" s="301" t="inlineStr">
        <is>
          <t>REGION</t>
        </is>
      </c>
      <c r="D118" s="302" t="inlineStr">
        <is>
          <t>JULCA ILATOMA MARIBEL</t>
        </is>
      </c>
      <c r="E118" s="301" t="inlineStr">
        <is>
          <t>DNI</t>
        </is>
      </c>
      <c r="F118" s="301" t="inlineStr">
        <is>
          <t>48767705</t>
        </is>
      </c>
      <c r="G118" s="331" t="n">
        <v>45896</v>
      </c>
      <c r="H118" s="301" t="inlineStr">
        <is>
          <t>4938</t>
        </is>
      </c>
      <c r="I118" s="332">
        <f>IFERROR(VLOOKUP(TEXT(H118,"0"),IPRESS!$A$3:$B$212,2,0),"")</f>
        <v/>
      </c>
      <c r="J118" s="301" t="inlineStr">
        <is>
          <t>4932</t>
        </is>
      </c>
      <c r="K118" s="332">
        <f>IFERROR(VLOOKUP(TEXT(O118,"0"),CONDUCTORES!$A$3:$G$100,7,0),"")</f>
        <v/>
      </c>
      <c r="L118" s="245" t="n">
        <v>18.18</v>
      </c>
      <c r="M118" s="245" t="n">
        <v>4</v>
      </c>
      <c r="N118" s="333">
        <f>IFERROR(IF(L118*M118=0,"",L118*M118),"")</f>
        <v/>
      </c>
      <c r="O118" s="280" t="n"/>
      <c r="P118" s="332">
        <f>IFERROR(VLOOKUP(TEXT(O118,"0"),CONDUCTORES!$A$3:$G$100,2,0),"")</f>
        <v/>
      </c>
      <c r="Q118" s="332">
        <f>IFERROR(VLOOKUP(TEXT(O118,"0"),CONDUCTORES!$A$3:$H$100,6,0),"")</f>
        <v/>
      </c>
      <c r="R118" s="334" t="n"/>
      <c r="S118" s="302" t="inlineStr">
        <is>
          <t>Z390</t>
        </is>
      </c>
      <c r="T118" s="301" t="n"/>
      <c r="U118" s="334" t="n"/>
      <c r="V118" s="301" t="n"/>
      <c r="W118" s="301" t="n"/>
      <c r="X118" s="301" t="n"/>
      <c r="Y118" s="280" t="n"/>
    </row>
    <row r="119" ht="15.75" customHeight="1" s="195">
      <c r="A119" s="241" t="n">
        <v>114</v>
      </c>
      <c r="B119" s="305" t="inlineStr">
        <is>
          <t>00000026</t>
        </is>
      </c>
      <c r="C119" s="241" t="inlineStr">
        <is>
          <t>REGION</t>
        </is>
      </c>
      <c r="D119" s="305" t="inlineStr">
        <is>
          <t>CHAVEZ LEIVA ROMULO</t>
        </is>
      </c>
      <c r="E119" s="241" t="inlineStr">
        <is>
          <t>DNI</t>
        </is>
      </c>
      <c r="F119" s="241" t="inlineStr">
        <is>
          <t>48503466</t>
        </is>
      </c>
      <c r="G119" s="336" t="n">
        <v>45870</v>
      </c>
      <c r="H119" s="241" t="inlineStr">
        <is>
          <t>4904</t>
        </is>
      </c>
      <c r="I119" s="332">
        <f>IFERROR(VLOOKUP(TEXT(H119,"0"),IPRESS!$A$3:$B$212,2,0),"")</f>
        <v/>
      </c>
      <c r="J119" s="241" t="inlineStr">
        <is>
          <t>4838</t>
        </is>
      </c>
      <c r="K119" s="332">
        <f>IFERROR(VLOOKUP(TEXT(O119,"0"),CONDUCTORES!$A$3:$G$100,7,0),"")</f>
        <v/>
      </c>
      <c r="L119" s="239" t="n">
        <v>18.18</v>
      </c>
      <c r="M119" s="239" t="n">
        <v>6</v>
      </c>
      <c r="N119" s="333">
        <f>IFERROR(IF(L119*M119=0,"",L119*M119),"")</f>
        <v/>
      </c>
      <c r="O119" s="334" t="n"/>
      <c r="P119" s="332">
        <f>IFERROR(VLOOKUP(TEXT(O119,"0"),CONDUCTORES!$A$3:$G$100,2,0),"")</f>
        <v/>
      </c>
      <c r="Q119" s="332">
        <f>IFERROR(VLOOKUP(TEXT(O119,"0"),CONDUCTORES!$A$3:$H$100,6,0),"")</f>
        <v/>
      </c>
      <c r="R119" s="336" t="n">
        <v>45981</v>
      </c>
      <c r="S119" s="305" t="inlineStr">
        <is>
          <t>I110</t>
        </is>
      </c>
      <c r="T119" s="241" t="n"/>
      <c r="U119" s="280" t="n"/>
      <c r="V119" s="241" t="n"/>
      <c r="W119" s="241" t="n"/>
      <c r="X119" s="241" t="n"/>
      <c r="Y119" s="280" t="n"/>
    </row>
    <row r="120" ht="15.75" customHeight="1" s="195">
      <c r="A120" s="301" t="n">
        <v>115</v>
      </c>
      <c r="B120" s="302" t="inlineStr">
        <is>
          <t>00000027</t>
        </is>
      </c>
      <c r="C120" s="301" t="inlineStr">
        <is>
          <t>REGION</t>
        </is>
      </c>
      <c r="D120" s="302" t="inlineStr">
        <is>
          <t>EPEQUIN BUSTAMANTE ROBER TOMAS</t>
        </is>
      </c>
      <c r="E120" s="301" t="inlineStr">
        <is>
          <t>DNI</t>
        </is>
      </c>
      <c r="F120" s="301" t="inlineStr">
        <is>
          <t>42254449</t>
        </is>
      </c>
      <c r="G120" s="331" t="n">
        <v>45876</v>
      </c>
      <c r="H120" s="301" t="inlineStr">
        <is>
          <t>4904</t>
        </is>
      </c>
      <c r="I120" s="332">
        <f>IFERROR(VLOOKUP(TEXT(H120,"0"),IPRESS!$A$3:$B$212,2,0),"")</f>
        <v/>
      </c>
      <c r="J120" s="301" t="inlineStr">
        <is>
          <t>4838</t>
        </is>
      </c>
      <c r="K120" s="332">
        <f>IFERROR(VLOOKUP(TEXT(O120,"0"),CONDUCTORES!$A$3:$G$100,7,0),"")</f>
        <v/>
      </c>
      <c r="L120" s="245" t="n">
        <v>18.18</v>
      </c>
      <c r="M120" s="245" t="n">
        <v>6</v>
      </c>
      <c r="N120" s="333">
        <f>IFERROR(IF(L120*M120=0,"",L120*M120),"")</f>
        <v/>
      </c>
      <c r="O120" s="280" t="n"/>
      <c r="P120" s="332">
        <f>IFERROR(VLOOKUP(TEXT(O120,"0"),CONDUCTORES!$A$3:$G$100,2,0),"")</f>
        <v/>
      </c>
      <c r="Q120" s="332">
        <f>IFERROR(VLOOKUP(TEXT(O120,"0"),CONDUCTORES!$A$3:$H$100,6,0),"")</f>
        <v/>
      </c>
      <c r="R120" s="331" t="n">
        <v>45981</v>
      </c>
      <c r="S120" s="302" t="inlineStr">
        <is>
          <t>R100,S301</t>
        </is>
      </c>
      <c r="T120" s="301" t="n"/>
      <c r="U120" s="334" t="n"/>
      <c r="V120" s="301" t="n"/>
      <c r="W120" s="301" t="n"/>
      <c r="X120" s="301" t="n"/>
      <c r="Y120" s="280" t="n"/>
    </row>
    <row r="121" ht="15.75" customHeight="1" s="195">
      <c r="A121" s="241" t="n">
        <v>116</v>
      </c>
      <c r="B121" s="305" t="inlineStr">
        <is>
          <t>00000028</t>
        </is>
      </c>
      <c r="C121" s="241" t="inlineStr">
        <is>
          <t>REGION</t>
        </is>
      </c>
      <c r="D121" s="305" t="inlineStr">
        <is>
          <t>OCMIN BARRERA JULIO GUSTAVO</t>
        </is>
      </c>
      <c r="E121" s="241" t="inlineStr">
        <is>
          <t>DNI</t>
        </is>
      </c>
      <c r="F121" s="241" t="inlineStr">
        <is>
          <t>33421792</t>
        </is>
      </c>
      <c r="G121" s="336" t="n">
        <v>45881</v>
      </c>
      <c r="H121" s="241" t="inlineStr">
        <is>
          <t>4904</t>
        </is>
      </c>
      <c r="I121" s="332">
        <f>IFERROR(VLOOKUP(TEXT(H121,"0"),IPRESS!$A$3:$B$212,2,0),"")</f>
        <v/>
      </c>
      <c r="J121" s="241" t="inlineStr">
        <is>
          <t>4838</t>
        </is>
      </c>
      <c r="K121" s="332">
        <f>IFERROR(VLOOKUP(TEXT(O121,"0"),CONDUCTORES!$A$3:$G$100,7,0),"")</f>
        <v/>
      </c>
      <c r="L121" s="239" t="n">
        <v>18.18</v>
      </c>
      <c r="M121" s="239" t="n">
        <v>6</v>
      </c>
      <c r="N121" s="333">
        <f>IFERROR(IF(L121*M121=0,"",L121*M121),"")</f>
        <v/>
      </c>
      <c r="O121" s="334" t="n"/>
      <c r="P121" s="332">
        <f>IFERROR(VLOOKUP(TEXT(O121,"0"),CONDUCTORES!$A$3:$G$100,2,0),"")</f>
        <v/>
      </c>
      <c r="Q121" s="332">
        <f>IFERROR(VLOOKUP(TEXT(O121,"0"),CONDUCTORES!$A$3:$H$100,6,0),"")</f>
        <v/>
      </c>
      <c r="R121" s="336" t="n">
        <v>45981</v>
      </c>
      <c r="S121" s="305" t="inlineStr">
        <is>
          <t>I499</t>
        </is>
      </c>
      <c r="T121" s="241" t="n"/>
      <c r="U121" s="280" t="n"/>
      <c r="V121" s="241" t="n"/>
      <c r="W121" s="241" t="n"/>
      <c r="X121" s="241" t="n"/>
      <c r="Y121" s="280" t="n"/>
    </row>
    <row r="122" ht="15.75" customHeight="1" s="195">
      <c r="A122" s="301" t="n">
        <v>117</v>
      </c>
      <c r="B122" s="302" t="inlineStr">
        <is>
          <t>00000029</t>
        </is>
      </c>
      <c r="C122" s="301" t="inlineStr">
        <is>
          <t>REGION</t>
        </is>
      </c>
      <c r="D122" s="302" t="inlineStr">
        <is>
          <t>PAIMA AYAMBO MARVITA TEZALIA</t>
        </is>
      </c>
      <c r="E122" s="301" t="inlineStr">
        <is>
          <t>DNI</t>
        </is>
      </c>
      <c r="F122" s="301" t="inlineStr">
        <is>
          <t>48394903</t>
        </is>
      </c>
      <c r="G122" s="331" t="n">
        <v>45885</v>
      </c>
      <c r="H122" s="301" t="inlineStr">
        <is>
          <t>4904</t>
        </is>
      </c>
      <c r="I122" s="332">
        <f>IFERROR(VLOOKUP(TEXT(H122,"0"),IPRESS!$A$3:$B$212,2,0),"")</f>
        <v/>
      </c>
      <c r="J122" s="301" t="inlineStr">
        <is>
          <t>4838</t>
        </is>
      </c>
      <c r="K122" s="332">
        <f>IFERROR(VLOOKUP(TEXT(O122,"0"),CONDUCTORES!$A$3:$G$100,7,0),"")</f>
        <v/>
      </c>
      <c r="L122" s="245" t="n">
        <v>18.18</v>
      </c>
      <c r="M122" s="245" t="n">
        <v>6</v>
      </c>
      <c r="N122" s="333">
        <f>IFERROR(IF(L122*M122=0,"",L122*M122),"")</f>
        <v/>
      </c>
      <c r="O122" s="280" t="n"/>
      <c r="P122" s="332">
        <f>IFERROR(VLOOKUP(TEXT(O122,"0"),CONDUCTORES!$A$3:$G$100,2,0),"")</f>
        <v/>
      </c>
      <c r="Q122" s="332">
        <f>IFERROR(VLOOKUP(TEXT(O122,"0"),CONDUCTORES!$A$3:$H$100,6,0),"")</f>
        <v/>
      </c>
      <c r="R122" s="331" t="n">
        <v>45981</v>
      </c>
      <c r="S122" s="302" t="inlineStr">
        <is>
          <t>O998</t>
        </is>
      </c>
      <c r="T122" s="301" t="n"/>
      <c r="U122" s="334" t="n"/>
      <c r="V122" s="301" t="n"/>
      <c r="W122" s="301" t="n"/>
      <c r="X122" s="301" t="n"/>
      <c r="Y122" s="280" t="n"/>
    </row>
    <row r="123" ht="15.75" customHeight="1" s="195">
      <c r="A123" s="241" t="n">
        <v>118</v>
      </c>
      <c r="B123" s="305" t="inlineStr">
        <is>
          <t>00000032</t>
        </is>
      </c>
      <c r="C123" s="241" t="inlineStr">
        <is>
          <t>REGION</t>
        </is>
      </c>
      <c r="D123" s="305" t="inlineStr">
        <is>
          <t>BUSTOS LOJA ROSITA</t>
        </is>
      </c>
      <c r="E123" s="241" t="inlineStr">
        <is>
          <t>DNI</t>
        </is>
      </c>
      <c r="F123" s="241" t="inlineStr">
        <is>
          <t>48864581</t>
        </is>
      </c>
      <c r="G123" s="336" t="n">
        <v>45893</v>
      </c>
      <c r="H123" s="241" t="inlineStr">
        <is>
          <t>4904</t>
        </is>
      </c>
      <c r="I123" s="332">
        <f>IFERROR(VLOOKUP(TEXT(H123,"0"),IPRESS!$A$3:$B$212,2,0),"")</f>
        <v/>
      </c>
      <c r="J123" s="241" t="inlineStr">
        <is>
          <t>4904</t>
        </is>
      </c>
      <c r="K123" s="332">
        <f>IFERROR(VLOOKUP(TEXT(O123,"0"),CONDUCTORES!$A$3:$G$100,7,0),"")</f>
        <v/>
      </c>
      <c r="L123" s="239" t="n">
        <v>18.18</v>
      </c>
      <c r="M123" s="239" t="n">
        <v>6</v>
      </c>
      <c r="N123" s="333">
        <f>IFERROR(IF(L123*M123=0,"",L123*M123),"")</f>
        <v/>
      </c>
      <c r="O123" s="334" t="n"/>
      <c r="P123" s="332">
        <f>IFERROR(VLOOKUP(TEXT(O123,"0"),CONDUCTORES!$A$3:$G$100,2,0),"")</f>
        <v/>
      </c>
      <c r="Q123" s="332">
        <f>IFERROR(VLOOKUP(TEXT(O123,"0"),CONDUCTORES!$A$3:$H$100,6,0),"")</f>
        <v/>
      </c>
      <c r="R123" s="336" t="n">
        <v>45981</v>
      </c>
      <c r="S123" s="305" t="inlineStr">
        <is>
          <t>O470</t>
        </is>
      </c>
      <c r="T123" s="241" t="n"/>
      <c r="U123" s="280" t="n"/>
      <c r="V123" s="241" t="n"/>
      <c r="W123" s="241" t="n"/>
      <c r="X123" s="241" t="n"/>
      <c r="Y123" s="280" t="n"/>
    </row>
    <row r="124" ht="15" customHeight="1" s="195">
      <c r="A124" s="280" t="n"/>
      <c r="B124" s="280" t="n"/>
      <c r="C124" s="280" t="n"/>
      <c r="D124" s="280" t="n"/>
      <c r="E124" s="280" t="n"/>
      <c r="F124" s="280" t="n"/>
      <c r="G124" s="280" t="n"/>
      <c r="H124" s="280" t="n"/>
      <c r="I124" s="332">
        <f>IFERROR(VLOOKUP(TEXT(H124,"0"),IPRESS!$A$3:$B$212,2,0),"")</f>
        <v/>
      </c>
      <c r="J124" s="280" t="n"/>
      <c r="K124" s="332">
        <f>IFERROR(VLOOKUP(TEXT(O124,"0"),CONDUCTORES!$A$3:$G$54,7,0),"")</f>
        <v/>
      </c>
      <c r="L124" s="280" t="n"/>
      <c r="M124" s="280" t="n"/>
      <c r="N124" s="333">
        <f>IFERROR(IF(L124*M124=0,"",L124*M124),"")</f>
        <v/>
      </c>
      <c r="O124" s="280" t="n"/>
      <c r="P124" s="332">
        <f>IFERROR(VLOOKUP(TEXT(O124,"0"),CONDUCTORES!$A$3:$G$54,2,0),"")</f>
        <v/>
      </c>
      <c r="Q124" s="332">
        <f>IFERROR(VLOOKUP(TEXT(O124,"0"),CONDUCTORES!$A$3:$H$54,6,0),"")</f>
        <v/>
      </c>
      <c r="R124" s="280" t="n"/>
      <c r="S124" s="280" t="n"/>
      <c r="T124" s="280" t="n"/>
      <c r="U124" s="280" t="n"/>
      <c r="V124" s="280" t="n"/>
      <c r="W124" s="280" t="n"/>
      <c r="X124" s="280" t="n"/>
      <c r="Y124" s="280" t="n"/>
    </row>
    <row r="125" ht="24" customHeight="1" s="195">
      <c r="A125" s="342" t="inlineStr">
        <is>
          <t>SUBTOTAL (cambia al filtrar por EESS) →</t>
        </is>
      </c>
      <c r="K125" s="343" t="n"/>
      <c r="L125" s="280" t="n"/>
      <c r="M125" s="344">
        <f>SUBTOTAL(9,M4:M123)</f>
        <v/>
      </c>
      <c r="N125" s="344">
        <f>SUBTOTAL(9,N4:N123)</f>
        <v/>
      </c>
      <c r="O125" s="280" t="n"/>
      <c r="P125" s="332">
        <f>IFERROR(VLOOKUP(TEXT(O125,"0"),CONDUCTORES!$A$3:$G$100,2,0),"")</f>
        <v/>
      </c>
      <c r="Q125" s="332">
        <f>IFERROR(VLOOKUP(TEXT(O125,"0"),CONDUCTORES!$A$3:$H$100,6,0),"")</f>
        <v/>
      </c>
      <c r="R125" s="280" t="n"/>
      <c r="S125" s="280" t="n"/>
      <c r="T125" s="280" t="n"/>
      <c r="U125" s="280" t="n"/>
      <c r="V125" s="280" t="n"/>
      <c r="W125" s="280" t="n"/>
      <c r="X125" s="280" t="n"/>
      <c r="Y125" s="280" t="n"/>
    </row>
    <row r="126" ht="15" customHeight="1" s="195">
      <c r="A126" s="280" t="n"/>
      <c r="B126" s="280" t="n"/>
      <c r="C126" s="280" t="n"/>
      <c r="D126" s="280" t="n"/>
      <c r="E126" s="280" t="n"/>
      <c r="F126" s="280" t="n"/>
      <c r="G126" s="280" t="n"/>
      <c r="H126" s="280" t="n"/>
      <c r="I126" s="343" t="n"/>
      <c r="J126" s="280" t="n"/>
      <c r="K126" s="343" t="n"/>
      <c r="L126" s="280" t="n"/>
      <c r="M126" s="280" t="n"/>
      <c r="N126" s="345" t="n"/>
      <c r="O126" s="280" t="n"/>
      <c r="P126" s="343" t="n"/>
      <c r="Q126" s="343" t="n"/>
      <c r="R126" s="280" t="n"/>
      <c r="S126" s="280" t="n"/>
      <c r="T126" s="280" t="n"/>
      <c r="U126" s="280" t="n"/>
      <c r="V126" s="280" t="n"/>
      <c r="W126" s="280" t="n"/>
      <c r="X126" s="280" t="n"/>
      <c r="Y126" s="280" t="n"/>
    </row>
    <row r="127" ht="15" customHeight="1" s="195">
      <c r="A127" s="334" t="n"/>
      <c r="B127" s="334" t="n"/>
      <c r="C127" s="334" t="n"/>
      <c r="D127" s="334" t="n"/>
      <c r="E127" s="334" t="n"/>
      <c r="F127" s="334" t="n"/>
      <c r="G127" s="334" t="n"/>
      <c r="H127" s="334" t="n"/>
      <c r="I127" s="343" t="n"/>
      <c r="J127" s="334" t="n"/>
      <c r="K127" s="343" t="n"/>
      <c r="L127" s="334" t="n"/>
      <c r="M127" s="334" t="n"/>
      <c r="N127" s="345" t="n"/>
      <c r="O127" s="334" t="n"/>
      <c r="P127" s="343" t="n"/>
      <c r="Q127" s="343" t="n"/>
      <c r="R127" s="334" t="n"/>
      <c r="S127" s="334" t="n"/>
      <c r="T127" s="334" t="n"/>
      <c r="U127" s="334" t="n"/>
      <c r="V127" s="334" t="n"/>
      <c r="W127" s="334" t="n"/>
      <c r="X127" s="334" t="n"/>
      <c r="Y127" s="334" t="n"/>
    </row>
    <row r="128" ht="15" customHeight="1" s="195">
      <c r="A128" s="280" t="n"/>
      <c r="B128" s="280" t="n"/>
      <c r="C128" s="280" t="n"/>
      <c r="D128" s="280" t="n"/>
      <c r="E128" s="280" t="n"/>
      <c r="F128" s="280" t="n"/>
      <c r="G128" s="280" t="n"/>
      <c r="H128" s="280" t="n"/>
      <c r="I128" s="343" t="n"/>
      <c r="J128" s="280" t="n"/>
      <c r="K128" s="343" t="n"/>
      <c r="L128" s="280" t="n"/>
      <c r="M128" s="280" t="n"/>
      <c r="N128" s="345" t="n"/>
      <c r="O128" s="280" t="n"/>
      <c r="P128" s="343" t="n"/>
      <c r="Q128" s="343" t="n"/>
      <c r="R128" s="280" t="n"/>
      <c r="S128" s="280" t="n"/>
      <c r="T128" s="280" t="n"/>
      <c r="U128" s="280" t="n"/>
      <c r="V128" s="280" t="n"/>
      <c r="W128" s="280" t="n"/>
      <c r="X128" s="280" t="n"/>
      <c r="Y128" s="280" t="n"/>
    </row>
    <row r="129" ht="15" customHeight="1" s="195">
      <c r="A129" s="334" t="n"/>
      <c r="B129" s="334" t="n"/>
      <c r="C129" s="334" t="n"/>
      <c r="D129" s="334" t="n"/>
      <c r="E129" s="334" t="n"/>
      <c r="F129" s="334" t="n"/>
      <c r="G129" s="334" t="n"/>
      <c r="H129" s="334" t="n"/>
      <c r="I129" s="343" t="n"/>
      <c r="J129" s="334" t="n"/>
      <c r="K129" s="343" t="n"/>
      <c r="L129" s="334" t="n"/>
      <c r="M129" s="334" t="n"/>
      <c r="N129" s="345" t="n"/>
      <c r="O129" s="334" t="n"/>
      <c r="P129" s="343" t="n"/>
      <c r="Q129" s="343" t="n"/>
      <c r="R129" s="334" t="n"/>
      <c r="S129" s="334" t="n"/>
      <c r="T129" s="334" t="n"/>
      <c r="U129" s="334" t="n"/>
      <c r="V129" s="334" t="n"/>
      <c r="W129" s="334" t="n"/>
      <c r="X129" s="334" t="n"/>
      <c r="Y129" s="334" t="n"/>
    </row>
    <row r="130" ht="15" customHeight="1" s="195">
      <c r="A130" s="280" t="n"/>
      <c r="B130" s="280" t="n"/>
      <c r="C130" s="280" t="n"/>
      <c r="D130" s="280" t="n"/>
      <c r="E130" s="280" t="n"/>
      <c r="F130" s="280" t="n"/>
      <c r="G130" s="280" t="n"/>
      <c r="H130" s="280" t="n"/>
      <c r="I130" s="332">
        <f>IFERROR(VLOOKUP(TEXT(H130,"0"),IPRESS!$A$3:$B$212,2,0),"")</f>
        <v/>
      </c>
      <c r="J130" s="280" t="n"/>
      <c r="K130" s="332">
        <f>IFERROR(VLOOKUP(TEXT(O130,"0"),CONDUCTORES!$A$3:$G$54,7,0),"")</f>
        <v/>
      </c>
      <c r="L130" s="280" t="n"/>
      <c r="M130" s="280" t="n"/>
      <c r="N130" s="333">
        <f>IFERROR(IF(L130*M130=0,"",L130*M130),"")</f>
        <v/>
      </c>
      <c r="O130" s="280" t="n"/>
      <c r="P130" s="332">
        <f>IFERROR(VLOOKUP(TEXT(O130,"0"),CONDUCTORES!$A$3:$G$54,2,0),"")</f>
        <v/>
      </c>
      <c r="Q130" s="332">
        <f>IFERROR(VLOOKUP(TEXT(O130,"0"),CONDUCTORES!$A$3:$H$54,6,0),"")</f>
        <v/>
      </c>
      <c r="R130" s="280" t="n"/>
      <c r="S130" s="280" t="n"/>
      <c r="T130" s="280" t="n"/>
      <c r="U130" s="280" t="n"/>
      <c r="V130" s="280" t="n"/>
      <c r="W130" s="280" t="n"/>
      <c r="X130" s="280" t="n"/>
      <c r="Y130" s="280" t="n"/>
    </row>
    <row r="131" ht="15" customHeight="1" s="195">
      <c r="A131" s="334" t="n"/>
      <c r="B131" s="334" t="n"/>
      <c r="C131" s="334" t="n"/>
      <c r="D131" s="334" t="n"/>
      <c r="E131" s="334" t="n"/>
      <c r="F131" s="334" t="n"/>
      <c r="G131" s="334" t="n"/>
      <c r="H131" s="334" t="n"/>
      <c r="I131" s="332">
        <f>IFERROR(VLOOKUP(TEXT(H131,"0"),IPRESS!$A$3:$B$212,2,0),"")</f>
        <v/>
      </c>
      <c r="J131" s="334" t="n"/>
      <c r="K131" s="332">
        <f>IFERROR(VLOOKUP(TEXT(O131,"0"),CONDUCTORES!$A$3:$G$54,7,0),"")</f>
        <v/>
      </c>
      <c r="L131" s="334" t="n"/>
      <c r="M131" s="334" t="n"/>
      <c r="N131" s="333">
        <f>IFERROR(IF(L131*M131=0,"",L131*M131),"")</f>
        <v/>
      </c>
      <c r="O131" s="334" t="n"/>
      <c r="P131" s="332">
        <f>IFERROR(VLOOKUP(TEXT(O131,"0"),CONDUCTORES!$A$3:$G$54,2,0),"")</f>
        <v/>
      </c>
      <c r="Q131" s="332">
        <f>IFERROR(VLOOKUP(TEXT(O131,"0"),CONDUCTORES!$A$3:$H$54,6,0),"")</f>
        <v/>
      </c>
      <c r="R131" s="334" t="n"/>
      <c r="S131" s="334" t="n"/>
      <c r="T131" s="334" t="n"/>
      <c r="U131" s="334" t="n"/>
      <c r="V131" s="334" t="n"/>
      <c r="W131" s="334" t="n"/>
      <c r="X131" s="334" t="n"/>
      <c r="Y131" s="334" t="n"/>
    </row>
    <row r="132" ht="15" customHeight="1" s="195">
      <c r="A132" s="280" t="n"/>
      <c r="B132" s="280" t="n"/>
      <c r="C132" s="280" t="n"/>
      <c r="D132" s="280" t="n"/>
      <c r="E132" s="280" t="n"/>
      <c r="F132" s="280" t="n"/>
      <c r="G132" s="280" t="n"/>
      <c r="H132" s="280" t="n"/>
      <c r="I132" s="332">
        <f>IFERROR(VLOOKUP(TEXT(H132,"0"),IPRESS!$A$3:$B$212,2,0),"")</f>
        <v/>
      </c>
      <c r="J132" s="280" t="n"/>
      <c r="K132" s="332">
        <f>IFERROR(VLOOKUP(TEXT(O132,"0"),CONDUCTORES!$A$3:$G$54,7,0),"")</f>
        <v/>
      </c>
      <c r="L132" s="280" t="n"/>
      <c r="M132" s="280" t="n"/>
      <c r="N132" s="333">
        <f>IFERROR(IF(L132*M132=0,"",L132*M132),"")</f>
        <v/>
      </c>
      <c r="O132" s="280" t="n"/>
      <c r="P132" s="332">
        <f>IFERROR(VLOOKUP(TEXT(O132,"0"),CONDUCTORES!$A$3:$G$54,2,0),"")</f>
        <v/>
      </c>
      <c r="Q132" s="332">
        <f>IFERROR(VLOOKUP(TEXT(O132,"0"),CONDUCTORES!$A$3:$H$54,6,0),"")</f>
        <v/>
      </c>
      <c r="R132" s="280" t="n"/>
      <c r="S132" s="280" t="n"/>
      <c r="T132" s="280" t="n"/>
      <c r="U132" s="280" t="n"/>
      <c r="V132" s="280" t="n"/>
      <c r="W132" s="280" t="n"/>
      <c r="X132" s="280" t="n"/>
      <c r="Y132" s="280" t="n"/>
    </row>
    <row r="133" ht="15" customHeight="1" s="195">
      <c r="A133" s="334" t="n"/>
      <c r="B133" s="334" t="n"/>
      <c r="C133" s="334" t="n"/>
      <c r="D133" s="334" t="n"/>
      <c r="E133" s="334" t="n"/>
      <c r="F133" s="334" t="n"/>
      <c r="G133" s="334" t="n"/>
      <c r="H133" s="334" t="n"/>
      <c r="I133" s="332">
        <f>IFERROR(VLOOKUP(TEXT(H133,"0"),IPRESS!$A$3:$B$212,2,0),"")</f>
        <v/>
      </c>
      <c r="J133" s="334" t="n"/>
      <c r="K133" s="332">
        <f>IFERROR(VLOOKUP(TEXT(O133,"0"),CONDUCTORES!$A$3:$G$54,7,0),"")</f>
        <v/>
      </c>
      <c r="L133" s="334" t="n"/>
      <c r="M133" s="334" t="n"/>
      <c r="N133" s="333">
        <f>IFERROR(IF(L133*M133=0,"",L133*M133),"")</f>
        <v/>
      </c>
      <c r="O133" s="334" t="n"/>
      <c r="P133" s="332">
        <f>IFERROR(VLOOKUP(TEXT(O133,"0"),CONDUCTORES!$A$3:$G$54,2,0),"")</f>
        <v/>
      </c>
      <c r="Q133" s="332">
        <f>IFERROR(VLOOKUP(TEXT(O133,"0"),CONDUCTORES!$A$3:$H$54,6,0),"")</f>
        <v/>
      </c>
      <c r="R133" s="334" t="n"/>
      <c r="S133" s="334" t="n"/>
      <c r="T133" s="334" t="n"/>
      <c r="U133" s="334" t="n"/>
      <c r="V133" s="334" t="n"/>
      <c r="W133" s="334" t="n"/>
      <c r="X133" s="334" t="n"/>
      <c r="Y133" s="334" t="n"/>
    </row>
    <row r="134" ht="15" customHeight="1" s="195">
      <c r="A134" s="280" t="n"/>
      <c r="B134" s="280" t="n"/>
      <c r="C134" s="280" t="n"/>
      <c r="D134" s="280" t="n"/>
      <c r="E134" s="280" t="n"/>
      <c r="F134" s="280" t="n"/>
      <c r="G134" s="280" t="n"/>
      <c r="H134" s="280" t="n"/>
      <c r="I134" s="332">
        <f>IFERROR(VLOOKUP(TEXT(H134,"0"),IPRESS!$A$3:$B$212,2,0),"")</f>
        <v/>
      </c>
      <c r="J134" s="280" t="n"/>
      <c r="K134" s="332">
        <f>IFERROR(VLOOKUP(TEXT(O134,"0"),CONDUCTORES!$A$3:$G$54,7,0),"")</f>
        <v/>
      </c>
      <c r="L134" s="280" t="n"/>
      <c r="M134" s="280" t="n"/>
      <c r="N134" s="333">
        <f>IFERROR(IF(L134*M134=0,"",L134*M134),"")</f>
        <v/>
      </c>
      <c r="O134" s="280" t="n"/>
      <c r="P134" s="332">
        <f>IFERROR(VLOOKUP(TEXT(O134,"0"),CONDUCTORES!$A$3:$G$54,2,0),"")</f>
        <v/>
      </c>
      <c r="Q134" s="332">
        <f>IFERROR(VLOOKUP(TEXT(O134,"0"),CONDUCTORES!$A$3:$H$54,6,0),"")</f>
        <v/>
      </c>
      <c r="R134" s="280" t="n"/>
      <c r="S134" s="280" t="n"/>
      <c r="T134" s="280" t="n"/>
      <c r="U134" s="280" t="n"/>
      <c r="V134" s="280" t="n"/>
      <c r="W134" s="280" t="n"/>
      <c r="X134" s="280" t="n"/>
      <c r="Y134" s="280" t="n"/>
    </row>
    <row r="135" ht="15" customHeight="1" s="195">
      <c r="A135" s="334" t="n"/>
      <c r="B135" s="334" t="n"/>
      <c r="C135" s="334" t="n"/>
      <c r="D135" s="334" t="n"/>
      <c r="E135" s="334" t="n"/>
      <c r="F135" s="334" t="n"/>
      <c r="G135" s="334" t="n"/>
      <c r="H135" s="334" t="n"/>
      <c r="I135" s="332">
        <f>IFERROR(VLOOKUP(TEXT(H135,"0"),IPRESS!$A$3:$B$212,2,0),"")</f>
        <v/>
      </c>
      <c r="J135" s="334" t="n"/>
      <c r="K135" s="332">
        <f>IFERROR(VLOOKUP(TEXT(O135,"0"),CONDUCTORES!$A$3:$G$54,7,0),"")</f>
        <v/>
      </c>
      <c r="L135" s="334" t="n"/>
      <c r="M135" s="334" t="n"/>
      <c r="N135" s="333">
        <f>IFERROR(IF(L135*M135=0,"",L135*M135),"")</f>
        <v/>
      </c>
      <c r="O135" s="334" t="n"/>
      <c r="P135" s="332">
        <f>IFERROR(VLOOKUP(TEXT(O135,"0"),CONDUCTORES!$A$3:$G$54,2,0),"")</f>
        <v/>
      </c>
      <c r="Q135" s="332">
        <f>IFERROR(VLOOKUP(TEXT(O135,"0"),CONDUCTORES!$A$3:$H$54,6,0),"")</f>
        <v/>
      </c>
      <c r="R135" s="334" t="n"/>
      <c r="S135" s="334" t="n"/>
      <c r="T135" s="334" t="n"/>
      <c r="U135" s="334" t="n"/>
      <c r="V135" s="334" t="n"/>
      <c r="W135" s="334" t="n"/>
      <c r="X135" s="334" t="n"/>
      <c r="Y135" s="334" t="n"/>
    </row>
    <row r="136" ht="15" customHeight="1" s="195">
      <c r="A136" s="280" t="n"/>
      <c r="B136" s="280" t="n"/>
      <c r="C136" s="280" t="n"/>
      <c r="D136" s="280" t="n"/>
      <c r="E136" s="280" t="n"/>
      <c r="F136" s="280" t="n"/>
      <c r="G136" s="280" t="n"/>
      <c r="H136" s="280" t="n"/>
      <c r="I136" s="332">
        <f>IFERROR(VLOOKUP(TEXT(H136,"0"),IPRESS!$A$3:$B$212,2,0),"")</f>
        <v/>
      </c>
      <c r="J136" s="280" t="n"/>
      <c r="K136" s="332">
        <f>IFERROR(VLOOKUP(TEXT(O136,"0"),CONDUCTORES!$A$3:$G$54,7,0),"")</f>
        <v/>
      </c>
      <c r="L136" s="280" t="n"/>
      <c r="M136" s="280" t="n"/>
      <c r="N136" s="333">
        <f>IFERROR(IF(L136*M136=0,"",L136*M136),"")</f>
        <v/>
      </c>
      <c r="O136" s="280" t="n"/>
      <c r="P136" s="332">
        <f>IFERROR(VLOOKUP(TEXT(O136,"0"),CONDUCTORES!$A$3:$G$54,2,0),"")</f>
        <v/>
      </c>
      <c r="Q136" s="332">
        <f>IFERROR(VLOOKUP(TEXT(O136,"0"),CONDUCTORES!$A$3:$H$54,6,0),"")</f>
        <v/>
      </c>
      <c r="R136" s="280" t="n"/>
      <c r="S136" s="280" t="n"/>
      <c r="T136" s="280" t="n"/>
      <c r="U136" s="280" t="n"/>
      <c r="V136" s="280" t="n"/>
      <c r="W136" s="280" t="n"/>
      <c r="X136" s="280" t="n"/>
      <c r="Y136" s="280" t="n"/>
    </row>
    <row r="137" ht="15" customHeight="1" s="195">
      <c r="A137" s="334" t="n"/>
      <c r="B137" s="334" t="n"/>
      <c r="C137" s="334" t="n"/>
      <c r="D137" s="334" t="n"/>
      <c r="E137" s="334" t="n"/>
      <c r="F137" s="334" t="n"/>
      <c r="G137" s="334" t="n"/>
      <c r="H137" s="334" t="n"/>
      <c r="I137" s="332">
        <f>IFERROR(VLOOKUP(TEXT(H137,"0"),IPRESS!$A$3:$B$212,2,0),"")</f>
        <v/>
      </c>
      <c r="J137" s="334" t="n"/>
      <c r="K137" s="332">
        <f>IFERROR(VLOOKUP(TEXT(O137,"0"),CONDUCTORES!$A$3:$G$54,7,0),"")</f>
        <v/>
      </c>
      <c r="L137" s="334" t="n"/>
      <c r="M137" s="334" t="n"/>
      <c r="N137" s="333">
        <f>IFERROR(IF(L137*M137=0,"",L137*M137),"")</f>
        <v/>
      </c>
      <c r="O137" s="334" t="n"/>
      <c r="P137" s="332">
        <f>IFERROR(VLOOKUP(TEXT(O137,"0"),CONDUCTORES!$A$3:$G$54,2,0),"")</f>
        <v/>
      </c>
      <c r="Q137" s="332">
        <f>IFERROR(VLOOKUP(TEXT(O137,"0"),CONDUCTORES!$A$3:$H$54,6,0),"")</f>
        <v/>
      </c>
      <c r="R137" s="334" t="n"/>
      <c r="S137" s="334" t="n"/>
      <c r="T137" s="334" t="n"/>
      <c r="U137" s="334" t="n"/>
      <c r="V137" s="334" t="n"/>
      <c r="W137" s="334" t="n"/>
      <c r="X137" s="334" t="n"/>
      <c r="Y137" s="334" t="n"/>
    </row>
    <row r="138" ht="15" customHeight="1" s="195">
      <c r="A138" s="280" t="n"/>
      <c r="B138" s="280" t="n"/>
      <c r="C138" s="280" t="n"/>
      <c r="D138" s="280" t="n"/>
      <c r="E138" s="280" t="n"/>
      <c r="F138" s="280" t="n"/>
      <c r="G138" s="280" t="n"/>
      <c r="H138" s="280" t="n"/>
      <c r="I138" s="332">
        <f>IFERROR(VLOOKUP(TEXT(H138,"0"),IPRESS!$A$3:$B$212,2,0),"")</f>
        <v/>
      </c>
      <c r="J138" s="280" t="n"/>
      <c r="K138" s="332">
        <f>IFERROR(VLOOKUP(TEXT(O138,"0"),CONDUCTORES!$A$3:$G$54,7,0),"")</f>
        <v/>
      </c>
      <c r="L138" s="280" t="n"/>
      <c r="M138" s="280" t="n"/>
      <c r="N138" s="333">
        <f>IFERROR(IF(L138*M138=0,"",L138*M138),"")</f>
        <v/>
      </c>
      <c r="O138" s="280" t="n"/>
      <c r="P138" s="332">
        <f>IFERROR(VLOOKUP(TEXT(O138,"0"),CONDUCTORES!$A$3:$G$54,2,0),"")</f>
        <v/>
      </c>
      <c r="Q138" s="332">
        <f>IFERROR(VLOOKUP(TEXT(O138,"0"),CONDUCTORES!$A$3:$H$54,6,0),"")</f>
        <v/>
      </c>
      <c r="R138" s="280" t="n"/>
      <c r="S138" s="280" t="n"/>
      <c r="T138" s="280" t="n"/>
      <c r="U138" s="280" t="n"/>
      <c r="V138" s="280" t="n"/>
      <c r="W138" s="280" t="n"/>
      <c r="X138" s="280" t="n"/>
      <c r="Y138" s="280" t="n"/>
    </row>
    <row r="139" ht="15" customHeight="1" s="195">
      <c r="A139" s="334" t="n"/>
      <c r="B139" s="334" t="n"/>
      <c r="C139" s="334" t="n"/>
      <c r="D139" s="334" t="n"/>
      <c r="E139" s="334" t="n"/>
      <c r="F139" s="334" t="n"/>
      <c r="G139" s="334" t="n"/>
      <c r="H139" s="334" t="n"/>
      <c r="I139" s="332">
        <f>IFERROR(VLOOKUP(TEXT(H139,"0"),IPRESS!$A$3:$B$212,2,0),"")</f>
        <v/>
      </c>
      <c r="J139" s="334" t="n"/>
      <c r="K139" s="332">
        <f>IFERROR(VLOOKUP(TEXT(O139,"0"),CONDUCTORES!$A$3:$G$54,7,0),"")</f>
        <v/>
      </c>
      <c r="L139" s="334" t="n"/>
      <c r="M139" s="334" t="n"/>
      <c r="N139" s="333">
        <f>IFERROR(IF(L139*M139=0,"",L139*M139),"")</f>
        <v/>
      </c>
      <c r="O139" s="334" t="n"/>
      <c r="P139" s="332">
        <f>IFERROR(VLOOKUP(TEXT(O139,"0"),CONDUCTORES!$A$3:$G$54,2,0),"")</f>
        <v/>
      </c>
      <c r="Q139" s="332">
        <f>IFERROR(VLOOKUP(TEXT(O139,"0"),CONDUCTORES!$A$3:$H$54,6,0),"")</f>
        <v/>
      </c>
      <c r="R139" s="334" t="n"/>
      <c r="S139" s="334" t="n"/>
      <c r="T139" s="334" t="n"/>
      <c r="U139" s="334" t="n"/>
      <c r="V139" s="334" t="n"/>
      <c r="W139" s="334" t="n"/>
      <c r="X139" s="334" t="n"/>
      <c r="Y139" s="334" t="n"/>
    </row>
    <row r="140" ht="15" customHeight="1" s="195">
      <c r="A140" s="280" t="n"/>
      <c r="B140" s="280" t="n"/>
      <c r="C140" s="280" t="n"/>
      <c r="D140" s="280" t="n"/>
      <c r="E140" s="280" t="n"/>
      <c r="F140" s="280" t="n"/>
      <c r="G140" s="280" t="n"/>
      <c r="H140" s="280" t="n"/>
      <c r="I140" s="332">
        <f>IFERROR(VLOOKUP(TEXT(H140,"0"),IPRESS!$A$3:$B$212,2,0),"")</f>
        <v/>
      </c>
      <c r="J140" s="280" t="n"/>
      <c r="K140" s="332">
        <f>IFERROR(VLOOKUP(TEXT(O140,"0"),CONDUCTORES!$A$3:$G$54,7,0),"")</f>
        <v/>
      </c>
      <c r="L140" s="280" t="n"/>
      <c r="M140" s="280" t="n"/>
      <c r="N140" s="333">
        <f>IFERROR(IF(L140*M140=0,"",L140*M140),"")</f>
        <v/>
      </c>
      <c r="O140" s="280" t="n"/>
      <c r="P140" s="332">
        <f>IFERROR(VLOOKUP(TEXT(O140,"0"),CONDUCTORES!$A$3:$G$54,2,0),"")</f>
        <v/>
      </c>
      <c r="Q140" s="332">
        <f>IFERROR(VLOOKUP(TEXT(O140,"0"),CONDUCTORES!$A$3:$H$54,6,0),"")</f>
        <v/>
      </c>
      <c r="R140" s="280" t="n"/>
      <c r="S140" s="280" t="n"/>
      <c r="T140" s="280" t="n"/>
      <c r="U140" s="280" t="n"/>
      <c r="V140" s="280" t="n"/>
      <c r="W140" s="280" t="n"/>
      <c r="X140" s="280" t="n"/>
      <c r="Y140" s="280" t="n"/>
    </row>
    <row r="141" ht="15" customHeight="1" s="195">
      <c r="A141" s="334" t="n"/>
      <c r="B141" s="334" t="n"/>
      <c r="C141" s="334" t="n"/>
      <c r="D141" s="334" t="n"/>
      <c r="E141" s="334" t="n"/>
      <c r="F141" s="334" t="n"/>
      <c r="G141" s="334" t="n"/>
      <c r="H141" s="334" t="n"/>
      <c r="I141" s="332">
        <f>IFERROR(VLOOKUP(TEXT(H141,"0"),IPRESS!$A$3:$B$212,2,0),"")</f>
        <v/>
      </c>
      <c r="J141" s="334" t="n"/>
      <c r="K141" s="332">
        <f>IFERROR(VLOOKUP(TEXT(O141,"0"),CONDUCTORES!$A$3:$G$54,7,0),"")</f>
        <v/>
      </c>
      <c r="L141" s="334" t="n"/>
      <c r="M141" s="334" t="n"/>
      <c r="N141" s="333">
        <f>IFERROR(IF(L141*M141=0,"",L141*M141),"")</f>
        <v/>
      </c>
      <c r="O141" s="334" t="n"/>
      <c r="P141" s="332">
        <f>IFERROR(VLOOKUP(TEXT(O141,"0"),CONDUCTORES!$A$3:$G$54,2,0),"")</f>
        <v/>
      </c>
      <c r="Q141" s="332">
        <f>IFERROR(VLOOKUP(TEXT(O141,"0"),CONDUCTORES!$A$3:$H$54,6,0),"")</f>
        <v/>
      </c>
      <c r="R141" s="334" t="n"/>
      <c r="S141" s="334" t="n"/>
      <c r="T141" s="334" t="n"/>
      <c r="U141" s="334" t="n"/>
      <c r="V141" s="334" t="n"/>
      <c r="W141" s="334" t="n"/>
      <c r="X141" s="334" t="n"/>
      <c r="Y141" s="334" t="n"/>
    </row>
    <row r="142" ht="15" customHeight="1" s="195">
      <c r="A142" s="280" t="n"/>
      <c r="B142" s="280" t="n"/>
      <c r="C142" s="280" t="n"/>
      <c r="D142" s="280" t="n"/>
      <c r="E142" s="280" t="n"/>
      <c r="F142" s="280" t="n"/>
      <c r="G142" s="280" t="n"/>
      <c r="H142" s="280" t="n"/>
      <c r="I142" s="332">
        <f>IFERROR(VLOOKUP(TEXT(H142,"0"),IPRESS!$A$3:$B$212,2,0),"")</f>
        <v/>
      </c>
      <c r="J142" s="280" t="n"/>
      <c r="K142" s="332">
        <f>IFERROR(VLOOKUP(TEXT(O142,"0"),CONDUCTORES!$A$3:$G$54,7,0),"")</f>
        <v/>
      </c>
      <c r="L142" s="280" t="n"/>
      <c r="M142" s="280" t="n"/>
      <c r="N142" s="333">
        <f>IFERROR(IF(L142*M142=0,"",L142*M142),"")</f>
        <v/>
      </c>
      <c r="O142" s="280" t="n"/>
      <c r="P142" s="332">
        <f>IFERROR(VLOOKUP(TEXT(O142,"0"),CONDUCTORES!$A$3:$G$54,2,0),"")</f>
        <v/>
      </c>
      <c r="Q142" s="332">
        <f>IFERROR(VLOOKUP(TEXT(O142,"0"),CONDUCTORES!$A$3:$H$54,6,0),"")</f>
        <v/>
      </c>
      <c r="R142" s="280" t="n"/>
      <c r="S142" s="280" t="n"/>
      <c r="T142" s="280" t="n"/>
      <c r="U142" s="280" t="n"/>
      <c r="V142" s="280" t="n"/>
      <c r="W142" s="280" t="n"/>
      <c r="X142" s="280" t="n"/>
      <c r="Y142" s="280" t="n"/>
    </row>
    <row r="143" ht="15" customHeight="1" s="195">
      <c r="A143" s="334" t="n"/>
      <c r="B143" s="334" t="n"/>
      <c r="C143" s="334" t="n"/>
      <c r="D143" s="334" t="n"/>
      <c r="E143" s="334" t="n"/>
      <c r="F143" s="334" t="n"/>
      <c r="G143" s="334" t="n"/>
      <c r="H143" s="334" t="n"/>
      <c r="I143" s="332">
        <f>IFERROR(VLOOKUP(TEXT(H143,"0"),IPRESS!$A$3:$B$212,2,0),"")</f>
        <v/>
      </c>
      <c r="J143" s="334" t="n"/>
      <c r="K143" s="332">
        <f>IFERROR(VLOOKUP(TEXT(O143,"0"),CONDUCTORES!$A$3:$G$54,7,0),"")</f>
        <v/>
      </c>
      <c r="L143" s="334" t="n"/>
      <c r="M143" s="334" t="n"/>
      <c r="N143" s="333">
        <f>IFERROR(IF(L143*M143=0,"",L143*M143),"")</f>
        <v/>
      </c>
      <c r="O143" s="334" t="n"/>
      <c r="P143" s="332">
        <f>IFERROR(VLOOKUP(TEXT(O143,"0"),CONDUCTORES!$A$3:$G$54,2,0),"")</f>
        <v/>
      </c>
      <c r="Q143" s="332">
        <f>IFERROR(VLOOKUP(TEXT(O143,"0"),CONDUCTORES!$A$3:$H$54,6,0),"")</f>
        <v/>
      </c>
      <c r="R143" s="334" t="n"/>
      <c r="S143" s="334" t="n"/>
      <c r="T143" s="334" t="n"/>
      <c r="U143" s="334" t="n"/>
      <c r="V143" s="334" t="n"/>
      <c r="W143" s="334" t="n"/>
      <c r="X143" s="334" t="n"/>
      <c r="Y143" s="334" t="n"/>
    </row>
    <row r="144" ht="15" customHeight="1" s="195">
      <c r="A144" s="280" t="n"/>
      <c r="B144" s="280" t="n"/>
      <c r="C144" s="280" t="n"/>
      <c r="D144" s="280" t="n"/>
      <c r="E144" s="280" t="n"/>
      <c r="F144" s="280" t="n"/>
      <c r="G144" s="280" t="n"/>
      <c r="H144" s="280" t="n"/>
      <c r="I144" s="332">
        <f>IFERROR(VLOOKUP(TEXT(H144,"0"),IPRESS!$A$3:$B$212,2,0),"")</f>
        <v/>
      </c>
      <c r="J144" s="280" t="n"/>
      <c r="K144" s="332">
        <f>IFERROR(VLOOKUP(TEXT(O144,"0"),CONDUCTORES!$A$3:$G$54,7,0),"")</f>
        <v/>
      </c>
      <c r="L144" s="280" t="n"/>
      <c r="M144" s="280" t="n"/>
      <c r="N144" s="333">
        <f>IFERROR(IF(L144*M144=0,"",L144*M144),"")</f>
        <v/>
      </c>
      <c r="O144" s="280" t="n"/>
      <c r="P144" s="332">
        <f>IFERROR(VLOOKUP(TEXT(O144,"0"),CONDUCTORES!$A$3:$G$54,2,0),"")</f>
        <v/>
      </c>
      <c r="Q144" s="332">
        <f>IFERROR(VLOOKUP(TEXT(O144,"0"),CONDUCTORES!$A$3:$H$54,6,0),"")</f>
        <v/>
      </c>
      <c r="R144" s="280" t="n"/>
      <c r="S144" s="280" t="n"/>
      <c r="T144" s="280" t="n"/>
      <c r="U144" s="280" t="n"/>
      <c r="V144" s="280" t="n"/>
      <c r="W144" s="280" t="n"/>
      <c r="X144" s="280" t="n"/>
      <c r="Y144" s="280" t="n"/>
    </row>
    <row r="145" ht="15" customHeight="1" s="195">
      <c r="A145" s="334" t="n"/>
      <c r="B145" s="334" t="n"/>
      <c r="C145" s="334" t="n"/>
      <c r="D145" s="334" t="n"/>
      <c r="E145" s="334" t="n"/>
      <c r="F145" s="334" t="n"/>
      <c r="G145" s="334" t="n"/>
      <c r="H145" s="334" t="n"/>
      <c r="I145" s="332">
        <f>IFERROR(VLOOKUP(TEXT(H145,"0"),IPRESS!$A$3:$B$212,2,0),"")</f>
        <v/>
      </c>
      <c r="J145" s="334" t="n"/>
      <c r="K145" s="332">
        <f>IFERROR(VLOOKUP(TEXT(O145,"0"),CONDUCTORES!$A$3:$G$54,7,0),"")</f>
        <v/>
      </c>
      <c r="L145" s="334" t="n"/>
      <c r="M145" s="334" t="n"/>
      <c r="N145" s="333">
        <f>IFERROR(IF(L145*M145=0,"",L145*M145),"")</f>
        <v/>
      </c>
      <c r="O145" s="334" t="n"/>
      <c r="P145" s="332">
        <f>IFERROR(VLOOKUP(TEXT(O145,"0"),CONDUCTORES!$A$3:$G$54,2,0),"")</f>
        <v/>
      </c>
      <c r="Q145" s="332">
        <f>IFERROR(VLOOKUP(TEXT(O145,"0"),CONDUCTORES!$A$3:$H$54,6,0),"")</f>
        <v/>
      </c>
      <c r="R145" s="334" t="n"/>
      <c r="S145" s="334" t="n"/>
      <c r="T145" s="334" t="n"/>
      <c r="U145" s="334" t="n"/>
      <c r="V145" s="334" t="n"/>
      <c r="W145" s="334" t="n"/>
      <c r="X145" s="334" t="n"/>
      <c r="Y145" s="334" t="n"/>
    </row>
    <row r="146" ht="15" customHeight="1" s="195">
      <c r="A146" s="280" t="n"/>
      <c r="B146" s="280" t="n"/>
      <c r="C146" s="280" t="n"/>
      <c r="D146" s="280" t="n"/>
      <c r="E146" s="280" t="n"/>
      <c r="F146" s="280" t="n"/>
      <c r="G146" s="280" t="n"/>
      <c r="H146" s="280" t="n"/>
      <c r="I146" s="332">
        <f>IFERROR(VLOOKUP(TEXT(H146,"0"),IPRESS!$A$3:$B$212,2,0),"")</f>
        <v/>
      </c>
      <c r="J146" s="280" t="n"/>
      <c r="K146" s="332">
        <f>IFERROR(VLOOKUP(TEXT(O146,"0"),CONDUCTORES!$A$3:$G$54,7,0),"")</f>
        <v/>
      </c>
      <c r="L146" s="280" t="n"/>
      <c r="M146" s="280" t="n"/>
      <c r="N146" s="333">
        <f>IFERROR(IF(L146*M146=0,"",L146*M146),"")</f>
        <v/>
      </c>
      <c r="O146" s="280" t="n"/>
      <c r="P146" s="332">
        <f>IFERROR(VLOOKUP(TEXT(O146,"0"),CONDUCTORES!$A$3:$G$54,2,0),"")</f>
        <v/>
      </c>
      <c r="Q146" s="332">
        <f>IFERROR(VLOOKUP(TEXT(O146,"0"),CONDUCTORES!$A$3:$H$54,6,0),"")</f>
        <v/>
      </c>
      <c r="R146" s="280" t="n"/>
      <c r="S146" s="280" t="n"/>
      <c r="T146" s="280" t="n"/>
      <c r="U146" s="280" t="n"/>
      <c r="V146" s="280" t="n"/>
      <c r="W146" s="280" t="n"/>
      <c r="X146" s="280" t="n"/>
      <c r="Y146" s="280" t="n"/>
    </row>
    <row r="147" ht="15" customHeight="1" s="195">
      <c r="A147" s="334" t="n"/>
      <c r="B147" s="334" t="n"/>
      <c r="C147" s="334" t="n"/>
      <c r="D147" s="334" t="n"/>
      <c r="E147" s="334" t="n"/>
      <c r="F147" s="334" t="n"/>
      <c r="G147" s="334" t="n"/>
      <c r="H147" s="334" t="n"/>
      <c r="I147" s="332">
        <f>IFERROR(VLOOKUP(TEXT(H147,"0"),IPRESS!$A$3:$B$212,2,0),"")</f>
        <v/>
      </c>
      <c r="J147" s="334" t="n"/>
      <c r="K147" s="332">
        <f>IFERROR(VLOOKUP(TEXT(O147,"0"),CONDUCTORES!$A$3:$G$54,7,0),"")</f>
        <v/>
      </c>
      <c r="L147" s="334" t="n"/>
      <c r="M147" s="334" t="n"/>
      <c r="N147" s="333">
        <f>IFERROR(IF(L147*M147=0,"",L147*M147),"")</f>
        <v/>
      </c>
      <c r="O147" s="334" t="n"/>
      <c r="P147" s="332">
        <f>IFERROR(VLOOKUP(TEXT(O147,"0"),CONDUCTORES!$A$3:$G$54,2,0),"")</f>
        <v/>
      </c>
      <c r="Q147" s="332">
        <f>IFERROR(VLOOKUP(TEXT(O147,"0"),CONDUCTORES!$A$3:$H$54,6,0),"")</f>
        <v/>
      </c>
      <c r="R147" s="334" t="n"/>
      <c r="S147" s="334" t="n"/>
      <c r="T147" s="334" t="n"/>
      <c r="U147" s="334" t="n"/>
      <c r="V147" s="334" t="n"/>
      <c r="W147" s="334" t="n"/>
      <c r="X147" s="334" t="n"/>
      <c r="Y147" s="334" t="n"/>
    </row>
    <row r="148" ht="15" customHeight="1" s="195">
      <c r="A148" s="280" t="n"/>
      <c r="B148" s="280" t="n"/>
      <c r="C148" s="280" t="n"/>
      <c r="D148" s="280" t="n"/>
      <c r="E148" s="280" t="n"/>
      <c r="F148" s="280" t="n"/>
      <c r="G148" s="280" t="n"/>
      <c r="H148" s="280" t="n"/>
      <c r="I148" s="332">
        <f>IFERROR(VLOOKUP(TEXT(H148,"0"),IPRESS!$A$3:$B$212,2,0),"")</f>
        <v/>
      </c>
      <c r="J148" s="280" t="n"/>
      <c r="K148" s="332">
        <f>IFERROR(VLOOKUP(TEXT(O148,"0"),CONDUCTORES!$A$3:$G$54,7,0),"")</f>
        <v/>
      </c>
      <c r="L148" s="280" t="n"/>
      <c r="M148" s="280" t="n"/>
      <c r="N148" s="333">
        <f>IFERROR(IF(L148*M148=0,"",L148*M148),"")</f>
        <v/>
      </c>
      <c r="O148" s="280" t="n"/>
      <c r="P148" s="332">
        <f>IFERROR(VLOOKUP(TEXT(O148,"0"),CONDUCTORES!$A$3:$G$54,2,0),"")</f>
        <v/>
      </c>
      <c r="Q148" s="332">
        <f>IFERROR(VLOOKUP(TEXT(O148,"0"),CONDUCTORES!$A$3:$H$54,6,0),"")</f>
        <v/>
      </c>
      <c r="R148" s="280" t="n"/>
      <c r="S148" s="280" t="n"/>
      <c r="T148" s="280" t="n"/>
      <c r="U148" s="280" t="n"/>
      <c r="V148" s="280" t="n"/>
      <c r="W148" s="280" t="n"/>
      <c r="X148" s="280" t="n"/>
      <c r="Y148" s="280" t="n"/>
    </row>
    <row r="149" ht="15" customHeight="1" s="195">
      <c r="A149" s="334" t="n"/>
      <c r="B149" s="334" t="n"/>
      <c r="C149" s="334" t="n"/>
      <c r="D149" s="334" t="n"/>
      <c r="E149" s="334" t="n"/>
      <c r="F149" s="334" t="n"/>
      <c r="G149" s="334" t="n"/>
      <c r="H149" s="334" t="n"/>
      <c r="I149" s="332">
        <f>IFERROR(VLOOKUP(TEXT(H149,"0"),IPRESS!$A$3:$B$212,2,0),"")</f>
        <v/>
      </c>
      <c r="J149" s="334" t="n"/>
      <c r="K149" s="332">
        <f>IFERROR(VLOOKUP(TEXT(O149,"0"),CONDUCTORES!$A$3:$G$54,7,0),"")</f>
        <v/>
      </c>
      <c r="L149" s="334" t="n"/>
      <c r="M149" s="334" t="n"/>
      <c r="N149" s="333">
        <f>IFERROR(IF(L149*M149=0,"",L149*M149),"")</f>
        <v/>
      </c>
      <c r="O149" s="334" t="n"/>
      <c r="P149" s="332">
        <f>IFERROR(VLOOKUP(TEXT(O149,"0"),CONDUCTORES!$A$3:$G$54,2,0),"")</f>
        <v/>
      </c>
      <c r="Q149" s="332">
        <f>IFERROR(VLOOKUP(TEXT(O149,"0"),CONDUCTORES!$A$3:$H$54,6,0),"")</f>
        <v/>
      </c>
      <c r="R149" s="334" t="n"/>
      <c r="S149" s="334" t="n"/>
      <c r="T149" s="334" t="n"/>
      <c r="U149" s="334" t="n"/>
      <c r="V149" s="334" t="n"/>
      <c r="W149" s="334" t="n"/>
      <c r="X149" s="334" t="n"/>
      <c r="Y149" s="334" t="n"/>
    </row>
    <row r="150" ht="15" customHeight="1" s="195">
      <c r="A150" s="280" t="n"/>
      <c r="B150" s="280" t="n"/>
      <c r="C150" s="280" t="n"/>
      <c r="D150" s="280" t="n"/>
      <c r="E150" s="280" t="n"/>
      <c r="F150" s="280" t="n"/>
      <c r="G150" s="280" t="n"/>
      <c r="H150" s="280" t="n"/>
      <c r="I150" s="332">
        <f>IFERROR(VLOOKUP(TEXT(H150,"0"),IPRESS!$A$3:$B$212,2,0),"")</f>
        <v/>
      </c>
      <c r="J150" s="280" t="n"/>
      <c r="K150" s="332">
        <f>IFERROR(VLOOKUP(TEXT(O150,"0"),CONDUCTORES!$A$3:$G$54,7,0),"")</f>
        <v/>
      </c>
      <c r="L150" s="280" t="n"/>
      <c r="M150" s="280" t="n"/>
      <c r="N150" s="333">
        <f>IFERROR(IF(L150*M150=0,"",L150*M150),"")</f>
        <v/>
      </c>
      <c r="O150" s="280" t="n"/>
      <c r="P150" s="332">
        <f>IFERROR(VLOOKUP(TEXT(O150,"0"),CONDUCTORES!$A$3:$G$54,2,0),"")</f>
        <v/>
      </c>
      <c r="Q150" s="332">
        <f>IFERROR(VLOOKUP(TEXT(O150,"0"),CONDUCTORES!$A$3:$H$54,6,0),"")</f>
        <v/>
      </c>
      <c r="R150" s="280" t="n"/>
      <c r="S150" s="280" t="n"/>
      <c r="T150" s="280" t="n"/>
      <c r="U150" s="280" t="n"/>
      <c r="V150" s="280" t="n"/>
      <c r="W150" s="280" t="n"/>
      <c r="X150" s="280" t="n"/>
      <c r="Y150" s="280" t="n"/>
    </row>
    <row r="151" ht="15" customHeight="1" s="195">
      <c r="A151" s="334" t="n"/>
      <c r="B151" s="334" t="n"/>
      <c r="C151" s="334" t="n"/>
      <c r="D151" s="334" t="n"/>
      <c r="E151" s="334" t="n"/>
      <c r="F151" s="334" t="n"/>
      <c r="G151" s="334" t="n"/>
      <c r="H151" s="334" t="n"/>
      <c r="I151" s="332">
        <f>IFERROR(VLOOKUP(TEXT(H151,"0"),IPRESS!$A$3:$B$212,2,0),"")</f>
        <v/>
      </c>
      <c r="J151" s="334" t="n"/>
      <c r="K151" s="332">
        <f>IFERROR(VLOOKUP(TEXT(O151,"0"),CONDUCTORES!$A$3:$G$54,7,0),"")</f>
        <v/>
      </c>
      <c r="L151" s="334" t="n"/>
      <c r="M151" s="334" t="n"/>
      <c r="N151" s="333">
        <f>IFERROR(IF(L151*M151=0,"",L151*M151),"")</f>
        <v/>
      </c>
      <c r="O151" s="334" t="n"/>
      <c r="P151" s="332">
        <f>IFERROR(VLOOKUP(TEXT(O151,"0"),CONDUCTORES!$A$3:$G$54,2,0),"")</f>
        <v/>
      </c>
      <c r="Q151" s="332">
        <f>IFERROR(VLOOKUP(TEXT(O151,"0"),CONDUCTORES!$A$3:$H$54,6,0),"")</f>
        <v/>
      </c>
      <c r="R151" s="334" t="n"/>
      <c r="S151" s="334" t="n"/>
      <c r="T151" s="334" t="n"/>
      <c r="U151" s="334" t="n"/>
      <c r="V151" s="334" t="n"/>
      <c r="W151" s="334" t="n"/>
      <c r="X151" s="334" t="n"/>
      <c r="Y151" s="334" t="n"/>
    </row>
    <row r="152" ht="15" customHeight="1" s="195">
      <c r="A152" s="280" t="n"/>
      <c r="B152" s="280" t="n"/>
      <c r="C152" s="280" t="n"/>
      <c r="D152" s="280" t="n"/>
      <c r="E152" s="280" t="n"/>
      <c r="F152" s="280" t="n"/>
      <c r="G152" s="280" t="n"/>
      <c r="H152" s="280" t="n"/>
      <c r="I152" s="332">
        <f>IFERROR(VLOOKUP(TEXT(H152,"0"),IPRESS!$A$3:$B$212,2,0),"")</f>
        <v/>
      </c>
      <c r="J152" s="280" t="n"/>
      <c r="K152" s="332">
        <f>IFERROR(VLOOKUP(TEXT(O152,"0"),CONDUCTORES!$A$3:$G$54,7,0),"")</f>
        <v/>
      </c>
      <c r="L152" s="280" t="n"/>
      <c r="M152" s="280" t="n"/>
      <c r="N152" s="333">
        <f>IFERROR(IF(L152*M152=0,"",L152*M152),"")</f>
        <v/>
      </c>
      <c r="O152" s="280" t="n"/>
      <c r="P152" s="332">
        <f>IFERROR(VLOOKUP(TEXT(O152,"0"),CONDUCTORES!$A$3:$G$54,2,0),"")</f>
        <v/>
      </c>
      <c r="Q152" s="332">
        <f>IFERROR(VLOOKUP(TEXT(O152,"0"),CONDUCTORES!$A$3:$H$54,6,0),"")</f>
        <v/>
      </c>
      <c r="R152" s="280" t="n"/>
      <c r="S152" s="280" t="n"/>
      <c r="T152" s="280" t="n"/>
      <c r="U152" s="280" t="n"/>
      <c r="V152" s="280" t="n"/>
      <c r="W152" s="280" t="n"/>
      <c r="X152" s="280" t="n"/>
      <c r="Y152" s="280" t="n"/>
    </row>
    <row r="153" ht="15" customHeight="1" s="195">
      <c r="A153" s="334" t="n"/>
      <c r="B153" s="334" t="n"/>
      <c r="C153" s="334" t="n"/>
      <c r="D153" s="334" t="n"/>
      <c r="E153" s="334" t="n"/>
      <c r="F153" s="334" t="n"/>
      <c r="G153" s="334" t="n"/>
      <c r="H153" s="334" t="n"/>
      <c r="I153" s="332">
        <f>IFERROR(VLOOKUP(TEXT(H153,"0"),IPRESS!$A$3:$B$212,2,0),"")</f>
        <v/>
      </c>
      <c r="J153" s="334" t="n"/>
      <c r="K153" s="332">
        <f>IFERROR(VLOOKUP(TEXT(O153,"0"),CONDUCTORES!$A$3:$G$54,7,0),"")</f>
        <v/>
      </c>
      <c r="L153" s="334" t="n"/>
      <c r="M153" s="334" t="n"/>
      <c r="N153" s="333">
        <f>IFERROR(IF(L153*M153=0,"",L153*M153),"")</f>
        <v/>
      </c>
      <c r="O153" s="334" t="n"/>
      <c r="P153" s="332">
        <f>IFERROR(VLOOKUP(TEXT(O153,"0"),CONDUCTORES!$A$3:$G$54,2,0),"")</f>
        <v/>
      </c>
      <c r="Q153" s="332">
        <f>IFERROR(VLOOKUP(TEXT(O153,"0"),CONDUCTORES!$A$3:$H$54,6,0),"")</f>
        <v/>
      </c>
      <c r="R153" s="334" t="n"/>
      <c r="S153" s="334" t="n"/>
      <c r="T153" s="334" t="n"/>
      <c r="U153" s="334" t="n"/>
      <c r="V153" s="334" t="n"/>
      <c r="W153" s="334" t="n"/>
      <c r="X153" s="334" t="n"/>
      <c r="Y153" s="334" t="n"/>
    </row>
    <row r="154" ht="15" customHeight="1" s="195">
      <c r="A154" s="280" t="n"/>
      <c r="B154" s="280" t="n"/>
      <c r="C154" s="280" t="n"/>
      <c r="D154" s="280" t="n"/>
      <c r="E154" s="280" t="n"/>
      <c r="F154" s="280" t="n"/>
      <c r="G154" s="280" t="n"/>
      <c r="H154" s="280" t="n"/>
      <c r="I154" s="332">
        <f>IFERROR(VLOOKUP(TEXT(H154,"0"),IPRESS!$A$3:$B$212,2,0),"")</f>
        <v/>
      </c>
      <c r="J154" s="280" t="n"/>
      <c r="K154" s="332">
        <f>IFERROR(VLOOKUP(TEXT(O154,"0"),CONDUCTORES!$A$3:$G$54,7,0),"")</f>
        <v/>
      </c>
      <c r="L154" s="280" t="n"/>
      <c r="M154" s="280" t="n"/>
      <c r="N154" s="333">
        <f>IFERROR(IF(L154*M154=0,"",L154*M154),"")</f>
        <v/>
      </c>
      <c r="O154" s="280" t="n"/>
      <c r="P154" s="332">
        <f>IFERROR(VLOOKUP(TEXT(O154,"0"),CONDUCTORES!$A$3:$G$54,2,0),"")</f>
        <v/>
      </c>
      <c r="Q154" s="332">
        <f>IFERROR(VLOOKUP(TEXT(O154,"0"),CONDUCTORES!$A$3:$H$54,6,0),"")</f>
        <v/>
      </c>
      <c r="R154" s="280" t="n"/>
      <c r="S154" s="280" t="n"/>
      <c r="T154" s="280" t="n"/>
      <c r="U154" s="280" t="n"/>
      <c r="V154" s="280" t="n"/>
      <c r="W154" s="280" t="n"/>
      <c r="X154" s="280" t="n"/>
      <c r="Y154" s="280" t="n"/>
    </row>
    <row r="155" ht="15" customHeight="1" s="195">
      <c r="A155" s="334" t="n"/>
      <c r="B155" s="334" t="n"/>
      <c r="C155" s="334" t="n"/>
      <c r="D155" s="334" t="n"/>
      <c r="E155" s="334" t="n"/>
      <c r="F155" s="334" t="n"/>
      <c r="G155" s="334" t="n"/>
      <c r="H155" s="334" t="n"/>
      <c r="I155" s="332">
        <f>IFERROR(VLOOKUP(TEXT(H155,"0"),IPRESS!$A$3:$B$212,2,0),"")</f>
        <v/>
      </c>
      <c r="J155" s="334" t="n"/>
      <c r="K155" s="332">
        <f>IFERROR(VLOOKUP(TEXT(O155,"0"),CONDUCTORES!$A$3:$G$54,7,0),"")</f>
        <v/>
      </c>
      <c r="L155" s="334" t="n"/>
      <c r="M155" s="334" t="n"/>
      <c r="N155" s="333">
        <f>IFERROR(IF(L155*M155=0,"",L155*M155),"")</f>
        <v/>
      </c>
      <c r="O155" s="334" t="n"/>
      <c r="P155" s="332">
        <f>IFERROR(VLOOKUP(TEXT(O155,"0"),CONDUCTORES!$A$3:$G$54,2,0),"")</f>
        <v/>
      </c>
      <c r="Q155" s="332">
        <f>IFERROR(VLOOKUP(TEXT(O155,"0"),CONDUCTORES!$A$3:$H$54,6,0),"")</f>
        <v/>
      </c>
      <c r="R155" s="334" t="n"/>
      <c r="S155" s="334" t="n"/>
      <c r="T155" s="334" t="n"/>
      <c r="U155" s="334" t="n"/>
      <c r="V155" s="334" t="n"/>
      <c r="W155" s="334" t="n"/>
      <c r="X155" s="334" t="n"/>
      <c r="Y155" s="334" t="n"/>
    </row>
    <row r="156" ht="15" customHeight="1" s="195">
      <c r="A156" s="280" t="n"/>
      <c r="B156" s="280" t="n"/>
      <c r="C156" s="280" t="n"/>
      <c r="D156" s="280" t="n"/>
      <c r="E156" s="280" t="n"/>
      <c r="F156" s="280" t="n"/>
      <c r="G156" s="280" t="n"/>
      <c r="H156" s="280" t="n"/>
      <c r="I156" s="332">
        <f>IFERROR(VLOOKUP(TEXT(H156,"0"),IPRESS!$A$3:$B$212,2,0),"")</f>
        <v/>
      </c>
      <c r="J156" s="280" t="n"/>
      <c r="K156" s="332">
        <f>IFERROR(VLOOKUP(TEXT(O156,"0"),CONDUCTORES!$A$3:$G$54,7,0),"")</f>
        <v/>
      </c>
      <c r="L156" s="280" t="n"/>
      <c r="M156" s="280" t="n"/>
      <c r="N156" s="333">
        <f>IFERROR(IF(L156*M156=0,"",L156*M156),"")</f>
        <v/>
      </c>
      <c r="O156" s="280" t="n"/>
      <c r="P156" s="332">
        <f>IFERROR(VLOOKUP(TEXT(O156,"0"),CONDUCTORES!$A$3:$G$54,2,0),"")</f>
        <v/>
      </c>
      <c r="Q156" s="332">
        <f>IFERROR(VLOOKUP(TEXT(O156,"0"),CONDUCTORES!$A$3:$H$54,6,0),"")</f>
        <v/>
      </c>
      <c r="R156" s="280" t="n"/>
      <c r="S156" s="280" t="n"/>
      <c r="T156" s="280" t="n"/>
      <c r="U156" s="280" t="n"/>
      <c r="V156" s="280" t="n"/>
      <c r="W156" s="280" t="n"/>
      <c r="X156" s="280" t="n"/>
      <c r="Y156" s="280" t="n"/>
    </row>
    <row r="157" ht="15" customHeight="1" s="195">
      <c r="A157" s="334" t="n"/>
      <c r="B157" s="334" t="n"/>
      <c r="C157" s="334" t="n"/>
      <c r="D157" s="334" t="n"/>
      <c r="E157" s="334" t="n"/>
      <c r="F157" s="334" t="n"/>
      <c r="G157" s="334" t="n"/>
      <c r="H157" s="334" t="n"/>
      <c r="I157" s="332">
        <f>IFERROR(VLOOKUP(TEXT(H157,"0"),IPRESS!$A$3:$B$212,2,0),"")</f>
        <v/>
      </c>
      <c r="J157" s="334" t="n"/>
      <c r="K157" s="332">
        <f>IFERROR(VLOOKUP(TEXT(O157,"0"),CONDUCTORES!$A$3:$G$54,7,0),"")</f>
        <v/>
      </c>
      <c r="L157" s="334" t="n"/>
      <c r="M157" s="334" t="n"/>
      <c r="N157" s="333">
        <f>IFERROR(IF(L157*M157=0,"",L157*M157),"")</f>
        <v/>
      </c>
      <c r="O157" s="334" t="n"/>
      <c r="P157" s="332">
        <f>IFERROR(VLOOKUP(TEXT(O157,"0"),CONDUCTORES!$A$3:$G$54,2,0),"")</f>
        <v/>
      </c>
      <c r="Q157" s="332">
        <f>IFERROR(VLOOKUP(TEXT(O157,"0"),CONDUCTORES!$A$3:$H$54,6,0),"")</f>
        <v/>
      </c>
      <c r="R157" s="334" t="n"/>
      <c r="S157" s="334" t="n"/>
      <c r="T157" s="334" t="n"/>
      <c r="U157" s="334" t="n"/>
      <c r="V157" s="334" t="n"/>
      <c r="W157" s="334" t="n"/>
      <c r="X157" s="334" t="n"/>
      <c r="Y157" s="334" t="n"/>
    </row>
    <row r="158" ht="15" customHeight="1" s="195">
      <c r="A158" s="280" t="n"/>
      <c r="B158" s="280" t="n"/>
      <c r="C158" s="280" t="n"/>
      <c r="D158" s="280" t="n"/>
      <c r="E158" s="280" t="n"/>
      <c r="F158" s="280" t="n"/>
      <c r="G158" s="280" t="n"/>
      <c r="H158" s="280" t="n"/>
      <c r="I158" s="332">
        <f>IFERROR(VLOOKUP(TEXT(H158,"0"),IPRESS!$A$3:$B$212,2,0),"")</f>
        <v/>
      </c>
      <c r="J158" s="280" t="n"/>
      <c r="K158" s="332">
        <f>IFERROR(VLOOKUP(TEXT(O158,"0"),CONDUCTORES!$A$3:$G$54,7,0),"")</f>
        <v/>
      </c>
      <c r="L158" s="280" t="n"/>
      <c r="M158" s="280" t="n"/>
      <c r="N158" s="333">
        <f>IFERROR(IF(L158*M158=0,"",L158*M158),"")</f>
        <v/>
      </c>
      <c r="O158" s="280" t="n"/>
      <c r="P158" s="332">
        <f>IFERROR(VLOOKUP(TEXT(O158,"0"),CONDUCTORES!$A$3:$G$54,2,0),"")</f>
        <v/>
      </c>
      <c r="Q158" s="332">
        <f>IFERROR(VLOOKUP(TEXT(O158,"0"),CONDUCTORES!$A$3:$H$54,6,0),"")</f>
        <v/>
      </c>
      <c r="R158" s="280" t="n"/>
      <c r="S158" s="280" t="n"/>
      <c r="T158" s="280" t="n"/>
      <c r="U158" s="280" t="n"/>
      <c r="V158" s="280" t="n"/>
      <c r="W158" s="280" t="n"/>
      <c r="X158" s="280" t="n"/>
      <c r="Y158" s="280" t="n"/>
    </row>
    <row r="159" ht="15" customHeight="1" s="195">
      <c r="A159" s="334" t="n"/>
      <c r="B159" s="334" t="n"/>
      <c r="C159" s="334" t="n"/>
      <c r="D159" s="334" t="n"/>
      <c r="E159" s="334" t="n"/>
      <c r="F159" s="334" t="n"/>
      <c r="G159" s="334" t="n"/>
      <c r="H159" s="334" t="n"/>
      <c r="I159" s="332">
        <f>IFERROR(VLOOKUP(TEXT(H159,"0"),IPRESS!$A$3:$B$212,2,0),"")</f>
        <v/>
      </c>
      <c r="J159" s="334" t="n"/>
      <c r="K159" s="332">
        <f>IFERROR(VLOOKUP(TEXT(O159,"0"),CONDUCTORES!$A$3:$G$54,7,0),"")</f>
        <v/>
      </c>
      <c r="L159" s="334" t="n"/>
      <c r="M159" s="334" t="n"/>
      <c r="N159" s="333">
        <f>IFERROR(IF(L159*M159=0,"",L159*M159),"")</f>
        <v/>
      </c>
      <c r="O159" s="334" t="n"/>
      <c r="P159" s="332">
        <f>IFERROR(VLOOKUP(TEXT(O159,"0"),CONDUCTORES!$A$3:$G$54,2,0),"")</f>
        <v/>
      </c>
      <c r="Q159" s="332">
        <f>IFERROR(VLOOKUP(TEXT(O159,"0"),CONDUCTORES!$A$3:$H$54,6,0),"")</f>
        <v/>
      </c>
      <c r="R159" s="334" t="n"/>
      <c r="S159" s="334" t="n"/>
      <c r="T159" s="334" t="n"/>
      <c r="U159" s="334" t="n"/>
      <c r="V159" s="334" t="n"/>
      <c r="W159" s="334" t="n"/>
      <c r="X159" s="334" t="n"/>
      <c r="Y159" s="334" t="n"/>
    </row>
    <row r="160" ht="15" customHeight="1" s="195">
      <c r="A160" s="280" t="n"/>
      <c r="B160" s="280" t="n"/>
      <c r="C160" s="280" t="n"/>
      <c r="D160" s="280" t="n"/>
      <c r="E160" s="280" t="n"/>
      <c r="F160" s="280" t="n"/>
      <c r="G160" s="280" t="n"/>
      <c r="H160" s="280" t="n"/>
      <c r="I160" s="332">
        <f>IFERROR(VLOOKUP(TEXT(H160,"0"),IPRESS!$A$3:$B$212,2,0),"")</f>
        <v/>
      </c>
      <c r="J160" s="280" t="n"/>
      <c r="K160" s="332">
        <f>IFERROR(VLOOKUP(TEXT(O160,"0"),CONDUCTORES!$A$3:$G$54,7,0),"")</f>
        <v/>
      </c>
      <c r="L160" s="280" t="n"/>
      <c r="M160" s="280" t="n"/>
      <c r="N160" s="333">
        <f>IFERROR(IF(L160*M160=0,"",L160*M160),"")</f>
        <v/>
      </c>
      <c r="O160" s="280" t="n"/>
      <c r="P160" s="332">
        <f>IFERROR(VLOOKUP(TEXT(O160,"0"),CONDUCTORES!$A$3:$G$54,2,0),"")</f>
        <v/>
      </c>
      <c r="Q160" s="332">
        <f>IFERROR(VLOOKUP(TEXT(O160,"0"),CONDUCTORES!$A$3:$H$54,6,0),"")</f>
        <v/>
      </c>
      <c r="R160" s="280" t="n"/>
      <c r="S160" s="280" t="n"/>
      <c r="T160" s="280" t="n"/>
      <c r="U160" s="280" t="n"/>
      <c r="V160" s="280" t="n"/>
      <c r="W160" s="280" t="n"/>
      <c r="X160" s="280" t="n"/>
      <c r="Y160" s="280" t="n"/>
    </row>
    <row r="161" ht="15" customHeight="1" s="195">
      <c r="A161" s="334" t="n"/>
      <c r="B161" s="334" t="n"/>
      <c r="C161" s="334" t="n"/>
      <c r="D161" s="334" t="n"/>
      <c r="E161" s="334" t="n"/>
      <c r="F161" s="334" t="n"/>
      <c r="G161" s="334" t="n"/>
      <c r="H161" s="334" t="n"/>
      <c r="I161" s="332">
        <f>IFERROR(VLOOKUP(TEXT(H161,"0"),IPRESS!$A$3:$B$212,2,0),"")</f>
        <v/>
      </c>
      <c r="J161" s="334" t="n"/>
      <c r="K161" s="332">
        <f>IFERROR(VLOOKUP(TEXT(O161,"0"),CONDUCTORES!$A$3:$G$54,7,0),"")</f>
        <v/>
      </c>
      <c r="L161" s="334" t="n"/>
      <c r="M161" s="334" t="n"/>
      <c r="N161" s="333">
        <f>IFERROR(IF(L161*M161=0,"",L161*M161),"")</f>
        <v/>
      </c>
      <c r="O161" s="334" t="n"/>
      <c r="P161" s="332">
        <f>IFERROR(VLOOKUP(TEXT(O161,"0"),CONDUCTORES!$A$3:$G$54,2,0),"")</f>
        <v/>
      </c>
      <c r="Q161" s="332">
        <f>IFERROR(VLOOKUP(TEXT(O161,"0"),CONDUCTORES!$A$3:$H$54,6,0),"")</f>
        <v/>
      </c>
      <c r="R161" s="334" t="n"/>
      <c r="S161" s="334" t="n"/>
      <c r="T161" s="334" t="n"/>
      <c r="U161" s="334" t="n"/>
      <c r="V161" s="334" t="n"/>
      <c r="W161" s="334" t="n"/>
      <c r="X161" s="334" t="n"/>
      <c r="Y161" s="334" t="n"/>
    </row>
    <row r="162" ht="15" customHeight="1" s="195">
      <c r="A162" s="280" t="n"/>
      <c r="B162" s="280" t="n"/>
      <c r="C162" s="280" t="n"/>
      <c r="D162" s="280" t="n"/>
      <c r="E162" s="280" t="n"/>
      <c r="F162" s="280" t="n"/>
      <c r="G162" s="280" t="n"/>
      <c r="H162" s="280" t="n"/>
      <c r="I162" s="332">
        <f>IFERROR(VLOOKUP(TEXT(H162,"0"),IPRESS!$A$3:$B$212,2,0),"")</f>
        <v/>
      </c>
      <c r="J162" s="280" t="n"/>
      <c r="K162" s="332">
        <f>IFERROR(VLOOKUP(TEXT(O162,"0"),CONDUCTORES!$A$3:$G$54,7,0),"")</f>
        <v/>
      </c>
      <c r="L162" s="280" t="n"/>
      <c r="M162" s="280" t="n"/>
      <c r="N162" s="333">
        <f>IFERROR(IF(L162*M162=0,"",L162*M162),"")</f>
        <v/>
      </c>
      <c r="O162" s="280" t="n"/>
      <c r="P162" s="332">
        <f>IFERROR(VLOOKUP(TEXT(O162,"0"),CONDUCTORES!$A$3:$G$54,2,0),"")</f>
        <v/>
      </c>
      <c r="Q162" s="332">
        <f>IFERROR(VLOOKUP(TEXT(O162,"0"),CONDUCTORES!$A$3:$H$54,6,0),"")</f>
        <v/>
      </c>
      <c r="R162" s="280" t="n"/>
      <c r="S162" s="280" t="n"/>
      <c r="T162" s="280" t="n"/>
      <c r="U162" s="280" t="n"/>
      <c r="V162" s="280" t="n"/>
      <c r="W162" s="280" t="n"/>
      <c r="X162" s="280" t="n"/>
      <c r="Y162" s="280" t="n"/>
    </row>
    <row r="163" ht="15" customHeight="1" s="195">
      <c r="A163" s="334" t="n"/>
      <c r="B163" s="334" t="n"/>
      <c r="C163" s="334" t="n"/>
      <c r="D163" s="334" t="n"/>
      <c r="E163" s="334" t="n"/>
      <c r="F163" s="334" t="n"/>
      <c r="G163" s="334" t="n"/>
      <c r="H163" s="334" t="n"/>
      <c r="I163" s="332">
        <f>IFERROR(VLOOKUP(TEXT(H163,"0"),IPRESS!$A$3:$B$212,2,0),"")</f>
        <v/>
      </c>
      <c r="J163" s="334" t="n"/>
      <c r="K163" s="332">
        <f>IFERROR(VLOOKUP(TEXT(O163,"0"),CONDUCTORES!$A$3:$G$54,7,0),"")</f>
        <v/>
      </c>
      <c r="L163" s="334" t="n"/>
      <c r="M163" s="334" t="n"/>
      <c r="N163" s="333">
        <f>IFERROR(IF(L163*M163=0,"",L163*M163),"")</f>
        <v/>
      </c>
      <c r="O163" s="334" t="n"/>
      <c r="P163" s="332">
        <f>IFERROR(VLOOKUP(TEXT(O163,"0"),CONDUCTORES!$A$3:$G$54,2,0),"")</f>
        <v/>
      </c>
      <c r="Q163" s="332">
        <f>IFERROR(VLOOKUP(TEXT(O163,"0"),CONDUCTORES!$A$3:$H$54,6,0),"")</f>
        <v/>
      </c>
      <c r="R163" s="334" t="n"/>
      <c r="S163" s="334" t="n"/>
      <c r="T163" s="334" t="n"/>
      <c r="U163" s="334" t="n"/>
      <c r="V163" s="334" t="n"/>
      <c r="W163" s="334" t="n"/>
      <c r="X163" s="334" t="n"/>
      <c r="Y163" s="334" t="n"/>
    </row>
    <row r="164" ht="15" customHeight="1" s="195">
      <c r="A164" s="280" t="n"/>
      <c r="B164" s="280" t="n"/>
      <c r="C164" s="280" t="n"/>
      <c r="D164" s="280" t="n"/>
      <c r="E164" s="280" t="n"/>
      <c r="F164" s="280" t="n"/>
      <c r="G164" s="280" t="n"/>
      <c r="H164" s="280" t="n"/>
      <c r="I164" s="332">
        <f>IFERROR(VLOOKUP(TEXT(H164,"0"),IPRESS!$A$3:$B$212,2,0),"")</f>
        <v/>
      </c>
      <c r="J164" s="280" t="n"/>
      <c r="K164" s="332">
        <f>IFERROR(VLOOKUP(TEXT(O164,"0"),CONDUCTORES!$A$3:$G$54,7,0),"")</f>
        <v/>
      </c>
      <c r="L164" s="280" t="n"/>
      <c r="M164" s="280" t="n"/>
      <c r="N164" s="333">
        <f>IFERROR(IF(L164*M164=0,"",L164*M164),"")</f>
        <v/>
      </c>
      <c r="O164" s="280" t="n"/>
      <c r="P164" s="332">
        <f>IFERROR(VLOOKUP(TEXT(O164,"0"),CONDUCTORES!$A$3:$G$54,2,0),"")</f>
        <v/>
      </c>
      <c r="Q164" s="332">
        <f>IFERROR(VLOOKUP(TEXT(O164,"0"),CONDUCTORES!$A$3:$H$54,6,0),"")</f>
        <v/>
      </c>
      <c r="R164" s="280" t="n"/>
      <c r="S164" s="280" t="n"/>
      <c r="T164" s="280" t="n"/>
      <c r="U164" s="280" t="n"/>
      <c r="V164" s="280" t="n"/>
      <c r="W164" s="280" t="n"/>
      <c r="X164" s="280" t="n"/>
      <c r="Y164" s="280" t="n"/>
    </row>
    <row r="165" ht="15" customHeight="1" s="195">
      <c r="A165" s="334" t="n"/>
      <c r="B165" s="334" t="n"/>
      <c r="C165" s="334" t="n"/>
      <c r="D165" s="334" t="n"/>
      <c r="E165" s="334" t="n"/>
      <c r="F165" s="334" t="n"/>
      <c r="G165" s="334" t="n"/>
      <c r="H165" s="334" t="n"/>
      <c r="I165" s="332">
        <f>IFERROR(VLOOKUP(TEXT(H165,"0"),IPRESS!$A$3:$B$212,2,0),"")</f>
        <v/>
      </c>
      <c r="J165" s="334" t="n"/>
      <c r="K165" s="332">
        <f>IFERROR(VLOOKUP(TEXT(O165,"0"),CONDUCTORES!$A$3:$G$54,7,0),"")</f>
        <v/>
      </c>
      <c r="L165" s="334" t="n"/>
      <c r="M165" s="334" t="n"/>
      <c r="N165" s="333">
        <f>IFERROR(IF(L165*M165=0,"",L165*M165),"")</f>
        <v/>
      </c>
      <c r="O165" s="334" t="n"/>
      <c r="P165" s="332">
        <f>IFERROR(VLOOKUP(TEXT(O165,"0"),CONDUCTORES!$A$3:$G$54,2,0),"")</f>
        <v/>
      </c>
      <c r="Q165" s="332">
        <f>IFERROR(VLOOKUP(TEXT(O165,"0"),CONDUCTORES!$A$3:$H$54,6,0),"")</f>
        <v/>
      </c>
      <c r="R165" s="334" t="n"/>
      <c r="S165" s="334" t="n"/>
      <c r="T165" s="334" t="n"/>
      <c r="U165" s="334" t="n"/>
      <c r="V165" s="334" t="n"/>
      <c r="W165" s="334" t="n"/>
      <c r="X165" s="334" t="n"/>
      <c r="Y165" s="334" t="n"/>
    </row>
    <row r="166" ht="15" customHeight="1" s="195">
      <c r="A166" s="280" t="n"/>
      <c r="B166" s="280" t="n"/>
      <c r="C166" s="280" t="n"/>
      <c r="D166" s="280" t="n"/>
      <c r="E166" s="280" t="n"/>
      <c r="F166" s="280" t="n"/>
      <c r="G166" s="280" t="n"/>
      <c r="H166" s="280" t="n"/>
      <c r="I166" s="332">
        <f>IFERROR(VLOOKUP(TEXT(H166,"0"),IPRESS!$A$3:$B$212,2,0),"")</f>
        <v/>
      </c>
      <c r="J166" s="280" t="n"/>
      <c r="K166" s="332">
        <f>IFERROR(VLOOKUP(TEXT(O166,"0"),CONDUCTORES!$A$3:$G$54,7,0),"")</f>
        <v/>
      </c>
      <c r="L166" s="280" t="n"/>
      <c r="M166" s="280" t="n"/>
      <c r="N166" s="333">
        <f>IFERROR(IF(L166*M166=0,"",L166*M166),"")</f>
        <v/>
      </c>
      <c r="O166" s="280" t="n"/>
      <c r="P166" s="332">
        <f>IFERROR(VLOOKUP(TEXT(O166,"0"),CONDUCTORES!$A$3:$G$54,2,0),"")</f>
        <v/>
      </c>
      <c r="Q166" s="332">
        <f>IFERROR(VLOOKUP(TEXT(O166,"0"),CONDUCTORES!$A$3:$H$54,6,0),"")</f>
        <v/>
      </c>
      <c r="R166" s="280" t="n"/>
      <c r="S166" s="280" t="n"/>
      <c r="T166" s="280" t="n"/>
      <c r="U166" s="280" t="n"/>
      <c r="V166" s="280" t="n"/>
      <c r="W166" s="280" t="n"/>
      <c r="X166" s="280" t="n"/>
      <c r="Y166" s="280" t="n"/>
    </row>
    <row r="167" ht="15" customHeight="1" s="195">
      <c r="A167" s="334" t="n"/>
      <c r="B167" s="334" t="n"/>
      <c r="C167" s="334" t="n"/>
      <c r="D167" s="334" t="n"/>
      <c r="E167" s="334" t="n"/>
      <c r="F167" s="334" t="n"/>
      <c r="G167" s="334" t="n"/>
      <c r="H167" s="334" t="n"/>
      <c r="I167" s="332">
        <f>IFERROR(VLOOKUP(TEXT(H167,"0"),IPRESS!$A$3:$B$212,2,0),"")</f>
        <v/>
      </c>
      <c r="J167" s="334" t="n"/>
      <c r="K167" s="332">
        <f>IFERROR(VLOOKUP(TEXT(O167,"0"),CONDUCTORES!$A$3:$G$54,7,0),"")</f>
        <v/>
      </c>
      <c r="L167" s="334" t="n"/>
      <c r="M167" s="334" t="n"/>
      <c r="N167" s="333">
        <f>IFERROR(IF(L167*M167=0,"",L167*M167),"")</f>
        <v/>
      </c>
      <c r="O167" s="334" t="n"/>
      <c r="P167" s="332">
        <f>IFERROR(VLOOKUP(TEXT(O167,"0"),CONDUCTORES!$A$3:$G$54,2,0),"")</f>
        <v/>
      </c>
      <c r="Q167" s="332">
        <f>IFERROR(VLOOKUP(TEXT(O167,"0"),CONDUCTORES!$A$3:$H$54,6,0),"")</f>
        <v/>
      </c>
      <c r="R167" s="334" t="n"/>
      <c r="S167" s="334" t="n"/>
      <c r="T167" s="334" t="n"/>
      <c r="U167" s="334" t="n"/>
      <c r="V167" s="334" t="n"/>
      <c r="W167" s="334" t="n"/>
      <c r="X167" s="334" t="n"/>
      <c r="Y167" s="334" t="n"/>
    </row>
    <row r="168" ht="15" customHeight="1" s="195">
      <c r="A168" s="280" t="n"/>
      <c r="B168" s="280" t="n"/>
      <c r="C168" s="280" t="n"/>
      <c r="D168" s="280" t="n"/>
      <c r="E168" s="280" t="n"/>
      <c r="F168" s="280" t="n"/>
      <c r="G168" s="280" t="n"/>
      <c r="H168" s="280" t="n"/>
      <c r="I168" s="332">
        <f>IFERROR(VLOOKUP(TEXT(H168,"0"),IPRESS!$A$3:$B$212,2,0),"")</f>
        <v/>
      </c>
      <c r="J168" s="280" t="n"/>
      <c r="K168" s="332">
        <f>IFERROR(VLOOKUP(TEXT(O168,"0"),CONDUCTORES!$A$3:$G$54,7,0),"")</f>
        <v/>
      </c>
      <c r="L168" s="280" t="n"/>
      <c r="M168" s="280" t="n"/>
      <c r="N168" s="333">
        <f>IFERROR(IF(L168*M168=0,"",L168*M168),"")</f>
        <v/>
      </c>
      <c r="O168" s="280" t="n"/>
      <c r="P168" s="332">
        <f>IFERROR(VLOOKUP(TEXT(O168,"0"),CONDUCTORES!$A$3:$G$54,2,0),"")</f>
        <v/>
      </c>
      <c r="Q168" s="332">
        <f>IFERROR(VLOOKUP(TEXT(O168,"0"),CONDUCTORES!$A$3:$H$54,6,0),"")</f>
        <v/>
      </c>
      <c r="R168" s="280" t="n"/>
      <c r="S168" s="280" t="n"/>
      <c r="T168" s="280" t="n"/>
      <c r="U168" s="280" t="n"/>
      <c r="V168" s="280" t="n"/>
      <c r="W168" s="280" t="n"/>
      <c r="X168" s="280" t="n"/>
      <c r="Y168" s="280" t="n"/>
    </row>
    <row r="169" ht="15" customHeight="1" s="195">
      <c r="A169" s="334" t="n"/>
      <c r="B169" s="334" t="n"/>
      <c r="C169" s="334" t="n"/>
      <c r="D169" s="334" t="n"/>
      <c r="E169" s="334" t="n"/>
      <c r="F169" s="334" t="n"/>
      <c r="G169" s="334" t="n"/>
      <c r="H169" s="334" t="n"/>
      <c r="I169" s="332">
        <f>IFERROR(VLOOKUP(TEXT(H169,"0"),IPRESS!$A$3:$B$212,2,0),"")</f>
        <v/>
      </c>
      <c r="J169" s="334" t="n"/>
      <c r="K169" s="332">
        <f>IFERROR(VLOOKUP(TEXT(O169,"0"),CONDUCTORES!$A$3:$G$54,7,0),"")</f>
        <v/>
      </c>
      <c r="L169" s="334" t="n"/>
      <c r="M169" s="334" t="n"/>
      <c r="N169" s="333">
        <f>IFERROR(IF(L169*M169=0,"",L169*M169),"")</f>
        <v/>
      </c>
      <c r="O169" s="334" t="n"/>
      <c r="P169" s="332">
        <f>IFERROR(VLOOKUP(TEXT(O169,"0"),CONDUCTORES!$A$3:$G$54,2,0),"")</f>
        <v/>
      </c>
      <c r="Q169" s="332">
        <f>IFERROR(VLOOKUP(TEXT(O169,"0"),CONDUCTORES!$A$3:$H$54,6,0),"")</f>
        <v/>
      </c>
      <c r="R169" s="334" t="n"/>
      <c r="S169" s="334" t="n"/>
      <c r="T169" s="334" t="n"/>
      <c r="U169" s="334" t="n"/>
      <c r="V169" s="334" t="n"/>
      <c r="W169" s="334" t="n"/>
      <c r="X169" s="334" t="n"/>
      <c r="Y169" s="334" t="n"/>
    </row>
    <row r="170" ht="15" customHeight="1" s="195">
      <c r="A170" s="280" t="n"/>
      <c r="B170" s="280" t="n"/>
      <c r="C170" s="280" t="n"/>
      <c r="D170" s="280" t="n"/>
      <c r="E170" s="280" t="n"/>
      <c r="F170" s="280" t="n"/>
      <c r="G170" s="280" t="n"/>
      <c r="H170" s="280" t="n"/>
      <c r="I170" s="332">
        <f>IFERROR(VLOOKUP(TEXT(H170,"0"),IPRESS!$A$3:$B$212,2,0),"")</f>
        <v/>
      </c>
      <c r="J170" s="280" t="n"/>
      <c r="K170" s="332">
        <f>IFERROR(VLOOKUP(TEXT(O170,"0"),CONDUCTORES!$A$3:$G$54,7,0),"")</f>
        <v/>
      </c>
      <c r="L170" s="280" t="n"/>
      <c r="M170" s="280" t="n"/>
      <c r="N170" s="333">
        <f>IFERROR(IF(L170*M170=0,"",L170*M170),"")</f>
        <v/>
      </c>
      <c r="O170" s="280" t="n"/>
      <c r="P170" s="332">
        <f>IFERROR(VLOOKUP(TEXT(O170,"0"),CONDUCTORES!$A$3:$G$54,2,0),"")</f>
        <v/>
      </c>
      <c r="Q170" s="332">
        <f>IFERROR(VLOOKUP(TEXT(O170,"0"),CONDUCTORES!$A$3:$H$54,6,0),"")</f>
        <v/>
      </c>
      <c r="R170" s="280" t="n"/>
      <c r="S170" s="280" t="n"/>
      <c r="T170" s="280" t="n"/>
      <c r="U170" s="280" t="n"/>
      <c r="V170" s="280" t="n"/>
      <c r="W170" s="280" t="n"/>
      <c r="X170" s="280" t="n"/>
      <c r="Y170" s="280" t="n"/>
    </row>
    <row r="171" ht="15" customHeight="1" s="195">
      <c r="A171" s="334" t="n"/>
      <c r="B171" s="334" t="n"/>
      <c r="C171" s="334" t="n"/>
      <c r="D171" s="334" t="n"/>
      <c r="E171" s="334" t="n"/>
      <c r="F171" s="334" t="n"/>
      <c r="G171" s="334" t="n"/>
      <c r="H171" s="334" t="n"/>
      <c r="I171" s="332">
        <f>IFERROR(VLOOKUP(TEXT(H171,"0"),IPRESS!$A$3:$B$212,2,0),"")</f>
        <v/>
      </c>
      <c r="J171" s="334" t="n"/>
      <c r="K171" s="332">
        <f>IFERROR(VLOOKUP(TEXT(O171,"0"),CONDUCTORES!$A$3:$G$54,7,0),"")</f>
        <v/>
      </c>
      <c r="L171" s="334" t="n"/>
      <c r="M171" s="334" t="n"/>
      <c r="N171" s="333">
        <f>IFERROR(IF(L171*M171=0,"",L171*M171),"")</f>
        <v/>
      </c>
      <c r="O171" s="334" t="n"/>
      <c r="P171" s="332">
        <f>IFERROR(VLOOKUP(TEXT(O171,"0"),CONDUCTORES!$A$3:$G$54,2,0),"")</f>
        <v/>
      </c>
      <c r="Q171" s="332">
        <f>IFERROR(VLOOKUP(TEXT(O171,"0"),CONDUCTORES!$A$3:$H$54,6,0),"")</f>
        <v/>
      </c>
      <c r="R171" s="334" t="n"/>
      <c r="S171" s="334" t="n"/>
      <c r="T171" s="334" t="n"/>
      <c r="U171" s="334" t="n"/>
      <c r="V171" s="334" t="n"/>
      <c r="W171" s="334" t="n"/>
      <c r="X171" s="334" t="n"/>
      <c r="Y171" s="334" t="n"/>
    </row>
    <row r="172" ht="15" customHeight="1" s="195">
      <c r="A172" s="280" t="n"/>
      <c r="B172" s="280" t="n"/>
      <c r="C172" s="280" t="n"/>
      <c r="D172" s="280" t="n"/>
      <c r="E172" s="280" t="n"/>
      <c r="F172" s="280" t="n"/>
      <c r="G172" s="280" t="n"/>
      <c r="H172" s="280" t="n"/>
      <c r="I172" s="332">
        <f>IFERROR(VLOOKUP(TEXT(H172,"0"),IPRESS!$A$3:$B$212,2,0),"")</f>
        <v/>
      </c>
      <c r="J172" s="280" t="n"/>
      <c r="K172" s="332">
        <f>IFERROR(VLOOKUP(TEXT(O172,"0"),CONDUCTORES!$A$3:$G$54,7,0),"")</f>
        <v/>
      </c>
      <c r="L172" s="280" t="n"/>
      <c r="M172" s="280" t="n"/>
      <c r="N172" s="333">
        <f>IFERROR(IF(L172*M172=0,"",L172*M172),"")</f>
        <v/>
      </c>
      <c r="O172" s="280" t="n"/>
      <c r="P172" s="332">
        <f>IFERROR(VLOOKUP(TEXT(O172,"0"),CONDUCTORES!$A$3:$G$54,2,0),"")</f>
        <v/>
      </c>
      <c r="Q172" s="332">
        <f>IFERROR(VLOOKUP(TEXT(O172,"0"),CONDUCTORES!$A$3:$H$54,6,0),"")</f>
        <v/>
      </c>
      <c r="R172" s="280" t="n"/>
      <c r="S172" s="280" t="n"/>
      <c r="T172" s="280" t="n"/>
      <c r="U172" s="280" t="n"/>
      <c r="V172" s="280" t="n"/>
      <c r="W172" s="280" t="n"/>
      <c r="X172" s="280" t="n"/>
      <c r="Y172" s="280" t="n"/>
    </row>
    <row r="173" ht="15" customHeight="1" s="195">
      <c r="A173" s="334" t="n"/>
      <c r="B173" s="334" t="n"/>
      <c r="C173" s="334" t="n"/>
      <c r="D173" s="334" t="n"/>
      <c r="E173" s="334" t="n"/>
      <c r="F173" s="334" t="n"/>
      <c r="G173" s="334" t="n"/>
      <c r="H173" s="334" t="n"/>
      <c r="I173" s="332">
        <f>IFERROR(VLOOKUP(TEXT(H173,"0"),IPRESS!$A$3:$B$212,2,0),"")</f>
        <v/>
      </c>
      <c r="J173" s="334" t="n"/>
      <c r="K173" s="332">
        <f>IFERROR(VLOOKUP(TEXT(O173,"0"),CONDUCTORES!$A$3:$G$54,7,0),"")</f>
        <v/>
      </c>
      <c r="L173" s="334" t="n"/>
      <c r="M173" s="334" t="n"/>
      <c r="N173" s="333">
        <f>IFERROR(IF(L173*M173=0,"",L173*M173),"")</f>
        <v/>
      </c>
      <c r="O173" s="334" t="n"/>
      <c r="P173" s="332">
        <f>IFERROR(VLOOKUP(TEXT(O173,"0"),CONDUCTORES!$A$3:$G$54,2,0),"")</f>
        <v/>
      </c>
      <c r="Q173" s="332">
        <f>IFERROR(VLOOKUP(TEXT(O173,"0"),CONDUCTORES!$A$3:$H$54,6,0),"")</f>
        <v/>
      </c>
      <c r="R173" s="334" t="n"/>
      <c r="S173" s="334" t="n"/>
      <c r="T173" s="334" t="n"/>
      <c r="U173" s="334" t="n"/>
      <c r="V173" s="334" t="n"/>
      <c r="W173" s="334" t="n"/>
      <c r="X173" s="334" t="n"/>
      <c r="Y173" s="334" t="n"/>
    </row>
    <row r="174" ht="15" customHeight="1" s="195">
      <c r="A174" s="280" t="n"/>
      <c r="B174" s="280" t="n"/>
      <c r="C174" s="280" t="n"/>
      <c r="D174" s="280" t="n"/>
      <c r="E174" s="280" t="n"/>
      <c r="F174" s="280" t="n"/>
      <c r="G174" s="280" t="n"/>
      <c r="H174" s="280" t="n"/>
      <c r="I174" s="332">
        <f>IFERROR(VLOOKUP(TEXT(H174,"0"),IPRESS!$A$3:$B$212,2,0),"")</f>
        <v/>
      </c>
      <c r="J174" s="280" t="n"/>
      <c r="K174" s="332">
        <f>IFERROR(VLOOKUP(TEXT(O174,"0"),CONDUCTORES!$A$3:$G$54,7,0),"")</f>
        <v/>
      </c>
      <c r="L174" s="280" t="n"/>
      <c r="M174" s="280" t="n"/>
      <c r="N174" s="333">
        <f>IFERROR(IF(L174*M174=0,"",L174*M174),"")</f>
        <v/>
      </c>
      <c r="O174" s="280" t="n"/>
      <c r="P174" s="332">
        <f>IFERROR(VLOOKUP(TEXT(O174,"0"),CONDUCTORES!$A$3:$G$54,2,0),"")</f>
        <v/>
      </c>
      <c r="Q174" s="332">
        <f>IFERROR(VLOOKUP(TEXT(O174,"0"),CONDUCTORES!$A$3:$H$54,6,0),"")</f>
        <v/>
      </c>
      <c r="R174" s="280" t="n"/>
      <c r="S174" s="280" t="n"/>
      <c r="T174" s="280" t="n"/>
      <c r="U174" s="280" t="n"/>
      <c r="V174" s="280" t="n"/>
      <c r="W174" s="280" t="n"/>
      <c r="X174" s="280" t="n"/>
      <c r="Y174" s="280" t="n"/>
    </row>
    <row r="175" ht="15" customHeight="1" s="195">
      <c r="A175" s="334" t="n"/>
      <c r="B175" s="334" t="n"/>
      <c r="C175" s="334" t="n"/>
      <c r="D175" s="334" t="n"/>
      <c r="E175" s="334" t="n"/>
      <c r="F175" s="334" t="n"/>
      <c r="G175" s="334" t="n"/>
      <c r="H175" s="334" t="n"/>
      <c r="I175" s="332">
        <f>IFERROR(VLOOKUP(TEXT(H175,"0"),IPRESS!$A$3:$B$212,2,0),"")</f>
        <v/>
      </c>
      <c r="J175" s="334" t="n"/>
      <c r="K175" s="332">
        <f>IFERROR(VLOOKUP(TEXT(O175,"0"),CONDUCTORES!$A$3:$G$54,7,0),"")</f>
        <v/>
      </c>
      <c r="L175" s="334" t="n"/>
      <c r="M175" s="334" t="n"/>
      <c r="N175" s="333">
        <f>IFERROR(IF(L175*M175=0,"",L175*M175),"")</f>
        <v/>
      </c>
      <c r="O175" s="334" t="n"/>
      <c r="P175" s="332">
        <f>IFERROR(VLOOKUP(TEXT(O175,"0"),CONDUCTORES!$A$3:$G$54,2,0),"")</f>
        <v/>
      </c>
      <c r="Q175" s="332">
        <f>IFERROR(VLOOKUP(TEXT(O175,"0"),CONDUCTORES!$A$3:$H$54,6,0),"")</f>
        <v/>
      </c>
      <c r="R175" s="334" t="n"/>
      <c r="S175" s="334" t="n"/>
      <c r="T175" s="334" t="n"/>
      <c r="U175" s="334" t="n"/>
      <c r="V175" s="334" t="n"/>
      <c r="W175" s="334" t="n"/>
      <c r="X175" s="334" t="n"/>
      <c r="Y175" s="334" t="n"/>
    </row>
    <row r="176" ht="15" customHeight="1" s="195">
      <c r="A176" s="280" t="n"/>
      <c r="B176" s="280" t="n"/>
      <c r="C176" s="280" t="n"/>
      <c r="D176" s="280" t="n"/>
      <c r="E176" s="280" t="n"/>
      <c r="F176" s="280" t="n"/>
      <c r="G176" s="280" t="n"/>
      <c r="H176" s="280" t="n"/>
      <c r="I176" s="332">
        <f>IFERROR(VLOOKUP(TEXT(H176,"0"),IPRESS!$A$3:$B$212,2,0),"")</f>
        <v/>
      </c>
      <c r="J176" s="280" t="n"/>
      <c r="K176" s="332">
        <f>IFERROR(VLOOKUP(TEXT(O176,"0"),CONDUCTORES!$A$3:$G$54,7,0),"")</f>
        <v/>
      </c>
      <c r="L176" s="280" t="n"/>
      <c r="M176" s="280" t="n"/>
      <c r="N176" s="333">
        <f>IFERROR(IF(L176*M176=0,"",L176*M176),"")</f>
        <v/>
      </c>
      <c r="O176" s="280" t="n"/>
      <c r="P176" s="332">
        <f>IFERROR(VLOOKUP(TEXT(O176,"0"),CONDUCTORES!$A$3:$G$54,2,0),"")</f>
        <v/>
      </c>
      <c r="Q176" s="332">
        <f>IFERROR(VLOOKUP(TEXT(O176,"0"),CONDUCTORES!$A$3:$H$54,6,0),"")</f>
        <v/>
      </c>
      <c r="R176" s="280" t="n"/>
      <c r="S176" s="280" t="n"/>
      <c r="T176" s="280" t="n"/>
      <c r="U176" s="280" t="n"/>
      <c r="V176" s="280" t="n"/>
      <c r="W176" s="280" t="n"/>
      <c r="X176" s="280" t="n"/>
      <c r="Y176" s="280" t="n"/>
    </row>
    <row r="177" ht="15" customHeight="1" s="195">
      <c r="A177" s="334" t="n"/>
      <c r="B177" s="334" t="n"/>
      <c r="C177" s="334" t="n"/>
      <c r="D177" s="334" t="n"/>
      <c r="E177" s="334" t="n"/>
      <c r="F177" s="334" t="n"/>
      <c r="G177" s="334" t="n"/>
      <c r="H177" s="334" t="n"/>
      <c r="I177" s="332">
        <f>IFERROR(VLOOKUP(TEXT(H177,"0"),IPRESS!$A$3:$B$212,2,0),"")</f>
        <v/>
      </c>
      <c r="J177" s="334" t="n"/>
      <c r="K177" s="332">
        <f>IFERROR(VLOOKUP(TEXT(O177,"0"),CONDUCTORES!$A$3:$G$54,7,0),"")</f>
        <v/>
      </c>
      <c r="L177" s="334" t="n"/>
      <c r="M177" s="334" t="n"/>
      <c r="N177" s="333">
        <f>IFERROR(IF(L177*M177=0,"",L177*M177),"")</f>
        <v/>
      </c>
      <c r="O177" s="334" t="n"/>
      <c r="P177" s="332">
        <f>IFERROR(VLOOKUP(TEXT(O177,"0"),CONDUCTORES!$A$3:$G$54,2,0),"")</f>
        <v/>
      </c>
      <c r="Q177" s="332">
        <f>IFERROR(VLOOKUP(TEXT(O177,"0"),CONDUCTORES!$A$3:$H$54,6,0),"")</f>
        <v/>
      </c>
      <c r="R177" s="334" t="n"/>
      <c r="S177" s="334" t="n"/>
      <c r="T177" s="334" t="n"/>
      <c r="U177" s="334" t="n"/>
      <c r="V177" s="334" t="n"/>
      <c r="W177" s="334" t="n"/>
      <c r="X177" s="334" t="n"/>
      <c r="Y177" s="334" t="n"/>
    </row>
    <row r="178" ht="15" customHeight="1" s="195">
      <c r="A178" s="280" t="n"/>
      <c r="B178" s="280" t="n"/>
      <c r="C178" s="280" t="n"/>
      <c r="D178" s="280" t="n"/>
      <c r="E178" s="280" t="n"/>
      <c r="F178" s="280" t="n"/>
      <c r="G178" s="280" t="n"/>
      <c r="H178" s="280" t="n"/>
      <c r="I178" s="332">
        <f>IFERROR(VLOOKUP(TEXT(H178,"0"),IPRESS!$A$3:$B$212,2,0),"")</f>
        <v/>
      </c>
      <c r="J178" s="280" t="n"/>
      <c r="K178" s="332">
        <f>IFERROR(VLOOKUP(TEXT(O178,"0"),CONDUCTORES!$A$3:$G$54,7,0),"")</f>
        <v/>
      </c>
      <c r="L178" s="280" t="n"/>
      <c r="M178" s="280" t="n"/>
      <c r="N178" s="333">
        <f>IFERROR(IF(L178*M178=0,"",L178*M178),"")</f>
        <v/>
      </c>
      <c r="O178" s="280" t="n"/>
      <c r="P178" s="332">
        <f>IFERROR(VLOOKUP(TEXT(O178,"0"),CONDUCTORES!$A$3:$G$54,2,0),"")</f>
        <v/>
      </c>
      <c r="Q178" s="332">
        <f>IFERROR(VLOOKUP(TEXT(O178,"0"),CONDUCTORES!$A$3:$H$54,6,0),"")</f>
        <v/>
      </c>
      <c r="R178" s="280" t="n"/>
      <c r="S178" s="280" t="n"/>
      <c r="T178" s="280" t="n"/>
      <c r="U178" s="280" t="n"/>
      <c r="V178" s="280" t="n"/>
      <c r="W178" s="280" t="n"/>
      <c r="X178" s="280" t="n"/>
      <c r="Y178" s="280" t="n"/>
    </row>
    <row r="179" ht="15" customHeight="1" s="195">
      <c r="A179" s="334" t="n"/>
      <c r="B179" s="334" t="n"/>
      <c r="C179" s="334" t="n"/>
      <c r="D179" s="334" t="n"/>
      <c r="E179" s="334" t="n"/>
      <c r="F179" s="334" t="n"/>
      <c r="G179" s="334" t="n"/>
      <c r="H179" s="334" t="n"/>
      <c r="I179" s="332">
        <f>IFERROR(VLOOKUP(TEXT(H179,"0"),IPRESS!$A$3:$B$212,2,0),"")</f>
        <v/>
      </c>
      <c r="J179" s="334" t="n"/>
      <c r="K179" s="332">
        <f>IFERROR(VLOOKUP(TEXT(O179,"0"),CONDUCTORES!$A$3:$G$54,7,0),"")</f>
        <v/>
      </c>
      <c r="L179" s="334" t="n"/>
      <c r="M179" s="334" t="n"/>
      <c r="N179" s="333">
        <f>IFERROR(IF(L179*M179=0,"",L179*M179),"")</f>
        <v/>
      </c>
      <c r="O179" s="334" t="n"/>
      <c r="P179" s="332">
        <f>IFERROR(VLOOKUP(TEXT(O179,"0"),CONDUCTORES!$A$3:$G$54,2,0),"")</f>
        <v/>
      </c>
      <c r="Q179" s="332">
        <f>IFERROR(VLOOKUP(TEXT(O179,"0"),CONDUCTORES!$A$3:$H$54,6,0),"")</f>
        <v/>
      </c>
      <c r="R179" s="334" t="n"/>
      <c r="S179" s="334" t="n"/>
      <c r="T179" s="334" t="n"/>
      <c r="U179" s="334" t="n"/>
      <c r="V179" s="334" t="n"/>
      <c r="W179" s="334" t="n"/>
      <c r="X179" s="334" t="n"/>
      <c r="Y179" s="334" t="n"/>
    </row>
    <row r="180" ht="15" customHeight="1" s="195">
      <c r="A180" s="280" t="n"/>
      <c r="B180" s="280" t="n"/>
      <c r="C180" s="280" t="n"/>
      <c r="D180" s="280" t="n"/>
      <c r="E180" s="280" t="n"/>
      <c r="F180" s="280" t="n"/>
      <c r="G180" s="280" t="n"/>
      <c r="H180" s="280" t="n"/>
      <c r="I180" s="332">
        <f>IFERROR(VLOOKUP(TEXT(H180,"0"),IPRESS!$A$3:$B$212,2,0),"")</f>
        <v/>
      </c>
      <c r="J180" s="280" t="n"/>
      <c r="K180" s="332">
        <f>IFERROR(VLOOKUP(TEXT(O180,"0"),CONDUCTORES!$A$3:$G$54,7,0),"")</f>
        <v/>
      </c>
      <c r="L180" s="280" t="n"/>
      <c r="M180" s="280" t="n"/>
      <c r="N180" s="333">
        <f>IFERROR(IF(L180*M180=0,"",L180*M180),"")</f>
        <v/>
      </c>
      <c r="O180" s="280" t="n"/>
      <c r="P180" s="332">
        <f>IFERROR(VLOOKUP(TEXT(O180,"0"),CONDUCTORES!$A$3:$G$54,2,0),"")</f>
        <v/>
      </c>
      <c r="Q180" s="332">
        <f>IFERROR(VLOOKUP(TEXT(O180,"0"),CONDUCTORES!$A$3:$H$54,6,0),"")</f>
        <v/>
      </c>
      <c r="R180" s="280" t="n"/>
      <c r="S180" s="280" t="n"/>
      <c r="T180" s="280" t="n"/>
      <c r="U180" s="280" t="n"/>
      <c r="V180" s="280" t="n"/>
      <c r="W180" s="280" t="n"/>
      <c r="X180" s="280" t="n"/>
      <c r="Y180" s="280" t="n"/>
    </row>
    <row r="181" ht="15" customHeight="1" s="195">
      <c r="A181" s="334" t="n"/>
      <c r="B181" s="334" t="n"/>
      <c r="C181" s="334" t="n"/>
      <c r="D181" s="334" t="n"/>
      <c r="E181" s="334" t="n"/>
      <c r="F181" s="334" t="n"/>
      <c r="G181" s="334" t="n"/>
      <c r="H181" s="334" t="n"/>
      <c r="I181" s="332">
        <f>IFERROR(VLOOKUP(TEXT(H181,"0"),IPRESS!$A$3:$B$212,2,0),"")</f>
        <v/>
      </c>
      <c r="J181" s="334" t="n"/>
      <c r="K181" s="332">
        <f>IFERROR(VLOOKUP(TEXT(O181,"0"),CONDUCTORES!$A$3:$G$54,7,0),"")</f>
        <v/>
      </c>
      <c r="L181" s="334" t="n"/>
      <c r="M181" s="334" t="n"/>
      <c r="N181" s="333">
        <f>IFERROR(IF(L181*M181=0,"",L181*M181),"")</f>
        <v/>
      </c>
      <c r="O181" s="334" t="n"/>
      <c r="P181" s="332">
        <f>IFERROR(VLOOKUP(TEXT(O181,"0"),CONDUCTORES!$A$3:$G$54,2,0),"")</f>
        <v/>
      </c>
      <c r="Q181" s="332">
        <f>IFERROR(VLOOKUP(TEXT(O181,"0"),CONDUCTORES!$A$3:$H$54,6,0),"")</f>
        <v/>
      </c>
      <c r="R181" s="334" t="n"/>
      <c r="S181" s="334" t="n"/>
      <c r="T181" s="334" t="n"/>
      <c r="U181" s="334" t="n"/>
      <c r="V181" s="334" t="n"/>
      <c r="W181" s="334" t="n"/>
      <c r="X181" s="334" t="n"/>
      <c r="Y181" s="334" t="n"/>
    </row>
    <row r="182" ht="15" customHeight="1" s="195">
      <c r="A182" s="280" t="n"/>
      <c r="B182" s="280" t="n"/>
      <c r="C182" s="280" t="n"/>
      <c r="D182" s="280" t="n"/>
      <c r="E182" s="280" t="n"/>
      <c r="F182" s="280" t="n"/>
      <c r="G182" s="280" t="n"/>
      <c r="H182" s="280" t="n"/>
      <c r="I182" s="332">
        <f>IFERROR(VLOOKUP(TEXT(H182,"0"),IPRESS!$A$3:$B$212,2,0),"")</f>
        <v/>
      </c>
      <c r="J182" s="280" t="n"/>
      <c r="K182" s="332">
        <f>IFERROR(VLOOKUP(TEXT(O182,"0"),CONDUCTORES!$A$3:$G$54,7,0),"")</f>
        <v/>
      </c>
      <c r="L182" s="280" t="n"/>
      <c r="M182" s="280" t="n"/>
      <c r="N182" s="333">
        <f>IFERROR(IF(L182*M182=0,"",L182*M182),"")</f>
        <v/>
      </c>
      <c r="O182" s="280" t="n"/>
      <c r="P182" s="332">
        <f>IFERROR(VLOOKUP(TEXT(O182,"0"),CONDUCTORES!$A$3:$G$54,2,0),"")</f>
        <v/>
      </c>
      <c r="Q182" s="332">
        <f>IFERROR(VLOOKUP(TEXT(O182,"0"),CONDUCTORES!$A$3:$H$54,6,0),"")</f>
        <v/>
      </c>
      <c r="R182" s="280" t="n"/>
      <c r="S182" s="280" t="n"/>
      <c r="T182" s="280" t="n"/>
      <c r="U182" s="280" t="n"/>
      <c r="V182" s="280" t="n"/>
      <c r="W182" s="280" t="n"/>
      <c r="X182" s="280" t="n"/>
      <c r="Y182" s="280" t="n"/>
    </row>
    <row r="183" ht="15" customHeight="1" s="195">
      <c r="A183" s="334" t="n"/>
      <c r="B183" s="334" t="n"/>
      <c r="C183" s="334" t="n"/>
      <c r="D183" s="334" t="n"/>
      <c r="E183" s="334" t="n"/>
      <c r="F183" s="334" t="n"/>
      <c r="G183" s="334" t="n"/>
      <c r="H183" s="334" t="n"/>
      <c r="I183" s="332">
        <f>IFERROR(VLOOKUP(TEXT(H183,"0"),IPRESS!$A$3:$B$212,2,0),"")</f>
        <v/>
      </c>
      <c r="J183" s="334" t="n"/>
      <c r="K183" s="332">
        <f>IFERROR(VLOOKUP(TEXT(O183,"0"),CONDUCTORES!$A$3:$G$54,7,0),"")</f>
        <v/>
      </c>
      <c r="L183" s="334" t="n"/>
      <c r="M183" s="334" t="n"/>
      <c r="N183" s="333">
        <f>IFERROR(IF(L183*M183=0,"",L183*M183),"")</f>
        <v/>
      </c>
      <c r="O183" s="334" t="n"/>
      <c r="P183" s="332">
        <f>IFERROR(VLOOKUP(TEXT(O183,"0"),CONDUCTORES!$A$3:$G$54,2,0),"")</f>
        <v/>
      </c>
      <c r="Q183" s="332">
        <f>IFERROR(VLOOKUP(TEXT(O183,"0"),CONDUCTORES!$A$3:$H$54,6,0),"")</f>
        <v/>
      </c>
      <c r="R183" s="334" t="n"/>
      <c r="S183" s="334" t="n"/>
      <c r="T183" s="334" t="n"/>
      <c r="U183" s="334" t="n"/>
      <c r="V183" s="334" t="n"/>
      <c r="W183" s="334" t="n"/>
      <c r="X183" s="334" t="n"/>
      <c r="Y183" s="334" t="n"/>
    </row>
    <row r="184" ht="15" customHeight="1" s="195">
      <c r="A184" s="280" t="n"/>
      <c r="B184" s="280" t="n"/>
      <c r="C184" s="280" t="n"/>
      <c r="D184" s="280" t="n"/>
      <c r="E184" s="280" t="n"/>
      <c r="F184" s="280" t="n"/>
      <c r="G184" s="280" t="n"/>
      <c r="H184" s="280" t="n"/>
      <c r="I184" s="332">
        <f>IFERROR(VLOOKUP(TEXT(H184,"0"),IPRESS!$A$3:$B$212,2,0),"")</f>
        <v/>
      </c>
      <c r="J184" s="280" t="n"/>
      <c r="K184" s="332">
        <f>IFERROR(VLOOKUP(TEXT(O184,"0"),CONDUCTORES!$A$3:$G$54,7,0),"")</f>
        <v/>
      </c>
      <c r="L184" s="280" t="n"/>
      <c r="M184" s="280" t="n"/>
      <c r="N184" s="333">
        <f>IFERROR(IF(L184*M184=0,"",L184*M184),"")</f>
        <v/>
      </c>
      <c r="O184" s="280" t="n"/>
      <c r="P184" s="332">
        <f>IFERROR(VLOOKUP(TEXT(O184,"0"),CONDUCTORES!$A$3:$G$54,2,0),"")</f>
        <v/>
      </c>
      <c r="Q184" s="332">
        <f>IFERROR(VLOOKUP(TEXT(O184,"0"),CONDUCTORES!$A$3:$H$54,6,0),"")</f>
        <v/>
      </c>
      <c r="R184" s="280" t="n"/>
      <c r="S184" s="280" t="n"/>
      <c r="T184" s="280" t="n"/>
      <c r="U184" s="280" t="n"/>
      <c r="V184" s="280" t="n"/>
      <c r="W184" s="280" t="n"/>
      <c r="X184" s="280" t="n"/>
      <c r="Y184" s="280" t="n"/>
    </row>
    <row r="185" ht="15" customHeight="1" s="195">
      <c r="A185" s="334" t="n"/>
      <c r="B185" s="334" t="n"/>
      <c r="C185" s="334" t="n"/>
      <c r="D185" s="334" t="n"/>
      <c r="E185" s="334" t="n"/>
      <c r="F185" s="334" t="n"/>
      <c r="G185" s="334" t="n"/>
      <c r="H185" s="334" t="n"/>
      <c r="I185" s="332">
        <f>IFERROR(VLOOKUP(TEXT(H185,"0"),IPRESS!$A$3:$B$212,2,0),"")</f>
        <v/>
      </c>
      <c r="J185" s="334" t="n"/>
      <c r="K185" s="332">
        <f>IFERROR(VLOOKUP(TEXT(O185,"0"),CONDUCTORES!$A$3:$G$54,7,0),"")</f>
        <v/>
      </c>
      <c r="L185" s="334" t="n"/>
      <c r="M185" s="334" t="n"/>
      <c r="N185" s="333">
        <f>IFERROR(IF(L185*M185=0,"",L185*M185),"")</f>
        <v/>
      </c>
      <c r="O185" s="334" t="n"/>
      <c r="P185" s="332">
        <f>IFERROR(VLOOKUP(TEXT(O185,"0"),CONDUCTORES!$A$3:$G$54,2,0),"")</f>
        <v/>
      </c>
      <c r="Q185" s="332">
        <f>IFERROR(VLOOKUP(TEXT(O185,"0"),CONDUCTORES!$A$3:$H$54,6,0),"")</f>
        <v/>
      </c>
      <c r="R185" s="334" t="n"/>
      <c r="S185" s="334" t="n"/>
      <c r="T185" s="334" t="n"/>
      <c r="U185" s="334" t="n"/>
      <c r="V185" s="334" t="n"/>
      <c r="W185" s="334" t="n"/>
      <c r="X185" s="334" t="n"/>
      <c r="Y185" s="334" t="n"/>
    </row>
    <row r="186" ht="15" customHeight="1" s="195">
      <c r="A186" s="280" t="n"/>
      <c r="B186" s="280" t="n"/>
      <c r="C186" s="280" t="n"/>
      <c r="D186" s="280" t="n"/>
      <c r="E186" s="280" t="n"/>
      <c r="F186" s="280" t="n"/>
      <c r="G186" s="280" t="n"/>
      <c r="H186" s="280" t="n"/>
      <c r="I186" s="332">
        <f>IFERROR(VLOOKUP(TEXT(H186,"0"),IPRESS!$A$3:$B$212,2,0),"")</f>
        <v/>
      </c>
      <c r="J186" s="280" t="n"/>
      <c r="K186" s="332">
        <f>IFERROR(VLOOKUP(TEXT(O186,"0"),CONDUCTORES!$A$3:$G$54,7,0),"")</f>
        <v/>
      </c>
      <c r="L186" s="280" t="n"/>
      <c r="M186" s="280" t="n"/>
      <c r="N186" s="333">
        <f>IFERROR(IF(L186*M186=0,"",L186*M186),"")</f>
        <v/>
      </c>
      <c r="O186" s="280" t="n"/>
      <c r="P186" s="332">
        <f>IFERROR(VLOOKUP(TEXT(O186,"0"),CONDUCTORES!$A$3:$G$54,2,0),"")</f>
        <v/>
      </c>
      <c r="Q186" s="332">
        <f>IFERROR(VLOOKUP(TEXT(O186,"0"),CONDUCTORES!$A$3:$H$54,6,0),"")</f>
        <v/>
      </c>
      <c r="R186" s="280" t="n"/>
      <c r="S186" s="280" t="n"/>
      <c r="T186" s="280" t="n"/>
      <c r="U186" s="280" t="n"/>
      <c r="V186" s="280" t="n"/>
      <c r="W186" s="280" t="n"/>
      <c r="X186" s="280" t="n"/>
      <c r="Y186" s="280" t="n"/>
    </row>
    <row r="187" ht="15" customHeight="1" s="195">
      <c r="A187" s="334" t="n"/>
      <c r="B187" s="334" t="n"/>
      <c r="C187" s="334" t="n"/>
      <c r="D187" s="334" t="n"/>
      <c r="E187" s="334" t="n"/>
      <c r="F187" s="334" t="n"/>
      <c r="G187" s="334" t="n"/>
      <c r="H187" s="334" t="n"/>
      <c r="I187" s="332">
        <f>IFERROR(VLOOKUP(TEXT(H187,"0"),IPRESS!$A$3:$B$212,2,0),"")</f>
        <v/>
      </c>
      <c r="J187" s="334" t="n"/>
      <c r="K187" s="332">
        <f>IFERROR(VLOOKUP(TEXT(O187,"0"),CONDUCTORES!$A$3:$G$54,7,0),"")</f>
        <v/>
      </c>
      <c r="L187" s="334" t="n"/>
      <c r="M187" s="334" t="n"/>
      <c r="N187" s="333">
        <f>IFERROR(IF(L187*M187=0,"",L187*M187),"")</f>
        <v/>
      </c>
      <c r="O187" s="334" t="n"/>
      <c r="P187" s="332">
        <f>IFERROR(VLOOKUP(TEXT(O187,"0"),CONDUCTORES!$A$3:$G$54,2,0),"")</f>
        <v/>
      </c>
      <c r="Q187" s="332">
        <f>IFERROR(VLOOKUP(TEXT(O187,"0"),CONDUCTORES!$A$3:$H$54,6,0),"")</f>
        <v/>
      </c>
      <c r="R187" s="334" t="n"/>
      <c r="S187" s="334" t="n"/>
      <c r="T187" s="334" t="n"/>
      <c r="U187" s="334" t="n"/>
      <c r="V187" s="334" t="n"/>
      <c r="W187" s="334" t="n"/>
      <c r="X187" s="334" t="n"/>
      <c r="Y187" s="334" t="n"/>
    </row>
    <row r="188" ht="15" customHeight="1" s="195">
      <c r="A188" s="280" t="n"/>
      <c r="B188" s="280" t="n"/>
      <c r="C188" s="280" t="n"/>
      <c r="D188" s="280" t="n"/>
      <c r="E188" s="280" t="n"/>
      <c r="F188" s="280" t="n"/>
      <c r="G188" s="280" t="n"/>
      <c r="H188" s="280" t="n"/>
      <c r="I188" s="332">
        <f>IFERROR(VLOOKUP(TEXT(H188,"0"),IPRESS!$A$3:$B$212,2,0),"")</f>
        <v/>
      </c>
      <c r="J188" s="280" t="n"/>
      <c r="K188" s="332">
        <f>IFERROR(VLOOKUP(TEXT(O188,"0"),CONDUCTORES!$A$3:$G$54,7,0),"")</f>
        <v/>
      </c>
      <c r="L188" s="280" t="n"/>
      <c r="M188" s="280" t="n"/>
      <c r="N188" s="333">
        <f>IFERROR(IF(L188*M188=0,"",L188*M188),"")</f>
        <v/>
      </c>
      <c r="O188" s="280" t="n"/>
      <c r="P188" s="332">
        <f>IFERROR(VLOOKUP(TEXT(O188,"0"),CONDUCTORES!$A$3:$G$54,2,0),"")</f>
        <v/>
      </c>
      <c r="Q188" s="332">
        <f>IFERROR(VLOOKUP(TEXT(O188,"0"),CONDUCTORES!$A$3:$H$54,6,0),"")</f>
        <v/>
      </c>
      <c r="R188" s="280" t="n"/>
      <c r="S188" s="280" t="n"/>
      <c r="T188" s="280" t="n"/>
      <c r="U188" s="280" t="n"/>
      <c r="V188" s="280" t="n"/>
      <c r="W188" s="280" t="n"/>
      <c r="X188" s="280" t="n"/>
      <c r="Y188" s="280" t="n"/>
    </row>
    <row r="189" ht="15" customHeight="1" s="195">
      <c r="A189" s="334" t="n"/>
      <c r="B189" s="334" t="n"/>
      <c r="C189" s="334" t="n"/>
      <c r="D189" s="334" t="n"/>
      <c r="E189" s="334" t="n"/>
      <c r="F189" s="334" t="n"/>
      <c r="G189" s="334" t="n"/>
      <c r="H189" s="334" t="n"/>
      <c r="I189" s="332">
        <f>IFERROR(VLOOKUP(TEXT(H189,"0"),IPRESS!$A$3:$B$212,2,0),"")</f>
        <v/>
      </c>
      <c r="J189" s="334" t="n"/>
      <c r="K189" s="332">
        <f>IFERROR(VLOOKUP(TEXT(O189,"0"),CONDUCTORES!$A$3:$G$54,7,0),"")</f>
        <v/>
      </c>
      <c r="L189" s="334" t="n"/>
      <c r="M189" s="334" t="n"/>
      <c r="N189" s="333">
        <f>IFERROR(IF(L189*M189=0,"",L189*M189),"")</f>
        <v/>
      </c>
      <c r="O189" s="334" t="n"/>
      <c r="P189" s="332">
        <f>IFERROR(VLOOKUP(TEXT(O189,"0"),CONDUCTORES!$A$3:$G$54,2,0),"")</f>
        <v/>
      </c>
      <c r="Q189" s="332">
        <f>IFERROR(VLOOKUP(TEXT(O189,"0"),CONDUCTORES!$A$3:$H$54,6,0),"")</f>
        <v/>
      </c>
      <c r="R189" s="334" t="n"/>
      <c r="S189" s="334" t="n"/>
      <c r="T189" s="334" t="n"/>
      <c r="U189" s="334" t="n"/>
      <c r="V189" s="334" t="n"/>
      <c r="W189" s="334" t="n"/>
      <c r="X189" s="334" t="n"/>
      <c r="Y189" s="334" t="n"/>
    </row>
    <row r="190" ht="15" customHeight="1" s="195">
      <c r="A190" s="280" t="n"/>
      <c r="B190" s="280" t="n"/>
      <c r="C190" s="280" t="n"/>
      <c r="D190" s="280" t="n"/>
      <c r="E190" s="280" t="n"/>
      <c r="F190" s="280" t="n"/>
      <c r="G190" s="280" t="n"/>
      <c r="H190" s="280" t="n"/>
      <c r="I190" s="332">
        <f>IFERROR(VLOOKUP(TEXT(H190,"0"),IPRESS!$A$3:$B$212,2,0),"")</f>
        <v/>
      </c>
      <c r="J190" s="280" t="n"/>
      <c r="K190" s="332">
        <f>IFERROR(VLOOKUP(TEXT(O190,"0"),CONDUCTORES!$A$3:$G$54,7,0),"")</f>
        <v/>
      </c>
      <c r="L190" s="280" t="n"/>
      <c r="M190" s="280" t="n"/>
      <c r="N190" s="333">
        <f>IFERROR(IF(L190*M190=0,"",L190*M190),"")</f>
        <v/>
      </c>
      <c r="O190" s="280" t="n"/>
      <c r="P190" s="332">
        <f>IFERROR(VLOOKUP(TEXT(O190,"0"),CONDUCTORES!$A$3:$G$54,2,0),"")</f>
        <v/>
      </c>
      <c r="Q190" s="332">
        <f>IFERROR(VLOOKUP(TEXT(O190,"0"),CONDUCTORES!$A$3:$H$54,6,0),"")</f>
        <v/>
      </c>
      <c r="R190" s="280" t="n"/>
      <c r="S190" s="280" t="n"/>
      <c r="T190" s="280" t="n"/>
      <c r="U190" s="280" t="n"/>
      <c r="V190" s="280" t="n"/>
      <c r="W190" s="280" t="n"/>
      <c r="X190" s="280" t="n"/>
      <c r="Y190" s="280" t="n"/>
    </row>
    <row r="191" ht="15" customHeight="1" s="195">
      <c r="A191" s="334" t="n"/>
      <c r="B191" s="334" t="n"/>
      <c r="C191" s="334" t="n"/>
      <c r="D191" s="334" t="n"/>
      <c r="E191" s="334" t="n"/>
      <c r="F191" s="334" t="n"/>
      <c r="G191" s="334" t="n"/>
      <c r="H191" s="334" t="n"/>
      <c r="I191" s="332">
        <f>IFERROR(VLOOKUP(TEXT(H191,"0"),IPRESS!$A$3:$B$212,2,0),"")</f>
        <v/>
      </c>
      <c r="J191" s="334" t="n"/>
      <c r="K191" s="332">
        <f>IFERROR(VLOOKUP(TEXT(O191,"0"),CONDUCTORES!$A$3:$G$54,7,0),"")</f>
        <v/>
      </c>
      <c r="L191" s="334" t="n"/>
      <c r="M191" s="334" t="n"/>
      <c r="N191" s="333">
        <f>IFERROR(IF(L191*M191=0,"",L191*M191),"")</f>
        <v/>
      </c>
      <c r="O191" s="334" t="n"/>
      <c r="P191" s="332">
        <f>IFERROR(VLOOKUP(TEXT(O191,"0"),CONDUCTORES!$A$3:$G$54,2,0),"")</f>
        <v/>
      </c>
      <c r="Q191" s="332">
        <f>IFERROR(VLOOKUP(TEXT(O191,"0"),CONDUCTORES!$A$3:$H$54,6,0),"")</f>
        <v/>
      </c>
      <c r="R191" s="334" t="n"/>
      <c r="S191" s="334" t="n"/>
      <c r="T191" s="334" t="n"/>
      <c r="U191" s="334" t="n"/>
      <c r="V191" s="334" t="n"/>
      <c r="W191" s="334" t="n"/>
      <c r="X191" s="334" t="n"/>
      <c r="Y191" s="334" t="n"/>
    </row>
    <row r="192" ht="15" customHeight="1" s="195">
      <c r="A192" s="280" t="n"/>
      <c r="B192" s="280" t="n"/>
      <c r="C192" s="280" t="n"/>
      <c r="D192" s="280" t="n"/>
      <c r="E192" s="280" t="n"/>
      <c r="F192" s="280" t="n"/>
      <c r="G192" s="280" t="n"/>
      <c r="H192" s="280" t="n"/>
      <c r="I192" s="332">
        <f>IFERROR(VLOOKUP(TEXT(H192,"0"),IPRESS!$A$3:$B$212,2,0),"")</f>
        <v/>
      </c>
      <c r="J192" s="280" t="n"/>
      <c r="K192" s="332">
        <f>IFERROR(VLOOKUP(TEXT(O192,"0"),CONDUCTORES!$A$3:$G$54,7,0),"")</f>
        <v/>
      </c>
      <c r="L192" s="280" t="n"/>
      <c r="M192" s="280" t="n"/>
      <c r="N192" s="333">
        <f>IFERROR(IF(L192*M192=0,"",L192*M192),"")</f>
        <v/>
      </c>
      <c r="O192" s="280" t="n"/>
      <c r="P192" s="332">
        <f>IFERROR(VLOOKUP(TEXT(O192,"0"),CONDUCTORES!$A$3:$G$54,2,0),"")</f>
        <v/>
      </c>
      <c r="Q192" s="332">
        <f>IFERROR(VLOOKUP(TEXT(O192,"0"),CONDUCTORES!$A$3:$H$54,6,0),"")</f>
        <v/>
      </c>
      <c r="R192" s="280" t="n"/>
      <c r="S192" s="280" t="n"/>
      <c r="T192" s="280" t="n"/>
      <c r="U192" s="280" t="n"/>
      <c r="V192" s="280" t="n"/>
      <c r="W192" s="280" t="n"/>
      <c r="X192" s="280" t="n"/>
      <c r="Y192" s="280" t="n"/>
    </row>
    <row r="193" ht="15" customHeight="1" s="195">
      <c r="A193" s="334" t="n"/>
      <c r="B193" s="334" t="n"/>
      <c r="C193" s="334" t="n"/>
      <c r="D193" s="334" t="n"/>
      <c r="E193" s="334" t="n"/>
      <c r="F193" s="334" t="n"/>
      <c r="G193" s="334" t="n"/>
      <c r="H193" s="334" t="n"/>
      <c r="I193" s="332">
        <f>IFERROR(VLOOKUP(TEXT(H193,"0"),IPRESS!$A$3:$B$212,2,0),"")</f>
        <v/>
      </c>
      <c r="J193" s="334" t="n"/>
      <c r="K193" s="332">
        <f>IFERROR(VLOOKUP(TEXT(O193,"0"),CONDUCTORES!$A$3:$G$54,7,0),"")</f>
        <v/>
      </c>
      <c r="L193" s="334" t="n"/>
      <c r="M193" s="334" t="n"/>
      <c r="N193" s="333">
        <f>IFERROR(IF(L193*M193=0,"",L193*M193),"")</f>
        <v/>
      </c>
      <c r="O193" s="334" t="n"/>
      <c r="P193" s="332">
        <f>IFERROR(VLOOKUP(TEXT(O193,"0"),CONDUCTORES!$A$3:$G$54,2,0),"")</f>
        <v/>
      </c>
      <c r="Q193" s="332">
        <f>IFERROR(VLOOKUP(TEXT(O193,"0"),CONDUCTORES!$A$3:$H$54,6,0),"")</f>
        <v/>
      </c>
      <c r="R193" s="334" t="n"/>
      <c r="S193" s="334" t="n"/>
      <c r="T193" s="334" t="n"/>
      <c r="U193" s="334" t="n"/>
      <c r="V193" s="334" t="n"/>
      <c r="W193" s="334" t="n"/>
      <c r="X193" s="334" t="n"/>
      <c r="Y193" s="334" t="n"/>
    </row>
    <row r="194" ht="15" customHeight="1" s="195">
      <c r="A194" s="280" t="n"/>
      <c r="B194" s="280" t="n"/>
      <c r="C194" s="280" t="n"/>
      <c r="D194" s="280" t="n"/>
      <c r="E194" s="280" t="n"/>
      <c r="F194" s="280" t="n"/>
      <c r="G194" s="280" t="n"/>
      <c r="H194" s="280" t="n"/>
      <c r="I194" s="332">
        <f>IFERROR(VLOOKUP(TEXT(H194,"0"),IPRESS!$A$3:$B$212,2,0),"")</f>
        <v/>
      </c>
      <c r="J194" s="280" t="n"/>
      <c r="K194" s="332">
        <f>IFERROR(VLOOKUP(TEXT(O194,"0"),CONDUCTORES!$A$3:$G$54,7,0),"")</f>
        <v/>
      </c>
      <c r="L194" s="280" t="n"/>
      <c r="M194" s="280" t="n"/>
      <c r="N194" s="333">
        <f>IFERROR(IF(L194*M194=0,"",L194*M194),"")</f>
        <v/>
      </c>
      <c r="O194" s="280" t="n"/>
      <c r="P194" s="332">
        <f>IFERROR(VLOOKUP(TEXT(O194,"0"),CONDUCTORES!$A$3:$G$54,2,0),"")</f>
        <v/>
      </c>
      <c r="Q194" s="332">
        <f>IFERROR(VLOOKUP(TEXT(O194,"0"),CONDUCTORES!$A$3:$H$54,6,0),"")</f>
        <v/>
      </c>
      <c r="R194" s="280" t="n"/>
      <c r="S194" s="280" t="n"/>
      <c r="T194" s="280" t="n"/>
      <c r="U194" s="280" t="n"/>
      <c r="V194" s="280" t="n"/>
      <c r="W194" s="280" t="n"/>
      <c r="X194" s="280" t="n"/>
      <c r="Y194" s="280" t="n"/>
    </row>
    <row r="195" ht="15" customHeight="1" s="195">
      <c r="A195" s="334" t="n"/>
      <c r="B195" s="334" t="n"/>
      <c r="C195" s="334" t="n"/>
      <c r="D195" s="334" t="n"/>
      <c r="E195" s="334" t="n"/>
      <c r="F195" s="334" t="n"/>
      <c r="G195" s="334" t="n"/>
      <c r="H195" s="334" t="n"/>
      <c r="I195" s="332">
        <f>IFERROR(VLOOKUP(TEXT(H195,"0"),IPRESS!$A$3:$B$212,2,0),"")</f>
        <v/>
      </c>
      <c r="J195" s="334" t="n"/>
      <c r="K195" s="332">
        <f>IFERROR(VLOOKUP(TEXT(O195,"0"),CONDUCTORES!$A$3:$G$54,7,0),"")</f>
        <v/>
      </c>
      <c r="L195" s="334" t="n"/>
      <c r="M195" s="334" t="n"/>
      <c r="N195" s="333">
        <f>IFERROR(IF(L195*M195=0,"",L195*M195),"")</f>
        <v/>
      </c>
      <c r="O195" s="334" t="n"/>
      <c r="P195" s="332">
        <f>IFERROR(VLOOKUP(TEXT(O195,"0"),CONDUCTORES!$A$3:$G$54,2,0),"")</f>
        <v/>
      </c>
      <c r="Q195" s="332">
        <f>IFERROR(VLOOKUP(TEXT(O195,"0"),CONDUCTORES!$A$3:$H$54,6,0),"")</f>
        <v/>
      </c>
      <c r="R195" s="334" t="n"/>
      <c r="S195" s="334" t="n"/>
      <c r="T195" s="334" t="n"/>
      <c r="U195" s="334" t="n"/>
      <c r="V195" s="334" t="n"/>
      <c r="W195" s="334" t="n"/>
      <c r="X195" s="334" t="n"/>
      <c r="Y195" s="334" t="n"/>
    </row>
    <row r="196" ht="15" customHeight="1" s="195">
      <c r="A196" s="280" t="n"/>
      <c r="B196" s="280" t="n"/>
      <c r="C196" s="280" t="n"/>
      <c r="D196" s="280" t="n"/>
      <c r="E196" s="280" t="n"/>
      <c r="F196" s="280" t="n"/>
      <c r="G196" s="280" t="n"/>
      <c r="H196" s="280" t="n"/>
      <c r="I196" s="332">
        <f>IFERROR(VLOOKUP(TEXT(H196,"0"),IPRESS!$A$3:$B$212,2,0),"")</f>
        <v/>
      </c>
      <c r="J196" s="280" t="n"/>
      <c r="K196" s="332">
        <f>IFERROR(VLOOKUP(TEXT(O196,"0"),CONDUCTORES!$A$3:$G$54,7,0),"")</f>
        <v/>
      </c>
      <c r="L196" s="280" t="n"/>
      <c r="M196" s="280" t="n"/>
      <c r="N196" s="333">
        <f>IFERROR(IF(L196*M196=0,"",L196*M196),"")</f>
        <v/>
      </c>
      <c r="O196" s="280" t="n"/>
      <c r="P196" s="332">
        <f>IFERROR(VLOOKUP(TEXT(O196,"0"),CONDUCTORES!$A$3:$G$54,2,0),"")</f>
        <v/>
      </c>
      <c r="Q196" s="332">
        <f>IFERROR(VLOOKUP(TEXT(O196,"0"),CONDUCTORES!$A$3:$H$54,6,0),"")</f>
        <v/>
      </c>
      <c r="R196" s="280" t="n"/>
      <c r="S196" s="280" t="n"/>
      <c r="T196" s="280" t="n"/>
      <c r="U196" s="280" t="n"/>
      <c r="V196" s="280" t="n"/>
      <c r="W196" s="280" t="n"/>
      <c r="X196" s="280" t="n"/>
      <c r="Y196" s="280" t="n"/>
    </row>
    <row r="197" ht="15" customHeight="1" s="195">
      <c r="A197" s="334" t="n"/>
      <c r="B197" s="334" t="n"/>
      <c r="C197" s="334" t="n"/>
      <c r="D197" s="334" t="n"/>
      <c r="E197" s="334" t="n"/>
      <c r="F197" s="334" t="n"/>
      <c r="G197" s="334" t="n"/>
      <c r="H197" s="334" t="n"/>
      <c r="I197" s="332">
        <f>IFERROR(VLOOKUP(TEXT(H197,"0"),IPRESS!$A$3:$B$212,2,0),"")</f>
        <v/>
      </c>
      <c r="J197" s="334" t="n"/>
      <c r="K197" s="332">
        <f>IFERROR(VLOOKUP(TEXT(O197,"0"),CONDUCTORES!$A$3:$G$54,7,0),"")</f>
        <v/>
      </c>
      <c r="L197" s="334" t="n"/>
      <c r="M197" s="334" t="n"/>
      <c r="N197" s="333">
        <f>IFERROR(IF(L197*M197=0,"",L197*M197),"")</f>
        <v/>
      </c>
      <c r="O197" s="334" t="n"/>
      <c r="P197" s="332">
        <f>IFERROR(VLOOKUP(TEXT(O197,"0"),CONDUCTORES!$A$3:$G$54,2,0),"")</f>
        <v/>
      </c>
      <c r="Q197" s="332">
        <f>IFERROR(VLOOKUP(TEXT(O197,"0"),CONDUCTORES!$A$3:$H$54,6,0),"")</f>
        <v/>
      </c>
      <c r="R197" s="334" t="n"/>
      <c r="S197" s="334" t="n"/>
      <c r="T197" s="334" t="n"/>
      <c r="U197" s="334" t="n"/>
      <c r="V197" s="334" t="n"/>
      <c r="W197" s="334" t="n"/>
      <c r="X197" s="334" t="n"/>
      <c r="Y197" s="334" t="n"/>
    </row>
    <row r="198" ht="15" customHeight="1" s="195">
      <c r="A198" s="280" t="n"/>
      <c r="B198" s="280" t="n"/>
      <c r="C198" s="280" t="n"/>
      <c r="D198" s="280" t="n"/>
      <c r="E198" s="280" t="n"/>
      <c r="F198" s="280" t="n"/>
      <c r="G198" s="280" t="n"/>
      <c r="H198" s="280" t="n"/>
      <c r="I198" s="332">
        <f>IFERROR(VLOOKUP(TEXT(H198,"0"),IPRESS!$A$3:$B$212,2,0),"")</f>
        <v/>
      </c>
      <c r="J198" s="280" t="n"/>
      <c r="K198" s="332">
        <f>IFERROR(VLOOKUP(TEXT(O198,"0"),CONDUCTORES!$A$3:$G$54,7,0),"")</f>
        <v/>
      </c>
      <c r="L198" s="280" t="n"/>
      <c r="M198" s="280" t="n"/>
      <c r="N198" s="333">
        <f>IFERROR(IF(L198*M198=0,"",L198*M198),"")</f>
        <v/>
      </c>
      <c r="O198" s="280" t="n"/>
      <c r="P198" s="332">
        <f>IFERROR(VLOOKUP(TEXT(O198,"0"),CONDUCTORES!$A$3:$G$54,2,0),"")</f>
        <v/>
      </c>
      <c r="Q198" s="332">
        <f>IFERROR(VLOOKUP(TEXT(O198,"0"),CONDUCTORES!$A$3:$H$54,6,0),"")</f>
        <v/>
      </c>
      <c r="R198" s="280" t="n"/>
      <c r="S198" s="280" t="n"/>
      <c r="T198" s="280" t="n"/>
      <c r="U198" s="280" t="n"/>
      <c r="V198" s="280" t="n"/>
      <c r="W198" s="280" t="n"/>
      <c r="X198" s="280" t="n"/>
      <c r="Y198" s="280" t="n"/>
    </row>
    <row r="199" ht="15" customHeight="1" s="195">
      <c r="A199" s="334" t="n"/>
      <c r="B199" s="334" t="n"/>
      <c r="C199" s="334" t="n"/>
      <c r="D199" s="334" t="n"/>
      <c r="E199" s="334" t="n"/>
      <c r="F199" s="334" t="n"/>
      <c r="G199" s="334" t="n"/>
      <c r="H199" s="334" t="n"/>
      <c r="I199" s="332">
        <f>IFERROR(VLOOKUP(TEXT(H199,"0"),IPRESS!$A$3:$B$212,2,0),"")</f>
        <v/>
      </c>
      <c r="J199" s="334" t="n"/>
      <c r="K199" s="332">
        <f>IFERROR(VLOOKUP(TEXT(O199,"0"),CONDUCTORES!$A$3:$G$54,7,0),"")</f>
        <v/>
      </c>
      <c r="L199" s="334" t="n"/>
      <c r="M199" s="334" t="n"/>
      <c r="N199" s="333">
        <f>IFERROR(IF(L199*M199=0,"",L199*M199),"")</f>
        <v/>
      </c>
      <c r="O199" s="334" t="n"/>
      <c r="P199" s="332">
        <f>IFERROR(VLOOKUP(TEXT(O199,"0"),CONDUCTORES!$A$3:$G$54,2,0),"")</f>
        <v/>
      </c>
      <c r="Q199" s="332">
        <f>IFERROR(VLOOKUP(TEXT(O199,"0"),CONDUCTORES!$A$3:$H$54,6,0),"")</f>
        <v/>
      </c>
      <c r="R199" s="334" t="n"/>
      <c r="S199" s="334" t="n"/>
      <c r="T199" s="334" t="n"/>
      <c r="U199" s="334" t="n"/>
      <c r="V199" s="334" t="n"/>
      <c r="W199" s="334" t="n"/>
      <c r="X199" s="334" t="n"/>
      <c r="Y199" s="334" t="n"/>
    </row>
    <row r="200" ht="15" customHeight="1" s="195">
      <c r="A200" s="280" t="n"/>
      <c r="B200" s="280" t="n"/>
      <c r="C200" s="280" t="n"/>
      <c r="D200" s="280" t="n"/>
      <c r="E200" s="280" t="n"/>
      <c r="F200" s="280" t="n"/>
      <c r="G200" s="280" t="n"/>
      <c r="H200" s="280" t="n"/>
      <c r="I200" s="332">
        <f>IFERROR(VLOOKUP(TEXT(H200,"0"),IPRESS!$A$3:$B$212,2,0),"")</f>
        <v/>
      </c>
      <c r="J200" s="280" t="n"/>
      <c r="K200" s="332">
        <f>IFERROR(VLOOKUP(TEXT(O200,"0"),CONDUCTORES!$A$3:$G$54,7,0),"")</f>
        <v/>
      </c>
      <c r="L200" s="280" t="n"/>
      <c r="M200" s="280" t="n"/>
      <c r="N200" s="333">
        <f>IFERROR(IF(L200*M200=0,"",L200*M200),"")</f>
        <v/>
      </c>
      <c r="O200" s="280" t="n"/>
      <c r="P200" s="332">
        <f>IFERROR(VLOOKUP(TEXT(O200,"0"),CONDUCTORES!$A$3:$G$54,2,0),"")</f>
        <v/>
      </c>
      <c r="Q200" s="332">
        <f>IFERROR(VLOOKUP(TEXT(O200,"0"),CONDUCTORES!$A$3:$H$54,6,0),"")</f>
        <v/>
      </c>
      <c r="R200" s="280" t="n"/>
      <c r="S200" s="280" t="n"/>
      <c r="T200" s="280" t="n"/>
      <c r="U200" s="280" t="n"/>
      <c r="V200" s="280" t="n"/>
      <c r="W200" s="280" t="n"/>
      <c r="X200" s="280" t="n"/>
      <c r="Y200" s="280" t="n"/>
    </row>
    <row r="201" ht="15" customHeight="1" s="195">
      <c r="A201" s="334" t="n"/>
      <c r="B201" s="334" t="n"/>
      <c r="C201" s="334" t="n"/>
      <c r="D201" s="334" t="n"/>
      <c r="E201" s="334" t="n"/>
      <c r="F201" s="334" t="n"/>
      <c r="G201" s="334" t="n"/>
      <c r="H201" s="334" t="n"/>
      <c r="I201" s="332">
        <f>IFERROR(VLOOKUP(TEXT(H201,"0"),IPRESS!$A$3:$B$212,2,0),"")</f>
        <v/>
      </c>
      <c r="J201" s="334" t="n"/>
      <c r="K201" s="332">
        <f>IFERROR(VLOOKUP(TEXT(O201,"0"),CONDUCTORES!$A$3:$G$54,7,0),"")</f>
        <v/>
      </c>
      <c r="L201" s="334" t="n"/>
      <c r="M201" s="334" t="n"/>
      <c r="N201" s="333">
        <f>IFERROR(IF(L201*M201=0,"",L201*M201),"")</f>
        <v/>
      </c>
      <c r="O201" s="334" t="n"/>
      <c r="P201" s="332">
        <f>IFERROR(VLOOKUP(TEXT(O201,"0"),CONDUCTORES!$A$3:$G$54,2,0),"")</f>
        <v/>
      </c>
      <c r="Q201" s="332">
        <f>IFERROR(VLOOKUP(TEXT(O201,"0"),CONDUCTORES!$A$3:$H$54,6,0),"")</f>
        <v/>
      </c>
      <c r="R201" s="334" t="n"/>
      <c r="S201" s="334" t="n"/>
      <c r="T201" s="334" t="n"/>
      <c r="U201" s="334" t="n"/>
      <c r="V201" s="334" t="n"/>
      <c r="W201" s="334" t="n"/>
      <c r="X201" s="334" t="n"/>
      <c r="Y201" s="334" t="n"/>
    </row>
    <row r="202" ht="15" customHeight="1" s="195">
      <c r="A202" s="280" t="n"/>
      <c r="B202" s="280" t="n"/>
      <c r="C202" s="280" t="n"/>
      <c r="D202" s="280" t="n"/>
      <c r="E202" s="280" t="n"/>
      <c r="F202" s="280" t="n"/>
      <c r="G202" s="280" t="n"/>
      <c r="H202" s="280" t="n"/>
      <c r="I202" s="332">
        <f>IFERROR(VLOOKUP(TEXT(H202,"0"),IPRESS!$A$3:$B$212,2,0),"")</f>
        <v/>
      </c>
      <c r="J202" s="280" t="n"/>
      <c r="K202" s="332">
        <f>IFERROR(VLOOKUP(TEXT(O202,"0"),CONDUCTORES!$A$3:$G$54,7,0),"")</f>
        <v/>
      </c>
      <c r="L202" s="280" t="n"/>
      <c r="M202" s="280" t="n"/>
      <c r="N202" s="333">
        <f>IFERROR(IF(L202*M202=0,"",L202*M202),"")</f>
        <v/>
      </c>
      <c r="O202" s="280" t="n"/>
      <c r="P202" s="332">
        <f>IFERROR(VLOOKUP(TEXT(O202,"0"),CONDUCTORES!$A$3:$G$54,2,0),"")</f>
        <v/>
      </c>
      <c r="Q202" s="332">
        <f>IFERROR(VLOOKUP(TEXT(O202,"0"),CONDUCTORES!$A$3:$H$54,6,0),"")</f>
        <v/>
      </c>
      <c r="R202" s="280" t="n"/>
      <c r="S202" s="280" t="n"/>
      <c r="T202" s="280" t="n"/>
      <c r="U202" s="280" t="n"/>
      <c r="V202" s="280" t="n"/>
      <c r="W202" s="280" t="n"/>
      <c r="X202" s="280" t="n"/>
      <c r="Y202" s="280" t="n"/>
    </row>
    <row r="203" ht="15" customHeight="1" s="195">
      <c r="A203" s="334" t="n"/>
      <c r="B203" s="334" t="n"/>
      <c r="C203" s="334" t="n"/>
      <c r="D203" s="334" t="n"/>
      <c r="E203" s="334" t="n"/>
      <c r="F203" s="334" t="n"/>
      <c r="G203" s="334" t="n"/>
      <c r="H203" s="334" t="n"/>
      <c r="I203" s="332">
        <f>IFERROR(VLOOKUP(TEXT(H203,"0"),IPRESS!$A$3:$B$212,2,0),"")</f>
        <v/>
      </c>
      <c r="J203" s="334" t="n"/>
      <c r="K203" s="332">
        <f>IFERROR(VLOOKUP(TEXT(O203,"0"),CONDUCTORES!$A$3:$G$54,7,0),"")</f>
        <v/>
      </c>
      <c r="L203" s="334" t="n"/>
      <c r="M203" s="334" t="n"/>
      <c r="N203" s="333">
        <f>IFERROR(IF(L203*M203=0,"",L203*M203),"")</f>
        <v/>
      </c>
      <c r="O203" s="334" t="n"/>
      <c r="P203" s="332">
        <f>IFERROR(VLOOKUP(TEXT(O203,"0"),CONDUCTORES!$A$3:$G$54,2,0),"")</f>
        <v/>
      </c>
      <c r="Q203" s="332">
        <f>IFERROR(VLOOKUP(TEXT(O203,"0"),CONDUCTORES!$A$3:$H$54,6,0),"")</f>
        <v/>
      </c>
      <c r="R203" s="334" t="n"/>
      <c r="S203" s="334" t="n"/>
      <c r="T203" s="334" t="n"/>
      <c r="U203" s="334" t="n"/>
      <c r="V203" s="334" t="n"/>
      <c r="W203" s="334" t="n"/>
      <c r="X203" s="334" t="n"/>
      <c r="Y203" s="334" t="n"/>
    </row>
    <row r="204" ht="15" customHeight="1" s="195">
      <c r="A204" s="280" t="n"/>
      <c r="B204" s="280" t="n"/>
      <c r="C204" s="280" t="n"/>
      <c r="D204" s="280" t="n"/>
      <c r="E204" s="280" t="n"/>
      <c r="F204" s="280" t="n"/>
      <c r="G204" s="280" t="n"/>
      <c r="H204" s="280" t="n"/>
      <c r="I204" s="332">
        <f>IFERROR(VLOOKUP(TEXT(H204,"0"),IPRESS!$A$3:$B$212,2,0),"")</f>
        <v/>
      </c>
      <c r="J204" s="280" t="n"/>
      <c r="K204" s="332">
        <f>IFERROR(VLOOKUP(TEXT(O204,"0"),CONDUCTORES!$A$3:$G$54,7,0),"")</f>
        <v/>
      </c>
      <c r="L204" s="280" t="n"/>
      <c r="M204" s="280" t="n"/>
      <c r="N204" s="333">
        <f>IFERROR(IF(L204*M204=0,"",L204*M204),"")</f>
        <v/>
      </c>
      <c r="O204" s="280" t="n"/>
      <c r="P204" s="332">
        <f>IFERROR(VLOOKUP(TEXT(O204,"0"),CONDUCTORES!$A$3:$G$54,2,0),"")</f>
        <v/>
      </c>
      <c r="Q204" s="332">
        <f>IFERROR(VLOOKUP(TEXT(O204,"0"),CONDUCTORES!$A$3:$H$54,6,0),"")</f>
        <v/>
      </c>
      <c r="R204" s="280" t="n"/>
      <c r="S204" s="280" t="n"/>
      <c r="T204" s="280" t="n"/>
      <c r="U204" s="280" t="n"/>
      <c r="V204" s="280" t="n"/>
      <c r="W204" s="280" t="n"/>
      <c r="X204" s="280" t="n"/>
      <c r="Y204" s="280" t="n"/>
    </row>
    <row r="205" ht="15" customHeight="1" s="195">
      <c r="A205" s="334" t="n"/>
      <c r="B205" s="334" t="n"/>
      <c r="C205" s="334" t="n"/>
      <c r="D205" s="334" t="n"/>
      <c r="E205" s="334" t="n"/>
      <c r="F205" s="334" t="n"/>
      <c r="G205" s="334" t="n"/>
      <c r="H205" s="334" t="n"/>
      <c r="I205" s="332">
        <f>IFERROR(VLOOKUP(TEXT(H205,"0"),IPRESS!$A$3:$B$212,2,0),"")</f>
        <v/>
      </c>
      <c r="J205" s="334" t="n"/>
      <c r="K205" s="332">
        <f>IFERROR(VLOOKUP(TEXT(O205,"0"),CONDUCTORES!$A$3:$G$54,7,0),"")</f>
        <v/>
      </c>
      <c r="L205" s="334" t="n"/>
      <c r="M205" s="334" t="n"/>
      <c r="N205" s="333">
        <f>IFERROR(IF(L205*M205=0,"",L205*M205),"")</f>
        <v/>
      </c>
      <c r="O205" s="334" t="n"/>
      <c r="P205" s="332">
        <f>IFERROR(VLOOKUP(TEXT(O205,"0"),CONDUCTORES!$A$3:$G$54,2,0),"")</f>
        <v/>
      </c>
      <c r="Q205" s="332">
        <f>IFERROR(VLOOKUP(TEXT(O205,"0"),CONDUCTORES!$A$3:$H$54,6,0),"")</f>
        <v/>
      </c>
      <c r="R205" s="334" t="n"/>
      <c r="S205" s="334" t="n"/>
      <c r="T205" s="334" t="n"/>
      <c r="U205" s="334" t="n"/>
      <c r="V205" s="334" t="n"/>
      <c r="W205" s="334" t="n"/>
      <c r="X205" s="334" t="n"/>
      <c r="Y205" s="334" t="n"/>
    </row>
    <row r="206" ht="15" customHeight="1" s="195">
      <c r="A206" s="280" t="n"/>
      <c r="B206" s="280" t="n"/>
      <c r="C206" s="280" t="n"/>
      <c r="D206" s="280" t="n"/>
      <c r="E206" s="280" t="n"/>
      <c r="F206" s="280" t="n"/>
      <c r="G206" s="280" t="n"/>
      <c r="H206" s="280" t="n"/>
      <c r="I206" s="332">
        <f>IFERROR(VLOOKUP(TEXT(H206,"0"),IPRESS!$A$3:$B$212,2,0),"")</f>
        <v/>
      </c>
      <c r="J206" s="280" t="n"/>
      <c r="K206" s="332">
        <f>IFERROR(VLOOKUP(TEXT(O206,"0"),CONDUCTORES!$A$3:$G$54,7,0),"")</f>
        <v/>
      </c>
      <c r="L206" s="280" t="n"/>
      <c r="M206" s="280" t="n"/>
      <c r="N206" s="333">
        <f>IFERROR(IF(L206*M206=0,"",L206*M206),"")</f>
        <v/>
      </c>
      <c r="O206" s="280" t="n"/>
      <c r="P206" s="332">
        <f>IFERROR(VLOOKUP(TEXT(O206,"0"),CONDUCTORES!$A$3:$G$54,2,0),"")</f>
        <v/>
      </c>
      <c r="Q206" s="332">
        <f>IFERROR(VLOOKUP(TEXT(O206,"0"),CONDUCTORES!$A$3:$H$54,6,0),"")</f>
        <v/>
      </c>
      <c r="R206" s="280" t="n"/>
      <c r="S206" s="280" t="n"/>
      <c r="T206" s="280" t="n"/>
      <c r="U206" s="280" t="n"/>
      <c r="V206" s="280" t="n"/>
      <c r="W206" s="280" t="n"/>
      <c r="X206" s="280" t="n"/>
      <c r="Y206" s="280" t="n"/>
    </row>
    <row r="207" ht="15" customHeight="1" s="195">
      <c r="A207" s="334" t="n"/>
      <c r="B207" s="334" t="n"/>
      <c r="C207" s="334" t="n"/>
      <c r="D207" s="334" t="n"/>
      <c r="E207" s="334" t="n"/>
      <c r="F207" s="334" t="n"/>
      <c r="G207" s="334" t="n"/>
      <c r="H207" s="334" t="n"/>
      <c r="I207" s="332">
        <f>IFERROR(VLOOKUP(TEXT(H207,"0"),IPRESS!$A$3:$B$212,2,0),"")</f>
        <v/>
      </c>
      <c r="J207" s="334" t="n"/>
      <c r="K207" s="332">
        <f>IFERROR(VLOOKUP(TEXT(O207,"0"),CONDUCTORES!$A$3:$G$54,7,0),"")</f>
        <v/>
      </c>
      <c r="L207" s="334" t="n"/>
      <c r="M207" s="334" t="n"/>
      <c r="N207" s="333">
        <f>IFERROR(IF(L207*M207=0,"",L207*M207),"")</f>
        <v/>
      </c>
      <c r="O207" s="334" t="n"/>
      <c r="P207" s="332">
        <f>IFERROR(VLOOKUP(TEXT(O207,"0"),CONDUCTORES!$A$3:$G$54,2,0),"")</f>
        <v/>
      </c>
      <c r="Q207" s="332">
        <f>IFERROR(VLOOKUP(TEXT(O207,"0"),CONDUCTORES!$A$3:$H$54,6,0),"")</f>
        <v/>
      </c>
      <c r="R207" s="334" t="n"/>
      <c r="S207" s="334" t="n"/>
      <c r="T207" s="334" t="n"/>
      <c r="U207" s="334" t="n"/>
      <c r="V207" s="334" t="n"/>
      <c r="W207" s="334" t="n"/>
      <c r="X207" s="334" t="n"/>
      <c r="Y207" s="334" t="n"/>
    </row>
    <row r="208" ht="15" customHeight="1" s="195">
      <c r="A208" s="280" t="n"/>
      <c r="B208" s="280" t="n"/>
      <c r="C208" s="280" t="n"/>
      <c r="D208" s="280" t="n"/>
      <c r="E208" s="280" t="n"/>
      <c r="F208" s="280" t="n"/>
      <c r="G208" s="280" t="n"/>
      <c r="H208" s="280" t="n"/>
      <c r="I208" s="332">
        <f>IFERROR(VLOOKUP(TEXT(H208,"0"),IPRESS!$A$3:$B$212,2,0),"")</f>
        <v/>
      </c>
      <c r="J208" s="280" t="n"/>
      <c r="K208" s="332">
        <f>IFERROR(VLOOKUP(TEXT(O208,"0"),CONDUCTORES!$A$3:$G$54,7,0),"")</f>
        <v/>
      </c>
      <c r="L208" s="280" t="n"/>
      <c r="M208" s="280" t="n"/>
      <c r="N208" s="333">
        <f>IFERROR(IF(L208*M208=0,"",L208*M208),"")</f>
        <v/>
      </c>
      <c r="O208" s="280" t="n"/>
      <c r="P208" s="332">
        <f>IFERROR(VLOOKUP(TEXT(O208,"0"),CONDUCTORES!$A$3:$G$54,2,0),"")</f>
        <v/>
      </c>
      <c r="Q208" s="332">
        <f>IFERROR(VLOOKUP(TEXT(O208,"0"),CONDUCTORES!$A$3:$H$54,6,0),"")</f>
        <v/>
      </c>
      <c r="R208" s="280" t="n"/>
      <c r="S208" s="280" t="n"/>
      <c r="T208" s="280" t="n"/>
      <c r="U208" s="280" t="n"/>
      <c r="V208" s="280" t="n"/>
      <c r="W208" s="280" t="n"/>
      <c r="X208" s="280" t="n"/>
      <c r="Y208" s="280" t="n"/>
    </row>
    <row r="209" ht="15" customHeight="1" s="195">
      <c r="A209" s="334" t="n"/>
      <c r="B209" s="334" t="n"/>
      <c r="C209" s="334" t="n"/>
      <c r="D209" s="334" t="n"/>
      <c r="E209" s="334" t="n"/>
      <c r="F209" s="334" t="n"/>
      <c r="G209" s="334" t="n"/>
      <c r="H209" s="334" t="n"/>
      <c r="I209" s="332">
        <f>IFERROR(VLOOKUP(TEXT(H209,"0"),IPRESS!$A$3:$B$212,2,0),"")</f>
        <v/>
      </c>
      <c r="J209" s="334" t="n"/>
      <c r="K209" s="332">
        <f>IFERROR(VLOOKUP(TEXT(O209,"0"),CONDUCTORES!$A$3:$G$54,7,0),"")</f>
        <v/>
      </c>
      <c r="L209" s="334" t="n"/>
      <c r="M209" s="334" t="n"/>
      <c r="N209" s="333">
        <f>IFERROR(IF(L209*M209=0,"",L209*M209),"")</f>
        <v/>
      </c>
      <c r="O209" s="334" t="n"/>
      <c r="P209" s="332">
        <f>IFERROR(VLOOKUP(TEXT(O209,"0"),CONDUCTORES!$A$3:$G$54,2,0),"")</f>
        <v/>
      </c>
      <c r="Q209" s="332">
        <f>IFERROR(VLOOKUP(TEXT(O209,"0"),CONDUCTORES!$A$3:$H$54,6,0),"")</f>
        <v/>
      </c>
      <c r="R209" s="334" t="n"/>
      <c r="S209" s="334" t="n"/>
      <c r="T209" s="334" t="n"/>
      <c r="U209" s="334" t="n"/>
      <c r="V209" s="334" t="n"/>
      <c r="W209" s="334" t="n"/>
      <c r="X209" s="334" t="n"/>
      <c r="Y209" s="334" t="n"/>
    </row>
    <row r="210" ht="15" customHeight="1" s="195">
      <c r="A210" s="280" t="n"/>
      <c r="B210" s="280" t="n"/>
      <c r="C210" s="280" t="n"/>
      <c r="D210" s="280" t="n"/>
      <c r="E210" s="280" t="n"/>
      <c r="F210" s="280" t="n"/>
      <c r="G210" s="280" t="n"/>
      <c r="H210" s="280" t="n"/>
      <c r="I210" s="332">
        <f>IFERROR(VLOOKUP(TEXT(H210,"0"),IPRESS!$A$3:$B$212,2,0),"")</f>
        <v/>
      </c>
      <c r="J210" s="280" t="n"/>
      <c r="K210" s="332">
        <f>IFERROR(VLOOKUP(TEXT(O210,"0"),CONDUCTORES!$A$3:$G$54,7,0),"")</f>
        <v/>
      </c>
      <c r="L210" s="280" t="n"/>
      <c r="M210" s="280" t="n"/>
      <c r="N210" s="333">
        <f>IFERROR(IF(L210*M210=0,"",L210*M210),"")</f>
        <v/>
      </c>
      <c r="O210" s="280" t="n"/>
      <c r="P210" s="332">
        <f>IFERROR(VLOOKUP(TEXT(O210,"0"),CONDUCTORES!$A$3:$G$54,2,0),"")</f>
        <v/>
      </c>
      <c r="Q210" s="332">
        <f>IFERROR(VLOOKUP(TEXT(O210,"0"),CONDUCTORES!$A$3:$H$54,6,0),"")</f>
        <v/>
      </c>
      <c r="R210" s="280" t="n"/>
      <c r="S210" s="280" t="n"/>
      <c r="T210" s="280" t="n"/>
      <c r="U210" s="280" t="n"/>
      <c r="V210" s="280" t="n"/>
      <c r="W210" s="280" t="n"/>
      <c r="X210" s="280" t="n"/>
      <c r="Y210" s="280" t="n"/>
    </row>
    <row r="211" ht="15" customHeight="1" s="195">
      <c r="A211" s="334" t="n"/>
      <c r="B211" s="334" t="n"/>
      <c r="C211" s="334" t="n"/>
      <c r="D211" s="334" t="n"/>
      <c r="E211" s="334" t="n"/>
      <c r="F211" s="334" t="n"/>
      <c r="G211" s="334" t="n"/>
      <c r="H211" s="334" t="n"/>
      <c r="I211" s="332">
        <f>IFERROR(VLOOKUP(TEXT(H211,"0"),IPRESS!$A$3:$B$212,2,0),"")</f>
        <v/>
      </c>
      <c r="J211" s="334" t="n"/>
      <c r="K211" s="332">
        <f>IFERROR(VLOOKUP(TEXT(O211,"0"),CONDUCTORES!$A$3:$G$54,7,0),"")</f>
        <v/>
      </c>
      <c r="L211" s="334" t="n"/>
      <c r="M211" s="334" t="n"/>
      <c r="N211" s="333">
        <f>IFERROR(IF(L211*M211=0,"",L211*M211),"")</f>
        <v/>
      </c>
      <c r="O211" s="334" t="n"/>
      <c r="P211" s="332">
        <f>IFERROR(VLOOKUP(TEXT(O211,"0"),CONDUCTORES!$A$3:$G$54,2,0),"")</f>
        <v/>
      </c>
      <c r="Q211" s="332">
        <f>IFERROR(VLOOKUP(TEXT(O211,"0"),CONDUCTORES!$A$3:$H$54,6,0),"")</f>
        <v/>
      </c>
      <c r="R211" s="334" t="n"/>
      <c r="S211" s="334" t="n"/>
      <c r="T211" s="334" t="n"/>
      <c r="U211" s="334" t="n"/>
      <c r="V211" s="334" t="n"/>
      <c r="W211" s="334" t="n"/>
      <c r="X211" s="334" t="n"/>
      <c r="Y211" s="334" t="n"/>
    </row>
    <row r="212" ht="15" customHeight="1" s="195">
      <c r="A212" s="280" t="n"/>
      <c r="B212" s="280" t="n"/>
      <c r="C212" s="280" t="n"/>
      <c r="D212" s="280" t="n"/>
      <c r="E212" s="280" t="n"/>
      <c r="F212" s="280" t="n"/>
      <c r="G212" s="280" t="n"/>
      <c r="H212" s="280" t="n"/>
      <c r="I212" s="332">
        <f>IFERROR(VLOOKUP(TEXT(H212,"0"),IPRESS!$A$3:$B$212,2,0),"")</f>
        <v/>
      </c>
      <c r="J212" s="280" t="n"/>
      <c r="K212" s="332">
        <f>IFERROR(VLOOKUP(TEXT(O212,"0"),CONDUCTORES!$A$3:$G$54,7,0),"")</f>
        <v/>
      </c>
      <c r="L212" s="280" t="n"/>
      <c r="M212" s="280" t="n"/>
      <c r="N212" s="333">
        <f>IFERROR(IF(L212*M212=0,"",L212*M212),"")</f>
        <v/>
      </c>
      <c r="O212" s="280" t="n"/>
      <c r="P212" s="332">
        <f>IFERROR(VLOOKUP(TEXT(O212,"0"),CONDUCTORES!$A$3:$G$54,2,0),"")</f>
        <v/>
      </c>
      <c r="Q212" s="332">
        <f>IFERROR(VLOOKUP(TEXT(O212,"0"),CONDUCTORES!$A$3:$H$54,6,0),"")</f>
        <v/>
      </c>
      <c r="R212" s="280" t="n"/>
      <c r="S212" s="280" t="n"/>
      <c r="T212" s="280" t="n"/>
      <c r="U212" s="280" t="n"/>
      <c r="V212" s="280" t="n"/>
      <c r="W212" s="280" t="n"/>
      <c r="X212" s="280" t="n"/>
      <c r="Y212" s="280" t="n"/>
    </row>
    <row r="213" ht="15" customHeight="1" s="195">
      <c r="A213" s="334" t="n"/>
      <c r="B213" s="334" t="n"/>
      <c r="C213" s="334" t="n"/>
      <c r="D213" s="334" t="n"/>
      <c r="E213" s="334" t="n"/>
      <c r="F213" s="334" t="n"/>
      <c r="G213" s="334" t="n"/>
      <c r="H213" s="334" t="n"/>
      <c r="I213" s="332">
        <f>IFERROR(VLOOKUP(TEXT(H213,"0"),IPRESS!$A$3:$B$212,2,0),"")</f>
        <v/>
      </c>
      <c r="J213" s="334" t="n"/>
      <c r="K213" s="332">
        <f>IFERROR(VLOOKUP(TEXT(O213,"0"),CONDUCTORES!$A$3:$G$54,7,0),"")</f>
        <v/>
      </c>
      <c r="L213" s="334" t="n"/>
      <c r="M213" s="334" t="n"/>
      <c r="N213" s="333">
        <f>IFERROR(IF(L213*M213=0,"",L213*M213),"")</f>
        <v/>
      </c>
      <c r="O213" s="334" t="n"/>
      <c r="P213" s="332">
        <f>IFERROR(VLOOKUP(TEXT(O213,"0"),CONDUCTORES!$A$3:$G$54,2,0),"")</f>
        <v/>
      </c>
      <c r="Q213" s="332">
        <f>IFERROR(VLOOKUP(TEXT(O213,"0"),CONDUCTORES!$A$3:$H$54,6,0),"")</f>
        <v/>
      </c>
      <c r="R213" s="334" t="n"/>
      <c r="S213" s="334" t="n"/>
      <c r="T213" s="334" t="n"/>
      <c r="U213" s="334" t="n"/>
      <c r="V213" s="334" t="n"/>
      <c r="W213" s="334" t="n"/>
      <c r="X213" s="334" t="n"/>
      <c r="Y213" s="334" t="n"/>
    </row>
    <row r="214" ht="15" customHeight="1" s="195">
      <c r="A214" s="280" t="n"/>
      <c r="B214" s="280" t="n"/>
      <c r="C214" s="280" t="n"/>
      <c r="D214" s="280" t="n"/>
      <c r="E214" s="280" t="n"/>
      <c r="F214" s="280" t="n"/>
      <c r="G214" s="280" t="n"/>
      <c r="H214" s="280" t="n"/>
      <c r="I214" s="332">
        <f>IFERROR(VLOOKUP(TEXT(H214,"0"),IPRESS!$A$3:$B$212,2,0),"")</f>
        <v/>
      </c>
      <c r="J214" s="280" t="n"/>
      <c r="K214" s="332">
        <f>IFERROR(VLOOKUP(TEXT(O214,"0"),CONDUCTORES!$A$3:$G$54,7,0),"")</f>
        <v/>
      </c>
      <c r="L214" s="280" t="n"/>
      <c r="M214" s="280" t="n"/>
      <c r="N214" s="333">
        <f>IFERROR(IF(L214*M214=0,"",L214*M214),"")</f>
        <v/>
      </c>
      <c r="O214" s="280" t="n"/>
      <c r="P214" s="332">
        <f>IFERROR(VLOOKUP(TEXT(O214,"0"),CONDUCTORES!$A$3:$G$54,2,0),"")</f>
        <v/>
      </c>
      <c r="Q214" s="332">
        <f>IFERROR(VLOOKUP(TEXT(O214,"0"),CONDUCTORES!$A$3:$H$54,6,0),"")</f>
        <v/>
      </c>
      <c r="R214" s="280" t="n"/>
      <c r="S214" s="280" t="n"/>
      <c r="T214" s="280" t="n"/>
      <c r="U214" s="280" t="n"/>
      <c r="V214" s="280" t="n"/>
      <c r="W214" s="280" t="n"/>
      <c r="X214" s="280" t="n"/>
      <c r="Y214" s="280" t="n"/>
    </row>
    <row r="215" ht="15" customHeight="1" s="195">
      <c r="A215" s="334" t="n"/>
      <c r="B215" s="334" t="n"/>
      <c r="C215" s="334" t="n"/>
      <c r="D215" s="334" t="n"/>
      <c r="E215" s="334" t="n"/>
      <c r="F215" s="334" t="n"/>
      <c r="G215" s="334" t="n"/>
      <c r="H215" s="334" t="n"/>
      <c r="I215" s="332">
        <f>IFERROR(VLOOKUP(TEXT(H215,"0"),IPRESS!$A$3:$B$212,2,0),"")</f>
        <v/>
      </c>
      <c r="J215" s="334" t="n"/>
      <c r="K215" s="332">
        <f>IFERROR(VLOOKUP(TEXT(O215,"0"),CONDUCTORES!$A$3:$G$54,7,0),"")</f>
        <v/>
      </c>
      <c r="L215" s="334" t="n"/>
      <c r="M215" s="334" t="n"/>
      <c r="N215" s="333">
        <f>IFERROR(IF(L215*M215=0,"",L215*M215),"")</f>
        <v/>
      </c>
      <c r="O215" s="334" t="n"/>
      <c r="P215" s="332">
        <f>IFERROR(VLOOKUP(TEXT(O215,"0"),CONDUCTORES!$A$3:$G$54,2,0),"")</f>
        <v/>
      </c>
      <c r="Q215" s="332">
        <f>IFERROR(VLOOKUP(TEXT(O215,"0"),CONDUCTORES!$A$3:$H$54,6,0),"")</f>
        <v/>
      </c>
      <c r="R215" s="334" t="n"/>
      <c r="S215" s="334" t="n"/>
      <c r="T215" s="334" t="n"/>
      <c r="U215" s="334" t="n"/>
      <c r="V215" s="334" t="n"/>
      <c r="W215" s="334" t="n"/>
      <c r="X215" s="334" t="n"/>
      <c r="Y215" s="334" t="n"/>
    </row>
    <row r="216" ht="15" customHeight="1" s="195">
      <c r="A216" s="280" t="n"/>
      <c r="B216" s="280" t="n"/>
      <c r="C216" s="280" t="n"/>
      <c r="D216" s="280" t="n"/>
      <c r="E216" s="280" t="n"/>
      <c r="F216" s="280" t="n"/>
      <c r="G216" s="280" t="n"/>
      <c r="H216" s="280" t="n"/>
      <c r="I216" s="332">
        <f>IFERROR(VLOOKUP(TEXT(H216,"0"),IPRESS!$A$3:$B$212,2,0),"")</f>
        <v/>
      </c>
      <c r="J216" s="280" t="n"/>
      <c r="K216" s="332">
        <f>IFERROR(VLOOKUP(TEXT(O216,"0"),CONDUCTORES!$A$3:$G$54,7,0),"")</f>
        <v/>
      </c>
      <c r="L216" s="280" t="n"/>
      <c r="M216" s="280" t="n"/>
      <c r="N216" s="333">
        <f>IFERROR(IF(L216*M216=0,"",L216*M216),"")</f>
        <v/>
      </c>
      <c r="O216" s="280" t="n"/>
      <c r="P216" s="332">
        <f>IFERROR(VLOOKUP(TEXT(O216,"0"),CONDUCTORES!$A$3:$G$54,2,0),"")</f>
        <v/>
      </c>
      <c r="Q216" s="332">
        <f>IFERROR(VLOOKUP(TEXT(O216,"0"),CONDUCTORES!$A$3:$H$54,6,0),"")</f>
        <v/>
      </c>
      <c r="R216" s="280" t="n"/>
      <c r="S216" s="280" t="n"/>
      <c r="T216" s="280" t="n"/>
      <c r="U216" s="280" t="n"/>
      <c r="V216" s="280" t="n"/>
      <c r="W216" s="280" t="n"/>
      <c r="X216" s="280" t="n"/>
      <c r="Y216" s="280" t="n"/>
    </row>
    <row r="217" ht="15" customHeight="1" s="195">
      <c r="A217" s="334" t="n"/>
      <c r="B217" s="334" t="n"/>
      <c r="C217" s="334" t="n"/>
      <c r="D217" s="334" t="n"/>
      <c r="E217" s="334" t="n"/>
      <c r="F217" s="334" t="n"/>
      <c r="G217" s="334" t="n"/>
      <c r="H217" s="334" t="n"/>
      <c r="I217" s="332">
        <f>IFERROR(VLOOKUP(TEXT(H217,"0"),IPRESS!$A$3:$B$212,2,0),"")</f>
        <v/>
      </c>
      <c r="J217" s="334" t="n"/>
      <c r="K217" s="332">
        <f>IFERROR(VLOOKUP(TEXT(O217,"0"),CONDUCTORES!$A$3:$G$54,7,0),"")</f>
        <v/>
      </c>
      <c r="L217" s="334" t="n"/>
      <c r="M217" s="334" t="n"/>
      <c r="N217" s="333">
        <f>IFERROR(IF(L217*M217=0,"",L217*M217),"")</f>
        <v/>
      </c>
      <c r="O217" s="334" t="n"/>
      <c r="P217" s="332">
        <f>IFERROR(VLOOKUP(TEXT(O217,"0"),CONDUCTORES!$A$3:$G$54,2,0),"")</f>
        <v/>
      </c>
      <c r="Q217" s="332">
        <f>IFERROR(VLOOKUP(TEXT(O217,"0"),CONDUCTORES!$A$3:$H$54,6,0),"")</f>
        <v/>
      </c>
      <c r="R217" s="334" t="n"/>
      <c r="S217" s="334" t="n"/>
      <c r="T217" s="334" t="n"/>
      <c r="U217" s="334" t="n"/>
      <c r="V217" s="334" t="n"/>
      <c r="W217" s="334" t="n"/>
      <c r="X217" s="334" t="n"/>
      <c r="Y217" s="334" t="n"/>
    </row>
    <row r="218" ht="15" customHeight="1" s="195">
      <c r="A218" s="280" t="n"/>
      <c r="B218" s="280" t="n"/>
      <c r="C218" s="280" t="n"/>
      <c r="D218" s="280" t="n"/>
      <c r="E218" s="280" t="n"/>
      <c r="F218" s="280" t="n"/>
      <c r="G218" s="280" t="n"/>
      <c r="H218" s="280" t="n"/>
      <c r="I218" s="332">
        <f>IFERROR(VLOOKUP(TEXT(H218,"0"),IPRESS!$A$3:$B$212,2,0),"")</f>
        <v/>
      </c>
      <c r="J218" s="280" t="n"/>
      <c r="K218" s="332">
        <f>IFERROR(VLOOKUP(TEXT(O218,"0"),CONDUCTORES!$A$3:$G$54,7,0),"")</f>
        <v/>
      </c>
      <c r="L218" s="280" t="n"/>
      <c r="M218" s="280" t="n"/>
      <c r="N218" s="333">
        <f>IFERROR(IF(L218*M218=0,"",L218*M218),"")</f>
        <v/>
      </c>
      <c r="O218" s="280" t="n"/>
      <c r="P218" s="332">
        <f>IFERROR(VLOOKUP(TEXT(O218,"0"),CONDUCTORES!$A$3:$G$54,2,0),"")</f>
        <v/>
      </c>
      <c r="Q218" s="332">
        <f>IFERROR(VLOOKUP(TEXT(O218,"0"),CONDUCTORES!$A$3:$H$54,6,0),"")</f>
        <v/>
      </c>
      <c r="R218" s="280" t="n"/>
      <c r="S218" s="280" t="n"/>
      <c r="T218" s="280" t="n"/>
      <c r="U218" s="280" t="n"/>
      <c r="V218" s="280" t="n"/>
      <c r="W218" s="280" t="n"/>
      <c r="X218" s="280" t="n"/>
      <c r="Y218" s="280" t="n"/>
    </row>
    <row r="219" ht="15" customHeight="1" s="195">
      <c r="A219" s="334" t="n"/>
      <c r="B219" s="334" t="n"/>
      <c r="C219" s="334" t="n"/>
      <c r="D219" s="334" t="n"/>
      <c r="E219" s="334" t="n"/>
      <c r="F219" s="334" t="n"/>
      <c r="G219" s="334" t="n"/>
      <c r="H219" s="334" t="n"/>
      <c r="I219" s="332">
        <f>IFERROR(VLOOKUP(TEXT(H219,"0"),IPRESS!$A$3:$B$212,2,0),"")</f>
        <v/>
      </c>
      <c r="J219" s="334" t="n"/>
      <c r="K219" s="332">
        <f>IFERROR(VLOOKUP(TEXT(O219,"0"),CONDUCTORES!$A$3:$G$54,7,0),"")</f>
        <v/>
      </c>
      <c r="L219" s="334" t="n"/>
      <c r="M219" s="334" t="n"/>
      <c r="N219" s="333">
        <f>IFERROR(IF(L219*M219=0,"",L219*M219),"")</f>
        <v/>
      </c>
      <c r="O219" s="334" t="n"/>
      <c r="P219" s="332">
        <f>IFERROR(VLOOKUP(TEXT(O219,"0"),CONDUCTORES!$A$3:$G$54,2,0),"")</f>
        <v/>
      </c>
      <c r="Q219" s="332">
        <f>IFERROR(VLOOKUP(TEXT(O219,"0"),CONDUCTORES!$A$3:$H$54,6,0),"")</f>
        <v/>
      </c>
      <c r="R219" s="334" t="n"/>
      <c r="S219" s="334" t="n"/>
      <c r="T219" s="334" t="n"/>
      <c r="U219" s="334" t="n"/>
      <c r="V219" s="334" t="n"/>
      <c r="W219" s="334" t="n"/>
      <c r="X219" s="334" t="n"/>
      <c r="Y219" s="334" t="n"/>
    </row>
    <row r="220" ht="15" customHeight="1" s="195">
      <c r="A220" s="280" t="n"/>
      <c r="B220" s="280" t="n"/>
      <c r="C220" s="280" t="n"/>
      <c r="D220" s="280" t="n"/>
      <c r="E220" s="280" t="n"/>
      <c r="F220" s="280" t="n"/>
      <c r="G220" s="280" t="n"/>
      <c r="H220" s="280" t="n"/>
      <c r="I220" s="332">
        <f>IFERROR(VLOOKUP(TEXT(H220,"0"),IPRESS!$A$3:$B$212,2,0),"")</f>
        <v/>
      </c>
      <c r="J220" s="280" t="n"/>
      <c r="K220" s="332">
        <f>IFERROR(VLOOKUP(TEXT(O220,"0"),CONDUCTORES!$A$3:$G$54,7,0),"")</f>
        <v/>
      </c>
      <c r="L220" s="280" t="n"/>
      <c r="M220" s="280" t="n"/>
      <c r="N220" s="333">
        <f>IFERROR(IF(L220*M220=0,"",L220*M220),"")</f>
        <v/>
      </c>
      <c r="O220" s="280" t="n"/>
      <c r="P220" s="332">
        <f>IFERROR(VLOOKUP(TEXT(O220,"0"),CONDUCTORES!$A$3:$G$54,2,0),"")</f>
        <v/>
      </c>
      <c r="Q220" s="332">
        <f>IFERROR(VLOOKUP(TEXT(O220,"0"),CONDUCTORES!$A$3:$H$54,6,0),"")</f>
        <v/>
      </c>
      <c r="R220" s="280" t="n"/>
      <c r="S220" s="280" t="n"/>
      <c r="T220" s="280" t="n"/>
      <c r="U220" s="280" t="n"/>
      <c r="V220" s="280" t="n"/>
      <c r="W220" s="280" t="n"/>
      <c r="X220" s="280" t="n"/>
      <c r="Y220" s="280" t="n"/>
    </row>
    <row r="221" ht="15" customHeight="1" s="195">
      <c r="A221" s="334" t="n"/>
      <c r="B221" s="334" t="n"/>
      <c r="C221" s="334" t="n"/>
      <c r="D221" s="334" t="n"/>
      <c r="E221" s="334" t="n"/>
      <c r="F221" s="334" t="n"/>
      <c r="G221" s="334" t="n"/>
      <c r="H221" s="334" t="n"/>
      <c r="I221" s="332">
        <f>IFERROR(VLOOKUP(TEXT(H221,"0"),IPRESS!$A$3:$B$212,2,0),"")</f>
        <v/>
      </c>
      <c r="J221" s="334" t="n"/>
      <c r="K221" s="332">
        <f>IFERROR(VLOOKUP(TEXT(O221,"0"),CONDUCTORES!$A$3:$G$54,7,0),"")</f>
        <v/>
      </c>
      <c r="L221" s="334" t="n"/>
      <c r="M221" s="334" t="n"/>
      <c r="N221" s="333">
        <f>IFERROR(IF(L221*M221=0,"",L221*M221),"")</f>
        <v/>
      </c>
      <c r="O221" s="334" t="n"/>
      <c r="P221" s="332">
        <f>IFERROR(VLOOKUP(TEXT(O221,"0"),CONDUCTORES!$A$3:$G$54,2,0),"")</f>
        <v/>
      </c>
      <c r="Q221" s="332">
        <f>IFERROR(VLOOKUP(TEXT(O221,"0"),CONDUCTORES!$A$3:$H$54,6,0),"")</f>
        <v/>
      </c>
      <c r="R221" s="334" t="n"/>
      <c r="S221" s="334" t="n"/>
      <c r="T221" s="334" t="n"/>
      <c r="U221" s="334" t="n"/>
      <c r="V221" s="334" t="n"/>
      <c r="W221" s="334" t="n"/>
      <c r="X221" s="334" t="n"/>
      <c r="Y221" s="334" t="n"/>
    </row>
    <row r="222" ht="15" customHeight="1" s="195">
      <c r="A222" s="280" t="n"/>
      <c r="B222" s="280" t="n"/>
      <c r="C222" s="280" t="n"/>
      <c r="D222" s="280" t="n"/>
      <c r="E222" s="280" t="n"/>
      <c r="F222" s="280" t="n"/>
      <c r="G222" s="280" t="n"/>
      <c r="H222" s="280" t="n"/>
      <c r="I222" s="332">
        <f>IFERROR(VLOOKUP(TEXT(H222,"0"),IPRESS!$A$3:$B$212,2,0),"")</f>
        <v/>
      </c>
      <c r="J222" s="280" t="n"/>
      <c r="K222" s="332">
        <f>IFERROR(VLOOKUP(TEXT(O222,"0"),CONDUCTORES!$A$3:$G$54,7,0),"")</f>
        <v/>
      </c>
      <c r="L222" s="280" t="n"/>
      <c r="M222" s="280" t="n"/>
      <c r="N222" s="333">
        <f>IFERROR(IF(L222*M222=0,"",L222*M222),"")</f>
        <v/>
      </c>
      <c r="O222" s="280" t="n"/>
      <c r="P222" s="332">
        <f>IFERROR(VLOOKUP(TEXT(O222,"0"),CONDUCTORES!$A$3:$G$54,2,0),"")</f>
        <v/>
      </c>
      <c r="Q222" s="332">
        <f>IFERROR(VLOOKUP(TEXT(O222,"0"),CONDUCTORES!$A$3:$H$54,6,0),"")</f>
        <v/>
      </c>
      <c r="R222" s="280" t="n"/>
      <c r="S222" s="280" t="n"/>
      <c r="T222" s="280" t="n"/>
      <c r="U222" s="280" t="n"/>
      <c r="V222" s="280" t="n"/>
      <c r="W222" s="280" t="n"/>
      <c r="X222" s="280" t="n"/>
      <c r="Y222" s="280" t="n"/>
    </row>
    <row r="223" ht="15" customHeight="1" s="195">
      <c r="A223" s="334" t="n"/>
      <c r="B223" s="334" t="n"/>
      <c r="C223" s="334" t="n"/>
      <c r="D223" s="334" t="n"/>
      <c r="E223" s="334" t="n"/>
      <c r="F223" s="334" t="n"/>
      <c r="G223" s="334" t="n"/>
      <c r="H223" s="334" t="n"/>
      <c r="I223" s="332">
        <f>IFERROR(VLOOKUP(TEXT(H223,"0"),IPRESS!$A$3:$B$212,2,0),"")</f>
        <v/>
      </c>
      <c r="J223" s="334" t="n"/>
      <c r="K223" s="332">
        <f>IFERROR(VLOOKUP(TEXT(O223,"0"),CONDUCTORES!$A$3:$G$54,7,0),"")</f>
        <v/>
      </c>
      <c r="L223" s="334" t="n"/>
      <c r="M223" s="334" t="n"/>
      <c r="N223" s="333">
        <f>IFERROR(IF(L223*M223=0,"",L223*M223),"")</f>
        <v/>
      </c>
      <c r="O223" s="334" t="n"/>
      <c r="P223" s="332">
        <f>IFERROR(VLOOKUP(TEXT(O223,"0"),CONDUCTORES!$A$3:$G$54,2,0),"")</f>
        <v/>
      </c>
      <c r="Q223" s="332">
        <f>IFERROR(VLOOKUP(TEXT(O223,"0"),CONDUCTORES!$A$3:$H$54,6,0),"")</f>
        <v/>
      </c>
      <c r="R223" s="334" t="n"/>
      <c r="S223" s="334" t="n"/>
      <c r="T223" s="334" t="n"/>
      <c r="U223" s="334" t="n"/>
      <c r="V223" s="334" t="n"/>
      <c r="W223" s="334" t="n"/>
      <c r="X223" s="334" t="n"/>
      <c r="Y223" s="334" t="n"/>
    </row>
    <row r="224" ht="15" customHeight="1" s="195">
      <c r="A224" s="280" t="n"/>
      <c r="B224" s="280" t="n"/>
      <c r="C224" s="280" t="n"/>
      <c r="D224" s="280" t="n"/>
      <c r="E224" s="280" t="n"/>
      <c r="F224" s="280" t="n"/>
      <c r="G224" s="280" t="n"/>
      <c r="H224" s="280" t="n"/>
      <c r="I224" s="332">
        <f>IFERROR(VLOOKUP(TEXT(H224,"0"),IPRESS!$A$3:$B$212,2,0),"")</f>
        <v/>
      </c>
      <c r="J224" s="280" t="n"/>
      <c r="K224" s="332">
        <f>IFERROR(VLOOKUP(TEXT(O224,"0"),CONDUCTORES!$A$3:$G$54,7,0),"")</f>
        <v/>
      </c>
      <c r="L224" s="280" t="n"/>
      <c r="M224" s="280" t="n"/>
      <c r="N224" s="333">
        <f>IFERROR(IF(L224*M224=0,"",L224*M224),"")</f>
        <v/>
      </c>
      <c r="O224" s="280" t="n"/>
      <c r="P224" s="332">
        <f>IFERROR(VLOOKUP(TEXT(O224,"0"),CONDUCTORES!$A$3:$G$54,2,0),"")</f>
        <v/>
      </c>
      <c r="Q224" s="332">
        <f>IFERROR(VLOOKUP(TEXT(O224,"0"),CONDUCTORES!$A$3:$H$54,6,0),"")</f>
        <v/>
      </c>
      <c r="R224" s="280" t="n"/>
      <c r="S224" s="280" t="n"/>
      <c r="T224" s="280" t="n"/>
      <c r="U224" s="280" t="n"/>
      <c r="V224" s="280" t="n"/>
      <c r="W224" s="280" t="n"/>
      <c r="X224" s="280" t="n"/>
      <c r="Y224" s="280" t="n"/>
    </row>
    <row r="225" ht="15" customHeight="1" s="195">
      <c r="A225" s="334" t="n"/>
      <c r="B225" s="334" t="n"/>
      <c r="C225" s="334" t="n"/>
      <c r="D225" s="334" t="n"/>
      <c r="E225" s="334" t="n"/>
      <c r="F225" s="334" t="n"/>
      <c r="G225" s="334" t="n"/>
      <c r="H225" s="334" t="n"/>
      <c r="I225" s="332">
        <f>IFERROR(VLOOKUP(TEXT(H225,"0"),IPRESS!$A$3:$B$212,2,0),"")</f>
        <v/>
      </c>
      <c r="J225" s="334" t="n"/>
      <c r="K225" s="332">
        <f>IFERROR(VLOOKUP(TEXT(O225,"0"),CONDUCTORES!$A$3:$G$54,7,0),"")</f>
        <v/>
      </c>
      <c r="L225" s="334" t="n"/>
      <c r="M225" s="334" t="n"/>
      <c r="N225" s="333">
        <f>IFERROR(IF(L225*M225=0,"",L225*M225),"")</f>
        <v/>
      </c>
      <c r="O225" s="334" t="n"/>
      <c r="P225" s="332">
        <f>IFERROR(VLOOKUP(TEXT(O225,"0"),CONDUCTORES!$A$3:$G$54,2,0),"")</f>
        <v/>
      </c>
      <c r="Q225" s="332">
        <f>IFERROR(VLOOKUP(TEXT(O225,"0"),CONDUCTORES!$A$3:$H$54,6,0),"")</f>
        <v/>
      </c>
      <c r="R225" s="334" t="n"/>
      <c r="S225" s="334" t="n"/>
      <c r="T225" s="334" t="n"/>
      <c r="U225" s="334" t="n"/>
      <c r="V225" s="334" t="n"/>
      <c r="W225" s="334" t="n"/>
      <c r="X225" s="334" t="n"/>
      <c r="Y225" s="334" t="n"/>
    </row>
    <row r="226" ht="15" customHeight="1" s="195">
      <c r="A226" s="280" t="n"/>
      <c r="B226" s="280" t="n"/>
      <c r="C226" s="280" t="n"/>
      <c r="D226" s="280" t="n"/>
      <c r="E226" s="280" t="n"/>
      <c r="F226" s="280" t="n"/>
      <c r="G226" s="280" t="n"/>
      <c r="H226" s="280" t="n"/>
      <c r="I226" s="332">
        <f>IFERROR(VLOOKUP(TEXT(H226,"0"),IPRESS!$A$3:$B$212,2,0),"")</f>
        <v/>
      </c>
      <c r="J226" s="280" t="n"/>
      <c r="K226" s="332">
        <f>IFERROR(VLOOKUP(TEXT(O226,"0"),CONDUCTORES!$A$3:$G$54,7,0),"")</f>
        <v/>
      </c>
      <c r="L226" s="280" t="n"/>
      <c r="M226" s="280" t="n"/>
      <c r="N226" s="333">
        <f>IFERROR(IF(L226*M226=0,"",L226*M226),"")</f>
        <v/>
      </c>
      <c r="O226" s="280" t="n"/>
      <c r="P226" s="332">
        <f>IFERROR(VLOOKUP(TEXT(O226,"0"),CONDUCTORES!$A$3:$G$54,2,0),"")</f>
        <v/>
      </c>
      <c r="Q226" s="332">
        <f>IFERROR(VLOOKUP(TEXT(O226,"0"),CONDUCTORES!$A$3:$H$54,6,0),"")</f>
        <v/>
      </c>
      <c r="R226" s="280" t="n"/>
      <c r="S226" s="280" t="n"/>
      <c r="T226" s="280" t="n"/>
      <c r="U226" s="280" t="n"/>
      <c r="V226" s="280" t="n"/>
      <c r="W226" s="280" t="n"/>
      <c r="X226" s="280" t="n"/>
      <c r="Y226" s="280" t="n"/>
    </row>
    <row r="227" ht="15" customHeight="1" s="195">
      <c r="A227" s="334" t="n"/>
      <c r="B227" s="334" t="n"/>
      <c r="C227" s="334" t="n"/>
      <c r="D227" s="334" t="n"/>
      <c r="E227" s="334" t="n"/>
      <c r="F227" s="334" t="n"/>
      <c r="G227" s="334" t="n"/>
      <c r="H227" s="334" t="n"/>
      <c r="I227" s="332">
        <f>IFERROR(VLOOKUP(TEXT(H227,"0"),IPRESS!$A$3:$B$212,2,0),"")</f>
        <v/>
      </c>
      <c r="J227" s="334" t="n"/>
      <c r="K227" s="332">
        <f>IFERROR(VLOOKUP(TEXT(O227,"0"),CONDUCTORES!$A$3:$G$54,7,0),"")</f>
        <v/>
      </c>
      <c r="L227" s="334" t="n"/>
      <c r="M227" s="334" t="n"/>
      <c r="N227" s="333">
        <f>IFERROR(IF(L227*M227=0,"",L227*M227),"")</f>
        <v/>
      </c>
      <c r="O227" s="334" t="n"/>
      <c r="P227" s="332">
        <f>IFERROR(VLOOKUP(TEXT(O227,"0"),CONDUCTORES!$A$3:$G$54,2,0),"")</f>
        <v/>
      </c>
      <c r="Q227" s="332">
        <f>IFERROR(VLOOKUP(TEXT(O227,"0"),CONDUCTORES!$A$3:$H$54,6,0),"")</f>
        <v/>
      </c>
      <c r="R227" s="334" t="n"/>
      <c r="S227" s="334" t="n"/>
      <c r="T227" s="334" t="n"/>
      <c r="U227" s="334" t="n"/>
      <c r="V227" s="334" t="n"/>
      <c r="W227" s="334" t="n"/>
      <c r="X227" s="334" t="n"/>
      <c r="Y227" s="334" t="n"/>
    </row>
    <row r="228" ht="15" customHeight="1" s="195">
      <c r="A228" s="280" t="n"/>
      <c r="B228" s="280" t="n"/>
      <c r="C228" s="280" t="n"/>
      <c r="D228" s="280" t="n"/>
      <c r="E228" s="280" t="n"/>
      <c r="F228" s="280" t="n"/>
      <c r="G228" s="280" t="n"/>
      <c r="H228" s="280" t="n"/>
      <c r="I228" s="332">
        <f>IFERROR(VLOOKUP(TEXT(H228,"0"),IPRESS!$A$3:$B$212,2,0),"")</f>
        <v/>
      </c>
      <c r="J228" s="280" t="n"/>
      <c r="K228" s="332">
        <f>IFERROR(VLOOKUP(TEXT(O228,"0"),CONDUCTORES!$A$3:$G$54,7,0),"")</f>
        <v/>
      </c>
      <c r="L228" s="280" t="n"/>
      <c r="M228" s="280" t="n"/>
      <c r="N228" s="333">
        <f>IFERROR(IF(L228*M228=0,"",L228*M228),"")</f>
        <v/>
      </c>
      <c r="O228" s="280" t="n"/>
      <c r="P228" s="332">
        <f>IFERROR(VLOOKUP(TEXT(O228,"0"),CONDUCTORES!$A$3:$G$54,2,0),"")</f>
        <v/>
      </c>
      <c r="Q228" s="332">
        <f>IFERROR(VLOOKUP(TEXT(O228,"0"),CONDUCTORES!$A$3:$H$54,6,0),"")</f>
        <v/>
      </c>
      <c r="R228" s="280" t="n"/>
      <c r="S228" s="280" t="n"/>
      <c r="T228" s="280" t="n"/>
      <c r="U228" s="280" t="n"/>
      <c r="V228" s="280" t="n"/>
      <c r="W228" s="280" t="n"/>
      <c r="X228" s="280" t="n"/>
      <c r="Y228" s="280" t="n"/>
    </row>
    <row r="229" ht="15" customHeight="1" s="195">
      <c r="A229" s="334" t="n"/>
      <c r="B229" s="334" t="n"/>
      <c r="C229" s="334" t="n"/>
      <c r="D229" s="334" t="n"/>
      <c r="E229" s="334" t="n"/>
      <c r="F229" s="334" t="n"/>
      <c r="G229" s="334" t="n"/>
      <c r="H229" s="334" t="n"/>
      <c r="I229" s="332">
        <f>IFERROR(VLOOKUP(TEXT(H229,"0"),IPRESS!$A$3:$B$212,2,0),"")</f>
        <v/>
      </c>
      <c r="J229" s="334" t="n"/>
      <c r="K229" s="332">
        <f>IFERROR(VLOOKUP(TEXT(O229,"0"),CONDUCTORES!$A$3:$G$54,7,0),"")</f>
        <v/>
      </c>
      <c r="L229" s="334" t="n"/>
      <c r="M229" s="334" t="n"/>
      <c r="N229" s="333">
        <f>IFERROR(IF(L229*M229=0,"",L229*M229),"")</f>
        <v/>
      </c>
      <c r="O229" s="334" t="n"/>
      <c r="P229" s="332">
        <f>IFERROR(VLOOKUP(TEXT(O229,"0"),CONDUCTORES!$A$3:$G$54,2,0),"")</f>
        <v/>
      </c>
      <c r="Q229" s="332">
        <f>IFERROR(VLOOKUP(TEXT(O229,"0"),CONDUCTORES!$A$3:$H$54,6,0),"")</f>
        <v/>
      </c>
      <c r="R229" s="334" t="n"/>
      <c r="S229" s="334" t="n"/>
      <c r="T229" s="334" t="n"/>
      <c r="U229" s="334" t="n"/>
      <c r="V229" s="334" t="n"/>
      <c r="W229" s="334" t="n"/>
      <c r="X229" s="334" t="n"/>
      <c r="Y229" s="334" t="n"/>
    </row>
    <row r="230" ht="15" customHeight="1" s="195">
      <c r="A230" s="280" t="n"/>
      <c r="B230" s="280" t="n"/>
      <c r="C230" s="280" t="n"/>
      <c r="D230" s="280" t="n"/>
      <c r="E230" s="280" t="n"/>
      <c r="F230" s="280" t="n"/>
      <c r="G230" s="280" t="n"/>
      <c r="H230" s="280" t="n"/>
      <c r="I230" s="332">
        <f>IFERROR(VLOOKUP(TEXT(H230,"0"),IPRESS!$A$3:$B$212,2,0),"")</f>
        <v/>
      </c>
      <c r="J230" s="280" t="n"/>
      <c r="K230" s="332">
        <f>IFERROR(VLOOKUP(TEXT(O230,"0"),CONDUCTORES!$A$3:$G$54,7,0),"")</f>
        <v/>
      </c>
      <c r="L230" s="280" t="n"/>
      <c r="M230" s="280" t="n"/>
      <c r="N230" s="333">
        <f>IFERROR(IF(L230*M230=0,"",L230*M230),"")</f>
        <v/>
      </c>
      <c r="O230" s="280" t="n"/>
      <c r="P230" s="332">
        <f>IFERROR(VLOOKUP(TEXT(O230,"0"),CONDUCTORES!$A$3:$G$54,2,0),"")</f>
        <v/>
      </c>
      <c r="Q230" s="332">
        <f>IFERROR(VLOOKUP(TEXT(O230,"0"),CONDUCTORES!$A$3:$H$54,6,0),"")</f>
        <v/>
      </c>
      <c r="R230" s="280" t="n"/>
      <c r="S230" s="280" t="n"/>
      <c r="T230" s="280" t="n"/>
      <c r="U230" s="280" t="n"/>
      <c r="V230" s="280" t="n"/>
      <c r="W230" s="280" t="n"/>
      <c r="X230" s="280" t="n"/>
      <c r="Y230" s="280" t="n"/>
    </row>
    <row r="231" ht="15" customHeight="1" s="195">
      <c r="A231" s="334" t="n"/>
      <c r="B231" s="334" t="n"/>
      <c r="C231" s="334" t="n"/>
      <c r="D231" s="334" t="n"/>
      <c r="E231" s="334" t="n"/>
      <c r="F231" s="334" t="n"/>
      <c r="G231" s="334" t="n"/>
      <c r="H231" s="334" t="n"/>
      <c r="I231" s="332">
        <f>IFERROR(VLOOKUP(TEXT(H231,"0"),IPRESS!$A$3:$B$212,2,0),"")</f>
        <v/>
      </c>
      <c r="J231" s="334" t="n"/>
      <c r="K231" s="332">
        <f>IFERROR(VLOOKUP(TEXT(O231,"0"),CONDUCTORES!$A$3:$G$54,7,0),"")</f>
        <v/>
      </c>
      <c r="L231" s="334" t="n"/>
      <c r="M231" s="334" t="n"/>
      <c r="N231" s="333">
        <f>IFERROR(IF(L231*M231=0,"",L231*M231),"")</f>
        <v/>
      </c>
      <c r="O231" s="334" t="n"/>
      <c r="P231" s="332">
        <f>IFERROR(VLOOKUP(TEXT(O231,"0"),CONDUCTORES!$A$3:$G$54,2,0),"")</f>
        <v/>
      </c>
      <c r="Q231" s="332">
        <f>IFERROR(VLOOKUP(TEXT(O231,"0"),CONDUCTORES!$A$3:$H$54,6,0),"")</f>
        <v/>
      </c>
      <c r="R231" s="334" t="n"/>
      <c r="S231" s="334" t="n"/>
      <c r="T231" s="334" t="n"/>
      <c r="U231" s="334" t="n"/>
      <c r="V231" s="334" t="n"/>
      <c r="W231" s="334" t="n"/>
      <c r="X231" s="334" t="n"/>
      <c r="Y231" s="334" t="n"/>
    </row>
    <row r="232" ht="15" customHeight="1" s="195">
      <c r="A232" s="280" t="n"/>
      <c r="B232" s="280" t="n"/>
      <c r="C232" s="280" t="n"/>
      <c r="D232" s="280" t="n"/>
      <c r="E232" s="280" t="n"/>
      <c r="F232" s="280" t="n"/>
      <c r="G232" s="280" t="n"/>
      <c r="H232" s="280" t="n"/>
      <c r="I232" s="332">
        <f>IFERROR(VLOOKUP(TEXT(H232,"0"),IPRESS!$A$3:$B$212,2,0),"")</f>
        <v/>
      </c>
      <c r="J232" s="280" t="n"/>
      <c r="K232" s="332">
        <f>IFERROR(VLOOKUP(TEXT(O232,"0"),CONDUCTORES!$A$3:$G$54,7,0),"")</f>
        <v/>
      </c>
      <c r="L232" s="280" t="n"/>
      <c r="M232" s="280" t="n"/>
      <c r="N232" s="333">
        <f>IFERROR(IF(L232*M232=0,"",L232*M232),"")</f>
        <v/>
      </c>
      <c r="O232" s="280" t="n"/>
      <c r="P232" s="332">
        <f>IFERROR(VLOOKUP(TEXT(O232,"0"),CONDUCTORES!$A$3:$G$54,2,0),"")</f>
        <v/>
      </c>
      <c r="Q232" s="332">
        <f>IFERROR(VLOOKUP(TEXT(O232,"0"),CONDUCTORES!$A$3:$H$54,6,0),"")</f>
        <v/>
      </c>
      <c r="R232" s="280" t="n"/>
      <c r="S232" s="280" t="n"/>
      <c r="T232" s="280" t="n"/>
      <c r="U232" s="280" t="n"/>
      <c r="V232" s="280" t="n"/>
      <c r="W232" s="280" t="n"/>
      <c r="X232" s="280" t="n"/>
      <c r="Y232" s="280" t="n"/>
    </row>
    <row r="233" ht="15" customHeight="1" s="195">
      <c r="A233" s="334" t="n"/>
      <c r="B233" s="334" t="n"/>
      <c r="C233" s="334" t="n"/>
      <c r="D233" s="334" t="n"/>
      <c r="E233" s="334" t="n"/>
      <c r="F233" s="334" t="n"/>
      <c r="G233" s="334" t="n"/>
      <c r="H233" s="334" t="n"/>
      <c r="I233" s="332">
        <f>IFERROR(VLOOKUP(TEXT(H233,"0"),IPRESS!$A$3:$B$212,2,0),"")</f>
        <v/>
      </c>
      <c r="J233" s="334" t="n"/>
      <c r="K233" s="332">
        <f>IFERROR(VLOOKUP(TEXT(O233,"0"),CONDUCTORES!$A$3:$G$54,7,0),"")</f>
        <v/>
      </c>
      <c r="L233" s="334" t="n"/>
      <c r="M233" s="334" t="n"/>
      <c r="N233" s="333">
        <f>IFERROR(IF(L233*M233=0,"",L233*M233),"")</f>
        <v/>
      </c>
      <c r="O233" s="334" t="n"/>
      <c r="P233" s="332">
        <f>IFERROR(VLOOKUP(TEXT(O233,"0"),CONDUCTORES!$A$3:$G$54,2,0),"")</f>
        <v/>
      </c>
      <c r="Q233" s="332">
        <f>IFERROR(VLOOKUP(TEXT(O233,"0"),CONDUCTORES!$A$3:$H$54,6,0),"")</f>
        <v/>
      </c>
      <c r="R233" s="334" t="n"/>
      <c r="S233" s="334" t="n"/>
      <c r="T233" s="334" t="n"/>
      <c r="U233" s="334" t="n"/>
      <c r="V233" s="334" t="n"/>
      <c r="W233" s="334" t="n"/>
      <c r="X233" s="334" t="n"/>
      <c r="Y233" s="334" t="n"/>
    </row>
    <row r="234" ht="15" customHeight="1" s="195">
      <c r="A234" s="280" t="n"/>
      <c r="B234" s="280" t="n"/>
      <c r="C234" s="280" t="n"/>
      <c r="D234" s="280" t="n"/>
      <c r="E234" s="280" t="n"/>
      <c r="F234" s="280" t="n"/>
      <c r="G234" s="280" t="n"/>
      <c r="H234" s="280" t="n"/>
      <c r="I234" s="332">
        <f>IFERROR(VLOOKUP(TEXT(H234,"0"),IPRESS!$A$3:$B$212,2,0),"")</f>
        <v/>
      </c>
      <c r="J234" s="280" t="n"/>
      <c r="K234" s="332">
        <f>IFERROR(VLOOKUP(TEXT(O234,"0"),CONDUCTORES!$A$3:$G$54,7,0),"")</f>
        <v/>
      </c>
      <c r="L234" s="280" t="n"/>
      <c r="M234" s="280" t="n"/>
      <c r="N234" s="333">
        <f>IFERROR(IF(L234*M234=0,"",L234*M234),"")</f>
        <v/>
      </c>
      <c r="O234" s="280" t="n"/>
      <c r="P234" s="332">
        <f>IFERROR(VLOOKUP(TEXT(O234,"0"),CONDUCTORES!$A$3:$G$54,2,0),"")</f>
        <v/>
      </c>
      <c r="Q234" s="332">
        <f>IFERROR(VLOOKUP(TEXT(O234,"0"),CONDUCTORES!$A$3:$H$54,6,0),"")</f>
        <v/>
      </c>
      <c r="R234" s="280" t="n"/>
      <c r="S234" s="280" t="n"/>
      <c r="T234" s="280" t="n"/>
      <c r="U234" s="280" t="n"/>
      <c r="V234" s="280" t="n"/>
      <c r="W234" s="280" t="n"/>
      <c r="X234" s="280" t="n"/>
      <c r="Y234" s="280" t="n"/>
    </row>
    <row r="235" ht="15" customHeight="1" s="195">
      <c r="A235" s="334" t="n"/>
      <c r="B235" s="334" t="n"/>
      <c r="C235" s="334" t="n"/>
      <c r="D235" s="334" t="n"/>
      <c r="E235" s="334" t="n"/>
      <c r="F235" s="334" t="n"/>
      <c r="G235" s="334" t="n"/>
      <c r="H235" s="334" t="n"/>
      <c r="I235" s="332">
        <f>IFERROR(VLOOKUP(TEXT(H235,"0"),IPRESS!$A$3:$B$212,2,0),"")</f>
        <v/>
      </c>
      <c r="J235" s="334" t="n"/>
      <c r="K235" s="332">
        <f>IFERROR(VLOOKUP(TEXT(O235,"0"),CONDUCTORES!$A$3:$G$54,7,0),"")</f>
        <v/>
      </c>
      <c r="L235" s="334" t="n"/>
      <c r="M235" s="334" t="n"/>
      <c r="N235" s="333">
        <f>IFERROR(IF(L235*M235=0,"",L235*M235),"")</f>
        <v/>
      </c>
      <c r="O235" s="334" t="n"/>
      <c r="P235" s="332">
        <f>IFERROR(VLOOKUP(TEXT(O235,"0"),CONDUCTORES!$A$3:$G$54,2,0),"")</f>
        <v/>
      </c>
      <c r="Q235" s="332">
        <f>IFERROR(VLOOKUP(TEXT(O235,"0"),CONDUCTORES!$A$3:$H$54,6,0),"")</f>
        <v/>
      </c>
      <c r="R235" s="334" t="n"/>
      <c r="S235" s="334" t="n"/>
      <c r="T235" s="334" t="n"/>
      <c r="U235" s="334" t="n"/>
      <c r="V235" s="334" t="n"/>
      <c r="W235" s="334" t="n"/>
      <c r="X235" s="334" t="n"/>
      <c r="Y235" s="334" t="n"/>
    </row>
    <row r="236" ht="15" customHeight="1" s="195">
      <c r="A236" s="280" t="n"/>
      <c r="B236" s="280" t="n"/>
      <c r="C236" s="280" t="n"/>
      <c r="D236" s="280" t="n"/>
      <c r="E236" s="280" t="n"/>
      <c r="F236" s="280" t="n"/>
      <c r="G236" s="280" t="n"/>
      <c r="H236" s="280" t="n"/>
      <c r="I236" s="332">
        <f>IFERROR(VLOOKUP(TEXT(H236,"0"),IPRESS!$A$3:$B$212,2,0),"")</f>
        <v/>
      </c>
      <c r="J236" s="280" t="n"/>
      <c r="K236" s="332">
        <f>IFERROR(VLOOKUP(TEXT(O236,"0"),CONDUCTORES!$A$3:$G$54,7,0),"")</f>
        <v/>
      </c>
      <c r="L236" s="280" t="n"/>
      <c r="M236" s="280" t="n"/>
      <c r="N236" s="333">
        <f>IFERROR(IF(L236*M236=0,"",L236*M236),"")</f>
        <v/>
      </c>
      <c r="O236" s="280" t="n"/>
      <c r="P236" s="332">
        <f>IFERROR(VLOOKUP(TEXT(O236,"0"),CONDUCTORES!$A$3:$G$54,2,0),"")</f>
        <v/>
      </c>
      <c r="Q236" s="332">
        <f>IFERROR(VLOOKUP(TEXT(O236,"0"),CONDUCTORES!$A$3:$H$54,6,0),"")</f>
        <v/>
      </c>
      <c r="R236" s="280" t="n"/>
      <c r="S236" s="280" t="n"/>
      <c r="T236" s="280" t="n"/>
      <c r="U236" s="280" t="n"/>
      <c r="V236" s="280" t="n"/>
      <c r="W236" s="280" t="n"/>
      <c r="X236" s="280" t="n"/>
      <c r="Y236" s="280" t="n"/>
    </row>
    <row r="237" ht="15" customHeight="1" s="195">
      <c r="A237" s="334" t="n"/>
      <c r="B237" s="334" t="n"/>
      <c r="C237" s="334" t="n"/>
      <c r="D237" s="334" t="n"/>
      <c r="E237" s="334" t="n"/>
      <c r="F237" s="334" t="n"/>
      <c r="G237" s="334" t="n"/>
      <c r="H237" s="334" t="n"/>
      <c r="I237" s="332">
        <f>IFERROR(VLOOKUP(TEXT(H237,"0"),IPRESS!$A$3:$B$212,2,0),"")</f>
        <v/>
      </c>
      <c r="J237" s="334" t="n"/>
      <c r="K237" s="332">
        <f>IFERROR(VLOOKUP(TEXT(O237,"0"),CONDUCTORES!$A$3:$G$54,7,0),"")</f>
        <v/>
      </c>
      <c r="L237" s="334" t="n"/>
      <c r="M237" s="334" t="n"/>
      <c r="N237" s="333">
        <f>IFERROR(IF(L237*M237=0,"",L237*M237),"")</f>
        <v/>
      </c>
      <c r="O237" s="334" t="n"/>
      <c r="P237" s="332">
        <f>IFERROR(VLOOKUP(TEXT(O237,"0"),CONDUCTORES!$A$3:$G$54,2,0),"")</f>
        <v/>
      </c>
      <c r="Q237" s="332">
        <f>IFERROR(VLOOKUP(TEXT(O237,"0"),CONDUCTORES!$A$3:$H$54,6,0),"")</f>
        <v/>
      </c>
      <c r="R237" s="334" t="n"/>
      <c r="S237" s="334" t="n"/>
      <c r="T237" s="334" t="n"/>
      <c r="U237" s="334" t="n"/>
      <c r="V237" s="334" t="n"/>
      <c r="W237" s="334" t="n"/>
      <c r="X237" s="334" t="n"/>
      <c r="Y237" s="334" t="n"/>
    </row>
    <row r="238" ht="15" customHeight="1" s="195">
      <c r="A238" s="280" t="n"/>
      <c r="B238" s="280" t="n"/>
      <c r="C238" s="280" t="n"/>
      <c r="D238" s="280" t="n"/>
      <c r="E238" s="280" t="n"/>
      <c r="F238" s="280" t="n"/>
      <c r="G238" s="280" t="n"/>
      <c r="H238" s="280" t="n"/>
      <c r="I238" s="332">
        <f>IFERROR(VLOOKUP(TEXT(H238,"0"),IPRESS!$A$3:$B$212,2,0),"")</f>
        <v/>
      </c>
      <c r="J238" s="280" t="n"/>
      <c r="K238" s="332">
        <f>IFERROR(VLOOKUP(TEXT(O238,"0"),CONDUCTORES!$A$3:$G$54,7,0),"")</f>
        <v/>
      </c>
      <c r="L238" s="280" t="n"/>
      <c r="M238" s="280" t="n"/>
      <c r="N238" s="333">
        <f>IFERROR(IF(L238*M238=0,"",L238*M238),"")</f>
        <v/>
      </c>
      <c r="O238" s="280" t="n"/>
      <c r="P238" s="332">
        <f>IFERROR(VLOOKUP(TEXT(O238,"0"),CONDUCTORES!$A$3:$G$54,2,0),"")</f>
        <v/>
      </c>
      <c r="Q238" s="332">
        <f>IFERROR(VLOOKUP(TEXT(O238,"0"),CONDUCTORES!$A$3:$H$54,6,0),"")</f>
        <v/>
      </c>
      <c r="R238" s="280" t="n"/>
      <c r="S238" s="280" t="n"/>
      <c r="T238" s="280" t="n"/>
      <c r="U238" s="280" t="n"/>
      <c r="V238" s="280" t="n"/>
      <c r="W238" s="280" t="n"/>
      <c r="X238" s="280" t="n"/>
      <c r="Y238" s="280" t="n"/>
    </row>
    <row r="239" ht="15" customHeight="1" s="195">
      <c r="A239" s="334" t="n"/>
      <c r="B239" s="334" t="n"/>
      <c r="C239" s="334" t="n"/>
      <c r="D239" s="334" t="n"/>
      <c r="E239" s="334" t="n"/>
      <c r="F239" s="334" t="n"/>
      <c r="G239" s="334" t="n"/>
      <c r="H239" s="334" t="n"/>
      <c r="I239" s="332">
        <f>IFERROR(VLOOKUP(TEXT(H239,"0"),IPRESS!$A$3:$B$212,2,0),"")</f>
        <v/>
      </c>
      <c r="J239" s="334" t="n"/>
      <c r="K239" s="332">
        <f>IFERROR(VLOOKUP(TEXT(O239,"0"),CONDUCTORES!$A$3:$G$54,7,0),"")</f>
        <v/>
      </c>
      <c r="L239" s="334" t="n"/>
      <c r="M239" s="334" t="n"/>
      <c r="N239" s="333">
        <f>IFERROR(IF(L239*M239=0,"",L239*M239),"")</f>
        <v/>
      </c>
      <c r="O239" s="334" t="n"/>
      <c r="P239" s="332">
        <f>IFERROR(VLOOKUP(TEXT(O239,"0"),CONDUCTORES!$A$3:$G$54,2,0),"")</f>
        <v/>
      </c>
      <c r="Q239" s="332">
        <f>IFERROR(VLOOKUP(TEXT(O239,"0"),CONDUCTORES!$A$3:$H$54,6,0),"")</f>
        <v/>
      </c>
      <c r="R239" s="334" t="n"/>
      <c r="S239" s="334" t="n"/>
      <c r="T239" s="334" t="n"/>
      <c r="U239" s="334" t="n"/>
      <c r="V239" s="334" t="n"/>
      <c r="W239" s="334" t="n"/>
      <c r="X239" s="334" t="n"/>
      <c r="Y239" s="334" t="n"/>
    </row>
    <row r="240" ht="15" customHeight="1" s="195">
      <c r="A240" s="280" t="n"/>
      <c r="B240" s="280" t="n"/>
      <c r="C240" s="280" t="n"/>
      <c r="D240" s="280" t="n"/>
      <c r="E240" s="280" t="n"/>
      <c r="F240" s="280" t="n"/>
      <c r="G240" s="280" t="n"/>
      <c r="H240" s="280" t="n"/>
      <c r="I240" s="332">
        <f>IFERROR(VLOOKUP(TEXT(H240,"0"),IPRESS!$A$3:$B$212,2,0),"")</f>
        <v/>
      </c>
      <c r="J240" s="280" t="n"/>
      <c r="K240" s="332">
        <f>IFERROR(VLOOKUP(TEXT(O240,"0"),CONDUCTORES!$A$3:$G$54,7,0),"")</f>
        <v/>
      </c>
      <c r="L240" s="280" t="n"/>
      <c r="M240" s="280" t="n"/>
      <c r="N240" s="333">
        <f>IFERROR(IF(L240*M240=0,"",L240*M240),"")</f>
        <v/>
      </c>
      <c r="O240" s="280" t="n"/>
      <c r="P240" s="332">
        <f>IFERROR(VLOOKUP(TEXT(O240,"0"),CONDUCTORES!$A$3:$G$54,2,0),"")</f>
        <v/>
      </c>
      <c r="Q240" s="332">
        <f>IFERROR(VLOOKUP(TEXT(O240,"0"),CONDUCTORES!$A$3:$H$54,6,0),"")</f>
        <v/>
      </c>
      <c r="R240" s="280" t="n"/>
      <c r="S240" s="280" t="n"/>
      <c r="T240" s="280" t="n"/>
      <c r="U240" s="280" t="n"/>
      <c r="V240" s="280" t="n"/>
      <c r="W240" s="280" t="n"/>
      <c r="X240" s="280" t="n"/>
      <c r="Y240" s="280" t="n"/>
    </row>
    <row r="241" ht="15" customHeight="1" s="195">
      <c r="A241" s="334" t="n"/>
      <c r="B241" s="334" t="n"/>
      <c r="C241" s="334" t="n"/>
      <c r="D241" s="334" t="n"/>
      <c r="E241" s="334" t="n"/>
      <c r="F241" s="334" t="n"/>
      <c r="G241" s="334" t="n"/>
      <c r="H241" s="334" t="n"/>
      <c r="I241" s="332">
        <f>IFERROR(VLOOKUP(TEXT(H241,"0"),IPRESS!$A$3:$B$212,2,0),"")</f>
        <v/>
      </c>
      <c r="J241" s="334" t="n"/>
      <c r="K241" s="332">
        <f>IFERROR(VLOOKUP(TEXT(O241,"0"),CONDUCTORES!$A$3:$G$54,7,0),"")</f>
        <v/>
      </c>
      <c r="L241" s="334" t="n"/>
      <c r="M241" s="334" t="n"/>
      <c r="N241" s="333">
        <f>IFERROR(IF(L241*M241=0,"",L241*M241),"")</f>
        <v/>
      </c>
      <c r="O241" s="334" t="n"/>
      <c r="P241" s="332">
        <f>IFERROR(VLOOKUP(TEXT(O241,"0"),CONDUCTORES!$A$3:$G$54,2,0),"")</f>
        <v/>
      </c>
      <c r="Q241" s="332">
        <f>IFERROR(VLOOKUP(TEXT(O241,"0"),CONDUCTORES!$A$3:$H$54,6,0),"")</f>
        <v/>
      </c>
      <c r="R241" s="334" t="n"/>
      <c r="S241" s="334" t="n"/>
      <c r="T241" s="334" t="n"/>
      <c r="U241" s="334" t="n"/>
      <c r="V241" s="334" t="n"/>
      <c r="W241" s="334" t="n"/>
      <c r="X241" s="334" t="n"/>
      <c r="Y241" s="334" t="n"/>
    </row>
    <row r="242" ht="15" customHeight="1" s="195">
      <c r="A242" s="280" t="n"/>
      <c r="B242" s="280" t="n"/>
      <c r="C242" s="280" t="n"/>
      <c r="D242" s="280" t="n"/>
      <c r="E242" s="280" t="n"/>
      <c r="F242" s="280" t="n"/>
      <c r="G242" s="280" t="n"/>
      <c r="H242" s="280" t="n"/>
      <c r="I242" s="332">
        <f>IFERROR(VLOOKUP(TEXT(H242,"0"),IPRESS!$A$3:$B$212,2,0),"")</f>
        <v/>
      </c>
      <c r="J242" s="280" t="n"/>
      <c r="K242" s="332">
        <f>IFERROR(VLOOKUP(TEXT(O242,"0"),CONDUCTORES!$A$3:$G$54,7,0),"")</f>
        <v/>
      </c>
      <c r="L242" s="280" t="n"/>
      <c r="M242" s="280" t="n"/>
      <c r="N242" s="333">
        <f>IFERROR(IF(L242*M242=0,"",L242*M242),"")</f>
        <v/>
      </c>
      <c r="O242" s="280" t="n"/>
      <c r="P242" s="332">
        <f>IFERROR(VLOOKUP(TEXT(O242,"0"),CONDUCTORES!$A$3:$G$54,2,0),"")</f>
        <v/>
      </c>
      <c r="Q242" s="332">
        <f>IFERROR(VLOOKUP(TEXT(O242,"0"),CONDUCTORES!$A$3:$H$54,6,0),"")</f>
        <v/>
      </c>
      <c r="R242" s="280" t="n"/>
      <c r="S242" s="280" t="n"/>
      <c r="T242" s="280" t="n"/>
      <c r="U242" s="280" t="n"/>
      <c r="V242" s="280" t="n"/>
      <c r="W242" s="280" t="n"/>
      <c r="X242" s="280" t="n"/>
      <c r="Y242" s="280" t="n"/>
    </row>
    <row r="243" ht="15" customHeight="1" s="195">
      <c r="A243" s="334" t="n"/>
      <c r="B243" s="334" t="n"/>
      <c r="C243" s="334" t="n"/>
      <c r="D243" s="334" t="n"/>
      <c r="E243" s="334" t="n"/>
      <c r="F243" s="334" t="n"/>
      <c r="G243" s="334" t="n"/>
      <c r="H243" s="334" t="n"/>
      <c r="I243" s="332">
        <f>IFERROR(VLOOKUP(TEXT(H243,"0"),IPRESS!$A$3:$B$212,2,0),"")</f>
        <v/>
      </c>
      <c r="J243" s="334" t="n"/>
      <c r="K243" s="332">
        <f>IFERROR(VLOOKUP(TEXT(O243,"0"),CONDUCTORES!$A$3:$G$54,7,0),"")</f>
        <v/>
      </c>
      <c r="L243" s="334" t="n"/>
      <c r="M243" s="334" t="n"/>
      <c r="N243" s="333">
        <f>IFERROR(IF(L243*M243=0,"",L243*M243),"")</f>
        <v/>
      </c>
      <c r="O243" s="334" t="n"/>
      <c r="P243" s="332">
        <f>IFERROR(VLOOKUP(TEXT(O243,"0"),CONDUCTORES!$A$3:$G$54,2,0),"")</f>
        <v/>
      </c>
      <c r="Q243" s="332">
        <f>IFERROR(VLOOKUP(TEXT(O243,"0"),CONDUCTORES!$A$3:$H$54,6,0),"")</f>
        <v/>
      </c>
      <c r="R243" s="334" t="n"/>
      <c r="S243" s="334" t="n"/>
      <c r="T243" s="334" t="n"/>
      <c r="U243" s="334" t="n"/>
      <c r="V243" s="334" t="n"/>
      <c r="W243" s="334" t="n"/>
      <c r="X243" s="334" t="n"/>
      <c r="Y243" s="334" t="n"/>
    </row>
    <row r="244" ht="15" customHeight="1" s="195">
      <c r="A244" s="280" t="n"/>
      <c r="B244" s="280" t="n"/>
      <c r="C244" s="280" t="n"/>
      <c r="D244" s="280" t="n"/>
      <c r="E244" s="280" t="n"/>
      <c r="F244" s="280" t="n"/>
      <c r="G244" s="280" t="n"/>
      <c r="H244" s="280" t="n"/>
      <c r="I244" s="332">
        <f>IFERROR(VLOOKUP(TEXT(H244,"0"),IPRESS!$A$3:$B$212,2,0),"")</f>
        <v/>
      </c>
      <c r="J244" s="280" t="n"/>
      <c r="K244" s="332">
        <f>IFERROR(VLOOKUP(TEXT(O244,"0"),CONDUCTORES!$A$3:$G$54,7,0),"")</f>
        <v/>
      </c>
      <c r="L244" s="280" t="n"/>
      <c r="M244" s="280" t="n"/>
      <c r="N244" s="333">
        <f>IFERROR(IF(L244*M244=0,"",L244*M244),"")</f>
        <v/>
      </c>
      <c r="O244" s="280" t="n"/>
      <c r="P244" s="332">
        <f>IFERROR(VLOOKUP(TEXT(O244,"0"),CONDUCTORES!$A$3:$G$54,2,0),"")</f>
        <v/>
      </c>
      <c r="Q244" s="332">
        <f>IFERROR(VLOOKUP(TEXT(O244,"0"),CONDUCTORES!$A$3:$H$54,6,0),"")</f>
        <v/>
      </c>
      <c r="R244" s="280" t="n"/>
      <c r="S244" s="280" t="n"/>
      <c r="T244" s="280" t="n"/>
      <c r="U244" s="280" t="n"/>
      <c r="V244" s="280" t="n"/>
      <c r="W244" s="280" t="n"/>
      <c r="X244" s="280" t="n"/>
      <c r="Y244" s="280" t="n"/>
    </row>
    <row r="245" ht="15" customHeight="1" s="195">
      <c r="A245" s="334" t="n"/>
      <c r="B245" s="334" t="n"/>
      <c r="C245" s="334" t="n"/>
      <c r="D245" s="334" t="n"/>
      <c r="E245" s="334" t="n"/>
      <c r="F245" s="334" t="n"/>
      <c r="G245" s="334" t="n"/>
      <c r="H245" s="334" t="n"/>
      <c r="I245" s="332">
        <f>IFERROR(VLOOKUP(TEXT(H245,"0"),IPRESS!$A$3:$B$212,2,0),"")</f>
        <v/>
      </c>
      <c r="J245" s="334" t="n"/>
      <c r="K245" s="332">
        <f>IFERROR(VLOOKUP(TEXT(O245,"0"),CONDUCTORES!$A$3:$G$54,7,0),"")</f>
        <v/>
      </c>
      <c r="L245" s="334" t="n"/>
      <c r="M245" s="334" t="n"/>
      <c r="N245" s="333">
        <f>IFERROR(IF(L245*M245=0,"",L245*M245),"")</f>
        <v/>
      </c>
      <c r="O245" s="334" t="n"/>
      <c r="P245" s="332">
        <f>IFERROR(VLOOKUP(TEXT(O245,"0"),CONDUCTORES!$A$3:$G$54,2,0),"")</f>
        <v/>
      </c>
      <c r="Q245" s="332">
        <f>IFERROR(VLOOKUP(TEXT(O245,"0"),CONDUCTORES!$A$3:$H$54,6,0),"")</f>
        <v/>
      </c>
      <c r="R245" s="334" t="n"/>
      <c r="S245" s="334" t="n"/>
      <c r="T245" s="334" t="n"/>
      <c r="U245" s="334" t="n"/>
      <c r="V245" s="334" t="n"/>
      <c r="W245" s="334" t="n"/>
      <c r="X245" s="334" t="n"/>
      <c r="Y245" s="334" t="n"/>
    </row>
    <row r="246" ht="15" customHeight="1" s="195">
      <c r="A246" s="280" t="n"/>
      <c r="B246" s="280" t="n"/>
      <c r="C246" s="280" t="n"/>
      <c r="D246" s="280" t="n"/>
      <c r="E246" s="280" t="n"/>
      <c r="F246" s="280" t="n"/>
      <c r="G246" s="280" t="n"/>
      <c r="H246" s="280" t="n"/>
      <c r="I246" s="332">
        <f>IFERROR(VLOOKUP(TEXT(H246,"0"),IPRESS!$A$3:$B$212,2,0),"")</f>
        <v/>
      </c>
      <c r="J246" s="280" t="n"/>
      <c r="K246" s="332">
        <f>IFERROR(VLOOKUP(TEXT(O246,"0"),CONDUCTORES!$A$3:$G$54,7,0),"")</f>
        <v/>
      </c>
      <c r="L246" s="280" t="n"/>
      <c r="M246" s="280" t="n"/>
      <c r="N246" s="333">
        <f>IFERROR(IF(L246*M246=0,"",L246*M246),"")</f>
        <v/>
      </c>
      <c r="O246" s="280" t="n"/>
      <c r="P246" s="332">
        <f>IFERROR(VLOOKUP(TEXT(O246,"0"),CONDUCTORES!$A$3:$G$54,2,0),"")</f>
        <v/>
      </c>
      <c r="Q246" s="332">
        <f>IFERROR(VLOOKUP(TEXT(O246,"0"),CONDUCTORES!$A$3:$H$54,6,0),"")</f>
        <v/>
      </c>
      <c r="R246" s="280" t="n"/>
      <c r="S246" s="280" t="n"/>
      <c r="T246" s="280" t="n"/>
      <c r="U246" s="280" t="n"/>
      <c r="V246" s="280" t="n"/>
      <c r="W246" s="280" t="n"/>
      <c r="X246" s="280" t="n"/>
      <c r="Y246" s="280" t="n"/>
    </row>
    <row r="247" ht="15" customHeight="1" s="195">
      <c r="A247" s="334" t="n"/>
      <c r="B247" s="334" t="n"/>
      <c r="C247" s="334" t="n"/>
      <c r="D247" s="334" t="n"/>
      <c r="E247" s="334" t="n"/>
      <c r="F247" s="334" t="n"/>
      <c r="G247" s="334" t="n"/>
      <c r="H247" s="334" t="n"/>
      <c r="I247" s="332">
        <f>IFERROR(VLOOKUP(TEXT(H247,"0"),IPRESS!$A$3:$B$212,2,0),"")</f>
        <v/>
      </c>
      <c r="J247" s="334" t="n"/>
      <c r="K247" s="332">
        <f>IFERROR(VLOOKUP(TEXT(O247,"0"),CONDUCTORES!$A$3:$G$54,7,0),"")</f>
        <v/>
      </c>
      <c r="L247" s="334" t="n"/>
      <c r="M247" s="334" t="n"/>
      <c r="N247" s="333">
        <f>IFERROR(IF(L247*M247=0,"",L247*M247),"")</f>
        <v/>
      </c>
      <c r="O247" s="334" t="n"/>
      <c r="P247" s="332">
        <f>IFERROR(VLOOKUP(TEXT(O247,"0"),CONDUCTORES!$A$3:$G$54,2,0),"")</f>
        <v/>
      </c>
      <c r="Q247" s="332">
        <f>IFERROR(VLOOKUP(TEXT(O247,"0"),CONDUCTORES!$A$3:$H$54,6,0),"")</f>
        <v/>
      </c>
      <c r="R247" s="334" t="n"/>
      <c r="S247" s="334" t="n"/>
      <c r="T247" s="334" t="n"/>
      <c r="U247" s="334" t="n"/>
      <c r="V247" s="334" t="n"/>
      <c r="W247" s="334" t="n"/>
      <c r="X247" s="334" t="n"/>
      <c r="Y247" s="334" t="n"/>
    </row>
    <row r="248" ht="15" customHeight="1" s="195">
      <c r="A248" s="280" t="n"/>
      <c r="B248" s="280" t="n"/>
      <c r="C248" s="280" t="n"/>
      <c r="D248" s="280" t="n"/>
      <c r="E248" s="280" t="n"/>
      <c r="F248" s="280" t="n"/>
      <c r="G248" s="280" t="n"/>
      <c r="H248" s="280" t="n"/>
      <c r="I248" s="332">
        <f>IFERROR(VLOOKUP(TEXT(H248,"0"),IPRESS!$A$3:$B$212,2,0),"")</f>
        <v/>
      </c>
      <c r="J248" s="280" t="n"/>
      <c r="K248" s="332">
        <f>IFERROR(VLOOKUP(TEXT(O248,"0"),CONDUCTORES!$A$3:$G$54,7,0),"")</f>
        <v/>
      </c>
      <c r="L248" s="280" t="n"/>
      <c r="M248" s="280" t="n"/>
      <c r="N248" s="333">
        <f>IFERROR(IF(L248*M248=0,"",L248*M248),"")</f>
        <v/>
      </c>
      <c r="O248" s="280" t="n"/>
      <c r="P248" s="332">
        <f>IFERROR(VLOOKUP(TEXT(O248,"0"),CONDUCTORES!$A$3:$G$54,2,0),"")</f>
        <v/>
      </c>
      <c r="Q248" s="332">
        <f>IFERROR(VLOOKUP(TEXT(O248,"0"),CONDUCTORES!$A$3:$H$54,6,0),"")</f>
        <v/>
      </c>
      <c r="R248" s="280" t="n"/>
      <c r="S248" s="280" t="n"/>
      <c r="T248" s="280" t="n"/>
      <c r="U248" s="280" t="n"/>
      <c r="V248" s="280" t="n"/>
      <c r="W248" s="280" t="n"/>
      <c r="X248" s="280" t="n"/>
      <c r="Y248" s="280" t="n"/>
    </row>
    <row r="249" ht="15" customHeight="1" s="195">
      <c r="A249" s="334" t="n"/>
      <c r="B249" s="334" t="n"/>
      <c r="C249" s="334" t="n"/>
      <c r="D249" s="334" t="n"/>
      <c r="E249" s="334" t="n"/>
      <c r="F249" s="334" t="n"/>
      <c r="G249" s="334" t="n"/>
      <c r="H249" s="334" t="n"/>
      <c r="I249" s="332">
        <f>IFERROR(VLOOKUP(TEXT(H249,"0"),IPRESS!$A$3:$B$212,2,0),"")</f>
        <v/>
      </c>
      <c r="J249" s="334" t="n"/>
      <c r="K249" s="332">
        <f>IFERROR(VLOOKUP(TEXT(O249,"0"),CONDUCTORES!$A$3:$G$54,7,0),"")</f>
        <v/>
      </c>
      <c r="L249" s="334" t="n"/>
      <c r="M249" s="334" t="n"/>
      <c r="N249" s="333">
        <f>IFERROR(IF(L249*M249=0,"",L249*M249),"")</f>
        <v/>
      </c>
      <c r="O249" s="334" t="n"/>
      <c r="P249" s="332">
        <f>IFERROR(VLOOKUP(TEXT(O249,"0"),CONDUCTORES!$A$3:$G$54,2,0),"")</f>
        <v/>
      </c>
      <c r="Q249" s="332">
        <f>IFERROR(VLOOKUP(TEXT(O249,"0"),CONDUCTORES!$A$3:$H$54,6,0),"")</f>
        <v/>
      </c>
      <c r="R249" s="334" t="n"/>
      <c r="S249" s="334" t="n"/>
      <c r="T249" s="334" t="n"/>
      <c r="U249" s="334" t="n"/>
      <c r="V249" s="334" t="n"/>
      <c r="W249" s="334" t="n"/>
      <c r="X249" s="334" t="n"/>
      <c r="Y249" s="334" t="n"/>
    </row>
    <row r="250" ht="15" customHeight="1" s="195">
      <c r="A250" s="280" t="n"/>
      <c r="B250" s="280" t="n"/>
      <c r="C250" s="280" t="n"/>
      <c r="D250" s="280" t="n"/>
      <c r="E250" s="280" t="n"/>
      <c r="F250" s="280" t="n"/>
      <c r="G250" s="280" t="n"/>
      <c r="H250" s="280" t="n"/>
      <c r="I250" s="332">
        <f>IFERROR(VLOOKUP(TEXT(H250,"0"),IPRESS!$A$3:$B$212,2,0),"")</f>
        <v/>
      </c>
      <c r="J250" s="280" t="n"/>
      <c r="K250" s="332">
        <f>IFERROR(VLOOKUP(TEXT(O250,"0"),CONDUCTORES!$A$3:$G$54,7,0),"")</f>
        <v/>
      </c>
      <c r="L250" s="280" t="n"/>
      <c r="M250" s="280" t="n"/>
      <c r="N250" s="333">
        <f>IFERROR(IF(L250*M250=0,"",L250*M250),"")</f>
        <v/>
      </c>
      <c r="O250" s="280" t="n"/>
      <c r="P250" s="332">
        <f>IFERROR(VLOOKUP(TEXT(O250,"0"),CONDUCTORES!$A$3:$G$54,2,0),"")</f>
        <v/>
      </c>
      <c r="Q250" s="332">
        <f>IFERROR(VLOOKUP(TEXT(O250,"0"),CONDUCTORES!$A$3:$H$54,6,0),"")</f>
        <v/>
      </c>
      <c r="R250" s="280" t="n"/>
      <c r="S250" s="280" t="n"/>
      <c r="T250" s="280" t="n"/>
      <c r="U250" s="280" t="n"/>
      <c r="V250" s="280" t="n"/>
      <c r="W250" s="280" t="n"/>
      <c r="X250" s="280" t="n"/>
      <c r="Y250" s="280" t="n"/>
    </row>
    <row r="251" ht="15" customHeight="1" s="195">
      <c r="A251" s="334" t="n"/>
      <c r="B251" s="334" t="n"/>
      <c r="C251" s="334" t="n"/>
      <c r="D251" s="334" t="n"/>
      <c r="E251" s="334" t="n"/>
      <c r="F251" s="334" t="n"/>
      <c r="G251" s="334" t="n"/>
      <c r="H251" s="334" t="n"/>
      <c r="I251" s="332">
        <f>IFERROR(VLOOKUP(TEXT(H251,"0"),IPRESS!$A$3:$B$212,2,0),"")</f>
        <v/>
      </c>
      <c r="J251" s="334" t="n"/>
      <c r="K251" s="332">
        <f>IFERROR(VLOOKUP(TEXT(O251,"0"),CONDUCTORES!$A$3:$G$54,7,0),"")</f>
        <v/>
      </c>
      <c r="L251" s="334" t="n"/>
      <c r="M251" s="334" t="n"/>
      <c r="N251" s="333">
        <f>IFERROR(IF(L251*M251=0,"",L251*M251),"")</f>
        <v/>
      </c>
      <c r="O251" s="334" t="n"/>
      <c r="P251" s="332">
        <f>IFERROR(VLOOKUP(TEXT(O251,"0"),CONDUCTORES!$A$3:$G$54,2,0),"")</f>
        <v/>
      </c>
      <c r="Q251" s="332">
        <f>IFERROR(VLOOKUP(TEXT(O251,"0"),CONDUCTORES!$A$3:$H$54,6,0),"")</f>
        <v/>
      </c>
      <c r="R251" s="334" t="n"/>
      <c r="S251" s="334" t="n"/>
      <c r="T251" s="334" t="n"/>
      <c r="U251" s="334" t="n"/>
      <c r="V251" s="334" t="n"/>
      <c r="W251" s="334" t="n"/>
      <c r="X251" s="334" t="n"/>
      <c r="Y251" s="334" t="n"/>
    </row>
    <row r="252" ht="15" customHeight="1" s="195">
      <c r="A252" s="280" t="n"/>
      <c r="B252" s="280" t="n"/>
      <c r="C252" s="280" t="n"/>
      <c r="D252" s="280" t="n"/>
      <c r="E252" s="280" t="n"/>
      <c r="F252" s="280" t="n"/>
      <c r="G252" s="280" t="n"/>
      <c r="H252" s="280" t="n"/>
      <c r="I252" s="332">
        <f>IFERROR(VLOOKUP(TEXT(H252,"0"),IPRESS!$A$3:$B$212,2,0),"")</f>
        <v/>
      </c>
      <c r="J252" s="280" t="n"/>
      <c r="K252" s="332">
        <f>IFERROR(VLOOKUP(TEXT(O252,"0"),CONDUCTORES!$A$3:$G$54,7,0),"")</f>
        <v/>
      </c>
      <c r="L252" s="280" t="n"/>
      <c r="M252" s="280" t="n"/>
      <c r="N252" s="333">
        <f>IFERROR(IF(L252*M252=0,"",L252*M252),"")</f>
        <v/>
      </c>
      <c r="O252" s="280" t="n"/>
      <c r="P252" s="332">
        <f>IFERROR(VLOOKUP(TEXT(O252,"0"),CONDUCTORES!$A$3:$G$54,2,0),"")</f>
        <v/>
      </c>
      <c r="Q252" s="332">
        <f>IFERROR(VLOOKUP(TEXT(O252,"0"),CONDUCTORES!$A$3:$H$54,6,0),"")</f>
        <v/>
      </c>
      <c r="R252" s="280" t="n"/>
      <c r="S252" s="280" t="n"/>
      <c r="T252" s="280" t="n"/>
      <c r="U252" s="280" t="n"/>
      <c r="V252" s="280" t="n"/>
      <c r="W252" s="280" t="n"/>
      <c r="X252" s="280" t="n"/>
      <c r="Y252" s="280" t="n"/>
    </row>
    <row r="253" ht="15" customHeight="1" s="195">
      <c r="A253" s="334" t="n"/>
      <c r="B253" s="334" t="n"/>
      <c r="C253" s="334" t="n"/>
      <c r="D253" s="334" t="n"/>
      <c r="E253" s="334" t="n"/>
      <c r="F253" s="334" t="n"/>
      <c r="G253" s="334" t="n"/>
      <c r="H253" s="334" t="n"/>
      <c r="I253" s="332">
        <f>IFERROR(VLOOKUP(TEXT(H253,"0"),IPRESS!$A$3:$B$212,2,0),"")</f>
        <v/>
      </c>
      <c r="J253" s="334" t="n"/>
      <c r="K253" s="332">
        <f>IFERROR(VLOOKUP(TEXT(O253,"0"),CONDUCTORES!$A$3:$G$54,7,0),"")</f>
        <v/>
      </c>
      <c r="L253" s="334" t="n"/>
      <c r="M253" s="334" t="n"/>
      <c r="N253" s="333">
        <f>IFERROR(IF(L253*M253=0,"",L253*M253),"")</f>
        <v/>
      </c>
      <c r="O253" s="334" t="n"/>
      <c r="P253" s="332">
        <f>IFERROR(VLOOKUP(TEXT(O253,"0"),CONDUCTORES!$A$3:$G$54,2,0),"")</f>
        <v/>
      </c>
      <c r="Q253" s="332">
        <f>IFERROR(VLOOKUP(TEXT(O253,"0"),CONDUCTORES!$A$3:$H$54,6,0),"")</f>
        <v/>
      </c>
      <c r="R253" s="334" t="n"/>
      <c r="S253" s="334" t="n"/>
      <c r="T253" s="334" t="n"/>
      <c r="U253" s="334" t="n"/>
      <c r="V253" s="334" t="n"/>
      <c r="W253" s="334" t="n"/>
      <c r="X253" s="334" t="n"/>
      <c r="Y253" s="334" t="n"/>
    </row>
    <row r="254" ht="15" customHeight="1" s="195">
      <c r="A254" s="280" t="n"/>
      <c r="B254" s="280" t="n"/>
      <c r="C254" s="280" t="n"/>
      <c r="D254" s="280" t="n"/>
      <c r="E254" s="280" t="n"/>
      <c r="F254" s="280" t="n"/>
      <c r="G254" s="280" t="n"/>
      <c r="H254" s="280" t="n"/>
      <c r="I254" s="332">
        <f>IFERROR(VLOOKUP(TEXT(H254,"0"),IPRESS!$A$3:$B$212,2,0),"")</f>
        <v/>
      </c>
      <c r="J254" s="280" t="n"/>
      <c r="K254" s="332">
        <f>IFERROR(VLOOKUP(TEXT(O254,"0"),CONDUCTORES!$A$3:$G$54,7,0),"")</f>
        <v/>
      </c>
      <c r="L254" s="280" t="n"/>
      <c r="M254" s="280" t="n"/>
      <c r="N254" s="333">
        <f>IFERROR(IF(L254*M254=0,"",L254*M254),"")</f>
        <v/>
      </c>
      <c r="O254" s="280" t="n"/>
      <c r="P254" s="332">
        <f>IFERROR(VLOOKUP(TEXT(O254,"0"),CONDUCTORES!$A$3:$G$54,2,0),"")</f>
        <v/>
      </c>
      <c r="Q254" s="332">
        <f>IFERROR(VLOOKUP(TEXT(O254,"0"),CONDUCTORES!$A$3:$H$54,6,0),"")</f>
        <v/>
      </c>
      <c r="R254" s="280" t="n"/>
      <c r="S254" s="280" t="n"/>
      <c r="T254" s="280" t="n"/>
      <c r="U254" s="280" t="n"/>
      <c r="V254" s="280" t="n"/>
      <c r="W254" s="280" t="n"/>
      <c r="X254" s="280" t="n"/>
      <c r="Y254" s="280" t="n"/>
    </row>
    <row r="255" ht="15" customHeight="1" s="195">
      <c r="A255" s="334" t="n"/>
      <c r="B255" s="334" t="n"/>
      <c r="C255" s="334" t="n"/>
      <c r="D255" s="334" t="n"/>
      <c r="E255" s="334" t="n"/>
      <c r="F255" s="334" t="n"/>
      <c r="G255" s="334" t="n"/>
      <c r="H255" s="334" t="n"/>
      <c r="I255" s="332">
        <f>IFERROR(VLOOKUP(TEXT(H255,"0"),IPRESS!$A$3:$B$212,2,0),"")</f>
        <v/>
      </c>
      <c r="J255" s="334" t="n"/>
      <c r="K255" s="332">
        <f>IFERROR(VLOOKUP(TEXT(O255,"0"),CONDUCTORES!$A$3:$G$54,7,0),"")</f>
        <v/>
      </c>
      <c r="L255" s="334" t="n"/>
      <c r="M255" s="334" t="n"/>
      <c r="N255" s="333">
        <f>IFERROR(IF(L255*M255=0,"",L255*M255),"")</f>
        <v/>
      </c>
      <c r="O255" s="334" t="n"/>
      <c r="P255" s="332">
        <f>IFERROR(VLOOKUP(TEXT(O255,"0"),CONDUCTORES!$A$3:$G$54,2,0),"")</f>
        <v/>
      </c>
      <c r="Q255" s="332">
        <f>IFERROR(VLOOKUP(TEXT(O255,"0"),CONDUCTORES!$A$3:$H$54,6,0),"")</f>
        <v/>
      </c>
      <c r="R255" s="334" t="n"/>
      <c r="S255" s="334" t="n"/>
      <c r="T255" s="334" t="n"/>
      <c r="U255" s="334" t="n"/>
      <c r="V255" s="334" t="n"/>
      <c r="W255" s="334" t="n"/>
      <c r="X255" s="334" t="n"/>
      <c r="Y255" s="334" t="n"/>
    </row>
    <row r="256" ht="15" customHeight="1" s="195">
      <c r="A256" s="280" t="n"/>
      <c r="B256" s="280" t="n"/>
      <c r="C256" s="280" t="n"/>
      <c r="D256" s="280" t="n"/>
      <c r="E256" s="280" t="n"/>
      <c r="F256" s="280" t="n"/>
      <c r="G256" s="280" t="n"/>
      <c r="H256" s="280" t="n"/>
      <c r="I256" s="332">
        <f>IFERROR(VLOOKUP(TEXT(H256,"0"),IPRESS!$A$3:$B$212,2,0),"")</f>
        <v/>
      </c>
      <c r="J256" s="280" t="n"/>
      <c r="K256" s="332">
        <f>IFERROR(VLOOKUP(TEXT(O256,"0"),CONDUCTORES!$A$3:$G$54,7,0),"")</f>
        <v/>
      </c>
      <c r="L256" s="280" t="n"/>
      <c r="M256" s="280" t="n"/>
      <c r="N256" s="333">
        <f>IFERROR(IF(L256*M256=0,"",L256*M256),"")</f>
        <v/>
      </c>
      <c r="O256" s="280" t="n"/>
      <c r="P256" s="332">
        <f>IFERROR(VLOOKUP(TEXT(O256,"0"),CONDUCTORES!$A$3:$G$54,2,0),"")</f>
        <v/>
      </c>
      <c r="Q256" s="332">
        <f>IFERROR(VLOOKUP(TEXT(O256,"0"),CONDUCTORES!$A$3:$H$54,6,0),"")</f>
        <v/>
      </c>
      <c r="R256" s="280" t="n"/>
      <c r="S256" s="280" t="n"/>
      <c r="T256" s="280" t="n"/>
      <c r="U256" s="280" t="n"/>
      <c r="V256" s="280" t="n"/>
      <c r="W256" s="280" t="n"/>
      <c r="X256" s="280" t="n"/>
      <c r="Y256" s="280" t="n"/>
    </row>
    <row r="257" ht="15" customHeight="1" s="195">
      <c r="A257" s="334" t="n"/>
      <c r="B257" s="334" t="n"/>
      <c r="C257" s="334" t="n"/>
      <c r="D257" s="334" t="n"/>
      <c r="E257" s="334" t="n"/>
      <c r="F257" s="334" t="n"/>
      <c r="G257" s="334" t="n"/>
      <c r="H257" s="334" t="n"/>
      <c r="I257" s="332">
        <f>IFERROR(VLOOKUP(TEXT(H257,"0"),IPRESS!$A$3:$B$212,2,0),"")</f>
        <v/>
      </c>
      <c r="J257" s="334" t="n"/>
      <c r="K257" s="332">
        <f>IFERROR(VLOOKUP(TEXT(O257,"0"),CONDUCTORES!$A$3:$G$54,7,0),"")</f>
        <v/>
      </c>
      <c r="L257" s="334" t="n"/>
      <c r="M257" s="334" t="n"/>
      <c r="N257" s="333">
        <f>IFERROR(IF(L257*M257=0,"",L257*M257),"")</f>
        <v/>
      </c>
      <c r="O257" s="334" t="n"/>
      <c r="P257" s="332">
        <f>IFERROR(VLOOKUP(TEXT(O257,"0"),CONDUCTORES!$A$3:$G$54,2,0),"")</f>
        <v/>
      </c>
      <c r="Q257" s="332">
        <f>IFERROR(VLOOKUP(TEXT(O257,"0"),CONDUCTORES!$A$3:$H$54,6,0),"")</f>
        <v/>
      </c>
      <c r="R257" s="334" t="n"/>
      <c r="S257" s="334" t="n"/>
      <c r="T257" s="334" t="n"/>
      <c r="U257" s="334" t="n"/>
      <c r="V257" s="334" t="n"/>
      <c r="W257" s="334" t="n"/>
      <c r="X257" s="334" t="n"/>
      <c r="Y257" s="334" t="n"/>
    </row>
    <row r="258" ht="15" customHeight="1" s="195">
      <c r="A258" s="280" t="n"/>
      <c r="B258" s="280" t="n"/>
      <c r="C258" s="280" t="n"/>
      <c r="D258" s="280" t="n"/>
      <c r="E258" s="280" t="n"/>
      <c r="F258" s="280" t="n"/>
      <c r="G258" s="280" t="n"/>
      <c r="H258" s="280" t="n"/>
      <c r="I258" s="332">
        <f>IFERROR(VLOOKUP(TEXT(H258,"0"),IPRESS!$A$3:$B$212,2,0),"")</f>
        <v/>
      </c>
      <c r="J258" s="280" t="n"/>
      <c r="K258" s="332">
        <f>IFERROR(VLOOKUP(TEXT(O258,"0"),CONDUCTORES!$A$3:$G$54,7,0),"")</f>
        <v/>
      </c>
      <c r="L258" s="280" t="n"/>
      <c r="M258" s="280" t="n"/>
      <c r="N258" s="333">
        <f>IFERROR(IF(L258*M258=0,"",L258*M258),"")</f>
        <v/>
      </c>
      <c r="O258" s="280" t="n"/>
      <c r="P258" s="332">
        <f>IFERROR(VLOOKUP(TEXT(O258,"0"),CONDUCTORES!$A$3:$G$54,2,0),"")</f>
        <v/>
      </c>
      <c r="Q258" s="332">
        <f>IFERROR(VLOOKUP(TEXT(O258,"0"),CONDUCTORES!$A$3:$H$54,6,0),"")</f>
        <v/>
      </c>
      <c r="R258" s="280" t="n"/>
      <c r="S258" s="280" t="n"/>
      <c r="T258" s="280" t="n"/>
      <c r="U258" s="280" t="n"/>
      <c r="V258" s="280" t="n"/>
      <c r="W258" s="280" t="n"/>
      <c r="X258" s="280" t="n"/>
      <c r="Y258" s="280" t="n"/>
    </row>
    <row r="259" ht="15" customHeight="1" s="195">
      <c r="A259" s="334" t="n"/>
      <c r="B259" s="334" t="n"/>
      <c r="C259" s="334" t="n"/>
      <c r="D259" s="334" t="n"/>
      <c r="E259" s="334" t="n"/>
      <c r="F259" s="334" t="n"/>
      <c r="G259" s="334" t="n"/>
      <c r="H259" s="334" t="n"/>
      <c r="I259" s="332">
        <f>IFERROR(VLOOKUP(TEXT(H259,"0"),IPRESS!$A$3:$B$212,2,0),"")</f>
        <v/>
      </c>
      <c r="J259" s="334" t="n"/>
      <c r="K259" s="332">
        <f>IFERROR(VLOOKUP(TEXT(O259,"0"),CONDUCTORES!$A$3:$G$54,7,0),"")</f>
        <v/>
      </c>
      <c r="L259" s="334" t="n"/>
      <c r="M259" s="334" t="n"/>
      <c r="N259" s="333">
        <f>IFERROR(IF(L259*M259=0,"",L259*M259),"")</f>
        <v/>
      </c>
      <c r="O259" s="334" t="n"/>
      <c r="P259" s="332">
        <f>IFERROR(VLOOKUP(TEXT(O259,"0"),CONDUCTORES!$A$3:$G$54,2,0),"")</f>
        <v/>
      </c>
      <c r="Q259" s="332">
        <f>IFERROR(VLOOKUP(TEXT(O259,"0"),CONDUCTORES!$A$3:$H$54,6,0),"")</f>
        <v/>
      </c>
      <c r="R259" s="334" t="n"/>
      <c r="S259" s="334" t="n"/>
      <c r="T259" s="334" t="n"/>
      <c r="U259" s="334" t="n"/>
      <c r="V259" s="334" t="n"/>
      <c r="W259" s="334" t="n"/>
      <c r="X259" s="334" t="n"/>
      <c r="Y259" s="334" t="n"/>
    </row>
    <row r="260" ht="15" customHeight="1" s="195">
      <c r="A260" s="280" t="n"/>
      <c r="B260" s="280" t="n"/>
      <c r="C260" s="280" t="n"/>
      <c r="D260" s="280" t="n"/>
      <c r="E260" s="280" t="n"/>
      <c r="F260" s="280" t="n"/>
      <c r="G260" s="280" t="n"/>
      <c r="H260" s="280" t="n"/>
      <c r="I260" s="332">
        <f>IFERROR(VLOOKUP(TEXT(H260,"0"),IPRESS!$A$3:$B$212,2,0),"")</f>
        <v/>
      </c>
      <c r="J260" s="280" t="n"/>
      <c r="K260" s="332">
        <f>IFERROR(VLOOKUP(TEXT(O260,"0"),CONDUCTORES!$A$3:$G$54,7,0),"")</f>
        <v/>
      </c>
      <c r="L260" s="280" t="n"/>
      <c r="M260" s="280" t="n"/>
      <c r="N260" s="333">
        <f>IFERROR(IF(L260*M260=0,"",L260*M260),"")</f>
        <v/>
      </c>
      <c r="O260" s="280" t="n"/>
      <c r="P260" s="332">
        <f>IFERROR(VLOOKUP(TEXT(O260,"0"),CONDUCTORES!$A$3:$G$54,2,0),"")</f>
        <v/>
      </c>
      <c r="Q260" s="332">
        <f>IFERROR(VLOOKUP(TEXT(O260,"0"),CONDUCTORES!$A$3:$H$54,6,0),"")</f>
        <v/>
      </c>
      <c r="R260" s="280" t="n"/>
      <c r="S260" s="280" t="n"/>
      <c r="T260" s="280" t="n"/>
      <c r="U260" s="280" t="n"/>
      <c r="V260" s="280" t="n"/>
      <c r="W260" s="280" t="n"/>
      <c r="X260" s="280" t="n"/>
      <c r="Y260" s="280" t="n"/>
    </row>
    <row r="261" ht="15" customHeight="1" s="195">
      <c r="A261" s="334" t="n"/>
      <c r="B261" s="334" t="n"/>
      <c r="C261" s="334" t="n"/>
      <c r="D261" s="334" t="n"/>
      <c r="E261" s="334" t="n"/>
      <c r="F261" s="334" t="n"/>
      <c r="G261" s="334" t="n"/>
      <c r="H261" s="334" t="n"/>
      <c r="I261" s="332">
        <f>IFERROR(VLOOKUP(TEXT(H261,"0"),IPRESS!$A$3:$B$212,2,0),"")</f>
        <v/>
      </c>
      <c r="J261" s="334" t="n"/>
      <c r="K261" s="332">
        <f>IFERROR(VLOOKUP(TEXT(O261,"0"),CONDUCTORES!$A$3:$G$54,7,0),"")</f>
        <v/>
      </c>
      <c r="L261" s="334" t="n"/>
      <c r="M261" s="334" t="n"/>
      <c r="N261" s="333">
        <f>IFERROR(IF(L261*M261=0,"",L261*M261),"")</f>
        <v/>
      </c>
      <c r="O261" s="334" t="n"/>
      <c r="P261" s="332">
        <f>IFERROR(VLOOKUP(TEXT(O261,"0"),CONDUCTORES!$A$3:$G$54,2,0),"")</f>
        <v/>
      </c>
      <c r="Q261" s="332">
        <f>IFERROR(VLOOKUP(TEXT(O261,"0"),CONDUCTORES!$A$3:$H$54,6,0),"")</f>
        <v/>
      </c>
      <c r="R261" s="334" t="n"/>
      <c r="S261" s="334" t="n"/>
      <c r="T261" s="334" t="n"/>
      <c r="U261" s="334" t="n"/>
      <c r="V261" s="334" t="n"/>
      <c r="W261" s="334" t="n"/>
      <c r="X261" s="334" t="n"/>
      <c r="Y261" s="334" t="n"/>
    </row>
    <row r="262" ht="15" customHeight="1" s="195">
      <c r="A262" s="280" t="n"/>
      <c r="B262" s="280" t="n"/>
      <c r="C262" s="280" t="n"/>
      <c r="D262" s="280" t="n"/>
      <c r="E262" s="280" t="n"/>
      <c r="F262" s="280" t="n"/>
      <c r="G262" s="280" t="n"/>
      <c r="H262" s="280" t="n"/>
      <c r="I262" s="332">
        <f>IFERROR(VLOOKUP(TEXT(H262,"0"),IPRESS!$A$3:$B$212,2,0),"")</f>
        <v/>
      </c>
      <c r="J262" s="280" t="n"/>
      <c r="K262" s="332">
        <f>IFERROR(VLOOKUP(TEXT(O262,"0"),CONDUCTORES!$A$3:$G$54,7,0),"")</f>
        <v/>
      </c>
      <c r="L262" s="280" t="n"/>
      <c r="M262" s="280" t="n"/>
      <c r="N262" s="333">
        <f>IFERROR(IF(L262*M262=0,"",L262*M262),"")</f>
        <v/>
      </c>
      <c r="O262" s="280" t="n"/>
      <c r="P262" s="332">
        <f>IFERROR(VLOOKUP(TEXT(O262,"0"),CONDUCTORES!$A$3:$G$54,2,0),"")</f>
        <v/>
      </c>
      <c r="Q262" s="332">
        <f>IFERROR(VLOOKUP(TEXT(O262,"0"),CONDUCTORES!$A$3:$H$54,6,0),"")</f>
        <v/>
      </c>
      <c r="R262" s="280" t="n"/>
      <c r="S262" s="280" t="n"/>
      <c r="T262" s="280" t="n"/>
      <c r="U262" s="280" t="n"/>
      <c r="V262" s="280" t="n"/>
      <c r="W262" s="280" t="n"/>
      <c r="X262" s="280" t="n"/>
      <c r="Y262" s="280" t="n"/>
    </row>
    <row r="263" ht="15" customHeight="1" s="195">
      <c r="A263" s="334" t="n"/>
      <c r="B263" s="334" t="n"/>
      <c r="C263" s="334" t="n"/>
      <c r="D263" s="334" t="n"/>
      <c r="E263" s="334" t="n"/>
      <c r="F263" s="334" t="n"/>
      <c r="G263" s="334" t="n"/>
      <c r="H263" s="334" t="n"/>
      <c r="I263" s="332">
        <f>IFERROR(VLOOKUP(TEXT(H263,"0"),IPRESS!$A$3:$B$212,2,0),"")</f>
        <v/>
      </c>
      <c r="J263" s="334" t="n"/>
      <c r="K263" s="332">
        <f>IFERROR(VLOOKUP(TEXT(O263,"0"),CONDUCTORES!$A$3:$G$54,7,0),"")</f>
        <v/>
      </c>
      <c r="L263" s="334" t="n"/>
      <c r="M263" s="334" t="n"/>
      <c r="N263" s="333">
        <f>IFERROR(IF(L263*M263=0,"",L263*M263),"")</f>
        <v/>
      </c>
      <c r="O263" s="334" t="n"/>
      <c r="P263" s="332">
        <f>IFERROR(VLOOKUP(TEXT(O263,"0"),CONDUCTORES!$A$3:$G$54,2,0),"")</f>
        <v/>
      </c>
      <c r="Q263" s="332">
        <f>IFERROR(VLOOKUP(TEXT(O263,"0"),CONDUCTORES!$A$3:$H$54,6,0),"")</f>
        <v/>
      </c>
      <c r="R263" s="334" t="n"/>
      <c r="S263" s="334" t="n"/>
      <c r="T263" s="334" t="n"/>
      <c r="U263" s="334" t="n"/>
      <c r="V263" s="334" t="n"/>
      <c r="W263" s="334" t="n"/>
      <c r="X263" s="334" t="n"/>
      <c r="Y263" s="334" t="n"/>
    </row>
    <row r="264" ht="15" customHeight="1" s="195">
      <c r="A264" s="280" t="n"/>
      <c r="B264" s="280" t="n"/>
      <c r="C264" s="280" t="n"/>
      <c r="D264" s="280" t="n"/>
      <c r="E264" s="280" t="n"/>
      <c r="F264" s="280" t="n"/>
      <c r="G264" s="280" t="n"/>
      <c r="H264" s="280" t="n"/>
      <c r="I264" s="332">
        <f>IFERROR(VLOOKUP(TEXT(H264,"0"),IPRESS!$A$3:$B$212,2,0),"")</f>
        <v/>
      </c>
      <c r="J264" s="280" t="n"/>
      <c r="K264" s="332">
        <f>IFERROR(VLOOKUP(TEXT(O264,"0"),CONDUCTORES!$A$3:$G$54,7,0),"")</f>
        <v/>
      </c>
      <c r="L264" s="280" t="n"/>
      <c r="M264" s="280" t="n"/>
      <c r="N264" s="333">
        <f>IFERROR(IF(L264*M264=0,"",L264*M264),"")</f>
        <v/>
      </c>
      <c r="O264" s="280" t="n"/>
      <c r="P264" s="332">
        <f>IFERROR(VLOOKUP(TEXT(O264,"0"),CONDUCTORES!$A$3:$G$54,2,0),"")</f>
        <v/>
      </c>
      <c r="Q264" s="332">
        <f>IFERROR(VLOOKUP(TEXT(O264,"0"),CONDUCTORES!$A$3:$H$54,6,0),"")</f>
        <v/>
      </c>
      <c r="R264" s="280" t="n"/>
      <c r="S264" s="280" t="n"/>
      <c r="T264" s="280" t="n"/>
      <c r="U264" s="280" t="n"/>
      <c r="V264" s="280" t="n"/>
      <c r="W264" s="280" t="n"/>
      <c r="X264" s="280" t="n"/>
      <c r="Y264" s="280" t="n"/>
    </row>
    <row r="265" ht="15" customHeight="1" s="195">
      <c r="A265" s="334" t="n"/>
      <c r="B265" s="334" t="n"/>
      <c r="C265" s="334" t="n"/>
      <c r="D265" s="334" t="n"/>
      <c r="E265" s="334" t="n"/>
      <c r="F265" s="334" t="n"/>
      <c r="G265" s="334" t="n"/>
      <c r="H265" s="334" t="n"/>
      <c r="I265" s="332">
        <f>IFERROR(VLOOKUP(TEXT(H265,"0"),IPRESS!$A$3:$B$212,2,0),"")</f>
        <v/>
      </c>
      <c r="J265" s="334" t="n"/>
      <c r="K265" s="332">
        <f>IFERROR(VLOOKUP(TEXT(O265,"0"),CONDUCTORES!$A$3:$G$54,7,0),"")</f>
        <v/>
      </c>
      <c r="L265" s="334" t="n"/>
      <c r="M265" s="334" t="n"/>
      <c r="N265" s="333">
        <f>IFERROR(IF(L265*M265=0,"",L265*M265),"")</f>
        <v/>
      </c>
      <c r="O265" s="334" t="n"/>
      <c r="P265" s="332">
        <f>IFERROR(VLOOKUP(TEXT(O265,"0"),CONDUCTORES!$A$3:$G$54,2,0),"")</f>
        <v/>
      </c>
      <c r="Q265" s="332">
        <f>IFERROR(VLOOKUP(TEXT(O265,"0"),CONDUCTORES!$A$3:$H$54,6,0),"")</f>
        <v/>
      </c>
      <c r="R265" s="334" t="n"/>
      <c r="S265" s="334" t="n"/>
      <c r="T265" s="334" t="n"/>
      <c r="U265" s="334" t="n"/>
      <c r="V265" s="334" t="n"/>
      <c r="W265" s="334" t="n"/>
      <c r="X265" s="334" t="n"/>
      <c r="Y265" s="334" t="n"/>
    </row>
    <row r="266" ht="15" customHeight="1" s="195">
      <c r="A266" s="280" t="n"/>
      <c r="B266" s="280" t="n"/>
      <c r="C266" s="280" t="n"/>
      <c r="D266" s="280" t="n"/>
      <c r="E266" s="280" t="n"/>
      <c r="F266" s="280" t="n"/>
      <c r="G266" s="280" t="n"/>
      <c r="H266" s="280" t="n"/>
      <c r="I266" s="332">
        <f>IFERROR(VLOOKUP(TEXT(H266,"0"),IPRESS!$A$3:$B$212,2,0),"")</f>
        <v/>
      </c>
      <c r="J266" s="280" t="n"/>
      <c r="K266" s="332">
        <f>IFERROR(VLOOKUP(TEXT(O266,"0"),CONDUCTORES!$A$3:$G$54,7,0),"")</f>
        <v/>
      </c>
      <c r="L266" s="280" t="n"/>
      <c r="M266" s="280" t="n"/>
      <c r="N266" s="333">
        <f>IFERROR(IF(L266*M266=0,"",L266*M266),"")</f>
        <v/>
      </c>
      <c r="O266" s="280" t="n"/>
      <c r="P266" s="332">
        <f>IFERROR(VLOOKUP(TEXT(O266,"0"),CONDUCTORES!$A$3:$G$54,2,0),"")</f>
        <v/>
      </c>
      <c r="Q266" s="332">
        <f>IFERROR(VLOOKUP(TEXT(O266,"0"),CONDUCTORES!$A$3:$H$54,6,0),"")</f>
        <v/>
      </c>
      <c r="R266" s="280" t="n"/>
      <c r="S266" s="280" t="n"/>
      <c r="T266" s="280" t="n"/>
      <c r="U266" s="280" t="n"/>
      <c r="V266" s="280" t="n"/>
      <c r="W266" s="280" t="n"/>
      <c r="X266" s="280" t="n"/>
      <c r="Y266" s="280" t="n"/>
    </row>
    <row r="267" ht="15" customHeight="1" s="195">
      <c r="A267" s="334" t="n"/>
      <c r="B267" s="334" t="n"/>
      <c r="C267" s="334" t="n"/>
      <c r="D267" s="334" t="n"/>
      <c r="E267" s="334" t="n"/>
      <c r="F267" s="334" t="n"/>
      <c r="G267" s="334" t="n"/>
      <c r="H267" s="334" t="n"/>
      <c r="I267" s="332">
        <f>IFERROR(VLOOKUP(TEXT(H267,"0"),IPRESS!$A$3:$B$212,2,0),"")</f>
        <v/>
      </c>
      <c r="J267" s="334" t="n"/>
      <c r="K267" s="332">
        <f>IFERROR(VLOOKUP(TEXT(O267,"0"),CONDUCTORES!$A$3:$G$54,7,0),"")</f>
        <v/>
      </c>
      <c r="L267" s="334" t="n"/>
      <c r="M267" s="334" t="n"/>
      <c r="N267" s="333">
        <f>IFERROR(IF(L267*M267=0,"",L267*M267),"")</f>
        <v/>
      </c>
      <c r="O267" s="334" t="n"/>
      <c r="P267" s="332">
        <f>IFERROR(VLOOKUP(TEXT(O267,"0"),CONDUCTORES!$A$3:$G$54,2,0),"")</f>
        <v/>
      </c>
      <c r="Q267" s="332">
        <f>IFERROR(VLOOKUP(TEXT(O267,"0"),CONDUCTORES!$A$3:$H$54,6,0),"")</f>
        <v/>
      </c>
      <c r="R267" s="334" t="n"/>
      <c r="S267" s="334" t="n"/>
      <c r="T267" s="334" t="n"/>
      <c r="U267" s="334" t="n"/>
      <c r="V267" s="334" t="n"/>
      <c r="W267" s="334" t="n"/>
      <c r="X267" s="334" t="n"/>
      <c r="Y267" s="334" t="n"/>
    </row>
    <row r="268" ht="15" customHeight="1" s="195">
      <c r="A268" s="280" t="n"/>
      <c r="B268" s="280" t="n"/>
      <c r="C268" s="280" t="n"/>
      <c r="D268" s="280" t="n"/>
      <c r="E268" s="280" t="n"/>
      <c r="F268" s="280" t="n"/>
      <c r="G268" s="280" t="n"/>
      <c r="H268" s="280" t="n"/>
      <c r="I268" s="332">
        <f>IFERROR(VLOOKUP(TEXT(H268,"0"),IPRESS!$A$3:$B$212,2,0),"")</f>
        <v/>
      </c>
      <c r="J268" s="280" t="n"/>
      <c r="K268" s="332">
        <f>IFERROR(VLOOKUP(TEXT(O268,"0"),CONDUCTORES!$A$3:$G$54,7,0),"")</f>
        <v/>
      </c>
      <c r="L268" s="280" t="n"/>
      <c r="M268" s="280" t="n"/>
      <c r="N268" s="333">
        <f>IFERROR(IF(L268*M268=0,"",L268*M268),"")</f>
        <v/>
      </c>
      <c r="O268" s="280" t="n"/>
      <c r="P268" s="332">
        <f>IFERROR(VLOOKUP(TEXT(O268,"0"),CONDUCTORES!$A$3:$G$54,2,0),"")</f>
        <v/>
      </c>
      <c r="Q268" s="332">
        <f>IFERROR(VLOOKUP(TEXT(O268,"0"),CONDUCTORES!$A$3:$H$54,6,0),"")</f>
        <v/>
      </c>
      <c r="R268" s="280" t="n"/>
      <c r="S268" s="280" t="n"/>
      <c r="T268" s="280" t="n"/>
      <c r="U268" s="280" t="n"/>
      <c r="V268" s="280" t="n"/>
      <c r="W268" s="280" t="n"/>
      <c r="X268" s="280" t="n"/>
      <c r="Y268" s="280" t="n"/>
    </row>
    <row r="269" ht="15" customHeight="1" s="195">
      <c r="A269" s="334" t="n"/>
      <c r="B269" s="334" t="n"/>
      <c r="C269" s="334" t="n"/>
      <c r="D269" s="334" t="n"/>
      <c r="E269" s="334" t="n"/>
      <c r="F269" s="334" t="n"/>
      <c r="G269" s="334" t="n"/>
      <c r="H269" s="334" t="n"/>
      <c r="I269" s="332">
        <f>IFERROR(VLOOKUP(TEXT(H269,"0"),IPRESS!$A$3:$B$212,2,0),"")</f>
        <v/>
      </c>
      <c r="J269" s="334" t="n"/>
      <c r="K269" s="332">
        <f>IFERROR(VLOOKUP(TEXT(O269,"0"),CONDUCTORES!$A$3:$G$54,7,0),"")</f>
        <v/>
      </c>
      <c r="L269" s="334" t="n"/>
      <c r="M269" s="334" t="n"/>
      <c r="N269" s="333">
        <f>IFERROR(IF(L269*M269=0,"",L269*M269),"")</f>
        <v/>
      </c>
      <c r="O269" s="334" t="n"/>
      <c r="P269" s="332">
        <f>IFERROR(VLOOKUP(TEXT(O269,"0"),CONDUCTORES!$A$3:$G$54,2,0),"")</f>
        <v/>
      </c>
      <c r="Q269" s="332">
        <f>IFERROR(VLOOKUP(TEXT(O269,"0"),CONDUCTORES!$A$3:$H$54,6,0),"")</f>
        <v/>
      </c>
      <c r="R269" s="334" t="n"/>
      <c r="S269" s="334" t="n"/>
      <c r="T269" s="334" t="n"/>
      <c r="U269" s="334" t="n"/>
      <c r="V269" s="334" t="n"/>
      <c r="W269" s="334" t="n"/>
      <c r="X269" s="334" t="n"/>
      <c r="Y269" s="334" t="n"/>
    </row>
    <row r="270" ht="15" customHeight="1" s="195">
      <c r="A270" s="280" t="n"/>
      <c r="B270" s="280" t="n"/>
      <c r="C270" s="280" t="n"/>
      <c r="D270" s="280" t="n"/>
      <c r="E270" s="280" t="n"/>
      <c r="F270" s="280" t="n"/>
      <c r="G270" s="280" t="n"/>
      <c r="H270" s="280" t="n"/>
      <c r="I270" s="332">
        <f>IFERROR(VLOOKUP(TEXT(H270,"0"),IPRESS!$A$3:$B$212,2,0),"")</f>
        <v/>
      </c>
      <c r="J270" s="280" t="n"/>
      <c r="K270" s="332">
        <f>IFERROR(VLOOKUP(TEXT(O270,"0"),CONDUCTORES!$A$3:$G$54,7,0),"")</f>
        <v/>
      </c>
      <c r="L270" s="280" t="n"/>
      <c r="M270" s="280" t="n"/>
      <c r="N270" s="333">
        <f>IFERROR(IF(L270*M270=0,"",L270*M270),"")</f>
        <v/>
      </c>
      <c r="O270" s="280" t="n"/>
      <c r="P270" s="332">
        <f>IFERROR(VLOOKUP(TEXT(O270,"0"),CONDUCTORES!$A$3:$G$54,2,0),"")</f>
        <v/>
      </c>
      <c r="Q270" s="332">
        <f>IFERROR(VLOOKUP(TEXT(O270,"0"),CONDUCTORES!$A$3:$H$54,6,0),"")</f>
        <v/>
      </c>
      <c r="R270" s="280" t="n"/>
      <c r="S270" s="280" t="n"/>
      <c r="T270" s="280" t="n"/>
      <c r="U270" s="280" t="n"/>
      <c r="V270" s="280" t="n"/>
      <c r="W270" s="280" t="n"/>
      <c r="X270" s="280" t="n"/>
      <c r="Y270" s="280" t="n"/>
    </row>
    <row r="271" ht="15" customHeight="1" s="195">
      <c r="A271" s="334" t="n"/>
      <c r="B271" s="334" t="n"/>
      <c r="C271" s="334" t="n"/>
      <c r="D271" s="334" t="n"/>
      <c r="E271" s="334" t="n"/>
      <c r="F271" s="334" t="n"/>
      <c r="G271" s="334" t="n"/>
      <c r="H271" s="334" t="n"/>
      <c r="I271" s="332">
        <f>IFERROR(VLOOKUP(TEXT(H271,"0"),IPRESS!$A$3:$B$212,2,0),"")</f>
        <v/>
      </c>
      <c r="J271" s="334" t="n"/>
      <c r="K271" s="332">
        <f>IFERROR(VLOOKUP(TEXT(O271,"0"),CONDUCTORES!$A$3:$G$54,7,0),"")</f>
        <v/>
      </c>
      <c r="L271" s="334" t="n"/>
      <c r="M271" s="334" t="n"/>
      <c r="N271" s="333">
        <f>IFERROR(IF(L271*M271=0,"",L271*M271),"")</f>
        <v/>
      </c>
      <c r="O271" s="334" t="n"/>
      <c r="P271" s="332">
        <f>IFERROR(VLOOKUP(TEXT(O271,"0"),CONDUCTORES!$A$3:$G$54,2,0),"")</f>
        <v/>
      </c>
      <c r="Q271" s="332">
        <f>IFERROR(VLOOKUP(TEXT(O271,"0"),CONDUCTORES!$A$3:$H$54,6,0),"")</f>
        <v/>
      </c>
      <c r="R271" s="334" t="n"/>
      <c r="S271" s="334" t="n"/>
      <c r="T271" s="334" t="n"/>
      <c r="U271" s="334" t="n"/>
      <c r="V271" s="334" t="n"/>
      <c r="W271" s="334" t="n"/>
      <c r="X271" s="334" t="n"/>
      <c r="Y271" s="334" t="n"/>
    </row>
    <row r="272" ht="15" customHeight="1" s="195">
      <c r="A272" s="280" t="n"/>
      <c r="B272" s="280" t="n"/>
      <c r="C272" s="280" t="n"/>
      <c r="D272" s="280" t="n"/>
      <c r="E272" s="280" t="n"/>
      <c r="F272" s="280" t="n"/>
      <c r="G272" s="280" t="n"/>
      <c r="H272" s="280" t="n"/>
      <c r="I272" s="332">
        <f>IFERROR(VLOOKUP(TEXT(H272,"0"),IPRESS!$A$3:$B$212,2,0),"")</f>
        <v/>
      </c>
      <c r="J272" s="280" t="n"/>
      <c r="K272" s="332">
        <f>IFERROR(VLOOKUP(TEXT(O272,"0"),CONDUCTORES!$A$3:$G$54,7,0),"")</f>
        <v/>
      </c>
      <c r="L272" s="280" t="n"/>
      <c r="M272" s="280" t="n"/>
      <c r="N272" s="333">
        <f>IFERROR(IF(L272*M272=0,"",L272*M272),"")</f>
        <v/>
      </c>
      <c r="O272" s="280" t="n"/>
      <c r="P272" s="332">
        <f>IFERROR(VLOOKUP(TEXT(O272,"0"),CONDUCTORES!$A$3:$G$54,2,0),"")</f>
        <v/>
      </c>
      <c r="Q272" s="332">
        <f>IFERROR(VLOOKUP(TEXT(O272,"0"),CONDUCTORES!$A$3:$H$54,6,0),"")</f>
        <v/>
      </c>
      <c r="R272" s="280" t="n"/>
      <c r="S272" s="280" t="n"/>
      <c r="T272" s="280" t="n"/>
      <c r="U272" s="280" t="n"/>
      <c r="V272" s="280" t="n"/>
      <c r="W272" s="280" t="n"/>
      <c r="X272" s="280" t="n"/>
      <c r="Y272" s="280" t="n"/>
    </row>
    <row r="273" ht="15" customHeight="1" s="195">
      <c r="A273" s="334" t="n"/>
      <c r="B273" s="334" t="n"/>
      <c r="C273" s="334" t="n"/>
      <c r="D273" s="334" t="n"/>
      <c r="E273" s="334" t="n"/>
      <c r="F273" s="334" t="n"/>
      <c r="G273" s="334" t="n"/>
      <c r="H273" s="334" t="n"/>
      <c r="I273" s="332">
        <f>IFERROR(VLOOKUP(TEXT(H273,"0"),IPRESS!$A$3:$B$212,2,0),"")</f>
        <v/>
      </c>
      <c r="J273" s="334" t="n"/>
      <c r="K273" s="332">
        <f>IFERROR(VLOOKUP(TEXT(O273,"0"),CONDUCTORES!$A$3:$G$54,7,0),"")</f>
        <v/>
      </c>
      <c r="L273" s="334" t="n"/>
      <c r="M273" s="334" t="n"/>
      <c r="N273" s="333">
        <f>IFERROR(IF(L273*M273=0,"",L273*M273),"")</f>
        <v/>
      </c>
      <c r="O273" s="334" t="n"/>
      <c r="P273" s="332">
        <f>IFERROR(VLOOKUP(TEXT(O273,"0"),CONDUCTORES!$A$3:$G$54,2,0),"")</f>
        <v/>
      </c>
      <c r="Q273" s="332">
        <f>IFERROR(VLOOKUP(TEXT(O273,"0"),CONDUCTORES!$A$3:$H$54,6,0),"")</f>
        <v/>
      </c>
      <c r="R273" s="334" t="n"/>
      <c r="S273" s="334" t="n"/>
      <c r="T273" s="334" t="n"/>
      <c r="U273" s="334" t="n"/>
      <c r="V273" s="334" t="n"/>
      <c r="W273" s="334" t="n"/>
      <c r="X273" s="334" t="n"/>
      <c r="Y273" s="334" t="n"/>
    </row>
    <row r="274" ht="15" customHeight="1" s="195">
      <c r="A274" s="280" t="n"/>
      <c r="B274" s="280" t="n"/>
      <c r="C274" s="280" t="n"/>
      <c r="D274" s="280" t="n"/>
      <c r="E274" s="280" t="n"/>
      <c r="F274" s="280" t="n"/>
      <c r="G274" s="280" t="n"/>
      <c r="H274" s="280" t="n"/>
      <c r="I274" s="332">
        <f>IFERROR(VLOOKUP(TEXT(H274,"0"),IPRESS!$A$3:$B$212,2,0),"")</f>
        <v/>
      </c>
      <c r="J274" s="280" t="n"/>
      <c r="K274" s="332">
        <f>IFERROR(VLOOKUP(TEXT(O274,"0"),CONDUCTORES!$A$3:$G$54,7,0),"")</f>
        <v/>
      </c>
      <c r="L274" s="280" t="n"/>
      <c r="M274" s="280" t="n"/>
      <c r="N274" s="333">
        <f>IFERROR(IF(L274*M274=0,"",L274*M274),"")</f>
        <v/>
      </c>
      <c r="O274" s="280" t="n"/>
      <c r="P274" s="332">
        <f>IFERROR(VLOOKUP(TEXT(O274,"0"),CONDUCTORES!$A$3:$G$54,2,0),"")</f>
        <v/>
      </c>
      <c r="Q274" s="332">
        <f>IFERROR(VLOOKUP(TEXT(O274,"0"),CONDUCTORES!$A$3:$H$54,6,0),"")</f>
        <v/>
      </c>
      <c r="R274" s="280" t="n"/>
      <c r="S274" s="280" t="n"/>
      <c r="T274" s="280" t="n"/>
      <c r="U274" s="280" t="n"/>
      <c r="V274" s="280" t="n"/>
      <c r="W274" s="280" t="n"/>
      <c r="X274" s="280" t="n"/>
      <c r="Y274" s="280" t="n"/>
    </row>
    <row r="275" ht="15" customHeight="1" s="195">
      <c r="A275" s="334" t="n"/>
      <c r="B275" s="334" t="n"/>
      <c r="C275" s="334" t="n"/>
      <c r="D275" s="334" t="n"/>
      <c r="E275" s="334" t="n"/>
      <c r="F275" s="334" t="n"/>
      <c r="G275" s="334" t="n"/>
      <c r="H275" s="334" t="n"/>
      <c r="I275" s="332">
        <f>IFERROR(VLOOKUP(TEXT(H275,"0"),IPRESS!$A$3:$B$212,2,0),"")</f>
        <v/>
      </c>
      <c r="J275" s="334" t="n"/>
      <c r="K275" s="332">
        <f>IFERROR(VLOOKUP(TEXT(O275,"0"),CONDUCTORES!$A$3:$G$54,7,0),"")</f>
        <v/>
      </c>
      <c r="L275" s="334" t="n"/>
      <c r="M275" s="334" t="n"/>
      <c r="N275" s="333">
        <f>IFERROR(IF(L275*M275=0,"",L275*M275),"")</f>
        <v/>
      </c>
      <c r="O275" s="334" t="n"/>
      <c r="P275" s="332">
        <f>IFERROR(VLOOKUP(TEXT(O275,"0"),CONDUCTORES!$A$3:$G$54,2,0),"")</f>
        <v/>
      </c>
      <c r="Q275" s="332">
        <f>IFERROR(VLOOKUP(TEXT(O275,"0"),CONDUCTORES!$A$3:$H$54,6,0),"")</f>
        <v/>
      </c>
      <c r="R275" s="334" t="n"/>
      <c r="S275" s="334" t="n"/>
      <c r="T275" s="334" t="n"/>
      <c r="U275" s="334" t="n"/>
      <c r="V275" s="334" t="n"/>
      <c r="W275" s="334" t="n"/>
      <c r="X275" s="334" t="n"/>
      <c r="Y275" s="334" t="n"/>
    </row>
    <row r="276" ht="15" customHeight="1" s="195">
      <c r="A276" s="280" t="n"/>
      <c r="B276" s="280" t="n"/>
      <c r="C276" s="280" t="n"/>
      <c r="D276" s="280" t="n"/>
      <c r="E276" s="280" t="n"/>
      <c r="F276" s="280" t="n"/>
      <c r="G276" s="280" t="n"/>
      <c r="H276" s="280" t="n"/>
      <c r="I276" s="332">
        <f>IFERROR(VLOOKUP(TEXT(H276,"0"),IPRESS!$A$3:$B$212,2,0),"")</f>
        <v/>
      </c>
      <c r="J276" s="280" t="n"/>
      <c r="K276" s="332">
        <f>IFERROR(VLOOKUP(TEXT(O276,"0"),CONDUCTORES!$A$3:$G$54,7,0),"")</f>
        <v/>
      </c>
      <c r="L276" s="280" t="n"/>
      <c r="M276" s="280" t="n"/>
      <c r="N276" s="333">
        <f>IFERROR(IF(L276*M276=0,"",L276*M276),"")</f>
        <v/>
      </c>
      <c r="O276" s="280" t="n"/>
      <c r="P276" s="332">
        <f>IFERROR(VLOOKUP(TEXT(O276,"0"),CONDUCTORES!$A$3:$G$54,2,0),"")</f>
        <v/>
      </c>
      <c r="Q276" s="332">
        <f>IFERROR(VLOOKUP(TEXT(O276,"0"),CONDUCTORES!$A$3:$H$54,6,0),"")</f>
        <v/>
      </c>
      <c r="R276" s="280" t="n"/>
      <c r="S276" s="280" t="n"/>
      <c r="T276" s="280" t="n"/>
      <c r="U276" s="280" t="n"/>
      <c r="V276" s="280" t="n"/>
      <c r="W276" s="280" t="n"/>
      <c r="X276" s="280" t="n"/>
      <c r="Y276" s="280" t="n"/>
    </row>
    <row r="277" ht="15" customHeight="1" s="195">
      <c r="A277" s="334" t="n"/>
      <c r="B277" s="334" t="n"/>
      <c r="C277" s="334" t="n"/>
      <c r="D277" s="334" t="n"/>
      <c r="E277" s="334" t="n"/>
      <c r="F277" s="334" t="n"/>
      <c r="G277" s="334" t="n"/>
      <c r="H277" s="334" t="n"/>
      <c r="I277" s="332">
        <f>IFERROR(VLOOKUP(TEXT(H277,"0"),IPRESS!$A$3:$B$212,2,0),"")</f>
        <v/>
      </c>
      <c r="J277" s="334" t="n"/>
      <c r="K277" s="332">
        <f>IFERROR(VLOOKUP(TEXT(O277,"0"),CONDUCTORES!$A$3:$G$54,7,0),"")</f>
        <v/>
      </c>
      <c r="L277" s="334" t="n"/>
      <c r="M277" s="334" t="n"/>
      <c r="N277" s="333">
        <f>IFERROR(IF(L277*M277=0,"",L277*M277),"")</f>
        <v/>
      </c>
      <c r="O277" s="334" t="n"/>
      <c r="P277" s="332">
        <f>IFERROR(VLOOKUP(TEXT(O277,"0"),CONDUCTORES!$A$3:$G$54,2,0),"")</f>
        <v/>
      </c>
      <c r="Q277" s="332">
        <f>IFERROR(VLOOKUP(TEXT(O277,"0"),CONDUCTORES!$A$3:$H$54,6,0),"")</f>
        <v/>
      </c>
      <c r="R277" s="334" t="n"/>
      <c r="S277" s="334" t="n"/>
      <c r="T277" s="334" t="n"/>
      <c r="U277" s="334" t="n"/>
      <c r="V277" s="334" t="n"/>
      <c r="W277" s="334" t="n"/>
      <c r="X277" s="334" t="n"/>
      <c r="Y277" s="334" t="n"/>
    </row>
    <row r="278" ht="15" customHeight="1" s="195">
      <c r="A278" s="280" t="n"/>
      <c r="B278" s="280" t="n"/>
      <c r="C278" s="280" t="n"/>
      <c r="D278" s="280" t="n"/>
      <c r="E278" s="280" t="n"/>
      <c r="F278" s="280" t="n"/>
      <c r="G278" s="280" t="n"/>
      <c r="H278" s="280" t="n"/>
      <c r="I278" s="332">
        <f>IFERROR(VLOOKUP(TEXT(H278,"0"),IPRESS!$A$3:$B$212,2,0),"")</f>
        <v/>
      </c>
      <c r="J278" s="280" t="n"/>
      <c r="K278" s="332">
        <f>IFERROR(VLOOKUP(TEXT(O278,"0"),CONDUCTORES!$A$3:$G$54,7,0),"")</f>
        <v/>
      </c>
      <c r="L278" s="280" t="n"/>
      <c r="M278" s="280" t="n"/>
      <c r="N278" s="333">
        <f>IFERROR(IF(L278*M278=0,"",L278*M278),"")</f>
        <v/>
      </c>
      <c r="O278" s="280" t="n"/>
      <c r="P278" s="332">
        <f>IFERROR(VLOOKUP(TEXT(O278,"0"),CONDUCTORES!$A$3:$G$54,2,0),"")</f>
        <v/>
      </c>
      <c r="Q278" s="332">
        <f>IFERROR(VLOOKUP(TEXT(O278,"0"),CONDUCTORES!$A$3:$H$54,6,0),"")</f>
        <v/>
      </c>
      <c r="R278" s="280" t="n"/>
      <c r="S278" s="280" t="n"/>
      <c r="T278" s="280" t="n"/>
      <c r="U278" s="280" t="n"/>
      <c r="V278" s="280" t="n"/>
      <c r="W278" s="280" t="n"/>
      <c r="X278" s="280" t="n"/>
      <c r="Y278" s="280" t="n"/>
    </row>
    <row r="279" ht="15" customHeight="1" s="195">
      <c r="A279" s="334" t="n"/>
      <c r="B279" s="334" t="n"/>
      <c r="C279" s="334" t="n"/>
      <c r="D279" s="334" t="n"/>
      <c r="E279" s="334" t="n"/>
      <c r="F279" s="334" t="n"/>
      <c r="G279" s="334" t="n"/>
      <c r="H279" s="334" t="n"/>
      <c r="I279" s="332">
        <f>IFERROR(VLOOKUP(TEXT(H279,"0"),IPRESS!$A$3:$B$212,2,0),"")</f>
        <v/>
      </c>
      <c r="J279" s="334" t="n"/>
      <c r="K279" s="332">
        <f>IFERROR(VLOOKUP(TEXT(O279,"0"),CONDUCTORES!$A$3:$G$54,7,0),"")</f>
        <v/>
      </c>
      <c r="L279" s="334" t="n"/>
      <c r="M279" s="334" t="n"/>
      <c r="N279" s="333">
        <f>IFERROR(IF(L279*M279=0,"",L279*M279),"")</f>
        <v/>
      </c>
      <c r="O279" s="334" t="n"/>
      <c r="P279" s="332">
        <f>IFERROR(VLOOKUP(TEXT(O279,"0"),CONDUCTORES!$A$3:$G$54,2,0),"")</f>
        <v/>
      </c>
      <c r="Q279" s="332">
        <f>IFERROR(VLOOKUP(TEXT(O279,"0"),CONDUCTORES!$A$3:$H$54,6,0),"")</f>
        <v/>
      </c>
      <c r="R279" s="334" t="n"/>
      <c r="S279" s="334" t="n"/>
      <c r="T279" s="334" t="n"/>
      <c r="U279" s="334" t="n"/>
      <c r="V279" s="334" t="n"/>
      <c r="W279" s="334" t="n"/>
      <c r="X279" s="334" t="n"/>
      <c r="Y279" s="334" t="n"/>
    </row>
    <row r="280" ht="15" customHeight="1" s="195">
      <c r="A280" s="280" t="n"/>
      <c r="B280" s="280" t="n"/>
      <c r="C280" s="280" t="n"/>
      <c r="D280" s="280" t="n"/>
      <c r="E280" s="280" t="n"/>
      <c r="F280" s="280" t="n"/>
      <c r="G280" s="280" t="n"/>
      <c r="H280" s="280" t="n"/>
      <c r="I280" s="332">
        <f>IFERROR(VLOOKUP(TEXT(H280,"0"),IPRESS!$A$3:$B$212,2,0),"")</f>
        <v/>
      </c>
      <c r="J280" s="280" t="n"/>
      <c r="K280" s="332">
        <f>IFERROR(VLOOKUP(TEXT(O280,"0"),CONDUCTORES!$A$3:$G$54,7,0),"")</f>
        <v/>
      </c>
      <c r="L280" s="280" t="n"/>
      <c r="M280" s="280" t="n"/>
      <c r="N280" s="333">
        <f>IFERROR(IF(L280*M280=0,"",L280*M280),"")</f>
        <v/>
      </c>
      <c r="O280" s="280" t="n"/>
      <c r="P280" s="332">
        <f>IFERROR(VLOOKUP(TEXT(O280,"0"),CONDUCTORES!$A$3:$G$54,2,0),"")</f>
        <v/>
      </c>
      <c r="Q280" s="332">
        <f>IFERROR(VLOOKUP(TEXT(O280,"0"),CONDUCTORES!$A$3:$H$54,6,0),"")</f>
        <v/>
      </c>
      <c r="R280" s="280" t="n"/>
      <c r="S280" s="280" t="n"/>
      <c r="T280" s="280" t="n"/>
      <c r="U280" s="280" t="n"/>
      <c r="V280" s="280" t="n"/>
      <c r="W280" s="280" t="n"/>
      <c r="X280" s="280" t="n"/>
      <c r="Y280" s="280" t="n"/>
    </row>
    <row r="281" ht="15" customHeight="1" s="195">
      <c r="A281" s="334" t="n"/>
      <c r="B281" s="334" t="n"/>
      <c r="C281" s="334" t="n"/>
      <c r="D281" s="334" t="n"/>
      <c r="E281" s="334" t="n"/>
      <c r="F281" s="334" t="n"/>
      <c r="G281" s="334" t="n"/>
      <c r="H281" s="334" t="n"/>
      <c r="I281" s="332">
        <f>IFERROR(VLOOKUP(TEXT(H281,"0"),IPRESS!$A$3:$B$212,2,0),"")</f>
        <v/>
      </c>
      <c r="J281" s="334" t="n"/>
      <c r="K281" s="332">
        <f>IFERROR(VLOOKUP(TEXT(O281,"0"),CONDUCTORES!$A$3:$G$54,7,0),"")</f>
        <v/>
      </c>
      <c r="L281" s="334" t="n"/>
      <c r="M281" s="334" t="n"/>
      <c r="N281" s="333">
        <f>IFERROR(IF(L281*M281=0,"",L281*M281),"")</f>
        <v/>
      </c>
      <c r="O281" s="334" t="n"/>
      <c r="P281" s="332">
        <f>IFERROR(VLOOKUP(TEXT(O281,"0"),CONDUCTORES!$A$3:$G$54,2,0),"")</f>
        <v/>
      </c>
      <c r="Q281" s="332">
        <f>IFERROR(VLOOKUP(TEXT(O281,"0"),CONDUCTORES!$A$3:$H$54,6,0),"")</f>
        <v/>
      </c>
      <c r="R281" s="334" t="n"/>
      <c r="S281" s="334" t="n"/>
      <c r="T281" s="334" t="n"/>
      <c r="U281" s="334" t="n"/>
      <c r="V281" s="334" t="n"/>
      <c r="W281" s="334" t="n"/>
      <c r="X281" s="334" t="n"/>
      <c r="Y281" s="334" t="n"/>
    </row>
    <row r="282" ht="15" customHeight="1" s="195">
      <c r="A282" s="280" t="n"/>
      <c r="B282" s="280" t="n"/>
      <c r="C282" s="280" t="n"/>
      <c r="D282" s="280" t="n"/>
      <c r="E282" s="280" t="n"/>
      <c r="F282" s="280" t="n"/>
      <c r="G282" s="280" t="n"/>
      <c r="H282" s="280" t="n"/>
      <c r="I282" s="332">
        <f>IFERROR(VLOOKUP(TEXT(H282,"0"),IPRESS!$A$3:$B$212,2,0),"")</f>
        <v/>
      </c>
      <c r="J282" s="280" t="n"/>
      <c r="K282" s="332">
        <f>IFERROR(VLOOKUP(TEXT(O282,"0"),CONDUCTORES!$A$3:$G$54,7,0),"")</f>
        <v/>
      </c>
      <c r="L282" s="280" t="n"/>
      <c r="M282" s="280" t="n"/>
      <c r="N282" s="333">
        <f>IFERROR(IF(L282*M282=0,"",L282*M282),"")</f>
        <v/>
      </c>
      <c r="O282" s="280" t="n"/>
      <c r="P282" s="332">
        <f>IFERROR(VLOOKUP(TEXT(O282,"0"),CONDUCTORES!$A$3:$G$54,2,0),"")</f>
        <v/>
      </c>
      <c r="Q282" s="332">
        <f>IFERROR(VLOOKUP(TEXT(O282,"0"),CONDUCTORES!$A$3:$H$54,6,0),"")</f>
        <v/>
      </c>
      <c r="R282" s="280" t="n"/>
      <c r="S282" s="280" t="n"/>
      <c r="T282" s="280" t="n"/>
      <c r="U282" s="280" t="n"/>
      <c r="V282" s="280" t="n"/>
      <c r="W282" s="280" t="n"/>
      <c r="X282" s="280" t="n"/>
      <c r="Y282" s="280" t="n"/>
    </row>
    <row r="283" ht="15" customHeight="1" s="195">
      <c r="A283" s="334" t="n"/>
      <c r="B283" s="334" t="n"/>
      <c r="C283" s="334" t="n"/>
      <c r="D283" s="334" t="n"/>
      <c r="E283" s="334" t="n"/>
      <c r="F283" s="334" t="n"/>
      <c r="G283" s="334" t="n"/>
      <c r="H283" s="334" t="n"/>
      <c r="I283" s="332">
        <f>IFERROR(VLOOKUP(TEXT(H283,"0"),IPRESS!$A$3:$B$212,2,0),"")</f>
        <v/>
      </c>
      <c r="J283" s="334" t="n"/>
      <c r="K283" s="332">
        <f>IFERROR(VLOOKUP(TEXT(O283,"0"),CONDUCTORES!$A$3:$G$54,7,0),"")</f>
        <v/>
      </c>
      <c r="L283" s="334" t="n"/>
      <c r="M283" s="334" t="n"/>
      <c r="N283" s="333">
        <f>IFERROR(IF(L283*M283=0,"",L283*M283),"")</f>
        <v/>
      </c>
      <c r="O283" s="334" t="n"/>
      <c r="P283" s="332">
        <f>IFERROR(VLOOKUP(TEXT(O283,"0"),CONDUCTORES!$A$3:$G$54,2,0),"")</f>
        <v/>
      </c>
      <c r="Q283" s="332">
        <f>IFERROR(VLOOKUP(TEXT(O283,"0"),CONDUCTORES!$A$3:$H$54,6,0),"")</f>
        <v/>
      </c>
      <c r="R283" s="334" t="n"/>
      <c r="S283" s="334" t="n"/>
      <c r="T283" s="334" t="n"/>
      <c r="U283" s="334" t="n"/>
      <c r="V283" s="334" t="n"/>
      <c r="W283" s="334" t="n"/>
      <c r="X283" s="334" t="n"/>
      <c r="Y283" s="334" t="n"/>
    </row>
    <row r="284" ht="15" customHeight="1" s="195">
      <c r="A284" s="280" t="n"/>
      <c r="B284" s="280" t="n"/>
      <c r="C284" s="280" t="n"/>
      <c r="D284" s="280" t="n"/>
      <c r="E284" s="280" t="n"/>
      <c r="F284" s="280" t="n"/>
      <c r="G284" s="280" t="n"/>
      <c r="H284" s="280" t="n"/>
      <c r="I284" s="332">
        <f>IFERROR(VLOOKUP(TEXT(H284,"0"),IPRESS!$A$3:$B$212,2,0),"")</f>
        <v/>
      </c>
      <c r="J284" s="280" t="n"/>
      <c r="K284" s="332">
        <f>IFERROR(VLOOKUP(TEXT(O284,"0"),CONDUCTORES!$A$3:$G$54,7,0),"")</f>
        <v/>
      </c>
      <c r="L284" s="280" t="n"/>
      <c r="M284" s="280" t="n"/>
      <c r="N284" s="333">
        <f>IFERROR(IF(L284*M284=0,"",L284*M284),"")</f>
        <v/>
      </c>
      <c r="O284" s="280" t="n"/>
      <c r="P284" s="332">
        <f>IFERROR(VLOOKUP(TEXT(O284,"0"),CONDUCTORES!$A$3:$G$54,2,0),"")</f>
        <v/>
      </c>
      <c r="Q284" s="332">
        <f>IFERROR(VLOOKUP(TEXT(O284,"0"),CONDUCTORES!$A$3:$H$54,6,0),"")</f>
        <v/>
      </c>
      <c r="R284" s="280" t="n"/>
      <c r="S284" s="280" t="n"/>
      <c r="T284" s="280" t="n"/>
      <c r="U284" s="280" t="n"/>
      <c r="V284" s="280" t="n"/>
      <c r="W284" s="280" t="n"/>
      <c r="X284" s="280" t="n"/>
      <c r="Y284" s="280" t="n"/>
    </row>
    <row r="285" ht="15" customHeight="1" s="195">
      <c r="A285" s="334" t="n"/>
      <c r="B285" s="334" t="n"/>
      <c r="C285" s="334" t="n"/>
      <c r="D285" s="334" t="n"/>
      <c r="E285" s="334" t="n"/>
      <c r="F285" s="334" t="n"/>
      <c r="G285" s="334" t="n"/>
      <c r="H285" s="334" t="n"/>
      <c r="I285" s="332">
        <f>IFERROR(VLOOKUP(TEXT(H285,"0"),IPRESS!$A$3:$B$212,2,0),"")</f>
        <v/>
      </c>
      <c r="J285" s="334" t="n"/>
      <c r="K285" s="332">
        <f>IFERROR(VLOOKUP(TEXT(O285,"0"),CONDUCTORES!$A$3:$G$54,7,0),"")</f>
        <v/>
      </c>
      <c r="L285" s="334" t="n"/>
      <c r="M285" s="334" t="n"/>
      <c r="N285" s="333">
        <f>IFERROR(IF(L285*M285=0,"",L285*M285),"")</f>
        <v/>
      </c>
      <c r="O285" s="334" t="n"/>
      <c r="P285" s="332">
        <f>IFERROR(VLOOKUP(TEXT(O285,"0"),CONDUCTORES!$A$3:$G$54,2,0),"")</f>
        <v/>
      </c>
      <c r="Q285" s="332">
        <f>IFERROR(VLOOKUP(TEXT(O285,"0"),CONDUCTORES!$A$3:$H$54,6,0),"")</f>
        <v/>
      </c>
      <c r="R285" s="334" t="n"/>
      <c r="S285" s="334" t="n"/>
      <c r="T285" s="334" t="n"/>
      <c r="U285" s="334" t="n"/>
      <c r="V285" s="334" t="n"/>
      <c r="W285" s="334" t="n"/>
      <c r="X285" s="334" t="n"/>
      <c r="Y285" s="334" t="n"/>
    </row>
    <row r="286" ht="15" customHeight="1" s="195">
      <c r="A286" s="280" t="n"/>
      <c r="B286" s="280" t="n"/>
      <c r="C286" s="280" t="n"/>
      <c r="D286" s="280" t="n"/>
      <c r="E286" s="280" t="n"/>
      <c r="F286" s="280" t="n"/>
      <c r="G286" s="280" t="n"/>
      <c r="H286" s="280" t="n"/>
      <c r="I286" s="332">
        <f>IFERROR(VLOOKUP(TEXT(H286,"0"),IPRESS!$A$3:$B$212,2,0),"")</f>
        <v/>
      </c>
      <c r="J286" s="280" t="n"/>
      <c r="K286" s="332">
        <f>IFERROR(VLOOKUP(TEXT(O286,"0"),CONDUCTORES!$A$3:$G$54,7,0),"")</f>
        <v/>
      </c>
      <c r="L286" s="280" t="n"/>
      <c r="M286" s="280" t="n"/>
      <c r="N286" s="333">
        <f>IFERROR(IF(L286*M286=0,"",L286*M286),"")</f>
        <v/>
      </c>
      <c r="O286" s="280" t="n"/>
      <c r="P286" s="332">
        <f>IFERROR(VLOOKUP(TEXT(O286,"0"),CONDUCTORES!$A$3:$G$54,2,0),"")</f>
        <v/>
      </c>
      <c r="Q286" s="332">
        <f>IFERROR(VLOOKUP(TEXT(O286,"0"),CONDUCTORES!$A$3:$H$54,6,0),"")</f>
        <v/>
      </c>
      <c r="R286" s="280" t="n"/>
      <c r="S286" s="280" t="n"/>
      <c r="T286" s="280" t="n"/>
      <c r="U286" s="280" t="n"/>
      <c r="V286" s="280" t="n"/>
      <c r="W286" s="280" t="n"/>
      <c r="X286" s="280" t="n"/>
      <c r="Y286" s="280" t="n"/>
    </row>
    <row r="287" ht="15" customHeight="1" s="195">
      <c r="A287" s="334" t="n"/>
      <c r="B287" s="334" t="n"/>
      <c r="C287" s="334" t="n"/>
      <c r="D287" s="334" t="n"/>
      <c r="E287" s="334" t="n"/>
      <c r="F287" s="334" t="n"/>
      <c r="G287" s="334" t="n"/>
      <c r="H287" s="334" t="n"/>
      <c r="I287" s="332">
        <f>IFERROR(VLOOKUP(TEXT(H287,"0"),IPRESS!$A$3:$B$212,2,0),"")</f>
        <v/>
      </c>
      <c r="J287" s="334" t="n"/>
      <c r="K287" s="332">
        <f>IFERROR(VLOOKUP(TEXT(O287,"0"),CONDUCTORES!$A$3:$G$54,7,0),"")</f>
        <v/>
      </c>
      <c r="L287" s="334" t="n"/>
      <c r="M287" s="334" t="n"/>
      <c r="N287" s="333">
        <f>IFERROR(IF(L287*M287=0,"",L287*M287),"")</f>
        <v/>
      </c>
      <c r="O287" s="334" t="n"/>
      <c r="P287" s="332">
        <f>IFERROR(VLOOKUP(TEXT(O287,"0"),CONDUCTORES!$A$3:$G$54,2,0),"")</f>
        <v/>
      </c>
      <c r="Q287" s="332">
        <f>IFERROR(VLOOKUP(TEXT(O287,"0"),CONDUCTORES!$A$3:$H$54,6,0),"")</f>
        <v/>
      </c>
      <c r="R287" s="334" t="n"/>
      <c r="S287" s="334" t="n"/>
      <c r="T287" s="334" t="n"/>
      <c r="U287" s="334" t="n"/>
      <c r="V287" s="334" t="n"/>
      <c r="W287" s="334" t="n"/>
      <c r="X287" s="334" t="n"/>
      <c r="Y287" s="334" t="n"/>
    </row>
    <row r="288" ht="15" customHeight="1" s="195">
      <c r="A288" s="280" t="n"/>
      <c r="B288" s="280" t="n"/>
      <c r="C288" s="280" t="n"/>
      <c r="D288" s="280" t="n"/>
      <c r="E288" s="280" t="n"/>
      <c r="F288" s="280" t="n"/>
      <c r="G288" s="280" t="n"/>
      <c r="H288" s="280" t="n"/>
      <c r="I288" s="332">
        <f>IFERROR(VLOOKUP(TEXT(H288,"0"),IPRESS!$A$3:$B$212,2,0),"")</f>
        <v/>
      </c>
      <c r="J288" s="280" t="n"/>
      <c r="K288" s="332">
        <f>IFERROR(VLOOKUP(TEXT(O288,"0"),CONDUCTORES!$A$3:$G$54,7,0),"")</f>
        <v/>
      </c>
      <c r="L288" s="280" t="n"/>
      <c r="M288" s="280" t="n"/>
      <c r="N288" s="333">
        <f>IFERROR(IF(L288*M288=0,"",L288*M288),"")</f>
        <v/>
      </c>
      <c r="O288" s="280" t="n"/>
      <c r="P288" s="332">
        <f>IFERROR(VLOOKUP(TEXT(O288,"0"),CONDUCTORES!$A$3:$G$54,2,0),"")</f>
        <v/>
      </c>
      <c r="Q288" s="332">
        <f>IFERROR(VLOOKUP(TEXT(O288,"0"),CONDUCTORES!$A$3:$H$54,6,0),"")</f>
        <v/>
      </c>
      <c r="R288" s="280" t="n"/>
      <c r="S288" s="280" t="n"/>
      <c r="T288" s="280" t="n"/>
      <c r="U288" s="280" t="n"/>
      <c r="V288" s="280" t="n"/>
      <c r="W288" s="280" t="n"/>
      <c r="X288" s="280" t="n"/>
      <c r="Y288" s="280" t="n"/>
    </row>
    <row r="289" ht="15" customHeight="1" s="195">
      <c r="A289" s="334" t="n"/>
      <c r="B289" s="334" t="n"/>
      <c r="C289" s="334" t="n"/>
      <c r="D289" s="334" t="n"/>
      <c r="E289" s="334" t="n"/>
      <c r="F289" s="334" t="n"/>
      <c r="G289" s="334" t="n"/>
      <c r="H289" s="334" t="n"/>
      <c r="I289" s="332">
        <f>IFERROR(VLOOKUP(TEXT(H289,"0"),IPRESS!$A$3:$B$212,2,0),"")</f>
        <v/>
      </c>
      <c r="J289" s="334" t="n"/>
      <c r="K289" s="332">
        <f>IFERROR(VLOOKUP(TEXT(O289,"0"),CONDUCTORES!$A$3:$G$54,7,0),"")</f>
        <v/>
      </c>
      <c r="L289" s="334" t="n"/>
      <c r="M289" s="334" t="n"/>
      <c r="N289" s="333">
        <f>IFERROR(IF(L289*M289=0,"",L289*M289),"")</f>
        <v/>
      </c>
      <c r="O289" s="334" t="n"/>
      <c r="P289" s="332">
        <f>IFERROR(VLOOKUP(TEXT(O289,"0"),CONDUCTORES!$A$3:$G$54,2,0),"")</f>
        <v/>
      </c>
      <c r="Q289" s="332">
        <f>IFERROR(VLOOKUP(TEXT(O289,"0"),CONDUCTORES!$A$3:$H$54,6,0),"")</f>
        <v/>
      </c>
      <c r="R289" s="334" t="n"/>
      <c r="S289" s="334" t="n"/>
      <c r="T289" s="334" t="n"/>
      <c r="U289" s="334" t="n"/>
      <c r="V289" s="334" t="n"/>
      <c r="W289" s="334" t="n"/>
      <c r="X289" s="334" t="n"/>
      <c r="Y289" s="334" t="n"/>
    </row>
    <row r="290" ht="15" customHeight="1" s="195">
      <c r="A290" s="280" t="n"/>
      <c r="B290" s="280" t="n"/>
      <c r="C290" s="280" t="n"/>
      <c r="D290" s="280" t="n"/>
      <c r="E290" s="280" t="n"/>
      <c r="F290" s="280" t="n"/>
      <c r="G290" s="280" t="n"/>
      <c r="H290" s="280" t="n"/>
      <c r="I290" s="332">
        <f>IFERROR(VLOOKUP(TEXT(H290,"0"),IPRESS!$A$3:$B$212,2,0),"")</f>
        <v/>
      </c>
      <c r="J290" s="280" t="n"/>
      <c r="K290" s="332">
        <f>IFERROR(VLOOKUP(TEXT(O290,"0"),CONDUCTORES!$A$3:$G$54,7,0),"")</f>
        <v/>
      </c>
      <c r="L290" s="280" t="n"/>
      <c r="M290" s="280" t="n"/>
      <c r="N290" s="333">
        <f>IFERROR(IF(L290*M290=0,"",L290*M290),"")</f>
        <v/>
      </c>
      <c r="O290" s="280" t="n"/>
      <c r="P290" s="332">
        <f>IFERROR(VLOOKUP(TEXT(O290,"0"),CONDUCTORES!$A$3:$G$54,2,0),"")</f>
        <v/>
      </c>
      <c r="Q290" s="332">
        <f>IFERROR(VLOOKUP(TEXT(O290,"0"),CONDUCTORES!$A$3:$H$54,6,0),"")</f>
        <v/>
      </c>
      <c r="R290" s="280" t="n"/>
      <c r="S290" s="280" t="n"/>
      <c r="T290" s="280" t="n"/>
      <c r="U290" s="280" t="n"/>
      <c r="V290" s="280" t="n"/>
      <c r="W290" s="280" t="n"/>
      <c r="X290" s="280" t="n"/>
      <c r="Y290" s="280" t="n"/>
    </row>
    <row r="291" ht="15" customHeight="1" s="195">
      <c r="A291" s="334" t="n"/>
      <c r="B291" s="334" t="n"/>
      <c r="C291" s="334" t="n"/>
      <c r="D291" s="334" t="n"/>
      <c r="E291" s="334" t="n"/>
      <c r="F291" s="334" t="n"/>
      <c r="G291" s="334" t="n"/>
      <c r="H291" s="334" t="n"/>
      <c r="I291" s="332">
        <f>IFERROR(VLOOKUP(TEXT(H291,"0"),IPRESS!$A$3:$B$212,2,0),"")</f>
        <v/>
      </c>
      <c r="J291" s="334" t="n"/>
      <c r="K291" s="332">
        <f>IFERROR(VLOOKUP(TEXT(O291,"0"),CONDUCTORES!$A$3:$G$54,7,0),"")</f>
        <v/>
      </c>
      <c r="L291" s="334" t="n"/>
      <c r="M291" s="334" t="n"/>
      <c r="N291" s="333">
        <f>IFERROR(IF(L291*M291=0,"",L291*M291),"")</f>
        <v/>
      </c>
      <c r="O291" s="334" t="n"/>
      <c r="P291" s="332">
        <f>IFERROR(VLOOKUP(TEXT(O291,"0"),CONDUCTORES!$A$3:$G$54,2,0),"")</f>
        <v/>
      </c>
      <c r="Q291" s="332">
        <f>IFERROR(VLOOKUP(TEXT(O291,"0"),CONDUCTORES!$A$3:$H$54,6,0),"")</f>
        <v/>
      </c>
      <c r="R291" s="334" t="n"/>
      <c r="S291" s="334" t="n"/>
      <c r="T291" s="334" t="n"/>
      <c r="U291" s="334" t="n"/>
      <c r="V291" s="334" t="n"/>
      <c r="W291" s="334" t="n"/>
      <c r="X291" s="334" t="n"/>
      <c r="Y291" s="334" t="n"/>
    </row>
    <row r="292" ht="15" customHeight="1" s="195">
      <c r="A292" s="280" t="n"/>
      <c r="B292" s="280" t="n"/>
      <c r="C292" s="280" t="n"/>
      <c r="D292" s="280" t="n"/>
      <c r="E292" s="280" t="n"/>
      <c r="F292" s="280" t="n"/>
      <c r="G292" s="280" t="n"/>
      <c r="H292" s="280" t="n"/>
      <c r="I292" s="332">
        <f>IFERROR(VLOOKUP(TEXT(H292,"0"),IPRESS!$A$3:$B$212,2,0),"")</f>
        <v/>
      </c>
      <c r="J292" s="280" t="n"/>
      <c r="K292" s="332">
        <f>IFERROR(VLOOKUP(TEXT(O292,"0"),CONDUCTORES!$A$3:$G$54,7,0),"")</f>
        <v/>
      </c>
      <c r="L292" s="280" t="n"/>
      <c r="M292" s="280" t="n"/>
      <c r="N292" s="333">
        <f>IFERROR(IF(L292*M292=0,"",L292*M292),"")</f>
        <v/>
      </c>
      <c r="O292" s="280" t="n"/>
      <c r="P292" s="332">
        <f>IFERROR(VLOOKUP(TEXT(O292,"0"),CONDUCTORES!$A$3:$G$54,2,0),"")</f>
        <v/>
      </c>
      <c r="Q292" s="332">
        <f>IFERROR(VLOOKUP(TEXT(O292,"0"),CONDUCTORES!$A$3:$H$54,6,0),"")</f>
        <v/>
      </c>
      <c r="R292" s="280" t="n"/>
      <c r="S292" s="280" t="n"/>
      <c r="T292" s="280" t="n"/>
      <c r="U292" s="280" t="n"/>
      <c r="V292" s="280" t="n"/>
      <c r="W292" s="280" t="n"/>
      <c r="X292" s="280" t="n"/>
      <c r="Y292" s="280" t="n"/>
    </row>
    <row r="293" ht="15" customHeight="1" s="195">
      <c r="A293" s="334" t="n"/>
      <c r="B293" s="334" t="n"/>
      <c r="C293" s="334" t="n"/>
      <c r="D293" s="334" t="n"/>
      <c r="E293" s="334" t="n"/>
      <c r="F293" s="334" t="n"/>
      <c r="G293" s="334" t="n"/>
      <c r="H293" s="334" t="n"/>
      <c r="I293" s="332">
        <f>IFERROR(VLOOKUP(TEXT(H293,"0"),IPRESS!$A$3:$B$212,2,0),"")</f>
        <v/>
      </c>
      <c r="J293" s="334" t="n"/>
      <c r="K293" s="332">
        <f>IFERROR(VLOOKUP(TEXT(O293,"0"),CONDUCTORES!$A$3:$G$54,7,0),"")</f>
        <v/>
      </c>
      <c r="L293" s="334" t="n"/>
      <c r="M293" s="334" t="n"/>
      <c r="N293" s="333">
        <f>IFERROR(IF(L293*M293=0,"",L293*M293),"")</f>
        <v/>
      </c>
      <c r="O293" s="334" t="n"/>
      <c r="P293" s="332">
        <f>IFERROR(VLOOKUP(TEXT(O293,"0"),CONDUCTORES!$A$3:$G$54,2,0),"")</f>
        <v/>
      </c>
      <c r="Q293" s="332">
        <f>IFERROR(VLOOKUP(TEXT(O293,"0"),CONDUCTORES!$A$3:$H$54,6,0),"")</f>
        <v/>
      </c>
      <c r="R293" s="334" t="n"/>
      <c r="S293" s="334" t="n"/>
      <c r="T293" s="334" t="n"/>
      <c r="U293" s="334" t="n"/>
      <c r="V293" s="334" t="n"/>
      <c r="W293" s="334" t="n"/>
      <c r="X293" s="334" t="n"/>
      <c r="Y293" s="334" t="n"/>
    </row>
    <row r="294" ht="15" customHeight="1" s="195">
      <c r="A294" s="280" t="n"/>
      <c r="B294" s="280" t="n"/>
      <c r="C294" s="280" t="n"/>
      <c r="D294" s="280" t="n"/>
      <c r="E294" s="280" t="n"/>
      <c r="F294" s="280" t="n"/>
      <c r="G294" s="280" t="n"/>
      <c r="H294" s="280" t="n"/>
      <c r="I294" s="332">
        <f>IFERROR(VLOOKUP(TEXT(H294,"0"),IPRESS!$A$3:$B$212,2,0),"")</f>
        <v/>
      </c>
      <c r="J294" s="280" t="n"/>
      <c r="K294" s="332">
        <f>IFERROR(VLOOKUP(TEXT(O294,"0"),CONDUCTORES!$A$3:$G$54,7,0),"")</f>
        <v/>
      </c>
      <c r="L294" s="280" t="n"/>
      <c r="M294" s="280" t="n"/>
      <c r="N294" s="333">
        <f>IFERROR(IF(L294*M294=0,"",L294*M294),"")</f>
        <v/>
      </c>
      <c r="O294" s="280" t="n"/>
      <c r="P294" s="332">
        <f>IFERROR(VLOOKUP(TEXT(O294,"0"),CONDUCTORES!$A$3:$G$54,2,0),"")</f>
        <v/>
      </c>
      <c r="Q294" s="332">
        <f>IFERROR(VLOOKUP(TEXT(O294,"0"),CONDUCTORES!$A$3:$H$54,6,0),"")</f>
        <v/>
      </c>
      <c r="R294" s="280" t="n"/>
      <c r="S294" s="280" t="n"/>
      <c r="T294" s="280" t="n"/>
      <c r="U294" s="280" t="n"/>
      <c r="V294" s="280" t="n"/>
      <c r="W294" s="280" t="n"/>
      <c r="X294" s="280" t="n"/>
      <c r="Y294" s="280" t="n"/>
    </row>
    <row r="295" ht="15" customHeight="1" s="195">
      <c r="A295" s="334" t="n"/>
      <c r="B295" s="334" t="n"/>
      <c r="C295" s="334" t="n"/>
      <c r="D295" s="334" t="n"/>
      <c r="E295" s="334" t="n"/>
      <c r="F295" s="334" t="n"/>
      <c r="G295" s="334" t="n"/>
      <c r="H295" s="334" t="n"/>
      <c r="I295" s="332">
        <f>IFERROR(VLOOKUP(TEXT(H295,"0"),IPRESS!$A$3:$B$212,2,0),"")</f>
        <v/>
      </c>
      <c r="J295" s="334" t="n"/>
      <c r="K295" s="332">
        <f>IFERROR(VLOOKUP(TEXT(O295,"0"),CONDUCTORES!$A$3:$G$54,7,0),"")</f>
        <v/>
      </c>
      <c r="L295" s="334" t="n"/>
      <c r="M295" s="334" t="n"/>
      <c r="N295" s="333">
        <f>IFERROR(IF(L295*M295=0,"",L295*M295),"")</f>
        <v/>
      </c>
      <c r="O295" s="334" t="n"/>
      <c r="P295" s="332">
        <f>IFERROR(VLOOKUP(TEXT(O295,"0"),CONDUCTORES!$A$3:$G$54,2,0),"")</f>
        <v/>
      </c>
      <c r="Q295" s="332">
        <f>IFERROR(VLOOKUP(TEXT(O295,"0"),CONDUCTORES!$A$3:$H$54,6,0),"")</f>
        <v/>
      </c>
      <c r="R295" s="334" t="n"/>
      <c r="S295" s="334" t="n"/>
      <c r="T295" s="334" t="n"/>
      <c r="U295" s="334" t="n"/>
      <c r="V295" s="334" t="n"/>
      <c r="W295" s="334" t="n"/>
      <c r="X295" s="334" t="n"/>
      <c r="Y295" s="334" t="n"/>
    </row>
    <row r="296" ht="15" customHeight="1" s="195">
      <c r="A296" s="280" t="n"/>
      <c r="B296" s="280" t="n"/>
      <c r="C296" s="280" t="n"/>
      <c r="D296" s="280" t="n"/>
      <c r="E296" s="280" t="n"/>
      <c r="F296" s="280" t="n"/>
      <c r="G296" s="280" t="n"/>
      <c r="H296" s="280" t="n"/>
      <c r="I296" s="332">
        <f>IFERROR(VLOOKUP(TEXT(H296,"0"),IPRESS!$A$3:$B$212,2,0),"")</f>
        <v/>
      </c>
      <c r="J296" s="280" t="n"/>
      <c r="K296" s="332">
        <f>IFERROR(VLOOKUP(TEXT(O296,"0"),CONDUCTORES!$A$3:$G$54,7,0),"")</f>
        <v/>
      </c>
      <c r="L296" s="280" t="n"/>
      <c r="M296" s="280" t="n"/>
      <c r="N296" s="333">
        <f>IFERROR(IF(L296*M296=0,"",L296*M296),"")</f>
        <v/>
      </c>
      <c r="O296" s="280" t="n"/>
      <c r="P296" s="332">
        <f>IFERROR(VLOOKUP(TEXT(O296,"0"),CONDUCTORES!$A$3:$G$54,2,0),"")</f>
        <v/>
      </c>
      <c r="Q296" s="332">
        <f>IFERROR(VLOOKUP(TEXT(O296,"0"),CONDUCTORES!$A$3:$H$54,6,0),"")</f>
        <v/>
      </c>
      <c r="R296" s="280" t="n"/>
      <c r="S296" s="280" t="n"/>
      <c r="T296" s="280" t="n"/>
      <c r="U296" s="280" t="n"/>
      <c r="V296" s="280" t="n"/>
      <c r="W296" s="280" t="n"/>
      <c r="X296" s="280" t="n"/>
      <c r="Y296" s="280" t="n"/>
    </row>
    <row r="297" ht="15" customHeight="1" s="195">
      <c r="A297" s="334" t="n"/>
      <c r="B297" s="334" t="n"/>
      <c r="C297" s="334" t="n"/>
      <c r="D297" s="334" t="n"/>
      <c r="E297" s="334" t="n"/>
      <c r="F297" s="334" t="n"/>
      <c r="G297" s="334" t="n"/>
      <c r="H297" s="334" t="n"/>
      <c r="I297" s="332">
        <f>IFERROR(VLOOKUP(TEXT(H297,"0"),IPRESS!$A$3:$B$212,2,0),"")</f>
        <v/>
      </c>
      <c r="J297" s="334" t="n"/>
      <c r="K297" s="332">
        <f>IFERROR(VLOOKUP(TEXT(O297,"0"),CONDUCTORES!$A$3:$G$54,7,0),"")</f>
        <v/>
      </c>
      <c r="L297" s="334" t="n"/>
      <c r="M297" s="334" t="n"/>
      <c r="N297" s="333">
        <f>IFERROR(IF(L297*M297=0,"",L297*M297),"")</f>
        <v/>
      </c>
      <c r="O297" s="334" t="n"/>
      <c r="P297" s="332">
        <f>IFERROR(VLOOKUP(TEXT(O297,"0"),CONDUCTORES!$A$3:$G$54,2,0),"")</f>
        <v/>
      </c>
      <c r="Q297" s="332">
        <f>IFERROR(VLOOKUP(TEXT(O297,"0"),CONDUCTORES!$A$3:$H$54,6,0),"")</f>
        <v/>
      </c>
      <c r="R297" s="334" t="n"/>
      <c r="S297" s="334" t="n"/>
      <c r="T297" s="334" t="n"/>
      <c r="U297" s="334" t="n"/>
      <c r="V297" s="334" t="n"/>
      <c r="W297" s="334" t="n"/>
      <c r="X297" s="334" t="n"/>
      <c r="Y297" s="334" t="n"/>
    </row>
    <row r="298" ht="15" customHeight="1" s="195">
      <c r="A298" s="280" t="n"/>
      <c r="B298" s="280" t="n"/>
      <c r="C298" s="280" t="n"/>
      <c r="D298" s="280" t="n"/>
      <c r="E298" s="280" t="n"/>
      <c r="F298" s="280" t="n"/>
      <c r="G298" s="280" t="n"/>
      <c r="H298" s="280" t="n"/>
      <c r="I298" s="332">
        <f>IFERROR(VLOOKUP(TEXT(H298,"0"),IPRESS!$A$3:$B$212,2,0),"")</f>
        <v/>
      </c>
      <c r="J298" s="280" t="n"/>
      <c r="K298" s="332">
        <f>IFERROR(VLOOKUP(TEXT(O298,"0"),CONDUCTORES!$A$3:$G$54,7,0),"")</f>
        <v/>
      </c>
      <c r="L298" s="280" t="n"/>
      <c r="M298" s="280" t="n"/>
      <c r="N298" s="333">
        <f>IFERROR(IF(L298*M298=0,"",L298*M298),"")</f>
        <v/>
      </c>
      <c r="O298" s="280" t="n"/>
      <c r="P298" s="332">
        <f>IFERROR(VLOOKUP(TEXT(O298,"0"),CONDUCTORES!$A$3:$G$54,2,0),"")</f>
        <v/>
      </c>
      <c r="Q298" s="332">
        <f>IFERROR(VLOOKUP(TEXT(O298,"0"),CONDUCTORES!$A$3:$H$54,6,0),"")</f>
        <v/>
      </c>
      <c r="R298" s="280" t="n"/>
      <c r="S298" s="280" t="n"/>
      <c r="T298" s="280" t="n"/>
      <c r="U298" s="280" t="n"/>
      <c r="V298" s="280" t="n"/>
      <c r="W298" s="280" t="n"/>
      <c r="X298" s="280" t="n"/>
      <c r="Y298" s="280" t="n"/>
    </row>
    <row r="299" ht="15" customHeight="1" s="195">
      <c r="A299" s="334" t="n"/>
      <c r="B299" s="334" t="n"/>
      <c r="C299" s="334" t="n"/>
      <c r="D299" s="334" t="n"/>
      <c r="E299" s="334" t="n"/>
      <c r="F299" s="334" t="n"/>
      <c r="G299" s="334" t="n"/>
      <c r="H299" s="334" t="n"/>
      <c r="I299" s="332">
        <f>IFERROR(VLOOKUP(TEXT(H299,"0"),IPRESS!$A$3:$B$212,2,0),"")</f>
        <v/>
      </c>
      <c r="J299" s="334" t="n"/>
      <c r="K299" s="332">
        <f>IFERROR(VLOOKUP(TEXT(O299,"0"),CONDUCTORES!$A$3:$G$54,7,0),"")</f>
        <v/>
      </c>
      <c r="L299" s="334" t="n"/>
      <c r="M299" s="334" t="n"/>
      <c r="N299" s="333">
        <f>IFERROR(IF(L299*M299=0,"",L299*M299),"")</f>
        <v/>
      </c>
      <c r="O299" s="334" t="n"/>
      <c r="P299" s="332">
        <f>IFERROR(VLOOKUP(TEXT(O299,"0"),CONDUCTORES!$A$3:$G$54,2,0),"")</f>
        <v/>
      </c>
      <c r="Q299" s="332">
        <f>IFERROR(VLOOKUP(TEXT(O299,"0"),CONDUCTORES!$A$3:$H$54,6,0),"")</f>
        <v/>
      </c>
      <c r="R299" s="334" t="n"/>
      <c r="S299" s="334" t="n"/>
      <c r="T299" s="334" t="n"/>
      <c r="U299" s="334" t="n"/>
      <c r="V299" s="334" t="n"/>
      <c r="W299" s="334" t="n"/>
      <c r="X299" s="334" t="n"/>
      <c r="Y299" s="334" t="n"/>
    </row>
    <row r="300" ht="15" customHeight="1" s="195">
      <c r="A300" s="280" t="n"/>
      <c r="B300" s="280" t="n"/>
      <c r="C300" s="280" t="n"/>
      <c r="D300" s="280" t="n"/>
      <c r="E300" s="280" t="n"/>
      <c r="F300" s="280" t="n"/>
      <c r="G300" s="280" t="n"/>
      <c r="H300" s="280" t="n"/>
      <c r="I300" s="332">
        <f>IFERROR(VLOOKUP(TEXT(H300,"0"),IPRESS!$A$3:$B$212,2,0),"")</f>
        <v/>
      </c>
      <c r="J300" s="280" t="n"/>
      <c r="K300" s="332">
        <f>IFERROR(VLOOKUP(TEXT(O300,"0"),CONDUCTORES!$A$3:$G$54,7,0),"")</f>
        <v/>
      </c>
      <c r="L300" s="280" t="n"/>
      <c r="M300" s="280" t="n"/>
      <c r="N300" s="333">
        <f>IFERROR(IF(L300*M300=0,"",L300*M300),"")</f>
        <v/>
      </c>
      <c r="O300" s="280" t="n"/>
      <c r="P300" s="332">
        <f>IFERROR(VLOOKUP(TEXT(O300,"0"),CONDUCTORES!$A$3:$G$54,2,0),"")</f>
        <v/>
      </c>
      <c r="Q300" s="332">
        <f>IFERROR(VLOOKUP(TEXT(O300,"0"),CONDUCTORES!$A$3:$H$54,6,0),"")</f>
        <v/>
      </c>
      <c r="R300" s="280" t="n"/>
      <c r="S300" s="280" t="n"/>
      <c r="T300" s="280" t="n"/>
      <c r="U300" s="280" t="n"/>
      <c r="V300" s="280" t="n"/>
      <c r="W300" s="280" t="n"/>
      <c r="X300" s="280" t="n"/>
      <c r="Y300" s="280" t="n"/>
    </row>
    <row r="301" ht="15" customHeight="1" s="195">
      <c r="A301" s="334" t="n"/>
      <c r="B301" s="334" t="n"/>
      <c r="C301" s="334" t="n"/>
      <c r="D301" s="334" t="n"/>
      <c r="E301" s="334" t="n"/>
      <c r="F301" s="334" t="n"/>
      <c r="G301" s="334" t="n"/>
      <c r="H301" s="334" t="n"/>
      <c r="I301" s="332">
        <f>IFERROR(VLOOKUP(TEXT(H301,"0"),IPRESS!$A$3:$B$212,2,0),"")</f>
        <v/>
      </c>
      <c r="J301" s="334" t="n"/>
      <c r="K301" s="332">
        <f>IFERROR(VLOOKUP(TEXT(O301,"0"),CONDUCTORES!$A$3:$G$54,7,0),"")</f>
        <v/>
      </c>
      <c r="L301" s="334" t="n"/>
      <c r="M301" s="334" t="n"/>
      <c r="N301" s="333">
        <f>IFERROR(IF(L301*M301=0,"",L301*M301),"")</f>
        <v/>
      </c>
      <c r="O301" s="334" t="n"/>
      <c r="P301" s="332">
        <f>IFERROR(VLOOKUP(TEXT(O301,"0"),CONDUCTORES!$A$3:$G$54,2,0),"")</f>
        <v/>
      </c>
      <c r="Q301" s="332">
        <f>IFERROR(VLOOKUP(TEXT(O301,"0"),CONDUCTORES!$A$3:$H$54,6,0),"")</f>
        <v/>
      </c>
      <c r="R301" s="334" t="n"/>
      <c r="S301" s="334" t="n"/>
      <c r="T301" s="334" t="n"/>
      <c r="U301" s="334" t="n"/>
      <c r="V301" s="334" t="n"/>
      <c r="W301" s="334" t="n"/>
      <c r="X301" s="334" t="n"/>
      <c r="Y301" s="334" t="n"/>
    </row>
    <row r="302" ht="15" customHeight="1" s="195">
      <c r="A302" s="280" t="n"/>
      <c r="B302" s="280" t="n"/>
      <c r="C302" s="280" t="n"/>
      <c r="D302" s="280" t="n"/>
      <c r="E302" s="280" t="n"/>
      <c r="F302" s="280" t="n"/>
      <c r="G302" s="280" t="n"/>
      <c r="H302" s="280" t="n"/>
      <c r="I302" s="332">
        <f>IFERROR(VLOOKUP(TEXT(H302,"0"),IPRESS!$A$3:$B$212,2,0),"")</f>
        <v/>
      </c>
      <c r="J302" s="280" t="n"/>
      <c r="K302" s="332">
        <f>IFERROR(VLOOKUP(TEXT(O302,"0"),CONDUCTORES!$A$3:$G$54,7,0),"")</f>
        <v/>
      </c>
      <c r="L302" s="280" t="n"/>
      <c r="M302" s="280" t="n"/>
      <c r="N302" s="333">
        <f>IFERROR(IF(L302*M302=0,"",L302*M302),"")</f>
        <v/>
      </c>
      <c r="O302" s="280" t="n"/>
      <c r="P302" s="332">
        <f>IFERROR(VLOOKUP(TEXT(O302,"0"),CONDUCTORES!$A$3:$G$54,2,0),"")</f>
        <v/>
      </c>
      <c r="Q302" s="332">
        <f>IFERROR(VLOOKUP(TEXT(O302,"0"),CONDUCTORES!$A$3:$H$54,6,0),"")</f>
        <v/>
      </c>
      <c r="R302" s="280" t="n"/>
      <c r="S302" s="280" t="n"/>
      <c r="T302" s="280" t="n"/>
      <c r="U302" s="280" t="n"/>
      <c r="V302" s="280" t="n"/>
      <c r="W302" s="280" t="n"/>
      <c r="X302" s="280" t="n"/>
      <c r="Y302" s="280" t="n"/>
    </row>
    <row r="303" ht="15" customHeight="1" s="195">
      <c r="A303" s="334" t="n"/>
      <c r="B303" s="334" t="n"/>
      <c r="C303" s="334" t="n"/>
      <c r="D303" s="334" t="n"/>
      <c r="E303" s="334" t="n"/>
      <c r="F303" s="334" t="n"/>
      <c r="G303" s="334" t="n"/>
      <c r="H303" s="334" t="n"/>
      <c r="I303" s="332">
        <f>IFERROR(VLOOKUP(TEXT(H303,"0"),IPRESS!$A$3:$B$212,2,0),"")</f>
        <v/>
      </c>
      <c r="J303" s="334" t="n"/>
      <c r="K303" s="332">
        <f>IFERROR(VLOOKUP(TEXT(O303,"0"),CONDUCTORES!$A$3:$G$54,7,0),"")</f>
        <v/>
      </c>
      <c r="L303" s="334" t="n"/>
      <c r="M303" s="334" t="n"/>
      <c r="N303" s="333">
        <f>IFERROR(IF(L303*M303=0,"",L303*M303),"")</f>
        <v/>
      </c>
      <c r="O303" s="334" t="n"/>
      <c r="P303" s="332">
        <f>IFERROR(VLOOKUP(TEXT(O303,"0"),CONDUCTORES!$A$3:$G$54,2,0),"")</f>
        <v/>
      </c>
      <c r="Q303" s="332">
        <f>IFERROR(VLOOKUP(TEXT(O303,"0"),CONDUCTORES!$A$3:$H$54,6,0),"")</f>
        <v/>
      </c>
      <c r="R303" s="334" t="n"/>
      <c r="S303" s="334" t="n"/>
      <c r="T303" s="334" t="n"/>
      <c r="U303" s="334" t="n"/>
      <c r="V303" s="334" t="n"/>
      <c r="W303" s="334" t="n"/>
      <c r="X303" s="334" t="n"/>
      <c r="Y303" s="334" t="n"/>
    </row>
    <row r="304" ht="15" customHeight="1" s="195">
      <c r="A304" s="280" t="n"/>
      <c r="B304" s="280" t="n"/>
      <c r="C304" s="280" t="n"/>
      <c r="D304" s="280" t="n"/>
      <c r="E304" s="280" t="n"/>
      <c r="F304" s="280" t="n"/>
      <c r="G304" s="280" t="n"/>
      <c r="H304" s="280" t="n"/>
      <c r="I304" s="332">
        <f>IFERROR(VLOOKUP(TEXT(H304,"0"),IPRESS!$A$3:$B$212,2,0),"")</f>
        <v/>
      </c>
      <c r="J304" s="280" t="n"/>
      <c r="K304" s="332">
        <f>IFERROR(VLOOKUP(TEXT(O304,"0"),CONDUCTORES!$A$3:$G$54,7,0),"")</f>
        <v/>
      </c>
      <c r="L304" s="280" t="n"/>
      <c r="M304" s="280" t="n"/>
      <c r="N304" s="333">
        <f>IFERROR(IF(L304*M304=0,"",L304*M304),"")</f>
        <v/>
      </c>
      <c r="O304" s="280" t="n"/>
      <c r="P304" s="332">
        <f>IFERROR(VLOOKUP(TEXT(O304,"0"),CONDUCTORES!$A$3:$G$54,2,0),"")</f>
        <v/>
      </c>
      <c r="Q304" s="332">
        <f>IFERROR(VLOOKUP(TEXT(O304,"0"),CONDUCTORES!$A$3:$H$54,6,0),"")</f>
        <v/>
      </c>
      <c r="R304" s="280" t="n"/>
      <c r="S304" s="280" t="n"/>
      <c r="T304" s="280" t="n"/>
      <c r="U304" s="280" t="n"/>
      <c r="V304" s="280" t="n"/>
      <c r="W304" s="280" t="n"/>
      <c r="X304" s="280" t="n"/>
      <c r="Y304" s="280" t="n"/>
    </row>
    <row r="305" ht="15" customHeight="1" s="195">
      <c r="A305" s="334" t="n"/>
      <c r="B305" s="334" t="n"/>
      <c r="C305" s="334" t="n"/>
      <c r="D305" s="334" t="n"/>
      <c r="E305" s="334" t="n"/>
      <c r="F305" s="334" t="n"/>
      <c r="G305" s="334" t="n"/>
      <c r="H305" s="334" t="n"/>
      <c r="I305" s="332">
        <f>IFERROR(VLOOKUP(TEXT(H305,"0"),IPRESS!$A$3:$B$212,2,0),"")</f>
        <v/>
      </c>
      <c r="J305" s="334" t="n"/>
      <c r="K305" s="332">
        <f>IFERROR(VLOOKUP(TEXT(O305,"0"),CONDUCTORES!$A$3:$G$54,7,0),"")</f>
        <v/>
      </c>
      <c r="L305" s="334" t="n"/>
      <c r="M305" s="334" t="n"/>
      <c r="N305" s="333">
        <f>IFERROR(IF(L305*M305=0,"",L305*M305),"")</f>
        <v/>
      </c>
      <c r="O305" s="334" t="n"/>
      <c r="P305" s="332">
        <f>IFERROR(VLOOKUP(TEXT(O305,"0"),CONDUCTORES!$A$3:$G$54,2,0),"")</f>
        <v/>
      </c>
      <c r="Q305" s="332">
        <f>IFERROR(VLOOKUP(TEXT(O305,"0"),CONDUCTORES!$A$3:$H$54,6,0),"")</f>
        <v/>
      </c>
      <c r="R305" s="334" t="n"/>
      <c r="S305" s="334" t="n"/>
      <c r="T305" s="334" t="n"/>
      <c r="U305" s="334" t="n"/>
      <c r="V305" s="334" t="n"/>
      <c r="W305" s="334" t="n"/>
      <c r="X305" s="334" t="n"/>
      <c r="Y305" s="334" t="n"/>
    </row>
    <row r="306" ht="15" customHeight="1" s="195">
      <c r="A306" s="280" t="n"/>
      <c r="B306" s="280" t="n"/>
      <c r="C306" s="280" t="n"/>
      <c r="D306" s="280" t="n"/>
      <c r="E306" s="280" t="n"/>
      <c r="F306" s="280" t="n"/>
      <c r="G306" s="280" t="n"/>
      <c r="H306" s="280" t="n"/>
      <c r="I306" s="332">
        <f>IFERROR(VLOOKUP(TEXT(H306,"0"),IPRESS!$A$3:$B$212,2,0),"")</f>
        <v/>
      </c>
      <c r="J306" s="280" t="n"/>
      <c r="K306" s="332">
        <f>IFERROR(VLOOKUP(TEXT(O306,"0"),CONDUCTORES!$A$3:$G$54,7,0),"")</f>
        <v/>
      </c>
      <c r="L306" s="280" t="n"/>
      <c r="M306" s="280" t="n"/>
      <c r="N306" s="333">
        <f>IFERROR(IF(L306*M306=0,"",L306*M306),"")</f>
        <v/>
      </c>
      <c r="O306" s="280" t="n"/>
      <c r="P306" s="332">
        <f>IFERROR(VLOOKUP(TEXT(O306,"0"),CONDUCTORES!$A$3:$G$54,2,0),"")</f>
        <v/>
      </c>
      <c r="Q306" s="332">
        <f>IFERROR(VLOOKUP(TEXT(O306,"0"),CONDUCTORES!$A$3:$H$54,6,0),"")</f>
        <v/>
      </c>
      <c r="R306" s="280" t="n"/>
      <c r="S306" s="280" t="n"/>
      <c r="T306" s="280" t="n"/>
      <c r="U306" s="280" t="n"/>
      <c r="V306" s="280" t="n"/>
      <c r="W306" s="280" t="n"/>
      <c r="X306" s="280" t="n"/>
      <c r="Y306" s="280" t="n"/>
    </row>
    <row r="307" ht="15" customHeight="1" s="195">
      <c r="A307" s="334" t="n"/>
      <c r="B307" s="334" t="n"/>
      <c r="C307" s="334" t="n"/>
      <c r="D307" s="334" t="n"/>
      <c r="E307" s="334" t="n"/>
      <c r="F307" s="334" t="n"/>
      <c r="G307" s="334" t="n"/>
      <c r="H307" s="334" t="n"/>
      <c r="I307" s="332">
        <f>IFERROR(VLOOKUP(TEXT(H307,"0"),IPRESS!$A$3:$B$212,2,0),"")</f>
        <v/>
      </c>
      <c r="J307" s="334" t="n"/>
      <c r="K307" s="332">
        <f>IFERROR(VLOOKUP(TEXT(O307,"0"),CONDUCTORES!$A$3:$G$54,7,0),"")</f>
        <v/>
      </c>
      <c r="L307" s="334" t="n"/>
      <c r="M307" s="334" t="n"/>
      <c r="N307" s="333">
        <f>IFERROR(IF(L307*M307=0,"",L307*M307),"")</f>
        <v/>
      </c>
      <c r="O307" s="334" t="n"/>
      <c r="P307" s="332">
        <f>IFERROR(VLOOKUP(TEXT(O307,"0"),CONDUCTORES!$A$3:$G$54,2,0),"")</f>
        <v/>
      </c>
      <c r="Q307" s="332">
        <f>IFERROR(VLOOKUP(TEXT(O307,"0"),CONDUCTORES!$A$3:$H$54,6,0),"")</f>
        <v/>
      </c>
      <c r="R307" s="334" t="n"/>
      <c r="S307" s="334" t="n"/>
      <c r="T307" s="334" t="n"/>
      <c r="U307" s="334" t="n"/>
      <c r="V307" s="334" t="n"/>
      <c r="W307" s="334" t="n"/>
      <c r="X307" s="334" t="n"/>
      <c r="Y307" s="334" t="n"/>
    </row>
    <row r="308" ht="15" customHeight="1" s="195">
      <c r="A308" s="280" t="n"/>
      <c r="B308" s="280" t="n"/>
      <c r="C308" s="280" t="n"/>
      <c r="D308" s="280" t="n"/>
      <c r="E308" s="280" t="n"/>
      <c r="F308" s="280" t="n"/>
      <c r="G308" s="280" t="n"/>
      <c r="H308" s="280" t="n"/>
      <c r="I308" s="332">
        <f>IFERROR(VLOOKUP(TEXT(H308,"0"),IPRESS!$A$3:$B$212,2,0),"")</f>
        <v/>
      </c>
      <c r="J308" s="280" t="n"/>
      <c r="K308" s="332">
        <f>IFERROR(VLOOKUP(TEXT(O308,"0"),CONDUCTORES!$A$3:$G$54,7,0),"")</f>
        <v/>
      </c>
      <c r="L308" s="280" t="n"/>
      <c r="M308" s="280" t="n"/>
      <c r="N308" s="333">
        <f>IFERROR(IF(L308*M308=0,"",L308*M308),"")</f>
        <v/>
      </c>
      <c r="O308" s="280" t="n"/>
      <c r="P308" s="332">
        <f>IFERROR(VLOOKUP(TEXT(O308,"0"),CONDUCTORES!$A$3:$G$54,2,0),"")</f>
        <v/>
      </c>
      <c r="Q308" s="332">
        <f>IFERROR(VLOOKUP(TEXT(O308,"0"),CONDUCTORES!$A$3:$H$54,6,0),"")</f>
        <v/>
      </c>
      <c r="R308" s="280" t="n"/>
      <c r="S308" s="280" t="n"/>
      <c r="T308" s="280" t="n"/>
      <c r="U308" s="280" t="n"/>
      <c r="V308" s="280" t="n"/>
      <c r="W308" s="280" t="n"/>
      <c r="X308" s="280" t="n"/>
      <c r="Y308" s="280" t="n"/>
    </row>
    <row r="309" ht="15" customHeight="1" s="195">
      <c r="A309" s="334" t="n"/>
      <c r="B309" s="334" t="n"/>
      <c r="C309" s="334" t="n"/>
      <c r="D309" s="334" t="n"/>
      <c r="E309" s="334" t="n"/>
      <c r="F309" s="334" t="n"/>
      <c r="G309" s="334" t="n"/>
      <c r="H309" s="334" t="n"/>
      <c r="I309" s="332">
        <f>IFERROR(VLOOKUP(TEXT(H309,"0"),IPRESS!$A$3:$B$212,2,0),"")</f>
        <v/>
      </c>
      <c r="J309" s="334" t="n"/>
      <c r="K309" s="332">
        <f>IFERROR(VLOOKUP(TEXT(O309,"0"),CONDUCTORES!$A$3:$G$54,7,0),"")</f>
        <v/>
      </c>
      <c r="L309" s="334" t="n"/>
      <c r="M309" s="334" t="n"/>
      <c r="N309" s="333">
        <f>IFERROR(IF(L309*M309=0,"",L309*M309),"")</f>
        <v/>
      </c>
      <c r="O309" s="334" t="n"/>
      <c r="P309" s="332">
        <f>IFERROR(VLOOKUP(TEXT(O309,"0"),CONDUCTORES!$A$3:$G$54,2,0),"")</f>
        <v/>
      </c>
      <c r="Q309" s="332">
        <f>IFERROR(VLOOKUP(TEXT(O309,"0"),CONDUCTORES!$A$3:$H$54,6,0),"")</f>
        <v/>
      </c>
      <c r="R309" s="334" t="n"/>
      <c r="S309" s="334" t="n"/>
      <c r="T309" s="334" t="n"/>
      <c r="U309" s="334" t="n"/>
      <c r="V309" s="334" t="n"/>
      <c r="W309" s="334" t="n"/>
      <c r="X309" s="334" t="n"/>
      <c r="Y309" s="334" t="n"/>
    </row>
    <row r="310" ht="15" customHeight="1" s="195">
      <c r="A310" s="280" t="n"/>
      <c r="B310" s="280" t="n"/>
      <c r="C310" s="280" t="n"/>
      <c r="D310" s="280" t="n"/>
      <c r="E310" s="280" t="n"/>
      <c r="F310" s="280" t="n"/>
      <c r="G310" s="280" t="n"/>
      <c r="H310" s="280" t="n"/>
      <c r="I310" s="332">
        <f>IFERROR(VLOOKUP(TEXT(H310,"0"),IPRESS!$A$3:$B$212,2,0),"")</f>
        <v/>
      </c>
      <c r="J310" s="280" t="n"/>
      <c r="K310" s="332">
        <f>IFERROR(VLOOKUP(TEXT(O310,"0"),CONDUCTORES!$A$3:$G$54,7,0),"")</f>
        <v/>
      </c>
      <c r="L310" s="280" t="n"/>
      <c r="M310" s="280" t="n"/>
      <c r="N310" s="333">
        <f>IFERROR(IF(L310*M310=0,"",L310*M310),"")</f>
        <v/>
      </c>
      <c r="O310" s="280" t="n"/>
      <c r="P310" s="332">
        <f>IFERROR(VLOOKUP(TEXT(O310,"0"),CONDUCTORES!$A$3:$G$54,2,0),"")</f>
        <v/>
      </c>
      <c r="Q310" s="332">
        <f>IFERROR(VLOOKUP(TEXT(O310,"0"),CONDUCTORES!$A$3:$H$54,6,0),"")</f>
        <v/>
      </c>
      <c r="R310" s="280" t="n"/>
      <c r="S310" s="280" t="n"/>
      <c r="T310" s="280" t="n"/>
      <c r="U310" s="280" t="n"/>
      <c r="V310" s="280" t="n"/>
      <c r="W310" s="280" t="n"/>
      <c r="X310" s="280" t="n"/>
      <c r="Y310" s="280" t="n"/>
    </row>
    <row r="311" ht="15" customHeight="1" s="195">
      <c r="A311" s="334" t="n"/>
      <c r="B311" s="334" t="n"/>
      <c r="C311" s="334" t="n"/>
      <c r="D311" s="334" t="n"/>
      <c r="E311" s="334" t="n"/>
      <c r="F311" s="334" t="n"/>
      <c r="G311" s="334" t="n"/>
      <c r="H311" s="334" t="n"/>
      <c r="I311" s="332">
        <f>IFERROR(VLOOKUP(TEXT(H311,"0"),IPRESS!$A$3:$B$212,2,0),"")</f>
        <v/>
      </c>
      <c r="J311" s="334" t="n"/>
      <c r="K311" s="332">
        <f>IFERROR(VLOOKUP(TEXT(O311,"0"),CONDUCTORES!$A$3:$G$54,7,0),"")</f>
        <v/>
      </c>
      <c r="L311" s="334" t="n"/>
      <c r="M311" s="334" t="n"/>
      <c r="N311" s="333">
        <f>IFERROR(IF(L311*M311=0,"",L311*M311),"")</f>
        <v/>
      </c>
      <c r="O311" s="334" t="n"/>
      <c r="P311" s="332">
        <f>IFERROR(VLOOKUP(TEXT(O311,"0"),CONDUCTORES!$A$3:$G$54,2,0),"")</f>
        <v/>
      </c>
      <c r="Q311" s="332">
        <f>IFERROR(VLOOKUP(TEXT(O311,"0"),CONDUCTORES!$A$3:$H$54,6,0),"")</f>
        <v/>
      </c>
      <c r="R311" s="334" t="n"/>
      <c r="S311" s="334" t="n"/>
      <c r="T311" s="334" t="n"/>
      <c r="U311" s="334" t="n"/>
      <c r="V311" s="334" t="n"/>
      <c r="W311" s="334" t="n"/>
      <c r="X311" s="334" t="n"/>
      <c r="Y311" s="334" t="n"/>
    </row>
    <row r="312" ht="15" customHeight="1" s="195">
      <c r="A312" s="280" t="n"/>
      <c r="B312" s="280" t="n"/>
      <c r="C312" s="280" t="n"/>
      <c r="D312" s="280" t="n"/>
      <c r="E312" s="280" t="n"/>
      <c r="F312" s="280" t="n"/>
      <c r="G312" s="280" t="n"/>
      <c r="H312" s="280" t="n"/>
      <c r="I312" s="332">
        <f>IFERROR(VLOOKUP(TEXT(H312,"0"),IPRESS!$A$3:$B$212,2,0),"")</f>
        <v/>
      </c>
      <c r="J312" s="280" t="n"/>
      <c r="K312" s="332">
        <f>IFERROR(VLOOKUP(TEXT(O312,"0"),CONDUCTORES!$A$3:$G$54,7,0),"")</f>
        <v/>
      </c>
      <c r="L312" s="280" t="n"/>
      <c r="M312" s="280" t="n"/>
      <c r="N312" s="333">
        <f>IFERROR(IF(L312*M312=0,"",L312*M312),"")</f>
        <v/>
      </c>
      <c r="O312" s="280" t="n"/>
      <c r="P312" s="332">
        <f>IFERROR(VLOOKUP(TEXT(O312,"0"),CONDUCTORES!$A$3:$G$54,2,0),"")</f>
        <v/>
      </c>
      <c r="Q312" s="332">
        <f>IFERROR(VLOOKUP(TEXT(O312,"0"),CONDUCTORES!$A$3:$H$54,6,0),"")</f>
        <v/>
      </c>
      <c r="R312" s="280" t="n"/>
      <c r="S312" s="280" t="n"/>
      <c r="T312" s="280" t="n"/>
      <c r="U312" s="280" t="n"/>
      <c r="V312" s="280" t="n"/>
      <c r="W312" s="280" t="n"/>
      <c r="X312" s="280" t="n"/>
      <c r="Y312" s="280" t="n"/>
    </row>
    <row r="313" ht="15" customHeight="1" s="195">
      <c r="A313" s="334" t="n"/>
      <c r="B313" s="334" t="n"/>
      <c r="C313" s="334" t="n"/>
      <c r="D313" s="334" t="n"/>
      <c r="E313" s="334" t="n"/>
      <c r="F313" s="334" t="n"/>
      <c r="G313" s="334" t="n"/>
      <c r="H313" s="334" t="n"/>
      <c r="I313" s="332">
        <f>IFERROR(VLOOKUP(TEXT(H313,"0"),IPRESS!$A$3:$B$212,2,0),"")</f>
        <v/>
      </c>
      <c r="J313" s="334" t="n"/>
      <c r="K313" s="332">
        <f>IFERROR(VLOOKUP(TEXT(O313,"0"),CONDUCTORES!$A$3:$G$54,7,0),"")</f>
        <v/>
      </c>
      <c r="L313" s="334" t="n"/>
      <c r="M313" s="334" t="n"/>
      <c r="N313" s="333">
        <f>IFERROR(IF(L313*M313=0,"",L313*M313),"")</f>
        <v/>
      </c>
      <c r="O313" s="334" t="n"/>
      <c r="P313" s="332">
        <f>IFERROR(VLOOKUP(TEXT(O313,"0"),CONDUCTORES!$A$3:$G$54,2,0),"")</f>
        <v/>
      </c>
      <c r="Q313" s="332">
        <f>IFERROR(VLOOKUP(TEXT(O313,"0"),CONDUCTORES!$A$3:$H$54,6,0),"")</f>
        <v/>
      </c>
      <c r="R313" s="334" t="n"/>
      <c r="S313" s="334" t="n"/>
      <c r="T313" s="334" t="n"/>
      <c r="U313" s="334" t="n"/>
      <c r="V313" s="334" t="n"/>
      <c r="W313" s="334" t="n"/>
      <c r="X313" s="334" t="n"/>
      <c r="Y313" s="334" t="n"/>
    </row>
    <row r="314" ht="15" customHeight="1" s="195">
      <c r="A314" s="280" t="n"/>
      <c r="B314" s="280" t="n"/>
      <c r="C314" s="280" t="n"/>
      <c r="D314" s="280" t="n"/>
      <c r="E314" s="280" t="n"/>
      <c r="F314" s="280" t="n"/>
      <c r="G314" s="280" t="n"/>
      <c r="H314" s="280" t="n"/>
      <c r="I314" s="332">
        <f>IFERROR(VLOOKUP(TEXT(H314,"0"),IPRESS!$A$3:$B$212,2,0),"")</f>
        <v/>
      </c>
      <c r="J314" s="280" t="n"/>
      <c r="K314" s="332">
        <f>IFERROR(VLOOKUP(TEXT(O314,"0"),CONDUCTORES!$A$3:$G$54,7,0),"")</f>
        <v/>
      </c>
      <c r="L314" s="280" t="n"/>
      <c r="M314" s="280" t="n"/>
      <c r="N314" s="333">
        <f>IFERROR(IF(L314*M314=0,"",L314*M314),"")</f>
        <v/>
      </c>
      <c r="O314" s="280" t="n"/>
      <c r="P314" s="332">
        <f>IFERROR(VLOOKUP(TEXT(O314,"0"),CONDUCTORES!$A$3:$G$54,2,0),"")</f>
        <v/>
      </c>
      <c r="Q314" s="332">
        <f>IFERROR(VLOOKUP(TEXT(O314,"0"),CONDUCTORES!$A$3:$H$54,6,0),"")</f>
        <v/>
      </c>
      <c r="R314" s="280" t="n"/>
      <c r="S314" s="280" t="n"/>
      <c r="T314" s="280" t="n"/>
      <c r="U314" s="280" t="n"/>
      <c r="V314" s="280" t="n"/>
      <c r="W314" s="280" t="n"/>
      <c r="X314" s="280" t="n"/>
      <c r="Y314" s="280" t="n"/>
    </row>
    <row r="315" ht="15" customHeight="1" s="195">
      <c r="A315" s="334" t="n"/>
      <c r="B315" s="334" t="n"/>
      <c r="C315" s="334" t="n"/>
      <c r="D315" s="334" t="n"/>
      <c r="E315" s="334" t="n"/>
      <c r="F315" s="334" t="n"/>
      <c r="G315" s="334" t="n"/>
      <c r="H315" s="334" t="n"/>
      <c r="I315" s="332">
        <f>IFERROR(VLOOKUP(TEXT(H315,"0"),IPRESS!$A$3:$B$212,2,0),"")</f>
        <v/>
      </c>
      <c r="J315" s="334" t="n"/>
      <c r="K315" s="332">
        <f>IFERROR(VLOOKUP(TEXT(O315,"0"),CONDUCTORES!$A$3:$G$54,7,0),"")</f>
        <v/>
      </c>
      <c r="L315" s="334" t="n"/>
      <c r="M315" s="334" t="n"/>
      <c r="N315" s="333">
        <f>IFERROR(IF(L315*M315=0,"",L315*M315),"")</f>
        <v/>
      </c>
      <c r="O315" s="334" t="n"/>
      <c r="P315" s="332">
        <f>IFERROR(VLOOKUP(TEXT(O315,"0"),CONDUCTORES!$A$3:$G$54,2,0),"")</f>
        <v/>
      </c>
      <c r="Q315" s="332">
        <f>IFERROR(VLOOKUP(TEXT(O315,"0"),CONDUCTORES!$A$3:$H$54,6,0),"")</f>
        <v/>
      </c>
      <c r="R315" s="334" t="n"/>
      <c r="S315" s="334" t="n"/>
      <c r="T315" s="334" t="n"/>
      <c r="U315" s="334" t="n"/>
      <c r="V315" s="334" t="n"/>
      <c r="W315" s="334" t="n"/>
      <c r="X315" s="334" t="n"/>
      <c r="Y315" s="334" t="n"/>
    </row>
    <row r="316" ht="15" customHeight="1" s="195">
      <c r="A316" s="280" t="n"/>
      <c r="B316" s="280" t="n"/>
      <c r="C316" s="280" t="n"/>
      <c r="D316" s="280" t="n"/>
      <c r="E316" s="280" t="n"/>
      <c r="F316" s="280" t="n"/>
      <c r="G316" s="280" t="n"/>
      <c r="H316" s="280" t="n"/>
      <c r="I316" s="332">
        <f>IFERROR(VLOOKUP(TEXT(H316,"0"),IPRESS!$A$3:$B$212,2,0),"")</f>
        <v/>
      </c>
      <c r="J316" s="280" t="n"/>
      <c r="K316" s="332">
        <f>IFERROR(VLOOKUP(TEXT(O316,"0"),CONDUCTORES!$A$3:$G$54,7,0),"")</f>
        <v/>
      </c>
      <c r="L316" s="280" t="n"/>
      <c r="M316" s="280" t="n"/>
      <c r="N316" s="333">
        <f>IFERROR(IF(L316*M316=0,"",L316*M316),"")</f>
        <v/>
      </c>
      <c r="O316" s="280" t="n"/>
      <c r="P316" s="332">
        <f>IFERROR(VLOOKUP(TEXT(O316,"0"),CONDUCTORES!$A$3:$G$54,2,0),"")</f>
        <v/>
      </c>
      <c r="Q316" s="332">
        <f>IFERROR(VLOOKUP(TEXT(O316,"0"),CONDUCTORES!$A$3:$H$54,6,0),"")</f>
        <v/>
      </c>
      <c r="R316" s="280" t="n"/>
      <c r="S316" s="280" t="n"/>
      <c r="T316" s="280" t="n"/>
      <c r="U316" s="280" t="n"/>
      <c r="V316" s="280" t="n"/>
      <c r="W316" s="280" t="n"/>
      <c r="X316" s="280" t="n"/>
      <c r="Y316" s="280" t="n"/>
    </row>
    <row r="317" ht="15" customHeight="1" s="195">
      <c r="A317" s="334" t="n"/>
      <c r="B317" s="334" t="n"/>
      <c r="C317" s="334" t="n"/>
      <c r="D317" s="334" t="n"/>
      <c r="E317" s="334" t="n"/>
      <c r="F317" s="334" t="n"/>
      <c r="G317" s="334" t="n"/>
      <c r="H317" s="334" t="n"/>
      <c r="I317" s="332">
        <f>IFERROR(VLOOKUP(TEXT(H317,"0"),IPRESS!$A$3:$B$212,2,0),"")</f>
        <v/>
      </c>
      <c r="J317" s="334" t="n"/>
      <c r="K317" s="332">
        <f>IFERROR(VLOOKUP(TEXT(O317,"0"),CONDUCTORES!$A$3:$G$54,7,0),"")</f>
        <v/>
      </c>
      <c r="L317" s="334" t="n"/>
      <c r="M317" s="334" t="n"/>
      <c r="N317" s="333">
        <f>IFERROR(IF(L317*M317=0,"",L317*M317),"")</f>
        <v/>
      </c>
      <c r="O317" s="334" t="n"/>
      <c r="P317" s="332">
        <f>IFERROR(VLOOKUP(TEXT(O317,"0"),CONDUCTORES!$A$3:$G$54,2,0),"")</f>
        <v/>
      </c>
      <c r="Q317" s="332">
        <f>IFERROR(VLOOKUP(TEXT(O317,"0"),CONDUCTORES!$A$3:$H$54,6,0),"")</f>
        <v/>
      </c>
      <c r="R317" s="334" t="n"/>
      <c r="S317" s="334" t="n"/>
      <c r="T317" s="334" t="n"/>
      <c r="U317" s="334" t="n"/>
      <c r="V317" s="334" t="n"/>
      <c r="W317" s="334" t="n"/>
      <c r="X317" s="334" t="n"/>
      <c r="Y317" s="334" t="n"/>
    </row>
    <row r="318" ht="15" customHeight="1" s="195">
      <c r="A318" s="280" t="n"/>
      <c r="B318" s="280" t="n"/>
      <c r="C318" s="280" t="n"/>
      <c r="D318" s="280" t="n"/>
      <c r="E318" s="280" t="n"/>
      <c r="F318" s="280" t="n"/>
      <c r="G318" s="280" t="n"/>
      <c r="H318" s="280" t="n"/>
      <c r="I318" s="332">
        <f>IFERROR(VLOOKUP(TEXT(H318,"0"),IPRESS!$A$3:$B$212,2,0),"")</f>
        <v/>
      </c>
      <c r="J318" s="280" t="n"/>
      <c r="K318" s="332">
        <f>IFERROR(VLOOKUP(TEXT(O318,"0"),CONDUCTORES!$A$3:$G$54,7,0),"")</f>
        <v/>
      </c>
      <c r="L318" s="280" t="n"/>
      <c r="M318" s="280" t="n"/>
      <c r="N318" s="333">
        <f>IFERROR(IF(L318*M318=0,"",L318*M318),"")</f>
        <v/>
      </c>
      <c r="O318" s="280" t="n"/>
      <c r="P318" s="332">
        <f>IFERROR(VLOOKUP(TEXT(O318,"0"),CONDUCTORES!$A$3:$G$54,2,0),"")</f>
        <v/>
      </c>
      <c r="Q318" s="332">
        <f>IFERROR(VLOOKUP(TEXT(O318,"0"),CONDUCTORES!$A$3:$H$54,6,0),"")</f>
        <v/>
      </c>
      <c r="R318" s="280" t="n"/>
      <c r="S318" s="280" t="n"/>
      <c r="T318" s="280" t="n"/>
      <c r="U318" s="280" t="n"/>
      <c r="V318" s="280" t="n"/>
      <c r="W318" s="280" t="n"/>
      <c r="X318" s="280" t="n"/>
      <c r="Y318" s="280" t="n"/>
    </row>
    <row r="319" ht="15" customHeight="1" s="195">
      <c r="A319" s="334" t="n"/>
      <c r="B319" s="334" t="n"/>
      <c r="C319" s="334" t="n"/>
      <c r="D319" s="334" t="n"/>
      <c r="E319" s="334" t="n"/>
      <c r="F319" s="334" t="n"/>
      <c r="G319" s="334" t="n"/>
      <c r="H319" s="334" t="n"/>
      <c r="I319" s="332">
        <f>IFERROR(VLOOKUP(TEXT(H319,"0"),IPRESS!$A$3:$B$212,2,0),"")</f>
        <v/>
      </c>
      <c r="J319" s="334" t="n"/>
      <c r="K319" s="332">
        <f>IFERROR(VLOOKUP(TEXT(O319,"0"),CONDUCTORES!$A$3:$G$54,7,0),"")</f>
        <v/>
      </c>
      <c r="L319" s="334" t="n"/>
      <c r="M319" s="334" t="n"/>
      <c r="N319" s="333">
        <f>IFERROR(IF(L319*M319=0,"",L319*M319),"")</f>
        <v/>
      </c>
      <c r="O319" s="334" t="n"/>
      <c r="P319" s="332">
        <f>IFERROR(VLOOKUP(TEXT(O319,"0"),CONDUCTORES!$A$3:$G$54,2,0),"")</f>
        <v/>
      </c>
      <c r="Q319" s="332">
        <f>IFERROR(VLOOKUP(TEXT(O319,"0"),CONDUCTORES!$A$3:$H$54,6,0),"")</f>
        <v/>
      </c>
      <c r="R319" s="334" t="n"/>
      <c r="S319" s="334" t="n"/>
      <c r="T319" s="334" t="n"/>
      <c r="U319" s="334" t="n"/>
      <c r="V319" s="334" t="n"/>
      <c r="W319" s="334" t="n"/>
      <c r="X319" s="334" t="n"/>
      <c r="Y319" s="334" t="n"/>
    </row>
    <row r="320" ht="15" customHeight="1" s="195">
      <c r="A320" s="280" t="n"/>
      <c r="B320" s="280" t="n"/>
      <c r="C320" s="280" t="n"/>
      <c r="D320" s="280" t="n"/>
      <c r="E320" s="280" t="n"/>
      <c r="F320" s="280" t="n"/>
      <c r="G320" s="280" t="n"/>
      <c r="H320" s="280" t="n"/>
      <c r="I320" s="332">
        <f>IFERROR(VLOOKUP(TEXT(H320,"0"),IPRESS!$A$3:$B$212,2,0),"")</f>
        <v/>
      </c>
      <c r="J320" s="280" t="n"/>
      <c r="K320" s="332">
        <f>IFERROR(VLOOKUP(TEXT(O320,"0"),CONDUCTORES!$A$3:$G$54,7,0),"")</f>
        <v/>
      </c>
      <c r="L320" s="280" t="n"/>
      <c r="M320" s="280" t="n"/>
      <c r="N320" s="333">
        <f>IFERROR(IF(L320*M320=0,"",L320*M320),"")</f>
        <v/>
      </c>
      <c r="O320" s="280" t="n"/>
      <c r="P320" s="332">
        <f>IFERROR(VLOOKUP(TEXT(O320,"0"),CONDUCTORES!$A$3:$G$54,2,0),"")</f>
        <v/>
      </c>
      <c r="Q320" s="332">
        <f>IFERROR(VLOOKUP(TEXT(O320,"0"),CONDUCTORES!$A$3:$H$54,6,0),"")</f>
        <v/>
      </c>
      <c r="R320" s="280" t="n"/>
      <c r="S320" s="280" t="n"/>
      <c r="T320" s="280" t="n"/>
      <c r="U320" s="280" t="n"/>
      <c r="V320" s="280" t="n"/>
      <c r="W320" s="280" t="n"/>
      <c r="X320" s="280" t="n"/>
      <c r="Y320" s="280" t="n"/>
    </row>
    <row r="321" ht="15" customHeight="1" s="195">
      <c r="A321" s="334" t="n"/>
      <c r="B321" s="334" t="n"/>
      <c r="C321" s="334" t="n"/>
      <c r="D321" s="334" t="n"/>
      <c r="E321" s="334" t="n"/>
      <c r="F321" s="334" t="n"/>
      <c r="G321" s="334" t="n"/>
      <c r="H321" s="334" t="n"/>
      <c r="I321" s="332">
        <f>IFERROR(VLOOKUP(TEXT(H321,"0"),IPRESS!$A$3:$B$212,2,0),"")</f>
        <v/>
      </c>
      <c r="J321" s="334" t="n"/>
      <c r="K321" s="332">
        <f>IFERROR(VLOOKUP(TEXT(O321,"0"),CONDUCTORES!$A$3:$G$54,7,0),"")</f>
        <v/>
      </c>
      <c r="L321" s="334" t="n"/>
      <c r="M321" s="334" t="n"/>
      <c r="N321" s="333">
        <f>IFERROR(IF(L321*M321=0,"",L321*M321),"")</f>
        <v/>
      </c>
      <c r="O321" s="334" t="n"/>
      <c r="P321" s="332">
        <f>IFERROR(VLOOKUP(TEXT(O321,"0"),CONDUCTORES!$A$3:$G$54,2,0),"")</f>
        <v/>
      </c>
      <c r="Q321" s="332">
        <f>IFERROR(VLOOKUP(TEXT(O321,"0"),CONDUCTORES!$A$3:$H$54,6,0),"")</f>
        <v/>
      </c>
      <c r="R321" s="334" t="n"/>
      <c r="S321" s="334" t="n"/>
      <c r="T321" s="334" t="n"/>
      <c r="U321" s="334" t="n"/>
      <c r="V321" s="334" t="n"/>
      <c r="W321" s="334" t="n"/>
      <c r="X321" s="334" t="n"/>
      <c r="Y321" s="334" t="n"/>
    </row>
    <row r="322" ht="15" customHeight="1" s="195">
      <c r="A322" s="280" t="n"/>
      <c r="B322" s="280" t="n"/>
      <c r="C322" s="280" t="n"/>
      <c r="D322" s="280" t="n"/>
      <c r="E322" s="280" t="n"/>
      <c r="F322" s="280" t="n"/>
      <c r="G322" s="280" t="n"/>
      <c r="H322" s="280" t="n"/>
      <c r="I322" s="332">
        <f>IFERROR(VLOOKUP(TEXT(H322,"0"),IPRESS!$A$3:$B$212,2,0),"")</f>
        <v/>
      </c>
      <c r="J322" s="280" t="n"/>
      <c r="K322" s="332">
        <f>IFERROR(VLOOKUP(TEXT(O322,"0"),CONDUCTORES!$A$3:$G$54,7,0),"")</f>
        <v/>
      </c>
      <c r="L322" s="280" t="n"/>
      <c r="M322" s="280" t="n"/>
      <c r="N322" s="333">
        <f>IFERROR(IF(L322*M322=0,"",L322*M322),"")</f>
        <v/>
      </c>
      <c r="O322" s="280" t="n"/>
      <c r="P322" s="332">
        <f>IFERROR(VLOOKUP(TEXT(O322,"0"),CONDUCTORES!$A$3:$G$54,2,0),"")</f>
        <v/>
      </c>
      <c r="Q322" s="332">
        <f>IFERROR(VLOOKUP(TEXT(O322,"0"),CONDUCTORES!$A$3:$H$54,6,0),"")</f>
        <v/>
      </c>
      <c r="R322" s="280" t="n"/>
      <c r="S322" s="280" t="n"/>
      <c r="T322" s="280" t="n"/>
      <c r="U322" s="280" t="n"/>
      <c r="V322" s="280" t="n"/>
      <c r="W322" s="280" t="n"/>
      <c r="X322" s="280" t="n"/>
      <c r="Y322" s="280" t="n"/>
    </row>
    <row r="323" ht="15" customHeight="1" s="195">
      <c r="A323" s="334" t="n"/>
      <c r="B323" s="334" t="n"/>
      <c r="C323" s="334" t="n"/>
      <c r="D323" s="334" t="n"/>
      <c r="E323" s="334" t="n"/>
      <c r="F323" s="334" t="n"/>
      <c r="G323" s="334" t="n"/>
      <c r="H323" s="334" t="n"/>
      <c r="I323" s="332">
        <f>IFERROR(VLOOKUP(TEXT(H323,"0"),IPRESS!$A$3:$B$212,2,0),"")</f>
        <v/>
      </c>
      <c r="J323" s="334" t="n"/>
      <c r="K323" s="332">
        <f>IFERROR(VLOOKUP(TEXT(O323,"0"),CONDUCTORES!$A$3:$G$54,7,0),"")</f>
        <v/>
      </c>
      <c r="L323" s="334" t="n"/>
      <c r="M323" s="334" t="n"/>
      <c r="N323" s="333">
        <f>IFERROR(IF(L323*M323=0,"",L323*M323),"")</f>
        <v/>
      </c>
      <c r="O323" s="334" t="n"/>
      <c r="P323" s="332">
        <f>IFERROR(VLOOKUP(TEXT(O323,"0"),CONDUCTORES!$A$3:$G$54,2,0),"")</f>
        <v/>
      </c>
      <c r="Q323" s="332">
        <f>IFERROR(VLOOKUP(TEXT(O323,"0"),CONDUCTORES!$A$3:$H$54,6,0),"")</f>
        <v/>
      </c>
      <c r="R323" s="334" t="n"/>
      <c r="S323" s="334" t="n"/>
      <c r="T323" s="334" t="n"/>
      <c r="U323" s="334" t="n"/>
      <c r="V323" s="334" t="n"/>
      <c r="W323" s="334" t="n"/>
      <c r="X323" s="334" t="n"/>
      <c r="Y323" s="334" t="n"/>
    </row>
    <row r="324" ht="15" customHeight="1" s="195">
      <c r="A324" s="280" t="n"/>
      <c r="B324" s="280" t="n"/>
      <c r="C324" s="280" t="n"/>
      <c r="D324" s="280" t="n"/>
      <c r="E324" s="280" t="n"/>
      <c r="F324" s="280" t="n"/>
      <c r="G324" s="280" t="n"/>
      <c r="H324" s="280" t="n"/>
      <c r="I324" s="332">
        <f>IFERROR(VLOOKUP(TEXT(H324,"0"),IPRESS!$A$3:$B$212,2,0),"")</f>
        <v/>
      </c>
      <c r="J324" s="280" t="n"/>
      <c r="K324" s="332">
        <f>IFERROR(VLOOKUP(TEXT(O324,"0"),CONDUCTORES!$A$3:$G$54,7,0),"")</f>
        <v/>
      </c>
      <c r="L324" s="280" t="n"/>
      <c r="M324" s="280" t="n"/>
      <c r="N324" s="333">
        <f>IFERROR(IF(L324*M324=0,"",L324*M324),"")</f>
        <v/>
      </c>
      <c r="O324" s="280" t="n"/>
      <c r="P324" s="332">
        <f>IFERROR(VLOOKUP(TEXT(O324,"0"),CONDUCTORES!$A$3:$G$54,2,0),"")</f>
        <v/>
      </c>
      <c r="Q324" s="332">
        <f>IFERROR(VLOOKUP(TEXT(O324,"0"),CONDUCTORES!$A$3:$H$54,6,0),"")</f>
        <v/>
      </c>
      <c r="R324" s="280" t="n"/>
      <c r="S324" s="280" t="n"/>
      <c r="T324" s="280" t="n"/>
      <c r="U324" s="280" t="n"/>
      <c r="V324" s="280" t="n"/>
      <c r="W324" s="280" t="n"/>
      <c r="X324" s="280" t="n"/>
      <c r="Y324" s="280" t="n"/>
    </row>
    <row r="325" ht="15" customHeight="1" s="195">
      <c r="A325" s="334" t="n"/>
      <c r="B325" s="334" t="n"/>
      <c r="C325" s="334" t="n"/>
      <c r="D325" s="334" t="n"/>
      <c r="E325" s="334" t="n"/>
      <c r="F325" s="334" t="n"/>
      <c r="G325" s="334" t="n"/>
      <c r="H325" s="334" t="n"/>
      <c r="I325" s="332">
        <f>IFERROR(VLOOKUP(TEXT(H325,"0"),IPRESS!$A$3:$B$212,2,0),"")</f>
        <v/>
      </c>
      <c r="J325" s="334" t="n"/>
      <c r="K325" s="332">
        <f>IFERROR(VLOOKUP(TEXT(O325,"0"),CONDUCTORES!$A$3:$G$54,7,0),"")</f>
        <v/>
      </c>
      <c r="L325" s="334" t="n"/>
      <c r="M325" s="334" t="n"/>
      <c r="N325" s="333">
        <f>IFERROR(IF(L325*M325=0,"",L325*M325),"")</f>
        <v/>
      </c>
      <c r="O325" s="334" t="n"/>
      <c r="P325" s="332">
        <f>IFERROR(VLOOKUP(TEXT(O325,"0"),CONDUCTORES!$A$3:$G$54,2,0),"")</f>
        <v/>
      </c>
      <c r="Q325" s="332">
        <f>IFERROR(VLOOKUP(TEXT(O325,"0"),CONDUCTORES!$A$3:$H$54,6,0),"")</f>
        <v/>
      </c>
      <c r="R325" s="334" t="n"/>
      <c r="S325" s="334" t="n"/>
      <c r="T325" s="334" t="n"/>
      <c r="U325" s="334" t="n"/>
      <c r="V325" s="334" t="n"/>
      <c r="W325" s="334" t="n"/>
      <c r="X325" s="334" t="n"/>
      <c r="Y325" s="334" t="n"/>
    </row>
    <row r="326" ht="15" customHeight="1" s="195">
      <c r="A326" s="280" t="n"/>
      <c r="B326" s="280" t="n"/>
      <c r="C326" s="280" t="n"/>
      <c r="D326" s="280" t="n"/>
      <c r="E326" s="280" t="n"/>
      <c r="F326" s="280" t="n"/>
      <c r="G326" s="280" t="n"/>
      <c r="H326" s="280" t="n"/>
      <c r="I326" s="332">
        <f>IFERROR(VLOOKUP(TEXT(H326,"0"),IPRESS!$A$3:$B$212,2,0),"")</f>
        <v/>
      </c>
      <c r="J326" s="280" t="n"/>
      <c r="K326" s="332">
        <f>IFERROR(VLOOKUP(TEXT(O326,"0"),CONDUCTORES!$A$3:$G$54,7,0),"")</f>
        <v/>
      </c>
      <c r="L326" s="280" t="n"/>
      <c r="M326" s="280" t="n"/>
      <c r="N326" s="333">
        <f>IFERROR(IF(L326*M326=0,"",L326*M326),"")</f>
        <v/>
      </c>
      <c r="O326" s="280" t="n"/>
      <c r="P326" s="332">
        <f>IFERROR(VLOOKUP(TEXT(O326,"0"),CONDUCTORES!$A$3:$G$54,2,0),"")</f>
        <v/>
      </c>
      <c r="Q326" s="332">
        <f>IFERROR(VLOOKUP(TEXT(O326,"0"),CONDUCTORES!$A$3:$H$54,6,0),"")</f>
        <v/>
      </c>
      <c r="R326" s="280" t="n"/>
      <c r="S326" s="280" t="n"/>
      <c r="T326" s="280" t="n"/>
      <c r="U326" s="280" t="n"/>
      <c r="V326" s="280" t="n"/>
      <c r="W326" s="280" t="n"/>
      <c r="X326" s="280" t="n"/>
      <c r="Y326" s="280" t="n"/>
    </row>
    <row r="327" ht="15" customHeight="1" s="195">
      <c r="A327" s="334" t="n"/>
      <c r="B327" s="334" t="n"/>
      <c r="C327" s="334" t="n"/>
      <c r="D327" s="334" t="n"/>
      <c r="E327" s="334" t="n"/>
      <c r="F327" s="334" t="n"/>
      <c r="G327" s="334" t="n"/>
      <c r="H327" s="334" t="n"/>
      <c r="I327" s="332">
        <f>IFERROR(VLOOKUP(TEXT(H327,"0"),IPRESS!$A$3:$B$212,2,0),"")</f>
        <v/>
      </c>
      <c r="J327" s="334" t="n"/>
      <c r="K327" s="332">
        <f>IFERROR(VLOOKUP(TEXT(O327,"0"),CONDUCTORES!$A$3:$G$54,7,0),"")</f>
        <v/>
      </c>
      <c r="L327" s="334" t="n"/>
      <c r="M327" s="334" t="n"/>
      <c r="N327" s="333">
        <f>IFERROR(IF(L327*M327=0,"",L327*M327),"")</f>
        <v/>
      </c>
      <c r="O327" s="334" t="n"/>
      <c r="P327" s="332">
        <f>IFERROR(VLOOKUP(TEXT(O327,"0"),CONDUCTORES!$A$3:$G$54,2,0),"")</f>
        <v/>
      </c>
      <c r="Q327" s="332">
        <f>IFERROR(VLOOKUP(TEXT(O327,"0"),CONDUCTORES!$A$3:$H$54,6,0),"")</f>
        <v/>
      </c>
      <c r="R327" s="334" t="n"/>
      <c r="S327" s="334" t="n"/>
      <c r="T327" s="334" t="n"/>
      <c r="U327" s="334" t="n"/>
      <c r="V327" s="334" t="n"/>
      <c r="W327" s="334" t="n"/>
      <c r="X327" s="334" t="n"/>
      <c r="Y327" s="334" t="n"/>
    </row>
    <row r="328" ht="15" customHeight="1" s="195">
      <c r="A328" s="280" t="n"/>
      <c r="B328" s="280" t="n"/>
      <c r="C328" s="280" t="n"/>
      <c r="D328" s="280" t="n"/>
      <c r="E328" s="280" t="n"/>
      <c r="F328" s="280" t="n"/>
      <c r="G328" s="280" t="n"/>
      <c r="H328" s="280" t="n"/>
      <c r="I328" s="332">
        <f>IFERROR(VLOOKUP(TEXT(H328,"0"),IPRESS!$A$3:$B$212,2,0),"")</f>
        <v/>
      </c>
      <c r="J328" s="280" t="n"/>
      <c r="K328" s="332">
        <f>IFERROR(VLOOKUP(TEXT(O328,"0"),CONDUCTORES!$A$3:$G$54,7,0),"")</f>
        <v/>
      </c>
      <c r="L328" s="280" t="n"/>
      <c r="M328" s="280" t="n"/>
      <c r="N328" s="333">
        <f>IFERROR(IF(L328*M328=0,"",L328*M328),"")</f>
        <v/>
      </c>
      <c r="O328" s="280" t="n"/>
      <c r="P328" s="332">
        <f>IFERROR(VLOOKUP(TEXT(O328,"0"),CONDUCTORES!$A$3:$G$54,2,0),"")</f>
        <v/>
      </c>
      <c r="Q328" s="332">
        <f>IFERROR(VLOOKUP(TEXT(O328,"0"),CONDUCTORES!$A$3:$H$54,6,0),"")</f>
        <v/>
      </c>
      <c r="R328" s="280" t="n"/>
      <c r="S328" s="280" t="n"/>
      <c r="T328" s="280" t="n"/>
      <c r="U328" s="280" t="n"/>
      <c r="V328" s="280" t="n"/>
      <c r="W328" s="280" t="n"/>
      <c r="X328" s="280" t="n"/>
      <c r="Y328" s="280" t="n"/>
    </row>
    <row r="329" ht="15" customHeight="1" s="195">
      <c r="A329" s="334" t="n"/>
      <c r="B329" s="334" t="n"/>
      <c r="C329" s="334" t="n"/>
      <c r="D329" s="334" t="n"/>
      <c r="E329" s="334" t="n"/>
      <c r="F329" s="334" t="n"/>
      <c r="G329" s="334" t="n"/>
      <c r="H329" s="334" t="n"/>
      <c r="I329" s="332">
        <f>IFERROR(VLOOKUP(TEXT(H329,"0"),IPRESS!$A$3:$B$212,2,0),"")</f>
        <v/>
      </c>
      <c r="J329" s="334" t="n"/>
      <c r="K329" s="332">
        <f>IFERROR(VLOOKUP(TEXT(O329,"0"),CONDUCTORES!$A$3:$G$54,7,0),"")</f>
        <v/>
      </c>
      <c r="L329" s="334" t="n"/>
      <c r="M329" s="334" t="n"/>
      <c r="N329" s="333">
        <f>IFERROR(IF(L329*M329=0,"",L329*M329),"")</f>
        <v/>
      </c>
      <c r="O329" s="334" t="n"/>
      <c r="P329" s="332">
        <f>IFERROR(VLOOKUP(TEXT(O329,"0"),CONDUCTORES!$A$3:$G$54,2,0),"")</f>
        <v/>
      </c>
      <c r="Q329" s="332">
        <f>IFERROR(VLOOKUP(TEXT(O329,"0"),CONDUCTORES!$A$3:$H$54,6,0),"")</f>
        <v/>
      </c>
      <c r="R329" s="334" t="n"/>
      <c r="S329" s="334" t="n"/>
      <c r="T329" s="334" t="n"/>
      <c r="U329" s="334" t="n"/>
      <c r="V329" s="334" t="n"/>
      <c r="W329" s="334" t="n"/>
      <c r="X329" s="334" t="n"/>
      <c r="Y329" s="334" t="n"/>
    </row>
    <row r="330" ht="15" customHeight="1" s="195">
      <c r="A330" s="280" t="n"/>
      <c r="B330" s="280" t="n"/>
      <c r="C330" s="280" t="n"/>
      <c r="D330" s="280" t="n"/>
      <c r="E330" s="280" t="n"/>
      <c r="F330" s="280" t="n"/>
      <c r="G330" s="280" t="n"/>
      <c r="H330" s="280" t="n"/>
      <c r="I330" s="332">
        <f>IFERROR(VLOOKUP(TEXT(H330,"0"),IPRESS!$A$3:$B$212,2,0),"")</f>
        <v/>
      </c>
      <c r="J330" s="280" t="n"/>
      <c r="K330" s="332">
        <f>IFERROR(VLOOKUP(TEXT(O330,"0"),CONDUCTORES!$A$3:$G$54,7,0),"")</f>
        <v/>
      </c>
      <c r="L330" s="280" t="n"/>
      <c r="M330" s="280" t="n"/>
      <c r="N330" s="333">
        <f>IFERROR(IF(L330*M330=0,"",L330*M330),"")</f>
        <v/>
      </c>
      <c r="O330" s="280" t="n"/>
      <c r="P330" s="332">
        <f>IFERROR(VLOOKUP(TEXT(O330,"0"),CONDUCTORES!$A$3:$G$54,2,0),"")</f>
        <v/>
      </c>
      <c r="Q330" s="332">
        <f>IFERROR(VLOOKUP(TEXT(O330,"0"),CONDUCTORES!$A$3:$H$54,6,0),"")</f>
        <v/>
      </c>
      <c r="R330" s="280" t="n"/>
      <c r="S330" s="280" t="n"/>
      <c r="T330" s="280" t="n"/>
      <c r="U330" s="280" t="n"/>
      <c r="V330" s="280" t="n"/>
      <c r="W330" s="280" t="n"/>
      <c r="X330" s="280" t="n"/>
      <c r="Y330" s="280" t="n"/>
    </row>
    <row r="331" ht="15" customHeight="1" s="195">
      <c r="A331" s="334" t="n"/>
      <c r="B331" s="334" t="n"/>
      <c r="C331" s="334" t="n"/>
      <c r="D331" s="334" t="n"/>
      <c r="E331" s="334" t="n"/>
      <c r="F331" s="334" t="n"/>
      <c r="G331" s="334" t="n"/>
      <c r="H331" s="334" t="n"/>
      <c r="I331" s="332">
        <f>IFERROR(VLOOKUP(TEXT(H331,"0"),IPRESS!$A$3:$B$212,2,0),"")</f>
        <v/>
      </c>
      <c r="J331" s="334" t="n"/>
      <c r="K331" s="332">
        <f>IFERROR(VLOOKUP(TEXT(O331,"0"),CONDUCTORES!$A$3:$G$54,7,0),"")</f>
        <v/>
      </c>
      <c r="L331" s="334" t="n"/>
      <c r="M331" s="334" t="n"/>
      <c r="N331" s="333">
        <f>IFERROR(IF(L331*M331=0,"",L331*M331),"")</f>
        <v/>
      </c>
      <c r="O331" s="334" t="n"/>
      <c r="P331" s="332">
        <f>IFERROR(VLOOKUP(TEXT(O331,"0"),CONDUCTORES!$A$3:$G$54,2,0),"")</f>
        <v/>
      </c>
      <c r="Q331" s="332">
        <f>IFERROR(VLOOKUP(TEXT(O331,"0"),CONDUCTORES!$A$3:$H$54,6,0),"")</f>
        <v/>
      </c>
      <c r="R331" s="334" t="n"/>
      <c r="S331" s="334" t="n"/>
      <c r="T331" s="334" t="n"/>
      <c r="U331" s="334" t="n"/>
      <c r="V331" s="334" t="n"/>
      <c r="W331" s="334" t="n"/>
      <c r="X331" s="334" t="n"/>
      <c r="Y331" s="334" t="n"/>
    </row>
    <row r="332" ht="15" customHeight="1" s="195">
      <c r="A332" s="280" t="n"/>
      <c r="B332" s="280" t="n"/>
      <c r="C332" s="280" t="n"/>
      <c r="D332" s="280" t="n"/>
      <c r="E332" s="280" t="n"/>
      <c r="F332" s="280" t="n"/>
      <c r="G332" s="280" t="n"/>
      <c r="H332" s="280" t="n"/>
      <c r="I332" s="332">
        <f>IFERROR(VLOOKUP(TEXT(H332,"0"),IPRESS!$A$3:$B$212,2,0),"")</f>
        <v/>
      </c>
      <c r="J332" s="280" t="n"/>
      <c r="K332" s="332">
        <f>IFERROR(VLOOKUP(TEXT(O332,"0"),CONDUCTORES!$A$3:$G$54,7,0),"")</f>
        <v/>
      </c>
      <c r="L332" s="280" t="n"/>
      <c r="M332" s="280" t="n"/>
      <c r="N332" s="333">
        <f>IFERROR(IF(L332*M332=0,"",L332*M332),"")</f>
        <v/>
      </c>
      <c r="O332" s="280" t="n"/>
      <c r="P332" s="332">
        <f>IFERROR(VLOOKUP(TEXT(O332,"0"),CONDUCTORES!$A$3:$G$54,2,0),"")</f>
        <v/>
      </c>
      <c r="Q332" s="332">
        <f>IFERROR(VLOOKUP(TEXT(O332,"0"),CONDUCTORES!$A$3:$H$54,6,0),"")</f>
        <v/>
      </c>
      <c r="R332" s="280" t="n"/>
      <c r="S332" s="280" t="n"/>
      <c r="T332" s="280" t="n"/>
      <c r="U332" s="280" t="n"/>
      <c r="V332" s="280" t="n"/>
      <c r="W332" s="280" t="n"/>
      <c r="X332" s="280" t="n"/>
      <c r="Y332" s="280" t="n"/>
    </row>
    <row r="333" ht="15" customHeight="1" s="195">
      <c r="A333" s="334" t="n"/>
      <c r="B333" s="334" t="n"/>
      <c r="C333" s="334" t="n"/>
      <c r="D333" s="334" t="n"/>
      <c r="E333" s="334" t="n"/>
      <c r="F333" s="334" t="n"/>
      <c r="G333" s="334" t="n"/>
      <c r="H333" s="334" t="n"/>
      <c r="I333" s="332">
        <f>IFERROR(VLOOKUP(TEXT(H333,"0"),IPRESS!$A$3:$B$212,2,0),"")</f>
        <v/>
      </c>
      <c r="J333" s="334" t="n"/>
      <c r="K333" s="332">
        <f>IFERROR(VLOOKUP(TEXT(O333,"0"),CONDUCTORES!$A$3:$G$54,7,0),"")</f>
        <v/>
      </c>
      <c r="L333" s="334" t="n"/>
      <c r="M333" s="334" t="n"/>
      <c r="N333" s="333">
        <f>IFERROR(IF(L333*M333=0,"",L333*M333),"")</f>
        <v/>
      </c>
      <c r="O333" s="334" t="n"/>
      <c r="P333" s="332">
        <f>IFERROR(VLOOKUP(TEXT(O333,"0"),CONDUCTORES!$A$3:$G$54,2,0),"")</f>
        <v/>
      </c>
      <c r="Q333" s="332">
        <f>IFERROR(VLOOKUP(TEXT(O333,"0"),CONDUCTORES!$A$3:$H$54,6,0),"")</f>
        <v/>
      </c>
      <c r="R333" s="334" t="n"/>
      <c r="S333" s="334" t="n"/>
      <c r="T333" s="334" t="n"/>
      <c r="U333" s="334" t="n"/>
      <c r="V333" s="334" t="n"/>
      <c r="W333" s="334" t="n"/>
      <c r="X333" s="334" t="n"/>
      <c r="Y333" s="334" t="n"/>
    </row>
    <row r="334" ht="15" customHeight="1" s="195">
      <c r="A334" s="280" t="n"/>
      <c r="B334" s="280" t="n"/>
      <c r="C334" s="280" t="n"/>
      <c r="D334" s="280" t="n"/>
      <c r="E334" s="280" t="n"/>
      <c r="F334" s="280" t="n"/>
      <c r="G334" s="280" t="n"/>
      <c r="H334" s="280" t="n"/>
      <c r="I334" s="332">
        <f>IFERROR(VLOOKUP(TEXT(H334,"0"),IPRESS!$A$3:$B$212,2,0),"")</f>
        <v/>
      </c>
      <c r="J334" s="280" t="n"/>
      <c r="K334" s="332">
        <f>IFERROR(VLOOKUP(TEXT(O334,"0"),CONDUCTORES!$A$3:$G$54,7,0),"")</f>
        <v/>
      </c>
      <c r="L334" s="280" t="n"/>
      <c r="M334" s="280" t="n"/>
      <c r="N334" s="333">
        <f>IFERROR(IF(L334*M334=0,"",L334*M334),"")</f>
        <v/>
      </c>
      <c r="O334" s="280" t="n"/>
      <c r="P334" s="332">
        <f>IFERROR(VLOOKUP(TEXT(O334,"0"),CONDUCTORES!$A$3:$G$54,2,0),"")</f>
        <v/>
      </c>
      <c r="Q334" s="332">
        <f>IFERROR(VLOOKUP(TEXT(O334,"0"),CONDUCTORES!$A$3:$H$54,6,0),"")</f>
        <v/>
      </c>
      <c r="R334" s="280" t="n"/>
      <c r="S334" s="280" t="n"/>
      <c r="T334" s="280" t="n"/>
      <c r="U334" s="280" t="n"/>
      <c r="V334" s="280" t="n"/>
      <c r="W334" s="280" t="n"/>
      <c r="X334" s="280" t="n"/>
      <c r="Y334" s="280" t="n"/>
    </row>
    <row r="335" ht="15" customHeight="1" s="195">
      <c r="A335" s="334" t="n"/>
      <c r="B335" s="334" t="n"/>
      <c r="C335" s="334" t="n"/>
      <c r="D335" s="334" t="n"/>
      <c r="E335" s="334" t="n"/>
      <c r="F335" s="334" t="n"/>
      <c r="G335" s="334" t="n"/>
      <c r="H335" s="334" t="n"/>
      <c r="I335" s="332">
        <f>IFERROR(VLOOKUP(TEXT(H335,"0"),IPRESS!$A$3:$B$212,2,0),"")</f>
        <v/>
      </c>
      <c r="J335" s="334" t="n"/>
      <c r="K335" s="332">
        <f>IFERROR(VLOOKUP(TEXT(O335,"0"),CONDUCTORES!$A$3:$G$54,7,0),"")</f>
        <v/>
      </c>
      <c r="L335" s="334" t="n"/>
      <c r="M335" s="334" t="n"/>
      <c r="N335" s="333">
        <f>IFERROR(IF(L335*M335=0,"",L335*M335),"")</f>
        <v/>
      </c>
      <c r="O335" s="334" t="n"/>
      <c r="P335" s="332">
        <f>IFERROR(VLOOKUP(TEXT(O335,"0"),CONDUCTORES!$A$3:$G$54,2,0),"")</f>
        <v/>
      </c>
      <c r="Q335" s="332">
        <f>IFERROR(VLOOKUP(TEXT(O335,"0"),CONDUCTORES!$A$3:$H$54,6,0),"")</f>
        <v/>
      </c>
      <c r="R335" s="334" t="n"/>
      <c r="S335" s="334" t="n"/>
      <c r="T335" s="334" t="n"/>
      <c r="U335" s="334" t="n"/>
      <c r="V335" s="334" t="n"/>
      <c r="W335" s="334" t="n"/>
      <c r="X335" s="334" t="n"/>
      <c r="Y335" s="334" t="n"/>
    </row>
    <row r="336" ht="15" customHeight="1" s="195">
      <c r="A336" s="280" t="n"/>
      <c r="B336" s="280" t="n"/>
      <c r="C336" s="280" t="n"/>
      <c r="D336" s="280" t="n"/>
      <c r="E336" s="280" t="n"/>
      <c r="F336" s="280" t="n"/>
      <c r="G336" s="280" t="n"/>
      <c r="H336" s="280" t="n"/>
      <c r="I336" s="332">
        <f>IFERROR(VLOOKUP(TEXT(H336,"0"),IPRESS!$A$3:$B$212,2,0),"")</f>
        <v/>
      </c>
      <c r="J336" s="280" t="n"/>
      <c r="K336" s="332">
        <f>IFERROR(VLOOKUP(TEXT(O336,"0"),CONDUCTORES!$A$3:$G$54,7,0),"")</f>
        <v/>
      </c>
      <c r="L336" s="280" t="n"/>
      <c r="M336" s="280" t="n"/>
      <c r="N336" s="333">
        <f>IFERROR(IF(L336*M336=0,"",L336*M336),"")</f>
        <v/>
      </c>
      <c r="O336" s="280" t="n"/>
      <c r="P336" s="332">
        <f>IFERROR(VLOOKUP(TEXT(O336,"0"),CONDUCTORES!$A$3:$G$54,2,0),"")</f>
        <v/>
      </c>
      <c r="Q336" s="332">
        <f>IFERROR(VLOOKUP(TEXT(O336,"0"),CONDUCTORES!$A$3:$H$54,6,0),"")</f>
        <v/>
      </c>
      <c r="R336" s="280" t="n"/>
      <c r="S336" s="280" t="n"/>
      <c r="T336" s="280" t="n"/>
      <c r="U336" s="280" t="n"/>
      <c r="V336" s="280" t="n"/>
      <c r="W336" s="280" t="n"/>
      <c r="X336" s="280" t="n"/>
      <c r="Y336" s="280" t="n"/>
    </row>
    <row r="337" ht="15" customHeight="1" s="195">
      <c r="A337" s="334" t="n"/>
      <c r="B337" s="334" t="n"/>
      <c r="C337" s="334" t="n"/>
      <c r="D337" s="334" t="n"/>
      <c r="E337" s="334" t="n"/>
      <c r="F337" s="334" t="n"/>
      <c r="G337" s="334" t="n"/>
      <c r="H337" s="334" t="n"/>
      <c r="I337" s="332">
        <f>IFERROR(VLOOKUP(TEXT(H337,"0"),IPRESS!$A$3:$B$212,2,0),"")</f>
        <v/>
      </c>
      <c r="J337" s="334" t="n"/>
      <c r="K337" s="332">
        <f>IFERROR(VLOOKUP(TEXT(O337,"0"),CONDUCTORES!$A$3:$G$54,7,0),"")</f>
        <v/>
      </c>
      <c r="L337" s="334" t="n"/>
      <c r="M337" s="334" t="n"/>
      <c r="N337" s="333">
        <f>IFERROR(IF(L337*M337=0,"",L337*M337),"")</f>
        <v/>
      </c>
      <c r="O337" s="334" t="n"/>
      <c r="P337" s="332">
        <f>IFERROR(VLOOKUP(TEXT(O337,"0"),CONDUCTORES!$A$3:$G$54,2,0),"")</f>
        <v/>
      </c>
      <c r="Q337" s="332">
        <f>IFERROR(VLOOKUP(TEXT(O337,"0"),CONDUCTORES!$A$3:$H$54,6,0),"")</f>
        <v/>
      </c>
      <c r="R337" s="334" t="n"/>
      <c r="S337" s="334" t="n"/>
      <c r="T337" s="334" t="n"/>
      <c r="U337" s="334" t="n"/>
      <c r="V337" s="334" t="n"/>
      <c r="W337" s="334" t="n"/>
      <c r="X337" s="334" t="n"/>
      <c r="Y337" s="334" t="n"/>
    </row>
    <row r="338" ht="15" customHeight="1" s="195">
      <c r="A338" s="280" t="n"/>
      <c r="B338" s="280" t="n"/>
      <c r="C338" s="280" t="n"/>
      <c r="D338" s="280" t="n"/>
      <c r="E338" s="280" t="n"/>
      <c r="F338" s="280" t="n"/>
      <c r="G338" s="280" t="n"/>
      <c r="H338" s="280" t="n"/>
      <c r="I338" s="332">
        <f>IFERROR(VLOOKUP(TEXT(H338,"0"),IPRESS!$A$3:$B$212,2,0),"")</f>
        <v/>
      </c>
      <c r="J338" s="280" t="n"/>
      <c r="K338" s="332">
        <f>IFERROR(VLOOKUP(TEXT(O338,"0"),CONDUCTORES!$A$3:$G$54,7,0),"")</f>
        <v/>
      </c>
      <c r="L338" s="280" t="n"/>
      <c r="M338" s="280" t="n"/>
      <c r="N338" s="333">
        <f>IFERROR(IF(L338*M338=0,"",L338*M338),"")</f>
        <v/>
      </c>
      <c r="O338" s="280" t="n"/>
      <c r="P338" s="332">
        <f>IFERROR(VLOOKUP(TEXT(O338,"0"),CONDUCTORES!$A$3:$G$54,2,0),"")</f>
        <v/>
      </c>
      <c r="Q338" s="332">
        <f>IFERROR(VLOOKUP(TEXT(O338,"0"),CONDUCTORES!$A$3:$H$54,6,0),"")</f>
        <v/>
      </c>
      <c r="R338" s="280" t="n"/>
      <c r="S338" s="280" t="n"/>
      <c r="T338" s="280" t="n"/>
      <c r="U338" s="280" t="n"/>
      <c r="V338" s="280" t="n"/>
      <c r="W338" s="280" t="n"/>
      <c r="X338" s="280" t="n"/>
      <c r="Y338" s="280" t="n"/>
    </row>
    <row r="339" ht="15" customHeight="1" s="195">
      <c r="A339" s="334" t="n"/>
      <c r="B339" s="334" t="n"/>
      <c r="C339" s="334" t="n"/>
      <c r="D339" s="334" t="n"/>
      <c r="E339" s="334" t="n"/>
      <c r="F339" s="334" t="n"/>
      <c r="G339" s="334" t="n"/>
      <c r="H339" s="334" t="n"/>
      <c r="I339" s="332">
        <f>IFERROR(VLOOKUP(TEXT(H339,"0"),IPRESS!$A$3:$B$212,2,0),"")</f>
        <v/>
      </c>
      <c r="J339" s="334" t="n"/>
      <c r="K339" s="332">
        <f>IFERROR(VLOOKUP(TEXT(O339,"0"),CONDUCTORES!$A$3:$G$54,7,0),"")</f>
        <v/>
      </c>
      <c r="L339" s="334" t="n"/>
      <c r="M339" s="334" t="n"/>
      <c r="N339" s="333">
        <f>IFERROR(IF(L339*M339=0,"",L339*M339),"")</f>
        <v/>
      </c>
      <c r="O339" s="334" t="n"/>
      <c r="P339" s="332">
        <f>IFERROR(VLOOKUP(TEXT(O339,"0"),CONDUCTORES!$A$3:$G$54,2,0),"")</f>
        <v/>
      </c>
      <c r="Q339" s="332">
        <f>IFERROR(VLOOKUP(TEXT(O339,"0"),CONDUCTORES!$A$3:$H$54,6,0),"")</f>
        <v/>
      </c>
      <c r="R339" s="334" t="n"/>
      <c r="S339" s="334" t="n"/>
      <c r="T339" s="334" t="n"/>
      <c r="U339" s="334" t="n"/>
      <c r="V339" s="334" t="n"/>
      <c r="W339" s="334" t="n"/>
      <c r="X339" s="334" t="n"/>
      <c r="Y339" s="334" t="n"/>
    </row>
    <row r="340" ht="15" customHeight="1" s="195">
      <c r="A340" s="280" t="n"/>
      <c r="B340" s="280" t="n"/>
      <c r="C340" s="280" t="n"/>
      <c r="D340" s="280" t="n"/>
      <c r="E340" s="280" t="n"/>
      <c r="F340" s="280" t="n"/>
      <c r="G340" s="280" t="n"/>
      <c r="H340" s="280" t="n"/>
      <c r="I340" s="332">
        <f>IFERROR(VLOOKUP(TEXT(H340,"0"),IPRESS!$A$3:$B$212,2,0),"")</f>
        <v/>
      </c>
      <c r="J340" s="280" t="n"/>
      <c r="K340" s="332">
        <f>IFERROR(VLOOKUP(TEXT(O340,"0"),CONDUCTORES!$A$3:$G$54,7,0),"")</f>
        <v/>
      </c>
      <c r="L340" s="280" t="n"/>
      <c r="M340" s="280" t="n"/>
      <c r="N340" s="333">
        <f>IFERROR(IF(L340*M340=0,"",L340*M340),"")</f>
        <v/>
      </c>
      <c r="O340" s="280" t="n"/>
      <c r="P340" s="332">
        <f>IFERROR(VLOOKUP(TEXT(O340,"0"),CONDUCTORES!$A$3:$G$54,2,0),"")</f>
        <v/>
      </c>
      <c r="Q340" s="332">
        <f>IFERROR(VLOOKUP(TEXT(O340,"0"),CONDUCTORES!$A$3:$H$54,6,0),"")</f>
        <v/>
      </c>
      <c r="R340" s="280" t="n"/>
      <c r="S340" s="280" t="n"/>
      <c r="T340" s="280" t="n"/>
      <c r="U340" s="280" t="n"/>
      <c r="V340" s="280" t="n"/>
      <c r="W340" s="280" t="n"/>
      <c r="X340" s="280" t="n"/>
      <c r="Y340" s="280" t="n"/>
    </row>
    <row r="341" ht="15" customHeight="1" s="195">
      <c r="A341" s="334" t="n"/>
      <c r="B341" s="334" t="n"/>
      <c r="C341" s="334" t="n"/>
      <c r="D341" s="334" t="n"/>
      <c r="E341" s="334" t="n"/>
      <c r="F341" s="334" t="n"/>
      <c r="G341" s="334" t="n"/>
      <c r="H341" s="334" t="n"/>
      <c r="I341" s="332">
        <f>IFERROR(VLOOKUP(TEXT(H341,"0"),IPRESS!$A$3:$B$212,2,0),"")</f>
        <v/>
      </c>
      <c r="J341" s="334" t="n"/>
      <c r="K341" s="332">
        <f>IFERROR(VLOOKUP(TEXT(O341,"0"),CONDUCTORES!$A$3:$G$54,7,0),"")</f>
        <v/>
      </c>
      <c r="L341" s="334" t="n"/>
      <c r="M341" s="334" t="n"/>
      <c r="N341" s="333">
        <f>IFERROR(IF(L341*M341=0,"",L341*M341),"")</f>
        <v/>
      </c>
      <c r="O341" s="334" t="n"/>
      <c r="P341" s="332">
        <f>IFERROR(VLOOKUP(TEXT(O341,"0"),CONDUCTORES!$A$3:$G$54,2,0),"")</f>
        <v/>
      </c>
      <c r="Q341" s="332">
        <f>IFERROR(VLOOKUP(TEXT(O341,"0"),CONDUCTORES!$A$3:$H$54,6,0),"")</f>
        <v/>
      </c>
      <c r="R341" s="334" t="n"/>
      <c r="S341" s="334" t="n"/>
      <c r="T341" s="334" t="n"/>
      <c r="U341" s="334" t="n"/>
      <c r="V341" s="334" t="n"/>
      <c r="W341" s="334" t="n"/>
      <c r="X341" s="334" t="n"/>
      <c r="Y341" s="334" t="n"/>
    </row>
    <row r="342" ht="15" customHeight="1" s="195">
      <c r="A342" s="280" t="n"/>
      <c r="B342" s="280" t="n"/>
      <c r="C342" s="280" t="n"/>
      <c r="D342" s="280" t="n"/>
      <c r="E342" s="280" t="n"/>
      <c r="F342" s="280" t="n"/>
      <c r="G342" s="280" t="n"/>
      <c r="H342" s="280" t="n"/>
      <c r="I342" s="332">
        <f>IFERROR(VLOOKUP(TEXT(H342,"0"),IPRESS!$A$3:$B$212,2,0),"")</f>
        <v/>
      </c>
      <c r="J342" s="280" t="n"/>
      <c r="K342" s="332">
        <f>IFERROR(VLOOKUP(TEXT(O342,"0"),CONDUCTORES!$A$3:$G$54,7,0),"")</f>
        <v/>
      </c>
      <c r="L342" s="280" t="n"/>
      <c r="M342" s="280" t="n"/>
      <c r="N342" s="333">
        <f>IFERROR(IF(L342*M342=0,"",L342*M342),"")</f>
        <v/>
      </c>
      <c r="O342" s="280" t="n"/>
      <c r="P342" s="332">
        <f>IFERROR(VLOOKUP(TEXT(O342,"0"),CONDUCTORES!$A$3:$G$54,2,0),"")</f>
        <v/>
      </c>
      <c r="Q342" s="332">
        <f>IFERROR(VLOOKUP(TEXT(O342,"0"),CONDUCTORES!$A$3:$H$54,6,0),"")</f>
        <v/>
      </c>
      <c r="R342" s="280" t="n"/>
      <c r="S342" s="280" t="n"/>
      <c r="T342" s="280" t="n"/>
      <c r="U342" s="280" t="n"/>
      <c r="V342" s="280" t="n"/>
      <c r="W342" s="280" t="n"/>
      <c r="X342" s="280" t="n"/>
      <c r="Y342" s="280" t="n"/>
    </row>
    <row r="343" ht="15" customHeight="1" s="195">
      <c r="A343" s="334" t="n"/>
      <c r="B343" s="334" t="n"/>
      <c r="C343" s="334" t="n"/>
      <c r="D343" s="334" t="n"/>
      <c r="E343" s="334" t="n"/>
      <c r="F343" s="334" t="n"/>
      <c r="G343" s="334" t="n"/>
      <c r="H343" s="334" t="n"/>
      <c r="I343" s="332">
        <f>IFERROR(VLOOKUP(TEXT(H343,"0"),IPRESS!$A$3:$B$212,2,0),"")</f>
        <v/>
      </c>
      <c r="J343" s="334" t="n"/>
      <c r="K343" s="332">
        <f>IFERROR(VLOOKUP(TEXT(O343,"0"),CONDUCTORES!$A$3:$G$54,7,0),"")</f>
        <v/>
      </c>
      <c r="L343" s="334" t="n"/>
      <c r="M343" s="334" t="n"/>
      <c r="N343" s="333">
        <f>IFERROR(IF(L343*M343=0,"",L343*M343),"")</f>
        <v/>
      </c>
      <c r="O343" s="334" t="n"/>
      <c r="P343" s="332">
        <f>IFERROR(VLOOKUP(TEXT(O343,"0"),CONDUCTORES!$A$3:$G$54,2,0),"")</f>
        <v/>
      </c>
      <c r="Q343" s="332">
        <f>IFERROR(VLOOKUP(TEXT(O343,"0"),CONDUCTORES!$A$3:$H$54,6,0),"")</f>
        <v/>
      </c>
      <c r="R343" s="334" t="n"/>
      <c r="S343" s="334" t="n"/>
      <c r="T343" s="334" t="n"/>
      <c r="U343" s="334" t="n"/>
      <c r="V343" s="334" t="n"/>
      <c r="W343" s="334" t="n"/>
      <c r="X343" s="334" t="n"/>
      <c r="Y343" s="334" t="n"/>
    </row>
    <row r="344" ht="15" customHeight="1" s="195">
      <c r="A344" s="280" t="n"/>
      <c r="B344" s="280" t="n"/>
      <c r="C344" s="280" t="n"/>
      <c r="D344" s="280" t="n"/>
      <c r="E344" s="280" t="n"/>
      <c r="F344" s="280" t="n"/>
      <c r="G344" s="280" t="n"/>
      <c r="H344" s="280" t="n"/>
      <c r="I344" s="332">
        <f>IFERROR(VLOOKUP(TEXT(H344,"0"),IPRESS!$A$3:$B$212,2,0),"")</f>
        <v/>
      </c>
      <c r="J344" s="280" t="n"/>
      <c r="K344" s="332">
        <f>IFERROR(VLOOKUP(TEXT(O344,"0"),CONDUCTORES!$A$3:$G$54,7,0),"")</f>
        <v/>
      </c>
      <c r="L344" s="280" t="n"/>
      <c r="M344" s="280" t="n"/>
      <c r="N344" s="333">
        <f>IFERROR(IF(L344*M344=0,"",L344*M344),"")</f>
        <v/>
      </c>
      <c r="O344" s="280" t="n"/>
      <c r="P344" s="332">
        <f>IFERROR(VLOOKUP(TEXT(O344,"0"),CONDUCTORES!$A$3:$G$54,2,0),"")</f>
        <v/>
      </c>
      <c r="Q344" s="332">
        <f>IFERROR(VLOOKUP(TEXT(O344,"0"),CONDUCTORES!$A$3:$H$54,6,0),"")</f>
        <v/>
      </c>
      <c r="R344" s="280" t="n"/>
      <c r="S344" s="280" t="n"/>
      <c r="T344" s="280" t="n"/>
      <c r="U344" s="280" t="n"/>
      <c r="V344" s="280" t="n"/>
      <c r="W344" s="280" t="n"/>
      <c r="X344" s="280" t="n"/>
      <c r="Y344" s="280" t="n"/>
    </row>
    <row r="345" ht="15" customHeight="1" s="195">
      <c r="A345" s="334" t="n"/>
      <c r="B345" s="334" t="n"/>
      <c r="C345" s="334" t="n"/>
      <c r="D345" s="334" t="n"/>
      <c r="E345" s="334" t="n"/>
      <c r="F345" s="334" t="n"/>
      <c r="G345" s="334" t="n"/>
      <c r="H345" s="334" t="n"/>
      <c r="I345" s="332">
        <f>IFERROR(VLOOKUP(TEXT(H345,"0"),IPRESS!$A$3:$B$212,2,0),"")</f>
        <v/>
      </c>
      <c r="J345" s="334" t="n"/>
      <c r="K345" s="332">
        <f>IFERROR(VLOOKUP(TEXT(O345,"0"),CONDUCTORES!$A$3:$G$54,7,0),"")</f>
        <v/>
      </c>
      <c r="L345" s="334" t="n"/>
      <c r="M345" s="334" t="n"/>
      <c r="N345" s="333">
        <f>IFERROR(IF(L345*M345=0,"",L345*M345),"")</f>
        <v/>
      </c>
      <c r="O345" s="334" t="n"/>
      <c r="P345" s="332">
        <f>IFERROR(VLOOKUP(TEXT(O345,"0"),CONDUCTORES!$A$3:$G$54,2,0),"")</f>
        <v/>
      </c>
      <c r="Q345" s="332">
        <f>IFERROR(VLOOKUP(TEXT(O345,"0"),CONDUCTORES!$A$3:$H$54,6,0),"")</f>
        <v/>
      </c>
      <c r="R345" s="334" t="n"/>
      <c r="S345" s="334" t="n"/>
      <c r="T345" s="334" t="n"/>
      <c r="U345" s="334" t="n"/>
      <c r="V345" s="334" t="n"/>
      <c r="W345" s="334" t="n"/>
      <c r="X345" s="334" t="n"/>
      <c r="Y345" s="334" t="n"/>
    </row>
    <row r="346" ht="15" customHeight="1" s="195">
      <c r="A346" s="280" t="n"/>
      <c r="B346" s="280" t="n"/>
      <c r="C346" s="280" t="n"/>
      <c r="D346" s="280" t="n"/>
      <c r="E346" s="280" t="n"/>
      <c r="F346" s="280" t="n"/>
      <c r="G346" s="280" t="n"/>
      <c r="H346" s="280" t="n"/>
      <c r="I346" s="332">
        <f>IFERROR(VLOOKUP(TEXT(H346,"0"),IPRESS!$A$3:$B$212,2,0),"")</f>
        <v/>
      </c>
      <c r="J346" s="280" t="n"/>
      <c r="K346" s="332">
        <f>IFERROR(VLOOKUP(TEXT(O346,"0"),CONDUCTORES!$A$3:$G$54,7,0),"")</f>
        <v/>
      </c>
      <c r="L346" s="280" t="n"/>
      <c r="M346" s="280" t="n"/>
      <c r="N346" s="333">
        <f>IFERROR(IF(L346*M346=0,"",L346*M346),"")</f>
        <v/>
      </c>
      <c r="O346" s="280" t="n"/>
      <c r="P346" s="332">
        <f>IFERROR(VLOOKUP(TEXT(O346,"0"),CONDUCTORES!$A$3:$G$54,2,0),"")</f>
        <v/>
      </c>
      <c r="Q346" s="332">
        <f>IFERROR(VLOOKUP(TEXT(O346,"0"),CONDUCTORES!$A$3:$H$54,6,0),"")</f>
        <v/>
      </c>
      <c r="R346" s="280" t="n"/>
      <c r="S346" s="280" t="n"/>
      <c r="T346" s="280" t="n"/>
      <c r="U346" s="280" t="n"/>
      <c r="V346" s="280" t="n"/>
      <c r="W346" s="280" t="n"/>
      <c r="X346" s="280" t="n"/>
      <c r="Y346" s="280" t="n"/>
    </row>
    <row r="347" ht="15" customHeight="1" s="195">
      <c r="A347" s="334" t="n"/>
      <c r="B347" s="334" t="n"/>
      <c r="C347" s="334" t="n"/>
      <c r="D347" s="334" t="n"/>
      <c r="E347" s="334" t="n"/>
      <c r="F347" s="334" t="n"/>
      <c r="G347" s="334" t="n"/>
      <c r="H347" s="334" t="n"/>
      <c r="I347" s="332">
        <f>IFERROR(VLOOKUP(TEXT(H347,"0"),IPRESS!$A$3:$B$212,2,0),"")</f>
        <v/>
      </c>
      <c r="J347" s="334" t="n"/>
      <c r="K347" s="332">
        <f>IFERROR(VLOOKUP(TEXT(O347,"0"),CONDUCTORES!$A$3:$G$54,7,0),"")</f>
        <v/>
      </c>
      <c r="L347" s="334" t="n"/>
      <c r="M347" s="334" t="n"/>
      <c r="N347" s="333">
        <f>IFERROR(IF(L347*M347=0,"",L347*M347),"")</f>
        <v/>
      </c>
      <c r="O347" s="334" t="n"/>
      <c r="P347" s="332">
        <f>IFERROR(VLOOKUP(TEXT(O347,"0"),CONDUCTORES!$A$3:$G$54,2,0),"")</f>
        <v/>
      </c>
      <c r="Q347" s="332">
        <f>IFERROR(VLOOKUP(TEXT(O347,"0"),CONDUCTORES!$A$3:$H$54,6,0),"")</f>
        <v/>
      </c>
      <c r="R347" s="334" t="n"/>
      <c r="S347" s="334" t="n"/>
      <c r="T347" s="334" t="n"/>
      <c r="U347" s="334" t="n"/>
      <c r="V347" s="334" t="n"/>
      <c r="W347" s="334" t="n"/>
      <c r="X347" s="334" t="n"/>
      <c r="Y347" s="334" t="n"/>
    </row>
    <row r="348" ht="15" customHeight="1" s="195">
      <c r="A348" s="280" t="n"/>
      <c r="B348" s="280" t="n"/>
      <c r="C348" s="280" t="n"/>
      <c r="D348" s="280" t="n"/>
      <c r="E348" s="280" t="n"/>
      <c r="F348" s="280" t="n"/>
      <c r="G348" s="280" t="n"/>
      <c r="H348" s="280" t="n"/>
      <c r="I348" s="332">
        <f>IFERROR(VLOOKUP(TEXT(H348,"0"),IPRESS!$A$3:$B$212,2,0),"")</f>
        <v/>
      </c>
      <c r="J348" s="280" t="n"/>
      <c r="K348" s="332">
        <f>IFERROR(VLOOKUP(TEXT(O348,"0"),CONDUCTORES!$A$3:$G$54,7,0),"")</f>
        <v/>
      </c>
      <c r="L348" s="280" t="n"/>
      <c r="M348" s="280" t="n"/>
      <c r="N348" s="333">
        <f>IFERROR(IF(L348*M348=0,"",L348*M348),"")</f>
        <v/>
      </c>
      <c r="O348" s="280" t="n"/>
      <c r="P348" s="332">
        <f>IFERROR(VLOOKUP(TEXT(O348,"0"),CONDUCTORES!$A$3:$G$54,2,0),"")</f>
        <v/>
      </c>
      <c r="Q348" s="332">
        <f>IFERROR(VLOOKUP(TEXT(O348,"0"),CONDUCTORES!$A$3:$H$54,6,0),"")</f>
        <v/>
      </c>
      <c r="R348" s="280" t="n"/>
      <c r="S348" s="280" t="n"/>
      <c r="T348" s="280" t="n"/>
      <c r="U348" s="280" t="n"/>
      <c r="V348" s="280" t="n"/>
      <c r="W348" s="280" t="n"/>
      <c r="X348" s="280" t="n"/>
      <c r="Y348" s="280" t="n"/>
    </row>
    <row r="349" ht="15" customHeight="1" s="195">
      <c r="A349" s="334" t="n"/>
      <c r="B349" s="334" t="n"/>
      <c r="C349" s="334" t="n"/>
      <c r="D349" s="334" t="n"/>
      <c r="E349" s="334" t="n"/>
      <c r="F349" s="334" t="n"/>
      <c r="G349" s="334" t="n"/>
      <c r="H349" s="334" t="n"/>
      <c r="I349" s="332">
        <f>IFERROR(VLOOKUP(TEXT(H349,"0"),IPRESS!$A$3:$B$212,2,0),"")</f>
        <v/>
      </c>
      <c r="J349" s="334" t="n"/>
      <c r="K349" s="332">
        <f>IFERROR(VLOOKUP(TEXT(O349,"0"),CONDUCTORES!$A$3:$G$54,7,0),"")</f>
        <v/>
      </c>
      <c r="L349" s="334" t="n"/>
      <c r="M349" s="334" t="n"/>
      <c r="N349" s="333">
        <f>IFERROR(IF(L349*M349=0,"",L349*M349),"")</f>
        <v/>
      </c>
      <c r="O349" s="334" t="n"/>
      <c r="P349" s="332">
        <f>IFERROR(VLOOKUP(TEXT(O349,"0"),CONDUCTORES!$A$3:$G$54,2,0),"")</f>
        <v/>
      </c>
      <c r="Q349" s="332">
        <f>IFERROR(VLOOKUP(TEXT(O349,"0"),CONDUCTORES!$A$3:$H$54,6,0),"")</f>
        <v/>
      </c>
      <c r="R349" s="334" t="n"/>
      <c r="S349" s="334" t="n"/>
      <c r="T349" s="334" t="n"/>
      <c r="U349" s="334" t="n"/>
      <c r="V349" s="334" t="n"/>
      <c r="W349" s="334" t="n"/>
      <c r="X349" s="334" t="n"/>
      <c r="Y349" s="334" t="n"/>
    </row>
    <row r="350" ht="15" customHeight="1" s="195">
      <c r="A350" s="280" t="n"/>
      <c r="B350" s="280" t="n"/>
      <c r="C350" s="280" t="n"/>
      <c r="D350" s="280" t="n"/>
      <c r="E350" s="280" t="n"/>
      <c r="F350" s="280" t="n"/>
      <c r="G350" s="280" t="n"/>
      <c r="H350" s="280" t="n"/>
      <c r="I350" s="332">
        <f>IFERROR(VLOOKUP(TEXT(H350,"0"),IPRESS!$A$3:$B$212,2,0),"")</f>
        <v/>
      </c>
      <c r="J350" s="280" t="n"/>
      <c r="K350" s="332">
        <f>IFERROR(VLOOKUP(TEXT(O350,"0"),CONDUCTORES!$A$3:$G$54,7,0),"")</f>
        <v/>
      </c>
      <c r="L350" s="280" t="n"/>
      <c r="M350" s="280" t="n"/>
      <c r="N350" s="333">
        <f>IFERROR(IF(L350*M350=0,"",L350*M350),"")</f>
        <v/>
      </c>
      <c r="O350" s="280" t="n"/>
      <c r="P350" s="332">
        <f>IFERROR(VLOOKUP(TEXT(O350,"0"),CONDUCTORES!$A$3:$G$54,2,0),"")</f>
        <v/>
      </c>
      <c r="Q350" s="332">
        <f>IFERROR(VLOOKUP(TEXT(O350,"0"),CONDUCTORES!$A$3:$H$54,6,0),"")</f>
        <v/>
      </c>
      <c r="R350" s="280" t="n"/>
      <c r="S350" s="280" t="n"/>
      <c r="T350" s="280" t="n"/>
      <c r="U350" s="280" t="n"/>
      <c r="V350" s="280" t="n"/>
      <c r="W350" s="280" t="n"/>
      <c r="X350" s="280" t="n"/>
      <c r="Y350" s="280" t="n"/>
    </row>
    <row r="351" ht="15" customHeight="1" s="195">
      <c r="A351" s="334" t="n"/>
      <c r="B351" s="334" t="n"/>
      <c r="C351" s="334" t="n"/>
      <c r="D351" s="334" t="n"/>
      <c r="E351" s="334" t="n"/>
      <c r="F351" s="334" t="n"/>
      <c r="G351" s="334" t="n"/>
      <c r="H351" s="334" t="n"/>
      <c r="I351" s="332">
        <f>IFERROR(VLOOKUP(TEXT(H351,"0"),IPRESS!$A$3:$B$212,2,0),"")</f>
        <v/>
      </c>
      <c r="J351" s="334" t="n"/>
      <c r="K351" s="332">
        <f>IFERROR(VLOOKUP(TEXT(O351,"0"),CONDUCTORES!$A$3:$G$54,7,0),"")</f>
        <v/>
      </c>
      <c r="L351" s="334" t="n"/>
      <c r="M351" s="334" t="n"/>
      <c r="N351" s="333">
        <f>IFERROR(IF(L351*M351=0,"",L351*M351),"")</f>
        <v/>
      </c>
      <c r="O351" s="334" t="n"/>
      <c r="P351" s="332">
        <f>IFERROR(VLOOKUP(TEXT(O351,"0"),CONDUCTORES!$A$3:$G$54,2,0),"")</f>
        <v/>
      </c>
      <c r="Q351" s="332">
        <f>IFERROR(VLOOKUP(TEXT(O351,"0"),CONDUCTORES!$A$3:$H$54,6,0),"")</f>
        <v/>
      </c>
      <c r="R351" s="334" t="n"/>
      <c r="S351" s="334" t="n"/>
      <c r="T351" s="334" t="n"/>
      <c r="U351" s="334" t="n"/>
      <c r="V351" s="334" t="n"/>
      <c r="W351" s="334" t="n"/>
      <c r="X351" s="334" t="n"/>
      <c r="Y351" s="334" t="n"/>
    </row>
    <row r="352" ht="15" customHeight="1" s="195">
      <c r="A352" s="280" t="n"/>
      <c r="B352" s="280" t="n"/>
      <c r="C352" s="280" t="n"/>
      <c r="D352" s="280" t="n"/>
      <c r="E352" s="280" t="n"/>
      <c r="F352" s="280" t="n"/>
      <c r="G352" s="280" t="n"/>
      <c r="H352" s="280" t="n"/>
      <c r="I352" s="332">
        <f>IFERROR(VLOOKUP(TEXT(H352,"0"),IPRESS!$A$3:$B$212,2,0),"")</f>
        <v/>
      </c>
      <c r="J352" s="280" t="n"/>
      <c r="K352" s="332">
        <f>IFERROR(VLOOKUP(TEXT(O352,"0"),CONDUCTORES!$A$3:$G$54,7,0),"")</f>
        <v/>
      </c>
      <c r="L352" s="280" t="n"/>
      <c r="M352" s="280" t="n"/>
      <c r="N352" s="333">
        <f>IFERROR(IF(L352*M352=0,"",L352*M352),"")</f>
        <v/>
      </c>
      <c r="O352" s="280" t="n"/>
      <c r="P352" s="332">
        <f>IFERROR(VLOOKUP(TEXT(O352,"0"),CONDUCTORES!$A$3:$G$54,2,0),"")</f>
        <v/>
      </c>
      <c r="Q352" s="332">
        <f>IFERROR(VLOOKUP(TEXT(O352,"0"),CONDUCTORES!$A$3:$H$54,6,0),"")</f>
        <v/>
      </c>
      <c r="R352" s="280" t="n"/>
      <c r="S352" s="280" t="n"/>
      <c r="T352" s="280" t="n"/>
      <c r="U352" s="280" t="n"/>
      <c r="V352" s="280" t="n"/>
      <c r="W352" s="280" t="n"/>
      <c r="X352" s="280" t="n"/>
      <c r="Y352" s="280" t="n"/>
    </row>
    <row r="353" ht="15" customHeight="1" s="195">
      <c r="A353" s="334" t="n"/>
      <c r="B353" s="334" t="n"/>
      <c r="C353" s="334" t="n"/>
      <c r="D353" s="334" t="n"/>
      <c r="E353" s="334" t="n"/>
      <c r="F353" s="334" t="n"/>
      <c r="G353" s="334" t="n"/>
      <c r="H353" s="334" t="n"/>
      <c r="I353" s="332">
        <f>IFERROR(VLOOKUP(TEXT(H353,"0"),IPRESS!$A$3:$B$212,2,0),"")</f>
        <v/>
      </c>
      <c r="J353" s="334" t="n"/>
      <c r="K353" s="332">
        <f>IFERROR(VLOOKUP(TEXT(O353,"0"),CONDUCTORES!$A$3:$G$54,7,0),"")</f>
        <v/>
      </c>
      <c r="L353" s="334" t="n"/>
      <c r="M353" s="334" t="n"/>
      <c r="N353" s="333">
        <f>IFERROR(IF(L353*M353=0,"",L353*M353),"")</f>
        <v/>
      </c>
      <c r="O353" s="334" t="n"/>
      <c r="P353" s="332">
        <f>IFERROR(VLOOKUP(TEXT(O353,"0"),CONDUCTORES!$A$3:$G$54,2,0),"")</f>
        <v/>
      </c>
      <c r="Q353" s="332">
        <f>IFERROR(VLOOKUP(TEXT(O353,"0"),CONDUCTORES!$A$3:$H$54,6,0),"")</f>
        <v/>
      </c>
      <c r="R353" s="334" t="n"/>
      <c r="S353" s="334" t="n"/>
      <c r="T353" s="334" t="n"/>
      <c r="U353" s="334" t="n"/>
      <c r="V353" s="334" t="n"/>
      <c r="W353" s="334" t="n"/>
      <c r="X353" s="334" t="n"/>
      <c r="Y353" s="334" t="n"/>
    </row>
    <row r="354" ht="15" customHeight="1" s="195">
      <c r="A354" s="280" t="n"/>
      <c r="B354" s="280" t="n"/>
      <c r="C354" s="280" t="n"/>
      <c r="D354" s="280" t="n"/>
      <c r="E354" s="280" t="n"/>
      <c r="F354" s="280" t="n"/>
      <c r="G354" s="280" t="n"/>
      <c r="H354" s="280" t="n"/>
      <c r="I354" s="332">
        <f>IFERROR(VLOOKUP(TEXT(H354,"0"),IPRESS!$A$3:$B$212,2,0),"")</f>
        <v/>
      </c>
      <c r="J354" s="280" t="n"/>
      <c r="K354" s="332">
        <f>IFERROR(VLOOKUP(TEXT(O354,"0"),CONDUCTORES!$A$3:$G$54,7,0),"")</f>
        <v/>
      </c>
      <c r="L354" s="280" t="n"/>
      <c r="M354" s="280" t="n"/>
      <c r="N354" s="333">
        <f>IFERROR(IF(L354*M354=0,"",L354*M354),"")</f>
        <v/>
      </c>
      <c r="O354" s="280" t="n"/>
      <c r="P354" s="332">
        <f>IFERROR(VLOOKUP(TEXT(O354,"0"),CONDUCTORES!$A$3:$G$54,2,0),"")</f>
        <v/>
      </c>
      <c r="Q354" s="332">
        <f>IFERROR(VLOOKUP(TEXT(O354,"0"),CONDUCTORES!$A$3:$H$54,6,0),"")</f>
        <v/>
      </c>
      <c r="R354" s="280" t="n"/>
      <c r="S354" s="280" t="n"/>
      <c r="T354" s="280" t="n"/>
      <c r="U354" s="280" t="n"/>
      <c r="V354" s="280" t="n"/>
      <c r="W354" s="280" t="n"/>
      <c r="X354" s="280" t="n"/>
      <c r="Y354" s="280" t="n"/>
    </row>
    <row r="355" ht="15" customHeight="1" s="195">
      <c r="A355" s="334" t="n"/>
      <c r="B355" s="334" t="n"/>
      <c r="C355" s="334" t="n"/>
      <c r="D355" s="334" t="n"/>
      <c r="E355" s="334" t="n"/>
      <c r="F355" s="334" t="n"/>
      <c r="G355" s="334" t="n"/>
      <c r="H355" s="334" t="n"/>
      <c r="I355" s="332">
        <f>IFERROR(VLOOKUP(TEXT(H355,"0"),IPRESS!$A$3:$B$212,2,0),"")</f>
        <v/>
      </c>
      <c r="J355" s="334" t="n"/>
      <c r="K355" s="332">
        <f>IFERROR(VLOOKUP(TEXT(O355,"0"),CONDUCTORES!$A$3:$G$54,7,0),"")</f>
        <v/>
      </c>
      <c r="L355" s="334" t="n"/>
      <c r="M355" s="334" t="n"/>
      <c r="N355" s="333">
        <f>IFERROR(IF(L355*M355=0,"",L355*M355),"")</f>
        <v/>
      </c>
      <c r="O355" s="334" t="n"/>
      <c r="P355" s="332">
        <f>IFERROR(VLOOKUP(TEXT(O355,"0"),CONDUCTORES!$A$3:$G$54,2,0),"")</f>
        <v/>
      </c>
      <c r="Q355" s="332">
        <f>IFERROR(VLOOKUP(TEXT(O355,"0"),CONDUCTORES!$A$3:$H$54,6,0),"")</f>
        <v/>
      </c>
      <c r="R355" s="334" t="n"/>
      <c r="S355" s="334" t="n"/>
      <c r="T355" s="334" t="n"/>
      <c r="U355" s="334" t="n"/>
      <c r="V355" s="334" t="n"/>
      <c r="W355" s="334" t="n"/>
      <c r="X355" s="334" t="n"/>
      <c r="Y355" s="334" t="n"/>
    </row>
    <row r="356" ht="15" customHeight="1" s="195">
      <c r="A356" s="280" t="n"/>
      <c r="B356" s="280" t="n"/>
      <c r="C356" s="280" t="n"/>
      <c r="D356" s="280" t="n"/>
      <c r="E356" s="280" t="n"/>
      <c r="F356" s="280" t="n"/>
      <c r="G356" s="280" t="n"/>
      <c r="H356" s="280" t="n"/>
      <c r="I356" s="332">
        <f>IFERROR(VLOOKUP(TEXT(H356,"0"),IPRESS!$A$3:$B$212,2,0),"")</f>
        <v/>
      </c>
      <c r="J356" s="280" t="n"/>
      <c r="K356" s="332">
        <f>IFERROR(VLOOKUP(TEXT(O356,"0"),CONDUCTORES!$A$3:$G$54,7,0),"")</f>
        <v/>
      </c>
      <c r="L356" s="280" t="n"/>
      <c r="M356" s="280" t="n"/>
      <c r="N356" s="333">
        <f>IFERROR(IF(L356*M356=0,"",L356*M356),"")</f>
        <v/>
      </c>
      <c r="O356" s="280" t="n"/>
      <c r="P356" s="332">
        <f>IFERROR(VLOOKUP(TEXT(O356,"0"),CONDUCTORES!$A$3:$G$54,2,0),"")</f>
        <v/>
      </c>
      <c r="Q356" s="332">
        <f>IFERROR(VLOOKUP(TEXT(O356,"0"),CONDUCTORES!$A$3:$H$54,6,0),"")</f>
        <v/>
      </c>
      <c r="R356" s="280" t="n"/>
      <c r="S356" s="280" t="n"/>
      <c r="T356" s="280" t="n"/>
      <c r="U356" s="280" t="n"/>
      <c r="V356" s="280" t="n"/>
      <c r="W356" s="280" t="n"/>
      <c r="X356" s="280" t="n"/>
      <c r="Y356" s="280" t="n"/>
    </row>
    <row r="357" ht="15" customHeight="1" s="195">
      <c r="A357" s="334" t="n"/>
      <c r="B357" s="334" t="n"/>
      <c r="C357" s="334" t="n"/>
      <c r="D357" s="334" t="n"/>
      <c r="E357" s="334" t="n"/>
      <c r="F357" s="334" t="n"/>
      <c r="G357" s="334" t="n"/>
      <c r="H357" s="334" t="n"/>
      <c r="I357" s="332">
        <f>IFERROR(VLOOKUP(TEXT(H357,"0"),IPRESS!$A$3:$B$212,2,0),"")</f>
        <v/>
      </c>
      <c r="J357" s="334" t="n"/>
      <c r="K357" s="332">
        <f>IFERROR(VLOOKUP(TEXT(O357,"0"),CONDUCTORES!$A$3:$G$54,7,0),"")</f>
        <v/>
      </c>
      <c r="L357" s="334" t="n"/>
      <c r="M357" s="334" t="n"/>
      <c r="N357" s="333">
        <f>IFERROR(IF(L357*M357=0,"",L357*M357),"")</f>
        <v/>
      </c>
      <c r="O357" s="334" t="n"/>
      <c r="P357" s="332">
        <f>IFERROR(VLOOKUP(TEXT(O357,"0"),CONDUCTORES!$A$3:$G$54,2,0),"")</f>
        <v/>
      </c>
      <c r="Q357" s="332">
        <f>IFERROR(VLOOKUP(TEXT(O357,"0"),CONDUCTORES!$A$3:$H$54,6,0),"")</f>
        <v/>
      </c>
      <c r="R357" s="334" t="n"/>
      <c r="S357" s="334" t="n"/>
      <c r="T357" s="334" t="n"/>
      <c r="U357" s="334" t="n"/>
      <c r="V357" s="334" t="n"/>
      <c r="W357" s="334" t="n"/>
      <c r="X357" s="334" t="n"/>
      <c r="Y357" s="334" t="n"/>
    </row>
    <row r="358" ht="15" customHeight="1" s="195">
      <c r="A358" s="280" t="n"/>
      <c r="B358" s="280" t="n"/>
      <c r="C358" s="280" t="n"/>
      <c r="D358" s="280" t="n"/>
      <c r="E358" s="280" t="n"/>
      <c r="F358" s="280" t="n"/>
      <c r="G358" s="280" t="n"/>
      <c r="H358" s="280" t="n"/>
      <c r="I358" s="332">
        <f>IFERROR(VLOOKUP(TEXT(H358,"0"),IPRESS!$A$3:$B$212,2,0),"")</f>
        <v/>
      </c>
      <c r="J358" s="280" t="n"/>
      <c r="K358" s="332">
        <f>IFERROR(VLOOKUP(TEXT(O358,"0"),CONDUCTORES!$A$3:$G$54,7,0),"")</f>
        <v/>
      </c>
      <c r="L358" s="280" t="n"/>
      <c r="M358" s="280" t="n"/>
      <c r="N358" s="333">
        <f>IFERROR(IF(L358*M358=0,"",L358*M358),"")</f>
        <v/>
      </c>
      <c r="O358" s="280" t="n"/>
      <c r="P358" s="332">
        <f>IFERROR(VLOOKUP(TEXT(O358,"0"),CONDUCTORES!$A$3:$G$54,2,0),"")</f>
        <v/>
      </c>
      <c r="Q358" s="332">
        <f>IFERROR(VLOOKUP(TEXT(O358,"0"),CONDUCTORES!$A$3:$H$54,6,0),"")</f>
        <v/>
      </c>
      <c r="R358" s="280" t="n"/>
      <c r="S358" s="280" t="n"/>
      <c r="T358" s="280" t="n"/>
      <c r="U358" s="280" t="n"/>
      <c r="V358" s="280" t="n"/>
      <c r="W358" s="280" t="n"/>
      <c r="X358" s="280" t="n"/>
      <c r="Y358" s="280" t="n"/>
    </row>
    <row r="359" ht="15" customHeight="1" s="195">
      <c r="A359" s="334" t="n"/>
      <c r="B359" s="334" t="n"/>
      <c r="C359" s="334" t="n"/>
      <c r="D359" s="334" t="n"/>
      <c r="E359" s="334" t="n"/>
      <c r="F359" s="334" t="n"/>
      <c r="G359" s="334" t="n"/>
      <c r="H359" s="334" t="n"/>
      <c r="I359" s="332">
        <f>IFERROR(VLOOKUP(TEXT(H359,"0"),IPRESS!$A$3:$B$212,2,0),"")</f>
        <v/>
      </c>
      <c r="J359" s="334" t="n"/>
      <c r="K359" s="332">
        <f>IFERROR(VLOOKUP(TEXT(O359,"0"),CONDUCTORES!$A$3:$G$54,7,0),"")</f>
        <v/>
      </c>
      <c r="L359" s="334" t="n"/>
      <c r="M359" s="334" t="n"/>
      <c r="N359" s="333">
        <f>IFERROR(IF(L359*M359=0,"",L359*M359),"")</f>
        <v/>
      </c>
      <c r="O359" s="334" t="n"/>
      <c r="P359" s="332">
        <f>IFERROR(VLOOKUP(TEXT(O359,"0"),CONDUCTORES!$A$3:$G$54,2,0),"")</f>
        <v/>
      </c>
      <c r="Q359" s="332">
        <f>IFERROR(VLOOKUP(TEXT(O359,"0"),CONDUCTORES!$A$3:$H$54,6,0),"")</f>
        <v/>
      </c>
      <c r="R359" s="334" t="n"/>
      <c r="S359" s="334" t="n"/>
      <c r="T359" s="334" t="n"/>
      <c r="U359" s="334" t="n"/>
      <c r="V359" s="334" t="n"/>
      <c r="W359" s="334" t="n"/>
      <c r="X359" s="334" t="n"/>
      <c r="Y359" s="334" t="n"/>
    </row>
    <row r="360" ht="15" customHeight="1" s="195">
      <c r="A360" s="280" t="n"/>
      <c r="B360" s="280" t="n"/>
      <c r="C360" s="280" t="n"/>
      <c r="D360" s="280" t="n"/>
      <c r="E360" s="280" t="n"/>
      <c r="F360" s="280" t="n"/>
      <c r="G360" s="280" t="n"/>
      <c r="H360" s="280" t="n"/>
      <c r="I360" s="332">
        <f>IFERROR(VLOOKUP(TEXT(H360,"0"),IPRESS!$A$3:$B$212,2,0),"")</f>
        <v/>
      </c>
      <c r="J360" s="280" t="n"/>
      <c r="K360" s="332">
        <f>IFERROR(VLOOKUP(TEXT(O360,"0"),CONDUCTORES!$A$3:$G$54,7,0),"")</f>
        <v/>
      </c>
      <c r="L360" s="280" t="n"/>
      <c r="M360" s="280" t="n"/>
      <c r="N360" s="333">
        <f>IFERROR(IF(L360*M360=0,"",L360*M360),"")</f>
        <v/>
      </c>
      <c r="O360" s="280" t="n"/>
      <c r="P360" s="332">
        <f>IFERROR(VLOOKUP(TEXT(O360,"0"),CONDUCTORES!$A$3:$G$54,2,0),"")</f>
        <v/>
      </c>
      <c r="Q360" s="332">
        <f>IFERROR(VLOOKUP(TEXT(O360,"0"),CONDUCTORES!$A$3:$H$54,6,0),"")</f>
        <v/>
      </c>
      <c r="R360" s="280" t="n"/>
      <c r="S360" s="280" t="n"/>
      <c r="T360" s="280" t="n"/>
      <c r="U360" s="280" t="n"/>
      <c r="V360" s="280" t="n"/>
      <c r="W360" s="280" t="n"/>
      <c r="X360" s="280" t="n"/>
      <c r="Y360" s="280" t="n"/>
    </row>
    <row r="361" ht="15" customHeight="1" s="195">
      <c r="A361" s="334" t="n"/>
      <c r="B361" s="334" t="n"/>
      <c r="C361" s="334" t="n"/>
      <c r="D361" s="334" t="n"/>
      <c r="E361" s="334" t="n"/>
      <c r="F361" s="334" t="n"/>
      <c r="G361" s="334" t="n"/>
      <c r="H361" s="334" t="n"/>
      <c r="I361" s="332">
        <f>IFERROR(VLOOKUP(TEXT(H361,"0"),IPRESS!$A$3:$B$212,2,0),"")</f>
        <v/>
      </c>
      <c r="J361" s="334" t="n"/>
      <c r="K361" s="332">
        <f>IFERROR(VLOOKUP(TEXT(O361,"0"),CONDUCTORES!$A$3:$G$54,7,0),"")</f>
        <v/>
      </c>
      <c r="L361" s="334" t="n"/>
      <c r="M361" s="334" t="n"/>
      <c r="N361" s="333">
        <f>IFERROR(IF(L361*M361=0,"",L361*M361),"")</f>
        <v/>
      </c>
      <c r="O361" s="334" t="n"/>
      <c r="P361" s="332">
        <f>IFERROR(VLOOKUP(TEXT(O361,"0"),CONDUCTORES!$A$3:$G$54,2,0),"")</f>
        <v/>
      </c>
      <c r="Q361" s="332">
        <f>IFERROR(VLOOKUP(TEXT(O361,"0"),CONDUCTORES!$A$3:$H$54,6,0),"")</f>
        <v/>
      </c>
      <c r="R361" s="334" t="n"/>
      <c r="S361" s="334" t="n"/>
      <c r="T361" s="334" t="n"/>
      <c r="U361" s="334" t="n"/>
      <c r="V361" s="334" t="n"/>
      <c r="W361" s="334" t="n"/>
      <c r="X361" s="334" t="n"/>
      <c r="Y361" s="334" t="n"/>
    </row>
    <row r="362" ht="15" customHeight="1" s="195">
      <c r="A362" s="280" t="n"/>
      <c r="B362" s="280" t="n"/>
      <c r="C362" s="280" t="n"/>
      <c r="D362" s="280" t="n"/>
      <c r="E362" s="280" t="n"/>
      <c r="F362" s="280" t="n"/>
      <c r="G362" s="280" t="n"/>
      <c r="H362" s="280" t="n"/>
      <c r="I362" s="332">
        <f>IFERROR(VLOOKUP(TEXT(H362,"0"),IPRESS!$A$3:$B$212,2,0),"")</f>
        <v/>
      </c>
      <c r="J362" s="280" t="n"/>
      <c r="K362" s="332">
        <f>IFERROR(VLOOKUP(TEXT(O362,"0"),CONDUCTORES!$A$3:$G$54,7,0),"")</f>
        <v/>
      </c>
      <c r="L362" s="280" t="n"/>
      <c r="M362" s="280" t="n"/>
      <c r="N362" s="333">
        <f>IFERROR(IF(L362*M362=0,"",L362*M362),"")</f>
        <v/>
      </c>
      <c r="O362" s="280" t="n"/>
      <c r="P362" s="332">
        <f>IFERROR(VLOOKUP(TEXT(O362,"0"),CONDUCTORES!$A$3:$G$54,2,0),"")</f>
        <v/>
      </c>
      <c r="Q362" s="332">
        <f>IFERROR(VLOOKUP(TEXT(O362,"0"),CONDUCTORES!$A$3:$H$54,6,0),"")</f>
        <v/>
      </c>
      <c r="R362" s="280" t="n"/>
      <c r="S362" s="280" t="n"/>
      <c r="T362" s="280" t="n"/>
      <c r="U362" s="280" t="n"/>
      <c r="V362" s="280" t="n"/>
      <c r="W362" s="280" t="n"/>
      <c r="X362" s="280" t="n"/>
      <c r="Y362" s="280" t="n"/>
    </row>
    <row r="363" ht="15" customHeight="1" s="195">
      <c r="A363" s="334" t="n"/>
      <c r="B363" s="334" t="n"/>
      <c r="C363" s="334" t="n"/>
      <c r="D363" s="334" t="n"/>
      <c r="E363" s="334" t="n"/>
      <c r="F363" s="334" t="n"/>
      <c r="G363" s="334" t="n"/>
      <c r="H363" s="334" t="n"/>
      <c r="I363" s="332">
        <f>IFERROR(VLOOKUP(TEXT(H363,"0"),IPRESS!$A$3:$B$212,2,0),"")</f>
        <v/>
      </c>
      <c r="J363" s="334" t="n"/>
      <c r="K363" s="332">
        <f>IFERROR(VLOOKUP(TEXT(O363,"0"),CONDUCTORES!$A$3:$G$54,7,0),"")</f>
        <v/>
      </c>
      <c r="L363" s="334" t="n"/>
      <c r="M363" s="334" t="n"/>
      <c r="N363" s="333">
        <f>IFERROR(IF(L363*M363=0,"",L363*M363),"")</f>
        <v/>
      </c>
      <c r="O363" s="334" t="n"/>
      <c r="P363" s="332">
        <f>IFERROR(VLOOKUP(TEXT(O363,"0"),CONDUCTORES!$A$3:$G$54,2,0),"")</f>
        <v/>
      </c>
      <c r="Q363" s="332">
        <f>IFERROR(VLOOKUP(TEXT(O363,"0"),CONDUCTORES!$A$3:$H$54,6,0),"")</f>
        <v/>
      </c>
      <c r="R363" s="334" t="n"/>
      <c r="S363" s="334" t="n"/>
      <c r="T363" s="334" t="n"/>
      <c r="U363" s="334" t="n"/>
      <c r="V363" s="334" t="n"/>
      <c r="W363" s="334" t="n"/>
      <c r="X363" s="334" t="n"/>
      <c r="Y363" s="334" t="n"/>
    </row>
    <row r="364" ht="15" customHeight="1" s="195">
      <c r="A364" s="280" t="n"/>
      <c r="B364" s="280" t="n"/>
      <c r="C364" s="280" t="n"/>
      <c r="D364" s="280" t="n"/>
      <c r="E364" s="280" t="n"/>
      <c r="F364" s="280" t="n"/>
      <c r="G364" s="280" t="n"/>
      <c r="H364" s="280" t="n"/>
      <c r="I364" s="332">
        <f>IFERROR(VLOOKUP(TEXT(H364,"0"),IPRESS!$A$3:$B$212,2,0),"")</f>
        <v/>
      </c>
      <c r="J364" s="280" t="n"/>
      <c r="K364" s="332">
        <f>IFERROR(VLOOKUP(TEXT(O364,"0"),CONDUCTORES!$A$3:$G$54,7,0),"")</f>
        <v/>
      </c>
      <c r="L364" s="280" t="n"/>
      <c r="M364" s="280" t="n"/>
      <c r="N364" s="333">
        <f>IFERROR(IF(L364*M364=0,"",L364*M364),"")</f>
        <v/>
      </c>
      <c r="O364" s="280" t="n"/>
      <c r="P364" s="332">
        <f>IFERROR(VLOOKUP(TEXT(O364,"0"),CONDUCTORES!$A$3:$G$54,2,0),"")</f>
        <v/>
      </c>
      <c r="Q364" s="332">
        <f>IFERROR(VLOOKUP(TEXT(O364,"0"),CONDUCTORES!$A$3:$H$54,6,0),"")</f>
        <v/>
      </c>
      <c r="R364" s="280" t="n"/>
      <c r="S364" s="280" t="n"/>
      <c r="T364" s="280" t="n"/>
      <c r="U364" s="280" t="n"/>
      <c r="V364" s="280" t="n"/>
      <c r="W364" s="280" t="n"/>
      <c r="X364" s="280" t="n"/>
      <c r="Y364" s="280" t="n"/>
    </row>
    <row r="365" ht="15" customHeight="1" s="195">
      <c r="A365" s="334" t="n"/>
      <c r="B365" s="334" t="n"/>
      <c r="C365" s="334" t="n"/>
      <c r="D365" s="334" t="n"/>
      <c r="E365" s="334" t="n"/>
      <c r="F365" s="334" t="n"/>
      <c r="G365" s="334" t="n"/>
      <c r="H365" s="334" t="n"/>
      <c r="I365" s="332">
        <f>IFERROR(VLOOKUP(TEXT(H365,"0"),IPRESS!$A$3:$B$212,2,0),"")</f>
        <v/>
      </c>
      <c r="J365" s="334" t="n"/>
      <c r="K365" s="332">
        <f>IFERROR(VLOOKUP(TEXT(O365,"0"),CONDUCTORES!$A$3:$G$54,7,0),"")</f>
        <v/>
      </c>
      <c r="L365" s="334" t="n"/>
      <c r="M365" s="334" t="n"/>
      <c r="N365" s="333">
        <f>IFERROR(IF(L365*M365=0,"",L365*M365),"")</f>
        <v/>
      </c>
      <c r="O365" s="334" t="n"/>
      <c r="P365" s="332">
        <f>IFERROR(VLOOKUP(TEXT(O365,"0"),CONDUCTORES!$A$3:$G$54,2,0),"")</f>
        <v/>
      </c>
      <c r="Q365" s="332">
        <f>IFERROR(VLOOKUP(TEXT(O365,"0"),CONDUCTORES!$A$3:$H$54,6,0),"")</f>
        <v/>
      </c>
      <c r="R365" s="334" t="n"/>
      <c r="S365" s="334" t="n"/>
      <c r="T365" s="334" t="n"/>
      <c r="U365" s="334" t="n"/>
      <c r="V365" s="334" t="n"/>
      <c r="W365" s="334" t="n"/>
      <c r="X365" s="334" t="n"/>
      <c r="Y365" s="334" t="n"/>
    </row>
    <row r="366" ht="15" customHeight="1" s="195">
      <c r="A366" s="280" t="n"/>
      <c r="B366" s="280" t="n"/>
      <c r="C366" s="280" t="n"/>
      <c r="D366" s="280" t="n"/>
      <c r="E366" s="280" t="n"/>
      <c r="F366" s="280" t="n"/>
      <c r="G366" s="280" t="n"/>
      <c r="H366" s="280" t="n"/>
      <c r="I366" s="332">
        <f>IFERROR(VLOOKUP(TEXT(H366,"0"),IPRESS!$A$3:$B$212,2,0),"")</f>
        <v/>
      </c>
      <c r="J366" s="280" t="n"/>
      <c r="K366" s="332">
        <f>IFERROR(VLOOKUP(TEXT(O366,"0"),CONDUCTORES!$A$3:$G$54,7,0),"")</f>
        <v/>
      </c>
      <c r="L366" s="280" t="n"/>
      <c r="M366" s="280" t="n"/>
      <c r="N366" s="333">
        <f>IFERROR(IF(L366*M366=0,"",L366*M366),"")</f>
        <v/>
      </c>
      <c r="O366" s="280" t="n"/>
      <c r="P366" s="332">
        <f>IFERROR(VLOOKUP(TEXT(O366,"0"),CONDUCTORES!$A$3:$G$54,2,0),"")</f>
        <v/>
      </c>
      <c r="Q366" s="332">
        <f>IFERROR(VLOOKUP(TEXT(O366,"0"),CONDUCTORES!$A$3:$H$54,6,0),"")</f>
        <v/>
      </c>
      <c r="R366" s="280" t="n"/>
      <c r="S366" s="280" t="n"/>
      <c r="T366" s="280" t="n"/>
      <c r="U366" s="280" t="n"/>
      <c r="V366" s="280" t="n"/>
      <c r="W366" s="280" t="n"/>
      <c r="X366" s="280" t="n"/>
      <c r="Y366" s="280" t="n"/>
    </row>
    <row r="367" ht="15" customHeight="1" s="195">
      <c r="A367" s="334" t="n"/>
      <c r="B367" s="334" t="n"/>
      <c r="C367" s="334" t="n"/>
      <c r="D367" s="334" t="n"/>
      <c r="E367" s="334" t="n"/>
      <c r="F367" s="334" t="n"/>
      <c r="G367" s="334" t="n"/>
      <c r="H367" s="334" t="n"/>
      <c r="I367" s="332">
        <f>IFERROR(VLOOKUP(TEXT(H367,"0"),IPRESS!$A$3:$B$212,2,0),"")</f>
        <v/>
      </c>
      <c r="J367" s="334" t="n"/>
      <c r="K367" s="332">
        <f>IFERROR(VLOOKUP(TEXT(O367,"0"),CONDUCTORES!$A$3:$G$54,7,0),"")</f>
        <v/>
      </c>
      <c r="L367" s="334" t="n"/>
      <c r="M367" s="334" t="n"/>
      <c r="N367" s="333">
        <f>IFERROR(IF(L367*M367=0,"",L367*M367),"")</f>
        <v/>
      </c>
      <c r="O367" s="334" t="n"/>
      <c r="P367" s="332">
        <f>IFERROR(VLOOKUP(TEXT(O367,"0"),CONDUCTORES!$A$3:$G$54,2,0),"")</f>
        <v/>
      </c>
      <c r="Q367" s="332">
        <f>IFERROR(VLOOKUP(TEXT(O367,"0"),CONDUCTORES!$A$3:$H$54,6,0),"")</f>
        <v/>
      </c>
      <c r="R367" s="334" t="n"/>
      <c r="S367" s="334" t="n"/>
      <c r="T367" s="334" t="n"/>
      <c r="U367" s="334" t="n"/>
      <c r="V367" s="334" t="n"/>
      <c r="W367" s="334" t="n"/>
      <c r="X367" s="334" t="n"/>
      <c r="Y367" s="334" t="n"/>
    </row>
    <row r="368" ht="15" customHeight="1" s="195">
      <c r="A368" s="280" t="n"/>
      <c r="B368" s="280" t="n"/>
      <c r="C368" s="280" t="n"/>
      <c r="D368" s="280" t="n"/>
      <c r="E368" s="280" t="n"/>
      <c r="F368" s="280" t="n"/>
      <c r="G368" s="280" t="n"/>
      <c r="H368" s="280" t="n"/>
      <c r="I368" s="332">
        <f>IFERROR(VLOOKUP(TEXT(H368,"0"),IPRESS!$A$3:$B$212,2,0),"")</f>
        <v/>
      </c>
      <c r="J368" s="280" t="n"/>
      <c r="K368" s="332">
        <f>IFERROR(VLOOKUP(TEXT(O368,"0"),CONDUCTORES!$A$3:$G$54,7,0),"")</f>
        <v/>
      </c>
      <c r="L368" s="280" t="n"/>
      <c r="M368" s="280" t="n"/>
      <c r="N368" s="333">
        <f>IFERROR(IF(L368*M368=0,"",L368*M368),"")</f>
        <v/>
      </c>
      <c r="O368" s="280" t="n"/>
      <c r="P368" s="332">
        <f>IFERROR(VLOOKUP(TEXT(O368,"0"),CONDUCTORES!$A$3:$G$54,2,0),"")</f>
        <v/>
      </c>
      <c r="Q368" s="332">
        <f>IFERROR(VLOOKUP(TEXT(O368,"0"),CONDUCTORES!$A$3:$H$54,6,0),"")</f>
        <v/>
      </c>
      <c r="R368" s="280" t="n"/>
      <c r="S368" s="280" t="n"/>
      <c r="T368" s="280" t="n"/>
      <c r="U368" s="280" t="n"/>
      <c r="V368" s="280" t="n"/>
      <c r="W368" s="280" t="n"/>
      <c r="X368" s="280" t="n"/>
      <c r="Y368" s="280" t="n"/>
    </row>
    <row r="369" ht="15" customHeight="1" s="195">
      <c r="A369" s="334" t="n"/>
      <c r="B369" s="334" t="n"/>
      <c r="C369" s="334" t="n"/>
      <c r="D369" s="334" t="n"/>
      <c r="E369" s="334" t="n"/>
      <c r="F369" s="334" t="n"/>
      <c r="G369" s="334" t="n"/>
      <c r="H369" s="334" t="n"/>
      <c r="I369" s="332">
        <f>IFERROR(VLOOKUP(TEXT(H369,"0"),IPRESS!$A$3:$B$212,2,0),"")</f>
        <v/>
      </c>
      <c r="J369" s="334" t="n"/>
      <c r="K369" s="332">
        <f>IFERROR(VLOOKUP(TEXT(O369,"0"),CONDUCTORES!$A$3:$G$54,7,0),"")</f>
        <v/>
      </c>
      <c r="L369" s="334" t="n"/>
      <c r="M369" s="334" t="n"/>
      <c r="N369" s="333">
        <f>IFERROR(IF(L369*M369=0,"",L369*M369),"")</f>
        <v/>
      </c>
      <c r="O369" s="334" t="n"/>
      <c r="P369" s="332">
        <f>IFERROR(VLOOKUP(TEXT(O369,"0"),CONDUCTORES!$A$3:$G$54,2,0),"")</f>
        <v/>
      </c>
      <c r="Q369" s="332">
        <f>IFERROR(VLOOKUP(TEXT(O369,"0"),CONDUCTORES!$A$3:$H$54,6,0),"")</f>
        <v/>
      </c>
      <c r="R369" s="334" t="n"/>
      <c r="S369" s="334" t="n"/>
      <c r="T369" s="334" t="n"/>
      <c r="U369" s="334" t="n"/>
      <c r="V369" s="334" t="n"/>
      <c r="W369" s="334" t="n"/>
      <c r="X369" s="334" t="n"/>
      <c r="Y369" s="334" t="n"/>
    </row>
    <row r="370" ht="15" customHeight="1" s="195">
      <c r="A370" s="280" t="n"/>
      <c r="B370" s="280" t="n"/>
      <c r="C370" s="280" t="n"/>
      <c r="D370" s="280" t="n"/>
      <c r="E370" s="280" t="n"/>
      <c r="F370" s="280" t="n"/>
      <c r="G370" s="280" t="n"/>
      <c r="H370" s="280" t="n"/>
      <c r="I370" s="332">
        <f>IFERROR(VLOOKUP(TEXT(H370,"0"),IPRESS!$A$3:$B$212,2,0),"")</f>
        <v/>
      </c>
      <c r="J370" s="280" t="n"/>
      <c r="K370" s="332">
        <f>IFERROR(VLOOKUP(TEXT(O370,"0"),CONDUCTORES!$A$3:$G$54,7,0),"")</f>
        <v/>
      </c>
      <c r="L370" s="280" t="n"/>
      <c r="M370" s="280" t="n"/>
      <c r="N370" s="333">
        <f>IFERROR(IF(L370*M370=0,"",L370*M370),"")</f>
        <v/>
      </c>
      <c r="O370" s="280" t="n"/>
      <c r="P370" s="332">
        <f>IFERROR(VLOOKUP(TEXT(O370,"0"),CONDUCTORES!$A$3:$G$54,2,0),"")</f>
        <v/>
      </c>
      <c r="Q370" s="332">
        <f>IFERROR(VLOOKUP(TEXT(O370,"0"),CONDUCTORES!$A$3:$H$54,6,0),"")</f>
        <v/>
      </c>
      <c r="R370" s="280" t="n"/>
      <c r="S370" s="280" t="n"/>
      <c r="T370" s="280" t="n"/>
      <c r="U370" s="280" t="n"/>
      <c r="V370" s="280" t="n"/>
      <c r="W370" s="280" t="n"/>
      <c r="X370" s="280" t="n"/>
      <c r="Y370" s="280" t="n"/>
    </row>
    <row r="371" ht="15" customHeight="1" s="195">
      <c r="A371" s="334" t="n"/>
      <c r="B371" s="334" t="n"/>
      <c r="C371" s="334" t="n"/>
      <c r="D371" s="334" t="n"/>
      <c r="E371" s="334" t="n"/>
      <c r="F371" s="334" t="n"/>
      <c r="G371" s="334" t="n"/>
      <c r="H371" s="334" t="n"/>
      <c r="I371" s="332">
        <f>IFERROR(VLOOKUP(TEXT(H371,"0"),IPRESS!$A$3:$B$212,2,0),"")</f>
        <v/>
      </c>
      <c r="J371" s="334" t="n"/>
      <c r="K371" s="332">
        <f>IFERROR(VLOOKUP(TEXT(O371,"0"),CONDUCTORES!$A$3:$G$54,7,0),"")</f>
        <v/>
      </c>
      <c r="L371" s="334" t="n"/>
      <c r="M371" s="334" t="n"/>
      <c r="N371" s="333">
        <f>IFERROR(IF(L371*M371=0,"",L371*M371),"")</f>
        <v/>
      </c>
      <c r="O371" s="334" t="n"/>
      <c r="P371" s="332">
        <f>IFERROR(VLOOKUP(TEXT(O371,"0"),CONDUCTORES!$A$3:$G$54,2,0),"")</f>
        <v/>
      </c>
      <c r="Q371" s="332">
        <f>IFERROR(VLOOKUP(TEXT(O371,"0"),CONDUCTORES!$A$3:$H$54,6,0),"")</f>
        <v/>
      </c>
      <c r="R371" s="334" t="n"/>
      <c r="S371" s="334" t="n"/>
      <c r="T371" s="334" t="n"/>
      <c r="U371" s="334" t="n"/>
      <c r="V371" s="334" t="n"/>
      <c r="W371" s="334" t="n"/>
      <c r="X371" s="334" t="n"/>
      <c r="Y371" s="334" t="n"/>
    </row>
    <row r="372" ht="15" customHeight="1" s="195">
      <c r="A372" s="280" t="n"/>
      <c r="B372" s="280" t="n"/>
      <c r="C372" s="280" t="n"/>
      <c r="D372" s="280" t="n"/>
      <c r="E372" s="280" t="n"/>
      <c r="F372" s="280" t="n"/>
      <c r="G372" s="280" t="n"/>
      <c r="H372" s="280" t="n"/>
      <c r="I372" s="332">
        <f>IFERROR(VLOOKUP(TEXT(H372,"0"),IPRESS!$A$3:$B$212,2,0),"")</f>
        <v/>
      </c>
      <c r="J372" s="280" t="n"/>
      <c r="K372" s="332">
        <f>IFERROR(VLOOKUP(TEXT(O372,"0"),CONDUCTORES!$A$3:$G$54,7,0),"")</f>
        <v/>
      </c>
      <c r="L372" s="280" t="n"/>
      <c r="M372" s="280" t="n"/>
      <c r="N372" s="333">
        <f>IFERROR(IF(L372*M372=0,"",L372*M372),"")</f>
        <v/>
      </c>
      <c r="O372" s="280" t="n"/>
      <c r="P372" s="332">
        <f>IFERROR(VLOOKUP(TEXT(O372,"0"),CONDUCTORES!$A$3:$G$54,2,0),"")</f>
        <v/>
      </c>
      <c r="Q372" s="332">
        <f>IFERROR(VLOOKUP(TEXT(O372,"0"),CONDUCTORES!$A$3:$H$54,6,0),"")</f>
        <v/>
      </c>
      <c r="R372" s="280" t="n"/>
      <c r="S372" s="280" t="n"/>
      <c r="T372" s="280" t="n"/>
      <c r="U372" s="280" t="n"/>
      <c r="V372" s="280" t="n"/>
      <c r="W372" s="280" t="n"/>
      <c r="X372" s="280" t="n"/>
      <c r="Y372" s="280" t="n"/>
    </row>
    <row r="373" ht="15" customHeight="1" s="195">
      <c r="A373" s="334" t="n"/>
      <c r="B373" s="334" t="n"/>
      <c r="C373" s="334" t="n"/>
      <c r="D373" s="334" t="n"/>
      <c r="E373" s="334" t="n"/>
      <c r="F373" s="334" t="n"/>
      <c r="G373" s="334" t="n"/>
      <c r="H373" s="334" t="n"/>
      <c r="I373" s="332">
        <f>IFERROR(VLOOKUP(TEXT(H373,"0"),IPRESS!$A$3:$B$212,2,0),"")</f>
        <v/>
      </c>
      <c r="J373" s="334" t="n"/>
      <c r="K373" s="332">
        <f>IFERROR(VLOOKUP(TEXT(O373,"0"),CONDUCTORES!$A$3:$G$54,7,0),"")</f>
        <v/>
      </c>
      <c r="L373" s="334" t="n"/>
      <c r="M373" s="334" t="n"/>
      <c r="N373" s="333">
        <f>IFERROR(IF(L373*M373=0,"",L373*M373),"")</f>
        <v/>
      </c>
      <c r="O373" s="334" t="n"/>
      <c r="P373" s="332">
        <f>IFERROR(VLOOKUP(TEXT(O373,"0"),CONDUCTORES!$A$3:$G$54,2,0),"")</f>
        <v/>
      </c>
      <c r="Q373" s="332">
        <f>IFERROR(VLOOKUP(TEXT(O373,"0"),CONDUCTORES!$A$3:$H$54,6,0),"")</f>
        <v/>
      </c>
      <c r="R373" s="334" t="n"/>
      <c r="S373" s="334" t="n"/>
      <c r="T373" s="334" t="n"/>
      <c r="U373" s="334" t="n"/>
      <c r="V373" s="334" t="n"/>
      <c r="W373" s="334" t="n"/>
      <c r="X373" s="334" t="n"/>
      <c r="Y373" s="334" t="n"/>
    </row>
    <row r="374" ht="15" customHeight="1" s="195">
      <c r="A374" s="280" t="n"/>
      <c r="B374" s="280" t="n"/>
      <c r="C374" s="280" t="n"/>
      <c r="D374" s="280" t="n"/>
      <c r="E374" s="280" t="n"/>
      <c r="F374" s="280" t="n"/>
      <c r="G374" s="280" t="n"/>
      <c r="H374" s="280" t="n"/>
      <c r="I374" s="332">
        <f>IFERROR(VLOOKUP(TEXT(H374,"0"),IPRESS!$A$3:$B$212,2,0),"")</f>
        <v/>
      </c>
      <c r="J374" s="280" t="n"/>
      <c r="K374" s="332">
        <f>IFERROR(VLOOKUP(TEXT(O374,"0"),CONDUCTORES!$A$3:$G$54,7,0),"")</f>
        <v/>
      </c>
      <c r="L374" s="280" t="n"/>
      <c r="M374" s="280" t="n"/>
      <c r="N374" s="333">
        <f>IFERROR(IF(L374*M374=0,"",L374*M374),"")</f>
        <v/>
      </c>
      <c r="O374" s="280" t="n"/>
      <c r="P374" s="332">
        <f>IFERROR(VLOOKUP(TEXT(O374,"0"),CONDUCTORES!$A$3:$G$54,2,0),"")</f>
        <v/>
      </c>
      <c r="Q374" s="332">
        <f>IFERROR(VLOOKUP(TEXT(O374,"0"),CONDUCTORES!$A$3:$H$54,6,0),"")</f>
        <v/>
      </c>
      <c r="R374" s="280" t="n"/>
      <c r="S374" s="280" t="n"/>
      <c r="T374" s="280" t="n"/>
      <c r="U374" s="280" t="n"/>
      <c r="V374" s="280" t="n"/>
      <c r="W374" s="280" t="n"/>
      <c r="X374" s="280" t="n"/>
      <c r="Y374" s="280" t="n"/>
    </row>
    <row r="375" ht="15" customHeight="1" s="195">
      <c r="A375" s="334" t="n"/>
      <c r="B375" s="334" t="n"/>
      <c r="C375" s="334" t="n"/>
      <c r="D375" s="334" t="n"/>
      <c r="E375" s="334" t="n"/>
      <c r="F375" s="334" t="n"/>
      <c r="G375" s="334" t="n"/>
      <c r="H375" s="334" t="n"/>
      <c r="I375" s="332">
        <f>IFERROR(VLOOKUP(TEXT(H375,"0"),IPRESS!$A$3:$B$212,2,0),"")</f>
        <v/>
      </c>
      <c r="J375" s="334" t="n"/>
      <c r="K375" s="332">
        <f>IFERROR(VLOOKUP(TEXT(O375,"0"),CONDUCTORES!$A$3:$G$54,7,0),"")</f>
        <v/>
      </c>
      <c r="L375" s="334" t="n"/>
      <c r="M375" s="334" t="n"/>
      <c r="N375" s="333">
        <f>IFERROR(IF(L375*M375=0,"",L375*M375),"")</f>
        <v/>
      </c>
      <c r="O375" s="334" t="n"/>
      <c r="P375" s="332">
        <f>IFERROR(VLOOKUP(TEXT(O375,"0"),CONDUCTORES!$A$3:$G$54,2,0),"")</f>
        <v/>
      </c>
      <c r="Q375" s="332">
        <f>IFERROR(VLOOKUP(TEXT(O375,"0"),CONDUCTORES!$A$3:$H$54,6,0),"")</f>
        <v/>
      </c>
      <c r="R375" s="334" t="n"/>
      <c r="S375" s="334" t="n"/>
      <c r="T375" s="334" t="n"/>
      <c r="U375" s="334" t="n"/>
      <c r="V375" s="334" t="n"/>
      <c r="W375" s="334" t="n"/>
      <c r="X375" s="334" t="n"/>
      <c r="Y375" s="334" t="n"/>
    </row>
    <row r="376" ht="15" customHeight="1" s="195">
      <c r="A376" s="280" t="n"/>
      <c r="B376" s="280" t="n"/>
      <c r="C376" s="280" t="n"/>
      <c r="D376" s="280" t="n"/>
      <c r="E376" s="280" t="n"/>
      <c r="F376" s="280" t="n"/>
      <c r="G376" s="280" t="n"/>
      <c r="H376" s="280" t="n"/>
      <c r="I376" s="332">
        <f>IFERROR(VLOOKUP(TEXT(H376,"0"),IPRESS!$A$3:$B$212,2,0),"")</f>
        <v/>
      </c>
      <c r="J376" s="280" t="n"/>
      <c r="K376" s="332">
        <f>IFERROR(VLOOKUP(TEXT(O376,"0"),CONDUCTORES!$A$3:$G$54,7,0),"")</f>
        <v/>
      </c>
      <c r="L376" s="280" t="n"/>
      <c r="M376" s="280" t="n"/>
      <c r="N376" s="333">
        <f>IFERROR(IF(L376*M376=0,"",L376*M376),"")</f>
        <v/>
      </c>
      <c r="O376" s="280" t="n"/>
      <c r="P376" s="332">
        <f>IFERROR(VLOOKUP(TEXT(O376,"0"),CONDUCTORES!$A$3:$G$54,2,0),"")</f>
        <v/>
      </c>
      <c r="Q376" s="332">
        <f>IFERROR(VLOOKUP(TEXT(O376,"0"),CONDUCTORES!$A$3:$H$54,6,0),"")</f>
        <v/>
      </c>
      <c r="R376" s="280" t="n"/>
      <c r="S376" s="280" t="n"/>
      <c r="T376" s="280" t="n"/>
      <c r="U376" s="280" t="n"/>
      <c r="V376" s="280" t="n"/>
      <c r="W376" s="280" t="n"/>
      <c r="X376" s="280" t="n"/>
      <c r="Y376" s="280" t="n"/>
    </row>
    <row r="377" ht="15" customHeight="1" s="195">
      <c r="A377" s="334" t="n"/>
      <c r="B377" s="334" t="n"/>
      <c r="C377" s="334" t="n"/>
      <c r="D377" s="334" t="n"/>
      <c r="E377" s="334" t="n"/>
      <c r="F377" s="334" t="n"/>
      <c r="G377" s="334" t="n"/>
      <c r="H377" s="334" t="n"/>
      <c r="I377" s="332">
        <f>IFERROR(VLOOKUP(TEXT(H377,"0"),IPRESS!$A$3:$B$212,2,0),"")</f>
        <v/>
      </c>
      <c r="J377" s="334" t="n"/>
      <c r="K377" s="332">
        <f>IFERROR(VLOOKUP(TEXT(O377,"0"),CONDUCTORES!$A$3:$G$54,7,0),"")</f>
        <v/>
      </c>
      <c r="L377" s="334" t="n"/>
      <c r="M377" s="334" t="n"/>
      <c r="N377" s="333">
        <f>IFERROR(IF(L377*M377=0,"",L377*M377),"")</f>
        <v/>
      </c>
      <c r="O377" s="334" t="n"/>
      <c r="P377" s="332">
        <f>IFERROR(VLOOKUP(TEXT(O377,"0"),CONDUCTORES!$A$3:$G$54,2,0),"")</f>
        <v/>
      </c>
      <c r="Q377" s="332">
        <f>IFERROR(VLOOKUP(TEXT(O377,"0"),CONDUCTORES!$A$3:$H$54,6,0),"")</f>
        <v/>
      </c>
      <c r="R377" s="334" t="n"/>
      <c r="S377" s="334" t="n"/>
      <c r="T377" s="334" t="n"/>
      <c r="U377" s="334" t="n"/>
      <c r="V377" s="334" t="n"/>
      <c r="W377" s="334" t="n"/>
      <c r="X377" s="334" t="n"/>
      <c r="Y377" s="334" t="n"/>
    </row>
    <row r="378" ht="15" customHeight="1" s="195">
      <c r="A378" s="280" t="n"/>
      <c r="B378" s="280" t="n"/>
      <c r="C378" s="280" t="n"/>
      <c r="D378" s="280" t="n"/>
      <c r="E378" s="280" t="n"/>
      <c r="F378" s="280" t="n"/>
      <c r="G378" s="280" t="n"/>
      <c r="H378" s="280" t="n"/>
      <c r="I378" s="332">
        <f>IFERROR(VLOOKUP(TEXT(H378,"0"),IPRESS!$A$3:$B$212,2,0),"")</f>
        <v/>
      </c>
      <c r="J378" s="280" t="n"/>
      <c r="K378" s="332">
        <f>IFERROR(VLOOKUP(TEXT(O378,"0"),CONDUCTORES!$A$3:$G$54,7,0),"")</f>
        <v/>
      </c>
      <c r="L378" s="280" t="n"/>
      <c r="M378" s="280" t="n"/>
      <c r="N378" s="333">
        <f>IFERROR(IF(L378*M378=0,"",L378*M378),"")</f>
        <v/>
      </c>
      <c r="O378" s="280" t="n"/>
      <c r="P378" s="332">
        <f>IFERROR(VLOOKUP(TEXT(O378,"0"),CONDUCTORES!$A$3:$G$54,2,0),"")</f>
        <v/>
      </c>
      <c r="Q378" s="332">
        <f>IFERROR(VLOOKUP(TEXT(O378,"0"),CONDUCTORES!$A$3:$H$54,6,0),"")</f>
        <v/>
      </c>
      <c r="R378" s="280" t="n"/>
      <c r="S378" s="280" t="n"/>
      <c r="T378" s="280" t="n"/>
      <c r="U378" s="280" t="n"/>
      <c r="V378" s="280" t="n"/>
      <c r="W378" s="280" t="n"/>
      <c r="X378" s="280" t="n"/>
      <c r="Y378" s="280" t="n"/>
    </row>
    <row r="379" ht="15" customHeight="1" s="195">
      <c r="A379" s="334" t="n"/>
      <c r="B379" s="334" t="n"/>
      <c r="C379" s="334" t="n"/>
      <c r="D379" s="334" t="n"/>
      <c r="E379" s="334" t="n"/>
      <c r="F379" s="334" t="n"/>
      <c r="G379" s="334" t="n"/>
      <c r="H379" s="334" t="n"/>
      <c r="I379" s="332">
        <f>IFERROR(VLOOKUP(TEXT(H379,"0"),IPRESS!$A$3:$B$212,2,0),"")</f>
        <v/>
      </c>
      <c r="J379" s="334" t="n"/>
      <c r="K379" s="332">
        <f>IFERROR(VLOOKUP(TEXT(O379,"0"),CONDUCTORES!$A$3:$G$54,7,0),"")</f>
        <v/>
      </c>
      <c r="L379" s="334" t="n"/>
      <c r="M379" s="334" t="n"/>
      <c r="N379" s="333">
        <f>IFERROR(IF(L379*M379=0,"",L379*M379),"")</f>
        <v/>
      </c>
      <c r="O379" s="334" t="n"/>
      <c r="P379" s="332">
        <f>IFERROR(VLOOKUP(TEXT(O379,"0"),CONDUCTORES!$A$3:$G$54,2,0),"")</f>
        <v/>
      </c>
      <c r="Q379" s="332">
        <f>IFERROR(VLOOKUP(TEXT(O379,"0"),CONDUCTORES!$A$3:$H$54,6,0),"")</f>
        <v/>
      </c>
      <c r="R379" s="334" t="n"/>
      <c r="S379" s="334" t="n"/>
      <c r="T379" s="334" t="n"/>
      <c r="U379" s="334" t="n"/>
      <c r="V379" s="334" t="n"/>
      <c r="W379" s="334" t="n"/>
      <c r="X379" s="334" t="n"/>
      <c r="Y379" s="334" t="n"/>
    </row>
    <row r="380" ht="15" customHeight="1" s="195">
      <c r="A380" s="280" t="n"/>
      <c r="B380" s="280" t="n"/>
      <c r="C380" s="280" t="n"/>
      <c r="D380" s="280" t="n"/>
      <c r="E380" s="280" t="n"/>
      <c r="F380" s="280" t="n"/>
      <c r="G380" s="280" t="n"/>
      <c r="H380" s="280" t="n"/>
      <c r="I380" s="332">
        <f>IFERROR(VLOOKUP(TEXT(H380,"0"),IPRESS!$A$3:$B$212,2,0),"")</f>
        <v/>
      </c>
      <c r="J380" s="280" t="n"/>
      <c r="K380" s="332">
        <f>IFERROR(VLOOKUP(TEXT(O380,"0"),CONDUCTORES!$A$3:$G$54,7,0),"")</f>
        <v/>
      </c>
      <c r="L380" s="280" t="n"/>
      <c r="M380" s="280" t="n"/>
      <c r="N380" s="333">
        <f>IFERROR(IF(L380*M380=0,"",L380*M380),"")</f>
        <v/>
      </c>
      <c r="O380" s="280" t="n"/>
      <c r="P380" s="332">
        <f>IFERROR(VLOOKUP(TEXT(O380,"0"),CONDUCTORES!$A$3:$G$54,2,0),"")</f>
        <v/>
      </c>
      <c r="Q380" s="332">
        <f>IFERROR(VLOOKUP(TEXT(O380,"0"),CONDUCTORES!$A$3:$H$54,6,0),"")</f>
        <v/>
      </c>
      <c r="R380" s="280" t="n"/>
      <c r="S380" s="280" t="n"/>
      <c r="T380" s="280" t="n"/>
      <c r="U380" s="280" t="n"/>
      <c r="V380" s="280" t="n"/>
      <c r="W380" s="280" t="n"/>
      <c r="X380" s="280" t="n"/>
      <c r="Y380" s="280" t="n"/>
    </row>
    <row r="381" ht="15" customHeight="1" s="195">
      <c r="A381" s="334" t="n"/>
      <c r="B381" s="334" t="n"/>
      <c r="C381" s="334" t="n"/>
      <c r="D381" s="334" t="n"/>
      <c r="E381" s="334" t="n"/>
      <c r="F381" s="334" t="n"/>
      <c r="G381" s="334" t="n"/>
      <c r="H381" s="334" t="n"/>
      <c r="I381" s="332">
        <f>IFERROR(VLOOKUP(TEXT(H381,"0"),IPRESS!$A$3:$B$212,2,0),"")</f>
        <v/>
      </c>
      <c r="J381" s="334" t="n"/>
      <c r="K381" s="332">
        <f>IFERROR(VLOOKUP(TEXT(O381,"0"),CONDUCTORES!$A$3:$G$54,7,0),"")</f>
        <v/>
      </c>
      <c r="L381" s="334" t="n"/>
      <c r="M381" s="334" t="n"/>
      <c r="N381" s="333">
        <f>IFERROR(IF(L381*M381=0,"",L381*M381),"")</f>
        <v/>
      </c>
      <c r="O381" s="334" t="n"/>
      <c r="P381" s="332">
        <f>IFERROR(VLOOKUP(TEXT(O381,"0"),CONDUCTORES!$A$3:$G$54,2,0),"")</f>
        <v/>
      </c>
      <c r="Q381" s="332">
        <f>IFERROR(VLOOKUP(TEXT(O381,"0"),CONDUCTORES!$A$3:$H$54,6,0),"")</f>
        <v/>
      </c>
      <c r="R381" s="334" t="n"/>
      <c r="S381" s="334" t="n"/>
      <c r="T381" s="334" t="n"/>
      <c r="U381" s="334" t="n"/>
      <c r="V381" s="334" t="n"/>
      <c r="W381" s="334" t="n"/>
      <c r="X381" s="334" t="n"/>
      <c r="Y381" s="334" t="n"/>
    </row>
    <row r="382" ht="15" customHeight="1" s="195">
      <c r="A382" s="280" t="n"/>
      <c r="B382" s="280" t="n"/>
      <c r="C382" s="280" t="n"/>
      <c r="D382" s="280" t="n"/>
      <c r="E382" s="280" t="n"/>
      <c r="F382" s="280" t="n"/>
      <c r="G382" s="280" t="n"/>
      <c r="H382" s="280" t="n"/>
      <c r="I382" s="332">
        <f>IFERROR(VLOOKUP(TEXT(H382,"0"),IPRESS!$A$3:$B$212,2,0),"")</f>
        <v/>
      </c>
      <c r="J382" s="280" t="n"/>
      <c r="K382" s="332">
        <f>IFERROR(VLOOKUP(TEXT(O382,"0"),CONDUCTORES!$A$3:$G$54,7,0),"")</f>
        <v/>
      </c>
      <c r="L382" s="280" t="n"/>
      <c r="M382" s="280" t="n"/>
      <c r="N382" s="333">
        <f>IFERROR(IF(L382*M382=0,"",L382*M382),"")</f>
        <v/>
      </c>
      <c r="O382" s="280" t="n"/>
      <c r="P382" s="332">
        <f>IFERROR(VLOOKUP(TEXT(O382,"0"),CONDUCTORES!$A$3:$G$54,2,0),"")</f>
        <v/>
      </c>
      <c r="Q382" s="332">
        <f>IFERROR(VLOOKUP(TEXT(O382,"0"),CONDUCTORES!$A$3:$H$54,6,0),"")</f>
        <v/>
      </c>
      <c r="R382" s="280" t="n"/>
      <c r="S382" s="280" t="n"/>
      <c r="T382" s="280" t="n"/>
      <c r="U382" s="280" t="n"/>
      <c r="V382" s="280" t="n"/>
      <c r="W382" s="280" t="n"/>
      <c r="X382" s="280" t="n"/>
      <c r="Y382" s="280" t="n"/>
    </row>
    <row r="383" ht="15" customHeight="1" s="195">
      <c r="A383" s="334" t="n"/>
      <c r="B383" s="334" t="n"/>
      <c r="C383" s="334" t="n"/>
      <c r="D383" s="334" t="n"/>
      <c r="E383" s="334" t="n"/>
      <c r="F383" s="334" t="n"/>
      <c r="G383" s="334" t="n"/>
      <c r="H383" s="334" t="n"/>
      <c r="I383" s="332">
        <f>IFERROR(VLOOKUP(TEXT(H383,"0"),IPRESS!$A$3:$B$212,2,0),"")</f>
        <v/>
      </c>
      <c r="J383" s="334" t="n"/>
      <c r="K383" s="332">
        <f>IFERROR(VLOOKUP(TEXT(O383,"0"),CONDUCTORES!$A$3:$G$54,7,0),"")</f>
        <v/>
      </c>
      <c r="L383" s="334" t="n"/>
      <c r="M383" s="334" t="n"/>
      <c r="N383" s="333">
        <f>IFERROR(IF(L383*M383=0,"",L383*M383),"")</f>
        <v/>
      </c>
      <c r="O383" s="334" t="n"/>
      <c r="P383" s="332">
        <f>IFERROR(VLOOKUP(TEXT(O383,"0"),CONDUCTORES!$A$3:$G$54,2,0),"")</f>
        <v/>
      </c>
      <c r="Q383" s="332">
        <f>IFERROR(VLOOKUP(TEXT(O383,"0"),CONDUCTORES!$A$3:$H$54,6,0),"")</f>
        <v/>
      </c>
      <c r="R383" s="334" t="n"/>
      <c r="S383" s="334" t="n"/>
      <c r="T383" s="334" t="n"/>
      <c r="U383" s="334" t="n"/>
      <c r="V383" s="334" t="n"/>
      <c r="W383" s="334" t="n"/>
      <c r="X383" s="334" t="n"/>
      <c r="Y383" s="334" t="n"/>
    </row>
    <row r="384" ht="15" customHeight="1" s="195">
      <c r="A384" s="280" t="n"/>
      <c r="B384" s="280" t="n"/>
      <c r="C384" s="280" t="n"/>
      <c r="D384" s="280" t="n"/>
      <c r="E384" s="280" t="n"/>
      <c r="F384" s="280" t="n"/>
      <c r="G384" s="280" t="n"/>
      <c r="H384" s="280" t="n"/>
      <c r="I384" s="332">
        <f>IFERROR(VLOOKUP(TEXT(H384,"0"),IPRESS!$A$3:$B$212,2,0),"")</f>
        <v/>
      </c>
      <c r="J384" s="280" t="n"/>
      <c r="K384" s="332">
        <f>IFERROR(VLOOKUP(TEXT(O384,"0"),CONDUCTORES!$A$3:$G$54,7,0),"")</f>
        <v/>
      </c>
      <c r="L384" s="280" t="n"/>
      <c r="M384" s="280" t="n"/>
      <c r="N384" s="333">
        <f>IFERROR(IF(L384*M384=0,"",L384*M384),"")</f>
        <v/>
      </c>
      <c r="O384" s="280" t="n"/>
      <c r="P384" s="332">
        <f>IFERROR(VLOOKUP(TEXT(O384,"0"),CONDUCTORES!$A$3:$G$54,2,0),"")</f>
        <v/>
      </c>
      <c r="Q384" s="332">
        <f>IFERROR(VLOOKUP(TEXT(O384,"0"),CONDUCTORES!$A$3:$H$54,6,0),"")</f>
        <v/>
      </c>
      <c r="R384" s="280" t="n"/>
      <c r="S384" s="280" t="n"/>
      <c r="T384" s="280" t="n"/>
      <c r="U384" s="280" t="n"/>
      <c r="V384" s="280" t="n"/>
      <c r="W384" s="280" t="n"/>
      <c r="X384" s="280" t="n"/>
      <c r="Y384" s="280" t="n"/>
    </row>
    <row r="385" ht="15" customHeight="1" s="195">
      <c r="A385" s="334" t="n"/>
      <c r="B385" s="334" t="n"/>
      <c r="C385" s="334" t="n"/>
      <c r="D385" s="334" t="n"/>
      <c r="E385" s="334" t="n"/>
      <c r="F385" s="334" t="n"/>
      <c r="G385" s="334" t="n"/>
      <c r="H385" s="334" t="n"/>
      <c r="I385" s="332">
        <f>IFERROR(VLOOKUP(TEXT(H385,"0"),IPRESS!$A$3:$B$212,2,0),"")</f>
        <v/>
      </c>
      <c r="J385" s="334" t="n"/>
      <c r="K385" s="332">
        <f>IFERROR(VLOOKUP(TEXT(O385,"0"),CONDUCTORES!$A$3:$G$54,7,0),"")</f>
        <v/>
      </c>
      <c r="L385" s="334" t="n"/>
      <c r="M385" s="334" t="n"/>
      <c r="N385" s="333">
        <f>IFERROR(IF(L385*M385=0,"",L385*M385),"")</f>
        <v/>
      </c>
      <c r="O385" s="334" t="n"/>
      <c r="P385" s="332">
        <f>IFERROR(VLOOKUP(TEXT(O385,"0"),CONDUCTORES!$A$3:$G$54,2,0),"")</f>
        <v/>
      </c>
      <c r="Q385" s="332">
        <f>IFERROR(VLOOKUP(TEXT(O385,"0"),CONDUCTORES!$A$3:$H$54,6,0),"")</f>
        <v/>
      </c>
      <c r="R385" s="334" t="n"/>
      <c r="S385" s="334" t="n"/>
      <c r="T385" s="334" t="n"/>
      <c r="U385" s="334" t="n"/>
      <c r="V385" s="334" t="n"/>
      <c r="W385" s="334" t="n"/>
      <c r="X385" s="334" t="n"/>
      <c r="Y385" s="334" t="n"/>
    </row>
    <row r="386" ht="15" customHeight="1" s="195">
      <c r="A386" s="280" t="n"/>
      <c r="B386" s="280" t="n"/>
      <c r="C386" s="280" t="n"/>
      <c r="D386" s="280" t="n"/>
      <c r="E386" s="280" t="n"/>
      <c r="F386" s="280" t="n"/>
      <c r="G386" s="280" t="n"/>
      <c r="H386" s="280" t="n"/>
      <c r="I386" s="332">
        <f>IFERROR(VLOOKUP(TEXT(H386,"0"),IPRESS!$A$3:$B$212,2,0),"")</f>
        <v/>
      </c>
      <c r="J386" s="280" t="n"/>
      <c r="K386" s="332">
        <f>IFERROR(VLOOKUP(TEXT(O386,"0"),CONDUCTORES!$A$3:$G$54,7,0),"")</f>
        <v/>
      </c>
      <c r="L386" s="280" t="n"/>
      <c r="M386" s="280" t="n"/>
      <c r="N386" s="333">
        <f>IFERROR(IF(L386*M386=0,"",L386*M386),"")</f>
        <v/>
      </c>
      <c r="O386" s="280" t="n"/>
      <c r="P386" s="332">
        <f>IFERROR(VLOOKUP(TEXT(O386,"0"),CONDUCTORES!$A$3:$G$54,2,0),"")</f>
        <v/>
      </c>
      <c r="Q386" s="332">
        <f>IFERROR(VLOOKUP(TEXT(O386,"0"),CONDUCTORES!$A$3:$H$54,6,0),"")</f>
        <v/>
      </c>
      <c r="R386" s="280" t="n"/>
      <c r="S386" s="280" t="n"/>
      <c r="T386" s="280" t="n"/>
      <c r="U386" s="280" t="n"/>
      <c r="V386" s="280" t="n"/>
      <c r="W386" s="280" t="n"/>
      <c r="X386" s="280" t="n"/>
      <c r="Y386" s="280" t="n"/>
    </row>
    <row r="387" ht="15" customHeight="1" s="195">
      <c r="A387" s="334" t="n"/>
      <c r="B387" s="334" t="n"/>
      <c r="C387" s="334" t="n"/>
      <c r="D387" s="334" t="n"/>
      <c r="E387" s="334" t="n"/>
      <c r="F387" s="334" t="n"/>
      <c r="G387" s="334" t="n"/>
      <c r="H387" s="334" t="n"/>
      <c r="I387" s="332">
        <f>IFERROR(VLOOKUP(TEXT(H387,"0"),IPRESS!$A$3:$B$212,2,0),"")</f>
        <v/>
      </c>
      <c r="J387" s="334" t="n"/>
      <c r="K387" s="332">
        <f>IFERROR(VLOOKUP(TEXT(O387,"0"),CONDUCTORES!$A$3:$G$54,7,0),"")</f>
        <v/>
      </c>
      <c r="L387" s="334" t="n"/>
      <c r="M387" s="334" t="n"/>
      <c r="N387" s="333">
        <f>IFERROR(IF(L387*M387=0,"",L387*M387),"")</f>
        <v/>
      </c>
      <c r="O387" s="334" t="n"/>
      <c r="P387" s="332">
        <f>IFERROR(VLOOKUP(TEXT(O387,"0"),CONDUCTORES!$A$3:$G$54,2,0),"")</f>
        <v/>
      </c>
      <c r="Q387" s="332">
        <f>IFERROR(VLOOKUP(TEXT(O387,"0"),CONDUCTORES!$A$3:$H$54,6,0),"")</f>
        <v/>
      </c>
      <c r="R387" s="334" t="n"/>
      <c r="S387" s="334" t="n"/>
      <c r="T387" s="334" t="n"/>
      <c r="U387" s="334" t="n"/>
      <c r="V387" s="334" t="n"/>
      <c r="W387" s="334" t="n"/>
      <c r="X387" s="334" t="n"/>
      <c r="Y387" s="334" t="n"/>
    </row>
    <row r="388" ht="15" customHeight="1" s="195">
      <c r="A388" s="280" t="n"/>
      <c r="B388" s="280" t="n"/>
      <c r="C388" s="280" t="n"/>
      <c r="D388" s="280" t="n"/>
      <c r="E388" s="280" t="n"/>
      <c r="F388" s="280" t="n"/>
      <c r="G388" s="280" t="n"/>
      <c r="H388" s="280" t="n"/>
      <c r="I388" s="332">
        <f>IFERROR(VLOOKUP(TEXT(H388,"0"),IPRESS!$A$3:$B$212,2,0),"")</f>
        <v/>
      </c>
      <c r="J388" s="280" t="n"/>
      <c r="K388" s="332">
        <f>IFERROR(VLOOKUP(TEXT(O388,"0"),CONDUCTORES!$A$3:$G$54,7,0),"")</f>
        <v/>
      </c>
      <c r="L388" s="280" t="n"/>
      <c r="M388" s="280" t="n"/>
      <c r="N388" s="333">
        <f>IFERROR(IF(L388*M388=0,"",L388*M388),"")</f>
        <v/>
      </c>
      <c r="O388" s="280" t="n"/>
      <c r="P388" s="332">
        <f>IFERROR(VLOOKUP(TEXT(O388,"0"),CONDUCTORES!$A$3:$G$54,2,0),"")</f>
        <v/>
      </c>
      <c r="Q388" s="332">
        <f>IFERROR(VLOOKUP(TEXT(O388,"0"),CONDUCTORES!$A$3:$H$54,6,0),"")</f>
        <v/>
      </c>
      <c r="R388" s="280" t="n"/>
      <c r="S388" s="280" t="n"/>
      <c r="T388" s="280" t="n"/>
      <c r="U388" s="280" t="n"/>
      <c r="V388" s="280" t="n"/>
      <c r="W388" s="280" t="n"/>
      <c r="X388" s="280" t="n"/>
      <c r="Y388" s="280" t="n"/>
    </row>
    <row r="389" ht="15" customHeight="1" s="195">
      <c r="A389" s="334" t="n"/>
      <c r="B389" s="334" t="n"/>
      <c r="C389" s="334" t="n"/>
      <c r="D389" s="334" t="n"/>
      <c r="E389" s="334" t="n"/>
      <c r="F389" s="334" t="n"/>
      <c r="G389" s="334" t="n"/>
      <c r="H389" s="334" t="n"/>
      <c r="I389" s="332">
        <f>IFERROR(VLOOKUP(TEXT(H389,"0"),IPRESS!$A$3:$B$212,2,0),"")</f>
        <v/>
      </c>
      <c r="J389" s="334" t="n"/>
      <c r="K389" s="332">
        <f>IFERROR(VLOOKUP(TEXT(O389,"0"),CONDUCTORES!$A$3:$G$54,7,0),"")</f>
        <v/>
      </c>
      <c r="L389" s="334" t="n"/>
      <c r="M389" s="334" t="n"/>
      <c r="N389" s="333">
        <f>IFERROR(IF(L389*M389=0,"",L389*M389),"")</f>
        <v/>
      </c>
      <c r="O389" s="334" t="n"/>
      <c r="P389" s="332">
        <f>IFERROR(VLOOKUP(TEXT(O389,"0"),CONDUCTORES!$A$3:$G$54,2,0),"")</f>
        <v/>
      </c>
      <c r="Q389" s="332">
        <f>IFERROR(VLOOKUP(TEXT(O389,"0"),CONDUCTORES!$A$3:$H$54,6,0),"")</f>
        <v/>
      </c>
      <c r="R389" s="334" t="n"/>
      <c r="S389" s="334" t="n"/>
      <c r="T389" s="334" t="n"/>
      <c r="U389" s="334" t="n"/>
      <c r="V389" s="334" t="n"/>
      <c r="W389" s="334" t="n"/>
      <c r="X389" s="334" t="n"/>
      <c r="Y389" s="334" t="n"/>
    </row>
    <row r="390" ht="15" customHeight="1" s="195">
      <c r="A390" s="280" t="n"/>
      <c r="B390" s="280" t="n"/>
      <c r="C390" s="280" t="n"/>
      <c r="D390" s="280" t="n"/>
      <c r="E390" s="280" t="n"/>
      <c r="F390" s="280" t="n"/>
      <c r="G390" s="280" t="n"/>
      <c r="H390" s="280" t="n"/>
      <c r="I390" s="332">
        <f>IFERROR(VLOOKUP(TEXT(H390,"0"),IPRESS!$A$3:$B$212,2,0),"")</f>
        <v/>
      </c>
      <c r="J390" s="280" t="n"/>
      <c r="K390" s="332">
        <f>IFERROR(VLOOKUP(TEXT(O390,"0"),CONDUCTORES!$A$3:$G$54,7,0),"")</f>
        <v/>
      </c>
      <c r="L390" s="280" t="n"/>
      <c r="M390" s="280" t="n"/>
      <c r="N390" s="333">
        <f>IFERROR(IF(L390*M390=0,"",L390*M390),"")</f>
        <v/>
      </c>
      <c r="O390" s="280" t="n"/>
      <c r="P390" s="332">
        <f>IFERROR(VLOOKUP(TEXT(O390,"0"),CONDUCTORES!$A$3:$G$54,2,0),"")</f>
        <v/>
      </c>
      <c r="Q390" s="332">
        <f>IFERROR(VLOOKUP(TEXT(O390,"0"),CONDUCTORES!$A$3:$H$54,6,0),"")</f>
        <v/>
      </c>
      <c r="R390" s="280" t="n"/>
      <c r="S390" s="280" t="n"/>
      <c r="T390" s="280" t="n"/>
      <c r="U390" s="280" t="n"/>
      <c r="V390" s="280" t="n"/>
      <c r="W390" s="280" t="n"/>
      <c r="X390" s="280" t="n"/>
      <c r="Y390" s="280" t="n"/>
    </row>
    <row r="391" ht="15" customHeight="1" s="195">
      <c r="A391" s="334" t="n"/>
      <c r="B391" s="334" t="n"/>
      <c r="C391" s="334" t="n"/>
      <c r="D391" s="334" t="n"/>
      <c r="E391" s="334" t="n"/>
      <c r="F391" s="334" t="n"/>
      <c r="G391" s="334" t="n"/>
      <c r="H391" s="334" t="n"/>
      <c r="I391" s="332">
        <f>IFERROR(VLOOKUP(TEXT(H391,"0"),IPRESS!$A$3:$B$212,2,0),"")</f>
        <v/>
      </c>
      <c r="J391" s="334" t="n"/>
      <c r="K391" s="332">
        <f>IFERROR(VLOOKUP(TEXT(O391,"0"),CONDUCTORES!$A$3:$G$54,7,0),"")</f>
        <v/>
      </c>
      <c r="L391" s="334" t="n"/>
      <c r="M391" s="334" t="n"/>
      <c r="N391" s="333">
        <f>IFERROR(IF(L391*M391=0,"",L391*M391),"")</f>
        <v/>
      </c>
      <c r="O391" s="334" t="n"/>
      <c r="P391" s="332">
        <f>IFERROR(VLOOKUP(TEXT(O391,"0"),CONDUCTORES!$A$3:$G$54,2,0),"")</f>
        <v/>
      </c>
      <c r="Q391" s="332">
        <f>IFERROR(VLOOKUP(TEXT(O391,"0"),CONDUCTORES!$A$3:$H$54,6,0),"")</f>
        <v/>
      </c>
      <c r="R391" s="334" t="n"/>
      <c r="S391" s="334" t="n"/>
      <c r="T391" s="334" t="n"/>
      <c r="U391" s="334" t="n"/>
      <c r="V391" s="334" t="n"/>
      <c r="W391" s="334" t="n"/>
      <c r="X391" s="334" t="n"/>
      <c r="Y391" s="334" t="n"/>
    </row>
    <row r="392" ht="15" customHeight="1" s="195">
      <c r="A392" s="280" t="n"/>
      <c r="B392" s="280" t="n"/>
      <c r="C392" s="280" t="n"/>
      <c r="D392" s="280" t="n"/>
      <c r="E392" s="280" t="n"/>
      <c r="F392" s="280" t="n"/>
      <c r="G392" s="280" t="n"/>
      <c r="H392" s="280" t="n"/>
      <c r="I392" s="332">
        <f>IFERROR(VLOOKUP(TEXT(H392,"0"),IPRESS!$A$3:$B$212,2,0),"")</f>
        <v/>
      </c>
      <c r="J392" s="280" t="n"/>
      <c r="K392" s="332">
        <f>IFERROR(VLOOKUP(TEXT(O392,"0"),CONDUCTORES!$A$3:$G$54,7,0),"")</f>
        <v/>
      </c>
      <c r="L392" s="280" t="n"/>
      <c r="M392" s="280" t="n"/>
      <c r="N392" s="333">
        <f>IFERROR(IF(L392*M392=0,"",L392*M392),"")</f>
        <v/>
      </c>
      <c r="O392" s="280" t="n"/>
      <c r="P392" s="332">
        <f>IFERROR(VLOOKUP(TEXT(O392,"0"),CONDUCTORES!$A$3:$G$54,2,0),"")</f>
        <v/>
      </c>
      <c r="Q392" s="332">
        <f>IFERROR(VLOOKUP(TEXT(O392,"0"),CONDUCTORES!$A$3:$H$54,6,0),"")</f>
        <v/>
      </c>
      <c r="R392" s="280" t="n"/>
      <c r="S392" s="280" t="n"/>
      <c r="T392" s="280" t="n"/>
      <c r="U392" s="280" t="n"/>
      <c r="V392" s="280" t="n"/>
      <c r="W392" s="280" t="n"/>
      <c r="X392" s="280" t="n"/>
      <c r="Y392" s="280" t="n"/>
    </row>
    <row r="393" ht="15" customHeight="1" s="195">
      <c r="A393" s="334" t="n"/>
      <c r="B393" s="334" t="n"/>
      <c r="C393" s="334" t="n"/>
      <c r="D393" s="334" t="n"/>
      <c r="E393" s="334" t="n"/>
      <c r="F393" s="334" t="n"/>
      <c r="G393" s="334" t="n"/>
      <c r="H393" s="334" t="n"/>
      <c r="I393" s="332">
        <f>IFERROR(VLOOKUP(TEXT(H393,"0"),IPRESS!$A$3:$B$212,2,0),"")</f>
        <v/>
      </c>
      <c r="J393" s="334" t="n"/>
      <c r="K393" s="332">
        <f>IFERROR(VLOOKUP(TEXT(O393,"0"),CONDUCTORES!$A$3:$G$54,7,0),"")</f>
        <v/>
      </c>
      <c r="L393" s="334" t="n"/>
      <c r="M393" s="334" t="n"/>
      <c r="N393" s="333">
        <f>IFERROR(IF(L393*M393=0,"",L393*M393),"")</f>
        <v/>
      </c>
      <c r="O393" s="334" t="n"/>
      <c r="P393" s="332">
        <f>IFERROR(VLOOKUP(TEXT(O393,"0"),CONDUCTORES!$A$3:$G$54,2,0),"")</f>
        <v/>
      </c>
      <c r="Q393" s="332">
        <f>IFERROR(VLOOKUP(TEXT(O393,"0"),CONDUCTORES!$A$3:$H$54,6,0),"")</f>
        <v/>
      </c>
      <c r="R393" s="334" t="n"/>
      <c r="S393" s="334" t="n"/>
      <c r="T393" s="334" t="n"/>
      <c r="U393" s="334" t="n"/>
      <c r="V393" s="334" t="n"/>
      <c r="W393" s="334" t="n"/>
      <c r="X393" s="334" t="n"/>
      <c r="Y393" s="334" t="n"/>
    </row>
    <row r="394" ht="15" customHeight="1" s="195">
      <c r="A394" s="280" t="n"/>
      <c r="B394" s="280" t="n"/>
      <c r="C394" s="280" t="n"/>
      <c r="D394" s="280" t="n"/>
      <c r="E394" s="280" t="n"/>
      <c r="F394" s="280" t="n"/>
      <c r="G394" s="280" t="n"/>
      <c r="H394" s="280" t="n"/>
      <c r="I394" s="332">
        <f>IFERROR(VLOOKUP(TEXT(H394,"0"),IPRESS!$A$3:$B$212,2,0),"")</f>
        <v/>
      </c>
      <c r="J394" s="280" t="n"/>
      <c r="K394" s="332">
        <f>IFERROR(VLOOKUP(TEXT(O394,"0"),CONDUCTORES!$A$3:$G$54,7,0),"")</f>
        <v/>
      </c>
      <c r="L394" s="280" t="n"/>
      <c r="M394" s="280" t="n"/>
      <c r="N394" s="333">
        <f>IFERROR(IF(L394*M394=0,"",L394*M394),"")</f>
        <v/>
      </c>
      <c r="O394" s="280" t="n"/>
      <c r="P394" s="332">
        <f>IFERROR(VLOOKUP(TEXT(O394,"0"),CONDUCTORES!$A$3:$G$54,2,0),"")</f>
        <v/>
      </c>
      <c r="Q394" s="332">
        <f>IFERROR(VLOOKUP(TEXT(O394,"0"),CONDUCTORES!$A$3:$H$54,6,0),"")</f>
        <v/>
      </c>
      <c r="R394" s="280" t="n"/>
      <c r="S394" s="280" t="n"/>
      <c r="T394" s="280" t="n"/>
      <c r="U394" s="280" t="n"/>
      <c r="V394" s="280" t="n"/>
      <c r="W394" s="280" t="n"/>
      <c r="X394" s="280" t="n"/>
      <c r="Y394" s="280" t="n"/>
    </row>
    <row r="395" ht="15" customHeight="1" s="195">
      <c r="A395" s="334" t="n"/>
      <c r="B395" s="334" t="n"/>
      <c r="C395" s="334" t="n"/>
      <c r="D395" s="334" t="n"/>
      <c r="E395" s="334" t="n"/>
      <c r="F395" s="334" t="n"/>
      <c r="G395" s="334" t="n"/>
      <c r="H395" s="334" t="n"/>
      <c r="I395" s="332">
        <f>IFERROR(VLOOKUP(TEXT(H395,"0"),IPRESS!$A$3:$B$212,2,0),"")</f>
        <v/>
      </c>
      <c r="J395" s="334" t="n"/>
      <c r="K395" s="332">
        <f>IFERROR(VLOOKUP(TEXT(O395,"0"),CONDUCTORES!$A$3:$G$54,7,0),"")</f>
        <v/>
      </c>
      <c r="L395" s="334" t="n"/>
      <c r="M395" s="334" t="n"/>
      <c r="N395" s="333">
        <f>IFERROR(IF(L395*M395=0,"",L395*M395),"")</f>
        <v/>
      </c>
      <c r="O395" s="334" t="n"/>
      <c r="P395" s="332">
        <f>IFERROR(VLOOKUP(TEXT(O395,"0"),CONDUCTORES!$A$3:$G$54,2,0),"")</f>
        <v/>
      </c>
      <c r="Q395" s="332">
        <f>IFERROR(VLOOKUP(TEXT(O395,"0"),CONDUCTORES!$A$3:$H$54,6,0),"")</f>
        <v/>
      </c>
      <c r="R395" s="334" t="n"/>
      <c r="S395" s="334" t="n"/>
      <c r="T395" s="334" t="n"/>
      <c r="U395" s="334" t="n"/>
      <c r="V395" s="334" t="n"/>
      <c r="W395" s="334" t="n"/>
      <c r="X395" s="334" t="n"/>
      <c r="Y395" s="334" t="n"/>
    </row>
    <row r="396" ht="15" customHeight="1" s="195">
      <c r="A396" s="280" t="n"/>
      <c r="B396" s="280" t="n"/>
      <c r="C396" s="280" t="n"/>
      <c r="D396" s="280" t="n"/>
      <c r="E396" s="280" t="n"/>
      <c r="F396" s="280" t="n"/>
      <c r="G396" s="280" t="n"/>
      <c r="H396" s="280" t="n"/>
      <c r="I396" s="332">
        <f>IFERROR(VLOOKUP(TEXT(H396,"0"),IPRESS!$A$3:$B$212,2,0),"")</f>
        <v/>
      </c>
      <c r="J396" s="280" t="n"/>
      <c r="K396" s="332">
        <f>IFERROR(VLOOKUP(TEXT(O396,"0"),CONDUCTORES!$A$3:$G$54,7,0),"")</f>
        <v/>
      </c>
      <c r="L396" s="280" t="n"/>
      <c r="M396" s="280" t="n"/>
      <c r="N396" s="333">
        <f>IFERROR(IF(L396*M396=0,"",L396*M396),"")</f>
        <v/>
      </c>
      <c r="O396" s="280" t="n"/>
      <c r="P396" s="332">
        <f>IFERROR(VLOOKUP(TEXT(O396,"0"),CONDUCTORES!$A$3:$G$54,2,0),"")</f>
        <v/>
      </c>
      <c r="Q396" s="332">
        <f>IFERROR(VLOOKUP(TEXT(O396,"0"),CONDUCTORES!$A$3:$H$54,6,0),"")</f>
        <v/>
      </c>
      <c r="R396" s="280" t="n"/>
      <c r="S396" s="280" t="n"/>
      <c r="T396" s="280" t="n"/>
      <c r="U396" s="280" t="n"/>
      <c r="V396" s="280" t="n"/>
      <c r="W396" s="280" t="n"/>
      <c r="X396" s="280" t="n"/>
      <c r="Y396" s="280" t="n"/>
    </row>
    <row r="397" ht="15" customHeight="1" s="195">
      <c r="A397" s="334" t="n"/>
      <c r="B397" s="334" t="n"/>
      <c r="C397" s="334" t="n"/>
      <c r="D397" s="334" t="n"/>
      <c r="E397" s="334" t="n"/>
      <c r="F397" s="334" t="n"/>
      <c r="G397" s="334" t="n"/>
      <c r="H397" s="334" t="n"/>
      <c r="I397" s="332">
        <f>IFERROR(VLOOKUP(TEXT(H397,"0"),IPRESS!$A$3:$B$212,2,0),"")</f>
        <v/>
      </c>
      <c r="J397" s="334" t="n"/>
      <c r="K397" s="332">
        <f>IFERROR(VLOOKUP(TEXT(O397,"0"),CONDUCTORES!$A$3:$G$54,7,0),"")</f>
        <v/>
      </c>
      <c r="L397" s="334" t="n"/>
      <c r="M397" s="334" t="n"/>
      <c r="N397" s="333">
        <f>IFERROR(IF(L397*M397=0,"",L397*M397),"")</f>
        <v/>
      </c>
      <c r="O397" s="334" t="n"/>
      <c r="P397" s="332">
        <f>IFERROR(VLOOKUP(TEXT(O397,"0"),CONDUCTORES!$A$3:$G$54,2,0),"")</f>
        <v/>
      </c>
      <c r="Q397" s="332">
        <f>IFERROR(VLOOKUP(TEXT(O397,"0"),CONDUCTORES!$A$3:$H$54,6,0),"")</f>
        <v/>
      </c>
      <c r="R397" s="334" t="n"/>
      <c r="S397" s="334" t="n"/>
      <c r="T397" s="334" t="n"/>
      <c r="U397" s="334" t="n"/>
      <c r="V397" s="334" t="n"/>
      <c r="W397" s="334" t="n"/>
      <c r="X397" s="334" t="n"/>
      <c r="Y397" s="334" t="n"/>
    </row>
    <row r="398" ht="15" customHeight="1" s="195">
      <c r="A398" s="280" t="n"/>
      <c r="B398" s="280" t="n"/>
      <c r="C398" s="280" t="n"/>
      <c r="D398" s="280" t="n"/>
      <c r="E398" s="280" t="n"/>
      <c r="F398" s="280" t="n"/>
      <c r="G398" s="280" t="n"/>
      <c r="H398" s="280" t="n"/>
      <c r="I398" s="332">
        <f>IFERROR(VLOOKUP(TEXT(H398,"0"),IPRESS!$A$3:$B$212,2,0),"")</f>
        <v/>
      </c>
      <c r="J398" s="280" t="n"/>
      <c r="K398" s="332">
        <f>IFERROR(VLOOKUP(TEXT(O398,"0"),CONDUCTORES!$A$3:$G$54,7,0),"")</f>
        <v/>
      </c>
      <c r="L398" s="280" t="n"/>
      <c r="M398" s="280" t="n"/>
      <c r="N398" s="333">
        <f>IFERROR(IF(L398*M398=0,"",L398*M398),"")</f>
        <v/>
      </c>
      <c r="O398" s="280" t="n"/>
      <c r="P398" s="332">
        <f>IFERROR(VLOOKUP(TEXT(O398,"0"),CONDUCTORES!$A$3:$G$54,2,0),"")</f>
        <v/>
      </c>
      <c r="Q398" s="332">
        <f>IFERROR(VLOOKUP(TEXT(O398,"0"),CONDUCTORES!$A$3:$H$54,6,0),"")</f>
        <v/>
      </c>
      <c r="R398" s="280" t="n"/>
      <c r="S398" s="280" t="n"/>
      <c r="T398" s="280" t="n"/>
      <c r="U398" s="280" t="n"/>
      <c r="V398" s="280" t="n"/>
      <c r="W398" s="280" t="n"/>
      <c r="X398" s="280" t="n"/>
      <c r="Y398" s="280" t="n"/>
    </row>
    <row r="399" ht="15" customHeight="1" s="195">
      <c r="A399" s="334" t="n"/>
      <c r="B399" s="334" t="n"/>
      <c r="C399" s="334" t="n"/>
      <c r="D399" s="334" t="n"/>
      <c r="E399" s="334" t="n"/>
      <c r="F399" s="334" t="n"/>
      <c r="G399" s="334" t="n"/>
      <c r="H399" s="334" t="n"/>
      <c r="I399" s="332">
        <f>IFERROR(VLOOKUP(TEXT(H399,"0"),IPRESS!$A$3:$B$212,2,0),"")</f>
        <v/>
      </c>
      <c r="J399" s="334" t="n"/>
      <c r="K399" s="332">
        <f>IFERROR(VLOOKUP(TEXT(O399,"0"),CONDUCTORES!$A$3:$G$54,7,0),"")</f>
        <v/>
      </c>
      <c r="L399" s="334" t="n"/>
      <c r="M399" s="334" t="n"/>
      <c r="N399" s="333">
        <f>IFERROR(IF(L399*M399=0,"",L399*M399),"")</f>
        <v/>
      </c>
      <c r="O399" s="334" t="n"/>
      <c r="P399" s="332">
        <f>IFERROR(VLOOKUP(TEXT(O399,"0"),CONDUCTORES!$A$3:$G$54,2,0),"")</f>
        <v/>
      </c>
      <c r="Q399" s="332">
        <f>IFERROR(VLOOKUP(TEXT(O399,"0"),CONDUCTORES!$A$3:$H$54,6,0),"")</f>
        <v/>
      </c>
      <c r="R399" s="334" t="n"/>
      <c r="S399" s="334" t="n"/>
      <c r="T399" s="334" t="n"/>
      <c r="U399" s="334" t="n"/>
      <c r="V399" s="334" t="n"/>
      <c r="W399" s="334" t="n"/>
      <c r="X399" s="334" t="n"/>
      <c r="Y399" s="334" t="n"/>
    </row>
    <row r="400" ht="15" customHeight="1" s="195">
      <c r="A400" s="280" t="n"/>
      <c r="B400" s="280" t="n"/>
      <c r="C400" s="280" t="n"/>
      <c r="D400" s="280" t="n"/>
      <c r="E400" s="280" t="n"/>
      <c r="F400" s="280" t="n"/>
      <c r="G400" s="280" t="n"/>
      <c r="H400" s="280" t="n"/>
      <c r="I400" s="332">
        <f>IFERROR(VLOOKUP(TEXT(H400,"0"),IPRESS!$A$3:$B$212,2,0),"")</f>
        <v/>
      </c>
      <c r="J400" s="280" t="n"/>
      <c r="K400" s="332">
        <f>IFERROR(VLOOKUP(TEXT(O400,"0"),CONDUCTORES!$A$3:$G$54,7,0),"")</f>
        <v/>
      </c>
      <c r="L400" s="280" t="n"/>
      <c r="M400" s="280" t="n"/>
      <c r="N400" s="333">
        <f>IFERROR(IF(L400*M400=0,"",L400*M400),"")</f>
        <v/>
      </c>
      <c r="O400" s="280" t="n"/>
      <c r="P400" s="332">
        <f>IFERROR(VLOOKUP(TEXT(O400,"0"),CONDUCTORES!$A$3:$G$54,2,0),"")</f>
        <v/>
      </c>
      <c r="Q400" s="332">
        <f>IFERROR(VLOOKUP(TEXT(O400,"0"),CONDUCTORES!$A$3:$H$54,6,0),"")</f>
        <v/>
      </c>
      <c r="R400" s="280" t="n"/>
      <c r="S400" s="280" t="n"/>
      <c r="T400" s="280" t="n"/>
      <c r="U400" s="280" t="n"/>
      <c r="V400" s="280" t="n"/>
      <c r="W400" s="280" t="n"/>
      <c r="X400" s="280" t="n"/>
      <c r="Y400" s="280" t="n"/>
    </row>
    <row r="401" ht="15" customHeight="1" s="195">
      <c r="A401" s="334" t="n"/>
      <c r="B401" s="334" t="n"/>
      <c r="C401" s="334" t="n"/>
      <c r="D401" s="334" t="n"/>
      <c r="E401" s="334" t="n"/>
      <c r="F401" s="334" t="n"/>
      <c r="G401" s="334" t="n"/>
      <c r="H401" s="334" t="n"/>
      <c r="I401" s="332">
        <f>IFERROR(VLOOKUP(TEXT(H401,"0"),IPRESS!$A$3:$B$212,2,0),"")</f>
        <v/>
      </c>
      <c r="J401" s="334" t="n"/>
      <c r="K401" s="332">
        <f>IFERROR(VLOOKUP(TEXT(O401,"0"),CONDUCTORES!$A$3:$G$54,7,0),"")</f>
        <v/>
      </c>
      <c r="L401" s="334" t="n"/>
      <c r="M401" s="334" t="n"/>
      <c r="N401" s="333">
        <f>IFERROR(IF(L401*M401=0,"",L401*M401),"")</f>
        <v/>
      </c>
      <c r="O401" s="334" t="n"/>
      <c r="P401" s="332">
        <f>IFERROR(VLOOKUP(TEXT(O401,"0"),CONDUCTORES!$A$3:$G$54,2,0),"")</f>
        <v/>
      </c>
      <c r="Q401" s="332">
        <f>IFERROR(VLOOKUP(TEXT(O401,"0"),CONDUCTORES!$A$3:$H$54,6,0),"")</f>
        <v/>
      </c>
      <c r="R401" s="334" t="n"/>
      <c r="S401" s="334" t="n"/>
      <c r="T401" s="334" t="n"/>
      <c r="U401" s="334" t="n"/>
      <c r="V401" s="334" t="n"/>
      <c r="W401" s="334" t="n"/>
      <c r="X401" s="334" t="n"/>
      <c r="Y401" s="334" t="n"/>
    </row>
    <row r="402" ht="15" customHeight="1" s="195">
      <c r="A402" s="280" t="n"/>
      <c r="B402" s="280" t="n"/>
      <c r="C402" s="280" t="n"/>
      <c r="D402" s="280" t="n"/>
      <c r="E402" s="280" t="n"/>
      <c r="F402" s="280" t="n"/>
      <c r="G402" s="280" t="n"/>
      <c r="H402" s="280" t="n"/>
      <c r="I402" s="332">
        <f>IFERROR(VLOOKUP(TEXT(H402,"0"),IPRESS!$A$3:$B$212,2,0),"")</f>
        <v/>
      </c>
      <c r="J402" s="280" t="n"/>
      <c r="K402" s="332">
        <f>IFERROR(VLOOKUP(TEXT(O402,"0"),CONDUCTORES!$A$3:$G$54,7,0),"")</f>
        <v/>
      </c>
      <c r="L402" s="280" t="n"/>
      <c r="M402" s="280" t="n"/>
      <c r="N402" s="333">
        <f>IFERROR(IF(L402*M402=0,"",L402*M402),"")</f>
        <v/>
      </c>
      <c r="O402" s="280" t="n"/>
      <c r="P402" s="332">
        <f>IFERROR(VLOOKUP(TEXT(O402,"0"),CONDUCTORES!$A$3:$G$54,2,0),"")</f>
        <v/>
      </c>
      <c r="Q402" s="332">
        <f>IFERROR(VLOOKUP(TEXT(O402,"0"),CONDUCTORES!$A$3:$H$54,6,0),"")</f>
        <v/>
      </c>
      <c r="R402" s="280" t="n"/>
      <c r="S402" s="280" t="n"/>
      <c r="T402" s="280" t="n"/>
      <c r="U402" s="280" t="n"/>
      <c r="V402" s="280" t="n"/>
      <c r="W402" s="280" t="n"/>
      <c r="X402" s="280" t="n"/>
      <c r="Y402" s="280" t="n"/>
    </row>
    <row r="403" ht="15" customHeight="1" s="195">
      <c r="A403" s="334" t="n"/>
      <c r="B403" s="334" t="n"/>
      <c r="C403" s="334" t="n"/>
      <c r="D403" s="334" t="n"/>
      <c r="E403" s="334" t="n"/>
      <c r="F403" s="334" t="n"/>
      <c r="G403" s="334" t="n"/>
      <c r="H403" s="334" t="n"/>
      <c r="I403" s="332">
        <f>IFERROR(VLOOKUP(TEXT(H403,"0"),IPRESS!$A$3:$B$212,2,0),"")</f>
        <v/>
      </c>
      <c r="J403" s="334" t="n"/>
      <c r="K403" s="332">
        <f>IFERROR(VLOOKUP(TEXT(O403,"0"),CONDUCTORES!$A$3:$G$54,7,0),"")</f>
        <v/>
      </c>
      <c r="L403" s="334" t="n"/>
      <c r="M403" s="334" t="n"/>
      <c r="N403" s="333">
        <f>IFERROR(IF(L403*M403=0,"",L403*M403),"")</f>
        <v/>
      </c>
      <c r="O403" s="334" t="n"/>
      <c r="P403" s="332">
        <f>IFERROR(VLOOKUP(TEXT(O403,"0"),CONDUCTORES!$A$3:$G$54,2,0),"")</f>
        <v/>
      </c>
      <c r="Q403" s="332">
        <f>IFERROR(VLOOKUP(TEXT(O403,"0"),CONDUCTORES!$A$3:$H$54,6,0),"")</f>
        <v/>
      </c>
      <c r="R403" s="334" t="n"/>
      <c r="S403" s="334" t="n"/>
      <c r="T403" s="334" t="n"/>
      <c r="U403" s="334" t="n"/>
      <c r="V403" s="334" t="n"/>
      <c r="W403" s="334" t="n"/>
      <c r="X403" s="334" t="n"/>
      <c r="Y403" s="334" t="n"/>
    </row>
    <row r="404" ht="15" customHeight="1" s="195">
      <c r="A404" s="280" t="n"/>
      <c r="B404" s="280" t="n"/>
      <c r="C404" s="280" t="n"/>
      <c r="D404" s="280" t="n"/>
      <c r="E404" s="280" t="n"/>
      <c r="F404" s="280" t="n"/>
      <c r="G404" s="280" t="n"/>
      <c r="H404" s="280" t="n"/>
      <c r="I404" s="332">
        <f>IFERROR(VLOOKUP(TEXT(H404,"0"),IPRESS!$A$3:$B$212,2,0),"")</f>
        <v/>
      </c>
      <c r="J404" s="280" t="n"/>
      <c r="K404" s="332">
        <f>IFERROR(VLOOKUP(TEXT(O404,"0"),CONDUCTORES!$A$3:$G$54,7,0),"")</f>
        <v/>
      </c>
      <c r="L404" s="280" t="n"/>
      <c r="M404" s="280" t="n"/>
      <c r="N404" s="333">
        <f>IFERROR(IF(L404*M404=0,"",L404*M404),"")</f>
        <v/>
      </c>
      <c r="O404" s="280" t="n"/>
      <c r="P404" s="332">
        <f>IFERROR(VLOOKUP(TEXT(O404,"0"),CONDUCTORES!$A$3:$G$54,2,0),"")</f>
        <v/>
      </c>
      <c r="Q404" s="332">
        <f>IFERROR(VLOOKUP(TEXT(O404,"0"),CONDUCTORES!$A$3:$H$54,6,0),"")</f>
        <v/>
      </c>
      <c r="R404" s="280" t="n"/>
      <c r="S404" s="280" t="n"/>
      <c r="T404" s="280" t="n"/>
      <c r="U404" s="280" t="n"/>
      <c r="V404" s="280" t="n"/>
      <c r="W404" s="280" t="n"/>
      <c r="X404" s="280" t="n"/>
      <c r="Y404" s="280" t="n"/>
    </row>
    <row r="405" ht="15" customHeight="1" s="195">
      <c r="A405" s="334" t="n"/>
      <c r="B405" s="334" t="n"/>
      <c r="C405" s="334" t="n"/>
      <c r="D405" s="334" t="n"/>
      <c r="E405" s="334" t="n"/>
      <c r="F405" s="334" t="n"/>
      <c r="G405" s="334" t="n"/>
      <c r="H405" s="334" t="n"/>
      <c r="I405" s="332">
        <f>IFERROR(VLOOKUP(TEXT(H405,"0"),IPRESS!$A$3:$B$212,2,0),"")</f>
        <v/>
      </c>
      <c r="J405" s="334" t="n"/>
      <c r="K405" s="332">
        <f>IFERROR(VLOOKUP(TEXT(O405,"0"),CONDUCTORES!$A$3:$G$54,7,0),"")</f>
        <v/>
      </c>
      <c r="L405" s="334" t="n"/>
      <c r="M405" s="334" t="n"/>
      <c r="N405" s="333">
        <f>IFERROR(IF(L405*M405=0,"",L405*M405),"")</f>
        <v/>
      </c>
      <c r="O405" s="334" t="n"/>
      <c r="P405" s="332">
        <f>IFERROR(VLOOKUP(TEXT(O405,"0"),CONDUCTORES!$A$3:$G$54,2,0),"")</f>
        <v/>
      </c>
      <c r="Q405" s="332">
        <f>IFERROR(VLOOKUP(TEXT(O405,"0"),CONDUCTORES!$A$3:$H$54,6,0),"")</f>
        <v/>
      </c>
      <c r="R405" s="334" t="n"/>
      <c r="S405" s="334" t="n"/>
      <c r="T405" s="334" t="n"/>
      <c r="U405" s="334" t="n"/>
      <c r="V405" s="334" t="n"/>
      <c r="W405" s="334" t="n"/>
      <c r="X405" s="334" t="n"/>
      <c r="Y405" s="334" t="n"/>
    </row>
    <row r="406" ht="15" customHeight="1" s="195">
      <c r="A406" s="280" t="n"/>
      <c r="B406" s="280" t="n"/>
      <c r="C406" s="280" t="n"/>
      <c r="D406" s="280" t="n"/>
      <c r="E406" s="280" t="n"/>
      <c r="F406" s="280" t="n"/>
      <c r="G406" s="280" t="n"/>
      <c r="H406" s="280" t="n"/>
      <c r="I406" s="332">
        <f>IFERROR(VLOOKUP(TEXT(H406,"0"),IPRESS!$A$3:$B$212,2,0),"")</f>
        <v/>
      </c>
      <c r="J406" s="280" t="n"/>
      <c r="K406" s="332">
        <f>IFERROR(VLOOKUP(TEXT(O406,"0"),CONDUCTORES!$A$3:$G$54,7,0),"")</f>
        <v/>
      </c>
      <c r="L406" s="280" t="n"/>
      <c r="M406" s="280" t="n"/>
      <c r="N406" s="333">
        <f>IFERROR(IF(L406*M406=0,"",L406*M406),"")</f>
        <v/>
      </c>
      <c r="O406" s="280" t="n"/>
      <c r="P406" s="332">
        <f>IFERROR(VLOOKUP(TEXT(O406,"0"),CONDUCTORES!$A$3:$G$54,2,0),"")</f>
        <v/>
      </c>
      <c r="Q406" s="332">
        <f>IFERROR(VLOOKUP(TEXT(O406,"0"),CONDUCTORES!$A$3:$H$54,6,0),"")</f>
        <v/>
      </c>
      <c r="R406" s="280" t="n"/>
      <c r="S406" s="280" t="n"/>
      <c r="T406" s="280" t="n"/>
      <c r="U406" s="280" t="n"/>
      <c r="V406" s="280" t="n"/>
      <c r="W406" s="280" t="n"/>
      <c r="X406" s="280" t="n"/>
      <c r="Y406" s="280" t="n"/>
    </row>
    <row r="407" ht="15" customHeight="1" s="195">
      <c r="A407" s="334" t="n"/>
      <c r="B407" s="334" t="n"/>
      <c r="C407" s="334" t="n"/>
      <c r="D407" s="334" t="n"/>
      <c r="E407" s="334" t="n"/>
      <c r="F407" s="334" t="n"/>
      <c r="G407" s="334" t="n"/>
      <c r="H407" s="334" t="n"/>
      <c r="I407" s="332">
        <f>IFERROR(VLOOKUP(TEXT(H407,"0"),IPRESS!$A$3:$B$212,2,0),"")</f>
        <v/>
      </c>
      <c r="J407" s="334" t="n"/>
      <c r="K407" s="332">
        <f>IFERROR(VLOOKUP(TEXT(O407,"0"),CONDUCTORES!$A$3:$G$54,7,0),"")</f>
        <v/>
      </c>
      <c r="L407" s="334" t="n"/>
      <c r="M407" s="334" t="n"/>
      <c r="N407" s="333">
        <f>IFERROR(IF(L407*M407=0,"",L407*M407),"")</f>
        <v/>
      </c>
      <c r="O407" s="334" t="n"/>
      <c r="P407" s="332">
        <f>IFERROR(VLOOKUP(TEXT(O407,"0"),CONDUCTORES!$A$3:$G$54,2,0),"")</f>
        <v/>
      </c>
      <c r="Q407" s="332">
        <f>IFERROR(VLOOKUP(TEXT(O407,"0"),CONDUCTORES!$A$3:$H$54,6,0),"")</f>
        <v/>
      </c>
      <c r="R407" s="334" t="n"/>
      <c r="S407" s="334" t="n"/>
      <c r="T407" s="334" t="n"/>
      <c r="U407" s="334" t="n"/>
      <c r="V407" s="334" t="n"/>
      <c r="W407" s="334" t="n"/>
      <c r="X407" s="334" t="n"/>
      <c r="Y407" s="334" t="n"/>
    </row>
    <row r="408" ht="15" customHeight="1" s="195">
      <c r="A408" s="280" t="n"/>
      <c r="B408" s="280" t="n"/>
      <c r="C408" s="280" t="n"/>
      <c r="D408" s="280" t="n"/>
      <c r="E408" s="280" t="n"/>
      <c r="F408" s="280" t="n"/>
      <c r="G408" s="280" t="n"/>
      <c r="H408" s="280" t="n"/>
      <c r="I408" s="332">
        <f>IFERROR(VLOOKUP(TEXT(H408,"0"),IPRESS!$A$3:$B$212,2,0),"")</f>
        <v/>
      </c>
      <c r="J408" s="280" t="n"/>
      <c r="K408" s="332">
        <f>IFERROR(VLOOKUP(TEXT(O408,"0"),CONDUCTORES!$A$3:$G$54,7,0),"")</f>
        <v/>
      </c>
      <c r="L408" s="280" t="n"/>
      <c r="M408" s="280" t="n"/>
      <c r="N408" s="333">
        <f>IFERROR(IF(L408*M408=0,"",L408*M408),"")</f>
        <v/>
      </c>
      <c r="O408" s="280" t="n"/>
      <c r="P408" s="332">
        <f>IFERROR(VLOOKUP(TEXT(O408,"0"),CONDUCTORES!$A$3:$G$54,2,0),"")</f>
        <v/>
      </c>
      <c r="Q408" s="332">
        <f>IFERROR(VLOOKUP(TEXT(O408,"0"),CONDUCTORES!$A$3:$H$54,6,0),"")</f>
        <v/>
      </c>
      <c r="R408" s="280" t="n"/>
      <c r="S408" s="280" t="n"/>
      <c r="T408" s="280" t="n"/>
      <c r="U408" s="280" t="n"/>
      <c r="V408" s="280" t="n"/>
      <c r="W408" s="280" t="n"/>
      <c r="X408" s="280" t="n"/>
      <c r="Y408" s="280" t="n"/>
    </row>
    <row r="409" ht="15" customHeight="1" s="195">
      <c r="A409" s="334" t="n"/>
      <c r="B409" s="334" t="n"/>
      <c r="C409" s="334" t="n"/>
      <c r="D409" s="334" t="n"/>
      <c r="E409" s="334" t="n"/>
      <c r="F409" s="334" t="n"/>
      <c r="G409" s="334" t="n"/>
      <c r="H409" s="334" t="n"/>
      <c r="I409" s="332">
        <f>IFERROR(VLOOKUP(TEXT(H409,"0"),IPRESS!$A$3:$B$212,2,0),"")</f>
        <v/>
      </c>
      <c r="J409" s="334" t="n"/>
      <c r="K409" s="332">
        <f>IFERROR(VLOOKUP(TEXT(O409,"0"),CONDUCTORES!$A$3:$G$54,7,0),"")</f>
        <v/>
      </c>
      <c r="L409" s="334" t="n"/>
      <c r="M409" s="334" t="n"/>
      <c r="N409" s="333">
        <f>IFERROR(IF(L409*M409=0,"",L409*M409),"")</f>
        <v/>
      </c>
      <c r="O409" s="334" t="n"/>
      <c r="P409" s="332">
        <f>IFERROR(VLOOKUP(TEXT(O409,"0"),CONDUCTORES!$A$3:$G$54,2,0),"")</f>
        <v/>
      </c>
      <c r="Q409" s="332">
        <f>IFERROR(VLOOKUP(TEXT(O409,"0"),CONDUCTORES!$A$3:$H$54,6,0),"")</f>
        <v/>
      </c>
      <c r="R409" s="334" t="n"/>
      <c r="S409" s="334" t="n"/>
      <c r="T409" s="334" t="n"/>
      <c r="U409" s="334" t="n"/>
      <c r="V409" s="334" t="n"/>
      <c r="W409" s="334" t="n"/>
      <c r="X409" s="334" t="n"/>
      <c r="Y409" s="334" t="n"/>
    </row>
    <row r="410" ht="15" customHeight="1" s="195">
      <c r="A410" s="280" t="n"/>
      <c r="B410" s="280" t="n"/>
      <c r="C410" s="280" t="n"/>
      <c r="D410" s="280" t="n"/>
      <c r="E410" s="280" t="n"/>
      <c r="F410" s="280" t="n"/>
      <c r="G410" s="280" t="n"/>
      <c r="H410" s="280" t="n"/>
      <c r="I410" s="332">
        <f>IFERROR(VLOOKUP(TEXT(H410,"0"),IPRESS!$A$3:$B$212,2,0),"")</f>
        <v/>
      </c>
      <c r="J410" s="280" t="n"/>
      <c r="K410" s="332">
        <f>IFERROR(VLOOKUP(TEXT(O410,"0"),CONDUCTORES!$A$3:$G$54,7,0),"")</f>
        <v/>
      </c>
      <c r="L410" s="280" t="n"/>
      <c r="M410" s="280" t="n"/>
      <c r="N410" s="333">
        <f>IFERROR(IF(L410*M410=0,"",L410*M410),"")</f>
        <v/>
      </c>
      <c r="O410" s="280" t="n"/>
      <c r="P410" s="332">
        <f>IFERROR(VLOOKUP(TEXT(O410,"0"),CONDUCTORES!$A$3:$G$54,2,0),"")</f>
        <v/>
      </c>
      <c r="Q410" s="332">
        <f>IFERROR(VLOOKUP(TEXT(O410,"0"),CONDUCTORES!$A$3:$H$54,6,0),"")</f>
        <v/>
      </c>
      <c r="R410" s="280" t="n"/>
      <c r="S410" s="280" t="n"/>
      <c r="T410" s="280" t="n"/>
      <c r="U410" s="280" t="n"/>
      <c r="V410" s="280" t="n"/>
      <c r="W410" s="280" t="n"/>
      <c r="X410" s="280" t="n"/>
      <c r="Y410" s="280" t="n"/>
    </row>
    <row r="411" ht="15" customHeight="1" s="195">
      <c r="A411" s="334" t="n"/>
      <c r="B411" s="334" t="n"/>
      <c r="C411" s="334" t="n"/>
      <c r="D411" s="334" t="n"/>
      <c r="E411" s="334" t="n"/>
      <c r="F411" s="334" t="n"/>
      <c r="G411" s="334" t="n"/>
      <c r="H411" s="334" t="n"/>
      <c r="I411" s="332">
        <f>IFERROR(VLOOKUP(TEXT(H411,"0"),IPRESS!$A$3:$B$212,2,0),"")</f>
        <v/>
      </c>
      <c r="J411" s="334" t="n"/>
      <c r="K411" s="332">
        <f>IFERROR(VLOOKUP(TEXT(O411,"0"),CONDUCTORES!$A$3:$G$54,7,0),"")</f>
        <v/>
      </c>
      <c r="L411" s="334" t="n"/>
      <c r="M411" s="334" t="n"/>
      <c r="N411" s="333">
        <f>IFERROR(IF(L411*M411=0,"",L411*M411),"")</f>
        <v/>
      </c>
      <c r="O411" s="334" t="n"/>
      <c r="P411" s="332">
        <f>IFERROR(VLOOKUP(TEXT(O411,"0"),CONDUCTORES!$A$3:$G$54,2,0),"")</f>
        <v/>
      </c>
      <c r="Q411" s="332">
        <f>IFERROR(VLOOKUP(TEXT(O411,"0"),CONDUCTORES!$A$3:$H$54,6,0),"")</f>
        <v/>
      </c>
      <c r="R411" s="334" t="n"/>
      <c r="S411" s="334" t="n"/>
      <c r="T411" s="334" t="n"/>
      <c r="U411" s="334" t="n"/>
      <c r="V411" s="334" t="n"/>
      <c r="W411" s="334" t="n"/>
      <c r="X411" s="334" t="n"/>
      <c r="Y411" s="334" t="n"/>
    </row>
    <row r="412" ht="15" customHeight="1" s="195">
      <c r="A412" s="280" t="n"/>
      <c r="B412" s="280" t="n"/>
      <c r="C412" s="280" t="n"/>
      <c r="D412" s="280" t="n"/>
      <c r="E412" s="280" t="n"/>
      <c r="F412" s="280" t="n"/>
      <c r="G412" s="280" t="n"/>
      <c r="H412" s="280" t="n"/>
      <c r="I412" s="332">
        <f>IFERROR(VLOOKUP(TEXT(H412,"0"),IPRESS!$A$3:$B$212,2,0),"")</f>
        <v/>
      </c>
      <c r="J412" s="280" t="n"/>
      <c r="K412" s="332">
        <f>IFERROR(VLOOKUP(TEXT(O412,"0"),CONDUCTORES!$A$3:$G$54,7,0),"")</f>
        <v/>
      </c>
      <c r="L412" s="280" t="n"/>
      <c r="M412" s="280" t="n"/>
      <c r="N412" s="333">
        <f>IFERROR(IF(L412*M412=0,"",L412*M412),"")</f>
        <v/>
      </c>
      <c r="O412" s="280" t="n"/>
      <c r="P412" s="332">
        <f>IFERROR(VLOOKUP(TEXT(O412,"0"),CONDUCTORES!$A$3:$G$54,2,0),"")</f>
        <v/>
      </c>
      <c r="Q412" s="332">
        <f>IFERROR(VLOOKUP(TEXT(O412,"0"),CONDUCTORES!$A$3:$H$54,6,0),"")</f>
        <v/>
      </c>
      <c r="R412" s="280" t="n"/>
      <c r="S412" s="280" t="n"/>
      <c r="T412" s="280" t="n"/>
      <c r="U412" s="280" t="n"/>
      <c r="V412" s="280" t="n"/>
      <c r="W412" s="280" t="n"/>
      <c r="X412" s="280" t="n"/>
      <c r="Y412" s="280" t="n"/>
    </row>
    <row r="413" ht="15" customHeight="1" s="195">
      <c r="A413" s="334" t="n"/>
      <c r="B413" s="334" t="n"/>
      <c r="C413" s="334" t="n"/>
      <c r="D413" s="334" t="n"/>
      <c r="E413" s="334" t="n"/>
      <c r="F413" s="334" t="n"/>
      <c r="G413" s="334" t="n"/>
      <c r="H413" s="334" t="n"/>
      <c r="I413" s="332">
        <f>IFERROR(VLOOKUP(TEXT(H413,"0"),IPRESS!$A$3:$B$212,2,0),"")</f>
        <v/>
      </c>
      <c r="J413" s="334" t="n"/>
      <c r="K413" s="332">
        <f>IFERROR(VLOOKUP(TEXT(O413,"0"),CONDUCTORES!$A$3:$G$54,7,0),"")</f>
        <v/>
      </c>
      <c r="L413" s="334" t="n"/>
      <c r="M413" s="334" t="n"/>
      <c r="N413" s="333">
        <f>IFERROR(IF(L413*M413=0,"",L413*M413),"")</f>
        <v/>
      </c>
      <c r="O413" s="334" t="n"/>
      <c r="P413" s="332">
        <f>IFERROR(VLOOKUP(TEXT(O413,"0"),CONDUCTORES!$A$3:$G$54,2,0),"")</f>
        <v/>
      </c>
      <c r="Q413" s="332">
        <f>IFERROR(VLOOKUP(TEXT(O413,"0"),CONDUCTORES!$A$3:$H$54,6,0),"")</f>
        <v/>
      </c>
      <c r="R413" s="334" t="n"/>
      <c r="S413" s="334" t="n"/>
      <c r="T413" s="334" t="n"/>
      <c r="U413" s="334" t="n"/>
      <c r="V413" s="334" t="n"/>
      <c r="W413" s="334" t="n"/>
      <c r="X413" s="334" t="n"/>
      <c r="Y413" s="334" t="n"/>
    </row>
    <row r="414" ht="15" customHeight="1" s="195">
      <c r="A414" s="280" t="n"/>
      <c r="B414" s="280" t="n"/>
      <c r="C414" s="280" t="n"/>
      <c r="D414" s="280" t="n"/>
      <c r="E414" s="280" t="n"/>
      <c r="F414" s="280" t="n"/>
      <c r="G414" s="280" t="n"/>
      <c r="H414" s="280" t="n"/>
      <c r="I414" s="332">
        <f>IFERROR(VLOOKUP(TEXT(H414,"0"),IPRESS!$A$3:$B$212,2,0),"")</f>
        <v/>
      </c>
      <c r="J414" s="280" t="n"/>
      <c r="K414" s="332">
        <f>IFERROR(VLOOKUP(TEXT(O414,"0"),CONDUCTORES!$A$3:$G$54,7,0),"")</f>
        <v/>
      </c>
      <c r="L414" s="280" t="n"/>
      <c r="M414" s="280" t="n"/>
      <c r="N414" s="333">
        <f>IFERROR(IF(L414*M414=0,"",L414*M414),"")</f>
        <v/>
      </c>
      <c r="O414" s="280" t="n"/>
      <c r="P414" s="332">
        <f>IFERROR(VLOOKUP(TEXT(O414,"0"),CONDUCTORES!$A$3:$G$54,2,0),"")</f>
        <v/>
      </c>
      <c r="Q414" s="332">
        <f>IFERROR(VLOOKUP(TEXT(O414,"0"),CONDUCTORES!$A$3:$H$54,6,0),"")</f>
        <v/>
      </c>
      <c r="R414" s="280" t="n"/>
      <c r="S414" s="280" t="n"/>
      <c r="T414" s="280" t="n"/>
      <c r="U414" s="280" t="n"/>
      <c r="V414" s="280" t="n"/>
      <c r="W414" s="280" t="n"/>
      <c r="X414" s="280" t="n"/>
      <c r="Y414" s="280" t="n"/>
    </row>
    <row r="415" ht="15" customHeight="1" s="195">
      <c r="A415" s="334" t="n"/>
      <c r="B415" s="334" t="n"/>
      <c r="C415" s="334" t="n"/>
      <c r="D415" s="334" t="n"/>
      <c r="E415" s="334" t="n"/>
      <c r="F415" s="334" t="n"/>
      <c r="G415" s="334" t="n"/>
      <c r="H415" s="334" t="n"/>
      <c r="I415" s="332">
        <f>IFERROR(VLOOKUP(TEXT(H415,"0"),IPRESS!$A$3:$B$212,2,0),"")</f>
        <v/>
      </c>
      <c r="J415" s="334" t="n"/>
      <c r="K415" s="332">
        <f>IFERROR(VLOOKUP(TEXT(O415,"0"),CONDUCTORES!$A$3:$G$54,7,0),"")</f>
        <v/>
      </c>
      <c r="L415" s="334" t="n"/>
      <c r="M415" s="334" t="n"/>
      <c r="N415" s="333">
        <f>IFERROR(IF(L415*M415=0,"",L415*M415),"")</f>
        <v/>
      </c>
      <c r="O415" s="334" t="n"/>
      <c r="P415" s="332">
        <f>IFERROR(VLOOKUP(TEXT(O415,"0"),CONDUCTORES!$A$3:$G$54,2,0),"")</f>
        <v/>
      </c>
      <c r="Q415" s="332">
        <f>IFERROR(VLOOKUP(TEXT(O415,"0"),CONDUCTORES!$A$3:$H$54,6,0),"")</f>
        <v/>
      </c>
      <c r="R415" s="334" t="n"/>
      <c r="S415" s="334" t="n"/>
      <c r="T415" s="334" t="n"/>
      <c r="U415" s="334" t="n"/>
      <c r="V415" s="334" t="n"/>
      <c r="W415" s="334" t="n"/>
      <c r="X415" s="334" t="n"/>
      <c r="Y415" s="334" t="n"/>
    </row>
    <row r="416" ht="15" customHeight="1" s="195">
      <c r="A416" s="280" t="n"/>
      <c r="B416" s="280" t="n"/>
      <c r="C416" s="280" t="n"/>
      <c r="D416" s="280" t="n"/>
      <c r="E416" s="280" t="n"/>
      <c r="F416" s="280" t="n"/>
      <c r="G416" s="280" t="n"/>
      <c r="H416" s="280" t="n"/>
      <c r="I416" s="332">
        <f>IFERROR(VLOOKUP(TEXT(H416,"0"),IPRESS!$A$3:$B$212,2,0),"")</f>
        <v/>
      </c>
      <c r="J416" s="280" t="n"/>
      <c r="K416" s="332">
        <f>IFERROR(VLOOKUP(TEXT(O416,"0"),CONDUCTORES!$A$3:$G$54,7,0),"")</f>
        <v/>
      </c>
      <c r="L416" s="280" t="n"/>
      <c r="M416" s="280" t="n"/>
      <c r="N416" s="333">
        <f>IFERROR(IF(L416*M416=0,"",L416*M416),"")</f>
        <v/>
      </c>
      <c r="O416" s="280" t="n"/>
      <c r="P416" s="332">
        <f>IFERROR(VLOOKUP(TEXT(O416,"0"),CONDUCTORES!$A$3:$G$54,2,0),"")</f>
        <v/>
      </c>
      <c r="Q416" s="332">
        <f>IFERROR(VLOOKUP(TEXT(O416,"0"),CONDUCTORES!$A$3:$H$54,6,0),"")</f>
        <v/>
      </c>
      <c r="R416" s="280" t="n"/>
      <c r="S416" s="280" t="n"/>
      <c r="T416" s="280" t="n"/>
      <c r="U416" s="280" t="n"/>
      <c r="V416" s="280" t="n"/>
      <c r="W416" s="280" t="n"/>
      <c r="X416" s="280" t="n"/>
      <c r="Y416" s="280" t="n"/>
    </row>
    <row r="417" ht="15" customHeight="1" s="195">
      <c r="A417" s="334" t="n"/>
      <c r="B417" s="334" t="n"/>
      <c r="C417" s="334" t="n"/>
      <c r="D417" s="334" t="n"/>
      <c r="E417" s="334" t="n"/>
      <c r="F417" s="334" t="n"/>
      <c r="G417" s="334" t="n"/>
      <c r="H417" s="334" t="n"/>
      <c r="I417" s="332">
        <f>IFERROR(VLOOKUP(TEXT(H417,"0"),IPRESS!$A$3:$B$212,2,0),"")</f>
        <v/>
      </c>
      <c r="J417" s="334" t="n"/>
      <c r="K417" s="332">
        <f>IFERROR(VLOOKUP(TEXT(O417,"0"),CONDUCTORES!$A$3:$G$54,7,0),"")</f>
        <v/>
      </c>
      <c r="L417" s="334" t="n"/>
      <c r="M417" s="334" t="n"/>
      <c r="N417" s="333">
        <f>IFERROR(IF(L417*M417=0,"",L417*M417),"")</f>
        <v/>
      </c>
      <c r="O417" s="334" t="n"/>
      <c r="P417" s="332">
        <f>IFERROR(VLOOKUP(TEXT(O417,"0"),CONDUCTORES!$A$3:$G$54,2,0),"")</f>
        <v/>
      </c>
      <c r="Q417" s="332">
        <f>IFERROR(VLOOKUP(TEXT(O417,"0"),CONDUCTORES!$A$3:$H$54,6,0),"")</f>
        <v/>
      </c>
      <c r="R417" s="334" t="n"/>
      <c r="S417" s="334" t="n"/>
      <c r="T417" s="334" t="n"/>
      <c r="U417" s="334" t="n"/>
      <c r="V417" s="334" t="n"/>
      <c r="W417" s="334" t="n"/>
      <c r="X417" s="334" t="n"/>
      <c r="Y417" s="334" t="n"/>
    </row>
    <row r="418" ht="15" customHeight="1" s="195">
      <c r="A418" s="280" t="n"/>
      <c r="B418" s="280" t="n"/>
      <c r="C418" s="280" t="n"/>
      <c r="D418" s="280" t="n"/>
      <c r="E418" s="280" t="n"/>
      <c r="F418" s="280" t="n"/>
      <c r="G418" s="280" t="n"/>
      <c r="H418" s="280" t="n"/>
      <c r="I418" s="332">
        <f>IFERROR(VLOOKUP(TEXT(H418,"0"),IPRESS!$A$3:$B$212,2,0),"")</f>
        <v/>
      </c>
      <c r="J418" s="280" t="n"/>
      <c r="K418" s="332">
        <f>IFERROR(VLOOKUP(TEXT(O418,"0"),CONDUCTORES!$A$3:$G$54,7,0),"")</f>
        <v/>
      </c>
      <c r="L418" s="280" t="n"/>
      <c r="M418" s="280" t="n"/>
      <c r="N418" s="333">
        <f>IFERROR(IF(L418*M418=0,"",L418*M418),"")</f>
        <v/>
      </c>
      <c r="O418" s="280" t="n"/>
      <c r="P418" s="332">
        <f>IFERROR(VLOOKUP(TEXT(O418,"0"),CONDUCTORES!$A$3:$G$54,2,0),"")</f>
        <v/>
      </c>
      <c r="Q418" s="332">
        <f>IFERROR(VLOOKUP(TEXT(O418,"0"),CONDUCTORES!$A$3:$H$54,6,0),"")</f>
        <v/>
      </c>
      <c r="R418" s="280" t="n"/>
      <c r="S418" s="280" t="n"/>
      <c r="T418" s="280" t="n"/>
      <c r="U418" s="280" t="n"/>
      <c r="V418" s="280" t="n"/>
      <c r="W418" s="280" t="n"/>
      <c r="X418" s="280" t="n"/>
      <c r="Y418" s="280" t="n"/>
    </row>
    <row r="419" ht="15" customHeight="1" s="195">
      <c r="A419" s="334" t="n"/>
      <c r="B419" s="334" t="n"/>
      <c r="C419" s="334" t="n"/>
      <c r="D419" s="334" t="n"/>
      <c r="E419" s="334" t="n"/>
      <c r="F419" s="334" t="n"/>
      <c r="G419" s="334" t="n"/>
      <c r="H419" s="334" t="n"/>
      <c r="I419" s="332">
        <f>IFERROR(VLOOKUP(TEXT(H419,"0"),IPRESS!$A$3:$B$212,2,0),"")</f>
        <v/>
      </c>
      <c r="J419" s="334" t="n"/>
      <c r="K419" s="332">
        <f>IFERROR(VLOOKUP(TEXT(O419,"0"),CONDUCTORES!$A$3:$G$54,7,0),"")</f>
        <v/>
      </c>
      <c r="L419" s="334" t="n"/>
      <c r="M419" s="334" t="n"/>
      <c r="N419" s="333">
        <f>IFERROR(IF(L419*M419=0,"",L419*M419),"")</f>
        <v/>
      </c>
      <c r="O419" s="334" t="n"/>
      <c r="P419" s="332">
        <f>IFERROR(VLOOKUP(TEXT(O419,"0"),CONDUCTORES!$A$3:$G$54,2,0),"")</f>
        <v/>
      </c>
      <c r="Q419" s="332">
        <f>IFERROR(VLOOKUP(TEXT(O419,"0"),CONDUCTORES!$A$3:$H$54,6,0),"")</f>
        <v/>
      </c>
      <c r="R419" s="334" t="n"/>
      <c r="S419" s="334" t="n"/>
      <c r="T419" s="334" t="n"/>
      <c r="U419" s="334" t="n"/>
      <c r="V419" s="334" t="n"/>
      <c r="W419" s="334" t="n"/>
      <c r="X419" s="334" t="n"/>
      <c r="Y419" s="334" t="n"/>
    </row>
    <row r="420" ht="15" customHeight="1" s="195">
      <c r="A420" s="280" t="n"/>
      <c r="B420" s="280" t="n"/>
      <c r="C420" s="280" t="n"/>
      <c r="D420" s="280" t="n"/>
      <c r="E420" s="280" t="n"/>
      <c r="F420" s="280" t="n"/>
      <c r="G420" s="280" t="n"/>
      <c r="H420" s="280" t="n"/>
      <c r="I420" s="332">
        <f>IFERROR(VLOOKUP(TEXT(H420,"0"),IPRESS!$A$3:$B$212,2,0),"")</f>
        <v/>
      </c>
      <c r="J420" s="280" t="n"/>
      <c r="K420" s="332">
        <f>IFERROR(VLOOKUP(TEXT(O420,"0"),CONDUCTORES!$A$3:$G$54,7,0),"")</f>
        <v/>
      </c>
      <c r="L420" s="280" t="n"/>
      <c r="M420" s="280" t="n"/>
      <c r="N420" s="333">
        <f>IFERROR(IF(L420*M420=0,"",L420*M420),"")</f>
        <v/>
      </c>
      <c r="O420" s="280" t="n"/>
      <c r="P420" s="332">
        <f>IFERROR(VLOOKUP(TEXT(O420,"0"),CONDUCTORES!$A$3:$G$54,2,0),"")</f>
        <v/>
      </c>
      <c r="Q420" s="332">
        <f>IFERROR(VLOOKUP(TEXT(O420,"0"),CONDUCTORES!$A$3:$H$54,6,0),"")</f>
        <v/>
      </c>
      <c r="R420" s="280" t="n"/>
      <c r="S420" s="280" t="n"/>
      <c r="T420" s="280" t="n"/>
      <c r="U420" s="280" t="n"/>
      <c r="V420" s="280" t="n"/>
      <c r="W420" s="280" t="n"/>
      <c r="X420" s="280" t="n"/>
      <c r="Y420" s="280" t="n"/>
    </row>
    <row r="421" ht="15" customHeight="1" s="195">
      <c r="A421" s="334" t="n"/>
      <c r="B421" s="334" t="n"/>
      <c r="C421" s="334" t="n"/>
      <c r="D421" s="334" t="n"/>
      <c r="E421" s="334" t="n"/>
      <c r="F421" s="334" t="n"/>
      <c r="G421" s="334" t="n"/>
      <c r="H421" s="334" t="n"/>
      <c r="I421" s="332">
        <f>IFERROR(VLOOKUP(TEXT(H421,"0"),IPRESS!$A$3:$B$212,2,0),"")</f>
        <v/>
      </c>
      <c r="J421" s="334" t="n"/>
      <c r="K421" s="332">
        <f>IFERROR(VLOOKUP(TEXT(O421,"0"),CONDUCTORES!$A$3:$G$54,7,0),"")</f>
        <v/>
      </c>
      <c r="L421" s="334" t="n"/>
      <c r="M421" s="334" t="n"/>
      <c r="N421" s="333">
        <f>IFERROR(IF(L421*M421=0,"",L421*M421),"")</f>
        <v/>
      </c>
      <c r="O421" s="334" t="n"/>
      <c r="P421" s="332">
        <f>IFERROR(VLOOKUP(TEXT(O421,"0"),CONDUCTORES!$A$3:$G$54,2,0),"")</f>
        <v/>
      </c>
      <c r="Q421" s="332">
        <f>IFERROR(VLOOKUP(TEXT(O421,"0"),CONDUCTORES!$A$3:$H$54,6,0),"")</f>
        <v/>
      </c>
      <c r="R421" s="334" t="n"/>
      <c r="S421" s="334" t="n"/>
      <c r="T421" s="334" t="n"/>
      <c r="U421" s="334" t="n"/>
      <c r="V421" s="334" t="n"/>
      <c r="W421" s="334" t="n"/>
      <c r="X421" s="334" t="n"/>
      <c r="Y421" s="334" t="n"/>
    </row>
    <row r="422" ht="15" customHeight="1" s="195">
      <c r="A422" s="280" t="n"/>
      <c r="B422" s="280" t="n"/>
      <c r="C422" s="280" t="n"/>
      <c r="D422" s="280" t="n"/>
      <c r="E422" s="280" t="n"/>
      <c r="F422" s="280" t="n"/>
      <c r="G422" s="280" t="n"/>
      <c r="H422" s="280" t="n"/>
      <c r="I422" s="332">
        <f>IFERROR(VLOOKUP(TEXT(H422,"0"),IPRESS!$A$3:$B$212,2,0),"")</f>
        <v/>
      </c>
      <c r="J422" s="280" t="n"/>
      <c r="K422" s="332">
        <f>IFERROR(VLOOKUP(TEXT(O422,"0"),CONDUCTORES!$A$3:$G$54,7,0),"")</f>
        <v/>
      </c>
      <c r="L422" s="280" t="n"/>
      <c r="M422" s="280" t="n"/>
      <c r="N422" s="333">
        <f>IFERROR(IF(L422*M422=0,"",L422*M422),"")</f>
        <v/>
      </c>
      <c r="O422" s="280" t="n"/>
      <c r="P422" s="332">
        <f>IFERROR(VLOOKUP(TEXT(O422,"0"),CONDUCTORES!$A$3:$G$54,2,0),"")</f>
        <v/>
      </c>
      <c r="Q422" s="332">
        <f>IFERROR(VLOOKUP(TEXT(O422,"0"),CONDUCTORES!$A$3:$H$54,6,0),"")</f>
        <v/>
      </c>
      <c r="R422" s="280" t="n"/>
      <c r="S422" s="280" t="n"/>
      <c r="T422" s="280" t="n"/>
      <c r="U422" s="280" t="n"/>
      <c r="V422" s="280" t="n"/>
      <c r="W422" s="280" t="n"/>
      <c r="X422" s="280" t="n"/>
      <c r="Y422" s="280" t="n"/>
    </row>
    <row r="423" ht="15" customHeight="1" s="195">
      <c r="A423" s="334" t="n"/>
      <c r="B423" s="334" t="n"/>
      <c r="C423" s="334" t="n"/>
      <c r="D423" s="334" t="n"/>
      <c r="E423" s="334" t="n"/>
      <c r="F423" s="334" t="n"/>
      <c r="G423" s="334" t="n"/>
      <c r="H423" s="334" t="n"/>
      <c r="I423" s="332">
        <f>IFERROR(VLOOKUP(TEXT(H423,"0"),IPRESS!$A$3:$B$212,2,0),"")</f>
        <v/>
      </c>
      <c r="J423" s="334" t="n"/>
      <c r="K423" s="332">
        <f>IFERROR(VLOOKUP(TEXT(O423,"0"),CONDUCTORES!$A$3:$G$54,7,0),"")</f>
        <v/>
      </c>
      <c r="L423" s="334" t="n"/>
      <c r="M423" s="334" t="n"/>
      <c r="N423" s="333">
        <f>IFERROR(IF(L423*M423=0,"",L423*M423),"")</f>
        <v/>
      </c>
      <c r="O423" s="334" t="n"/>
      <c r="P423" s="332">
        <f>IFERROR(VLOOKUP(TEXT(O423,"0"),CONDUCTORES!$A$3:$G$54,2,0),"")</f>
        <v/>
      </c>
      <c r="Q423" s="332">
        <f>IFERROR(VLOOKUP(TEXT(O423,"0"),CONDUCTORES!$A$3:$H$54,6,0),"")</f>
        <v/>
      </c>
      <c r="R423" s="334" t="n"/>
      <c r="S423" s="334" t="n"/>
      <c r="T423" s="334" t="n"/>
      <c r="U423" s="334" t="n"/>
      <c r="V423" s="334" t="n"/>
      <c r="W423" s="334" t="n"/>
      <c r="X423" s="334" t="n"/>
      <c r="Y423" s="334" t="n"/>
    </row>
    <row r="424" ht="15" customHeight="1" s="195">
      <c r="A424" s="280" t="n"/>
      <c r="B424" s="280" t="n"/>
      <c r="C424" s="280" t="n"/>
      <c r="D424" s="280" t="n"/>
      <c r="E424" s="280" t="n"/>
      <c r="F424" s="280" t="n"/>
      <c r="G424" s="280" t="n"/>
      <c r="H424" s="280" t="n"/>
      <c r="I424" s="332">
        <f>IFERROR(VLOOKUP(TEXT(H424,"0"),IPRESS!$A$3:$B$212,2,0),"")</f>
        <v/>
      </c>
      <c r="J424" s="280" t="n"/>
      <c r="K424" s="332">
        <f>IFERROR(VLOOKUP(TEXT(O424,"0"),CONDUCTORES!$A$3:$G$54,7,0),"")</f>
        <v/>
      </c>
      <c r="L424" s="280" t="n"/>
      <c r="M424" s="280" t="n"/>
      <c r="N424" s="333">
        <f>IFERROR(IF(L424*M424=0,"",L424*M424),"")</f>
        <v/>
      </c>
      <c r="O424" s="280" t="n"/>
      <c r="P424" s="332">
        <f>IFERROR(VLOOKUP(TEXT(O424,"0"),CONDUCTORES!$A$3:$G$54,2,0),"")</f>
        <v/>
      </c>
      <c r="Q424" s="332">
        <f>IFERROR(VLOOKUP(TEXT(O424,"0"),CONDUCTORES!$A$3:$H$54,6,0),"")</f>
        <v/>
      </c>
      <c r="R424" s="280" t="n"/>
      <c r="S424" s="280" t="n"/>
      <c r="T424" s="280" t="n"/>
      <c r="U424" s="280" t="n"/>
      <c r="V424" s="280" t="n"/>
      <c r="W424" s="280" t="n"/>
      <c r="X424" s="280" t="n"/>
      <c r="Y424" s="280" t="n"/>
    </row>
    <row r="425" ht="15" customHeight="1" s="195">
      <c r="A425" s="334" t="n"/>
      <c r="B425" s="334" t="n"/>
      <c r="C425" s="334" t="n"/>
      <c r="D425" s="334" t="n"/>
      <c r="E425" s="334" t="n"/>
      <c r="F425" s="334" t="n"/>
      <c r="G425" s="334" t="n"/>
      <c r="H425" s="334" t="n"/>
      <c r="I425" s="332">
        <f>IFERROR(VLOOKUP(TEXT(H425,"0"),IPRESS!$A$3:$B$212,2,0),"")</f>
        <v/>
      </c>
      <c r="J425" s="334" t="n"/>
      <c r="K425" s="332">
        <f>IFERROR(VLOOKUP(TEXT(O425,"0"),CONDUCTORES!$A$3:$G$54,7,0),"")</f>
        <v/>
      </c>
      <c r="L425" s="334" t="n"/>
      <c r="M425" s="334" t="n"/>
      <c r="N425" s="333">
        <f>IFERROR(IF(L425*M425=0,"",L425*M425),"")</f>
        <v/>
      </c>
      <c r="O425" s="334" t="n"/>
      <c r="P425" s="332">
        <f>IFERROR(VLOOKUP(TEXT(O425,"0"),CONDUCTORES!$A$3:$G$54,2,0),"")</f>
        <v/>
      </c>
      <c r="Q425" s="332">
        <f>IFERROR(VLOOKUP(TEXT(O425,"0"),CONDUCTORES!$A$3:$H$54,6,0),"")</f>
        <v/>
      </c>
      <c r="R425" s="334" t="n"/>
      <c r="S425" s="334" t="n"/>
      <c r="T425" s="334" t="n"/>
      <c r="U425" s="334" t="n"/>
      <c r="V425" s="334" t="n"/>
      <c r="W425" s="334" t="n"/>
      <c r="X425" s="334" t="n"/>
      <c r="Y425" s="334" t="n"/>
    </row>
    <row r="426" ht="15" customHeight="1" s="195">
      <c r="A426" s="280" t="n"/>
      <c r="B426" s="280" t="n"/>
      <c r="C426" s="280" t="n"/>
      <c r="D426" s="280" t="n"/>
      <c r="E426" s="280" t="n"/>
      <c r="F426" s="280" t="n"/>
      <c r="G426" s="280" t="n"/>
      <c r="H426" s="280" t="n"/>
      <c r="I426" s="332">
        <f>IFERROR(VLOOKUP(TEXT(H426,"0"),IPRESS!$A$3:$B$212,2,0),"")</f>
        <v/>
      </c>
      <c r="J426" s="280" t="n"/>
      <c r="K426" s="332">
        <f>IFERROR(VLOOKUP(TEXT(O426,"0"),CONDUCTORES!$A$3:$G$54,7,0),"")</f>
        <v/>
      </c>
      <c r="L426" s="280" t="n"/>
      <c r="M426" s="280" t="n"/>
      <c r="N426" s="333">
        <f>IFERROR(IF(L426*M426=0,"",L426*M426),"")</f>
        <v/>
      </c>
      <c r="O426" s="280" t="n"/>
      <c r="P426" s="332">
        <f>IFERROR(VLOOKUP(TEXT(O426,"0"),CONDUCTORES!$A$3:$G$54,2,0),"")</f>
        <v/>
      </c>
      <c r="Q426" s="332">
        <f>IFERROR(VLOOKUP(TEXT(O426,"0"),CONDUCTORES!$A$3:$H$54,6,0),"")</f>
        <v/>
      </c>
      <c r="R426" s="280" t="n"/>
      <c r="S426" s="280" t="n"/>
      <c r="T426" s="280" t="n"/>
      <c r="U426" s="280" t="n"/>
      <c r="V426" s="280" t="n"/>
      <c r="W426" s="280" t="n"/>
      <c r="X426" s="280" t="n"/>
      <c r="Y426" s="280" t="n"/>
    </row>
    <row r="427" ht="15" customHeight="1" s="195">
      <c r="A427" s="334" t="n"/>
      <c r="B427" s="334" t="n"/>
      <c r="C427" s="334" t="n"/>
      <c r="D427" s="334" t="n"/>
      <c r="E427" s="334" t="n"/>
      <c r="F427" s="334" t="n"/>
      <c r="G427" s="334" t="n"/>
      <c r="H427" s="334" t="n"/>
      <c r="I427" s="332">
        <f>IFERROR(VLOOKUP(TEXT(H427,"0"),IPRESS!$A$3:$B$212,2,0),"")</f>
        <v/>
      </c>
      <c r="J427" s="334" t="n"/>
      <c r="K427" s="332">
        <f>IFERROR(VLOOKUP(TEXT(O427,"0"),CONDUCTORES!$A$3:$G$54,7,0),"")</f>
        <v/>
      </c>
      <c r="L427" s="334" t="n"/>
      <c r="M427" s="334" t="n"/>
      <c r="N427" s="333">
        <f>IFERROR(IF(L427*M427=0,"",L427*M427),"")</f>
        <v/>
      </c>
      <c r="O427" s="334" t="n"/>
      <c r="P427" s="332">
        <f>IFERROR(VLOOKUP(TEXT(O427,"0"),CONDUCTORES!$A$3:$G$54,2,0),"")</f>
        <v/>
      </c>
      <c r="Q427" s="332">
        <f>IFERROR(VLOOKUP(TEXT(O427,"0"),CONDUCTORES!$A$3:$H$54,6,0),"")</f>
        <v/>
      </c>
      <c r="R427" s="334" t="n"/>
      <c r="S427" s="334" t="n"/>
      <c r="T427" s="334" t="n"/>
      <c r="U427" s="334" t="n"/>
      <c r="V427" s="334" t="n"/>
      <c r="W427" s="334" t="n"/>
      <c r="X427" s="334" t="n"/>
      <c r="Y427" s="334" t="n"/>
    </row>
    <row r="428" ht="15" customHeight="1" s="195">
      <c r="A428" s="280" t="n"/>
      <c r="B428" s="280" t="n"/>
      <c r="C428" s="280" t="n"/>
      <c r="D428" s="280" t="n"/>
      <c r="E428" s="280" t="n"/>
      <c r="F428" s="280" t="n"/>
      <c r="G428" s="280" t="n"/>
      <c r="H428" s="280" t="n"/>
      <c r="I428" s="332">
        <f>IFERROR(VLOOKUP(TEXT(H428,"0"),IPRESS!$A$3:$B$212,2,0),"")</f>
        <v/>
      </c>
      <c r="J428" s="280" t="n"/>
      <c r="K428" s="332">
        <f>IFERROR(VLOOKUP(TEXT(O428,"0"),CONDUCTORES!$A$3:$G$54,7,0),"")</f>
        <v/>
      </c>
      <c r="L428" s="280" t="n"/>
      <c r="M428" s="280" t="n"/>
      <c r="N428" s="333">
        <f>IFERROR(IF(L428*M428=0,"",L428*M428),"")</f>
        <v/>
      </c>
      <c r="O428" s="280" t="n"/>
      <c r="P428" s="332">
        <f>IFERROR(VLOOKUP(TEXT(O428,"0"),CONDUCTORES!$A$3:$G$54,2,0),"")</f>
        <v/>
      </c>
      <c r="Q428" s="332">
        <f>IFERROR(VLOOKUP(TEXT(O428,"0"),CONDUCTORES!$A$3:$H$54,6,0),"")</f>
        <v/>
      </c>
      <c r="R428" s="280" t="n"/>
      <c r="S428" s="280" t="n"/>
      <c r="T428" s="280" t="n"/>
      <c r="U428" s="280" t="n"/>
      <c r="V428" s="280" t="n"/>
      <c r="W428" s="280" t="n"/>
      <c r="X428" s="280" t="n"/>
      <c r="Y428" s="280" t="n"/>
    </row>
    <row r="429" ht="15" customHeight="1" s="195">
      <c r="A429" s="334" t="n"/>
      <c r="B429" s="334" t="n"/>
      <c r="C429" s="334" t="n"/>
      <c r="D429" s="334" t="n"/>
      <c r="E429" s="334" t="n"/>
      <c r="F429" s="334" t="n"/>
      <c r="G429" s="334" t="n"/>
      <c r="H429" s="334" t="n"/>
      <c r="I429" s="332">
        <f>IFERROR(VLOOKUP(TEXT(H429,"0"),IPRESS!$A$3:$B$212,2,0),"")</f>
        <v/>
      </c>
      <c r="J429" s="334" t="n"/>
      <c r="K429" s="332">
        <f>IFERROR(VLOOKUP(TEXT(O429,"0"),CONDUCTORES!$A$3:$G$54,7,0),"")</f>
        <v/>
      </c>
      <c r="L429" s="334" t="n"/>
      <c r="M429" s="334" t="n"/>
      <c r="N429" s="333">
        <f>IFERROR(IF(L429*M429=0,"",L429*M429),"")</f>
        <v/>
      </c>
      <c r="O429" s="334" t="n"/>
      <c r="P429" s="332">
        <f>IFERROR(VLOOKUP(TEXT(O429,"0"),CONDUCTORES!$A$3:$G$54,2,0),"")</f>
        <v/>
      </c>
      <c r="Q429" s="332">
        <f>IFERROR(VLOOKUP(TEXT(O429,"0"),CONDUCTORES!$A$3:$H$54,6,0),"")</f>
        <v/>
      </c>
      <c r="R429" s="334" t="n"/>
      <c r="S429" s="334" t="n"/>
      <c r="T429" s="334" t="n"/>
      <c r="U429" s="334" t="n"/>
      <c r="V429" s="334" t="n"/>
      <c r="W429" s="334" t="n"/>
      <c r="X429" s="334" t="n"/>
      <c r="Y429" s="334" t="n"/>
    </row>
    <row r="430" ht="15" customHeight="1" s="195">
      <c r="A430" s="280" t="n"/>
      <c r="B430" s="280" t="n"/>
      <c r="C430" s="280" t="n"/>
      <c r="D430" s="280" t="n"/>
      <c r="E430" s="280" t="n"/>
      <c r="F430" s="280" t="n"/>
      <c r="G430" s="280" t="n"/>
      <c r="H430" s="280" t="n"/>
      <c r="I430" s="332">
        <f>IFERROR(VLOOKUP(TEXT(H430,"0"),IPRESS!$A$3:$B$212,2,0),"")</f>
        <v/>
      </c>
      <c r="J430" s="280" t="n"/>
      <c r="K430" s="332">
        <f>IFERROR(VLOOKUP(TEXT(O430,"0"),CONDUCTORES!$A$3:$G$54,7,0),"")</f>
        <v/>
      </c>
      <c r="L430" s="280" t="n"/>
      <c r="M430" s="280" t="n"/>
      <c r="N430" s="333">
        <f>IFERROR(IF(L430*M430=0,"",L430*M430),"")</f>
        <v/>
      </c>
      <c r="O430" s="280" t="n"/>
      <c r="P430" s="332">
        <f>IFERROR(VLOOKUP(TEXT(O430,"0"),CONDUCTORES!$A$3:$G$54,2,0),"")</f>
        <v/>
      </c>
      <c r="Q430" s="332">
        <f>IFERROR(VLOOKUP(TEXT(O430,"0"),CONDUCTORES!$A$3:$H$54,6,0),"")</f>
        <v/>
      </c>
      <c r="R430" s="280" t="n"/>
      <c r="S430" s="280" t="n"/>
      <c r="T430" s="280" t="n"/>
      <c r="U430" s="280" t="n"/>
      <c r="V430" s="280" t="n"/>
      <c r="W430" s="280" t="n"/>
      <c r="X430" s="280" t="n"/>
      <c r="Y430" s="280" t="n"/>
    </row>
    <row r="431" ht="15" customHeight="1" s="195">
      <c r="A431" s="334" t="n"/>
      <c r="B431" s="334" t="n"/>
      <c r="C431" s="334" t="n"/>
      <c r="D431" s="334" t="n"/>
      <c r="E431" s="334" t="n"/>
      <c r="F431" s="334" t="n"/>
      <c r="G431" s="334" t="n"/>
      <c r="H431" s="334" t="n"/>
      <c r="I431" s="332">
        <f>IFERROR(VLOOKUP(TEXT(H431,"0"),IPRESS!$A$3:$B$212,2,0),"")</f>
        <v/>
      </c>
      <c r="J431" s="334" t="n"/>
      <c r="K431" s="332">
        <f>IFERROR(VLOOKUP(TEXT(O431,"0"),CONDUCTORES!$A$3:$G$54,7,0),"")</f>
        <v/>
      </c>
      <c r="L431" s="334" t="n"/>
      <c r="M431" s="334" t="n"/>
      <c r="N431" s="333">
        <f>IFERROR(IF(L431*M431=0,"",L431*M431),"")</f>
        <v/>
      </c>
      <c r="O431" s="334" t="n"/>
      <c r="P431" s="332">
        <f>IFERROR(VLOOKUP(TEXT(O431,"0"),CONDUCTORES!$A$3:$G$54,2,0),"")</f>
        <v/>
      </c>
      <c r="Q431" s="332">
        <f>IFERROR(VLOOKUP(TEXT(O431,"0"),CONDUCTORES!$A$3:$H$54,6,0),"")</f>
        <v/>
      </c>
      <c r="R431" s="334" t="n"/>
      <c r="S431" s="334" t="n"/>
      <c r="T431" s="334" t="n"/>
      <c r="U431" s="334" t="n"/>
      <c r="V431" s="334" t="n"/>
      <c r="W431" s="334" t="n"/>
      <c r="X431" s="334" t="n"/>
      <c r="Y431" s="334" t="n"/>
    </row>
    <row r="432" ht="15" customHeight="1" s="195">
      <c r="A432" s="280" t="n"/>
      <c r="B432" s="280" t="n"/>
      <c r="C432" s="280" t="n"/>
      <c r="D432" s="280" t="n"/>
      <c r="E432" s="280" t="n"/>
      <c r="F432" s="280" t="n"/>
      <c r="G432" s="280" t="n"/>
      <c r="H432" s="280" t="n"/>
      <c r="I432" s="332">
        <f>IFERROR(VLOOKUP(TEXT(H432,"0"),IPRESS!$A$3:$B$212,2,0),"")</f>
        <v/>
      </c>
      <c r="J432" s="280" t="n"/>
      <c r="K432" s="332">
        <f>IFERROR(VLOOKUP(TEXT(O432,"0"),CONDUCTORES!$A$3:$G$54,7,0),"")</f>
        <v/>
      </c>
      <c r="L432" s="280" t="n"/>
      <c r="M432" s="280" t="n"/>
      <c r="N432" s="333">
        <f>IFERROR(IF(L432*M432=0,"",L432*M432),"")</f>
        <v/>
      </c>
      <c r="O432" s="280" t="n"/>
      <c r="P432" s="332">
        <f>IFERROR(VLOOKUP(TEXT(O432,"0"),CONDUCTORES!$A$3:$G$54,2,0),"")</f>
        <v/>
      </c>
      <c r="Q432" s="332">
        <f>IFERROR(VLOOKUP(TEXT(O432,"0"),CONDUCTORES!$A$3:$H$54,6,0),"")</f>
        <v/>
      </c>
      <c r="R432" s="280" t="n"/>
      <c r="S432" s="280" t="n"/>
      <c r="T432" s="280" t="n"/>
      <c r="U432" s="280" t="n"/>
      <c r="V432" s="280" t="n"/>
      <c r="W432" s="280" t="n"/>
      <c r="X432" s="280" t="n"/>
      <c r="Y432" s="280" t="n"/>
    </row>
    <row r="433" ht="15" customHeight="1" s="195">
      <c r="A433" s="334" t="n"/>
      <c r="B433" s="334" t="n"/>
      <c r="C433" s="334" t="n"/>
      <c r="D433" s="334" t="n"/>
      <c r="E433" s="334" t="n"/>
      <c r="F433" s="334" t="n"/>
      <c r="G433" s="334" t="n"/>
      <c r="H433" s="334" t="n"/>
      <c r="I433" s="332">
        <f>IFERROR(VLOOKUP(TEXT(H433,"0"),IPRESS!$A$3:$B$212,2,0),"")</f>
        <v/>
      </c>
      <c r="J433" s="334" t="n"/>
      <c r="K433" s="332">
        <f>IFERROR(VLOOKUP(TEXT(O433,"0"),CONDUCTORES!$A$3:$G$54,7,0),"")</f>
        <v/>
      </c>
      <c r="L433" s="334" t="n"/>
      <c r="M433" s="334" t="n"/>
      <c r="N433" s="333">
        <f>IFERROR(IF(L433*M433=0,"",L433*M433),"")</f>
        <v/>
      </c>
      <c r="O433" s="334" t="n"/>
      <c r="P433" s="332">
        <f>IFERROR(VLOOKUP(TEXT(O433,"0"),CONDUCTORES!$A$3:$G$54,2,0),"")</f>
        <v/>
      </c>
      <c r="Q433" s="332">
        <f>IFERROR(VLOOKUP(TEXT(O433,"0"),CONDUCTORES!$A$3:$H$54,6,0),"")</f>
        <v/>
      </c>
      <c r="R433" s="334" t="n"/>
      <c r="S433" s="334" t="n"/>
      <c r="T433" s="334" t="n"/>
      <c r="U433" s="334" t="n"/>
      <c r="V433" s="334" t="n"/>
      <c r="W433" s="334" t="n"/>
      <c r="X433" s="334" t="n"/>
      <c r="Y433" s="334" t="n"/>
    </row>
    <row r="434" ht="15" customHeight="1" s="195">
      <c r="A434" s="280" t="n"/>
      <c r="B434" s="280" t="n"/>
      <c r="C434" s="280" t="n"/>
      <c r="D434" s="280" t="n"/>
      <c r="E434" s="280" t="n"/>
      <c r="F434" s="280" t="n"/>
      <c r="G434" s="280" t="n"/>
      <c r="H434" s="280" t="n"/>
      <c r="I434" s="332">
        <f>IFERROR(VLOOKUP(TEXT(H434,"0"),IPRESS!$A$3:$B$212,2,0),"")</f>
        <v/>
      </c>
      <c r="J434" s="280" t="n"/>
      <c r="K434" s="332">
        <f>IFERROR(VLOOKUP(TEXT(O434,"0"),CONDUCTORES!$A$3:$G$54,7,0),"")</f>
        <v/>
      </c>
      <c r="L434" s="280" t="n"/>
      <c r="M434" s="280" t="n"/>
      <c r="N434" s="333">
        <f>IFERROR(IF(L434*M434=0,"",L434*M434),"")</f>
        <v/>
      </c>
      <c r="O434" s="280" t="n"/>
      <c r="P434" s="332">
        <f>IFERROR(VLOOKUP(TEXT(O434,"0"),CONDUCTORES!$A$3:$G$54,2,0),"")</f>
        <v/>
      </c>
      <c r="Q434" s="332">
        <f>IFERROR(VLOOKUP(TEXT(O434,"0"),CONDUCTORES!$A$3:$H$54,6,0),"")</f>
        <v/>
      </c>
      <c r="R434" s="280" t="n"/>
      <c r="S434" s="280" t="n"/>
      <c r="T434" s="280" t="n"/>
      <c r="U434" s="280" t="n"/>
      <c r="V434" s="280" t="n"/>
      <c r="W434" s="280" t="n"/>
      <c r="X434" s="280" t="n"/>
      <c r="Y434" s="280" t="n"/>
    </row>
    <row r="435" ht="15" customHeight="1" s="195">
      <c r="A435" s="334" t="n"/>
      <c r="B435" s="334" t="n"/>
      <c r="C435" s="334" t="n"/>
      <c r="D435" s="334" t="n"/>
      <c r="E435" s="334" t="n"/>
      <c r="F435" s="334" t="n"/>
      <c r="G435" s="334" t="n"/>
      <c r="H435" s="334" t="n"/>
      <c r="I435" s="332">
        <f>IFERROR(VLOOKUP(TEXT(H435,"0"),IPRESS!$A$3:$B$212,2,0),"")</f>
        <v/>
      </c>
      <c r="J435" s="334" t="n"/>
      <c r="K435" s="332">
        <f>IFERROR(VLOOKUP(TEXT(O435,"0"),CONDUCTORES!$A$3:$G$54,7,0),"")</f>
        <v/>
      </c>
      <c r="L435" s="334" t="n"/>
      <c r="M435" s="334" t="n"/>
      <c r="N435" s="333">
        <f>IFERROR(IF(L435*M435=0,"",L435*M435),"")</f>
        <v/>
      </c>
      <c r="O435" s="334" t="n"/>
      <c r="P435" s="332">
        <f>IFERROR(VLOOKUP(TEXT(O435,"0"),CONDUCTORES!$A$3:$G$54,2,0),"")</f>
        <v/>
      </c>
      <c r="Q435" s="332">
        <f>IFERROR(VLOOKUP(TEXT(O435,"0"),CONDUCTORES!$A$3:$H$54,6,0),"")</f>
        <v/>
      </c>
      <c r="R435" s="334" t="n"/>
      <c r="S435" s="334" t="n"/>
      <c r="T435" s="334" t="n"/>
      <c r="U435" s="334" t="n"/>
      <c r="V435" s="334" t="n"/>
      <c r="W435" s="334" t="n"/>
      <c r="X435" s="334" t="n"/>
      <c r="Y435" s="334" t="n"/>
    </row>
    <row r="436" ht="15" customHeight="1" s="195">
      <c r="A436" s="280" t="n"/>
      <c r="B436" s="280" t="n"/>
      <c r="C436" s="280" t="n"/>
      <c r="D436" s="280" t="n"/>
      <c r="E436" s="280" t="n"/>
      <c r="F436" s="280" t="n"/>
      <c r="G436" s="280" t="n"/>
      <c r="H436" s="280" t="n"/>
      <c r="I436" s="332">
        <f>IFERROR(VLOOKUP(TEXT(H436,"0"),IPRESS!$A$3:$B$212,2,0),"")</f>
        <v/>
      </c>
      <c r="J436" s="280" t="n"/>
      <c r="K436" s="332">
        <f>IFERROR(VLOOKUP(TEXT(O436,"0"),CONDUCTORES!$A$3:$G$54,7,0),"")</f>
        <v/>
      </c>
      <c r="L436" s="280" t="n"/>
      <c r="M436" s="280" t="n"/>
      <c r="N436" s="333">
        <f>IFERROR(IF(L436*M436=0,"",L436*M436),"")</f>
        <v/>
      </c>
      <c r="O436" s="280" t="n"/>
      <c r="P436" s="332">
        <f>IFERROR(VLOOKUP(TEXT(O436,"0"),CONDUCTORES!$A$3:$G$54,2,0),"")</f>
        <v/>
      </c>
      <c r="Q436" s="332">
        <f>IFERROR(VLOOKUP(TEXT(O436,"0"),CONDUCTORES!$A$3:$H$54,6,0),"")</f>
        <v/>
      </c>
      <c r="R436" s="280" t="n"/>
      <c r="S436" s="280" t="n"/>
      <c r="T436" s="280" t="n"/>
      <c r="U436" s="280" t="n"/>
      <c r="V436" s="280" t="n"/>
      <c r="W436" s="280" t="n"/>
      <c r="X436" s="280" t="n"/>
      <c r="Y436" s="280" t="n"/>
    </row>
    <row r="437" ht="15" customHeight="1" s="195">
      <c r="A437" s="334" t="n"/>
      <c r="B437" s="334" t="n"/>
      <c r="C437" s="334" t="n"/>
      <c r="D437" s="334" t="n"/>
      <c r="E437" s="334" t="n"/>
      <c r="F437" s="334" t="n"/>
      <c r="G437" s="334" t="n"/>
      <c r="H437" s="334" t="n"/>
      <c r="I437" s="332">
        <f>IFERROR(VLOOKUP(TEXT(H437,"0"),IPRESS!$A$3:$B$212,2,0),"")</f>
        <v/>
      </c>
      <c r="J437" s="334" t="n"/>
      <c r="K437" s="332">
        <f>IFERROR(VLOOKUP(TEXT(O437,"0"),CONDUCTORES!$A$3:$G$54,7,0),"")</f>
        <v/>
      </c>
      <c r="L437" s="334" t="n"/>
      <c r="M437" s="334" t="n"/>
      <c r="N437" s="333">
        <f>IFERROR(IF(L437*M437=0,"",L437*M437),"")</f>
        <v/>
      </c>
      <c r="O437" s="334" t="n"/>
      <c r="P437" s="332">
        <f>IFERROR(VLOOKUP(TEXT(O437,"0"),CONDUCTORES!$A$3:$G$54,2,0),"")</f>
        <v/>
      </c>
      <c r="Q437" s="332">
        <f>IFERROR(VLOOKUP(TEXT(O437,"0"),CONDUCTORES!$A$3:$H$54,6,0),"")</f>
        <v/>
      </c>
      <c r="R437" s="334" t="n"/>
      <c r="S437" s="334" t="n"/>
      <c r="T437" s="334" t="n"/>
      <c r="U437" s="334" t="n"/>
      <c r="V437" s="334" t="n"/>
      <c r="W437" s="334" t="n"/>
      <c r="X437" s="334" t="n"/>
      <c r="Y437" s="334" t="n"/>
    </row>
    <row r="438" ht="15" customHeight="1" s="195">
      <c r="A438" s="280" t="n"/>
      <c r="B438" s="280" t="n"/>
      <c r="C438" s="280" t="n"/>
      <c r="D438" s="280" t="n"/>
      <c r="E438" s="280" t="n"/>
      <c r="F438" s="280" t="n"/>
      <c r="G438" s="280" t="n"/>
      <c r="H438" s="280" t="n"/>
      <c r="I438" s="332">
        <f>IFERROR(VLOOKUP(TEXT(H438,"0"),IPRESS!$A$3:$B$212,2,0),"")</f>
        <v/>
      </c>
      <c r="J438" s="280" t="n"/>
      <c r="K438" s="332">
        <f>IFERROR(VLOOKUP(TEXT(O438,"0"),CONDUCTORES!$A$3:$G$54,7,0),"")</f>
        <v/>
      </c>
      <c r="L438" s="280" t="n"/>
      <c r="M438" s="280" t="n"/>
      <c r="N438" s="333">
        <f>IFERROR(IF(L438*M438=0,"",L438*M438),"")</f>
        <v/>
      </c>
      <c r="O438" s="280" t="n"/>
      <c r="P438" s="332">
        <f>IFERROR(VLOOKUP(TEXT(O438,"0"),CONDUCTORES!$A$3:$G$54,2,0),"")</f>
        <v/>
      </c>
      <c r="Q438" s="332">
        <f>IFERROR(VLOOKUP(TEXT(O438,"0"),CONDUCTORES!$A$3:$H$54,6,0),"")</f>
        <v/>
      </c>
      <c r="R438" s="280" t="n"/>
      <c r="S438" s="280" t="n"/>
      <c r="T438" s="280" t="n"/>
      <c r="U438" s="280" t="n"/>
      <c r="V438" s="280" t="n"/>
      <c r="W438" s="280" t="n"/>
      <c r="X438" s="280" t="n"/>
      <c r="Y438" s="280" t="n"/>
    </row>
    <row r="439" ht="15" customHeight="1" s="195">
      <c r="A439" s="334" t="n"/>
      <c r="B439" s="334" t="n"/>
      <c r="C439" s="334" t="n"/>
      <c r="D439" s="334" t="n"/>
      <c r="E439" s="334" t="n"/>
      <c r="F439" s="334" t="n"/>
      <c r="G439" s="334" t="n"/>
      <c r="H439" s="334" t="n"/>
      <c r="I439" s="332">
        <f>IFERROR(VLOOKUP(TEXT(H439,"0"),IPRESS!$A$3:$B$212,2,0),"")</f>
        <v/>
      </c>
      <c r="J439" s="334" t="n"/>
      <c r="K439" s="332">
        <f>IFERROR(VLOOKUP(TEXT(O439,"0"),CONDUCTORES!$A$3:$G$54,7,0),"")</f>
        <v/>
      </c>
      <c r="L439" s="334" t="n"/>
      <c r="M439" s="334" t="n"/>
      <c r="N439" s="333">
        <f>IFERROR(IF(L439*M439=0,"",L439*M439),"")</f>
        <v/>
      </c>
      <c r="O439" s="334" t="n"/>
      <c r="P439" s="332">
        <f>IFERROR(VLOOKUP(TEXT(O439,"0"),CONDUCTORES!$A$3:$G$54,2,0),"")</f>
        <v/>
      </c>
      <c r="Q439" s="332">
        <f>IFERROR(VLOOKUP(TEXT(O439,"0"),CONDUCTORES!$A$3:$H$54,6,0),"")</f>
        <v/>
      </c>
      <c r="R439" s="334" t="n"/>
      <c r="S439" s="334" t="n"/>
      <c r="T439" s="334" t="n"/>
      <c r="U439" s="334" t="n"/>
      <c r="V439" s="334" t="n"/>
      <c r="W439" s="334" t="n"/>
      <c r="X439" s="334" t="n"/>
      <c r="Y439" s="334" t="n"/>
    </row>
    <row r="440" ht="15" customHeight="1" s="195">
      <c r="A440" s="280" t="n"/>
      <c r="B440" s="280" t="n"/>
      <c r="C440" s="280" t="n"/>
      <c r="D440" s="280" t="n"/>
      <c r="E440" s="280" t="n"/>
      <c r="F440" s="280" t="n"/>
      <c r="G440" s="280" t="n"/>
      <c r="H440" s="280" t="n"/>
      <c r="I440" s="332">
        <f>IFERROR(VLOOKUP(TEXT(H440,"0"),IPRESS!$A$3:$B$212,2,0),"")</f>
        <v/>
      </c>
      <c r="J440" s="280" t="n"/>
      <c r="K440" s="332">
        <f>IFERROR(VLOOKUP(TEXT(O440,"0"),CONDUCTORES!$A$3:$G$54,7,0),"")</f>
        <v/>
      </c>
      <c r="L440" s="280" t="n"/>
      <c r="M440" s="280" t="n"/>
      <c r="N440" s="333">
        <f>IFERROR(IF(L440*M440=0,"",L440*M440),"")</f>
        <v/>
      </c>
      <c r="O440" s="280" t="n"/>
      <c r="P440" s="332">
        <f>IFERROR(VLOOKUP(TEXT(O440,"0"),CONDUCTORES!$A$3:$G$54,2,0),"")</f>
        <v/>
      </c>
      <c r="Q440" s="332">
        <f>IFERROR(VLOOKUP(TEXT(O440,"0"),CONDUCTORES!$A$3:$H$54,6,0),"")</f>
        <v/>
      </c>
      <c r="R440" s="280" t="n"/>
      <c r="S440" s="280" t="n"/>
      <c r="T440" s="280" t="n"/>
      <c r="U440" s="280" t="n"/>
      <c r="V440" s="280" t="n"/>
      <c r="W440" s="280" t="n"/>
      <c r="X440" s="280" t="n"/>
      <c r="Y440" s="280" t="n"/>
    </row>
    <row r="441" ht="15" customHeight="1" s="195">
      <c r="A441" s="334" t="n"/>
      <c r="B441" s="334" t="n"/>
      <c r="C441" s="334" t="n"/>
      <c r="D441" s="334" t="n"/>
      <c r="E441" s="334" t="n"/>
      <c r="F441" s="334" t="n"/>
      <c r="G441" s="334" t="n"/>
      <c r="H441" s="334" t="n"/>
      <c r="I441" s="332">
        <f>IFERROR(VLOOKUP(TEXT(H441,"0"),IPRESS!$A$3:$B$212,2,0),"")</f>
        <v/>
      </c>
      <c r="J441" s="334" t="n"/>
      <c r="K441" s="332">
        <f>IFERROR(VLOOKUP(TEXT(O441,"0"),CONDUCTORES!$A$3:$G$54,7,0),"")</f>
        <v/>
      </c>
      <c r="L441" s="334" t="n"/>
      <c r="M441" s="334" t="n"/>
      <c r="N441" s="333">
        <f>IFERROR(IF(L441*M441=0,"",L441*M441),"")</f>
        <v/>
      </c>
      <c r="O441" s="334" t="n"/>
      <c r="P441" s="332">
        <f>IFERROR(VLOOKUP(TEXT(O441,"0"),CONDUCTORES!$A$3:$G$54,2,0),"")</f>
        <v/>
      </c>
      <c r="Q441" s="332">
        <f>IFERROR(VLOOKUP(TEXT(O441,"0"),CONDUCTORES!$A$3:$H$54,6,0),"")</f>
        <v/>
      </c>
      <c r="R441" s="334" t="n"/>
      <c r="S441" s="334" t="n"/>
      <c r="T441" s="334" t="n"/>
      <c r="U441" s="334" t="n"/>
      <c r="V441" s="334" t="n"/>
      <c r="W441" s="334" t="n"/>
      <c r="X441" s="334" t="n"/>
      <c r="Y441" s="334" t="n"/>
    </row>
    <row r="442" ht="15" customHeight="1" s="195">
      <c r="A442" s="280" t="n"/>
      <c r="B442" s="280" t="n"/>
      <c r="C442" s="280" t="n"/>
      <c r="D442" s="280" t="n"/>
      <c r="E442" s="280" t="n"/>
      <c r="F442" s="280" t="n"/>
      <c r="G442" s="280" t="n"/>
      <c r="H442" s="280" t="n"/>
      <c r="I442" s="332">
        <f>IFERROR(VLOOKUP(TEXT(H442,"0"),IPRESS!$A$3:$B$212,2,0),"")</f>
        <v/>
      </c>
      <c r="J442" s="280" t="n"/>
      <c r="K442" s="332">
        <f>IFERROR(VLOOKUP(TEXT(O442,"0"),CONDUCTORES!$A$3:$G$54,7,0),"")</f>
        <v/>
      </c>
      <c r="L442" s="280" t="n"/>
      <c r="M442" s="280" t="n"/>
      <c r="N442" s="333">
        <f>IFERROR(IF(L442*M442=0,"",L442*M442),"")</f>
        <v/>
      </c>
      <c r="O442" s="280" t="n"/>
      <c r="P442" s="332">
        <f>IFERROR(VLOOKUP(TEXT(O442,"0"),CONDUCTORES!$A$3:$G$54,2,0),"")</f>
        <v/>
      </c>
      <c r="Q442" s="332">
        <f>IFERROR(VLOOKUP(TEXT(O442,"0"),CONDUCTORES!$A$3:$H$54,6,0),"")</f>
        <v/>
      </c>
      <c r="R442" s="280" t="n"/>
      <c r="S442" s="280" t="n"/>
      <c r="T442" s="280" t="n"/>
      <c r="U442" s="280" t="n"/>
      <c r="V442" s="280" t="n"/>
      <c r="W442" s="280" t="n"/>
      <c r="X442" s="280" t="n"/>
      <c r="Y442" s="280" t="n"/>
    </row>
    <row r="443" ht="15" customHeight="1" s="195">
      <c r="A443" s="334" t="n"/>
      <c r="B443" s="334" t="n"/>
      <c r="C443" s="334" t="n"/>
      <c r="D443" s="334" t="n"/>
      <c r="E443" s="334" t="n"/>
      <c r="F443" s="334" t="n"/>
      <c r="G443" s="334" t="n"/>
      <c r="H443" s="334" t="n"/>
      <c r="I443" s="332">
        <f>IFERROR(VLOOKUP(TEXT(H443,"0"),IPRESS!$A$3:$B$212,2,0),"")</f>
        <v/>
      </c>
      <c r="J443" s="334" t="n"/>
      <c r="K443" s="332">
        <f>IFERROR(VLOOKUP(TEXT(O443,"0"),CONDUCTORES!$A$3:$G$54,7,0),"")</f>
        <v/>
      </c>
      <c r="L443" s="334" t="n"/>
      <c r="M443" s="334" t="n"/>
      <c r="N443" s="333">
        <f>IFERROR(IF(L443*M443=0,"",L443*M443),"")</f>
        <v/>
      </c>
      <c r="O443" s="334" t="n"/>
      <c r="P443" s="332">
        <f>IFERROR(VLOOKUP(TEXT(O443,"0"),CONDUCTORES!$A$3:$G$54,2,0),"")</f>
        <v/>
      </c>
      <c r="Q443" s="332">
        <f>IFERROR(VLOOKUP(TEXT(O443,"0"),CONDUCTORES!$A$3:$H$54,6,0),"")</f>
        <v/>
      </c>
      <c r="R443" s="334" t="n"/>
      <c r="S443" s="334" t="n"/>
      <c r="T443" s="334" t="n"/>
      <c r="U443" s="334" t="n"/>
      <c r="V443" s="334" t="n"/>
      <c r="W443" s="334" t="n"/>
      <c r="X443" s="334" t="n"/>
      <c r="Y443" s="334" t="n"/>
    </row>
    <row r="444" ht="15" customHeight="1" s="195">
      <c r="A444" s="280" t="n"/>
      <c r="B444" s="280" t="n"/>
      <c r="C444" s="280" t="n"/>
      <c r="D444" s="280" t="n"/>
      <c r="E444" s="280" t="n"/>
      <c r="F444" s="280" t="n"/>
      <c r="G444" s="280" t="n"/>
      <c r="H444" s="280" t="n"/>
      <c r="I444" s="332">
        <f>IFERROR(VLOOKUP(TEXT(H444,"0"),IPRESS!$A$3:$B$212,2,0),"")</f>
        <v/>
      </c>
      <c r="J444" s="280" t="n"/>
      <c r="K444" s="332">
        <f>IFERROR(VLOOKUP(TEXT(O444,"0"),CONDUCTORES!$A$3:$G$54,7,0),"")</f>
        <v/>
      </c>
      <c r="L444" s="280" t="n"/>
      <c r="M444" s="280" t="n"/>
      <c r="N444" s="333">
        <f>IFERROR(IF(L444*M444=0,"",L444*M444),"")</f>
        <v/>
      </c>
      <c r="O444" s="280" t="n"/>
      <c r="P444" s="332">
        <f>IFERROR(VLOOKUP(TEXT(O444,"0"),CONDUCTORES!$A$3:$G$54,2,0),"")</f>
        <v/>
      </c>
      <c r="Q444" s="332">
        <f>IFERROR(VLOOKUP(TEXT(O444,"0"),CONDUCTORES!$A$3:$H$54,6,0),"")</f>
        <v/>
      </c>
      <c r="R444" s="280" t="n"/>
      <c r="S444" s="280" t="n"/>
      <c r="T444" s="280" t="n"/>
      <c r="U444" s="280" t="n"/>
      <c r="V444" s="280" t="n"/>
      <c r="W444" s="280" t="n"/>
      <c r="X444" s="280" t="n"/>
      <c r="Y444" s="280" t="n"/>
    </row>
    <row r="445" ht="15" customHeight="1" s="195">
      <c r="A445" s="334" t="n"/>
      <c r="B445" s="334" t="n"/>
      <c r="C445" s="334" t="n"/>
      <c r="D445" s="334" t="n"/>
      <c r="E445" s="334" t="n"/>
      <c r="F445" s="334" t="n"/>
      <c r="G445" s="334" t="n"/>
      <c r="H445" s="334" t="n"/>
      <c r="I445" s="332">
        <f>IFERROR(VLOOKUP(TEXT(H445,"0"),IPRESS!$A$3:$B$212,2,0),"")</f>
        <v/>
      </c>
      <c r="J445" s="334" t="n"/>
      <c r="K445" s="332">
        <f>IFERROR(VLOOKUP(TEXT(O445,"0"),CONDUCTORES!$A$3:$G$54,7,0),"")</f>
        <v/>
      </c>
      <c r="L445" s="334" t="n"/>
      <c r="M445" s="334" t="n"/>
      <c r="N445" s="333">
        <f>IFERROR(IF(L445*M445=0,"",L445*M445),"")</f>
        <v/>
      </c>
      <c r="O445" s="334" t="n"/>
      <c r="P445" s="332">
        <f>IFERROR(VLOOKUP(TEXT(O445,"0"),CONDUCTORES!$A$3:$G$54,2,0),"")</f>
        <v/>
      </c>
      <c r="Q445" s="332">
        <f>IFERROR(VLOOKUP(TEXT(O445,"0"),CONDUCTORES!$A$3:$H$54,6,0),"")</f>
        <v/>
      </c>
      <c r="R445" s="334" t="n"/>
      <c r="S445" s="334" t="n"/>
      <c r="T445" s="334" t="n"/>
      <c r="U445" s="334" t="n"/>
      <c r="V445" s="334" t="n"/>
      <c r="W445" s="334" t="n"/>
      <c r="X445" s="334" t="n"/>
      <c r="Y445" s="334" t="n"/>
    </row>
    <row r="446" ht="15" customHeight="1" s="195">
      <c r="A446" s="280" t="n"/>
      <c r="B446" s="280" t="n"/>
      <c r="C446" s="280" t="n"/>
      <c r="D446" s="280" t="n"/>
      <c r="E446" s="280" t="n"/>
      <c r="F446" s="280" t="n"/>
      <c r="G446" s="280" t="n"/>
      <c r="H446" s="280" t="n"/>
      <c r="I446" s="332">
        <f>IFERROR(VLOOKUP(TEXT(H446,"0"),IPRESS!$A$3:$B$212,2,0),"")</f>
        <v/>
      </c>
      <c r="J446" s="280" t="n"/>
      <c r="K446" s="332">
        <f>IFERROR(VLOOKUP(TEXT(O446,"0"),CONDUCTORES!$A$3:$G$54,7,0),"")</f>
        <v/>
      </c>
      <c r="L446" s="280" t="n"/>
      <c r="M446" s="280" t="n"/>
      <c r="N446" s="333">
        <f>IFERROR(IF(L446*M446=0,"",L446*M446),"")</f>
        <v/>
      </c>
      <c r="O446" s="280" t="n"/>
      <c r="P446" s="332">
        <f>IFERROR(VLOOKUP(TEXT(O446,"0"),CONDUCTORES!$A$3:$G$54,2,0),"")</f>
        <v/>
      </c>
      <c r="Q446" s="332">
        <f>IFERROR(VLOOKUP(TEXT(O446,"0"),CONDUCTORES!$A$3:$H$54,6,0),"")</f>
        <v/>
      </c>
      <c r="R446" s="280" t="n"/>
      <c r="S446" s="280" t="n"/>
      <c r="T446" s="280" t="n"/>
      <c r="U446" s="280" t="n"/>
      <c r="V446" s="280" t="n"/>
      <c r="W446" s="280" t="n"/>
      <c r="X446" s="280" t="n"/>
      <c r="Y446" s="280" t="n"/>
    </row>
    <row r="447" ht="15" customHeight="1" s="195">
      <c r="A447" s="334" t="n"/>
      <c r="B447" s="334" t="n"/>
      <c r="C447" s="334" t="n"/>
      <c r="D447" s="334" t="n"/>
      <c r="E447" s="334" t="n"/>
      <c r="F447" s="334" t="n"/>
      <c r="G447" s="334" t="n"/>
      <c r="H447" s="334" t="n"/>
      <c r="I447" s="332">
        <f>IFERROR(VLOOKUP(TEXT(H447,"0"),IPRESS!$A$3:$B$212,2,0),"")</f>
        <v/>
      </c>
      <c r="J447" s="334" t="n"/>
      <c r="K447" s="332">
        <f>IFERROR(VLOOKUP(TEXT(O447,"0"),CONDUCTORES!$A$3:$G$54,7,0),"")</f>
        <v/>
      </c>
      <c r="L447" s="334" t="n"/>
      <c r="M447" s="334" t="n"/>
      <c r="N447" s="333">
        <f>IFERROR(IF(L447*M447=0,"",L447*M447),"")</f>
        <v/>
      </c>
      <c r="O447" s="334" t="n"/>
      <c r="P447" s="332">
        <f>IFERROR(VLOOKUP(TEXT(O447,"0"),CONDUCTORES!$A$3:$G$54,2,0),"")</f>
        <v/>
      </c>
      <c r="Q447" s="332">
        <f>IFERROR(VLOOKUP(TEXT(O447,"0"),CONDUCTORES!$A$3:$H$54,6,0),"")</f>
        <v/>
      </c>
      <c r="R447" s="334" t="n"/>
      <c r="S447" s="334" t="n"/>
      <c r="T447" s="334" t="n"/>
      <c r="U447" s="334" t="n"/>
      <c r="V447" s="334" t="n"/>
      <c r="W447" s="334" t="n"/>
      <c r="X447" s="334" t="n"/>
      <c r="Y447" s="334" t="n"/>
    </row>
    <row r="448" ht="15" customHeight="1" s="195">
      <c r="A448" s="280" t="n"/>
      <c r="B448" s="280" t="n"/>
      <c r="C448" s="280" t="n"/>
      <c r="D448" s="280" t="n"/>
      <c r="E448" s="280" t="n"/>
      <c r="F448" s="280" t="n"/>
      <c r="G448" s="280" t="n"/>
      <c r="H448" s="280" t="n"/>
      <c r="I448" s="332">
        <f>IFERROR(VLOOKUP(TEXT(H448,"0"),IPRESS!$A$3:$B$212,2,0),"")</f>
        <v/>
      </c>
      <c r="J448" s="280" t="n"/>
      <c r="K448" s="332">
        <f>IFERROR(VLOOKUP(TEXT(O448,"0"),CONDUCTORES!$A$3:$G$54,7,0),"")</f>
        <v/>
      </c>
      <c r="L448" s="280" t="n"/>
      <c r="M448" s="280" t="n"/>
      <c r="N448" s="333">
        <f>IFERROR(IF(L448*M448=0,"",L448*M448),"")</f>
        <v/>
      </c>
      <c r="O448" s="280" t="n"/>
      <c r="P448" s="332">
        <f>IFERROR(VLOOKUP(TEXT(O448,"0"),CONDUCTORES!$A$3:$G$54,2,0),"")</f>
        <v/>
      </c>
      <c r="Q448" s="332">
        <f>IFERROR(VLOOKUP(TEXT(O448,"0"),CONDUCTORES!$A$3:$H$54,6,0),"")</f>
        <v/>
      </c>
      <c r="R448" s="280" t="n"/>
      <c r="S448" s="280" t="n"/>
      <c r="T448" s="280" t="n"/>
      <c r="U448" s="280" t="n"/>
      <c r="V448" s="280" t="n"/>
      <c r="W448" s="280" t="n"/>
      <c r="X448" s="280" t="n"/>
      <c r="Y448" s="280" t="n"/>
    </row>
    <row r="449" ht="15" customHeight="1" s="195">
      <c r="A449" s="334" t="n"/>
      <c r="B449" s="334" t="n"/>
      <c r="C449" s="334" t="n"/>
      <c r="D449" s="334" t="n"/>
      <c r="E449" s="334" t="n"/>
      <c r="F449" s="334" t="n"/>
      <c r="G449" s="334" t="n"/>
      <c r="H449" s="334" t="n"/>
      <c r="I449" s="332">
        <f>IFERROR(VLOOKUP(TEXT(H449,"0"),IPRESS!$A$3:$B$212,2,0),"")</f>
        <v/>
      </c>
      <c r="J449" s="334" t="n"/>
      <c r="K449" s="332">
        <f>IFERROR(VLOOKUP(TEXT(O449,"0"),CONDUCTORES!$A$3:$G$54,7,0),"")</f>
        <v/>
      </c>
      <c r="L449" s="334" t="n"/>
      <c r="M449" s="334" t="n"/>
      <c r="N449" s="333">
        <f>IFERROR(IF(L449*M449=0,"",L449*M449),"")</f>
        <v/>
      </c>
      <c r="O449" s="334" t="n"/>
      <c r="P449" s="332">
        <f>IFERROR(VLOOKUP(TEXT(O449,"0"),CONDUCTORES!$A$3:$G$54,2,0),"")</f>
        <v/>
      </c>
      <c r="Q449" s="332">
        <f>IFERROR(VLOOKUP(TEXT(O449,"0"),CONDUCTORES!$A$3:$H$54,6,0),"")</f>
        <v/>
      </c>
      <c r="R449" s="334" t="n"/>
      <c r="S449" s="334" t="n"/>
      <c r="T449" s="334" t="n"/>
      <c r="U449" s="334" t="n"/>
      <c r="V449" s="334" t="n"/>
      <c r="W449" s="334" t="n"/>
      <c r="X449" s="334" t="n"/>
      <c r="Y449" s="334" t="n"/>
    </row>
    <row r="450" ht="15" customHeight="1" s="195">
      <c r="A450" s="280" t="n"/>
      <c r="B450" s="280" t="n"/>
      <c r="C450" s="280" t="n"/>
      <c r="D450" s="280" t="n"/>
      <c r="E450" s="280" t="n"/>
      <c r="F450" s="280" t="n"/>
      <c r="G450" s="280" t="n"/>
      <c r="H450" s="280" t="n"/>
      <c r="I450" s="332">
        <f>IFERROR(VLOOKUP(TEXT(H450,"0"),IPRESS!$A$3:$B$212,2,0),"")</f>
        <v/>
      </c>
      <c r="J450" s="280" t="n"/>
      <c r="K450" s="332">
        <f>IFERROR(VLOOKUP(TEXT(O450,"0"),CONDUCTORES!$A$3:$G$54,7,0),"")</f>
        <v/>
      </c>
      <c r="L450" s="280" t="n"/>
      <c r="M450" s="280" t="n"/>
      <c r="N450" s="333">
        <f>IFERROR(IF(L450*M450=0,"",L450*M450),"")</f>
        <v/>
      </c>
      <c r="O450" s="280" t="n"/>
      <c r="P450" s="332">
        <f>IFERROR(VLOOKUP(TEXT(O450,"0"),CONDUCTORES!$A$3:$G$54,2,0),"")</f>
        <v/>
      </c>
      <c r="Q450" s="332">
        <f>IFERROR(VLOOKUP(TEXT(O450,"0"),CONDUCTORES!$A$3:$H$54,6,0),"")</f>
        <v/>
      </c>
      <c r="R450" s="280" t="n"/>
      <c r="S450" s="280" t="n"/>
      <c r="T450" s="280" t="n"/>
      <c r="U450" s="280" t="n"/>
      <c r="V450" s="280" t="n"/>
      <c r="W450" s="280" t="n"/>
      <c r="X450" s="280" t="n"/>
      <c r="Y450" s="280" t="n"/>
    </row>
    <row r="451" ht="15" customHeight="1" s="195">
      <c r="A451" s="334" t="n"/>
      <c r="B451" s="334" t="n"/>
      <c r="C451" s="334" t="n"/>
      <c r="D451" s="334" t="n"/>
      <c r="E451" s="334" t="n"/>
      <c r="F451" s="334" t="n"/>
      <c r="G451" s="334" t="n"/>
      <c r="H451" s="334" t="n"/>
      <c r="I451" s="332">
        <f>IFERROR(VLOOKUP(TEXT(H451,"0"),IPRESS!$A$3:$B$212,2,0),"")</f>
        <v/>
      </c>
      <c r="J451" s="334" t="n"/>
      <c r="K451" s="332">
        <f>IFERROR(VLOOKUP(TEXT(O451,"0"),CONDUCTORES!$A$3:$G$54,7,0),"")</f>
        <v/>
      </c>
      <c r="L451" s="334" t="n"/>
      <c r="M451" s="334" t="n"/>
      <c r="N451" s="333">
        <f>IFERROR(IF(L451*M451=0,"",L451*M451),"")</f>
        <v/>
      </c>
      <c r="O451" s="334" t="n"/>
      <c r="P451" s="332">
        <f>IFERROR(VLOOKUP(TEXT(O451,"0"),CONDUCTORES!$A$3:$G$54,2,0),"")</f>
        <v/>
      </c>
      <c r="Q451" s="332">
        <f>IFERROR(VLOOKUP(TEXT(O451,"0"),CONDUCTORES!$A$3:$H$54,6,0),"")</f>
        <v/>
      </c>
      <c r="R451" s="334" t="n"/>
      <c r="S451" s="334" t="n"/>
      <c r="T451" s="334" t="n"/>
      <c r="U451" s="334" t="n"/>
      <c r="V451" s="334" t="n"/>
      <c r="W451" s="334" t="n"/>
      <c r="X451" s="334" t="n"/>
      <c r="Y451" s="334" t="n"/>
    </row>
    <row r="452" ht="15" customHeight="1" s="195">
      <c r="A452" s="280" t="n"/>
      <c r="B452" s="280" t="n"/>
      <c r="C452" s="280" t="n"/>
      <c r="D452" s="280" t="n"/>
      <c r="E452" s="280" t="n"/>
      <c r="F452" s="280" t="n"/>
      <c r="G452" s="280" t="n"/>
      <c r="H452" s="280" t="n"/>
      <c r="I452" s="332">
        <f>IFERROR(VLOOKUP(TEXT(H452,"0"),IPRESS!$A$3:$B$212,2,0),"")</f>
        <v/>
      </c>
      <c r="J452" s="280" t="n"/>
      <c r="K452" s="332">
        <f>IFERROR(VLOOKUP(TEXT(O452,"0"),CONDUCTORES!$A$3:$G$54,7,0),"")</f>
        <v/>
      </c>
      <c r="L452" s="280" t="n"/>
      <c r="M452" s="280" t="n"/>
      <c r="N452" s="333">
        <f>IFERROR(IF(L452*M452=0,"",L452*M452),"")</f>
        <v/>
      </c>
      <c r="O452" s="280" t="n"/>
      <c r="P452" s="332">
        <f>IFERROR(VLOOKUP(TEXT(O452,"0"),CONDUCTORES!$A$3:$G$54,2,0),"")</f>
        <v/>
      </c>
      <c r="Q452" s="332">
        <f>IFERROR(VLOOKUP(TEXT(O452,"0"),CONDUCTORES!$A$3:$H$54,6,0),"")</f>
        <v/>
      </c>
      <c r="R452" s="280" t="n"/>
      <c r="S452" s="280" t="n"/>
      <c r="T452" s="280" t="n"/>
      <c r="U452" s="280" t="n"/>
      <c r="V452" s="280" t="n"/>
      <c r="W452" s="280" t="n"/>
      <c r="X452" s="280" t="n"/>
      <c r="Y452" s="280" t="n"/>
    </row>
    <row r="453" ht="15" customHeight="1" s="195">
      <c r="A453" s="334" t="n"/>
      <c r="B453" s="334" t="n"/>
      <c r="C453" s="334" t="n"/>
      <c r="D453" s="334" t="n"/>
      <c r="E453" s="334" t="n"/>
      <c r="F453" s="334" t="n"/>
      <c r="G453" s="334" t="n"/>
      <c r="H453" s="334" t="n"/>
      <c r="I453" s="332">
        <f>IFERROR(VLOOKUP(TEXT(H453,"0"),IPRESS!$A$3:$B$212,2,0),"")</f>
        <v/>
      </c>
      <c r="J453" s="334" t="n"/>
      <c r="K453" s="332">
        <f>IFERROR(VLOOKUP(TEXT(O453,"0"),CONDUCTORES!$A$3:$G$54,7,0),"")</f>
        <v/>
      </c>
      <c r="L453" s="334" t="n"/>
      <c r="M453" s="334" t="n"/>
      <c r="N453" s="333">
        <f>IFERROR(IF(L453*M453=0,"",L453*M453),"")</f>
        <v/>
      </c>
      <c r="O453" s="334" t="n"/>
      <c r="P453" s="332">
        <f>IFERROR(VLOOKUP(TEXT(O453,"0"),CONDUCTORES!$A$3:$G$54,2,0),"")</f>
        <v/>
      </c>
      <c r="Q453" s="332">
        <f>IFERROR(VLOOKUP(TEXT(O453,"0"),CONDUCTORES!$A$3:$H$54,6,0),"")</f>
        <v/>
      </c>
      <c r="R453" s="334" t="n"/>
      <c r="S453" s="334" t="n"/>
      <c r="T453" s="334" t="n"/>
      <c r="U453" s="334" t="n"/>
      <c r="V453" s="334" t="n"/>
      <c r="W453" s="334" t="n"/>
      <c r="X453" s="334" t="n"/>
      <c r="Y453" s="334" t="n"/>
    </row>
    <row r="454" ht="15" customHeight="1" s="195">
      <c r="A454" s="280" t="n"/>
      <c r="B454" s="280" t="n"/>
      <c r="C454" s="280" t="n"/>
      <c r="D454" s="280" t="n"/>
      <c r="E454" s="280" t="n"/>
      <c r="F454" s="280" t="n"/>
      <c r="G454" s="280" t="n"/>
      <c r="H454" s="280" t="n"/>
      <c r="I454" s="332">
        <f>IFERROR(VLOOKUP(TEXT(H454,"0"),IPRESS!$A$3:$B$212,2,0),"")</f>
        <v/>
      </c>
      <c r="J454" s="280" t="n"/>
      <c r="K454" s="332">
        <f>IFERROR(VLOOKUP(TEXT(O454,"0"),CONDUCTORES!$A$3:$G$54,7,0),"")</f>
        <v/>
      </c>
      <c r="L454" s="280" t="n"/>
      <c r="M454" s="280" t="n"/>
      <c r="N454" s="333">
        <f>IFERROR(IF(L454*M454=0,"",L454*M454),"")</f>
        <v/>
      </c>
      <c r="O454" s="280" t="n"/>
      <c r="P454" s="332">
        <f>IFERROR(VLOOKUP(TEXT(O454,"0"),CONDUCTORES!$A$3:$G$54,2,0),"")</f>
        <v/>
      </c>
      <c r="Q454" s="332">
        <f>IFERROR(VLOOKUP(TEXT(O454,"0"),CONDUCTORES!$A$3:$H$54,6,0),"")</f>
        <v/>
      </c>
      <c r="R454" s="280" t="n"/>
      <c r="S454" s="280" t="n"/>
      <c r="T454" s="280" t="n"/>
      <c r="U454" s="280" t="n"/>
      <c r="V454" s="280" t="n"/>
      <c r="W454" s="280" t="n"/>
      <c r="X454" s="280" t="n"/>
      <c r="Y454" s="280" t="n"/>
    </row>
    <row r="455" ht="15" customHeight="1" s="195">
      <c r="A455" s="334" t="n"/>
      <c r="B455" s="334" t="n"/>
      <c r="C455" s="334" t="n"/>
      <c r="D455" s="334" t="n"/>
      <c r="E455" s="334" t="n"/>
      <c r="F455" s="334" t="n"/>
      <c r="G455" s="334" t="n"/>
      <c r="H455" s="334" t="n"/>
      <c r="I455" s="332">
        <f>IFERROR(VLOOKUP(TEXT(H455,"0"),IPRESS!$A$3:$B$212,2,0),"")</f>
        <v/>
      </c>
      <c r="J455" s="334" t="n"/>
      <c r="K455" s="332">
        <f>IFERROR(VLOOKUP(TEXT(O455,"0"),CONDUCTORES!$A$3:$G$54,7,0),"")</f>
        <v/>
      </c>
      <c r="L455" s="334" t="n"/>
      <c r="M455" s="334" t="n"/>
      <c r="N455" s="333">
        <f>IFERROR(IF(L455*M455=0,"",L455*M455),"")</f>
        <v/>
      </c>
      <c r="O455" s="334" t="n"/>
      <c r="P455" s="332">
        <f>IFERROR(VLOOKUP(TEXT(O455,"0"),CONDUCTORES!$A$3:$G$54,2,0),"")</f>
        <v/>
      </c>
      <c r="Q455" s="332">
        <f>IFERROR(VLOOKUP(TEXT(O455,"0"),CONDUCTORES!$A$3:$H$54,6,0),"")</f>
        <v/>
      </c>
      <c r="R455" s="334" t="n"/>
      <c r="S455" s="334" t="n"/>
      <c r="T455" s="334" t="n"/>
      <c r="U455" s="334" t="n"/>
      <c r="V455" s="334" t="n"/>
      <c r="W455" s="334" t="n"/>
      <c r="X455" s="334" t="n"/>
      <c r="Y455" s="334" t="n"/>
    </row>
    <row r="456" ht="15" customHeight="1" s="195">
      <c r="A456" s="280" t="n"/>
      <c r="B456" s="280" t="n"/>
      <c r="C456" s="280" t="n"/>
      <c r="D456" s="280" t="n"/>
      <c r="E456" s="280" t="n"/>
      <c r="F456" s="280" t="n"/>
      <c r="G456" s="280" t="n"/>
      <c r="H456" s="280" t="n"/>
      <c r="I456" s="332">
        <f>IFERROR(VLOOKUP(TEXT(H456,"0"),IPRESS!$A$3:$B$212,2,0),"")</f>
        <v/>
      </c>
      <c r="J456" s="280" t="n"/>
      <c r="K456" s="332">
        <f>IFERROR(VLOOKUP(TEXT(O456,"0"),CONDUCTORES!$A$3:$G$54,7,0),"")</f>
        <v/>
      </c>
      <c r="L456" s="280" t="n"/>
      <c r="M456" s="280" t="n"/>
      <c r="N456" s="333">
        <f>IFERROR(IF(L456*M456=0,"",L456*M456),"")</f>
        <v/>
      </c>
      <c r="O456" s="280" t="n"/>
      <c r="P456" s="332">
        <f>IFERROR(VLOOKUP(TEXT(O456,"0"),CONDUCTORES!$A$3:$G$54,2,0),"")</f>
        <v/>
      </c>
      <c r="Q456" s="332">
        <f>IFERROR(VLOOKUP(TEXT(O456,"0"),CONDUCTORES!$A$3:$H$54,6,0),"")</f>
        <v/>
      </c>
      <c r="R456" s="280" t="n"/>
      <c r="S456" s="280" t="n"/>
      <c r="T456" s="280" t="n"/>
      <c r="U456" s="280" t="n"/>
      <c r="V456" s="280" t="n"/>
      <c r="W456" s="280" t="n"/>
      <c r="X456" s="280" t="n"/>
      <c r="Y456" s="280" t="n"/>
    </row>
    <row r="457" ht="15" customHeight="1" s="195">
      <c r="A457" s="334" t="n"/>
      <c r="B457" s="334" t="n"/>
      <c r="C457" s="334" t="n"/>
      <c r="D457" s="334" t="n"/>
      <c r="E457" s="334" t="n"/>
      <c r="F457" s="334" t="n"/>
      <c r="G457" s="334" t="n"/>
      <c r="H457" s="334" t="n"/>
      <c r="I457" s="332">
        <f>IFERROR(VLOOKUP(TEXT(H457,"0"),IPRESS!$A$3:$B$212,2,0),"")</f>
        <v/>
      </c>
      <c r="J457" s="334" t="n"/>
      <c r="K457" s="332">
        <f>IFERROR(VLOOKUP(TEXT(O457,"0"),CONDUCTORES!$A$3:$G$54,7,0),"")</f>
        <v/>
      </c>
      <c r="L457" s="334" t="n"/>
      <c r="M457" s="334" t="n"/>
      <c r="N457" s="333">
        <f>IFERROR(IF(L457*M457=0,"",L457*M457),"")</f>
        <v/>
      </c>
      <c r="O457" s="334" t="n"/>
      <c r="P457" s="332">
        <f>IFERROR(VLOOKUP(TEXT(O457,"0"),CONDUCTORES!$A$3:$G$54,2,0),"")</f>
        <v/>
      </c>
      <c r="Q457" s="332">
        <f>IFERROR(VLOOKUP(TEXT(O457,"0"),CONDUCTORES!$A$3:$H$54,6,0),"")</f>
        <v/>
      </c>
      <c r="R457" s="334" t="n"/>
      <c r="S457" s="334" t="n"/>
      <c r="T457" s="334" t="n"/>
      <c r="U457" s="334" t="n"/>
      <c r="V457" s="334" t="n"/>
      <c r="W457" s="334" t="n"/>
      <c r="X457" s="334" t="n"/>
      <c r="Y457" s="334" t="n"/>
    </row>
    <row r="458" ht="15" customHeight="1" s="195">
      <c r="A458" s="280" t="n"/>
      <c r="B458" s="280" t="n"/>
      <c r="C458" s="280" t="n"/>
      <c r="D458" s="280" t="n"/>
      <c r="E458" s="280" t="n"/>
      <c r="F458" s="280" t="n"/>
      <c r="G458" s="280" t="n"/>
      <c r="H458" s="280" t="n"/>
      <c r="I458" s="332">
        <f>IFERROR(VLOOKUP(TEXT(H458,"0"),IPRESS!$A$3:$B$212,2,0),"")</f>
        <v/>
      </c>
      <c r="J458" s="280" t="n"/>
      <c r="K458" s="332">
        <f>IFERROR(VLOOKUP(TEXT(O458,"0"),CONDUCTORES!$A$3:$G$54,7,0),"")</f>
        <v/>
      </c>
      <c r="L458" s="280" t="n"/>
      <c r="M458" s="280" t="n"/>
      <c r="N458" s="333">
        <f>IFERROR(IF(L458*M458=0,"",L458*M458),"")</f>
        <v/>
      </c>
      <c r="O458" s="280" t="n"/>
      <c r="P458" s="332">
        <f>IFERROR(VLOOKUP(TEXT(O458,"0"),CONDUCTORES!$A$3:$G$54,2,0),"")</f>
        <v/>
      </c>
      <c r="Q458" s="332">
        <f>IFERROR(VLOOKUP(TEXT(O458,"0"),CONDUCTORES!$A$3:$H$54,6,0),"")</f>
        <v/>
      </c>
      <c r="R458" s="280" t="n"/>
      <c r="S458" s="280" t="n"/>
      <c r="T458" s="280" t="n"/>
      <c r="U458" s="280" t="n"/>
      <c r="V458" s="280" t="n"/>
      <c r="W458" s="280" t="n"/>
      <c r="X458" s="280" t="n"/>
      <c r="Y458" s="280" t="n"/>
    </row>
    <row r="459" ht="15" customHeight="1" s="195">
      <c r="A459" s="334" t="n"/>
      <c r="B459" s="334" t="n"/>
      <c r="C459" s="334" t="n"/>
      <c r="D459" s="334" t="n"/>
      <c r="E459" s="334" t="n"/>
      <c r="F459" s="334" t="n"/>
      <c r="G459" s="334" t="n"/>
      <c r="H459" s="334" t="n"/>
      <c r="I459" s="332">
        <f>IFERROR(VLOOKUP(TEXT(H459,"0"),IPRESS!$A$3:$B$212,2,0),"")</f>
        <v/>
      </c>
      <c r="J459" s="334" t="n"/>
      <c r="K459" s="332">
        <f>IFERROR(VLOOKUP(TEXT(O459,"0"),CONDUCTORES!$A$3:$G$54,7,0),"")</f>
        <v/>
      </c>
      <c r="L459" s="334" t="n"/>
      <c r="M459" s="334" t="n"/>
      <c r="N459" s="333">
        <f>IFERROR(IF(L459*M459=0,"",L459*M459),"")</f>
        <v/>
      </c>
      <c r="O459" s="334" t="n"/>
      <c r="P459" s="332">
        <f>IFERROR(VLOOKUP(TEXT(O459,"0"),CONDUCTORES!$A$3:$G$54,2,0),"")</f>
        <v/>
      </c>
      <c r="Q459" s="332">
        <f>IFERROR(VLOOKUP(TEXT(O459,"0"),CONDUCTORES!$A$3:$H$54,6,0),"")</f>
        <v/>
      </c>
      <c r="R459" s="334" t="n"/>
      <c r="S459" s="334" t="n"/>
      <c r="T459" s="334" t="n"/>
      <c r="U459" s="334" t="n"/>
      <c r="V459" s="334" t="n"/>
      <c r="W459" s="334" t="n"/>
      <c r="X459" s="334" t="n"/>
      <c r="Y459" s="334" t="n"/>
    </row>
    <row r="460" ht="15" customHeight="1" s="195">
      <c r="A460" s="280" t="n"/>
      <c r="B460" s="280" t="n"/>
      <c r="C460" s="280" t="n"/>
      <c r="D460" s="280" t="n"/>
      <c r="E460" s="280" t="n"/>
      <c r="F460" s="280" t="n"/>
      <c r="G460" s="280" t="n"/>
      <c r="H460" s="280" t="n"/>
      <c r="I460" s="332">
        <f>IFERROR(VLOOKUP(TEXT(H460,"0"),IPRESS!$A$3:$B$212,2,0),"")</f>
        <v/>
      </c>
      <c r="J460" s="280" t="n"/>
      <c r="K460" s="332">
        <f>IFERROR(VLOOKUP(TEXT(O460,"0"),CONDUCTORES!$A$3:$G$54,7,0),"")</f>
        <v/>
      </c>
      <c r="L460" s="280" t="n"/>
      <c r="M460" s="280" t="n"/>
      <c r="N460" s="333">
        <f>IFERROR(IF(L460*M460=0,"",L460*M460),"")</f>
        <v/>
      </c>
      <c r="O460" s="280" t="n"/>
      <c r="P460" s="332">
        <f>IFERROR(VLOOKUP(TEXT(O460,"0"),CONDUCTORES!$A$3:$G$54,2,0),"")</f>
        <v/>
      </c>
      <c r="Q460" s="332">
        <f>IFERROR(VLOOKUP(TEXT(O460,"0"),CONDUCTORES!$A$3:$H$54,6,0),"")</f>
        <v/>
      </c>
      <c r="R460" s="280" t="n"/>
      <c r="S460" s="280" t="n"/>
      <c r="T460" s="280" t="n"/>
      <c r="U460" s="280" t="n"/>
      <c r="V460" s="280" t="n"/>
      <c r="W460" s="280" t="n"/>
      <c r="X460" s="280" t="n"/>
      <c r="Y460" s="280" t="n"/>
    </row>
    <row r="461" ht="15" customHeight="1" s="195">
      <c r="A461" s="334" t="n"/>
      <c r="B461" s="334" t="n"/>
      <c r="C461" s="334" t="n"/>
      <c r="D461" s="334" t="n"/>
      <c r="E461" s="334" t="n"/>
      <c r="F461" s="334" t="n"/>
      <c r="G461" s="334" t="n"/>
      <c r="H461" s="334" t="n"/>
      <c r="I461" s="332">
        <f>IFERROR(VLOOKUP(TEXT(H461,"0"),IPRESS!$A$3:$B$212,2,0),"")</f>
        <v/>
      </c>
      <c r="J461" s="334" t="n"/>
      <c r="K461" s="332">
        <f>IFERROR(VLOOKUP(TEXT(O461,"0"),CONDUCTORES!$A$3:$G$54,7,0),"")</f>
        <v/>
      </c>
      <c r="L461" s="334" t="n"/>
      <c r="M461" s="334" t="n"/>
      <c r="N461" s="333">
        <f>IFERROR(IF(L461*M461=0,"",L461*M461),"")</f>
        <v/>
      </c>
      <c r="O461" s="334" t="n"/>
      <c r="P461" s="332">
        <f>IFERROR(VLOOKUP(TEXT(O461,"0"),CONDUCTORES!$A$3:$G$54,2,0),"")</f>
        <v/>
      </c>
      <c r="Q461" s="332">
        <f>IFERROR(VLOOKUP(TEXT(O461,"0"),CONDUCTORES!$A$3:$H$54,6,0),"")</f>
        <v/>
      </c>
      <c r="R461" s="334" t="n"/>
      <c r="S461" s="334" t="n"/>
      <c r="T461" s="334" t="n"/>
      <c r="U461" s="334" t="n"/>
      <c r="V461" s="334" t="n"/>
      <c r="W461" s="334" t="n"/>
      <c r="X461" s="334" t="n"/>
      <c r="Y461" s="334" t="n"/>
    </row>
    <row r="462" ht="15" customHeight="1" s="195">
      <c r="A462" s="280" t="n"/>
      <c r="B462" s="280" t="n"/>
      <c r="C462" s="280" t="n"/>
      <c r="D462" s="280" t="n"/>
      <c r="E462" s="280" t="n"/>
      <c r="F462" s="280" t="n"/>
      <c r="G462" s="280" t="n"/>
      <c r="H462" s="280" t="n"/>
      <c r="I462" s="332">
        <f>IFERROR(VLOOKUP(TEXT(H462,"0"),IPRESS!$A$3:$B$212,2,0),"")</f>
        <v/>
      </c>
      <c r="J462" s="280" t="n"/>
      <c r="K462" s="332">
        <f>IFERROR(VLOOKUP(TEXT(O462,"0"),CONDUCTORES!$A$3:$G$54,7,0),"")</f>
        <v/>
      </c>
      <c r="L462" s="280" t="n"/>
      <c r="M462" s="280" t="n"/>
      <c r="N462" s="333">
        <f>IFERROR(IF(L462*M462=0,"",L462*M462),"")</f>
        <v/>
      </c>
      <c r="O462" s="280" t="n"/>
      <c r="P462" s="332">
        <f>IFERROR(VLOOKUP(TEXT(O462,"0"),CONDUCTORES!$A$3:$G$54,2,0),"")</f>
        <v/>
      </c>
      <c r="Q462" s="332">
        <f>IFERROR(VLOOKUP(TEXT(O462,"0"),CONDUCTORES!$A$3:$H$54,6,0),"")</f>
        <v/>
      </c>
      <c r="R462" s="280" t="n"/>
      <c r="S462" s="280" t="n"/>
      <c r="T462" s="280" t="n"/>
      <c r="U462" s="280" t="n"/>
      <c r="V462" s="280" t="n"/>
      <c r="W462" s="280" t="n"/>
      <c r="X462" s="280" t="n"/>
      <c r="Y462" s="280" t="n"/>
    </row>
    <row r="463" ht="15" customHeight="1" s="195">
      <c r="A463" s="334" t="n"/>
      <c r="B463" s="334" t="n"/>
      <c r="C463" s="334" t="n"/>
      <c r="D463" s="334" t="n"/>
      <c r="E463" s="334" t="n"/>
      <c r="F463" s="334" t="n"/>
      <c r="G463" s="334" t="n"/>
      <c r="H463" s="334" t="n"/>
      <c r="I463" s="332">
        <f>IFERROR(VLOOKUP(TEXT(H463,"0"),IPRESS!$A$3:$B$212,2,0),"")</f>
        <v/>
      </c>
      <c r="J463" s="334" t="n"/>
      <c r="K463" s="332">
        <f>IFERROR(VLOOKUP(TEXT(O463,"0"),CONDUCTORES!$A$3:$G$54,7,0),"")</f>
        <v/>
      </c>
      <c r="L463" s="334" t="n"/>
      <c r="M463" s="334" t="n"/>
      <c r="N463" s="333">
        <f>IFERROR(IF(L463*M463=0,"",L463*M463),"")</f>
        <v/>
      </c>
      <c r="O463" s="334" t="n"/>
      <c r="P463" s="332">
        <f>IFERROR(VLOOKUP(TEXT(O463,"0"),CONDUCTORES!$A$3:$G$54,2,0),"")</f>
        <v/>
      </c>
      <c r="Q463" s="332">
        <f>IFERROR(VLOOKUP(TEXT(O463,"0"),CONDUCTORES!$A$3:$H$54,6,0),"")</f>
        <v/>
      </c>
      <c r="R463" s="334" t="n"/>
      <c r="S463" s="334" t="n"/>
      <c r="T463" s="334" t="n"/>
      <c r="U463" s="334" t="n"/>
      <c r="V463" s="334" t="n"/>
      <c r="W463" s="334" t="n"/>
      <c r="X463" s="334" t="n"/>
      <c r="Y463" s="334" t="n"/>
    </row>
    <row r="464" ht="15" customHeight="1" s="195">
      <c r="A464" s="280" t="n"/>
      <c r="B464" s="280" t="n"/>
      <c r="C464" s="280" t="n"/>
      <c r="D464" s="280" t="n"/>
      <c r="E464" s="280" t="n"/>
      <c r="F464" s="280" t="n"/>
      <c r="G464" s="280" t="n"/>
      <c r="H464" s="280" t="n"/>
      <c r="I464" s="332">
        <f>IFERROR(VLOOKUP(TEXT(H464,"0"),IPRESS!$A$3:$B$212,2,0),"")</f>
        <v/>
      </c>
      <c r="J464" s="280" t="n"/>
      <c r="K464" s="332">
        <f>IFERROR(VLOOKUP(TEXT(O464,"0"),CONDUCTORES!$A$3:$G$54,7,0),"")</f>
        <v/>
      </c>
      <c r="L464" s="280" t="n"/>
      <c r="M464" s="280" t="n"/>
      <c r="N464" s="333">
        <f>IFERROR(IF(L464*M464=0,"",L464*M464),"")</f>
        <v/>
      </c>
      <c r="O464" s="280" t="n"/>
      <c r="P464" s="332">
        <f>IFERROR(VLOOKUP(TEXT(O464,"0"),CONDUCTORES!$A$3:$G$54,2,0),"")</f>
        <v/>
      </c>
      <c r="Q464" s="332">
        <f>IFERROR(VLOOKUP(TEXT(O464,"0"),CONDUCTORES!$A$3:$H$54,6,0),"")</f>
        <v/>
      </c>
      <c r="R464" s="280" t="n"/>
      <c r="S464" s="280" t="n"/>
      <c r="T464" s="280" t="n"/>
      <c r="U464" s="280" t="n"/>
      <c r="V464" s="280" t="n"/>
      <c r="W464" s="280" t="n"/>
      <c r="X464" s="280" t="n"/>
      <c r="Y464" s="280" t="n"/>
    </row>
    <row r="465" ht="15" customHeight="1" s="195">
      <c r="A465" s="334" t="n"/>
      <c r="B465" s="334" t="n"/>
      <c r="C465" s="334" t="n"/>
      <c r="D465" s="334" t="n"/>
      <c r="E465" s="334" t="n"/>
      <c r="F465" s="334" t="n"/>
      <c r="G465" s="334" t="n"/>
      <c r="H465" s="334" t="n"/>
      <c r="I465" s="332">
        <f>IFERROR(VLOOKUP(TEXT(H465,"0"),IPRESS!$A$3:$B$212,2,0),"")</f>
        <v/>
      </c>
      <c r="J465" s="334" t="n"/>
      <c r="K465" s="332">
        <f>IFERROR(VLOOKUP(TEXT(O465,"0"),CONDUCTORES!$A$3:$G$54,7,0),"")</f>
        <v/>
      </c>
      <c r="L465" s="334" t="n"/>
      <c r="M465" s="334" t="n"/>
      <c r="N465" s="333">
        <f>IFERROR(IF(L465*M465=0,"",L465*M465),"")</f>
        <v/>
      </c>
      <c r="O465" s="334" t="n"/>
      <c r="P465" s="332">
        <f>IFERROR(VLOOKUP(TEXT(O465,"0"),CONDUCTORES!$A$3:$G$54,2,0),"")</f>
        <v/>
      </c>
      <c r="Q465" s="332">
        <f>IFERROR(VLOOKUP(TEXT(O465,"0"),CONDUCTORES!$A$3:$H$54,6,0),"")</f>
        <v/>
      </c>
      <c r="R465" s="334" t="n"/>
      <c r="S465" s="334" t="n"/>
      <c r="T465" s="334" t="n"/>
      <c r="U465" s="334" t="n"/>
      <c r="V465" s="334" t="n"/>
      <c r="W465" s="334" t="n"/>
      <c r="X465" s="334" t="n"/>
      <c r="Y465" s="334" t="n"/>
    </row>
    <row r="466" ht="15" customHeight="1" s="195">
      <c r="A466" s="280" t="n"/>
      <c r="B466" s="280" t="n"/>
      <c r="C466" s="280" t="n"/>
      <c r="D466" s="280" t="n"/>
      <c r="E466" s="280" t="n"/>
      <c r="F466" s="280" t="n"/>
      <c r="G466" s="280" t="n"/>
      <c r="H466" s="280" t="n"/>
      <c r="I466" s="332">
        <f>IFERROR(VLOOKUP(TEXT(H466,"0"),IPRESS!$A$3:$B$212,2,0),"")</f>
        <v/>
      </c>
      <c r="J466" s="280" t="n"/>
      <c r="K466" s="332">
        <f>IFERROR(VLOOKUP(TEXT(O466,"0"),CONDUCTORES!$A$3:$G$54,7,0),"")</f>
        <v/>
      </c>
      <c r="L466" s="280" t="n"/>
      <c r="M466" s="280" t="n"/>
      <c r="N466" s="333">
        <f>IFERROR(IF(L466*M466=0,"",L466*M466),"")</f>
        <v/>
      </c>
      <c r="O466" s="280" t="n"/>
      <c r="P466" s="332">
        <f>IFERROR(VLOOKUP(TEXT(O466,"0"),CONDUCTORES!$A$3:$G$54,2,0),"")</f>
        <v/>
      </c>
      <c r="Q466" s="332">
        <f>IFERROR(VLOOKUP(TEXT(O466,"0"),CONDUCTORES!$A$3:$H$54,6,0),"")</f>
        <v/>
      </c>
      <c r="R466" s="280" t="n"/>
      <c r="S466" s="280" t="n"/>
      <c r="T466" s="280" t="n"/>
      <c r="U466" s="280" t="n"/>
      <c r="V466" s="280" t="n"/>
      <c r="W466" s="280" t="n"/>
      <c r="X466" s="280" t="n"/>
      <c r="Y466" s="280" t="n"/>
    </row>
    <row r="467" ht="15" customHeight="1" s="195">
      <c r="A467" s="334" t="n"/>
      <c r="B467" s="334" t="n"/>
      <c r="C467" s="334" t="n"/>
      <c r="D467" s="334" t="n"/>
      <c r="E467" s="334" t="n"/>
      <c r="F467" s="334" t="n"/>
      <c r="G467" s="334" t="n"/>
      <c r="H467" s="334" t="n"/>
      <c r="I467" s="332">
        <f>IFERROR(VLOOKUP(TEXT(H467,"0"),IPRESS!$A$3:$B$212,2,0),"")</f>
        <v/>
      </c>
      <c r="J467" s="334" t="n"/>
      <c r="K467" s="332">
        <f>IFERROR(VLOOKUP(TEXT(O467,"0"),CONDUCTORES!$A$3:$G$54,7,0),"")</f>
        <v/>
      </c>
      <c r="L467" s="334" t="n"/>
      <c r="M467" s="334" t="n"/>
      <c r="N467" s="333">
        <f>IFERROR(IF(L467*M467=0,"",L467*M467),"")</f>
        <v/>
      </c>
      <c r="O467" s="334" t="n"/>
      <c r="P467" s="332">
        <f>IFERROR(VLOOKUP(TEXT(O467,"0"),CONDUCTORES!$A$3:$G$54,2,0),"")</f>
        <v/>
      </c>
      <c r="Q467" s="332">
        <f>IFERROR(VLOOKUP(TEXT(O467,"0"),CONDUCTORES!$A$3:$H$54,6,0),"")</f>
        <v/>
      </c>
      <c r="R467" s="334" t="n"/>
      <c r="S467" s="334" t="n"/>
      <c r="T467" s="334" t="n"/>
      <c r="U467" s="334" t="n"/>
      <c r="V467" s="334" t="n"/>
      <c r="W467" s="334" t="n"/>
      <c r="X467" s="334" t="n"/>
      <c r="Y467" s="334" t="n"/>
    </row>
    <row r="468" ht="15" customHeight="1" s="195">
      <c r="A468" s="280" t="n"/>
      <c r="B468" s="280" t="n"/>
      <c r="C468" s="280" t="n"/>
      <c r="D468" s="280" t="n"/>
      <c r="E468" s="280" t="n"/>
      <c r="F468" s="280" t="n"/>
      <c r="G468" s="280" t="n"/>
      <c r="H468" s="280" t="n"/>
      <c r="I468" s="332">
        <f>IFERROR(VLOOKUP(TEXT(H468,"0"),IPRESS!$A$3:$B$212,2,0),"")</f>
        <v/>
      </c>
      <c r="J468" s="280" t="n"/>
      <c r="K468" s="332">
        <f>IFERROR(VLOOKUP(TEXT(O468,"0"),CONDUCTORES!$A$3:$G$54,7,0),"")</f>
        <v/>
      </c>
      <c r="L468" s="280" t="n"/>
      <c r="M468" s="280" t="n"/>
      <c r="N468" s="333">
        <f>IFERROR(IF(L468*M468=0,"",L468*M468),"")</f>
        <v/>
      </c>
      <c r="O468" s="280" t="n"/>
      <c r="P468" s="332">
        <f>IFERROR(VLOOKUP(TEXT(O468,"0"),CONDUCTORES!$A$3:$G$54,2,0),"")</f>
        <v/>
      </c>
      <c r="Q468" s="332">
        <f>IFERROR(VLOOKUP(TEXT(O468,"0"),CONDUCTORES!$A$3:$H$54,6,0),"")</f>
        <v/>
      </c>
      <c r="R468" s="280" t="n"/>
      <c r="S468" s="280" t="n"/>
      <c r="T468" s="280" t="n"/>
      <c r="U468" s="280" t="n"/>
      <c r="V468" s="280" t="n"/>
      <c r="W468" s="280" t="n"/>
      <c r="X468" s="280" t="n"/>
      <c r="Y468" s="280" t="n"/>
    </row>
    <row r="469" ht="15" customHeight="1" s="195">
      <c r="A469" s="334" t="n"/>
      <c r="B469" s="334" t="n"/>
      <c r="C469" s="334" t="n"/>
      <c r="D469" s="334" t="n"/>
      <c r="E469" s="334" t="n"/>
      <c r="F469" s="334" t="n"/>
      <c r="G469" s="334" t="n"/>
      <c r="H469" s="334" t="n"/>
      <c r="I469" s="332">
        <f>IFERROR(VLOOKUP(TEXT(H469,"0"),IPRESS!$A$3:$B$212,2,0),"")</f>
        <v/>
      </c>
      <c r="J469" s="334" t="n"/>
      <c r="K469" s="332">
        <f>IFERROR(VLOOKUP(TEXT(O469,"0"),CONDUCTORES!$A$3:$G$54,7,0),"")</f>
        <v/>
      </c>
      <c r="L469" s="334" t="n"/>
      <c r="M469" s="334" t="n"/>
      <c r="N469" s="333">
        <f>IFERROR(IF(L469*M469=0,"",L469*M469),"")</f>
        <v/>
      </c>
      <c r="O469" s="334" t="n"/>
      <c r="P469" s="332">
        <f>IFERROR(VLOOKUP(TEXT(O469,"0"),CONDUCTORES!$A$3:$G$54,2,0),"")</f>
        <v/>
      </c>
      <c r="Q469" s="332">
        <f>IFERROR(VLOOKUP(TEXT(O469,"0"),CONDUCTORES!$A$3:$H$54,6,0),"")</f>
        <v/>
      </c>
      <c r="R469" s="334" t="n"/>
      <c r="S469" s="334" t="n"/>
      <c r="T469" s="334" t="n"/>
      <c r="U469" s="334" t="n"/>
      <c r="V469" s="334" t="n"/>
      <c r="W469" s="334" t="n"/>
      <c r="X469" s="334" t="n"/>
      <c r="Y469" s="334" t="n"/>
    </row>
    <row r="470" ht="15" customHeight="1" s="195">
      <c r="A470" s="280" t="n"/>
      <c r="B470" s="280" t="n"/>
      <c r="C470" s="280" t="n"/>
      <c r="D470" s="280" t="n"/>
      <c r="E470" s="280" t="n"/>
      <c r="F470" s="280" t="n"/>
      <c r="G470" s="280" t="n"/>
      <c r="H470" s="280" t="n"/>
      <c r="I470" s="332">
        <f>IFERROR(VLOOKUP(TEXT(H470,"0"),IPRESS!$A$3:$B$212,2,0),"")</f>
        <v/>
      </c>
      <c r="J470" s="280" t="n"/>
      <c r="K470" s="332">
        <f>IFERROR(VLOOKUP(TEXT(O470,"0"),CONDUCTORES!$A$3:$G$54,7,0),"")</f>
        <v/>
      </c>
      <c r="L470" s="280" t="n"/>
      <c r="M470" s="280" t="n"/>
      <c r="N470" s="333">
        <f>IFERROR(IF(L470*M470=0,"",L470*M470),"")</f>
        <v/>
      </c>
      <c r="O470" s="280" t="n"/>
      <c r="P470" s="332">
        <f>IFERROR(VLOOKUP(TEXT(O470,"0"),CONDUCTORES!$A$3:$G$54,2,0),"")</f>
        <v/>
      </c>
      <c r="Q470" s="332">
        <f>IFERROR(VLOOKUP(TEXT(O470,"0"),CONDUCTORES!$A$3:$H$54,6,0),"")</f>
        <v/>
      </c>
      <c r="R470" s="280" t="n"/>
      <c r="S470" s="280" t="n"/>
      <c r="T470" s="280" t="n"/>
      <c r="U470" s="280" t="n"/>
      <c r="V470" s="280" t="n"/>
      <c r="W470" s="280" t="n"/>
      <c r="X470" s="280" t="n"/>
      <c r="Y470" s="280" t="n"/>
    </row>
    <row r="471" ht="15" customHeight="1" s="195">
      <c r="A471" s="334" t="n"/>
      <c r="B471" s="334" t="n"/>
      <c r="C471" s="334" t="n"/>
      <c r="D471" s="334" t="n"/>
      <c r="E471" s="334" t="n"/>
      <c r="F471" s="334" t="n"/>
      <c r="G471" s="334" t="n"/>
      <c r="H471" s="334" t="n"/>
      <c r="I471" s="332">
        <f>IFERROR(VLOOKUP(TEXT(H471,"0"),IPRESS!$A$3:$B$212,2,0),"")</f>
        <v/>
      </c>
      <c r="J471" s="334" t="n"/>
      <c r="K471" s="332">
        <f>IFERROR(VLOOKUP(TEXT(O471,"0"),CONDUCTORES!$A$3:$G$54,7,0),"")</f>
        <v/>
      </c>
      <c r="L471" s="334" t="n"/>
      <c r="M471" s="334" t="n"/>
      <c r="N471" s="333">
        <f>IFERROR(IF(L471*M471=0,"",L471*M471),"")</f>
        <v/>
      </c>
      <c r="O471" s="334" t="n"/>
      <c r="P471" s="332">
        <f>IFERROR(VLOOKUP(TEXT(O471,"0"),CONDUCTORES!$A$3:$G$54,2,0),"")</f>
        <v/>
      </c>
      <c r="Q471" s="332">
        <f>IFERROR(VLOOKUP(TEXT(O471,"0"),CONDUCTORES!$A$3:$H$54,6,0),"")</f>
        <v/>
      </c>
      <c r="R471" s="334" t="n"/>
      <c r="S471" s="334" t="n"/>
      <c r="T471" s="334" t="n"/>
      <c r="U471" s="334" t="n"/>
      <c r="V471" s="334" t="n"/>
      <c r="W471" s="334" t="n"/>
      <c r="X471" s="334" t="n"/>
      <c r="Y471" s="334" t="n"/>
    </row>
    <row r="472" ht="15" customHeight="1" s="195">
      <c r="A472" s="280" t="n"/>
      <c r="B472" s="280" t="n"/>
      <c r="C472" s="280" t="n"/>
      <c r="D472" s="280" t="n"/>
      <c r="E472" s="280" t="n"/>
      <c r="F472" s="280" t="n"/>
      <c r="G472" s="280" t="n"/>
      <c r="H472" s="280" t="n"/>
      <c r="I472" s="332">
        <f>IFERROR(VLOOKUP(TEXT(H472,"0"),IPRESS!$A$3:$B$212,2,0),"")</f>
        <v/>
      </c>
      <c r="J472" s="280" t="n"/>
      <c r="K472" s="332">
        <f>IFERROR(VLOOKUP(TEXT(O472,"0"),CONDUCTORES!$A$3:$G$54,7,0),"")</f>
        <v/>
      </c>
      <c r="L472" s="280" t="n"/>
      <c r="M472" s="280" t="n"/>
      <c r="N472" s="333">
        <f>IFERROR(IF(L472*M472=0,"",L472*M472),"")</f>
        <v/>
      </c>
      <c r="O472" s="280" t="n"/>
      <c r="P472" s="332">
        <f>IFERROR(VLOOKUP(TEXT(O472,"0"),CONDUCTORES!$A$3:$G$54,2,0),"")</f>
        <v/>
      </c>
      <c r="Q472" s="332">
        <f>IFERROR(VLOOKUP(TEXT(O472,"0"),CONDUCTORES!$A$3:$H$54,6,0),"")</f>
        <v/>
      </c>
      <c r="R472" s="280" t="n"/>
      <c r="S472" s="280" t="n"/>
      <c r="T472" s="280" t="n"/>
      <c r="U472" s="280" t="n"/>
      <c r="V472" s="280" t="n"/>
      <c r="W472" s="280" t="n"/>
      <c r="X472" s="280" t="n"/>
      <c r="Y472" s="280" t="n"/>
    </row>
    <row r="473" ht="15" customHeight="1" s="195">
      <c r="A473" s="334" t="n"/>
      <c r="B473" s="334" t="n"/>
      <c r="C473" s="334" t="n"/>
      <c r="D473" s="334" t="n"/>
      <c r="E473" s="334" t="n"/>
      <c r="F473" s="334" t="n"/>
      <c r="G473" s="334" t="n"/>
      <c r="H473" s="334" t="n"/>
      <c r="I473" s="332">
        <f>IFERROR(VLOOKUP(TEXT(H473,"0"),IPRESS!$A$3:$B$212,2,0),"")</f>
        <v/>
      </c>
      <c r="J473" s="334" t="n"/>
      <c r="K473" s="332">
        <f>IFERROR(VLOOKUP(TEXT(O473,"0"),CONDUCTORES!$A$3:$G$54,7,0),"")</f>
        <v/>
      </c>
      <c r="L473" s="334" t="n"/>
      <c r="M473" s="334" t="n"/>
      <c r="N473" s="333">
        <f>IFERROR(IF(L473*M473=0,"",L473*M473),"")</f>
        <v/>
      </c>
      <c r="O473" s="334" t="n"/>
      <c r="P473" s="332">
        <f>IFERROR(VLOOKUP(TEXT(O473,"0"),CONDUCTORES!$A$3:$G$54,2,0),"")</f>
        <v/>
      </c>
      <c r="Q473" s="332">
        <f>IFERROR(VLOOKUP(TEXT(O473,"0"),CONDUCTORES!$A$3:$H$54,6,0),"")</f>
        <v/>
      </c>
      <c r="R473" s="334" t="n"/>
      <c r="S473" s="334" t="n"/>
      <c r="T473" s="334" t="n"/>
      <c r="U473" s="334" t="n"/>
      <c r="V473" s="334" t="n"/>
      <c r="W473" s="334" t="n"/>
      <c r="X473" s="334" t="n"/>
      <c r="Y473" s="334" t="n"/>
    </row>
    <row r="474" ht="15" customHeight="1" s="195">
      <c r="A474" s="280" t="n"/>
      <c r="B474" s="280" t="n"/>
      <c r="C474" s="280" t="n"/>
      <c r="D474" s="280" t="n"/>
      <c r="E474" s="280" t="n"/>
      <c r="F474" s="280" t="n"/>
      <c r="G474" s="280" t="n"/>
      <c r="H474" s="280" t="n"/>
      <c r="I474" s="332">
        <f>IFERROR(VLOOKUP(TEXT(H474,"0"),IPRESS!$A$3:$B$212,2,0),"")</f>
        <v/>
      </c>
      <c r="J474" s="280" t="n"/>
      <c r="K474" s="332">
        <f>IFERROR(VLOOKUP(TEXT(O474,"0"),CONDUCTORES!$A$3:$G$54,7,0),"")</f>
        <v/>
      </c>
      <c r="L474" s="280" t="n"/>
      <c r="M474" s="280" t="n"/>
      <c r="N474" s="333">
        <f>IFERROR(IF(L474*M474=0,"",L474*M474),"")</f>
        <v/>
      </c>
      <c r="O474" s="280" t="n"/>
      <c r="P474" s="332">
        <f>IFERROR(VLOOKUP(TEXT(O474,"0"),CONDUCTORES!$A$3:$G$54,2,0),"")</f>
        <v/>
      </c>
      <c r="Q474" s="332">
        <f>IFERROR(VLOOKUP(TEXT(O474,"0"),CONDUCTORES!$A$3:$H$54,6,0),"")</f>
        <v/>
      </c>
      <c r="R474" s="280" t="n"/>
      <c r="S474" s="280" t="n"/>
      <c r="T474" s="280" t="n"/>
      <c r="U474" s="280" t="n"/>
      <c r="V474" s="280" t="n"/>
      <c r="W474" s="280" t="n"/>
      <c r="X474" s="280" t="n"/>
      <c r="Y474" s="280" t="n"/>
    </row>
    <row r="475" ht="15" customHeight="1" s="195">
      <c r="A475" s="334" t="n"/>
      <c r="B475" s="334" t="n"/>
      <c r="C475" s="334" t="n"/>
      <c r="D475" s="334" t="n"/>
      <c r="E475" s="334" t="n"/>
      <c r="F475" s="334" t="n"/>
      <c r="G475" s="334" t="n"/>
      <c r="H475" s="334" t="n"/>
      <c r="I475" s="332">
        <f>IFERROR(VLOOKUP(TEXT(H475,"0"),IPRESS!$A$3:$B$212,2,0),"")</f>
        <v/>
      </c>
      <c r="J475" s="334" t="n"/>
      <c r="K475" s="332">
        <f>IFERROR(VLOOKUP(TEXT(O475,"0"),CONDUCTORES!$A$3:$G$54,7,0),"")</f>
        <v/>
      </c>
      <c r="L475" s="334" t="n"/>
      <c r="M475" s="334" t="n"/>
      <c r="N475" s="333">
        <f>IFERROR(IF(L475*M475=0,"",L475*M475),"")</f>
        <v/>
      </c>
      <c r="O475" s="334" t="n"/>
      <c r="P475" s="332">
        <f>IFERROR(VLOOKUP(TEXT(O475,"0"),CONDUCTORES!$A$3:$G$54,2,0),"")</f>
        <v/>
      </c>
      <c r="Q475" s="332">
        <f>IFERROR(VLOOKUP(TEXT(O475,"0"),CONDUCTORES!$A$3:$H$54,6,0),"")</f>
        <v/>
      </c>
      <c r="R475" s="334" t="n"/>
      <c r="S475" s="334" t="n"/>
      <c r="T475" s="334" t="n"/>
      <c r="U475" s="334" t="n"/>
      <c r="V475" s="334" t="n"/>
      <c r="W475" s="334" t="n"/>
      <c r="X475" s="334" t="n"/>
      <c r="Y475" s="334" t="n"/>
    </row>
    <row r="476" ht="15" customHeight="1" s="195">
      <c r="A476" s="280" t="n"/>
      <c r="B476" s="280" t="n"/>
      <c r="C476" s="280" t="n"/>
      <c r="D476" s="280" t="n"/>
      <c r="E476" s="280" t="n"/>
      <c r="F476" s="280" t="n"/>
      <c r="G476" s="280" t="n"/>
      <c r="H476" s="280" t="n"/>
      <c r="I476" s="332">
        <f>IFERROR(VLOOKUP(TEXT(H476,"0"),IPRESS!$A$3:$B$212,2,0),"")</f>
        <v/>
      </c>
      <c r="J476" s="280" t="n"/>
      <c r="K476" s="332">
        <f>IFERROR(VLOOKUP(TEXT(O476,"0"),CONDUCTORES!$A$3:$G$54,7,0),"")</f>
        <v/>
      </c>
      <c r="L476" s="280" t="n"/>
      <c r="M476" s="280" t="n"/>
      <c r="N476" s="333">
        <f>IFERROR(IF(L476*M476=0,"",L476*M476),"")</f>
        <v/>
      </c>
      <c r="O476" s="280" t="n"/>
      <c r="P476" s="332">
        <f>IFERROR(VLOOKUP(TEXT(O476,"0"),CONDUCTORES!$A$3:$G$54,2,0),"")</f>
        <v/>
      </c>
      <c r="Q476" s="332">
        <f>IFERROR(VLOOKUP(TEXT(O476,"0"),CONDUCTORES!$A$3:$H$54,6,0),"")</f>
        <v/>
      </c>
      <c r="R476" s="280" t="n"/>
      <c r="S476" s="280" t="n"/>
      <c r="T476" s="280" t="n"/>
      <c r="U476" s="280" t="n"/>
      <c r="V476" s="280" t="n"/>
      <c r="W476" s="280" t="n"/>
      <c r="X476" s="280" t="n"/>
      <c r="Y476" s="280" t="n"/>
    </row>
    <row r="477" ht="15" customHeight="1" s="195">
      <c r="A477" s="334" t="n"/>
      <c r="B477" s="334" t="n"/>
      <c r="C477" s="334" t="n"/>
      <c r="D477" s="334" t="n"/>
      <c r="E477" s="334" t="n"/>
      <c r="F477" s="334" t="n"/>
      <c r="G477" s="334" t="n"/>
      <c r="H477" s="334" t="n"/>
      <c r="I477" s="332">
        <f>IFERROR(VLOOKUP(TEXT(H477,"0"),IPRESS!$A$3:$B$212,2,0),"")</f>
        <v/>
      </c>
      <c r="J477" s="334" t="n"/>
      <c r="K477" s="332">
        <f>IFERROR(VLOOKUP(TEXT(O477,"0"),CONDUCTORES!$A$3:$G$54,7,0),"")</f>
        <v/>
      </c>
      <c r="L477" s="334" t="n"/>
      <c r="M477" s="334" t="n"/>
      <c r="N477" s="333">
        <f>IFERROR(IF(L477*M477=0,"",L477*M477),"")</f>
        <v/>
      </c>
      <c r="O477" s="334" t="n"/>
      <c r="P477" s="332">
        <f>IFERROR(VLOOKUP(TEXT(O477,"0"),CONDUCTORES!$A$3:$G$54,2,0),"")</f>
        <v/>
      </c>
      <c r="Q477" s="332">
        <f>IFERROR(VLOOKUP(TEXT(O477,"0"),CONDUCTORES!$A$3:$H$54,6,0),"")</f>
        <v/>
      </c>
      <c r="R477" s="334" t="n"/>
      <c r="S477" s="334" t="n"/>
      <c r="T477" s="334" t="n"/>
      <c r="U477" s="334" t="n"/>
      <c r="V477" s="334" t="n"/>
      <c r="W477" s="334" t="n"/>
      <c r="X477" s="334" t="n"/>
      <c r="Y477" s="334" t="n"/>
    </row>
    <row r="478" ht="15" customHeight="1" s="195">
      <c r="A478" s="280" t="n"/>
      <c r="B478" s="280" t="n"/>
      <c r="C478" s="280" t="n"/>
      <c r="D478" s="280" t="n"/>
      <c r="E478" s="280" t="n"/>
      <c r="F478" s="280" t="n"/>
      <c r="G478" s="280" t="n"/>
      <c r="H478" s="280" t="n"/>
      <c r="I478" s="332">
        <f>IFERROR(VLOOKUP(TEXT(H478,"0"),IPRESS!$A$3:$B$212,2,0),"")</f>
        <v/>
      </c>
      <c r="J478" s="280" t="n"/>
      <c r="K478" s="332">
        <f>IFERROR(VLOOKUP(TEXT(O478,"0"),CONDUCTORES!$A$3:$G$54,7,0),"")</f>
        <v/>
      </c>
      <c r="L478" s="280" t="n"/>
      <c r="M478" s="280" t="n"/>
      <c r="N478" s="333">
        <f>IFERROR(IF(L478*M478=0,"",L478*M478),"")</f>
        <v/>
      </c>
      <c r="O478" s="280" t="n"/>
      <c r="P478" s="332">
        <f>IFERROR(VLOOKUP(TEXT(O478,"0"),CONDUCTORES!$A$3:$G$54,2,0),"")</f>
        <v/>
      </c>
      <c r="Q478" s="332">
        <f>IFERROR(VLOOKUP(TEXT(O478,"0"),CONDUCTORES!$A$3:$H$54,6,0),"")</f>
        <v/>
      </c>
      <c r="R478" s="280" t="n"/>
      <c r="S478" s="280" t="n"/>
      <c r="T478" s="280" t="n"/>
      <c r="U478" s="280" t="n"/>
      <c r="V478" s="280" t="n"/>
      <c r="W478" s="280" t="n"/>
      <c r="X478" s="280" t="n"/>
      <c r="Y478" s="280" t="n"/>
    </row>
    <row r="479" ht="15" customHeight="1" s="195">
      <c r="A479" s="334" t="n"/>
      <c r="B479" s="334" t="n"/>
      <c r="C479" s="334" t="n"/>
      <c r="D479" s="334" t="n"/>
      <c r="E479" s="334" t="n"/>
      <c r="F479" s="334" t="n"/>
      <c r="G479" s="334" t="n"/>
      <c r="H479" s="334" t="n"/>
      <c r="I479" s="332">
        <f>IFERROR(VLOOKUP(TEXT(H479,"0"),IPRESS!$A$3:$B$212,2,0),"")</f>
        <v/>
      </c>
      <c r="J479" s="334" t="n"/>
      <c r="K479" s="332">
        <f>IFERROR(VLOOKUP(TEXT(O479,"0"),CONDUCTORES!$A$3:$G$54,7,0),"")</f>
        <v/>
      </c>
      <c r="L479" s="334" t="n"/>
      <c r="M479" s="334" t="n"/>
      <c r="N479" s="333">
        <f>IFERROR(IF(L479*M479=0,"",L479*M479),"")</f>
        <v/>
      </c>
      <c r="O479" s="334" t="n"/>
      <c r="P479" s="332">
        <f>IFERROR(VLOOKUP(TEXT(O479,"0"),CONDUCTORES!$A$3:$G$54,2,0),"")</f>
        <v/>
      </c>
      <c r="Q479" s="332">
        <f>IFERROR(VLOOKUP(TEXT(O479,"0"),CONDUCTORES!$A$3:$H$54,6,0),"")</f>
        <v/>
      </c>
      <c r="R479" s="334" t="n"/>
      <c r="S479" s="334" t="n"/>
      <c r="T479" s="334" t="n"/>
      <c r="U479" s="334" t="n"/>
      <c r="V479" s="334" t="n"/>
      <c r="W479" s="334" t="n"/>
      <c r="X479" s="334" t="n"/>
      <c r="Y479" s="334" t="n"/>
    </row>
    <row r="480" ht="15" customHeight="1" s="195">
      <c r="A480" s="280" t="n"/>
      <c r="B480" s="280" t="n"/>
      <c r="C480" s="280" t="n"/>
      <c r="D480" s="280" t="n"/>
      <c r="E480" s="280" t="n"/>
      <c r="F480" s="280" t="n"/>
      <c r="G480" s="280" t="n"/>
      <c r="H480" s="280" t="n"/>
      <c r="I480" s="332">
        <f>IFERROR(VLOOKUP(TEXT(H480,"0"),IPRESS!$A$3:$B$212,2,0),"")</f>
        <v/>
      </c>
      <c r="J480" s="280" t="n"/>
      <c r="K480" s="332">
        <f>IFERROR(VLOOKUP(TEXT(O480,"0"),CONDUCTORES!$A$3:$G$54,7,0),"")</f>
        <v/>
      </c>
      <c r="L480" s="280" t="n"/>
      <c r="M480" s="280" t="n"/>
      <c r="N480" s="333">
        <f>IFERROR(IF(L480*M480=0,"",L480*M480),"")</f>
        <v/>
      </c>
      <c r="O480" s="280" t="n"/>
      <c r="P480" s="332">
        <f>IFERROR(VLOOKUP(TEXT(O480,"0"),CONDUCTORES!$A$3:$G$54,2,0),"")</f>
        <v/>
      </c>
      <c r="Q480" s="332">
        <f>IFERROR(VLOOKUP(TEXT(O480,"0"),CONDUCTORES!$A$3:$H$54,6,0),"")</f>
        <v/>
      </c>
      <c r="R480" s="280" t="n"/>
      <c r="S480" s="280" t="n"/>
      <c r="T480" s="280" t="n"/>
      <c r="U480" s="280" t="n"/>
      <c r="V480" s="280" t="n"/>
      <c r="W480" s="280" t="n"/>
      <c r="X480" s="280" t="n"/>
      <c r="Y480" s="280" t="n"/>
    </row>
    <row r="481" ht="15" customHeight="1" s="195">
      <c r="A481" s="334" t="n"/>
      <c r="B481" s="334" t="n"/>
      <c r="C481" s="334" t="n"/>
      <c r="D481" s="334" t="n"/>
      <c r="E481" s="334" t="n"/>
      <c r="F481" s="334" t="n"/>
      <c r="G481" s="334" t="n"/>
      <c r="H481" s="334" t="n"/>
      <c r="I481" s="332">
        <f>IFERROR(VLOOKUP(TEXT(H481,"0"),IPRESS!$A$3:$B$212,2,0),"")</f>
        <v/>
      </c>
      <c r="J481" s="334" t="n"/>
      <c r="K481" s="332">
        <f>IFERROR(VLOOKUP(TEXT(O481,"0"),CONDUCTORES!$A$3:$G$54,7,0),"")</f>
        <v/>
      </c>
      <c r="L481" s="334" t="n"/>
      <c r="M481" s="334" t="n"/>
      <c r="N481" s="333">
        <f>IFERROR(IF(L481*M481=0,"",L481*M481),"")</f>
        <v/>
      </c>
      <c r="O481" s="334" t="n"/>
      <c r="P481" s="332">
        <f>IFERROR(VLOOKUP(TEXT(O481,"0"),CONDUCTORES!$A$3:$G$54,2,0),"")</f>
        <v/>
      </c>
      <c r="Q481" s="332">
        <f>IFERROR(VLOOKUP(TEXT(O481,"0"),CONDUCTORES!$A$3:$H$54,6,0),"")</f>
        <v/>
      </c>
      <c r="R481" s="334" t="n"/>
      <c r="S481" s="334" t="n"/>
      <c r="T481" s="334" t="n"/>
      <c r="U481" s="334" t="n"/>
      <c r="V481" s="334" t="n"/>
      <c r="W481" s="334" t="n"/>
      <c r="X481" s="334" t="n"/>
      <c r="Y481" s="334" t="n"/>
    </row>
    <row r="482" ht="15" customHeight="1" s="195">
      <c r="A482" s="280" t="n"/>
      <c r="B482" s="280" t="n"/>
      <c r="C482" s="280" t="n"/>
      <c r="D482" s="280" t="n"/>
      <c r="E482" s="280" t="n"/>
      <c r="F482" s="280" t="n"/>
      <c r="G482" s="280" t="n"/>
      <c r="H482" s="280" t="n"/>
      <c r="I482" s="332">
        <f>IFERROR(VLOOKUP(TEXT(H482,"0"),IPRESS!$A$3:$B$212,2,0),"")</f>
        <v/>
      </c>
      <c r="J482" s="280" t="n"/>
      <c r="K482" s="332">
        <f>IFERROR(VLOOKUP(TEXT(O482,"0"),CONDUCTORES!$A$3:$G$54,7,0),"")</f>
        <v/>
      </c>
      <c r="L482" s="280" t="n"/>
      <c r="M482" s="280" t="n"/>
      <c r="N482" s="333">
        <f>IFERROR(IF(L482*M482=0,"",L482*M482),"")</f>
        <v/>
      </c>
      <c r="O482" s="280" t="n"/>
      <c r="P482" s="332">
        <f>IFERROR(VLOOKUP(TEXT(O482,"0"),CONDUCTORES!$A$3:$G$54,2,0),"")</f>
        <v/>
      </c>
      <c r="Q482" s="332">
        <f>IFERROR(VLOOKUP(TEXT(O482,"0"),CONDUCTORES!$A$3:$H$54,6,0),"")</f>
        <v/>
      </c>
      <c r="R482" s="280" t="n"/>
      <c r="S482" s="280" t="n"/>
      <c r="T482" s="280" t="n"/>
      <c r="U482" s="280" t="n"/>
      <c r="V482" s="280" t="n"/>
      <c r="W482" s="280" t="n"/>
      <c r="X482" s="280" t="n"/>
      <c r="Y482" s="280" t="n"/>
    </row>
    <row r="483" ht="15" customHeight="1" s="195">
      <c r="A483" s="334" t="n"/>
      <c r="B483" s="334" t="n"/>
      <c r="C483" s="334" t="n"/>
      <c r="D483" s="334" t="n"/>
      <c r="E483" s="334" t="n"/>
      <c r="F483" s="334" t="n"/>
      <c r="G483" s="334" t="n"/>
      <c r="H483" s="334" t="n"/>
      <c r="I483" s="332">
        <f>IFERROR(VLOOKUP(TEXT(H483,"0"),IPRESS!$A$3:$B$212,2,0),"")</f>
        <v/>
      </c>
      <c r="J483" s="334" t="n"/>
      <c r="K483" s="332">
        <f>IFERROR(VLOOKUP(TEXT(O483,"0"),CONDUCTORES!$A$3:$G$54,7,0),"")</f>
        <v/>
      </c>
      <c r="L483" s="334" t="n"/>
      <c r="M483" s="334" t="n"/>
      <c r="N483" s="333">
        <f>IFERROR(IF(L483*M483=0,"",L483*M483),"")</f>
        <v/>
      </c>
      <c r="O483" s="334" t="n"/>
      <c r="P483" s="332">
        <f>IFERROR(VLOOKUP(TEXT(O483,"0"),CONDUCTORES!$A$3:$G$54,2,0),"")</f>
        <v/>
      </c>
      <c r="Q483" s="332">
        <f>IFERROR(VLOOKUP(TEXT(O483,"0"),CONDUCTORES!$A$3:$H$54,6,0),"")</f>
        <v/>
      </c>
      <c r="R483" s="334" t="n"/>
      <c r="S483" s="334" t="n"/>
      <c r="T483" s="334" t="n"/>
      <c r="U483" s="334" t="n"/>
      <c r="V483" s="334" t="n"/>
      <c r="W483" s="334" t="n"/>
      <c r="X483" s="334" t="n"/>
      <c r="Y483" s="334" t="n"/>
    </row>
    <row r="484" ht="15" customHeight="1" s="195">
      <c r="A484" s="280" t="n"/>
      <c r="B484" s="280" t="n"/>
      <c r="C484" s="280" t="n"/>
      <c r="D484" s="280" t="n"/>
      <c r="E484" s="280" t="n"/>
      <c r="F484" s="280" t="n"/>
      <c r="G484" s="280" t="n"/>
      <c r="H484" s="280" t="n"/>
      <c r="I484" s="332">
        <f>IFERROR(VLOOKUP(TEXT(H484,"0"),IPRESS!$A$3:$B$212,2,0),"")</f>
        <v/>
      </c>
      <c r="J484" s="280" t="n"/>
      <c r="K484" s="332">
        <f>IFERROR(VLOOKUP(TEXT(O484,"0"),CONDUCTORES!$A$3:$G$54,7,0),"")</f>
        <v/>
      </c>
      <c r="L484" s="280" t="n"/>
      <c r="M484" s="280" t="n"/>
      <c r="N484" s="333">
        <f>IFERROR(IF(L484*M484=0,"",L484*M484),"")</f>
        <v/>
      </c>
      <c r="O484" s="280" t="n"/>
      <c r="P484" s="332">
        <f>IFERROR(VLOOKUP(TEXT(O484,"0"),CONDUCTORES!$A$3:$G$54,2,0),"")</f>
        <v/>
      </c>
      <c r="Q484" s="332">
        <f>IFERROR(VLOOKUP(TEXT(O484,"0"),CONDUCTORES!$A$3:$H$54,6,0),"")</f>
        <v/>
      </c>
      <c r="R484" s="280" t="n"/>
      <c r="S484" s="280" t="n"/>
      <c r="T484" s="280" t="n"/>
      <c r="U484" s="280" t="n"/>
      <c r="V484" s="280" t="n"/>
      <c r="W484" s="280" t="n"/>
      <c r="X484" s="280" t="n"/>
      <c r="Y484" s="280" t="n"/>
    </row>
    <row r="485" ht="15" customHeight="1" s="195">
      <c r="A485" s="334" t="n"/>
      <c r="B485" s="334" t="n"/>
      <c r="C485" s="334" t="n"/>
      <c r="D485" s="334" t="n"/>
      <c r="E485" s="334" t="n"/>
      <c r="F485" s="334" t="n"/>
      <c r="G485" s="334" t="n"/>
      <c r="H485" s="334" t="n"/>
      <c r="I485" s="332">
        <f>IFERROR(VLOOKUP(TEXT(H485,"0"),IPRESS!$A$3:$B$212,2,0),"")</f>
        <v/>
      </c>
      <c r="J485" s="334" t="n"/>
      <c r="K485" s="332">
        <f>IFERROR(VLOOKUP(TEXT(O485,"0"),CONDUCTORES!$A$3:$G$54,7,0),"")</f>
        <v/>
      </c>
      <c r="L485" s="334" t="n"/>
      <c r="M485" s="334" t="n"/>
      <c r="N485" s="333">
        <f>IFERROR(IF(L485*M485=0,"",L485*M485),"")</f>
        <v/>
      </c>
      <c r="O485" s="334" t="n"/>
      <c r="P485" s="332">
        <f>IFERROR(VLOOKUP(TEXT(O485,"0"),CONDUCTORES!$A$3:$G$54,2,0),"")</f>
        <v/>
      </c>
      <c r="Q485" s="332">
        <f>IFERROR(VLOOKUP(TEXT(O485,"0"),CONDUCTORES!$A$3:$H$54,6,0),"")</f>
        <v/>
      </c>
      <c r="R485" s="334" t="n"/>
      <c r="S485" s="334" t="n"/>
      <c r="T485" s="334" t="n"/>
      <c r="U485" s="334" t="n"/>
      <c r="V485" s="334" t="n"/>
      <c r="W485" s="334" t="n"/>
      <c r="X485" s="334" t="n"/>
      <c r="Y485" s="334" t="n"/>
    </row>
    <row r="486" ht="15" customHeight="1" s="195">
      <c r="A486" s="280" t="n"/>
      <c r="B486" s="280" t="n"/>
      <c r="C486" s="280" t="n"/>
      <c r="D486" s="280" t="n"/>
      <c r="E486" s="280" t="n"/>
      <c r="F486" s="280" t="n"/>
      <c r="G486" s="280" t="n"/>
      <c r="H486" s="280" t="n"/>
      <c r="I486" s="332">
        <f>IFERROR(VLOOKUP(TEXT(H486,"0"),IPRESS!$A$3:$B$212,2,0),"")</f>
        <v/>
      </c>
      <c r="J486" s="280" t="n"/>
      <c r="K486" s="332">
        <f>IFERROR(VLOOKUP(TEXT(O486,"0"),CONDUCTORES!$A$3:$G$54,7,0),"")</f>
        <v/>
      </c>
      <c r="L486" s="280" t="n"/>
      <c r="M486" s="280" t="n"/>
      <c r="N486" s="333">
        <f>IFERROR(IF(L486*M486=0,"",L486*M486),"")</f>
        <v/>
      </c>
      <c r="O486" s="280" t="n"/>
      <c r="P486" s="332">
        <f>IFERROR(VLOOKUP(TEXT(O486,"0"),CONDUCTORES!$A$3:$G$54,2,0),"")</f>
        <v/>
      </c>
      <c r="Q486" s="332">
        <f>IFERROR(VLOOKUP(TEXT(O486,"0"),CONDUCTORES!$A$3:$H$54,6,0),"")</f>
        <v/>
      </c>
      <c r="R486" s="280" t="n"/>
      <c r="S486" s="280" t="n"/>
      <c r="T486" s="280" t="n"/>
      <c r="U486" s="280" t="n"/>
      <c r="V486" s="280" t="n"/>
      <c r="W486" s="280" t="n"/>
      <c r="X486" s="280" t="n"/>
      <c r="Y486" s="280" t="n"/>
    </row>
    <row r="487" ht="15" customHeight="1" s="195">
      <c r="A487" s="334" t="n"/>
      <c r="B487" s="334" t="n"/>
      <c r="C487" s="334" t="n"/>
      <c r="D487" s="334" t="n"/>
      <c r="E487" s="334" t="n"/>
      <c r="F487" s="334" t="n"/>
      <c r="G487" s="334" t="n"/>
      <c r="H487" s="334" t="n"/>
      <c r="I487" s="332">
        <f>IFERROR(VLOOKUP(TEXT(H487,"0"),IPRESS!$A$3:$B$212,2,0),"")</f>
        <v/>
      </c>
      <c r="J487" s="334" t="n"/>
      <c r="K487" s="332">
        <f>IFERROR(VLOOKUP(TEXT(O487,"0"),CONDUCTORES!$A$3:$G$54,7,0),"")</f>
        <v/>
      </c>
      <c r="L487" s="334" t="n"/>
      <c r="M487" s="334" t="n"/>
      <c r="N487" s="333">
        <f>IFERROR(IF(L487*M487=0,"",L487*M487),"")</f>
        <v/>
      </c>
      <c r="O487" s="334" t="n"/>
      <c r="P487" s="332">
        <f>IFERROR(VLOOKUP(TEXT(O487,"0"),CONDUCTORES!$A$3:$G$54,2,0),"")</f>
        <v/>
      </c>
      <c r="Q487" s="332">
        <f>IFERROR(VLOOKUP(TEXT(O487,"0"),CONDUCTORES!$A$3:$H$54,6,0),"")</f>
        <v/>
      </c>
      <c r="R487" s="334" t="n"/>
      <c r="S487" s="334" t="n"/>
      <c r="T487" s="334" t="n"/>
      <c r="U487" s="334" t="n"/>
      <c r="V487" s="334" t="n"/>
      <c r="W487" s="334" t="n"/>
      <c r="X487" s="334" t="n"/>
      <c r="Y487" s="334" t="n"/>
    </row>
    <row r="488" ht="15" customHeight="1" s="195">
      <c r="A488" s="280" t="n"/>
      <c r="B488" s="280" t="n"/>
      <c r="C488" s="280" t="n"/>
      <c r="D488" s="280" t="n"/>
      <c r="E488" s="280" t="n"/>
      <c r="F488" s="280" t="n"/>
      <c r="G488" s="280" t="n"/>
      <c r="H488" s="280" t="n"/>
      <c r="I488" s="332">
        <f>IFERROR(VLOOKUP(TEXT(H488,"0"),IPRESS!$A$3:$B$212,2,0),"")</f>
        <v/>
      </c>
      <c r="J488" s="280" t="n"/>
      <c r="K488" s="332">
        <f>IFERROR(VLOOKUP(TEXT(O488,"0"),CONDUCTORES!$A$3:$G$54,7,0),"")</f>
        <v/>
      </c>
      <c r="L488" s="280" t="n"/>
      <c r="M488" s="280" t="n"/>
      <c r="N488" s="333">
        <f>IFERROR(IF(L488*M488=0,"",L488*M488),"")</f>
        <v/>
      </c>
      <c r="O488" s="280" t="n"/>
      <c r="P488" s="332">
        <f>IFERROR(VLOOKUP(TEXT(O488,"0"),CONDUCTORES!$A$3:$G$54,2,0),"")</f>
        <v/>
      </c>
      <c r="Q488" s="332">
        <f>IFERROR(VLOOKUP(TEXT(O488,"0"),CONDUCTORES!$A$3:$H$54,6,0),"")</f>
        <v/>
      </c>
      <c r="R488" s="280" t="n"/>
      <c r="S488" s="280" t="n"/>
      <c r="T488" s="280" t="n"/>
      <c r="U488" s="280" t="n"/>
      <c r="V488" s="280" t="n"/>
      <c r="W488" s="280" t="n"/>
      <c r="X488" s="280" t="n"/>
      <c r="Y488" s="280" t="n"/>
    </row>
    <row r="489" ht="15" customHeight="1" s="195">
      <c r="A489" s="334" t="n"/>
      <c r="B489" s="334" t="n"/>
      <c r="C489" s="334" t="n"/>
      <c r="D489" s="334" t="n"/>
      <c r="E489" s="334" t="n"/>
      <c r="F489" s="334" t="n"/>
      <c r="G489" s="334" t="n"/>
      <c r="H489" s="334" t="n"/>
      <c r="I489" s="332">
        <f>IFERROR(VLOOKUP(TEXT(H489,"0"),IPRESS!$A$3:$B$212,2,0),"")</f>
        <v/>
      </c>
      <c r="J489" s="334" t="n"/>
      <c r="K489" s="332">
        <f>IFERROR(VLOOKUP(TEXT(O489,"0"),CONDUCTORES!$A$3:$G$54,7,0),"")</f>
        <v/>
      </c>
      <c r="L489" s="334" t="n"/>
      <c r="M489" s="334" t="n"/>
      <c r="N489" s="333">
        <f>IFERROR(IF(L489*M489=0,"",L489*M489),"")</f>
        <v/>
      </c>
      <c r="O489" s="334" t="n"/>
      <c r="P489" s="332">
        <f>IFERROR(VLOOKUP(TEXT(O489,"0"),CONDUCTORES!$A$3:$G$54,2,0),"")</f>
        <v/>
      </c>
      <c r="Q489" s="332">
        <f>IFERROR(VLOOKUP(TEXT(O489,"0"),CONDUCTORES!$A$3:$H$54,6,0),"")</f>
        <v/>
      </c>
      <c r="R489" s="334" t="n"/>
      <c r="S489" s="334" t="n"/>
      <c r="T489" s="334" t="n"/>
      <c r="U489" s="334" t="n"/>
      <c r="V489" s="334" t="n"/>
      <c r="W489" s="334" t="n"/>
      <c r="X489" s="334" t="n"/>
      <c r="Y489" s="334" t="n"/>
    </row>
    <row r="490" ht="15" customHeight="1" s="195">
      <c r="A490" s="280" t="n"/>
      <c r="B490" s="280" t="n"/>
      <c r="C490" s="280" t="n"/>
      <c r="D490" s="280" t="n"/>
      <c r="E490" s="280" t="n"/>
      <c r="F490" s="280" t="n"/>
      <c r="G490" s="280" t="n"/>
      <c r="H490" s="280" t="n"/>
      <c r="I490" s="332">
        <f>IFERROR(VLOOKUP(TEXT(H490,"0"),IPRESS!$A$3:$B$212,2,0),"")</f>
        <v/>
      </c>
      <c r="J490" s="280" t="n"/>
      <c r="K490" s="332">
        <f>IFERROR(VLOOKUP(TEXT(O490,"0"),CONDUCTORES!$A$3:$G$54,7,0),"")</f>
        <v/>
      </c>
      <c r="L490" s="280" t="n"/>
      <c r="M490" s="280" t="n"/>
      <c r="N490" s="333">
        <f>IFERROR(IF(L490*M490=0,"",L490*M490),"")</f>
        <v/>
      </c>
      <c r="O490" s="280" t="n"/>
      <c r="P490" s="332">
        <f>IFERROR(VLOOKUP(TEXT(O490,"0"),CONDUCTORES!$A$3:$G$54,2,0),"")</f>
        <v/>
      </c>
      <c r="Q490" s="332">
        <f>IFERROR(VLOOKUP(TEXT(O490,"0"),CONDUCTORES!$A$3:$H$54,6,0),"")</f>
        <v/>
      </c>
      <c r="R490" s="280" t="n"/>
      <c r="S490" s="280" t="n"/>
      <c r="T490" s="280" t="n"/>
      <c r="U490" s="280" t="n"/>
      <c r="V490" s="280" t="n"/>
      <c r="W490" s="280" t="n"/>
      <c r="X490" s="280" t="n"/>
      <c r="Y490" s="280" t="n"/>
    </row>
    <row r="491" ht="15" customHeight="1" s="195">
      <c r="A491" s="334" t="n"/>
      <c r="B491" s="334" t="n"/>
      <c r="C491" s="334" t="n"/>
      <c r="D491" s="334" t="n"/>
      <c r="E491" s="334" t="n"/>
      <c r="F491" s="334" t="n"/>
      <c r="G491" s="334" t="n"/>
      <c r="H491" s="334" t="n"/>
      <c r="I491" s="332">
        <f>IFERROR(VLOOKUP(TEXT(H491,"0"),IPRESS!$A$3:$B$212,2,0),"")</f>
        <v/>
      </c>
      <c r="J491" s="334" t="n"/>
      <c r="K491" s="332">
        <f>IFERROR(VLOOKUP(TEXT(O491,"0"),CONDUCTORES!$A$3:$G$54,7,0),"")</f>
        <v/>
      </c>
      <c r="L491" s="334" t="n"/>
      <c r="M491" s="334" t="n"/>
      <c r="N491" s="333">
        <f>IFERROR(IF(L491*M491=0,"",L491*M491),"")</f>
        <v/>
      </c>
      <c r="O491" s="334" t="n"/>
      <c r="P491" s="332">
        <f>IFERROR(VLOOKUP(TEXT(O491,"0"),CONDUCTORES!$A$3:$G$54,2,0),"")</f>
        <v/>
      </c>
      <c r="Q491" s="332">
        <f>IFERROR(VLOOKUP(TEXT(O491,"0"),CONDUCTORES!$A$3:$H$54,6,0),"")</f>
        <v/>
      </c>
      <c r="R491" s="334" t="n"/>
      <c r="S491" s="334" t="n"/>
      <c r="T491" s="334" t="n"/>
      <c r="U491" s="334" t="n"/>
      <c r="V491" s="334" t="n"/>
      <c r="W491" s="334" t="n"/>
      <c r="X491" s="334" t="n"/>
      <c r="Y491" s="334" t="n"/>
    </row>
    <row r="492" ht="15" customHeight="1" s="195">
      <c r="A492" s="280" t="n"/>
      <c r="B492" s="280" t="n"/>
      <c r="C492" s="280" t="n"/>
      <c r="D492" s="280" t="n"/>
      <c r="E492" s="280" t="n"/>
      <c r="F492" s="280" t="n"/>
      <c r="G492" s="280" t="n"/>
      <c r="H492" s="280" t="n"/>
      <c r="I492" s="332">
        <f>IFERROR(VLOOKUP(TEXT(H492,"0"),IPRESS!$A$3:$B$212,2,0),"")</f>
        <v/>
      </c>
      <c r="J492" s="280" t="n"/>
      <c r="K492" s="332">
        <f>IFERROR(VLOOKUP(TEXT(O492,"0"),CONDUCTORES!$A$3:$G$54,7,0),"")</f>
        <v/>
      </c>
      <c r="L492" s="280" t="n"/>
      <c r="M492" s="280" t="n"/>
      <c r="N492" s="333">
        <f>IFERROR(IF(L492*M492=0,"",L492*M492),"")</f>
        <v/>
      </c>
      <c r="O492" s="280" t="n"/>
      <c r="P492" s="332">
        <f>IFERROR(VLOOKUP(TEXT(O492,"0"),CONDUCTORES!$A$3:$G$54,2,0),"")</f>
        <v/>
      </c>
      <c r="Q492" s="332">
        <f>IFERROR(VLOOKUP(TEXT(O492,"0"),CONDUCTORES!$A$3:$H$54,6,0),"")</f>
        <v/>
      </c>
      <c r="R492" s="280" t="n"/>
      <c r="S492" s="280" t="n"/>
      <c r="T492" s="280" t="n"/>
      <c r="U492" s="280" t="n"/>
      <c r="V492" s="280" t="n"/>
      <c r="W492" s="280" t="n"/>
      <c r="X492" s="280" t="n"/>
      <c r="Y492" s="280" t="n"/>
    </row>
    <row r="493" ht="15" customHeight="1" s="195">
      <c r="A493" s="334" t="n"/>
      <c r="B493" s="334" t="n"/>
      <c r="C493" s="334" t="n"/>
      <c r="D493" s="334" t="n"/>
      <c r="E493" s="334" t="n"/>
      <c r="F493" s="334" t="n"/>
      <c r="G493" s="334" t="n"/>
      <c r="H493" s="334" t="n"/>
      <c r="I493" s="332">
        <f>IFERROR(VLOOKUP(TEXT(H493,"0"),IPRESS!$A$3:$B$212,2,0),"")</f>
        <v/>
      </c>
      <c r="J493" s="334" t="n"/>
      <c r="K493" s="332">
        <f>IFERROR(VLOOKUP(TEXT(O493,"0"),CONDUCTORES!$A$3:$G$54,7,0),"")</f>
        <v/>
      </c>
      <c r="L493" s="334" t="n"/>
      <c r="M493" s="334" t="n"/>
      <c r="N493" s="333">
        <f>IFERROR(IF(L493*M493=0,"",L493*M493),"")</f>
        <v/>
      </c>
      <c r="O493" s="334" t="n"/>
      <c r="P493" s="332">
        <f>IFERROR(VLOOKUP(TEXT(O493,"0"),CONDUCTORES!$A$3:$G$54,2,0),"")</f>
        <v/>
      </c>
      <c r="Q493" s="332">
        <f>IFERROR(VLOOKUP(TEXT(O493,"0"),CONDUCTORES!$A$3:$H$54,6,0),"")</f>
        <v/>
      </c>
      <c r="R493" s="334" t="n"/>
      <c r="S493" s="334" t="n"/>
      <c r="T493" s="334" t="n"/>
      <c r="U493" s="334" t="n"/>
      <c r="V493" s="334" t="n"/>
      <c r="W493" s="334" t="n"/>
      <c r="X493" s="334" t="n"/>
      <c r="Y493" s="334" t="n"/>
    </row>
    <row r="494" ht="15" customHeight="1" s="195">
      <c r="A494" s="280" t="n"/>
      <c r="B494" s="280" t="n"/>
      <c r="C494" s="280" t="n"/>
      <c r="D494" s="280" t="n"/>
      <c r="E494" s="280" t="n"/>
      <c r="F494" s="280" t="n"/>
      <c r="G494" s="280" t="n"/>
      <c r="H494" s="280" t="n"/>
      <c r="I494" s="332">
        <f>IFERROR(VLOOKUP(TEXT(H494,"0"),IPRESS!$A$3:$B$212,2,0),"")</f>
        <v/>
      </c>
      <c r="J494" s="280" t="n"/>
      <c r="K494" s="332">
        <f>IFERROR(VLOOKUP(TEXT(O494,"0"),CONDUCTORES!$A$3:$G$54,7,0),"")</f>
        <v/>
      </c>
      <c r="L494" s="280" t="n"/>
      <c r="M494" s="280" t="n"/>
      <c r="N494" s="333">
        <f>IFERROR(IF(L494*M494=0,"",L494*M494),"")</f>
        <v/>
      </c>
      <c r="O494" s="280" t="n"/>
      <c r="P494" s="332">
        <f>IFERROR(VLOOKUP(TEXT(O494,"0"),CONDUCTORES!$A$3:$G$54,2,0),"")</f>
        <v/>
      </c>
      <c r="Q494" s="332">
        <f>IFERROR(VLOOKUP(TEXT(O494,"0"),CONDUCTORES!$A$3:$H$54,6,0),"")</f>
        <v/>
      </c>
      <c r="R494" s="280" t="n"/>
      <c r="S494" s="280" t="n"/>
      <c r="T494" s="280" t="n"/>
      <c r="U494" s="280" t="n"/>
      <c r="V494" s="280" t="n"/>
      <c r="W494" s="280" t="n"/>
      <c r="X494" s="280" t="n"/>
      <c r="Y494" s="280" t="n"/>
    </row>
    <row r="495" ht="15" customHeight="1" s="195">
      <c r="A495" s="334" t="n"/>
      <c r="B495" s="334" t="n"/>
      <c r="C495" s="334" t="n"/>
      <c r="D495" s="334" t="n"/>
      <c r="E495" s="334" t="n"/>
      <c r="F495" s="334" t="n"/>
      <c r="G495" s="334" t="n"/>
      <c r="H495" s="334" t="n"/>
      <c r="I495" s="332">
        <f>IFERROR(VLOOKUP(TEXT(H495,"0"),IPRESS!$A$3:$B$212,2,0),"")</f>
        <v/>
      </c>
      <c r="J495" s="334" t="n"/>
      <c r="K495" s="332">
        <f>IFERROR(VLOOKUP(TEXT(O495,"0"),CONDUCTORES!$A$3:$G$54,7,0),"")</f>
        <v/>
      </c>
      <c r="L495" s="334" t="n"/>
      <c r="M495" s="334" t="n"/>
      <c r="N495" s="333">
        <f>IFERROR(IF(L495*M495=0,"",L495*M495),"")</f>
        <v/>
      </c>
      <c r="O495" s="334" t="n"/>
      <c r="P495" s="332">
        <f>IFERROR(VLOOKUP(TEXT(O495,"0"),CONDUCTORES!$A$3:$G$54,2,0),"")</f>
        <v/>
      </c>
      <c r="Q495" s="332">
        <f>IFERROR(VLOOKUP(TEXT(O495,"0"),CONDUCTORES!$A$3:$H$54,6,0),"")</f>
        <v/>
      </c>
      <c r="R495" s="334" t="n"/>
      <c r="S495" s="334" t="n"/>
      <c r="T495" s="334" t="n"/>
      <c r="U495" s="334" t="n"/>
      <c r="V495" s="334" t="n"/>
      <c r="W495" s="334" t="n"/>
      <c r="X495" s="334" t="n"/>
      <c r="Y495" s="334" t="n"/>
    </row>
    <row r="496" ht="15" customHeight="1" s="195">
      <c r="A496" s="280" t="n"/>
      <c r="B496" s="280" t="n"/>
      <c r="C496" s="280" t="n"/>
      <c r="D496" s="280" t="n"/>
      <c r="E496" s="280" t="n"/>
      <c r="F496" s="280" t="n"/>
      <c r="G496" s="280" t="n"/>
      <c r="H496" s="280" t="n"/>
      <c r="I496" s="332">
        <f>IFERROR(VLOOKUP(TEXT(H496,"0"),IPRESS!$A$3:$B$212,2,0),"")</f>
        <v/>
      </c>
      <c r="J496" s="280" t="n"/>
      <c r="K496" s="332">
        <f>IFERROR(VLOOKUP(TEXT(O496,"0"),CONDUCTORES!$A$3:$G$54,7,0),"")</f>
        <v/>
      </c>
      <c r="L496" s="280" t="n"/>
      <c r="M496" s="280" t="n"/>
      <c r="N496" s="333">
        <f>IFERROR(IF(L496*M496=0,"",L496*M496),"")</f>
        <v/>
      </c>
      <c r="O496" s="280" t="n"/>
      <c r="P496" s="332">
        <f>IFERROR(VLOOKUP(TEXT(O496,"0"),CONDUCTORES!$A$3:$G$54,2,0),"")</f>
        <v/>
      </c>
      <c r="Q496" s="332">
        <f>IFERROR(VLOOKUP(TEXT(O496,"0"),CONDUCTORES!$A$3:$H$54,6,0),"")</f>
        <v/>
      </c>
      <c r="R496" s="280" t="n"/>
      <c r="S496" s="280" t="n"/>
      <c r="T496" s="280" t="n"/>
      <c r="U496" s="280" t="n"/>
      <c r="V496" s="280" t="n"/>
      <c r="W496" s="280" t="n"/>
      <c r="X496" s="280" t="n"/>
      <c r="Y496" s="280" t="n"/>
    </row>
    <row r="497" ht="15" customHeight="1" s="195">
      <c r="A497" s="334" t="n"/>
      <c r="B497" s="334" t="n"/>
      <c r="C497" s="334" t="n"/>
      <c r="D497" s="334" t="n"/>
      <c r="E497" s="334" t="n"/>
      <c r="F497" s="334" t="n"/>
      <c r="G497" s="334" t="n"/>
      <c r="H497" s="334" t="n"/>
      <c r="I497" s="332">
        <f>IFERROR(VLOOKUP(TEXT(H497,"0"),IPRESS!$A$3:$B$212,2,0),"")</f>
        <v/>
      </c>
      <c r="J497" s="334" t="n"/>
      <c r="K497" s="332">
        <f>IFERROR(VLOOKUP(TEXT(O497,"0"),CONDUCTORES!$A$3:$G$54,7,0),"")</f>
        <v/>
      </c>
      <c r="L497" s="334" t="n"/>
      <c r="M497" s="334" t="n"/>
      <c r="N497" s="333">
        <f>IFERROR(IF(L497*M497=0,"",L497*M497),"")</f>
        <v/>
      </c>
      <c r="O497" s="334" t="n"/>
      <c r="P497" s="332">
        <f>IFERROR(VLOOKUP(TEXT(O497,"0"),CONDUCTORES!$A$3:$G$54,2,0),"")</f>
        <v/>
      </c>
      <c r="Q497" s="332">
        <f>IFERROR(VLOOKUP(TEXT(O497,"0"),CONDUCTORES!$A$3:$H$54,6,0),"")</f>
        <v/>
      </c>
      <c r="R497" s="334" t="n"/>
      <c r="S497" s="334" t="n"/>
      <c r="T497" s="334" t="n"/>
      <c r="U497" s="334" t="n"/>
      <c r="V497" s="334" t="n"/>
      <c r="W497" s="334" t="n"/>
      <c r="X497" s="334" t="n"/>
      <c r="Y497" s="334" t="n"/>
    </row>
    <row r="498" ht="15" customHeight="1" s="195">
      <c r="A498" s="280" t="n"/>
      <c r="B498" s="280" t="n"/>
      <c r="C498" s="280" t="n"/>
      <c r="D498" s="280" t="n"/>
      <c r="E498" s="280" t="n"/>
      <c r="F498" s="280" t="n"/>
      <c r="G498" s="280" t="n"/>
      <c r="H498" s="280" t="n"/>
      <c r="I498" s="332">
        <f>IFERROR(VLOOKUP(TEXT(H498,"0"),IPRESS!$A$3:$B$212,2,0),"")</f>
        <v/>
      </c>
      <c r="J498" s="280" t="n"/>
      <c r="K498" s="332">
        <f>IFERROR(VLOOKUP(TEXT(O498,"0"),CONDUCTORES!$A$3:$G$54,7,0),"")</f>
        <v/>
      </c>
      <c r="L498" s="280" t="n"/>
      <c r="M498" s="280" t="n"/>
      <c r="N498" s="333">
        <f>IFERROR(IF(L498*M498=0,"",L498*M498),"")</f>
        <v/>
      </c>
      <c r="O498" s="280" t="n"/>
      <c r="P498" s="332">
        <f>IFERROR(VLOOKUP(TEXT(O498,"0"),CONDUCTORES!$A$3:$G$54,2,0),"")</f>
        <v/>
      </c>
      <c r="Q498" s="332">
        <f>IFERROR(VLOOKUP(TEXT(O498,"0"),CONDUCTORES!$A$3:$H$54,6,0),"")</f>
        <v/>
      </c>
      <c r="R498" s="280" t="n"/>
      <c r="S498" s="280" t="n"/>
      <c r="T498" s="280" t="n"/>
      <c r="U498" s="280" t="n"/>
      <c r="V498" s="280" t="n"/>
      <c r="W498" s="280" t="n"/>
      <c r="X498" s="280" t="n"/>
      <c r="Y498" s="280" t="n"/>
    </row>
    <row r="499" ht="15" customHeight="1" s="195">
      <c r="A499" s="334" t="n"/>
      <c r="B499" s="334" t="n"/>
      <c r="C499" s="334" t="n"/>
      <c r="D499" s="334" t="n"/>
      <c r="E499" s="334" t="n"/>
      <c r="F499" s="334" t="n"/>
      <c r="G499" s="334" t="n"/>
      <c r="H499" s="334" t="n"/>
      <c r="I499" s="332">
        <f>IFERROR(VLOOKUP(TEXT(H499,"0"),IPRESS!$A$3:$B$212,2,0),"")</f>
        <v/>
      </c>
      <c r="J499" s="334" t="n"/>
      <c r="K499" s="332">
        <f>IFERROR(VLOOKUP(TEXT(O499,"0"),CONDUCTORES!$A$3:$G$54,7,0),"")</f>
        <v/>
      </c>
      <c r="L499" s="334" t="n"/>
      <c r="M499" s="334" t="n"/>
      <c r="N499" s="333">
        <f>IFERROR(IF(L499*M499=0,"",L499*M499),"")</f>
        <v/>
      </c>
      <c r="O499" s="334" t="n"/>
      <c r="P499" s="332">
        <f>IFERROR(VLOOKUP(TEXT(O499,"0"),CONDUCTORES!$A$3:$G$54,2,0),"")</f>
        <v/>
      </c>
      <c r="Q499" s="332">
        <f>IFERROR(VLOOKUP(TEXT(O499,"0"),CONDUCTORES!$A$3:$H$54,6,0),"")</f>
        <v/>
      </c>
      <c r="R499" s="334" t="n"/>
      <c r="S499" s="334" t="n"/>
      <c r="T499" s="334" t="n"/>
      <c r="U499" s="334" t="n"/>
      <c r="V499" s="334" t="n"/>
      <c r="W499" s="334" t="n"/>
      <c r="X499" s="334" t="n"/>
      <c r="Y499" s="334" t="n"/>
    </row>
    <row r="500" ht="15" customHeight="1" s="195">
      <c r="A500" s="280" t="n"/>
      <c r="B500" s="280" t="n"/>
      <c r="C500" s="280" t="n"/>
      <c r="D500" s="280" t="n"/>
      <c r="E500" s="280" t="n"/>
      <c r="F500" s="280" t="n"/>
      <c r="G500" s="280" t="n"/>
      <c r="H500" s="280" t="n"/>
      <c r="I500" s="332">
        <f>IFERROR(VLOOKUP(TEXT(H500,"0"),IPRESS!$A$3:$B$212,2,0),"")</f>
        <v/>
      </c>
      <c r="J500" s="280" t="n"/>
      <c r="K500" s="332">
        <f>IFERROR(VLOOKUP(TEXT(O500,"0"),CONDUCTORES!$A$3:$G$54,7,0),"")</f>
        <v/>
      </c>
      <c r="L500" s="280" t="n"/>
      <c r="M500" s="280" t="n"/>
      <c r="N500" s="333">
        <f>IFERROR(IF(L500*M500=0,"",L500*M500),"")</f>
        <v/>
      </c>
      <c r="O500" s="280" t="n"/>
      <c r="P500" s="332">
        <f>IFERROR(VLOOKUP(TEXT(O500,"0"),CONDUCTORES!$A$3:$G$54,2,0),"")</f>
        <v/>
      </c>
      <c r="Q500" s="332">
        <f>IFERROR(VLOOKUP(TEXT(O500,"0"),CONDUCTORES!$A$3:$H$54,6,0),"")</f>
        <v/>
      </c>
      <c r="R500" s="280" t="n"/>
      <c r="S500" s="280" t="n"/>
      <c r="T500" s="280" t="n"/>
      <c r="U500" s="280" t="n"/>
      <c r="V500" s="280" t="n"/>
      <c r="W500" s="280" t="n"/>
      <c r="X500" s="280" t="n"/>
      <c r="Y500" s="280" t="n"/>
    </row>
    <row r="501" ht="15" customHeight="1" s="195">
      <c r="A501" s="334" t="n"/>
      <c r="B501" s="334" t="n"/>
      <c r="C501" s="334" t="n"/>
      <c r="D501" s="334" t="n"/>
      <c r="E501" s="334" t="n"/>
      <c r="F501" s="334" t="n"/>
      <c r="G501" s="334" t="n"/>
      <c r="H501" s="334" t="n"/>
      <c r="I501" s="332">
        <f>IFERROR(VLOOKUP(TEXT(H501,"0"),IPRESS!$A$3:$B$212,2,0),"")</f>
        <v/>
      </c>
      <c r="J501" s="334" t="n"/>
      <c r="K501" s="332">
        <f>IFERROR(VLOOKUP(TEXT(O501,"0"),CONDUCTORES!$A$3:$G$54,7,0),"")</f>
        <v/>
      </c>
      <c r="L501" s="334" t="n"/>
      <c r="M501" s="334" t="n"/>
      <c r="N501" s="333">
        <f>IFERROR(IF(L501*M501=0,"",L501*M501),"")</f>
        <v/>
      </c>
      <c r="O501" s="334" t="n"/>
      <c r="P501" s="332">
        <f>IFERROR(VLOOKUP(TEXT(O501,"0"),CONDUCTORES!$A$3:$G$54,2,0),"")</f>
        <v/>
      </c>
      <c r="Q501" s="332">
        <f>IFERROR(VLOOKUP(TEXT(O501,"0"),CONDUCTORES!$A$3:$H$54,6,0),"")</f>
        <v/>
      </c>
      <c r="R501" s="334" t="n"/>
      <c r="S501" s="334" t="n"/>
      <c r="T501" s="334" t="n"/>
      <c r="U501" s="334" t="n"/>
      <c r="V501" s="334" t="n"/>
      <c r="W501" s="334" t="n"/>
      <c r="X501" s="334" t="n"/>
      <c r="Y501" s="334" t="n"/>
    </row>
    <row r="502" ht="15" customHeight="1" s="195">
      <c r="A502" s="280" t="n"/>
      <c r="B502" s="280" t="n"/>
      <c r="C502" s="280" t="n"/>
      <c r="D502" s="280" t="n"/>
      <c r="E502" s="280" t="n"/>
      <c r="F502" s="280" t="n"/>
      <c r="G502" s="280" t="n"/>
      <c r="H502" s="280" t="n"/>
      <c r="I502" s="332">
        <f>IFERROR(VLOOKUP(TEXT(H502,"0"),IPRESS!$A$3:$B$212,2,0),"")</f>
        <v/>
      </c>
      <c r="J502" s="280" t="n"/>
      <c r="K502" s="332">
        <f>IFERROR(VLOOKUP(TEXT(O502,"0"),CONDUCTORES!$A$3:$G$54,7,0),"")</f>
        <v/>
      </c>
      <c r="L502" s="280" t="n"/>
      <c r="M502" s="280" t="n"/>
      <c r="N502" s="333">
        <f>IFERROR(IF(L502*M502=0,"",L502*M502),"")</f>
        <v/>
      </c>
      <c r="O502" s="280" t="n"/>
      <c r="P502" s="332">
        <f>IFERROR(VLOOKUP(TEXT(O502,"0"),CONDUCTORES!$A$3:$G$54,2,0),"")</f>
        <v/>
      </c>
      <c r="Q502" s="332">
        <f>IFERROR(VLOOKUP(TEXT(O502,"0"),CONDUCTORES!$A$3:$H$54,6,0),"")</f>
        <v/>
      </c>
      <c r="R502" s="280" t="n"/>
      <c r="S502" s="280" t="n"/>
      <c r="T502" s="280" t="n"/>
      <c r="U502" s="280" t="n"/>
      <c r="V502" s="280" t="n"/>
      <c r="W502" s="280" t="n"/>
      <c r="X502" s="280" t="n"/>
      <c r="Y502" s="280" t="n"/>
    </row>
    <row r="503" ht="15" customHeight="1" s="195">
      <c r="A503" s="334" t="n"/>
      <c r="B503" s="334" t="n"/>
      <c r="C503" s="334" t="n"/>
      <c r="D503" s="334" t="n"/>
      <c r="E503" s="334" t="n"/>
      <c r="F503" s="334" t="n"/>
      <c r="G503" s="334" t="n"/>
      <c r="H503" s="334" t="n"/>
      <c r="I503" s="332">
        <f>IFERROR(VLOOKUP(TEXT(H503,"0"),IPRESS!$A$3:$B$212,2,0),"")</f>
        <v/>
      </c>
      <c r="J503" s="334" t="n"/>
      <c r="K503" s="332">
        <f>IFERROR(VLOOKUP(TEXT(O503,"0"),CONDUCTORES!$A$3:$G$54,7,0),"")</f>
        <v/>
      </c>
      <c r="L503" s="334" t="n"/>
      <c r="M503" s="334" t="n"/>
      <c r="N503" s="333">
        <f>IFERROR(IF(L503*M503=0,"",L503*M503),"")</f>
        <v/>
      </c>
      <c r="O503" s="334" t="n"/>
      <c r="P503" s="332">
        <f>IFERROR(VLOOKUP(TEXT(O503,"0"),CONDUCTORES!$A$3:$G$54,2,0),"")</f>
        <v/>
      </c>
      <c r="Q503" s="332">
        <f>IFERROR(VLOOKUP(TEXT(O503,"0"),CONDUCTORES!$A$3:$H$54,6,0),"")</f>
        <v/>
      </c>
      <c r="R503" s="334" t="n"/>
      <c r="S503" s="334" t="n"/>
      <c r="T503" s="334" t="n"/>
      <c r="U503" s="334" t="n"/>
      <c r="V503" s="334" t="n"/>
      <c r="W503" s="334" t="n"/>
      <c r="X503" s="334" t="n"/>
      <c r="Y503" s="334" t="n"/>
    </row>
    <row r="504" ht="15" customHeight="1" s="195">
      <c r="A504" s="280" t="n"/>
      <c r="B504" s="280" t="n"/>
      <c r="C504" s="280" t="n"/>
      <c r="D504" s="280" t="n"/>
      <c r="E504" s="280" t="n"/>
      <c r="F504" s="280" t="n"/>
      <c r="G504" s="280" t="n"/>
      <c r="H504" s="280" t="n"/>
      <c r="I504" s="332">
        <f>IFERROR(VLOOKUP(TEXT(H504,"0"),IPRESS!$A$3:$B$212,2,0),"")</f>
        <v/>
      </c>
      <c r="J504" s="280" t="n"/>
      <c r="K504" s="332">
        <f>IFERROR(VLOOKUP(TEXT(O504,"0"),CONDUCTORES!$A$3:$G$54,7,0),"")</f>
        <v/>
      </c>
      <c r="L504" s="280" t="n"/>
      <c r="M504" s="280" t="n"/>
      <c r="N504" s="333">
        <f>IFERROR(IF(L504*M504=0,"",L504*M504),"")</f>
        <v/>
      </c>
      <c r="O504" s="280" t="n"/>
      <c r="P504" s="332">
        <f>IFERROR(VLOOKUP(TEXT(O504,"0"),CONDUCTORES!$A$3:$G$54,2,0),"")</f>
        <v/>
      </c>
      <c r="Q504" s="332">
        <f>IFERROR(VLOOKUP(TEXT(O504,"0"),CONDUCTORES!$A$3:$H$54,6,0),"")</f>
        <v/>
      </c>
      <c r="R504" s="280" t="n"/>
      <c r="S504" s="280" t="n"/>
      <c r="T504" s="280" t="n"/>
      <c r="U504" s="280" t="n"/>
      <c r="V504" s="280" t="n"/>
      <c r="W504" s="280" t="n"/>
      <c r="X504" s="280" t="n"/>
      <c r="Y504" s="280" t="n"/>
    </row>
    <row r="505" ht="15" customHeight="1" s="195">
      <c r="A505" s="334" t="n"/>
      <c r="B505" s="334" t="n"/>
      <c r="C505" s="334" t="n"/>
      <c r="D505" s="334" t="n"/>
      <c r="E505" s="334" t="n"/>
      <c r="F505" s="334" t="n"/>
      <c r="G505" s="334" t="n"/>
      <c r="H505" s="334" t="n"/>
      <c r="I505" s="332">
        <f>IFERROR(VLOOKUP(TEXT(H505,"0"),IPRESS!$A$3:$B$212,2,0),"")</f>
        <v/>
      </c>
      <c r="J505" s="334" t="n"/>
      <c r="K505" s="332">
        <f>IFERROR(VLOOKUP(TEXT(O505,"0"),CONDUCTORES!$A$3:$G$54,7,0),"")</f>
        <v/>
      </c>
      <c r="L505" s="334" t="n"/>
      <c r="M505" s="334" t="n"/>
      <c r="N505" s="333">
        <f>IFERROR(IF(L505*M505=0,"",L505*M505),"")</f>
        <v/>
      </c>
      <c r="O505" s="334" t="n"/>
      <c r="P505" s="332">
        <f>IFERROR(VLOOKUP(TEXT(O505,"0"),CONDUCTORES!$A$3:$G$54,2,0),"")</f>
        <v/>
      </c>
      <c r="Q505" s="332">
        <f>IFERROR(VLOOKUP(TEXT(O505,"0"),CONDUCTORES!$A$3:$H$54,6,0),"")</f>
        <v/>
      </c>
      <c r="R505" s="334" t="n"/>
      <c r="S505" s="334" t="n"/>
      <c r="T505" s="334" t="n"/>
      <c r="U505" s="334" t="n"/>
      <c r="V505" s="334" t="n"/>
      <c r="W505" s="334" t="n"/>
      <c r="X505" s="334" t="n"/>
      <c r="Y505" s="334" t="n"/>
    </row>
    <row r="506" ht="21.75" customHeight="1" s="195">
      <c r="A506" s="346" t="inlineStr">
        <is>
          <t>TOTALES DEL MES</t>
        </is>
      </c>
      <c r="M506" s="320">
        <f>SUM(M6:M505)</f>
        <v/>
      </c>
      <c r="N506" s="320">
        <f>SUM(N6:N505)</f>
        <v/>
      </c>
    </row>
    <row r="507" ht="15.75" customHeight="1" s="195"/>
    <row r="508" ht="15.75" customHeight="1" s="195"/>
    <row r="509" ht="15.75" customHeight="1" s="195"/>
    <row r="510" ht="15.75" customHeight="1" s="195"/>
    <row r="511" ht="15.75" customHeight="1" s="195"/>
    <row r="512" ht="15.75" customHeight="1" s="195"/>
    <row r="513" ht="15.75" customHeight="1" s="195"/>
    <row r="514" ht="15.75" customHeight="1" s="195"/>
    <row r="515" ht="15.75" customHeight="1" s="195"/>
    <row r="516" ht="15.75" customHeight="1" s="195"/>
    <row r="517" ht="15.75" customHeight="1" s="195"/>
    <row r="518" ht="15.75" customHeight="1" s="195"/>
    <row r="519" ht="15.75" customHeight="1" s="195"/>
    <row r="520" ht="15.75" customHeight="1" s="195"/>
    <row r="521" ht="15.75" customHeight="1" s="195"/>
    <row r="522" ht="15.75" customHeight="1" s="195"/>
    <row r="523" ht="15.75" customHeight="1" s="195"/>
    <row r="524" ht="15.75" customHeight="1" s="195"/>
    <row r="525" ht="15.75" customHeight="1" s="195"/>
    <row r="526" ht="15.75" customHeight="1" s="195"/>
    <row r="527" ht="15.75" customHeight="1" s="195"/>
    <row r="528" ht="15.75" customHeight="1" s="195"/>
    <row r="529" ht="15.75" customHeight="1" s="195"/>
    <row r="530" ht="15.75" customHeight="1" s="195"/>
    <row r="531" ht="15.75" customHeight="1" s="195"/>
    <row r="532" ht="15.75" customHeight="1" s="195"/>
    <row r="533" ht="15.75" customHeight="1" s="195"/>
    <row r="534" ht="15.75" customHeight="1" s="195"/>
    <row r="535" ht="15.75" customHeight="1" s="195"/>
    <row r="536" ht="15.75" customHeight="1" s="195"/>
    <row r="537" ht="15.75" customHeight="1" s="195"/>
    <row r="538" ht="15.75" customHeight="1" s="195"/>
    <row r="539" ht="15.75" customHeight="1" s="195"/>
    <row r="540" ht="15.75" customHeight="1" s="195"/>
    <row r="541" ht="15.75" customHeight="1" s="195"/>
    <row r="542" ht="15.75" customHeight="1" s="195"/>
    <row r="543" ht="15.75" customHeight="1" s="195"/>
    <row r="544" ht="15.75" customHeight="1" s="195"/>
    <row r="545" ht="15.75" customHeight="1" s="195"/>
    <row r="546" ht="15.75" customHeight="1" s="195"/>
    <row r="547" ht="15.75" customHeight="1" s="195"/>
    <row r="548" ht="15.75" customHeight="1" s="195"/>
    <row r="549" ht="15.75" customHeight="1" s="195"/>
    <row r="550" ht="15.75" customHeight="1" s="195"/>
    <row r="551" ht="15.75" customHeight="1" s="195"/>
    <row r="552" ht="15.75" customHeight="1" s="195"/>
    <row r="553" ht="15.75" customHeight="1" s="195"/>
    <row r="554" ht="15.75" customHeight="1" s="195"/>
    <row r="555" ht="15.75" customHeight="1" s="195"/>
    <row r="556" ht="15.75" customHeight="1" s="195"/>
    <row r="557" ht="15.75" customHeight="1" s="195"/>
    <row r="558" ht="15.75" customHeight="1" s="195"/>
    <row r="559" ht="15.75" customHeight="1" s="195"/>
    <row r="560" ht="15.75" customHeight="1" s="195"/>
    <row r="561" ht="15.75" customHeight="1" s="195"/>
    <row r="562" ht="15.75" customHeight="1" s="195"/>
    <row r="563" ht="15.75" customHeight="1" s="195"/>
    <row r="564" ht="15.75" customHeight="1" s="195"/>
    <row r="565" ht="15.75" customHeight="1" s="195"/>
    <row r="566" ht="15.75" customHeight="1" s="195"/>
    <row r="567" ht="15.75" customHeight="1" s="195"/>
    <row r="568" ht="15.75" customHeight="1" s="195"/>
    <row r="569" ht="15.75" customHeight="1" s="195"/>
    <row r="570" ht="15.75" customHeight="1" s="195"/>
    <row r="571" ht="15.75" customHeight="1" s="195"/>
    <row r="572" ht="15.75" customHeight="1" s="195"/>
    <row r="573" ht="15.75" customHeight="1" s="195"/>
    <row r="574" ht="15.75" customHeight="1" s="195"/>
    <row r="575" ht="15.75" customHeight="1" s="195"/>
    <row r="576" ht="15.75" customHeight="1" s="195"/>
    <row r="577" ht="15.75" customHeight="1" s="195"/>
    <row r="578" ht="15.75" customHeight="1" s="195"/>
    <row r="579" ht="15.75" customHeight="1" s="195"/>
    <row r="580" ht="15.75" customHeight="1" s="195"/>
    <row r="581" ht="15.75" customHeight="1" s="195"/>
    <row r="582" ht="15.75" customHeight="1" s="195"/>
    <row r="583" ht="15.75" customHeight="1" s="195"/>
    <row r="584" ht="15.75" customHeight="1" s="195"/>
    <row r="585" ht="15.75" customHeight="1" s="195"/>
    <row r="586" ht="15.75" customHeight="1" s="195"/>
    <row r="587" ht="15.75" customHeight="1" s="195"/>
    <row r="588" ht="15.75" customHeight="1" s="195"/>
    <row r="589" ht="15.75" customHeight="1" s="195"/>
    <row r="590" ht="15.75" customHeight="1" s="195"/>
    <row r="591" ht="15.75" customHeight="1" s="195"/>
    <row r="592" ht="15.75" customHeight="1" s="195"/>
    <row r="593" ht="15.75" customHeight="1" s="195"/>
    <row r="594" ht="15.75" customHeight="1" s="195"/>
    <row r="595" ht="15.75" customHeight="1" s="195"/>
    <row r="596" ht="15.75" customHeight="1" s="195"/>
    <row r="597" ht="15.75" customHeight="1" s="195"/>
    <row r="598" ht="15.75" customHeight="1" s="195"/>
    <row r="599" ht="15.75" customHeight="1" s="195"/>
    <row r="600" ht="15.75" customHeight="1" s="195"/>
    <row r="601" ht="15.75" customHeight="1" s="195"/>
    <row r="602" ht="15.75" customHeight="1" s="195"/>
    <row r="603" ht="15.75" customHeight="1" s="195"/>
    <row r="604" ht="15.75" customHeight="1" s="195"/>
    <row r="605" ht="15.75" customHeight="1" s="195"/>
    <row r="606" ht="15.75" customHeight="1" s="195"/>
    <row r="607" ht="15.75" customHeight="1" s="195"/>
    <row r="608" ht="15.75" customHeight="1" s="195"/>
    <row r="609" ht="15.75" customHeight="1" s="195"/>
    <row r="610" ht="15.75" customHeight="1" s="195"/>
    <row r="611" ht="15.75" customHeight="1" s="195"/>
    <row r="612" ht="15.75" customHeight="1" s="195"/>
    <row r="613" ht="15.75" customHeight="1" s="195"/>
    <row r="614" ht="15.75" customHeight="1" s="195"/>
    <row r="615" ht="15.75" customHeight="1" s="195"/>
    <row r="616" ht="15.75" customHeight="1" s="195"/>
    <row r="617" ht="15.75" customHeight="1" s="195"/>
    <row r="618" ht="15.75" customHeight="1" s="195"/>
    <row r="619" ht="15.75" customHeight="1" s="195"/>
    <row r="620" ht="15.75" customHeight="1" s="195"/>
    <row r="621" ht="15.75" customHeight="1" s="195"/>
    <row r="622" ht="15.75" customHeight="1" s="195"/>
    <row r="623" ht="15.75" customHeight="1" s="195"/>
    <row r="624" ht="15.75" customHeight="1" s="195"/>
    <row r="625" ht="15.75" customHeight="1" s="195"/>
    <row r="626" ht="15.75" customHeight="1" s="195"/>
    <row r="627" ht="15.75" customHeight="1" s="195"/>
    <row r="628" ht="15.75" customHeight="1" s="195"/>
    <row r="629" ht="15.75" customHeight="1" s="195"/>
    <row r="630" ht="15.75" customHeight="1" s="195"/>
    <row r="631" ht="15.75" customHeight="1" s="195"/>
    <row r="632" ht="15.75" customHeight="1" s="195"/>
    <row r="633" ht="15.75" customHeight="1" s="195"/>
    <row r="634" ht="15.75" customHeight="1" s="195"/>
    <row r="635" ht="15.75" customHeight="1" s="195"/>
    <row r="636" ht="15.75" customHeight="1" s="195"/>
    <row r="637" ht="15.75" customHeight="1" s="195"/>
    <row r="638" ht="15.75" customHeight="1" s="195"/>
    <row r="639" ht="15.75" customHeight="1" s="195"/>
    <row r="640" ht="15.75" customHeight="1" s="195"/>
    <row r="641" ht="15.75" customHeight="1" s="195"/>
    <row r="642" ht="15.75" customHeight="1" s="195"/>
    <row r="643" ht="15.75" customHeight="1" s="195"/>
    <row r="644" ht="15.75" customHeight="1" s="195"/>
    <row r="645" ht="15.75" customHeight="1" s="195"/>
    <row r="646" ht="15.75" customHeight="1" s="195"/>
    <row r="647" ht="15.75" customHeight="1" s="195"/>
    <row r="648" ht="15.75" customHeight="1" s="195"/>
    <row r="649" ht="15.75" customHeight="1" s="195"/>
    <row r="650" ht="15.75" customHeight="1" s="195"/>
    <row r="651" ht="15.75" customHeight="1" s="195"/>
    <row r="652" ht="15.75" customHeight="1" s="195"/>
    <row r="653" ht="15.75" customHeight="1" s="195"/>
    <row r="654" ht="15.75" customHeight="1" s="195"/>
    <row r="655" ht="15.75" customHeight="1" s="195"/>
    <row r="656" ht="15.75" customHeight="1" s="195"/>
    <row r="657" ht="15.75" customHeight="1" s="195"/>
    <row r="658" ht="15.75" customHeight="1" s="195"/>
    <row r="659" ht="15.75" customHeight="1" s="195"/>
    <row r="660" ht="15.75" customHeight="1" s="195"/>
    <row r="661" ht="15.75" customHeight="1" s="195"/>
    <row r="662" ht="15.75" customHeight="1" s="195"/>
    <row r="663" ht="15.75" customHeight="1" s="195"/>
    <row r="664" ht="15.75" customHeight="1" s="195"/>
    <row r="665" ht="15.75" customHeight="1" s="195"/>
    <row r="666" ht="15.75" customHeight="1" s="195"/>
    <row r="667" ht="15.75" customHeight="1" s="195"/>
    <row r="668" ht="15.75" customHeight="1" s="195"/>
    <row r="669" ht="15.75" customHeight="1" s="195"/>
    <row r="670" ht="15.75" customHeight="1" s="195"/>
    <row r="671" ht="15.75" customHeight="1" s="195"/>
    <row r="672" ht="15.75" customHeight="1" s="195"/>
    <row r="673" ht="15.75" customHeight="1" s="195"/>
    <row r="674" ht="15.75" customHeight="1" s="195"/>
    <row r="675" ht="15.75" customHeight="1" s="195"/>
    <row r="676" ht="15.75" customHeight="1" s="195"/>
    <row r="677" ht="15.75" customHeight="1" s="195"/>
    <row r="678" ht="15.75" customHeight="1" s="195"/>
    <row r="679" ht="15.75" customHeight="1" s="195"/>
    <row r="680" ht="15.75" customHeight="1" s="195"/>
    <row r="681" ht="15.75" customHeight="1" s="195"/>
    <row r="682" ht="15.75" customHeight="1" s="195"/>
    <row r="683" ht="15.75" customHeight="1" s="195"/>
    <row r="684" ht="15.75" customHeight="1" s="195"/>
    <row r="685" ht="15.75" customHeight="1" s="195"/>
    <row r="686" ht="15.75" customHeight="1" s="195"/>
    <row r="687" ht="15.75" customHeight="1" s="195"/>
    <row r="688" ht="15.75" customHeight="1" s="195"/>
    <row r="689" ht="15.75" customHeight="1" s="195"/>
    <row r="690" ht="15.75" customHeight="1" s="195"/>
    <row r="691" ht="15.75" customHeight="1" s="195"/>
    <row r="692" ht="15.75" customHeight="1" s="195"/>
    <row r="693" ht="15.75" customHeight="1" s="195"/>
    <row r="694" ht="15.75" customHeight="1" s="195"/>
    <row r="695" ht="15.75" customHeight="1" s="195"/>
    <row r="696" ht="15.75" customHeight="1" s="195"/>
    <row r="697" ht="15.75" customHeight="1" s="195"/>
    <row r="698" ht="15.75" customHeight="1" s="195"/>
    <row r="699" ht="15.75" customHeight="1" s="195"/>
    <row r="700" ht="15.75" customHeight="1" s="195"/>
    <row r="701" ht="15.75" customHeight="1" s="195"/>
    <row r="702" ht="15.75" customHeight="1" s="195"/>
    <row r="703" ht="15.75" customHeight="1" s="195"/>
    <row r="704" ht="15.75" customHeight="1" s="195"/>
    <row r="705" ht="15.75" customHeight="1" s="195"/>
    <row r="706" ht="15.75" customHeight="1" s="195"/>
    <row r="707" ht="15.75" customHeight="1" s="195"/>
    <row r="708" ht="15.75" customHeight="1" s="195"/>
    <row r="709" ht="15.75" customHeight="1" s="195"/>
    <row r="710" ht="15.75" customHeight="1" s="195"/>
    <row r="711" ht="15.75" customHeight="1" s="195"/>
    <row r="712" ht="15.75" customHeight="1" s="195"/>
    <row r="713" ht="15.75" customHeight="1" s="195"/>
    <row r="714" ht="15.75" customHeight="1" s="195"/>
    <row r="715" ht="15.75" customHeight="1" s="195"/>
    <row r="716" ht="15.75" customHeight="1" s="195"/>
    <row r="717" ht="15.75" customHeight="1" s="195"/>
    <row r="718" ht="15.75" customHeight="1" s="195"/>
    <row r="719" ht="15.75" customHeight="1" s="195"/>
    <row r="720" ht="15.75" customHeight="1" s="195"/>
    <row r="721" ht="15.75" customHeight="1" s="195"/>
    <row r="722" ht="15.75" customHeight="1" s="195"/>
    <row r="723" ht="15.75" customHeight="1" s="195"/>
    <row r="724" ht="15.75" customHeight="1" s="195"/>
    <row r="725" ht="15.75" customHeight="1" s="195"/>
    <row r="726" ht="15.75" customHeight="1" s="195"/>
    <row r="727" ht="15.75" customHeight="1" s="195"/>
    <row r="728" ht="15.75" customHeight="1" s="195"/>
    <row r="729" ht="15.75" customHeight="1" s="195"/>
    <row r="730" ht="15.75" customHeight="1" s="195"/>
    <row r="731" ht="15.75" customHeight="1" s="195"/>
    <row r="732" ht="15.75" customHeight="1" s="195"/>
    <row r="733" ht="15.75" customHeight="1" s="195"/>
    <row r="734" ht="15.75" customHeight="1" s="195"/>
    <row r="735" ht="15.75" customHeight="1" s="195"/>
    <row r="736" ht="15.75" customHeight="1" s="195"/>
    <row r="737" ht="15.75" customHeight="1" s="195"/>
    <row r="738" ht="15.75" customHeight="1" s="195"/>
    <row r="739" ht="15.75" customHeight="1" s="195"/>
    <row r="740" ht="15.75" customHeight="1" s="195"/>
    <row r="741" ht="15.75" customHeight="1" s="195"/>
    <row r="742" ht="15.75" customHeight="1" s="195"/>
    <row r="743" ht="15.75" customHeight="1" s="195"/>
    <row r="744" ht="15.75" customHeight="1" s="195"/>
    <row r="745" ht="15.75" customHeight="1" s="195"/>
    <row r="746" ht="15.75" customHeight="1" s="195"/>
    <row r="747" ht="15.75" customHeight="1" s="195"/>
    <row r="748" ht="15.75" customHeight="1" s="195"/>
    <row r="749" ht="15.75" customHeight="1" s="195"/>
    <row r="750" ht="15.75" customHeight="1" s="195"/>
    <row r="751" ht="15.75" customHeight="1" s="195"/>
    <row r="752" ht="15.75" customHeight="1" s="195"/>
    <row r="753" ht="15.75" customHeight="1" s="195"/>
    <row r="754" ht="15.75" customHeight="1" s="195"/>
    <row r="755" ht="15.75" customHeight="1" s="195"/>
    <row r="756" ht="15.75" customHeight="1" s="195"/>
    <row r="757" ht="15.75" customHeight="1" s="195"/>
    <row r="758" ht="15.75" customHeight="1" s="195"/>
    <row r="759" ht="15.75" customHeight="1" s="195"/>
    <row r="760" ht="15.75" customHeight="1" s="195"/>
    <row r="761" ht="15.75" customHeight="1" s="195"/>
    <row r="762" ht="15.75" customHeight="1" s="195"/>
    <row r="763" ht="15.75" customHeight="1" s="195"/>
    <row r="764" ht="15.75" customHeight="1" s="195"/>
    <row r="765" ht="15.75" customHeight="1" s="195"/>
    <row r="766" ht="15.75" customHeight="1" s="195"/>
    <row r="767" ht="15.75" customHeight="1" s="195"/>
    <row r="768" ht="15.75" customHeight="1" s="195"/>
    <row r="769" ht="15.75" customHeight="1" s="195"/>
    <row r="770" ht="15.75" customHeight="1" s="195"/>
    <row r="771" ht="15.75" customHeight="1" s="195"/>
    <row r="772" ht="15.75" customHeight="1" s="195"/>
    <row r="773" ht="15.75" customHeight="1" s="195"/>
    <row r="774" ht="15.75" customHeight="1" s="195"/>
    <row r="775" ht="15.75" customHeight="1" s="195"/>
    <row r="776" ht="15.75" customHeight="1" s="195"/>
    <row r="777" ht="15.75" customHeight="1" s="195"/>
    <row r="778" ht="15.75" customHeight="1" s="195"/>
    <row r="779" ht="15.75" customHeight="1" s="195"/>
    <row r="780" ht="15.75" customHeight="1" s="195"/>
    <row r="781" ht="15.75" customHeight="1" s="195"/>
    <row r="782" ht="15.75" customHeight="1" s="195"/>
    <row r="783" ht="15.75" customHeight="1" s="195"/>
    <row r="784" ht="15.75" customHeight="1" s="195"/>
    <row r="785" ht="15.75" customHeight="1" s="195"/>
    <row r="786" ht="15.75" customHeight="1" s="195"/>
    <row r="787" ht="15.75" customHeight="1" s="195"/>
    <row r="788" ht="15.75" customHeight="1" s="195"/>
    <row r="789" ht="15.75" customHeight="1" s="195"/>
    <row r="790" ht="15.75" customHeight="1" s="195"/>
    <row r="791" ht="15.75" customHeight="1" s="195"/>
    <row r="792" ht="15.75" customHeight="1" s="195"/>
    <row r="793" ht="15.75" customHeight="1" s="195"/>
    <row r="794" ht="15.75" customHeight="1" s="195"/>
    <row r="795" ht="15.75" customHeight="1" s="195"/>
    <row r="796" ht="15.75" customHeight="1" s="195"/>
    <row r="797" ht="15.75" customHeight="1" s="195"/>
    <row r="798" ht="15.75" customHeight="1" s="195"/>
    <row r="799" ht="15.75" customHeight="1" s="195"/>
    <row r="800" ht="15.75" customHeight="1" s="195"/>
    <row r="801" ht="15.75" customHeight="1" s="195"/>
    <row r="802" ht="15.75" customHeight="1" s="195"/>
    <row r="803" ht="15.75" customHeight="1" s="195"/>
    <row r="804" ht="15.75" customHeight="1" s="195"/>
    <row r="805" ht="15.75" customHeight="1" s="195"/>
    <row r="806" ht="15.75" customHeight="1" s="195"/>
    <row r="807" ht="15.75" customHeight="1" s="195"/>
    <row r="808" ht="15.75" customHeight="1" s="195"/>
    <row r="809" ht="15.75" customHeight="1" s="195"/>
    <row r="810" ht="15.75" customHeight="1" s="195"/>
    <row r="811" ht="15.75" customHeight="1" s="195"/>
    <row r="812" ht="15.75" customHeight="1" s="195"/>
    <row r="813" ht="15.75" customHeight="1" s="195"/>
    <row r="814" ht="15.75" customHeight="1" s="195"/>
    <row r="815" ht="15.75" customHeight="1" s="195"/>
    <row r="816" ht="15.75" customHeight="1" s="195"/>
    <row r="817" ht="15.75" customHeight="1" s="195"/>
    <row r="818" ht="15.75" customHeight="1" s="195"/>
    <row r="819" ht="15.75" customHeight="1" s="195"/>
    <row r="820" ht="15.75" customHeight="1" s="195"/>
    <row r="821" ht="15.75" customHeight="1" s="195"/>
    <row r="822" ht="15.75" customHeight="1" s="195"/>
    <row r="823" ht="15.75" customHeight="1" s="195"/>
    <row r="824" ht="15.75" customHeight="1" s="195"/>
    <row r="825" ht="15.75" customHeight="1" s="195"/>
    <row r="826" ht="15.75" customHeight="1" s="195"/>
    <row r="827" ht="15.75" customHeight="1" s="195"/>
    <row r="828" ht="15.75" customHeight="1" s="195"/>
    <row r="829" ht="15.75" customHeight="1" s="195"/>
    <row r="830" ht="15.75" customHeight="1" s="195"/>
    <row r="831" ht="15.75" customHeight="1" s="195"/>
    <row r="832" ht="15.75" customHeight="1" s="195"/>
    <row r="833" ht="15.75" customHeight="1" s="195"/>
    <row r="834" ht="15.75" customHeight="1" s="195"/>
    <row r="835" ht="15.75" customHeight="1" s="195"/>
    <row r="836" ht="15.75" customHeight="1" s="195"/>
    <row r="837" ht="15.75" customHeight="1" s="195"/>
    <row r="838" ht="15.75" customHeight="1" s="195"/>
    <row r="839" ht="15.75" customHeight="1" s="195"/>
    <row r="840" ht="15.75" customHeight="1" s="195"/>
    <row r="841" ht="15.75" customHeight="1" s="195"/>
    <row r="842" ht="15.75" customHeight="1" s="195"/>
    <row r="843" ht="15.75" customHeight="1" s="195"/>
    <row r="844" ht="15.75" customHeight="1" s="195"/>
    <row r="845" ht="15.75" customHeight="1" s="195"/>
    <row r="846" ht="15.75" customHeight="1" s="195"/>
    <row r="847" ht="15.75" customHeight="1" s="195"/>
    <row r="848" ht="15.75" customHeight="1" s="195"/>
    <row r="849" ht="15.75" customHeight="1" s="195"/>
    <row r="850" ht="15.75" customHeight="1" s="195"/>
    <row r="851" ht="15.75" customHeight="1" s="195"/>
    <row r="852" ht="15.75" customHeight="1" s="195"/>
    <row r="853" ht="15.75" customHeight="1" s="195"/>
    <row r="854" ht="15.75" customHeight="1" s="195"/>
    <row r="855" ht="15.75" customHeight="1" s="195"/>
    <row r="856" ht="15.75" customHeight="1" s="195"/>
    <row r="857" ht="15.75" customHeight="1" s="195"/>
    <row r="858" ht="15.75" customHeight="1" s="195"/>
    <row r="859" ht="15.75" customHeight="1" s="195"/>
    <row r="860" ht="15.75" customHeight="1" s="195"/>
    <row r="861" ht="15.75" customHeight="1" s="195"/>
    <row r="862" ht="15.75" customHeight="1" s="195"/>
    <row r="863" ht="15.75" customHeight="1" s="195"/>
    <row r="864" ht="15.75" customHeight="1" s="195"/>
    <row r="865" ht="15.75" customHeight="1" s="195"/>
    <row r="866" ht="15.75" customHeight="1" s="195"/>
    <row r="867" ht="15.75" customHeight="1" s="195"/>
    <row r="868" ht="15.75" customHeight="1" s="195"/>
    <row r="869" ht="15.75" customHeight="1" s="195"/>
    <row r="870" ht="15.75" customHeight="1" s="195"/>
    <row r="871" ht="15.75" customHeight="1" s="195"/>
    <row r="872" ht="15.75" customHeight="1" s="195"/>
    <row r="873" ht="15.75" customHeight="1" s="195"/>
    <row r="874" ht="15.75" customHeight="1" s="195"/>
    <row r="875" ht="15.75" customHeight="1" s="195"/>
    <row r="876" ht="15.75" customHeight="1" s="195"/>
    <row r="877" ht="15.75" customHeight="1" s="195"/>
    <row r="878" ht="15.75" customHeight="1" s="195"/>
    <row r="879" ht="15.75" customHeight="1" s="195"/>
    <row r="880" ht="15.75" customHeight="1" s="195"/>
    <row r="881" ht="15.75" customHeight="1" s="195"/>
    <row r="882" ht="15.75" customHeight="1" s="195"/>
    <row r="883" ht="15.75" customHeight="1" s="195"/>
    <row r="884" ht="15.75" customHeight="1" s="195"/>
    <row r="885" ht="15.75" customHeight="1" s="195"/>
    <row r="886" ht="15.75" customHeight="1" s="195"/>
    <row r="887" ht="15.75" customHeight="1" s="195"/>
    <row r="888" ht="15.75" customHeight="1" s="195"/>
    <row r="889" ht="15.75" customHeight="1" s="195"/>
    <row r="890" ht="15.75" customHeight="1" s="195"/>
    <row r="891" ht="15.75" customHeight="1" s="195"/>
    <row r="892" ht="15.75" customHeight="1" s="195"/>
    <row r="893" ht="15.75" customHeight="1" s="195"/>
    <row r="894" ht="15.75" customHeight="1" s="195"/>
    <row r="895" ht="15.75" customHeight="1" s="195"/>
    <row r="896" ht="15.75" customHeight="1" s="195"/>
    <row r="897" ht="15.75" customHeight="1" s="195"/>
    <row r="898" ht="15.75" customHeight="1" s="195"/>
    <row r="899" ht="15.75" customHeight="1" s="195"/>
    <row r="900" ht="15.75" customHeight="1" s="195"/>
    <row r="901" ht="15.75" customHeight="1" s="195"/>
    <row r="902" ht="15.75" customHeight="1" s="195"/>
    <row r="903" ht="15.75" customHeight="1" s="195"/>
    <row r="904" ht="15.75" customHeight="1" s="195"/>
    <row r="905" ht="15.75" customHeight="1" s="195"/>
    <row r="906" ht="15.75" customHeight="1" s="195"/>
    <row r="907" ht="15.75" customHeight="1" s="195"/>
    <row r="908" ht="15.75" customHeight="1" s="195"/>
    <row r="909" ht="15.75" customHeight="1" s="195"/>
    <row r="910" ht="15.75" customHeight="1" s="195"/>
    <row r="911" ht="15.75" customHeight="1" s="195"/>
    <row r="912" ht="15.75" customHeight="1" s="195"/>
    <row r="913" ht="15.75" customHeight="1" s="195"/>
    <row r="914" ht="15.75" customHeight="1" s="195"/>
    <row r="915" ht="15.75" customHeight="1" s="195"/>
    <row r="916" ht="15.75" customHeight="1" s="195"/>
    <row r="917" ht="15.75" customHeight="1" s="195"/>
    <row r="918" ht="15.75" customHeight="1" s="195"/>
    <row r="919" ht="15.75" customHeight="1" s="195"/>
    <row r="920" ht="15.75" customHeight="1" s="195"/>
    <row r="921" ht="15.75" customHeight="1" s="195"/>
    <row r="922" ht="15.75" customHeight="1" s="195"/>
    <row r="923" ht="15.75" customHeight="1" s="195"/>
    <row r="924" ht="15.75" customHeight="1" s="195"/>
    <row r="925" ht="15.75" customHeight="1" s="195"/>
    <row r="926" ht="15.75" customHeight="1" s="195"/>
    <row r="927" ht="15.75" customHeight="1" s="195"/>
    <row r="928" ht="15.75" customHeight="1" s="195"/>
    <row r="929" ht="15.75" customHeight="1" s="195"/>
    <row r="930" ht="15.75" customHeight="1" s="195"/>
    <row r="931" ht="15.75" customHeight="1" s="195"/>
    <row r="932" ht="15.75" customHeight="1" s="195"/>
    <row r="933" ht="15.75" customHeight="1" s="195"/>
    <row r="934" ht="15.75" customHeight="1" s="195"/>
    <row r="935" ht="15.75" customHeight="1" s="195"/>
    <row r="936" ht="15.75" customHeight="1" s="195"/>
    <row r="937" ht="15.75" customHeight="1" s="195"/>
    <row r="938" ht="15.75" customHeight="1" s="195"/>
    <row r="939" ht="15.75" customHeight="1" s="195"/>
    <row r="940" ht="15.75" customHeight="1" s="195"/>
    <row r="941" ht="15.75" customHeight="1" s="195"/>
    <row r="942" ht="15.75" customHeight="1" s="195"/>
    <row r="943" ht="15.75" customHeight="1" s="195"/>
    <row r="944" ht="15.75" customHeight="1" s="195"/>
    <row r="945" ht="15.75" customHeight="1" s="195"/>
    <row r="946" ht="15.75" customHeight="1" s="195"/>
    <row r="947" ht="15.75" customHeight="1" s="195"/>
    <row r="948" ht="15.75" customHeight="1" s="195"/>
    <row r="949" ht="15.75" customHeight="1" s="195"/>
    <row r="950" ht="15.75" customHeight="1" s="195"/>
    <row r="951" ht="15.75" customHeight="1" s="195"/>
    <row r="952" ht="15.75" customHeight="1" s="195"/>
    <row r="953" ht="15.75" customHeight="1" s="195"/>
    <row r="954" ht="15.75" customHeight="1" s="195"/>
    <row r="955" ht="15.75" customHeight="1" s="195"/>
    <row r="956" ht="15.75" customHeight="1" s="195"/>
    <row r="957" ht="15.75" customHeight="1" s="195"/>
    <row r="958" ht="15.75" customHeight="1" s="195"/>
    <row r="959" ht="15.75" customHeight="1" s="195"/>
    <row r="960" ht="15.75" customHeight="1" s="195"/>
    <row r="961" ht="15.75" customHeight="1" s="195"/>
    <row r="962" ht="15.75" customHeight="1" s="195"/>
    <row r="963" ht="15.75" customHeight="1" s="195"/>
    <row r="964" ht="15.75" customHeight="1" s="195"/>
    <row r="965" ht="15.75" customHeight="1" s="195"/>
    <row r="966" ht="15.75" customHeight="1" s="195"/>
    <row r="967" ht="15.75" customHeight="1" s="195"/>
    <row r="968" ht="15.75" customHeight="1" s="195"/>
    <row r="969" ht="15.75" customHeight="1" s="195"/>
    <row r="970" ht="15.75" customHeight="1" s="195"/>
    <row r="971" ht="15.75" customHeight="1" s="195"/>
    <row r="972" ht="15.75" customHeight="1" s="195"/>
    <row r="973" ht="15.75" customHeight="1" s="195"/>
    <row r="974" ht="15.75" customHeight="1" s="195"/>
    <row r="975" ht="15.75" customHeight="1" s="195"/>
    <row r="976" ht="15.75" customHeight="1" s="195"/>
    <row r="977" ht="15.75" customHeight="1" s="195"/>
    <row r="978" ht="15.75" customHeight="1" s="195"/>
    <row r="979" ht="15.75" customHeight="1" s="195"/>
    <row r="980" ht="15.75" customHeight="1" s="195"/>
    <row r="981" ht="15.75" customHeight="1" s="195"/>
    <row r="982" ht="15.75" customHeight="1" s="195"/>
    <row r="983" ht="15.75" customHeight="1" s="195"/>
    <row r="984" ht="15.75" customHeight="1" s="195"/>
    <row r="985" ht="15.75" customHeight="1" s="195"/>
    <row r="986" ht="15.75" customHeight="1" s="195"/>
    <row r="987" ht="15.75" customHeight="1" s="195"/>
    <row r="988" ht="15.75" customHeight="1" s="195"/>
    <row r="989" ht="15.75" customHeight="1" s="195"/>
    <row r="990" ht="15.75" customHeight="1" s="195"/>
    <row r="991" ht="15.75" customHeight="1" s="195"/>
    <row r="992" ht="15.75" customHeight="1" s="195"/>
    <row r="993" ht="15.75" customHeight="1" s="195"/>
    <row r="994" ht="15.75" customHeight="1" s="195"/>
    <row r="995" ht="15.75" customHeight="1" s="195"/>
    <row r="996" ht="15.75" customHeight="1" s="195"/>
    <row r="997" ht="15.75" customHeight="1" s="195"/>
    <row r="998" ht="15.75" customHeight="1" s="195"/>
    <row r="999" ht="15.75" customHeight="1" s="195"/>
    <row r="1000" ht="15.75" customHeight="1" s="195"/>
  </sheetData>
  <mergeCells count="13">
    <mergeCell ref="D2:F2"/>
    <mergeCell ref="G2:I2"/>
    <mergeCell ref="S2:T2"/>
    <mergeCell ref="J2:L2"/>
    <mergeCell ref="A506:G506"/>
    <mergeCell ref="U2:V2"/>
    <mergeCell ref="P2:R2"/>
    <mergeCell ref="A1:Y1"/>
    <mergeCell ref="W2:AC2"/>
    <mergeCell ref="A125:J125"/>
    <mergeCell ref="A4:Y4"/>
    <mergeCell ref="M2:O2"/>
    <mergeCell ref="A2:C2"/>
  </mergeCells>
  <conditionalFormatting sqref="T6:T505">
    <cfRule type="expression" rank="0" priority="2" equalAverage="0" aboveAverage="0" dxfId="0" text="" percent="0" bottom="0">
      <formula>EXACT(T6,"APROBADO")</formula>
    </cfRule>
    <cfRule type="expression" rank="0" priority="3" equalAverage="0" aboveAverage="0" dxfId="7" text="" percent="0" bottom="0">
      <formula>EXACT(T6,"PENDIENTE")</formula>
    </cfRule>
  </conditionalFormatting>
  <conditionalFormatting sqref="K6:K505">
    <cfRule type="expression" rank="0" priority="4" equalAverage="0" aboveAverage="0" dxfId="8" text="" percent="0" bottom="0">
      <formula>EXACT(K6,"GASOLINA")</formula>
    </cfRule>
  </conditionalFormatting>
  <conditionalFormatting sqref="Y4:Y130">
    <cfRule type="expression" rank="0" priority="5" equalAverage="0" aboveAverage="0" dxfId="9" text="" percent="0" bottom="0">
      <formula>Y4&lt;&gt;""</formula>
    </cfRule>
  </conditionalFormatting>
  <dataValidations count="4">
    <dataValidation sqref="Y5:Y130" showDropDown="0" showInputMessage="0" showErrorMessage="0" allowBlank="1" type="list" errorStyle="stop" operator="between">
      <formula1>CONDUCTORES!$H$3:$H$104</formula1>
      <formula2>0</formula2>
    </dataValidation>
    <dataValidation sqref="K6:K505" showDropDown="0" showInputMessage="0" showErrorMessage="0" allowBlank="1" type="list" errorStyle="stop" operator="between">
      <formula1>"PETROLEO,GASOLINA"</formula1>
      <formula2>0</formula2>
    </dataValidation>
    <dataValidation sqref="E6:E124 E126:E505" showDropDown="0" showInputMessage="0" showErrorMessage="0" allowBlank="1" type="list" errorStyle="stop" operator="between">
      <formula1>"DNI,CE,PASAPORTE"</formula1>
      <formula2>0</formula2>
    </dataValidation>
    <dataValidation sqref="T6:T505" showDropDown="0" showInputMessage="0" showErrorMessage="0" allowBlank="1" type="list" errorStyle="stop" operator="between">
      <formula1>"APROBADO,PENDIENTE,OBSERVADO"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C5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14.43359375" defaultRowHeight="15" zeroHeight="0" outlineLevelRow="0"/>
  <cols>
    <col width="5" customWidth="1" style="194" min="1" max="1"/>
    <col width="14" customWidth="1" style="194" min="2" max="2"/>
    <col width="8" customWidth="1" style="194" min="3" max="3"/>
    <col width="28" customWidth="1" style="194" min="4" max="4"/>
    <col width="7" customWidth="1" style="194" min="5" max="5"/>
    <col width="14" customWidth="1" style="194" min="6" max="6"/>
    <col width="12" customWidth="1" style="194" min="7" max="7"/>
    <col width="10" customWidth="1" style="194" min="8" max="8"/>
    <col width="30" customWidth="1" style="194" min="9" max="9"/>
    <col width="10" customWidth="1" style="194" min="10" max="10"/>
    <col width="12" customWidth="1" style="194" min="11" max="11"/>
    <col width="10" customWidth="1" style="194" min="12" max="13"/>
    <col width="14" customWidth="1" style="194" min="14" max="15"/>
    <col width="28" customWidth="1" style="194" min="16" max="16"/>
    <col width="12" customWidth="1" style="194" min="17" max="18"/>
    <col width="16" customWidth="1" style="194" min="19" max="19"/>
    <col width="12" customWidth="1" style="194" min="20" max="21"/>
    <col width="14" customWidth="1" style="194" min="22" max="23"/>
    <col width="8" customWidth="1" style="194" min="24" max="24"/>
    <col width="22" customWidth="1" style="194" min="25" max="25"/>
    <col width="8.710000000000001" customWidth="1" style="194" min="26" max="29"/>
  </cols>
  <sheetData>
    <row r="1" ht="27.75" customHeight="1" s="195">
      <c r="A1" s="317" t="inlineStr">
        <is>
          <t>REPORTE DE TRASLADO DE PACIENTES SIS DEL MES DE SETIEMBRE 2025 PARA REPOSICION DE COMBUSTIBLE</t>
        </is>
      </c>
    </row>
    <row r="2" ht="21.75" customHeight="1" s="195">
      <c r="A2" s="318" t="inlineStr">
        <is>
          <t>TOTAL PETROLEO (gal):</t>
        </is>
      </c>
      <c r="D2" s="319">
        <f>IFERROR(SUMPRODUCT((K4:K104="PETROLEO")*ISNUMBER(M4:M104)*M4:M104),0)</f>
        <v/>
      </c>
      <c r="G2" s="318" t="inlineStr">
        <is>
          <t>TOTAL GASOLINA (gal):</t>
        </is>
      </c>
      <c r="J2" s="319">
        <f>IFERROR(SUMPRODUCT((K4:K104="GASOLINA")*ISNUMBER(M4:M104)*M4:M104),0)</f>
        <v/>
      </c>
      <c r="M2" s="318" t="inlineStr">
        <is>
          <t>TOTAL SOLES S/.:</t>
        </is>
      </c>
      <c r="P2" s="320">
        <f>IFERROR(SUMPRODUCT(ISNUMBER(M4:M104)*L4:L104*M4:M104),0)</f>
        <v/>
      </c>
      <c r="S2" s="318" t="inlineStr">
        <is>
          <t>N TRASLADOS:</t>
        </is>
      </c>
      <c r="U2" s="321">
        <f>SUBTOTAL(2,A4:A104)</f>
        <v/>
      </c>
      <c r="W2" s="322" t="inlineStr">
        <is>
          <t>↑ Al filtrar por EESS los totales cambian automáticamente</t>
        </is>
      </c>
    </row>
    <row r="3" ht="3.75" customHeight="1" s="195">
      <c r="A3" s="323" t="n"/>
      <c r="B3" s="323" t="n"/>
      <c r="C3" s="323" t="n"/>
      <c r="D3" s="323" t="n"/>
      <c r="E3" s="323" t="n"/>
      <c r="F3" s="323" t="n"/>
      <c r="G3" s="323" t="n"/>
      <c r="H3" s="323" t="n"/>
      <c r="I3" s="323" t="n"/>
      <c r="J3" s="323" t="n"/>
      <c r="K3" s="323" t="n"/>
      <c r="L3" s="323" t="n"/>
      <c r="M3" s="323" t="n"/>
      <c r="N3" s="323" t="n"/>
      <c r="O3" s="323" t="n"/>
      <c r="P3" s="323" t="n"/>
      <c r="Q3" s="323" t="n"/>
      <c r="R3" s="323" t="n"/>
      <c r="S3" s="323" t="n"/>
      <c r="T3" s="323" t="n"/>
      <c r="U3" s="323" t="n"/>
      <c r="V3" s="323" t="n"/>
      <c r="W3" s="323" t="n"/>
      <c r="X3" s="323" t="n"/>
      <c r="Y3" s="324" t="inlineStr">
        <is>
          <t>DEVOLVER A
(IPRESS DESTINO)</t>
        </is>
      </c>
    </row>
    <row r="4" ht="19.5" customHeight="1" s="195">
      <c r="A4" s="325" t="inlineStr">
        <is>
          <t>COLUMNAS EN AZUL = AUTO (no editar) | Ingrese: N, NRO FORMATO, AFILIADO, TIPO DOC, NRO DOC, FECHA TRASLADO, COD RENAES, COD REFERENCIA, DNI CONDUCTOR, PRECIO GAL, GALONES, FECHA ENTREGA, CIE-10, ESTADO FUA, FECHA DIGITACION, OFICIO, O/C, META, OBSERVACION</t>
        </is>
      </c>
    </row>
    <row r="5" ht="30" customHeight="1" s="195">
      <c r="A5" s="326" t="inlineStr">
        <is>
          <t>N</t>
        </is>
      </c>
      <c r="B5" s="327" t="inlineStr">
        <is>
          <t>NRO FORMATO
ATENCION</t>
        </is>
      </c>
      <c r="C5" s="327" t="inlineStr">
        <is>
          <t>UNIDAD
EJECUTORA</t>
        </is>
      </c>
      <c r="D5" s="327" t="inlineStr">
        <is>
          <t>AFILIADO</t>
        </is>
      </c>
      <c r="E5" s="327" t="inlineStr">
        <is>
          <t>TIPO
DOC</t>
        </is>
      </c>
      <c r="F5" s="327" t="inlineStr">
        <is>
          <t>NRO
DOCUMENTO</t>
        </is>
      </c>
      <c r="G5" s="327" t="inlineStr">
        <is>
          <t>FECHA
TRASLADO</t>
        </is>
      </c>
      <c r="H5" s="327" t="inlineStr">
        <is>
          <t>COD
RENAES</t>
        </is>
      </c>
      <c r="I5" s="328" t="inlineStr">
        <is>
          <t>DESCRIPCION
EESS</t>
        </is>
      </c>
      <c r="J5" s="327" t="inlineStr">
        <is>
          <t>COD EESS
REFERENCIA</t>
        </is>
      </c>
      <c r="K5" s="328" t="inlineStr">
        <is>
          <t>TIPO DE
COMBUSTIBLE</t>
        </is>
      </c>
      <c r="L5" s="327" t="inlineStr">
        <is>
          <t>PRECIO
GAL S/.</t>
        </is>
      </c>
      <c r="M5" s="327" t="inlineStr">
        <is>
          <t>GALONES</t>
        </is>
      </c>
      <c r="N5" s="328" t="inlineStr">
        <is>
          <t>TOTAL
COMBUSTIBLE S/.</t>
        </is>
      </c>
      <c r="O5" s="327" t="inlineStr">
        <is>
          <t>DNI
CONDUCTOR</t>
        </is>
      </c>
      <c r="P5" s="329">
        <f>IFERROR(VLOOKUP(TEXT(O5,"0"),CONDUCTORES!$A$3:$G$100,2,0),"")</f>
        <v/>
      </c>
      <c r="Q5" s="329">
        <f>IFERROR(VLOOKUP(TEXT(O5,"0"),CONDUCTORES!$A$3:$H$100,6,0),"")</f>
        <v/>
      </c>
      <c r="R5" s="327" t="inlineStr">
        <is>
          <t>FECHA DE
ENTREGA</t>
        </is>
      </c>
      <c r="S5" s="327" t="inlineStr">
        <is>
          <t>CODIGO DE
DIAGNOSTICO</t>
        </is>
      </c>
      <c r="T5" s="327" t="inlineStr">
        <is>
          <t>ESTADO
FUA</t>
        </is>
      </c>
      <c r="U5" s="327" t="inlineStr">
        <is>
          <t>FECHA
DIGITACION</t>
        </is>
      </c>
      <c r="V5" s="327" t="inlineStr">
        <is>
          <t>OFICIO</t>
        </is>
      </c>
      <c r="W5" s="327" t="inlineStr">
        <is>
          <t>O/C</t>
        </is>
      </c>
      <c r="X5" s="327" t="inlineStr">
        <is>
          <t>META</t>
        </is>
      </c>
      <c r="Y5" s="330" t="inlineStr">
        <is>
          <t>OBSERVACION</t>
        </is>
      </c>
    </row>
    <row r="6" ht="15.75" customHeight="1" s="195">
      <c r="A6" s="301" t="n">
        <v>1</v>
      </c>
      <c r="B6" s="302" t="inlineStr">
        <is>
          <t>00000010</t>
        </is>
      </c>
      <c r="C6" s="301" t="inlineStr">
        <is>
          <t>REGION</t>
        </is>
      </c>
      <c r="D6" s="302" t="inlineStr">
        <is>
          <t>VASQUEZ DIAZ ANSELMA</t>
        </is>
      </c>
      <c r="E6" s="301" t="inlineStr">
        <is>
          <t>DNI</t>
        </is>
      </c>
      <c r="F6" s="301" t="inlineStr">
        <is>
          <t>45748568</t>
        </is>
      </c>
      <c r="G6" s="331" t="n">
        <v>45929</v>
      </c>
      <c r="H6" s="301" t="inlineStr">
        <is>
          <t>4873</t>
        </is>
      </c>
      <c r="I6" s="332">
        <f>IFERROR(VLOOKUP(TEXT(H6,"0"),IPRESS!$A$3:$B$212,2,0),"")</f>
        <v/>
      </c>
      <c r="J6" s="301" t="inlineStr">
        <is>
          <t>4838</t>
        </is>
      </c>
      <c r="K6" s="332">
        <f>IFERROR(VLOOKUP(TEXT(O6,"0"),CONDUCTORES!$A$3:$G$100,7,0),"")</f>
        <v/>
      </c>
      <c r="L6" s="245" t="n">
        <v>18.18</v>
      </c>
      <c r="M6" s="245" t="n">
        <v>20</v>
      </c>
      <c r="N6" s="333">
        <f>IFERROR(IF(L6*M6=0,"",L6*M6),"")</f>
        <v/>
      </c>
      <c r="O6" s="280" t="n"/>
      <c r="P6" s="332">
        <f>IFERROR(VLOOKUP(TEXT(O6,"0"),CONDUCTORES!$A$3:$G$100,2,0),"")</f>
        <v/>
      </c>
      <c r="Q6" s="332">
        <f>IFERROR(VLOOKUP(TEXT(O6,"0"),CONDUCTORES!$A$3:$H$100,6,0),"")</f>
        <v/>
      </c>
      <c r="R6" s="334" t="n"/>
      <c r="S6" s="302" t="inlineStr">
        <is>
          <t>R001</t>
        </is>
      </c>
      <c r="T6" s="301" t="n"/>
      <c r="U6" s="334" t="n"/>
      <c r="V6" s="301" t="n"/>
      <c r="W6" s="301" t="n"/>
      <c r="X6" s="301" t="n"/>
      <c r="Y6" s="280" t="n"/>
    </row>
    <row r="7" ht="15.75" customHeight="1" s="195">
      <c r="A7" s="241" t="n">
        <v>2</v>
      </c>
      <c r="B7" s="305" t="inlineStr">
        <is>
          <t>00000006</t>
        </is>
      </c>
      <c r="C7" s="241" t="inlineStr">
        <is>
          <t>REGION</t>
        </is>
      </c>
      <c r="D7" s="305" t="inlineStr">
        <is>
          <t>CORTEZ SIFUENTES FIDELINA</t>
        </is>
      </c>
      <c r="E7" s="241" t="inlineStr">
        <is>
          <t>DNI</t>
        </is>
      </c>
      <c r="F7" s="241" t="inlineStr">
        <is>
          <t>71813104</t>
        </is>
      </c>
      <c r="G7" s="336" t="n">
        <v>45908</v>
      </c>
      <c r="H7" s="241" t="inlineStr">
        <is>
          <t>4858</t>
        </is>
      </c>
      <c r="I7" s="332">
        <f>IFERROR(VLOOKUP(TEXT(H7,"0"),IPRESS!$A$3:$B$212,2,0),"")</f>
        <v/>
      </c>
      <c r="J7" s="241" t="inlineStr">
        <is>
          <t>4838</t>
        </is>
      </c>
      <c r="K7" s="332">
        <f>IFERROR(VLOOKUP(TEXT(O7,"0"),CONDUCTORES!$A$3:$G$100,7,0),"")</f>
        <v/>
      </c>
      <c r="L7" s="239" t="n">
        <v>18.18</v>
      </c>
      <c r="M7" s="239" t="n">
        <v>15</v>
      </c>
      <c r="N7" s="333">
        <f>IFERROR(IF(L7*M7=0,"",L7*M7),"")</f>
        <v/>
      </c>
      <c r="O7" s="334" t="n"/>
      <c r="P7" s="332">
        <f>IFERROR(VLOOKUP(TEXT(O7,"0"),CONDUCTORES!$A$3:$G$100,2,0),"")</f>
        <v/>
      </c>
      <c r="Q7" s="332">
        <f>IFERROR(VLOOKUP(TEXT(O7,"0"),CONDUCTORES!$A$3:$H$100,6,0),"")</f>
        <v/>
      </c>
      <c r="R7" s="336" t="n">
        <v>45951</v>
      </c>
      <c r="S7" s="305" t="inlineStr">
        <is>
          <t>O680</t>
        </is>
      </c>
      <c r="T7" s="241" t="n"/>
      <c r="U7" s="280" t="n"/>
      <c r="V7" s="241" t="inlineStr">
        <is>
          <t>5234-2025</t>
        </is>
      </c>
      <c r="W7" s="241" t="inlineStr">
        <is>
          <t>CONTRATO No 001-2025 DYT</t>
        </is>
      </c>
      <c r="X7" s="241" t="inlineStr">
        <is>
          <t>266.0</t>
        </is>
      </c>
      <c r="Y7" s="280" t="n"/>
    </row>
    <row r="8" ht="15.75" customHeight="1" s="195">
      <c r="A8" s="301" t="n">
        <v>3</v>
      </c>
      <c r="B8" s="302" t="inlineStr">
        <is>
          <t>00000008</t>
        </is>
      </c>
      <c r="C8" s="301" t="inlineStr">
        <is>
          <t>REGION</t>
        </is>
      </c>
      <c r="D8" s="302" t="inlineStr">
        <is>
          <t>SILVA TORRES GABY</t>
        </is>
      </c>
      <c r="E8" s="301" t="inlineStr">
        <is>
          <t>DNI</t>
        </is>
      </c>
      <c r="F8" s="301" t="inlineStr">
        <is>
          <t>71815796</t>
        </is>
      </c>
      <c r="G8" s="331" t="n">
        <v>45910</v>
      </c>
      <c r="H8" s="301" t="inlineStr">
        <is>
          <t>4858</t>
        </is>
      </c>
      <c r="I8" s="332">
        <f>IFERROR(VLOOKUP(TEXT(H8,"0"),IPRESS!$A$3:$B$212,2,0),"")</f>
        <v/>
      </c>
      <c r="J8" s="301" t="inlineStr">
        <is>
          <t>4838</t>
        </is>
      </c>
      <c r="K8" s="332">
        <f>IFERROR(VLOOKUP(TEXT(O8,"0"),CONDUCTORES!$A$3:$G$100,7,0),"")</f>
        <v/>
      </c>
      <c r="L8" s="245" t="n">
        <v>18.18</v>
      </c>
      <c r="M8" s="245" t="n">
        <v>15</v>
      </c>
      <c r="N8" s="333">
        <f>IFERROR(IF(L8*M8=0,"",L8*M8),"")</f>
        <v/>
      </c>
      <c r="O8" s="280" t="n"/>
      <c r="P8" s="332">
        <f>IFERROR(VLOOKUP(TEXT(O8,"0"),CONDUCTORES!$A$3:$G$100,2,0),"")</f>
        <v/>
      </c>
      <c r="Q8" s="332">
        <f>IFERROR(VLOOKUP(TEXT(O8,"0"),CONDUCTORES!$A$3:$H$100,6,0),"")</f>
        <v/>
      </c>
      <c r="R8" s="331" t="n">
        <v>45992</v>
      </c>
      <c r="S8" s="302" t="inlineStr">
        <is>
          <t>O369,O699</t>
        </is>
      </c>
      <c r="T8" s="301" t="n"/>
      <c r="U8" s="334" t="n"/>
      <c r="V8" s="301" t="n"/>
      <c r="W8" s="301" t="n"/>
      <c r="X8" s="301" t="n"/>
      <c r="Y8" s="280" t="n"/>
    </row>
    <row r="9" ht="15.75" customHeight="1" s="195">
      <c r="A9" s="241" t="n">
        <v>4</v>
      </c>
      <c r="B9" s="305" t="inlineStr">
        <is>
          <t>00000012</t>
        </is>
      </c>
      <c r="C9" s="241" t="inlineStr">
        <is>
          <t>REGION</t>
        </is>
      </c>
      <c r="D9" s="305" t="inlineStr">
        <is>
          <t>LOPEZ GUADALUPE NARDY FIORELA</t>
        </is>
      </c>
      <c r="E9" s="241" t="inlineStr">
        <is>
          <t>DNI</t>
        </is>
      </c>
      <c r="F9" s="241" t="inlineStr">
        <is>
          <t>79521364</t>
        </is>
      </c>
      <c r="G9" s="336" t="n">
        <v>45908</v>
      </c>
      <c r="H9" s="241" t="inlineStr">
        <is>
          <t>4843</t>
        </is>
      </c>
      <c r="I9" s="332">
        <f>IFERROR(VLOOKUP(TEXT(H9,"0"),IPRESS!$A$3:$B$212,2,0),"")</f>
        <v/>
      </c>
      <c r="J9" s="241" t="inlineStr">
        <is>
          <t>4838</t>
        </is>
      </c>
      <c r="K9" s="332">
        <f>IFERROR(VLOOKUP(TEXT(O9,"0"),CONDUCTORES!$A$3:$G$100,7,0),"")</f>
        <v/>
      </c>
      <c r="L9" s="239" t="n">
        <v>18.18</v>
      </c>
      <c r="M9" s="239" t="n">
        <v>20</v>
      </c>
      <c r="N9" s="333">
        <f>IFERROR(IF(L9*M9=0,"",L9*M9),"")</f>
        <v/>
      </c>
      <c r="O9" s="334" t="n"/>
      <c r="P9" s="332">
        <f>IFERROR(VLOOKUP(TEXT(O9,"0"),CONDUCTORES!$A$3:$G$100,2,0),"")</f>
        <v/>
      </c>
      <c r="Q9" s="332">
        <f>IFERROR(VLOOKUP(TEXT(O9,"0"),CONDUCTORES!$A$3:$H$100,6,0),"")</f>
        <v/>
      </c>
      <c r="R9" s="280" t="n"/>
      <c r="S9" s="305" t="inlineStr">
        <is>
          <t>D610</t>
        </is>
      </c>
      <c r="T9" s="241" t="n"/>
      <c r="U9" s="280" t="n"/>
      <c r="V9" s="241" t="n"/>
      <c r="W9" s="241" t="n"/>
      <c r="X9" s="241" t="n"/>
      <c r="Y9" s="280" t="n"/>
    </row>
    <row r="10" ht="15.75" customHeight="1" s="195">
      <c r="A10" s="301" t="n">
        <v>5</v>
      </c>
      <c r="B10" s="302" t="inlineStr">
        <is>
          <t>00000005</t>
        </is>
      </c>
      <c r="C10" s="301" t="inlineStr">
        <is>
          <t>REGION</t>
        </is>
      </c>
      <c r="D10" s="302" t="inlineStr">
        <is>
          <t>GOICOCHEA ESTELA ANGELITA</t>
        </is>
      </c>
      <c r="E10" s="301" t="inlineStr">
        <is>
          <t>DNI</t>
        </is>
      </c>
      <c r="F10" s="301" t="inlineStr">
        <is>
          <t>75505651</t>
        </is>
      </c>
      <c r="G10" s="331" t="n">
        <v>45917</v>
      </c>
      <c r="H10" s="301" t="inlineStr">
        <is>
          <t>4875</t>
        </is>
      </c>
      <c r="I10" s="332">
        <f>IFERROR(VLOOKUP(TEXT(H10,"0"),IPRESS!$A$3:$B$212,2,0),"")</f>
        <v/>
      </c>
      <c r="J10" s="301" t="inlineStr">
        <is>
          <t>5125</t>
        </is>
      </c>
      <c r="K10" s="332">
        <f>IFERROR(VLOOKUP(TEXT(O10,"0"),CONDUCTORES!$A$3:$G$100,7,0),"")</f>
        <v/>
      </c>
      <c r="L10" s="245" t="n">
        <v>18.18</v>
      </c>
      <c r="M10" s="245" t="n">
        <v>20</v>
      </c>
      <c r="N10" s="333">
        <f>IFERROR(IF(L10*M10=0,"",L10*M10),"")</f>
        <v/>
      </c>
      <c r="O10" s="280" t="n"/>
      <c r="P10" s="332">
        <f>IFERROR(VLOOKUP(TEXT(O10,"0"),CONDUCTORES!$A$3:$G$100,2,0),"")</f>
        <v/>
      </c>
      <c r="Q10" s="332">
        <f>IFERROR(VLOOKUP(TEXT(O10,"0"),CONDUCTORES!$A$3:$H$100,6,0),"")</f>
        <v/>
      </c>
      <c r="R10" s="331" t="n">
        <v>45965</v>
      </c>
      <c r="S10" s="302" t="inlineStr">
        <is>
          <t>Z348,O630</t>
        </is>
      </c>
      <c r="T10" s="301" t="inlineStr">
        <is>
          <t>DEVOLUCION COMBUSTIBLE AL C.S. COCOCHO</t>
        </is>
      </c>
      <c r="U10" s="334" t="n"/>
      <c r="V10" s="301" t="n"/>
      <c r="W10" s="301" t="n"/>
      <c r="X10" s="301" t="n"/>
      <c r="Y10" s="280" t="n"/>
    </row>
    <row r="11" ht="15.75" customHeight="1" s="195">
      <c r="A11" s="241" t="n">
        <v>1</v>
      </c>
      <c r="B11" s="305" t="inlineStr">
        <is>
          <t>00000197</t>
        </is>
      </c>
      <c r="C11" s="241" t="inlineStr">
        <is>
          <t>REGION</t>
        </is>
      </c>
      <c r="D11" s="305" t="inlineStr">
        <is>
          <t>CASTILLO LOJA JANETH</t>
        </is>
      </c>
      <c r="E11" s="241" t="inlineStr">
        <is>
          <t>DNI</t>
        </is>
      </c>
      <c r="F11" s="241" t="inlineStr">
        <is>
          <t>44154537</t>
        </is>
      </c>
      <c r="G11" s="336" t="n">
        <v>45901</v>
      </c>
      <c r="H11" s="241" t="inlineStr">
        <is>
          <t>4950</t>
        </is>
      </c>
      <c r="I11" s="332">
        <f>IFERROR(VLOOKUP(TEXT(H11,"0"),IPRESS!$A$3:$B$212,2,0),"")</f>
        <v/>
      </c>
      <c r="J11" s="241" t="inlineStr">
        <is>
          <t>4838</t>
        </is>
      </c>
      <c r="K11" s="332">
        <f>IFERROR(VLOOKUP(TEXT(O11,"0"),CONDUCTORES!$A$3:$G$100,7,0),"")</f>
        <v/>
      </c>
      <c r="L11" s="239" t="n">
        <v>20.25</v>
      </c>
      <c r="M11" s="239" t="n">
        <v>6</v>
      </c>
      <c r="N11" s="333">
        <f>IFERROR(IF(L11*M11=0,"",L11*M11),"")</f>
        <v/>
      </c>
      <c r="O11" s="334" t="n"/>
      <c r="P11" s="332">
        <f>IFERROR(VLOOKUP(TEXT(O11,"0"),CONDUCTORES!$A$3:$G$100,2,0),"")</f>
        <v/>
      </c>
      <c r="Q11" s="332">
        <f>IFERROR(VLOOKUP(TEXT(O11,"0"),CONDUCTORES!$A$3:$H$100,6,0),"")</f>
        <v/>
      </c>
      <c r="R11" s="336" t="n">
        <v>45968</v>
      </c>
      <c r="S11" s="305" t="inlineStr">
        <is>
          <t>O021</t>
        </is>
      </c>
      <c r="T11" s="241" t="n"/>
      <c r="U11" s="280" t="n"/>
      <c r="V11" s="241" t="n"/>
      <c r="W11" s="241" t="n"/>
      <c r="X11" s="241" t="n"/>
      <c r="Y11" s="280" t="n"/>
    </row>
    <row r="12" ht="15.75" customHeight="1" s="195">
      <c r="A12" s="301" t="n">
        <v>2</v>
      </c>
      <c r="B12" s="302" t="inlineStr">
        <is>
          <t>00000198</t>
        </is>
      </c>
      <c r="C12" s="301" t="inlineStr">
        <is>
          <t>REGION</t>
        </is>
      </c>
      <c r="D12" s="302" t="inlineStr">
        <is>
          <t>CALDERON FERNANDEZ SEGUNDO EUCEBIO</t>
        </is>
      </c>
      <c r="E12" s="301" t="inlineStr">
        <is>
          <t>DNI</t>
        </is>
      </c>
      <c r="F12" s="301" t="inlineStr">
        <is>
          <t>33950491</t>
        </is>
      </c>
      <c r="G12" s="331" t="n">
        <v>45902</v>
      </c>
      <c r="H12" s="301" t="inlineStr">
        <is>
          <t>4950</t>
        </is>
      </c>
      <c r="I12" s="332">
        <f>IFERROR(VLOOKUP(TEXT(H12,"0"),IPRESS!$A$3:$B$212,2,0),"")</f>
        <v/>
      </c>
      <c r="J12" s="301" t="inlineStr">
        <is>
          <t>4838</t>
        </is>
      </c>
      <c r="K12" s="332">
        <f>IFERROR(VLOOKUP(TEXT(O12,"0"),CONDUCTORES!$A$3:$G$100,7,0),"")</f>
        <v/>
      </c>
      <c r="L12" s="245" t="n">
        <v>20.25</v>
      </c>
      <c r="M12" s="245" t="n">
        <v>7</v>
      </c>
      <c r="N12" s="333">
        <f>IFERROR(IF(L12*M12=0,"",L12*M12),"")</f>
        <v/>
      </c>
      <c r="O12" s="280" t="n"/>
      <c r="P12" s="332">
        <f>IFERROR(VLOOKUP(TEXT(O12,"0"),CONDUCTORES!$A$3:$G$100,2,0),"")</f>
        <v/>
      </c>
      <c r="Q12" s="332">
        <f>IFERROR(VLOOKUP(TEXT(O12,"0"),CONDUCTORES!$A$3:$H$100,6,0),"")</f>
        <v/>
      </c>
      <c r="R12" s="331" t="n">
        <v>45968</v>
      </c>
      <c r="S12" s="302" t="inlineStr">
        <is>
          <t>J91X</t>
        </is>
      </c>
      <c r="T12" s="301" t="n"/>
      <c r="U12" s="334" t="n"/>
      <c r="V12" s="301" t="n"/>
      <c r="W12" s="301" t="n"/>
      <c r="X12" s="301" t="n"/>
      <c r="Y12" s="280" t="n"/>
    </row>
    <row r="13" ht="15.75" customHeight="1" s="195">
      <c r="A13" s="241" t="n">
        <v>3</v>
      </c>
      <c r="B13" s="305" t="inlineStr">
        <is>
          <t>00000199</t>
        </is>
      </c>
      <c r="C13" s="241" t="inlineStr">
        <is>
          <t>REGION</t>
        </is>
      </c>
      <c r="D13" s="305" t="inlineStr">
        <is>
          <t>MARIN HUAMAN NELITA SONALI</t>
        </is>
      </c>
      <c r="E13" s="241" t="inlineStr">
        <is>
          <t>DNI</t>
        </is>
      </c>
      <c r="F13" s="241" t="inlineStr">
        <is>
          <t>73448831</t>
        </is>
      </c>
      <c r="G13" s="336" t="n">
        <v>45904</v>
      </c>
      <c r="H13" s="241" t="inlineStr">
        <is>
          <t>4950</t>
        </is>
      </c>
      <c r="I13" s="332">
        <f>IFERROR(VLOOKUP(TEXT(H13,"0"),IPRESS!$A$3:$B$212,2,0),"")</f>
        <v/>
      </c>
      <c r="J13" s="241" t="inlineStr">
        <is>
          <t>4838</t>
        </is>
      </c>
      <c r="K13" s="332">
        <f>IFERROR(VLOOKUP(TEXT(O13,"0"),CONDUCTORES!$A$3:$G$100,7,0),"")</f>
        <v/>
      </c>
      <c r="L13" s="239" t="n">
        <v>20.25</v>
      </c>
      <c r="M13" s="239" t="n">
        <v>7</v>
      </c>
      <c r="N13" s="333">
        <f>IFERROR(IF(L13*M13=0,"",L13*M13),"")</f>
        <v/>
      </c>
      <c r="O13" s="334" t="n"/>
      <c r="P13" s="332">
        <f>IFERROR(VLOOKUP(TEXT(O13,"0"),CONDUCTORES!$A$3:$G$100,2,0),"")</f>
        <v/>
      </c>
      <c r="Q13" s="332">
        <f>IFERROR(VLOOKUP(TEXT(O13,"0"),CONDUCTORES!$A$3:$H$100,6,0),"")</f>
        <v/>
      </c>
      <c r="R13" s="336" t="n">
        <v>45968</v>
      </c>
      <c r="S13" s="305" t="inlineStr">
        <is>
          <t>O324,O335,O429</t>
        </is>
      </c>
      <c r="T13" s="241" t="n"/>
      <c r="U13" s="280" t="n"/>
      <c r="V13" s="241" t="n"/>
      <c r="W13" s="241" t="n"/>
      <c r="X13" s="241" t="n"/>
      <c r="Y13" s="280" t="n"/>
    </row>
    <row r="14" ht="15.75" customHeight="1" s="195">
      <c r="A14" s="301" t="n">
        <v>4</v>
      </c>
      <c r="B14" s="302" t="inlineStr">
        <is>
          <t>00000200</t>
        </is>
      </c>
      <c r="C14" s="301" t="inlineStr">
        <is>
          <t>REGION</t>
        </is>
      </c>
      <c r="D14" s="302" t="inlineStr">
        <is>
          <t>LOZANO COTRINA MARIO ANTONIO</t>
        </is>
      </c>
      <c r="E14" s="301" t="inlineStr">
        <is>
          <t>DNI</t>
        </is>
      </c>
      <c r="F14" s="301" t="inlineStr">
        <is>
          <t>33951397</t>
        </is>
      </c>
      <c r="G14" s="331" t="n">
        <v>45905</v>
      </c>
      <c r="H14" s="301" t="inlineStr">
        <is>
          <t>4950</t>
        </is>
      </c>
      <c r="I14" s="332">
        <f>IFERROR(VLOOKUP(TEXT(H14,"0"),IPRESS!$A$3:$B$212,2,0),"")</f>
        <v/>
      </c>
      <c r="J14" s="301" t="inlineStr">
        <is>
          <t>4838</t>
        </is>
      </c>
      <c r="K14" s="332">
        <f>IFERROR(VLOOKUP(TEXT(O14,"0"),CONDUCTORES!$A$3:$G$100,7,0),"")</f>
        <v/>
      </c>
      <c r="L14" s="245" t="n">
        <v>20.25</v>
      </c>
      <c r="M14" s="245" t="n">
        <v>7</v>
      </c>
      <c r="N14" s="333">
        <f>IFERROR(IF(L14*M14=0,"",L14*M14),"")</f>
        <v/>
      </c>
      <c r="O14" s="280" t="n"/>
      <c r="P14" s="332">
        <f>IFERROR(VLOOKUP(TEXT(O14,"0"),CONDUCTORES!$A$3:$G$100,2,0),"")</f>
        <v/>
      </c>
      <c r="Q14" s="332">
        <f>IFERROR(VLOOKUP(TEXT(O14,"0"),CONDUCTORES!$A$3:$H$100,6,0),"")</f>
        <v/>
      </c>
      <c r="R14" s="331" t="n">
        <v>45968</v>
      </c>
      <c r="S14" s="302" t="inlineStr">
        <is>
          <t>J960,Y95X,N390</t>
        </is>
      </c>
      <c r="T14" s="301" t="n"/>
      <c r="U14" s="334" t="n"/>
      <c r="V14" s="301" t="n"/>
      <c r="W14" s="301" t="n"/>
      <c r="X14" s="301" t="n"/>
      <c r="Y14" s="280" t="n"/>
    </row>
    <row r="15" ht="15.75" customHeight="1" s="195">
      <c r="A15" s="241" t="n">
        <v>5</v>
      </c>
      <c r="B15" s="305" t="inlineStr">
        <is>
          <t>00000202</t>
        </is>
      </c>
      <c r="C15" s="241" t="inlineStr">
        <is>
          <t>REGION</t>
        </is>
      </c>
      <c r="D15" s="305" t="inlineStr">
        <is>
          <t>URBINA VARGAS JHEISON</t>
        </is>
      </c>
      <c r="E15" s="241" t="inlineStr">
        <is>
          <t>DNI</t>
        </is>
      </c>
      <c r="F15" s="241" t="inlineStr">
        <is>
          <t>61656010</t>
        </is>
      </c>
      <c r="G15" s="336" t="n">
        <v>45907</v>
      </c>
      <c r="H15" s="241" t="inlineStr">
        <is>
          <t>4950</t>
        </is>
      </c>
      <c r="I15" s="332">
        <f>IFERROR(VLOOKUP(TEXT(H15,"0"),IPRESS!$A$3:$B$212,2,0),"")</f>
        <v/>
      </c>
      <c r="J15" s="241" t="inlineStr">
        <is>
          <t>4838</t>
        </is>
      </c>
      <c r="K15" s="332">
        <f>IFERROR(VLOOKUP(TEXT(O15,"0"),CONDUCTORES!$A$3:$G$100,7,0),"")</f>
        <v/>
      </c>
      <c r="L15" s="239" t="n">
        <v>20.25</v>
      </c>
      <c r="M15" s="239" t="n">
        <v>7</v>
      </c>
      <c r="N15" s="333">
        <f>IFERROR(IF(L15*M15=0,"",L15*M15),"")</f>
        <v/>
      </c>
      <c r="O15" s="334" t="n"/>
      <c r="P15" s="332">
        <f>IFERROR(VLOOKUP(TEXT(O15,"0"),CONDUCTORES!$A$3:$G$100,2,0),"")</f>
        <v/>
      </c>
      <c r="Q15" s="332">
        <f>IFERROR(VLOOKUP(TEXT(O15,"0"),CONDUCTORES!$A$3:$H$100,6,0),"")</f>
        <v/>
      </c>
      <c r="R15" s="336" t="n">
        <v>45968</v>
      </c>
      <c r="S15" s="305" t="inlineStr">
        <is>
          <t>R104,K359</t>
        </is>
      </c>
      <c r="T15" s="241" t="n"/>
      <c r="U15" s="280" t="n"/>
      <c r="V15" s="241" t="n"/>
      <c r="W15" s="241" t="n"/>
      <c r="X15" s="241" t="n"/>
      <c r="Y15" s="280" t="n"/>
    </row>
    <row r="16" ht="15.75" customHeight="1" s="195">
      <c r="A16" s="301" t="n">
        <v>6</v>
      </c>
      <c r="B16" s="302" t="inlineStr">
        <is>
          <t>00000203</t>
        </is>
      </c>
      <c r="C16" s="301" t="inlineStr">
        <is>
          <t>REGION</t>
        </is>
      </c>
      <c r="D16" s="302" t="inlineStr">
        <is>
          <t>VASQUEZ RUIBIO EULISES</t>
        </is>
      </c>
      <c r="E16" s="301" t="inlineStr">
        <is>
          <t>DNI</t>
        </is>
      </c>
      <c r="F16" s="301" t="inlineStr">
        <is>
          <t>74433390</t>
        </is>
      </c>
      <c r="G16" s="331" t="n">
        <v>45908</v>
      </c>
      <c r="H16" s="301" t="inlineStr">
        <is>
          <t>4950</t>
        </is>
      </c>
      <c r="I16" s="332">
        <f>IFERROR(VLOOKUP(TEXT(H16,"0"),IPRESS!$A$3:$B$212,2,0),"")</f>
        <v/>
      </c>
      <c r="J16" s="301" t="inlineStr">
        <is>
          <t>4838</t>
        </is>
      </c>
      <c r="K16" s="332">
        <f>IFERROR(VLOOKUP(TEXT(O16,"0"),CONDUCTORES!$A$3:$G$100,7,0),"")</f>
        <v/>
      </c>
      <c r="L16" s="245" t="n">
        <v>20.25</v>
      </c>
      <c r="M16" s="245" t="n">
        <v>7</v>
      </c>
      <c r="N16" s="333">
        <f>IFERROR(IF(L16*M16=0,"",L16*M16),"")</f>
        <v/>
      </c>
      <c r="O16" s="280" t="n"/>
      <c r="P16" s="332">
        <f>IFERROR(VLOOKUP(TEXT(O16,"0"),CONDUCTORES!$A$3:$G$100,2,0),"")</f>
        <v/>
      </c>
      <c r="Q16" s="332">
        <f>IFERROR(VLOOKUP(TEXT(O16,"0"),CONDUCTORES!$A$3:$H$100,6,0),"")</f>
        <v/>
      </c>
      <c r="R16" s="331" t="n">
        <v>45968</v>
      </c>
      <c r="S16" s="302" t="inlineStr">
        <is>
          <t>S578</t>
        </is>
      </c>
      <c r="T16" s="301" t="n"/>
      <c r="U16" s="334" t="n"/>
      <c r="V16" s="301" t="n"/>
      <c r="W16" s="301" t="n"/>
      <c r="X16" s="301" t="n"/>
      <c r="Y16" s="280" t="n"/>
    </row>
    <row r="17" ht="15.75" customHeight="1" s="195">
      <c r="A17" s="241" t="n">
        <v>7</v>
      </c>
      <c r="B17" s="305" t="inlineStr">
        <is>
          <t>00000204</t>
        </is>
      </c>
      <c r="C17" s="241" t="inlineStr">
        <is>
          <t>REGION</t>
        </is>
      </c>
      <c r="D17" s="305" t="inlineStr">
        <is>
          <t>VASQUEZ HUAMAN JASIEL</t>
        </is>
      </c>
      <c r="E17" s="241" t="inlineStr">
        <is>
          <t>DNI</t>
        </is>
      </c>
      <c r="F17" s="241" t="inlineStr">
        <is>
          <t>60636109</t>
        </is>
      </c>
      <c r="G17" s="336" t="n">
        <v>45909</v>
      </c>
      <c r="H17" s="241" t="inlineStr">
        <is>
          <t>4950</t>
        </is>
      </c>
      <c r="I17" s="332">
        <f>IFERROR(VLOOKUP(TEXT(H17,"0"),IPRESS!$A$3:$B$212,2,0),"")</f>
        <v/>
      </c>
      <c r="J17" s="241" t="inlineStr">
        <is>
          <t>4838</t>
        </is>
      </c>
      <c r="K17" s="332">
        <f>IFERROR(VLOOKUP(TEXT(O17,"0"),CONDUCTORES!$A$3:$G$100,7,0),"")</f>
        <v/>
      </c>
      <c r="L17" s="239" t="n">
        <v>20.25</v>
      </c>
      <c r="M17" s="239" t="n">
        <v>7</v>
      </c>
      <c r="N17" s="333">
        <f>IFERROR(IF(L17*M17=0,"",L17*M17),"")</f>
        <v/>
      </c>
      <c r="O17" s="334" t="n"/>
      <c r="P17" s="332">
        <f>IFERROR(VLOOKUP(TEXT(O17,"0"),CONDUCTORES!$A$3:$G$100,2,0),"")</f>
        <v/>
      </c>
      <c r="Q17" s="332">
        <f>IFERROR(VLOOKUP(TEXT(O17,"0"),CONDUCTORES!$A$3:$H$100,6,0),"")</f>
        <v/>
      </c>
      <c r="R17" s="336" t="n">
        <v>45968</v>
      </c>
      <c r="S17" s="305" t="inlineStr">
        <is>
          <t>K800</t>
        </is>
      </c>
      <c r="T17" s="241" t="n"/>
      <c r="U17" s="280" t="n"/>
      <c r="V17" s="241" t="n"/>
      <c r="W17" s="241" t="n"/>
      <c r="X17" s="241" t="n"/>
      <c r="Y17" s="280" t="n"/>
    </row>
    <row r="18" ht="15.75" customHeight="1" s="195">
      <c r="A18" s="301" t="n">
        <v>8</v>
      </c>
      <c r="B18" s="302" t="inlineStr">
        <is>
          <t>00000205</t>
        </is>
      </c>
      <c r="C18" s="301" t="inlineStr">
        <is>
          <t>REGION</t>
        </is>
      </c>
      <c r="D18" s="302" t="inlineStr">
        <is>
          <t xml:space="preserve">PINEDO TRIGOSO VDA DE TRAUCO ASUNCIONA </t>
        </is>
      </c>
      <c r="E18" s="301" t="inlineStr">
        <is>
          <t>DNI</t>
        </is>
      </c>
      <c r="F18" s="301" t="inlineStr">
        <is>
          <t>33949570</t>
        </is>
      </c>
      <c r="G18" s="331" t="n">
        <v>45909</v>
      </c>
      <c r="H18" s="301" t="inlineStr">
        <is>
          <t>4950</t>
        </is>
      </c>
      <c r="I18" s="332">
        <f>IFERROR(VLOOKUP(TEXT(H18,"0"),IPRESS!$A$3:$B$212,2,0),"")</f>
        <v/>
      </c>
      <c r="J18" s="301" t="inlineStr">
        <is>
          <t>4838</t>
        </is>
      </c>
      <c r="K18" s="332">
        <f>IFERROR(VLOOKUP(TEXT(O18,"0"),CONDUCTORES!$A$3:$G$100,7,0),"")</f>
        <v/>
      </c>
      <c r="L18" s="245" t="n">
        <v>20.25</v>
      </c>
      <c r="M18" s="245" t="n">
        <v>7</v>
      </c>
      <c r="N18" s="333">
        <f>IFERROR(IF(L18*M18=0,"",L18*M18),"")</f>
        <v/>
      </c>
      <c r="O18" s="280" t="n"/>
      <c r="P18" s="332">
        <f>IFERROR(VLOOKUP(TEXT(O18,"0"),CONDUCTORES!$A$3:$G$100,2,0),"")</f>
        <v/>
      </c>
      <c r="Q18" s="332">
        <f>IFERROR(VLOOKUP(TEXT(O18,"0"),CONDUCTORES!$A$3:$H$100,6,0),"")</f>
        <v/>
      </c>
      <c r="R18" s="331" t="n">
        <v>45968</v>
      </c>
      <c r="S18" s="302" t="inlineStr">
        <is>
          <t>K359,N390</t>
        </is>
      </c>
      <c r="T18" s="301" t="n"/>
      <c r="U18" s="334" t="n"/>
      <c r="V18" s="301" t="n"/>
      <c r="W18" s="301" t="n"/>
      <c r="X18" s="301" t="n"/>
      <c r="Y18" s="280" t="n"/>
    </row>
    <row r="19" ht="15.75" customHeight="1" s="195">
      <c r="A19" s="241" t="n">
        <v>9</v>
      </c>
      <c r="B19" s="305" t="inlineStr">
        <is>
          <t>00000206</t>
        </is>
      </c>
      <c r="C19" s="241" t="inlineStr">
        <is>
          <t>REGION</t>
        </is>
      </c>
      <c r="D19" s="305" t="inlineStr">
        <is>
          <t>CALDERON CHUMBE PIERO STEFANO</t>
        </is>
      </c>
      <c r="E19" s="241" t="inlineStr">
        <is>
          <t>DNI</t>
        </is>
      </c>
      <c r="F19" s="241" t="inlineStr">
        <is>
          <t>93561821</t>
        </is>
      </c>
      <c r="G19" s="336" t="n">
        <v>45910</v>
      </c>
      <c r="H19" s="241" t="inlineStr">
        <is>
          <t>4950</t>
        </is>
      </c>
      <c r="I19" s="332">
        <f>IFERROR(VLOOKUP(TEXT(H19,"0"),IPRESS!$A$3:$B$212,2,0),"")</f>
        <v/>
      </c>
      <c r="J19" s="241" t="inlineStr">
        <is>
          <t>4838</t>
        </is>
      </c>
      <c r="K19" s="332">
        <f>IFERROR(VLOOKUP(TEXT(O19,"0"),CONDUCTORES!$A$3:$G$100,7,0),"")</f>
        <v/>
      </c>
      <c r="L19" s="239" t="n">
        <v>20.25</v>
      </c>
      <c r="M19" s="239" t="n">
        <v>7</v>
      </c>
      <c r="N19" s="333">
        <f>IFERROR(IF(L19*M19=0,"",L19*M19),"")</f>
        <v/>
      </c>
      <c r="O19" s="334" t="n"/>
      <c r="P19" s="332">
        <f>IFERROR(VLOOKUP(TEXT(O19,"0"),CONDUCTORES!$A$3:$G$100,2,0),"")</f>
        <v/>
      </c>
      <c r="Q19" s="332">
        <f>IFERROR(VLOOKUP(TEXT(O19,"0"),CONDUCTORES!$A$3:$H$100,6,0),"")</f>
        <v/>
      </c>
      <c r="R19" s="336" t="n">
        <v>45968</v>
      </c>
      <c r="S19" s="305" t="inlineStr">
        <is>
          <t>R104,K561,A09X</t>
        </is>
      </c>
      <c r="T19" s="241" t="n"/>
      <c r="U19" s="280" t="n"/>
      <c r="V19" s="241" t="n"/>
      <c r="W19" s="241" t="n"/>
      <c r="X19" s="241" t="n"/>
      <c r="Y19" s="280" t="n"/>
    </row>
    <row r="20" ht="15.75" customHeight="1" s="195">
      <c r="A20" s="301" t="n">
        <v>10</v>
      </c>
      <c r="B20" s="302" t="inlineStr">
        <is>
          <t>00000207</t>
        </is>
      </c>
      <c r="C20" s="301" t="inlineStr">
        <is>
          <t>REGION</t>
        </is>
      </c>
      <c r="D20" s="302" t="inlineStr">
        <is>
          <t>ARISTA ARISTA NIÑA ANGELICA</t>
        </is>
      </c>
      <c r="E20" s="301" t="inlineStr">
        <is>
          <t>DNI</t>
        </is>
      </c>
      <c r="F20" s="301" t="inlineStr">
        <is>
          <t>33948462</t>
        </is>
      </c>
      <c r="G20" s="331" t="n">
        <v>45913</v>
      </c>
      <c r="H20" s="301" t="inlineStr">
        <is>
          <t>4950</t>
        </is>
      </c>
      <c r="I20" s="332">
        <f>IFERROR(VLOOKUP(TEXT(H20,"0"),IPRESS!$A$3:$B$212,2,0),"")</f>
        <v/>
      </c>
      <c r="J20" s="301" t="inlineStr">
        <is>
          <t>4838</t>
        </is>
      </c>
      <c r="K20" s="332">
        <f>IFERROR(VLOOKUP(TEXT(O20,"0"),CONDUCTORES!$A$3:$G$100,7,0),"")</f>
        <v/>
      </c>
      <c r="L20" s="245" t="n">
        <v>20.25</v>
      </c>
      <c r="M20" s="245" t="n">
        <v>5.9</v>
      </c>
      <c r="N20" s="333">
        <f>IFERROR(IF(L20*M20=0,"",L20*M20),"")</f>
        <v/>
      </c>
      <c r="O20" s="280" t="n"/>
      <c r="P20" s="332">
        <f>IFERROR(VLOOKUP(TEXT(O20,"0"),CONDUCTORES!$A$3:$G$100,2,0),"")</f>
        <v/>
      </c>
      <c r="Q20" s="332">
        <f>IFERROR(VLOOKUP(TEXT(O20,"0"),CONDUCTORES!$A$3:$H$100,6,0),"")</f>
        <v/>
      </c>
      <c r="R20" s="331" t="n">
        <v>45968</v>
      </c>
      <c r="S20" s="302" t="inlineStr">
        <is>
          <t>E142,N390</t>
        </is>
      </c>
      <c r="T20" s="301" t="n"/>
      <c r="U20" s="334" t="n"/>
      <c r="V20" s="301" t="n"/>
      <c r="W20" s="301" t="n"/>
      <c r="X20" s="301" t="n"/>
      <c r="Y20" s="280" t="n"/>
    </row>
    <row r="21" ht="15.75" customHeight="1" s="195">
      <c r="A21" s="241" t="n">
        <v>11</v>
      </c>
      <c r="B21" s="305" t="inlineStr">
        <is>
          <t>00000208</t>
        </is>
      </c>
      <c r="C21" s="241" t="inlineStr">
        <is>
          <t>REGION</t>
        </is>
      </c>
      <c r="D21" s="305" t="inlineStr">
        <is>
          <t>TRUJILLO VALQUI JUSTO</t>
        </is>
      </c>
      <c r="E21" s="241" t="inlineStr">
        <is>
          <t>DNI</t>
        </is>
      </c>
      <c r="F21" s="241" t="inlineStr">
        <is>
          <t>33944562</t>
        </is>
      </c>
      <c r="G21" s="336" t="n">
        <v>45914</v>
      </c>
      <c r="H21" s="241" t="inlineStr">
        <is>
          <t>4950</t>
        </is>
      </c>
      <c r="I21" s="332">
        <f>IFERROR(VLOOKUP(TEXT(H21,"0"),IPRESS!$A$3:$B$212,2,0),"")</f>
        <v/>
      </c>
      <c r="J21" s="241" t="inlineStr">
        <is>
          <t>4838</t>
        </is>
      </c>
      <c r="K21" s="332">
        <f>IFERROR(VLOOKUP(TEXT(O21,"0"),CONDUCTORES!$A$3:$G$100,7,0),"")</f>
        <v/>
      </c>
      <c r="L21" s="239" t="n">
        <v>20.25</v>
      </c>
      <c r="M21" s="239" t="n">
        <v>7</v>
      </c>
      <c r="N21" s="333">
        <f>IFERROR(IF(L21*M21=0,"",L21*M21),"")</f>
        <v/>
      </c>
      <c r="O21" s="334" t="n"/>
      <c r="P21" s="332">
        <f>IFERROR(VLOOKUP(TEXT(O21,"0"),CONDUCTORES!$A$3:$G$100,2,0),"")</f>
        <v/>
      </c>
      <c r="Q21" s="332">
        <f>IFERROR(VLOOKUP(TEXT(O21,"0"),CONDUCTORES!$A$3:$H$100,6,0),"")</f>
        <v/>
      </c>
      <c r="R21" s="336" t="n">
        <v>45968</v>
      </c>
      <c r="S21" s="305" t="inlineStr">
        <is>
          <t>D509,C61X,M069</t>
        </is>
      </c>
      <c r="T21" s="241" t="n"/>
      <c r="U21" s="280" t="n"/>
      <c r="V21" s="241" t="n"/>
      <c r="W21" s="241" t="n"/>
      <c r="X21" s="241" t="n"/>
      <c r="Y21" s="280" t="n"/>
    </row>
    <row r="22" ht="15.75" customHeight="1" s="195">
      <c r="A22" s="301" t="n">
        <v>12</v>
      </c>
      <c r="B22" s="302" t="inlineStr">
        <is>
          <t>00000209</t>
        </is>
      </c>
      <c r="C22" s="301" t="inlineStr">
        <is>
          <t>REGION</t>
        </is>
      </c>
      <c r="D22" s="302" t="inlineStr">
        <is>
          <t>ZELADA RIVA ARCENIO</t>
        </is>
      </c>
      <c r="E22" s="301" t="inlineStr">
        <is>
          <t>DNI</t>
        </is>
      </c>
      <c r="F22" s="301" t="inlineStr">
        <is>
          <t>33946967</t>
        </is>
      </c>
      <c r="G22" s="331" t="n">
        <v>45915</v>
      </c>
      <c r="H22" s="301" t="inlineStr">
        <is>
          <t>4950</t>
        </is>
      </c>
      <c r="I22" s="332">
        <f>IFERROR(VLOOKUP(TEXT(H22,"0"),IPRESS!$A$3:$B$212,2,0),"")</f>
        <v/>
      </c>
      <c r="J22" s="301" t="inlineStr">
        <is>
          <t>4838</t>
        </is>
      </c>
      <c r="K22" s="332">
        <f>IFERROR(VLOOKUP(TEXT(O22,"0"),CONDUCTORES!$A$3:$G$100,7,0),"")</f>
        <v/>
      </c>
      <c r="L22" s="245" t="n">
        <v>20.25</v>
      </c>
      <c r="M22" s="245" t="n">
        <v>6.2</v>
      </c>
      <c r="N22" s="333">
        <f>IFERROR(IF(L22*M22=0,"",L22*M22),"")</f>
        <v/>
      </c>
      <c r="O22" s="280" t="n"/>
      <c r="P22" s="332">
        <f>IFERROR(VLOOKUP(TEXT(O22,"0"),CONDUCTORES!$A$3:$G$100,2,0),"")</f>
        <v/>
      </c>
      <c r="Q22" s="332">
        <f>IFERROR(VLOOKUP(TEXT(O22,"0"),CONDUCTORES!$A$3:$H$100,6,0),"")</f>
        <v/>
      </c>
      <c r="R22" s="331" t="n">
        <v>45968</v>
      </c>
      <c r="S22" s="302" t="inlineStr">
        <is>
          <t>S069,S021</t>
        </is>
      </c>
      <c r="T22" s="301" t="n"/>
      <c r="U22" s="334" t="n"/>
      <c r="V22" s="301" t="n"/>
      <c r="W22" s="301" t="n"/>
      <c r="X22" s="301" t="n"/>
      <c r="Y22" s="280" t="n"/>
    </row>
    <row r="23" ht="15.75" customHeight="1" s="195">
      <c r="A23" s="241" t="n">
        <v>13</v>
      </c>
      <c r="B23" s="305" t="inlineStr">
        <is>
          <t>00000210</t>
        </is>
      </c>
      <c r="C23" s="241" t="inlineStr">
        <is>
          <t>REGION</t>
        </is>
      </c>
      <c r="D23" s="305" t="inlineStr">
        <is>
          <t>CHUQUIZUTA LLAJA ARACELY</t>
        </is>
      </c>
      <c r="E23" s="241" t="inlineStr">
        <is>
          <t>DNI</t>
        </is>
      </c>
      <c r="F23" s="241" t="inlineStr">
        <is>
          <t>73587292</t>
        </is>
      </c>
      <c r="G23" s="336" t="n">
        <v>45915</v>
      </c>
      <c r="H23" s="241" t="inlineStr">
        <is>
          <t>4950</t>
        </is>
      </c>
      <c r="I23" s="332">
        <f>IFERROR(VLOOKUP(TEXT(H23,"0"),IPRESS!$A$3:$B$212,2,0),"")</f>
        <v/>
      </c>
      <c r="J23" s="241" t="inlineStr">
        <is>
          <t>4838</t>
        </is>
      </c>
      <c r="K23" s="332">
        <f>IFERROR(VLOOKUP(TEXT(O23,"0"),CONDUCTORES!$A$3:$G$100,7,0),"")</f>
        <v/>
      </c>
      <c r="L23" s="239" t="n">
        <v>20.25</v>
      </c>
      <c r="M23" s="239" t="n">
        <v>7</v>
      </c>
      <c r="N23" s="333">
        <f>IFERROR(IF(L23*M23=0,"",L23*M23),"")</f>
        <v/>
      </c>
      <c r="O23" s="334" t="n"/>
      <c r="P23" s="332">
        <f>IFERROR(VLOOKUP(TEXT(O23,"0"),CONDUCTORES!$A$3:$G$100,2,0),"")</f>
        <v/>
      </c>
      <c r="Q23" s="332">
        <f>IFERROR(VLOOKUP(TEXT(O23,"0"),CONDUCTORES!$A$3:$H$100,6,0),"")</f>
        <v/>
      </c>
      <c r="R23" s="336" t="n">
        <v>45968</v>
      </c>
      <c r="S23" s="305" t="inlineStr">
        <is>
          <t>O630,O142</t>
        </is>
      </c>
      <c r="T23" s="241" t="n"/>
      <c r="U23" s="280" t="n"/>
      <c r="V23" s="241" t="n"/>
      <c r="W23" s="241" t="n"/>
      <c r="X23" s="241" t="n"/>
      <c r="Y23" s="280" t="n"/>
    </row>
    <row r="24" ht="15.75" customHeight="1" s="195">
      <c r="A24" s="301" t="n">
        <v>14</v>
      </c>
      <c r="B24" s="302" t="inlineStr">
        <is>
          <t>00000211</t>
        </is>
      </c>
      <c r="C24" s="301" t="inlineStr">
        <is>
          <t>REGION</t>
        </is>
      </c>
      <c r="D24" s="302" t="inlineStr">
        <is>
          <t>RAMOS MEDINA NELVI MARITA</t>
        </is>
      </c>
      <c r="E24" s="301" t="inlineStr">
        <is>
          <t>DNI</t>
        </is>
      </c>
      <c r="F24" s="301" t="inlineStr">
        <is>
          <t>44019999</t>
        </is>
      </c>
      <c r="G24" s="331" t="n">
        <v>45915</v>
      </c>
      <c r="H24" s="301" t="inlineStr">
        <is>
          <t>4950</t>
        </is>
      </c>
      <c r="I24" s="332">
        <f>IFERROR(VLOOKUP(TEXT(H24,"0"),IPRESS!$A$3:$B$212,2,0),"")</f>
        <v/>
      </c>
      <c r="J24" s="301" t="inlineStr">
        <is>
          <t>4838</t>
        </is>
      </c>
      <c r="K24" s="332">
        <f>IFERROR(VLOOKUP(TEXT(O24,"0"),CONDUCTORES!$A$3:$G$100,7,0),"")</f>
        <v/>
      </c>
      <c r="L24" s="245" t="n">
        <v>20.25</v>
      </c>
      <c r="M24" s="245" t="n">
        <v>7</v>
      </c>
      <c r="N24" s="333">
        <f>IFERROR(IF(L24*M24=0,"",L24*M24),"")</f>
        <v/>
      </c>
      <c r="O24" s="280" t="n"/>
      <c r="P24" s="332">
        <f>IFERROR(VLOOKUP(TEXT(O24,"0"),CONDUCTORES!$A$3:$G$100,2,0),"")</f>
        <v/>
      </c>
      <c r="Q24" s="332">
        <f>IFERROR(VLOOKUP(TEXT(O24,"0"),CONDUCTORES!$A$3:$H$100,6,0),"")</f>
        <v/>
      </c>
      <c r="R24" s="331" t="n">
        <v>45968</v>
      </c>
      <c r="S24" s="302" t="inlineStr">
        <is>
          <t>O441</t>
        </is>
      </c>
      <c r="T24" s="301" t="n"/>
      <c r="U24" s="334" t="n"/>
      <c r="V24" s="301" t="n"/>
      <c r="W24" s="301" t="n"/>
      <c r="X24" s="301" t="n"/>
      <c r="Y24" s="280" t="n"/>
    </row>
    <row r="25" ht="15.75" customHeight="1" s="195">
      <c r="A25" s="241" t="n">
        <v>15</v>
      </c>
      <c r="B25" s="305" t="inlineStr">
        <is>
          <t>00000212</t>
        </is>
      </c>
      <c r="C25" s="241" t="inlineStr">
        <is>
          <t>REGION</t>
        </is>
      </c>
      <c r="D25" s="305" t="inlineStr">
        <is>
          <t>ESTELA TACILLA JOSE SHILMER</t>
        </is>
      </c>
      <c r="E25" s="241" t="inlineStr">
        <is>
          <t>DNI</t>
        </is>
      </c>
      <c r="F25" s="241" t="inlineStr">
        <is>
          <t>48775153</t>
        </is>
      </c>
      <c r="G25" s="336" t="n">
        <v>45916</v>
      </c>
      <c r="H25" s="241" t="inlineStr">
        <is>
          <t>4950</t>
        </is>
      </c>
      <c r="I25" s="332">
        <f>IFERROR(VLOOKUP(TEXT(H25,"0"),IPRESS!$A$3:$B$212,2,0),"")</f>
        <v/>
      </c>
      <c r="J25" s="241" t="inlineStr">
        <is>
          <t>4838</t>
        </is>
      </c>
      <c r="K25" s="332">
        <f>IFERROR(VLOOKUP(TEXT(O25,"0"),CONDUCTORES!$A$3:$G$100,7,0),"")</f>
        <v/>
      </c>
      <c r="L25" s="239" t="n">
        <v>20.25</v>
      </c>
      <c r="M25" s="239" t="n">
        <v>6.5</v>
      </c>
      <c r="N25" s="333">
        <f>IFERROR(IF(L25*M25=0,"",L25*M25),"")</f>
        <v/>
      </c>
      <c r="O25" s="334" t="n"/>
      <c r="P25" s="332">
        <f>IFERROR(VLOOKUP(TEXT(O25,"0"),CONDUCTORES!$A$3:$G$100,2,0),"")</f>
        <v/>
      </c>
      <c r="Q25" s="332">
        <f>IFERROR(VLOOKUP(TEXT(O25,"0"),CONDUCTORES!$A$3:$H$100,6,0),"")</f>
        <v/>
      </c>
      <c r="R25" s="336" t="n">
        <v>45968</v>
      </c>
      <c r="S25" s="305" t="inlineStr">
        <is>
          <t>T543,R104,K920</t>
        </is>
      </c>
      <c r="T25" s="241" t="n"/>
      <c r="U25" s="280" t="n"/>
      <c r="V25" s="241" t="n"/>
      <c r="W25" s="241" t="n"/>
      <c r="X25" s="241" t="n"/>
      <c r="Y25" s="280" t="n"/>
    </row>
    <row r="26" ht="15.75" customHeight="1" s="195">
      <c r="A26" s="301" t="n">
        <v>16</v>
      </c>
      <c r="B26" s="302" t="inlineStr">
        <is>
          <t>00000213</t>
        </is>
      </c>
      <c r="C26" s="301" t="inlineStr">
        <is>
          <t>REGION</t>
        </is>
      </c>
      <c r="D26" s="302" t="inlineStr">
        <is>
          <t>YRIGOIN BUSTAMANTE ALBINA CRUZ</t>
        </is>
      </c>
      <c r="E26" s="301" t="inlineStr">
        <is>
          <t>DNI</t>
        </is>
      </c>
      <c r="F26" s="301" t="inlineStr">
        <is>
          <t>71628253</t>
        </is>
      </c>
      <c r="G26" s="331" t="n">
        <v>45921</v>
      </c>
      <c r="H26" s="301" t="inlineStr">
        <is>
          <t>4950</t>
        </is>
      </c>
      <c r="I26" s="332">
        <f>IFERROR(VLOOKUP(TEXT(H26,"0"),IPRESS!$A$3:$B$212,2,0),"")</f>
        <v/>
      </c>
      <c r="J26" s="301" t="inlineStr">
        <is>
          <t>4838</t>
        </is>
      </c>
      <c r="K26" s="332">
        <f>IFERROR(VLOOKUP(TEXT(O26,"0"),CONDUCTORES!$A$3:$G$100,7,0),"")</f>
        <v/>
      </c>
      <c r="L26" s="245" t="n">
        <v>20.25</v>
      </c>
      <c r="M26" s="245" t="n">
        <v>6.5</v>
      </c>
      <c r="N26" s="333">
        <f>IFERROR(IF(L26*M26=0,"",L26*M26),"")</f>
        <v/>
      </c>
      <c r="O26" s="280" t="n"/>
      <c r="P26" s="332">
        <f>IFERROR(VLOOKUP(TEXT(O26,"0"),CONDUCTORES!$A$3:$G$100,2,0),"")</f>
        <v/>
      </c>
      <c r="Q26" s="332">
        <f>IFERROR(VLOOKUP(TEXT(O26,"0"),CONDUCTORES!$A$3:$H$100,6,0),"")</f>
        <v/>
      </c>
      <c r="R26" s="331" t="n">
        <v>45968</v>
      </c>
      <c r="S26" s="302" t="inlineStr">
        <is>
          <t>K359,R11X,R104,N390</t>
        </is>
      </c>
      <c r="T26" s="301" t="n"/>
      <c r="U26" s="334" t="n"/>
      <c r="V26" s="301" t="n"/>
      <c r="W26" s="301" t="n"/>
      <c r="X26" s="301" t="n"/>
      <c r="Y26" s="280" t="n"/>
    </row>
    <row r="27" ht="15.75" customHeight="1" s="195">
      <c r="A27" s="241" t="n">
        <v>17</v>
      </c>
      <c r="B27" s="305" t="inlineStr">
        <is>
          <t>00000214</t>
        </is>
      </c>
      <c r="C27" s="241" t="inlineStr">
        <is>
          <t>REGION</t>
        </is>
      </c>
      <c r="D27" s="305" t="inlineStr">
        <is>
          <t>ROJAS RODRIGUEZ MARIA DOMITILA</t>
        </is>
      </c>
      <c r="E27" s="241" t="inlineStr">
        <is>
          <t>DNI</t>
        </is>
      </c>
      <c r="F27" s="241" t="inlineStr">
        <is>
          <t>49053254</t>
        </is>
      </c>
      <c r="G27" s="336" t="n">
        <v>45922</v>
      </c>
      <c r="H27" s="241" t="inlineStr">
        <is>
          <t>4950</t>
        </is>
      </c>
      <c r="I27" s="332">
        <f>IFERROR(VLOOKUP(TEXT(H27,"0"),IPRESS!$A$3:$B$212,2,0),"")</f>
        <v/>
      </c>
      <c r="J27" s="241" t="inlineStr">
        <is>
          <t>4838</t>
        </is>
      </c>
      <c r="K27" s="332">
        <f>IFERROR(VLOOKUP(TEXT(O27,"0"),CONDUCTORES!$A$3:$G$100,7,0),"")</f>
        <v/>
      </c>
      <c r="L27" s="239" t="n">
        <v>20.25</v>
      </c>
      <c r="M27" s="239" t="n">
        <v>7</v>
      </c>
      <c r="N27" s="333">
        <f>IFERROR(IF(L27*M27=0,"",L27*M27),"")</f>
        <v/>
      </c>
      <c r="O27" s="334" t="n"/>
      <c r="P27" s="332">
        <f>IFERROR(VLOOKUP(TEXT(O27,"0"),CONDUCTORES!$A$3:$G$100,2,0),"")</f>
        <v/>
      </c>
      <c r="Q27" s="332">
        <f>IFERROR(VLOOKUP(TEXT(O27,"0"),CONDUCTORES!$A$3:$H$100,6,0),"")</f>
        <v/>
      </c>
      <c r="R27" s="336" t="n">
        <v>45968</v>
      </c>
      <c r="S27" s="305" t="inlineStr">
        <is>
          <t>E111,I639,J690</t>
        </is>
      </c>
      <c r="T27" s="241" t="n"/>
      <c r="U27" s="280" t="n"/>
      <c r="V27" s="241" t="n"/>
      <c r="W27" s="241" t="n"/>
      <c r="X27" s="241" t="n"/>
      <c r="Y27" s="280" t="n"/>
    </row>
    <row r="28" ht="15.75" customHeight="1" s="195">
      <c r="A28" s="301" t="n">
        <v>18</v>
      </c>
      <c r="B28" s="302" t="inlineStr">
        <is>
          <t>00000215</t>
        </is>
      </c>
      <c r="C28" s="301" t="inlineStr">
        <is>
          <t>REGION</t>
        </is>
      </c>
      <c r="D28" s="302" t="inlineStr">
        <is>
          <t>MAMANI SILVA ARIANA FABIOLA</t>
        </is>
      </c>
      <c r="E28" s="301" t="inlineStr">
        <is>
          <t>DNI</t>
        </is>
      </c>
      <c r="F28" s="301" t="inlineStr">
        <is>
          <t>91644654</t>
        </is>
      </c>
      <c r="G28" s="331" t="n">
        <v>45922</v>
      </c>
      <c r="H28" s="301" t="inlineStr">
        <is>
          <t>4950</t>
        </is>
      </c>
      <c r="I28" s="332">
        <f>IFERROR(VLOOKUP(TEXT(H28,"0"),IPRESS!$A$3:$B$212,2,0),"")</f>
        <v/>
      </c>
      <c r="J28" s="301" t="inlineStr">
        <is>
          <t>4838</t>
        </is>
      </c>
      <c r="K28" s="332">
        <f>IFERROR(VLOOKUP(TEXT(O28,"0"),CONDUCTORES!$A$3:$G$100,7,0),"")</f>
        <v/>
      </c>
      <c r="L28" s="245" t="n">
        <v>20.25</v>
      </c>
      <c r="M28" s="245" t="n">
        <v>6</v>
      </c>
      <c r="N28" s="333">
        <f>IFERROR(IF(L28*M28=0,"",L28*M28),"")</f>
        <v/>
      </c>
      <c r="O28" s="280" t="n"/>
      <c r="P28" s="332">
        <f>IFERROR(VLOOKUP(TEXT(O28,"0"),CONDUCTORES!$A$3:$G$100,2,0),"")</f>
        <v/>
      </c>
      <c r="Q28" s="332">
        <f>IFERROR(VLOOKUP(TEXT(O28,"0"),CONDUCTORES!$A$3:$H$100,6,0),"")</f>
        <v/>
      </c>
      <c r="R28" s="331" t="n">
        <v>45968</v>
      </c>
      <c r="S28" s="302" t="inlineStr">
        <is>
          <t>J189</t>
        </is>
      </c>
      <c r="T28" s="301" t="n"/>
      <c r="U28" s="334" t="n"/>
      <c r="V28" s="301" t="n"/>
      <c r="W28" s="301" t="n"/>
      <c r="X28" s="301" t="n"/>
      <c r="Y28" s="280" t="n"/>
    </row>
    <row r="29" ht="15.75" customHeight="1" s="195">
      <c r="A29" s="241" t="n">
        <v>19</v>
      </c>
      <c r="B29" s="305" t="inlineStr">
        <is>
          <t>00000217</t>
        </is>
      </c>
      <c r="C29" s="241" t="inlineStr">
        <is>
          <t>REGION</t>
        </is>
      </c>
      <c r="D29" s="305" t="inlineStr">
        <is>
          <t>VELA CUBAS JHOVANY</t>
        </is>
      </c>
      <c r="E29" s="241" t="inlineStr">
        <is>
          <t>DNI</t>
        </is>
      </c>
      <c r="F29" s="241" t="inlineStr">
        <is>
          <t>60526366</t>
        </is>
      </c>
      <c r="G29" s="336" t="n">
        <v>45924</v>
      </c>
      <c r="H29" s="241" t="inlineStr">
        <is>
          <t>4950</t>
        </is>
      </c>
      <c r="I29" s="332">
        <f>IFERROR(VLOOKUP(TEXT(H29,"0"),IPRESS!$A$3:$B$212,2,0),"")</f>
        <v/>
      </c>
      <c r="J29" s="241" t="inlineStr">
        <is>
          <t>4838</t>
        </is>
      </c>
      <c r="K29" s="332">
        <f>IFERROR(VLOOKUP(TEXT(O29,"0"),CONDUCTORES!$A$3:$G$100,7,0),"")</f>
        <v/>
      </c>
      <c r="L29" s="239" t="n">
        <v>20.25</v>
      </c>
      <c r="M29" s="239" t="n">
        <v>7</v>
      </c>
      <c r="N29" s="333">
        <f>IFERROR(IF(L29*M29=0,"",L29*M29),"")</f>
        <v/>
      </c>
      <c r="O29" s="334" t="n"/>
      <c r="P29" s="332">
        <f>IFERROR(VLOOKUP(TEXT(O29,"0"),CONDUCTORES!$A$3:$G$100,2,0),"")</f>
        <v/>
      </c>
      <c r="Q29" s="332">
        <f>IFERROR(VLOOKUP(TEXT(O29,"0"),CONDUCTORES!$A$3:$H$100,6,0),"")</f>
        <v/>
      </c>
      <c r="R29" s="336" t="n">
        <v>45968</v>
      </c>
      <c r="S29" s="305" t="inlineStr">
        <is>
          <t>F412</t>
        </is>
      </c>
      <c r="T29" s="241" t="n"/>
      <c r="U29" s="280" t="n"/>
      <c r="V29" s="241" t="n"/>
      <c r="W29" s="241" t="n"/>
      <c r="X29" s="241" t="n"/>
      <c r="Y29" s="280" t="n"/>
    </row>
    <row r="30" ht="15.75" customHeight="1" s="195">
      <c r="A30" s="301" t="n">
        <v>20</v>
      </c>
      <c r="B30" s="302" t="inlineStr">
        <is>
          <t>00000218</t>
        </is>
      </c>
      <c r="C30" s="301" t="inlineStr">
        <is>
          <t>REGION</t>
        </is>
      </c>
      <c r="D30" s="302" t="inlineStr">
        <is>
          <t>VARGAS VALQUI LEYDY SADIT</t>
        </is>
      </c>
      <c r="E30" s="301" t="inlineStr">
        <is>
          <t>DNI</t>
        </is>
      </c>
      <c r="F30" s="301" t="inlineStr">
        <is>
          <t>60032654</t>
        </is>
      </c>
      <c r="G30" s="331" t="n">
        <v>45925</v>
      </c>
      <c r="H30" s="301" t="inlineStr">
        <is>
          <t>4950</t>
        </is>
      </c>
      <c r="I30" s="332">
        <f>IFERROR(VLOOKUP(TEXT(H30,"0"),IPRESS!$A$3:$B$212,2,0),"")</f>
        <v/>
      </c>
      <c r="J30" s="301" t="inlineStr">
        <is>
          <t>4838</t>
        </is>
      </c>
      <c r="K30" s="332">
        <f>IFERROR(VLOOKUP(TEXT(O30,"0"),CONDUCTORES!$A$3:$G$100,7,0),"")</f>
        <v/>
      </c>
      <c r="L30" s="245" t="n">
        <v>20.25</v>
      </c>
      <c r="M30" s="245" t="n">
        <v>7</v>
      </c>
      <c r="N30" s="333">
        <f>IFERROR(IF(L30*M30=0,"",L30*M30),"")</f>
        <v/>
      </c>
      <c r="O30" s="280" t="n"/>
      <c r="P30" s="332">
        <f>IFERROR(VLOOKUP(TEXT(O30,"0"),CONDUCTORES!$A$3:$G$100,2,0),"")</f>
        <v/>
      </c>
      <c r="Q30" s="332">
        <f>IFERROR(VLOOKUP(TEXT(O30,"0"),CONDUCTORES!$A$3:$H$100,6,0),"")</f>
        <v/>
      </c>
      <c r="R30" s="331" t="n">
        <v>45968</v>
      </c>
      <c r="S30" s="302" t="inlineStr">
        <is>
          <t>O629</t>
        </is>
      </c>
      <c r="T30" s="301" t="n"/>
      <c r="U30" s="334" t="n"/>
      <c r="V30" s="301" t="n"/>
      <c r="W30" s="301" t="n"/>
      <c r="X30" s="301" t="n"/>
      <c r="Y30" s="280" t="n"/>
    </row>
    <row r="31" ht="15.75" customHeight="1" s="195">
      <c r="A31" s="241" t="n">
        <v>21</v>
      </c>
      <c r="B31" s="305" t="inlineStr">
        <is>
          <t>00000219</t>
        </is>
      </c>
      <c r="C31" s="241" t="inlineStr">
        <is>
          <t>REGION</t>
        </is>
      </c>
      <c r="D31" s="305" t="inlineStr">
        <is>
          <t>LOZANO COLLAZOS LAUNNY JHANELL</t>
        </is>
      </c>
      <c r="E31" s="241" t="inlineStr">
        <is>
          <t>DNI</t>
        </is>
      </c>
      <c r="F31" s="241" t="inlineStr">
        <is>
          <t>78167496</t>
        </is>
      </c>
      <c r="G31" s="336" t="n">
        <v>45926</v>
      </c>
      <c r="H31" s="241" t="inlineStr">
        <is>
          <t>4950</t>
        </is>
      </c>
      <c r="I31" s="332">
        <f>IFERROR(VLOOKUP(TEXT(H31,"0"),IPRESS!$A$3:$B$212,2,0),"")</f>
        <v/>
      </c>
      <c r="J31" s="241" t="inlineStr">
        <is>
          <t>4838</t>
        </is>
      </c>
      <c r="K31" s="332">
        <f>IFERROR(VLOOKUP(TEXT(O31,"0"),CONDUCTORES!$A$3:$G$100,7,0),"")</f>
        <v/>
      </c>
      <c r="L31" s="239" t="n">
        <v>20.25</v>
      </c>
      <c r="M31" s="239" t="n">
        <v>6.7</v>
      </c>
      <c r="N31" s="333">
        <f>IFERROR(IF(L31*M31=0,"",L31*M31),"")</f>
        <v/>
      </c>
      <c r="O31" s="334" t="n"/>
      <c r="P31" s="332">
        <f>IFERROR(VLOOKUP(TEXT(O31,"0"),CONDUCTORES!$A$3:$G$100,2,0),"")</f>
        <v/>
      </c>
      <c r="Q31" s="332">
        <f>IFERROR(VLOOKUP(TEXT(O31,"0"),CONDUCTORES!$A$3:$H$100,6,0),"")</f>
        <v/>
      </c>
      <c r="R31" s="336" t="n">
        <v>45968</v>
      </c>
      <c r="S31" s="305" t="inlineStr">
        <is>
          <t>N835,N83,R104,N390</t>
        </is>
      </c>
      <c r="T31" s="241" t="n"/>
      <c r="U31" s="280" t="n"/>
      <c r="V31" s="241" t="n"/>
      <c r="W31" s="241" t="n"/>
      <c r="X31" s="241" t="n"/>
      <c r="Y31" s="280" t="n"/>
    </row>
    <row r="32" ht="15.75" customHeight="1" s="195">
      <c r="A32" s="301" t="n">
        <v>22</v>
      </c>
      <c r="B32" s="302" t="inlineStr">
        <is>
          <t>00000220</t>
        </is>
      </c>
      <c r="C32" s="301" t="inlineStr">
        <is>
          <t>REGION</t>
        </is>
      </c>
      <c r="D32" s="302" t="inlineStr">
        <is>
          <t>VARGAS PORTOCARRERO ANGELES AURORA</t>
        </is>
      </c>
      <c r="E32" s="301" t="inlineStr">
        <is>
          <t>DNI</t>
        </is>
      </c>
      <c r="F32" s="301" t="inlineStr">
        <is>
          <t>44693685</t>
        </is>
      </c>
      <c r="G32" s="331" t="n">
        <v>45926</v>
      </c>
      <c r="H32" s="301" t="inlineStr">
        <is>
          <t>4950</t>
        </is>
      </c>
      <c r="I32" s="332">
        <f>IFERROR(VLOOKUP(TEXT(H32,"0"),IPRESS!$A$3:$B$212,2,0),"")</f>
        <v/>
      </c>
      <c r="J32" s="301" t="inlineStr">
        <is>
          <t>4838</t>
        </is>
      </c>
      <c r="K32" s="332">
        <f>IFERROR(VLOOKUP(TEXT(O32,"0"),CONDUCTORES!$A$3:$G$100,7,0),"")</f>
        <v/>
      </c>
      <c r="L32" s="245" t="n">
        <v>20.25</v>
      </c>
      <c r="M32" s="245" t="n">
        <v>7</v>
      </c>
      <c r="N32" s="333">
        <f>IFERROR(IF(L32*M32=0,"",L32*M32),"")</f>
        <v/>
      </c>
      <c r="O32" s="280" t="n"/>
      <c r="P32" s="332">
        <f>IFERROR(VLOOKUP(TEXT(O32,"0"),CONDUCTORES!$A$3:$G$100,2,0),"")</f>
        <v/>
      </c>
      <c r="Q32" s="332">
        <f>IFERROR(VLOOKUP(TEXT(O32,"0"),CONDUCTORES!$A$3:$H$100,6,0),"")</f>
        <v/>
      </c>
      <c r="R32" s="331" t="n">
        <v>45968</v>
      </c>
      <c r="S32" s="302" t="inlineStr">
        <is>
          <t>O429,O234</t>
        </is>
      </c>
      <c r="T32" s="301" t="n"/>
      <c r="U32" s="334" t="n"/>
      <c r="V32" s="301" t="n"/>
      <c r="W32" s="301" t="n"/>
      <c r="X32" s="301" t="n"/>
      <c r="Y32" s="280" t="n"/>
    </row>
    <row r="33" ht="15.75" customHeight="1" s="195">
      <c r="A33" s="241" t="n">
        <v>23</v>
      </c>
      <c r="B33" s="305" t="inlineStr">
        <is>
          <t>00000221</t>
        </is>
      </c>
      <c r="C33" s="241" t="inlineStr">
        <is>
          <t>REGION</t>
        </is>
      </c>
      <c r="D33" s="305" t="inlineStr">
        <is>
          <t>PUSCAN PUIQUIN ROSA VICTORIA</t>
        </is>
      </c>
      <c r="E33" s="241" t="inlineStr">
        <is>
          <t>DNI</t>
        </is>
      </c>
      <c r="F33" s="241" t="inlineStr">
        <is>
          <t>33961924</t>
        </is>
      </c>
      <c r="G33" s="336" t="n">
        <v>45927</v>
      </c>
      <c r="H33" s="241" t="inlineStr">
        <is>
          <t>4950</t>
        </is>
      </c>
      <c r="I33" s="332">
        <f>IFERROR(VLOOKUP(TEXT(H33,"0"),IPRESS!$A$3:$B$212,2,0),"")</f>
        <v/>
      </c>
      <c r="J33" s="241" t="inlineStr">
        <is>
          <t>4838</t>
        </is>
      </c>
      <c r="K33" s="332">
        <f>IFERROR(VLOOKUP(TEXT(O33,"0"),CONDUCTORES!$A$3:$G$100,7,0),"")</f>
        <v/>
      </c>
      <c r="L33" s="239" t="n">
        <v>20.25</v>
      </c>
      <c r="M33" s="239" t="n">
        <v>6.5</v>
      </c>
      <c r="N33" s="333">
        <f>IFERROR(IF(L33*M33=0,"",L33*M33),"")</f>
        <v/>
      </c>
      <c r="O33" s="334" t="n"/>
      <c r="P33" s="332">
        <f>IFERROR(VLOOKUP(TEXT(O33,"0"),CONDUCTORES!$A$3:$G$100,2,0),"")</f>
        <v/>
      </c>
      <c r="Q33" s="332">
        <f>IFERROR(VLOOKUP(TEXT(O33,"0"),CONDUCTORES!$A$3:$H$100,6,0),"")</f>
        <v/>
      </c>
      <c r="R33" s="336" t="n">
        <v>45968</v>
      </c>
      <c r="S33" s="305" t="inlineStr">
        <is>
          <t>N939,N851,N390,Z320</t>
        </is>
      </c>
      <c r="T33" s="241" t="n"/>
      <c r="U33" s="280" t="n"/>
      <c r="V33" s="241" t="n"/>
      <c r="W33" s="241" t="n"/>
      <c r="X33" s="241" t="n"/>
      <c r="Y33" s="280" t="n"/>
    </row>
    <row r="34" ht="15.75" customHeight="1" s="195">
      <c r="A34" s="301" t="n">
        <v>24</v>
      </c>
      <c r="B34" s="302" t="inlineStr">
        <is>
          <t>00000222</t>
        </is>
      </c>
      <c r="C34" s="301" t="inlineStr">
        <is>
          <t>REGION</t>
        </is>
      </c>
      <c r="D34" s="302" t="inlineStr">
        <is>
          <t>SANTILLAN VARGAS HOMERO</t>
        </is>
      </c>
      <c r="E34" s="301" t="inlineStr">
        <is>
          <t>DNI</t>
        </is>
      </c>
      <c r="F34" s="301" t="inlineStr">
        <is>
          <t>33949429</t>
        </is>
      </c>
      <c r="G34" s="331" t="n">
        <v>45929</v>
      </c>
      <c r="H34" s="301" t="inlineStr">
        <is>
          <t>4950</t>
        </is>
      </c>
      <c r="I34" s="332">
        <f>IFERROR(VLOOKUP(TEXT(H34,"0"),IPRESS!$A$3:$B$212,2,0),"")</f>
        <v/>
      </c>
      <c r="J34" s="301" t="inlineStr">
        <is>
          <t>4838</t>
        </is>
      </c>
      <c r="K34" s="332">
        <f>IFERROR(VLOOKUP(TEXT(O34,"0"),CONDUCTORES!$A$3:$G$100,7,0),"")</f>
        <v/>
      </c>
      <c r="L34" s="245" t="n">
        <v>20.25</v>
      </c>
      <c r="M34" s="245" t="n">
        <v>6.7</v>
      </c>
      <c r="N34" s="333">
        <f>IFERROR(IF(L34*M34=0,"",L34*M34),"")</f>
        <v/>
      </c>
      <c r="O34" s="280" t="n"/>
      <c r="P34" s="332">
        <f>IFERROR(VLOOKUP(TEXT(O34,"0"),CONDUCTORES!$A$3:$G$100,2,0),"")</f>
        <v/>
      </c>
      <c r="Q34" s="332">
        <f>IFERROR(VLOOKUP(TEXT(O34,"0"),CONDUCTORES!$A$3:$H$100,6,0),"")</f>
        <v/>
      </c>
      <c r="R34" s="331" t="n">
        <v>45968</v>
      </c>
      <c r="S34" s="302" t="inlineStr">
        <is>
          <t>I634,I490,I10X,R11X</t>
        </is>
      </c>
      <c r="T34" s="301" t="n"/>
      <c r="U34" s="334" t="n"/>
      <c r="V34" s="301" t="n"/>
      <c r="W34" s="301" t="n"/>
      <c r="X34" s="301" t="n"/>
      <c r="Y34" s="280" t="n"/>
    </row>
    <row r="35" ht="15.75" customHeight="1" s="195">
      <c r="A35" s="241" t="n">
        <v>25</v>
      </c>
      <c r="B35" s="305" t="inlineStr">
        <is>
          <t>00000223</t>
        </is>
      </c>
      <c r="C35" s="241" t="inlineStr">
        <is>
          <t>REGION</t>
        </is>
      </c>
      <c r="D35" s="305" t="inlineStr">
        <is>
          <t>BOBADILLA HUAMAN LIAN IZAC</t>
        </is>
      </c>
      <c r="E35" s="241" t="inlineStr">
        <is>
          <t>DNI</t>
        </is>
      </c>
      <c r="F35" s="241" t="inlineStr">
        <is>
          <t>93354749</t>
        </is>
      </c>
      <c r="G35" s="336" t="n">
        <v>45930</v>
      </c>
      <c r="H35" s="241" t="inlineStr">
        <is>
          <t>4950</t>
        </is>
      </c>
      <c r="I35" s="332">
        <f>IFERROR(VLOOKUP(TEXT(H35,"0"),IPRESS!$A$3:$B$212,2,0),"")</f>
        <v/>
      </c>
      <c r="J35" s="241" t="inlineStr">
        <is>
          <t>4838</t>
        </is>
      </c>
      <c r="K35" s="332">
        <f>IFERROR(VLOOKUP(TEXT(O35,"0"),CONDUCTORES!$A$3:$G$100,7,0),"")</f>
        <v/>
      </c>
      <c r="L35" s="239" t="n">
        <v>20.25</v>
      </c>
      <c r="M35" s="239" t="n">
        <v>7</v>
      </c>
      <c r="N35" s="333">
        <f>IFERROR(IF(L35*M35=0,"",L35*M35),"")</f>
        <v/>
      </c>
      <c r="O35" s="334" t="n"/>
      <c r="P35" s="332">
        <f>IFERROR(VLOOKUP(TEXT(O35,"0"),CONDUCTORES!$A$3:$G$100,2,0),"")</f>
        <v/>
      </c>
      <c r="Q35" s="332">
        <f>IFERROR(VLOOKUP(TEXT(O35,"0"),CONDUCTORES!$A$3:$H$100,6,0),"")</f>
        <v/>
      </c>
      <c r="R35" s="336" t="n">
        <v>45968</v>
      </c>
      <c r="S35" s="305" t="inlineStr">
        <is>
          <t>R560,G409,T175,A010</t>
        </is>
      </c>
      <c r="T35" s="241" t="n"/>
      <c r="U35" s="280" t="n"/>
      <c r="V35" s="241" t="n"/>
      <c r="W35" s="241" t="n"/>
      <c r="X35" s="241" t="n"/>
      <c r="Y35" s="280" t="n"/>
    </row>
    <row r="36" ht="15.75" customHeight="1" s="195">
      <c r="A36" s="301" t="n">
        <v>26</v>
      </c>
      <c r="B36" s="302" t="inlineStr">
        <is>
          <t>00000224</t>
        </is>
      </c>
      <c r="C36" s="301" t="inlineStr">
        <is>
          <t>REGION</t>
        </is>
      </c>
      <c r="D36" s="302" t="inlineStr">
        <is>
          <t>GRANDES GRANDES ROMELIO</t>
        </is>
      </c>
      <c r="E36" s="301" t="inlineStr">
        <is>
          <t>DNI</t>
        </is>
      </c>
      <c r="F36" s="301" t="inlineStr">
        <is>
          <t>33948077</t>
        </is>
      </c>
      <c r="G36" s="331" t="n">
        <v>45930</v>
      </c>
      <c r="H36" s="301" t="inlineStr">
        <is>
          <t>4950</t>
        </is>
      </c>
      <c r="I36" s="332">
        <f>IFERROR(VLOOKUP(TEXT(H36,"0"),IPRESS!$A$3:$B$212,2,0),"")</f>
        <v/>
      </c>
      <c r="J36" s="301" t="inlineStr">
        <is>
          <t>4838</t>
        </is>
      </c>
      <c r="K36" s="332">
        <f>IFERROR(VLOOKUP(TEXT(O36,"0"),CONDUCTORES!$A$3:$G$100,7,0),"")</f>
        <v/>
      </c>
      <c r="L36" s="245" t="n">
        <v>20.25</v>
      </c>
      <c r="M36" s="245" t="n">
        <v>6.5</v>
      </c>
      <c r="N36" s="333">
        <f>IFERROR(IF(L36*M36=0,"",L36*M36),"")</f>
        <v/>
      </c>
      <c r="O36" s="280" t="n"/>
      <c r="P36" s="332">
        <f>IFERROR(VLOOKUP(TEXT(O36,"0"),CONDUCTORES!$A$3:$G$100,2,0),"")</f>
        <v/>
      </c>
      <c r="Q36" s="332">
        <f>IFERROR(VLOOKUP(TEXT(O36,"0"),CONDUCTORES!$A$3:$H$100,6,0),"")</f>
        <v/>
      </c>
      <c r="R36" s="331" t="n">
        <v>45968</v>
      </c>
      <c r="S36" s="302" t="inlineStr">
        <is>
          <t>S809</t>
        </is>
      </c>
      <c r="T36" s="301" t="n"/>
      <c r="U36" s="334" t="n"/>
      <c r="V36" s="301" t="n"/>
      <c r="W36" s="301" t="n"/>
      <c r="X36" s="301" t="n"/>
      <c r="Y36" s="280" t="n"/>
    </row>
    <row r="37" ht="15.75" customHeight="1" s="195">
      <c r="A37" s="241" t="n">
        <v>27</v>
      </c>
      <c r="B37" s="305" t="inlineStr">
        <is>
          <t>00000216</t>
        </is>
      </c>
      <c r="C37" s="241" t="inlineStr">
        <is>
          <t>REGION</t>
        </is>
      </c>
      <c r="D37" s="305" t="inlineStr">
        <is>
          <t>HANS SCHLEIFFER</t>
        </is>
      </c>
      <c r="E37" s="241" t="inlineStr">
        <is>
          <t>DNI</t>
        </is>
      </c>
      <c r="F37" s="241" t="inlineStr">
        <is>
          <t>1960971</t>
        </is>
      </c>
      <c r="G37" s="336" t="n">
        <v>45924</v>
      </c>
      <c r="H37" s="241" t="inlineStr">
        <is>
          <t>4950</t>
        </is>
      </c>
      <c r="I37" s="332">
        <f>IFERROR(VLOOKUP(TEXT(H37,"0"),IPRESS!$A$3:$B$212,2,0),"")</f>
        <v/>
      </c>
      <c r="J37" s="241" t="inlineStr">
        <is>
          <t>4838</t>
        </is>
      </c>
      <c r="K37" s="332">
        <f>IFERROR(VLOOKUP(TEXT(O37,"0"),CONDUCTORES!$A$3:$G$100,7,0),"")</f>
        <v/>
      </c>
      <c r="L37" s="239" t="n">
        <v>20.25</v>
      </c>
      <c r="M37" s="239" t="n">
        <v>10</v>
      </c>
      <c r="N37" s="333">
        <f>IFERROR(IF(L37*M37=0,"",L37*M37),"")</f>
        <v/>
      </c>
      <c r="O37" s="334" t="n"/>
      <c r="P37" s="332">
        <f>IFERROR(VLOOKUP(TEXT(O37,"0"),CONDUCTORES!$A$3:$G$100,2,0),"")</f>
        <v/>
      </c>
      <c r="Q37" s="332">
        <f>IFERROR(VLOOKUP(TEXT(O37,"0"),CONDUCTORES!$A$3:$H$100,6,0),"")</f>
        <v/>
      </c>
      <c r="R37" s="336" t="n">
        <v>45988</v>
      </c>
      <c r="S37" s="305" t="inlineStr">
        <is>
          <t>I633,I10X,J690</t>
        </is>
      </c>
      <c r="T37" s="241" t="inlineStr">
        <is>
          <t>DEVOLVER COMBUSTIBLE AL C.S. HUAMBO</t>
        </is>
      </c>
      <c r="U37" s="280" t="n"/>
      <c r="V37" s="241" t="inlineStr">
        <is>
          <t>6044-2025</t>
        </is>
      </c>
      <c r="W37" s="241" t="inlineStr">
        <is>
          <t>3479.0</t>
        </is>
      </c>
      <c r="X37" s="241" t="inlineStr">
        <is>
          <t>189.0</t>
        </is>
      </c>
      <c r="Y37" s="280" t="n"/>
    </row>
    <row r="38" ht="15.75" customHeight="1" s="195">
      <c r="A38" s="301" t="n">
        <v>28</v>
      </c>
      <c r="B38" s="302" t="inlineStr">
        <is>
          <t>00000201</t>
        </is>
      </c>
      <c r="C38" s="301" t="inlineStr">
        <is>
          <t>REGION</t>
        </is>
      </c>
      <c r="D38" s="302" t="inlineStr">
        <is>
          <t>RODRIGUEZ NOVOA CONSTANTINO</t>
        </is>
      </c>
      <c r="E38" s="301" t="inlineStr">
        <is>
          <t>DNI</t>
        </is>
      </c>
      <c r="F38" s="301" t="inlineStr">
        <is>
          <t>33953440</t>
        </is>
      </c>
      <c r="G38" s="331" t="n">
        <v>45905</v>
      </c>
      <c r="H38" s="301" t="inlineStr">
        <is>
          <t>4950</t>
        </is>
      </c>
      <c r="I38" s="332">
        <f>IFERROR(VLOOKUP(TEXT(H38,"0"),IPRESS!$A$3:$B$212,2,0),"")</f>
        <v/>
      </c>
      <c r="J38" s="301" t="inlineStr">
        <is>
          <t>4838</t>
        </is>
      </c>
      <c r="K38" s="332">
        <f>IFERROR(VLOOKUP(TEXT(O38,"0"),CONDUCTORES!$A$3:$G$100,7,0),"")</f>
        <v/>
      </c>
      <c r="L38" s="245" t="n">
        <v>20.25</v>
      </c>
      <c r="M38" s="245" t="n">
        <v>10</v>
      </c>
      <c r="N38" s="333">
        <f>IFERROR(IF(L38*M38=0,"",L38*M38),"")</f>
        <v/>
      </c>
      <c r="O38" s="280" t="n"/>
      <c r="P38" s="332">
        <f>IFERROR(VLOOKUP(TEXT(O38,"0"),CONDUCTORES!$A$3:$G$100,2,0),"")</f>
        <v/>
      </c>
      <c r="Q38" s="332">
        <f>IFERROR(VLOOKUP(TEXT(O38,"0"),CONDUCTORES!$A$3:$H$100,6,0),"")</f>
        <v/>
      </c>
      <c r="R38" s="331" t="n">
        <v>45988</v>
      </c>
      <c r="S38" s="302" t="inlineStr">
        <is>
          <t>M870,J960,R502</t>
        </is>
      </c>
      <c r="T38" s="301" t="inlineStr">
        <is>
          <t>DEVOLUCION DE COMBUSTIBLE AL C.S. OMIA</t>
        </is>
      </c>
      <c r="U38" s="334" t="n"/>
      <c r="V38" s="301" t="inlineStr">
        <is>
          <t>6044-2025</t>
        </is>
      </c>
      <c r="W38" s="301" t="inlineStr">
        <is>
          <t>3479.0</t>
        </is>
      </c>
      <c r="X38" s="301" t="inlineStr">
        <is>
          <t>189.0</t>
        </is>
      </c>
      <c r="Y38" s="280" t="n"/>
    </row>
    <row r="39" ht="15.75" customHeight="1" s="195">
      <c r="A39" s="241" t="n">
        <v>29</v>
      </c>
      <c r="B39" s="305" t="inlineStr">
        <is>
          <t>00000008</t>
        </is>
      </c>
      <c r="C39" s="241" t="inlineStr">
        <is>
          <t>REGION</t>
        </is>
      </c>
      <c r="D39" s="305" t="inlineStr">
        <is>
          <t>CASTRO RODRIGUEZ CLORILDA</t>
        </is>
      </c>
      <c r="E39" s="241" t="inlineStr">
        <is>
          <t>DNI</t>
        </is>
      </c>
      <c r="F39" s="241" t="inlineStr">
        <is>
          <t>47940395</t>
        </is>
      </c>
      <c r="G39" s="336" t="n">
        <v>45930</v>
      </c>
      <c r="H39" s="241" t="inlineStr">
        <is>
          <t>4943</t>
        </is>
      </c>
      <c r="I39" s="332">
        <f>IFERROR(VLOOKUP(TEXT(H39,"0"),IPRESS!$A$3:$B$212,2,0),"")</f>
        <v/>
      </c>
      <c r="J39" s="241" t="inlineStr">
        <is>
          <t>4950</t>
        </is>
      </c>
      <c r="K39" s="332">
        <f>IFERROR(VLOOKUP(TEXT(O39,"0"),CONDUCTORES!$A$3:$G$100,7,0),"")</f>
        <v/>
      </c>
      <c r="L39" s="239" t="n">
        <v>20.25</v>
      </c>
      <c r="M39" s="239" t="n">
        <v>3</v>
      </c>
      <c r="N39" s="333">
        <f>IFERROR(IF(L39*M39=0,"",L39*M39),"")</f>
        <v/>
      </c>
      <c r="O39" s="334" t="n"/>
      <c r="P39" s="332">
        <f>IFERROR(VLOOKUP(TEXT(O39,"0"),CONDUCTORES!$A$3:$G$100,2,0),"")</f>
        <v/>
      </c>
      <c r="Q39" s="332">
        <f>IFERROR(VLOOKUP(TEXT(O39,"0"),CONDUCTORES!$A$3:$H$100,6,0),"")</f>
        <v/>
      </c>
      <c r="R39" s="336" t="n">
        <v>46010</v>
      </c>
      <c r="S39" s="305" t="inlineStr">
        <is>
          <t>O210</t>
        </is>
      </c>
      <c r="T39" s="241" t="n"/>
      <c r="U39" s="280" t="n"/>
      <c r="V39" s="241" t="n"/>
      <c r="W39" s="241" t="n"/>
      <c r="X39" s="241" t="n"/>
      <c r="Y39" s="280" t="n"/>
    </row>
    <row r="40" ht="15.75" customHeight="1" s="195">
      <c r="A40" s="301" t="n">
        <v>30</v>
      </c>
      <c r="B40" s="302" t="inlineStr">
        <is>
          <t>00000009</t>
        </is>
      </c>
      <c r="C40" s="301" t="inlineStr">
        <is>
          <t>REGION</t>
        </is>
      </c>
      <c r="D40" s="302" t="inlineStr">
        <is>
          <t>OCAMPO ARISTA MARIBEL DE JESUS</t>
        </is>
      </c>
      <c r="E40" s="301" t="inlineStr">
        <is>
          <t>DNI</t>
        </is>
      </c>
      <c r="F40" s="301" t="inlineStr">
        <is>
          <t>47580780</t>
        </is>
      </c>
      <c r="G40" s="331" t="n">
        <v>45930</v>
      </c>
      <c r="H40" s="301" t="inlineStr">
        <is>
          <t>4943</t>
        </is>
      </c>
      <c r="I40" s="332">
        <f>IFERROR(VLOOKUP(TEXT(H40,"0"),IPRESS!$A$3:$B$212,2,0),"")</f>
        <v/>
      </c>
      <c r="J40" s="301" t="inlineStr">
        <is>
          <t>4838</t>
        </is>
      </c>
      <c r="K40" s="332">
        <f>IFERROR(VLOOKUP(TEXT(O40,"0"),CONDUCTORES!$A$3:$G$100,7,0),"")</f>
        <v/>
      </c>
      <c r="L40" s="245" t="n">
        <v>20.25</v>
      </c>
      <c r="M40" s="245" t="n">
        <v>10</v>
      </c>
      <c r="N40" s="333">
        <f>IFERROR(IF(L40*M40=0,"",L40*M40),"")</f>
        <v/>
      </c>
      <c r="O40" s="280" t="n"/>
      <c r="P40" s="332">
        <f>IFERROR(VLOOKUP(TEXT(O40,"0"),CONDUCTORES!$A$3:$G$100,2,0),"")</f>
        <v/>
      </c>
      <c r="Q40" s="332">
        <f>IFERROR(VLOOKUP(TEXT(O40,"0"),CONDUCTORES!$A$3:$H$100,6,0),"")</f>
        <v/>
      </c>
      <c r="R40" s="331" t="n">
        <v>46010</v>
      </c>
      <c r="S40" s="302" t="inlineStr">
        <is>
          <t>O369</t>
        </is>
      </c>
      <c r="T40" s="301" t="n"/>
      <c r="U40" s="334" t="n"/>
      <c r="V40" s="301" t="n"/>
      <c r="W40" s="301" t="n"/>
      <c r="X40" s="301" t="n"/>
      <c r="Y40" s="280" t="n"/>
    </row>
    <row r="41" ht="15.75" customHeight="1" s="195">
      <c r="A41" s="241" t="n">
        <v>31</v>
      </c>
      <c r="B41" s="305" t="inlineStr">
        <is>
          <t>00000017</t>
        </is>
      </c>
      <c r="C41" s="241" t="inlineStr">
        <is>
          <t>REGION</t>
        </is>
      </c>
      <c r="D41" s="305" t="inlineStr">
        <is>
          <t>PUERTA FERNANDEZ WISNLEY</t>
        </is>
      </c>
      <c r="E41" s="241" t="inlineStr">
        <is>
          <t>DNI</t>
        </is>
      </c>
      <c r="F41" s="241" t="inlineStr">
        <is>
          <t>74359244</t>
        </is>
      </c>
      <c r="G41" s="336" t="n">
        <v>45905</v>
      </c>
      <c r="H41" s="241" t="inlineStr">
        <is>
          <t>4905</t>
        </is>
      </c>
      <c r="I41" s="332">
        <f>IFERROR(VLOOKUP(TEXT(H41,"0"),IPRESS!$A$3:$B$212,2,0),"")</f>
        <v/>
      </c>
      <c r="J41" s="241" t="inlineStr">
        <is>
          <t>4838</t>
        </is>
      </c>
      <c r="K41" s="332">
        <f>IFERROR(VLOOKUP(TEXT(O41,"0"),CONDUCTORES!$A$3:$G$100,7,0),"")</f>
        <v/>
      </c>
      <c r="L41" s="239" t="n">
        <v>18.18</v>
      </c>
      <c r="M41" s="239" t="n">
        <v>8</v>
      </c>
      <c r="N41" s="333">
        <f>IFERROR(IF(L41*M41=0,"",L41*M41),"")</f>
        <v/>
      </c>
      <c r="O41" s="334" t="n"/>
      <c r="P41" s="332">
        <f>IFERROR(VLOOKUP(TEXT(O41,"0"),CONDUCTORES!$A$3:$G$100,2,0),"")</f>
        <v/>
      </c>
      <c r="Q41" s="332">
        <f>IFERROR(VLOOKUP(TEXT(O41,"0"),CONDUCTORES!$A$3:$H$100,6,0),"")</f>
        <v/>
      </c>
      <c r="R41" s="336" t="n">
        <v>45957</v>
      </c>
      <c r="S41" s="305" t="inlineStr">
        <is>
          <t>S420</t>
        </is>
      </c>
      <c r="T41" s="241" t="n"/>
      <c r="U41" s="280" t="n"/>
      <c r="V41" s="241" t="n"/>
      <c r="W41" s="241" t="n"/>
      <c r="X41" s="241" t="n"/>
      <c r="Y41" s="280" t="n"/>
    </row>
    <row r="42" ht="15.75" customHeight="1" s="195">
      <c r="A42" s="301" t="n">
        <v>32</v>
      </c>
      <c r="B42" s="302" t="inlineStr">
        <is>
          <t>00000019</t>
        </is>
      </c>
      <c r="C42" s="301" t="inlineStr">
        <is>
          <t>REGION</t>
        </is>
      </c>
      <c r="D42" s="302" t="inlineStr">
        <is>
          <t>PUSCAN HUAMAN MAURA</t>
        </is>
      </c>
      <c r="E42" s="301" t="inlineStr">
        <is>
          <t>DNI</t>
        </is>
      </c>
      <c r="F42" s="301" t="inlineStr">
        <is>
          <t>33416919</t>
        </is>
      </c>
      <c r="G42" s="331" t="n">
        <v>45915</v>
      </c>
      <c r="H42" s="301" t="inlineStr">
        <is>
          <t>4905</t>
        </is>
      </c>
      <c r="I42" s="332">
        <f>IFERROR(VLOOKUP(TEXT(H42,"0"),IPRESS!$A$3:$B$212,2,0),"")</f>
        <v/>
      </c>
      <c r="J42" s="301" t="inlineStr">
        <is>
          <t>4838</t>
        </is>
      </c>
      <c r="K42" s="332">
        <f>IFERROR(VLOOKUP(TEXT(O42,"0"),CONDUCTORES!$A$3:$G$100,7,0),"")</f>
        <v/>
      </c>
      <c r="L42" s="245" t="n">
        <v>18.18</v>
      </c>
      <c r="M42" s="245" t="n">
        <v>8</v>
      </c>
      <c r="N42" s="333">
        <f>IFERROR(IF(L42*M42=0,"",L42*M42),"")</f>
        <v/>
      </c>
      <c r="O42" s="280" t="n"/>
      <c r="P42" s="332">
        <f>IFERROR(VLOOKUP(TEXT(O42,"0"),CONDUCTORES!$A$3:$G$100,2,0),"")</f>
        <v/>
      </c>
      <c r="Q42" s="332">
        <f>IFERROR(VLOOKUP(TEXT(O42,"0"),CONDUCTORES!$A$3:$H$100,6,0),"")</f>
        <v/>
      </c>
      <c r="R42" s="331" t="n">
        <v>45957</v>
      </c>
      <c r="S42" s="302" t="inlineStr">
        <is>
          <t>N10X,K359</t>
        </is>
      </c>
      <c r="T42" s="301" t="n"/>
      <c r="U42" s="334" t="n"/>
      <c r="V42" s="301" t="n"/>
      <c r="W42" s="301" t="n"/>
      <c r="X42" s="301" t="n"/>
      <c r="Y42" s="280" t="n"/>
    </row>
    <row r="43" ht="15.75" customHeight="1" s="195">
      <c r="A43" s="241" t="n">
        <v>33</v>
      </c>
      <c r="B43" s="305" t="inlineStr">
        <is>
          <t>00000018</t>
        </is>
      </c>
      <c r="C43" s="241" t="inlineStr">
        <is>
          <t>REGION</t>
        </is>
      </c>
      <c r="D43" s="305" t="inlineStr">
        <is>
          <t>ARCE SOPLA MELY JHENS</t>
        </is>
      </c>
      <c r="E43" s="241" t="inlineStr">
        <is>
          <t>DNI</t>
        </is>
      </c>
      <c r="F43" s="241" t="inlineStr">
        <is>
          <t>60304185</t>
        </is>
      </c>
      <c r="G43" s="336" t="n">
        <v>45915</v>
      </c>
      <c r="H43" s="241" t="inlineStr">
        <is>
          <t>4917</t>
        </is>
      </c>
      <c r="I43" s="332">
        <f>IFERROR(VLOOKUP(TEXT(H43,"0"),IPRESS!$A$3:$B$212,2,0),"")</f>
        <v/>
      </c>
      <c r="J43" s="241" t="inlineStr">
        <is>
          <t>4838</t>
        </is>
      </c>
      <c r="K43" s="332">
        <f>IFERROR(VLOOKUP(TEXT(O43,"0"),CONDUCTORES!$A$3:$G$100,7,0),"")</f>
        <v/>
      </c>
      <c r="L43" s="239" t="n">
        <v>18.18</v>
      </c>
      <c r="M43" s="239" t="n">
        <v>12</v>
      </c>
      <c r="N43" s="333">
        <f>IFERROR(IF(L43*M43=0,"",L43*M43),"")</f>
        <v/>
      </c>
      <c r="O43" s="334" t="n"/>
      <c r="P43" s="332">
        <f>IFERROR(VLOOKUP(TEXT(O43,"0"),CONDUCTORES!$A$3:$G$100,2,0),"")</f>
        <v/>
      </c>
      <c r="Q43" s="332">
        <f>IFERROR(VLOOKUP(TEXT(O43,"0"),CONDUCTORES!$A$3:$H$100,6,0),"")</f>
        <v/>
      </c>
      <c r="R43" s="336" t="n">
        <v>45978</v>
      </c>
      <c r="S43" s="305" t="inlineStr">
        <is>
          <t>O468,O450</t>
        </is>
      </c>
      <c r="T43" s="241" t="n"/>
      <c r="U43" s="280" t="n"/>
      <c r="V43" s="241" t="inlineStr">
        <is>
          <t>5839.0</t>
        </is>
      </c>
      <c r="W43" s="241" t="inlineStr">
        <is>
          <t>CONTRATO 001-2025</t>
        </is>
      </c>
      <c r="X43" s="241" t="inlineStr">
        <is>
          <t>266.0</t>
        </is>
      </c>
      <c r="Y43" s="280" t="n"/>
    </row>
    <row r="44" ht="15.75" customHeight="1" s="195">
      <c r="A44" s="301" t="n">
        <v>34</v>
      </c>
      <c r="B44" s="302" t="inlineStr">
        <is>
          <t>00000019</t>
        </is>
      </c>
      <c r="C44" s="301" t="inlineStr">
        <is>
          <t>REGION</t>
        </is>
      </c>
      <c r="D44" s="302" t="inlineStr">
        <is>
          <t>VISALOT CHOCHABOT MELISA</t>
        </is>
      </c>
      <c r="E44" s="301" t="inlineStr">
        <is>
          <t>DNI</t>
        </is>
      </c>
      <c r="F44" s="301" t="inlineStr">
        <is>
          <t>73544922</t>
        </is>
      </c>
      <c r="G44" s="331" t="n">
        <v>45918</v>
      </c>
      <c r="H44" s="301" t="inlineStr">
        <is>
          <t>4917</t>
        </is>
      </c>
      <c r="I44" s="332">
        <f>IFERROR(VLOOKUP(TEXT(H44,"0"),IPRESS!$A$3:$B$212,2,0),"")</f>
        <v/>
      </c>
      <c r="J44" s="301" t="inlineStr">
        <is>
          <t>4838</t>
        </is>
      </c>
      <c r="K44" s="332">
        <f>IFERROR(VLOOKUP(TEXT(O44,"0"),CONDUCTORES!$A$3:$G$100,7,0),"")</f>
        <v/>
      </c>
      <c r="L44" s="245" t="n">
        <v>18.18</v>
      </c>
      <c r="M44" s="245" t="n">
        <v>12</v>
      </c>
      <c r="N44" s="333">
        <f>IFERROR(IF(L44*M44=0,"",L44*M44),"")</f>
        <v/>
      </c>
      <c r="O44" s="280" t="n"/>
      <c r="P44" s="332">
        <f>IFERROR(VLOOKUP(TEXT(O44,"0"),CONDUCTORES!$A$3:$G$100,2,0),"")</f>
        <v/>
      </c>
      <c r="Q44" s="332">
        <f>IFERROR(VLOOKUP(TEXT(O44,"0"),CONDUCTORES!$A$3:$H$100,6,0),"")</f>
        <v/>
      </c>
      <c r="R44" s="331" t="n">
        <v>45978</v>
      </c>
      <c r="S44" s="302" t="inlineStr">
        <is>
          <t>K359</t>
        </is>
      </c>
      <c r="T44" s="301" t="n"/>
      <c r="U44" s="334" t="n"/>
      <c r="V44" s="301" t="inlineStr">
        <is>
          <t>5839.0</t>
        </is>
      </c>
      <c r="W44" s="301" t="inlineStr">
        <is>
          <t>CONTRATO 001-2025</t>
        </is>
      </c>
      <c r="X44" s="301" t="inlineStr">
        <is>
          <t>266.0</t>
        </is>
      </c>
      <c r="Y44" s="280" t="n"/>
    </row>
    <row r="45" ht="15.75" customHeight="1" s="195">
      <c r="A45" s="241" t="n">
        <v>35</v>
      </c>
      <c r="B45" s="305" t="inlineStr">
        <is>
          <t>00000020</t>
        </is>
      </c>
      <c r="C45" s="241" t="inlineStr">
        <is>
          <t>REGION</t>
        </is>
      </c>
      <c r="D45" s="305" t="inlineStr">
        <is>
          <t>BURGA ROJAS KATHERIN FABIOLA</t>
        </is>
      </c>
      <c r="E45" s="241" t="inlineStr">
        <is>
          <t>DNI</t>
        </is>
      </c>
      <c r="F45" s="241" t="inlineStr">
        <is>
          <t>60338467</t>
        </is>
      </c>
      <c r="G45" s="336" t="n">
        <v>45926</v>
      </c>
      <c r="H45" s="241" t="inlineStr">
        <is>
          <t>4917</t>
        </is>
      </c>
      <c r="I45" s="332">
        <f>IFERROR(VLOOKUP(TEXT(H45,"0"),IPRESS!$A$3:$B$212,2,0),"")</f>
        <v/>
      </c>
      <c r="J45" s="241" t="inlineStr">
        <is>
          <t>4838</t>
        </is>
      </c>
      <c r="K45" s="332">
        <f>IFERROR(VLOOKUP(TEXT(O45,"0"),CONDUCTORES!$A$3:$G$100,7,0),"")</f>
        <v/>
      </c>
      <c r="L45" s="239" t="n">
        <v>18.18</v>
      </c>
      <c r="M45" s="239" t="n">
        <v>12</v>
      </c>
      <c r="N45" s="333">
        <f>IFERROR(IF(L45*M45=0,"",L45*M45),"")</f>
        <v/>
      </c>
      <c r="O45" s="334" t="n"/>
      <c r="P45" s="332">
        <f>IFERROR(VLOOKUP(TEXT(O45,"0"),CONDUCTORES!$A$3:$G$100,2,0),"")</f>
        <v/>
      </c>
      <c r="Q45" s="332">
        <f>IFERROR(VLOOKUP(TEXT(O45,"0"),CONDUCTORES!$A$3:$H$100,6,0),"")</f>
        <v/>
      </c>
      <c r="R45" s="336" t="n">
        <v>45978</v>
      </c>
      <c r="S45" s="305" t="inlineStr">
        <is>
          <t>K37X,B282</t>
        </is>
      </c>
      <c r="T45" s="241" t="n"/>
      <c r="U45" s="280" t="n"/>
      <c r="V45" s="241" t="inlineStr">
        <is>
          <t>5839.0</t>
        </is>
      </c>
      <c r="W45" s="241" t="inlineStr">
        <is>
          <t>CONTRATO 001-2025</t>
        </is>
      </c>
      <c r="X45" s="241" t="inlineStr">
        <is>
          <t>266.0</t>
        </is>
      </c>
      <c r="Y45" s="280" t="n"/>
    </row>
    <row r="46" ht="15.75" customHeight="1" s="195">
      <c r="A46" s="301" t="n">
        <v>36</v>
      </c>
      <c r="B46" s="302" t="inlineStr">
        <is>
          <t>00000018</t>
        </is>
      </c>
      <c r="C46" s="301" t="inlineStr">
        <is>
          <t>REGION</t>
        </is>
      </c>
      <c r="D46" s="302" t="inlineStr">
        <is>
          <t>HUAMAN HUAMAN DANIEL</t>
        </is>
      </c>
      <c r="E46" s="301" t="inlineStr">
        <is>
          <t>DNI</t>
        </is>
      </c>
      <c r="F46" s="301" t="inlineStr">
        <is>
          <t>33416278</t>
        </is>
      </c>
      <c r="G46" s="331" t="n">
        <v>45908</v>
      </c>
      <c r="H46" s="301" t="inlineStr">
        <is>
          <t>4905</t>
        </is>
      </c>
      <c r="I46" s="332">
        <f>IFERROR(VLOOKUP(TEXT(H46,"0"),IPRESS!$A$3:$B$212,2,0),"")</f>
        <v/>
      </c>
      <c r="J46" s="301" t="inlineStr">
        <is>
          <t>4838</t>
        </is>
      </c>
      <c r="K46" s="332">
        <f>IFERROR(VLOOKUP(TEXT(O46,"0"),CONDUCTORES!$A$3:$G$100,7,0),"")</f>
        <v/>
      </c>
      <c r="L46" s="245" t="n">
        <v>18.18</v>
      </c>
      <c r="M46" s="245" t="n">
        <v>8</v>
      </c>
      <c r="N46" s="333">
        <f>IFERROR(IF(L46*M46=0,"",L46*M46),"")</f>
        <v/>
      </c>
      <c r="O46" s="280" t="n"/>
      <c r="P46" s="332">
        <f>IFERROR(VLOOKUP(TEXT(O46,"0"),CONDUCTORES!$A$3:$G$100,2,0),"")</f>
        <v/>
      </c>
      <c r="Q46" s="332">
        <f>IFERROR(VLOOKUP(TEXT(O46,"0"),CONDUCTORES!$A$3:$H$100,6,0),"")</f>
        <v/>
      </c>
      <c r="R46" s="331" t="n">
        <v>45957</v>
      </c>
      <c r="S46" s="302" t="inlineStr">
        <is>
          <t>J90X,J13X,I110,I10X</t>
        </is>
      </c>
      <c r="T46" s="301" t="n"/>
      <c r="U46" s="334" t="n"/>
      <c r="V46" s="301" t="n"/>
      <c r="W46" s="301" t="n"/>
      <c r="X46" s="301" t="n"/>
      <c r="Y46" s="280" t="n"/>
    </row>
    <row r="47" ht="15.75" customHeight="1" s="195">
      <c r="A47" s="241" t="n">
        <v>37</v>
      </c>
      <c r="B47" s="305" t="inlineStr">
        <is>
          <t>00000020</t>
        </is>
      </c>
      <c r="C47" s="241" t="inlineStr">
        <is>
          <t>REGION</t>
        </is>
      </c>
      <c r="D47" s="305" t="inlineStr">
        <is>
          <t>HUAMAN HUAMAN JUANA BAUTISTA</t>
        </is>
      </c>
      <c r="E47" s="241" t="inlineStr">
        <is>
          <t>DNI</t>
        </is>
      </c>
      <c r="F47" s="241" t="inlineStr">
        <is>
          <t>80301705</t>
        </is>
      </c>
      <c r="G47" s="336" t="n">
        <v>45925</v>
      </c>
      <c r="H47" s="241" t="inlineStr">
        <is>
          <t>4905</t>
        </is>
      </c>
      <c r="I47" s="332">
        <f>IFERROR(VLOOKUP(TEXT(H47,"0"),IPRESS!$A$3:$B$212,2,0),"")</f>
        <v/>
      </c>
      <c r="J47" s="241" t="inlineStr">
        <is>
          <t>4838</t>
        </is>
      </c>
      <c r="K47" s="332">
        <f>IFERROR(VLOOKUP(TEXT(O47,"0"),CONDUCTORES!$A$3:$G$100,7,0),"")</f>
        <v/>
      </c>
      <c r="L47" s="239" t="n">
        <v>18.18</v>
      </c>
      <c r="M47" s="239" t="n">
        <v>8</v>
      </c>
      <c r="N47" s="333">
        <f>IFERROR(IF(L47*M47=0,"",L47*M47),"")</f>
        <v/>
      </c>
      <c r="O47" s="334" t="n"/>
      <c r="P47" s="332">
        <f>IFERROR(VLOOKUP(TEXT(O47,"0"),CONDUCTORES!$A$3:$G$100,2,0),"")</f>
        <v/>
      </c>
      <c r="Q47" s="332">
        <f>IFERROR(VLOOKUP(TEXT(O47,"0"),CONDUCTORES!$A$3:$H$100,6,0),"")</f>
        <v/>
      </c>
      <c r="R47" s="336" t="n">
        <v>45992</v>
      </c>
      <c r="S47" s="305" t="inlineStr">
        <is>
          <t>J441</t>
        </is>
      </c>
      <c r="T47" s="241" t="n"/>
      <c r="U47" s="280" t="n"/>
      <c r="V47" s="241" t="n"/>
      <c r="W47" s="241" t="n"/>
      <c r="X47" s="241" t="n"/>
      <c r="Y47" s="280" t="n"/>
    </row>
    <row r="48" ht="15.75" customHeight="1" s="195">
      <c r="A48" s="301" t="n">
        <v>38</v>
      </c>
      <c r="B48" s="302" t="inlineStr">
        <is>
          <t>00000021</t>
        </is>
      </c>
      <c r="C48" s="301" t="inlineStr">
        <is>
          <t>REGION</t>
        </is>
      </c>
      <c r="D48" s="302" t="inlineStr">
        <is>
          <t>ROJAS LLAJA JHEMEYLITH</t>
        </is>
      </c>
      <c r="E48" s="301" t="inlineStr">
        <is>
          <t>DNI</t>
        </is>
      </c>
      <c r="F48" s="301" t="inlineStr">
        <is>
          <t>60708337</t>
        </is>
      </c>
      <c r="G48" s="331" t="n">
        <v>45925</v>
      </c>
      <c r="H48" s="301" t="inlineStr">
        <is>
          <t>4905</t>
        </is>
      </c>
      <c r="I48" s="332">
        <f>IFERROR(VLOOKUP(TEXT(H48,"0"),IPRESS!$A$3:$B$212,2,0),"")</f>
        <v/>
      </c>
      <c r="J48" s="301" t="inlineStr">
        <is>
          <t>4838</t>
        </is>
      </c>
      <c r="K48" s="332">
        <f>IFERROR(VLOOKUP(TEXT(O48,"0"),CONDUCTORES!$A$3:$G$100,7,0),"")</f>
        <v/>
      </c>
      <c r="L48" s="245" t="n">
        <v>18.18</v>
      </c>
      <c r="M48" s="245" t="n">
        <v>8</v>
      </c>
      <c r="N48" s="333">
        <f>IFERROR(IF(L48*M48=0,"",L48*M48),"")</f>
        <v/>
      </c>
      <c r="O48" s="280" t="n"/>
      <c r="P48" s="332">
        <f>IFERROR(VLOOKUP(TEXT(O48,"0"),CONDUCTORES!$A$3:$G$100,2,0),"")</f>
        <v/>
      </c>
      <c r="Q48" s="332">
        <f>IFERROR(VLOOKUP(TEXT(O48,"0"),CONDUCTORES!$A$3:$H$100,6,0),"")</f>
        <v/>
      </c>
      <c r="R48" s="331" t="n">
        <v>45992</v>
      </c>
      <c r="S48" s="302" t="inlineStr">
        <is>
          <t>O809,Z359</t>
        </is>
      </c>
      <c r="T48" s="301" t="n"/>
      <c r="U48" s="334" t="n"/>
      <c r="V48" s="301" t="n"/>
      <c r="W48" s="301" t="n"/>
      <c r="X48" s="301" t="n"/>
      <c r="Y48" s="280" t="n"/>
    </row>
    <row r="49" ht="15.75" customHeight="1" s="195">
      <c r="A49" s="241" t="n">
        <v>39</v>
      </c>
      <c r="B49" s="305" t="inlineStr">
        <is>
          <t>00000046</t>
        </is>
      </c>
      <c r="C49" s="241" t="inlineStr">
        <is>
          <t>REGION</t>
        </is>
      </c>
      <c r="D49" s="305" t="inlineStr">
        <is>
          <t>DE LA CRUZ CHUMBE, JUAN BAUTISTA</t>
        </is>
      </c>
      <c r="E49" s="241" t="inlineStr">
        <is>
          <t>DNI</t>
        </is>
      </c>
      <c r="F49" s="241" t="inlineStr">
        <is>
          <t>72238376</t>
        </is>
      </c>
      <c r="G49" s="336" t="n">
        <v>45916</v>
      </c>
      <c r="H49" s="241" t="inlineStr">
        <is>
          <t>4850</t>
        </is>
      </c>
      <c r="I49" s="332">
        <f>IFERROR(VLOOKUP(TEXT(H49,"0"),IPRESS!$A$3:$B$212,2,0),"")</f>
        <v/>
      </c>
      <c r="J49" s="241" t="inlineStr">
        <is>
          <t>4838</t>
        </is>
      </c>
      <c r="K49" s="332">
        <f>IFERROR(VLOOKUP(TEXT(O49,"0"),CONDUCTORES!$A$3:$G$100,7,0),"")</f>
        <v/>
      </c>
      <c r="L49" s="239" t="n">
        <v>18.18</v>
      </c>
      <c r="M49" s="239" t="n">
        <v>4</v>
      </c>
      <c r="N49" s="333">
        <f>IFERROR(IF(L49*M49=0,"",L49*M49),"")</f>
        <v/>
      </c>
      <c r="O49" s="334" t="n"/>
      <c r="P49" s="332">
        <f>IFERROR(VLOOKUP(TEXT(O49,"0"),CONDUCTORES!$A$3:$G$100,2,0),"")</f>
        <v/>
      </c>
      <c r="Q49" s="332">
        <f>IFERROR(VLOOKUP(TEXT(O49,"0"),CONDUCTORES!$A$3:$H$100,6,0),"")</f>
        <v/>
      </c>
      <c r="R49" s="336" t="n">
        <v>45950</v>
      </c>
      <c r="S49" s="305" t="inlineStr">
        <is>
          <t>R100,K37X</t>
        </is>
      </c>
      <c r="T49" s="241" t="n"/>
      <c r="U49" s="280" t="n"/>
      <c r="V49" s="241" t="n"/>
      <c r="W49" s="241" t="n"/>
      <c r="X49" s="241" t="n"/>
      <c r="Y49" s="280" t="n"/>
    </row>
    <row r="50" ht="15.75" customHeight="1" s="195">
      <c r="A50" s="301" t="n">
        <v>40</v>
      </c>
      <c r="B50" s="302" t="inlineStr">
        <is>
          <t>00000047</t>
        </is>
      </c>
      <c r="C50" s="301" t="inlineStr">
        <is>
          <t>REGION</t>
        </is>
      </c>
      <c r="D50" s="302" t="inlineStr">
        <is>
          <t>VALQUI GUELAC IRAIDA</t>
        </is>
      </c>
      <c r="E50" s="301" t="inlineStr">
        <is>
          <t>DNI</t>
        </is>
      </c>
      <c r="F50" s="301" t="inlineStr">
        <is>
          <t>60349373</t>
        </is>
      </c>
      <c r="G50" s="331" t="n">
        <v>45923</v>
      </c>
      <c r="H50" s="301" t="inlineStr">
        <is>
          <t>4850</t>
        </is>
      </c>
      <c r="I50" s="332">
        <f>IFERROR(VLOOKUP(TEXT(H50,"0"),IPRESS!$A$3:$B$212,2,0),"")</f>
        <v/>
      </c>
      <c r="J50" s="301" t="inlineStr">
        <is>
          <t>4838</t>
        </is>
      </c>
      <c r="K50" s="332">
        <f>IFERROR(VLOOKUP(TEXT(O50,"0"),CONDUCTORES!$A$3:$G$100,7,0),"")</f>
        <v/>
      </c>
      <c r="L50" s="245" t="n">
        <v>18.18</v>
      </c>
      <c r="M50" s="245" t="n">
        <v>4</v>
      </c>
      <c r="N50" s="333">
        <f>IFERROR(IF(L50*M50=0,"",L50*M50),"")</f>
        <v/>
      </c>
      <c r="O50" s="280" t="n"/>
      <c r="P50" s="332">
        <f>IFERROR(VLOOKUP(TEXT(O50,"0"),CONDUCTORES!$A$3:$G$100,2,0),"")</f>
        <v/>
      </c>
      <c r="Q50" s="332">
        <f>IFERROR(VLOOKUP(TEXT(O50,"0"),CONDUCTORES!$A$3:$H$100,6,0),"")</f>
        <v/>
      </c>
      <c r="R50" s="331" t="n">
        <v>45987</v>
      </c>
      <c r="S50" s="302" t="inlineStr">
        <is>
          <t>O200</t>
        </is>
      </c>
      <c r="T50" s="301" t="n"/>
      <c r="U50" s="334" t="n"/>
      <c r="V50" s="301" t="inlineStr">
        <is>
          <t>5989-2025</t>
        </is>
      </c>
      <c r="W50" s="301" t="inlineStr">
        <is>
          <t>CONTRATO N° 001-2025</t>
        </is>
      </c>
      <c r="X50" s="301" t="inlineStr">
        <is>
          <t>266.0</t>
        </is>
      </c>
      <c r="Y50" s="280" t="n"/>
    </row>
    <row r="51" ht="15.75" customHeight="1" s="195">
      <c r="A51" s="241" t="n">
        <v>41</v>
      </c>
      <c r="B51" s="305" t="inlineStr">
        <is>
          <t>00000048</t>
        </is>
      </c>
      <c r="C51" s="241" t="inlineStr">
        <is>
          <t>REGION</t>
        </is>
      </c>
      <c r="D51" s="305" t="inlineStr">
        <is>
          <t>GOMEZ YNGA MATEO</t>
        </is>
      </c>
      <c r="E51" s="241" t="inlineStr">
        <is>
          <t>DNI</t>
        </is>
      </c>
      <c r="F51" s="241" t="inlineStr">
        <is>
          <t>33793229</t>
        </is>
      </c>
      <c r="G51" s="336" t="n">
        <v>45927</v>
      </c>
      <c r="H51" s="241" t="inlineStr">
        <is>
          <t>4850</t>
        </is>
      </c>
      <c r="I51" s="332">
        <f>IFERROR(VLOOKUP(TEXT(H51,"0"),IPRESS!$A$3:$B$212,2,0),"")</f>
        <v/>
      </c>
      <c r="J51" s="241" t="inlineStr">
        <is>
          <t>4838</t>
        </is>
      </c>
      <c r="K51" s="332">
        <f>IFERROR(VLOOKUP(TEXT(O51,"0"),CONDUCTORES!$A$3:$G$100,7,0),"")</f>
        <v/>
      </c>
      <c r="L51" s="239" t="n">
        <v>18.18</v>
      </c>
      <c r="M51" s="239" t="n">
        <v>4</v>
      </c>
      <c r="N51" s="333">
        <f>IFERROR(IF(L51*M51=0,"",L51*M51),"")</f>
        <v/>
      </c>
      <c r="O51" s="334" t="n"/>
      <c r="P51" s="332">
        <f>IFERROR(VLOOKUP(TEXT(O51,"0"),CONDUCTORES!$A$3:$G$100,2,0),"")</f>
        <v/>
      </c>
      <c r="Q51" s="332">
        <f>IFERROR(VLOOKUP(TEXT(O51,"0"),CONDUCTORES!$A$3:$H$100,6,0),"")</f>
        <v/>
      </c>
      <c r="R51" s="336" t="n">
        <v>45987</v>
      </c>
      <c r="S51" s="305" t="inlineStr">
        <is>
          <t>K566</t>
        </is>
      </c>
      <c r="T51" s="241" t="n"/>
      <c r="U51" s="280" t="n"/>
      <c r="V51" s="241" t="inlineStr">
        <is>
          <t>5989-2025</t>
        </is>
      </c>
      <c r="W51" s="241" t="inlineStr">
        <is>
          <t>CONTRATO N° 001-2025</t>
        </is>
      </c>
      <c r="X51" s="241" t="inlineStr">
        <is>
          <t>266.0</t>
        </is>
      </c>
      <c r="Y51" s="280" t="n"/>
    </row>
    <row r="52" ht="15.75" customHeight="1" s="195">
      <c r="A52" s="301" t="n">
        <v>42</v>
      </c>
      <c r="B52" s="302" t="inlineStr">
        <is>
          <t>00000049</t>
        </is>
      </c>
      <c r="C52" s="301" t="inlineStr">
        <is>
          <t>REGION</t>
        </is>
      </c>
      <c r="D52" s="302" t="inlineStr">
        <is>
          <t>MENDOZA CHUQUIZUTA BERTA</t>
        </is>
      </c>
      <c r="E52" s="301" t="inlineStr">
        <is>
          <t>DNI</t>
        </is>
      </c>
      <c r="F52" s="301" t="inlineStr">
        <is>
          <t>33808515</t>
        </is>
      </c>
      <c r="G52" s="331" t="n">
        <v>45929</v>
      </c>
      <c r="H52" s="301" t="inlineStr">
        <is>
          <t>4850</t>
        </is>
      </c>
      <c r="I52" s="332">
        <f>IFERROR(VLOOKUP(TEXT(H52,"0"),IPRESS!$A$3:$B$212,2,0),"")</f>
        <v/>
      </c>
      <c r="J52" s="301" t="inlineStr">
        <is>
          <t>4838</t>
        </is>
      </c>
      <c r="K52" s="332">
        <f>IFERROR(VLOOKUP(TEXT(O52,"0"),CONDUCTORES!$A$3:$G$100,7,0),"")</f>
        <v/>
      </c>
      <c r="L52" s="245" t="n">
        <v>18.18</v>
      </c>
      <c r="M52" s="245" t="n">
        <v>4</v>
      </c>
      <c r="N52" s="333">
        <f>IFERROR(IF(L52*M52=0,"",L52*M52),"")</f>
        <v/>
      </c>
      <c r="O52" s="280" t="n"/>
      <c r="P52" s="332">
        <f>IFERROR(VLOOKUP(TEXT(O52,"0"),CONDUCTORES!$A$3:$G$100,2,0),"")</f>
        <v/>
      </c>
      <c r="Q52" s="332">
        <f>IFERROR(VLOOKUP(TEXT(O52,"0"),CONDUCTORES!$A$3:$H$100,6,0),"")</f>
        <v/>
      </c>
      <c r="R52" s="331" t="n">
        <v>45987</v>
      </c>
      <c r="S52" s="302" t="inlineStr">
        <is>
          <t>T600</t>
        </is>
      </c>
      <c r="T52" s="301" t="n"/>
      <c r="U52" s="334" t="n"/>
      <c r="V52" s="301" t="inlineStr">
        <is>
          <t>5989-2025</t>
        </is>
      </c>
      <c r="W52" s="301" t="inlineStr">
        <is>
          <t>CONTRATO N° 001-2025</t>
        </is>
      </c>
      <c r="X52" s="301" t="inlineStr">
        <is>
          <t>266.0</t>
        </is>
      </c>
      <c r="Y52" s="280" t="n"/>
    </row>
    <row r="53" ht="15.75" customHeight="1" s="195">
      <c r="A53" s="241" t="n">
        <v>43</v>
      </c>
      <c r="B53" s="305" t="inlineStr">
        <is>
          <t>00000039</t>
        </is>
      </c>
      <c r="C53" s="241" t="inlineStr">
        <is>
          <t>REGION</t>
        </is>
      </c>
      <c r="D53" s="305" t="inlineStr">
        <is>
          <t>HUAMAN DE MEDINA MARIA ASUNTA</t>
        </is>
      </c>
      <c r="E53" s="241" t="inlineStr">
        <is>
          <t>DNI</t>
        </is>
      </c>
      <c r="F53" s="241" t="inlineStr">
        <is>
          <t>33417527</t>
        </is>
      </c>
      <c r="G53" s="336" t="n">
        <v>45921</v>
      </c>
      <c r="H53" s="241" t="inlineStr">
        <is>
          <t>4859</t>
        </is>
      </c>
      <c r="I53" s="332">
        <f>IFERROR(VLOOKUP(TEXT(H53,"0"),IPRESS!$A$3:$B$212,2,0),"")</f>
        <v/>
      </c>
      <c r="J53" s="241" t="inlineStr">
        <is>
          <t>4838</t>
        </is>
      </c>
      <c r="K53" s="332">
        <f>IFERROR(VLOOKUP(TEXT(O53,"0"),CONDUCTORES!$A$3:$G$100,7,0),"")</f>
        <v/>
      </c>
      <c r="L53" s="239" t="n">
        <v>18.18</v>
      </c>
      <c r="M53" s="239" t="n">
        <v>7.5</v>
      </c>
      <c r="N53" s="333">
        <f>IFERROR(IF(L53*M53=0,"",L53*M53),"")</f>
        <v/>
      </c>
      <c r="O53" s="334" t="n"/>
      <c r="P53" s="332">
        <f>IFERROR(VLOOKUP(TEXT(O53,"0"),CONDUCTORES!$A$3:$G$100,2,0),"")</f>
        <v/>
      </c>
      <c r="Q53" s="332">
        <f>IFERROR(VLOOKUP(TEXT(O53,"0"),CONDUCTORES!$A$3:$H$100,6,0),"")</f>
        <v/>
      </c>
      <c r="R53" s="336" t="n">
        <v>45987</v>
      </c>
      <c r="S53" s="305" t="inlineStr">
        <is>
          <t>I679,I10X</t>
        </is>
      </c>
      <c r="T53" s="241" t="n"/>
      <c r="U53" s="280" t="n"/>
      <c r="V53" s="241" t="inlineStr">
        <is>
          <t>5985-2025</t>
        </is>
      </c>
      <c r="W53" s="241" t="inlineStr">
        <is>
          <t>N°001-2025</t>
        </is>
      </c>
      <c r="X53" s="241" t="inlineStr">
        <is>
          <t>266.0</t>
        </is>
      </c>
      <c r="Y53" s="280" t="n"/>
    </row>
    <row r="54" ht="15.75" customHeight="1" s="195">
      <c r="A54" s="301" t="n">
        <v>44</v>
      </c>
      <c r="B54" s="302" t="inlineStr">
        <is>
          <t>00000040</t>
        </is>
      </c>
      <c r="C54" s="301" t="inlineStr">
        <is>
          <t>REGION</t>
        </is>
      </c>
      <c r="D54" s="302" t="inlineStr">
        <is>
          <t>LLANOS ROCHA ZENAIDA</t>
        </is>
      </c>
      <c r="E54" s="301" t="inlineStr">
        <is>
          <t>DNI</t>
        </is>
      </c>
      <c r="F54" s="301" t="inlineStr">
        <is>
          <t>48353633</t>
        </is>
      </c>
      <c r="G54" s="331" t="n">
        <v>45927</v>
      </c>
      <c r="H54" s="301" t="inlineStr">
        <is>
          <t>4859</t>
        </is>
      </c>
      <c r="I54" s="332">
        <f>IFERROR(VLOOKUP(TEXT(H54,"0"),IPRESS!$A$3:$B$212,2,0),"")</f>
        <v/>
      </c>
      <c r="J54" s="301" t="inlineStr">
        <is>
          <t>4838</t>
        </is>
      </c>
      <c r="K54" s="332">
        <f>IFERROR(VLOOKUP(TEXT(O54,"0"),CONDUCTORES!$A$3:$G$100,7,0),"")</f>
        <v/>
      </c>
      <c r="L54" s="245" t="n">
        <v>18.18</v>
      </c>
      <c r="M54" s="245" t="n">
        <v>7.5</v>
      </c>
      <c r="N54" s="333">
        <f>IFERROR(IF(L54*M54=0,"",L54*M54),"")</f>
        <v/>
      </c>
      <c r="O54" s="280" t="n"/>
      <c r="P54" s="332">
        <f>IFERROR(VLOOKUP(TEXT(O54,"0"),CONDUCTORES!$A$3:$G$100,2,0),"")</f>
        <v/>
      </c>
      <c r="Q54" s="332">
        <f>IFERROR(VLOOKUP(TEXT(O54,"0"),CONDUCTORES!$A$3:$H$100,6,0),"")</f>
        <v/>
      </c>
      <c r="R54" s="331" t="n">
        <v>45987</v>
      </c>
      <c r="S54" s="302" t="inlineStr">
        <is>
          <t>R101,N835,K359</t>
        </is>
      </c>
      <c r="T54" s="301" t="n"/>
      <c r="U54" s="334" t="n"/>
      <c r="V54" s="301" t="inlineStr">
        <is>
          <t>5985-2025</t>
        </is>
      </c>
      <c r="W54" s="301" t="inlineStr">
        <is>
          <t>N°001-2025</t>
        </is>
      </c>
      <c r="X54" s="301" t="inlineStr">
        <is>
          <t>266.0</t>
        </is>
      </c>
      <c r="Y54" s="280" t="n"/>
    </row>
    <row r="55" ht="15.75" customHeight="1" s="195">
      <c r="A55" s="241" t="n">
        <v>45</v>
      </c>
      <c r="B55" s="305" t="inlineStr">
        <is>
          <t>00000041</t>
        </is>
      </c>
      <c r="C55" s="241" t="inlineStr">
        <is>
          <t>REGION</t>
        </is>
      </c>
      <c r="D55" s="305" t="inlineStr">
        <is>
          <t>SANTILLAN MARIN YUNSU YAMILETH</t>
        </is>
      </c>
      <c r="E55" s="241" t="inlineStr">
        <is>
          <t>DNI</t>
        </is>
      </c>
      <c r="F55" s="241" t="inlineStr">
        <is>
          <t>78545006</t>
        </is>
      </c>
      <c r="G55" s="336" t="n">
        <v>45930</v>
      </c>
      <c r="H55" s="241" t="inlineStr">
        <is>
          <t>4859</t>
        </is>
      </c>
      <c r="I55" s="332">
        <f>IFERROR(VLOOKUP(TEXT(H55,"0"),IPRESS!$A$3:$B$212,2,0),"")</f>
        <v/>
      </c>
      <c r="J55" s="241" t="inlineStr">
        <is>
          <t>4838</t>
        </is>
      </c>
      <c r="K55" s="332">
        <f>IFERROR(VLOOKUP(TEXT(O55,"0"),CONDUCTORES!$A$3:$G$100,7,0),"")</f>
        <v/>
      </c>
      <c r="L55" s="239" t="n">
        <v>18.18</v>
      </c>
      <c r="M55" s="239" t="n">
        <v>7.5</v>
      </c>
      <c r="N55" s="333">
        <f>IFERROR(IF(L55*M55=0,"",L55*M55),"")</f>
        <v/>
      </c>
      <c r="O55" s="334" t="n"/>
      <c r="P55" s="332">
        <f>IFERROR(VLOOKUP(TEXT(O55,"0"),CONDUCTORES!$A$3:$G$100,2,0),"")</f>
        <v/>
      </c>
      <c r="Q55" s="332">
        <f>IFERROR(VLOOKUP(TEXT(O55,"0"),CONDUCTORES!$A$3:$H$100,6,0),"")</f>
        <v/>
      </c>
      <c r="R55" s="336" t="n">
        <v>45987</v>
      </c>
      <c r="S55" s="305" t="inlineStr">
        <is>
          <t>T638,M796</t>
        </is>
      </c>
      <c r="T55" s="241" t="n"/>
      <c r="U55" s="280" t="n"/>
      <c r="V55" s="241" t="inlineStr">
        <is>
          <t>5985-2025</t>
        </is>
      </c>
      <c r="W55" s="241" t="inlineStr">
        <is>
          <t>N°001-2025</t>
        </is>
      </c>
      <c r="X55" s="241" t="inlineStr">
        <is>
          <t>266.0</t>
        </is>
      </c>
      <c r="Y55" s="280" t="n"/>
    </row>
    <row r="56" ht="15.75" customHeight="1" s="195">
      <c r="A56" s="301" t="n">
        <v>46</v>
      </c>
      <c r="B56" s="302" t="inlineStr">
        <is>
          <t>00000059</t>
        </is>
      </c>
      <c r="C56" s="301" t="inlineStr">
        <is>
          <t>REGION</t>
        </is>
      </c>
      <c r="D56" s="302" t="inlineStr">
        <is>
          <t>TRUJILLO REYNA ELIAN GISSELA</t>
        </is>
      </c>
      <c r="E56" s="301" t="inlineStr">
        <is>
          <t>DNI</t>
        </is>
      </c>
      <c r="F56" s="301" t="inlineStr">
        <is>
          <t>74607476</t>
        </is>
      </c>
      <c r="G56" s="331" t="n">
        <v>45901</v>
      </c>
      <c r="H56" s="301" t="inlineStr">
        <is>
          <t>4866</t>
        </is>
      </c>
      <c r="I56" s="332">
        <f>IFERROR(VLOOKUP(TEXT(H56,"0"),IPRESS!$A$3:$B$212,2,0),"")</f>
        <v/>
      </c>
      <c r="J56" s="301" t="inlineStr">
        <is>
          <t>4838</t>
        </is>
      </c>
      <c r="K56" s="332">
        <f>IFERROR(VLOOKUP(TEXT(O56,"0"),CONDUCTORES!$A$3:$G$100,7,0),"")</f>
        <v/>
      </c>
      <c r="L56" s="245" t="n">
        <v>18.18</v>
      </c>
      <c r="M56" s="245" t="n">
        <v>4</v>
      </c>
      <c r="N56" s="333">
        <f>IFERROR(IF(L56*M56=0,"",L56*M56),"")</f>
        <v/>
      </c>
      <c r="O56" s="280" t="n"/>
      <c r="P56" s="332">
        <f>IFERROR(VLOOKUP(TEXT(O56,"0"),CONDUCTORES!$A$3:$G$100,2,0),"")</f>
        <v/>
      </c>
      <c r="Q56" s="332">
        <f>IFERROR(VLOOKUP(TEXT(O56,"0"),CONDUCTORES!$A$3:$H$100,6,0),"")</f>
        <v/>
      </c>
      <c r="R56" s="331" t="n">
        <v>45967</v>
      </c>
      <c r="S56" s="302" t="inlineStr">
        <is>
          <t>O60X</t>
        </is>
      </c>
      <c r="T56" s="301" t="n"/>
      <c r="U56" s="334" t="n"/>
      <c r="V56" s="301" t="n"/>
      <c r="W56" s="301" t="n"/>
      <c r="X56" s="301" t="n"/>
      <c r="Y56" s="280" t="n"/>
    </row>
    <row r="57" ht="15.75" customHeight="1" s="195">
      <c r="A57" s="241" t="n">
        <v>47</v>
      </c>
      <c r="B57" s="305" t="inlineStr">
        <is>
          <t>00000060</t>
        </is>
      </c>
      <c r="C57" s="241" t="inlineStr">
        <is>
          <t>REGION</t>
        </is>
      </c>
      <c r="D57" s="305" t="inlineStr">
        <is>
          <t>CHUQUIZUTA COMECA LIA KALESSY SOFIA</t>
        </is>
      </c>
      <c r="E57" s="241" t="inlineStr">
        <is>
          <t>DNI</t>
        </is>
      </c>
      <c r="F57" s="241" t="inlineStr">
        <is>
          <t>93333355</t>
        </is>
      </c>
      <c r="G57" s="336" t="n">
        <v>45901</v>
      </c>
      <c r="H57" s="241" t="inlineStr">
        <is>
          <t>4866</t>
        </is>
      </c>
      <c r="I57" s="332">
        <f>IFERROR(VLOOKUP(TEXT(H57,"0"),IPRESS!$A$3:$B$212,2,0),"")</f>
        <v/>
      </c>
      <c r="J57" s="241" t="inlineStr">
        <is>
          <t>4838</t>
        </is>
      </c>
      <c r="K57" s="332">
        <f>IFERROR(VLOOKUP(TEXT(O57,"0"),CONDUCTORES!$A$3:$G$100,7,0),"")</f>
        <v/>
      </c>
      <c r="L57" s="239" t="n">
        <v>18.18</v>
      </c>
      <c r="M57" s="239" t="n">
        <v>4</v>
      </c>
      <c r="N57" s="333">
        <f>IFERROR(IF(L57*M57=0,"",L57*M57),"")</f>
        <v/>
      </c>
      <c r="O57" s="334" t="n"/>
      <c r="P57" s="332">
        <f>IFERROR(VLOOKUP(TEXT(O57,"0"),CONDUCTORES!$A$3:$G$100,2,0),"")</f>
        <v/>
      </c>
      <c r="Q57" s="332">
        <f>IFERROR(VLOOKUP(TEXT(O57,"0"),CONDUCTORES!$A$3:$H$100,6,0),"")</f>
        <v/>
      </c>
      <c r="R57" s="336" t="n">
        <v>45967</v>
      </c>
      <c r="S57" s="305" t="inlineStr">
        <is>
          <t>J969,J159</t>
        </is>
      </c>
      <c r="T57" s="241" t="n"/>
      <c r="U57" s="280" t="n"/>
      <c r="V57" s="241" t="n"/>
      <c r="W57" s="241" t="n"/>
      <c r="X57" s="241" t="n"/>
      <c r="Y57" s="280" t="n"/>
    </row>
    <row r="58" ht="15.75" customHeight="1" s="195">
      <c r="A58" s="301" t="n">
        <v>48</v>
      </c>
      <c r="B58" s="302" t="inlineStr">
        <is>
          <t>00000061</t>
        </is>
      </c>
      <c r="C58" s="301" t="inlineStr">
        <is>
          <t>REGION</t>
        </is>
      </c>
      <c r="D58" s="302" t="inlineStr">
        <is>
          <t>JARA PEREZ CALIXTO</t>
        </is>
      </c>
      <c r="E58" s="301" t="inlineStr">
        <is>
          <t>DNI</t>
        </is>
      </c>
      <c r="F58" s="301" t="inlineStr">
        <is>
          <t>80347512</t>
        </is>
      </c>
      <c r="G58" s="331" t="n">
        <v>45902</v>
      </c>
      <c r="H58" s="301" t="inlineStr">
        <is>
          <t>4866</t>
        </is>
      </c>
      <c r="I58" s="332">
        <f>IFERROR(VLOOKUP(TEXT(H58,"0"),IPRESS!$A$3:$B$212,2,0),"")</f>
        <v/>
      </c>
      <c r="J58" s="301" t="inlineStr">
        <is>
          <t>4838</t>
        </is>
      </c>
      <c r="K58" s="332">
        <f>IFERROR(VLOOKUP(TEXT(O58,"0"),CONDUCTORES!$A$3:$G$100,7,0),"")</f>
        <v/>
      </c>
      <c r="L58" s="245" t="n">
        <v>18.18</v>
      </c>
      <c r="M58" s="245" t="n">
        <v>4</v>
      </c>
      <c r="N58" s="333">
        <f>IFERROR(IF(L58*M58=0,"",L58*M58),"")</f>
        <v/>
      </c>
      <c r="O58" s="280" t="n"/>
      <c r="P58" s="332">
        <f>IFERROR(VLOOKUP(TEXT(O58,"0"),CONDUCTORES!$A$3:$G$100,2,0),"")</f>
        <v/>
      </c>
      <c r="Q58" s="332">
        <f>IFERROR(VLOOKUP(TEXT(O58,"0"),CONDUCTORES!$A$3:$H$100,6,0),"")</f>
        <v/>
      </c>
      <c r="R58" s="331" t="n">
        <v>45967</v>
      </c>
      <c r="S58" s="302" t="inlineStr">
        <is>
          <t>S092,S055</t>
        </is>
      </c>
      <c r="T58" s="301" t="n"/>
      <c r="U58" s="334" t="n"/>
      <c r="V58" s="301" t="n"/>
      <c r="W58" s="301" t="n"/>
      <c r="X58" s="301" t="n"/>
      <c r="Y58" s="280" t="n"/>
    </row>
    <row r="59" ht="15.75" customHeight="1" s="195">
      <c r="A59" s="241" t="n">
        <v>49</v>
      </c>
      <c r="B59" s="305" t="inlineStr">
        <is>
          <t>00000062</t>
        </is>
      </c>
      <c r="C59" s="241" t="inlineStr">
        <is>
          <t>REGION</t>
        </is>
      </c>
      <c r="D59" s="305" t="inlineStr">
        <is>
          <t>ANGELES CACHAY CARMELA</t>
        </is>
      </c>
      <c r="E59" s="241" t="inlineStr">
        <is>
          <t>DNI</t>
        </is>
      </c>
      <c r="F59" s="241" t="inlineStr">
        <is>
          <t>33404777</t>
        </is>
      </c>
      <c r="G59" s="336" t="n">
        <v>45908</v>
      </c>
      <c r="H59" s="241" t="inlineStr">
        <is>
          <t>4866</t>
        </is>
      </c>
      <c r="I59" s="332">
        <f>IFERROR(VLOOKUP(TEXT(H59,"0"),IPRESS!$A$3:$B$212,2,0),"")</f>
        <v/>
      </c>
      <c r="J59" s="241" t="inlineStr">
        <is>
          <t>4838</t>
        </is>
      </c>
      <c r="K59" s="332">
        <f>IFERROR(VLOOKUP(TEXT(O59,"0"),CONDUCTORES!$A$3:$G$100,7,0),"")</f>
        <v/>
      </c>
      <c r="L59" s="239" t="n">
        <v>18.18</v>
      </c>
      <c r="M59" s="239" t="n">
        <v>4</v>
      </c>
      <c r="N59" s="333">
        <f>IFERROR(IF(L59*M59=0,"",L59*M59),"")</f>
        <v/>
      </c>
      <c r="O59" s="334" t="n"/>
      <c r="P59" s="332">
        <f>IFERROR(VLOOKUP(TEXT(O59,"0"),CONDUCTORES!$A$3:$G$100,2,0),"")</f>
        <v/>
      </c>
      <c r="Q59" s="332">
        <f>IFERROR(VLOOKUP(TEXT(O59,"0"),CONDUCTORES!$A$3:$H$100,6,0),"")</f>
        <v/>
      </c>
      <c r="R59" s="336" t="n">
        <v>45967</v>
      </c>
      <c r="S59" s="305" t="inlineStr">
        <is>
          <t>S324,S730</t>
        </is>
      </c>
      <c r="T59" s="241" t="n"/>
      <c r="U59" s="280" t="n"/>
      <c r="V59" s="241" t="n"/>
      <c r="W59" s="241" t="n"/>
      <c r="X59" s="241" t="n"/>
      <c r="Y59" s="280" t="n"/>
    </row>
    <row r="60" ht="15.75" customHeight="1" s="195">
      <c r="A60" s="301" t="n">
        <v>50</v>
      </c>
      <c r="B60" s="302" t="inlineStr">
        <is>
          <t>00000063</t>
        </is>
      </c>
      <c r="C60" s="301" t="inlineStr">
        <is>
          <t>REGION</t>
        </is>
      </c>
      <c r="D60" s="302" t="inlineStr">
        <is>
          <t>CHAVEZ ZUTA SILVIA</t>
        </is>
      </c>
      <c r="E60" s="301" t="inlineStr">
        <is>
          <t>DNI</t>
        </is>
      </c>
      <c r="F60" s="301" t="inlineStr">
        <is>
          <t>47034651</t>
        </is>
      </c>
      <c r="G60" s="331" t="n">
        <v>45913</v>
      </c>
      <c r="H60" s="301" t="inlineStr">
        <is>
          <t>4866</t>
        </is>
      </c>
      <c r="I60" s="332">
        <f>IFERROR(VLOOKUP(TEXT(H60,"0"),IPRESS!$A$3:$B$212,2,0),"")</f>
        <v/>
      </c>
      <c r="J60" s="301" t="inlineStr">
        <is>
          <t>4838</t>
        </is>
      </c>
      <c r="K60" s="332">
        <f>IFERROR(VLOOKUP(TEXT(O60,"0"),CONDUCTORES!$A$3:$G$100,7,0),"")</f>
        <v/>
      </c>
      <c r="L60" s="245" t="n">
        <v>18.18</v>
      </c>
      <c r="M60" s="245" t="n">
        <v>4</v>
      </c>
      <c r="N60" s="333">
        <f>IFERROR(IF(L60*M60=0,"",L60*M60),"")</f>
        <v/>
      </c>
      <c r="O60" s="280" t="n"/>
      <c r="P60" s="332">
        <f>IFERROR(VLOOKUP(TEXT(O60,"0"),CONDUCTORES!$A$3:$G$100,2,0),"")</f>
        <v/>
      </c>
      <c r="Q60" s="332">
        <f>IFERROR(VLOOKUP(TEXT(O60,"0"),CONDUCTORES!$A$3:$H$100,6,0),"")</f>
        <v/>
      </c>
      <c r="R60" s="331" t="n">
        <v>45967</v>
      </c>
      <c r="S60" s="302" t="inlineStr">
        <is>
          <t>O339,O366</t>
        </is>
      </c>
      <c r="T60" s="301" t="n"/>
      <c r="U60" s="334" t="n"/>
      <c r="V60" s="301" t="n"/>
      <c r="W60" s="301" t="n"/>
      <c r="X60" s="301" t="n"/>
      <c r="Y60" s="280" t="n"/>
    </row>
    <row r="61" ht="15.75" customHeight="1" s="195">
      <c r="A61" s="241" t="n">
        <v>51</v>
      </c>
      <c r="B61" s="305" t="inlineStr">
        <is>
          <t>00000064</t>
        </is>
      </c>
      <c r="C61" s="241" t="inlineStr">
        <is>
          <t>REGION</t>
        </is>
      </c>
      <c r="D61" s="305" t="inlineStr">
        <is>
          <t>QUINTANA OLIVARES UDBELINDA</t>
        </is>
      </c>
      <c r="E61" s="241" t="inlineStr">
        <is>
          <t>DNI</t>
        </is>
      </c>
      <c r="F61" s="241" t="inlineStr">
        <is>
          <t>44226513</t>
        </is>
      </c>
      <c r="G61" s="336" t="n">
        <v>45917</v>
      </c>
      <c r="H61" s="241" t="inlineStr">
        <is>
          <t>4866</t>
        </is>
      </c>
      <c r="I61" s="332">
        <f>IFERROR(VLOOKUP(TEXT(H61,"0"),IPRESS!$A$3:$B$212,2,0),"")</f>
        <v/>
      </c>
      <c r="J61" s="241" t="inlineStr">
        <is>
          <t>4838</t>
        </is>
      </c>
      <c r="K61" s="332">
        <f>IFERROR(VLOOKUP(TEXT(O61,"0"),CONDUCTORES!$A$3:$G$100,7,0),"")</f>
        <v/>
      </c>
      <c r="L61" s="239" t="n">
        <v>18.18</v>
      </c>
      <c r="M61" s="239" t="n">
        <v>4</v>
      </c>
      <c r="N61" s="333">
        <f>IFERROR(IF(L61*M61=0,"",L61*M61),"")</f>
        <v/>
      </c>
      <c r="O61" s="334" t="n"/>
      <c r="P61" s="332">
        <f>IFERROR(VLOOKUP(TEXT(O61,"0"),CONDUCTORES!$A$3:$G$100,2,0),"")</f>
        <v/>
      </c>
      <c r="Q61" s="332">
        <f>IFERROR(VLOOKUP(TEXT(O61,"0"),CONDUCTORES!$A$3:$H$100,6,0),"")</f>
        <v/>
      </c>
      <c r="R61" s="336" t="n">
        <v>45967</v>
      </c>
      <c r="S61" s="305" t="inlineStr">
        <is>
          <t>P95X,O364</t>
        </is>
      </c>
      <c r="T61" s="241" t="n"/>
      <c r="U61" s="280" t="n"/>
      <c r="V61" s="241" t="n"/>
      <c r="W61" s="241" t="n"/>
      <c r="X61" s="241" t="n"/>
      <c r="Y61" s="280" t="n"/>
    </row>
    <row r="62" ht="15.75" customHeight="1" s="195">
      <c r="A62" s="301" t="n">
        <v>52</v>
      </c>
      <c r="B62" s="302" t="inlineStr">
        <is>
          <t>00000065</t>
        </is>
      </c>
      <c r="C62" s="301" t="inlineStr">
        <is>
          <t>REGION</t>
        </is>
      </c>
      <c r="D62" s="302" t="inlineStr">
        <is>
          <t>TRUJILLO REYNA ELIAN GISSELA</t>
        </is>
      </c>
      <c r="E62" s="301" t="inlineStr">
        <is>
          <t>DNI</t>
        </is>
      </c>
      <c r="F62" s="301" t="inlineStr">
        <is>
          <t>74607476</t>
        </is>
      </c>
      <c r="G62" s="331" t="n">
        <v>45928</v>
      </c>
      <c r="H62" s="301" t="inlineStr">
        <is>
          <t>4866</t>
        </is>
      </c>
      <c r="I62" s="332">
        <f>IFERROR(VLOOKUP(TEXT(H62,"0"),IPRESS!$A$3:$B$212,2,0),"")</f>
        <v/>
      </c>
      <c r="J62" s="301" t="inlineStr">
        <is>
          <t>4838</t>
        </is>
      </c>
      <c r="K62" s="332">
        <f>IFERROR(VLOOKUP(TEXT(O62,"0"),CONDUCTORES!$A$3:$G$100,7,0),"")</f>
        <v/>
      </c>
      <c r="L62" s="245" t="n">
        <v>18.18</v>
      </c>
      <c r="M62" s="245" t="n">
        <v>4</v>
      </c>
      <c r="N62" s="333">
        <f>IFERROR(IF(L62*M62=0,"",L62*M62),"")</f>
        <v/>
      </c>
      <c r="O62" s="280" t="n"/>
      <c r="P62" s="332">
        <f>IFERROR(VLOOKUP(TEXT(O62,"0"),CONDUCTORES!$A$3:$G$100,2,0),"")</f>
        <v/>
      </c>
      <c r="Q62" s="332">
        <f>IFERROR(VLOOKUP(TEXT(O62,"0"),CONDUCTORES!$A$3:$H$100,6,0),"")</f>
        <v/>
      </c>
      <c r="R62" s="331" t="n">
        <v>45967</v>
      </c>
      <c r="S62" s="302" t="inlineStr">
        <is>
          <t>O429</t>
        </is>
      </c>
      <c r="T62" s="301" t="n"/>
      <c r="U62" s="334" t="n"/>
      <c r="V62" s="301" t="n"/>
      <c r="W62" s="301" t="n"/>
      <c r="X62" s="301" t="n"/>
      <c r="Y62" s="280" t="n"/>
    </row>
    <row r="63" ht="15.75" customHeight="1" s="195">
      <c r="A63" s="241" t="n">
        <v>53</v>
      </c>
      <c r="B63" s="305" t="inlineStr">
        <is>
          <t>00000005</t>
        </is>
      </c>
      <c r="C63" s="241" t="inlineStr">
        <is>
          <t>REGION</t>
        </is>
      </c>
      <c r="D63" s="305" t="inlineStr">
        <is>
          <t>REVILLA MENDOZA RAMON</t>
        </is>
      </c>
      <c r="E63" s="241" t="inlineStr">
        <is>
          <t>DNI</t>
        </is>
      </c>
      <c r="F63" s="241" t="inlineStr">
        <is>
          <t>70198493</t>
        </is>
      </c>
      <c r="G63" s="336" t="n">
        <v>45911</v>
      </c>
      <c r="H63" s="241" t="inlineStr">
        <is>
          <t>4899</t>
        </is>
      </c>
      <c r="I63" s="332">
        <f>IFERROR(VLOOKUP(TEXT(H63,"0"),IPRESS!$A$3:$B$212,2,0),"")</f>
        <v/>
      </c>
      <c r="J63" s="241" t="inlineStr">
        <is>
          <t>4838</t>
        </is>
      </c>
      <c r="K63" s="332">
        <f>IFERROR(VLOOKUP(TEXT(O63,"0"),CONDUCTORES!$A$3:$G$100,7,0),"")</f>
        <v/>
      </c>
      <c r="L63" s="239" t="n">
        <v>18.18</v>
      </c>
      <c r="M63" s="239" t="n">
        <v>9</v>
      </c>
      <c r="N63" s="333">
        <f>IFERROR(IF(L63*M63=0,"",L63*M63),"")</f>
        <v/>
      </c>
      <c r="O63" s="334" t="n"/>
      <c r="P63" s="332">
        <f>IFERROR(VLOOKUP(TEXT(O63,"0"),CONDUCTORES!$A$3:$G$100,2,0),"")</f>
        <v/>
      </c>
      <c r="Q63" s="332">
        <f>IFERROR(VLOOKUP(TEXT(O63,"0"),CONDUCTORES!$A$3:$H$100,6,0),"")</f>
        <v/>
      </c>
      <c r="R63" s="336" t="n">
        <v>45987</v>
      </c>
      <c r="S63" s="305" t="inlineStr">
        <is>
          <t>I499</t>
        </is>
      </c>
      <c r="T63" s="241" t="n"/>
      <c r="U63" s="280" t="n"/>
      <c r="V63" s="241" t="inlineStr">
        <is>
          <t>6009-2025</t>
        </is>
      </c>
      <c r="W63" s="241" t="inlineStr">
        <is>
          <t>CONTRATO N°001-2025</t>
        </is>
      </c>
      <c r="X63" s="241" t="inlineStr">
        <is>
          <t>266.0</t>
        </is>
      </c>
      <c r="Y63" s="280" t="n"/>
    </row>
    <row r="64" ht="15.75" customHeight="1" s="195">
      <c r="A64" s="301" t="n">
        <v>54</v>
      </c>
      <c r="B64" s="302" t="inlineStr">
        <is>
          <t>00000006</t>
        </is>
      </c>
      <c r="C64" s="301" t="inlineStr">
        <is>
          <t>REGION</t>
        </is>
      </c>
      <c r="D64" s="302" t="inlineStr">
        <is>
          <t>LATORRE YALTA, TOMAS FLORES</t>
        </is>
      </c>
      <c r="E64" s="301" t="inlineStr">
        <is>
          <t>DNI</t>
        </is>
      </c>
      <c r="F64" s="301" t="inlineStr">
        <is>
          <t>45316120</t>
        </is>
      </c>
      <c r="G64" s="331" t="n">
        <v>45914</v>
      </c>
      <c r="H64" s="301" t="inlineStr">
        <is>
          <t>4899</t>
        </is>
      </c>
      <c r="I64" s="332">
        <f>IFERROR(VLOOKUP(TEXT(H64,"0"),IPRESS!$A$3:$B$212,2,0),"")</f>
        <v/>
      </c>
      <c r="J64" s="301" t="inlineStr">
        <is>
          <t>4838</t>
        </is>
      </c>
      <c r="K64" s="332">
        <f>IFERROR(VLOOKUP(TEXT(O64,"0"),CONDUCTORES!$A$3:$G$100,7,0),"")</f>
        <v/>
      </c>
      <c r="L64" s="245" t="n">
        <v>18.18</v>
      </c>
      <c r="M64" s="245" t="n">
        <v>9</v>
      </c>
      <c r="N64" s="333">
        <f>IFERROR(IF(L64*M64=0,"",L64*M64),"")</f>
        <v/>
      </c>
      <c r="O64" s="280" t="n"/>
      <c r="P64" s="332">
        <f>IFERROR(VLOOKUP(TEXT(O64,"0"),CONDUCTORES!$A$3:$G$100,2,0),"")</f>
        <v/>
      </c>
      <c r="Q64" s="332">
        <f>IFERROR(VLOOKUP(TEXT(O64,"0"),CONDUCTORES!$A$3:$H$100,6,0),"")</f>
        <v/>
      </c>
      <c r="R64" s="331" t="n">
        <v>45987</v>
      </c>
      <c r="S64" s="302" t="inlineStr">
        <is>
          <t>S420</t>
        </is>
      </c>
      <c r="T64" s="301" t="n"/>
      <c r="U64" s="334" t="n"/>
      <c r="V64" s="301" t="inlineStr">
        <is>
          <t>6009-2025</t>
        </is>
      </c>
      <c r="W64" s="301" t="inlineStr">
        <is>
          <t>CONTRATO N°001-2025</t>
        </is>
      </c>
      <c r="X64" s="301" t="inlineStr">
        <is>
          <t>266.0</t>
        </is>
      </c>
      <c r="Y64" s="280" t="n"/>
    </row>
    <row r="65" ht="15.75" customHeight="1" s="195">
      <c r="A65" s="241" t="n">
        <v>55</v>
      </c>
      <c r="B65" s="305" t="inlineStr">
        <is>
          <t>00000007</t>
        </is>
      </c>
      <c r="C65" s="241" t="inlineStr">
        <is>
          <t>REGION</t>
        </is>
      </c>
      <c r="D65" s="305" t="inlineStr">
        <is>
          <t>GARRIDO MONTENEGRO RAFAEL</t>
        </is>
      </c>
      <c r="E65" s="241" t="inlineStr">
        <is>
          <t>DNI</t>
        </is>
      </c>
      <c r="F65" s="241" t="inlineStr">
        <is>
          <t>33794114</t>
        </is>
      </c>
      <c r="G65" s="336" t="n">
        <v>45919</v>
      </c>
      <c r="H65" s="241" t="inlineStr">
        <is>
          <t>4899</t>
        </is>
      </c>
      <c r="I65" s="332">
        <f>IFERROR(VLOOKUP(TEXT(H65,"0"),IPRESS!$A$3:$B$212,2,0),"")</f>
        <v/>
      </c>
      <c r="J65" s="241" t="inlineStr">
        <is>
          <t>4838</t>
        </is>
      </c>
      <c r="K65" s="332">
        <f>IFERROR(VLOOKUP(TEXT(O65,"0"),CONDUCTORES!$A$3:$G$100,7,0),"")</f>
        <v/>
      </c>
      <c r="L65" s="239" t="n">
        <v>18.18</v>
      </c>
      <c r="M65" s="239" t="n">
        <v>9</v>
      </c>
      <c r="N65" s="333">
        <f>IFERROR(IF(L65*M65=0,"",L65*M65),"")</f>
        <v/>
      </c>
      <c r="O65" s="334" t="n"/>
      <c r="P65" s="332">
        <f>IFERROR(VLOOKUP(TEXT(O65,"0"),CONDUCTORES!$A$3:$G$100,2,0),"")</f>
        <v/>
      </c>
      <c r="Q65" s="332">
        <f>IFERROR(VLOOKUP(TEXT(O65,"0"),CONDUCTORES!$A$3:$H$100,6,0),"")</f>
        <v/>
      </c>
      <c r="R65" s="336" t="n">
        <v>45987</v>
      </c>
      <c r="S65" s="305" t="inlineStr">
        <is>
          <t>K566</t>
        </is>
      </c>
      <c r="T65" s="241" t="n"/>
      <c r="U65" s="280" t="n"/>
      <c r="V65" s="241" t="inlineStr">
        <is>
          <t>6009-2025</t>
        </is>
      </c>
      <c r="W65" s="241" t="inlineStr">
        <is>
          <t>CONTRATO N°001-2025</t>
        </is>
      </c>
      <c r="X65" s="241" t="inlineStr">
        <is>
          <t>266.0</t>
        </is>
      </c>
      <c r="Y65" s="280" t="n"/>
    </row>
    <row r="66" ht="15.75" customHeight="1" s="195">
      <c r="A66" s="301" t="n">
        <v>56</v>
      </c>
      <c r="B66" s="302" t="inlineStr">
        <is>
          <t>00000008</t>
        </is>
      </c>
      <c r="C66" s="301" t="inlineStr">
        <is>
          <t>REGION</t>
        </is>
      </c>
      <c r="D66" s="302" t="inlineStr">
        <is>
          <t>ZUMAETA TRIGOSO FRANCISCO JABIER</t>
        </is>
      </c>
      <c r="E66" s="301" t="inlineStr">
        <is>
          <t>DNI</t>
        </is>
      </c>
      <c r="F66" s="301" t="inlineStr">
        <is>
          <t>33794088</t>
        </is>
      </c>
      <c r="G66" s="331" t="n">
        <v>45921</v>
      </c>
      <c r="H66" s="301" t="inlineStr">
        <is>
          <t>4899</t>
        </is>
      </c>
      <c r="I66" s="332">
        <f>IFERROR(VLOOKUP(TEXT(H66,"0"),IPRESS!$A$3:$B$212,2,0),"")</f>
        <v/>
      </c>
      <c r="J66" s="301" t="inlineStr">
        <is>
          <t>4838</t>
        </is>
      </c>
      <c r="K66" s="332">
        <f>IFERROR(VLOOKUP(TEXT(O66,"0"),CONDUCTORES!$A$3:$G$100,7,0),"")</f>
        <v/>
      </c>
      <c r="L66" s="245" t="n">
        <v>18.18</v>
      </c>
      <c r="M66" s="245" t="n">
        <v>9</v>
      </c>
      <c r="N66" s="333">
        <f>IFERROR(IF(L66*M66=0,"",L66*M66),"")</f>
        <v/>
      </c>
      <c r="O66" s="280" t="n"/>
      <c r="P66" s="332">
        <f>IFERROR(VLOOKUP(TEXT(O66,"0"),CONDUCTORES!$A$3:$G$100,2,0),"")</f>
        <v/>
      </c>
      <c r="Q66" s="332">
        <f>IFERROR(VLOOKUP(TEXT(O66,"0"),CONDUCTORES!$A$3:$H$100,6,0),"")</f>
        <v/>
      </c>
      <c r="R66" s="331" t="n">
        <v>45987</v>
      </c>
      <c r="S66" s="302" t="inlineStr">
        <is>
          <t>I64X</t>
        </is>
      </c>
      <c r="T66" s="301" t="n"/>
      <c r="U66" s="334" t="n"/>
      <c r="V66" s="301" t="inlineStr">
        <is>
          <t>6009-2025</t>
        </is>
      </c>
      <c r="W66" s="301" t="inlineStr">
        <is>
          <t>CONTRATO N°001-2025</t>
        </is>
      </c>
      <c r="X66" s="301" t="inlineStr">
        <is>
          <t>266.0</t>
        </is>
      </c>
      <c r="Y66" s="280" t="n"/>
    </row>
    <row r="67" ht="15.75" customHeight="1" s="195">
      <c r="A67" s="337" t="n">
        <v>57</v>
      </c>
      <c r="B67" s="338" t="inlineStr">
        <is>
          <t>00000011</t>
        </is>
      </c>
      <c r="C67" s="337" t="inlineStr">
        <is>
          <t>REGION</t>
        </is>
      </c>
      <c r="D67" s="338" t="inlineStr">
        <is>
          <t>DEZA MARIN MARIA ELENA</t>
        </is>
      </c>
      <c r="E67" s="337" t="inlineStr">
        <is>
          <t>DNI</t>
        </is>
      </c>
      <c r="F67" s="337" t="inlineStr">
        <is>
          <t>48420227</t>
        </is>
      </c>
      <c r="G67" s="339" t="n">
        <v>45914</v>
      </c>
      <c r="H67" s="337" t="inlineStr">
        <is>
          <t>4869</t>
        </is>
      </c>
      <c r="I67" s="332">
        <f>IFERROR(VLOOKUP(TEXT(H67,"0"),IPRESS!$A$3:$B$212,2,0),"")</f>
        <v/>
      </c>
      <c r="J67" s="337" t="inlineStr">
        <is>
          <t>4838</t>
        </is>
      </c>
      <c r="K67" s="332">
        <f>IFERROR(VLOOKUP(TEXT(O67,"0"),CONDUCTORES!$A$3:$G$100,7,0),"")</f>
        <v/>
      </c>
      <c r="L67" s="340" t="n">
        <v>17.95</v>
      </c>
      <c r="M67" s="340" t="n">
        <v>8</v>
      </c>
      <c r="N67" s="333">
        <f>IFERROR(IF(L67*M67=0,"",L67*M67),"")</f>
        <v/>
      </c>
      <c r="O67" s="334" t="n"/>
      <c r="P67" s="332">
        <f>IFERROR(VLOOKUP(TEXT(O67,"0"),CONDUCTORES!$A$3:$G$100,2,0),"")</f>
        <v/>
      </c>
      <c r="Q67" s="332">
        <f>IFERROR(VLOOKUP(TEXT(O67,"0"),CONDUCTORES!$A$3:$H$100,6,0),"")</f>
        <v/>
      </c>
      <c r="R67" s="339" t="n">
        <v>45987</v>
      </c>
      <c r="S67" s="338" t="inlineStr">
        <is>
          <t>Z348,O342</t>
        </is>
      </c>
      <c r="T67" s="337" t="n"/>
      <c r="U67" s="341" t="n"/>
      <c r="V67" s="337" t="inlineStr">
        <is>
          <t>6007-2025</t>
        </is>
      </c>
      <c r="W67" s="337" t="inlineStr">
        <is>
          <t>877.0</t>
        </is>
      </c>
      <c r="X67" s="337" t="inlineStr">
        <is>
          <t>489.0</t>
        </is>
      </c>
      <c r="Y67" s="280" t="n"/>
    </row>
    <row r="68" ht="15.75" customHeight="1" s="195">
      <c r="A68" s="337" t="n">
        <v>58</v>
      </c>
      <c r="B68" s="338" t="inlineStr">
        <is>
          <t>00000012</t>
        </is>
      </c>
      <c r="C68" s="337" t="inlineStr">
        <is>
          <t>REGION</t>
        </is>
      </c>
      <c r="D68" s="338" t="inlineStr">
        <is>
          <t>CONGO HUALANCHO MARICEL</t>
        </is>
      </c>
      <c r="E68" s="337" t="inlineStr">
        <is>
          <t>DNI</t>
        </is>
      </c>
      <c r="F68" s="337" t="inlineStr">
        <is>
          <t>73048259</t>
        </is>
      </c>
      <c r="G68" s="339" t="n">
        <v>45928</v>
      </c>
      <c r="H68" s="337" t="inlineStr">
        <is>
          <t>4869</t>
        </is>
      </c>
      <c r="I68" s="332">
        <f>IFERROR(VLOOKUP(TEXT(H68,"0"),IPRESS!$A$3:$B$212,2,0),"")</f>
        <v/>
      </c>
      <c r="J68" s="337" t="inlineStr">
        <is>
          <t>4838</t>
        </is>
      </c>
      <c r="K68" s="332">
        <f>IFERROR(VLOOKUP(TEXT(O68,"0"),CONDUCTORES!$A$3:$G$100,7,0),"")</f>
        <v/>
      </c>
      <c r="L68" s="340" t="n">
        <v>17.95</v>
      </c>
      <c r="M68" s="340" t="n">
        <v>8</v>
      </c>
      <c r="N68" s="333">
        <f>IFERROR(IF(L68*M68=0,"",L68*M68),"")</f>
        <v/>
      </c>
      <c r="O68" s="280" t="n"/>
      <c r="P68" s="332">
        <f>IFERROR(VLOOKUP(TEXT(O68,"0"),CONDUCTORES!$A$3:$G$100,2,0),"")</f>
        <v/>
      </c>
      <c r="Q68" s="332">
        <f>IFERROR(VLOOKUP(TEXT(O68,"0"),CONDUCTORES!$A$3:$H$100,6,0),"")</f>
        <v/>
      </c>
      <c r="R68" s="339" t="n">
        <v>45987</v>
      </c>
      <c r="S68" s="338" t="inlineStr">
        <is>
          <t>Z359,O429</t>
        </is>
      </c>
      <c r="T68" s="337" t="n"/>
      <c r="U68" s="341" t="n"/>
      <c r="V68" s="337" t="inlineStr">
        <is>
          <t>6007-2025</t>
        </is>
      </c>
      <c r="W68" s="337" t="inlineStr">
        <is>
          <t>877.0</t>
        </is>
      </c>
      <c r="X68" s="337" t="inlineStr">
        <is>
          <t>489.0</t>
        </is>
      </c>
      <c r="Y68" s="280" t="n"/>
    </row>
    <row r="69" ht="15.75" customHeight="1" s="195">
      <c r="A69" s="241" t="n">
        <v>59</v>
      </c>
      <c r="B69" s="305" t="inlineStr">
        <is>
          <t>00000009</t>
        </is>
      </c>
      <c r="C69" s="241" t="inlineStr">
        <is>
          <t>REGION</t>
        </is>
      </c>
      <c r="D69" s="305" t="inlineStr">
        <is>
          <t>TORRES ARAUJO CARLA MIRIAM</t>
        </is>
      </c>
      <c r="E69" s="241" t="inlineStr">
        <is>
          <t>DNI</t>
        </is>
      </c>
      <c r="F69" s="241" t="inlineStr">
        <is>
          <t>75076148</t>
        </is>
      </c>
      <c r="G69" s="336" t="n">
        <v>45917</v>
      </c>
      <c r="H69" s="241" t="inlineStr">
        <is>
          <t>4946</t>
        </is>
      </c>
      <c r="I69" s="332">
        <f>IFERROR(VLOOKUP(TEXT(H69,"0"),IPRESS!$A$3:$B$212,2,0),"")</f>
        <v/>
      </c>
      <c r="J69" s="241" t="inlineStr">
        <is>
          <t>4950</t>
        </is>
      </c>
      <c r="K69" s="332">
        <f>IFERROR(VLOOKUP(TEXT(O69,"0"),CONDUCTORES!$A$3:$G$100,7,0),"")</f>
        <v/>
      </c>
      <c r="L69" s="239" t="n">
        <v>20.25</v>
      </c>
      <c r="M69" s="239" t="n">
        <v>3</v>
      </c>
      <c r="N69" s="333">
        <f>IFERROR(IF(L69*M69=0,"",L69*M69),"")</f>
        <v/>
      </c>
      <c r="O69" s="334" t="n"/>
      <c r="P69" s="332">
        <f>IFERROR(VLOOKUP(TEXT(O69,"0"),CONDUCTORES!$A$3:$G$100,2,0),"")</f>
        <v/>
      </c>
      <c r="Q69" s="332">
        <f>IFERROR(VLOOKUP(TEXT(O69,"0"),CONDUCTORES!$A$3:$H$100,6,0),"")</f>
        <v/>
      </c>
      <c r="R69" s="336" t="n">
        <v>46010</v>
      </c>
      <c r="S69" s="305" t="inlineStr">
        <is>
          <t>O600</t>
        </is>
      </c>
      <c r="T69" s="241" t="n"/>
      <c r="U69" s="280" t="n"/>
      <c r="V69" s="241" t="n"/>
      <c r="W69" s="241" t="n"/>
      <c r="X69" s="241" t="n"/>
      <c r="Y69" s="280" t="n"/>
    </row>
    <row r="70" ht="15.75" customHeight="1" s="195">
      <c r="A70" s="301" t="n">
        <v>60</v>
      </c>
      <c r="B70" s="302" t="inlineStr">
        <is>
          <t>00000010</t>
        </is>
      </c>
      <c r="C70" s="301" t="inlineStr">
        <is>
          <t>REGION</t>
        </is>
      </c>
      <c r="D70" s="302" t="inlineStr">
        <is>
          <t>CHUAN CARRANZA ARMANDO</t>
        </is>
      </c>
      <c r="E70" s="301" t="inlineStr">
        <is>
          <t>DNI</t>
        </is>
      </c>
      <c r="F70" s="301" t="inlineStr">
        <is>
          <t>33951956</t>
        </is>
      </c>
      <c r="G70" s="331" t="n">
        <v>45920</v>
      </c>
      <c r="H70" s="301" t="inlineStr">
        <is>
          <t>4946</t>
        </is>
      </c>
      <c r="I70" s="332">
        <f>IFERROR(VLOOKUP(TEXT(H70,"0"),IPRESS!$A$3:$B$212,2,0),"")</f>
        <v/>
      </c>
      <c r="J70" s="301" t="inlineStr">
        <is>
          <t>4950</t>
        </is>
      </c>
      <c r="K70" s="332">
        <f>IFERROR(VLOOKUP(TEXT(O70,"0"),CONDUCTORES!$A$3:$G$100,7,0),"")</f>
        <v/>
      </c>
      <c r="L70" s="245" t="n">
        <v>20.25</v>
      </c>
      <c r="M70" s="245" t="n">
        <v>3</v>
      </c>
      <c r="N70" s="333">
        <f>IFERROR(IF(L70*M70=0,"",L70*M70),"")</f>
        <v/>
      </c>
      <c r="O70" s="280" t="n"/>
      <c r="P70" s="332">
        <f>IFERROR(VLOOKUP(TEXT(O70,"0"),CONDUCTORES!$A$3:$G$100,2,0),"")</f>
        <v/>
      </c>
      <c r="Q70" s="332">
        <f>IFERROR(VLOOKUP(TEXT(O70,"0"),CONDUCTORES!$A$3:$H$100,6,0),"")</f>
        <v/>
      </c>
      <c r="R70" s="331" t="n">
        <v>46010</v>
      </c>
      <c r="S70" s="302" t="inlineStr">
        <is>
          <t>S61X</t>
        </is>
      </c>
      <c r="T70" s="301" t="n"/>
      <c r="U70" s="334" t="n"/>
      <c r="V70" s="301" t="n"/>
      <c r="W70" s="301" t="n"/>
      <c r="X70" s="301" t="n"/>
      <c r="Y70" s="280" t="n"/>
    </row>
    <row r="71" ht="15.75" customHeight="1" s="195">
      <c r="A71" s="241" t="n">
        <v>61</v>
      </c>
      <c r="B71" s="305" t="inlineStr">
        <is>
          <t>00000072</t>
        </is>
      </c>
      <c r="C71" s="241" t="inlineStr">
        <is>
          <t>REGION</t>
        </is>
      </c>
      <c r="D71" s="305" t="inlineStr">
        <is>
          <t>TUCTO PUSCAN GLADIZ MARILU</t>
        </is>
      </c>
      <c r="E71" s="241" t="inlineStr">
        <is>
          <t>DNI</t>
        </is>
      </c>
      <c r="F71" s="241" t="inlineStr">
        <is>
          <t>33422129</t>
        </is>
      </c>
      <c r="G71" s="336" t="n">
        <v>45902</v>
      </c>
      <c r="H71" s="241" t="inlineStr">
        <is>
          <t>4922</t>
        </is>
      </c>
      <c r="I71" s="332">
        <f>IFERROR(VLOOKUP(TEXT(H71,"0"),IPRESS!$A$3:$B$212,2,0),"")</f>
        <v/>
      </c>
      <c r="J71" s="241" t="inlineStr">
        <is>
          <t>4838</t>
        </is>
      </c>
      <c r="K71" s="332">
        <f>IFERROR(VLOOKUP(TEXT(O71,"0"),CONDUCTORES!$A$3:$G$100,7,0),"")</f>
        <v/>
      </c>
      <c r="L71" s="239" t="n">
        <v>18.18</v>
      </c>
      <c r="M71" s="239" t="n">
        <v>5</v>
      </c>
      <c r="N71" s="333">
        <f>IFERROR(IF(L71*M71=0,"",L71*M71),"")</f>
        <v/>
      </c>
      <c r="O71" s="334" t="n"/>
      <c r="P71" s="332">
        <f>IFERROR(VLOOKUP(TEXT(O71,"0"),CONDUCTORES!$A$3:$G$100,2,0),"")</f>
        <v/>
      </c>
      <c r="Q71" s="332">
        <f>IFERROR(VLOOKUP(TEXT(O71,"0"),CONDUCTORES!$A$3:$H$100,6,0),"")</f>
        <v/>
      </c>
      <c r="R71" s="336" t="n">
        <v>45967</v>
      </c>
      <c r="S71" s="305" t="inlineStr">
        <is>
          <t>J960,E117,N189</t>
        </is>
      </c>
      <c r="T71" s="241" t="n"/>
      <c r="U71" s="280" t="n"/>
      <c r="V71" s="241" t="n"/>
      <c r="W71" s="241" t="n"/>
      <c r="X71" s="241" t="n"/>
      <c r="Y71" s="280" t="n"/>
    </row>
    <row r="72" ht="15.75" customHeight="1" s="195">
      <c r="A72" s="337" t="n">
        <v>62</v>
      </c>
      <c r="B72" s="338" t="inlineStr">
        <is>
          <t>00000073</t>
        </is>
      </c>
      <c r="C72" s="337" t="inlineStr">
        <is>
          <t>REGION</t>
        </is>
      </c>
      <c r="D72" s="338" t="inlineStr">
        <is>
          <t>CHAVEZ DE QUIROS CECILIA</t>
        </is>
      </c>
      <c r="E72" s="337" t="inlineStr">
        <is>
          <t>DNI</t>
        </is>
      </c>
      <c r="F72" s="337" t="inlineStr">
        <is>
          <t>33728492</t>
        </is>
      </c>
      <c r="G72" s="339" t="n">
        <v>45904</v>
      </c>
      <c r="H72" s="337" t="inlineStr">
        <is>
          <t>4922</t>
        </is>
      </c>
      <c r="I72" s="332">
        <f>IFERROR(VLOOKUP(TEXT(H72,"0"),IPRESS!$A$3:$B$212,2,0),"")</f>
        <v/>
      </c>
      <c r="J72" s="337" t="inlineStr">
        <is>
          <t>4838</t>
        </is>
      </c>
      <c r="K72" s="332">
        <f>IFERROR(VLOOKUP(TEXT(O72,"0"),CONDUCTORES!$A$3:$G$100,7,0),"")</f>
        <v/>
      </c>
      <c r="L72" s="340" t="n">
        <v>17.95</v>
      </c>
      <c r="M72" s="340" t="n">
        <v>6</v>
      </c>
      <c r="N72" s="333">
        <f>IFERROR(IF(L72*M72=0,"",L72*M72),"")</f>
        <v/>
      </c>
      <c r="O72" s="280" t="n"/>
      <c r="P72" s="332">
        <f>IFERROR(VLOOKUP(TEXT(O72,"0"),CONDUCTORES!$A$3:$G$100,2,0),"")</f>
        <v/>
      </c>
      <c r="Q72" s="332">
        <f>IFERROR(VLOOKUP(TEXT(O72,"0"),CONDUCTORES!$A$3:$H$100,6,0),"")</f>
        <v/>
      </c>
      <c r="R72" s="339" t="n">
        <v>45967</v>
      </c>
      <c r="S72" s="338" t="inlineStr">
        <is>
          <t>E649</t>
        </is>
      </c>
      <c r="T72" s="337" t="n"/>
      <c r="U72" s="341" t="n"/>
      <c r="V72" s="337" t="n"/>
      <c r="W72" s="337" t="n"/>
      <c r="X72" s="337" t="n"/>
      <c r="Y72" s="280" t="n"/>
    </row>
    <row r="73" ht="15.75" customHeight="1" s="195">
      <c r="A73" s="337" t="n">
        <v>63</v>
      </c>
      <c r="B73" s="338" t="inlineStr">
        <is>
          <t>00000074</t>
        </is>
      </c>
      <c r="C73" s="337" t="inlineStr">
        <is>
          <t>REGION</t>
        </is>
      </c>
      <c r="D73" s="338" t="inlineStr">
        <is>
          <t>QUISTAN RAMOS RN</t>
        </is>
      </c>
      <c r="E73" s="337" t="inlineStr">
        <is>
          <t>DNI</t>
        </is>
      </c>
      <c r="F73" s="337" t="inlineStr">
        <is>
          <t>11154570</t>
        </is>
      </c>
      <c r="G73" s="339" t="n">
        <v>45904</v>
      </c>
      <c r="H73" s="337" t="inlineStr">
        <is>
          <t>4922</t>
        </is>
      </c>
      <c r="I73" s="332">
        <f>IFERROR(VLOOKUP(TEXT(H73,"0"),IPRESS!$A$3:$B$212,2,0),"")</f>
        <v/>
      </c>
      <c r="J73" s="337" t="inlineStr">
        <is>
          <t>4838</t>
        </is>
      </c>
      <c r="K73" s="332">
        <f>IFERROR(VLOOKUP(TEXT(O73,"0"),CONDUCTORES!$A$3:$G$100,7,0),"")</f>
        <v/>
      </c>
      <c r="L73" s="340" t="n">
        <v>17.95</v>
      </c>
      <c r="M73" s="340" t="n">
        <v>6</v>
      </c>
      <c r="N73" s="333">
        <f>IFERROR(IF(L73*M73=0,"",L73*M73),"")</f>
        <v/>
      </c>
      <c r="O73" s="334" t="n"/>
      <c r="P73" s="332">
        <f>IFERROR(VLOOKUP(TEXT(O73,"0"),CONDUCTORES!$A$3:$G$100,2,0),"")</f>
        <v/>
      </c>
      <c r="Q73" s="332">
        <f>IFERROR(VLOOKUP(TEXT(O73,"0"),CONDUCTORES!$A$3:$H$100,6,0),"")</f>
        <v/>
      </c>
      <c r="R73" s="339" t="n">
        <v>45967</v>
      </c>
      <c r="S73" s="338" t="inlineStr">
        <is>
          <t>S420</t>
        </is>
      </c>
      <c r="T73" s="337" t="n"/>
      <c r="U73" s="341" t="n"/>
      <c r="V73" s="337" t="n"/>
      <c r="W73" s="337" t="n"/>
      <c r="X73" s="337" t="n"/>
      <c r="Y73" s="280" t="n"/>
    </row>
    <row r="74" ht="15.75" customHeight="1" s="195">
      <c r="A74" s="301" t="n">
        <v>64</v>
      </c>
      <c r="B74" s="302" t="inlineStr">
        <is>
          <t>00000075</t>
        </is>
      </c>
      <c r="C74" s="301" t="inlineStr">
        <is>
          <t>REGION</t>
        </is>
      </c>
      <c r="D74" s="302" t="inlineStr">
        <is>
          <t>MAS ALVA DANINA</t>
        </is>
      </c>
      <c r="E74" s="301" t="inlineStr">
        <is>
          <t>DNI</t>
        </is>
      </c>
      <c r="F74" s="301" t="inlineStr">
        <is>
          <t>44788791</t>
        </is>
      </c>
      <c r="G74" s="331" t="n">
        <v>45908</v>
      </c>
      <c r="H74" s="301" t="inlineStr">
        <is>
          <t>4922</t>
        </is>
      </c>
      <c r="I74" s="332">
        <f>IFERROR(VLOOKUP(TEXT(H74,"0"),IPRESS!$A$3:$B$212,2,0),"")</f>
        <v/>
      </c>
      <c r="J74" s="301" t="inlineStr">
        <is>
          <t>4838</t>
        </is>
      </c>
      <c r="K74" s="332">
        <f>IFERROR(VLOOKUP(TEXT(O74,"0"),CONDUCTORES!$A$3:$G$100,7,0),"")</f>
        <v/>
      </c>
      <c r="L74" s="245" t="n">
        <v>18.18</v>
      </c>
      <c r="M74" s="245" t="n">
        <v>5</v>
      </c>
      <c r="N74" s="333">
        <f>IFERROR(IF(L74*M74=0,"",L74*M74),"")</f>
        <v/>
      </c>
      <c r="O74" s="280" t="n"/>
      <c r="P74" s="332">
        <f>IFERROR(VLOOKUP(TEXT(O74,"0"),CONDUCTORES!$A$3:$G$100,2,0),"")</f>
        <v/>
      </c>
      <c r="Q74" s="332">
        <f>IFERROR(VLOOKUP(TEXT(O74,"0"),CONDUCTORES!$A$3:$H$100,6,0),"")</f>
        <v/>
      </c>
      <c r="R74" s="331" t="n">
        <v>45967</v>
      </c>
      <c r="S74" s="302" t="inlineStr">
        <is>
          <t>O16X,O140</t>
        </is>
      </c>
      <c r="T74" s="301" t="n"/>
      <c r="U74" s="334" t="n"/>
      <c r="V74" s="301" t="n"/>
      <c r="W74" s="301" t="n"/>
      <c r="X74" s="301" t="n"/>
      <c r="Y74" s="280" t="n"/>
    </row>
    <row r="75" ht="15.75" customHeight="1" s="195">
      <c r="A75" s="241" t="n">
        <v>65</v>
      </c>
      <c r="B75" s="305" t="inlineStr">
        <is>
          <t>00000077</t>
        </is>
      </c>
      <c r="C75" s="241" t="inlineStr">
        <is>
          <t>REGION</t>
        </is>
      </c>
      <c r="D75" s="305" t="inlineStr">
        <is>
          <t>CORREA GUELAC SAYDA EDITH</t>
        </is>
      </c>
      <c r="E75" s="241" t="inlineStr">
        <is>
          <t>DNI</t>
        </is>
      </c>
      <c r="F75" s="241" t="inlineStr">
        <is>
          <t>77905513</t>
        </is>
      </c>
      <c r="G75" s="336" t="n">
        <v>45909</v>
      </c>
      <c r="H75" s="241" t="inlineStr">
        <is>
          <t>4922</t>
        </is>
      </c>
      <c r="I75" s="332">
        <f>IFERROR(VLOOKUP(TEXT(H75,"0"),IPRESS!$A$3:$B$212,2,0),"")</f>
        <v/>
      </c>
      <c r="J75" s="241" t="inlineStr">
        <is>
          <t>4838</t>
        </is>
      </c>
      <c r="K75" s="332">
        <f>IFERROR(VLOOKUP(TEXT(O75,"0"),CONDUCTORES!$A$3:$G$100,7,0),"")</f>
        <v/>
      </c>
      <c r="L75" s="239" t="n">
        <v>18.18</v>
      </c>
      <c r="M75" s="239" t="n">
        <v>5</v>
      </c>
      <c r="N75" s="333">
        <f>IFERROR(IF(L75*M75=0,"",L75*M75),"")</f>
        <v/>
      </c>
      <c r="O75" s="334" t="n"/>
      <c r="P75" s="332">
        <f>IFERROR(VLOOKUP(TEXT(O75,"0"),CONDUCTORES!$A$3:$G$100,2,0),"")</f>
        <v/>
      </c>
      <c r="Q75" s="332">
        <f>IFERROR(VLOOKUP(TEXT(O75,"0"),CONDUCTORES!$A$3:$H$100,6,0),"")</f>
        <v/>
      </c>
      <c r="R75" s="336" t="n">
        <v>45967</v>
      </c>
      <c r="S75" s="305" t="inlineStr">
        <is>
          <t>O034</t>
        </is>
      </c>
      <c r="T75" s="241" t="n"/>
      <c r="U75" s="280" t="n"/>
      <c r="V75" s="241" t="n"/>
      <c r="W75" s="241" t="n"/>
      <c r="X75" s="241" t="n"/>
      <c r="Y75" s="280" t="n"/>
    </row>
    <row r="76" ht="15.75" customHeight="1" s="195">
      <c r="A76" s="301" t="n">
        <v>66</v>
      </c>
      <c r="B76" s="302" t="inlineStr">
        <is>
          <t>00000078</t>
        </is>
      </c>
      <c r="C76" s="301" t="inlineStr">
        <is>
          <t>REGION</t>
        </is>
      </c>
      <c r="D76" s="302" t="inlineStr">
        <is>
          <t>CHUQUIMANGO TERRONES AURICIO</t>
        </is>
      </c>
      <c r="E76" s="301" t="inlineStr">
        <is>
          <t>DNI</t>
        </is>
      </c>
      <c r="F76" s="301" t="inlineStr">
        <is>
          <t>27255852</t>
        </is>
      </c>
      <c r="G76" s="331" t="n">
        <v>45909</v>
      </c>
      <c r="H76" s="301" t="inlineStr">
        <is>
          <t>4922</t>
        </is>
      </c>
      <c r="I76" s="332">
        <f>IFERROR(VLOOKUP(TEXT(H76,"0"),IPRESS!$A$3:$B$212,2,0),"")</f>
        <v/>
      </c>
      <c r="J76" s="301" t="inlineStr">
        <is>
          <t>4838</t>
        </is>
      </c>
      <c r="K76" s="332">
        <f>IFERROR(VLOOKUP(TEXT(O76,"0"),CONDUCTORES!$A$3:$G$100,7,0),"")</f>
        <v/>
      </c>
      <c r="L76" s="245" t="n">
        <v>18.18</v>
      </c>
      <c r="M76" s="245" t="n">
        <v>5</v>
      </c>
      <c r="N76" s="333">
        <f>IFERROR(IF(L76*M76=0,"",L76*M76),"")</f>
        <v/>
      </c>
      <c r="O76" s="280" t="n"/>
      <c r="P76" s="332">
        <f>IFERROR(VLOOKUP(TEXT(O76,"0"),CONDUCTORES!$A$3:$G$100,2,0),"")</f>
        <v/>
      </c>
      <c r="Q76" s="332">
        <f>IFERROR(VLOOKUP(TEXT(O76,"0"),CONDUCTORES!$A$3:$H$100,6,0),"")</f>
        <v/>
      </c>
      <c r="R76" s="331" t="n">
        <v>45967</v>
      </c>
      <c r="S76" s="302" t="inlineStr">
        <is>
          <t>A419,J969,J189</t>
        </is>
      </c>
      <c r="T76" s="301" t="n"/>
      <c r="U76" s="334" t="n"/>
      <c r="V76" s="301" t="n"/>
      <c r="W76" s="301" t="n"/>
      <c r="X76" s="301" t="n"/>
      <c r="Y76" s="280" t="n"/>
    </row>
    <row r="77" ht="15.75" customHeight="1" s="195">
      <c r="A77" s="241" t="n">
        <v>67</v>
      </c>
      <c r="B77" s="305" t="inlineStr">
        <is>
          <t>00000079</t>
        </is>
      </c>
      <c r="C77" s="241" t="inlineStr">
        <is>
          <t>REGION</t>
        </is>
      </c>
      <c r="D77" s="305" t="inlineStr">
        <is>
          <t>NAVARRO TORREJON RENE</t>
        </is>
      </c>
      <c r="E77" s="241" t="inlineStr">
        <is>
          <t>DNI</t>
        </is>
      </c>
      <c r="F77" s="241" t="inlineStr">
        <is>
          <t>9616350</t>
        </is>
      </c>
      <c r="G77" s="336" t="n">
        <v>45913</v>
      </c>
      <c r="H77" s="241" t="inlineStr">
        <is>
          <t>4922</t>
        </is>
      </c>
      <c r="I77" s="332">
        <f>IFERROR(VLOOKUP(TEXT(H77,"0"),IPRESS!$A$3:$B$212,2,0),"")</f>
        <v/>
      </c>
      <c r="J77" s="241" t="inlineStr">
        <is>
          <t>4838</t>
        </is>
      </c>
      <c r="K77" s="332">
        <f>IFERROR(VLOOKUP(TEXT(O77,"0"),CONDUCTORES!$A$3:$G$100,7,0),"")</f>
        <v/>
      </c>
      <c r="L77" s="239" t="n">
        <v>18.18</v>
      </c>
      <c r="M77" s="239" t="n">
        <v>5</v>
      </c>
      <c r="N77" s="333">
        <f>IFERROR(IF(L77*M77=0,"",L77*M77),"")</f>
        <v/>
      </c>
      <c r="O77" s="334" t="n"/>
      <c r="P77" s="332">
        <f>IFERROR(VLOOKUP(TEXT(O77,"0"),CONDUCTORES!$A$3:$G$100,2,0),"")</f>
        <v/>
      </c>
      <c r="Q77" s="332">
        <f>IFERROR(VLOOKUP(TEXT(O77,"0"),CONDUCTORES!$A$3:$H$100,6,0),"")</f>
        <v/>
      </c>
      <c r="R77" s="336" t="n">
        <v>45967</v>
      </c>
      <c r="S77" s="305" t="inlineStr">
        <is>
          <t>K359</t>
        </is>
      </c>
      <c r="T77" s="241" t="n"/>
      <c r="U77" s="280" t="n"/>
      <c r="V77" s="241" t="n"/>
      <c r="W77" s="241" t="n"/>
      <c r="X77" s="241" t="n"/>
      <c r="Y77" s="280" t="n"/>
    </row>
    <row r="78" ht="15.75" customHeight="1" s="195">
      <c r="A78" s="301" t="n">
        <v>68</v>
      </c>
      <c r="B78" s="302" t="inlineStr">
        <is>
          <t>00000080</t>
        </is>
      </c>
      <c r="C78" s="301" t="inlineStr">
        <is>
          <t>REGION</t>
        </is>
      </c>
      <c r="D78" s="302" t="inlineStr">
        <is>
          <t>SANCHEZ ZUTA ELIANIT</t>
        </is>
      </c>
      <c r="E78" s="301" t="inlineStr">
        <is>
          <t>DNI</t>
        </is>
      </c>
      <c r="F78" s="301" t="inlineStr">
        <is>
          <t>78970104</t>
        </is>
      </c>
      <c r="G78" s="334" t="inlineStr">
        <is>
          <t>20/09/0258</t>
        </is>
      </c>
      <c r="H78" s="301" t="inlineStr">
        <is>
          <t>4922</t>
        </is>
      </c>
      <c r="I78" s="332">
        <f>IFERROR(VLOOKUP(TEXT(H78,"0"),IPRESS!$A$3:$B$212,2,0),"")</f>
        <v/>
      </c>
      <c r="J78" s="301" t="inlineStr">
        <is>
          <t>4838</t>
        </is>
      </c>
      <c r="K78" s="332">
        <f>IFERROR(VLOOKUP(TEXT(O78,"0"),CONDUCTORES!$A$3:$G$100,7,0),"")</f>
        <v/>
      </c>
      <c r="L78" s="245" t="n">
        <v>18.18</v>
      </c>
      <c r="M78" s="245" t="n">
        <v>5</v>
      </c>
      <c r="N78" s="333">
        <f>IFERROR(IF(L78*M78=0,"",L78*M78),"")</f>
        <v/>
      </c>
      <c r="O78" s="280" t="n"/>
      <c r="P78" s="332">
        <f>IFERROR(VLOOKUP(TEXT(O78,"0"),CONDUCTORES!$A$3:$G$100,2,0),"")</f>
        <v/>
      </c>
      <c r="Q78" s="332">
        <f>IFERROR(VLOOKUP(TEXT(O78,"0"),CONDUCTORES!$A$3:$H$100,6,0),"")</f>
        <v/>
      </c>
      <c r="R78" s="331" t="n">
        <v>45967</v>
      </c>
      <c r="S78" s="302" t="inlineStr">
        <is>
          <t>O034</t>
        </is>
      </c>
      <c r="T78" s="301" t="n"/>
      <c r="U78" s="334" t="n"/>
      <c r="V78" s="301" t="n"/>
      <c r="W78" s="301" t="n"/>
      <c r="X78" s="301" t="n"/>
      <c r="Y78" s="280" t="n"/>
    </row>
    <row r="79" ht="15.75" customHeight="1" s="195">
      <c r="A79" s="241" t="n">
        <v>69</v>
      </c>
      <c r="B79" s="305" t="inlineStr">
        <is>
          <t>00000081</t>
        </is>
      </c>
      <c r="C79" s="241" t="inlineStr">
        <is>
          <t>REGION</t>
        </is>
      </c>
      <c r="D79" s="305" t="inlineStr">
        <is>
          <t>CHASQUIBOL DOLIG EFRAIN</t>
        </is>
      </c>
      <c r="E79" s="241" t="inlineStr">
        <is>
          <t>DNI</t>
        </is>
      </c>
      <c r="F79" s="241" t="inlineStr">
        <is>
          <t>24252970</t>
        </is>
      </c>
      <c r="G79" s="336" t="n">
        <v>45926</v>
      </c>
      <c r="H79" s="241" t="inlineStr">
        <is>
          <t>4922</t>
        </is>
      </c>
      <c r="I79" s="332">
        <f>IFERROR(VLOOKUP(TEXT(H79,"0"),IPRESS!$A$3:$B$212,2,0),"")</f>
        <v/>
      </c>
      <c r="J79" s="241" t="inlineStr">
        <is>
          <t>4838</t>
        </is>
      </c>
      <c r="K79" s="332">
        <f>IFERROR(VLOOKUP(TEXT(O79,"0"),CONDUCTORES!$A$3:$G$100,7,0),"")</f>
        <v/>
      </c>
      <c r="L79" s="239" t="n">
        <v>18.18</v>
      </c>
      <c r="M79" s="239" t="n">
        <v>5</v>
      </c>
      <c r="N79" s="333">
        <f>IFERROR(IF(L79*M79=0,"",L79*M79),"")</f>
        <v/>
      </c>
      <c r="O79" s="334" t="n"/>
      <c r="P79" s="332">
        <f>IFERROR(VLOOKUP(TEXT(O79,"0"),CONDUCTORES!$A$3:$G$100,2,0),"")</f>
        <v/>
      </c>
      <c r="Q79" s="332">
        <f>IFERROR(VLOOKUP(TEXT(O79,"0"),CONDUCTORES!$A$3:$H$100,6,0),"")</f>
        <v/>
      </c>
      <c r="R79" s="336" t="n">
        <v>45967</v>
      </c>
      <c r="S79" s="305" t="inlineStr">
        <is>
          <t>K746,K659,R180</t>
        </is>
      </c>
      <c r="T79" s="241" t="n"/>
      <c r="U79" s="280" t="n"/>
      <c r="V79" s="241" t="n"/>
      <c r="W79" s="241" t="n"/>
      <c r="X79" s="241" t="n"/>
      <c r="Y79" s="280" t="n"/>
    </row>
    <row r="80" ht="15.75" customHeight="1" s="195">
      <c r="A80" s="301" t="n">
        <v>70</v>
      </c>
      <c r="B80" s="302" t="inlineStr">
        <is>
          <t>00000067</t>
        </is>
      </c>
      <c r="C80" s="301" t="inlineStr">
        <is>
          <t>REGION</t>
        </is>
      </c>
      <c r="D80" s="302" t="inlineStr">
        <is>
          <t>YALTA VDA DE SANTILLAN ROSA MERCEDES</t>
        </is>
      </c>
      <c r="E80" s="301" t="inlineStr">
        <is>
          <t>DNI</t>
        </is>
      </c>
      <c r="F80" s="301" t="inlineStr">
        <is>
          <t>33724901</t>
        </is>
      </c>
      <c r="G80" s="331" t="n">
        <v>45905</v>
      </c>
      <c r="H80" s="301" t="inlineStr">
        <is>
          <t>4932</t>
        </is>
      </c>
      <c r="I80" s="332">
        <f>IFERROR(VLOOKUP(TEXT(H80,"0"),IPRESS!$A$3:$B$212,2,0),"")</f>
        <v/>
      </c>
      <c r="J80" s="301" t="inlineStr">
        <is>
          <t>4838</t>
        </is>
      </c>
      <c r="K80" s="332">
        <f>IFERROR(VLOOKUP(TEXT(O80,"0"),CONDUCTORES!$A$3:$G$100,7,0),"")</f>
        <v/>
      </c>
      <c r="L80" s="245" t="n">
        <v>18.18</v>
      </c>
      <c r="M80" s="245" t="n">
        <v>8</v>
      </c>
      <c r="N80" s="333">
        <f>IFERROR(IF(L80*M80=0,"",L80*M80),"")</f>
        <v/>
      </c>
      <c r="O80" s="280" t="n"/>
      <c r="P80" s="332">
        <f>IFERROR(VLOOKUP(TEXT(O80,"0"),CONDUCTORES!$A$3:$G$100,2,0),"")</f>
        <v/>
      </c>
      <c r="Q80" s="332">
        <f>IFERROR(VLOOKUP(TEXT(O80,"0"),CONDUCTORES!$A$3:$H$100,6,0),"")</f>
        <v/>
      </c>
      <c r="R80" s="331" t="n">
        <v>45968</v>
      </c>
      <c r="S80" s="302" t="inlineStr">
        <is>
          <t>R18X,K746</t>
        </is>
      </c>
      <c r="T80" s="301" t="n"/>
      <c r="U80" s="334" t="n"/>
      <c r="V80" s="301" t="n"/>
      <c r="W80" s="301" t="n"/>
      <c r="X80" s="301" t="n"/>
      <c r="Y80" s="280" t="n"/>
    </row>
    <row r="81" ht="15.75" customHeight="1" s="195">
      <c r="A81" s="241" t="n">
        <v>71</v>
      </c>
      <c r="B81" s="305" t="inlineStr">
        <is>
          <t>00000068</t>
        </is>
      </c>
      <c r="C81" s="241" t="inlineStr">
        <is>
          <t>REGION</t>
        </is>
      </c>
      <c r="D81" s="305" t="inlineStr">
        <is>
          <t>QUISPE SALDAÑA EDELINA</t>
        </is>
      </c>
      <c r="E81" s="241" t="inlineStr">
        <is>
          <t>DNI</t>
        </is>
      </c>
      <c r="F81" s="241" t="inlineStr">
        <is>
          <t>75726326</t>
        </is>
      </c>
      <c r="G81" s="336" t="n">
        <v>45905</v>
      </c>
      <c r="H81" s="241" t="inlineStr">
        <is>
          <t>4932</t>
        </is>
      </c>
      <c r="I81" s="332">
        <f>IFERROR(VLOOKUP(TEXT(H81,"0"),IPRESS!$A$3:$B$212,2,0),"")</f>
        <v/>
      </c>
      <c r="J81" s="241" t="inlineStr">
        <is>
          <t>4838</t>
        </is>
      </c>
      <c r="K81" s="332">
        <f>IFERROR(VLOOKUP(TEXT(O81,"0"),CONDUCTORES!$A$3:$G$100,7,0),"")</f>
        <v/>
      </c>
      <c r="L81" s="239" t="n">
        <v>18.18</v>
      </c>
      <c r="M81" s="239" t="n">
        <v>8</v>
      </c>
      <c r="N81" s="333">
        <f>IFERROR(IF(L81*M81=0,"",L81*M81),"")</f>
        <v/>
      </c>
      <c r="O81" s="334" t="n"/>
      <c r="P81" s="332">
        <f>IFERROR(VLOOKUP(TEXT(O81,"0"),CONDUCTORES!$A$3:$G$100,2,0),"")</f>
        <v/>
      </c>
      <c r="Q81" s="332">
        <f>IFERROR(VLOOKUP(TEXT(O81,"0"),CONDUCTORES!$A$3:$H$100,6,0),"")</f>
        <v/>
      </c>
      <c r="R81" s="336" t="n">
        <v>45968</v>
      </c>
      <c r="S81" s="305" t="inlineStr">
        <is>
          <t>Z359,O300</t>
        </is>
      </c>
      <c r="T81" s="241" t="n"/>
      <c r="U81" s="280" t="n"/>
      <c r="V81" s="241" t="n"/>
      <c r="W81" s="241" t="n"/>
      <c r="X81" s="241" t="n"/>
      <c r="Y81" s="280" t="n"/>
    </row>
    <row r="82" ht="15.75" customHeight="1" s="195">
      <c r="A82" s="301" t="n">
        <v>72</v>
      </c>
      <c r="B82" s="302" t="inlineStr">
        <is>
          <t>00000069</t>
        </is>
      </c>
      <c r="C82" s="301" t="inlineStr">
        <is>
          <t>REGION</t>
        </is>
      </c>
      <c r="D82" s="302" t="inlineStr">
        <is>
          <t>JAMBO EUGENIO BERTILA</t>
        </is>
      </c>
      <c r="E82" s="301" t="inlineStr">
        <is>
          <t>DNI</t>
        </is>
      </c>
      <c r="F82" s="301" t="inlineStr">
        <is>
          <t>41566130</t>
        </is>
      </c>
      <c r="G82" s="331" t="n">
        <v>45906</v>
      </c>
      <c r="H82" s="301" t="inlineStr">
        <is>
          <t>4932</t>
        </is>
      </c>
      <c r="I82" s="332">
        <f>IFERROR(VLOOKUP(TEXT(H82,"0"),IPRESS!$A$3:$B$212,2,0),"")</f>
        <v/>
      </c>
      <c r="J82" s="301" t="inlineStr">
        <is>
          <t>4838</t>
        </is>
      </c>
      <c r="K82" s="332">
        <f>IFERROR(VLOOKUP(TEXT(O82,"0"),CONDUCTORES!$A$3:$G$100,7,0),"")</f>
        <v/>
      </c>
      <c r="L82" s="245" t="n">
        <v>18.18</v>
      </c>
      <c r="M82" s="245" t="n">
        <v>8</v>
      </c>
      <c r="N82" s="333">
        <f>IFERROR(IF(L82*M82=0,"",L82*M82),"")</f>
        <v/>
      </c>
      <c r="O82" s="280" t="n"/>
      <c r="P82" s="332">
        <f>IFERROR(VLOOKUP(TEXT(O82,"0"),CONDUCTORES!$A$3:$G$100,2,0),"")</f>
        <v/>
      </c>
      <c r="Q82" s="332">
        <f>IFERROR(VLOOKUP(TEXT(O82,"0"),CONDUCTORES!$A$3:$H$100,6,0),"")</f>
        <v/>
      </c>
      <c r="R82" s="331" t="n">
        <v>45968</v>
      </c>
      <c r="S82" s="302" t="inlineStr">
        <is>
          <t>K37X</t>
        </is>
      </c>
      <c r="T82" s="301" t="n"/>
      <c r="U82" s="334" t="n"/>
      <c r="V82" s="301" t="n"/>
      <c r="W82" s="301" t="n"/>
      <c r="X82" s="301" t="n"/>
      <c r="Y82" s="280" t="n"/>
    </row>
    <row r="83" ht="15.75" customHeight="1" s="195">
      <c r="A83" s="241" t="n">
        <v>73</v>
      </c>
      <c r="B83" s="305" t="inlineStr">
        <is>
          <t>00000070</t>
        </is>
      </c>
      <c r="C83" s="241" t="inlineStr">
        <is>
          <t>REGION</t>
        </is>
      </c>
      <c r="D83" s="305" t="inlineStr">
        <is>
          <t>IRIGOIN HERRERA CELIA</t>
        </is>
      </c>
      <c r="E83" s="241" t="inlineStr">
        <is>
          <t>DNI</t>
        </is>
      </c>
      <c r="F83" s="241" t="inlineStr">
        <is>
          <t>47009140</t>
        </is>
      </c>
      <c r="G83" s="336" t="n">
        <v>45907</v>
      </c>
      <c r="H83" s="241" t="inlineStr">
        <is>
          <t>4932</t>
        </is>
      </c>
      <c r="I83" s="332">
        <f>IFERROR(VLOOKUP(TEXT(H83,"0"),IPRESS!$A$3:$B$212,2,0),"")</f>
        <v/>
      </c>
      <c r="J83" s="241" t="inlineStr">
        <is>
          <t>4838</t>
        </is>
      </c>
      <c r="K83" s="332">
        <f>IFERROR(VLOOKUP(TEXT(O83,"0"),CONDUCTORES!$A$3:$G$100,7,0),"")</f>
        <v/>
      </c>
      <c r="L83" s="239" t="n">
        <v>18.18</v>
      </c>
      <c r="M83" s="239" t="n">
        <v>8</v>
      </c>
      <c r="N83" s="333">
        <f>IFERROR(IF(L83*M83=0,"",L83*M83),"")</f>
        <v/>
      </c>
      <c r="O83" s="334" t="n"/>
      <c r="P83" s="332">
        <f>IFERROR(VLOOKUP(TEXT(O83,"0"),CONDUCTORES!$A$3:$G$100,2,0),"")</f>
        <v/>
      </c>
      <c r="Q83" s="332">
        <f>IFERROR(VLOOKUP(TEXT(O83,"0"),CONDUCTORES!$A$3:$H$100,6,0),"")</f>
        <v/>
      </c>
      <c r="R83" s="336" t="n">
        <v>45968</v>
      </c>
      <c r="S83" s="305" t="inlineStr">
        <is>
          <t>K359</t>
        </is>
      </c>
      <c r="T83" s="241" t="n"/>
      <c r="U83" s="280" t="n"/>
      <c r="V83" s="241" t="n"/>
      <c r="W83" s="241" t="n"/>
      <c r="X83" s="241" t="n"/>
      <c r="Y83" s="280" t="n"/>
    </row>
    <row r="84" ht="15.75" customHeight="1" s="195">
      <c r="A84" s="301" t="n">
        <v>74</v>
      </c>
      <c r="B84" s="302" t="inlineStr">
        <is>
          <t>00000071</t>
        </is>
      </c>
      <c r="C84" s="301" t="inlineStr">
        <is>
          <t>REGION</t>
        </is>
      </c>
      <c r="D84" s="302" t="inlineStr">
        <is>
          <t>SAMANIEGO SHIMBUCA LUZ MARIA</t>
        </is>
      </c>
      <c r="E84" s="301" t="inlineStr">
        <is>
          <t>DNI</t>
        </is>
      </c>
      <c r="F84" s="301" t="inlineStr">
        <is>
          <t>75937609</t>
        </is>
      </c>
      <c r="G84" s="331" t="n">
        <v>45908</v>
      </c>
      <c r="H84" s="301" t="inlineStr">
        <is>
          <t>4932</t>
        </is>
      </c>
      <c r="I84" s="332">
        <f>IFERROR(VLOOKUP(TEXT(H84,"0"),IPRESS!$A$3:$B$212,2,0),"")</f>
        <v/>
      </c>
      <c r="J84" s="301" t="inlineStr">
        <is>
          <t>4838</t>
        </is>
      </c>
      <c r="K84" s="332">
        <f>IFERROR(VLOOKUP(TEXT(O84,"0"),CONDUCTORES!$A$3:$G$100,7,0),"")</f>
        <v/>
      </c>
      <c r="L84" s="245" t="n">
        <v>18.18</v>
      </c>
      <c r="M84" s="245" t="n">
        <v>8</v>
      </c>
      <c r="N84" s="333">
        <f>IFERROR(IF(L84*M84=0,"",L84*M84),"")</f>
        <v/>
      </c>
      <c r="O84" s="280" t="n"/>
      <c r="P84" s="332">
        <f>IFERROR(VLOOKUP(TEXT(O84,"0"),CONDUCTORES!$A$3:$G$100,2,0),"")</f>
        <v/>
      </c>
      <c r="Q84" s="332">
        <f>IFERROR(VLOOKUP(TEXT(O84,"0"),CONDUCTORES!$A$3:$H$100,6,0),"")</f>
        <v/>
      </c>
      <c r="R84" s="331" t="n">
        <v>45968</v>
      </c>
      <c r="S84" s="302" t="inlineStr">
        <is>
          <t>Z359,</t>
        </is>
      </c>
      <c r="T84" s="301" t="n"/>
      <c r="U84" s="334" t="n"/>
      <c r="V84" s="301" t="n"/>
      <c r="W84" s="301" t="n"/>
      <c r="X84" s="301" t="n"/>
      <c r="Y84" s="280" t="n"/>
    </row>
    <row r="85" ht="15.75" customHeight="1" s="195">
      <c r="A85" s="241" t="n">
        <v>75</v>
      </c>
      <c r="B85" s="305" t="inlineStr">
        <is>
          <t>00000072</t>
        </is>
      </c>
      <c r="C85" s="241" t="inlineStr">
        <is>
          <t>REGION</t>
        </is>
      </c>
      <c r="D85" s="305" t="inlineStr">
        <is>
          <t>VALLE ARCE GILMER</t>
        </is>
      </c>
      <c r="E85" s="241" t="inlineStr">
        <is>
          <t>DNI</t>
        </is>
      </c>
      <c r="F85" s="241" t="inlineStr">
        <is>
          <t>33731482</t>
        </is>
      </c>
      <c r="G85" s="336" t="n">
        <v>45910</v>
      </c>
      <c r="H85" s="241" t="inlineStr">
        <is>
          <t>4932</t>
        </is>
      </c>
      <c r="I85" s="332">
        <f>IFERROR(VLOOKUP(TEXT(H85,"0"),IPRESS!$A$3:$B$212,2,0),"")</f>
        <v/>
      </c>
      <c r="J85" s="241" t="inlineStr">
        <is>
          <t>4838</t>
        </is>
      </c>
      <c r="K85" s="332">
        <f>IFERROR(VLOOKUP(TEXT(O85,"0"),CONDUCTORES!$A$3:$G$100,7,0),"")</f>
        <v/>
      </c>
      <c r="L85" s="239" t="n">
        <v>18.18</v>
      </c>
      <c r="M85" s="239" t="n">
        <v>8</v>
      </c>
      <c r="N85" s="333">
        <f>IFERROR(IF(L85*M85=0,"",L85*M85),"")</f>
        <v/>
      </c>
      <c r="O85" s="334" t="n"/>
      <c r="P85" s="332">
        <f>IFERROR(VLOOKUP(TEXT(O85,"0"),CONDUCTORES!$A$3:$G$100,2,0),"")</f>
        <v/>
      </c>
      <c r="Q85" s="332">
        <f>IFERROR(VLOOKUP(TEXT(O85,"0"),CONDUCTORES!$A$3:$H$100,6,0),"")</f>
        <v/>
      </c>
      <c r="R85" s="336" t="n">
        <v>45968</v>
      </c>
      <c r="S85" s="305" t="inlineStr">
        <is>
          <t>I679,J690</t>
        </is>
      </c>
      <c r="T85" s="241" t="n"/>
      <c r="U85" s="280" t="n"/>
      <c r="V85" s="241" t="n"/>
      <c r="W85" s="241" t="n"/>
      <c r="X85" s="241" t="n"/>
      <c r="Y85" s="280" t="n"/>
    </row>
    <row r="86" ht="15.75" customHeight="1" s="195">
      <c r="A86" s="301" t="n">
        <v>76</v>
      </c>
      <c r="B86" s="302" t="inlineStr">
        <is>
          <t>00000073</t>
        </is>
      </c>
      <c r="C86" s="301" t="inlineStr">
        <is>
          <t>REGION</t>
        </is>
      </c>
      <c r="D86" s="302" t="inlineStr">
        <is>
          <t>MONDRAGON HEREDIA BRENDA ESTEFANI</t>
        </is>
      </c>
      <c r="E86" s="301" t="inlineStr">
        <is>
          <t>DNI</t>
        </is>
      </c>
      <c r="F86" s="301" t="inlineStr">
        <is>
          <t>79459573</t>
        </is>
      </c>
      <c r="G86" s="331" t="n">
        <v>45912</v>
      </c>
      <c r="H86" s="301" t="inlineStr">
        <is>
          <t>4932</t>
        </is>
      </c>
      <c r="I86" s="332">
        <f>IFERROR(VLOOKUP(TEXT(H86,"0"),IPRESS!$A$3:$B$212,2,0),"")</f>
        <v/>
      </c>
      <c r="J86" s="301" t="inlineStr">
        <is>
          <t>4838</t>
        </is>
      </c>
      <c r="K86" s="332">
        <f>IFERROR(VLOOKUP(TEXT(O86,"0"),CONDUCTORES!$A$3:$G$100,7,0),"")</f>
        <v/>
      </c>
      <c r="L86" s="245" t="n">
        <v>18.18</v>
      </c>
      <c r="M86" s="245" t="n">
        <v>8</v>
      </c>
      <c r="N86" s="333">
        <f>IFERROR(IF(L86*M86=0,"",L86*M86),"")</f>
        <v/>
      </c>
      <c r="O86" s="280" t="n"/>
      <c r="P86" s="332">
        <f>IFERROR(VLOOKUP(TEXT(O86,"0"),CONDUCTORES!$A$3:$G$100,2,0),"")</f>
        <v/>
      </c>
      <c r="Q86" s="332">
        <f>IFERROR(VLOOKUP(TEXT(O86,"0"),CONDUCTORES!$A$3:$H$100,6,0),"")</f>
        <v/>
      </c>
      <c r="R86" s="331" t="n">
        <v>45968</v>
      </c>
      <c r="S86" s="302" t="inlineStr">
        <is>
          <t>R251,G409</t>
        </is>
      </c>
      <c r="T86" s="301" t="n"/>
      <c r="U86" s="334" t="n"/>
      <c r="V86" s="301" t="n"/>
      <c r="W86" s="301" t="n"/>
      <c r="X86" s="301" t="n"/>
      <c r="Y86" s="280" t="n"/>
    </row>
    <row r="87" ht="15.75" customHeight="1" s="195">
      <c r="A87" s="241" t="n">
        <v>77</v>
      </c>
      <c r="B87" s="305" t="inlineStr">
        <is>
          <t>00000074</t>
        </is>
      </c>
      <c r="C87" s="241" t="inlineStr">
        <is>
          <t>REGION</t>
        </is>
      </c>
      <c r="D87" s="305" t="inlineStr">
        <is>
          <t>VASQUEZ GUEVARA ROSA</t>
        </is>
      </c>
      <c r="E87" s="241" t="inlineStr">
        <is>
          <t>DNI</t>
        </is>
      </c>
      <c r="F87" s="241" t="inlineStr">
        <is>
          <t>48809979</t>
        </is>
      </c>
      <c r="G87" s="336" t="n">
        <v>45920</v>
      </c>
      <c r="H87" s="241" t="inlineStr">
        <is>
          <t>4932</t>
        </is>
      </c>
      <c r="I87" s="332">
        <f>IFERROR(VLOOKUP(TEXT(H87,"0"),IPRESS!$A$3:$B$212,2,0),"")</f>
        <v/>
      </c>
      <c r="J87" s="241" t="inlineStr">
        <is>
          <t>4838</t>
        </is>
      </c>
      <c r="K87" s="332">
        <f>IFERROR(VLOOKUP(TEXT(O87,"0"),CONDUCTORES!$A$3:$G$100,7,0),"")</f>
        <v/>
      </c>
      <c r="L87" s="239" t="n">
        <v>18.18</v>
      </c>
      <c r="M87" s="239" t="n">
        <v>8</v>
      </c>
      <c r="N87" s="333">
        <f>IFERROR(IF(L87*M87=0,"",L87*M87),"")</f>
        <v/>
      </c>
      <c r="O87" s="334" t="n"/>
      <c r="P87" s="332">
        <f>IFERROR(VLOOKUP(TEXT(O87,"0"),CONDUCTORES!$A$3:$G$100,2,0),"")</f>
        <v/>
      </c>
      <c r="Q87" s="332">
        <f>IFERROR(VLOOKUP(TEXT(O87,"0"),CONDUCTORES!$A$3:$H$100,6,0),"")</f>
        <v/>
      </c>
      <c r="R87" s="336" t="n">
        <v>45968</v>
      </c>
      <c r="S87" s="305" t="inlineStr">
        <is>
          <t>O689,O48X</t>
        </is>
      </c>
      <c r="T87" s="241" t="n"/>
      <c r="U87" s="280" t="n"/>
      <c r="V87" s="241" t="n"/>
      <c r="W87" s="241" t="n"/>
      <c r="X87" s="241" t="n"/>
      <c r="Y87" s="280" t="n"/>
    </row>
    <row r="88" ht="15.75" customHeight="1" s="195">
      <c r="A88" s="301" t="n">
        <v>78</v>
      </c>
      <c r="B88" s="302" t="inlineStr">
        <is>
          <t>00000075</t>
        </is>
      </c>
      <c r="C88" s="301" t="inlineStr">
        <is>
          <t>REGION</t>
        </is>
      </c>
      <c r="D88" s="302" t="inlineStr">
        <is>
          <t>MEGO CARUAJULCA AMELITA</t>
        </is>
      </c>
      <c r="E88" s="301" t="inlineStr">
        <is>
          <t>DNI</t>
        </is>
      </c>
      <c r="F88" s="301" t="inlineStr">
        <is>
          <t>33741306</t>
        </is>
      </c>
      <c r="G88" s="331" t="n">
        <v>45921</v>
      </c>
      <c r="H88" s="301" t="inlineStr">
        <is>
          <t>4932</t>
        </is>
      </c>
      <c r="I88" s="332">
        <f>IFERROR(VLOOKUP(TEXT(H88,"0"),IPRESS!$A$3:$B$212,2,0),"")</f>
        <v/>
      </c>
      <c r="J88" s="301" t="inlineStr">
        <is>
          <t>4838</t>
        </is>
      </c>
      <c r="K88" s="332">
        <f>IFERROR(VLOOKUP(TEXT(O88,"0"),CONDUCTORES!$A$3:$G$100,7,0),"")</f>
        <v/>
      </c>
      <c r="L88" s="245" t="n">
        <v>18.18</v>
      </c>
      <c r="M88" s="245" t="n">
        <v>8</v>
      </c>
      <c r="N88" s="333">
        <f>IFERROR(IF(L88*M88=0,"",L88*M88),"")</f>
        <v/>
      </c>
      <c r="O88" s="280" t="n"/>
      <c r="P88" s="332">
        <f>IFERROR(VLOOKUP(TEXT(O88,"0"),CONDUCTORES!$A$3:$G$100,2,0),"")</f>
        <v/>
      </c>
      <c r="Q88" s="332">
        <f>IFERROR(VLOOKUP(TEXT(O88,"0"),CONDUCTORES!$A$3:$H$100,6,0),"")</f>
        <v/>
      </c>
      <c r="R88" s="331" t="n">
        <v>45968</v>
      </c>
      <c r="S88" s="302" t="inlineStr">
        <is>
          <t>S224,S223,S628</t>
        </is>
      </c>
      <c r="T88" s="301" t="n"/>
      <c r="U88" s="334" t="n"/>
      <c r="V88" s="301" t="n"/>
      <c r="W88" s="301" t="n"/>
      <c r="X88" s="301" t="n"/>
      <c r="Y88" s="280" t="n"/>
    </row>
    <row r="89" ht="15.75" customHeight="1" s="195">
      <c r="A89" s="241" t="n">
        <v>79</v>
      </c>
      <c r="B89" s="305" t="inlineStr">
        <is>
          <t>00000076</t>
        </is>
      </c>
      <c r="C89" s="241" t="inlineStr">
        <is>
          <t>REGION</t>
        </is>
      </c>
      <c r="D89" s="305" t="inlineStr">
        <is>
          <t>COLLANTES OBLITAS ADAEL</t>
        </is>
      </c>
      <c r="E89" s="241" t="inlineStr">
        <is>
          <t>DNI</t>
        </is>
      </c>
      <c r="F89" s="241" t="inlineStr">
        <is>
          <t>94116304</t>
        </is>
      </c>
      <c r="G89" s="336" t="n">
        <v>45922</v>
      </c>
      <c r="H89" s="241" t="inlineStr">
        <is>
          <t>4932</t>
        </is>
      </c>
      <c r="I89" s="332">
        <f>IFERROR(VLOOKUP(TEXT(H89,"0"),IPRESS!$A$3:$B$212,2,0),"")</f>
        <v/>
      </c>
      <c r="J89" s="241" t="inlineStr">
        <is>
          <t>4838</t>
        </is>
      </c>
      <c r="K89" s="332">
        <f>IFERROR(VLOOKUP(TEXT(O89,"0"),CONDUCTORES!$A$3:$G$100,7,0),"")</f>
        <v/>
      </c>
      <c r="L89" s="239" t="n">
        <v>18.18</v>
      </c>
      <c r="M89" s="239" t="n">
        <v>8</v>
      </c>
      <c r="N89" s="333">
        <f>IFERROR(IF(L89*M89=0,"",L89*M89),"")</f>
        <v/>
      </c>
      <c r="O89" s="334" t="n"/>
      <c r="P89" s="332">
        <f>IFERROR(VLOOKUP(TEXT(O89,"0"),CONDUCTORES!$A$3:$G$100,2,0),"")</f>
        <v/>
      </c>
      <c r="Q89" s="332">
        <f>IFERROR(VLOOKUP(TEXT(O89,"0"),CONDUCTORES!$A$3:$H$100,6,0),"")</f>
        <v/>
      </c>
      <c r="R89" s="336" t="n">
        <v>45968</v>
      </c>
      <c r="S89" s="305" t="inlineStr">
        <is>
          <t>J960,J189</t>
        </is>
      </c>
      <c r="T89" s="241" t="n"/>
      <c r="U89" s="280" t="n"/>
      <c r="V89" s="241" t="n"/>
      <c r="W89" s="241" t="n"/>
      <c r="X89" s="241" t="n"/>
      <c r="Y89" s="280" t="n"/>
    </row>
    <row r="90" ht="15.75" customHeight="1" s="195">
      <c r="A90" s="301" t="n">
        <v>80</v>
      </c>
      <c r="B90" s="302" t="inlineStr">
        <is>
          <t>00000077</t>
        </is>
      </c>
      <c r="C90" s="301" t="inlineStr">
        <is>
          <t>REGION</t>
        </is>
      </c>
      <c r="D90" s="302" t="inlineStr">
        <is>
          <t>TERRONES ORTIZ PEDRO</t>
        </is>
      </c>
      <c r="E90" s="301" t="inlineStr">
        <is>
          <t>DNI</t>
        </is>
      </c>
      <c r="F90" s="301" t="inlineStr">
        <is>
          <t>33738164</t>
        </is>
      </c>
      <c r="G90" s="331" t="n">
        <v>45923</v>
      </c>
      <c r="H90" s="301" t="inlineStr">
        <is>
          <t>4932</t>
        </is>
      </c>
      <c r="I90" s="332">
        <f>IFERROR(VLOOKUP(TEXT(H90,"0"),IPRESS!$A$3:$B$212,2,0),"")</f>
        <v/>
      </c>
      <c r="J90" s="301" t="inlineStr">
        <is>
          <t>4838</t>
        </is>
      </c>
      <c r="K90" s="332">
        <f>IFERROR(VLOOKUP(TEXT(O90,"0"),CONDUCTORES!$A$3:$G$100,7,0),"")</f>
        <v/>
      </c>
      <c r="L90" s="245" t="n">
        <v>18.18</v>
      </c>
      <c r="M90" s="245" t="n">
        <v>8</v>
      </c>
      <c r="N90" s="333">
        <f>IFERROR(IF(L90*M90=0,"",L90*M90),"")</f>
        <v/>
      </c>
      <c r="O90" s="280" t="n"/>
      <c r="P90" s="332">
        <f>IFERROR(VLOOKUP(TEXT(O90,"0"),CONDUCTORES!$A$3:$G$100,2,0),"")</f>
        <v/>
      </c>
      <c r="Q90" s="332">
        <f>IFERROR(VLOOKUP(TEXT(O90,"0"),CONDUCTORES!$A$3:$H$100,6,0),"")</f>
        <v/>
      </c>
      <c r="R90" s="331" t="n">
        <v>45968</v>
      </c>
      <c r="S90" s="302" t="inlineStr">
        <is>
          <t>S324</t>
        </is>
      </c>
      <c r="T90" s="301" t="n"/>
      <c r="U90" s="334" t="n"/>
      <c r="V90" s="301" t="n"/>
      <c r="W90" s="301" t="n"/>
      <c r="X90" s="301" t="n"/>
      <c r="Y90" s="280" t="n"/>
    </row>
    <row r="91" ht="15.75" customHeight="1" s="195">
      <c r="A91" s="337" t="n">
        <v>81</v>
      </c>
      <c r="B91" s="338" t="inlineStr">
        <is>
          <t>00000001</t>
        </is>
      </c>
      <c r="C91" s="337" t="inlineStr">
        <is>
          <t>REGION</t>
        </is>
      </c>
      <c r="D91" s="338" t="inlineStr">
        <is>
          <t>OLANO GUEVARA ELOY</t>
        </is>
      </c>
      <c r="E91" s="337" t="inlineStr">
        <is>
          <t>DNI</t>
        </is>
      </c>
      <c r="F91" s="337" t="inlineStr">
        <is>
          <t>44999396</t>
        </is>
      </c>
      <c r="G91" s="339" t="n">
        <v>45903</v>
      </c>
      <c r="H91" s="337" t="inlineStr">
        <is>
          <t>4913</t>
        </is>
      </c>
      <c r="I91" s="332">
        <f>IFERROR(VLOOKUP(TEXT(H91,"0"),IPRESS!$A$3:$B$212,2,0),"")</f>
        <v/>
      </c>
      <c r="J91" s="337" t="inlineStr">
        <is>
          <t>4838</t>
        </is>
      </c>
      <c r="K91" s="332">
        <f>IFERROR(VLOOKUP(TEXT(O91,"0"),CONDUCTORES!$A$3:$G$100,7,0),"")</f>
        <v/>
      </c>
      <c r="L91" s="340" t="n">
        <v>17.95</v>
      </c>
      <c r="M91" s="340" t="n">
        <v>20</v>
      </c>
      <c r="N91" s="333">
        <f>IFERROR(IF(L91*M91=0,"",L91*M91),"")</f>
        <v/>
      </c>
      <c r="O91" s="334" t="n"/>
      <c r="P91" s="332">
        <f>IFERROR(VLOOKUP(TEXT(O91,"0"),CONDUCTORES!$A$3:$G$100,2,0),"")</f>
        <v/>
      </c>
      <c r="Q91" s="332">
        <f>IFERROR(VLOOKUP(TEXT(O91,"0"),CONDUCTORES!$A$3:$H$100,6,0),"")</f>
        <v/>
      </c>
      <c r="R91" s="339" t="n">
        <v>45994</v>
      </c>
      <c r="S91" s="338" t="inlineStr">
        <is>
          <t>K359</t>
        </is>
      </c>
      <c r="T91" s="337" t="n"/>
      <c r="U91" s="341" t="n"/>
      <c r="V91" s="337" t="n"/>
      <c r="W91" s="337" t="n"/>
      <c r="X91" s="337" t="n"/>
      <c r="Y91" s="280" t="n"/>
    </row>
    <row r="92" ht="15.75" customHeight="1" s="195">
      <c r="A92" s="337" t="n">
        <v>82</v>
      </c>
      <c r="B92" s="338" t="inlineStr">
        <is>
          <t>00000002</t>
        </is>
      </c>
      <c r="C92" s="337" t="inlineStr">
        <is>
          <t>REGION</t>
        </is>
      </c>
      <c r="D92" s="338" t="inlineStr">
        <is>
          <t>VELA HERRERA YARITA LISETH</t>
        </is>
      </c>
      <c r="E92" s="337" t="inlineStr">
        <is>
          <t>DNI</t>
        </is>
      </c>
      <c r="F92" s="337" t="inlineStr">
        <is>
          <t>93981661</t>
        </is>
      </c>
      <c r="G92" s="339" t="n">
        <v>45923</v>
      </c>
      <c r="H92" s="337" t="inlineStr">
        <is>
          <t>4913</t>
        </is>
      </c>
      <c r="I92" s="332">
        <f>IFERROR(VLOOKUP(TEXT(H92,"0"),IPRESS!$A$3:$B$212,2,0),"")</f>
        <v/>
      </c>
      <c r="J92" s="337" t="inlineStr">
        <is>
          <t>4838</t>
        </is>
      </c>
      <c r="K92" s="332">
        <f>IFERROR(VLOOKUP(TEXT(O92,"0"),CONDUCTORES!$A$3:$G$100,7,0),"")</f>
        <v/>
      </c>
      <c r="L92" s="340" t="n">
        <v>17.95</v>
      </c>
      <c r="M92" s="340" t="n">
        <v>20</v>
      </c>
      <c r="N92" s="333">
        <f>IFERROR(IF(L92*M92=0,"",L92*M92),"")</f>
        <v/>
      </c>
      <c r="O92" s="280" t="n"/>
      <c r="P92" s="332">
        <f>IFERROR(VLOOKUP(TEXT(O92,"0"),CONDUCTORES!$A$3:$G$100,2,0),"")</f>
        <v/>
      </c>
      <c r="Q92" s="332">
        <f>IFERROR(VLOOKUP(TEXT(O92,"0"),CONDUCTORES!$A$3:$H$100,6,0),"")</f>
        <v/>
      </c>
      <c r="R92" s="339" t="n">
        <v>45994</v>
      </c>
      <c r="S92" s="338" t="inlineStr">
        <is>
          <t>J159,J969</t>
        </is>
      </c>
      <c r="T92" s="337" t="n"/>
      <c r="U92" s="341" t="n"/>
      <c r="V92" s="337" t="n"/>
      <c r="W92" s="337" t="n"/>
      <c r="X92" s="337" t="n"/>
      <c r="Y92" s="280" t="n"/>
    </row>
    <row r="93" ht="15.75" customHeight="1" s="195">
      <c r="A93" s="241" t="n">
        <v>83</v>
      </c>
      <c r="B93" s="305" t="inlineStr">
        <is>
          <t>00000005</t>
        </is>
      </c>
      <c r="C93" s="241" t="inlineStr">
        <is>
          <t>REGION</t>
        </is>
      </c>
      <c r="D93" s="305" t="inlineStr">
        <is>
          <t>MESTANZA VARGAS MERY</t>
        </is>
      </c>
      <c r="E93" s="241" t="inlineStr">
        <is>
          <t>DNI</t>
        </is>
      </c>
      <c r="F93" s="241" t="inlineStr">
        <is>
          <t>74566629</t>
        </is>
      </c>
      <c r="G93" s="336" t="n">
        <v>45901</v>
      </c>
      <c r="H93" s="241" t="inlineStr">
        <is>
          <t>4844</t>
        </is>
      </c>
      <c r="I93" s="332">
        <f>IFERROR(VLOOKUP(TEXT(H93,"0"),IPRESS!$A$3:$B$212,2,0),"")</f>
        <v/>
      </c>
      <c r="J93" s="241" t="inlineStr">
        <is>
          <t>4838</t>
        </is>
      </c>
      <c r="K93" s="332">
        <f>IFERROR(VLOOKUP(TEXT(O93,"0"),CONDUCTORES!$A$3:$G$100,7,0),"")</f>
        <v/>
      </c>
      <c r="L93" s="239" t="n">
        <v>18.18</v>
      </c>
      <c r="M93" s="239" t="n">
        <v>21.8</v>
      </c>
      <c r="N93" s="333">
        <f>IFERROR(IF(L93*M93=0,"",L93*M93),"")</f>
        <v/>
      </c>
      <c r="O93" s="334" t="n"/>
      <c r="P93" s="332">
        <f>IFERROR(VLOOKUP(TEXT(O93,"0"),CONDUCTORES!$A$3:$G$100,2,0),"")</f>
        <v/>
      </c>
      <c r="Q93" s="332">
        <f>IFERROR(VLOOKUP(TEXT(O93,"0"),CONDUCTORES!$A$3:$H$100,6,0),"")</f>
        <v/>
      </c>
      <c r="R93" s="280" t="n"/>
      <c r="S93" s="305" t="inlineStr">
        <is>
          <t>O230,O470</t>
        </is>
      </c>
      <c r="T93" s="241" t="n"/>
      <c r="U93" s="280" t="n"/>
      <c r="V93" s="241" t="n"/>
      <c r="W93" s="241" t="n"/>
      <c r="X93" s="241" t="n"/>
      <c r="Y93" s="280" t="n"/>
    </row>
    <row r="94" ht="15.75" customHeight="1" s="195">
      <c r="A94" s="301" t="n">
        <v>84</v>
      </c>
      <c r="B94" s="302" t="inlineStr">
        <is>
          <t>00000041</t>
        </is>
      </c>
      <c r="C94" s="301" t="inlineStr">
        <is>
          <t>REGION</t>
        </is>
      </c>
      <c r="D94" s="302" t="inlineStr">
        <is>
          <t>LAURENCIO GARCIA LUIS ANGEL</t>
        </is>
      </c>
      <c r="E94" s="301" t="inlineStr">
        <is>
          <t>DNI</t>
        </is>
      </c>
      <c r="F94" s="301" t="inlineStr">
        <is>
          <t>93822895</t>
        </is>
      </c>
      <c r="G94" s="331" t="n">
        <v>45903</v>
      </c>
      <c r="H94" s="301" t="inlineStr">
        <is>
          <t>4903</t>
        </is>
      </c>
      <c r="I94" s="332">
        <f>IFERROR(VLOOKUP(TEXT(H94,"0"),IPRESS!$A$3:$B$212,2,0),"")</f>
        <v/>
      </c>
      <c r="J94" s="301" t="inlineStr">
        <is>
          <t>4838</t>
        </is>
      </c>
      <c r="K94" s="332">
        <f>IFERROR(VLOOKUP(TEXT(O94,"0"),CONDUCTORES!$A$3:$G$100,7,0),"")</f>
        <v/>
      </c>
      <c r="L94" s="245" t="n">
        <v>18.18</v>
      </c>
      <c r="M94" s="245" t="n">
        <v>5</v>
      </c>
      <c r="N94" s="333">
        <f>IFERROR(IF(L94*M94=0,"",L94*M94),"")</f>
        <v/>
      </c>
      <c r="O94" s="280" t="n"/>
      <c r="P94" s="332">
        <f>IFERROR(VLOOKUP(TEXT(O94,"0"),CONDUCTORES!$A$3:$G$100,2,0),"")</f>
        <v/>
      </c>
      <c r="Q94" s="332">
        <f>IFERROR(VLOOKUP(TEXT(O94,"0"),CONDUCTORES!$A$3:$H$100,6,0),"")</f>
        <v/>
      </c>
      <c r="R94" s="331" t="n">
        <v>45994</v>
      </c>
      <c r="S94" s="302" t="inlineStr">
        <is>
          <t>J969</t>
        </is>
      </c>
      <c r="T94" s="301" t="n"/>
      <c r="U94" s="334" t="n"/>
      <c r="V94" s="301" t="n"/>
      <c r="W94" s="301" t="n"/>
      <c r="X94" s="301" t="n"/>
      <c r="Y94" s="280" t="n"/>
    </row>
    <row r="95" ht="15.75" customHeight="1" s="195">
      <c r="A95" s="241" t="n">
        <v>85</v>
      </c>
      <c r="B95" s="305" t="inlineStr">
        <is>
          <t>00000042</t>
        </is>
      </c>
      <c r="C95" s="241" t="inlineStr">
        <is>
          <t>REGION</t>
        </is>
      </c>
      <c r="D95" s="305" t="inlineStr">
        <is>
          <t>ECHAIZ MENDOZA JOSE LUIS</t>
        </is>
      </c>
      <c r="E95" s="241" t="inlineStr">
        <is>
          <t>DNI</t>
        </is>
      </c>
      <c r="F95" s="241" t="inlineStr">
        <is>
          <t>77813795</t>
        </is>
      </c>
      <c r="G95" s="336" t="n">
        <v>45903</v>
      </c>
      <c r="H95" s="241" t="inlineStr">
        <is>
          <t>4903</t>
        </is>
      </c>
      <c r="I95" s="332">
        <f>IFERROR(VLOOKUP(TEXT(H95,"0"),IPRESS!$A$3:$B$212,2,0),"")</f>
        <v/>
      </c>
      <c r="J95" s="241" t="inlineStr">
        <is>
          <t>4838</t>
        </is>
      </c>
      <c r="K95" s="332">
        <f>IFERROR(VLOOKUP(TEXT(O95,"0"),CONDUCTORES!$A$3:$G$100,7,0),"")</f>
        <v/>
      </c>
      <c r="L95" s="239" t="n">
        <v>18.18</v>
      </c>
      <c r="M95" s="239" t="n">
        <v>5</v>
      </c>
      <c r="N95" s="333">
        <f>IFERROR(IF(L95*M95=0,"",L95*M95),"")</f>
        <v/>
      </c>
      <c r="O95" s="334" t="n"/>
      <c r="P95" s="332">
        <f>IFERROR(VLOOKUP(TEXT(O95,"0"),CONDUCTORES!$A$3:$G$100,2,0),"")</f>
        <v/>
      </c>
      <c r="Q95" s="332">
        <f>IFERROR(VLOOKUP(TEXT(O95,"0"),CONDUCTORES!$A$3:$H$100,6,0),"")</f>
        <v/>
      </c>
      <c r="R95" s="336" t="n">
        <v>45994</v>
      </c>
      <c r="S95" s="305" t="inlineStr">
        <is>
          <t>S670,S925</t>
        </is>
      </c>
      <c r="T95" s="241" t="n"/>
      <c r="U95" s="280" t="n"/>
      <c r="V95" s="241" t="n"/>
      <c r="W95" s="241" t="n"/>
      <c r="X95" s="241" t="n"/>
      <c r="Y95" s="280" t="n"/>
    </row>
    <row r="96" ht="15.75" customHeight="1" s="195">
      <c r="A96" s="301" t="n">
        <v>86</v>
      </c>
      <c r="B96" s="302" t="inlineStr">
        <is>
          <t>00000043</t>
        </is>
      </c>
      <c r="C96" s="301" t="inlineStr">
        <is>
          <t>REGION</t>
        </is>
      </c>
      <c r="D96" s="302" t="inlineStr">
        <is>
          <t>RAMIRES RAMOS JUSTINIANO</t>
        </is>
      </c>
      <c r="E96" s="301" t="inlineStr">
        <is>
          <t>DNI</t>
        </is>
      </c>
      <c r="F96" s="301" t="inlineStr">
        <is>
          <t>1028346</t>
        </is>
      </c>
      <c r="G96" s="331" t="n">
        <v>45904</v>
      </c>
      <c r="H96" s="301" t="inlineStr">
        <is>
          <t>4903</t>
        </is>
      </c>
      <c r="I96" s="332">
        <f>IFERROR(VLOOKUP(TEXT(H96,"0"),IPRESS!$A$3:$B$212,2,0),"")</f>
        <v/>
      </c>
      <c r="J96" s="301" t="inlineStr">
        <is>
          <t>4838</t>
        </is>
      </c>
      <c r="K96" s="332">
        <f>IFERROR(VLOOKUP(TEXT(O96,"0"),CONDUCTORES!$A$3:$G$100,7,0),"")</f>
        <v/>
      </c>
      <c r="L96" s="245" t="n">
        <v>18.18</v>
      </c>
      <c r="M96" s="245" t="n">
        <v>5</v>
      </c>
      <c r="N96" s="333">
        <f>IFERROR(IF(L96*M96=0,"",L96*M96),"")</f>
        <v/>
      </c>
      <c r="O96" s="280" t="n"/>
      <c r="P96" s="332">
        <f>IFERROR(VLOOKUP(TEXT(O96,"0"),CONDUCTORES!$A$3:$G$100,2,0),"")</f>
        <v/>
      </c>
      <c r="Q96" s="332">
        <f>IFERROR(VLOOKUP(TEXT(O96,"0"),CONDUCTORES!$A$3:$H$100,6,0),"")</f>
        <v/>
      </c>
      <c r="R96" s="331" t="n">
        <v>45994</v>
      </c>
      <c r="S96" s="302" t="inlineStr">
        <is>
          <t>R33X</t>
        </is>
      </c>
      <c r="T96" s="301" t="n"/>
      <c r="U96" s="334" t="n"/>
      <c r="V96" s="301" t="n"/>
      <c r="W96" s="301" t="n"/>
      <c r="X96" s="301" t="n"/>
      <c r="Y96" s="280" t="n"/>
    </row>
    <row r="97" ht="15.75" customHeight="1" s="195">
      <c r="A97" s="241" t="n">
        <v>87</v>
      </c>
      <c r="B97" s="305" t="inlineStr">
        <is>
          <t>00000003</t>
        </is>
      </c>
      <c r="C97" s="241" t="inlineStr">
        <is>
          <t>REGION</t>
        </is>
      </c>
      <c r="D97" s="305" t="inlineStr">
        <is>
          <t>CHAVEZ DELGADO JORGE LUIS</t>
        </is>
      </c>
      <c r="E97" s="241" t="inlineStr">
        <is>
          <t>DNI</t>
        </is>
      </c>
      <c r="F97" s="241" t="inlineStr">
        <is>
          <t>61645330</t>
        </is>
      </c>
      <c r="G97" s="336" t="n">
        <v>45906</v>
      </c>
      <c r="H97" s="241" t="inlineStr">
        <is>
          <t>7060</t>
        </is>
      </c>
      <c r="I97" s="332">
        <f>IFERROR(VLOOKUP(TEXT(H97,"0"),IPRESS!$A$3:$B$212,2,0),"")</f>
        <v/>
      </c>
      <c r="J97" s="241" t="inlineStr">
        <is>
          <t>4838</t>
        </is>
      </c>
      <c r="K97" s="332">
        <f>IFERROR(VLOOKUP(TEXT(O97,"0"),CONDUCTORES!$A$3:$G$100,7,0),"")</f>
        <v/>
      </c>
      <c r="L97" s="239" t="n">
        <v>18.18</v>
      </c>
      <c r="M97" s="239" t="n">
        <v>20</v>
      </c>
      <c r="N97" s="333">
        <f>IFERROR(IF(L97*M97=0,"",L97*M97),"")</f>
        <v/>
      </c>
      <c r="O97" s="334" t="n"/>
      <c r="P97" s="332">
        <f>IFERROR(VLOOKUP(TEXT(O97,"0"),CONDUCTORES!$A$3:$G$100,2,0),"")</f>
        <v/>
      </c>
      <c r="Q97" s="332">
        <f>IFERROR(VLOOKUP(TEXT(O97,"0"),CONDUCTORES!$A$3:$H$100,6,0),"")</f>
        <v/>
      </c>
      <c r="R97" s="280" t="n"/>
      <c r="S97" s="305" t="inlineStr">
        <is>
          <t>K403,S302,N459</t>
        </is>
      </c>
      <c r="T97" s="241" t="inlineStr">
        <is>
          <t>DEVOLUCION DE COMBUSTIBLE AL C.S. COLLONCE</t>
        </is>
      </c>
      <c r="U97" s="280" t="n"/>
      <c r="V97" s="241" t="n"/>
      <c r="W97" s="241" t="n"/>
      <c r="X97" s="241" t="n"/>
      <c r="Y97" s="280" t="n"/>
    </row>
    <row r="98" ht="15.75" customHeight="1" s="195">
      <c r="A98" s="301" t="n">
        <v>88</v>
      </c>
      <c r="B98" s="302" t="inlineStr">
        <is>
          <t>00000034</t>
        </is>
      </c>
      <c r="C98" s="301" t="inlineStr">
        <is>
          <t>REGION</t>
        </is>
      </c>
      <c r="D98" s="302" t="inlineStr">
        <is>
          <t>ACUÑA DAMACEN NALLU</t>
        </is>
      </c>
      <c r="E98" s="301" t="inlineStr">
        <is>
          <t>DNI</t>
        </is>
      </c>
      <c r="F98" s="301" t="inlineStr">
        <is>
          <t>77689648</t>
        </is>
      </c>
      <c r="G98" s="331" t="n">
        <v>45908</v>
      </c>
      <c r="H98" s="301" t="inlineStr">
        <is>
          <t>4904</t>
        </is>
      </c>
      <c r="I98" s="332">
        <f>IFERROR(VLOOKUP(TEXT(H98,"0"),IPRESS!$A$3:$B$212,2,0),"")</f>
        <v/>
      </c>
      <c r="J98" s="301" t="inlineStr">
        <is>
          <t>4838</t>
        </is>
      </c>
      <c r="K98" s="332">
        <f>IFERROR(VLOOKUP(TEXT(O98,"0"),CONDUCTORES!$A$3:$G$100,7,0),"")</f>
        <v/>
      </c>
      <c r="L98" s="245" t="n">
        <v>18.18</v>
      </c>
      <c r="M98" s="245" t="n">
        <v>6</v>
      </c>
      <c r="N98" s="333">
        <f>IFERROR(IF(L98*M98=0,"",L98*M98),"")</f>
        <v/>
      </c>
      <c r="O98" s="280" t="n"/>
      <c r="P98" s="332">
        <f>IFERROR(VLOOKUP(TEXT(O98,"0"),CONDUCTORES!$A$3:$G$100,2,0),"")</f>
        <v/>
      </c>
      <c r="Q98" s="332">
        <f>IFERROR(VLOOKUP(TEXT(O98,"0"),CONDUCTORES!$A$3:$H$100,6,0),"")</f>
        <v/>
      </c>
      <c r="R98" s="331" t="n">
        <v>45981</v>
      </c>
      <c r="S98" s="302" t="inlineStr">
        <is>
          <t>N939</t>
        </is>
      </c>
      <c r="T98" s="301" t="n"/>
      <c r="U98" s="334" t="n"/>
      <c r="V98" s="301" t="n"/>
      <c r="W98" s="301" t="n"/>
      <c r="X98" s="301" t="n"/>
      <c r="Y98" s="280" t="n"/>
    </row>
    <row r="99" ht="15.75" customHeight="1" s="195">
      <c r="A99" s="241" t="n">
        <v>89</v>
      </c>
      <c r="B99" s="305" t="inlineStr">
        <is>
          <t>00000035</t>
        </is>
      </c>
      <c r="C99" s="241" t="inlineStr">
        <is>
          <t>REGION</t>
        </is>
      </c>
      <c r="D99" s="305" t="inlineStr">
        <is>
          <t>OYARCE VARGAS EDUARDO</t>
        </is>
      </c>
      <c r="E99" s="241" t="inlineStr">
        <is>
          <t>DNI</t>
        </is>
      </c>
      <c r="F99" s="241" t="inlineStr">
        <is>
          <t>33784420</t>
        </is>
      </c>
      <c r="G99" s="336" t="n">
        <v>45912</v>
      </c>
      <c r="H99" s="241" t="inlineStr">
        <is>
          <t>4904</t>
        </is>
      </c>
      <c r="I99" s="332">
        <f>IFERROR(VLOOKUP(TEXT(H99,"0"),IPRESS!$A$3:$B$212,2,0),"")</f>
        <v/>
      </c>
      <c r="J99" s="241" t="inlineStr">
        <is>
          <t>4838</t>
        </is>
      </c>
      <c r="K99" s="332">
        <f>IFERROR(VLOOKUP(TEXT(O99,"0"),CONDUCTORES!$A$3:$G$100,7,0),"")</f>
        <v/>
      </c>
      <c r="L99" s="239" t="n">
        <v>18.18</v>
      </c>
      <c r="M99" s="239" t="n">
        <v>6</v>
      </c>
      <c r="N99" s="333">
        <f>IFERROR(IF(L99*M99=0,"",L99*M99),"")</f>
        <v/>
      </c>
      <c r="O99" s="334" t="n"/>
      <c r="P99" s="332">
        <f>IFERROR(VLOOKUP(TEXT(O99,"0"),CONDUCTORES!$A$3:$G$100,2,0),"")</f>
        <v/>
      </c>
      <c r="Q99" s="332">
        <f>IFERROR(VLOOKUP(TEXT(O99,"0"),CONDUCTORES!$A$3:$H$100,6,0),"")</f>
        <v/>
      </c>
      <c r="R99" s="336" t="n">
        <v>45981</v>
      </c>
      <c r="S99" s="305" t="inlineStr">
        <is>
          <t>J690</t>
        </is>
      </c>
      <c r="T99" s="241" t="n"/>
      <c r="U99" s="280" t="n"/>
      <c r="V99" s="241" t="n"/>
      <c r="W99" s="241" t="n"/>
      <c r="X99" s="241" t="n"/>
      <c r="Y99" s="280" t="n"/>
    </row>
    <row r="100" ht="15.75" customHeight="1" s="195">
      <c r="A100" s="301" t="n">
        <v>90</v>
      </c>
      <c r="B100" s="302" t="inlineStr">
        <is>
          <t>00000036</t>
        </is>
      </c>
      <c r="C100" s="301" t="inlineStr">
        <is>
          <t>REGION</t>
        </is>
      </c>
      <c r="D100" s="302" t="inlineStr">
        <is>
          <t>OYARCE CHAVEZ ELIZA TRINIDAD</t>
        </is>
      </c>
      <c r="E100" s="301" t="inlineStr">
        <is>
          <t>DNI</t>
        </is>
      </c>
      <c r="F100" s="301" t="inlineStr">
        <is>
          <t>47205993</t>
        </is>
      </c>
      <c r="G100" s="331" t="n">
        <v>45923</v>
      </c>
      <c r="H100" s="301" t="inlineStr">
        <is>
          <t>4904</t>
        </is>
      </c>
      <c r="I100" s="332">
        <f>IFERROR(VLOOKUP(TEXT(H100,"0"),IPRESS!$A$3:$B$212,2,0),"")</f>
        <v/>
      </c>
      <c r="J100" s="301" t="inlineStr">
        <is>
          <t>4838</t>
        </is>
      </c>
      <c r="K100" s="332">
        <f>IFERROR(VLOOKUP(TEXT(O100,"0"),CONDUCTORES!$A$3:$G$100,7,0),"")</f>
        <v/>
      </c>
      <c r="L100" s="245" t="n">
        <v>18.18</v>
      </c>
      <c r="M100" s="245" t="n">
        <v>6</v>
      </c>
      <c r="N100" s="333">
        <f>IFERROR(IF(L100*M100=0,"",L100*M100),"")</f>
        <v/>
      </c>
      <c r="O100" s="280" t="n"/>
      <c r="P100" s="332">
        <f>IFERROR(VLOOKUP(TEXT(O100,"0"),CONDUCTORES!$A$3:$G$100,2,0),"")</f>
        <v/>
      </c>
      <c r="Q100" s="332">
        <f>IFERROR(VLOOKUP(TEXT(O100,"0"),CONDUCTORES!$A$3:$H$100,6,0),"")</f>
        <v/>
      </c>
      <c r="R100" s="331" t="n">
        <v>45981</v>
      </c>
      <c r="S100" s="302" t="inlineStr">
        <is>
          <t>O268</t>
        </is>
      </c>
      <c r="T100" s="301" t="n"/>
      <c r="U100" s="334" t="n"/>
      <c r="V100" s="301" t="n"/>
      <c r="W100" s="301" t="n"/>
      <c r="X100" s="301" t="n"/>
      <c r="Y100" s="280" t="n"/>
    </row>
    <row r="101" ht="15.75" customHeight="1" s="195">
      <c r="A101" s="241" t="n">
        <v>91</v>
      </c>
      <c r="B101" s="305" t="inlineStr">
        <is>
          <t>00000032</t>
        </is>
      </c>
      <c r="C101" s="241" t="inlineStr">
        <is>
          <t>REGION</t>
        </is>
      </c>
      <c r="D101" s="305" t="inlineStr">
        <is>
          <t>CHANTA NAYRA ROGELIA</t>
        </is>
      </c>
      <c r="E101" s="241" t="inlineStr">
        <is>
          <t>DNI</t>
        </is>
      </c>
      <c r="F101" s="241" t="inlineStr">
        <is>
          <t>33962231</t>
        </is>
      </c>
      <c r="G101" s="336" t="n">
        <v>45918</v>
      </c>
      <c r="H101" s="241" t="inlineStr">
        <is>
          <t>4954</t>
        </is>
      </c>
      <c r="I101" s="332">
        <f>IFERROR(VLOOKUP(TEXT(H101,"0"),IPRESS!$A$3:$B$212,2,0),"")</f>
        <v/>
      </c>
      <c r="J101" s="241" t="inlineStr">
        <is>
          <t>4950</t>
        </is>
      </c>
      <c r="K101" s="332">
        <f>IFERROR(VLOOKUP(TEXT(O101,"0"),CONDUCTORES!$A$3:$G$100,7,0),"")</f>
        <v/>
      </c>
      <c r="L101" s="239" t="n">
        <v>20.25</v>
      </c>
      <c r="M101" s="239" t="n">
        <v>10</v>
      </c>
      <c r="N101" s="333">
        <f>IFERROR(IF(L101*M101=0,"",L101*M101),"")</f>
        <v/>
      </c>
      <c r="O101" s="334" t="n"/>
      <c r="P101" s="332">
        <f>IFERROR(VLOOKUP(TEXT(O101,"0"),CONDUCTORES!$A$3:$G$100,2,0),"")</f>
        <v/>
      </c>
      <c r="Q101" s="332">
        <f>IFERROR(VLOOKUP(TEXT(O101,"0"),CONDUCTORES!$A$3:$H$100,6,0),"")</f>
        <v/>
      </c>
      <c r="R101" s="336" t="n">
        <v>46010</v>
      </c>
      <c r="S101" s="305" t="inlineStr">
        <is>
          <t>R568,I10X,I639</t>
        </is>
      </c>
      <c r="T101" s="241" t="inlineStr">
        <is>
          <t>DEVOLVER EL COMBUSTIBLE AL C.S. OMIA</t>
        </is>
      </c>
      <c r="U101" s="280" t="n"/>
      <c r="V101" s="241" t="n"/>
      <c r="W101" s="241" t="n"/>
      <c r="X101" s="241" t="n"/>
      <c r="Y101" s="280" t="n"/>
    </row>
    <row r="102" ht="15.75" customHeight="1" s="195">
      <c r="A102" s="301" t="n">
        <v>92</v>
      </c>
      <c r="B102" s="302" t="inlineStr">
        <is>
          <t>00000034</t>
        </is>
      </c>
      <c r="C102" s="301" t="inlineStr">
        <is>
          <t>REGION</t>
        </is>
      </c>
      <c r="D102" s="302" t="inlineStr">
        <is>
          <t>BOBADILLA HUAMAN LIAN IZAC</t>
        </is>
      </c>
      <c r="E102" s="301" t="inlineStr">
        <is>
          <t>DNI</t>
        </is>
      </c>
      <c r="F102" s="301" t="inlineStr">
        <is>
          <t>93354749</t>
        </is>
      </c>
      <c r="G102" s="331" t="n">
        <v>45930</v>
      </c>
      <c r="H102" s="301" t="inlineStr">
        <is>
          <t>4954</t>
        </is>
      </c>
      <c r="I102" s="332">
        <f>IFERROR(VLOOKUP(TEXT(H102,"0"),IPRESS!$A$3:$B$212,2,0),"")</f>
        <v/>
      </c>
      <c r="J102" s="301" t="inlineStr">
        <is>
          <t>4950</t>
        </is>
      </c>
      <c r="K102" s="332">
        <f>IFERROR(VLOOKUP(TEXT(O102,"0"),CONDUCTORES!$A$3:$G$100,7,0),"")</f>
        <v/>
      </c>
      <c r="L102" s="245" t="n">
        <v>20.25</v>
      </c>
      <c r="M102" s="245" t="n">
        <v>10</v>
      </c>
      <c r="N102" s="333">
        <f>IFERROR(IF(L102*M102=0,"",L102*M102),"")</f>
        <v/>
      </c>
      <c r="O102" s="280" t="n"/>
      <c r="P102" s="332">
        <f>IFERROR(VLOOKUP(TEXT(O102,"0"),CONDUCTORES!$A$3:$G$100,2,0),"")</f>
        <v/>
      </c>
      <c r="Q102" s="332">
        <f>IFERROR(VLOOKUP(TEXT(O102,"0"),CONDUCTORES!$A$3:$H$100,6,0),"")</f>
        <v/>
      </c>
      <c r="R102" s="331" t="n">
        <v>46010</v>
      </c>
      <c r="S102" s="302" t="inlineStr">
        <is>
          <t>R560,G409,T175</t>
        </is>
      </c>
      <c r="T102" s="301" t="inlineStr">
        <is>
          <t>DEVOLVER EL COMBUSTIBLE AL C.S. OMIA</t>
        </is>
      </c>
      <c r="U102" s="334" t="n"/>
      <c r="V102" s="301" t="n"/>
      <c r="W102" s="301" t="n"/>
      <c r="X102" s="301" t="n"/>
      <c r="Y102" s="280" t="n"/>
    </row>
    <row r="103" ht="15" customHeight="1" s="195">
      <c r="A103" s="334" t="n"/>
      <c r="B103" s="334" t="n"/>
      <c r="C103" s="334" t="n"/>
      <c r="D103" s="334" t="n"/>
      <c r="E103" s="334" t="n"/>
      <c r="F103" s="334" t="n"/>
      <c r="G103" s="334" t="n"/>
      <c r="H103" s="334" t="n"/>
      <c r="I103" s="332">
        <f>IFERROR(VLOOKUP(TEXT(H103,"0"),IPRESS!$A$3:$B$212,2,0),"")</f>
        <v/>
      </c>
      <c r="J103" s="334" t="n"/>
      <c r="K103" s="332">
        <f>IFERROR(VLOOKUP(TEXT(O103,"0"),CONDUCTORES!$A$3:$G$54,7,0),"")</f>
        <v/>
      </c>
      <c r="L103" s="334" t="n"/>
      <c r="M103" s="334" t="n"/>
      <c r="N103" s="333">
        <f>IFERROR(IF(L103*M103=0,"",L103*M103),"")</f>
        <v/>
      </c>
      <c r="O103" s="334" t="n"/>
      <c r="P103" s="332">
        <f>IFERROR(VLOOKUP(TEXT(O103,"0"),CONDUCTORES!$A$3:$G$54,2,0),"")</f>
        <v/>
      </c>
      <c r="Q103" s="332">
        <f>IFERROR(VLOOKUP(TEXT(O103,"0"),CONDUCTORES!$A$3:$H$54,6,0),"")</f>
        <v/>
      </c>
      <c r="R103" s="334" t="n"/>
      <c r="S103" s="334" t="n"/>
      <c r="T103" s="334" t="n"/>
      <c r="U103" s="334" t="n"/>
      <c r="V103" s="334" t="n"/>
      <c r="W103" s="334" t="n"/>
      <c r="X103" s="334" t="n"/>
      <c r="Y103" s="334" t="n"/>
    </row>
    <row r="104" ht="24" customHeight="1" s="195">
      <c r="A104" s="342" t="inlineStr">
        <is>
          <t>SUBTOTAL (cambia al filtrar por EESS) →</t>
        </is>
      </c>
      <c r="K104" s="343" t="n"/>
      <c r="L104" s="280" t="n"/>
      <c r="M104" s="344">
        <f>SUBTOTAL(9,M4:M102)</f>
        <v/>
      </c>
      <c r="N104" s="344">
        <f>SUBTOTAL(9,N4:N102)</f>
        <v/>
      </c>
      <c r="O104" s="280" t="n"/>
      <c r="P104" s="332">
        <f>IFERROR(VLOOKUP(TEXT(O104,"0"),CONDUCTORES!$A$3:$G$100,2,0),"")</f>
        <v/>
      </c>
      <c r="Q104" s="332">
        <f>IFERROR(VLOOKUP(TEXT(O104,"0"),CONDUCTORES!$A$3:$H$100,6,0),"")</f>
        <v/>
      </c>
      <c r="R104" s="280" t="n"/>
      <c r="S104" s="280" t="n"/>
      <c r="T104" s="280" t="n"/>
      <c r="U104" s="280" t="n"/>
      <c r="V104" s="280" t="n"/>
      <c r="W104" s="280" t="n"/>
      <c r="X104" s="280" t="n"/>
      <c r="Y104" s="280" t="n"/>
    </row>
    <row r="105" ht="15" customHeight="1" s="195">
      <c r="A105" s="334" t="n"/>
      <c r="B105" s="334" t="n"/>
      <c r="C105" s="334" t="n"/>
      <c r="D105" s="334" t="n"/>
      <c r="E105" s="334" t="n"/>
      <c r="F105" s="334" t="n"/>
      <c r="G105" s="334" t="n"/>
      <c r="H105" s="334" t="n"/>
      <c r="I105" s="343" t="n"/>
      <c r="J105" s="334" t="n"/>
      <c r="K105" s="343" t="n"/>
      <c r="L105" s="334" t="n"/>
      <c r="M105" s="334" t="n"/>
      <c r="N105" s="345" t="n"/>
      <c r="O105" s="334" t="n"/>
      <c r="P105" s="343" t="n"/>
      <c r="Q105" s="343" t="n"/>
      <c r="R105" s="334" t="n"/>
      <c r="S105" s="334" t="n"/>
      <c r="T105" s="334" t="n"/>
      <c r="U105" s="334" t="n"/>
      <c r="V105" s="334" t="n"/>
      <c r="W105" s="334" t="n"/>
      <c r="X105" s="334" t="n"/>
      <c r="Y105" s="334" t="n"/>
    </row>
    <row r="106" ht="15" customHeight="1" s="195">
      <c r="A106" s="280" t="n"/>
      <c r="B106" s="280" t="n"/>
      <c r="C106" s="280" t="n"/>
      <c r="D106" s="280" t="n"/>
      <c r="E106" s="280" t="n"/>
      <c r="F106" s="280" t="n"/>
      <c r="G106" s="280" t="n"/>
      <c r="H106" s="280" t="n"/>
      <c r="I106" s="343" t="n"/>
      <c r="J106" s="280" t="n"/>
      <c r="K106" s="343" t="n"/>
      <c r="L106" s="280" t="n"/>
      <c r="M106" s="280" t="n"/>
      <c r="N106" s="345" t="n"/>
      <c r="O106" s="280" t="n"/>
      <c r="P106" s="343" t="n"/>
      <c r="Q106" s="343" t="n"/>
      <c r="R106" s="280" t="n"/>
      <c r="S106" s="280" t="n"/>
      <c r="T106" s="280" t="n"/>
      <c r="U106" s="280" t="n"/>
      <c r="V106" s="280" t="n"/>
      <c r="W106" s="280" t="n"/>
      <c r="X106" s="280" t="n"/>
      <c r="Y106" s="280" t="n"/>
    </row>
    <row r="107" ht="15" customHeight="1" s="195">
      <c r="A107" s="334" t="n"/>
      <c r="B107" s="334" t="n"/>
      <c r="C107" s="334" t="n"/>
      <c r="D107" s="334" t="n"/>
      <c r="E107" s="334" t="n"/>
      <c r="F107" s="334" t="n"/>
      <c r="G107" s="334" t="n"/>
      <c r="H107" s="334" t="n"/>
      <c r="I107" s="343" t="n"/>
      <c r="J107" s="334" t="n"/>
      <c r="K107" s="343" t="n"/>
      <c r="L107" s="334" t="n"/>
      <c r="M107" s="334" t="n"/>
      <c r="N107" s="345" t="n"/>
      <c r="O107" s="334" t="n"/>
      <c r="P107" s="343" t="n"/>
      <c r="Q107" s="343" t="n"/>
      <c r="R107" s="334" t="n"/>
      <c r="S107" s="334" t="n"/>
      <c r="T107" s="334" t="n"/>
      <c r="U107" s="334" t="n"/>
      <c r="V107" s="334" t="n"/>
      <c r="W107" s="334" t="n"/>
      <c r="X107" s="334" t="n"/>
      <c r="Y107" s="334" t="n"/>
    </row>
    <row r="108" ht="15" customHeight="1" s="195">
      <c r="A108" s="280" t="n"/>
      <c r="B108" s="280" t="n"/>
      <c r="C108" s="280" t="n"/>
      <c r="D108" s="280" t="n"/>
      <c r="E108" s="280" t="n"/>
      <c r="F108" s="280" t="n"/>
      <c r="G108" s="280" t="n"/>
      <c r="H108" s="280" t="n"/>
      <c r="I108" s="343" t="n"/>
      <c r="J108" s="280" t="n"/>
      <c r="K108" s="343" t="n"/>
      <c r="L108" s="280" t="n"/>
      <c r="M108" s="280" t="n"/>
      <c r="N108" s="345" t="n"/>
      <c r="O108" s="280" t="n"/>
      <c r="P108" s="343" t="n"/>
      <c r="Q108" s="343" t="n"/>
      <c r="R108" s="280" t="n"/>
      <c r="S108" s="280" t="n"/>
      <c r="T108" s="280" t="n"/>
      <c r="U108" s="280" t="n"/>
      <c r="V108" s="280" t="n"/>
      <c r="W108" s="280" t="n"/>
      <c r="X108" s="280" t="n"/>
      <c r="Y108" s="280" t="n"/>
    </row>
    <row r="109" ht="15" customHeight="1" s="195">
      <c r="A109" s="334" t="n"/>
      <c r="B109" s="334" t="n"/>
      <c r="C109" s="334" t="n"/>
      <c r="D109" s="334" t="n"/>
      <c r="E109" s="334" t="n"/>
      <c r="F109" s="334" t="n"/>
      <c r="G109" s="334" t="n"/>
      <c r="H109" s="334" t="n"/>
      <c r="I109" s="332">
        <f>IFERROR(VLOOKUP(TEXT(H109,"0"),IPRESS!$A$3:$B$212,2,0),"")</f>
        <v/>
      </c>
      <c r="J109" s="334" t="n"/>
      <c r="K109" s="332">
        <f>IFERROR(VLOOKUP(TEXT(O109,"0"),CONDUCTORES!$A$3:$G$54,7,0),"")</f>
        <v/>
      </c>
      <c r="L109" s="334" t="n"/>
      <c r="M109" s="334" t="n"/>
      <c r="N109" s="333">
        <f>IFERROR(IF(L109*M109=0,"",L109*M109),"")</f>
        <v/>
      </c>
      <c r="O109" s="334" t="n"/>
      <c r="P109" s="332">
        <f>IFERROR(VLOOKUP(TEXT(O109,"0"),CONDUCTORES!$A$3:$G$54,2,0),"")</f>
        <v/>
      </c>
      <c r="Q109" s="332">
        <f>IFERROR(VLOOKUP(TEXT(O109,"0"),CONDUCTORES!$A$3:$H$54,6,0),"")</f>
        <v/>
      </c>
      <c r="R109" s="334" t="n"/>
      <c r="S109" s="334" t="n"/>
      <c r="T109" s="334" t="n"/>
      <c r="U109" s="334" t="n"/>
      <c r="V109" s="334" t="n"/>
      <c r="W109" s="334" t="n"/>
      <c r="X109" s="334" t="n"/>
      <c r="Y109" s="334" t="n"/>
    </row>
    <row r="110" ht="15" customHeight="1" s="195">
      <c r="A110" s="280" t="n"/>
      <c r="B110" s="280" t="n"/>
      <c r="C110" s="280" t="n"/>
      <c r="D110" s="280" t="n"/>
      <c r="E110" s="280" t="n"/>
      <c r="F110" s="280" t="n"/>
      <c r="G110" s="280" t="n"/>
      <c r="H110" s="280" t="n"/>
      <c r="I110" s="332">
        <f>IFERROR(VLOOKUP(TEXT(H110,"0"),IPRESS!$A$3:$B$212,2,0),"")</f>
        <v/>
      </c>
      <c r="J110" s="280" t="n"/>
      <c r="K110" s="332">
        <f>IFERROR(VLOOKUP(TEXT(O110,"0"),CONDUCTORES!$A$3:$G$54,7,0),"")</f>
        <v/>
      </c>
      <c r="L110" s="280" t="n"/>
      <c r="M110" s="280" t="n"/>
      <c r="N110" s="333">
        <f>IFERROR(IF(L110*M110=0,"",L110*M110),"")</f>
        <v/>
      </c>
      <c r="O110" s="280" t="n"/>
      <c r="P110" s="332">
        <f>IFERROR(VLOOKUP(TEXT(O110,"0"),CONDUCTORES!$A$3:$G$54,2,0),"")</f>
        <v/>
      </c>
      <c r="Q110" s="332">
        <f>IFERROR(VLOOKUP(TEXT(O110,"0"),CONDUCTORES!$A$3:$H$54,6,0),"")</f>
        <v/>
      </c>
      <c r="R110" s="280" t="n"/>
      <c r="S110" s="280" t="n"/>
      <c r="T110" s="280" t="n"/>
      <c r="U110" s="280" t="n"/>
      <c r="V110" s="280" t="n"/>
      <c r="W110" s="280" t="n"/>
      <c r="X110" s="280" t="n"/>
      <c r="Y110" s="280" t="n"/>
    </row>
    <row r="111" ht="15" customHeight="1" s="195">
      <c r="A111" s="334" t="n"/>
      <c r="B111" s="334" t="n"/>
      <c r="C111" s="334" t="n"/>
      <c r="D111" s="334" t="n"/>
      <c r="E111" s="334" t="n"/>
      <c r="F111" s="334" t="n"/>
      <c r="G111" s="334" t="n"/>
      <c r="H111" s="334" t="n"/>
      <c r="I111" s="332">
        <f>IFERROR(VLOOKUP(TEXT(H111,"0"),IPRESS!$A$3:$B$212,2,0),"")</f>
        <v/>
      </c>
      <c r="J111" s="334" t="n"/>
      <c r="K111" s="332">
        <f>IFERROR(VLOOKUP(TEXT(O111,"0"),CONDUCTORES!$A$3:$G$54,7,0),"")</f>
        <v/>
      </c>
      <c r="L111" s="334" t="n"/>
      <c r="M111" s="334" t="n"/>
      <c r="N111" s="333">
        <f>IFERROR(IF(L111*M111=0,"",L111*M111),"")</f>
        <v/>
      </c>
      <c r="O111" s="334" t="n"/>
      <c r="P111" s="332">
        <f>IFERROR(VLOOKUP(TEXT(O111,"0"),CONDUCTORES!$A$3:$G$54,2,0),"")</f>
        <v/>
      </c>
      <c r="Q111" s="332">
        <f>IFERROR(VLOOKUP(TEXT(O111,"0"),CONDUCTORES!$A$3:$H$54,6,0),"")</f>
        <v/>
      </c>
      <c r="R111" s="334" t="n"/>
      <c r="S111" s="334" t="n"/>
      <c r="T111" s="334" t="n"/>
      <c r="U111" s="334" t="n"/>
      <c r="V111" s="334" t="n"/>
      <c r="W111" s="334" t="n"/>
      <c r="X111" s="334" t="n"/>
      <c r="Y111" s="334" t="n"/>
    </row>
    <row r="112" ht="15" customHeight="1" s="195">
      <c r="A112" s="280" t="n"/>
      <c r="B112" s="280" t="n"/>
      <c r="C112" s="280" t="n"/>
      <c r="D112" s="280" t="n"/>
      <c r="E112" s="280" t="n"/>
      <c r="F112" s="280" t="n"/>
      <c r="G112" s="280" t="n"/>
      <c r="H112" s="280" t="n"/>
      <c r="I112" s="332">
        <f>IFERROR(VLOOKUP(TEXT(H112,"0"),IPRESS!$A$3:$B$212,2,0),"")</f>
        <v/>
      </c>
      <c r="J112" s="280" t="n"/>
      <c r="K112" s="332">
        <f>IFERROR(VLOOKUP(TEXT(O112,"0"),CONDUCTORES!$A$3:$G$54,7,0),"")</f>
        <v/>
      </c>
      <c r="L112" s="280" t="n"/>
      <c r="M112" s="280" t="n"/>
      <c r="N112" s="333">
        <f>IFERROR(IF(L112*M112=0,"",L112*M112),"")</f>
        <v/>
      </c>
      <c r="O112" s="280" t="n"/>
      <c r="P112" s="332">
        <f>IFERROR(VLOOKUP(TEXT(O112,"0"),CONDUCTORES!$A$3:$G$54,2,0),"")</f>
        <v/>
      </c>
      <c r="Q112" s="332">
        <f>IFERROR(VLOOKUP(TEXT(O112,"0"),CONDUCTORES!$A$3:$H$54,6,0),"")</f>
        <v/>
      </c>
      <c r="R112" s="280" t="n"/>
      <c r="S112" s="280" t="n"/>
      <c r="T112" s="280" t="n"/>
      <c r="U112" s="280" t="n"/>
      <c r="V112" s="280" t="n"/>
      <c r="W112" s="280" t="n"/>
      <c r="X112" s="280" t="n"/>
      <c r="Y112" s="280" t="n"/>
    </row>
    <row r="113" ht="15" customHeight="1" s="195">
      <c r="A113" s="334" t="n"/>
      <c r="B113" s="334" t="n"/>
      <c r="C113" s="334" t="n"/>
      <c r="D113" s="334" t="n"/>
      <c r="E113" s="334" t="n"/>
      <c r="F113" s="334" t="n"/>
      <c r="G113" s="334" t="n"/>
      <c r="H113" s="334" t="n"/>
      <c r="I113" s="332">
        <f>IFERROR(VLOOKUP(TEXT(H113,"0"),IPRESS!$A$3:$B$212,2,0),"")</f>
        <v/>
      </c>
      <c r="J113" s="334" t="n"/>
      <c r="K113" s="332">
        <f>IFERROR(VLOOKUP(TEXT(O113,"0"),CONDUCTORES!$A$3:$G$54,7,0),"")</f>
        <v/>
      </c>
      <c r="L113" s="334" t="n"/>
      <c r="M113" s="334" t="n"/>
      <c r="N113" s="333">
        <f>IFERROR(IF(L113*M113=0,"",L113*M113),"")</f>
        <v/>
      </c>
      <c r="O113" s="334" t="n"/>
      <c r="P113" s="332">
        <f>IFERROR(VLOOKUP(TEXT(O113,"0"),CONDUCTORES!$A$3:$G$54,2,0),"")</f>
        <v/>
      </c>
      <c r="Q113" s="332">
        <f>IFERROR(VLOOKUP(TEXT(O113,"0"),CONDUCTORES!$A$3:$H$54,6,0),"")</f>
        <v/>
      </c>
      <c r="R113" s="334" t="n"/>
      <c r="S113" s="334" t="n"/>
      <c r="T113" s="334" t="n"/>
      <c r="U113" s="334" t="n"/>
      <c r="V113" s="334" t="n"/>
      <c r="W113" s="334" t="n"/>
      <c r="X113" s="334" t="n"/>
      <c r="Y113" s="334" t="n"/>
    </row>
    <row r="114" ht="15" customHeight="1" s="195">
      <c r="A114" s="280" t="n"/>
      <c r="B114" s="280" t="n"/>
      <c r="C114" s="280" t="n"/>
      <c r="D114" s="280" t="n"/>
      <c r="E114" s="280" t="n"/>
      <c r="F114" s="280" t="n"/>
      <c r="G114" s="280" t="n"/>
      <c r="H114" s="280" t="n"/>
      <c r="I114" s="332">
        <f>IFERROR(VLOOKUP(TEXT(H114,"0"),IPRESS!$A$3:$B$212,2,0),"")</f>
        <v/>
      </c>
      <c r="J114" s="280" t="n"/>
      <c r="K114" s="332">
        <f>IFERROR(VLOOKUP(TEXT(O114,"0"),CONDUCTORES!$A$3:$G$54,7,0),"")</f>
        <v/>
      </c>
      <c r="L114" s="280" t="n"/>
      <c r="M114" s="280" t="n"/>
      <c r="N114" s="333">
        <f>IFERROR(IF(L114*M114=0,"",L114*M114),"")</f>
        <v/>
      </c>
      <c r="O114" s="280" t="n"/>
      <c r="P114" s="332">
        <f>IFERROR(VLOOKUP(TEXT(O114,"0"),CONDUCTORES!$A$3:$G$54,2,0),"")</f>
        <v/>
      </c>
      <c r="Q114" s="332">
        <f>IFERROR(VLOOKUP(TEXT(O114,"0"),CONDUCTORES!$A$3:$H$54,6,0),"")</f>
        <v/>
      </c>
      <c r="R114" s="280" t="n"/>
      <c r="S114" s="280" t="n"/>
      <c r="T114" s="280" t="n"/>
      <c r="U114" s="280" t="n"/>
      <c r="V114" s="280" t="n"/>
      <c r="W114" s="280" t="n"/>
      <c r="X114" s="280" t="n"/>
      <c r="Y114" s="280" t="n"/>
    </row>
    <row r="115" ht="15" customHeight="1" s="195">
      <c r="A115" s="334" t="n"/>
      <c r="B115" s="334" t="n"/>
      <c r="C115" s="334" t="n"/>
      <c r="D115" s="334" t="n"/>
      <c r="E115" s="334" t="n"/>
      <c r="F115" s="334" t="n"/>
      <c r="G115" s="334" t="n"/>
      <c r="H115" s="334" t="n"/>
      <c r="I115" s="332">
        <f>IFERROR(VLOOKUP(TEXT(H115,"0"),IPRESS!$A$3:$B$212,2,0),"")</f>
        <v/>
      </c>
      <c r="J115" s="334" t="n"/>
      <c r="K115" s="332">
        <f>IFERROR(VLOOKUP(TEXT(O115,"0"),CONDUCTORES!$A$3:$G$54,7,0),"")</f>
        <v/>
      </c>
      <c r="L115" s="334" t="n"/>
      <c r="M115" s="334" t="n"/>
      <c r="N115" s="333">
        <f>IFERROR(IF(L115*M115=0,"",L115*M115),"")</f>
        <v/>
      </c>
      <c r="O115" s="334" t="n"/>
      <c r="P115" s="332">
        <f>IFERROR(VLOOKUP(TEXT(O115,"0"),CONDUCTORES!$A$3:$G$54,2,0),"")</f>
        <v/>
      </c>
      <c r="Q115" s="332">
        <f>IFERROR(VLOOKUP(TEXT(O115,"0"),CONDUCTORES!$A$3:$H$54,6,0),"")</f>
        <v/>
      </c>
      <c r="R115" s="334" t="n"/>
      <c r="S115" s="334" t="n"/>
      <c r="T115" s="334" t="n"/>
      <c r="U115" s="334" t="n"/>
      <c r="V115" s="334" t="n"/>
      <c r="W115" s="334" t="n"/>
      <c r="X115" s="334" t="n"/>
      <c r="Y115" s="334" t="n"/>
    </row>
    <row r="116" ht="15" customHeight="1" s="195">
      <c r="A116" s="280" t="n"/>
      <c r="B116" s="280" t="n"/>
      <c r="C116" s="280" t="n"/>
      <c r="D116" s="280" t="n"/>
      <c r="E116" s="280" t="n"/>
      <c r="F116" s="280" t="n"/>
      <c r="G116" s="280" t="n"/>
      <c r="H116" s="280" t="n"/>
      <c r="I116" s="332">
        <f>IFERROR(VLOOKUP(TEXT(H116,"0"),IPRESS!$A$3:$B$212,2,0),"")</f>
        <v/>
      </c>
      <c r="J116" s="280" t="n"/>
      <c r="K116" s="332">
        <f>IFERROR(VLOOKUP(TEXT(O116,"0"),CONDUCTORES!$A$3:$G$54,7,0),"")</f>
        <v/>
      </c>
      <c r="L116" s="280" t="n"/>
      <c r="M116" s="280" t="n"/>
      <c r="N116" s="333">
        <f>IFERROR(IF(L116*M116=0,"",L116*M116),"")</f>
        <v/>
      </c>
      <c r="O116" s="280" t="n"/>
      <c r="P116" s="332">
        <f>IFERROR(VLOOKUP(TEXT(O116,"0"),CONDUCTORES!$A$3:$G$54,2,0),"")</f>
        <v/>
      </c>
      <c r="Q116" s="332">
        <f>IFERROR(VLOOKUP(TEXT(O116,"0"),CONDUCTORES!$A$3:$H$54,6,0),"")</f>
        <v/>
      </c>
      <c r="R116" s="280" t="n"/>
      <c r="S116" s="280" t="n"/>
      <c r="T116" s="280" t="n"/>
      <c r="U116" s="280" t="n"/>
      <c r="V116" s="280" t="n"/>
      <c r="W116" s="280" t="n"/>
      <c r="X116" s="280" t="n"/>
      <c r="Y116" s="280" t="n"/>
    </row>
    <row r="117" ht="15" customHeight="1" s="195">
      <c r="A117" s="334" t="n"/>
      <c r="B117" s="334" t="n"/>
      <c r="C117" s="334" t="n"/>
      <c r="D117" s="334" t="n"/>
      <c r="E117" s="334" t="n"/>
      <c r="F117" s="334" t="n"/>
      <c r="G117" s="334" t="n"/>
      <c r="H117" s="334" t="n"/>
      <c r="I117" s="332">
        <f>IFERROR(VLOOKUP(TEXT(H117,"0"),IPRESS!$A$3:$B$212,2,0),"")</f>
        <v/>
      </c>
      <c r="J117" s="334" t="n"/>
      <c r="K117" s="332">
        <f>IFERROR(VLOOKUP(TEXT(O117,"0"),CONDUCTORES!$A$3:$G$54,7,0),"")</f>
        <v/>
      </c>
      <c r="L117" s="334" t="n"/>
      <c r="M117" s="334" t="n"/>
      <c r="N117" s="333">
        <f>IFERROR(IF(L117*M117=0,"",L117*M117),"")</f>
        <v/>
      </c>
      <c r="O117" s="334" t="n"/>
      <c r="P117" s="332">
        <f>IFERROR(VLOOKUP(TEXT(O117,"0"),CONDUCTORES!$A$3:$G$54,2,0),"")</f>
        <v/>
      </c>
      <c r="Q117" s="332">
        <f>IFERROR(VLOOKUP(TEXT(O117,"0"),CONDUCTORES!$A$3:$H$54,6,0),"")</f>
        <v/>
      </c>
      <c r="R117" s="334" t="n"/>
      <c r="S117" s="334" t="n"/>
      <c r="T117" s="334" t="n"/>
      <c r="U117" s="334" t="n"/>
      <c r="V117" s="334" t="n"/>
      <c r="W117" s="334" t="n"/>
      <c r="X117" s="334" t="n"/>
      <c r="Y117" s="334" t="n"/>
    </row>
    <row r="118" ht="15" customHeight="1" s="195">
      <c r="A118" s="280" t="n"/>
      <c r="B118" s="280" t="n"/>
      <c r="C118" s="280" t="n"/>
      <c r="D118" s="280" t="n"/>
      <c r="E118" s="280" t="n"/>
      <c r="F118" s="280" t="n"/>
      <c r="G118" s="280" t="n"/>
      <c r="H118" s="280" t="n"/>
      <c r="I118" s="332">
        <f>IFERROR(VLOOKUP(TEXT(H118,"0"),IPRESS!$A$3:$B$212,2,0),"")</f>
        <v/>
      </c>
      <c r="J118" s="280" t="n"/>
      <c r="K118" s="332">
        <f>IFERROR(VLOOKUP(TEXT(O118,"0"),CONDUCTORES!$A$3:$G$54,7,0),"")</f>
        <v/>
      </c>
      <c r="L118" s="280" t="n"/>
      <c r="M118" s="280" t="n"/>
      <c r="N118" s="333">
        <f>IFERROR(IF(L118*M118=0,"",L118*M118),"")</f>
        <v/>
      </c>
      <c r="O118" s="280" t="n"/>
      <c r="P118" s="332">
        <f>IFERROR(VLOOKUP(TEXT(O118,"0"),CONDUCTORES!$A$3:$G$54,2,0),"")</f>
        <v/>
      </c>
      <c r="Q118" s="332">
        <f>IFERROR(VLOOKUP(TEXT(O118,"0"),CONDUCTORES!$A$3:$H$54,6,0),"")</f>
        <v/>
      </c>
      <c r="R118" s="280" t="n"/>
      <c r="S118" s="280" t="n"/>
      <c r="T118" s="280" t="n"/>
      <c r="U118" s="280" t="n"/>
      <c r="V118" s="280" t="n"/>
      <c r="W118" s="280" t="n"/>
      <c r="X118" s="280" t="n"/>
      <c r="Y118" s="280" t="n"/>
    </row>
    <row r="119" ht="15" customHeight="1" s="195">
      <c r="A119" s="334" t="n"/>
      <c r="B119" s="334" t="n"/>
      <c r="C119" s="334" t="n"/>
      <c r="D119" s="334" t="n"/>
      <c r="E119" s="334" t="n"/>
      <c r="F119" s="334" t="n"/>
      <c r="G119" s="334" t="n"/>
      <c r="H119" s="334" t="n"/>
      <c r="I119" s="332">
        <f>IFERROR(VLOOKUP(TEXT(H119,"0"),IPRESS!$A$3:$B$212,2,0),"")</f>
        <v/>
      </c>
      <c r="J119" s="334" t="n"/>
      <c r="K119" s="332">
        <f>IFERROR(VLOOKUP(TEXT(O119,"0"),CONDUCTORES!$A$3:$G$54,7,0),"")</f>
        <v/>
      </c>
      <c r="L119" s="334" t="n"/>
      <c r="M119" s="334" t="n"/>
      <c r="N119" s="333">
        <f>IFERROR(IF(L119*M119=0,"",L119*M119),"")</f>
        <v/>
      </c>
      <c r="O119" s="334" t="n"/>
      <c r="P119" s="332">
        <f>IFERROR(VLOOKUP(TEXT(O119,"0"),CONDUCTORES!$A$3:$G$54,2,0),"")</f>
        <v/>
      </c>
      <c r="Q119" s="332">
        <f>IFERROR(VLOOKUP(TEXT(O119,"0"),CONDUCTORES!$A$3:$H$54,6,0),"")</f>
        <v/>
      </c>
      <c r="R119" s="334" t="n"/>
      <c r="S119" s="334" t="n"/>
      <c r="T119" s="334" t="n"/>
      <c r="U119" s="334" t="n"/>
      <c r="V119" s="334" t="n"/>
      <c r="W119" s="334" t="n"/>
      <c r="X119" s="334" t="n"/>
      <c r="Y119" s="334" t="n"/>
    </row>
    <row r="120" ht="15" customHeight="1" s="195">
      <c r="A120" s="280" t="n"/>
      <c r="B120" s="280" t="n"/>
      <c r="C120" s="280" t="n"/>
      <c r="D120" s="280" t="n"/>
      <c r="E120" s="280" t="n"/>
      <c r="F120" s="280" t="n"/>
      <c r="G120" s="280" t="n"/>
      <c r="H120" s="280" t="n"/>
      <c r="I120" s="332">
        <f>IFERROR(VLOOKUP(TEXT(H120,"0"),IPRESS!$A$3:$B$212,2,0),"")</f>
        <v/>
      </c>
      <c r="J120" s="280" t="n"/>
      <c r="K120" s="332">
        <f>IFERROR(VLOOKUP(TEXT(O120,"0"),CONDUCTORES!$A$3:$G$54,7,0),"")</f>
        <v/>
      </c>
      <c r="L120" s="280" t="n"/>
      <c r="M120" s="280" t="n"/>
      <c r="N120" s="333">
        <f>IFERROR(IF(L120*M120=0,"",L120*M120),"")</f>
        <v/>
      </c>
      <c r="O120" s="280" t="n"/>
      <c r="P120" s="332">
        <f>IFERROR(VLOOKUP(TEXT(O120,"0"),CONDUCTORES!$A$3:$G$54,2,0),"")</f>
        <v/>
      </c>
      <c r="Q120" s="332">
        <f>IFERROR(VLOOKUP(TEXT(O120,"0"),CONDUCTORES!$A$3:$H$54,6,0),"")</f>
        <v/>
      </c>
      <c r="R120" s="280" t="n"/>
      <c r="S120" s="280" t="n"/>
      <c r="T120" s="280" t="n"/>
      <c r="U120" s="280" t="n"/>
      <c r="V120" s="280" t="n"/>
      <c r="W120" s="280" t="n"/>
      <c r="X120" s="280" t="n"/>
      <c r="Y120" s="280" t="n"/>
    </row>
    <row r="121" ht="15" customHeight="1" s="195">
      <c r="A121" s="334" t="n"/>
      <c r="B121" s="334" t="n"/>
      <c r="C121" s="334" t="n"/>
      <c r="D121" s="334" t="n"/>
      <c r="E121" s="334" t="n"/>
      <c r="F121" s="334" t="n"/>
      <c r="G121" s="334" t="n"/>
      <c r="H121" s="334" t="n"/>
      <c r="I121" s="332">
        <f>IFERROR(VLOOKUP(TEXT(H121,"0"),IPRESS!$A$3:$B$212,2,0),"")</f>
        <v/>
      </c>
      <c r="J121" s="334" t="n"/>
      <c r="K121" s="332">
        <f>IFERROR(VLOOKUP(TEXT(O121,"0"),CONDUCTORES!$A$3:$G$54,7,0),"")</f>
        <v/>
      </c>
      <c r="L121" s="334" t="n"/>
      <c r="M121" s="334" t="n"/>
      <c r="N121" s="333">
        <f>IFERROR(IF(L121*M121=0,"",L121*M121),"")</f>
        <v/>
      </c>
      <c r="O121" s="334" t="n"/>
      <c r="P121" s="332">
        <f>IFERROR(VLOOKUP(TEXT(O121,"0"),CONDUCTORES!$A$3:$G$54,2,0),"")</f>
        <v/>
      </c>
      <c r="Q121" s="332">
        <f>IFERROR(VLOOKUP(TEXT(O121,"0"),CONDUCTORES!$A$3:$H$54,6,0),"")</f>
        <v/>
      </c>
      <c r="R121" s="334" t="n"/>
      <c r="S121" s="334" t="n"/>
      <c r="T121" s="334" t="n"/>
      <c r="U121" s="334" t="n"/>
      <c r="V121" s="334" t="n"/>
      <c r="W121" s="334" t="n"/>
      <c r="X121" s="334" t="n"/>
      <c r="Y121" s="334" t="n"/>
    </row>
    <row r="122" ht="15" customHeight="1" s="195">
      <c r="A122" s="280" t="n"/>
      <c r="B122" s="280" t="n"/>
      <c r="C122" s="280" t="n"/>
      <c r="D122" s="280" t="n"/>
      <c r="E122" s="280" t="n"/>
      <c r="F122" s="280" t="n"/>
      <c r="G122" s="280" t="n"/>
      <c r="H122" s="280" t="n"/>
      <c r="I122" s="332">
        <f>IFERROR(VLOOKUP(TEXT(H122,"0"),IPRESS!$A$3:$B$212,2,0),"")</f>
        <v/>
      </c>
      <c r="J122" s="280" t="n"/>
      <c r="K122" s="332">
        <f>IFERROR(VLOOKUP(TEXT(O122,"0"),CONDUCTORES!$A$3:$G$54,7,0),"")</f>
        <v/>
      </c>
      <c r="L122" s="280" t="n"/>
      <c r="M122" s="280" t="n"/>
      <c r="N122" s="333">
        <f>IFERROR(IF(L122*M122=0,"",L122*M122),"")</f>
        <v/>
      </c>
      <c r="O122" s="280" t="n"/>
      <c r="P122" s="332">
        <f>IFERROR(VLOOKUP(TEXT(O122,"0"),CONDUCTORES!$A$3:$G$54,2,0),"")</f>
        <v/>
      </c>
      <c r="Q122" s="332">
        <f>IFERROR(VLOOKUP(TEXT(O122,"0"),CONDUCTORES!$A$3:$H$54,6,0),"")</f>
        <v/>
      </c>
      <c r="R122" s="280" t="n"/>
      <c r="S122" s="280" t="n"/>
      <c r="T122" s="280" t="n"/>
      <c r="U122" s="280" t="n"/>
      <c r="V122" s="280" t="n"/>
      <c r="W122" s="280" t="n"/>
      <c r="X122" s="280" t="n"/>
      <c r="Y122" s="280" t="n"/>
    </row>
    <row r="123" ht="15" customHeight="1" s="195">
      <c r="A123" s="334" t="n"/>
      <c r="B123" s="334" t="n"/>
      <c r="C123" s="334" t="n"/>
      <c r="D123" s="334" t="n"/>
      <c r="E123" s="334" t="n"/>
      <c r="F123" s="334" t="n"/>
      <c r="G123" s="334" t="n"/>
      <c r="H123" s="334" t="n"/>
      <c r="I123" s="332">
        <f>IFERROR(VLOOKUP(TEXT(H123,"0"),IPRESS!$A$3:$B$212,2,0),"")</f>
        <v/>
      </c>
      <c r="J123" s="334" t="n"/>
      <c r="K123" s="332">
        <f>IFERROR(VLOOKUP(TEXT(O123,"0"),CONDUCTORES!$A$3:$G$54,7,0),"")</f>
        <v/>
      </c>
      <c r="L123" s="334" t="n"/>
      <c r="M123" s="334" t="n"/>
      <c r="N123" s="333">
        <f>IFERROR(IF(L123*M123=0,"",L123*M123),"")</f>
        <v/>
      </c>
      <c r="O123" s="334" t="n"/>
      <c r="P123" s="332">
        <f>IFERROR(VLOOKUP(TEXT(O123,"0"),CONDUCTORES!$A$3:$G$54,2,0),"")</f>
        <v/>
      </c>
      <c r="Q123" s="332">
        <f>IFERROR(VLOOKUP(TEXT(O123,"0"),CONDUCTORES!$A$3:$H$54,6,0),"")</f>
        <v/>
      </c>
      <c r="R123" s="334" t="n"/>
      <c r="S123" s="334" t="n"/>
      <c r="T123" s="334" t="n"/>
      <c r="U123" s="334" t="n"/>
      <c r="V123" s="334" t="n"/>
      <c r="W123" s="334" t="n"/>
      <c r="X123" s="334" t="n"/>
      <c r="Y123" s="334" t="n"/>
    </row>
    <row r="124" ht="15" customHeight="1" s="195">
      <c r="A124" s="280" t="n"/>
      <c r="B124" s="280" t="n"/>
      <c r="C124" s="280" t="n"/>
      <c r="D124" s="280" t="n"/>
      <c r="E124" s="280" t="n"/>
      <c r="F124" s="280" t="n"/>
      <c r="G124" s="280" t="n"/>
      <c r="H124" s="280" t="n"/>
      <c r="I124" s="332">
        <f>IFERROR(VLOOKUP(TEXT(H124,"0"),IPRESS!$A$3:$B$212,2,0),"")</f>
        <v/>
      </c>
      <c r="J124" s="280" t="n"/>
      <c r="K124" s="332">
        <f>IFERROR(VLOOKUP(TEXT(O124,"0"),CONDUCTORES!$A$3:$G$54,7,0),"")</f>
        <v/>
      </c>
      <c r="L124" s="280" t="n"/>
      <c r="M124" s="280" t="n"/>
      <c r="N124" s="333">
        <f>IFERROR(IF(L124*M124=0,"",L124*M124),"")</f>
        <v/>
      </c>
      <c r="O124" s="280" t="n"/>
      <c r="P124" s="332">
        <f>IFERROR(VLOOKUP(TEXT(O124,"0"),CONDUCTORES!$A$3:$G$54,2,0),"")</f>
        <v/>
      </c>
      <c r="Q124" s="332">
        <f>IFERROR(VLOOKUP(TEXT(O124,"0"),CONDUCTORES!$A$3:$H$54,6,0),"")</f>
        <v/>
      </c>
      <c r="R124" s="280" t="n"/>
      <c r="S124" s="280" t="n"/>
      <c r="T124" s="280" t="n"/>
      <c r="U124" s="280" t="n"/>
      <c r="V124" s="280" t="n"/>
      <c r="W124" s="280" t="n"/>
      <c r="X124" s="280" t="n"/>
      <c r="Y124" s="280" t="n"/>
    </row>
    <row r="125" ht="15" customHeight="1" s="195">
      <c r="A125" s="334" t="n"/>
      <c r="B125" s="334" t="n"/>
      <c r="C125" s="334" t="n"/>
      <c r="D125" s="334" t="n"/>
      <c r="E125" s="334" t="n"/>
      <c r="F125" s="334" t="n"/>
      <c r="G125" s="334" t="n"/>
      <c r="H125" s="334" t="n"/>
      <c r="I125" s="332">
        <f>IFERROR(VLOOKUP(TEXT(H125,"0"),IPRESS!$A$3:$B$212,2,0),"")</f>
        <v/>
      </c>
      <c r="J125" s="334" t="n"/>
      <c r="K125" s="332">
        <f>IFERROR(VLOOKUP(TEXT(O125,"0"),CONDUCTORES!$A$3:$G$54,7,0),"")</f>
        <v/>
      </c>
      <c r="L125" s="334" t="n"/>
      <c r="M125" s="334" t="n"/>
      <c r="N125" s="333">
        <f>IFERROR(IF(L125*M125=0,"",L125*M125),"")</f>
        <v/>
      </c>
      <c r="O125" s="334" t="n"/>
      <c r="P125" s="332">
        <f>IFERROR(VLOOKUP(TEXT(O125,"0"),CONDUCTORES!$A$3:$G$54,2,0),"")</f>
        <v/>
      </c>
      <c r="Q125" s="332">
        <f>IFERROR(VLOOKUP(TEXT(O125,"0"),CONDUCTORES!$A$3:$H$54,6,0),"")</f>
        <v/>
      </c>
      <c r="R125" s="334" t="n"/>
      <c r="S125" s="334" t="n"/>
      <c r="T125" s="334" t="n"/>
      <c r="U125" s="334" t="n"/>
      <c r="V125" s="334" t="n"/>
      <c r="W125" s="334" t="n"/>
      <c r="X125" s="334" t="n"/>
      <c r="Y125" s="334" t="n"/>
    </row>
    <row r="126" ht="15" customHeight="1" s="195">
      <c r="A126" s="280" t="n"/>
      <c r="B126" s="280" t="n"/>
      <c r="C126" s="280" t="n"/>
      <c r="D126" s="280" t="n"/>
      <c r="E126" s="280" t="n"/>
      <c r="F126" s="280" t="n"/>
      <c r="G126" s="280" t="n"/>
      <c r="H126" s="280" t="n"/>
      <c r="I126" s="332">
        <f>IFERROR(VLOOKUP(TEXT(H126,"0"),IPRESS!$A$3:$B$212,2,0),"")</f>
        <v/>
      </c>
      <c r="J126" s="280" t="n"/>
      <c r="K126" s="332">
        <f>IFERROR(VLOOKUP(TEXT(O126,"0"),CONDUCTORES!$A$3:$G$54,7,0),"")</f>
        <v/>
      </c>
      <c r="L126" s="280" t="n"/>
      <c r="M126" s="280" t="n"/>
      <c r="N126" s="333">
        <f>IFERROR(IF(L126*M126=0,"",L126*M126),"")</f>
        <v/>
      </c>
      <c r="O126" s="280" t="n"/>
      <c r="P126" s="332">
        <f>IFERROR(VLOOKUP(TEXT(O126,"0"),CONDUCTORES!$A$3:$G$54,2,0),"")</f>
        <v/>
      </c>
      <c r="Q126" s="332">
        <f>IFERROR(VLOOKUP(TEXT(O126,"0"),CONDUCTORES!$A$3:$H$54,6,0),"")</f>
        <v/>
      </c>
      <c r="R126" s="280" t="n"/>
      <c r="S126" s="280" t="n"/>
      <c r="T126" s="280" t="n"/>
      <c r="U126" s="280" t="n"/>
      <c r="V126" s="280" t="n"/>
      <c r="W126" s="280" t="n"/>
      <c r="X126" s="280" t="n"/>
      <c r="Y126" s="280" t="n"/>
    </row>
    <row r="127" ht="15" customHeight="1" s="195">
      <c r="A127" s="334" t="n"/>
      <c r="B127" s="334" t="n"/>
      <c r="C127" s="334" t="n"/>
      <c r="D127" s="334" t="n"/>
      <c r="E127" s="334" t="n"/>
      <c r="F127" s="334" t="n"/>
      <c r="G127" s="334" t="n"/>
      <c r="H127" s="334" t="n"/>
      <c r="I127" s="332">
        <f>IFERROR(VLOOKUP(TEXT(H127,"0"),IPRESS!$A$3:$B$212,2,0),"")</f>
        <v/>
      </c>
      <c r="J127" s="334" t="n"/>
      <c r="K127" s="332">
        <f>IFERROR(VLOOKUP(TEXT(O127,"0"),CONDUCTORES!$A$3:$G$54,7,0),"")</f>
        <v/>
      </c>
      <c r="L127" s="334" t="n"/>
      <c r="M127" s="334" t="n"/>
      <c r="N127" s="333">
        <f>IFERROR(IF(L127*M127=0,"",L127*M127),"")</f>
        <v/>
      </c>
      <c r="O127" s="334" t="n"/>
      <c r="P127" s="332">
        <f>IFERROR(VLOOKUP(TEXT(O127,"0"),CONDUCTORES!$A$3:$G$54,2,0),"")</f>
        <v/>
      </c>
      <c r="Q127" s="332">
        <f>IFERROR(VLOOKUP(TEXT(O127,"0"),CONDUCTORES!$A$3:$H$54,6,0),"")</f>
        <v/>
      </c>
      <c r="R127" s="334" t="n"/>
      <c r="S127" s="334" t="n"/>
      <c r="T127" s="334" t="n"/>
      <c r="U127" s="334" t="n"/>
      <c r="V127" s="334" t="n"/>
      <c r="W127" s="334" t="n"/>
      <c r="X127" s="334" t="n"/>
      <c r="Y127" s="334" t="n"/>
    </row>
    <row r="128" ht="15" customHeight="1" s="195">
      <c r="A128" s="280" t="n"/>
      <c r="B128" s="280" t="n"/>
      <c r="C128" s="280" t="n"/>
      <c r="D128" s="280" t="n"/>
      <c r="E128" s="280" t="n"/>
      <c r="F128" s="280" t="n"/>
      <c r="G128" s="280" t="n"/>
      <c r="H128" s="280" t="n"/>
      <c r="I128" s="332">
        <f>IFERROR(VLOOKUP(TEXT(H128,"0"),IPRESS!$A$3:$B$212,2,0),"")</f>
        <v/>
      </c>
      <c r="J128" s="280" t="n"/>
      <c r="K128" s="332">
        <f>IFERROR(VLOOKUP(TEXT(O128,"0"),CONDUCTORES!$A$3:$G$54,7,0),"")</f>
        <v/>
      </c>
      <c r="L128" s="280" t="n"/>
      <c r="M128" s="280" t="n"/>
      <c r="N128" s="333">
        <f>IFERROR(IF(L128*M128=0,"",L128*M128),"")</f>
        <v/>
      </c>
      <c r="O128" s="280" t="n"/>
      <c r="P128" s="332">
        <f>IFERROR(VLOOKUP(TEXT(O128,"0"),CONDUCTORES!$A$3:$G$54,2,0),"")</f>
        <v/>
      </c>
      <c r="Q128" s="332">
        <f>IFERROR(VLOOKUP(TEXT(O128,"0"),CONDUCTORES!$A$3:$H$54,6,0),"")</f>
        <v/>
      </c>
      <c r="R128" s="280" t="n"/>
      <c r="S128" s="280" t="n"/>
      <c r="T128" s="280" t="n"/>
      <c r="U128" s="280" t="n"/>
      <c r="V128" s="280" t="n"/>
      <c r="W128" s="280" t="n"/>
      <c r="X128" s="280" t="n"/>
      <c r="Y128" s="280" t="n"/>
    </row>
    <row r="129" ht="15" customHeight="1" s="195">
      <c r="A129" s="334" t="n"/>
      <c r="B129" s="334" t="n"/>
      <c r="C129" s="334" t="n"/>
      <c r="D129" s="334" t="n"/>
      <c r="E129" s="334" t="n"/>
      <c r="F129" s="334" t="n"/>
      <c r="G129" s="334" t="n"/>
      <c r="H129" s="334" t="n"/>
      <c r="I129" s="332">
        <f>IFERROR(VLOOKUP(TEXT(H129,"0"),IPRESS!$A$3:$B$212,2,0),"")</f>
        <v/>
      </c>
      <c r="J129" s="334" t="n"/>
      <c r="K129" s="332">
        <f>IFERROR(VLOOKUP(TEXT(O129,"0"),CONDUCTORES!$A$3:$G$54,7,0),"")</f>
        <v/>
      </c>
      <c r="L129" s="334" t="n"/>
      <c r="M129" s="334" t="n"/>
      <c r="N129" s="333">
        <f>IFERROR(IF(L129*M129=0,"",L129*M129),"")</f>
        <v/>
      </c>
      <c r="O129" s="334" t="n"/>
      <c r="P129" s="332">
        <f>IFERROR(VLOOKUP(TEXT(O129,"0"),CONDUCTORES!$A$3:$G$54,2,0),"")</f>
        <v/>
      </c>
      <c r="Q129" s="332">
        <f>IFERROR(VLOOKUP(TEXT(O129,"0"),CONDUCTORES!$A$3:$H$54,6,0),"")</f>
        <v/>
      </c>
      <c r="R129" s="334" t="n"/>
      <c r="S129" s="334" t="n"/>
      <c r="T129" s="334" t="n"/>
      <c r="U129" s="334" t="n"/>
      <c r="V129" s="334" t="n"/>
      <c r="W129" s="334" t="n"/>
      <c r="X129" s="334" t="n"/>
      <c r="Y129" s="334" t="n"/>
    </row>
    <row r="130" ht="15" customHeight="1" s="195">
      <c r="A130" s="280" t="n"/>
      <c r="B130" s="280" t="n"/>
      <c r="C130" s="280" t="n"/>
      <c r="D130" s="280" t="n"/>
      <c r="E130" s="280" t="n"/>
      <c r="F130" s="280" t="n"/>
      <c r="G130" s="280" t="n"/>
      <c r="H130" s="280" t="n"/>
      <c r="I130" s="332">
        <f>IFERROR(VLOOKUP(TEXT(H130,"0"),IPRESS!$A$3:$B$212,2,0),"")</f>
        <v/>
      </c>
      <c r="J130" s="280" t="n"/>
      <c r="K130" s="332">
        <f>IFERROR(VLOOKUP(TEXT(O130,"0"),CONDUCTORES!$A$3:$G$54,7,0),"")</f>
        <v/>
      </c>
      <c r="L130" s="280" t="n"/>
      <c r="M130" s="280" t="n"/>
      <c r="N130" s="333">
        <f>IFERROR(IF(L130*M130=0,"",L130*M130),"")</f>
        <v/>
      </c>
      <c r="O130" s="280" t="n"/>
      <c r="P130" s="332">
        <f>IFERROR(VLOOKUP(TEXT(O130,"0"),CONDUCTORES!$A$3:$G$54,2,0),"")</f>
        <v/>
      </c>
      <c r="Q130" s="332">
        <f>IFERROR(VLOOKUP(TEXT(O130,"0"),CONDUCTORES!$A$3:$H$54,6,0),"")</f>
        <v/>
      </c>
      <c r="R130" s="280" t="n"/>
      <c r="S130" s="280" t="n"/>
      <c r="T130" s="280" t="n"/>
      <c r="U130" s="280" t="n"/>
      <c r="V130" s="280" t="n"/>
      <c r="W130" s="280" t="n"/>
      <c r="X130" s="280" t="n"/>
      <c r="Y130" s="280" t="n"/>
    </row>
    <row r="131" ht="15" customHeight="1" s="195">
      <c r="A131" s="334" t="n"/>
      <c r="B131" s="334" t="n"/>
      <c r="C131" s="334" t="n"/>
      <c r="D131" s="334" t="n"/>
      <c r="E131" s="334" t="n"/>
      <c r="F131" s="334" t="n"/>
      <c r="G131" s="334" t="n"/>
      <c r="H131" s="334" t="n"/>
      <c r="I131" s="332">
        <f>IFERROR(VLOOKUP(TEXT(H131,"0"),IPRESS!$A$3:$B$212,2,0),"")</f>
        <v/>
      </c>
      <c r="J131" s="334" t="n"/>
      <c r="K131" s="332">
        <f>IFERROR(VLOOKUP(TEXT(O131,"0"),CONDUCTORES!$A$3:$G$54,7,0),"")</f>
        <v/>
      </c>
      <c r="L131" s="334" t="n"/>
      <c r="M131" s="334" t="n"/>
      <c r="N131" s="333">
        <f>IFERROR(IF(L131*M131=0,"",L131*M131),"")</f>
        <v/>
      </c>
      <c r="O131" s="334" t="n"/>
      <c r="P131" s="332">
        <f>IFERROR(VLOOKUP(TEXT(O131,"0"),CONDUCTORES!$A$3:$G$54,2,0),"")</f>
        <v/>
      </c>
      <c r="Q131" s="332">
        <f>IFERROR(VLOOKUP(TEXT(O131,"0"),CONDUCTORES!$A$3:$H$54,6,0),"")</f>
        <v/>
      </c>
      <c r="R131" s="334" t="n"/>
      <c r="S131" s="334" t="n"/>
      <c r="T131" s="334" t="n"/>
      <c r="U131" s="334" t="n"/>
      <c r="V131" s="334" t="n"/>
      <c r="W131" s="334" t="n"/>
      <c r="X131" s="334" t="n"/>
      <c r="Y131" s="334" t="n"/>
    </row>
    <row r="132" ht="15" customHeight="1" s="195">
      <c r="A132" s="280" t="n"/>
      <c r="B132" s="280" t="n"/>
      <c r="C132" s="280" t="n"/>
      <c r="D132" s="280" t="n"/>
      <c r="E132" s="280" t="n"/>
      <c r="F132" s="280" t="n"/>
      <c r="G132" s="280" t="n"/>
      <c r="H132" s="280" t="n"/>
      <c r="I132" s="332">
        <f>IFERROR(VLOOKUP(TEXT(H132,"0"),IPRESS!$A$3:$B$212,2,0),"")</f>
        <v/>
      </c>
      <c r="J132" s="280" t="n"/>
      <c r="K132" s="332">
        <f>IFERROR(VLOOKUP(TEXT(O132,"0"),CONDUCTORES!$A$3:$G$54,7,0),"")</f>
        <v/>
      </c>
      <c r="L132" s="280" t="n"/>
      <c r="M132" s="280" t="n"/>
      <c r="N132" s="333">
        <f>IFERROR(IF(L132*M132=0,"",L132*M132),"")</f>
        <v/>
      </c>
      <c r="O132" s="280" t="n"/>
      <c r="P132" s="332">
        <f>IFERROR(VLOOKUP(TEXT(O132,"0"),CONDUCTORES!$A$3:$G$54,2,0),"")</f>
        <v/>
      </c>
      <c r="Q132" s="332">
        <f>IFERROR(VLOOKUP(TEXT(O132,"0"),CONDUCTORES!$A$3:$H$54,6,0),"")</f>
        <v/>
      </c>
      <c r="R132" s="280" t="n"/>
      <c r="S132" s="280" t="n"/>
      <c r="T132" s="280" t="n"/>
      <c r="U132" s="280" t="n"/>
      <c r="V132" s="280" t="n"/>
      <c r="W132" s="280" t="n"/>
      <c r="X132" s="280" t="n"/>
      <c r="Y132" s="280" t="n"/>
    </row>
    <row r="133" ht="15" customHeight="1" s="195">
      <c r="A133" s="334" t="n"/>
      <c r="B133" s="334" t="n"/>
      <c r="C133" s="334" t="n"/>
      <c r="D133" s="334" t="n"/>
      <c r="E133" s="334" t="n"/>
      <c r="F133" s="334" t="n"/>
      <c r="G133" s="334" t="n"/>
      <c r="H133" s="334" t="n"/>
      <c r="I133" s="332">
        <f>IFERROR(VLOOKUP(TEXT(H133,"0"),IPRESS!$A$3:$B$212,2,0),"")</f>
        <v/>
      </c>
      <c r="J133" s="334" t="n"/>
      <c r="K133" s="332">
        <f>IFERROR(VLOOKUP(TEXT(O133,"0"),CONDUCTORES!$A$3:$G$54,7,0),"")</f>
        <v/>
      </c>
      <c r="L133" s="334" t="n"/>
      <c r="M133" s="334" t="n"/>
      <c r="N133" s="333">
        <f>IFERROR(IF(L133*M133=0,"",L133*M133),"")</f>
        <v/>
      </c>
      <c r="O133" s="334" t="n"/>
      <c r="P133" s="332">
        <f>IFERROR(VLOOKUP(TEXT(O133,"0"),CONDUCTORES!$A$3:$G$54,2,0),"")</f>
        <v/>
      </c>
      <c r="Q133" s="332">
        <f>IFERROR(VLOOKUP(TEXT(O133,"0"),CONDUCTORES!$A$3:$H$54,6,0),"")</f>
        <v/>
      </c>
      <c r="R133" s="334" t="n"/>
      <c r="S133" s="334" t="n"/>
      <c r="T133" s="334" t="n"/>
      <c r="U133" s="334" t="n"/>
      <c r="V133" s="334" t="n"/>
      <c r="W133" s="334" t="n"/>
      <c r="X133" s="334" t="n"/>
      <c r="Y133" s="334" t="n"/>
    </row>
    <row r="134" ht="15" customHeight="1" s="195">
      <c r="A134" s="280" t="n"/>
      <c r="B134" s="280" t="n"/>
      <c r="C134" s="280" t="n"/>
      <c r="D134" s="280" t="n"/>
      <c r="E134" s="280" t="n"/>
      <c r="F134" s="280" t="n"/>
      <c r="G134" s="280" t="n"/>
      <c r="H134" s="280" t="n"/>
      <c r="I134" s="332">
        <f>IFERROR(VLOOKUP(TEXT(H134,"0"),IPRESS!$A$3:$B$212,2,0),"")</f>
        <v/>
      </c>
      <c r="J134" s="280" t="n"/>
      <c r="K134" s="332">
        <f>IFERROR(VLOOKUP(TEXT(O134,"0"),CONDUCTORES!$A$3:$G$54,7,0),"")</f>
        <v/>
      </c>
      <c r="L134" s="280" t="n"/>
      <c r="M134" s="280" t="n"/>
      <c r="N134" s="333">
        <f>IFERROR(IF(L134*M134=0,"",L134*M134),"")</f>
        <v/>
      </c>
      <c r="O134" s="280" t="n"/>
      <c r="P134" s="332">
        <f>IFERROR(VLOOKUP(TEXT(O134,"0"),CONDUCTORES!$A$3:$G$54,2,0),"")</f>
        <v/>
      </c>
      <c r="Q134" s="332">
        <f>IFERROR(VLOOKUP(TEXT(O134,"0"),CONDUCTORES!$A$3:$H$54,6,0),"")</f>
        <v/>
      </c>
      <c r="R134" s="280" t="n"/>
      <c r="S134" s="280" t="n"/>
      <c r="T134" s="280" t="n"/>
      <c r="U134" s="280" t="n"/>
      <c r="V134" s="280" t="n"/>
      <c r="W134" s="280" t="n"/>
      <c r="X134" s="280" t="n"/>
      <c r="Y134" s="280" t="n"/>
    </row>
    <row r="135" ht="15" customHeight="1" s="195">
      <c r="A135" s="334" t="n"/>
      <c r="B135" s="334" t="n"/>
      <c r="C135" s="334" t="n"/>
      <c r="D135" s="334" t="n"/>
      <c r="E135" s="334" t="n"/>
      <c r="F135" s="334" t="n"/>
      <c r="G135" s="334" t="n"/>
      <c r="H135" s="334" t="n"/>
      <c r="I135" s="332">
        <f>IFERROR(VLOOKUP(TEXT(H135,"0"),IPRESS!$A$3:$B$212,2,0),"")</f>
        <v/>
      </c>
      <c r="J135" s="334" t="n"/>
      <c r="K135" s="332">
        <f>IFERROR(VLOOKUP(TEXT(O135,"0"),CONDUCTORES!$A$3:$G$54,7,0),"")</f>
        <v/>
      </c>
      <c r="L135" s="334" t="n"/>
      <c r="M135" s="334" t="n"/>
      <c r="N135" s="333">
        <f>IFERROR(IF(L135*M135=0,"",L135*M135),"")</f>
        <v/>
      </c>
      <c r="O135" s="334" t="n"/>
      <c r="P135" s="332">
        <f>IFERROR(VLOOKUP(TEXT(O135,"0"),CONDUCTORES!$A$3:$G$54,2,0),"")</f>
        <v/>
      </c>
      <c r="Q135" s="332">
        <f>IFERROR(VLOOKUP(TEXT(O135,"0"),CONDUCTORES!$A$3:$H$54,6,0),"")</f>
        <v/>
      </c>
      <c r="R135" s="334" t="n"/>
      <c r="S135" s="334" t="n"/>
      <c r="T135" s="334" t="n"/>
      <c r="U135" s="334" t="n"/>
      <c r="V135" s="334" t="n"/>
      <c r="W135" s="334" t="n"/>
      <c r="X135" s="334" t="n"/>
      <c r="Y135" s="334" t="n"/>
    </row>
    <row r="136" ht="15" customHeight="1" s="195">
      <c r="A136" s="280" t="n"/>
      <c r="B136" s="280" t="n"/>
      <c r="C136" s="280" t="n"/>
      <c r="D136" s="280" t="n"/>
      <c r="E136" s="280" t="n"/>
      <c r="F136" s="280" t="n"/>
      <c r="G136" s="280" t="n"/>
      <c r="H136" s="280" t="n"/>
      <c r="I136" s="332">
        <f>IFERROR(VLOOKUP(TEXT(H136,"0"),IPRESS!$A$3:$B$212,2,0),"")</f>
        <v/>
      </c>
      <c r="J136" s="280" t="n"/>
      <c r="K136" s="332">
        <f>IFERROR(VLOOKUP(TEXT(O136,"0"),CONDUCTORES!$A$3:$G$54,7,0),"")</f>
        <v/>
      </c>
      <c r="L136" s="280" t="n"/>
      <c r="M136" s="280" t="n"/>
      <c r="N136" s="333">
        <f>IFERROR(IF(L136*M136=0,"",L136*M136),"")</f>
        <v/>
      </c>
      <c r="O136" s="280" t="n"/>
      <c r="P136" s="332">
        <f>IFERROR(VLOOKUP(TEXT(O136,"0"),CONDUCTORES!$A$3:$G$54,2,0),"")</f>
        <v/>
      </c>
      <c r="Q136" s="332">
        <f>IFERROR(VLOOKUP(TEXT(O136,"0"),CONDUCTORES!$A$3:$H$54,6,0),"")</f>
        <v/>
      </c>
      <c r="R136" s="280" t="n"/>
      <c r="S136" s="280" t="n"/>
      <c r="T136" s="280" t="n"/>
      <c r="U136" s="280" t="n"/>
      <c r="V136" s="280" t="n"/>
      <c r="W136" s="280" t="n"/>
      <c r="X136" s="280" t="n"/>
      <c r="Y136" s="280" t="n"/>
    </row>
    <row r="137" ht="15" customHeight="1" s="195">
      <c r="A137" s="334" t="n"/>
      <c r="B137" s="334" t="n"/>
      <c r="C137" s="334" t="n"/>
      <c r="D137" s="334" t="n"/>
      <c r="E137" s="334" t="n"/>
      <c r="F137" s="334" t="n"/>
      <c r="G137" s="334" t="n"/>
      <c r="H137" s="334" t="n"/>
      <c r="I137" s="332">
        <f>IFERROR(VLOOKUP(TEXT(H137,"0"),IPRESS!$A$3:$B$212,2,0),"")</f>
        <v/>
      </c>
      <c r="J137" s="334" t="n"/>
      <c r="K137" s="332">
        <f>IFERROR(VLOOKUP(TEXT(O137,"0"),CONDUCTORES!$A$3:$G$54,7,0),"")</f>
        <v/>
      </c>
      <c r="L137" s="334" t="n"/>
      <c r="M137" s="334" t="n"/>
      <c r="N137" s="333">
        <f>IFERROR(IF(L137*M137=0,"",L137*M137),"")</f>
        <v/>
      </c>
      <c r="O137" s="334" t="n"/>
      <c r="P137" s="332">
        <f>IFERROR(VLOOKUP(TEXT(O137,"0"),CONDUCTORES!$A$3:$G$54,2,0),"")</f>
        <v/>
      </c>
      <c r="Q137" s="332">
        <f>IFERROR(VLOOKUP(TEXT(O137,"0"),CONDUCTORES!$A$3:$H$54,6,0),"")</f>
        <v/>
      </c>
      <c r="R137" s="334" t="n"/>
      <c r="S137" s="334" t="n"/>
      <c r="T137" s="334" t="n"/>
      <c r="U137" s="334" t="n"/>
      <c r="V137" s="334" t="n"/>
      <c r="W137" s="334" t="n"/>
      <c r="X137" s="334" t="n"/>
      <c r="Y137" s="334" t="n"/>
    </row>
    <row r="138" ht="15" customHeight="1" s="195">
      <c r="A138" s="280" t="n"/>
      <c r="B138" s="280" t="n"/>
      <c r="C138" s="280" t="n"/>
      <c r="D138" s="280" t="n"/>
      <c r="E138" s="280" t="n"/>
      <c r="F138" s="280" t="n"/>
      <c r="G138" s="280" t="n"/>
      <c r="H138" s="280" t="n"/>
      <c r="I138" s="332">
        <f>IFERROR(VLOOKUP(TEXT(H138,"0"),IPRESS!$A$3:$B$212,2,0),"")</f>
        <v/>
      </c>
      <c r="J138" s="280" t="n"/>
      <c r="K138" s="332">
        <f>IFERROR(VLOOKUP(TEXT(O138,"0"),CONDUCTORES!$A$3:$G$54,7,0),"")</f>
        <v/>
      </c>
      <c r="L138" s="280" t="n"/>
      <c r="M138" s="280" t="n"/>
      <c r="N138" s="333">
        <f>IFERROR(IF(L138*M138=0,"",L138*M138),"")</f>
        <v/>
      </c>
      <c r="O138" s="280" t="n"/>
      <c r="P138" s="332">
        <f>IFERROR(VLOOKUP(TEXT(O138,"0"),CONDUCTORES!$A$3:$G$54,2,0),"")</f>
        <v/>
      </c>
      <c r="Q138" s="332">
        <f>IFERROR(VLOOKUP(TEXT(O138,"0"),CONDUCTORES!$A$3:$H$54,6,0),"")</f>
        <v/>
      </c>
      <c r="R138" s="280" t="n"/>
      <c r="S138" s="280" t="n"/>
      <c r="T138" s="280" t="n"/>
      <c r="U138" s="280" t="n"/>
      <c r="V138" s="280" t="n"/>
      <c r="W138" s="280" t="n"/>
      <c r="X138" s="280" t="n"/>
      <c r="Y138" s="280" t="n"/>
    </row>
    <row r="139" ht="15" customHeight="1" s="195">
      <c r="A139" s="334" t="n"/>
      <c r="B139" s="334" t="n"/>
      <c r="C139" s="334" t="n"/>
      <c r="D139" s="334" t="n"/>
      <c r="E139" s="334" t="n"/>
      <c r="F139" s="334" t="n"/>
      <c r="G139" s="334" t="n"/>
      <c r="H139" s="334" t="n"/>
      <c r="I139" s="332">
        <f>IFERROR(VLOOKUP(TEXT(H139,"0"),IPRESS!$A$3:$B$212,2,0),"")</f>
        <v/>
      </c>
      <c r="J139" s="334" t="n"/>
      <c r="K139" s="332">
        <f>IFERROR(VLOOKUP(TEXT(O139,"0"),CONDUCTORES!$A$3:$G$54,7,0),"")</f>
        <v/>
      </c>
      <c r="L139" s="334" t="n"/>
      <c r="M139" s="334" t="n"/>
      <c r="N139" s="333">
        <f>IFERROR(IF(L139*M139=0,"",L139*M139),"")</f>
        <v/>
      </c>
      <c r="O139" s="334" t="n"/>
      <c r="P139" s="332">
        <f>IFERROR(VLOOKUP(TEXT(O139,"0"),CONDUCTORES!$A$3:$G$54,2,0),"")</f>
        <v/>
      </c>
      <c r="Q139" s="332">
        <f>IFERROR(VLOOKUP(TEXT(O139,"0"),CONDUCTORES!$A$3:$H$54,6,0),"")</f>
        <v/>
      </c>
      <c r="R139" s="334" t="n"/>
      <c r="S139" s="334" t="n"/>
      <c r="T139" s="334" t="n"/>
      <c r="U139" s="334" t="n"/>
      <c r="V139" s="334" t="n"/>
      <c r="W139" s="334" t="n"/>
      <c r="X139" s="334" t="n"/>
      <c r="Y139" s="334" t="n"/>
    </row>
    <row r="140" ht="15" customHeight="1" s="195">
      <c r="A140" s="280" t="n"/>
      <c r="B140" s="280" t="n"/>
      <c r="C140" s="280" t="n"/>
      <c r="D140" s="280" t="n"/>
      <c r="E140" s="280" t="n"/>
      <c r="F140" s="280" t="n"/>
      <c r="G140" s="280" t="n"/>
      <c r="H140" s="280" t="n"/>
      <c r="I140" s="332">
        <f>IFERROR(VLOOKUP(TEXT(H140,"0"),IPRESS!$A$3:$B$212,2,0),"")</f>
        <v/>
      </c>
      <c r="J140" s="280" t="n"/>
      <c r="K140" s="332">
        <f>IFERROR(VLOOKUP(TEXT(O140,"0"),CONDUCTORES!$A$3:$G$54,7,0),"")</f>
        <v/>
      </c>
      <c r="L140" s="280" t="n"/>
      <c r="M140" s="280" t="n"/>
      <c r="N140" s="333">
        <f>IFERROR(IF(L140*M140=0,"",L140*M140),"")</f>
        <v/>
      </c>
      <c r="O140" s="280" t="n"/>
      <c r="P140" s="332">
        <f>IFERROR(VLOOKUP(TEXT(O140,"0"),CONDUCTORES!$A$3:$G$54,2,0),"")</f>
        <v/>
      </c>
      <c r="Q140" s="332">
        <f>IFERROR(VLOOKUP(TEXT(O140,"0"),CONDUCTORES!$A$3:$H$54,6,0),"")</f>
        <v/>
      </c>
      <c r="R140" s="280" t="n"/>
      <c r="S140" s="280" t="n"/>
      <c r="T140" s="280" t="n"/>
      <c r="U140" s="280" t="n"/>
      <c r="V140" s="280" t="n"/>
      <c r="W140" s="280" t="n"/>
      <c r="X140" s="280" t="n"/>
      <c r="Y140" s="280" t="n"/>
    </row>
    <row r="141" ht="15" customHeight="1" s="195">
      <c r="A141" s="334" t="n"/>
      <c r="B141" s="334" t="n"/>
      <c r="C141" s="334" t="n"/>
      <c r="D141" s="334" t="n"/>
      <c r="E141" s="334" t="n"/>
      <c r="F141" s="334" t="n"/>
      <c r="G141" s="334" t="n"/>
      <c r="H141" s="334" t="n"/>
      <c r="I141" s="332">
        <f>IFERROR(VLOOKUP(TEXT(H141,"0"),IPRESS!$A$3:$B$212,2,0),"")</f>
        <v/>
      </c>
      <c r="J141" s="334" t="n"/>
      <c r="K141" s="332">
        <f>IFERROR(VLOOKUP(TEXT(O141,"0"),CONDUCTORES!$A$3:$G$54,7,0),"")</f>
        <v/>
      </c>
      <c r="L141" s="334" t="n"/>
      <c r="M141" s="334" t="n"/>
      <c r="N141" s="333">
        <f>IFERROR(IF(L141*M141=0,"",L141*M141),"")</f>
        <v/>
      </c>
      <c r="O141" s="334" t="n"/>
      <c r="P141" s="332">
        <f>IFERROR(VLOOKUP(TEXT(O141,"0"),CONDUCTORES!$A$3:$G$54,2,0),"")</f>
        <v/>
      </c>
      <c r="Q141" s="332">
        <f>IFERROR(VLOOKUP(TEXT(O141,"0"),CONDUCTORES!$A$3:$H$54,6,0),"")</f>
        <v/>
      </c>
      <c r="R141" s="334" t="n"/>
      <c r="S141" s="334" t="n"/>
      <c r="T141" s="334" t="n"/>
      <c r="U141" s="334" t="n"/>
      <c r="V141" s="334" t="n"/>
      <c r="W141" s="334" t="n"/>
      <c r="X141" s="334" t="n"/>
      <c r="Y141" s="334" t="n"/>
    </row>
    <row r="142" ht="15" customHeight="1" s="195">
      <c r="A142" s="280" t="n"/>
      <c r="B142" s="280" t="n"/>
      <c r="C142" s="280" t="n"/>
      <c r="D142" s="280" t="n"/>
      <c r="E142" s="280" t="n"/>
      <c r="F142" s="280" t="n"/>
      <c r="G142" s="280" t="n"/>
      <c r="H142" s="280" t="n"/>
      <c r="I142" s="332">
        <f>IFERROR(VLOOKUP(TEXT(H142,"0"),IPRESS!$A$3:$B$212,2,0),"")</f>
        <v/>
      </c>
      <c r="J142" s="280" t="n"/>
      <c r="K142" s="332">
        <f>IFERROR(VLOOKUP(TEXT(O142,"0"),CONDUCTORES!$A$3:$G$54,7,0),"")</f>
        <v/>
      </c>
      <c r="L142" s="280" t="n"/>
      <c r="M142" s="280" t="n"/>
      <c r="N142" s="333">
        <f>IFERROR(IF(L142*M142=0,"",L142*M142),"")</f>
        <v/>
      </c>
      <c r="O142" s="280" t="n"/>
      <c r="P142" s="332">
        <f>IFERROR(VLOOKUP(TEXT(O142,"0"),CONDUCTORES!$A$3:$G$54,2,0),"")</f>
        <v/>
      </c>
      <c r="Q142" s="332">
        <f>IFERROR(VLOOKUP(TEXT(O142,"0"),CONDUCTORES!$A$3:$H$54,6,0),"")</f>
        <v/>
      </c>
      <c r="R142" s="280" t="n"/>
      <c r="S142" s="280" t="n"/>
      <c r="T142" s="280" t="n"/>
      <c r="U142" s="280" t="n"/>
      <c r="V142" s="280" t="n"/>
      <c r="W142" s="280" t="n"/>
      <c r="X142" s="280" t="n"/>
      <c r="Y142" s="280" t="n"/>
    </row>
    <row r="143" ht="15" customHeight="1" s="195">
      <c r="A143" s="334" t="n"/>
      <c r="B143" s="334" t="n"/>
      <c r="C143" s="334" t="n"/>
      <c r="D143" s="334" t="n"/>
      <c r="E143" s="334" t="n"/>
      <c r="F143" s="334" t="n"/>
      <c r="G143" s="334" t="n"/>
      <c r="H143" s="334" t="n"/>
      <c r="I143" s="332">
        <f>IFERROR(VLOOKUP(TEXT(H143,"0"),IPRESS!$A$3:$B$212,2,0),"")</f>
        <v/>
      </c>
      <c r="J143" s="334" t="n"/>
      <c r="K143" s="332">
        <f>IFERROR(VLOOKUP(TEXT(O143,"0"),CONDUCTORES!$A$3:$G$54,7,0),"")</f>
        <v/>
      </c>
      <c r="L143" s="334" t="n"/>
      <c r="M143" s="334" t="n"/>
      <c r="N143" s="333">
        <f>IFERROR(IF(L143*M143=0,"",L143*M143),"")</f>
        <v/>
      </c>
      <c r="O143" s="334" t="n"/>
      <c r="P143" s="332">
        <f>IFERROR(VLOOKUP(TEXT(O143,"0"),CONDUCTORES!$A$3:$G$54,2,0),"")</f>
        <v/>
      </c>
      <c r="Q143" s="332">
        <f>IFERROR(VLOOKUP(TEXT(O143,"0"),CONDUCTORES!$A$3:$H$54,6,0),"")</f>
        <v/>
      </c>
      <c r="R143" s="334" t="n"/>
      <c r="S143" s="334" t="n"/>
      <c r="T143" s="334" t="n"/>
      <c r="U143" s="334" t="n"/>
      <c r="V143" s="334" t="n"/>
      <c r="W143" s="334" t="n"/>
      <c r="X143" s="334" t="n"/>
      <c r="Y143" s="334" t="n"/>
    </row>
    <row r="144" ht="15" customHeight="1" s="195">
      <c r="A144" s="280" t="n"/>
      <c r="B144" s="280" t="n"/>
      <c r="C144" s="280" t="n"/>
      <c r="D144" s="280" t="n"/>
      <c r="E144" s="280" t="n"/>
      <c r="F144" s="280" t="n"/>
      <c r="G144" s="280" t="n"/>
      <c r="H144" s="280" t="n"/>
      <c r="I144" s="332">
        <f>IFERROR(VLOOKUP(TEXT(H144,"0"),IPRESS!$A$3:$B$212,2,0),"")</f>
        <v/>
      </c>
      <c r="J144" s="280" t="n"/>
      <c r="K144" s="332">
        <f>IFERROR(VLOOKUP(TEXT(O144,"0"),CONDUCTORES!$A$3:$G$54,7,0),"")</f>
        <v/>
      </c>
      <c r="L144" s="280" t="n"/>
      <c r="M144" s="280" t="n"/>
      <c r="N144" s="333">
        <f>IFERROR(IF(L144*M144=0,"",L144*M144),"")</f>
        <v/>
      </c>
      <c r="O144" s="280" t="n"/>
      <c r="P144" s="332">
        <f>IFERROR(VLOOKUP(TEXT(O144,"0"),CONDUCTORES!$A$3:$G$54,2,0),"")</f>
        <v/>
      </c>
      <c r="Q144" s="332">
        <f>IFERROR(VLOOKUP(TEXT(O144,"0"),CONDUCTORES!$A$3:$H$54,6,0),"")</f>
        <v/>
      </c>
      <c r="R144" s="280" t="n"/>
      <c r="S144" s="280" t="n"/>
      <c r="T144" s="280" t="n"/>
      <c r="U144" s="280" t="n"/>
      <c r="V144" s="280" t="n"/>
      <c r="W144" s="280" t="n"/>
      <c r="X144" s="280" t="n"/>
      <c r="Y144" s="280" t="n"/>
    </row>
    <row r="145" ht="15" customHeight="1" s="195">
      <c r="A145" s="334" t="n"/>
      <c r="B145" s="334" t="n"/>
      <c r="C145" s="334" t="n"/>
      <c r="D145" s="334" t="n"/>
      <c r="E145" s="334" t="n"/>
      <c r="F145" s="334" t="n"/>
      <c r="G145" s="334" t="n"/>
      <c r="H145" s="334" t="n"/>
      <c r="I145" s="332">
        <f>IFERROR(VLOOKUP(TEXT(H145,"0"),IPRESS!$A$3:$B$212,2,0),"")</f>
        <v/>
      </c>
      <c r="J145" s="334" t="n"/>
      <c r="K145" s="332">
        <f>IFERROR(VLOOKUP(TEXT(O145,"0"),CONDUCTORES!$A$3:$G$54,7,0),"")</f>
        <v/>
      </c>
      <c r="L145" s="334" t="n"/>
      <c r="M145" s="334" t="n"/>
      <c r="N145" s="333">
        <f>IFERROR(IF(L145*M145=0,"",L145*M145),"")</f>
        <v/>
      </c>
      <c r="O145" s="334" t="n"/>
      <c r="P145" s="332">
        <f>IFERROR(VLOOKUP(TEXT(O145,"0"),CONDUCTORES!$A$3:$G$54,2,0),"")</f>
        <v/>
      </c>
      <c r="Q145" s="332">
        <f>IFERROR(VLOOKUP(TEXT(O145,"0"),CONDUCTORES!$A$3:$H$54,6,0),"")</f>
        <v/>
      </c>
      <c r="R145" s="334" t="n"/>
      <c r="S145" s="334" t="n"/>
      <c r="T145" s="334" t="n"/>
      <c r="U145" s="334" t="n"/>
      <c r="V145" s="334" t="n"/>
      <c r="W145" s="334" t="n"/>
      <c r="X145" s="334" t="n"/>
      <c r="Y145" s="334" t="n"/>
    </row>
    <row r="146" ht="15" customHeight="1" s="195">
      <c r="A146" s="280" t="n"/>
      <c r="B146" s="280" t="n"/>
      <c r="C146" s="280" t="n"/>
      <c r="D146" s="280" t="n"/>
      <c r="E146" s="280" t="n"/>
      <c r="F146" s="280" t="n"/>
      <c r="G146" s="280" t="n"/>
      <c r="H146" s="280" t="n"/>
      <c r="I146" s="332">
        <f>IFERROR(VLOOKUP(TEXT(H146,"0"),IPRESS!$A$3:$B$212,2,0),"")</f>
        <v/>
      </c>
      <c r="J146" s="280" t="n"/>
      <c r="K146" s="332">
        <f>IFERROR(VLOOKUP(TEXT(O146,"0"),CONDUCTORES!$A$3:$G$54,7,0),"")</f>
        <v/>
      </c>
      <c r="L146" s="280" t="n"/>
      <c r="M146" s="280" t="n"/>
      <c r="N146" s="333">
        <f>IFERROR(IF(L146*M146=0,"",L146*M146),"")</f>
        <v/>
      </c>
      <c r="O146" s="280" t="n"/>
      <c r="P146" s="332">
        <f>IFERROR(VLOOKUP(TEXT(O146,"0"),CONDUCTORES!$A$3:$G$54,2,0),"")</f>
        <v/>
      </c>
      <c r="Q146" s="332">
        <f>IFERROR(VLOOKUP(TEXT(O146,"0"),CONDUCTORES!$A$3:$H$54,6,0),"")</f>
        <v/>
      </c>
      <c r="R146" s="280" t="n"/>
      <c r="S146" s="280" t="n"/>
      <c r="T146" s="280" t="n"/>
      <c r="U146" s="280" t="n"/>
      <c r="V146" s="280" t="n"/>
      <c r="W146" s="280" t="n"/>
      <c r="X146" s="280" t="n"/>
      <c r="Y146" s="280" t="n"/>
    </row>
    <row r="147" ht="15" customHeight="1" s="195">
      <c r="A147" s="334" t="n"/>
      <c r="B147" s="334" t="n"/>
      <c r="C147" s="334" t="n"/>
      <c r="D147" s="334" t="n"/>
      <c r="E147" s="334" t="n"/>
      <c r="F147" s="334" t="n"/>
      <c r="G147" s="334" t="n"/>
      <c r="H147" s="334" t="n"/>
      <c r="I147" s="332">
        <f>IFERROR(VLOOKUP(TEXT(H147,"0"),IPRESS!$A$3:$B$212,2,0),"")</f>
        <v/>
      </c>
      <c r="J147" s="334" t="n"/>
      <c r="K147" s="332">
        <f>IFERROR(VLOOKUP(TEXT(O147,"0"),CONDUCTORES!$A$3:$G$54,7,0),"")</f>
        <v/>
      </c>
      <c r="L147" s="334" t="n"/>
      <c r="M147" s="334" t="n"/>
      <c r="N147" s="333">
        <f>IFERROR(IF(L147*M147=0,"",L147*M147),"")</f>
        <v/>
      </c>
      <c r="O147" s="334" t="n"/>
      <c r="P147" s="332">
        <f>IFERROR(VLOOKUP(TEXT(O147,"0"),CONDUCTORES!$A$3:$G$54,2,0),"")</f>
        <v/>
      </c>
      <c r="Q147" s="332">
        <f>IFERROR(VLOOKUP(TEXT(O147,"0"),CONDUCTORES!$A$3:$H$54,6,0),"")</f>
        <v/>
      </c>
      <c r="R147" s="334" t="n"/>
      <c r="S147" s="334" t="n"/>
      <c r="T147" s="334" t="n"/>
      <c r="U147" s="334" t="n"/>
      <c r="V147" s="334" t="n"/>
      <c r="W147" s="334" t="n"/>
      <c r="X147" s="334" t="n"/>
      <c r="Y147" s="334" t="n"/>
    </row>
    <row r="148" ht="15" customHeight="1" s="195">
      <c r="A148" s="280" t="n"/>
      <c r="B148" s="280" t="n"/>
      <c r="C148" s="280" t="n"/>
      <c r="D148" s="280" t="n"/>
      <c r="E148" s="280" t="n"/>
      <c r="F148" s="280" t="n"/>
      <c r="G148" s="280" t="n"/>
      <c r="H148" s="280" t="n"/>
      <c r="I148" s="332">
        <f>IFERROR(VLOOKUP(TEXT(H148,"0"),IPRESS!$A$3:$B$212,2,0),"")</f>
        <v/>
      </c>
      <c r="J148" s="280" t="n"/>
      <c r="K148" s="332">
        <f>IFERROR(VLOOKUP(TEXT(O148,"0"),CONDUCTORES!$A$3:$G$54,7,0),"")</f>
        <v/>
      </c>
      <c r="L148" s="280" t="n"/>
      <c r="M148" s="280" t="n"/>
      <c r="N148" s="333">
        <f>IFERROR(IF(L148*M148=0,"",L148*M148),"")</f>
        <v/>
      </c>
      <c r="O148" s="280" t="n"/>
      <c r="P148" s="332">
        <f>IFERROR(VLOOKUP(TEXT(O148,"0"),CONDUCTORES!$A$3:$G$54,2,0),"")</f>
        <v/>
      </c>
      <c r="Q148" s="332">
        <f>IFERROR(VLOOKUP(TEXT(O148,"0"),CONDUCTORES!$A$3:$H$54,6,0),"")</f>
        <v/>
      </c>
      <c r="R148" s="280" t="n"/>
      <c r="S148" s="280" t="n"/>
      <c r="T148" s="280" t="n"/>
      <c r="U148" s="280" t="n"/>
      <c r="V148" s="280" t="n"/>
      <c r="W148" s="280" t="n"/>
      <c r="X148" s="280" t="n"/>
      <c r="Y148" s="280" t="n"/>
    </row>
    <row r="149" ht="15" customHeight="1" s="195">
      <c r="A149" s="334" t="n"/>
      <c r="B149" s="334" t="n"/>
      <c r="C149" s="334" t="n"/>
      <c r="D149" s="334" t="n"/>
      <c r="E149" s="334" t="n"/>
      <c r="F149" s="334" t="n"/>
      <c r="G149" s="334" t="n"/>
      <c r="H149" s="334" t="n"/>
      <c r="I149" s="332">
        <f>IFERROR(VLOOKUP(TEXT(H149,"0"),IPRESS!$A$3:$B$212,2,0),"")</f>
        <v/>
      </c>
      <c r="J149" s="334" t="n"/>
      <c r="K149" s="332">
        <f>IFERROR(VLOOKUP(TEXT(O149,"0"),CONDUCTORES!$A$3:$G$54,7,0),"")</f>
        <v/>
      </c>
      <c r="L149" s="334" t="n"/>
      <c r="M149" s="334" t="n"/>
      <c r="N149" s="333">
        <f>IFERROR(IF(L149*M149=0,"",L149*M149),"")</f>
        <v/>
      </c>
      <c r="O149" s="334" t="n"/>
      <c r="P149" s="332">
        <f>IFERROR(VLOOKUP(TEXT(O149,"0"),CONDUCTORES!$A$3:$G$54,2,0),"")</f>
        <v/>
      </c>
      <c r="Q149" s="332">
        <f>IFERROR(VLOOKUP(TEXT(O149,"0"),CONDUCTORES!$A$3:$H$54,6,0),"")</f>
        <v/>
      </c>
      <c r="R149" s="334" t="n"/>
      <c r="S149" s="334" t="n"/>
      <c r="T149" s="334" t="n"/>
      <c r="U149" s="334" t="n"/>
      <c r="V149" s="334" t="n"/>
      <c r="W149" s="334" t="n"/>
      <c r="X149" s="334" t="n"/>
      <c r="Y149" s="334" t="n"/>
    </row>
    <row r="150" ht="15" customHeight="1" s="195">
      <c r="A150" s="280" t="n"/>
      <c r="B150" s="280" t="n"/>
      <c r="C150" s="280" t="n"/>
      <c r="D150" s="280" t="n"/>
      <c r="E150" s="280" t="n"/>
      <c r="F150" s="280" t="n"/>
      <c r="G150" s="280" t="n"/>
      <c r="H150" s="280" t="n"/>
      <c r="I150" s="332">
        <f>IFERROR(VLOOKUP(TEXT(H150,"0"),IPRESS!$A$3:$B$212,2,0),"")</f>
        <v/>
      </c>
      <c r="J150" s="280" t="n"/>
      <c r="K150" s="332">
        <f>IFERROR(VLOOKUP(TEXT(O150,"0"),CONDUCTORES!$A$3:$G$54,7,0),"")</f>
        <v/>
      </c>
      <c r="L150" s="280" t="n"/>
      <c r="M150" s="280" t="n"/>
      <c r="N150" s="333">
        <f>IFERROR(IF(L150*M150=0,"",L150*M150),"")</f>
        <v/>
      </c>
      <c r="O150" s="280" t="n"/>
      <c r="P150" s="332">
        <f>IFERROR(VLOOKUP(TEXT(O150,"0"),CONDUCTORES!$A$3:$G$54,2,0),"")</f>
        <v/>
      </c>
      <c r="Q150" s="332">
        <f>IFERROR(VLOOKUP(TEXT(O150,"0"),CONDUCTORES!$A$3:$H$54,6,0),"")</f>
        <v/>
      </c>
      <c r="R150" s="280" t="n"/>
      <c r="S150" s="280" t="n"/>
      <c r="T150" s="280" t="n"/>
      <c r="U150" s="280" t="n"/>
      <c r="V150" s="280" t="n"/>
      <c r="W150" s="280" t="n"/>
      <c r="X150" s="280" t="n"/>
      <c r="Y150" s="280" t="n"/>
    </row>
    <row r="151" ht="15" customHeight="1" s="195">
      <c r="A151" s="334" t="n"/>
      <c r="B151" s="334" t="n"/>
      <c r="C151" s="334" t="n"/>
      <c r="D151" s="334" t="n"/>
      <c r="E151" s="334" t="n"/>
      <c r="F151" s="334" t="n"/>
      <c r="G151" s="334" t="n"/>
      <c r="H151" s="334" t="n"/>
      <c r="I151" s="332">
        <f>IFERROR(VLOOKUP(TEXT(H151,"0"),IPRESS!$A$3:$B$212,2,0),"")</f>
        <v/>
      </c>
      <c r="J151" s="334" t="n"/>
      <c r="K151" s="332">
        <f>IFERROR(VLOOKUP(TEXT(O151,"0"),CONDUCTORES!$A$3:$G$54,7,0),"")</f>
        <v/>
      </c>
      <c r="L151" s="334" t="n"/>
      <c r="M151" s="334" t="n"/>
      <c r="N151" s="333">
        <f>IFERROR(IF(L151*M151=0,"",L151*M151),"")</f>
        <v/>
      </c>
      <c r="O151" s="334" t="n"/>
      <c r="P151" s="332">
        <f>IFERROR(VLOOKUP(TEXT(O151,"0"),CONDUCTORES!$A$3:$G$54,2,0),"")</f>
        <v/>
      </c>
      <c r="Q151" s="332">
        <f>IFERROR(VLOOKUP(TEXT(O151,"0"),CONDUCTORES!$A$3:$H$54,6,0),"")</f>
        <v/>
      </c>
      <c r="R151" s="334" t="n"/>
      <c r="S151" s="334" t="n"/>
      <c r="T151" s="334" t="n"/>
      <c r="U151" s="334" t="n"/>
      <c r="V151" s="334" t="n"/>
      <c r="W151" s="334" t="n"/>
      <c r="X151" s="334" t="n"/>
      <c r="Y151" s="334" t="n"/>
    </row>
    <row r="152" ht="15" customHeight="1" s="195">
      <c r="A152" s="280" t="n"/>
      <c r="B152" s="280" t="n"/>
      <c r="C152" s="280" t="n"/>
      <c r="D152" s="280" t="n"/>
      <c r="E152" s="280" t="n"/>
      <c r="F152" s="280" t="n"/>
      <c r="G152" s="280" t="n"/>
      <c r="H152" s="280" t="n"/>
      <c r="I152" s="332">
        <f>IFERROR(VLOOKUP(TEXT(H152,"0"),IPRESS!$A$3:$B$212,2,0),"")</f>
        <v/>
      </c>
      <c r="J152" s="280" t="n"/>
      <c r="K152" s="332">
        <f>IFERROR(VLOOKUP(TEXT(O152,"0"),CONDUCTORES!$A$3:$G$54,7,0),"")</f>
        <v/>
      </c>
      <c r="L152" s="280" t="n"/>
      <c r="M152" s="280" t="n"/>
      <c r="N152" s="333">
        <f>IFERROR(IF(L152*M152=0,"",L152*M152),"")</f>
        <v/>
      </c>
      <c r="O152" s="280" t="n"/>
      <c r="P152" s="332">
        <f>IFERROR(VLOOKUP(TEXT(O152,"0"),CONDUCTORES!$A$3:$G$54,2,0),"")</f>
        <v/>
      </c>
      <c r="Q152" s="332">
        <f>IFERROR(VLOOKUP(TEXT(O152,"0"),CONDUCTORES!$A$3:$H$54,6,0),"")</f>
        <v/>
      </c>
      <c r="R152" s="280" t="n"/>
      <c r="S152" s="280" t="n"/>
      <c r="T152" s="280" t="n"/>
      <c r="U152" s="280" t="n"/>
      <c r="V152" s="280" t="n"/>
      <c r="W152" s="280" t="n"/>
      <c r="X152" s="280" t="n"/>
      <c r="Y152" s="280" t="n"/>
    </row>
    <row r="153" ht="15" customHeight="1" s="195">
      <c r="A153" s="334" t="n"/>
      <c r="B153" s="334" t="n"/>
      <c r="C153" s="334" t="n"/>
      <c r="D153" s="334" t="n"/>
      <c r="E153" s="334" t="n"/>
      <c r="F153" s="334" t="n"/>
      <c r="G153" s="334" t="n"/>
      <c r="H153" s="334" t="n"/>
      <c r="I153" s="332">
        <f>IFERROR(VLOOKUP(TEXT(H153,"0"),IPRESS!$A$3:$B$212,2,0),"")</f>
        <v/>
      </c>
      <c r="J153" s="334" t="n"/>
      <c r="K153" s="332">
        <f>IFERROR(VLOOKUP(TEXT(O153,"0"),CONDUCTORES!$A$3:$G$54,7,0),"")</f>
        <v/>
      </c>
      <c r="L153" s="334" t="n"/>
      <c r="M153" s="334" t="n"/>
      <c r="N153" s="333">
        <f>IFERROR(IF(L153*M153=0,"",L153*M153),"")</f>
        <v/>
      </c>
      <c r="O153" s="334" t="n"/>
      <c r="P153" s="332">
        <f>IFERROR(VLOOKUP(TEXT(O153,"0"),CONDUCTORES!$A$3:$G$54,2,0),"")</f>
        <v/>
      </c>
      <c r="Q153" s="332">
        <f>IFERROR(VLOOKUP(TEXT(O153,"0"),CONDUCTORES!$A$3:$H$54,6,0),"")</f>
        <v/>
      </c>
      <c r="R153" s="334" t="n"/>
      <c r="S153" s="334" t="n"/>
      <c r="T153" s="334" t="n"/>
      <c r="U153" s="334" t="n"/>
      <c r="V153" s="334" t="n"/>
      <c r="W153" s="334" t="n"/>
      <c r="X153" s="334" t="n"/>
      <c r="Y153" s="334" t="n"/>
    </row>
    <row r="154" ht="15" customHeight="1" s="195">
      <c r="A154" s="280" t="n"/>
      <c r="B154" s="280" t="n"/>
      <c r="C154" s="280" t="n"/>
      <c r="D154" s="280" t="n"/>
      <c r="E154" s="280" t="n"/>
      <c r="F154" s="280" t="n"/>
      <c r="G154" s="280" t="n"/>
      <c r="H154" s="280" t="n"/>
      <c r="I154" s="332">
        <f>IFERROR(VLOOKUP(TEXT(H154,"0"),IPRESS!$A$3:$B$212,2,0),"")</f>
        <v/>
      </c>
      <c r="J154" s="280" t="n"/>
      <c r="K154" s="332">
        <f>IFERROR(VLOOKUP(TEXT(O154,"0"),CONDUCTORES!$A$3:$G$54,7,0),"")</f>
        <v/>
      </c>
      <c r="L154" s="280" t="n"/>
      <c r="M154" s="280" t="n"/>
      <c r="N154" s="333">
        <f>IFERROR(IF(L154*M154=0,"",L154*M154),"")</f>
        <v/>
      </c>
      <c r="O154" s="280" t="n"/>
      <c r="P154" s="332">
        <f>IFERROR(VLOOKUP(TEXT(O154,"0"),CONDUCTORES!$A$3:$G$54,2,0),"")</f>
        <v/>
      </c>
      <c r="Q154" s="332">
        <f>IFERROR(VLOOKUP(TEXT(O154,"0"),CONDUCTORES!$A$3:$H$54,6,0),"")</f>
        <v/>
      </c>
      <c r="R154" s="280" t="n"/>
      <c r="S154" s="280" t="n"/>
      <c r="T154" s="280" t="n"/>
      <c r="U154" s="280" t="n"/>
      <c r="V154" s="280" t="n"/>
      <c r="W154" s="280" t="n"/>
      <c r="X154" s="280" t="n"/>
      <c r="Y154" s="280" t="n"/>
    </row>
    <row r="155" ht="15" customHeight="1" s="195">
      <c r="A155" s="334" t="n"/>
      <c r="B155" s="334" t="n"/>
      <c r="C155" s="334" t="n"/>
      <c r="D155" s="334" t="n"/>
      <c r="E155" s="334" t="n"/>
      <c r="F155" s="334" t="n"/>
      <c r="G155" s="334" t="n"/>
      <c r="H155" s="334" t="n"/>
      <c r="I155" s="332">
        <f>IFERROR(VLOOKUP(TEXT(H155,"0"),IPRESS!$A$3:$B$212,2,0),"")</f>
        <v/>
      </c>
      <c r="J155" s="334" t="n"/>
      <c r="K155" s="332">
        <f>IFERROR(VLOOKUP(TEXT(O155,"0"),CONDUCTORES!$A$3:$G$54,7,0),"")</f>
        <v/>
      </c>
      <c r="L155" s="334" t="n"/>
      <c r="M155" s="334" t="n"/>
      <c r="N155" s="333">
        <f>IFERROR(IF(L155*M155=0,"",L155*M155),"")</f>
        <v/>
      </c>
      <c r="O155" s="334" t="n"/>
      <c r="P155" s="332">
        <f>IFERROR(VLOOKUP(TEXT(O155,"0"),CONDUCTORES!$A$3:$G$54,2,0),"")</f>
        <v/>
      </c>
      <c r="Q155" s="332">
        <f>IFERROR(VLOOKUP(TEXT(O155,"0"),CONDUCTORES!$A$3:$H$54,6,0),"")</f>
        <v/>
      </c>
      <c r="R155" s="334" t="n"/>
      <c r="S155" s="334" t="n"/>
      <c r="T155" s="334" t="n"/>
      <c r="U155" s="334" t="n"/>
      <c r="V155" s="334" t="n"/>
      <c r="W155" s="334" t="n"/>
      <c r="X155" s="334" t="n"/>
      <c r="Y155" s="334" t="n"/>
    </row>
    <row r="156" ht="15" customHeight="1" s="195">
      <c r="A156" s="280" t="n"/>
      <c r="B156" s="280" t="n"/>
      <c r="C156" s="280" t="n"/>
      <c r="D156" s="280" t="n"/>
      <c r="E156" s="280" t="n"/>
      <c r="F156" s="280" t="n"/>
      <c r="G156" s="280" t="n"/>
      <c r="H156" s="280" t="n"/>
      <c r="I156" s="332">
        <f>IFERROR(VLOOKUP(TEXT(H156,"0"),IPRESS!$A$3:$B$212,2,0),"")</f>
        <v/>
      </c>
      <c r="J156" s="280" t="n"/>
      <c r="K156" s="332">
        <f>IFERROR(VLOOKUP(TEXT(O156,"0"),CONDUCTORES!$A$3:$G$54,7,0),"")</f>
        <v/>
      </c>
      <c r="L156" s="280" t="n"/>
      <c r="M156" s="280" t="n"/>
      <c r="N156" s="333">
        <f>IFERROR(IF(L156*M156=0,"",L156*M156),"")</f>
        <v/>
      </c>
      <c r="O156" s="280" t="n"/>
      <c r="P156" s="332">
        <f>IFERROR(VLOOKUP(TEXT(O156,"0"),CONDUCTORES!$A$3:$G$54,2,0),"")</f>
        <v/>
      </c>
      <c r="Q156" s="332">
        <f>IFERROR(VLOOKUP(TEXT(O156,"0"),CONDUCTORES!$A$3:$H$54,6,0),"")</f>
        <v/>
      </c>
      <c r="R156" s="280" t="n"/>
      <c r="S156" s="280" t="n"/>
      <c r="T156" s="280" t="n"/>
      <c r="U156" s="280" t="n"/>
      <c r="V156" s="280" t="n"/>
      <c r="W156" s="280" t="n"/>
      <c r="X156" s="280" t="n"/>
      <c r="Y156" s="280" t="n"/>
    </row>
    <row r="157" ht="15" customHeight="1" s="195">
      <c r="A157" s="334" t="n"/>
      <c r="B157" s="334" t="n"/>
      <c r="C157" s="334" t="n"/>
      <c r="D157" s="334" t="n"/>
      <c r="E157" s="334" t="n"/>
      <c r="F157" s="334" t="n"/>
      <c r="G157" s="334" t="n"/>
      <c r="H157" s="334" t="n"/>
      <c r="I157" s="332">
        <f>IFERROR(VLOOKUP(TEXT(H157,"0"),IPRESS!$A$3:$B$212,2,0),"")</f>
        <v/>
      </c>
      <c r="J157" s="334" t="n"/>
      <c r="K157" s="332">
        <f>IFERROR(VLOOKUP(TEXT(O157,"0"),CONDUCTORES!$A$3:$G$54,7,0),"")</f>
        <v/>
      </c>
      <c r="L157" s="334" t="n"/>
      <c r="M157" s="334" t="n"/>
      <c r="N157" s="333">
        <f>IFERROR(IF(L157*M157=0,"",L157*M157),"")</f>
        <v/>
      </c>
      <c r="O157" s="334" t="n"/>
      <c r="P157" s="332">
        <f>IFERROR(VLOOKUP(TEXT(O157,"0"),CONDUCTORES!$A$3:$G$54,2,0),"")</f>
        <v/>
      </c>
      <c r="Q157" s="332">
        <f>IFERROR(VLOOKUP(TEXT(O157,"0"),CONDUCTORES!$A$3:$H$54,6,0),"")</f>
        <v/>
      </c>
      <c r="R157" s="334" t="n"/>
      <c r="S157" s="334" t="n"/>
      <c r="T157" s="334" t="n"/>
      <c r="U157" s="334" t="n"/>
      <c r="V157" s="334" t="n"/>
      <c r="W157" s="334" t="n"/>
      <c r="X157" s="334" t="n"/>
      <c r="Y157" s="334" t="n"/>
    </row>
    <row r="158" ht="15" customHeight="1" s="195">
      <c r="A158" s="280" t="n"/>
      <c r="B158" s="280" t="n"/>
      <c r="C158" s="280" t="n"/>
      <c r="D158" s="280" t="n"/>
      <c r="E158" s="280" t="n"/>
      <c r="F158" s="280" t="n"/>
      <c r="G158" s="280" t="n"/>
      <c r="H158" s="280" t="n"/>
      <c r="I158" s="332">
        <f>IFERROR(VLOOKUP(TEXT(H158,"0"),IPRESS!$A$3:$B$212,2,0),"")</f>
        <v/>
      </c>
      <c r="J158" s="280" t="n"/>
      <c r="K158" s="332">
        <f>IFERROR(VLOOKUP(TEXT(O158,"0"),CONDUCTORES!$A$3:$G$54,7,0),"")</f>
        <v/>
      </c>
      <c r="L158" s="280" t="n"/>
      <c r="M158" s="280" t="n"/>
      <c r="N158" s="333">
        <f>IFERROR(IF(L158*M158=0,"",L158*M158),"")</f>
        <v/>
      </c>
      <c r="O158" s="280" t="n"/>
      <c r="P158" s="332">
        <f>IFERROR(VLOOKUP(TEXT(O158,"0"),CONDUCTORES!$A$3:$G$54,2,0),"")</f>
        <v/>
      </c>
      <c r="Q158" s="332">
        <f>IFERROR(VLOOKUP(TEXT(O158,"0"),CONDUCTORES!$A$3:$H$54,6,0),"")</f>
        <v/>
      </c>
      <c r="R158" s="280" t="n"/>
      <c r="S158" s="280" t="n"/>
      <c r="T158" s="280" t="n"/>
      <c r="U158" s="280" t="n"/>
      <c r="V158" s="280" t="n"/>
      <c r="W158" s="280" t="n"/>
      <c r="X158" s="280" t="n"/>
      <c r="Y158" s="280" t="n"/>
    </row>
    <row r="159" ht="15" customHeight="1" s="195">
      <c r="A159" s="334" t="n"/>
      <c r="B159" s="334" t="n"/>
      <c r="C159" s="334" t="n"/>
      <c r="D159" s="334" t="n"/>
      <c r="E159" s="334" t="n"/>
      <c r="F159" s="334" t="n"/>
      <c r="G159" s="334" t="n"/>
      <c r="H159" s="334" t="n"/>
      <c r="I159" s="332">
        <f>IFERROR(VLOOKUP(TEXT(H159,"0"),IPRESS!$A$3:$B$212,2,0),"")</f>
        <v/>
      </c>
      <c r="J159" s="334" t="n"/>
      <c r="K159" s="332">
        <f>IFERROR(VLOOKUP(TEXT(O159,"0"),CONDUCTORES!$A$3:$G$54,7,0),"")</f>
        <v/>
      </c>
      <c r="L159" s="334" t="n"/>
      <c r="M159" s="334" t="n"/>
      <c r="N159" s="333">
        <f>IFERROR(IF(L159*M159=0,"",L159*M159),"")</f>
        <v/>
      </c>
      <c r="O159" s="334" t="n"/>
      <c r="P159" s="332">
        <f>IFERROR(VLOOKUP(TEXT(O159,"0"),CONDUCTORES!$A$3:$G$54,2,0),"")</f>
        <v/>
      </c>
      <c r="Q159" s="332">
        <f>IFERROR(VLOOKUP(TEXT(O159,"0"),CONDUCTORES!$A$3:$H$54,6,0),"")</f>
        <v/>
      </c>
      <c r="R159" s="334" t="n"/>
      <c r="S159" s="334" t="n"/>
      <c r="T159" s="334" t="n"/>
      <c r="U159" s="334" t="n"/>
      <c r="V159" s="334" t="n"/>
      <c r="W159" s="334" t="n"/>
      <c r="X159" s="334" t="n"/>
      <c r="Y159" s="334" t="n"/>
    </row>
    <row r="160" ht="15" customHeight="1" s="195">
      <c r="A160" s="280" t="n"/>
      <c r="B160" s="280" t="n"/>
      <c r="C160" s="280" t="n"/>
      <c r="D160" s="280" t="n"/>
      <c r="E160" s="280" t="n"/>
      <c r="F160" s="280" t="n"/>
      <c r="G160" s="280" t="n"/>
      <c r="H160" s="280" t="n"/>
      <c r="I160" s="332">
        <f>IFERROR(VLOOKUP(TEXT(H160,"0"),IPRESS!$A$3:$B$212,2,0),"")</f>
        <v/>
      </c>
      <c r="J160" s="280" t="n"/>
      <c r="K160" s="332">
        <f>IFERROR(VLOOKUP(TEXT(O160,"0"),CONDUCTORES!$A$3:$G$54,7,0),"")</f>
        <v/>
      </c>
      <c r="L160" s="280" t="n"/>
      <c r="M160" s="280" t="n"/>
      <c r="N160" s="333">
        <f>IFERROR(IF(L160*M160=0,"",L160*M160),"")</f>
        <v/>
      </c>
      <c r="O160" s="280" t="n"/>
      <c r="P160" s="332">
        <f>IFERROR(VLOOKUP(TEXT(O160,"0"),CONDUCTORES!$A$3:$G$54,2,0),"")</f>
        <v/>
      </c>
      <c r="Q160" s="332">
        <f>IFERROR(VLOOKUP(TEXT(O160,"0"),CONDUCTORES!$A$3:$H$54,6,0),"")</f>
        <v/>
      </c>
      <c r="R160" s="280" t="n"/>
      <c r="S160" s="280" t="n"/>
      <c r="T160" s="280" t="n"/>
      <c r="U160" s="280" t="n"/>
      <c r="V160" s="280" t="n"/>
      <c r="W160" s="280" t="n"/>
      <c r="X160" s="280" t="n"/>
      <c r="Y160" s="280" t="n"/>
    </row>
    <row r="161" ht="15" customHeight="1" s="195">
      <c r="A161" s="334" t="n"/>
      <c r="B161" s="334" t="n"/>
      <c r="C161" s="334" t="n"/>
      <c r="D161" s="334" t="n"/>
      <c r="E161" s="334" t="n"/>
      <c r="F161" s="334" t="n"/>
      <c r="G161" s="334" t="n"/>
      <c r="H161" s="334" t="n"/>
      <c r="I161" s="332">
        <f>IFERROR(VLOOKUP(TEXT(H161,"0"),IPRESS!$A$3:$B$212,2,0),"")</f>
        <v/>
      </c>
      <c r="J161" s="334" t="n"/>
      <c r="K161" s="332">
        <f>IFERROR(VLOOKUP(TEXT(O161,"0"),CONDUCTORES!$A$3:$G$54,7,0),"")</f>
        <v/>
      </c>
      <c r="L161" s="334" t="n"/>
      <c r="M161" s="334" t="n"/>
      <c r="N161" s="333">
        <f>IFERROR(IF(L161*M161=0,"",L161*M161),"")</f>
        <v/>
      </c>
      <c r="O161" s="334" t="n"/>
      <c r="P161" s="332">
        <f>IFERROR(VLOOKUP(TEXT(O161,"0"),CONDUCTORES!$A$3:$G$54,2,0),"")</f>
        <v/>
      </c>
      <c r="Q161" s="332">
        <f>IFERROR(VLOOKUP(TEXT(O161,"0"),CONDUCTORES!$A$3:$H$54,6,0),"")</f>
        <v/>
      </c>
      <c r="R161" s="334" t="n"/>
      <c r="S161" s="334" t="n"/>
      <c r="T161" s="334" t="n"/>
      <c r="U161" s="334" t="n"/>
      <c r="V161" s="334" t="n"/>
      <c r="W161" s="334" t="n"/>
      <c r="X161" s="334" t="n"/>
      <c r="Y161" s="334" t="n"/>
    </row>
    <row r="162" ht="15" customHeight="1" s="195">
      <c r="A162" s="280" t="n"/>
      <c r="B162" s="280" t="n"/>
      <c r="C162" s="280" t="n"/>
      <c r="D162" s="280" t="n"/>
      <c r="E162" s="280" t="n"/>
      <c r="F162" s="280" t="n"/>
      <c r="G162" s="280" t="n"/>
      <c r="H162" s="280" t="n"/>
      <c r="I162" s="332">
        <f>IFERROR(VLOOKUP(TEXT(H162,"0"),IPRESS!$A$3:$B$212,2,0),"")</f>
        <v/>
      </c>
      <c r="J162" s="280" t="n"/>
      <c r="K162" s="332">
        <f>IFERROR(VLOOKUP(TEXT(O162,"0"),CONDUCTORES!$A$3:$G$54,7,0),"")</f>
        <v/>
      </c>
      <c r="L162" s="280" t="n"/>
      <c r="M162" s="280" t="n"/>
      <c r="N162" s="333">
        <f>IFERROR(IF(L162*M162=0,"",L162*M162),"")</f>
        <v/>
      </c>
      <c r="O162" s="280" t="n"/>
      <c r="P162" s="332">
        <f>IFERROR(VLOOKUP(TEXT(O162,"0"),CONDUCTORES!$A$3:$G$54,2,0),"")</f>
        <v/>
      </c>
      <c r="Q162" s="332">
        <f>IFERROR(VLOOKUP(TEXT(O162,"0"),CONDUCTORES!$A$3:$H$54,6,0),"")</f>
        <v/>
      </c>
      <c r="R162" s="280" t="n"/>
      <c r="S162" s="280" t="n"/>
      <c r="T162" s="280" t="n"/>
      <c r="U162" s="280" t="n"/>
      <c r="V162" s="280" t="n"/>
      <c r="W162" s="280" t="n"/>
      <c r="X162" s="280" t="n"/>
      <c r="Y162" s="280" t="n"/>
    </row>
    <row r="163" ht="15" customHeight="1" s="195">
      <c r="A163" s="334" t="n"/>
      <c r="B163" s="334" t="n"/>
      <c r="C163" s="334" t="n"/>
      <c r="D163" s="334" t="n"/>
      <c r="E163" s="334" t="n"/>
      <c r="F163" s="334" t="n"/>
      <c r="G163" s="334" t="n"/>
      <c r="H163" s="334" t="n"/>
      <c r="I163" s="332">
        <f>IFERROR(VLOOKUP(TEXT(H163,"0"),IPRESS!$A$3:$B$212,2,0),"")</f>
        <v/>
      </c>
      <c r="J163" s="334" t="n"/>
      <c r="K163" s="332">
        <f>IFERROR(VLOOKUP(TEXT(O163,"0"),CONDUCTORES!$A$3:$G$54,7,0),"")</f>
        <v/>
      </c>
      <c r="L163" s="334" t="n"/>
      <c r="M163" s="334" t="n"/>
      <c r="N163" s="333">
        <f>IFERROR(IF(L163*M163=0,"",L163*M163),"")</f>
        <v/>
      </c>
      <c r="O163" s="334" t="n"/>
      <c r="P163" s="332">
        <f>IFERROR(VLOOKUP(TEXT(O163,"0"),CONDUCTORES!$A$3:$G$54,2,0),"")</f>
        <v/>
      </c>
      <c r="Q163" s="332">
        <f>IFERROR(VLOOKUP(TEXT(O163,"0"),CONDUCTORES!$A$3:$H$54,6,0),"")</f>
        <v/>
      </c>
      <c r="R163" s="334" t="n"/>
      <c r="S163" s="334" t="n"/>
      <c r="T163" s="334" t="n"/>
      <c r="U163" s="334" t="n"/>
      <c r="V163" s="334" t="n"/>
      <c r="W163" s="334" t="n"/>
      <c r="X163" s="334" t="n"/>
      <c r="Y163" s="334" t="n"/>
    </row>
    <row r="164" ht="15" customHeight="1" s="195">
      <c r="A164" s="280" t="n"/>
      <c r="B164" s="280" t="n"/>
      <c r="C164" s="280" t="n"/>
      <c r="D164" s="280" t="n"/>
      <c r="E164" s="280" t="n"/>
      <c r="F164" s="280" t="n"/>
      <c r="G164" s="280" t="n"/>
      <c r="H164" s="280" t="n"/>
      <c r="I164" s="332">
        <f>IFERROR(VLOOKUP(TEXT(H164,"0"),IPRESS!$A$3:$B$212,2,0),"")</f>
        <v/>
      </c>
      <c r="J164" s="280" t="n"/>
      <c r="K164" s="332">
        <f>IFERROR(VLOOKUP(TEXT(O164,"0"),CONDUCTORES!$A$3:$G$54,7,0),"")</f>
        <v/>
      </c>
      <c r="L164" s="280" t="n"/>
      <c r="M164" s="280" t="n"/>
      <c r="N164" s="333">
        <f>IFERROR(IF(L164*M164=0,"",L164*M164),"")</f>
        <v/>
      </c>
      <c r="O164" s="280" t="n"/>
      <c r="P164" s="332">
        <f>IFERROR(VLOOKUP(TEXT(O164,"0"),CONDUCTORES!$A$3:$G$54,2,0),"")</f>
        <v/>
      </c>
      <c r="Q164" s="332">
        <f>IFERROR(VLOOKUP(TEXT(O164,"0"),CONDUCTORES!$A$3:$H$54,6,0),"")</f>
        <v/>
      </c>
      <c r="R164" s="280" t="n"/>
      <c r="S164" s="280" t="n"/>
      <c r="T164" s="280" t="n"/>
      <c r="U164" s="280" t="n"/>
      <c r="V164" s="280" t="n"/>
      <c r="W164" s="280" t="n"/>
      <c r="X164" s="280" t="n"/>
      <c r="Y164" s="280" t="n"/>
    </row>
    <row r="165" ht="15" customHeight="1" s="195">
      <c r="A165" s="334" t="n"/>
      <c r="B165" s="334" t="n"/>
      <c r="C165" s="334" t="n"/>
      <c r="D165" s="334" t="n"/>
      <c r="E165" s="334" t="n"/>
      <c r="F165" s="334" t="n"/>
      <c r="G165" s="334" t="n"/>
      <c r="H165" s="334" t="n"/>
      <c r="I165" s="332">
        <f>IFERROR(VLOOKUP(TEXT(H165,"0"),IPRESS!$A$3:$B$212,2,0),"")</f>
        <v/>
      </c>
      <c r="J165" s="334" t="n"/>
      <c r="K165" s="332">
        <f>IFERROR(VLOOKUP(TEXT(O165,"0"),CONDUCTORES!$A$3:$G$54,7,0),"")</f>
        <v/>
      </c>
      <c r="L165" s="334" t="n"/>
      <c r="M165" s="334" t="n"/>
      <c r="N165" s="333">
        <f>IFERROR(IF(L165*M165=0,"",L165*M165),"")</f>
        <v/>
      </c>
      <c r="O165" s="334" t="n"/>
      <c r="P165" s="332">
        <f>IFERROR(VLOOKUP(TEXT(O165,"0"),CONDUCTORES!$A$3:$G$54,2,0),"")</f>
        <v/>
      </c>
      <c r="Q165" s="332">
        <f>IFERROR(VLOOKUP(TEXT(O165,"0"),CONDUCTORES!$A$3:$H$54,6,0),"")</f>
        <v/>
      </c>
      <c r="R165" s="334" t="n"/>
      <c r="S165" s="334" t="n"/>
      <c r="T165" s="334" t="n"/>
      <c r="U165" s="334" t="n"/>
      <c r="V165" s="334" t="n"/>
      <c r="W165" s="334" t="n"/>
      <c r="X165" s="334" t="n"/>
      <c r="Y165" s="334" t="n"/>
    </row>
    <row r="166" ht="15" customHeight="1" s="195">
      <c r="A166" s="280" t="n"/>
      <c r="B166" s="280" t="n"/>
      <c r="C166" s="280" t="n"/>
      <c r="D166" s="280" t="n"/>
      <c r="E166" s="280" t="n"/>
      <c r="F166" s="280" t="n"/>
      <c r="G166" s="280" t="n"/>
      <c r="H166" s="280" t="n"/>
      <c r="I166" s="332">
        <f>IFERROR(VLOOKUP(TEXT(H166,"0"),IPRESS!$A$3:$B$212,2,0),"")</f>
        <v/>
      </c>
      <c r="J166" s="280" t="n"/>
      <c r="K166" s="332">
        <f>IFERROR(VLOOKUP(TEXT(O166,"0"),CONDUCTORES!$A$3:$G$54,7,0),"")</f>
        <v/>
      </c>
      <c r="L166" s="280" t="n"/>
      <c r="M166" s="280" t="n"/>
      <c r="N166" s="333">
        <f>IFERROR(IF(L166*M166=0,"",L166*M166),"")</f>
        <v/>
      </c>
      <c r="O166" s="280" t="n"/>
      <c r="P166" s="332">
        <f>IFERROR(VLOOKUP(TEXT(O166,"0"),CONDUCTORES!$A$3:$G$54,2,0),"")</f>
        <v/>
      </c>
      <c r="Q166" s="332">
        <f>IFERROR(VLOOKUP(TEXT(O166,"0"),CONDUCTORES!$A$3:$H$54,6,0),"")</f>
        <v/>
      </c>
      <c r="R166" s="280" t="n"/>
      <c r="S166" s="280" t="n"/>
      <c r="T166" s="280" t="n"/>
      <c r="U166" s="280" t="n"/>
      <c r="V166" s="280" t="n"/>
      <c r="W166" s="280" t="n"/>
      <c r="X166" s="280" t="n"/>
      <c r="Y166" s="280" t="n"/>
    </row>
    <row r="167" ht="15" customHeight="1" s="195">
      <c r="A167" s="334" t="n"/>
      <c r="B167" s="334" t="n"/>
      <c r="C167" s="334" t="n"/>
      <c r="D167" s="334" t="n"/>
      <c r="E167" s="334" t="n"/>
      <c r="F167" s="334" t="n"/>
      <c r="G167" s="334" t="n"/>
      <c r="H167" s="334" t="n"/>
      <c r="I167" s="332">
        <f>IFERROR(VLOOKUP(TEXT(H167,"0"),IPRESS!$A$3:$B$212,2,0),"")</f>
        <v/>
      </c>
      <c r="J167" s="334" t="n"/>
      <c r="K167" s="332">
        <f>IFERROR(VLOOKUP(TEXT(O167,"0"),CONDUCTORES!$A$3:$G$54,7,0),"")</f>
        <v/>
      </c>
      <c r="L167" s="334" t="n"/>
      <c r="M167" s="334" t="n"/>
      <c r="N167" s="333">
        <f>IFERROR(IF(L167*M167=0,"",L167*M167),"")</f>
        <v/>
      </c>
      <c r="O167" s="334" t="n"/>
      <c r="P167" s="332">
        <f>IFERROR(VLOOKUP(TEXT(O167,"0"),CONDUCTORES!$A$3:$G$54,2,0),"")</f>
        <v/>
      </c>
      <c r="Q167" s="332">
        <f>IFERROR(VLOOKUP(TEXT(O167,"0"),CONDUCTORES!$A$3:$H$54,6,0),"")</f>
        <v/>
      </c>
      <c r="R167" s="334" t="n"/>
      <c r="S167" s="334" t="n"/>
      <c r="T167" s="334" t="n"/>
      <c r="U167" s="334" t="n"/>
      <c r="V167" s="334" t="n"/>
      <c r="W167" s="334" t="n"/>
      <c r="X167" s="334" t="n"/>
      <c r="Y167" s="334" t="n"/>
    </row>
    <row r="168" ht="15" customHeight="1" s="195">
      <c r="A168" s="280" t="n"/>
      <c r="B168" s="280" t="n"/>
      <c r="C168" s="280" t="n"/>
      <c r="D168" s="280" t="n"/>
      <c r="E168" s="280" t="n"/>
      <c r="F168" s="280" t="n"/>
      <c r="G168" s="280" t="n"/>
      <c r="H168" s="280" t="n"/>
      <c r="I168" s="332">
        <f>IFERROR(VLOOKUP(TEXT(H168,"0"),IPRESS!$A$3:$B$212,2,0),"")</f>
        <v/>
      </c>
      <c r="J168" s="280" t="n"/>
      <c r="K168" s="332">
        <f>IFERROR(VLOOKUP(TEXT(O168,"0"),CONDUCTORES!$A$3:$G$54,7,0),"")</f>
        <v/>
      </c>
      <c r="L168" s="280" t="n"/>
      <c r="M168" s="280" t="n"/>
      <c r="N168" s="333">
        <f>IFERROR(IF(L168*M168=0,"",L168*M168),"")</f>
        <v/>
      </c>
      <c r="O168" s="280" t="n"/>
      <c r="P168" s="332">
        <f>IFERROR(VLOOKUP(TEXT(O168,"0"),CONDUCTORES!$A$3:$G$54,2,0),"")</f>
        <v/>
      </c>
      <c r="Q168" s="332">
        <f>IFERROR(VLOOKUP(TEXT(O168,"0"),CONDUCTORES!$A$3:$H$54,6,0),"")</f>
        <v/>
      </c>
      <c r="R168" s="280" t="n"/>
      <c r="S168" s="280" t="n"/>
      <c r="T168" s="280" t="n"/>
      <c r="U168" s="280" t="n"/>
      <c r="V168" s="280" t="n"/>
      <c r="W168" s="280" t="n"/>
      <c r="X168" s="280" t="n"/>
      <c r="Y168" s="280" t="n"/>
    </row>
    <row r="169" ht="15" customHeight="1" s="195">
      <c r="A169" s="334" t="n"/>
      <c r="B169" s="334" t="n"/>
      <c r="C169" s="334" t="n"/>
      <c r="D169" s="334" t="n"/>
      <c r="E169" s="334" t="n"/>
      <c r="F169" s="334" t="n"/>
      <c r="G169" s="334" t="n"/>
      <c r="H169" s="334" t="n"/>
      <c r="I169" s="332">
        <f>IFERROR(VLOOKUP(TEXT(H169,"0"),IPRESS!$A$3:$B$212,2,0),"")</f>
        <v/>
      </c>
      <c r="J169" s="334" t="n"/>
      <c r="K169" s="332">
        <f>IFERROR(VLOOKUP(TEXT(O169,"0"),CONDUCTORES!$A$3:$G$54,7,0),"")</f>
        <v/>
      </c>
      <c r="L169" s="334" t="n"/>
      <c r="M169" s="334" t="n"/>
      <c r="N169" s="333">
        <f>IFERROR(IF(L169*M169=0,"",L169*M169),"")</f>
        <v/>
      </c>
      <c r="O169" s="334" t="n"/>
      <c r="P169" s="332">
        <f>IFERROR(VLOOKUP(TEXT(O169,"0"),CONDUCTORES!$A$3:$G$54,2,0),"")</f>
        <v/>
      </c>
      <c r="Q169" s="332">
        <f>IFERROR(VLOOKUP(TEXT(O169,"0"),CONDUCTORES!$A$3:$H$54,6,0),"")</f>
        <v/>
      </c>
      <c r="R169" s="334" t="n"/>
      <c r="S169" s="334" t="n"/>
      <c r="T169" s="334" t="n"/>
      <c r="U169" s="334" t="n"/>
      <c r="V169" s="334" t="n"/>
      <c r="W169" s="334" t="n"/>
      <c r="X169" s="334" t="n"/>
      <c r="Y169" s="334" t="n"/>
    </row>
    <row r="170" ht="15" customHeight="1" s="195">
      <c r="A170" s="280" t="n"/>
      <c r="B170" s="280" t="n"/>
      <c r="C170" s="280" t="n"/>
      <c r="D170" s="280" t="n"/>
      <c r="E170" s="280" t="n"/>
      <c r="F170" s="280" t="n"/>
      <c r="G170" s="280" t="n"/>
      <c r="H170" s="280" t="n"/>
      <c r="I170" s="332">
        <f>IFERROR(VLOOKUP(TEXT(H170,"0"),IPRESS!$A$3:$B$212,2,0),"")</f>
        <v/>
      </c>
      <c r="J170" s="280" t="n"/>
      <c r="K170" s="332">
        <f>IFERROR(VLOOKUP(TEXT(O170,"0"),CONDUCTORES!$A$3:$G$54,7,0),"")</f>
        <v/>
      </c>
      <c r="L170" s="280" t="n"/>
      <c r="M170" s="280" t="n"/>
      <c r="N170" s="333">
        <f>IFERROR(IF(L170*M170=0,"",L170*M170),"")</f>
        <v/>
      </c>
      <c r="O170" s="280" t="n"/>
      <c r="P170" s="332">
        <f>IFERROR(VLOOKUP(TEXT(O170,"0"),CONDUCTORES!$A$3:$G$54,2,0),"")</f>
        <v/>
      </c>
      <c r="Q170" s="332">
        <f>IFERROR(VLOOKUP(TEXT(O170,"0"),CONDUCTORES!$A$3:$H$54,6,0),"")</f>
        <v/>
      </c>
      <c r="R170" s="280" t="n"/>
      <c r="S170" s="280" t="n"/>
      <c r="T170" s="280" t="n"/>
      <c r="U170" s="280" t="n"/>
      <c r="V170" s="280" t="n"/>
      <c r="W170" s="280" t="n"/>
      <c r="X170" s="280" t="n"/>
      <c r="Y170" s="280" t="n"/>
    </row>
    <row r="171" ht="15" customHeight="1" s="195">
      <c r="A171" s="334" t="n"/>
      <c r="B171" s="334" t="n"/>
      <c r="C171" s="334" t="n"/>
      <c r="D171" s="334" t="n"/>
      <c r="E171" s="334" t="n"/>
      <c r="F171" s="334" t="n"/>
      <c r="G171" s="334" t="n"/>
      <c r="H171" s="334" t="n"/>
      <c r="I171" s="332">
        <f>IFERROR(VLOOKUP(TEXT(H171,"0"),IPRESS!$A$3:$B$212,2,0),"")</f>
        <v/>
      </c>
      <c r="J171" s="334" t="n"/>
      <c r="K171" s="332">
        <f>IFERROR(VLOOKUP(TEXT(O171,"0"),CONDUCTORES!$A$3:$G$54,7,0),"")</f>
        <v/>
      </c>
      <c r="L171" s="334" t="n"/>
      <c r="M171" s="334" t="n"/>
      <c r="N171" s="333">
        <f>IFERROR(IF(L171*M171=0,"",L171*M171),"")</f>
        <v/>
      </c>
      <c r="O171" s="334" t="n"/>
      <c r="P171" s="332">
        <f>IFERROR(VLOOKUP(TEXT(O171,"0"),CONDUCTORES!$A$3:$G$54,2,0),"")</f>
        <v/>
      </c>
      <c r="Q171" s="332">
        <f>IFERROR(VLOOKUP(TEXT(O171,"0"),CONDUCTORES!$A$3:$H$54,6,0),"")</f>
        <v/>
      </c>
      <c r="R171" s="334" t="n"/>
      <c r="S171" s="334" t="n"/>
      <c r="T171" s="334" t="n"/>
      <c r="U171" s="334" t="n"/>
      <c r="V171" s="334" t="n"/>
      <c r="W171" s="334" t="n"/>
      <c r="X171" s="334" t="n"/>
      <c r="Y171" s="334" t="n"/>
    </row>
    <row r="172" ht="15" customHeight="1" s="195">
      <c r="A172" s="280" t="n"/>
      <c r="B172" s="280" t="n"/>
      <c r="C172" s="280" t="n"/>
      <c r="D172" s="280" t="n"/>
      <c r="E172" s="280" t="n"/>
      <c r="F172" s="280" t="n"/>
      <c r="G172" s="280" t="n"/>
      <c r="H172" s="280" t="n"/>
      <c r="I172" s="332">
        <f>IFERROR(VLOOKUP(TEXT(H172,"0"),IPRESS!$A$3:$B$212,2,0),"")</f>
        <v/>
      </c>
      <c r="J172" s="280" t="n"/>
      <c r="K172" s="332">
        <f>IFERROR(VLOOKUP(TEXT(O172,"0"),CONDUCTORES!$A$3:$G$54,7,0),"")</f>
        <v/>
      </c>
      <c r="L172" s="280" t="n"/>
      <c r="M172" s="280" t="n"/>
      <c r="N172" s="333">
        <f>IFERROR(IF(L172*M172=0,"",L172*M172),"")</f>
        <v/>
      </c>
      <c r="O172" s="280" t="n"/>
      <c r="P172" s="332">
        <f>IFERROR(VLOOKUP(TEXT(O172,"0"),CONDUCTORES!$A$3:$G$54,2,0),"")</f>
        <v/>
      </c>
      <c r="Q172" s="332">
        <f>IFERROR(VLOOKUP(TEXT(O172,"0"),CONDUCTORES!$A$3:$H$54,6,0),"")</f>
        <v/>
      </c>
      <c r="R172" s="280" t="n"/>
      <c r="S172" s="280" t="n"/>
      <c r="T172" s="280" t="n"/>
      <c r="U172" s="280" t="n"/>
      <c r="V172" s="280" t="n"/>
      <c r="W172" s="280" t="n"/>
      <c r="X172" s="280" t="n"/>
      <c r="Y172" s="280" t="n"/>
    </row>
    <row r="173" ht="15" customHeight="1" s="195">
      <c r="A173" s="334" t="n"/>
      <c r="B173" s="334" t="n"/>
      <c r="C173" s="334" t="n"/>
      <c r="D173" s="334" t="n"/>
      <c r="E173" s="334" t="n"/>
      <c r="F173" s="334" t="n"/>
      <c r="G173" s="334" t="n"/>
      <c r="H173" s="334" t="n"/>
      <c r="I173" s="332">
        <f>IFERROR(VLOOKUP(TEXT(H173,"0"),IPRESS!$A$3:$B$212,2,0),"")</f>
        <v/>
      </c>
      <c r="J173" s="334" t="n"/>
      <c r="K173" s="332">
        <f>IFERROR(VLOOKUP(TEXT(O173,"0"),CONDUCTORES!$A$3:$G$54,7,0),"")</f>
        <v/>
      </c>
      <c r="L173" s="334" t="n"/>
      <c r="M173" s="334" t="n"/>
      <c r="N173" s="333">
        <f>IFERROR(IF(L173*M173=0,"",L173*M173),"")</f>
        <v/>
      </c>
      <c r="O173" s="334" t="n"/>
      <c r="P173" s="332">
        <f>IFERROR(VLOOKUP(TEXT(O173,"0"),CONDUCTORES!$A$3:$G$54,2,0),"")</f>
        <v/>
      </c>
      <c r="Q173" s="332">
        <f>IFERROR(VLOOKUP(TEXT(O173,"0"),CONDUCTORES!$A$3:$H$54,6,0),"")</f>
        <v/>
      </c>
      <c r="R173" s="334" t="n"/>
      <c r="S173" s="334" t="n"/>
      <c r="T173" s="334" t="n"/>
      <c r="U173" s="334" t="n"/>
      <c r="V173" s="334" t="n"/>
      <c r="W173" s="334" t="n"/>
      <c r="X173" s="334" t="n"/>
      <c r="Y173" s="334" t="n"/>
    </row>
    <row r="174" ht="15" customHeight="1" s="195">
      <c r="A174" s="280" t="n"/>
      <c r="B174" s="280" t="n"/>
      <c r="C174" s="280" t="n"/>
      <c r="D174" s="280" t="n"/>
      <c r="E174" s="280" t="n"/>
      <c r="F174" s="280" t="n"/>
      <c r="G174" s="280" t="n"/>
      <c r="H174" s="280" t="n"/>
      <c r="I174" s="332">
        <f>IFERROR(VLOOKUP(TEXT(H174,"0"),IPRESS!$A$3:$B$212,2,0),"")</f>
        <v/>
      </c>
      <c r="J174" s="280" t="n"/>
      <c r="K174" s="332">
        <f>IFERROR(VLOOKUP(TEXT(O174,"0"),CONDUCTORES!$A$3:$G$54,7,0),"")</f>
        <v/>
      </c>
      <c r="L174" s="280" t="n"/>
      <c r="M174" s="280" t="n"/>
      <c r="N174" s="333">
        <f>IFERROR(IF(L174*M174=0,"",L174*M174),"")</f>
        <v/>
      </c>
      <c r="O174" s="280" t="n"/>
      <c r="P174" s="332">
        <f>IFERROR(VLOOKUP(TEXT(O174,"0"),CONDUCTORES!$A$3:$G$54,2,0),"")</f>
        <v/>
      </c>
      <c r="Q174" s="332">
        <f>IFERROR(VLOOKUP(TEXT(O174,"0"),CONDUCTORES!$A$3:$H$54,6,0),"")</f>
        <v/>
      </c>
      <c r="R174" s="280" t="n"/>
      <c r="S174" s="280" t="n"/>
      <c r="T174" s="280" t="n"/>
      <c r="U174" s="280" t="n"/>
      <c r="V174" s="280" t="n"/>
      <c r="W174" s="280" t="n"/>
      <c r="X174" s="280" t="n"/>
      <c r="Y174" s="280" t="n"/>
    </row>
    <row r="175" ht="15" customHeight="1" s="195">
      <c r="A175" s="334" t="n"/>
      <c r="B175" s="334" t="n"/>
      <c r="C175" s="334" t="n"/>
      <c r="D175" s="334" t="n"/>
      <c r="E175" s="334" t="n"/>
      <c r="F175" s="334" t="n"/>
      <c r="G175" s="334" t="n"/>
      <c r="H175" s="334" t="n"/>
      <c r="I175" s="332">
        <f>IFERROR(VLOOKUP(TEXT(H175,"0"),IPRESS!$A$3:$B$212,2,0),"")</f>
        <v/>
      </c>
      <c r="J175" s="334" t="n"/>
      <c r="K175" s="332">
        <f>IFERROR(VLOOKUP(TEXT(O175,"0"),CONDUCTORES!$A$3:$G$54,7,0),"")</f>
        <v/>
      </c>
      <c r="L175" s="334" t="n"/>
      <c r="M175" s="334" t="n"/>
      <c r="N175" s="333">
        <f>IFERROR(IF(L175*M175=0,"",L175*M175),"")</f>
        <v/>
      </c>
      <c r="O175" s="334" t="n"/>
      <c r="P175" s="332">
        <f>IFERROR(VLOOKUP(TEXT(O175,"0"),CONDUCTORES!$A$3:$G$54,2,0),"")</f>
        <v/>
      </c>
      <c r="Q175" s="332">
        <f>IFERROR(VLOOKUP(TEXT(O175,"0"),CONDUCTORES!$A$3:$H$54,6,0),"")</f>
        <v/>
      </c>
      <c r="R175" s="334" t="n"/>
      <c r="S175" s="334" t="n"/>
      <c r="T175" s="334" t="n"/>
      <c r="U175" s="334" t="n"/>
      <c r="V175" s="334" t="n"/>
      <c r="W175" s="334" t="n"/>
      <c r="X175" s="334" t="n"/>
      <c r="Y175" s="334" t="n"/>
    </row>
    <row r="176" ht="15" customHeight="1" s="195">
      <c r="A176" s="280" t="n"/>
      <c r="B176" s="280" t="n"/>
      <c r="C176" s="280" t="n"/>
      <c r="D176" s="280" t="n"/>
      <c r="E176" s="280" t="n"/>
      <c r="F176" s="280" t="n"/>
      <c r="G176" s="280" t="n"/>
      <c r="H176" s="280" t="n"/>
      <c r="I176" s="332">
        <f>IFERROR(VLOOKUP(TEXT(H176,"0"),IPRESS!$A$3:$B$212,2,0),"")</f>
        <v/>
      </c>
      <c r="J176" s="280" t="n"/>
      <c r="K176" s="332">
        <f>IFERROR(VLOOKUP(TEXT(O176,"0"),CONDUCTORES!$A$3:$G$54,7,0),"")</f>
        <v/>
      </c>
      <c r="L176" s="280" t="n"/>
      <c r="M176" s="280" t="n"/>
      <c r="N176" s="333">
        <f>IFERROR(IF(L176*M176=0,"",L176*M176),"")</f>
        <v/>
      </c>
      <c r="O176" s="280" t="n"/>
      <c r="P176" s="332">
        <f>IFERROR(VLOOKUP(TEXT(O176,"0"),CONDUCTORES!$A$3:$G$54,2,0),"")</f>
        <v/>
      </c>
      <c r="Q176" s="332">
        <f>IFERROR(VLOOKUP(TEXT(O176,"0"),CONDUCTORES!$A$3:$H$54,6,0),"")</f>
        <v/>
      </c>
      <c r="R176" s="280" t="n"/>
      <c r="S176" s="280" t="n"/>
      <c r="T176" s="280" t="n"/>
      <c r="U176" s="280" t="n"/>
      <c r="V176" s="280" t="n"/>
      <c r="W176" s="280" t="n"/>
      <c r="X176" s="280" t="n"/>
      <c r="Y176" s="280" t="n"/>
    </row>
    <row r="177" ht="15" customHeight="1" s="195">
      <c r="A177" s="334" t="n"/>
      <c r="B177" s="334" t="n"/>
      <c r="C177" s="334" t="n"/>
      <c r="D177" s="334" t="n"/>
      <c r="E177" s="334" t="n"/>
      <c r="F177" s="334" t="n"/>
      <c r="G177" s="334" t="n"/>
      <c r="H177" s="334" t="n"/>
      <c r="I177" s="332">
        <f>IFERROR(VLOOKUP(TEXT(H177,"0"),IPRESS!$A$3:$B$212,2,0),"")</f>
        <v/>
      </c>
      <c r="J177" s="334" t="n"/>
      <c r="K177" s="332">
        <f>IFERROR(VLOOKUP(TEXT(O177,"0"),CONDUCTORES!$A$3:$G$54,7,0),"")</f>
        <v/>
      </c>
      <c r="L177" s="334" t="n"/>
      <c r="M177" s="334" t="n"/>
      <c r="N177" s="333">
        <f>IFERROR(IF(L177*M177=0,"",L177*M177),"")</f>
        <v/>
      </c>
      <c r="O177" s="334" t="n"/>
      <c r="P177" s="332">
        <f>IFERROR(VLOOKUP(TEXT(O177,"0"),CONDUCTORES!$A$3:$G$54,2,0),"")</f>
        <v/>
      </c>
      <c r="Q177" s="332">
        <f>IFERROR(VLOOKUP(TEXT(O177,"0"),CONDUCTORES!$A$3:$H$54,6,0),"")</f>
        <v/>
      </c>
      <c r="R177" s="334" t="n"/>
      <c r="S177" s="334" t="n"/>
      <c r="T177" s="334" t="n"/>
      <c r="U177" s="334" t="n"/>
      <c r="V177" s="334" t="n"/>
      <c r="W177" s="334" t="n"/>
      <c r="X177" s="334" t="n"/>
      <c r="Y177" s="334" t="n"/>
    </row>
    <row r="178" ht="15" customHeight="1" s="195">
      <c r="A178" s="280" t="n"/>
      <c r="B178" s="280" t="n"/>
      <c r="C178" s="280" t="n"/>
      <c r="D178" s="280" t="n"/>
      <c r="E178" s="280" t="n"/>
      <c r="F178" s="280" t="n"/>
      <c r="G178" s="280" t="n"/>
      <c r="H178" s="280" t="n"/>
      <c r="I178" s="332">
        <f>IFERROR(VLOOKUP(TEXT(H178,"0"),IPRESS!$A$3:$B$212,2,0),"")</f>
        <v/>
      </c>
      <c r="J178" s="280" t="n"/>
      <c r="K178" s="332">
        <f>IFERROR(VLOOKUP(TEXT(O178,"0"),CONDUCTORES!$A$3:$G$54,7,0),"")</f>
        <v/>
      </c>
      <c r="L178" s="280" t="n"/>
      <c r="M178" s="280" t="n"/>
      <c r="N178" s="333">
        <f>IFERROR(IF(L178*M178=0,"",L178*M178),"")</f>
        <v/>
      </c>
      <c r="O178" s="280" t="n"/>
      <c r="P178" s="332">
        <f>IFERROR(VLOOKUP(TEXT(O178,"0"),CONDUCTORES!$A$3:$G$54,2,0),"")</f>
        <v/>
      </c>
      <c r="Q178" s="332">
        <f>IFERROR(VLOOKUP(TEXT(O178,"0"),CONDUCTORES!$A$3:$H$54,6,0),"")</f>
        <v/>
      </c>
      <c r="R178" s="280" t="n"/>
      <c r="S178" s="280" t="n"/>
      <c r="T178" s="280" t="n"/>
      <c r="U178" s="280" t="n"/>
      <c r="V178" s="280" t="n"/>
      <c r="W178" s="280" t="n"/>
      <c r="X178" s="280" t="n"/>
      <c r="Y178" s="280" t="n"/>
    </row>
    <row r="179" ht="15" customHeight="1" s="195">
      <c r="A179" s="334" t="n"/>
      <c r="B179" s="334" t="n"/>
      <c r="C179" s="334" t="n"/>
      <c r="D179" s="334" t="n"/>
      <c r="E179" s="334" t="n"/>
      <c r="F179" s="334" t="n"/>
      <c r="G179" s="334" t="n"/>
      <c r="H179" s="334" t="n"/>
      <c r="I179" s="332">
        <f>IFERROR(VLOOKUP(TEXT(H179,"0"),IPRESS!$A$3:$B$212,2,0),"")</f>
        <v/>
      </c>
      <c r="J179" s="334" t="n"/>
      <c r="K179" s="332">
        <f>IFERROR(VLOOKUP(TEXT(O179,"0"),CONDUCTORES!$A$3:$G$54,7,0),"")</f>
        <v/>
      </c>
      <c r="L179" s="334" t="n"/>
      <c r="M179" s="334" t="n"/>
      <c r="N179" s="333">
        <f>IFERROR(IF(L179*M179=0,"",L179*M179),"")</f>
        <v/>
      </c>
      <c r="O179" s="334" t="n"/>
      <c r="P179" s="332">
        <f>IFERROR(VLOOKUP(TEXT(O179,"0"),CONDUCTORES!$A$3:$G$54,2,0),"")</f>
        <v/>
      </c>
      <c r="Q179" s="332">
        <f>IFERROR(VLOOKUP(TEXT(O179,"0"),CONDUCTORES!$A$3:$H$54,6,0),"")</f>
        <v/>
      </c>
      <c r="R179" s="334" t="n"/>
      <c r="S179" s="334" t="n"/>
      <c r="T179" s="334" t="n"/>
      <c r="U179" s="334" t="n"/>
      <c r="V179" s="334" t="n"/>
      <c r="W179" s="334" t="n"/>
      <c r="X179" s="334" t="n"/>
      <c r="Y179" s="334" t="n"/>
    </row>
    <row r="180" ht="15" customHeight="1" s="195">
      <c r="A180" s="280" t="n"/>
      <c r="B180" s="280" t="n"/>
      <c r="C180" s="280" t="n"/>
      <c r="D180" s="280" t="n"/>
      <c r="E180" s="280" t="n"/>
      <c r="F180" s="280" t="n"/>
      <c r="G180" s="280" t="n"/>
      <c r="H180" s="280" t="n"/>
      <c r="I180" s="332">
        <f>IFERROR(VLOOKUP(TEXT(H180,"0"),IPRESS!$A$3:$B$212,2,0),"")</f>
        <v/>
      </c>
      <c r="J180" s="280" t="n"/>
      <c r="K180" s="332">
        <f>IFERROR(VLOOKUP(TEXT(O180,"0"),CONDUCTORES!$A$3:$G$54,7,0),"")</f>
        <v/>
      </c>
      <c r="L180" s="280" t="n"/>
      <c r="M180" s="280" t="n"/>
      <c r="N180" s="333">
        <f>IFERROR(IF(L180*M180=0,"",L180*M180),"")</f>
        <v/>
      </c>
      <c r="O180" s="280" t="n"/>
      <c r="P180" s="332">
        <f>IFERROR(VLOOKUP(TEXT(O180,"0"),CONDUCTORES!$A$3:$G$54,2,0),"")</f>
        <v/>
      </c>
      <c r="Q180" s="332">
        <f>IFERROR(VLOOKUP(TEXT(O180,"0"),CONDUCTORES!$A$3:$H$54,6,0),"")</f>
        <v/>
      </c>
      <c r="R180" s="280" t="n"/>
      <c r="S180" s="280" t="n"/>
      <c r="T180" s="280" t="n"/>
      <c r="U180" s="280" t="n"/>
      <c r="V180" s="280" t="n"/>
      <c r="W180" s="280" t="n"/>
      <c r="X180" s="280" t="n"/>
      <c r="Y180" s="280" t="n"/>
    </row>
    <row r="181" ht="15" customHeight="1" s="195">
      <c r="A181" s="334" t="n"/>
      <c r="B181" s="334" t="n"/>
      <c r="C181" s="334" t="n"/>
      <c r="D181" s="334" t="n"/>
      <c r="E181" s="334" t="n"/>
      <c r="F181" s="334" t="n"/>
      <c r="G181" s="334" t="n"/>
      <c r="H181" s="334" t="n"/>
      <c r="I181" s="332">
        <f>IFERROR(VLOOKUP(TEXT(H181,"0"),IPRESS!$A$3:$B$212,2,0),"")</f>
        <v/>
      </c>
      <c r="J181" s="334" t="n"/>
      <c r="K181" s="332">
        <f>IFERROR(VLOOKUP(TEXT(O181,"0"),CONDUCTORES!$A$3:$G$54,7,0),"")</f>
        <v/>
      </c>
      <c r="L181" s="334" t="n"/>
      <c r="M181" s="334" t="n"/>
      <c r="N181" s="333">
        <f>IFERROR(IF(L181*M181=0,"",L181*M181),"")</f>
        <v/>
      </c>
      <c r="O181" s="334" t="n"/>
      <c r="P181" s="332">
        <f>IFERROR(VLOOKUP(TEXT(O181,"0"),CONDUCTORES!$A$3:$G$54,2,0),"")</f>
        <v/>
      </c>
      <c r="Q181" s="332">
        <f>IFERROR(VLOOKUP(TEXT(O181,"0"),CONDUCTORES!$A$3:$H$54,6,0),"")</f>
        <v/>
      </c>
      <c r="R181" s="334" t="n"/>
      <c r="S181" s="334" t="n"/>
      <c r="T181" s="334" t="n"/>
      <c r="U181" s="334" t="n"/>
      <c r="V181" s="334" t="n"/>
      <c r="W181" s="334" t="n"/>
      <c r="X181" s="334" t="n"/>
      <c r="Y181" s="334" t="n"/>
    </row>
    <row r="182" ht="15" customHeight="1" s="195">
      <c r="A182" s="280" t="n"/>
      <c r="B182" s="280" t="n"/>
      <c r="C182" s="280" t="n"/>
      <c r="D182" s="280" t="n"/>
      <c r="E182" s="280" t="n"/>
      <c r="F182" s="280" t="n"/>
      <c r="G182" s="280" t="n"/>
      <c r="H182" s="280" t="n"/>
      <c r="I182" s="332">
        <f>IFERROR(VLOOKUP(TEXT(H182,"0"),IPRESS!$A$3:$B$212,2,0),"")</f>
        <v/>
      </c>
      <c r="J182" s="280" t="n"/>
      <c r="K182" s="332">
        <f>IFERROR(VLOOKUP(TEXT(O182,"0"),CONDUCTORES!$A$3:$G$54,7,0),"")</f>
        <v/>
      </c>
      <c r="L182" s="280" t="n"/>
      <c r="M182" s="280" t="n"/>
      <c r="N182" s="333">
        <f>IFERROR(IF(L182*M182=0,"",L182*M182),"")</f>
        <v/>
      </c>
      <c r="O182" s="280" t="n"/>
      <c r="P182" s="332">
        <f>IFERROR(VLOOKUP(TEXT(O182,"0"),CONDUCTORES!$A$3:$G$54,2,0),"")</f>
        <v/>
      </c>
      <c r="Q182" s="332">
        <f>IFERROR(VLOOKUP(TEXT(O182,"0"),CONDUCTORES!$A$3:$H$54,6,0),"")</f>
        <v/>
      </c>
      <c r="R182" s="280" t="n"/>
      <c r="S182" s="280" t="n"/>
      <c r="T182" s="280" t="n"/>
      <c r="U182" s="280" t="n"/>
      <c r="V182" s="280" t="n"/>
      <c r="W182" s="280" t="n"/>
      <c r="X182" s="280" t="n"/>
      <c r="Y182" s="280" t="n"/>
    </row>
    <row r="183" ht="15" customHeight="1" s="195">
      <c r="A183" s="334" t="n"/>
      <c r="B183" s="334" t="n"/>
      <c r="C183" s="334" t="n"/>
      <c r="D183" s="334" t="n"/>
      <c r="E183" s="334" t="n"/>
      <c r="F183" s="334" t="n"/>
      <c r="G183" s="334" t="n"/>
      <c r="H183" s="334" t="n"/>
      <c r="I183" s="332">
        <f>IFERROR(VLOOKUP(TEXT(H183,"0"),IPRESS!$A$3:$B$212,2,0),"")</f>
        <v/>
      </c>
      <c r="J183" s="334" t="n"/>
      <c r="K183" s="332">
        <f>IFERROR(VLOOKUP(TEXT(O183,"0"),CONDUCTORES!$A$3:$G$54,7,0),"")</f>
        <v/>
      </c>
      <c r="L183" s="334" t="n"/>
      <c r="M183" s="334" t="n"/>
      <c r="N183" s="333">
        <f>IFERROR(IF(L183*M183=0,"",L183*M183),"")</f>
        <v/>
      </c>
      <c r="O183" s="334" t="n"/>
      <c r="P183" s="332">
        <f>IFERROR(VLOOKUP(TEXT(O183,"0"),CONDUCTORES!$A$3:$G$54,2,0),"")</f>
        <v/>
      </c>
      <c r="Q183" s="332">
        <f>IFERROR(VLOOKUP(TEXT(O183,"0"),CONDUCTORES!$A$3:$H$54,6,0),"")</f>
        <v/>
      </c>
      <c r="R183" s="334" t="n"/>
      <c r="S183" s="334" t="n"/>
      <c r="T183" s="334" t="n"/>
      <c r="U183" s="334" t="n"/>
      <c r="V183" s="334" t="n"/>
      <c r="W183" s="334" t="n"/>
      <c r="X183" s="334" t="n"/>
      <c r="Y183" s="334" t="n"/>
    </row>
    <row r="184" ht="15" customHeight="1" s="195">
      <c r="A184" s="280" t="n"/>
      <c r="B184" s="280" t="n"/>
      <c r="C184" s="280" t="n"/>
      <c r="D184" s="280" t="n"/>
      <c r="E184" s="280" t="n"/>
      <c r="F184" s="280" t="n"/>
      <c r="G184" s="280" t="n"/>
      <c r="H184" s="280" t="n"/>
      <c r="I184" s="332">
        <f>IFERROR(VLOOKUP(TEXT(H184,"0"),IPRESS!$A$3:$B$212,2,0),"")</f>
        <v/>
      </c>
      <c r="J184" s="280" t="n"/>
      <c r="K184" s="332">
        <f>IFERROR(VLOOKUP(TEXT(O184,"0"),CONDUCTORES!$A$3:$G$54,7,0),"")</f>
        <v/>
      </c>
      <c r="L184" s="280" t="n"/>
      <c r="M184" s="280" t="n"/>
      <c r="N184" s="333">
        <f>IFERROR(IF(L184*M184=0,"",L184*M184),"")</f>
        <v/>
      </c>
      <c r="O184" s="280" t="n"/>
      <c r="P184" s="332">
        <f>IFERROR(VLOOKUP(TEXT(O184,"0"),CONDUCTORES!$A$3:$G$54,2,0),"")</f>
        <v/>
      </c>
      <c r="Q184" s="332">
        <f>IFERROR(VLOOKUP(TEXT(O184,"0"),CONDUCTORES!$A$3:$H$54,6,0),"")</f>
        <v/>
      </c>
      <c r="R184" s="280" t="n"/>
      <c r="S184" s="280" t="n"/>
      <c r="T184" s="280" t="n"/>
      <c r="U184" s="280" t="n"/>
      <c r="V184" s="280" t="n"/>
      <c r="W184" s="280" t="n"/>
      <c r="X184" s="280" t="n"/>
      <c r="Y184" s="280" t="n"/>
    </row>
    <row r="185" ht="15" customHeight="1" s="195">
      <c r="A185" s="334" t="n"/>
      <c r="B185" s="334" t="n"/>
      <c r="C185" s="334" t="n"/>
      <c r="D185" s="334" t="n"/>
      <c r="E185" s="334" t="n"/>
      <c r="F185" s="334" t="n"/>
      <c r="G185" s="334" t="n"/>
      <c r="H185" s="334" t="n"/>
      <c r="I185" s="332">
        <f>IFERROR(VLOOKUP(TEXT(H185,"0"),IPRESS!$A$3:$B$212,2,0),"")</f>
        <v/>
      </c>
      <c r="J185" s="334" t="n"/>
      <c r="K185" s="332">
        <f>IFERROR(VLOOKUP(TEXT(O185,"0"),CONDUCTORES!$A$3:$G$54,7,0),"")</f>
        <v/>
      </c>
      <c r="L185" s="334" t="n"/>
      <c r="M185" s="334" t="n"/>
      <c r="N185" s="333">
        <f>IFERROR(IF(L185*M185=0,"",L185*M185),"")</f>
        <v/>
      </c>
      <c r="O185" s="334" t="n"/>
      <c r="P185" s="332">
        <f>IFERROR(VLOOKUP(TEXT(O185,"0"),CONDUCTORES!$A$3:$G$54,2,0),"")</f>
        <v/>
      </c>
      <c r="Q185" s="332">
        <f>IFERROR(VLOOKUP(TEXT(O185,"0"),CONDUCTORES!$A$3:$H$54,6,0),"")</f>
        <v/>
      </c>
      <c r="R185" s="334" t="n"/>
      <c r="S185" s="334" t="n"/>
      <c r="T185" s="334" t="n"/>
      <c r="U185" s="334" t="n"/>
      <c r="V185" s="334" t="n"/>
      <c r="W185" s="334" t="n"/>
      <c r="X185" s="334" t="n"/>
      <c r="Y185" s="334" t="n"/>
    </row>
    <row r="186" ht="15" customHeight="1" s="195">
      <c r="A186" s="280" t="n"/>
      <c r="B186" s="280" t="n"/>
      <c r="C186" s="280" t="n"/>
      <c r="D186" s="280" t="n"/>
      <c r="E186" s="280" t="n"/>
      <c r="F186" s="280" t="n"/>
      <c r="G186" s="280" t="n"/>
      <c r="H186" s="280" t="n"/>
      <c r="I186" s="332">
        <f>IFERROR(VLOOKUP(TEXT(H186,"0"),IPRESS!$A$3:$B$212,2,0),"")</f>
        <v/>
      </c>
      <c r="J186" s="280" t="n"/>
      <c r="K186" s="332">
        <f>IFERROR(VLOOKUP(TEXT(O186,"0"),CONDUCTORES!$A$3:$G$54,7,0),"")</f>
        <v/>
      </c>
      <c r="L186" s="280" t="n"/>
      <c r="M186" s="280" t="n"/>
      <c r="N186" s="333">
        <f>IFERROR(IF(L186*M186=0,"",L186*M186),"")</f>
        <v/>
      </c>
      <c r="O186" s="280" t="n"/>
      <c r="P186" s="332">
        <f>IFERROR(VLOOKUP(TEXT(O186,"0"),CONDUCTORES!$A$3:$G$54,2,0),"")</f>
        <v/>
      </c>
      <c r="Q186" s="332">
        <f>IFERROR(VLOOKUP(TEXT(O186,"0"),CONDUCTORES!$A$3:$H$54,6,0),"")</f>
        <v/>
      </c>
      <c r="R186" s="280" t="n"/>
      <c r="S186" s="280" t="n"/>
      <c r="T186" s="280" t="n"/>
      <c r="U186" s="280" t="n"/>
      <c r="V186" s="280" t="n"/>
      <c r="W186" s="280" t="n"/>
      <c r="X186" s="280" t="n"/>
      <c r="Y186" s="280" t="n"/>
    </row>
    <row r="187" ht="15" customHeight="1" s="195">
      <c r="A187" s="334" t="n"/>
      <c r="B187" s="334" t="n"/>
      <c r="C187" s="334" t="n"/>
      <c r="D187" s="334" t="n"/>
      <c r="E187" s="334" t="n"/>
      <c r="F187" s="334" t="n"/>
      <c r="G187" s="334" t="n"/>
      <c r="H187" s="334" t="n"/>
      <c r="I187" s="332">
        <f>IFERROR(VLOOKUP(TEXT(H187,"0"),IPRESS!$A$3:$B$212,2,0),"")</f>
        <v/>
      </c>
      <c r="J187" s="334" t="n"/>
      <c r="K187" s="332">
        <f>IFERROR(VLOOKUP(TEXT(O187,"0"),CONDUCTORES!$A$3:$G$54,7,0),"")</f>
        <v/>
      </c>
      <c r="L187" s="334" t="n"/>
      <c r="M187" s="334" t="n"/>
      <c r="N187" s="333">
        <f>IFERROR(IF(L187*M187=0,"",L187*M187),"")</f>
        <v/>
      </c>
      <c r="O187" s="334" t="n"/>
      <c r="P187" s="332">
        <f>IFERROR(VLOOKUP(TEXT(O187,"0"),CONDUCTORES!$A$3:$G$54,2,0),"")</f>
        <v/>
      </c>
      <c r="Q187" s="332">
        <f>IFERROR(VLOOKUP(TEXT(O187,"0"),CONDUCTORES!$A$3:$H$54,6,0),"")</f>
        <v/>
      </c>
      <c r="R187" s="334" t="n"/>
      <c r="S187" s="334" t="n"/>
      <c r="T187" s="334" t="n"/>
      <c r="U187" s="334" t="n"/>
      <c r="V187" s="334" t="n"/>
      <c r="W187" s="334" t="n"/>
      <c r="X187" s="334" t="n"/>
      <c r="Y187" s="334" t="n"/>
    </row>
    <row r="188" ht="15" customHeight="1" s="195">
      <c r="A188" s="280" t="n"/>
      <c r="B188" s="280" t="n"/>
      <c r="C188" s="280" t="n"/>
      <c r="D188" s="280" t="n"/>
      <c r="E188" s="280" t="n"/>
      <c r="F188" s="280" t="n"/>
      <c r="G188" s="280" t="n"/>
      <c r="H188" s="280" t="n"/>
      <c r="I188" s="332">
        <f>IFERROR(VLOOKUP(TEXT(H188,"0"),IPRESS!$A$3:$B$212,2,0),"")</f>
        <v/>
      </c>
      <c r="J188" s="280" t="n"/>
      <c r="K188" s="332">
        <f>IFERROR(VLOOKUP(TEXT(O188,"0"),CONDUCTORES!$A$3:$G$54,7,0),"")</f>
        <v/>
      </c>
      <c r="L188" s="280" t="n"/>
      <c r="M188" s="280" t="n"/>
      <c r="N188" s="333">
        <f>IFERROR(IF(L188*M188=0,"",L188*M188),"")</f>
        <v/>
      </c>
      <c r="O188" s="280" t="n"/>
      <c r="P188" s="332">
        <f>IFERROR(VLOOKUP(TEXT(O188,"0"),CONDUCTORES!$A$3:$G$54,2,0),"")</f>
        <v/>
      </c>
      <c r="Q188" s="332">
        <f>IFERROR(VLOOKUP(TEXT(O188,"0"),CONDUCTORES!$A$3:$H$54,6,0),"")</f>
        <v/>
      </c>
      <c r="R188" s="280" t="n"/>
      <c r="S188" s="280" t="n"/>
      <c r="T188" s="280" t="n"/>
      <c r="U188" s="280" t="n"/>
      <c r="V188" s="280" t="n"/>
      <c r="W188" s="280" t="n"/>
      <c r="X188" s="280" t="n"/>
      <c r="Y188" s="280" t="n"/>
    </row>
    <row r="189" ht="15" customHeight="1" s="195">
      <c r="A189" s="334" t="n"/>
      <c r="B189" s="334" t="n"/>
      <c r="C189" s="334" t="n"/>
      <c r="D189" s="334" t="n"/>
      <c r="E189" s="334" t="n"/>
      <c r="F189" s="334" t="n"/>
      <c r="G189" s="334" t="n"/>
      <c r="H189" s="334" t="n"/>
      <c r="I189" s="332">
        <f>IFERROR(VLOOKUP(TEXT(H189,"0"),IPRESS!$A$3:$B$212,2,0),"")</f>
        <v/>
      </c>
      <c r="J189" s="334" t="n"/>
      <c r="K189" s="332">
        <f>IFERROR(VLOOKUP(TEXT(O189,"0"),CONDUCTORES!$A$3:$G$54,7,0),"")</f>
        <v/>
      </c>
      <c r="L189" s="334" t="n"/>
      <c r="M189" s="334" t="n"/>
      <c r="N189" s="333">
        <f>IFERROR(IF(L189*M189=0,"",L189*M189),"")</f>
        <v/>
      </c>
      <c r="O189" s="334" t="n"/>
      <c r="P189" s="332">
        <f>IFERROR(VLOOKUP(TEXT(O189,"0"),CONDUCTORES!$A$3:$G$54,2,0),"")</f>
        <v/>
      </c>
      <c r="Q189" s="332">
        <f>IFERROR(VLOOKUP(TEXT(O189,"0"),CONDUCTORES!$A$3:$H$54,6,0),"")</f>
        <v/>
      </c>
      <c r="R189" s="334" t="n"/>
      <c r="S189" s="334" t="n"/>
      <c r="T189" s="334" t="n"/>
      <c r="U189" s="334" t="n"/>
      <c r="V189" s="334" t="n"/>
      <c r="W189" s="334" t="n"/>
      <c r="X189" s="334" t="n"/>
      <c r="Y189" s="334" t="n"/>
    </row>
    <row r="190" ht="15" customHeight="1" s="195">
      <c r="A190" s="280" t="n"/>
      <c r="B190" s="280" t="n"/>
      <c r="C190" s="280" t="n"/>
      <c r="D190" s="280" t="n"/>
      <c r="E190" s="280" t="n"/>
      <c r="F190" s="280" t="n"/>
      <c r="G190" s="280" t="n"/>
      <c r="H190" s="280" t="n"/>
      <c r="I190" s="332">
        <f>IFERROR(VLOOKUP(TEXT(H190,"0"),IPRESS!$A$3:$B$212,2,0),"")</f>
        <v/>
      </c>
      <c r="J190" s="280" t="n"/>
      <c r="K190" s="332">
        <f>IFERROR(VLOOKUP(TEXT(O190,"0"),CONDUCTORES!$A$3:$G$54,7,0),"")</f>
        <v/>
      </c>
      <c r="L190" s="280" t="n"/>
      <c r="M190" s="280" t="n"/>
      <c r="N190" s="333">
        <f>IFERROR(IF(L190*M190=0,"",L190*M190),"")</f>
        <v/>
      </c>
      <c r="O190" s="280" t="n"/>
      <c r="P190" s="332">
        <f>IFERROR(VLOOKUP(TEXT(O190,"0"),CONDUCTORES!$A$3:$G$54,2,0),"")</f>
        <v/>
      </c>
      <c r="Q190" s="332">
        <f>IFERROR(VLOOKUP(TEXT(O190,"0"),CONDUCTORES!$A$3:$H$54,6,0),"")</f>
        <v/>
      </c>
      <c r="R190" s="280" t="n"/>
      <c r="S190" s="280" t="n"/>
      <c r="T190" s="280" t="n"/>
      <c r="U190" s="280" t="n"/>
      <c r="V190" s="280" t="n"/>
      <c r="W190" s="280" t="n"/>
      <c r="X190" s="280" t="n"/>
      <c r="Y190" s="280" t="n"/>
    </row>
    <row r="191" ht="15" customHeight="1" s="195">
      <c r="A191" s="334" t="n"/>
      <c r="B191" s="334" t="n"/>
      <c r="C191" s="334" t="n"/>
      <c r="D191" s="334" t="n"/>
      <c r="E191" s="334" t="n"/>
      <c r="F191" s="334" t="n"/>
      <c r="G191" s="334" t="n"/>
      <c r="H191" s="334" t="n"/>
      <c r="I191" s="332">
        <f>IFERROR(VLOOKUP(TEXT(H191,"0"),IPRESS!$A$3:$B$212,2,0),"")</f>
        <v/>
      </c>
      <c r="J191" s="334" t="n"/>
      <c r="K191" s="332">
        <f>IFERROR(VLOOKUP(TEXT(O191,"0"),CONDUCTORES!$A$3:$G$54,7,0),"")</f>
        <v/>
      </c>
      <c r="L191" s="334" t="n"/>
      <c r="M191" s="334" t="n"/>
      <c r="N191" s="333">
        <f>IFERROR(IF(L191*M191=0,"",L191*M191),"")</f>
        <v/>
      </c>
      <c r="O191" s="334" t="n"/>
      <c r="P191" s="332">
        <f>IFERROR(VLOOKUP(TEXT(O191,"0"),CONDUCTORES!$A$3:$G$54,2,0),"")</f>
        <v/>
      </c>
      <c r="Q191" s="332">
        <f>IFERROR(VLOOKUP(TEXT(O191,"0"),CONDUCTORES!$A$3:$H$54,6,0),"")</f>
        <v/>
      </c>
      <c r="R191" s="334" t="n"/>
      <c r="S191" s="334" t="n"/>
      <c r="T191" s="334" t="n"/>
      <c r="U191" s="334" t="n"/>
      <c r="V191" s="334" t="n"/>
      <c r="W191" s="334" t="n"/>
      <c r="X191" s="334" t="n"/>
      <c r="Y191" s="334" t="n"/>
    </row>
    <row r="192" ht="15" customHeight="1" s="195">
      <c r="A192" s="280" t="n"/>
      <c r="B192" s="280" t="n"/>
      <c r="C192" s="280" t="n"/>
      <c r="D192" s="280" t="n"/>
      <c r="E192" s="280" t="n"/>
      <c r="F192" s="280" t="n"/>
      <c r="G192" s="280" t="n"/>
      <c r="H192" s="280" t="n"/>
      <c r="I192" s="332">
        <f>IFERROR(VLOOKUP(TEXT(H192,"0"),IPRESS!$A$3:$B$212,2,0),"")</f>
        <v/>
      </c>
      <c r="J192" s="280" t="n"/>
      <c r="K192" s="332">
        <f>IFERROR(VLOOKUP(TEXT(O192,"0"),CONDUCTORES!$A$3:$G$54,7,0),"")</f>
        <v/>
      </c>
      <c r="L192" s="280" t="n"/>
      <c r="M192" s="280" t="n"/>
      <c r="N192" s="333">
        <f>IFERROR(IF(L192*M192=0,"",L192*M192),"")</f>
        <v/>
      </c>
      <c r="O192" s="280" t="n"/>
      <c r="P192" s="332">
        <f>IFERROR(VLOOKUP(TEXT(O192,"0"),CONDUCTORES!$A$3:$G$54,2,0),"")</f>
        <v/>
      </c>
      <c r="Q192" s="332">
        <f>IFERROR(VLOOKUP(TEXT(O192,"0"),CONDUCTORES!$A$3:$H$54,6,0),"")</f>
        <v/>
      </c>
      <c r="R192" s="280" t="n"/>
      <c r="S192" s="280" t="n"/>
      <c r="T192" s="280" t="n"/>
      <c r="U192" s="280" t="n"/>
      <c r="V192" s="280" t="n"/>
      <c r="W192" s="280" t="n"/>
      <c r="X192" s="280" t="n"/>
      <c r="Y192" s="280" t="n"/>
    </row>
    <row r="193" ht="15" customHeight="1" s="195">
      <c r="A193" s="334" t="n"/>
      <c r="B193" s="334" t="n"/>
      <c r="C193" s="334" t="n"/>
      <c r="D193" s="334" t="n"/>
      <c r="E193" s="334" t="n"/>
      <c r="F193" s="334" t="n"/>
      <c r="G193" s="334" t="n"/>
      <c r="H193" s="334" t="n"/>
      <c r="I193" s="332">
        <f>IFERROR(VLOOKUP(TEXT(H193,"0"),IPRESS!$A$3:$B$212,2,0),"")</f>
        <v/>
      </c>
      <c r="J193" s="334" t="n"/>
      <c r="K193" s="332">
        <f>IFERROR(VLOOKUP(TEXT(O193,"0"),CONDUCTORES!$A$3:$G$54,7,0),"")</f>
        <v/>
      </c>
      <c r="L193" s="334" t="n"/>
      <c r="M193" s="334" t="n"/>
      <c r="N193" s="333">
        <f>IFERROR(IF(L193*M193=0,"",L193*M193),"")</f>
        <v/>
      </c>
      <c r="O193" s="334" t="n"/>
      <c r="P193" s="332">
        <f>IFERROR(VLOOKUP(TEXT(O193,"0"),CONDUCTORES!$A$3:$G$54,2,0),"")</f>
        <v/>
      </c>
      <c r="Q193" s="332">
        <f>IFERROR(VLOOKUP(TEXT(O193,"0"),CONDUCTORES!$A$3:$H$54,6,0),"")</f>
        <v/>
      </c>
      <c r="R193" s="334" t="n"/>
      <c r="S193" s="334" t="n"/>
      <c r="T193" s="334" t="n"/>
      <c r="U193" s="334" t="n"/>
      <c r="V193" s="334" t="n"/>
      <c r="W193" s="334" t="n"/>
      <c r="X193" s="334" t="n"/>
      <c r="Y193" s="334" t="n"/>
    </row>
    <row r="194" ht="15" customHeight="1" s="195">
      <c r="A194" s="280" t="n"/>
      <c r="B194" s="280" t="n"/>
      <c r="C194" s="280" t="n"/>
      <c r="D194" s="280" t="n"/>
      <c r="E194" s="280" t="n"/>
      <c r="F194" s="280" t="n"/>
      <c r="G194" s="280" t="n"/>
      <c r="H194" s="280" t="n"/>
      <c r="I194" s="332">
        <f>IFERROR(VLOOKUP(TEXT(H194,"0"),IPRESS!$A$3:$B$212,2,0),"")</f>
        <v/>
      </c>
      <c r="J194" s="280" t="n"/>
      <c r="K194" s="332">
        <f>IFERROR(VLOOKUP(TEXT(O194,"0"),CONDUCTORES!$A$3:$G$54,7,0),"")</f>
        <v/>
      </c>
      <c r="L194" s="280" t="n"/>
      <c r="M194" s="280" t="n"/>
      <c r="N194" s="333">
        <f>IFERROR(IF(L194*M194=0,"",L194*M194),"")</f>
        <v/>
      </c>
      <c r="O194" s="280" t="n"/>
      <c r="P194" s="332">
        <f>IFERROR(VLOOKUP(TEXT(O194,"0"),CONDUCTORES!$A$3:$G$54,2,0),"")</f>
        <v/>
      </c>
      <c r="Q194" s="332">
        <f>IFERROR(VLOOKUP(TEXT(O194,"0"),CONDUCTORES!$A$3:$H$54,6,0),"")</f>
        <v/>
      </c>
      <c r="R194" s="280" t="n"/>
      <c r="S194" s="280" t="n"/>
      <c r="T194" s="280" t="n"/>
      <c r="U194" s="280" t="n"/>
      <c r="V194" s="280" t="n"/>
      <c r="W194" s="280" t="n"/>
      <c r="X194" s="280" t="n"/>
      <c r="Y194" s="280" t="n"/>
    </row>
    <row r="195" ht="15" customHeight="1" s="195">
      <c r="A195" s="334" t="n"/>
      <c r="B195" s="334" t="n"/>
      <c r="C195" s="334" t="n"/>
      <c r="D195" s="334" t="n"/>
      <c r="E195" s="334" t="n"/>
      <c r="F195" s="334" t="n"/>
      <c r="G195" s="334" t="n"/>
      <c r="H195" s="334" t="n"/>
      <c r="I195" s="332">
        <f>IFERROR(VLOOKUP(TEXT(H195,"0"),IPRESS!$A$3:$B$212,2,0),"")</f>
        <v/>
      </c>
      <c r="J195" s="334" t="n"/>
      <c r="K195" s="332">
        <f>IFERROR(VLOOKUP(TEXT(O195,"0"),CONDUCTORES!$A$3:$G$54,7,0),"")</f>
        <v/>
      </c>
      <c r="L195" s="334" t="n"/>
      <c r="M195" s="334" t="n"/>
      <c r="N195" s="333">
        <f>IFERROR(IF(L195*M195=0,"",L195*M195),"")</f>
        <v/>
      </c>
      <c r="O195" s="334" t="n"/>
      <c r="P195" s="332">
        <f>IFERROR(VLOOKUP(TEXT(O195,"0"),CONDUCTORES!$A$3:$G$54,2,0),"")</f>
        <v/>
      </c>
      <c r="Q195" s="332">
        <f>IFERROR(VLOOKUP(TEXT(O195,"0"),CONDUCTORES!$A$3:$H$54,6,0),"")</f>
        <v/>
      </c>
      <c r="R195" s="334" t="n"/>
      <c r="S195" s="334" t="n"/>
      <c r="T195" s="334" t="n"/>
      <c r="U195" s="334" t="n"/>
      <c r="V195" s="334" t="n"/>
      <c r="W195" s="334" t="n"/>
      <c r="X195" s="334" t="n"/>
      <c r="Y195" s="334" t="n"/>
    </row>
    <row r="196" ht="15" customHeight="1" s="195">
      <c r="A196" s="280" t="n"/>
      <c r="B196" s="280" t="n"/>
      <c r="C196" s="280" t="n"/>
      <c r="D196" s="280" t="n"/>
      <c r="E196" s="280" t="n"/>
      <c r="F196" s="280" t="n"/>
      <c r="G196" s="280" t="n"/>
      <c r="H196" s="280" t="n"/>
      <c r="I196" s="332">
        <f>IFERROR(VLOOKUP(TEXT(H196,"0"),IPRESS!$A$3:$B$212,2,0),"")</f>
        <v/>
      </c>
      <c r="J196" s="280" t="n"/>
      <c r="K196" s="332">
        <f>IFERROR(VLOOKUP(TEXT(O196,"0"),CONDUCTORES!$A$3:$G$54,7,0),"")</f>
        <v/>
      </c>
      <c r="L196" s="280" t="n"/>
      <c r="M196" s="280" t="n"/>
      <c r="N196" s="333">
        <f>IFERROR(IF(L196*M196=0,"",L196*M196),"")</f>
        <v/>
      </c>
      <c r="O196" s="280" t="n"/>
      <c r="P196" s="332">
        <f>IFERROR(VLOOKUP(TEXT(O196,"0"),CONDUCTORES!$A$3:$G$54,2,0),"")</f>
        <v/>
      </c>
      <c r="Q196" s="332">
        <f>IFERROR(VLOOKUP(TEXT(O196,"0"),CONDUCTORES!$A$3:$H$54,6,0),"")</f>
        <v/>
      </c>
      <c r="R196" s="280" t="n"/>
      <c r="S196" s="280" t="n"/>
      <c r="T196" s="280" t="n"/>
      <c r="U196" s="280" t="n"/>
      <c r="V196" s="280" t="n"/>
      <c r="W196" s="280" t="n"/>
      <c r="X196" s="280" t="n"/>
      <c r="Y196" s="280" t="n"/>
    </row>
    <row r="197" ht="15" customHeight="1" s="195">
      <c r="A197" s="334" t="n"/>
      <c r="B197" s="334" t="n"/>
      <c r="C197" s="334" t="n"/>
      <c r="D197" s="334" t="n"/>
      <c r="E197" s="334" t="n"/>
      <c r="F197" s="334" t="n"/>
      <c r="G197" s="334" t="n"/>
      <c r="H197" s="334" t="n"/>
      <c r="I197" s="332">
        <f>IFERROR(VLOOKUP(TEXT(H197,"0"),IPRESS!$A$3:$B$212,2,0),"")</f>
        <v/>
      </c>
      <c r="J197" s="334" t="n"/>
      <c r="K197" s="332">
        <f>IFERROR(VLOOKUP(TEXT(O197,"0"),CONDUCTORES!$A$3:$G$54,7,0),"")</f>
        <v/>
      </c>
      <c r="L197" s="334" t="n"/>
      <c r="M197" s="334" t="n"/>
      <c r="N197" s="333">
        <f>IFERROR(IF(L197*M197=0,"",L197*M197),"")</f>
        <v/>
      </c>
      <c r="O197" s="334" t="n"/>
      <c r="P197" s="332">
        <f>IFERROR(VLOOKUP(TEXT(O197,"0"),CONDUCTORES!$A$3:$G$54,2,0),"")</f>
        <v/>
      </c>
      <c r="Q197" s="332">
        <f>IFERROR(VLOOKUP(TEXT(O197,"0"),CONDUCTORES!$A$3:$H$54,6,0),"")</f>
        <v/>
      </c>
      <c r="R197" s="334" t="n"/>
      <c r="S197" s="334" t="n"/>
      <c r="T197" s="334" t="n"/>
      <c r="U197" s="334" t="n"/>
      <c r="V197" s="334" t="n"/>
      <c r="W197" s="334" t="n"/>
      <c r="X197" s="334" t="n"/>
      <c r="Y197" s="334" t="n"/>
    </row>
    <row r="198" ht="15" customHeight="1" s="195">
      <c r="A198" s="280" t="n"/>
      <c r="B198" s="280" t="n"/>
      <c r="C198" s="280" t="n"/>
      <c r="D198" s="280" t="n"/>
      <c r="E198" s="280" t="n"/>
      <c r="F198" s="280" t="n"/>
      <c r="G198" s="280" t="n"/>
      <c r="H198" s="280" t="n"/>
      <c r="I198" s="332">
        <f>IFERROR(VLOOKUP(TEXT(H198,"0"),IPRESS!$A$3:$B$212,2,0),"")</f>
        <v/>
      </c>
      <c r="J198" s="280" t="n"/>
      <c r="K198" s="332">
        <f>IFERROR(VLOOKUP(TEXT(O198,"0"),CONDUCTORES!$A$3:$G$54,7,0),"")</f>
        <v/>
      </c>
      <c r="L198" s="280" t="n"/>
      <c r="M198" s="280" t="n"/>
      <c r="N198" s="333">
        <f>IFERROR(IF(L198*M198=0,"",L198*M198),"")</f>
        <v/>
      </c>
      <c r="O198" s="280" t="n"/>
      <c r="P198" s="332">
        <f>IFERROR(VLOOKUP(TEXT(O198,"0"),CONDUCTORES!$A$3:$G$54,2,0),"")</f>
        <v/>
      </c>
      <c r="Q198" s="332">
        <f>IFERROR(VLOOKUP(TEXT(O198,"0"),CONDUCTORES!$A$3:$H$54,6,0),"")</f>
        <v/>
      </c>
      <c r="R198" s="280" t="n"/>
      <c r="S198" s="280" t="n"/>
      <c r="T198" s="280" t="n"/>
      <c r="U198" s="280" t="n"/>
      <c r="V198" s="280" t="n"/>
      <c r="W198" s="280" t="n"/>
      <c r="X198" s="280" t="n"/>
      <c r="Y198" s="280" t="n"/>
    </row>
    <row r="199" ht="15" customHeight="1" s="195">
      <c r="A199" s="334" t="n"/>
      <c r="B199" s="334" t="n"/>
      <c r="C199" s="334" t="n"/>
      <c r="D199" s="334" t="n"/>
      <c r="E199" s="334" t="n"/>
      <c r="F199" s="334" t="n"/>
      <c r="G199" s="334" t="n"/>
      <c r="H199" s="334" t="n"/>
      <c r="I199" s="332">
        <f>IFERROR(VLOOKUP(TEXT(H199,"0"),IPRESS!$A$3:$B$212,2,0),"")</f>
        <v/>
      </c>
      <c r="J199" s="334" t="n"/>
      <c r="K199" s="332">
        <f>IFERROR(VLOOKUP(TEXT(O199,"0"),CONDUCTORES!$A$3:$G$54,7,0),"")</f>
        <v/>
      </c>
      <c r="L199" s="334" t="n"/>
      <c r="M199" s="334" t="n"/>
      <c r="N199" s="333">
        <f>IFERROR(IF(L199*M199=0,"",L199*M199),"")</f>
        <v/>
      </c>
      <c r="O199" s="334" t="n"/>
      <c r="P199" s="332">
        <f>IFERROR(VLOOKUP(TEXT(O199,"0"),CONDUCTORES!$A$3:$G$54,2,0),"")</f>
        <v/>
      </c>
      <c r="Q199" s="332">
        <f>IFERROR(VLOOKUP(TEXT(O199,"0"),CONDUCTORES!$A$3:$H$54,6,0),"")</f>
        <v/>
      </c>
      <c r="R199" s="334" t="n"/>
      <c r="S199" s="334" t="n"/>
      <c r="T199" s="334" t="n"/>
      <c r="U199" s="334" t="n"/>
      <c r="V199" s="334" t="n"/>
      <c r="W199" s="334" t="n"/>
      <c r="X199" s="334" t="n"/>
      <c r="Y199" s="334" t="n"/>
    </row>
    <row r="200" ht="15" customHeight="1" s="195">
      <c r="A200" s="280" t="n"/>
      <c r="B200" s="280" t="n"/>
      <c r="C200" s="280" t="n"/>
      <c r="D200" s="280" t="n"/>
      <c r="E200" s="280" t="n"/>
      <c r="F200" s="280" t="n"/>
      <c r="G200" s="280" t="n"/>
      <c r="H200" s="280" t="n"/>
      <c r="I200" s="332">
        <f>IFERROR(VLOOKUP(TEXT(H200,"0"),IPRESS!$A$3:$B$212,2,0),"")</f>
        <v/>
      </c>
      <c r="J200" s="280" t="n"/>
      <c r="K200" s="332">
        <f>IFERROR(VLOOKUP(TEXT(O200,"0"),CONDUCTORES!$A$3:$G$54,7,0),"")</f>
        <v/>
      </c>
      <c r="L200" s="280" t="n"/>
      <c r="M200" s="280" t="n"/>
      <c r="N200" s="333">
        <f>IFERROR(IF(L200*M200=0,"",L200*M200),"")</f>
        <v/>
      </c>
      <c r="O200" s="280" t="n"/>
      <c r="P200" s="332">
        <f>IFERROR(VLOOKUP(TEXT(O200,"0"),CONDUCTORES!$A$3:$G$54,2,0),"")</f>
        <v/>
      </c>
      <c r="Q200" s="332">
        <f>IFERROR(VLOOKUP(TEXT(O200,"0"),CONDUCTORES!$A$3:$H$54,6,0),"")</f>
        <v/>
      </c>
      <c r="R200" s="280" t="n"/>
      <c r="S200" s="280" t="n"/>
      <c r="T200" s="280" t="n"/>
      <c r="U200" s="280" t="n"/>
      <c r="V200" s="280" t="n"/>
      <c r="W200" s="280" t="n"/>
      <c r="X200" s="280" t="n"/>
      <c r="Y200" s="280" t="n"/>
    </row>
    <row r="201" ht="15" customHeight="1" s="195">
      <c r="A201" s="334" t="n"/>
      <c r="B201" s="334" t="n"/>
      <c r="C201" s="334" t="n"/>
      <c r="D201" s="334" t="n"/>
      <c r="E201" s="334" t="n"/>
      <c r="F201" s="334" t="n"/>
      <c r="G201" s="334" t="n"/>
      <c r="H201" s="334" t="n"/>
      <c r="I201" s="332">
        <f>IFERROR(VLOOKUP(TEXT(H201,"0"),IPRESS!$A$3:$B$212,2,0),"")</f>
        <v/>
      </c>
      <c r="J201" s="334" t="n"/>
      <c r="K201" s="332">
        <f>IFERROR(VLOOKUP(TEXT(O201,"0"),CONDUCTORES!$A$3:$G$54,7,0),"")</f>
        <v/>
      </c>
      <c r="L201" s="334" t="n"/>
      <c r="M201" s="334" t="n"/>
      <c r="N201" s="333">
        <f>IFERROR(IF(L201*M201=0,"",L201*M201),"")</f>
        <v/>
      </c>
      <c r="O201" s="334" t="n"/>
      <c r="P201" s="332">
        <f>IFERROR(VLOOKUP(TEXT(O201,"0"),CONDUCTORES!$A$3:$G$54,2,0),"")</f>
        <v/>
      </c>
      <c r="Q201" s="332">
        <f>IFERROR(VLOOKUP(TEXT(O201,"0"),CONDUCTORES!$A$3:$H$54,6,0),"")</f>
        <v/>
      </c>
      <c r="R201" s="334" t="n"/>
      <c r="S201" s="334" t="n"/>
      <c r="T201" s="334" t="n"/>
      <c r="U201" s="334" t="n"/>
      <c r="V201" s="334" t="n"/>
      <c r="W201" s="334" t="n"/>
      <c r="X201" s="334" t="n"/>
      <c r="Y201" s="334" t="n"/>
    </row>
    <row r="202" ht="15" customHeight="1" s="195">
      <c r="A202" s="280" t="n"/>
      <c r="B202" s="280" t="n"/>
      <c r="C202" s="280" t="n"/>
      <c r="D202" s="280" t="n"/>
      <c r="E202" s="280" t="n"/>
      <c r="F202" s="280" t="n"/>
      <c r="G202" s="280" t="n"/>
      <c r="H202" s="280" t="n"/>
      <c r="I202" s="332">
        <f>IFERROR(VLOOKUP(TEXT(H202,"0"),IPRESS!$A$3:$B$212,2,0),"")</f>
        <v/>
      </c>
      <c r="J202" s="280" t="n"/>
      <c r="K202" s="332">
        <f>IFERROR(VLOOKUP(TEXT(O202,"0"),CONDUCTORES!$A$3:$G$54,7,0),"")</f>
        <v/>
      </c>
      <c r="L202" s="280" t="n"/>
      <c r="M202" s="280" t="n"/>
      <c r="N202" s="333">
        <f>IFERROR(IF(L202*M202=0,"",L202*M202),"")</f>
        <v/>
      </c>
      <c r="O202" s="280" t="n"/>
      <c r="P202" s="332">
        <f>IFERROR(VLOOKUP(TEXT(O202,"0"),CONDUCTORES!$A$3:$G$54,2,0),"")</f>
        <v/>
      </c>
      <c r="Q202" s="332">
        <f>IFERROR(VLOOKUP(TEXT(O202,"0"),CONDUCTORES!$A$3:$H$54,6,0),"")</f>
        <v/>
      </c>
      <c r="R202" s="280" t="n"/>
      <c r="S202" s="280" t="n"/>
      <c r="T202" s="280" t="n"/>
      <c r="U202" s="280" t="n"/>
      <c r="V202" s="280" t="n"/>
      <c r="W202" s="280" t="n"/>
      <c r="X202" s="280" t="n"/>
      <c r="Y202" s="280" t="n"/>
    </row>
    <row r="203" ht="15" customHeight="1" s="195">
      <c r="A203" s="334" t="n"/>
      <c r="B203" s="334" t="n"/>
      <c r="C203" s="334" t="n"/>
      <c r="D203" s="334" t="n"/>
      <c r="E203" s="334" t="n"/>
      <c r="F203" s="334" t="n"/>
      <c r="G203" s="334" t="n"/>
      <c r="H203" s="334" t="n"/>
      <c r="I203" s="332">
        <f>IFERROR(VLOOKUP(TEXT(H203,"0"),IPRESS!$A$3:$B$212,2,0),"")</f>
        <v/>
      </c>
      <c r="J203" s="334" t="n"/>
      <c r="K203" s="332">
        <f>IFERROR(VLOOKUP(TEXT(O203,"0"),CONDUCTORES!$A$3:$G$54,7,0),"")</f>
        <v/>
      </c>
      <c r="L203" s="334" t="n"/>
      <c r="M203" s="334" t="n"/>
      <c r="N203" s="333">
        <f>IFERROR(IF(L203*M203=0,"",L203*M203),"")</f>
        <v/>
      </c>
      <c r="O203" s="334" t="n"/>
      <c r="P203" s="332">
        <f>IFERROR(VLOOKUP(TEXT(O203,"0"),CONDUCTORES!$A$3:$G$54,2,0),"")</f>
        <v/>
      </c>
      <c r="Q203" s="332">
        <f>IFERROR(VLOOKUP(TEXT(O203,"0"),CONDUCTORES!$A$3:$H$54,6,0),"")</f>
        <v/>
      </c>
      <c r="R203" s="334" t="n"/>
      <c r="S203" s="334" t="n"/>
      <c r="T203" s="334" t="n"/>
      <c r="U203" s="334" t="n"/>
      <c r="V203" s="334" t="n"/>
      <c r="W203" s="334" t="n"/>
      <c r="X203" s="334" t="n"/>
      <c r="Y203" s="334" t="n"/>
    </row>
    <row r="204" ht="15" customHeight="1" s="195">
      <c r="A204" s="280" t="n"/>
      <c r="B204" s="280" t="n"/>
      <c r="C204" s="280" t="n"/>
      <c r="D204" s="280" t="n"/>
      <c r="E204" s="280" t="n"/>
      <c r="F204" s="280" t="n"/>
      <c r="G204" s="280" t="n"/>
      <c r="H204" s="280" t="n"/>
      <c r="I204" s="332">
        <f>IFERROR(VLOOKUP(TEXT(H204,"0"),IPRESS!$A$3:$B$212,2,0),"")</f>
        <v/>
      </c>
      <c r="J204" s="280" t="n"/>
      <c r="K204" s="332">
        <f>IFERROR(VLOOKUP(TEXT(O204,"0"),CONDUCTORES!$A$3:$G$54,7,0),"")</f>
        <v/>
      </c>
      <c r="L204" s="280" t="n"/>
      <c r="M204" s="280" t="n"/>
      <c r="N204" s="333">
        <f>IFERROR(IF(L204*M204=0,"",L204*M204),"")</f>
        <v/>
      </c>
      <c r="O204" s="280" t="n"/>
      <c r="P204" s="332">
        <f>IFERROR(VLOOKUP(TEXT(O204,"0"),CONDUCTORES!$A$3:$G$54,2,0),"")</f>
        <v/>
      </c>
      <c r="Q204" s="332">
        <f>IFERROR(VLOOKUP(TEXT(O204,"0"),CONDUCTORES!$A$3:$H$54,6,0),"")</f>
        <v/>
      </c>
      <c r="R204" s="280" t="n"/>
      <c r="S204" s="280" t="n"/>
      <c r="T204" s="280" t="n"/>
      <c r="U204" s="280" t="n"/>
      <c r="V204" s="280" t="n"/>
      <c r="W204" s="280" t="n"/>
      <c r="X204" s="280" t="n"/>
      <c r="Y204" s="280" t="n"/>
    </row>
    <row r="205" ht="15" customHeight="1" s="195">
      <c r="A205" s="334" t="n"/>
      <c r="B205" s="334" t="n"/>
      <c r="C205" s="334" t="n"/>
      <c r="D205" s="334" t="n"/>
      <c r="E205" s="334" t="n"/>
      <c r="F205" s="334" t="n"/>
      <c r="G205" s="334" t="n"/>
      <c r="H205" s="334" t="n"/>
      <c r="I205" s="332">
        <f>IFERROR(VLOOKUP(TEXT(H205,"0"),IPRESS!$A$3:$B$212,2,0),"")</f>
        <v/>
      </c>
      <c r="J205" s="334" t="n"/>
      <c r="K205" s="332">
        <f>IFERROR(VLOOKUP(TEXT(O205,"0"),CONDUCTORES!$A$3:$G$54,7,0),"")</f>
        <v/>
      </c>
      <c r="L205" s="334" t="n"/>
      <c r="M205" s="334" t="n"/>
      <c r="N205" s="333">
        <f>IFERROR(IF(L205*M205=0,"",L205*M205),"")</f>
        <v/>
      </c>
      <c r="O205" s="334" t="n"/>
      <c r="P205" s="332">
        <f>IFERROR(VLOOKUP(TEXT(O205,"0"),CONDUCTORES!$A$3:$G$54,2,0),"")</f>
        <v/>
      </c>
      <c r="Q205" s="332">
        <f>IFERROR(VLOOKUP(TEXT(O205,"0"),CONDUCTORES!$A$3:$H$54,6,0),"")</f>
        <v/>
      </c>
      <c r="R205" s="334" t="n"/>
      <c r="S205" s="334" t="n"/>
      <c r="T205" s="334" t="n"/>
      <c r="U205" s="334" t="n"/>
      <c r="V205" s="334" t="n"/>
      <c r="W205" s="334" t="n"/>
      <c r="X205" s="334" t="n"/>
      <c r="Y205" s="334" t="n"/>
    </row>
    <row r="206" ht="15" customHeight="1" s="195">
      <c r="A206" s="280" t="n"/>
      <c r="B206" s="280" t="n"/>
      <c r="C206" s="280" t="n"/>
      <c r="D206" s="280" t="n"/>
      <c r="E206" s="280" t="n"/>
      <c r="F206" s="280" t="n"/>
      <c r="G206" s="280" t="n"/>
      <c r="H206" s="280" t="n"/>
      <c r="I206" s="332">
        <f>IFERROR(VLOOKUP(TEXT(H206,"0"),IPRESS!$A$3:$B$212,2,0),"")</f>
        <v/>
      </c>
      <c r="J206" s="280" t="n"/>
      <c r="K206" s="332">
        <f>IFERROR(VLOOKUP(TEXT(O206,"0"),CONDUCTORES!$A$3:$G$54,7,0),"")</f>
        <v/>
      </c>
      <c r="L206" s="280" t="n"/>
      <c r="M206" s="280" t="n"/>
      <c r="N206" s="333">
        <f>IFERROR(IF(L206*M206=0,"",L206*M206),"")</f>
        <v/>
      </c>
      <c r="O206" s="280" t="n"/>
      <c r="P206" s="332">
        <f>IFERROR(VLOOKUP(TEXT(O206,"0"),CONDUCTORES!$A$3:$G$54,2,0),"")</f>
        <v/>
      </c>
      <c r="Q206" s="332">
        <f>IFERROR(VLOOKUP(TEXT(O206,"0"),CONDUCTORES!$A$3:$H$54,6,0),"")</f>
        <v/>
      </c>
      <c r="R206" s="280" t="n"/>
      <c r="S206" s="280" t="n"/>
      <c r="T206" s="280" t="n"/>
      <c r="U206" s="280" t="n"/>
      <c r="V206" s="280" t="n"/>
      <c r="W206" s="280" t="n"/>
      <c r="X206" s="280" t="n"/>
      <c r="Y206" s="280" t="n"/>
    </row>
    <row r="207" ht="15" customHeight="1" s="195">
      <c r="A207" s="334" t="n"/>
      <c r="B207" s="334" t="n"/>
      <c r="C207" s="334" t="n"/>
      <c r="D207" s="334" t="n"/>
      <c r="E207" s="334" t="n"/>
      <c r="F207" s="334" t="n"/>
      <c r="G207" s="334" t="n"/>
      <c r="H207" s="334" t="n"/>
      <c r="I207" s="332">
        <f>IFERROR(VLOOKUP(TEXT(H207,"0"),IPRESS!$A$3:$B$212,2,0),"")</f>
        <v/>
      </c>
      <c r="J207" s="334" t="n"/>
      <c r="K207" s="332">
        <f>IFERROR(VLOOKUP(TEXT(O207,"0"),CONDUCTORES!$A$3:$G$54,7,0),"")</f>
        <v/>
      </c>
      <c r="L207" s="334" t="n"/>
      <c r="M207" s="334" t="n"/>
      <c r="N207" s="333">
        <f>IFERROR(IF(L207*M207=0,"",L207*M207),"")</f>
        <v/>
      </c>
      <c r="O207" s="334" t="n"/>
      <c r="P207" s="332">
        <f>IFERROR(VLOOKUP(TEXT(O207,"0"),CONDUCTORES!$A$3:$G$54,2,0),"")</f>
        <v/>
      </c>
      <c r="Q207" s="332">
        <f>IFERROR(VLOOKUP(TEXT(O207,"0"),CONDUCTORES!$A$3:$H$54,6,0),"")</f>
        <v/>
      </c>
      <c r="R207" s="334" t="n"/>
      <c r="S207" s="334" t="n"/>
      <c r="T207" s="334" t="n"/>
      <c r="U207" s="334" t="n"/>
      <c r="V207" s="334" t="n"/>
      <c r="W207" s="334" t="n"/>
      <c r="X207" s="334" t="n"/>
      <c r="Y207" s="334" t="n"/>
    </row>
    <row r="208" ht="15" customHeight="1" s="195">
      <c r="A208" s="280" t="n"/>
      <c r="B208" s="280" t="n"/>
      <c r="C208" s="280" t="n"/>
      <c r="D208" s="280" t="n"/>
      <c r="E208" s="280" t="n"/>
      <c r="F208" s="280" t="n"/>
      <c r="G208" s="280" t="n"/>
      <c r="H208" s="280" t="n"/>
      <c r="I208" s="332">
        <f>IFERROR(VLOOKUP(TEXT(H208,"0"),IPRESS!$A$3:$B$212,2,0),"")</f>
        <v/>
      </c>
      <c r="J208" s="280" t="n"/>
      <c r="K208" s="332">
        <f>IFERROR(VLOOKUP(TEXT(O208,"0"),CONDUCTORES!$A$3:$G$54,7,0),"")</f>
        <v/>
      </c>
      <c r="L208" s="280" t="n"/>
      <c r="M208" s="280" t="n"/>
      <c r="N208" s="333">
        <f>IFERROR(IF(L208*M208=0,"",L208*M208),"")</f>
        <v/>
      </c>
      <c r="O208" s="280" t="n"/>
      <c r="P208" s="332">
        <f>IFERROR(VLOOKUP(TEXT(O208,"0"),CONDUCTORES!$A$3:$G$54,2,0),"")</f>
        <v/>
      </c>
      <c r="Q208" s="332">
        <f>IFERROR(VLOOKUP(TEXT(O208,"0"),CONDUCTORES!$A$3:$H$54,6,0),"")</f>
        <v/>
      </c>
      <c r="R208" s="280" t="n"/>
      <c r="S208" s="280" t="n"/>
      <c r="T208" s="280" t="n"/>
      <c r="U208" s="280" t="n"/>
      <c r="V208" s="280" t="n"/>
      <c r="W208" s="280" t="n"/>
      <c r="X208" s="280" t="n"/>
      <c r="Y208" s="280" t="n"/>
    </row>
    <row r="209" ht="15" customHeight="1" s="195">
      <c r="A209" s="334" t="n"/>
      <c r="B209" s="334" t="n"/>
      <c r="C209" s="334" t="n"/>
      <c r="D209" s="334" t="n"/>
      <c r="E209" s="334" t="n"/>
      <c r="F209" s="334" t="n"/>
      <c r="G209" s="334" t="n"/>
      <c r="H209" s="334" t="n"/>
      <c r="I209" s="332">
        <f>IFERROR(VLOOKUP(TEXT(H209,"0"),IPRESS!$A$3:$B$212,2,0),"")</f>
        <v/>
      </c>
      <c r="J209" s="334" t="n"/>
      <c r="K209" s="332">
        <f>IFERROR(VLOOKUP(TEXT(O209,"0"),CONDUCTORES!$A$3:$G$54,7,0),"")</f>
        <v/>
      </c>
      <c r="L209" s="334" t="n"/>
      <c r="M209" s="334" t="n"/>
      <c r="N209" s="333">
        <f>IFERROR(IF(L209*M209=0,"",L209*M209),"")</f>
        <v/>
      </c>
      <c r="O209" s="334" t="n"/>
      <c r="P209" s="332">
        <f>IFERROR(VLOOKUP(TEXT(O209,"0"),CONDUCTORES!$A$3:$G$54,2,0),"")</f>
        <v/>
      </c>
      <c r="Q209" s="332">
        <f>IFERROR(VLOOKUP(TEXT(O209,"0"),CONDUCTORES!$A$3:$H$54,6,0),"")</f>
        <v/>
      </c>
      <c r="R209" s="334" t="n"/>
      <c r="S209" s="334" t="n"/>
      <c r="T209" s="334" t="n"/>
      <c r="U209" s="334" t="n"/>
      <c r="V209" s="334" t="n"/>
      <c r="W209" s="334" t="n"/>
      <c r="X209" s="334" t="n"/>
      <c r="Y209" s="334" t="n"/>
    </row>
    <row r="210" ht="15" customHeight="1" s="195">
      <c r="A210" s="280" t="n"/>
      <c r="B210" s="280" t="n"/>
      <c r="C210" s="280" t="n"/>
      <c r="D210" s="280" t="n"/>
      <c r="E210" s="280" t="n"/>
      <c r="F210" s="280" t="n"/>
      <c r="G210" s="280" t="n"/>
      <c r="H210" s="280" t="n"/>
      <c r="I210" s="332">
        <f>IFERROR(VLOOKUP(TEXT(H210,"0"),IPRESS!$A$3:$B$212,2,0),"")</f>
        <v/>
      </c>
      <c r="J210" s="280" t="n"/>
      <c r="K210" s="332">
        <f>IFERROR(VLOOKUP(TEXT(O210,"0"),CONDUCTORES!$A$3:$G$54,7,0),"")</f>
        <v/>
      </c>
      <c r="L210" s="280" t="n"/>
      <c r="M210" s="280" t="n"/>
      <c r="N210" s="333">
        <f>IFERROR(IF(L210*M210=0,"",L210*M210),"")</f>
        <v/>
      </c>
      <c r="O210" s="280" t="n"/>
      <c r="P210" s="332">
        <f>IFERROR(VLOOKUP(TEXT(O210,"0"),CONDUCTORES!$A$3:$G$54,2,0),"")</f>
        <v/>
      </c>
      <c r="Q210" s="332">
        <f>IFERROR(VLOOKUP(TEXT(O210,"0"),CONDUCTORES!$A$3:$H$54,6,0),"")</f>
        <v/>
      </c>
      <c r="R210" s="280" t="n"/>
      <c r="S210" s="280" t="n"/>
      <c r="T210" s="280" t="n"/>
      <c r="U210" s="280" t="n"/>
      <c r="V210" s="280" t="n"/>
      <c r="W210" s="280" t="n"/>
      <c r="X210" s="280" t="n"/>
      <c r="Y210" s="280" t="n"/>
    </row>
    <row r="211" ht="15" customHeight="1" s="195">
      <c r="A211" s="334" t="n"/>
      <c r="B211" s="334" t="n"/>
      <c r="C211" s="334" t="n"/>
      <c r="D211" s="334" t="n"/>
      <c r="E211" s="334" t="n"/>
      <c r="F211" s="334" t="n"/>
      <c r="G211" s="334" t="n"/>
      <c r="H211" s="334" t="n"/>
      <c r="I211" s="332">
        <f>IFERROR(VLOOKUP(TEXT(H211,"0"),IPRESS!$A$3:$B$212,2,0),"")</f>
        <v/>
      </c>
      <c r="J211" s="334" t="n"/>
      <c r="K211" s="332">
        <f>IFERROR(VLOOKUP(TEXT(O211,"0"),CONDUCTORES!$A$3:$G$54,7,0),"")</f>
        <v/>
      </c>
      <c r="L211" s="334" t="n"/>
      <c r="M211" s="334" t="n"/>
      <c r="N211" s="333">
        <f>IFERROR(IF(L211*M211=0,"",L211*M211),"")</f>
        <v/>
      </c>
      <c r="O211" s="334" t="n"/>
      <c r="P211" s="332">
        <f>IFERROR(VLOOKUP(TEXT(O211,"0"),CONDUCTORES!$A$3:$G$54,2,0),"")</f>
        <v/>
      </c>
      <c r="Q211" s="332">
        <f>IFERROR(VLOOKUP(TEXT(O211,"0"),CONDUCTORES!$A$3:$H$54,6,0),"")</f>
        <v/>
      </c>
      <c r="R211" s="334" t="n"/>
      <c r="S211" s="334" t="n"/>
      <c r="T211" s="334" t="n"/>
      <c r="U211" s="334" t="n"/>
      <c r="V211" s="334" t="n"/>
      <c r="W211" s="334" t="n"/>
      <c r="X211" s="334" t="n"/>
      <c r="Y211" s="334" t="n"/>
    </row>
    <row r="212" ht="15" customHeight="1" s="195">
      <c r="A212" s="280" t="n"/>
      <c r="B212" s="280" t="n"/>
      <c r="C212" s="280" t="n"/>
      <c r="D212" s="280" t="n"/>
      <c r="E212" s="280" t="n"/>
      <c r="F212" s="280" t="n"/>
      <c r="G212" s="280" t="n"/>
      <c r="H212" s="280" t="n"/>
      <c r="I212" s="332">
        <f>IFERROR(VLOOKUP(TEXT(H212,"0"),IPRESS!$A$3:$B$212,2,0),"")</f>
        <v/>
      </c>
      <c r="J212" s="280" t="n"/>
      <c r="K212" s="332">
        <f>IFERROR(VLOOKUP(TEXT(O212,"0"),CONDUCTORES!$A$3:$G$54,7,0),"")</f>
        <v/>
      </c>
      <c r="L212" s="280" t="n"/>
      <c r="M212" s="280" t="n"/>
      <c r="N212" s="333">
        <f>IFERROR(IF(L212*M212=0,"",L212*M212),"")</f>
        <v/>
      </c>
      <c r="O212" s="280" t="n"/>
      <c r="P212" s="332">
        <f>IFERROR(VLOOKUP(TEXT(O212,"0"),CONDUCTORES!$A$3:$G$54,2,0),"")</f>
        <v/>
      </c>
      <c r="Q212" s="332">
        <f>IFERROR(VLOOKUP(TEXT(O212,"0"),CONDUCTORES!$A$3:$H$54,6,0),"")</f>
        <v/>
      </c>
      <c r="R212" s="280" t="n"/>
      <c r="S212" s="280" t="n"/>
      <c r="T212" s="280" t="n"/>
      <c r="U212" s="280" t="n"/>
      <c r="V212" s="280" t="n"/>
      <c r="W212" s="280" t="n"/>
      <c r="X212" s="280" t="n"/>
      <c r="Y212" s="280" t="n"/>
    </row>
    <row r="213" ht="15" customHeight="1" s="195">
      <c r="A213" s="334" t="n"/>
      <c r="B213" s="334" t="n"/>
      <c r="C213" s="334" t="n"/>
      <c r="D213" s="334" t="n"/>
      <c r="E213" s="334" t="n"/>
      <c r="F213" s="334" t="n"/>
      <c r="G213" s="334" t="n"/>
      <c r="H213" s="334" t="n"/>
      <c r="I213" s="332">
        <f>IFERROR(VLOOKUP(TEXT(H213,"0"),IPRESS!$A$3:$B$212,2,0),"")</f>
        <v/>
      </c>
      <c r="J213" s="334" t="n"/>
      <c r="K213" s="332">
        <f>IFERROR(VLOOKUP(TEXT(O213,"0"),CONDUCTORES!$A$3:$G$54,7,0),"")</f>
        <v/>
      </c>
      <c r="L213" s="334" t="n"/>
      <c r="M213" s="334" t="n"/>
      <c r="N213" s="333">
        <f>IFERROR(IF(L213*M213=0,"",L213*M213),"")</f>
        <v/>
      </c>
      <c r="O213" s="334" t="n"/>
      <c r="P213" s="332">
        <f>IFERROR(VLOOKUP(TEXT(O213,"0"),CONDUCTORES!$A$3:$G$54,2,0),"")</f>
        <v/>
      </c>
      <c r="Q213" s="332">
        <f>IFERROR(VLOOKUP(TEXT(O213,"0"),CONDUCTORES!$A$3:$H$54,6,0),"")</f>
        <v/>
      </c>
      <c r="R213" s="334" t="n"/>
      <c r="S213" s="334" t="n"/>
      <c r="T213" s="334" t="n"/>
      <c r="U213" s="334" t="n"/>
      <c r="V213" s="334" t="n"/>
      <c r="W213" s="334" t="n"/>
      <c r="X213" s="334" t="n"/>
      <c r="Y213" s="334" t="n"/>
    </row>
    <row r="214" ht="15" customHeight="1" s="195">
      <c r="A214" s="280" t="n"/>
      <c r="B214" s="280" t="n"/>
      <c r="C214" s="280" t="n"/>
      <c r="D214" s="280" t="n"/>
      <c r="E214" s="280" t="n"/>
      <c r="F214" s="280" t="n"/>
      <c r="G214" s="280" t="n"/>
      <c r="H214" s="280" t="n"/>
      <c r="I214" s="332">
        <f>IFERROR(VLOOKUP(TEXT(H214,"0"),IPRESS!$A$3:$B$212,2,0),"")</f>
        <v/>
      </c>
      <c r="J214" s="280" t="n"/>
      <c r="K214" s="332">
        <f>IFERROR(VLOOKUP(TEXT(O214,"0"),CONDUCTORES!$A$3:$G$54,7,0),"")</f>
        <v/>
      </c>
      <c r="L214" s="280" t="n"/>
      <c r="M214" s="280" t="n"/>
      <c r="N214" s="333">
        <f>IFERROR(IF(L214*M214=0,"",L214*M214),"")</f>
        <v/>
      </c>
      <c r="O214" s="280" t="n"/>
      <c r="P214" s="332">
        <f>IFERROR(VLOOKUP(TEXT(O214,"0"),CONDUCTORES!$A$3:$G$54,2,0),"")</f>
        <v/>
      </c>
      <c r="Q214" s="332">
        <f>IFERROR(VLOOKUP(TEXT(O214,"0"),CONDUCTORES!$A$3:$H$54,6,0),"")</f>
        <v/>
      </c>
      <c r="R214" s="280" t="n"/>
      <c r="S214" s="280" t="n"/>
      <c r="T214" s="280" t="n"/>
      <c r="U214" s="280" t="n"/>
      <c r="V214" s="280" t="n"/>
      <c r="W214" s="280" t="n"/>
      <c r="X214" s="280" t="n"/>
      <c r="Y214" s="280" t="n"/>
    </row>
    <row r="215" ht="15" customHeight="1" s="195">
      <c r="A215" s="334" t="n"/>
      <c r="B215" s="334" t="n"/>
      <c r="C215" s="334" t="n"/>
      <c r="D215" s="334" t="n"/>
      <c r="E215" s="334" t="n"/>
      <c r="F215" s="334" t="n"/>
      <c r="G215" s="334" t="n"/>
      <c r="H215" s="334" t="n"/>
      <c r="I215" s="332">
        <f>IFERROR(VLOOKUP(TEXT(H215,"0"),IPRESS!$A$3:$B$212,2,0),"")</f>
        <v/>
      </c>
      <c r="J215" s="334" t="n"/>
      <c r="K215" s="332">
        <f>IFERROR(VLOOKUP(TEXT(O215,"0"),CONDUCTORES!$A$3:$G$54,7,0),"")</f>
        <v/>
      </c>
      <c r="L215" s="334" t="n"/>
      <c r="M215" s="334" t="n"/>
      <c r="N215" s="333">
        <f>IFERROR(IF(L215*M215=0,"",L215*M215),"")</f>
        <v/>
      </c>
      <c r="O215" s="334" t="n"/>
      <c r="P215" s="332">
        <f>IFERROR(VLOOKUP(TEXT(O215,"0"),CONDUCTORES!$A$3:$G$54,2,0),"")</f>
        <v/>
      </c>
      <c r="Q215" s="332">
        <f>IFERROR(VLOOKUP(TEXT(O215,"0"),CONDUCTORES!$A$3:$H$54,6,0),"")</f>
        <v/>
      </c>
      <c r="R215" s="334" t="n"/>
      <c r="S215" s="334" t="n"/>
      <c r="T215" s="334" t="n"/>
      <c r="U215" s="334" t="n"/>
      <c r="V215" s="334" t="n"/>
      <c r="W215" s="334" t="n"/>
      <c r="X215" s="334" t="n"/>
      <c r="Y215" s="334" t="n"/>
    </row>
    <row r="216" ht="15" customHeight="1" s="195">
      <c r="A216" s="280" t="n"/>
      <c r="B216" s="280" t="n"/>
      <c r="C216" s="280" t="n"/>
      <c r="D216" s="280" t="n"/>
      <c r="E216" s="280" t="n"/>
      <c r="F216" s="280" t="n"/>
      <c r="G216" s="280" t="n"/>
      <c r="H216" s="280" t="n"/>
      <c r="I216" s="332">
        <f>IFERROR(VLOOKUP(TEXT(H216,"0"),IPRESS!$A$3:$B$212,2,0),"")</f>
        <v/>
      </c>
      <c r="J216" s="280" t="n"/>
      <c r="K216" s="332">
        <f>IFERROR(VLOOKUP(TEXT(O216,"0"),CONDUCTORES!$A$3:$G$54,7,0),"")</f>
        <v/>
      </c>
      <c r="L216" s="280" t="n"/>
      <c r="M216" s="280" t="n"/>
      <c r="N216" s="333">
        <f>IFERROR(IF(L216*M216=0,"",L216*M216),"")</f>
        <v/>
      </c>
      <c r="O216" s="280" t="n"/>
      <c r="P216" s="332">
        <f>IFERROR(VLOOKUP(TEXT(O216,"0"),CONDUCTORES!$A$3:$G$54,2,0),"")</f>
        <v/>
      </c>
      <c r="Q216" s="332">
        <f>IFERROR(VLOOKUP(TEXT(O216,"0"),CONDUCTORES!$A$3:$H$54,6,0),"")</f>
        <v/>
      </c>
      <c r="R216" s="280" t="n"/>
      <c r="S216" s="280" t="n"/>
      <c r="T216" s="280" t="n"/>
      <c r="U216" s="280" t="n"/>
      <c r="V216" s="280" t="n"/>
      <c r="W216" s="280" t="n"/>
      <c r="X216" s="280" t="n"/>
      <c r="Y216" s="280" t="n"/>
    </row>
    <row r="217" ht="15" customHeight="1" s="195">
      <c r="A217" s="334" t="n"/>
      <c r="B217" s="334" t="n"/>
      <c r="C217" s="334" t="n"/>
      <c r="D217" s="334" t="n"/>
      <c r="E217" s="334" t="n"/>
      <c r="F217" s="334" t="n"/>
      <c r="G217" s="334" t="n"/>
      <c r="H217" s="334" t="n"/>
      <c r="I217" s="332">
        <f>IFERROR(VLOOKUP(TEXT(H217,"0"),IPRESS!$A$3:$B$212,2,0),"")</f>
        <v/>
      </c>
      <c r="J217" s="334" t="n"/>
      <c r="K217" s="332">
        <f>IFERROR(VLOOKUP(TEXT(O217,"0"),CONDUCTORES!$A$3:$G$54,7,0),"")</f>
        <v/>
      </c>
      <c r="L217" s="334" t="n"/>
      <c r="M217" s="334" t="n"/>
      <c r="N217" s="333">
        <f>IFERROR(IF(L217*M217=0,"",L217*M217),"")</f>
        <v/>
      </c>
      <c r="O217" s="334" t="n"/>
      <c r="P217" s="332">
        <f>IFERROR(VLOOKUP(TEXT(O217,"0"),CONDUCTORES!$A$3:$G$54,2,0),"")</f>
        <v/>
      </c>
      <c r="Q217" s="332">
        <f>IFERROR(VLOOKUP(TEXT(O217,"0"),CONDUCTORES!$A$3:$H$54,6,0),"")</f>
        <v/>
      </c>
      <c r="R217" s="334" t="n"/>
      <c r="S217" s="334" t="n"/>
      <c r="T217" s="334" t="n"/>
      <c r="U217" s="334" t="n"/>
      <c r="V217" s="334" t="n"/>
      <c r="W217" s="334" t="n"/>
      <c r="X217" s="334" t="n"/>
      <c r="Y217" s="334" t="n"/>
    </row>
    <row r="218" ht="15" customHeight="1" s="195">
      <c r="A218" s="280" t="n"/>
      <c r="B218" s="280" t="n"/>
      <c r="C218" s="280" t="n"/>
      <c r="D218" s="280" t="n"/>
      <c r="E218" s="280" t="n"/>
      <c r="F218" s="280" t="n"/>
      <c r="G218" s="280" t="n"/>
      <c r="H218" s="280" t="n"/>
      <c r="I218" s="332">
        <f>IFERROR(VLOOKUP(TEXT(H218,"0"),IPRESS!$A$3:$B$212,2,0),"")</f>
        <v/>
      </c>
      <c r="J218" s="280" t="n"/>
      <c r="K218" s="332">
        <f>IFERROR(VLOOKUP(TEXT(O218,"0"),CONDUCTORES!$A$3:$G$54,7,0),"")</f>
        <v/>
      </c>
      <c r="L218" s="280" t="n"/>
      <c r="M218" s="280" t="n"/>
      <c r="N218" s="333">
        <f>IFERROR(IF(L218*M218=0,"",L218*M218),"")</f>
        <v/>
      </c>
      <c r="O218" s="280" t="n"/>
      <c r="P218" s="332">
        <f>IFERROR(VLOOKUP(TEXT(O218,"0"),CONDUCTORES!$A$3:$G$54,2,0),"")</f>
        <v/>
      </c>
      <c r="Q218" s="332">
        <f>IFERROR(VLOOKUP(TEXT(O218,"0"),CONDUCTORES!$A$3:$H$54,6,0),"")</f>
        <v/>
      </c>
      <c r="R218" s="280" t="n"/>
      <c r="S218" s="280" t="n"/>
      <c r="T218" s="280" t="n"/>
      <c r="U218" s="280" t="n"/>
      <c r="V218" s="280" t="n"/>
      <c r="W218" s="280" t="n"/>
      <c r="X218" s="280" t="n"/>
      <c r="Y218" s="280" t="n"/>
    </row>
    <row r="219" ht="15" customHeight="1" s="195">
      <c r="A219" s="334" t="n"/>
      <c r="B219" s="334" t="n"/>
      <c r="C219" s="334" t="n"/>
      <c r="D219" s="334" t="n"/>
      <c r="E219" s="334" t="n"/>
      <c r="F219" s="334" t="n"/>
      <c r="G219" s="334" t="n"/>
      <c r="H219" s="334" t="n"/>
      <c r="I219" s="332">
        <f>IFERROR(VLOOKUP(TEXT(H219,"0"),IPRESS!$A$3:$B$212,2,0),"")</f>
        <v/>
      </c>
      <c r="J219" s="334" t="n"/>
      <c r="K219" s="332">
        <f>IFERROR(VLOOKUP(TEXT(O219,"0"),CONDUCTORES!$A$3:$G$54,7,0),"")</f>
        <v/>
      </c>
      <c r="L219" s="334" t="n"/>
      <c r="M219" s="334" t="n"/>
      <c r="N219" s="333">
        <f>IFERROR(IF(L219*M219=0,"",L219*M219),"")</f>
        <v/>
      </c>
      <c r="O219" s="334" t="n"/>
      <c r="P219" s="332">
        <f>IFERROR(VLOOKUP(TEXT(O219,"0"),CONDUCTORES!$A$3:$G$54,2,0),"")</f>
        <v/>
      </c>
      <c r="Q219" s="332">
        <f>IFERROR(VLOOKUP(TEXT(O219,"0"),CONDUCTORES!$A$3:$H$54,6,0),"")</f>
        <v/>
      </c>
      <c r="R219" s="334" t="n"/>
      <c r="S219" s="334" t="n"/>
      <c r="T219" s="334" t="n"/>
      <c r="U219" s="334" t="n"/>
      <c r="V219" s="334" t="n"/>
      <c r="W219" s="334" t="n"/>
      <c r="X219" s="334" t="n"/>
      <c r="Y219" s="334" t="n"/>
    </row>
    <row r="220" ht="15" customHeight="1" s="195">
      <c r="A220" s="280" t="n"/>
      <c r="B220" s="280" t="n"/>
      <c r="C220" s="280" t="n"/>
      <c r="D220" s="280" t="n"/>
      <c r="E220" s="280" t="n"/>
      <c r="F220" s="280" t="n"/>
      <c r="G220" s="280" t="n"/>
      <c r="H220" s="280" t="n"/>
      <c r="I220" s="332">
        <f>IFERROR(VLOOKUP(TEXT(H220,"0"),IPRESS!$A$3:$B$212,2,0),"")</f>
        <v/>
      </c>
      <c r="J220" s="280" t="n"/>
      <c r="K220" s="332">
        <f>IFERROR(VLOOKUP(TEXT(O220,"0"),CONDUCTORES!$A$3:$G$54,7,0),"")</f>
        <v/>
      </c>
      <c r="L220" s="280" t="n"/>
      <c r="M220" s="280" t="n"/>
      <c r="N220" s="333">
        <f>IFERROR(IF(L220*M220=0,"",L220*M220),"")</f>
        <v/>
      </c>
      <c r="O220" s="280" t="n"/>
      <c r="P220" s="332">
        <f>IFERROR(VLOOKUP(TEXT(O220,"0"),CONDUCTORES!$A$3:$G$54,2,0),"")</f>
        <v/>
      </c>
      <c r="Q220" s="332">
        <f>IFERROR(VLOOKUP(TEXT(O220,"0"),CONDUCTORES!$A$3:$H$54,6,0),"")</f>
        <v/>
      </c>
      <c r="R220" s="280" t="n"/>
      <c r="S220" s="280" t="n"/>
      <c r="T220" s="280" t="n"/>
      <c r="U220" s="280" t="n"/>
      <c r="V220" s="280" t="n"/>
      <c r="W220" s="280" t="n"/>
      <c r="X220" s="280" t="n"/>
      <c r="Y220" s="280" t="n"/>
    </row>
    <row r="221" ht="15" customHeight="1" s="195">
      <c r="A221" s="334" t="n"/>
      <c r="B221" s="334" t="n"/>
      <c r="C221" s="334" t="n"/>
      <c r="D221" s="334" t="n"/>
      <c r="E221" s="334" t="n"/>
      <c r="F221" s="334" t="n"/>
      <c r="G221" s="334" t="n"/>
      <c r="H221" s="334" t="n"/>
      <c r="I221" s="332">
        <f>IFERROR(VLOOKUP(TEXT(H221,"0"),IPRESS!$A$3:$B$212,2,0),"")</f>
        <v/>
      </c>
      <c r="J221" s="334" t="n"/>
      <c r="K221" s="332">
        <f>IFERROR(VLOOKUP(TEXT(O221,"0"),CONDUCTORES!$A$3:$G$54,7,0),"")</f>
        <v/>
      </c>
      <c r="L221" s="334" t="n"/>
      <c r="M221" s="334" t="n"/>
      <c r="N221" s="333">
        <f>IFERROR(IF(L221*M221=0,"",L221*M221),"")</f>
        <v/>
      </c>
      <c r="O221" s="334" t="n"/>
      <c r="P221" s="332">
        <f>IFERROR(VLOOKUP(TEXT(O221,"0"),CONDUCTORES!$A$3:$G$54,2,0),"")</f>
        <v/>
      </c>
      <c r="Q221" s="332">
        <f>IFERROR(VLOOKUP(TEXT(O221,"0"),CONDUCTORES!$A$3:$H$54,6,0),"")</f>
        <v/>
      </c>
      <c r="R221" s="334" t="n"/>
      <c r="S221" s="334" t="n"/>
      <c r="T221" s="334" t="n"/>
      <c r="U221" s="334" t="n"/>
      <c r="V221" s="334" t="n"/>
      <c r="W221" s="334" t="n"/>
      <c r="X221" s="334" t="n"/>
      <c r="Y221" s="334" t="n"/>
    </row>
    <row r="222" ht="15" customHeight="1" s="195">
      <c r="A222" s="280" t="n"/>
      <c r="B222" s="280" t="n"/>
      <c r="C222" s="280" t="n"/>
      <c r="D222" s="280" t="n"/>
      <c r="E222" s="280" t="n"/>
      <c r="F222" s="280" t="n"/>
      <c r="G222" s="280" t="n"/>
      <c r="H222" s="280" t="n"/>
      <c r="I222" s="332">
        <f>IFERROR(VLOOKUP(TEXT(H222,"0"),IPRESS!$A$3:$B$212,2,0),"")</f>
        <v/>
      </c>
      <c r="J222" s="280" t="n"/>
      <c r="K222" s="332">
        <f>IFERROR(VLOOKUP(TEXT(O222,"0"),CONDUCTORES!$A$3:$G$54,7,0),"")</f>
        <v/>
      </c>
      <c r="L222" s="280" t="n"/>
      <c r="M222" s="280" t="n"/>
      <c r="N222" s="333">
        <f>IFERROR(IF(L222*M222=0,"",L222*M222),"")</f>
        <v/>
      </c>
      <c r="O222" s="280" t="n"/>
      <c r="P222" s="332">
        <f>IFERROR(VLOOKUP(TEXT(O222,"0"),CONDUCTORES!$A$3:$G$54,2,0),"")</f>
        <v/>
      </c>
      <c r="Q222" s="332">
        <f>IFERROR(VLOOKUP(TEXT(O222,"0"),CONDUCTORES!$A$3:$H$54,6,0),"")</f>
        <v/>
      </c>
      <c r="R222" s="280" t="n"/>
      <c r="S222" s="280" t="n"/>
      <c r="T222" s="280" t="n"/>
      <c r="U222" s="280" t="n"/>
      <c r="V222" s="280" t="n"/>
      <c r="W222" s="280" t="n"/>
      <c r="X222" s="280" t="n"/>
      <c r="Y222" s="280" t="n"/>
    </row>
    <row r="223" ht="15" customHeight="1" s="195">
      <c r="A223" s="334" t="n"/>
      <c r="B223" s="334" t="n"/>
      <c r="C223" s="334" t="n"/>
      <c r="D223" s="334" t="n"/>
      <c r="E223" s="334" t="n"/>
      <c r="F223" s="334" t="n"/>
      <c r="G223" s="334" t="n"/>
      <c r="H223" s="334" t="n"/>
      <c r="I223" s="332">
        <f>IFERROR(VLOOKUP(TEXT(H223,"0"),IPRESS!$A$3:$B$212,2,0),"")</f>
        <v/>
      </c>
      <c r="J223" s="334" t="n"/>
      <c r="K223" s="332">
        <f>IFERROR(VLOOKUP(TEXT(O223,"0"),CONDUCTORES!$A$3:$G$54,7,0),"")</f>
        <v/>
      </c>
      <c r="L223" s="334" t="n"/>
      <c r="M223" s="334" t="n"/>
      <c r="N223" s="333">
        <f>IFERROR(IF(L223*M223=0,"",L223*M223),"")</f>
        <v/>
      </c>
      <c r="O223" s="334" t="n"/>
      <c r="P223" s="332">
        <f>IFERROR(VLOOKUP(TEXT(O223,"0"),CONDUCTORES!$A$3:$G$54,2,0),"")</f>
        <v/>
      </c>
      <c r="Q223" s="332">
        <f>IFERROR(VLOOKUP(TEXT(O223,"0"),CONDUCTORES!$A$3:$H$54,6,0),"")</f>
        <v/>
      </c>
      <c r="R223" s="334" t="n"/>
      <c r="S223" s="334" t="n"/>
      <c r="T223" s="334" t="n"/>
      <c r="U223" s="334" t="n"/>
      <c r="V223" s="334" t="n"/>
      <c r="W223" s="334" t="n"/>
      <c r="X223" s="334" t="n"/>
      <c r="Y223" s="334" t="n"/>
    </row>
    <row r="224" ht="15" customHeight="1" s="195">
      <c r="A224" s="280" t="n"/>
      <c r="B224" s="280" t="n"/>
      <c r="C224" s="280" t="n"/>
      <c r="D224" s="280" t="n"/>
      <c r="E224" s="280" t="n"/>
      <c r="F224" s="280" t="n"/>
      <c r="G224" s="280" t="n"/>
      <c r="H224" s="280" t="n"/>
      <c r="I224" s="332">
        <f>IFERROR(VLOOKUP(TEXT(H224,"0"),IPRESS!$A$3:$B$212,2,0),"")</f>
        <v/>
      </c>
      <c r="J224" s="280" t="n"/>
      <c r="K224" s="332">
        <f>IFERROR(VLOOKUP(TEXT(O224,"0"),CONDUCTORES!$A$3:$G$54,7,0),"")</f>
        <v/>
      </c>
      <c r="L224" s="280" t="n"/>
      <c r="M224" s="280" t="n"/>
      <c r="N224" s="333">
        <f>IFERROR(IF(L224*M224=0,"",L224*M224),"")</f>
        <v/>
      </c>
      <c r="O224" s="280" t="n"/>
      <c r="P224" s="332">
        <f>IFERROR(VLOOKUP(TEXT(O224,"0"),CONDUCTORES!$A$3:$G$54,2,0),"")</f>
        <v/>
      </c>
      <c r="Q224" s="332">
        <f>IFERROR(VLOOKUP(TEXT(O224,"0"),CONDUCTORES!$A$3:$H$54,6,0),"")</f>
        <v/>
      </c>
      <c r="R224" s="280" t="n"/>
      <c r="S224" s="280" t="n"/>
      <c r="T224" s="280" t="n"/>
      <c r="U224" s="280" t="n"/>
      <c r="V224" s="280" t="n"/>
      <c r="W224" s="280" t="n"/>
      <c r="X224" s="280" t="n"/>
      <c r="Y224" s="280" t="n"/>
    </row>
    <row r="225" ht="15" customHeight="1" s="195">
      <c r="A225" s="334" t="n"/>
      <c r="B225" s="334" t="n"/>
      <c r="C225" s="334" t="n"/>
      <c r="D225" s="334" t="n"/>
      <c r="E225" s="334" t="n"/>
      <c r="F225" s="334" t="n"/>
      <c r="G225" s="334" t="n"/>
      <c r="H225" s="334" t="n"/>
      <c r="I225" s="332">
        <f>IFERROR(VLOOKUP(TEXT(H225,"0"),IPRESS!$A$3:$B$212,2,0),"")</f>
        <v/>
      </c>
      <c r="J225" s="334" t="n"/>
      <c r="K225" s="332">
        <f>IFERROR(VLOOKUP(TEXT(O225,"0"),CONDUCTORES!$A$3:$G$54,7,0),"")</f>
        <v/>
      </c>
      <c r="L225" s="334" t="n"/>
      <c r="M225" s="334" t="n"/>
      <c r="N225" s="333">
        <f>IFERROR(IF(L225*M225=0,"",L225*M225),"")</f>
        <v/>
      </c>
      <c r="O225" s="334" t="n"/>
      <c r="P225" s="332">
        <f>IFERROR(VLOOKUP(TEXT(O225,"0"),CONDUCTORES!$A$3:$G$54,2,0),"")</f>
        <v/>
      </c>
      <c r="Q225" s="332">
        <f>IFERROR(VLOOKUP(TEXT(O225,"0"),CONDUCTORES!$A$3:$H$54,6,0),"")</f>
        <v/>
      </c>
      <c r="R225" s="334" t="n"/>
      <c r="S225" s="334" t="n"/>
      <c r="T225" s="334" t="n"/>
      <c r="U225" s="334" t="n"/>
      <c r="V225" s="334" t="n"/>
      <c r="W225" s="334" t="n"/>
      <c r="X225" s="334" t="n"/>
      <c r="Y225" s="334" t="n"/>
    </row>
    <row r="226" ht="15" customHeight="1" s="195">
      <c r="A226" s="280" t="n"/>
      <c r="B226" s="280" t="n"/>
      <c r="C226" s="280" t="n"/>
      <c r="D226" s="280" t="n"/>
      <c r="E226" s="280" t="n"/>
      <c r="F226" s="280" t="n"/>
      <c r="G226" s="280" t="n"/>
      <c r="H226" s="280" t="n"/>
      <c r="I226" s="332">
        <f>IFERROR(VLOOKUP(TEXT(H226,"0"),IPRESS!$A$3:$B$212,2,0),"")</f>
        <v/>
      </c>
      <c r="J226" s="280" t="n"/>
      <c r="K226" s="332">
        <f>IFERROR(VLOOKUP(TEXT(O226,"0"),CONDUCTORES!$A$3:$G$54,7,0),"")</f>
        <v/>
      </c>
      <c r="L226" s="280" t="n"/>
      <c r="M226" s="280" t="n"/>
      <c r="N226" s="333">
        <f>IFERROR(IF(L226*M226=0,"",L226*M226),"")</f>
        <v/>
      </c>
      <c r="O226" s="280" t="n"/>
      <c r="P226" s="332">
        <f>IFERROR(VLOOKUP(TEXT(O226,"0"),CONDUCTORES!$A$3:$G$54,2,0),"")</f>
        <v/>
      </c>
      <c r="Q226" s="332">
        <f>IFERROR(VLOOKUP(TEXT(O226,"0"),CONDUCTORES!$A$3:$H$54,6,0),"")</f>
        <v/>
      </c>
      <c r="R226" s="280" t="n"/>
      <c r="S226" s="280" t="n"/>
      <c r="T226" s="280" t="n"/>
      <c r="U226" s="280" t="n"/>
      <c r="V226" s="280" t="n"/>
      <c r="W226" s="280" t="n"/>
      <c r="X226" s="280" t="n"/>
      <c r="Y226" s="280" t="n"/>
    </row>
    <row r="227" ht="15" customHeight="1" s="195">
      <c r="A227" s="334" t="n"/>
      <c r="B227" s="334" t="n"/>
      <c r="C227" s="334" t="n"/>
      <c r="D227" s="334" t="n"/>
      <c r="E227" s="334" t="n"/>
      <c r="F227" s="334" t="n"/>
      <c r="G227" s="334" t="n"/>
      <c r="H227" s="334" t="n"/>
      <c r="I227" s="332">
        <f>IFERROR(VLOOKUP(TEXT(H227,"0"),IPRESS!$A$3:$B$212,2,0),"")</f>
        <v/>
      </c>
      <c r="J227" s="334" t="n"/>
      <c r="K227" s="332">
        <f>IFERROR(VLOOKUP(TEXT(O227,"0"),CONDUCTORES!$A$3:$G$54,7,0),"")</f>
        <v/>
      </c>
      <c r="L227" s="334" t="n"/>
      <c r="M227" s="334" t="n"/>
      <c r="N227" s="333">
        <f>IFERROR(IF(L227*M227=0,"",L227*M227),"")</f>
        <v/>
      </c>
      <c r="O227" s="334" t="n"/>
      <c r="P227" s="332">
        <f>IFERROR(VLOOKUP(TEXT(O227,"0"),CONDUCTORES!$A$3:$G$54,2,0),"")</f>
        <v/>
      </c>
      <c r="Q227" s="332">
        <f>IFERROR(VLOOKUP(TEXT(O227,"0"),CONDUCTORES!$A$3:$H$54,6,0),"")</f>
        <v/>
      </c>
      <c r="R227" s="334" t="n"/>
      <c r="S227" s="334" t="n"/>
      <c r="T227" s="334" t="n"/>
      <c r="U227" s="334" t="n"/>
      <c r="V227" s="334" t="n"/>
      <c r="W227" s="334" t="n"/>
      <c r="X227" s="334" t="n"/>
      <c r="Y227" s="334" t="n"/>
    </row>
    <row r="228" ht="15" customHeight="1" s="195">
      <c r="A228" s="280" t="n"/>
      <c r="B228" s="280" t="n"/>
      <c r="C228" s="280" t="n"/>
      <c r="D228" s="280" t="n"/>
      <c r="E228" s="280" t="n"/>
      <c r="F228" s="280" t="n"/>
      <c r="G228" s="280" t="n"/>
      <c r="H228" s="280" t="n"/>
      <c r="I228" s="332">
        <f>IFERROR(VLOOKUP(TEXT(H228,"0"),IPRESS!$A$3:$B$212,2,0),"")</f>
        <v/>
      </c>
      <c r="J228" s="280" t="n"/>
      <c r="K228" s="332">
        <f>IFERROR(VLOOKUP(TEXT(O228,"0"),CONDUCTORES!$A$3:$G$54,7,0),"")</f>
        <v/>
      </c>
      <c r="L228" s="280" t="n"/>
      <c r="M228" s="280" t="n"/>
      <c r="N228" s="333">
        <f>IFERROR(IF(L228*M228=0,"",L228*M228),"")</f>
        <v/>
      </c>
      <c r="O228" s="280" t="n"/>
      <c r="P228" s="332">
        <f>IFERROR(VLOOKUP(TEXT(O228,"0"),CONDUCTORES!$A$3:$G$54,2,0),"")</f>
        <v/>
      </c>
      <c r="Q228" s="332">
        <f>IFERROR(VLOOKUP(TEXT(O228,"0"),CONDUCTORES!$A$3:$H$54,6,0),"")</f>
        <v/>
      </c>
      <c r="R228" s="280" t="n"/>
      <c r="S228" s="280" t="n"/>
      <c r="T228" s="280" t="n"/>
      <c r="U228" s="280" t="n"/>
      <c r="V228" s="280" t="n"/>
      <c r="W228" s="280" t="n"/>
      <c r="X228" s="280" t="n"/>
      <c r="Y228" s="280" t="n"/>
    </row>
    <row r="229" ht="15" customHeight="1" s="195">
      <c r="A229" s="334" t="n"/>
      <c r="B229" s="334" t="n"/>
      <c r="C229" s="334" t="n"/>
      <c r="D229" s="334" t="n"/>
      <c r="E229" s="334" t="n"/>
      <c r="F229" s="334" t="n"/>
      <c r="G229" s="334" t="n"/>
      <c r="H229" s="334" t="n"/>
      <c r="I229" s="332">
        <f>IFERROR(VLOOKUP(TEXT(H229,"0"),IPRESS!$A$3:$B$212,2,0),"")</f>
        <v/>
      </c>
      <c r="J229" s="334" t="n"/>
      <c r="K229" s="332">
        <f>IFERROR(VLOOKUP(TEXT(O229,"0"),CONDUCTORES!$A$3:$G$54,7,0),"")</f>
        <v/>
      </c>
      <c r="L229" s="334" t="n"/>
      <c r="M229" s="334" t="n"/>
      <c r="N229" s="333">
        <f>IFERROR(IF(L229*M229=0,"",L229*M229),"")</f>
        <v/>
      </c>
      <c r="O229" s="334" t="n"/>
      <c r="P229" s="332">
        <f>IFERROR(VLOOKUP(TEXT(O229,"0"),CONDUCTORES!$A$3:$G$54,2,0),"")</f>
        <v/>
      </c>
      <c r="Q229" s="332">
        <f>IFERROR(VLOOKUP(TEXT(O229,"0"),CONDUCTORES!$A$3:$H$54,6,0),"")</f>
        <v/>
      </c>
      <c r="R229" s="334" t="n"/>
      <c r="S229" s="334" t="n"/>
      <c r="T229" s="334" t="n"/>
      <c r="U229" s="334" t="n"/>
      <c r="V229" s="334" t="n"/>
      <c r="W229" s="334" t="n"/>
      <c r="X229" s="334" t="n"/>
      <c r="Y229" s="334" t="n"/>
    </row>
    <row r="230" ht="15" customHeight="1" s="195">
      <c r="A230" s="280" t="n"/>
      <c r="B230" s="280" t="n"/>
      <c r="C230" s="280" t="n"/>
      <c r="D230" s="280" t="n"/>
      <c r="E230" s="280" t="n"/>
      <c r="F230" s="280" t="n"/>
      <c r="G230" s="280" t="n"/>
      <c r="H230" s="280" t="n"/>
      <c r="I230" s="332">
        <f>IFERROR(VLOOKUP(TEXT(H230,"0"),IPRESS!$A$3:$B$212,2,0),"")</f>
        <v/>
      </c>
      <c r="J230" s="280" t="n"/>
      <c r="K230" s="332">
        <f>IFERROR(VLOOKUP(TEXT(O230,"0"),CONDUCTORES!$A$3:$G$54,7,0),"")</f>
        <v/>
      </c>
      <c r="L230" s="280" t="n"/>
      <c r="M230" s="280" t="n"/>
      <c r="N230" s="333">
        <f>IFERROR(IF(L230*M230=0,"",L230*M230),"")</f>
        <v/>
      </c>
      <c r="O230" s="280" t="n"/>
      <c r="P230" s="332">
        <f>IFERROR(VLOOKUP(TEXT(O230,"0"),CONDUCTORES!$A$3:$G$54,2,0),"")</f>
        <v/>
      </c>
      <c r="Q230" s="332">
        <f>IFERROR(VLOOKUP(TEXT(O230,"0"),CONDUCTORES!$A$3:$H$54,6,0),"")</f>
        <v/>
      </c>
      <c r="R230" s="280" t="n"/>
      <c r="S230" s="280" t="n"/>
      <c r="T230" s="280" t="n"/>
      <c r="U230" s="280" t="n"/>
      <c r="V230" s="280" t="n"/>
      <c r="W230" s="280" t="n"/>
      <c r="X230" s="280" t="n"/>
      <c r="Y230" s="280" t="n"/>
    </row>
    <row r="231" ht="15" customHeight="1" s="195">
      <c r="A231" s="334" t="n"/>
      <c r="B231" s="334" t="n"/>
      <c r="C231" s="334" t="n"/>
      <c r="D231" s="334" t="n"/>
      <c r="E231" s="334" t="n"/>
      <c r="F231" s="334" t="n"/>
      <c r="G231" s="334" t="n"/>
      <c r="H231" s="334" t="n"/>
      <c r="I231" s="332">
        <f>IFERROR(VLOOKUP(TEXT(H231,"0"),IPRESS!$A$3:$B$212,2,0),"")</f>
        <v/>
      </c>
      <c r="J231" s="334" t="n"/>
      <c r="K231" s="332">
        <f>IFERROR(VLOOKUP(TEXT(O231,"0"),CONDUCTORES!$A$3:$G$54,7,0),"")</f>
        <v/>
      </c>
      <c r="L231" s="334" t="n"/>
      <c r="M231" s="334" t="n"/>
      <c r="N231" s="333">
        <f>IFERROR(IF(L231*M231=0,"",L231*M231),"")</f>
        <v/>
      </c>
      <c r="O231" s="334" t="n"/>
      <c r="P231" s="332">
        <f>IFERROR(VLOOKUP(TEXT(O231,"0"),CONDUCTORES!$A$3:$G$54,2,0),"")</f>
        <v/>
      </c>
      <c r="Q231" s="332">
        <f>IFERROR(VLOOKUP(TEXT(O231,"0"),CONDUCTORES!$A$3:$H$54,6,0),"")</f>
        <v/>
      </c>
      <c r="R231" s="334" t="n"/>
      <c r="S231" s="334" t="n"/>
      <c r="T231" s="334" t="n"/>
      <c r="U231" s="334" t="n"/>
      <c r="V231" s="334" t="n"/>
      <c r="W231" s="334" t="n"/>
      <c r="X231" s="334" t="n"/>
      <c r="Y231" s="334" t="n"/>
    </row>
    <row r="232" ht="15" customHeight="1" s="195">
      <c r="A232" s="280" t="n"/>
      <c r="B232" s="280" t="n"/>
      <c r="C232" s="280" t="n"/>
      <c r="D232" s="280" t="n"/>
      <c r="E232" s="280" t="n"/>
      <c r="F232" s="280" t="n"/>
      <c r="G232" s="280" t="n"/>
      <c r="H232" s="280" t="n"/>
      <c r="I232" s="332">
        <f>IFERROR(VLOOKUP(TEXT(H232,"0"),IPRESS!$A$3:$B$212,2,0),"")</f>
        <v/>
      </c>
      <c r="J232" s="280" t="n"/>
      <c r="K232" s="332">
        <f>IFERROR(VLOOKUP(TEXT(O232,"0"),CONDUCTORES!$A$3:$G$54,7,0),"")</f>
        <v/>
      </c>
      <c r="L232" s="280" t="n"/>
      <c r="M232" s="280" t="n"/>
      <c r="N232" s="333">
        <f>IFERROR(IF(L232*M232=0,"",L232*M232),"")</f>
        <v/>
      </c>
      <c r="O232" s="280" t="n"/>
      <c r="P232" s="332">
        <f>IFERROR(VLOOKUP(TEXT(O232,"0"),CONDUCTORES!$A$3:$G$54,2,0),"")</f>
        <v/>
      </c>
      <c r="Q232" s="332">
        <f>IFERROR(VLOOKUP(TEXT(O232,"0"),CONDUCTORES!$A$3:$H$54,6,0),"")</f>
        <v/>
      </c>
      <c r="R232" s="280" t="n"/>
      <c r="S232" s="280" t="n"/>
      <c r="T232" s="280" t="n"/>
      <c r="U232" s="280" t="n"/>
      <c r="V232" s="280" t="n"/>
      <c r="W232" s="280" t="n"/>
      <c r="X232" s="280" t="n"/>
      <c r="Y232" s="280" t="n"/>
    </row>
    <row r="233" ht="15" customHeight="1" s="195">
      <c r="A233" s="334" t="n"/>
      <c r="B233" s="334" t="n"/>
      <c r="C233" s="334" t="n"/>
      <c r="D233" s="334" t="n"/>
      <c r="E233" s="334" t="n"/>
      <c r="F233" s="334" t="n"/>
      <c r="G233" s="334" t="n"/>
      <c r="H233" s="334" t="n"/>
      <c r="I233" s="332">
        <f>IFERROR(VLOOKUP(TEXT(H233,"0"),IPRESS!$A$3:$B$212,2,0),"")</f>
        <v/>
      </c>
      <c r="J233" s="334" t="n"/>
      <c r="K233" s="332">
        <f>IFERROR(VLOOKUP(TEXT(O233,"0"),CONDUCTORES!$A$3:$G$54,7,0),"")</f>
        <v/>
      </c>
      <c r="L233" s="334" t="n"/>
      <c r="M233" s="334" t="n"/>
      <c r="N233" s="333">
        <f>IFERROR(IF(L233*M233=0,"",L233*M233),"")</f>
        <v/>
      </c>
      <c r="O233" s="334" t="n"/>
      <c r="P233" s="332">
        <f>IFERROR(VLOOKUP(TEXT(O233,"0"),CONDUCTORES!$A$3:$G$54,2,0),"")</f>
        <v/>
      </c>
      <c r="Q233" s="332">
        <f>IFERROR(VLOOKUP(TEXT(O233,"0"),CONDUCTORES!$A$3:$H$54,6,0),"")</f>
        <v/>
      </c>
      <c r="R233" s="334" t="n"/>
      <c r="S233" s="334" t="n"/>
      <c r="T233" s="334" t="n"/>
      <c r="U233" s="334" t="n"/>
      <c r="V233" s="334" t="n"/>
      <c r="W233" s="334" t="n"/>
      <c r="X233" s="334" t="n"/>
      <c r="Y233" s="334" t="n"/>
    </row>
    <row r="234" ht="15" customHeight="1" s="195">
      <c r="A234" s="280" t="n"/>
      <c r="B234" s="280" t="n"/>
      <c r="C234" s="280" t="n"/>
      <c r="D234" s="280" t="n"/>
      <c r="E234" s="280" t="n"/>
      <c r="F234" s="280" t="n"/>
      <c r="G234" s="280" t="n"/>
      <c r="H234" s="280" t="n"/>
      <c r="I234" s="332">
        <f>IFERROR(VLOOKUP(TEXT(H234,"0"),IPRESS!$A$3:$B$212,2,0),"")</f>
        <v/>
      </c>
      <c r="J234" s="280" t="n"/>
      <c r="K234" s="332">
        <f>IFERROR(VLOOKUP(TEXT(O234,"0"),CONDUCTORES!$A$3:$G$54,7,0),"")</f>
        <v/>
      </c>
      <c r="L234" s="280" t="n"/>
      <c r="M234" s="280" t="n"/>
      <c r="N234" s="333">
        <f>IFERROR(IF(L234*M234=0,"",L234*M234),"")</f>
        <v/>
      </c>
      <c r="O234" s="280" t="n"/>
      <c r="P234" s="332">
        <f>IFERROR(VLOOKUP(TEXT(O234,"0"),CONDUCTORES!$A$3:$G$54,2,0),"")</f>
        <v/>
      </c>
      <c r="Q234" s="332">
        <f>IFERROR(VLOOKUP(TEXT(O234,"0"),CONDUCTORES!$A$3:$H$54,6,0),"")</f>
        <v/>
      </c>
      <c r="R234" s="280" t="n"/>
      <c r="S234" s="280" t="n"/>
      <c r="T234" s="280" t="n"/>
      <c r="U234" s="280" t="n"/>
      <c r="V234" s="280" t="n"/>
      <c r="W234" s="280" t="n"/>
      <c r="X234" s="280" t="n"/>
      <c r="Y234" s="280" t="n"/>
    </row>
    <row r="235" ht="15" customHeight="1" s="195">
      <c r="A235" s="334" t="n"/>
      <c r="B235" s="334" t="n"/>
      <c r="C235" s="334" t="n"/>
      <c r="D235" s="334" t="n"/>
      <c r="E235" s="334" t="n"/>
      <c r="F235" s="334" t="n"/>
      <c r="G235" s="334" t="n"/>
      <c r="H235" s="334" t="n"/>
      <c r="I235" s="332">
        <f>IFERROR(VLOOKUP(TEXT(H235,"0"),IPRESS!$A$3:$B$212,2,0),"")</f>
        <v/>
      </c>
      <c r="J235" s="334" t="n"/>
      <c r="K235" s="332">
        <f>IFERROR(VLOOKUP(TEXT(O235,"0"),CONDUCTORES!$A$3:$G$54,7,0),"")</f>
        <v/>
      </c>
      <c r="L235" s="334" t="n"/>
      <c r="M235" s="334" t="n"/>
      <c r="N235" s="333">
        <f>IFERROR(IF(L235*M235=0,"",L235*M235),"")</f>
        <v/>
      </c>
      <c r="O235" s="334" t="n"/>
      <c r="P235" s="332">
        <f>IFERROR(VLOOKUP(TEXT(O235,"0"),CONDUCTORES!$A$3:$G$54,2,0),"")</f>
        <v/>
      </c>
      <c r="Q235" s="332">
        <f>IFERROR(VLOOKUP(TEXT(O235,"0"),CONDUCTORES!$A$3:$H$54,6,0),"")</f>
        <v/>
      </c>
      <c r="R235" s="334" t="n"/>
      <c r="S235" s="334" t="n"/>
      <c r="T235" s="334" t="n"/>
      <c r="U235" s="334" t="n"/>
      <c r="V235" s="334" t="n"/>
      <c r="W235" s="334" t="n"/>
      <c r="X235" s="334" t="n"/>
      <c r="Y235" s="334" t="n"/>
    </row>
    <row r="236" ht="15" customHeight="1" s="195">
      <c r="A236" s="280" t="n"/>
      <c r="B236" s="280" t="n"/>
      <c r="C236" s="280" t="n"/>
      <c r="D236" s="280" t="n"/>
      <c r="E236" s="280" t="n"/>
      <c r="F236" s="280" t="n"/>
      <c r="G236" s="280" t="n"/>
      <c r="H236" s="280" t="n"/>
      <c r="I236" s="332">
        <f>IFERROR(VLOOKUP(TEXT(H236,"0"),IPRESS!$A$3:$B$212,2,0),"")</f>
        <v/>
      </c>
      <c r="J236" s="280" t="n"/>
      <c r="K236" s="332">
        <f>IFERROR(VLOOKUP(TEXT(O236,"0"),CONDUCTORES!$A$3:$G$54,7,0),"")</f>
        <v/>
      </c>
      <c r="L236" s="280" t="n"/>
      <c r="M236" s="280" t="n"/>
      <c r="N236" s="333">
        <f>IFERROR(IF(L236*M236=0,"",L236*M236),"")</f>
        <v/>
      </c>
      <c r="O236" s="280" t="n"/>
      <c r="P236" s="332">
        <f>IFERROR(VLOOKUP(TEXT(O236,"0"),CONDUCTORES!$A$3:$G$54,2,0),"")</f>
        <v/>
      </c>
      <c r="Q236" s="332">
        <f>IFERROR(VLOOKUP(TEXT(O236,"0"),CONDUCTORES!$A$3:$H$54,6,0),"")</f>
        <v/>
      </c>
      <c r="R236" s="280" t="n"/>
      <c r="S236" s="280" t="n"/>
      <c r="T236" s="280" t="n"/>
      <c r="U236" s="280" t="n"/>
      <c r="V236" s="280" t="n"/>
      <c r="W236" s="280" t="n"/>
      <c r="X236" s="280" t="n"/>
      <c r="Y236" s="280" t="n"/>
    </row>
    <row r="237" ht="15" customHeight="1" s="195">
      <c r="A237" s="334" t="n"/>
      <c r="B237" s="334" t="n"/>
      <c r="C237" s="334" t="n"/>
      <c r="D237" s="334" t="n"/>
      <c r="E237" s="334" t="n"/>
      <c r="F237" s="334" t="n"/>
      <c r="G237" s="334" t="n"/>
      <c r="H237" s="334" t="n"/>
      <c r="I237" s="332">
        <f>IFERROR(VLOOKUP(TEXT(H237,"0"),IPRESS!$A$3:$B$212,2,0),"")</f>
        <v/>
      </c>
      <c r="J237" s="334" t="n"/>
      <c r="K237" s="332">
        <f>IFERROR(VLOOKUP(TEXT(O237,"0"),CONDUCTORES!$A$3:$G$54,7,0),"")</f>
        <v/>
      </c>
      <c r="L237" s="334" t="n"/>
      <c r="M237" s="334" t="n"/>
      <c r="N237" s="333">
        <f>IFERROR(IF(L237*M237=0,"",L237*M237),"")</f>
        <v/>
      </c>
      <c r="O237" s="334" t="n"/>
      <c r="P237" s="332">
        <f>IFERROR(VLOOKUP(TEXT(O237,"0"),CONDUCTORES!$A$3:$G$54,2,0),"")</f>
        <v/>
      </c>
      <c r="Q237" s="332">
        <f>IFERROR(VLOOKUP(TEXT(O237,"0"),CONDUCTORES!$A$3:$H$54,6,0),"")</f>
        <v/>
      </c>
      <c r="R237" s="334" t="n"/>
      <c r="S237" s="334" t="n"/>
      <c r="T237" s="334" t="n"/>
      <c r="U237" s="334" t="n"/>
      <c r="V237" s="334" t="n"/>
      <c r="W237" s="334" t="n"/>
      <c r="X237" s="334" t="n"/>
      <c r="Y237" s="334" t="n"/>
    </row>
    <row r="238" ht="15" customHeight="1" s="195">
      <c r="A238" s="280" t="n"/>
      <c r="B238" s="280" t="n"/>
      <c r="C238" s="280" t="n"/>
      <c r="D238" s="280" t="n"/>
      <c r="E238" s="280" t="n"/>
      <c r="F238" s="280" t="n"/>
      <c r="G238" s="280" t="n"/>
      <c r="H238" s="280" t="n"/>
      <c r="I238" s="332">
        <f>IFERROR(VLOOKUP(TEXT(H238,"0"),IPRESS!$A$3:$B$212,2,0),"")</f>
        <v/>
      </c>
      <c r="J238" s="280" t="n"/>
      <c r="K238" s="332">
        <f>IFERROR(VLOOKUP(TEXT(O238,"0"),CONDUCTORES!$A$3:$G$54,7,0),"")</f>
        <v/>
      </c>
      <c r="L238" s="280" t="n"/>
      <c r="M238" s="280" t="n"/>
      <c r="N238" s="333">
        <f>IFERROR(IF(L238*M238=0,"",L238*M238),"")</f>
        <v/>
      </c>
      <c r="O238" s="280" t="n"/>
      <c r="P238" s="332">
        <f>IFERROR(VLOOKUP(TEXT(O238,"0"),CONDUCTORES!$A$3:$G$54,2,0),"")</f>
        <v/>
      </c>
      <c r="Q238" s="332">
        <f>IFERROR(VLOOKUP(TEXT(O238,"0"),CONDUCTORES!$A$3:$H$54,6,0),"")</f>
        <v/>
      </c>
      <c r="R238" s="280" t="n"/>
      <c r="S238" s="280" t="n"/>
      <c r="T238" s="280" t="n"/>
      <c r="U238" s="280" t="n"/>
      <c r="V238" s="280" t="n"/>
      <c r="W238" s="280" t="n"/>
      <c r="X238" s="280" t="n"/>
      <c r="Y238" s="280" t="n"/>
    </row>
    <row r="239" ht="15" customHeight="1" s="195">
      <c r="A239" s="334" t="n"/>
      <c r="B239" s="334" t="n"/>
      <c r="C239" s="334" t="n"/>
      <c r="D239" s="334" t="n"/>
      <c r="E239" s="334" t="n"/>
      <c r="F239" s="334" t="n"/>
      <c r="G239" s="334" t="n"/>
      <c r="H239" s="334" t="n"/>
      <c r="I239" s="332">
        <f>IFERROR(VLOOKUP(TEXT(H239,"0"),IPRESS!$A$3:$B$212,2,0),"")</f>
        <v/>
      </c>
      <c r="J239" s="334" t="n"/>
      <c r="K239" s="332">
        <f>IFERROR(VLOOKUP(TEXT(O239,"0"),CONDUCTORES!$A$3:$G$54,7,0),"")</f>
        <v/>
      </c>
      <c r="L239" s="334" t="n"/>
      <c r="M239" s="334" t="n"/>
      <c r="N239" s="333">
        <f>IFERROR(IF(L239*M239=0,"",L239*M239),"")</f>
        <v/>
      </c>
      <c r="O239" s="334" t="n"/>
      <c r="P239" s="332">
        <f>IFERROR(VLOOKUP(TEXT(O239,"0"),CONDUCTORES!$A$3:$G$54,2,0),"")</f>
        <v/>
      </c>
      <c r="Q239" s="332">
        <f>IFERROR(VLOOKUP(TEXT(O239,"0"),CONDUCTORES!$A$3:$H$54,6,0),"")</f>
        <v/>
      </c>
      <c r="R239" s="334" t="n"/>
      <c r="S239" s="334" t="n"/>
      <c r="T239" s="334" t="n"/>
      <c r="U239" s="334" t="n"/>
      <c r="V239" s="334" t="n"/>
      <c r="W239" s="334" t="n"/>
      <c r="X239" s="334" t="n"/>
      <c r="Y239" s="334" t="n"/>
    </row>
    <row r="240" ht="15" customHeight="1" s="195">
      <c r="A240" s="280" t="n"/>
      <c r="B240" s="280" t="n"/>
      <c r="C240" s="280" t="n"/>
      <c r="D240" s="280" t="n"/>
      <c r="E240" s="280" t="n"/>
      <c r="F240" s="280" t="n"/>
      <c r="G240" s="280" t="n"/>
      <c r="H240" s="280" t="n"/>
      <c r="I240" s="332">
        <f>IFERROR(VLOOKUP(TEXT(H240,"0"),IPRESS!$A$3:$B$212,2,0),"")</f>
        <v/>
      </c>
      <c r="J240" s="280" t="n"/>
      <c r="K240" s="332">
        <f>IFERROR(VLOOKUP(TEXT(O240,"0"),CONDUCTORES!$A$3:$G$54,7,0),"")</f>
        <v/>
      </c>
      <c r="L240" s="280" t="n"/>
      <c r="M240" s="280" t="n"/>
      <c r="N240" s="333">
        <f>IFERROR(IF(L240*M240=0,"",L240*M240),"")</f>
        <v/>
      </c>
      <c r="O240" s="280" t="n"/>
      <c r="P240" s="332">
        <f>IFERROR(VLOOKUP(TEXT(O240,"0"),CONDUCTORES!$A$3:$G$54,2,0),"")</f>
        <v/>
      </c>
      <c r="Q240" s="332">
        <f>IFERROR(VLOOKUP(TEXT(O240,"0"),CONDUCTORES!$A$3:$H$54,6,0),"")</f>
        <v/>
      </c>
      <c r="R240" s="280" t="n"/>
      <c r="S240" s="280" t="n"/>
      <c r="T240" s="280" t="n"/>
      <c r="U240" s="280" t="n"/>
      <c r="V240" s="280" t="n"/>
      <c r="W240" s="280" t="n"/>
      <c r="X240" s="280" t="n"/>
      <c r="Y240" s="280" t="n"/>
    </row>
    <row r="241" ht="15" customHeight="1" s="195">
      <c r="A241" s="334" t="n"/>
      <c r="B241" s="334" t="n"/>
      <c r="C241" s="334" t="n"/>
      <c r="D241" s="334" t="n"/>
      <c r="E241" s="334" t="n"/>
      <c r="F241" s="334" t="n"/>
      <c r="G241" s="334" t="n"/>
      <c r="H241" s="334" t="n"/>
      <c r="I241" s="332">
        <f>IFERROR(VLOOKUP(TEXT(H241,"0"),IPRESS!$A$3:$B$212,2,0),"")</f>
        <v/>
      </c>
      <c r="J241" s="334" t="n"/>
      <c r="K241" s="332">
        <f>IFERROR(VLOOKUP(TEXT(O241,"0"),CONDUCTORES!$A$3:$G$54,7,0),"")</f>
        <v/>
      </c>
      <c r="L241" s="334" t="n"/>
      <c r="M241" s="334" t="n"/>
      <c r="N241" s="333">
        <f>IFERROR(IF(L241*M241=0,"",L241*M241),"")</f>
        <v/>
      </c>
      <c r="O241" s="334" t="n"/>
      <c r="P241" s="332">
        <f>IFERROR(VLOOKUP(TEXT(O241,"0"),CONDUCTORES!$A$3:$G$54,2,0),"")</f>
        <v/>
      </c>
      <c r="Q241" s="332">
        <f>IFERROR(VLOOKUP(TEXT(O241,"0"),CONDUCTORES!$A$3:$H$54,6,0),"")</f>
        <v/>
      </c>
      <c r="R241" s="334" t="n"/>
      <c r="S241" s="334" t="n"/>
      <c r="T241" s="334" t="n"/>
      <c r="U241" s="334" t="n"/>
      <c r="V241" s="334" t="n"/>
      <c r="W241" s="334" t="n"/>
      <c r="X241" s="334" t="n"/>
      <c r="Y241" s="334" t="n"/>
    </row>
    <row r="242" ht="15" customHeight="1" s="195">
      <c r="A242" s="280" t="n"/>
      <c r="B242" s="280" t="n"/>
      <c r="C242" s="280" t="n"/>
      <c r="D242" s="280" t="n"/>
      <c r="E242" s="280" t="n"/>
      <c r="F242" s="280" t="n"/>
      <c r="G242" s="280" t="n"/>
      <c r="H242" s="280" t="n"/>
      <c r="I242" s="332">
        <f>IFERROR(VLOOKUP(TEXT(H242,"0"),IPRESS!$A$3:$B$212,2,0),"")</f>
        <v/>
      </c>
      <c r="J242" s="280" t="n"/>
      <c r="K242" s="332">
        <f>IFERROR(VLOOKUP(TEXT(O242,"0"),CONDUCTORES!$A$3:$G$54,7,0),"")</f>
        <v/>
      </c>
      <c r="L242" s="280" t="n"/>
      <c r="M242" s="280" t="n"/>
      <c r="N242" s="333">
        <f>IFERROR(IF(L242*M242=0,"",L242*M242),"")</f>
        <v/>
      </c>
      <c r="O242" s="280" t="n"/>
      <c r="P242" s="332">
        <f>IFERROR(VLOOKUP(TEXT(O242,"0"),CONDUCTORES!$A$3:$G$54,2,0),"")</f>
        <v/>
      </c>
      <c r="Q242" s="332">
        <f>IFERROR(VLOOKUP(TEXT(O242,"0"),CONDUCTORES!$A$3:$H$54,6,0),"")</f>
        <v/>
      </c>
      <c r="R242" s="280" t="n"/>
      <c r="S242" s="280" t="n"/>
      <c r="T242" s="280" t="n"/>
      <c r="U242" s="280" t="n"/>
      <c r="V242" s="280" t="n"/>
      <c r="W242" s="280" t="n"/>
      <c r="X242" s="280" t="n"/>
      <c r="Y242" s="280" t="n"/>
    </row>
    <row r="243" ht="15" customHeight="1" s="195">
      <c r="A243" s="334" t="n"/>
      <c r="B243" s="334" t="n"/>
      <c r="C243" s="334" t="n"/>
      <c r="D243" s="334" t="n"/>
      <c r="E243" s="334" t="n"/>
      <c r="F243" s="334" t="n"/>
      <c r="G243" s="334" t="n"/>
      <c r="H243" s="334" t="n"/>
      <c r="I243" s="332">
        <f>IFERROR(VLOOKUP(TEXT(H243,"0"),IPRESS!$A$3:$B$212,2,0),"")</f>
        <v/>
      </c>
      <c r="J243" s="334" t="n"/>
      <c r="K243" s="332">
        <f>IFERROR(VLOOKUP(TEXT(O243,"0"),CONDUCTORES!$A$3:$G$54,7,0),"")</f>
        <v/>
      </c>
      <c r="L243" s="334" t="n"/>
      <c r="M243" s="334" t="n"/>
      <c r="N243" s="333">
        <f>IFERROR(IF(L243*M243=0,"",L243*M243),"")</f>
        <v/>
      </c>
      <c r="O243" s="334" t="n"/>
      <c r="P243" s="332">
        <f>IFERROR(VLOOKUP(TEXT(O243,"0"),CONDUCTORES!$A$3:$G$54,2,0),"")</f>
        <v/>
      </c>
      <c r="Q243" s="332">
        <f>IFERROR(VLOOKUP(TEXT(O243,"0"),CONDUCTORES!$A$3:$H$54,6,0),"")</f>
        <v/>
      </c>
      <c r="R243" s="334" t="n"/>
      <c r="S243" s="334" t="n"/>
      <c r="T243" s="334" t="n"/>
      <c r="U243" s="334" t="n"/>
      <c r="V243" s="334" t="n"/>
      <c r="W243" s="334" t="n"/>
      <c r="X243" s="334" t="n"/>
      <c r="Y243" s="334" t="n"/>
    </row>
    <row r="244" ht="15" customHeight="1" s="195">
      <c r="A244" s="280" t="n"/>
      <c r="B244" s="280" t="n"/>
      <c r="C244" s="280" t="n"/>
      <c r="D244" s="280" t="n"/>
      <c r="E244" s="280" t="n"/>
      <c r="F244" s="280" t="n"/>
      <c r="G244" s="280" t="n"/>
      <c r="H244" s="280" t="n"/>
      <c r="I244" s="332">
        <f>IFERROR(VLOOKUP(TEXT(H244,"0"),IPRESS!$A$3:$B$212,2,0),"")</f>
        <v/>
      </c>
      <c r="J244" s="280" t="n"/>
      <c r="K244" s="332">
        <f>IFERROR(VLOOKUP(TEXT(O244,"0"),CONDUCTORES!$A$3:$G$54,7,0),"")</f>
        <v/>
      </c>
      <c r="L244" s="280" t="n"/>
      <c r="M244" s="280" t="n"/>
      <c r="N244" s="333">
        <f>IFERROR(IF(L244*M244=0,"",L244*M244),"")</f>
        <v/>
      </c>
      <c r="O244" s="280" t="n"/>
      <c r="P244" s="332">
        <f>IFERROR(VLOOKUP(TEXT(O244,"0"),CONDUCTORES!$A$3:$G$54,2,0),"")</f>
        <v/>
      </c>
      <c r="Q244" s="332">
        <f>IFERROR(VLOOKUP(TEXT(O244,"0"),CONDUCTORES!$A$3:$H$54,6,0),"")</f>
        <v/>
      </c>
      <c r="R244" s="280" t="n"/>
      <c r="S244" s="280" t="n"/>
      <c r="T244" s="280" t="n"/>
      <c r="U244" s="280" t="n"/>
      <c r="V244" s="280" t="n"/>
      <c r="W244" s="280" t="n"/>
      <c r="X244" s="280" t="n"/>
      <c r="Y244" s="280" t="n"/>
    </row>
    <row r="245" ht="15" customHeight="1" s="195">
      <c r="A245" s="334" t="n"/>
      <c r="B245" s="334" t="n"/>
      <c r="C245" s="334" t="n"/>
      <c r="D245" s="334" t="n"/>
      <c r="E245" s="334" t="n"/>
      <c r="F245" s="334" t="n"/>
      <c r="G245" s="334" t="n"/>
      <c r="H245" s="334" t="n"/>
      <c r="I245" s="332">
        <f>IFERROR(VLOOKUP(TEXT(H245,"0"),IPRESS!$A$3:$B$212,2,0),"")</f>
        <v/>
      </c>
      <c r="J245" s="334" t="n"/>
      <c r="K245" s="332">
        <f>IFERROR(VLOOKUP(TEXT(O245,"0"),CONDUCTORES!$A$3:$G$54,7,0),"")</f>
        <v/>
      </c>
      <c r="L245" s="334" t="n"/>
      <c r="M245" s="334" t="n"/>
      <c r="N245" s="333">
        <f>IFERROR(IF(L245*M245=0,"",L245*M245),"")</f>
        <v/>
      </c>
      <c r="O245" s="334" t="n"/>
      <c r="P245" s="332">
        <f>IFERROR(VLOOKUP(TEXT(O245,"0"),CONDUCTORES!$A$3:$G$54,2,0),"")</f>
        <v/>
      </c>
      <c r="Q245" s="332">
        <f>IFERROR(VLOOKUP(TEXT(O245,"0"),CONDUCTORES!$A$3:$H$54,6,0),"")</f>
        <v/>
      </c>
      <c r="R245" s="334" t="n"/>
      <c r="S245" s="334" t="n"/>
      <c r="T245" s="334" t="n"/>
      <c r="U245" s="334" t="n"/>
      <c r="V245" s="334" t="n"/>
      <c r="W245" s="334" t="n"/>
      <c r="X245" s="334" t="n"/>
      <c r="Y245" s="334" t="n"/>
    </row>
    <row r="246" ht="15" customHeight="1" s="195">
      <c r="A246" s="280" t="n"/>
      <c r="B246" s="280" t="n"/>
      <c r="C246" s="280" t="n"/>
      <c r="D246" s="280" t="n"/>
      <c r="E246" s="280" t="n"/>
      <c r="F246" s="280" t="n"/>
      <c r="G246" s="280" t="n"/>
      <c r="H246" s="280" t="n"/>
      <c r="I246" s="332">
        <f>IFERROR(VLOOKUP(TEXT(H246,"0"),IPRESS!$A$3:$B$212,2,0),"")</f>
        <v/>
      </c>
      <c r="J246" s="280" t="n"/>
      <c r="K246" s="332">
        <f>IFERROR(VLOOKUP(TEXT(O246,"0"),CONDUCTORES!$A$3:$G$54,7,0),"")</f>
        <v/>
      </c>
      <c r="L246" s="280" t="n"/>
      <c r="M246" s="280" t="n"/>
      <c r="N246" s="333">
        <f>IFERROR(IF(L246*M246=0,"",L246*M246),"")</f>
        <v/>
      </c>
      <c r="O246" s="280" t="n"/>
      <c r="P246" s="332">
        <f>IFERROR(VLOOKUP(TEXT(O246,"0"),CONDUCTORES!$A$3:$G$54,2,0),"")</f>
        <v/>
      </c>
      <c r="Q246" s="332">
        <f>IFERROR(VLOOKUP(TEXT(O246,"0"),CONDUCTORES!$A$3:$H$54,6,0),"")</f>
        <v/>
      </c>
      <c r="R246" s="280" t="n"/>
      <c r="S246" s="280" t="n"/>
      <c r="T246" s="280" t="n"/>
      <c r="U246" s="280" t="n"/>
      <c r="V246" s="280" t="n"/>
      <c r="W246" s="280" t="n"/>
      <c r="X246" s="280" t="n"/>
      <c r="Y246" s="280" t="n"/>
    </row>
    <row r="247" ht="15" customHeight="1" s="195">
      <c r="A247" s="334" t="n"/>
      <c r="B247" s="334" t="n"/>
      <c r="C247" s="334" t="n"/>
      <c r="D247" s="334" t="n"/>
      <c r="E247" s="334" t="n"/>
      <c r="F247" s="334" t="n"/>
      <c r="G247" s="334" t="n"/>
      <c r="H247" s="334" t="n"/>
      <c r="I247" s="332">
        <f>IFERROR(VLOOKUP(TEXT(H247,"0"),IPRESS!$A$3:$B$212,2,0),"")</f>
        <v/>
      </c>
      <c r="J247" s="334" t="n"/>
      <c r="K247" s="332">
        <f>IFERROR(VLOOKUP(TEXT(O247,"0"),CONDUCTORES!$A$3:$G$54,7,0),"")</f>
        <v/>
      </c>
      <c r="L247" s="334" t="n"/>
      <c r="M247" s="334" t="n"/>
      <c r="N247" s="333">
        <f>IFERROR(IF(L247*M247=0,"",L247*M247),"")</f>
        <v/>
      </c>
      <c r="O247" s="334" t="n"/>
      <c r="P247" s="332">
        <f>IFERROR(VLOOKUP(TEXT(O247,"0"),CONDUCTORES!$A$3:$G$54,2,0),"")</f>
        <v/>
      </c>
      <c r="Q247" s="332">
        <f>IFERROR(VLOOKUP(TEXT(O247,"0"),CONDUCTORES!$A$3:$H$54,6,0),"")</f>
        <v/>
      </c>
      <c r="R247" s="334" t="n"/>
      <c r="S247" s="334" t="n"/>
      <c r="T247" s="334" t="n"/>
      <c r="U247" s="334" t="n"/>
      <c r="V247" s="334" t="n"/>
      <c r="W247" s="334" t="n"/>
      <c r="X247" s="334" t="n"/>
      <c r="Y247" s="334" t="n"/>
    </row>
    <row r="248" ht="15" customHeight="1" s="195">
      <c r="A248" s="280" t="n"/>
      <c r="B248" s="280" t="n"/>
      <c r="C248" s="280" t="n"/>
      <c r="D248" s="280" t="n"/>
      <c r="E248" s="280" t="n"/>
      <c r="F248" s="280" t="n"/>
      <c r="G248" s="280" t="n"/>
      <c r="H248" s="280" t="n"/>
      <c r="I248" s="332">
        <f>IFERROR(VLOOKUP(TEXT(H248,"0"),IPRESS!$A$3:$B$212,2,0),"")</f>
        <v/>
      </c>
      <c r="J248" s="280" t="n"/>
      <c r="K248" s="332">
        <f>IFERROR(VLOOKUP(TEXT(O248,"0"),CONDUCTORES!$A$3:$G$54,7,0),"")</f>
        <v/>
      </c>
      <c r="L248" s="280" t="n"/>
      <c r="M248" s="280" t="n"/>
      <c r="N248" s="333">
        <f>IFERROR(IF(L248*M248=0,"",L248*M248),"")</f>
        <v/>
      </c>
      <c r="O248" s="280" t="n"/>
      <c r="P248" s="332">
        <f>IFERROR(VLOOKUP(TEXT(O248,"0"),CONDUCTORES!$A$3:$G$54,2,0),"")</f>
        <v/>
      </c>
      <c r="Q248" s="332">
        <f>IFERROR(VLOOKUP(TEXT(O248,"0"),CONDUCTORES!$A$3:$H$54,6,0),"")</f>
        <v/>
      </c>
      <c r="R248" s="280" t="n"/>
      <c r="S248" s="280" t="n"/>
      <c r="T248" s="280" t="n"/>
      <c r="U248" s="280" t="n"/>
      <c r="V248" s="280" t="n"/>
      <c r="W248" s="280" t="n"/>
      <c r="X248" s="280" t="n"/>
      <c r="Y248" s="280" t="n"/>
    </row>
    <row r="249" ht="15" customHeight="1" s="195">
      <c r="A249" s="334" t="n"/>
      <c r="B249" s="334" t="n"/>
      <c r="C249" s="334" t="n"/>
      <c r="D249" s="334" t="n"/>
      <c r="E249" s="334" t="n"/>
      <c r="F249" s="334" t="n"/>
      <c r="G249" s="334" t="n"/>
      <c r="H249" s="334" t="n"/>
      <c r="I249" s="332">
        <f>IFERROR(VLOOKUP(TEXT(H249,"0"),IPRESS!$A$3:$B$212,2,0),"")</f>
        <v/>
      </c>
      <c r="J249" s="334" t="n"/>
      <c r="K249" s="332">
        <f>IFERROR(VLOOKUP(TEXT(O249,"0"),CONDUCTORES!$A$3:$G$54,7,0),"")</f>
        <v/>
      </c>
      <c r="L249" s="334" t="n"/>
      <c r="M249" s="334" t="n"/>
      <c r="N249" s="333">
        <f>IFERROR(IF(L249*M249=0,"",L249*M249),"")</f>
        <v/>
      </c>
      <c r="O249" s="334" t="n"/>
      <c r="P249" s="332">
        <f>IFERROR(VLOOKUP(TEXT(O249,"0"),CONDUCTORES!$A$3:$G$54,2,0),"")</f>
        <v/>
      </c>
      <c r="Q249" s="332">
        <f>IFERROR(VLOOKUP(TEXT(O249,"0"),CONDUCTORES!$A$3:$H$54,6,0),"")</f>
        <v/>
      </c>
      <c r="R249" s="334" t="n"/>
      <c r="S249" s="334" t="n"/>
      <c r="T249" s="334" t="n"/>
      <c r="U249" s="334" t="n"/>
      <c r="V249" s="334" t="n"/>
      <c r="W249" s="334" t="n"/>
      <c r="X249" s="334" t="n"/>
      <c r="Y249" s="334" t="n"/>
    </row>
    <row r="250" ht="15" customHeight="1" s="195">
      <c r="A250" s="280" t="n"/>
      <c r="B250" s="280" t="n"/>
      <c r="C250" s="280" t="n"/>
      <c r="D250" s="280" t="n"/>
      <c r="E250" s="280" t="n"/>
      <c r="F250" s="280" t="n"/>
      <c r="G250" s="280" t="n"/>
      <c r="H250" s="280" t="n"/>
      <c r="I250" s="332">
        <f>IFERROR(VLOOKUP(TEXT(H250,"0"),IPRESS!$A$3:$B$212,2,0),"")</f>
        <v/>
      </c>
      <c r="J250" s="280" t="n"/>
      <c r="K250" s="332">
        <f>IFERROR(VLOOKUP(TEXT(O250,"0"),CONDUCTORES!$A$3:$G$54,7,0),"")</f>
        <v/>
      </c>
      <c r="L250" s="280" t="n"/>
      <c r="M250" s="280" t="n"/>
      <c r="N250" s="333">
        <f>IFERROR(IF(L250*M250=0,"",L250*M250),"")</f>
        <v/>
      </c>
      <c r="O250" s="280" t="n"/>
      <c r="P250" s="332">
        <f>IFERROR(VLOOKUP(TEXT(O250,"0"),CONDUCTORES!$A$3:$G$54,2,0),"")</f>
        <v/>
      </c>
      <c r="Q250" s="332">
        <f>IFERROR(VLOOKUP(TEXT(O250,"0"),CONDUCTORES!$A$3:$H$54,6,0),"")</f>
        <v/>
      </c>
      <c r="R250" s="280" t="n"/>
      <c r="S250" s="280" t="n"/>
      <c r="T250" s="280" t="n"/>
      <c r="U250" s="280" t="n"/>
      <c r="V250" s="280" t="n"/>
      <c r="W250" s="280" t="n"/>
      <c r="X250" s="280" t="n"/>
      <c r="Y250" s="280" t="n"/>
    </row>
    <row r="251" ht="15" customHeight="1" s="195">
      <c r="A251" s="334" t="n"/>
      <c r="B251" s="334" t="n"/>
      <c r="C251" s="334" t="n"/>
      <c r="D251" s="334" t="n"/>
      <c r="E251" s="334" t="n"/>
      <c r="F251" s="334" t="n"/>
      <c r="G251" s="334" t="n"/>
      <c r="H251" s="334" t="n"/>
      <c r="I251" s="332">
        <f>IFERROR(VLOOKUP(TEXT(H251,"0"),IPRESS!$A$3:$B$212,2,0),"")</f>
        <v/>
      </c>
      <c r="J251" s="334" t="n"/>
      <c r="K251" s="332">
        <f>IFERROR(VLOOKUP(TEXT(O251,"0"),CONDUCTORES!$A$3:$G$54,7,0),"")</f>
        <v/>
      </c>
      <c r="L251" s="334" t="n"/>
      <c r="M251" s="334" t="n"/>
      <c r="N251" s="333">
        <f>IFERROR(IF(L251*M251=0,"",L251*M251),"")</f>
        <v/>
      </c>
      <c r="O251" s="334" t="n"/>
      <c r="P251" s="332">
        <f>IFERROR(VLOOKUP(TEXT(O251,"0"),CONDUCTORES!$A$3:$G$54,2,0),"")</f>
        <v/>
      </c>
      <c r="Q251" s="332">
        <f>IFERROR(VLOOKUP(TEXT(O251,"0"),CONDUCTORES!$A$3:$H$54,6,0),"")</f>
        <v/>
      </c>
      <c r="R251" s="334" t="n"/>
      <c r="S251" s="334" t="n"/>
      <c r="T251" s="334" t="n"/>
      <c r="U251" s="334" t="n"/>
      <c r="V251" s="334" t="n"/>
      <c r="W251" s="334" t="n"/>
      <c r="X251" s="334" t="n"/>
      <c r="Y251" s="334" t="n"/>
    </row>
    <row r="252" ht="15" customHeight="1" s="195">
      <c r="A252" s="280" t="n"/>
      <c r="B252" s="280" t="n"/>
      <c r="C252" s="280" t="n"/>
      <c r="D252" s="280" t="n"/>
      <c r="E252" s="280" t="n"/>
      <c r="F252" s="280" t="n"/>
      <c r="G252" s="280" t="n"/>
      <c r="H252" s="280" t="n"/>
      <c r="I252" s="332">
        <f>IFERROR(VLOOKUP(TEXT(H252,"0"),IPRESS!$A$3:$B$212,2,0),"")</f>
        <v/>
      </c>
      <c r="J252" s="280" t="n"/>
      <c r="K252" s="332">
        <f>IFERROR(VLOOKUP(TEXT(O252,"0"),CONDUCTORES!$A$3:$G$54,7,0),"")</f>
        <v/>
      </c>
      <c r="L252" s="280" t="n"/>
      <c r="M252" s="280" t="n"/>
      <c r="N252" s="333">
        <f>IFERROR(IF(L252*M252=0,"",L252*M252),"")</f>
        <v/>
      </c>
      <c r="O252" s="280" t="n"/>
      <c r="P252" s="332">
        <f>IFERROR(VLOOKUP(TEXT(O252,"0"),CONDUCTORES!$A$3:$G$54,2,0),"")</f>
        <v/>
      </c>
      <c r="Q252" s="332">
        <f>IFERROR(VLOOKUP(TEXT(O252,"0"),CONDUCTORES!$A$3:$H$54,6,0),"")</f>
        <v/>
      </c>
      <c r="R252" s="280" t="n"/>
      <c r="S252" s="280" t="n"/>
      <c r="T252" s="280" t="n"/>
      <c r="U252" s="280" t="n"/>
      <c r="V252" s="280" t="n"/>
      <c r="W252" s="280" t="n"/>
      <c r="X252" s="280" t="n"/>
      <c r="Y252" s="280" t="n"/>
    </row>
    <row r="253" ht="15" customHeight="1" s="195">
      <c r="A253" s="334" t="n"/>
      <c r="B253" s="334" t="n"/>
      <c r="C253" s="334" t="n"/>
      <c r="D253" s="334" t="n"/>
      <c r="E253" s="334" t="n"/>
      <c r="F253" s="334" t="n"/>
      <c r="G253" s="334" t="n"/>
      <c r="H253" s="334" t="n"/>
      <c r="I253" s="332">
        <f>IFERROR(VLOOKUP(TEXT(H253,"0"),IPRESS!$A$3:$B$212,2,0),"")</f>
        <v/>
      </c>
      <c r="J253" s="334" t="n"/>
      <c r="K253" s="332">
        <f>IFERROR(VLOOKUP(TEXT(O253,"0"),CONDUCTORES!$A$3:$G$54,7,0),"")</f>
        <v/>
      </c>
      <c r="L253" s="334" t="n"/>
      <c r="M253" s="334" t="n"/>
      <c r="N253" s="333">
        <f>IFERROR(IF(L253*M253=0,"",L253*M253),"")</f>
        <v/>
      </c>
      <c r="O253" s="334" t="n"/>
      <c r="P253" s="332">
        <f>IFERROR(VLOOKUP(TEXT(O253,"0"),CONDUCTORES!$A$3:$G$54,2,0),"")</f>
        <v/>
      </c>
      <c r="Q253" s="332">
        <f>IFERROR(VLOOKUP(TEXT(O253,"0"),CONDUCTORES!$A$3:$H$54,6,0),"")</f>
        <v/>
      </c>
      <c r="R253" s="334" t="n"/>
      <c r="S253" s="334" t="n"/>
      <c r="T253" s="334" t="n"/>
      <c r="U253" s="334" t="n"/>
      <c r="V253" s="334" t="n"/>
      <c r="W253" s="334" t="n"/>
      <c r="X253" s="334" t="n"/>
      <c r="Y253" s="334" t="n"/>
    </row>
    <row r="254" ht="15" customHeight="1" s="195">
      <c r="A254" s="280" t="n"/>
      <c r="B254" s="280" t="n"/>
      <c r="C254" s="280" t="n"/>
      <c r="D254" s="280" t="n"/>
      <c r="E254" s="280" t="n"/>
      <c r="F254" s="280" t="n"/>
      <c r="G254" s="280" t="n"/>
      <c r="H254" s="280" t="n"/>
      <c r="I254" s="332">
        <f>IFERROR(VLOOKUP(TEXT(H254,"0"),IPRESS!$A$3:$B$212,2,0),"")</f>
        <v/>
      </c>
      <c r="J254" s="280" t="n"/>
      <c r="K254" s="332">
        <f>IFERROR(VLOOKUP(TEXT(O254,"0"),CONDUCTORES!$A$3:$G$54,7,0),"")</f>
        <v/>
      </c>
      <c r="L254" s="280" t="n"/>
      <c r="M254" s="280" t="n"/>
      <c r="N254" s="333">
        <f>IFERROR(IF(L254*M254=0,"",L254*M254),"")</f>
        <v/>
      </c>
      <c r="O254" s="280" t="n"/>
      <c r="P254" s="332">
        <f>IFERROR(VLOOKUP(TEXT(O254,"0"),CONDUCTORES!$A$3:$G$54,2,0),"")</f>
        <v/>
      </c>
      <c r="Q254" s="332">
        <f>IFERROR(VLOOKUP(TEXT(O254,"0"),CONDUCTORES!$A$3:$H$54,6,0),"")</f>
        <v/>
      </c>
      <c r="R254" s="280" t="n"/>
      <c r="S254" s="280" t="n"/>
      <c r="T254" s="280" t="n"/>
      <c r="U254" s="280" t="n"/>
      <c r="V254" s="280" t="n"/>
      <c r="W254" s="280" t="n"/>
      <c r="X254" s="280" t="n"/>
      <c r="Y254" s="280" t="n"/>
    </row>
    <row r="255" ht="15" customHeight="1" s="195">
      <c r="A255" s="334" t="n"/>
      <c r="B255" s="334" t="n"/>
      <c r="C255" s="334" t="n"/>
      <c r="D255" s="334" t="n"/>
      <c r="E255" s="334" t="n"/>
      <c r="F255" s="334" t="n"/>
      <c r="G255" s="334" t="n"/>
      <c r="H255" s="334" t="n"/>
      <c r="I255" s="332">
        <f>IFERROR(VLOOKUP(TEXT(H255,"0"),IPRESS!$A$3:$B$212,2,0),"")</f>
        <v/>
      </c>
      <c r="J255" s="334" t="n"/>
      <c r="K255" s="332">
        <f>IFERROR(VLOOKUP(TEXT(O255,"0"),CONDUCTORES!$A$3:$G$54,7,0),"")</f>
        <v/>
      </c>
      <c r="L255" s="334" t="n"/>
      <c r="M255" s="334" t="n"/>
      <c r="N255" s="333">
        <f>IFERROR(IF(L255*M255=0,"",L255*M255),"")</f>
        <v/>
      </c>
      <c r="O255" s="334" t="n"/>
      <c r="P255" s="332">
        <f>IFERROR(VLOOKUP(TEXT(O255,"0"),CONDUCTORES!$A$3:$G$54,2,0),"")</f>
        <v/>
      </c>
      <c r="Q255" s="332">
        <f>IFERROR(VLOOKUP(TEXT(O255,"0"),CONDUCTORES!$A$3:$H$54,6,0),"")</f>
        <v/>
      </c>
      <c r="R255" s="334" t="n"/>
      <c r="S255" s="334" t="n"/>
      <c r="T255" s="334" t="n"/>
      <c r="U255" s="334" t="n"/>
      <c r="V255" s="334" t="n"/>
      <c r="W255" s="334" t="n"/>
      <c r="X255" s="334" t="n"/>
      <c r="Y255" s="334" t="n"/>
    </row>
    <row r="256" ht="15" customHeight="1" s="195">
      <c r="A256" s="280" t="n"/>
      <c r="B256" s="280" t="n"/>
      <c r="C256" s="280" t="n"/>
      <c r="D256" s="280" t="n"/>
      <c r="E256" s="280" t="n"/>
      <c r="F256" s="280" t="n"/>
      <c r="G256" s="280" t="n"/>
      <c r="H256" s="280" t="n"/>
      <c r="I256" s="332">
        <f>IFERROR(VLOOKUP(TEXT(H256,"0"),IPRESS!$A$3:$B$212,2,0),"")</f>
        <v/>
      </c>
      <c r="J256" s="280" t="n"/>
      <c r="K256" s="332">
        <f>IFERROR(VLOOKUP(TEXT(O256,"0"),CONDUCTORES!$A$3:$G$54,7,0),"")</f>
        <v/>
      </c>
      <c r="L256" s="280" t="n"/>
      <c r="M256" s="280" t="n"/>
      <c r="N256" s="333">
        <f>IFERROR(IF(L256*M256=0,"",L256*M256),"")</f>
        <v/>
      </c>
      <c r="O256" s="280" t="n"/>
      <c r="P256" s="332">
        <f>IFERROR(VLOOKUP(TEXT(O256,"0"),CONDUCTORES!$A$3:$G$54,2,0),"")</f>
        <v/>
      </c>
      <c r="Q256" s="332">
        <f>IFERROR(VLOOKUP(TEXT(O256,"0"),CONDUCTORES!$A$3:$H$54,6,0),"")</f>
        <v/>
      </c>
      <c r="R256" s="280" t="n"/>
      <c r="S256" s="280" t="n"/>
      <c r="T256" s="280" t="n"/>
      <c r="U256" s="280" t="n"/>
      <c r="V256" s="280" t="n"/>
      <c r="W256" s="280" t="n"/>
      <c r="X256" s="280" t="n"/>
      <c r="Y256" s="280" t="n"/>
    </row>
    <row r="257" ht="15" customHeight="1" s="195">
      <c r="A257" s="334" t="n"/>
      <c r="B257" s="334" t="n"/>
      <c r="C257" s="334" t="n"/>
      <c r="D257" s="334" t="n"/>
      <c r="E257" s="334" t="n"/>
      <c r="F257" s="334" t="n"/>
      <c r="G257" s="334" t="n"/>
      <c r="H257" s="334" t="n"/>
      <c r="I257" s="332">
        <f>IFERROR(VLOOKUP(TEXT(H257,"0"),IPRESS!$A$3:$B$212,2,0),"")</f>
        <v/>
      </c>
      <c r="J257" s="334" t="n"/>
      <c r="K257" s="332">
        <f>IFERROR(VLOOKUP(TEXT(O257,"0"),CONDUCTORES!$A$3:$G$54,7,0),"")</f>
        <v/>
      </c>
      <c r="L257" s="334" t="n"/>
      <c r="M257" s="334" t="n"/>
      <c r="N257" s="333">
        <f>IFERROR(IF(L257*M257=0,"",L257*M257),"")</f>
        <v/>
      </c>
      <c r="O257" s="334" t="n"/>
      <c r="P257" s="332">
        <f>IFERROR(VLOOKUP(TEXT(O257,"0"),CONDUCTORES!$A$3:$G$54,2,0),"")</f>
        <v/>
      </c>
      <c r="Q257" s="332">
        <f>IFERROR(VLOOKUP(TEXT(O257,"0"),CONDUCTORES!$A$3:$H$54,6,0),"")</f>
        <v/>
      </c>
      <c r="R257" s="334" t="n"/>
      <c r="S257" s="334" t="n"/>
      <c r="T257" s="334" t="n"/>
      <c r="U257" s="334" t="n"/>
      <c r="V257" s="334" t="n"/>
      <c r="W257" s="334" t="n"/>
      <c r="X257" s="334" t="n"/>
      <c r="Y257" s="334" t="n"/>
    </row>
    <row r="258" ht="15" customHeight="1" s="195">
      <c r="A258" s="280" t="n"/>
      <c r="B258" s="280" t="n"/>
      <c r="C258" s="280" t="n"/>
      <c r="D258" s="280" t="n"/>
      <c r="E258" s="280" t="n"/>
      <c r="F258" s="280" t="n"/>
      <c r="G258" s="280" t="n"/>
      <c r="H258" s="280" t="n"/>
      <c r="I258" s="332">
        <f>IFERROR(VLOOKUP(TEXT(H258,"0"),IPRESS!$A$3:$B$212,2,0),"")</f>
        <v/>
      </c>
      <c r="J258" s="280" t="n"/>
      <c r="K258" s="332">
        <f>IFERROR(VLOOKUP(TEXT(O258,"0"),CONDUCTORES!$A$3:$G$54,7,0),"")</f>
        <v/>
      </c>
      <c r="L258" s="280" t="n"/>
      <c r="M258" s="280" t="n"/>
      <c r="N258" s="333">
        <f>IFERROR(IF(L258*M258=0,"",L258*M258),"")</f>
        <v/>
      </c>
      <c r="O258" s="280" t="n"/>
      <c r="P258" s="332">
        <f>IFERROR(VLOOKUP(TEXT(O258,"0"),CONDUCTORES!$A$3:$G$54,2,0),"")</f>
        <v/>
      </c>
      <c r="Q258" s="332">
        <f>IFERROR(VLOOKUP(TEXT(O258,"0"),CONDUCTORES!$A$3:$H$54,6,0),"")</f>
        <v/>
      </c>
      <c r="R258" s="280" t="n"/>
      <c r="S258" s="280" t="n"/>
      <c r="T258" s="280" t="n"/>
      <c r="U258" s="280" t="n"/>
      <c r="V258" s="280" t="n"/>
      <c r="W258" s="280" t="n"/>
      <c r="X258" s="280" t="n"/>
      <c r="Y258" s="280" t="n"/>
    </row>
    <row r="259" ht="15" customHeight="1" s="195">
      <c r="A259" s="334" t="n"/>
      <c r="B259" s="334" t="n"/>
      <c r="C259" s="334" t="n"/>
      <c r="D259" s="334" t="n"/>
      <c r="E259" s="334" t="n"/>
      <c r="F259" s="334" t="n"/>
      <c r="G259" s="334" t="n"/>
      <c r="H259" s="334" t="n"/>
      <c r="I259" s="332">
        <f>IFERROR(VLOOKUP(TEXT(H259,"0"),IPRESS!$A$3:$B$212,2,0),"")</f>
        <v/>
      </c>
      <c r="J259" s="334" t="n"/>
      <c r="K259" s="332">
        <f>IFERROR(VLOOKUP(TEXT(O259,"0"),CONDUCTORES!$A$3:$G$54,7,0),"")</f>
        <v/>
      </c>
      <c r="L259" s="334" t="n"/>
      <c r="M259" s="334" t="n"/>
      <c r="N259" s="333">
        <f>IFERROR(IF(L259*M259=0,"",L259*M259),"")</f>
        <v/>
      </c>
      <c r="O259" s="334" t="n"/>
      <c r="P259" s="332">
        <f>IFERROR(VLOOKUP(TEXT(O259,"0"),CONDUCTORES!$A$3:$G$54,2,0),"")</f>
        <v/>
      </c>
      <c r="Q259" s="332">
        <f>IFERROR(VLOOKUP(TEXT(O259,"0"),CONDUCTORES!$A$3:$H$54,6,0),"")</f>
        <v/>
      </c>
      <c r="R259" s="334" t="n"/>
      <c r="S259" s="334" t="n"/>
      <c r="T259" s="334" t="n"/>
      <c r="U259" s="334" t="n"/>
      <c r="V259" s="334" t="n"/>
      <c r="W259" s="334" t="n"/>
      <c r="X259" s="334" t="n"/>
      <c r="Y259" s="334" t="n"/>
    </row>
    <row r="260" ht="15" customHeight="1" s="195">
      <c r="A260" s="280" t="n"/>
      <c r="B260" s="280" t="n"/>
      <c r="C260" s="280" t="n"/>
      <c r="D260" s="280" t="n"/>
      <c r="E260" s="280" t="n"/>
      <c r="F260" s="280" t="n"/>
      <c r="G260" s="280" t="n"/>
      <c r="H260" s="280" t="n"/>
      <c r="I260" s="332">
        <f>IFERROR(VLOOKUP(TEXT(H260,"0"),IPRESS!$A$3:$B$212,2,0),"")</f>
        <v/>
      </c>
      <c r="J260" s="280" t="n"/>
      <c r="K260" s="332">
        <f>IFERROR(VLOOKUP(TEXT(O260,"0"),CONDUCTORES!$A$3:$G$54,7,0),"")</f>
        <v/>
      </c>
      <c r="L260" s="280" t="n"/>
      <c r="M260" s="280" t="n"/>
      <c r="N260" s="333">
        <f>IFERROR(IF(L260*M260=0,"",L260*M260),"")</f>
        <v/>
      </c>
      <c r="O260" s="280" t="n"/>
      <c r="P260" s="332">
        <f>IFERROR(VLOOKUP(TEXT(O260,"0"),CONDUCTORES!$A$3:$G$54,2,0),"")</f>
        <v/>
      </c>
      <c r="Q260" s="332">
        <f>IFERROR(VLOOKUP(TEXT(O260,"0"),CONDUCTORES!$A$3:$H$54,6,0),"")</f>
        <v/>
      </c>
      <c r="R260" s="280" t="n"/>
      <c r="S260" s="280" t="n"/>
      <c r="T260" s="280" t="n"/>
      <c r="U260" s="280" t="n"/>
      <c r="V260" s="280" t="n"/>
      <c r="W260" s="280" t="n"/>
      <c r="X260" s="280" t="n"/>
      <c r="Y260" s="280" t="n"/>
    </row>
    <row r="261" ht="15" customHeight="1" s="195">
      <c r="A261" s="334" t="n"/>
      <c r="B261" s="334" t="n"/>
      <c r="C261" s="334" t="n"/>
      <c r="D261" s="334" t="n"/>
      <c r="E261" s="334" t="n"/>
      <c r="F261" s="334" t="n"/>
      <c r="G261" s="334" t="n"/>
      <c r="H261" s="334" t="n"/>
      <c r="I261" s="332">
        <f>IFERROR(VLOOKUP(TEXT(H261,"0"),IPRESS!$A$3:$B$212,2,0),"")</f>
        <v/>
      </c>
      <c r="J261" s="334" t="n"/>
      <c r="K261" s="332">
        <f>IFERROR(VLOOKUP(TEXT(O261,"0"),CONDUCTORES!$A$3:$G$54,7,0),"")</f>
        <v/>
      </c>
      <c r="L261" s="334" t="n"/>
      <c r="M261" s="334" t="n"/>
      <c r="N261" s="333">
        <f>IFERROR(IF(L261*M261=0,"",L261*M261),"")</f>
        <v/>
      </c>
      <c r="O261" s="334" t="n"/>
      <c r="P261" s="332">
        <f>IFERROR(VLOOKUP(TEXT(O261,"0"),CONDUCTORES!$A$3:$G$54,2,0),"")</f>
        <v/>
      </c>
      <c r="Q261" s="332">
        <f>IFERROR(VLOOKUP(TEXT(O261,"0"),CONDUCTORES!$A$3:$H$54,6,0),"")</f>
        <v/>
      </c>
      <c r="R261" s="334" t="n"/>
      <c r="S261" s="334" t="n"/>
      <c r="T261" s="334" t="n"/>
      <c r="U261" s="334" t="n"/>
      <c r="V261" s="334" t="n"/>
      <c r="W261" s="334" t="n"/>
      <c r="X261" s="334" t="n"/>
      <c r="Y261" s="334" t="n"/>
    </row>
    <row r="262" ht="15" customHeight="1" s="195">
      <c r="A262" s="280" t="n"/>
      <c r="B262" s="280" t="n"/>
      <c r="C262" s="280" t="n"/>
      <c r="D262" s="280" t="n"/>
      <c r="E262" s="280" t="n"/>
      <c r="F262" s="280" t="n"/>
      <c r="G262" s="280" t="n"/>
      <c r="H262" s="280" t="n"/>
      <c r="I262" s="332">
        <f>IFERROR(VLOOKUP(TEXT(H262,"0"),IPRESS!$A$3:$B$212,2,0),"")</f>
        <v/>
      </c>
      <c r="J262" s="280" t="n"/>
      <c r="K262" s="332">
        <f>IFERROR(VLOOKUP(TEXT(O262,"0"),CONDUCTORES!$A$3:$G$54,7,0),"")</f>
        <v/>
      </c>
      <c r="L262" s="280" t="n"/>
      <c r="M262" s="280" t="n"/>
      <c r="N262" s="333">
        <f>IFERROR(IF(L262*M262=0,"",L262*M262),"")</f>
        <v/>
      </c>
      <c r="O262" s="280" t="n"/>
      <c r="P262" s="332">
        <f>IFERROR(VLOOKUP(TEXT(O262,"0"),CONDUCTORES!$A$3:$G$54,2,0),"")</f>
        <v/>
      </c>
      <c r="Q262" s="332">
        <f>IFERROR(VLOOKUP(TEXT(O262,"0"),CONDUCTORES!$A$3:$H$54,6,0),"")</f>
        <v/>
      </c>
      <c r="R262" s="280" t="n"/>
      <c r="S262" s="280" t="n"/>
      <c r="T262" s="280" t="n"/>
      <c r="U262" s="280" t="n"/>
      <c r="V262" s="280" t="n"/>
      <c r="W262" s="280" t="n"/>
      <c r="X262" s="280" t="n"/>
      <c r="Y262" s="280" t="n"/>
    </row>
    <row r="263" ht="15" customHeight="1" s="195">
      <c r="A263" s="334" t="n"/>
      <c r="B263" s="334" t="n"/>
      <c r="C263" s="334" t="n"/>
      <c r="D263" s="334" t="n"/>
      <c r="E263" s="334" t="n"/>
      <c r="F263" s="334" t="n"/>
      <c r="G263" s="334" t="n"/>
      <c r="H263" s="334" t="n"/>
      <c r="I263" s="332">
        <f>IFERROR(VLOOKUP(TEXT(H263,"0"),IPRESS!$A$3:$B$212,2,0),"")</f>
        <v/>
      </c>
      <c r="J263" s="334" t="n"/>
      <c r="K263" s="332">
        <f>IFERROR(VLOOKUP(TEXT(O263,"0"),CONDUCTORES!$A$3:$G$54,7,0),"")</f>
        <v/>
      </c>
      <c r="L263" s="334" t="n"/>
      <c r="M263" s="334" t="n"/>
      <c r="N263" s="333">
        <f>IFERROR(IF(L263*M263=0,"",L263*M263),"")</f>
        <v/>
      </c>
      <c r="O263" s="334" t="n"/>
      <c r="P263" s="332">
        <f>IFERROR(VLOOKUP(TEXT(O263,"0"),CONDUCTORES!$A$3:$G$54,2,0),"")</f>
        <v/>
      </c>
      <c r="Q263" s="332">
        <f>IFERROR(VLOOKUP(TEXT(O263,"0"),CONDUCTORES!$A$3:$H$54,6,0),"")</f>
        <v/>
      </c>
      <c r="R263" s="334" t="n"/>
      <c r="S263" s="334" t="n"/>
      <c r="T263" s="334" t="n"/>
      <c r="U263" s="334" t="n"/>
      <c r="V263" s="334" t="n"/>
      <c r="W263" s="334" t="n"/>
      <c r="X263" s="334" t="n"/>
      <c r="Y263" s="334" t="n"/>
    </row>
    <row r="264" ht="15" customHeight="1" s="195">
      <c r="A264" s="280" t="n"/>
      <c r="B264" s="280" t="n"/>
      <c r="C264" s="280" t="n"/>
      <c r="D264" s="280" t="n"/>
      <c r="E264" s="280" t="n"/>
      <c r="F264" s="280" t="n"/>
      <c r="G264" s="280" t="n"/>
      <c r="H264" s="280" t="n"/>
      <c r="I264" s="332">
        <f>IFERROR(VLOOKUP(TEXT(H264,"0"),IPRESS!$A$3:$B$212,2,0),"")</f>
        <v/>
      </c>
      <c r="J264" s="280" t="n"/>
      <c r="K264" s="332">
        <f>IFERROR(VLOOKUP(TEXT(O264,"0"),CONDUCTORES!$A$3:$G$54,7,0),"")</f>
        <v/>
      </c>
      <c r="L264" s="280" t="n"/>
      <c r="M264" s="280" t="n"/>
      <c r="N264" s="333">
        <f>IFERROR(IF(L264*M264=0,"",L264*M264),"")</f>
        <v/>
      </c>
      <c r="O264" s="280" t="n"/>
      <c r="P264" s="332">
        <f>IFERROR(VLOOKUP(TEXT(O264,"0"),CONDUCTORES!$A$3:$G$54,2,0),"")</f>
        <v/>
      </c>
      <c r="Q264" s="332">
        <f>IFERROR(VLOOKUP(TEXT(O264,"0"),CONDUCTORES!$A$3:$H$54,6,0),"")</f>
        <v/>
      </c>
      <c r="R264" s="280" t="n"/>
      <c r="S264" s="280" t="n"/>
      <c r="T264" s="280" t="n"/>
      <c r="U264" s="280" t="n"/>
      <c r="V264" s="280" t="n"/>
      <c r="W264" s="280" t="n"/>
      <c r="X264" s="280" t="n"/>
      <c r="Y264" s="280" t="n"/>
    </row>
    <row r="265" ht="15" customHeight="1" s="195">
      <c r="A265" s="334" t="n"/>
      <c r="B265" s="334" t="n"/>
      <c r="C265" s="334" t="n"/>
      <c r="D265" s="334" t="n"/>
      <c r="E265" s="334" t="n"/>
      <c r="F265" s="334" t="n"/>
      <c r="G265" s="334" t="n"/>
      <c r="H265" s="334" t="n"/>
      <c r="I265" s="332">
        <f>IFERROR(VLOOKUP(TEXT(H265,"0"),IPRESS!$A$3:$B$212,2,0),"")</f>
        <v/>
      </c>
      <c r="J265" s="334" t="n"/>
      <c r="K265" s="332">
        <f>IFERROR(VLOOKUP(TEXT(O265,"0"),CONDUCTORES!$A$3:$G$54,7,0),"")</f>
        <v/>
      </c>
      <c r="L265" s="334" t="n"/>
      <c r="M265" s="334" t="n"/>
      <c r="N265" s="333">
        <f>IFERROR(IF(L265*M265=0,"",L265*M265),"")</f>
        <v/>
      </c>
      <c r="O265" s="334" t="n"/>
      <c r="P265" s="332">
        <f>IFERROR(VLOOKUP(TEXT(O265,"0"),CONDUCTORES!$A$3:$G$54,2,0),"")</f>
        <v/>
      </c>
      <c r="Q265" s="332">
        <f>IFERROR(VLOOKUP(TEXT(O265,"0"),CONDUCTORES!$A$3:$H$54,6,0),"")</f>
        <v/>
      </c>
      <c r="R265" s="334" t="n"/>
      <c r="S265" s="334" t="n"/>
      <c r="T265" s="334" t="n"/>
      <c r="U265" s="334" t="n"/>
      <c r="V265" s="334" t="n"/>
      <c r="W265" s="334" t="n"/>
      <c r="X265" s="334" t="n"/>
      <c r="Y265" s="334" t="n"/>
    </row>
    <row r="266" ht="15" customHeight="1" s="195">
      <c r="A266" s="280" t="n"/>
      <c r="B266" s="280" t="n"/>
      <c r="C266" s="280" t="n"/>
      <c r="D266" s="280" t="n"/>
      <c r="E266" s="280" t="n"/>
      <c r="F266" s="280" t="n"/>
      <c r="G266" s="280" t="n"/>
      <c r="H266" s="280" t="n"/>
      <c r="I266" s="332">
        <f>IFERROR(VLOOKUP(TEXT(H266,"0"),IPRESS!$A$3:$B$212,2,0),"")</f>
        <v/>
      </c>
      <c r="J266" s="280" t="n"/>
      <c r="K266" s="332">
        <f>IFERROR(VLOOKUP(TEXT(O266,"0"),CONDUCTORES!$A$3:$G$54,7,0),"")</f>
        <v/>
      </c>
      <c r="L266" s="280" t="n"/>
      <c r="M266" s="280" t="n"/>
      <c r="N266" s="333">
        <f>IFERROR(IF(L266*M266=0,"",L266*M266),"")</f>
        <v/>
      </c>
      <c r="O266" s="280" t="n"/>
      <c r="P266" s="332">
        <f>IFERROR(VLOOKUP(TEXT(O266,"0"),CONDUCTORES!$A$3:$G$54,2,0),"")</f>
        <v/>
      </c>
      <c r="Q266" s="332">
        <f>IFERROR(VLOOKUP(TEXT(O266,"0"),CONDUCTORES!$A$3:$H$54,6,0),"")</f>
        <v/>
      </c>
      <c r="R266" s="280" t="n"/>
      <c r="S266" s="280" t="n"/>
      <c r="T266" s="280" t="n"/>
      <c r="U266" s="280" t="n"/>
      <c r="V266" s="280" t="n"/>
      <c r="W266" s="280" t="n"/>
      <c r="X266" s="280" t="n"/>
      <c r="Y266" s="280" t="n"/>
    </row>
    <row r="267" ht="15" customHeight="1" s="195">
      <c r="A267" s="334" t="n"/>
      <c r="B267" s="334" t="n"/>
      <c r="C267" s="334" t="n"/>
      <c r="D267" s="334" t="n"/>
      <c r="E267" s="334" t="n"/>
      <c r="F267" s="334" t="n"/>
      <c r="G267" s="334" t="n"/>
      <c r="H267" s="334" t="n"/>
      <c r="I267" s="332">
        <f>IFERROR(VLOOKUP(TEXT(H267,"0"),IPRESS!$A$3:$B$212,2,0),"")</f>
        <v/>
      </c>
      <c r="J267" s="334" t="n"/>
      <c r="K267" s="332">
        <f>IFERROR(VLOOKUP(TEXT(O267,"0"),CONDUCTORES!$A$3:$G$54,7,0),"")</f>
        <v/>
      </c>
      <c r="L267" s="334" t="n"/>
      <c r="M267" s="334" t="n"/>
      <c r="N267" s="333">
        <f>IFERROR(IF(L267*M267=0,"",L267*M267),"")</f>
        <v/>
      </c>
      <c r="O267" s="334" t="n"/>
      <c r="P267" s="332">
        <f>IFERROR(VLOOKUP(TEXT(O267,"0"),CONDUCTORES!$A$3:$G$54,2,0),"")</f>
        <v/>
      </c>
      <c r="Q267" s="332">
        <f>IFERROR(VLOOKUP(TEXT(O267,"0"),CONDUCTORES!$A$3:$H$54,6,0),"")</f>
        <v/>
      </c>
      <c r="R267" s="334" t="n"/>
      <c r="S267" s="334" t="n"/>
      <c r="T267" s="334" t="n"/>
      <c r="U267" s="334" t="n"/>
      <c r="V267" s="334" t="n"/>
      <c r="W267" s="334" t="n"/>
      <c r="X267" s="334" t="n"/>
      <c r="Y267" s="334" t="n"/>
    </row>
    <row r="268" ht="15" customHeight="1" s="195">
      <c r="A268" s="280" t="n"/>
      <c r="B268" s="280" t="n"/>
      <c r="C268" s="280" t="n"/>
      <c r="D268" s="280" t="n"/>
      <c r="E268" s="280" t="n"/>
      <c r="F268" s="280" t="n"/>
      <c r="G268" s="280" t="n"/>
      <c r="H268" s="280" t="n"/>
      <c r="I268" s="332">
        <f>IFERROR(VLOOKUP(TEXT(H268,"0"),IPRESS!$A$3:$B$212,2,0),"")</f>
        <v/>
      </c>
      <c r="J268" s="280" t="n"/>
      <c r="K268" s="332">
        <f>IFERROR(VLOOKUP(TEXT(O268,"0"),CONDUCTORES!$A$3:$G$54,7,0),"")</f>
        <v/>
      </c>
      <c r="L268" s="280" t="n"/>
      <c r="M268" s="280" t="n"/>
      <c r="N268" s="333">
        <f>IFERROR(IF(L268*M268=0,"",L268*M268),"")</f>
        <v/>
      </c>
      <c r="O268" s="280" t="n"/>
      <c r="P268" s="332">
        <f>IFERROR(VLOOKUP(TEXT(O268,"0"),CONDUCTORES!$A$3:$G$54,2,0),"")</f>
        <v/>
      </c>
      <c r="Q268" s="332">
        <f>IFERROR(VLOOKUP(TEXT(O268,"0"),CONDUCTORES!$A$3:$H$54,6,0),"")</f>
        <v/>
      </c>
      <c r="R268" s="280" t="n"/>
      <c r="S268" s="280" t="n"/>
      <c r="T268" s="280" t="n"/>
      <c r="U268" s="280" t="n"/>
      <c r="V268" s="280" t="n"/>
      <c r="W268" s="280" t="n"/>
      <c r="X268" s="280" t="n"/>
      <c r="Y268" s="280" t="n"/>
    </row>
    <row r="269" ht="15" customHeight="1" s="195">
      <c r="A269" s="334" t="n"/>
      <c r="B269" s="334" t="n"/>
      <c r="C269" s="334" t="n"/>
      <c r="D269" s="334" t="n"/>
      <c r="E269" s="334" t="n"/>
      <c r="F269" s="334" t="n"/>
      <c r="G269" s="334" t="n"/>
      <c r="H269" s="334" t="n"/>
      <c r="I269" s="332">
        <f>IFERROR(VLOOKUP(TEXT(H269,"0"),IPRESS!$A$3:$B$212,2,0),"")</f>
        <v/>
      </c>
      <c r="J269" s="334" t="n"/>
      <c r="K269" s="332">
        <f>IFERROR(VLOOKUP(TEXT(O269,"0"),CONDUCTORES!$A$3:$G$54,7,0),"")</f>
        <v/>
      </c>
      <c r="L269" s="334" t="n"/>
      <c r="M269" s="334" t="n"/>
      <c r="N269" s="333">
        <f>IFERROR(IF(L269*M269=0,"",L269*M269),"")</f>
        <v/>
      </c>
      <c r="O269" s="334" t="n"/>
      <c r="P269" s="332">
        <f>IFERROR(VLOOKUP(TEXT(O269,"0"),CONDUCTORES!$A$3:$G$54,2,0),"")</f>
        <v/>
      </c>
      <c r="Q269" s="332">
        <f>IFERROR(VLOOKUP(TEXT(O269,"0"),CONDUCTORES!$A$3:$H$54,6,0),"")</f>
        <v/>
      </c>
      <c r="R269" s="334" t="n"/>
      <c r="S269" s="334" t="n"/>
      <c r="T269" s="334" t="n"/>
      <c r="U269" s="334" t="n"/>
      <c r="V269" s="334" t="n"/>
      <c r="W269" s="334" t="n"/>
      <c r="X269" s="334" t="n"/>
      <c r="Y269" s="334" t="n"/>
    </row>
    <row r="270" ht="15" customHeight="1" s="195">
      <c r="A270" s="280" t="n"/>
      <c r="B270" s="280" t="n"/>
      <c r="C270" s="280" t="n"/>
      <c r="D270" s="280" t="n"/>
      <c r="E270" s="280" t="n"/>
      <c r="F270" s="280" t="n"/>
      <c r="G270" s="280" t="n"/>
      <c r="H270" s="280" t="n"/>
      <c r="I270" s="332">
        <f>IFERROR(VLOOKUP(TEXT(H270,"0"),IPRESS!$A$3:$B$212,2,0),"")</f>
        <v/>
      </c>
      <c r="J270" s="280" t="n"/>
      <c r="K270" s="332">
        <f>IFERROR(VLOOKUP(TEXT(O270,"0"),CONDUCTORES!$A$3:$G$54,7,0),"")</f>
        <v/>
      </c>
      <c r="L270" s="280" t="n"/>
      <c r="M270" s="280" t="n"/>
      <c r="N270" s="333">
        <f>IFERROR(IF(L270*M270=0,"",L270*M270),"")</f>
        <v/>
      </c>
      <c r="O270" s="280" t="n"/>
      <c r="P270" s="332">
        <f>IFERROR(VLOOKUP(TEXT(O270,"0"),CONDUCTORES!$A$3:$G$54,2,0),"")</f>
        <v/>
      </c>
      <c r="Q270" s="332">
        <f>IFERROR(VLOOKUP(TEXT(O270,"0"),CONDUCTORES!$A$3:$H$54,6,0),"")</f>
        <v/>
      </c>
      <c r="R270" s="280" t="n"/>
      <c r="S270" s="280" t="n"/>
      <c r="T270" s="280" t="n"/>
      <c r="U270" s="280" t="n"/>
      <c r="V270" s="280" t="n"/>
      <c r="W270" s="280" t="n"/>
      <c r="X270" s="280" t="n"/>
      <c r="Y270" s="280" t="n"/>
    </row>
    <row r="271" ht="15" customHeight="1" s="195">
      <c r="A271" s="334" t="n"/>
      <c r="B271" s="334" t="n"/>
      <c r="C271" s="334" t="n"/>
      <c r="D271" s="334" t="n"/>
      <c r="E271" s="334" t="n"/>
      <c r="F271" s="334" t="n"/>
      <c r="G271" s="334" t="n"/>
      <c r="H271" s="334" t="n"/>
      <c r="I271" s="332">
        <f>IFERROR(VLOOKUP(TEXT(H271,"0"),IPRESS!$A$3:$B$212,2,0),"")</f>
        <v/>
      </c>
      <c r="J271" s="334" t="n"/>
      <c r="K271" s="332">
        <f>IFERROR(VLOOKUP(TEXT(O271,"0"),CONDUCTORES!$A$3:$G$54,7,0),"")</f>
        <v/>
      </c>
      <c r="L271" s="334" t="n"/>
      <c r="M271" s="334" t="n"/>
      <c r="N271" s="333">
        <f>IFERROR(IF(L271*M271=0,"",L271*M271),"")</f>
        <v/>
      </c>
      <c r="O271" s="334" t="n"/>
      <c r="P271" s="332">
        <f>IFERROR(VLOOKUP(TEXT(O271,"0"),CONDUCTORES!$A$3:$G$54,2,0),"")</f>
        <v/>
      </c>
      <c r="Q271" s="332">
        <f>IFERROR(VLOOKUP(TEXT(O271,"0"),CONDUCTORES!$A$3:$H$54,6,0),"")</f>
        <v/>
      </c>
      <c r="R271" s="334" t="n"/>
      <c r="S271" s="334" t="n"/>
      <c r="T271" s="334" t="n"/>
      <c r="U271" s="334" t="n"/>
      <c r="V271" s="334" t="n"/>
      <c r="W271" s="334" t="n"/>
      <c r="X271" s="334" t="n"/>
      <c r="Y271" s="334" t="n"/>
    </row>
    <row r="272" ht="15" customHeight="1" s="195">
      <c r="A272" s="280" t="n"/>
      <c r="B272" s="280" t="n"/>
      <c r="C272" s="280" t="n"/>
      <c r="D272" s="280" t="n"/>
      <c r="E272" s="280" t="n"/>
      <c r="F272" s="280" t="n"/>
      <c r="G272" s="280" t="n"/>
      <c r="H272" s="280" t="n"/>
      <c r="I272" s="332">
        <f>IFERROR(VLOOKUP(TEXT(H272,"0"),IPRESS!$A$3:$B$212,2,0),"")</f>
        <v/>
      </c>
      <c r="J272" s="280" t="n"/>
      <c r="K272" s="332">
        <f>IFERROR(VLOOKUP(TEXT(O272,"0"),CONDUCTORES!$A$3:$G$54,7,0),"")</f>
        <v/>
      </c>
      <c r="L272" s="280" t="n"/>
      <c r="M272" s="280" t="n"/>
      <c r="N272" s="333">
        <f>IFERROR(IF(L272*M272=0,"",L272*M272),"")</f>
        <v/>
      </c>
      <c r="O272" s="280" t="n"/>
      <c r="P272" s="332">
        <f>IFERROR(VLOOKUP(TEXT(O272,"0"),CONDUCTORES!$A$3:$G$54,2,0),"")</f>
        <v/>
      </c>
      <c r="Q272" s="332">
        <f>IFERROR(VLOOKUP(TEXT(O272,"0"),CONDUCTORES!$A$3:$H$54,6,0),"")</f>
        <v/>
      </c>
      <c r="R272" s="280" t="n"/>
      <c r="S272" s="280" t="n"/>
      <c r="T272" s="280" t="n"/>
      <c r="U272" s="280" t="n"/>
      <c r="V272" s="280" t="n"/>
      <c r="W272" s="280" t="n"/>
      <c r="X272" s="280" t="n"/>
      <c r="Y272" s="280" t="n"/>
    </row>
    <row r="273" ht="15" customHeight="1" s="195">
      <c r="A273" s="334" t="n"/>
      <c r="B273" s="334" t="n"/>
      <c r="C273" s="334" t="n"/>
      <c r="D273" s="334" t="n"/>
      <c r="E273" s="334" t="n"/>
      <c r="F273" s="334" t="n"/>
      <c r="G273" s="334" t="n"/>
      <c r="H273" s="334" t="n"/>
      <c r="I273" s="332">
        <f>IFERROR(VLOOKUP(TEXT(H273,"0"),IPRESS!$A$3:$B$212,2,0),"")</f>
        <v/>
      </c>
      <c r="J273" s="334" t="n"/>
      <c r="K273" s="332">
        <f>IFERROR(VLOOKUP(TEXT(O273,"0"),CONDUCTORES!$A$3:$G$54,7,0),"")</f>
        <v/>
      </c>
      <c r="L273" s="334" t="n"/>
      <c r="M273" s="334" t="n"/>
      <c r="N273" s="333">
        <f>IFERROR(IF(L273*M273=0,"",L273*M273),"")</f>
        <v/>
      </c>
      <c r="O273" s="334" t="n"/>
      <c r="P273" s="332">
        <f>IFERROR(VLOOKUP(TEXT(O273,"0"),CONDUCTORES!$A$3:$G$54,2,0),"")</f>
        <v/>
      </c>
      <c r="Q273" s="332">
        <f>IFERROR(VLOOKUP(TEXT(O273,"0"),CONDUCTORES!$A$3:$H$54,6,0),"")</f>
        <v/>
      </c>
      <c r="R273" s="334" t="n"/>
      <c r="S273" s="334" t="n"/>
      <c r="T273" s="334" t="n"/>
      <c r="U273" s="334" t="n"/>
      <c r="V273" s="334" t="n"/>
      <c r="W273" s="334" t="n"/>
      <c r="X273" s="334" t="n"/>
      <c r="Y273" s="334" t="n"/>
    </row>
    <row r="274" ht="15" customHeight="1" s="195">
      <c r="A274" s="280" t="n"/>
      <c r="B274" s="280" t="n"/>
      <c r="C274" s="280" t="n"/>
      <c r="D274" s="280" t="n"/>
      <c r="E274" s="280" t="n"/>
      <c r="F274" s="280" t="n"/>
      <c r="G274" s="280" t="n"/>
      <c r="H274" s="280" t="n"/>
      <c r="I274" s="332">
        <f>IFERROR(VLOOKUP(TEXT(H274,"0"),IPRESS!$A$3:$B$212,2,0),"")</f>
        <v/>
      </c>
      <c r="J274" s="280" t="n"/>
      <c r="K274" s="332">
        <f>IFERROR(VLOOKUP(TEXT(O274,"0"),CONDUCTORES!$A$3:$G$54,7,0),"")</f>
        <v/>
      </c>
      <c r="L274" s="280" t="n"/>
      <c r="M274" s="280" t="n"/>
      <c r="N274" s="333">
        <f>IFERROR(IF(L274*M274=0,"",L274*M274),"")</f>
        <v/>
      </c>
      <c r="O274" s="280" t="n"/>
      <c r="P274" s="332">
        <f>IFERROR(VLOOKUP(TEXT(O274,"0"),CONDUCTORES!$A$3:$G$54,2,0),"")</f>
        <v/>
      </c>
      <c r="Q274" s="332">
        <f>IFERROR(VLOOKUP(TEXT(O274,"0"),CONDUCTORES!$A$3:$H$54,6,0),"")</f>
        <v/>
      </c>
      <c r="R274" s="280" t="n"/>
      <c r="S274" s="280" t="n"/>
      <c r="T274" s="280" t="n"/>
      <c r="U274" s="280" t="n"/>
      <c r="V274" s="280" t="n"/>
      <c r="W274" s="280" t="n"/>
      <c r="X274" s="280" t="n"/>
      <c r="Y274" s="280" t="n"/>
    </row>
    <row r="275" ht="15" customHeight="1" s="195">
      <c r="A275" s="334" t="n"/>
      <c r="B275" s="334" t="n"/>
      <c r="C275" s="334" t="n"/>
      <c r="D275" s="334" t="n"/>
      <c r="E275" s="334" t="n"/>
      <c r="F275" s="334" t="n"/>
      <c r="G275" s="334" t="n"/>
      <c r="H275" s="334" t="n"/>
      <c r="I275" s="332">
        <f>IFERROR(VLOOKUP(TEXT(H275,"0"),IPRESS!$A$3:$B$212,2,0),"")</f>
        <v/>
      </c>
      <c r="J275" s="334" t="n"/>
      <c r="K275" s="332">
        <f>IFERROR(VLOOKUP(TEXT(O275,"0"),CONDUCTORES!$A$3:$G$54,7,0),"")</f>
        <v/>
      </c>
      <c r="L275" s="334" t="n"/>
      <c r="M275" s="334" t="n"/>
      <c r="N275" s="333">
        <f>IFERROR(IF(L275*M275=0,"",L275*M275),"")</f>
        <v/>
      </c>
      <c r="O275" s="334" t="n"/>
      <c r="P275" s="332">
        <f>IFERROR(VLOOKUP(TEXT(O275,"0"),CONDUCTORES!$A$3:$G$54,2,0),"")</f>
        <v/>
      </c>
      <c r="Q275" s="332">
        <f>IFERROR(VLOOKUP(TEXT(O275,"0"),CONDUCTORES!$A$3:$H$54,6,0),"")</f>
        <v/>
      </c>
      <c r="R275" s="334" t="n"/>
      <c r="S275" s="334" t="n"/>
      <c r="T275" s="334" t="n"/>
      <c r="U275" s="334" t="n"/>
      <c r="V275" s="334" t="n"/>
      <c r="W275" s="334" t="n"/>
      <c r="X275" s="334" t="n"/>
      <c r="Y275" s="334" t="n"/>
    </row>
    <row r="276" ht="15" customHeight="1" s="195">
      <c r="A276" s="280" t="n"/>
      <c r="B276" s="280" t="n"/>
      <c r="C276" s="280" t="n"/>
      <c r="D276" s="280" t="n"/>
      <c r="E276" s="280" t="n"/>
      <c r="F276" s="280" t="n"/>
      <c r="G276" s="280" t="n"/>
      <c r="H276" s="280" t="n"/>
      <c r="I276" s="332">
        <f>IFERROR(VLOOKUP(TEXT(H276,"0"),IPRESS!$A$3:$B$212,2,0),"")</f>
        <v/>
      </c>
      <c r="J276" s="280" t="n"/>
      <c r="K276" s="332">
        <f>IFERROR(VLOOKUP(TEXT(O276,"0"),CONDUCTORES!$A$3:$G$54,7,0),"")</f>
        <v/>
      </c>
      <c r="L276" s="280" t="n"/>
      <c r="M276" s="280" t="n"/>
      <c r="N276" s="333">
        <f>IFERROR(IF(L276*M276=0,"",L276*M276),"")</f>
        <v/>
      </c>
      <c r="O276" s="280" t="n"/>
      <c r="P276" s="332">
        <f>IFERROR(VLOOKUP(TEXT(O276,"0"),CONDUCTORES!$A$3:$G$54,2,0),"")</f>
        <v/>
      </c>
      <c r="Q276" s="332">
        <f>IFERROR(VLOOKUP(TEXT(O276,"0"),CONDUCTORES!$A$3:$H$54,6,0),"")</f>
        <v/>
      </c>
      <c r="R276" s="280" t="n"/>
      <c r="S276" s="280" t="n"/>
      <c r="T276" s="280" t="n"/>
      <c r="U276" s="280" t="n"/>
      <c r="V276" s="280" t="n"/>
      <c r="W276" s="280" t="n"/>
      <c r="X276" s="280" t="n"/>
      <c r="Y276" s="280" t="n"/>
    </row>
    <row r="277" ht="15" customHeight="1" s="195">
      <c r="A277" s="334" t="n"/>
      <c r="B277" s="334" t="n"/>
      <c r="C277" s="334" t="n"/>
      <c r="D277" s="334" t="n"/>
      <c r="E277" s="334" t="n"/>
      <c r="F277" s="334" t="n"/>
      <c r="G277" s="334" t="n"/>
      <c r="H277" s="334" t="n"/>
      <c r="I277" s="332">
        <f>IFERROR(VLOOKUP(TEXT(H277,"0"),IPRESS!$A$3:$B$212,2,0),"")</f>
        <v/>
      </c>
      <c r="J277" s="334" t="n"/>
      <c r="K277" s="332">
        <f>IFERROR(VLOOKUP(TEXT(O277,"0"),CONDUCTORES!$A$3:$G$54,7,0),"")</f>
        <v/>
      </c>
      <c r="L277" s="334" t="n"/>
      <c r="M277" s="334" t="n"/>
      <c r="N277" s="333">
        <f>IFERROR(IF(L277*M277=0,"",L277*M277),"")</f>
        <v/>
      </c>
      <c r="O277" s="334" t="n"/>
      <c r="P277" s="332">
        <f>IFERROR(VLOOKUP(TEXT(O277,"0"),CONDUCTORES!$A$3:$G$54,2,0),"")</f>
        <v/>
      </c>
      <c r="Q277" s="332">
        <f>IFERROR(VLOOKUP(TEXT(O277,"0"),CONDUCTORES!$A$3:$H$54,6,0),"")</f>
        <v/>
      </c>
      <c r="R277" s="334" t="n"/>
      <c r="S277" s="334" t="n"/>
      <c r="T277" s="334" t="n"/>
      <c r="U277" s="334" t="n"/>
      <c r="V277" s="334" t="n"/>
      <c r="W277" s="334" t="n"/>
      <c r="X277" s="334" t="n"/>
      <c r="Y277" s="334" t="n"/>
    </row>
    <row r="278" ht="15" customHeight="1" s="195">
      <c r="A278" s="280" t="n"/>
      <c r="B278" s="280" t="n"/>
      <c r="C278" s="280" t="n"/>
      <c r="D278" s="280" t="n"/>
      <c r="E278" s="280" t="n"/>
      <c r="F278" s="280" t="n"/>
      <c r="G278" s="280" t="n"/>
      <c r="H278" s="280" t="n"/>
      <c r="I278" s="332">
        <f>IFERROR(VLOOKUP(TEXT(H278,"0"),IPRESS!$A$3:$B$212,2,0),"")</f>
        <v/>
      </c>
      <c r="J278" s="280" t="n"/>
      <c r="K278" s="332">
        <f>IFERROR(VLOOKUP(TEXT(O278,"0"),CONDUCTORES!$A$3:$G$54,7,0),"")</f>
        <v/>
      </c>
      <c r="L278" s="280" t="n"/>
      <c r="M278" s="280" t="n"/>
      <c r="N278" s="333">
        <f>IFERROR(IF(L278*M278=0,"",L278*M278),"")</f>
        <v/>
      </c>
      <c r="O278" s="280" t="n"/>
      <c r="P278" s="332">
        <f>IFERROR(VLOOKUP(TEXT(O278,"0"),CONDUCTORES!$A$3:$G$54,2,0),"")</f>
        <v/>
      </c>
      <c r="Q278" s="332">
        <f>IFERROR(VLOOKUP(TEXT(O278,"0"),CONDUCTORES!$A$3:$H$54,6,0),"")</f>
        <v/>
      </c>
      <c r="R278" s="280" t="n"/>
      <c r="S278" s="280" t="n"/>
      <c r="T278" s="280" t="n"/>
      <c r="U278" s="280" t="n"/>
      <c r="V278" s="280" t="n"/>
      <c r="W278" s="280" t="n"/>
      <c r="X278" s="280" t="n"/>
      <c r="Y278" s="280" t="n"/>
    </row>
    <row r="279" ht="15" customHeight="1" s="195">
      <c r="A279" s="334" t="n"/>
      <c r="B279" s="334" t="n"/>
      <c r="C279" s="334" t="n"/>
      <c r="D279" s="334" t="n"/>
      <c r="E279" s="334" t="n"/>
      <c r="F279" s="334" t="n"/>
      <c r="G279" s="334" t="n"/>
      <c r="H279" s="334" t="n"/>
      <c r="I279" s="332">
        <f>IFERROR(VLOOKUP(TEXT(H279,"0"),IPRESS!$A$3:$B$212,2,0),"")</f>
        <v/>
      </c>
      <c r="J279" s="334" t="n"/>
      <c r="K279" s="332">
        <f>IFERROR(VLOOKUP(TEXT(O279,"0"),CONDUCTORES!$A$3:$G$54,7,0),"")</f>
        <v/>
      </c>
      <c r="L279" s="334" t="n"/>
      <c r="M279" s="334" t="n"/>
      <c r="N279" s="333">
        <f>IFERROR(IF(L279*M279=0,"",L279*M279),"")</f>
        <v/>
      </c>
      <c r="O279" s="334" t="n"/>
      <c r="P279" s="332">
        <f>IFERROR(VLOOKUP(TEXT(O279,"0"),CONDUCTORES!$A$3:$G$54,2,0),"")</f>
        <v/>
      </c>
      <c r="Q279" s="332">
        <f>IFERROR(VLOOKUP(TEXT(O279,"0"),CONDUCTORES!$A$3:$H$54,6,0),"")</f>
        <v/>
      </c>
      <c r="R279" s="334" t="n"/>
      <c r="S279" s="334" t="n"/>
      <c r="T279" s="334" t="n"/>
      <c r="U279" s="334" t="n"/>
      <c r="V279" s="334" t="n"/>
      <c r="W279" s="334" t="n"/>
      <c r="X279" s="334" t="n"/>
      <c r="Y279" s="334" t="n"/>
    </row>
    <row r="280" ht="15" customHeight="1" s="195">
      <c r="A280" s="280" t="n"/>
      <c r="B280" s="280" t="n"/>
      <c r="C280" s="280" t="n"/>
      <c r="D280" s="280" t="n"/>
      <c r="E280" s="280" t="n"/>
      <c r="F280" s="280" t="n"/>
      <c r="G280" s="280" t="n"/>
      <c r="H280" s="280" t="n"/>
      <c r="I280" s="332">
        <f>IFERROR(VLOOKUP(TEXT(H280,"0"),IPRESS!$A$3:$B$212,2,0),"")</f>
        <v/>
      </c>
      <c r="J280" s="280" t="n"/>
      <c r="K280" s="332">
        <f>IFERROR(VLOOKUP(TEXT(O280,"0"),CONDUCTORES!$A$3:$G$54,7,0),"")</f>
        <v/>
      </c>
      <c r="L280" s="280" t="n"/>
      <c r="M280" s="280" t="n"/>
      <c r="N280" s="333">
        <f>IFERROR(IF(L280*M280=0,"",L280*M280),"")</f>
        <v/>
      </c>
      <c r="O280" s="280" t="n"/>
      <c r="P280" s="332">
        <f>IFERROR(VLOOKUP(TEXT(O280,"0"),CONDUCTORES!$A$3:$G$54,2,0),"")</f>
        <v/>
      </c>
      <c r="Q280" s="332">
        <f>IFERROR(VLOOKUP(TEXT(O280,"0"),CONDUCTORES!$A$3:$H$54,6,0),"")</f>
        <v/>
      </c>
      <c r="R280" s="280" t="n"/>
      <c r="S280" s="280" t="n"/>
      <c r="T280" s="280" t="n"/>
      <c r="U280" s="280" t="n"/>
      <c r="V280" s="280" t="n"/>
      <c r="W280" s="280" t="n"/>
      <c r="X280" s="280" t="n"/>
      <c r="Y280" s="280" t="n"/>
    </row>
    <row r="281" ht="15" customHeight="1" s="195">
      <c r="A281" s="334" t="n"/>
      <c r="B281" s="334" t="n"/>
      <c r="C281" s="334" t="n"/>
      <c r="D281" s="334" t="n"/>
      <c r="E281" s="334" t="n"/>
      <c r="F281" s="334" t="n"/>
      <c r="G281" s="334" t="n"/>
      <c r="H281" s="334" t="n"/>
      <c r="I281" s="332">
        <f>IFERROR(VLOOKUP(TEXT(H281,"0"),IPRESS!$A$3:$B$212,2,0),"")</f>
        <v/>
      </c>
      <c r="J281" s="334" t="n"/>
      <c r="K281" s="332">
        <f>IFERROR(VLOOKUP(TEXT(O281,"0"),CONDUCTORES!$A$3:$G$54,7,0),"")</f>
        <v/>
      </c>
      <c r="L281" s="334" t="n"/>
      <c r="M281" s="334" t="n"/>
      <c r="N281" s="333">
        <f>IFERROR(IF(L281*M281=0,"",L281*M281),"")</f>
        <v/>
      </c>
      <c r="O281" s="334" t="n"/>
      <c r="P281" s="332">
        <f>IFERROR(VLOOKUP(TEXT(O281,"0"),CONDUCTORES!$A$3:$G$54,2,0),"")</f>
        <v/>
      </c>
      <c r="Q281" s="332">
        <f>IFERROR(VLOOKUP(TEXT(O281,"0"),CONDUCTORES!$A$3:$H$54,6,0),"")</f>
        <v/>
      </c>
      <c r="R281" s="334" t="n"/>
      <c r="S281" s="334" t="n"/>
      <c r="T281" s="334" t="n"/>
      <c r="U281" s="334" t="n"/>
      <c r="V281" s="334" t="n"/>
      <c r="W281" s="334" t="n"/>
      <c r="X281" s="334" t="n"/>
      <c r="Y281" s="334" t="n"/>
    </row>
    <row r="282" ht="15" customHeight="1" s="195">
      <c r="A282" s="280" t="n"/>
      <c r="B282" s="280" t="n"/>
      <c r="C282" s="280" t="n"/>
      <c r="D282" s="280" t="n"/>
      <c r="E282" s="280" t="n"/>
      <c r="F282" s="280" t="n"/>
      <c r="G282" s="280" t="n"/>
      <c r="H282" s="280" t="n"/>
      <c r="I282" s="332">
        <f>IFERROR(VLOOKUP(TEXT(H282,"0"),IPRESS!$A$3:$B$212,2,0),"")</f>
        <v/>
      </c>
      <c r="J282" s="280" t="n"/>
      <c r="K282" s="332">
        <f>IFERROR(VLOOKUP(TEXT(O282,"0"),CONDUCTORES!$A$3:$G$54,7,0),"")</f>
        <v/>
      </c>
      <c r="L282" s="280" t="n"/>
      <c r="M282" s="280" t="n"/>
      <c r="N282" s="333">
        <f>IFERROR(IF(L282*M282=0,"",L282*M282),"")</f>
        <v/>
      </c>
      <c r="O282" s="280" t="n"/>
      <c r="P282" s="332">
        <f>IFERROR(VLOOKUP(TEXT(O282,"0"),CONDUCTORES!$A$3:$G$54,2,0),"")</f>
        <v/>
      </c>
      <c r="Q282" s="332">
        <f>IFERROR(VLOOKUP(TEXT(O282,"0"),CONDUCTORES!$A$3:$H$54,6,0),"")</f>
        <v/>
      </c>
      <c r="R282" s="280" t="n"/>
      <c r="S282" s="280" t="n"/>
      <c r="T282" s="280" t="n"/>
      <c r="U282" s="280" t="n"/>
      <c r="V282" s="280" t="n"/>
      <c r="W282" s="280" t="n"/>
      <c r="X282" s="280" t="n"/>
      <c r="Y282" s="280" t="n"/>
    </row>
    <row r="283" ht="15" customHeight="1" s="195">
      <c r="A283" s="334" t="n"/>
      <c r="B283" s="334" t="n"/>
      <c r="C283" s="334" t="n"/>
      <c r="D283" s="334" t="n"/>
      <c r="E283" s="334" t="n"/>
      <c r="F283" s="334" t="n"/>
      <c r="G283" s="334" t="n"/>
      <c r="H283" s="334" t="n"/>
      <c r="I283" s="332">
        <f>IFERROR(VLOOKUP(TEXT(H283,"0"),IPRESS!$A$3:$B$212,2,0),"")</f>
        <v/>
      </c>
      <c r="J283" s="334" t="n"/>
      <c r="K283" s="332">
        <f>IFERROR(VLOOKUP(TEXT(O283,"0"),CONDUCTORES!$A$3:$G$54,7,0),"")</f>
        <v/>
      </c>
      <c r="L283" s="334" t="n"/>
      <c r="M283" s="334" t="n"/>
      <c r="N283" s="333">
        <f>IFERROR(IF(L283*M283=0,"",L283*M283),"")</f>
        <v/>
      </c>
      <c r="O283" s="334" t="n"/>
      <c r="P283" s="332">
        <f>IFERROR(VLOOKUP(TEXT(O283,"0"),CONDUCTORES!$A$3:$G$54,2,0),"")</f>
        <v/>
      </c>
      <c r="Q283" s="332">
        <f>IFERROR(VLOOKUP(TEXT(O283,"0"),CONDUCTORES!$A$3:$H$54,6,0),"")</f>
        <v/>
      </c>
      <c r="R283" s="334" t="n"/>
      <c r="S283" s="334" t="n"/>
      <c r="T283" s="334" t="n"/>
      <c r="U283" s="334" t="n"/>
      <c r="V283" s="334" t="n"/>
      <c r="W283" s="334" t="n"/>
      <c r="X283" s="334" t="n"/>
      <c r="Y283" s="334" t="n"/>
    </row>
    <row r="284" ht="15" customHeight="1" s="195">
      <c r="A284" s="280" t="n"/>
      <c r="B284" s="280" t="n"/>
      <c r="C284" s="280" t="n"/>
      <c r="D284" s="280" t="n"/>
      <c r="E284" s="280" t="n"/>
      <c r="F284" s="280" t="n"/>
      <c r="G284" s="280" t="n"/>
      <c r="H284" s="280" t="n"/>
      <c r="I284" s="332">
        <f>IFERROR(VLOOKUP(TEXT(H284,"0"),IPRESS!$A$3:$B$212,2,0),"")</f>
        <v/>
      </c>
      <c r="J284" s="280" t="n"/>
      <c r="K284" s="332">
        <f>IFERROR(VLOOKUP(TEXT(O284,"0"),CONDUCTORES!$A$3:$G$54,7,0),"")</f>
        <v/>
      </c>
      <c r="L284" s="280" t="n"/>
      <c r="M284" s="280" t="n"/>
      <c r="N284" s="333">
        <f>IFERROR(IF(L284*M284=0,"",L284*M284),"")</f>
        <v/>
      </c>
      <c r="O284" s="280" t="n"/>
      <c r="P284" s="332">
        <f>IFERROR(VLOOKUP(TEXT(O284,"0"),CONDUCTORES!$A$3:$G$54,2,0),"")</f>
        <v/>
      </c>
      <c r="Q284" s="332">
        <f>IFERROR(VLOOKUP(TEXT(O284,"0"),CONDUCTORES!$A$3:$H$54,6,0),"")</f>
        <v/>
      </c>
      <c r="R284" s="280" t="n"/>
      <c r="S284" s="280" t="n"/>
      <c r="T284" s="280" t="n"/>
      <c r="U284" s="280" t="n"/>
      <c r="V284" s="280" t="n"/>
      <c r="W284" s="280" t="n"/>
      <c r="X284" s="280" t="n"/>
      <c r="Y284" s="280" t="n"/>
    </row>
    <row r="285" ht="15" customHeight="1" s="195">
      <c r="A285" s="334" t="n"/>
      <c r="B285" s="334" t="n"/>
      <c r="C285" s="334" t="n"/>
      <c r="D285" s="334" t="n"/>
      <c r="E285" s="334" t="n"/>
      <c r="F285" s="334" t="n"/>
      <c r="G285" s="334" t="n"/>
      <c r="H285" s="334" t="n"/>
      <c r="I285" s="332">
        <f>IFERROR(VLOOKUP(TEXT(H285,"0"),IPRESS!$A$3:$B$212,2,0),"")</f>
        <v/>
      </c>
      <c r="J285" s="334" t="n"/>
      <c r="K285" s="332">
        <f>IFERROR(VLOOKUP(TEXT(O285,"0"),CONDUCTORES!$A$3:$G$54,7,0),"")</f>
        <v/>
      </c>
      <c r="L285" s="334" t="n"/>
      <c r="M285" s="334" t="n"/>
      <c r="N285" s="333">
        <f>IFERROR(IF(L285*M285=0,"",L285*M285),"")</f>
        <v/>
      </c>
      <c r="O285" s="334" t="n"/>
      <c r="P285" s="332">
        <f>IFERROR(VLOOKUP(TEXT(O285,"0"),CONDUCTORES!$A$3:$G$54,2,0),"")</f>
        <v/>
      </c>
      <c r="Q285" s="332">
        <f>IFERROR(VLOOKUP(TEXT(O285,"0"),CONDUCTORES!$A$3:$H$54,6,0),"")</f>
        <v/>
      </c>
      <c r="R285" s="334" t="n"/>
      <c r="S285" s="334" t="n"/>
      <c r="T285" s="334" t="n"/>
      <c r="U285" s="334" t="n"/>
      <c r="V285" s="334" t="n"/>
      <c r="W285" s="334" t="n"/>
      <c r="X285" s="334" t="n"/>
      <c r="Y285" s="334" t="n"/>
    </row>
    <row r="286" ht="15" customHeight="1" s="195">
      <c r="A286" s="280" t="n"/>
      <c r="B286" s="280" t="n"/>
      <c r="C286" s="280" t="n"/>
      <c r="D286" s="280" t="n"/>
      <c r="E286" s="280" t="n"/>
      <c r="F286" s="280" t="n"/>
      <c r="G286" s="280" t="n"/>
      <c r="H286" s="280" t="n"/>
      <c r="I286" s="332">
        <f>IFERROR(VLOOKUP(TEXT(H286,"0"),IPRESS!$A$3:$B$212,2,0),"")</f>
        <v/>
      </c>
      <c r="J286" s="280" t="n"/>
      <c r="K286" s="332">
        <f>IFERROR(VLOOKUP(TEXT(O286,"0"),CONDUCTORES!$A$3:$G$54,7,0),"")</f>
        <v/>
      </c>
      <c r="L286" s="280" t="n"/>
      <c r="M286" s="280" t="n"/>
      <c r="N286" s="333">
        <f>IFERROR(IF(L286*M286=0,"",L286*M286),"")</f>
        <v/>
      </c>
      <c r="O286" s="280" t="n"/>
      <c r="P286" s="332">
        <f>IFERROR(VLOOKUP(TEXT(O286,"0"),CONDUCTORES!$A$3:$G$54,2,0),"")</f>
        <v/>
      </c>
      <c r="Q286" s="332">
        <f>IFERROR(VLOOKUP(TEXT(O286,"0"),CONDUCTORES!$A$3:$H$54,6,0),"")</f>
        <v/>
      </c>
      <c r="R286" s="280" t="n"/>
      <c r="S286" s="280" t="n"/>
      <c r="T286" s="280" t="n"/>
      <c r="U286" s="280" t="n"/>
      <c r="V286" s="280" t="n"/>
      <c r="W286" s="280" t="n"/>
      <c r="X286" s="280" t="n"/>
      <c r="Y286" s="280" t="n"/>
    </row>
    <row r="287" ht="15" customHeight="1" s="195">
      <c r="A287" s="334" t="n"/>
      <c r="B287" s="334" t="n"/>
      <c r="C287" s="334" t="n"/>
      <c r="D287" s="334" t="n"/>
      <c r="E287" s="334" t="n"/>
      <c r="F287" s="334" t="n"/>
      <c r="G287" s="334" t="n"/>
      <c r="H287" s="334" t="n"/>
      <c r="I287" s="332">
        <f>IFERROR(VLOOKUP(TEXT(H287,"0"),IPRESS!$A$3:$B$212,2,0),"")</f>
        <v/>
      </c>
      <c r="J287" s="334" t="n"/>
      <c r="K287" s="332">
        <f>IFERROR(VLOOKUP(TEXT(O287,"0"),CONDUCTORES!$A$3:$G$54,7,0),"")</f>
        <v/>
      </c>
      <c r="L287" s="334" t="n"/>
      <c r="M287" s="334" t="n"/>
      <c r="N287" s="333">
        <f>IFERROR(IF(L287*M287=0,"",L287*M287),"")</f>
        <v/>
      </c>
      <c r="O287" s="334" t="n"/>
      <c r="P287" s="332">
        <f>IFERROR(VLOOKUP(TEXT(O287,"0"),CONDUCTORES!$A$3:$G$54,2,0),"")</f>
        <v/>
      </c>
      <c r="Q287" s="332">
        <f>IFERROR(VLOOKUP(TEXT(O287,"0"),CONDUCTORES!$A$3:$H$54,6,0),"")</f>
        <v/>
      </c>
      <c r="R287" s="334" t="n"/>
      <c r="S287" s="334" t="n"/>
      <c r="T287" s="334" t="n"/>
      <c r="U287" s="334" t="n"/>
      <c r="V287" s="334" t="n"/>
      <c r="W287" s="334" t="n"/>
      <c r="X287" s="334" t="n"/>
      <c r="Y287" s="334" t="n"/>
    </row>
    <row r="288" ht="15" customHeight="1" s="195">
      <c r="A288" s="280" t="n"/>
      <c r="B288" s="280" t="n"/>
      <c r="C288" s="280" t="n"/>
      <c r="D288" s="280" t="n"/>
      <c r="E288" s="280" t="n"/>
      <c r="F288" s="280" t="n"/>
      <c r="G288" s="280" t="n"/>
      <c r="H288" s="280" t="n"/>
      <c r="I288" s="332">
        <f>IFERROR(VLOOKUP(TEXT(H288,"0"),IPRESS!$A$3:$B$212,2,0),"")</f>
        <v/>
      </c>
      <c r="J288" s="280" t="n"/>
      <c r="K288" s="332">
        <f>IFERROR(VLOOKUP(TEXT(O288,"0"),CONDUCTORES!$A$3:$G$54,7,0),"")</f>
        <v/>
      </c>
      <c r="L288" s="280" t="n"/>
      <c r="M288" s="280" t="n"/>
      <c r="N288" s="333">
        <f>IFERROR(IF(L288*M288=0,"",L288*M288),"")</f>
        <v/>
      </c>
      <c r="O288" s="280" t="n"/>
      <c r="P288" s="332">
        <f>IFERROR(VLOOKUP(TEXT(O288,"0"),CONDUCTORES!$A$3:$G$54,2,0),"")</f>
        <v/>
      </c>
      <c r="Q288" s="332">
        <f>IFERROR(VLOOKUP(TEXT(O288,"0"),CONDUCTORES!$A$3:$H$54,6,0),"")</f>
        <v/>
      </c>
      <c r="R288" s="280" t="n"/>
      <c r="S288" s="280" t="n"/>
      <c r="T288" s="280" t="n"/>
      <c r="U288" s="280" t="n"/>
      <c r="V288" s="280" t="n"/>
      <c r="W288" s="280" t="n"/>
      <c r="X288" s="280" t="n"/>
      <c r="Y288" s="280" t="n"/>
    </row>
    <row r="289" ht="15" customHeight="1" s="195">
      <c r="A289" s="334" t="n"/>
      <c r="B289" s="334" t="n"/>
      <c r="C289" s="334" t="n"/>
      <c r="D289" s="334" t="n"/>
      <c r="E289" s="334" t="n"/>
      <c r="F289" s="334" t="n"/>
      <c r="G289" s="334" t="n"/>
      <c r="H289" s="334" t="n"/>
      <c r="I289" s="332">
        <f>IFERROR(VLOOKUP(TEXT(H289,"0"),IPRESS!$A$3:$B$212,2,0),"")</f>
        <v/>
      </c>
      <c r="J289" s="334" t="n"/>
      <c r="K289" s="332">
        <f>IFERROR(VLOOKUP(TEXT(O289,"0"),CONDUCTORES!$A$3:$G$54,7,0),"")</f>
        <v/>
      </c>
      <c r="L289" s="334" t="n"/>
      <c r="M289" s="334" t="n"/>
      <c r="N289" s="333">
        <f>IFERROR(IF(L289*M289=0,"",L289*M289),"")</f>
        <v/>
      </c>
      <c r="O289" s="334" t="n"/>
      <c r="P289" s="332">
        <f>IFERROR(VLOOKUP(TEXT(O289,"0"),CONDUCTORES!$A$3:$G$54,2,0),"")</f>
        <v/>
      </c>
      <c r="Q289" s="332">
        <f>IFERROR(VLOOKUP(TEXT(O289,"0"),CONDUCTORES!$A$3:$H$54,6,0),"")</f>
        <v/>
      </c>
      <c r="R289" s="334" t="n"/>
      <c r="S289" s="334" t="n"/>
      <c r="T289" s="334" t="n"/>
      <c r="U289" s="334" t="n"/>
      <c r="V289" s="334" t="n"/>
      <c r="W289" s="334" t="n"/>
      <c r="X289" s="334" t="n"/>
      <c r="Y289" s="334" t="n"/>
    </row>
    <row r="290" ht="15" customHeight="1" s="195">
      <c r="A290" s="280" t="n"/>
      <c r="B290" s="280" t="n"/>
      <c r="C290" s="280" t="n"/>
      <c r="D290" s="280" t="n"/>
      <c r="E290" s="280" t="n"/>
      <c r="F290" s="280" t="n"/>
      <c r="G290" s="280" t="n"/>
      <c r="H290" s="280" t="n"/>
      <c r="I290" s="332">
        <f>IFERROR(VLOOKUP(TEXT(H290,"0"),IPRESS!$A$3:$B$212,2,0),"")</f>
        <v/>
      </c>
      <c r="J290" s="280" t="n"/>
      <c r="K290" s="332">
        <f>IFERROR(VLOOKUP(TEXT(O290,"0"),CONDUCTORES!$A$3:$G$54,7,0),"")</f>
        <v/>
      </c>
      <c r="L290" s="280" t="n"/>
      <c r="M290" s="280" t="n"/>
      <c r="N290" s="333">
        <f>IFERROR(IF(L290*M290=0,"",L290*M290),"")</f>
        <v/>
      </c>
      <c r="O290" s="280" t="n"/>
      <c r="P290" s="332">
        <f>IFERROR(VLOOKUP(TEXT(O290,"0"),CONDUCTORES!$A$3:$G$54,2,0),"")</f>
        <v/>
      </c>
      <c r="Q290" s="332">
        <f>IFERROR(VLOOKUP(TEXT(O290,"0"),CONDUCTORES!$A$3:$H$54,6,0),"")</f>
        <v/>
      </c>
      <c r="R290" s="280" t="n"/>
      <c r="S290" s="280" t="n"/>
      <c r="T290" s="280" t="n"/>
      <c r="U290" s="280" t="n"/>
      <c r="V290" s="280" t="n"/>
      <c r="W290" s="280" t="n"/>
      <c r="X290" s="280" t="n"/>
      <c r="Y290" s="280" t="n"/>
    </row>
    <row r="291" ht="15" customHeight="1" s="195">
      <c r="A291" s="334" t="n"/>
      <c r="B291" s="334" t="n"/>
      <c r="C291" s="334" t="n"/>
      <c r="D291" s="334" t="n"/>
      <c r="E291" s="334" t="n"/>
      <c r="F291" s="334" t="n"/>
      <c r="G291" s="334" t="n"/>
      <c r="H291" s="334" t="n"/>
      <c r="I291" s="332">
        <f>IFERROR(VLOOKUP(TEXT(H291,"0"),IPRESS!$A$3:$B$212,2,0),"")</f>
        <v/>
      </c>
      <c r="J291" s="334" t="n"/>
      <c r="K291" s="332">
        <f>IFERROR(VLOOKUP(TEXT(O291,"0"),CONDUCTORES!$A$3:$G$54,7,0),"")</f>
        <v/>
      </c>
      <c r="L291" s="334" t="n"/>
      <c r="M291" s="334" t="n"/>
      <c r="N291" s="333">
        <f>IFERROR(IF(L291*M291=0,"",L291*M291),"")</f>
        <v/>
      </c>
      <c r="O291" s="334" t="n"/>
      <c r="P291" s="332">
        <f>IFERROR(VLOOKUP(TEXT(O291,"0"),CONDUCTORES!$A$3:$G$54,2,0),"")</f>
        <v/>
      </c>
      <c r="Q291" s="332">
        <f>IFERROR(VLOOKUP(TEXT(O291,"0"),CONDUCTORES!$A$3:$H$54,6,0),"")</f>
        <v/>
      </c>
      <c r="R291" s="334" t="n"/>
      <c r="S291" s="334" t="n"/>
      <c r="T291" s="334" t="n"/>
      <c r="U291" s="334" t="n"/>
      <c r="V291" s="334" t="n"/>
      <c r="W291" s="334" t="n"/>
      <c r="X291" s="334" t="n"/>
      <c r="Y291" s="334" t="n"/>
    </row>
    <row r="292" ht="15" customHeight="1" s="195">
      <c r="A292" s="280" t="n"/>
      <c r="B292" s="280" t="n"/>
      <c r="C292" s="280" t="n"/>
      <c r="D292" s="280" t="n"/>
      <c r="E292" s="280" t="n"/>
      <c r="F292" s="280" t="n"/>
      <c r="G292" s="280" t="n"/>
      <c r="H292" s="280" t="n"/>
      <c r="I292" s="332">
        <f>IFERROR(VLOOKUP(TEXT(H292,"0"),IPRESS!$A$3:$B$212,2,0),"")</f>
        <v/>
      </c>
      <c r="J292" s="280" t="n"/>
      <c r="K292" s="332">
        <f>IFERROR(VLOOKUP(TEXT(O292,"0"),CONDUCTORES!$A$3:$G$54,7,0),"")</f>
        <v/>
      </c>
      <c r="L292" s="280" t="n"/>
      <c r="M292" s="280" t="n"/>
      <c r="N292" s="333">
        <f>IFERROR(IF(L292*M292=0,"",L292*M292),"")</f>
        <v/>
      </c>
      <c r="O292" s="280" t="n"/>
      <c r="P292" s="332">
        <f>IFERROR(VLOOKUP(TEXT(O292,"0"),CONDUCTORES!$A$3:$G$54,2,0),"")</f>
        <v/>
      </c>
      <c r="Q292" s="332">
        <f>IFERROR(VLOOKUP(TEXT(O292,"0"),CONDUCTORES!$A$3:$H$54,6,0),"")</f>
        <v/>
      </c>
      <c r="R292" s="280" t="n"/>
      <c r="S292" s="280" t="n"/>
      <c r="T292" s="280" t="n"/>
      <c r="U292" s="280" t="n"/>
      <c r="V292" s="280" t="n"/>
      <c r="W292" s="280" t="n"/>
      <c r="X292" s="280" t="n"/>
      <c r="Y292" s="280" t="n"/>
    </row>
    <row r="293" ht="15" customHeight="1" s="195">
      <c r="A293" s="334" t="n"/>
      <c r="B293" s="334" t="n"/>
      <c r="C293" s="334" t="n"/>
      <c r="D293" s="334" t="n"/>
      <c r="E293" s="334" t="n"/>
      <c r="F293" s="334" t="n"/>
      <c r="G293" s="334" t="n"/>
      <c r="H293" s="334" t="n"/>
      <c r="I293" s="332">
        <f>IFERROR(VLOOKUP(TEXT(H293,"0"),IPRESS!$A$3:$B$212,2,0),"")</f>
        <v/>
      </c>
      <c r="J293" s="334" t="n"/>
      <c r="K293" s="332">
        <f>IFERROR(VLOOKUP(TEXT(O293,"0"),CONDUCTORES!$A$3:$G$54,7,0),"")</f>
        <v/>
      </c>
      <c r="L293" s="334" t="n"/>
      <c r="M293" s="334" t="n"/>
      <c r="N293" s="333">
        <f>IFERROR(IF(L293*M293=0,"",L293*M293),"")</f>
        <v/>
      </c>
      <c r="O293" s="334" t="n"/>
      <c r="P293" s="332">
        <f>IFERROR(VLOOKUP(TEXT(O293,"0"),CONDUCTORES!$A$3:$G$54,2,0),"")</f>
        <v/>
      </c>
      <c r="Q293" s="332">
        <f>IFERROR(VLOOKUP(TEXT(O293,"0"),CONDUCTORES!$A$3:$H$54,6,0),"")</f>
        <v/>
      </c>
      <c r="R293" s="334" t="n"/>
      <c r="S293" s="334" t="n"/>
      <c r="T293" s="334" t="n"/>
      <c r="U293" s="334" t="n"/>
      <c r="V293" s="334" t="n"/>
      <c r="W293" s="334" t="n"/>
      <c r="X293" s="334" t="n"/>
      <c r="Y293" s="334" t="n"/>
    </row>
    <row r="294" ht="15" customHeight="1" s="195">
      <c r="A294" s="280" t="n"/>
      <c r="B294" s="280" t="n"/>
      <c r="C294" s="280" t="n"/>
      <c r="D294" s="280" t="n"/>
      <c r="E294" s="280" t="n"/>
      <c r="F294" s="280" t="n"/>
      <c r="G294" s="280" t="n"/>
      <c r="H294" s="280" t="n"/>
      <c r="I294" s="332">
        <f>IFERROR(VLOOKUP(TEXT(H294,"0"),IPRESS!$A$3:$B$212,2,0),"")</f>
        <v/>
      </c>
      <c r="J294" s="280" t="n"/>
      <c r="K294" s="332">
        <f>IFERROR(VLOOKUP(TEXT(O294,"0"),CONDUCTORES!$A$3:$G$54,7,0),"")</f>
        <v/>
      </c>
      <c r="L294" s="280" t="n"/>
      <c r="M294" s="280" t="n"/>
      <c r="N294" s="333">
        <f>IFERROR(IF(L294*M294=0,"",L294*M294),"")</f>
        <v/>
      </c>
      <c r="O294" s="280" t="n"/>
      <c r="P294" s="332">
        <f>IFERROR(VLOOKUP(TEXT(O294,"0"),CONDUCTORES!$A$3:$G$54,2,0),"")</f>
        <v/>
      </c>
      <c r="Q294" s="332">
        <f>IFERROR(VLOOKUP(TEXT(O294,"0"),CONDUCTORES!$A$3:$H$54,6,0),"")</f>
        <v/>
      </c>
      <c r="R294" s="280" t="n"/>
      <c r="S294" s="280" t="n"/>
      <c r="T294" s="280" t="n"/>
      <c r="U294" s="280" t="n"/>
      <c r="V294" s="280" t="n"/>
      <c r="W294" s="280" t="n"/>
      <c r="X294" s="280" t="n"/>
      <c r="Y294" s="280" t="n"/>
    </row>
    <row r="295" ht="15" customHeight="1" s="195">
      <c r="A295" s="334" t="n"/>
      <c r="B295" s="334" t="n"/>
      <c r="C295" s="334" t="n"/>
      <c r="D295" s="334" t="n"/>
      <c r="E295" s="334" t="n"/>
      <c r="F295" s="334" t="n"/>
      <c r="G295" s="334" t="n"/>
      <c r="H295" s="334" t="n"/>
      <c r="I295" s="332">
        <f>IFERROR(VLOOKUP(TEXT(H295,"0"),IPRESS!$A$3:$B$212,2,0),"")</f>
        <v/>
      </c>
      <c r="J295" s="334" t="n"/>
      <c r="K295" s="332">
        <f>IFERROR(VLOOKUP(TEXT(O295,"0"),CONDUCTORES!$A$3:$G$54,7,0),"")</f>
        <v/>
      </c>
      <c r="L295" s="334" t="n"/>
      <c r="M295" s="334" t="n"/>
      <c r="N295" s="333">
        <f>IFERROR(IF(L295*M295=0,"",L295*M295),"")</f>
        <v/>
      </c>
      <c r="O295" s="334" t="n"/>
      <c r="P295" s="332">
        <f>IFERROR(VLOOKUP(TEXT(O295,"0"),CONDUCTORES!$A$3:$G$54,2,0),"")</f>
        <v/>
      </c>
      <c r="Q295" s="332">
        <f>IFERROR(VLOOKUP(TEXT(O295,"0"),CONDUCTORES!$A$3:$H$54,6,0),"")</f>
        <v/>
      </c>
      <c r="R295" s="334" t="n"/>
      <c r="S295" s="334" t="n"/>
      <c r="T295" s="334" t="n"/>
      <c r="U295" s="334" t="n"/>
      <c r="V295" s="334" t="n"/>
      <c r="W295" s="334" t="n"/>
      <c r="X295" s="334" t="n"/>
      <c r="Y295" s="334" t="n"/>
    </row>
    <row r="296" ht="15" customHeight="1" s="195">
      <c r="A296" s="280" t="n"/>
      <c r="B296" s="280" t="n"/>
      <c r="C296" s="280" t="n"/>
      <c r="D296" s="280" t="n"/>
      <c r="E296" s="280" t="n"/>
      <c r="F296" s="280" t="n"/>
      <c r="G296" s="280" t="n"/>
      <c r="H296" s="280" t="n"/>
      <c r="I296" s="332">
        <f>IFERROR(VLOOKUP(TEXT(H296,"0"),IPRESS!$A$3:$B$212,2,0),"")</f>
        <v/>
      </c>
      <c r="J296" s="280" t="n"/>
      <c r="K296" s="332">
        <f>IFERROR(VLOOKUP(TEXT(O296,"0"),CONDUCTORES!$A$3:$G$54,7,0),"")</f>
        <v/>
      </c>
      <c r="L296" s="280" t="n"/>
      <c r="M296" s="280" t="n"/>
      <c r="N296" s="333">
        <f>IFERROR(IF(L296*M296=0,"",L296*M296),"")</f>
        <v/>
      </c>
      <c r="O296" s="280" t="n"/>
      <c r="P296" s="332">
        <f>IFERROR(VLOOKUP(TEXT(O296,"0"),CONDUCTORES!$A$3:$G$54,2,0),"")</f>
        <v/>
      </c>
      <c r="Q296" s="332">
        <f>IFERROR(VLOOKUP(TEXT(O296,"0"),CONDUCTORES!$A$3:$H$54,6,0),"")</f>
        <v/>
      </c>
      <c r="R296" s="280" t="n"/>
      <c r="S296" s="280" t="n"/>
      <c r="T296" s="280" t="n"/>
      <c r="U296" s="280" t="n"/>
      <c r="V296" s="280" t="n"/>
      <c r="W296" s="280" t="n"/>
      <c r="X296" s="280" t="n"/>
      <c r="Y296" s="280" t="n"/>
    </row>
    <row r="297" ht="15" customHeight="1" s="195">
      <c r="A297" s="334" t="n"/>
      <c r="B297" s="334" t="n"/>
      <c r="C297" s="334" t="n"/>
      <c r="D297" s="334" t="n"/>
      <c r="E297" s="334" t="n"/>
      <c r="F297" s="334" t="n"/>
      <c r="G297" s="334" t="n"/>
      <c r="H297" s="334" t="n"/>
      <c r="I297" s="332">
        <f>IFERROR(VLOOKUP(TEXT(H297,"0"),IPRESS!$A$3:$B$212,2,0),"")</f>
        <v/>
      </c>
      <c r="J297" s="334" t="n"/>
      <c r="K297" s="332">
        <f>IFERROR(VLOOKUP(TEXT(O297,"0"),CONDUCTORES!$A$3:$G$54,7,0),"")</f>
        <v/>
      </c>
      <c r="L297" s="334" t="n"/>
      <c r="M297" s="334" t="n"/>
      <c r="N297" s="333">
        <f>IFERROR(IF(L297*M297=0,"",L297*M297),"")</f>
        <v/>
      </c>
      <c r="O297" s="334" t="n"/>
      <c r="P297" s="332">
        <f>IFERROR(VLOOKUP(TEXT(O297,"0"),CONDUCTORES!$A$3:$G$54,2,0),"")</f>
        <v/>
      </c>
      <c r="Q297" s="332">
        <f>IFERROR(VLOOKUP(TEXT(O297,"0"),CONDUCTORES!$A$3:$H$54,6,0),"")</f>
        <v/>
      </c>
      <c r="R297" s="334" t="n"/>
      <c r="S297" s="334" t="n"/>
      <c r="T297" s="334" t="n"/>
      <c r="U297" s="334" t="n"/>
      <c r="V297" s="334" t="n"/>
      <c r="W297" s="334" t="n"/>
      <c r="X297" s="334" t="n"/>
      <c r="Y297" s="334" t="n"/>
    </row>
    <row r="298" ht="15" customHeight="1" s="195">
      <c r="A298" s="280" t="n"/>
      <c r="B298" s="280" t="n"/>
      <c r="C298" s="280" t="n"/>
      <c r="D298" s="280" t="n"/>
      <c r="E298" s="280" t="n"/>
      <c r="F298" s="280" t="n"/>
      <c r="G298" s="280" t="n"/>
      <c r="H298" s="280" t="n"/>
      <c r="I298" s="332">
        <f>IFERROR(VLOOKUP(TEXT(H298,"0"),IPRESS!$A$3:$B$212,2,0),"")</f>
        <v/>
      </c>
      <c r="J298" s="280" t="n"/>
      <c r="K298" s="332">
        <f>IFERROR(VLOOKUP(TEXT(O298,"0"),CONDUCTORES!$A$3:$G$54,7,0),"")</f>
        <v/>
      </c>
      <c r="L298" s="280" t="n"/>
      <c r="M298" s="280" t="n"/>
      <c r="N298" s="333">
        <f>IFERROR(IF(L298*M298=0,"",L298*M298),"")</f>
        <v/>
      </c>
      <c r="O298" s="280" t="n"/>
      <c r="P298" s="332">
        <f>IFERROR(VLOOKUP(TEXT(O298,"0"),CONDUCTORES!$A$3:$G$54,2,0),"")</f>
        <v/>
      </c>
      <c r="Q298" s="332">
        <f>IFERROR(VLOOKUP(TEXT(O298,"0"),CONDUCTORES!$A$3:$H$54,6,0),"")</f>
        <v/>
      </c>
      <c r="R298" s="280" t="n"/>
      <c r="S298" s="280" t="n"/>
      <c r="T298" s="280" t="n"/>
      <c r="U298" s="280" t="n"/>
      <c r="V298" s="280" t="n"/>
      <c r="W298" s="280" t="n"/>
      <c r="X298" s="280" t="n"/>
      <c r="Y298" s="280" t="n"/>
    </row>
    <row r="299" ht="15" customHeight="1" s="195">
      <c r="A299" s="334" t="n"/>
      <c r="B299" s="334" t="n"/>
      <c r="C299" s="334" t="n"/>
      <c r="D299" s="334" t="n"/>
      <c r="E299" s="334" t="n"/>
      <c r="F299" s="334" t="n"/>
      <c r="G299" s="334" t="n"/>
      <c r="H299" s="334" t="n"/>
      <c r="I299" s="332">
        <f>IFERROR(VLOOKUP(TEXT(H299,"0"),IPRESS!$A$3:$B$212,2,0),"")</f>
        <v/>
      </c>
      <c r="J299" s="334" t="n"/>
      <c r="K299" s="332">
        <f>IFERROR(VLOOKUP(TEXT(O299,"0"),CONDUCTORES!$A$3:$G$54,7,0),"")</f>
        <v/>
      </c>
      <c r="L299" s="334" t="n"/>
      <c r="M299" s="334" t="n"/>
      <c r="N299" s="333">
        <f>IFERROR(IF(L299*M299=0,"",L299*M299),"")</f>
        <v/>
      </c>
      <c r="O299" s="334" t="n"/>
      <c r="P299" s="332">
        <f>IFERROR(VLOOKUP(TEXT(O299,"0"),CONDUCTORES!$A$3:$G$54,2,0),"")</f>
        <v/>
      </c>
      <c r="Q299" s="332">
        <f>IFERROR(VLOOKUP(TEXT(O299,"0"),CONDUCTORES!$A$3:$H$54,6,0),"")</f>
        <v/>
      </c>
      <c r="R299" s="334" t="n"/>
      <c r="S299" s="334" t="n"/>
      <c r="T299" s="334" t="n"/>
      <c r="U299" s="334" t="n"/>
      <c r="V299" s="334" t="n"/>
      <c r="W299" s="334" t="n"/>
      <c r="X299" s="334" t="n"/>
      <c r="Y299" s="334" t="n"/>
    </row>
    <row r="300" ht="15" customHeight="1" s="195">
      <c r="A300" s="280" t="n"/>
      <c r="B300" s="280" t="n"/>
      <c r="C300" s="280" t="n"/>
      <c r="D300" s="280" t="n"/>
      <c r="E300" s="280" t="n"/>
      <c r="F300" s="280" t="n"/>
      <c r="G300" s="280" t="n"/>
      <c r="H300" s="280" t="n"/>
      <c r="I300" s="332">
        <f>IFERROR(VLOOKUP(TEXT(H300,"0"),IPRESS!$A$3:$B$212,2,0),"")</f>
        <v/>
      </c>
      <c r="J300" s="280" t="n"/>
      <c r="K300" s="332">
        <f>IFERROR(VLOOKUP(TEXT(O300,"0"),CONDUCTORES!$A$3:$G$54,7,0),"")</f>
        <v/>
      </c>
      <c r="L300" s="280" t="n"/>
      <c r="M300" s="280" t="n"/>
      <c r="N300" s="333">
        <f>IFERROR(IF(L300*M300=0,"",L300*M300),"")</f>
        <v/>
      </c>
      <c r="O300" s="280" t="n"/>
      <c r="P300" s="332">
        <f>IFERROR(VLOOKUP(TEXT(O300,"0"),CONDUCTORES!$A$3:$G$54,2,0),"")</f>
        <v/>
      </c>
      <c r="Q300" s="332">
        <f>IFERROR(VLOOKUP(TEXT(O300,"0"),CONDUCTORES!$A$3:$H$54,6,0),"")</f>
        <v/>
      </c>
      <c r="R300" s="280" t="n"/>
      <c r="S300" s="280" t="n"/>
      <c r="T300" s="280" t="n"/>
      <c r="U300" s="280" t="n"/>
      <c r="V300" s="280" t="n"/>
      <c r="W300" s="280" t="n"/>
      <c r="X300" s="280" t="n"/>
      <c r="Y300" s="280" t="n"/>
    </row>
    <row r="301" ht="15" customHeight="1" s="195">
      <c r="A301" s="334" t="n"/>
      <c r="B301" s="334" t="n"/>
      <c r="C301" s="334" t="n"/>
      <c r="D301" s="334" t="n"/>
      <c r="E301" s="334" t="n"/>
      <c r="F301" s="334" t="n"/>
      <c r="G301" s="334" t="n"/>
      <c r="H301" s="334" t="n"/>
      <c r="I301" s="332">
        <f>IFERROR(VLOOKUP(TEXT(H301,"0"),IPRESS!$A$3:$B$212,2,0),"")</f>
        <v/>
      </c>
      <c r="J301" s="334" t="n"/>
      <c r="K301" s="332">
        <f>IFERROR(VLOOKUP(TEXT(O301,"0"),CONDUCTORES!$A$3:$G$54,7,0),"")</f>
        <v/>
      </c>
      <c r="L301" s="334" t="n"/>
      <c r="M301" s="334" t="n"/>
      <c r="N301" s="333">
        <f>IFERROR(IF(L301*M301=0,"",L301*M301),"")</f>
        <v/>
      </c>
      <c r="O301" s="334" t="n"/>
      <c r="P301" s="332">
        <f>IFERROR(VLOOKUP(TEXT(O301,"0"),CONDUCTORES!$A$3:$G$54,2,0),"")</f>
        <v/>
      </c>
      <c r="Q301" s="332">
        <f>IFERROR(VLOOKUP(TEXT(O301,"0"),CONDUCTORES!$A$3:$H$54,6,0),"")</f>
        <v/>
      </c>
      <c r="R301" s="334" t="n"/>
      <c r="S301" s="334" t="n"/>
      <c r="T301" s="334" t="n"/>
      <c r="U301" s="334" t="n"/>
      <c r="V301" s="334" t="n"/>
      <c r="W301" s="334" t="n"/>
      <c r="X301" s="334" t="n"/>
      <c r="Y301" s="334" t="n"/>
    </row>
    <row r="302" ht="15" customHeight="1" s="195">
      <c r="A302" s="280" t="n"/>
      <c r="B302" s="280" t="n"/>
      <c r="C302" s="280" t="n"/>
      <c r="D302" s="280" t="n"/>
      <c r="E302" s="280" t="n"/>
      <c r="F302" s="280" t="n"/>
      <c r="G302" s="280" t="n"/>
      <c r="H302" s="280" t="n"/>
      <c r="I302" s="332">
        <f>IFERROR(VLOOKUP(TEXT(H302,"0"),IPRESS!$A$3:$B$212,2,0),"")</f>
        <v/>
      </c>
      <c r="J302" s="280" t="n"/>
      <c r="K302" s="332">
        <f>IFERROR(VLOOKUP(TEXT(O302,"0"),CONDUCTORES!$A$3:$G$54,7,0),"")</f>
        <v/>
      </c>
      <c r="L302" s="280" t="n"/>
      <c r="M302" s="280" t="n"/>
      <c r="N302" s="333">
        <f>IFERROR(IF(L302*M302=0,"",L302*M302),"")</f>
        <v/>
      </c>
      <c r="O302" s="280" t="n"/>
      <c r="P302" s="332">
        <f>IFERROR(VLOOKUP(TEXT(O302,"0"),CONDUCTORES!$A$3:$G$54,2,0),"")</f>
        <v/>
      </c>
      <c r="Q302" s="332">
        <f>IFERROR(VLOOKUP(TEXT(O302,"0"),CONDUCTORES!$A$3:$H$54,6,0),"")</f>
        <v/>
      </c>
      <c r="R302" s="280" t="n"/>
      <c r="S302" s="280" t="n"/>
      <c r="T302" s="280" t="n"/>
      <c r="U302" s="280" t="n"/>
      <c r="V302" s="280" t="n"/>
      <c r="W302" s="280" t="n"/>
      <c r="X302" s="280" t="n"/>
      <c r="Y302" s="280" t="n"/>
    </row>
    <row r="303" ht="15" customHeight="1" s="195">
      <c r="A303" s="334" t="n"/>
      <c r="B303" s="334" t="n"/>
      <c r="C303" s="334" t="n"/>
      <c r="D303" s="334" t="n"/>
      <c r="E303" s="334" t="n"/>
      <c r="F303" s="334" t="n"/>
      <c r="G303" s="334" t="n"/>
      <c r="H303" s="334" t="n"/>
      <c r="I303" s="332">
        <f>IFERROR(VLOOKUP(TEXT(H303,"0"),IPRESS!$A$3:$B$212,2,0),"")</f>
        <v/>
      </c>
      <c r="J303" s="334" t="n"/>
      <c r="K303" s="332">
        <f>IFERROR(VLOOKUP(TEXT(O303,"0"),CONDUCTORES!$A$3:$G$54,7,0),"")</f>
        <v/>
      </c>
      <c r="L303" s="334" t="n"/>
      <c r="M303" s="334" t="n"/>
      <c r="N303" s="333">
        <f>IFERROR(IF(L303*M303=0,"",L303*M303),"")</f>
        <v/>
      </c>
      <c r="O303" s="334" t="n"/>
      <c r="P303" s="332">
        <f>IFERROR(VLOOKUP(TEXT(O303,"0"),CONDUCTORES!$A$3:$G$54,2,0),"")</f>
        <v/>
      </c>
      <c r="Q303" s="332">
        <f>IFERROR(VLOOKUP(TEXT(O303,"0"),CONDUCTORES!$A$3:$H$54,6,0),"")</f>
        <v/>
      </c>
      <c r="R303" s="334" t="n"/>
      <c r="S303" s="334" t="n"/>
      <c r="T303" s="334" t="n"/>
      <c r="U303" s="334" t="n"/>
      <c r="V303" s="334" t="n"/>
      <c r="W303" s="334" t="n"/>
      <c r="X303" s="334" t="n"/>
      <c r="Y303" s="334" t="n"/>
    </row>
    <row r="304" ht="15" customHeight="1" s="195">
      <c r="A304" s="280" t="n"/>
      <c r="B304" s="280" t="n"/>
      <c r="C304" s="280" t="n"/>
      <c r="D304" s="280" t="n"/>
      <c r="E304" s="280" t="n"/>
      <c r="F304" s="280" t="n"/>
      <c r="G304" s="280" t="n"/>
      <c r="H304" s="280" t="n"/>
      <c r="I304" s="332">
        <f>IFERROR(VLOOKUP(TEXT(H304,"0"),IPRESS!$A$3:$B$212,2,0),"")</f>
        <v/>
      </c>
      <c r="J304" s="280" t="n"/>
      <c r="K304" s="332">
        <f>IFERROR(VLOOKUP(TEXT(O304,"0"),CONDUCTORES!$A$3:$G$54,7,0),"")</f>
        <v/>
      </c>
      <c r="L304" s="280" t="n"/>
      <c r="M304" s="280" t="n"/>
      <c r="N304" s="333">
        <f>IFERROR(IF(L304*M304=0,"",L304*M304),"")</f>
        <v/>
      </c>
      <c r="O304" s="280" t="n"/>
      <c r="P304" s="332">
        <f>IFERROR(VLOOKUP(TEXT(O304,"0"),CONDUCTORES!$A$3:$G$54,2,0),"")</f>
        <v/>
      </c>
      <c r="Q304" s="332">
        <f>IFERROR(VLOOKUP(TEXT(O304,"0"),CONDUCTORES!$A$3:$H$54,6,0),"")</f>
        <v/>
      </c>
      <c r="R304" s="280" t="n"/>
      <c r="S304" s="280" t="n"/>
      <c r="T304" s="280" t="n"/>
      <c r="U304" s="280" t="n"/>
      <c r="V304" s="280" t="n"/>
      <c r="W304" s="280" t="n"/>
      <c r="X304" s="280" t="n"/>
      <c r="Y304" s="280" t="n"/>
    </row>
    <row r="305" ht="15" customHeight="1" s="195">
      <c r="A305" s="334" t="n"/>
      <c r="B305" s="334" t="n"/>
      <c r="C305" s="334" t="n"/>
      <c r="D305" s="334" t="n"/>
      <c r="E305" s="334" t="n"/>
      <c r="F305" s="334" t="n"/>
      <c r="G305" s="334" t="n"/>
      <c r="H305" s="334" t="n"/>
      <c r="I305" s="332">
        <f>IFERROR(VLOOKUP(TEXT(H305,"0"),IPRESS!$A$3:$B$212,2,0),"")</f>
        <v/>
      </c>
      <c r="J305" s="334" t="n"/>
      <c r="K305" s="332">
        <f>IFERROR(VLOOKUP(TEXT(O305,"0"),CONDUCTORES!$A$3:$G$54,7,0),"")</f>
        <v/>
      </c>
      <c r="L305" s="334" t="n"/>
      <c r="M305" s="334" t="n"/>
      <c r="N305" s="333">
        <f>IFERROR(IF(L305*M305=0,"",L305*M305),"")</f>
        <v/>
      </c>
      <c r="O305" s="334" t="n"/>
      <c r="P305" s="332">
        <f>IFERROR(VLOOKUP(TEXT(O305,"0"),CONDUCTORES!$A$3:$G$54,2,0),"")</f>
        <v/>
      </c>
      <c r="Q305" s="332">
        <f>IFERROR(VLOOKUP(TEXT(O305,"0"),CONDUCTORES!$A$3:$H$54,6,0),"")</f>
        <v/>
      </c>
      <c r="R305" s="334" t="n"/>
      <c r="S305" s="334" t="n"/>
      <c r="T305" s="334" t="n"/>
      <c r="U305" s="334" t="n"/>
      <c r="V305" s="334" t="n"/>
      <c r="W305" s="334" t="n"/>
      <c r="X305" s="334" t="n"/>
      <c r="Y305" s="334" t="n"/>
    </row>
    <row r="306" ht="15" customHeight="1" s="195">
      <c r="A306" s="280" t="n"/>
      <c r="B306" s="280" t="n"/>
      <c r="C306" s="280" t="n"/>
      <c r="D306" s="280" t="n"/>
      <c r="E306" s="280" t="n"/>
      <c r="F306" s="280" t="n"/>
      <c r="G306" s="280" t="n"/>
      <c r="H306" s="280" t="n"/>
      <c r="I306" s="332">
        <f>IFERROR(VLOOKUP(TEXT(H306,"0"),IPRESS!$A$3:$B$212,2,0),"")</f>
        <v/>
      </c>
      <c r="J306" s="280" t="n"/>
      <c r="K306" s="332">
        <f>IFERROR(VLOOKUP(TEXT(O306,"0"),CONDUCTORES!$A$3:$G$54,7,0),"")</f>
        <v/>
      </c>
      <c r="L306" s="280" t="n"/>
      <c r="M306" s="280" t="n"/>
      <c r="N306" s="333">
        <f>IFERROR(IF(L306*M306=0,"",L306*M306),"")</f>
        <v/>
      </c>
      <c r="O306" s="280" t="n"/>
      <c r="P306" s="332">
        <f>IFERROR(VLOOKUP(TEXT(O306,"0"),CONDUCTORES!$A$3:$G$54,2,0),"")</f>
        <v/>
      </c>
      <c r="Q306" s="332">
        <f>IFERROR(VLOOKUP(TEXT(O306,"0"),CONDUCTORES!$A$3:$H$54,6,0),"")</f>
        <v/>
      </c>
      <c r="R306" s="280" t="n"/>
      <c r="S306" s="280" t="n"/>
      <c r="T306" s="280" t="n"/>
      <c r="U306" s="280" t="n"/>
      <c r="V306" s="280" t="n"/>
      <c r="W306" s="280" t="n"/>
      <c r="X306" s="280" t="n"/>
      <c r="Y306" s="280" t="n"/>
    </row>
    <row r="307" ht="15" customHeight="1" s="195">
      <c r="A307" s="334" t="n"/>
      <c r="B307" s="334" t="n"/>
      <c r="C307" s="334" t="n"/>
      <c r="D307" s="334" t="n"/>
      <c r="E307" s="334" t="n"/>
      <c r="F307" s="334" t="n"/>
      <c r="G307" s="334" t="n"/>
      <c r="H307" s="334" t="n"/>
      <c r="I307" s="332">
        <f>IFERROR(VLOOKUP(TEXT(H307,"0"),IPRESS!$A$3:$B$212,2,0),"")</f>
        <v/>
      </c>
      <c r="J307" s="334" t="n"/>
      <c r="K307" s="332">
        <f>IFERROR(VLOOKUP(TEXT(O307,"0"),CONDUCTORES!$A$3:$G$54,7,0),"")</f>
        <v/>
      </c>
      <c r="L307" s="334" t="n"/>
      <c r="M307" s="334" t="n"/>
      <c r="N307" s="333">
        <f>IFERROR(IF(L307*M307=0,"",L307*M307),"")</f>
        <v/>
      </c>
      <c r="O307" s="334" t="n"/>
      <c r="P307" s="332">
        <f>IFERROR(VLOOKUP(TEXT(O307,"0"),CONDUCTORES!$A$3:$G$54,2,0),"")</f>
        <v/>
      </c>
      <c r="Q307" s="332">
        <f>IFERROR(VLOOKUP(TEXT(O307,"0"),CONDUCTORES!$A$3:$H$54,6,0),"")</f>
        <v/>
      </c>
      <c r="R307" s="334" t="n"/>
      <c r="S307" s="334" t="n"/>
      <c r="T307" s="334" t="n"/>
      <c r="U307" s="334" t="n"/>
      <c r="V307" s="334" t="n"/>
      <c r="W307" s="334" t="n"/>
      <c r="X307" s="334" t="n"/>
      <c r="Y307" s="334" t="n"/>
    </row>
    <row r="308" ht="15" customHeight="1" s="195">
      <c r="A308" s="280" t="n"/>
      <c r="B308" s="280" t="n"/>
      <c r="C308" s="280" t="n"/>
      <c r="D308" s="280" t="n"/>
      <c r="E308" s="280" t="n"/>
      <c r="F308" s="280" t="n"/>
      <c r="G308" s="280" t="n"/>
      <c r="H308" s="280" t="n"/>
      <c r="I308" s="332">
        <f>IFERROR(VLOOKUP(TEXT(H308,"0"),IPRESS!$A$3:$B$212,2,0),"")</f>
        <v/>
      </c>
      <c r="J308" s="280" t="n"/>
      <c r="K308" s="332">
        <f>IFERROR(VLOOKUP(TEXT(O308,"0"),CONDUCTORES!$A$3:$G$54,7,0),"")</f>
        <v/>
      </c>
      <c r="L308" s="280" t="n"/>
      <c r="M308" s="280" t="n"/>
      <c r="N308" s="333">
        <f>IFERROR(IF(L308*M308=0,"",L308*M308),"")</f>
        <v/>
      </c>
      <c r="O308" s="280" t="n"/>
      <c r="P308" s="332">
        <f>IFERROR(VLOOKUP(TEXT(O308,"0"),CONDUCTORES!$A$3:$G$54,2,0),"")</f>
        <v/>
      </c>
      <c r="Q308" s="332">
        <f>IFERROR(VLOOKUP(TEXT(O308,"0"),CONDUCTORES!$A$3:$H$54,6,0),"")</f>
        <v/>
      </c>
      <c r="R308" s="280" t="n"/>
      <c r="S308" s="280" t="n"/>
      <c r="T308" s="280" t="n"/>
      <c r="U308" s="280" t="n"/>
      <c r="V308" s="280" t="n"/>
      <c r="W308" s="280" t="n"/>
      <c r="X308" s="280" t="n"/>
      <c r="Y308" s="280" t="n"/>
    </row>
    <row r="309" ht="15" customHeight="1" s="195">
      <c r="A309" s="334" t="n"/>
      <c r="B309" s="334" t="n"/>
      <c r="C309" s="334" t="n"/>
      <c r="D309" s="334" t="n"/>
      <c r="E309" s="334" t="n"/>
      <c r="F309" s="334" t="n"/>
      <c r="G309" s="334" t="n"/>
      <c r="H309" s="334" t="n"/>
      <c r="I309" s="332">
        <f>IFERROR(VLOOKUP(TEXT(H309,"0"),IPRESS!$A$3:$B$212,2,0),"")</f>
        <v/>
      </c>
      <c r="J309" s="334" t="n"/>
      <c r="K309" s="332">
        <f>IFERROR(VLOOKUP(TEXT(O309,"0"),CONDUCTORES!$A$3:$G$54,7,0),"")</f>
        <v/>
      </c>
      <c r="L309" s="334" t="n"/>
      <c r="M309" s="334" t="n"/>
      <c r="N309" s="333">
        <f>IFERROR(IF(L309*M309=0,"",L309*M309),"")</f>
        <v/>
      </c>
      <c r="O309" s="334" t="n"/>
      <c r="P309" s="332">
        <f>IFERROR(VLOOKUP(TEXT(O309,"0"),CONDUCTORES!$A$3:$G$54,2,0),"")</f>
        <v/>
      </c>
      <c r="Q309" s="332">
        <f>IFERROR(VLOOKUP(TEXT(O309,"0"),CONDUCTORES!$A$3:$H$54,6,0),"")</f>
        <v/>
      </c>
      <c r="R309" s="334" t="n"/>
      <c r="S309" s="334" t="n"/>
      <c r="T309" s="334" t="n"/>
      <c r="U309" s="334" t="n"/>
      <c r="V309" s="334" t="n"/>
      <c r="W309" s="334" t="n"/>
      <c r="X309" s="334" t="n"/>
      <c r="Y309" s="334" t="n"/>
    </row>
    <row r="310" ht="15" customHeight="1" s="195">
      <c r="A310" s="280" t="n"/>
      <c r="B310" s="280" t="n"/>
      <c r="C310" s="280" t="n"/>
      <c r="D310" s="280" t="n"/>
      <c r="E310" s="280" t="n"/>
      <c r="F310" s="280" t="n"/>
      <c r="G310" s="280" t="n"/>
      <c r="H310" s="280" t="n"/>
      <c r="I310" s="332">
        <f>IFERROR(VLOOKUP(TEXT(H310,"0"),IPRESS!$A$3:$B$212,2,0),"")</f>
        <v/>
      </c>
      <c r="J310" s="280" t="n"/>
      <c r="K310" s="332">
        <f>IFERROR(VLOOKUP(TEXT(O310,"0"),CONDUCTORES!$A$3:$G$54,7,0),"")</f>
        <v/>
      </c>
      <c r="L310" s="280" t="n"/>
      <c r="M310" s="280" t="n"/>
      <c r="N310" s="333">
        <f>IFERROR(IF(L310*M310=0,"",L310*M310),"")</f>
        <v/>
      </c>
      <c r="O310" s="280" t="n"/>
      <c r="P310" s="332">
        <f>IFERROR(VLOOKUP(TEXT(O310,"0"),CONDUCTORES!$A$3:$G$54,2,0),"")</f>
        <v/>
      </c>
      <c r="Q310" s="332">
        <f>IFERROR(VLOOKUP(TEXT(O310,"0"),CONDUCTORES!$A$3:$H$54,6,0),"")</f>
        <v/>
      </c>
      <c r="R310" s="280" t="n"/>
      <c r="S310" s="280" t="n"/>
      <c r="T310" s="280" t="n"/>
      <c r="U310" s="280" t="n"/>
      <c r="V310" s="280" t="n"/>
      <c r="W310" s="280" t="n"/>
      <c r="X310" s="280" t="n"/>
      <c r="Y310" s="280" t="n"/>
    </row>
    <row r="311" ht="15" customHeight="1" s="195">
      <c r="A311" s="334" t="n"/>
      <c r="B311" s="334" t="n"/>
      <c r="C311" s="334" t="n"/>
      <c r="D311" s="334" t="n"/>
      <c r="E311" s="334" t="n"/>
      <c r="F311" s="334" t="n"/>
      <c r="G311" s="334" t="n"/>
      <c r="H311" s="334" t="n"/>
      <c r="I311" s="332">
        <f>IFERROR(VLOOKUP(TEXT(H311,"0"),IPRESS!$A$3:$B$212,2,0),"")</f>
        <v/>
      </c>
      <c r="J311" s="334" t="n"/>
      <c r="K311" s="332">
        <f>IFERROR(VLOOKUP(TEXT(O311,"0"),CONDUCTORES!$A$3:$G$54,7,0),"")</f>
        <v/>
      </c>
      <c r="L311" s="334" t="n"/>
      <c r="M311" s="334" t="n"/>
      <c r="N311" s="333">
        <f>IFERROR(IF(L311*M311=0,"",L311*M311),"")</f>
        <v/>
      </c>
      <c r="O311" s="334" t="n"/>
      <c r="P311" s="332">
        <f>IFERROR(VLOOKUP(TEXT(O311,"0"),CONDUCTORES!$A$3:$G$54,2,0),"")</f>
        <v/>
      </c>
      <c r="Q311" s="332">
        <f>IFERROR(VLOOKUP(TEXT(O311,"0"),CONDUCTORES!$A$3:$H$54,6,0),"")</f>
        <v/>
      </c>
      <c r="R311" s="334" t="n"/>
      <c r="S311" s="334" t="n"/>
      <c r="T311" s="334" t="n"/>
      <c r="U311" s="334" t="n"/>
      <c r="V311" s="334" t="n"/>
      <c r="W311" s="334" t="n"/>
      <c r="X311" s="334" t="n"/>
      <c r="Y311" s="334" t="n"/>
    </row>
    <row r="312" ht="15" customHeight="1" s="195">
      <c r="A312" s="280" t="n"/>
      <c r="B312" s="280" t="n"/>
      <c r="C312" s="280" t="n"/>
      <c r="D312" s="280" t="n"/>
      <c r="E312" s="280" t="n"/>
      <c r="F312" s="280" t="n"/>
      <c r="G312" s="280" t="n"/>
      <c r="H312" s="280" t="n"/>
      <c r="I312" s="332">
        <f>IFERROR(VLOOKUP(TEXT(H312,"0"),IPRESS!$A$3:$B$212,2,0),"")</f>
        <v/>
      </c>
      <c r="J312" s="280" t="n"/>
      <c r="K312" s="332">
        <f>IFERROR(VLOOKUP(TEXT(O312,"0"),CONDUCTORES!$A$3:$G$54,7,0),"")</f>
        <v/>
      </c>
      <c r="L312" s="280" t="n"/>
      <c r="M312" s="280" t="n"/>
      <c r="N312" s="333">
        <f>IFERROR(IF(L312*M312=0,"",L312*M312),"")</f>
        <v/>
      </c>
      <c r="O312" s="280" t="n"/>
      <c r="P312" s="332">
        <f>IFERROR(VLOOKUP(TEXT(O312,"0"),CONDUCTORES!$A$3:$G$54,2,0),"")</f>
        <v/>
      </c>
      <c r="Q312" s="332">
        <f>IFERROR(VLOOKUP(TEXT(O312,"0"),CONDUCTORES!$A$3:$H$54,6,0),"")</f>
        <v/>
      </c>
      <c r="R312" s="280" t="n"/>
      <c r="S312" s="280" t="n"/>
      <c r="T312" s="280" t="n"/>
      <c r="U312" s="280" t="n"/>
      <c r="V312" s="280" t="n"/>
      <c r="W312" s="280" t="n"/>
      <c r="X312" s="280" t="n"/>
      <c r="Y312" s="280" t="n"/>
    </row>
    <row r="313" ht="15" customHeight="1" s="195">
      <c r="A313" s="334" t="n"/>
      <c r="B313" s="334" t="n"/>
      <c r="C313" s="334" t="n"/>
      <c r="D313" s="334" t="n"/>
      <c r="E313" s="334" t="n"/>
      <c r="F313" s="334" t="n"/>
      <c r="G313" s="334" t="n"/>
      <c r="H313" s="334" t="n"/>
      <c r="I313" s="332">
        <f>IFERROR(VLOOKUP(TEXT(H313,"0"),IPRESS!$A$3:$B$212,2,0),"")</f>
        <v/>
      </c>
      <c r="J313" s="334" t="n"/>
      <c r="K313" s="332">
        <f>IFERROR(VLOOKUP(TEXT(O313,"0"),CONDUCTORES!$A$3:$G$54,7,0),"")</f>
        <v/>
      </c>
      <c r="L313" s="334" t="n"/>
      <c r="M313" s="334" t="n"/>
      <c r="N313" s="333">
        <f>IFERROR(IF(L313*M313=0,"",L313*M313),"")</f>
        <v/>
      </c>
      <c r="O313" s="334" t="n"/>
      <c r="P313" s="332">
        <f>IFERROR(VLOOKUP(TEXT(O313,"0"),CONDUCTORES!$A$3:$G$54,2,0),"")</f>
        <v/>
      </c>
      <c r="Q313" s="332">
        <f>IFERROR(VLOOKUP(TEXT(O313,"0"),CONDUCTORES!$A$3:$H$54,6,0),"")</f>
        <v/>
      </c>
      <c r="R313" s="334" t="n"/>
      <c r="S313" s="334" t="n"/>
      <c r="T313" s="334" t="n"/>
      <c r="U313" s="334" t="n"/>
      <c r="V313" s="334" t="n"/>
      <c r="W313" s="334" t="n"/>
      <c r="X313" s="334" t="n"/>
      <c r="Y313" s="334" t="n"/>
    </row>
    <row r="314" ht="15" customHeight="1" s="195">
      <c r="A314" s="280" t="n"/>
      <c r="B314" s="280" t="n"/>
      <c r="C314" s="280" t="n"/>
      <c r="D314" s="280" t="n"/>
      <c r="E314" s="280" t="n"/>
      <c r="F314" s="280" t="n"/>
      <c r="G314" s="280" t="n"/>
      <c r="H314" s="280" t="n"/>
      <c r="I314" s="332">
        <f>IFERROR(VLOOKUP(TEXT(H314,"0"),IPRESS!$A$3:$B$212,2,0),"")</f>
        <v/>
      </c>
      <c r="J314" s="280" t="n"/>
      <c r="K314" s="332">
        <f>IFERROR(VLOOKUP(TEXT(O314,"0"),CONDUCTORES!$A$3:$G$54,7,0),"")</f>
        <v/>
      </c>
      <c r="L314" s="280" t="n"/>
      <c r="M314" s="280" t="n"/>
      <c r="N314" s="333">
        <f>IFERROR(IF(L314*M314=0,"",L314*M314),"")</f>
        <v/>
      </c>
      <c r="O314" s="280" t="n"/>
      <c r="P314" s="332">
        <f>IFERROR(VLOOKUP(TEXT(O314,"0"),CONDUCTORES!$A$3:$G$54,2,0),"")</f>
        <v/>
      </c>
      <c r="Q314" s="332">
        <f>IFERROR(VLOOKUP(TEXT(O314,"0"),CONDUCTORES!$A$3:$H$54,6,0),"")</f>
        <v/>
      </c>
      <c r="R314" s="280" t="n"/>
      <c r="S314" s="280" t="n"/>
      <c r="T314" s="280" t="n"/>
      <c r="U314" s="280" t="n"/>
      <c r="V314" s="280" t="n"/>
      <c r="W314" s="280" t="n"/>
      <c r="X314" s="280" t="n"/>
      <c r="Y314" s="280" t="n"/>
    </row>
    <row r="315" ht="15" customHeight="1" s="195">
      <c r="A315" s="334" t="n"/>
      <c r="B315" s="334" t="n"/>
      <c r="C315" s="334" t="n"/>
      <c r="D315" s="334" t="n"/>
      <c r="E315" s="334" t="n"/>
      <c r="F315" s="334" t="n"/>
      <c r="G315" s="334" t="n"/>
      <c r="H315" s="334" t="n"/>
      <c r="I315" s="332">
        <f>IFERROR(VLOOKUP(TEXT(H315,"0"),IPRESS!$A$3:$B$212,2,0),"")</f>
        <v/>
      </c>
      <c r="J315" s="334" t="n"/>
      <c r="K315" s="332">
        <f>IFERROR(VLOOKUP(TEXT(O315,"0"),CONDUCTORES!$A$3:$G$54,7,0),"")</f>
        <v/>
      </c>
      <c r="L315" s="334" t="n"/>
      <c r="M315" s="334" t="n"/>
      <c r="N315" s="333">
        <f>IFERROR(IF(L315*M315=0,"",L315*M315),"")</f>
        <v/>
      </c>
      <c r="O315" s="334" t="n"/>
      <c r="P315" s="332">
        <f>IFERROR(VLOOKUP(TEXT(O315,"0"),CONDUCTORES!$A$3:$G$54,2,0),"")</f>
        <v/>
      </c>
      <c r="Q315" s="332">
        <f>IFERROR(VLOOKUP(TEXT(O315,"0"),CONDUCTORES!$A$3:$H$54,6,0),"")</f>
        <v/>
      </c>
      <c r="R315" s="334" t="n"/>
      <c r="S315" s="334" t="n"/>
      <c r="T315" s="334" t="n"/>
      <c r="U315" s="334" t="n"/>
      <c r="V315" s="334" t="n"/>
      <c r="W315" s="334" t="n"/>
      <c r="X315" s="334" t="n"/>
      <c r="Y315" s="334" t="n"/>
    </row>
    <row r="316" ht="15" customHeight="1" s="195">
      <c r="A316" s="280" t="n"/>
      <c r="B316" s="280" t="n"/>
      <c r="C316" s="280" t="n"/>
      <c r="D316" s="280" t="n"/>
      <c r="E316" s="280" t="n"/>
      <c r="F316" s="280" t="n"/>
      <c r="G316" s="280" t="n"/>
      <c r="H316" s="280" t="n"/>
      <c r="I316" s="332">
        <f>IFERROR(VLOOKUP(TEXT(H316,"0"),IPRESS!$A$3:$B$212,2,0),"")</f>
        <v/>
      </c>
      <c r="J316" s="280" t="n"/>
      <c r="K316" s="332">
        <f>IFERROR(VLOOKUP(TEXT(O316,"0"),CONDUCTORES!$A$3:$G$54,7,0),"")</f>
        <v/>
      </c>
      <c r="L316" s="280" t="n"/>
      <c r="M316" s="280" t="n"/>
      <c r="N316" s="333">
        <f>IFERROR(IF(L316*M316=0,"",L316*M316),"")</f>
        <v/>
      </c>
      <c r="O316" s="280" t="n"/>
      <c r="P316" s="332">
        <f>IFERROR(VLOOKUP(TEXT(O316,"0"),CONDUCTORES!$A$3:$G$54,2,0),"")</f>
        <v/>
      </c>
      <c r="Q316" s="332">
        <f>IFERROR(VLOOKUP(TEXT(O316,"0"),CONDUCTORES!$A$3:$H$54,6,0),"")</f>
        <v/>
      </c>
      <c r="R316" s="280" t="n"/>
      <c r="S316" s="280" t="n"/>
      <c r="T316" s="280" t="n"/>
      <c r="U316" s="280" t="n"/>
      <c r="V316" s="280" t="n"/>
      <c r="W316" s="280" t="n"/>
      <c r="X316" s="280" t="n"/>
      <c r="Y316" s="280" t="n"/>
    </row>
    <row r="317" ht="15" customHeight="1" s="195">
      <c r="A317" s="334" t="n"/>
      <c r="B317" s="334" t="n"/>
      <c r="C317" s="334" t="n"/>
      <c r="D317" s="334" t="n"/>
      <c r="E317" s="334" t="n"/>
      <c r="F317" s="334" t="n"/>
      <c r="G317" s="334" t="n"/>
      <c r="H317" s="334" t="n"/>
      <c r="I317" s="332">
        <f>IFERROR(VLOOKUP(TEXT(H317,"0"),IPRESS!$A$3:$B$212,2,0),"")</f>
        <v/>
      </c>
      <c r="J317" s="334" t="n"/>
      <c r="K317" s="332">
        <f>IFERROR(VLOOKUP(TEXT(O317,"0"),CONDUCTORES!$A$3:$G$54,7,0),"")</f>
        <v/>
      </c>
      <c r="L317" s="334" t="n"/>
      <c r="M317" s="334" t="n"/>
      <c r="N317" s="333">
        <f>IFERROR(IF(L317*M317=0,"",L317*M317),"")</f>
        <v/>
      </c>
      <c r="O317" s="334" t="n"/>
      <c r="P317" s="332">
        <f>IFERROR(VLOOKUP(TEXT(O317,"0"),CONDUCTORES!$A$3:$G$54,2,0),"")</f>
        <v/>
      </c>
      <c r="Q317" s="332">
        <f>IFERROR(VLOOKUP(TEXT(O317,"0"),CONDUCTORES!$A$3:$H$54,6,0),"")</f>
        <v/>
      </c>
      <c r="R317" s="334" t="n"/>
      <c r="S317" s="334" t="n"/>
      <c r="T317" s="334" t="n"/>
      <c r="U317" s="334" t="n"/>
      <c r="V317" s="334" t="n"/>
      <c r="W317" s="334" t="n"/>
      <c r="X317" s="334" t="n"/>
      <c r="Y317" s="334" t="n"/>
    </row>
    <row r="318" ht="15" customHeight="1" s="195">
      <c r="A318" s="280" t="n"/>
      <c r="B318" s="280" t="n"/>
      <c r="C318" s="280" t="n"/>
      <c r="D318" s="280" t="n"/>
      <c r="E318" s="280" t="n"/>
      <c r="F318" s="280" t="n"/>
      <c r="G318" s="280" t="n"/>
      <c r="H318" s="280" t="n"/>
      <c r="I318" s="332">
        <f>IFERROR(VLOOKUP(TEXT(H318,"0"),IPRESS!$A$3:$B$212,2,0),"")</f>
        <v/>
      </c>
      <c r="J318" s="280" t="n"/>
      <c r="K318" s="332">
        <f>IFERROR(VLOOKUP(TEXT(O318,"0"),CONDUCTORES!$A$3:$G$54,7,0),"")</f>
        <v/>
      </c>
      <c r="L318" s="280" t="n"/>
      <c r="M318" s="280" t="n"/>
      <c r="N318" s="333">
        <f>IFERROR(IF(L318*M318=0,"",L318*M318),"")</f>
        <v/>
      </c>
      <c r="O318" s="280" t="n"/>
      <c r="P318" s="332">
        <f>IFERROR(VLOOKUP(TEXT(O318,"0"),CONDUCTORES!$A$3:$G$54,2,0),"")</f>
        <v/>
      </c>
      <c r="Q318" s="332">
        <f>IFERROR(VLOOKUP(TEXT(O318,"0"),CONDUCTORES!$A$3:$H$54,6,0),"")</f>
        <v/>
      </c>
      <c r="R318" s="280" t="n"/>
      <c r="S318" s="280" t="n"/>
      <c r="T318" s="280" t="n"/>
      <c r="U318" s="280" t="n"/>
      <c r="V318" s="280" t="n"/>
      <c r="W318" s="280" t="n"/>
      <c r="X318" s="280" t="n"/>
      <c r="Y318" s="280" t="n"/>
    </row>
    <row r="319" ht="15" customHeight="1" s="195">
      <c r="A319" s="334" t="n"/>
      <c r="B319" s="334" t="n"/>
      <c r="C319" s="334" t="n"/>
      <c r="D319" s="334" t="n"/>
      <c r="E319" s="334" t="n"/>
      <c r="F319" s="334" t="n"/>
      <c r="G319" s="334" t="n"/>
      <c r="H319" s="334" t="n"/>
      <c r="I319" s="332">
        <f>IFERROR(VLOOKUP(TEXT(H319,"0"),IPRESS!$A$3:$B$212,2,0),"")</f>
        <v/>
      </c>
      <c r="J319" s="334" t="n"/>
      <c r="K319" s="332">
        <f>IFERROR(VLOOKUP(TEXT(O319,"0"),CONDUCTORES!$A$3:$G$54,7,0),"")</f>
        <v/>
      </c>
      <c r="L319" s="334" t="n"/>
      <c r="M319" s="334" t="n"/>
      <c r="N319" s="333">
        <f>IFERROR(IF(L319*M319=0,"",L319*M319),"")</f>
        <v/>
      </c>
      <c r="O319" s="334" t="n"/>
      <c r="P319" s="332">
        <f>IFERROR(VLOOKUP(TEXT(O319,"0"),CONDUCTORES!$A$3:$G$54,2,0),"")</f>
        <v/>
      </c>
      <c r="Q319" s="332">
        <f>IFERROR(VLOOKUP(TEXT(O319,"0"),CONDUCTORES!$A$3:$H$54,6,0),"")</f>
        <v/>
      </c>
      <c r="R319" s="334" t="n"/>
      <c r="S319" s="334" t="n"/>
      <c r="T319" s="334" t="n"/>
      <c r="U319" s="334" t="n"/>
      <c r="V319" s="334" t="n"/>
      <c r="W319" s="334" t="n"/>
      <c r="X319" s="334" t="n"/>
      <c r="Y319" s="334" t="n"/>
    </row>
    <row r="320" ht="15" customHeight="1" s="195">
      <c r="A320" s="280" t="n"/>
      <c r="B320" s="280" t="n"/>
      <c r="C320" s="280" t="n"/>
      <c r="D320" s="280" t="n"/>
      <c r="E320" s="280" t="n"/>
      <c r="F320" s="280" t="n"/>
      <c r="G320" s="280" t="n"/>
      <c r="H320" s="280" t="n"/>
      <c r="I320" s="332">
        <f>IFERROR(VLOOKUP(TEXT(H320,"0"),IPRESS!$A$3:$B$212,2,0),"")</f>
        <v/>
      </c>
      <c r="J320" s="280" t="n"/>
      <c r="K320" s="332">
        <f>IFERROR(VLOOKUP(TEXT(O320,"0"),CONDUCTORES!$A$3:$G$54,7,0),"")</f>
        <v/>
      </c>
      <c r="L320" s="280" t="n"/>
      <c r="M320" s="280" t="n"/>
      <c r="N320" s="333">
        <f>IFERROR(IF(L320*M320=0,"",L320*M320),"")</f>
        <v/>
      </c>
      <c r="O320" s="280" t="n"/>
      <c r="P320" s="332">
        <f>IFERROR(VLOOKUP(TEXT(O320,"0"),CONDUCTORES!$A$3:$G$54,2,0),"")</f>
        <v/>
      </c>
      <c r="Q320" s="332">
        <f>IFERROR(VLOOKUP(TEXT(O320,"0"),CONDUCTORES!$A$3:$H$54,6,0),"")</f>
        <v/>
      </c>
      <c r="R320" s="280" t="n"/>
      <c r="S320" s="280" t="n"/>
      <c r="T320" s="280" t="n"/>
      <c r="U320" s="280" t="n"/>
      <c r="V320" s="280" t="n"/>
      <c r="W320" s="280" t="n"/>
      <c r="X320" s="280" t="n"/>
      <c r="Y320" s="280" t="n"/>
    </row>
    <row r="321" ht="15" customHeight="1" s="195">
      <c r="A321" s="334" t="n"/>
      <c r="B321" s="334" t="n"/>
      <c r="C321" s="334" t="n"/>
      <c r="D321" s="334" t="n"/>
      <c r="E321" s="334" t="n"/>
      <c r="F321" s="334" t="n"/>
      <c r="G321" s="334" t="n"/>
      <c r="H321" s="334" t="n"/>
      <c r="I321" s="332">
        <f>IFERROR(VLOOKUP(TEXT(H321,"0"),IPRESS!$A$3:$B$212,2,0),"")</f>
        <v/>
      </c>
      <c r="J321" s="334" t="n"/>
      <c r="K321" s="332">
        <f>IFERROR(VLOOKUP(TEXT(O321,"0"),CONDUCTORES!$A$3:$G$54,7,0),"")</f>
        <v/>
      </c>
      <c r="L321" s="334" t="n"/>
      <c r="M321" s="334" t="n"/>
      <c r="N321" s="333">
        <f>IFERROR(IF(L321*M321=0,"",L321*M321),"")</f>
        <v/>
      </c>
      <c r="O321" s="334" t="n"/>
      <c r="P321" s="332">
        <f>IFERROR(VLOOKUP(TEXT(O321,"0"),CONDUCTORES!$A$3:$G$54,2,0),"")</f>
        <v/>
      </c>
      <c r="Q321" s="332">
        <f>IFERROR(VLOOKUP(TEXT(O321,"0"),CONDUCTORES!$A$3:$H$54,6,0),"")</f>
        <v/>
      </c>
      <c r="R321" s="334" t="n"/>
      <c r="S321" s="334" t="n"/>
      <c r="T321" s="334" t="n"/>
      <c r="U321" s="334" t="n"/>
      <c r="V321" s="334" t="n"/>
      <c r="W321" s="334" t="n"/>
      <c r="X321" s="334" t="n"/>
      <c r="Y321" s="334" t="n"/>
    </row>
    <row r="322" ht="15" customHeight="1" s="195">
      <c r="A322" s="280" t="n"/>
      <c r="B322" s="280" t="n"/>
      <c r="C322" s="280" t="n"/>
      <c r="D322" s="280" t="n"/>
      <c r="E322" s="280" t="n"/>
      <c r="F322" s="280" t="n"/>
      <c r="G322" s="280" t="n"/>
      <c r="H322" s="280" t="n"/>
      <c r="I322" s="332">
        <f>IFERROR(VLOOKUP(TEXT(H322,"0"),IPRESS!$A$3:$B$212,2,0),"")</f>
        <v/>
      </c>
      <c r="J322" s="280" t="n"/>
      <c r="K322" s="332">
        <f>IFERROR(VLOOKUP(TEXT(O322,"0"),CONDUCTORES!$A$3:$G$54,7,0),"")</f>
        <v/>
      </c>
      <c r="L322" s="280" t="n"/>
      <c r="M322" s="280" t="n"/>
      <c r="N322" s="333">
        <f>IFERROR(IF(L322*M322=0,"",L322*M322),"")</f>
        <v/>
      </c>
      <c r="O322" s="280" t="n"/>
      <c r="P322" s="332">
        <f>IFERROR(VLOOKUP(TEXT(O322,"0"),CONDUCTORES!$A$3:$G$54,2,0),"")</f>
        <v/>
      </c>
      <c r="Q322" s="332">
        <f>IFERROR(VLOOKUP(TEXT(O322,"0"),CONDUCTORES!$A$3:$H$54,6,0),"")</f>
        <v/>
      </c>
      <c r="R322" s="280" t="n"/>
      <c r="S322" s="280" t="n"/>
      <c r="T322" s="280" t="n"/>
      <c r="U322" s="280" t="n"/>
      <c r="V322" s="280" t="n"/>
      <c r="W322" s="280" t="n"/>
      <c r="X322" s="280" t="n"/>
      <c r="Y322" s="280" t="n"/>
    </row>
    <row r="323" ht="15" customHeight="1" s="195">
      <c r="A323" s="334" t="n"/>
      <c r="B323" s="334" t="n"/>
      <c r="C323" s="334" t="n"/>
      <c r="D323" s="334" t="n"/>
      <c r="E323" s="334" t="n"/>
      <c r="F323" s="334" t="n"/>
      <c r="G323" s="334" t="n"/>
      <c r="H323" s="334" t="n"/>
      <c r="I323" s="332">
        <f>IFERROR(VLOOKUP(TEXT(H323,"0"),IPRESS!$A$3:$B$212,2,0),"")</f>
        <v/>
      </c>
      <c r="J323" s="334" t="n"/>
      <c r="K323" s="332">
        <f>IFERROR(VLOOKUP(TEXT(O323,"0"),CONDUCTORES!$A$3:$G$54,7,0),"")</f>
        <v/>
      </c>
      <c r="L323" s="334" t="n"/>
      <c r="M323" s="334" t="n"/>
      <c r="N323" s="333">
        <f>IFERROR(IF(L323*M323=0,"",L323*M323),"")</f>
        <v/>
      </c>
      <c r="O323" s="334" t="n"/>
      <c r="P323" s="332">
        <f>IFERROR(VLOOKUP(TEXT(O323,"0"),CONDUCTORES!$A$3:$G$54,2,0),"")</f>
        <v/>
      </c>
      <c r="Q323" s="332">
        <f>IFERROR(VLOOKUP(TEXT(O323,"0"),CONDUCTORES!$A$3:$H$54,6,0),"")</f>
        <v/>
      </c>
      <c r="R323" s="334" t="n"/>
      <c r="S323" s="334" t="n"/>
      <c r="T323" s="334" t="n"/>
      <c r="U323" s="334" t="n"/>
      <c r="V323" s="334" t="n"/>
      <c r="W323" s="334" t="n"/>
      <c r="X323" s="334" t="n"/>
      <c r="Y323" s="334" t="n"/>
    </row>
    <row r="324" ht="15" customHeight="1" s="195">
      <c r="A324" s="280" t="n"/>
      <c r="B324" s="280" t="n"/>
      <c r="C324" s="280" t="n"/>
      <c r="D324" s="280" t="n"/>
      <c r="E324" s="280" t="n"/>
      <c r="F324" s="280" t="n"/>
      <c r="G324" s="280" t="n"/>
      <c r="H324" s="280" t="n"/>
      <c r="I324" s="332">
        <f>IFERROR(VLOOKUP(TEXT(H324,"0"),IPRESS!$A$3:$B$212,2,0),"")</f>
        <v/>
      </c>
      <c r="J324" s="280" t="n"/>
      <c r="K324" s="332">
        <f>IFERROR(VLOOKUP(TEXT(O324,"0"),CONDUCTORES!$A$3:$G$54,7,0),"")</f>
        <v/>
      </c>
      <c r="L324" s="280" t="n"/>
      <c r="M324" s="280" t="n"/>
      <c r="N324" s="333">
        <f>IFERROR(IF(L324*M324=0,"",L324*M324),"")</f>
        <v/>
      </c>
      <c r="O324" s="280" t="n"/>
      <c r="P324" s="332">
        <f>IFERROR(VLOOKUP(TEXT(O324,"0"),CONDUCTORES!$A$3:$G$54,2,0),"")</f>
        <v/>
      </c>
      <c r="Q324" s="332">
        <f>IFERROR(VLOOKUP(TEXT(O324,"0"),CONDUCTORES!$A$3:$H$54,6,0),"")</f>
        <v/>
      </c>
      <c r="R324" s="280" t="n"/>
      <c r="S324" s="280" t="n"/>
      <c r="T324" s="280" t="n"/>
      <c r="U324" s="280" t="n"/>
      <c r="V324" s="280" t="n"/>
      <c r="W324" s="280" t="n"/>
      <c r="X324" s="280" t="n"/>
      <c r="Y324" s="280" t="n"/>
    </row>
    <row r="325" ht="15" customHeight="1" s="195">
      <c r="A325" s="334" t="n"/>
      <c r="B325" s="334" t="n"/>
      <c r="C325" s="334" t="n"/>
      <c r="D325" s="334" t="n"/>
      <c r="E325" s="334" t="n"/>
      <c r="F325" s="334" t="n"/>
      <c r="G325" s="334" t="n"/>
      <c r="H325" s="334" t="n"/>
      <c r="I325" s="332">
        <f>IFERROR(VLOOKUP(TEXT(H325,"0"),IPRESS!$A$3:$B$212,2,0),"")</f>
        <v/>
      </c>
      <c r="J325" s="334" t="n"/>
      <c r="K325" s="332">
        <f>IFERROR(VLOOKUP(TEXT(O325,"0"),CONDUCTORES!$A$3:$G$54,7,0),"")</f>
        <v/>
      </c>
      <c r="L325" s="334" t="n"/>
      <c r="M325" s="334" t="n"/>
      <c r="N325" s="333">
        <f>IFERROR(IF(L325*M325=0,"",L325*M325),"")</f>
        <v/>
      </c>
      <c r="O325" s="334" t="n"/>
      <c r="P325" s="332">
        <f>IFERROR(VLOOKUP(TEXT(O325,"0"),CONDUCTORES!$A$3:$G$54,2,0),"")</f>
        <v/>
      </c>
      <c r="Q325" s="332">
        <f>IFERROR(VLOOKUP(TEXT(O325,"0"),CONDUCTORES!$A$3:$H$54,6,0),"")</f>
        <v/>
      </c>
      <c r="R325" s="334" t="n"/>
      <c r="S325" s="334" t="n"/>
      <c r="T325" s="334" t="n"/>
      <c r="U325" s="334" t="n"/>
      <c r="V325" s="334" t="n"/>
      <c r="W325" s="334" t="n"/>
      <c r="X325" s="334" t="n"/>
      <c r="Y325" s="334" t="n"/>
    </row>
    <row r="326" ht="15" customHeight="1" s="195">
      <c r="A326" s="280" t="n"/>
      <c r="B326" s="280" t="n"/>
      <c r="C326" s="280" t="n"/>
      <c r="D326" s="280" t="n"/>
      <c r="E326" s="280" t="n"/>
      <c r="F326" s="280" t="n"/>
      <c r="G326" s="280" t="n"/>
      <c r="H326" s="280" t="n"/>
      <c r="I326" s="332">
        <f>IFERROR(VLOOKUP(TEXT(H326,"0"),IPRESS!$A$3:$B$212,2,0),"")</f>
        <v/>
      </c>
      <c r="J326" s="280" t="n"/>
      <c r="K326" s="332">
        <f>IFERROR(VLOOKUP(TEXT(O326,"0"),CONDUCTORES!$A$3:$G$54,7,0),"")</f>
        <v/>
      </c>
      <c r="L326" s="280" t="n"/>
      <c r="M326" s="280" t="n"/>
      <c r="N326" s="333">
        <f>IFERROR(IF(L326*M326=0,"",L326*M326),"")</f>
        <v/>
      </c>
      <c r="O326" s="280" t="n"/>
      <c r="P326" s="332">
        <f>IFERROR(VLOOKUP(TEXT(O326,"0"),CONDUCTORES!$A$3:$G$54,2,0),"")</f>
        <v/>
      </c>
      <c r="Q326" s="332">
        <f>IFERROR(VLOOKUP(TEXT(O326,"0"),CONDUCTORES!$A$3:$H$54,6,0),"")</f>
        <v/>
      </c>
      <c r="R326" s="280" t="n"/>
      <c r="S326" s="280" t="n"/>
      <c r="T326" s="280" t="n"/>
      <c r="U326" s="280" t="n"/>
      <c r="V326" s="280" t="n"/>
      <c r="W326" s="280" t="n"/>
      <c r="X326" s="280" t="n"/>
      <c r="Y326" s="280" t="n"/>
    </row>
    <row r="327" ht="15" customHeight="1" s="195">
      <c r="A327" s="334" t="n"/>
      <c r="B327" s="334" t="n"/>
      <c r="C327" s="334" t="n"/>
      <c r="D327" s="334" t="n"/>
      <c r="E327" s="334" t="n"/>
      <c r="F327" s="334" t="n"/>
      <c r="G327" s="334" t="n"/>
      <c r="H327" s="334" t="n"/>
      <c r="I327" s="332">
        <f>IFERROR(VLOOKUP(TEXT(H327,"0"),IPRESS!$A$3:$B$212,2,0),"")</f>
        <v/>
      </c>
      <c r="J327" s="334" t="n"/>
      <c r="K327" s="332">
        <f>IFERROR(VLOOKUP(TEXT(O327,"0"),CONDUCTORES!$A$3:$G$54,7,0),"")</f>
        <v/>
      </c>
      <c r="L327" s="334" t="n"/>
      <c r="M327" s="334" t="n"/>
      <c r="N327" s="333">
        <f>IFERROR(IF(L327*M327=0,"",L327*M327),"")</f>
        <v/>
      </c>
      <c r="O327" s="334" t="n"/>
      <c r="P327" s="332">
        <f>IFERROR(VLOOKUP(TEXT(O327,"0"),CONDUCTORES!$A$3:$G$54,2,0),"")</f>
        <v/>
      </c>
      <c r="Q327" s="332">
        <f>IFERROR(VLOOKUP(TEXT(O327,"0"),CONDUCTORES!$A$3:$H$54,6,0),"")</f>
        <v/>
      </c>
      <c r="R327" s="334" t="n"/>
      <c r="S327" s="334" t="n"/>
      <c r="T327" s="334" t="n"/>
      <c r="U327" s="334" t="n"/>
      <c r="V327" s="334" t="n"/>
      <c r="W327" s="334" t="n"/>
      <c r="X327" s="334" t="n"/>
      <c r="Y327" s="334" t="n"/>
    </row>
    <row r="328" ht="15" customHeight="1" s="195">
      <c r="A328" s="280" t="n"/>
      <c r="B328" s="280" t="n"/>
      <c r="C328" s="280" t="n"/>
      <c r="D328" s="280" t="n"/>
      <c r="E328" s="280" t="n"/>
      <c r="F328" s="280" t="n"/>
      <c r="G328" s="280" t="n"/>
      <c r="H328" s="280" t="n"/>
      <c r="I328" s="332">
        <f>IFERROR(VLOOKUP(TEXT(H328,"0"),IPRESS!$A$3:$B$212,2,0),"")</f>
        <v/>
      </c>
      <c r="J328" s="280" t="n"/>
      <c r="K328" s="332">
        <f>IFERROR(VLOOKUP(TEXT(O328,"0"),CONDUCTORES!$A$3:$G$54,7,0),"")</f>
        <v/>
      </c>
      <c r="L328" s="280" t="n"/>
      <c r="M328" s="280" t="n"/>
      <c r="N328" s="333">
        <f>IFERROR(IF(L328*M328=0,"",L328*M328),"")</f>
        <v/>
      </c>
      <c r="O328" s="280" t="n"/>
      <c r="P328" s="332">
        <f>IFERROR(VLOOKUP(TEXT(O328,"0"),CONDUCTORES!$A$3:$G$54,2,0),"")</f>
        <v/>
      </c>
      <c r="Q328" s="332">
        <f>IFERROR(VLOOKUP(TEXT(O328,"0"),CONDUCTORES!$A$3:$H$54,6,0),"")</f>
        <v/>
      </c>
      <c r="R328" s="280" t="n"/>
      <c r="S328" s="280" t="n"/>
      <c r="T328" s="280" t="n"/>
      <c r="U328" s="280" t="n"/>
      <c r="V328" s="280" t="n"/>
      <c r="W328" s="280" t="n"/>
      <c r="X328" s="280" t="n"/>
      <c r="Y328" s="280" t="n"/>
    </row>
    <row r="329" ht="15" customHeight="1" s="195">
      <c r="A329" s="334" t="n"/>
      <c r="B329" s="334" t="n"/>
      <c r="C329" s="334" t="n"/>
      <c r="D329" s="334" t="n"/>
      <c r="E329" s="334" t="n"/>
      <c r="F329" s="334" t="n"/>
      <c r="G329" s="334" t="n"/>
      <c r="H329" s="334" t="n"/>
      <c r="I329" s="332">
        <f>IFERROR(VLOOKUP(TEXT(H329,"0"),IPRESS!$A$3:$B$212,2,0),"")</f>
        <v/>
      </c>
      <c r="J329" s="334" t="n"/>
      <c r="K329" s="332">
        <f>IFERROR(VLOOKUP(TEXT(O329,"0"),CONDUCTORES!$A$3:$G$54,7,0),"")</f>
        <v/>
      </c>
      <c r="L329" s="334" t="n"/>
      <c r="M329" s="334" t="n"/>
      <c r="N329" s="333">
        <f>IFERROR(IF(L329*M329=0,"",L329*M329),"")</f>
        <v/>
      </c>
      <c r="O329" s="334" t="n"/>
      <c r="P329" s="332">
        <f>IFERROR(VLOOKUP(TEXT(O329,"0"),CONDUCTORES!$A$3:$G$54,2,0),"")</f>
        <v/>
      </c>
      <c r="Q329" s="332">
        <f>IFERROR(VLOOKUP(TEXT(O329,"0"),CONDUCTORES!$A$3:$H$54,6,0),"")</f>
        <v/>
      </c>
      <c r="R329" s="334" t="n"/>
      <c r="S329" s="334" t="n"/>
      <c r="T329" s="334" t="n"/>
      <c r="U329" s="334" t="n"/>
      <c r="V329" s="334" t="n"/>
      <c r="W329" s="334" t="n"/>
      <c r="X329" s="334" t="n"/>
      <c r="Y329" s="334" t="n"/>
    </row>
    <row r="330" ht="15" customHeight="1" s="195">
      <c r="A330" s="280" t="n"/>
      <c r="B330" s="280" t="n"/>
      <c r="C330" s="280" t="n"/>
      <c r="D330" s="280" t="n"/>
      <c r="E330" s="280" t="n"/>
      <c r="F330" s="280" t="n"/>
      <c r="G330" s="280" t="n"/>
      <c r="H330" s="280" t="n"/>
      <c r="I330" s="332">
        <f>IFERROR(VLOOKUP(TEXT(H330,"0"),IPRESS!$A$3:$B$212,2,0),"")</f>
        <v/>
      </c>
      <c r="J330" s="280" t="n"/>
      <c r="K330" s="332">
        <f>IFERROR(VLOOKUP(TEXT(O330,"0"),CONDUCTORES!$A$3:$G$54,7,0),"")</f>
        <v/>
      </c>
      <c r="L330" s="280" t="n"/>
      <c r="M330" s="280" t="n"/>
      <c r="N330" s="333">
        <f>IFERROR(IF(L330*M330=0,"",L330*M330),"")</f>
        <v/>
      </c>
      <c r="O330" s="280" t="n"/>
      <c r="P330" s="332">
        <f>IFERROR(VLOOKUP(TEXT(O330,"0"),CONDUCTORES!$A$3:$G$54,2,0),"")</f>
        <v/>
      </c>
      <c r="Q330" s="332">
        <f>IFERROR(VLOOKUP(TEXT(O330,"0"),CONDUCTORES!$A$3:$H$54,6,0),"")</f>
        <v/>
      </c>
      <c r="R330" s="280" t="n"/>
      <c r="S330" s="280" t="n"/>
      <c r="T330" s="280" t="n"/>
      <c r="U330" s="280" t="n"/>
      <c r="V330" s="280" t="n"/>
      <c r="W330" s="280" t="n"/>
      <c r="X330" s="280" t="n"/>
      <c r="Y330" s="280" t="n"/>
    </row>
    <row r="331" ht="15" customHeight="1" s="195">
      <c r="A331" s="334" t="n"/>
      <c r="B331" s="334" t="n"/>
      <c r="C331" s="334" t="n"/>
      <c r="D331" s="334" t="n"/>
      <c r="E331" s="334" t="n"/>
      <c r="F331" s="334" t="n"/>
      <c r="G331" s="334" t="n"/>
      <c r="H331" s="334" t="n"/>
      <c r="I331" s="332">
        <f>IFERROR(VLOOKUP(TEXT(H331,"0"),IPRESS!$A$3:$B$212,2,0),"")</f>
        <v/>
      </c>
      <c r="J331" s="334" t="n"/>
      <c r="K331" s="332">
        <f>IFERROR(VLOOKUP(TEXT(O331,"0"),CONDUCTORES!$A$3:$G$54,7,0),"")</f>
        <v/>
      </c>
      <c r="L331" s="334" t="n"/>
      <c r="M331" s="334" t="n"/>
      <c r="N331" s="333">
        <f>IFERROR(IF(L331*M331=0,"",L331*M331),"")</f>
        <v/>
      </c>
      <c r="O331" s="334" t="n"/>
      <c r="P331" s="332">
        <f>IFERROR(VLOOKUP(TEXT(O331,"0"),CONDUCTORES!$A$3:$G$54,2,0),"")</f>
        <v/>
      </c>
      <c r="Q331" s="332">
        <f>IFERROR(VLOOKUP(TEXT(O331,"0"),CONDUCTORES!$A$3:$H$54,6,0),"")</f>
        <v/>
      </c>
      <c r="R331" s="334" t="n"/>
      <c r="S331" s="334" t="n"/>
      <c r="T331" s="334" t="n"/>
      <c r="U331" s="334" t="n"/>
      <c r="V331" s="334" t="n"/>
      <c r="W331" s="334" t="n"/>
      <c r="X331" s="334" t="n"/>
      <c r="Y331" s="334" t="n"/>
    </row>
    <row r="332" ht="15" customHeight="1" s="195">
      <c r="A332" s="280" t="n"/>
      <c r="B332" s="280" t="n"/>
      <c r="C332" s="280" t="n"/>
      <c r="D332" s="280" t="n"/>
      <c r="E332" s="280" t="n"/>
      <c r="F332" s="280" t="n"/>
      <c r="G332" s="280" t="n"/>
      <c r="H332" s="280" t="n"/>
      <c r="I332" s="332">
        <f>IFERROR(VLOOKUP(TEXT(H332,"0"),IPRESS!$A$3:$B$212,2,0),"")</f>
        <v/>
      </c>
      <c r="J332" s="280" t="n"/>
      <c r="K332" s="332">
        <f>IFERROR(VLOOKUP(TEXT(O332,"0"),CONDUCTORES!$A$3:$G$54,7,0),"")</f>
        <v/>
      </c>
      <c r="L332" s="280" t="n"/>
      <c r="M332" s="280" t="n"/>
      <c r="N332" s="333">
        <f>IFERROR(IF(L332*M332=0,"",L332*M332),"")</f>
        <v/>
      </c>
      <c r="O332" s="280" t="n"/>
      <c r="P332" s="332">
        <f>IFERROR(VLOOKUP(TEXT(O332,"0"),CONDUCTORES!$A$3:$G$54,2,0),"")</f>
        <v/>
      </c>
      <c r="Q332" s="332">
        <f>IFERROR(VLOOKUP(TEXT(O332,"0"),CONDUCTORES!$A$3:$H$54,6,0),"")</f>
        <v/>
      </c>
      <c r="R332" s="280" t="n"/>
      <c r="S332" s="280" t="n"/>
      <c r="T332" s="280" t="n"/>
      <c r="U332" s="280" t="n"/>
      <c r="V332" s="280" t="n"/>
      <c r="W332" s="280" t="n"/>
      <c r="X332" s="280" t="n"/>
      <c r="Y332" s="280" t="n"/>
    </row>
    <row r="333" ht="15" customHeight="1" s="195">
      <c r="A333" s="334" t="n"/>
      <c r="B333" s="334" t="n"/>
      <c r="C333" s="334" t="n"/>
      <c r="D333" s="334" t="n"/>
      <c r="E333" s="334" t="n"/>
      <c r="F333" s="334" t="n"/>
      <c r="G333" s="334" t="n"/>
      <c r="H333" s="334" t="n"/>
      <c r="I333" s="332">
        <f>IFERROR(VLOOKUP(TEXT(H333,"0"),IPRESS!$A$3:$B$212,2,0),"")</f>
        <v/>
      </c>
      <c r="J333" s="334" t="n"/>
      <c r="K333" s="332">
        <f>IFERROR(VLOOKUP(TEXT(O333,"0"),CONDUCTORES!$A$3:$G$54,7,0),"")</f>
        <v/>
      </c>
      <c r="L333" s="334" t="n"/>
      <c r="M333" s="334" t="n"/>
      <c r="N333" s="333">
        <f>IFERROR(IF(L333*M333=0,"",L333*M333),"")</f>
        <v/>
      </c>
      <c r="O333" s="334" t="n"/>
      <c r="P333" s="332">
        <f>IFERROR(VLOOKUP(TEXT(O333,"0"),CONDUCTORES!$A$3:$G$54,2,0),"")</f>
        <v/>
      </c>
      <c r="Q333" s="332">
        <f>IFERROR(VLOOKUP(TEXT(O333,"0"),CONDUCTORES!$A$3:$H$54,6,0),"")</f>
        <v/>
      </c>
      <c r="R333" s="334" t="n"/>
      <c r="S333" s="334" t="n"/>
      <c r="T333" s="334" t="n"/>
      <c r="U333" s="334" t="n"/>
      <c r="V333" s="334" t="n"/>
      <c r="W333" s="334" t="n"/>
      <c r="X333" s="334" t="n"/>
      <c r="Y333" s="334" t="n"/>
    </row>
    <row r="334" ht="15" customHeight="1" s="195">
      <c r="A334" s="280" t="n"/>
      <c r="B334" s="280" t="n"/>
      <c r="C334" s="280" t="n"/>
      <c r="D334" s="280" t="n"/>
      <c r="E334" s="280" t="n"/>
      <c r="F334" s="280" t="n"/>
      <c r="G334" s="280" t="n"/>
      <c r="H334" s="280" t="n"/>
      <c r="I334" s="332">
        <f>IFERROR(VLOOKUP(TEXT(H334,"0"),IPRESS!$A$3:$B$212,2,0),"")</f>
        <v/>
      </c>
      <c r="J334" s="280" t="n"/>
      <c r="K334" s="332">
        <f>IFERROR(VLOOKUP(TEXT(O334,"0"),CONDUCTORES!$A$3:$G$54,7,0),"")</f>
        <v/>
      </c>
      <c r="L334" s="280" t="n"/>
      <c r="M334" s="280" t="n"/>
      <c r="N334" s="333">
        <f>IFERROR(IF(L334*M334=0,"",L334*M334),"")</f>
        <v/>
      </c>
      <c r="O334" s="280" t="n"/>
      <c r="P334" s="332">
        <f>IFERROR(VLOOKUP(TEXT(O334,"0"),CONDUCTORES!$A$3:$G$54,2,0),"")</f>
        <v/>
      </c>
      <c r="Q334" s="332">
        <f>IFERROR(VLOOKUP(TEXT(O334,"0"),CONDUCTORES!$A$3:$H$54,6,0),"")</f>
        <v/>
      </c>
      <c r="R334" s="280" t="n"/>
      <c r="S334" s="280" t="n"/>
      <c r="T334" s="280" t="n"/>
      <c r="U334" s="280" t="n"/>
      <c r="V334" s="280" t="n"/>
      <c r="W334" s="280" t="n"/>
      <c r="X334" s="280" t="n"/>
      <c r="Y334" s="280" t="n"/>
    </row>
    <row r="335" ht="15" customHeight="1" s="195">
      <c r="A335" s="334" t="n"/>
      <c r="B335" s="334" t="n"/>
      <c r="C335" s="334" t="n"/>
      <c r="D335" s="334" t="n"/>
      <c r="E335" s="334" t="n"/>
      <c r="F335" s="334" t="n"/>
      <c r="G335" s="334" t="n"/>
      <c r="H335" s="334" t="n"/>
      <c r="I335" s="332">
        <f>IFERROR(VLOOKUP(TEXT(H335,"0"),IPRESS!$A$3:$B$212,2,0),"")</f>
        <v/>
      </c>
      <c r="J335" s="334" t="n"/>
      <c r="K335" s="332">
        <f>IFERROR(VLOOKUP(TEXT(O335,"0"),CONDUCTORES!$A$3:$G$54,7,0),"")</f>
        <v/>
      </c>
      <c r="L335" s="334" t="n"/>
      <c r="M335" s="334" t="n"/>
      <c r="N335" s="333">
        <f>IFERROR(IF(L335*M335=0,"",L335*M335),"")</f>
        <v/>
      </c>
      <c r="O335" s="334" t="n"/>
      <c r="P335" s="332">
        <f>IFERROR(VLOOKUP(TEXT(O335,"0"),CONDUCTORES!$A$3:$G$54,2,0),"")</f>
        <v/>
      </c>
      <c r="Q335" s="332">
        <f>IFERROR(VLOOKUP(TEXT(O335,"0"),CONDUCTORES!$A$3:$H$54,6,0),"")</f>
        <v/>
      </c>
      <c r="R335" s="334" t="n"/>
      <c r="S335" s="334" t="n"/>
      <c r="T335" s="334" t="n"/>
      <c r="U335" s="334" t="n"/>
      <c r="V335" s="334" t="n"/>
      <c r="W335" s="334" t="n"/>
      <c r="X335" s="334" t="n"/>
      <c r="Y335" s="334" t="n"/>
    </row>
    <row r="336" ht="15" customHeight="1" s="195">
      <c r="A336" s="280" t="n"/>
      <c r="B336" s="280" t="n"/>
      <c r="C336" s="280" t="n"/>
      <c r="D336" s="280" t="n"/>
      <c r="E336" s="280" t="n"/>
      <c r="F336" s="280" t="n"/>
      <c r="G336" s="280" t="n"/>
      <c r="H336" s="280" t="n"/>
      <c r="I336" s="332">
        <f>IFERROR(VLOOKUP(TEXT(H336,"0"),IPRESS!$A$3:$B$212,2,0),"")</f>
        <v/>
      </c>
      <c r="J336" s="280" t="n"/>
      <c r="K336" s="332">
        <f>IFERROR(VLOOKUP(TEXT(O336,"0"),CONDUCTORES!$A$3:$G$54,7,0),"")</f>
        <v/>
      </c>
      <c r="L336" s="280" t="n"/>
      <c r="M336" s="280" t="n"/>
      <c r="N336" s="333">
        <f>IFERROR(IF(L336*M336=0,"",L336*M336),"")</f>
        <v/>
      </c>
      <c r="O336" s="280" t="n"/>
      <c r="P336" s="332">
        <f>IFERROR(VLOOKUP(TEXT(O336,"0"),CONDUCTORES!$A$3:$G$54,2,0),"")</f>
        <v/>
      </c>
      <c r="Q336" s="332">
        <f>IFERROR(VLOOKUP(TEXT(O336,"0"),CONDUCTORES!$A$3:$H$54,6,0),"")</f>
        <v/>
      </c>
      <c r="R336" s="280" t="n"/>
      <c r="S336" s="280" t="n"/>
      <c r="T336" s="280" t="n"/>
      <c r="U336" s="280" t="n"/>
      <c r="V336" s="280" t="n"/>
      <c r="W336" s="280" t="n"/>
      <c r="X336" s="280" t="n"/>
      <c r="Y336" s="280" t="n"/>
    </row>
    <row r="337" ht="15" customHeight="1" s="195">
      <c r="A337" s="334" t="n"/>
      <c r="B337" s="334" t="n"/>
      <c r="C337" s="334" t="n"/>
      <c r="D337" s="334" t="n"/>
      <c r="E337" s="334" t="n"/>
      <c r="F337" s="334" t="n"/>
      <c r="G337" s="334" t="n"/>
      <c r="H337" s="334" t="n"/>
      <c r="I337" s="332">
        <f>IFERROR(VLOOKUP(TEXT(H337,"0"),IPRESS!$A$3:$B$212,2,0),"")</f>
        <v/>
      </c>
      <c r="J337" s="334" t="n"/>
      <c r="K337" s="332">
        <f>IFERROR(VLOOKUP(TEXT(O337,"0"),CONDUCTORES!$A$3:$G$54,7,0),"")</f>
        <v/>
      </c>
      <c r="L337" s="334" t="n"/>
      <c r="M337" s="334" t="n"/>
      <c r="N337" s="333">
        <f>IFERROR(IF(L337*M337=0,"",L337*M337),"")</f>
        <v/>
      </c>
      <c r="O337" s="334" t="n"/>
      <c r="P337" s="332">
        <f>IFERROR(VLOOKUP(TEXT(O337,"0"),CONDUCTORES!$A$3:$G$54,2,0),"")</f>
        <v/>
      </c>
      <c r="Q337" s="332">
        <f>IFERROR(VLOOKUP(TEXT(O337,"0"),CONDUCTORES!$A$3:$H$54,6,0),"")</f>
        <v/>
      </c>
      <c r="R337" s="334" t="n"/>
      <c r="S337" s="334" t="n"/>
      <c r="T337" s="334" t="n"/>
      <c r="U337" s="334" t="n"/>
      <c r="V337" s="334" t="n"/>
      <c r="W337" s="334" t="n"/>
      <c r="X337" s="334" t="n"/>
      <c r="Y337" s="334" t="n"/>
    </row>
    <row r="338" ht="15" customHeight="1" s="195">
      <c r="A338" s="280" t="n"/>
      <c r="B338" s="280" t="n"/>
      <c r="C338" s="280" t="n"/>
      <c r="D338" s="280" t="n"/>
      <c r="E338" s="280" t="n"/>
      <c r="F338" s="280" t="n"/>
      <c r="G338" s="280" t="n"/>
      <c r="H338" s="280" t="n"/>
      <c r="I338" s="332">
        <f>IFERROR(VLOOKUP(TEXT(H338,"0"),IPRESS!$A$3:$B$212,2,0),"")</f>
        <v/>
      </c>
      <c r="J338" s="280" t="n"/>
      <c r="K338" s="332">
        <f>IFERROR(VLOOKUP(TEXT(O338,"0"),CONDUCTORES!$A$3:$G$54,7,0),"")</f>
        <v/>
      </c>
      <c r="L338" s="280" t="n"/>
      <c r="M338" s="280" t="n"/>
      <c r="N338" s="333">
        <f>IFERROR(IF(L338*M338=0,"",L338*M338),"")</f>
        <v/>
      </c>
      <c r="O338" s="280" t="n"/>
      <c r="P338" s="332">
        <f>IFERROR(VLOOKUP(TEXT(O338,"0"),CONDUCTORES!$A$3:$G$54,2,0),"")</f>
        <v/>
      </c>
      <c r="Q338" s="332">
        <f>IFERROR(VLOOKUP(TEXT(O338,"0"),CONDUCTORES!$A$3:$H$54,6,0),"")</f>
        <v/>
      </c>
      <c r="R338" s="280" t="n"/>
      <c r="S338" s="280" t="n"/>
      <c r="T338" s="280" t="n"/>
      <c r="U338" s="280" t="n"/>
      <c r="V338" s="280" t="n"/>
      <c r="W338" s="280" t="n"/>
      <c r="X338" s="280" t="n"/>
      <c r="Y338" s="280" t="n"/>
    </row>
    <row r="339" ht="15" customHeight="1" s="195">
      <c r="A339" s="334" t="n"/>
      <c r="B339" s="334" t="n"/>
      <c r="C339" s="334" t="n"/>
      <c r="D339" s="334" t="n"/>
      <c r="E339" s="334" t="n"/>
      <c r="F339" s="334" t="n"/>
      <c r="G339" s="334" t="n"/>
      <c r="H339" s="334" t="n"/>
      <c r="I339" s="332">
        <f>IFERROR(VLOOKUP(TEXT(H339,"0"),IPRESS!$A$3:$B$212,2,0),"")</f>
        <v/>
      </c>
      <c r="J339" s="334" t="n"/>
      <c r="K339" s="332">
        <f>IFERROR(VLOOKUP(TEXT(O339,"0"),CONDUCTORES!$A$3:$G$54,7,0),"")</f>
        <v/>
      </c>
      <c r="L339" s="334" t="n"/>
      <c r="M339" s="334" t="n"/>
      <c r="N339" s="333">
        <f>IFERROR(IF(L339*M339=0,"",L339*M339),"")</f>
        <v/>
      </c>
      <c r="O339" s="334" t="n"/>
      <c r="P339" s="332">
        <f>IFERROR(VLOOKUP(TEXT(O339,"0"),CONDUCTORES!$A$3:$G$54,2,0),"")</f>
        <v/>
      </c>
      <c r="Q339" s="332">
        <f>IFERROR(VLOOKUP(TEXT(O339,"0"),CONDUCTORES!$A$3:$H$54,6,0),"")</f>
        <v/>
      </c>
      <c r="R339" s="334" t="n"/>
      <c r="S339" s="334" t="n"/>
      <c r="T339" s="334" t="n"/>
      <c r="U339" s="334" t="n"/>
      <c r="V339" s="334" t="n"/>
      <c r="W339" s="334" t="n"/>
      <c r="X339" s="334" t="n"/>
      <c r="Y339" s="334" t="n"/>
    </row>
    <row r="340" ht="15" customHeight="1" s="195">
      <c r="A340" s="280" t="n"/>
      <c r="B340" s="280" t="n"/>
      <c r="C340" s="280" t="n"/>
      <c r="D340" s="280" t="n"/>
      <c r="E340" s="280" t="n"/>
      <c r="F340" s="280" t="n"/>
      <c r="G340" s="280" t="n"/>
      <c r="H340" s="280" t="n"/>
      <c r="I340" s="332">
        <f>IFERROR(VLOOKUP(TEXT(H340,"0"),IPRESS!$A$3:$B$212,2,0),"")</f>
        <v/>
      </c>
      <c r="J340" s="280" t="n"/>
      <c r="K340" s="332">
        <f>IFERROR(VLOOKUP(TEXT(O340,"0"),CONDUCTORES!$A$3:$G$54,7,0),"")</f>
        <v/>
      </c>
      <c r="L340" s="280" t="n"/>
      <c r="M340" s="280" t="n"/>
      <c r="N340" s="333">
        <f>IFERROR(IF(L340*M340=0,"",L340*M340),"")</f>
        <v/>
      </c>
      <c r="O340" s="280" t="n"/>
      <c r="P340" s="332">
        <f>IFERROR(VLOOKUP(TEXT(O340,"0"),CONDUCTORES!$A$3:$G$54,2,0),"")</f>
        <v/>
      </c>
      <c r="Q340" s="332">
        <f>IFERROR(VLOOKUP(TEXT(O340,"0"),CONDUCTORES!$A$3:$H$54,6,0),"")</f>
        <v/>
      </c>
      <c r="R340" s="280" t="n"/>
      <c r="S340" s="280" t="n"/>
      <c r="T340" s="280" t="n"/>
      <c r="U340" s="280" t="n"/>
      <c r="V340" s="280" t="n"/>
      <c r="W340" s="280" t="n"/>
      <c r="X340" s="280" t="n"/>
      <c r="Y340" s="280" t="n"/>
    </row>
    <row r="341" ht="15" customHeight="1" s="195">
      <c r="A341" s="334" t="n"/>
      <c r="B341" s="334" t="n"/>
      <c r="C341" s="334" t="n"/>
      <c r="D341" s="334" t="n"/>
      <c r="E341" s="334" t="n"/>
      <c r="F341" s="334" t="n"/>
      <c r="G341" s="334" t="n"/>
      <c r="H341" s="334" t="n"/>
      <c r="I341" s="332">
        <f>IFERROR(VLOOKUP(TEXT(H341,"0"),IPRESS!$A$3:$B$212,2,0),"")</f>
        <v/>
      </c>
      <c r="J341" s="334" t="n"/>
      <c r="K341" s="332">
        <f>IFERROR(VLOOKUP(TEXT(O341,"0"),CONDUCTORES!$A$3:$G$54,7,0),"")</f>
        <v/>
      </c>
      <c r="L341" s="334" t="n"/>
      <c r="M341" s="334" t="n"/>
      <c r="N341" s="333">
        <f>IFERROR(IF(L341*M341=0,"",L341*M341),"")</f>
        <v/>
      </c>
      <c r="O341" s="334" t="n"/>
      <c r="P341" s="332">
        <f>IFERROR(VLOOKUP(TEXT(O341,"0"),CONDUCTORES!$A$3:$G$54,2,0),"")</f>
        <v/>
      </c>
      <c r="Q341" s="332">
        <f>IFERROR(VLOOKUP(TEXT(O341,"0"),CONDUCTORES!$A$3:$H$54,6,0),"")</f>
        <v/>
      </c>
      <c r="R341" s="334" t="n"/>
      <c r="S341" s="334" t="n"/>
      <c r="T341" s="334" t="n"/>
      <c r="U341" s="334" t="n"/>
      <c r="V341" s="334" t="n"/>
      <c r="W341" s="334" t="n"/>
      <c r="X341" s="334" t="n"/>
      <c r="Y341" s="334" t="n"/>
    </row>
    <row r="342" ht="15" customHeight="1" s="195">
      <c r="A342" s="280" t="n"/>
      <c r="B342" s="280" t="n"/>
      <c r="C342" s="280" t="n"/>
      <c r="D342" s="280" t="n"/>
      <c r="E342" s="280" t="n"/>
      <c r="F342" s="280" t="n"/>
      <c r="G342" s="280" t="n"/>
      <c r="H342" s="280" t="n"/>
      <c r="I342" s="332">
        <f>IFERROR(VLOOKUP(TEXT(H342,"0"),IPRESS!$A$3:$B$212,2,0),"")</f>
        <v/>
      </c>
      <c r="J342" s="280" t="n"/>
      <c r="K342" s="332">
        <f>IFERROR(VLOOKUP(TEXT(O342,"0"),CONDUCTORES!$A$3:$G$54,7,0),"")</f>
        <v/>
      </c>
      <c r="L342" s="280" t="n"/>
      <c r="M342" s="280" t="n"/>
      <c r="N342" s="333">
        <f>IFERROR(IF(L342*M342=0,"",L342*M342),"")</f>
        <v/>
      </c>
      <c r="O342" s="280" t="n"/>
      <c r="P342" s="332">
        <f>IFERROR(VLOOKUP(TEXT(O342,"0"),CONDUCTORES!$A$3:$G$54,2,0),"")</f>
        <v/>
      </c>
      <c r="Q342" s="332">
        <f>IFERROR(VLOOKUP(TEXT(O342,"0"),CONDUCTORES!$A$3:$H$54,6,0),"")</f>
        <v/>
      </c>
      <c r="R342" s="280" t="n"/>
      <c r="S342" s="280" t="n"/>
      <c r="T342" s="280" t="n"/>
      <c r="U342" s="280" t="n"/>
      <c r="V342" s="280" t="n"/>
      <c r="W342" s="280" t="n"/>
      <c r="X342" s="280" t="n"/>
      <c r="Y342" s="280" t="n"/>
    </row>
    <row r="343" ht="15" customHeight="1" s="195">
      <c r="A343" s="334" t="n"/>
      <c r="B343" s="334" t="n"/>
      <c r="C343" s="334" t="n"/>
      <c r="D343" s="334" t="n"/>
      <c r="E343" s="334" t="n"/>
      <c r="F343" s="334" t="n"/>
      <c r="G343" s="334" t="n"/>
      <c r="H343" s="334" t="n"/>
      <c r="I343" s="332">
        <f>IFERROR(VLOOKUP(TEXT(H343,"0"),IPRESS!$A$3:$B$212,2,0),"")</f>
        <v/>
      </c>
      <c r="J343" s="334" t="n"/>
      <c r="K343" s="332">
        <f>IFERROR(VLOOKUP(TEXT(O343,"0"),CONDUCTORES!$A$3:$G$54,7,0),"")</f>
        <v/>
      </c>
      <c r="L343" s="334" t="n"/>
      <c r="M343" s="334" t="n"/>
      <c r="N343" s="333">
        <f>IFERROR(IF(L343*M343=0,"",L343*M343),"")</f>
        <v/>
      </c>
      <c r="O343" s="334" t="n"/>
      <c r="P343" s="332">
        <f>IFERROR(VLOOKUP(TEXT(O343,"0"),CONDUCTORES!$A$3:$G$54,2,0),"")</f>
        <v/>
      </c>
      <c r="Q343" s="332">
        <f>IFERROR(VLOOKUP(TEXT(O343,"0"),CONDUCTORES!$A$3:$H$54,6,0),"")</f>
        <v/>
      </c>
      <c r="R343" s="334" t="n"/>
      <c r="S343" s="334" t="n"/>
      <c r="T343" s="334" t="n"/>
      <c r="U343" s="334" t="n"/>
      <c r="V343" s="334" t="n"/>
      <c r="W343" s="334" t="n"/>
      <c r="X343" s="334" t="n"/>
      <c r="Y343" s="334" t="n"/>
    </row>
    <row r="344" ht="15" customHeight="1" s="195">
      <c r="A344" s="280" t="n"/>
      <c r="B344" s="280" t="n"/>
      <c r="C344" s="280" t="n"/>
      <c r="D344" s="280" t="n"/>
      <c r="E344" s="280" t="n"/>
      <c r="F344" s="280" t="n"/>
      <c r="G344" s="280" t="n"/>
      <c r="H344" s="280" t="n"/>
      <c r="I344" s="332">
        <f>IFERROR(VLOOKUP(TEXT(H344,"0"),IPRESS!$A$3:$B$212,2,0),"")</f>
        <v/>
      </c>
      <c r="J344" s="280" t="n"/>
      <c r="K344" s="332">
        <f>IFERROR(VLOOKUP(TEXT(O344,"0"),CONDUCTORES!$A$3:$G$54,7,0),"")</f>
        <v/>
      </c>
      <c r="L344" s="280" t="n"/>
      <c r="M344" s="280" t="n"/>
      <c r="N344" s="333">
        <f>IFERROR(IF(L344*M344=0,"",L344*M344),"")</f>
        <v/>
      </c>
      <c r="O344" s="280" t="n"/>
      <c r="P344" s="332">
        <f>IFERROR(VLOOKUP(TEXT(O344,"0"),CONDUCTORES!$A$3:$G$54,2,0),"")</f>
        <v/>
      </c>
      <c r="Q344" s="332">
        <f>IFERROR(VLOOKUP(TEXT(O344,"0"),CONDUCTORES!$A$3:$H$54,6,0),"")</f>
        <v/>
      </c>
      <c r="R344" s="280" t="n"/>
      <c r="S344" s="280" t="n"/>
      <c r="T344" s="280" t="n"/>
      <c r="U344" s="280" t="n"/>
      <c r="V344" s="280" t="n"/>
      <c r="W344" s="280" t="n"/>
      <c r="X344" s="280" t="n"/>
      <c r="Y344" s="280" t="n"/>
    </row>
    <row r="345" ht="15" customHeight="1" s="195">
      <c r="A345" s="334" t="n"/>
      <c r="B345" s="334" t="n"/>
      <c r="C345" s="334" t="n"/>
      <c r="D345" s="334" t="n"/>
      <c r="E345" s="334" t="n"/>
      <c r="F345" s="334" t="n"/>
      <c r="G345" s="334" t="n"/>
      <c r="H345" s="334" t="n"/>
      <c r="I345" s="332">
        <f>IFERROR(VLOOKUP(TEXT(H345,"0"),IPRESS!$A$3:$B$212,2,0),"")</f>
        <v/>
      </c>
      <c r="J345" s="334" t="n"/>
      <c r="K345" s="332">
        <f>IFERROR(VLOOKUP(TEXT(O345,"0"),CONDUCTORES!$A$3:$G$54,7,0),"")</f>
        <v/>
      </c>
      <c r="L345" s="334" t="n"/>
      <c r="M345" s="334" t="n"/>
      <c r="N345" s="333">
        <f>IFERROR(IF(L345*M345=0,"",L345*M345),"")</f>
        <v/>
      </c>
      <c r="O345" s="334" t="n"/>
      <c r="P345" s="332">
        <f>IFERROR(VLOOKUP(TEXT(O345,"0"),CONDUCTORES!$A$3:$G$54,2,0),"")</f>
        <v/>
      </c>
      <c r="Q345" s="332">
        <f>IFERROR(VLOOKUP(TEXT(O345,"0"),CONDUCTORES!$A$3:$H$54,6,0),"")</f>
        <v/>
      </c>
      <c r="R345" s="334" t="n"/>
      <c r="S345" s="334" t="n"/>
      <c r="T345" s="334" t="n"/>
      <c r="U345" s="334" t="n"/>
      <c r="V345" s="334" t="n"/>
      <c r="W345" s="334" t="n"/>
      <c r="X345" s="334" t="n"/>
      <c r="Y345" s="334" t="n"/>
    </row>
    <row r="346" ht="15" customHeight="1" s="195">
      <c r="A346" s="280" t="n"/>
      <c r="B346" s="280" t="n"/>
      <c r="C346" s="280" t="n"/>
      <c r="D346" s="280" t="n"/>
      <c r="E346" s="280" t="n"/>
      <c r="F346" s="280" t="n"/>
      <c r="G346" s="280" t="n"/>
      <c r="H346" s="280" t="n"/>
      <c r="I346" s="332">
        <f>IFERROR(VLOOKUP(TEXT(H346,"0"),IPRESS!$A$3:$B$212,2,0),"")</f>
        <v/>
      </c>
      <c r="J346" s="280" t="n"/>
      <c r="K346" s="332">
        <f>IFERROR(VLOOKUP(TEXT(O346,"0"),CONDUCTORES!$A$3:$G$54,7,0),"")</f>
        <v/>
      </c>
      <c r="L346" s="280" t="n"/>
      <c r="M346" s="280" t="n"/>
      <c r="N346" s="333">
        <f>IFERROR(IF(L346*M346=0,"",L346*M346),"")</f>
        <v/>
      </c>
      <c r="O346" s="280" t="n"/>
      <c r="P346" s="332">
        <f>IFERROR(VLOOKUP(TEXT(O346,"0"),CONDUCTORES!$A$3:$G$54,2,0),"")</f>
        <v/>
      </c>
      <c r="Q346" s="332">
        <f>IFERROR(VLOOKUP(TEXT(O346,"0"),CONDUCTORES!$A$3:$H$54,6,0),"")</f>
        <v/>
      </c>
      <c r="R346" s="280" t="n"/>
      <c r="S346" s="280" t="n"/>
      <c r="T346" s="280" t="n"/>
      <c r="U346" s="280" t="n"/>
      <c r="V346" s="280" t="n"/>
      <c r="W346" s="280" t="n"/>
      <c r="X346" s="280" t="n"/>
      <c r="Y346" s="280" t="n"/>
    </row>
    <row r="347" ht="15" customHeight="1" s="195">
      <c r="A347" s="334" t="n"/>
      <c r="B347" s="334" t="n"/>
      <c r="C347" s="334" t="n"/>
      <c r="D347" s="334" t="n"/>
      <c r="E347" s="334" t="n"/>
      <c r="F347" s="334" t="n"/>
      <c r="G347" s="334" t="n"/>
      <c r="H347" s="334" t="n"/>
      <c r="I347" s="332">
        <f>IFERROR(VLOOKUP(TEXT(H347,"0"),IPRESS!$A$3:$B$212,2,0),"")</f>
        <v/>
      </c>
      <c r="J347" s="334" t="n"/>
      <c r="K347" s="332">
        <f>IFERROR(VLOOKUP(TEXT(O347,"0"),CONDUCTORES!$A$3:$G$54,7,0),"")</f>
        <v/>
      </c>
      <c r="L347" s="334" t="n"/>
      <c r="M347" s="334" t="n"/>
      <c r="N347" s="333">
        <f>IFERROR(IF(L347*M347=0,"",L347*M347),"")</f>
        <v/>
      </c>
      <c r="O347" s="334" t="n"/>
      <c r="P347" s="332">
        <f>IFERROR(VLOOKUP(TEXT(O347,"0"),CONDUCTORES!$A$3:$G$54,2,0),"")</f>
        <v/>
      </c>
      <c r="Q347" s="332">
        <f>IFERROR(VLOOKUP(TEXT(O347,"0"),CONDUCTORES!$A$3:$H$54,6,0),"")</f>
        <v/>
      </c>
      <c r="R347" s="334" t="n"/>
      <c r="S347" s="334" t="n"/>
      <c r="T347" s="334" t="n"/>
      <c r="U347" s="334" t="n"/>
      <c r="V347" s="334" t="n"/>
      <c r="W347" s="334" t="n"/>
      <c r="X347" s="334" t="n"/>
      <c r="Y347" s="334" t="n"/>
    </row>
    <row r="348" ht="15" customHeight="1" s="195">
      <c r="A348" s="280" t="n"/>
      <c r="B348" s="280" t="n"/>
      <c r="C348" s="280" t="n"/>
      <c r="D348" s="280" t="n"/>
      <c r="E348" s="280" t="n"/>
      <c r="F348" s="280" t="n"/>
      <c r="G348" s="280" t="n"/>
      <c r="H348" s="280" t="n"/>
      <c r="I348" s="332">
        <f>IFERROR(VLOOKUP(TEXT(H348,"0"),IPRESS!$A$3:$B$212,2,0),"")</f>
        <v/>
      </c>
      <c r="J348" s="280" t="n"/>
      <c r="K348" s="332">
        <f>IFERROR(VLOOKUP(TEXT(O348,"0"),CONDUCTORES!$A$3:$G$54,7,0),"")</f>
        <v/>
      </c>
      <c r="L348" s="280" t="n"/>
      <c r="M348" s="280" t="n"/>
      <c r="N348" s="333">
        <f>IFERROR(IF(L348*M348=0,"",L348*M348),"")</f>
        <v/>
      </c>
      <c r="O348" s="280" t="n"/>
      <c r="P348" s="332">
        <f>IFERROR(VLOOKUP(TEXT(O348,"0"),CONDUCTORES!$A$3:$G$54,2,0),"")</f>
        <v/>
      </c>
      <c r="Q348" s="332">
        <f>IFERROR(VLOOKUP(TEXT(O348,"0"),CONDUCTORES!$A$3:$H$54,6,0),"")</f>
        <v/>
      </c>
      <c r="R348" s="280" t="n"/>
      <c r="S348" s="280" t="n"/>
      <c r="T348" s="280" t="n"/>
      <c r="U348" s="280" t="n"/>
      <c r="V348" s="280" t="n"/>
      <c r="W348" s="280" t="n"/>
      <c r="X348" s="280" t="n"/>
      <c r="Y348" s="280" t="n"/>
    </row>
    <row r="349" ht="15" customHeight="1" s="195">
      <c r="A349" s="334" t="n"/>
      <c r="B349" s="334" t="n"/>
      <c r="C349" s="334" t="n"/>
      <c r="D349" s="334" t="n"/>
      <c r="E349" s="334" t="n"/>
      <c r="F349" s="334" t="n"/>
      <c r="G349" s="334" t="n"/>
      <c r="H349" s="334" t="n"/>
      <c r="I349" s="332">
        <f>IFERROR(VLOOKUP(TEXT(H349,"0"),IPRESS!$A$3:$B$212,2,0),"")</f>
        <v/>
      </c>
      <c r="J349" s="334" t="n"/>
      <c r="K349" s="332">
        <f>IFERROR(VLOOKUP(TEXT(O349,"0"),CONDUCTORES!$A$3:$G$54,7,0),"")</f>
        <v/>
      </c>
      <c r="L349" s="334" t="n"/>
      <c r="M349" s="334" t="n"/>
      <c r="N349" s="333">
        <f>IFERROR(IF(L349*M349=0,"",L349*M349),"")</f>
        <v/>
      </c>
      <c r="O349" s="334" t="n"/>
      <c r="P349" s="332">
        <f>IFERROR(VLOOKUP(TEXT(O349,"0"),CONDUCTORES!$A$3:$G$54,2,0),"")</f>
        <v/>
      </c>
      <c r="Q349" s="332">
        <f>IFERROR(VLOOKUP(TEXT(O349,"0"),CONDUCTORES!$A$3:$H$54,6,0),"")</f>
        <v/>
      </c>
      <c r="R349" s="334" t="n"/>
      <c r="S349" s="334" t="n"/>
      <c r="T349" s="334" t="n"/>
      <c r="U349" s="334" t="n"/>
      <c r="V349" s="334" t="n"/>
      <c r="W349" s="334" t="n"/>
      <c r="X349" s="334" t="n"/>
      <c r="Y349" s="334" t="n"/>
    </row>
    <row r="350" ht="15" customHeight="1" s="195">
      <c r="A350" s="280" t="n"/>
      <c r="B350" s="280" t="n"/>
      <c r="C350" s="280" t="n"/>
      <c r="D350" s="280" t="n"/>
      <c r="E350" s="280" t="n"/>
      <c r="F350" s="280" t="n"/>
      <c r="G350" s="280" t="n"/>
      <c r="H350" s="280" t="n"/>
      <c r="I350" s="332">
        <f>IFERROR(VLOOKUP(TEXT(H350,"0"),IPRESS!$A$3:$B$212,2,0),"")</f>
        <v/>
      </c>
      <c r="J350" s="280" t="n"/>
      <c r="K350" s="332">
        <f>IFERROR(VLOOKUP(TEXT(O350,"0"),CONDUCTORES!$A$3:$G$54,7,0),"")</f>
        <v/>
      </c>
      <c r="L350" s="280" t="n"/>
      <c r="M350" s="280" t="n"/>
      <c r="N350" s="333">
        <f>IFERROR(IF(L350*M350=0,"",L350*M350),"")</f>
        <v/>
      </c>
      <c r="O350" s="280" t="n"/>
      <c r="P350" s="332">
        <f>IFERROR(VLOOKUP(TEXT(O350,"0"),CONDUCTORES!$A$3:$G$54,2,0),"")</f>
        <v/>
      </c>
      <c r="Q350" s="332">
        <f>IFERROR(VLOOKUP(TEXT(O350,"0"),CONDUCTORES!$A$3:$H$54,6,0),"")</f>
        <v/>
      </c>
      <c r="R350" s="280" t="n"/>
      <c r="S350" s="280" t="n"/>
      <c r="T350" s="280" t="n"/>
      <c r="U350" s="280" t="n"/>
      <c r="V350" s="280" t="n"/>
      <c r="W350" s="280" t="n"/>
      <c r="X350" s="280" t="n"/>
      <c r="Y350" s="280" t="n"/>
    </row>
    <row r="351" ht="15" customHeight="1" s="195">
      <c r="A351" s="334" t="n"/>
      <c r="B351" s="334" t="n"/>
      <c r="C351" s="334" t="n"/>
      <c r="D351" s="334" t="n"/>
      <c r="E351" s="334" t="n"/>
      <c r="F351" s="334" t="n"/>
      <c r="G351" s="334" t="n"/>
      <c r="H351" s="334" t="n"/>
      <c r="I351" s="332">
        <f>IFERROR(VLOOKUP(TEXT(H351,"0"),IPRESS!$A$3:$B$212,2,0),"")</f>
        <v/>
      </c>
      <c r="J351" s="334" t="n"/>
      <c r="K351" s="332">
        <f>IFERROR(VLOOKUP(TEXT(O351,"0"),CONDUCTORES!$A$3:$G$54,7,0),"")</f>
        <v/>
      </c>
      <c r="L351" s="334" t="n"/>
      <c r="M351" s="334" t="n"/>
      <c r="N351" s="333">
        <f>IFERROR(IF(L351*M351=0,"",L351*M351),"")</f>
        <v/>
      </c>
      <c r="O351" s="334" t="n"/>
      <c r="P351" s="332">
        <f>IFERROR(VLOOKUP(TEXT(O351,"0"),CONDUCTORES!$A$3:$G$54,2,0),"")</f>
        <v/>
      </c>
      <c r="Q351" s="332">
        <f>IFERROR(VLOOKUP(TEXT(O351,"0"),CONDUCTORES!$A$3:$H$54,6,0),"")</f>
        <v/>
      </c>
      <c r="R351" s="334" t="n"/>
      <c r="S351" s="334" t="n"/>
      <c r="T351" s="334" t="n"/>
      <c r="U351" s="334" t="n"/>
      <c r="V351" s="334" t="n"/>
      <c r="W351" s="334" t="n"/>
      <c r="X351" s="334" t="n"/>
      <c r="Y351" s="334" t="n"/>
    </row>
    <row r="352" ht="15" customHeight="1" s="195">
      <c r="A352" s="280" t="n"/>
      <c r="B352" s="280" t="n"/>
      <c r="C352" s="280" t="n"/>
      <c r="D352" s="280" t="n"/>
      <c r="E352" s="280" t="n"/>
      <c r="F352" s="280" t="n"/>
      <c r="G352" s="280" t="n"/>
      <c r="H352" s="280" t="n"/>
      <c r="I352" s="332">
        <f>IFERROR(VLOOKUP(TEXT(H352,"0"),IPRESS!$A$3:$B$212,2,0),"")</f>
        <v/>
      </c>
      <c r="J352" s="280" t="n"/>
      <c r="K352" s="332">
        <f>IFERROR(VLOOKUP(TEXT(O352,"0"),CONDUCTORES!$A$3:$G$54,7,0),"")</f>
        <v/>
      </c>
      <c r="L352" s="280" t="n"/>
      <c r="M352" s="280" t="n"/>
      <c r="N352" s="333">
        <f>IFERROR(IF(L352*M352=0,"",L352*M352),"")</f>
        <v/>
      </c>
      <c r="O352" s="280" t="n"/>
      <c r="P352" s="332">
        <f>IFERROR(VLOOKUP(TEXT(O352,"0"),CONDUCTORES!$A$3:$G$54,2,0),"")</f>
        <v/>
      </c>
      <c r="Q352" s="332">
        <f>IFERROR(VLOOKUP(TEXT(O352,"0"),CONDUCTORES!$A$3:$H$54,6,0),"")</f>
        <v/>
      </c>
      <c r="R352" s="280" t="n"/>
      <c r="S352" s="280" t="n"/>
      <c r="T352" s="280" t="n"/>
      <c r="U352" s="280" t="n"/>
      <c r="V352" s="280" t="n"/>
      <c r="W352" s="280" t="n"/>
      <c r="X352" s="280" t="n"/>
      <c r="Y352" s="280" t="n"/>
    </row>
    <row r="353" ht="15" customHeight="1" s="195">
      <c r="A353" s="334" t="n"/>
      <c r="B353" s="334" t="n"/>
      <c r="C353" s="334" t="n"/>
      <c r="D353" s="334" t="n"/>
      <c r="E353" s="334" t="n"/>
      <c r="F353" s="334" t="n"/>
      <c r="G353" s="334" t="n"/>
      <c r="H353" s="334" t="n"/>
      <c r="I353" s="332">
        <f>IFERROR(VLOOKUP(TEXT(H353,"0"),IPRESS!$A$3:$B$212,2,0),"")</f>
        <v/>
      </c>
      <c r="J353" s="334" t="n"/>
      <c r="K353" s="332">
        <f>IFERROR(VLOOKUP(TEXT(O353,"0"),CONDUCTORES!$A$3:$G$54,7,0),"")</f>
        <v/>
      </c>
      <c r="L353" s="334" t="n"/>
      <c r="M353" s="334" t="n"/>
      <c r="N353" s="333">
        <f>IFERROR(IF(L353*M353=0,"",L353*M353),"")</f>
        <v/>
      </c>
      <c r="O353" s="334" t="n"/>
      <c r="P353" s="332">
        <f>IFERROR(VLOOKUP(TEXT(O353,"0"),CONDUCTORES!$A$3:$G$54,2,0),"")</f>
        <v/>
      </c>
      <c r="Q353" s="332">
        <f>IFERROR(VLOOKUP(TEXT(O353,"0"),CONDUCTORES!$A$3:$H$54,6,0),"")</f>
        <v/>
      </c>
      <c r="R353" s="334" t="n"/>
      <c r="S353" s="334" t="n"/>
      <c r="T353" s="334" t="n"/>
      <c r="U353" s="334" t="n"/>
      <c r="V353" s="334" t="n"/>
      <c r="W353" s="334" t="n"/>
      <c r="X353" s="334" t="n"/>
      <c r="Y353" s="334" t="n"/>
    </row>
    <row r="354" ht="15" customHeight="1" s="195">
      <c r="A354" s="280" t="n"/>
      <c r="B354" s="280" t="n"/>
      <c r="C354" s="280" t="n"/>
      <c r="D354" s="280" t="n"/>
      <c r="E354" s="280" t="n"/>
      <c r="F354" s="280" t="n"/>
      <c r="G354" s="280" t="n"/>
      <c r="H354" s="280" t="n"/>
      <c r="I354" s="332">
        <f>IFERROR(VLOOKUP(TEXT(H354,"0"),IPRESS!$A$3:$B$212,2,0),"")</f>
        <v/>
      </c>
      <c r="J354" s="280" t="n"/>
      <c r="K354" s="332">
        <f>IFERROR(VLOOKUP(TEXT(O354,"0"),CONDUCTORES!$A$3:$G$54,7,0),"")</f>
        <v/>
      </c>
      <c r="L354" s="280" t="n"/>
      <c r="M354" s="280" t="n"/>
      <c r="N354" s="333">
        <f>IFERROR(IF(L354*M354=0,"",L354*M354),"")</f>
        <v/>
      </c>
      <c r="O354" s="280" t="n"/>
      <c r="P354" s="332">
        <f>IFERROR(VLOOKUP(TEXT(O354,"0"),CONDUCTORES!$A$3:$G$54,2,0),"")</f>
        <v/>
      </c>
      <c r="Q354" s="332">
        <f>IFERROR(VLOOKUP(TEXT(O354,"0"),CONDUCTORES!$A$3:$H$54,6,0),"")</f>
        <v/>
      </c>
      <c r="R354" s="280" t="n"/>
      <c r="S354" s="280" t="n"/>
      <c r="T354" s="280" t="n"/>
      <c r="U354" s="280" t="n"/>
      <c r="V354" s="280" t="n"/>
      <c r="W354" s="280" t="n"/>
      <c r="X354" s="280" t="n"/>
      <c r="Y354" s="280" t="n"/>
    </row>
    <row r="355" ht="15" customHeight="1" s="195">
      <c r="A355" s="334" t="n"/>
      <c r="B355" s="334" t="n"/>
      <c r="C355" s="334" t="n"/>
      <c r="D355" s="334" t="n"/>
      <c r="E355" s="334" t="n"/>
      <c r="F355" s="334" t="n"/>
      <c r="G355" s="334" t="n"/>
      <c r="H355" s="334" t="n"/>
      <c r="I355" s="332">
        <f>IFERROR(VLOOKUP(TEXT(H355,"0"),IPRESS!$A$3:$B$212,2,0),"")</f>
        <v/>
      </c>
      <c r="J355" s="334" t="n"/>
      <c r="K355" s="332">
        <f>IFERROR(VLOOKUP(TEXT(O355,"0"),CONDUCTORES!$A$3:$G$54,7,0),"")</f>
        <v/>
      </c>
      <c r="L355" s="334" t="n"/>
      <c r="M355" s="334" t="n"/>
      <c r="N355" s="333">
        <f>IFERROR(IF(L355*M355=0,"",L355*M355),"")</f>
        <v/>
      </c>
      <c r="O355" s="334" t="n"/>
      <c r="P355" s="332">
        <f>IFERROR(VLOOKUP(TEXT(O355,"0"),CONDUCTORES!$A$3:$G$54,2,0),"")</f>
        <v/>
      </c>
      <c r="Q355" s="332">
        <f>IFERROR(VLOOKUP(TEXT(O355,"0"),CONDUCTORES!$A$3:$H$54,6,0),"")</f>
        <v/>
      </c>
      <c r="R355" s="334" t="n"/>
      <c r="S355" s="334" t="n"/>
      <c r="T355" s="334" t="n"/>
      <c r="U355" s="334" t="n"/>
      <c r="V355" s="334" t="n"/>
      <c r="W355" s="334" t="n"/>
      <c r="X355" s="334" t="n"/>
      <c r="Y355" s="334" t="n"/>
    </row>
    <row r="356" ht="15" customHeight="1" s="195">
      <c r="A356" s="280" t="n"/>
      <c r="B356" s="280" t="n"/>
      <c r="C356" s="280" t="n"/>
      <c r="D356" s="280" t="n"/>
      <c r="E356" s="280" t="n"/>
      <c r="F356" s="280" t="n"/>
      <c r="G356" s="280" t="n"/>
      <c r="H356" s="280" t="n"/>
      <c r="I356" s="332">
        <f>IFERROR(VLOOKUP(TEXT(H356,"0"),IPRESS!$A$3:$B$212,2,0),"")</f>
        <v/>
      </c>
      <c r="J356" s="280" t="n"/>
      <c r="K356" s="332">
        <f>IFERROR(VLOOKUP(TEXT(O356,"0"),CONDUCTORES!$A$3:$G$54,7,0),"")</f>
        <v/>
      </c>
      <c r="L356" s="280" t="n"/>
      <c r="M356" s="280" t="n"/>
      <c r="N356" s="333">
        <f>IFERROR(IF(L356*M356=0,"",L356*M356),"")</f>
        <v/>
      </c>
      <c r="O356" s="280" t="n"/>
      <c r="P356" s="332">
        <f>IFERROR(VLOOKUP(TEXT(O356,"0"),CONDUCTORES!$A$3:$G$54,2,0),"")</f>
        <v/>
      </c>
      <c r="Q356" s="332">
        <f>IFERROR(VLOOKUP(TEXT(O356,"0"),CONDUCTORES!$A$3:$H$54,6,0),"")</f>
        <v/>
      </c>
      <c r="R356" s="280" t="n"/>
      <c r="S356" s="280" t="n"/>
      <c r="T356" s="280" t="n"/>
      <c r="U356" s="280" t="n"/>
      <c r="V356" s="280" t="n"/>
      <c r="W356" s="280" t="n"/>
      <c r="X356" s="280" t="n"/>
      <c r="Y356" s="280" t="n"/>
    </row>
    <row r="357" ht="15" customHeight="1" s="195">
      <c r="A357" s="334" t="n"/>
      <c r="B357" s="334" t="n"/>
      <c r="C357" s="334" t="n"/>
      <c r="D357" s="334" t="n"/>
      <c r="E357" s="334" t="n"/>
      <c r="F357" s="334" t="n"/>
      <c r="G357" s="334" t="n"/>
      <c r="H357" s="334" t="n"/>
      <c r="I357" s="332">
        <f>IFERROR(VLOOKUP(TEXT(H357,"0"),IPRESS!$A$3:$B$212,2,0),"")</f>
        <v/>
      </c>
      <c r="J357" s="334" t="n"/>
      <c r="K357" s="332">
        <f>IFERROR(VLOOKUP(TEXT(O357,"0"),CONDUCTORES!$A$3:$G$54,7,0),"")</f>
        <v/>
      </c>
      <c r="L357" s="334" t="n"/>
      <c r="M357" s="334" t="n"/>
      <c r="N357" s="333">
        <f>IFERROR(IF(L357*M357=0,"",L357*M357),"")</f>
        <v/>
      </c>
      <c r="O357" s="334" t="n"/>
      <c r="P357" s="332">
        <f>IFERROR(VLOOKUP(TEXT(O357,"0"),CONDUCTORES!$A$3:$G$54,2,0),"")</f>
        <v/>
      </c>
      <c r="Q357" s="332">
        <f>IFERROR(VLOOKUP(TEXT(O357,"0"),CONDUCTORES!$A$3:$H$54,6,0),"")</f>
        <v/>
      </c>
      <c r="R357" s="334" t="n"/>
      <c r="S357" s="334" t="n"/>
      <c r="T357" s="334" t="n"/>
      <c r="U357" s="334" t="n"/>
      <c r="V357" s="334" t="n"/>
      <c r="W357" s="334" t="n"/>
      <c r="X357" s="334" t="n"/>
      <c r="Y357" s="334" t="n"/>
    </row>
    <row r="358" ht="15" customHeight="1" s="195">
      <c r="A358" s="280" t="n"/>
      <c r="B358" s="280" t="n"/>
      <c r="C358" s="280" t="n"/>
      <c r="D358" s="280" t="n"/>
      <c r="E358" s="280" t="n"/>
      <c r="F358" s="280" t="n"/>
      <c r="G358" s="280" t="n"/>
      <c r="H358" s="280" t="n"/>
      <c r="I358" s="332">
        <f>IFERROR(VLOOKUP(TEXT(H358,"0"),IPRESS!$A$3:$B$212,2,0),"")</f>
        <v/>
      </c>
      <c r="J358" s="280" t="n"/>
      <c r="K358" s="332">
        <f>IFERROR(VLOOKUP(TEXT(O358,"0"),CONDUCTORES!$A$3:$G$54,7,0),"")</f>
        <v/>
      </c>
      <c r="L358" s="280" t="n"/>
      <c r="M358" s="280" t="n"/>
      <c r="N358" s="333">
        <f>IFERROR(IF(L358*M358=0,"",L358*M358),"")</f>
        <v/>
      </c>
      <c r="O358" s="280" t="n"/>
      <c r="P358" s="332">
        <f>IFERROR(VLOOKUP(TEXT(O358,"0"),CONDUCTORES!$A$3:$G$54,2,0),"")</f>
        <v/>
      </c>
      <c r="Q358" s="332">
        <f>IFERROR(VLOOKUP(TEXT(O358,"0"),CONDUCTORES!$A$3:$H$54,6,0),"")</f>
        <v/>
      </c>
      <c r="R358" s="280" t="n"/>
      <c r="S358" s="280" t="n"/>
      <c r="T358" s="280" t="n"/>
      <c r="U358" s="280" t="n"/>
      <c r="V358" s="280" t="n"/>
      <c r="W358" s="280" t="n"/>
      <c r="X358" s="280" t="n"/>
      <c r="Y358" s="280" t="n"/>
    </row>
    <row r="359" ht="15" customHeight="1" s="195">
      <c r="A359" s="334" t="n"/>
      <c r="B359" s="334" t="n"/>
      <c r="C359" s="334" t="n"/>
      <c r="D359" s="334" t="n"/>
      <c r="E359" s="334" t="n"/>
      <c r="F359" s="334" t="n"/>
      <c r="G359" s="334" t="n"/>
      <c r="H359" s="334" t="n"/>
      <c r="I359" s="332">
        <f>IFERROR(VLOOKUP(TEXT(H359,"0"),IPRESS!$A$3:$B$212,2,0),"")</f>
        <v/>
      </c>
      <c r="J359" s="334" t="n"/>
      <c r="K359" s="332">
        <f>IFERROR(VLOOKUP(TEXT(O359,"0"),CONDUCTORES!$A$3:$G$54,7,0),"")</f>
        <v/>
      </c>
      <c r="L359" s="334" t="n"/>
      <c r="M359" s="334" t="n"/>
      <c r="N359" s="333">
        <f>IFERROR(IF(L359*M359=0,"",L359*M359),"")</f>
        <v/>
      </c>
      <c r="O359" s="334" t="n"/>
      <c r="P359" s="332">
        <f>IFERROR(VLOOKUP(TEXT(O359,"0"),CONDUCTORES!$A$3:$G$54,2,0),"")</f>
        <v/>
      </c>
      <c r="Q359" s="332">
        <f>IFERROR(VLOOKUP(TEXT(O359,"0"),CONDUCTORES!$A$3:$H$54,6,0),"")</f>
        <v/>
      </c>
      <c r="R359" s="334" t="n"/>
      <c r="S359" s="334" t="n"/>
      <c r="T359" s="334" t="n"/>
      <c r="U359" s="334" t="n"/>
      <c r="V359" s="334" t="n"/>
      <c r="W359" s="334" t="n"/>
      <c r="X359" s="334" t="n"/>
      <c r="Y359" s="334" t="n"/>
    </row>
    <row r="360" ht="15" customHeight="1" s="195">
      <c r="A360" s="280" t="n"/>
      <c r="B360" s="280" t="n"/>
      <c r="C360" s="280" t="n"/>
      <c r="D360" s="280" t="n"/>
      <c r="E360" s="280" t="n"/>
      <c r="F360" s="280" t="n"/>
      <c r="G360" s="280" t="n"/>
      <c r="H360" s="280" t="n"/>
      <c r="I360" s="332">
        <f>IFERROR(VLOOKUP(TEXT(H360,"0"),IPRESS!$A$3:$B$212,2,0),"")</f>
        <v/>
      </c>
      <c r="J360" s="280" t="n"/>
      <c r="K360" s="332">
        <f>IFERROR(VLOOKUP(TEXT(O360,"0"),CONDUCTORES!$A$3:$G$54,7,0),"")</f>
        <v/>
      </c>
      <c r="L360" s="280" t="n"/>
      <c r="M360" s="280" t="n"/>
      <c r="N360" s="333">
        <f>IFERROR(IF(L360*M360=0,"",L360*M360),"")</f>
        <v/>
      </c>
      <c r="O360" s="280" t="n"/>
      <c r="P360" s="332">
        <f>IFERROR(VLOOKUP(TEXT(O360,"0"),CONDUCTORES!$A$3:$G$54,2,0),"")</f>
        <v/>
      </c>
      <c r="Q360" s="332">
        <f>IFERROR(VLOOKUP(TEXT(O360,"0"),CONDUCTORES!$A$3:$H$54,6,0),"")</f>
        <v/>
      </c>
      <c r="R360" s="280" t="n"/>
      <c r="S360" s="280" t="n"/>
      <c r="T360" s="280" t="n"/>
      <c r="U360" s="280" t="n"/>
      <c r="V360" s="280" t="n"/>
      <c r="W360" s="280" t="n"/>
      <c r="X360" s="280" t="n"/>
      <c r="Y360" s="280" t="n"/>
    </row>
    <row r="361" ht="15" customHeight="1" s="195">
      <c r="A361" s="334" t="n"/>
      <c r="B361" s="334" t="n"/>
      <c r="C361" s="334" t="n"/>
      <c r="D361" s="334" t="n"/>
      <c r="E361" s="334" t="n"/>
      <c r="F361" s="334" t="n"/>
      <c r="G361" s="334" t="n"/>
      <c r="H361" s="334" t="n"/>
      <c r="I361" s="332">
        <f>IFERROR(VLOOKUP(TEXT(H361,"0"),IPRESS!$A$3:$B$212,2,0),"")</f>
        <v/>
      </c>
      <c r="J361" s="334" t="n"/>
      <c r="K361" s="332">
        <f>IFERROR(VLOOKUP(TEXT(O361,"0"),CONDUCTORES!$A$3:$G$54,7,0),"")</f>
        <v/>
      </c>
      <c r="L361" s="334" t="n"/>
      <c r="M361" s="334" t="n"/>
      <c r="N361" s="333">
        <f>IFERROR(IF(L361*M361=0,"",L361*M361),"")</f>
        <v/>
      </c>
      <c r="O361" s="334" t="n"/>
      <c r="P361" s="332">
        <f>IFERROR(VLOOKUP(TEXT(O361,"0"),CONDUCTORES!$A$3:$G$54,2,0),"")</f>
        <v/>
      </c>
      <c r="Q361" s="332">
        <f>IFERROR(VLOOKUP(TEXT(O361,"0"),CONDUCTORES!$A$3:$H$54,6,0),"")</f>
        <v/>
      </c>
      <c r="R361" s="334" t="n"/>
      <c r="S361" s="334" t="n"/>
      <c r="T361" s="334" t="n"/>
      <c r="U361" s="334" t="n"/>
      <c r="V361" s="334" t="n"/>
      <c r="W361" s="334" t="n"/>
      <c r="X361" s="334" t="n"/>
      <c r="Y361" s="334" t="n"/>
    </row>
    <row r="362" ht="15" customHeight="1" s="195">
      <c r="A362" s="280" t="n"/>
      <c r="B362" s="280" t="n"/>
      <c r="C362" s="280" t="n"/>
      <c r="D362" s="280" t="n"/>
      <c r="E362" s="280" t="n"/>
      <c r="F362" s="280" t="n"/>
      <c r="G362" s="280" t="n"/>
      <c r="H362" s="280" t="n"/>
      <c r="I362" s="332">
        <f>IFERROR(VLOOKUP(TEXT(H362,"0"),IPRESS!$A$3:$B$212,2,0),"")</f>
        <v/>
      </c>
      <c r="J362" s="280" t="n"/>
      <c r="K362" s="332">
        <f>IFERROR(VLOOKUP(TEXT(O362,"0"),CONDUCTORES!$A$3:$G$54,7,0),"")</f>
        <v/>
      </c>
      <c r="L362" s="280" t="n"/>
      <c r="M362" s="280" t="n"/>
      <c r="N362" s="333">
        <f>IFERROR(IF(L362*M362=0,"",L362*M362),"")</f>
        <v/>
      </c>
      <c r="O362" s="280" t="n"/>
      <c r="P362" s="332">
        <f>IFERROR(VLOOKUP(TEXT(O362,"0"),CONDUCTORES!$A$3:$G$54,2,0),"")</f>
        <v/>
      </c>
      <c r="Q362" s="332">
        <f>IFERROR(VLOOKUP(TEXT(O362,"0"),CONDUCTORES!$A$3:$H$54,6,0),"")</f>
        <v/>
      </c>
      <c r="R362" s="280" t="n"/>
      <c r="S362" s="280" t="n"/>
      <c r="T362" s="280" t="n"/>
      <c r="U362" s="280" t="n"/>
      <c r="V362" s="280" t="n"/>
      <c r="W362" s="280" t="n"/>
      <c r="X362" s="280" t="n"/>
      <c r="Y362" s="280" t="n"/>
    </row>
    <row r="363" ht="15" customHeight="1" s="195">
      <c r="A363" s="334" t="n"/>
      <c r="B363" s="334" t="n"/>
      <c r="C363" s="334" t="n"/>
      <c r="D363" s="334" t="n"/>
      <c r="E363" s="334" t="n"/>
      <c r="F363" s="334" t="n"/>
      <c r="G363" s="334" t="n"/>
      <c r="H363" s="334" t="n"/>
      <c r="I363" s="332">
        <f>IFERROR(VLOOKUP(TEXT(H363,"0"),IPRESS!$A$3:$B$212,2,0),"")</f>
        <v/>
      </c>
      <c r="J363" s="334" t="n"/>
      <c r="K363" s="332">
        <f>IFERROR(VLOOKUP(TEXT(O363,"0"),CONDUCTORES!$A$3:$G$54,7,0),"")</f>
        <v/>
      </c>
      <c r="L363" s="334" t="n"/>
      <c r="M363" s="334" t="n"/>
      <c r="N363" s="333">
        <f>IFERROR(IF(L363*M363=0,"",L363*M363),"")</f>
        <v/>
      </c>
      <c r="O363" s="334" t="n"/>
      <c r="P363" s="332">
        <f>IFERROR(VLOOKUP(TEXT(O363,"0"),CONDUCTORES!$A$3:$G$54,2,0),"")</f>
        <v/>
      </c>
      <c r="Q363" s="332">
        <f>IFERROR(VLOOKUP(TEXT(O363,"0"),CONDUCTORES!$A$3:$H$54,6,0),"")</f>
        <v/>
      </c>
      <c r="R363" s="334" t="n"/>
      <c r="S363" s="334" t="n"/>
      <c r="T363" s="334" t="n"/>
      <c r="U363" s="334" t="n"/>
      <c r="V363" s="334" t="n"/>
      <c r="W363" s="334" t="n"/>
      <c r="X363" s="334" t="n"/>
      <c r="Y363" s="334" t="n"/>
    </row>
    <row r="364" ht="15" customHeight="1" s="195">
      <c r="A364" s="280" t="n"/>
      <c r="B364" s="280" t="n"/>
      <c r="C364" s="280" t="n"/>
      <c r="D364" s="280" t="n"/>
      <c r="E364" s="280" t="n"/>
      <c r="F364" s="280" t="n"/>
      <c r="G364" s="280" t="n"/>
      <c r="H364" s="280" t="n"/>
      <c r="I364" s="332">
        <f>IFERROR(VLOOKUP(TEXT(H364,"0"),IPRESS!$A$3:$B$212,2,0),"")</f>
        <v/>
      </c>
      <c r="J364" s="280" t="n"/>
      <c r="K364" s="332">
        <f>IFERROR(VLOOKUP(TEXT(O364,"0"),CONDUCTORES!$A$3:$G$54,7,0),"")</f>
        <v/>
      </c>
      <c r="L364" s="280" t="n"/>
      <c r="M364" s="280" t="n"/>
      <c r="N364" s="333">
        <f>IFERROR(IF(L364*M364=0,"",L364*M364),"")</f>
        <v/>
      </c>
      <c r="O364" s="280" t="n"/>
      <c r="P364" s="332">
        <f>IFERROR(VLOOKUP(TEXT(O364,"0"),CONDUCTORES!$A$3:$G$54,2,0),"")</f>
        <v/>
      </c>
      <c r="Q364" s="332">
        <f>IFERROR(VLOOKUP(TEXT(O364,"0"),CONDUCTORES!$A$3:$H$54,6,0),"")</f>
        <v/>
      </c>
      <c r="R364" s="280" t="n"/>
      <c r="S364" s="280" t="n"/>
      <c r="T364" s="280" t="n"/>
      <c r="U364" s="280" t="n"/>
      <c r="V364" s="280" t="n"/>
      <c r="W364" s="280" t="n"/>
      <c r="X364" s="280" t="n"/>
      <c r="Y364" s="280" t="n"/>
    </row>
    <row r="365" ht="15" customHeight="1" s="195">
      <c r="A365" s="334" t="n"/>
      <c r="B365" s="334" t="n"/>
      <c r="C365" s="334" t="n"/>
      <c r="D365" s="334" t="n"/>
      <c r="E365" s="334" t="n"/>
      <c r="F365" s="334" t="n"/>
      <c r="G365" s="334" t="n"/>
      <c r="H365" s="334" t="n"/>
      <c r="I365" s="332">
        <f>IFERROR(VLOOKUP(TEXT(H365,"0"),IPRESS!$A$3:$B$212,2,0),"")</f>
        <v/>
      </c>
      <c r="J365" s="334" t="n"/>
      <c r="K365" s="332">
        <f>IFERROR(VLOOKUP(TEXT(O365,"0"),CONDUCTORES!$A$3:$G$54,7,0),"")</f>
        <v/>
      </c>
      <c r="L365" s="334" t="n"/>
      <c r="M365" s="334" t="n"/>
      <c r="N365" s="333">
        <f>IFERROR(IF(L365*M365=0,"",L365*M365),"")</f>
        <v/>
      </c>
      <c r="O365" s="334" t="n"/>
      <c r="P365" s="332">
        <f>IFERROR(VLOOKUP(TEXT(O365,"0"),CONDUCTORES!$A$3:$G$54,2,0),"")</f>
        <v/>
      </c>
      <c r="Q365" s="332">
        <f>IFERROR(VLOOKUP(TEXT(O365,"0"),CONDUCTORES!$A$3:$H$54,6,0),"")</f>
        <v/>
      </c>
      <c r="R365" s="334" t="n"/>
      <c r="S365" s="334" t="n"/>
      <c r="T365" s="334" t="n"/>
      <c r="U365" s="334" t="n"/>
      <c r="V365" s="334" t="n"/>
      <c r="W365" s="334" t="n"/>
      <c r="X365" s="334" t="n"/>
      <c r="Y365" s="334" t="n"/>
    </row>
    <row r="366" ht="15" customHeight="1" s="195">
      <c r="A366" s="280" t="n"/>
      <c r="B366" s="280" t="n"/>
      <c r="C366" s="280" t="n"/>
      <c r="D366" s="280" t="n"/>
      <c r="E366" s="280" t="n"/>
      <c r="F366" s="280" t="n"/>
      <c r="G366" s="280" t="n"/>
      <c r="H366" s="280" t="n"/>
      <c r="I366" s="332">
        <f>IFERROR(VLOOKUP(TEXT(H366,"0"),IPRESS!$A$3:$B$212,2,0),"")</f>
        <v/>
      </c>
      <c r="J366" s="280" t="n"/>
      <c r="K366" s="332">
        <f>IFERROR(VLOOKUP(TEXT(O366,"0"),CONDUCTORES!$A$3:$G$54,7,0),"")</f>
        <v/>
      </c>
      <c r="L366" s="280" t="n"/>
      <c r="M366" s="280" t="n"/>
      <c r="N366" s="333">
        <f>IFERROR(IF(L366*M366=0,"",L366*M366),"")</f>
        <v/>
      </c>
      <c r="O366" s="280" t="n"/>
      <c r="P366" s="332">
        <f>IFERROR(VLOOKUP(TEXT(O366,"0"),CONDUCTORES!$A$3:$G$54,2,0),"")</f>
        <v/>
      </c>
      <c r="Q366" s="332">
        <f>IFERROR(VLOOKUP(TEXT(O366,"0"),CONDUCTORES!$A$3:$H$54,6,0),"")</f>
        <v/>
      </c>
      <c r="R366" s="280" t="n"/>
      <c r="S366" s="280" t="n"/>
      <c r="T366" s="280" t="n"/>
      <c r="U366" s="280" t="n"/>
      <c r="V366" s="280" t="n"/>
      <c r="W366" s="280" t="n"/>
      <c r="X366" s="280" t="n"/>
      <c r="Y366" s="280" t="n"/>
    </row>
    <row r="367" ht="15" customHeight="1" s="195">
      <c r="A367" s="334" t="n"/>
      <c r="B367" s="334" t="n"/>
      <c r="C367" s="334" t="n"/>
      <c r="D367" s="334" t="n"/>
      <c r="E367" s="334" t="n"/>
      <c r="F367" s="334" t="n"/>
      <c r="G367" s="334" t="n"/>
      <c r="H367" s="334" t="n"/>
      <c r="I367" s="332">
        <f>IFERROR(VLOOKUP(TEXT(H367,"0"),IPRESS!$A$3:$B$212,2,0),"")</f>
        <v/>
      </c>
      <c r="J367" s="334" t="n"/>
      <c r="K367" s="332">
        <f>IFERROR(VLOOKUP(TEXT(O367,"0"),CONDUCTORES!$A$3:$G$54,7,0),"")</f>
        <v/>
      </c>
      <c r="L367" s="334" t="n"/>
      <c r="M367" s="334" t="n"/>
      <c r="N367" s="333">
        <f>IFERROR(IF(L367*M367=0,"",L367*M367),"")</f>
        <v/>
      </c>
      <c r="O367" s="334" t="n"/>
      <c r="P367" s="332">
        <f>IFERROR(VLOOKUP(TEXT(O367,"0"),CONDUCTORES!$A$3:$G$54,2,0),"")</f>
        <v/>
      </c>
      <c r="Q367" s="332">
        <f>IFERROR(VLOOKUP(TEXT(O367,"0"),CONDUCTORES!$A$3:$H$54,6,0),"")</f>
        <v/>
      </c>
      <c r="R367" s="334" t="n"/>
      <c r="S367" s="334" t="n"/>
      <c r="T367" s="334" t="n"/>
      <c r="U367" s="334" t="n"/>
      <c r="V367" s="334" t="n"/>
      <c r="W367" s="334" t="n"/>
      <c r="X367" s="334" t="n"/>
      <c r="Y367" s="334" t="n"/>
    </row>
    <row r="368" ht="15" customHeight="1" s="195">
      <c r="A368" s="280" t="n"/>
      <c r="B368" s="280" t="n"/>
      <c r="C368" s="280" t="n"/>
      <c r="D368" s="280" t="n"/>
      <c r="E368" s="280" t="n"/>
      <c r="F368" s="280" t="n"/>
      <c r="G368" s="280" t="n"/>
      <c r="H368" s="280" t="n"/>
      <c r="I368" s="332">
        <f>IFERROR(VLOOKUP(TEXT(H368,"0"),IPRESS!$A$3:$B$212,2,0),"")</f>
        <v/>
      </c>
      <c r="J368" s="280" t="n"/>
      <c r="K368" s="332">
        <f>IFERROR(VLOOKUP(TEXT(O368,"0"),CONDUCTORES!$A$3:$G$54,7,0),"")</f>
        <v/>
      </c>
      <c r="L368" s="280" t="n"/>
      <c r="M368" s="280" t="n"/>
      <c r="N368" s="333">
        <f>IFERROR(IF(L368*M368=0,"",L368*M368),"")</f>
        <v/>
      </c>
      <c r="O368" s="280" t="n"/>
      <c r="P368" s="332">
        <f>IFERROR(VLOOKUP(TEXT(O368,"0"),CONDUCTORES!$A$3:$G$54,2,0),"")</f>
        <v/>
      </c>
      <c r="Q368" s="332">
        <f>IFERROR(VLOOKUP(TEXT(O368,"0"),CONDUCTORES!$A$3:$H$54,6,0),"")</f>
        <v/>
      </c>
      <c r="R368" s="280" t="n"/>
      <c r="S368" s="280" t="n"/>
      <c r="T368" s="280" t="n"/>
      <c r="U368" s="280" t="n"/>
      <c r="V368" s="280" t="n"/>
      <c r="W368" s="280" t="n"/>
      <c r="X368" s="280" t="n"/>
      <c r="Y368" s="280" t="n"/>
    </row>
    <row r="369" ht="15" customHeight="1" s="195">
      <c r="A369" s="334" t="n"/>
      <c r="B369" s="334" t="n"/>
      <c r="C369" s="334" t="n"/>
      <c r="D369" s="334" t="n"/>
      <c r="E369" s="334" t="n"/>
      <c r="F369" s="334" t="n"/>
      <c r="G369" s="334" t="n"/>
      <c r="H369" s="334" t="n"/>
      <c r="I369" s="332">
        <f>IFERROR(VLOOKUP(TEXT(H369,"0"),IPRESS!$A$3:$B$212,2,0),"")</f>
        <v/>
      </c>
      <c r="J369" s="334" t="n"/>
      <c r="K369" s="332">
        <f>IFERROR(VLOOKUP(TEXT(O369,"0"),CONDUCTORES!$A$3:$G$54,7,0),"")</f>
        <v/>
      </c>
      <c r="L369" s="334" t="n"/>
      <c r="M369" s="334" t="n"/>
      <c r="N369" s="333">
        <f>IFERROR(IF(L369*M369=0,"",L369*M369),"")</f>
        <v/>
      </c>
      <c r="O369" s="334" t="n"/>
      <c r="P369" s="332">
        <f>IFERROR(VLOOKUP(TEXT(O369,"0"),CONDUCTORES!$A$3:$G$54,2,0),"")</f>
        <v/>
      </c>
      <c r="Q369" s="332">
        <f>IFERROR(VLOOKUP(TEXT(O369,"0"),CONDUCTORES!$A$3:$H$54,6,0),"")</f>
        <v/>
      </c>
      <c r="R369" s="334" t="n"/>
      <c r="S369" s="334" t="n"/>
      <c r="T369" s="334" t="n"/>
      <c r="U369" s="334" t="n"/>
      <c r="V369" s="334" t="n"/>
      <c r="W369" s="334" t="n"/>
      <c r="X369" s="334" t="n"/>
      <c r="Y369" s="334" t="n"/>
    </row>
    <row r="370" ht="15" customHeight="1" s="195">
      <c r="A370" s="280" t="n"/>
      <c r="B370" s="280" t="n"/>
      <c r="C370" s="280" t="n"/>
      <c r="D370" s="280" t="n"/>
      <c r="E370" s="280" t="n"/>
      <c r="F370" s="280" t="n"/>
      <c r="G370" s="280" t="n"/>
      <c r="H370" s="280" t="n"/>
      <c r="I370" s="332">
        <f>IFERROR(VLOOKUP(TEXT(H370,"0"),IPRESS!$A$3:$B$212,2,0),"")</f>
        <v/>
      </c>
      <c r="J370" s="280" t="n"/>
      <c r="K370" s="332">
        <f>IFERROR(VLOOKUP(TEXT(O370,"0"),CONDUCTORES!$A$3:$G$54,7,0),"")</f>
        <v/>
      </c>
      <c r="L370" s="280" t="n"/>
      <c r="M370" s="280" t="n"/>
      <c r="N370" s="333">
        <f>IFERROR(IF(L370*M370=0,"",L370*M370),"")</f>
        <v/>
      </c>
      <c r="O370" s="280" t="n"/>
      <c r="P370" s="332">
        <f>IFERROR(VLOOKUP(TEXT(O370,"0"),CONDUCTORES!$A$3:$G$54,2,0),"")</f>
        <v/>
      </c>
      <c r="Q370" s="332">
        <f>IFERROR(VLOOKUP(TEXT(O370,"0"),CONDUCTORES!$A$3:$H$54,6,0),"")</f>
        <v/>
      </c>
      <c r="R370" s="280" t="n"/>
      <c r="S370" s="280" t="n"/>
      <c r="T370" s="280" t="n"/>
      <c r="U370" s="280" t="n"/>
      <c r="V370" s="280" t="n"/>
      <c r="W370" s="280" t="n"/>
      <c r="X370" s="280" t="n"/>
      <c r="Y370" s="280" t="n"/>
    </row>
    <row r="371" ht="15" customHeight="1" s="195">
      <c r="A371" s="334" t="n"/>
      <c r="B371" s="334" t="n"/>
      <c r="C371" s="334" t="n"/>
      <c r="D371" s="334" t="n"/>
      <c r="E371" s="334" t="n"/>
      <c r="F371" s="334" t="n"/>
      <c r="G371" s="334" t="n"/>
      <c r="H371" s="334" t="n"/>
      <c r="I371" s="332">
        <f>IFERROR(VLOOKUP(TEXT(H371,"0"),IPRESS!$A$3:$B$212,2,0),"")</f>
        <v/>
      </c>
      <c r="J371" s="334" t="n"/>
      <c r="K371" s="332">
        <f>IFERROR(VLOOKUP(TEXT(O371,"0"),CONDUCTORES!$A$3:$G$54,7,0),"")</f>
        <v/>
      </c>
      <c r="L371" s="334" t="n"/>
      <c r="M371" s="334" t="n"/>
      <c r="N371" s="333">
        <f>IFERROR(IF(L371*M371=0,"",L371*M371),"")</f>
        <v/>
      </c>
      <c r="O371" s="334" t="n"/>
      <c r="P371" s="332">
        <f>IFERROR(VLOOKUP(TEXT(O371,"0"),CONDUCTORES!$A$3:$G$54,2,0),"")</f>
        <v/>
      </c>
      <c r="Q371" s="332">
        <f>IFERROR(VLOOKUP(TEXT(O371,"0"),CONDUCTORES!$A$3:$H$54,6,0),"")</f>
        <v/>
      </c>
      <c r="R371" s="334" t="n"/>
      <c r="S371" s="334" t="n"/>
      <c r="T371" s="334" t="n"/>
      <c r="U371" s="334" t="n"/>
      <c r="V371" s="334" t="n"/>
      <c r="W371" s="334" t="n"/>
      <c r="X371" s="334" t="n"/>
      <c r="Y371" s="334" t="n"/>
    </row>
    <row r="372" ht="15" customHeight="1" s="195">
      <c r="A372" s="280" t="n"/>
      <c r="B372" s="280" t="n"/>
      <c r="C372" s="280" t="n"/>
      <c r="D372" s="280" t="n"/>
      <c r="E372" s="280" t="n"/>
      <c r="F372" s="280" t="n"/>
      <c r="G372" s="280" t="n"/>
      <c r="H372" s="280" t="n"/>
      <c r="I372" s="332">
        <f>IFERROR(VLOOKUP(TEXT(H372,"0"),IPRESS!$A$3:$B$212,2,0),"")</f>
        <v/>
      </c>
      <c r="J372" s="280" t="n"/>
      <c r="K372" s="332">
        <f>IFERROR(VLOOKUP(TEXT(O372,"0"),CONDUCTORES!$A$3:$G$54,7,0),"")</f>
        <v/>
      </c>
      <c r="L372" s="280" t="n"/>
      <c r="M372" s="280" t="n"/>
      <c r="N372" s="333">
        <f>IFERROR(IF(L372*M372=0,"",L372*M372),"")</f>
        <v/>
      </c>
      <c r="O372" s="280" t="n"/>
      <c r="P372" s="332">
        <f>IFERROR(VLOOKUP(TEXT(O372,"0"),CONDUCTORES!$A$3:$G$54,2,0),"")</f>
        <v/>
      </c>
      <c r="Q372" s="332">
        <f>IFERROR(VLOOKUP(TEXT(O372,"0"),CONDUCTORES!$A$3:$H$54,6,0),"")</f>
        <v/>
      </c>
      <c r="R372" s="280" t="n"/>
      <c r="S372" s="280" t="n"/>
      <c r="T372" s="280" t="n"/>
      <c r="U372" s="280" t="n"/>
      <c r="V372" s="280" t="n"/>
      <c r="W372" s="280" t="n"/>
      <c r="X372" s="280" t="n"/>
      <c r="Y372" s="280" t="n"/>
    </row>
    <row r="373" ht="15" customHeight="1" s="195">
      <c r="A373" s="334" t="n"/>
      <c r="B373" s="334" t="n"/>
      <c r="C373" s="334" t="n"/>
      <c r="D373" s="334" t="n"/>
      <c r="E373" s="334" t="n"/>
      <c r="F373" s="334" t="n"/>
      <c r="G373" s="334" t="n"/>
      <c r="H373" s="334" t="n"/>
      <c r="I373" s="332">
        <f>IFERROR(VLOOKUP(TEXT(H373,"0"),IPRESS!$A$3:$B$212,2,0),"")</f>
        <v/>
      </c>
      <c r="J373" s="334" t="n"/>
      <c r="K373" s="332">
        <f>IFERROR(VLOOKUP(TEXT(O373,"0"),CONDUCTORES!$A$3:$G$54,7,0),"")</f>
        <v/>
      </c>
      <c r="L373" s="334" t="n"/>
      <c r="M373" s="334" t="n"/>
      <c r="N373" s="333">
        <f>IFERROR(IF(L373*M373=0,"",L373*M373),"")</f>
        <v/>
      </c>
      <c r="O373" s="334" t="n"/>
      <c r="P373" s="332">
        <f>IFERROR(VLOOKUP(TEXT(O373,"0"),CONDUCTORES!$A$3:$G$54,2,0),"")</f>
        <v/>
      </c>
      <c r="Q373" s="332">
        <f>IFERROR(VLOOKUP(TEXT(O373,"0"),CONDUCTORES!$A$3:$H$54,6,0),"")</f>
        <v/>
      </c>
      <c r="R373" s="334" t="n"/>
      <c r="S373" s="334" t="n"/>
      <c r="T373" s="334" t="n"/>
      <c r="U373" s="334" t="n"/>
      <c r="V373" s="334" t="n"/>
      <c r="W373" s="334" t="n"/>
      <c r="X373" s="334" t="n"/>
      <c r="Y373" s="334" t="n"/>
    </row>
    <row r="374" ht="15" customHeight="1" s="195">
      <c r="A374" s="280" t="n"/>
      <c r="B374" s="280" t="n"/>
      <c r="C374" s="280" t="n"/>
      <c r="D374" s="280" t="n"/>
      <c r="E374" s="280" t="n"/>
      <c r="F374" s="280" t="n"/>
      <c r="G374" s="280" t="n"/>
      <c r="H374" s="280" t="n"/>
      <c r="I374" s="332">
        <f>IFERROR(VLOOKUP(TEXT(H374,"0"),IPRESS!$A$3:$B$212,2,0),"")</f>
        <v/>
      </c>
      <c r="J374" s="280" t="n"/>
      <c r="K374" s="332">
        <f>IFERROR(VLOOKUP(TEXT(O374,"0"),CONDUCTORES!$A$3:$G$54,7,0),"")</f>
        <v/>
      </c>
      <c r="L374" s="280" t="n"/>
      <c r="M374" s="280" t="n"/>
      <c r="N374" s="333">
        <f>IFERROR(IF(L374*M374=0,"",L374*M374),"")</f>
        <v/>
      </c>
      <c r="O374" s="280" t="n"/>
      <c r="P374" s="332">
        <f>IFERROR(VLOOKUP(TEXT(O374,"0"),CONDUCTORES!$A$3:$G$54,2,0),"")</f>
        <v/>
      </c>
      <c r="Q374" s="332">
        <f>IFERROR(VLOOKUP(TEXT(O374,"0"),CONDUCTORES!$A$3:$H$54,6,0),"")</f>
        <v/>
      </c>
      <c r="R374" s="280" t="n"/>
      <c r="S374" s="280" t="n"/>
      <c r="T374" s="280" t="n"/>
      <c r="U374" s="280" t="n"/>
      <c r="V374" s="280" t="n"/>
      <c r="W374" s="280" t="n"/>
      <c r="X374" s="280" t="n"/>
      <c r="Y374" s="280" t="n"/>
    </row>
    <row r="375" ht="15" customHeight="1" s="195">
      <c r="A375" s="334" t="n"/>
      <c r="B375" s="334" t="n"/>
      <c r="C375" s="334" t="n"/>
      <c r="D375" s="334" t="n"/>
      <c r="E375" s="334" t="n"/>
      <c r="F375" s="334" t="n"/>
      <c r="G375" s="334" t="n"/>
      <c r="H375" s="334" t="n"/>
      <c r="I375" s="332">
        <f>IFERROR(VLOOKUP(TEXT(H375,"0"),IPRESS!$A$3:$B$212,2,0),"")</f>
        <v/>
      </c>
      <c r="J375" s="334" t="n"/>
      <c r="K375" s="332">
        <f>IFERROR(VLOOKUP(TEXT(O375,"0"),CONDUCTORES!$A$3:$G$54,7,0),"")</f>
        <v/>
      </c>
      <c r="L375" s="334" t="n"/>
      <c r="M375" s="334" t="n"/>
      <c r="N375" s="333">
        <f>IFERROR(IF(L375*M375=0,"",L375*M375),"")</f>
        <v/>
      </c>
      <c r="O375" s="334" t="n"/>
      <c r="P375" s="332">
        <f>IFERROR(VLOOKUP(TEXT(O375,"0"),CONDUCTORES!$A$3:$G$54,2,0),"")</f>
        <v/>
      </c>
      <c r="Q375" s="332">
        <f>IFERROR(VLOOKUP(TEXT(O375,"0"),CONDUCTORES!$A$3:$H$54,6,0),"")</f>
        <v/>
      </c>
      <c r="R375" s="334" t="n"/>
      <c r="S375" s="334" t="n"/>
      <c r="T375" s="334" t="n"/>
      <c r="U375" s="334" t="n"/>
      <c r="V375" s="334" t="n"/>
      <c r="W375" s="334" t="n"/>
      <c r="X375" s="334" t="n"/>
      <c r="Y375" s="334" t="n"/>
    </row>
    <row r="376" ht="15" customHeight="1" s="195">
      <c r="A376" s="280" t="n"/>
      <c r="B376" s="280" t="n"/>
      <c r="C376" s="280" t="n"/>
      <c r="D376" s="280" t="n"/>
      <c r="E376" s="280" t="n"/>
      <c r="F376" s="280" t="n"/>
      <c r="G376" s="280" t="n"/>
      <c r="H376" s="280" t="n"/>
      <c r="I376" s="332">
        <f>IFERROR(VLOOKUP(TEXT(H376,"0"),IPRESS!$A$3:$B$212,2,0),"")</f>
        <v/>
      </c>
      <c r="J376" s="280" t="n"/>
      <c r="K376" s="332">
        <f>IFERROR(VLOOKUP(TEXT(O376,"0"),CONDUCTORES!$A$3:$G$54,7,0),"")</f>
        <v/>
      </c>
      <c r="L376" s="280" t="n"/>
      <c r="M376" s="280" t="n"/>
      <c r="N376" s="333">
        <f>IFERROR(IF(L376*M376=0,"",L376*M376),"")</f>
        <v/>
      </c>
      <c r="O376" s="280" t="n"/>
      <c r="P376" s="332">
        <f>IFERROR(VLOOKUP(TEXT(O376,"0"),CONDUCTORES!$A$3:$G$54,2,0),"")</f>
        <v/>
      </c>
      <c r="Q376" s="332">
        <f>IFERROR(VLOOKUP(TEXT(O376,"0"),CONDUCTORES!$A$3:$H$54,6,0),"")</f>
        <v/>
      </c>
      <c r="R376" s="280" t="n"/>
      <c r="S376" s="280" t="n"/>
      <c r="T376" s="280" t="n"/>
      <c r="U376" s="280" t="n"/>
      <c r="V376" s="280" t="n"/>
      <c r="W376" s="280" t="n"/>
      <c r="X376" s="280" t="n"/>
      <c r="Y376" s="280" t="n"/>
    </row>
    <row r="377" ht="15" customHeight="1" s="195">
      <c r="A377" s="334" t="n"/>
      <c r="B377" s="334" t="n"/>
      <c r="C377" s="334" t="n"/>
      <c r="D377" s="334" t="n"/>
      <c r="E377" s="334" t="n"/>
      <c r="F377" s="334" t="n"/>
      <c r="G377" s="334" t="n"/>
      <c r="H377" s="334" t="n"/>
      <c r="I377" s="332">
        <f>IFERROR(VLOOKUP(TEXT(H377,"0"),IPRESS!$A$3:$B$212,2,0),"")</f>
        <v/>
      </c>
      <c r="J377" s="334" t="n"/>
      <c r="K377" s="332">
        <f>IFERROR(VLOOKUP(TEXT(O377,"0"),CONDUCTORES!$A$3:$G$54,7,0),"")</f>
        <v/>
      </c>
      <c r="L377" s="334" t="n"/>
      <c r="M377" s="334" t="n"/>
      <c r="N377" s="333">
        <f>IFERROR(IF(L377*M377=0,"",L377*M377),"")</f>
        <v/>
      </c>
      <c r="O377" s="334" t="n"/>
      <c r="P377" s="332">
        <f>IFERROR(VLOOKUP(TEXT(O377,"0"),CONDUCTORES!$A$3:$G$54,2,0),"")</f>
        <v/>
      </c>
      <c r="Q377" s="332">
        <f>IFERROR(VLOOKUP(TEXT(O377,"0"),CONDUCTORES!$A$3:$H$54,6,0),"")</f>
        <v/>
      </c>
      <c r="R377" s="334" t="n"/>
      <c r="S377" s="334" t="n"/>
      <c r="T377" s="334" t="n"/>
      <c r="U377" s="334" t="n"/>
      <c r="V377" s="334" t="n"/>
      <c r="W377" s="334" t="n"/>
      <c r="X377" s="334" t="n"/>
      <c r="Y377" s="334" t="n"/>
    </row>
    <row r="378" ht="15" customHeight="1" s="195">
      <c r="A378" s="280" t="n"/>
      <c r="B378" s="280" t="n"/>
      <c r="C378" s="280" t="n"/>
      <c r="D378" s="280" t="n"/>
      <c r="E378" s="280" t="n"/>
      <c r="F378" s="280" t="n"/>
      <c r="G378" s="280" t="n"/>
      <c r="H378" s="280" t="n"/>
      <c r="I378" s="332">
        <f>IFERROR(VLOOKUP(TEXT(H378,"0"),IPRESS!$A$3:$B$212,2,0),"")</f>
        <v/>
      </c>
      <c r="J378" s="280" t="n"/>
      <c r="K378" s="332">
        <f>IFERROR(VLOOKUP(TEXT(O378,"0"),CONDUCTORES!$A$3:$G$54,7,0),"")</f>
        <v/>
      </c>
      <c r="L378" s="280" t="n"/>
      <c r="M378" s="280" t="n"/>
      <c r="N378" s="333">
        <f>IFERROR(IF(L378*M378=0,"",L378*M378),"")</f>
        <v/>
      </c>
      <c r="O378" s="280" t="n"/>
      <c r="P378" s="332">
        <f>IFERROR(VLOOKUP(TEXT(O378,"0"),CONDUCTORES!$A$3:$G$54,2,0),"")</f>
        <v/>
      </c>
      <c r="Q378" s="332">
        <f>IFERROR(VLOOKUP(TEXT(O378,"0"),CONDUCTORES!$A$3:$H$54,6,0),"")</f>
        <v/>
      </c>
      <c r="R378" s="280" t="n"/>
      <c r="S378" s="280" t="n"/>
      <c r="T378" s="280" t="n"/>
      <c r="U378" s="280" t="n"/>
      <c r="V378" s="280" t="n"/>
      <c r="W378" s="280" t="n"/>
      <c r="X378" s="280" t="n"/>
      <c r="Y378" s="280" t="n"/>
    </row>
    <row r="379" ht="15" customHeight="1" s="195">
      <c r="A379" s="334" t="n"/>
      <c r="B379" s="334" t="n"/>
      <c r="C379" s="334" t="n"/>
      <c r="D379" s="334" t="n"/>
      <c r="E379" s="334" t="n"/>
      <c r="F379" s="334" t="n"/>
      <c r="G379" s="334" t="n"/>
      <c r="H379" s="334" t="n"/>
      <c r="I379" s="332">
        <f>IFERROR(VLOOKUP(TEXT(H379,"0"),IPRESS!$A$3:$B$212,2,0),"")</f>
        <v/>
      </c>
      <c r="J379" s="334" t="n"/>
      <c r="K379" s="332">
        <f>IFERROR(VLOOKUP(TEXT(O379,"0"),CONDUCTORES!$A$3:$G$54,7,0),"")</f>
        <v/>
      </c>
      <c r="L379" s="334" t="n"/>
      <c r="M379" s="334" t="n"/>
      <c r="N379" s="333">
        <f>IFERROR(IF(L379*M379=0,"",L379*M379),"")</f>
        <v/>
      </c>
      <c r="O379" s="334" t="n"/>
      <c r="P379" s="332">
        <f>IFERROR(VLOOKUP(TEXT(O379,"0"),CONDUCTORES!$A$3:$G$54,2,0),"")</f>
        <v/>
      </c>
      <c r="Q379" s="332">
        <f>IFERROR(VLOOKUP(TEXT(O379,"0"),CONDUCTORES!$A$3:$H$54,6,0),"")</f>
        <v/>
      </c>
      <c r="R379" s="334" t="n"/>
      <c r="S379" s="334" t="n"/>
      <c r="T379" s="334" t="n"/>
      <c r="U379" s="334" t="n"/>
      <c r="V379" s="334" t="n"/>
      <c r="W379" s="334" t="n"/>
      <c r="X379" s="334" t="n"/>
      <c r="Y379" s="334" t="n"/>
    </row>
    <row r="380" ht="15" customHeight="1" s="195">
      <c r="A380" s="280" t="n"/>
      <c r="B380" s="280" t="n"/>
      <c r="C380" s="280" t="n"/>
      <c r="D380" s="280" t="n"/>
      <c r="E380" s="280" t="n"/>
      <c r="F380" s="280" t="n"/>
      <c r="G380" s="280" t="n"/>
      <c r="H380" s="280" t="n"/>
      <c r="I380" s="332">
        <f>IFERROR(VLOOKUP(TEXT(H380,"0"),IPRESS!$A$3:$B$212,2,0),"")</f>
        <v/>
      </c>
      <c r="J380" s="280" t="n"/>
      <c r="K380" s="332">
        <f>IFERROR(VLOOKUP(TEXT(O380,"0"),CONDUCTORES!$A$3:$G$54,7,0),"")</f>
        <v/>
      </c>
      <c r="L380" s="280" t="n"/>
      <c r="M380" s="280" t="n"/>
      <c r="N380" s="333">
        <f>IFERROR(IF(L380*M380=0,"",L380*M380),"")</f>
        <v/>
      </c>
      <c r="O380" s="280" t="n"/>
      <c r="P380" s="332">
        <f>IFERROR(VLOOKUP(TEXT(O380,"0"),CONDUCTORES!$A$3:$G$54,2,0),"")</f>
        <v/>
      </c>
      <c r="Q380" s="332">
        <f>IFERROR(VLOOKUP(TEXT(O380,"0"),CONDUCTORES!$A$3:$H$54,6,0),"")</f>
        <v/>
      </c>
      <c r="R380" s="280" t="n"/>
      <c r="S380" s="280" t="n"/>
      <c r="T380" s="280" t="n"/>
      <c r="U380" s="280" t="n"/>
      <c r="V380" s="280" t="n"/>
      <c r="W380" s="280" t="n"/>
      <c r="X380" s="280" t="n"/>
      <c r="Y380" s="280" t="n"/>
    </row>
    <row r="381" ht="15" customHeight="1" s="195">
      <c r="A381" s="334" t="n"/>
      <c r="B381" s="334" t="n"/>
      <c r="C381" s="334" t="n"/>
      <c r="D381" s="334" t="n"/>
      <c r="E381" s="334" t="n"/>
      <c r="F381" s="334" t="n"/>
      <c r="G381" s="334" t="n"/>
      <c r="H381" s="334" t="n"/>
      <c r="I381" s="332">
        <f>IFERROR(VLOOKUP(TEXT(H381,"0"),IPRESS!$A$3:$B$212,2,0),"")</f>
        <v/>
      </c>
      <c r="J381" s="334" t="n"/>
      <c r="K381" s="332">
        <f>IFERROR(VLOOKUP(TEXT(O381,"0"),CONDUCTORES!$A$3:$G$54,7,0),"")</f>
        <v/>
      </c>
      <c r="L381" s="334" t="n"/>
      <c r="M381" s="334" t="n"/>
      <c r="N381" s="333">
        <f>IFERROR(IF(L381*M381=0,"",L381*M381),"")</f>
        <v/>
      </c>
      <c r="O381" s="334" t="n"/>
      <c r="P381" s="332">
        <f>IFERROR(VLOOKUP(TEXT(O381,"0"),CONDUCTORES!$A$3:$G$54,2,0),"")</f>
        <v/>
      </c>
      <c r="Q381" s="332">
        <f>IFERROR(VLOOKUP(TEXT(O381,"0"),CONDUCTORES!$A$3:$H$54,6,0),"")</f>
        <v/>
      </c>
      <c r="R381" s="334" t="n"/>
      <c r="S381" s="334" t="n"/>
      <c r="T381" s="334" t="n"/>
      <c r="U381" s="334" t="n"/>
      <c r="V381" s="334" t="n"/>
      <c r="W381" s="334" t="n"/>
      <c r="X381" s="334" t="n"/>
      <c r="Y381" s="334" t="n"/>
    </row>
    <row r="382" ht="15" customHeight="1" s="195">
      <c r="A382" s="280" t="n"/>
      <c r="B382" s="280" t="n"/>
      <c r="C382" s="280" t="n"/>
      <c r="D382" s="280" t="n"/>
      <c r="E382" s="280" t="n"/>
      <c r="F382" s="280" t="n"/>
      <c r="G382" s="280" t="n"/>
      <c r="H382" s="280" t="n"/>
      <c r="I382" s="332">
        <f>IFERROR(VLOOKUP(TEXT(H382,"0"),IPRESS!$A$3:$B$212,2,0),"")</f>
        <v/>
      </c>
      <c r="J382" s="280" t="n"/>
      <c r="K382" s="332">
        <f>IFERROR(VLOOKUP(TEXT(O382,"0"),CONDUCTORES!$A$3:$G$54,7,0),"")</f>
        <v/>
      </c>
      <c r="L382" s="280" t="n"/>
      <c r="M382" s="280" t="n"/>
      <c r="N382" s="333">
        <f>IFERROR(IF(L382*M382=0,"",L382*M382),"")</f>
        <v/>
      </c>
      <c r="O382" s="280" t="n"/>
      <c r="P382" s="332">
        <f>IFERROR(VLOOKUP(TEXT(O382,"0"),CONDUCTORES!$A$3:$G$54,2,0),"")</f>
        <v/>
      </c>
      <c r="Q382" s="332">
        <f>IFERROR(VLOOKUP(TEXT(O382,"0"),CONDUCTORES!$A$3:$H$54,6,0),"")</f>
        <v/>
      </c>
      <c r="R382" s="280" t="n"/>
      <c r="S382" s="280" t="n"/>
      <c r="T382" s="280" t="n"/>
      <c r="U382" s="280" t="n"/>
      <c r="V382" s="280" t="n"/>
      <c r="W382" s="280" t="n"/>
      <c r="X382" s="280" t="n"/>
      <c r="Y382" s="280" t="n"/>
    </row>
    <row r="383" ht="15" customHeight="1" s="195">
      <c r="A383" s="334" t="n"/>
      <c r="B383" s="334" t="n"/>
      <c r="C383" s="334" t="n"/>
      <c r="D383" s="334" t="n"/>
      <c r="E383" s="334" t="n"/>
      <c r="F383" s="334" t="n"/>
      <c r="G383" s="334" t="n"/>
      <c r="H383" s="334" t="n"/>
      <c r="I383" s="332">
        <f>IFERROR(VLOOKUP(TEXT(H383,"0"),IPRESS!$A$3:$B$212,2,0),"")</f>
        <v/>
      </c>
      <c r="J383" s="334" t="n"/>
      <c r="K383" s="332">
        <f>IFERROR(VLOOKUP(TEXT(O383,"0"),CONDUCTORES!$A$3:$G$54,7,0),"")</f>
        <v/>
      </c>
      <c r="L383" s="334" t="n"/>
      <c r="M383" s="334" t="n"/>
      <c r="N383" s="333">
        <f>IFERROR(IF(L383*M383=0,"",L383*M383),"")</f>
        <v/>
      </c>
      <c r="O383" s="334" t="n"/>
      <c r="P383" s="332">
        <f>IFERROR(VLOOKUP(TEXT(O383,"0"),CONDUCTORES!$A$3:$G$54,2,0),"")</f>
        <v/>
      </c>
      <c r="Q383" s="332">
        <f>IFERROR(VLOOKUP(TEXT(O383,"0"),CONDUCTORES!$A$3:$H$54,6,0),"")</f>
        <v/>
      </c>
      <c r="R383" s="334" t="n"/>
      <c r="S383" s="334" t="n"/>
      <c r="T383" s="334" t="n"/>
      <c r="U383" s="334" t="n"/>
      <c r="V383" s="334" t="n"/>
      <c r="W383" s="334" t="n"/>
      <c r="X383" s="334" t="n"/>
      <c r="Y383" s="334" t="n"/>
    </row>
    <row r="384" ht="15" customHeight="1" s="195">
      <c r="A384" s="280" t="n"/>
      <c r="B384" s="280" t="n"/>
      <c r="C384" s="280" t="n"/>
      <c r="D384" s="280" t="n"/>
      <c r="E384" s="280" t="n"/>
      <c r="F384" s="280" t="n"/>
      <c r="G384" s="280" t="n"/>
      <c r="H384" s="280" t="n"/>
      <c r="I384" s="332">
        <f>IFERROR(VLOOKUP(TEXT(H384,"0"),IPRESS!$A$3:$B$212,2,0),"")</f>
        <v/>
      </c>
      <c r="J384" s="280" t="n"/>
      <c r="K384" s="332">
        <f>IFERROR(VLOOKUP(TEXT(O384,"0"),CONDUCTORES!$A$3:$G$54,7,0),"")</f>
        <v/>
      </c>
      <c r="L384" s="280" t="n"/>
      <c r="M384" s="280" t="n"/>
      <c r="N384" s="333">
        <f>IFERROR(IF(L384*M384=0,"",L384*M384),"")</f>
        <v/>
      </c>
      <c r="O384" s="280" t="n"/>
      <c r="P384" s="332">
        <f>IFERROR(VLOOKUP(TEXT(O384,"0"),CONDUCTORES!$A$3:$G$54,2,0),"")</f>
        <v/>
      </c>
      <c r="Q384" s="332">
        <f>IFERROR(VLOOKUP(TEXT(O384,"0"),CONDUCTORES!$A$3:$H$54,6,0),"")</f>
        <v/>
      </c>
      <c r="R384" s="280" t="n"/>
      <c r="S384" s="280" t="n"/>
      <c r="T384" s="280" t="n"/>
      <c r="U384" s="280" t="n"/>
      <c r="V384" s="280" t="n"/>
      <c r="W384" s="280" t="n"/>
      <c r="X384" s="280" t="n"/>
      <c r="Y384" s="280" t="n"/>
    </row>
    <row r="385" ht="15" customHeight="1" s="195">
      <c r="A385" s="334" t="n"/>
      <c r="B385" s="334" t="n"/>
      <c r="C385" s="334" t="n"/>
      <c r="D385" s="334" t="n"/>
      <c r="E385" s="334" t="n"/>
      <c r="F385" s="334" t="n"/>
      <c r="G385" s="334" t="n"/>
      <c r="H385" s="334" t="n"/>
      <c r="I385" s="332">
        <f>IFERROR(VLOOKUP(TEXT(H385,"0"),IPRESS!$A$3:$B$212,2,0),"")</f>
        <v/>
      </c>
      <c r="J385" s="334" t="n"/>
      <c r="K385" s="332">
        <f>IFERROR(VLOOKUP(TEXT(O385,"0"),CONDUCTORES!$A$3:$G$54,7,0),"")</f>
        <v/>
      </c>
      <c r="L385" s="334" t="n"/>
      <c r="M385" s="334" t="n"/>
      <c r="N385" s="333">
        <f>IFERROR(IF(L385*M385=0,"",L385*M385),"")</f>
        <v/>
      </c>
      <c r="O385" s="334" t="n"/>
      <c r="P385" s="332">
        <f>IFERROR(VLOOKUP(TEXT(O385,"0"),CONDUCTORES!$A$3:$G$54,2,0),"")</f>
        <v/>
      </c>
      <c r="Q385" s="332">
        <f>IFERROR(VLOOKUP(TEXT(O385,"0"),CONDUCTORES!$A$3:$H$54,6,0),"")</f>
        <v/>
      </c>
      <c r="R385" s="334" t="n"/>
      <c r="S385" s="334" t="n"/>
      <c r="T385" s="334" t="n"/>
      <c r="U385" s="334" t="n"/>
      <c r="V385" s="334" t="n"/>
      <c r="W385" s="334" t="n"/>
      <c r="X385" s="334" t="n"/>
      <c r="Y385" s="334" t="n"/>
    </row>
    <row r="386" ht="15" customHeight="1" s="195">
      <c r="A386" s="280" t="n"/>
      <c r="B386" s="280" t="n"/>
      <c r="C386" s="280" t="n"/>
      <c r="D386" s="280" t="n"/>
      <c r="E386" s="280" t="n"/>
      <c r="F386" s="280" t="n"/>
      <c r="G386" s="280" t="n"/>
      <c r="H386" s="280" t="n"/>
      <c r="I386" s="332">
        <f>IFERROR(VLOOKUP(TEXT(H386,"0"),IPRESS!$A$3:$B$212,2,0),"")</f>
        <v/>
      </c>
      <c r="J386" s="280" t="n"/>
      <c r="K386" s="332">
        <f>IFERROR(VLOOKUP(TEXT(O386,"0"),CONDUCTORES!$A$3:$G$54,7,0),"")</f>
        <v/>
      </c>
      <c r="L386" s="280" t="n"/>
      <c r="M386" s="280" t="n"/>
      <c r="N386" s="333">
        <f>IFERROR(IF(L386*M386=0,"",L386*M386),"")</f>
        <v/>
      </c>
      <c r="O386" s="280" t="n"/>
      <c r="P386" s="332">
        <f>IFERROR(VLOOKUP(TEXT(O386,"0"),CONDUCTORES!$A$3:$G$54,2,0),"")</f>
        <v/>
      </c>
      <c r="Q386" s="332">
        <f>IFERROR(VLOOKUP(TEXT(O386,"0"),CONDUCTORES!$A$3:$H$54,6,0),"")</f>
        <v/>
      </c>
      <c r="R386" s="280" t="n"/>
      <c r="S386" s="280" t="n"/>
      <c r="T386" s="280" t="n"/>
      <c r="U386" s="280" t="n"/>
      <c r="V386" s="280" t="n"/>
      <c r="W386" s="280" t="n"/>
      <c r="X386" s="280" t="n"/>
      <c r="Y386" s="280" t="n"/>
    </row>
    <row r="387" ht="15" customHeight="1" s="195">
      <c r="A387" s="334" t="n"/>
      <c r="B387" s="334" t="n"/>
      <c r="C387" s="334" t="n"/>
      <c r="D387" s="334" t="n"/>
      <c r="E387" s="334" t="n"/>
      <c r="F387" s="334" t="n"/>
      <c r="G387" s="334" t="n"/>
      <c r="H387" s="334" t="n"/>
      <c r="I387" s="332">
        <f>IFERROR(VLOOKUP(TEXT(H387,"0"),IPRESS!$A$3:$B$212,2,0),"")</f>
        <v/>
      </c>
      <c r="J387" s="334" t="n"/>
      <c r="K387" s="332">
        <f>IFERROR(VLOOKUP(TEXT(O387,"0"),CONDUCTORES!$A$3:$G$54,7,0),"")</f>
        <v/>
      </c>
      <c r="L387" s="334" t="n"/>
      <c r="M387" s="334" t="n"/>
      <c r="N387" s="333">
        <f>IFERROR(IF(L387*M387=0,"",L387*M387),"")</f>
        <v/>
      </c>
      <c r="O387" s="334" t="n"/>
      <c r="P387" s="332">
        <f>IFERROR(VLOOKUP(TEXT(O387,"0"),CONDUCTORES!$A$3:$G$54,2,0),"")</f>
        <v/>
      </c>
      <c r="Q387" s="332">
        <f>IFERROR(VLOOKUP(TEXT(O387,"0"),CONDUCTORES!$A$3:$H$54,6,0),"")</f>
        <v/>
      </c>
      <c r="R387" s="334" t="n"/>
      <c r="S387" s="334" t="n"/>
      <c r="T387" s="334" t="n"/>
      <c r="U387" s="334" t="n"/>
      <c r="V387" s="334" t="n"/>
      <c r="W387" s="334" t="n"/>
      <c r="X387" s="334" t="n"/>
      <c r="Y387" s="334" t="n"/>
    </row>
    <row r="388" ht="15" customHeight="1" s="195">
      <c r="A388" s="280" t="n"/>
      <c r="B388" s="280" t="n"/>
      <c r="C388" s="280" t="n"/>
      <c r="D388" s="280" t="n"/>
      <c r="E388" s="280" t="n"/>
      <c r="F388" s="280" t="n"/>
      <c r="G388" s="280" t="n"/>
      <c r="H388" s="280" t="n"/>
      <c r="I388" s="332">
        <f>IFERROR(VLOOKUP(TEXT(H388,"0"),IPRESS!$A$3:$B$212,2,0),"")</f>
        <v/>
      </c>
      <c r="J388" s="280" t="n"/>
      <c r="K388" s="332">
        <f>IFERROR(VLOOKUP(TEXT(O388,"0"),CONDUCTORES!$A$3:$G$54,7,0),"")</f>
        <v/>
      </c>
      <c r="L388" s="280" t="n"/>
      <c r="M388" s="280" t="n"/>
      <c r="N388" s="333">
        <f>IFERROR(IF(L388*M388=0,"",L388*M388),"")</f>
        <v/>
      </c>
      <c r="O388" s="280" t="n"/>
      <c r="P388" s="332">
        <f>IFERROR(VLOOKUP(TEXT(O388,"0"),CONDUCTORES!$A$3:$G$54,2,0),"")</f>
        <v/>
      </c>
      <c r="Q388" s="332">
        <f>IFERROR(VLOOKUP(TEXT(O388,"0"),CONDUCTORES!$A$3:$H$54,6,0),"")</f>
        <v/>
      </c>
      <c r="R388" s="280" t="n"/>
      <c r="S388" s="280" t="n"/>
      <c r="T388" s="280" t="n"/>
      <c r="U388" s="280" t="n"/>
      <c r="V388" s="280" t="n"/>
      <c r="W388" s="280" t="n"/>
      <c r="X388" s="280" t="n"/>
      <c r="Y388" s="280" t="n"/>
    </row>
    <row r="389" ht="15" customHeight="1" s="195">
      <c r="A389" s="334" t="n"/>
      <c r="B389" s="334" t="n"/>
      <c r="C389" s="334" t="n"/>
      <c r="D389" s="334" t="n"/>
      <c r="E389" s="334" t="n"/>
      <c r="F389" s="334" t="n"/>
      <c r="G389" s="334" t="n"/>
      <c r="H389" s="334" t="n"/>
      <c r="I389" s="332">
        <f>IFERROR(VLOOKUP(TEXT(H389,"0"),IPRESS!$A$3:$B$212,2,0),"")</f>
        <v/>
      </c>
      <c r="J389" s="334" t="n"/>
      <c r="K389" s="332">
        <f>IFERROR(VLOOKUP(TEXT(O389,"0"),CONDUCTORES!$A$3:$G$54,7,0),"")</f>
        <v/>
      </c>
      <c r="L389" s="334" t="n"/>
      <c r="M389" s="334" t="n"/>
      <c r="N389" s="333">
        <f>IFERROR(IF(L389*M389=0,"",L389*M389),"")</f>
        <v/>
      </c>
      <c r="O389" s="334" t="n"/>
      <c r="P389" s="332">
        <f>IFERROR(VLOOKUP(TEXT(O389,"0"),CONDUCTORES!$A$3:$G$54,2,0),"")</f>
        <v/>
      </c>
      <c r="Q389" s="332">
        <f>IFERROR(VLOOKUP(TEXT(O389,"0"),CONDUCTORES!$A$3:$H$54,6,0),"")</f>
        <v/>
      </c>
      <c r="R389" s="334" t="n"/>
      <c r="S389" s="334" t="n"/>
      <c r="T389" s="334" t="n"/>
      <c r="U389" s="334" t="n"/>
      <c r="V389" s="334" t="n"/>
      <c r="W389" s="334" t="n"/>
      <c r="X389" s="334" t="n"/>
      <c r="Y389" s="334" t="n"/>
    </row>
    <row r="390" ht="15" customHeight="1" s="195">
      <c r="A390" s="280" t="n"/>
      <c r="B390" s="280" t="n"/>
      <c r="C390" s="280" t="n"/>
      <c r="D390" s="280" t="n"/>
      <c r="E390" s="280" t="n"/>
      <c r="F390" s="280" t="n"/>
      <c r="G390" s="280" t="n"/>
      <c r="H390" s="280" t="n"/>
      <c r="I390" s="332">
        <f>IFERROR(VLOOKUP(TEXT(H390,"0"),IPRESS!$A$3:$B$212,2,0),"")</f>
        <v/>
      </c>
      <c r="J390" s="280" t="n"/>
      <c r="K390" s="332">
        <f>IFERROR(VLOOKUP(TEXT(O390,"0"),CONDUCTORES!$A$3:$G$54,7,0),"")</f>
        <v/>
      </c>
      <c r="L390" s="280" t="n"/>
      <c r="M390" s="280" t="n"/>
      <c r="N390" s="333">
        <f>IFERROR(IF(L390*M390=0,"",L390*M390),"")</f>
        <v/>
      </c>
      <c r="O390" s="280" t="n"/>
      <c r="P390" s="332">
        <f>IFERROR(VLOOKUP(TEXT(O390,"0"),CONDUCTORES!$A$3:$G$54,2,0),"")</f>
        <v/>
      </c>
      <c r="Q390" s="332">
        <f>IFERROR(VLOOKUP(TEXT(O390,"0"),CONDUCTORES!$A$3:$H$54,6,0),"")</f>
        <v/>
      </c>
      <c r="R390" s="280" t="n"/>
      <c r="S390" s="280" t="n"/>
      <c r="T390" s="280" t="n"/>
      <c r="U390" s="280" t="n"/>
      <c r="V390" s="280" t="n"/>
      <c r="W390" s="280" t="n"/>
      <c r="X390" s="280" t="n"/>
      <c r="Y390" s="280" t="n"/>
    </row>
    <row r="391" ht="15" customHeight="1" s="195">
      <c r="A391" s="334" t="n"/>
      <c r="B391" s="334" t="n"/>
      <c r="C391" s="334" t="n"/>
      <c r="D391" s="334" t="n"/>
      <c r="E391" s="334" t="n"/>
      <c r="F391" s="334" t="n"/>
      <c r="G391" s="334" t="n"/>
      <c r="H391" s="334" t="n"/>
      <c r="I391" s="332">
        <f>IFERROR(VLOOKUP(TEXT(H391,"0"),IPRESS!$A$3:$B$212,2,0),"")</f>
        <v/>
      </c>
      <c r="J391" s="334" t="n"/>
      <c r="K391" s="332">
        <f>IFERROR(VLOOKUP(TEXT(O391,"0"),CONDUCTORES!$A$3:$G$54,7,0),"")</f>
        <v/>
      </c>
      <c r="L391" s="334" t="n"/>
      <c r="M391" s="334" t="n"/>
      <c r="N391" s="333">
        <f>IFERROR(IF(L391*M391=0,"",L391*M391),"")</f>
        <v/>
      </c>
      <c r="O391" s="334" t="n"/>
      <c r="P391" s="332">
        <f>IFERROR(VLOOKUP(TEXT(O391,"0"),CONDUCTORES!$A$3:$G$54,2,0),"")</f>
        <v/>
      </c>
      <c r="Q391" s="332">
        <f>IFERROR(VLOOKUP(TEXT(O391,"0"),CONDUCTORES!$A$3:$H$54,6,0),"")</f>
        <v/>
      </c>
      <c r="R391" s="334" t="n"/>
      <c r="S391" s="334" t="n"/>
      <c r="T391" s="334" t="n"/>
      <c r="U391" s="334" t="n"/>
      <c r="V391" s="334" t="n"/>
      <c r="W391" s="334" t="n"/>
      <c r="X391" s="334" t="n"/>
      <c r="Y391" s="334" t="n"/>
    </row>
    <row r="392" ht="15" customHeight="1" s="195">
      <c r="A392" s="280" t="n"/>
      <c r="B392" s="280" t="n"/>
      <c r="C392" s="280" t="n"/>
      <c r="D392" s="280" t="n"/>
      <c r="E392" s="280" t="n"/>
      <c r="F392" s="280" t="n"/>
      <c r="G392" s="280" t="n"/>
      <c r="H392" s="280" t="n"/>
      <c r="I392" s="332">
        <f>IFERROR(VLOOKUP(TEXT(H392,"0"),IPRESS!$A$3:$B$212,2,0),"")</f>
        <v/>
      </c>
      <c r="J392" s="280" t="n"/>
      <c r="K392" s="332">
        <f>IFERROR(VLOOKUP(TEXT(O392,"0"),CONDUCTORES!$A$3:$G$54,7,0),"")</f>
        <v/>
      </c>
      <c r="L392" s="280" t="n"/>
      <c r="M392" s="280" t="n"/>
      <c r="N392" s="333">
        <f>IFERROR(IF(L392*M392=0,"",L392*M392),"")</f>
        <v/>
      </c>
      <c r="O392" s="280" t="n"/>
      <c r="P392" s="332">
        <f>IFERROR(VLOOKUP(TEXT(O392,"0"),CONDUCTORES!$A$3:$G$54,2,0),"")</f>
        <v/>
      </c>
      <c r="Q392" s="332">
        <f>IFERROR(VLOOKUP(TEXT(O392,"0"),CONDUCTORES!$A$3:$H$54,6,0),"")</f>
        <v/>
      </c>
      <c r="R392" s="280" t="n"/>
      <c r="S392" s="280" t="n"/>
      <c r="T392" s="280" t="n"/>
      <c r="U392" s="280" t="n"/>
      <c r="V392" s="280" t="n"/>
      <c r="W392" s="280" t="n"/>
      <c r="X392" s="280" t="n"/>
      <c r="Y392" s="280" t="n"/>
    </row>
    <row r="393" ht="15" customHeight="1" s="195">
      <c r="A393" s="334" t="n"/>
      <c r="B393" s="334" t="n"/>
      <c r="C393" s="334" t="n"/>
      <c r="D393" s="334" t="n"/>
      <c r="E393" s="334" t="n"/>
      <c r="F393" s="334" t="n"/>
      <c r="G393" s="334" t="n"/>
      <c r="H393" s="334" t="n"/>
      <c r="I393" s="332">
        <f>IFERROR(VLOOKUP(TEXT(H393,"0"),IPRESS!$A$3:$B$212,2,0),"")</f>
        <v/>
      </c>
      <c r="J393" s="334" t="n"/>
      <c r="K393" s="332">
        <f>IFERROR(VLOOKUP(TEXT(O393,"0"),CONDUCTORES!$A$3:$G$54,7,0),"")</f>
        <v/>
      </c>
      <c r="L393" s="334" t="n"/>
      <c r="M393" s="334" t="n"/>
      <c r="N393" s="333">
        <f>IFERROR(IF(L393*M393=0,"",L393*M393),"")</f>
        <v/>
      </c>
      <c r="O393" s="334" t="n"/>
      <c r="P393" s="332">
        <f>IFERROR(VLOOKUP(TEXT(O393,"0"),CONDUCTORES!$A$3:$G$54,2,0),"")</f>
        <v/>
      </c>
      <c r="Q393" s="332">
        <f>IFERROR(VLOOKUP(TEXT(O393,"0"),CONDUCTORES!$A$3:$H$54,6,0),"")</f>
        <v/>
      </c>
      <c r="R393" s="334" t="n"/>
      <c r="S393" s="334" t="n"/>
      <c r="T393" s="334" t="n"/>
      <c r="U393" s="334" t="n"/>
      <c r="V393" s="334" t="n"/>
      <c r="W393" s="334" t="n"/>
      <c r="X393" s="334" t="n"/>
      <c r="Y393" s="334" t="n"/>
    </row>
    <row r="394" ht="15" customHeight="1" s="195">
      <c r="A394" s="280" t="n"/>
      <c r="B394" s="280" t="n"/>
      <c r="C394" s="280" t="n"/>
      <c r="D394" s="280" t="n"/>
      <c r="E394" s="280" t="n"/>
      <c r="F394" s="280" t="n"/>
      <c r="G394" s="280" t="n"/>
      <c r="H394" s="280" t="n"/>
      <c r="I394" s="332">
        <f>IFERROR(VLOOKUP(TEXT(H394,"0"),IPRESS!$A$3:$B$212,2,0),"")</f>
        <v/>
      </c>
      <c r="J394" s="280" t="n"/>
      <c r="K394" s="332">
        <f>IFERROR(VLOOKUP(TEXT(O394,"0"),CONDUCTORES!$A$3:$G$54,7,0),"")</f>
        <v/>
      </c>
      <c r="L394" s="280" t="n"/>
      <c r="M394" s="280" t="n"/>
      <c r="N394" s="333">
        <f>IFERROR(IF(L394*M394=0,"",L394*M394),"")</f>
        <v/>
      </c>
      <c r="O394" s="280" t="n"/>
      <c r="P394" s="332">
        <f>IFERROR(VLOOKUP(TEXT(O394,"0"),CONDUCTORES!$A$3:$G$54,2,0),"")</f>
        <v/>
      </c>
      <c r="Q394" s="332">
        <f>IFERROR(VLOOKUP(TEXT(O394,"0"),CONDUCTORES!$A$3:$H$54,6,0),"")</f>
        <v/>
      </c>
      <c r="R394" s="280" t="n"/>
      <c r="S394" s="280" t="n"/>
      <c r="T394" s="280" t="n"/>
      <c r="U394" s="280" t="n"/>
      <c r="V394" s="280" t="n"/>
      <c r="W394" s="280" t="n"/>
      <c r="X394" s="280" t="n"/>
      <c r="Y394" s="280" t="n"/>
    </row>
    <row r="395" ht="15" customHeight="1" s="195">
      <c r="A395" s="334" t="n"/>
      <c r="B395" s="334" t="n"/>
      <c r="C395" s="334" t="n"/>
      <c r="D395" s="334" t="n"/>
      <c r="E395" s="334" t="n"/>
      <c r="F395" s="334" t="n"/>
      <c r="G395" s="334" t="n"/>
      <c r="H395" s="334" t="n"/>
      <c r="I395" s="332">
        <f>IFERROR(VLOOKUP(TEXT(H395,"0"),IPRESS!$A$3:$B$212,2,0),"")</f>
        <v/>
      </c>
      <c r="J395" s="334" t="n"/>
      <c r="K395" s="332">
        <f>IFERROR(VLOOKUP(TEXT(O395,"0"),CONDUCTORES!$A$3:$G$54,7,0),"")</f>
        <v/>
      </c>
      <c r="L395" s="334" t="n"/>
      <c r="M395" s="334" t="n"/>
      <c r="N395" s="333">
        <f>IFERROR(IF(L395*M395=0,"",L395*M395),"")</f>
        <v/>
      </c>
      <c r="O395" s="334" t="n"/>
      <c r="P395" s="332">
        <f>IFERROR(VLOOKUP(TEXT(O395,"0"),CONDUCTORES!$A$3:$G$54,2,0),"")</f>
        <v/>
      </c>
      <c r="Q395" s="332">
        <f>IFERROR(VLOOKUP(TEXT(O395,"0"),CONDUCTORES!$A$3:$H$54,6,0),"")</f>
        <v/>
      </c>
      <c r="R395" s="334" t="n"/>
      <c r="S395" s="334" t="n"/>
      <c r="T395" s="334" t="n"/>
      <c r="U395" s="334" t="n"/>
      <c r="V395" s="334" t="n"/>
      <c r="W395" s="334" t="n"/>
      <c r="X395" s="334" t="n"/>
      <c r="Y395" s="334" t="n"/>
    </row>
    <row r="396" ht="15" customHeight="1" s="195">
      <c r="A396" s="280" t="n"/>
      <c r="B396" s="280" t="n"/>
      <c r="C396" s="280" t="n"/>
      <c r="D396" s="280" t="n"/>
      <c r="E396" s="280" t="n"/>
      <c r="F396" s="280" t="n"/>
      <c r="G396" s="280" t="n"/>
      <c r="H396" s="280" t="n"/>
      <c r="I396" s="332">
        <f>IFERROR(VLOOKUP(TEXT(H396,"0"),IPRESS!$A$3:$B$212,2,0),"")</f>
        <v/>
      </c>
      <c r="J396" s="280" t="n"/>
      <c r="K396" s="332">
        <f>IFERROR(VLOOKUP(TEXT(O396,"0"),CONDUCTORES!$A$3:$G$54,7,0),"")</f>
        <v/>
      </c>
      <c r="L396" s="280" t="n"/>
      <c r="M396" s="280" t="n"/>
      <c r="N396" s="333">
        <f>IFERROR(IF(L396*M396=0,"",L396*M396),"")</f>
        <v/>
      </c>
      <c r="O396" s="280" t="n"/>
      <c r="P396" s="332">
        <f>IFERROR(VLOOKUP(TEXT(O396,"0"),CONDUCTORES!$A$3:$G$54,2,0),"")</f>
        <v/>
      </c>
      <c r="Q396" s="332">
        <f>IFERROR(VLOOKUP(TEXT(O396,"0"),CONDUCTORES!$A$3:$H$54,6,0),"")</f>
        <v/>
      </c>
      <c r="R396" s="280" t="n"/>
      <c r="S396" s="280" t="n"/>
      <c r="T396" s="280" t="n"/>
      <c r="U396" s="280" t="n"/>
      <c r="V396" s="280" t="n"/>
      <c r="W396" s="280" t="n"/>
      <c r="X396" s="280" t="n"/>
      <c r="Y396" s="280" t="n"/>
    </row>
    <row r="397" ht="15" customHeight="1" s="195">
      <c r="A397" s="334" t="n"/>
      <c r="B397" s="334" t="n"/>
      <c r="C397" s="334" t="n"/>
      <c r="D397" s="334" t="n"/>
      <c r="E397" s="334" t="n"/>
      <c r="F397" s="334" t="n"/>
      <c r="G397" s="334" t="n"/>
      <c r="H397" s="334" t="n"/>
      <c r="I397" s="332">
        <f>IFERROR(VLOOKUP(TEXT(H397,"0"),IPRESS!$A$3:$B$212,2,0),"")</f>
        <v/>
      </c>
      <c r="J397" s="334" t="n"/>
      <c r="K397" s="332">
        <f>IFERROR(VLOOKUP(TEXT(O397,"0"),CONDUCTORES!$A$3:$G$54,7,0),"")</f>
        <v/>
      </c>
      <c r="L397" s="334" t="n"/>
      <c r="M397" s="334" t="n"/>
      <c r="N397" s="333">
        <f>IFERROR(IF(L397*M397=0,"",L397*M397),"")</f>
        <v/>
      </c>
      <c r="O397" s="334" t="n"/>
      <c r="P397" s="332">
        <f>IFERROR(VLOOKUP(TEXT(O397,"0"),CONDUCTORES!$A$3:$G$54,2,0),"")</f>
        <v/>
      </c>
      <c r="Q397" s="332">
        <f>IFERROR(VLOOKUP(TEXT(O397,"0"),CONDUCTORES!$A$3:$H$54,6,0),"")</f>
        <v/>
      </c>
      <c r="R397" s="334" t="n"/>
      <c r="S397" s="334" t="n"/>
      <c r="T397" s="334" t="n"/>
      <c r="U397" s="334" t="n"/>
      <c r="V397" s="334" t="n"/>
      <c r="W397" s="334" t="n"/>
      <c r="X397" s="334" t="n"/>
      <c r="Y397" s="334" t="n"/>
    </row>
    <row r="398" ht="15" customHeight="1" s="195">
      <c r="A398" s="280" t="n"/>
      <c r="B398" s="280" t="n"/>
      <c r="C398" s="280" t="n"/>
      <c r="D398" s="280" t="n"/>
      <c r="E398" s="280" t="n"/>
      <c r="F398" s="280" t="n"/>
      <c r="G398" s="280" t="n"/>
      <c r="H398" s="280" t="n"/>
      <c r="I398" s="332">
        <f>IFERROR(VLOOKUP(TEXT(H398,"0"),IPRESS!$A$3:$B$212,2,0),"")</f>
        <v/>
      </c>
      <c r="J398" s="280" t="n"/>
      <c r="K398" s="332">
        <f>IFERROR(VLOOKUP(TEXT(O398,"0"),CONDUCTORES!$A$3:$G$54,7,0),"")</f>
        <v/>
      </c>
      <c r="L398" s="280" t="n"/>
      <c r="M398" s="280" t="n"/>
      <c r="N398" s="333">
        <f>IFERROR(IF(L398*M398=0,"",L398*M398),"")</f>
        <v/>
      </c>
      <c r="O398" s="280" t="n"/>
      <c r="P398" s="332">
        <f>IFERROR(VLOOKUP(TEXT(O398,"0"),CONDUCTORES!$A$3:$G$54,2,0),"")</f>
        <v/>
      </c>
      <c r="Q398" s="332">
        <f>IFERROR(VLOOKUP(TEXT(O398,"0"),CONDUCTORES!$A$3:$H$54,6,0),"")</f>
        <v/>
      </c>
      <c r="R398" s="280" t="n"/>
      <c r="S398" s="280" t="n"/>
      <c r="T398" s="280" t="n"/>
      <c r="U398" s="280" t="n"/>
      <c r="V398" s="280" t="n"/>
      <c r="W398" s="280" t="n"/>
      <c r="X398" s="280" t="n"/>
      <c r="Y398" s="280" t="n"/>
    </row>
    <row r="399" ht="15" customHeight="1" s="195">
      <c r="A399" s="334" t="n"/>
      <c r="B399" s="334" t="n"/>
      <c r="C399" s="334" t="n"/>
      <c r="D399" s="334" t="n"/>
      <c r="E399" s="334" t="n"/>
      <c r="F399" s="334" t="n"/>
      <c r="G399" s="334" t="n"/>
      <c r="H399" s="334" t="n"/>
      <c r="I399" s="332">
        <f>IFERROR(VLOOKUP(TEXT(H399,"0"),IPRESS!$A$3:$B$212,2,0),"")</f>
        <v/>
      </c>
      <c r="J399" s="334" t="n"/>
      <c r="K399" s="332">
        <f>IFERROR(VLOOKUP(TEXT(O399,"0"),CONDUCTORES!$A$3:$G$54,7,0),"")</f>
        <v/>
      </c>
      <c r="L399" s="334" t="n"/>
      <c r="M399" s="334" t="n"/>
      <c r="N399" s="333">
        <f>IFERROR(IF(L399*M399=0,"",L399*M399),"")</f>
        <v/>
      </c>
      <c r="O399" s="334" t="n"/>
      <c r="P399" s="332">
        <f>IFERROR(VLOOKUP(TEXT(O399,"0"),CONDUCTORES!$A$3:$G$54,2,0),"")</f>
        <v/>
      </c>
      <c r="Q399" s="332">
        <f>IFERROR(VLOOKUP(TEXT(O399,"0"),CONDUCTORES!$A$3:$H$54,6,0),"")</f>
        <v/>
      </c>
      <c r="R399" s="334" t="n"/>
      <c r="S399" s="334" t="n"/>
      <c r="T399" s="334" t="n"/>
      <c r="U399" s="334" t="n"/>
      <c r="V399" s="334" t="n"/>
      <c r="W399" s="334" t="n"/>
      <c r="X399" s="334" t="n"/>
      <c r="Y399" s="334" t="n"/>
    </row>
    <row r="400" ht="15" customHeight="1" s="195">
      <c r="A400" s="280" t="n"/>
      <c r="B400" s="280" t="n"/>
      <c r="C400" s="280" t="n"/>
      <c r="D400" s="280" t="n"/>
      <c r="E400" s="280" t="n"/>
      <c r="F400" s="280" t="n"/>
      <c r="G400" s="280" t="n"/>
      <c r="H400" s="280" t="n"/>
      <c r="I400" s="332">
        <f>IFERROR(VLOOKUP(TEXT(H400,"0"),IPRESS!$A$3:$B$212,2,0),"")</f>
        <v/>
      </c>
      <c r="J400" s="280" t="n"/>
      <c r="K400" s="332">
        <f>IFERROR(VLOOKUP(TEXT(O400,"0"),CONDUCTORES!$A$3:$G$54,7,0),"")</f>
        <v/>
      </c>
      <c r="L400" s="280" t="n"/>
      <c r="M400" s="280" t="n"/>
      <c r="N400" s="333">
        <f>IFERROR(IF(L400*M400=0,"",L400*M400),"")</f>
        <v/>
      </c>
      <c r="O400" s="280" t="n"/>
      <c r="P400" s="332">
        <f>IFERROR(VLOOKUP(TEXT(O400,"0"),CONDUCTORES!$A$3:$G$54,2,0),"")</f>
        <v/>
      </c>
      <c r="Q400" s="332">
        <f>IFERROR(VLOOKUP(TEXT(O400,"0"),CONDUCTORES!$A$3:$H$54,6,0),"")</f>
        <v/>
      </c>
      <c r="R400" s="280" t="n"/>
      <c r="S400" s="280" t="n"/>
      <c r="T400" s="280" t="n"/>
      <c r="U400" s="280" t="n"/>
      <c r="V400" s="280" t="n"/>
      <c r="W400" s="280" t="n"/>
      <c r="X400" s="280" t="n"/>
      <c r="Y400" s="280" t="n"/>
    </row>
    <row r="401" ht="15" customHeight="1" s="195">
      <c r="A401" s="334" t="n"/>
      <c r="B401" s="334" t="n"/>
      <c r="C401" s="334" t="n"/>
      <c r="D401" s="334" t="n"/>
      <c r="E401" s="334" t="n"/>
      <c r="F401" s="334" t="n"/>
      <c r="G401" s="334" t="n"/>
      <c r="H401" s="334" t="n"/>
      <c r="I401" s="332">
        <f>IFERROR(VLOOKUP(TEXT(H401,"0"),IPRESS!$A$3:$B$212,2,0),"")</f>
        <v/>
      </c>
      <c r="J401" s="334" t="n"/>
      <c r="K401" s="332">
        <f>IFERROR(VLOOKUP(TEXT(O401,"0"),CONDUCTORES!$A$3:$G$54,7,0),"")</f>
        <v/>
      </c>
      <c r="L401" s="334" t="n"/>
      <c r="M401" s="334" t="n"/>
      <c r="N401" s="333">
        <f>IFERROR(IF(L401*M401=0,"",L401*M401),"")</f>
        <v/>
      </c>
      <c r="O401" s="334" t="n"/>
      <c r="P401" s="332">
        <f>IFERROR(VLOOKUP(TEXT(O401,"0"),CONDUCTORES!$A$3:$G$54,2,0),"")</f>
        <v/>
      </c>
      <c r="Q401" s="332">
        <f>IFERROR(VLOOKUP(TEXT(O401,"0"),CONDUCTORES!$A$3:$H$54,6,0),"")</f>
        <v/>
      </c>
      <c r="R401" s="334" t="n"/>
      <c r="S401" s="334" t="n"/>
      <c r="T401" s="334" t="n"/>
      <c r="U401" s="334" t="n"/>
      <c r="V401" s="334" t="n"/>
      <c r="W401" s="334" t="n"/>
      <c r="X401" s="334" t="n"/>
      <c r="Y401" s="334" t="n"/>
    </row>
    <row r="402" ht="15" customHeight="1" s="195">
      <c r="A402" s="280" t="n"/>
      <c r="B402" s="280" t="n"/>
      <c r="C402" s="280" t="n"/>
      <c r="D402" s="280" t="n"/>
      <c r="E402" s="280" t="n"/>
      <c r="F402" s="280" t="n"/>
      <c r="G402" s="280" t="n"/>
      <c r="H402" s="280" t="n"/>
      <c r="I402" s="332">
        <f>IFERROR(VLOOKUP(TEXT(H402,"0"),IPRESS!$A$3:$B$212,2,0),"")</f>
        <v/>
      </c>
      <c r="J402" s="280" t="n"/>
      <c r="K402" s="332">
        <f>IFERROR(VLOOKUP(TEXT(O402,"0"),CONDUCTORES!$A$3:$G$54,7,0),"")</f>
        <v/>
      </c>
      <c r="L402" s="280" t="n"/>
      <c r="M402" s="280" t="n"/>
      <c r="N402" s="333">
        <f>IFERROR(IF(L402*M402=0,"",L402*M402),"")</f>
        <v/>
      </c>
      <c r="O402" s="280" t="n"/>
      <c r="P402" s="332">
        <f>IFERROR(VLOOKUP(TEXT(O402,"0"),CONDUCTORES!$A$3:$G$54,2,0),"")</f>
        <v/>
      </c>
      <c r="Q402" s="332">
        <f>IFERROR(VLOOKUP(TEXT(O402,"0"),CONDUCTORES!$A$3:$H$54,6,0),"")</f>
        <v/>
      </c>
      <c r="R402" s="280" t="n"/>
      <c r="S402" s="280" t="n"/>
      <c r="T402" s="280" t="n"/>
      <c r="U402" s="280" t="n"/>
      <c r="V402" s="280" t="n"/>
      <c r="W402" s="280" t="n"/>
      <c r="X402" s="280" t="n"/>
      <c r="Y402" s="280" t="n"/>
    </row>
    <row r="403" ht="15" customHeight="1" s="195">
      <c r="A403" s="334" t="n"/>
      <c r="B403" s="334" t="n"/>
      <c r="C403" s="334" t="n"/>
      <c r="D403" s="334" t="n"/>
      <c r="E403" s="334" t="n"/>
      <c r="F403" s="334" t="n"/>
      <c r="G403" s="334" t="n"/>
      <c r="H403" s="334" t="n"/>
      <c r="I403" s="332">
        <f>IFERROR(VLOOKUP(TEXT(H403,"0"),IPRESS!$A$3:$B$212,2,0),"")</f>
        <v/>
      </c>
      <c r="J403" s="334" t="n"/>
      <c r="K403" s="332">
        <f>IFERROR(VLOOKUP(TEXT(O403,"0"),CONDUCTORES!$A$3:$G$54,7,0),"")</f>
        <v/>
      </c>
      <c r="L403" s="334" t="n"/>
      <c r="M403" s="334" t="n"/>
      <c r="N403" s="333">
        <f>IFERROR(IF(L403*M403=0,"",L403*M403),"")</f>
        <v/>
      </c>
      <c r="O403" s="334" t="n"/>
      <c r="P403" s="332">
        <f>IFERROR(VLOOKUP(TEXT(O403,"0"),CONDUCTORES!$A$3:$G$54,2,0),"")</f>
        <v/>
      </c>
      <c r="Q403" s="332">
        <f>IFERROR(VLOOKUP(TEXT(O403,"0"),CONDUCTORES!$A$3:$H$54,6,0),"")</f>
        <v/>
      </c>
      <c r="R403" s="334" t="n"/>
      <c r="S403" s="334" t="n"/>
      <c r="T403" s="334" t="n"/>
      <c r="U403" s="334" t="n"/>
      <c r="V403" s="334" t="n"/>
      <c r="W403" s="334" t="n"/>
      <c r="X403" s="334" t="n"/>
      <c r="Y403" s="334" t="n"/>
    </row>
    <row r="404" ht="15" customHeight="1" s="195">
      <c r="A404" s="280" t="n"/>
      <c r="B404" s="280" t="n"/>
      <c r="C404" s="280" t="n"/>
      <c r="D404" s="280" t="n"/>
      <c r="E404" s="280" t="n"/>
      <c r="F404" s="280" t="n"/>
      <c r="G404" s="280" t="n"/>
      <c r="H404" s="280" t="n"/>
      <c r="I404" s="332">
        <f>IFERROR(VLOOKUP(TEXT(H404,"0"),IPRESS!$A$3:$B$212,2,0),"")</f>
        <v/>
      </c>
      <c r="J404" s="280" t="n"/>
      <c r="K404" s="332">
        <f>IFERROR(VLOOKUP(TEXT(O404,"0"),CONDUCTORES!$A$3:$G$54,7,0),"")</f>
        <v/>
      </c>
      <c r="L404" s="280" t="n"/>
      <c r="M404" s="280" t="n"/>
      <c r="N404" s="333">
        <f>IFERROR(IF(L404*M404=0,"",L404*M404),"")</f>
        <v/>
      </c>
      <c r="O404" s="280" t="n"/>
      <c r="P404" s="332">
        <f>IFERROR(VLOOKUP(TEXT(O404,"0"),CONDUCTORES!$A$3:$G$54,2,0),"")</f>
        <v/>
      </c>
      <c r="Q404" s="332">
        <f>IFERROR(VLOOKUP(TEXT(O404,"0"),CONDUCTORES!$A$3:$H$54,6,0),"")</f>
        <v/>
      </c>
      <c r="R404" s="280" t="n"/>
      <c r="S404" s="280" t="n"/>
      <c r="T404" s="280" t="n"/>
      <c r="U404" s="280" t="n"/>
      <c r="V404" s="280" t="n"/>
      <c r="W404" s="280" t="n"/>
      <c r="X404" s="280" t="n"/>
      <c r="Y404" s="280" t="n"/>
    </row>
    <row r="405" ht="15" customHeight="1" s="195">
      <c r="A405" s="334" t="n"/>
      <c r="B405" s="334" t="n"/>
      <c r="C405" s="334" t="n"/>
      <c r="D405" s="334" t="n"/>
      <c r="E405" s="334" t="n"/>
      <c r="F405" s="334" t="n"/>
      <c r="G405" s="334" t="n"/>
      <c r="H405" s="334" t="n"/>
      <c r="I405" s="332">
        <f>IFERROR(VLOOKUP(TEXT(H405,"0"),IPRESS!$A$3:$B$212,2,0),"")</f>
        <v/>
      </c>
      <c r="J405" s="334" t="n"/>
      <c r="K405" s="332">
        <f>IFERROR(VLOOKUP(TEXT(O405,"0"),CONDUCTORES!$A$3:$G$54,7,0),"")</f>
        <v/>
      </c>
      <c r="L405" s="334" t="n"/>
      <c r="M405" s="334" t="n"/>
      <c r="N405" s="333">
        <f>IFERROR(IF(L405*M405=0,"",L405*M405),"")</f>
        <v/>
      </c>
      <c r="O405" s="334" t="n"/>
      <c r="P405" s="332">
        <f>IFERROR(VLOOKUP(TEXT(O405,"0"),CONDUCTORES!$A$3:$G$54,2,0),"")</f>
        <v/>
      </c>
      <c r="Q405" s="332">
        <f>IFERROR(VLOOKUP(TEXT(O405,"0"),CONDUCTORES!$A$3:$H$54,6,0),"")</f>
        <v/>
      </c>
      <c r="R405" s="334" t="n"/>
      <c r="S405" s="334" t="n"/>
      <c r="T405" s="334" t="n"/>
      <c r="U405" s="334" t="n"/>
      <c r="V405" s="334" t="n"/>
      <c r="W405" s="334" t="n"/>
      <c r="X405" s="334" t="n"/>
      <c r="Y405" s="334" t="n"/>
    </row>
    <row r="406" ht="15" customHeight="1" s="195">
      <c r="A406" s="280" t="n"/>
      <c r="B406" s="280" t="n"/>
      <c r="C406" s="280" t="n"/>
      <c r="D406" s="280" t="n"/>
      <c r="E406" s="280" t="n"/>
      <c r="F406" s="280" t="n"/>
      <c r="G406" s="280" t="n"/>
      <c r="H406" s="280" t="n"/>
      <c r="I406" s="332">
        <f>IFERROR(VLOOKUP(TEXT(H406,"0"),IPRESS!$A$3:$B$212,2,0),"")</f>
        <v/>
      </c>
      <c r="J406" s="280" t="n"/>
      <c r="K406" s="332">
        <f>IFERROR(VLOOKUP(TEXT(O406,"0"),CONDUCTORES!$A$3:$G$54,7,0),"")</f>
        <v/>
      </c>
      <c r="L406" s="280" t="n"/>
      <c r="M406" s="280" t="n"/>
      <c r="N406" s="333">
        <f>IFERROR(IF(L406*M406=0,"",L406*M406),"")</f>
        <v/>
      </c>
      <c r="O406" s="280" t="n"/>
      <c r="P406" s="332">
        <f>IFERROR(VLOOKUP(TEXT(O406,"0"),CONDUCTORES!$A$3:$G$54,2,0),"")</f>
        <v/>
      </c>
      <c r="Q406" s="332">
        <f>IFERROR(VLOOKUP(TEXT(O406,"0"),CONDUCTORES!$A$3:$H$54,6,0),"")</f>
        <v/>
      </c>
      <c r="R406" s="280" t="n"/>
      <c r="S406" s="280" t="n"/>
      <c r="T406" s="280" t="n"/>
      <c r="U406" s="280" t="n"/>
      <c r="V406" s="280" t="n"/>
      <c r="W406" s="280" t="n"/>
      <c r="X406" s="280" t="n"/>
      <c r="Y406" s="280" t="n"/>
    </row>
    <row r="407" ht="15" customHeight="1" s="195">
      <c r="A407" s="334" t="n"/>
      <c r="B407" s="334" t="n"/>
      <c r="C407" s="334" t="n"/>
      <c r="D407" s="334" t="n"/>
      <c r="E407" s="334" t="n"/>
      <c r="F407" s="334" t="n"/>
      <c r="G407" s="334" t="n"/>
      <c r="H407" s="334" t="n"/>
      <c r="I407" s="332">
        <f>IFERROR(VLOOKUP(TEXT(H407,"0"),IPRESS!$A$3:$B$212,2,0),"")</f>
        <v/>
      </c>
      <c r="J407" s="334" t="n"/>
      <c r="K407" s="332">
        <f>IFERROR(VLOOKUP(TEXT(O407,"0"),CONDUCTORES!$A$3:$G$54,7,0),"")</f>
        <v/>
      </c>
      <c r="L407" s="334" t="n"/>
      <c r="M407" s="334" t="n"/>
      <c r="N407" s="333">
        <f>IFERROR(IF(L407*M407=0,"",L407*M407),"")</f>
        <v/>
      </c>
      <c r="O407" s="334" t="n"/>
      <c r="P407" s="332">
        <f>IFERROR(VLOOKUP(TEXT(O407,"0"),CONDUCTORES!$A$3:$G$54,2,0),"")</f>
        <v/>
      </c>
      <c r="Q407" s="332">
        <f>IFERROR(VLOOKUP(TEXT(O407,"0"),CONDUCTORES!$A$3:$H$54,6,0),"")</f>
        <v/>
      </c>
      <c r="R407" s="334" t="n"/>
      <c r="S407" s="334" t="n"/>
      <c r="T407" s="334" t="n"/>
      <c r="U407" s="334" t="n"/>
      <c r="V407" s="334" t="n"/>
      <c r="W407" s="334" t="n"/>
      <c r="X407" s="334" t="n"/>
      <c r="Y407" s="334" t="n"/>
    </row>
    <row r="408" ht="15" customHeight="1" s="195">
      <c r="A408" s="280" t="n"/>
      <c r="B408" s="280" t="n"/>
      <c r="C408" s="280" t="n"/>
      <c r="D408" s="280" t="n"/>
      <c r="E408" s="280" t="n"/>
      <c r="F408" s="280" t="n"/>
      <c r="G408" s="280" t="n"/>
      <c r="H408" s="280" t="n"/>
      <c r="I408" s="332">
        <f>IFERROR(VLOOKUP(TEXT(H408,"0"),IPRESS!$A$3:$B$212,2,0),"")</f>
        <v/>
      </c>
      <c r="J408" s="280" t="n"/>
      <c r="K408" s="332">
        <f>IFERROR(VLOOKUP(TEXT(O408,"0"),CONDUCTORES!$A$3:$G$54,7,0),"")</f>
        <v/>
      </c>
      <c r="L408" s="280" t="n"/>
      <c r="M408" s="280" t="n"/>
      <c r="N408" s="333">
        <f>IFERROR(IF(L408*M408=0,"",L408*M408),"")</f>
        <v/>
      </c>
      <c r="O408" s="280" t="n"/>
      <c r="P408" s="332">
        <f>IFERROR(VLOOKUP(TEXT(O408,"0"),CONDUCTORES!$A$3:$G$54,2,0),"")</f>
        <v/>
      </c>
      <c r="Q408" s="332">
        <f>IFERROR(VLOOKUP(TEXT(O408,"0"),CONDUCTORES!$A$3:$H$54,6,0),"")</f>
        <v/>
      </c>
      <c r="R408" s="280" t="n"/>
      <c r="S408" s="280" t="n"/>
      <c r="T408" s="280" t="n"/>
      <c r="U408" s="280" t="n"/>
      <c r="V408" s="280" t="n"/>
      <c r="W408" s="280" t="n"/>
      <c r="X408" s="280" t="n"/>
      <c r="Y408" s="280" t="n"/>
    </row>
    <row r="409" ht="15" customHeight="1" s="195">
      <c r="A409" s="334" t="n"/>
      <c r="B409" s="334" t="n"/>
      <c r="C409" s="334" t="n"/>
      <c r="D409" s="334" t="n"/>
      <c r="E409" s="334" t="n"/>
      <c r="F409" s="334" t="n"/>
      <c r="G409" s="334" t="n"/>
      <c r="H409" s="334" t="n"/>
      <c r="I409" s="332">
        <f>IFERROR(VLOOKUP(TEXT(H409,"0"),IPRESS!$A$3:$B$212,2,0),"")</f>
        <v/>
      </c>
      <c r="J409" s="334" t="n"/>
      <c r="K409" s="332">
        <f>IFERROR(VLOOKUP(TEXT(O409,"0"),CONDUCTORES!$A$3:$G$54,7,0),"")</f>
        <v/>
      </c>
      <c r="L409" s="334" t="n"/>
      <c r="M409" s="334" t="n"/>
      <c r="N409" s="333">
        <f>IFERROR(IF(L409*M409=0,"",L409*M409),"")</f>
        <v/>
      </c>
      <c r="O409" s="334" t="n"/>
      <c r="P409" s="332">
        <f>IFERROR(VLOOKUP(TEXT(O409,"0"),CONDUCTORES!$A$3:$G$54,2,0),"")</f>
        <v/>
      </c>
      <c r="Q409" s="332">
        <f>IFERROR(VLOOKUP(TEXT(O409,"0"),CONDUCTORES!$A$3:$H$54,6,0),"")</f>
        <v/>
      </c>
      <c r="R409" s="334" t="n"/>
      <c r="S409" s="334" t="n"/>
      <c r="T409" s="334" t="n"/>
      <c r="U409" s="334" t="n"/>
      <c r="V409" s="334" t="n"/>
      <c r="W409" s="334" t="n"/>
      <c r="X409" s="334" t="n"/>
      <c r="Y409" s="334" t="n"/>
    </row>
    <row r="410" ht="15" customHeight="1" s="195">
      <c r="A410" s="280" t="n"/>
      <c r="B410" s="280" t="n"/>
      <c r="C410" s="280" t="n"/>
      <c r="D410" s="280" t="n"/>
      <c r="E410" s="280" t="n"/>
      <c r="F410" s="280" t="n"/>
      <c r="G410" s="280" t="n"/>
      <c r="H410" s="280" t="n"/>
      <c r="I410" s="332">
        <f>IFERROR(VLOOKUP(TEXT(H410,"0"),IPRESS!$A$3:$B$212,2,0),"")</f>
        <v/>
      </c>
      <c r="J410" s="280" t="n"/>
      <c r="K410" s="332">
        <f>IFERROR(VLOOKUP(TEXT(O410,"0"),CONDUCTORES!$A$3:$G$54,7,0),"")</f>
        <v/>
      </c>
      <c r="L410" s="280" t="n"/>
      <c r="M410" s="280" t="n"/>
      <c r="N410" s="333">
        <f>IFERROR(IF(L410*M410=0,"",L410*M410),"")</f>
        <v/>
      </c>
      <c r="O410" s="280" t="n"/>
      <c r="P410" s="332">
        <f>IFERROR(VLOOKUP(TEXT(O410,"0"),CONDUCTORES!$A$3:$G$54,2,0),"")</f>
        <v/>
      </c>
      <c r="Q410" s="332">
        <f>IFERROR(VLOOKUP(TEXT(O410,"0"),CONDUCTORES!$A$3:$H$54,6,0),"")</f>
        <v/>
      </c>
      <c r="R410" s="280" t="n"/>
      <c r="S410" s="280" t="n"/>
      <c r="T410" s="280" t="n"/>
      <c r="U410" s="280" t="n"/>
      <c r="V410" s="280" t="n"/>
      <c r="W410" s="280" t="n"/>
      <c r="X410" s="280" t="n"/>
      <c r="Y410" s="280" t="n"/>
    </row>
    <row r="411" ht="15" customHeight="1" s="195">
      <c r="A411" s="334" t="n"/>
      <c r="B411" s="334" t="n"/>
      <c r="C411" s="334" t="n"/>
      <c r="D411" s="334" t="n"/>
      <c r="E411" s="334" t="n"/>
      <c r="F411" s="334" t="n"/>
      <c r="G411" s="334" t="n"/>
      <c r="H411" s="334" t="n"/>
      <c r="I411" s="332">
        <f>IFERROR(VLOOKUP(TEXT(H411,"0"),IPRESS!$A$3:$B$212,2,0),"")</f>
        <v/>
      </c>
      <c r="J411" s="334" t="n"/>
      <c r="K411" s="332">
        <f>IFERROR(VLOOKUP(TEXT(O411,"0"),CONDUCTORES!$A$3:$G$54,7,0),"")</f>
        <v/>
      </c>
      <c r="L411" s="334" t="n"/>
      <c r="M411" s="334" t="n"/>
      <c r="N411" s="333">
        <f>IFERROR(IF(L411*M411=0,"",L411*M411),"")</f>
        <v/>
      </c>
      <c r="O411" s="334" t="n"/>
      <c r="P411" s="332">
        <f>IFERROR(VLOOKUP(TEXT(O411,"0"),CONDUCTORES!$A$3:$G$54,2,0),"")</f>
        <v/>
      </c>
      <c r="Q411" s="332">
        <f>IFERROR(VLOOKUP(TEXT(O411,"0"),CONDUCTORES!$A$3:$H$54,6,0),"")</f>
        <v/>
      </c>
      <c r="R411" s="334" t="n"/>
      <c r="S411" s="334" t="n"/>
      <c r="T411" s="334" t="n"/>
      <c r="U411" s="334" t="n"/>
      <c r="V411" s="334" t="n"/>
      <c r="W411" s="334" t="n"/>
      <c r="X411" s="334" t="n"/>
      <c r="Y411" s="334" t="n"/>
    </row>
    <row r="412" ht="15" customHeight="1" s="195">
      <c r="A412" s="280" t="n"/>
      <c r="B412" s="280" t="n"/>
      <c r="C412" s="280" t="n"/>
      <c r="D412" s="280" t="n"/>
      <c r="E412" s="280" t="n"/>
      <c r="F412" s="280" t="n"/>
      <c r="G412" s="280" t="n"/>
      <c r="H412" s="280" t="n"/>
      <c r="I412" s="332">
        <f>IFERROR(VLOOKUP(TEXT(H412,"0"),IPRESS!$A$3:$B$212,2,0),"")</f>
        <v/>
      </c>
      <c r="J412" s="280" t="n"/>
      <c r="K412" s="332">
        <f>IFERROR(VLOOKUP(TEXT(O412,"0"),CONDUCTORES!$A$3:$G$54,7,0),"")</f>
        <v/>
      </c>
      <c r="L412" s="280" t="n"/>
      <c r="M412" s="280" t="n"/>
      <c r="N412" s="333">
        <f>IFERROR(IF(L412*M412=0,"",L412*M412),"")</f>
        <v/>
      </c>
      <c r="O412" s="280" t="n"/>
      <c r="P412" s="332">
        <f>IFERROR(VLOOKUP(TEXT(O412,"0"),CONDUCTORES!$A$3:$G$54,2,0),"")</f>
        <v/>
      </c>
      <c r="Q412" s="332">
        <f>IFERROR(VLOOKUP(TEXT(O412,"0"),CONDUCTORES!$A$3:$H$54,6,0),"")</f>
        <v/>
      </c>
      <c r="R412" s="280" t="n"/>
      <c r="S412" s="280" t="n"/>
      <c r="T412" s="280" t="n"/>
      <c r="U412" s="280" t="n"/>
      <c r="V412" s="280" t="n"/>
      <c r="W412" s="280" t="n"/>
      <c r="X412" s="280" t="n"/>
      <c r="Y412" s="280" t="n"/>
    </row>
    <row r="413" ht="15" customHeight="1" s="195">
      <c r="A413" s="334" t="n"/>
      <c r="B413" s="334" t="n"/>
      <c r="C413" s="334" t="n"/>
      <c r="D413" s="334" t="n"/>
      <c r="E413" s="334" t="n"/>
      <c r="F413" s="334" t="n"/>
      <c r="G413" s="334" t="n"/>
      <c r="H413" s="334" t="n"/>
      <c r="I413" s="332">
        <f>IFERROR(VLOOKUP(TEXT(H413,"0"),IPRESS!$A$3:$B$212,2,0),"")</f>
        <v/>
      </c>
      <c r="J413" s="334" t="n"/>
      <c r="K413" s="332">
        <f>IFERROR(VLOOKUP(TEXT(O413,"0"),CONDUCTORES!$A$3:$G$54,7,0),"")</f>
        <v/>
      </c>
      <c r="L413" s="334" t="n"/>
      <c r="M413" s="334" t="n"/>
      <c r="N413" s="333">
        <f>IFERROR(IF(L413*M413=0,"",L413*M413),"")</f>
        <v/>
      </c>
      <c r="O413" s="334" t="n"/>
      <c r="P413" s="332">
        <f>IFERROR(VLOOKUP(TEXT(O413,"0"),CONDUCTORES!$A$3:$G$54,2,0),"")</f>
        <v/>
      </c>
      <c r="Q413" s="332">
        <f>IFERROR(VLOOKUP(TEXT(O413,"0"),CONDUCTORES!$A$3:$H$54,6,0),"")</f>
        <v/>
      </c>
      <c r="R413" s="334" t="n"/>
      <c r="S413" s="334" t="n"/>
      <c r="T413" s="334" t="n"/>
      <c r="U413" s="334" t="n"/>
      <c r="V413" s="334" t="n"/>
      <c r="W413" s="334" t="n"/>
      <c r="X413" s="334" t="n"/>
      <c r="Y413" s="334" t="n"/>
    </row>
    <row r="414" ht="15" customHeight="1" s="195">
      <c r="A414" s="280" t="n"/>
      <c r="B414" s="280" t="n"/>
      <c r="C414" s="280" t="n"/>
      <c r="D414" s="280" t="n"/>
      <c r="E414" s="280" t="n"/>
      <c r="F414" s="280" t="n"/>
      <c r="G414" s="280" t="n"/>
      <c r="H414" s="280" t="n"/>
      <c r="I414" s="332">
        <f>IFERROR(VLOOKUP(TEXT(H414,"0"),IPRESS!$A$3:$B$212,2,0),"")</f>
        <v/>
      </c>
      <c r="J414" s="280" t="n"/>
      <c r="K414" s="332">
        <f>IFERROR(VLOOKUP(TEXT(O414,"0"),CONDUCTORES!$A$3:$G$54,7,0),"")</f>
        <v/>
      </c>
      <c r="L414" s="280" t="n"/>
      <c r="M414" s="280" t="n"/>
      <c r="N414" s="333">
        <f>IFERROR(IF(L414*M414=0,"",L414*M414),"")</f>
        <v/>
      </c>
      <c r="O414" s="280" t="n"/>
      <c r="P414" s="332">
        <f>IFERROR(VLOOKUP(TEXT(O414,"0"),CONDUCTORES!$A$3:$G$54,2,0),"")</f>
        <v/>
      </c>
      <c r="Q414" s="332">
        <f>IFERROR(VLOOKUP(TEXT(O414,"0"),CONDUCTORES!$A$3:$H$54,6,0),"")</f>
        <v/>
      </c>
      <c r="R414" s="280" t="n"/>
      <c r="S414" s="280" t="n"/>
      <c r="T414" s="280" t="n"/>
      <c r="U414" s="280" t="n"/>
      <c r="V414" s="280" t="n"/>
      <c r="W414" s="280" t="n"/>
      <c r="X414" s="280" t="n"/>
      <c r="Y414" s="280" t="n"/>
    </row>
    <row r="415" ht="15" customHeight="1" s="195">
      <c r="A415" s="334" t="n"/>
      <c r="B415" s="334" t="n"/>
      <c r="C415" s="334" t="n"/>
      <c r="D415" s="334" t="n"/>
      <c r="E415" s="334" t="n"/>
      <c r="F415" s="334" t="n"/>
      <c r="G415" s="334" t="n"/>
      <c r="H415" s="334" t="n"/>
      <c r="I415" s="332">
        <f>IFERROR(VLOOKUP(TEXT(H415,"0"),IPRESS!$A$3:$B$212,2,0),"")</f>
        <v/>
      </c>
      <c r="J415" s="334" t="n"/>
      <c r="K415" s="332">
        <f>IFERROR(VLOOKUP(TEXT(O415,"0"),CONDUCTORES!$A$3:$G$54,7,0),"")</f>
        <v/>
      </c>
      <c r="L415" s="334" t="n"/>
      <c r="M415" s="334" t="n"/>
      <c r="N415" s="333">
        <f>IFERROR(IF(L415*M415=0,"",L415*M415),"")</f>
        <v/>
      </c>
      <c r="O415" s="334" t="n"/>
      <c r="P415" s="332">
        <f>IFERROR(VLOOKUP(TEXT(O415,"0"),CONDUCTORES!$A$3:$G$54,2,0),"")</f>
        <v/>
      </c>
      <c r="Q415" s="332">
        <f>IFERROR(VLOOKUP(TEXT(O415,"0"),CONDUCTORES!$A$3:$H$54,6,0),"")</f>
        <v/>
      </c>
      <c r="R415" s="334" t="n"/>
      <c r="S415" s="334" t="n"/>
      <c r="T415" s="334" t="n"/>
      <c r="U415" s="334" t="n"/>
      <c r="V415" s="334" t="n"/>
      <c r="W415" s="334" t="n"/>
      <c r="X415" s="334" t="n"/>
      <c r="Y415" s="334" t="n"/>
    </row>
    <row r="416" ht="15" customHeight="1" s="195">
      <c r="A416" s="280" t="n"/>
      <c r="B416" s="280" t="n"/>
      <c r="C416" s="280" t="n"/>
      <c r="D416" s="280" t="n"/>
      <c r="E416" s="280" t="n"/>
      <c r="F416" s="280" t="n"/>
      <c r="G416" s="280" t="n"/>
      <c r="H416" s="280" t="n"/>
      <c r="I416" s="332">
        <f>IFERROR(VLOOKUP(TEXT(H416,"0"),IPRESS!$A$3:$B$212,2,0),"")</f>
        <v/>
      </c>
      <c r="J416" s="280" t="n"/>
      <c r="K416" s="332">
        <f>IFERROR(VLOOKUP(TEXT(O416,"0"),CONDUCTORES!$A$3:$G$54,7,0),"")</f>
        <v/>
      </c>
      <c r="L416" s="280" t="n"/>
      <c r="M416" s="280" t="n"/>
      <c r="N416" s="333">
        <f>IFERROR(IF(L416*M416=0,"",L416*M416),"")</f>
        <v/>
      </c>
      <c r="O416" s="280" t="n"/>
      <c r="P416" s="332">
        <f>IFERROR(VLOOKUP(TEXT(O416,"0"),CONDUCTORES!$A$3:$G$54,2,0),"")</f>
        <v/>
      </c>
      <c r="Q416" s="332">
        <f>IFERROR(VLOOKUP(TEXT(O416,"0"),CONDUCTORES!$A$3:$H$54,6,0),"")</f>
        <v/>
      </c>
      <c r="R416" s="280" t="n"/>
      <c r="S416" s="280" t="n"/>
      <c r="T416" s="280" t="n"/>
      <c r="U416" s="280" t="n"/>
      <c r="V416" s="280" t="n"/>
      <c r="W416" s="280" t="n"/>
      <c r="X416" s="280" t="n"/>
      <c r="Y416" s="280" t="n"/>
    </row>
    <row r="417" ht="15" customHeight="1" s="195">
      <c r="A417" s="334" t="n"/>
      <c r="B417" s="334" t="n"/>
      <c r="C417" s="334" t="n"/>
      <c r="D417" s="334" t="n"/>
      <c r="E417" s="334" t="n"/>
      <c r="F417" s="334" t="n"/>
      <c r="G417" s="334" t="n"/>
      <c r="H417" s="334" t="n"/>
      <c r="I417" s="332">
        <f>IFERROR(VLOOKUP(TEXT(H417,"0"),IPRESS!$A$3:$B$212,2,0),"")</f>
        <v/>
      </c>
      <c r="J417" s="334" t="n"/>
      <c r="K417" s="332">
        <f>IFERROR(VLOOKUP(TEXT(O417,"0"),CONDUCTORES!$A$3:$G$54,7,0),"")</f>
        <v/>
      </c>
      <c r="L417" s="334" t="n"/>
      <c r="M417" s="334" t="n"/>
      <c r="N417" s="333">
        <f>IFERROR(IF(L417*M417=0,"",L417*M417),"")</f>
        <v/>
      </c>
      <c r="O417" s="334" t="n"/>
      <c r="P417" s="332">
        <f>IFERROR(VLOOKUP(TEXT(O417,"0"),CONDUCTORES!$A$3:$G$54,2,0),"")</f>
        <v/>
      </c>
      <c r="Q417" s="332">
        <f>IFERROR(VLOOKUP(TEXT(O417,"0"),CONDUCTORES!$A$3:$H$54,6,0),"")</f>
        <v/>
      </c>
      <c r="R417" s="334" t="n"/>
      <c r="S417" s="334" t="n"/>
      <c r="T417" s="334" t="n"/>
      <c r="U417" s="334" t="n"/>
      <c r="V417" s="334" t="n"/>
      <c r="W417" s="334" t="n"/>
      <c r="X417" s="334" t="n"/>
      <c r="Y417" s="334" t="n"/>
    </row>
    <row r="418" ht="15" customHeight="1" s="195">
      <c r="A418" s="280" t="n"/>
      <c r="B418" s="280" t="n"/>
      <c r="C418" s="280" t="n"/>
      <c r="D418" s="280" t="n"/>
      <c r="E418" s="280" t="n"/>
      <c r="F418" s="280" t="n"/>
      <c r="G418" s="280" t="n"/>
      <c r="H418" s="280" t="n"/>
      <c r="I418" s="332">
        <f>IFERROR(VLOOKUP(TEXT(H418,"0"),IPRESS!$A$3:$B$212,2,0),"")</f>
        <v/>
      </c>
      <c r="J418" s="280" t="n"/>
      <c r="K418" s="332">
        <f>IFERROR(VLOOKUP(TEXT(O418,"0"),CONDUCTORES!$A$3:$G$54,7,0),"")</f>
        <v/>
      </c>
      <c r="L418" s="280" t="n"/>
      <c r="M418" s="280" t="n"/>
      <c r="N418" s="333">
        <f>IFERROR(IF(L418*M418=0,"",L418*M418),"")</f>
        <v/>
      </c>
      <c r="O418" s="280" t="n"/>
      <c r="P418" s="332">
        <f>IFERROR(VLOOKUP(TEXT(O418,"0"),CONDUCTORES!$A$3:$G$54,2,0),"")</f>
        <v/>
      </c>
      <c r="Q418" s="332">
        <f>IFERROR(VLOOKUP(TEXT(O418,"0"),CONDUCTORES!$A$3:$H$54,6,0),"")</f>
        <v/>
      </c>
      <c r="R418" s="280" t="n"/>
      <c r="S418" s="280" t="n"/>
      <c r="T418" s="280" t="n"/>
      <c r="U418" s="280" t="n"/>
      <c r="V418" s="280" t="n"/>
      <c r="W418" s="280" t="n"/>
      <c r="X418" s="280" t="n"/>
      <c r="Y418" s="280" t="n"/>
    </row>
    <row r="419" ht="15" customHeight="1" s="195">
      <c r="A419" s="334" t="n"/>
      <c r="B419" s="334" t="n"/>
      <c r="C419" s="334" t="n"/>
      <c r="D419" s="334" t="n"/>
      <c r="E419" s="334" t="n"/>
      <c r="F419" s="334" t="n"/>
      <c r="G419" s="334" t="n"/>
      <c r="H419" s="334" t="n"/>
      <c r="I419" s="332">
        <f>IFERROR(VLOOKUP(TEXT(H419,"0"),IPRESS!$A$3:$B$212,2,0),"")</f>
        <v/>
      </c>
      <c r="J419" s="334" t="n"/>
      <c r="K419" s="332">
        <f>IFERROR(VLOOKUP(TEXT(O419,"0"),CONDUCTORES!$A$3:$G$54,7,0),"")</f>
        <v/>
      </c>
      <c r="L419" s="334" t="n"/>
      <c r="M419" s="334" t="n"/>
      <c r="N419" s="333">
        <f>IFERROR(IF(L419*M419=0,"",L419*M419),"")</f>
        <v/>
      </c>
      <c r="O419" s="334" t="n"/>
      <c r="P419" s="332">
        <f>IFERROR(VLOOKUP(TEXT(O419,"0"),CONDUCTORES!$A$3:$G$54,2,0),"")</f>
        <v/>
      </c>
      <c r="Q419" s="332">
        <f>IFERROR(VLOOKUP(TEXT(O419,"0"),CONDUCTORES!$A$3:$H$54,6,0),"")</f>
        <v/>
      </c>
      <c r="R419" s="334" t="n"/>
      <c r="S419" s="334" t="n"/>
      <c r="T419" s="334" t="n"/>
      <c r="U419" s="334" t="n"/>
      <c r="V419" s="334" t="n"/>
      <c r="W419" s="334" t="n"/>
      <c r="X419" s="334" t="n"/>
      <c r="Y419" s="334" t="n"/>
    </row>
    <row r="420" ht="15" customHeight="1" s="195">
      <c r="A420" s="280" t="n"/>
      <c r="B420" s="280" t="n"/>
      <c r="C420" s="280" t="n"/>
      <c r="D420" s="280" t="n"/>
      <c r="E420" s="280" t="n"/>
      <c r="F420" s="280" t="n"/>
      <c r="G420" s="280" t="n"/>
      <c r="H420" s="280" t="n"/>
      <c r="I420" s="332">
        <f>IFERROR(VLOOKUP(TEXT(H420,"0"),IPRESS!$A$3:$B$212,2,0),"")</f>
        <v/>
      </c>
      <c r="J420" s="280" t="n"/>
      <c r="K420" s="332">
        <f>IFERROR(VLOOKUP(TEXT(O420,"0"),CONDUCTORES!$A$3:$G$54,7,0),"")</f>
        <v/>
      </c>
      <c r="L420" s="280" t="n"/>
      <c r="M420" s="280" t="n"/>
      <c r="N420" s="333">
        <f>IFERROR(IF(L420*M420=0,"",L420*M420),"")</f>
        <v/>
      </c>
      <c r="O420" s="280" t="n"/>
      <c r="P420" s="332">
        <f>IFERROR(VLOOKUP(TEXT(O420,"0"),CONDUCTORES!$A$3:$G$54,2,0),"")</f>
        <v/>
      </c>
      <c r="Q420" s="332">
        <f>IFERROR(VLOOKUP(TEXT(O420,"0"),CONDUCTORES!$A$3:$H$54,6,0),"")</f>
        <v/>
      </c>
      <c r="R420" s="280" t="n"/>
      <c r="S420" s="280" t="n"/>
      <c r="T420" s="280" t="n"/>
      <c r="U420" s="280" t="n"/>
      <c r="V420" s="280" t="n"/>
      <c r="W420" s="280" t="n"/>
      <c r="X420" s="280" t="n"/>
      <c r="Y420" s="280" t="n"/>
    </row>
    <row r="421" ht="15" customHeight="1" s="195">
      <c r="A421" s="334" t="n"/>
      <c r="B421" s="334" t="n"/>
      <c r="C421" s="334" t="n"/>
      <c r="D421" s="334" t="n"/>
      <c r="E421" s="334" t="n"/>
      <c r="F421" s="334" t="n"/>
      <c r="G421" s="334" t="n"/>
      <c r="H421" s="334" t="n"/>
      <c r="I421" s="332">
        <f>IFERROR(VLOOKUP(TEXT(H421,"0"),IPRESS!$A$3:$B$212,2,0),"")</f>
        <v/>
      </c>
      <c r="J421" s="334" t="n"/>
      <c r="K421" s="332">
        <f>IFERROR(VLOOKUP(TEXT(O421,"0"),CONDUCTORES!$A$3:$G$54,7,0),"")</f>
        <v/>
      </c>
      <c r="L421" s="334" t="n"/>
      <c r="M421" s="334" t="n"/>
      <c r="N421" s="333">
        <f>IFERROR(IF(L421*M421=0,"",L421*M421),"")</f>
        <v/>
      </c>
      <c r="O421" s="334" t="n"/>
      <c r="P421" s="332">
        <f>IFERROR(VLOOKUP(TEXT(O421,"0"),CONDUCTORES!$A$3:$G$54,2,0),"")</f>
        <v/>
      </c>
      <c r="Q421" s="332">
        <f>IFERROR(VLOOKUP(TEXT(O421,"0"),CONDUCTORES!$A$3:$H$54,6,0),"")</f>
        <v/>
      </c>
      <c r="R421" s="334" t="n"/>
      <c r="S421" s="334" t="n"/>
      <c r="T421" s="334" t="n"/>
      <c r="U421" s="334" t="n"/>
      <c r="V421" s="334" t="n"/>
      <c r="W421" s="334" t="n"/>
      <c r="X421" s="334" t="n"/>
      <c r="Y421" s="334" t="n"/>
    </row>
    <row r="422" ht="15" customHeight="1" s="195">
      <c r="A422" s="280" t="n"/>
      <c r="B422" s="280" t="n"/>
      <c r="C422" s="280" t="n"/>
      <c r="D422" s="280" t="n"/>
      <c r="E422" s="280" t="n"/>
      <c r="F422" s="280" t="n"/>
      <c r="G422" s="280" t="n"/>
      <c r="H422" s="280" t="n"/>
      <c r="I422" s="332">
        <f>IFERROR(VLOOKUP(TEXT(H422,"0"),IPRESS!$A$3:$B$212,2,0),"")</f>
        <v/>
      </c>
      <c r="J422" s="280" t="n"/>
      <c r="K422" s="332">
        <f>IFERROR(VLOOKUP(TEXT(O422,"0"),CONDUCTORES!$A$3:$G$54,7,0),"")</f>
        <v/>
      </c>
      <c r="L422" s="280" t="n"/>
      <c r="M422" s="280" t="n"/>
      <c r="N422" s="333">
        <f>IFERROR(IF(L422*M422=0,"",L422*M422),"")</f>
        <v/>
      </c>
      <c r="O422" s="280" t="n"/>
      <c r="P422" s="332">
        <f>IFERROR(VLOOKUP(TEXT(O422,"0"),CONDUCTORES!$A$3:$G$54,2,0),"")</f>
        <v/>
      </c>
      <c r="Q422" s="332">
        <f>IFERROR(VLOOKUP(TEXT(O422,"0"),CONDUCTORES!$A$3:$H$54,6,0),"")</f>
        <v/>
      </c>
      <c r="R422" s="280" t="n"/>
      <c r="S422" s="280" t="n"/>
      <c r="T422" s="280" t="n"/>
      <c r="U422" s="280" t="n"/>
      <c r="V422" s="280" t="n"/>
      <c r="W422" s="280" t="n"/>
      <c r="X422" s="280" t="n"/>
      <c r="Y422" s="280" t="n"/>
    </row>
    <row r="423" ht="15" customHeight="1" s="195">
      <c r="A423" s="334" t="n"/>
      <c r="B423" s="334" t="n"/>
      <c r="C423" s="334" t="n"/>
      <c r="D423" s="334" t="n"/>
      <c r="E423" s="334" t="n"/>
      <c r="F423" s="334" t="n"/>
      <c r="G423" s="334" t="n"/>
      <c r="H423" s="334" t="n"/>
      <c r="I423" s="332">
        <f>IFERROR(VLOOKUP(TEXT(H423,"0"),IPRESS!$A$3:$B$212,2,0),"")</f>
        <v/>
      </c>
      <c r="J423" s="334" t="n"/>
      <c r="K423" s="332">
        <f>IFERROR(VLOOKUP(TEXT(O423,"0"),CONDUCTORES!$A$3:$G$54,7,0),"")</f>
        <v/>
      </c>
      <c r="L423" s="334" t="n"/>
      <c r="M423" s="334" t="n"/>
      <c r="N423" s="333">
        <f>IFERROR(IF(L423*M423=0,"",L423*M423),"")</f>
        <v/>
      </c>
      <c r="O423" s="334" t="n"/>
      <c r="P423" s="332">
        <f>IFERROR(VLOOKUP(TEXT(O423,"0"),CONDUCTORES!$A$3:$G$54,2,0),"")</f>
        <v/>
      </c>
      <c r="Q423" s="332">
        <f>IFERROR(VLOOKUP(TEXT(O423,"0"),CONDUCTORES!$A$3:$H$54,6,0),"")</f>
        <v/>
      </c>
      <c r="R423" s="334" t="n"/>
      <c r="S423" s="334" t="n"/>
      <c r="T423" s="334" t="n"/>
      <c r="U423" s="334" t="n"/>
      <c r="V423" s="334" t="n"/>
      <c r="W423" s="334" t="n"/>
      <c r="X423" s="334" t="n"/>
      <c r="Y423" s="334" t="n"/>
    </row>
    <row r="424" ht="15" customHeight="1" s="195">
      <c r="A424" s="280" t="n"/>
      <c r="B424" s="280" t="n"/>
      <c r="C424" s="280" t="n"/>
      <c r="D424" s="280" t="n"/>
      <c r="E424" s="280" t="n"/>
      <c r="F424" s="280" t="n"/>
      <c r="G424" s="280" t="n"/>
      <c r="H424" s="280" t="n"/>
      <c r="I424" s="332">
        <f>IFERROR(VLOOKUP(TEXT(H424,"0"),IPRESS!$A$3:$B$212,2,0),"")</f>
        <v/>
      </c>
      <c r="J424" s="280" t="n"/>
      <c r="K424" s="332">
        <f>IFERROR(VLOOKUP(TEXT(O424,"0"),CONDUCTORES!$A$3:$G$54,7,0),"")</f>
        <v/>
      </c>
      <c r="L424" s="280" t="n"/>
      <c r="M424" s="280" t="n"/>
      <c r="N424" s="333">
        <f>IFERROR(IF(L424*M424=0,"",L424*M424),"")</f>
        <v/>
      </c>
      <c r="O424" s="280" t="n"/>
      <c r="P424" s="332">
        <f>IFERROR(VLOOKUP(TEXT(O424,"0"),CONDUCTORES!$A$3:$G$54,2,0),"")</f>
        <v/>
      </c>
      <c r="Q424" s="332">
        <f>IFERROR(VLOOKUP(TEXT(O424,"0"),CONDUCTORES!$A$3:$H$54,6,0),"")</f>
        <v/>
      </c>
      <c r="R424" s="280" t="n"/>
      <c r="S424" s="280" t="n"/>
      <c r="T424" s="280" t="n"/>
      <c r="U424" s="280" t="n"/>
      <c r="V424" s="280" t="n"/>
      <c r="W424" s="280" t="n"/>
      <c r="X424" s="280" t="n"/>
      <c r="Y424" s="280" t="n"/>
    </row>
    <row r="425" ht="15" customHeight="1" s="195">
      <c r="A425" s="334" t="n"/>
      <c r="B425" s="334" t="n"/>
      <c r="C425" s="334" t="n"/>
      <c r="D425" s="334" t="n"/>
      <c r="E425" s="334" t="n"/>
      <c r="F425" s="334" t="n"/>
      <c r="G425" s="334" t="n"/>
      <c r="H425" s="334" t="n"/>
      <c r="I425" s="332">
        <f>IFERROR(VLOOKUP(TEXT(H425,"0"),IPRESS!$A$3:$B$212,2,0),"")</f>
        <v/>
      </c>
      <c r="J425" s="334" t="n"/>
      <c r="K425" s="332">
        <f>IFERROR(VLOOKUP(TEXT(O425,"0"),CONDUCTORES!$A$3:$G$54,7,0),"")</f>
        <v/>
      </c>
      <c r="L425" s="334" t="n"/>
      <c r="M425" s="334" t="n"/>
      <c r="N425" s="333">
        <f>IFERROR(IF(L425*M425=0,"",L425*M425),"")</f>
        <v/>
      </c>
      <c r="O425" s="334" t="n"/>
      <c r="P425" s="332">
        <f>IFERROR(VLOOKUP(TEXT(O425,"0"),CONDUCTORES!$A$3:$G$54,2,0),"")</f>
        <v/>
      </c>
      <c r="Q425" s="332">
        <f>IFERROR(VLOOKUP(TEXT(O425,"0"),CONDUCTORES!$A$3:$H$54,6,0),"")</f>
        <v/>
      </c>
      <c r="R425" s="334" t="n"/>
      <c r="S425" s="334" t="n"/>
      <c r="T425" s="334" t="n"/>
      <c r="U425" s="334" t="n"/>
      <c r="V425" s="334" t="n"/>
      <c r="W425" s="334" t="n"/>
      <c r="X425" s="334" t="n"/>
      <c r="Y425" s="334" t="n"/>
    </row>
    <row r="426" ht="15" customHeight="1" s="195">
      <c r="A426" s="280" t="n"/>
      <c r="B426" s="280" t="n"/>
      <c r="C426" s="280" t="n"/>
      <c r="D426" s="280" t="n"/>
      <c r="E426" s="280" t="n"/>
      <c r="F426" s="280" t="n"/>
      <c r="G426" s="280" t="n"/>
      <c r="H426" s="280" t="n"/>
      <c r="I426" s="332">
        <f>IFERROR(VLOOKUP(TEXT(H426,"0"),IPRESS!$A$3:$B$212,2,0),"")</f>
        <v/>
      </c>
      <c r="J426" s="280" t="n"/>
      <c r="K426" s="332">
        <f>IFERROR(VLOOKUP(TEXT(O426,"0"),CONDUCTORES!$A$3:$G$54,7,0),"")</f>
        <v/>
      </c>
      <c r="L426" s="280" t="n"/>
      <c r="M426" s="280" t="n"/>
      <c r="N426" s="333">
        <f>IFERROR(IF(L426*M426=0,"",L426*M426),"")</f>
        <v/>
      </c>
      <c r="O426" s="280" t="n"/>
      <c r="P426" s="332">
        <f>IFERROR(VLOOKUP(TEXT(O426,"0"),CONDUCTORES!$A$3:$G$54,2,0),"")</f>
        <v/>
      </c>
      <c r="Q426" s="332">
        <f>IFERROR(VLOOKUP(TEXT(O426,"0"),CONDUCTORES!$A$3:$H$54,6,0),"")</f>
        <v/>
      </c>
      <c r="R426" s="280" t="n"/>
      <c r="S426" s="280" t="n"/>
      <c r="T426" s="280" t="n"/>
      <c r="U426" s="280" t="n"/>
      <c r="V426" s="280" t="n"/>
      <c r="W426" s="280" t="n"/>
      <c r="X426" s="280" t="n"/>
      <c r="Y426" s="280" t="n"/>
    </row>
    <row r="427" ht="15" customHeight="1" s="195">
      <c r="A427" s="334" t="n"/>
      <c r="B427" s="334" t="n"/>
      <c r="C427" s="334" t="n"/>
      <c r="D427" s="334" t="n"/>
      <c r="E427" s="334" t="n"/>
      <c r="F427" s="334" t="n"/>
      <c r="G427" s="334" t="n"/>
      <c r="H427" s="334" t="n"/>
      <c r="I427" s="332">
        <f>IFERROR(VLOOKUP(TEXT(H427,"0"),IPRESS!$A$3:$B$212,2,0),"")</f>
        <v/>
      </c>
      <c r="J427" s="334" t="n"/>
      <c r="K427" s="332">
        <f>IFERROR(VLOOKUP(TEXT(O427,"0"),CONDUCTORES!$A$3:$G$54,7,0),"")</f>
        <v/>
      </c>
      <c r="L427" s="334" t="n"/>
      <c r="M427" s="334" t="n"/>
      <c r="N427" s="333">
        <f>IFERROR(IF(L427*M427=0,"",L427*M427),"")</f>
        <v/>
      </c>
      <c r="O427" s="334" t="n"/>
      <c r="P427" s="332">
        <f>IFERROR(VLOOKUP(TEXT(O427,"0"),CONDUCTORES!$A$3:$G$54,2,0),"")</f>
        <v/>
      </c>
      <c r="Q427" s="332">
        <f>IFERROR(VLOOKUP(TEXT(O427,"0"),CONDUCTORES!$A$3:$H$54,6,0),"")</f>
        <v/>
      </c>
      <c r="R427" s="334" t="n"/>
      <c r="S427" s="334" t="n"/>
      <c r="T427" s="334" t="n"/>
      <c r="U427" s="334" t="n"/>
      <c r="V427" s="334" t="n"/>
      <c r="W427" s="334" t="n"/>
      <c r="X427" s="334" t="n"/>
      <c r="Y427" s="334" t="n"/>
    </row>
    <row r="428" ht="15" customHeight="1" s="195">
      <c r="A428" s="280" t="n"/>
      <c r="B428" s="280" t="n"/>
      <c r="C428" s="280" t="n"/>
      <c r="D428" s="280" t="n"/>
      <c r="E428" s="280" t="n"/>
      <c r="F428" s="280" t="n"/>
      <c r="G428" s="280" t="n"/>
      <c r="H428" s="280" t="n"/>
      <c r="I428" s="332">
        <f>IFERROR(VLOOKUP(TEXT(H428,"0"),IPRESS!$A$3:$B$212,2,0),"")</f>
        <v/>
      </c>
      <c r="J428" s="280" t="n"/>
      <c r="K428" s="332">
        <f>IFERROR(VLOOKUP(TEXT(O428,"0"),CONDUCTORES!$A$3:$G$54,7,0),"")</f>
        <v/>
      </c>
      <c r="L428" s="280" t="n"/>
      <c r="M428" s="280" t="n"/>
      <c r="N428" s="333">
        <f>IFERROR(IF(L428*M428=0,"",L428*M428),"")</f>
        <v/>
      </c>
      <c r="O428" s="280" t="n"/>
      <c r="P428" s="332">
        <f>IFERROR(VLOOKUP(TEXT(O428,"0"),CONDUCTORES!$A$3:$G$54,2,0),"")</f>
        <v/>
      </c>
      <c r="Q428" s="332">
        <f>IFERROR(VLOOKUP(TEXT(O428,"0"),CONDUCTORES!$A$3:$H$54,6,0),"")</f>
        <v/>
      </c>
      <c r="R428" s="280" t="n"/>
      <c r="S428" s="280" t="n"/>
      <c r="T428" s="280" t="n"/>
      <c r="U428" s="280" t="n"/>
      <c r="V428" s="280" t="n"/>
      <c r="W428" s="280" t="n"/>
      <c r="X428" s="280" t="n"/>
      <c r="Y428" s="280" t="n"/>
    </row>
    <row r="429" ht="15" customHeight="1" s="195">
      <c r="A429" s="334" t="n"/>
      <c r="B429" s="334" t="n"/>
      <c r="C429" s="334" t="n"/>
      <c r="D429" s="334" t="n"/>
      <c r="E429" s="334" t="n"/>
      <c r="F429" s="334" t="n"/>
      <c r="G429" s="334" t="n"/>
      <c r="H429" s="334" t="n"/>
      <c r="I429" s="332">
        <f>IFERROR(VLOOKUP(TEXT(H429,"0"),IPRESS!$A$3:$B$212,2,0),"")</f>
        <v/>
      </c>
      <c r="J429" s="334" t="n"/>
      <c r="K429" s="332">
        <f>IFERROR(VLOOKUP(TEXT(O429,"0"),CONDUCTORES!$A$3:$G$54,7,0),"")</f>
        <v/>
      </c>
      <c r="L429" s="334" t="n"/>
      <c r="M429" s="334" t="n"/>
      <c r="N429" s="333">
        <f>IFERROR(IF(L429*M429=0,"",L429*M429),"")</f>
        <v/>
      </c>
      <c r="O429" s="334" t="n"/>
      <c r="P429" s="332">
        <f>IFERROR(VLOOKUP(TEXT(O429,"0"),CONDUCTORES!$A$3:$G$54,2,0),"")</f>
        <v/>
      </c>
      <c r="Q429" s="332">
        <f>IFERROR(VLOOKUP(TEXT(O429,"0"),CONDUCTORES!$A$3:$H$54,6,0),"")</f>
        <v/>
      </c>
      <c r="R429" s="334" t="n"/>
      <c r="S429" s="334" t="n"/>
      <c r="T429" s="334" t="n"/>
      <c r="U429" s="334" t="n"/>
      <c r="V429" s="334" t="n"/>
      <c r="W429" s="334" t="n"/>
      <c r="X429" s="334" t="n"/>
      <c r="Y429" s="334" t="n"/>
    </row>
    <row r="430" ht="15" customHeight="1" s="195">
      <c r="A430" s="280" t="n"/>
      <c r="B430" s="280" t="n"/>
      <c r="C430" s="280" t="n"/>
      <c r="D430" s="280" t="n"/>
      <c r="E430" s="280" t="n"/>
      <c r="F430" s="280" t="n"/>
      <c r="G430" s="280" t="n"/>
      <c r="H430" s="280" t="n"/>
      <c r="I430" s="332">
        <f>IFERROR(VLOOKUP(TEXT(H430,"0"),IPRESS!$A$3:$B$212,2,0),"")</f>
        <v/>
      </c>
      <c r="J430" s="280" t="n"/>
      <c r="K430" s="332">
        <f>IFERROR(VLOOKUP(TEXT(O430,"0"),CONDUCTORES!$A$3:$G$54,7,0),"")</f>
        <v/>
      </c>
      <c r="L430" s="280" t="n"/>
      <c r="M430" s="280" t="n"/>
      <c r="N430" s="333">
        <f>IFERROR(IF(L430*M430=0,"",L430*M430),"")</f>
        <v/>
      </c>
      <c r="O430" s="280" t="n"/>
      <c r="P430" s="332">
        <f>IFERROR(VLOOKUP(TEXT(O430,"0"),CONDUCTORES!$A$3:$G$54,2,0),"")</f>
        <v/>
      </c>
      <c r="Q430" s="332">
        <f>IFERROR(VLOOKUP(TEXT(O430,"0"),CONDUCTORES!$A$3:$H$54,6,0),"")</f>
        <v/>
      </c>
      <c r="R430" s="280" t="n"/>
      <c r="S430" s="280" t="n"/>
      <c r="T430" s="280" t="n"/>
      <c r="U430" s="280" t="n"/>
      <c r="V430" s="280" t="n"/>
      <c r="W430" s="280" t="n"/>
      <c r="X430" s="280" t="n"/>
      <c r="Y430" s="280" t="n"/>
    </row>
    <row r="431" ht="15" customHeight="1" s="195">
      <c r="A431" s="334" t="n"/>
      <c r="B431" s="334" t="n"/>
      <c r="C431" s="334" t="n"/>
      <c r="D431" s="334" t="n"/>
      <c r="E431" s="334" t="n"/>
      <c r="F431" s="334" t="n"/>
      <c r="G431" s="334" t="n"/>
      <c r="H431" s="334" t="n"/>
      <c r="I431" s="332">
        <f>IFERROR(VLOOKUP(TEXT(H431,"0"),IPRESS!$A$3:$B$212,2,0),"")</f>
        <v/>
      </c>
      <c r="J431" s="334" t="n"/>
      <c r="K431" s="332">
        <f>IFERROR(VLOOKUP(TEXT(O431,"0"),CONDUCTORES!$A$3:$G$54,7,0),"")</f>
        <v/>
      </c>
      <c r="L431" s="334" t="n"/>
      <c r="M431" s="334" t="n"/>
      <c r="N431" s="333">
        <f>IFERROR(IF(L431*M431=0,"",L431*M431),"")</f>
        <v/>
      </c>
      <c r="O431" s="334" t="n"/>
      <c r="P431" s="332">
        <f>IFERROR(VLOOKUP(TEXT(O431,"0"),CONDUCTORES!$A$3:$G$54,2,0),"")</f>
        <v/>
      </c>
      <c r="Q431" s="332">
        <f>IFERROR(VLOOKUP(TEXT(O431,"0"),CONDUCTORES!$A$3:$H$54,6,0),"")</f>
        <v/>
      </c>
      <c r="R431" s="334" t="n"/>
      <c r="S431" s="334" t="n"/>
      <c r="T431" s="334" t="n"/>
      <c r="U431" s="334" t="n"/>
      <c r="V431" s="334" t="n"/>
      <c r="W431" s="334" t="n"/>
      <c r="X431" s="334" t="n"/>
      <c r="Y431" s="334" t="n"/>
    </row>
    <row r="432" ht="15" customHeight="1" s="195">
      <c r="A432" s="280" t="n"/>
      <c r="B432" s="280" t="n"/>
      <c r="C432" s="280" t="n"/>
      <c r="D432" s="280" t="n"/>
      <c r="E432" s="280" t="n"/>
      <c r="F432" s="280" t="n"/>
      <c r="G432" s="280" t="n"/>
      <c r="H432" s="280" t="n"/>
      <c r="I432" s="332">
        <f>IFERROR(VLOOKUP(TEXT(H432,"0"),IPRESS!$A$3:$B$212,2,0),"")</f>
        <v/>
      </c>
      <c r="J432" s="280" t="n"/>
      <c r="K432" s="332">
        <f>IFERROR(VLOOKUP(TEXT(O432,"0"),CONDUCTORES!$A$3:$G$54,7,0),"")</f>
        <v/>
      </c>
      <c r="L432" s="280" t="n"/>
      <c r="M432" s="280" t="n"/>
      <c r="N432" s="333">
        <f>IFERROR(IF(L432*M432=0,"",L432*M432),"")</f>
        <v/>
      </c>
      <c r="O432" s="280" t="n"/>
      <c r="P432" s="332">
        <f>IFERROR(VLOOKUP(TEXT(O432,"0"),CONDUCTORES!$A$3:$G$54,2,0),"")</f>
        <v/>
      </c>
      <c r="Q432" s="332">
        <f>IFERROR(VLOOKUP(TEXT(O432,"0"),CONDUCTORES!$A$3:$H$54,6,0),"")</f>
        <v/>
      </c>
      <c r="R432" s="280" t="n"/>
      <c r="S432" s="280" t="n"/>
      <c r="T432" s="280" t="n"/>
      <c r="U432" s="280" t="n"/>
      <c r="V432" s="280" t="n"/>
      <c r="W432" s="280" t="n"/>
      <c r="X432" s="280" t="n"/>
      <c r="Y432" s="280" t="n"/>
    </row>
    <row r="433" ht="15" customHeight="1" s="195">
      <c r="A433" s="334" t="n"/>
      <c r="B433" s="334" t="n"/>
      <c r="C433" s="334" t="n"/>
      <c r="D433" s="334" t="n"/>
      <c r="E433" s="334" t="n"/>
      <c r="F433" s="334" t="n"/>
      <c r="G433" s="334" t="n"/>
      <c r="H433" s="334" t="n"/>
      <c r="I433" s="332">
        <f>IFERROR(VLOOKUP(TEXT(H433,"0"),IPRESS!$A$3:$B$212,2,0),"")</f>
        <v/>
      </c>
      <c r="J433" s="334" t="n"/>
      <c r="K433" s="332">
        <f>IFERROR(VLOOKUP(TEXT(O433,"0"),CONDUCTORES!$A$3:$G$54,7,0),"")</f>
        <v/>
      </c>
      <c r="L433" s="334" t="n"/>
      <c r="M433" s="334" t="n"/>
      <c r="N433" s="333">
        <f>IFERROR(IF(L433*M433=0,"",L433*M433),"")</f>
        <v/>
      </c>
      <c r="O433" s="334" t="n"/>
      <c r="P433" s="332">
        <f>IFERROR(VLOOKUP(TEXT(O433,"0"),CONDUCTORES!$A$3:$G$54,2,0),"")</f>
        <v/>
      </c>
      <c r="Q433" s="332">
        <f>IFERROR(VLOOKUP(TEXT(O433,"0"),CONDUCTORES!$A$3:$H$54,6,0),"")</f>
        <v/>
      </c>
      <c r="R433" s="334" t="n"/>
      <c r="S433" s="334" t="n"/>
      <c r="T433" s="334" t="n"/>
      <c r="U433" s="334" t="n"/>
      <c r="V433" s="334" t="n"/>
      <c r="W433" s="334" t="n"/>
      <c r="X433" s="334" t="n"/>
      <c r="Y433" s="334" t="n"/>
    </row>
    <row r="434" ht="15" customHeight="1" s="195">
      <c r="A434" s="280" t="n"/>
      <c r="B434" s="280" t="n"/>
      <c r="C434" s="280" t="n"/>
      <c r="D434" s="280" t="n"/>
      <c r="E434" s="280" t="n"/>
      <c r="F434" s="280" t="n"/>
      <c r="G434" s="280" t="n"/>
      <c r="H434" s="280" t="n"/>
      <c r="I434" s="332">
        <f>IFERROR(VLOOKUP(TEXT(H434,"0"),IPRESS!$A$3:$B$212,2,0),"")</f>
        <v/>
      </c>
      <c r="J434" s="280" t="n"/>
      <c r="K434" s="332">
        <f>IFERROR(VLOOKUP(TEXT(O434,"0"),CONDUCTORES!$A$3:$G$54,7,0),"")</f>
        <v/>
      </c>
      <c r="L434" s="280" t="n"/>
      <c r="M434" s="280" t="n"/>
      <c r="N434" s="333">
        <f>IFERROR(IF(L434*M434=0,"",L434*M434),"")</f>
        <v/>
      </c>
      <c r="O434" s="280" t="n"/>
      <c r="P434" s="332">
        <f>IFERROR(VLOOKUP(TEXT(O434,"0"),CONDUCTORES!$A$3:$G$54,2,0),"")</f>
        <v/>
      </c>
      <c r="Q434" s="332">
        <f>IFERROR(VLOOKUP(TEXT(O434,"0"),CONDUCTORES!$A$3:$H$54,6,0),"")</f>
        <v/>
      </c>
      <c r="R434" s="280" t="n"/>
      <c r="S434" s="280" t="n"/>
      <c r="T434" s="280" t="n"/>
      <c r="U434" s="280" t="n"/>
      <c r="V434" s="280" t="n"/>
      <c r="W434" s="280" t="n"/>
      <c r="X434" s="280" t="n"/>
      <c r="Y434" s="280" t="n"/>
    </row>
    <row r="435" ht="15" customHeight="1" s="195">
      <c r="A435" s="334" t="n"/>
      <c r="B435" s="334" t="n"/>
      <c r="C435" s="334" t="n"/>
      <c r="D435" s="334" t="n"/>
      <c r="E435" s="334" t="n"/>
      <c r="F435" s="334" t="n"/>
      <c r="G435" s="334" t="n"/>
      <c r="H435" s="334" t="n"/>
      <c r="I435" s="332">
        <f>IFERROR(VLOOKUP(TEXT(H435,"0"),IPRESS!$A$3:$B$212,2,0),"")</f>
        <v/>
      </c>
      <c r="J435" s="334" t="n"/>
      <c r="K435" s="332">
        <f>IFERROR(VLOOKUP(TEXT(O435,"0"),CONDUCTORES!$A$3:$G$54,7,0),"")</f>
        <v/>
      </c>
      <c r="L435" s="334" t="n"/>
      <c r="M435" s="334" t="n"/>
      <c r="N435" s="333">
        <f>IFERROR(IF(L435*M435=0,"",L435*M435),"")</f>
        <v/>
      </c>
      <c r="O435" s="334" t="n"/>
      <c r="P435" s="332">
        <f>IFERROR(VLOOKUP(TEXT(O435,"0"),CONDUCTORES!$A$3:$G$54,2,0),"")</f>
        <v/>
      </c>
      <c r="Q435" s="332">
        <f>IFERROR(VLOOKUP(TEXT(O435,"0"),CONDUCTORES!$A$3:$H$54,6,0),"")</f>
        <v/>
      </c>
      <c r="R435" s="334" t="n"/>
      <c r="S435" s="334" t="n"/>
      <c r="T435" s="334" t="n"/>
      <c r="U435" s="334" t="n"/>
      <c r="V435" s="334" t="n"/>
      <c r="W435" s="334" t="n"/>
      <c r="X435" s="334" t="n"/>
      <c r="Y435" s="334" t="n"/>
    </row>
    <row r="436" ht="15" customHeight="1" s="195">
      <c r="A436" s="280" t="n"/>
      <c r="B436" s="280" t="n"/>
      <c r="C436" s="280" t="n"/>
      <c r="D436" s="280" t="n"/>
      <c r="E436" s="280" t="n"/>
      <c r="F436" s="280" t="n"/>
      <c r="G436" s="280" t="n"/>
      <c r="H436" s="280" t="n"/>
      <c r="I436" s="332">
        <f>IFERROR(VLOOKUP(TEXT(H436,"0"),IPRESS!$A$3:$B$212,2,0),"")</f>
        <v/>
      </c>
      <c r="J436" s="280" t="n"/>
      <c r="K436" s="332">
        <f>IFERROR(VLOOKUP(TEXT(O436,"0"),CONDUCTORES!$A$3:$G$54,7,0),"")</f>
        <v/>
      </c>
      <c r="L436" s="280" t="n"/>
      <c r="M436" s="280" t="n"/>
      <c r="N436" s="333">
        <f>IFERROR(IF(L436*M436=0,"",L436*M436),"")</f>
        <v/>
      </c>
      <c r="O436" s="280" t="n"/>
      <c r="P436" s="332">
        <f>IFERROR(VLOOKUP(TEXT(O436,"0"),CONDUCTORES!$A$3:$G$54,2,0),"")</f>
        <v/>
      </c>
      <c r="Q436" s="332">
        <f>IFERROR(VLOOKUP(TEXT(O436,"0"),CONDUCTORES!$A$3:$H$54,6,0),"")</f>
        <v/>
      </c>
      <c r="R436" s="280" t="n"/>
      <c r="S436" s="280" t="n"/>
      <c r="T436" s="280" t="n"/>
      <c r="U436" s="280" t="n"/>
      <c r="V436" s="280" t="n"/>
      <c r="W436" s="280" t="n"/>
      <c r="X436" s="280" t="n"/>
      <c r="Y436" s="280" t="n"/>
    </row>
    <row r="437" ht="15" customHeight="1" s="195">
      <c r="A437" s="334" t="n"/>
      <c r="B437" s="334" t="n"/>
      <c r="C437" s="334" t="n"/>
      <c r="D437" s="334" t="n"/>
      <c r="E437" s="334" t="n"/>
      <c r="F437" s="334" t="n"/>
      <c r="G437" s="334" t="n"/>
      <c r="H437" s="334" t="n"/>
      <c r="I437" s="332">
        <f>IFERROR(VLOOKUP(TEXT(H437,"0"),IPRESS!$A$3:$B$212,2,0),"")</f>
        <v/>
      </c>
      <c r="J437" s="334" t="n"/>
      <c r="K437" s="332">
        <f>IFERROR(VLOOKUP(TEXT(O437,"0"),CONDUCTORES!$A$3:$G$54,7,0),"")</f>
        <v/>
      </c>
      <c r="L437" s="334" t="n"/>
      <c r="M437" s="334" t="n"/>
      <c r="N437" s="333">
        <f>IFERROR(IF(L437*M437=0,"",L437*M437),"")</f>
        <v/>
      </c>
      <c r="O437" s="334" t="n"/>
      <c r="P437" s="332">
        <f>IFERROR(VLOOKUP(TEXT(O437,"0"),CONDUCTORES!$A$3:$G$54,2,0),"")</f>
        <v/>
      </c>
      <c r="Q437" s="332">
        <f>IFERROR(VLOOKUP(TEXT(O437,"0"),CONDUCTORES!$A$3:$H$54,6,0),"")</f>
        <v/>
      </c>
      <c r="R437" s="334" t="n"/>
      <c r="S437" s="334" t="n"/>
      <c r="T437" s="334" t="n"/>
      <c r="U437" s="334" t="n"/>
      <c r="V437" s="334" t="n"/>
      <c r="W437" s="334" t="n"/>
      <c r="X437" s="334" t="n"/>
      <c r="Y437" s="334" t="n"/>
    </row>
    <row r="438" ht="15" customHeight="1" s="195">
      <c r="A438" s="280" t="n"/>
      <c r="B438" s="280" t="n"/>
      <c r="C438" s="280" t="n"/>
      <c r="D438" s="280" t="n"/>
      <c r="E438" s="280" t="n"/>
      <c r="F438" s="280" t="n"/>
      <c r="G438" s="280" t="n"/>
      <c r="H438" s="280" t="n"/>
      <c r="I438" s="332">
        <f>IFERROR(VLOOKUP(TEXT(H438,"0"),IPRESS!$A$3:$B$212,2,0),"")</f>
        <v/>
      </c>
      <c r="J438" s="280" t="n"/>
      <c r="K438" s="332">
        <f>IFERROR(VLOOKUP(TEXT(O438,"0"),CONDUCTORES!$A$3:$G$54,7,0),"")</f>
        <v/>
      </c>
      <c r="L438" s="280" t="n"/>
      <c r="M438" s="280" t="n"/>
      <c r="N438" s="333">
        <f>IFERROR(IF(L438*M438=0,"",L438*M438),"")</f>
        <v/>
      </c>
      <c r="O438" s="280" t="n"/>
      <c r="P438" s="332">
        <f>IFERROR(VLOOKUP(TEXT(O438,"0"),CONDUCTORES!$A$3:$G$54,2,0),"")</f>
        <v/>
      </c>
      <c r="Q438" s="332">
        <f>IFERROR(VLOOKUP(TEXT(O438,"0"),CONDUCTORES!$A$3:$H$54,6,0),"")</f>
        <v/>
      </c>
      <c r="R438" s="280" t="n"/>
      <c r="S438" s="280" t="n"/>
      <c r="T438" s="280" t="n"/>
      <c r="U438" s="280" t="n"/>
      <c r="V438" s="280" t="n"/>
      <c r="W438" s="280" t="n"/>
      <c r="X438" s="280" t="n"/>
      <c r="Y438" s="280" t="n"/>
    </row>
    <row r="439" ht="15" customHeight="1" s="195">
      <c r="A439" s="334" t="n"/>
      <c r="B439" s="334" t="n"/>
      <c r="C439" s="334" t="n"/>
      <c r="D439" s="334" t="n"/>
      <c r="E439" s="334" t="n"/>
      <c r="F439" s="334" t="n"/>
      <c r="G439" s="334" t="n"/>
      <c r="H439" s="334" t="n"/>
      <c r="I439" s="332">
        <f>IFERROR(VLOOKUP(TEXT(H439,"0"),IPRESS!$A$3:$B$212,2,0),"")</f>
        <v/>
      </c>
      <c r="J439" s="334" t="n"/>
      <c r="K439" s="332">
        <f>IFERROR(VLOOKUP(TEXT(O439,"0"),CONDUCTORES!$A$3:$G$54,7,0),"")</f>
        <v/>
      </c>
      <c r="L439" s="334" t="n"/>
      <c r="M439" s="334" t="n"/>
      <c r="N439" s="333">
        <f>IFERROR(IF(L439*M439=0,"",L439*M439),"")</f>
        <v/>
      </c>
      <c r="O439" s="334" t="n"/>
      <c r="P439" s="332">
        <f>IFERROR(VLOOKUP(TEXT(O439,"0"),CONDUCTORES!$A$3:$G$54,2,0),"")</f>
        <v/>
      </c>
      <c r="Q439" s="332">
        <f>IFERROR(VLOOKUP(TEXT(O439,"0"),CONDUCTORES!$A$3:$H$54,6,0),"")</f>
        <v/>
      </c>
      <c r="R439" s="334" t="n"/>
      <c r="S439" s="334" t="n"/>
      <c r="T439" s="334" t="n"/>
      <c r="U439" s="334" t="n"/>
      <c r="V439" s="334" t="n"/>
      <c r="W439" s="334" t="n"/>
      <c r="X439" s="334" t="n"/>
      <c r="Y439" s="334" t="n"/>
    </row>
    <row r="440" ht="15" customHeight="1" s="195">
      <c r="A440" s="280" t="n"/>
      <c r="B440" s="280" t="n"/>
      <c r="C440" s="280" t="n"/>
      <c r="D440" s="280" t="n"/>
      <c r="E440" s="280" t="n"/>
      <c r="F440" s="280" t="n"/>
      <c r="G440" s="280" t="n"/>
      <c r="H440" s="280" t="n"/>
      <c r="I440" s="332">
        <f>IFERROR(VLOOKUP(TEXT(H440,"0"),IPRESS!$A$3:$B$212,2,0),"")</f>
        <v/>
      </c>
      <c r="J440" s="280" t="n"/>
      <c r="K440" s="332">
        <f>IFERROR(VLOOKUP(TEXT(O440,"0"),CONDUCTORES!$A$3:$G$54,7,0),"")</f>
        <v/>
      </c>
      <c r="L440" s="280" t="n"/>
      <c r="M440" s="280" t="n"/>
      <c r="N440" s="333">
        <f>IFERROR(IF(L440*M440=0,"",L440*M440),"")</f>
        <v/>
      </c>
      <c r="O440" s="280" t="n"/>
      <c r="P440" s="332">
        <f>IFERROR(VLOOKUP(TEXT(O440,"0"),CONDUCTORES!$A$3:$G$54,2,0),"")</f>
        <v/>
      </c>
      <c r="Q440" s="332">
        <f>IFERROR(VLOOKUP(TEXT(O440,"0"),CONDUCTORES!$A$3:$H$54,6,0),"")</f>
        <v/>
      </c>
      <c r="R440" s="280" t="n"/>
      <c r="S440" s="280" t="n"/>
      <c r="T440" s="280" t="n"/>
      <c r="U440" s="280" t="n"/>
      <c r="V440" s="280" t="n"/>
      <c r="W440" s="280" t="n"/>
      <c r="X440" s="280" t="n"/>
      <c r="Y440" s="280" t="n"/>
    </row>
    <row r="441" ht="15" customHeight="1" s="195">
      <c r="A441" s="334" t="n"/>
      <c r="B441" s="334" t="n"/>
      <c r="C441" s="334" t="n"/>
      <c r="D441" s="334" t="n"/>
      <c r="E441" s="334" t="n"/>
      <c r="F441" s="334" t="n"/>
      <c r="G441" s="334" t="n"/>
      <c r="H441" s="334" t="n"/>
      <c r="I441" s="332">
        <f>IFERROR(VLOOKUP(TEXT(H441,"0"),IPRESS!$A$3:$B$212,2,0),"")</f>
        <v/>
      </c>
      <c r="J441" s="334" t="n"/>
      <c r="K441" s="332">
        <f>IFERROR(VLOOKUP(TEXT(O441,"0"),CONDUCTORES!$A$3:$G$54,7,0),"")</f>
        <v/>
      </c>
      <c r="L441" s="334" t="n"/>
      <c r="M441" s="334" t="n"/>
      <c r="N441" s="333">
        <f>IFERROR(IF(L441*M441=0,"",L441*M441),"")</f>
        <v/>
      </c>
      <c r="O441" s="334" t="n"/>
      <c r="P441" s="332">
        <f>IFERROR(VLOOKUP(TEXT(O441,"0"),CONDUCTORES!$A$3:$G$54,2,0),"")</f>
        <v/>
      </c>
      <c r="Q441" s="332">
        <f>IFERROR(VLOOKUP(TEXT(O441,"0"),CONDUCTORES!$A$3:$H$54,6,0),"")</f>
        <v/>
      </c>
      <c r="R441" s="334" t="n"/>
      <c r="S441" s="334" t="n"/>
      <c r="T441" s="334" t="n"/>
      <c r="U441" s="334" t="n"/>
      <c r="V441" s="334" t="n"/>
      <c r="W441" s="334" t="n"/>
      <c r="X441" s="334" t="n"/>
      <c r="Y441" s="334" t="n"/>
    </row>
    <row r="442" ht="15" customHeight="1" s="195">
      <c r="A442" s="280" t="n"/>
      <c r="B442" s="280" t="n"/>
      <c r="C442" s="280" t="n"/>
      <c r="D442" s="280" t="n"/>
      <c r="E442" s="280" t="n"/>
      <c r="F442" s="280" t="n"/>
      <c r="G442" s="280" t="n"/>
      <c r="H442" s="280" t="n"/>
      <c r="I442" s="332">
        <f>IFERROR(VLOOKUP(TEXT(H442,"0"),IPRESS!$A$3:$B$212,2,0),"")</f>
        <v/>
      </c>
      <c r="J442" s="280" t="n"/>
      <c r="K442" s="332">
        <f>IFERROR(VLOOKUP(TEXT(O442,"0"),CONDUCTORES!$A$3:$G$54,7,0),"")</f>
        <v/>
      </c>
      <c r="L442" s="280" t="n"/>
      <c r="M442" s="280" t="n"/>
      <c r="N442" s="333">
        <f>IFERROR(IF(L442*M442=0,"",L442*M442),"")</f>
        <v/>
      </c>
      <c r="O442" s="280" t="n"/>
      <c r="P442" s="332">
        <f>IFERROR(VLOOKUP(TEXT(O442,"0"),CONDUCTORES!$A$3:$G$54,2,0),"")</f>
        <v/>
      </c>
      <c r="Q442" s="332">
        <f>IFERROR(VLOOKUP(TEXT(O442,"0"),CONDUCTORES!$A$3:$H$54,6,0),"")</f>
        <v/>
      </c>
      <c r="R442" s="280" t="n"/>
      <c r="S442" s="280" t="n"/>
      <c r="T442" s="280" t="n"/>
      <c r="U442" s="280" t="n"/>
      <c r="V442" s="280" t="n"/>
      <c r="W442" s="280" t="n"/>
      <c r="X442" s="280" t="n"/>
      <c r="Y442" s="280" t="n"/>
    </row>
    <row r="443" ht="15" customHeight="1" s="195">
      <c r="A443" s="334" t="n"/>
      <c r="B443" s="334" t="n"/>
      <c r="C443" s="334" t="n"/>
      <c r="D443" s="334" t="n"/>
      <c r="E443" s="334" t="n"/>
      <c r="F443" s="334" t="n"/>
      <c r="G443" s="334" t="n"/>
      <c r="H443" s="334" t="n"/>
      <c r="I443" s="332">
        <f>IFERROR(VLOOKUP(TEXT(H443,"0"),IPRESS!$A$3:$B$212,2,0),"")</f>
        <v/>
      </c>
      <c r="J443" s="334" t="n"/>
      <c r="K443" s="332">
        <f>IFERROR(VLOOKUP(TEXT(O443,"0"),CONDUCTORES!$A$3:$G$54,7,0),"")</f>
        <v/>
      </c>
      <c r="L443" s="334" t="n"/>
      <c r="M443" s="334" t="n"/>
      <c r="N443" s="333">
        <f>IFERROR(IF(L443*M443=0,"",L443*M443),"")</f>
        <v/>
      </c>
      <c r="O443" s="334" t="n"/>
      <c r="P443" s="332">
        <f>IFERROR(VLOOKUP(TEXT(O443,"0"),CONDUCTORES!$A$3:$G$54,2,0),"")</f>
        <v/>
      </c>
      <c r="Q443" s="332">
        <f>IFERROR(VLOOKUP(TEXT(O443,"0"),CONDUCTORES!$A$3:$H$54,6,0),"")</f>
        <v/>
      </c>
      <c r="R443" s="334" t="n"/>
      <c r="S443" s="334" t="n"/>
      <c r="T443" s="334" t="n"/>
      <c r="U443" s="334" t="n"/>
      <c r="V443" s="334" t="n"/>
      <c r="W443" s="334" t="n"/>
      <c r="X443" s="334" t="n"/>
      <c r="Y443" s="334" t="n"/>
    </row>
    <row r="444" ht="15" customHeight="1" s="195">
      <c r="A444" s="280" t="n"/>
      <c r="B444" s="280" t="n"/>
      <c r="C444" s="280" t="n"/>
      <c r="D444" s="280" t="n"/>
      <c r="E444" s="280" t="n"/>
      <c r="F444" s="280" t="n"/>
      <c r="G444" s="280" t="n"/>
      <c r="H444" s="280" t="n"/>
      <c r="I444" s="332">
        <f>IFERROR(VLOOKUP(TEXT(H444,"0"),IPRESS!$A$3:$B$212,2,0),"")</f>
        <v/>
      </c>
      <c r="J444" s="280" t="n"/>
      <c r="K444" s="332">
        <f>IFERROR(VLOOKUP(TEXT(O444,"0"),CONDUCTORES!$A$3:$G$54,7,0),"")</f>
        <v/>
      </c>
      <c r="L444" s="280" t="n"/>
      <c r="M444" s="280" t="n"/>
      <c r="N444" s="333">
        <f>IFERROR(IF(L444*M444=0,"",L444*M444),"")</f>
        <v/>
      </c>
      <c r="O444" s="280" t="n"/>
      <c r="P444" s="332">
        <f>IFERROR(VLOOKUP(TEXT(O444,"0"),CONDUCTORES!$A$3:$G$54,2,0),"")</f>
        <v/>
      </c>
      <c r="Q444" s="332">
        <f>IFERROR(VLOOKUP(TEXT(O444,"0"),CONDUCTORES!$A$3:$H$54,6,0),"")</f>
        <v/>
      </c>
      <c r="R444" s="280" t="n"/>
      <c r="S444" s="280" t="n"/>
      <c r="T444" s="280" t="n"/>
      <c r="U444" s="280" t="n"/>
      <c r="V444" s="280" t="n"/>
      <c r="W444" s="280" t="n"/>
      <c r="X444" s="280" t="n"/>
      <c r="Y444" s="280" t="n"/>
    </row>
    <row r="445" ht="15" customHeight="1" s="195">
      <c r="A445" s="334" t="n"/>
      <c r="B445" s="334" t="n"/>
      <c r="C445" s="334" t="n"/>
      <c r="D445" s="334" t="n"/>
      <c r="E445" s="334" t="n"/>
      <c r="F445" s="334" t="n"/>
      <c r="G445" s="334" t="n"/>
      <c r="H445" s="334" t="n"/>
      <c r="I445" s="332">
        <f>IFERROR(VLOOKUP(TEXT(H445,"0"),IPRESS!$A$3:$B$212,2,0),"")</f>
        <v/>
      </c>
      <c r="J445" s="334" t="n"/>
      <c r="K445" s="332">
        <f>IFERROR(VLOOKUP(TEXT(O445,"0"),CONDUCTORES!$A$3:$G$54,7,0),"")</f>
        <v/>
      </c>
      <c r="L445" s="334" t="n"/>
      <c r="M445" s="334" t="n"/>
      <c r="N445" s="333">
        <f>IFERROR(IF(L445*M445=0,"",L445*M445),"")</f>
        <v/>
      </c>
      <c r="O445" s="334" t="n"/>
      <c r="P445" s="332">
        <f>IFERROR(VLOOKUP(TEXT(O445,"0"),CONDUCTORES!$A$3:$G$54,2,0),"")</f>
        <v/>
      </c>
      <c r="Q445" s="332">
        <f>IFERROR(VLOOKUP(TEXT(O445,"0"),CONDUCTORES!$A$3:$H$54,6,0),"")</f>
        <v/>
      </c>
      <c r="R445" s="334" t="n"/>
      <c r="S445" s="334" t="n"/>
      <c r="T445" s="334" t="n"/>
      <c r="U445" s="334" t="n"/>
      <c r="V445" s="334" t="n"/>
      <c r="W445" s="334" t="n"/>
      <c r="X445" s="334" t="n"/>
      <c r="Y445" s="334" t="n"/>
    </row>
    <row r="446" ht="15" customHeight="1" s="195">
      <c r="A446" s="280" t="n"/>
      <c r="B446" s="280" t="n"/>
      <c r="C446" s="280" t="n"/>
      <c r="D446" s="280" t="n"/>
      <c r="E446" s="280" t="n"/>
      <c r="F446" s="280" t="n"/>
      <c r="G446" s="280" t="n"/>
      <c r="H446" s="280" t="n"/>
      <c r="I446" s="332">
        <f>IFERROR(VLOOKUP(TEXT(H446,"0"),IPRESS!$A$3:$B$212,2,0),"")</f>
        <v/>
      </c>
      <c r="J446" s="280" t="n"/>
      <c r="K446" s="332">
        <f>IFERROR(VLOOKUP(TEXT(O446,"0"),CONDUCTORES!$A$3:$G$54,7,0),"")</f>
        <v/>
      </c>
      <c r="L446" s="280" t="n"/>
      <c r="M446" s="280" t="n"/>
      <c r="N446" s="333">
        <f>IFERROR(IF(L446*M446=0,"",L446*M446),"")</f>
        <v/>
      </c>
      <c r="O446" s="280" t="n"/>
      <c r="P446" s="332">
        <f>IFERROR(VLOOKUP(TEXT(O446,"0"),CONDUCTORES!$A$3:$G$54,2,0),"")</f>
        <v/>
      </c>
      <c r="Q446" s="332">
        <f>IFERROR(VLOOKUP(TEXT(O446,"0"),CONDUCTORES!$A$3:$H$54,6,0),"")</f>
        <v/>
      </c>
      <c r="R446" s="280" t="n"/>
      <c r="S446" s="280" t="n"/>
      <c r="T446" s="280" t="n"/>
      <c r="U446" s="280" t="n"/>
      <c r="V446" s="280" t="n"/>
      <c r="W446" s="280" t="n"/>
      <c r="X446" s="280" t="n"/>
      <c r="Y446" s="280" t="n"/>
    </row>
    <row r="447" ht="15" customHeight="1" s="195">
      <c r="A447" s="334" t="n"/>
      <c r="B447" s="334" t="n"/>
      <c r="C447" s="334" t="n"/>
      <c r="D447" s="334" t="n"/>
      <c r="E447" s="334" t="n"/>
      <c r="F447" s="334" t="n"/>
      <c r="G447" s="334" t="n"/>
      <c r="H447" s="334" t="n"/>
      <c r="I447" s="332">
        <f>IFERROR(VLOOKUP(TEXT(H447,"0"),IPRESS!$A$3:$B$212,2,0),"")</f>
        <v/>
      </c>
      <c r="J447" s="334" t="n"/>
      <c r="K447" s="332">
        <f>IFERROR(VLOOKUP(TEXT(O447,"0"),CONDUCTORES!$A$3:$G$54,7,0),"")</f>
        <v/>
      </c>
      <c r="L447" s="334" t="n"/>
      <c r="M447" s="334" t="n"/>
      <c r="N447" s="333">
        <f>IFERROR(IF(L447*M447=0,"",L447*M447),"")</f>
        <v/>
      </c>
      <c r="O447" s="334" t="n"/>
      <c r="P447" s="332">
        <f>IFERROR(VLOOKUP(TEXT(O447,"0"),CONDUCTORES!$A$3:$G$54,2,0),"")</f>
        <v/>
      </c>
      <c r="Q447" s="332">
        <f>IFERROR(VLOOKUP(TEXT(O447,"0"),CONDUCTORES!$A$3:$H$54,6,0),"")</f>
        <v/>
      </c>
      <c r="R447" s="334" t="n"/>
      <c r="S447" s="334" t="n"/>
      <c r="T447" s="334" t="n"/>
      <c r="U447" s="334" t="n"/>
      <c r="V447" s="334" t="n"/>
      <c r="W447" s="334" t="n"/>
      <c r="X447" s="334" t="n"/>
      <c r="Y447" s="334" t="n"/>
    </row>
    <row r="448" ht="15" customHeight="1" s="195">
      <c r="A448" s="280" t="n"/>
      <c r="B448" s="280" t="n"/>
      <c r="C448" s="280" t="n"/>
      <c r="D448" s="280" t="n"/>
      <c r="E448" s="280" t="n"/>
      <c r="F448" s="280" t="n"/>
      <c r="G448" s="280" t="n"/>
      <c r="H448" s="280" t="n"/>
      <c r="I448" s="332">
        <f>IFERROR(VLOOKUP(TEXT(H448,"0"),IPRESS!$A$3:$B$212,2,0),"")</f>
        <v/>
      </c>
      <c r="J448" s="280" t="n"/>
      <c r="K448" s="332">
        <f>IFERROR(VLOOKUP(TEXT(O448,"0"),CONDUCTORES!$A$3:$G$54,7,0),"")</f>
        <v/>
      </c>
      <c r="L448" s="280" t="n"/>
      <c r="M448" s="280" t="n"/>
      <c r="N448" s="333">
        <f>IFERROR(IF(L448*M448=0,"",L448*M448),"")</f>
        <v/>
      </c>
      <c r="O448" s="280" t="n"/>
      <c r="P448" s="332">
        <f>IFERROR(VLOOKUP(TEXT(O448,"0"),CONDUCTORES!$A$3:$G$54,2,0),"")</f>
        <v/>
      </c>
      <c r="Q448" s="332">
        <f>IFERROR(VLOOKUP(TEXT(O448,"0"),CONDUCTORES!$A$3:$H$54,6,0),"")</f>
        <v/>
      </c>
      <c r="R448" s="280" t="n"/>
      <c r="S448" s="280" t="n"/>
      <c r="T448" s="280" t="n"/>
      <c r="U448" s="280" t="n"/>
      <c r="V448" s="280" t="n"/>
      <c r="W448" s="280" t="n"/>
      <c r="X448" s="280" t="n"/>
      <c r="Y448" s="280" t="n"/>
    </row>
    <row r="449" ht="15" customHeight="1" s="195">
      <c r="A449" s="334" t="n"/>
      <c r="B449" s="334" t="n"/>
      <c r="C449" s="334" t="n"/>
      <c r="D449" s="334" t="n"/>
      <c r="E449" s="334" t="n"/>
      <c r="F449" s="334" t="n"/>
      <c r="G449" s="334" t="n"/>
      <c r="H449" s="334" t="n"/>
      <c r="I449" s="332">
        <f>IFERROR(VLOOKUP(TEXT(H449,"0"),IPRESS!$A$3:$B$212,2,0),"")</f>
        <v/>
      </c>
      <c r="J449" s="334" t="n"/>
      <c r="K449" s="332">
        <f>IFERROR(VLOOKUP(TEXT(O449,"0"),CONDUCTORES!$A$3:$G$54,7,0),"")</f>
        <v/>
      </c>
      <c r="L449" s="334" t="n"/>
      <c r="M449" s="334" t="n"/>
      <c r="N449" s="333">
        <f>IFERROR(IF(L449*M449=0,"",L449*M449),"")</f>
        <v/>
      </c>
      <c r="O449" s="334" t="n"/>
      <c r="P449" s="332">
        <f>IFERROR(VLOOKUP(TEXT(O449,"0"),CONDUCTORES!$A$3:$G$54,2,0),"")</f>
        <v/>
      </c>
      <c r="Q449" s="332">
        <f>IFERROR(VLOOKUP(TEXT(O449,"0"),CONDUCTORES!$A$3:$H$54,6,0),"")</f>
        <v/>
      </c>
      <c r="R449" s="334" t="n"/>
      <c r="S449" s="334" t="n"/>
      <c r="T449" s="334" t="n"/>
      <c r="U449" s="334" t="n"/>
      <c r="V449" s="334" t="n"/>
      <c r="W449" s="334" t="n"/>
      <c r="X449" s="334" t="n"/>
      <c r="Y449" s="334" t="n"/>
    </row>
    <row r="450" ht="15" customHeight="1" s="195">
      <c r="A450" s="280" t="n"/>
      <c r="B450" s="280" t="n"/>
      <c r="C450" s="280" t="n"/>
      <c r="D450" s="280" t="n"/>
      <c r="E450" s="280" t="n"/>
      <c r="F450" s="280" t="n"/>
      <c r="G450" s="280" t="n"/>
      <c r="H450" s="280" t="n"/>
      <c r="I450" s="332">
        <f>IFERROR(VLOOKUP(TEXT(H450,"0"),IPRESS!$A$3:$B$212,2,0),"")</f>
        <v/>
      </c>
      <c r="J450" s="280" t="n"/>
      <c r="K450" s="332">
        <f>IFERROR(VLOOKUP(TEXT(O450,"0"),CONDUCTORES!$A$3:$G$54,7,0),"")</f>
        <v/>
      </c>
      <c r="L450" s="280" t="n"/>
      <c r="M450" s="280" t="n"/>
      <c r="N450" s="333">
        <f>IFERROR(IF(L450*M450=0,"",L450*M450),"")</f>
        <v/>
      </c>
      <c r="O450" s="280" t="n"/>
      <c r="P450" s="332">
        <f>IFERROR(VLOOKUP(TEXT(O450,"0"),CONDUCTORES!$A$3:$G$54,2,0),"")</f>
        <v/>
      </c>
      <c r="Q450" s="332">
        <f>IFERROR(VLOOKUP(TEXT(O450,"0"),CONDUCTORES!$A$3:$H$54,6,0),"")</f>
        <v/>
      </c>
      <c r="R450" s="280" t="n"/>
      <c r="S450" s="280" t="n"/>
      <c r="T450" s="280" t="n"/>
      <c r="U450" s="280" t="n"/>
      <c r="V450" s="280" t="n"/>
      <c r="W450" s="280" t="n"/>
      <c r="X450" s="280" t="n"/>
      <c r="Y450" s="280" t="n"/>
    </row>
    <row r="451" ht="15" customHeight="1" s="195">
      <c r="A451" s="334" t="n"/>
      <c r="B451" s="334" t="n"/>
      <c r="C451" s="334" t="n"/>
      <c r="D451" s="334" t="n"/>
      <c r="E451" s="334" t="n"/>
      <c r="F451" s="334" t="n"/>
      <c r="G451" s="334" t="n"/>
      <c r="H451" s="334" t="n"/>
      <c r="I451" s="332">
        <f>IFERROR(VLOOKUP(TEXT(H451,"0"),IPRESS!$A$3:$B$212,2,0),"")</f>
        <v/>
      </c>
      <c r="J451" s="334" t="n"/>
      <c r="K451" s="332">
        <f>IFERROR(VLOOKUP(TEXT(O451,"0"),CONDUCTORES!$A$3:$G$54,7,0),"")</f>
        <v/>
      </c>
      <c r="L451" s="334" t="n"/>
      <c r="M451" s="334" t="n"/>
      <c r="N451" s="333">
        <f>IFERROR(IF(L451*M451=0,"",L451*M451),"")</f>
        <v/>
      </c>
      <c r="O451" s="334" t="n"/>
      <c r="P451" s="332">
        <f>IFERROR(VLOOKUP(TEXT(O451,"0"),CONDUCTORES!$A$3:$G$54,2,0),"")</f>
        <v/>
      </c>
      <c r="Q451" s="332">
        <f>IFERROR(VLOOKUP(TEXT(O451,"0"),CONDUCTORES!$A$3:$H$54,6,0),"")</f>
        <v/>
      </c>
      <c r="R451" s="334" t="n"/>
      <c r="S451" s="334" t="n"/>
      <c r="T451" s="334" t="n"/>
      <c r="U451" s="334" t="n"/>
      <c r="V451" s="334" t="n"/>
      <c r="W451" s="334" t="n"/>
      <c r="X451" s="334" t="n"/>
      <c r="Y451" s="334" t="n"/>
    </row>
    <row r="452" ht="15" customHeight="1" s="195">
      <c r="A452" s="280" t="n"/>
      <c r="B452" s="280" t="n"/>
      <c r="C452" s="280" t="n"/>
      <c r="D452" s="280" t="n"/>
      <c r="E452" s="280" t="n"/>
      <c r="F452" s="280" t="n"/>
      <c r="G452" s="280" t="n"/>
      <c r="H452" s="280" t="n"/>
      <c r="I452" s="332">
        <f>IFERROR(VLOOKUP(TEXT(H452,"0"),IPRESS!$A$3:$B$212,2,0),"")</f>
        <v/>
      </c>
      <c r="J452" s="280" t="n"/>
      <c r="K452" s="332">
        <f>IFERROR(VLOOKUP(TEXT(O452,"0"),CONDUCTORES!$A$3:$G$54,7,0),"")</f>
        <v/>
      </c>
      <c r="L452" s="280" t="n"/>
      <c r="M452" s="280" t="n"/>
      <c r="N452" s="333">
        <f>IFERROR(IF(L452*M452=0,"",L452*M452),"")</f>
        <v/>
      </c>
      <c r="O452" s="280" t="n"/>
      <c r="P452" s="332">
        <f>IFERROR(VLOOKUP(TEXT(O452,"0"),CONDUCTORES!$A$3:$G$54,2,0),"")</f>
        <v/>
      </c>
      <c r="Q452" s="332">
        <f>IFERROR(VLOOKUP(TEXT(O452,"0"),CONDUCTORES!$A$3:$H$54,6,0),"")</f>
        <v/>
      </c>
      <c r="R452" s="280" t="n"/>
      <c r="S452" s="280" t="n"/>
      <c r="T452" s="280" t="n"/>
      <c r="U452" s="280" t="n"/>
      <c r="V452" s="280" t="n"/>
      <c r="W452" s="280" t="n"/>
      <c r="X452" s="280" t="n"/>
      <c r="Y452" s="280" t="n"/>
    </row>
    <row r="453" ht="15" customHeight="1" s="195">
      <c r="A453" s="334" t="n"/>
      <c r="B453" s="334" t="n"/>
      <c r="C453" s="334" t="n"/>
      <c r="D453" s="334" t="n"/>
      <c r="E453" s="334" t="n"/>
      <c r="F453" s="334" t="n"/>
      <c r="G453" s="334" t="n"/>
      <c r="H453" s="334" t="n"/>
      <c r="I453" s="332">
        <f>IFERROR(VLOOKUP(TEXT(H453,"0"),IPRESS!$A$3:$B$212,2,0),"")</f>
        <v/>
      </c>
      <c r="J453" s="334" t="n"/>
      <c r="K453" s="332">
        <f>IFERROR(VLOOKUP(TEXT(O453,"0"),CONDUCTORES!$A$3:$G$54,7,0),"")</f>
        <v/>
      </c>
      <c r="L453" s="334" t="n"/>
      <c r="M453" s="334" t="n"/>
      <c r="N453" s="333">
        <f>IFERROR(IF(L453*M453=0,"",L453*M453),"")</f>
        <v/>
      </c>
      <c r="O453" s="334" t="n"/>
      <c r="P453" s="332">
        <f>IFERROR(VLOOKUP(TEXT(O453,"0"),CONDUCTORES!$A$3:$G$54,2,0),"")</f>
        <v/>
      </c>
      <c r="Q453" s="332">
        <f>IFERROR(VLOOKUP(TEXT(O453,"0"),CONDUCTORES!$A$3:$H$54,6,0),"")</f>
        <v/>
      </c>
      <c r="R453" s="334" t="n"/>
      <c r="S453" s="334" t="n"/>
      <c r="T453" s="334" t="n"/>
      <c r="U453" s="334" t="n"/>
      <c r="V453" s="334" t="n"/>
      <c r="W453" s="334" t="n"/>
      <c r="X453" s="334" t="n"/>
      <c r="Y453" s="334" t="n"/>
    </row>
    <row r="454" ht="15" customHeight="1" s="195">
      <c r="A454" s="280" t="n"/>
      <c r="B454" s="280" t="n"/>
      <c r="C454" s="280" t="n"/>
      <c r="D454" s="280" t="n"/>
      <c r="E454" s="280" t="n"/>
      <c r="F454" s="280" t="n"/>
      <c r="G454" s="280" t="n"/>
      <c r="H454" s="280" t="n"/>
      <c r="I454" s="332">
        <f>IFERROR(VLOOKUP(TEXT(H454,"0"),IPRESS!$A$3:$B$212,2,0),"")</f>
        <v/>
      </c>
      <c r="J454" s="280" t="n"/>
      <c r="K454" s="332">
        <f>IFERROR(VLOOKUP(TEXT(O454,"0"),CONDUCTORES!$A$3:$G$54,7,0),"")</f>
        <v/>
      </c>
      <c r="L454" s="280" t="n"/>
      <c r="M454" s="280" t="n"/>
      <c r="N454" s="333">
        <f>IFERROR(IF(L454*M454=0,"",L454*M454),"")</f>
        <v/>
      </c>
      <c r="O454" s="280" t="n"/>
      <c r="P454" s="332">
        <f>IFERROR(VLOOKUP(TEXT(O454,"0"),CONDUCTORES!$A$3:$G$54,2,0),"")</f>
        <v/>
      </c>
      <c r="Q454" s="332">
        <f>IFERROR(VLOOKUP(TEXT(O454,"0"),CONDUCTORES!$A$3:$H$54,6,0),"")</f>
        <v/>
      </c>
      <c r="R454" s="280" t="n"/>
      <c r="S454" s="280" t="n"/>
      <c r="T454" s="280" t="n"/>
      <c r="U454" s="280" t="n"/>
      <c r="V454" s="280" t="n"/>
      <c r="W454" s="280" t="n"/>
      <c r="X454" s="280" t="n"/>
      <c r="Y454" s="280" t="n"/>
    </row>
    <row r="455" ht="15" customHeight="1" s="195">
      <c r="A455" s="334" t="n"/>
      <c r="B455" s="334" t="n"/>
      <c r="C455" s="334" t="n"/>
      <c r="D455" s="334" t="n"/>
      <c r="E455" s="334" t="n"/>
      <c r="F455" s="334" t="n"/>
      <c r="G455" s="334" t="n"/>
      <c r="H455" s="334" t="n"/>
      <c r="I455" s="332">
        <f>IFERROR(VLOOKUP(TEXT(H455,"0"),IPRESS!$A$3:$B$212,2,0),"")</f>
        <v/>
      </c>
      <c r="J455" s="334" t="n"/>
      <c r="K455" s="332">
        <f>IFERROR(VLOOKUP(TEXT(O455,"0"),CONDUCTORES!$A$3:$G$54,7,0),"")</f>
        <v/>
      </c>
      <c r="L455" s="334" t="n"/>
      <c r="M455" s="334" t="n"/>
      <c r="N455" s="333">
        <f>IFERROR(IF(L455*M455=0,"",L455*M455),"")</f>
        <v/>
      </c>
      <c r="O455" s="334" t="n"/>
      <c r="P455" s="332">
        <f>IFERROR(VLOOKUP(TEXT(O455,"0"),CONDUCTORES!$A$3:$G$54,2,0),"")</f>
        <v/>
      </c>
      <c r="Q455" s="332">
        <f>IFERROR(VLOOKUP(TEXT(O455,"0"),CONDUCTORES!$A$3:$H$54,6,0),"")</f>
        <v/>
      </c>
      <c r="R455" s="334" t="n"/>
      <c r="S455" s="334" t="n"/>
      <c r="T455" s="334" t="n"/>
      <c r="U455" s="334" t="n"/>
      <c r="V455" s="334" t="n"/>
      <c r="W455" s="334" t="n"/>
      <c r="X455" s="334" t="n"/>
      <c r="Y455" s="334" t="n"/>
    </row>
    <row r="456" ht="15" customHeight="1" s="195">
      <c r="A456" s="280" t="n"/>
      <c r="B456" s="280" t="n"/>
      <c r="C456" s="280" t="n"/>
      <c r="D456" s="280" t="n"/>
      <c r="E456" s="280" t="n"/>
      <c r="F456" s="280" t="n"/>
      <c r="G456" s="280" t="n"/>
      <c r="H456" s="280" t="n"/>
      <c r="I456" s="332">
        <f>IFERROR(VLOOKUP(TEXT(H456,"0"),IPRESS!$A$3:$B$212,2,0),"")</f>
        <v/>
      </c>
      <c r="J456" s="280" t="n"/>
      <c r="K456" s="332">
        <f>IFERROR(VLOOKUP(TEXT(O456,"0"),CONDUCTORES!$A$3:$G$54,7,0),"")</f>
        <v/>
      </c>
      <c r="L456" s="280" t="n"/>
      <c r="M456" s="280" t="n"/>
      <c r="N456" s="333">
        <f>IFERROR(IF(L456*M456=0,"",L456*M456),"")</f>
        <v/>
      </c>
      <c r="O456" s="280" t="n"/>
      <c r="P456" s="332">
        <f>IFERROR(VLOOKUP(TEXT(O456,"0"),CONDUCTORES!$A$3:$G$54,2,0),"")</f>
        <v/>
      </c>
      <c r="Q456" s="332">
        <f>IFERROR(VLOOKUP(TEXT(O456,"0"),CONDUCTORES!$A$3:$H$54,6,0),"")</f>
        <v/>
      </c>
      <c r="R456" s="280" t="n"/>
      <c r="S456" s="280" t="n"/>
      <c r="T456" s="280" t="n"/>
      <c r="U456" s="280" t="n"/>
      <c r="V456" s="280" t="n"/>
      <c r="W456" s="280" t="n"/>
      <c r="X456" s="280" t="n"/>
      <c r="Y456" s="280" t="n"/>
    </row>
    <row r="457" ht="15" customHeight="1" s="195">
      <c r="A457" s="334" t="n"/>
      <c r="B457" s="334" t="n"/>
      <c r="C457" s="334" t="n"/>
      <c r="D457" s="334" t="n"/>
      <c r="E457" s="334" t="n"/>
      <c r="F457" s="334" t="n"/>
      <c r="G457" s="334" t="n"/>
      <c r="H457" s="334" t="n"/>
      <c r="I457" s="332">
        <f>IFERROR(VLOOKUP(TEXT(H457,"0"),IPRESS!$A$3:$B$212,2,0),"")</f>
        <v/>
      </c>
      <c r="J457" s="334" t="n"/>
      <c r="K457" s="332">
        <f>IFERROR(VLOOKUP(TEXT(O457,"0"),CONDUCTORES!$A$3:$G$54,7,0),"")</f>
        <v/>
      </c>
      <c r="L457" s="334" t="n"/>
      <c r="M457" s="334" t="n"/>
      <c r="N457" s="333">
        <f>IFERROR(IF(L457*M457=0,"",L457*M457),"")</f>
        <v/>
      </c>
      <c r="O457" s="334" t="n"/>
      <c r="P457" s="332">
        <f>IFERROR(VLOOKUP(TEXT(O457,"0"),CONDUCTORES!$A$3:$G$54,2,0),"")</f>
        <v/>
      </c>
      <c r="Q457" s="332">
        <f>IFERROR(VLOOKUP(TEXT(O457,"0"),CONDUCTORES!$A$3:$H$54,6,0),"")</f>
        <v/>
      </c>
      <c r="R457" s="334" t="n"/>
      <c r="S457" s="334" t="n"/>
      <c r="T457" s="334" t="n"/>
      <c r="U457" s="334" t="n"/>
      <c r="V457" s="334" t="n"/>
      <c r="W457" s="334" t="n"/>
      <c r="X457" s="334" t="n"/>
      <c r="Y457" s="334" t="n"/>
    </row>
    <row r="458" ht="15" customHeight="1" s="195">
      <c r="A458" s="280" t="n"/>
      <c r="B458" s="280" t="n"/>
      <c r="C458" s="280" t="n"/>
      <c r="D458" s="280" t="n"/>
      <c r="E458" s="280" t="n"/>
      <c r="F458" s="280" t="n"/>
      <c r="G458" s="280" t="n"/>
      <c r="H458" s="280" t="n"/>
      <c r="I458" s="332">
        <f>IFERROR(VLOOKUP(TEXT(H458,"0"),IPRESS!$A$3:$B$212,2,0),"")</f>
        <v/>
      </c>
      <c r="J458" s="280" t="n"/>
      <c r="K458" s="332">
        <f>IFERROR(VLOOKUP(TEXT(O458,"0"),CONDUCTORES!$A$3:$G$54,7,0),"")</f>
        <v/>
      </c>
      <c r="L458" s="280" t="n"/>
      <c r="M458" s="280" t="n"/>
      <c r="N458" s="333">
        <f>IFERROR(IF(L458*M458=0,"",L458*M458),"")</f>
        <v/>
      </c>
      <c r="O458" s="280" t="n"/>
      <c r="P458" s="332">
        <f>IFERROR(VLOOKUP(TEXT(O458,"0"),CONDUCTORES!$A$3:$G$54,2,0),"")</f>
        <v/>
      </c>
      <c r="Q458" s="332">
        <f>IFERROR(VLOOKUP(TEXT(O458,"0"),CONDUCTORES!$A$3:$H$54,6,0),"")</f>
        <v/>
      </c>
      <c r="R458" s="280" t="n"/>
      <c r="S458" s="280" t="n"/>
      <c r="T458" s="280" t="n"/>
      <c r="U458" s="280" t="n"/>
      <c r="V458" s="280" t="n"/>
      <c r="W458" s="280" t="n"/>
      <c r="X458" s="280" t="n"/>
      <c r="Y458" s="280" t="n"/>
    </row>
    <row r="459" ht="15" customHeight="1" s="195">
      <c r="A459" s="334" t="n"/>
      <c r="B459" s="334" t="n"/>
      <c r="C459" s="334" t="n"/>
      <c r="D459" s="334" t="n"/>
      <c r="E459" s="334" t="n"/>
      <c r="F459" s="334" t="n"/>
      <c r="G459" s="334" t="n"/>
      <c r="H459" s="334" t="n"/>
      <c r="I459" s="332">
        <f>IFERROR(VLOOKUP(TEXT(H459,"0"),IPRESS!$A$3:$B$212,2,0),"")</f>
        <v/>
      </c>
      <c r="J459" s="334" t="n"/>
      <c r="K459" s="332">
        <f>IFERROR(VLOOKUP(TEXT(O459,"0"),CONDUCTORES!$A$3:$G$54,7,0),"")</f>
        <v/>
      </c>
      <c r="L459" s="334" t="n"/>
      <c r="M459" s="334" t="n"/>
      <c r="N459" s="333">
        <f>IFERROR(IF(L459*M459=0,"",L459*M459),"")</f>
        <v/>
      </c>
      <c r="O459" s="334" t="n"/>
      <c r="P459" s="332">
        <f>IFERROR(VLOOKUP(TEXT(O459,"0"),CONDUCTORES!$A$3:$G$54,2,0),"")</f>
        <v/>
      </c>
      <c r="Q459" s="332">
        <f>IFERROR(VLOOKUP(TEXT(O459,"0"),CONDUCTORES!$A$3:$H$54,6,0),"")</f>
        <v/>
      </c>
      <c r="R459" s="334" t="n"/>
      <c r="S459" s="334" t="n"/>
      <c r="T459" s="334" t="n"/>
      <c r="U459" s="334" t="n"/>
      <c r="V459" s="334" t="n"/>
      <c r="W459" s="334" t="n"/>
      <c r="X459" s="334" t="n"/>
      <c r="Y459" s="334" t="n"/>
    </row>
    <row r="460" ht="15" customHeight="1" s="195">
      <c r="A460" s="280" t="n"/>
      <c r="B460" s="280" t="n"/>
      <c r="C460" s="280" t="n"/>
      <c r="D460" s="280" t="n"/>
      <c r="E460" s="280" t="n"/>
      <c r="F460" s="280" t="n"/>
      <c r="G460" s="280" t="n"/>
      <c r="H460" s="280" t="n"/>
      <c r="I460" s="332">
        <f>IFERROR(VLOOKUP(TEXT(H460,"0"),IPRESS!$A$3:$B$212,2,0),"")</f>
        <v/>
      </c>
      <c r="J460" s="280" t="n"/>
      <c r="K460" s="332">
        <f>IFERROR(VLOOKUP(TEXT(O460,"0"),CONDUCTORES!$A$3:$G$54,7,0),"")</f>
        <v/>
      </c>
      <c r="L460" s="280" t="n"/>
      <c r="M460" s="280" t="n"/>
      <c r="N460" s="333">
        <f>IFERROR(IF(L460*M460=0,"",L460*M460),"")</f>
        <v/>
      </c>
      <c r="O460" s="280" t="n"/>
      <c r="P460" s="332">
        <f>IFERROR(VLOOKUP(TEXT(O460,"0"),CONDUCTORES!$A$3:$G$54,2,0),"")</f>
        <v/>
      </c>
      <c r="Q460" s="332">
        <f>IFERROR(VLOOKUP(TEXT(O460,"0"),CONDUCTORES!$A$3:$H$54,6,0),"")</f>
        <v/>
      </c>
      <c r="R460" s="280" t="n"/>
      <c r="S460" s="280" t="n"/>
      <c r="T460" s="280" t="n"/>
      <c r="U460" s="280" t="n"/>
      <c r="V460" s="280" t="n"/>
      <c r="W460" s="280" t="n"/>
      <c r="X460" s="280" t="n"/>
      <c r="Y460" s="280" t="n"/>
    </row>
    <row r="461" ht="15" customHeight="1" s="195">
      <c r="A461" s="334" t="n"/>
      <c r="B461" s="334" t="n"/>
      <c r="C461" s="334" t="n"/>
      <c r="D461" s="334" t="n"/>
      <c r="E461" s="334" t="n"/>
      <c r="F461" s="334" t="n"/>
      <c r="G461" s="334" t="n"/>
      <c r="H461" s="334" t="n"/>
      <c r="I461" s="332">
        <f>IFERROR(VLOOKUP(TEXT(H461,"0"),IPRESS!$A$3:$B$212,2,0),"")</f>
        <v/>
      </c>
      <c r="J461" s="334" t="n"/>
      <c r="K461" s="332">
        <f>IFERROR(VLOOKUP(TEXT(O461,"0"),CONDUCTORES!$A$3:$G$54,7,0),"")</f>
        <v/>
      </c>
      <c r="L461" s="334" t="n"/>
      <c r="M461" s="334" t="n"/>
      <c r="N461" s="333">
        <f>IFERROR(IF(L461*M461=0,"",L461*M461),"")</f>
        <v/>
      </c>
      <c r="O461" s="334" t="n"/>
      <c r="P461" s="332">
        <f>IFERROR(VLOOKUP(TEXT(O461,"0"),CONDUCTORES!$A$3:$G$54,2,0),"")</f>
        <v/>
      </c>
      <c r="Q461" s="332">
        <f>IFERROR(VLOOKUP(TEXT(O461,"0"),CONDUCTORES!$A$3:$H$54,6,0),"")</f>
        <v/>
      </c>
      <c r="R461" s="334" t="n"/>
      <c r="S461" s="334" t="n"/>
      <c r="T461" s="334" t="n"/>
      <c r="U461" s="334" t="n"/>
      <c r="V461" s="334" t="n"/>
      <c r="W461" s="334" t="n"/>
      <c r="X461" s="334" t="n"/>
      <c r="Y461" s="334" t="n"/>
    </row>
    <row r="462" ht="15" customHeight="1" s="195">
      <c r="A462" s="280" t="n"/>
      <c r="B462" s="280" t="n"/>
      <c r="C462" s="280" t="n"/>
      <c r="D462" s="280" t="n"/>
      <c r="E462" s="280" t="n"/>
      <c r="F462" s="280" t="n"/>
      <c r="G462" s="280" t="n"/>
      <c r="H462" s="280" t="n"/>
      <c r="I462" s="332">
        <f>IFERROR(VLOOKUP(TEXT(H462,"0"),IPRESS!$A$3:$B$212,2,0),"")</f>
        <v/>
      </c>
      <c r="J462" s="280" t="n"/>
      <c r="K462" s="332">
        <f>IFERROR(VLOOKUP(TEXT(O462,"0"),CONDUCTORES!$A$3:$G$54,7,0),"")</f>
        <v/>
      </c>
      <c r="L462" s="280" t="n"/>
      <c r="M462" s="280" t="n"/>
      <c r="N462" s="333">
        <f>IFERROR(IF(L462*M462=0,"",L462*M462),"")</f>
        <v/>
      </c>
      <c r="O462" s="280" t="n"/>
      <c r="P462" s="332">
        <f>IFERROR(VLOOKUP(TEXT(O462,"0"),CONDUCTORES!$A$3:$G$54,2,0),"")</f>
        <v/>
      </c>
      <c r="Q462" s="332">
        <f>IFERROR(VLOOKUP(TEXT(O462,"0"),CONDUCTORES!$A$3:$H$54,6,0),"")</f>
        <v/>
      </c>
      <c r="R462" s="280" t="n"/>
      <c r="S462" s="280" t="n"/>
      <c r="T462" s="280" t="n"/>
      <c r="U462" s="280" t="n"/>
      <c r="V462" s="280" t="n"/>
      <c r="W462" s="280" t="n"/>
      <c r="X462" s="280" t="n"/>
      <c r="Y462" s="280" t="n"/>
    </row>
    <row r="463" ht="15" customHeight="1" s="195">
      <c r="A463" s="334" t="n"/>
      <c r="B463" s="334" t="n"/>
      <c r="C463" s="334" t="n"/>
      <c r="D463" s="334" t="n"/>
      <c r="E463" s="334" t="n"/>
      <c r="F463" s="334" t="n"/>
      <c r="G463" s="334" t="n"/>
      <c r="H463" s="334" t="n"/>
      <c r="I463" s="332">
        <f>IFERROR(VLOOKUP(TEXT(H463,"0"),IPRESS!$A$3:$B$212,2,0),"")</f>
        <v/>
      </c>
      <c r="J463" s="334" t="n"/>
      <c r="K463" s="332">
        <f>IFERROR(VLOOKUP(TEXT(O463,"0"),CONDUCTORES!$A$3:$G$54,7,0),"")</f>
        <v/>
      </c>
      <c r="L463" s="334" t="n"/>
      <c r="M463" s="334" t="n"/>
      <c r="N463" s="333">
        <f>IFERROR(IF(L463*M463=0,"",L463*M463),"")</f>
        <v/>
      </c>
      <c r="O463" s="334" t="n"/>
      <c r="P463" s="332">
        <f>IFERROR(VLOOKUP(TEXT(O463,"0"),CONDUCTORES!$A$3:$G$54,2,0),"")</f>
        <v/>
      </c>
      <c r="Q463" s="332">
        <f>IFERROR(VLOOKUP(TEXT(O463,"0"),CONDUCTORES!$A$3:$H$54,6,0),"")</f>
        <v/>
      </c>
      <c r="R463" s="334" t="n"/>
      <c r="S463" s="334" t="n"/>
      <c r="T463" s="334" t="n"/>
      <c r="U463" s="334" t="n"/>
      <c r="V463" s="334" t="n"/>
      <c r="W463" s="334" t="n"/>
      <c r="X463" s="334" t="n"/>
      <c r="Y463" s="334" t="n"/>
    </row>
    <row r="464" ht="15" customHeight="1" s="195">
      <c r="A464" s="280" t="n"/>
      <c r="B464" s="280" t="n"/>
      <c r="C464" s="280" t="n"/>
      <c r="D464" s="280" t="n"/>
      <c r="E464" s="280" t="n"/>
      <c r="F464" s="280" t="n"/>
      <c r="G464" s="280" t="n"/>
      <c r="H464" s="280" t="n"/>
      <c r="I464" s="332">
        <f>IFERROR(VLOOKUP(TEXT(H464,"0"),IPRESS!$A$3:$B$212,2,0),"")</f>
        <v/>
      </c>
      <c r="J464" s="280" t="n"/>
      <c r="K464" s="332">
        <f>IFERROR(VLOOKUP(TEXT(O464,"0"),CONDUCTORES!$A$3:$G$54,7,0),"")</f>
        <v/>
      </c>
      <c r="L464" s="280" t="n"/>
      <c r="M464" s="280" t="n"/>
      <c r="N464" s="333">
        <f>IFERROR(IF(L464*M464=0,"",L464*M464),"")</f>
        <v/>
      </c>
      <c r="O464" s="280" t="n"/>
      <c r="P464" s="332">
        <f>IFERROR(VLOOKUP(TEXT(O464,"0"),CONDUCTORES!$A$3:$G$54,2,0),"")</f>
        <v/>
      </c>
      <c r="Q464" s="332">
        <f>IFERROR(VLOOKUP(TEXT(O464,"0"),CONDUCTORES!$A$3:$H$54,6,0),"")</f>
        <v/>
      </c>
      <c r="R464" s="280" t="n"/>
      <c r="S464" s="280" t="n"/>
      <c r="T464" s="280" t="n"/>
      <c r="U464" s="280" t="n"/>
      <c r="V464" s="280" t="n"/>
      <c r="W464" s="280" t="n"/>
      <c r="X464" s="280" t="n"/>
      <c r="Y464" s="280" t="n"/>
    </row>
    <row r="465" ht="15" customHeight="1" s="195">
      <c r="A465" s="334" t="n"/>
      <c r="B465" s="334" t="n"/>
      <c r="C465" s="334" t="n"/>
      <c r="D465" s="334" t="n"/>
      <c r="E465" s="334" t="n"/>
      <c r="F465" s="334" t="n"/>
      <c r="G465" s="334" t="n"/>
      <c r="H465" s="334" t="n"/>
      <c r="I465" s="332">
        <f>IFERROR(VLOOKUP(TEXT(H465,"0"),IPRESS!$A$3:$B$212,2,0),"")</f>
        <v/>
      </c>
      <c r="J465" s="334" t="n"/>
      <c r="K465" s="332">
        <f>IFERROR(VLOOKUP(TEXT(O465,"0"),CONDUCTORES!$A$3:$G$54,7,0),"")</f>
        <v/>
      </c>
      <c r="L465" s="334" t="n"/>
      <c r="M465" s="334" t="n"/>
      <c r="N465" s="333">
        <f>IFERROR(IF(L465*M465=0,"",L465*M465),"")</f>
        <v/>
      </c>
      <c r="O465" s="334" t="n"/>
      <c r="P465" s="332">
        <f>IFERROR(VLOOKUP(TEXT(O465,"0"),CONDUCTORES!$A$3:$G$54,2,0),"")</f>
        <v/>
      </c>
      <c r="Q465" s="332">
        <f>IFERROR(VLOOKUP(TEXT(O465,"0"),CONDUCTORES!$A$3:$H$54,6,0),"")</f>
        <v/>
      </c>
      <c r="R465" s="334" t="n"/>
      <c r="S465" s="334" t="n"/>
      <c r="T465" s="334" t="n"/>
      <c r="U465" s="334" t="n"/>
      <c r="V465" s="334" t="n"/>
      <c r="W465" s="334" t="n"/>
      <c r="X465" s="334" t="n"/>
      <c r="Y465" s="334" t="n"/>
    </row>
    <row r="466" ht="15" customHeight="1" s="195">
      <c r="A466" s="280" t="n"/>
      <c r="B466" s="280" t="n"/>
      <c r="C466" s="280" t="n"/>
      <c r="D466" s="280" t="n"/>
      <c r="E466" s="280" t="n"/>
      <c r="F466" s="280" t="n"/>
      <c r="G466" s="280" t="n"/>
      <c r="H466" s="280" t="n"/>
      <c r="I466" s="332">
        <f>IFERROR(VLOOKUP(TEXT(H466,"0"),IPRESS!$A$3:$B$212,2,0),"")</f>
        <v/>
      </c>
      <c r="J466" s="280" t="n"/>
      <c r="K466" s="332">
        <f>IFERROR(VLOOKUP(TEXT(O466,"0"),CONDUCTORES!$A$3:$G$54,7,0),"")</f>
        <v/>
      </c>
      <c r="L466" s="280" t="n"/>
      <c r="M466" s="280" t="n"/>
      <c r="N466" s="333">
        <f>IFERROR(IF(L466*M466=0,"",L466*M466),"")</f>
        <v/>
      </c>
      <c r="O466" s="280" t="n"/>
      <c r="P466" s="332">
        <f>IFERROR(VLOOKUP(TEXT(O466,"0"),CONDUCTORES!$A$3:$G$54,2,0),"")</f>
        <v/>
      </c>
      <c r="Q466" s="332">
        <f>IFERROR(VLOOKUP(TEXT(O466,"0"),CONDUCTORES!$A$3:$H$54,6,0),"")</f>
        <v/>
      </c>
      <c r="R466" s="280" t="n"/>
      <c r="S466" s="280" t="n"/>
      <c r="T466" s="280" t="n"/>
      <c r="U466" s="280" t="n"/>
      <c r="V466" s="280" t="n"/>
      <c r="W466" s="280" t="n"/>
      <c r="X466" s="280" t="n"/>
      <c r="Y466" s="280" t="n"/>
    </row>
    <row r="467" ht="15" customHeight="1" s="195">
      <c r="A467" s="334" t="n"/>
      <c r="B467" s="334" t="n"/>
      <c r="C467" s="334" t="n"/>
      <c r="D467" s="334" t="n"/>
      <c r="E467" s="334" t="n"/>
      <c r="F467" s="334" t="n"/>
      <c r="G467" s="334" t="n"/>
      <c r="H467" s="334" t="n"/>
      <c r="I467" s="332">
        <f>IFERROR(VLOOKUP(TEXT(H467,"0"),IPRESS!$A$3:$B$212,2,0),"")</f>
        <v/>
      </c>
      <c r="J467" s="334" t="n"/>
      <c r="K467" s="332">
        <f>IFERROR(VLOOKUP(TEXT(O467,"0"),CONDUCTORES!$A$3:$G$54,7,0),"")</f>
        <v/>
      </c>
      <c r="L467" s="334" t="n"/>
      <c r="M467" s="334" t="n"/>
      <c r="N467" s="333">
        <f>IFERROR(IF(L467*M467=0,"",L467*M467),"")</f>
        <v/>
      </c>
      <c r="O467" s="334" t="n"/>
      <c r="P467" s="332">
        <f>IFERROR(VLOOKUP(TEXT(O467,"0"),CONDUCTORES!$A$3:$G$54,2,0),"")</f>
        <v/>
      </c>
      <c r="Q467" s="332">
        <f>IFERROR(VLOOKUP(TEXT(O467,"0"),CONDUCTORES!$A$3:$H$54,6,0),"")</f>
        <v/>
      </c>
      <c r="R467" s="334" t="n"/>
      <c r="S467" s="334" t="n"/>
      <c r="T467" s="334" t="n"/>
      <c r="U467" s="334" t="n"/>
      <c r="V467" s="334" t="n"/>
      <c r="W467" s="334" t="n"/>
      <c r="X467" s="334" t="n"/>
      <c r="Y467" s="334" t="n"/>
    </row>
    <row r="468" ht="15" customHeight="1" s="195">
      <c r="A468" s="280" t="n"/>
      <c r="B468" s="280" t="n"/>
      <c r="C468" s="280" t="n"/>
      <c r="D468" s="280" t="n"/>
      <c r="E468" s="280" t="n"/>
      <c r="F468" s="280" t="n"/>
      <c r="G468" s="280" t="n"/>
      <c r="H468" s="280" t="n"/>
      <c r="I468" s="332">
        <f>IFERROR(VLOOKUP(TEXT(H468,"0"),IPRESS!$A$3:$B$212,2,0),"")</f>
        <v/>
      </c>
      <c r="J468" s="280" t="n"/>
      <c r="K468" s="332">
        <f>IFERROR(VLOOKUP(TEXT(O468,"0"),CONDUCTORES!$A$3:$G$54,7,0),"")</f>
        <v/>
      </c>
      <c r="L468" s="280" t="n"/>
      <c r="M468" s="280" t="n"/>
      <c r="N468" s="333">
        <f>IFERROR(IF(L468*M468=0,"",L468*M468),"")</f>
        <v/>
      </c>
      <c r="O468" s="280" t="n"/>
      <c r="P468" s="332">
        <f>IFERROR(VLOOKUP(TEXT(O468,"0"),CONDUCTORES!$A$3:$G$54,2,0),"")</f>
        <v/>
      </c>
      <c r="Q468" s="332">
        <f>IFERROR(VLOOKUP(TEXT(O468,"0"),CONDUCTORES!$A$3:$H$54,6,0),"")</f>
        <v/>
      </c>
      <c r="R468" s="280" t="n"/>
      <c r="S468" s="280" t="n"/>
      <c r="T468" s="280" t="n"/>
      <c r="U468" s="280" t="n"/>
      <c r="V468" s="280" t="n"/>
      <c r="W468" s="280" t="n"/>
      <c r="X468" s="280" t="n"/>
      <c r="Y468" s="280" t="n"/>
    </row>
    <row r="469" ht="15" customHeight="1" s="195">
      <c r="A469" s="334" t="n"/>
      <c r="B469" s="334" t="n"/>
      <c r="C469" s="334" t="n"/>
      <c r="D469" s="334" t="n"/>
      <c r="E469" s="334" t="n"/>
      <c r="F469" s="334" t="n"/>
      <c r="G469" s="334" t="n"/>
      <c r="H469" s="334" t="n"/>
      <c r="I469" s="332">
        <f>IFERROR(VLOOKUP(TEXT(H469,"0"),IPRESS!$A$3:$B$212,2,0),"")</f>
        <v/>
      </c>
      <c r="J469" s="334" t="n"/>
      <c r="K469" s="332">
        <f>IFERROR(VLOOKUP(TEXT(O469,"0"),CONDUCTORES!$A$3:$G$54,7,0),"")</f>
        <v/>
      </c>
      <c r="L469" s="334" t="n"/>
      <c r="M469" s="334" t="n"/>
      <c r="N469" s="333">
        <f>IFERROR(IF(L469*M469=0,"",L469*M469),"")</f>
        <v/>
      </c>
      <c r="O469" s="334" t="n"/>
      <c r="P469" s="332">
        <f>IFERROR(VLOOKUP(TEXT(O469,"0"),CONDUCTORES!$A$3:$G$54,2,0),"")</f>
        <v/>
      </c>
      <c r="Q469" s="332">
        <f>IFERROR(VLOOKUP(TEXT(O469,"0"),CONDUCTORES!$A$3:$H$54,6,0),"")</f>
        <v/>
      </c>
      <c r="R469" s="334" t="n"/>
      <c r="S469" s="334" t="n"/>
      <c r="T469" s="334" t="n"/>
      <c r="U469" s="334" t="n"/>
      <c r="V469" s="334" t="n"/>
      <c r="W469" s="334" t="n"/>
      <c r="X469" s="334" t="n"/>
      <c r="Y469" s="334" t="n"/>
    </row>
    <row r="470" ht="15" customHeight="1" s="195">
      <c r="A470" s="280" t="n"/>
      <c r="B470" s="280" t="n"/>
      <c r="C470" s="280" t="n"/>
      <c r="D470" s="280" t="n"/>
      <c r="E470" s="280" t="n"/>
      <c r="F470" s="280" t="n"/>
      <c r="G470" s="280" t="n"/>
      <c r="H470" s="280" t="n"/>
      <c r="I470" s="332">
        <f>IFERROR(VLOOKUP(TEXT(H470,"0"),IPRESS!$A$3:$B$212,2,0),"")</f>
        <v/>
      </c>
      <c r="J470" s="280" t="n"/>
      <c r="K470" s="332">
        <f>IFERROR(VLOOKUP(TEXT(O470,"0"),CONDUCTORES!$A$3:$G$54,7,0),"")</f>
        <v/>
      </c>
      <c r="L470" s="280" t="n"/>
      <c r="M470" s="280" t="n"/>
      <c r="N470" s="333">
        <f>IFERROR(IF(L470*M470=0,"",L470*M470),"")</f>
        <v/>
      </c>
      <c r="O470" s="280" t="n"/>
      <c r="P470" s="332">
        <f>IFERROR(VLOOKUP(TEXT(O470,"0"),CONDUCTORES!$A$3:$G$54,2,0),"")</f>
        <v/>
      </c>
      <c r="Q470" s="332">
        <f>IFERROR(VLOOKUP(TEXT(O470,"0"),CONDUCTORES!$A$3:$H$54,6,0),"")</f>
        <v/>
      </c>
      <c r="R470" s="280" t="n"/>
      <c r="S470" s="280" t="n"/>
      <c r="T470" s="280" t="n"/>
      <c r="U470" s="280" t="n"/>
      <c r="V470" s="280" t="n"/>
      <c r="W470" s="280" t="n"/>
      <c r="X470" s="280" t="n"/>
      <c r="Y470" s="280" t="n"/>
    </row>
    <row r="471" ht="15" customHeight="1" s="195">
      <c r="A471" s="334" t="n"/>
      <c r="B471" s="334" t="n"/>
      <c r="C471" s="334" t="n"/>
      <c r="D471" s="334" t="n"/>
      <c r="E471" s="334" t="n"/>
      <c r="F471" s="334" t="n"/>
      <c r="G471" s="334" t="n"/>
      <c r="H471" s="334" t="n"/>
      <c r="I471" s="332">
        <f>IFERROR(VLOOKUP(TEXT(H471,"0"),IPRESS!$A$3:$B$212,2,0),"")</f>
        <v/>
      </c>
      <c r="J471" s="334" t="n"/>
      <c r="K471" s="332">
        <f>IFERROR(VLOOKUP(TEXT(O471,"0"),CONDUCTORES!$A$3:$G$54,7,0),"")</f>
        <v/>
      </c>
      <c r="L471" s="334" t="n"/>
      <c r="M471" s="334" t="n"/>
      <c r="N471" s="333">
        <f>IFERROR(IF(L471*M471=0,"",L471*M471),"")</f>
        <v/>
      </c>
      <c r="O471" s="334" t="n"/>
      <c r="P471" s="332">
        <f>IFERROR(VLOOKUP(TEXT(O471,"0"),CONDUCTORES!$A$3:$G$54,2,0),"")</f>
        <v/>
      </c>
      <c r="Q471" s="332">
        <f>IFERROR(VLOOKUP(TEXT(O471,"0"),CONDUCTORES!$A$3:$H$54,6,0),"")</f>
        <v/>
      </c>
      <c r="R471" s="334" t="n"/>
      <c r="S471" s="334" t="n"/>
      <c r="T471" s="334" t="n"/>
      <c r="U471" s="334" t="n"/>
      <c r="V471" s="334" t="n"/>
      <c r="W471" s="334" t="n"/>
      <c r="X471" s="334" t="n"/>
      <c r="Y471" s="334" t="n"/>
    </row>
    <row r="472" ht="15" customHeight="1" s="195">
      <c r="A472" s="280" t="n"/>
      <c r="B472" s="280" t="n"/>
      <c r="C472" s="280" t="n"/>
      <c r="D472" s="280" t="n"/>
      <c r="E472" s="280" t="n"/>
      <c r="F472" s="280" t="n"/>
      <c r="G472" s="280" t="n"/>
      <c r="H472" s="280" t="n"/>
      <c r="I472" s="332">
        <f>IFERROR(VLOOKUP(TEXT(H472,"0"),IPRESS!$A$3:$B$212,2,0),"")</f>
        <v/>
      </c>
      <c r="J472" s="280" t="n"/>
      <c r="K472" s="332">
        <f>IFERROR(VLOOKUP(TEXT(O472,"0"),CONDUCTORES!$A$3:$G$54,7,0),"")</f>
        <v/>
      </c>
      <c r="L472" s="280" t="n"/>
      <c r="M472" s="280" t="n"/>
      <c r="N472" s="333">
        <f>IFERROR(IF(L472*M472=0,"",L472*M472),"")</f>
        <v/>
      </c>
      <c r="O472" s="280" t="n"/>
      <c r="P472" s="332">
        <f>IFERROR(VLOOKUP(TEXT(O472,"0"),CONDUCTORES!$A$3:$G$54,2,0),"")</f>
        <v/>
      </c>
      <c r="Q472" s="332">
        <f>IFERROR(VLOOKUP(TEXT(O472,"0"),CONDUCTORES!$A$3:$H$54,6,0),"")</f>
        <v/>
      </c>
      <c r="R472" s="280" t="n"/>
      <c r="S472" s="280" t="n"/>
      <c r="T472" s="280" t="n"/>
      <c r="U472" s="280" t="n"/>
      <c r="V472" s="280" t="n"/>
      <c r="W472" s="280" t="n"/>
      <c r="X472" s="280" t="n"/>
      <c r="Y472" s="280" t="n"/>
    </row>
    <row r="473" ht="15" customHeight="1" s="195">
      <c r="A473" s="334" t="n"/>
      <c r="B473" s="334" t="n"/>
      <c r="C473" s="334" t="n"/>
      <c r="D473" s="334" t="n"/>
      <c r="E473" s="334" t="n"/>
      <c r="F473" s="334" t="n"/>
      <c r="G473" s="334" t="n"/>
      <c r="H473" s="334" t="n"/>
      <c r="I473" s="332">
        <f>IFERROR(VLOOKUP(TEXT(H473,"0"),IPRESS!$A$3:$B$212,2,0),"")</f>
        <v/>
      </c>
      <c r="J473" s="334" t="n"/>
      <c r="K473" s="332">
        <f>IFERROR(VLOOKUP(TEXT(O473,"0"),CONDUCTORES!$A$3:$G$54,7,0),"")</f>
        <v/>
      </c>
      <c r="L473" s="334" t="n"/>
      <c r="M473" s="334" t="n"/>
      <c r="N473" s="333">
        <f>IFERROR(IF(L473*M473=0,"",L473*M473),"")</f>
        <v/>
      </c>
      <c r="O473" s="334" t="n"/>
      <c r="P473" s="332">
        <f>IFERROR(VLOOKUP(TEXT(O473,"0"),CONDUCTORES!$A$3:$G$54,2,0),"")</f>
        <v/>
      </c>
      <c r="Q473" s="332">
        <f>IFERROR(VLOOKUP(TEXT(O473,"0"),CONDUCTORES!$A$3:$H$54,6,0),"")</f>
        <v/>
      </c>
      <c r="R473" s="334" t="n"/>
      <c r="S473" s="334" t="n"/>
      <c r="T473" s="334" t="n"/>
      <c r="U473" s="334" t="n"/>
      <c r="V473" s="334" t="n"/>
      <c r="W473" s="334" t="n"/>
      <c r="X473" s="334" t="n"/>
      <c r="Y473" s="334" t="n"/>
    </row>
    <row r="474" ht="15" customHeight="1" s="195">
      <c r="A474" s="280" t="n"/>
      <c r="B474" s="280" t="n"/>
      <c r="C474" s="280" t="n"/>
      <c r="D474" s="280" t="n"/>
      <c r="E474" s="280" t="n"/>
      <c r="F474" s="280" t="n"/>
      <c r="G474" s="280" t="n"/>
      <c r="H474" s="280" t="n"/>
      <c r="I474" s="332">
        <f>IFERROR(VLOOKUP(TEXT(H474,"0"),IPRESS!$A$3:$B$212,2,0),"")</f>
        <v/>
      </c>
      <c r="J474" s="280" t="n"/>
      <c r="K474" s="332">
        <f>IFERROR(VLOOKUP(TEXT(O474,"0"),CONDUCTORES!$A$3:$G$54,7,0),"")</f>
        <v/>
      </c>
      <c r="L474" s="280" t="n"/>
      <c r="M474" s="280" t="n"/>
      <c r="N474" s="333">
        <f>IFERROR(IF(L474*M474=0,"",L474*M474),"")</f>
        <v/>
      </c>
      <c r="O474" s="280" t="n"/>
      <c r="P474" s="332">
        <f>IFERROR(VLOOKUP(TEXT(O474,"0"),CONDUCTORES!$A$3:$G$54,2,0),"")</f>
        <v/>
      </c>
      <c r="Q474" s="332">
        <f>IFERROR(VLOOKUP(TEXT(O474,"0"),CONDUCTORES!$A$3:$H$54,6,0),"")</f>
        <v/>
      </c>
      <c r="R474" s="280" t="n"/>
      <c r="S474" s="280" t="n"/>
      <c r="T474" s="280" t="n"/>
      <c r="U474" s="280" t="n"/>
      <c r="V474" s="280" t="n"/>
      <c r="W474" s="280" t="n"/>
      <c r="X474" s="280" t="n"/>
      <c r="Y474" s="280" t="n"/>
    </row>
    <row r="475" ht="15" customHeight="1" s="195">
      <c r="A475" s="334" t="n"/>
      <c r="B475" s="334" t="n"/>
      <c r="C475" s="334" t="n"/>
      <c r="D475" s="334" t="n"/>
      <c r="E475" s="334" t="n"/>
      <c r="F475" s="334" t="n"/>
      <c r="G475" s="334" t="n"/>
      <c r="H475" s="334" t="n"/>
      <c r="I475" s="332">
        <f>IFERROR(VLOOKUP(TEXT(H475,"0"),IPRESS!$A$3:$B$212,2,0),"")</f>
        <v/>
      </c>
      <c r="J475" s="334" t="n"/>
      <c r="K475" s="332">
        <f>IFERROR(VLOOKUP(TEXT(O475,"0"),CONDUCTORES!$A$3:$G$54,7,0),"")</f>
        <v/>
      </c>
      <c r="L475" s="334" t="n"/>
      <c r="M475" s="334" t="n"/>
      <c r="N475" s="333">
        <f>IFERROR(IF(L475*M475=0,"",L475*M475),"")</f>
        <v/>
      </c>
      <c r="O475" s="334" t="n"/>
      <c r="P475" s="332">
        <f>IFERROR(VLOOKUP(TEXT(O475,"0"),CONDUCTORES!$A$3:$G$54,2,0),"")</f>
        <v/>
      </c>
      <c r="Q475" s="332">
        <f>IFERROR(VLOOKUP(TEXT(O475,"0"),CONDUCTORES!$A$3:$H$54,6,0),"")</f>
        <v/>
      </c>
      <c r="R475" s="334" t="n"/>
      <c r="S475" s="334" t="n"/>
      <c r="T475" s="334" t="n"/>
      <c r="U475" s="334" t="n"/>
      <c r="V475" s="334" t="n"/>
      <c r="W475" s="334" t="n"/>
      <c r="X475" s="334" t="n"/>
      <c r="Y475" s="334" t="n"/>
    </row>
    <row r="476" ht="15" customHeight="1" s="195">
      <c r="A476" s="280" t="n"/>
      <c r="B476" s="280" t="n"/>
      <c r="C476" s="280" t="n"/>
      <c r="D476" s="280" t="n"/>
      <c r="E476" s="280" t="n"/>
      <c r="F476" s="280" t="n"/>
      <c r="G476" s="280" t="n"/>
      <c r="H476" s="280" t="n"/>
      <c r="I476" s="332">
        <f>IFERROR(VLOOKUP(TEXT(H476,"0"),IPRESS!$A$3:$B$212,2,0),"")</f>
        <v/>
      </c>
      <c r="J476" s="280" t="n"/>
      <c r="K476" s="332">
        <f>IFERROR(VLOOKUP(TEXT(O476,"0"),CONDUCTORES!$A$3:$G$54,7,0),"")</f>
        <v/>
      </c>
      <c r="L476" s="280" t="n"/>
      <c r="M476" s="280" t="n"/>
      <c r="N476" s="333">
        <f>IFERROR(IF(L476*M476=0,"",L476*M476),"")</f>
        <v/>
      </c>
      <c r="O476" s="280" t="n"/>
      <c r="P476" s="332">
        <f>IFERROR(VLOOKUP(TEXT(O476,"0"),CONDUCTORES!$A$3:$G$54,2,0),"")</f>
        <v/>
      </c>
      <c r="Q476" s="332">
        <f>IFERROR(VLOOKUP(TEXT(O476,"0"),CONDUCTORES!$A$3:$H$54,6,0),"")</f>
        <v/>
      </c>
      <c r="R476" s="280" t="n"/>
      <c r="S476" s="280" t="n"/>
      <c r="T476" s="280" t="n"/>
      <c r="U476" s="280" t="n"/>
      <c r="V476" s="280" t="n"/>
      <c r="W476" s="280" t="n"/>
      <c r="X476" s="280" t="n"/>
      <c r="Y476" s="280" t="n"/>
    </row>
    <row r="477" ht="15" customHeight="1" s="195">
      <c r="A477" s="334" t="n"/>
      <c r="B477" s="334" t="n"/>
      <c r="C477" s="334" t="n"/>
      <c r="D477" s="334" t="n"/>
      <c r="E477" s="334" t="n"/>
      <c r="F477" s="334" t="n"/>
      <c r="G477" s="334" t="n"/>
      <c r="H477" s="334" t="n"/>
      <c r="I477" s="332">
        <f>IFERROR(VLOOKUP(TEXT(H477,"0"),IPRESS!$A$3:$B$212,2,0),"")</f>
        <v/>
      </c>
      <c r="J477" s="334" t="n"/>
      <c r="K477" s="332">
        <f>IFERROR(VLOOKUP(TEXT(O477,"0"),CONDUCTORES!$A$3:$G$54,7,0),"")</f>
        <v/>
      </c>
      <c r="L477" s="334" t="n"/>
      <c r="M477" s="334" t="n"/>
      <c r="N477" s="333">
        <f>IFERROR(IF(L477*M477=0,"",L477*M477),"")</f>
        <v/>
      </c>
      <c r="O477" s="334" t="n"/>
      <c r="P477" s="332">
        <f>IFERROR(VLOOKUP(TEXT(O477,"0"),CONDUCTORES!$A$3:$G$54,2,0),"")</f>
        <v/>
      </c>
      <c r="Q477" s="332">
        <f>IFERROR(VLOOKUP(TEXT(O477,"0"),CONDUCTORES!$A$3:$H$54,6,0),"")</f>
        <v/>
      </c>
      <c r="R477" s="334" t="n"/>
      <c r="S477" s="334" t="n"/>
      <c r="T477" s="334" t="n"/>
      <c r="U477" s="334" t="n"/>
      <c r="V477" s="334" t="n"/>
      <c r="W477" s="334" t="n"/>
      <c r="X477" s="334" t="n"/>
      <c r="Y477" s="334" t="n"/>
    </row>
    <row r="478" ht="15" customHeight="1" s="195">
      <c r="A478" s="280" t="n"/>
      <c r="B478" s="280" t="n"/>
      <c r="C478" s="280" t="n"/>
      <c r="D478" s="280" t="n"/>
      <c r="E478" s="280" t="n"/>
      <c r="F478" s="280" t="n"/>
      <c r="G478" s="280" t="n"/>
      <c r="H478" s="280" t="n"/>
      <c r="I478" s="332">
        <f>IFERROR(VLOOKUP(TEXT(H478,"0"),IPRESS!$A$3:$B$212,2,0),"")</f>
        <v/>
      </c>
      <c r="J478" s="280" t="n"/>
      <c r="K478" s="332">
        <f>IFERROR(VLOOKUP(TEXT(O478,"0"),CONDUCTORES!$A$3:$G$54,7,0),"")</f>
        <v/>
      </c>
      <c r="L478" s="280" t="n"/>
      <c r="M478" s="280" t="n"/>
      <c r="N478" s="333">
        <f>IFERROR(IF(L478*M478=0,"",L478*M478),"")</f>
        <v/>
      </c>
      <c r="O478" s="280" t="n"/>
      <c r="P478" s="332">
        <f>IFERROR(VLOOKUP(TEXT(O478,"0"),CONDUCTORES!$A$3:$G$54,2,0),"")</f>
        <v/>
      </c>
      <c r="Q478" s="332">
        <f>IFERROR(VLOOKUP(TEXT(O478,"0"),CONDUCTORES!$A$3:$H$54,6,0),"")</f>
        <v/>
      </c>
      <c r="R478" s="280" t="n"/>
      <c r="S478" s="280" t="n"/>
      <c r="T478" s="280" t="n"/>
      <c r="U478" s="280" t="n"/>
      <c r="V478" s="280" t="n"/>
      <c r="W478" s="280" t="n"/>
      <c r="X478" s="280" t="n"/>
      <c r="Y478" s="280" t="n"/>
    </row>
    <row r="479" ht="15" customHeight="1" s="195">
      <c r="A479" s="334" t="n"/>
      <c r="B479" s="334" t="n"/>
      <c r="C479" s="334" t="n"/>
      <c r="D479" s="334" t="n"/>
      <c r="E479" s="334" t="n"/>
      <c r="F479" s="334" t="n"/>
      <c r="G479" s="334" t="n"/>
      <c r="H479" s="334" t="n"/>
      <c r="I479" s="332">
        <f>IFERROR(VLOOKUP(TEXT(H479,"0"),IPRESS!$A$3:$B$212,2,0),"")</f>
        <v/>
      </c>
      <c r="J479" s="334" t="n"/>
      <c r="K479" s="332">
        <f>IFERROR(VLOOKUP(TEXT(O479,"0"),CONDUCTORES!$A$3:$G$54,7,0),"")</f>
        <v/>
      </c>
      <c r="L479" s="334" t="n"/>
      <c r="M479" s="334" t="n"/>
      <c r="N479" s="333">
        <f>IFERROR(IF(L479*M479=0,"",L479*M479),"")</f>
        <v/>
      </c>
      <c r="O479" s="334" t="n"/>
      <c r="P479" s="332">
        <f>IFERROR(VLOOKUP(TEXT(O479,"0"),CONDUCTORES!$A$3:$G$54,2,0),"")</f>
        <v/>
      </c>
      <c r="Q479" s="332">
        <f>IFERROR(VLOOKUP(TEXT(O479,"0"),CONDUCTORES!$A$3:$H$54,6,0),"")</f>
        <v/>
      </c>
      <c r="R479" s="334" t="n"/>
      <c r="S479" s="334" t="n"/>
      <c r="T479" s="334" t="n"/>
      <c r="U479" s="334" t="n"/>
      <c r="V479" s="334" t="n"/>
      <c r="W479" s="334" t="n"/>
      <c r="X479" s="334" t="n"/>
      <c r="Y479" s="334" t="n"/>
    </row>
    <row r="480" ht="15" customHeight="1" s="195">
      <c r="A480" s="280" t="n"/>
      <c r="B480" s="280" t="n"/>
      <c r="C480" s="280" t="n"/>
      <c r="D480" s="280" t="n"/>
      <c r="E480" s="280" t="n"/>
      <c r="F480" s="280" t="n"/>
      <c r="G480" s="280" t="n"/>
      <c r="H480" s="280" t="n"/>
      <c r="I480" s="332">
        <f>IFERROR(VLOOKUP(TEXT(H480,"0"),IPRESS!$A$3:$B$212,2,0),"")</f>
        <v/>
      </c>
      <c r="J480" s="280" t="n"/>
      <c r="K480" s="332">
        <f>IFERROR(VLOOKUP(TEXT(O480,"0"),CONDUCTORES!$A$3:$G$54,7,0),"")</f>
        <v/>
      </c>
      <c r="L480" s="280" t="n"/>
      <c r="M480" s="280" t="n"/>
      <c r="N480" s="333">
        <f>IFERROR(IF(L480*M480=0,"",L480*M480),"")</f>
        <v/>
      </c>
      <c r="O480" s="280" t="n"/>
      <c r="P480" s="332">
        <f>IFERROR(VLOOKUP(TEXT(O480,"0"),CONDUCTORES!$A$3:$G$54,2,0),"")</f>
        <v/>
      </c>
      <c r="Q480" s="332">
        <f>IFERROR(VLOOKUP(TEXT(O480,"0"),CONDUCTORES!$A$3:$H$54,6,0),"")</f>
        <v/>
      </c>
      <c r="R480" s="280" t="n"/>
      <c r="S480" s="280" t="n"/>
      <c r="T480" s="280" t="n"/>
      <c r="U480" s="280" t="n"/>
      <c r="V480" s="280" t="n"/>
      <c r="W480" s="280" t="n"/>
      <c r="X480" s="280" t="n"/>
      <c r="Y480" s="280" t="n"/>
    </row>
    <row r="481" ht="15" customHeight="1" s="195">
      <c r="A481" s="334" t="n"/>
      <c r="B481" s="334" t="n"/>
      <c r="C481" s="334" t="n"/>
      <c r="D481" s="334" t="n"/>
      <c r="E481" s="334" t="n"/>
      <c r="F481" s="334" t="n"/>
      <c r="G481" s="334" t="n"/>
      <c r="H481" s="334" t="n"/>
      <c r="I481" s="332">
        <f>IFERROR(VLOOKUP(TEXT(H481,"0"),IPRESS!$A$3:$B$212,2,0),"")</f>
        <v/>
      </c>
      <c r="J481" s="334" t="n"/>
      <c r="K481" s="332">
        <f>IFERROR(VLOOKUP(TEXT(O481,"0"),CONDUCTORES!$A$3:$G$54,7,0),"")</f>
        <v/>
      </c>
      <c r="L481" s="334" t="n"/>
      <c r="M481" s="334" t="n"/>
      <c r="N481" s="333">
        <f>IFERROR(IF(L481*M481=0,"",L481*M481),"")</f>
        <v/>
      </c>
      <c r="O481" s="334" t="n"/>
      <c r="P481" s="332">
        <f>IFERROR(VLOOKUP(TEXT(O481,"0"),CONDUCTORES!$A$3:$G$54,2,0),"")</f>
        <v/>
      </c>
      <c r="Q481" s="332">
        <f>IFERROR(VLOOKUP(TEXT(O481,"0"),CONDUCTORES!$A$3:$H$54,6,0),"")</f>
        <v/>
      </c>
      <c r="R481" s="334" t="n"/>
      <c r="S481" s="334" t="n"/>
      <c r="T481" s="334" t="n"/>
      <c r="U481" s="334" t="n"/>
      <c r="V481" s="334" t="n"/>
      <c r="W481" s="334" t="n"/>
      <c r="X481" s="334" t="n"/>
      <c r="Y481" s="334" t="n"/>
    </row>
    <row r="482" ht="15" customHeight="1" s="195">
      <c r="A482" s="280" t="n"/>
      <c r="B482" s="280" t="n"/>
      <c r="C482" s="280" t="n"/>
      <c r="D482" s="280" t="n"/>
      <c r="E482" s="280" t="n"/>
      <c r="F482" s="280" t="n"/>
      <c r="G482" s="280" t="n"/>
      <c r="H482" s="280" t="n"/>
      <c r="I482" s="332">
        <f>IFERROR(VLOOKUP(TEXT(H482,"0"),IPRESS!$A$3:$B$212,2,0),"")</f>
        <v/>
      </c>
      <c r="J482" s="280" t="n"/>
      <c r="K482" s="332">
        <f>IFERROR(VLOOKUP(TEXT(O482,"0"),CONDUCTORES!$A$3:$G$54,7,0),"")</f>
        <v/>
      </c>
      <c r="L482" s="280" t="n"/>
      <c r="M482" s="280" t="n"/>
      <c r="N482" s="333">
        <f>IFERROR(IF(L482*M482=0,"",L482*M482),"")</f>
        <v/>
      </c>
      <c r="O482" s="280" t="n"/>
      <c r="P482" s="332">
        <f>IFERROR(VLOOKUP(TEXT(O482,"0"),CONDUCTORES!$A$3:$G$54,2,0),"")</f>
        <v/>
      </c>
      <c r="Q482" s="332">
        <f>IFERROR(VLOOKUP(TEXT(O482,"0"),CONDUCTORES!$A$3:$H$54,6,0),"")</f>
        <v/>
      </c>
      <c r="R482" s="280" t="n"/>
      <c r="S482" s="280" t="n"/>
      <c r="T482" s="280" t="n"/>
      <c r="U482" s="280" t="n"/>
      <c r="V482" s="280" t="n"/>
      <c r="W482" s="280" t="n"/>
      <c r="X482" s="280" t="n"/>
      <c r="Y482" s="280" t="n"/>
    </row>
    <row r="483" ht="15" customHeight="1" s="195">
      <c r="A483" s="334" t="n"/>
      <c r="B483" s="334" t="n"/>
      <c r="C483" s="334" t="n"/>
      <c r="D483" s="334" t="n"/>
      <c r="E483" s="334" t="n"/>
      <c r="F483" s="334" t="n"/>
      <c r="G483" s="334" t="n"/>
      <c r="H483" s="334" t="n"/>
      <c r="I483" s="332">
        <f>IFERROR(VLOOKUP(TEXT(H483,"0"),IPRESS!$A$3:$B$212,2,0),"")</f>
        <v/>
      </c>
      <c r="J483" s="334" t="n"/>
      <c r="K483" s="332">
        <f>IFERROR(VLOOKUP(TEXT(O483,"0"),CONDUCTORES!$A$3:$G$54,7,0),"")</f>
        <v/>
      </c>
      <c r="L483" s="334" t="n"/>
      <c r="M483" s="334" t="n"/>
      <c r="N483" s="333">
        <f>IFERROR(IF(L483*M483=0,"",L483*M483),"")</f>
        <v/>
      </c>
      <c r="O483" s="334" t="n"/>
      <c r="P483" s="332">
        <f>IFERROR(VLOOKUP(TEXT(O483,"0"),CONDUCTORES!$A$3:$G$54,2,0),"")</f>
        <v/>
      </c>
      <c r="Q483" s="332">
        <f>IFERROR(VLOOKUP(TEXT(O483,"0"),CONDUCTORES!$A$3:$H$54,6,0),"")</f>
        <v/>
      </c>
      <c r="R483" s="334" t="n"/>
      <c r="S483" s="334" t="n"/>
      <c r="T483" s="334" t="n"/>
      <c r="U483" s="334" t="n"/>
      <c r="V483" s="334" t="n"/>
      <c r="W483" s="334" t="n"/>
      <c r="X483" s="334" t="n"/>
      <c r="Y483" s="334" t="n"/>
    </row>
    <row r="484" ht="15" customHeight="1" s="195">
      <c r="A484" s="280" t="n"/>
      <c r="B484" s="280" t="n"/>
      <c r="C484" s="280" t="n"/>
      <c r="D484" s="280" t="n"/>
      <c r="E484" s="280" t="n"/>
      <c r="F484" s="280" t="n"/>
      <c r="G484" s="280" t="n"/>
      <c r="H484" s="280" t="n"/>
      <c r="I484" s="332">
        <f>IFERROR(VLOOKUP(TEXT(H484,"0"),IPRESS!$A$3:$B$212,2,0),"")</f>
        <v/>
      </c>
      <c r="J484" s="280" t="n"/>
      <c r="K484" s="332">
        <f>IFERROR(VLOOKUP(TEXT(O484,"0"),CONDUCTORES!$A$3:$G$54,7,0),"")</f>
        <v/>
      </c>
      <c r="L484" s="280" t="n"/>
      <c r="M484" s="280" t="n"/>
      <c r="N484" s="333">
        <f>IFERROR(IF(L484*M484=0,"",L484*M484),"")</f>
        <v/>
      </c>
      <c r="O484" s="280" t="n"/>
      <c r="P484" s="332">
        <f>IFERROR(VLOOKUP(TEXT(O484,"0"),CONDUCTORES!$A$3:$G$54,2,0),"")</f>
        <v/>
      </c>
      <c r="Q484" s="332">
        <f>IFERROR(VLOOKUP(TEXT(O484,"0"),CONDUCTORES!$A$3:$H$54,6,0),"")</f>
        <v/>
      </c>
      <c r="R484" s="280" t="n"/>
      <c r="S484" s="280" t="n"/>
      <c r="T484" s="280" t="n"/>
      <c r="U484" s="280" t="n"/>
      <c r="V484" s="280" t="n"/>
      <c r="W484" s="280" t="n"/>
      <c r="X484" s="280" t="n"/>
      <c r="Y484" s="280" t="n"/>
    </row>
    <row r="485" ht="15" customHeight="1" s="195">
      <c r="A485" s="334" t="n"/>
      <c r="B485" s="334" t="n"/>
      <c r="C485" s="334" t="n"/>
      <c r="D485" s="334" t="n"/>
      <c r="E485" s="334" t="n"/>
      <c r="F485" s="334" t="n"/>
      <c r="G485" s="334" t="n"/>
      <c r="H485" s="334" t="n"/>
      <c r="I485" s="332">
        <f>IFERROR(VLOOKUP(TEXT(H485,"0"),IPRESS!$A$3:$B$212,2,0),"")</f>
        <v/>
      </c>
      <c r="J485" s="334" t="n"/>
      <c r="K485" s="332">
        <f>IFERROR(VLOOKUP(TEXT(O485,"0"),CONDUCTORES!$A$3:$G$54,7,0),"")</f>
        <v/>
      </c>
      <c r="L485" s="334" t="n"/>
      <c r="M485" s="334" t="n"/>
      <c r="N485" s="333">
        <f>IFERROR(IF(L485*M485=0,"",L485*M485),"")</f>
        <v/>
      </c>
      <c r="O485" s="334" t="n"/>
      <c r="P485" s="332">
        <f>IFERROR(VLOOKUP(TEXT(O485,"0"),CONDUCTORES!$A$3:$G$54,2,0),"")</f>
        <v/>
      </c>
      <c r="Q485" s="332">
        <f>IFERROR(VLOOKUP(TEXT(O485,"0"),CONDUCTORES!$A$3:$H$54,6,0),"")</f>
        <v/>
      </c>
      <c r="R485" s="334" t="n"/>
      <c r="S485" s="334" t="n"/>
      <c r="T485" s="334" t="n"/>
      <c r="U485" s="334" t="n"/>
      <c r="V485" s="334" t="n"/>
      <c r="W485" s="334" t="n"/>
      <c r="X485" s="334" t="n"/>
      <c r="Y485" s="334" t="n"/>
    </row>
    <row r="486" ht="15" customHeight="1" s="195">
      <c r="A486" s="280" t="n"/>
      <c r="B486" s="280" t="n"/>
      <c r="C486" s="280" t="n"/>
      <c r="D486" s="280" t="n"/>
      <c r="E486" s="280" t="n"/>
      <c r="F486" s="280" t="n"/>
      <c r="G486" s="280" t="n"/>
      <c r="H486" s="280" t="n"/>
      <c r="I486" s="332">
        <f>IFERROR(VLOOKUP(TEXT(H486,"0"),IPRESS!$A$3:$B$212,2,0),"")</f>
        <v/>
      </c>
      <c r="J486" s="280" t="n"/>
      <c r="K486" s="332">
        <f>IFERROR(VLOOKUP(TEXT(O486,"0"),CONDUCTORES!$A$3:$G$54,7,0),"")</f>
        <v/>
      </c>
      <c r="L486" s="280" t="n"/>
      <c r="M486" s="280" t="n"/>
      <c r="N486" s="333">
        <f>IFERROR(IF(L486*M486=0,"",L486*M486),"")</f>
        <v/>
      </c>
      <c r="O486" s="280" t="n"/>
      <c r="P486" s="332">
        <f>IFERROR(VLOOKUP(TEXT(O486,"0"),CONDUCTORES!$A$3:$G$54,2,0),"")</f>
        <v/>
      </c>
      <c r="Q486" s="332">
        <f>IFERROR(VLOOKUP(TEXT(O486,"0"),CONDUCTORES!$A$3:$H$54,6,0),"")</f>
        <v/>
      </c>
      <c r="R486" s="280" t="n"/>
      <c r="S486" s="280" t="n"/>
      <c r="T486" s="280" t="n"/>
      <c r="U486" s="280" t="n"/>
      <c r="V486" s="280" t="n"/>
      <c r="W486" s="280" t="n"/>
      <c r="X486" s="280" t="n"/>
      <c r="Y486" s="280" t="n"/>
    </row>
    <row r="487" ht="15" customHeight="1" s="195">
      <c r="A487" s="334" t="n"/>
      <c r="B487" s="334" t="n"/>
      <c r="C487" s="334" t="n"/>
      <c r="D487" s="334" t="n"/>
      <c r="E487" s="334" t="n"/>
      <c r="F487" s="334" t="n"/>
      <c r="G487" s="334" t="n"/>
      <c r="H487" s="334" t="n"/>
      <c r="I487" s="332">
        <f>IFERROR(VLOOKUP(TEXT(H487,"0"),IPRESS!$A$3:$B$212,2,0),"")</f>
        <v/>
      </c>
      <c r="J487" s="334" t="n"/>
      <c r="K487" s="332">
        <f>IFERROR(VLOOKUP(TEXT(O487,"0"),CONDUCTORES!$A$3:$G$54,7,0),"")</f>
        <v/>
      </c>
      <c r="L487" s="334" t="n"/>
      <c r="M487" s="334" t="n"/>
      <c r="N487" s="333">
        <f>IFERROR(IF(L487*M487=0,"",L487*M487),"")</f>
        <v/>
      </c>
      <c r="O487" s="334" t="n"/>
      <c r="P487" s="332">
        <f>IFERROR(VLOOKUP(TEXT(O487,"0"),CONDUCTORES!$A$3:$G$54,2,0),"")</f>
        <v/>
      </c>
      <c r="Q487" s="332">
        <f>IFERROR(VLOOKUP(TEXT(O487,"0"),CONDUCTORES!$A$3:$H$54,6,0),"")</f>
        <v/>
      </c>
      <c r="R487" s="334" t="n"/>
      <c r="S487" s="334" t="n"/>
      <c r="T487" s="334" t="n"/>
      <c r="U487" s="334" t="n"/>
      <c r="V487" s="334" t="n"/>
      <c r="W487" s="334" t="n"/>
      <c r="X487" s="334" t="n"/>
      <c r="Y487" s="334" t="n"/>
    </row>
    <row r="488" ht="15" customHeight="1" s="195">
      <c r="A488" s="280" t="n"/>
      <c r="B488" s="280" t="n"/>
      <c r="C488" s="280" t="n"/>
      <c r="D488" s="280" t="n"/>
      <c r="E488" s="280" t="n"/>
      <c r="F488" s="280" t="n"/>
      <c r="G488" s="280" t="n"/>
      <c r="H488" s="280" t="n"/>
      <c r="I488" s="332">
        <f>IFERROR(VLOOKUP(TEXT(H488,"0"),IPRESS!$A$3:$B$212,2,0),"")</f>
        <v/>
      </c>
      <c r="J488" s="280" t="n"/>
      <c r="K488" s="332">
        <f>IFERROR(VLOOKUP(TEXT(O488,"0"),CONDUCTORES!$A$3:$G$54,7,0),"")</f>
        <v/>
      </c>
      <c r="L488" s="280" t="n"/>
      <c r="M488" s="280" t="n"/>
      <c r="N488" s="333">
        <f>IFERROR(IF(L488*M488=0,"",L488*M488),"")</f>
        <v/>
      </c>
      <c r="O488" s="280" t="n"/>
      <c r="P488" s="332">
        <f>IFERROR(VLOOKUP(TEXT(O488,"0"),CONDUCTORES!$A$3:$G$54,2,0),"")</f>
        <v/>
      </c>
      <c r="Q488" s="332">
        <f>IFERROR(VLOOKUP(TEXT(O488,"0"),CONDUCTORES!$A$3:$H$54,6,0),"")</f>
        <v/>
      </c>
      <c r="R488" s="280" t="n"/>
      <c r="S488" s="280" t="n"/>
      <c r="T488" s="280" t="n"/>
      <c r="U488" s="280" t="n"/>
      <c r="V488" s="280" t="n"/>
      <c r="W488" s="280" t="n"/>
      <c r="X488" s="280" t="n"/>
      <c r="Y488" s="280" t="n"/>
    </row>
    <row r="489" ht="15" customHeight="1" s="195">
      <c r="A489" s="334" t="n"/>
      <c r="B489" s="334" t="n"/>
      <c r="C489" s="334" t="n"/>
      <c r="D489" s="334" t="n"/>
      <c r="E489" s="334" t="n"/>
      <c r="F489" s="334" t="n"/>
      <c r="G489" s="334" t="n"/>
      <c r="H489" s="334" t="n"/>
      <c r="I489" s="332">
        <f>IFERROR(VLOOKUP(TEXT(H489,"0"),IPRESS!$A$3:$B$212,2,0),"")</f>
        <v/>
      </c>
      <c r="J489" s="334" t="n"/>
      <c r="K489" s="332">
        <f>IFERROR(VLOOKUP(TEXT(O489,"0"),CONDUCTORES!$A$3:$G$54,7,0),"")</f>
        <v/>
      </c>
      <c r="L489" s="334" t="n"/>
      <c r="M489" s="334" t="n"/>
      <c r="N489" s="333">
        <f>IFERROR(IF(L489*M489=0,"",L489*M489),"")</f>
        <v/>
      </c>
      <c r="O489" s="334" t="n"/>
      <c r="P489" s="332">
        <f>IFERROR(VLOOKUP(TEXT(O489,"0"),CONDUCTORES!$A$3:$G$54,2,0),"")</f>
        <v/>
      </c>
      <c r="Q489" s="332">
        <f>IFERROR(VLOOKUP(TEXT(O489,"0"),CONDUCTORES!$A$3:$H$54,6,0),"")</f>
        <v/>
      </c>
      <c r="R489" s="334" t="n"/>
      <c r="S489" s="334" t="n"/>
      <c r="T489" s="334" t="n"/>
      <c r="U489" s="334" t="n"/>
      <c r="V489" s="334" t="n"/>
      <c r="W489" s="334" t="n"/>
      <c r="X489" s="334" t="n"/>
      <c r="Y489" s="334" t="n"/>
    </row>
    <row r="490" ht="15" customHeight="1" s="195">
      <c r="A490" s="280" t="n"/>
      <c r="B490" s="280" t="n"/>
      <c r="C490" s="280" t="n"/>
      <c r="D490" s="280" t="n"/>
      <c r="E490" s="280" t="n"/>
      <c r="F490" s="280" t="n"/>
      <c r="G490" s="280" t="n"/>
      <c r="H490" s="280" t="n"/>
      <c r="I490" s="332">
        <f>IFERROR(VLOOKUP(TEXT(H490,"0"),IPRESS!$A$3:$B$212,2,0),"")</f>
        <v/>
      </c>
      <c r="J490" s="280" t="n"/>
      <c r="K490" s="332">
        <f>IFERROR(VLOOKUP(TEXT(O490,"0"),CONDUCTORES!$A$3:$G$54,7,0),"")</f>
        <v/>
      </c>
      <c r="L490" s="280" t="n"/>
      <c r="M490" s="280" t="n"/>
      <c r="N490" s="333">
        <f>IFERROR(IF(L490*M490=0,"",L490*M490),"")</f>
        <v/>
      </c>
      <c r="O490" s="280" t="n"/>
      <c r="P490" s="332">
        <f>IFERROR(VLOOKUP(TEXT(O490,"0"),CONDUCTORES!$A$3:$G$54,2,0),"")</f>
        <v/>
      </c>
      <c r="Q490" s="332">
        <f>IFERROR(VLOOKUP(TEXT(O490,"0"),CONDUCTORES!$A$3:$H$54,6,0),"")</f>
        <v/>
      </c>
      <c r="R490" s="280" t="n"/>
      <c r="S490" s="280" t="n"/>
      <c r="T490" s="280" t="n"/>
      <c r="U490" s="280" t="n"/>
      <c r="V490" s="280" t="n"/>
      <c r="W490" s="280" t="n"/>
      <c r="X490" s="280" t="n"/>
      <c r="Y490" s="280" t="n"/>
    </row>
    <row r="491" ht="15" customHeight="1" s="195">
      <c r="A491" s="334" t="n"/>
      <c r="B491" s="334" t="n"/>
      <c r="C491" s="334" t="n"/>
      <c r="D491" s="334" t="n"/>
      <c r="E491" s="334" t="n"/>
      <c r="F491" s="334" t="n"/>
      <c r="G491" s="334" t="n"/>
      <c r="H491" s="334" t="n"/>
      <c r="I491" s="332">
        <f>IFERROR(VLOOKUP(TEXT(H491,"0"),IPRESS!$A$3:$B$212,2,0),"")</f>
        <v/>
      </c>
      <c r="J491" s="334" t="n"/>
      <c r="K491" s="332">
        <f>IFERROR(VLOOKUP(TEXT(O491,"0"),CONDUCTORES!$A$3:$G$54,7,0),"")</f>
        <v/>
      </c>
      <c r="L491" s="334" t="n"/>
      <c r="M491" s="334" t="n"/>
      <c r="N491" s="333">
        <f>IFERROR(IF(L491*M491=0,"",L491*M491),"")</f>
        <v/>
      </c>
      <c r="O491" s="334" t="n"/>
      <c r="P491" s="332">
        <f>IFERROR(VLOOKUP(TEXT(O491,"0"),CONDUCTORES!$A$3:$G$54,2,0),"")</f>
        <v/>
      </c>
      <c r="Q491" s="332">
        <f>IFERROR(VLOOKUP(TEXT(O491,"0"),CONDUCTORES!$A$3:$H$54,6,0),"")</f>
        <v/>
      </c>
      <c r="R491" s="334" t="n"/>
      <c r="S491" s="334" t="n"/>
      <c r="T491" s="334" t="n"/>
      <c r="U491" s="334" t="n"/>
      <c r="V491" s="334" t="n"/>
      <c r="W491" s="334" t="n"/>
      <c r="X491" s="334" t="n"/>
      <c r="Y491" s="334" t="n"/>
    </row>
    <row r="492" ht="15" customHeight="1" s="195">
      <c r="A492" s="280" t="n"/>
      <c r="B492" s="280" t="n"/>
      <c r="C492" s="280" t="n"/>
      <c r="D492" s="280" t="n"/>
      <c r="E492" s="280" t="n"/>
      <c r="F492" s="280" t="n"/>
      <c r="G492" s="280" t="n"/>
      <c r="H492" s="280" t="n"/>
      <c r="I492" s="332">
        <f>IFERROR(VLOOKUP(TEXT(H492,"0"),IPRESS!$A$3:$B$212,2,0),"")</f>
        <v/>
      </c>
      <c r="J492" s="280" t="n"/>
      <c r="K492" s="332">
        <f>IFERROR(VLOOKUP(TEXT(O492,"0"),CONDUCTORES!$A$3:$G$54,7,0),"")</f>
        <v/>
      </c>
      <c r="L492" s="280" t="n"/>
      <c r="M492" s="280" t="n"/>
      <c r="N492" s="333">
        <f>IFERROR(IF(L492*M492=0,"",L492*M492),"")</f>
        <v/>
      </c>
      <c r="O492" s="280" t="n"/>
      <c r="P492" s="332">
        <f>IFERROR(VLOOKUP(TEXT(O492,"0"),CONDUCTORES!$A$3:$G$54,2,0),"")</f>
        <v/>
      </c>
      <c r="Q492" s="332">
        <f>IFERROR(VLOOKUP(TEXT(O492,"0"),CONDUCTORES!$A$3:$H$54,6,0),"")</f>
        <v/>
      </c>
      <c r="R492" s="280" t="n"/>
      <c r="S492" s="280" t="n"/>
      <c r="T492" s="280" t="n"/>
      <c r="U492" s="280" t="n"/>
      <c r="V492" s="280" t="n"/>
      <c r="W492" s="280" t="n"/>
      <c r="X492" s="280" t="n"/>
      <c r="Y492" s="280" t="n"/>
    </row>
    <row r="493" ht="15" customHeight="1" s="195">
      <c r="A493" s="334" t="n"/>
      <c r="B493" s="334" t="n"/>
      <c r="C493" s="334" t="n"/>
      <c r="D493" s="334" t="n"/>
      <c r="E493" s="334" t="n"/>
      <c r="F493" s="334" t="n"/>
      <c r="G493" s="334" t="n"/>
      <c r="H493" s="334" t="n"/>
      <c r="I493" s="332">
        <f>IFERROR(VLOOKUP(TEXT(H493,"0"),IPRESS!$A$3:$B$212,2,0),"")</f>
        <v/>
      </c>
      <c r="J493" s="334" t="n"/>
      <c r="K493" s="332">
        <f>IFERROR(VLOOKUP(TEXT(O493,"0"),CONDUCTORES!$A$3:$G$54,7,0),"")</f>
        <v/>
      </c>
      <c r="L493" s="334" t="n"/>
      <c r="M493" s="334" t="n"/>
      <c r="N493" s="333">
        <f>IFERROR(IF(L493*M493=0,"",L493*M493),"")</f>
        <v/>
      </c>
      <c r="O493" s="334" t="n"/>
      <c r="P493" s="332">
        <f>IFERROR(VLOOKUP(TEXT(O493,"0"),CONDUCTORES!$A$3:$G$54,2,0),"")</f>
        <v/>
      </c>
      <c r="Q493" s="332">
        <f>IFERROR(VLOOKUP(TEXT(O493,"0"),CONDUCTORES!$A$3:$H$54,6,0),"")</f>
        <v/>
      </c>
      <c r="R493" s="334" t="n"/>
      <c r="S493" s="334" t="n"/>
      <c r="T493" s="334" t="n"/>
      <c r="U493" s="334" t="n"/>
      <c r="V493" s="334" t="n"/>
      <c r="W493" s="334" t="n"/>
      <c r="X493" s="334" t="n"/>
      <c r="Y493" s="334" t="n"/>
    </row>
    <row r="494" ht="15" customHeight="1" s="195">
      <c r="A494" s="280" t="n"/>
      <c r="B494" s="280" t="n"/>
      <c r="C494" s="280" t="n"/>
      <c r="D494" s="280" t="n"/>
      <c r="E494" s="280" t="n"/>
      <c r="F494" s="280" t="n"/>
      <c r="G494" s="280" t="n"/>
      <c r="H494" s="280" t="n"/>
      <c r="I494" s="332">
        <f>IFERROR(VLOOKUP(TEXT(H494,"0"),IPRESS!$A$3:$B$212,2,0),"")</f>
        <v/>
      </c>
      <c r="J494" s="280" t="n"/>
      <c r="K494" s="332">
        <f>IFERROR(VLOOKUP(TEXT(O494,"0"),CONDUCTORES!$A$3:$G$54,7,0),"")</f>
        <v/>
      </c>
      <c r="L494" s="280" t="n"/>
      <c r="M494" s="280" t="n"/>
      <c r="N494" s="333">
        <f>IFERROR(IF(L494*M494=0,"",L494*M494),"")</f>
        <v/>
      </c>
      <c r="O494" s="280" t="n"/>
      <c r="P494" s="332">
        <f>IFERROR(VLOOKUP(TEXT(O494,"0"),CONDUCTORES!$A$3:$G$54,2,0),"")</f>
        <v/>
      </c>
      <c r="Q494" s="332">
        <f>IFERROR(VLOOKUP(TEXT(O494,"0"),CONDUCTORES!$A$3:$H$54,6,0),"")</f>
        <v/>
      </c>
      <c r="R494" s="280" t="n"/>
      <c r="S494" s="280" t="n"/>
      <c r="T494" s="280" t="n"/>
      <c r="U494" s="280" t="n"/>
      <c r="V494" s="280" t="n"/>
      <c r="W494" s="280" t="n"/>
      <c r="X494" s="280" t="n"/>
      <c r="Y494" s="280" t="n"/>
    </row>
    <row r="495" ht="15" customHeight="1" s="195">
      <c r="A495" s="334" t="n"/>
      <c r="B495" s="334" t="n"/>
      <c r="C495" s="334" t="n"/>
      <c r="D495" s="334" t="n"/>
      <c r="E495" s="334" t="n"/>
      <c r="F495" s="334" t="n"/>
      <c r="G495" s="334" t="n"/>
      <c r="H495" s="334" t="n"/>
      <c r="I495" s="332">
        <f>IFERROR(VLOOKUP(TEXT(H495,"0"),IPRESS!$A$3:$B$212,2,0),"")</f>
        <v/>
      </c>
      <c r="J495" s="334" t="n"/>
      <c r="K495" s="332">
        <f>IFERROR(VLOOKUP(TEXT(O495,"0"),CONDUCTORES!$A$3:$G$54,7,0),"")</f>
        <v/>
      </c>
      <c r="L495" s="334" t="n"/>
      <c r="M495" s="334" t="n"/>
      <c r="N495" s="333">
        <f>IFERROR(IF(L495*M495=0,"",L495*M495),"")</f>
        <v/>
      </c>
      <c r="O495" s="334" t="n"/>
      <c r="P495" s="332">
        <f>IFERROR(VLOOKUP(TEXT(O495,"0"),CONDUCTORES!$A$3:$G$54,2,0),"")</f>
        <v/>
      </c>
      <c r="Q495" s="332">
        <f>IFERROR(VLOOKUP(TEXT(O495,"0"),CONDUCTORES!$A$3:$H$54,6,0),"")</f>
        <v/>
      </c>
      <c r="R495" s="334" t="n"/>
      <c r="S495" s="334" t="n"/>
      <c r="T495" s="334" t="n"/>
      <c r="U495" s="334" t="n"/>
      <c r="V495" s="334" t="n"/>
      <c r="W495" s="334" t="n"/>
      <c r="X495" s="334" t="n"/>
      <c r="Y495" s="334" t="n"/>
    </row>
    <row r="496" ht="15" customHeight="1" s="195">
      <c r="A496" s="280" t="n"/>
      <c r="B496" s="280" t="n"/>
      <c r="C496" s="280" t="n"/>
      <c r="D496" s="280" t="n"/>
      <c r="E496" s="280" t="n"/>
      <c r="F496" s="280" t="n"/>
      <c r="G496" s="280" t="n"/>
      <c r="H496" s="280" t="n"/>
      <c r="I496" s="332">
        <f>IFERROR(VLOOKUP(TEXT(H496,"0"),IPRESS!$A$3:$B$212,2,0),"")</f>
        <v/>
      </c>
      <c r="J496" s="280" t="n"/>
      <c r="K496" s="332">
        <f>IFERROR(VLOOKUP(TEXT(O496,"0"),CONDUCTORES!$A$3:$G$54,7,0),"")</f>
        <v/>
      </c>
      <c r="L496" s="280" t="n"/>
      <c r="M496" s="280" t="n"/>
      <c r="N496" s="333">
        <f>IFERROR(IF(L496*M496=0,"",L496*M496),"")</f>
        <v/>
      </c>
      <c r="O496" s="280" t="n"/>
      <c r="P496" s="332">
        <f>IFERROR(VLOOKUP(TEXT(O496,"0"),CONDUCTORES!$A$3:$G$54,2,0),"")</f>
        <v/>
      </c>
      <c r="Q496" s="332">
        <f>IFERROR(VLOOKUP(TEXT(O496,"0"),CONDUCTORES!$A$3:$H$54,6,0),"")</f>
        <v/>
      </c>
      <c r="R496" s="280" t="n"/>
      <c r="S496" s="280" t="n"/>
      <c r="T496" s="280" t="n"/>
      <c r="U496" s="280" t="n"/>
      <c r="V496" s="280" t="n"/>
      <c r="W496" s="280" t="n"/>
      <c r="X496" s="280" t="n"/>
      <c r="Y496" s="280" t="n"/>
    </row>
    <row r="497" ht="15" customHeight="1" s="195">
      <c r="A497" s="334" t="n"/>
      <c r="B497" s="334" t="n"/>
      <c r="C497" s="334" t="n"/>
      <c r="D497" s="334" t="n"/>
      <c r="E497" s="334" t="n"/>
      <c r="F497" s="334" t="n"/>
      <c r="G497" s="334" t="n"/>
      <c r="H497" s="334" t="n"/>
      <c r="I497" s="332">
        <f>IFERROR(VLOOKUP(TEXT(H497,"0"),IPRESS!$A$3:$B$212,2,0),"")</f>
        <v/>
      </c>
      <c r="J497" s="334" t="n"/>
      <c r="K497" s="332">
        <f>IFERROR(VLOOKUP(TEXT(O497,"0"),CONDUCTORES!$A$3:$G$54,7,0),"")</f>
        <v/>
      </c>
      <c r="L497" s="334" t="n"/>
      <c r="M497" s="334" t="n"/>
      <c r="N497" s="333">
        <f>IFERROR(IF(L497*M497=0,"",L497*M497),"")</f>
        <v/>
      </c>
      <c r="O497" s="334" t="n"/>
      <c r="P497" s="332">
        <f>IFERROR(VLOOKUP(TEXT(O497,"0"),CONDUCTORES!$A$3:$G$54,2,0),"")</f>
        <v/>
      </c>
      <c r="Q497" s="332">
        <f>IFERROR(VLOOKUP(TEXT(O497,"0"),CONDUCTORES!$A$3:$H$54,6,0),"")</f>
        <v/>
      </c>
      <c r="R497" s="334" t="n"/>
      <c r="S497" s="334" t="n"/>
      <c r="T497" s="334" t="n"/>
      <c r="U497" s="334" t="n"/>
      <c r="V497" s="334" t="n"/>
      <c r="W497" s="334" t="n"/>
      <c r="X497" s="334" t="n"/>
      <c r="Y497" s="334" t="n"/>
    </row>
    <row r="498" ht="15" customHeight="1" s="195">
      <c r="A498" s="280" t="n"/>
      <c r="B498" s="280" t="n"/>
      <c r="C498" s="280" t="n"/>
      <c r="D498" s="280" t="n"/>
      <c r="E498" s="280" t="n"/>
      <c r="F498" s="280" t="n"/>
      <c r="G498" s="280" t="n"/>
      <c r="H498" s="280" t="n"/>
      <c r="I498" s="332">
        <f>IFERROR(VLOOKUP(TEXT(H498,"0"),IPRESS!$A$3:$B$212,2,0),"")</f>
        <v/>
      </c>
      <c r="J498" s="280" t="n"/>
      <c r="K498" s="332">
        <f>IFERROR(VLOOKUP(TEXT(O498,"0"),CONDUCTORES!$A$3:$G$54,7,0),"")</f>
        <v/>
      </c>
      <c r="L498" s="280" t="n"/>
      <c r="M498" s="280" t="n"/>
      <c r="N498" s="333">
        <f>IFERROR(IF(L498*M498=0,"",L498*M498),"")</f>
        <v/>
      </c>
      <c r="O498" s="280" t="n"/>
      <c r="P498" s="332">
        <f>IFERROR(VLOOKUP(TEXT(O498,"0"),CONDUCTORES!$A$3:$G$54,2,0),"")</f>
        <v/>
      </c>
      <c r="Q498" s="332">
        <f>IFERROR(VLOOKUP(TEXT(O498,"0"),CONDUCTORES!$A$3:$H$54,6,0),"")</f>
        <v/>
      </c>
      <c r="R498" s="280" t="n"/>
      <c r="S498" s="280" t="n"/>
      <c r="T498" s="280" t="n"/>
      <c r="U498" s="280" t="n"/>
      <c r="V498" s="280" t="n"/>
      <c r="W498" s="280" t="n"/>
      <c r="X498" s="280" t="n"/>
      <c r="Y498" s="280" t="n"/>
    </row>
    <row r="499" ht="15" customHeight="1" s="195">
      <c r="A499" s="334" t="n"/>
      <c r="B499" s="334" t="n"/>
      <c r="C499" s="334" t="n"/>
      <c r="D499" s="334" t="n"/>
      <c r="E499" s="334" t="n"/>
      <c r="F499" s="334" t="n"/>
      <c r="G499" s="334" t="n"/>
      <c r="H499" s="334" t="n"/>
      <c r="I499" s="332">
        <f>IFERROR(VLOOKUP(TEXT(H499,"0"),IPRESS!$A$3:$B$212,2,0),"")</f>
        <v/>
      </c>
      <c r="J499" s="334" t="n"/>
      <c r="K499" s="332">
        <f>IFERROR(VLOOKUP(TEXT(O499,"0"),CONDUCTORES!$A$3:$G$54,7,0),"")</f>
        <v/>
      </c>
      <c r="L499" s="334" t="n"/>
      <c r="M499" s="334" t="n"/>
      <c r="N499" s="333">
        <f>IFERROR(IF(L499*M499=0,"",L499*M499),"")</f>
        <v/>
      </c>
      <c r="O499" s="334" t="n"/>
      <c r="P499" s="332">
        <f>IFERROR(VLOOKUP(TEXT(O499,"0"),CONDUCTORES!$A$3:$G$54,2,0),"")</f>
        <v/>
      </c>
      <c r="Q499" s="332">
        <f>IFERROR(VLOOKUP(TEXT(O499,"0"),CONDUCTORES!$A$3:$H$54,6,0),"")</f>
        <v/>
      </c>
      <c r="R499" s="334" t="n"/>
      <c r="S499" s="334" t="n"/>
      <c r="T499" s="334" t="n"/>
      <c r="U499" s="334" t="n"/>
      <c r="V499" s="334" t="n"/>
      <c r="W499" s="334" t="n"/>
      <c r="X499" s="334" t="n"/>
      <c r="Y499" s="334" t="n"/>
    </row>
    <row r="500" ht="15" customHeight="1" s="195">
      <c r="A500" s="280" t="n"/>
      <c r="B500" s="280" t="n"/>
      <c r="C500" s="280" t="n"/>
      <c r="D500" s="280" t="n"/>
      <c r="E500" s="280" t="n"/>
      <c r="F500" s="280" t="n"/>
      <c r="G500" s="280" t="n"/>
      <c r="H500" s="280" t="n"/>
      <c r="I500" s="332">
        <f>IFERROR(VLOOKUP(TEXT(H500,"0"),IPRESS!$A$3:$B$212,2,0),"")</f>
        <v/>
      </c>
      <c r="J500" s="280" t="n"/>
      <c r="K500" s="332">
        <f>IFERROR(VLOOKUP(TEXT(O500,"0"),CONDUCTORES!$A$3:$G$54,7,0),"")</f>
        <v/>
      </c>
      <c r="L500" s="280" t="n"/>
      <c r="M500" s="280" t="n"/>
      <c r="N500" s="333">
        <f>IFERROR(IF(L500*M500=0,"",L500*M500),"")</f>
        <v/>
      </c>
      <c r="O500" s="280" t="n"/>
      <c r="P500" s="332">
        <f>IFERROR(VLOOKUP(TEXT(O500,"0"),CONDUCTORES!$A$3:$G$54,2,0),"")</f>
        <v/>
      </c>
      <c r="Q500" s="332">
        <f>IFERROR(VLOOKUP(TEXT(O500,"0"),CONDUCTORES!$A$3:$H$54,6,0),"")</f>
        <v/>
      </c>
      <c r="R500" s="280" t="n"/>
      <c r="S500" s="280" t="n"/>
      <c r="T500" s="280" t="n"/>
      <c r="U500" s="280" t="n"/>
      <c r="V500" s="280" t="n"/>
      <c r="W500" s="280" t="n"/>
      <c r="X500" s="280" t="n"/>
      <c r="Y500" s="280" t="n"/>
    </row>
    <row r="501" ht="15" customHeight="1" s="195">
      <c r="A501" s="334" t="n"/>
      <c r="B501" s="334" t="n"/>
      <c r="C501" s="334" t="n"/>
      <c r="D501" s="334" t="n"/>
      <c r="E501" s="334" t="n"/>
      <c r="F501" s="334" t="n"/>
      <c r="G501" s="334" t="n"/>
      <c r="H501" s="334" t="n"/>
      <c r="I501" s="332">
        <f>IFERROR(VLOOKUP(TEXT(H501,"0"),IPRESS!$A$3:$B$212,2,0),"")</f>
        <v/>
      </c>
      <c r="J501" s="334" t="n"/>
      <c r="K501" s="332">
        <f>IFERROR(VLOOKUP(TEXT(O501,"0"),CONDUCTORES!$A$3:$G$54,7,0),"")</f>
        <v/>
      </c>
      <c r="L501" s="334" t="n"/>
      <c r="M501" s="334" t="n"/>
      <c r="N501" s="333">
        <f>IFERROR(IF(L501*M501=0,"",L501*M501),"")</f>
        <v/>
      </c>
      <c r="O501" s="334" t="n"/>
      <c r="P501" s="332">
        <f>IFERROR(VLOOKUP(TEXT(O501,"0"),CONDUCTORES!$A$3:$G$54,2,0),"")</f>
        <v/>
      </c>
      <c r="Q501" s="332">
        <f>IFERROR(VLOOKUP(TEXT(O501,"0"),CONDUCTORES!$A$3:$H$54,6,0),"")</f>
        <v/>
      </c>
      <c r="R501" s="334" t="n"/>
      <c r="S501" s="334" t="n"/>
      <c r="T501" s="334" t="n"/>
      <c r="U501" s="334" t="n"/>
      <c r="V501" s="334" t="n"/>
      <c r="W501" s="334" t="n"/>
      <c r="X501" s="334" t="n"/>
      <c r="Y501" s="334" t="n"/>
    </row>
    <row r="502" ht="15" customHeight="1" s="195">
      <c r="A502" s="280" t="n"/>
      <c r="B502" s="280" t="n"/>
      <c r="C502" s="280" t="n"/>
      <c r="D502" s="280" t="n"/>
      <c r="E502" s="280" t="n"/>
      <c r="F502" s="280" t="n"/>
      <c r="G502" s="280" t="n"/>
      <c r="H502" s="280" t="n"/>
      <c r="I502" s="332">
        <f>IFERROR(VLOOKUP(TEXT(H502,"0"),IPRESS!$A$3:$B$212,2,0),"")</f>
        <v/>
      </c>
      <c r="J502" s="280" t="n"/>
      <c r="K502" s="332">
        <f>IFERROR(VLOOKUP(TEXT(O502,"0"),CONDUCTORES!$A$3:$G$54,7,0),"")</f>
        <v/>
      </c>
      <c r="L502" s="280" t="n"/>
      <c r="M502" s="280" t="n"/>
      <c r="N502" s="333">
        <f>IFERROR(IF(L502*M502=0,"",L502*M502),"")</f>
        <v/>
      </c>
      <c r="O502" s="280" t="n"/>
      <c r="P502" s="332">
        <f>IFERROR(VLOOKUP(TEXT(O502,"0"),CONDUCTORES!$A$3:$G$54,2,0),"")</f>
        <v/>
      </c>
      <c r="Q502" s="332">
        <f>IFERROR(VLOOKUP(TEXT(O502,"0"),CONDUCTORES!$A$3:$H$54,6,0),"")</f>
        <v/>
      </c>
      <c r="R502" s="280" t="n"/>
      <c r="S502" s="280" t="n"/>
      <c r="T502" s="280" t="n"/>
      <c r="U502" s="280" t="n"/>
      <c r="V502" s="280" t="n"/>
      <c r="W502" s="280" t="n"/>
      <c r="X502" s="280" t="n"/>
      <c r="Y502" s="280" t="n"/>
    </row>
    <row r="503" ht="15" customHeight="1" s="195">
      <c r="A503" s="334" t="n"/>
      <c r="B503" s="334" t="n"/>
      <c r="C503" s="334" t="n"/>
      <c r="D503" s="334" t="n"/>
      <c r="E503" s="334" t="n"/>
      <c r="F503" s="334" t="n"/>
      <c r="G503" s="334" t="n"/>
      <c r="H503" s="334" t="n"/>
      <c r="I503" s="332">
        <f>IFERROR(VLOOKUP(TEXT(H503,"0"),IPRESS!$A$3:$B$212,2,0),"")</f>
        <v/>
      </c>
      <c r="J503" s="334" t="n"/>
      <c r="K503" s="332">
        <f>IFERROR(VLOOKUP(TEXT(O503,"0"),CONDUCTORES!$A$3:$G$54,7,0),"")</f>
        <v/>
      </c>
      <c r="L503" s="334" t="n"/>
      <c r="M503" s="334" t="n"/>
      <c r="N503" s="333">
        <f>IFERROR(IF(L503*M503=0,"",L503*M503),"")</f>
        <v/>
      </c>
      <c r="O503" s="334" t="n"/>
      <c r="P503" s="332">
        <f>IFERROR(VLOOKUP(TEXT(O503,"0"),CONDUCTORES!$A$3:$G$54,2,0),"")</f>
        <v/>
      </c>
      <c r="Q503" s="332">
        <f>IFERROR(VLOOKUP(TEXT(O503,"0"),CONDUCTORES!$A$3:$H$54,6,0),"")</f>
        <v/>
      </c>
      <c r="R503" s="334" t="n"/>
      <c r="S503" s="334" t="n"/>
      <c r="T503" s="334" t="n"/>
      <c r="U503" s="334" t="n"/>
      <c r="V503" s="334" t="n"/>
      <c r="W503" s="334" t="n"/>
      <c r="X503" s="334" t="n"/>
      <c r="Y503" s="334" t="n"/>
    </row>
    <row r="504" ht="15" customHeight="1" s="195">
      <c r="A504" s="280" t="n"/>
      <c r="B504" s="280" t="n"/>
      <c r="C504" s="280" t="n"/>
      <c r="D504" s="280" t="n"/>
      <c r="E504" s="280" t="n"/>
      <c r="F504" s="280" t="n"/>
      <c r="G504" s="280" t="n"/>
      <c r="H504" s="280" t="n"/>
      <c r="I504" s="332">
        <f>IFERROR(VLOOKUP(TEXT(H504,"0"),IPRESS!$A$3:$B$212,2,0),"")</f>
        <v/>
      </c>
      <c r="J504" s="280" t="n"/>
      <c r="K504" s="332">
        <f>IFERROR(VLOOKUP(TEXT(O504,"0"),CONDUCTORES!$A$3:$G$54,7,0),"")</f>
        <v/>
      </c>
      <c r="L504" s="280" t="n"/>
      <c r="M504" s="280" t="n"/>
      <c r="N504" s="333">
        <f>IFERROR(IF(L504*M504=0,"",L504*M504),"")</f>
        <v/>
      </c>
      <c r="O504" s="280" t="n"/>
      <c r="P504" s="332">
        <f>IFERROR(VLOOKUP(TEXT(O504,"0"),CONDUCTORES!$A$3:$G$54,2,0),"")</f>
        <v/>
      </c>
      <c r="Q504" s="332">
        <f>IFERROR(VLOOKUP(TEXT(O504,"0"),CONDUCTORES!$A$3:$H$54,6,0),"")</f>
        <v/>
      </c>
      <c r="R504" s="280" t="n"/>
      <c r="S504" s="280" t="n"/>
      <c r="T504" s="280" t="n"/>
      <c r="U504" s="280" t="n"/>
      <c r="V504" s="280" t="n"/>
      <c r="W504" s="280" t="n"/>
      <c r="X504" s="280" t="n"/>
      <c r="Y504" s="280" t="n"/>
    </row>
    <row r="505" ht="15" customHeight="1" s="195">
      <c r="A505" s="334" t="n"/>
      <c r="B505" s="334" t="n"/>
      <c r="C505" s="334" t="n"/>
      <c r="D505" s="334" t="n"/>
      <c r="E505" s="334" t="n"/>
      <c r="F505" s="334" t="n"/>
      <c r="G505" s="334" t="n"/>
      <c r="H505" s="334" t="n"/>
      <c r="I505" s="332">
        <f>IFERROR(VLOOKUP(TEXT(H505,"0"),IPRESS!$A$3:$B$212,2,0),"")</f>
        <v/>
      </c>
      <c r="J505" s="334" t="n"/>
      <c r="K505" s="332">
        <f>IFERROR(VLOOKUP(TEXT(O505,"0"),CONDUCTORES!$A$3:$G$54,7,0),"")</f>
        <v/>
      </c>
      <c r="L505" s="334" t="n"/>
      <c r="M505" s="334" t="n"/>
      <c r="N505" s="333">
        <f>IFERROR(IF(L505*M505=0,"",L505*M505),"")</f>
        <v/>
      </c>
      <c r="O505" s="334" t="n"/>
      <c r="P505" s="332">
        <f>IFERROR(VLOOKUP(TEXT(O505,"0"),CONDUCTORES!$A$3:$G$54,2,0),"")</f>
        <v/>
      </c>
      <c r="Q505" s="332">
        <f>IFERROR(VLOOKUP(TEXT(O505,"0"),CONDUCTORES!$A$3:$H$54,6,0),"")</f>
        <v/>
      </c>
      <c r="R505" s="334" t="n"/>
      <c r="S505" s="334" t="n"/>
      <c r="T505" s="334" t="n"/>
      <c r="U505" s="334" t="n"/>
      <c r="V505" s="334" t="n"/>
      <c r="W505" s="334" t="n"/>
      <c r="X505" s="334" t="n"/>
      <c r="Y505" s="334" t="n"/>
    </row>
    <row r="506" ht="21.75" customHeight="1" s="195">
      <c r="A506" s="346" t="inlineStr">
        <is>
          <t>TOTALES DEL MES</t>
        </is>
      </c>
      <c r="M506" s="320">
        <f>SUM(M6:M505)</f>
        <v/>
      </c>
      <c r="N506" s="320">
        <f>SUM(N6:N505)</f>
        <v/>
      </c>
    </row>
    <row r="507" ht="15.75" customHeight="1" s="195"/>
    <row r="508" ht="15.75" customHeight="1" s="195"/>
    <row r="509" ht="15.75" customHeight="1" s="195"/>
    <row r="510" ht="15.75" customHeight="1" s="195"/>
    <row r="511" ht="15.75" customHeight="1" s="195"/>
    <row r="512" ht="15.75" customHeight="1" s="195"/>
    <row r="513" ht="15.75" customHeight="1" s="195"/>
    <row r="514" ht="15.75" customHeight="1" s="195"/>
    <row r="515" ht="15.75" customHeight="1" s="195"/>
    <row r="516" ht="15.75" customHeight="1" s="195"/>
    <row r="517" ht="15.75" customHeight="1" s="195"/>
    <row r="518" ht="15.75" customHeight="1" s="195"/>
    <row r="519" ht="15.75" customHeight="1" s="195"/>
    <row r="520" ht="15.75" customHeight="1" s="195"/>
    <row r="521" ht="15.75" customHeight="1" s="195"/>
    <row r="522" ht="15.75" customHeight="1" s="195"/>
    <row r="523" ht="15.75" customHeight="1" s="195"/>
    <row r="524" ht="15.75" customHeight="1" s="195"/>
    <row r="525" ht="15.75" customHeight="1" s="195"/>
    <row r="526" ht="15.75" customHeight="1" s="195"/>
    <row r="527" ht="15.75" customHeight="1" s="195"/>
    <row r="528" ht="15.75" customHeight="1" s="195"/>
    <row r="529" ht="15.75" customHeight="1" s="195"/>
    <row r="530" ht="15.75" customHeight="1" s="195"/>
    <row r="531" ht="15.75" customHeight="1" s="195"/>
    <row r="532" ht="15.75" customHeight="1" s="195"/>
    <row r="533" ht="15.75" customHeight="1" s="195"/>
    <row r="534" ht="15.75" customHeight="1" s="195"/>
    <row r="535" ht="15.75" customHeight="1" s="195"/>
    <row r="536" ht="15.75" customHeight="1" s="195"/>
    <row r="537" ht="15.75" customHeight="1" s="195"/>
    <row r="538" ht="15.75" customHeight="1" s="195"/>
    <row r="539" ht="15.75" customHeight="1" s="195"/>
    <row r="540" ht="15.75" customHeight="1" s="195"/>
    <row r="541" ht="15.75" customHeight="1" s="195"/>
    <row r="542" ht="15.75" customHeight="1" s="195"/>
    <row r="543" ht="15.75" customHeight="1" s="195"/>
    <row r="544" ht="15.75" customHeight="1" s="195"/>
    <row r="545" ht="15.75" customHeight="1" s="195"/>
    <row r="546" ht="15.75" customHeight="1" s="195"/>
    <row r="547" ht="15.75" customHeight="1" s="195"/>
    <row r="548" ht="15.75" customHeight="1" s="195"/>
    <row r="549" ht="15.75" customHeight="1" s="195"/>
    <row r="550" ht="15.75" customHeight="1" s="195"/>
    <row r="551" ht="15.75" customHeight="1" s="195"/>
    <row r="552" ht="15.75" customHeight="1" s="195"/>
    <row r="553" ht="15.75" customHeight="1" s="195"/>
    <row r="554" ht="15.75" customHeight="1" s="195"/>
    <row r="555" ht="15.75" customHeight="1" s="195"/>
    <row r="556" ht="15.75" customHeight="1" s="195"/>
    <row r="557" ht="15.75" customHeight="1" s="195"/>
    <row r="558" ht="15.75" customHeight="1" s="195"/>
    <row r="559" ht="15.75" customHeight="1" s="195"/>
    <row r="560" ht="15.75" customHeight="1" s="195"/>
    <row r="561" ht="15.75" customHeight="1" s="195"/>
    <row r="562" ht="15.75" customHeight="1" s="195"/>
    <row r="563" ht="15.75" customHeight="1" s="195"/>
    <row r="564" ht="15.75" customHeight="1" s="195"/>
    <row r="565" ht="15.75" customHeight="1" s="195"/>
    <row r="566" ht="15.75" customHeight="1" s="195"/>
    <row r="567" ht="15.75" customHeight="1" s="195"/>
    <row r="568" ht="15.75" customHeight="1" s="195"/>
    <row r="569" ht="15.75" customHeight="1" s="195"/>
    <row r="570" ht="15.75" customHeight="1" s="195"/>
    <row r="571" ht="15.75" customHeight="1" s="195"/>
    <row r="572" ht="15.75" customHeight="1" s="195"/>
    <row r="573" ht="15.75" customHeight="1" s="195"/>
    <row r="574" ht="15.75" customHeight="1" s="195"/>
    <row r="575" ht="15.75" customHeight="1" s="195"/>
    <row r="576" ht="15.75" customHeight="1" s="195"/>
    <row r="577" ht="15.75" customHeight="1" s="195"/>
    <row r="578" ht="15.75" customHeight="1" s="195"/>
    <row r="579" ht="15.75" customHeight="1" s="195"/>
    <row r="580" ht="15.75" customHeight="1" s="195"/>
    <row r="581" ht="15.75" customHeight="1" s="195"/>
    <row r="582" ht="15.75" customHeight="1" s="195"/>
    <row r="583" ht="15.75" customHeight="1" s="195"/>
    <row r="584" ht="15.75" customHeight="1" s="195"/>
    <row r="585" ht="15.75" customHeight="1" s="195"/>
    <row r="586" ht="15.75" customHeight="1" s="195"/>
    <row r="587" ht="15.75" customHeight="1" s="195"/>
    <row r="588" ht="15.75" customHeight="1" s="195"/>
    <row r="589" ht="15.75" customHeight="1" s="195"/>
    <row r="590" ht="15.75" customHeight="1" s="195"/>
    <row r="591" ht="15.75" customHeight="1" s="195"/>
    <row r="592" ht="15.75" customHeight="1" s="195"/>
    <row r="593" ht="15.75" customHeight="1" s="195"/>
    <row r="594" ht="15.75" customHeight="1" s="195"/>
    <row r="595" ht="15.75" customHeight="1" s="195"/>
    <row r="596" ht="15.75" customHeight="1" s="195"/>
    <row r="597" ht="15.75" customHeight="1" s="195"/>
    <row r="598" ht="15.75" customHeight="1" s="195"/>
    <row r="599" ht="15.75" customHeight="1" s="195"/>
    <row r="600" ht="15.75" customHeight="1" s="195"/>
    <row r="601" ht="15.75" customHeight="1" s="195"/>
    <row r="602" ht="15.75" customHeight="1" s="195"/>
    <row r="603" ht="15.75" customHeight="1" s="195"/>
    <row r="604" ht="15.75" customHeight="1" s="195"/>
    <row r="605" ht="15.75" customHeight="1" s="195"/>
    <row r="606" ht="15.75" customHeight="1" s="195"/>
    <row r="607" ht="15.75" customHeight="1" s="195"/>
    <row r="608" ht="15.75" customHeight="1" s="195"/>
    <row r="609" ht="15.75" customHeight="1" s="195"/>
    <row r="610" ht="15.75" customHeight="1" s="195"/>
    <row r="611" ht="15.75" customHeight="1" s="195"/>
    <row r="612" ht="15.75" customHeight="1" s="195"/>
    <row r="613" ht="15.75" customHeight="1" s="195"/>
    <row r="614" ht="15.75" customHeight="1" s="195"/>
    <row r="615" ht="15.75" customHeight="1" s="195"/>
    <row r="616" ht="15.75" customHeight="1" s="195"/>
    <row r="617" ht="15.75" customHeight="1" s="195"/>
    <row r="618" ht="15.75" customHeight="1" s="195"/>
    <row r="619" ht="15.75" customHeight="1" s="195"/>
    <row r="620" ht="15.75" customHeight="1" s="195"/>
    <row r="621" ht="15.75" customHeight="1" s="195"/>
    <row r="622" ht="15.75" customHeight="1" s="195"/>
    <row r="623" ht="15.75" customHeight="1" s="195"/>
    <row r="624" ht="15.75" customHeight="1" s="195"/>
    <row r="625" ht="15.75" customHeight="1" s="195"/>
    <row r="626" ht="15.75" customHeight="1" s="195"/>
    <row r="627" ht="15.75" customHeight="1" s="195"/>
    <row r="628" ht="15.75" customHeight="1" s="195"/>
    <row r="629" ht="15.75" customHeight="1" s="195"/>
    <row r="630" ht="15.75" customHeight="1" s="195"/>
    <row r="631" ht="15.75" customHeight="1" s="195"/>
    <row r="632" ht="15.75" customHeight="1" s="195"/>
    <row r="633" ht="15.75" customHeight="1" s="195"/>
    <row r="634" ht="15.75" customHeight="1" s="195"/>
    <row r="635" ht="15.75" customHeight="1" s="195"/>
    <row r="636" ht="15.75" customHeight="1" s="195"/>
    <row r="637" ht="15.75" customHeight="1" s="195"/>
    <row r="638" ht="15.75" customHeight="1" s="195"/>
    <row r="639" ht="15.75" customHeight="1" s="195"/>
    <row r="640" ht="15.75" customHeight="1" s="195"/>
    <row r="641" ht="15.75" customHeight="1" s="195"/>
    <row r="642" ht="15.75" customHeight="1" s="195"/>
    <row r="643" ht="15.75" customHeight="1" s="195"/>
    <row r="644" ht="15.75" customHeight="1" s="195"/>
    <row r="645" ht="15.75" customHeight="1" s="195"/>
    <row r="646" ht="15.75" customHeight="1" s="195"/>
    <row r="647" ht="15.75" customHeight="1" s="195"/>
    <row r="648" ht="15.75" customHeight="1" s="195"/>
    <row r="649" ht="15.75" customHeight="1" s="195"/>
    <row r="650" ht="15.75" customHeight="1" s="195"/>
    <row r="651" ht="15.75" customHeight="1" s="195"/>
    <row r="652" ht="15.75" customHeight="1" s="195"/>
    <row r="653" ht="15.75" customHeight="1" s="195"/>
    <row r="654" ht="15.75" customHeight="1" s="195"/>
    <row r="655" ht="15.75" customHeight="1" s="195"/>
    <row r="656" ht="15.75" customHeight="1" s="195"/>
    <row r="657" ht="15.75" customHeight="1" s="195"/>
    <row r="658" ht="15.75" customHeight="1" s="195"/>
    <row r="659" ht="15.75" customHeight="1" s="195"/>
    <row r="660" ht="15.75" customHeight="1" s="195"/>
    <row r="661" ht="15.75" customHeight="1" s="195"/>
    <row r="662" ht="15.75" customHeight="1" s="195"/>
    <row r="663" ht="15.75" customHeight="1" s="195"/>
    <row r="664" ht="15.75" customHeight="1" s="195"/>
    <row r="665" ht="15.75" customHeight="1" s="195"/>
    <row r="666" ht="15.75" customHeight="1" s="195"/>
    <row r="667" ht="15.75" customHeight="1" s="195"/>
    <row r="668" ht="15.75" customHeight="1" s="195"/>
    <row r="669" ht="15.75" customHeight="1" s="195"/>
    <row r="670" ht="15.75" customHeight="1" s="195"/>
    <row r="671" ht="15.75" customHeight="1" s="195"/>
    <row r="672" ht="15.75" customHeight="1" s="195"/>
    <row r="673" ht="15.75" customHeight="1" s="195"/>
    <row r="674" ht="15.75" customHeight="1" s="195"/>
    <row r="675" ht="15.75" customHeight="1" s="195"/>
    <row r="676" ht="15.75" customHeight="1" s="195"/>
    <row r="677" ht="15.75" customHeight="1" s="195"/>
    <row r="678" ht="15.75" customHeight="1" s="195"/>
    <row r="679" ht="15.75" customHeight="1" s="195"/>
    <row r="680" ht="15.75" customHeight="1" s="195"/>
    <row r="681" ht="15.75" customHeight="1" s="195"/>
    <row r="682" ht="15.75" customHeight="1" s="195"/>
    <row r="683" ht="15.75" customHeight="1" s="195"/>
    <row r="684" ht="15.75" customHeight="1" s="195"/>
    <row r="685" ht="15.75" customHeight="1" s="195"/>
    <row r="686" ht="15.75" customHeight="1" s="195"/>
    <row r="687" ht="15.75" customHeight="1" s="195"/>
    <row r="688" ht="15.75" customHeight="1" s="195"/>
    <row r="689" ht="15.75" customHeight="1" s="195"/>
    <row r="690" ht="15.75" customHeight="1" s="195"/>
    <row r="691" ht="15.75" customHeight="1" s="195"/>
    <row r="692" ht="15.75" customHeight="1" s="195"/>
    <row r="693" ht="15.75" customHeight="1" s="195"/>
    <row r="694" ht="15.75" customHeight="1" s="195"/>
    <row r="695" ht="15.75" customHeight="1" s="195"/>
    <row r="696" ht="15.75" customHeight="1" s="195"/>
    <row r="697" ht="15.75" customHeight="1" s="195"/>
    <row r="698" ht="15.75" customHeight="1" s="195"/>
    <row r="699" ht="15.75" customHeight="1" s="195"/>
    <row r="700" ht="15.75" customHeight="1" s="195"/>
    <row r="701" ht="15.75" customHeight="1" s="195"/>
    <row r="702" ht="15.75" customHeight="1" s="195"/>
    <row r="703" ht="15.75" customHeight="1" s="195"/>
    <row r="704" ht="15.75" customHeight="1" s="195"/>
    <row r="705" ht="15.75" customHeight="1" s="195"/>
    <row r="706" ht="15.75" customHeight="1" s="195"/>
    <row r="707" ht="15.75" customHeight="1" s="195"/>
    <row r="708" ht="15.75" customHeight="1" s="195"/>
    <row r="709" ht="15.75" customHeight="1" s="195"/>
    <row r="710" ht="15.75" customHeight="1" s="195"/>
    <row r="711" ht="15.75" customHeight="1" s="195"/>
    <row r="712" ht="15.75" customHeight="1" s="195"/>
    <row r="713" ht="15.75" customHeight="1" s="195"/>
    <row r="714" ht="15.75" customHeight="1" s="195"/>
    <row r="715" ht="15.75" customHeight="1" s="195"/>
    <row r="716" ht="15.75" customHeight="1" s="195"/>
    <row r="717" ht="15.75" customHeight="1" s="195"/>
    <row r="718" ht="15.75" customHeight="1" s="195"/>
    <row r="719" ht="15.75" customHeight="1" s="195"/>
    <row r="720" ht="15.75" customHeight="1" s="195"/>
    <row r="721" ht="15.75" customHeight="1" s="195"/>
    <row r="722" ht="15.75" customHeight="1" s="195"/>
    <row r="723" ht="15.75" customHeight="1" s="195"/>
    <row r="724" ht="15.75" customHeight="1" s="195"/>
    <row r="725" ht="15.75" customHeight="1" s="195"/>
    <row r="726" ht="15.75" customHeight="1" s="195"/>
    <row r="727" ht="15.75" customHeight="1" s="195"/>
    <row r="728" ht="15.75" customHeight="1" s="195"/>
    <row r="729" ht="15.75" customHeight="1" s="195"/>
    <row r="730" ht="15.75" customHeight="1" s="195"/>
    <row r="731" ht="15.75" customHeight="1" s="195"/>
    <row r="732" ht="15.75" customHeight="1" s="195"/>
    <row r="733" ht="15.75" customHeight="1" s="195"/>
    <row r="734" ht="15.75" customHeight="1" s="195"/>
    <row r="735" ht="15.75" customHeight="1" s="195"/>
    <row r="736" ht="15.75" customHeight="1" s="195"/>
    <row r="737" ht="15.75" customHeight="1" s="195"/>
    <row r="738" ht="15.75" customHeight="1" s="195"/>
    <row r="739" ht="15.75" customHeight="1" s="195"/>
    <row r="740" ht="15.75" customHeight="1" s="195"/>
    <row r="741" ht="15.75" customHeight="1" s="195"/>
    <row r="742" ht="15.75" customHeight="1" s="195"/>
    <row r="743" ht="15.75" customHeight="1" s="195"/>
    <row r="744" ht="15.75" customHeight="1" s="195"/>
    <row r="745" ht="15.75" customHeight="1" s="195"/>
    <row r="746" ht="15.75" customHeight="1" s="195"/>
    <row r="747" ht="15.75" customHeight="1" s="195"/>
    <row r="748" ht="15.75" customHeight="1" s="195"/>
    <row r="749" ht="15.75" customHeight="1" s="195"/>
    <row r="750" ht="15.75" customHeight="1" s="195"/>
    <row r="751" ht="15.75" customHeight="1" s="195"/>
    <row r="752" ht="15.75" customHeight="1" s="195"/>
    <row r="753" ht="15.75" customHeight="1" s="195"/>
    <row r="754" ht="15.75" customHeight="1" s="195"/>
    <row r="755" ht="15.75" customHeight="1" s="195"/>
    <row r="756" ht="15.75" customHeight="1" s="195"/>
    <row r="757" ht="15.75" customHeight="1" s="195"/>
    <row r="758" ht="15.75" customHeight="1" s="195"/>
    <row r="759" ht="15.75" customHeight="1" s="195"/>
    <row r="760" ht="15.75" customHeight="1" s="195"/>
    <row r="761" ht="15.75" customHeight="1" s="195"/>
    <row r="762" ht="15.75" customHeight="1" s="195"/>
    <row r="763" ht="15.75" customHeight="1" s="195"/>
    <row r="764" ht="15.75" customHeight="1" s="195"/>
    <row r="765" ht="15.75" customHeight="1" s="195"/>
    <row r="766" ht="15.75" customHeight="1" s="195"/>
    <row r="767" ht="15.75" customHeight="1" s="195"/>
    <row r="768" ht="15.75" customHeight="1" s="195"/>
    <row r="769" ht="15.75" customHeight="1" s="195"/>
    <row r="770" ht="15.75" customHeight="1" s="195"/>
    <row r="771" ht="15.75" customHeight="1" s="195"/>
    <row r="772" ht="15.75" customHeight="1" s="195"/>
    <row r="773" ht="15.75" customHeight="1" s="195"/>
    <row r="774" ht="15.75" customHeight="1" s="195"/>
    <row r="775" ht="15.75" customHeight="1" s="195"/>
    <row r="776" ht="15.75" customHeight="1" s="195"/>
    <row r="777" ht="15.75" customHeight="1" s="195"/>
    <row r="778" ht="15.75" customHeight="1" s="195"/>
    <row r="779" ht="15.75" customHeight="1" s="195"/>
    <row r="780" ht="15.75" customHeight="1" s="195"/>
    <row r="781" ht="15.75" customHeight="1" s="195"/>
    <row r="782" ht="15.75" customHeight="1" s="195"/>
    <row r="783" ht="15.75" customHeight="1" s="195"/>
    <row r="784" ht="15.75" customHeight="1" s="195"/>
    <row r="785" ht="15.75" customHeight="1" s="195"/>
    <row r="786" ht="15.75" customHeight="1" s="195"/>
    <row r="787" ht="15.75" customHeight="1" s="195"/>
    <row r="788" ht="15.75" customHeight="1" s="195"/>
    <row r="789" ht="15.75" customHeight="1" s="195"/>
    <row r="790" ht="15.75" customHeight="1" s="195"/>
    <row r="791" ht="15.75" customHeight="1" s="195"/>
    <row r="792" ht="15.75" customHeight="1" s="195"/>
    <row r="793" ht="15.75" customHeight="1" s="195"/>
    <row r="794" ht="15.75" customHeight="1" s="195"/>
    <row r="795" ht="15.75" customHeight="1" s="195"/>
    <row r="796" ht="15.75" customHeight="1" s="195"/>
    <row r="797" ht="15.75" customHeight="1" s="195"/>
    <row r="798" ht="15.75" customHeight="1" s="195"/>
    <row r="799" ht="15.75" customHeight="1" s="195"/>
    <row r="800" ht="15.75" customHeight="1" s="195"/>
    <row r="801" ht="15.75" customHeight="1" s="195"/>
    <row r="802" ht="15.75" customHeight="1" s="195"/>
    <row r="803" ht="15.75" customHeight="1" s="195"/>
    <row r="804" ht="15.75" customHeight="1" s="195"/>
    <row r="805" ht="15.75" customHeight="1" s="195"/>
    <row r="806" ht="15.75" customHeight="1" s="195"/>
    <row r="807" ht="15.75" customHeight="1" s="195"/>
    <row r="808" ht="15.75" customHeight="1" s="195"/>
    <row r="809" ht="15.75" customHeight="1" s="195"/>
    <row r="810" ht="15.75" customHeight="1" s="195"/>
    <row r="811" ht="15.75" customHeight="1" s="195"/>
    <row r="812" ht="15.75" customHeight="1" s="195"/>
    <row r="813" ht="15.75" customHeight="1" s="195"/>
    <row r="814" ht="15.75" customHeight="1" s="195"/>
    <row r="815" ht="15.75" customHeight="1" s="195"/>
    <row r="816" ht="15.75" customHeight="1" s="195"/>
    <row r="817" ht="15.75" customHeight="1" s="195"/>
    <row r="818" ht="15.75" customHeight="1" s="195"/>
    <row r="819" ht="15.75" customHeight="1" s="195"/>
    <row r="820" ht="15.75" customHeight="1" s="195"/>
    <row r="821" ht="15.75" customHeight="1" s="195"/>
    <row r="822" ht="15.75" customHeight="1" s="195"/>
    <row r="823" ht="15.75" customHeight="1" s="195"/>
    <row r="824" ht="15.75" customHeight="1" s="195"/>
    <row r="825" ht="15.75" customHeight="1" s="195"/>
    <row r="826" ht="15.75" customHeight="1" s="195"/>
    <row r="827" ht="15.75" customHeight="1" s="195"/>
    <row r="828" ht="15.75" customHeight="1" s="195"/>
    <row r="829" ht="15.75" customHeight="1" s="195"/>
    <row r="830" ht="15.75" customHeight="1" s="195"/>
    <row r="831" ht="15.75" customHeight="1" s="195"/>
    <row r="832" ht="15.75" customHeight="1" s="195"/>
    <row r="833" ht="15.75" customHeight="1" s="195"/>
    <row r="834" ht="15.75" customHeight="1" s="195"/>
    <row r="835" ht="15.75" customHeight="1" s="195"/>
    <row r="836" ht="15.75" customHeight="1" s="195"/>
    <row r="837" ht="15.75" customHeight="1" s="195"/>
    <row r="838" ht="15.75" customHeight="1" s="195"/>
    <row r="839" ht="15.75" customHeight="1" s="195"/>
    <row r="840" ht="15.75" customHeight="1" s="195"/>
    <row r="841" ht="15.75" customHeight="1" s="195"/>
    <row r="842" ht="15.75" customHeight="1" s="195"/>
    <row r="843" ht="15.75" customHeight="1" s="195"/>
    <row r="844" ht="15.75" customHeight="1" s="195"/>
    <row r="845" ht="15.75" customHeight="1" s="195"/>
    <row r="846" ht="15.75" customHeight="1" s="195"/>
    <row r="847" ht="15.75" customHeight="1" s="195"/>
    <row r="848" ht="15.75" customHeight="1" s="195"/>
    <row r="849" ht="15.75" customHeight="1" s="195"/>
    <row r="850" ht="15.75" customHeight="1" s="195"/>
    <row r="851" ht="15.75" customHeight="1" s="195"/>
    <row r="852" ht="15.75" customHeight="1" s="195"/>
    <row r="853" ht="15.75" customHeight="1" s="195"/>
    <row r="854" ht="15.75" customHeight="1" s="195"/>
    <row r="855" ht="15.75" customHeight="1" s="195"/>
    <row r="856" ht="15.75" customHeight="1" s="195"/>
    <row r="857" ht="15.75" customHeight="1" s="195"/>
    <row r="858" ht="15.75" customHeight="1" s="195"/>
    <row r="859" ht="15.75" customHeight="1" s="195"/>
    <row r="860" ht="15.75" customHeight="1" s="195"/>
    <row r="861" ht="15.75" customHeight="1" s="195"/>
    <row r="862" ht="15.75" customHeight="1" s="195"/>
    <row r="863" ht="15.75" customHeight="1" s="195"/>
    <row r="864" ht="15.75" customHeight="1" s="195"/>
    <row r="865" ht="15.75" customHeight="1" s="195"/>
    <row r="866" ht="15.75" customHeight="1" s="195"/>
    <row r="867" ht="15.75" customHeight="1" s="195"/>
    <row r="868" ht="15.75" customHeight="1" s="195"/>
    <row r="869" ht="15.75" customHeight="1" s="195"/>
    <row r="870" ht="15.75" customHeight="1" s="195"/>
    <row r="871" ht="15.75" customHeight="1" s="195"/>
    <row r="872" ht="15.75" customHeight="1" s="195"/>
    <row r="873" ht="15.75" customHeight="1" s="195"/>
    <row r="874" ht="15.75" customHeight="1" s="195"/>
    <row r="875" ht="15.75" customHeight="1" s="195"/>
    <row r="876" ht="15.75" customHeight="1" s="195"/>
    <row r="877" ht="15.75" customHeight="1" s="195"/>
    <row r="878" ht="15.75" customHeight="1" s="195"/>
    <row r="879" ht="15.75" customHeight="1" s="195"/>
    <row r="880" ht="15.75" customHeight="1" s="195"/>
    <row r="881" ht="15.75" customHeight="1" s="195"/>
    <row r="882" ht="15.75" customHeight="1" s="195"/>
    <row r="883" ht="15.75" customHeight="1" s="195"/>
    <row r="884" ht="15.75" customHeight="1" s="195"/>
    <row r="885" ht="15.75" customHeight="1" s="195"/>
    <row r="886" ht="15.75" customHeight="1" s="195"/>
    <row r="887" ht="15.75" customHeight="1" s="195"/>
    <row r="888" ht="15.75" customHeight="1" s="195"/>
    <row r="889" ht="15.75" customHeight="1" s="195"/>
    <row r="890" ht="15.75" customHeight="1" s="195"/>
    <row r="891" ht="15.75" customHeight="1" s="195"/>
    <row r="892" ht="15.75" customHeight="1" s="195"/>
    <row r="893" ht="15.75" customHeight="1" s="195"/>
    <row r="894" ht="15.75" customHeight="1" s="195"/>
    <row r="895" ht="15.75" customHeight="1" s="195"/>
    <row r="896" ht="15.75" customHeight="1" s="195"/>
    <row r="897" ht="15.75" customHeight="1" s="195"/>
    <row r="898" ht="15.75" customHeight="1" s="195"/>
    <row r="899" ht="15.75" customHeight="1" s="195"/>
    <row r="900" ht="15.75" customHeight="1" s="195"/>
    <row r="901" ht="15.75" customHeight="1" s="195"/>
    <row r="902" ht="15.75" customHeight="1" s="195"/>
    <row r="903" ht="15.75" customHeight="1" s="195"/>
    <row r="904" ht="15.75" customHeight="1" s="195"/>
    <row r="905" ht="15.75" customHeight="1" s="195"/>
    <row r="906" ht="15.75" customHeight="1" s="195"/>
    <row r="907" ht="15.75" customHeight="1" s="195"/>
    <row r="908" ht="15.75" customHeight="1" s="195"/>
    <row r="909" ht="15.75" customHeight="1" s="195"/>
    <row r="910" ht="15.75" customHeight="1" s="195"/>
    <row r="911" ht="15.75" customHeight="1" s="195"/>
    <row r="912" ht="15.75" customHeight="1" s="195"/>
    <row r="913" ht="15.75" customHeight="1" s="195"/>
    <row r="914" ht="15.75" customHeight="1" s="195"/>
    <row r="915" ht="15.75" customHeight="1" s="195"/>
    <row r="916" ht="15.75" customHeight="1" s="195"/>
    <row r="917" ht="15.75" customHeight="1" s="195"/>
    <row r="918" ht="15.75" customHeight="1" s="195"/>
    <row r="919" ht="15.75" customHeight="1" s="195"/>
    <row r="920" ht="15.75" customHeight="1" s="195"/>
    <row r="921" ht="15.75" customHeight="1" s="195"/>
    <row r="922" ht="15.75" customHeight="1" s="195"/>
    <row r="923" ht="15.75" customHeight="1" s="195"/>
    <row r="924" ht="15.75" customHeight="1" s="195"/>
    <row r="925" ht="15.75" customHeight="1" s="195"/>
    <row r="926" ht="15.75" customHeight="1" s="195"/>
    <row r="927" ht="15.75" customHeight="1" s="195"/>
    <row r="928" ht="15.75" customHeight="1" s="195"/>
    <row r="929" ht="15.75" customHeight="1" s="195"/>
    <row r="930" ht="15.75" customHeight="1" s="195"/>
    <row r="931" ht="15.75" customHeight="1" s="195"/>
    <row r="932" ht="15.75" customHeight="1" s="195"/>
    <row r="933" ht="15.75" customHeight="1" s="195"/>
    <row r="934" ht="15.75" customHeight="1" s="195"/>
    <row r="935" ht="15.75" customHeight="1" s="195"/>
    <row r="936" ht="15.75" customHeight="1" s="195"/>
    <row r="937" ht="15.75" customHeight="1" s="195"/>
    <row r="938" ht="15.75" customHeight="1" s="195"/>
    <row r="939" ht="15.75" customHeight="1" s="195"/>
    <row r="940" ht="15.75" customHeight="1" s="195"/>
    <row r="941" ht="15.75" customHeight="1" s="195"/>
    <row r="942" ht="15.75" customHeight="1" s="195"/>
    <row r="943" ht="15.75" customHeight="1" s="195"/>
    <row r="944" ht="15.75" customHeight="1" s="195"/>
    <row r="945" ht="15.75" customHeight="1" s="195"/>
    <row r="946" ht="15.75" customHeight="1" s="195"/>
    <row r="947" ht="15.75" customHeight="1" s="195"/>
    <row r="948" ht="15.75" customHeight="1" s="195"/>
    <row r="949" ht="15.75" customHeight="1" s="195"/>
    <row r="950" ht="15.75" customHeight="1" s="195"/>
    <row r="951" ht="15.75" customHeight="1" s="195"/>
    <row r="952" ht="15.75" customHeight="1" s="195"/>
    <row r="953" ht="15.75" customHeight="1" s="195"/>
    <row r="954" ht="15.75" customHeight="1" s="195"/>
    <row r="955" ht="15.75" customHeight="1" s="195"/>
    <row r="956" ht="15.75" customHeight="1" s="195"/>
    <row r="957" ht="15.75" customHeight="1" s="195"/>
    <row r="958" ht="15.75" customHeight="1" s="195"/>
    <row r="959" ht="15.75" customHeight="1" s="195"/>
    <row r="960" ht="15.75" customHeight="1" s="195"/>
    <row r="961" ht="15.75" customHeight="1" s="195"/>
    <row r="962" ht="15.75" customHeight="1" s="195"/>
    <row r="963" ht="15.75" customHeight="1" s="195"/>
    <row r="964" ht="15.75" customHeight="1" s="195"/>
    <row r="965" ht="15.75" customHeight="1" s="195"/>
    <row r="966" ht="15.75" customHeight="1" s="195"/>
    <row r="967" ht="15.75" customHeight="1" s="195"/>
    <row r="968" ht="15.75" customHeight="1" s="195"/>
    <row r="969" ht="15.75" customHeight="1" s="195"/>
    <row r="970" ht="15.75" customHeight="1" s="195"/>
    <row r="971" ht="15.75" customHeight="1" s="195"/>
    <row r="972" ht="15.75" customHeight="1" s="195"/>
    <row r="973" ht="15.75" customHeight="1" s="195"/>
    <row r="974" ht="15.75" customHeight="1" s="195"/>
    <row r="975" ht="15.75" customHeight="1" s="195"/>
    <row r="976" ht="15.75" customHeight="1" s="195"/>
    <row r="977" ht="15.75" customHeight="1" s="195"/>
    <row r="978" ht="15.75" customHeight="1" s="195"/>
    <row r="979" ht="15.75" customHeight="1" s="195"/>
    <row r="980" ht="15.75" customHeight="1" s="195"/>
    <row r="981" ht="15.75" customHeight="1" s="195"/>
    <row r="982" ht="15.75" customHeight="1" s="195"/>
    <row r="983" ht="15.75" customHeight="1" s="195"/>
    <row r="984" ht="15.75" customHeight="1" s="195"/>
    <row r="985" ht="15.75" customHeight="1" s="195"/>
    <row r="986" ht="15.75" customHeight="1" s="195"/>
    <row r="987" ht="15.75" customHeight="1" s="195"/>
    <row r="988" ht="15.75" customHeight="1" s="195"/>
    <row r="989" ht="15.75" customHeight="1" s="195"/>
    <row r="990" ht="15.75" customHeight="1" s="195"/>
    <row r="991" ht="15.75" customHeight="1" s="195"/>
    <row r="992" ht="15.75" customHeight="1" s="195"/>
    <row r="993" ht="15.75" customHeight="1" s="195"/>
    <row r="994" ht="15.75" customHeight="1" s="195"/>
    <row r="995" ht="15.75" customHeight="1" s="195"/>
    <row r="996" ht="15.75" customHeight="1" s="195"/>
    <row r="997" ht="15.75" customHeight="1" s="195"/>
    <row r="998" ht="15.75" customHeight="1" s="195"/>
    <row r="999" ht="15.75" customHeight="1" s="195"/>
    <row r="1000" ht="15.75" customHeight="1" s="195"/>
  </sheetData>
  <mergeCells count="13">
    <mergeCell ref="D2:F2"/>
    <mergeCell ref="G2:I2"/>
    <mergeCell ref="S2:T2"/>
    <mergeCell ref="J2:L2"/>
    <mergeCell ref="A506:G506"/>
    <mergeCell ref="U2:V2"/>
    <mergeCell ref="A4:Y4"/>
    <mergeCell ref="P2:R2"/>
    <mergeCell ref="A1:Y1"/>
    <mergeCell ref="W2:AC2"/>
    <mergeCell ref="A104:J104"/>
    <mergeCell ref="M2:O2"/>
    <mergeCell ref="A2:C2"/>
  </mergeCells>
  <conditionalFormatting sqref="T6:T505">
    <cfRule type="expression" rank="0" priority="2" equalAverage="0" aboveAverage="0" dxfId="0" text="" percent="0" bottom="0">
      <formula>EXACT(T6,"APROBADO")</formula>
    </cfRule>
    <cfRule type="expression" rank="0" priority="3" equalAverage="0" aboveAverage="0" dxfId="7" text="" percent="0" bottom="0">
      <formula>EXACT(T6,"PENDIENTE")</formula>
    </cfRule>
  </conditionalFormatting>
  <conditionalFormatting sqref="K6:K505">
    <cfRule type="expression" rank="0" priority="4" equalAverage="0" aboveAverage="0" dxfId="8" text="" percent="0" bottom="0">
      <formula>EXACT(K6,"GASOLINA")</formula>
    </cfRule>
  </conditionalFormatting>
  <conditionalFormatting sqref="Y4:Y130">
    <cfRule type="expression" rank="0" priority="5" equalAverage="0" aboveAverage="0" dxfId="9" text="" percent="0" bottom="0">
      <formula>Y4&lt;&gt;""</formula>
    </cfRule>
  </conditionalFormatting>
  <dataValidations count="4">
    <dataValidation sqref="Y5:Y130" showDropDown="0" showInputMessage="0" showErrorMessage="0" allowBlank="1" type="list" errorStyle="stop" operator="between">
      <formula1>CONDUCTORES!$H$3:$H$104</formula1>
      <formula2>0</formula2>
    </dataValidation>
    <dataValidation sqref="K6:K505" showDropDown="0" showInputMessage="0" showErrorMessage="0" allowBlank="1" type="list" errorStyle="stop" operator="between">
      <formula1>"PETROLEO,GASOLINA"</formula1>
      <formula2>0</formula2>
    </dataValidation>
    <dataValidation sqref="E6:E103 E105:E505" showDropDown="0" showInputMessage="0" showErrorMessage="0" allowBlank="1" type="list" errorStyle="stop" operator="between">
      <formula1>"DNI,CE,PASAPORTE"</formula1>
      <formula2>0</formula2>
    </dataValidation>
    <dataValidation sqref="T6:T505" showDropDown="0" showInputMessage="0" showErrorMessage="0" allowBlank="1" type="list" errorStyle="stop" operator="between">
      <formula1>"APROBADO,PENDIENTE,OBSERVADO"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C5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14.43359375" defaultRowHeight="15" zeroHeight="0" outlineLevelRow="0"/>
  <cols>
    <col width="5" customWidth="1" style="194" min="1" max="1"/>
    <col width="14" customWidth="1" style="194" min="2" max="2"/>
    <col width="8" customWidth="1" style="194" min="3" max="3"/>
    <col width="28" customWidth="1" style="194" min="4" max="4"/>
    <col width="7" customWidth="1" style="194" min="5" max="5"/>
    <col width="14" customWidth="1" style="194" min="6" max="6"/>
    <col width="12" customWidth="1" style="194" min="7" max="7"/>
    <col width="10" customWidth="1" style="194" min="8" max="8"/>
    <col width="30" customWidth="1" style="194" min="9" max="9"/>
    <col width="10" customWidth="1" style="194" min="10" max="10"/>
    <col width="12" customWidth="1" style="194" min="11" max="11"/>
    <col width="10" customWidth="1" style="194" min="12" max="13"/>
    <col width="14" customWidth="1" style="194" min="14" max="15"/>
    <col width="28" customWidth="1" style="194" min="16" max="16"/>
    <col width="12" customWidth="1" style="194" min="17" max="18"/>
    <col width="16" customWidth="1" style="194" min="19" max="19"/>
    <col width="12" customWidth="1" style="194" min="20" max="21"/>
    <col width="14" customWidth="1" style="194" min="22" max="23"/>
    <col width="8" customWidth="1" style="194" min="24" max="24"/>
    <col width="22" customWidth="1" style="194" min="25" max="25"/>
    <col width="8.710000000000001" customWidth="1" style="194" min="26" max="29"/>
  </cols>
  <sheetData>
    <row r="1" ht="27.75" customHeight="1" s="195">
      <c r="A1" s="317" t="inlineStr">
        <is>
          <t>REPORTE DE TRASLADO DE PACIENTES SIS DEL MES DE OCTUBRE 2025 PARA REPOSICION DE COMBUSTIBLE</t>
        </is>
      </c>
    </row>
    <row r="2" ht="21.75" customHeight="1" s="195">
      <c r="A2" s="318" t="inlineStr">
        <is>
          <t>TOTAL PETROLEO (gal):</t>
        </is>
      </c>
      <c r="D2" s="319">
        <f>IFERROR(SUMPRODUCT((K4:K111="PETROLEO")*ISNUMBER(M4:M111)*M4:M111),0)</f>
        <v/>
      </c>
      <c r="G2" s="318" t="inlineStr">
        <is>
          <t>TOTAL GASOLINA (gal):</t>
        </is>
      </c>
      <c r="J2" s="319">
        <f>IFERROR(SUMPRODUCT((K4:K111="GASOLINA")*ISNUMBER(M4:M111)*M4:M111),0)</f>
        <v/>
      </c>
      <c r="M2" s="318" t="inlineStr">
        <is>
          <t>TOTAL SOLES S/.:</t>
        </is>
      </c>
      <c r="P2" s="320">
        <f>IFERROR(SUMPRODUCT(ISNUMBER(M4:M111)*L4:L111*M4:M111),0)</f>
        <v/>
      </c>
      <c r="S2" s="318" t="inlineStr">
        <is>
          <t>N TRASLADOS:</t>
        </is>
      </c>
      <c r="U2" s="321">
        <f>SUBTOTAL(2,A4:A111)</f>
        <v/>
      </c>
      <c r="W2" s="322" t="inlineStr">
        <is>
          <t>↑ Al filtrar por EESS los totales cambian automáticamente</t>
        </is>
      </c>
    </row>
    <row r="3" ht="3.75" customHeight="1" s="195">
      <c r="A3" s="323" t="n"/>
      <c r="B3" s="323" t="n"/>
      <c r="C3" s="323" t="n"/>
      <c r="D3" s="323" t="n"/>
      <c r="E3" s="323" t="n"/>
      <c r="F3" s="323" t="n"/>
      <c r="G3" s="323" t="n"/>
      <c r="H3" s="323" t="n"/>
      <c r="I3" s="323" t="n"/>
      <c r="J3" s="323" t="n"/>
      <c r="K3" s="323" t="n"/>
      <c r="L3" s="323" t="n"/>
      <c r="M3" s="323" t="n"/>
      <c r="N3" s="323" t="n"/>
      <c r="O3" s="323" t="n"/>
      <c r="P3" s="323" t="n"/>
      <c r="Q3" s="323" t="n"/>
      <c r="R3" s="323" t="n"/>
      <c r="S3" s="323" t="n"/>
      <c r="T3" s="323" t="n"/>
      <c r="U3" s="323" t="n"/>
      <c r="V3" s="323" t="n"/>
      <c r="W3" s="323" t="n"/>
      <c r="X3" s="323" t="n"/>
      <c r="Y3" s="324" t="inlineStr">
        <is>
          <t>DEVOLVER A
(IPRESS DESTINO)</t>
        </is>
      </c>
    </row>
    <row r="4" ht="19.5" customHeight="1" s="195">
      <c r="A4" s="325" t="inlineStr">
        <is>
          <t>COLUMNAS EN AZUL = AUTO (no editar) | Ingrese: N, NRO FORMATO, AFILIADO, TIPO DOC, NRO DOC, FECHA TRASLADO, COD RENAES, COD REFERENCIA, DNI CONDUCTOR, PRECIO GAL, GALONES, FECHA ENTREGA, CIE-10, ESTADO FUA, FECHA DIGITACION, OFICIO, O/C, META, OBSERVACION</t>
        </is>
      </c>
    </row>
    <row r="5" ht="30" customHeight="1" s="195">
      <c r="A5" s="326" t="inlineStr">
        <is>
          <t>N</t>
        </is>
      </c>
      <c r="B5" s="327" t="inlineStr">
        <is>
          <t>NRO FORMATO
ATENCION</t>
        </is>
      </c>
      <c r="C5" s="327" t="inlineStr">
        <is>
          <t>UNIDAD
EJECUTORA</t>
        </is>
      </c>
      <c r="D5" s="327" t="inlineStr">
        <is>
          <t>AFILIADO</t>
        </is>
      </c>
      <c r="E5" s="327" t="inlineStr">
        <is>
          <t>TIPO
DOC</t>
        </is>
      </c>
      <c r="F5" s="327" t="inlineStr">
        <is>
          <t>NRO
DOCUMENTO</t>
        </is>
      </c>
      <c r="G5" s="327" t="inlineStr">
        <is>
          <t>FECHA
TRASLADO</t>
        </is>
      </c>
      <c r="H5" s="327" t="inlineStr">
        <is>
          <t>COD
RENAES</t>
        </is>
      </c>
      <c r="I5" s="328" t="inlineStr">
        <is>
          <t>DESCRIPCION
EESS</t>
        </is>
      </c>
      <c r="J5" s="327" t="inlineStr">
        <is>
          <t>COD EESS
REFERENCIA</t>
        </is>
      </c>
      <c r="K5" s="328" t="inlineStr">
        <is>
          <t>TIPO DE
COMBUSTIBLE</t>
        </is>
      </c>
      <c r="L5" s="327" t="inlineStr">
        <is>
          <t>PRECIO
GAL S/.</t>
        </is>
      </c>
      <c r="M5" s="327" t="inlineStr">
        <is>
          <t>GALONES</t>
        </is>
      </c>
      <c r="N5" s="328" t="inlineStr">
        <is>
          <t>TOTAL
COMBUSTIBLE S/.</t>
        </is>
      </c>
      <c r="O5" s="327" t="inlineStr">
        <is>
          <t>DNI
CONDUCTOR</t>
        </is>
      </c>
      <c r="P5" s="329">
        <f>IFERROR(VLOOKUP(TEXT(O5,"0"),CONDUCTORES!$A$3:$G$100,2,0),"")</f>
        <v/>
      </c>
      <c r="Q5" s="329">
        <f>IFERROR(VLOOKUP(TEXT(O5,"0"),CONDUCTORES!$A$3:$H$100,6,0),"")</f>
        <v/>
      </c>
      <c r="R5" s="327" t="inlineStr">
        <is>
          <t>FECHA DE
ENTREGA</t>
        </is>
      </c>
      <c r="S5" s="327" t="inlineStr">
        <is>
          <t>CODIGO DE
DIAGNOSTICO</t>
        </is>
      </c>
      <c r="T5" s="327" t="inlineStr">
        <is>
          <t>ESTADO
FUA</t>
        </is>
      </c>
      <c r="U5" s="327" t="inlineStr">
        <is>
          <t>FECHA
DIGITACION</t>
        </is>
      </c>
      <c r="V5" s="327" t="inlineStr">
        <is>
          <t>OFICIO</t>
        </is>
      </c>
      <c r="W5" s="327" t="inlineStr">
        <is>
          <t>O/C</t>
        </is>
      </c>
      <c r="X5" s="327" t="inlineStr">
        <is>
          <t>META</t>
        </is>
      </c>
      <c r="Y5" s="330" t="inlineStr">
        <is>
          <t>OBSERVACION</t>
        </is>
      </c>
    </row>
    <row r="6" ht="15.75" customHeight="1" s="195">
      <c r="A6" s="337" t="n">
        <v>1</v>
      </c>
      <c r="B6" s="338" t="inlineStr">
        <is>
          <t>00000001</t>
        </is>
      </c>
      <c r="C6" s="337" t="inlineStr">
        <is>
          <t>REGION</t>
        </is>
      </c>
      <c r="D6" s="338" t="inlineStr">
        <is>
          <t>RUIZ TAPIA NOE</t>
        </is>
      </c>
      <c r="E6" s="337" t="inlineStr">
        <is>
          <t>DNI</t>
        </is>
      </c>
      <c r="F6" s="337" t="inlineStr">
        <is>
          <t>40051144</t>
        </is>
      </c>
      <c r="G6" s="339" t="n">
        <v>45955</v>
      </c>
      <c r="H6" s="337" t="inlineStr">
        <is>
          <t>7206</t>
        </is>
      </c>
      <c r="I6" s="332">
        <f>IFERROR(VLOOKUP(TEXT(H6,"0"),IPRESS!$A$3:$B$212,2,0),"")</f>
        <v/>
      </c>
      <c r="J6" s="337" t="inlineStr">
        <is>
          <t>4838</t>
        </is>
      </c>
      <c r="K6" s="332">
        <f>IFERROR(VLOOKUP(TEXT(O6,"0"),CONDUCTORES!$A$3:$G$100,7,0),"")</f>
        <v/>
      </c>
      <c r="L6" s="340" t="n">
        <v>17.95</v>
      </c>
      <c r="M6" s="340" t="n">
        <v>15</v>
      </c>
      <c r="N6" s="333">
        <f>IFERROR(IF(L6*M6=0,"",L6*M6),"")</f>
        <v/>
      </c>
      <c r="O6" s="280" t="n"/>
      <c r="P6" s="332">
        <f>IFERROR(VLOOKUP(TEXT(O6,"0"),CONDUCTORES!$A$3:$G$100,2,0),"")</f>
        <v/>
      </c>
      <c r="Q6" s="332">
        <f>IFERROR(VLOOKUP(TEXT(O6,"0"),CONDUCTORES!$A$3:$H$100,6,0),"")</f>
        <v/>
      </c>
      <c r="R6" s="341" t="n"/>
      <c r="S6" s="338" t="inlineStr">
        <is>
          <t>I679</t>
        </is>
      </c>
      <c r="T6" s="337" t="inlineStr">
        <is>
          <t>DEVOLVER AL C.S. COCOBAMBA</t>
        </is>
      </c>
      <c r="U6" s="341" t="n"/>
      <c r="V6" s="337" t="n"/>
      <c r="W6" s="337" t="n"/>
      <c r="X6" s="337" t="n"/>
      <c r="Y6" s="280" t="n"/>
    </row>
    <row r="7" ht="15.75" customHeight="1" s="195">
      <c r="A7" s="241" t="n">
        <v>2</v>
      </c>
      <c r="B7" s="305" t="inlineStr">
        <is>
          <t>00000011</t>
        </is>
      </c>
      <c r="C7" s="241" t="inlineStr">
        <is>
          <t>REGION</t>
        </is>
      </c>
      <c r="D7" s="305" t="inlineStr">
        <is>
          <t>LOBATO FERNANDEZ OSCAR DEMETRIO</t>
        </is>
      </c>
      <c r="E7" s="241" t="inlineStr">
        <is>
          <t>DNI</t>
        </is>
      </c>
      <c r="F7" s="241" t="inlineStr">
        <is>
          <t>33798656</t>
        </is>
      </c>
      <c r="G7" s="336" t="n">
        <v>45931</v>
      </c>
      <c r="H7" s="241" t="inlineStr">
        <is>
          <t>4873</t>
        </is>
      </c>
      <c r="I7" s="332">
        <f>IFERROR(VLOOKUP(TEXT(H7,"0"),IPRESS!$A$3:$B$212,2,0),"")</f>
        <v/>
      </c>
      <c r="J7" s="241" t="inlineStr">
        <is>
          <t>4838</t>
        </is>
      </c>
      <c r="K7" s="332">
        <f>IFERROR(VLOOKUP(TEXT(O7,"0"),CONDUCTORES!$A$3:$G$100,7,0),"")</f>
        <v/>
      </c>
      <c r="L7" s="239" t="n">
        <v>18.18</v>
      </c>
      <c r="M7" s="239" t="n">
        <v>25</v>
      </c>
      <c r="N7" s="333">
        <f>IFERROR(IF(L7*M7=0,"",L7*M7),"")</f>
        <v/>
      </c>
      <c r="O7" s="334" t="n"/>
      <c r="P7" s="332">
        <f>IFERROR(VLOOKUP(TEXT(O7,"0"),CONDUCTORES!$A$3:$G$100,2,0),"")</f>
        <v/>
      </c>
      <c r="Q7" s="332">
        <f>IFERROR(VLOOKUP(TEXT(O7,"0"),CONDUCTORES!$A$3:$H$100,6,0),"")</f>
        <v/>
      </c>
      <c r="R7" s="336" t="n">
        <v>45988</v>
      </c>
      <c r="S7" s="305" t="inlineStr">
        <is>
          <t>J128,A419</t>
        </is>
      </c>
      <c r="T7" s="241" t="inlineStr">
        <is>
          <t>DEVOLVER A COCOCHO</t>
        </is>
      </c>
      <c r="U7" s="280" t="n"/>
      <c r="V7" s="241" t="n"/>
      <c r="W7" s="241" t="n"/>
      <c r="X7" s="241" t="n"/>
      <c r="Y7" s="280" t="n"/>
    </row>
    <row r="8" ht="15.75" customHeight="1" s="195">
      <c r="A8" s="301" t="n">
        <v>3</v>
      </c>
      <c r="B8" s="302" t="inlineStr">
        <is>
          <t>00000012</t>
        </is>
      </c>
      <c r="C8" s="301" t="inlineStr">
        <is>
          <t>REGION</t>
        </is>
      </c>
      <c r="D8" s="302" t="inlineStr">
        <is>
          <t>GONZALES GAONA EDILBERTO</t>
        </is>
      </c>
      <c r="E8" s="301" t="inlineStr">
        <is>
          <t>DNI</t>
        </is>
      </c>
      <c r="F8" s="301" t="inlineStr">
        <is>
          <t>27746035</t>
        </is>
      </c>
      <c r="G8" s="331" t="n">
        <v>45954</v>
      </c>
      <c r="H8" s="301" t="inlineStr">
        <is>
          <t>4873</t>
        </is>
      </c>
      <c r="I8" s="332">
        <f>IFERROR(VLOOKUP(TEXT(H8,"0"),IPRESS!$A$3:$B$212,2,0),"")</f>
        <v/>
      </c>
      <c r="J8" s="301" t="inlineStr">
        <is>
          <t>4838</t>
        </is>
      </c>
      <c r="K8" s="332">
        <f>IFERROR(VLOOKUP(TEXT(O8,"0"),CONDUCTORES!$A$3:$G$100,7,0),"")</f>
        <v/>
      </c>
      <c r="L8" s="245" t="n">
        <v>18.18</v>
      </c>
      <c r="M8" s="245" t="n">
        <v>25</v>
      </c>
      <c r="N8" s="333">
        <f>IFERROR(IF(L8*M8=0,"",L8*M8),"")</f>
        <v/>
      </c>
      <c r="O8" s="280" t="n"/>
      <c r="P8" s="332">
        <f>IFERROR(VLOOKUP(TEXT(O8,"0"),CONDUCTORES!$A$3:$G$100,2,0),"")</f>
        <v/>
      </c>
      <c r="Q8" s="332">
        <f>IFERROR(VLOOKUP(TEXT(O8,"0"),CONDUCTORES!$A$3:$H$100,6,0),"")</f>
        <v/>
      </c>
      <c r="R8" s="331" t="n">
        <v>45988</v>
      </c>
      <c r="S8" s="302" t="inlineStr">
        <is>
          <t>K37X</t>
        </is>
      </c>
      <c r="T8" s="301" t="inlineStr">
        <is>
          <t>DEVOLVER EL COMBUSTIBLE AL C.S. COCOCHO</t>
        </is>
      </c>
      <c r="U8" s="334" t="n"/>
      <c r="V8" s="301" t="n"/>
      <c r="W8" s="301" t="n"/>
      <c r="X8" s="301" t="n"/>
      <c r="Y8" s="280" t="n"/>
    </row>
    <row r="9" ht="15.75" customHeight="1" s="195">
      <c r="A9" s="241" t="n">
        <v>4</v>
      </c>
      <c r="B9" s="305" t="inlineStr">
        <is>
          <t>00000009</t>
        </is>
      </c>
      <c r="C9" s="241" t="inlineStr">
        <is>
          <t>REGION</t>
        </is>
      </c>
      <c r="D9" s="305" t="inlineStr">
        <is>
          <t>ZAMORA PELAEZ EXIQUEL</t>
        </is>
      </c>
      <c r="E9" s="241" t="inlineStr">
        <is>
          <t>DNI</t>
        </is>
      </c>
      <c r="F9" s="241" t="inlineStr">
        <is>
          <t>33412405</t>
        </is>
      </c>
      <c r="G9" s="336" t="n">
        <v>45940</v>
      </c>
      <c r="H9" s="241" t="inlineStr">
        <is>
          <t>4858</t>
        </is>
      </c>
      <c r="I9" s="332">
        <f>IFERROR(VLOOKUP(TEXT(H9,"0"),IPRESS!$A$3:$B$212,2,0),"")</f>
        <v/>
      </c>
      <c r="J9" s="241" t="inlineStr">
        <is>
          <t>4838</t>
        </is>
      </c>
      <c r="K9" s="332">
        <f>IFERROR(VLOOKUP(TEXT(O9,"0"),CONDUCTORES!$A$3:$G$100,7,0),"")</f>
        <v/>
      </c>
      <c r="L9" s="239" t="n">
        <v>18.18</v>
      </c>
      <c r="M9" s="239" t="n">
        <v>15</v>
      </c>
      <c r="N9" s="333">
        <f>IFERROR(IF(L9*M9=0,"",L9*M9),"")</f>
        <v/>
      </c>
      <c r="O9" s="334" t="n"/>
      <c r="P9" s="332">
        <f>IFERROR(VLOOKUP(TEXT(O9,"0"),CONDUCTORES!$A$3:$G$100,2,0),"")</f>
        <v/>
      </c>
      <c r="Q9" s="332">
        <f>IFERROR(VLOOKUP(TEXT(O9,"0"),CONDUCTORES!$A$3:$H$100,6,0),"")</f>
        <v/>
      </c>
      <c r="R9" s="336" t="n">
        <v>45992</v>
      </c>
      <c r="S9" s="305" t="inlineStr">
        <is>
          <t>H402,I10X</t>
        </is>
      </c>
      <c r="T9" s="241" t="n"/>
      <c r="U9" s="280" t="n"/>
      <c r="V9" s="241" t="n"/>
      <c r="W9" s="241" t="n"/>
      <c r="X9" s="241" t="n"/>
      <c r="Y9" s="280" t="n"/>
    </row>
    <row r="10" ht="15.75" customHeight="1" s="195">
      <c r="A10" s="301" t="n">
        <v>5</v>
      </c>
      <c r="B10" s="302" t="inlineStr">
        <is>
          <t>00000018</t>
        </is>
      </c>
      <c r="C10" s="301" t="inlineStr">
        <is>
          <t>REGION</t>
        </is>
      </c>
      <c r="D10" s="302" t="inlineStr">
        <is>
          <t>PULCE POQUIOMA MONICA MARIA</t>
        </is>
      </c>
      <c r="E10" s="301" t="inlineStr">
        <is>
          <t>DNI</t>
        </is>
      </c>
      <c r="F10" s="301" t="inlineStr">
        <is>
          <t>77059820</t>
        </is>
      </c>
      <c r="G10" s="331" t="n">
        <v>45933</v>
      </c>
      <c r="H10" s="301" t="inlineStr">
        <is>
          <t>4874</t>
        </is>
      </c>
      <c r="I10" s="332">
        <f>IFERROR(VLOOKUP(TEXT(H10,"0"),IPRESS!$A$3:$B$212,2,0),"")</f>
        <v/>
      </c>
      <c r="J10" s="301" t="inlineStr">
        <is>
          <t>4838</t>
        </is>
      </c>
      <c r="K10" s="332">
        <f>IFERROR(VLOOKUP(TEXT(O10,"0"),CONDUCTORES!$A$3:$G$100,7,0),"")</f>
        <v/>
      </c>
      <c r="L10" s="245" t="n">
        <v>18.18</v>
      </c>
      <c r="M10" s="245" t="n">
        <v>25</v>
      </c>
      <c r="N10" s="333">
        <f>IFERROR(IF(L10*M10=0,"",L10*M10),"")</f>
        <v/>
      </c>
      <c r="O10" s="280" t="n"/>
      <c r="P10" s="332">
        <f>IFERROR(VLOOKUP(TEXT(O10,"0"),CONDUCTORES!$A$3:$G$100,2,0),"")</f>
        <v/>
      </c>
      <c r="Q10" s="332">
        <f>IFERROR(VLOOKUP(TEXT(O10,"0"),CONDUCTORES!$A$3:$H$100,6,0),"")</f>
        <v/>
      </c>
      <c r="R10" s="331" t="n">
        <v>45989</v>
      </c>
      <c r="S10" s="302" t="inlineStr">
        <is>
          <t>O200,O034</t>
        </is>
      </c>
      <c r="T10" s="301" t="n"/>
      <c r="U10" s="334" t="n"/>
      <c r="V10" s="301" t="inlineStr">
        <is>
          <t>6090-2025</t>
        </is>
      </c>
      <c r="W10" s="301" t="inlineStr">
        <is>
          <t>CONTRATO No 001-2025 DYT</t>
        </is>
      </c>
      <c r="X10" s="301" t="inlineStr">
        <is>
          <t>266.0</t>
        </is>
      </c>
      <c r="Y10" s="280" t="n"/>
    </row>
    <row r="11" ht="15.75" customHeight="1" s="195">
      <c r="A11" s="241" t="n">
        <v>6</v>
      </c>
      <c r="B11" s="305" t="inlineStr">
        <is>
          <t>00000021</t>
        </is>
      </c>
      <c r="C11" s="241" t="inlineStr">
        <is>
          <t>REGION</t>
        </is>
      </c>
      <c r="D11" s="305" t="inlineStr">
        <is>
          <t>NIÑO CHUQUIPATA JUAN</t>
        </is>
      </c>
      <c r="E11" s="241" t="inlineStr">
        <is>
          <t>DNI</t>
        </is>
      </c>
      <c r="F11" s="241" t="inlineStr">
        <is>
          <t>33783721</t>
        </is>
      </c>
      <c r="G11" s="336" t="n">
        <v>45944</v>
      </c>
      <c r="H11" s="241" t="inlineStr">
        <is>
          <t>4874</t>
        </is>
      </c>
      <c r="I11" s="332">
        <f>IFERROR(VLOOKUP(TEXT(H11,"0"),IPRESS!$A$3:$B$212,2,0),"")</f>
        <v/>
      </c>
      <c r="J11" s="241" t="inlineStr">
        <is>
          <t>4838</t>
        </is>
      </c>
      <c r="K11" s="332">
        <f>IFERROR(VLOOKUP(TEXT(O11,"0"),CONDUCTORES!$A$3:$G$100,7,0),"")</f>
        <v/>
      </c>
      <c r="L11" s="239" t="n">
        <v>18.18</v>
      </c>
      <c r="M11" s="239" t="n">
        <v>25</v>
      </c>
      <c r="N11" s="333">
        <f>IFERROR(IF(L11*M11=0,"",L11*M11),"")</f>
        <v/>
      </c>
      <c r="O11" s="334" t="n"/>
      <c r="P11" s="332">
        <f>IFERROR(VLOOKUP(TEXT(O11,"0"),CONDUCTORES!$A$3:$G$100,2,0),"")</f>
        <v/>
      </c>
      <c r="Q11" s="332">
        <f>IFERROR(VLOOKUP(TEXT(O11,"0"),CONDUCTORES!$A$3:$H$100,6,0),"")</f>
        <v/>
      </c>
      <c r="R11" s="336" t="n">
        <v>45989</v>
      </c>
      <c r="S11" s="305" t="inlineStr">
        <is>
          <t>J969,J13X</t>
        </is>
      </c>
      <c r="T11" s="241" t="n"/>
      <c r="U11" s="280" t="n"/>
      <c r="V11" s="241" t="inlineStr">
        <is>
          <t>6090-2025</t>
        </is>
      </c>
      <c r="W11" s="241" t="inlineStr">
        <is>
          <t>CONTRATO No 001-2025 DYT</t>
        </is>
      </c>
      <c r="X11" s="241" t="inlineStr">
        <is>
          <t>266.0</t>
        </is>
      </c>
      <c r="Y11" s="280" t="n"/>
    </row>
    <row r="12" ht="15.75" customHeight="1" s="195">
      <c r="A12" s="301" t="n">
        <v>7</v>
      </c>
      <c r="B12" s="302" t="inlineStr">
        <is>
          <t>00000019</t>
        </is>
      </c>
      <c r="C12" s="301" t="inlineStr">
        <is>
          <t>REGION</t>
        </is>
      </c>
      <c r="D12" s="302" t="inlineStr">
        <is>
          <t>VASQUEZ FLORES MEDALY</t>
        </is>
      </c>
      <c r="E12" s="301" t="inlineStr">
        <is>
          <t>DNI</t>
        </is>
      </c>
      <c r="F12" s="301" t="inlineStr">
        <is>
          <t>76749169</t>
        </is>
      </c>
      <c r="G12" s="331" t="n">
        <v>45946</v>
      </c>
      <c r="H12" s="301" t="inlineStr">
        <is>
          <t>4874</t>
        </is>
      </c>
      <c r="I12" s="332">
        <f>IFERROR(VLOOKUP(TEXT(H12,"0"),IPRESS!$A$3:$B$212,2,0),"")</f>
        <v/>
      </c>
      <c r="J12" s="301" t="inlineStr">
        <is>
          <t>5125</t>
        </is>
      </c>
      <c r="K12" s="332">
        <f>IFERROR(VLOOKUP(TEXT(O12,"0"),CONDUCTORES!$A$3:$G$100,7,0),"")</f>
        <v/>
      </c>
      <c r="L12" s="245" t="n">
        <v>18.18</v>
      </c>
      <c r="M12" s="245" t="n">
        <v>20</v>
      </c>
      <c r="N12" s="333">
        <f>IFERROR(IF(L12*M12=0,"",L12*M12),"")</f>
        <v/>
      </c>
      <c r="O12" s="280" t="n"/>
      <c r="P12" s="332">
        <f>IFERROR(VLOOKUP(TEXT(O12,"0"),CONDUCTORES!$A$3:$G$100,2,0),"")</f>
        <v/>
      </c>
      <c r="Q12" s="332">
        <f>IFERROR(VLOOKUP(TEXT(O12,"0"),CONDUCTORES!$A$3:$H$100,6,0),"")</f>
        <v/>
      </c>
      <c r="R12" s="331" t="n">
        <v>45989</v>
      </c>
      <c r="S12" s="302" t="inlineStr">
        <is>
          <t>Z359,P95X</t>
        </is>
      </c>
      <c r="T12" s="301" t="n"/>
      <c r="U12" s="334" t="n"/>
      <c r="V12" s="301" t="inlineStr">
        <is>
          <t>6090-2025</t>
        </is>
      </c>
      <c r="W12" s="301" t="inlineStr">
        <is>
          <t>CONTRATO No 001-2025 DYT</t>
        </is>
      </c>
      <c r="X12" s="301" t="inlineStr">
        <is>
          <t>266.0</t>
        </is>
      </c>
      <c r="Y12" s="280" t="n"/>
    </row>
    <row r="13" ht="15.75" customHeight="1" s="195">
      <c r="A13" s="241" t="n">
        <v>8</v>
      </c>
      <c r="B13" s="305" t="inlineStr">
        <is>
          <t>00000020</t>
        </is>
      </c>
      <c r="C13" s="241" t="inlineStr">
        <is>
          <t>REGION</t>
        </is>
      </c>
      <c r="D13" s="305" t="inlineStr">
        <is>
          <t>PERALTA RODRIGUEZ LISBETH JHOVANI</t>
        </is>
      </c>
      <c r="E13" s="241" t="inlineStr">
        <is>
          <t>DNI</t>
        </is>
      </c>
      <c r="F13" s="241" t="inlineStr">
        <is>
          <t>76393656</t>
        </is>
      </c>
      <c r="G13" s="336" t="n">
        <v>45950</v>
      </c>
      <c r="H13" s="241" t="inlineStr">
        <is>
          <t>4874</t>
        </is>
      </c>
      <c r="I13" s="332">
        <f>IFERROR(VLOOKUP(TEXT(H13,"0"),IPRESS!$A$3:$B$212,2,0),"")</f>
        <v/>
      </c>
      <c r="J13" s="241" t="inlineStr">
        <is>
          <t>5125</t>
        </is>
      </c>
      <c r="K13" s="332">
        <f>IFERROR(VLOOKUP(TEXT(O13,"0"),CONDUCTORES!$A$3:$G$100,7,0),"")</f>
        <v/>
      </c>
      <c r="L13" s="239" t="n">
        <v>18.18</v>
      </c>
      <c r="M13" s="239" t="n">
        <v>20</v>
      </c>
      <c r="N13" s="333">
        <f>IFERROR(IF(L13*M13=0,"",L13*M13),"")</f>
        <v/>
      </c>
      <c r="O13" s="334" t="n"/>
      <c r="P13" s="332">
        <f>IFERROR(VLOOKUP(TEXT(O13,"0"),CONDUCTORES!$A$3:$G$100,2,0),"")</f>
        <v/>
      </c>
      <c r="Q13" s="332">
        <f>IFERROR(VLOOKUP(TEXT(O13,"0"),CONDUCTORES!$A$3:$H$100,6,0),"")</f>
        <v/>
      </c>
      <c r="R13" s="336" t="n">
        <v>45989</v>
      </c>
      <c r="S13" s="305" t="inlineStr">
        <is>
          <t>Z359,O420</t>
        </is>
      </c>
      <c r="T13" s="241" t="n"/>
      <c r="U13" s="280" t="n"/>
      <c r="V13" s="241" t="inlineStr">
        <is>
          <t>6090-2025</t>
        </is>
      </c>
      <c r="W13" s="241" t="inlineStr">
        <is>
          <t>CONTRATO No 001-2025 DYT</t>
        </is>
      </c>
      <c r="X13" s="241" t="inlineStr">
        <is>
          <t>266.0</t>
        </is>
      </c>
      <c r="Y13" s="280" t="n"/>
    </row>
    <row r="14" ht="15.75" customHeight="1" s="195">
      <c r="A14" s="301" t="n">
        <v>9</v>
      </c>
      <c r="B14" s="302" t="inlineStr">
        <is>
          <t>00000013</t>
        </is>
      </c>
      <c r="C14" s="301" t="inlineStr">
        <is>
          <t>REGION</t>
        </is>
      </c>
      <c r="D14" s="302" t="inlineStr">
        <is>
          <t>LOPEZ GUADALUPE NARDY FIORELA</t>
        </is>
      </c>
      <c r="E14" s="301" t="inlineStr">
        <is>
          <t>DNI</t>
        </is>
      </c>
      <c r="F14" s="301" t="inlineStr">
        <is>
          <t>79521364</t>
        </is>
      </c>
      <c r="G14" s="331" t="n">
        <v>45936</v>
      </c>
      <c r="H14" s="301" t="inlineStr">
        <is>
          <t>4843</t>
        </is>
      </c>
      <c r="I14" s="332">
        <f>IFERROR(VLOOKUP(TEXT(H14,"0"),IPRESS!$A$3:$B$212,2,0),"")</f>
        <v/>
      </c>
      <c r="J14" s="301" t="inlineStr">
        <is>
          <t>4838</t>
        </is>
      </c>
      <c r="K14" s="332">
        <f>IFERROR(VLOOKUP(TEXT(O14,"0"),CONDUCTORES!$A$3:$G$100,7,0),"")</f>
        <v/>
      </c>
      <c r="L14" s="245" t="n">
        <v>18.18</v>
      </c>
      <c r="M14" s="245" t="n">
        <v>20</v>
      </c>
      <c r="N14" s="333">
        <f>IFERROR(IF(L14*M14=0,"",L14*M14),"")</f>
        <v/>
      </c>
      <c r="O14" s="280" t="n"/>
      <c r="P14" s="332">
        <f>IFERROR(VLOOKUP(TEXT(O14,"0"),CONDUCTORES!$A$3:$G$100,2,0),"")</f>
        <v/>
      </c>
      <c r="Q14" s="332">
        <f>IFERROR(VLOOKUP(TEXT(O14,"0"),CONDUCTORES!$A$3:$H$100,6,0),"")</f>
        <v/>
      </c>
      <c r="R14" s="334" t="n"/>
      <c r="S14" s="302" t="inlineStr">
        <is>
          <t>D610</t>
        </is>
      </c>
      <c r="T14" s="301" t="n"/>
      <c r="U14" s="334" t="n"/>
      <c r="V14" s="301" t="n"/>
      <c r="W14" s="301" t="n"/>
      <c r="X14" s="301" t="n"/>
      <c r="Y14" s="280" t="n"/>
    </row>
    <row r="15" ht="15.75" customHeight="1" s="195">
      <c r="A15" s="241" t="n">
        <v>10</v>
      </c>
      <c r="B15" s="305" t="inlineStr">
        <is>
          <t>00000014</t>
        </is>
      </c>
      <c r="C15" s="241" t="inlineStr">
        <is>
          <t>REGION</t>
        </is>
      </c>
      <c r="D15" s="305" t="inlineStr">
        <is>
          <t>SAUCEDO ALVA KELLY</t>
        </is>
      </c>
      <c r="E15" s="241" t="inlineStr">
        <is>
          <t>DNI</t>
        </is>
      </c>
      <c r="F15" s="241" t="inlineStr">
        <is>
          <t>40910994</t>
        </is>
      </c>
      <c r="G15" s="336" t="n">
        <v>45941</v>
      </c>
      <c r="H15" s="241" t="inlineStr">
        <is>
          <t>4843</t>
        </is>
      </c>
      <c r="I15" s="332">
        <f>IFERROR(VLOOKUP(TEXT(H15,"0"),IPRESS!$A$3:$B$212,2,0),"")</f>
        <v/>
      </c>
      <c r="J15" s="241" t="inlineStr">
        <is>
          <t>4838</t>
        </is>
      </c>
      <c r="K15" s="332">
        <f>IFERROR(VLOOKUP(TEXT(O15,"0"),CONDUCTORES!$A$3:$G$100,7,0),"")</f>
        <v/>
      </c>
      <c r="L15" s="239" t="n">
        <v>18.18</v>
      </c>
      <c r="M15" s="239" t="n">
        <v>20</v>
      </c>
      <c r="N15" s="333">
        <f>IFERROR(IF(L15*M15=0,"",L15*M15),"")</f>
        <v/>
      </c>
      <c r="O15" s="334" t="n"/>
      <c r="P15" s="332">
        <f>IFERROR(VLOOKUP(TEXT(O15,"0"),CONDUCTORES!$A$3:$G$100,2,0),"")</f>
        <v/>
      </c>
      <c r="Q15" s="332">
        <f>IFERROR(VLOOKUP(TEXT(O15,"0"),CONDUCTORES!$A$3:$H$100,6,0),"")</f>
        <v/>
      </c>
      <c r="R15" s="280" t="n"/>
      <c r="S15" s="305" t="inlineStr">
        <is>
          <t>Z359,O429</t>
        </is>
      </c>
      <c r="T15" s="241" t="n"/>
      <c r="U15" s="280" t="n"/>
      <c r="V15" s="241" t="n"/>
      <c r="W15" s="241" t="n"/>
      <c r="X15" s="241" t="n"/>
      <c r="Y15" s="280" t="n"/>
    </row>
    <row r="16" ht="15.75" customHeight="1" s="195">
      <c r="A16" s="301" t="n">
        <v>11</v>
      </c>
      <c r="B16" s="302" t="inlineStr">
        <is>
          <t>00000016</t>
        </is>
      </c>
      <c r="C16" s="301" t="inlineStr">
        <is>
          <t>REGION</t>
        </is>
      </c>
      <c r="D16" s="302" t="inlineStr">
        <is>
          <t>AGUILAR PAREDES DELIVETH</t>
        </is>
      </c>
      <c r="E16" s="301" t="inlineStr">
        <is>
          <t>DNI</t>
        </is>
      </c>
      <c r="F16" s="301" t="inlineStr">
        <is>
          <t>75192562</t>
        </is>
      </c>
      <c r="G16" s="331" t="n">
        <v>45960</v>
      </c>
      <c r="H16" s="301" t="inlineStr">
        <is>
          <t>4843</t>
        </is>
      </c>
      <c r="I16" s="332">
        <f>IFERROR(VLOOKUP(TEXT(H16,"0"),IPRESS!$A$3:$B$212,2,0),"")</f>
        <v/>
      </c>
      <c r="J16" s="301" t="inlineStr">
        <is>
          <t>4838</t>
        </is>
      </c>
      <c r="K16" s="332">
        <f>IFERROR(VLOOKUP(TEXT(O16,"0"),CONDUCTORES!$A$3:$G$100,7,0),"")</f>
        <v/>
      </c>
      <c r="L16" s="245" t="n">
        <v>18.18</v>
      </c>
      <c r="M16" s="245" t="n">
        <v>20</v>
      </c>
      <c r="N16" s="333">
        <f>IFERROR(IF(L16*M16=0,"",L16*M16),"")</f>
        <v/>
      </c>
      <c r="O16" s="280" t="n"/>
      <c r="P16" s="332">
        <f>IFERROR(VLOOKUP(TEXT(O16,"0"),CONDUCTORES!$A$3:$G$100,2,0),"")</f>
        <v/>
      </c>
      <c r="Q16" s="332">
        <f>IFERROR(VLOOKUP(TEXT(O16,"0"),CONDUCTORES!$A$3:$H$100,6,0),"")</f>
        <v/>
      </c>
      <c r="R16" s="334" t="n"/>
      <c r="S16" s="302" t="inlineStr">
        <is>
          <t>Z359,O459,O468</t>
        </is>
      </c>
      <c r="T16" s="301" t="n"/>
      <c r="U16" s="334" t="n"/>
      <c r="V16" s="301" t="n"/>
      <c r="W16" s="301" t="n"/>
      <c r="X16" s="301" t="n"/>
      <c r="Y16" s="280" t="n"/>
    </row>
    <row r="17" ht="15.75" customHeight="1" s="195">
      <c r="A17" s="241" t="n">
        <v>12</v>
      </c>
      <c r="B17" s="305" t="inlineStr">
        <is>
          <t>00000002</t>
        </is>
      </c>
      <c r="C17" s="241" t="inlineStr">
        <is>
          <t>REGION</t>
        </is>
      </c>
      <c r="D17" s="305" t="inlineStr">
        <is>
          <t>BAZAN ESCOBEDO MARIANO JESUS</t>
        </is>
      </c>
      <c r="E17" s="241" t="inlineStr">
        <is>
          <t>DNI</t>
        </is>
      </c>
      <c r="F17" s="241" t="inlineStr">
        <is>
          <t>33423614</t>
        </is>
      </c>
      <c r="G17" s="336" t="n">
        <v>45936</v>
      </c>
      <c r="H17" s="241" t="inlineStr">
        <is>
          <t>4907</t>
        </is>
      </c>
      <c r="I17" s="332">
        <f>IFERROR(VLOOKUP(TEXT(H17,"0"),IPRESS!$A$3:$B$212,2,0),"")</f>
        <v/>
      </c>
      <c r="J17" s="241" t="inlineStr">
        <is>
          <t>4838</t>
        </is>
      </c>
      <c r="K17" s="332">
        <f>IFERROR(VLOOKUP(TEXT(O17,"0"),CONDUCTORES!$A$3:$G$100,7,0),"")</f>
        <v/>
      </c>
      <c r="L17" s="239" t="n">
        <v>18.18</v>
      </c>
      <c r="M17" s="239" t="n">
        <v>7</v>
      </c>
      <c r="N17" s="333">
        <f>IFERROR(IF(L17*M17=0,"",L17*M17),"")</f>
        <v/>
      </c>
      <c r="O17" s="334" t="n"/>
      <c r="P17" s="332">
        <f>IFERROR(VLOOKUP(TEXT(O17,"0"),CONDUCTORES!$A$3:$G$100,2,0),"")</f>
        <v/>
      </c>
      <c r="Q17" s="332">
        <f>IFERROR(VLOOKUP(TEXT(O17,"0"),CONDUCTORES!$A$3:$H$100,6,0),"")</f>
        <v/>
      </c>
      <c r="R17" s="280" t="n"/>
      <c r="S17" s="305" t="inlineStr">
        <is>
          <t>I679</t>
        </is>
      </c>
      <c r="T17" s="241" t="inlineStr">
        <is>
          <t>DEVOLVER EL COMBUSTIBLE A C.S. YERBABUENA</t>
        </is>
      </c>
      <c r="U17" s="280" t="n"/>
      <c r="V17" s="241" t="n"/>
      <c r="W17" s="241" t="n"/>
      <c r="X17" s="241" t="n"/>
      <c r="Y17" s="280" t="n"/>
    </row>
    <row r="18" ht="15.75" customHeight="1" s="195">
      <c r="A18" s="301" t="n">
        <v>13</v>
      </c>
      <c r="B18" s="302" t="inlineStr">
        <is>
          <t>00000225</t>
        </is>
      </c>
      <c r="C18" s="301" t="inlineStr">
        <is>
          <t>REGION</t>
        </is>
      </c>
      <c r="D18" s="302" t="inlineStr">
        <is>
          <t>TAFUR CISNEROS JOSE FIDEL</t>
        </is>
      </c>
      <c r="E18" s="301" t="inlineStr">
        <is>
          <t>DNI</t>
        </is>
      </c>
      <c r="F18" s="301" t="inlineStr">
        <is>
          <t>33941769</t>
        </is>
      </c>
      <c r="G18" s="331" t="n">
        <v>45931</v>
      </c>
      <c r="H18" s="301" t="inlineStr">
        <is>
          <t>4950</t>
        </is>
      </c>
      <c r="I18" s="332">
        <f>IFERROR(VLOOKUP(TEXT(H18,"0"),IPRESS!$A$3:$B$212,2,0),"")</f>
        <v/>
      </c>
      <c r="J18" s="301" t="inlineStr">
        <is>
          <t>4838</t>
        </is>
      </c>
      <c r="K18" s="332">
        <f>IFERROR(VLOOKUP(TEXT(O18,"0"),CONDUCTORES!$A$3:$G$100,7,0),"")</f>
        <v/>
      </c>
      <c r="L18" s="245" t="n">
        <v>20.25</v>
      </c>
      <c r="M18" s="245" t="n">
        <v>5.5</v>
      </c>
      <c r="N18" s="333">
        <f>IFERROR(IF(L18*M18=0,"",L18*M18),"")</f>
        <v/>
      </c>
      <c r="O18" s="280" t="n"/>
      <c r="P18" s="332">
        <f>IFERROR(VLOOKUP(TEXT(O18,"0"),CONDUCTORES!$A$3:$G$100,2,0),"")</f>
        <v/>
      </c>
      <c r="Q18" s="332">
        <f>IFERROR(VLOOKUP(TEXT(O18,"0"),CONDUCTORES!$A$3:$H$100,6,0),"")</f>
        <v/>
      </c>
      <c r="R18" s="331" t="n">
        <v>45968</v>
      </c>
      <c r="S18" s="302" t="inlineStr">
        <is>
          <t>D649,K625,C140</t>
        </is>
      </c>
      <c r="T18" s="301" t="n"/>
      <c r="U18" s="334" t="n"/>
      <c r="V18" s="301" t="n"/>
      <c r="W18" s="301" t="n"/>
      <c r="X18" s="301" t="n"/>
      <c r="Y18" s="280" t="n"/>
    </row>
    <row r="19" ht="15.75" customHeight="1" s="195">
      <c r="A19" s="241" t="n">
        <v>14</v>
      </c>
      <c r="B19" s="305" t="inlineStr">
        <is>
          <t>00000226</t>
        </is>
      </c>
      <c r="C19" s="241" t="inlineStr">
        <is>
          <t>REGION</t>
        </is>
      </c>
      <c r="D19" s="305" t="inlineStr">
        <is>
          <t>NOVOA TAFUR ABEL</t>
        </is>
      </c>
      <c r="E19" s="241" t="inlineStr">
        <is>
          <t>DNI</t>
        </is>
      </c>
      <c r="F19" s="241" t="inlineStr">
        <is>
          <t>33951696</t>
        </is>
      </c>
      <c r="G19" s="336" t="n">
        <v>45933</v>
      </c>
      <c r="H19" s="241" t="inlineStr">
        <is>
          <t>4950</t>
        </is>
      </c>
      <c r="I19" s="332">
        <f>IFERROR(VLOOKUP(TEXT(H19,"0"),IPRESS!$A$3:$B$212,2,0),"")</f>
        <v/>
      </c>
      <c r="J19" s="241" t="inlineStr">
        <is>
          <t>4838</t>
        </is>
      </c>
      <c r="K19" s="332">
        <f>IFERROR(VLOOKUP(TEXT(O19,"0"),CONDUCTORES!$A$3:$G$100,7,0),"")</f>
        <v/>
      </c>
      <c r="L19" s="239" t="n">
        <v>20.25</v>
      </c>
      <c r="M19" s="239" t="n">
        <v>6.4</v>
      </c>
      <c r="N19" s="333">
        <f>IFERROR(IF(L19*M19=0,"",L19*M19),"")</f>
        <v/>
      </c>
      <c r="O19" s="334" t="n"/>
      <c r="P19" s="332">
        <f>IFERROR(VLOOKUP(TEXT(O19,"0"),CONDUCTORES!$A$3:$G$100,2,0),"")</f>
        <v/>
      </c>
      <c r="Q19" s="332">
        <f>IFERROR(VLOOKUP(TEXT(O19,"0"),CONDUCTORES!$A$3:$H$100,6,0),"")</f>
        <v/>
      </c>
      <c r="R19" s="336" t="n">
        <v>45968</v>
      </c>
      <c r="S19" s="305" t="inlineStr">
        <is>
          <t>K922,J690,J960,N19X</t>
        </is>
      </c>
      <c r="T19" s="241" t="n"/>
      <c r="U19" s="280" t="n"/>
      <c r="V19" s="241" t="n"/>
      <c r="W19" s="241" t="n"/>
      <c r="X19" s="241" t="n"/>
      <c r="Y19" s="280" t="n"/>
    </row>
    <row r="20" ht="15.75" customHeight="1" s="195">
      <c r="A20" s="301" t="n">
        <v>15</v>
      </c>
      <c r="B20" s="302" t="inlineStr">
        <is>
          <t>00000227</t>
        </is>
      </c>
      <c r="C20" s="301" t="inlineStr">
        <is>
          <t>REGION</t>
        </is>
      </c>
      <c r="D20" s="302" t="inlineStr">
        <is>
          <t>TOLEDO OCAMPO MATEO THIAGO</t>
        </is>
      </c>
      <c r="E20" s="301" t="inlineStr">
        <is>
          <t>DNI</t>
        </is>
      </c>
      <c r="F20" s="301" t="inlineStr">
        <is>
          <t>94269629</t>
        </is>
      </c>
      <c r="G20" s="331" t="n">
        <v>45934</v>
      </c>
      <c r="H20" s="301" t="inlineStr">
        <is>
          <t>4950</t>
        </is>
      </c>
      <c r="I20" s="332">
        <f>IFERROR(VLOOKUP(TEXT(H20,"0"),IPRESS!$A$3:$B$212,2,0),"")</f>
        <v/>
      </c>
      <c r="J20" s="301" t="inlineStr">
        <is>
          <t>4838</t>
        </is>
      </c>
      <c r="K20" s="332">
        <f>IFERROR(VLOOKUP(TEXT(O20,"0"),CONDUCTORES!$A$3:$G$100,7,0),"")</f>
        <v/>
      </c>
      <c r="L20" s="245" t="n">
        <v>20.25</v>
      </c>
      <c r="M20" s="245" t="n">
        <v>7</v>
      </c>
      <c r="N20" s="333">
        <f>IFERROR(IF(L20*M20=0,"",L20*M20),"")</f>
        <v/>
      </c>
      <c r="O20" s="280" t="n"/>
      <c r="P20" s="332">
        <f>IFERROR(VLOOKUP(TEXT(O20,"0"),CONDUCTORES!$A$3:$G$100,2,0),"")</f>
        <v/>
      </c>
      <c r="Q20" s="332">
        <f>IFERROR(VLOOKUP(TEXT(O20,"0"),CONDUCTORES!$A$3:$H$100,6,0),"")</f>
        <v/>
      </c>
      <c r="R20" s="331" t="n">
        <v>45968</v>
      </c>
      <c r="S20" s="302" t="inlineStr">
        <is>
          <t>J219</t>
        </is>
      </c>
      <c r="T20" s="301" t="n"/>
      <c r="U20" s="334" t="n"/>
      <c r="V20" s="301" t="n"/>
      <c r="W20" s="301" t="n"/>
      <c r="X20" s="301" t="n"/>
      <c r="Y20" s="280" t="n"/>
    </row>
    <row r="21" ht="15.75" customHeight="1" s="195">
      <c r="A21" s="241" t="n">
        <v>16</v>
      </c>
      <c r="B21" s="305" t="inlineStr">
        <is>
          <t>00000228</t>
        </is>
      </c>
      <c r="C21" s="241" t="inlineStr">
        <is>
          <t>REGION</t>
        </is>
      </c>
      <c r="D21" s="305" t="inlineStr">
        <is>
          <t>GONGORA RUIZ ELIAS</t>
        </is>
      </c>
      <c r="E21" s="241" t="inlineStr">
        <is>
          <t>DNI</t>
        </is>
      </c>
      <c r="F21" s="241" t="inlineStr">
        <is>
          <t>43123548</t>
        </is>
      </c>
      <c r="G21" s="336" t="n">
        <v>45937</v>
      </c>
      <c r="H21" s="241" t="inlineStr">
        <is>
          <t>4950</t>
        </is>
      </c>
      <c r="I21" s="332">
        <f>IFERROR(VLOOKUP(TEXT(H21,"0"),IPRESS!$A$3:$B$212,2,0),"")</f>
        <v/>
      </c>
      <c r="J21" s="241" t="inlineStr">
        <is>
          <t>4838</t>
        </is>
      </c>
      <c r="K21" s="332">
        <f>IFERROR(VLOOKUP(TEXT(O21,"0"),CONDUCTORES!$A$3:$G$100,7,0),"")</f>
        <v/>
      </c>
      <c r="L21" s="239" t="n">
        <v>20.25</v>
      </c>
      <c r="M21" s="239" t="n">
        <v>7</v>
      </c>
      <c r="N21" s="333">
        <f>IFERROR(IF(L21*M21=0,"",L21*M21),"")</f>
        <v/>
      </c>
      <c r="O21" s="334" t="n"/>
      <c r="P21" s="332">
        <f>IFERROR(VLOOKUP(TEXT(O21,"0"),CONDUCTORES!$A$3:$G$100,2,0),"")</f>
        <v/>
      </c>
      <c r="Q21" s="332">
        <f>IFERROR(VLOOKUP(TEXT(O21,"0"),CONDUCTORES!$A$3:$H$100,6,0),"")</f>
        <v/>
      </c>
      <c r="R21" s="336" t="n">
        <v>45968</v>
      </c>
      <c r="S21" s="305" t="inlineStr">
        <is>
          <t>S824</t>
        </is>
      </c>
      <c r="T21" s="241" t="n"/>
      <c r="U21" s="280" t="n"/>
      <c r="V21" s="241" t="n"/>
      <c r="W21" s="241" t="n"/>
      <c r="X21" s="241" t="n"/>
      <c r="Y21" s="280" t="n"/>
    </row>
    <row r="22" ht="15.75" customHeight="1" s="195">
      <c r="A22" s="301" t="n">
        <v>17</v>
      </c>
      <c r="B22" s="302" t="inlineStr">
        <is>
          <t>00000229</t>
        </is>
      </c>
      <c r="C22" s="301" t="inlineStr">
        <is>
          <t>REGION</t>
        </is>
      </c>
      <c r="D22" s="302" t="inlineStr">
        <is>
          <t>PEREYRA CHAVEZ MAICOL ALEXANDER</t>
        </is>
      </c>
      <c r="E22" s="301" t="inlineStr">
        <is>
          <t>DNI</t>
        </is>
      </c>
      <c r="F22" s="301" t="inlineStr">
        <is>
          <t>47526433</t>
        </is>
      </c>
      <c r="G22" s="331" t="n">
        <v>45937</v>
      </c>
      <c r="H22" s="301" t="inlineStr">
        <is>
          <t>4950</t>
        </is>
      </c>
      <c r="I22" s="332">
        <f>IFERROR(VLOOKUP(TEXT(H22,"0"),IPRESS!$A$3:$B$212,2,0),"")</f>
        <v/>
      </c>
      <c r="J22" s="301" t="inlineStr">
        <is>
          <t>4838</t>
        </is>
      </c>
      <c r="K22" s="332">
        <f>IFERROR(VLOOKUP(TEXT(O22,"0"),CONDUCTORES!$A$3:$G$100,7,0),"")</f>
        <v/>
      </c>
      <c r="L22" s="245" t="n">
        <v>20.25</v>
      </c>
      <c r="M22" s="245" t="n">
        <v>7</v>
      </c>
      <c r="N22" s="333">
        <f>IFERROR(IF(L22*M22=0,"",L22*M22),"")</f>
        <v/>
      </c>
      <c r="O22" s="280" t="n"/>
      <c r="P22" s="332">
        <f>IFERROR(VLOOKUP(TEXT(O22,"0"),CONDUCTORES!$A$3:$G$100,2,0),"")</f>
        <v/>
      </c>
      <c r="Q22" s="332">
        <f>IFERROR(VLOOKUP(TEXT(O22,"0"),CONDUCTORES!$A$3:$H$100,6,0),"")</f>
        <v/>
      </c>
      <c r="R22" s="331" t="n">
        <v>45968</v>
      </c>
      <c r="S22" s="302" t="inlineStr">
        <is>
          <t>K359</t>
        </is>
      </c>
      <c r="T22" s="301" t="n"/>
      <c r="U22" s="334" t="n"/>
      <c r="V22" s="301" t="n"/>
      <c r="W22" s="301" t="n"/>
      <c r="X22" s="301" t="n"/>
      <c r="Y22" s="280" t="n"/>
    </row>
    <row r="23" ht="15.75" customHeight="1" s="195">
      <c r="A23" s="241" t="n">
        <v>18</v>
      </c>
      <c r="B23" s="305" t="inlineStr">
        <is>
          <t>00000230</t>
        </is>
      </c>
      <c r="C23" s="241" t="inlineStr">
        <is>
          <t>REGION</t>
        </is>
      </c>
      <c r="D23" s="305" t="inlineStr">
        <is>
          <t>RODRIGUEZ PORTOCARRERO DANIEL</t>
        </is>
      </c>
      <c r="E23" s="241" t="inlineStr">
        <is>
          <t>DNI</t>
        </is>
      </c>
      <c r="F23" s="241" t="inlineStr">
        <is>
          <t>77531942</t>
        </is>
      </c>
      <c r="G23" s="336" t="n">
        <v>45939</v>
      </c>
      <c r="H23" s="241" t="inlineStr">
        <is>
          <t>4950</t>
        </is>
      </c>
      <c r="I23" s="332">
        <f>IFERROR(VLOOKUP(TEXT(H23,"0"),IPRESS!$A$3:$B$212,2,0),"")</f>
        <v/>
      </c>
      <c r="J23" s="241" t="inlineStr">
        <is>
          <t>4838</t>
        </is>
      </c>
      <c r="K23" s="332">
        <f>IFERROR(VLOOKUP(TEXT(O23,"0"),CONDUCTORES!$A$3:$G$100,7,0),"")</f>
        <v/>
      </c>
      <c r="L23" s="239" t="n">
        <v>20.25</v>
      </c>
      <c r="M23" s="239" t="n">
        <v>7</v>
      </c>
      <c r="N23" s="333">
        <f>IFERROR(IF(L23*M23=0,"",L23*M23),"")</f>
        <v/>
      </c>
      <c r="O23" s="334" t="n"/>
      <c r="P23" s="332">
        <f>IFERROR(VLOOKUP(TEXT(O23,"0"),CONDUCTORES!$A$3:$G$100,2,0),"")</f>
        <v/>
      </c>
      <c r="Q23" s="332">
        <f>IFERROR(VLOOKUP(TEXT(O23,"0"),CONDUCTORES!$A$3:$H$100,6,0),"")</f>
        <v/>
      </c>
      <c r="R23" s="336" t="n">
        <v>45968</v>
      </c>
      <c r="S23" s="305" t="inlineStr">
        <is>
          <t>F209,F919</t>
        </is>
      </c>
      <c r="T23" s="241" t="n"/>
      <c r="U23" s="280" t="n"/>
      <c r="V23" s="241" t="n"/>
      <c r="W23" s="241" t="n"/>
      <c r="X23" s="241" t="n"/>
      <c r="Y23" s="280" t="n"/>
    </row>
    <row r="24" ht="15.75" customHeight="1" s="195">
      <c r="A24" s="301" t="n">
        <v>19</v>
      </c>
      <c r="B24" s="302" t="inlineStr">
        <is>
          <t>00000231</t>
        </is>
      </c>
      <c r="C24" s="301" t="inlineStr">
        <is>
          <t>REGION</t>
        </is>
      </c>
      <c r="D24" s="302" t="inlineStr">
        <is>
          <t>ENCINA GOMES LLOLEISY</t>
        </is>
      </c>
      <c r="E24" s="301" t="inlineStr">
        <is>
          <t>DNI</t>
        </is>
      </c>
      <c r="F24" s="301" t="inlineStr">
        <is>
          <t>76237660</t>
        </is>
      </c>
      <c r="G24" s="331" t="n">
        <v>45944</v>
      </c>
      <c r="H24" s="301" t="inlineStr">
        <is>
          <t>4950</t>
        </is>
      </c>
      <c r="I24" s="332">
        <f>IFERROR(VLOOKUP(TEXT(H24,"0"),IPRESS!$A$3:$B$212,2,0),"")</f>
        <v/>
      </c>
      <c r="J24" s="301" t="inlineStr">
        <is>
          <t>4838</t>
        </is>
      </c>
      <c r="K24" s="332">
        <f>IFERROR(VLOOKUP(TEXT(O24,"0"),CONDUCTORES!$A$3:$G$100,7,0),"")</f>
        <v/>
      </c>
      <c r="L24" s="245" t="n">
        <v>20.25</v>
      </c>
      <c r="M24" s="245" t="n">
        <v>7</v>
      </c>
      <c r="N24" s="333">
        <f>IFERROR(IF(L24*M24=0,"",L24*M24),"")</f>
        <v/>
      </c>
      <c r="O24" s="280" t="n"/>
      <c r="P24" s="332">
        <f>IFERROR(VLOOKUP(TEXT(O24,"0"),CONDUCTORES!$A$3:$G$100,2,0),"")</f>
        <v/>
      </c>
      <c r="Q24" s="332">
        <f>IFERROR(VLOOKUP(TEXT(O24,"0"),CONDUCTORES!$A$3:$H$100,6,0),"")</f>
        <v/>
      </c>
      <c r="R24" s="331" t="n">
        <v>45968</v>
      </c>
      <c r="S24" s="302" t="inlineStr">
        <is>
          <t>O335,O691</t>
        </is>
      </c>
      <c r="T24" s="301" t="n"/>
      <c r="U24" s="334" t="n"/>
      <c r="V24" s="301" t="n"/>
      <c r="W24" s="301" t="n"/>
      <c r="X24" s="301" t="n"/>
      <c r="Y24" s="280" t="n"/>
    </row>
    <row r="25" ht="15.75" customHeight="1" s="195">
      <c r="A25" s="241" t="n">
        <v>20</v>
      </c>
      <c r="B25" s="305" t="inlineStr">
        <is>
          <t>00000232</t>
        </is>
      </c>
      <c r="C25" s="241" t="inlineStr">
        <is>
          <t>REGION</t>
        </is>
      </c>
      <c r="D25" s="305" t="inlineStr">
        <is>
          <t>VALQUI OCAMPO ORLANDO</t>
        </is>
      </c>
      <c r="E25" s="241" t="inlineStr">
        <is>
          <t>DNI</t>
        </is>
      </c>
      <c r="F25" s="241" t="inlineStr">
        <is>
          <t>33815819</t>
        </is>
      </c>
      <c r="G25" s="336" t="n">
        <v>45944</v>
      </c>
      <c r="H25" s="241" t="inlineStr">
        <is>
          <t>4950</t>
        </is>
      </c>
      <c r="I25" s="332">
        <f>IFERROR(VLOOKUP(TEXT(H25,"0"),IPRESS!$A$3:$B$212,2,0),"")</f>
        <v/>
      </c>
      <c r="J25" s="241" t="inlineStr">
        <is>
          <t>4838</t>
        </is>
      </c>
      <c r="K25" s="332">
        <f>IFERROR(VLOOKUP(TEXT(O25,"0"),CONDUCTORES!$A$3:$G$100,7,0),"")</f>
        <v/>
      </c>
      <c r="L25" s="239" t="n">
        <v>20.25</v>
      </c>
      <c r="M25" s="239" t="n">
        <v>10</v>
      </c>
      <c r="N25" s="333">
        <f>IFERROR(IF(L25*M25=0,"",L25*M25),"")</f>
        <v/>
      </c>
      <c r="O25" s="334" t="n"/>
      <c r="P25" s="332">
        <f>IFERROR(VLOOKUP(TEXT(O25,"0"),CONDUCTORES!$A$3:$G$100,2,0),"")</f>
        <v/>
      </c>
      <c r="Q25" s="332">
        <f>IFERROR(VLOOKUP(TEXT(O25,"0"),CONDUCTORES!$A$3:$H$100,6,0),"")</f>
        <v/>
      </c>
      <c r="R25" s="336" t="n">
        <v>45968</v>
      </c>
      <c r="S25" s="305" t="inlineStr">
        <is>
          <t>K830,A010,R11X,R509</t>
        </is>
      </c>
      <c r="T25" s="241" t="inlineStr">
        <is>
          <t>DEVOLVER AL C.S. HUAMBO</t>
        </is>
      </c>
      <c r="U25" s="280" t="n"/>
      <c r="V25" s="241" t="n"/>
      <c r="W25" s="241" t="n"/>
      <c r="X25" s="241" t="n"/>
      <c r="Y25" s="280" t="n"/>
    </row>
    <row r="26" ht="15.75" customHeight="1" s="195">
      <c r="A26" s="301" t="n">
        <v>21</v>
      </c>
      <c r="B26" s="302" t="inlineStr">
        <is>
          <t>00000234</t>
        </is>
      </c>
      <c r="C26" s="301" t="inlineStr">
        <is>
          <t>REGION</t>
        </is>
      </c>
      <c r="D26" s="302" t="inlineStr">
        <is>
          <t>CHACON LOPEZ YOBANI ELIZABETH</t>
        </is>
      </c>
      <c r="E26" s="301" t="inlineStr">
        <is>
          <t>DNI</t>
        </is>
      </c>
      <c r="F26" s="301" t="inlineStr">
        <is>
          <t>47653387</t>
        </is>
      </c>
      <c r="G26" s="331" t="n">
        <v>45945</v>
      </c>
      <c r="H26" s="301" t="inlineStr">
        <is>
          <t>4950</t>
        </is>
      </c>
      <c r="I26" s="332">
        <f>IFERROR(VLOOKUP(TEXT(H26,"0"),IPRESS!$A$3:$B$212,2,0),"")</f>
        <v/>
      </c>
      <c r="J26" s="301" t="inlineStr">
        <is>
          <t>4838</t>
        </is>
      </c>
      <c r="K26" s="332">
        <f>IFERROR(VLOOKUP(TEXT(O26,"0"),CONDUCTORES!$A$3:$G$100,7,0),"")</f>
        <v/>
      </c>
      <c r="L26" s="245" t="n">
        <v>20.25</v>
      </c>
      <c r="M26" s="245" t="n">
        <v>10</v>
      </c>
      <c r="N26" s="333">
        <f>IFERROR(IF(L26*M26=0,"",L26*M26),"")</f>
        <v/>
      </c>
      <c r="O26" s="280" t="n"/>
      <c r="P26" s="332">
        <f>IFERROR(VLOOKUP(TEXT(O26,"0"),CONDUCTORES!$A$3:$G$100,2,0),"")</f>
        <v/>
      </c>
      <c r="Q26" s="332">
        <f>IFERROR(VLOOKUP(TEXT(O26,"0"),CONDUCTORES!$A$3:$H$100,6,0),"")</f>
        <v/>
      </c>
      <c r="R26" s="331" t="n">
        <v>45968</v>
      </c>
      <c r="S26" s="302" t="inlineStr">
        <is>
          <t>O649,O429</t>
        </is>
      </c>
      <c r="T26" s="301" t="inlineStr">
        <is>
          <t>DEVOLVER A MARISCAL BENAVIDES</t>
        </is>
      </c>
      <c r="U26" s="334" t="n"/>
      <c r="V26" s="301" t="n"/>
      <c r="W26" s="301" t="n"/>
      <c r="X26" s="301" t="n"/>
      <c r="Y26" s="280" t="n"/>
    </row>
    <row r="27" ht="15.75" customHeight="1" s="195">
      <c r="A27" s="241" t="n">
        <v>22</v>
      </c>
      <c r="B27" s="305" t="inlineStr">
        <is>
          <t>00000233</t>
        </is>
      </c>
      <c r="C27" s="241" t="inlineStr">
        <is>
          <t>REGION</t>
        </is>
      </c>
      <c r="D27" s="305" t="inlineStr">
        <is>
          <t>SALAZAR NAVARRO ISIDRO</t>
        </is>
      </c>
      <c r="E27" s="241" t="inlineStr">
        <is>
          <t>DNI</t>
        </is>
      </c>
      <c r="F27" s="241" t="inlineStr">
        <is>
          <t>33951937</t>
        </is>
      </c>
      <c r="G27" s="336" t="n">
        <v>45945</v>
      </c>
      <c r="H27" s="241" t="inlineStr">
        <is>
          <t>4950</t>
        </is>
      </c>
      <c r="I27" s="332">
        <f>IFERROR(VLOOKUP(TEXT(H27,"0"),IPRESS!$A$3:$B$212,2,0),"")</f>
        <v/>
      </c>
      <c r="J27" s="241" t="inlineStr">
        <is>
          <t>4838</t>
        </is>
      </c>
      <c r="K27" s="332">
        <f>IFERROR(VLOOKUP(TEXT(O27,"0"),CONDUCTORES!$A$3:$G$100,7,0),"")</f>
        <v/>
      </c>
      <c r="L27" s="239" t="n">
        <v>20.25</v>
      </c>
      <c r="M27" s="239" t="n">
        <v>7</v>
      </c>
      <c r="N27" s="333">
        <f>IFERROR(IF(L27*M27=0,"",L27*M27),"")</f>
        <v/>
      </c>
      <c r="O27" s="334" t="n"/>
      <c r="P27" s="332">
        <f>IFERROR(VLOOKUP(TEXT(O27,"0"),CONDUCTORES!$A$3:$G$100,2,0),"")</f>
        <v/>
      </c>
      <c r="Q27" s="332">
        <f>IFERROR(VLOOKUP(TEXT(O27,"0"),CONDUCTORES!$A$3:$H$100,6,0),"")</f>
        <v/>
      </c>
      <c r="R27" s="336" t="n">
        <v>45968</v>
      </c>
      <c r="S27" s="305" t="inlineStr">
        <is>
          <t>K808</t>
        </is>
      </c>
      <c r="T27" s="241" t="n"/>
      <c r="U27" s="280" t="n"/>
      <c r="V27" s="241" t="n"/>
      <c r="W27" s="241" t="n"/>
      <c r="X27" s="241" t="n"/>
      <c r="Y27" s="280" t="n"/>
    </row>
    <row r="28" ht="15.75" customHeight="1" s="195">
      <c r="A28" s="301" t="n">
        <v>23</v>
      </c>
      <c r="B28" s="302" t="inlineStr">
        <is>
          <t>00000235</t>
        </is>
      </c>
      <c r="C28" s="301" t="inlineStr">
        <is>
          <t>REGION</t>
        </is>
      </c>
      <c r="D28" s="302" t="inlineStr">
        <is>
          <t>TAFUR COLLAZOS SHEILA VANESSA</t>
        </is>
      </c>
      <c r="E28" s="301" t="inlineStr">
        <is>
          <t>DNI</t>
        </is>
      </c>
      <c r="F28" s="301" t="inlineStr">
        <is>
          <t>43907581</t>
        </is>
      </c>
      <c r="G28" s="331" t="n">
        <v>45947</v>
      </c>
      <c r="H28" s="301" t="inlineStr">
        <is>
          <t>4950</t>
        </is>
      </c>
      <c r="I28" s="332">
        <f>IFERROR(VLOOKUP(TEXT(H28,"0"),IPRESS!$A$3:$B$212,2,0),"")</f>
        <v/>
      </c>
      <c r="J28" s="301" t="inlineStr">
        <is>
          <t>4838</t>
        </is>
      </c>
      <c r="K28" s="332">
        <f>IFERROR(VLOOKUP(TEXT(O28,"0"),CONDUCTORES!$A$3:$G$100,7,0),"")</f>
        <v/>
      </c>
      <c r="L28" s="245" t="n">
        <v>20.25</v>
      </c>
      <c r="M28" s="245" t="n">
        <v>7</v>
      </c>
      <c r="N28" s="333">
        <f>IFERROR(IF(L28*M28=0,"",L28*M28),"")</f>
        <v/>
      </c>
      <c r="O28" s="280" t="n"/>
      <c r="P28" s="332">
        <f>IFERROR(VLOOKUP(TEXT(O28,"0"),CONDUCTORES!$A$3:$G$100,2,0),"")</f>
        <v/>
      </c>
      <c r="Q28" s="332">
        <f>IFERROR(VLOOKUP(TEXT(O28,"0"),CONDUCTORES!$A$3:$H$100,6,0),"")</f>
        <v/>
      </c>
      <c r="R28" s="331" t="n">
        <v>45968</v>
      </c>
      <c r="S28" s="302" t="inlineStr">
        <is>
          <t>K579,Z320</t>
        </is>
      </c>
      <c r="T28" s="301" t="n"/>
      <c r="U28" s="334" t="n"/>
      <c r="V28" s="301" t="n"/>
      <c r="W28" s="301" t="n"/>
      <c r="X28" s="301" t="n"/>
      <c r="Y28" s="280" t="n"/>
    </row>
    <row r="29" ht="15.75" customHeight="1" s="195">
      <c r="A29" s="241" t="n">
        <v>24</v>
      </c>
      <c r="B29" s="305" t="inlineStr">
        <is>
          <t>00000236</t>
        </is>
      </c>
      <c r="C29" s="241" t="inlineStr">
        <is>
          <t>REGION</t>
        </is>
      </c>
      <c r="D29" s="305" t="inlineStr">
        <is>
          <t>BACALLA CALAMPA JOSE JESUS</t>
        </is>
      </c>
      <c r="E29" s="241" t="inlineStr">
        <is>
          <t>DNI</t>
        </is>
      </c>
      <c r="F29" s="241" t="inlineStr">
        <is>
          <t>33422897</t>
        </is>
      </c>
      <c r="G29" s="336" t="n">
        <v>45948</v>
      </c>
      <c r="H29" s="241" t="inlineStr">
        <is>
          <t>4950</t>
        </is>
      </c>
      <c r="I29" s="332">
        <f>IFERROR(VLOOKUP(TEXT(H29,"0"),IPRESS!$A$3:$B$212,2,0),"")</f>
        <v/>
      </c>
      <c r="J29" s="241" t="inlineStr">
        <is>
          <t>4838</t>
        </is>
      </c>
      <c r="K29" s="332">
        <f>IFERROR(VLOOKUP(TEXT(O29,"0"),CONDUCTORES!$A$3:$G$100,7,0),"")</f>
        <v/>
      </c>
      <c r="L29" s="239" t="n">
        <v>20.25</v>
      </c>
      <c r="M29" s="239" t="n">
        <v>7</v>
      </c>
      <c r="N29" s="333">
        <f>IFERROR(IF(L29*M29=0,"",L29*M29),"")</f>
        <v/>
      </c>
      <c r="O29" s="334" t="n"/>
      <c r="P29" s="332">
        <f>IFERROR(VLOOKUP(TEXT(O29,"0"),CONDUCTORES!$A$3:$G$100,2,0),"")</f>
        <v/>
      </c>
      <c r="Q29" s="332">
        <f>IFERROR(VLOOKUP(TEXT(O29,"0"),CONDUCTORES!$A$3:$H$100,6,0),"")</f>
        <v/>
      </c>
      <c r="R29" s="336" t="n">
        <v>45968</v>
      </c>
      <c r="S29" s="305" t="inlineStr">
        <is>
          <t>K359,R104</t>
        </is>
      </c>
      <c r="T29" s="241" t="n"/>
      <c r="U29" s="280" t="n"/>
      <c r="V29" s="241" t="n"/>
      <c r="W29" s="241" t="n"/>
      <c r="X29" s="241" t="n"/>
      <c r="Y29" s="280" t="n"/>
    </row>
    <row r="30" ht="15.75" customHeight="1" s="195">
      <c r="A30" s="301" t="n">
        <v>25</v>
      </c>
      <c r="B30" s="302" t="inlineStr">
        <is>
          <t>00000237</t>
        </is>
      </c>
      <c r="C30" s="301" t="inlineStr">
        <is>
          <t>REGION</t>
        </is>
      </c>
      <c r="D30" s="302" t="inlineStr">
        <is>
          <t>MENA MEJIA DIANA</t>
        </is>
      </c>
      <c r="E30" s="301" t="inlineStr">
        <is>
          <t>DNI</t>
        </is>
      </c>
      <c r="F30" s="301" t="inlineStr">
        <is>
          <t>60391910</t>
        </is>
      </c>
      <c r="G30" s="331" t="n">
        <v>45949</v>
      </c>
      <c r="H30" s="301" t="inlineStr">
        <is>
          <t>4950</t>
        </is>
      </c>
      <c r="I30" s="332">
        <f>IFERROR(VLOOKUP(TEXT(H30,"0"),IPRESS!$A$3:$B$212,2,0),"")</f>
        <v/>
      </c>
      <c r="J30" s="301" t="inlineStr">
        <is>
          <t>4838</t>
        </is>
      </c>
      <c r="K30" s="332">
        <f>IFERROR(VLOOKUP(TEXT(O30,"0"),CONDUCTORES!$A$3:$G$100,7,0),"")</f>
        <v/>
      </c>
      <c r="L30" s="245" t="n">
        <v>20.25</v>
      </c>
      <c r="M30" s="245" t="n">
        <v>7</v>
      </c>
      <c r="N30" s="333">
        <f>IFERROR(IF(L30*M30=0,"",L30*M30),"")</f>
        <v/>
      </c>
      <c r="O30" s="280" t="n"/>
      <c r="P30" s="332">
        <f>IFERROR(VLOOKUP(TEXT(O30,"0"),CONDUCTORES!$A$3:$G$100,2,0),"")</f>
        <v/>
      </c>
      <c r="Q30" s="332">
        <f>IFERROR(VLOOKUP(TEXT(O30,"0"),CONDUCTORES!$A$3:$H$100,6,0),"")</f>
        <v/>
      </c>
      <c r="R30" s="331" t="n">
        <v>45968</v>
      </c>
      <c r="S30" s="302" t="inlineStr">
        <is>
          <t>O421</t>
        </is>
      </c>
      <c r="T30" s="301" t="n"/>
      <c r="U30" s="334" t="n"/>
      <c r="V30" s="301" t="n"/>
      <c r="W30" s="301" t="n"/>
      <c r="X30" s="301" t="n"/>
      <c r="Y30" s="280" t="n"/>
    </row>
    <row r="31" ht="15.75" customHeight="1" s="195">
      <c r="A31" s="241" t="n">
        <v>26</v>
      </c>
      <c r="B31" s="305" t="inlineStr">
        <is>
          <t>00000238</t>
        </is>
      </c>
      <c r="C31" s="241" t="inlineStr">
        <is>
          <t>REGION</t>
        </is>
      </c>
      <c r="D31" s="305" t="inlineStr">
        <is>
          <t>GRANDEZ LOPEZ EDINSON</t>
        </is>
      </c>
      <c r="E31" s="241" t="inlineStr">
        <is>
          <t>DNI</t>
        </is>
      </c>
      <c r="F31" s="241" t="inlineStr">
        <is>
          <t>46770690</t>
        </is>
      </c>
      <c r="G31" s="336" t="n">
        <v>45950</v>
      </c>
      <c r="H31" s="241" t="inlineStr">
        <is>
          <t>4950</t>
        </is>
      </c>
      <c r="I31" s="332">
        <f>IFERROR(VLOOKUP(TEXT(H31,"0"),IPRESS!$A$3:$B$212,2,0),"")</f>
        <v/>
      </c>
      <c r="J31" s="241" t="inlineStr">
        <is>
          <t>4838</t>
        </is>
      </c>
      <c r="K31" s="332">
        <f>IFERROR(VLOOKUP(TEXT(O31,"0"),CONDUCTORES!$A$3:$G$100,7,0),"")</f>
        <v/>
      </c>
      <c r="L31" s="239" t="n">
        <v>20.25</v>
      </c>
      <c r="M31" s="239" t="n">
        <v>10</v>
      </c>
      <c r="N31" s="333">
        <f>IFERROR(IF(L31*M31=0,"",L31*M31),"")</f>
        <v/>
      </c>
      <c r="O31" s="334" t="n"/>
      <c r="P31" s="332">
        <f>IFERROR(VLOOKUP(TEXT(O31,"0"),CONDUCTORES!$A$3:$G$100,2,0),"")</f>
        <v/>
      </c>
      <c r="Q31" s="332">
        <f>IFERROR(VLOOKUP(TEXT(O31,"0"),CONDUCTORES!$A$3:$H$100,6,0),"")</f>
        <v/>
      </c>
      <c r="R31" s="336" t="n">
        <v>45968</v>
      </c>
      <c r="S31" s="305" t="inlineStr">
        <is>
          <t>I620</t>
        </is>
      </c>
      <c r="T31" s="241" t="inlineStr">
        <is>
          <t>DEVOLVER A OMIA</t>
        </is>
      </c>
      <c r="U31" s="280" t="n"/>
      <c r="V31" s="241" t="n"/>
      <c r="W31" s="241" t="n"/>
      <c r="X31" s="241" t="n"/>
      <c r="Y31" s="280" t="n"/>
    </row>
    <row r="32" ht="15.75" customHeight="1" s="195">
      <c r="A32" s="301" t="n">
        <v>27</v>
      </c>
      <c r="B32" s="302" t="inlineStr">
        <is>
          <t>00000239</t>
        </is>
      </c>
      <c r="C32" s="301" t="inlineStr">
        <is>
          <t>REGION</t>
        </is>
      </c>
      <c r="D32" s="302" t="inlineStr">
        <is>
          <t>QUISPE MAURIOLA ALEJANDRO TEODORO</t>
        </is>
      </c>
      <c r="E32" s="301" t="inlineStr">
        <is>
          <t>DNI</t>
        </is>
      </c>
      <c r="F32" s="301" t="inlineStr">
        <is>
          <t>42620983</t>
        </is>
      </c>
      <c r="G32" s="331" t="n">
        <v>45951</v>
      </c>
      <c r="H32" s="301" t="inlineStr">
        <is>
          <t>4950</t>
        </is>
      </c>
      <c r="I32" s="332">
        <f>IFERROR(VLOOKUP(TEXT(H32,"0"),IPRESS!$A$3:$B$212,2,0),"")</f>
        <v/>
      </c>
      <c r="J32" s="301" t="inlineStr">
        <is>
          <t>4838</t>
        </is>
      </c>
      <c r="K32" s="332">
        <f>IFERROR(VLOOKUP(TEXT(O32,"0"),CONDUCTORES!$A$3:$G$100,7,0),"")</f>
        <v/>
      </c>
      <c r="L32" s="245" t="n">
        <v>20.25</v>
      </c>
      <c r="M32" s="245" t="n">
        <v>7</v>
      </c>
      <c r="N32" s="333">
        <f>IFERROR(IF(L32*M32=0,"",L32*M32),"")</f>
        <v/>
      </c>
      <c r="O32" s="280" t="n"/>
      <c r="P32" s="332">
        <f>IFERROR(VLOOKUP(TEXT(O32,"0"),CONDUCTORES!$A$3:$G$100,2,0),"")</f>
        <v/>
      </c>
      <c r="Q32" s="332">
        <f>IFERROR(VLOOKUP(TEXT(O32,"0"),CONDUCTORES!$A$3:$H$100,6,0),"")</f>
        <v/>
      </c>
      <c r="R32" s="331" t="n">
        <v>45968</v>
      </c>
      <c r="S32" s="302" t="inlineStr">
        <is>
          <t>I612,S020,S009,R11X</t>
        </is>
      </c>
      <c r="T32" s="301" t="n"/>
      <c r="U32" s="334" t="n"/>
      <c r="V32" s="301" t="n"/>
      <c r="W32" s="301" t="n"/>
      <c r="X32" s="301" t="n"/>
      <c r="Y32" s="280" t="n"/>
    </row>
    <row r="33" ht="15.75" customHeight="1" s="195">
      <c r="A33" s="241" t="n">
        <v>28</v>
      </c>
      <c r="B33" s="305" t="inlineStr">
        <is>
          <t>00000240</t>
        </is>
      </c>
      <c r="C33" s="241" t="inlineStr">
        <is>
          <t>REGION</t>
        </is>
      </c>
      <c r="D33" s="305" t="inlineStr">
        <is>
          <t>RODRIGUEZ HIDALGO LUCY MAGALY</t>
        </is>
      </c>
      <c r="E33" s="241" t="inlineStr">
        <is>
          <t>DNI</t>
        </is>
      </c>
      <c r="F33" s="241" t="inlineStr">
        <is>
          <t>46816356</t>
        </is>
      </c>
      <c r="G33" s="336" t="n">
        <v>45952</v>
      </c>
      <c r="H33" s="241" t="inlineStr">
        <is>
          <t>4950</t>
        </is>
      </c>
      <c r="I33" s="332">
        <f>IFERROR(VLOOKUP(TEXT(H33,"0"),IPRESS!$A$3:$B$212,2,0),"")</f>
        <v/>
      </c>
      <c r="J33" s="241" t="inlineStr">
        <is>
          <t>4838</t>
        </is>
      </c>
      <c r="K33" s="332">
        <f>IFERROR(VLOOKUP(TEXT(O33,"0"),CONDUCTORES!$A$3:$G$100,7,0),"")</f>
        <v/>
      </c>
      <c r="L33" s="239" t="n">
        <v>20.25</v>
      </c>
      <c r="M33" s="239" t="n">
        <v>7</v>
      </c>
      <c r="N33" s="333">
        <f>IFERROR(IF(L33*M33=0,"",L33*M33),"")</f>
        <v/>
      </c>
      <c r="O33" s="334" t="n"/>
      <c r="P33" s="332">
        <f>IFERROR(VLOOKUP(TEXT(O33,"0"),CONDUCTORES!$A$3:$G$100,2,0),"")</f>
        <v/>
      </c>
      <c r="Q33" s="332">
        <f>IFERROR(VLOOKUP(TEXT(O33,"0"),CONDUCTORES!$A$3:$H$100,6,0),"")</f>
        <v/>
      </c>
      <c r="R33" s="336" t="n">
        <v>45968</v>
      </c>
      <c r="S33" s="305" t="inlineStr">
        <is>
          <t>O324</t>
        </is>
      </c>
      <c r="T33" s="241" t="n"/>
      <c r="U33" s="280" t="n"/>
      <c r="V33" s="241" t="n"/>
      <c r="W33" s="241" t="n"/>
      <c r="X33" s="241" t="n"/>
      <c r="Y33" s="280" t="n"/>
    </row>
    <row r="34" ht="15.75" customHeight="1" s="195">
      <c r="A34" s="301" t="n">
        <v>29</v>
      </c>
      <c r="B34" s="302" t="inlineStr">
        <is>
          <t>00000241</t>
        </is>
      </c>
      <c r="C34" s="301" t="inlineStr">
        <is>
          <t>REGION</t>
        </is>
      </c>
      <c r="D34" s="302" t="inlineStr">
        <is>
          <t>PORTOCARRERO ARISTA LUIS ALBERTO</t>
        </is>
      </c>
      <c r="E34" s="301" t="inlineStr">
        <is>
          <t>DNI</t>
        </is>
      </c>
      <c r="F34" s="301" t="inlineStr">
        <is>
          <t>33944019</t>
        </is>
      </c>
      <c r="G34" s="331" t="n">
        <v>45954</v>
      </c>
      <c r="H34" s="301" t="inlineStr">
        <is>
          <t>4950</t>
        </is>
      </c>
      <c r="I34" s="332">
        <f>IFERROR(VLOOKUP(TEXT(H34,"0"),IPRESS!$A$3:$B$212,2,0),"")</f>
        <v/>
      </c>
      <c r="J34" s="301" t="inlineStr">
        <is>
          <t>4838</t>
        </is>
      </c>
      <c r="K34" s="332">
        <f>IFERROR(VLOOKUP(TEXT(O34,"0"),CONDUCTORES!$A$3:$G$100,7,0),"")</f>
        <v/>
      </c>
      <c r="L34" s="245" t="n">
        <v>20.25</v>
      </c>
      <c r="M34" s="245" t="n">
        <v>7</v>
      </c>
      <c r="N34" s="333">
        <f>IFERROR(IF(L34*M34=0,"",L34*M34),"")</f>
        <v/>
      </c>
      <c r="O34" s="280" t="n"/>
      <c r="P34" s="332">
        <f>IFERROR(VLOOKUP(TEXT(O34,"0"),CONDUCTORES!$A$3:$G$100,2,0),"")</f>
        <v/>
      </c>
      <c r="Q34" s="332">
        <f>IFERROR(VLOOKUP(TEXT(O34,"0"),CONDUCTORES!$A$3:$H$100,6,0),"")</f>
        <v/>
      </c>
      <c r="R34" s="331" t="n">
        <v>45968</v>
      </c>
      <c r="S34" s="302" t="inlineStr">
        <is>
          <t>K922,N390,K802</t>
        </is>
      </c>
      <c r="T34" s="301" t="n"/>
      <c r="U34" s="334" t="n"/>
      <c r="V34" s="301" t="n"/>
      <c r="W34" s="301" t="n"/>
      <c r="X34" s="301" t="n"/>
      <c r="Y34" s="280" t="n"/>
    </row>
    <row r="35" ht="15.75" customHeight="1" s="195">
      <c r="A35" s="241" t="n">
        <v>30</v>
      </c>
      <c r="B35" s="305" t="inlineStr">
        <is>
          <t>00000242</t>
        </is>
      </c>
      <c r="C35" s="241" t="inlineStr">
        <is>
          <t>REGION</t>
        </is>
      </c>
      <c r="D35" s="305" t="inlineStr">
        <is>
          <t>VASQUEZ DIAZ SEGUNDO GILMER</t>
        </is>
      </c>
      <c r="E35" s="241" t="inlineStr">
        <is>
          <t>DNI</t>
        </is>
      </c>
      <c r="F35" s="241" t="inlineStr">
        <is>
          <t>48645326</t>
        </is>
      </c>
      <c r="G35" s="336" t="n">
        <v>45957</v>
      </c>
      <c r="H35" s="241" t="inlineStr">
        <is>
          <t>4950</t>
        </is>
      </c>
      <c r="I35" s="332">
        <f>IFERROR(VLOOKUP(TEXT(H35,"0"),IPRESS!$A$3:$B$212,2,0),"")</f>
        <v/>
      </c>
      <c r="J35" s="241" t="inlineStr">
        <is>
          <t>4838</t>
        </is>
      </c>
      <c r="K35" s="332">
        <f>IFERROR(VLOOKUP(TEXT(O35,"0"),CONDUCTORES!$A$3:$G$100,7,0),"")</f>
        <v/>
      </c>
      <c r="L35" s="239" t="n">
        <v>20.25</v>
      </c>
      <c r="M35" s="239" t="n">
        <v>7</v>
      </c>
      <c r="N35" s="333">
        <f>IFERROR(IF(L35*M35=0,"",L35*M35),"")</f>
        <v/>
      </c>
      <c r="O35" s="334" t="n"/>
      <c r="P35" s="332">
        <f>IFERROR(VLOOKUP(TEXT(O35,"0"),CONDUCTORES!$A$3:$G$100,2,0),"")</f>
        <v/>
      </c>
      <c r="Q35" s="332">
        <f>IFERROR(VLOOKUP(TEXT(O35,"0"),CONDUCTORES!$A$3:$H$100,6,0),"")</f>
        <v/>
      </c>
      <c r="R35" s="336" t="n">
        <v>45968</v>
      </c>
      <c r="S35" s="305" t="inlineStr">
        <is>
          <t>K359,N390</t>
        </is>
      </c>
      <c r="T35" s="241" t="n"/>
      <c r="U35" s="280" t="n"/>
      <c r="V35" s="241" t="n"/>
      <c r="W35" s="241" t="n"/>
      <c r="X35" s="241" t="n"/>
      <c r="Y35" s="280" t="n"/>
    </row>
    <row r="36" ht="15.75" customHeight="1" s="195">
      <c r="A36" s="301" t="n">
        <v>31</v>
      </c>
      <c r="B36" s="302" t="inlineStr">
        <is>
          <t>00000243</t>
        </is>
      </c>
      <c r="C36" s="301" t="inlineStr">
        <is>
          <t>REGION</t>
        </is>
      </c>
      <c r="D36" s="302" t="inlineStr">
        <is>
          <t>TORRES VALQUI MARIA PASION</t>
        </is>
      </c>
      <c r="E36" s="301" t="inlineStr">
        <is>
          <t>DNI</t>
        </is>
      </c>
      <c r="F36" s="301" t="inlineStr">
        <is>
          <t>33952444</t>
        </is>
      </c>
      <c r="G36" s="331" t="n">
        <v>45960</v>
      </c>
      <c r="H36" s="301" t="inlineStr">
        <is>
          <t>4950</t>
        </is>
      </c>
      <c r="I36" s="332">
        <f>IFERROR(VLOOKUP(TEXT(H36,"0"),IPRESS!$A$3:$B$212,2,0),"")</f>
        <v/>
      </c>
      <c r="J36" s="301" t="inlineStr">
        <is>
          <t>4838</t>
        </is>
      </c>
      <c r="K36" s="332">
        <f>IFERROR(VLOOKUP(TEXT(O36,"0"),CONDUCTORES!$A$3:$G$100,7,0),"")</f>
        <v/>
      </c>
      <c r="L36" s="245" t="n">
        <v>20.25</v>
      </c>
      <c r="M36" s="245" t="n">
        <v>7</v>
      </c>
      <c r="N36" s="333">
        <f>IFERROR(IF(L36*M36=0,"",L36*M36),"")</f>
        <v/>
      </c>
      <c r="O36" s="280" t="n"/>
      <c r="P36" s="332">
        <f>IFERROR(VLOOKUP(TEXT(O36,"0"),CONDUCTORES!$A$3:$G$100,2,0),"")</f>
        <v/>
      </c>
      <c r="Q36" s="332">
        <f>IFERROR(VLOOKUP(TEXT(O36,"0"),CONDUCTORES!$A$3:$H$100,6,0),"")</f>
        <v/>
      </c>
      <c r="R36" s="331" t="n">
        <v>45968</v>
      </c>
      <c r="S36" s="302" t="inlineStr">
        <is>
          <t>S069,I612,T07X</t>
        </is>
      </c>
      <c r="T36" s="301" t="n"/>
      <c r="U36" s="334" t="n"/>
      <c r="V36" s="301" t="n"/>
      <c r="W36" s="301" t="n"/>
      <c r="X36" s="301" t="n"/>
      <c r="Y36" s="280" t="n"/>
    </row>
    <row r="37" ht="15.75" customHeight="1" s="195">
      <c r="A37" s="241" t="n">
        <v>32</v>
      </c>
      <c r="B37" s="305" t="inlineStr">
        <is>
          <t>00000244</t>
        </is>
      </c>
      <c r="C37" s="241" t="inlineStr">
        <is>
          <t>REGION</t>
        </is>
      </c>
      <c r="D37" s="305" t="inlineStr">
        <is>
          <t>ARISTA MUÑOZ JOSE WILIBAN</t>
        </is>
      </c>
      <c r="E37" s="241" t="inlineStr">
        <is>
          <t>DNI</t>
        </is>
      </c>
      <c r="F37" s="241" t="inlineStr">
        <is>
          <t>40571960</t>
        </is>
      </c>
      <c r="G37" s="336" t="n">
        <v>45961</v>
      </c>
      <c r="H37" s="241" t="inlineStr">
        <is>
          <t>4950</t>
        </is>
      </c>
      <c r="I37" s="332">
        <f>IFERROR(VLOOKUP(TEXT(H37,"0"),IPRESS!$A$3:$B$212,2,0),"")</f>
        <v/>
      </c>
      <c r="J37" s="241" t="inlineStr">
        <is>
          <t>4838</t>
        </is>
      </c>
      <c r="K37" s="332">
        <f>IFERROR(VLOOKUP(TEXT(O37,"0"),CONDUCTORES!$A$3:$G$100,7,0),"")</f>
        <v/>
      </c>
      <c r="L37" s="239" t="n">
        <v>20.25</v>
      </c>
      <c r="M37" s="239" t="n">
        <v>7</v>
      </c>
      <c r="N37" s="333">
        <f>IFERROR(IF(L37*M37=0,"",L37*M37),"")</f>
        <v/>
      </c>
      <c r="O37" s="334" t="n"/>
      <c r="P37" s="332">
        <f>IFERROR(VLOOKUP(TEXT(O37,"0"),CONDUCTORES!$A$3:$G$100,2,0),"")</f>
        <v/>
      </c>
      <c r="Q37" s="332">
        <f>IFERROR(VLOOKUP(TEXT(O37,"0"),CONDUCTORES!$A$3:$H$100,6,0),"")</f>
        <v/>
      </c>
      <c r="R37" s="336" t="n">
        <v>45968</v>
      </c>
      <c r="S37" s="305" t="inlineStr">
        <is>
          <t>G569,S611</t>
        </is>
      </c>
      <c r="T37" s="241" t="n"/>
      <c r="U37" s="280" t="n"/>
      <c r="V37" s="241" t="n"/>
      <c r="W37" s="241" t="n"/>
      <c r="X37" s="241" t="n"/>
      <c r="Y37" s="280" t="n"/>
    </row>
    <row r="38" ht="15.75" customHeight="1" s="195">
      <c r="A38" s="301" t="n">
        <v>33</v>
      </c>
      <c r="B38" s="302" t="inlineStr">
        <is>
          <t>00000245</t>
        </is>
      </c>
      <c r="C38" s="301" t="inlineStr">
        <is>
          <t>REGION</t>
        </is>
      </c>
      <c r="D38" s="302" t="inlineStr">
        <is>
          <t>BAUTISTA DIAZ ROGELIO</t>
        </is>
      </c>
      <c r="E38" s="301" t="inlineStr">
        <is>
          <t>DNI</t>
        </is>
      </c>
      <c r="F38" s="301" t="inlineStr">
        <is>
          <t>80131130</t>
        </is>
      </c>
      <c r="G38" s="331" t="n">
        <v>45961</v>
      </c>
      <c r="H38" s="301" t="inlineStr">
        <is>
          <t>4950</t>
        </is>
      </c>
      <c r="I38" s="332">
        <f>IFERROR(VLOOKUP(TEXT(H38,"0"),IPRESS!$A$3:$B$212,2,0),"")</f>
        <v/>
      </c>
      <c r="J38" s="301" t="inlineStr">
        <is>
          <t>4838</t>
        </is>
      </c>
      <c r="K38" s="332">
        <f>IFERROR(VLOOKUP(TEXT(O38,"0"),CONDUCTORES!$A$3:$G$100,7,0),"")</f>
        <v/>
      </c>
      <c r="L38" s="245" t="n">
        <v>20.25</v>
      </c>
      <c r="M38" s="245" t="n">
        <v>7</v>
      </c>
      <c r="N38" s="333">
        <f>IFERROR(IF(L38*M38=0,"",L38*M38),"")</f>
        <v/>
      </c>
      <c r="O38" s="280" t="n"/>
      <c r="P38" s="332">
        <f>IFERROR(VLOOKUP(TEXT(O38,"0"),CONDUCTORES!$A$3:$G$100,2,0),"")</f>
        <v/>
      </c>
      <c r="Q38" s="332">
        <f>IFERROR(VLOOKUP(TEXT(O38,"0"),CONDUCTORES!$A$3:$H$100,6,0),"")</f>
        <v/>
      </c>
      <c r="R38" s="331" t="n">
        <v>45968</v>
      </c>
      <c r="S38" s="302" t="inlineStr">
        <is>
          <t>J960,I679,J690</t>
        </is>
      </c>
      <c r="T38" s="301" t="n"/>
      <c r="U38" s="334" t="n"/>
      <c r="V38" s="301" t="n"/>
      <c r="W38" s="301" t="n"/>
      <c r="X38" s="301" t="n"/>
      <c r="Y38" s="280" t="n"/>
    </row>
    <row r="39" ht="15.75" customHeight="1" s="195">
      <c r="A39" s="241" t="n">
        <v>34</v>
      </c>
      <c r="B39" s="305" t="inlineStr">
        <is>
          <t>00000022</t>
        </is>
      </c>
      <c r="C39" s="241" t="inlineStr">
        <is>
          <t>REGION</t>
        </is>
      </c>
      <c r="D39" s="305" t="inlineStr">
        <is>
          <t>FERNANDEZ CULQUI DISNEY</t>
        </is>
      </c>
      <c r="E39" s="241" t="inlineStr">
        <is>
          <t>DNI</t>
        </is>
      </c>
      <c r="F39" s="241" t="inlineStr">
        <is>
          <t>60635522</t>
        </is>
      </c>
      <c r="G39" s="336" t="n">
        <v>45953</v>
      </c>
      <c r="H39" s="241" t="inlineStr">
        <is>
          <t>4905</t>
        </is>
      </c>
      <c r="I39" s="332">
        <f>IFERROR(VLOOKUP(TEXT(H39,"0"),IPRESS!$A$3:$B$212,2,0),"")</f>
        <v/>
      </c>
      <c r="J39" s="241" t="inlineStr">
        <is>
          <t>4838</t>
        </is>
      </c>
      <c r="K39" s="332">
        <f>IFERROR(VLOOKUP(TEXT(O39,"0"),CONDUCTORES!$A$3:$G$100,7,0),"")</f>
        <v/>
      </c>
      <c r="L39" s="239" t="n">
        <v>18.18</v>
      </c>
      <c r="M39" s="239" t="n">
        <v>8</v>
      </c>
      <c r="N39" s="333">
        <f>IFERROR(IF(L39*M39=0,"",L39*M39),"")</f>
        <v/>
      </c>
      <c r="O39" s="334" t="n"/>
      <c r="P39" s="332">
        <f>IFERROR(VLOOKUP(TEXT(O39,"0"),CONDUCTORES!$A$3:$G$100,2,0),"")</f>
        <v/>
      </c>
      <c r="Q39" s="332">
        <f>IFERROR(VLOOKUP(TEXT(O39,"0"),CONDUCTORES!$A$3:$H$100,6,0),"")</f>
        <v/>
      </c>
      <c r="R39" s="336" t="n">
        <v>45992</v>
      </c>
      <c r="S39" s="305" t="inlineStr">
        <is>
          <t>T230</t>
        </is>
      </c>
      <c r="T39" s="241" t="n"/>
      <c r="U39" s="280" t="n"/>
      <c r="V39" s="241" t="n"/>
      <c r="W39" s="241" t="n"/>
      <c r="X39" s="241" t="n"/>
      <c r="Y39" s="280" t="n"/>
    </row>
    <row r="40" ht="15.75" customHeight="1" s="195">
      <c r="A40" s="301" t="n">
        <v>35</v>
      </c>
      <c r="B40" s="302" t="inlineStr">
        <is>
          <t>00000023</t>
        </is>
      </c>
      <c r="C40" s="301" t="inlineStr">
        <is>
          <t>REGION</t>
        </is>
      </c>
      <c r="D40" s="302" t="inlineStr">
        <is>
          <t xml:space="preserve">CHOCTALIN TUCTO MARIA MERCEDES </t>
        </is>
      </c>
      <c r="E40" s="301" t="inlineStr">
        <is>
          <t>DNI</t>
        </is>
      </c>
      <c r="F40" s="301" t="inlineStr">
        <is>
          <t>75060443</t>
        </is>
      </c>
      <c r="G40" s="331" t="n">
        <v>45956</v>
      </c>
      <c r="H40" s="301" t="inlineStr">
        <is>
          <t>4905</t>
        </is>
      </c>
      <c r="I40" s="332">
        <f>IFERROR(VLOOKUP(TEXT(H40,"0"),IPRESS!$A$3:$B$212,2,0),"")</f>
        <v/>
      </c>
      <c r="J40" s="301" t="inlineStr">
        <is>
          <t>4838</t>
        </is>
      </c>
      <c r="K40" s="332">
        <f>IFERROR(VLOOKUP(TEXT(O40,"0"),CONDUCTORES!$A$3:$G$100,7,0),"")</f>
        <v/>
      </c>
      <c r="L40" s="245" t="n">
        <v>18.18</v>
      </c>
      <c r="M40" s="245" t="n">
        <v>8</v>
      </c>
      <c r="N40" s="333">
        <f>IFERROR(IF(L40*M40=0,"",L40*M40),"")</f>
        <v/>
      </c>
      <c r="O40" s="280" t="n"/>
      <c r="P40" s="332">
        <f>IFERROR(VLOOKUP(TEXT(O40,"0"),CONDUCTORES!$A$3:$G$100,2,0),"")</f>
        <v/>
      </c>
      <c r="Q40" s="332">
        <f>IFERROR(VLOOKUP(TEXT(O40,"0"),CONDUCTORES!$A$3:$H$100,6,0),"")</f>
        <v/>
      </c>
      <c r="R40" s="331" t="n">
        <v>45992</v>
      </c>
      <c r="S40" s="302" t="inlineStr">
        <is>
          <t xml:space="preserve">O342 </t>
        </is>
      </c>
      <c r="T40" s="301" t="n"/>
      <c r="U40" s="334" t="n"/>
      <c r="V40" s="301" t="n"/>
      <c r="W40" s="301" t="n"/>
      <c r="X40" s="301" t="n"/>
      <c r="Y40" s="280" t="n"/>
    </row>
    <row r="41" ht="15.75" customHeight="1" s="195">
      <c r="A41" s="241" t="n">
        <v>36</v>
      </c>
      <c r="B41" s="305" t="inlineStr">
        <is>
          <t>00000022</t>
        </is>
      </c>
      <c r="C41" s="241" t="inlineStr">
        <is>
          <t>REGION</t>
        </is>
      </c>
      <c r="D41" s="305" t="inlineStr">
        <is>
          <t>HUAYAMA CHICANA DADNE ARLET</t>
        </is>
      </c>
      <c r="E41" s="241" t="inlineStr">
        <is>
          <t>DNI</t>
        </is>
      </c>
      <c r="F41" s="241" t="inlineStr">
        <is>
          <t>60030399</t>
        </is>
      </c>
      <c r="G41" s="336" t="n">
        <v>45952</v>
      </c>
      <c r="H41" s="241" t="inlineStr">
        <is>
          <t>4917</t>
        </is>
      </c>
      <c r="I41" s="332">
        <f>IFERROR(VLOOKUP(TEXT(H41,"0"),IPRESS!$A$3:$B$212,2,0),"")</f>
        <v/>
      </c>
      <c r="J41" s="241" t="inlineStr">
        <is>
          <t>4838</t>
        </is>
      </c>
      <c r="K41" s="332">
        <f>IFERROR(VLOOKUP(TEXT(O41,"0"),CONDUCTORES!$A$3:$G$100,7,0),"")</f>
        <v/>
      </c>
      <c r="L41" s="239" t="n">
        <v>18.18</v>
      </c>
      <c r="M41" s="239" t="n">
        <v>12</v>
      </c>
      <c r="N41" s="333">
        <f>IFERROR(IF(L41*M41=0,"",L41*M41),"")</f>
        <v/>
      </c>
      <c r="O41" s="334" t="n"/>
      <c r="P41" s="332">
        <f>IFERROR(VLOOKUP(TEXT(O41,"0"),CONDUCTORES!$A$3:$G$100,2,0),"")</f>
        <v/>
      </c>
      <c r="Q41" s="332">
        <f>IFERROR(VLOOKUP(TEXT(O41,"0"),CONDUCTORES!$A$3:$H$100,6,0),"")</f>
        <v/>
      </c>
      <c r="R41" s="336" t="n">
        <v>45978</v>
      </c>
      <c r="S41" s="305" t="inlineStr">
        <is>
          <t>K859,B159</t>
        </is>
      </c>
      <c r="T41" s="241" t="n"/>
      <c r="U41" s="280" t="n"/>
      <c r="V41" s="241" t="inlineStr">
        <is>
          <t>5839.0</t>
        </is>
      </c>
      <c r="W41" s="241" t="inlineStr">
        <is>
          <t>CONTRATO 001-2025</t>
        </is>
      </c>
      <c r="X41" s="241" t="inlineStr">
        <is>
          <t>266.0</t>
        </is>
      </c>
      <c r="Y41" s="280" t="n"/>
    </row>
    <row r="42" ht="15.75" customHeight="1" s="195">
      <c r="A42" s="301" t="n">
        <v>37</v>
      </c>
      <c r="B42" s="302" t="inlineStr">
        <is>
          <t>00000050</t>
        </is>
      </c>
      <c r="C42" s="301" t="inlineStr">
        <is>
          <t>REGION</t>
        </is>
      </c>
      <c r="D42" s="302" t="inlineStr">
        <is>
          <t>VENTURA VENTURA LOYDI</t>
        </is>
      </c>
      <c r="E42" s="301" t="inlineStr">
        <is>
          <t>DNI</t>
        </is>
      </c>
      <c r="F42" s="301" t="inlineStr">
        <is>
          <t>71229078</t>
        </is>
      </c>
      <c r="G42" s="331" t="n">
        <v>45936</v>
      </c>
      <c r="H42" s="301" t="inlineStr">
        <is>
          <t>4850</t>
        </is>
      </c>
      <c r="I42" s="332">
        <f>IFERROR(VLOOKUP(TEXT(H42,"0"),IPRESS!$A$3:$B$212,2,0),"")</f>
        <v/>
      </c>
      <c r="J42" s="301" t="inlineStr">
        <is>
          <t>4838</t>
        </is>
      </c>
      <c r="K42" s="332">
        <f>IFERROR(VLOOKUP(TEXT(O42,"0"),CONDUCTORES!$A$3:$G$100,7,0),"")</f>
        <v/>
      </c>
      <c r="L42" s="245" t="n">
        <v>18.18</v>
      </c>
      <c r="M42" s="245" t="n">
        <v>4</v>
      </c>
      <c r="N42" s="333">
        <f>IFERROR(IF(L42*M42=0,"",L42*M42),"")</f>
        <v/>
      </c>
      <c r="O42" s="280" t="n"/>
      <c r="P42" s="332">
        <f>IFERROR(VLOOKUP(TEXT(O42,"0"),CONDUCTORES!$A$3:$G$100,2,0),"")</f>
        <v/>
      </c>
      <c r="Q42" s="332">
        <f>IFERROR(VLOOKUP(TEXT(O42,"0"),CONDUCTORES!$A$3:$H$100,6,0),"")</f>
        <v/>
      </c>
      <c r="R42" s="331" t="n">
        <v>45987</v>
      </c>
      <c r="S42" s="302" t="inlineStr">
        <is>
          <t>O322</t>
        </is>
      </c>
      <c r="T42" s="301" t="n"/>
      <c r="U42" s="334" t="n"/>
      <c r="V42" s="301" t="inlineStr">
        <is>
          <t>5989-2025</t>
        </is>
      </c>
      <c r="W42" s="301" t="inlineStr">
        <is>
          <t>CONTRATO N° 001-2025</t>
        </is>
      </c>
      <c r="X42" s="301" t="inlineStr">
        <is>
          <t>266.0</t>
        </is>
      </c>
      <c r="Y42" s="280" t="n"/>
    </row>
    <row r="43" ht="15.75" customHeight="1" s="195">
      <c r="A43" s="241" t="n">
        <v>38</v>
      </c>
      <c r="B43" s="305" t="inlineStr">
        <is>
          <t>00000051</t>
        </is>
      </c>
      <c r="C43" s="241" t="inlineStr">
        <is>
          <t>REGION</t>
        </is>
      </c>
      <c r="D43" s="305" t="inlineStr">
        <is>
          <t>ZUTA CHAPPA LUZDINA</t>
        </is>
      </c>
      <c r="E43" s="241" t="inlineStr">
        <is>
          <t>DNI</t>
        </is>
      </c>
      <c r="F43" s="241" t="inlineStr">
        <is>
          <t>33804607</t>
        </is>
      </c>
      <c r="G43" s="336" t="n">
        <v>45938</v>
      </c>
      <c r="H43" s="241" t="inlineStr">
        <is>
          <t>4850</t>
        </is>
      </c>
      <c r="I43" s="332">
        <f>IFERROR(VLOOKUP(TEXT(H43,"0"),IPRESS!$A$3:$B$212,2,0),"")</f>
        <v/>
      </c>
      <c r="J43" s="241" t="inlineStr">
        <is>
          <t>4838</t>
        </is>
      </c>
      <c r="K43" s="332">
        <f>IFERROR(VLOOKUP(TEXT(O43,"0"),CONDUCTORES!$A$3:$G$100,7,0),"")</f>
        <v/>
      </c>
      <c r="L43" s="239" t="n">
        <v>18.18</v>
      </c>
      <c r="M43" s="239" t="n">
        <v>4</v>
      </c>
      <c r="N43" s="333">
        <f>IFERROR(IF(L43*M43=0,"",L43*M43),"")</f>
        <v/>
      </c>
      <c r="O43" s="334" t="n"/>
      <c r="P43" s="332">
        <f>IFERROR(VLOOKUP(TEXT(O43,"0"),CONDUCTORES!$A$3:$G$100,2,0),"")</f>
        <v/>
      </c>
      <c r="Q43" s="332">
        <f>IFERROR(VLOOKUP(TEXT(O43,"0"),CONDUCTORES!$A$3:$H$100,6,0),"")</f>
        <v/>
      </c>
      <c r="R43" s="336" t="n">
        <v>45987</v>
      </c>
      <c r="S43" s="305" t="inlineStr">
        <is>
          <t>I639</t>
        </is>
      </c>
      <c r="T43" s="241" t="n"/>
      <c r="U43" s="280" t="n"/>
      <c r="V43" s="241" t="inlineStr">
        <is>
          <t>5989-2025</t>
        </is>
      </c>
      <c r="W43" s="241" t="inlineStr">
        <is>
          <t>CONTRATO N° 001-2025</t>
        </is>
      </c>
      <c r="X43" s="241" t="inlineStr">
        <is>
          <t>266.0</t>
        </is>
      </c>
      <c r="Y43" s="280" t="n"/>
    </row>
    <row r="44" ht="15.75" customHeight="1" s="195">
      <c r="A44" s="301" t="n">
        <v>39</v>
      </c>
      <c r="B44" s="302" t="inlineStr">
        <is>
          <t>00000052</t>
        </is>
      </c>
      <c r="C44" s="301" t="inlineStr">
        <is>
          <t>REGION</t>
        </is>
      </c>
      <c r="D44" s="302" t="inlineStr">
        <is>
          <t>GRANDEZ ZUTA PATROCINIA</t>
        </is>
      </c>
      <c r="E44" s="301" t="inlineStr">
        <is>
          <t>DNI</t>
        </is>
      </c>
      <c r="F44" s="301" t="inlineStr">
        <is>
          <t>44088496</t>
        </is>
      </c>
      <c r="G44" s="331" t="n">
        <v>45940</v>
      </c>
      <c r="H44" s="301" t="inlineStr">
        <is>
          <t>4850</t>
        </is>
      </c>
      <c r="I44" s="332">
        <f>IFERROR(VLOOKUP(TEXT(H44,"0"),IPRESS!$A$3:$B$212,2,0),"")</f>
        <v/>
      </c>
      <c r="J44" s="301" t="inlineStr">
        <is>
          <t>4838</t>
        </is>
      </c>
      <c r="K44" s="332">
        <f>IFERROR(VLOOKUP(TEXT(O44,"0"),CONDUCTORES!$A$3:$G$100,7,0),"")</f>
        <v/>
      </c>
      <c r="L44" s="245" t="n">
        <v>18.18</v>
      </c>
      <c r="M44" s="245" t="n">
        <v>4</v>
      </c>
      <c r="N44" s="333">
        <f>IFERROR(IF(L44*M44=0,"",L44*M44),"")</f>
        <v/>
      </c>
      <c r="O44" s="280" t="n"/>
      <c r="P44" s="332">
        <f>IFERROR(VLOOKUP(TEXT(O44,"0"),CONDUCTORES!$A$3:$G$100,2,0),"")</f>
        <v/>
      </c>
      <c r="Q44" s="332">
        <f>IFERROR(VLOOKUP(TEXT(O44,"0"),CONDUCTORES!$A$3:$H$100,6,0),"")</f>
        <v/>
      </c>
      <c r="R44" s="331" t="n">
        <v>45987</v>
      </c>
      <c r="S44" s="302" t="inlineStr">
        <is>
          <t>I639</t>
        </is>
      </c>
      <c r="T44" s="301" t="n"/>
      <c r="U44" s="334" t="n"/>
      <c r="V44" s="301" t="inlineStr">
        <is>
          <t>5989-2025</t>
        </is>
      </c>
      <c r="W44" s="301" t="inlineStr">
        <is>
          <t>CONTRATO N° 001-2025</t>
        </is>
      </c>
      <c r="X44" s="301" t="inlineStr">
        <is>
          <t>266.0</t>
        </is>
      </c>
      <c r="Y44" s="280" t="n"/>
    </row>
    <row r="45" ht="15.75" customHeight="1" s="195">
      <c r="A45" s="241" t="n">
        <v>40</v>
      </c>
      <c r="B45" s="305" t="inlineStr">
        <is>
          <t>00000053</t>
        </is>
      </c>
      <c r="C45" s="241" t="inlineStr">
        <is>
          <t>REGION</t>
        </is>
      </c>
      <c r="D45" s="305" t="inlineStr">
        <is>
          <t>LLANOS VENTURA ATZEL AZAD</t>
        </is>
      </c>
      <c r="E45" s="241" t="inlineStr">
        <is>
          <t>DNI</t>
        </is>
      </c>
      <c r="F45" s="241" t="inlineStr">
        <is>
          <t>93625740</t>
        </is>
      </c>
      <c r="G45" s="336" t="n">
        <v>45941</v>
      </c>
      <c r="H45" s="241" t="inlineStr">
        <is>
          <t>4850</t>
        </is>
      </c>
      <c r="I45" s="332">
        <f>IFERROR(VLOOKUP(TEXT(H45,"0"),IPRESS!$A$3:$B$212,2,0),"")</f>
        <v/>
      </c>
      <c r="J45" s="241" t="inlineStr">
        <is>
          <t>4838</t>
        </is>
      </c>
      <c r="K45" s="332">
        <f>IFERROR(VLOOKUP(TEXT(O45,"0"),CONDUCTORES!$A$3:$G$100,7,0),"")</f>
        <v/>
      </c>
      <c r="L45" s="239" t="n">
        <v>18.18</v>
      </c>
      <c r="M45" s="239" t="n">
        <v>4</v>
      </c>
      <c r="N45" s="333">
        <f>IFERROR(IF(L45*M45=0,"",L45*M45),"")</f>
        <v/>
      </c>
      <c r="O45" s="334" t="n"/>
      <c r="P45" s="332">
        <f>IFERROR(VLOOKUP(TEXT(O45,"0"),CONDUCTORES!$A$3:$G$100,2,0),"")</f>
        <v/>
      </c>
      <c r="Q45" s="332">
        <f>IFERROR(VLOOKUP(TEXT(O45,"0"),CONDUCTORES!$A$3:$H$100,6,0),"")</f>
        <v/>
      </c>
      <c r="R45" s="336" t="n">
        <v>45987</v>
      </c>
      <c r="S45" s="305" t="inlineStr">
        <is>
          <t>T234,L030</t>
        </is>
      </c>
      <c r="T45" s="241" t="n"/>
      <c r="U45" s="280" t="n"/>
      <c r="V45" s="241" t="inlineStr">
        <is>
          <t>5989-2025</t>
        </is>
      </c>
      <c r="W45" s="241" t="inlineStr">
        <is>
          <t>CONTRATO N° 001-2025</t>
        </is>
      </c>
      <c r="X45" s="241" t="inlineStr">
        <is>
          <t>266.0</t>
        </is>
      </c>
      <c r="Y45" s="280" t="n"/>
    </row>
    <row r="46" ht="15.75" customHeight="1" s="195">
      <c r="A46" s="301" t="n">
        <v>41</v>
      </c>
      <c r="B46" s="302" t="inlineStr">
        <is>
          <t>00000054</t>
        </is>
      </c>
      <c r="C46" s="301" t="inlineStr">
        <is>
          <t>REGION</t>
        </is>
      </c>
      <c r="D46" s="302" t="inlineStr">
        <is>
          <t>CACHAY SERVAN FELIPE SANTIAGO</t>
        </is>
      </c>
      <c r="E46" s="301" t="inlineStr">
        <is>
          <t>DNI</t>
        </is>
      </c>
      <c r="F46" s="301" t="inlineStr">
        <is>
          <t>33402869</t>
        </is>
      </c>
      <c r="G46" s="331" t="n">
        <v>45947</v>
      </c>
      <c r="H46" s="301" t="inlineStr">
        <is>
          <t>4850</t>
        </is>
      </c>
      <c r="I46" s="332">
        <f>IFERROR(VLOOKUP(TEXT(H46,"0"),IPRESS!$A$3:$B$212,2,0),"")</f>
        <v/>
      </c>
      <c r="J46" s="301" t="inlineStr">
        <is>
          <t>4838</t>
        </is>
      </c>
      <c r="K46" s="332">
        <f>IFERROR(VLOOKUP(TEXT(O46,"0"),CONDUCTORES!$A$3:$G$100,7,0),"")</f>
        <v/>
      </c>
      <c r="L46" s="245" t="n">
        <v>18.18</v>
      </c>
      <c r="M46" s="245" t="n">
        <v>4</v>
      </c>
      <c r="N46" s="333">
        <f>IFERROR(IF(L46*M46=0,"",L46*M46),"")</f>
        <v/>
      </c>
      <c r="O46" s="280" t="n"/>
      <c r="P46" s="332">
        <f>IFERROR(VLOOKUP(TEXT(O46,"0"),CONDUCTORES!$A$3:$G$100,2,0),"")</f>
        <v/>
      </c>
      <c r="Q46" s="332">
        <f>IFERROR(VLOOKUP(TEXT(O46,"0"),CONDUCTORES!$A$3:$H$100,6,0),"")</f>
        <v/>
      </c>
      <c r="R46" s="331" t="n">
        <v>45987</v>
      </c>
      <c r="S46" s="302" t="inlineStr">
        <is>
          <t>K403,R33X</t>
        </is>
      </c>
      <c r="T46" s="301" t="n"/>
      <c r="U46" s="334" t="n"/>
      <c r="V46" s="301" t="inlineStr">
        <is>
          <t>5989-2025</t>
        </is>
      </c>
      <c r="W46" s="301" t="inlineStr">
        <is>
          <t>CONTRATO N° 001-2025</t>
        </is>
      </c>
      <c r="X46" s="301" t="inlineStr">
        <is>
          <t>266.0</t>
        </is>
      </c>
      <c r="Y46" s="280" t="n"/>
    </row>
    <row r="47" ht="15.75" customHeight="1" s="195">
      <c r="A47" s="241" t="n">
        <v>42</v>
      </c>
      <c r="B47" s="305" t="inlineStr">
        <is>
          <t>00000055</t>
        </is>
      </c>
      <c r="C47" s="241" t="inlineStr">
        <is>
          <t>REGION</t>
        </is>
      </c>
      <c r="D47" s="305" t="inlineStr">
        <is>
          <t>SANTILLAN AGUILAR ESTELA DEL PILAR</t>
        </is>
      </c>
      <c r="E47" s="241" t="inlineStr">
        <is>
          <t>DNI</t>
        </is>
      </c>
      <c r="F47" s="241" t="inlineStr">
        <is>
          <t>44662291</t>
        </is>
      </c>
      <c r="G47" s="336" t="n">
        <v>45948</v>
      </c>
      <c r="H47" s="241" t="inlineStr">
        <is>
          <t>4850</t>
        </is>
      </c>
      <c r="I47" s="332">
        <f>IFERROR(VLOOKUP(TEXT(H47,"0"),IPRESS!$A$3:$B$212,2,0),"")</f>
        <v/>
      </c>
      <c r="J47" s="241" t="inlineStr">
        <is>
          <t>4838</t>
        </is>
      </c>
      <c r="K47" s="332">
        <f>IFERROR(VLOOKUP(TEXT(O47,"0"),CONDUCTORES!$A$3:$G$100,7,0),"")</f>
        <v/>
      </c>
      <c r="L47" s="239" t="n">
        <v>18.18</v>
      </c>
      <c r="M47" s="239" t="n">
        <v>4</v>
      </c>
      <c r="N47" s="333">
        <f>IFERROR(IF(L47*M47=0,"",L47*M47),"")</f>
        <v/>
      </c>
      <c r="O47" s="334" t="n"/>
      <c r="P47" s="332">
        <f>IFERROR(VLOOKUP(TEXT(O47,"0"),CONDUCTORES!$A$3:$G$100,2,0),"")</f>
        <v/>
      </c>
      <c r="Q47" s="332">
        <f>IFERROR(VLOOKUP(TEXT(O47,"0"),CONDUCTORES!$A$3:$H$100,6,0),"")</f>
        <v/>
      </c>
      <c r="R47" s="336" t="n">
        <v>45987</v>
      </c>
      <c r="S47" s="305" t="inlineStr">
        <is>
          <t>O759</t>
        </is>
      </c>
      <c r="T47" s="241" t="n"/>
      <c r="U47" s="280" t="n"/>
      <c r="V47" s="241" t="inlineStr">
        <is>
          <t>5989-2025</t>
        </is>
      </c>
      <c r="W47" s="241" t="inlineStr">
        <is>
          <t>CONTRATO N° 001-2025</t>
        </is>
      </c>
      <c r="X47" s="241" t="inlineStr">
        <is>
          <t>266.0</t>
        </is>
      </c>
      <c r="Y47" s="280" t="n"/>
    </row>
    <row r="48" ht="15.75" customHeight="1" s="195">
      <c r="A48" s="301" t="n">
        <v>43</v>
      </c>
      <c r="B48" s="302" t="inlineStr">
        <is>
          <t>00000056</t>
        </is>
      </c>
      <c r="C48" s="301" t="inlineStr">
        <is>
          <t>REGION</t>
        </is>
      </c>
      <c r="D48" s="302" t="inlineStr">
        <is>
          <t>ACOSTA CATALAN MILKA</t>
        </is>
      </c>
      <c r="E48" s="301" t="inlineStr">
        <is>
          <t>DNI</t>
        </is>
      </c>
      <c r="F48" s="301" t="inlineStr">
        <is>
          <t>45715345</t>
        </is>
      </c>
      <c r="G48" s="331" t="n">
        <v>45954</v>
      </c>
      <c r="H48" s="301" t="inlineStr">
        <is>
          <t>4850</t>
        </is>
      </c>
      <c r="I48" s="332">
        <f>IFERROR(VLOOKUP(TEXT(H48,"0"),IPRESS!$A$3:$B$212,2,0),"")</f>
        <v/>
      </c>
      <c r="J48" s="301" t="inlineStr">
        <is>
          <t>4838</t>
        </is>
      </c>
      <c r="K48" s="332">
        <f>IFERROR(VLOOKUP(TEXT(O48,"0"),CONDUCTORES!$A$3:$G$100,7,0),"")</f>
        <v/>
      </c>
      <c r="L48" s="245" t="n">
        <v>18.18</v>
      </c>
      <c r="M48" s="245" t="n">
        <v>4</v>
      </c>
      <c r="N48" s="333">
        <f>IFERROR(IF(L48*M48=0,"",L48*M48),"")</f>
        <v/>
      </c>
      <c r="O48" s="280" t="n"/>
      <c r="P48" s="332">
        <f>IFERROR(VLOOKUP(TEXT(O48,"0"),CONDUCTORES!$A$3:$G$100,2,0),"")</f>
        <v/>
      </c>
      <c r="Q48" s="332">
        <f>IFERROR(VLOOKUP(TEXT(O48,"0"),CONDUCTORES!$A$3:$H$100,6,0),"")</f>
        <v/>
      </c>
      <c r="R48" s="331" t="n">
        <v>45987</v>
      </c>
      <c r="S48" s="302" t="inlineStr">
        <is>
          <t>O990,O758</t>
        </is>
      </c>
      <c r="T48" s="301" t="n"/>
      <c r="U48" s="334" t="n"/>
      <c r="V48" s="301" t="inlineStr">
        <is>
          <t>5989-2025</t>
        </is>
      </c>
      <c r="W48" s="301" t="inlineStr">
        <is>
          <t>CONTRATO N° 001-2025</t>
        </is>
      </c>
      <c r="X48" s="301" t="inlineStr">
        <is>
          <t>266.0</t>
        </is>
      </c>
      <c r="Y48" s="280" t="n"/>
    </row>
    <row r="49" ht="15.75" customHeight="1" s="195">
      <c r="A49" s="241" t="n">
        <v>44</v>
      </c>
      <c r="B49" s="305" t="inlineStr">
        <is>
          <t>00000057</t>
        </is>
      </c>
      <c r="C49" s="241" t="inlineStr">
        <is>
          <t>REGION</t>
        </is>
      </c>
      <c r="D49" s="305" t="inlineStr">
        <is>
          <t>HUAMAN GORMAS FANI MERCEDES</t>
        </is>
      </c>
      <c r="E49" s="241" t="inlineStr">
        <is>
          <t>DNI</t>
        </is>
      </c>
      <c r="F49" s="241" t="inlineStr">
        <is>
          <t>47179225</t>
        </is>
      </c>
      <c r="G49" s="336" t="n">
        <v>45958</v>
      </c>
      <c r="H49" s="241" t="inlineStr">
        <is>
          <t>4850</t>
        </is>
      </c>
      <c r="I49" s="332">
        <f>IFERROR(VLOOKUP(TEXT(H49,"0"),IPRESS!$A$3:$B$212,2,0),"")</f>
        <v/>
      </c>
      <c r="J49" s="241" t="inlineStr">
        <is>
          <t>4838</t>
        </is>
      </c>
      <c r="K49" s="332">
        <f>IFERROR(VLOOKUP(TEXT(O49,"0"),CONDUCTORES!$A$3:$G$100,7,0),"")</f>
        <v/>
      </c>
      <c r="L49" s="239" t="n">
        <v>18.18</v>
      </c>
      <c r="M49" s="239" t="n">
        <v>4</v>
      </c>
      <c r="N49" s="333">
        <f>IFERROR(IF(L49*M49=0,"",L49*M49),"")</f>
        <v/>
      </c>
      <c r="O49" s="334" t="n"/>
      <c r="P49" s="332">
        <f>IFERROR(VLOOKUP(TEXT(O49,"0"),CONDUCTORES!$A$3:$G$100,2,0),"")</f>
        <v/>
      </c>
      <c r="Q49" s="332">
        <f>IFERROR(VLOOKUP(TEXT(O49,"0"),CONDUCTORES!$A$3:$H$100,6,0),"")</f>
        <v/>
      </c>
      <c r="R49" s="336" t="n">
        <v>45987</v>
      </c>
      <c r="S49" s="305" t="inlineStr">
        <is>
          <t>O631</t>
        </is>
      </c>
      <c r="T49" s="241" t="n"/>
      <c r="U49" s="280" t="n"/>
      <c r="V49" s="241" t="inlineStr">
        <is>
          <t>5989-2025</t>
        </is>
      </c>
      <c r="W49" s="241" t="inlineStr">
        <is>
          <t>CONTRATO N° 001-2025</t>
        </is>
      </c>
      <c r="X49" s="241" t="inlineStr">
        <is>
          <t>266.0</t>
        </is>
      </c>
      <c r="Y49" s="280" t="n"/>
    </row>
    <row r="50" ht="15.75" customHeight="1" s="195">
      <c r="A50" s="301" t="n">
        <v>45</v>
      </c>
      <c r="B50" s="302" t="inlineStr">
        <is>
          <t>00000042</t>
        </is>
      </c>
      <c r="C50" s="301" t="inlineStr">
        <is>
          <t>REGION</t>
        </is>
      </c>
      <c r="D50" s="302" t="inlineStr">
        <is>
          <t>GUTIERREZ GUTIERREZ SENOVIO</t>
        </is>
      </c>
      <c r="E50" s="301" t="inlineStr">
        <is>
          <t>DNI</t>
        </is>
      </c>
      <c r="F50" s="301" t="inlineStr">
        <is>
          <t>48779383</t>
        </is>
      </c>
      <c r="G50" s="331" t="n">
        <v>45944</v>
      </c>
      <c r="H50" s="301" t="inlineStr">
        <is>
          <t>4859</t>
        </is>
      </c>
      <c r="I50" s="332">
        <f>IFERROR(VLOOKUP(TEXT(H50,"0"),IPRESS!$A$3:$B$212,2,0),"")</f>
        <v/>
      </c>
      <c r="J50" s="301" t="inlineStr">
        <is>
          <t>4838</t>
        </is>
      </c>
      <c r="K50" s="332">
        <f>IFERROR(VLOOKUP(TEXT(O50,"0"),CONDUCTORES!$A$3:$G$100,7,0),"")</f>
        <v/>
      </c>
      <c r="L50" s="245" t="n">
        <v>18.18</v>
      </c>
      <c r="M50" s="245" t="n">
        <v>7.5</v>
      </c>
      <c r="N50" s="333">
        <f>IFERROR(IF(L50*M50=0,"",L50*M50),"")</f>
        <v/>
      </c>
      <c r="O50" s="280" t="n"/>
      <c r="P50" s="332">
        <f>IFERROR(VLOOKUP(TEXT(O50,"0"),CONDUCTORES!$A$3:$G$100,2,0),"")</f>
        <v/>
      </c>
      <c r="Q50" s="332">
        <f>IFERROR(VLOOKUP(TEXT(O50,"0"),CONDUCTORES!$A$3:$H$100,6,0),"")</f>
        <v/>
      </c>
      <c r="R50" s="334" t="n"/>
      <c r="S50" s="302" t="inlineStr">
        <is>
          <t>J90X</t>
        </is>
      </c>
      <c r="T50" s="301" t="n"/>
      <c r="U50" s="334" t="n"/>
      <c r="V50" s="301" t="n"/>
      <c r="W50" s="301" t="n"/>
      <c r="X50" s="301" t="n"/>
      <c r="Y50" s="280" t="n"/>
    </row>
    <row r="51" ht="15.75" customHeight="1" s="195">
      <c r="A51" s="241" t="n">
        <v>46</v>
      </c>
      <c r="B51" s="305" t="inlineStr">
        <is>
          <t>00000043</t>
        </is>
      </c>
      <c r="C51" s="241" t="inlineStr">
        <is>
          <t>REGION</t>
        </is>
      </c>
      <c r="D51" s="305" t="inlineStr">
        <is>
          <t>GUEVARA LOVATO LUZ MERY</t>
        </is>
      </c>
      <c r="E51" s="241" t="inlineStr">
        <is>
          <t>DNI</t>
        </is>
      </c>
      <c r="F51" s="241" t="inlineStr">
        <is>
          <t>45098294</t>
        </is>
      </c>
      <c r="G51" s="336" t="n">
        <v>45955</v>
      </c>
      <c r="H51" s="241" t="inlineStr">
        <is>
          <t>4859</t>
        </is>
      </c>
      <c r="I51" s="332">
        <f>IFERROR(VLOOKUP(TEXT(H51,"0"),IPRESS!$A$3:$B$212,2,0),"")</f>
        <v/>
      </c>
      <c r="J51" s="241" t="inlineStr">
        <is>
          <t>4838</t>
        </is>
      </c>
      <c r="K51" s="332">
        <f>IFERROR(VLOOKUP(TEXT(O51,"0"),CONDUCTORES!$A$3:$G$100,7,0),"")</f>
        <v/>
      </c>
      <c r="L51" s="239" t="n">
        <v>18.18</v>
      </c>
      <c r="M51" s="239" t="n">
        <v>7.5</v>
      </c>
      <c r="N51" s="333">
        <f>IFERROR(IF(L51*M51=0,"",L51*M51),"")</f>
        <v/>
      </c>
      <c r="O51" s="334" t="n"/>
      <c r="P51" s="332">
        <f>IFERROR(VLOOKUP(TEXT(O51,"0"),CONDUCTORES!$A$3:$G$100,2,0),"")</f>
        <v/>
      </c>
      <c r="Q51" s="332">
        <f>IFERROR(VLOOKUP(TEXT(O51,"0"),CONDUCTORES!$A$3:$H$100,6,0),"")</f>
        <v/>
      </c>
      <c r="R51" s="280" t="n"/>
      <c r="S51" s="305" t="inlineStr">
        <is>
          <t>O034</t>
        </is>
      </c>
      <c r="T51" s="241" t="n"/>
      <c r="U51" s="280" t="n"/>
      <c r="V51" s="241" t="n"/>
      <c r="W51" s="241" t="n"/>
      <c r="X51" s="241" t="n"/>
      <c r="Y51" s="280" t="n"/>
    </row>
    <row r="52" ht="15.75" customHeight="1" s="195">
      <c r="A52" s="301" t="n">
        <v>47</v>
      </c>
      <c r="B52" s="302" t="inlineStr">
        <is>
          <t>00000066</t>
        </is>
      </c>
      <c r="C52" s="301" t="inlineStr">
        <is>
          <t>REGION</t>
        </is>
      </c>
      <c r="D52" s="302" t="inlineStr">
        <is>
          <t>BRICEÑO ALVA ESTEBAN</t>
        </is>
      </c>
      <c r="E52" s="301" t="inlineStr">
        <is>
          <t>DNI</t>
        </is>
      </c>
      <c r="F52" s="301" t="inlineStr">
        <is>
          <t>33788640</t>
        </is>
      </c>
      <c r="G52" s="331" t="n">
        <v>45931</v>
      </c>
      <c r="H52" s="301" t="inlineStr">
        <is>
          <t>4866</t>
        </is>
      </c>
      <c r="I52" s="332">
        <f>IFERROR(VLOOKUP(TEXT(H52,"0"),IPRESS!$A$3:$B$212,2,0),"")</f>
        <v/>
      </c>
      <c r="J52" s="301" t="inlineStr">
        <is>
          <t>4838</t>
        </is>
      </c>
      <c r="K52" s="332">
        <f>IFERROR(VLOOKUP(TEXT(O52,"0"),CONDUCTORES!$A$3:$G$100,7,0),"")</f>
        <v/>
      </c>
      <c r="L52" s="245" t="n">
        <v>18.18</v>
      </c>
      <c r="M52" s="245" t="n">
        <v>4</v>
      </c>
      <c r="N52" s="333">
        <f>IFERROR(IF(L52*M52=0,"",L52*M52),"")</f>
        <v/>
      </c>
      <c r="O52" s="280" t="n"/>
      <c r="P52" s="332">
        <f>IFERROR(VLOOKUP(TEXT(O52,"0"),CONDUCTORES!$A$3:$G$100,2,0),"")</f>
        <v/>
      </c>
      <c r="Q52" s="332">
        <f>IFERROR(VLOOKUP(TEXT(O52,"0"),CONDUCTORES!$A$3:$H$100,6,0),"")</f>
        <v/>
      </c>
      <c r="R52" s="331" t="n">
        <v>45967</v>
      </c>
      <c r="S52" s="302" t="inlineStr">
        <is>
          <t>T293</t>
        </is>
      </c>
      <c r="T52" s="301" t="n"/>
      <c r="U52" s="334" t="n"/>
      <c r="V52" s="301" t="n"/>
      <c r="W52" s="301" t="n"/>
      <c r="X52" s="301" t="n"/>
      <c r="Y52" s="280" t="n"/>
    </row>
    <row r="53" ht="15.75" customHeight="1" s="195">
      <c r="A53" s="241" t="n">
        <v>48</v>
      </c>
      <c r="B53" s="305" t="inlineStr">
        <is>
          <t>00000067</t>
        </is>
      </c>
      <c r="C53" s="241" t="inlineStr">
        <is>
          <t>REGION</t>
        </is>
      </c>
      <c r="D53" s="305" t="inlineStr">
        <is>
          <t>MENDOZA SANTILLAN DE MUÑOZ MAGDALENA</t>
        </is>
      </c>
      <c r="E53" s="241" t="inlineStr">
        <is>
          <t>DNI</t>
        </is>
      </c>
      <c r="F53" s="241" t="inlineStr">
        <is>
          <t>33791668</t>
        </is>
      </c>
      <c r="G53" s="336" t="n">
        <v>45933</v>
      </c>
      <c r="H53" s="241" t="inlineStr">
        <is>
          <t>4866</t>
        </is>
      </c>
      <c r="I53" s="332">
        <f>IFERROR(VLOOKUP(TEXT(H53,"0"),IPRESS!$A$3:$B$212,2,0),"")</f>
        <v/>
      </c>
      <c r="J53" s="241" t="inlineStr">
        <is>
          <t>4838</t>
        </is>
      </c>
      <c r="K53" s="332">
        <f>IFERROR(VLOOKUP(TEXT(O53,"0"),CONDUCTORES!$A$3:$G$100,7,0),"")</f>
        <v/>
      </c>
      <c r="L53" s="239" t="n">
        <v>18.18</v>
      </c>
      <c r="M53" s="239" t="n">
        <v>4</v>
      </c>
      <c r="N53" s="333">
        <f>IFERROR(IF(L53*M53=0,"",L53*M53),"")</f>
        <v/>
      </c>
      <c r="O53" s="334" t="n"/>
      <c r="P53" s="332">
        <f>IFERROR(VLOOKUP(TEXT(O53,"0"),CONDUCTORES!$A$3:$G$100,2,0),"")</f>
        <v/>
      </c>
      <c r="Q53" s="332">
        <f>IFERROR(VLOOKUP(TEXT(O53,"0"),CONDUCTORES!$A$3:$H$100,6,0),"")</f>
        <v/>
      </c>
      <c r="R53" s="336" t="n">
        <v>45967</v>
      </c>
      <c r="S53" s="305" t="inlineStr">
        <is>
          <t>I500</t>
        </is>
      </c>
      <c r="T53" s="241" t="n"/>
      <c r="U53" s="280" t="n"/>
      <c r="V53" s="241" t="n"/>
      <c r="W53" s="241" t="n"/>
      <c r="X53" s="241" t="n"/>
      <c r="Y53" s="280" t="n"/>
    </row>
    <row r="54" ht="15.75" customHeight="1" s="195">
      <c r="A54" s="301" t="n">
        <v>49</v>
      </c>
      <c r="B54" s="302" t="inlineStr">
        <is>
          <t>00000068</t>
        </is>
      </c>
      <c r="C54" s="301" t="inlineStr">
        <is>
          <t>REGION</t>
        </is>
      </c>
      <c r="D54" s="302" t="inlineStr">
        <is>
          <t>RAMOS VELA LUSDINA</t>
        </is>
      </c>
      <c r="E54" s="301" t="inlineStr">
        <is>
          <t>DNI</t>
        </is>
      </c>
      <c r="F54" s="301" t="inlineStr">
        <is>
          <t>44300550</t>
        </is>
      </c>
      <c r="G54" s="331" t="n">
        <v>45935</v>
      </c>
      <c r="H54" s="301" t="inlineStr">
        <is>
          <t>4866</t>
        </is>
      </c>
      <c r="I54" s="332">
        <f>IFERROR(VLOOKUP(TEXT(H54,"0"),IPRESS!$A$3:$B$212,2,0),"")</f>
        <v/>
      </c>
      <c r="J54" s="301" t="inlineStr">
        <is>
          <t>4838</t>
        </is>
      </c>
      <c r="K54" s="332">
        <f>IFERROR(VLOOKUP(TEXT(O54,"0"),CONDUCTORES!$A$3:$G$100,7,0),"")</f>
        <v/>
      </c>
      <c r="L54" s="245" t="n">
        <v>18.18</v>
      </c>
      <c r="M54" s="245" t="n">
        <v>4</v>
      </c>
      <c r="N54" s="333">
        <f>IFERROR(IF(L54*M54=0,"",L54*M54),"")</f>
        <v/>
      </c>
      <c r="O54" s="280" t="n"/>
      <c r="P54" s="332">
        <f>IFERROR(VLOOKUP(TEXT(O54,"0"),CONDUCTORES!$A$3:$G$100,2,0),"")</f>
        <v/>
      </c>
      <c r="Q54" s="332">
        <f>IFERROR(VLOOKUP(TEXT(O54,"0"),CONDUCTORES!$A$3:$H$100,6,0),"")</f>
        <v/>
      </c>
      <c r="R54" s="331" t="n">
        <v>45967</v>
      </c>
      <c r="S54" s="302" t="inlineStr">
        <is>
          <t>O689</t>
        </is>
      </c>
      <c r="T54" s="301" t="n"/>
      <c r="U54" s="334" t="n"/>
      <c r="V54" s="301" t="n"/>
      <c r="W54" s="301" t="n"/>
      <c r="X54" s="301" t="n"/>
      <c r="Y54" s="280" t="n"/>
    </row>
    <row r="55" ht="15.75" customHeight="1" s="195">
      <c r="A55" s="241" t="n">
        <v>50</v>
      </c>
      <c r="B55" s="305" t="inlineStr">
        <is>
          <t>00000069</t>
        </is>
      </c>
      <c r="C55" s="241" t="inlineStr">
        <is>
          <t>REGION</t>
        </is>
      </c>
      <c r="D55" s="305" t="inlineStr">
        <is>
          <t>HUAMAN VALLEJOS EXTROJILDA</t>
        </is>
      </c>
      <c r="E55" s="241" t="inlineStr">
        <is>
          <t>DNI</t>
        </is>
      </c>
      <c r="F55" s="241" t="inlineStr">
        <is>
          <t>48961470</t>
        </is>
      </c>
      <c r="G55" s="336" t="n">
        <v>45940</v>
      </c>
      <c r="H55" s="241" t="inlineStr">
        <is>
          <t>4866</t>
        </is>
      </c>
      <c r="I55" s="332">
        <f>IFERROR(VLOOKUP(TEXT(H55,"0"),IPRESS!$A$3:$B$212,2,0),"")</f>
        <v/>
      </c>
      <c r="J55" s="241" t="inlineStr">
        <is>
          <t>4838</t>
        </is>
      </c>
      <c r="K55" s="332">
        <f>IFERROR(VLOOKUP(TEXT(O55,"0"),CONDUCTORES!$A$3:$G$100,7,0),"")</f>
        <v/>
      </c>
      <c r="L55" s="239" t="n">
        <v>18.18</v>
      </c>
      <c r="M55" s="239" t="n">
        <v>4</v>
      </c>
      <c r="N55" s="333">
        <f>IFERROR(IF(L55*M55=0,"",L55*M55),"")</f>
        <v/>
      </c>
      <c r="O55" s="334" t="n"/>
      <c r="P55" s="332">
        <f>IFERROR(VLOOKUP(TEXT(O55,"0"),CONDUCTORES!$A$3:$G$100,2,0),"")</f>
        <v/>
      </c>
      <c r="Q55" s="332">
        <f>IFERROR(VLOOKUP(TEXT(O55,"0"),CONDUCTORES!$A$3:$H$100,6,0),"")</f>
        <v/>
      </c>
      <c r="R55" s="336" t="n">
        <v>45967</v>
      </c>
      <c r="S55" s="305" t="inlineStr">
        <is>
          <t>X496</t>
        </is>
      </c>
      <c r="T55" s="241" t="n"/>
      <c r="U55" s="280" t="n"/>
      <c r="V55" s="241" t="n"/>
      <c r="W55" s="241" t="n"/>
      <c r="X55" s="241" t="n"/>
      <c r="Y55" s="280" t="n"/>
    </row>
    <row r="56" ht="15.75" customHeight="1" s="195">
      <c r="A56" s="301" t="n">
        <v>51</v>
      </c>
      <c r="B56" s="302" t="inlineStr">
        <is>
          <t>00000070</t>
        </is>
      </c>
      <c r="C56" s="301" t="inlineStr">
        <is>
          <t>REGION</t>
        </is>
      </c>
      <c r="D56" s="302" t="inlineStr">
        <is>
          <t>VALQUI ROJAS MELISA</t>
        </is>
      </c>
      <c r="E56" s="301" t="inlineStr">
        <is>
          <t>DNI</t>
        </is>
      </c>
      <c r="F56" s="301" t="inlineStr">
        <is>
          <t>60229638</t>
        </is>
      </c>
      <c r="G56" s="331" t="n">
        <v>45941</v>
      </c>
      <c r="H56" s="301" t="inlineStr">
        <is>
          <t>4866</t>
        </is>
      </c>
      <c r="I56" s="332">
        <f>IFERROR(VLOOKUP(TEXT(H56,"0"),IPRESS!$A$3:$B$212,2,0),"")</f>
        <v/>
      </c>
      <c r="J56" s="301" t="inlineStr">
        <is>
          <t>4838</t>
        </is>
      </c>
      <c r="K56" s="332">
        <f>IFERROR(VLOOKUP(TEXT(O56,"0"),CONDUCTORES!$A$3:$G$100,7,0),"")</f>
        <v/>
      </c>
      <c r="L56" s="245" t="n">
        <v>18.18</v>
      </c>
      <c r="M56" s="245" t="n">
        <v>4</v>
      </c>
      <c r="N56" s="333">
        <f>IFERROR(IF(L56*M56=0,"",L56*M56),"")</f>
        <v/>
      </c>
      <c r="O56" s="280" t="n"/>
      <c r="P56" s="332">
        <f>IFERROR(VLOOKUP(TEXT(O56,"0"),CONDUCTORES!$A$3:$G$100,2,0),"")</f>
        <v/>
      </c>
      <c r="Q56" s="332">
        <f>IFERROR(VLOOKUP(TEXT(O56,"0"),CONDUCTORES!$A$3:$H$100,6,0),"")</f>
        <v/>
      </c>
      <c r="R56" s="331" t="n">
        <v>45967</v>
      </c>
      <c r="S56" s="302" t="inlineStr">
        <is>
          <t>O689</t>
        </is>
      </c>
      <c r="T56" s="301" t="n"/>
      <c r="U56" s="334" t="n"/>
      <c r="V56" s="301" t="n"/>
      <c r="W56" s="301" t="n"/>
      <c r="X56" s="301" t="n"/>
      <c r="Y56" s="280" t="n"/>
    </row>
    <row r="57" ht="15.75" customHeight="1" s="195">
      <c r="A57" s="241" t="n">
        <v>52</v>
      </c>
      <c r="B57" s="305" t="inlineStr">
        <is>
          <t>00000071</t>
        </is>
      </c>
      <c r="C57" s="241" t="inlineStr">
        <is>
          <t>REGION</t>
        </is>
      </c>
      <c r="D57" s="305" t="inlineStr">
        <is>
          <t>REYNA DE MENDOZA BEATRIZ</t>
        </is>
      </c>
      <c r="E57" s="241" t="inlineStr">
        <is>
          <t>DNI</t>
        </is>
      </c>
      <c r="F57" s="241" t="inlineStr">
        <is>
          <t>33790729</t>
        </is>
      </c>
      <c r="G57" s="336" t="n">
        <v>45945</v>
      </c>
      <c r="H57" s="241" t="inlineStr">
        <is>
          <t>4866</t>
        </is>
      </c>
      <c r="I57" s="332">
        <f>IFERROR(VLOOKUP(TEXT(H57,"0"),IPRESS!$A$3:$B$212,2,0),"")</f>
        <v/>
      </c>
      <c r="J57" s="241" t="inlineStr">
        <is>
          <t>4838</t>
        </is>
      </c>
      <c r="K57" s="332">
        <f>IFERROR(VLOOKUP(TEXT(O57,"0"),CONDUCTORES!$A$3:$G$100,7,0),"")</f>
        <v/>
      </c>
      <c r="L57" s="239" t="n">
        <v>18.18</v>
      </c>
      <c r="M57" s="239" t="n">
        <v>4</v>
      </c>
      <c r="N57" s="333">
        <f>IFERROR(IF(L57*M57=0,"",L57*M57),"")</f>
        <v/>
      </c>
      <c r="O57" s="334" t="n"/>
      <c r="P57" s="332">
        <f>IFERROR(VLOOKUP(TEXT(O57,"0"),CONDUCTORES!$A$3:$G$100,2,0),"")</f>
        <v/>
      </c>
      <c r="Q57" s="332">
        <f>IFERROR(VLOOKUP(TEXT(O57,"0"),CONDUCTORES!$A$3:$H$100,6,0),"")</f>
        <v/>
      </c>
      <c r="R57" s="336" t="n">
        <v>45967</v>
      </c>
      <c r="S57" s="305" t="inlineStr">
        <is>
          <t>T312</t>
        </is>
      </c>
      <c r="T57" s="241" t="n"/>
      <c r="U57" s="280" t="n"/>
      <c r="V57" s="241" t="n"/>
      <c r="W57" s="241" t="n"/>
      <c r="X57" s="241" t="n"/>
      <c r="Y57" s="280" t="n"/>
    </row>
    <row r="58" ht="15.75" customHeight="1" s="195">
      <c r="A58" s="301" t="n">
        <v>53</v>
      </c>
      <c r="B58" s="302" t="inlineStr">
        <is>
          <t>00000072</t>
        </is>
      </c>
      <c r="C58" s="301" t="inlineStr">
        <is>
          <t>REGION</t>
        </is>
      </c>
      <c r="D58" s="302" t="inlineStr">
        <is>
          <t>ZUTA CACHAY LIAM FREDERICK</t>
        </is>
      </c>
      <c r="E58" s="301" t="inlineStr">
        <is>
          <t>DNI</t>
        </is>
      </c>
      <c r="F58" s="301" t="inlineStr">
        <is>
          <t>92301038</t>
        </is>
      </c>
      <c r="G58" s="331" t="n">
        <v>45945</v>
      </c>
      <c r="H58" s="301" t="inlineStr">
        <is>
          <t>4866</t>
        </is>
      </c>
      <c r="I58" s="332">
        <f>IFERROR(VLOOKUP(TEXT(H58,"0"),IPRESS!$A$3:$B$212,2,0),"")</f>
        <v/>
      </c>
      <c r="J58" s="301" t="inlineStr">
        <is>
          <t>4838</t>
        </is>
      </c>
      <c r="K58" s="332">
        <f>IFERROR(VLOOKUP(TEXT(O58,"0"),CONDUCTORES!$A$3:$G$100,7,0),"")</f>
        <v/>
      </c>
      <c r="L58" s="245" t="n">
        <v>18.18</v>
      </c>
      <c r="M58" s="245" t="n">
        <v>4</v>
      </c>
      <c r="N58" s="333">
        <f>IFERROR(IF(L58*M58=0,"",L58*M58),"")</f>
        <v/>
      </c>
      <c r="O58" s="280" t="n"/>
      <c r="P58" s="332">
        <f>IFERROR(VLOOKUP(TEXT(O58,"0"),CONDUCTORES!$A$3:$G$100,2,0),"")</f>
        <v/>
      </c>
      <c r="Q58" s="332">
        <f>IFERROR(VLOOKUP(TEXT(O58,"0"),CONDUCTORES!$A$3:$H$100,6,0),"")</f>
        <v/>
      </c>
      <c r="R58" s="331" t="n">
        <v>45988</v>
      </c>
      <c r="S58" s="302" t="inlineStr">
        <is>
          <t>S599</t>
        </is>
      </c>
      <c r="T58" s="301" t="n"/>
      <c r="U58" s="334" t="n"/>
      <c r="V58" s="301" t="inlineStr">
        <is>
          <t>6038-2025</t>
        </is>
      </c>
      <c r="W58" s="301" t="inlineStr">
        <is>
          <t>CONTRATO 001-2025</t>
        </is>
      </c>
      <c r="X58" s="301" t="inlineStr">
        <is>
          <t>266.0</t>
        </is>
      </c>
      <c r="Y58" s="280" t="n"/>
    </row>
    <row r="59" ht="15.75" customHeight="1" s="195">
      <c r="A59" s="241" t="n">
        <v>54</v>
      </c>
      <c r="B59" s="305" t="inlineStr">
        <is>
          <t>00000073</t>
        </is>
      </c>
      <c r="C59" s="241" t="inlineStr">
        <is>
          <t>REGION</t>
        </is>
      </c>
      <c r="D59" s="305" t="inlineStr">
        <is>
          <t>ZUTA DE GUELAC ADELINA</t>
        </is>
      </c>
      <c r="E59" s="241" t="inlineStr">
        <is>
          <t>DNI</t>
        </is>
      </c>
      <c r="F59" s="241" t="inlineStr">
        <is>
          <t>33808428</t>
        </is>
      </c>
      <c r="G59" s="336" t="n">
        <v>45948</v>
      </c>
      <c r="H59" s="241" t="inlineStr">
        <is>
          <t>4866</t>
        </is>
      </c>
      <c r="I59" s="332">
        <f>IFERROR(VLOOKUP(TEXT(H59,"0"),IPRESS!$A$3:$B$212,2,0),"")</f>
        <v/>
      </c>
      <c r="J59" s="241" t="inlineStr">
        <is>
          <t>4838</t>
        </is>
      </c>
      <c r="K59" s="332">
        <f>IFERROR(VLOOKUP(TEXT(O59,"0"),CONDUCTORES!$A$3:$G$100,7,0),"")</f>
        <v/>
      </c>
      <c r="L59" s="239" t="n">
        <v>18.18</v>
      </c>
      <c r="M59" s="239" t="n">
        <v>4</v>
      </c>
      <c r="N59" s="333">
        <f>IFERROR(IF(L59*M59=0,"",L59*M59),"")</f>
        <v/>
      </c>
      <c r="O59" s="334" t="n"/>
      <c r="P59" s="332">
        <f>IFERROR(VLOOKUP(TEXT(O59,"0"),CONDUCTORES!$A$3:$G$100,2,0),"")</f>
        <v/>
      </c>
      <c r="Q59" s="332">
        <f>IFERROR(VLOOKUP(TEXT(O59,"0"),CONDUCTORES!$A$3:$H$100,6,0),"")</f>
        <v/>
      </c>
      <c r="R59" s="336" t="n">
        <v>45967</v>
      </c>
      <c r="S59" s="305" t="inlineStr">
        <is>
          <t>I679,J960</t>
        </is>
      </c>
      <c r="T59" s="241" t="n"/>
      <c r="U59" s="280" t="n"/>
      <c r="V59" s="241" t="n"/>
      <c r="W59" s="241" t="n"/>
      <c r="X59" s="241" t="n"/>
      <c r="Y59" s="280" t="n"/>
    </row>
    <row r="60" ht="15.75" customHeight="1" s="195">
      <c r="A60" s="301" t="n">
        <v>55</v>
      </c>
      <c r="B60" s="302" t="inlineStr">
        <is>
          <t>00000074</t>
        </is>
      </c>
      <c r="C60" s="301" t="inlineStr">
        <is>
          <t>REGION</t>
        </is>
      </c>
      <c r="D60" s="302" t="inlineStr">
        <is>
          <t>CHAVEZ MENDOZA LIVANI</t>
        </is>
      </c>
      <c r="E60" s="301" t="inlineStr">
        <is>
          <t>DNI</t>
        </is>
      </c>
      <c r="F60" s="301" t="inlineStr">
        <is>
          <t>47071329</t>
        </is>
      </c>
      <c r="G60" s="331" t="n">
        <v>45949</v>
      </c>
      <c r="H60" s="301" t="inlineStr">
        <is>
          <t>4866</t>
        </is>
      </c>
      <c r="I60" s="332">
        <f>IFERROR(VLOOKUP(TEXT(H60,"0"),IPRESS!$A$3:$B$212,2,0),"")</f>
        <v/>
      </c>
      <c r="J60" s="301" t="inlineStr">
        <is>
          <t>4838</t>
        </is>
      </c>
      <c r="K60" s="332">
        <f>IFERROR(VLOOKUP(TEXT(O60,"0"),CONDUCTORES!$A$3:$G$100,7,0),"")</f>
        <v/>
      </c>
      <c r="L60" s="245" t="n">
        <v>18.18</v>
      </c>
      <c r="M60" s="245" t="n">
        <v>4</v>
      </c>
      <c r="N60" s="333">
        <f>IFERROR(IF(L60*M60=0,"",L60*M60),"")</f>
        <v/>
      </c>
      <c r="O60" s="280" t="n"/>
      <c r="P60" s="332">
        <f>IFERROR(VLOOKUP(TEXT(O60,"0"),CONDUCTORES!$A$3:$G$100,2,0),"")</f>
        <v/>
      </c>
      <c r="Q60" s="332">
        <f>IFERROR(VLOOKUP(TEXT(O60,"0"),CONDUCTORES!$A$3:$H$100,6,0),"")</f>
        <v/>
      </c>
      <c r="R60" s="331" t="n">
        <v>45967</v>
      </c>
      <c r="S60" s="302" t="inlineStr">
        <is>
          <t>S729</t>
        </is>
      </c>
      <c r="T60" s="301" t="n"/>
      <c r="U60" s="334" t="n"/>
      <c r="V60" s="301" t="n"/>
      <c r="W60" s="301" t="n"/>
      <c r="X60" s="301" t="n"/>
      <c r="Y60" s="280" t="n"/>
    </row>
    <row r="61" ht="15.75" customHeight="1" s="195">
      <c r="A61" s="241" t="n">
        <v>56</v>
      </c>
      <c r="B61" s="305" t="inlineStr">
        <is>
          <t>00000075</t>
        </is>
      </c>
      <c r="C61" s="241" t="inlineStr">
        <is>
          <t>REGION</t>
        </is>
      </c>
      <c r="D61" s="305" t="inlineStr">
        <is>
          <t>RAMOS CALAMPA DYLAN ANTONIO</t>
        </is>
      </c>
      <c r="E61" s="241" t="inlineStr">
        <is>
          <t>DNI</t>
        </is>
      </c>
      <c r="F61" s="241" t="inlineStr">
        <is>
          <t>92785788</t>
        </is>
      </c>
      <c r="G61" s="336" t="n">
        <v>45951</v>
      </c>
      <c r="H61" s="241" t="inlineStr">
        <is>
          <t>4866</t>
        </is>
      </c>
      <c r="I61" s="332">
        <f>IFERROR(VLOOKUP(TEXT(H61,"0"),IPRESS!$A$3:$B$212,2,0),"")</f>
        <v/>
      </c>
      <c r="J61" s="241" t="inlineStr">
        <is>
          <t>4838</t>
        </is>
      </c>
      <c r="K61" s="332">
        <f>IFERROR(VLOOKUP(TEXT(O61,"0"),CONDUCTORES!$A$3:$G$100,7,0),"")</f>
        <v/>
      </c>
      <c r="L61" s="239" t="n">
        <v>18.18</v>
      </c>
      <c r="M61" s="239" t="n">
        <v>4</v>
      </c>
      <c r="N61" s="333">
        <f>IFERROR(IF(L61*M61=0,"",L61*M61),"")</f>
        <v/>
      </c>
      <c r="O61" s="334" t="n"/>
      <c r="P61" s="332">
        <f>IFERROR(VLOOKUP(TEXT(O61,"0"),CONDUCTORES!$A$3:$G$100,2,0),"")</f>
        <v/>
      </c>
      <c r="Q61" s="332">
        <f>IFERROR(VLOOKUP(TEXT(O61,"0"),CONDUCTORES!$A$3:$H$100,6,0),"")</f>
        <v/>
      </c>
      <c r="R61" s="336" t="n">
        <v>45967</v>
      </c>
      <c r="S61" s="305" t="inlineStr">
        <is>
          <t>R560</t>
        </is>
      </c>
      <c r="T61" s="241" t="n"/>
      <c r="U61" s="280" t="n"/>
      <c r="V61" s="241" t="n"/>
      <c r="W61" s="241" t="n"/>
      <c r="X61" s="241" t="n"/>
      <c r="Y61" s="280" t="n"/>
    </row>
    <row r="62" ht="15.75" customHeight="1" s="195">
      <c r="A62" s="301" t="n">
        <v>57</v>
      </c>
      <c r="B62" s="302" t="inlineStr">
        <is>
          <t>00000076</t>
        </is>
      </c>
      <c r="C62" s="301" t="inlineStr">
        <is>
          <t>REGION</t>
        </is>
      </c>
      <c r="D62" s="302" t="inlineStr">
        <is>
          <t>YALTA TUESTA NORBERTO</t>
        </is>
      </c>
      <c r="E62" s="301" t="inlineStr">
        <is>
          <t>DNI</t>
        </is>
      </c>
      <c r="F62" s="301" t="inlineStr">
        <is>
          <t>48194352</t>
        </is>
      </c>
      <c r="G62" s="331" t="n">
        <v>45956</v>
      </c>
      <c r="H62" s="301" t="inlineStr">
        <is>
          <t>4866</t>
        </is>
      </c>
      <c r="I62" s="332">
        <f>IFERROR(VLOOKUP(TEXT(H62,"0"),IPRESS!$A$3:$B$212,2,0),"")</f>
        <v/>
      </c>
      <c r="J62" s="301" t="inlineStr">
        <is>
          <t>4838</t>
        </is>
      </c>
      <c r="K62" s="332">
        <f>IFERROR(VLOOKUP(TEXT(O62,"0"),CONDUCTORES!$A$3:$G$100,7,0),"")</f>
        <v/>
      </c>
      <c r="L62" s="245" t="n">
        <v>18.18</v>
      </c>
      <c r="M62" s="245" t="n">
        <v>4</v>
      </c>
      <c r="N62" s="333">
        <f>IFERROR(IF(L62*M62=0,"",L62*M62),"")</f>
        <v/>
      </c>
      <c r="O62" s="280" t="n"/>
      <c r="P62" s="332">
        <f>IFERROR(VLOOKUP(TEXT(O62,"0"),CONDUCTORES!$A$3:$G$100,2,0),"")</f>
        <v/>
      </c>
      <c r="Q62" s="332">
        <f>IFERROR(VLOOKUP(TEXT(O62,"0"),CONDUCTORES!$A$3:$H$100,6,0),"")</f>
        <v/>
      </c>
      <c r="R62" s="331" t="n">
        <v>45967</v>
      </c>
      <c r="S62" s="302" t="inlineStr">
        <is>
          <t>T07X</t>
        </is>
      </c>
      <c r="T62" s="301" t="n"/>
      <c r="U62" s="334" t="n"/>
      <c r="V62" s="301" t="n"/>
      <c r="W62" s="301" t="n"/>
      <c r="X62" s="301" t="n"/>
      <c r="Y62" s="280" t="n"/>
    </row>
    <row r="63" ht="15.75" customHeight="1" s="195">
      <c r="A63" s="241" t="n">
        <v>58</v>
      </c>
      <c r="B63" s="305" t="inlineStr">
        <is>
          <t>00000077</t>
        </is>
      </c>
      <c r="C63" s="241" t="inlineStr">
        <is>
          <t>REGION</t>
        </is>
      </c>
      <c r="D63" s="305" t="inlineStr">
        <is>
          <t>VALLEJOS PULCE MARISOL</t>
        </is>
      </c>
      <c r="E63" s="241" t="inlineStr">
        <is>
          <t>DNI</t>
        </is>
      </c>
      <c r="F63" s="241" t="inlineStr">
        <is>
          <t>93644902</t>
        </is>
      </c>
      <c r="G63" s="336" t="n">
        <v>45956</v>
      </c>
      <c r="H63" s="241" t="inlineStr">
        <is>
          <t>4866</t>
        </is>
      </c>
      <c r="I63" s="332">
        <f>IFERROR(VLOOKUP(TEXT(H63,"0"),IPRESS!$A$3:$B$212,2,0),"")</f>
        <v/>
      </c>
      <c r="J63" s="241" t="inlineStr">
        <is>
          <t>4838</t>
        </is>
      </c>
      <c r="K63" s="332">
        <f>IFERROR(VLOOKUP(TEXT(O63,"0"),CONDUCTORES!$A$3:$G$100,7,0),"")</f>
        <v/>
      </c>
      <c r="L63" s="239" t="n">
        <v>18.18</v>
      </c>
      <c r="M63" s="239" t="n">
        <v>4</v>
      </c>
      <c r="N63" s="333">
        <f>IFERROR(IF(L63*M63=0,"",L63*M63),"")</f>
        <v/>
      </c>
      <c r="O63" s="334" t="n"/>
      <c r="P63" s="332">
        <f>IFERROR(VLOOKUP(TEXT(O63,"0"),CONDUCTORES!$A$3:$G$100,2,0),"")</f>
        <v/>
      </c>
      <c r="Q63" s="332">
        <f>IFERROR(VLOOKUP(TEXT(O63,"0"),CONDUCTORES!$A$3:$H$100,6,0),"")</f>
        <v/>
      </c>
      <c r="R63" s="336" t="n">
        <v>45967</v>
      </c>
      <c r="S63" s="305" t="inlineStr">
        <is>
          <t>T171</t>
        </is>
      </c>
      <c r="T63" s="241" t="n"/>
      <c r="U63" s="280" t="n"/>
      <c r="V63" s="241" t="n"/>
      <c r="W63" s="241" t="n"/>
      <c r="X63" s="241" t="n"/>
      <c r="Y63" s="280" t="n"/>
    </row>
    <row r="64" ht="15.75" customHeight="1" s="195">
      <c r="A64" s="301" t="n">
        <v>59</v>
      </c>
      <c r="B64" s="302" t="inlineStr">
        <is>
          <t>00000078</t>
        </is>
      </c>
      <c r="C64" s="301" t="inlineStr">
        <is>
          <t>REGION</t>
        </is>
      </c>
      <c r="D64" s="302" t="inlineStr">
        <is>
          <t>PUSCAN CHUQUIZUTA MARIA SANTOS</t>
        </is>
      </c>
      <c r="E64" s="301" t="inlineStr">
        <is>
          <t>DNI</t>
        </is>
      </c>
      <c r="F64" s="301" t="inlineStr">
        <is>
          <t>41835261</t>
        </is>
      </c>
      <c r="G64" s="331" t="n">
        <v>45959</v>
      </c>
      <c r="H64" s="301" t="inlineStr">
        <is>
          <t>4866</t>
        </is>
      </c>
      <c r="I64" s="332">
        <f>IFERROR(VLOOKUP(TEXT(H64,"0"),IPRESS!$A$3:$B$212,2,0),"")</f>
        <v/>
      </c>
      <c r="J64" s="301" t="inlineStr">
        <is>
          <t>4838</t>
        </is>
      </c>
      <c r="K64" s="332">
        <f>IFERROR(VLOOKUP(TEXT(O64,"0"),CONDUCTORES!$A$3:$G$100,7,0),"")</f>
        <v/>
      </c>
      <c r="L64" s="245" t="n">
        <v>18.18</v>
      </c>
      <c r="M64" s="245" t="n">
        <v>4</v>
      </c>
      <c r="N64" s="333">
        <f>IFERROR(IF(L64*M64=0,"",L64*M64),"")</f>
        <v/>
      </c>
      <c r="O64" s="280" t="n"/>
      <c r="P64" s="332">
        <f>IFERROR(VLOOKUP(TEXT(O64,"0"),CONDUCTORES!$A$3:$G$100,2,0),"")</f>
        <v/>
      </c>
      <c r="Q64" s="332">
        <f>IFERROR(VLOOKUP(TEXT(O64,"0"),CONDUCTORES!$A$3:$H$100,6,0),"")</f>
        <v/>
      </c>
      <c r="R64" s="331" t="n">
        <v>45988</v>
      </c>
      <c r="S64" s="302" t="inlineStr">
        <is>
          <t>Z354,O438</t>
        </is>
      </c>
      <c r="T64" s="301" t="n"/>
      <c r="U64" s="334" t="n"/>
      <c r="V64" s="301" t="inlineStr">
        <is>
          <t>6038-2025</t>
        </is>
      </c>
      <c r="W64" s="301" t="inlineStr">
        <is>
          <t>CONTRATO 001-2025</t>
        </is>
      </c>
      <c r="X64" s="301" t="inlineStr">
        <is>
          <t>266.0</t>
        </is>
      </c>
      <c r="Y64" s="280" t="n"/>
    </row>
    <row r="65" ht="15.75" customHeight="1" s="195">
      <c r="A65" s="241" t="n">
        <v>60</v>
      </c>
      <c r="B65" s="305" t="inlineStr">
        <is>
          <t>00000011</t>
        </is>
      </c>
      <c r="C65" s="241" t="inlineStr">
        <is>
          <t>REGION</t>
        </is>
      </c>
      <c r="D65" s="305" t="inlineStr">
        <is>
          <t>RODRIGUEZ HIDALGO LUCY MAGALY</t>
        </is>
      </c>
      <c r="E65" s="241" t="inlineStr">
        <is>
          <t>DNI</t>
        </is>
      </c>
      <c r="F65" s="241" t="inlineStr">
        <is>
          <t>46816356</t>
        </is>
      </c>
      <c r="G65" s="336" t="n">
        <v>45952</v>
      </c>
      <c r="H65" s="241" t="inlineStr">
        <is>
          <t>4946</t>
        </is>
      </c>
      <c r="I65" s="332">
        <f>IFERROR(VLOOKUP(TEXT(H65,"0"),IPRESS!$A$3:$B$212,2,0),"")</f>
        <v/>
      </c>
      <c r="J65" s="241" t="inlineStr">
        <is>
          <t>4950</t>
        </is>
      </c>
      <c r="K65" s="332">
        <f>IFERROR(VLOOKUP(TEXT(O65,"0"),CONDUCTORES!$A$3:$G$100,7,0),"")</f>
        <v/>
      </c>
      <c r="L65" s="239" t="n">
        <v>20.25</v>
      </c>
      <c r="M65" s="239" t="n">
        <v>3</v>
      </c>
      <c r="N65" s="333">
        <f>IFERROR(IF(L65*M65=0,"",L65*M65),"")</f>
        <v/>
      </c>
      <c r="O65" s="334" t="n"/>
      <c r="P65" s="332">
        <f>IFERROR(VLOOKUP(TEXT(O65,"0"),CONDUCTORES!$A$3:$G$100,2,0),"")</f>
        <v/>
      </c>
      <c r="Q65" s="332">
        <f>IFERROR(VLOOKUP(TEXT(O65,"0"),CONDUCTORES!$A$3:$H$100,6,0),"")</f>
        <v/>
      </c>
      <c r="R65" s="336" t="n">
        <v>46010</v>
      </c>
      <c r="S65" s="305" t="inlineStr">
        <is>
          <t>O757</t>
        </is>
      </c>
      <c r="T65" s="241" t="n"/>
      <c r="U65" s="280" t="n"/>
      <c r="V65" s="241" t="n"/>
      <c r="W65" s="241" t="n"/>
      <c r="X65" s="241" t="n"/>
      <c r="Y65" s="280" t="n"/>
    </row>
    <row r="66" ht="15.75" customHeight="1" s="195">
      <c r="A66" s="301" t="n">
        <v>61</v>
      </c>
      <c r="B66" s="302" t="inlineStr">
        <is>
          <t>00000013</t>
        </is>
      </c>
      <c r="C66" s="301" t="inlineStr">
        <is>
          <t>REGION</t>
        </is>
      </c>
      <c r="D66" s="302" t="inlineStr">
        <is>
          <t>LOPEZ TORRES DE GUERRA MARGARITA</t>
        </is>
      </c>
      <c r="E66" s="301" t="inlineStr">
        <is>
          <t>DNI</t>
        </is>
      </c>
      <c r="F66" s="301" t="inlineStr">
        <is>
          <t>33951779</t>
        </is>
      </c>
      <c r="G66" s="331" t="n">
        <v>45954</v>
      </c>
      <c r="H66" s="301" t="inlineStr">
        <is>
          <t>4946</t>
        </is>
      </c>
      <c r="I66" s="332">
        <f>IFERROR(VLOOKUP(TEXT(H66,"0"),IPRESS!$A$3:$B$212,2,0),"")</f>
        <v/>
      </c>
      <c r="J66" s="301" t="inlineStr">
        <is>
          <t>4950</t>
        </is>
      </c>
      <c r="K66" s="332">
        <f>IFERROR(VLOOKUP(TEXT(O66,"0"),CONDUCTORES!$A$3:$G$100,7,0),"")</f>
        <v/>
      </c>
      <c r="L66" s="245" t="n">
        <v>20.25</v>
      </c>
      <c r="M66" s="245" t="n">
        <v>3</v>
      </c>
      <c r="N66" s="333">
        <f>IFERROR(IF(L66*M66=0,"",L66*M66),"")</f>
        <v/>
      </c>
      <c r="O66" s="280" t="n"/>
      <c r="P66" s="332">
        <f>IFERROR(VLOOKUP(TEXT(O66,"0"),CONDUCTORES!$A$3:$G$100,2,0),"")</f>
        <v/>
      </c>
      <c r="Q66" s="332">
        <f>IFERROR(VLOOKUP(TEXT(O66,"0"),CONDUCTORES!$A$3:$H$100,6,0),"")</f>
        <v/>
      </c>
      <c r="R66" s="331" t="n">
        <v>46010</v>
      </c>
      <c r="S66" s="302" t="inlineStr">
        <is>
          <t>I160</t>
        </is>
      </c>
      <c r="T66" s="301" t="n"/>
      <c r="U66" s="334" t="n"/>
      <c r="V66" s="301" t="n"/>
      <c r="W66" s="301" t="n"/>
      <c r="X66" s="301" t="n"/>
      <c r="Y66" s="280" t="n"/>
    </row>
    <row r="67" ht="15.75" customHeight="1" s="195">
      <c r="A67" s="241" t="n">
        <v>62</v>
      </c>
      <c r="B67" s="305" t="inlineStr">
        <is>
          <t>00000082</t>
        </is>
      </c>
      <c r="C67" s="241" t="inlineStr">
        <is>
          <t>REGION</t>
        </is>
      </c>
      <c r="D67" s="305" t="inlineStr">
        <is>
          <t>CHAVEZ GARCIA SARITA</t>
        </is>
      </c>
      <c r="E67" s="241" t="inlineStr">
        <is>
          <t>DNI</t>
        </is>
      </c>
      <c r="F67" s="241" t="inlineStr">
        <is>
          <t>48501229</t>
        </is>
      </c>
      <c r="G67" s="336" t="n">
        <v>45934</v>
      </c>
      <c r="H67" s="241" t="inlineStr">
        <is>
          <t>4922</t>
        </is>
      </c>
      <c r="I67" s="332">
        <f>IFERROR(VLOOKUP(TEXT(H67,"0"),IPRESS!$A$3:$B$212,2,0),"")</f>
        <v/>
      </c>
      <c r="J67" s="241" t="inlineStr">
        <is>
          <t>4838</t>
        </is>
      </c>
      <c r="K67" s="332">
        <f>IFERROR(VLOOKUP(TEXT(O67,"0"),CONDUCTORES!$A$3:$G$100,7,0),"")</f>
        <v/>
      </c>
      <c r="L67" s="239" t="n">
        <v>18.18</v>
      </c>
      <c r="M67" s="239" t="n">
        <v>5</v>
      </c>
      <c r="N67" s="333">
        <f>IFERROR(IF(L67*M67=0,"",L67*M67),"")</f>
        <v/>
      </c>
      <c r="O67" s="334" t="n"/>
      <c r="P67" s="332">
        <f>IFERROR(VLOOKUP(TEXT(O67,"0"),CONDUCTORES!$A$3:$G$100,2,0),"")</f>
        <v/>
      </c>
      <c r="Q67" s="332">
        <f>IFERROR(VLOOKUP(TEXT(O67,"0"),CONDUCTORES!$A$3:$H$100,6,0),"")</f>
        <v/>
      </c>
      <c r="R67" s="336" t="n">
        <v>45967</v>
      </c>
      <c r="S67" s="305" t="inlineStr">
        <is>
          <t>O721,O730,O234</t>
        </is>
      </c>
      <c r="T67" s="241" t="n"/>
      <c r="U67" s="280" t="n"/>
      <c r="V67" s="241" t="n"/>
      <c r="W67" s="241" t="n"/>
      <c r="X67" s="241" t="n"/>
      <c r="Y67" s="280" t="n"/>
    </row>
    <row r="68" ht="15.75" customHeight="1" s="195">
      <c r="A68" s="301" t="n">
        <v>63</v>
      </c>
      <c r="B68" s="302" t="inlineStr">
        <is>
          <t>00000083</t>
        </is>
      </c>
      <c r="C68" s="301" t="inlineStr">
        <is>
          <t>REGION</t>
        </is>
      </c>
      <c r="D68" s="302" t="inlineStr">
        <is>
          <t>VILLANUEVA GOZALES ANGELICA</t>
        </is>
      </c>
      <c r="E68" s="301" t="inlineStr">
        <is>
          <t>DNI</t>
        </is>
      </c>
      <c r="F68" s="301" t="inlineStr">
        <is>
          <t>60238235</t>
        </is>
      </c>
      <c r="G68" s="331" t="n">
        <v>45934</v>
      </c>
      <c r="H68" s="301" t="inlineStr">
        <is>
          <t>4922</t>
        </is>
      </c>
      <c r="I68" s="332">
        <f>IFERROR(VLOOKUP(TEXT(H68,"0"),IPRESS!$A$3:$B$212,2,0),"")</f>
        <v/>
      </c>
      <c r="J68" s="301" t="inlineStr">
        <is>
          <t>4838</t>
        </is>
      </c>
      <c r="K68" s="332">
        <f>IFERROR(VLOOKUP(TEXT(O68,"0"),CONDUCTORES!$A$3:$G$100,7,0),"")</f>
        <v/>
      </c>
      <c r="L68" s="245" t="n">
        <v>18.18</v>
      </c>
      <c r="M68" s="245" t="n">
        <v>5</v>
      </c>
      <c r="N68" s="333">
        <f>IFERROR(IF(L68*M68=0,"",L68*M68),"")</f>
        <v/>
      </c>
      <c r="O68" s="280" t="n"/>
      <c r="P68" s="332">
        <f>IFERROR(VLOOKUP(TEXT(O68,"0"),CONDUCTORES!$A$3:$G$100,2,0),"")</f>
        <v/>
      </c>
      <c r="Q68" s="332">
        <f>IFERROR(VLOOKUP(TEXT(O68,"0"),CONDUCTORES!$A$3:$H$100,6,0),"")</f>
        <v/>
      </c>
      <c r="R68" s="331" t="n">
        <v>45967</v>
      </c>
      <c r="S68" s="302" t="inlineStr">
        <is>
          <t>O429</t>
        </is>
      </c>
      <c r="T68" s="301" t="n"/>
      <c r="U68" s="334" t="n"/>
      <c r="V68" s="301" t="n"/>
      <c r="W68" s="301" t="n"/>
      <c r="X68" s="301" t="n"/>
      <c r="Y68" s="280" t="n"/>
    </row>
    <row r="69" ht="15.75" customHeight="1" s="195">
      <c r="A69" s="337" t="n">
        <v>64</v>
      </c>
      <c r="B69" s="338" t="inlineStr">
        <is>
          <t>00000084</t>
        </is>
      </c>
      <c r="C69" s="337" t="inlineStr">
        <is>
          <t>REGION</t>
        </is>
      </c>
      <c r="D69" s="338" t="inlineStr">
        <is>
          <t>CHASQUIBOL DOLIG EFRAIN</t>
        </is>
      </c>
      <c r="E69" s="337" t="inlineStr">
        <is>
          <t>DNI</t>
        </is>
      </c>
      <c r="F69" s="337" t="inlineStr">
        <is>
          <t>42252970</t>
        </is>
      </c>
      <c r="G69" s="339" t="n">
        <v>45937</v>
      </c>
      <c r="H69" s="337" t="inlineStr">
        <is>
          <t>4922</t>
        </is>
      </c>
      <c r="I69" s="332">
        <f>IFERROR(VLOOKUP(TEXT(H69,"0"),IPRESS!$A$3:$B$212,2,0),"")</f>
        <v/>
      </c>
      <c r="J69" s="337" t="inlineStr">
        <is>
          <t>4838</t>
        </is>
      </c>
      <c r="K69" s="332">
        <f>IFERROR(VLOOKUP(TEXT(O69,"0"),CONDUCTORES!$A$3:$G$100,7,0),"")</f>
        <v/>
      </c>
      <c r="L69" s="340" t="n">
        <v>17.95</v>
      </c>
      <c r="M69" s="340" t="n">
        <v>6</v>
      </c>
      <c r="N69" s="333">
        <f>IFERROR(IF(L69*M69=0,"",L69*M69),"")</f>
        <v/>
      </c>
      <c r="O69" s="334" t="n"/>
      <c r="P69" s="332">
        <f>IFERROR(VLOOKUP(TEXT(O69,"0"),CONDUCTORES!$A$3:$G$100,2,0),"")</f>
        <v/>
      </c>
      <c r="Q69" s="332">
        <f>IFERROR(VLOOKUP(TEXT(O69,"0"),CONDUCTORES!$A$3:$H$100,6,0),"")</f>
        <v/>
      </c>
      <c r="R69" s="339" t="n">
        <v>45967</v>
      </c>
      <c r="S69" s="338" t="inlineStr">
        <is>
          <t>R104,R18X,K746</t>
        </is>
      </c>
      <c r="T69" s="337" t="n"/>
      <c r="U69" s="341" t="n"/>
      <c r="V69" s="337" t="n"/>
      <c r="W69" s="337" t="n"/>
      <c r="X69" s="337" t="n"/>
      <c r="Y69" s="280" t="n"/>
    </row>
    <row r="70" ht="15.75" customHeight="1" s="195">
      <c r="A70" s="301" t="n">
        <v>65</v>
      </c>
      <c r="B70" s="302" t="inlineStr">
        <is>
          <t>00000085</t>
        </is>
      </c>
      <c r="C70" s="301" t="inlineStr">
        <is>
          <t>REGION</t>
        </is>
      </c>
      <c r="D70" s="302" t="inlineStr">
        <is>
          <t>TOMANGUILLA HUABLOCHO ROSA</t>
        </is>
      </c>
      <c r="E70" s="301" t="inlineStr">
        <is>
          <t>DNI</t>
        </is>
      </c>
      <c r="F70" s="301" t="inlineStr">
        <is>
          <t>46810175</t>
        </is>
      </c>
      <c r="G70" s="331" t="n">
        <v>45937</v>
      </c>
      <c r="H70" s="301" t="inlineStr">
        <is>
          <t>4922</t>
        </is>
      </c>
      <c r="I70" s="332">
        <f>IFERROR(VLOOKUP(TEXT(H70,"0"),IPRESS!$A$3:$B$212,2,0),"")</f>
        <v/>
      </c>
      <c r="J70" s="301" t="inlineStr">
        <is>
          <t>4838</t>
        </is>
      </c>
      <c r="K70" s="332">
        <f>IFERROR(VLOOKUP(TEXT(O70,"0"),CONDUCTORES!$A$3:$G$100,7,0),"")</f>
        <v/>
      </c>
      <c r="L70" s="245" t="n">
        <v>18.18</v>
      </c>
      <c r="M70" s="245" t="n">
        <v>5</v>
      </c>
      <c r="N70" s="333">
        <f>IFERROR(IF(L70*M70=0,"",L70*M70),"")</f>
        <v/>
      </c>
      <c r="O70" s="280" t="n"/>
      <c r="P70" s="332">
        <f>IFERROR(VLOOKUP(TEXT(O70,"0"),CONDUCTORES!$A$3:$G$100,2,0),"")</f>
        <v/>
      </c>
      <c r="Q70" s="332">
        <f>IFERROR(VLOOKUP(TEXT(O70,"0"),CONDUCTORES!$A$3:$H$100,6,0),"")</f>
        <v/>
      </c>
      <c r="R70" s="331" t="n">
        <v>45989</v>
      </c>
      <c r="S70" s="302" t="inlineStr">
        <is>
          <t>O420</t>
        </is>
      </c>
      <c r="T70" s="301" t="n"/>
      <c r="U70" s="334" t="n"/>
      <c r="V70" s="301" t="inlineStr">
        <is>
          <t>6071-2025</t>
        </is>
      </c>
      <c r="W70" s="301" t="inlineStr">
        <is>
          <t>CONTRATO No 001-2025 DYT</t>
        </is>
      </c>
      <c r="X70" s="301" t="inlineStr">
        <is>
          <t>266.0</t>
        </is>
      </c>
      <c r="Y70" s="280" t="n"/>
    </row>
    <row r="71" ht="15.75" customHeight="1" s="195">
      <c r="A71" s="337" t="n">
        <v>66</v>
      </c>
      <c r="B71" s="338" t="inlineStr">
        <is>
          <t>00000086</t>
        </is>
      </c>
      <c r="C71" s="337" t="inlineStr">
        <is>
          <t>REGION</t>
        </is>
      </c>
      <c r="D71" s="338" t="inlineStr">
        <is>
          <t>SANTILLAN CUZCO CIRILO</t>
        </is>
      </c>
      <c r="E71" s="337" t="inlineStr">
        <is>
          <t>DNI</t>
        </is>
      </c>
      <c r="F71" s="337" t="inlineStr">
        <is>
          <t>33409260</t>
        </is>
      </c>
      <c r="G71" s="339" t="n">
        <v>45945</v>
      </c>
      <c r="H71" s="337" t="inlineStr">
        <is>
          <t>4922</t>
        </is>
      </c>
      <c r="I71" s="332">
        <f>IFERROR(VLOOKUP(TEXT(H71,"0"),IPRESS!$A$3:$B$212,2,0),"")</f>
        <v/>
      </c>
      <c r="J71" s="337" t="inlineStr">
        <is>
          <t>4838</t>
        </is>
      </c>
      <c r="K71" s="332">
        <f>IFERROR(VLOOKUP(TEXT(O71,"0"),CONDUCTORES!$A$3:$G$100,7,0),"")</f>
        <v/>
      </c>
      <c r="L71" s="340" t="n">
        <v>17.95</v>
      </c>
      <c r="M71" s="340" t="n">
        <v>6</v>
      </c>
      <c r="N71" s="333">
        <f>IFERROR(IF(L71*M71=0,"",L71*M71),"")</f>
        <v/>
      </c>
      <c r="O71" s="334" t="n"/>
      <c r="P71" s="332">
        <f>IFERROR(VLOOKUP(TEXT(O71,"0"),CONDUCTORES!$A$3:$G$100,2,0),"")</f>
        <v/>
      </c>
      <c r="Q71" s="332">
        <f>IFERROR(VLOOKUP(TEXT(O71,"0"),CONDUCTORES!$A$3:$H$100,6,0),"")</f>
        <v/>
      </c>
      <c r="R71" s="339" t="n">
        <v>45967</v>
      </c>
      <c r="S71" s="338" t="inlineStr">
        <is>
          <t>T609</t>
        </is>
      </c>
      <c r="T71" s="337" t="n"/>
      <c r="U71" s="341" t="n"/>
      <c r="V71" s="337" t="n"/>
      <c r="W71" s="337" t="n"/>
      <c r="X71" s="337" t="n"/>
      <c r="Y71" s="280" t="n"/>
    </row>
    <row r="72" ht="15.75" customHeight="1" s="195">
      <c r="A72" s="301" t="n">
        <v>67</v>
      </c>
      <c r="B72" s="302" t="inlineStr">
        <is>
          <t>00000087</t>
        </is>
      </c>
      <c r="C72" s="301" t="inlineStr">
        <is>
          <t>REGION</t>
        </is>
      </c>
      <c r="D72" s="302" t="inlineStr">
        <is>
          <t>LOPEZ DAZA DEYSSY HANETT</t>
        </is>
      </c>
      <c r="E72" s="301" t="inlineStr">
        <is>
          <t>DNI</t>
        </is>
      </c>
      <c r="F72" s="301" t="inlineStr">
        <is>
          <t>43981548</t>
        </is>
      </c>
      <c r="G72" s="331" t="n">
        <v>45951</v>
      </c>
      <c r="H72" s="301" t="inlineStr">
        <is>
          <t>4922</t>
        </is>
      </c>
      <c r="I72" s="332">
        <f>IFERROR(VLOOKUP(TEXT(H72,"0"),IPRESS!$A$3:$B$212,2,0),"")</f>
        <v/>
      </c>
      <c r="J72" s="301" t="inlineStr">
        <is>
          <t>4838</t>
        </is>
      </c>
      <c r="K72" s="332">
        <f>IFERROR(VLOOKUP(TEXT(O72,"0"),CONDUCTORES!$A$3:$G$100,7,0),"")</f>
        <v/>
      </c>
      <c r="L72" s="245" t="n">
        <v>18.18</v>
      </c>
      <c r="M72" s="245" t="n">
        <v>5</v>
      </c>
      <c r="N72" s="333">
        <f>IFERROR(IF(L72*M72=0,"",L72*M72),"")</f>
        <v/>
      </c>
      <c r="O72" s="280" t="n"/>
      <c r="P72" s="332">
        <f>IFERROR(VLOOKUP(TEXT(O72,"0"),CONDUCTORES!$A$3:$G$100,2,0),"")</f>
        <v/>
      </c>
      <c r="Q72" s="332">
        <f>IFERROR(VLOOKUP(TEXT(O72,"0"),CONDUCTORES!$A$3:$H$100,6,0),"")</f>
        <v/>
      </c>
      <c r="R72" s="331" t="n">
        <v>45967</v>
      </c>
      <c r="S72" s="302" t="inlineStr">
        <is>
          <t>O60,O109</t>
        </is>
      </c>
      <c r="T72" s="301" t="n"/>
      <c r="U72" s="334" t="n"/>
      <c r="V72" s="301" t="n"/>
      <c r="W72" s="301" t="n"/>
      <c r="X72" s="301" t="n"/>
      <c r="Y72" s="280" t="n"/>
    </row>
    <row r="73" ht="15.75" customHeight="1" s="195">
      <c r="A73" s="241" t="n">
        <v>68</v>
      </c>
      <c r="B73" s="305" t="inlineStr">
        <is>
          <t>00000088</t>
        </is>
      </c>
      <c r="C73" s="241" t="inlineStr">
        <is>
          <t>REGION</t>
        </is>
      </c>
      <c r="D73" s="305" t="inlineStr">
        <is>
          <t>VASQUEZ CHUQUIPUL JULIANA</t>
        </is>
      </c>
      <c r="E73" s="241" t="inlineStr">
        <is>
          <t>DNI</t>
        </is>
      </c>
      <c r="F73" s="241" t="inlineStr">
        <is>
          <t>46780653</t>
        </is>
      </c>
      <c r="G73" s="336" t="n">
        <v>45954</v>
      </c>
      <c r="H73" s="241" t="inlineStr">
        <is>
          <t>4922</t>
        </is>
      </c>
      <c r="I73" s="332">
        <f>IFERROR(VLOOKUP(TEXT(H73,"0"),IPRESS!$A$3:$B$212,2,0),"")</f>
        <v/>
      </c>
      <c r="J73" s="241" t="inlineStr">
        <is>
          <t>4838</t>
        </is>
      </c>
      <c r="K73" s="332">
        <f>IFERROR(VLOOKUP(TEXT(O73,"0"),CONDUCTORES!$A$3:$G$100,7,0),"")</f>
        <v/>
      </c>
      <c r="L73" s="239" t="n">
        <v>18.18</v>
      </c>
      <c r="M73" s="239" t="n">
        <v>5</v>
      </c>
      <c r="N73" s="333">
        <f>IFERROR(IF(L73*M73=0,"",L73*M73),"")</f>
        <v/>
      </c>
      <c r="O73" s="334" t="n"/>
      <c r="P73" s="332">
        <f>IFERROR(VLOOKUP(TEXT(O73,"0"),CONDUCTORES!$A$3:$G$100,2,0),"")</f>
        <v/>
      </c>
      <c r="Q73" s="332">
        <f>IFERROR(VLOOKUP(TEXT(O73,"0"),CONDUCTORES!$A$3:$H$100,6,0),"")</f>
        <v/>
      </c>
      <c r="R73" s="336" t="n">
        <v>45967</v>
      </c>
      <c r="S73" s="305" t="inlineStr">
        <is>
          <t>O342,O149</t>
        </is>
      </c>
      <c r="T73" s="241" t="n"/>
      <c r="U73" s="280" t="n"/>
      <c r="V73" s="241" t="n"/>
      <c r="W73" s="241" t="n"/>
      <c r="X73" s="241" t="n"/>
      <c r="Y73" s="280" t="n"/>
    </row>
    <row r="74" ht="15.75" customHeight="1" s="195">
      <c r="A74" s="301" t="n">
        <v>69</v>
      </c>
      <c r="B74" s="302" t="inlineStr">
        <is>
          <t>00000089</t>
        </is>
      </c>
      <c r="C74" s="301" t="inlineStr">
        <is>
          <t>REGION</t>
        </is>
      </c>
      <c r="D74" s="302" t="inlineStr">
        <is>
          <t>SANTILLAN ZARATE BUENAVENTURA SEGUNDO</t>
        </is>
      </c>
      <c r="E74" s="301" t="inlineStr">
        <is>
          <t>DNI</t>
        </is>
      </c>
      <c r="F74" s="301" t="inlineStr">
        <is>
          <t>33782100</t>
        </is>
      </c>
      <c r="G74" s="331" t="n">
        <v>45954</v>
      </c>
      <c r="H74" s="301" t="inlineStr">
        <is>
          <t>4922</t>
        </is>
      </c>
      <c r="I74" s="332">
        <f>IFERROR(VLOOKUP(TEXT(H74,"0"),IPRESS!$A$3:$B$212,2,0),"")</f>
        <v/>
      </c>
      <c r="J74" s="301" t="inlineStr">
        <is>
          <t>4838</t>
        </is>
      </c>
      <c r="K74" s="332">
        <f>IFERROR(VLOOKUP(TEXT(O74,"0"),CONDUCTORES!$A$3:$G$100,7,0),"")</f>
        <v/>
      </c>
      <c r="L74" s="245" t="n">
        <v>18.18</v>
      </c>
      <c r="M74" s="245" t="n">
        <v>5</v>
      </c>
      <c r="N74" s="333">
        <f>IFERROR(IF(L74*M74=0,"",L74*M74),"")</f>
        <v/>
      </c>
      <c r="O74" s="280" t="n"/>
      <c r="P74" s="332">
        <f>IFERROR(VLOOKUP(TEXT(O74,"0"),CONDUCTORES!$A$3:$G$100,2,0),"")</f>
        <v/>
      </c>
      <c r="Q74" s="332">
        <f>IFERROR(VLOOKUP(TEXT(O74,"0"),CONDUCTORES!$A$3:$H$100,6,0),"")</f>
        <v/>
      </c>
      <c r="R74" s="331" t="n">
        <v>45967</v>
      </c>
      <c r="S74" s="302" t="inlineStr">
        <is>
          <t>S069,S029</t>
        </is>
      </c>
      <c r="T74" s="301" t="n"/>
      <c r="U74" s="334" t="n"/>
      <c r="V74" s="301" t="n"/>
      <c r="W74" s="301" t="n"/>
      <c r="X74" s="301" t="n"/>
      <c r="Y74" s="280" t="n"/>
    </row>
    <row r="75" ht="15.75" customHeight="1" s="195">
      <c r="A75" s="337" t="n">
        <v>70</v>
      </c>
      <c r="B75" s="338" t="inlineStr">
        <is>
          <t>00000090</t>
        </is>
      </c>
      <c r="C75" s="337" t="inlineStr">
        <is>
          <t>REGION</t>
        </is>
      </c>
      <c r="D75" s="338" t="inlineStr">
        <is>
          <t>LUCANO CALDERON LUIS RODRIGO</t>
        </is>
      </c>
      <c r="E75" s="337" t="inlineStr">
        <is>
          <t>DNI</t>
        </is>
      </c>
      <c r="F75" s="337" t="inlineStr">
        <is>
          <t>81285067</t>
        </is>
      </c>
      <c r="G75" s="339" t="n">
        <v>45955</v>
      </c>
      <c r="H75" s="337" t="inlineStr">
        <is>
          <t>4922</t>
        </is>
      </c>
      <c r="I75" s="332">
        <f>IFERROR(VLOOKUP(TEXT(H75,"0"),IPRESS!$A$3:$B$212,2,0),"")</f>
        <v/>
      </c>
      <c r="J75" s="337" t="inlineStr">
        <is>
          <t>4838</t>
        </is>
      </c>
      <c r="K75" s="332">
        <f>IFERROR(VLOOKUP(TEXT(O75,"0"),CONDUCTORES!$A$3:$G$100,7,0),"")</f>
        <v/>
      </c>
      <c r="L75" s="340" t="n">
        <v>17.95</v>
      </c>
      <c r="M75" s="340" t="n">
        <v>6</v>
      </c>
      <c r="N75" s="333">
        <f>IFERROR(IF(L75*M75=0,"",L75*M75),"")</f>
        <v/>
      </c>
      <c r="O75" s="334" t="n"/>
      <c r="P75" s="332">
        <f>IFERROR(VLOOKUP(TEXT(O75,"0"),CONDUCTORES!$A$3:$G$100,2,0),"")</f>
        <v/>
      </c>
      <c r="Q75" s="332">
        <f>IFERROR(VLOOKUP(TEXT(O75,"0"),CONDUCTORES!$A$3:$H$100,6,0),"")</f>
        <v/>
      </c>
      <c r="R75" s="339" t="n">
        <v>45967</v>
      </c>
      <c r="S75" s="338" t="inlineStr">
        <is>
          <t>S525</t>
        </is>
      </c>
      <c r="T75" s="337" t="n"/>
      <c r="U75" s="341" t="n"/>
      <c r="V75" s="337" t="n"/>
      <c r="W75" s="337" t="n"/>
      <c r="X75" s="337" t="n"/>
      <c r="Y75" s="280" t="n"/>
    </row>
    <row r="76" ht="15.75" customHeight="1" s="195">
      <c r="A76" s="301" t="n">
        <v>71</v>
      </c>
      <c r="B76" s="302" t="inlineStr">
        <is>
          <t>00000091</t>
        </is>
      </c>
      <c r="C76" s="301" t="inlineStr">
        <is>
          <t>REGION</t>
        </is>
      </c>
      <c r="D76" s="302" t="inlineStr">
        <is>
          <t>TELLO GUEVARON LEONILDA</t>
        </is>
      </c>
      <c r="E76" s="301" t="inlineStr">
        <is>
          <t>DNI</t>
        </is>
      </c>
      <c r="F76" s="301" t="inlineStr">
        <is>
          <t>33732096</t>
        </is>
      </c>
      <c r="G76" s="331" t="n">
        <v>45956</v>
      </c>
      <c r="H76" s="301" t="inlineStr">
        <is>
          <t>4922</t>
        </is>
      </c>
      <c r="I76" s="332">
        <f>IFERROR(VLOOKUP(TEXT(H76,"0"),IPRESS!$A$3:$B$212,2,0),"")</f>
        <v/>
      </c>
      <c r="J76" s="301" t="inlineStr">
        <is>
          <t>4838</t>
        </is>
      </c>
      <c r="K76" s="332">
        <f>IFERROR(VLOOKUP(TEXT(O76,"0"),CONDUCTORES!$A$3:$G$100,7,0),"")</f>
        <v/>
      </c>
      <c r="L76" s="245" t="n">
        <v>18.18</v>
      </c>
      <c r="M76" s="245" t="n">
        <v>5</v>
      </c>
      <c r="N76" s="333">
        <f>IFERROR(IF(L76*M76=0,"",L76*M76),"")</f>
        <v/>
      </c>
      <c r="O76" s="280" t="n"/>
      <c r="P76" s="332">
        <f>IFERROR(VLOOKUP(TEXT(O76,"0"),CONDUCTORES!$A$3:$G$100,2,0),"")</f>
        <v/>
      </c>
      <c r="Q76" s="332">
        <f>IFERROR(VLOOKUP(TEXT(O76,"0"),CONDUCTORES!$A$3:$H$100,6,0),"")</f>
        <v/>
      </c>
      <c r="R76" s="331" t="n">
        <v>45967</v>
      </c>
      <c r="S76" s="302" t="inlineStr">
        <is>
          <t>I10X,I639</t>
        </is>
      </c>
      <c r="T76" s="301" t="n"/>
      <c r="U76" s="334" t="n"/>
      <c r="V76" s="301" t="n"/>
      <c r="W76" s="301" t="n"/>
      <c r="X76" s="301" t="n"/>
      <c r="Y76" s="280" t="n"/>
    </row>
    <row r="77" ht="15.75" customHeight="1" s="195">
      <c r="A77" s="241" t="n">
        <v>72</v>
      </c>
      <c r="B77" s="305" t="inlineStr">
        <is>
          <t>00000092</t>
        </is>
      </c>
      <c r="C77" s="241" t="inlineStr">
        <is>
          <t>REGION</t>
        </is>
      </c>
      <c r="D77" s="305" t="inlineStr">
        <is>
          <t>HIDALGO TAFUR DEYSI LIDOVINA</t>
        </is>
      </c>
      <c r="E77" s="241" t="inlineStr">
        <is>
          <t>DNI</t>
        </is>
      </c>
      <c r="F77" s="241" t="inlineStr">
        <is>
          <t>60031709</t>
        </is>
      </c>
      <c r="G77" s="336" t="n">
        <v>45956</v>
      </c>
      <c r="H77" s="241" t="inlineStr">
        <is>
          <t>4922</t>
        </is>
      </c>
      <c r="I77" s="332">
        <f>IFERROR(VLOOKUP(TEXT(H77,"0"),IPRESS!$A$3:$B$212,2,0),"")</f>
        <v/>
      </c>
      <c r="J77" s="241" t="inlineStr">
        <is>
          <t>4838</t>
        </is>
      </c>
      <c r="K77" s="332">
        <f>IFERROR(VLOOKUP(TEXT(O77,"0"),CONDUCTORES!$A$3:$G$100,7,0),"")</f>
        <v/>
      </c>
      <c r="L77" s="239" t="n">
        <v>18.18</v>
      </c>
      <c r="M77" s="239" t="n">
        <v>5</v>
      </c>
      <c r="N77" s="333">
        <f>IFERROR(IF(L77*M77=0,"",L77*M77),"")</f>
        <v/>
      </c>
      <c r="O77" s="334" t="n"/>
      <c r="P77" s="332">
        <f>IFERROR(VLOOKUP(TEXT(O77,"0"),CONDUCTORES!$A$3:$G$100,2,0),"")</f>
        <v/>
      </c>
      <c r="Q77" s="332">
        <f>IFERROR(VLOOKUP(TEXT(O77,"0"),CONDUCTORES!$A$3:$H$100,6,0),"")</f>
        <v/>
      </c>
      <c r="R77" s="336" t="n">
        <v>45967</v>
      </c>
      <c r="S77" s="305" t="inlineStr">
        <is>
          <t>S300,S341</t>
        </is>
      </c>
      <c r="T77" s="241" t="n"/>
      <c r="U77" s="280" t="n"/>
      <c r="V77" s="241" t="n"/>
      <c r="W77" s="241" t="n"/>
      <c r="X77" s="241" t="n"/>
      <c r="Y77" s="280" t="n"/>
    </row>
    <row r="78" ht="15.75" customHeight="1" s="195">
      <c r="A78" s="337" t="n">
        <v>73</v>
      </c>
      <c r="B78" s="338" t="inlineStr">
        <is>
          <t>00000093</t>
        </is>
      </c>
      <c r="C78" s="337" t="inlineStr">
        <is>
          <t>REGION</t>
        </is>
      </c>
      <c r="D78" s="338" t="inlineStr">
        <is>
          <t>PUERTA ROJAS SAMIR STEFFANO</t>
        </is>
      </c>
      <c r="E78" s="337" t="inlineStr">
        <is>
          <t>DNI</t>
        </is>
      </c>
      <c r="F78" s="337" t="inlineStr">
        <is>
          <t>63398570</t>
        </is>
      </c>
      <c r="G78" s="339" t="n">
        <v>45958</v>
      </c>
      <c r="H78" s="337" t="inlineStr">
        <is>
          <t>4922</t>
        </is>
      </c>
      <c r="I78" s="332">
        <f>IFERROR(VLOOKUP(TEXT(H78,"0"),IPRESS!$A$3:$B$212,2,0),"")</f>
        <v/>
      </c>
      <c r="J78" s="337" t="inlineStr">
        <is>
          <t>4838</t>
        </is>
      </c>
      <c r="K78" s="332">
        <f>IFERROR(VLOOKUP(TEXT(O78,"0"),CONDUCTORES!$A$3:$G$100,7,0),"")</f>
        <v/>
      </c>
      <c r="L78" s="340" t="n">
        <v>17.95</v>
      </c>
      <c r="M78" s="340" t="n">
        <v>6</v>
      </c>
      <c r="N78" s="333">
        <f>IFERROR(IF(L78*M78=0,"",L78*M78),"")</f>
        <v/>
      </c>
      <c r="O78" s="280" t="n"/>
      <c r="P78" s="332">
        <f>IFERROR(VLOOKUP(TEXT(O78,"0"),CONDUCTORES!$A$3:$G$100,2,0),"")</f>
        <v/>
      </c>
      <c r="Q78" s="332">
        <f>IFERROR(VLOOKUP(TEXT(O78,"0"),CONDUCTORES!$A$3:$H$100,6,0),"")</f>
        <v/>
      </c>
      <c r="R78" s="339" t="n">
        <v>45967</v>
      </c>
      <c r="S78" s="338" t="inlineStr">
        <is>
          <t>K359</t>
        </is>
      </c>
      <c r="T78" s="337" t="n"/>
      <c r="U78" s="341" t="n"/>
      <c r="V78" s="337" t="n"/>
      <c r="W78" s="337" t="n"/>
      <c r="X78" s="337" t="n"/>
      <c r="Y78" s="280" t="n"/>
    </row>
    <row r="79" ht="15.75" customHeight="1" s="195">
      <c r="A79" s="241" t="n">
        <v>74</v>
      </c>
      <c r="B79" s="305" t="inlineStr">
        <is>
          <t>00000094</t>
        </is>
      </c>
      <c r="C79" s="241" t="inlineStr">
        <is>
          <t>REGION</t>
        </is>
      </c>
      <c r="D79" s="305" t="inlineStr">
        <is>
          <t>DAZA TUESTA JENNIFER</t>
        </is>
      </c>
      <c r="E79" s="241" t="inlineStr">
        <is>
          <t>DNI</t>
        </is>
      </c>
      <c r="F79" s="241" t="inlineStr">
        <is>
          <t>70207427</t>
        </is>
      </c>
      <c r="G79" s="336" t="n">
        <v>45960</v>
      </c>
      <c r="H79" s="241" t="inlineStr">
        <is>
          <t>4922</t>
        </is>
      </c>
      <c r="I79" s="332">
        <f>IFERROR(VLOOKUP(TEXT(H79,"0"),IPRESS!$A$3:$B$212,2,0),"")</f>
        <v/>
      </c>
      <c r="J79" s="241" t="inlineStr">
        <is>
          <t>4838</t>
        </is>
      </c>
      <c r="K79" s="332">
        <f>IFERROR(VLOOKUP(TEXT(O79,"0"),CONDUCTORES!$A$3:$G$100,7,0),"")</f>
        <v/>
      </c>
      <c r="L79" s="239" t="n">
        <v>18.18</v>
      </c>
      <c r="M79" s="239" t="n">
        <v>5</v>
      </c>
      <c r="N79" s="333">
        <f>IFERROR(IF(L79*M79=0,"",L79*M79),"")</f>
        <v/>
      </c>
      <c r="O79" s="334" t="n"/>
      <c r="P79" s="332">
        <f>IFERROR(VLOOKUP(TEXT(O79,"0"),CONDUCTORES!$A$3:$G$100,2,0),"")</f>
        <v/>
      </c>
      <c r="Q79" s="332">
        <f>IFERROR(VLOOKUP(TEXT(O79,"0"),CONDUCTORES!$A$3:$H$100,6,0),"")</f>
        <v/>
      </c>
      <c r="R79" s="336" t="n">
        <v>45967</v>
      </c>
      <c r="S79" s="305" t="inlineStr">
        <is>
          <t>O039</t>
        </is>
      </c>
      <c r="T79" s="241" t="n"/>
      <c r="U79" s="280" t="n"/>
      <c r="V79" s="241" t="n"/>
      <c r="W79" s="241" t="n"/>
      <c r="X79" s="241" t="n"/>
      <c r="Y79" s="280" t="n"/>
    </row>
    <row r="80" ht="15.75" customHeight="1" s="195">
      <c r="A80" s="301" t="n">
        <v>75</v>
      </c>
      <c r="B80" s="302" t="inlineStr">
        <is>
          <t>00000095</t>
        </is>
      </c>
      <c r="C80" s="301" t="inlineStr">
        <is>
          <t>REGION</t>
        </is>
      </c>
      <c r="D80" s="302" t="inlineStr">
        <is>
          <t>CAHUAZA SANCHEZ ELVA</t>
        </is>
      </c>
      <c r="E80" s="301" t="inlineStr">
        <is>
          <t>DNI</t>
        </is>
      </c>
      <c r="F80" s="301" t="inlineStr">
        <is>
          <t>60478130</t>
        </is>
      </c>
      <c r="G80" s="331" t="n">
        <v>45961</v>
      </c>
      <c r="H80" s="301" t="inlineStr">
        <is>
          <t>4922</t>
        </is>
      </c>
      <c r="I80" s="332">
        <f>IFERROR(VLOOKUP(TEXT(H80,"0"),IPRESS!$A$3:$B$212,2,0),"")</f>
        <v/>
      </c>
      <c r="J80" s="301" t="inlineStr">
        <is>
          <t>4838</t>
        </is>
      </c>
      <c r="K80" s="332">
        <f>IFERROR(VLOOKUP(TEXT(O80,"0"),CONDUCTORES!$A$3:$G$100,7,0),"")</f>
        <v/>
      </c>
      <c r="L80" s="245" t="n">
        <v>18.18</v>
      </c>
      <c r="M80" s="245" t="n">
        <v>5</v>
      </c>
      <c r="N80" s="333">
        <f>IFERROR(IF(L80*M80=0,"",L80*M80),"")</f>
        <v/>
      </c>
      <c r="O80" s="280" t="n"/>
      <c r="P80" s="332">
        <f>IFERROR(VLOOKUP(TEXT(O80,"0"),CONDUCTORES!$A$3:$G$100,2,0),"")</f>
        <v/>
      </c>
      <c r="Q80" s="332">
        <f>IFERROR(VLOOKUP(TEXT(O80,"0"),CONDUCTORES!$A$3:$H$100,6,0),"")</f>
        <v/>
      </c>
      <c r="R80" s="331" t="n">
        <v>45967</v>
      </c>
      <c r="S80" s="302" t="inlineStr">
        <is>
          <t>R104</t>
        </is>
      </c>
      <c r="T80" s="301" t="n"/>
      <c r="U80" s="334" t="n"/>
      <c r="V80" s="301" t="n"/>
      <c r="W80" s="301" t="n"/>
      <c r="X80" s="301" t="n"/>
      <c r="Y80" s="280" t="n"/>
    </row>
    <row r="81" ht="15.75" customHeight="1" s="195">
      <c r="A81" s="241" t="n">
        <v>76</v>
      </c>
      <c r="B81" s="305" t="inlineStr">
        <is>
          <t>00000078</t>
        </is>
      </c>
      <c r="C81" s="241" t="inlineStr">
        <is>
          <t>REGION</t>
        </is>
      </c>
      <c r="D81" s="305" t="inlineStr">
        <is>
          <t>SALVA ARCE R/N</t>
        </is>
      </c>
      <c r="E81" s="241" t="inlineStr">
        <is>
          <t>DNI</t>
        </is>
      </c>
      <c r="F81" s="241" t="inlineStr">
        <is>
          <t>11177302</t>
        </is>
      </c>
      <c r="G81" s="336" t="n">
        <v>45931</v>
      </c>
      <c r="H81" s="241" t="inlineStr">
        <is>
          <t>4932</t>
        </is>
      </c>
      <c r="I81" s="332">
        <f>IFERROR(VLOOKUP(TEXT(H81,"0"),IPRESS!$A$3:$B$212,2,0),"")</f>
        <v/>
      </c>
      <c r="J81" s="241" t="inlineStr">
        <is>
          <t>4838</t>
        </is>
      </c>
      <c r="K81" s="332">
        <f>IFERROR(VLOOKUP(TEXT(O81,"0"),CONDUCTORES!$A$3:$G$100,7,0),"")</f>
        <v/>
      </c>
      <c r="L81" s="239" t="n">
        <v>18.18</v>
      </c>
      <c r="M81" s="239" t="n">
        <v>8</v>
      </c>
      <c r="N81" s="333">
        <f>IFERROR(IF(L81*M81=0,"",L81*M81),"")</f>
        <v/>
      </c>
      <c r="O81" s="334" t="n"/>
      <c r="P81" s="332">
        <f>IFERROR(VLOOKUP(TEXT(O81,"0"),CONDUCTORES!$A$3:$G$100,2,0),"")</f>
        <v/>
      </c>
      <c r="Q81" s="332">
        <f>IFERROR(VLOOKUP(TEXT(O81,"0"),CONDUCTORES!$A$3:$H$100,6,0),"")</f>
        <v/>
      </c>
      <c r="R81" s="336" t="n">
        <v>45968</v>
      </c>
      <c r="S81" s="305" t="inlineStr">
        <is>
          <t>P073</t>
        </is>
      </c>
      <c r="T81" s="241" t="n"/>
      <c r="U81" s="280" t="n"/>
      <c r="V81" s="241" t="n"/>
      <c r="W81" s="241" t="n"/>
      <c r="X81" s="241" t="n"/>
      <c r="Y81" s="280" t="n"/>
    </row>
    <row r="82" ht="15.75" customHeight="1" s="195">
      <c r="A82" s="301" t="n">
        <v>77</v>
      </c>
      <c r="B82" s="302" t="inlineStr">
        <is>
          <t>00000079</t>
        </is>
      </c>
      <c r="C82" s="301" t="inlineStr">
        <is>
          <t>REGION</t>
        </is>
      </c>
      <c r="D82" s="302" t="inlineStr">
        <is>
          <t>VALLE DE PILCO AMANDA</t>
        </is>
      </c>
      <c r="E82" s="301" t="inlineStr">
        <is>
          <t>DNI</t>
        </is>
      </c>
      <c r="F82" s="301" t="inlineStr">
        <is>
          <t>33731681</t>
        </is>
      </c>
      <c r="G82" s="331" t="n">
        <v>45933</v>
      </c>
      <c r="H82" s="301" t="inlineStr">
        <is>
          <t>4932</t>
        </is>
      </c>
      <c r="I82" s="332">
        <f>IFERROR(VLOOKUP(TEXT(H82,"0"),IPRESS!$A$3:$B$212,2,0),"")</f>
        <v/>
      </c>
      <c r="J82" s="301" t="inlineStr">
        <is>
          <t>4838</t>
        </is>
      </c>
      <c r="K82" s="332">
        <f>IFERROR(VLOOKUP(TEXT(O82,"0"),CONDUCTORES!$A$3:$G$100,7,0),"")</f>
        <v/>
      </c>
      <c r="L82" s="245" t="n">
        <v>18.18</v>
      </c>
      <c r="M82" s="245" t="n">
        <v>8</v>
      </c>
      <c r="N82" s="333">
        <f>IFERROR(IF(L82*M82=0,"",L82*M82),"")</f>
        <v/>
      </c>
      <c r="O82" s="280" t="n"/>
      <c r="P82" s="332">
        <f>IFERROR(VLOOKUP(TEXT(O82,"0"),CONDUCTORES!$A$3:$G$100,2,0),"")</f>
        <v/>
      </c>
      <c r="Q82" s="332">
        <f>IFERROR(VLOOKUP(TEXT(O82,"0"),CONDUCTORES!$A$3:$H$100,6,0),"")</f>
        <v/>
      </c>
      <c r="R82" s="331" t="n">
        <v>45968</v>
      </c>
      <c r="S82" s="302" t="inlineStr">
        <is>
          <t>J960,J159,I509</t>
        </is>
      </c>
      <c r="T82" s="301" t="n"/>
      <c r="U82" s="334" t="n"/>
      <c r="V82" s="301" t="n"/>
      <c r="W82" s="301" t="n"/>
      <c r="X82" s="301" t="n"/>
      <c r="Y82" s="280" t="n"/>
    </row>
    <row r="83" ht="15.75" customHeight="1" s="195">
      <c r="A83" s="241" t="n">
        <v>78</v>
      </c>
      <c r="B83" s="305" t="inlineStr">
        <is>
          <t>00000080</t>
        </is>
      </c>
      <c r="C83" s="241" t="inlineStr">
        <is>
          <t>REGION</t>
        </is>
      </c>
      <c r="D83" s="305" t="inlineStr">
        <is>
          <t>LARA BUSTAMANTE FIORELA DEL PILAR</t>
        </is>
      </c>
      <c r="E83" s="241" t="inlineStr">
        <is>
          <t>DNI</t>
        </is>
      </c>
      <c r="F83" s="241" t="inlineStr">
        <is>
          <t>60030615</t>
        </is>
      </c>
      <c r="G83" s="336" t="n">
        <v>45933</v>
      </c>
      <c r="H83" s="241" t="inlineStr">
        <is>
          <t>4932</t>
        </is>
      </c>
      <c r="I83" s="332">
        <f>IFERROR(VLOOKUP(TEXT(H83,"0"),IPRESS!$A$3:$B$212,2,0),"")</f>
        <v/>
      </c>
      <c r="J83" s="241" t="inlineStr">
        <is>
          <t>4838</t>
        </is>
      </c>
      <c r="K83" s="332">
        <f>IFERROR(VLOOKUP(TEXT(O83,"0"),CONDUCTORES!$A$3:$G$100,7,0),"")</f>
        <v/>
      </c>
      <c r="L83" s="239" t="n">
        <v>18.18</v>
      </c>
      <c r="M83" s="239" t="n">
        <v>8</v>
      </c>
      <c r="N83" s="333">
        <f>IFERROR(IF(L83*M83=0,"",L83*M83),"")</f>
        <v/>
      </c>
      <c r="O83" s="334" t="n"/>
      <c r="P83" s="332">
        <f>IFERROR(VLOOKUP(TEXT(O83,"0"),CONDUCTORES!$A$3:$G$100,2,0),"")</f>
        <v/>
      </c>
      <c r="Q83" s="332">
        <f>IFERROR(VLOOKUP(TEXT(O83,"0"),CONDUCTORES!$A$3:$H$100,6,0),"")</f>
        <v/>
      </c>
      <c r="R83" s="336" t="n">
        <v>45968</v>
      </c>
      <c r="S83" s="305" t="inlineStr">
        <is>
          <t>R103,K358,N390</t>
        </is>
      </c>
      <c r="T83" s="241" t="n"/>
      <c r="U83" s="280" t="n"/>
      <c r="V83" s="241" t="n"/>
      <c r="W83" s="241" t="n"/>
      <c r="X83" s="241" t="n"/>
      <c r="Y83" s="280" t="n"/>
    </row>
    <row r="84" ht="15.75" customHeight="1" s="195">
      <c r="A84" s="301" t="n">
        <v>79</v>
      </c>
      <c r="B84" s="302" t="inlineStr">
        <is>
          <t>00000081</t>
        </is>
      </c>
      <c r="C84" s="301" t="inlineStr">
        <is>
          <t>REGION</t>
        </is>
      </c>
      <c r="D84" s="302" t="inlineStr">
        <is>
          <t>CAPTO CHICANA NATALY</t>
        </is>
      </c>
      <c r="E84" s="301" t="inlineStr">
        <is>
          <t>DNI</t>
        </is>
      </c>
      <c r="F84" s="301" t="inlineStr">
        <is>
          <t>74445477</t>
        </is>
      </c>
      <c r="G84" s="331" t="n">
        <v>45942</v>
      </c>
      <c r="H84" s="301" t="inlineStr">
        <is>
          <t>4932</t>
        </is>
      </c>
      <c r="I84" s="332">
        <f>IFERROR(VLOOKUP(TEXT(H84,"0"),IPRESS!$A$3:$B$212,2,0),"")</f>
        <v/>
      </c>
      <c r="J84" s="301" t="inlineStr">
        <is>
          <t>5125</t>
        </is>
      </c>
      <c r="K84" s="332">
        <f>IFERROR(VLOOKUP(TEXT(O84,"0"),CONDUCTORES!$A$3:$G$100,7,0),"")</f>
        <v/>
      </c>
      <c r="L84" s="245" t="n">
        <v>18.18</v>
      </c>
      <c r="M84" s="245" t="n">
        <v>11</v>
      </c>
      <c r="N84" s="333">
        <f>IFERROR(IF(L84*M84=0,"",L84*M84),"")</f>
        <v/>
      </c>
      <c r="O84" s="280" t="n"/>
      <c r="P84" s="332">
        <f>IFERROR(VLOOKUP(TEXT(O84,"0"),CONDUCTORES!$A$3:$G$100,2,0),"")</f>
        <v/>
      </c>
      <c r="Q84" s="332">
        <f>IFERROR(VLOOKUP(TEXT(O84,"0"),CONDUCTORES!$A$3:$H$100,6,0),"")</f>
        <v/>
      </c>
      <c r="R84" s="331" t="n">
        <v>45968</v>
      </c>
      <c r="S84" s="302" t="inlineStr">
        <is>
          <t>O033</t>
        </is>
      </c>
      <c r="T84" s="301" t="n"/>
      <c r="U84" s="334" t="n"/>
      <c r="V84" s="301" t="n"/>
      <c r="W84" s="301" t="n"/>
      <c r="X84" s="301" t="n"/>
      <c r="Y84" s="280" t="n"/>
    </row>
    <row r="85" ht="15.75" customHeight="1" s="195">
      <c r="A85" s="241" t="n">
        <v>80</v>
      </c>
      <c r="B85" s="305" t="inlineStr">
        <is>
          <t>00000083</t>
        </is>
      </c>
      <c r="C85" s="241" t="inlineStr">
        <is>
          <t>REGION</t>
        </is>
      </c>
      <c r="D85" s="305" t="inlineStr">
        <is>
          <t>AGUILAR DIAZ MARIO</t>
        </is>
      </c>
      <c r="E85" s="241" t="inlineStr">
        <is>
          <t>DNI</t>
        </is>
      </c>
      <c r="F85" s="241" t="inlineStr">
        <is>
          <t>48467648</t>
        </is>
      </c>
      <c r="G85" s="336" t="n">
        <v>45948</v>
      </c>
      <c r="H85" s="241" t="inlineStr">
        <is>
          <t>4932</t>
        </is>
      </c>
      <c r="I85" s="332">
        <f>IFERROR(VLOOKUP(TEXT(H85,"0"),IPRESS!$A$3:$B$212,2,0),"")</f>
        <v/>
      </c>
      <c r="J85" s="241" t="inlineStr">
        <is>
          <t>4838</t>
        </is>
      </c>
      <c r="K85" s="332">
        <f>IFERROR(VLOOKUP(TEXT(O85,"0"),CONDUCTORES!$A$3:$G$100,7,0),"")</f>
        <v/>
      </c>
      <c r="L85" s="239" t="n">
        <v>18.18</v>
      </c>
      <c r="M85" s="239" t="n">
        <v>8</v>
      </c>
      <c r="N85" s="333">
        <f>IFERROR(IF(L85*M85=0,"",L85*M85),"")</f>
        <v/>
      </c>
      <c r="O85" s="334" t="n"/>
      <c r="P85" s="332">
        <f>IFERROR(VLOOKUP(TEXT(O85,"0"),CONDUCTORES!$A$3:$G$100,2,0),"")</f>
        <v/>
      </c>
      <c r="Q85" s="332">
        <f>IFERROR(VLOOKUP(TEXT(O85,"0"),CONDUCTORES!$A$3:$H$100,6,0),"")</f>
        <v/>
      </c>
      <c r="R85" s="336" t="n">
        <v>45968</v>
      </c>
      <c r="S85" s="305" t="inlineStr">
        <is>
          <t>K566</t>
        </is>
      </c>
      <c r="T85" s="241" t="n"/>
      <c r="U85" s="280" t="n"/>
      <c r="V85" s="241" t="n"/>
      <c r="W85" s="241" t="n"/>
      <c r="X85" s="241" t="n"/>
      <c r="Y85" s="280" t="n"/>
    </row>
    <row r="86" ht="15.75" customHeight="1" s="195">
      <c r="A86" s="301" t="n">
        <v>81</v>
      </c>
      <c r="B86" s="302" t="inlineStr">
        <is>
          <t>00000082</t>
        </is>
      </c>
      <c r="C86" s="301" t="inlineStr">
        <is>
          <t>REGION</t>
        </is>
      </c>
      <c r="D86" s="302" t="inlineStr">
        <is>
          <t>CORONEL FERNANDEZ DEYSI CORALI</t>
        </is>
      </c>
      <c r="E86" s="301" t="inlineStr">
        <is>
          <t>DNI</t>
        </is>
      </c>
      <c r="F86" s="301" t="inlineStr">
        <is>
          <t>48022892</t>
        </is>
      </c>
      <c r="G86" s="331" t="n">
        <v>45941</v>
      </c>
      <c r="H86" s="301" t="inlineStr">
        <is>
          <t>4932</t>
        </is>
      </c>
      <c r="I86" s="332">
        <f>IFERROR(VLOOKUP(TEXT(H86,"0"),IPRESS!$A$3:$B$212,2,0),"")</f>
        <v/>
      </c>
      <c r="J86" s="301" t="inlineStr">
        <is>
          <t>4838</t>
        </is>
      </c>
      <c r="K86" s="332">
        <f>IFERROR(VLOOKUP(TEXT(O86,"0"),CONDUCTORES!$A$3:$G$100,7,0),"")</f>
        <v/>
      </c>
      <c r="L86" s="245" t="n">
        <v>18.18</v>
      </c>
      <c r="M86" s="245" t="n">
        <v>8</v>
      </c>
      <c r="N86" s="333">
        <f>IFERROR(IF(L86*M86=0,"",L86*M86),"")</f>
        <v/>
      </c>
      <c r="O86" s="280" t="n"/>
      <c r="P86" s="332">
        <f>IFERROR(VLOOKUP(TEXT(O86,"0"),CONDUCTORES!$A$3:$G$100,2,0),"")</f>
        <v/>
      </c>
      <c r="Q86" s="332">
        <f>IFERROR(VLOOKUP(TEXT(O86,"0"),CONDUCTORES!$A$3:$H$100,6,0),"")</f>
        <v/>
      </c>
      <c r="R86" s="331" t="n">
        <v>45996</v>
      </c>
      <c r="S86" s="302" t="inlineStr">
        <is>
          <t>O441,Z359</t>
        </is>
      </c>
      <c r="T86" s="301" t="n"/>
      <c r="U86" s="334" t="n"/>
      <c r="V86" s="301" t="n"/>
      <c r="W86" s="301" t="n"/>
      <c r="X86" s="301" t="n"/>
      <c r="Y86" s="280" t="n"/>
    </row>
    <row r="87" ht="15.75" customHeight="1" s="195">
      <c r="A87" s="241" t="n">
        <v>82</v>
      </c>
      <c r="B87" s="305" t="inlineStr">
        <is>
          <t>00000084</t>
        </is>
      </c>
      <c r="C87" s="241" t="inlineStr">
        <is>
          <t>REGION</t>
        </is>
      </c>
      <c r="D87" s="305" t="inlineStr">
        <is>
          <t>CAPTO INGA HERNAN</t>
        </is>
      </c>
      <c r="E87" s="241" t="inlineStr">
        <is>
          <t>DNI</t>
        </is>
      </c>
      <c r="F87" s="241" t="inlineStr">
        <is>
          <t>33738170</t>
        </is>
      </c>
      <c r="G87" s="336" t="n">
        <v>45950</v>
      </c>
      <c r="H87" s="241" t="inlineStr">
        <is>
          <t>4932</t>
        </is>
      </c>
      <c r="I87" s="332">
        <f>IFERROR(VLOOKUP(TEXT(H87,"0"),IPRESS!$A$3:$B$212,2,0),"")</f>
        <v/>
      </c>
      <c r="J87" s="241" t="inlineStr">
        <is>
          <t>4838</t>
        </is>
      </c>
      <c r="K87" s="332">
        <f>IFERROR(VLOOKUP(TEXT(O87,"0"),CONDUCTORES!$A$3:$G$100,7,0),"")</f>
        <v/>
      </c>
      <c r="L87" s="239" t="n">
        <v>18.18</v>
      </c>
      <c r="M87" s="239" t="n">
        <v>8</v>
      </c>
      <c r="N87" s="333">
        <f>IFERROR(IF(L87*M87=0,"",L87*M87),"")</f>
        <v/>
      </c>
      <c r="O87" s="334" t="n"/>
      <c r="P87" s="332">
        <f>IFERROR(VLOOKUP(TEXT(O87,"0"),CONDUCTORES!$A$3:$G$100,2,0),"")</f>
        <v/>
      </c>
      <c r="Q87" s="332">
        <f>IFERROR(VLOOKUP(TEXT(O87,"0"),CONDUCTORES!$A$3:$H$100,6,0),"")</f>
        <v/>
      </c>
      <c r="R87" s="336" t="n">
        <v>45996</v>
      </c>
      <c r="S87" s="305" t="inlineStr">
        <is>
          <t>F100,F29X,F16X</t>
        </is>
      </c>
      <c r="T87" s="241" t="n"/>
      <c r="U87" s="280" t="n"/>
      <c r="V87" s="241" t="n"/>
      <c r="W87" s="241" t="n"/>
      <c r="X87" s="241" t="n"/>
      <c r="Y87" s="280" t="n"/>
    </row>
    <row r="88" ht="15.75" customHeight="1" s="195">
      <c r="A88" s="301" t="n">
        <v>83</v>
      </c>
      <c r="B88" s="302" t="inlineStr">
        <is>
          <t>00000085</t>
        </is>
      </c>
      <c r="C88" s="301" t="inlineStr">
        <is>
          <t>REGION</t>
        </is>
      </c>
      <c r="D88" s="302" t="inlineStr">
        <is>
          <t>MATA VILCHEZ MARIBEL</t>
        </is>
      </c>
      <c r="E88" s="301" t="inlineStr">
        <is>
          <t>DNI</t>
        </is>
      </c>
      <c r="F88" s="301" t="inlineStr">
        <is>
          <t>45736471</t>
        </is>
      </c>
      <c r="G88" s="331" t="n">
        <v>45955</v>
      </c>
      <c r="H88" s="301" t="inlineStr">
        <is>
          <t>4932</t>
        </is>
      </c>
      <c r="I88" s="332">
        <f>IFERROR(VLOOKUP(TEXT(H88,"0"),IPRESS!$A$3:$B$212,2,0),"")</f>
        <v/>
      </c>
      <c r="J88" s="301" t="inlineStr">
        <is>
          <t>4838</t>
        </is>
      </c>
      <c r="K88" s="332">
        <f>IFERROR(VLOOKUP(TEXT(O88,"0"),CONDUCTORES!$A$3:$G$100,7,0),"")</f>
        <v/>
      </c>
      <c r="L88" s="245" t="n">
        <v>18.18</v>
      </c>
      <c r="M88" s="245" t="n">
        <v>8</v>
      </c>
      <c r="N88" s="333">
        <f>IFERROR(IF(L88*M88=0,"",L88*M88),"")</f>
        <v/>
      </c>
      <c r="O88" s="280" t="n"/>
      <c r="P88" s="332">
        <f>IFERROR(VLOOKUP(TEXT(O88,"0"),CONDUCTORES!$A$3:$G$100,2,0),"")</f>
        <v/>
      </c>
      <c r="Q88" s="332">
        <f>IFERROR(VLOOKUP(TEXT(O88,"0"),CONDUCTORES!$A$3:$H$100,6,0),"")</f>
        <v/>
      </c>
      <c r="R88" s="331" t="n">
        <v>45996</v>
      </c>
      <c r="S88" s="302" t="inlineStr">
        <is>
          <t>O044</t>
        </is>
      </c>
      <c r="T88" s="301" t="n"/>
      <c r="U88" s="334" t="n"/>
      <c r="V88" s="301" t="n"/>
      <c r="W88" s="301" t="n"/>
      <c r="X88" s="301" t="n"/>
      <c r="Y88" s="280" t="n"/>
    </row>
    <row r="89" ht="15.75" customHeight="1" s="195">
      <c r="A89" s="241" t="n">
        <v>84</v>
      </c>
      <c r="B89" s="305" t="inlineStr">
        <is>
          <t>00000086</t>
        </is>
      </c>
      <c r="C89" s="241" t="inlineStr">
        <is>
          <t>REGION</t>
        </is>
      </c>
      <c r="D89" s="305" t="inlineStr">
        <is>
          <t>REGALADO MEGO MARYUDITH</t>
        </is>
      </c>
      <c r="E89" s="241" t="inlineStr">
        <is>
          <t>DNI</t>
        </is>
      </c>
      <c r="F89" s="241" t="inlineStr">
        <is>
          <t>78803405</t>
        </is>
      </c>
      <c r="G89" s="336" t="n">
        <v>45961</v>
      </c>
      <c r="H89" s="241" t="inlineStr">
        <is>
          <t>4932</t>
        </is>
      </c>
      <c r="I89" s="332">
        <f>IFERROR(VLOOKUP(TEXT(H89,"0"),IPRESS!$A$3:$B$212,2,0),"")</f>
        <v/>
      </c>
      <c r="J89" s="241" t="inlineStr">
        <is>
          <t>4838</t>
        </is>
      </c>
      <c r="K89" s="332">
        <f>IFERROR(VLOOKUP(TEXT(O89,"0"),CONDUCTORES!$A$3:$G$100,7,0),"")</f>
        <v/>
      </c>
      <c r="L89" s="239" t="n">
        <v>18.18</v>
      </c>
      <c r="M89" s="239" t="n">
        <v>8</v>
      </c>
      <c r="N89" s="333">
        <f>IFERROR(IF(L89*M89=0,"",L89*M89),"")</f>
        <v/>
      </c>
      <c r="O89" s="334" t="n"/>
      <c r="P89" s="332">
        <f>IFERROR(VLOOKUP(TEXT(O89,"0"),CONDUCTORES!$A$3:$G$100,2,0),"")</f>
        <v/>
      </c>
      <c r="Q89" s="332">
        <f>IFERROR(VLOOKUP(TEXT(O89,"0"),CONDUCTORES!$A$3:$H$100,6,0),"")</f>
        <v/>
      </c>
      <c r="R89" s="336" t="n">
        <v>45996</v>
      </c>
      <c r="S89" s="305" t="inlineStr">
        <is>
          <t>O48X,O439</t>
        </is>
      </c>
      <c r="T89" s="241" t="n"/>
      <c r="U89" s="280" t="n"/>
      <c r="V89" s="241" t="n"/>
      <c r="W89" s="241" t="n"/>
      <c r="X89" s="241" t="n"/>
      <c r="Y89" s="280" t="n"/>
    </row>
    <row r="90" ht="15.75" customHeight="1" s="195">
      <c r="A90" s="337" t="n">
        <v>85</v>
      </c>
      <c r="B90" s="338" t="inlineStr">
        <is>
          <t>00000003</t>
        </is>
      </c>
      <c r="C90" s="337" t="inlineStr">
        <is>
          <t>REGION</t>
        </is>
      </c>
      <c r="D90" s="338" t="inlineStr">
        <is>
          <t>CANTA HUAMAN TALIA RUBY</t>
        </is>
      </c>
      <c r="E90" s="337" t="inlineStr">
        <is>
          <t>DNI</t>
        </is>
      </c>
      <c r="F90" s="337" t="inlineStr">
        <is>
          <t>62210529</t>
        </is>
      </c>
      <c r="G90" s="339" t="n">
        <v>45934</v>
      </c>
      <c r="H90" s="337" t="inlineStr">
        <is>
          <t>4913</t>
        </is>
      </c>
      <c r="I90" s="332">
        <f>IFERROR(VLOOKUP(TEXT(H90,"0"),IPRESS!$A$3:$B$212,2,0),"")</f>
        <v/>
      </c>
      <c r="J90" s="337" t="inlineStr">
        <is>
          <t>5125</t>
        </is>
      </c>
      <c r="K90" s="332">
        <f>IFERROR(VLOOKUP(TEXT(O90,"0"),CONDUCTORES!$A$3:$G$100,7,0),"")</f>
        <v/>
      </c>
      <c r="L90" s="340" t="n">
        <v>17.95</v>
      </c>
      <c r="M90" s="340" t="n">
        <v>14</v>
      </c>
      <c r="N90" s="333">
        <f>IFERROR(IF(L90*M90=0,"",L90*M90),"")</f>
        <v/>
      </c>
      <c r="O90" s="280" t="n"/>
      <c r="P90" s="332">
        <f>IFERROR(VLOOKUP(TEXT(O90,"0"),CONDUCTORES!$A$3:$G$100,2,0),"")</f>
        <v/>
      </c>
      <c r="Q90" s="332">
        <f>IFERROR(VLOOKUP(TEXT(O90,"0"),CONDUCTORES!$A$3:$H$100,6,0),"")</f>
        <v/>
      </c>
      <c r="R90" s="339" t="n">
        <v>45994</v>
      </c>
      <c r="S90" s="338" t="inlineStr">
        <is>
          <t>O639</t>
        </is>
      </c>
      <c r="T90" s="337" t="n"/>
      <c r="U90" s="341" t="n"/>
      <c r="V90" s="337" t="n"/>
      <c r="W90" s="337" t="n"/>
      <c r="X90" s="337" t="n"/>
      <c r="Y90" s="280" t="n"/>
    </row>
    <row r="91" ht="15.75" customHeight="1" s="195">
      <c r="A91" s="337" t="n">
        <v>86</v>
      </c>
      <c r="B91" s="338" t="inlineStr">
        <is>
          <t>00000004</t>
        </is>
      </c>
      <c r="C91" s="337" t="inlineStr">
        <is>
          <t>REGION</t>
        </is>
      </c>
      <c r="D91" s="338" t="inlineStr">
        <is>
          <t>ROJAS ZUTA JOSE</t>
        </is>
      </c>
      <c r="E91" s="337" t="inlineStr">
        <is>
          <t>DNI</t>
        </is>
      </c>
      <c r="F91" s="337" t="inlineStr">
        <is>
          <t>33804470</t>
        </is>
      </c>
      <c r="G91" s="339" t="n">
        <v>45959</v>
      </c>
      <c r="H91" s="337" t="inlineStr">
        <is>
          <t>4913</t>
        </is>
      </c>
      <c r="I91" s="332">
        <f>IFERROR(VLOOKUP(TEXT(H91,"0"),IPRESS!$A$3:$B$212,2,0),"")</f>
        <v/>
      </c>
      <c r="J91" s="337" t="inlineStr">
        <is>
          <t>4838</t>
        </is>
      </c>
      <c r="K91" s="332">
        <f>IFERROR(VLOOKUP(TEXT(O91,"0"),CONDUCTORES!$A$3:$G$100,7,0),"")</f>
        <v/>
      </c>
      <c r="L91" s="340" t="n">
        <v>17.95</v>
      </c>
      <c r="M91" s="340" t="n">
        <v>20</v>
      </c>
      <c r="N91" s="333">
        <f>IFERROR(IF(L91*M91=0,"",L91*M91),"")</f>
        <v/>
      </c>
      <c r="O91" s="334" t="n"/>
      <c r="P91" s="332">
        <f>IFERROR(VLOOKUP(TEXT(O91,"0"),CONDUCTORES!$A$3:$G$100,2,0),"")</f>
        <v/>
      </c>
      <c r="Q91" s="332">
        <f>IFERROR(VLOOKUP(TEXT(O91,"0"),CONDUCTORES!$A$3:$H$100,6,0),"")</f>
        <v/>
      </c>
      <c r="R91" s="339" t="n">
        <v>45994</v>
      </c>
      <c r="S91" s="338" t="inlineStr">
        <is>
          <t>G459,G932</t>
        </is>
      </c>
      <c r="T91" s="337" t="n"/>
      <c r="U91" s="341" t="n"/>
      <c r="V91" s="337" t="n"/>
      <c r="W91" s="337" t="n"/>
      <c r="X91" s="337" t="n"/>
      <c r="Y91" s="280" t="n"/>
    </row>
    <row r="92" ht="15.75" customHeight="1" s="195">
      <c r="A92" s="301" t="n">
        <v>87</v>
      </c>
      <c r="B92" s="302" t="inlineStr">
        <is>
          <t>00000005</t>
        </is>
      </c>
      <c r="C92" s="301" t="inlineStr">
        <is>
          <t>REGION</t>
        </is>
      </c>
      <c r="D92" s="302" t="inlineStr">
        <is>
          <t>CHICHIPE BARRERA ANTONIO</t>
        </is>
      </c>
      <c r="E92" s="301" t="inlineStr">
        <is>
          <t>DNI</t>
        </is>
      </c>
      <c r="F92" s="301" t="inlineStr">
        <is>
          <t>33805475</t>
        </is>
      </c>
      <c r="G92" s="331" t="n">
        <v>45943</v>
      </c>
      <c r="H92" s="301" t="inlineStr">
        <is>
          <t>4888</t>
        </is>
      </c>
      <c r="I92" s="332">
        <f>IFERROR(VLOOKUP(TEXT(H92,"0"),IPRESS!$A$3:$B$212,2,0),"")</f>
        <v/>
      </c>
      <c r="J92" s="301" t="inlineStr">
        <is>
          <t>4838</t>
        </is>
      </c>
      <c r="K92" s="332">
        <f>IFERROR(VLOOKUP(TEXT(O92,"0"),CONDUCTORES!$A$3:$G$100,7,0),"")</f>
        <v/>
      </c>
      <c r="L92" s="245" t="n">
        <v>18.18</v>
      </c>
      <c r="M92" s="245" t="n">
        <v>10</v>
      </c>
      <c r="N92" s="333">
        <f>IFERROR(IF(L92*M92=0,"",L92*M92),"")</f>
        <v/>
      </c>
      <c r="O92" s="280" t="n"/>
      <c r="P92" s="332">
        <f>IFERROR(VLOOKUP(TEXT(O92,"0"),CONDUCTORES!$A$3:$G$100,2,0),"")</f>
        <v/>
      </c>
      <c r="Q92" s="332">
        <f>IFERROR(VLOOKUP(TEXT(O92,"0"),CONDUCTORES!$A$3:$H$100,6,0),"")</f>
        <v/>
      </c>
      <c r="R92" s="331" t="n">
        <v>45994</v>
      </c>
      <c r="S92" s="302" t="inlineStr">
        <is>
          <t>I10X,J189,R103</t>
        </is>
      </c>
      <c r="T92" s="301" t="inlineStr">
        <is>
          <t>DEVOLUCION EL COMBUSTIBLE A SANTO TOMAS</t>
        </is>
      </c>
      <c r="U92" s="334" t="n"/>
      <c r="V92" s="301" t="n"/>
      <c r="W92" s="301" t="n"/>
      <c r="X92" s="301" t="n"/>
      <c r="Y92" s="280" t="n"/>
    </row>
    <row r="93" ht="15.75" customHeight="1" s="195">
      <c r="A93" s="241" t="n">
        <v>88</v>
      </c>
      <c r="B93" s="305" t="inlineStr">
        <is>
          <t>00000006</t>
        </is>
      </c>
      <c r="C93" s="241" t="inlineStr">
        <is>
          <t>REGION</t>
        </is>
      </c>
      <c r="D93" s="305" t="inlineStr">
        <is>
          <t>MONTENEGRO BRIONES GERMAN</t>
        </is>
      </c>
      <c r="E93" s="241" t="inlineStr">
        <is>
          <t>DNI</t>
        </is>
      </c>
      <c r="F93" s="241" t="inlineStr">
        <is>
          <t>33805495</t>
        </is>
      </c>
      <c r="G93" s="336" t="n">
        <v>45957</v>
      </c>
      <c r="H93" s="241" t="inlineStr">
        <is>
          <t>4888</t>
        </is>
      </c>
      <c r="I93" s="332">
        <f>IFERROR(VLOOKUP(TEXT(H93,"0"),IPRESS!$A$3:$B$212,2,0),"")</f>
        <v/>
      </c>
      <c r="J93" s="241" t="inlineStr">
        <is>
          <t>4838</t>
        </is>
      </c>
      <c r="K93" s="332">
        <f>IFERROR(VLOOKUP(TEXT(O93,"0"),CONDUCTORES!$A$3:$G$100,7,0),"")</f>
        <v/>
      </c>
      <c r="L93" s="239" t="n">
        <v>18.18</v>
      </c>
      <c r="M93" s="239" t="n">
        <v>10</v>
      </c>
      <c r="N93" s="333">
        <f>IFERROR(IF(L93*M93=0,"",L93*M93),"")</f>
        <v/>
      </c>
      <c r="O93" s="334" t="n"/>
      <c r="P93" s="332">
        <f>IFERROR(VLOOKUP(TEXT(O93,"0"),CONDUCTORES!$A$3:$G$100,2,0),"")</f>
        <v/>
      </c>
      <c r="Q93" s="332">
        <f>IFERROR(VLOOKUP(TEXT(O93,"0"),CONDUCTORES!$A$3:$H$100,6,0),"")</f>
        <v/>
      </c>
      <c r="R93" s="336" t="n">
        <v>45994</v>
      </c>
      <c r="S93" s="305" t="inlineStr">
        <is>
          <t>J960,I10X,J45X</t>
        </is>
      </c>
      <c r="T93" s="241" t="inlineStr">
        <is>
          <t>DEVOLUCION EL COMBUSTIBLE A SANTO TOMAS</t>
        </is>
      </c>
      <c r="U93" s="280" t="n"/>
      <c r="V93" s="241" t="n"/>
      <c r="W93" s="241" t="n"/>
      <c r="X93" s="241" t="n"/>
      <c r="Y93" s="280" t="n"/>
    </row>
    <row r="94" ht="15.75" customHeight="1" s="195">
      <c r="A94" s="301" t="n">
        <v>89</v>
      </c>
      <c r="B94" s="302" t="inlineStr">
        <is>
          <t>00000007</t>
        </is>
      </c>
      <c r="C94" s="301" t="inlineStr">
        <is>
          <t>REGION</t>
        </is>
      </c>
      <c r="D94" s="302" t="inlineStr">
        <is>
          <t>OCAMPO REYES SERAPIO</t>
        </is>
      </c>
      <c r="E94" s="301" t="inlineStr">
        <is>
          <t>DNI</t>
        </is>
      </c>
      <c r="F94" s="301" t="inlineStr">
        <is>
          <t>33805454</t>
        </is>
      </c>
      <c r="G94" s="331" t="n">
        <v>45959</v>
      </c>
      <c r="H94" s="301" t="inlineStr">
        <is>
          <t>4888</t>
        </is>
      </c>
      <c r="I94" s="332">
        <f>IFERROR(VLOOKUP(TEXT(H94,"0"),IPRESS!$A$3:$B$212,2,0),"")</f>
        <v/>
      </c>
      <c r="J94" s="301" t="inlineStr">
        <is>
          <t>4838</t>
        </is>
      </c>
      <c r="K94" s="332">
        <f>IFERROR(VLOOKUP(TEXT(O94,"0"),CONDUCTORES!$A$3:$G$100,7,0),"")</f>
        <v/>
      </c>
      <c r="L94" s="245" t="n">
        <v>18.18</v>
      </c>
      <c r="M94" s="245" t="n">
        <v>10</v>
      </c>
      <c r="N94" s="333">
        <f>IFERROR(IF(L94*M94=0,"",L94*M94),"")</f>
        <v/>
      </c>
      <c r="O94" s="280" t="n"/>
      <c r="P94" s="332">
        <f>IFERROR(VLOOKUP(TEXT(O94,"0"),CONDUCTORES!$A$3:$G$100,2,0),"")</f>
        <v/>
      </c>
      <c r="Q94" s="332">
        <f>IFERROR(VLOOKUP(TEXT(O94,"0"),CONDUCTORES!$A$3:$H$100,6,0),"")</f>
        <v/>
      </c>
      <c r="R94" s="331" t="n">
        <v>45994</v>
      </c>
      <c r="S94" s="302" t="inlineStr">
        <is>
          <t>K566,R104</t>
        </is>
      </c>
      <c r="T94" s="301" t="inlineStr">
        <is>
          <t>DEVOLUCION EL COMBUSTIBLE A SANTO TOMAS</t>
        </is>
      </c>
      <c r="U94" s="334" t="n"/>
      <c r="V94" s="301" t="n"/>
      <c r="W94" s="301" t="n"/>
      <c r="X94" s="301" t="n"/>
      <c r="Y94" s="280" t="n"/>
    </row>
    <row r="95" ht="15.75" customHeight="1" s="195">
      <c r="A95" s="241" t="n">
        <v>90</v>
      </c>
      <c r="B95" s="305" t="inlineStr">
        <is>
          <t>00000008</t>
        </is>
      </c>
      <c r="C95" s="241" t="inlineStr">
        <is>
          <t>REGION</t>
        </is>
      </c>
      <c r="D95" s="305" t="inlineStr">
        <is>
          <t>VIGO REYES MIGUEL</t>
        </is>
      </c>
      <c r="E95" s="241" t="inlineStr">
        <is>
          <t>DNI</t>
        </is>
      </c>
      <c r="F95" s="241" t="inlineStr">
        <is>
          <t>48882630</t>
        </is>
      </c>
      <c r="G95" s="336" t="n">
        <v>45960</v>
      </c>
      <c r="H95" s="241" t="inlineStr">
        <is>
          <t>4888</t>
        </is>
      </c>
      <c r="I95" s="332">
        <f>IFERROR(VLOOKUP(TEXT(H95,"0"),IPRESS!$A$3:$B$212,2,0),"")</f>
        <v/>
      </c>
      <c r="J95" s="241" t="inlineStr">
        <is>
          <t>4838</t>
        </is>
      </c>
      <c r="K95" s="332">
        <f>IFERROR(VLOOKUP(TEXT(O95,"0"),CONDUCTORES!$A$3:$G$100,7,0),"")</f>
        <v/>
      </c>
      <c r="L95" s="239" t="n">
        <v>18.18</v>
      </c>
      <c r="M95" s="239" t="n">
        <v>10</v>
      </c>
      <c r="N95" s="333">
        <f>IFERROR(IF(L95*M95=0,"",L95*M95),"")</f>
        <v/>
      </c>
      <c r="O95" s="334" t="n"/>
      <c r="P95" s="332">
        <f>IFERROR(VLOOKUP(TEXT(O95,"0"),CONDUCTORES!$A$3:$G$100,2,0),"")</f>
        <v/>
      </c>
      <c r="Q95" s="332">
        <f>IFERROR(VLOOKUP(TEXT(O95,"0"),CONDUCTORES!$A$3:$H$100,6,0),"")</f>
        <v/>
      </c>
      <c r="R95" s="336" t="n">
        <v>45994</v>
      </c>
      <c r="S95" s="305" t="inlineStr">
        <is>
          <t xml:space="preserve">K566 </t>
        </is>
      </c>
      <c r="T95" s="241" t="inlineStr">
        <is>
          <t>DEVOLUCION EL COMBUSTIBLE A SANTO TOMAS</t>
        </is>
      </c>
      <c r="U95" s="280" t="n"/>
      <c r="V95" s="241" t="n"/>
      <c r="W95" s="241" t="n"/>
      <c r="X95" s="241" t="n"/>
      <c r="Y95" s="280" t="n"/>
    </row>
    <row r="96" ht="15.75" customHeight="1" s="195">
      <c r="A96" s="301" t="n">
        <v>91</v>
      </c>
      <c r="B96" s="302" t="inlineStr">
        <is>
          <t>00000021</t>
        </is>
      </c>
      <c r="C96" s="301" t="inlineStr">
        <is>
          <t>REGION</t>
        </is>
      </c>
      <c r="D96" s="302" t="inlineStr">
        <is>
          <t>AYALA CISNEROS KIMBERLY YADHIRA</t>
        </is>
      </c>
      <c r="E96" s="301" t="inlineStr">
        <is>
          <t>DNI</t>
        </is>
      </c>
      <c r="F96" s="301" t="inlineStr">
        <is>
          <t>60742025</t>
        </is>
      </c>
      <c r="G96" s="331" t="n">
        <v>45939</v>
      </c>
      <c r="H96" s="301" t="inlineStr">
        <is>
          <t>4887</t>
        </is>
      </c>
      <c r="I96" s="332">
        <f>IFERROR(VLOOKUP(TEXT(H96,"0"),IPRESS!$A$3:$B$212,2,0),"")</f>
        <v/>
      </c>
      <c r="J96" s="301" t="inlineStr">
        <is>
          <t>4838</t>
        </is>
      </c>
      <c r="K96" s="332">
        <f>IFERROR(VLOOKUP(TEXT(O96,"0"),CONDUCTORES!$A$3:$G$100,7,0),"")</f>
        <v/>
      </c>
      <c r="L96" s="245" t="n">
        <v>18.18</v>
      </c>
      <c r="M96" s="245" t="n">
        <v>10</v>
      </c>
      <c r="N96" s="333">
        <f>IFERROR(IF(L96*M96=0,"",L96*M96),"")</f>
        <v/>
      </c>
      <c r="O96" s="280" t="n"/>
      <c r="P96" s="332">
        <f>IFERROR(VLOOKUP(TEXT(O96,"0"),CONDUCTORES!$A$3:$G$100,2,0),"")</f>
        <v/>
      </c>
      <c r="Q96" s="332">
        <f>IFERROR(VLOOKUP(TEXT(O96,"0"),CONDUCTORES!$A$3:$H$100,6,0),"")</f>
        <v/>
      </c>
      <c r="R96" s="331" t="n">
        <v>45994</v>
      </c>
      <c r="S96" s="302" t="inlineStr">
        <is>
          <t>O479,O234,Z359</t>
        </is>
      </c>
      <c r="T96" s="301" t="n"/>
      <c r="U96" s="334" t="n"/>
      <c r="V96" s="301" t="n"/>
      <c r="W96" s="301" t="n"/>
      <c r="X96" s="301" t="n"/>
      <c r="Y96" s="280" t="n"/>
    </row>
    <row r="97" ht="15.75" customHeight="1" s="195">
      <c r="A97" s="241" t="n">
        <v>92</v>
      </c>
      <c r="B97" s="305" t="inlineStr">
        <is>
          <t>00000022</t>
        </is>
      </c>
      <c r="C97" s="241" t="inlineStr">
        <is>
          <t>REGION</t>
        </is>
      </c>
      <c r="D97" s="305" t="inlineStr">
        <is>
          <t>TRUJILLO ZAVALETA ANGEL</t>
        </is>
      </c>
      <c r="E97" s="241" t="inlineStr">
        <is>
          <t>DNI</t>
        </is>
      </c>
      <c r="F97" s="241" t="inlineStr">
        <is>
          <t>45367122</t>
        </is>
      </c>
      <c r="G97" s="336" t="n">
        <v>45954</v>
      </c>
      <c r="H97" s="241" t="inlineStr">
        <is>
          <t>4887</t>
        </is>
      </c>
      <c r="I97" s="332">
        <f>IFERROR(VLOOKUP(TEXT(H97,"0"),IPRESS!$A$3:$B$212,2,0),"")</f>
        <v/>
      </c>
      <c r="J97" s="241" t="inlineStr">
        <is>
          <t>4838</t>
        </is>
      </c>
      <c r="K97" s="332">
        <f>IFERROR(VLOOKUP(TEXT(O97,"0"),CONDUCTORES!$A$3:$G$100,7,0),"")</f>
        <v/>
      </c>
      <c r="L97" s="239" t="n">
        <v>18.18</v>
      </c>
      <c r="M97" s="239" t="n">
        <v>6</v>
      </c>
      <c r="N97" s="333">
        <f>IFERROR(IF(L97*M97=0,"",L97*M97),"")</f>
        <v/>
      </c>
      <c r="O97" s="334" t="n"/>
      <c r="P97" s="332">
        <f>IFERROR(VLOOKUP(TEXT(O97,"0"),CONDUCTORES!$A$3:$G$100,2,0),"")</f>
        <v/>
      </c>
      <c r="Q97" s="332">
        <f>IFERROR(VLOOKUP(TEXT(O97,"0"),CONDUCTORES!$A$3:$H$100,6,0),"")</f>
        <v/>
      </c>
      <c r="R97" s="336" t="n">
        <v>45994</v>
      </c>
      <c r="S97" s="305" t="inlineStr">
        <is>
          <t>B690</t>
        </is>
      </c>
      <c r="T97" s="241" t="n"/>
      <c r="U97" s="280" t="n"/>
      <c r="V97" s="241" t="n"/>
      <c r="W97" s="241" t="n"/>
      <c r="X97" s="241" t="n"/>
      <c r="Y97" s="280" t="n"/>
    </row>
    <row r="98" ht="15.75" customHeight="1" s="195">
      <c r="A98" s="301" t="n">
        <v>93</v>
      </c>
      <c r="B98" s="302" t="inlineStr">
        <is>
          <t>00000023</t>
        </is>
      </c>
      <c r="C98" s="301" t="inlineStr">
        <is>
          <t>REGION</t>
        </is>
      </c>
      <c r="D98" s="302" t="inlineStr">
        <is>
          <t>YOPLAC OCAMPO LUIS MIGUEL</t>
        </is>
      </c>
      <c r="E98" s="301" t="inlineStr">
        <is>
          <t>DNI</t>
        </is>
      </c>
      <c r="F98" s="301" t="inlineStr">
        <is>
          <t>91953841</t>
        </is>
      </c>
      <c r="G98" s="331" t="n">
        <v>45957</v>
      </c>
      <c r="H98" s="301" t="inlineStr">
        <is>
          <t>4887</t>
        </is>
      </c>
      <c r="I98" s="332">
        <f>IFERROR(VLOOKUP(TEXT(H98,"0"),IPRESS!$A$3:$B$212,2,0),"")</f>
        <v/>
      </c>
      <c r="J98" s="301" t="inlineStr">
        <is>
          <t>4838</t>
        </is>
      </c>
      <c r="K98" s="332">
        <f>IFERROR(VLOOKUP(TEXT(O98,"0"),CONDUCTORES!$A$3:$G$100,7,0),"")</f>
        <v/>
      </c>
      <c r="L98" s="245" t="n">
        <v>18.18</v>
      </c>
      <c r="M98" s="245" t="n">
        <v>6</v>
      </c>
      <c r="N98" s="333">
        <f>IFERROR(IF(L98*M98=0,"",L98*M98),"")</f>
        <v/>
      </c>
      <c r="O98" s="280" t="n"/>
      <c r="P98" s="332">
        <f>IFERROR(VLOOKUP(TEXT(O98,"0"),CONDUCTORES!$A$3:$G$100,2,0),"")</f>
        <v/>
      </c>
      <c r="Q98" s="332">
        <f>IFERROR(VLOOKUP(TEXT(O98,"0"),CONDUCTORES!$A$3:$H$100,6,0),"")</f>
        <v/>
      </c>
      <c r="R98" s="331" t="n">
        <v>45994</v>
      </c>
      <c r="S98" s="302" t="inlineStr">
        <is>
          <t>S423</t>
        </is>
      </c>
      <c r="T98" s="301" t="n"/>
      <c r="U98" s="334" t="n"/>
      <c r="V98" s="301" t="n"/>
      <c r="W98" s="301" t="n"/>
      <c r="X98" s="301" t="n"/>
      <c r="Y98" s="280" t="n"/>
    </row>
    <row r="99" ht="15.75" customHeight="1" s="195">
      <c r="A99" s="241" t="n">
        <v>94</v>
      </c>
      <c r="B99" s="305" t="inlineStr">
        <is>
          <t>00000044</t>
        </is>
      </c>
      <c r="C99" s="241" t="inlineStr">
        <is>
          <t>REGION</t>
        </is>
      </c>
      <c r="D99" s="305" t="inlineStr">
        <is>
          <t>BOLAÑOS HIDALGO MARIA YLMER</t>
        </is>
      </c>
      <c r="E99" s="241" t="inlineStr">
        <is>
          <t>DNI</t>
        </is>
      </c>
      <c r="F99" s="241" t="inlineStr">
        <is>
          <t>49036779</t>
        </is>
      </c>
      <c r="G99" s="280" t="inlineStr">
        <is>
          <t>03/10/0205</t>
        </is>
      </c>
      <c r="H99" s="241" t="inlineStr">
        <is>
          <t>4903</t>
        </is>
      </c>
      <c r="I99" s="332">
        <f>IFERROR(VLOOKUP(TEXT(H99,"0"),IPRESS!$A$3:$B$212,2,0),"")</f>
        <v/>
      </c>
      <c r="J99" s="241" t="inlineStr">
        <is>
          <t>4838</t>
        </is>
      </c>
      <c r="K99" s="332">
        <f>IFERROR(VLOOKUP(TEXT(O99,"0"),CONDUCTORES!$A$3:$G$100,7,0),"")</f>
        <v/>
      </c>
      <c r="L99" s="239" t="n">
        <v>18.18</v>
      </c>
      <c r="M99" s="239" t="n">
        <v>5</v>
      </c>
      <c r="N99" s="333">
        <f>IFERROR(IF(L99*M99=0,"",L99*M99),"")</f>
        <v/>
      </c>
      <c r="O99" s="334" t="n"/>
      <c r="P99" s="332">
        <f>IFERROR(VLOOKUP(TEXT(O99,"0"),CONDUCTORES!$A$3:$G$100,2,0),"")</f>
        <v/>
      </c>
      <c r="Q99" s="332">
        <f>IFERROR(VLOOKUP(TEXT(O99,"0"),CONDUCTORES!$A$3:$H$100,6,0),"")</f>
        <v/>
      </c>
      <c r="R99" s="336" t="n">
        <v>45994</v>
      </c>
      <c r="S99" s="305" t="inlineStr">
        <is>
          <t>J180,A419</t>
        </is>
      </c>
      <c r="T99" s="241" t="n"/>
      <c r="U99" s="280" t="n"/>
      <c r="V99" s="241" t="n"/>
      <c r="W99" s="241" t="n"/>
      <c r="X99" s="241" t="n"/>
      <c r="Y99" s="280" t="n"/>
    </row>
    <row r="100" ht="15.75" customHeight="1" s="195">
      <c r="A100" s="301" t="n">
        <v>95</v>
      </c>
      <c r="B100" s="302" t="inlineStr">
        <is>
          <t>00000045</t>
        </is>
      </c>
      <c r="C100" s="301" t="inlineStr">
        <is>
          <t>REGION</t>
        </is>
      </c>
      <c r="D100" s="302" t="inlineStr">
        <is>
          <t>AMASIFUEN AREVALO LESLY</t>
        </is>
      </c>
      <c r="E100" s="301" t="inlineStr">
        <is>
          <t>DNI</t>
        </is>
      </c>
      <c r="F100" s="301" t="inlineStr">
        <is>
          <t>75316236</t>
        </is>
      </c>
      <c r="G100" s="331" t="n">
        <v>45939</v>
      </c>
      <c r="H100" s="301" t="inlineStr">
        <is>
          <t>4903</t>
        </is>
      </c>
      <c r="I100" s="332">
        <f>IFERROR(VLOOKUP(TEXT(H100,"0"),IPRESS!$A$3:$B$212,2,0),"")</f>
        <v/>
      </c>
      <c r="J100" s="301" t="inlineStr">
        <is>
          <t>4838</t>
        </is>
      </c>
      <c r="K100" s="332">
        <f>IFERROR(VLOOKUP(TEXT(O100,"0"),CONDUCTORES!$A$3:$G$100,7,0),"")</f>
        <v/>
      </c>
      <c r="L100" s="245" t="n">
        <v>18.18</v>
      </c>
      <c r="M100" s="245" t="n">
        <v>5</v>
      </c>
      <c r="N100" s="333">
        <f>IFERROR(IF(L100*M100=0,"",L100*M100),"")</f>
        <v/>
      </c>
      <c r="O100" s="280" t="n"/>
      <c r="P100" s="332">
        <f>IFERROR(VLOOKUP(TEXT(O100,"0"),CONDUCTORES!$A$3:$G$100,2,0),"")</f>
        <v/>
      </c>
      <c r="Q100" s="332">
        <f>IFERROR(VLOOKUP(TEXT(O100,"0"),CONDUCTORES!$A$3:$H$100,6,0),"")</f>
        <v/>
      </c>
      <c r="R100" s="331" t="n">
        <v>45994</v>
      </c>
      <c r="S100" s="302" t="inlineStr">
        <is>
          <t>O701,O623</t>
        </is>
      </c>
      <c r="T100" s="301" t="n"/>
      <c r="U100" s="334" t="n"/>
      <c r="V100" s="301" t="n"/>
      <c r="W100" s="301" t="n"/>
      <c r="X100" s="301" t="n"/>
      <c r="Y100" s="280" t="n"/>
    </row>
    <row r="101" ht="15.75" customHeight="1" s="195">
      <c r="A101" s="241" t="n">
        <v>96</v>
      </c>
      <c r="B101" s="305" t="inlineStr">
        <is>
          <t>00000046</t>
        </is>
      </c>
      <c r="C101" s="241" t="inlineStr">
        <is>
          <t>REGION</t>
        </is>
      </c>
      <c r="D101" s="305" t="inlineStr">
        <is>
          <t>CASTILLO TOCTO JUAN FRANCISCO</t>
        </is>
      </c>
      <c r="E101" s="241" t="inlineStr">
        <is>
          <t>DNI</t>
        </is>
      </c>
      <c r="F101" s="241" t="inlineStr">
        <is>
          <t>33816025</t>
        </is>
      </c>
      <c r="G101" s="336" t="n">
        <v>45941</v>
      </c>
      <c r="H101" s="241" t="inlineStr">
        <is>
          <t>4903</t>
        </is>
      </c>
      <c r="I101" s="332">
        <f>IFERROR(VLOOKUP(TEXT(H101,"0"),IPRESS!$A$3:$B$212,2,0),"")</f>
        <v/>
      </c>
      <c r="J101" s="241" t="inlineStr">
        <is>
          <t>4838</t>
        </is>
      </c>
      <c r="K101" s="332">
        <f>IFERROR(VLOOKUP(TEXT(O101,"0"),CONDUCTORES!$A$3:$G$100,7,0),"")</f>
        <v/>
      </c>
      <c r="L101" s="239" t="n">
        <v>18.18</v>
      </c>
      <c r="M101" s="239" t="n">
        <v>5</v>
      </c>
      <c r="N101" s="333">
        <f>IFERROR(IF(L101*M101=0,"",L101*M101),"")</f>
        <v/>
      </c>
      <c r="O101" s="334" t="n"/>
      <c r="P101" s="332">
        <f>IFERROR(VLOOKUP(TEXT(O101,"0"),CONDUCTORES!$A$3:$G$100,2,0),"")</f>
        <v/>
      </c>
      <c r="Q101" s="332">
        <f>IFERROR(VLOOKUP(TEXT(O101,"0"),CONDUCTORES!$A$3:$H$100,6,0),"")</f>
        <v/>
      </c>
      <c r="R101" s="336" t="n">
        <v>45994</v>
      </c>
      <c r="S101" s="305" t="inlineStr">
        <is>
          <t>G934,J841</t>
        </is>
      </c>
      <c r="T101" s="241" t="n"/>
      <c r="U101" s="280" t="n"/>
      <c r="V101" s="241" t="n"/>
      <c r="W101" s="241" t="n"/>
      <c r="X101" s="241" t="n"/>
      <c r="Y101" s="280" t="n"/>
    </row>
    <row r="102" ht="15.75" customHeight="1" s="195">
      <c r="A102" s="301" t="n">
        <v>97</v>
      </c>
      <c r="B102" s="302" t="inlineStr">
        <is>
          <t>00000047</t>
        </is>
      </c>
      <c r="C102" s="301" t="inlineStr">
        <is>
          <t>REGION</t>
        </is>
      </c>
      <c r="D102" s="302" t="inlineStr">
        <is>
          <t>SALAZAR BUSTAMANTE TAMAR</t>
        </is>
      </c>
      <c r="E102" s="301" t="inlineStr">
        <is>
          <t>DNI</t>
        </is>
      </c>
      <c r="F102" s="301" t="inlineStr">
        <is>
          <t>72923347</t>
        </is>
      </c>
      <c r="G102" s="331" t="n">
        <v>45944</v>
      </c>
      <c r="H102" s="301" t="inlineStr">
        <is>
          <t>4903</t>
        </is>
      </c>
      <c r="I102" s="332">
        <f>IFERROR(VLOOKUP(TEXT(H102,"0"),IPRESS!$A$3:$B$212,2,0),"")</f>
        <v/>
      </c>
      <c r="J102" s="301" t="inlineStr">
        <is>
          <t>4838</t>
        </is>
      </c>
      <c r="K102" s="332">
        <f>IFERROR(VLOOKUP(TEXT(O102,"0"),CONDUCTORES!$A$3:$G$100,7,0),"")</f>
        <v/>
      </c>
      <c r="L102" s="245" t="n">
        <v>18.18</v>
      </c>
      <c r="M102" s="245" t="n">
        <v>5</v>
      </c>
      <c r="N102" s="333">
        <f>IFERROR(IF(L102*M102=0,"",L102*M102),"")</f>
        <v/>
      </c>
      <c r="O102" s="280" t="n"/>
      <c r="P102" s="332">
        <f>IFERROR(VLOOKUP(TEXT(O102,"0"),CONDUCTORES!$A$3:$G$100,2,0),"")</f>
        <v/>
      </c>
      <c r="Q102" s="332">
        <f>IFERROR(VLOOKUP(TEXT(O102,"0"),CONDUCTORES!$A$3:$H$100,6,0),"")</f>
        <v/>
      </c>
      <c r="R102" s="331" t="n">
        <v>45994</v>
      </c>
      <c r="S102" s="302" t="inlineStr">
        <is>
          <t>R10,K353</t>
        </is>
      </c>
      <c r="T102" s="301" t="n"/>
      <c r="U102" s="334" t="n"/>
      <c r="V102" s="301" t="n"/>
      <c r="W102" s="301" t="n"/>
      <c r="X102" s="301" t="n"/>
      <c r="Y102" s="280" t="n"/>
    </row>
    <row r="103" ht="15.75" customHeight="1" s="195">
      <c r="A103" s="241" t="n">
        <v>98</v>
      </c>
      <c r="B103" s="305" t="inlineStr">
        <is>
          <t>00000048</t>
        </is>
      </c>
      <c r="C103" s="241" t="inlineStr">
        <is>
          <t>REGION</t>
        </is>
      </c>
      <c r="D103" s="305" t="inlineStr">
        <is>
          <t>PEREZ HIDALGO FABRICIO MATHIAS</t>
        </is>
      </c>
      <c r="E103" s="241" t="inlineStr">
        <is>
          <t>DNI</t>
        </is>
      </c>
      <c r="F103" s="241" t="inlineStr">
        <is>
          <t>78995329</t>
        </is>
      </c>
      <c r="G103" s="336" t="n">
        <v>45946</v>
      </c>
      <c r="H103" s="241" t="inlineStr">
        <is>
          <t>4903</t>
        </is>
      </c>
      <c r="I103" s="332">
        <f>IFERROR(VLOOKUP(TEXT(H103,"0"),IPRESS!$A$3:$B$212,2,0),"")</f>
        <v/>
      </c>
      <c r="J103" s="241" t="inlineStr">
        <is>
          <t>4838</t>
        </is>
      </c>
      <c r="K103" s="332">
        <f>IFERROR(VLOOKUP(TEXT(O103,"0"),CONDUCTORES!$A$3:$G$100,7,0),"")</f>
        <v/>
      </c>
      <c r="L103" s="239" t="n">
        <v>18.18</v>
      </c>
      <c r="M103" s="239" t="n">
        <v>5</v>
      </c>
      <c r="N103" s="333">
        <f>IFERROR(IF(L103*M103=0,"",L103*M103),"")</f>
        <v/>
      </c>
      <c r="O103" s="334" t="n"/>
      <c r="P103" s="332">
        <f>IFERROR(VLOOKUP(TEXT(O103,"0"),CONDUCTORES!$A$3:$G$100,2,0),"")</f>
        <v/>
      </c>
      <c r="Q103" s="332">
        <f>IFERROR(VLOOKUP(TEXT(O103,"0"),CONDUCTORES!$A$3:$H$100,6,0),"")</f>
        <v/>
      </c>
      <c r="R103" s="336" t="n">
        <v>45994</v>
      </c>
      <c r="S103" s="305" t="inlineStr">
        <is>
          <t>E86,A09</t>
        </is>
      </c>
      <c r="T103" s="241" t="n"/>
      <c r="U103" s="280" t="n"/>
      <c r="V103" s="241" t="n"/>
      <c r="W103" s="241" t="n"/>
      <c r="X103" s="241" t="n"/>
      <c r="Y103" s="280" t="n"/>
    </row>
    <row r="104" ht="15.75" customHeight="1" s="195">
      <c r="A104" s="301" t="n">
        <v>99</v>
      </c>
      <c r="B104" s="302" t="inlineStr">
        <is>
          <t>00000005</t>
        </is>
      </c>
      <c r="C104" s="301" t="inlineStr">
        <is>
          <t>REGION</t>
        </is>
      </c>
      <c r="D104" s="302" t="inlineStr">
        <is>
          <t>CULQUI ARCE VERLUIS</t>
        </is>
      </c>
      <c r="E104" s="301" t="inlineStr">
        <is>
          <t>DNI</t>
        </is>
      </c>
      <c r="F104" s="301" t="inlineStr">
        <is>
          <t>43103301</t>
        </is>
      </c>
      <c r="G104" s="331" t="n">
        <v>45934</v>
      </c>
      <c r="H104" s="301" t="inlineStr">
        <is>
          <t>4938</t>
        </is>
      </c>
      <c r="I104" s="332">
        <f>IFERROR(VLOOKUP(TEXT(H104,"0"),IPRESS!$A$3:$B$212,2,0),"")</f>
        <v/>
      </c>
      <c r="J104" s="301" t="inlineStr">
        <is>
          <t>4932</t>
        </is>
      </c>
      <c r="K104" s="332">
        <f>IFERROR(VLOOKUP(TEXT(O104,"0"),CONDUCTORES!$A$3:$G$100,7,0),"")</f>
        <v/>
      </c>
      <c r="L104" s="245" t="n">
        <v>18.18</v>
      </c>
      <c r="M104" s="245" t="n">
        <v>4</v>
      </c>
      <c r="N104" s="333">
        <f>IFERROR(IF(L104*M104=0,"",L104*M104),"")</f>
        <v/>
      </c>
      <c r="O104" s="280" t="n"/>
      <c r="P104" s="332">
        <f>IFERROR(VLOOKUP(TEXT(O104,"0"),CONDUCTORES!$A$3:$G$100,2,0),"")</f>
        <v/>
      </c>
      <c r="Q104" s="332">
        <f>IFERROR(VLOOKUP(TEXT(O104,"0"),CONDUCTORES!$A$3:$H$100,6,0),"")</f>
        <v/>
      </c>
      <c r="R104" s="334" t="n"/>
      <c r="S104" s="302" t="inlineStr">
        <is>
          <t>S912</t>
        </is>
      </c>
      <c r="T104" s="301" t="n"/>
      <c r="U104" s="334" t="n"/>
      <c r="V104" s="301" t="n"/>
      <c r="W104" s="301" t="n"/>
      <c r="X104" s="301" t="n"/>
      <c r="Y104" s="280" t="n"/>
    </row>
    <row r="105" ht="15.75" customHeight="1" s="195">
      <c r="A105" s="241" t="n">
        <v>100</v>
      </c>
      <c r="B105" s="305" t="inlineStr">
        <is>
          <t>00000006</t>
        </is>
      </c>
      <c r="C105" s="241" t="inlineStr">
        <is>
          <t>REGION</t>
        </is>
      </c>
      <c r="D105" s="305" t="inlineStr">
        <is>
          <t>AGUILAR DIAZ MARIO</t>
        </is>
      </c>
      <c r="E105" s="241" t="inlineStr">
        <is>
          <t>DNI</t>
        </is>
      </c>
      <c r="F105" s="241" t="inlineStr">
        <is>
          <t>48467648</t>
        </is>
      </c>
      <c r="G105" s="336" t="n">
        <v>45948</v>
      </c>
      <c r="H105" s="241" t="inlineStr">
        <is>
          <t>4938</t>
        </is>
      </c>
      <c r="I105" s="332">
        <f>IFERROR(VLOOKUP(TEXT(H105,"0"),IPRESS!$A$3:$B$212,2,0),"")</f>
        <v/>
      </c>
      <c r="J105" s="241" t="inlineStr">
        <is>
          <t>4932</t>
        </is>
      </c>
      <c r="K105" s="332">
        <f>IFERROR(VLOOKUP(TEXT(O105,"0"),CONDUCTORES!$A$3:$G$100,7,0),"")</f>
        <v/>
      </c>
      <c r="L105" s="239" t="n">
        <v>18.18</v>
      </c>
      <c r="M105" s="239" t="n">
        <v>4</v>
      </c>
      <c r="N105" s="333">
        <f>IFERROR(IF(L105*M105=0,"",L105*M105),"")</f>
        <v/>
      </c>
      <c r="O105" s="334" t="n"/>
      <c r="P105" s="332">
        <f>IFERROR(VLOOKUP(TEXT(O105,"0"),CONDUCTORES!$A$3:$G$100,2,0),"")</f>
        <v/>
      </c>
      <c r="Q105" s="332">
        <f>IFERROR(VLOOKUP(TEXT(O105,"0"),CONDUCTORES!$A$3:$H$100,6,0),"")</f>
        <v/>
      </c>
      <c r="R105" s="280" t="n"/>
      <c r="S105" s="305" t="inlineStr">
        <is>
          <t>R104</t>
        </is>
      </c>
      <c r="T105" s="241" t="n"/>
      <c r="U105" s="280" t="n"/>
      <c r="V105" s="241" t="n"/>
      <c r="W105" s="241" t="n"/>
      <c r="X105" s="241" t="n"/>
      <c r="Y105" s="280" t="n"/>
    </row>
    <row r="106" ht="15.75" customHeight="1" s="195">
      <c r="A106" s="301" t="n">
        <v>101</v>
      </c>
      <c r="B106" s="302" t="inlineStr">
        <is>
          <t>00000007</t>
        </is>
      </c>
      <c r="C106" s="301" t="inlineStr">
        <is>
          <t>REGION</t>
        </is>
      </c>
      <c r="D106" s="302" t="inlineStr">
        <is>
          <t>CIEZA TONGO ELIZABETH</t>
        </is>
      </c>
      <c r="E106" s="301" t="inlineStr">
        <is>
          <t>DNI</t>
        </is>
      </c>
      <c r="F106" s="301" t="inlineStr">
        <is>
          <t>77096270</t>
        </is>
      </c>
      <c r="G106" s="331" t="n">
        <v>45950</v>
      </c>
      <c r="H106" s="301" t="inlineStr">
        <is>
          <t>4938</t>
        </is>
      </c>
      <c r="I106" s="332">
        <f>IFERROR(VLOOKUP(TEXT(H106,"0"),IPRESS!$A$3:$B$212,2,0),"")</f>
        <v/>
      </c>
      <c r="J106" s="301" t="inlineStr">
        <is>
          <t>4932</t>
        </is>
      </c>
      <c r="K106" s="332">
        <f>IFERROR(VLOOKUP(TEXT(O106,"0"),CONDUCTORES!$A$3:$G$100,7,0),"")</f>
        <v/>
      </c>
      <c r="L106" s="245" t="n">
        <v>18.18</v>
      </c>
      <c r="M106" s="245" t="n">
        <v>5</v>
      </c>
      <c r="N106" s="333">
        <f>IFERROR(IF(L106*M106=0,"",L106*M106),"")</f>
        <v/>
      </c>
      <c r="O106" s="280" t="n"/>
      <c r="P106" s="332">
        <f>IFERROR(VLOOKUP(TEXT(O106,"0"),CONDUCTORES!$A$3:$G$100,2,0),"")</f>
        <v/>
      </c>
      <c r="Q106" s="332">
        <f>IFERROR(VLOOKUP(TEXT(O106,"0"),CONDUCTORES!$A$3:$H$100,6,0),"")</f>
        <v/>
      </c>
      <c r="R106" s="334" t="n"/>
      <c r="S106" s="302" t="inlineStr">
        <is>
          <t>Z349</t>
        </is>
      </c>
      <c r="T106" s="301" t="n"/>
      <c r="U106" s="334" t="n"/>
      <c r="V106" s="301" t="n"/>
      <c r="W106" s="301" t="n"/>
      <c r="X106" s="301" t="n"/>
      <c r="Y106" s="280" t="n"/>
    </row>
    <row r="107" ht="15.75" customHeight="1" s="195">
      <c r="A107" s="241" t="n">
        <v>102</v>
      </c>
      <c r="B107" s="305" t="inlineStr">
        <is>
          <t>00000008</t>
        </is>
      </c>
      <c r="C107" s="241" t="inlineStr">
        <is>
          <t>REGION</t>
        </is>
      </c>
      <c r="D107" s="305" t="inlineStr">
        <is>
          <t>REGALADO MEGO MARYUDITH</t>
        </is>
      </c>
      <c r="E107" s="241" t="inlineStr">
        <is>
          <t>DNI</t>
        </is>
      </c>
      <c r="F107" s="241" t="inlineStr">
        <is>
          <t>78803405</t>
        </is>
      </c>
      <c r="G107" s="336" t="n">
        <v>45961</v>
      </c>
      <c r="H107" s="241" t="inlineStr">
        <is>
          <t>4938</t>
        </is>
      </c>
      <c r="I107" s="332">
        <f>IFERROR(VLOOKUP(TEXT(H107,"0"),IPRESS!$A$3:$B$212,2,0),"")</f>
        <v/>
      </c>
      <c r="J107" s="241" t="inlineStr">
        <is>
          <t>4932</t>
        </is>
      </c>
      <c r="K107" s="332">
        <f>IFERROR(VLOOKUP(TEXT(O107,"0"),CONDUCTORES!$A$3:$G$100,7,0),"")</f>
        <v/>
      </c>
      <c r="L107" s="239" t="n">
        <v>18.18</v>
      </c>
      <c r="M107" s="239" t="n">
        <v>4</v>
      </c>
      <c r="N107" s="333">
        <f>IFERROR(IF(L107*M107=0,"",L107*M107),"")</f>
        <v/>
      </c>
      <c r="O107" s="334" t="n"/>
      <c r="P107" s="332">
        <f>IFERROR(VLOOKUP(TEXT(O107,"0"),CONDUCTORES!$A$3:$G$100,2,0),"")</f>
        <v/>
      </c>
      <c r="Q107" s="332">
        <f>IFERROR(VLOOKUP(TEXT(O107,"0"),CONDUCTORES!$A$3:$H$100,6,0),"")</f>
        <v/>
      </c>
      <c r="R107" s="280" t="n"/>
      <c r="S107" s="305" t="inlineStr">
        <is>
          <t>Z359</t>
        </is>
      </c>
      <c r="T107" s="241" t="n"/>
      <c r="U107" s="280" t="n"/>
      <c r="V107" s="241" t="n"/>
      <c r="W107" s="241" t="n"/>
      <c r="X107" s="241" t="n"/>
      <c r="Y107" s="280" t="n"/>
    </row>
    <row r="108" ht="15.75" customHeight="1" s="195">
      <c r="A108" s="301" t="n">
        <v>103</v>
      </c>
      <c r="B108" s="302" t="inlineStr">
        <is>
          <t>00000004</t>
        </is>
      </c>
      <c r="C108" s="301" t="inlineStr">
        <is>
          <t>REGION</t>
        </is>
      </c>
      <c r="D108" s="302" t="inlineStr">
        <is>
          <t>HIDALGO CHUQUIMBALQUI PATRICIA</t>
        </is>
      </c>
      <c r="E108" s="301" t="inlineStr">
        <is>
          <t>DNI</t>
        </is>
      </c>
      <c r="F108" s="301" t="inlineStr">
        <is>
          <t>61559341</t>
        </is>
      </c>
      <c r="G108" s="331" t="n">
        <v>45957</v>
      </c>
      <c r="H108" s="301" t="inlineStr">
        <is>
          <t>7060</t>
        </is>
      </c>
      <c r="I108" s="332">
        <f>IFERROR(VLOOKUP(TEXT(H108,"0"),IPRESS!$A$3:$B$212,2,0),"")</f>
        <v/>
      </c>
      <c r="J108" s="301" t="inlineStr">
        <is>
          <t>4838</t>
        </is>
      </c>
      <c r="K108" s="332">
        <f>IFERROR(VLOOKUP(TEXT(O108,"0"),CONDUCTORES!$A$3:$G$100,7,0),"")</f>
        <v/>
      </c>
      <c r="L108" s="245" t="n">
        <v>18.18</v>
      </c>
      <c r="M108" s="245" t="n">
        <v>20</v>
      </c>
      <c r="N108" s="333">
        <f>IFERROR(IF(L108*M108=0,"",L108*M108),"")</f>
        <v/>
      </c>
      <c r="O108" s="280" t="n"/>
      <c r="P108" s="332">
        <f>IFERROR(VLOOKUP(TEXT(O108,"0"),CONDUCTORES!$A$3:$G$100,2,0),"")</f>
        <v/>
      </c>
      <c r="Q108" s="332">
        <f>IFERROR(VLOOKUP(TEXT(O108,"0"),CONDUCTORES!$A$3:$H$100,6,0),"")</f>
        <v/>
      </c>
      <c r="R108" s="334" t="n"/>
      <c r="S108" s="302" t="inlineStr">
        <is>
          <t>O60X</t>
        </is>
      </c>
      <c r="T108" s="301" t="inlineStr">
        <is>
          <t>DEVOLVER AL C.S. COLLONCE</t>
        </is>
      </c>
      <c r="U108" s="334" t="n"/>
      <c r="V108" s="301" t="n"/>
      <c r="W108" s="301" t="n"/>
      <c r="X108" s="301" t="n"/>
      <c r="Y108" s="280" t="n"/>
    </row>
    <row r="109" ht="15.75" customHeight="1" s="195">
      <c r="A109" s="337" t="n">
        <v>104</v>
      </c>
      <c r="B109" s="338" t="inlineStr">
        <is>
          <t>00000009</t>
        </is>
      </c>
      <c r="C109" s="337" t="inlineStr">
        <is>
          <t>REGION</t>
        </is>
      </c>
      <c r="D109" s="338" t="inlineStr">
        <is>
          <t>SILVA RODRIGUEZ MARCELA</t>
        </is>
      </c>
      <c r="E109" s="337" t="inlineStr">
        <is>
          <t>DNI</t>
        </is>
      </c>
      <c r="F109" s="337" t="inlineStr">
        <is>
          <t>46365853</t>
        </is>
      </c>
      <c r="G109" s="339" t="n">
        <v>45960</v>
      </c>
      <c r="H109" s="337" t="inlineStr">
        <is>
          <t>4899</t>
        </is>
      </c>
      <c r="I109" s="332">
        <f>IFERROR(VLOOKUP(TEXT(H109,"0"),IPRESS!$A$3:$B$212,2,0),"")</f>
        <v/>
      </c>
      <c r="J109" s="337" t="inlineStr">
        <is>
          <t>4838</t>
        </is>
      </c>
      <c r="K109" s="332">
        <f>IFERROR(VLOOKUP(TEXT(O109,"0"),CONDUCTORES!$A$3:$G$100,7,0),"")</f>
        <v/>
      </c>
      <c r="L109" s="340" t="n">
        <v>17.95</v>
      </c>
      <c r="M109" s="340" t="n">
        <v>30</v>
      </c>
      <c r="N109" s="333">
        <f>IFERROR(IF(L109*M109=0,"",L109*M109),"")</f>
        <v/>
      </c>
      <c r="O109" s="334" t="n"/>
      <c r="P109" s="332">
        <f>IFERROR(VLOOKUP(TEXT(O109,"0"),CONDUCTORES!$A$3:$G$100,2,0),"")</f>
        <v/>
      </c>
      <c r="Q109" s="332">
        <f>IFERROR(VLOOKUP(TEXT(O109,"0"),CONDUCTORES!$A$3:$H$100,6,0),"")</f>
        <v/>
      </c>
      <c r="R109" s="341" t="n"/>
      <c r="S109" s="338" t="inlineStr">
        <is>
          <t>Z359</t>
        </is>
      </c>
      <c r="T109" s="337" t="inlineStr">
        <is>
          <t>DEVOLVER AL C.S. COCABAMBA</t>
        </is>
      </c>
      <c r="U109" s="341" t="n"/>
      <c r="V109" s="337" t="n"/>
      <c r="W109" s="337" t="n"/>
      <c r="X109" s="337" t="n"/>
      <c r="Y109" s="280" t="n"/>
    </row>
    <row r="110" ht="15" customHeight="1" s="195">
      <c r="A110" s="280" t="n"/>
      <c r="B110" s="280" t="n"/>
      <c r="C110" s="280" t="n"/>
      <c r="D110" s="280" t="n"/>
      <c r="E110" s="280" t="n"/>
      <c r="F110" s="280" t="n"/>
      <c r="G110" s="280" t="n"/>
      <c r="H110" s="280" t="n"/>
      <c r="I110" s="332">
        <f>IFERROR(VLOOKUP(TEXT(H110,"0"),IPRESS!$A$3:$B$212,2,0),"")</f>
        <v/>
      </c>
      <c r="J110" s="280" t="n"/>
      <c r="K110" s="332">
        <f>IFERROR(VLOOKUP(TEXT(O110,"0"),CONDUCTORES!$A$3:$G$54,7,0),"")</f>
        <v/>
      </c>
      <c r="L110" s="280" t="n"/>
      <c r="M110" s="280" t="n"/>
      <c r="N110" s="333">
        <f>IFERROR(IF(L110*M110=0,"",L110*M110),"")</f>
        <v/>
      </c>
      <c r="O110" s="280" t="n"/>
      <c r="P110" s="332">
        <f>IFERROR(VLOOKUP(TEXT(O110,"0"),CONDUCTORES!$A$3:$G$54,2,0),"")</f>
        <v/>
      </c>
      <c r="Q110" s="332">
        <f>IFERROR(VLOOKUP(TEXT(O110,"0"),CONDUCTORES!$A$3:$H$54,6,0),"")</f>
        <v/>
      </c>
      <c r="R110" s="280" t="n"/>
      <c r="S110" s="280" t="n"/>
      <c r="T110" s="280" t="n"/>
      <c r="U110" s="280" t="n"/>
      <c r="V110" s="280" t="n"/>
      <c r="W110" s="280" t="n"/>
      <c r="X110" s="280" t="n"/>
      <c r="Y110" s="280" t="n"/>
    </row>
    <row r="111" ht="24" customHeight="1" s="195">
      <c r="A111" s="342" t="inlineStr">
        <is>
          <t>SUBTOTAL (cambia al filtrar por EESS) →</t>
        </is>
      </c>
      <c r="K111" s="343" t="n"/>
      <c r="L111" s="280" t="n"/>
      <c r="M111" s="344">
        <f>SUBTOTAL(9,M4:M109)</f>
        <v/>
      </c>
      <c r="N111" s="344">
        <f>SUBTOTAL(9,N4:N109)</f>
        <v/>
      </c>
      <c r="O111" s="280" t="n"/>
      <c r="P111" s="332">
        <f>IFERROR(VLOOKUP(TEXT(O111,"0"),CONDUCTORES!$A$3:$G$100,2,0),"")</f>
        <v/>
      </c>
      <c r="Q111" s="332">
        <f>IFERROR(VLOOKUP(TEXT(O111,"0"),CONDUCTORES!$A$3:$H$100,6,0),"")</f>
        <v/>
      </c>
      <c r="R111" s="280" t="n"/>
      <c r="S111" s="280" t="n"/>
      <c r="T111" s="280" t="n"/>
      <c r="U111" s="280" t="n"/>
      <c r="V111" s="280" t="n"/>
      <c r="W111" s="280" t="n"/>
      <c r="X111" s="280" t="n"/>
      <c r="Y111" s="280" t="n"/>
    </row>
    <row r="112" ht="15" customHeight="1" s="195">
      <c r="A112" s="280" t="n"/>
      <c r="B112" s="280" t="n"/>
      <c r="C112" s="280" t="n"/>
      <c r="D112" s="280" t="n"/>
      <c r="E112" s="280" t="n"/>
      <c r="F112" s="280" t="n"/>
      <c r="G112" s="280" t="n"/>
      <c r="H112" s="280" t="n"/>
      <c r="I112" s="343" t="n"/>
      <c r="J112" s="280" t="n"/>
      <c r="K112" s="343" t="n"/>
      <c r="L112" s="280" t="n"/>
      <c r="M112" s="280" t="n"/>
      <c r="N112" s="345" t="n"/>
      <c r="O112" s="280" t="n"/>
      <c r="P112" s="343" t="n"/>
      <c r="Q112" s="343" t="n"/>
      <c r="R112" s="280" t="n"/>
      <c r="S112" s="280" t="n"/>
      <c r="T112" s="280" t="n"/>
      <c r="U112" s="280" t="n"/>
      <c r="V112" s="280" t="n"/>
      <c r="W112" s="280" t="n"/>
      <c r="X112" s="280" t="n"/>
      <c r="Y112" s="280" t="n"/>
    </row>
    <row r="113" ht="15" customHeight="1" s="195">
      <c r="A113" s="334" t="n"/>
      <c r="B113" s="334" t="n"/>
      <c r="C113" s="334" t="n"/>
      <c r="D113" s="334" t="n"/>
      <c r="E113" s="334" t="n"/>
      <c r="F113" s="334" t="n"/>
      <c r="G113" s="334" t="n"/>
      <c r="H113" s="334" t="n"/>
      <c r="I113" s="343" t="n"/>
      <c r="J113" s="334" t="n"/>
      <c r="K113" s="343" t="n"/>
      <c r="L113" s="334" t="n"/>
      <c r="M113" s="334" t="n"/>
      <c r="N113" s="345" t="n"/>
      <c r="O113" s="334" t="n"/>
      <c r="P113" s="343" t="n"/>
      <c r="Q113" s="343" t="n"/>
      <c r="R113" s="334" t="n"/>
      <c r="S113" s="334" t="n"/>
      <c r="T113" s="334" t="n"/>
      <c r="U113" s="334" t="n"/>
      <c r="V113" s="334" t="n"/>
      <c r="W113" s="334" t="n"/>
      <c r="X113" s="334" t="n"/>
      <c r="Y113" s="334" t="n"/>
    </row>
    <row r="114" ht="15" customHeight="1" s="195">
      <c r="A114" s="280" t="n"/>
      <c r="B114" s="280" t="n"/>
      <c r="C114" s="280" t="n"/>
      <c r="D114" s="280" t="n"/>
      <c r="E114" s="280" t="n"/>
      <c r="F114" s="280" t="n"/>
      <c r="G114" s="280" t="n"/>
      <c r="H114" s="280" t="n"/>
      <c r="I114" s="343" t="n"/>
      <c r="J114" s="280" t="n"/>
      <c r="K114" s="343" t="n"/>
      <c r="L114" s="280" t="n"/>
      <c r="M114" s="280" t="n"/>
      <c r="N114" s="345" t="n"/>
      <c r="O114" s="280" t="n"/>
      <c r="P114" s="343" t="n"/>
      <c r="Q114" s="343" t="n"/>
      <c r="R114" s="280" t="n"/>
      <c r="S114" s="280" t="n"/>
      <c r="T114" s="280" t="n"/>
      <c r="U114" s="280" t="n"/>
      <c r="V114" s="280" t="n"/>
      <c r="W114" s="280" t="n"/>
      <c r="X114" s="280" t="n"/>
      <c r="Y114" s="280" t="n"/>
    </row>
    <row r="115" ht="15" customHeight="1" s="195">
      <c r="A115" s="334" t="n"/>
      <c r="B115" s="334" t="n"/>
      <c r="C115" s="334" t="n"/>
      <c r="D115" s="334" t="n"/>
      <c r="E115" s="334" t="n"/>
      <c r="F115" s="334" t="n"/>
      <c r="G115" s="334" t="n"/>
      <c r="H115" s="334" t="n"/>
      <c r="I115" s="343" t="n"/>
      <c r="J115" s="334" t="n"/>
      <c r="K115" s="343" t="n"/>
      <c r="L115" s="334" t="n"/>
      <c r="M115" s="334" t="n"/>
      <c r="N115" s="345" t="n"/>
      <c r="O115" s="334" t="n"/>
      <c r="P115" s="343" t="n"/>
      <c r="Q115" s="343" t="n"/>
      <c r="R115" s="334" t="n"/>
      <c r="S115" s="334" t="n"/>
      <c r="T115" s="334" t="n"/>
      <c r="U115" s="334" t="n"/>
      <c r="V115" s="334" t="n"/>
      <c r="W115" s="334" t="n"/>
      <c r="X115" s="334" t="n"/>
      <c r="Y115" s="334" t="n"/>
    </row>
    <row r="116" ht="15" customHeight="1" s="195">
      <c r="A116" s="280" t="n"/>
      <c r="B116" s="280" t="n"/>
      <c r="C116" s="280" t="n"/>
      <c r="D116" s="280" t="n"/>
      <c r="E116" s="280" t="n"/>
      <c r="F116" s="280" t="n"/>
      <c r="G116" s="280" t="n"/>
      <c r="H116" s="280" t="n"/>
      <c r="I116" s="332">
        <f>IFERROR(VLOOKUP(TEXT(H116,"0"),IPRESS!$A$3:$B$212,2,0),"")</f>
        <v/>
      </c>
      <c r="J116" s="280" t="n"/>
      <c r="K116" s="332">
        <f>IFERROR(VLOOKUP(TEXT(O116,"0"),CONDUCTORES!$A$3:$G$54,7,0),"")</f>
        <v/>
      </c>
      <c r="L116" s="280" t="n"/>
      <c r="M116" s="280" t="n"/>
      <c r="N116" s="333">
        <f>IFERROR(IF(L116*M116=0,"",L116*M116),"")</f>
        <v/>
      </c>
      <c r="O116" s="280" t="n"/>
      <c r="P116" s="332">
        <f>IFERROR(VLOOKUP(TEXT(O116,"0"),CONDUCTORES!$A$3:$G$54,2,0),"")</f>
        <v/>
      </c>
      <c r="Q116" s="332">
        <f>IFERROR(VLOOKUP(TEXT(O116,"0"),CONDUCTORES!$A$3:$H$54,6,0),"")</f>
        <v/>
      </c>
      <c r="R116" s="280" t="n"/>
      <c r="S116" s="280" t="n"/>
      <c r="T116" s="280" t="n"/>
      <c r="U116" s="280" t="n"/>
      <c r="V116" s="280" t="n"/>
      <c r="W116" s="280" t="n"/>
      <c r="X116" s="280" t="n"/>
      <c r="Y116" s="280" t="n"/>
    </row>
    <row r="117" ht="15" customHeight="1" s="195">
      <c r="A117" s="334" t="n"/>
      <c r="B117" s="334" t="n"/>
      <c r="C117" s="334" t="n"/>
      <c r="D117" s="334" t="n"/>
      <c r="E117" s="334" t="n"/>
      <c r="F117" s="334" t="n"/>
      <c r="G117" s="334" t="n"/>
      <c r="H117" s="334" t="n"/>
      <c r="I117" s="332">
        <f>IFERROR(VLOOKUP(TEXT(H117,"0"),IPRESS!$A$3:$B$212,2,0),"")</f>
        <v/>
      </c>
      <c r="J117" s="334" t="n"/>
      <c r="K117" s="332">
        <f>IFERROR(VLOOKUP(TEXT(O117,"0"),CONDUCTORES!$A$3:$G$54,7,0),"")</f>
        <v/>
      </c>
      <c r="L117" s="334" t="n"/>
      <c r="M117" s="334" t="n"/>
      <c r="N117" s="333">
        <f>IFERROR(IF(L117*M117=0,"",L117*M117),"")</f>
        <v/>
      </c>
      <c r="O117" s="334" t="n"/>
      <c r="P117" s="332">
        <f>IFERROR(VLOOKUP(TEXT(O117,"0"),CONDUCTORES!$A$3:$G$54,2,0),"")</f>
        <v/>
      </c>
      <c r="Q117" s="332">
        <f>IFERROR(VLOOKUP(TEXT(O117,"0"),CONDUCTORES!$A$3:$H$54,6,0),"")</f>
        <v/>
      </c>
      <c r="R117" s="334" t="n"/>
      <c r="S117" s="334" t="n"/>
      <c r="T117" s="334" t="n"/>
      <c r="U117" s="334" t="n"/>
      <c r="V117" s="334" t="n"/>
      <c r="W117" s="334" t="n"/>
      <c r="X117" s="334" t="n"/>
      <c r="Y117" s="334" t="n"/>
    </row>
    <row r="118" ht="15" customHeight="1" s="195">
      <c r="A118" s="280" t="n"/>
      <c r="B118" s="280" t="n"/>
      <c r="C118" s="280" t="n"/>
      <c r="D118" s="280" t="n"/>
      <c r="E118" s="280" t="n"/>
      <c r="F118" s="280" t="n"/>
      <c r="G118" s="280" t="n"/>
      <c r="H118" s="280" t="n"/>
      <c r="I118" s="332">
        <f>IFERROR(VLOOKUP(TEXT(H118,"0"),IPRESS!$A$3:$B$212,2,0),"")</f>
        <v/>
      </c>
      <c r="J118" s="280" t="n"/>
      <c r="K118" s="332">
        <f>IFERROR(VLOOKUP(TEXT(O118,"0"),CONDUCTORES!$A$3:$G$54,7,0),"")</f>
        <v/>
      </c>
      <c r="L118" s="280" t="n"/>
      <c r="M118" s="280" t="n"/>
      <c r="N118" s="333">
        <f>IFERROR(IF(L118*M118=0,"",L118*M118),"")</f>
        <v/>
      </c>
      <c r="O118" s="280" t="n"/>
      <c r="P118" s="332">
        <f>IFERROR(VLOOKUP(TEXT(O118,"0"),CONDUCTORES!$A$3:$G$54,2,0),"")</f>
        <v/>
      </c>
      <c r="Q118" s="332">
        <f>IFERROR(VLOOKUP(TEXT(O118,"0"),CONDUCTORES!$A$3:$H$54,6,0),"")</f>
        <v/>
      </c>
      <c r="R118" s="280" t="n"/>
      <c r="S118" s="280" t="n"/>
      <c r="T118" s="280" t="n"/>
      <c r="U118" s="280" t="n"/>
      <c r="V118" s="280" t="n"/>
      <c r="W118" s="280" t="n"/>
      <c r="X118" s="280" t="n"/>
      <c r="Y118" s="280" t="n"/>
    </row>
    <row r="119" ht="15" customHeight="1" s="195">
      <c r="A119" s="334" t="n"/>
      <c r="B119" s="334" t="n"/>
      <c r="C119" s="334" t="n"/>
      <c r="D119" s="334" t="n"/>
      <c r="E119" s="334" t="n"/>
      <c r="F119" s="334" t="n"/>
      <c r="G119" s="334" t="n"/>
      <c r="H119" s="334" t="n"/>
      <c r="I119" s="332">
        <f>IFERROR(VLOOKUP(TEXT(H119,"0"),IPRESS!$A$3:$B$212,2,0),"")</f>
        <v/>
      </c>
      <c r="J119" s="334" t="n"/>
      <c r="K119" s="332">
        <f>IFERROR(VLOOKUP(TEXT(O119,"0"),CONDUCTORES!$A$3:$G$54,7,0),"")</f>
        <v/>
      </c>
      <c r="L119" s="334" t="n"/>
      <c r="M119" s="334" t="n"/>
      <c r="N119" s="333">
        <f>IFERROR(IF(L119*M119=0,"",L119*M119),"")</f>
        <v/>
      </c>
      <c r="O119" s="334" t="n"/>
      <c r="P119" s="332">
        <f>IFERROR(VLOOKUP(TEXT(O119,"0"),CONDUCTORES!$A$3:$G$54,2,0),"")</f>
        <v/>
      </c>
      <c r="Q119" s="332">
        <f>IFERROR(VLOOKUP(TEXT(O119,"0"),CONDUCTORES!$A$3:$H$54,6,0),"")</f>
        <v/>
      </c>
      <c r="R119" s="334" t="n"/>
      <c r="S119" s="334" t="n"/>
      <c r="T119" s="334" t="n"/>
      <c r="U119" s="334" t="n"/>
      <c r="V119" s="334" t="n"/>
      <c r="W119" s="334" t="n"/>
      <c r="X119" s="334" t="n"/>
      <c r="Y119" s="334" t="n"/>
    </row>
    <row r="120" ht="15" customHeight="1" s="195">
      <c r="A120" s="280" t="n"/>
      <c r="B120" s="280" t="n"/>
      <c r="C120" s="280" t="n"/>
      <c r="D120" s="280" t="n"/>
      <c r="E120" s="280" t="n"/>
      <c r="F120" s="280" t="n"/>
      <c r="G120" s="280" t="n"/>
      <c r="H120" s="280" t="n"/>
      <c r="I120" s="332">
        <f>IFERROR(VLOOKUP(TEXT(H120,"0"),IPRESS!$A$3:$B$212,2,0),"")</f>
        <v/>
      </c>
      <c r="J120" s="280" t="n"/>
      <c r="K120" s="332">
        <f>IFERROR(VLOOKUP(TEXT(O120,"0"),CONDUCTORES!$A$3:$G$54,7,0),"")</f>
        <v/>
      </c>
      <c r="L120" s="280" t="n"/>
      <c r="M120" s="280" t="n"/>
      <c r="N120" s="333">
        <f>IFERROR(IF(L120*M120=0,"",L120*M120),"")</f>
        <v/>
      </c>
      <c r="O120" s="280" t="n"/>
      <c r="P120" s="332">
        <f>IFERROR(VLOOKUP(TEXT(O120,"0"),CONDUCTORES!$A$3:$G$54,2,0),"")</f>
        <v/>
      </c>
      <c r="Q120" s="332">
        <f>IFERROR(VLOOKUP(TEXT(O120,"0"),CONDUCTORES!$A$3:$H$54,6,0),"")</f>
        <v/>
      </c>
      <c r="R120" s="280" t="n"/>
      <c r="S120" s="280" t="n"/>
      <c r="T120" s="280" t="n"/>
      <c r="U120" s="280" t="n"/>
      <c r="V120" s="280" t="n"/>
      <c r="W120" s="280" t="n"/>
      <c r="X120" s="280" t="n"/>
      <c r="Y120" s="280" t="n"/>
    </row>
    <row r="121" ht="15" customHeight="1" s="195">
      <c r="A121" s="334" t="n"/>
      <c r="B121" s="334" t="n"/>
      <c r="C121" s="334" t="n"/>
      <c r="D121" s="334" t="n"/>
      <c r="E121" s="334" t="n"/>
      <c r="F121" s="334" t="n"/>
      <c r="G121" s="334" t="n"/>
      <c r="H121" s="334" t="n"/>
      <c r="I121" s="332">
        <f>IFERROR(VLOOKUP(TEXT(H121,"0"),IPRESS!$A$3:$B$212,2,0),"")</f>
        <v/>
      </c>
      <c r="J121" s="334" t="n"/>
      <c r="K121" s="332">
        <f>IFERROR(VLOOKUP(TEXT(O121,"0"),CONDUCTORES!$A$3:$G$54,7,0),"")</f>
        <v/>
      </c>
      <c r="L121" s="334" t="n"/>
      <c r="M121" s="334" t="n"/>
      <c r="N121" s="333">
        <f>IFERROR(IF(L121*M121=0,"",L121*M121),"")</f>
        <v/>
      </c>
      <c r="O121" s="334" t="n"/>
      <c r="P121" s="332">
        <f>IFERROR(VLOOKUP(TEXT(O121,"0"),CONDUCTORES!$A$3:$G$54,2,0),"")</f>
        <v/>
      </c>
      <c r="Q121" s="332">
        <f>IFERROR(VLOOKUP(TEXT(O121,"0"),CONDUCTORES!$A$3:$H$54,6,0),"")</f>
        <v/>
      </c>
      <c r="R121" s="334" t="n"/>
      <c r="S121" s="334" t="n"/>
      <c r="T121" s="334" t="n"/>
      <c r="U121" s="334" t="n"/>
      <c r="V121" s="334" t="n"/>
      <c r="W121" s="334" t="n"/>
      <c r="X121" s="334" t="n"/>
      <c r="Y121" s="334" t="n"/>
    </row>
    <row r="122" ht="15" customHeight="1" s="195">
      <c r="A122" s="280" t="n"/>
      <c r="B122" s="280" t="n"/>
      <c r="C122" s="280" t="n"/>
      <c r="D122" s="280" t="n"/>
      <c r="E122" s="280" t="n"/>
      <c r="F122" s="280" t="n"/>
      <c r="G122" s="280" t="n"/>
      <c r="H122" s="280" t="n"/>
      <c r="I122" s="332">
        <f>IFERROR(VLOOKUP(TEXT(H122,"0"),IPRESS!$A$3:$B$212,2,0),"")</f>
        <v/>
      </c>
      <c r="J122" s="280" t="n"/>
      <c r="K122" s="332">
        <f>IFERROR(VLOOKUP(TEXT(O122,"0"),CONDUCTORES!$A$3:$G$54,7,0),"")</f>
        <v/>
      </c>
      <c r="L122" s="280" t="n"/>
      <c r="M122" s="280" t="n"/>
      <c r="N122" s="333">
        <f>IFERROR(IF(L122*M122=0,"",L122*M122),"")</f>
        <v/>
      </c>
      <c r="O122" s="280" t="n"/>
      <c r="P122" s="332">
        <f>IFERROR(VLOOKUP(TEXT(O122,"0"),CONDUCTORES!$A$3:$G$54,2,0),"")</f>
        <v/>
      </c>
      <c r="Q122" s="332">
        <f>IFERROR(VLOOKUP(TEXT(O122,"0"),CONDUCTORES!$A$3:$H$54,6,0),"")</f>
        <v/>
      </c>
      <c r="R122" s="280" t="n"/>
      <c r="S122" s="280" t="n"/>
      <c r="T122" s="280" t="n"/>
      <c r="U122" s="280" t="n"/>
      <c r="V122" s="280" t="n"/>
      <c r="W122" s="280" t="n"/>
      <c r="X122" s="280" t="n"/>
      <c r="Y122" s="280" t="n"/>
    </row>
    <row r="123" ht="15" customHeight="1" s="195">
      <c r="A123" s="334" t="n"/>
      <c r="B123" s="334" t="n"/>
      <c r="C123" s="334" t="n"/>
      <c r="D123" s="334" t="n"/>
      <c r="E123" s="334" t="n"/>
      <c r="F123" s="334" t="n"/>
      <c r="G123" s="334" t="n"/>
      <c r="H123" s="334" t="n"/>
      <c r="I123" s="332">
        <f>IFERROR(VLOOKUP(TEXT(H123,"0"),IPRESS!$A$3:$B$212,2,0),"")</f>
        <v/>
      </c>
      <c r="J123" s="334" t="n"/>
      <c r="K123" s="332">
        <f>IFERROR(VLOOKUP(TEXT(O123,"0"),CONDUCTORES!$A$3:$G$54,7,0),"")</f>
        <v/>
      </c>
      <c r="L123" s="334" t="n"/>
      <c r="M123" s="334" t="n"/>
      <c r="N123" s="333">
        <f>IFERROR(IF(L123*M123=0,"",L123*M123),"")</f>
        <v/>
      </c>
      <c r="O123" s="334" t="n"/>
      <c r="P123" s="332">
        <f>IFERROR(VLOOKUP(TEXT(O123,"0"),CONDUCTORES!$A$3:$G$54,2,0),"")</f>
        <v/>
      </c>
      <c r="Q123" s="332">
        <f>IFERROR(VLOOKUP(TEXT(O123,"0"),CONDUCTORES!$A$3:$H$54,6,0),"")</f>
        <v/>
      </c>
      <c r="R123" s="334" t="n"/>
      <c r="S123" s="334" t="n"/>
      <c r="T123" s="334" t="n"/>
      <c r="U123" s="334" t="n"/>
      <c r="V123" s="334" t="n"/>
      <c r="W123" s="334" t="n"/>
      <c r="X123" s="334" t="n"/>
      <c r="Y123" s="334" t="n"/>
    </row>
    <row r="124" ht="15" customHeight="1" s="195">
      <c r="A124" s="280" t="n"/>
      <c r="B124" s="280" t="n"/>
      <c r="C124" s="280" t="n"/>
      <c r="D124" s="280" t="n"/>
      <c r="E124" s="280" t="n"/>
      <c r="F124" s="280" t="n"/>
      <c r="G124" s="280" t="n"/>
      <c r="H124" s="280" t="n"/>
      <c r="I124" s="332">
        <f>IFERROR(VLOOKUP(TEXT(H124,"0"),IPRESS!$A$3:$B$212,2,0),"")</f>
        <v/>
      </c>
      <c r="J124" s="280" t="n"/>
      <c r="K124" s="332">
        <f>IFERROR(VLOOKUP(TEXT(O124,"0"),CONDUCTORES!$A$3:$G$54,7,0),"")</f>
        <v/>
      </c>
      <c r="L124" s="280" t="n"/>
      <c r="M124" s="280" t="n"/>
      <c r="N124" s="333">
        <f>IFERROR(IF(L124*M124=0,"",L124*M124),"")</f>
        <v/>
      </c>
      <c r="O124" s="280" t="n"/>
      <c r="P124" s="332">
        <f>IFERROR(VLOOKUP(TEXT(O124,"0"),CONDUCTORES!$A$3:$G$54,2,0),"")</f>
        <v/>
      </c>
      <c r="Q124" s="332">
        <f>IFERROR(VLOOKUP(TEXT(O124,"0"),CONDUCTORES!$A$3:$H$54,6,0),"")</f>
        <v/>
      </c>
      <c r="R124" s="280" t="n"/>
      <c r="S124" s="280" t="n"/>
      <c r="T124" s="280" t="n"/>
      <c r="U124" s="280" t="n"/>
      <c r="V124" s="280" t="n"/>
      <c r="W124" s="280" t="n"/>
      <c r="X124" s="280" t="n"/>
      <c r="Y124" s="280" t="n"/>
    </row>
    <row r="125" ht="15" customHeight="1" s="195">
      <c r="A125" s="334" t="n"/>
      <c r="B125" s="334" t="n"/>
      <c r="C125" s="334" t="n"/>
      <c r="D125" s="334" t="n"/>
      <c r="E125" s="334" t="n"/>
      <c r="F125" s="334" t="n"/>
      <c r="G125" s="334" t="n"/>
      <c r="H125" s="334" t="n"/>
      <c r="I125" s="332">
        <f>IFERROR(VLOOKUP(TEXT(H125,"0"),IPRESS!$A$3:$B$212,2,0),"")</f>
        <v/>
      </c>
      <c r="J125" s="334" t="n"/>
      <c r="K125" s="332">
        <f>IFERROR(VLOOKUP(TEXT(O125,"0"),CONDUCTORES!$A$3:$G$54,7,0),"")</f>
        <v/>
      </c>
      <c r="L125" s="334" t="n"/>
      <c r="M125" s="334" t="n"/>
      <c r="N125" s="333">
        <f>IFERROR(IF(L125*M125=0,"",L125*M125),"")</f>
        <v/>
      </c>
      <c r="O125" s="334" t="n"/>
      <c r="P125" s="332">
        <f>IFERROR(VLOOKUP(TEXT(O125,"0"),CONDUCTORES!$A$3:$G$54,2,0),"")</f>
        <v/>
      </c>
      <c r="Q125" s="332">
        <f>IFERROR(VLOOKUP(TEXT(O125,"0"),CONDUCTORES!$A$3:$H$54,6,0),"")</f>
        <v/>
      </c>
      <c r="R125" s="334" t="n"/>
      <c r="S125" s="334" t="n"/>
      <c r="T125" s="334" t="n"/>
      <c r="U125" s="334" t="n"/>
      <c r="V125" s="334" t="n"/>
      <c r="W125" s="334" t="n"/>
      <c r="X125" s="334" t="n"/>
      <c r="Y125" s="334" t="n"/>
    </row>
    <row r="126" ht="15" customHeight="1" s="195">
      <c r="A126" s="280" t="n"/>
      <c r="B126" s="280" t="n"/>
      <c r="C126" s="280" t="n"/>
      <c r="D126" s="280" t="n"/>
      <c r="E126" s="280" t="n"/>
      <c r="F126" s="280" t="n"/>
      <c r="G126" s="280" t="n"/>
      <c r="H126" s="280" t="n"/>
      <c r="I126" s="332">
        <f>IFERROR(VLOOKUP(TEXT(H126,"0"),IPRESS!$A$3:$B$212,2,0),"")</f>
        <v/>
      </c>
      <c r="J126" s="280" t="n"/>
      <c r="K126" s="332">
        <f>IFERROR(VLOOKUP(TEXT(O126,"0"),CONDUCTORES!$A$3:$G$54,7,0),"")</f>
        <v/>
      </c>
      <c r="L126" s="280" t="n"/>
      <c r="M126" s="280" t="n"/>
      <c r="N126" s="333">
        <f>IFERROR(IF(L126*M126=0,"",L126*M126),"")</f>
        <v/>
      </c>
      <c r="O126" s="280" t="n"/>
      <c r="P126" s="332">
        <f>IFERROR(VLOOKUP(TEXT(O126,"0"),CONDUCTORES!$A$3:$G$54,2,0),"")</f>
        <v/>
      </c>
      <c r="Q126" s="332">
        <f>IFERROR(VLOOKUP(TEXT(O126,"0"),CONDUCTORES!$A$3:$H$54,6,0),"")</f>
        <v/>
      </c>
      <c r="R126" s="280" t="n"/>
      <c r="S126" s="280" t="n"/>
      <c r="T126" s="280" t="n"/>
      <c r="U126" s="280" t="n"/>
      <c r="V126" s="280" t="n"/>
      <c r="W126" s="280" t="n"/>
      <c r="X126" s="280" t="n"/>
      <c r="Y126" s="280" t="n"/>
    </row>
    <row r="127" ht="15" customHeight="1" s="195">
      <c r="A127" s="334" t="n"/>
      <c r="B127" s="334" t="n"/>
      <c r="C127" s="334" t="n"/>
      <c r="D127" s="334" t="n"/>
      <c r="E127" s="334" t="n"/>
      <c r="F127" s="334" t="n"/>
      <c r="G127" s="334" t="n"/>
      <c r="H127" s="334" t="n"/>
      <c r="I127" s="332">
        <f>IFERROR(VLOOKUP(TEXT(H127,"0"),IPRESS!$A$3:$B$212,2,0),"")</f>
        <v/>
      </c>
      <c r="J127" s="334" t="n"/>
      <c r="K127" s="332">
        <f>IFERROR(VLOOKUP(TEXT(O127,"0"),CONDUCTORES!$A$3:$G$54,7,0),"")</f>
        <v/>
      </c>
      <c r="L127" s="334" t="n"/>
      <c r="M127" s="334" t="n"/>
      <c r="N127" s="333">
        <f>IFERROR(IF(L127*M127=0,"",L127*M127),"")</f>
        <v/>
      </c>
      <c r="O127" s="334" t="n"/>
      <c r="P127" s="332">
        <f>IFERROR(VLOOKUP(TEXT(O127,"0"),CONDUCTORES!$A$3:$G$54,2,0),"")</f>
        <v/>
      </c>
      <c r="Q127" s="332">
        <f>IFERROR(VLOOKUP(TEXT(O127,"0"),CONDUCTORES!$A$3:$H$54,6,0),"")</f>
        <v/>
      </c>
      <c r="R127" s="334" t="n"/>
      <c r="S127" s="334" t="n"/>
      <c r="T127" s="334" t="n"/>
      <c r="U127" s="334" t="n"/>
      <c r="V127" s="334" t="n"/>
      <c r="W127" s="334" t="n"/>
      <c r="X127" s="334" t="n"/>
      <c r="Y127" s="334" t="n"/>
    </row>
    <row r="128" ht="15" customHeight="1" s="195">
      <c r="A128" s="280" t="n"/>
      <c r="B128" s="280" t="n"/>
      <c r="C128" s="280" t="n"/>
      <c r="D128" s="280" t="n"/>
      <c r="E128" s="280" t="n"/>
      <c r="F128" s="280" t="n"/>
      <c r="G128" s="280" t="n"/>
      <c r="H128" s="280" t="n"/>
      <c r="I128" s="332">
        <f>IFERROR(VLOOKUP(TEXT(H128,"0"),IPRESS!$A$3:$B$212,2,0),"")</f>
        <v/>
      </c>
      <c r="J128" s="280" t="n"/>
      <c r="K128" s="332">
        <f>IFERROR(VLOOKUP(TEXT(O128,"0"),CONDUCTORES!$A$3:$G$54,7,0),"")</f>
        <v/>
      </c>
      <c r="L128" s="280" t="n"/>
      <c r="M128" s="280" t="n"/>
      <c r="N128" s="333">
        <f>IFERROR(IF(L128*M128=0,"",L128*M128),"")</f>
        <v/>
      </c>
      <c r="O128" s="280" t="n"/>
      <c r="P128" s="332">
        <f>IFERROR(VLOOKUP(TEXT(O128,"0"),CONDUCTORES!$A$3:$G$54,2,0),"")</f>
        <v/>
      </c>
      <c r="Q128" s="332">
        <f>IFERROR(VLOOKUP(TEXT(O128,"0"),CONDUCTORES!$A$3:$H$54,6,0),"")</f>
        <v/>
      </c>
      <c r="R128" s="280" t="n"/>
      <c r="S128" s="280" t="n"/>
      <c r="T128" s="280" t="n"/>
      <c r="U128" s="280" t="n"/>
      <c r="V128" s="280" t="n"/>
      <c r="W128" s="280" t="n"/>
      <c r="X128" s="280" t="n"/>
      <c r="Y128" s="280" t="n"/>
    </row>
    <row r="129" ht="15" customHeight="1" s="195">
      <c r="A129" s="334" t="n"/>
      <c r="B129" s="334" t="n"/>
      <c r="C129" s="334" t="n"/>
      <c r="D129" s="334" t="n"/>
      <c r="E129" s="334" t="n"/>
      <c r="F129" s="334" t="n"/>
      <c r="G129" s="334" t="n"/>
      <c r="H129" s="334" t="n"/>
      <c r="I129" s="332">
        <f>IFERROR(VLOOKUP(TEXT(H129,"0"),IPRESS!$A$3:$B$212,2,0),"")</f>
        <v/>
      </c>
      <c r="J129" s="334" t="n"/>
      <c r="K129" s="332">
        <f>IFERROR(VLOOKUP(TEXT(O129,"0"),CONDUCTORES!$A$3:$G$54,7,0),"")</f>
        <v/>
      </c>
      <c r="L129" s="334" t="n"/>
      <c r="M129" s="334" t="n"/>
      <c r="N129" s="333">
        <f>IFERROR(IF(L129*M129=0,"",L129*M129),"")</f>
        <v/>
      </c>
      <c r="O129" s="334" t="n"/>
      <c r="P129" s="332">
        <f>IFERROR(VLOOKUP(TEXT(O129,"0"),CONDUCTORES!$A$3:$G$54,2,0),"")</f>
        <v/>
      </c>
      <c r="Q129" s="332">
        <f>IFERROR(VLOOKUP(TEXT(O129,"0"),CONDUCTORES!$A$3:$H$54,6,0),"")</f>
        <v/>
      </c>
      <c r="R129" s="334" t="n"/>
      <c r="S129" s="334" t="n"/>
      <c r="T129" s="334" t="n"/>
      <c r="U129" s="334" t="n"/>
      <c r="V129" s="334" t="n"/>
      <c r="W129" s="334" t="n"/>
      <c r="X129" s="334" t="n"/>
      <c r="Y129" s="334" t="n"/>
    </row>
    <row r="130" ht="15" customHeight="1" s="195">
      <c r="A130" s="280" t="n"/>
      <c r="B130" s="280" t="n"/>
      <c r="C130" s="280" t="n"/>
      <c r="D130" s="280" t="n"/>
      <c r="E130" s="280" t="n"/>
      <c r="F130" s="280" t="n"/>
      <c r="G130" s="280" t="n"/>
      <c r="H130" s="280" t="n"/>
      <c r="I130" s="332">
        <f>IFERROR(VLOOKUP(TEXT(H130,"0"),IPRESS!$A$3:$B$212,2,0),"")</f>
        <v/>
      </c>
      <c r="J130" s="280" t="n"/>
      <c r="K130" s="332">
        <f>IFERROR(VLOOKUP(TEXT(O130,"0"),CONDUCTORES!$A$3:$G$54,7,0),"")</f>
        <v/>
      </c>
      <c r="L130" s="280" t="n"/>
      <c r="M130" s="280" t="n"/>
      <c r="N130" s="333">
        <f>IFERROR(IF(L130*M130=0,"",L130*M130),"")</f>
        <v/>
      </c>
      <c r="O130" s="280" t="n"/>
      <c r="P130" s="332">
        <f>IFERROR(VLOOKUP(TEXT(O130,"0"),CONDUCTORES!$A$3:$G$54,2,0),"")</f>
        <v/>
      </c>
      <c r="Q130" s="332">
        <f>IFERROR(VLOOKUP(TEXT(O130,"0"),CONDUCTORES!$A$3:$H$54,6,0),"")</f>
        <v/>
      </c>
      <c r="R130" s="280" t="n"/>
      <c r="S130" s="280" t="n"/>
      <c r="T130" s="280" t="n"/>
      <c r="U130" s="280" t="n"/>
      <c r="V130" s="280" t="n"/>
      <c r="W130" s="280" t="n"/>
      <c r="X130" s="280" t="n"/>
      <c r="Y130" s="280" t="n"/>
    </row>
    <row r="131" ht="15" customHeight="1" s="195">
      <c r="A131" s="334" t="n"/>
      <c r="B131" s="334" t="n"/>
      <c r="C131" s="334" t="n"/>
      <c r="D131" s="334" t="n"/>
      <c r="E131" s="334" t="n"/>
      <c r="F131" s="334" t="n"/>
      <c r="G131" s="334" t="n"/>
      <c r="H131" s="334" t="n"/>
      <c r="I131" s="332">
        <f>IFERROR(VLOOKUP(TEXT(H131,"0"),IPRESS!$A$3:$B$212,2,0),"")</f>
        <v/>
      </c>
      <c r="J131" s="334" t="n"/>
      <c r="K131" s="332">
        <f>IFERROR(VLOOKUP(TEXT(O131,"0"),CONDUCTORES!$A$3:$G$54,7,0),"")</f>
        <v/>
      </c>
      <c r="L131" s="334" t="n"/>
      <c r="M131" s="334" t="n"/>
      <c r="N131" s="333">
        <f>IFERROR(IF(L131*M131=0,"",L131*M131),"")</f>
        <v/>
      </c>
      <c r="O131" s="334" t="n"/>
      <c r="P131" s="332">
        <f>IFERROR(VLOOKUP(TEXT(O131,"0"),CONDUCTORES!$A$3:$G$54,2,0),"")</f>
        <v/>
      </c>
      <c r="Q131" s="332">
        <f>IFERROR(VLOOKUP(TEXT(O131,"0"),CONDUCTORES!$A$3:$H$54,6,0),"")</f>
        <v/>
      </c>
      <c r="R131" s="334" t="n"/>
      <c r="S131" s="334" t="n"/>
      <c r="T131" s="334" t="n"/>
      <c r="U131" s="334" t="n"/>
      <c r="V131" s="334" t="n"/>
      <c r="W131" s="334" t="n"/>
      <c r="X131" s="334" t="n"/>
      <c r="Y131" s="334" t="n"/>
    </row>
    <row r="132" ht="15" customHeight="1" s="195">
      <c r="A132" s="280" t="n"/>
      <c r="B132" s="280" t="n"/>
      <c r="C132" s="280" t="n"/>
      <c r="D132" s="280" t="n"/>
      <c r="E132" s="280" t="n"/>
      <c r="F132" s="280" t="n"/>
      <c r="G132" s="280" t="n"/>
      <c r="H132" s="280" t="n"/>
      <c r="I132" s="332">
        <f>IFERROR(VLOOKUP(TEXT(H132,"0"),IPRESS!$A$3:$B$212,2,0),"")</f>
        <v/>
      </c>
      <c r="J132" s="280" t="n"/>
      <c r="K132" s="332">
        <f>IFERROR(VLOOKUP(TEXT(O132,"0"),CONDUCTORES!$A$3:$G$54,7,0),"")</f>
        <v/>
      </c>
      <c r="L132" s="280" t="n"/>
      <c r="M132" s="280" t="n"/>
      <c r="N132" s="333">
        <f>IFERROR(IF(L132*M132=0,"",L132*M132),"")</f>
        <v/>
      </c>
      <c r="O132" s="280" t="n"/>
      <c r="P132" s="332">
        <f>IFERROR(VLOOKUP(TEXT(O132,"0"),CONDUCTORES!$A$3:$G$54,2,0),"")</f>
        <v/>
      </c>
      <c r="Q132" s="332">
        <f>IFERROR(VLOOKUP(TEXT(O132,"0"),CONDUCTORES!$A$3:$H$54,6,0),"")</f>
        <v/>
      </c>
      <c r="R132" s="280" t="n"/>
      <c r="S132" s="280" t="n"/>
      <c r="T132" s="280" t="n"/>
      <c r="U132" s="280" t="n"/>
      <c r="V132" s="280" t="n"/>
      <c r="W132" s="280" t="n"/>
      <c r="X132" s="280" t="n"/>
      <c r="Y132" s="280" t="n"/>
    </row>
    <row r="133" ht="15" customHeight="1" s="195">
      <c r="A133" s="334" t="n"/>
      <c r="B133" s="334" t="n"/>
      <c r="C133" s="334" t="n"/>
      <c r="D133" s="334" t="n"/>
      <c r="E133" s="334" t="n"/>
      <c r="F133" s="334" t="n"/>
      <c r="G133" s="334" t="n"/>
      <c r="H133" s="334" t="n"/>
      <c r="I133" s="332">
        <f>IFERROR(VLOOKUP(TEXT(H133,"0"),IPRESS!$A$3:$B$212,2,0),"")</f>
        <v/>
      </c>
      <c r="J133" s="334" t="n"/>
      <c r="K133" s="332">
        <f>IFERROR(VLOOKUP(TEXT(O133,"0"),CONDUCTORES!$A$3:$G$54,7,0),"")</f>
        <v/>
      </c>
      <c r="L133" s="334" t="n"/>
      <c r="M133" s="334" t="n"/>
      <c r="N133" s="333">
        <f>IFERROR(IF(L133*M133=0,"",L133*M133),"")</f>
        <v/>
      </c>
      <c r="O133" s="334" t="n"/>
      <c r="P133" s="332">
        <f>IFERROR(VLOOKUP(TEXT(O133,"0"),CONDUCTORES!$A$3:$G$54,2,0),"")</f>
        <v/>
      </c>
      <c r="Q133" s="332">
        <f>IFERROR(VLOOKUP(TEXT(O133,"0"),CONDUCTORES!$A$3:$H$54,6,0),"")</f>
        <v/>
      </c>
      <c r="R133" s="334" t="n"/>
      <c r="S133" s="334" t="n"/>
      <c r="T133" s="334" t="n"/>
      <c r="U133" s="334" t="n"/>
      <c r="V133" s="334" t="n"/>
      <c r="W133" s="334" t="n"/>
      <c r="X133" s="334" t="n"/>
      <c r="Y133" s="334" t="n"/>
    </row>
    <row r="134" ht="15" customHeight="1" s="195">
      <c r="A134" s="280" t="n"/>
      <c r="B134" s="280" t="n"/>
      <c r="C134" s="280" t="n"/>
      <c r="D134" s="280" t="n"/>
      <c r="E134" s="280" t="n"/>
      <c r="F134" s="280" t="n"/>
      <c r="G134" s="280" t="n"/>
      <c r="H134" s="280" t="n"/>
      <c r="I134" s="332">
        <f>IFERROR(VLOOKUP(TEXT(H134,"0"),IPRESS!$A$3:$B$212,2,0),"")</f>
        <v/>
      </c>
      <c r="J134" s="280" t="n"/>
      <c r="K134" s="332">
        <f>IFERROR(VLOOKUP(TEXT(O134,"0"),CONDUCTORES!$A$3:$G$54,7,0),"")</f>
        <v/>
      </c>
      <c r="L134" s="280" t="n"/>
      <c r="M134" s="280" t="n"/>
      <c r="N134" s="333">
        <f>IFERROR(IF(L134*M134=0,"",L134*M134),"")</f>
        <v/>
      </c>
      <c r="O134" s="280" t="n"/>
      <c r="P134" s="332">
        <f>IFERROR(VLOOKUP(TEXT(O134,"0"),CONDUCTORES!$A$3:$G$54,2,0),"")</f>
        <v/>
      </c>
      <c r="Q134" s="332">
        <f>IFERROR(VLOOKUP(TEXT(O134,"0"),CONDUCTORES!$A$3:$H$54,6,0),"")</f>
        <v/>
      </c>
      <c r="R134" s="280" t="n"/>
      <c r="S134" s="280" t="n"/>
      <c r="T134" s="280" t="n"/>
      <c r="U134" s="280" t="n"/>
      <c r="V134" s="280" t="n"/>
      <c r="W134" s="280" t="n"/>
      <c r="X134" s="280" t="n"/>
      <c r="Y134" s="280" t="n"/>
    </row>
    <row r="135" ht="15" customHeight="1" s="195">
      <c r="A135" s="334" t="n"/>
      <c r="B135" s="334" t="n"/>
      <c r="C135" s="334" t="n"/>
      <c r="D135" s="334" t="n"/>
      <c r="E135" s="334" t="n"/>
      <c r="F135" s="334" t="n"/>
      <c r="G135" s="334" t="n"/>
      <c r="H135" s="334" t="n"/>
      <c r="I135" s="332">
        <f>IFERROR(VLOOKUP(TEXT(H135,"0"),IPRESS!$A$3:$B$212,2,0),"")</f>
        <v/>
      </c>
      <c r="J135" s="334" t="n"/>
      <c r="K135" s="332">
        <f>IFERROR(VLOOKUP(TEXT(O135,"0"),CONDUCTORES!$A$3:$G$54,7,0),"")</f>
        <v/>
      </c>
      <c r="L135" s="334" t="n"/>
      <c r="M135" s="334" t="n"/>
      <c r="N135" s="333">
        <f>IFERROR(IF(L135*M135=0,"",L135*M135),"")</f>
        <v/>
      </c>
      <c r="O135" s="334" t="n"/>
      <c r="P135" s="332">
        <f>IFERROR(VLOOKUP(TEXT(O135,"0"),CONDUCTORES!$A$3:$G$54,2,0),"")</f>
        <v/>
      </c>
      <c r="Q135" s="332">
        <f>IFERROR(VLOOKUP(TEXT(O135,"0"),CONDUCTORES!$A$3:$H$54,6,0),"")</f>
        <v/>
      </c>
      <c r="R135" s="334" t="n"/>
      <c r="S135" s="334" t="n"/>
      <c r="T135" s="334" t="n"/>
      <c r="U135" s="334" t="n"/>
      <c r="V135" s="334" t="n"/>
      <c r="W135" s="334" t="n"/>
      <c r="X135" s="334" t="n"/>
      <c r="Y135" s="334" t="n"/>
    </row>
    <row r="136" ht="15" customHeight="1" s="195">
      <c r="A136" s="280" t="n"/>
      <c r="B136" s="280" t="n"/>
      <c r="C136" s="280" t="n"/>
      <c r="D136" s="280" t="n"/>
      <c r="E136" s="280" t="n"/>
      <c r="F136" s="280" t="n"/>
      <c r="G136" s="280" t="n"/>
      <c r="H136" s="280" t="n"/>
      <c r="I136" s="332">
        <f>IFERROR(VLOOKUP(TEXT(H136,"0"),IPRESS!$A$3:$B$212,2,0),"")</f>
        <v/>
      </c>
      <c r="J136" s="280" t="n"/>
      <c r="K136" s="332">
        <f>IFERROR(VLOOKUP(TEXT(O136,"0"),CONDUCTORES!$A$3:$G$54,7,0),"")</f>
        <v/>
      </c>
      <c r="L136" s="280" t="n"/>
      <c r="M136" s="280" t="n"/>
      <c r="N136" s="333">
        <f>IFERROR(IF(L136*M136=0,"",L136*M136),"")</f>
        <v/>
      </c>
      <c r="O136" s="280" t="n"/>
      <c r="P136" s="332">
        <f>IFERROR(VLOOKUP(TEXT(O136,"0"),CONDUCTORES!$A$3:$G$54,2,0),"")</f>
        <v/>
      </c>
      <c r="Q136" s="332">
        <f>IFERROR(VLOOKUP(TEXT(O136,"0"),CONDUCTORES!$A$3:$H$54,6,0),"")</f>
        <v/>
      </c>
      <c r="R136" s="280" t="n"/>
      <c r="S136" s="280" t="n"/>
      <c r="T136" s="280" t="n"/>
      <c r="U136" s="280" t="n"/>
      <c r="V136" s="280" t="n"/>
      <c r="W136" s="280" t="n"/>
      <c r="X136" s="280" t="n"/>
      <c r="Y136" s="280" t="n"/>
    </row>
    <row r="137" ht="15" customHeight="1" s="195">
      <c r="A137" s="334" t="n"/>
      <c r="B137" s="334" t="n"/>
      <c r="C137" s="334" t="n"/>
      <c r="D137" s="334" t="n"/>
      <c r="E137" s="334" t="n"/>
      <c r="F137" s="334" t="n"/>
      <c r="G137" s="334" t="n"/>
      <c r="H137" s="334" t="n"/>
      <c r="I137" s="332">
        <f>IFERROR(VLOOKUP(TEXT(H137,"0"),IPRESS!$A$3:$B$212,2,0),"")</f>
        <v/>
      </c>
      <c r="J137" s="334" t="n"/>
      <c r="K137" s="332">
        <f>IFERROR(VLOOKUP(TEXT(O137,"0"),CONDUCTORES!$A$3:$G$54,7,0),"")</f>
        <v/>
      </c>
      <c r="L137" s="334" t="n"/>
      <c r="M137" s="334" t="n"/>
      <c r="N137" s="333">
        <f>IFERROR(IF(L137*M137=0,"",L137*M137),"")</f>
        <v/>
      </c>
      <c r="O137" s="334" t="n"/>
      <c r="P137" s="332">
        <f>IFERROR(VLOOKUP(TEXT(O137,"0"),CONDUCTORES!$A$3:$G$54,2,0),"")</f>
        <v/>
      </c>
      <c r="Q137" s="332">
        <f>IFERROR(VLOOKUP(TEXT(O137,"0"),CONDUCTORES!$A$3:$H$54,6,0),"")</f>
        <v/>
      </c>
      <c r="R137" s="334" t="n"/>
      <c r="S137" s="334" t="n"/>
      <c r="T137" s="334" t="n"/>
      <c r="U137" s="334" t="n"/>
      <c r="V137" s="334" t="n"/>
      <c r="W137" s="334" t="n"/>
      <c r="X137" s="334" t="n"/>
      <c r="Y137" s="334" t="n"/>
    </row>
    <row r="138" ht="15" customHeight="1" s="195">
      <c r="A138" s="280" t="n"/>
      <c r="B138" s="280" t="n"/>
      <c r="C138" s="280" t="n"/>
      <c r="D138" s="280" t="n"/>
      <c r="E138" s="280" t="n"/>
      <c r="F138" s="280" t="n"/>
      <c r="G138" s="280" t="n"/>
      <c r="H138" s="280" t="n"/>
      <c r="I138" s="332">
        <f>IFERROR(VLOOKUP(TEXT(H138,"0"),IPRESS!$A$3:$B$212,2,0),"")</f>
        <v/>
      </c>
      <c r="J138" s="280" t="n"/>
      <c r="K138" s="332">
        <f>IFERROR(VLOOKUP(TEXT(O138,"0"),CONDUCTORES!$A$3:$G$54,7,0),"")</f>
        <v/>
      </c>
      <c r="L138" s="280" t="n"/>
      <c r="M138" s="280" t="n"/>
      <c r="N138" s="333">
        <f>IFERROR(IF(L138*M138=0,"",L138*M138),"")</f>
        <v/>
      </c>
      <c r="O138" s="280" t="n"/>
      <c r="P138" s="332">
        <f>IFERROR(VLOOKUP(TEXT(O138,"0"),CONDUCTORES!$A$3:$G$54,2,0),"")</f>
        <v/>
      </c>
      <c r="Q138" s="332">
        <f>IFERROR(VLOOKUP(TEXT(O138,"0"),CONDUCTORES!$A$3:$H$54,6,0),"")</f>
        <v/>
      </c>
      <c r="R138" s="280" t="n"/>
      <c r="S138" s="280" t="n"/>
      <c r="T138" s="280" t="n"/>
      <c r="U138" s="280" t="n"/>
      <c r="V138" s="280" t="n"/>
      <c r="W138" s="280" t="n"/>
      <c r="X138" s="280" t="n"/>
      <c r="Y138" s="280" t="n"/>
    </row>
    <row r="139" ht="15" customHeight="1" s="195">
      <c r="A139" s="334" t="n"/>
      <c r="B139" s="334" t="n"/>
      <c r="C139" s="334" t="n"/>
      <c r="D139" s="334" t="n"/>
      <c r="E139" s="334" t="n"/>
      <c r="F139" s="334" t="n"/>
      <c r="G139" s="334" t="n"/>
      <c r="H139" s="334" t="n"/>
      <c r="I139" s="332">
        <f>IFERROR(VLOOKUP(TEXT(H139,"0"),IPRESS!$A$3:$B$212,2,0),"")</f>
        <v/>
      </c>
      <c r="J139" s="334" t="n"/>
      <c r="K139" s="332">
        <f>IFERROR(VLOOKUP(TEXT(O139,"0"),CONDUCTORES!$A$3:$G$54,7,0),"")</f>
        <v/>
      </c>
      <c r="L139" s="334" t="n"/>
      <c r="M139" s="334" t="n"/>
      <c r="N139" s="333">
        <f>IFERROR(IF(L139*M139=0,"",L139*M139),"")</f>
        <v/>
      </c>
      <c r="O139" s="334" t="n"/>
      <c r="P139" s="332">
        <f>IFERROR(VLOOKUP(TEXT(O139,"0"),CONDUCTORES!$A$3:$G$54,2,0),"")</f>
        <v/>
      </c>
      <c r="Q139" s="332">
        <f>IFERROR(VLOOKUP(TEXT(O139,"0"),CONDUCTORES!$A$3:$H$54,6,0),"")</f>
        <v/>
      </c>
      <c r="R139" s="334" t="n"/>
      <c r="S139" s="334" t="n"/>
      <c r="T139" s="334" t="n"/>
      <c r="U139" s="334" t="n"/>
      <c r="V139" s="334" t="n"/>
      <c r="W139" s="334" t="n"/>
      <c r="X139" s="334" t="n"/>
      <c r="Y139" s="334" t="n"/>
    </row>
    <row r="140" ht="15" customHeight="1" s="195">
      <c r="A140" s="280" t="n"/>
      <c r="B140" s="280" t="n"/>
      <c r="C140" s="280" t="n"/>
      <c r="D140" s="280" t="n"/>
      <c r="E140" s="280" t="n"/>
      <c r="F140" s="280" t="n"/>
      <c r="G140" s="280" t="n"/>
      <c r="H140" s="280" t="n"/>
      <c r="I140" s="332">
        <f>IFERROR(VLOOKUP(TEXT(H140,"0"),IPRESS!$A$3:$B$212,2,0),"")</f>
        <v/>
      </c>
      <c r="J140" s="280" t="n"/>
      <c r="K140" s="332">
        <f>IFERROR(VLOOKUP(TEXT(O140,"0"),CONDUCTORES!$A$3:$G$54,7,0),"")</f>
        <v/>
      </c>
      <c r="L140" s="280" t="n"/>
      <c r="M140" s="280" t="n"/>
      <c r="N140" s="333">
        <f>IFERROR(IF(L140*M140=0,"",L140*M140),"")</f>
        <v/>
      </c>
      <c r="O140" s="280" t="n"/>
      <c r="P140" s="332">
        <f>IFERROR(VLOOKUP(TEXT(O140,"0"),CONDUCTORES!$A$3:$G$54,2,0),"")</f>
        <v/>
      </c>
      <c r="Q140" s="332">
        <f>IFERROR(VLOOKUP(TEXT(O140,"0"),CONDUCTORES!$A$3:$H$54,6,0),"")</f>
        <v/>
      </c>
      <c r="R140" s="280" t="n"/>
      <c r="S140" s="280" t="n"/>
      <c r="T140" s="280" t="n"/>
      <c r="U140" s="280" t="n"/>
      <c r="V140" s="280" t="n"/>
      <c r="W140" s="280" t="n"/>
      <c r="X140" s="280" t="n"/>
      <c r="Y140" s="280" t="n"/>
    </row>
    <row r="141" ht="15" customHeight="1" s="195">
      <c r="A141" s="334" t="n"/>
      <c r="B141" s="334" t="n"/>
      <c r="C141" s="334" t="n"/>
      <c r="D141" s="334" t="n"/>
      <c r="E141" s="334" t="n"/>
      <c r="F141" s="334" t="n"/>
      <c r="G141" s="334" t="n"/>
      <c r="H141" s="334" t="n"/>
      <c r="I141" s="332">
        <f>IFERROR(VLOOKUP(TEXT(H141,"0"),IPRESS!$A$3:$B$212,2,0),"")</f>
        <v/>
      </c>
      <c r="J141" s="334" t="n"/>
      <c r="K141" s="332">
        <f>IFERROR(VLOOKUP(TEXT(O141,"0"),CONDUCTORES!$A$3:$G$54,7,0),"")</f>
        <v/>
      </c>
      <c r="L141" s="334" t="n"/>
      <c r="M141" s="334" t="n"/>
      <c r="N141" s="333">
        <f>IFERROR(IF(L141*M141=0,"",L141*M141),"")</f>
        <v/>
      </c>
      <c r="O141" s="334" t="n"/>
      <c r="P141" s="332">
        <f>IFERROR(VLOOKUP(TEXT(O141,"0"),CONDUCTORES!$A$3:$G$54,2,0),"")</f>
        <v/>
      </c>
      <c r="Q141" s="332">
        <f>IFERROR(VLOOKUP(TEXT(O141,"0"),CONDUCTORES!$A$3:$H$54,6,0),"")</f>
        <v/>
      </c>
      <c r="R141" s="334" t="n"/>
      <c r="S141" s="334" t="n"/>
      <c r="T141" s="334" t="n"/>
      <c r="U141" s="334" t="n"/>
      <c r="V141" s="334" t="n"/>
      <c r="W141" s="334" t="n"/>
      <c r="X141" s="334" t="n"/>
      <c r="Y141" s="334" t="n"/>
    </row>
    <row r="142" ht="15" customHeight="1" s="195">
      <c r="A142" s="280" t="n"/>
      <c r="B142" s="280" t="n"/>
      <c r="C142" s="280" t="n"/>
      <c r="D142" s="280" t="n"/>
      <c r="E142" s="280" t="n"/>
      <c r="F142" s="280" t="n"/>
      <c r="G142" s="280" t="n"/>
      <c r="H142" s="280" t="n"/>
      <c r="I142" s="332">
        <f>IFERROR(VLOOKUP(TEXT(H142,"0"),IPRESS!$A$3:$B$212,2,0),"")</f>
        <v/>
      </c>
      <c r="J142" s="280" t="n"/>
      <c r="K142" s="332">
        <f>IFERROR(VLOOKUP(TEXT(O142,"0"),CONDUCTORES!$A$3:$G$54,7,0),"")</f>
        <v/>
      </c>
      <c r="L142" s="280" t="n"/>
      <c r="M142" s="280" t="n"/>
      <c r="N142" s="333">
        <f>IFERROR(IF(L142*M142=0,"",L142*M142),"")</f>
        <v/>
      </c>
      <c r="O142" s="280" t="n"/>
      <c r="P142" s="332">
        <f>IFERROR(VLOOKUP(TEXT(O142,"0"),CONDUCTORES!$A$3:$G$54,2,0),"")</f>
        <v/>
      </c>
      <c r="Q142" s="332">
        <f>IFERROR(VLOOKUP(TEXT(O142,"0"),CONDUCTORES!$A$3:$H$54,6,0),"")</f>
        <v/>
      </c>
      <c r="R142" s="280" t="n"/>
      <c r="S142" s="280" t="n"/>
      <c r="T142" s="280" t="n"/>
      <c r="U142" s="280" t="n"/>
      <c r="V142" s="280" t="n"/>
      <c r="W142" s="280" t="n"/>
      <c r="X142" s="280" t="n"/>
      <c r="Y142" s="280" t="n"/>
    </row>
    <row r="143" ht="15" customHeight="1" s="195">
      <c r="A143" s="334" t="n"/>
      <c r="B143" s="334" t="n"/>
      <c r="C143" s="334" t="n"/>
      <c r="D143" s="334" t="n"/>
      <c r="E143" s="334" t="n"/>
      <c r="F143" s="334" t="n"/>
      <c r="G143" s="334" t="n"/>
      <c r="H143" s="334" t="n"/>
      <c r="I143" s="332">
        <f>IFERROR(VLOOKUP(TEXT(H143,"0"),IPRESS!$A$3:$B$212,2,0),"")</f>
        <v/>
      </c>
      <c r="J143" s="334" t="n"/>
      <c r="K143" s="332">
        <f>IFERROR(VLOOKUP(TEXT(O143,"0"),CONDUCTORES!$A$3:$G$54,7,0),"")</f>
        <v/>
      </c>
      <c r="L143" s="334" t="n"/>
      <c r="M143" s="334" t="n"/>
      <c r="N143" s="333">
        <f>IFERROR(IF(L143*M143=0,"",L143*M143),"")</f>
        <v/>
      </c>
      <c r="O143" s="334" t="n"/>
      <c r="P143" s="332">
        <f>IFERROR(VLOOKUP(TEXT(O143,"0"),CONDUCTORES!$A$3:$G$54,2,0),"")</f>
        <v/>
      </c>
      <c r="Q143" s="332">
        <f>IFERROR(VLOOKUP(TEXT(O143,"0"),CONDUCTORES!$A$3:$H$54,6,0),"")</f>
        <v/>
      </c>
      <c r="R143" s="334" t="n"/>
      <c r="S143" s="334" t="n"/>
      <c r="T143" s="334" t="n"/>
      <c r="U143" s="334" t="n"/>
      <c r="V143" s="334" t="n"/>
      <c r="W143" s="334" t="n"/>
      <c r="X143" s="334" t="n"/>
      <c r="Y143" s="334" t="n"/>
    </row>
    <row r="144" ht="15" customHeight="1" s="195">
      <c r="A144" s="280" t="n"/>
      <c r="B144" s="280" t="n"/>
      <c r="C144" s="280" t="n"/>
      <c r="D144" s="280" t="n"/>
      <c r="E144" s="280" t="n"/>
      <c r="F144" s="280" t="n"/>
      <c r="G144" s="280" t="n"/>
      <c r="H144" s="280" t="n"/>
      <c r="I144" s="332">
        <f>IFERROR(VLOOKUP(TEXT(H144,"0"),IPRESS!$A$3:$B$212,2,0),"")</f>
        <v/>
      </c>
      <c r="J144" s="280" t="n"/>
      <c r="K144" s="332">
        <f>IFERROR(VLOOKUP(TEXT(O144,"0"),CONDUCTORES!$A$3:$G$54,7,0),"")</f>
        <v/>
      </c>
      <c r="L144" s="280" t="n"/>
      <c r="M144" s="280" t="n"/>
      <c r="N144" s="333">
        <f>IFERROR(IF(L144*M144=0,"",L144*M144),"")</f>
        <v/>
      </c>
      <c r="O144" s="280" t="n"/>
      <c r="P144" s="332">
        <f>IFERROR(VLOOKUP(TEXT(O144,"0"),CONDUCTORES!$A$3:$G$54,2,0),"")</f>
        <v/>
      </c>
      <c r="Q144" s="332">
        <f>IFERROR(VLOOKUP(TEXT(O144,"0"),CONDUCTORES!$A$3:$H$54,6,0),"")</f>
        <v/>
      </c>
      <c r="R144" s="280" t="n"/>
      <c r="S144" s="280" t="n"/>
      <c r="T144" s="280" t="n"/>
      <c r="U144" s="280" t="n"/>
      <c r="V144" s="280" t="n"/>
      <c r="W144" s="280" t="n"/>
      <c r="X144" s="280" t="n"/>
      <c r="Y144" s="280" t="n"/>
    </row>
    <row r="145" ht="15" customHeight="1" s="195">
      <c r="A145" s="334" t="n"/>
      <c r="B145" s="334" t="n"/>
      <c r="C145" s="334" t="n"/>
      <c r="D145" s="334" t="n"/>
      <c r="E145" s="334" t="n"/>
      <c r="F145" s="334" t="n"/>
      <c r="G145" s="334" t="n"/>
      <c r="H145" s="334" t="n"/>
      <c r="I145" s="332">
        <f>IFERROR(VLOOKUP(TEXT(H145,"0"),IPRESS!$A$3:$B$212,2,0),"")</f>
        <v/>
      </c>
      <c r="J145" s="334" t="n"/>
      <c r="K145" s="332">
        <f>IFERROR(VLOOKUP(TEXT(O145,"0"),CONDUCTORES!$A$3:$G$54,7,0),"")</f>
        <v/>
      </c>
      <c r="L145" s="334" t="n"/>
      <c r="M145" s="334" t="n"/>
      <c r="N145" s="333">
        <f>IFERROR(IF(L145*M145=0,"",L145*M145),"")</f>
        <v/>
      </c>
      <c r="O145" s="334" t="n"/>
      <c r="P145" s="332">
        <f>IFERROR(VLOOKUP(TEXT(O145,"0"),CONDUCTORES!$A$3:$G$54,2,0),"")</f>
        <v/>
      </c>
      <c r="Q145" s="332">
        <f>IFERROR(VLOOKUP(TEXT(O145,"0"),CONDUCTORES!$A$3:$H$54,6,0),"")</f>
        <v/>
      </c>
      <c r="R145" s="334" t="n"/>
      <c r="S145" s="334" t="n"/>
      <c r="T145" s="334" t="n"/>
      <c r="U145" s="334" t="n"/>
      <c r="V145" s="334" t="n"/>
      <c r="W145" s="334" t="n"/>
      <c r="X145" s="334" t="n"/>
      <c r="Y145" s="334" t="n"/>
    </row>
    <row r="146" ht="15" customHeight="1" s="195">
      <c r="A146" s="280" t="n"/>
      <c r="B146" s="280" t="n"/>
      <c r="C146" s="280" t="n"/>
      <c r="D146" s="280" t="n"/>
      <c r="E146" s="280" t="n"/>
      <c r="F146" s="280" t="n"/>
      <c r="G146" s="280" t="n"/>
      <c r="H146" s="280" t="n"/>
      <c r="I146" s="332">
        <f>IFERROR(VLOOKUP(TEXT(H146,"0"),IPRESS!$A$3:$B$212,2,0),"")</f>
        <v/>
      </c>
      <c r="J146" s="280" t="n"/>
      <c r="K146" s="332">
        <f>IFERROR(VLOOKUP(TEXT(O146,"0"),CONDUCTORES!$A$3:$G$54,7,0),"")</f>
        <v/>
      </c>
      <c r="L146" s="280" t="n"/>
      <c r="M146" s="280" t="n"/>
      <c r="N146" s="333">
        <f>IFERROR(IF(L146*M146=0,"",L146*M146),"")</f>
        <v/>
      </c>
      <c r="O146" s="280" t="n"/>
      <c r="P146" s="332">
        <f>IFERROR(VLOOKUP(TEXT(O146,"0"),CONDUCTORES!$A$3:$G$54,2,0),"")</f>
        <v/>
      </c>
      <c r="Q146" s="332">
        <f>IFERROR(VLOOKUP(TEXT(O146,"0"),CONDUCTORES!$A$3:$H$54,6,0),"")</f>
        <v/>
      </c>
      <c r="R146" s="280" t="n"/>
      <c r="S146" s="280" t="n"/>
      <c r="T146" s="280" t="n"/>
      <c r="U146" s="280" t="n"/>
      <c r="V146" s="280" t="n"/>
      <c r="W146" s="280" t="n"/>
      <c r="X146" s="280" t="n"/>
      <c r="Y146" s="280" t="n"/>
    </row>
    <row r="147" ht="15" customHeight="1" s="195">
      <c r="A147" s="334" t="n"/>
      <c r="B147" s="334" t="n"/>
      <c r="C147" s="334" t="n"/>
      <c r="D147" s="334" t="n"/>
      <c r="E147" s="334" t="n"/>
      <c r="F147" s="334" t="n"/>
      <c r="G147" s="334" t="n"/>
      <c r="H147" s="334" t="n"/>
      <c r="I147" s="332">
        <f>IFERROR(VLOOKUP(TEXT(H147,"0"),IPRESS!$A$3:$B$212,2,0),"")</f>
        <v/>
      </c>
      <c r="J147" s="334" t="n"/>
      <c r="K147" s="332">
        <f>IFERROR(VLOOKUP(TEXT(O147,"0"),CONDUCTORES!$A$3:$G$54,7,0),"")</f>
        <v/>
      </c>
      <c r="L147" s="334" t="n"/>
      <c r="M147" s="334" t="n"/>
      <c r="N147" s="333">
        <f>IFERROR(IF(L147*M147=0,"",L147*M147),"")</f>
        <v/>
      </c>
      <c r="O147" s="334" t="n"/>
      <c r="P147" s="332">
        <f>IFERROR(VLOOKUP(TEXT(O147,"0"),CONDUCTORES!$A$3:$G$54,2,0),"")</f>
        <v/>
      </c>
      <c r="Q147" s="332">
        <f>IFERROR(VLOOKUP(TEXT(O147,"0"),CONDUCTORES!$A$3:$H$54,6,0),"")</f>
        <v/>
      </c>
      <c r="R147" s="334" t="n"/>
      <c r="S147" s="334" t="n"/>
      <c r="T147" s="334" t="n"/>
      <c r="U147" s="334" t="n"/>
      <c r="V147" s="334" t="n"/>
      <c r="W147" s="334" t="n"/>
      <c r="X147" s="334" t="n"/>
      <c r="Y147" s="334" t="n"/>
    </row>
    <row r="148" ht="15" customHeight="1" s="195">
      <c r="A148" s="280" t="n"/>
      <c r="B148" s="280" t="n"/>
      <c r="C148" s="280" t="n"/>
      <c r="D148" s="280" t="n"/>
      <c r="E148" s="280" t="n"/>
      <c r="F148" s="280" t="n"/>
      <c r="G148" s="280" t="n"/>
      <c r="H148" s="280" t="n"/>
      <c r="I148" s="332">
        <f>IFERROR(VLOOKUP(TEXT(H148,"0"),IPRESS!$A$3:$B$212,2,0),"")</f>
        <v/>
      </c>
      <c r="J148" s="280" t="n"/>
      <c r="K148" s="332">
        <f>IFERROR(VLOOKUP(TEXT(O148,"0"),CONDUCTORES!$A$3:$G$54,7,0),"")</f>
        <v/>
      </c>
      <c r="L148" s="280" t="n"/>
      <c r="M148" s="280" t="n"/>
      <c r="N148" s="333">
        <f>IFERROR(IF(L148*M148=0,"",L148*M148),"")</f>
        <v/>
      </c>
      <c r="O148" s="280" t="n"/>
      <c r="P148" s="332">
        <f>IFERROR(VLOOKUP(TEXT(O148,"0"),CONDUCTORES!$A$3:$G$54,2,0),"")</f>
        <v/>
      </c>
      <c r="Q148" s="332">
        <f>IFERROR(VLOOKUP(TEXT(O148,"0"),CONDUCTORES!$A$3:$H$54,6,0),"")</f>
        <v/>
      </c>
      <c r="R148" s="280" t="n"/>
      <c r="S148" s="280" t="n"/>
      <c r="T148" s="280" t="n"/>
      <c r="U148" s="280" t="n"/>
      <c r="V148" s="280" t="n"/>
      <c r="W148" s="280" t="n"/>
      <c r="X148" s="280" t="n"/>
      <c r="Y148" s="280" t="n"/>
    </row>
    <row r="149" ht="15" customHeight="1" s="195">
      <c r="A149" s="334" t="n"/>
      <c r="B149" s="334" t="n"/>
      <c r="C149" s="334" t="n"/>
      <c r="D149" s="334" t="n"/>
      <c r="E149" s="334" t="n"/>
      <c r="F149" s="334" t="n"/>
      <c r="G149" s="334" t="n"/>
      <c r="H149" s="334" t="n"/>
      <c r="I149" s="332">
        <f>IFERROR(VLOOKUP(TEXT(H149,"0"),IPRESS!$A$3:$B$212,2,0),"")</f>
        <v/>
      </c>
      <c r="J149" s="334" t="n"/>
      <c r="K149" s="332">
        <f>IFERROR(VLOOKUP(TEXT(O149,"0"),CONDUCTORES!$A$3:$G$54,7,0),"")</f>
        <v/>
      </c>
      <c r="L149" s="334" t="n"/>
      <c r="M149" s="334" t="n"/>
      <c r="N149" s="333">
        <f>IFERROR(IF(L149*M149=0,"",L149*M149),"")</f>
        <v/>
      </c>
      <c r="O149" s="334" t="n"/>
      <c r="P149" s="332">
        <f>IFERROR(VLOOKUP(TEXT(O149,"0"),CONDUCTORES!$A$3:$G$54,2,0),"")</f>
        <v/>
      </c>
      <c r="Q149" s="332">
        <f>IFERROR(VLOOKUP(TEXT(O149,"0"),CONDUCTORES!$A$3:$H$54,6,0),"")</f>
        <v/>
      </c>
      <c r="R149" s="334" t="n"/>
      <c r="S149" s="334" t="n"/>
      <c r="T149" s="334" t="n"/>
      <c r="U149" s="334" t="n"/>
      <c r="V149" s="334" t="n"/>
      <c r="W149" s="334" t="n"/>
      <c r="X149" s="334" t="n"/>
      <c r="Y149" s="334" t="n"/>
    </row>
    <row r="150" ht="15" customHeight="1" s="195">
      <c r="A150" s="280" t="n"/>
      <c r="B150" s="280" t="n"/>
      <c r="C150" s="280" t="n"/>
      <c r="D150" s="280" t="n"/>
      <c r="E150" s="280" t="n"/>
      <c r="F150" s="280" t="n"/>
      <c r="G150" s="280" t="n"/>
      <c r="H150" s="280" t="n"/>
      <c r="I150" s="332">
        <f>IFERROR(VLOOKUP(TEXT(H150,"0"),IPRESS!$A$3:$B$212,2,0),"")</f>
        <v/>
      </c>
      <c r="J150" s="280" t="n"/>
      <c r="K150" s="332">
        <f>IFERROR(VLOOKUP(TEXT(O150,"0"),CONDUCTORES!$A$3:$G$54,7,0),"")</f>
        <v/>
      </c>
      <c r="L150" s="280" t="n"/>
      <c r="M150" s="280" t="n"/>
      <c r="N150" s="333">
        <f>IFERROR(IF(L150*M150=0,"",L150*M150),"")</f>
        <v/>
      </c>
      <c r="O150" s="280" t="n"/>
      <c r="P150" s="332">
        <f>IFERROR(VLOOKUP(TEXT(O150,"0"),CONDUCTORES!$A$3:$G$54,2,0),"")</f>
        <v/>
      </c>
      <c r="Q150" s="332">
        <f>IFERROR(VLOOKUP(TEXT(O150,"0"),CONDUCTORES!$A$3:$H$54,6,0),"")</f>
        <v/>
      </c>
      <c r="R150" s="280" t="n"/>
      <c r="S150" s="280" t="n"/>
      <c r="T150" s="280" t="n"/>
      <c r="U150" s="280" t="n"/>
      <c r="V150" s="280" t="n"/>
      <c r="W150" s="280" t="n"/>
      <c r="X150" s="280" t="n"/>
      <c r="Y150" s="280" t="n"/>
    </row>
    <row r="151" ht="15" customHeight="1" s="195">
      <c r="A151" s="334" t="n"/>
      <c r="B151" s="334" t="n"/>
      <c r="C151" s="334" t="n"/>
      <c r="D151" s="334" t="n"/>
      <c r="E151" s="334" t="n"/>
      <c r="F151" s="334" t="n"/>
      <c r="G151" s="334" t="n"/>
      <c r="H151" s="334" t="n"/>
      <c r="I151" s="332">
        <f>IFERROR(VLOOKUP(TEXT(H151,"0"),IPRESS!$A$3:$B$212,2,0),"")</f>
        <v/>
      </c>
      <c r="J151" s="334" t="n"/>
      <c r="K151" s="332">
        <f>IFERROR(VLOOKUP(TEXT(O151,"0"),CONDUCTORES!$A$3:$G$54,7,0),"")</f>
        <v/>
      </c>
      <c r="L151" s="334" t="n"/>
      <c r="M151" s="334" t="n"/>
      <c r="N151" s="333">
        <f>IFERROR(IF(L151*M151=0,"",L151*M151),"")</f>
        <v/>
      </c>
      <c r="O151" s="334" t="n"/>
      <c r="P151" s="332">
        <f>IFERROR(VLOOKUP(TEXT(O151,"0"),CONDUCTORES!$A$3:$G$54,2,0),"")</f>
        <v/>
      </c>
      <c r="Q151" s="332">
        <f>IFERROR(VLOOKUP(TEXT(O151,"0"),CONDUCTORES!$A$3:$H$54,6,0),"")</f>
        <v/>
      </c>
      <c r="R151" s="334" t="n"/>
      <c r="S151" s="334" t="n"/>
      <c r="T151" s="334" t="n"/>
      <c r="U151" s="334" t="n"/>
      <c r="V151" s="334" t="n"/>
      <c r="W151" s="334" t="n"/>
      <c r="X151" s="334" t="n"/>
      <c r="Y151" s="334" t="n"/>
    </row>
    <row r="152" ht="15" customHeight="1" s="195">
      <c r="A152" s="280" t="n"/>
      <c r="B152" s="280" t="n"/>
      <c r="C152" s="280" t="n"/>
      <c r="D152" s="280" t="n"/>
      <c r="E152" s="280" t="n"/>
      <c r="F152" s="280" t="n"/>
      <c r="G152" s="280" t="n"/>
      <c r="H152" s="280" t="n"/>
      <c r="I152" s="332">
        <f>IFERROR(VLOOKUP(TEXT(H152,"0"),IPRESS!$A$3:$B$212,2,0),"")</f>
        <v/>
      </c>
      <c r="J152" s="280" t="n"/>
      <c r="K152" s="332">
        <f>IFERROR(VLOOKUP(TEXT(O152,"0"),CONDUCTORES!$A$3:$G$54,7,0),"")</f>
        <v/>
      </c>
      <c r="L152" s="280" t="n"/>
      <c r="M152" s="280" t="n"/>
      <c r="N152" s="333">
        <f>IFERROR(IF(L152*M152=0,"",L152*M152),"")</f>
        <v/>
      </c>
      <c r="O152" s="280" t="n"/>
      <c r="P152" s="332">
        <f>IFERROR(VLOOKUP(TEXT(O152,"0"),CONDUCTORES!$A$3:$G$54,2,0),"")</f>
        <v/>
      </c>
      <c r="Q152" s="332">
        <f>IFERROR(VLOOKUP(TEXT(O152,"0"),CONDUCTORES!$A$3:$H$54,6,0),"")</f>
        <v/>
      </c>
      <c r="R152" s="280" t="n"/>
      <c r="S152" s="280" t="n"/>
      <c r="T152" s="280" t="n"/>
      <c r="U152" s="280" t="n"/>
      <c r="V152" s="280" t="n"/>
      <c r="W152" s="280" t="n"/>
      <c r="X152" s="280" t="n"/>
      <c r="Y152" s="280" t="n"/>
    </row>
    <row r="153" ht="15" customHeight="1" s="195">
      <c r="A153" s="334" t="n"/>
      <c r="B153" s="334" t="n"/>
      <c r="C153" s="334" t="n"/>
      <c r="D153" s="334" t="n"/>
      <c r="E153" s="334" t="n"/>
      <c r="F153" s="334" t="n"/>
      <c r="G153" s="334" t="n"/>
      <c r="H153" s="334" t="n"/>
      <c r="I153" s="332">
        <f>IFERROR(VLOOKUP(TEXT(H153,"0"),IPRESS!$A$3:$B$212,2,0),"")</f>
        <v/>
      </c>
      <c r="J153" s="334" t="n"/>
      <c r="K153" s="332">
        <f>IFERROR(VLOOKUP(TEXT(O153,"0"),CONDUCTORES!$A$3:$G$54,7,0),"")</f>
        <v/>
      </c>
      <c r="L153" s="334" t="n"/>
      <c r="M153" s="334" t="n"/>
      <c r="N153" s="333">
        <f>IFERROR(IF(L153*M153=0,"",L153*M153),"")</f>
        <v/>
      </c>
      <c r="O153" s="334" t="n"/>
      <c r="P153" s="332">
        <f>IFERROR(VLOOKUP(TEXT(O153,"0"),CONDUCTORES!$A$3:$G$54,2,0),"")</f>
        <v/>
      </c>
      <c r="Q153" s="332">
        <f>IFERROR(VLOOKUP(TEXT(O153,"0"),CONDUCTORES!$A$3:$H$54,6,0),"")</f>
        <v/>
      </c>
      <c r="R153" s="334" t="n"/>
      <c r="S153" s="334" t="n"/>
      <c r="T153" s="334" t="n"/>
      <c r="U153" s="334" t="n"/>
      <c r="V153" s="334" t="n"/>
      <c r="W153" s="334" t="n"/>
      <c r="X153" s="334" t="n"/>
      <c r="Y153" s="334" t="n"/>
    </row>
    <row r="154" ht="15" customHeight="1" s="195">
      <c r="A154" s="280" t="n"/>
      <c r="B154" s="280" t="n"/>
      <c r="C154" s="280" t="n"/>
      <c r="D154" s="280" t="n"/>
      <c r="E154" s="280" t="n"/>
      <c r="F154" s="280" t="n"/>
      <c r="G154" s="280" t="n"/>
      <c r="H154" s="280" t="n"/>
      <c r="I154" s="332">
        <f>IFERROR(VLOOKUP(TEXT(H154,"0"),IPRESS!$A$3:$B$212,2,0),"")</f>
        <v/>
      </c>
      <c r="J154" s="280" t="n"/>
      <c r="K154" s="332">
        <f>IFERROR(VLOOKUP(TEXT(O154,"0"),CONDUCTORES!$A$3:$G$54,7,0),"")</f>
        <v/>
      </c>
      <c r="L154" s="280" t="n"/>
      <c r="M154" s="280" t="n"/>
      <c r="N154" s="333">
        <f>IFERROR(IF(L154*M154=0,"",L154*M154),"")</f>
        <v/>
      </c>
      <c r="O154" s="280" t="n"/>
      <c r="P154" s="332">
        <f>IFERROR(VLOOKUP(TEXT(O154,"0"),CONDUCTORES!$A$3:$G$54,2,0),"")</f>
        <v/>
      </c>
      <c r="Q154" s="332">
        <f>IFERROR(VLOOKUP(TEXT(O154,"0"),CONDUCTORES!$A$3:$H$54,6,0),"")</f>
        <v/>
      </c>
      <c r="R154" s="280" t="n"/>
      <c r="S154" s="280" t="n"/>
      <c r="T154" s="280" t="n"/>
      <c r="U154" s="280" t="n"/>
      <c r="V154" s="280" t="n"/>
      <c r="W154" s="280" t="n"/>
      <c r="X154" s="280" t="n"/>
      <c r="Y154" s="280" t="n"/>
    </row>
    <row r="155" ht="15" customHeight="1" s="195">
      <c r="A155" s="334" t="n"/>
      <c r="B155" s="334" t="n"/>
      <c r="C155" s="334" t="n"/>
      <c r="D155" s="334" t="n"/>
      <c r="E155" s="334" t="n"/>
      <c r="F155" s="334" t="n"/>
      <c r="G155" s="334" t="n"/>
      <c r="H155" s="334" t="n"/>
      <c r="I155" s="332">
        <f>IFERROR(VLOOKUP(TEXT(H155,"0"),IPRESS!$A$3:$B$212,2,0),"")</f>
        <v/>
      </c>
      <c r="J155" s="334" t="n"/>
      <c r="K155" s="332">
        <f>IFERROR(VLOOKUP(TEXT(O155,"0"),CONDUCTORES!$A$3:$G$54,7,0),"")</f>
        <v/>
      </c>
      <c r="L155" s="334" t="n"/>
      <c r="M155" s="334" t="n"/>
      <c r="N155" s="333">
        <f>IFERROR(IF(L155*M155=0,"",L155*M155),"")</f>
        <v/>
      </c>
      <c r="O155" s="334" t="n"/>
      <c r="P155" s="332">
        <f>IFERROR(VLOOKUP(TEXT(O155,"0"),CONDUCTORES!$A$3:$G$54,2,0),"")</f>
        <v/>
      </c>
      <c r="Q155" s="332">
        <f>IFERROR(VLOOKUP(TEXT(O155,"0"),CONDUCTORES!$A$3:$H$54,6,0),"")</f>
        <v/>
      </c>
      <c r="R155" s="334" t="n"/>
      <c r="S155" s="334" t="n"/>
      <c r="T155" s="334" t="n"/>
      <c r="U155" s="334" t="n"/>
      <c r="V155" s="334" t="n"/>
      <c r="W155" s="334" t="n"/>
      <c r="X155" s="334" t="n"/>
      <c r="Y155" s="334" t="n"/>
    </row>
    <row r="156" ht="15" customHeight="1" s="195">
      <c r="A156" s="280" t="n"/>
      <c r="B156" s="280" t="n"/>
      <c r="C156" s="280" t="n"/>
      <c r="D156" s="280" t="n"/>
      <c r="E156" s="280" t="n"/>
      <c r="F156" s="280" t="n"/>
      <c r="G156" s="280" t="n"/>
      <c r="H156" s="280" t="n"/>
      <c r="I156" s="332">
        <f>IFERROR(VLOOKUP(TEXT(H156,"0"),IPRESS!$A$3:$B$212,2,0),"")</f>
        <v/>
      </c>
      <c r="J156" s="280" t="n"/>
      <c r="K156" s="332">
        <f>IFERROR(VLOOKUP(TEXT(O156,"0"),CONDUCTORES!$A$3:$G$54,7,0),"")</f>
        <v/>
      </c>
      <c r="L156" s="280" t="n"/>
      <c r="M156" s="280" t="n"/>
      <c r="N156" s="333">
        <f>IFERROR(IF(L156*M156=0,"",L156*M156),"")</f>
        <v/>
      </c>
      <c r="O156" s="280" t="n"/>
      <c r="P156" s="332">
        <f>IFERROR(VLOOKUP(TEXT(O156,"0"),CONDUCTORES!$A$3:$G$54,2,0),"")</f>
        <v/>
      </c>
      <c r="Q156" s="332">
        <f>IFERROR(VLOOKUP(TEXT(O156,"0"),CONDUCTORES!$A$3:$H$54,6,0),"")</f>
        <v/>
      </c>
      <c r="R156" s="280" t="n"/>
      <c r="S156" s="280" t="n"/>
      <c r="T156" s="280" t="n"/>
      <c r="U156" s="280" t="n"/>
      <c r="V156" s="280" t="n"/>
      <c r="W156" s="280" t="n"/>
      <c r="X156" s="280" t="n"/>
      <c r="Y156" s="280" t="n"/>
    </row>
    <row r="157" ht="15" customHeight="1" s="195">
      <c r="A157" s="334" t="n"/>
      <c r="B157" s="334" t="n"/>
      <c r="C157" s="334" t="n"/>
      <c r="D157" s="334" t="n"/>
      <c r="E157" s="334" t="n"/>
      <c r="F157" s="334" t="n"/>
      <c r="G157" s="334" t="n"/>
      <c r="H157" s="334" t="n"/>
      <c r="I157" s="332">
        <f>IFERROR(VLOOKUP(TEXT(H157,"0"),IPRESS!$A$3:$B$212,2,0),"")</f>
        <v/>
      </c>
      <c r="J157" s="334" t="n"/>
      <c r="K157" s="332">
        <f>IFERROR(VLOOKUP(TEXT(O157,"0"),CONDUCTORES!$A$3:$G$54,7,0),"")</f>
        <v/>
      </c>
      <c r="L157" s="334" t="n"/>
      <c r="M157" s="334" t="n"/>
      <c r="N157" s="333">
        <f>IFERROR(IF(L157*M157=0,"",L157*M157),"")</f>
        <v/>
      </c>
      <c r="O157" s="334" t="n"/>
      <c r="P157" s="332">
        <f>IFERROR(VLOOKUP(TEXT(O157,"0"),CONDUCTORES!$A$3:$G$54,2,0),"")</f>
        <v/>
      </c>
      <c r="Q157" s="332">
        <f>IFERROR(VLOOKUP(TEXT(O157,"0"),CONDUCTORES!$A$3:$H$54,6,0),"")</f>
        <v/>
      </c>
      <c r="R157" s="334" t="n"/>
      <c r="S157" s="334" t="n"/>
      <c r="T157" s="334" t="n"/>
      <c r="U157" s="334" t="n"/>
      <c r="V157" s="334" t="n"/>
      <c r="W157" s="334" t="n"/>
      <c r="X157" s="334" t="n"/>
      <c r="Y157" s="334" t="n"/>
    </row>
    <row r="158" ht="15" customHeight="1" s="195">
      <c r="A158" s="280" t="n"/>
      <c r="B158" s="280" t="n"/>
      <c r="C158" s="280" t="n"/>
      <c r="D158" s="280" t="n"/>
      <c r="E158" s="280" t="n"/>
      <c r="F158" s="280" t="n"/>
      <c r="G158" s="280" t="n"/>
      <c r="H158" s="280" t="n"/>
      <c r="I158" s="332">
        <f>IFERROR(VLOOKUP(TEXT(H158,"0"),IPRESS!$A$3:$B$212,2,0),"")</f>
        <v/>
      </c>
      <c r="J158" s="280" t="n"/>
      <c r="K158" s="332">
        <f>IFERROR(VLOOKUP(TEXT(O158,"0"),CONDUCTORES!$A$3:$G$54,7,0),"")</f>
        <v/>
      </c>
      <c r="L158" s="280" t="n"/>
      <c r="M158" s="280" t="n"/>
      <c r="N158" s="333">
        <f>IFERROR(IF(L158*M158=0,"",L158*M158),"")</f>
        <v/>
      </c>
      <c r="O158" s="280" t="n"/>
      <c r="P158" s="332">
        <f>IFERROR(VLOOKUP(TEXT(O158,"0"),CONDUCTORES!$A$3:$G$54,2,0),"")</f>
        <v/>
      </c>
      <c r="Q158" s="332">
        <f>IFERROR(VLOOKUP(TEXT(O158,"0"),CONDUCTORES!$A$3:$H$54,6,0),"")</f>
        <v/>
      </c>
      <c r="R158" s="280" t="n"/>
      <c r="S158" s="280" t="n"/>
      <c r="T158" s="280" t="n"/>
      <c r="U158" s="280" t="n"/>
      <c r="V158" s="280" t="n"/>
      <c r="W158" s="280" t="n"/>
      <c r="X158" s="280" t="n"/>
      <c r="Y158" s="280" t="n"/>
    </row>
    <row r="159" ht="15" customHeight="1" s="195">
      <c r="A159" s="334" t="n"/>
      <c r="B159" s="334" t="n"/>
      <c r="C159" s="334" t="n"/>
      <c r="D159" s="334" t="n"/>
      <c r="E159" s="334" t="n"/>
      <c r="F159" s="334" t="n"/>
      <c r="G159" s="334" t="n"/>
      <c r="H159" s="334" t="n"/>
      <c r="I159" s="332">
        <f>IFERROR(VLOOKUP(TEXT(H159,"0"),IPRESS!$A$3:$B$212,2,0),"")</f>
        <v/>
      </c>
      <c r="J159" s="334" t="n"/>
      <c r="K159" s="332">
        <f>IFERROR(VLOOKUP(TEXT(O159,"0"),CONDUCTORES!$A$3:$G$54,7,0),"")</f>
        <v/>
      </c>
      <c r="L159" s="334" t="n"/>
      <c r="M159" s="334" t="n"/>
      <c r="N159" s="333">
        <f>IFERROR(IF(L159*M159=0,"",L159*M159),"")</f>
        <v/>
      </c>
      <c r="O159" s="334" t="n"/>
      <c r="P159" s="332">
        <f>IFERROR(VLOOKUP(TEXT(O159,"0"),CONDUCTORES!$A$3:$G$54,2,0),"")</f>
        <v/>
      </c>
      <c r="Q159" s="332">
        <f>IFERROR(VLOOKUP(TEXT(O159,"0"),CONDUCTORES!$A$3:$H$54,6,0),"")</f>
        <v/>
      </c>
      <c r="R159" s="334" t="n"/>
      <c r="S159" s="334" t="n"/>
      <c r="T159" s="334" t="n"/>
      <c r="U159" s="334" t="n"/>
      <c r="V159" s="334" t="n"/>
      <c r="W159" s="334" t="n"/>
      <c r="X159" s="334" t="n"/>
      <c r="Y159" s="334" t="n"/>
    </row>
    <row r="160" ht="15" customHeight="1" s="195">
      <c r="A160" s="280" t="n"/>
      <c r="B160" s="280" t="n"/>
      <c r="C160" s="280" t="n"/>
      <c r="D160" s="280" t="n"/>
      <c r="E160" s="280" t="n"/>
      <c r="F160" s="280" t="n"/>
      <c r="G160" s="280" t="n"/>
      <c r="H160" s="280" t="n"/>
      <c r="I160" s="332">
        <f>IFERROR(VLOOKUP(TEXT(H160,"0"),IPRESS!$A$3:$B$212,2,0),"")</f>
        <v/>
      </c>
      <c r="J160" s="280" t="n"/>
      <c r="K160" s="332">
        <f>IFERROR(VLOOKUP(TEXT(O160,"0"),CONDUCTORES!$A$3:$G$54,7,0),"")</f>
        <v/>
      </c>
      <c r="L160" s="280" t="n"/>
      <c r="M160" s="280" t="n"/>
      <c r="N160" s="333">
        <f>IFERROR(IF(L160*M160=0,"",L160*M160),"")</f>
        <v/>
      </c>
      <c r="O160" s="280" t="n"/>
      <c r="P160" s="332">
        <f>IFERROR(VLOOKUP(TEXT(O160,"0"),CONDUCTORES!$A$3:$G$54,2,0),"")</f>
        <v/>
      </c>
      <c r="Q160" s="332">
        <f>IFERROR(VLOOKUP(TEXT(O160,"0"),CONDUCTORES!$A$3:$H$54,6,0),"")</f>
        <v/>
      </c>
      <c r="R160" s="280" t="n"/>
      <c r="S160" s="280" t="n"/>
      <c r="T160" s="280" t="n"/>
      <c r="U160" s="280" t="n"/>
      <c r="V160" s="280" t="n"/>
      <c r="W160" s="280" t="n"/>
      <c r="X160" s="280" t="n"/>
      <c r="Y160" s="280" t="n"/>
    </row>
    <row r="161" ht="15" customHeight="1" s="195">
      <c r="A161" s="334" t="n"/>
      <c r="B161" s="334" t="n"/>
      <c r="C161" s="334" t="n"/>
      <c r="D161" s="334" t="n"/>
      <c r="E161" s="334" t="n"/>
      <c r="F161" s="334" t="n"/>
      <c r="G161" s="334" t="n"/>
      <c r="H161" s="334" t="n"/>
      <c r="I161" s="332">
        <f>IFERROR(VLOOKUP(TEXT(H161,"0"),IPRESS!$A$3:$B$212,2,0),"")</f>
        <v/>
      </c>
      <c r="J161" s="334" t="n"/>
      <c r="K161" s="332">
        <f>IFERROR(VLOOKUP(TEXT(O161,"0"),CONDUCTORES!$A$3:$G$54,7,0),"")</f>
        <v/>
      </c>
      <c r="L161" s="334" t="n"/>
      <c r="M161" s="334" t="n"/>
      <c r="N161" s="333">
        <f>IFERROR(IF(L161*M161=0,"",L161*M161),"")</f>
        <v/>
      </c>
      <c r="O161" s="334" t="n"/>
      <c r="P161" s="332">
        <f>IFERROR(VLOOKUP(TEXT(O161,"0"),CONDUCTORES!$A$3:$G$54,2,0),"")</f>
        <v/>
      </c>
      <c r="Q161" s="332">
        <f>IFERROR(VLOOKUP(TEXT(O161,"0"),CONDUCTORES!$A$3:$H$54,6,0),"")</f>
        <v/>
      </c>
      <c r="R161" s="334" t="n"/>
      <c r="S161" s="334" t="n"/>
      <c r="T161" s="334" t="n"/>
      <c r="U161" s="334" t="n"/>
      <c r="V161" s="334" t="n"/>
      <c r="W161" s="334" t="n"/>
      <c r="X161" s="334" t="n"/>
      <c r="Y161" s="334" t="n"/>
    </row>
    <row r="162" ht="15" customHeight="1" s="195">
      <c r="A162" s="280" t="n"/>
      <c r="B162" s="280" t="n"/>
      <c r="C162" s="280" t="n"/>
      <c r="D162" s="280" t="n"/>
      <c r="E162" s="280" t="n"/>
      <c r="F162" s="280" t="n"/>
      <c r="G162" s="280" t="n"/>
      <c r="H162" s="280" t="n"/>
      <c r="I162" s="332">
        <f>IFERROR(VLOOKUP(TEXT(H162,"0"),IPRESS!$A$3:$B$212,2,0),"")</f>
        <v/>
      </c>
      <c r="J162" s="280" t="n"/>
      <c r="K162" s="332">
        <f>IFERROR(VLOOKUP(TEXT(O162,"0"),CONDUCTORES!$A$3:$G$54,7,0),"")</f>
        <v/>
      </c>
      <c r="L162" s="280" t="n"/>
      <c r="M162" s="280" t="n"/>
      <c r="N162" s="333">
        <f>IFERROR(IF(L162*M162=0,"",L162*M162),"")</f>
        <v/>
      </c>
      <c r="O162" s="280" t="n"/>
      <c r="P162" s="332">
        <f>IFERROR(VLOOKUP(TEXT(O162,"0"),CONDUCTORES!$A$3:$G$54,2,0),"")</f>
        <v/>
      </c>
      <c r="Q162" s="332">
        <f>IFERROR(VLOOKUP(TEXT(O162,"0"),CONDUCTORES!$A$3:$H$54,6,0),"")</f>
        <v/>
      </c>
      <c r="R162" s="280" t="n"/>
      <c r="S162" s="280" t="n"/>
      <c r="T162" s="280" t="n"/>
      <c r="U162" s="280" t="n"/>
      <c r="V162" s="280" t="n"/>
      <c r="W162" s="280" t="n"/>
      <c r="X162" s="280" t="n"/>
      <c r="Y162" s="280" t="n"/>
    </row>
    <row r="163" ht="15" customHeight="1" s="195">
      <c r="A163" s="334" t="n"/>
      <c r="B163" s="334" t="n"/>
      <c r="C163" s="334" t="n"/>
      <c r="D163" s="334" t="n"/>
      <c r="E163" s="334" t="n"/>
      <c r="F163" s="334" t="n"/>
      <c r="G163" s="334" t="n"/>
      <c r="H163" s="334" t="n"/>
      <c r="I163" s="332">
        <f>IFERROR(VLOOKUP(TEXT(H163,"0"),IPRESS!$A$3:$B$212,2,0),"")</f>
        <v/>
      </c>
      <c r="J163" s="334" t="n"/>
      <c r="K163" s="332">
        <f>IFERROR(VLOOKUP(TEXT(O163,"0"),CONDUCTORES!$A$3:$G$54,7,0),"")</f>
        <v/>
      </c>
      <c r="L163" s="334" t="n"/>
      <c r="M163" s="334" t="n"/>
      <c r="N163" s="333">
        <f>IFERROR(IF(L163*M163=0,"",L163*M163),"")</f>
        <v/>
      </c>
      <c r="O163" s="334" t="n"/>
      <c r="P163" s="332">
        <f>IFERROR(VLOOKUP(TEXT(O163,"0"),CONDUCTORES!$A$3:$G$54,2,0),"")</f>
        <v/>
      </c>
      <c r="Q163" s="332">
        <f>IFERROR(VLOOKUP(TEXT(O163,"0"),CONDUCTORES!$A$3:$H$54,6,0),"")</f>
        <v/>
      </c>
      <c r="R163" s="334" t="n"/>
      <c r="S163" s="334" t="n"/>
      <c r="T163" s="334" t="n"/>
      <c r="U163" s="334" t="n"/>
      <c r="V163" s="334" t="n"/>
      <c r="W163" s="334" t="n"/>
      <c r="X163" s="334" t="n"/>
      <c r="Y163" s="334" t="n"/>
    </row>
    <row r="164" ht="15" customHeight="1" s="195">
      <c r="A164" s="280" t="n"/>
      <c r="B164" s="280" t="n"/>
      <c r="C164" s="280" t="n"/>
      <c r="D164" s="280" t="n"/>
      <c r="E164" s="280" t="n"/>
      <c r="F164" s="280" t="n"/>
      <c r="G164" s="280" t="n"/>
      <c r="H164" s="280" t="n"/>
      <c r="I164" s="332">
        <f>IFERROR(VLOOKUP(TEXT(H164,"0"),IPRESS!$A$3:$B$212,2,0),"")</f>
        <v/>
      </c>
      <c r="J164" s="280" t="n"/>
      <c r="K164" s="332">
        <f>IFERROR(VLOOKUP(TEXT(O164,"0"),CONDUCTORES!$A$3:$G$54,7,0),"")</f>
        <v/>
      </c>
      <c r="L164" s="280" t="n"/>
      <c r="M164" s="280" t="n"/>
      <c r="N164" s="333">
        <f>IFERROR(IF(L164*M164=0,"",L164*M164),"")</f>
        <v/>
      </c>
      <c r="O164" s="280" t="n"/>
      <c r="P164" s="332">
        <f>IFERROR(VLOOKUP(TEXT(O164,"0"),CONDUCTORES!$A$3:$G$54,2,0),"")</f>
        <v/>
      </c>
      <c r="Q164" s="332">
        <f>IFERROR(VLOOKUP(TEXT(O164,"0"),CONDUCTORES!$A$3:$H$54,6,0),"")</f>
        <v/>
      </c>
      <c r="R164" s="280" t="n"/>
      <c r="S164" s="280" t="n"/>
      <c r="T164" s="280" t="n"/>
      <c r="U164" s="280" t="n"/>
      <c r="V164" s="280" t="n"/>
      <c r="W164" s="280" t="n"/>
      <c r="X164" s="280" t="n"/>
      <c r="Y164" s="280" t="n"/>
    </row>
    <row r="165" ht="15" customHeight="1" s="195">
      <c r="A165" s="334" t="n"/>
      <c r="B165" s="334" t="n"/>
      <c r="C165" s="334" t="n"/>
      <c r="D165" s="334" t="n"/>
      <c r="E165" s="334" t="n"/>
      <c r="F165" s="334" t="n"/>
      <c r="G165" s="334" t="n"/>
      <c r="H165" s="334" t="n"/>
      <c r="I165" s="332">
        <f>IFERROR(VLOOKUP(TEXT(H165,"0"),IPRESS!$A$3:$B$212,2,0),"")</f>
        <v/>
      </c>
      <c r="J165" s="334" t="n"/>
      <c r="K165" s="332">
        <f>IFERROR(VLOOKUP(TEXT(O165,"0"),CONDUCTORES!$A$3:$G$54,7,0),"")</f>
        <v/>
      </c>
      <c r="L165" s="334" t="n"/>
      <c r="M165" s="334" t="n"/>
      <c r="N165" s="333">
        <f>IFERROR(IF(L165*M165=0,"",L165*M165),"")</f>
        <v/>
      </c>
      <c r="O165" s="334" t="n"/>
      <c r="P165" s="332">
        <f>IFERROR(VLOOKUP(TEXT(O165,"0"),CONDUCTORES!$A$3:$G$54,2,0),"")</f>
        <v/>
      </c>
      <c r="Q165" s="332">
        <f>IFERROR(VLOOKUP(TEXT(O165,"0"),CONDUCTORES!$A$3:$H$54,6,0),"")</f>
        <v/>
      </c>
      <c r="R165" s="334" t="n"/>
      <c r="S165" s="334" t="n"/>
      <c r="T165" s="334" t="n"/>
      <c r="U165" s="334" t="n"/>
      <c r="V165" s="334" t="n"/>
      <c r="W165" s="334" t="n"/>
      <c r="X165" s="334" t="n"/>
      <c r="Y165" s="334" t="n"/>
    </row>
    <row r="166" ht="15" customHeight="1" s="195">
      <c r="A166" s="280" t="n"/>
      <c r="B166" s="280" t="n"/>
      <c r="C166" s="280" t="n"/>
      <c r="D166" s="280" t="n"/>
      <c r="E166" s="280" t="n"/>
      <c r="F166" s="280" t="n"/>
      <c r="G166" s="280" t="n"/>
      <c r="H166" s="280" t="n"/>
      <c r="I166" s="332">
        <f>IFERROR(VLOOKUP(TEXT(H166,"0"),IPRESS!$A$3:$B$212,2,0),"")</f>
        <v/>
      </c>
      <c r="J166" s="280" t="n"/>
      <c r="K166" s="332">
        <f>IFERROR(VLOOKUP(TEXT(O166,"0"),CONDUCTORES!$A$3:$G$54,7,0),"")</f>
        <v/>
      </c>
      <c r="L166" s="280" t="n"/>
      <c r="M166" s="280" t="n"/>
      <c r="N166" s="333">
        <f>IFERROR(IF(L166*M166=0,"",L166*M166),"")</f>
        <v/>
      </c>
      <c r="O166" s="280" t="n"/>
      <c r="P166" s="332">
        <f>IFERROR(VLOOKUP(TEXT(O166,"0"),CONDUCTORES!$A$3:$G$54,2,0),"")</f>
        <v/>
      </c>
      <c r="Q166" s="332">
        <f>IFERROR(VLOOKUP(TEXT(O166,"0"),CONDUCTORES!$A$3:$H$54,6,0),"")</f>
        <v/>
      </c>
      <c r="R166" s="280" t="n"/>
      <c r="S166" s="280" t="n"/>
      <c r="T166" s="280" t="n"/>
      <c r="U166" s="280" t="n"/>
      <c r="V166" s="280" t="n"/>
      <c r="W166" s="280" t="n"/>
      <c r="X166" s="280" t="n"/>
      <c r="Y166" s="280" t="n"/>
    </row>
    <row r="167" ht="15" customHeight="1" s="195">
      <c r="A167" s="334" t="n"/>
      <c r="B167" s="334" t="n"/>
      <c r="C167" s="334" t="n"/>
      <c r="D167" s="334" t="n"/>
      <c r="E167" s="334" t="n"/>
      <c r="F167" s="334" t="n"/>
      <c r="G167" s="334" t="n"/>
      <c r="H167" s="334" t="n"/>
      <c r="I167" s="332">
        <f>IFERROR(VLOOKUP(TEXT(H167,"0"),IPRESS!$A$3:$B$212,2,0),"")</f>
        <v/>
      </c>
      <c r="J167" s="334" t="n"/>
      <c r="K167" s="332">
        <f>IFERROR(VLOOKUP(TEXT(O167,"0"),CONDUCTORES!$A$3:$G$54,7,0),"")</f>
        <v/>
      </c>
      <c r="L167" s="334" t="n"/>
      <c r="M167" s="334" t="n"/>
      <c r="N167" s="333">
        <f>IFERROR(IF(L167*M167=0,"",L167*M167),"")</f>
        <v/>
      </c>
      <c r="O167" s="334" t="n"/>
      <c r="P167" s="332">
        <f>IFERROR(VLOOKUP(TEXT(O167,"0"),CONDUCTORES!$A$3:$G$54,2,0),"")</f>
        <v/>
      </c>
      <c r="Q167" s="332">
        <f>IFERROR(VLOOKUP(TEXT(O167,"0"),CONDUCTORES!$A$3:$H$54,6,0),"")</f>
        <v/>
      </c>
      <c r="R167" s="334" t="n"/>
      <c r="S167" s="334" t="n"/>
      <c r="T167" s="334" t="n"/>
      <c r="U167" s="334" t="n"/>
      <c r="V167" s="334" t="n"/>
      <c r="W167" s="334" t="n"/>
      <c r="X167" s="334" t="n"/>
      <c r="Y167" s="334" t="n"/>
    </row>
    <row r="168" ht="15" customHeight="1" s="195">
      <c r="A168" s="280" t="n"/>
      <c r="B168" s="280" t="n"/>
      <c r="C168" s="280" t="n"/>
      <c r="D168" s="280" t="n"/>
      <c r="E168" s="280" t="n"/>
      <c r="F168" s="280" t="n"/>
      <c r="G168" s="280" t="n"/>
      <c r="H168" s="280" t="n"/>
      <c r="I168" s="332">
        <f>IFERROR(VLOOKUP(TEXT(H168,"0"),IPRESS!$A$3:$B$212,2,0),"")</f>
        <v/>
      </c>
      <c r="J168" s="280" t="n"/>
      <c r="K168" s="332">
        <f>IFERROR(VLOOKUP(TEXT(O168,"0"),CONDUCTORES!$A$3:$G$54,7,0),"")</f>
        <v/>
      </c>
      <c r="L168" s="280" t="n"/>
      <c r="M168" s="280" t="n"/>
      <c r="N168" s="333">
        <f>IFERROR(IF(L168*M168=0,"",L168*M168),"")</f>
        <v/>
      </c>
      <c r="O168" s="280" t="n"/>
      <c r="P168" s="332">
        <f>IFERROR(VLOOKUP(TEXT(O168,"0"),CONDUCTORES!$A$3:$G$54,2,0),"")</f>
        <v/>
      </c>
      <c r="Q168" s="332">
        <f>IFERROR(VLOOKUP(TEXT(O168,"0"),CONDUCTORES!$A$3:$H$54,6,0),"")</f>
        <v/>
      </c>
      <c r="R168" s="280" t="n"/>
      <c r="S168" s="280" t="n"/>
      <c r="T168" s="280" t="n"/>
      <c r="U168" s="280" t="n"/>
      <c r="V168" s="280" t="n"/>
      <c r="W168" s="280" t="n"/>
      <c r="X168" s="280" t="n"/>
      <c r="Y168" s="280" t="n"/>
    </row>
    <row r="169" ht="15" customHeight="1" s="195">
      <c r="A169" s="334" t="n"/>
      <c r="B169" s="334" t="n"/>
      <c r="C169" s="334" t="n"/>
      <c r="D169" s="334" t="n"/>
      <c r="E169" s="334" t="n"/>
      <c r="F169" s="334" t="n"/>
      <c r="G169" s="334" t="n"/>
      <c r="H169" s="334" t="n"/>
      <c r="I169" s="332">
        <f>IFERROR(VLOOKUP(TEXT(H169,"0"),IPRESS!$A$3:$B$212,2,0),"")</f>
        <v/>
      </c>
      <c r="J169" s="334" t="n"/>
      <c r="K169" s="332">
        <f>IFERROR(VLOOKUP(TEXT(O169,"0"),CONDUCTORES!$A$3:$G$54,7,0),"")</f>
        <v/>
      </c>
      <c r="L169" s="334" t="n"/>
      <c r="M169" s="334" t="n"/>
      <c r="N169" s="333">
        <f>IFERROR(IF(L169*M169=0,"",L169*M169),"")</f>
        <v/>
      </c>
      <c r="O169" s="334" t="n"/>
      <c r="P169" s="332">
        <f>IFERROR(VLOOKUP(TEXT(O169,"0"),CONDUCTORES!$A$3:$G$54,2,0),"")</f>
        <v/>
      </c>
      <c r="Q169" s="332">
        <f>IFERROR(VLOOKUP(TEXT(O169,"0"),CONDUCTORES!$A$3:$H$54,6,0),"")</f>
        <v/>
      </c>
      <c r="R169" s="334" t="n"/>
      <c r="S169" s="334" t="n"/>
      <c r="T169" s="334" t="n"/>
      <c r="U169" s="334" t="n"/>
      <c r="V169" s="334" t="n"/>
      <c r="W169" s="334" t="n"/>
      <c r="X169" s="334" t="n"/>
      <c r="Y169" s="334" t="n"/>
    </row>
    <row r="170" ht="15" customHeight="1" s="195">
      <c r="A170" s="280" t="n"/>
      <c r="B170" s="280" t="n"/>
      <c r="C170" s="280" t="n"/>
      <c r="D170" s="280" t="n"/>
      <c r="E170" s="280" t="n"/>
      <c r="F170" s="280" t="n"/>
      <c r="G170" s="280" t="n"/>
      <c r="H170" s="280" t="n"/>
      <c r="I170" s="332">
        <f>IFERROR(VLOOKUP(TEXT(H170,"0"),IPRESS!$A$3:$B$212,2,0),"")</f>
        <v/>
      </c>
      <c r="J170" s="280" t="n"/>
      <c r="K170" s="332">
        <f>IFERROR(VLOOKUP(TEXT(O170,"0"),CONDUCTORES!$A$3:$G$54,7,0),"")</f>
        <v/>
      </c>
      <c r="L170" s="280" t="n"/>
      <c r="M170" s="280" t="n"/>
      <c r="N170" s="333">
        <f>IFERROR(IF(L170*M170=0,"",L170*M170),"")</f>
        <v/>
      </c>
      <c r="O170" s="280" t="n"/>
      <c r="P170" s="332">
        <f>IFERROR(VLOOKUP(TEXT(O170,"0"),CONDUCTORES!$A$3:$G$54,2,0),"")</f>
        <v/>
      </c>
      <c r="Q170" s="332">
        <f>IFERROR(VLOOKUP(TEXT(O170,"0"),CONDUCTORES!$A$3:$H$54,6,0),"")</f>
        <v/>
      </c>
      <c r="R170" s="280" t="n"/>
      <c r="S170" s="280" t="n"/>
      <c r="T170" s="280" t="n"/>
      <c r="U170" s="280" t="n"/>
      <c r="V170" s="280" t="n"/>
      <c r="W170" s="280" t="n"/>
      <c r="X170" s="280" t="n"/>
      <c r="Y170" s="280" t="n"/>
    </row>
    <row r="171" ht="15" customHeight="1" s="195">
      <c r="A171" s="334" t="n"/>
      <c r="B171" s="334" t="n"/>
      <c r="C171" s="334" t="n"/>
      <c r="D171" s="334" t="n"/>
      <c r="E171" s="334" t="n"/>
      <c r="F171" s="334" t="n"/>
      <c r="G171" s="334" t="n"/>
      <c r="H171" s="334" t="n"/>
      <c r="I171" s="332">
        <f>IFERROR(VLOOKUP(TEXT(H171,"0"),IPRESS!$A$3:$B$212,2,0),"")</f>
        <v/>
      </c>
      <c r="J171" s="334" t="n"/>
      <c r="K171" s="332">
        <f>IFERROR(VLOOKUP(TEXT(O171,"0"),CONDUCTORES!$A$3:$G$54,7,0),"")</f>
        <v/>
      </c>
      <c r="L171" s="334" t="n"/>
      <c r="M171" s="334" t="n"/>
      <c r="N171" s="333">
        <f>IFERROR(IF(L171*M171=0,"",L171*M171),"")</f>
        <v/>
      </c>
      <c r="O171" s="334" t="n"/>
      <c r="P171" s="332">
        <f>IFERROR(VLOOKUP(TEXT(O171,"0"),CONDUCTORES!$A$3:$G$54,2,0),"")</f>
        <v/>
      </c>
      <c r="Q171" s="332">
        <f>IFERROR(VLOOKUP(TEXT(O171,"0"),CONDUCTORES!$A$3:$H$54,6,0),"")</f>
        <v/>
      </c>
      <c r="R171" s="334" t="n"/>
      <c r="S171" s="334" t="n"/>
      <c r="T171" s="334" t="n"/>
      <c r="U171" s="334" t="n"/>
      <c r="V171" s="334" t="n"/>
      <c r="W171" s="334" t="n"/>
      <c r="X171" s="334" t="n"/>
      <c r="Y171" s="334" t="n"/>
    </row>
    <row r="172" ht="15" customHeight="1" s="195">
      <c r="A172" s="280" t="n"/>
      <c r="B172" s="280" t="n"/>
      <c r="C172" s="280" t="n"/>
      <c r="D172" s="280" t="n"/>
      <c r="E172" s="280" t="n"/>
      <c r="F172" s="280" t="n"/>
      <c r="G172" s="280" t="n"/>
      <c r="H172" s="280" t="n"/>
      <c r="I172" s="332">
        <f>IFERROR(VLOOKUP(TEXT(H172,"0"),IPRESS!$A$3:$B$212,2,0),"")</f>
        <v/>
      </c>
      <c r="J172" s="280" t="n"/>
      <c r="K172" s="332">
        <f>IFERROR(VLOOKUP(TEXT(O172,"0"),CONDUCTORES!$A$3:$G$54,7,0),"")</f>
        <v/>
      </c>
      <c r="L172" s="280" t="n"/>
      <c r="M172" s="280" t="n"/>
      <c r="N172" s="333">
        <f>IFERROR(IF(L172*M172=0,"",L172*M172),"")</f>
        <v/>
      </c>
      <c r="O172" s="280" t="n"/>
      <c r="P172" s="332">
        <f>IFERROR(VLOOKUP(TEXT(O172,"0"),CONDUCTORES!$A$3:$G$54,2,0),"")</f>
        <v/>
      </c>
      <c r="Q172" s="332">
        <f>IFERROR(VLOOKUP(TEXT(O172,"0"),CONDUCTORES!$A$3:$H$54,6,0),"")</f>
        <v/>
      </c>
      <c r="R172" s="280" t="n"/>
      <c r="S172" s="280" t="n"/>
      <c r="T172" s="280" t="n"/>
      <c r="U172" s="280" t="n"/>
      <c r="V172" s="280" t="n"/>
      <c r="W172" s="280" t="n"/>
      <c r="X172" s="280" t="n"/>
      <c r="Y172" s="280" t="n"/>
    </row>
    <row r="173" ht="15" customHeight="1" s="195">
      <c r="A173" s="334" t="n"/>
      <c r="B173" s="334" t="n"/>
      <c r="C173" s="334" t="n"/>
      <c r="D173" s="334" t="n"/>
      <c r="E173" s="334" t="n"/>
      <c r="F173" s="334" t="n"/>
      <c r="G173" s="334" t="n"/>
      <c r="H173" s="334" t="n"/>
      <c r="I173" s="332">
        <f>IFERROR(VLOOKUP(TEXT(H173,"0"),IPRESS!$A$3:$B$212,2,0),"")</f>
        <v/>
      </c>
      <c r="J173" s="334" t="n"/>
      <c r="K173" s="332">
        <f>IFERROR(VLOOKUP(TEXT(O173,"0"),CONDUCTORES!$A$3:$G$54,7,0),"")</f>
        <v/>
      </c>
      <c r="L173" s="334" t="n"/>
      <c r="M173" s="334" t="n"/>
      <c r="N173" s="333">
        <f>IFERROR(IF(L173*M173=0,"",L173*M173),"")</f>
        <v/>
      </c>
      <c r="O173" s="334" t="n"/>
      <c r="P173" s="332">
        <f>IFERROR(VLOOKUP(TEXT(O173,"0"),CONDUCTORES!$A$3:$G$54,2,0),"")</f>
        <v/>
      </c>
      <c r="Q173" s="332">
        <f>IFERROR(VLOOKUP(TEXT(O173,"0"),CONDUCTORES!$A$3:$H$54,6,0),"")</f>
        <v/>
      </c>
      <c r="R173" s="334" t="n"/>
      <c r="S173" s="334" t="n"/>
      <c r="T173" s="334" t="n"/>
      <c r="U173" s="334" t="n"/>
      <c r="V173" s="334" t="n"/>
      <c r="W173" s="334" t="n"/>
      <c r="X173" s="334" t="n"/>
      <c r="Y173" s="334" t="n"/>
    </row>
    <row r="174" ht="15" customHeight="1" s="195">
      <c r="A174" s="280" t="n"/>
      <c r="B174" s="280" t="n"/>
      <c r="C174" s="280" t="n"/>
      <c r="D174" s="280" t="n"/>
      <c r="E174" s="280" t="n"/>
      <c r="F174" s="280" t="n"/>
      <c r="G174" s="280" t="n"/>
      <c r="H174" s="280" t="n"/>
      <c r="I174" s="332">
        <f>IFERROR(VLOOKUP(TEXT(H174,"0"),IPRESS!$A$3:$B$212,2,0),"")</f>
        <v/>
      </c>
      <c r="J174" s="280" t="n"/>
      <c r="K174" s="332">
        <f>IFERROR(VLOOKUP(TEXT(O174,"0"),CONDUCTORES!$A$3:$G$54,7,0),"")</f>
        <v/>
      </c>
      <c r="L174" s="280" t="n"/>
      <c r="M174" s="280" t="n"/>
      <c r="N174" s="333">
        <f>IFERROR(IF(L174*M174=0,"",L174*M174),"")</f>
        <v/>
      </c>
      <c r="O174" s="280" t="n"/>
      <c r="P174" s="332">
        <f>IFERROR(VLOOKUP(TEXT(O174,"0"),CONDUCTORES!$A$3:$G$54,2,0),"")</f>
        <v/>
      </c>
      <c r="Q174" s="332">
        <f>IFERROR(VLOOKUP(TEXT(O174,"0"),CONDUCTORES!$A$3:$H$54,6,0),"")</f>
        <v/>
      </c>
      <c r="R174" s="280" t="n"/>
      <c r="S174" s="280" t="n"/>
      <c r="T174" s="280" t="n"/>
      <c r="U174" s="280" t="n"/>
      <c r="V174" s="280" t="n"/>
      <c r="W174" s="280" t="n"/>
      <c r="X174" s="280" t="n"/>
      <c r="Y174" s="280" t="n"/>
    </row>
    <row r="175" ht="15" customHeight="1" s="195">
      <c r="A175" s="334" t="n"/>
      <c r="B175" s="334" t="n"/>
      <c r="C175" s="334" t="n"/>
      <c r="D175" s="334" t="n"/>
      <c r="E175" s="334" t="n"/>
      <c r="F175" s="334" t="n"/>
      <c r="G175" s="334" t="n"/>
      <c r="H175" s="334" t="n"/>
      <c r="I175" s="332">
        <f>IFERROR(VLOOKUP(TEXT(H175,"0"),IPRESS!$A$3:$B$212,2,0),"")</f>
        <v/>
      </c>
      <c r="J175" s="334" t="n"/>
      <c r="K175" s="332">
        <f>IFERROR(VLOOKUP(TEXT(O175,"0"),CONDUCTORES!$A$3:$G$54,7,0),"")</f>
        <v/>
      </c>
      <c r="L175" s="334" t="n"/>
      <c r="M175" s="334" t="n"/>
      <c r="N175" s="333">
        <f>IFERROR(IF(L175*M175=0,"",L175*M175),"")</f>
        <v/>
      </c>
      <c r="O175" s="334" t="n"/>
      <c r="P175" s="332">
        <f>IFERROR(VLOOKUP(TEXT(O175,"0"),CONDUCTORES!$A$3:$G$54,2,0),"")</f>
        <v/>
      </c>
      <c r="Q175" s="332">
        <f>IFERROR(VLOOKUP(TEXT(O175,"0"),CONDUCTORES!$A$3:$H$54,6,0),"")</f>
        <v/>
      </c>
      <c r="R175" s="334" t="n"/>
      <c r="S175" s="334" t="n"/>
      <c r="T175" s="334" t="n"/>
      <c r="U175" s="334" t="n"/>
      <c r="V175" s="334" t="n"/>
      <c r="W175" s="334" t="n"/>
      <c r="X175" s="334" t="n"/>
      <c r="Y175" s="334" t="n"/>
    </row>
    <row r="176" ht="15" customHeight="1" s="195">
      <c r="A176" s="280" t="n"/>
      <c r="B176" s="280" t="n"/>
      <c r="C176" s="280" t="n"/>
      <c r="D176" s="280" t="n"/>
      <c r="E176" s="280" t="n"/>
      <c r="F176" s="280" t="n"/>
      <c r="G176" s="280" t="n"/>
      <c r="H176" s="280" t="n"/>
      <c r="I176" s="332">
        <f>IFERROR(VLOOKUP(TEXT(H176,"0"),IPRESS!$A$3:$B$212,2,0),"")</f>
        <v/>
      </c>
      <c r="J176" s="280" t="n"/>
      <c r="K176" s="332">
        <f>IFERROR(VLOOKUP(TEXT(O176,"0"),CONDUCTORES!$A$3:$G$54,7,0),"")</f>
        <v/>
      </c>
      <c r="L176" s="280" t="n"/>
      <c r="M176" s="280" t="n"/>
      <c r="N176" s="333">
        <f>IFERROR(IF(L176*M176=0,"",L176*M176),"")</f>
        <v/>
      </c>
      <c r="O176" s="280" t="n"/>
      <c r="P176" s="332">
        <f>IFERROR(VLOOKUP(TEXT(O176,"0"),CONDUCTORES!$A$3:$G$54,2,0),"")</f>
        <v/>
      </c>
      <c r="Q176" s="332">
        <f>IFERROR(VLOOKUP(TEXT(O176,"0"),CONDUCTORES!$A$3:$H$54,6,0),"")</f>
        <v/>
      </c>
      <c r="R176" s="280" t="n"/>
      <c r="S176" s="280" t="n"/>
      <c r="T176" s="280" t="n"/>
      <c r="U176" s="280" t="n"/>
      <c r="V176" s="280" t="n"/>
      <c r="W176" s="280" t="n"/>
      <c r="X176" s="280" t="n"/>
      <c r="Y176" s="280" t="n"/>
    </row>
    <row r="177" ht="15" customHeight="1" s="195">
      <c r="A177" s="334" t="n"/>
      <c r="B177" s="334" t="n"/>
      <c r="C177" s="334" t="n"/>
      <c r="D177" s="334" t="n"/>
      <c r="E177" s="334" t="n"/>
      <c r="F177" s="334" t="n"/>
      <c r="G177" s="334" t="n"/>
      <c r="H177" s="334" t="n"/>
      <c r="I177" s="332">
        <f>IFERROR(VLOOKUP(TEXT(H177,"0"),IPRESS!$A$3:$B$212,2,0),"")</f>
        <v/>
      </c>
      <c r="J177" s="334" t="n"/>
      <c r="K177" s="332">
        <f>IFERROR(VLOOKUP(TEXT(O177,"0"),CONDUCTORES!$A$3:$G$54,7,0),"")</f>
        <v/>
      </c>
      <c r="L177" s="334" t="n"/>
      <c r="M177" s="334" t="n"/>
      <c r="N177" s="333">
        <f>IFERROR(IF(L177*M177=0,"",L177*M177),"")</f>
        <v/>
      </c>
      <c r="O177" s="334" t="n"/>
      <c r="P177" s="332">
        <f>IFERROR(VLOOKUP(TEXT(O177,"0"),CONDUCTORES!$A$3:$G$54,2,0),"")</f>
        <v/>
      </c>
      <c r="Q177" s="332">
        <f>IFERROR(VLOOKUP(TEXT(O177,"0"),CONDUCTORES!$A$3:$H$54,6,0),"")</f>
        <v/>
      </c>
      <c r="R177" s="334" t="n"/>
      <c r="S177" s="334" t="n"/>
      <c r="T177" s="334" t="n"/>
      <c r="U177" s="334" t="n"/>
      <c r="V177" s="334" t="n"/>
      <c r="W177" s="334" t="n"/>
      <c r="X177" s="334" t="n"/>
      <c r="Y177" s="334" t="n"/>
    </row>
    <row r="178" ht="15" customHeight="1" s="195">
      <c r="A178" s="280" t="n"/>
      <c r="B178" s="280" t="n"/>
      <c r="C178" s="280" t="n"/>
      <c r="D178" s="280" t="n"/>
      <c r="E178" s="280" t="n"/>
      <c r="F178" s="280" t="n"/>
      <c r="G178" s="280" t="n"/>
      <c r="H178" s="280" t="n"/>
      <c r="I178" s="332">
        <f>IFERROR(VLOOKUP(TEXT(H178,"0"),IPRESS!$A$3:$B$212,2,0),"")</f>
        <v/>
      </c>
      <c r="J178" s="280" t="n"/>
      <c r="K178" s="332">
        <f>IFERROR(VLOOKUP(TEXT(O178,"0"),CONDUCTORES!$A$3:$G$54,7,0),"")</f>
        <v/>
      </c>
      <c r="L178" s="280" t="n"/>
      <c r="M178" s="280" t="n"/>
      <c r="N178" s="333">
        <f>IFERROR(IF(L178*M178=0,"",L178*M178),"")</f>
        <v/>
      </c>
      <c r="O178" s="280" t="n"/>
      <c r="P178" s="332">
        <f>IFERROR(VLOOKUP(TEXT(O178,"0"),CONDUCTORES!$A$3:$G$54,2,0),"")</f>
        <v/>
      </c>
      <c r="Q178" s="332">
        <f>IFERROR(VLOOKUP(TEXT(O178,"0"),CONDUCTORES!$A$3:$H$54,6,0),"")</f>
        <v/>
      </c>
      <c r="R178" s="280" t="n"/>
      <c r="S178" s="280" t="n"/>
      <c r="T178" s="280" t="n"/>
      <c r="U178" s="280" t="n"/>
      <c r="V178" s="280" t="n"/>
      <c r="W178" s="280" t="n"/>
      <c r="X178" s="280" t="n"/>
      <c r="Y178" s="280" t="n"/>
    </row>
    <row r="179" ht="15" customHeight="1" s="195">
      <c r="A179" s="334" t="n"/>
      <c r="B179" s="334" t="n"/>
      <c r="C179" s="334" t="n"/>
      <c r="D179" s="334" t="n"/>
      <c r="E179" s="334" t="n"/>
      <c r="F179" s="334" t="n"/>
      <c r="G179" s="334" t="n"/>
      <c r="H179" s="334" t="n"/>
      <c r="I179" s="332">
        <f>IFERROR(VLOOKUP(TEXT(H179,"0"),IPRESS!$A$3:$B$212,2,0),"")</f>
        <v/>
      </c>
      <c r="J179" s="334" t="n"/>
      <c r="K179" s="332">
        <f>IFERROR(VLOOKUP(TEXT(O179,"0"),CONDUCTORES!$A$3:$G$54,7,0),"")</f>
        <v/>
      </c>
      <c r="L179" s="334" t="n"/>
      <c r="M179" s="334" t="n"/>
      <c r="N179" s="333">
        <f>IFERROR(IF(L179*M179=0,"",L179*M179),"")</f>
        <v/>
      </c>
      <c r="O179" s="334" t="n"/>
      <c r="P179" s="332">
        <f>IFERROR(VLOOKUP(TEXT(O179,"0"),CONDUCTORES!$A$3:$G$54,2,0),"")</f>
        <v/>
      </c>
      <c r="Q179" s="332">
        <f>IFERROR(VLOOKUP(TEXT(O179,"0"),CONDUCTORES!$A$3:$H$54,6,0),"")</f>
        <v/>
      </c>
      <c r="R179" s="334" t="n"/>
      <c r="S179" s="334" t="n"/>
      <c r="T179" s="334" t="n"/>
      <c r="U179" s="334" t="n"/>
      <c r="V179" s="334" t="n"/>
      <c r="W179" s="334" t="n"/>
      <c r="X179" s="334" t="n"/>
      <c r="Y179" s="334" t="n"/>
    </row>
    <row r="180" ht="15" customHeight="1" s="195">
      <c r="A180" s="280" t="n"/>
      <c r="B180" s="280" t="n"/>
      <c r="C180" s="280" t="n"/>
      <c r="D180" s="280" t="n"/>
      <c r="E180" s="280" t="n"/>
      <c r="F180" s="280" t="n"/>
      <c r="G180" s="280" t="n"/>
      <c r="H180" s="280" t="n"/>
      <c r="I180" s="332">
        <f>IFERROR(VLOOKUP(TEXT(H180,"0"),IPRESS!$A$3:$B$212,2,0),"")</f>
        <v/>
      </c>
      <c r="J180" s="280" t="n"/>
      <c r="K180" s="332">
        <f>IFERROR(VLOOKUP(TEXT(O180,"0"),CONDUCTORES!$A$3:$G$54,7,0),"")</f>
        <v/>
      </c>
      <c r="L180" s="280" t="n"/>
      <c r="M180" s="280" t="n"/>
      <c r="N180" s="333">
        <f>IFERROR(IF(L180*M180=0,"",L180*M180),"")</f>
        <v/>
      </c>
      <c r="O180" s="280" t="n"/>
      <c r="P180" s="332">
        <f>IFERROR(VLOOKUP(TEXT(O180,"0"),CONDUCTORES!$A$3:$G$54,2,0),"")</f>
        <v/>
      </c>
      <c r="Q180" s="332">
        <f>IFERROR(VLOOKUP(TEXT(O180,"0"),CONDUCTORES!$A$3:$H$54,6,0),"")</f>
        <v/>
      </c>
      <c r="R180" s="280" t="n"/>
      <c r="S180" s="280" t="n"/>
      <c r="T180" s="280" t="n"/>
      <c r="U180" s="280" t="n"/>
      <c r="V180" s="280" t="n"/>
      <c r="W180" s="280" t="n"/>
      <c r="X180" s="280" t="n"/>
      <c r="Y180" s="280" t="n"/>
    </row>
    <row r="181" ht="15" customHeight="1" s="195">
      <c r="A181" s="334" t="n"/>
      <c r="B181" s="334" t="n"/>
      <c r="C181" s="334" t="n"/>
      <c r="D181" s="334" t="n"/>
      <c r="E181" s="334" t="n"/>
      <c r="F181" s="334" t="n"/>
      <c r="G181" s="334" t="n"/>
      <c r="H181" s="334" t="n"/>
      <c r="I181" s="332">
        <f>IFERROR(VLOOKUP(TEXT(H181,"0"),IPRESS!$A$3:$B$212,2,0),"")</f>
        <v/>
      </c>
      <c r="J181" s="334" t="n"/>
      <c r="K181" s="332">
        <f>IFERROR(VLOOKUP(TEXT(O181,"0"),CONDUCTORES!$A$3:$G$54,7,0),"")</f>
        <v/>
      </c>
      <c r="L181" s="334" t="n"/>
      <c r="M181" s="334" t="n"/>
      <c r="N181" s="333">
        <f>IFERROR(IF(L181*M181=0,"",L181*M181),"")</f>
        <v/>
      </c>
      <c r="O181" s="334" t="n"/>
      <c r="P181" s="332">
        <f>IFERROR(VLOOKUP(TEXT(O181,"0"),CONDUCTORES!$A$3:$G$54,2,0),"")</f>
        <v/>
      </c>
      <c r="Q181" s="332">
        <f>IFERROR(VLOOKUP(TEXT(O181,"0"),CONDUCTORES!$A$3:$H$54,6,0),"")</f>
        <v/>
      </c>
      <c r="R181" s="334" t="n"/>
      <c r="S181" s="334" t="n"/>
      <c r="T181" s="334" t="n"/>
      <c r="U181" s="334" t="n"/>
      <c r="V181" s="334" t="n"/>
      <c r="W181" s="334" t="n"/>
      <c r="X181" s="334" t="n"/>
      <c r="Y181" s="334" t="n"/>
    </row>
    <row r="182" ht="15" customHeight="1" s="195">
      <c r="A182" s="280" t="n"/>
      <c r="B182" s="280" t="n"/>
      <c r="C182" s="280" t="n"/>
      <c r="D182" s="280" t="n"/>
      <c r="E182" s="280" t="n"/>
      <c r="F182" s="280" t="n"/>
      <c r="G182" s="280" t="n"/>
      <c r="H182" s="280" t="n"/>
      <c r="I182" s="332">
        <f>IFERROR(VLOOKUP(TEXT(H182,"0"),IPRESS!$A$3:$B$212,2,0),"")</f>
        <v/>
      </c>
      <c r="J182" s="280" t="n"/>
      <c r="K182" s="332">
        <f>IFERROR(VLOOKUP(TEXT(O182,"0"),CONDUCTORES!$A$3:$G$54,7,0),"")</f>
        <v/>
      </c>
      <c r="L182" s="280" t="n"/>
      <c r="M182" s="280" t="n"/>
      <c r="N182" s="333">
        <f>IFERROR(IF(L182*M182=0,"",L182*M182),"")</f>
        <v/>
      </c>
      <c r="O182" s="280" t="n"/>
      <c r="P182" s="332">
        <f>IFERROR(VLOOKUP(TEXT(O182,"0"),CONDUCTORES!$A$3:$G$54,2,0),"")</f>
        <v/>
      </c>
      <c r="Q182" s="332">
        <f>IFERROR(VLOOKUP(TEXT(O182,"0"),CONDUCTORES!$A$3:$H$54,6,0),"")</f>
        <v/>
      </c>
      <c r="R182" s="280" t="n"/>
      <c r="S182" s="280" t="n"/>
      <c r="T182" s="280" t="n"/>
      <c r="U182" s="280" t="n"/>
      <c r="V182" s="280" t="n"/>
      <c r="W182" s="280" t="n"/>
      <c r="X182" s="280" t="n"/>
      <c r="Y182" s="280" t="n"/>
    </row>
    <row r="183" ht="15" customHeight="1" s="195">
      <c r="A183" s="334" t="n"/>
      <c r="B183" s="334" t="n"/>
      <c r="C183" s="334" t="n"/>
      <c r="D183" s="334" t="n"/>
      <c r="E183" s="334" t="n"/>
      <c r="F183" s="334" t="n"/>
      <c r="G183" s="334" t="n"/>
      <c r="H183" s="334" t="n"/>
      <c r="I183" s="332">
        <f>IFERROR(VLOOKUP(TEXT(H183,"0"),IPRESS!$A$3:$B$212,2,0),"")</f>
        <v/>
      </c>
      <c r="J183" s="334" t="n"/>
      <c r="K183" s="332">
        <f>IFERROR(VLOOKUP(TEXT(O183,"0"),CONDUCTORES!$A$3:$G$54,7,0),"")</f>
        <v/>
      </c>
      <c r="L183" s="334" t="n"/>
      <c r="M183" s="334" t="n"/>
      <c r="N183" s="333">
        <f>IFERROR(IF(L183*M183=0,"",L183*M183),"")</f>
        <v/>
      </c>
      <c r="O183" s="334" t="n"/>
      <c r="P183" s="332">
        <f>IFERROR(VLOOKUP(TEXT(O183,"0"),CONDUCTORES!$A$3:$G$54,2,0),"")</f>
        <v/>
      </c>
      <c r="Q183" s="332">
        <f>IFERROR(VLOOKUP(TEXT(O183,"0"),CONDUCTORES!$A$3:$H$54,6,0),"")</f>
        <v/>
      </c>
      <c r="R183" s="334" t="n"/>
      <c r="S183" s="334" t="n"/>
      <c r="T183" s="334" t="n"/>
      <c r="U183" s="334" t="n"/>
      <c r="V183" s="334" t="n"/>
      <c r="W183" s="334" t="n"/>
      <c r="X183" s="334" t="n"/>
      <c r="Y183" s="334" t="n"/>
    </row>
    <row r="184" ht="15" customHeight="1" s="195">
      <c r="A184" s="280" t="n"/>
      <c r="B184" s="280" t="n"/>
      <c r="C184" s="280" t="n"/>
      <c r="D184" s="280" t="n"/>
      <c r="E184" s="280" t="n"/>
      <c r="F184" s="280" t="n"/>
      <c r="G184" s="280" t="n"/>
      <c r="H184" s="280" t="n"/>
      <c r="I184" s="332">
        <f>IFERROR(VLOOKUP(TEXT(H184,"0"),IPRESS!$A$3:$B$212,2,0),"")</f>
        <v/>
      </c>
      <c r="J184" s="280" t="n"/>
      <c r="K184" s="332">
        <f>IFERROR(VLOOKUP(TEXT(O184,"0"),CONDUCTORES!$A$3:$G$54,7,0),"")</f>
        <v/>
      </c>
      <c r="L184" s="280" t="n"/>
      <c r="M184" s="280" t="n"/>
      <c r="N184" s="333">
        <f>IFERROR(IF(L184*M184=0,"",L184*M184),"")</f>
        <v/>
      </c>
      <c r="O184" s="280" t="n"/>
      <c r="P184" s="332">
        <f>IFERROR(VLOOKUP(TEXT(O184,"0"),CONDUCTORES!$A$3:$G$54,2,0),"")</f>
        <v/>
      </c>
      <c r="Q184" s="332">
        <f>IFERROR(VLOOKUP(TEXT(O184,"0"),CONDUCTORES!$A$3:$H$54,6,0),"")</f>
        <v/>
      </c>
      <c r="R184" s="280" t="n"/>
      <c r="S184" s="280" t="n"/>
      <c r="T184" s="280" t="n"/>
      <c r="U184" s="280" t="n"/>
      <c r="V184" s="280" t="n"/>
      <c r="W184" s="280" t="n"/>
      <c r="X184" s="280" t="n"/>
      <c r="Y184" s="280" t="n"/>
    </row>
    <row r="185" ht="15" customHeight="1" s="195">
      <c r="A185" s="334" t="n"/>
      <c r="B185" s="334" t="n"/>
      <c r="C185" s="334" t="n"/>
      <c r="D185" s="334" t="n"/>
      <c r="E185" s="334" t="n"/>
      <c r="F185" s="334" t="n"/>
      <c r="G185" s="334" t="n"/>
      <c r="H185" s="334" t="n"/>
      <c r="I185" s="332">
        <f>IFERROR(VLOOKUP(TEXT(H185,"0"),IPRESS!$A$3:$B$212,2,0),"")</f>
        <v/>
      </c>
      <c r="J185" s="334" t="n"/>
      <c r="K185" s="332">
        <f>IFERROR(VLOOKUP(TEXT(O185,"0"),CONDUCTORES!$A$3:$G$54,7,0),"")</f>
        <v/>
      </c>
      <c r="L185" s="334" t="n"/>
      <c r="M185" s="334" t="n"/>
      <c r="N185" s="333">
        <f>IFERROR(IF(L185*M185=0,"",L185*M185),"")</f>
        <v/>
      </c>
      <c r="O185" s="334" t="n"/>
      <c r="P185" s="332">
        <f>IFERROR(VLOOKUP(TEXT(O185,"0"),CONDUCTORES!$A$3:$G$54,2,0),"")</f>
        <v/>
      </c>
      <c r="Q185" s="332">
        <f>IFERROR(VLOOKUP(TEXT(O185,"0"),CONDUCTORES!$A$3:$H$54,6,0),"")</f>
        <v/>
      </c>
      <c r="R185" s="334" t="n"/>
      <c r="S185" s="334" t="n"/>
      <c r="T185" s="334" t="n"/>
      <c r="U185" s="334" t="n"/>
      <c r="V185" s="334" t="n"/>
      <c r="W185" s="334" t="n"/>
      <c r="X185" s="334" t="n"/>
      <c r="Y185" s="334" t="n"/>
    </row>
    <row r="186" ht="15" customHeight="1" s="195">
      <c r="A186" s="280" t="n"/>
      <c r="B186" s="280" t="n"/>
      <c r="C186" s="280" t="n"/>
      <c r="D186" s="280" t="n"/>
      <c r="E186" s="280" t="n"/>
      <c r="F186" s="280" t="n"/>
      <c r="G186" s="280" t="n"/>
      <c r="H186" s="280" t="n"/>
      <c r="I186" s="332">
        <f>IFERROR(VLOOKUP(TEXT(H186,"0"),IPRESS!$A$3:$B$212,2,0),"")</f>
        <v/>
      </c>
      <c r="J186" s="280" t="n"/>
      <c r="K186" s="332">
        <f>IFERROR(VLOOKUP(TEXT(O186,"0"),CONDUCTORES!$A$3:$G$54,7,0),"")</f>
        <v/>
      </c>
      <c r="L186" s="280" t="n"/>
      <c r="M186" s="280" t="n"/>
      <c r="N186" s="333">
        <f>IFERROR(IF(L186*M186=0,"",L186*M186),"")</f>
        <v/>
      </c>
      <c r="O186" s="280" t="n"/>
      <c r="P186" s="332">
        <f>IFERROR(VLOOKUP(TEXT(O186,"0"),CONDUCTORES!$A$3:$G$54,2,0),"")</f>
        <v/>
      </c>
      <c r="Q186" s="332">
        <f>IFERROR(VLOOKUP(TEXT(O186,"0"),CONDUCTORES!$A$3:$H$54,6,0),"")</f>
        <v/>
      </c>
      <c r="R186" s="280" t="n"/>
      <c r="S186" s="280" t="n"/>
      <c r="T186" s="280" t="n"/>
      <c r="U186" s="280" t="n"/>
      <c r="V186" s="280" t="n"/>
      <c r="W186" s="280" t="n"/>
      <c r="X186" s="280" t="n"/>
      <c r="Y186" s="280" t="n"/>
    </row>
    <row r="187" ht="15" customHeight="1" s="195">
      <c r="A187" s="334" t="n"/>
      <c r="B187" s="334" t="n"/>
      <c r="C187" s="334" t="n"/>
      <c r="D187" s="334" t="n"/>
      <c r="E187" s="334" t="n"/>
      <c r="F187" s="334" t="n"/>
      <c r="G187" s="334" t="n"/>
      <c r="H187" s="334" t="n"/>
      <c r="I187" s="332">
        <f>IFERROR(VLOOKUP(TEXT(H187,"0"),IPRESS!$A$3:$B$212,2,0),"")</f>
        <v/>
      </c>
      <c r="J187" s="334" t="n"/>
      <c r="K187" s="332">
        <f>IFERROR(VLOOKUP(TEXT(O187,"0"),CONDUCTORES!$A$3:$G$54,7,0),"")</f>
        <v/>
      </c>
      <c r="L187" s="334" t="n"/>
      <c r="M187" s="334" t="n"/>
      <c r="N187" s="333">
        <f>IFERROR(IF(L187*M187=0,"",L187*M187),"")</f>
        <v/>
      </c>
      <c r="O187" s="334" t="n"/>
      <c r="P187" s="332">
        <f>IFERROR(VLOOKUP(TEXT(O187,"0"),CONDUCTORES!$A$3:$G$54,2,0),"")</f>
        <v/>
      </c>
      <c r="Q187" s="332">
        <f>IFERROR(VLOOKUP(TEXT(O187,"0"),CONDUCTORES!$A$3:$H$54,6,0),"")</f>
        <v/>
      </c>
      <c r="R187" s="334" t="n"/>
      <c r="S187" s="334" t="n"/>
      <c r="T187" s="334" t="n"/>
      <c r="U187" s="334" t="n"/>
      <c r="V187" s="334" t="n"/>
      <c r="W187" s="334" t="n"/>
      <c r="X187" s="334" t="n"/>
      <c r="Y187" s="334" t="n"/>
    </row>
    <row r="188" ht="15" customHeight="1" s="195">
      <c r="A188" s="280" t="n"/>
      <c r="B188" s="280" t="n"/>
      <c r="C188" s="280" t="n"/>
      <c r="D188" s="280" t="n"/>
      <c r="E188" s="280" t="n"/>
      <c r="F188" s="280" t="n"/>
      <c r="G188" s="280" t="n"/>
      <c r="H188" s="280" t="n"/>
      <c r="I188" s="332">
        <f>IFERROR(VLOOKUP(TEXT(H188,"0"),IPRESS!$A$3:$B$212,2,0),"")</f>
        <v/>
      </c>
      <c r="J188" s="280" t="n"/>
      <c r="K188" s="332">
        <f>IFERROR(VLOOKUP(TEXT(O188,"0"),CONDUCTORES!$A$3:$G$54,7,0),"")</f>
        <v/>
      </c>
      <c r="L188" s="280" t="n"/>
      <c r="M188" s="280" t="n"/>
      <c r="N188" s="333">
        <f>IFERROR(IF(L188*M188=0,"",L188*M188),"")</f>
        <v/>
      </c>
      <c r="O188" s="280" t="n"/>
      <c r="P188" s="332">
        <f>IFERROR(VLOOKUP(TEXT(O188,"0"),CONDUCTORES!$A$3:$G$54,2,0),"")</f>
        <v/>
      </c>
      <c r="Q188" s="332">
        <f>IFERROR(VLOOKUP(TEXT(O188,"0"),CONDUCTORES!$A$3:$H$54,6,0),"")</f>
        <v/>
      </c>
      <c r="R188" s="280" t="n"/>
      <c r="S188" s="280" t="n"/>
      <c r="T188" s="280" t="n"/>
      <c r="U188" s="280" t="n"/>
      <c r="V188" s="280" t="n"/>
      <c r="W188" s="280" t="n"/>
      <c r="X188" s="280" t="n"/>
      <c r="Y188" s="280" t="n"/>
    </row>
    <row r="189" ht="15" customHeight="1" s="195">
      <c r="A189" s="334" t="n"/>
      <c r="B189" s="334" t="n"/>
      <c r="C189" s="334" t="n"/>
      <c r="D189" s="334" t="n"/>
      <c r="E189" s="334" t="n"/>
      <c r="F189" s="334" t="n"/>
      <c r="G189" s="334" t="n"/>
      <c r="H189" s="334" t="n"/>
      <c r="I189" s="332">
        <f>IFERROR(VLOOKUP(TEXT(H189,"0"),IPRESS!$A$3:$B$212,2,0),"")</f>
        <v/>
      </c>
      <c r="J189" s="334" t="n"/>
      <c r="K189" s="332">
        <f>IFERROR(VLOOKUP(TEXT(O189,"0"),CONDUCTORES!$A$3:$G$54,7,0),"")</f>
        <v/>
      </c>
      <c r="L189" s="334" t="n"/>
      <c r="M189" s="334" t="n"/>
      <c r="N189" s="333">
        <f>IFERROR(IF(L189*M189=0,"",L189*M189),"")</f>
        <v/>
      </c>
      <c r="O189" s="334" t="n"/>
      <c r="P189" s="332">
        <f>IFERROR(VLOOKUP(TEXT(O189,"0"),CONDUCTORES!$A$3:$G$54,2,0),"")</f>
        <v/>
      </c>
      <c r="Q189" s="332">
        <f>IFERROR(VLOOKUP(TEXT(O189,"0"),CONDUCTORES!$A$3:$H$54,6,0),"")</f>
        <v/>
      </c>
      <c r="R189" s="334" t="n"/>
      <c r="S189" s="334" t="n"/>
      <c r="T189" s="334" t="n"/>
      <c r="U189" s="334" t="n"/>
      <c r="V189" s="334" t="n"/>
      <c r="W189" s="334" t="n"/>
      <c r="X189" s="334" t="n"/>
      <c r="Y189" s="334" t="n"/>
    </row>
    <row r="190" ht="15" customHeight="1" s="195">
      <c r="A190" s="280" t="n"/>
      <c r="B190" s="280" t="n"/>
      <c r="C190" s="280" t="n"/>
      <c r="D190" s="280" t="n"/>
      <c r="E190" s="280" t="n"/>
      <c r="F190" s="280" t="n"/>
      <c r="G190" s="280" t="n"/>
      <c r="H190" s="280" t="n"/>
      <c r="I190" s="332">
        <f>IFERROR(VLOOKUP(TEXT(H190,"0"),IPRESS!$A$3:$B$212,2,0),"")</f>
        <v/>
      </c>
      <c r="J190" s="280" t="n"/>
      <c r="K190" s="332">
        <f>IFERROR(VLOOKUP(TEXT(O190,"0"),CONDUCTORES!$A$3:$G$54,7,0),"")</f>
        <v/>
      </c>
      <c r="L190" s="280" t="n"/>
      <c r="M190" s="280" t="n"/>
      <c r="N190" s="333">
        <f>IFERROR(IF(L190*M190=0,"",L190*M190),"")</f>
        <v/>
      </c>
      <c r="O190" s="280" t="n"/>
      <c r="P190" s="332">
        <f>IFERROR(VLOOKUP(TEXT(O190,"0"),CONDUCTORES!$A$3:$G$54,2,0),"")</f>
        <v/>
      </c>
      <c r="Q190" s="332">
        <f>IFERROR(VLOOKUP(TEXT(O190,"0"),CONDUCTORES!$A$3:$H$54,6,0),"")</f>
        <v/>
      </c>
      <c r="R190" s="280" t="n"/>
      <c r="S190" s="280" t="n"/>
      <c r="T190" s="280" t="n"/>
      <c r="U190" s="280" t="n"/>
      <c r="V190" s="280" t="n"/>
      <c r="W190" s="280" t="n"/>
      <c r="X190" s="280" t="n"/>
      <c r="Y190" s="280" t="n"/>
    </row>
    <row r="191" ht="15" customHeight="1" s="195">
      <c r="A191" s="334" t="n"/>
      <c r="B191" s="334" t="n"/>
      <c r="C191" s="334" t="n"/>
      <c r="D191" s="334" t="n"/>
      <c r="E191" s="334" t="n"/>
      <c r="F191" s="334" t="n"/>
      <c r="G191" s="334" t="n"/>
      <c r="H191" s="334" t="n"/>
      <c r="I191" s="332">
        <f>IFERROR(VLOOKUP(TEXT(H191,"0"),IPRESS!$A$3:$B$212,2,0),"")</f>
        <v/>
      </c>
      <c r="J191" s="334" t="n"/>
      <c r="K191" s="332">
        <f>IFERROR(VLOOKUP(TEXT(O191,"0"),CONDUCTORES!$A$3:$G$54,7,0),"")</f>
        <v/>
      </c>
      <c r="L191" s="334" t="n"/>
      <c r="M191" s="334" t="n"/>
      <c r="N191" s="333">
        <f>IFERROR(IF(L191*M191=0,"",L191*M191),"")</f>
        <v/>
      </c>
      <c r="O191" s="334" t="n"/>
      <c r="P191" s="332">
        <f>IFERROR(VLOOKUP(TEXT(O191,"0"),CONDUCTORES!$A$3:$G$54,2,0),"")</f>
        <v/>
      </c>
      <c r="Q191" s="332">
        <f>IFERROR(VLOOKUP(TEXT(O191,"0"),CONDUCTORES!$A$3:$H$54,6,0),"")</f>
        <v/>
      </c>
      <c r="R191" s="334" t="n"/>
      <c r="S191" s="334" t="n"/>
      <c r="T191" s="334" t="n"/>
      <c r="U191" s="334" t="n"/>
      <c r="V191" s="334" t="n"/>
      <c r="W191" s="334" t="n"/>
      <c r="X191" s="334" t="n"/>
      <c r="Y191" s="334" t="n"/>
    </row>
    <row r="192" ht="15" customHeight="1" s="195">
      <c r="A192" s="280" t="n"/>
      <c r="B192" s="280" t="n"/>
      <c r="C192" s="280" t="n"/>
      <c r="D192" s="280" t="n"/>
      <c r="E192" s="280" t="n"/>
      <c r="F192" s="280" t="n"/>
      <c r="G192" s="280" t="n"/>
      <c r="H192" s="280" t="n"/>
      <c r="I192" s="332">
        <f>IFERROR(VLOOKUP(TEXT(H192,"0"),IPRESS!$A$3:$B$212,2,0),"")</f>
        <v/>
      </c>
      <c r="J192" s="280" t="n"/>
      <c r="K192" s="332">
        <f>IFERROR(VLOOKUP(TEXT(O192,"0"),CONDUCTORES!$A$3:$G$54,7,0),"")</f>
        <v/>
      </c>
      <c r="L192" s="280" t="n"/>
      <c r="M192" s="280" t="n"/>
      <c r="N192" s="333">
        <f>IFERROR(IF(L192*M192=0,"",L192*M192),"")</f>
        <v/>
      </c>
      <c r="O192" s="280" t="n"/>
      <c r="P192" s="332">
        <f>IFERROR(VLOOKUP(TEXT(O192,"0"),CONDUCTORES!$A$3:$G$54,2,0),"")</f>
        <v/>
      </c>
      <c r="Q192" s="332">
        <f>IFERROR(VLOOKUP(TEXT(O192,"0"),CONDUCTORES!$A$3:$H$54,6,0),"")</f>
        <v/>
      </c>
      <c r="R192" s="280" t="n"/>
      <c r="S192" s="280" t="n"/>
      <c r="T192" s="280" t="n"/>
      <c r="U192" s="280" t="n"/>
      <c r="V192" s="280" t="n"/>
      <c r="W192" s="280" t="n"/>
      <c r="X192" s="280" t="n"/>
      <c r="Y192" s="280" t="n"/>
    </row>
    <row r="193" ht="15" customHeight="1" s="195">
      <c r="A193" s="334" t="n"/>
      <c r="B193" s="334" t="n"/>
      <c r="C193" s="334" t="n"/>
      <c r="D193" s="334" t="n"/>
      <c r="E193" s="334" t="n"/>
      <c r="F193" s="334" t="n"/>
      <c r="G193" s="334" t="n"/>
      <c r="H193" s="334" t="n"/>
      <c r="I193" s="332">
        <f>IFERROR(VLOOKUP(TEXT(H193,"0"),IPRESS!$A$3:$B$212,2,0),"")</f>
        <v/>
      </c>
      <c r="J193" s="334" t="n"/>
      <c r="K193" s="332">
        <f>IFERROR(VLOOKUP(TEXT(O193,"0"),CONDUCTORES!$A$3:$G$54,7,0),"")</f>
        <v/>
      </c>
      <c r="L193" s="334" t="n"/>
      <c r="M193" s="334" t="n"/>
      <c r="N193" s="333">
        <f>IFERROR(IF(L193*M193=0,"",L193*M193),"")</f>
        <v/>
      </c>
      <c r="O193" s="334" t="n"/>
      <c r="P193" s="332">
        <f>IFERROR(VLOOKUP(TEXT(O193,"0"),CONDUCTORES!$A$3:$G$54,2,0),"")</f>
        <v/>
      </c>
      <c r="Q193" s="332">
        <f>IFERROR(VLOOKUP(TEXT(O193,"0"),CONDUCTORES!$A$3:$H$54,6,0),"")</f>
        <v/>
      </c>
      <c r="R193" s="334" t="n"/>
      <c r="S193" s="334" t="n"/>
      <c r="T193" s="334" t="n"/>
      <c r="U193" s="334" t="n"/>
      <c r="V193" s="334" t="n"/>
      <c r="W193" s="334" t="n"/>
      <c r="X193" s="334" t="n"/>
      <c r="Y193" s="334" t="n"/>
    </row>
    <row r="194" ht="15" customHeight="1" s="195">
      <c r="A194" s="280" t="n"/>
      <c r="B194" s="280" t="n"/>
      <c r="C194" s="280" t="n"/>
      <c r="D194" s="280" t="n"/>
      <c r="E194" s="280" t="n"/>
      <c r="F194" s="280" t="n"/>
      <c r="G194" s="280" t="n"/>
      <c r="H194" s="280" t="n"/>
      <c r="I194" s="332">
        <f>IFERROR(VLOOKUP(TEXT(H194,"0"),IPRESS!$A$3:$B$212,2,0),"")</f>
        <v/>
      </c>
      <c r="J194" s="280" t="n"/>
      <c r="K194" s="332">
        <f>IFERROR(VLOOKUP(TEXT(O194,"0"),CONDUCTORES!$A$3:$G$54,7,0),"")</f>
        <v/>
      </c>
      <c r="L194" s="280" t="n"/>
      <c r="M194" s="280" t="n"/>
      <c r="N194" s="333">
        <f>IFERROR(IF(L194*M194=0,"",L194*M194),"")</f>
        <v/>
      </c>
      <c r="O194" s="280" t="n"/>
      <c r="P194" s="332">
        <f>IFERROR(VLOOKUP(TEXT(O194,"0"),CONDUCTORES!$A$3:$G$54,2,0),"")</f>
        <v/>
      </c>
      <c r="Q194" s="332">
        <f>IFERROR(VLOOKUP(TEXT(O194,"0"),CONDUCTORES!$A$3:$H$54,6,0),"")</f>
        <v/>
      </c>
      <c r="R194" s="280" t="n"/>
      <c r="S194" s="280" t="n"/>
      <c r="T194" s="280" t="n"/>
      <c r="U194" s="280" t="n"/>
      <c r="V194" s="280" t="n"/>
      <c r="W194" s="280" t="n"/>
      <c r="X194" s="280" t="n"/>
      <c r="Y194" s="280" t="n"/>
    </row>
    <row r="195" ht="15" customHeight="1" s="195">
      <c r="A195" s="334" t="n"/>
      <c r="B195" s="334" t="n"/>
      <c r="C195" s="334" t="n"/>
      <c r="D195" s="334" t="n"/>
      <c r="E195" s="334" t="n"/>
      <c r="F195" s="334" t="n"/>
      <c r="G195" s="334" t="n"/>
      <c r="H195" s="334" t="n"/>
      <c r="I195" s="332">
        <f>IFERROR(VLOOKUP(TEXT(H195,"0"),IPRESS!$A$3:$B$212,2,0),"")</f>
        <v/>
      </c>
      <c r="J195" s="334" t="n"/>
      <c r="K195" s="332">
        <f>IFERROR(VLOOKUP(TEXT(O195,"0"),CONDUCTORES!$A$3:$G$54,7,0),"")</f>
        <v/>
      </c>
      <c r="L195" s="334" t="n"/>
      <c r="M195" s="334" t="n"/>
      <c r="N195" s="333">
        <f>IFERROR(IF(L195*M195=0,"",L195*M195),"")</f>
        <v/>
      </c>
      <c r="O195" s="334" t="n"/>
      <c r="P195" s="332">
        <f>IFERROR(VLOOKUP(TEXT(O195,"0"),CONDUCTORES!$A$3:$G$54,2,0),"")</f>
        <v/>
      </c>
      <c r="Q195" s="332">
        <f>IFERROR(VLOOKUP(TEXT(O195,"0"),CONDUCTORES!$A$3:$H$54,6,0),"")</f>
        <v/>
      </c>
      <c r="R195" s="334" t="n"/>
      <c r="S195" s="334" t="n"/>
      <c r="T195" s="334" t="n"/>
      <c r="U195" s="334" t="n"/>
      <c r="V195" s="334" t="n"/>
      <c r="W195" s="334" t="n"/>
      <c r="X195" s="334" t="n"/>
      <c r="Y195" s="334" t="n"/>
    </row>
    <row r="196" ht="15" customHeight="1" s="195">
      <c r="A196" s="280" t="n"/>
      <c r="B196" s="280" t="n"/>
      <c r="C196" s="280" t="n"/>
      <c r="D196" s="280" t="n"/>
      <c r="E196" s="280" t="n"/>
      <c r="F196" s="280" t="n"/>
      <c r="G196" s="280" t="n"/>
      <c r="H196" s="280" t="n"/>
      <c r="I196" s="332">
        <f>IFERROR(VLOOKUP(TEXT(H196,"0"),IPRESS!$A$3:$B$212,2,0),"")</f>
        <v/>
      </c>
      <c r="J196" s="280" t="n"/>
      <c r="K196" s="332">
        <f>IFERROR(VLOOKUP(TEXT(O196,"0"),CONDUCTORES!$A$3:$G$54,7,0),"")</f>
        <v/>
      </c>
      <c r="L196" s="280" t="n"/>
      <c r="M196" s="280" t="n"/>
      <c r="N196" s="333">
        <f>IFERROR(IF(L196*M196=0,"",L196*M196),"")</f>
        <v/>
      </c>
      <c r="O196" s="280" t="n"/>
      <c r="P196" s="332">
        <f>IFERROR(VLOOKUP(TEXT(O196,"0"),CONDUCTORES!$A$3:$G$54,2,0),"")</f>
        <v/>
      </c>
      <c r="Q196" s="332">
        <f>IFERROR(VLOOKUP(TEXT(O196,"0"),CONDUCTORES!$A$3:$H$54,6,0),"")</f>
        <v/>
      </c>
      <c r="R196" s="280" t="n"/>
      <c r="S196" s="280" t="n"/>
      <c r="T196" s="280" t="n"/>
      <c r="U196" s="280" t="n"/>
      <c r="V196" s="280" t="n"/>
      <c r="W196" s="280" t="n"/>
      <c r="X196" s="280" t="n"/>
      <c r="Y196" s="280" t="n"/>
    </row>
    <row r="197" ht="15" customHeight="1" s="195">
      <c r="A197" s="334" t="n"/>
      <c r="B197" s="334" t="n"/>
      <c r="C197" s="334" t="n"/>
      <c r="D197" s="334" t="n"/>
      <c r="E197" s="334" t="n"/>
      <c r="F197" s="334" t="n"/>
      <c r="G197" s="334" t="n"/>
      <c r="H197" s="334" t="n"/>
      <c r="I197" s="332">
        <f>IFERROR(VLOOKUP(TEXT(H197,"0"),IPRESS!$A$3:$B$212,2,0),"")</f>
        <v/>
      </c>
      <c r="J197" s="334" t="n"/>
      <c r="K197" s="332">
        <f>IFERROR(VLOOKUP(TEXT(O197,"0"),CONDUCTORES!$A$3:$G$54,7,0),"")</f>
        <v/>
      </c>
      <c r="L197" s="334" t="n"/>
      <c r="M197" s="334" t="n"/>
      <c r="N197" s="333">
        <f>IFERROR(IF(L197*M197=0,"",L197*M197),"")</f>
        <v/>
      </c>
      <c r="O197" s="334" t="n"/>
      <c r="P197" s="332">
        <f>IFERROR(VLOOKUP(TEXT(O197,"0"),CONDUCTORES!$A$3:$G$54,2,0),"")</f>
        <v/>
      </c>
      <c r="Q197" s="332">
        <f>IFERROR(VLOOKUP(TEXT(O197,"0"),CONDUCTORES!$A$3:$H$54,6,0),"")</f>
        <v/>
      </c>
      <c r="R197" s="334" t="n"/>
      <c r="S197" s="334" t="n"/>
      <c r="T197" s="334" t="n"/>
      <c r="U197" s="334" t="n"/>
      <c r="V197" s="334" t="n"/>
      <c r="W197" s="334" t="n"/>
      <c r="X197" s="334" t="n"/>
      <c r="Y197" s="334" t="n"/>
    </row>
    <row r="198" ht="15" customHeight="1" s="195">
      <c r="A198" s="280" t="n"/>
      <c r="B198" s="280" t="n"/>
      <c r="C198" s="280" t="n"/>
      <c r="D198" s="280" t="n"/>
      <c r="E198" s="280" t="n"/>
      <c r="F198" s="280" t="n"/>
      <c r="G198" s="280" t="n"/>
      <c r="H198" s="280" t="n"/>
      <c r="I198" s="332">
        <f>IFERROR(VLOOKUP(TEXT(H198,"0"),IPRESS!$A$3:$B$212,2,0),"")</f>
        <v/>
      </c>
      <c r="J198" s="280" t="n"/>
      <c r="K198" s="332">
        <f>IFERROR(VLOOKUP(TEXT(O198,"0"),CONDUCTORES!$A$3:$G$54,7,0),"")</f>
        <v/>
      </c>
      <c r="L198" s="280" t="n"/>
      <c r="M198" s="280" t="n"/>
      <c r="N198" s="333">
        <f>IFERROR(IF(L198*M198=0,"",L198*M198),"")</f>
        <v/>
      </c>
      <c r="O198" s="280" t="n"/>
      <c r="P198" s="332">
        <f>IFERROR(VLOOKUP(TEXT(O198,"0"),CONDUCTORES!$A$3:$G$54,2,0),"")</f>
        <v/>
      </c>
      <c r="Q198" s="332">
        <f>IFERROR(VLOOKUP(TEXT(O198,"0"),CONDUCTORES!$A$3:$H$54,6,0),"")</f>
        <v/>
      </c>
      <c r="R198" s="280" t="n"/>
      <c r="S198" s="280" t="n"/>
      <c r="T198" s="280" t="n"/>
      <c r="U198" s="280" t="n"/>
      <c r="V198" s="280" t="n"/>
      <c r="W198" s="280" t="n"/>
      <c r="X198" s="280" t="n"/>
      <c r="Y198" s="280" t="n"/>
    </row>
    <row r="199" ht="15" customHeight="1" s="195">
      <c r="A199" s="334" t="n"/>
      <c r="B199" s="334" t="n"/>
      <c r="C199" s="334" t="n"/>
      <c r="D199" s="334" t="n"/>
      <c r="E199" s="334" t="n"/>
      <c r="F199" s="334" t="n"/>
      <c r="G199" s="334" t="n"/>
      <c r="H199" s="334" t="n"/>
      <c r="I199" s="332">
        <f>IFERROR(VLOOKUP(TEXT(H199,"0"),IPRESS!$A$3:$B$212,2,0),"")</f>
        <v/>
      </c>
      <c r="J199" s="334" t="n"/>
      <c r="K199" s="332">
        <f>IFERROR(VLOOKUP(TEXT(O199,"0"),CONDUCTORES!$A$3:$G$54,7,0),"")</f>
        <v/>
      </c>
      <c r="L199" s="334" t="n"/>
      <c r="M199" s="334" t="n"/>
      <c r="N199" s="333">
        <f>IFERROR(IF(L199*M199=0,"",L199*M199),"")</f>
        <v/>
      </c>
      <c r="O199" s="334" t="n"/>
      <c r="P199" s="332">
        <f>IFERROR(VLOOKUP(TEXT(O199,"0"),CONDUCTORES!$A$3:$G$54,2,0),"")</f>
        <v/>
      </c>
      <c r="Q199" s="332">
        <f>IFERROR(VLOOKUP(TEXT(O199,"0"),CONDUCTORES!$A$3:$H$54,6,0),"")</f>
        <v/>
      </c>
      <c r="R199" s="334" t="n"/>
      <c r="S199" s="334" t="n"/>
      <c r="T199" s="334" t="n"/>
      <c r="U199" s="334" t="n"/>
      <c r="V199" s="334" t="n"/>
      <c r="W199" s="334" t="n"/>
      <c r="X199" s="334" t="n"/>
      <c r="Y199" s="334" t="n"/>
    </row>
    <row r="200" ht="15" customHeight="1" s="195">
      <c r="A200" s="280" t="n"/>
      <c r="B200" s="280" t="n"/>
      <c r="C200" s="280" t="n"/>
      <c r="D200" s="280" t="n"/>
      <c r="E200" s="280" t="n"/>
      <c r="F200" s="280" t="n"/>
      <c r="G200" s="280" t="n"/>
      <c r="H200" s="280" t="n"/>
      <c r="I200" s="332">
        <f>IFERROR(VLOOKUP(TEXT(H200,"0"),IPRESS!$A$3:$B$212,2,0),"")</f>
        <v/>
      </c>
      <c r="J200" s="280" t="n"/>
      <c r="K200" s="332">
        <f>IFERROR(VLOOKUP(TEXT(O200,"0"),CONDUCTORES!$A$3:$G$54,7,0),"")</f>
        <v/>
      </c>
      <c r="L200" s="280" t="n"/>
      <c r="M200" s="280" t="n"/>
      <c r="N200" s="333">
        <f>IFERROR(IF(L200*M200=0,"",L200*M200),"")</f>
        <v/>
      </c>
      <c r="O200" s="280" t="n"/>
      <c r="P200" s="332">
        <f>IFERROR(VLOOKUP(TEXT(O200,"0"),CONDUCTORES!$A$3:$G$54,2,0),"")</f>
        <v/>
      </c>
      <c r="Q200" s="332">
        <f>IFERROR(VLOOKUP(TEXT(O200,"0"),CONDUCTORES!$A$3:$H$54,6,0),"")</f>
        <v/>
      </c>
      <c r="R200" s="280" t="n"/>
      <c r="S200" s="280" t="n"/>
      <c r="T200" s="280" t="n"/>
      <c r="U200" s="280" t="n"/>
      <c r="V200" s="280" t="n"/>
      <c r="W200" s="280" t="n"/>
      <c r="X200" s="280" t="n"/>
      <c r="Y200" s="280" t="n"/>
    </row>
    <row r="201" ht="15" customHeight="1" s="195">
      <c r="A201" s="334" t="n"/>
      <c r="B201" s="334" t="n"/>
      <c r="C201" s="334" t="n"/>
      <c r="D201" s="334" t="n"/>
      <c r="E201" s="334" t="n"/>
      <c r="F201" s="334" t="n"/>
      <c r="G201" s="334" t="n"/>
      <c r="H201" s="334" t="n"/>
      <c r="I201" s="332">
        <f>IFERROR(VLOOKUP(TEXT(H201,"0"),IPRESS!$A$3:$B$212,2,0),"")</f>
        <v/>
      </c>
      <c r="J201" s="334" t="n"/>
      <c r="K201" s="332">
        <f>IFERROR(VLOOKUP(TEXT(O201,"0"),CONDUCTORES!$A$3:$G$54,7,0),"")</f>
        <v/>
      </c>
      <c r="L201" s="334" t="n"/>
      <c r="M201" s="334" t="n"/>
      <c r="N201" s="333">
        <f>IFERROR(IF(L201*M201=0,"",L201*M201),"")</f>
        <v/>
      </c>
      <c r="O201" s="334" t="n"/>
      <c r="P201" s="332">
        <f>IFERROR(VLOOKUP(TEXT(O201,"0"),CONDUCTORES!$A$3:$G$54,2,0),"")</f>
        <v/>
      </c>
      <c r="Q201" s="332">
        <f>IFERROR(VLOOKUP(TEXT(O201,"0"),CONDUCTORES!$A$3:$H$54,6,0),"")</f>
        <v/>
      </c>
      <c r="R201" s="334" t="n"/>
      <c r="S201" s="334" t="n"/>
      <c r="T201" s="334" t="n"/>
      <c r="U201" s="334" t="n"/>
      <c r="V201" s="334" t="n"/>
      <c r="W201" s="334" t="n"/>
      <c r="X201" s="334" t="n"/>
      <c r="Y201" s="334" t="n"/>
    </row>
    <row r="202" ht="15" customHeight="1" s="195">
      <c r="A202" s="280" t="n"/>
      <c r="B202" s="280" t="n"/>
      <c r="C202" s="280" t="n"/>
      <c r="D202" s="280" t="n"/>
      <c r="E202" s="280" t="n"/>
      <c r="F202" s="280" t="n"/>
      <c r="G202" s="280" t="n"/>
      <c r="H202" s="280" t="n"/>
      <c r="I202" s="332">
        <f>IFERROR(VLOOKUP(TEXT(H202,"0"),IPRESS!$A$3:$B$212,2,0),"")</f>
        <v/>
      </c>
      <c r="J202" s="280" t="n"/>
      <c r="K202" s="332">
        <f>IFERROR(VLOOKUP(TEXT(O202,"0"),CONDUCTORES!$A$3:$G$54,7,0),"")</f>
        <v/>
      </c>
      <c r="L202" s="280" t="n"/>
      <c r="M202" s="280" t="n"/>
      <c r="N202" s="333">
        <f>IFERROR(IF(L202*M202=0,"",L202*M202),"")</f>
        <v/>
      </c>
      <c r="O202" s="280" t="n"/>
      <c r="P202" s="332">
        <f>IFERROR(VLOOKUP(TEXT(O202,"0"),CONDUCTORES!$A$3:$G$54,2,0),"")</f>
        <v/>
      </c>
      <c r="Q202" s="332">
        <f>IFERROR(VLOOKUP(TEXT(O202,"0"),CONDUCTORES!$A$3:$H$54,6,0),"")</f>
        <v/>
      </c>
      <c r="R202" s="280" t="n"/>
      <c r="S202" s="280" t="n"/>
      <c r="T202" s="280" t="n"/>
      <c r="U202" s="280" t="n"/>
      <c r="V202" s="280" t="n"/>
      <c r="W202" s="280" t="n"/>
      <c r="X202" s="280" t="n"/>
      <c r="Y202" s="280" t="n"/>
    </row>
    <row r="203" ht="15" customHeight="1" s="195">
      <c r="A203" s="334" t="n"/>
      <c r="B203" s="334" t="n"/>
      <c r="C203" s="334" t="n"/>
      <c r="D203" s="334" t="n"/>
      <c r="E203" s="334" t="n"/>
      <c r="F203" s="334" t="n"/>
      <c r="G203" s="334" t="n"/>
      <c r="H203" s="334" t="n"/>
      <c r="I203" s="332">
        <f>IFERROR(VLOOKUP(TEXT(H203,"0"),IPRESS!$A$3:$B$212,2,0),"")</f>
        <v/>
      </c>
      <c r="J203" s="334" t="n"/>
      <c r="K203" s="332">
        <f>IFERROR(VLOOKUP(TEXT(O203,"0"),CONDUCTORES!$A$3:$G$54,7,0),"")</f>
        <v/>
      </c>
      <c r="L203" s="334" t="n"/>
      <c r="M203" s="334" t="n"/>
      <c r="N203" s="333">
        <f>IFERROR(IF(L203*M203=0,"",L203*M203),"")</f>
        <v/>
      </c>
      <c r="O203" s="334" t="n"/>
      <c r="P203" s="332">
        <f>IFERROR(VLOOKUP(TEXT(O203,"0"),CONDUCTORES!$A$3:$G$54,2,0),"")</f>
        <v/>
      </c>
      <c r="Q203" s="332">
        <f>IFERROR(VLOOKUP(TEXT(O203,"0"),CONDUCTORES!$A$3:$H$54,6,0),"")</f>
        <v/>
      </c>
      <c r="R203" s="334" t="n"/>
      <c r="S203" s="334" t="n"/>
      <c r="T203" s="334" t="n"/>
      <c r="U203" s="334" t="n"/>
      <c r="V203" s="334" t="n"/>
      <c r="W203" s="334" t="n"/>
      <c r="X203" s="334" t="n"/>
      <c r="Y203" s="334" t="n"/>
    </row>
    <row r="204" ht="15" customHeight="1" s="195">
      <c r="A204" s="280" t="n"/>
      <c r="B204" s="280" t="n"/>
      <c r="C204" s="280" t="n"/>
      <c r="D204" s="280" t="n"/>
      <c r="E204" s="280" t="n"/>
      <c r="F204" s="280" t="n"/>
      <c r="G204" s="280" t="n"/>
      <c r="H204" s="280" t="n"/>
      <c r="I204" s="332">
        <f>IFERROR(VLOOKUP(TEXT(H204,"0"),IPRESS!$A$3:$B$212,2,0),"")</f>
        <v/>
      </c>
      <c r="J204" s="280" t="n"/>
      <c r="K204" s="332">
        <f>IFERROR(VLOOKUP(TEXT(O204,"0"),CONDUCTORES!$A$3:$G$54,7,0),"")</f>
        <v/>
      </c>
      <c r="L204" s="280" t="n"/>
      <c r="M204" s="280" t="n"/>
      <c r="N204" s="333">
        <f>IFERROR(IF(L204*M204=0,"",L204*M204),"")</f>
        <v/>
      </c>
      <c r="O204" s="280" t="n"/>
      <c r="P204" s="332">
        <f>IFERROR(VLOOKUP(TEXT(O204,"0"),CONDUCTORES!$A$3:$G$54,2,0),"")</f>
        <v/>
      </c>
      <c r="Q204" s="332">
        <f>IFERROR(VLOOKUP(TEXT(O204,"0"),CONDUCTORES!$A$3:$H$54,6,0),"")</f>
        <v/>
      </c>
      <c r="R204" s="280" t="n"/>
      <c r="S204" s="280" t="n"/>
      <c r="T204" s="280" t="n"/>
      <c r="U204" s="280" t="n"/>
      <c r="V204" s="280" t="n"/>
      <c r="W204" s="280" t="n"/>
      <c r="X204" s="280" t="n"/>
      <c r="Y204" s="280" t="n"/>
    </row>
    <row r="205" ht="15" customHeight="1" s="195">
      <c r="A205" s="334" t="n"/>
      <c r="B205" s="334" t="n"/>
      <c r="C205" s="334" t="n"/>
      <c r="D205" s="334" t="n"/>
      <c r="E205" s="334" t="n"/>
      <c r="F205" s="334" t="n"/>
      <c r="G205" s="334" t="n"/>
      <c r="H205" s="334" t="n"/>
      <c r="I205" s="332">
        <f>IFERROR(VLOOKUP(TEXT(H205,"0"),IPRESS!$A$3:$B$212,2,0),"")</f>
        <v/>
      </c>
      <c r="J205" s="334" t="n"/>
      <c r="K205" s="332">
        <f>IFERROR(VLOOKUP(TEXT(O205,"0"),CONDUCTORES!$A$3:$G$54,7,0),"")</f>
        <v/>
      </c>
      <c r="L205" s="334" t="n"/>
      <c r="M205" s="334" t="n"/>
      <c r="N205" s="333">
        <f>IFERROR(IF(L205*M205=0,"",L205*M205),"")</f>
        <v/>
      </c>
      <c r="O205" s="334" t="n"/>
      <c r="P205" s="332">
        <f>IFERROR(VLOOKUP(TEXT(O205,"0"),CONDUCTORES!$A$3:$G$54,2,0),"")</f>
        <v/>
      </c>
      <c r="Q205" s="332">
        <f>IFERROR(VLOOKUP(TEXT(O205,"0"),CONDUCTORES!$A$3:$H$54,6,0),"")</f>
        <v/>
      </c>
      <c r="R205" s="334" t="n"/>
      <c r="S205" s="334" t="n"/>
      <c r="T205" s="334" t="n"/>
      <c r="U205" s="334" t="n"/>
      <c r="V205" s="334" t="n"/>
      <c r="W205" s="334" t="n"/>
      <c r="X205" s="334" t="n"/>
      <c r="Y205" s="334" t="n"/>
    </row>
    <row r="206" ht="15" customHeight="1" s="195">
      <c r="A206" s="280" t="n"/>
      <c r="B206" s="280" t="n"/>
      <c r="C206" s="280" t="n"/>
      <c r="D206" s="280" t="n"/>
      <c r="E206" s="280" t="n"/>
      <c r="F206" s="280" t="n"/>
      <c r="G206" s="280" t="n"/>
      <c r="H206" s="280" t="n"/>
      <c r="I206" s="332">
        <f>IFERROR(VLOOKUP(TEXT(H206,"0"),IPRESS!$A$3:$B$212,2,0),"")</f>
        <v/>
      </c>
      <c r="J206" s="280" t="n"/>
      <c r="K206" s="332">
        <f>IFERROR(VLOOKUP(TEXT(O206,"0"),CONDUCTORES!$A$3:$G$54,7,0),"")</f>
        <v/>
      </c>
      <c r="L206" s="280" t="n"/>
      <c r="M206" s="280" t="n"/>
      <c r="N206" s="333">
        <f>IFERROR(IF(L206*M206=0,"",L206*M206),"")</f>
        <v/>
      </c>
      <c r="O206" s="280" t="n"/>
      <c r="P206" s="332">
        <f>IFERROR(VLOOKUP(TEXT(O206,"0"),CONDUCTORES!$A$3:$G$54,2,0),"")</f>
        <v/>
      </c>
      <c r="Q206" s="332">
        <f>IFERROR(VLOOKUP(TEXT(O206,"0"),CONDUCTORES!$A$3:$H$54,6,0),"")</f>
        <v/>
      </c>
      <c r="R206" s="280" t="n"/>
      <c r="S206" s="280" t="n"/>
      <c r="T206" s="280" t="n"/>
      <c r="U206" s="280" t="n"/>
      <c r="V206" s="280" t="n"/>
      <c r="W206" s="280" t="n"/>
      <c r="X206" s="280" t="n"/>
      <c r="Y206" s="280" t="n"/>
    </row>
    <row r="207" ht="15" customHeight="1" s="195">
      <c r="A207" s="334" t="n"/>
      <c r="B207" s="334" t="n"/>
      <c r="C207" s="334" t="n"/>
      <c r="D207" s="334" t="n"/>
      <c r="E207" s="334" t="n"/>
      <c r="F207" s="334" t="n"/>
      <c r="G207" s="334" t="n"/>
      <c r="H207" s="334" t="n"/>
      <c r="I207" s="332">
        <f>IFERROR(VLOOKUP(TEXT(H207,"0"),IPRESS!$A$3:$B$212,2,0),"")</f>
        <v/>
      </c>
      <c r="J207" s="334" t="n"/>
      <c r="K207" s="332">
        <f>IFERROR(VLOOKUP(TEXT(O207,"0"),CONDUCTORES!$A$3:$G$54,7,0),"")</f>
        <v/>
      </c>
      <c r="L207" s="334" t="n"/>
      <c r="M207" s="334" t="n"/>
      <c r="N207" s="333">
        <f>IFERROR(IF(L207*M207=0,"",L207*M207),"")</f>
        <v/>
      </c>
      <c r="O207" s="334" t="n"/>
      <c r="P207" s="332">
        <f>IFERROR(VLOOKUP(TEXT(O207,"0"),CONDUCTORES!$A$3:$G$54,2,0),"")</f>
        <v/>
      </c>
      <c r="Q207" s="332">
        <f>IFERROR(VLOOKUP(TEXT(O207,"0"),CONDUCTORES!$A$3:$H$54,6,0),"")</f>
        <v/>
      </c>
      <c r="R207" s="334" t="n"/>
      <c r="S207" s="334" t="n"/>
      <c r="T207" s="334" t="n"/>
      <c r="U207" s="334" t="n"/>
      <c r="V207" s="334" t="n"/>
      <c r="W207" s="334" t="n"/>
      <c r="X207" s="334" t="n"/>
      <c r="Y207" s="334" t="n"/>
    </row>
    <row r="208" ht="15" customHeight="1" s="195">
      <c r="A208" s="280" t="n"/>
      <c r="B208" s="280" t="n"/>
      <c r="C208" s="280" t="n"/>
      <c r="D208" s="280" t="n"/>
      <c r="E208" s="280" t="n"/>
      <c r="F208" s="280" t="n"/>
      <c r="G208" s="280" t="n"/>
      <c r="H208" s="280" t="n"/>
      <c r="I208" s="332">
        <f>IFERROR(VLOOKUP(TEXT(H208,"0"),IPRESS!$A$3:$B$212,2,0),"")</f>
        <v/>
      </c>
      <c r="J208" s="280" t="n"/>
      <c r="K208" s="332">
        <f>IFERROR(VLOOKUP(TEXT(O208,"0"),CONDUCTORES!$A$3:$G$54,7,0),"")</f>
        <v/>
      </c>
      <c r="L208" s="280" t="n"/>
      <c r="M208" s="280" t="n"/>
      <c r="N208" s="333">
        <f>IFERROR(IF(L208*M208=0,"",L208*M208),"")</f>
        <v/>
      </c>
      <c r="O208" s="280" t="n"/>
      <c r="P208" s="332">
        <f>IFERROR(VLOOKUP(TEXT(O208,"0"),CONDUCTORES!$A$3:$G$54,2,0),"")</f>
        <v/>
      </c>
      <c r="Q208" s="332">
        <f>IFERROR(VLOOKUP(TEXT(O208,"0"),CONDUCTORES!$A$3:$H$54,6,0),"")</f>
        <v/>
      </c>
      <c r="R208" s="280" t="n"/>
      <c r="S208" s="280" t="n"/>
      <c r="T208" s="280" t="n"/>
      <c r="U208" s="280" t="n"/>
      <c r="V208" s="280" t="n"/>
      <c r="W208" s="280" t="n"/>
      <c r="X208" s="280" t="n"/>
      <c r="Y208" s="280" t="n"/>
    </row>
    <row r="209" ht="15" customHeight="1" s="195">
      <c r="A209" s="334" t="n"/>
      <c r="B209" s="334" t="n"/>
      <c r="C209" s="334" t="n"/>
      <c r="D209" s="334" t="n"/>
      <c r="E209" s="334" t="n"/>
      <c r="F209" s="334" t="n"/>
      <c r="G209" s="334" t="n"/>
      <c r="H209" s="334" t="n"/>
      <c r="I209" s="332">
        <f>IFERROR(VLOOKUP(TEXT(H209,"0"),IPRESS!$A$3:$B$212,2,0),"")</f>
        <v/>
      </c>
      <c r="J209" s="334" t="n"/>
      <c r="K209" s="332">
        <f>IFERROR(VLOOKUP(TEXT(O209,"0"),CONDUCTORES!$A$3:$G$54,7,0),"")</f>
        <v/>
      </c>
      <c r="L209" s="334" t="n"/>
      <c r="M209" s="334" t="n"/>
      <c r="N209" s="333">
        <f>IFERROR(IF(L209*M209=0,"",L209*M209),"")</f>
        <v/>
      </c>
      <c r="O209" s="334" t="n"/>
      <c r="P209" s="332">
        <f>IFERROR(VLOOKUP(TEXT(O209,"0"),CONDUCTORES!$A$3:$G$54,2,0),"")</f>
        <v/>
      </c>
      <c r="Q209" s="332">
        <f>IFERROR(VLOOKUP(TEXT(O209,"0"),CONDUCTORES!$A$3:$H$54,6,0),"")</f>
        <v/>
      </c>
      <c r="R209" s="334" t="n"/>
      <c r="S209" s="334" t="n"/>
      <c r="T209" s="334" t="n"/>
      <c r="U209" s="334" t="n"/>
      <c r="V209" s="334" t="n"/>
      <c r="W209" s="334" t="n"/>
      <c r="X209" s="334" t="n"/>
      <c r="Y209" s="334" t="n"/>
    </row>
    <row r="210" ht="15" customHeight="1" s="195">
      <c r="A210" s="280" t="n"/>
      <c r="B210" s="280" t="n"/>
      <c r="C210" s="280" t="n"/>
      <c r="D210" s="280" t="n"/>
      <c r="E210" s="280" t="n"/>
      <c r="F210" s="280" t="n"/>
      <c r="G210" s="280" t="n"/>
      <c r="H210" s="280" t="n"/>
      <c r="I210" s="332">
        <f>IFERROR(VLOOKUP(TEXT(H210,"0"),IPRESS!$A$3:$B$212,2,0),"")</f>
        <v/>
      </c>
      <c r="J210" s="280" t="n"/>
      <c r="K210" s="332">
        <f>IFERROR(VLOOKUP(TEXT(O210,"0"),CONDUCTORES!$A$3:$G$54,7,0),"")</f>
        <v/>
      </c>
      <c r="L210" s="280" t="n"/>
      <c r="M210" s="280" t="n"/>
      <c r="N210" s="333">
        <f>IFERROR(IF(L210*M210=0,"",L210*M210),"")</f>
        <v/>
      </c>
      <c r="O210" s="280" t="n"/>
      <c r="P210" s="332">
        <f>IFERROR(VLOOKUP(TEXT(O210,"0"),CONDUCTORES!$A$3:$G$54,2,0),"")</f>
        <v/>
      </c>
      <c r="Q210" s="332">
        <f>IFERROR(VLOOKUP(TEXT(O210,"0"),CONDUCTORES!$A$3:$H$54,6,0),"")</f>
        <v/>
      </c>
      <c r="R210" s="280" t="n"/>
      <c r="S210" s="280" t="n"/>
      <c r="T210" s="280" t="n"/>
      <c r="U210" s="280" t="n"/>
      <c r="V210" s="280" t="n"/>
      <c r="W210" s="280" t="n"/>
      <c r="X210" s="280" t="n"/>
      <c r="Y210" s="280" t="n"/>
    </row>
    <row r="211" ht="15" customHeight="1" s="195">
      <c r="A211" s="334" t="n"/>
      <c r="B211" s="334" t="n"/>
      <c r="C211" s="334" t="n"/>
      <c r="D211" s="334" t="n"/>
      <c r="E211" s="334" t="n"/>
      <c r="F211" s="334" t="n"/>
      <c r="G211" s="334" t="n"/>
      <c r="H211" s="334" t="n"/>
      <c r="I211" s="332">
        <f>IFERROR(VLOOKUP(TEXT(H211,"0"),IPRESS!$A$3:$B$212,2,0),"")</f>
        <v/>
      </c>
      <c r="J211" s="334" t="n"/>
      <c r="K211" s="332">
        <f>IFERROR(VLOOKUP(TEXT(O211,"0"),CONDUCTORES!$A$3:$G$54,7,0),"")</f>
        <v/>
      </c>
      <c r="L211" s="334" t="n"/>
      <c r="M211" s="334" t="n"/>
      <c r="N211" s="333">
        <f>IFERROR(IF(L211*M211=0,"",L211*M211),"")</f>
        <v/>
      </c>
      <c r="O211" s="334" t="n"/>
      <c r="P211" s="332">
        <f>IFERROR(VLOOKUP(TEXT(O211,"0"),CONDUCTORES!$A$3:$G$54,2,0),"")</f>
        <v/>
      </c>
      <c r="Q211" s="332">
        <f>IFERROR(VLOOKUP(TEXT(O211,"0"),CONDUCTORES!$A$3:$H$54,6,0),"")</f>
        <v/>
      </c>
      <c r="R211" s="334" t="n"/>
      <c r="S211" s="334" t="n"/>
      <c r="T211" s="334" t="n"/>
      <c r="U211" s="334" t="n"/>
      <c r="V211" s="334" t="n"/>
      <c r="W211" s="334" t="n"/>
      <c r="X211" s="334" t="n"/>
      <c r="Y211" s="334" t="n"/>
    </row>
    <row r="212" ht="15" customHeight="1" s="195">
      <c r="A212" s="280" t="n"/>
      <c r="B212" s="280" t="n"/>
      <c r="C212" s="280" t="n"/>
      <c r="D212" s="280" t="n"/>
      <c r="E212" s="280" t="n"/>
      <c r="F212" s="280" t="n"/>
      <c r="G212" s="280" t="n"/>
      <c r="H212" s="280" t="n"/>
      <c r="I212" s="332">
        <f>IFERROR(VLOOKUP(TEXT(H212,"0"),IPRESS!$A$3:$B$212,2,0),"")</f>
        <v/>
      </c>
      <c r="J212" s="280" t="n"/>
      <c r="K212" s="332">
        <f>IFERROR(VLOOKUP(TEXT(O212,"0"),CONDUCTORES!$A$3:$G$54,7,0),"")</f>
        <v/>
      </c>
      <c r="L212" s="280" t="n"/>
      <c r="M212" s="280" t="n"/>
      <c r="N212" s="333">
        <f>IFERROR(IF(L212*M212=0,"",L212*M212),"")</f>
        <v/>
      </c>
      <c r="O212" s="280" t="n"/>
      <c r="P212" s="332">
        <f>IFERROR(VLOOKUP(TEXT(O212,"0"),CONDUCTORES!$A$3:$G$54,2,0),"")</f>
        <v/>
      </c>
      <c r="Q212" s="332">
        <f>IFERROR(VLOOKUP(TEXT(O212,"0"),CONDUCTORES!$A$3:$H$54,6,0),"")</f>
        <v/>
      </c>
      <c r="R212" s="280" t="n"/>
      <c r="S212" s="280" t="n"/>
      <c r="T212" s="280" t="n"/>
      <c r="U212" s="280" t="n"/>
      <c r="V212" s="280" t="n"/>
      <c r="W212" s="280" t="n"/>
      <c r="X212" s="280" t="n"/>
      <c r="Y212" s="280" t="n"/>
    </row>
    <row r="213" ht="15" customHeight="1" s="195">
      <c r="A213" s="334" t="n"/>
      <c r="B213" s="334" t="n"/>
      <c r="C213" s="334" t="n"/>
      <c r="D213" s="334" t="n"/>
      <c r="E213" s="334" t="n"/>
      <c r="F213" s="334" t="n"/>
      <c r="G213" s="334" t="n"/>
      <c r="H213" s="334" t="n"/>
      <c r="I213" s="332">
        <f>IFERROR(VLOOKUP(TEXT(H213,"0"),IPRESS!$A$3:$B$212,2,0),"")</f>
        <v/>
      </c>
      <c r="J213" s="334" t="n"/>
      <c r="K213" s="332">
        <f>IFERROR(VLOOKUP(TEXT(O213,"0"),CONDUCTORES!$A$3:$G$54,7,0),"")</f>
        <v/>
      </c>
      <c r="L213" s="334" t="n"/>
      <c r="M213" s="334" t="n"/>
      <c r="N213" s="333">
        <f>IFERROR(IF(L213*M213=0,"",L213*M213),"")</f>
        <v/>
      </c>
      <c r="O213" s="334" t="n"/>
      <c r="P213" s="332">
        <f>IFERROR(VLOOKUP(TEXT(O213,"0"),CONDUCTORES!$A$3:$G$54,2,0),"")</f>
        <v/>
      </c>
      <c r="Q213" s="332">
        <f>IFERROR(VLOOKUP(TEXT(O213,"0"),CONDUCTORES!$A$3:$H$54,6,0),"")</f>
        <v/>
      </c>
      <c r="R213" s="334" t="n"/>
      <c r="S213" s="334" t="n"/>
      <c r="T213" s="334" t="n"/>
      <c r="U213" s="334" t="n"/>
      <c r="V213" s="334" t="n"/>
      <c r="W213" s="334" t="n"/>
      <c r="X213" s="334" t="n"/>
      <c r="Y213" s="334" t="n"/>
    </row>
    <row r="214" ht="15" customHeight="1" s="195">
      <c r="A214" s="280" t="n"/>
      <c r="B214" s="280" t="n"/>
      <c r="C214" s="280" t="n"/>
      <c r="D214" s="280" t="n"/>
      <c r="E214" s="280" t="n"/>
      <c r="F214" s="280" t="n"/>
      <c r="G214" s="280" t="n"/>
      <c r="H214" s="280" t="n"/>
      <c r="I214" s="332">
        <f>IFERROR(VLOOKUP(TEXT(H214,"0"),IPRESS!$A$3:$B$212,2,0),"")</f>
        <v/>
      </c>
      <c r="J214" s="280" t="n"/>
      <c r="K214" s="332">
        <f>IFERROR(VLOOKUP(TEXT(O214,"0"),CONDUCTORES!$A$3:$G$54,7,0),"")</f>
        <v/>
      </c>
      <c r="L214" s="280" t="n"/>
      <c r="M214" s="280" t="n"/>
      <c r="N214" s="333">
        <f>IFERROR(IF(L214*M214=0,"",L214*M214),"")</f>
        <v/>
      </c>
      <c r="O214" s="280" t="n"/>
      <c r="P214" s="332">
        <f>IFERROR(VLOOKUP(TEXT(O214,"0"),CONDUCTORES!$A$3:$G$54,2,0),"")</f>
        <v/>
      </c>
      <c r="Q214" s="332">
        <f>IFERROR(VLOOKUP(TEXT(O214,"0"),CONDUCTORES!$A$3:$H$54,6,0),"")</f>
        <v/>
      </c>
      <c r="R214" s="280" t="n"/>
      <c r="S214" s="280" t="n"/>
      <c r="T214" s="280" t="n"/>
      <c r="U214" s="280" t="n"/>
      <c r="V214" s="280" t="n"/>
      <c r="W214" s="280" t="n"/>
      <c r="X214" s="280" t="n"/>
      <c r="Y214" s="280" t="n"/>
    </row>
    <row r="215" ht="15" customHeight="1" s="195">
      <c r="A215" s="334" t="n"/>
      <c r="B215" s="334" t="n"/>
      <c r="C215" s="334" t="n"/>
      <c r="D215" s="334" t="n"/>
      <c r="E215" s="334" t="n"/>
      <c r="F215" s="334" t="n"/>
      <c r="G215" s="334" t="n"/>
      <c r="H215" s="334" t="n"/>
      <c r="I215" s="332">
        <f>IFERROR(VLOOKUP(TEXT(H215,"0"),IPRESS!$A$3:$B$212,2,0),"")</f>
        <v/>
      </c>
      <c r="J215" s="334" t="n"/>
      <c r="K215" s="332">
        <f>IFERROR(VLOOKUP(TEXT(O215,"0"),CONDUCTORES!$A$3:$G$54,7,0),"")</f>
        <v/>
      </c>
      <c r="L215" s="334" t="n"/>
      <c r="M215" s="334" t="n"/>
      <c r="N215" s="333">
        <f>IFERROR(IF(L215*M215=0,"",L215*M215),"")</f>
        <v/>
      </c>
      <c r="O215" s="334" t="n"/>
      <c r="P215" s="332">
        <f>IFERROR(VLOOKUP(TEXT(O215,"0"),CONDUCTORES!$A$3:$G$54,2,0),"")</f>
        <v/>
      </c>
      <c r="Q215" s="332">
        <f>IFERROR(VLOOKUP(TEXT(O215,"0"),CONDUCTORES!$A$3:$H$54,6,0),"")</f>
        <v/>
      </c>
      <c r="R215" s="334" t="n"/>
      <c r="S215" s="334" t="n"/>
      <c r="T215" s="334" t="n"/>
      <c r="U215" s="334" t="n"/>
      <c r="V215" s="334" t="n"/>
      <c r="W215" s="334" t="n"/>
      <c r="X215" s="334" t="n"/>
      <c r="Y215" s="334" t="n"/>
    </row>
    <row r="216" ht="15" customHeight="1" s="195">
      <c r="A216" s="280" t="n"/>
      <c r="B216" s="280" t="n"/>
      <c r="C216" s="280" t="n"/>
      <c r="D216" s="280" t="n"/>
      <c r="E216" s="280" t="n"/>
      <c r="F216" s="280" t="n"/>
      <c r="G216" s="280" t="n"/>
      <c r="H216" s="280" t="n"/>
      <c r="I216" s="332">
        <f>IFERROR(VLOOKUP(TEXT(H216,"0"),IPRESS!$A$3:$B$212,2,0),"")</f>
        <v/>
      </c>
      <c r="J216" s="280" t="n"/>
      <c r="K216" s="332">
        <f>IFERROR(VLOOKUP(TEXT(O216,"0"),CONDUCTORES!$A$3:$G$54,7,0),"")</f>
        <v/>
      </c>
      <c r="L216" s="280" t="n"/>
      <c r="M216" s="280" t="n"/>
      <c r="N216" s="333">
        <f>IFERROR(IF(L216*M216=0,"",L216*M216),"")</f>
        <v/>
      </c>
      <c r="O216" s="280" t="n"/>
      <c r="P216" s="332">
        <f>IFERROR(VLOOKUP(TEXT(O216,"0"),CONDUCTORES!$A$3:$G$54,2,0),"")</f>
        <v/>
      </c>
      <c r="Q216" s="332">
        <f>IFERROR(VLOOKUP(TEXT(O216,"0"),CONDUCTORES!$A$3:$H$54,6,0),"")</f>
        <v/>
      </c>
      <c r="R216" s="280" t="n"/>
      <c r="S216" s="280" t="n"/>
      <c r="T216" s="280" t="n"/>
      <c r="U216" s="280" t="n"/>
      <c r="V216" s="280" t="n"/>
      <c r="W216" s="280" t="n"/>
      <c r="X216" s="280" t="n"/>
      <c r="Y216" s="280" t="n"/>
    </row>
    <row r="217" ht="15" customHeight="1" s="195">
      <c r="A217" s="334" t="n"/>
      <c r="B217" s="334" t="n"/>
      <c r="C217" s="334" t="n"/>
      <c r="D217" s="334" t="n"/>
      <c r="E217" s="334" t="n"/>
      <c r="F217" s="334" t="n"/>
      <c r="G217" s="334" t="n"/>
      <c r="H217" s="334" t="n"/>
      <c r="I217" s="332">
        <f>IFERROR(VLOOKUP(TEXT(H217,"0"),IPRESS!$A$3:$B$212,2,0),"")</f>
        <v/>
      </c>
      <c r="J217" s="334" t="n"/>
      <c r="K217" s="332">
        <f>IFERROR(VLOOKUP(TEXT(O217,"0"),CONDUCTORES!$A$3:$G$54,7,0),"")</f>
        <v/>
      </c>
      <c r="L217" s="334" t="n"/>
      <c r="M217" s="334" t="n"/>
      <c r="N217" s="333">
        <f>IFERROR(IF(L217*M217=0,"",L217*M217),"")</f>
        <v/>
      </c>
      <c r="O217" s="334" t="n"/>
      <c r="P217" s="332">
        <f>IFERROR(VLOOKUP(TEXT(O217,"0"),CONDUCTORES!$A$3:$G$54,2,0),"")</f>
        <v/>
      </c>
      <c r="Q217" s="332">
        <f>IFERROR(VLOOKUP(TEXT(O217,"0"),CONDUCTORES!$A$3:$H$54,6,0),"")</f>
        <v/>
      </c>
      <c r="R217" s="334" t="n"/>
      <c r="S217" s="334" t="n"/>
      <c r="T217" s="334" t="n"/>
      <c r="U217" s="334" t="n"/>
      <c r="V217" s="334" t="n"/>
      <c r="W217" s="334" t="n"/>
      <c r="X217" s="334" t="n"/>
      <c r="Y217" s="334" t="n"/>
    </row>
    <row r="218" ht="15" customHeight="1" s="195">
      <c r="A218" s="280" t="n"/>
      <c r="B218" s="280" t="n"/>
      <c r="C218" s="280" t="n"/>
      <c r="D218" s="280" t="n"/>
      <c r="E218" s="280" t="n"/>
      <c r="F218" s="280" t="n"/>
      <c r="G218" s="280" t="n"/>
      <c r="H218" s="280" t="n"/>
      <c r="I218" s="332">
        <f>IFERROR(VLOOKUP(TEXT(H218,"0"),IPRESS!$A$3:$B$212,2,0),"")</f>
        <v/>
      </c>
      <c r="J218" s="280" t="n"/>
      <c r="K218" s="332">
        <f>IFERROR(VLOOKUP(TEXT(O218,"0"),CONDUCTORES!$A$3:$G$54,7,0),"")</f>
        <v/>
      </c>
      <c r="L218" s="280" t="n"/>
      <c r="M218" s="280" t="n"/>
      <c r="N218" s="333">
        <f>IFERROR(IF(L218*M218=0,"",L218*M218),"")</f>
        <v/>
      </c>
      <c r="O218" s="280" t="n"/>
      <c r="P218" s="332">
        <f>IFERROR(VLOOKUP(TEXT(O218,"0"),CONDUCTORES!$A$3:$G$54,2,0),"")</f>
        <v/>
      </c>
      <c r="Q218" s="332">
        <f>IFERROR(VLOOKUP(TEXT(O218,"0"),CONDUCTORES!$A$3:$H$54,6,0),"")</f>
        <v/>
      </c>
      <c r="R218" s="280" t="n"/>
      <c r="S218" s="280" t="n"/>
      <c r="T218" s="280" t="n"/>
      <c r="U218" s="280" t="n"/>
      <c r="V218" s="280" t="n"/>
      <c r="W218" s="280" t="n"/>
      <c r="X218" s="280" t="n"/>
      <c r="Y218" s="280" t="n"/>
    </row>
    <row r="219" ht="15" customHeight="1" s="195">
      <c r="A219" s="334" t="n"/>
      <c r="B219" s="334" t="n"/>
      <c r="C219" s="334" t="n"/>
      <c r="D219" s="334" t="n"/>
      <c r="E219" s="334" t="n"/>
      <c r="F219" s="334" t="n"/>
      <c r="G219" s="334" t="n"/>
      <c r="H219" s="334" t="n"/>
      <c r="I219" s="332">
        <f>IFERROR(VLOOKUP(TEXT(H219,"0"),IPRESS!$A$3:$B$212,2,0),"")</f>
        <v/>
      </c>
      <c r="J219" s="334" t="n"/>
      <c r="K219" s="332">
        <f>IFERROR(VLOOKUP(TEXT(O219,"0"),CONDUCTORES!$A$3:$G$54,7,0),"")</f>
        <v/>
      </c>
      <c r="L219" s="334" t="n"/>
      <c r="M219" s="334" t="n"/>
      <c r="N219" s="333">
        <f>IFERROR(IF(L219*M219=0,"",L219*M219),"")</f>
        <v/>
      </c>
      <c r="O219" s="334" t="n"/>
      <c r="P219" s="332">
        <f>IFERROR(VLOOKUP(TEXT(O219,"0"),CONDUCTORES!$A$3:$G$54,2,0),"")</f>
        <v/>
      </c>
      <c r="Q219" s="332">
        <f>IFERROR(VLOOKUP(TEXT(O219,"0"),CONDUCTORES!$A$3:$H$54,6,0),"")</f>
        <v/>
      </c>
      <c r="R219" s="334" t="n"/>
      <c r="S219" s="334" t="n"/>
      <c r="T219" s="334" t="n"/>
      <c r="U219" s="334" t="n"/>
      <c r="V219" s="334" t="n"/>
      <c r="W219" s="334" t="n"/>
      <c r="X219" s="334" t="n"/>
      <c r="Y219" s="334" t="n"/>
    </row>
    <row r="220" ht="15" customHeight="1" s="195">
      <c r="A220" s="280" t="n"/>
      <c r="B220" s="280" t="n"/>
      <c r="C220" s="280" t="n"/>
      <c r="D220" s="280" t="n"/>
      <c r="E220" s="280" t="n"/>
      <c r="F220" s="280" t="n"/>
      <c r="G220" s="280" t="n"/>
      <c r="H220" s="280" t="n"/>
      <c r="I220" s="332">
        <f>IFERROR(VLOOKUP(TEXT(H220,"0"),IPRESS!$A$3:$B$212,2,0),"")</f>
        <v/>
      </c>
      <c r="J220" s="280" t="n"/>
      <c r="K220" s="332">
        <f>IFERROR(VLOOKUP(TEXT(O220,"0"),CONDUCTORES!$A$3:$G$54,7,0),"")</f>
        <v/>
      </c>
      <c r="L220" s="280" t="n"/>
      <c r="M220" s="280" t="n"/>
      <c r="N220" s="333">
        <f>IFERROR(IF(L220*M220=0,"",L220*M220),"")</f>
        <v/>
      </c>
      <c r="O220" s="280" t="n"/>
      <c r="P220" s="332">
        <f>IFERROR(VLOOKUP(TEXT(O220,"0"),CONDUCTORES!$A$3:$G$54,2,0),"")</f>
        <v/>
      </c>
      <c r="Q220" s="332">
        <f>IFERROR(VLOOKUP(TEXT(O220,"0"),CONDUCTORES!$A$3:$H$54,6,0),"")</f>
        <v/>
      </c>
      <c r="R220" s="280" t="n"/>
      <c r="S220" s="280" t="n"/>
      <c r="T220" s="280" t="n"/>
      <c r="U220" s="280" t="n"/>
      <c r="V220" s="280" t="n"/>
      <c r="W220" s="280" t="n"/>
      <c r="X220" s="280" t="n"/>
      <c r="Y220" s="280" t="n"/>
    </row>
    <row r="221" ht="15" customHeight="1" s="195">
      <c r="A221" s="334" t="n"/>
      <c r="B221" s="334" t="n"/>
      <c r="C221" s="334" t="n"/>
      <c r="D221" s="334" t="n"/>
      <c r="E221" s="334" t="n"/>
      <c r="F221" s="334" t="n"/>
      <c r="G221" s="334" t="n"/>
      <c r="H221" s="334" t="n"/>
      <c r="I221" s="332">
        <f>IFERROR(VLOOKUP(TEXT(H221,"0"),IPRESS!$A$3:$B$212,2,0),"")</f>
        <v/>
      </c>
      <c r="J221" s="334" t="n"/>
      <c r="K221" s="332">
        <f>IFERROR(VLOOKUP(TEXT(O221,"0"),CONDUCTORES!$A$3:$G$54,7,0),"")</f>
        <v/>
      </c>
      <c r="L221" s="334" t="n"/>
      <c r="M221" s="334" t="n"/>
      <c r="N221" s="333">
        <f>IFERROR(IF(L221*M221=0,"",L221*M221),"")</f>
        <v/>
      </c>
      <c r="O221" s="334" t="n"/>
      <c r="P221" s="332">
        <f>IFERROR(VLOOKUP(TEXT(O221,"0"),CONDUCTORES!$A$3:$G$54,2,0),"")</f>
        <v/>
      </c>
      <c r="Q221" s="332">
        <f>IFERROR(VLOOKUP(TEXT(O221,"0"),CONDUCTORES!$A$3:$H$54,6,0),"")</f>
        <v/>
      </c>
      <c r="R221" s="334" t="n"/>
      <c r="S221" s="334" t="n"/>
      <c r="T221" s="334" t="n"/>
      <c r="U221" s="334" t="n"/>
      <c r="V221" s="334" t="n"/>
      <c r="W221" s="334" t="n"/>
      <c r="X221" s="334" t="n"/>
      <c r="Y221" s="334" t="n"/>
    </row>
    <row r="222" ht="15" customHeight="1" s="195">
      <c r="A222" s="280" t="n"/>
      <c r="B222" s="280" t="n"/>
      <c r="C222" s="280" t="n"/>
      <c r="D222" s="280" t="n"/>
      <c r="E222" s="280" t="n"/>
      <c r="F222" s="280" t="n"/>
      <c r="G222" s="280" t="n"/>
      <c r="H222" s="280" t="n"/>
      <c r="I222" s="332">
        <f>IFERROR(VLOOKUP(TEXT(H222,"0"),IPRESS!$A$3:$B$212,2,0),"")</f>
        <v/>
      </c>
      <c r="J222" s="280" t="n"/>
      <c r="K222" s="332">
        <f>IFERROR(VLOOKUP(TEXT(O222,"0"),CONDUCTORES!$A$3:$G$54,7,0),"")</f>
        <v/>
      </c>
      <c r="L222" s="280" t="n"/>
      <c r="M222" s="280" t="n"/>
      <c r="N222" s="333">
        <f>IFERROR(IF(L222*M222=0,"",L222*M222),"")</f>
        <v/>
      </c>
      <c r="O222" s="280" t="n"/>
      <c r="P222" s="332">
        <f>IFERROR(VLOOKUP(TEXT(O222,"0"),CONDUCTORES!$A$3:$G$54,2,0),"")</f>
        <v/>
      </c>
      <c r="Q222" s="332">
        <f>IFERROR(VLOOKUP(TEXT(O222,"0"),CONDUCTORES!$A$3:$H$54,6,0),"")</f>
        <v/>
      </c>
      <c r="R222" s="280" t="n"/>
      <c r="S222" s="280" t="n"/>
      <c r="T222" s="280" t="n"/>
      <c r="U222" s="280" t="n"/>
      <c r="V222" s="280" t="n"/>
      <c r="W222" s="280" t="n"/>
      <c r="X222" s="280" t="n"/>
      <c r="Y222" s="280" t="n"/>
    </row>
    <row r="223" ht="15" customHeight="1" s="195">
      <c r="A223" s="334" t="n"/>
      <c r="B223" s="334" t="n"/>
      <c r="C223" s="334" t="n"/>
      <c r="D223" s="334" t="n"/>
      <c r="E223" s="334" t="n"/>
      <c r="F223" s="334" t="n"/>
      <c r="G223" s="334" t="n"/>
      <c r="H223" s="334" t="n"/>
      <c r="I223" s="332">
        <f>IFERROR(VLOOKUP(TEXT(H223,"0"),IPRESS!$A$3:$B$212,2,0),"")</f>
        <v/>
      </c>
      <c r="J223" s="334" t="n"/>
      <c r="K223" s="332">
        <f>IFERROR(VLOOKUP(TEXT(O223,"0"),CONDUCTORES!$A$3:$G$54,7,0),"")</f>
        <v/>
      </c>
      <c r="L223" s="334" t="n"/>
      <c r="M223" s="334" t="n"/>
      <c r="N223" s="333">
        <f>IFERROR(IF(L223*M223=0,"",L223*M223),"")</f>
        <v/>
      </c>
      <c r="O223" s="334" t="n"/>
      <c r="P223" s="332">
        <f>IFERROR(VLOOKUP(TEXT(O223,"0"),CONDUCTORES!$A$3:$G$54,2,0),"")</f>
        <v/>
      </c>
      <c r="Q223" s="332">
        <f>IFERROR(VLOOKUP(TEXT(O223,"0"),CONDUCTORES!$A$3:$H$54,6,0),"")</f>
        <v/>
      </c>
      <c r="R223" s="334" t="n"/>
      <c r="S223" s="334" t="n"/>
      <c r="T223" s="334" t="n"/>
      <c r="U223" s="334" t="n"/>
      <c r="V223" s="334" t="n"/>
      <c r="W223" s="334" t="n"/>
      <c r="X223" s="334" t="n"/>
      <c r="Y223" s="334" t="n"/>
    </row>
    <row r="224" ht="15" customHeight="1" s="195">
      <c r="A224" s="280" t="n"/>
      <c r="B224" s="280" t="n"/>
      <c r="C224" s="280" t="n"/>
      <c r="D224" s="280" t="n"/>
      <c r="E224" s="280" t="n"/>
      <c r="F224" s="280" t="n"/>
      <c r="G224" s="280" t="n"/>
      <c r="H224" s="280" t="n"/>
      <c r="I224" s="332">
        <f>IFERROR(VLOOKUP(TEXT(H224,"0"),IPRESS!$A$3:$B$212,2,0),"")</f>
        <v/>
      </c>
      <c r="J224" s="280" t="n"/>
      <c r="K224" s="332">
        <f>IFERROR(VLOOKUP(TEXT(O224,"0"),CONDUCTORES!$A$3:$G$54,7,0),"")</f>
        <v/>
      </c>
      <c r="L224" s="280" t="n"/>
      <c r="M224" s="280" t="n"/>
      <c r="N224" s="333">
        <f>IFERROR(IF(L224*M224=0,"",L224*M224),"")</f>
        <v/>
      </c>
      <c r="O224" s="280" t="n"/>
      <c r="P224" s="332">
        <f>IFERROR(VLOOKUP(TEXT(O224,"0"),CONDUCTORES!$A$3:$G$54,2,0),"")</f>
        <v/>
      </c>
      <c r="Q224" s="332">
        <f>IFERROR(VLOOKUP(TEXT(O224,"0"),CONDUCTORES!$A$3:$H$54,6,0),"")</f>
        <v/>
      </c>
      <c r="R224" s="280" t="n"/>
      <c r="S224" s="280" t="n"/>
      <c r="T224" s="280" t="n"/>
      <c r="U224" s="280" t="n"/>
      <c r="V224" s="280" t="n"/>
      <c r="W224" s="280" t="n"/>
      <c r="X224" s="280" t="n"/>
      <c r="Y224" s="280" t="n"/>
    </row>
    <row r="225" ht="15" customHeight="1" s="195">
      <c r="A225" s="334" t="n"/>
      <c r="B225" s="334" t="n"/>
      <c r="C225" s="334" t="n"/>
      <c r="D225" s="334" t="n"/>
      <c r="E225" s="334" t="n"/>
      <c r="F225" s="334" t="n"/>
      <c r="G225" s="334" t="n"/>
      <c r="H225" s="334" t="n"/>
      <c r="I225" s="332">
        <f>IFERROR(VLOOKUP(TEXT(H225,"0"),IPRESS!$A$3:$B$212,2,0),"")</f>
        <v/>
      </c>
      <c r="J225" s="334" t="n"/>
      <c r="K225" s="332">
        <f>IFERROR(VLOOKUP(TEXT(O225,"0"),CONDUCTORES!$A$3:$G$54,7,0),"")</f>
        <v/>
      </c>
      <c r="L225" s="334" t="n"/>
      <c r="M225" s="334" t="n"/>
      <c r="N225" s="333">
        <f>IFERROR(IF(L225*M225=0,"",L225*M225),"")</f>
        <v/>
      </c>
      <c r="O225" s="334" t="n"/>
      <c r="P225" s="332">
        <f>IFERROR(VLOOKUP(TEXT(O225,"0"),CONDUCTORES!$A$3:$G$54,2,0),"")</f>
        <v/>
      </c>
      <c r="Q225" s="332">
        <f>IFERROR(VLOOKUP(TEXT(O225,"0"),CONDUCTORES!$A$3:$H$54,6,0),"")</f>
        <v/>
      </c>
      <c r="R225" s="334" t="n"/>
      <c r="S225" s="334" t="n"/>
      <c r="T225" s="334" t="n"/>
      <c r="U225" s="334" t="n"/>
      <c r="V225" s="334" t="n"/>
      <c r="W225" s="334" t="n"/>
      <c r="X225" s="334" t="n"/>
      <c r="Y225" s="334" t="n"/>
    </row>
    <row r="226" ht="15" customHeight="1" s="195">
      <c r="A226" s="280" t="n"/>
      <c r="B226" s="280" t="n"/>
      <c r="C226" s="280" t="n"/>
      <c r="D226" s="280" t="n"/>
      <c r="E226" s="280" t="n"/>
      <c r="F226" s="280" t="n"/>
      <c r="G226" s="280" t="n"/>
      <c r="H226" s="280" t="n"/>
      <c r="I226" s="332">
        <f>IFERROR(VLOOKUP(TEXT(H226,"0"),IPRESS!$A$3:$B$212,2,0),"")</f>
        <v/>
      </c>
      <c r="J226" s="280" t="n"/>
      <c r="K226" s="332">
        <f>IFERROR(VLOOKUP(TEXT(O226,"0"),CONDUCTORES!$A$3:$G$54,7,0),"")</f>
        <v/>
      </c>
      <c r="L226" s="280" t="n"/>
      <c r="M226" s="280" t="n"/>
      <c r="N226" s="333">
        <f>IFERROR(IF(L226*M226=0,"",L226*M226),"")</f>
        <v/>
      </c>
      <c r="O226" s="280" t="n"/>
      <c r="P226" s="332">
        <f>IFERROR(VLOOKUP(TEXT(O226,"0"),CONDUCTORES!$A$3:$G$54,2,0),"")</f>
        <v/>
      </c>
      <c r="Q226" s="332">
        <f>IFERROR(VLOOKUP(TEXT(O226,"0"),CONDUCTORES!$A$3:$H$54,6,0),"")</f>
        <v/>
      </c>
      <c r="R226" s="280" t="n"/>
      <c r="S226" s="280" t="n"/>
      <c r="T226" s="280" t="n"/>
      <c r="U226" s="280" t="n"/>
      <c r="V226" s="280" t="n"/>
      <c r="W226" s="280" t="n"/>
      <c r="X226" s="280" t="n"/>
      <c r="Y226" s="280" t="n"/>
    </row>
    <row r="227" ht="15" customHeight="1" s="195">
      <c r="A227" s="334" t="n"/>
      <c r="B227" s="334" t="n"/>
      <c r="C227" s="334" t="n"/>
      <c r="D227" s="334" t="n"/>
      <c r="E227" s="334" t="n"/>
      <c r="F227" s="334" t="n"/>
      <c r="G227" s="334" t="n"/>
      <c r="H227" s="334" t="n"/>
      <c r="I227" s="332">
        <f>IFERROR(VLOOKUP(TEXT(H227,"0"),IPRESS!$A$3:$B$212,2,0),"")</f>
        <v/>
      </c>
      <c r="J227" s="334" t="n"/>
      <c r="K227" s="332">
        <f>IFERROR(VLOOKUP(TEXT(O227,"0"),CONDUCTORES!$A$3:$G$54,7,0),"")</f>
        <v/>
      </c>
      <c r="L227" s="334" t="n"/>
      <c r="M227" s="334" t="n"/>
      <c r="N227" s="333">
        <f>IFERROR(IF(L227*M227=0,"",L227*M227),"")</f>
        <v/>
      </c>
      <c r="O227" s="334" t="n"/>
      <c r="P227" s="332">
        <f>IFERROR(VLOOKUP(TEXT(O227,"0"),CONDUCTORES!$A$3:$G$54,2,0),"")</f>
        <v/>
      </c>
      <c r="Q227" s="332">
        <f>IFERROR(VLOOKUP(TEXT(O227,"0"),CONDUCTORES!$A$3:$H$54,6,0),"")</f>
        <v/>
      </c>
      <c r="R227" s="334" t="n"/>
      <c r="S227" s="334" t="n"/>
      <c r="T227" s="334" t="n"/>
      <c r="U227" s="334" t="n"/>
      <c r="V227" s="334" t="n"/>
      <c r="W227" s="334" t="n"/>
      <c r="X227" s="334" t="n"/>
      <c r="Y227" s="334" t="n"/>
    </row>
    <row r="228" ht="15" customHeight="1" s="195">
      <c r="A228" s="280" t="n"/>
      <c r="B228" s="280" t="n"/>
      <c r="C228" s="280" t="n"/>
      <c r="D228" s="280" t="n"/>
      <c r="E228" s="280" t="n"/>
      <c r="F228" s="280" t="n"/>
      <c r="G228" s="280" t="n"/>
      <c r="H228" s="280" t="n"/>
      <c r="I228" s="332">
        <f>IFERROR(VLOOKUP(TEXT(H228,"0"),IPRESS!$A$3:$B$212,2,0),"")</f>
        <v/>
      </c>
      <c r="J228" s="280" t="n"/>
      <c r="K228" s="332">
        <f>IFERROR(VLOOKUP(TEXT(O228,"0"),CONDUCTORES!$A$3:$G$54,7,0),"")</f>
        <v/>
      </c>
      <c r="L228" s="280" t="n"/>
      <c r="M228" s="280" t="n"/>
      <c r="N228" s="333">
        <f>IFERROR(IF(L228*M228=0,"",L228*M228),"")</f>
        <v/>
      </c>
      <c r="O228" s="280" t="n"/>
      <c r="P228" s="332">
        <f>IFERROR(VLOOKUP(TEXT(O228,"0"),CONDUCTORES!$A$3:$G$54,2,0),"")</f>
        <v/>
      </c>
      <c r="Q228" s="332">
        <f>IFERROR(VLOOKUP(TEXT(O228,"0"),CONDUCTORES!$A$3:$H$54,6,0),"")</f>
        <v/>
      </c>
      <c r="R228" s="280" t="n"/>
      <c r="S228" s="280" t="n"/>
      <c r="T228" s="280" t="n"/>
      <c r="U228" s="280" t="n"/>
      <c r="V228" s="280" t="n"/>
      <c r="W228" s="280" t="n"/>
      <c r="X228" s="280" t="n"/>
      <c r="Y228" s="280" t="n"/>
    </row>
    <row r="229" ht="15" customHeight="1" s="195">
      <c r="A229" s="334" t="n"/>
      <c r="B229" s="334" t="n"/>
      <c r="C229" s="334" t="n"/>
      <c r="D229" s="334" t="n"/>
      <c r="E229" s="334" t="n"/>
      <c r="F229" s="334" t="n"/>
      <c r="G229" s="334" t="n"/>
      <c r="H229" s="334" t="n"/>
      <c r="I229" s="332">
        <f>IFERROR(VLOOKUP(TEXT(H229,"0"),IPRESS!$A$3:$B$212,2,0),"")</f>
        <v/>
      </c>
      <c r="J229" s="334" t="n"/>
      <c r="K229" s="332">
        <f>IFERROR(VLOOKUP(TEXT(O229,"0"),CONDUCTORES!$A$3:$G$54,7,0),"")</f>
        <v/>
      </c>
      <c r="L229" s="334" t="n"/>
      <c r="M229" s="334" t="n"/>
      <c r="N229" s="333">
        <f>IFERROR(IF(L229*M229=0,"",L229*M229),"")</f>
        <v/>
      </c>
      <c r="O229" s="334" t="n"/>
      <c r="P229" s="332">
        <f>IFERROR(VLOOKUP(TEXT(O229,"0"),CONDUCTORES!$A$3:$G$54,2,0),"")</f>
        <v/>
      </c>
      <c r="Q229" s="332">
        <f>IFERROR(VLOOKUP(TEXT(O229,"0"),CONDUCTORES!$A$3:$H$54,6,0),"")</f>
        <v/>
      </c>
      <c r="R229" s="334" t="n"/>
      <c r="S229" s="334" t="n"/>
      <c r="T229" s="334" t="n"/>
      <c r="U229" s="334" t="n"/>
      <c r="V229" s="334" t="n"/>
      <c r="W229" s="334" t="n"/>
      <c r="X229" s="334" t="n"/>
      <c r="Y229" s="334" t="n"/>
    </row>
    <row r="230" ht="15" customHeight="1" s="195">
      <c r="A230" s="280" t="n"/>
      <c r="B230" s="280" t="n"/>
      <c r="C230" s="280" t="n"/>
      <c r="D230" s="280" t="n"/>
      <c r="E230" s="280" t="n"/>
      <c r="F230" s="280" t="n"/>
      <c r="G230" s="280" t="n"/>
      <c r="H230" s="280" t="n"/>
      <c r="I230" s="332">
        <f>IFERROR(VLOOKUP(TEXT(H230,"0"),IPRESS!$A$3:$B$212,2,0),"")</f>
        <v/>
      </c>
      <c r="J230" s="280" t="n"/>
      <c r="K230" s="332">
        <f>IFERROR(VLOOKUP(TEXT(O230,"0"),CONDUCTORES!$A$3:$G$54,7,0),"")</f>
        <v/>
      </c>
      <c r="L230" s="280" t="n"/>
      <c r="M230" s="280" t="n"/>
      <c r="N230" s="333">
        <f>IFERROR(IF(L230*M230=0,"",L230*M230),"")</f>
        <v/>
      </c>
      <c r="O230" s="280" t="n"/>
      <c r="P230" s="332">
        <f>IFERROR(VLOOKUP(TEXT(O230,"0"),CONDUCTORES!$A$3:$G$54,2,0),"")</f>
        <v/>
      </c>
      <c r="Q230" s="332">
        <f>IFERROR(VLOOKUP(TEXT(O230,"0"),CONDUCTORES!$A$3:$H$54,6,0),"")</f>
        <v/>
      </c>
      <c r="R230" s="280" t="n"/>
      <c r="S230" s="280" t="n"/>
      <c r="T230" s="280" t="n"/>
      <c r="U230" s="280" t="n"/>
      <c r="V230" s="280" t="n"/>
      <c r="W230" s="280" t="n"/>
      <c r="X230" s="280" t="n"/>
      <c r="Y230" s="280" t="n"/>
    </row>
    <row r="231" ht="15" customHeight="1" s="195">
      <c r="A231" s="334" t="n"/>
      <c r="B231" s="334" t="n"/>
      <c r="C231" s="334" t="n"/>
      <c r="D231" s="334" t="n"/>
      <c r="E231" s="334" t="n"/>
      <c r="F231" s="334" t="n"/>
      <c r="G231" s="334" t="n"/>
      <c r="H231" s="334" t="n"/>
      <c r="I231" s="332">
        <f>IFERROR(VLOOKUP(TEXT(H231,"0"),IPRESS!$A$3:$B$212,2,0),"")</f>
        <v/>
      </c>
      <c r="J231" s="334" t="n"/>
      <c r="K231" s="332">
        <f>IFERROR(VLOOKUP(TEXT(O231,"0"),CONDUCTORES!$A$3:$G$54,7,0),"")</f>
        <v/>
      </c>
      <c r="L231" s="334" t="n"/>
      <c r="M231" s="334" t="n"/>
      <c r="N231" s="333">
        <f>IFERROR(IF(L231*M231=0,"",L231*M231),"")</f>
        <v/>
      </c>
      <c r="O231" s="334" t="n"/>
      <c r="P231" s="332">
        <f>IFERROR(VLOOKUP(TEXT(O231,"0"),CONDUCTORES!$A$3:$G$54,2,0),"")</f>
        <v/>
      </c>
      <c r="Q231" s="332">
        <f>IFERROR(VLOOKUP(TEXT(O231,"0"),CONDUCTORES!$A$3:$H$54,6,0),"")</f>
        <v/>
      </c>
      <c r="R231" s="334" t="n"/>
      <c r="S231" s="334" t="n"/>
      <c r="T231" s="334" t="n"/>
      <c r="U231" s="334" t="n"/>
      <c r="V231" s="334" t="n"/>
      <c r="W231" s="334" t="n"/>
      <c r="X231" s="334" t="n"/>
      <c r="Y231" s="334" t="n"/>
    </row>
    <row r="232" ht="15" customHeight="1" s="195">
      <c r="A232" s="280" t="n"/>
      <c r="B232" s="280" t="n"/>
      <c r="C232" s="280" t="n"/>
      <c r="D232" s="280" t="n"/>
      <c r="E232" s="280" t="n"/>
      <c r="F232" s="280" t="n"/>
      <c r="G232" s="280" t="n"/>
      <c r="H232" s="280" t="n"/>
      <c r="I232" s="332">
        <f>IFERROR(VLOOKUP(TEXT(H232,"0"),IPRESS!$A$3:$B$212,2,0),"")</f>
        <v/>
      </c>
      <c r="J232" s="280" t="n"/>
      <c r="K232" s="332">
        <f>IFERROR(VLOOKUP(TEXT(O232,"0"),CONDUCTORES!$A$3:$G$54,7,0),"")</f>
        <v/>
      </c>
      <c r="L232" s="280" t="n"/>
      <c r="M232" s="280" t="n"/>
      <c r="N232" s="333">
        <f>IFERROR(IF(L232*M232=0,"",L232*M232),"")</f>
        <v/>
      </c>
      <c r="O232" s="280" t="n"/>
      <c r="P232" s="332">
        <f>IFERROR(VLOOKUP(TEXT(O232,"0"),CONDUCTORES!$A$3:$G$54,2,0),"")</f>
        <v/>
      </c>
      <c r="Q232" s="332">
        <f>IFERROR(VLOOKUP(TEXT(O232,"0"),CONDUCTORES!$A$3:$H$54,6,0),"")</f>
        <v/>
      </c>
      <c r="R232" s="280" t="n"/>
      <c r="S232" s="280" t="n"/>
      <c r="T232" s="280" t="n"/>
      <c r="U232" s="280" t="n"/>
      <c r="V232" s="280" t="n"/>
      <c r="W232" s="280" t="n"/>
      <c r="X232" s="280" t="n"/>
      <c r="Y232" s="280" t="n"/>
    </row>
    <row r="233" ht="15" customHeight="1" s="195">
      <c r="A233" s="334" t="n"/>
      <c r="B233" s="334" t="n"/>
      <c r="C233" s="334" t="n"/>
      <c r="D233" s="334" t="n"/>
      <c r="E233" s="334" t="n"/>
      <c r="F233" s="334" t="n"/>
      <c r="G233" s="334" t="n"/>
      <c r="H233" s="334" t="n"/>
      <c r="I233" s="332">
        <f>IFERROR(VLOOKUP(TEXT(H233,"0"),IPRESS!$A$3:$B$212,2,0),"")</f>
        <v/>
      </c>
      <c r="J233" s="334" t="n"/>
      <c r="K233" s="332">
        <f>IFERROR(VLOOKUP(TEXT(O233,"0"),CONDUCTORES!$A$3:$G$54,7,0),"")</f>
        <v/>
      </c>
      <c r="L233" s="334" t="n"/>
      <c r="M233" s="334" t="n"/>
      <c r="N233" s="333">
        <f>IFERROR(IF(L233*M233=0,"",L233*M233),"")</f>
        <v/>
      </c>
      <c r="O233" s="334" t="n"/>
      <c r="P233" s="332">
        <f>IFERROR(VLOOKUP(TEXT(O233,"0"),CONDUCTORES!$A$3:$G$54,2,0),"")</f>
        <v/>
      </c>
      <c r="Q233" s="332">
        <f>IFERROR(VLOOKUP(TEXT(O233,"0"),CONDUCTORES!$A$3:$H$54,6,0),"")</f>
        <v/>
      </c>
      <c r="R233" s="334" t="n"/>
      <c r="S233" s="334" t="n"/>
      <c r="T233" s="334" t="n"/>
      <c r="U233" s="334" t="n"/>
      <c r="V233" s="334" t="n"/>
      <c r="W233" s="334" t="n"/>
      <c r="X233" s="334" t="n"/>
      <c r="Y233" s="334" t="n"/>
    </row>
    <row r="234" ht="15" customHeight="1" s="195">
      <c r="A234" s="280" t="n"/>
      <c r="B234" s="280" t="n"/>
      <c r="C234" s="280" t="n"/>
      <c r="D234" s="280" t="n"/>
      <c r="E234" s="280" t="n"/>
      <c r="F234" s="280" t="n"/>
      <c r="G234" s="280" t="n"/>
      <c r="H234" s="280" t="n"/>
      <c r="I234" s="332">
        <f>IFERROR(VLOOKUP(TEXT(H234,"0"),IPRESS!$A$3:$B$212,2,0),"")</f>
        <v/>
      </c>
      <c r="J234" s="280" t="n"/>
      <c r="K234" s="332">
        <f>IFERROR(VLOOKUP(TEXT(O234,"0"),CONDUCTORES!$A$3:$G$54,7,0),"")</f>
        <v/>
      </c>
      <c r="L234" s="280" t="n"/>
      <c r="M234" s="280" t="n"/>
      <c r="N234" s="333">
        <f>IFERROR(IF(L234*M234=0,"",L234*M234),"")</f>
        <v/>
      </c>
      <c r="O234" s="280" t="n"/>
      <c r="P234" s="332">
        <f>IFERROR(VLOOKUP(TEXT(O234,"0"),CONDUCTORES!$A$3:$G$54,2,0),"")</f>
        <v/>
      </c>
      <c r="Q234" s="332">
        <f>IFERROR(VLOOKUP(TEXT(O234,"0"),CONDUCTORES!$A$3:$H$54,6,0),"")</f>
        <v/>
      </c>
      <c r="R234" s="280" t="n"/>
      <c r="S234" s="280" t="n"/>
      <c r="T234" s="280" t="n"/>
      <c r="U234" s="280" t="n"/>
      <c r="V234" s="280" t="n"/>
      <c r="W234" s="280" t="n"/>
      <c r="X234" s="280" t="n"/>
      <c r="Y234" s="280" t="n"/>
    </row>
    <row r="235" ht="15" customHeight="1" s="195">
      <c r="A235" s="334" t="n"/>
      <c r="B235" s="334" t="n"/>
      <c r="C235" s="334" t="n"/>
      <c r="D235" s="334" t="n"/>
      <c r="E235" s="334" t="n"/>
      <c r="F235" s="334" t="n"/>
      <c r="G235" s="334" t="n"/>
      <c r="H235" s="334" t="n"/>
      <c r="I235" s="332">
        <f>IFERROR(VLOOKUP(TEXT(H235,"0"),IPRESS!$A$3:$B$212,2,0),"")</f>
        <v/>
      </c>
      <c r="J235" s="334" t="n"/>
      <c r="K235" s="332">
        <f>IFERROR(VLOOKUP(TEXT(O235,"0"),CONDUCTORES!$A$3:$G$54,7,0),"")</f>
        <v/>
      </c>
      <c r="L235" s="334" t="n"/>
      <c r="M235" s="334" t="n"/>
      <c r="N235" s="333">
        <f>IFERROR(IF(L235*M235=0,"",L235*M235),"")</f>
        <v/>
      </c>
      <c r="O235" s="334" t="n"/>
      <c r="P235" s="332">
        <f>IFERROR(VLOOKUP(TEXT(O235,"0"),CONDUCTORES!$A$3:$G$54,2,0),"")</f>
        <v/>
      </c>
      <c r="Q235" s="332">
        <f>IFERROR(VLOOKUP(TEXT(O235,"0"),CONDUCTORES!$A$3:$H$54,6,0),"")</f>
        <v/>
      </c>
      <c r="R235" s="334" t="n"/>
      <c r="S235" s="334" t="n"/>
      <c r="T235" s="334" t="n"/>
      <c r="U235" s="334" t="n"/>
      <c r="V235" s="334" t="n"/>
      <c r="W235" s="334" t="n"/>
      <c r="X235" s="334" t="n"/>
      <c r="Y235" s="334" t="n"/>
    </row>
    <row r="236" ht="15" customHeight="1" s="195">
      <c r="A236" s="280" t="n"/>
      <c r="B236" s="280" t="n"/>
      <c r="C236" s="280" t="n"/>
      <c r="D236" s="280" t="n"/>
      <c r="E236" s="280" t="n"/>
      <c r="F236" s="280" t="n"/>
      <c r="G236" s="280" t="n"/>
      <c r="H236" s="280" t="n"/>
      <c r="I236" s="332">
        <f>IFERROR(VLOOKUP(TEXT(H236,"0"),IPRESS!$A$3:$B$212,2,0),"")</f>
        <v/>
      </c>
      <c r="J236" s="280" t="n"/>
      <c r="K236" s="332">
        <f>IFERROR(VLOOKUP(TEXT(O236,"0"),CONDUCTORES!$A$3:$G$54,7,0),"")</f>
        <v/>
      </c>
      <c r="L236" s="280" t="n"/>
      <c r="M236" s="280" t="n"/>
      <c r="N236" s="333">
        <f>IFERROR(IF(L236*M236=0,"",L236*M236),"")</f>
        <v/>
      </c>
      <c r="O236" s="280" t="n"/>
      <c r="P236" s="332">
        <f>IFERROR(VLOOKUP(TEXT(O236,"0"),CONDUCTORES!$A$3:$G$54,2,0),"")</f>
        <v/>
      </c>
      <c r="Q236" s="332">
        <f>IFERROR(VLOOKUP(TEXT(O236,"0"),CONDUCTORES!$A$3:$H$54,6,0),"")</f>
        <v/>
      </c>
      <c r="R236" s="280" t="n"/>
      <c r="S236" s="280" t="n"/>
      <c r="T236" s="280" t="n"/>
      <c r="U236" s="280" t="n"/>
      <c r="V236" s="280" t="n"/>
      <c r="W236" s="280" t="n"/>
      <c r="X236" s="280" t="n"/>
      <c r="Y236" s="280" t="n"/>
    </row>
    <row r="237" ht="15" customHeight="1" s="195">
      <c r="A237" s="334" t="n"/>
      <c r="B237" s="334" t="n"/>
      <c r="C237" s="334" t="n"/>
      <c r="D237" s="334" t="n"/>
      <c r="E237" s="334" t="n"/>
      <c r="F237" s="334" t="n"/>
      <c r="G237" s="334" t="n"/>
      <c r="H237" s="334" t="n"/>
      <c r="I237" s="332">
        <f>IFERROR(VLOOKUP(TEXT(H237,"0"),IPRESS!$A$3:$B$212,2,0),"")</f>
        <v/>
      </c>
      <c r="J237" s="334" t="n"/>
      <c r="K237" s="332">
        <f>IFERROR(VLOOKUP(TEXT(O237,"0"),CONDUCTORES!$A$3:$G$54,7,0),"")</f>
        <v/>
      </c>
      <c r="L237" s="334" t="n"/>
      <c r="M237" s="334" t="n"/>
      <c r="N237" s="333">
        <f>IFERROR(IF(L237*M237=0,"",L237*M237),"")</f>
        <v/>
      </c>
      <c r="O237" s="334" t="n"/>
      <c r="P237" s="332">
        <f>IFERROR(VLOOKUP(TEXT(O237,"0"),CONDUCTORES!$A$3:$G$54,2,0),"")</f>
        <v/>
      </c>
      <c r="Q237" s="332">
        <f>IFERROR(VLOOKUP(TEXT(O237,"0"),CONDUCTORES!$A$3:$H$54,6,0),"")</f>
        <v/>
      </c>
      <c r="R237" s="334" t="n"/>
      <c r="S237" s="334" t="n"/>
      <c r="T237" s="334" t="n"/>
      <c r="U237" s="334" t="n"/>
      <c r="V237" s="334" t="n"/>
      <c r="W237" s="334" t="n"/>
      <c r="X237" s="334" t="n"/>
      <c r="Y237" s="334" t="n"/>
    </row>
    <row r="238" ht="15" customHeight="1" s="195">
      <c r="A238" s="280" t="n"/>
      <c r="B238" s="280" t="n"/>
      <c r="C238" s="280" t="n"/>
      <c r="D238" s="280" t="n"/>
      <c r="E238" s="280" t="n"/>
      <c r="F238" s="280" t="n"/>
      <c r="G238" s="280" t="n"/>
      <c r="H238" s="280" t="n"/>
      <c r="I238" s="332">
        <f>IFERROR(VLOOKUP(TEXT(H238,"0"),IPRESS!$A$3:$B$212,2,0),"")</f>
        <v/>
      </c>
      <c r="J238" s="280" t="n"/>
      <c r="K238" s="332">
        <f>IFERROR(VLOOKUP(TEXT(O238,"0"),CONDUCTORES!$A$3:$G$54,7,0),"")</f>
        <v/>
      </c>
      <c r="L238" s="280" t="n"/>
      <c r="M238" s="280" t="n"/>
      <c r="N238" s="333">
        <f>IFERROR(IF(L238*M238=0,"",L238*M238),"")</f>
        <v/>
      </c>
      <c r="O238" s="280" t="n"/>
      <c r="P238" s="332">
        <f>IFERROR(VLOOKUP(TEXT(O238,"0"),CONDUCTORES!$A$3:$G$54,2,0),"")</f>
        <v/>
      </c>
      <c r="Q238" s="332">
        <f>IFERROR(VLOOKUP(TEXT(O238,"0"),CONDUCTORES!$A$3:$H$54,6,0),"")</f>
        <v/>
      </c>
      <c r="R238" s="280" t="n"/>
      <c r="S238" s="280" t="n"/>
      <c r="T238" s="280" t="n"/>
      <c r="U238" s="280" t="n"/>
      <c r="V238" s="280" t="n"/>
      <c r="W238" s="280" t="n"/>
      <c r="X238" s="280" t="n"/>
      <c r="Y238" s="280" t="n"/>
    </row>
    <row r="239" ht="15" customHeight="1" s="195">
      <c r="A239" s="334" t="n"/>
      <c r="B239" s="334" t="n"/>
      <c r="C239" s="334" t="n"/>
      <c r="D239" s="334" t="n"/>
      <c r="E239" s="334" t="n"/>
      <c r="F239" s="334" t="n"/>
      <c r="G239" s="334" t="n"/>
      <c r="H239" s="334" t="n"/>
      <c r="I239" s="332">
        <f>IFERROR(VLOOKUP(TEXT(H239,"0"),IPRESS!$A$3:$B$212,2,0),"")</f>
        <v/>
      </c>
      <c r="J239" s="334" t="n"/>
      <c r="K239" s="332">
        <f>IFERROR(VLOOKUP(TEXT(O239,"0"),CONDUCTORES!$A$3:$G$54,7,0),"")</f>
        <v/>
      </c>
      <c r="L239" s="334" t="n"/>
      <c r="M239" s="334" t="n"/>
      <c r="N239" s="333">
        <f>IFERROR(IF(L239*M239=0,"",L239*M239),"")</f>
        <v/>
      </c>
      <c r="O239" s="334" t="n"/>
      <c r="P239" s="332">
        <f>IFERROR(VLOOKUP(TEXT(O239,"0"),CONDUCTORES!$A$3:$G$54,2,0),"")</f>
        <v/>
      </c>
      <c r="Q239" s="332">
        <f>IFERROR(VLOOKUP(TEXT(O239,"0"),CONDUCTORES!$A$3:$H$54,6,0),"")</f>
        <v/>
      </c>
      <c r="R239" s="334" t="n"/>
      <c r="S239" s="334" t="n"/>
      <c r="T239" s="334" t="n"/>
      <c r="U239" s="334" t="n"/>
      <c r="V239" s="334" t="n"/>
      <c r="W239" s="334" t="n"/>
      <c r="X239" s="334" t="n"/>
      <c r="Y239" s="334" t="n"/>
    </row>
    <row r="240" ht="15" customHeight="1" s="195">
      <c r="A240" s="280" t="n"/>
      <c r="B240" s="280" t="n"/>
      <c r="C240" s="280" t="n"/>
      <c r="D240" s="280" t="n"/>
      <c r="E240" s="280" t="n"/>
      <c r="F240" s="280" t="n"/>
      <c r="G240" s="280" t="n"/>
      <c r="H240" s="280" t="n"/>
      <c r="I240" s="332">
        <f>IFERROR(VLOOKUP(TEXT(H240,"0"),IPRESS!$A$3:$B$212,2,0),"")</f>
        <v/>
      </c>
      <c r="J240" s="280" t="n"/>
      <c r="K240" s="332">
        <f>IFERROR(VLOOKUP(TEXT(O240,"0"),CONDUCTORES!$A$3:$G$54,7,0),"")</f>
        <v/>
      </c>
      <c r="L240" s="280" t="n"/>
      <c r="M240" s="280" t="n"/>
      <c r="N240" s="333">
        <f>IFERROR(IF(L240*M240=0,"",L240*M240),"")</f>
        <v/>
      </c>
      <c r="O240" s="280" t="n"/>
      <c r="P240" s="332">
        <f>IFERROR(VLOOKUP(TEXT(O240,"0"),CONDUCTORES!$A$3:$G$54,2,0),"")</f>
        <v/>
      </c>
      <c r="Q240" s="332">
        <f>IFERROR(VLOOKUP(TEXT(O240,"0"),CONDUCTORES!$A$3:$H$54,6,0),"")</f>
        <v/>
      </c>
      <c r="R240" s="280" t="n"/>
      <c r="S240" s="280" t="n"/>
      <c r="T240" s="280" t="n"/>
      <c r="U240" s="280" t="n"/>
      <c r="V240" s="280" t="n"/>
      <c r="W240" s="280" t="n"/>
      <c r="X240" s="280" t="n"/>
      <c r="Y240" s="280" t="n"/>
    </row>
    <row r="241" ht="15" customHeight="1" s="195">
      <c r="A241" s="334" t="n"/>
      <c r="B241" s="334" t="n"/>
      <c r="C241" s="334" t="n"/>
      <c r="D241" s="334" t="n"/>
      <c r="E241" s="334" t="n"/>
      <c r="F241" s="334" t="n"/>
      <c r="G241" s="334" t="n"/>
      <c r="H241" s="334" t="n"/>
      <c r="I241" s="332">
        <f>IFERROR(VLOOKUP(TEXT(H241,"0"),IPRESS!$A$3:$B$212,2,0),"")</f>
        <v/>
      </c>
      <c r="J241" s="334" t="n"/>
      <c r="K241" s="332">
        <f>IFERROR(VLOOKUP(TEXT(O241,"0"),CONDUCTORES!$A$3:$G$54,7,0),"")</f>
        <v/>
      </c>
      <c r="L241" s="334" t="n"/>
      <c r="M241" s="334" t="n"/>
      <c r="N241" s="333">
        <f>IFERROR(IF(L241*M241=0,"",L241*M241),"")</f>
        <v/>
      </c>
      <c r="O241" s="334" t="n"/>
      <c r="P241" s="332">
        <f>IFERROR(VLOOKUP(TEXT(O241,"0"),CONDUCTORES!$A$3:$G$54,2,0),"")</f>
        <v/>
      </c>
      <c r="Q241" s="332">
        <f>IFERROR(VLOOKUP(TEXT(O241,"0"),CONDUCTORES!$A$3:$H$54,6,0),"")</f>
        <v/>
      </c>
      <c r="R241" s="334" t="n"/>
      <c r="S241" s="334" t="n"/>
      <c r="T241" s="334" t="n"/>
      <c r="U241" s="334" t="n"/>
      <c r="V241" s="334" t="n"/>
      <c r="W241" s="334" t="n"/>
      <c r="X241" s="334" t="n"/>
      <c r="Y241" s="334" t="n"/>
    </row>
    <row r="242" ht="15" customHeight="1" s="195">
      <c r="A242" s="280" t="n"/>
      <c r="B242" s="280" t="n"/>
      <c r="C242" s="280" t="n"/>
      <c r="D242" s="280" t="n"/>
      <c r="E242" s="280" t="n"/>
      <c r="F242" s="280" t="n"/>
      <c r="G242" s="280" t="n"/>
      <c r="H242" s="280" t="n"/>
      <c r="I242" s="332">
        <f>IFERROR(VLOOKUP(TEXT(H242,"0"),IPRESS!$A$3:$B$212,2,0),"")</f>
        <v/>
      </c>
      <c r="J242" s="280" t="n"/>
      <c r="K242" s="332">
        <f>IFERROR(VLOOKUP(TEXT(O242,"0"),CONDUCTORES!$A$3:$G$54,7,0),"")</f>
        <v/>
      </c>
      <c r="L242" s="280" t="n"/>
      <c r="M242" s="280" t="n"/>
      <c r="N242" s="333">
        <f>IFERROR(IF(L242*M242=0,"",L242*M242),"")</f>
        <v/>
      </c>
      <c r="O242" s="280" t="n"/>
      <c r="P242" s="332">
        <f>IFERROR(VLOOKUP(TEXT(O242,"0"),CONDUCTORES!$A$3:$G$54,2,0),"")</f>
        <v/>
      </c>
      <c r="Q242" s="332">
        <f>IFERROR(VLOOKUP(TEXT(O242,"0"),CONDUCTORES!$A$3:$H$54,6,0),"")</f>
        <v/>
      </c>
      <c r="R242" s="280" t="n"/>
      <c r="S242" s="280" t="n"/>
      <c r="T242" s="280" t="n"/>
      <c r="U242" s="280" t="n"/>
      <c r="V242" s="280" t="n"/>
      <c r="W242" s="280" t="n"/>
      <c r="X242" s="280" t="n"/>
      <c r="Y242" s="280" t="n"/>
    </row>
    <row r="243" ht="15" customHeight="1" s="195">
      <c r="A243" s="334" t="n"/>
      <c r="B243" s="334" t="n"/>
      <c r="C243" s="334" t="n"/>
      <c r="D243" s="334" t="n"/>
      <c r="E243" s="334" t="n"/>
      <c r="F243" s="334" t="n"/>
      <c r="G243" s="334" t="n"/>
      <c r="H243" s="334" t="n"/>
      <c r="I243" s="332">
        <f>IFERROR(VLOOKUP(TEXT(H243,"0"),IPRESS!$A$3:$B$212,2,0),"")</f>
        <v/>
      </c>
      <c r="J243" s="334" t="n"/>
      <c r="K243" s="332">
        <f>IFERROR(VLOOKUP(TEXT(O243,"0"),CONDUCTORES!$A$3:$G$54,7,0),"")</f>
        <v/>
      </c>
      <c r="L243" s="334" t="n"/>
      <c r="M243" s="334" t="n"/>
      <c r="N243" s="333">
        <f>IFERROR(IF(L243*M243=0,"",L243*M243),"")</f>
        <v/>
      </c>
      <c r="O243" s="334" t="n"/>
      <c r="P243" s="332">
        <f>IFERROR(VLOOKUP(TEXT(O243,"0"),CONDUCTORES!$A$3:$G$54,2,0),"")</f>
        <v/>
      </c>
      <c r="Q243" s="332">
        <f>IFERROR(VLOOKUP(TEXT(O243,"0"),CONDUCTORES!$A$3:$H$54,6,0),"")</f>
        <v/>
      </c>
      <c r="R243" s="334" t="n"/>
      <c r="S243" s="334" t="n"/>
      <c r="T243" s="334" t="n"/>
      <c r="U243" s="334" t="n"/>
      <c r="V243" s="334" t="n"/>
      <c r="W243" s="334" t="n"/>
      <c r="X243" s="334" t="n"/>
      <c r="Y243" s="334" t="n"/>
    </row>
    <row r="244" ht="15" customHeight="1" s="195">
      <c r="A244" s="280" t="n"/>
      <c r="B244" s="280" t="n"/>
      <c r="C244" s="280" t="n"/>
      <c r="D244" s="280" t="n"/>
      <c r="E244" s="280" t="n"/>
      <c r="F244" s="280" t="n"/>
      <c r="G244" s="280" t="n"/>
      <c r="H244" s="280" t="n"/>
      <c r="I244" s="332">
        <f>IFERROR(VLOOKUP(TEXT(H244,"0"),IPRESS!$A$3:$B$212,2,0),"")</f>
        <v/>
      </c>
      <c r="J244" s="280" t="n"/>
      <c r="K244" s="332">
        <f>IFERROR(VLOOKUP(TEXT(O244,"0"),CONDUCTORES!$A$3:$G$54,7,0),"")</f>
        <v/>
      </c>
      <c r="L244" s="280" t="n"/>
      <c r="M244" s="280" t="n"/>
      <c r="N244" s="333">
        <f>IFERROR(IF(L244*M244=0,"",L244*M244),"")</f>
        <v/>
      </c>
      <c r="O244" s="280" t="n"/>
      <c r="P244" s="332">
        <f>IFERROR(VLOOKUP(TEXT(O244,"0"),CONDUCTORES!$A$3:$G$54,2,0),"")</f>
        <v/>
      </c>
      <c r="Q244" s="332">
        <f>IFERROR(VLOOKUP(TEXT(O244,"0"),CONDUCTORES!$A$3:$H$54,6,0),"")</f>
        <v/>
      </c>
      <c r="R244" s="280" t="n"/>
      <c r="S244" s="280" t="n"/>
      <c r="T244" s="280" t="n"/>
      <c r="U244" s="280" t="n"/>
      <c r="V244" s="280" t="n"/>
      <c r="W244" s="280" t="n"/>
      <c r="X244" s="280" t="n"/>
      <c r="Y244" s="280" t="n"/>
    </row>
    <row r="245" ht="15" customHeight="1" s="195">
      <c r="A245" s="334" t="n"/>
      <c r="B245" s="334" t="n"/>
      <c r="C245" s="334" t="n"/>
      <c r="D245" s="334" t="n"/>
      <c r="E245" s="334" t="n"/>
      <c r="F245" s="334" t="n"/>
      <c r="G245" s="334" t="n"/>
      <c r="H245" s="334" t="n"/>
      <c r="I245" s="332">
        <f>IFERROR(VLOOKUP(TEXT(H245,"0"),IPRESS!$A$3:$B$212,2,0),"")</f>
        <v/>
      </c>
      <c r="J245" s="334" t="n"/>
      <c r="K245" s="332">
        <f>IFERROR(VLOOKUP(TEXT(O245,"0"),CONDUCTORES!$A$3:$G$54,7,0),"")</f>
        <v/>
      </c>
      <c r="L245" s="334" t="n"/>
      <c r="M245" s="334" t="n"/>
      <c r="N245" s="333">
        <f>IFERROR(IF(L245*M245=0,"",L245*M245),"")</f>
        <v/>
      </c>
      <c r="O245" s="334" t="n"/>
      <c r="P245" s="332">
        <f>IFERROR(VLOOKUP(TEXT(O245,"0"),CONDUCTORES!$A$3:$G$54,2,0),"")</f>
        <v/>
      </c>
      <c r="Q245" s="332">
        <f>IFERROR(VLOOKUP(TEXT(O245,"0"),CONDUCTORES!$A$3:$H$54,6,0),"")</f>
        <v/>
      </c>
      <c r="R245" s="334" t="n"/>
      <c r="S245" s="334" t="n"/>
      <c r="T245" s="334" t="n"/>
      <c r="U245" s="334" t="n"/>
      <c r="V245" s="334" t="n"/>
      <c r="W245" s="334" t="n"/>
      <c r="X245" s="334" t="n"/>
      <c r="Y245" s="334" t="n"/>
    </row>
    <row r="246" ht="15" customHeight="1" s="195">
      <c r="A246" s="280" t="n"/>
      <c r="B246" s="280" t="n"/>
      <c r="C246" s="280" t="n"/>
      <c r="D246" s="280" t="n"/>
      <c r="E246" s="280" t="n"/>
      <c r="F246" s="280" t="n"/>
      <c r="G246" s="280" t="n"/>
      <c r="H246" s="280" t="n"/>
      <c r="I246" s="332">
        <f>IFERROR(VLOOKUP(TEXT(H246,"0"),IPRESS!$A$3:$B$212,2,0),"")</f>
        <v/>
      </c>
      <c r="J246" s="280" t="n"/>
      <c r="K246" s="332">
        <f>IFERROR(VLOOKUP(TEXT(O246,"0"),CONDUCTORES!$A$3:$G$54,7,0),"")</f>
        <v/>
      </c>
      <c r="L246" s="280" t="n"/>
      <c r="M246" s="280" t="n"/>
      <c r="N246" s="333">
        <f>IFERROR(IF(L246*M246=0,"",L246*M246),"")</f>
        <v/>
      </c>
      <c r="O246" s="280" t="n"/>
      <c r="P246" s="332">
        <f>IFERROR(VLOOKUP(TEXT(O246,"0"),CONDUCTORES!$A$3:$G$54,2,0),"")</f>
        <v/>
      </c>
      <c r="Q246" s="332">
        <f>IFERROR(VLOOKUP(TEXT(O246,"0"),CONDUCTORES!$A$3:$H$54,6,0),"")</f>
        <v/>
      </c>
      <c r="R246" s="280" t="n"/>
      <c r="S246" s="280" t="n"/>
      <c r="T246" s="280" t="n"/>
      <c r="U246" s="280" t="n"/>
      <c r="V246" s="280" t="n"/>
      <c r="W246" s="280" t="n"/>
      <c r="X246" s="280" t="n"/>
      <c r="Y246" s="280" t="n"/>
    </row>
    <row r="247" ht="15" customHeight="1" s="195">
      <c r="A247" s="334" t="n"/>
      <c r="B247" s="334" t="n"/>
      <c r="C247" s="334" t="n"/>
      <c r="D247" s="334" t="n"/>
      <c r="E247" s="334" t="n"/>
      <c r="F247" s="334" t="n"/>
      <c r="G247" s="334" t="n"/>
      <c r="H247" s="334" t="n"/>
      <c r="I247" s="332">
        <f>IFERROR(VLOOKUP(TEXT(H247,"0"),IPRESS!$A$3:$B$212,2,0),"")</f>
        <v/>
      </c>
      <c r="J247" s="334" t="n"/>
      <c r="K247" s="332">
        <f>IFERROR(VLOOKUP(TEXT(O247,"0"),CONDUCTORES!$A$3:$G$54,7,0),"")</f>
        <v/>
      </c>
      <c r="L247" s="334" t="n"/>
      <c r="M247" s="334" t="n"/>
      <c r="N247" s="333">
        <f>IFERROR(IF(L247*M247=0,"",L247*M247),"")</f>
        <v/>
      </c>
      <c r="O247" s="334" t="n"/>
      <c r="P247" s="332">
        <f>IFERROR(VLOOKUP(TEXT(O247,"0"),CONDUCTORES!$A$3:$G$54,2,0),"")</f>
        <v/>
      </c>
      <c r="Q247" s="332">
        <f>IFERROR(VLOOKUP(TEXT(O247,"0"),CONDUCTORES!$A$3:$H$54,6,0),"")</f>
        <v/>
      </c>
      <c r="R247" s="334" t="n"/>
      <c r="S247" s="334" t="n"/>
      <c r="T247" s="334" t="n"/>
      <c r="U247" s="334" t="n"/>
      <c r="V247" s="334" t="n"/>
      <c r="W247" s="334" t="n"/>
      <c r="X247" s="334" t="n"/>
      <c r="Y247" s="334" t="n"/>
    </row>
    <row r="248" ht="15" customHeight="1" s="195">
      <c r="A248" s="280" t="n"/>
      <c r="B248" s="280" t="n"/>
      <c r="C248" s="280" t="n"/>
      <c r="D248" s="280" t="n"/>
      <c r="E248" s="280" t="n"/>
      <c r="F248" s="280" t="n"/>
      <c r="G248" s="280" t="n"/>
      <c r="H248" s="280" t="n"/>
      <c r="I248" s="332">
        <f>IFERROR(VLOOKUP(TEXT(H248,"0"),IPRESS!$A$3:$B$212,2,0),"")</f>
        <v/>
      </c>
      <c r="J248" s="280" t="n"/>
      <c r="K248" s="332">
        <f>IFERROR(VLOOKUP(TEXT(O248,"0"),CONDUCTORES!$A$3:$G$54,7,0),"")</f>
        <v/>
      </c>
      <c r="L248" s="280" t="n"/>
      <c r="M248" s="280" t="n"/>
      <c r="N248" s="333">
        <f>IFERROR(IF(L248*M248=0,"",L248*M248),"")</f>
        <v/>
      </c>
      <c r="O248" s="280" t="n"/>
      <c r="P248" s="332">
        <f>IFERROR(VLOOKUP(TEXT(O248,"0"),CONDUCTORES!$A$3:$G$54,2,0),"")</f>
        <v/>
      </c>
      <c r="Q248" s="332">
        <f>IFERROR(VLOOKUP(TEXT(O248,"0"),CONDUCTORES!$A$3:$H$54,6,0),"")</f>
        <v/>
      </c>
      <c r="R248" s="280" t="n"/>
      <c r="S248" s="280" t="n"/>
      <c r="T248" s="280" t="n"/>
      <c r="U248" s="280" t="n"/>
      <c r="V248" s="280" t="n"/>
      <c r="W248" s="280" t="n"/>
      <c r="X248" s="280" t="n"/>
      <c r="Y248" s="280" t="n"/>
    </row>
    <row r="249" ht="15" customHeight="1" s="195">
      <c r="A249" s="334" t="n"/>
      <c r="B249" s="334" t="n"/>
      <c r="C249" s="334" t="n"/>
      <c r="D249" s="334" t="n"/>
      <c r="E249" s="334" t="n"/>
      <c r="F249" s="334" t="n"/>
      <c r="G249" s="334" t="n"/>
      <c r="H249" s="334" t="n"/>
      <c r="I249" s="332">
        <f>IFERROR(VLOOKUP(TEXT(H249,"0"),IPRESS!$A$3:$B$212,2,0),"")</f>
        <v/>
      </c>
      <c r="J249" s="334" t="n"/>
      <c r="K249" s="332">
        <f>IFERROR(VLOOKUP(TEXT(O249,"0"),CONDUCTORES!$A$3:$G$54,7,0),"")</f>
        <v/>
      </c>
      <c r="L249" s="334" t="n"/>
      <c r="M249" s="334" t="n"/>
      <c r="N249" s="333">
        <f>IFERROR(IF(L249*M249=0,"",L249*M249),"")</f>
        <v/>
      </c>
      <c r="O249" s="334" t="n"/>
      <c r="P249" s="332">
        <f>IFERROR(VLOOKUP(TEXT(O249,"0"),CONDUCTORES!$A$3:$G$54,2,0),"")</f>
        <v/>
      </c>
      <c r="Q249" s="332">
        <f>IFERROR(VLOOKUP(TEXT(O249,"0"),CONDUCTORES!$A$3:$H$54,6,0),"")</f>
        <v/>
      </c>
      <c r="R249" s="334" t="n"/>
      <c r="S249" s="334" t="n"/>
      <c r="T249" s="334" t="n"/>
      <c r="U249" s="334" t="n"/>
      <c r="V249" s="334" t="n"/>
      <c r="W249" s="334" t="n"/>
      <c r="X249" s="334" t="n"/>
      <c r="Y249" s="334" t="n"/>
    </row>
    <row r="250" ht="15" customHeight="1" s="195">
      <c r="A250" s="280" t="n"/>
      <c r="B250" s="280" t="n"/>
      <c r="C250" s="280" t="n"/>
      <c r="D250" s="280" t="n"/>
      <c r="E250" s="280" t="n"/>
      <c r="F250" s="280" t="n"/>
      <c r="G250" s="280" t="n"/>
      <c r="H250" s="280" t="n"/>
      <c r="I250" s="332">
        <f>IFERROR(VLOOKUP(TEXT(H250,"0"),IPRESS!$A$3:$B$212,2,0),"")</f>
        <v/>
      </c>
      <c r="J250" s="280" t="n"/>
      <c r="K250" s="332">
        <f>IFERROR(VLOOKUP(TEXT(O250,"0"),CONDUCTORES!$A$3:$G$54,7,0),"")</f>
        <v/>
      </c>
      <c r="L250" s="280" t="n"/>
      <c r="M250" s="280" t="n"/>
      <c r="N250" s="333">
        <f>IFERROR(IF(L250*M250=0,"",L250*M250),"")</f>
        <v/>
      </c>
      <c r="O250" s="280" t="n"/>
      <c r="P250" s="332">
        <f>IFERROR(VLOOKUP(TEXT(O250,"0"),CONDUCTORES!$A$3:$G$54,2,0),"")</f>
        <v/>
      </c>
      <c r="Q250" s="332">
        <f>IFERROR(VLOOKUP(TEXT(O250,"0"),CONDUCTORES!$A$3:$H$54,6,0),"")</f>
        <v/>
      </c>
      <c r="R250" s="280" t="n"/>
      <c r="S250" s="280" t="n"/>
      <c r="T250" s="280" t="n"/>
      <c r="U250" s="280" t="n"/>
      <c r="V250" s="280" t="n"/>
      <c r="W250" s="280" t="n"/>
      <c r="X250" s="280" t="n"/>
      <c r="Y250" s="280" t="n"/>
    </row>
    <row r="251" ht="15" customHeight="1" s="195">
      <c r="A251" s="334" t="n"/>
      <c r="B251" s="334" t="n"/>
      <c r="C251" s="334" t="n"/>
      <c r="D251" s="334" t="n"/>
      <c r="E251" s="334" t="n"/>
      <c r="F251" s="334" t="n"/>
      <c r="G251" s="334" t="n"/>
      <c r="H251" s="334" t="n"/>
      <c r="I251" s="332">
        <f>IFERROR(VLOOKUP(TEXT(H251,"0"),IPRESS!$A$3:$B$212,2,0),"")</f>
        <v/>
      </c>
      <c r="J251" s="334" t="n"/>
      <c r="K251" s="332">
        <f>IFERROR(VLOOKUP(TEXT(O251,"0"),CONDUCTORES!$A$3:$G$54,7,0),"")</f>
        <v/>
      </c>
      <c r="L251" s="334" t="n"/>
      <c r="M251" s="334" t="n"/>
      <c r="N251" s="333">
        <f>IFERROR(IF(L251*M251=0,"",L251*M251),"")</f>
        <v/>
      </c>
      <c r="O251" s="334" t="n"/>
      <c r="P251" s="332">
        <f>IFERROR(VLOOKUP(TEXT(O251,"0"),CONDUCTORES!$A$3:$G$54,2,0),"")</f>
        <v/>
      </c>
      <c r="Q251" s="332">
        <f>IFERROR(VLOOKUP(TEXT(O251,"0"),CONDUCTORES!$A$3:$H$54,6,0),"")</f>
        <v/>
      </c>
      <c r="R251" s="334" t="n"/>
      <c r="S251" s="334" t="n"/>
      <c r="T251" s="334" t="n"/>
      <c r="U251" s="334" t="n"/>
      <c r="V251" s="334" t="n"/>
      <c r="W251" s="334" t="n"/>
      <c r="X251" s="334" t="n"/>
      <c r="Y251" s="334" t="n"/>
    </row>
    <row r="252" ht="15" customHeight="1" s="195">
      <c r="A252" s="280" t="n"/>
      <c r="B252" s="280" t="n"/>
      <c r="C252" s="280" t="n"/>
      <c r="D252" s="280" t="n"/>
      <c r="E252" s="280" t="n"/>
      <c r="F252" s="280" t="n"/>
      <c r="G252" s="280" t="n"/>
      <c r="H252" s="280" t="n"/>
      <c r="I252" s="332">
        <f>IFERROR(VLOOKUP(TEXT(H252,"0"),IPRESS!$A$3:$B$212,2,0),"")</f>
        <v/>
      </c>
      <c r="J252" s="280" t="n"/>
      <c r="K252" s="332">
        <f>IFERROR(VLOOKUP(TEXT(O252,"0"),CONDUCTORES!$A$3:$G$54,7,0),"")</f>
        <v/>
      </c>
      <c r="L252" s="280" t="n"/>
      <c r="M252" s="280" t="n"/>
      <c r="N252" s="333">
        <f>IFERROR(IF(L252*M252=0,"",L252*M252),"")</f>
        <v/>
      </c>
      <c r="O252" s="280" t="n"/>
      <c r="P252" s="332">
        <f>IFERROR(VLOOKUP(TEXT(O252,"0"),CONDUCTORES!$A$3:$G$54,2,0),"")</f>
        <v/>
      </c>
      <c r="Q252" s="332">
        <f>IFERROR(VLOOKUP(TEXT(O252,"0"),CONDUCTORES!$A$3:$H$54,6,0),"")</f>
        <v/>
      </c>
      <c r="R252" s="280" t="n"/>
      <c r="S252" s="280" t="n"/>
      <c r="T252" s="280" t="n"/>
      <c r="U252" s="280" t="n"/>
      <c r="V252" s="280" t="n"/>
      <c r="W252" s="280" t="n"/>
      <c r="X252" s="280" t="n"/>
      <c r="Y252" s="280" t="n"/>
    </row>
    <row r="253" ht="15" customHeight="1" s="195">
      <c r="A253" s="334" t="n"/>
      <c r="B253" s="334" t="n"/>
      <c r="C253" s="334" t="n"/>
      <c r="D253" s="334" t="n"/>
      <c r="E253" s="334" t="n"/>
      <c r="F253" s="334" t="n"/>
      <c r="G253" s="334" t="n"/>
      <c r="H253" s="334" t="n"/>
      <c r="I253" s="332">
        <f>IFERROR(VLOOKUP(TEXT(H253,"0"),IPRESS!$A$3:$B$212,2,0),"")</f>
        <v/>
      </c>
      <c r="J253" s="334" t="n"/>
      <c r="K253" s="332">
        <f>IFERROR(VLOOKUP(TEXT(O253,"0"),CONDUCTORES!$A$3:$G$54,7,0),"")</f>
        <v/>
      </c>
      <c r="L253" s="334" t="n"/>
      <c r="M253" s="334" t="n"/>
      <c r="N253" s="333">
        <f>IFERROR(IF(L253*M253=0,"",L253*M253),"")</f>
        <v/>
      </c>
      <c r="O253" s="334" t="n"/>
      <c r="P253" s="332">
        <f>IFERROR(VLOOKUP(TEXT(O253,"0"),CONDUCTORES!$A$3:$G$54,2,0),"")</f>
        <v/>
      </c>
      <c r="Q253" s="332">
        <f>IFERROR(VLOOKUP(TEXT(O253,"0"),CONDUCTORES!$A$3:$H$54,6,0),"")</f>
        <v/>
      </c>
      <c r="R253" s="334" t="n"/>
      <c r="S253" s="334" t="n"/>
      <c r="T253" s="334" t="n"/>
      <c r="U253" s="334" t="n"/>
      <c r="V253" s="334" t="n"/>
      <c r="W253" s="334" t="n"/>
      <c r="X253" s="334" t="n"/>
      <c r="Y253" s="334" t="n"/>
    </row>
    <row r="254" ht="15" customHeight="1" s="195">
      <c r="A254" s="280" t="n"/>
      <c r="B254" s="280" t="n"/>
      <c r="C254" s="280" t="n"/>
      <c r="D254" s="280" t="n"/>
      <c r="E254" s="280" t="n"/>
      <c r="F254" s="280" t="n"/>
      <c r="G254" s="280" t="n"/>
      <c r="H254" s="280" t="n"/>
      <c r="I254" s="332">
        <f>IFERROR(VLOOKUP(TEXT(H254,"0"),IPRESS!$A$3:$B$212,2,0),"")</f>
        <v/>
      </c>
      <c r="J254" s="280" t="n"/>
      <c r="K254" s="332">
        <f>IFERROR(VLOOKUP(TEXT(O254,"0"),CONDUCTORES!$A$3:$G$54,7,0),"")</f>
        <v/>
      </c>
      <c r="L254" s="280" t="n"/>
      <c r="M254" s="280" t="n"/>
      <c r="N254" s="333">
        <f>IFERROR(IF(L254*M254=0,"",L254*M254),"")</f>
        <v/>
      </c>
      <c r="O254" s="280" t="n"/>
      <c r="P254" s="332">
        <f>IFERROR(VLOOKUP(TEXT(O254,"0"),CONDUCTORES!$A$3:$G$54,2,0),"")</f>
        <v/>
      </c>
      <c r="Q254" s="332">
        <f>IFERROR(VLOOKUP(TEXT(O254,"0"),CONDUCTORES!$A$3:$H$54,6,0),"")</f>
        <v/>
      </c>
      <c r="R254" s="280" t="n"/>
      <c r="S254" s="280" t="n"/>
      <c r="T254" s="280" t="n"/>
      <c r="U254" s="280" t="n"/>
      <c r="V254" s="280" t="n"/>
      <c r="W254" s="280" t="n"/>
      <c r="X254" s="280" t="n"/>
      <c r="Y254" s="280" t="n"/>
    </row>
    <row r="255" ht="15" customHeight="1" s="195">
      <c r="A255" s="334" t="n"/>
      <c r="B255" s="334" t="n"/>
      <c r="C255" s="334" t="n"/>
      <c r="D255" s="334" t="n"/>
      <c r="E255" s="334" t="n"/>
      <c r="F255" s="334" t="n"/>
      <c r="G255" s="334" t="n"/>
      <c r="H255" s="334" t="n"/>
      <c r="I255" s="332">
        <f>IFERROR(VLOOKUP(TEXT(H255,"0"),IPRESS!$A$3:$B$212,2,0),"")</f>
        <v/>
      </c>
      <c r="J255" s="334" t="n"/>
      <c r="K255" s="332">
        <f>IFERROR(VLOOKUP(TEXT(O255,"0"),CONDUCTORES!$A$3:$G$54,7,0),"")</f>
        <v/>
      </c>
      <c r="L255" s="334" t="n"/>
      <c r="M255" s="334" t="n"/>
      <c r="N255" s="333">
        <f>IFERROR(IF(L255*M255=0,"",L255*M255),"")</f>
        <v/>
      </c>
      <c r="O255" s="334" t="n"/>
      <c r="P255" s="332">
        <f>IFERROR(VLOOKUP(TEXT(O255,"0"),CONDUCTORES!$A$3:$G$54,2,0),"")</f>
        <v/>
      </c>
      <c r="Q255" s="332">
        <f>IFERROR(VLOOKUP(TEXT(O255,"0"),CONDUCTORES!$A$3:$H$54,6,0),"")</f>
        <v/>
      </c>
      <c r="R255" s="334" t="n"/>
      <c r="S255" s="334" t="n"/>
      <c r="T255" s="334" t="n"/>
      <c r="U255" s="334" t="n"/>
      <c r="V255" s="334" t="n"/>
      <c r="W255" s="334" t="n"/>
      <c r="X255" s="334" t="n"/>
      <c r="Y255" s="334" t="n"/>
    </row>
    <row r="256" ht="15" customHeight="1" s="195">
      <c r="A256" s="280" t="n"/>
      <c r="B256" s="280" t="n"/>
      <c r="C256" s="280" t="n"/>
      <c r="D256" s="280" t="n"/>
      <c r="E256" s="280" t="n"/>
      <c r="F256" s="280" t="n"/>
      <c r="G256" s="280" t="n"/>
      <c r="H256" s="280" t="n"/>
      <c r="I256" s="332">
        <f>IFERROR(VLOOKUP(TEXT(H256,"0"),IPRESS!$A$3:$B$212,2,0),"")</f>
        <v/>
      </c>
      <c r="J256" s="280" t="n"/>
      <c r="K256" s="332">
        <f>IFERROR(VLOOKUP(TEXT(O256,"0"),CONDUCTORES!$A$3:$G$54,7,0),"")</f>
        <v/>
      </c>
      <c r="L256" s="280" t="n"/>
      <c r="M256" s="280" t="n"/>
      <c r="N256" s="333">
        <f>IFERROR(IF(L256*M256=0,"",L256*M256),"")</f>
        <v/>
      </c>
      <c r="O256" s="280" t="n"/>
      <c r="P256" s="332">
        <f>IFERROR(VLOOKUP(TEXT(O256,"0"),CONDUCTORES!$A$3:$G$54,2,0),"")</f>
        <v/>
      </c>
      <c r="Q256" s="332">
        <f>IFERROR(VLOOKUP(TEXT(O256,"0"),CONDUCTORES!$A$3:$H$54,6,0),"")</f>
        <v/>
      </c>
      <c r="R256" s="280" t="n"/>
      <c r="S256" s="280" t="n"/>
      <c r="T256" s="280" t="n"/>
      <c r="U256" s="280" t="n"/>
      <c r="V256" s="280" t="n"/>
      <c r="W256" s="280" t="n"/>
      <c r="X256" s="280" t="n"/>
      <c r="Y256" s="280" t="n"/>
    </row>
    <row r="257" ht="15" customHeight="1" s="195">
      <c r="A257" s="334" t="n"/>
      <c r="B257" s="334" t="n"/>
      <c r="C257" s="334" t="n"/>
      <c r="D257" s="334" t="n"/>
      <c r="E257" s="334" t="n"/>
      <c r="F257" s="334" t="n"/>
      <c r="G257" s="334" t="n"/>
      <c r="H257" s="334" t="n"/>
      <c r="I257" s="332">
        <f>IFERROR(VLOOKUP(TEXT(H257,"0"),IPRESS!$A$3:$B$212,2,0),"")</f>
        <v/>
      </c>
      <c r="J257" s="334" t="n"/>
      <c r="K257" s="332">
        <f>IFERROR(VLOOKUP(TEXT(O257,"0"),CONDUCTORES!$A$3:$G$54,7,0),"")</f>
        <v/>
      </c>
      <c r="L257" s="334" t="n"/>
      <c r="M257" s="334" t="n"/>
      <c r="N257" s="333">
        <f>IFERROR(IF(L257*M257=0,"",L257*M257),"")</f>
        <v/>
      </c>
      <c r="O257" s="334" t="n"/>
      <c r="P257" s="332">
        <f>IFERROR(VLOOKUP(TEXT(O257,"0"),CONDUCTORES!$A$3:$G$54,2,0),"")</f>
        <v/>
      </c>
      <c r="Q257" s="332">
        <f>IFERROR(VLOOKUP(TEXT(O257,"0"),CONDUCTORES!$A$3:$H$54,6,0),"")</f>
        <v/>
      </c>
      <c r="R257" s="334" t="n"/>
      <c r="S257" s="334" t="n"/>
      <c r="T257" s="334" t="n"/>
      <c r="U257" s="334" t="n"/>
      <c r="V257" s="334" t="n"/>
      <c r="W257" s="334" t="n"/>
      <c r="X257" s="334" t="n"/>
      <c r="Y257" s="334" t="n"/>
    </row>
    <row r="258" ht="15" customHeight="1" s="195">
      <c r="A258" s="280" t="n"/>
      <c r="B258" s="280" t="n"/>
      <c r="C258" s="280" t="n"/>
      <c r="D258" s="280" t="n"/>
      <c r="E258" s="280" t="n"/>
      <c r="F258" s="280" t="n"/>
      <c r="G258" s="280" t="n"/>
      <c r="H258" s="280" t="n"/>
      <c r="I258" s="332">
        <f>IFERROR(VLOOKUP(TEXT(H258,"0"),IPRESS!$A$3:$B$212,2,0),"")</f>
        <v/>
      </c>
      <c r="J258" s="280" t="n"/>
      <c r="K258" s="332">
        <f>IFERROR(VLOOKUP(TEXT(O258,"0"),CONDUCTORES!$A$3:$G$54,7,0),"")</f>
        <v/>
      </c>
      <c r="L258" s="280" t="n"/>
      <c r="M258" s="280" t="n"/>
      <c r="N258" s="333">
        <f>IFERROR(IF(L258*M258=0,"",L258*M258),"")</f>
        <v/>
      </c>
      <c r="O258" s="280" t="n"/>
      <c r="P258" s="332">
        <f>IFERROR(VLOOKUP(TEXT(O258,"0"),CONDUCTORES!$A$3:$G$54,2,0),"")</f>
        <v/>
      </c>
      <c r="Q258" s="332">
        <f>IFERROR(VLOOKUP(TEXT(O258,"0"),CONDUCTORES!$A$3:$H$54,6,0),"")</f>
        <v/>
      </c>
      <c r="R258" s="280" t="n"/>
      <c r="S258" s="280" t="n"/>
      <c r="T258" s="280" t="n"/>
      <c r="U258" s="280" t="n"/>
      <c r="V258" s="280" t="n"/>
      <c r="W258" s="280" t="n"/>
      <c r="X258" s="280" t="n"/>
      <c r="Y258" s="280" t="n"/>
    </row>
    <row r="259" ht="15" customHeight="1" s="195">
      <c r="A259" s="334" t="n"/>
      <c r="B259" s="334" t="n"/>
      <c r="C259" s="334" t="n"/>
      <c r="D259" s="334" t="n"/>
      <c r="E259" s="334" t="n"/>
      <c r="F259" s="334" t="n"/>
      <c r="G259" s="334" t="n"/>
      <c r="H259" s="334" t="n"/>
      <c r="I259" s="332">
        <f>IFERROR(VLOOKUP(TEXT(H259,"0"),IPRESS!$A$3:$B$212,2,0),"")</f>
        <v/>
      </c>
      <c r="J259" s="334" t="n"/>
      <c r="K259" s="332">
        <f>IFERROR(VLOOKUP(TEXT(O259,"0"),CONDUCTORES!$A$3:$G$54,7,0),"")</f>
        <v/>
      </c>
      <c r="L259" s="334" t="n"/>
      <c r="M259" s="334" t="n"/>
      <c r="N259" s="333">
        <f>IFERROR(IF(L259*M259=0,"",L259*M259),"")</f>
        <v/>
      </c>
      <c r="O259" s="334" t="n"/>
      <c r="P259" s="332">
        <f>IFERROR(VLOOKUP(TEXT(O259,"0"),CONDUCTORES!$A$3:$G$54,2,0),"")</f>
        <v/>
      </c>
      <c r="Q259" s="332">
        <f>IFERROR(VLOOKUP(TEXT(O259,"0"),CONDUCTORES!$A$3:$H$54,6,0),"")</f>
        <v/>
      </c>
      <c r="R259" s="334" t="n"/>
      <c r="S259" s="334" t="n"/>
      <c r="T259" s="334" t="n"/>
      <c r="U259" s="334" t="n"/>
      <c r="V259" s="334" t="n"/>
      <c r="W259" s="334" t="n"/>
      <c r="X259" s="334" t="n"/>
      <c r="Y259" s="334" t="n"/>
    </row>
    <row r="260" ht="15" customHeight="1" s="195">
      <c r="A260" s="280" t="n"/>
      <c r="B260" s="280" t="n"/>
      <c r="C260" s="280" t="n"/>
      <c r="D260" s="280" t="n"/>
      <c r="E260" s="280" t="n"/>
      <c r="F260" s="280" t="n"/>
      <c r="G260" s="280" t="n"/>
      <c r="H260" s="280" t="n"/>
      <c r="I260" s="332">
        <f>IFERROR(VLOOKUP(TEXT(H260,"0"),IPRESS!$A$3:$B$212,2,0),"")</f>
        <v/>
      </c>
      <c r="J260" s="280" t="n"/>
      <c r="K260" s="332">
        <f>IFERROR(VLOOKUP(TEXT(O260,"0"),CONDUCTORES!$A$3:$G$54,7,0),"")</f>
        <v/>
      </c>
      <c r="L260" s="280" t="n"/>
      <c r="M260" s="280" t="n"/>
      <c r="N260" s="333">
        <f>IFERROR(IF(L260*M260=0,"",L260*M260),"")</f>
        <v/>
      </c>
      <c r="O260" s="280" t="n"/>
      <c r="P260" s="332">
        <f>IFERROR(VLOOKUP(TEXT(O260,"0"),CONDUCTORES!$A$3:$G$54,2,0),"")</f>
        <v/>
      </c>
      <c r="Q260" s="332">
        <f>IFERROR(VLOOKUP(TEXT(O260,"0"),CONDUCTORES!$A$3:$H$54,6,0),"")</f>
        <v/>
      </c>
      <c r="R260" s="280" t="n"/>
      <c r="S260" s="280" t="n"/>
      <c r="T260" s="280" t="n"/>
      <c r="U260" s="280" t="n"/>
      <c r="V260" s="280" t="n"/>
      <c r="W260" s="280" t="n"/>
      <c r="X260" s="280" t="n"/>
      <c r="Y260" s="280" t="n"/>
    </row>
    <row r="261" ht="15" customHeight="1" s="195">
      <c r="A261" s="334" t="n"/>
      <c r="B261" s="334" t="n"/>
      <c r="C261" s="334" t="n"/>
      <c r="D261" s="334" t="n"/>
      <c r="E261" s="334" t="n"/>
      <c r="F261" s="334" t="n"/>
      <c r="G261" s="334" t="n"/>
      <c r="H261" s="334" t="n"/>
      <c r="I261" s="332">
        <f>IFERROR(VLOOKUP(TEXT(H261,"0"),IPRESS!$A$3:$B$212,2,0),"")</f>
        <v/>
      </c>
      <c r="J261" s="334" t="n"/>
      <c r="K261" s="332">
        <f>IFERROR(VLOOKUP(TEXT(O261,"0"),CONDUCTORES!$A$3:$G$54,7,0),"")</f>
        <v/>
      </c>
      <c r="L261" s="334" t="n"/>
      <c r="M261" s="334" t="n"/>
      <c r="N261" s="333">
        <f>IFERROR(IF(L261*M261=0,"",L261*M261),"")</f>
        <v/>
      </c>
      <c r="O261" s="334" t="n"/>
      <c r="P261" s="332">
        <f>IFERROR(VLOOKUP(TEXT(O261,"0"),CONDUCTORES!$A$3:$G$54,2,0),"")</f>
        <v/>
      </c>
      <c r="Q261" s="332">
        <f>IFERROR(VLOOKUP(TEXT(O261,"0"),CONDUCTORES!$A$3:$H$54,6,0),"")</f>
        <v/>
      </c>
      <c r="R261" s="334" t="n"/>
      <c r="S261" s="334" t="n"/>
      <c r="T261" s="334" t="n"/>
      <c r="U261" s="334" t="n"/>
      <c r="V261" s="334" t="n"/>
      <c r="W261" s="334" t="n"/>
      <c r="X261" s="334" t="n"/>
      <c r="Y261" s="334" t="n"/>
    </row>
    <row r="262" ht="15" customHeight="1" s="195">
      <c r="A262" s="280" t="n"/>
      <c r="B262" s="280" t="n"/>
      <c r="C262" s="280" t="n"/>
      <c r="D262" s="280" t="n"/>
      <c r="E262" s="280" t="n"/>
      <c r="F262" s="280" t="n"/>
      <c r="G262" s="280" t="n"/>
      <c r="H262" s="280" t="n"/>
      <c r="I262" s="332">
        <f>IFERROR(VLOOKUP(TEXT(H262,"0"),IPRESS!$A$3:$B$212,2,0),"")</f>
        <v/>
      </c>
      <c r="J262" s="280" t="n"/>
      <c r="K262" s="332">
        <f>IFERROR(VLOOKUP(TEXT(O262,"0"),CONDUCTORES!$A$3:$G$54,7,0),"")</f>
        <v/>
      </c>
      <c r="L262" s="280" t="n"/>
      <c r="M262" s="280" t="n"/>
      <c r="N262" s="333">
        <f>IFERROR(IF(L262*M262=0,"",L262*M262),"")</f>
        <v/>
      </c>
      <c r="O262" s="280" t="n"/>
      <c r="P262" s="332">
        <f>IFERROR(VLOOKUP(TEXT(O262,"0"),CONDUCTORES!$A$3:$G$54,2,0),"")</f>
        <v/>
      </c>
      <c r="Q262" s="332">
        <f>IFERROR(VLOOKUP(TEXT(O262,"0"),CONDUCTORES!$A$3:$H$54,6,0),"")</f>
        <v/>
      </c>
      <c r="R262" s="280" t="n"/>
      <c r="S262" s="280" t="n"/>
      <c r="T262" s="280" t="n"/>
      <c r="U262" s="280" t="n"/>
      <c r="V262" s="280" t="n"/>
      <c r="W262" s="280" t="n"/>
      <c r="X262" s="280" t="n"/>
      <c r="Y262" s="280" t="n"/>
    </row>
    <row r="263" ht="15" customHeight="1" s="195">
      <c r="A263" s="334" t="n"/>
      <c r="B263" s="334" t="n"/>
      <c r="C263" s="334" t="n"/>
      <c r="D263" s="334" t="n"/>
      <c r="E263" s="334" t="n"/>
      <c r="F263" s="334" t="n"/>
      <c r="G263" s="334" t="n"/>
      <c r="H263" s="334" t="n"/>
      <c r="I263" s="332">
        <f>IFERROR(VLOOKUP(TEXT(H263,"0"),IPRESS!$A$3:$B$212,2,0),"")</f>
        <v/>
      </c>
      <c r="J263" s="334" t="n"/>
      <c r="K263" s="332">
        <f>IFERROR(VLOOKUP(TEXT(O263,"0"),CONDUCTORES!$A$3:$G$54,7,0),"")</f>
        <v/>
      </c>
      <c r="L263" s="334" t="n"/>
      <c r="M263" s="334" t="n"/>
      <c r="N263" s="333">
        <f>IFERROR(IF(L263*M263=0,"",L263*M263),"")</f>
        <v/>
      </c>
      <c r="O263" s="334" t="n"/>
      <c r="P263" s="332">
        <f>IFERROR(VLOOKUP(TEXT(O263,"0"),CONDUCTORES!$A$3:$G$54,2,0),"")</f>
        <v/>
      </c>
      <c r="Q263" s="332">
        <f>IFERROR(VLOOKUP(TEXT(O263,"0"),CONDUCTORES!$A$3:$H$54,6,0),"")</f>
        <v/>
      </c>
      <c r="R263" s="334" t="n"/>
      <c r="S263" s="334" t="n"/>
      <c r="T263" s="334" t="n"/>
      <c r="U263" s="334" t="n"/>
      <c r="V263" s="334" t="n"/>
      <c r="W263" s="334" t="n"/>
      <c r="X263" s="334" t="n"/>
      <c r="Y263" s="334" t="n"/>
    </row>
    <row r="264" ht="15" customHeight="1" s="195">
      <c r="A264" s="280" t="n"/>
      <c r="B264" s="280" t="n"/>
      <c r="C264" s="280" t="n"/>
      <c r="D264" s="280" t="n"/>
      <c r="E264" s="280" t="n"/>
      <c r="F264" s="280" t="n"/>
      <c r="G264" s="280" t="n"/>
      <c r="H264" s="280" t="n"/>
      <c r="I264" s="332">
        <f>IFERROR(VLOOKUP(TEXT(H264,"0"),IPRESS!$A$3:$B$212,2,0),"")</f>
        <v/>
      </c>
      <c r="J264" s="280" t="n"/>
      <c r="K264" s="332">
        <f>IFERROR(VLOOKUP(TEXT(O264,"0"),CONDUCTORES!$A$3:$G$54,7,0),"")</f>
        <v/>
      </c>
      <c r="L264" s="280" t="n"/>
      <c r="M264" s="280" t="n"/>
      <c r="N264" s="333">
        <f>IFERROR(IF(L264*M264=0,"",L264*M264),"")</f>
        <v/>
      </c>
      <c r="O264" s="280" t="n"/>
      <c r="P264" s="332">
        <f>IFERROR(VLOOKUP(TEXT(O264,"0"),CONDUCTORES!$A$3:$G$54,2,0),"")</f>
        <v/>
      </c>
      <c r="Q264" s="332">
        <f>IFERROR(VLOOKUP(TEXT(O264,"0"),CONDUCTORES!$A$3:$H$54,6,0),"")</f>
        <v/>
      </c>
      <c r="R264" s="280" t="n"/>
      <c r="S264" s="280" t="n"/>
      <c r="T264" s="280" t="n"/>
      <c r="U264" s="280" t="n"/>
      <c r="V264" s="280" t="n"/>
      <c r="W264" s="280" t="n"/>
      <c r="X264" s="280" t="n"/>
      <c r="Y264" s="280" t="n"/>
    </row>
    <row r="265" ht="15" customHeight="1" s="195">
      <c r="A265" s="334" t="n"/>
      <c r="B265" s="334" t="n"/>
      <c r="C265" s="334" t="n"/>
      <c r="D265" s="334" t="n"/>
      <c r="E265" s="334" t="n"/>
      <c r="F265" s="334" t="n"/>
      <c r="G265" s="334" t="n"/>
      <c r="H265" s="334" t="n"/>
      <c r="I265" s="332">
        <f>IFERROR(VLOOKUP(TEXT(H265,"0"),IPRESS!$A$3:$B$212,2,0),"")</f>
        <v/>
      </c>
      <c r="J265" s="334" t="n"/>
      <c r="K265" s="332">
        <f>IFERROR(VLOOKUP(TEXT(O265,"0"),CONDUCTORES!$A$3:$G$54,7,0),"")</f>
        <v/>
      </c>
      <c r="L265" s="334" t="n"/>
      <c r="M265" s="334" t="n"/>
      <c r="N265" s="333">
        <f>IFERROR(IF(L265*M265=0,"",L265*M265),"")</f>
        <v/>
      </c>
      <c r="O265" s="334" t="n"/>
      <c r="P265" s="332">
        <f>IFERROR(VLOOKUP(TEXT(O265,"0"),CONDUCTORES!$A$3:$G$54,2,0),"")</f>
        <v/>
      </c>
      <c r="Q265" s="332">
        <f>IFERROR(VLOOKUP(TEXT(O265,"0"),CONDUCTORES!$A$3:$H$54,6,0),"")</f>
        <v/>
      </c>
      <c r="R265" s="334" t="n"/>
      <c r="S265" s="334" t="n"/>
      <c r="T265" s="334" t="n"/>
      <c r="U265" s="334" t="n"/>
      <c r="V265" s="334" t="n"/>
      <c r="W265" s="334" t="n"/>
      <c r="X265" s="334" t="n"/>
      <c r="Y265" s="334" t="n"/>
    </row>
    <row r="266" ht="15" customHeight="1" s="195">
      <c r="A266" s="280" t="n"/>
      <c r="B266" s="280" t="n"/>
      <c r="C266" s="280" t="n"/>
      <c r="D266" s="280" t="n"/>
      <c r="E266" s="280" t="n"/>
      <c r="F266" s="280" t="n"/>
      <c r="G266" s="280" t="n"/>
      <c r="H266" s="280" t="n"/>
      <c r="I266" s="332">
        <f>IFERROR(VLOOKUP(TEXT(H266,"0"),IPRESS!$A$3:$B$212,2,0),"")</f>
        <v/>
      </c>
      <c r="J266" s="280" t="n"/>
      <c r="K266" s="332">
        <f>IFERROR(VLOOKUP(TEXT(O266,"0"),CONDUCTORES!$A$3:$G$54,7,0),"")</f>
        <v/>
      </c>
      <c r="L266" s="280" t="n"/>
      <c r="M266" s="280" t="n"/>
      <c r="N266" s="333">
        <f>IFERROR(IF(L266*M266=0,"",L266*M266),"")</f>
        <v/>
      </c>
      <c r="O266" s="280" t="n"/>
      <c r="P266" s="332">
        <f>IFERROR(VLOOKUP(TEXT(O266,"0"),CONDUCTORES!$A$3:$G$54,2,0),"")</f>
        <v/>
      </c>
      <c r="Q266" s="332">
        <f>IFERROR(VLOOKUP(TEXT(O266,"0"),CONDUCTORES!$A$3:$H$54,6,0),"")</f>
        <v/>
      </c>
      <c r="R266" s="280" t="n"/>
      <c r="S266" s="280" t="n"/>
      <c r="T266" s="280" t="n"/>
      <c r="U266" s="280" t="n"/>
      <c r="V266" s="280" t="n"/>
      <c r="W266" s="280" t="n"/>
      <c r="X266" s="280" t="n"/>
      <c r="Y266" s="280" t="n"/>
    </row>
    <row r="267" ht="15" customHeight="1" s="195">
      <c r="A267" s="334" t="n"/>
      <c r="B267" s="334" t="n"/>
      <c r="C267" s="334" t="n"/>
      <c r="D267" s="334" t="n"/>
      <c r="E267" s="334" t="n"/>
      <c r="F267" s="334" t="n"/>
      <c r="G267" s="334" t="n"/>
      <c r="H267" s="334" t="n"/>
      <c r="I267" s="332">
        <f>IFERROR(VLOOKUP(TEXT(H267,"0"),IPRESS!$A$3:$B$212,2,0),"")</f>
        <v/>
      </c>
      <c r="J267" s="334" t="n"/>
      <c r="K267" s="332">
        <f>IFERROR(VLOOKUP(TEXT(O267,"0"),CONDUCTORES!$A$3:$G$54,7,0),"")</f>
        <v/>
      </c>
      <c r="L267" s="334" t="n"/>
      <c r="M267" s="334" t="n"/>
      <c r="N267" s="333">
        <f>IFERROR(IF(L267*M267=0,"",L267*M267),"")</f>
        <v/>
      </c>
      <c r="O267" s="334" t="n"/>
      <c r="P267" s="332">
        <f>IFERROR(VLOOKUP(TEXT(O267,"0"),CONDUCTORES!$A$3:$G$54,2,0),"")</f>
        <v/>
      </c>
      <c r="Q267" s="332">
        <f>IFERROR(VLOOKUP(TEXT(O267,"0"),CONDUCTORES!$A$3:$H$54,6,0),"")</f>
        <v/>
      </c>
      <c r="R267" s="334" t="n"/>
      <c r="S267" s="334" t="n"/>
      <c r="T267" s="334" t="n"/>
      <c r="U267" s="334" t="n"/>
      <c r="V267" s="334" t="n"/>
      <c r="W267" s="334" t="n"/>
      <c r="X267" s="334" t="n"/>
      <c r="Y267" s="334" t="n"/>
    </row>
    <row r="268" ht="15" customHeight="1" s="195">
      <c r="A268" s="280" t="n"/>
      <c r="B268" s="280" t="n"/>
      <c r="C268" s="280" t="n"/>
      <c r="D268" s="280" t="n"/>
      <c r="E268" s="280" t="n"/>
      <c r="F268" s="280" t="n"/>
      <c r="G268" s="280" t="n"/>
      <c r="H268" s="280" t="n"/>
      <c r="I268" s="332">
        <f>IFERROR(VLOOKUP(TEXT(H268,"0"),IPRESS!$A$3:$B$212,2,0),"")</f>
        <v/>
      </c>
      <c r="J268" s="280" t="n"/>
      <c r="K268" s="332">
        <f>IFERROR(VLOOKUP(TEXT(O268,"0"),CONDUCTORES!$A$3:$G$54,7,0),"")</f>
        <v/>
      </c>
      <c r="L268" s="280" t="n"/>
      <c r="M268" s="280" t="n"/>
      <c r="N268" s="333">
        <f>IFERROR(IF(L268*M268=0,"",L268*M268),"")</f>
        <v/>
      </c>
      <c r="O268" s="280" t="n"/>
      <c r="P268" s="332">
        <f>IFERROR(VLOOKUP(TEXT(O268,"0"),CONDUCTORES!$A$3:$G$54,2,0),"")</f>
        <v/>
      </c>
      <c r="Q268" s="332">
        <f>IFERROR(VLOOKUP(TEXT(O268,"0"),CONDUCTORES!$A$3:$H$54,6,0),"")</f>
        <v/>
      </c>
      <c r="R268" s="280" t="n"/>
      <c r="S268" s="280" t="n"/>
      <c r="T268" s="280" t="n"/>
      <c r="U268" s="280" t="n"/>
      <c r="V268" s="280" t="n"/>
      <c r="W268" s="280" t="n"/>
      <c r="X268" s="280" t="n"/>
      <c r="Y268" s="280" t="n"/>
    </row>
    <row r="269" ht="15" customHeight="1" s="195">
      <c r="A269" s="334" t="n"/>
      <c r="B269" s="334" t="n"/>
      <c r="C269" s="334" t="n"/>
      <c r="D269" s="334" t="n"/>
      <c r="E269" s="334" t="n"/>
      <c r="F269" s="334" t="n"/>
      <c r="G269" s="334" t="n"/>
      <c r="H269" s="334" t="n"/>
      <c r="I269" s="332">
        <f>IFERROR(VLOOKUP(TEXT(H269,"0"),IPRESS!$A$3:$B$212,2,0),"")</f>
        <v/>
      </c>
      <c r="J269" s="334" t="n"/>
      <c r="K269" s="332">
        <f>IFERROR(VLOOKUP(TEXT(O269,"0"),CONDUCTORES!$A$3:$G$54,7,0),"")</f>
        <v/>
      </c>
      <c r="L269" s="334" t="n"/>
      <c r="M269" s="334" t="n"/>
      <c r="N269" s="333">
        <f>IFERROR(IF(L269*M269=0,"",L269*M269),"")</f>
        <v/>
      </c>
      <c r="O269" s="334" t="n"/>
      <c r="P269" s="332">
        <f>IFERROR(VLOOKUP(TEXT(O269,"0"),CONDUCTORES!$A$3:$G$54,2,0),"")</f>
        <v/>
      </c>
      <c r="Q269" s="332">
        <f>IFERROR(VLOOKUP(TEXT(O269,"0"),CONDUCTORES!$A$3:$H$54,6,0),"")</f>
        <v/>
      </c>
      <c r="R269" s="334" t="n"/>
      <c r="S269" s="334" t="n"/>
      <c r="T269" s="334" t="n"/>
      <c r="U269" s="334" t="n"/>
      <c r="V269" s="334" t="n"/>
      <c r="W269" s="334" t="n"/>
      <c r="X269" s="334" t="n"/>
      <c r="Y269" s="334" t="n"/>
    </row>
    <row r="270" ht="15" customHeight="1" s="195">
      <c r="A270" s="280" t="n"/>
      <c r="B270" s="280" t="n"/>
      <c r="C270" s="280" t="n"/>
      <c r="D270" s="280" t="n"/>
      <c r="E270" s="280" t="n"/>
      <c r="F270" s="280" t="n"/>
      <c r="G270" s="280" t="n"/>
      <c r="H270" s="280" t="n"/>
      <c r="I270" s="332">
        <f>IFERROR(VLOOKUP(TEXT(H270,"0"),IPRESS!$A$3:$B$212,2,0),"")</f>
        <v/>
      </c>
      <c r="J270" s="280" t="n"/>
      <c r="K270" s="332">
        <f>IFERROR(VLOOKUP(TEXT(O270,"0"),CONDUCTORES!$A$3:$G$54,7,0),"")</f>
        <v/>
      </c>
      <c r="L270" s="280" t="n"/>
      <c r="M270" s="280" t="n"/>
      <c r="N270" s="333">
        <f>IFERROR(IF(L270*M270=0,"",L270*M270),"")</f>
        <v/>
      </c>
      <c r="O270" s="280" t="n"/>
      <c r="P270" s="332">
        <f>IFERROR(VLOOKUP(TEXT(O270,"0"),CONDUCTORES!$A$3:$G$54,2,0),"")</f>
        <v/>
      </c>
      <c r="Q270" s="332">
        <f>IFERROR(VLOOKUP(TEXT(O270,"0"),CONDUCTORES!$A$3:$H$54,6,0),"")</f>
        <v/>
      </c>
      <c r="R270" s="280" t="n"/>
      <c r="S270" s="280" t="n"/>
      <c r="T270" s="280" t="n"/>
      <c r="U270" s="280" t="n"/>
      <c r="V270" s="280" t="n"/>
      <c r="W270" s="280" t="n"/>
      <c r="X270" s="280" t="n"/>
      <c r="Y270" s="280" t="n"/>
    </row>
    <row r="271" ht="15" customHeight="1" s="195">
      <c r="A271" s="334" t="n"/>
      <c r="B271" s="334" t="n"/>
      <c r="C271" s="334" t="n"/>
      <c r="D271" s="334" t="n"/>
      <c r="E271" s="334" t="n"/>
      <c r="F271" s="334" t="n"/>
      <c r="G271" s="334" t="n"/>
      <c r="H271" s="334" t="n"/>
      <c r="I271" s="332">
        <f>IFERROR(VLOOKUP(TEXT(H271,"0"),IPRESS!$A$3:$B$212,2,0),"")</f>
        <v/>
      </c>
      <c r="J271" s="334" t="n"/>
      <c r="K271" s="332">
        <f>IFERROR(VLOOKUP(TEXT(O271,"0"),CONDUCTORES!$A$3:$G$54,7,0),"")</f>
        <v/>
      </c>
      <c r="L271" s="334" t="n"/>
      <c r="M271" s="334" t="n"/>
      <c r="N271" s="333">
        <f>IFERROR(IF(L271*M271=0,"",L271*M271),"")</f>
        <v/>
      </c>
      <c r="O271" s="334" t="n"/>
      <c r="P271" s="332">
        <f>IFERROR(VLOOKUP(TEXT(O271,"0"),CONDUCTORES!$A$3:$G$54,2,0),"")</f>
        <v/>
      </c>
      <c r="Q271" s="332">
        <f>IFERROR(VLOOKUP(TEXT(O271,"0"),CONDUCTORES!$A$3:$H$54,6,0),"")</f>
        <v/>
      </c>
      <c r="R271" s="334" t="n"/>
      <c r="S271" s="334" t="n"/>
      <c r="T271" s="334" t="n"/>
      <c r="U271" s="334" t="n"/>
      <c r="V271" s="334" t="n"/>
      <c r="W271" s="334" t="n"/>
      <c r="X271" s="334" t="n"/>
      <c r="Y271" s="334" t="n"/>
    </row>
    <row r="272" ht="15" customHeight="1" s="195">
      <c r="A272" s="280" t="n"/>
      <c r="B272" s="280" t="n"/>
      <c r="C272" s="280" t="n"/>
      <c r="D272" s="280" t="n"/>
      <c r="E272" s="280" t="n"/>
      <c r="F272" s="280" t="n"/>
      <c r="G272" s="280" t="n"/>
      <c r="H272" s="280" t="n"/>
      <c r="I272" s="332">
        <f>IFERROR(VLOOKUP(TEXT(H272,"0"),IPRESS!$A$3:$B$212,2,0),"")</f>
        <v/>
      </c>
      <c r="J272" s="280" t="n"/>
      <c r="K272" s="332">
        <f>IFERROR(VLOOKUP(TEXT(O272,"0"),CONDUCTORES!$A$3:$G$54,7,0),"")</f>
        <v/>
      </c>
      <c r="L272" s="280" t="n"/>
      <c r="M272" s="280" t="n"/>
      <c r="N272" s="333">
        <f>IFERROR(IF(L272*M272=0,"",L272*M272),"")</f>
        <v/>
      </c>
      <c r="O272" s="280" t="n"/>
      <c r="P272" s="332">
        <f>IFERROR(VLOOKUP(TEXT(O272,"0"),CONDUCTORES!$A$3:$G$54,2,0),"")</f>
        <v/>
      </c>
      <c r="Q272" s="332">
        <f>IFERROR(VLOOKUP(TEXT(O272,"0"),CONDUCTORES!$A$3:$H$54,6,0),"")</f>
        <v/>
      </c>
      <c r="R272" s="280" t="n"/>
      <c r="S272" s="280" t="n"/>
      <c r="T272" s="280" t="n"/>
      <c r="U272" s="280" t="n"/>
      <c r="V272" s="280" t="n"/>
      <c r="W272" s="280" t="n"/>
      <c r="X272" s="280" t="n"/>
      <c r="Y272" s="280" t="n"/>
    </row>
    <row r="273" ht="15" customHeight="1" s="195">
      <c r="A273" s="334" t="n"/>
      <c r="B273" s="334" t="n"/>
      <c r="C273" s="334" t="n"/>
      <c r="D273" s="334" t="n"/>
      <c r="E273" s="334" t="n"/>
      <c r="F273" s="334" t="n"/>
      <c r="G273" s="334" t="n"/>
      <c r="H273" s="334" t="n"/>
      <c r="I273" s="332">
        <f>IFERROR(VLOOKUP(TEXT(H273,"0"),IPRESS!$A$3:$B$212,2,0),"")</f>
        <v/>
      </c>
      <c r="J273" s="334" t="n"/>
      <c r="K273" s="332">
        <f>IFERROR(VLOOKUP(TEXT(O273,"0"),CONDUCTORES!$A$3:$G$54,7,0),"")</f>
        <v/>
      </c>
      <c r="L273" s="334" t="n"/>
      <c r="M273" s="334" t="n"/>
      <c r="N273" s="333">
        <f>IFERROR(IF(L273*M273=0,"",L273*M273),"")</f>
        <v/>
      </c>
      <c r="O273" s="334" t="n"/>
      <c r="P273" s="332">
        <f>IFERROR(VLOOKUP(TEXT(O273,"0"),CONDUCTORES!$A$3:$G$54,2,0),"")</f>
        <v/>
      </c>
      <c r="Q273" s="332">
        <f>IFERROR(VLOOKUP(TEXT(O273,"0"),CONDUCTORES!$A$3:$H$54,6,0),"")</f>
        <v/>
      </c>
      <c r="R273" s="334" t="n"/>
      <c r="S273" s="334" t="n"/>
      <c r="T273" s="334" t="n"/>
      <c r="U273" s="334" t="n"/>
      <c r="V273" s="334" t="n"/>
      <c r="W273" s="334" t="n"/>
      <c r="X273" s="334" t="n"/>
      <c r="Y273" s="334" t="n"/>
    </row>
    <row r="274" ht="15" customHeight="1" s="195">
      <c r="A274" s="280" t="n"/>
      <c r="B274" s="280" t="n"/>
      <c r="C274" s="280" t="n"/>
      <c r="D274" s="280" t="n"/>
      <c r="E274" s="280" t="n"/>
      <c r="F274" s="280" t="n"/>
      <c r="G274" s="280" t="n"/>
      <c r="H274" s="280" t="n"/>
      <c r="I274" s="332">
        <f>IFERROR(VLOOKUP(TEXT(H274,"0"),IPRESS!$A$3:$B$212,2,0),"")</f>
        <v/>
      </c>
      <c r="J274" s="280" t="n"/>
      <c r="K274" s="332">
        <f>IFERROR(VLOOKUP(TEXT(O274,"0"),CONDUCTORES!$A$3:$G$54,7,0),"")</f>
        <v/>
      </c>
      <c r="L274" s="280" t="n"/>
      <c r="M274" s="280" t="n"/>
      <c r="N274" s="333">
        <f>IFERROR(IF(L274*M274=0,"",L274*M274),"")</f>
        <v/>
      </c>
      <c r="O274" s="280" t="n"/>
      <c r="P274" s="332">
        <f>IFERROR(VLOOKUP(TEXT(O274,"0"),CONDUCTORES!$A$3:$G$54,2,0),"")</f>
        <v/>
      </c>
      <c r="Q274" s="332">
        <f>IFERROR(VLOOKUP(TEXT(O274,"0"),CONDUCTORES!$A$3:$H$54,6,0),"")</f>
        <v/>
      </c>
      <c r="R274" s="280" t="n"/>
      <c r="S274" s="280" t="n"/>
      <c r="T274" s="280" t="n"/>
      <c r="U274" s="280" t="n"/>
      <c r="V274" s="280" t="n"/>
      <c r="W274" s="280" t="n"/>
      <c r="X274" s="280" t="n"/>
      <c r="Y274" s="280" t="n"/>
    </row>
    <row r="275" ht="15" customHeight="1" s="195">
      <c r="A275" s="334" t="n"/>
      <c r="B275" s="334" t="n"/>
      <c r="C275" s="334" t="n"/>
      <c r="D275" s="334" t="n"/>
      <c r="E275" s="334" t="n"/>
      <c r="F275" s="334" t="n"/>
      <c r="G275" s="334" t="n"/>
      <c r="H275" s="334" t="n"/>
      <c r="I275" s="332">
        <f>IFERROR(VLOOKUP(TEXT(H275,"0"),IPRESS!$A$3:$B$212,2,0),"")</f>
        <v/>
      </c>
      <c r="J275" s="334" t="n"/>
      <c r="K275" s="332">
        <f>IFERROR(VLOOKUP(TEXT(O275,"0"),CONDUCTORES!$A$3:$G$54,7,0),"")</f>
        <v/>
      </c>
      <c r="L275" s="334" t="n"/>
      <c r="M275" s="334" t="n"/>
      <c r="N275" s="333">
        <f>IFERROR(IF(L275*M275=0,"",L275*M275),"")</f>
        <v/>
      </c>
      <c r="O275" s="334" t="n"/>
      <c r="P275" s="332">
        <f>IFERROR(VLOOKUP(TEXT(O275,"0"),CONDUCTORES!$A$3:$G$54,2,0),"")</f>
        <v/>
      </c>
      <c r="Q275" s="332">
        <f>IFERROR(VLOOKUP(TEXT(O275,"0"),CONDUCTORES!$A$3:$H$54,6,0),"")</f>
        <v/>
      </c>
      <c r="R275" s="334" t="n"/>
      <c r="S275" s="334" t="n"/>
      <c r="T275" s="334" t="n"/>
      <c r="U275" s="334" t="n"/>
      <c r="V275" s="334" t="n"/>
      <c r="W275" s="334" t="n"/>
      <c r="X275" s="334" t="n"/>
      <c r="Y275" s="334" t="n"/>
    </row>
    <row r="276" ht="15" customHeight="1" s="195">
      <c r="A276" s="280" t="n"/>
      <c r="B276" s="280" t="n"/>
      <c r="C276" s="280" t="n"/>
      <c r="D276" s="280" t="n"/>
      <c r="E276" s="280" t="n"/>
      <c r="F276" s="280" t="n"/>
      <c r="G276" s="280" t="n"/>
      <c r="H276" s="280" t="n"/>
      <c r="I276" s="332">
        <f>IFERROR(VLOOKUP(TEXT(H276,"0"),IPRESS!$A$3:$B$212,2,0),"")</f>
        <v/>
      </c>
      <c r="J276" s="280" t="n"/>
      <c r="K276" s="332">
        <f>IFERROR(VLOOKUP(TEXT(O276,"0"),CONDUCTORES!$A$3:$G$54,7,0),"")</f>
        <v/>
      </c>
      <c r="L276" s="280" t="n"/>
      <c r="M276" s="280" t="n"/>
      <c r="N276" s="333">
        <f>IFERROR(IF(L276*M276=0,"",L276*M276),"")</f>
        <v/>
      </c>
      <c r="O276" s="280" t="n"/>
      <c r="P276" s="332">
        <f>IFERROR(VLOOKUP(TEXT(O276,"0"),CONDUCTORES!$A$3:$G$54,2,0),"")</f>
        <v/>
      </c>
      <c r="Q276" s="332">
        <f>IFERROR(VLOOKUP(TEXT(O276,"0"),CONDUCTORES!$A$3:$H$54,6,0),"")</f>
        <v/>
      </c>
      <c r="R276" s="280" t="n"/>
      <c r="S276" s="280" t="n"/>
      <c r="T276" s="280" t="n"/>
      <c r="U276" s="280" t="n"/>
      <c r="V276" s="280" t="n"/>
      <c r="W276" s="280" t="n"/>
      <c r="X276" s="280" t="n"/>
      <c r="Y276" s="280" t="n"/>
    </row>
    <row r="277" ht="15" customHeight="1" s="195">
      <c r="A277" s="334" t="n"/>
      <c r="B277" s="334" t="n"/>
      <c r="C277" s="334" t="n"/>
      <c r="D277" s="334" t="n"/>
      <c r="E277" s="334" t="n"/>
      <c r="F277" s="334" t="n"/>
      <c r="G277" s="334" t="n"/>
      <c r="H277" s="334" t="n"/>
      <c r="I277" s="332">
        <f>IFERROR(VLOOKUP(TEXT(H277,"0"),IPRESS!$A$3:$B$212,2,0),"")</f>
        <v/>
      </c>
      <c r="J277" s="334" t="n"/>
      <c r="K277" s="332">
        <f>IFERROR(VLOOKUP(TEXT(O277,"0"),CONDUCTORES!$A$3:$G$54,7,0),"")</f>
        <v/>
      </c>
      <c r="L277" s="334" t="n"/>
      <c r="M277" s="334" t="n"/>
      <c r="N277" s="333">
        <f>IFERROR(IF(L277*M277=0,"",L277*M277),"")</f>
        <v/>
      </c>
      <c r="O277" s="334" t="n"/>
      <c r="P277" s="332">
        <f>IFERROR(VLOOKUP(TEXT(O277,"0"),CONDUCTORES!$A$3:$G$54,2,0),"")</f>
        <v/>
      </c>
      <c r="Q277" s="332">
        <f>IFERROR(VLOOKUP(TEXT(O277,"0"),CONDUCTORES!$A$3:$H$54,6,0),"")</f>
        <v/>
      </c>
      <c r="R277" s="334" t="n"/>
      <c r="S277" s="334" t="n"/>
      <c r="T277" s="334" t="n"/>
      <c r="U277" s="334" t="n"/>
      <c r="V277" s="334" t="n"/>
      <c r="W277" s="334" t="n"/>
      <c r="X277" s="334" t="n"/>
      <c r="Y277" s="334" t="n"/>
    </row>
    <row r="278" ht="15" customHeight="1" s="195">
      <c r="A278" s="280" t="n"/>
      <c r="B278" s="280" t="n"/>
      <c r="C278" s="280" t="n"/>
      <c r="D278" s="280" t="n"/>
      <c r="E278" s="280" t="n"/>
      <c r="F278" s="280" t="n"/>
      <c r="G278" s="280" t="n"/>
      <c r="H278" s="280" t="n"/>
      <c r="I278" s="332">
        <f>IFERROR(VLOOKUP(TEXT(H278,"0"),IPRESS!$A$3:$B$212,2,0),"")</f>
        <v/>
      </c>
      <c r="J278" s="280" t="n"/>
      <c r="K278" s="332">
        <f>IFERROR(VLOOKUP(TEXT(O278,"0"),CONDUCTORES!$A$3:$G$54,7,0),"")</f>
        <v/>
      </c>
      <c r="L278" s="280" t="n"/>
      <c r="M278" s="280" t="n"/>
      <c r="N278" s="333">
        <f>IFERROR(IF(L278*M278=0,"",L278*M278),"")</f>
        <v/>
      </c>
      <c r="O278" s="280" t="n"/>
      <c r="P278" s="332">
        <f>IFERROR(VLOOKUP(TEXT(O278,"0"),CONDUCTORES!$A$3:$G$54,2,0),"")</f>
        <v/>
      </c>
      <c r="Q278" s="332">
        <f>IFERROR(VLOOKUP(TEXT(O278,"0"),CONDUCTORES!$A$3:$H$54,6,0),"")</f>
        <v/>
      </c>
      <c r="R278" s="280" t="n"/>
      <c r="S278" s="280" t="n"/>
      <c r="T278" s="280" t="n"/>
      <c r="U278" s="280" t="n"/>
      <c r="V278" s="280" t="n"/>
      <c r="W278" s="280" t="n"/>
      <c r="X278" s="280" t="n"/>
      <c r="Y278" s="280" t="n"/>
    </row>
    <row r="279" ht="15" customHeight="1" s="195">
      <c r="A279" s="334" t="n"/>
      <c r="B279" s="334" t="n"/>
      <c r="C279" s="334" t="n"/>
      <c r="D279" s="334" t="n"/>
      <c r="E279" s="334" t="n"/>
      <c r="F279" s="334" t="n"/>
      <c r="G279" s="334" t="n"/>
      <c r="H279" s="334" t="n"/>
      <c r="I279" s="332">
        <f>IFERROR(VLOOKUP(TEXT(H279,"0"),IPRESS!$A$3:$B$212,2,0),"")</f>
        <v/>
      </c>
      <c r="J279" s="334" t="n"/>
      <c r="K279" s="332">
        <f>IFERROR(VLOOKUP(TEXT(O279,"0"),CONDUCTORES!$A$3:$G$54,7,0),"")</f>
        <v/>
      </c>
      <c r="L279" s="334" t="n"/>
      <c r="M279" s="334" t="n"/>
      <c r="N279" s="333">
        <f>IFERROR(IF(L279*M279=0,"",L279*M279),"")</f>
        <v/>
      </c>
      <c r="O279" s="334" t="n"/>
      <c r="P279" s="332">
        <f>IFERROR(VLOOKUP(TEXT(O279,"0"),CONDUCTORES!$A$3:$G$54,2,0),"")</f>
        <v/>
      </c>
      <c r="Q279" s="332">
        <f>IFERROR(VLOOKUP(TEXT(O279,"0"),CONDUCTORES!$A$3:$H$54,6,0),"")</f>
        <v/>
      </c>
      <c r="R279" s="334" t="n"/>
      <c r="S279" s="334" t="n"/>
      <c r="T279" s="334" t="n"/>
      <c r="U279" s="334" t="n"/>
      <c r="V279" s="334" t="n"/>
      <c r="W279" s="334" t="n"/>
      <c r="X279" s="334" t="n"/>
      <c r="Y279" s="334" t="n"/>
    </row>
    <row r="280" ht="15" customHeight="1" s="195">
      <c r="A280" s="280" t="n"/>
      <c r="B280" s="280" t="n"/>
      <c r="C280" s="280" t="n"/>
      <c r="D280" s="280" t="n"/>
      <c r="E280" s="280" t="n"/>
      <c r="F280" s="280" t="n"/>
      <c r="G280" s="280" t="n"/>
      <c r="H280" s="280" t="n"/>
      <c r="I280" s="332">
        <f>IFERROR(VLOOKUP(TEXT(H280,"0"),IPRESS!$A$3:$B$212,2,0),"")</f>
        <v/>
      </c>
      <c r="J280" s="280" t="n"/>
      <c r="K280" s="332">
        <f>IFERROR(VLOOKUP(TEXT(O280,"0"),CONDUCTORES!$A$3:$G$54,7,0),"")</f>
        <v/>
      </c>
      <c r="L280" s="280" t="n"/>
      <c r="M280" s="280" t="n"/>
      <c r="N280" s="333">
        <f>IFERROR(IF(L280*M280=0,"",L280*M280),"")</f>
        <v/>
      </c>
      <c r="O280" s="280" t="n"/>
      <c r="P280" s="332">
        <f>IFERROR(VLOOKUP(TEXT(O280,"0"),CONDUCTORES!$A$3:$G$54,2,0),"")</f>
        <v/>
      </c>
      <c r="Q280" s="332">
        <f>IFERROR(VLOOKUP(TEXT(O280,"0"),CONDUCTORES!$A$3:$H$54,6,0),"")</f>
        <v/>
      </c>
      <c r="R280" s="280" t="n"/>
      <c r="S280" s="280" t="n"/>
      <c r="T280" s="280" t="n"/>
      <c r="U280" s="280" t="n"/>
      <c r="V280" s="280" t="n"/>
      <c r="W280" s="280" t="n"/>
      <c r="X280" s="280" t="n"/>
      <c r="Y280" s="280" t="n"/>
    </row>
    <row r="281" ht="15" customHeight="1" s="195">
      <c r="A281" s="334" t="n"/>
      <c r="B281" s="334" t="n"/>
      <c r="C281" s="334" t="n"/>
      <c r="D281" s="334" t="n"/>
      <c r="E281" s="334" t="n"/>
      <c r="F281" s="334" t="n"/>
      <c r="G281" s="334" t="n"/>
      <c r="H281" s="334" t="n"/>
      <c r="I281" s="332">
        <f>IFERROR(VLOOKUP(TEXT(H281,"0"),IPRESS!$A$3:$B$212,2,0),"")</f>
        <v/>
      </c>
      <c r="J281" s="334" t="n"/>
      <c r="K281" s="332">
        <f>IFERROR(VLOOKUP(TEXT(O281,"0"),CONDUCTORES!$A$3:$G$54,7,0),"")</f>
        <v/>
      </c>
      <c r="L281" s="334" t="n"/>
      <c r="M281" s="334" t="n"/>
      <c r="N281" s="333">
        <f>IFERROR(IF(L281*M281=0,"",L281*M281),"")</f>
        <v/>
      </c>
      <c r="O281" s="334" t="n"/>
      <c r="P281" s="332">
        <f>IFERROR(VLOOKUP(TEXT(O281,"0"),CONDUCTORES!$A$3:$G$54,2,0),"")</f>
        <v/>
      </c>
      <c r="Q281" s="332">
        <f>IFERROR(VLOOKUP(TEXT(O281,"0"),CONDUCTORES!$A$3:$H$54,6,0),"")</f>
        <v/>
      </c>
      <c r="R281" s="334" t="n"/>
      <c r="S281" s="334" t="n"/>
      <c r="T281" s="334" t="n"/>
      <c r="U281" s="334" t="n"/>
      <c r="V281" s="334" t="n"/>
      <c r="W281" s="334" t="n"/>
      <c r="X281" s="334" t="n"/>
      <c r="Y281" s="334" t="n"/>
    </row>
    <row r="282" ht="15" customHeight="1" s="195">
      <c r="A282" s="280" t="n"/>
      <c r="B282" s="280" t="n"/>
      <c r="C282" s="280" t="n"/>
      <c r="D282" s="280" t="n"/>
      <c r="E282" s="280" t="n"/>
      <c r="F282" s="280" t="n"/>
      <c r="G282" s="280" t="n"/>
      <c r="H282" s="280" t="n"/>
      <c r="I282" s="332">
        <f>IFERROR(VLOOKUP(TEXT(H282,"0"),IPRESS!$A$3:$B$212,2,0),"")</f>
        <v/>
      </c>
      <c r="J282" s="280" t="n"/>
      <c r="K282" s="332">
        <f>IFERROR(VLOOKUP(TEXT(O282,"0"),CONDUCTORES!$A$3:$G$54,7,0),"")</f>
        <v/>
      </c>
      <c r="L282" s="280" t="n"/>
      <c r="M282" s="280" t="n"/>
      <c r="N282" s="333">
        <f>IFERROR(IF(L282*M282=0,"",L282*M282),"")</f>
        <v/>
      </c>
      <c r="O282" s="280" t="n"/>
      <c r="P282" s="332">
        <f>IFERROR(VLOOKUP(TEXT(O282,"0"),CONDUCTORES!$A$3:$G$54,2,0),"")</f>
        <v/>
      </c>
      <c r="Q282" s="332">
        <f>IFERROR(VLOOKUP(TEXT(O282,"0"),CONDUCTORES!$A$3:$H$54,6,0),"")</f>
        <v/>
      </c>
      <c r="R282" s="280" t="n"/>
      <c r="S282" s="280" t="n"/>
      <c r="T282" s="280" t="n"/>
      <c r="U282" s="280" t="n"/>
      <c r="V282" s="280" t="n"/>
      <c r="W282" s="280" t="n"/>
      <c r="X282" s="280" t="n"/>
      <c r="Y282" s="280" t="n"/>
    </row>
    <row r="283" ht="15" customHeight="1" s="195">
      <c r="A283" s="334" t="n"/>
      <c r="B283" s="334" t="n"/>
      <c r="C283" s="334" t="n"/>
      <c r="D283" s="334" t="n"/>
      <c r="E283" s="334" t="n"/>
      <c r="F283" s="334" t="n"/>
      <c r="G283" s="334" t="n"/>
      <c r="H283" s="334" t="n"/>
      <c r="I283" s="332">
        <f>IFERROR(VLOOKUP(TEXT(H283,"0"),IPRESS!$A$3:$B$212,2,0),"")</f>
        <v/>
      </c>
      <c r="J283" s="334" t="n"/>
      <c r="K283" s="332">
        <f>IFERROR(VLOOKUP(TEXT(O283,"0"),CONDUCTORES!$A$3:$G$54,7,0),"")</f>
        <v/>
      </c>
      <c r="L283" s="334" t="n"/>
      <c r="M283" s="334" t="n"/>
      <c r="N283" s="333">
        <f>IFERROR(IF(L283*M283=0,"",L283*M283),"")</f>
        <v/>
      </c>
      <c r="O283" s="334" t="n"/>
      <c r="P283" s="332">
        <f>IFERROR(VLOOKUP(TEXT(O283,"0"),CONDUCTORES!$A$3:$G$54,2,0),"")</f>
        <v/>
      </c>
      <c r="Q283" s="332">
        <f>IFERROR(VLOOKUP(TEXT(O283,"0"),CONDUCTORES!$A$3:$H$54,6,0),"")</f>
        <v/>
      </c>
      <c r="R283" s="334" t="n"/>
      <c r="S283" s="334" t="n"/>
      <c r="T283" s="334" t="n"/>
      <c r="U283" s="334" t="n"/>
      <c r="V283" s="334" t="n"/>
      <c r="W283" s="334" t="n"/>
      <c r="X283" s="334" t="n"/>
      <c r="Y283" s="334" t="n"/>
    </row>
    <row r="284" ht="15" customHeight="1" s="195">
      <c r="A284" s="280" t="n"/>
      <c r="B284" s="280" t="n"/>
      <c r="C284" s="280" t="n"/>
      <c r="D284" s="280" t="n"/>
      <c r="E284" s="280" t="n"/>
      <c r="F284" s="280" t="n"/>
      <c r="G284" s="280" t="n"/>
      <c r="H284" s="280" t="n"/>
      <c r="I284" s="332">
        <f>IFERROR(VLOOKUP(TEXT(H284,"0"),IPRESS!$A$3:$B$212,2,0),"")</f>
        <v/>
      </c>
      <c r="J284" s="280" t="n"/>
      <c r="K284" s="332">
        <f>IFERROR(VLOOKUP(TEXT(O284,"0"),CONDUCTORES!$A$3:$G$54,7,0),"")</f>
        <v/>
      </c>
      <c r="L284" s="280" t="n"/>
      <c r="M284" s="280" t="n"/>
      <c r="N284" s="333">
        <f>IFERROR(IF(L284*M284=0,"",L284*M284),"")</f>
        <v/>
      </c>
      <c r="O284" s="280" t="n"/>
      <c r="P284" s="332">
        <f>IFERROR(VLOOKUP(TEXT(O284,"0"),CONDUCTORES!$A$3:$G$54,2,0),"")</f>
        <v/>
      </c>
      <c r="Q284" s="332">
        <f>IFERROR(VLOOKUP(TEXT(O284,"0"),CONDUCTORES!$A$3:$H$54,6,0),"")</f>
        <v/>
      </c>
      <c r="R284" s="280" t="n"/>
      <c r="S284" s="280" t="n"/>
      <c r="T284" s="280" t="n"/>
      <c r="U284" s="280" t="n"/>
      <c r="V284" s="280" t="n"/>
      <c r="W284" s="280" t="n"/>
      <c r="X284" s="280" t="n"/>
      <c r="Y284" s="280" t="n"/>
    </row>
    <row r="285" ht="15" customHeight="1" s="195">
      <c r="A285" s="334" t="n"/>
      <c r="B285" s="334" t="n"/>
      <c r="C285" s="334" t="n"/>
      <c r="D285" s="334" t="n"/>
      <c r="E285" s="334" t="n"/>
      <c r="F285" s="334" t="n"/>
      <c r="G285" s="334" t="n"/>
      <c r="H285" s="334" t="n"/>
      <c r="I285" s="332">
        <f>IFERROR(VLOOKUP(TEXT(H285,"0"),IPRESS!$A$3:$B$212,2,0),"")</f>
        <v/>
      </c>
      <c r="J285" s="334" t="n"/>
      <c r="K285" s="332">
        <f>IFERROR(VLOOKUP(TEXT(O285,"0"),CONDUCTORES!$A$3:$G$54,7,0),"")</f>
        <v/>
      </c>
      <c r="L285" s="334" t="n"/>
      <c r="M285" s="334" t="n"/>
      <c r="N285" s="333">
        <f>IFERROR(IF(L285*M285=0,"",L285*M285),"")</f>
        <v/>
      </c>
      <c r="O285" s="334" t="n"/>
      <c r="P285" s="332">
        <f>IFERROR(VLOOKUP(TEXT(O285,"0"),CONDUCTORES!$A$3:$G$54,2,0),"")</f>
        <v/>
      </c>
      <c r="Q285" s="332">
        <f>IFERROR(VLOOKUP(TEXT(O285,"0"),CONDUCTORES!$A$3:$H$54,6,0),"")</f>
        <v/>
      </c>
      <c r="R285" s="334" t="n"/>
      <c r="S285" s="334" t="n"/>
      <c r="T285" s="334" t="n"/>
      <c r="U285" s="334" t="n"/>
      <c r="V285" s="334" t="n"/>
      <c r="W285" s="334" t="n"/>
      <c r="X285" s="334" t="n"/>
      <c r="Y285" s="334" t="n"/>
    </row>
    <row r="286" ht="15" customHeight="1" s="195">
      <c r="A286" s="280" t="n"/>
      <c r="B286" s="280" t="n"/>
      <c r="C286" s="280" t="n"/>
      <c r="D286" s="280" t="n"/>
      <c r="E286" s="280" t="n"/>
      <c r="F286" s="280" t="n"/>
      <c r="G286" s="280" t="n"/>
      <c r="H286" s="280" t="n"/>
      <c r="I286" s="332">
        <f>IFERROR(VLOOKUP(TEXT(H286,"0"),IPRESS!$A$3:$B$212,2,0),"")</f>
        <v/>
      </c>
      <c r="J286" s="280" t="n"/>
      <c r="K286" s="332">
        <f>IFERROR(VLOOKUP(TEXT(O286,"0"),CONDUCTORES!$A$3:$G$54,7,0),"")</f>
        <v/>
      </c>
      <c r="L286" s="280" t="n"/>
      <c r="M286" s="280" t="n"/>
      <c r="N286" s="333">
        <f>IFERROR(IF(L286*M286=0,"",L286*M286),"")</f>
        <v/>
      </c>
      <c r="O286" s="280" t="n"/>
      <c r="P286" s="332">
        <f>IFERROR(VLOOKUP(TEXT(O286,"0"),CONDUCTORES!$A$3:$G$54,2,0),"")</f>
        <v/>
      </c>
      <c r="Q286" s="332">
        <f>IFERROR(VLOOKUP(TEXT(O286,"0"),CONDUCTORES!$A$3:$H$54,6,0),"")</f>
        <v/>
      </c>
      <c r="R286" s="280" t="n"/>
      <c r="S286" s="280" t="n"/>
      <c r="T286" s="280" t="n"/>
      <c r="U286" s="280" t="n"/>
      <c r="V286" s="280" t="n"/>
      <c r="W286" s="280" t="n"/>
      <c r="X286" s="280" t="n"/>
      <c r="Y286" s="280" t="n"/>
    </row>
    <row r="287" ht="15" customHeight="1" s="195">
      <c r="A287" s="334" t="n"/>
      <c r="B287" s="334" t="n"/>
      <c r="C287" s="334" t="n"/>
      <c r="D287" s="334" t="n"/>
      <c r="E287" s="334" t="n"/>
      <c r="F287" s="334" t="n"/>
      <c r="G287" s="334" t="n"/>
      <c r="H287" s="334" t="n"/>
      <c r="I287" s="332">
        <f>IFERROR(VLOOKUP(TEXT(H287,"0"),IPRESS!$A$3:$B$212,2,0),"")</f>
        <v/>
      </c>
      <c r="J287" s="334" t="n"/>
      <c r="K287" s="332">
        <f>IFERROR(VLOOKUP(TEXT(O287,"0"),CONDUCTORES!$A$3:$G$54,7,0),"")</f>
        <v/>
      </c>
      <c r="L287" s="334" t="n"/>
      <c r="M287" s="334" t="n"/>
      <c r="N287" s="333">
        <f>IFERROR(IF(L287*M287=0,"",L287*M287),"")</f>
        <v/>
      </c>
      <c r="O287" s="334" t="n"/>
      <c r="P287" s="332">
        <f>IFERROR(VLOOKUP(TEXT(O287,"0"),CONDUCTORES!$A$3:$G$54,2,0),"")</f>
        <v/>
      </c>
      <c r="Q287" s="332">
        <f>IFERROR(VLOOKUP(TEXT(O287,"0"),CONDUCTORES!$A$3:$H$54,6,0),"")</f>
        <v/>
      </c>
      <c r="R287" s="334" t="n"/>
      <c r="S287" s="334" t="n"/>
      <c r="T287" s="334" t="n"/>
      <c r="U287" s="334" t="n"/>
      <c r="V287" s="334" t="n"/>
      <c r="W287" s="334" t="n"/>
      <c r="X287" s="334" t="n"/>
      <c r="Y287" s="334" t="n"/>
    </row>
    <row r="288" ht="15" customHeight="1" s="195">
      <c r="A288" s="280" t="n"/>
      <c r="B288" s="280" t="n"/>
      <c r="C288" s="280" t="n"/>
      <c r="D288" s="280" t="n"/>
      <c r="E288" s="280" t="n"/>
      <c r="F288" s="280" t="n"/>
      <c r="G288" s="280" t="n"/>
      <c r="H288" s="280" t="n"/>
      <c r="I288" s="332">
        <f>IFERROR(VLOOKUP(TEXT(H288,"0"),IPRESS!$A$3:$B$212,2,0),"")</f>
        <v/>
      </c>
      <c r="J288" s="280" t="n"/>
      <c r="K288" s="332">
        <f>IFERROR(VLOOKUP(TEXT(O288,"0"),CONDUCTORES!$A$3:$G$54,7,0),"")</f>
        <v/>
      </c>
      <c r="L288" s="280" t="n"/>
      <c r="M288" s="280" t="n"/>
      <c r="N288" s="333">
        <f>IFERROR(IF(L288*M288=0,"",L288*M288),"")</f>
        <v/>
      </c>
      <c r="O288" s="280" t="n"/>
      <c r="P288" s="332">
        <f>IFERROR(VLOOKUP(TEXT(O288,"0"),CONDUCTORES!$A$3:$G$54,2,0),"")</f>
        <v/>
      </c>
      <c r="Q288" s="332">
        <f>IFERROR(VLOOKUP(TEXT(O288,"0"),CONDUCTORES!$A$3:$H$54,6,0),"")</f>
        <v/>
      </c>
      <c r="R288" s="280" t="n"/>
      <c r="S288" s="280" t="n"/>
      <c r="T288" s="280" t="n"/>
      <c r="U288" s="280" t="n"/>
      <c r="V288" s="280" t="n"/>
      <c r="W288" s="280" t="n"/>
      <c r="X288" s="280" t="n"/>
      <c r="Y288" s="280" t="n"/>
    </row>
    <row r="289" ht="15" customHeight="1" s="195">
      <c r="A289" s="334" t="n"/>
      <c r="B289" s="334" t="n"/>
      <c r="C289" s="334" t="n"/>
      <c r="D289" s="334" t="n"/>
      <c r="E289" s="334" t="n"/>
      <c r="F289" s="334" t="n"/>
      <c r="G289" s="334" t="n"/>
      <c r="H289" s="334" t="n"/>
      <c r="I289" s="332">
        <f>IFERROR(VLOOKUP(TEXT(H289,"0"),IPRESS!$A$3:$B$212,2,0),"")</f>
        <v/>
      </c>
      <c r="J289" s="334" t="n"/>
      <c r="K289" s="332">
        <f>IFERROR(VLOOKUP(TEXT(O289,"0"),CONDUCTORES!$A$3:$G$54,7,0),"")</f>
        <v/>
      </c>
      <c r="L289" s="334" t="n"/>
      <c r="M289" s="334" t="n"/>
      <c r="N289" s="333">
        <f>IFERROR(IF(L289*M289=0,"",L289*M289),"")</f>
        <v/>
      </c>
      <c r="O289" s="334" t="n"/>
      <c r="P289" s="332">
        <f>IFERROR(VLOOKUP(TEXT(O289,"0"),CONDUCTORES!$A$3:$G$54,2,0),"")</f>
        <v/>
      </c>
      <c r="Q289" s="332">
        <f>IFERROR(VLOOKUP(TEXT(O289,"0"),CONDUCTORES!$A$3:$H$54,6,0),"")</f>
        <v/>
      </c>
      <c r="R289" s="334" t="n"/>
      <c r="S289" s="334" t="n"/>
      <c r="T289" s="334" t="n"/>
      <c r="U289" s="334" t="n"/>
      <c r="V289" s="334" t="n"/>
      <c r="W289" s="334" t="n"/>
      <c r="X289" s="334" t="n"/>
      <c r="Y289" s="334" t="n"/>
    </row>
    <row r="290" ht="15" customHeight="1" s="195">
      <c r="A290" s="280" t="n"/>
      <c r="B290" s="280" t="n"/>
      <c r="C290" s="280" t="n"/>
      <c r="D290" s="280" t="n"/>
      <c r="E290" s="280" t="n"/>
      <c r="F290" s="280" t="n"/>
      <c r="G290" s="280" t="n"/>
      <c r="H290" s="280" t="n"/>
      <c r="I290" s="332">
        <f>IFERROR(VLOOKUP(TEXT(H290,"0"),IPRESS!$A$3:$B$212,2,0),"")</f>
        <v/>
      </c>
      <c r="J290" s="280" t="n"/>
      <c r="K290" s="332">
        <f>IFERROR(VLOOKUP(TEXT(O290,"0"),CONDUCTORES!$A$3:$G$54,7,0),"")</f>
        <v/>
      </c>
      <c r="L290" s="280" t="n"/>
      <c r="M290" s="280" t="n"/>
      <c r="N290" s="333">
        <f>IFERROR(IF(L290*M290=0,"",L290*M290),"")</f>
        <v/>
      </c>
      <c r="O290" s="280" t="n"/>
      <c r="P290" s="332">
        <f>IFERROR(VLOOKUP(TEXT(O290,"0"),CONDUCTORES!$A$3:$G$54,2,0),"")</f>
        <v/>
      </c>
      <c r="Q290" s="332">
        <f>IFERROR(VLOOKUP(TEXT(O290,"0"),CONDUCTORES!$A$3:$H$54,6,0),"")</f>
        <v/>
      </c>
      <c r="R290" s="280" t="n"/>
      <c r="S290" s="280" t="n"/>
      <c r="T290" s="280" t="n"/>
      <c r="U290" s="280" t="n"/>
      <c r="V290" s="280" t="n"/>
      <c r="W290" s="280" t="n"/>
      <c r="X290" s="280" t="n"/>
      <c r="Y290" s="280" t="n"/>
    </row>
    <row r="291" ht="15" customHeight="1" s="195">
      <c r="A291" s="334" t="n"/>
      <c r="B291" s="334" t="n"/>
      <c r="C291" s="334" t="n"/>
      <c r="D291" s="334" t="n"/>
      <c r="E291" s="334" t="n"/>
      <c r="F291" s="334" t="n"/>
      <c r="G291" s="334" t="n"/>
      <c r="H291" s="334" t="n"/>
      <c r="I291" s="332">
        <f>IFERROR(VLOOKUP(TEXT(H291,"0"),IPRESS!$A$3:$B$212,2,0),"")</f>
        <v/>
      </c>
      <c r="J291" s="334" t="n"/>
      <c r="K291" s="332">
        <f>IFERROR(VLOOKUP(TEXT(O291,"0"),CONDUCTORES!$A$3:$G$54,7,0),"")</f>
        <v/>
      </c>
      <c r="L291" s="334" t="n"/>
      <c r="M291" s="334" t="n"/>
      <c r="N291" s="333">
        <f>IFERROR(IF(L291*M291=0,"",L291*M291),"")</f>
        <v/>
      </c>
      <c r="O291" s="334" t="n"/>
      <c r="P291" s="332">
        <f>IFERROR(VLOOKUP(TEXT(O291,"0"),CONDUCTORES!$A$3:$G$54,2,0),"")</f>
        <v/>
      </c>
      <c r="Q291" s="332">
        <f>IFERROR(VLOOKUP(TEXT(O291,"0"),CONDUCTORES!$A$3:$H$54,6,0),"")</f>
        <v/>
      </c>
      <c r="R291" s="334" t="n"/>
      <c r="S291" s="334" t="n"/>
      <c r="T291" s="334" t="n"/>
      <c r="U291" s="334" t="n"/>
      <c r="V291" s="334" t="n"/>
      <c r="W291" s="334" t="n"/>
      <c r="X291" s="334" t="n"/>
      <c r="Y291" s="334" t="n"/>
    </row>
    <row r="292" ht="15" customHeight="1" s="195">
      <c r="A292" s="280" t="n"/>
      <c r="B292" s="280" t="n"/>
      <c r="C292" s="280" t="n"/>
      <c r="D292" s="280" t="n"/>
      <c r="E292" s="280" t="n"/>
      <c r="F292" s="280" t="n"/>
      <c r="G292" s="280" t="n"/>
      <c r="H292" s="280" t="n"/>
      <c r="I292" s="332">
        <f>IFERROR(VLOOKUP(TEXT(H292,"0"),IPRESS!$A$3:$B$212,2,0),"")</f>
        <v/>
      </c>
      <c r="J292" s="280" t="n"/>
      <c r="K292" s="332">
        <f>IFERROR(VLOOKUP(TEXT(O292,"0"),CONDUCTORES!$A$3:$G$54,7,0),"")</f>
        <v/>
      </c>
      <c r="L292" s="280" t="n"/>
      <c r="M292" s="280" t="n"/>
      <c r="N292" s="333">
        <f>IFERROR(IF(L292*M292=0,"",L292*M292),"")</f>
        <v/>
      </c>
      <c r="O292" s="280" t="n"/>
      <c r="P292" s="332">
        <f>IFERROR(VLOOKUP(TEXT(O292,"0"),CONDUCTORES!$A$3:$G$54,2,0),"")</f>
        <v/>
      </c>
      <c r="Q292" s="332">
        <f>IFERROR(VLOOKUP(TEXT(O292,"0"),CONDUCTORES!$A$3:$H$54,6,0),"")</f>
        <v/>
      </c>
      <c r="R292" s="280" t="n"/>
      <c r="S292" s="280" t="n"/>
      <c r="T292" s="280" t="n"/>
      <c r="U292" s="280" t="n"/>
      <c r="V292" s="280" t="n"/>
      <c r="W292" s="280" t="n"/>
      <c r="X292" s="280" t="n"/>
      <c r="Y292" s="280" t="n"/>
    </row>
    <row r="293" ht="15" customHeight="1" s="195">
      <c r="A293" s="334" t="n"/>
      <c r="B293" s="334" t="n"/>
      <c r="C293" s="334" t="n"/>
      <c r="D293" s="334" t="n"/>
      <c r="E293" s="334" t="n"/>
      <c r="F293" s="334" t="n"/>
      <c r="G293" s="334" t="n"/>
      <c r="H293" s="334" t="n"/>
      <c r="I293" s="332">
        <f>IFERROR(VLOOKUP(TEXT(H293,"0"),IPRESS!$A$3:$B$212,2,0),"")</f>
        <v/>
      </c>
      <c r="J293" s="334" t="n"/>
      <c r="K293" s="332">
        <f>IFERROR(VLOOKUP(TEXT(O293,"0"),CONDUCTORES!$A$3:$G$54,7,0),"")</f>
        <v/>
      </c>
      <c r="L293" s="334" t="n"/>
      <c r="M293" s="334" t="n"/>
      <c r="N293" s="333">
        <f>IFERROR(IF(L293*M293=0,"",L293*M293),"")</f>
        <v/>
      </c>
      <c r="O293" s="334" t="n"/>
      <c r="P293" s="332">
        <f>IFERROR(VLOOKUP(TEXT(O293,"0"),CONDUCTORES!$A$3:$G$54,2,0),"")</f>
        <v/>
      </c>
      <c r="Q293" s="332">
        <f>IFERROR(VLOOKUP(TEXT(O293,"0"),CONDUCTORES!$A$3:$H$54,6,0),"")</f>
        <v/>
      </c>
      <c r="R293" s="334" t="n"/>
      <c r="S293" s="334" t="n"/>
      <c r="T293" s="334" t="n"/>
      <c r="U293" s="334" t="n"/>
      <c r="V293" s="334" t="n"/>
      <c r="W293" s="334" t="n"/>
      <c r="X293" s="334" t="n"/>
      <c r="Y293" s="334" t="n"/>
    </row>
    <row r="294" ht="15" customHeight="1" s="195">
      <c r="A294" s="280" t="n"/>
      <c r="B294" s="280" t="n"/>
      <c r="C294" s="280" t="n"/>
      <c r="D294" s="280" t="n"/>
      <c r="E294" s="280" t="n"/>
      <c r="F294" s="280" t="n"/>
      <c r="G294" s="280" t="n"/>
      <c r="H294" s="280" t="n"/>
      <c r="I294" s="332">
        <f>IFERROR(VLOOKUP(TEXT(H294,"0"),IPRESS!$A$3:$B$212,2,0),"")</f>
        <v/>
      </c>
      <c r="J294" s="280" t="n"/>
      <c r="K294" s="332">
        <f>IFERROR(VLOOKUP(TEXT(O294,"0"),CONDUCTORES!$A$3:$G$54,7,0),"")</f>
        <v/>
      </c>
      <c r="L294" s="280" t="n"/>
      <c r="M294" s="280" t="n"/>
      <c r="N294" s="333">
        <f>IFERROR(IF(L294*M294=0,"",L294*M294),"")</f>
        <v/>
      </c>
      <c r="O294" s="280" t="n"/>
      <c r="P294" s="332">
        <f>IFERROR(VLOOKUP(TEXT(O294,"0"),CONDUCTORES!$A$3:$G$54,2,0),"")</f>
        <v/>
      </c>
      <c r="Q294" s="332">
        <f>IFERROR(VLOOKUP(TEXT(O294,"0"),CONDUCTORES!$A$3:$H$54,6,0),"")</f>
        <v/>
      </c>
      <c r="R294" s="280" t="n"/>
      <c r="S294" s="280" t="n"/>
      <c r="T294" s="280" t="n"/>
      <c r="U294" s="280" t="n"/>
      <c r="V294" s="280" t="n"/>
      <c r="W294" s="280" t="n"/>
      <c r="X294" s="280" t="n"/>
      <c r="Y294" s="280" t="n"/>
    </row>
    <row r="295" ht="15" customHeight="1" s="195">
      <c r="A295" s="334" t="n"/>
      <c r="B295" s="334" t="n"/>
      <c r="C295" s="334" t="n"/>
      <c r="D295" s="334" t="n"/>
      <c r="E295" s="334" t="n"/>
      <c r="F295" s="334" t="n"/>
      <c r="G295" s="334" t="n"/>
      <c r="H295" s="334" t="n"/>
      <c r="I295" s="332">
        <f>IFERROR(VLOOKUP(TEXT(H295,"0"),IPRESS!$A$3:$B$212,2,0),"")</f>
        <v/>
      </c>
      <c r="J295" s="334" t="n"/>
      <c r="K295" s="332">
        <f>IFERROR(VLOOKUP(TEXT(O295,"0"),CONDUCTORES!$A$3:$G$54,7,0),"")</f>
        <v/>
      </c>
      <c r="L295" s="334" t="n"/>
      <c r="M295" s="334" t="n"/>
      <c r="N295" s="333">
        <f>IFERROR(IF(L295*M295=0,"",L295*M295),"")</f>
        <v/>
      </c>
      <c r="O295" s="334" t="n"/>
      <c r="P295" s="332">
        <f>IFERROR(VLOOKUP(TEXT(O295,"0"),CONDUCTORES!$A$3:$G$54,2,0),"")</f>
        <v/>
      </c>
      <c r="Q295" s="332">
        <f>IFERROR(VLOOKUP(TEXT(O295,"0"),CONDUCTORES!$A$3:$H$54,6,0),"")</f>
        <v/>
      </c>
      <c r="R295" s="334" t="n"/>
      <c r="S295" s="334" t="n"/>
      <c r="T295" s="334" t="n"/>
      <c r="U295" s="334" t="n"/>
      <c r="V295" s="334" t="n"/>
      <c r="W295" s="334" t="n"/>
      <c r="X295" s="334" t="n"/>
      <c r="Y295" s="334" t="n"/>
    </row>
    <row r="296" ht="15" customHeight="1" s="195">
      <c r="A296" s="280" t="n"/>
      <c r="B296" s="280" t="n"/>
      <c r="C296" s="280" t="n"/>
      <c r="D296" s="280" t="n"/>
      <c r="E296" s="280" t="n"/>
      <c r="F296" s="280" t="n"/>
      <c r="G296" s="280" t="n"/>
      <c r="H296" s="280" t="n"/>
      <c r="I296" s="332">
        <f>IFERROR(VLOOKUP(TEXT(H296,"0"),IPRESS!$A$3:$B$212,2,0),"")</f>
        <v/>
      </c>
      <c r="J296" s="280" t="n"/>
      <c r="K296" s="332">
        <f>IFERROR(VLOOKUP(TEXT(O296,"0"),CONDUCTORES!$A$3:$G$54,7,0),"")</f>
        <v/>
      </c>
      <c r="L296" s="280" t="n"/>
      <c r="M296" s="280" t="n"/>
      <c r="N296" s="333">
        <f>IFERROR(IF(L296*M296=0,"",L296*M296),"")</f>
        <v/>
      </c>
      <c r="O296" s="280" t="n"/>
      <c r="P296" s="332">
        <f>IFERROR(VLOOKUP(TEXT(O296,"0"),CONDUCTORES!$A$3:$G$54,2,0),"")</f>
        <v/>
      </c>
      <c r="Q296" s="332">
        <f>IFERROR(VLOOKUP(TEXT(O296,"0"),CONDUCTORES!$A$3:$H$54,6,0),"")</f>
        <v/>
      </c>
      <c r="R296" s="280" t="n"/>
      <c r="S296" s="280" t="n"/>
      <c r="T296" s="280" t="n"/>
      <c r="U296" s="280" t="n"/>
      <c r="V296" s="280" t="n"/>
      <c r="W296" s="280" t="n"/>
      <c r="X296" s="280" t="n"/>
      <c r="Y296" s="280" t="n"/>
    </row>
    <row r="297" ht="15" customHeight="1" s="195">
      <c r="A297" s="334" t="n"/>
      <c r="B297" s="334" t="n"/>
      <c r="C297" s="334" t="n"/>
      <c r="D297" s="334" t="n"/>
      <c r="E297" s="334" t="n"/>
      <c r="F297" s="334" t="n"/>
      <c r="G297" s="334" t="n"/>
      <c r="H297" s="334" t="n"/>
      <c r="I297" s="332">
        <f>IFERROR(VLOOKUP(TEXT(H297,"0"),IPRESS!$A$3:$B$212,2,0),"")</f>
        <v/>
      </c>
      <c r="J297" s="334" t="n"/>
      <c r="K297" s="332">
        <f>IFERROR(VLOOKUP(TEXT(O297,"0"),CONDUCTORES!$A$3:$G$54,7,0),"")</f>
        <v/>
      </c>
      <c r="L297" s="334" t="n"/>
      <c r="M297" s="334" t="n"/>
      <c r="N297" s="333">
        <f>IFERROR(IF(L297*M297=0,"",L297*M297),"")</f>
        <v/>
      </c>
      <c r="O297" s="334" t="n"/>
      <c r="P297" s="332">
        <f>IFERROR(VLOOKUP(TEXT(O297,"0"),CONDUCTORES!$A$3:$G$54,2,0),"")</f>
        <v/>
      </c>
      <c r="Q297" s="332">
        <f>IFERROR(VLOOKUP(TEXT(O297,"0"),CONDUCTORES!$A$3:$H$54,6,0),"")</f>
        <v/>
      </c>
      <c r="R297" s="334" t="n"/>
      <c r="S297" s="334" t="n"/>
      <c r="T297" s="334" t="n"/>
      <c r="U297" s="334" t="n"/>
      <c r="V297" s="334" t="n"/>
      <c r="W297" s="334" t="n"/>
      <c r="X297" s="334" t="n"/>
      <c r="Y297" s="334" t="n"/>
    </row>
    <row r="298" ht="15" customHeight="1" s="195">
      <c r="A298" s="280" t="n"/>
      <c r="B298" s="280" t="n"/>
      <c r="C298" s="280" t="n"/>
      <c r="D298" s="280" t="n"/>
      <c r="E298" s="280" t="n"/>
      <c r="F298" s="280" t="n"/>
      <c r="G298" s="280" t="n"/>
      <c r="H298" s="280" t="n"/>
      <c r="I298" s="332">
        <f>IFERROR(VLOOKUP(TEXT(H298,"0"),IPRESS!$A$3:$B$212,2,0),"")</f>
        <v/>
      </c>
      <c r="J298" s="280" t="n"/>
      <c r="K298" s="332">
        <f>IFERROR(VLOOKUP(TEXT(O298,"0"),CONDUCTORES!$A$3:$G$54,7,0),"")</f>
        <v/>
      </c>
      <c r="L298" s="280" t="n"/>
      <c r="M298" s="280" t="n"/>
      <c r="N298" s="333">
        <f>IFERROR(IF(L298*M298=0,"",L298*M298),"")</f>
        <v/>
      </c>
      <c r="O298" s="280" t="n"/>
      <c r="P298" s="332">
        <f>IFERROR(VLOOKUP(TEXT(O298,"0"),CONDUCTORES!$A$3:$G$54,2,0),"")</f>
        <v/>
      </c>
      <c r="Q298" s="332">
        <f>IFERROR(VLOOKUP(TEXT(O298,"0"),CONDUCTORES!$A$3:$H$54,6,0),"")</f>
        <v/>
      </c>
      <c r="R298" s="280" t="n"/>
      <c r="S298" s="280" t="n"/>
      <c r="T298" s="280" t="n"/>
      <c r="U298" s="280" t="n"/>
      <c r="V298" s="280" t="n"/>
      <c r="W298" s="280" t="n"/>
      <c r="X298" s="280" t="n"/>
      <c r="Y298" s="280" t="n"/>
    </row>
    <row r="299" ht="15" customHeight="1" s="195">
      <c r="A299" s="334" t="n"/>
      <c r="B299" s="334" t="n"/>
      <c r="C299" s="334" t="n"/>
      <c r="D299" s="334" t="n"/>
      <c r="E299" s="334" t="n"/>
      <c r="F299" s="334" t="n"/>
      <c r="G299" s="334" t="n"/>
      <c r="H299" s="334" t="n"/>
      <c r="I299" s="332">
        <f>IFERROR(VLOOKUP(TEXT(H299,"0"),IPRESS!$A$3:$B$212,2,0),"")</f>
        <v/>
      </c>
      <c r="J299" s="334" t="n"/>
      <c r="K299" s="332">
        <f>IFERROR(VLOOKUP(TEXT(O299,"0"),CONDUCTORES!$A$3:$G$54,7,0),"")</f>
        <v/>
      </c>
      <c r="L299" s="334" t="n"/>
      <c r="M299" s="334" t="n"/>
      <c r="N299" s="333">
        <f>IFERROR(IF(L299*M299=0,"",L299*M299),"")</f>
        <v/>
      </c>
      <c r="O299" s="334" t="n"/>
      <c r="P299" s="332">
        <f>IFERROR(VLOOKUP(TEXT(O299,"0"),CONDUCTORES!$A$3:$G$54,2,0),"")</f>
        <v/>
      </c>
      <c r="Q299" s="332">
        <f>IFERROR(VLOOKUP(TEXT(O299,"0"),CONDUCTORES!$A$3:$H$54,6,0),"")</f>
        <v/>
      </c>
      <c r="R299" s="334" t="n"/>
      <c r="S299" s="334" t="n"/>
      <c r="T299" s="334" t="n"/>
      <c r="U299" s="334" t="n"/>
      <c r="V299" s="334" t="n"/>
      <c r="W299" s="334" t="n"/>
      <c r="X299" s="334" t="n"/>
      <c r="Y299" s="334" t="n"/>
    </row>
    <row r="300" ht="15" customHeight="1" s="195">
      <c r="A300" s="280" t="n"/>
      <c r="B300" s="280" t="n"/>
      <c r="C300" s="280" t="n"/>
      <c r="D300" s="280" t="n"/>
      <c r="E300" s="280" t="n"/>
      <c r="F300" s="280" t="n"/>
      <c r="G300" s="280" t="n"/>
      <c r="H300" s="280" t="n"/>
      <c r="I300" s="332">
        <f>IFERROR(VLOOKUP(TEXT(H300,"0"),IPRESS!$A$3:$B$212,2,0),"")</f>
        <v/>
      </c>
      <c r="J300" s="280" t="n"/>
      <c r="K300" s="332">
        <f>IFERROR(VLOOKUP(TEXT(O300,"0"),CONDUCTORES!$A$3:$G$54,7,0),"")</f>
        <v/>
      </c>
      <c r="L300" s="280" t="n"/>
      <c r="M300" s="280" t="n"/>
      <c r="N300" s="333">
        <f>IFERROR(IF(L300*M300=0,"",L300*M300),"")</f>
        <v/>
      </c>
      <c r="O300" s="280" t="n"/>
      <c r="P300" s="332">
        <f>IFERROR(VLOOKUP(TEXT(O300,"0"),CONDUCTORES!$A$3:$G$54,2,0),"")</f>
        <v/>
      </c>
      <c r="Q300" s="332">
        <f>IFERROR(VLOOKUP(TEXT(O300,"0"),CONDUCTORES!$A$3:$H$54,6,0),"")</f>
        <v/>
      </c>
      <c r="R300" s="280" t="n"/>
      <c r="S300" s="280" t="n"/>
      <c r="T300" s="280" t="n"/>
      <c r="U300" s="280" t="n"/>
      <c r="V300" s="280" t="n"/>
      <c r="W300" s="280" t="n"/>
      <c r="X300" s="280" t="n"/>
      <c r="Y300" s="280" t="n"/>
    </row>
    <row r="301" ht="15" customHeight="1" s="195">
      <c r="A301" s="334" t="n"/>
      <c r="B301" s="334" t="n"/>
      <c r="C301" s="334" t="n"/>
      <c r="D301" s="334" t="n"/>
      <c r="E301" s="334" t="n"/>
      <c r="F301" s="334" t="n"/>
      <c r="G301" s="334" t="n"/>
      <c r="H301" s="334" t="n"/>
      <c r="I301" s="332">
        <f>IFERROR(VLOOKUP(TEXT(H301,"0"),IPRESS!$A$3:$B$212,2,0),"")</f>
        <v/>
      </c>
      <c r="J301" s="334" t="n"/>
      <c r="K301" s="332">
        <f>IFERROR(VLOOKUP(TEXT(O301,"0"),CONDUCTORES!$A$3:$G$54,7,0),"")</f>
        <v/>
      </c>
      <c r="L301" s="334" t="n"/>
      <c r="M301" s="334" t="n"/>
      <c r="N301" s="333">
        <f>IFERROR(IF(L301*M301=0,"",L301*M301),"")</f>
        <v/>
      </c>
      <c r="O301" s="334" t="n"/>
      <c r="P301" s="332">
        <f>IFERROR(VLOOKUP(TEXT(O301,"0"),CONDUCTORES!$A$3:$G$54,2,0),"")</f>
        <v/>
      </c>
      <c r="Q301" s="332">
        <f>IFERROR(VLOOKUP(TEXT(O301,"0"),CONDUCTORES!$A$3:$H$54,6,0),"")</f>
        <v/>
      </c>
      <c r="R301" s="334" t="n"/>
      <c r="S301" s="334" t="n"/>
      <c r="T301" s="334" t="n"/>
      <c r="U301" s="334" t="n"/>
      <c r="V301" s="334" t="n"/>
      <c r="W301" s="334" t="n"/>
      <c r="X301" s="334" t="n"/>
      <c r="Y301" s="334" t="n"/>
    </row>
    <row r="302" ht="15" customHeight="1" s="195">
      <c r="A302" s="280" t="n"/>
      <c r="B302" s="280" t="n"/>
      <c r="C302" s="280" t="n"/>
      <c r="D302" s="280" t="n"/>
      <c r="E302" s="280" t="n"/>
      <c r="F302" s="280" t="n"/>
      <c r="G302" s="280" t="n"/>
      <c r="H302" s="280" t="n"/>
      <c r="I302" s="332">
        <f>IFERROR(VLOOKUP(TEXT(H302,"0"),IPRESS!$A$3:$B$212,2,0),"")</f>
        <v/>
      </c>
      <c r="J302" s="280" t="n"/>
      <c r="K302" s="332">
        <f>IFERROR(VLOOKUP(TEXT(O302,"0"),CONDUCTORES!$A$3:$G$54,7,0),"")</f>
        <v/>
      </c>
      <c r="L302" s="280" t="n"/>
      <c r="M302" s="280" t="n"/>
      <c r="N302" s="333">
        <f>IFERROR(IF(L302*M302=0,"",L302*M302),"")</f>
        <v/>
      </c>
      <c r="O302" s="280" t="n"/>
      <c r="P302" s="332">
        <f>IFERROR(VLOOKUP(TEXT(O302,"0"),CONDUCTORES!$A$3:$G$54,2,0),"")</f>
        <v/>
      </c>
      <c r="Q302" s="332">
        <f>IFERROR(VLOOKUP(TEXT(O302,"0"),CONDUCTORES!$A$3:$H$54,6,0),"")</f>
        <v/>
      </c>
      <c r="R302" s="280" t="n"/>
      <c r="S302" s="280" t="n"/>
      <c r="T302" s="280" t="n"/>
      <c r="U302" s="280" t="n"/>
      <c r="V302" s="280" t="n"/>
      <c r="W302" s="280" t="n"/>
      <c r="X302" s="280" t="n"/>
      <c r="Y302" s="280" t="n"/>
    </row>
    <row r="303" ht="15" customHeight="1" s="195">
      <c r="A303" s="334" t="n"/>
      <c r="B303" s="334" t="n"/>
      <c r="C303" s="334" t="n"/>
      <c r="D303" s="334" t="n"/>
      <c r="E303" s="334" t="n"/>
      <c r="F303" s="334" t="n"/>
      <c r="G303" s="334" t="n"/>
      <c r="H303" s="334" t="n"/>
      <c r="I303" s="332">
        <f>IFERROR(VLOOKUP(TEXT(H303,"0"),IPRESS!$A$3:$B$212,2,0),"")</f>
        <v/>
      </c>
      <c r="J303" s="334" t="n"/>
      <c r="K303" s="332">
        <f>IFERROR(VLOOKUP(TEXT(O303,"0"),CONDUCTORES!$A$3:$G$54,7,0),"")</f>
        <v/>
      </c>
      <c r="L303" s="334" t="n"/>
      <c r="M303" s="334" t="n"/>
      <c r="N303" s="333">
        <f>IFERROR(IF(L303*M303=0,"",L303*M303),"")</f>
        <v/>
      </c>
      <c r="O303" s="334" t="n"/>
      <c r="P303" s="332">
        <f>IFERROR(VLOOKUP(TEXT(O303,"0"),CONDUCTORES!$A$3:$G$54,2,0),"")</f>
        <v/>
      </c>
      <c r="Q303" s="332">
        <f>IFERROR(VLOOKUP(TEXT(O303,"0"),CONDUCTORES!$A$3:$H$54,6,0),"")</f>
        <v/>
      </c>
      <c r="R303" s="334" t="n"/>
      <c r="S303" s="334" t="n"/>
      <c r="T303" s="334" t="n"/>
      <c r="U303" s="334" t="n"/>
      <c r="V303" s="334" t="n"/>
      <c r="W303" s="334" t="n"/>
      <c r="X303" s="334" t="n"/>
      <c r="Y303" s="334" t="n"/>
    </row>
    <row r="304" ht="15" customHeight="1" s="195">
      <c r="A304" s="280" t="n"/>
      <c r="B304" s="280" t="n"/>
      <c r="C304" s="280" t="n"/>
      <c r="D304" s="280" t="n"/>
      <c r="E304" s="280" t="n"/>
      <c r="F304" s="280" t="n"/>
      <c r="G304" s="280" t="n"/>
      <c r="H304" s="280" t="n"/>
      <c r="I304" s="332">
        <f>IFERROR(VLOOKUP(TEXT(H304,"0"),IPRESS!$A$3:$B$212,2,0),"")</f>
        <v/>
      </c>
      <c r="J304" s="280" t="n"/>
      <c r="K304" s="332">
        <f>IFERROR(VLOOKUP(TEXT(O304,"0"),CONDUCTORES!$A$3:$G$54,7,0),"")</f>
        <v/>
      </c>
      <c r="L304" s="280" t="n"/>
      <c r="M304" s="280" t="n"/>
      <c r="N304" s="333">
        <f>IFERROR(IF(L304*M304=0,"",L304*M304),"")</f>
        <v/>
      </c>
      <c r="O304" s="280" t="n"/>
      <c r="P304" s="332">
        <f>IFERROR(VLOOKUP(TEXT(O304,"0"),CONDUCTORES!$A$3:$G$54,2,0),"")</f>
        <v/>
      </c>
      <c r="Q304" s="332">
        <f>IFERROR(VLOOKUP(TEXT(O304,"0"),CONDUCTORES!$A$3:$H$54,6,0),"")</f>
        <v/>
      </c>
      <c r="R304" s="280" t="n"/>
      <c r="S304" s="280" t="n"/>
      <c r="T304" s="280" t="n"/>
      <c r="U304" s="280" t="n"/>
      <c r="V304" s="280" t="n"/>
      <c r="W304" s="280" t="n"/>
      <c r="X304" s="280" t="n"/>
      <c r="Y304" s="280" t="n"/>
    </row>
    <row r="305" ht="15" customHeight="1" s="195">
      <c r="A305" s="334" t="n"/>
      <c r="B305" s="334" t="n"/>
      <c r="C305" s="334" t="n"/>
      <c r="D305" s="334" t="n"/>
      <c r="E305" s="334" t="n"/>
      <c r="F305" s="334" t="n"/>
      <c r="G305" s="334" t="n"/>
      <c r="H305" s="334" t="n"/>
      <c r="I305" s="332">
        <f>IFERROR(VLOOKUP(TEXT(H305,"0"),IPRESS!$A$3:$B$212,2,0),"")</f>
        <v/>
      </c>
      <c r="J305" s="334" t="n"/>
      <c r="K305" s="332">
        <f>IFERROR(VLOOKUP(TEXT(O305,"0"),CONDUCTORES!$A$3:$G$54,7,0),"")</f>
        <v/>
      </c>
      <c r="L305" s="334" t="n"/>
      <c r="M305" s="334" t="n"/>
      <c r="N305" s="333">
        <f>IFERROR(IF(L305*M305=0,"",L305*M305),"")</f>
        <v/>
      </c>
      <c r="O305" s="334" t="n"/>
      <c r="P305" s="332">
        <f>IFERROR(VLOOKUP(TEXT(O305,"0"),CONDUCTORES!$A$3:$G$54,2,0),"")</f>
        <v/>
      </c>
      <c r="Q305" s="332">
        <f>IFERROR(VLOOKUP(TEXT(O305,"0"),CONDUCTORES!$A$3:$H$54,6,0),"")</f>
        <v/>
      </c>
      <c r="R305" s="334" t="n"/>
      <c r="S305" s="334" t="n"/>
      <c r="T305" s="334" t="n"/>
      <c r="U305" s="334" t="n"/>
      <c r="V305" s="334" t="n"/>
      <c r="W305" s="334" t="n"/>
      <c r="X305" s="334" t="n"/>
      <c r="Y305" s="334" t="n"/>
    </row>
    <row r="306" ht="15" customHeight="1" s="195">
      <c r="A306" s="280" t="n"/>
      <c r="B306" s="280" t="n"/>
      <c r="C306" s="280" t="n"/>
      <c r="D306" s="280" t="n"/>
      <c r="E306" s="280" t="n"/>
      <c r="F306" s="280" t="n"/>
      <c r="G306" s="280" t="n"/>
      <c r="H306" s="280" t="n"/>
      <c r="I306" s="332">
        <f>IFERROR(VLOOKUP(TEXT(H306,"0"),IPRESS!$A$3:$B$212,2,0),"")</f>
        <v/>
      </c>
      <c r="J306" s="280" t="n"/>
      <c r="K306" s="332">
        <f>IFERROR(VLOOKUP(TEXT(O306,"0"),CONDUCTORES!$A$3:$G$54,7,0),"")</f>
        <v/>
      </c>
      <c r="L306" s="280" t="n"/>
      <c r="M306" s="280" t="n"/>
      <c r="N306" s="333">
        <f>IFERROR(IF(L306*M306=0,"",L306*M306),"")</f>
        <v/>
      </c>
      <c r="O306" s="280" t="n"/>
      <c r="P306" s="332">
        <f>IFERROR(VLOOKUP(TEXT(O306,"0"),CONDUCTORES!$A$3:$G$54,2,0),"")</f>
        <v/>
      </c>
      <c r="Q306" s="332">
        <f>IFERROR(VLOOKUP(TEXT(O306,"0"),CONDUCTORES!$A$3:$H$54,6,0),"")</f>
        <v/>
      </c>
      <c r="R306" s="280" t="n"/>
      <c r="S306" s="280" t="n"/>
      <c r="T306" s="280" t="n"/>
      <c r="U306" s="280" t="n"/>
      <c r="V306" s="280" t="n"/>
      <c r="W306" s="280" t="n"/>
      <c r="X306" s="280" t="n"/>
      <c r="Y306" s="280" t="n"/>
    </row>
    <row r="307" ht="15" customHeight="1" s="195">
      <c r="A307" s="334" t="n"/>
      <c r="B307" s="334" t="n"/>
      <c r="C307" s="334" t="n"/>
      <c r="D307" s="334" t="n"/>
      <c r="E307" s="334" t="n"/>
      <c r="F307" s="334" t="n"/>
      <c r="G307" s="334" t="n"/>
      <c r="H307" s="334" t="n"/>
      <c r="I307" s="332">
        <f>IFERROR(VLOOKUP(TEXT(H307,"0"),IPRESS!$A$3:$B$212,2,0),"")</f>
        <v/>
      </c>
      <c r="J307" s="334" t="n"/>
      <c r="K307" s="332">
        <f>IFERROR(VLOOKUP(TEXT(O307,"0"),CONDUCTORES!$A$3:$G$54,7,0),"")</f>
        <v/>
      </c>
      <c r="L307" s="334" t="n"/>
      <c r="M307" s="334" t="n"/>
      <c r="N307" s="333">
        <f>IFERROR(IF(L307*M307=0,"",L307*M307),"")</f>
        <v/>
      </c>
      <c r="O307" s="334" t="n"/>
      <c r="P307" s="332">
        <f>IFERROR(VLOOKUP(TEXT(O307,"0"),CONDUCTORES!$A$3:$G$54,2,0),"")</f>
        <v/>
      </c>
      <c r="Q307" s="332">
        <f>IFERROR(VLOOKUP(TEXT(O307,"0"),CONDUCTORES!$A$3:$H$54,6,0),"")</f>
        <v/>
      </c>
      <c r="R307" s="334" t="n"/>
      <c r="S307" s="334" t="n"/>
      <c r="T307" s="334" t="n"/>
      <c r="U307" s="334" t="n"/>
      <c r="V307" s="334" t="n"/>
      <c r="W307" s="334" t="n"/>
      <c r="X307" s="334" t="n"/>
      <c r="Y307" s="334" t="n"/>
    </row>
    <row r="308" ht="15" customHeight="1" s="195">
      <c r="A308" s="280" t="n"/>
      <c r="B308" s="280" t="n"/>
      <c r="C308" s="280" t="n"/>
      <c r="D308" s="280" t="n"/>
      <c r="E308" s="280" t="n"/>
      <c r="F308" s="280" t="n"/>
      <c r="G308" s="280" t="n"/>
      <c r="H308" s="280" t="n"/>
      <c r="I308" s="332">
        <f>IFERROR(VLOOKUP(TEXT(H308,"0"),IPRESS!$A$3:$B$212,2,0),"")</f>
        <v/>
      </c>
      <c r="J308" s="280" t="n"/>
      <c r="K308" s="332">
        <f>IFERROR(VLOOKUP(TEXT(O308,"0"),CONDUCTORES!$A$3:$G$54,7,0),"")</f>
        <v/>
      </c>
      <c r="L308" s="280" t="n"/>
      <c r="M308" s="280" t="n"/>
      <c r="N308" s="333">
        <f>IFERROR(IF(L308*M308=0,"",L308*M308),"")</f>
        <v/>
      </c>
      <c r="O308" s="280" t="n"/>
      <c r="P308" s="332">
        <f>IFERROR(VLOOKUP(TEXT(O308,"0"),CONDUCTORES!$A$3:$G$54,2,0),"")</f>
        <v/>
      </c>
      <c r="Q308" s="332">
        <f>IFERROR(VLOOKUP(TEXT(O308,"0"),CONDUCTORES!$A$3:$H$54,6,0),"")</f>
        <v/>
      </c>
      <c r="R308" s="280" t="n"/>
      <c r="S308" s="280" t="n"/>
      <c r="T308" s="280" t="n"/>
      <c r="U308" s="280" t="n"/>
      <c r="V308" s="280" t="n"/>
      <c r="W308" s="280" t="n"/>
      <c r="X308" s="280" t="n"/>
      <c r="Y308" s="280" t="n"/>
    </row>
    <row r="309" ht="15" customHeight="1" s="195">
      <c r="A309" s="334" t="n"/>
      <c r="B309" s="334" t="n"/>
      <c r="C309" s="334" t="n"/>
      <c r="D309" s="334" t="n"/>
      <c r="E309" s="334" t="n"/>
      <c r="F309" s="334" t="n"/>
      <c r="G309" s="334" t="n"/>
      <c r="H309" s="334" t="n"/>
      <c r="I309" s="332">
        <f>IFERROR(VLOOKUP(TEXT(H309,"0"),IPRESS!$A$3:$B$212,2,0),"")</f>
        <v/>
      </c>
      <c r="J309" s="334" t="n"/>
      <c r="K309" s="332">
        <f>IFERROR(VLOOKUP(TEXT(O309,"0"),CONDUCTORES!$A$3:$G$54,7,0),"")</f>
        <v/>
      </c>
      <c r="L309" s="334" t="n"/>
      <c r="M309" s="334" t="n"/>
      <c r="N309" s="333">
        <f>IFERROR(IF(L309*M309=0,"",L309*M309),"")</f>
        <v/>
      </c>
      <c r="O309" s="334" t="n"/>
      <c r="P309" s="332">
        <f>IFERROR(VLOOKUP(TEXT(O309,"0"),CONDUCTORES!$A$3:$G$54,2,0),"")</f>
        <v/>
      </c>
      <c r="Q309" s="332">
        <f>IFERROR(VLOOKUP(TEXT(O309,"0"),CONDUCTORES!$A$3:$H$54,6,0),"")</f>
        <v/>
      </c>
      <c r="R309" s="334" t="n"/>
      <c r="S309" s="334" t="n"/>
      <c r="T309" s="334" t="n"/>
      <c r="U309" s="334" t="n"/>
      <c r="V309" s="334" t="n"/>
      <c r="W309" s="334" t="n"/>
      <c r="X309" s="334" t="n"/>
      <c r="Y309" s="334" t="n"/>
    </row>
    <row r="310" ht="15" customHeight="1" s="195">
      <c r="A310" s="280" t="n"/>
      <c r="B310" s="280" t="n"/>
      <c r="C310" s="280" t="n"/>
      <c r="D310" s="280" t="n"/>
      <c r="E310" s="280" t="n"/>
      <c r="F310" s="280" t="n"/>
      <c r="G310" s="280" t="n"/>
      <c r="H310" s="280" t="n"/>
      <c r="I310" s="332">
        <f>IFERROR(VLOOKUP(TEXT(H310,"0"),IPRESS!$A$3:$B$212,2,0),"")</f>
        <v/>
      </c>
      <c r="J310" s="280" t="n"/>
      <c r="K310" s="332">
        <f>IFERROR(VLOOKUP(TEXT(O310,"0"),CONDUCTORES!$A$3:$G$54,7,0),"")</f>
        <v/>
      </c>
      <c r="L310" s="280" t="n"/>
      <c r="M310" s="280" t="n"/>
      <c r="N310" s="333">
        <f>IFERROR(IF(L310*M310=0,"",L310*M310),"")</f>
        <v/>
      </c>
      <c r="O310" s="280" t="n"/>
      <c r="P310" s="332">
        <f>IFERROR(VLOOKUP(TEXT(O310,"0"),CONDUCTORES!$A$3:$G$54,2,0),"")</f>
        <v/>
      </c>
      <c r="Q310" s="332">
        <f>IFERROR(VLOOKUP(TEXT(O310,"0"),CONDUCTORES!$A$3:$H$54,6,0),"")</f>
        <v/>
      </c>
      <c r="R310" s="280" t="n"/>
      <c r="S310" s="280" t="n"/>
      <c r="T310" s="280" t="n"/>
      <c r="U310" s="280" t="n"/>
      <c r="V310" s="280" t="n"/>
      <c r="W310" s="280" t="n"/>
      <c r="X310" s="280" t="n"/>
      <c r="Y310" s="280" t="n"/>
    </row>
    <row r="311" ht="15" customHeight="1" s="195">
      <c r="A311" s="334" t="n"/>
      <c r="B311" s="334" t="n"/>
      <c r="C311" s="334" t="n"/>
      <c r="D311" s="334" t="n"/>
      <c r="E311" s="334" t="n"/>
      <c r="F311" s="334" t="n"/>
      <c r="G311" s="334" t="n"/>
      <c r="H311" s="334" t="n"/>
      <c r="I311" s="332">
        <f>IFERROR(VLOOKUP(TEXT(H311,"0"),IPRESS!$A$3:$B$212,2,0),"")</f>
        <v/>
      </c>
      <c r="J311" s="334" t="n"/>
      <c r="K311" s="332">
        <f>IFERROR(VLOOKUP(TEXT(O311,"0"),CONDUCTORES!$A$3:$G$54,7,0),"")</f>
        <v/>
      </c>
      <c r="L311" s="334" t="n"/>
      <c r="M311" s="334" t="n"/>
      <c r="N311" s="333">
        <f>IFERROR(IF(L311*M311=0,"",L311*M311),"")</f>
        <v/>
      </c>
      <c r="O311" s="334" t="n"/>
      <c r="P311" s="332">
        <f>IFERROR(VLOOKUP(TEXT(O311,"0"),CONDUCTORES!$A$3:$G$54,2,0),"")</f>
        <v/>
      </c>
      <c r="Q311" s="332">
        <f>IFERROR(VLOOKUP(TEXT(O311,"0"),CONDUCTORES!$A$3:$H$54,6,0),"")</f>
        <v/>
      </c>
      <c r="R311" s="334" t="n"/>
      <c r="S311" s="334" t="n"/>
      <c r="T311" s="334" t="n"/>
      <c r="U311" s="334" t="n"/>
      <c r="V311" s="334" t="n"/>
      <c r="W311" s="334" t="n"/>
      <c r="X311" s="334" t="n"/>
      <c r="Y311" s="334" t="n"/>
    </row>
    <row r="312" ht="15" customHeight="1" s="195">
      <c r="A312" s="280" t="n"/>
      <c r="B312" s="280" t="n"/>
      <c r="C312" s="280" t="n"/>
      <c r="D312" s="280" t="n"/>
      <c r="E312" s="280" t="n"/>
      <c r="F312" s="280" t="n"/>
      <c r="G312" s="280" t="n"/>
      <c r="H312" s="280" t="n"/>
      <c r="I312" s="332">
        <f>IFERROR(VLOOKUP(TEXT(H312,"0"),IPRESS!$A$3:$B$212,2,0),"")</f>
        <v/>
      </c>
      <c r="J312" s="280" t="n"/>
      <c r="K312" s="332">
        <f>IFERROR(VLOOKUP(TEXT(O312,"0"),CONDUCTORES!$A$3:$G$54,7,0),"")</f>
        <v/>
      </c>
      <c r="L312" s="280" t="n"/>
      <c r="M312" s="280" t="n"/>
      <c r="N312" s="333">
        <f>IFERROR(IF(L312*M312=0,"",L312*M312),"")</f>
        <v/>
      </c>
      <c r="O312" s="280" t="n"/>
      <c r="P312" s="332">
        <f>IFERROR(VLOOKUP(TEXT(O312,"0"),CONDUCTORES!$A$3:$G$54,2,0),"")</f>
        <v/>
      </c>
      <c r="Q312" s="332">
        <f>IFERROR(VLOOKUP(TEXT(O312,"0"),CONDUCTORES!$A$3:$H$54,6,0),"")</f>
        <v/>
      </c>
      <c r="R312" s="280" t="n"/>
      <c r="S312" s="280" t="n"/>
      <c r="T312" s="280" t="n"/>
      <c r="U312" s="280" t="n"/>
      <c r="V312" s="280" t="n"/>
      <c r="W312" s="280" t="n"/>
      <c r="X312" s="280" t="n"/>
      <c r="Y312" s="280" t="n"/>
    </row>
    <row r="313" ht="15" customHeight="1" s="195">
      <c r="A313" s="334" t="n"/>
      <c r="B313" s="334" t="n"/>
      <c r="C313" s="334" t="n"/>
      <c r="D313" s="334" t="n"/>
      <c r="E313" s="334" t="n"/>
      <c r="F313" s="334" t="n"/>
      <c r="G313" s="334" t="n"/>
      <c r="H313" s="334" t="n"/>
      <c r="I313" s="332">
        <f>IFERROR(VLOOKUP(TEXT(H313,"0"),IPRESS!$A$3:$B$212,2,0),"")</f>
        <v/>
      </c>
      <c r="J313" s="334" t="n"/>
      <c r="K313" s="332">
        <f>IFERROR(VLOOKUP(TEXT(O313,"0"),CONDUCTORES!$A$3:$G$54,7,0),"")</f>
        <v/>
      </c>
      <c r="L313" s="334" t="n"/>
      <c r="M313" s="334" t="n"/>
      <c r="N313" s="333">
        <f>IFERROR(IF(L313*M313=0,"",L313*M313),"")</f>
        <v/>
      </c>
      <c r="O313" s="334" t="n"/>
      <c r="P313" s="332">
        <f>IFERROR(VLOOKUP(TEXT(O313,"0"),CONDUCTORES!$A$3:$G$54,2,0),"")</f>
        <v/>
      </c>
      <c r="Q313" s="332">
        <f>IFERROR(VLOOKUP(TEXT(O313,"0"),CONDUCTORES!$A$3:$H$54,6,0),"")</f>
        <v/>
      </c>
      <c r="R313" s="334" t="n"/>
      <c r="S313" s="334" t="n"/>
      <c r="T313" s="334" t="n"/>
      <c r="U313" s="334" t="n"/>
      <c r="V313" s="334" t="n"/>
      <c r="W313" s="334" t="n"/>
      <c r="X313" s="334" t="n"/>
      <c r="Y313" s="334" t="n"/>
    </row>
    <row r="314" ht="15" customHeight="1" s="195">
      <c r="A314" s="280" t="n"/>
      <c r="B314" s="280" t="n"/>
      <c r="C314" s="280" t="n"/>
      <c r="D314" s="280" t="n"/>
      <c r="E314" s="280" t="n"/>
      <c r="F314" s="280" t="n"/>
      <c r="G314" s="280" t="n"/>
      <c r="H314" s="280" t="n"/>
      <c r="I314" s="332">
        <f>IFERROR(VLOOKUP(TEXT(H314,"0"),IPRESS!$A$3:$B$212,2,0),"")</f>
        <v/>
      </c>
      <c r="J314" s="280" t="n"/>
      <c r="K314" s="332">
        <f>IFERROR(VLOOKUP(TEXT(O314,"0"),CONDUCTORES!$A$3:$G$54,7,0),"")</f>
        <v/>
      </c>
      <c r="L314" s="280" t="n"/>
      <c r="M314" s="280" t="n"/>
      <c r="N314" s="333">
        <f>IFERROR(IF(L314*M314=0,"",L314*M314),"")</f>
        <v/>
      </c>
      <c r="O314" s="280" t="n"/>
      <c r="P314" s="332">
        <f>IFERROR(VLOOKUP(TEXT(O314,"0"),CONDUCTORES!$A$3:$G$54,2,0),"")</f>
        <v/>
      </c>
      <c r="Q314" s="332">
        <f>IFERROR(VLOOKUP(TEXT(O314,"0"),CONDUCTORES!$A$3:$H$54,6,0),"")</f>
        <v/>
      </c>
      <c r="R314" s="280" t="n"/>
      <c r="S314" s="280" t="n"/>
      <c r="T314" s="280" t="n"/>
      <c r="U314" s="280" t="n"/>
      <c r="V314" s="280" t="n"/>
      <c r="W314" s="280" t="n"/>
      <c r="X314" s="280" t="n"/>
      <c r="Y314" s="280" t="n"/>
    </row>
    <row r="315" ht="15" customHeight="1" s="195">
      <c r="A315" s="334" t="n"/>
      <c r="B315" s="334" t="n"/>
      <c r="C315" s="334" t="n"/>
      <c r="D315" s="334" t="n"/>
      <c r="E315" s="334" t="n"/>
      <c r="F315" s="334" t="n"/>
      <c r="G315" s="334" t="n"/>
      <c r="H315" s="334" t="n"/>
      <c r="I315" s="332">
        <f>IFERROR(VLOOKUP(TEXT(H315,"0"),IPRESS!$A$3:$B$212,2,0),"")</f>
        <v/>
      </c>
      <c r="J315" s="334" t="n"/>
      <c r="K315" s="332">
        <f>IFERROR(VLOOKUP(TEXT(O315,"0"),CONDUCTORES!$A$3:$G$54,7,0),"")</f>
        <v/>
      </c>
      <c r="L315" s="334" t="n"/>
      <c r="M315" s="334" t="n"/>
      <c r="N315" s="333">
        <f>IFERROR(IF(L315*M315=0,"",L315*M315),"")</f>
        <v/>
      </c>
      <c r="O315" s="334" t="n"/>
      <c r="P315" s="332">
        <f>IFERROR(VLOOKUP(TEXT(O315,"0"),CONDUCTORES!$A$3:$G$54,2,0),"")</f>
        <v/>
      </c>
      <c r="Q315" s="332">
        <f>IFERROR(VLOOKUP(TEXT(O315,"0"),CONDUCTORES!$A$3:$H$54,6,0),"")</f>
        <v/>
      </c>
      <c r="R315" s="334" t="n"/>
      <c r="S315" s="334" t="n"/>
      <c r="T315" s="334" t="n"/>
      <c r="U315" s="334" t="n"/>
      <c r="V315" s="334" t="n"/>
      <c r="W315" s="334" t="n"/>
      <c r="X315" s="334" t="n"/>
      <c r="Y315" s="334" t="n"/>
    </row>
    <row r="316" ht="15" customHeight="1" s="195">
      <c r="A316" s="280" t="n"/>
      <c r="B316" s="280" t="n"/>
      <c r="C316" s="280" t="n"/>
      <c r="D316" s="280" t="n"/>
      <c r="E316" s="280" t="n"/>
      <c r="F316" s="280" t="n"/>
      <c r="G316" s="280" t="n"/>
      <c r="H316" s="280" t="n"/>
      <c r="I316" s="332">
        <f>IFERROR(VLOOKUP(TEXT(H316,"0"),IPRESS!$A$3:$B$212,2,0),"")</f>
        <v/>
      </c>
      <c r="J316" s="280" t="n"/>
      <c r="K316" s="332">
        <f>IFERROR(VLOOKUP(TEXT(O316,"0"),CONDUCTORES!$A$3:$G$54,7,0),"")</f>
        <v/>
      </c>
      <c r="L316" s="280" t="n"/>
      <c r="M316" s="280" t="n"/>
      <c r="N316" s="333">
        <f>IFERROR(IF(L316*M316=0,"",L316*M316),"")</f>
        <v/>
      </c>
      <c r="O316" s="280" t="n"/>
      <c r="P316" s="332">
        <f>IFERROR(VLOOKUP(TEXT(O316,"0"),CONDUCTORES!$A$3:$G$54,2,0),"")</f>
        <v/>
      </c>
      <c r="Q316" s="332">
        <f>IFERROR(VLOOKUP(TEXT(O316,"0"),CONDUCTORES!$A$3:$H$54,6,0),"")</f>
        <v/>
      </c>
      <c r="R316" s="280" t="n"/>
      <c r="S316" s="280" t="n"/>
      <c r="T316" s="280" t="n"/>
      <c r="U316" s="280" t="n"/>
      <c r="V316" s="280" t="n"/>
      <c r="W316" s="280" t="n"/>
      <c r="X316" s="280" t="n"/>
      <c r="Y316" s="280" t="n"/>
    </row>
    <row r="317" ht="15" customHeight="1" s="195">
      <c r="A317" s="334" t="n"/>
      <c r="B317" s="334" t="n"/>
      <c r="C317" s="334" t="n"/>
      <c r="D317" s="334" t="n"/>
      <c r="E317" s="334" t="n"/>
      <c r="F317" s="334" t="n"/>
      <c r="G317" s="334" t="n"/>
      <c r="H317" s="334" t="n"/>
      <c r="I317" s="332">
        <f>IFERROR(VLOOKUP(TEXT(H317,"0"),IPRESS!$A$3:$B$212,2,0),"")</f>
        <v/>
      </c>
      <c r="J317" s="334" t="n"/>
      <c r="K317" s="332">
        <f>IFERROR(VLOOKUP(TEXT(O317,"0"),CONDUCTORES!$A$3:$G$54,7,0),"")</f>
        <v/>
      </c>
      <c r="L317" s="334" t="n"/>
      <c r="M317" s="334" t="n"/>
      <c r="N317" s="333">
        <f>IFERROR(IF(L317*M317=0,"",L317*M317),"")</f>
        <v/>
      </c>
      <c r="O317" s="334" t="n"/>
      <c r="P317" s="332">
        <f>IFERROR(VLOOKUP(TEXT(O317,"0"),CONDUCTORES!$A$3:$G$54,2,0),"")</f>
        <v/>
      </c>
      <c r="Q317" s="332">
        <f>IFERROR(VLOOKUP(TEXT(O317,"0"),CONDUCTORES!$A$3:$H$54,6,0),"")</f>
        <v/>
      </c>
      <c r="R317" s="334" t="n"/>
      <c r="S317" s="334" t="n"/>
      <c r="T317" s="334" t="n"/>
      <c r="U317" s="334" t="n"/>
      <c r="V317" s="334" t="n"/>
      <c r="W317" s="334" t="n"/>
      <c r="X317" s="334" t="n"/>
      <c r="Y317" s="334" t="n"/>
    </row>
    <row r="318" ht="15" customHeight="1" s="195">
      <c r="A318" s="280" t="n"/>
      <c r="B318" s="280" t="n"/>
      <c r="C318" s="280" t="n"/>
      <c r="D318" s="280" t="n"/>
      <c r="E318" s="280" t="n"/>
      <c r="F318" s="280" t="n"/>
      <c r="G318" s="280" t="n"/>
      <c r="H318" s="280" t="n"/>
      <c r="I318" s="332">
        <f>IFERROR(VLOOKUP(TEXT(H318,"0"),IPRESS!$A$3:$B$212,2,0),"")</f>
        <v/>
      </c>
      <c r="J318" s="280" t="n"/>
      <c r="K318" s="332">
        <f>IFERROR(VLOOKUP(TEXT(O318,"0"),CONDUCTORES!$A$3:$G$54,7,0),"")</f>
        <v/>
      </c>
      <c r="L318" s="280" t="n"/>
      <c r="M318" s="280" t="n"/>
      <c r="N318" s="333">
        <f>IFERROR(IF(L318*M318=0,"",L318*M318),"")</f>
        <v/>
      </c>
      <c r="O318" s="280" t="n"/>
      <c r="P318" s="332">
        <f>IFERROR(VLOOKUP(TEXT(O318,"0"),CONDUCTORES!$A$3:$G$54,2,0),"")</f>
        <v/>
      </c>
      <c r="Q318" s="332">
        <f>IFERROR(VLOOKUP(TEXT(O318,"0"),CONDUCTORES!$A$3:$H$54,6,0),"")</f>
        <v/>
      </c>
      <c r="R318" s="280" t="n"/>
      <c r="S318" s="280" t="n"/>
      <c r="T318" s="280" t="n"/>
      <c r="U318" s="280" t="n"/>
      <c r="V318" s="280" t="n"/>
      <c r="W318" s="280" t="n"/>
      <c r="X318" s="280" t="n"/>
      <c r="Y318" s="280" t="n"/>
    </row>
    <row r="319" ht="15" customHeight="1" s="195">
      <c r="A319" s="334" t="n"/>
      <c r="B319" s="334" t="n"/>
      <c r="C319" s="334" t="n"/>
      <c r="D319" s="334" t="n"/>
      <c r="E319" s="334" t="n"/>
      <c r="F319" s="334" t="n"/>
      <c r="G319" s="334" t="n"/>
      <c r="H319" s="334" t="n"/>
      <c r="I319" s="332">
        <f>IFERROR(VLOOKUP(TEXT(H319,"0"),IPRESS!$A$3:$B$212,2,0),"")</f>
        <v/>
      </c>
      <c r="J319" s="334" t="n"/>
      <c r="K319" s="332">
        <f>IFERROR(VLOOKUP(TEXT(O319,"0"),CONDUCTORES!$A$3:$G$54,7,0),"")</f>
        <v/>
      </c>
      <c r="L319" s="334" t="n"/>
      <c r="M319" s="334" t="n"/>
      <c r="N319" s="333">
        <f>IFERROR(IF(L319*M319=0,"",L319*M319),"")</f>
        <v/>
      </c>
      <c r="O319" s="334" t="n"/>
      <c r="P319" s="332">
        <f>IFERROR(VLOOKUP(TEXT(O319,"0"),CONDUCTORES!$A$3:$G$54,2,0),"")</f>
        <v/>
      </c>
      <c r="Q319" s="332">
        <f>IFERROR(VLOOKUP(TEXT(O319,"0"),CONDUCTORES!$A$3:$H$54,6,0),"")</f>
        <v/>
      </c>
      <c r="R319" s="334" t="n"/>
      <c r="S319" s="334" t="n"/>
      <c r="T319" s="334" t="n"/>
      <c r="U319" s="334" t="n"/>
      <c r="V319" s="334" t="n"/>
      <c r="W319" s="334" t="n"/>
      <c r="X319" s="334" t="n"/>
      <c r="Y319" s="334" t="n"/>
    </row>
    <row r="320" ht="15" customHeight="1" s="195">
      <c r="A320" s="280" t="n"/>
      <c r="B320" s="280" t="n"/>
      <c r="C320" s="280" t="n"/>
      <c r="D320" s="280" t="n"/>
      <c r="E320" s="280" t="n"/>
      <c r="F320" s="280" t="n"/>
      <c r="G320" s="280" t="n"/>
      <c r="H320" s="280" t="n"/>
      <c r="I320" s="332">
        <f>IFERROR(VLOOKUP(TEXT(H320,"0"),IPRESS!$A$3:$B$212,2,0),"")</f>
        <v/>
      </c>
      <c r="J320" s="280" t="n"/>
      <c r="K320" s="332">
        <f>IFERROR(VLOOKUP(TEXT(O320,"0"),CONDUCTORES!$A$3:$G$54,7,0),"")</f>
        <v/>
      </c>
      <c r="L320" s="280" t="n"/>
      <c r="M320" s="280" t="n"/>
      <c r="N320" s="333">
        <f>IFERROR(IF(L320*M320=0,"",L320*M320),"")</f>
        <v/>
      </c>
      <c r="O320" s="280" t="n"/>
      <c r="P320" s="332">
        <f>IFERROR(VLOOKUP(TEXT(O320,"0"),CONDUCTORES!$A$3:$G$54,2,0),"")</f>
        <v/>
      </c>
      <c r="Q320" s="332">
        <f>IFERROR(VLOOKUP(TEXT(O320,"0"),CONDUCTORES!$A$3:$H$54,6,0),"")</f>
        <v/>
      </c>
      <c r="R320" s="280" t="n"/>
      <c r="S320" s="280" t="n"/>
      <c r="T320" s="280" t="n"/>
      <c r="U320" s="280" t="n"/>
      <c r="V320" s="280" t="n"/>
      <c r="W320" s="280" t="n"/>
      <c r="X320" s="280" t="n"/>
      <c r="Y320" s="280" t="n"/>
    </row>
    <row r="321" ht="15" customHeight="1" s="195">
      <c r="A321" s="334" t="n"/>
      <c r="B321" s="334" t="n"/>
      <c r="C321" s="334" t="n"/>
      <c r="D321" s="334" t="n"/>
      <c r="E321" s="334" t="n"/>
      <c r="F321" s="334" t="n"/>
      <c r="G321" s="334" t="n"/>
      <c r="H321" s="334" t="n"/>
      <c r="I321" s="332">
        <f>IFERROR(VLOOKUP(TEXT(H321,"0"),IPRESS!$A$3:$B$212,2,0),"")</f>
        <v/>
      </c>
      <c r="J321" s="334" t="n"/>
      <c r="K321" s="332">
        <f>IFERROR(VLOOKUP(TEXT(O321,"0"),CONDUCTORES!$A$3:$G$54,7,0),"")</f>
        <v/>
      </c>
      <c r="L321" s="334" t="n"/>
      <c r="M321" s="334" t="n"/>
      <c r="N321" s="333">
        <f>IFERROR(IF(L321*M321=0,"",L321*M321),"")</f>
        <v/>
      </c>
      <c r="O321" s="334" t="n"/>
      <c r="P321" s="332">
        <f>IFERROR(VLOOKUP(TEXT(O321,"0"),CONDUCTORES!$A$3:$G$54,2,0),"")</f>
        <v/>
      </c>
      <c r="Q321" s="332">
        <f>IFERROR(VLOOKUP(TEXT(O321,"0"),CONDUCTORES!$A$3:$H$54,6,0),"")</f>
        <v/>
      </c>
      <c r="R321" s="334" t="n"/>
      <c r="S321" s="334" t="n"/>
      <c r="T321" s="334" t="n"/>
      <c r="U321" s="334" t="n"/>
      <c r="V321" s="334" t="n"/>
      <c r="W321" s="334" t="n"/>
      <c r="X321" s="334" t="n"/>
      <c r="Y321" s="334" t="n"/>
    </row>
    <row r="322" ht="15" customHeight="1" s="195">
      <c r="A322" s="280" t="n"/>
      <c r="B322" s="280" t="n"/>
      <c r="C322" s="280" t="n"/>
      <c r="D322" s="280" t="n"/>
      <c r="E322" s="280" t="n"/>
      <c r="F322" s="280" t="n"/>
      <c r="G322" s="280" t="n"/>
      <c r="H322" s="280" t="n"/>
      <c r="I322" s="332">
        <f>IFERROR(VLOOKUP(TEXT(H322,"0"),IPRESS!$A$3:$B$212,2,0),"")</f>
        <v/>
      </c>
      <c r="J322" s="280" t="n"/>
      <c r="K322" s="332">
        <f>IFERROR(VLOOKUP(TEXT(O322,"0"),CONDUCTORES!$A$3:$G$54,7,0),"")</f>
        <v/>
      </c>
      <c r="L322" s="280" t="n"/>
      <c r="M322" s="280" t="n"/>
      <c r="N322" s="333">
        <f>IFERROR(IF(L322*M322=0,"",L322*M322),"")</f>
        <v/>
      </c>
      <c r="O322" s="280" t="n"/>
      <c r="P322" s="332">
        <f>IFERROR(VLOOKUP(TEXT(O322,"0"),CONDUCTORES!$A$3:$G$54,2,0),"")</f>
        <v/>
      </c>
      <c r="Q322" s="332">
        <f>IFERROR(VLOOKUP(TEXT(O322,"0"),CONDUCTORES!$A$3:$H$54,6,0),"")</f>
        <v/>
      </c>
      <c r="R322" s="280" t="n"/>
      <c r="S322" s="280" t="n"/>
      <c r="T322" s="280" t="n"/>
      <c r="U322" s="280" t="n"/>
      <c r="V322" s="280" t="n"/>
      <c r="W322" s="280" t="n"/>
      <c r="X322" s="280" t="n"/>
      <c r="Y322" s="280" t="n"/>
    </row>
    <row r="323" ht="15" customHeight="1" s="195">
      <c r="A323" s="334" t="n"/>
      <c r="B323" s="334" t="n"/>
      <c r="C323" s="334" t="n"/>
      <c r="D323" s="334" t="n"/>
      <c r="E323" s="334" t="n"/>
      <c r="F323" s="334" t="n"/>
      <c r="G323" s="334" t="n"/>
      <c r="H323" s="334" t="n"/>
      <c r="I323" s="332">
        <f>IFERROR(VLOOKUP(TEXT(H323,"0"),IPRESS!$A$3:$B$212,2,0),"")</f>
        <v/>
      </c>
      <c r="J323" s="334" t="n"/>
      <c r="K323" s="332">
        <f>IFERROR(VLOOKUP(TEXT(O323,"0"),CONDUCTORES!$A$3:$G$54,7,0),"")</f>
        <v/>
      </c>
      <c r="L323" s="334" t="n"/>
      <c r="M323" s="334" t="n"/>
      <c r="N323" s="333">
        <f>IFERROR(IF(L323*M323=0,"",L323*M323),"")</f>
        <v/>
      </c>
      <c r="O323" s="334" t="n"/>
      <c r="P323" s="332">
        <f>IFERROR(VLOOKUP(TEXT(O323,"0"),CONDUCTORES!$A$3:$G$54,2,0),"")</f>
        <v/>
      </c>
      <c r="Q323" s="332">
        <f>IFERROR(VLOOKUP(TEXT(O323,"0"),CONDUCTORES!$A$3:$H$54,6,0),"")</f>
        <v/>
      </c>
      <c r="R323" s="334" t="n"/>
      <c r="S323" s="334" t="n"/>
      <c r="T323" s="334" t="n"/>
      <c r="U323" s="334" t="n"/>
      <c r="V323" s="334" t="n"/>
      <c r="W323" s="334" t="n"/>
      <c r="X323" s="334" t="n"/>
      <c r="Y323" s="334" t="n"/>
    </row>
    <row r="324" ht="15" customHeight="1" s="195">
      <c r="A324" s="280" t="n"/>
      <c r="B324" s="280" t="n"/>
      <c r="C324" s="280" t="n"/>
      <c r="D324" s="280" t="n"/>
      <c r="E324" s="280" t="n"/>
      <c r="F324" s="280" t="n"/>
      <c r="G324" s="280" t="n"/>
      <c r="H324" s="280" t="n"/>
      <c r="I324" s="332">
        <f>IFERROR(VLOOKUP(TEXT(H324,"0"),IPRESS!$A$3:$B$212,2,0),"")</f>
        <v/>
      </c>
      <c r="J324" s="280" t="n"/>
      <c r="K324" s="332">
        <f>IFERROR(VLOOKUP(TEXT(O324,"0"),CONDUCTORES!$A$3:$G$54,7,0),"")</f>
        <v/>
      </c>
      <c r="L324" s="280" t="n"/>
      <c r="M324" s="280" t="n"/>
      <c r="N324" s="333">
        <f>IFERROR(IF(L324*M324=0,"",L324*M324),"")</f>
        <v/>
      </c>
      <c r="O324" s="280" t="n"/>
      <c r="P324" s="332">
        <f>IFERROR(VLOOKUP(TEXT(O324,"0"),CONDUCTORES!$A$3:$G$54,2,0),"")</f>
        <v/>
      </c>
      <c r="Q324" s="332">
        <f>IFERROR(VLOOKUP(TEXT(O324,"0"),CONDUCTORES!$A$3:$H$54,6,0),"")</f>
        <v/>
      </c>
      <c r="R324" s="280" t="n"/>
      <c r="S324" s="280" t="n"/>
      <c r="T324" s="280" t="n"/>
      <c r="U324" s="280" t="n"/>
      <c r="V324" s="280" t="n"/>
      <c r="W324" s="280" t="n"/>
      <c r="X324" s="280" t="n"/>
      <c r="Y324" s="280" t="n"/>
    </row>
    <row r="325" ht="15" customHeight="1" s="195">
      <c r="A325" s="334" t="n"/>
      <c r="B325" s="334" t="n"/>
      <c r="C325" s="334" t="n"/>
      <c r="D325" s="334" t="n"/>
      <c r="E325" s="334" t="n"/>
      <c r="F325" s="334" t="n"/>
      <c r="G325" s="334" t="n"/>
      <c r="H325" s="334" t="n"/>
      <c r="I325" s="332">
        <f>IFERROR(VLOOKUP(TEXT(H325,"0"),IPRESS!$A$3:$B$212,2,0),"")</f>
        <v/>
      </c>
      <c r="J325" s="334" t="n"/>
      <c r="K325" s="332">
        <f>IFERROR(VLOOKUP(TEXT(O325,"0"),CONDUCTORES!$A$3:$G$54,7,0),"")</f>
        <v/>
      </c>
      <c r="L325" s="334" t="n"/>
      <c r="M325" s="334" t="n"/>
      <c r="N325" s="333">
        <f>IFERROR(IF(L325*M325=0,"",L325*M325),"")</f>
        <v/>
      </c>
      <c r="O325" s="334" t="n"/>
      <c r="P325" s="332">
        <f>IFERROR(VLOOKUP(TEXT(O325,"0"),CONDUCTORES!$A$3:$G$54,2,0),"")</f>
        <v/>
      </c>
      <c r="Q325" s="332">
        <f>IFERROR(VLOOKUP(TEXT(O325,"0"),CONDUCTORES!$A$3:$H$54,6,0),"")</f>
        <v/>
      </c>
      <c r="R325" s="334" t="n"/>
      <c r="S325" s="334" t="n"/>
      <c r="T325" s="334" t="n"/>
      <c r="U325" s="334" t="n"/>
      <c r="V325" s="334" t="n"/>
      <c r="W325" s="334" t="n"/>
      <c r="X325" s="334" t="n"/>
      <c r="Y325" s="334" t="n"/>
    </row>
    <row r="326" ht="15" customHeight="1" s="195">
      <c r="A326" s="280" t="n"/>
      <c r="B326" s="280" t="n"/>
      <c r="C326" s="280" t="n"/>
      <c r="D326" s="280" t="n"/>
      <c r="E326" s="280" t="n"/>
      <c r="F326" s="280" t="n"/>
      <c r="G326" s="280" t="n"/>
      <c r="H326" s="280" t="n"/>
      <c r="I326" s="332">
        <f>IFERROR(VLOOKUP(TEXT(H326,"0"),IPRESS!$A$3:$B$212,2,0),"")</f>
        <v/>
      </c>
      <c r="J326" s="280" t="n"/>
      <c r="K326" s="332">
        <f>IFERROR(VLOOKUP(TEXT(O326,"0"),CONDUCTORES!$A$3:$G$54,7,0),"")</f>
        <v/>
      </c>
      <c r="L326" s="280" t="n"/>
      <c r="M326" s="280" t="n"/>
      <c r="N326" s="333">
        <f>IFERROR(IF(L326*M326=0,"",L326*M326),"")</f>
        <v/>
      </c>
      <c r="O326" s="280" t="n"/>
      <c r="P326" s="332">
        <f>IFERROR(VLOOKUP(TEXT(O326,"0"),CONDUCTORES!$A$3:$G$54,2,0),"")</f>
        <v/>
      </c>
      <c r="Q326" s="332">
        <f>IFERROR(VLOOKUP(TEXT(O326,"0"),CONDUCTORES!$A$3:$H$54,6,0),"")</f>
        <v/>
      </c>
      <c r="R326" s="280" t="n"/>
      <c r="S326" s="280" t="n"/>
      <c r="T326" s="280" t="n"/>
      <c r="U326" s="280" t="n"/>
      <c r="V326" s="280" t="n"/>
      <c r="W326" s="280" t="n"/>
      <c r="X326" s="280" t="n"/>
      <c r="Y326" s="280" t="n"/>
    </row>
    <row r="327" ht="15" customHeight="1" s="195">
      <c r="A327" s="334" t="n"/>
      <c r="B327" s="334" t="n"/>
      <c r="C327" s="334" t="n"/>
      <c r="D327" s="334" t="n"/>
      <c r="E327" s="334" t="n"/>
      <c r="F327" s="334" t="n"/>
      <c r="G327" s="334" t="n"/>
      <c r="H327" s="334" t="n"/>
      <c r="I327" s="332">
        <f>IFERROR(VLOOKUP(TEXT(H327,"0"),IPRESS!$A$3:$B$212,2,0),"")</f>
        <v/>
      </c>
      <c r="J327" s="334" t="n"/>
      <c r="K327" s="332">
        <f>IFERROR(VLOOKUP(TEXT(O327,"0"),CONDUCTORES!$A$3:$G$54,7,0),"")</f>
        <v/>
      </c>
      <c r="L327" s="334" t="n"/>
      <c r="M327" s="334" t="n"/>
      <c r="N327" s="333">
        <f>IFERROR(IF(L327*M327=0,"",L327*M327),"")</f>
        <v/>
      </c>
      <c r="O327" s="334" t="n"/>
      <c r="P327" s="332">
        <f>IFERROR(VLOOKUP(TEXT(O327,"0"),CONDUCTORES!$A$3:$G$54,2,0),"")</f>
        <v/>
      </c>
      <c r="Q327" s="332">
        <f>IFERROR(VLOOKUP(TEXT(O327,"0"),CONDUCTORES!$A$3:$H$54,6,0),"")</f>
        <v/>
      </c>
      <c r="R327" s="334" t="n"/>
      <c r="S327" s="334" t="n"/>
      <c r="T327" s="334" t="n"/>
      <c r="U327" s="334" t="n"/>
      <c r="V327" s="334" t="n"/>
      <c r="W327" s="334" t="n"/>
      <c r="X327" s="334" t="n"/>
      <c r="Y327" s="334" t="n"/>
    </row>
    <row r="328" ht="15" customHeight="1" s="195">
      <c r="A328" s="280" t="n"/>
      <c r="B328" s="280" t="n"/>
      <c r="C328" s="280" t="n"/>
      <c r="D328" s="280" t="n"/>
      <c r="E328" s="280" t="n"/>
      <c r="F328" s="280" t="n"/>
      <c r="G328" s="280" t="n"/>
      <c r="H328" s="280" t="n"/>
      <c r="I328" s="332">
        <f>IFERROR(VLOOKUP(TEXT(H328,"0"),IPRESS!$A$3:$B$212,2,0),"")</f>
        <v/>
      </c>
      <c r="J328" s="280" t="n"/>
      <c r="K328" s="332">
        <f>IFERROR(VLOOKUP(TEXT(O328,"0"),CONDUCTORES!$A$3:$G$54,7,0),"")</f>
        <v/>
      </c>
      <c r="L328" s="280" t="n"/>
      <c r="M328" s="280" t="n"/>
      <c r="N328" s="333">
        <f>IFERROR(IF(L328*M328=0,"",L328*M328),"")</f>
        <v/>
      </c>
      <c r="O328" s="280" t="n"/>
      <c r="P328" s="332">
        <f>IFERROR(VLOOKUP(TEXT(O328,"0"),CONDUCTORES!$A$3:$G$54,2,0),"")</f>
        <v/>
      </c>
      <c r="Q328" s="332">
        <f>IFERROR(VLOOKUP(TEXT(O328,"0"),CONDUCTORES!$A$3:$H$54,6,0),"")</f>
        <v/>
      </c>
      <c r="R328" s="280" t="n"/>
      <c r="S328" s="280" t="n"/>
      <c r="T328" s="280" t="n"/>
      <c r="U328" s="280" t="n"/>
      <c r="V328" s="280" t="n"/>
      <c r="W328" s="280" t="n"/>
      <c r="X328" s="280" t="n"/>
      <c r="Y328" s="280" t="n"/>
    </row>
    <row r="329" ht="15" customHeight="1" s="195">
      <c r="A329" s="334" t="n"/>
      <c r="B329" s="334" t="n"/>
      <c r="C329" s="334" t="n"/>
      <c r="D329" s="334" t="n"/>
      <c r="E329" s="334" t="n"/>
      <c r="F329" s="334" t="n"/>
      <c r="G329" s="334" t="n"/>
      <c r="H329" s="334" t="n"/>
      <c r="I329" s="332">
        <f>IFERROR(VLOOKUP(TEXT(H329,"0"),IPRESS!$A$3:$B$212,2,0),"")</f>
        <v/>
      </c>
      <c r="J329" s="334" t="n"/>
      <c r="K329" s="332">
        <f>IFERROR(VLOOKUP(TEXT(O329,"0"),CONDUCTORES!$A$3:$G$54,7,0),"")</f>
        <v/>
      </c>
      <c r="L329" s="334" t="n"/>
      <c r="M329" s="334" t="n"/>
      <c r="N329" s="333">
        <f>IFERROR(IF(L329*M329=0,"",L329*M329),"")</f>
        <v/>
      </c>
      <c r="O329" s="334" t="n"/>
      <c r="P329" s="332">
        <f>IFERROR(VLOOKUP(TEXT(O329,"0"),CONDUCTORES!$A$3:$G$54,2,0),"")</f>
        <v/>
      </c>
      <c r="Q329" s="332">
        <f>IFERROR(VLOOKUP(TEXT(O329,"0"),CONDUCTORES!$A$3:$H$54,6,0),"")</f>
        <v/>
      </c>
      <c r="R329" s="334" t="n"/>
      <c r="S329" s="334" t="n"/>
      <c r="T329" s="334" t="n"/>
      <c r="U329" s="334" t="n"/>
      <c r="V329" s="334" t="n"/>
      <c r="W329" s="334" t="n"/>
      <c r="X329" s="334" t="n"/>
      <c r="Y329" s="334" t="n"/>
    </row>
    <row r="330" ht="15" customHeight="1" s="195">
      <c r="A330" s="280" t="n"/>
      <c r="B330" s="280" t="n"/>
      <c r="C330" s="280" t="n"/>
      <c r="D330" s="280" t="n"/>
      <c r="E330" s="280" t="n"/>
      <c r="F330" s="280" t="n"/>
      <c r="G330" s="280" t="n"/>
      <c r="H330" s="280" t="n"/>
      <c r="I330" s="332">
        <f>IFERROR(VLOOKUP(TEXT(H330,"0"),IPRESS!$A$3:$B$212,2,0),"")</f>
        <v/>
      </c>
      <c r="J330" s="280" t="n"/>
      <c r="K330" s="332">
        <f>IFERROR(VLOOKUP(TEXT(O330,"0"),CONDUCTORES!$A$3:$G$54,7,0),"")</f>
        <v/>
      </c>
      <c r="L330" s="280" t="n"/>
      <c r="M330" s="280" t="n"/>
      <c r="N330" s="333">
        <f>IFERROR(IF(L330*M330=0,"",L330*M330),"")</f>
        <v/>
      </c>
      <c r="O330" s="280" t="n"/>
      <c r="P330" s="332">
        <f>IFERROR(VLOOKUP(TEXT(O330,"0"),CONDUCTORES!$A$3:$G$54,2,0),"")</f>
        <v/>
      </c>
      <c r="Q330" s="332">
        <f>IFERROR(VLOOKUP(TEXT(O330,"0"),CONDUCTORES!$A$3:$H$54,6,0),"")</f>
        <v/>
      </c>
      <c r="R330" s="280" t="n"/>
      <c r="S330" s="280" t="n"/>
      <c r="T330" s="280" t="n"/>
      <c r="U330" s="280" t="n"/>
      <c r="V330" s="280" t="n"/>
      <c r="W330" s="280" t="n"/>
      <c r="X330" s="280" t="n"/>
      <c r="Y330" s="280" t="n"/>
    </row>
    <row r="331" ht="15" customHeight="1" s="195">
      <c r="A331" s="334" t="n"/>
      <c r="B331" s="334" t="n"/>
      <c r="C331" s="334" t="n"/>
      <c r="D331" s="334" t="n"/>
      <c r="E331" s="334" t="n"/>
      <c r="F331" s="334" t="n"/>
      <c r="G331" s="334" t="n"/>
      <c r="H331" s="334" t="n"/>
      <c r="I331" s="332">
        <f>IFERROR(VLOOKUP(TEXT(H331,"0"),IPRESS!$A$3:$B$212,2,0),"")</f>
        <v/>
      </c>
      <c r="J331" s="334" t="n"/>
      <c r="K331" s="332">
        <f>IFERROR(VLOOKUP(TEXT(O331,"0"),CONDUCTORES!$A$3:$G$54,7,0),"")</f>
        <v/>
      </c>
      <c r="L331" s="334" t="n"/>
      <c r="M331" s="334" t="n"/>
      <c r="N331" s="333">
        <f>IFERROR(IF(L331*M331=0,"",L331*M331),"")</f>
        <v/>
      </c>
      <c r="O331" s="334" t="n"/>
      <c r="P331" s="332">
        <f>IFERROR(VLOOKUP(TEXT(O331,"0"),CONDUCTORES!$A$3:$G$54,2,0),"")</f>
        <v/>
      </c>
      <c r="Q331" s="332">
        <f>IFERROR(VLOOKUP(TEXT(O331,"0"),CONDUCTORES!$A$3:$H$54,6,0),"")</f>
        <v/>
      </c>
      <c r="R331" s="334" t="n"/>
      <c r="S331" s="334" t="n"/>
      <c r="T331" s="334" t="n"/>
      <c r="U331" s="334" t="n"/>
      <c r="V331" s="334" t="n"/>
      <c r="W331" s="334" t="n"/>
      <c r="X331" s="334" t="n"/>
      <c r="Y331" s="334" t="n"/>
    </row>
    <row r="332" ht="15" customHeight="1" s="195">
      <c r="A332" s="280" t="n"/>
      <c r="B332" s="280" t="n"/>
      <c r="C332" s="280" t="n"/>
      <c r="D332" s="280" t="n"/>
      <c r="E332" s="280" t="n"/>
      <c r="F332" s="280" t="n"/>
      <c r="G332" s="280" t="n"/>
      <c r="H332" s="280" t="n"/>
      <c r="I332" s="332">
        <f>IFERROR(VLOOKUP(TEXT(H332,"0"),IPRESS!$A$3:$B$212,2,0),"")</f>
        <v/>
      </c>
      <c r="J332" s="280" t="n"/>
      <c r="K332" s="332">
        <f>IFERROR(VLOOKUP(TEXT(O332,"0"),CONDUCTORES!$A$3:$G$54,7,0),"")</f>
        <v/>
      </c>
      <c r="L332" s="280" t="n"/>
      <c r="M332" s="280" t="n"/>
      <c r="N332" s="333">
        <f>IFERROR(IF(L332*M332=0,"",L332*M332),"")</f>
        <v/>
      </c>
      <c r="O332" s="280" t="n"/>
      <c r="P332" s="332">
        <f>IFERROR(VLOOKUP(TEXT(O332,"0"),CONDUCTORES!$A$3:$G$54,2,0),"")</f>
        <v/>
      </c>
      <c r="Q332" s="332">
        <f>IFERROR(VLOOKUP(TEXT(O332,"0"),CONDUCTORES!$A$3:$H$54,6,0),"")</f>
        <v/>
      </c>
      <c r="R332" s="280" t="n"/>
      <c r="S332" s="280" t="n"/>
      <c r="T332" s="280" t="n"/>
      <c r="U332" s="280" t="n"/>
      <c r="V332" s="280" t="n"/>
      <c r="W332" s="280" t="n"/>
      <c r="X332" s="280" t="n"/>
      <c r="Y332" s="280" t="n"/>
    </row>
    <row r="333" ht="15" customHeight="1" s="195">
      <c r="A333" s="334" t="n"/>
      <c r="B333" s="334" t="n"/>
      <c r="C333" s="334" t="n"/>
      <c r="D333" s="334" t="n"/>
      <c r="E333" s="334" t="n"/>
      <c r="F333" s="334" t="n"/>
      <c r="G333" s="334" t="n"/>
      <c r="H333" s="334" t="n"/>
      <c r="I333" s="332">
        <f>IFERROR(VLOOKUP(TEXT(H333,"0"),IPRESS!$A$3:$B$212,2,0),"")</f>
        <v/>
      </c>
      <c r="J333" s="334" t="n"/>
      <c r="K333" s="332">
        <f>IFERROR(VLOOKUP(TEXT(O333,"0"),CONDUCTORES!$A$3:$G$54,7,0),"")</f>
        <v/>
      </c>
      <c r="L333" s="334" t="n"/>
      <c r="M333" s="334" t="n"/>
      <c r="N333" s="333">
        <f>IFERROR(IF(L333*M333=0,"",L333*M333),"")</f>
        <v/>
      </c>
      <c r="O333" s="334" t="n"/>
      <c r="P333" s="332">
        <f>IFERROR(VLOOKUP(TEXT(O333,"0"),CONDUCTORES!$A$3:$G$54,2,0),"")</f>
        <v/>
      </c>
      <c r="Q333" s="332">
        <f>IFERROR(VLOOKUP(TEXT(O333,"0"),CONDUCTORES!$A$3:$H$54,6,0),"")</f>
        <v/>
      </c>
      <c r="R333" s="334" t="n"/>
      <c r="S333" s="334" t="n"/>
      <c r="T333" s="334" t="n"/>
      <c r="U333" s="334" t="n"/>
      <c r="V333" s="334" t="n"/>
      <c r="W333" s="334" t="n"/>
      <c r="X333" s="334" t="n"/>
      <c r="Y333" s="334" t="n"/>
    </row>
    <row r="334" ht="15" customHeight="1" s="195">
      <c r="A334" s="280" t="n"/>
      <c r="B334" s="280" t="n"/>
      <c r="C334" s="280" t="n"/>
      <c r="D334" s="280" t="n"/>
      <c r="E334" s="280" t="n"/>
      <c r="F334" s="280" t="n"/>
      <c r="G334" s="280" t="n"/>
      <c r="H334" s="280" t="n"/>
      <c r="I334" s="332">
        <f>IFERROR(VLOOKUP(TEXT(H334,"0"),IPRESS!$A$3:$B$212,2,0),"")</f>
        <v/>
      </c>
      <c r="J334" s="280" t="n"/>
      <c r="K334" s="332">
        <f>IFERROR(VLOOKUP(TEXT(O334,"0"),CONDUCTORES!$A$3:$G$54,7,0),"")</f>
        <v/>
      </c>
      <c r="L334" s="280" t="n"/>
      <c r="M334" s="280" t="n"/>
      <c r="N334" s="333">
        <f>IFERROR(IF(L334*M334=0,"",L334*M334),"")</f>
        <v/>
      </c>
      <c r="O334" s="280" t="n"/>
      <c r="P334" s="332">
        <f>IFERROR(VLOOKUP(TEXT(O334,"0"),CONDUCTORES!$A$3:$G$54,2,0),"")</f>
        <v/>
      </c>
      <c r="Q334" s="332">
        <f>IFERROR(VLOOKUP(TEXT(O334,"0"),CONDUCTORES!$A$3:$H$54,6,0),"")</f>
        <v/>
      </c>
      <c r="R334" s="280" t="n"/>
      <c r="S334" s="280" t="n"/>
      <c r="T334" s="280" t="n"/>
      <c r="U334" s="280" t="n"/>
      <c r="V334" s="280" t="n"/>
      <c r="W334" s="280" t="n"/>
      <c r="X334" s="280" t="n"/>
      <c r="Y334" s="280" t="n"/>
    </row>
    <row r="335" ht="15" customHeight="1" s="195">
      <c r="A335" s="334" t="n"/>
      <c r="B335" s="334" t="n"/>
      <c r="C335" s="334" t="n"/>
      <c r="D335" s="334" t="n"/>
      <c r="E335" s="334" t="n"/>
      <c r="F335" s="334" t="n"/>
      <c r="G335" s="334" t="n"/>
      <c r="H335" s="334" t="n"/>
      <c r="I335" s="332">
        <f>IFERROR(VLOOKUP(TEXT(H335,"0"),IPRESS!$A$3:$B$212,2,0),"")</f>
        <v/>
      </c>
      <c r="J335" s="334" t="n"/>
      <c r="K335" s="332">
        <f>IFERROR(VLOOKUP(TEXT(O335,"0"),CONDUCTORES!$A$3:$G$54,7,0),"")</f>
        <v/>
      </c>
      <c r="L335" s="334" t="n"/>
      <c r="M335" s="334" t="n"/>
      <c r="N335" s="333">
        <f>IFERROR(IF(L335*M335=0,"",L335*M335),"")</f>
        <v/>
      </c>
      <c r="O335" s="334" t="n"/>
      <c r="P335" s="332">
        <f>IFERROR(VLOOKUP(TEXT(O335,"0"),CONDUCTORES!$A$3:$G$54,2,0),"")</f>
        <v/>
      </c>
      <c r="Q335" s="332">
        <f>IFERROR(VLOOKUP(TEXT(O335,"0"),CONDUCTORES!$A$3:$H$54,6,0),"")</f>
        <v/>
      </c>
      <c r="R335" s="334" t="n"/>
      <c r="S335" s="334" t="n"/>
      <c r="T335" s="334" t="n"/>
      <c r="U335" s="334" t="n"/>
      <c r="V335" s="334" t="n"/>
      <c r="W335" s="334" t="n"/>
      <c r="X335" s="334" t="n"/>
      <c r="Y335" s="334" t="n"/>
    </row>
    <row r="336" ht="15" customHeight="1" s="195">
      <c r="A336" s="280" t="n"/>
      <c r="B336" s="280" t="n"/>
      <c r="C336" s="280" t="n"/>
      <c r="D336" s="280" t="n"/>
      <c r="E336" s="280" t="n"/>
      <c r="F336" s="280" t="n"/>
      <c r="G336" s="280" t="n"/>
      <c r="H336" s="280" t="n"/>
      <c r="I336" s="332">
        <f>IFERROR(VLOOKUP(TEXT(H336,"0"),IPRESS!$A$3:$B$212,2,0),"")</f>
        <v/>
      </c>
      <c r="J336" s="280" t="n"/>
      <c r="K336" s="332">
        <f>IFERROR(VLOOKUP(TEXT(O336,"0"),CONDUCTORES!$A$3:$G$54,7,0),"")</f>
        <v/>
      </c>
      <c r="L336" s="280" t="n"/>
      <c r="M336" s="280" t="n"/>
      <c r="N336" s="333">
        <f>IFERROR(IF(L336*M336=0,"",L336*M336),"")</f>
        <v/>
      </c>
      <c r="O336" s="280" t="n"/>
      <c r="P336" s="332">
        <f>IFERROR(VLOOKUP(TEXT(O336,"0"),CONDUCTORES!$A$3:$G$54,2,0),"")</f>
        <v/>
      </c>
      <c r="Q336" s="332">
        <f>IFERROR(VLOOKUP(TEXT(O336,"0"),CONDUCTORES!$A$3:$H$54,6,0),"")</f>
        <v/>
      </c>
      <c r="R336" s="280" t="n"/>
      <c r="S336" s="280" t="n"/>
      <c r="T336" s="280" t="n"/>
      <c r="U336" s="280" t="n"/>
      <c r="V336" s="280" t="n"/>
      <c r="W336" s="280" t="n"/>
      <c r="X336" s="280" t="n"/>
      <c r="Y336" s="280" t="n"/>
    </row>
    <row r="337" ht="15" customHeight="1" s="195">
      <c r="A337" s="334" t="n"/>
      <c r="B337" s="334" t="n"/>
      <c r="C337" s="334" t="n"/>
      <c r="D337" s="334" t="n"/>
      <c r="E337" s="334" t="n"/>
      <c r="F337" s="334" t="n"/>
      <c r="G337" s="334" t="n"/>
      <c r="H337" s="334" t="n"/>
      <c r="I337" s="332">
        <f>IFERROR(VLOOKUP(TEXT(H337,"0"),IPRESS!$A$3:$B$212,2,0),"")</f>
        <v/>
      </c>
      <c r="J337" s="334" t="n"/>
      <c r="K337" s="332">
        <f>IFERROR(VLOOKUP(TEXT(O337,"0"),CONDUCTORES!$A$3:$G$54,7,0),"")</f>
        <v/>
      </c>
      <c r="L337" s="334" t="n"/>
      <c r="M337" s="334" t="n"/>
      <c r="N337" s="333">
        <f>IFERROR(IF(L337*M337=0,"",L337*M337),"")</f>
        <v/>
      </c>
      <c r="O337" s="334" t="n"/>
      <c r="P337" s="332">
        <f>IFERROR(VLOOKUP(TEXT(O337,"0"),CONDUCTORES!$A$3:$G$54,2,0),"")</f>
        <v/>
      </c>
      <c r="Q337" s="332">
        <f>IFERROR(VLOOKUP(TEXT(O337,"0"),CONDUCTORES!$A$3:$H$54,6,0),"")</f>
        <v/>
      </c>
      <c r="R337" s="334" t="n"/>
      <c r="S337" s="334" t="n"/>
      <c r="T337" s="334" t="n"/>
      <c r="U337" s="334" t="n"/>
      <c r="V337" s="334" t="n"/>
      <c r="W337" s="334" t="n"/>
      <c r="X337" s="334" t="n"/>
      <c r="Y337" s="334" t="n"/>
    </row>
    <row r="338" ht="15" customHeight="1" s="195">
      <c r="A338" s="280" t="n"/>
      <c r="B338" s="280" t="n"/>
      <c r="C338" s="280" t="n"/>
      <c r="D338" s="280" t="n"/>
      <c r="E338" s="280" t="n"/>
      <c r="F338" s="280" t="n"/>
      <c r="G338" s="280" t="n"/>
      <c r="H338" s="280" t="n"/>
      <c r="I338" s="332">
        <f>IFERROR(VLOOKUP(TEXT(H338,"0"),IPRESS!$A$3:$B$212,2,0),"")</f>
        <v/>
      </c>
      <c r="J338" s="280" t="n"/>
      <c r="K338" s="332">
        <f>IFERROR(VLOOKUP(TEXT(O338,"0"),CONDUCTORES!$A$3:$G$54,7,0),"")</f>
        <v/>
      </c>
      <c r="L338" s="280" t="n"/>
      <c r="M338" s="280" t="n"/>
      <c r="N338" s="333">
        <f>IFERROR(IF(L338*M338=0,"",L338*M338),"")</f>
        <v/>
      </c>
      <c r="O338" s="280" t="n"/>
      <c r="P338" s="332">
        <f>IFERROR(VLOOKUP(TEXT(O338,"0"),CONDUCTORES!$A$3:$G$54,2,0),"")</f>
        <v/>
      </c>
      <c r="Q338" s="332">
        <f>IFERROR(VLOOKUP(TEXT(O338,"0"),CONDUCTORES!$A$3:$H$54,6,0),"")</f>
        <v/>
      </c>
      <c r="R338" s="280" t="n"/>
      <c r="S338" s="280" t="n"/>
      <c r="T338" s="280" t="n"/>
      <c r="U338" s="280" t="n"/>
      <c r="V338" s="280" t="n"/>
      <c r="W338" s="280" t="n"/>
      <c r="X338" s="280" t="n"/>
      <c r="Y338" s="280" t="n"/>
    </row>
    <row r="339" ht="15" customHeight="1" s="195">
      <c r="A339" s="334" t="n"/>
      <c r="B339" s="334" t="n"/>
      <c r="C339" s="334" t="n"/>
      <c r="D339" s="334" t="n"/>
      <c r="E339" s="334" t="n"/>
      <c r="F339" s="334" t="n"/>
      <c r="G339" s="334" t="n"/>
      <c r="H339" s="334" t="n"/>
      <c r="I339" s="332">
        <f>IFERROR(VLOOKUP(TEXT(H339,"0"),IPRESS!$A$3:$B$212,2,0),"")</f>
        <v/>
      </c>
      <c r="J339" s="334" t="n"/>
      <c r="K339" s="332">
        <f>IFERROR(VLOOKUP(TEXT(O339,"0"),CONDUCTORES!$A$3:$G$54,7,0),"")</f>
        <v/>
      </c>
      <c r="L339" s="334" t="n"/>
      <c r="M339" s="334" t="n"/>
      <c r="N339" s="333">
        <f>IFERROR(IF(L339*M339=0,"",L339*M339),"")</f>
        <v/>
      </c>
      <c r="O339" s="334" t="n"/>
      <c r="P339" s="332">
        <f>IFERROR(VLOOKUP(TEXT(O339,"0"),CONDUCTORES!$A$3:$G$54,2,0),"")</f>
        <v/>
      </c>
      <c r="Q339" s="332">
        <f>IFERROR(VLOOKUP(TEXT(O339,"0"),CONDUCTORES!$A$3:$H$54,6,0),"")</f>
        <v/>
      </c>
      <c r="R339" s="334" t="n"/>
      <c r="S339" s="334" t="n"/>
      <c r="T339" s="334" t="n"/>
      <c r="U339" s="334" t="n"/>
      <c r="V339" s="334" t="n"/>
      <c r="W339" s="334" t="n"/>
      <c r="X339" s="334" t="n"/>
      <c r="Y339" s="334" t="n"/>
    </row>
    <row r="340" ht="15" customHeight="1" s="195">
      <c r="A340" s="280" t="n"/>
      <c r="B340" s="280" t="n"/>
      <c r="C340" s="280" t="n"/>
      <c r="D340" s="280" t="n"/>
      <c r="E340" s="280" t="n"/>
      <c r="F340" s="280" t="n"/>
      <c r="G340" s="280" t="n"/>
      <c r="H340" s="280" t="n"/>
      <c r="I340" s="332">
        <f>IFERROR(VLOOKUP(TEXT(H340,"0"),IPRESS!$A$3:$B$212,2,0),"")</f>
        <v/>
      </c>
      <c r="J340" s="280" t="n"/>
      <c r="K340" s="332">
        <f>IFERROR(VLOOKUP(TEXT(O340,"0"),CONDUCTORES!$A$3:$G$54,7,0),"")</f>
        <v/>
      </c>
      <c r="L340" s="280" t="n"/>
      <c r="M340" s="280" t="n"/>
      <c r="N340" s="333">
        <f>IFERROR(IF(L340*M340=0,"",L340*M340),"")</f>
        <v/>
      </c>
      <c r="O340" s="280" t="n"/>
      <c r="P340" s="332">
        <f>IFERROR(VLOOKUP(TEXT(O340,"0"),CONDUCTORES!$A$3:$G$54,2,0),"")</f>
        <v/>
      </c>
      <c r="Q340" s="332">
        <f>IFERROR(VLOOKUP(TEXT(O340,"0"),CONDUCTORES!$A$3:$H$54,6,0),"")</f>
        <v/>
      </c>
      <c r="R340" s="280" t="n"/>
      <c r="S340" s="280" t="n"/>
      <c r="T340" s="280" t="n"/>
      <c r="U340" s="280" t="n"/>
      <c r="V340" s="280" t="n"/>
      <c r="W340" s="280" t="n"/>
      <c r="X340" s="280" t="n"/>
      <c r="Y340" s="280" t="n"/>
    </row>
    <row r="341" ht="15" customHeight="1" s="195">
      <c r="A341" s="334" t="n"/>
      <c r="B341" s="334" t="n"/>
      <c r="C341" s="334" t="n"/>
      <c r="D341" s="334" t="n"/>
      <c r="E341" s="334" t="n"/>
      <c r="F341" s="334" t="n"/>
      <c r="G341" s="334" t="n"/>
      <c r="H341" s="334" t="n"/>
      <c r="I341" s="332">
        <f>IFERROR(VLOOKUP(TEXT(H341,"0"),IPRESS!$A$3:$B$212,2,0),"")</f>
        <v/>
      </c>
      <c r="J341" s="334" t="n"/>
      <c r="K341" s="332">
        <f>IFERROR(VLOOKUP(TEXT(O341,"0"),CONDUCTORES!$A$3:$G$54,7,0),"")</f>
        <v/>
      </c>
      <c r="L341" s="334" t="n"/>
      <c r="M341" s="334" t="n"/>
      <c r="N341" s="333">
        <f>IFERROR(IF(L341*M341=0,"",L341*M341),"")</f>
        <v/>
      </c>
      <c r="O341" s="334" t="n"/>
      <c r="P341" s="332">
        <f>IFERROR(VLOOKUP(TEXT(O341,"0"),CONDUCTORES!$A$3:$G$54,2,0),"")</f>
        <v/>
      </c>
      <c r="Q341" s="332">
        <f>IFERROR(VLOOKUP(TEXT(O341,"0"),CONDUCTORES!$A$3:$H$54,6,0),"")</f>
        <v/>
      </c>
      <c r="R341" s="334" t="n"/>
      <c r="S341" s="334" t="n"/>
      <c r="T341" s="334" t="n"/>
      <c r="U341" s="334" t="n"/>
      <c r="V341" s="334" t="n"/>
      <c r="W341" s="334" t="n"/>
      <c r="X341" s="334" t="n"/>
      <c r="Y341" s="334" t="n"/>
    </row>
    <row r="342" ht="15" customHeight="1" s="195">
      <c r="A342" s="280" t="n"/>
      <c r="B342" s="280" t="n"/>
      <c r="C342" s="280" t="n"/>
      <c r="D342" s="280" t="n"/>
      <c r="E342" s="280" t="n"/>
      <c r="F342" s="280" t="n"/>
      <c r="G342" s="280" t="n"/>
      <c r="H342" s="280" t="n"/>
      <c r="I342" s="332">
        <f>IFERROR(VLOOKUP(TEXT(H342,"0"),IPRESS!$A$3:$B$212,2,0),"")</f>
        <v/>
      </c>
      <c r="J342" s="280" t="n"/>
      <c r="K342" s="332">
        <f>IFERROR(VLOOKUP(TEXT(O342,"0"),CONDUCTORES!$A$3:$G$54,7,0),"")</f>
        <v/>
      </c>
      <c r="L342" s="280" t="n"/>
      <c r="M342" s="280" t="n"/>
      <c r="N342" s="333">
        <f>IFERROR(IF(L342*M342=0,"",L342*M342),"")</f>
        <v/>
      </c>
      <c r="O342" s="280" t="n"/>
      <c r="P342" s="332">
        <f>IFERROR(VLOOKUP(TEXT(O342,"0"),CONDUCTORES!$A$3:$G$54,2,0),"")</f>
        <v/>
      </c>
      <c r="Q342" s="332">
        <f>IFERROR(VLOOKUP(TEXT(O342,"0"),CONDUCTORES!$A$3:$H$54,6,0),"")</f>
        <v/>
      </c>
      <c r="R342" s="280" t="n"/>
      <c r="S342" s="280" t="n"/>
      <c r="T342" s="280" t="n"/>
      <c r="U342" s="280" t="n"/>
      <c r="V342" s="280" t="n"/>
      <c r="W342" s="280" t="n"/>
      <c r="X342" s="280" t="n"/>
      <c r="Y342" s="280" t="n"/>
    </row>
    <row r="343" ht="15" customHeight="1" s="195">
      <c r="A343" s="334" t="n"/>
      <c r="B343" s="334" t="n"/>
      <c r="C343" s="334" t="n"/>
      <c r="D343" s="334" t="n"/>
      <c r="E343" s="334" t="n"/>
      <c r="F343" s="334" t="n"/>
      <c r="G343" s="334" t="n"/>
      <c r="H343" s="334" t="n"/>
      <c r="I343" s="332">
        <f>IFERROR(VLOOKUP(TEXT(H343,"0"),IPRESS!$A$3:$B$212,2,0),"")</f>
        <v/>
      </c>
      <c r="J343" s="334" t="n"/>
      <c r="K343" s="332">
        <f>IFERROR(VLOOKUP(TEXT(O343,"0"),CONDUCTORES!$A$3:$G$54,7,0),"")</f>
        <v/>
      </c>
      <c r="L343" s="334" t="n"/>
      <c r="M343" s="334" t="n"/>
      <c r="N343" s="333">
        <f>IFERROR(IF(L343*M343=0,"",L343*M343),"")</f>
        <v/>
      </c>
      <c r="O343" s="334" t="n"/>
      <c r="P343" s="332">
        <f>IFERROR(VLOOKUP(TEXT(O343,"0"),CONDUCTORES!$A$3:$G$54,2,0),"")</f>
        <v/>
      </c>
      <c r="Q343" s="332">
        <f>IFERROR(VLOOKUP(TEXT(O343,"0"),CONDUCTORES!$A$3:$H$54,6,0),"")</f>
        <v/>
      </c>
      <c r="R343" s="334" t="n"/>
      <c r="S343" s="334" t="n"/>
      <c r="T343" s="334" t="n"/>
      <c r="U343" s="334" t="n"/>
      <c r="V343" s="334" t="n"/>
      <c r="W343" s="334" t="n"/>
      <c r="X343" s="334" t="n"/>
      <c r="Y343" s="334" t="n"/>
    </row>
    <row r="344" ht="15" customHeight="1" s="195">
      <c r="A344" s="280" t="n"/>
      <c r="B344" s="280" t="n"/>
      <c r="C344" s="280" t="n"/>
      <c r="D344" s="280" t="n"/>
      <c r="E344" s="280" t="n"/>
      <c r="F344" s="280" t="n"/>
      <c r="G344" s="280" t="n"/>
      <c r="H344" s="280" t="n"/>
      <c r="I344" s="332">
        <f>IFERROR(VLOOKUP(TEXT(H344,"0"),IPRESS!$A$3:$B$212,2,0),"")</f>
        <v/>
      </c>
      <c r="J344" s="280" t="n"/>
      <c r="K344" s="332">
        <f>IFERROR(VLOOKUP(TEXT(O344,"0"),CONDUCTORES!$A$3:$G$54,7,0),"")</f>
        <v/>
      </c>
      <c r="L344" s="280" t="n"/>
      <c r="M344" s="280" t="n"/>
      <c r="N344" s="333">
        <f>IFERROR(IF(L344*M344=0,"",L344*M344),"")</f>
        <v/>
      </c>
      <c r="O344" s="280" t="n"/>
      <c r="P344" s="332">
        <f>IFERROR(VLOOKUP(TEXT(O344,"0"),CONDUCTORES!$A$3:$G$54,2,0),"")</f>
        <v/>
      </c>
      <c r="Q344" s="332">
        <f>IFERROR(VLOOKUP(TEXT(O344,"0"),CONDUCTORES!$A$3:$H$54,6,0),"")</f>
        <v/>
      </c>
      <c r="R344" s="280" t="n"/>
      <c r="S344" s="280" t="n"/>
      <c r="T344" s="280" t="n"/>
      <c r="U344" s="280" t="n"/>
      <c r="V344" s="280" t="n"/>
      <c r="W344" s="280" t="n"/>
      <c r="X344" s="280" t="n"/>
      <c r="Y344" s="280" t="n"/>
    </row>
    <row r="345" ht="15" customHeight="1" s="195">
      <c r="A345" s="334" t="n"/>
      <c r="B345" s="334" t="n"/>
      <c r="C345" s="334" t="n"/>
      <c r="D345" s="334" t="n"/>
      <c r="E345" s="334" t="n"/>
      <c r="F345" s="334" t="n"/>
      <c r="G345" s="334" t="n"/>
      <c r="H345" s="334" t="n"/>
      <c r="I345" s="332">
        <f>IFERROR(VLOOKUP(TEXT(H345,"0"),IPRESS!$A$3:$B$212,2,0),"")</f>
        <v/>
      </c>
      <c r="J345" s="334" t="n"/>
      <c r="K345" s="332">
        <f>IFERROR(VLOOKUP(TEXT(O345,"0"),CONDUCTORES!$A$3:$G$54,7,0),"")</f>
        <v/>
      </c>
      <c r="L345" s="334" t="n"/>
      <c r="M345" s="334" t="n"/>
      <c r="N345" s="333">
        <f>IFERROR(IF(L345*M345=0,"",L345*M345),"")</f>
        <v/>
      </c>
      <c r="O345" s="334" t="n"/>
      <c r="P345" s="332">
        <f>IFERROR(VLOOKUP(TEXT(O345,"0"),CONDUCTORES!$A$3:$G$54,2,0),"")</f>
        <v/>
      </c>
      <c r="Q345" s="332">
        <f>IFERROR(VLOOKUP(TEXT(O345,"0"),CONDUCTORES!$A$3:$H$54,6,0),"")</f>
        <v/>
      </c>
      <c r="R345" s="334" t="n"/>
      <c r="S345" s="334" t="n"/>
      <c r="T345" s="334" t="n"/>
      <c r="U345" s="334" t="n"/>
      <c r="V345" s="334" t="n"/>
      <c r="W345" s="334" t="n"/>
      <c r="X345" s="334" t="n"/>
      <c r="Y345" s="334" t="n"/>
    </row>
    <row r="346" ht="15" customHeight="1" s="195">
      <c r="A346" s="280" t="n"/>
      <c r="B346" s="280" t="n"/>
      <c r="C346" s="280" t="n"/>
      <c r="D346" s="280" t="n"/>
      <c r="E346" s="280" t="n"/>
      <c r="F346" s="280" t="n"/>
      <c r="G346" s="280" t="n"/>
      <c r="H346" s="280" t="n"/>
      <c r="I346" s="332">
        <f>IFERROR(VLOOKUP(TEXT(H346,"0"),IPRESS!$A$3:$B$212,2,0),"")</f>
        <v/>
      </c>
      <c r="J346" s="280" t="n"/>
      <c r="K346" s="332">
        <f>IFERROR(VLOOKUP(TEXT(O346,"0"),CONDUCTORES!$A$3:$G$54,7,0),"")</f>
        <v/>
      </c>
      <c r="L346" s="280" t="n"/>
      <c r="M346" s="280" t="n"/>
      <c r="N346" s="333">
        <f>IFERROR(IF(L346*M346=0,"",L346*M346),"")</f>
        <v/>
      </c>
      <c r="O346" s="280" t="n"/>
      <c r="P346" s="332">
        <f>IFERROR(VLOOKUP(TEXT(O346,"0"),CONDUCTORES!$A$3:$G$54,2,0),"")</f>
        <v/>
      </c>
      <c r="Q346" s="332">
        <f>IFERROR(VLOOKUP(TEXT(O346,"0"),CONDUCTORES!$A$3:$H$54,6,0),"")</f>
        <v/>
      </c>
      <c r="R346" s="280" t="n"/>
      <c r="S346" s="280" t="n"/>
      <c r="T346" s="280" t="n"/>
      <c r="U346" s="280" t="n"/>
      <c r="V346" s="280" t="n"/>
      <c r="W346" s="280" t="n"/>
      <c r="X346" s="280" t="n"/>
      <c r="Y346" s="280" t="n"/>
    </row>
    <row r="347" ht="15" customHeight="1" s="195">
      <c r="A347" s="334" t="n"/>
      <c r="B347" s="334" t="n"/>
      <c r="C347" s="334" t="n"/>
      <c r="D347" s="334" t="n"/>
      <c r="E347" s="334" t="n"/>
      <c r="F347" s="334" t="n"/>
      <c r="G347" s="334" t="n"/>
      <c r="H347" s="334" t="n"/>
      <c r="I347" s="332">
        <f>IFERROR(VLOOKUP(TEXT(H347,"0"),IPRESS!$A$3:$B$212,2,0),"")</f>
        <v/>
      </c>
      <c r="J347" s="334" t="n"/>
      <c r="K347" s="332">
        <f>IFERROR(VLOOKUP(TEXT(O347,"0"),CONDUCTORES!$A$3:$G$54,7,0),"")</f>
        <v/>
      </c>
      <c r="L347" s="334" t="n"/>
      <c r="M347" s="334" t="n"/>
      <c r="N347" s="333">
        <f>IFERROR(IF(L347*M347=0,"",L347*M347),"")</f>
        <v/>
      </c>
      <c r="O347" s="334" t="n"/>
      <c r="P347" s="332">
        <f>IFERROR(VLOOKUP(TEXT(O347,"0"),CONDUCTORES!$A$3:$G$54,2,0),"")</f>
        <v/>
      </c>
      <c r="Q347" s="332">
        <f>IFERROR(VLOOKUP(TEXT(O347,"0"),CONDUCTORES!$A$3:$H$54,6,0),"")</f>
        <v/>
      </c>
      <c r="R347" s="334" t="n"/>
      <c r="S347" s="334" t="n"/>
      <c r="T347" s="334" t="n"/>
      <c r="U347" s="334" t="n"/>
      <c r="V347" s="334" t="n"/>
      <c r="W347" s="334" t="n"/>
      <c r="X347" s="334" t="n"/>
      <c r="Y347" s="334" t="n"/>
    </row>
    <row r="348" ht="15" customHeight="1" s="195">
      <c r="A348" s="280" t="n"/>
      <c r="B348" s="280" t="n"/>
      <c r="C348" s="280" t="n"/>
      <c r="D348" s="280" t="n"/>
      <c r="E348" s="280" t="n"/>
      <c r="F348" s="280" t="n"/>
      <c r="G348" s="280" t="n"/>
      <c r="H348" s="280" t="n"/>
      <c r="I348" s="332">
        <f>IFERROR(VLOOKUP(TEXT(H348,"0"),IPRESS!$A$3:$B$212,2,0),"")</f>
        <v/>
      </c>
      <c r="J348" s="280" t="n"/>
      <c r="K348" s="332">
        <f>IFERROR(VLOOKUP(TEXT(O348,"0"),CONDUCTORES!$A$3:$G$54,7,0),"")</f>
        <v/>
      </c>
      <c r="L348" s="280" t="n"/>
      <c r="M348" s="280" t="n"/>
      <c r="N348" s="333">
        <f>IFERROR(IF(L348*M348=0,"",L348*M348),"")</f>
        <v/>
      </c>
      <c r="O348" s="280" t="n"/>
      <c r="P348" s="332">
        <f>IFERROR(VLOOKUP(TEXT(O348,"0"),CONDUCTORES!$A$3:$G$54,2,0),"")</f>
        <v/>
      </c>
      <c r="Q348" s="332">
        <f>IFERROR(VLOOKUP(TEXT(O348,"0"),CONDUCTORES!$A$3:$H$54,6,0),"")</f>
        <v/>
      </c>
      <c r="R348" s="280" t="n"/>
      <c r="S348" s="280" t="n"/>
      <c r="T348" s="280" t="n"/>
      <c r="U348" s="280" t="n"/>
      <c r="V348" s="280" t="n"/>
      <c r="W348" s="280" t="n"/>
      <c r="X348" s="280" t="n"/>
      <c r="Y348" s="280" t="n"/>
    </row>
    <row r="349" ht="15" customHeight="1" s="195">
      <c r="A349" s="334" t="n"/>
      <c r="B349" s="334" t="n"/>
      <c r="C349" s="334" t="n"/>
      <c r="D349" s="334" t="n"/>
      <c r="E349" s="334" t="n"/>
      <c r="F349" s="334" t="n"/>
      <c r="G349" s="334" t="n"/>
      <c r="H349" s="334" t="n"/>
      <c r="I349" s="332">
        <f>IFERROR(VLOOKUP(TEXT(H349,"0"),IPRESS!$A$3:$B$212,2,0),"")</f>
        <v/>
      </c>
      <c r="J349" s="334" t="n"/>
      <c r="K349" s="332">
        <f>IFERROR(VLOOKUP(TEXT(O349,"0"),CONDUCTORES!$A$3:$G$54,7,0),"")</f>
        <v/>
      </c>
      <c r="L349" s="334" t="n"/>
      <c r="M349" s="334" t="n"/>
      <c r="N349" s="333">
        <f>IFERROR(IF(L349*M349=0,"",L349*M349),"")</f>
        <v/>
      </c>
      <c r="O349" s="334" t="n"/>
      <c r="P349" s="332">
        <f>IFERROR(VLOOKUP(TEXT(O349,"0"),CONDUCTORES!$A$3:$G$54,2,0),"")</f>
        <v/>
      </c>
      <c r="Q349" s="332">
        <f>IFERROR(VLOOKUP(TEXT(O349,"0"),CONDUCTORES!$A$3:$H$54,6,0),"")</f>
        <v/>
      </c>
      <c r="R349" s="334" t="n"/>
      <c r="S349" s="334" t="n"/>
      <c r="T349" s="334" t="n"/>
      <c r="U349" s="334" t="n"/>
      <c r="V349" s="334" t="n"/>
      <c r="W349" s="334" t="n"/>
      <c r="X349" s="334" t="n"/>
      <c r="Y349" s="334" t="n"/>
    </row>
    <row r="350" ht="15" customHeight="1" s="195">
      <c r="A350" s="280" t="n"/>
      <c r="B350" s="280" t="n"/>
      <c r="C350" s="280" t="n"/>
      <c r="D350" s="280" t="n"/>
      <c r="E350" s="280" t="n"/>
      <c r="F350" s="280" t="n"/>
      <c r="G350" s="280" t="n"/>
      <c r="H350" s="280" t="n"/>
      <c r="I350" s="332">
        <f>IFERROR(VLOOKUP(TEXT(H350,"0"),IPRESS!$A$3:$B$212,2,0),"")</f>
        <v/>
      </c>
      <c r="J350" s="280" t="n"/>
      <c r="K350" s="332">
        <f>IFERROR(VLOOKUP(TEXT(O350,"0"),CONDUCTORES!$A$3:$G$54,7,0),"")</f>
        <v/>
      </c>
      <c r="L350" s="280" t="n"/>
      <c r="M350" s="280" t="n"/>
      <c r="N350" s="333">
        <f>IFERROR(IF(L350*M350=0,"",L350*M350),"")</f>
        <v/>
      </c>
      <c r="O350" s="280" t="n"/>
      <c r="P350" s="332">
        <f>IFERROR(VLOOKUP(TEXT(O350,"0"),CONDUCTORES!$A$3:$G$54,2,0),"")</f>
        <v/>
      </c>
      <c r="Q350" s="332">
        <f>IFERROR(VLOOKUP(TEXT(O350,"0"),CONDUCTORES!$A$3:$H$54,6,0),"")</f>
        <v/>
      </c>
      <c r="R350" s="280" t="n"/>
      <c r="S350" s="280" t="n"/>
      <c r="T350" s="280" t="n"/>
      <c r="U350" s="280" t="n"/>
      <c r="V350" s="280" t="n"/>
      <c r="W350" s="280" t="n"/>
      <c r="X350" s="280" t="n"/>
      <c r="Y350" s="280" t="n"/>
    </row>
    <row r="351" ht="15" customHeight="1" s="195">
      <c r="A351" s="334" t="n"/>
      <c r="B351" s="334" t="n"/>
      <c r="C351" s="334" t="n"/>
      <c r="D351" s="334" t="n"/>
      <c r="E351" s="334" t="n"/>
      <c r="F351" s="334" t="n"/>
      <c r="G351" s="334" t="n"/>
      <c r="H351" s="334" t="n"/>
      <c r="I351" s="332">
        <f>IFERROR(VLOOKUP(TEXT(H351,"0"),IPRESS!$A$3:$B$212,2,0),"")</f>
        <v/>
      </c>
      <c r="J351" s="334" t="n"/>
      <c r="K351" s="332">
        <f>IFERROR(VLOOKUP(TEXT(O351,"0"),CONDUCTORES!$A$3:$G$54,7,0),"")</f>
        <v/>
      </c>
      <c r="L351" s="334" t="n"/>
      <c r="M351" s="334" t="n"/>
      <c r="N351" s="333">
        <f>IFERROR(IF(L351*M351=0,"",L351*M351),"")</f>
        <v/>
      </c>
      <c r="O351" s="334" t="n"/>
      <c r="P351" s="332">
        <f>IFERROR(VLOOKUP(TEXT(O351,"0"),CONDUCTORES!$A$3:$G$54,2,0),"")</f>
        <v/>
      </c>
      <c r="Q351" s="332">
        <f>IFERROR(VLOOKUP(TEXT(O351,"0"),CONDUCTORES!$A$3:$H$54,6,0),"")</f>
        <v/>
      </c>
      <c r="R351" s="334" t="n"/>
      <c r="S351" s="334" t="n"/>
      <c r="T351" s="334" t="n"/>
      <c r="U351" s="334" t="n"/>
      <c r="V351" s="334" t="n"/>
      <c r="W351" s="334" t="n"/>
      <c r="X351" s="334" t="n"/>
      <c r="Y351" s="334" t="n"/>
    </row>
    <row r="352" ht="15" customHeight="1" s="195">
      <c r="A352" s="280" t="n"/>
      <c r="B352" s="280" t="n"/>
      <c r="C352" s="280" t="n"/>
      <c r="D352" s="280" t="n"/>
      <c r="E352" s="280" t="n"/>
      <c r="F352" s="280" t="n"/>
      <c r="G352" s="280" t="n"/>
      <c r="H352" s="280" t="n"/>
      <c r="I352" s="332">
        <f>IFERROR(VLOOKUP(TEXT(H352,"0"),IPRESS!$A$3:$B$212,2,0),"")</f>
        <v/>
      </c>
      <c r="J352" s="280" t="n"/>
      <c r="K352" s="332">
        <f>IFERROR(VLOOKUP(TEXT(O352,"0"),CONDUCTORES!$A$3:$G$54,7,0),"")</f>
        <v/>
      </c>
      <c r="L352" s="280" t="n"/>
      <c r="M352" s="280" t="n"/>
      <c r="N352" s="333">
        <f>IFERROR(IF(L352*M352=0,"",L352*M352),"")</f>
        <v/>
      </c>
      <c r="O352" s="280" t="n"/>
      <c r="P352" s="332">
        <f>IFERROR(VLOOKUP(TEXT(O352,"0"),CONDUCTORES!$A$3:$G$54,2,0),"")</f>
        <v/>
      </c>
      <c r="Q352" s="332">
        <f>IFERROR(VLOOKUP(TEXT(O352,"0"),CONDUCTORES!$A$3:$H$54,6,0),"")</f>
        <v/>
      </c>
      <c r="R352" s="280" t="n"/>
      <c r="S352" s="280" t="n"/>
      <c r="T352" s="280" t="n"/>
      <c r="U352" s="280" t="n"/>
      <c r="V352" s="280" t="n"/>
      <c r="W352" s="280" t="n"/>
      <c r="X352" s="280" t="n"/>
      <c r="Y352" s="280" t="n"/>
    </row>
    <row r="353" ht="15" customHeight="1" s="195">
      <c r="A353" s="334" t="n"/>
      <c r="B353" s="334" t="n"/>
      <c r="C353" s="334" t="n"/>
      <c r="D353" s="334" t="n"/>
      <c r="E353" s="334" t="n"/>
      <c r="F353" s="334" t="n"/>
      <c r="G353" s="334" t="n"/>
      <c r="H353" s="334" t="n"/>
      <c r="I353" s="332">
        <f>IFERROR(VLOOKUP(TEXT(H353,"0"),IPRESS!$A$3:$B$212,2,0),"")</f>
        <v/>
      </c>
      <c r="J353" s="334" t="n"/>
      <c r="K353" s="332">
        <f>IFERROR(VLOOKUP(TEXT(O353,"0"),CONDUCTORES!$A$3:$G$54,7,0),"")</f>
        <v/>
      </c>
      <c r="L353" s="334" t="n"/>
      <c r="M353" s="334" t="n"/>
      <c r="N353" s="333">
        <f>IFERROR(IF(L353*M353=0,"",L353*M353),"")</f>
        <v/>
      </c>
      <c r="O353" s="334" t="n"/>
      <c r="P353" s="332">
        <f>IFERROR(VLOOKUP(TEXT(O353,"0"),CONDUCTORES!$A$3:$G$54,2,0),"")</f>
        <v/>
      </c>
      <c r="Q353" s="332">
        <f>IFERROR(VLOOKUP(TEXT(O353,"0"),CONDUCTORES!$A$3:$H$54,6,0),"")</f>
        <v/>
      </c>
      <c r="R353" s="334" t="n"/>
      <c r="S353" s="334" t="n"/>
      <c r="T353" s="334" t="n"/>
      <c r="U353" s="334" t="n"/>
      <c r="V353" s="334" t="n"/>
      <c r="W353" s="334" t="n"/>
      <c r="X353" s="334" t="n"/>
      <c r="Y353" s="334" t="n"/>
    </row>
    <row r="354" ht="15" customHeight="1" s="195">
      <c r="A354" s="280" t="n"/>
      <c r="B354" s="280" t="n"/>
      <c r="C354" s="280" t="n"/>
      <c r="D354" s="280" t="n"/>
      <c r="E354" s="280" t="n"/>
      <c r="F354" s="280" t="n"/>
      <c r="G354" s="280" t="n"/>
      <c r="H354" s="280" t="n"/>
      <c r="I354" s="332">
        <f>IFERROR(VLOOKUP(TEXT(H354,"0"),IPRESS!$A$3:$B$212,2,0),"")</f>
        <v/>
      </c>
      <c r="J354" s="280" t="n"/>
      <c r="K354" s="332">
        <f>IFERROR(VLOOKUP(TEXT(O354,"0"),CONDUCTORES!$A$3:$G$54,7,0),"")</f>
        <v/>
      </c>
      <c r="L354" s="280" t="n"/>
      <c r="M354" s="280" t="n"/>
      <c r="N354" s="333">
        <f>IFERROR(IF(L354*M354=0,"",L354*M354),"")</f>
        <v/>
      </c>
      <c r="O354" s="280" t="n"/>
      <c r="P354" s="332">
        <f>IFERROR(VLOOKUP(TEXT(O354,"0"),CONDUCTORES!$A$3:$G$54,2,0),"")</f>
        <v/>
      </c>
      <c r="Q354" s="332">
        <f>IFERROR(VLOOKUP(TEXT(O354,"0"),CONDUCTORES!$A$3:$H$54,6,0),"")</f>
        <v/>
      </c>
      <c r="R354" s="280" t="n"/>
      <c r="S354" s="280" t="n"/>
      <c r="T354" s="280" t="n"/>
      <c r="U354" s="280" t="n"/>
      <c r="V354" s="280" t="n"/>
      <c r="W354" s="280" t="n"/>
      <c r="X354" s="280" t="n"/>
      <c r="Y354" s="280" t="n"/>
    </row>
    <row r="355" ht="15" customHeight="1" s="195">
      <c r="A355" s="334" t="n"/>
      <c r="B355" s="334" t="n"/>
      <c r="C355" s="334" t="n"/>
      <c r="D355" s="334" t="n"/>
      <c r="E355" s="334" t="n"/>
      <c r="F355" s="334" t="n"/>
      <c r="G355" s="334" t="n"/>
      <c r="H355" s="334" t="n"/>
      <c r="I355" s="332">
        <f>IFERROR(VLOOKUP(TEXT(H355,"0"),IPRESS!$A$3:$B$212,2,0),"")</f>
        <v/>
      </c>
      <c r="J355" s="334" t="n"/>
      <c r="K355" s="332">
        <f>IFERROR(VLOOKUP(TEXT(O355,"0"),CONDUCTORES!$A$3:$G$54,7,0),"")</f>
        <v/>
      </c>
      <c r="L355" s="334" t="n"/>
      <c r="M355" s="334" t="n"/>
      <c r="N355" s="333">
        <f>IFERROR(IF(L355*M355=0,"",L355*M355),"")</f>
        <v/>
      </c>
      <c r="O355" s="334" t="n"/>
      <c r="P355" s="332">
        <f>IFERROR(VLOOKUP(TEXT(O355,"0"),CONDUCTORES!$A$3:$G$54,2,0),"")</f>
        <v/>
      </c>
      <c r="Q355" s="332">
        <f>IFERROR(VLOOKUP(TEXT(O355,"0"),CONDUCTORES!$A$3:$H$54,6,0),"")</f>
        <v/>
      </c>
      <c r="R355" s="334" t="n"/>
      <c r="S355" s="334" t="n"/>
      <c r="T355" s="334" t="n"/>
      <c r="U355" s="334" t="n"/>
      <c r="V355" s="334" t="n"/>
      <c r="W355" s="334" t="n"/>
      <c r="X355" s="334" t="n"/>
      <c r="Y355" s="334" t="n"/>
    </row>
    <row r="356" ht="15" customHeight="1" s="195">
      <c r="A356" s="280" t="n"/>
      <c r="B356" s="280" t="n"/>
      <c r="C356" s="280" t="n"/>
      <c r="D356" s="280" t="n"/>
      <c r="E356" s="280" t="n"/>
      <c r="F356" s="280" t="n"/>
      <c r="G356" s="280" t="n"/>
      <c r="H356" s="280" t="n"/>
      <c r="I356" s="332">
        <f>IFERROR(VLOOKUP(TEXT(H356,"0"),IPRESS!$A$3:$B$212,2,0),"")</f>
        <v/>
      </c>
      <c r="J356" s="280" t="n"/>
      <c r="K356" s="332">
        <f>IFERROR(VLOOKUP(TEXT(O356,"0"),CONDUCTORES!$A$3:$G$54,7,0),"")</f>
        <v/>
      </c>
      <c r="L356" s="280" t="n"/>
      <c r="M356" s="280" t="n"/>
      <c r="N356" s="333">
        <f>IFERROR(IF(L356*M356=0,"",L356*M356),"")</f>
        <v/>
      </c>
      <c r="O356" s="280" t="n"/>
      <c r="P356" s="332">
        <f>IFERROR(VLOOKUP(TEXT(O356,"0"),CONDUCTORES!$A$3:$G$54,2,0),"")</f>
        <v/>
      </c>
      <c r="Q356" s="332">
        <f>IFERROR(VLOOKUP(TEXT(O356,"0"),CONDUCTORES!$A$3:$H$54,6,0),"")</f>
        <v/>
      </c>
      <c r="R356" s="280" t="n"/>
      <c r="S356" s="280" t="n"/>
      <c r="T356" s="280" t="n"/>
      <c r="U356" s="280" t="n"/>
      <c r="V356" s="280" t="n"/>
      <c r="W356" s="280" t="n"/>
      <c r="X356" s="280" t="n"/>
      <c r="Y356" s="280" t="n"/>
    </row>
    <row r="357" ht="15" customHeight="1" s="195">
      <c r="A357" s="334" t="n"/>
      <c r="B357" s="334" t="n"/>
      <c r="C357" s="334" t="n"/>
      <c r="D357" s="334" t="n"/>
      <c r="E357" s="334" t="n"/>
      <c r="F357" s="334" t="n"/>
      <c r="G357" s="334" t="n"/>
      <c r="H357" s="334" t="n"/>
      <c r="I357" s="332">
        <f>IFERROR(VLOOKUP(TEXT(H357,"0"),IPRESS!$A$3:$B$212,2,0),"")</f>
        <v/>
      </c>
      <c r="J357" s="334" t="n"/>
      <c r="K357" s="332">
        <f>IFERROR(VLOOKUP(TEXT(O357,"0"),CONDUCTORES!$A$3:$G$54,7,0),"")</f>
        <v/>
      </c>
      <c r="L357" s="334" t="n"/>
      <c r="M357" s="334" t="n"/>
      <c r="N357" s="333">
        <f>IFERROR(IF(L357*M357=0,"",L357*M357),"")</f>
        <v/>
      </c>
      <c r="O357" s="334" t="n"/>
      <c r="P357" s="332">
        <f>IFERROR(VLOOKUP(TEXT(O357,"0"),CONDUCTORES!$A$3:$G$54,2,0),"")</f>
        <v/>
      </c>
      <c r="Q357" s="332">
        <f>IFERROR(VLOOKUP(TEXT(O357,"0"),CONDUCTORES!$A$3:$H$54,6,0),"")</f>
        <v/>
      </c>
      <c r="R357" s="334" t="n"/>
      <c r="S357" s="334" t="n"/>
      <c r="T357" s="334" t="n"/>
      <c r="U357" s="334" t="n"/>
      <c r="V357" s="334" t="n"/>
      <c r="W357" s="334" t="n"/>
      <c r="X357" s="334" t="n"/>
      <c r="Y357" s="334" t="n"/>
    </row>
    <row r="358" ht="15" customHeight="1" s="195">
      <c r="A358" s="280" t="n"/>
      <c r="B358" s="280" t="n"/>
      <c r="C358" s="280" t="n"/>
      <c r="D358" s="280" t="n"/>
      <c r="E358" s="280" t="n"/>
      <c r="F358" s="280" t="n"/>
      <c r="G358" s="280" t="n"/>
      <c r="H358" s="280" t="n"/>
      <c r="I358" s="332">
        <f>IFERROR(VLOOKUP(TEXT(H358,"0"),IPRESS!$A$3:$B$212,2,0),"")</f>
        <v/>
      </c>
      <c r="J358" s="280" t="n"/>
      <c r="K358" s="332">
        <f>IFERROR(VLOOKUP(TEXT(O358,"0"),CONDUCTORES!$A$3:$G$54,7,0),"")</f>
        <v/>
      </c>
      <c r="L358" s="280" t="n"/>
      <c r="M358" s="280" t="n"/>
      <c r="N358" s="333">
        <f>IFERROR(IF(L358*M358=0,"",L358*M358),"")</f>
        <v/>
      </c>
      <c r="O358" s="280" t="n"/>
      <c r="P358" s="332">
        <f>IFERROR(VLOOKUP(TEXT(O358,"0"),CONDUCTORES!$A$3:$G$54,2,0),"")</f>
        <v/>
      </c>
      <c r="Q358" s="332">
        <f>IFERROR(VLOOKUP(TEXT(O358,"0"),CONDUCTORES!$A$3:$H$54,6,0),"")</f>
        <v/>
      </c>
      <c r="R358" s="280" t="n"/>
      <c r="S358" s="280" t="n"/>
      <c r="T358" s="280" t="n"/>
      <c r="U358" s="280" t="n"/>
      <c r="V358" s="280" t="n"/>
      <c r="W358" s="280" t="n"/>
      <c r="X358" s="280" t="n"/>
      <c r="Y358" s="280" t="n"/>
    </row>
    <row r="359" ht="15" customHeight="1" s="195">
      <c r="A359" s="334" t="n"/>
      <c r="B359" s="334" t="n"/>
      <c r="C359" s="334" t="n"/>
      <c r="D359" s="334" t="n"/>
      <c r="E359" s="334" t="n"/>
      <c r="F359" s="334" t="n"/>
      <c r="G359" s="334" t="n"/>
      <c r="H359" s="334" t="n"/>
      <c r="I359" s="332">
        <f>IFERROR(VLOOKUP(TEXT(H359,"0"),IPRESS!$A$3:$B$212,2,0),"")</f>
        <v/>
      </c>
      <c r="J359" s="334" t="n"/>
      <c r="K359" s="332">
        <f>IFERROR(VLOOKUP(TEXT(O359,"0"),CONDUCTORES!$A$3:$G$54,7,0),"")</f>
        <v/>
      </c>
      <c r="L359" s="334" t="n"/>
      <c r="M359" s="334" t="n"/>
      <c r="N359" s="333">
        <f>IFERROR(IF(L359*M359=0,"",L359*M359),"")</f>
        <v/>
      </c>
      <c r="O359" s="334" t="n"/>
      <c r="P359" s="332">
        <f>IFERROR(VLOOKUP(TEXT(O359,"0"),CONDUCTORES!$A$3:$G$54,2,0),"")</f>
        <v/>
      </c>
      <c r="Q359" s="332">
        <f>IFERROR(VLOOKUP(TEXT(O359,"0"),CONDUCTORES!$A$3:$H$54,6,0),"")</f>
        <v/>
      </c>
      <c r="R359" s="334" t="n"/>
      <c r="S359" s="334" t="n"/>
      <c r="T359" s="334" t="n"/>
      <c r="U359" s="334" t="n"/>
      <c r="V359" s="334" t="n"/>
      <c r="W359" s="334" t="n"/>
      <c r="X359" s="334" t="n"/>
      <c r="Y359" s="334" t="n"/>
    </row>
    <row r="360" ht="15" customHeight="1" s="195">
      <c r="A360" s="280" t="n"/>
      <c r="B360" s="280" t="n"/>
      <c r="C360" s="280" t="n"/>
      <c r="D360" s="280" t="n"/>
      <c r="E360" s="280" t="n"/>
      <c r="F360" s="280" t="n"/>
      <c r="G360" s="280" t="n"/>
      <c r="H360" s="280" t="n"/>
      <c r="I360" s="332">
        <f>IFERROR(VLOOKUP(TEXT(H360,"0"),IPRESS!$A$3:$B$212,2,0),"")</f>
        <v/>
      </c>
      <c r="J360" s="280" t="n"/>
      <c r="K360" s="332">
        <f>IFERROR(VLOOKUP(TEXT(O360,"0"),CONDUCTORES!$A$3:$G$54,7,0),"")</f>
        <v/>
      </c>
      <c r="L360" s="280" t="n"/>
      <c r="M360" s="280" t="n"/>
      <c r="N360" s="333">
        <f>IFERROR(IF(L360*M360=0,"",L360*M360),"")</f>
        <v/>
      </c>
      <c r="O360" s="280" t="n"/>
      <c r="P360" s="332">
        <f>IFERROR(VLOOKUP(TEXT(O360,"0"),CONDUCTORES!$A$3:$G$54,2,0),"")</f>
        <v/>
      </c>
      <c r="Q360" s="332">
        <f>IFERROR(VLOOKUP(TEXT(O360,"0"),CONDUCTORES!$A$3:$H$54,6,0),"")</f>
        <v/>
      </c>
      <c r="R360" s="280" t="n"/>
      <c r="S360" s="280" t="n"/>
      <c r="T360" s="280" t="n"/>
      <c r="U360" s="280" t="n"/>
      <c r="V360" s="280" t="n"/>
      <c r="W360" s="280" t="n"/>
      <c r="X360" s="280" t="n"/>
      <c r="Y360" s="280" t="n"/>
    </row>
    <row r="361" ht="15" customHeight="1" s="195">
      <c r="A361" s="334" t="n"/>
      <c r="B361" s="334" t="n"/>
      <c r="C361" s="334" t="n"/>
      <c r="D361" s="334" t="n"/>
      <c r="E361" s="334" t="n"/>
      <c r="F361" s="334" t="n"/>
      <c r="G361" s="334" t="n"/>
      <c r="H361" s="334" t="n"/>
      <c r="I361" s="332">
        <f>IFERROR(VLOOKUP(TEXT(H361,"0"),IPRESS!$A$3:$B$212,2,0),"")</f>
        <v/>
      </c>
      <c r="J361" s="334" t="n"/>
      <c r="K361" s="332">
        <f>IFERROR(VLOOKUP(TEXT(O361,"0"),CONDUCTORES!$A$3:$G$54,7,0),"")</f>
        <v/>
      </c>
      <c r="L361" s="334" t="n"/>
      <c r="M361" s="334" t="n"/>
      <c r="N361" s="333">
        <f>IFERROR(IF(L361*M361=0,"",L361*M361),"")</f>
        <v/>
      </c>
      <c r="O361" s="334" t="n"/>
      <c r="P361" s="332">
        <f>IFERROR(VLOOKUP(TEXT(O361,"0"),CONDUCTORES!$A$3:$G$54,2,0),"")</f>
        <v/>
      </c>
      <c r="Q361" s="332">
        <f>IFERROR(VLOOKUP(TEXT(O361,"0"),CONDUCTORES!$A$3:$H$54,6,0),"")</f>
        <v/>
      </c>
      <c r="R361" s="334" t="n"/>
      <c r="S361" s="334" t="n"/>
      <c r="T361" s="334" t="n"/>
      <c r="U361" s="334" t="n"/>
      <c r="V361" s="334" t="n"/>
      <c r="W361" s="334" t="n"/>
      <c r="X361" s="334" t="n"/>
      <c r="Y361" s="334" t="n"/>
    </row>
    <row r="362" ht="15" customHeight="1" s="195">
      <c r="A362" s="280" t="n"/>
      <c r="B362" s="280" t="n"/>
      <c r="C362" s="280" t="n"/>
      <c r="D362" s="280" t="n"/>
      <c r="E362" s="280" t="n"/>
      <c r="F362" s="280" t="n"/>
      <c r="G362" s="280" t="n"/>
      <c r="H362" s="280" t="n"/>
      <c r="I362" s="332">
        <f>IFERROR(VLOOKUP(TEXT(H362,"0"),IPRESS!$A$3:$B$212,2,0),"")</f>
        <v/>
      </c>
      <c r="J362" s="280" t="n"/>
      <c r="K362" s="332">
        <f>IFERROR(VLOOKUP(TEXT(O362,"0"),CONDUCTORES!$A$3:$G$54,7,0),"")</f>
        <v/>
      </c>
      <c r="L362" s="280" t="n"/>
      <c r="M362" s="280" t="n"/>
      <c r="N362" s="333">
        <f>IFERROR(IF(L362*M362=0,"",L362*M362),"")</f>
        <v/>
      </c>
      <c r="O362" s="280" t="n"/>
      <c r="P362" s="332">
        <f>IFERROR(VLOOKUP(TEXT(O362,"0"),CONDUCTORES!$A$3:$G$54,2,0),"")</f>
        <v/>
      </c>
      <c r="Q362" s="332">
        <f>IFERROR(VLOOKUP(TEXT(O362,"0"),CONDUCTORES!$A$3:$H$54,6,0),"")</f>
        <v/>
      </c>
      <c r="R362" s="280" t="n"/>
      <c r="S362" s="280" t="n"/>
      <c r="T362" s="280" t="n"/>
      <c r="U362" s="280" t="n"/>
      <c r="V362" s="280" t="n"/>
      <c r="W362" s="280" t="n"/>
      <c r="X362" s="280" t="n"/>
      <c r="Y362" s="280" t="n"/>
    </row>
    <row r="363" ht="15" customHeight="1" s="195">
      <c r="A363" s="334" t="n"/>
      <c r="B363" s="334" t="n"/>
      <c r="C363" s="334" t="n"/>
      <c r="D363" s="334" t="n"/>
      <c r="E363" s="334" t="n"/>
      <c r="F363" s="334" t="n"/>
      <c r="G363" s="334" t="n"/>
      <c r="H363" s="334" t="n"/>
      <c r="I363" s="332">
        <f>IFERROR(VLOOKUP(TEXT(H363,"0"),IPRESS!$A$3:$B$212,2,0),"")</f>
        <v/>
      </c>
      <c r="J363" s="334" t="n"/>
      <c r="K363" s="332">
        <f>IFERROR(VLOOKUP(TEXT(O363,"0"),CONDUCTORES!$A$3:$G$54,7,0),"")</f>
        <v/>
      </c>
      <c r="L363" s="334" t="n"/>
      <c r="M363" s="334" t="n"/>
      <c r="N363" s="333">
        <f>IFERROR(IF(L363*M363=0,"",L363*M363),"")</f>
        <v/>
      </c>
      <c r="O363" s="334" t="n"/>
      <c r="P363" s="332">
        <f>IFERROR(VLOOKUP(TEXT(O363,"0"),CONDUCTORES!$A$3:$G$54,2,0),"")</f>
        <v/>
      </c>
      <c r="Q363" s="332">
        <f>IFERROR(VLOOKUP(TEXT(O363,"0"),CONDUCTORES!$A$3:$H$54,6,0),"")</f>
        <v/>
      </c>
      <c r="R363" s="334" t="n"/>
      <c r="S363" s="334" t="n"/>
      <c r="T363" s="334" t="n"/>
      <c r="U363" s="334" t="n"/>
      <c r="V363" s="334" t="n"/>
      <c r="W363" s="334" t="n"/>
      <c r="X363" s="334" t="n"/>
      <c r="Y363" s="334" t="n"/>
    </row>
    <row r="364" ht="15" customHeight="1" s="195">
      <c r="A364" s="280" t="n"/>
      <c r="B364" s="280" t="n"/>
      <c r="C364" s="280" t="n"/>
      <c r="D364" s="280" t="n"/>
      <c r="E364" s="280" t="n"/>
      <c r="F364" s="280" t="n"/>
      <c r="G364" s="280" t="n"/>
      <c r="H364" s="280" t="n"/>
      <c r="I364" s="332">
        <f>IFERROR(VLOOKUP(TEXT(H364,"0"),IPRESS!$A$3:$B$212,2,0),"")</f>
        <v/>
      </c>
      <c r="J364" s="280" t="n"/>
      <c r="K364" s="332">
        <f>IFERROR(VLOOKUP(TEXT(O364,"0"),CONDUCTORES!$A$3:$G$54,7,0),"")</f>
        <v/>
      </c>
      <c r="L364" s="280" t="n"/>
      <c r="M364" s="280" t="n"/>
      <c r="N364" s="333">
        <f>IFERROR(IF(L364*M364=0,"",L364*M364),"")</f>
        <v/>
      </c>
      <c r="O364" s="280" t="n"/>
      <c r="P364" s="332">
        <f>IFERROR(VLOOKUP(TEXT(O364,"0"),CONDUCTORES!$A$3:$G$54,2,0),"")</f>
        <v/>
      </c>
      <c r="Q364" s="332">
        <f>IFERROR(VLOOKUP(TEXT(O364,"0"),CONDUCTORES!$A$3:$H$54,6,0),"")</f>
        <v/>
      </c>
      <c r="R364" s="280" t="n"/>
      <c r="S364" s="280" t="n"/>
      <c r="T364" s="280" t="n"/>
      <c r="U364" s="280" t="n"/>
      <c r="V364" s="280" t="n"/>
      <c r="W364" s="280" t="n"/>
      <c r="X364" s="280" t="n"/>
      <c r="Y364" s="280" t="n"/>
    </row>
    <row r="365" ht="15" customHeight="1" s="195">
      <c r="A365" s="334" t="n"/>
      <c r="B365" s="334" t="n"/>
      <c r="C365" s="334" t="n"/>
      <c r="D365" s="334" t="n"/>
      <c r="E365" s="334" t="n"/>
      <c r="F365" s="334" t="n"/>
      <c r="G365" s="334" t="n"/>
      <c r="H365" s="334" t="n"/>
      <c r="I365" s="332">
        <f>IFERROR(VLOOKUP(TEXT(H365,"0"),IPRESS!$A$3:$B$212,2,0),"")</f>
        <v/>
      </c>
      <c r="J365" s="334" t="n"/>
      <c r="K365" s="332">
        <f>IFERROR(VLOOKUP(TEXT(O365,"0"),CONDUCTORES!$A$3:$G$54,7,0),"")</f>
        <v/>
      </c>
      <c r="L365" s="334" t="n"/>
      <c r="M365" s="334" t="n"/>
      <c r="N365" s="333">
        <f>IFERROR(IF(L365*M365=0,"",L365*M365),"")</f>
        <v/>
      </c>
      <c r="O365" s="334" t="n"/>
      <c r="P365" s="332">
        <f>IFERROR(VLOOKUP(TEXT(O365,"0"),CONDUCTORES!$A$3:$G$54,2,0),"")</f>
        <v/>
      </c>
      <c r="Q365" s="332">
        <f>IFERROR(VLOOKUP(TEXT(O365,"0"),CONDUCTORES!$A$3:$H$54,6,0),"")</f>
        <v/>
      </c>
      <c r="R365" s="334" t="n"/>
      <c r="S365" s="334" t="n"/>
      <c r="T365" s="334" t="n"/>
      <c r="U365" s="334" t="n"/>
      <c r="V365" s="334" t="n"/>
      <c r="W365" s="334" t="n"/>
      <c r="X365" s="334" t="n"/>
      <c r="Y365" s="334" t="n"/>
    </row>
    <row r="366" ht="15" customHeight="1" s="195">
      <c r="A366" s="280" t="n"/>
      <c r="B366" s="280" t="n"/>
      <c r="C366" s="280" t="n"/>
      <c r="D366" s="280" t="n"/>
      <c r="E366" s="280" t="n"/>
      <c r="F366" s="280" t="n"/>
      <c r="G366" s="280" t="n"/>
      <c r="H366" s="280" t="n"/>
      <c r="I366" s="332">
        <f>IFERROR(VLOOKUP(TEXT(H366,"0"),IPRESS!$A$3:$B$212,2,0),"")</f>
        <v/>
      </c>
      <c r="J366" s="280" t="n"/>
      <c r="K366" s="332">
        <f>IFERROR(VLOOKUP(TEXT(O366,"0"),CONDUCTORES!$A$3:$G$54,7,0),"")</f>
        <v/>
      </c>
      <c r="L366" s="280" t="n"/>
      <c r="M366" s="280" t="n"/>
      <c r="N366" s="333">
        <f>IFERROR(IF(L366*M366=0,"",L366*M366),"")</f>
        <v/>
      </c>
      <c r="O366" s="280" t="n"/>
      <c r="P366" s="332">
        <f>IFERROR(VLOOKUP(TEXT(O366,"0"),CONDUCTORES!$A$3:$G$54,2,0),"")</f>
        <v/>
      </c>
      <c r="Q366" s="332">
        <f>IFERROR(VLOOKUP(TEXT(O366,"0"),CONDUCTORES!$A$3:$H$54,6,0),"")</f>
        <v/>
      </c>
      <c r="R366" s="280" t="n"/>
      <c r="S366" s="280" t="n"/>
      <c r="T366" s="280" t="n"/>
      <c r="U366" s="280" t="n"/>
      <c r="V366" s="280" t="n"/>
      <c r="W366" s="280" t="n"/>
      <c r="X366" s="280" t="n"/>
      <c r="Y366" s="280" t="n"/>
    </row>
    <row r="367" ht="15" customHeight="1" s="195">
      <c r="A367" s="334" t="n"/>
      <c r="B367" s="334" t="n"/>
      <c r="C367" s="334" t="n"/>
      <c r="D367" s="334" t="n"/>
      <c r="E367" s="334" t="n"/>
      <c r="F367" s="334" t="n"/>
      <c r="G367" s="334" t="n"/>
      <c r="H367" s="334" t="n"/>
      <c r="I367" s="332">
        <f>IFERROR(VLOOKUP(TEXT(H367,"0"),IPRESS!$A$3:$B$212,2,0),"")</f>
        <v/>
      </c>
      <c r="J367" s="334" t="n"/>
      <c r="K367" s="332">
        <f>IFERROR(VLOOKUP(TEXT(O367,"0"),CONDUCTORES!$A$3:$G$54,7,0),"")</f>
        <v/>
      </c>
      <c r="L367" s="334" t="n"/>
      <c r="M367" s="334" t="n"/>
      <c r="N367" s="333">
        <f>IFERROR(IF(L367*M367=0,"",L367*M367),"")</f>
        <v/>
      </c>
      <c r="O367" s="334" t="n"/>
      <c r="P367" s="332">
        <f>IFERROR(VLOOKUP(TEXT(O367,"0"),CONDUCTORES!$A$3:$G$54,2,0),"")</f>
        <v/>
      </c>
      <c r="Q367" s="332">
        <f>IFERROR(VLOOKUP(TEXT(O367,"0"),CONDUCTORES!$A$3:$H$54,6,0),"")</f>
        <v/>
      </c>
      <c r="R367" s="334" t="n"/>
      <c r="S367" s="334" t="n"/>
      <c r="T367" s="334" t="n"/>
      <c r="U367" s="334" t="n"/>
      <c r="V367" s="334" t="n"/>
      <c r="W367" s="334" t="n"/>
      <c r="X367" s="334" t="n"/>
      <c r="Y367" s="334" t="n"/>
    </row>
    <row r="368" ht="15" customHeight="1" s="195">
      <c r="A368" s="280" t="n"/>
      <c r="B368" s="280" t="n"/>
      <c r="C368" s="280" t="n"/>
      <c r="D368" s="280" t="n"/>
      <c r="E368" s="280" t="n"/>
      <c r="F368" s="280" t="n"/>
      <c r="G368" s="280" t="n"/>
      <c r="H368" s="280" t="n"/>
      <c r="I368" s="332">
        <f>IFERROR(VLOOKUP(TEXT(H368,"0"),IPRESS!$A$3:$B$212,2,0),"")</f>
        <v/>
      </c>
      <c r="J368" s="280" t="n"/>
      <c r="K368" s="332">
        <f>IFERROR(VLOOKUP(TEXT(O368,"0"),CONDUCTORES!$A$3:$G$54,7,0),"")</f>
        <v/>
      </c>
      <c r="L368" s="280" t="n"/>
      <c r="M368" s="280" t="n"/>
      <c r="N368" s="333">
        <f>IFERROR(IF(L368*M368=0,"",L368*M368),"")</f>
        <v/>
      </c>
      <c r="O368" s="280" t="n"/>
      <c r="P368" s="332">
        <f>IFERROR(VLOOKUP(TEXT(O368,"0"),CONDUCTORES!$A$3:$G$54,2,0),"")</f>
        <v/>
      </c>
      <c r="Q368" s="332">
        <f>IFERROR(VLOOKUP(TEXT(O368,"0"),CONDUCTORES!$A$3:$H$54,6,0),"")</f>
        <v/>
      </c>
      <c r="R368" s="280" t="n"/>
      <c r="S368" s="280" t="n"/>
      <c r="T368" s="280" t="n"/>
      <c r="U368" s="280" t="n"/>
      <c r="V368" s="280" t="n"/>
      <c r="W368" s="280" t="n"/>
      <c r="X368" s="280" t="n"/>
      <c r="Y368" s="280" t="n"/>
    </row>
    <row r="369" ht="15" customHeight="1" s="195">
      <c r="A369" s="334" t="n"/>
      <c r="B369" s="334" t="n"/>
      <c r="C369" s="334" t="n"/>
      <c r="D369" s="334" t="n"/>
      <c r="E369" s="334" t="n"/>
      <c r="F369" s="334" t="n"/>
      <c r="G369" s="334" t="n"/>
      <c r="H369" s="334" t="n"/>
      <c r="I369" s="332">
        <f>IFERROR(VLOOKUP(TEXT(H369,"0"),IPRESS!$A$3:$B$212,2,0),"")</f>
        <v/>
      </c>
      <c r="J369" s="334" t="n"/>
      <c r="K369" s="332">
        <f>IFERROR(VLOOKUP(TEXT(O369,"0"),CONDUCTORES!$A$3:$G$54,7,0),"")</f>
        <v/>
      </c>
      <c r="L369" s="334" t="n"/>
      <c r="M369" s="334" t="n"/>
      <c r="N369" s="333">
        <f>IFERROR(IF(L369*M369=0,"",L369*M369),"")</f>
        <v/>
      </c>
      <c r="O369" s="334" t="n"/>
      <c r="P369" s="332">
        <f>IFERROR(VLOOKUP(TEXT(O369,"0"),CONDUCTORES!$A$3:$G$54,2,0),"")</f>
        <v/>
      </c>
      <c r="Q369" s="332">
        <f>IFERROR(VLOOKUP(TEXT(O369,"0"),CONDUCTORES!$A$3:$H$54,6,0),"")</f>
        <v/>
      </c>
      <c r="R369" s="334" t="n"/>
      <c r="S369" s="334" t="n"/>
      <c r="T369" s="334" t="n"/>
      <c r="U369" s="334" t="n"/>
      <c r="V369" s="334" t="n"/>
      <c r="W369" s="334" t="n"/>
      <c r="X369" s="334" t="n"/>
      <c r="Y369" s="334" t="n"/>
    </row>
    <row r="370" ht="15" customHeight="1" s="195">
      <c r="A370" s="280" t="n"/>
      <c r="B370" s="280" t="n"/>
      <c r="C370" s="280" t="n"/>
      <c r="D370" s="280" t="n"/>
      <c r="E370" s="280" t="n"/>
      <c r="F370" s="280" t="n"/>
      <c r="G370" s="280" t="n"/>
      <c r="H370" s="280" t="n"/>
      <c r="I370" s="332">
        <f>IFERROR(VLOOKUP(TEXT(H370,"0"),IPRESS!$A$3:$B$212,2,0),"")</f>
        <v/>
      </c>
      <c r="J370" s="280" t="n"/>
      <c r="K370" s="332">
        <f>IFERROR(VLOOKUP(TEXT(O370,"0"),CONDUCTORES!$A$3:$G$54,7,0),"")</f>
        <v/>
      </c>
      <c r="L370" s="280" t="n"/>
      <c r="M370" s="280" t="n"/>
      <c r="N370" s="333">
        <f>IFERROR(IF(L370*M370=0,"",L370*M370),"")</f>
        <v/>
      </c>
      <c r="O370" s="280" t="n"/>
      <c r="P370" s="332">
        <f>IFERROR(VLOOKUP(TEXT(O370,"0"),CONDUCTORES!$A$3:$G$54,2,0),"")</f>
        <v/>
      </c>
      <c r="Q370" s="332">
        <f>IFERROR(VLOOKUP(TEXT(O370,"0"),CONDUCTORES!$A$3:$H$54,6,0),"")</f>
        <v/>
      </c>
      <c r="R370" s="280" t="n"/>
      <c r="S370" s="280" t="n"/>
      <c r="T370" s="280" t="n"/>
      <c r="U370" s="280" t="n"/>
      <c r="V370" s="280" t="n"/>
      <c r="W370" s="280" t="n"/>
      <c r="X370" s="280" t="n"/>
      <c r="Y370" s="280" t="n"/>
    </row>
    <row r="371" ht="15" customHeight="1" s="195">
      <c r="A371" s="334" t="n"/>
      <c r="B371" s="334" t="n"/>
      <c r="C371" s="334" t="n"/>
      <c r="D371" s="334" t="n"/>
      <c r="E371" s="334" t="n"/>
      <c r="F371" s="334" t="n"/>
      <c r="G371" s="334" t="n"/>
      <c r="H371" s="334" t="n"/>
      <c r="I371" s="332">
        <f>IFERROR(VLOOKUP(TEXT(H371,"0"),IPRESS!$A$3:$B$212,2,0),"")</f>
        <v/>
      </c>
      <c r="J371" s="334" t="n"/>
      <c r="K371" s="332">
        <f>IFERROR(VLOOKUP(TEXT(O371,"0"),CONDUCTORES!$A$3:$G$54,7,0),"")</f>
        <v/>
      </c>
      <c r="L371" s="334" t="n"/>
      <c r="M371" s="334" t="n"/>
      <c r="N371" s="333">
        <f>IFERROR(IF(L371*M371=0,"",L371*M371),"")</f>
        <v/>
      </c>
      <c r="O371" s="334" t="n"/>
      <c r="P371" s="332">
        <f>IFERROR(VLOOKUP(TEXT(O371,"0"),CONDUCTORES!$A$3:$G$54,2,0),"")</f>
        <v/>
      </c>
      <c r="Q371" s="332">
        <f>IFERROR(VLOOKUP(TEXT(O371,"0"),CONDUCTORES!$A$3:$H$54,6,0),"")</f>
        <v/>
      </c>
      <c r="R371" s="334" t="n"/>
      <c r="S371" s="334" t="n"/>
      <c r="T371" s="334" t="n"/>
      <c r="U371" s="334" t="n"/>
      <c r="V371" s="334" t="n"/>
      <c r="W371" s="334" t="n"/>
      <c r="X371" s="334" t="n"/>
      <c r="Y371" s="334" t="n"/>
    </row>
    <row r="372" ht="15" customHeight="1" s="195">
      <c r="A372" s="280" t="n"/>
      <c r="B372" s="280" t="n"/>
      <c r="C372" s="280" t="n"/>
      <c r="D372" s="280" t="n"/>
      <c r="E372" s="280" t="n"/>
      <c r="F372" s="280" t="n"/>
      <c r="G372" s="280" t="n"/>
      <c r="H372" s="280" t="n"/>
      <c r="I372" s="332">
        <f>IFERROR(VLOOKUP(TEXT(H372,"0"),IPRESS!$A$3:$B$212,2,0),"")</f>
        <v/>
      </c>
      <c r="J372" s="280" t="n"/>
      <c r="K372" s="332">
        <f>IFERROR(VLOOKUP(TEXT(O372,"0"),CONDUCTORES!$A$3:$G$54,7,0),"")</f>
        <v/>
      </c>
      <c r="L372" s="280" t="n"/>
      <c r="M372" s="280" t="n"/>
      <c r="N372" s="333">
        <f>IFERROR(IF(L372*M372=0,"",L372*M372),"")</f>
        <v/>
      </c>
      <c r="O372" s="280" t="n"/>
      <c r="P372" s="332">
        <f>IFERROR(VLOOKUP(TEXT(O372,"0"),CONDUCTORES!$A$3:$G$54,2,0),"")</f>
        <v/>
      </c>
      <c r="Q372" s="332">
        <f>IFERROR(VLOOKUP(TEXT(O372,"0"),CONDUCTORES!$A$3:$H$54,6,0),"")</f>
        <v/>
      </c>
      <c r="R372" s="280" t="n"/>
      <c r="S372" s="280" t="n"/>
      <c r="T372" s="280" t="n"/>
      <c r="U372" s="280" t="n"/>
      <c r="V372" s="280" t="n"/>
      <c r="W372" s="280" t="n"/>
      <c r="X372" s="280" t="n"/>
      <c r="Y372" s="280" t="n"/>
    </row>
    <row r="373" ht="15" customHeight="1" s="195">
      <c r="A373" s="334" t="n"/>
      <c r="B373" s="334" t="n"/>
      <c r="C373" s="334" t="n"/>
      <c r="D373" s="334" t="n"/>
      <c r="E373" s="334" t="n"/>
      <c r="F373" s="334" t="n"/>
      <c r="G373" s="334" t="n"/>
      <c r="H373" s="334" t="n"/>
      <c r="I373" s="332">
        <f>IFERROR(VLOOKUP(TEXT(H373,"0"),IPRESS!$A$3:$B$212,2,0),"")</f>
        <v/>
      </c>
      <c r="J373" s="334" t="n"/>
      <c r="K373" s="332">
        <f>IFERROR(VLOOKUP(TEXT(O373,"0"),CONDUCTORES!$A$3:$G$54,7,0),"")</f>
        <v/>
      </c>
      <c r="L373" s="334" t="n"/>
      <c r="M373" s="334" t="n"/>
      <c r="N373" s="333">
        <f>IFERROR(IF(L373*M373=0,"",L373*M373),"")</f>
        <v/>
      </c>
      <c r="O373" s="334" t="n"/>
      <c r="P373" s="332">
        <f>IFERROR(VLOOKUP(TEXT(O373,"0"),CONDUCTORES!$A$3:$G$54,2,0),"")</f>
        <v/>
      </c>
      <c r="Q373" s="332">
        <f>IFERROR(VLOOKUP(TEXT(O373,"0"),CONDUCTORES!$A$3:$H$54,6,0),"")</f>
        <v/>
      </c>
      <c r="R373" s="334" t="n"/>
      <c r="S373" s="334" t="n"/>
      <c r="T373" s="334" t="n"/>
      <c r="U373" s="334" t="n"/>
      <c r="V373" s="334" t="n"/>
      <c r="W373" s="334" t="n"/>
      <c r="X373" s="334" t="n"/>
      <c r="Y373" s="334" t="n"/>
    </row>
    <row r="374" ht="15" customHeight="1" s="195">
      <c r="A374" s="280" t="n"/>
      <c r="B374" s="280" t="n"/>
      <c r="C374" s="280" t="n"/>
      <c r="D374" s="280" t="n"/>
      <c r="E374" s="280" t="n"/>
      <c r="F374" s="280" t="n"/>
      <c r="G374" s="280" t="n"/>
      <c r="H374" s="280" t="n"/>
      <c r="I374" s="332">
        <f>IFERROR(VLOOKUP(TEXT(H374,"0"),IPRESS!$A$3:$B$212,2,0),"")</f>
        <v/>
      </c>
      <c r="J374" s="280" t="n"/>
      <c r="K374" s="332">
        <f>IFERROR(VLOOKUP(TEXT(O374,"0"),CONDUCTORES!$A$3:$G$54,7,0),"")</f>
        <v/>
      </c>
      <c r="L374" s="280" t="n"/>
      <c r="M374" s="280" t="n"/>
      <c r="N374" s="333">
        <f>IFERROR(IF(L374*M374=0,"",L374*M374),"")</f>
        <v/>
      </c>
      <c r="O374" s="280" t="n"/>
      <c r="P374" s="332">
        <f>IFERROR(VLOOKUP(TEXT(O374,"0"),CONDUCTORES!$A$3:$G$54,2,0),"")</f>
        <v/>
      </c>
      <c r="Q374" s="332">
        <f>IFERROR(VLOOKUP(TEXT(O374,"0"),CONDUCTORES!$A$3:$H$54,6,0),"")</f>
        <v/>
      </c>
      <c r="R374" s="280" t="n"/>
      <c r="S374" s="280" t="n"/>
      <c r="T374" s="280" t="n"/>
      <c r="U374" s="280" t="n"/>
      <c r="V374" s="280" t="n"/>
      <c r="W374" s="280" t="n"/>
      <c r="X374" s="280" t="n"/>
      <c r="Y374" s="280" t="n"/>
    </row>
    <row r="375" ht="15" customHeight="1" s="195">
      <c r="A375" s="334" t="n"/>
      <c r="B375" s="334" t="n"/>
      <c r="C375" s="334" t="n"/>
      <c r="D375" s="334" t="n"/>
      <c r="E375" s="334" t="n"/>
      <c r="F375" s="334" t="n"/>
      <c r="G375" s="334" t="n"/>
      <c r="H375" s="334" t="n"/>
      <c r="I375" s="332">
        <f>IFERROR(VLOOKUP(TEXT(H375,"0"),IPRESS!$A$3:$B$212,2,0),"")</f>
        <v/>
      </c>
      <c r="J375" s="334" t="n"/>
      <c r="K375" s="332">
        <f>IFERROR(VLOOKUP(TEXT(O375,"0"),CONDUCTORES!$A$3:$G$54,7,0),"")</f>
        <v/>
      </c>
      <c r="L375" s="334" t="n"/>
      <c r="M375" s="334" t="n"/>
      <c r="N375" s="333">
        <f>IFERROR(IF(L375*M375=0,"",L375*M375),"")</f>
        <v/>
      </c>
      <c r="O375" s="334" t="n"/>
      <c r="P375" s="332">
        <f>IFERROR(VLOOKUP(TEXT(O375,"0"),CONDUCTORES!$A$3:$G$54,2,0),"")</f>
        <v/>
      </c>
      <c r="Q375" s="332">
        <f>IFERROR(VLOOKUP(TEXT(O375,"0"),CONDUCTORES!$A$3:$H$54,6,0),"")</f>
        <v/>
      </c>
      <c r="R375" s="334" t="n"/>
      <c r="S375" s="334" t="n"/>
      <c r="T375" s="334" t="n"/>
      <c r="U375" s="334" t="n"/>
      <c r="V375" s="334" t="n"/>
      <c r="W375" s="334" t="n"/>
      <c r="X375" s="334" t="n"/>
      <c r="Y375" s="334" t="n"/>
    </row>
    <row r="376" ht="15" customHeight="1" s="195">
      <c r="A376" s="280" t="n"/>
      <c r="B376" s="280" t="n"/>
      <c r="C376" s="280" t="n"/>
      <c r="D376" s="280" t="n"/>
      <c r="E376" s="280" t="n"/>
      <c r="F376" s="280" t="n"/>
      <c r="G376" s="280" t="n"/>
      <c r="H376" s="280" t="n"/>
      <c r="I376" s="332">
        <f>IFERROR(VLOOKUP(TEXT(H376,"0"),IPRESS!$A$3:$B$212,2,0),"")</f>
        <v/>
      </c>
      <c r="J376" s="280" t="n"/>
      <c r="K376" s="332">
        <f>IFERROR(VLOOKUP(TEXT(O376,"0"),CONDUCTORES!$A$3:$G$54,7,0),"")</f>
        <v/>
      </c>
      <c r="L376" s="280" t="n"/>
      <c r="M376" s="280" t="n"/>
      <c r="N376" s="333">
        <f>IFERROR(IF(L376*M376=0,"",L376*M376),"")</f>
        <v/>
      </c>
      <c r="O376" s="280" t="n"/>
      <c r="P376" s="332">
        <f>IFERROR(VLOOKUP(TEXT(O376,"0"),CONDUCTORES!$A$3:$G$54,2,0),"")</f>
        <v/>
      </c>
      <c r="Q376" s="332">
        <f>IFERROR(VLOOKUP(TEXT(O376,"0"),CONDUCTORES!$A$3:$H$54,6,0),"")</f>
        <v/>
      </c>
      <c r="R376" s="280" t="n"/>
      <c r="S376" s="280" t="n"/>
      <c r="T376" s="280" t="n"/>
      <c r="U376" s="280" t="n"/>
      <c r="V376" s="280" t="n"/>
      <c r="W376" s="280" t="n"/>
      <c r="X376" s="280" t="n"/>
      <c r="Y376" s="280" t="n"/>
    </row>
    <row r="377" ht="15" customHeight="1" s="195">
      <c r="A377" s="334" t="n"/>
      <c r="B377" s="334" t="n"/>
      <c r="C377" s="334" t="n"/>
      <c r="D377" s="334" t="n"/>
      <c r="E377" s="334" t="n"/>
      <c r="F377" s="334" t="n"/>
      <c r="G377" s="334" t="n"/>
      <c r="H377" s="334" t="n"/>
      <c r="I377" s="332">
        <f>IFERROR(VLOOKUP(TEXT(H377,"0"),IPRESS!$A$3:$B$212,2,0),"")</f>
        <v/>
      </c>
      <c r="J377" s="334" t="n"/>
      <c r="K377" s="332">
        <f>IFERROR(VLOOKUP(TEXT(O377,"0"),CONDUCTORES!$A$3:$G$54,7,0),"")</f>
        <v/>
      </c>
      <c r="L377" s="334" t="n"/>
      <c r="M377" s="334" t="n"/>
      <c r="N377" s="333">
        <f>IFERROR(IF(L377*M377=0,"",L377*M377),"")</f>
        <v/>
      </c>
      <c r="O377" s="334" t="n"/>
      <c r="P377" s="332">
        <f>IFERROR(VLOOKUP(TEXT(O377,"0"),CONDUCTORES!$A$3:$G$54,2,0),"")</f>
        <v/>
      </c>
      <c r="Q377" s="332">
        <f>IFERROR(VLOOKUP(TEXT(O377,"0"),CONDUCTORES!$A$3:$H$54,6,0),"")</f>
        <v/>
      </c>
      <c r="R377" s="334" t="n"/>
      <c r="S377" s="334" t="n"/>
      <c r="T377" s="334" t="n"/>
      <c r="U377" s="334" t="n"/>
      <c r="V377" s="334" t="n"/>
      <c r="W377" s="334" t="n"/>
      <c r="X377" s="334" t="n"/>
      <c r="Y377" s="334" t="n"/>
    </row>
    <row r="378" ht="15" customHeight="1" s="195">
      <c r="A378" s="280" t="n"/>
      <c r="B378" s="280" t="n"/>
      <c r="C378" s="280" t="n"/>
      <c r="D378" s="280" t="n"/>
      <c r="E378" s="280" t="n"/>
      <c r="F378" s="280" t="n"/>
      <c r="G378" s="280" t="n"/>
      <c r="H378" s="280" t="n"/>
      <c r="I378" s="332">
        <f>IFERROR(VLOOKUP(TEXT(H378,"0"),IPRESS!$A$3:$B$212,2,0),"")</f>
        <v/>
      </c>
      <c r="J378" s="280" t="n"/>
      <c r="K378" s="332">
        <f>IFERROR(VLOOKUP(TEXT(O378,"0"),CONDUCTORES!$A$3:$G$54,7,0),"")</f>
        <v/>
      </c>
      <c r="L378" s="280" t="n"/>
      <c r="M378" s="280" t="n"/>
      <c r="N378" s="333">
        <f>IFERROR(IF(L378*M378=0,"",L378*M378),"")</f>
        <v/>
      </c>
      <c r="O378" s="280" t="n"/>
      <c r="P378" s="332">
        <f>IFERROR(VLOOKUP(TEXT(O378,"0"),CONDUCTORES!$A$3:$G$54,2,0),"")</f>
        <v/>
      </c>
      <c r="Q378" s="332">
        <f>IFERROR(VLOOKUP(TEXT(O378,"0"),CONDUCTORES!$A$3:$H$54,6,0),"")</f>
        <v/>
      </c>
      <c r="R378" s="280" t="n"/>
      <c r="S378" s="280" t="n"/>
      <c r="T378" s="280" t="n"/>
      <c r="U378" s="280" t="n"/>
      <c r="V378" s="280" t="n"/>
      <c r="W378" s="280" t="n"/>
      <c r="X378" s="280" t="n"/>
      <c r="Y378" s="280" t="n"/>
    </row>
    <row r="379" ht="15" customHeight="1" s="195">
      <c r="A379" s="334" t="n"/>
      <c r="B379" s="334" t="n"/>
      <c r="C379" s="334" t="n"/>
      <c r="D379" s="334" t="n"/>
      <c r="E379" s="334" t="n"/>
      <c r="F379" s="334" t="n"/>
      <c r="G379" s="334" t="n"/>
      <c r="H379" s="334" t="n"/>
      <c r="I379" s="332">
        <f>IFERROR(VLOOKUP(TEXT(H379,"0"),IPRESS!$A$3:$B$212,2,0),"")</f>
        <v/>
      </c>
      <c r="J379" s="334" t="n"/>
      <c r="K379" s="332">
        <f>IFERROR(VLOOKUP(TEXT(O379,"0"),CONDUCTORES!$A$3:$G$54,7,0),"")</f>
        <v/>
      </c>
      <c r="L379" s="334" t="n"/>
      <c r="M379" s="334" t="n"/>
      <c r="N379" s="333">
        <f>IFERROR(IF(L379*M379=0,"",L379*M379),"")</f>
        <v/>
      </c>
      <c r="O379" s="334" t="n"/>
      <c r="P379" s="332">
        <f>IFERROR(VLOOKUP(TEXT(O379,"0"),CONDUCTORES!$A$3:$G$54,2,0),"")</f>
        <v/>
      </c>
      <c r="Q379" s="332">
        <f>IFERROR(VLOOKUP(TEXT(O379,"0"),CONDUCTORES!$A$3:$H$54,6,0),"")</f>
        <v/>
      </c>
      <c r="R379" s="334" t="n"/>
      <c r="S379" s="334" t="n"/>
      <c r="T379" s="334" t="n"/>
      <c r="U379" s="334" t="n"/>
      <c r="V379" s="334" t="n"/>
      <c r="W379" s="334" t="n"/>
      <c r="X379" s="334" t="n"/>
      <c r="Y379" s="334" t="n"/>
    </row>
    <row r="380" ht="15" customHeight="1" s="195">
      <c r="A380" s="280" t="n"/>
      <c r="B380" s="280" t="n"/>
      <c r="C380" s="280" t="n"/>
      <c r="D380" s="280" t="n"/>
      <c r="E380" s="280" t="n"/>
      <c r="F380" s="280" t="n"/>
      <c r="G380" s="280" t="n"/>
      <c r="H380" s="280" t="n"/>
      <c r="I380" s="332">
        <f>IFERROR(VLOOKUP(TEXT(H380,"0"),IPRESS!$A$3:$B$212,2,0),"")</f>
        <v/>
      </c>
      <c r="J380" s="280" t="n"/>
      <c r="K380" s="332">
        <f>IFERROR(VLOOKUP(TEXT(O380,"0"),CONDUCTORES!$A$3:$G$54,7,0),"")</f>
        <v/>
      </c>
      <c r="L380" s="280" t="n"/>
      <c r="M380" s="280" t="n"/>
      <c r="N380" s="333">
        <f>IFERROR(IF(L380*M380=0,"",L380*M380),"")</f>
        <v/>
      </c>
      <c r="O380" s="280" t="n"/>
      <c r="P380" s="332">
        <f>IFERROR(VLOOKUP(TEXT(O380,"0"),CONDUCTORES!$A$3:$G$54,2,0),"")</f>
        <v/>
      </c>
      <c r="Q380" s="332">
        <f>IFERROR(VLOOKUP(TEXT(O380,"0"),CONDUCTORES!$A$3:$H$54,6,0),"")</f>
        <v/>
      </c>
      <c r="R380" s="280" t="n"/>
      <c r="S380" s="280" t="n"/>
      <c r="T380" s="280" t="n"/>
      <c r="U380" s="280" t="n"/>
      <c r="V380" s="280" t="n"/>
      <c r="W380" s="280" t="n"/>
      <c r="X380" s="280" t="n"/>
      <c r="Y380" s="280" t="n"/>
    </row>
    <row r="381" ht="15" customHeight="1" s="195">
      <c r="A381" s="334" t="n"/>
      <c r="B381" s="334" t="n"/>
      <c r="C381" s="334" t="n"/>
      <c r="D381" s="334" t="n"/>
      <c r="E381" s="334" t="n"/>
      <c r="F381" s="334" t="n"/>
      <c r="G381" s="334" t="n"/>
      <c r="H381" s="334" t="n"/>
      <c r="I381" s="332">
        <f>IFERROR(VLOOKUP(TEXT(H381,"0"),IPRESS!$A$3:$B$212,2,0),"")</f>
        <v/>
      </c>
      <c r="J381" s="334" t="n"/>
      <c r="K381" s="332">
        <f>IFERROR(VLOOKUP(TEXT(O381,"0"),CONDUCTORES!$A$3:$G$54,7,0),"")</f>
        <v/>
      </c>
      <c r="L381" s="334" t="n"/>
      <c r="M381" s="334" t="n"/>
      <c r="N381" s="333">
        <f>IFERROR(IF(L381*M381=0,"",L381*M381),"")</f>
        <v/>
      </c>
      <c r="O381" s="334" t="n"/>
      <c r="P381" s="332">
        <f>IFERROR(VLOOKUP(TEXT(O381,"0"),CONDUCTORES!$A$3:$G$54,2,0),"")</f>
        <v/>
      </c>
      <c r="Q381" s="332">
        <f>IFERROR(VLOOKUP(TEXT(O381,"0"),CONDUCTORES!$A$3:$H$54,6,0),"")</f>
        <v/>
      </c>
      <c r="R381" s="334" t="n"/>
      <c r="S381" s="334" t="n"/>
      <c r="T381" s="334" t="n"/>
      <c r="U381" s="334" t="n"/>
      <c r="V381" s="334" t="n"/>
      <c r="W381" s="334" t="n"/>
      <c r="X381" s="334" t="n"/>
      <c r="Y381" s="334" t="n"/>
    </row>
    <row r="382" ht="15" customHeight="1" s="195">
      <c r="A382" s="280" t="n"/>
      <c r="B382" s="280" t="n"/>
      <c r="C382" s="280" t="n"/>
      <c r="D382" s="280" t="n"/>
      <c r="E382" s="280" t="n"/>
      <c r="F382" s="280" t="n"/>
      <c r="G382" s="280" t="n"/>
      <c r="H382" s="280" t="n"/>
      <c r="I382" s="332">
        <f>IFERROR(VLOOKUP(TEXT(H382,"0"),IPRESS!$A$3:$B$212,2,0),"")</f>
        <v/>
      </c>
      <c r="J382" s="280" t="n"/>
      <c r="K382" s="332">
        <f>IFERROR(VLOOKUP(TEXT(O382,"0"),CONDUCTORES!$A$3:$G$54,7,0),"")</f>
        <v/>
      </c>
      <c r="L382" s="280" t="n"/>
      <c r="M382" s="280" t="n"/>
      <c r="N382" s="333">
        <f>IFERROR(IF(L382*M382=0,"",L382*M382),"")</f>
        <v/>
      </c>
      <c r="O382" s="280" t="n"/>
      <c r="P382" s="332">
        <f>IFERROR(VLOOKUP(TEXT(O382,"0"),CONDUCTORES!$A$3:$G$54,2,0),"")</f>
        <v/>
      </c>
      <c r="Q382" s="332">
        <f>IFERROR(VLOOKUP(TEXT(O382,"0"),CONDUCTORES!$A$3:$H$54,6,0),"")</f>
        <v/>
      </c>
      <c r="R382" s="280" t="n"/>
      <c r="S382" s="280" t="n"/>
      <c r="T382" s="280" t="n"/>
      <c r="U382" s="280" t="n"/>
      <c r="V382" s="280" t="n"/>
      <c r="W382" s="280" t="n"/>
      <c r="X382" s="280" t="n"/>
      <c r="Y382" s="280" t="n"/>
    </row>
    <row r="383" ht="15" customHeight="1" s="195">
      <c r="A383" s="334" t="n"/>
      <c r="B383" s="334" t="n"/>
      <c r="C383" s="334" t="n"/>
      <c r="D383" s="334" t="n"/>
      <c r="E383" s="334" t="n"/>
      <c r="F383" s="334" t="n"/>
      <c r="G383" s="334" t="n"/>
      <c r="H383" s="334" t="n"/>
      <c r="I383" s="332">
        <f>IFERROR(VLOOKUP(TEXT(H383,"0"),IPRESS!$A$3:$B$212,2,0),"")</f>
        <v/>
      </c>
      <c r="J383" s="334" t="n"/>
      <c r="K383" s="332">
        <f>IFERROR(VLOOKUP(TEXT(O383,"0"),CONDUCTORES!$A$3:$G$54,7,0),"")</f>
        <v/>
      </c>
      <c r="L383" s="334" t="n"/>
      <c r="M383" s="334" t="n"/>
      <c r="N383" s="333">
        <f>IFERROR(IF(L383*M383=0,"",L383*M383),"")</f>
        <v/>
      </c>
      <c r="O383" s="334" t="n"/>
      <c r="P383" s="332">
        <f>IFERROR(VLOOKUP(TEXT(O383,"0"),CONDUCTORES!$A$3:$G$54,2,0),"")</f>
        <v/>
      </c>
      <c r="Q383" s="332">
        <f>IFERROR(VLOOKUP(TEXT(O383,"0"),CONDUCTORES!$A$3:$H$54,6,0),"")</f>
        <v/>
      </c>
      <c r="R383" s="334" t="n"/>
      <c r="S383" s="334" t="n"/>
      <c r="T383" s="334" t="n"/>
      <c r="U383" s="334" t="n"/>
      <c r="V383" s="334" t="n"/>
      <c r="W383" s="334" t="n"/>
      <c r="X383" s="334" t="n"/>
      <c r="Y383" s="334" t="n"/>
    </row>
    <row r="384" ht="15" customHeight="1" s="195">
      <c r="A384" s="280" t="n"/>
      <c r="B384" s="280" t="n"/>
      <c r="C384" s="280" t="n"/>
      <c r="D384" s="280" t="n"/>
      <c r="E384" s="280" t="n"/>
      <c r="F384" s="280" t="n"/>
      <c r="G384" s="280" t="n"/>
      <c r="H384" s="280" t="n"/>
      <c r="I384" s="332">
        <f>IFERROR(VLOOKUP(TEXT(H384,"0"),IPRESS!$A$3:$B$212,2,0),"")</f>
        <v/>
      </c>
      <c r="J384" s="280" t="n"/>
      <c r="K384" s="332">
        <f>IFERROR(VLOOKUP(TEXT(O384,"0"),CONDUCTORES!$A$3:$G$54,7,0),"")</f>
        <v/>
      </c>
      <c r="L384" s="280" t="n"/>
      <c r="M384" s="280" t="n"/>
      <c r="N384" s="333">
        <f>IFERROR(IF(L384*M384=0,"",L384*M384),"")</f>
        <v/>
      </c>
      <c r="O384" s="280" t="n"/>
      <c r="P384" s="332">
        <f>IFERROR(VLOOKUP(TEXT(O384,"0"),CONDUCTORES!$A$3:$G$54,2,0),"")</f>
        <v/>
      </c>
      <c r="Q384" s="332">
        <f>IFERROR(VLOOKUP(TEXT(O384,"0"),CONDUCTORES!$A$3:$H$54,6,0),"")</f>
        <v/>
      </c>
      <c r="R384" s="280" t="n"/>
      <c r="S384" s="280" t="n"/>
      <c r="T384" s="280" t="n"/>
      <c r="U384" s="280" t="n"/>
      <c r="V384" s="280" t="n"/>
      <c r="W384" s="280" t="n"/>
      <c r="X384" s="280" t="n"/>
      <c r="Y384" s="280" t="n"/>
    </row>
    <row r="385" ht="15" customHeight="1" s="195">
      <c r="A385" s="334" t="n"/>
      <c r="B385" s="334" t="n"/>
      <c r="C385" s="334" t="n"/>
      <c r="D385" s="334" t="n"/>
      <c r="E385" s="334" t="n"/>
      <c r="F385" s="334" t="n"/>
      <c r="G385" s="334" t="n"/>
      <c r="H385" s="334" t="n"/>
      <c r="I385" s="332">
        <f>IFERROR(VLOOKUP(TEXT(H385,"0"),IPRESS!$A$3:$B$212,2,0),"")</f>
        <v/>
      </c>
      <c r="J385" s="334" t="n"/>
      <c r="K385" s="332">
        <f>IFERROR(VLOOKUP(TEXT(O385,"0"),CONDUCTORES!$A$3:$G$54,7,0),"")</f>
        <v/>
      </c>
      <c r="L385" s="334" t="n"/>
      <c r="M385" s="334" t="n"/>
      <c r="N385" s="333">
        <f>IFERROR(IF(L385*M385=0,"",L385*M385),"")</f>
        <v/>
      </c>
      <c r="O385" s="334" t="n"/>
      <c r="P385" s="332">
        <f>IFERROR(VLOOKUP(TEXT(O385,"0"),CONDUCTORES!$A$3:$G$54,2,0),"")</f>
        <v/>
      </c>
      <c r="Q385" s="332">
        <f>IFERROR(VLOOKUP(TEXT(O385,"0"),CONDUCTORES!$A$3:$H$54,6,0),"")</f>
        <v/>
      </c>
      <c r="R385" s="334" t="n"/>
      <c r="S385" s="334" t="n"/>
      <c r="T385" s="334" t="n"/>
      <c r="U385" s="334" t="n"/>
      <c r="V385" s="334" t="n"/>
      <c r="W385" s="334" t="n"/>
      <c r="X385" s="334" t="n"/>
      <c r="Y385" s="334" t="n"/>
    </row>
    <row r="386" ht="15" customHeight="1" s="195">
      <c r="A386" s="280" t="n"/>
      <c r="B386" s="280" t="n"/>
      <c r="C386" s="280" t="n"/>
      <c r="D386" s="280" t="n"/>
      <c r="E386" s="280" t="n"/>
      <c r="F386" s="280" t="n"/>
      <c r="G386" s="280" t="n"/>
      <c r="H386" s="280" t="n"/>
      <c r="I386" s="332">
        <f>IFERROR(VLOOKUP(TEXT(H386,"0"),IPRESS!$A$3:$B$212,2,0),"")</f>
        <v/>
      </c>
      <c r="J386" s="280" t="n"/>
      <c r="K386" s="332">
        <f>IFERROR(VLOOKUP(TEXT(O386,"0"),CONDUCTORES!$A$3:$G$54,7,0),"")</f>
        <v/>
      </c>
      <c r="L386" s="280" t="n"/>
      <c r="M386" s="280" t="n"/>
      <c r="N386" s="333">
        <f>IFERROR(IF(L386*M386=0,"",L386*M386),"")</f>
        <v/>
      </c>
      <c r="O386" s="280" t="n"/>
      <c r="P386" s="332">
        <f>IFERROR(VLOOKUP(TEXT(O386,"0"),CONDUCTORES!$A$3:$G$54,2,0),"")</f>
        <v/>
      </c>
      <c r="Q386" s="332">
        <f>IFERROR(VLOOKUP(TEXT(O386,"0"),CONDUCTORES!$A$3:$H$54,6,0),"")</f>
        <v/>
      </c>
      <c r="R386" s="280" t="n"/>
      <c r="S386" s="280" t="n"/>
      <c r="T386" s="280" t="n"/>
      <c r="U386" s="280" t="n"/>
      <c r="V386" s="280" t="n"/>
      <c r="W386" s="280" t="n"/>
      <c r="X386" s="280" t="n"/>
      <c r="Y386" s="280" t="n"/>
    </row>
    <row r="387" ht="15" customHeight="1" s="195">
      <c r="A387" s="334" t="n"/>
      <c r="B387" s="334" t="n"/>
      <c r="C387" s="334" t="n"/>
      <c r="D387" s="334" t="n"/>
      <c r="E387" s="334" t="n"/>
      <c r="F387" s="334" t="n"/>
      <c r="G387" s="334" t="n"/>
      <c r="H387" s="334" t="n"/>
      <c r="I387" s="332">
        <f>IFERROR(VLOOKUP(TEXT(H387,"0"),IPRESS!$A$3:$B$212,2,0),"")</f>
        <v/>
      </c>
      <c r="J387" s="334" t="n"/>
      <c r="K387" s="332">
        <f>IFERROR(VLOOKUP(TEXT(O387,"0"),CONDUCTORES!$A$3:$G$54,7,0),"")</f>
        <v/>
      </c>
      <c r="L387" s="334" t="n"/>
      <c r="M387" s="334" t="n"/>
      <c r="N387" s="333">
        <f>IFERROR(IF(L387*M387=0,"",L387*M387),"")</f>
        <v/>
      </c>
      <c r="O387" s="334" t="n"/>
      <c r="P387" s="332">
        <f>IFERROR(VLOOKUP(TEXT(O387,"0"),CONDUCTORES!$A$3:$G$54,2,0),"")</f>
        <v/>
      </c>
      <c r="Q387" s="332">
        <f>IFERROR(VLOOKUP(TEXT(O387,"0"),CONDUCTORES!$A$3:$H$54,6,0),"")</f>
        <v/>
      </c>
      <c r="R387" s="334" t="n"/>
      <c r="S387" s="334" t="n"/>
      <c r="T387" s="334" t="n"/>
      <c r="U387" s="334" t="n"/>
      <c r="V387" s="334" t="n"/>
      <c r="W387" s="334" t="n"/>
      <c r="X387" s="334" t="n"/>
      <c r="Y387" s="334" t="n"/>
    </row>
    <row r="388" ht="15" customHeight="1" s="195">
      <c r="A388" s="280" t="n"/>
      <c r="B388" s="280" t="n"/>
      <c r="C388" s="280" t="n"/>
      <c r="D388" s="280" t="n"/>
      <c r="E388" s="280" t="n"/>
      <c r="F388" s="280" t="n"/>
      <c r="G388" s="280" t="n"/>
      <c r="H388" s="280" t="n"/>
      <c r="I388" s="332">
        <f>IFERROR(VLOOKUP(TEXT(H388,"0"),IPRESS!$A$3:$B$212,2,0),"")</f>
        <v/>
      </c>
      <c r="J388" s="280" t="n"/>
      <c r="K388" s="332">
        <f>IFERROR(VLOOKUP(TEXT(O388,"0"),CONDUCTORES!$A$3:$G$54,7,0),"")</f>
        <v/>
      </c>
      <c r="L388" s="280" t="n"/>
      <c r="M388" s="280" t="n"/>
      <c r="N388" s="333">
        <f>IFERROR(IF(L388*M388=0,"",L388*M388),"")</f>
        <v/>
      </c>
      <c r="O388" s="280" t="n"/>
      <c r="P388" s="332">
        <f>IFERROR(VLOOKUP(TEXT(O388,"0"),CONDUCTORES!$A$3:$G$54,2,0),"")</f>
        <v/>
      </c>
      <c r="Q388" s="332">
        <f>IFERROR(VLOOKUP(TEXT(O388,"0"),CONDUCTORES!$A$3:$H$54,6,0),"")</f>
        <v/>
      </c>
      <c r="R388" s="280" t="n"/>
      <c r="S388" s="280" t="n"/>
      <c r="T388" s="280" t="n"/>
      <c r="U388" s="280" t="n"/>
      <c r="V388" s="280" t="n"/>
      <c r="W388" s="280" t="n"/>
      <c r="X388" s="280" t="n"/>
      <c r="Y388" s="280" t="n"/>
    </row>
    <row r="389" ht="15" customHeight="1" s="195">
      <c r="A389" s="334" t="n"/>
      <c r="B389" s="334" t="n"/>
      <c r="C389" s="334" t="n"/>
      <c r="D389" s="334" t="n"/>
      <c r="E389" s="334" t="n"/>
      <c r="F389" s="334" t="n"/>
      <c r="G389" s="334" t="n"/>
      <c r="H389" s="334" t="n"/>
      <c r="I389" s="332">
        <f>IFERROR(VLOOKUP(TEXT(H389,"0"),IPRESS!$A$3:$B$212,2,0),"")</f>
        <v/>
      </c>
      <c r="J389" s="334" t="n"/>
      <c r="K389" s="332">
        <f>IFERROR(VLOOKUP(TEXT(O389,"0"),CONDUCTORES!$A$3:$G$54,7,0),"")</f>
        <v/>
      </c>
      <c r="L389" s="334" t="n"/>
      <c r="M389" s="334" t="n"/>
      <c r="N389" s="333">
        <f>IFERROR(IF(L389*M389=0,"",L389*M389),"")</f>
        <v/>
      </c>
      <c r="O389" s="334" t="n"/>
      <c r="P389" s="332">
        <f>IFERROR(VLOOKUP(TEXT(O389,"0"),CONDUCTORES!$A$3:$G$54,2,0),"")</f>
        <v/>
      </c>
      <c r="Q389" s="332">
        <f>IFERROR(VLOOKUP(TEXT(O389,"0"),CONDUCTORES!$A$3:$H$54,6,0),"")</f>
        <v/>
      </c>
      <c r="R389" s="334" t="n"/>
      <c r="S389" s="334" t="n"/>
      <c r="T389" s="334" t="n"/>
      <c r="U389" s="334" t="n"/>
      <c r="V389" s="334" t="n"/>
      <c r="W389" s="334" t="n"/>
      <c r="X389" s="334" t="n"/>
      <c r="Y389" s="334" t="n"/>
    </row>
    <row r="390" ht="15" customHeight="1" s="195">
      <c r="A390" s="280" t="n"/>
      <c r="B390" s="280" t="n"/>
      <c r="C390" s="280" t="n"/>
      <c r="D390" s="280" t="n"/>
      <c r="E390" s="280" t="n"/>
      <c r="F390" s="280" t="n"/>
      <c r="G390" s="280" t="n"/>
      <c r="H390" s="280" t="n"/>
      <c r="I390" s="332">
        <f>IFERROR(VLOOKUP(TEXT(H390,"0"),IPRESS!$A$3:$B$212,2,0),"")</f>
        <v/>
      </c>
      <c r="J390" s="280" t="n"/>
      <c r="K390" s="332">
        <f>IFERROR(VLOOKUP(TEXT(O390,"0"),CONDUCTORES!$A$3:$G$54,7,0),"")</f>
        <v/>
      </c>
      <c r="L390" s="280" t="n"/>
      <c r="M390" s="280" t="n"/>
      <c r="N390" s="333">
        <f>IFERROR(IF(L390*M390=0,"",L390*M390),"")</f>
        <v/>
      </c>
      <c r="O390" s="280" t="n"/>
      <c r="P390" s="332">
        <f>IFERROR(VLOOKUP(TEXT(O390,"0"),CONDUCTORES!$A$3:$G$54,2,0),"")</f>
        <v/>
      </c>
      <c r="Q390" s="332">
        <f>IFERROR(VLOOKUP(TEXT(O390,"0"),CONDUCTORES!$A$3:$H$54,6,0),"")</f>
        <v/>
      </c>
      <c r="R390" s="280" t="n"/>
      <c r="S390" s="280" t="n"/>
      <c r="T390" s="280" t="n"/>
      <c r="U390" s="280" t="n"/>
      <c r="V390" s="280" t="n"/>
      <c r="W390" s="280" t="n"/>
      <c r="X390" s="280" t="n"/>
      <c r="Y390" s="280" t="n"/>
    </row>
    <row r="391" ht="15" customHeight="1" s="195">
      <c r="A391" s="334" t="n"/>
      <c r="B391" s="334" t="n"/>
      <c r="C391" s="334" t="n"/>
      <c r="D391" s="334" t="n"/>
      <c r="E391" s="334" t="n"/>
      <c r="F391" s="334" t="n"/>
      <c r="G391" s="334" t="n"/>
      <c r="H391" s="334" t="n"/>
      <c r="I391" s="332">
        <f>IFERROR(VLOOKUP(TEXT(H391,"0"),IPRESS!$A$3:$B$212,2,0),"")</f>
        <v/>
      </c>
      <c r="J391" s="334" t="n"/>
      <c r="K391" s="332">
        <f>IFERROR(VLOOKUP(TEXT(O391,"0"),CONDUCTORES!$A$3:$G$54,7,0),"")</f>
        <v/>
      </c>
      <c r="L391" s="334" t="n"/>
      <c r="M391" s="334" t="n"/>
      <c r="N391" s="333">
        <f>IFERROR(IF(L391*M391=0,"",L391*M391),"")</f>
        <v/>
      </c>
      <c r="O391" s="334" t="n"/>
      <c r="P391" s="332">
        <f>IFERROR(VLOOKUP(TEXT(O391,"0"),CONDUCTORES!$A$3:$G$54,2,0),"")</f>
        <v/>
      </c>
      <c r="Q391" s="332">
        <f>IFERROR(VLOOKUP(TEXT(O391,"0"),CONDUCTORES!$A$3:$H$54,6,0),"")</f>
        <v/>
      </c>
      <c r="R391" s="334" t="n"/>
      <c r="S391" s="334" t="n"/>
      <c r="T391" s="334" t="n"/>
      <c r="U391" s="334" t="n"/>
      <c r="V391" s="334" t="n"/>
      <c r="W391" s="334" t="n"/>
      <c r="X391" s="334" t="n"/>
      <c r="Y391" s="334" t="n"/>
    </row>
    <row r="392" ht="15" customHeight="1" s="195">
      <c r="A392" s="280" t="n"/>
      <c r="B392" s="280" t="n"/>
      <c r="C392" s="280" t="n"/>
      <c r="D392" s="280" t="n"/>
      <c r="E392" s="280" t="n"/>
      <c r="F392" s="280" t="n"/>
      <c r="G392" s="280" t="n"/>
      <c r="H392" s="280" t="n"/>
      <c r="I392" s="332">
        <f>IFERROR(VLOOKUP(TEXT(H392,"0"),IPRESS!$A$3:$B$212,2,0),"")</f>
        <v/>
      </c>
      <c r="J392" s="280" t="n"/>
      <c r="K392" s="332">
        <f>IFERROR(VLOOKUP(TEXT(O392,"0"),CONDUCTORES!$A$3:$G$54,7,0),"")</f>
        <v/>
      </c>
      <c r="L392" s="280" t="n"/>
      <c r="M392" s="280" t="n"/>
      <c r="N392" s="333">
        <f>IFERROR(IF(L392*M392=0,"",L392*M392),"")</f>
        <v/>
      </c>
      <c r="O392" s="280" t="n"/>
      <c r="P392" s="332">
        <f>IFERROR(VLOOKUP(TEXT(O392,"0"),CONDUCTORES!$A$3:$G$54,2,0),"")</f>
        <v/>
      </c>
      <c r="Q392" s="332">
        <f>IFERROR(VLOOKUP(TEXT(O392,"0"),CONDUCTORES!$A$3:$H$54,6,0),"")</f>
        <v/>
      </c>
      <c r="R392" s="280" t="n"/>
      <c r="S392" s="280" t="n"/>
      <c r="T392" s="280" t="n"/>
      <c r="U392" s="280" t="n"/>
      <c r="V392" s="280" t="n"/>
      <c r="W392" s="280" t="n"/>
      <c r="X392" s="280" t="n"/>
      <c r="Y392" s="280" t="n"/>
    </row>
    <row r="393" ht="15" customHeight="1" s="195">
      <c r="A393" s="334" t="n"/>
      <c r="B393" s="334" t="n"/>
      <c r="C393" s="334" t="n"/>
      <c r="D393" s="334" t="n"/>
      <c r="E393" s="334" t="n"/>
      <c r="F393" s="334" t="n"/>
      <c r="G393" s="334" t="n"/>
      <c r="H393" s="334" t="n"/>
      <c r="I393" s="332">
        <f>IFERROR(VLOOKUP(TEXT(H393,"0"),IPRESS!$A$3:$B$212,2,0),"")</f>
        <v/>
      </c>
      <c r="J393" s="334" t="n"/>
      <c r="K393" s="332">
        <f>IFERROR(VLOOKUP(TEXT(O393,"0"),CONDUCTORES!$A$3:$G$54,7,0),"")</f>
        <v/>
      </c>
      <c r="L393" s="334" t="n"/>
      <c r="M393" s="334" t="n"/>
      <c r="N393" s="333">
        <f>IFERROR(IF(L393*M393=0,"",L393*M393),"")</f>
        <v/>
      </c>
      <c r="O393" s="334" t="n"/>
      <c r="P393" s="332">
        <f>IFERROR(VLOOKUP(TEXT(O393,"0"),CONDUCTORES!$A$3:$G$54,2,0),"")</f>
        <v/>
      </c>
      <c r="Q393" s="332">
        <f>IFERROR(VLOOKUP(TEXT(O393,"0"),CONDUCTORES!$A$3:$H$54,6,0),"")</f>
        <v/>
      </c>
      <c r="R393" s="334" t="n"/>
      <c r="S393" s="334" t="n"/>
      <c r="T393" s="334" t="n"/>
      <c r="U393" s="334" t="n"/>
      <c r="V393" s="334" t="n"/>
      <c r="W393" s="334" t="n"/>
      <c r="X393" s="334" t="n"/>
      <c r="Y393" s="334" t="n"/>
    </row>
    <row r="394" ht="15" customHeight="1" s="195">
      <c r="A394" s="280" t="n"/>
      <c r="B394" s="280" t="n"/>
      <c r="C394" s="280" t="n"/>
      <c r="D394" s="280" t="n"/>
      <c r="E394" s="280" t="n"/>
      <c r="F394" s="280" t="n"/>
      <c r="G394" s="280" t="n"/>
      <c r="H394" s="280" t="n"/>
      <c r="I394" s="332">
        <f>IFERROR(VLOOKUP(TEXT(H394,"0"),IPRESS!$A$3:$B$212,2,0),"")</f>
        <v/>
      </c>
      <c r="J394" s="280" t="n"/>
      <c r="K394" s="332">
        <f>IFERROR(VLOOKUP(TEXT(O394,"0"),CONDUCTORES!$A$3:$G$54,7,0),"")</f>
        <v/>
      </c>
      <c r="L394" s="280" t="n"/>
      <c r="M394" s="280" t="n"/>
      <c r="N394" s="333">
        <f>IFERROR(IF(L394*M394=0,"",L394*M394),"")</f>
        <v/>
      </c>
      <c r="O394" s="280" t="n"/>
      <c r="P394" s="332">
        <f>IFERROR(VLOOKUP(TEXT(O394,"0"),CONDUCTORES!$A$3:$G$54,2,0),"")</f>
        <v/>
      </c>
      <c r="Q394" s="332">
        <f>IFERROR(VLOOKUP(TEXT(O394,"0"),CONDUCTORES!$A$3:$H$54,6,0),"")</f>
        <v/>
      </c>
      <c r="R394" s="280" t="n"/>
      <c r="S394" s="280" t="n"/>
      <c r="T394" s="280" t="n"/>
      <c r="U394" s="280" t="n"/>
      <c r="V394" s="280" t="n"/>
      <c r="W394" s="280" t="n"/>
      <c r="X394" s="280" t="n"/>
      <c r="Y394" s="280" t="n"/>
    </row>
    <row r="395" ht="15" customHeight="1" s="195">
      <c r="A395" s="334" t="n"/>
      <c r="B395" s="334" t="n"/>
      <c r="C395" s="334" t="n"/>
      <c r="D395" s="334" t="n"/>
      <c r="E395" s="334" t="n"/>
      <c r="F395" s="334" t="n"/>
      <c r="G395" s="334" t="n"/>
      <c r="H395" s="334" t="n"/>
      <c r="I395" s="332">
        <f>IFERROR(VLOOKUP(TEXT(H395,"0"),IPRESS!$A$3:$B$212,2,0),"")</f>
        <v/>
      </c>
      <c r="J395" s="334" t="n"/>
      <c r="K395" s="332">
        <f>IFERROR(VLOOKUP(TEXT(O395,"0"),CONDUCTORES!$A$3:$G$54,7,0),"")</f>
        <v/>
      </c>
      <c r="L395" s="334" t="n"/>
      <c r="M395" s="334" t="n"/>
      <c r="N395" s="333">
        <f>IFERROR(IF(L395*M395=0,"",L395*M395),"")</f>
        <v/>
      </c>
      <c r="O395" s="334" t="n"/>
      <c r="P395" s="332">
        <f>IFERROR(VLOOKUP(TEXT(O395,"0"),CONDUCTORES!$A$3:$G$54,2,0),"")</f>
        <v/>
      </c>
      <c r="Q395" s="332">
        <f>IFERROR(VLOOKUP(TEXT(O395,"0"),CONDUCTORES!$A$3:$H$54,6,0),"")</f>
        <v/>
      </c>
      <c r="R395" s="334" t="n"/>
      <c r="S395" s="334" t="n"/>
      <c r="T395" s="334" t="n"/>
      <c r="U395" s="334" t="n"/>
      <c r="V395" s="334" t="n"/>
      <c r="W395" s="334" t="n"/>
      <c r="X395" s="334" t="n"/>
      <c r="Y395" s="334" t="n"/>
    </row>
    <row r="396" ht="15" customHeight="1" s="195">
      <c r="A396" s="280" t="n"/>
      <c r="B396" s="280" t="n"/>
      <c r="C396" s="280" t="n"/>
      <c r="D396" s="280" t="n"/>
      <c r="E396" s="280" t="n"/>
      <c r="F396" s="280" t="n"/>
      <c r="G396" s="280" t="n"/>
      <c r="H396" s="280" t="n"/>
      <c r="I396" s="332">
        <f>IFERROR(VLOOKUP(TEXT(H396,"0"),IPRESS!$A$3:$B$212,2,0),"")</f>
        <v/>
      </c>
      <c r="J396" s="280" t="n"/>
      <c r="K396" s="332">
        <f>IFERROR(VLOOKUP(TEXT(O396,"0"),CONDUCTORES!$A$3:$G$54,7,0),"")</f>
        <v/>
      </c>
      <c r="L396" s="280" t="n"/>
      <c r="M396" s="280" t="n"/>
      <c r="N396" s="333">
        <f>IFERROR(IF(L396*M396=0,"",L396*M396),"")</f>
        <v/>
      </c>
      <c r="O396" s="280" t="n"/>
      <c r="P396" s="332">
        <f>IFERROR(VLOOKUP(TEXT(O396,"0"),CONDUCTORES!$A$3:$G$54,2,0),"")</f>
        <v/>
      </c>
      <c r="Q396" s="332">
        <f>IFERROR(VLOOKUP(TEXT(O396,"0"),CONDUCTORES!$A$3:$H$54,6,0),"")</f>
        <v/>
      </c>
      <c r="R396" s="280" t="n"/>
      <c r="S396" s="280" t="n"/>
      <c r="T396" s="280" t="n"/>
      <c r="U396" s="280" t="n"/>
      <c r="V396" s="280" t="n"/>
      <c r="W396" s="280" t="n"/>
      <c r="X396" s="280" t="n"/>
      <c r="Y396" s="280" t="n"/>
    </row>
    <row r="397" ht="15" customHeight="1" s="195">
      <c r="A397" s="334" t="n"/>
      <c r="B397" s="334" t="n"/>
      <c r="C397" s="334" t="n"/>
      <c r="D397" s="334" t="n"/>
      <c r="E397" s="334" t="n"/>
      <c r="F397" s="334" t="n"/>
      <c r="G397" s="334" t="n"/>
      <c r="H397" s="334" t="n"/>
      <c r="I397" s="332">
        <f>IFERROR(VLOOKUP(TEXT(H397,"0"),IPRESS!$A$3:$B$212,2,0),"")</f>
        <v/>
      </c>
      <c r="J397" s="334" t="n"/>
      <c r="K397" s="332">
        <f>IFERROR(VLOOKUP(TEXT(O397,"0"),CONDUCTORES!$A$3:$G$54,7,0),"")</f>
        <v/>
      </c>
      <c r="L397" s="334" t="n"/>
      <c r="M397" s="334" t="n"/>
      <c r="N397" s="333">
        <f>IFERROR(IF(L397*M397=0,"",L397*M397),"")</f>
        <v/>
      </c>
      <c r="O397" s="334" t="n"/>
      <c r="P397" s="332">
        <f>IFERROR(VLOOKUP(TEXT(O397,"0"),CONDUCTORES!$A$3:$G$54,2,0),"")</f>
        <v/>
      </c>
      <c r="Q397" s="332">
        <f>IFERROR(VLOOKUP(TEXT(O397,"0"),CONDUCTORES!$A$3:$H$54,6,0),"")</f>
        <v/>
      </c>
      <c r="R397" s="334" t="n"/>
      <c r="S397" s="334" t="n"/>
      <c r="T397" s="334" t="n"/>
      <c r="U397" s="334" t="n"/>
      <c r="V397" s="334" t="n"/>
      <c r="W397" s="334" t="n"/>
      <c r="X397" s="334" t="n"/>
      <c r="Y397" s="334" t="n"/>
    </row>
    <row r="398" ht="15" customHeight="1" s="195">
      <c r="A398" s="280" t="n"/>
      <c r="B398" s="280" t="n"/>
      <c r="C398" s="280" t="n"/>
      <c r="D398" s="280" t="n"/>
      <c r="E398" s="280" t="n"/>
      <c r="F398" s="280" t="n"/>
      <c r="G398" s="280" t="n"/>
      <c r="H398" s="280" t="n"/>
      <c r="I398" s="332">
        <f>IFERROR(VLOOKUP(TEXT(H398,"0"),IPRESS!$A$3:$B$212,2,0),"")</f>
        <v/>
      </c>
      <c r="J398" s="280" t="n"/>
      <c r="K398" s="332">
        <f>IFERROR(VLOOKUP(TEXT(O398,"0"),CONDUCTORES!$A$3:$G$54,7,0),"")</f>
        <v/>
      </c>
      <c r="L398" s="280" t="n"/>
      <c r="M398" s="280" t="n"/>
      <c r="N398" s="333">
        <f>IFERROR(IF(L398*M398=0,"",L398*M398),"")</f>
        <v/>
      </c>
      <c r="O398" s="280" t="n"/>
      <c r="P398" s="332">
        <f>IFERROR(VLOOKUP(TEXT(O398,"0"),CONDUCTORES!$A$3:$G$54,2,0),"")</f>
        <v/>
      </c>
      <c r="Q398" s="332">
        <f>IFERROR(VLOOKUP(TEXT(O398,"0"),CONDUCTORES!$A$3:$H$54,6,0),"")</f>
        <v/>
      </c>
      <c r="R398" s="280" t="n"/>
      <c r="S398" s="280" t="n"/>
      <c r="T398" s="280" t="n"/>
      <c r="U398" s="280" t="n"/>
      <c r="V398" s="280" t="n"/>
      <c r="W398" s="280" t="n"/>
      <c r="X398" s="280" t="n"/>
      <c r="Y398" s="280" t="n"/>
    </row>
    <row r="399" ht="15" customHeight="1" s="195">
      <c r="A399" s="334" t="n"/>
      <c r="B399" s="334" t="n"/>
      <c r="C399" s="334" t="n"/>
      <c r="D399" s="334" t="n"/>
      <c r="E399" s="334" t="n"/>
      <c r="F399" s="334" t="n"/>
      <c r="G399" s="334" t="n"/>
      <c r="H399" s="334" t="n"/>
      <c r="I399" s="332">
        <f>IFERROR(VLOOKUP(TEXT(H399,"0"),IPRESS!$A$3:$B$212,2,0),"")</f>
        <v/>
      </c>
      <c r="J399" s="334" t="n"/>
      <c r="K399" s="332">
        <f>IFERROR(VLOOKUP(TEXT(O399,"0"),CONDUCTORES!$A$3:$G$54,7,0),"")</f>
        <v/>
      </c>
      <c r="L399" s="334" t="n"/>
      <c r="M399" s="334" t="n"/>
      <c r="N399" s="333">
        <f>IFERROR(IF(L399*M399=0,"",L399*M399),"")</f>
        <v/>
      </c>
      <c r="O399" s="334" t="n"/>
      <c r="P399" s="332">
        <f>IFERROR(VLOOKUP(TEXT(O399,"0"),CONDUCTORES!$A$3:$G$54,2,0),"")</f>
        <v/>
      </c>
      <c r="Q399" s="332">
        <f>IFERROR(VLOOKUP(TEXT(O399,"0"),CONDUCTORES!$A$3:$H$54,6,0),"")</f>
        <v/>
      </c>
      <c r="R399" s="334" t="n"/>
      <c r="S399" s="334" t="n"/>
      <c r="T399" s="334" t="n"/>
      <c r="U399" s="334" t="n"/>
      <c r="V399" s="334" t="n"/>
      <c r="W399" s="334" t="n"/>
      <c r="X399" s="334" t="n"/>
      <c r="Y399" s="334" t="n"/>
    </row>
    <row r="400" ht="15" customHeight="1" s="195">
      <c r="A400" s="280" t="n"/>
      <c r="B400" s="280" t="n"/>
      <c r="C400" s="280" t="n"/>
      <c r="D400" s="280" t="n"/>
      <c r="E400" s="280" t="n"/>
      <c r="F400" s="280" t="n"/>
      <c r="G400" s="280" t="n"/>
      <c r="H400" s="280" t="n"/>
      <c r="I400" s="332">
        <f>IFERROR(VLOOKUP(TEXT(H400,"0"),IPRESS!$A$3:$B$212,2,0),"")</f>
        <v/>
      </c>
      <c r="J400" s="280" t="n"/>
      <c r="K400" s="332">
        <f>IFERROR(VLOOKUP(TEXT(O400,"0"),CONDUCTORES!$A$3:$G$54,7,0),"")</f>
        <v/>
      </c>
      <c r="L400" s="280" t="n"/>
      <c r="M400" s="280" t="n"/>
      <c r="N400" s="333">
        <f>IFERROR(IF(L400*M400=0,"",L400*M400),"")</f>
        <v/>
      </c>
      <c r="O400" s="280" t="n"/>
      <c r="P400" s="332">
        <f>IFERROR(VLOOKUP(TEXT(O400,"0"),CONDUCTORES!$A$3:$G$54,2,0),"")</f>
        <v/>
      </c>
      <c r="Q400" s="332">
        <f>IFERROR(VLOOKUP(TEXT(O400,"0"),CONDUCTORES!$A$3:$H$54,6,0),"")</f>
        <v/>
      </c>
      <c r="R400" s="280" t="n"/>
      <c r="S400" s="280" t="n"/>
      <c r="T400" s="280" t="n"/>
      <c r="U400" s="280" t="n"/>
      <c r="V400" s="280" t="n"/>
      <c r="W400" s="280" t="n"/>
      <c r="X400" s="280" t="n"/>
      <c r="Y400" s="280" t="n"/>
    </row>
    <row r="401" ht="15" customHeight="1" s="195">
      <c r="A401" s="334" t="n"/>
      <c r="B401" s="334" t="n"/>
      <c r="C401" s="334" t="n"/>
      <c r="D401" s="334" t="n"/>
      <c r="E401" s="334" t="n"/>
      <c r="F401" s="334" t="n"/>
      <c r="G401" s="334" t="n"/>
      <c r="H401" s="334" t="n"/>
      <c r="I401" s="332">
        <f>IFERROR(VLOOKUP(TEXT(H401,"0"),IPRESS!$A$3:$B$212,2,0),"")</f>
        <v/>
      </c>
      <c r="J401" s="334" t="n"/>
      <c r="K401" s="332">
        <f>IFERROR(VLOOKUP(TEXT(O401,"0"),CONDUCTORES!$A$3:$G$54,7,0),"")</f>
        <v/>
      </c>
      <c r="L401" s="334" t="n"/>
      <c r="M401" s="334" t="n"/>
      <c r="N401" s="333">
        <f>IFERROR(IF(L401*M401=0,"",L401*M401),"")</f>
        <v/>
      </c>
      <c r="O401" s="334" t="n"/>
      <c r="P401" s="332">
        <f>IFERROR(VLOOKUP(TEXT(O401,"0"),CONDUCTORES!$A$3:$G$54,2,0),"")</f>
        <v/>
      </c>
      <c r="Q401" s="332">
        <f>IFERROR(VLOOKUP(TEXT(O401,"0"),CONDUCTORES!$A$3:$H$54,6,0),"")</f>
        <v/>
      </c>
      <c r="R401" s="334" t="n"/>
      <c r="S401" s="334" t="n"/>
      <c r="T401" s="334" t="n"/>
      <c r="U401" s="334" t="n"/>
      <c r="V401" s="334" t="n"/>
      <c r="W401" s="334" t="n"/>
      <c r="X401" s="334" t="n"/>
      <c r="Y401" s="334" t="n"/>
    </row>
    <row r="402" ht="15" customHeight="1" s="195">
      <c r="A402" s="280" t="n"/>
      <c r="B402" s="280" t="n"/>
      <c r="C402" s="280" t="n"/>
      <c r="D402" s="280" t="n"/>
      <c r="E402" s="280" t="n"/>
      <c r="F402" s="280" t="n"/>
      <c r="G402" s="280" t="n"/>
      <c r="H402" s="280" t="n"/>
      <c r="I402" s="332">
        <f>IFERROR(VLOOKUP(TEXT(H402,"0"),IPRESS!$A$3:$B$212,2,0),"")</f>
        <v/>
      </c>
      <c r="J402" s="280" t="n"/>
      <c r="K402" s="332">
        <f>IFERROR(VLOOKUP(TEXT(O402,"0"),CONDUCTORES!$A$3:$G$54,7,0),"")</f>
        <v/>
      </c>
      <c r="L402" s="280" t="n"/>
      <c r="M402" s="280" t="n"/>
      <c r="N402" s="333">
        <f>IFERROR(IF(L402*M402=0,"",L402*M402),"")</f>
        <v/>
      </c>
      <c r="O402" s="280" t="n"/>
      <c r="P402" s="332">
        <f>IFERROR(VLOOKUP(TEXT(O402,"0"),CONDUCTORES!$A$3:$G$54,2,0),"")</f>
        <v/>
      </c>
      <c r="Q402" s="332">
        <f>IFERROR(VLOOKUP(TEXT(O402,"0"),CONDUCTORES!$A$3:$H$54,6,0),"")</f>
        <v/>
      </c>
      <c r="R402" s="280" t="n"/>
      <c r="S402" s="280" t="n"/>
      <c r="T402" s="280" t="n"/>
      <c r="U402" s="280" t="n"/>
      <c r="V402" s="280" t="n"/>
      <c r="W402" s="280" t="n"/>
      <c r="X402" s="280" t="n"/>
      <c r="Y402" s="280" t="n"/>
    </row>
    <row r="403" ht="15" customHeight="1" s="195">
      <c r="A403" s="334" t="n"/>
      <c r="B403" s="334" t="n"/>
      <c r="C403" s="334" t="n"/>
      <c r="D403" s="334" t="n"/>
      <c r="E403" s="334" t="n"/>
      <c r="F403" s="334" t="n"/>
      <c r="G403" s="334" t="n"/>
      <c r="H403" s="334" t="n"/>
      <c r="I403" s="332">
        <f>IFERROR(VLOOKUP(TEXT(H403,"0"),IPRESS!$A$3:$B$212,2,0),"")</f>
        <v/>
      </c>
      <c r="J403" s="334" t="n"/>
      <c r="K403" s="332">
        <f>IFERROR(VLOOKUP(TEXT(O403,"0"),CONDUCTORES!$A$3:$G$54,7,0),"")</f>
        <v/>
      </c>
      <c r="L403" s="334" t="n"/>
      <c r="M403" s="334" t="n"/>
      <c r="N403" s="333">
        <f>IFERROR(IF(L403*M403=0,"",L403*M403),"")</f>
        <v/>
      </c>
      <c r="O403" s="334" t="n"/>
      <c r="P403" s="332">
        <f>IFERROR(VLOOKUP(TEXT(O403,"0"),CONDUCTORES!$A$3:$G$54,2,0),"")</f>
        <v/>
      </c>
      <c r="Q403" s="332">
        <f>IFERROR(VLOOKUP(TEXT(O403,"0"),CONDUCTORES!$A$3:$H$54,6,0),"")</f>
        <v/>
      </c>
      <c r="R403" s="334" t="n"/>
      <c r="S403" s="334" t="n"/>
      <c r="T403" s="334" t="n"/>
      <c r="U403" s="334" t="n"/>
      <c r="V403" s="334" t="n"/>
      <c r="W403" s="334" t="n"/>
      <c r="X403" s="334" t="n"/>
      <c r="Y403" s="334" t="n"/>
    </row>
    <row r="404" ht="15" customHeight="1" s="195">
      <c r="A404" s="280" t="n"/>
      <c r="B404" s="280" t="n"/>
      <c r="C404" s="280" t="n"/>
      <c r="D404" s="280" t="n"/>
      <c r="E404" s="280" t="n"/>
      <c r="F404" s="280" t="n"/>
      <c r="G404" s="280" t="n"/>
      <c r="H404" s="280" t="n"/>
      <c r="I404" s="332">
        <f>IFERROR(VLOOKUP(TEXT(H404,"0"),IPRESS!$A$3:$B$212,2,0),"")</f>
        <v/>
      </c>
      <c r="J404" s="280" t="n"/>
      <c r="K404" s="332">
        <f>IFERROR(VLOOKUP(TEXT(O404,"0"),CONDUCTORES!$A$3:$G$54,7,0),"")</f>
        <v/>
      </c>
      <c r="L404" s="280" t="n"/>
      <c r="M404" s="280" t="n"/>
      <c r="N404" s="333">
        <f>IFERROR(IF(L404*M404=0,"",L404*M404),"")</f>
        <v/>
      </c>
      <c r="O404" s="280" t="n"/>
      <c r="P404" s="332">
        <f>IFERROR(VLOOKUP(TEXT(O404,"0"),CONDUCTORES!$A$3:$G$54,2,0),"")</f>
        <v/>
      </c>
      <c r="Q404" s="332">
        <f>IFERROR(VLOOKUP(TEXT(O404,"0"),CONDUCTORES!$A$3:$H$54,6,0),"")</f>
        <v/>
      </c>
      <c r="R404" s="280" t="n"/>
      <c r="S404" s="280" t="n"/>
      <c r="T404" s="280" t="n"/>
      <c r="U404" s="280" t="n"/>
      <c r="V404" s="280" t="n"/>
      <c r="W404" s="280" t="n"/>
      <c r="X404" s="280" t="n"/>
      <c r="Y404" s="280" t="n"/>
    </row>
    <row r="405" ht="15" customHeight="1" s="195">
      <c r="A405" s="334" t="n"/>
      <c r="B405" s="334" t="n"/>
      <c r="C405" s="334" t="n"/>
      <c r="D405" s="334" t="n"/>
      <c r="E405" s="334" t="n"/>
      <c r="F405" s="334" t="n"/>
      <c r="G405" s="334" t="n"/>
      <c r="H405" s="334" t="n"/>
      <c r="I405" s="332">
        <f>IFERROR(VLOOKUP(TEXT(H405,"0"),IPRESS!$A$3:$B$212,2,0),"")</f>
        <v/>
      </c>
      <c r="J405" s="334" t="n"/>
      <c r="K405" s="332">
        <f>IFERROR(VLOOKUP(TEXT(O405,"0"),CONDUCTORES!$A$3:$G$54,7,0),"")</f>
        <v/>
      </c>
      <c r="L405" s="334" t="n"/>
      <c r="M405" s="334" t="n"/>
      <c r="N405" s="333">
        <f>IFERROR(IF(L405*M405=0,"",L405*M405),"")</f>
        <v/>
      </c>
      <c r="O405" s="334" t="n"/>
      <c r="P405" s="332">
        <f>IFERROR(VLOOKUP(TEXT(O405,"0"),CONDUCTORES!$A$3:$G$54,2,0),"")</f>
        <v/>
      </c>
      <c r="Q405" s="332">
        <f>IFERROR(VLOOKUP(TEXT(O405,"0"),CONDUCTORES!$A$3:$H$54,6,0),"")</f>
        <v/>
      </c>
      <c r="R405" s="334" t="n"/>
      <c r="S405" s="334" t="n"/>
      <c r="T405" s="334" t="n"/>
      <c r="U405" s="334" t="n"/>
      <c r="V405" s="334" t="n"/>
      <c r="W405" s="334" t="n"/>
      <c r="X405" s="334" t="n"/>
      <c r="Y405" s="334" t="n"/>
    </row>
    <row r="406" ht="15" customHeight="1" s="195">
      <c r="A406" s="280" t="n"/>
      <c r="B406" s="280" t="n"/>
      <c r="C406" s="280" t="n"/>
      <c r="D406" s="280" t="n"/>
      <c r="E406" s="280" t="n"/>
      <c r="F406" s="280" t="n"/>
      <c r="G406" s="280" t="n"/>
      <c r="H406" s="280" t="n"/>
      <c r="I406" s="332">
        <f>IFERROR(VLOOKUP(TEXT(H406,"0"),IPRESS!$A$3:$B$212,2,0),"")</f>
        <v/>
      </c>
      <c r="J406" s="280" t="n"/>
      <c r="K406" s="332">
        <f>IFERROR(VLOOKUP(TEXT(O406,"0"),CONDUCTORES!$A$3:$G$54,7,0),"")</f>
        <v/>
      </c>
      <c r="L406" s="280" t="n"/>
      <c r="M406" s="280" t="n"/>
      <c r="N406" s="333">
        <f>IFERROR(IF(L406*M406=0,"",L406*M406),"")</f>
        <v/>
      </c>
      <c r="O406" s="280" t="n"/>
      <c r="P406" s="332">
        <f>IFERROR(VLOOKUP(TEXT(O406,"0"),CONDUCTORES!$A$3:$G$54,2,0),"")</f>
        <v/>
      </c>
      <c r="Q406" s="332">
        <f>IFERROR(VLOOKUP(TEXT(O406,"0"),CONDUCTORES!$A$3:$H$54,6,0),"")</f>
        <v/>
      </c>
      <c r="R406" s="280" t="n"/>
      <c r="S406" s="280" t="n"/>
      <c r="T406" s="280" t="n"/>
      <c r="U406" s="280" t="n"/>
      <c r="V406" s="280" t="n"/>
      <c r="W406" s="280" t="n"/>
      <c r="X406" s="280" t="n"/>
      <c r="Y406" s="280" t="n"/>
    </row>
    <row r="407" ht="15" customHeight="1" s="195">
      <c r="A407" s="334" t="n"/>
      <c r="B407" s="334" t="n"/>
      <c r="C407" s="334" t="n"/>
      <c r="D407" s="334" t="n"/>
      <c r="E407" s="334" t="n"/>
      <c r="F407" s="334" t="n"/>
      <c r="G407" s="334" t="n"/>
      <c r="H407" s="334" t="n"/>
      <c r="I407" s="332">
        <f>IFERROR(VLOOKUP(TEXT(H407,"0"),IPRESS!$A$3:$B$212,2,0),"")</f>
        <v/>
      </c>
      <c r="J407" s="334" t="n"/>
      <c r="K407" s="332">
        <f>IFERROR(VLOOKUP(TEXT(O407,"0"),CONDUCTORES!$A$3:$G$54,7,0),"")</f>
        <v/>
      </c>
      <c r="L407" s="334" t="n"/>
      <c r="M407" s="334" t="n"/>
      <c r="N407" s="333">
        <f>IFERROR(IF(L407*M407=0,"",L407*M407),"")</f>
        <v/>
      </c>
      <c r="O407" s="334" t="n"/>
      <c r="P407" s="332">
        <f>IFERROR(VLOOKUP(TEXT(O407,"0"),CONDUCTORES!$A$3:$G$54,2,0),"")</f>
        <v/>
      </c>
      <c r="Q407" s="332">
        <f>IFERROR(VLOOKUP(TEXT(O407,"0"),CONDUCTORES!$A$3:$H$54,6,0),"")</f>
        <v/>
      </c>
      <c r="R407" s="334" t="n"/>
      <c r="S407" s="334" t="n"/>
      <c r="T407" s="334" t="n"/>
      <c r="U407" s="334" t="n"/>
      <c r="V407" s="334" t="n"/>
      <c r="W407" s="334" t="n"/>
      <c r="X407" s="334" t="n"/>
      <c r="Y407" s="334" t="n"/>
    </row>
    <row r="408" ht="15" customHeight="1" s="195">
      <c r="A408" s="280" t="n"/>
      <c r="B408" s="280" t="n"/>
      <c r="C408" s="280" t="n"/>
      <c r="D408" s="280" t="n"/>
      <c r="E408" s="280" t="n"/>
      <c r="F408" s="280" t="n"/>
      <c r="G408" s="280" t="n"/>
      <c r="H408" s="280" t="n"/>
      <c r="I408" s="332">
        <f>IFERROR(VLOOKUP(TEXT(H408,"0"),IPRESS!$A$3:$B$212,2,0),"")</f>
        <v/>
      </c>
      <c r="J408" s="280" t="n"/>
      <c r="K408" s="332">
        <f>IFERROR(VLOOKUP(TEXT(O408,"0"),CONDUCTORES!$A$3:$G$54,7,0),"")</f>
        <v/>
      </c>
      <c r="L408" s="280" t="n"/>
      <c r="M408" s="280" t="n"/>
      <c r="N408" s="333">
        <f>IFERROR(IF(L408*M408=0,"",L408*M408),"")</f>
        <v/>
      </c>
      <c r="O408" s="280" t="n"/>
      <c r="P408" s="332">
        <f>IFERROR(VLOOKUP(TEXT(O408,"0"),CONDUCTORES!$A$3:$G$54,2,0),"")</f>
        <v/>
      </c>
      <c r="Q408" s="332">
        <f>IFERROR(VLOOKUP(TEXT(O408,"0"),CONDUCTORES!$A$3:$H$54,6,0),"")</f>
        <v/>
      </c>
      <c r="R408" s="280" t="n"/>
      <c r="S408" s="280" t="n"/>
      <c r="T408" s="280" t="n"/>
      <c r="U408" s="280" t="n"/>
      <c r="V408" s="280" t="n"/>
      <c r="W408" s="280" t="n"/>
      <c r="X408" s="280" t="n"/>
      <c r="Y408" s="280" t="n"/>
    </row>
    <row r="409" ht="15" customHeight="1" s="195">
      <c r="A409" s="334" t="n"/>
      <c r="B409" s="334" t="n"/>
      <c r="C409" s="334" t="n"/>
      <c r="D409" s="334" t="n"/>
      <c r="E409" s="334" t="n"/>
      <c r="F409" s="334" t="n"/>
      <c r="G409" s="334" t="n"/>
      <c r="H409" s="334" t="n"/>
      <c r="I409" s="332">
        <f>IFERROR(VLOOKUP(TEXT(H409,"0"),IPRESS!$A$3:$B$212,2,0),"")</f>
        <v/>
      </c>
      <c r="J409" s="334" t="n"/>
      <c r="K409" s="332">
        <f>IFERROR(VLOOKUP(TEXT(O409,"0"),CONDUCTORES!$A$3:$G$54,7,0),"")</f>
        <v/>
      </c>
      <c r="L409" s="334" t="n"/>
      <c r="M409" s="334" t="n"/>
      <c r="N409" s="333">
        <f>IFERROR(IF(L409*M409=0,"",L409*M409),"")</f>
        <v/>
      </c>
      <c r="O409" s="334" t="n"/>
      <c r="P409" s="332">
        <f>IFERROR(VLOOKUP(TEXT(O409,"0"),CONDUCTORES!$A$3:$G$54,2,0),"")</f>
        <v/>
      </c>
      <c r="Q409" s="332">
        <f>IFERROR(VLOOKUP(TEXT(O409,"0"),CONDUCTORES!$A$3:$H$54,6,0),"")</f>
        <v/>
      </c>
      <c r="R409" s="334" t="n"/>
      <c r="S409" s="334" t="n"/>
      <c r="T409" s="334" t="n"/>
      <c r="U409" s="334" t="n"/>
      <c r="V409" s="334" t="n"/>
      <c r="W409" s="334" t="n"/>
      <c r="X409" s="334" t="n"/>
      <c r="Y409" s="334" t="n"/>
    </row>
    <row r="410" ht="15" customHeight="1" s="195">
      <c r="A410" s="280" t="n"/>
      <c r="B410" s="280" t="n"/>
      <c r="C410" s="280" t="n"/>
      <c r="D410" s="280" t="n"/>
      <c r="E410" s="280" t="n"/>
      <c r="F410" s="280" t="n"/>
      <c r="G410" s="280" t="n"/>
      <c r="H410" s="280" t="n"/>
      <c r="I410" s="332">
        <f>IFERROR(VLOOKUP(TEXT(H410,"0"),IPRESS!$A$3:$B$212,2,0),"")</f>
        <v/>
      </c>
      <c r="J410" s="280" t="n"/>
      <c r="K410" s="332">
        <f>IFERROR(VLOOKUP(TEXT(O410,"0"),CONDUCTORES!$A$3:$G$54,7,0),"")</f>
        <v/>
      </c>
      <c r="L410" s="280" t="n"/>
      <c r="M410" s="280" t="n"/>
      <c r="N410" s="333">
        <f>IFERROR(IF(L410*M410=0,"",L410*M410),"")</f>
        <v/>
      </c>
      <c r="O410" s="280" t="n"/>
      <c r="P410" s="332">
        <f>IFERROR(VLOOKUP(TEXT(O410,"0"),CONDUCTORES!$A$3:$G$54,2,0),"")</f>
        <v/>
      </c>
      <c r="Q410" s="332">
        <f>IFERROR(VLOOKUP(TEXT(O410,"0"),CONDUCTORES!$A$3:$H$54,6,0),"")</f>
        <v/>
      </c>
      <c r="R410" s="280" t="n"/>
      <c r="S410" s="280" t="n"/>
      <c r="T410" s="280" t="n"/>
      <c r="U410" s="280" t="n"/>
      <c r="V410" s="280" t="n"/>
      <c r="W410" s="280" t="n"/>
      <c r="X410" s="280" t="n"/>
      <c r="Y410" s="280" t="n"/>
    </row>
    <row r="411" ht="15" customHeight="1" s="195">
      <c r="A411" s="334" t="n"/>
      <c r="B411" s="334" t="n"/>
      <c r="C411" s="334" t="n"/>
      <c r="D411" s="334" t="n"/>
      <c r="E411" s="334" t="n"/>
      <c r="F411" s="334" t="n"/>
      <c r="G411" s="334" t="n"/>
      <c r="H411" s="334" t="n"/>
      <c r="I411" s="332">
        <f>IFERROR(VLOOKUP(TEXT(H411,"0"),IPRESS!$A$3:$B$212,2,0),"")</f>
        <v/>
      </c>
      <c r="J411" s="334" t="n"/>
      <c r="K411" s="332">
        <f>IFERROR(VLOOKUP(TEXT(O411,"0"),CONDUCTORES!$A$3:$G$54,7,0),"")</f>
        <v/>
      </c>
      <c r="L411" s="334" t="n"/>
      <c r="M411" s="334" t="n"/>
      <c r="N411" s="333">
        <f>IFERROR(IF(L411*M411=0,"",L411*M411),"")</f>
        <v/>
      </c>
      <c r="O411" s="334" t="n"/>
      <c r="P411" s="332">
        <f>IFERROR(VLOOKUP(TEXT(O411,"0"),CONDUCTORES!$A$3:$G$54,2,0),"")</f>
        <v/>
      </c>
      <c r="Q411" s="332">
        <f>IFERROR(VLOOKUP(TEXT(O411,"0"),CONDUCTORES!$A$3:$H$54,6,0),"")</f>
        <v/>
      </c>
      <c r="R411" s="334" t="n"/>
      <c r="S411" s="334" t="n"/>
      <c r="T411" s="334" t="n"/>
      <c r="U411" s="334" t="n"/>
      <c r="V411" s="334" t="n"/>
      <c r="W411" s="334" t="n"/>
      <c r="X411" s="334" t="n"/>
      <c r="Y411" s="334" t="n"/>
    </row>
    <row r="412" ht="15" customHeight="1" s="195">
      <c r="A412" s="280" t="n"/>
      <c r="B412" s="280" t="n"/>
      <c r="C412" s="280" t="n"/>
      <c r="D412" s="280" t="n"/>
      <c r="E412" s="280" t="n"/>
      <c r="F412" s="280" t="n"/>
      <c r="G412" s="280" t="n"/>
      <c r="H412" s="280" t="n"/>
      <c r="I412" s="332">
        <f>IFERROR(VLOOKUP(TEXT(H412,"0"),IPRESS!$A$3:$B$212,2,0),"")</f>
        <v/>
      </c>
      <c r="J412" s="280" t="n"/>
      <c r="K412" s="332">
        <f>IFERROR(VLOOKUP(TEXT(O412,"0"),CONDUCTORES!$A$3:$G$54,7,0),"")</f>
        <v/>
      </c>
      <c r="L412" s="280" t="n"/>
      <c r="M412" s="280" t="n"/>
      <c r="N412" s="333">
        <f>IFERROR(IF(L412*M412=0,"",L412*M412),"")</f>
        <v/>
      </c>
      <c r="O412" s="280" t="n"/>
      <c r="P412" s="332">
        <f>IFERROR(VLOOKUP(TEXT(O412,"0"),CONDUCTORES!$A$3:$G$54,2,0),"")</f>
        <v/>
      </c>
      <c r="Q412" s="332">
        <f>IFERROR(VLOOKUP(TEXT(O412,"0"),CONDUCTORES!$A$3:$H$54,6,0),"")</f>
        <v/>
      </c>
      <c r="R412" s="280" t="n"/>
      <c r="S412" s="280" t="n"/>
      <c r="T412" s="280" t="n"/>
      <c r="U412" s="280" t="n"/>
      <c r="V412" s="280" t="n"/>
      <c r="W412" s="280" t="n"/>
      <c r="X412" s="280" t="n"/>
      <c r="Y412" s="280" t="n"/>
    </row>
    <row r="413" ht="15" customHeight="1" s="195">
      <c r="A413" s="334" t="n"/>
      <c r="B413" s="334" t="n"/>
      <c r="C413" s="334" t="n"/>
      <c r="D413" s="334" t="n"/>
      <c r="E413" s="334" t="n"/>
      <c r="F413" s="334" t="n"/>
      <c r="G413" s="334" t="n"/>
      <c r="H413" s="334" t="n"/>
      <c r="I413" s="332">
        <f>IFERROR(VLOOKUP(TEXT(H413,"0"),IPRESS!$A$3:$B$212,2,0),"")</f>
        <v/>
      </c>
      <c r="J413" s="334" t="n"/>
      <c r="K413" s="332">
        <f>IFERROR(VLOOKUP(TEXT(O413,"0"),CONDUCTORES!$A$3:$G$54,7,0),"")</f>
        <v/>
      </c>
      <c r="L413" s="334" t="n"/>
      <c r="M413" s="334" t="n"/>
      <c r="N413" s="333">
        <f>IFERROR(IF(L413*M413=0,"",L413*M413),"")</f>
        <v/>
      </c>
      <c r="O413" s="334" t="n"/>
      <c r="P413" s="332">
        <f>IFERROR(VLOOKUP(TEXT(O413,"0"),CONDUCTORES!$A$3:$G$54,2,0),"")</f>
        <v/>
      </c>
      <c r="Q413" s="332">
        <f>IFERROR(VLOOKUP(TEXT(O413,"0"),CONDUCTORES!$A$3:$H$54,6,0),"")</f>
        <v/>
      </c>
      <c r="R413" s="334" t="n"/>
      <c r="S413" s="334" t="n"/>
      <c r="T413" s="334" t="n"/>
      <c r="U413" s="334" t="n"/>
      <c r="V413" s="334" t="n"/>
      <c r="W413" s="334" t="n"/>
      <c r="X413" s="334" t="n"/>
      <c r="Y413" s="334" t="n"/>
    </row>
    <row r="414" ht="15" customHeight="1" s="195">
      <c r="A414" s="280" t="n"/>
      <c r="B414" s="280" t="n"/>
      <c r="C414" s="280" t="n"/>
      <c r="D414" s="280" t="n"/>
      <c r="E414" s="280" t="n"/>
      <c r="F414" s="280" t="n"/>
      <c r="G414" s="280" t="n"/>
      <c r="H414" s="280" t="n"/>
      <c r="I414" s="332">
        <f>IFERROR(VLOOKUP(TEXT(H414,"0"),IPRESS!$A$3:$B$212,2,0),"")</f>
        <v/>
      </c>
      <c r="J414" s="280" t="n"/>
      <c r="K414" s="332">
        <f>IFERROR(VLOOKUP(TEXT(O414,"0"),CONDUCTORES!$A$3:$G$54,7,0),"")</f>
        <v/>
      </c>
      <c r="L414" s="280" t="n"/>
      <c r="M414" s="280" t="n"/>
      <c r="N414" s="333">
        <f>IFERROR(IF(L414*M414=0,"",L414*M414),"")</f>
        <v/>
      </c>
      <c r="O414" s="280" t="n"/>
      <c r="P414" s="332">
        <f>IFERROR(VLOOKUP(TEXT(O414,"0"),CONDUCTORES!$A$3:$G$54,2,0),"")</f>
        <v/>
      </c>
      <c r="Q414" s="332">
        <f>IFERROR(VLOOKUP(TEXT(O414,"0"),CONDUCTORES!$A$3:$H$54,6,0),"")</f>
        <v/>
      </c>
      <c r="R414" s="280" t="n"/>
      <c r="S414" s="280" t="n"/>
      <c r="T414" s="280" t="n"/>
      <c r="U414" s="280" t="n"/>
      <c r="V414" s="280" t="n"/>
      <c r="W414" s="280" t="n"/>
      <c r="X414" s="280" t="n"/>
      <c r="Y414" s="280" t="n"/>
    </row>
    <row r="415" ht="15" customHeight="1" s="195">
      <c r="A415" s="334" t="n"/>
      <c r="B415" s="334" t="n"/>
      <c r="C415" s="334" t="n"/>
      <c r="D415" s="334" t="n"/>
      <c r="E415" s="334" t="n"/>
      <c r="F415" s="334" t="n"/>
      <c r="G415" s="334" t="n"/>
      <c r="H415" s="334" t="n"/>
      <c r="I415" s="332">
        <f>IFERROR(VLOOKUP(TEXT(H415,"0"),IPRESS!$A$3:$B$212,2,0),"")</f>
        <v/>
      </c>
      <c r="J415" s="334" t="n"/>
      <c r="K415" s="332">
        <f>IFERROR(VLOOKUP(TEXT(O415,"0"),CONDUCTORES!$A$3:$G$54,7,0),"")</f>
        <v/>
      </c>
      <c r="L415" s="334" t="n"/>
      <c r="M415" s="334" t="n"/>
      <c r="N415" s="333">
        <f>IFERROR(IF(L415*M415=0,"",L415*M415),"")</f>
        <v/>
      </c>
      <c r="O415" s="334" t="n"/>
      <c r="P415" s="332">
        <f>IFERROR(VLOOKUP(TEXT(O415,"0"),CONDUCTORES!$A$3:$G$54,2,0),"")</f>
        <v/>
      </c>
      <c r="Q415" s="332">
        <f>IFERROR(VLOOKUP(TEXT(O415,"0"),CONDUCTORES!$A$3:$H$54,6,0),"")</f>
        <v/>
      </c>
      <c r="R415" s="334" t="n"/>
      <c r="S415" s="334" t="n"/>
      <c r="T415" s="334" t="n"/>
      <c r="U415" s="334" t="n"/>
      <c r="V415" s="334" t="n"/>
      <c r="W415" s="334" t="n"/>
      <c r="X415" s="334" t="n"/>
      <c r="Y415" s="334" t="n"/>
    </row>
    <row r="416" ht="15" customHeight="1" s="195">
      <c r="A416" s="280" t="n"/>
      <c r="B416" s="280" t="n"/>
      <c r="C416" s="280" t="n"/>
      <c r="D416" s="280" t="n"/>
      <c r="E416" s="280" t="n"/>
      <c r="F416" s="280" t="n"/>
      <c r="G416" s="280" t="n"/>
      <c r="H416" s="280" t="n"/>
      <c r="I416" s="332">
        <f>IFERROR(VLOOKUP(TEXT(H416,"0"),IPRESS!$A$3:$B$212,2,0),"")</f>
        <v/>
      </c>
      <c r="J416" s="280" t="n"/>
      <c r="K416" s="332">
        <f>IFERROR(VLOOKUP(TEXT(O416,"0"),CONDUCTORES!$A$3:$G$54,7,0),"")</f>
        <v/>
      </c>
      <c r="L416" s="280" t="n"/>
      <c r="M416" s="280" t="n"/>
      <c r="N416" s="333">
        <f>IFERROR(IF(L416*M416=0,"",L416*M416),"")</f>
        <v/>
      </c>
      <c r="O416" s="280" t="n"/>
      <c r="P416" s="332">
        <f>IFERROR(VLOOKUP(TEXT(O416,"0"),CONDUCTORES!$A$3:$G$54,2,0),"")</f>
        <v/>
      </c>
      <c r="Q416" s="332">
        <f>IFERROR(VLOOKUP(TEXT(O416,"0"),CONDUCTORES!$A$3:$H$54,6,0),"")</f>
        <v/>
      </c>
      <c r="R416" s="280" t="n"/>
      <c r="S416" s="280" t="n"/>
      <c r="T416" s="280" t="n"/>
      <c r="U416" s="280" t="n"/>
      <c r="V416" s="280" t="n"/>
      <c r="W416" s="280" t="n"/>
      <c r="X416" s="280" t="n"/>
      <c r="Y416" s="280" t="n"/>
    </row>
    <row r="417" ht="15" customHeight="1" s="195">
      <c r="A417" s="334" t="n"/>
      <c r="B417" s="334" t="n"/>
      <c r="C417" s="334" t="n"/>
      <c r="D417" s="334" t="n"/>
      <c r="E417" s="334" t="n"/>
      <c r="F417" s="334" t="n"/>
      <c r="G417" s="334" t="n"/>
      <c r="H417" s="334" t="n"/>
      <c r="I417" s="332">
        <f>IFERROR(VLOOKUP(TEXT(H417,"0"),IPRESS!$A$3:$B$212,2,0),"")</f>
        <v/>
      </c>
      <c r="J417" s="334" t="n"/>
      <c r="K417" s="332">
        <f>IFERROR(VLOOKUP(TEXT(O417,"0"),CONDUCTORES!$A$3:$G$54,7,0),"")</f>
        <v/>
      </c>
      <c r="L417" s="334" t="n"/>
      <c r="M417" s="334" t="n"/>
      <c r="N417" s="333">
        <f>IFERROR(IF(L417*M417=0,"",L417*M417),"")</f>
        <v/>
      </c>
      <c r="O417" s="334" t="n"/>
      <c r="P417" s="332">
        <f>IFERROR(VLOOKUP(TEXT(O417,"0"),CONDUCTORES!$A$3:$G$54,2,0),"")</f>
        <v/>
      </c>
      <c r="Q417" s="332">
        <f>IFERROR(VLOOKUP(TEXT(O417,"0"),CONDUCTORES!$A$3:$H$54,6,0),"")</f>
        <v/>
      </c>
      <c r="R417" s="334" t="n"/>
      <c r="S417" s="334" t="n"/>
      <c r="T417" s="334" t="n"/>
      <c r="U417" s="334" t="n"/>
      <c r="V417" s="334" t="n"/>
      <c r="W417" s="334" t="n"/>
      <c r="X417" s="334" t="n"/>
      <c r="Y417" s="334" t="n"/>
    </row>
    <row r="418" ht="15" customHeight="1" s="195">
      <c r="A418" s="280" t="n"/>
      <c r="B418" s="280" t="n"/>
      <c r="C418" s="280" t="n"/>
      <c r="D418" s="280" t="n"/>
      <c r="E418" s="280" t="n"/>
      <c r="F418" s="280" t="n"/>
      <c r="G418" s="280" t="n"/>
      <c r="H418" s="280" t="n"/>
      <c r="I418" s="332">
        <f>IFERROR(VLOOKUP(TEXT(H418,"0"),IPRESS!$A$3:$B$212,2,0),"")</f>
        <v/>
      </c>
      <c r="J418" s="280" t="n"/>
      <c r="K418" s="332">
        <f>IFERROR(VLOOKUP(TEXT(O418,"0"),CONDUCTORES!$A$3:$G$54,7,0),"")</f>
        <v/>
      </c>
      <c r="L418" s="280" t="n"/>
      <c r="M418" s="280" t="n"/>
      <c r="N418" s="333">
        <f>IFERROR(IF(L418*M418=0,"",L418*M418),"")</f>
        <v/>
      </c>
      <c r="O418" s="280" t="n"/>
      <c r="P418" s="332">
        <f>IFERROR(VLOOKUP(TEXT(O418,"0"),CONDUCTORES!$A$3:$G$54,2,0),"")</f>
        <v/>
      </c>
      <c r="Q418" s="332">
        <f>IFERROR(VLOOKUP(TEXT(O418,"0"),CONDUCTORES!$A$3:$H$54,6,0),"")</f>
        <v/>
      </c>
      <c r="R418" s="280" t="n"/>
      <c r="S418" s="280" t="n"/>
      <c r="T418" s="280" t="n"/>
      <c r="U418" s="280" t="n"/>
      <c r="V418" s="280" t="n"/>
      <c r="W418" s="280" t="n"/>
      <c r="X418" s="280" t="n"/>
      <c r="Y418" s="280" t="n"/>
    </row>
    <row r="419" ht="15" customHeight="1" s="195">
      <c r="A419" s="334" t="n"/>
      <c r="B419" s="334" t="n"/>
      <c r="C419" s="334" t="n"/>
      <c r="D419" s="334" t="n"/>
      <c r="E419" s="334" t="n"/>
      <c r="F419" s="334" t="n"/>
      <c r="G419" s="334" t="n"/>
      <c r="H419" s="334" t="n"/>
      <c r="I419" s="332">
        <f>IFERROR(VLOOKUP(TEXT(H419,"0"),IPRESS!$A$3:$B$212,2,0),"")</f>
        <v/>
      </c>
      <c r="J419" s="334" t="n"/>
      <c r="K419" s="332">
        <f>IFERROR(VLOOKUP(TEXT(O419,"0"),CONDUCTORES!$A$3:$G$54,7,0),"")</f>
        <v/>
      </c>
      <c r="L419" s="334" t="n"/>
      <c r="M419" s="334" t="n"/>
      <c r="N419" s="333">
        <f>IFERROR(IF(L419*M419=0,"",L419*M419),"")</f>
        <v/>
      </c>
      <c r="O419" s="334" t="n"/>
      <c r="P419" s="332">
        <f>IFERROR(VLOOKUP(TEXT(O419,"0"),CONDUCTORES!$A$3:$G$54,2,0),"")</f>
        <v/>
      </c>
      <c r="Q419" s="332">
        <f>IFERROR(VLOOKUP(TEXT(O419,"0"),CONDUCTORES!$A$3:$H$54,6,0),"")</f>
        <v/>
      </c>
      <c r="R419" s="334" t="n"/>
      <c r="S419" s="334" t="n"/>
      <c r="T419" s="334" t="n"/>
      <c r="U419" s="334" t="n"/>
      <c r="V419" s="334" t="n"/>
      <c r="W419" s="334" t="n"/>
      <c r="X419" s="334" t="n"/>
      <c r="Y419" s="334" t="n"/>
    </row>
    <row r="420" ht="15" customHeight="1" s="195">
      <c r="A420" s="280" t="n"/>
      <c r="B420" s="280" t="n"/>
      <c r="C420" s="280" t="n"/>
      <c r="D420" s="280" t="n"/>
      <c r="E420" s="280" t="n"/>
      <c r="F420" s="280" t="n"/>
      <c r="G420" s="280" t="n"/>
      <c r="H420" s="280" t="n"/>
      <c r="I420" s="332">
        <f>IFERROR(VLOOKUP(TEXT(H420,"0"),IPRESS!$A$3:$B$212,2,0),"")</f>
        <v/>
      </c>
      <c r="J420" s="280" t="n"/>
      <c r="K420" s="332">
        <f>IFERROR(VLOOKUP(TEXT(O420,"0"),CONDUCTORES!$A$3:$G$54,7,0),"")</f>
        <v/>
      </c>
      <c r="L420" s="280" t="n"/>
      <c r="M420" s="280" t="n"/>
      <c r="N420" s="333">
        <f>IFERROR(IF(L420*M420=0,"",L420*M420),"")</f>
        <v/>
      </c>
      <c r="O420" s="280" t="n"/>
      <c r="P420" s="332">
        <f>IFERROR(VLOOKUP(TEXT(O420,"0"),CONDUCTORES!$A$3:$G$54,2,0),"")</f>
        <v/>
      </c>
      <c r="Q420" s="332">
        <f>IFERROR(VLOOKUP(TEXT(O420,"0"),CONDUCTORES!$A$3:$H$54,6,0),"")</f>
        <v/>
      </c>
      <c r="R420" s="280" t="n"/>
      <c r="S420" s="280" t="n"/>
      <c r="T420" s="280" t="n"/>
      <c r="U420" s="280" t="n"/>
      <c r="V420" s="280" t="n"/>
      <c r="W420" s="280" t="n"/>
      <c r="X420" s="280" t="n"/>
      <c r="Y420" s="280" t="n"/>
    </row>
    <row r="421" ht="15" customHeight="1" s="195">
      <c r="A421" s="334" t="n"/>
      <c r="B421" s="334" t="n"/>
      <c r="C421" s="334" t="n"/>
      <c r="D421" s="334" t="n"/>
      <c r="E421" s="334" t="n"/>
      <c r="F421" s="334" t="n"/>
      <c r="G421" s="334" t="n"/>
      <c r="H421" s="334" t="n"/>
      <c r="I421" s="332">
        <f>IFERROR(VLOOKUP(TEXT(H421,"0"),IPRESS!$A$3:$B$212,2,0),"")</f>
        <v/>
      </c>
      <c r="J421" s="334" t="n"/>
      <c r="K421" s="332">
        <f>IFERROR(VLOOKUP(TEXT(O421,"0"),CONDUCTORES!$A$3:$G$54,7,0),"")</f>
        <v/>
      </c>
      <c r="L421" s="334" t="n"/>
      <c r="M421" s="334" t="n"/>
      <c r="N421" s="333">
        <f>IFERROR(IF(L421*M421=0,"",L421*M421),"")</f>
        <v/>
      </c>
      <c r="O421" s="334" t="n"/>
      <c r="P421" s="332">
        <f>IFERROR(VLOOKUP(TEXT(O421,"0"),CONDUCTORES!$A$3:$G$54,2,0),"")</f>
        <v/>
      </c>
      <c r="Q421" s="332">
        <f>IFERROR(VLOOKUP(TEXT(O421,"0"),CONDUCTORES!$A$3:$H$54,6,0),"")</f>
        <v/>
      </c>
      <c r="R421" s="334" t="n"/>
      <c r="S421" s="334" t="n"/>
      <c r="T421" s="334" t="n"/>
      <c r="U421" s="334" t="n"/>
      <c r="V421" s="334" t="n"/>
      <c r="W421" s="334" t="n"/>
      <c r="X421" s="334" t="n"/>
      <c r="Y421" s="334" t="n"/>
    </row>
    <row r="422" ht="15" customHeight="1" s="195">
      <c r="A422" s="280" t="n"/>
      <c r="B422" s="280" t="n"/>
      <c r="C422" s="280" t="n"/>
      <c r="D422" s="280" t="n"/>
      <c r="E422" s="280" t="n"/>
      <c r="F422" s="280" t="n"/>
      <c r="G422" s="280" t="n"/>
      <c r="H422" s="280" t="n"/>
      <c r="I422" s="332">
        <f>IFERROR(VLOOKUP(TEXT(H422,"0"),IPRESS!$A$3:$B$212,2,0),"")</f>
        <v/>
      </c>
      <c r="J422" s="280" t="n"/>
      <c r="K422" s="332">
        <f>IFERROR(VLOOKUP(TEXT(O422,"0"),CONDUCTORES!$A$3:$G$54,7,0),"")</f>
        <v/>
      </c>
      <c r="L422" s="280" t="n"/>
      <c r="M422" s="280" t="n"/>
      <c r="N422" s="333">
        <f>IFERROR(IF(L422*M422=0,"",L422*M422),"")</f>
        <v/>
      </c>
      <c r="O422" s="280" t="n"/>
      <c r="P422" s="332">
        <f>IFERROR(VLOOKUP(TEXT(O422,"0"),CONDUCTORES!$A$3:$G$54,2,0),"")</f>
        <v/>
      </c>
      <c r="Q422" s="332">
        <f>IFERROR(VLOOKUP(TEXT(O422,"0"),CONDUCTORES!$A$3:$H$54,6,0),"")</f>
        <v/>
      </c>
      <c r="R422" s="280" t="n"/>
      <c r="S422" s="280" t="n"/>
      <c r="T422" s="280" t="n"/>
      <c r="U422" s="280" t="n"/>
      <c r="V422" s="280" t="n"/>
      <c r="W422" s="280" t="n"/>
      <c r="X422" s="280" t="n"/>
      <c r="Y422" s="280" t="n"/>
    </row>
    <row r="423" ht="15" customHeight="1" s="195">
      <c r="A423" s="334" t="n"/>
      <c r="B423" s="334" t="n"/>
      <c r="C423" s="334" t="n"/>
      <c r="D423" s="334" t="n"/>
      <c r="E423" s="334" t="n"/>
      <c r="F423" s="334" t="n"/>
      <c r="G423" s="334" t="n"/>
      <c r="H423" s="334" t="n"/>
      <c r="I423" s="332">
        <f>IFERROR(VLOOKUP(TEXT(H423,"0"),IPRESS!$A$3:$B$212,2,0),"")</f>
        <v/>
      </c>
      <c r="J423" s="334" t="n"/>
      <c r="K423" s="332">
        <f>IFERROR(VLOOKUP(TEXT(O423,"0"),CONDUCTORES!$A$3:$G$54,7,0),"")</f>
        <v/>
      </c>
      <c r="L423" s="334" t="n"/>
      <c r="M423" s="334" t="n"/>
      <c r="N423" s="333">
        <f>IFERROR(IF(L423*M423=0,"",L423*M423),"")</f>
        <v/>
      </c>
      <c r="O423" s="334" t="n"/>
      <c r="P423" s="332">
        <f>IFERROR(VLOOKUP(TEXT(O423,"0"),CONDUCTORES!$A$3:$G$54,2,0),"")</f>
        <v/>
      </c>
      <c r="Q423" s="332">
        <f>IFERROR(VLOOKUP(TEXT(O423,"0"),CONDUCTORES!$A$3:$H$54,6,0),"")</f>
        <v/>
      </c>
      <c r="R423" s="334" t="n"/>
      <c r="S423" s="334" t="n"/>
      <c r="T423" s="334" t="n"/>
      <c r="U423" s="334" t="n"/>
      <c r="V423" s="334" t="n"/>
      <c r="W423" s="334" t="n"/>
      <c r="X423" s="334" t="n"/>
      <c r="Y423" s="334" t="n"/>
    </row>
    <row r="424" ht="15" customHeight="1" s="195">
      <c r="A424" s="280" t="n"/>
      <c r="B424" s="280" t="n"/>
      <c r="C424" s="280" t="n"/>
      <c r="D424" s="280" t="n"/>
      <c r="E424" s="280" t="n"/>
      <c r="F424" s="280" t="n"/>
      <c r="G424" s="280" t="n"/>
      <c r="H424" s="280" t="n"/>
      <c r="I424" s="332">
        <f>IFERROR(VLOOKUP(TEXT(H424,"0"),IPRESS!$A$3:$B$212,2,0),"")</f>
        <v/>
      </c>
      <c r="J424" s="280" t="n"/>
      <c r="K424" s="332">
        <f>IFERROR(VLOOKUP(TEXT(O424,"0"),CONDUCTORES!$A$3:$G$54,7,0),"")</f>
        <v/>
      </c>
      <c r="L424" s="280" t="n"/>
      <c r="M424" s="280" t="n"/>
      <c r="N424" s="333">
        <f>IFERROR(IF(L424*M424=0,"",L424*M424),"")</f>
        <v/>
      </c>
      <c r="O424" s="280" t="n"/>
      <c r="P424" s="332">
        <f>IFERROR(VLOOKUP(TEXT(O424,"0"),CONDUCTORES!$A$3:$G$54,2,0),"")</f>
        <v/>
      </c>
      <c r="Q424" s="332">
        <f>IFERROR(VLOOKUP(TEXT(O424,"0"),CONDUCTORES!$A$3:$H$54,6,0),"")</f>
        <v/>
      </c>
      <c r="R424" s="280" t="n"/>
      <c r="S424" s="280" t="n"/>
      <c r="T424" s="280" t="n"/>
      <c r="U424" s="280" t="n"/>
      <c r="V424" s="280" t="n"/>
      <c r="W424" s="280" t="n"/>
      <c r="X424" s="280" t="n"/>
      <c r="Y424" s="280" t="n"/>
    </row>
    <row r="425" ht="15" customHeight="1" s="195">
      <c r="A425" s="334" t="n"/>
      <c r="B425" s="334" t="n"/>
      <c r="C425" s="334" t="n"/>
      <c r="D425" s="334" t="n"/>
      <c r="E425" s="334" t="n"/>
      <c r="F425" s="334" t="n"/>
      <c r="G425" s="334" t="n"/>
      <c r="H425" s="334" t="n"/>
      <c r="I425" s="332">
        <f>IFERROR(VLOOKUP(TEXT(H425,"0"),IPRESS!$A$3:$B$212,2,0),"")</f>
        <v/>
      </c>
      <c r="J425" s="334" t="n"/>
      <c r="K425" s="332">
        <f>IFERROR(VLOOKUP(TEXT(O425,"0"),CONDUCTORES!$A$3:$G$54,7,0),"")</f>
        <v/>
      </c>
      <c r="L425" s="334" t="n"/>
      <c r="M425" s="334" t="n"/>
      <c r="N425" s="333">
        <f>IFERROR(IF(L425*M425=0,"",L425*M425),"")</f>
        <v/>
      </c>
      <c r="O425" s="334" t="n"/>
      <c r="P425" s="332">
        <f>IFERROR(VLOOKUP(TEXT(O425,"0"),CONDUCTORES!$A$3:$G$54,2,0),"")</f>
        <v/>
      </c>
      <c r="Q425" s="332">
        <f>IFERROR(VLOOKUP(TEXT(O425,"0"),CONDUCTORES!$A$3:$H$54,6,0),"")</f>
        <v/>
      </c>
      <c r="R425" s="334" t="n"/>
      <c r="S425" s="334" t="n"/>
      <c r="T425" s="334" t="n"/>
      <c r="U425" s="334" t="n"/>
      <c r="V425" s="334" t="n"/>
      <c r="W425" s="334" t="n"/>
      <c r="X425" s="334" t="n"/>
      <c r="Y425" s="334" t="n"/>
    </row>
    <row r="426" ht="15" customHeight="1" s="195">
      <c r="A426" s="280" t="n"/>
      <c r="B426" s="280" t="n"/>
      <c r="C426" s="280" t="n"/>
      <c r="D426" s="280" t="n"/>
      <c r="E426" s="280" t="n"/>
      <c r="F426" s="280" t="n"/>
      <c r="G426" s="280" t="n"/>
      <c r="H426" s="280" t="n"/>
      <c r="I426" s="332">
        <f>IFERROR(VLOOKUP(TEXT(H426,"0"),IPRESS!$A$3:$B$212,2,0),"")</f>
        <v/>
      </c>
      <c r="J426" s="280" t="n"/>
      <c r="K426" s="332">
        <f>IFERROR(VLOOKUP(TEXT(O426,"0"),CONDUCTORES!$A$3:$G$54,7,0),"")</f>
        <v/>
      </c>
      <c r="L426" s="280" t="n"/>
      <c r="M426" s="280" t="n"/>
      <c r="N426" s="333">
        <f>IFERROR(IF(L426*M426=0,"",L426*M426),"")</f>
        <v/>
      </c>
      <c r="O426" s="280" t="n"/>
      <c r="P426" s="332">
        <f>IFERROR(VLOOKUP(TEXT(O426,"0"),CONDUCTORES!$A$3:$G$54,2,0),"")</f>
        <v/>
      </c>
      <c r="Q426" s="332">
        <f>IFERROR(VLOOKUP(TEXT(O426,"0"),CONDUCTORES!$A$3:$H$54,6,0),"")</f>
        <v/>
      </c>
      <c r="R426" s="280" t="n"/>
      <c r="S426" s="280" t="n"/>
      <c r="T426" s="280" t="n"/>
      <c r="U426" s="280" t="n"/>
      <c r="V426" s="280" t="n"/>
      <c r="W426" s="280" t="n"/>
      <c r="X426" s="280" t="n"/>
      <c r="Y426" s="280" t="n"/>
    </row>
    <row r="427" ht="15" customHeight="1" s="195">
      <c r="A427" s="334" t="n"/>
      <c r="B427" s="334" t="n"/>
      <c r="C427" s="334" t="n"/>
      <c r="D427" s="334" t="n"/>
      <c r="E427" s="334" t="n"/>
      <c r="F427" s="334" t="n"/>
      <c r="G427" s="334" t="n"/>
      <c r="H427" s="334" t="n"/>
      <c r="I427" s="332">
        <f>IFERROR(VLOOKUP(TEXT(H427,"0"),IPRESS!$A$3:$B$212,2,0),"")</f>
        <v/>
      </c>
      <c r="J427" s="334" t="n"/>
      <c r="K427" s="332">
        <f>IFERROR(VLOOKUP(TEXT(O427,"0"),CONDUCTORES!$A$3:$G$54,7,0),"")</f>
        <v/>
      </c>
      <c r="L427" s="334" t="n"/>
      <c r="M427" s="334" t="n"/>
      <c r="N427" s="333">
        <f>IFERROR(IF(L427*M427=0,"",L427*M427),"")</f>
        <v/>
      </c>
      <c r="O427" s="334" t="n"/>
      <c r="P427" s="332">
        <f>IFERROR(VLOOKUP(TEXT(O427,"0"),CONDUCTORES!$A$3:$G$54,2,0),"")</f>
        <v/>
      </c>
      <c r="Q427" s="332">
        <f>IFERROR(VLOOKUP(TEXT(O427,"0"),CONDUCTORES!$A$3:$H$54,6,0),"")</f>
        <v/>
      </c>
      <c r="R427" s="334" t="n"/>
      <c r="S427" s="334" t="n"/>
      <c r="T427" s="334" t="n"/>
      <c r="U427" s="334" t="n"/>
      <c r="V427" s="334" t="n"/>
      <c r="W427" s="334" t="n"/>
      <c r="X427" s="334" t="n"/>
      <c r="Y427" s="334" t="n"/>
    </row>
    <row r="428" ht="15" customHeight="1" s="195">
      <c r="A428" s="280" t="n"/>
      <c r="B428" s="280" t="n"/>
      <c r="C428" s="280" t="n"/>
      <c r="D428" s="280" t="n"/>
      <c r="E428" s="280" t="n"/>
      <c r="F428" s="280" t="n"/>
      <c r="G428" s="280" t="n"/>
      <c r="H428" s="280" t="n"/>
      <c r="I428" s="332">
        <f>IFERROR(VLOOKUP(TEXT(H428,"0"),IPRESS!$A$3:$B$212,2,0),"")</f>
        <v/>
      </c>
      <c r="J428" s="280" t="n"/>
      <c r="K428" s="332">
        <f>IFERROR(VLOOKUP(TEXT(O428,"0"),CONDUCTORES!$A$3:$G$54,7,0),"")</f>
        <v/>
      </c>
      <c r="L428" s="280" t="n"/>
      <c r="M428" s="280" t="n"/>
      <c r="N428" s="333">
        <f>IFERROR(IF(L428*M428=0,"",L428*M428),"")</f>
        <v/>
      </c>
      <c r="O428" s="280" t="n"/>
      <c r="P428" s="332">
        <f>IFERROR(VLOOKUP(TEXT(O428,"0"),CONDUCTORES!$A$3:$G$54,2,0),"")</f>
        <v/>
      </c>
      <c r="Q428" s="332">
        <f>IFERROR(VLOOKUP(TEXT(O428,"0"),CONDUCTORES!$A$3:$H$54,6,0),"")</f>
        <v/>
      </c>
      <c r="R428" s="280" t="n"/>
      <c r="S428" s="280" t="n"/>
      <c r="T428" s="280" t="n"/>
      <c r="U428" s="280" t="n"/>
      <c r="V428" s="280" t="n"/>
      <c r="W428" s="280" t="n"/>
      <c r="X428" s="280" t="n"/>
      <c r="Y428" s="280" t="n"/>
    </row>
    <row r="429" ht="15" customHeight="1" s="195">
      <c r="A429" s="334" t="n"/>
      <c r="B429" s="334" t="n"/>
      <c r="C429" s="334" t="n"/>
      <c r="D429" s="334" t="n"/>
      <c r="E429" s="334" t="n"/>
      <c r="F429" s="334" t="n"/>
      <c r="G429" s="334" t="n"/>
      <c r="H429" s="334" t="n"/>
      <c r="I429" s="332">
        <f>IFERROR(VLOOKUP(TEXT(H429,"0"),IPRESS!$A$3:$B$212,2,0),"")</f>
        <v/>
      </c>
      <c r="J429" s="334" t="n"/>
      <c r="K429" s="332">
        <f>IFERROR(VLOOKUP(TEXT(O429,"0"),CONDUCTORES!$A$3:$G$54,7,0),"")</f>
        <v/>
      </c>
      <c r="L429" s="334" t="n"/>
      <c r="M429" s="334" t="n"/>
      <c r="N429" s="333">
        <f>IFERROR(IF(L429*M429=0,"",L429*M429),"")</f>
        <v/>
      </c>
      <c r="O429" s="334" t="n"/>
      <c r="P429" s="332">
        <f>IFERROR(VLOOKUP(TEXT(O429,"0"),CONDUCTORES!$A$3:$G$54,2,0),"")</f>
        <v/>
      </c>
      <c r="Q429" s="332">
        <f>IFERROR(VLOOKUP(TEXT(O429,"0"),CONDUCTORES!$A$3:$H$54,6,0),"")</f>
        <v/>
      </c>
      <c r="R429" s="334" t="n"/>
      <c r="S429" s="334" t="n"/>
      <c r="T429" s="334" t="n"/>
      <c r="U429" s="334" t="n"/>
      <c r="V429" s="334" t="n"/>
      <c r="W429" s="334" t="n"/>
      <c r="X429" s="334" t="n"/>
      <c r="Y429" s="334" t="n"/>
    </row>
    <row r="430" ht="15" customHeight="1" s="195">
      <c r="A430" s="280" t="n"/>
      <c r="B430" s="280" t="n"/>
      <c r="C430" s="280" t="n"/>
      <c r="D430" s="280" t="n"/>
      <c r="E430" s="280" t="n"/>
      <c r="F430" s="280" t="n"/>
      <c r="G430" s="280" t="n"/>
      <c r="H430" s="280" t="n"/>
      <c r="I430" s="332">
        <f>IFERROR(VLOOKUP(TEXT(H430,"0"),IPRESS!$A$3:$B$212,2,0),"")</f>
        <v/>
      </c>
      <c r="J430" s="280" t="n"/>
      <c r="K430" s="332">
        <f>IFERROR(VLOOKUP(TEXT(O430,"0"),CONDUCTORES!$A$3:$G$54,7,0),"")</f>
        <v/>
      </c>
      <c r="L430" s="280" t="n"/>
      <c r="M430" s="280" t="n"/>
      <c r="N430" s="333">
        <f>IFERROR(IF(L430*M430=0,"",L430*M430),"")</f>
        <v/>
      </c>
      <c r="O430" s="280" t="n"/>
      <c r="P430" s="332">
        <f>IFERROR(VLOOKUP(TEXT(O430,"0"),CONDUCTORES!$A$3:$G$54,2,0),"")</f>
        <v/>
      </c>
      <c r="Q430" s="332">
        <f>IFERROR(VLOOKUP(TEXT(O430,"0"),CONDUCTORES!$A$3:$H$54,6,0),"")</f>
        <v/>
      </c>
      <c r="R430" s="280" t="n"/>
      <c r="S430" s="280" t="n"/>
      <c r="T430" s="280" t="n"/>
      <c r="U430" s="280" t="n"/>
      <c r="V430" s="280" t="n"/>
      <c r="W430" s="280" t="n"/>
      <c r="X430" s="280" t="n"/>
      <c r="Y430" s="280" t="n"/>
    </row>
    <row r="431" ht="15" customHeight="1" s="195">
      <c r="A431" s="334" t="n"/>
      <c r="B431" s="334" t="n"/>
      <c r="C431" s="334" t="n"/>
      <c r="D431" s="334" t="n"/>
      <c r="E431" s="334" t="n"/>
      <c r="F431" s="334" t="n"/>
      <c r="G431" s="334" t="n"/>
      <c r="H431" s="334" t="n"/>
      <c r="I431" s="332">
        <f>IFERROR(VLOOKUP(TEXT(H431,"0"),IPRESS!$A$3:$B$212,2,0),"")</f>
        <v/>
      </c>
      <c r="J431" s="334" t="n"/>
      <c r="K431" s="332">
        <f>IFERROR(VLOOKUP(TEXT(O431,"0"),CONDUCTORES!$A$3:$G$54,7,0),"")</f>
        <v/>
      </c>
      <c r="L431" s="334" t="n"/>
      <c r="M431" s="334" t="n"/>
      <c r="N431" s="333">
        <f>IFERROR(IF(L431*M431=0,"",L431*M431),"")</f>
        <v/>
      </c>
      <c r="O431" s="334" t="n"/>
      <c r="P431" s="332">
        <f>IFERROR(VLOOKUP(TEXT(O431,"0"),CONDUCTORES!$A$3:$G$54,2,0),"")</f>
        <v/>
      </c>
      <c r="Q431" s="332">
        <f>IFERROR(VLOOKUP(TEXT(O431,"0"),CONDUCTORES!$A$3:$H$54,6,0),"")</f>
        <v/>
      </c>
      <c r="R431" s="334" t="n"/>
      <c r="S431" s="334" t="n"/>
      <c r="T431" s="334" t="n"/>
      <c r="U431" s="334" t="n"/>
      <c r="V431" s="334" t="n"/>
      <c r="W431" s="334" t="n"/>
      <c r="X431" s="334" t="n"/>
      <c r="Y431" s="334" t="n"/>
    </row>
    <row r="432" ht="15" customHeight="1" s="195">
      <c r="A432" s="280" t="n"/>
      <c r="B432" s="280" t="n"/>
      <c r="C432" s="280" t="n"/>
      <c r="D432" s="280" t="n"/>
      <c r="E432" s="280" t="n"/>
      <c r="F432" s="280" t="n"/>
      <c r="G432" s="280" t="n"/>
      <c r="H432" s="280" t="n"/>
      <c r="I432" s="332">
        <f>IFERROR(VLOOKUP(TEXT(H432,"0"),IPRESS!$A$3:$B$212,2,0),"")</f>
        <v/>
      </c>
      <c r="J432" s="280" t="n"/>
      <c r="K432" s="332">
        <f>IFERROR(VLOOKUP(TEXT(O432,"0"),CONDUCTORES!$A$3:$G$54,7,0),"")</f>
        <v/>
      </c>
      <c r="L432" s="280" t="n"/>
      <c r="M432" s="280" t="n"/>
      <c r="N432" s="333">
        <f>IFERROR(IF(L432*M432=0,"",L432*M432),"")</f>
        <v/>
      </c>
      <c r="O432" s="280" t="n"/>
      <c r="P432" s="332">
        <f>IFERROR(VLOOKUP(TEXT(O432,"0"),CONDUCTORES!$A$3:$G$54,2,0),"")</f>
        <v/>
      </c>
      <c r="Q432" s="332">
        <f>IFERROR(VLOOKUP(TEXT(O432,"0"),CONDUCTORES!$A$3:$H$54,6,0),"")</f>
        <v/>
      </c>
      <c r="R432" s="280" t="n"/>
      <c r="S432" s="280" t="n"/>
      <c r="T432" s="280" t="n"/>
      <c r="U432" s="280" t="n"/>
      <c r="V432" s="280" t="n"/>
      <c r="W432" s="280" t="n"/>
      <c r="X432" s="280" t="n"/>
      <c r="Y432" s="280" t="n"/>
    </row>
    <row r="433" ht="15" customHeight="1" s="195">
      <c r="A433" s="334" t="n"/>
      <c r="B433" s="334" t="n"/>
      <c r="C433" s="334" t="n"/>
      <c r="D433" s="334" t="n"/>
      <c r="E433" s="334" t="n"/>
      <c r="F433" s="334" t="n"/>
      <c r="G433" s="334" t="n"/>
      <c r="H433" s="334" t="n"/>
      <c r="I433" s="332">
        <f>IFERROR(VLOOKUP(TEXT(H433,"0"),IPRESS!$A$3:$B$212,2,0),"")</f>
        <v/>
      </c>
      <c r="J433" s="334" t="n"/>
      <c r="K433" s="332">
        <f>IFERROR(VLOOKUP(TEXT(O433,"0"),CONDUCTORES!$A$3:$G$54,7,0),"")</f>
        <v/>
      </c>
      <c r="L433" s="334" t="n"/>
      <c r="M433" s="334" t="n"/>
      <c r="N433" s="333">
        <f>IFERROR(IF(L433*M433=0,"",L433*M433),"")</f>
        <v/>
      </c>
      <c r="O433" s="334" t="n"/>
      <c r="P433" s="332">
        <f>IFERROR(VLOOKUP(TEXT(O433,"0"),CONDUCTORES!$A$3:$G$54,2,0),"")</f>
        <v/>
      </c>
      <c r="Q433" s="332">
        <f>IFERROR(VLOOKUP(TEXT(O433,"0"),CONDUCTORES!$A$3:$H$54,6,0),"")</f>
        <v/>
      </c>
      <c r="R433" s="334" t="n"/>
      <c r="S433" s="334" t="n"/>
      <c r="T433" s="334" t="n"/>
      <c r="U433" s="334" t="n"/>
      <c r="V433" s="334" t="n"/>
      <c r="W433" s="334" t="n"/>
      <c r="X433" s="334" t="n"/>
      <c r="Y433" s="334" t="n"/>
    </row>
    <row r="434" ht="15" customHeight="1" s="195">
      <c r="A434" s="280" t="n"/>
      <c r="B434" s="280" t="n"/>
      <c r="C434" s="280" t="n"/>
      <c r="D434" s="280" t="n"/>
      <c r="E434" s="280" t="n"/>
      <c r="F434" s="280" t="n"/>
      <c r="G434" s="280" t="n"/>
      <c r="H434" s="280" t="n"/>
      <c r="I434" s="332">
        <f>IFERROR(VLOOKUP(TEXT(H434,"0"),IPRESS!$A$3:$B$212,2,0),"")</f>
        <v/>
      </c>
      <c r="J434" s="280" t="n"/>
      <c r="K434" s="332">
        <f>IFERROR(VLOOKUP(TEXT(O434,"0"),CONDUCTORES!$A$3:$G$54,7,0),"")</f>
        <v/>
      </c>
      <c r="L434" s="280" t="n"/>
      <c r="M434" s="280" t="n"/>
      <c r="N434" s="333">
        <f>IFERROR(IF(L434*M434=0,"",L434*M434),"")</f>
        <v/>
      </c>
      <c r="O434" s="280" t="n"/>
      <c r="P434" s="332">
        <f>IFERROR(VLOOKUP(TEXT(O434,"0"),CONDUCTORES!$A$3:$G$54,2,0),"")</f>
        <v/>
      </c>
      <c r="Q434" s="332">
        <f>IFERROR(VLOOKUP(TEXT(O434,"0"),CONDUCTORES!$A$3:$H$54,6,0),"")</f>
        <v/>
      </c>
      <c r="R434" s="280" t="n"/>
      <c r="S434" s="280" t="n"/>
      <c r="T434" s="280" t="n"/>
      <c r="U434" s="280" t="n"/>
      <c r="V434" s="280" t="n"/>
      <c r="W434" s="280" t="n"/>
      <c r="X434" s="280" t="n"/>
      <c r="Y434" s="280" t="n"/>
    </row>
    <row r="435" ht="15" customHeight="1" s="195">
      <c r="A435" s="334" t="n"/>
      <c r="B435" s="334" t="n"/>
      <c r="C435" s="334" t="n"/>
      <c r="D435" s="334" t="n"/>
      <c r="E435" s="334" t="n"/>
      <c r="F435" s="334" t="n"/>
      <c r="G435" s="334" t="n"/>
      <c r="H435" s="334" t="n"/>
      <c r="I435" s="332">
        <f>IFERROR(VLOOKUP(TEXT(H435,"0"),IPRESS!$A$3:$B$212,2,0),"")</f>
        <v/>
      </c>
      <c r="J435" s="334" t="n"/>
      <c r="K435" s="332">
        <f>IFERROR(VLOOKUP(TEXT(O435,"0"),CONDUCTORES!$A$3:$G$54,7,0),"")</f>
        <v/>
      </c>
      <c r="L435" s="334" t="n"/>
      <c r="M435" s="334" t="n"/>
      <c r="N435" s="333">
        <f>IFERROR(IF(L435*M435=0,"",L435*M435),"")</f>
        <v/>
      </c>
      <c r="O435" s="334" t="n"/>
      <c r="P435" s="332">
        <f>IFERROR(VLOOKUP(TEXT(O435,"0"),CONDUCTORES!$A$3:$G$54,2,0),"")</f>
        <v/>
      </c>
      <c r="Q435" s="332">
        <f>IFERROR(VLOOKUP(TEXT(O435,"0"),CONDUCTORES!$A$3:$H$54,6,0),"")</f>
        <v/>
      </c>
      <c r="R435" s="334" t="n"/>
      <c r="S435" s="334" t="n"/>
      <c r="T435" s="334" t="n"/>
      <c r="U435" s="334" t="n"/>
      <c r="V435" s="334" t="n"/>
      <c r="W435" s="334" t="n"/>
      <c r="X435" s="334" t="n"/>
      <c r="Y435" s="334" t="n"/>
    </row>
    <row r="436" ht="15" customHeight="1" s="195">
      <c r="A436" s="280" t="n"/>
      <c r="B436" s="280" t="n"/>
      <c r="C436" s="280" t="n"/>
      <c r="D436" s="280" t="n"/>
      <c r="E436" s="280" t="n"/>
      <c r="F436" s="280" t="n"/>
      <c r="G436" s="280" t="n"/>
      <c r="H436" s="280" t="n"/>
      <c r="I436" s="332">
        <f>IFERROR(VLOOKUP(TEXT(H436,"0"),IPRESS!$A$3:$B$212,2,0),"")</f>
        <v/>
      </c>
      <c r="J436" s="280" t="n"/>
      <c r="K436" s="332">
        <f>IFERROR(VLOOKUP(TEXT(O436,"0"),CONDUCTORES!$A$3:$G$54,7,0),"")</f>
        <v/>
      </c>
      <c r="L436" s="280" t="n"/>
      <c r="M436" s="280" t="n"/>
      <c r="N436" s="333">
        <f>IFERROR(IF(L436*M436=0,"",L436*M436),"")</f>
        <v/>
      </c>
      <c r="O436" s="280" t="n"/>
      <c r="P436" s="332">
        <f>IFERROR(VLOOKUP(TEXT(O436,"0"),CONDUCTORES!$A$3:$G$54,2,0),"")</f>
        <v/>
      </c>
      <c r="Q436" s="332">
        <f>IFERROR(VLOOKUP(TEXT(O436,"0"),CONDUCTORES!$A$3:$H$54,6,0),"")</f>
        <v/>
      </c>
      <c r="R436" s="280" t="n"/>
      <c r="S436" s="280" t="n"/>
      <c r="T436" s="280" t="n"/>
      <c r="U436" s="280" t="n"/>
      <c r="V436" s="280" t="n"/>
      <c r="W436" s="280" t="n"/>
      <c r="X436" s="280" t="n"/>
      <c r="Y436" s="280" t="n"/>
    </row>
    <row r="437" ht="15" customHeight="1" s="195">
      <c r="A437" s="334" t="n"/>
      <c r="B437" s="334" t="n"/>
      <c r="C437" s="334" t="n"/>
      <c r="D437" s="334" t="n"/>
      <c r="E437" s="334" t="n"/>
      <c r="F437" s="334" t="n"/>
      <c r="G437" s="334" t="n"/>
      <c r="H437" s="334" t="n"/>
      <c r="I437" s="332">
        <f>IFERROR(VLOOKUP(TEXT(H437,"0"),IPRESS!$A$3:$B$212,2,0),"")</f>
        <v/>
      </c>
      <c r="J437" s="334" t="n"/>
      <c r="K437" s="332">
        <f>IFERROR(VLOOKUP(TEXT(O437,"0"),CONDUCTORES!$A$3:$G$54,7,0),"")</f>
        <v/>
      </c>
      <c r="L437" s="334" t="n"/>
      <c r="M437" s="334" t="n"/>
      <c r="N437" s="333">
        <f>IFERROR(IF(L437*M437=0,"",L437*M437),"")</f>
        <v/>
      </c>
      <c r="O437" s="334" t="n"/>
      <c r="P437" s="332">
        <f>IFERROR(VLOOKUP(TEXT(O437,"0"),CONDUCTORES!$A$3:$G$54,2,0),"")</f>
        <v/>
      </c>
      <c r="Q437" s="332">
        <f>IFERROR(VLOOKUP(TEXT(O437,"0"),CONDUCTORES!$A$3:$H$54,6,0),"")</f>
        <v/>
      </c>
      <c r="R437" s="334" t="n"/>
      <c r="S437" s="334" t="n"/>
      <c r="T437" s="334" t="n"/>
      <c r="U437" s="334" t="n"/>
      <c r="V437" s="334" t="n"/>
      <c r="W437" s="334" t="n"/>
      <c r="X437" s="334" t="n"/>
      <c r="Y437" s="334" t="n"/>
    </row>
    <row r="438" ht="15" customHeight="1" s="195">
      <c r="A438" s="280" t="n"/>
      <c r="B438" s="280" t="n"/>
      <c r="C438" s="280" t="n"/>
      <c r="D438" s="280" t="n"/>
      <c r="E438" s="280" t="n"/>
      <c r="F438" s="280" t="n"/>
      <c r="G438" s="280" t="n"/>
      <c r="H438" s="280" t="n"/>
      <c r="I438" s="332">
        <f>IFERROR(VLOOKUP(TEXT(H438,"0"),IPRESS!$A$3:$B$212,2,0),"")</f>
        <v/>
      </c>
      <c r="J438" s="280" t="n"/>
      <c r="K438" s="332">
        <f>IFERROR(VLOOKUP(TEXT(O438,"0"),CONDUCTORES!$A$3:$G$54,7,0),"")</f>
        <v/>
      </c>
      <c r="L438" s="280" t="n"/>
      <c r="M438" s="280" t="n"/>
      <c r="N438" s="333">
        <f>IFERROR(IF(L438*M438=0,"",L438*M438),"")</f>
        <v/>
      </c>
      <c r="O438" s="280" t="n"/>
      <c r="P438" s="332">
        <f>IFERROR(VLOOKUP(TEXT(O438,"0"),CONDUCTORES!$A$3:$G$54,2,0),"")</f>
        <v/>
      </c>
      <c r="Q438" s="332">
        <f>IFERROR(VLOOKUP(TEXT(O438,"0"),CONDUCTORES!$A$3:$H$54,6,0),"")</f>
        <v/>
      </c>
      <c r="R438" s="280" t="n"/>
      <c r="S438" s="280" t="n"/>
      <c r="T438" s="280" t="n"/>
      <c r="U438" s="280" t="n"/>
      <c r="V438" s="280" t="n"/>
      <c r="W438" s="280" t="n"/>
      <c r="X438" s="280" t="n"/>
      <c r="Y438" s="280" t="n"/>
    </row>
    <row r="439" ht="15" customHeight="1" s="195">
      <c r="A439" s="334" t="n"/>
      <c r="B439" s="334" t="n"/>
      <c r="C439" s="334" t="n"/>
      <c r="D439" s="334" t="n"/>
      <c r="E439" s="334" t="n"/>
      <c r="F439" s="334" t="n"/>
      <c r="G439" s="334" t="n"/>
      <c r="H439" s="334" t="n"/>
      <c r="I439" s="332">
        <f>IFERROR(VLOOKUP(TEXT(H439,"0"),IPRESS!$A$3:$B$212,2,0),"")</f>
        <v/>
      </c>
      <c r="J439" s="334" t="n"/>
      <c r="K439" s="332">
        <f>IFERROR(VLOOKUP(TEXT(O439,"0"),CONDUCTORES!$A$3:$G$54,7,0),"")</f>
        <v/>
      </c>
      <c r="L439" s="334" t="n"/>
      <c r="M439" s="334" t="n"/>
      <c r="N439" s="333">
        <f>IFERROR(IF(L439*M439=0,"",L439*M439),"")</f>
        <v/>
      </c>
      <c r="O439" s="334" t="n"/>
      <c r="P439" s="332">
        <f>IFERROR(VLOOKUP(TEXT(O439,"0"),CONDUCTORES!$A$3:$G$54,2,0),"")</f>
        <v/>
      </c>
      <c r="Q439" s="332">
        <f>IFERROR(VLOOKUP(TEXT(O439,"0"),CONDUCTORES!$A$3:$H$54,6,0),"")</f>
        <v/>
      </c>
      <c r="R439" s="334" t="n"/>
      <c r="S439" s="334" t="n"/>
      <c r="T439" s="334" t="n"/>
      <c r="U439" s="334" t="n"/>
      <c r="V439" s="334" t="n"/>
      <c r="W439" s="334" t="n"/>
      <c r="X439" s="334" t="n"/>
      <c r="Y439" s="334" t="n"/>
    </row>
    <row r="440" ht="15" customHeight="1" s="195">
      <c r="A440" s="280" t="n"/>
      <c r="B440" s="280" t="n"/>
      <c r="C440" s="280" t="n"/>
      <c r="D440" s="280" t="n"/>
      <c r="E440" s="280" t="n"/>
      <c r="F440" s="280" t="n"/>
      <c r="G440" s="280" t="n"/>
      <c r="H440" s="280" t="n"/>
      <c r="I440" s="332">
        <f>IFERROR(VLOOKUP(TEXT(H440,"0"),IPRESS!$A$3:$B$212,2,0),"")</f>
        <v/>
      </c>
      <c r="J440" s="280" t="n"/>
      <c r="K440" s="332">
        <f>IFERROR(VLOOKUP(TEXT(O440,"0"),CONDUCTORES!$A$3:$G$54,7,0),"")</f>
        <v/>
      </c>
      <c r="L440" s="280" t="n"/>
      <c r="M440" s="280" t="n"/>
      <c r="N440" s="333">
        <f>IFERROR(IF(L440*M440=0,"",L440*M440),"")</f>
        <v/>
      </c>
      <c r="O440" s="280" t="n"/>
      <c r="P440" s="332">
        <f>IFERROR(VLOOKUP(TEXT(O440,"0"),CONDUCTORES!$A$3:$G$54,2,0),"")</f>
        <v/>
      </c>
      <c r="Q440" s="332">
        <f>IFERROR(VLOOKUP(TEXT(O440,"0"),CONDUCTORES!$A$3:$H$54,6,0),"")</f>
        <v/>
      </c>
      <c r="R440" s="280" t="n"/>
      <c r="S440" s="280" t="n"/>
      <c r="T440" s="280" t="n"/>
      <c r="U440" s="280" t="n"/>
      <c r="V440" s="280" t="n"/>
      <c r="W440" s="280" t="n"/>
      <c r="X440" s="280" t="n"/>
      <c r="Y440" s="280" t="n"/>
    </row>
    <row r="441" ht="15" customHeight="1" s="195">
      <c r="A441" s="334" t="n"/>
      <c r="B441" s="334" t="n"/>
      <c r="C441" s="334" t="n"/>
      <c r="D441" s="334" t="n"/>
      <c r="E441" s="334" t="n"/>
      <c r="F441" s="334" t="n"/>
      <c r="G441" s="334" t="n"/>
      <c r="H441" s="334" t="n"/>
      <c r="I441" s="332">
        <f>IFERROR(VLOOKUP(TEXT(H441,"0"),IPRESS!$A$3:$B$212,2,0),"")</f>
        <v/>
      </c>
      <c r="J441" s="334" t="n"/>
      <c r="K441" s="332">
        <f>IFERROR(VLOOKUP(TEXT(O441,"0"),CONDUCTORES!$A$3:$G$54,7,0),"")</f>
        <v/>
      </c>
      <c r="L441" s="334" t="n"/>
      <c r="M441" s="334" t="n"/>
      <c r="N441" s="333">
        <f>IFERROR(IF(L441*M441=0,"",L441*M441),"")</f>
        <v/>
      </c>
      <c r="O441" s="334" t="n"/>
      <c r="P441" s="332">
        <f>IFERROR(VLOOKUP(TEXT(O441,"0"),CONDUCTORES!$A$3:$G$54,2,0),"")</f>
        <v/>
      </c>
      <c r="Q441" s="332">
        <f>IFERROR(VLOOKUP(TEXT(O441,"0"),CONDUCTORES!$A$3:$H$54,6,0),"")</f>
        <v/>
      </c>
      <c r="R441" s="334" t="n"/>
      <c r="S441" s="334" t="n"/>
      <c r="T441" s="334" t="n"/>
      <c r="U441" s="334" t="n"/>
      <c r="V441" s="334" t="n"/>
      <c r="W441" s="334" t="n"/>
      <c r="X441" s="334" t="n"/>
      <c r="Y441" s="334" t="n"/>
    </row>
    <row r="442" ht="15" customHeight="1" s="195">
      <c r="A442" s="280" t="n"/>
      <c r="B442" s="280" t="n"/>
      <c r="C442" s="280" t="n"/>
      <c r="D442" s="280" t="n"/>
      <c r="E442" s="280" t="n"/>
      <c r="F442" s="280" t="n"/>
      <c r="G442" s="280" t="n"/>
      <c r="H442" s="280" t="n"/>
      <c r="I442" s="332">
        <f>IFERROR(VLOOKUP(TEXT(H442,"0"),IPRESS!$A$3:$B$212,2,0),"")</f>
        <v/>
      </c>
      <c r="J442" s="280" t="n"/>
      <c r="K442" s="332">
        <f>IFERROR(VLOOKUP(TEXT(O442,"0"),CONDUCTORES!$A$3:$G$54,7,0),"")</f>
        <v/>
      </c>
      <c r="L442" s="280" t="n"/>
      <c r="M442" s="280" t="n"/>
      <c r="N442" s="333">
        <f>IFERROR(IF(L442*M442=0,"",L442*M442),"")</f>
        <v/>
      </c>
      <c r="O442" s="280" t="n"/>
      <c r="P442" s="332">
        <f>IFERROR(VLOOKUP(TEXT(O442,"0"),CONDUCTORES!$A$3:$G$54,2,0),"")</f>
        <v/>
      </c>
      <c r="Q442" s="332">
        <f>IFERROR(VLOOKUP(TEXT(O442,"0"),CONDUCTORES!$A$3:$H$54,6,0),"")</f>
        <v/>
      </c>
      <c r="R442" s="280" t="n"/>
      <c r="S442" s="280" t="n"/>
      <c r="T442" s="280" t="n"/>
      <c r="U442" s="280" t="n"/>
      <c r="V442" s="280" t="n"/>
      <c r="W442" s="280" t="n"/>
      <c r="X442" s="280" t="n"/>
      <c r="Y442" s="280" t="n"/>
    </row>
    <row r="443" ht="15" customHeight="1" s="195">
      <c r="A443" s="334" t="n"/>
      <c r="B443" s="334" t="n"/>
      <c r="C443" s="334" t="n"/>
      <c r="D443" s="334" t="n"/>
      <c r="E443" s="334" t="n"/>
      <c r="F443" s="334" t="n"/>
      <c r="G443" s="334" t="n"/>
      <c r="H443" s="334" t="n"/>
      <c r="I443" s="332">
        <f>IFERROR(VLOOKUP(TEXT(H443,"0"),IPRESS!$A$3:$B$212,2,0),"")</f>
        <v/>
      </c>
      <c r="J443" s="334" t="n"/>
      <c r="K443" s="332">
        <f>IFERROR(VLOOKUP(TEXT(O443,"0"),CONDUCTORES!$A$3:$G$54,7,0),"")</f>
        <v/>
      </c>
      <c r="L443" s="334" t="n"/>
      <c r="M443" s="334" t="n"/>
      <c r="N443" s="333">
        <f>IFERROR(IF(L443*M443=0,"",L443*M443),"")</f>
        <v/>
      </c>
      <c r="O443" s="334" t="n"/>
      <c r="P443" s="332">
        <f>IFERROR(VLOOKUP(TEXT(O443,"0"),CONDUCTORES!$A$3:$G$54,2,0),"")</f>
        <v/>
      </c>
      <c r="Q443" s="332">
        <f>IFERROR(VLOOKUP(TEXT(O443,"0"),CONDUCTORES!$A$3:$H$54,6,0),"")</f>
        <v/>
      </c>
      <c r="R443" s="334" t="n"/>
      <c r="S443" s="334" t="n"/>
      <c r="T443" s="334" t="n"/>
      <c r="U443" s="334" t="n"/>
      <c r="V443" s="334" t="n"/>
      <c r="W443" s="334" t="n"/>
      <c r="X443" s="334" t="n"/>
      <c r="Y443" s="334" t="n"/>
    </row>
    <row r="444" ht="15" customHeight="1" s="195">
      <c r="A444" s="280" t="n"/>
      <c r="B444" s="280" t="n"/>
      <c r="C444" s="280" t="n"/>
      <c r="D444" s="280" t="n"/>
      <c r="E444" s="280" t="n"/>
      <c r="F444" s="280" t="n"/>
      <c r="G444" s="280" t="n"/>
      <c r="H444" s="280" t="n"/>
      <c r="I444" s="332">
        <f>IFERROR(VLOOKUP(TEXT(H444,"0"),IPRESS!$A$3:$B$212,2,0),"")</f>
        <v/>
      </c>
      <c r="J444" s="280" t="n"/>
      <c r="K444" s="332">
        <f>IFERROR(VLOOKUP(TEXT(O444,"0"),CONDUCTORES!$A$3:$G$54,7,0),"")</f>
        <v/>
      </c>
      <c r="L444" s="280" t="n"/>
      <c r="M444" s="280" t="n"/>
      <c r="N444" s="333">
        <f>IFERROR(IF(L444*M444=0,"",L444*M444),"")</f>
        <v/>
      </c>
      <c r="O444" s="280" t="n"/>
      <c r="P444" s="332">
        <f>IFERROR(VLOOKUP(TEXT(O444,"0"),CONDUCTORES!$A$3:$G$54,2,0),"")</f>
        <v/>
      </c>
      <c r="Q444" s="332">
        <f>IFERROR(VLOOKUP(TEXT(O444,"0"),CONDUCTORES!$A$3:$H$54,6,0),"")</f>
        <v/>
      </c>
      <c r="R444" s="280" t="n"/>
      <c r="S444" s="280" t="n"/>
      <c r="T444" s="280" t="n"/>
      <c r="U444" s="280" t="n"/>
      <c r="V444" s="280" t="n"/>
      <c r="W444" s="280" t="n"/>
      <c r="X444" s="280" t="n"/>
      <c r="Y444" s="280" t="n"/>
    </row>
    <row r="445" ht="15" customHeight="1" s="195">
      <c r="A445" s="334" t="n"/>
      <c r="B445" s="334" t="n"/>
      <c r="C445" s="334" t="n"/>
      <c r="D445" s="334" t="n"/>
      <c r="E445" s="334" t="n"/>
      <c r="F445" s="334" t="n"/>
      <c r="G445" s="334" t="n"/>
      <c r="H445" s="334" t="n"/>
      <c r="I445" s="332">
        <f>IFERROR(VLOOKUP(TEXT(H445,"0"),IPRESS!$A$3:$B$212,2,0),"")</f>
        <v/>
      </c>
      <c r="J445" s="334" t="n"/>
      <c r="K445" s="332">
        <f>IFERROR(VLOOKUP(TEXT(O445,"0"),CONDUCTORES!$A$3:$G$54,7,0),"")</f>
        <v/>
      </c>
      <c r="L445" s="334" t="n"/>
      <c r="M445" s="334" t="n"/>
      <c r="N445" s="333">
        <f>IFERROR(IF(L445*M445=0,"",L445*M445),"")</f>
        <v/>
      </c>
      <c r="O445" s="334" t="n"/>
      <c r="P445" s="332">
        <f>IFERROR(VLOOKUP(TEXT(O445,"0"),CONDUCTORES!$A$3:$G$54,2,0),"")</f>
        <v/>
      </c>
      <c r="Q445" s="332">
        <f>IFERROR(VLOOKUP(TEXT(O445,"0"),CONDUCTORES!$A$3:$H$54,6,0),"")</f>
        <v/>
      </c>
      <c r="R445" s="334" t="n"/>
      <c r="S445" s="334" t="n"/>
      <c r="T445" s="334" t="n"/>
      <c r="U445" s="334" t="n"/>
      <c r="V445" s="334" t="n"/>
      <c r="W445" s="334" t="n"/>
      <c r="X445" s="334" t="n"/>
      <c r="Y445" s="334" t="n"/>
    </row>
    <row r="446" ht="15" customHeight="1" s="195">
      <c r="A446" s="280" t="n"/>
      <c r="B446" s="280" t="n"/>
      <c r="C446" s="280" t="n"/>
      <c r="D446" s="280" t="n"/>
      <c r="E446" s="280" t="n"/>
      <c r="F446" s="280" t="n"/>
      <c r="G446" s="280" t="n"/>
      <c r="H446" s="280" t="n"/>
      <c r="I446" s="332">
        <f>IFERROR(VLOOKUP(TEXT(H446,"0"),IPRESS!$A$3:$B$212,2,0),"")</f>
        <v/>
      </c>
      <c r="J446" s="280" t="n"/>
      <c r="K446" s="332">
        <f>IFERROR(VLOOKUP(TEXT(O446,"0"),CONDUCTORES!$A$3:$G$54,7,0),"")</f>
        <v/>
      </c>
      <c r="L446" s="280" t="n"/>
      <c r="M446" s="280" t="n"/>
      <c r="N446" s="333">
        <f>IFERROR(IF(L446*M446=0,"",L446*M446),"")</f>
        <v/>
      </c>
      <c r="O446" s="280" t="n"/>
      <c r="P446" s="332">
        <f>IFERROR(VLOOKUP(TEXT(O446,"0"),CONDUCTORES!$A$3:$G$54,2,0),"")</f>
        <v/>
      </c>
      <c r="Q446" s="332">
        <f>IFERROR(VLOOKUP(TEXT(O446,"0"),CONDUCTORES!$A$3:$H$54,6,0),"")</f>
        <v/>
      </c>
      <c r="R446" s="280" t="n"/>
      <c r="S446" s="280" t="n"/>
      <c r="T446" s="280" t="n"/>
      <c r="U446" s="280" t="n"/>
      <c r="V446" s="280" t="n"/>
      <c r="W446" s="280" t="n"/>
      <c r="X446" s="280" t="n"/>
      <c r="Y446" s="280" t="n"/>
    </row>
    <row r="447" ht="15" customHeight="1" s="195">
      <c r="A447" s="334" t="n"/>
      <c r="B447" s="334" t="n"/>
      <c r="C447" s="334" t="n"/>
      <c r="D447" s="334" t="n"/>
      <c r="E447" s="334" t="n"/>
      <c r="F447" s="334" t="n"/>
      <c r="G447" s="334" t="n"/>
      <c r="H447" s="334" t="n"/>
      <c r="I447" s="332">
        <f>IFERROR(VLOOKUP(TEXT(H447,"0"),IPRESS!$A$3:$B$212,2,0),"")</f>
        <v/>
      </c>
      <c r="J447" s="334" t="n"/>
      <c r="K447" s="332">
        <f>IFERROR(VLOOKUP(TEXT(O447,"0"),CONDUCTORES!$A$3:$G$54,7,0),"")</f>
        <v/>
      </c>
      <c r="L447" s="334" t="n"/>
      <c r="M447" s="334" t="n"/>
      <c r="N447" s="333">
        <f>IFERROR(IF(L447*M447=0,"",L447*M447),"")</f>
        <v/>
      </c>
      <c r="O447" s="334" t="n"/>
      <c r="P447" s="332">
        <f>IFERROR(VLOOKUP(TEXT(O447,"0"),CONDUCTORES!$A$3:$G$54,2,0),"")</f>
        <v/>
      </c>
      <c r="Q447" s="332">
        <f>IFERROR(VLOOKUP(TEXT(O447,"0"),CONDUCTORES!$A$3:$H$54,6,0),"")</f>
        <v/>
      </c>
      <c r="R447" s="334" t="n"/>
      <c r="S447" s="334" t="n"/>
      <c r="T447" s="334" t="n"/>
      <c r="U447" s="334" t="n"/>
      <c r="V447" s="334" t="n"/>
      <c r="W447" s="334" t="n"/>
      <c r="X447" s="334" t="n"/>
      <c r="Y447" s="334" t="n"/>
    </row>
    <row r="448" ht="15" customHeight="1" s="195">
      <c r="A448" s="280" t="n"/>
      <c r="B448" s="280" t="n"/>
      <c r="C448" s="280" t="n"/>
      <c r="D448" s="280" t="n"/>
      <c r="E448" s="280" t="n"/>
      <c r="F448" s="280" t="n"/>
      <c r="G448" s="280" t="n"/>
      <c r="H448" s="280" t="n"/>
      <c r="I448" s="332">
        <f>IFERROR(VLOOKUP(TEXT(H448,"0"),IPRESS!$A$3:$B$212,2,0),"")</f>
        <v/>
      </c>
      <c r="J448" s="280" t="n"/>
      <c r="K448" s="332">
        <f>IFERROR(VLOOKUP(TEXT(O448,"0"),CONDUCTORES!$A$3:$G$54,7,0),"")</f>
        <v/>
      </c>
      <c r="L448" s="280" t="n"/>
      <c r="M448" s="280" t="n"/>
      <c r="N448" s="333">
        <f>IFERROR(IF(L448*M448=0,"",L448*M448),"")</f>
        <v/>
      </c>
      <c r="O448" s="280" t="n"/>
      <c r="P448" s="332">
        <f>IFERROR(VLOOKUP(TEXT(O448,"0"),CONDUCTORES!$A$3:$G$54,2,0),"")</f>
        <v/>
      </c>
      <c r="Q448" s="332">
        <f>IFERROR(VLOOKUP(TEXT(O448,"0"),CONDUCTORES!$A$3:$H$54,6,0),"")</f>
        <v/>
      </c>
      <c r="R448" s="280" t="n"/>
      <c r="S448" s="280" t="n"/>
      <c r="T448" s="280" t="n"/>
      <c r="U448" s="280" t="n"/>
      <c r="V448" s="280" t="n"/>
      <c r="W448" s="280" t="n"/>
      <c r="X448" s="280" t="n"/>
      <c r="Y448" s="280" t="n"/>
    </row>
    <row r="449" ht="15" customHeight="1" s="195">
      <c r="A449" s="334" t="n"/>
      <c r="B449" s="334" t="n"/>
      <c r="C449" s="334" t="n"/>
      <c r="D449" s="334" t="n"/>
      <c r="E449" s="334" t="n"/>
      <c r="F449" s="334" t="n"/>
      <c r="G449" s="334" t="n"/>
      <c r="H449" s="334" t="n"/>
      <c r="I449" s="332">
        <f>IFERROR(VLOOKUP(TEXT(H449,"0"),IPRESS!$A$3:$B$212,2,0),"")</f>
        <v/>
      </c>
      <c r="J449" s="334" t="n"/>
      <c r="K449" s="332">
        <f>IFERROR(VLOOKUP(TEXT(O449,"0"),CONDUCTORES!$A$3:$G$54,7,0),"")</f>
        <v/>
      </c>
      <c r="L449" s="334" t="n"/>
      <c r="M449" s="334" t="n"/>
      <c r="N449" s="333">
        <f>IFERROR(IF(L449*M449=0,"",L449*M449),"")</f>
        <v/>
      </c>
      <c r="O449" s="334" t="n"/>
      <c r="P449" s="332">
        <f>IFERROR(VLOOKUP(TEXT(O449,"0"),CONDUCTORES!$A$3:$G$54,2,0),"")</f>
        <v/>
      </c>
      <c r="Q449" s="332">
        <f>IFERROR(VLOOKUP(TEXT(O449,"0"),CONDUCTORES!$A$3:$H$54,6,0),"")</f>
        <v/>
      </c>
      <c r="R449" s="334" t="n"/>
      <c r="S449" s="334" t="n"/>
      <c r="T449" s="334" t="n"/>
      <c r="U449" s="334" t="n"/>
      <c r="V449" s="334" t="n"/>
      <c r="W449" s="334" t="n"/>
      <c r="X449" s="334" t="n"/>
      <c r="Y449" s="334" t="n"/>
    </row>
    <row r="450" ht="15" customHeight="1" s="195">
      <c r="A450" s="280" t="n"/>
      <c r="B450" s="280" t="n"/>
      <c r="C450" s="280" t="n"/>
      <c r="D450" s="280" t="n"/>
      <c r="E450" s="280" t="n"/>
      <c r="F450" s="280" t="n"/>
      <c r="G450" s="280" t="n"/>
      <c r="H450" s="280" t="n"/>
      <c r="I450" s="332">
        <f>IFERROR(VLOOKUP(TEXT(H450,"0"),IPRESS!$A$3:$B$212,2,0),"")</f>
        <v/>
      </c>
      <c r="J450" s="280" t="n"/>
      <c r="K450" s="332">
        <f>IFERROR(VLOOKUP(TEXT(O450,"0"),CONDUCTORES!$A$3:$G$54,7,0),"")</f>
        <v/>
      </c>
      <c r="L450" s="280" t="n"/>
      <c r="M450" s="280" t="n"/>
      <c r="N450" s="333">
        <f>IFERROR(IF(L450*M450=0,"",L450*M450),"")</f>
        <v/>
      </c>
      <c r="O450" s="280" t="n"/>
      <c r="P450" s="332">
        <f>IFERROR(VLOOKUP(TEXT(O450,"0"),CONDUCTORES!$A$3:$G$54,2,0),"")</f>
        <v/>
      </c>
      <c r="Q450" s="332">
        <f>IFERROR(VLOOKUP(TEXT(O450,"0"),CONDUCTORES!$A$3:$H$54,6,0),"")</f>
        <v/>
      </c>
      <c r="R450" s="280" t="n"/>
      <c r="S450" s="280" t="n"/>
      <c r="T450" s="280" t="n"/>
      <c r="U450" s="280" t="n"/>
      <c r="V450" s="280" t="n"/>
      <c r="W450" s="280" t="n"/>
      <c r="X450" s="280" t="n"/>
      <c r="Y450" s="280" t="n"/>
    </row>
    <row r="451" ht="15" customHeight="1" s="195">
      <c r="A451" s="334" t="n"/>
      <c r="B451" s="334" t="n"/>
      <c r="C451" s="334" t="n"/>
      <c r="D451" s="334" t="n"/>
      <c r="E451" s="334" t="n"/>
      <c r="F451" s="334" t="n"/>
      <c r="G451" s="334" t="n"/>
      <c r="H451" s="334" t="n"/>
      <c r="I451" s="332">
        <f>IFERROR(VLOOKUP(TEXT(H451,"0"),IPRESS!$A$3:$B$212,2,0),"")</f>
        <v/>
      </c>
      <c r="J451" s="334" t="n"/>
      <c r="K451" s="332">
        <f>IFERROR(VLOOKUP(TEXT(O451,"0"),CONDUCTORES!$A$3:$G$54,7,0),"")</f>
        <v/>
      </c>
      <c r="L451" s="334" t="n"/>
      <c r="M451" s="334" t="n"/>
      <c r="N451" s="333">
        <f>IFERROR(IF(L451*M451=0,"",L451*M451),"")</f>
        <v/>
      </c>
      <c r="O451" s="334" t="n"/>
      <c r="P451" s="332">
        <f>IFERROR(VLOOKUP(TEXT(O451,"0"),CONDUCTORES!$A$3:$G$54,2,0),"")</f>
        <v/>
      </c>
      <c r="Q451" s="332">
        <f>IFERROR(VLOOKUP(TEXT(O451,"0"),CONDUCTORES!$A$3:$H$54,6,0),"")</f>
        <v/>
      </c>
      <c r="R451" s="334" t="n"/>
      <c r="S451" s="334" t="n"/>
      <c r="T451" s="334" t="n"/>
      <c r="U451" s="334" t="n"/>
      <c r="V451" s="334" t="n"/>
      <c r="W451" s="334" t="n"/>
      <c r="X451" s="334" t="n"/>
      <c r="Y451" s="334" t="n"/>
    </row>
    <row r="452" ht="15" customHeight="1" s="195">
      <c r="A452" s="280" t="n"/>
      <c r="B452" s="280" t="n"/>
      <c r="C452" s="280" t="n"/>
      <c r="D452" s="280" t="n"/>
      <c r="E452" s="280" t="n"/>
      <c r="F452" s="280" t="n"/>
      <c r="G452" s="280" t="n"/>
      <c r="H452" s="280" t="n"/>
      <c r="I452" s="332">
        <f>IFERROR(VLOOKUP(TEXT(H452,"0"),IPRESS!$A$3:$B$212,2,0),"")</f>
        <v/>
      </c>
      <c r="J452" s="280" t="n"/>
      <c r="K452" s="332">
        <f>IFERROR(VLOOKUP(TEXT(O452,"0"),CONDUCTORES!$A$3:$G$54,7,0),"")</f>
        <v/>
      </c>
      <c r="L452" s="280" t="n"/>
      <c r="M452" s="280" t="n"/>
      <c r="N452" s="333">
        <f>IFERROR(IF(L452*M452=0,"",L452*M452),"")</f>
        <v/>
      </c>
      <c r="O452" s="280" t="n"/>
      <c r="P452" s="332">
        <f>IFERROR(VLOOKUP(TEXT(O452,"0"),CONDUCTORES!$A$3:$G$54,2,0),"")</f>
        <v/>
      </c>
      <c r="Q452" s="332">
        <f>IFERROR(VLOOKUP(TEXT(O452,"0"),CONDUCTORES!$A$3:$H$54,6,0),"")</f>
        <v/>
      </c>
      <c r="R452" s="280" t="n"/>
      <c r="S452" s="280" t="n"/>
      <c r="T452" s="280" t="n"/>
      <c r="U452" s="280" t="n"/>
      <c r="V452" s="280" t="n"/>
      <c r="W452" s="280" t="n"/>
      <c r="X452" s="280" t="n"/>
      <c r="Y452" s="280" t="n"/>
    </row>
    <row r="453" ht="15" customHeight="1" s="195">
      <c r="A453" s="334" t="n"/>
      <c r="B453" s="334" t="n"/>
      <c r="C453" s="334" t="n"/>
      <c r="D453" s="334" t="n"/>
      <c r="E453" s="334" t="n"/>
      <c r="F453" s="334" t="n"/>
      <c r="G453" s="334" t="n"/>
      <c r="H453" s="334" t="n"/>
      <c r="I453" s="332">
        <f>IFERROR(VLOOKUP(TEXT(H453,"0"),IPRESS!$A$3:$B$212,2,0),"")</f>
        <v/>
      </c>
      <c r="J453" s="334" t="n"/>
      <c r="K453" s="332">
        <f>IFERROR(VLOOKUP(TEXT(O453,"0"),CONDUCTORES!$A$3:$G$54,7,0),"")</f>
        <v/>
      </c>
      <c r="L453" s="334" t="n"/>
      <c r="M453" s="334" t="n"/>
      <c r="N453" s="333">
        <f>IFERROR(IF(L453*M453=0,"",L453*M453),"")</f>
        <v/>
      </c>
      <c r="O453" s="334" t="n"/>
      <c r="P453" s="332">
        <f>IFERROR(VLOOKUP(TEXT(O453,"0"),CONDUCTORES!$A$3:$G$54,2,0),"")</f>
        <v/>
      </c>
      <c r="Q453" s="332">
        <f>IFERROR(VLOOKUP(TEXT(O453,"0"),CONDUCTORES!$A$3:$H$54,6,0),"")</f>
        <v/>
      </c>
      <c r="R453" s="334" t="n"/>
      <c r="S453" s="334" t="n"/>
      <c r="T453" s="334" t="n"/>
      <c r="U453" s="334" t="n"/>
      <c r="V453" s="334" t="n"/>
      <c r="W453" s="334" t="n"/>
      <c r="X453" s="334" t="n"/>
      <c r="Y453" s="334" t="n"/>
    </row>
    <row r="454" ht="15" customHeight="1" s="195">
      <c r="A454" s="280" t="n"/>
      <c r="B454" s="280" t="n"/>
      <c r="C454" s="280" t="n"/>
      <c r="D454" s="280" t="n"/>
      <c r="E454" s="280" t="n"/>
      <c r="F454" s="280" t="n"/>
      <c r="G454" s="280" t="n"/>
      <c r="H454" s="280" t="n"/>
      <c r="I454" s="332">
        <f>IFERROR(VLOOKUP(TEXT(H454,"0"),IPRESS!$A$3:$B$212,2,0),"")</f>
        <v/>
      </c>
      <c r="J454" s="280" t="n"/>
      <c r="K454" s="332">
        <f>IFERROR(VLOOKUP(TEXT(O454,"0"),CONDUCTORES!$A$3:$G$54,7,0),"")</f>
        <v/>
      </c>
      <c r="L454" s="280" t="n"/>
      <c r="M454" s="280" t="n"/>
      <c r="N454" s="333">
        <f>IFERROR(IF(L454*M454=0,"",L454*M454),"")</f>
        <v/>
      </c>
      <c r="O454" s="280" t="n"/>
      <c r="P454" s="332">
        <f>IFERROR(VLOOKUP(TEXT(O454,"0"),CONDUCTORES!$A$3:$G$54,2,0),"")</f>
        <v/>
      </c>
      <c r="Q454" s="332">
        <f>IFERROR(VLOOKUP(TEXT(O454,"0"),CONDUCTORES!$A$3:$H$54,6,0),"")</f>
        <v/>
      </c>
      <c r="R454" s="280" t="n"/>
      <c r="S454" s="280" t="n"/>
      <c r="T454" s="280" t="n"/>
      <c r="U454" s="280" t="n"/>
      <c r="V454" s="280" t="n"/>
      <c r="W454" s="280" t="n"/>
      <c r="X454" s="280" t="n"/>
      <c r="Y454" s="280" t="n"/>
    </row>
    <row r="455" ht="15" customHeight="1" s="195">
      <c r="A455" s="334" t="n"/>
      <c r="B455" s="334" t="n"/>
      <c r="C455" s="334" t="n"/>
      <c r="D455" s="334" t="n"/>
      <c r="E455" s="334" t="n"/>
      <c r="F455" s="334" t="n"/>
      <c r="G455" s="334" t="n"/>
      <c r="H455" s="334" t="n"/>
      <c r="I455" s="332">
        <f>IFERROR(VLOOKUP(TEXT(H455,"0"),IPRESS!$A$3:$B$212,2,0),"")</f>
        <v/>
      </c>
      <c r="J455" s="334" t="n"/>
      <c r="K455" s="332">
        <f>IFERROR(VLOOKUP(TEXT(O455,"0"),CONDUCTORES!$A$3:$G$54,7,0),"")</f>
        <v/>
      </c>
      <c r="L455" s="334" t="n"/>
      <c r="M455" s="334" t="n"/>
      <c r="N455" s="333">
        <f>IFERROR(IF(L455*M455=0,"",L455*M455),"")</f>
        <v/>
      </c>
      <c r="O455" s="334" t="n"/>
      <c r="P455" s="332">
        <f>IFERROR(VLOOKUP(TEXT(O455,"0"),CONDUCTORES!$A$3:$G$54,2,0),"")</f>
        <v/>
      </c>
      <c r="Q455" s="332">
        <f>IFERROR(VLOOKUP(TEXT(O455,"0"),CONDUCTORES!$A$3:$H$54,6,0),"")</f>
        <v/>
      </c>
      <c r="R455" s="334" t="n"/>
      <c r="S455" s="334" t="n"/>
      <c r="T455" s="334" t="n"/>
      <c r="U455" s="334" t="n"/>
      <c r="V455" s="334" t="n"/>
      <c r="W455" s="334" t="n"/>
      <c r="X455" s="334" t="n"/>
      <c r="Y455" s="334" t="n"/>
    </row>
    <row r="456" ht="15" customHeight="1" s="195">
      <c r="A456" s="280" t="n"/>
      <c r="B456" s="280" t="n"/>
      <c r="C456" s="280" t="n"/>
      <c r="D456" s="280" t="n"/>
      <c r="E456" s="280" t="n"/>
      <c r="F456" s="280" t="n"/>
      <c r="G456" s="280" t="n"/>
      <c r="H456" s="280" t="n"/>
      <c r="I456" s="332">
        <f>IFERROR(VLOOKUP(TEXT(H456,"0"),IPRESS!$A$3:$B$212,2,0),"")</f>
        <v/>
      </c>
      <c r="J456" s="280" t="n"/>
      <c r="K456" s="332">
        <f>IFERROR(VLOOKUP(TEXT(O456,"0"),CONDUCTORES!$A$3:$G$54,7,0),"")</f>
        <v/>
      </c>
      <c r="L456" s="280" t="n"/>
      <c r="M456" s="280" t="n"/>
      <c r="N456" s="333">
        <f>IFERROR(IF(L456*M456=0,"",L456*M456),"")</f>
        <v/>
      </c>
      <c r="O456" s="280" t="n"/>
      <c r="P456" s="332">
        <f>IFERROR(VLOOKUP(TEXT(O456,"0"),CONDUCTORES!$A$3:$G$54,2,0),"")</f>
        <v/>
      </c>
      <c r="Q456" s="332">
        <f>IFERROR(VLOOKUP(TEXT(O456,"0"),CONDUCTORES!$A$3:$H$54,6,0),"")</f>
        <v/>
      </c>
      <c r="R456" s="280" t="n"/>
      <c r="S456" s="280" t="n"/>
      <c r="T456" s="280" t="n"/>
      <c r="U456" s="280" t="n"/>
      <c r="V456" s="280" t="n"/>
      <c r="W456" s="280" t="n"/>
      <c r="X456" s="280" t="n"/>
      <c r="Y456" s="280" t="n"/>
    </row>
    <row r="457" ht="15" customHeight="1" s="195">
      <c r="A457" s="334" t="n"/>
      <c r="B457" s="334" t="n"/>
      <c r="C457" s="334" t="n"/>
      <c r="D457" s="334" t="n"/>
      <c r="E457" s="334" t="n"/>
      <c r="F457" s="334" t="n"/>
      <c r="G457" s="334" t="n"/>
      <c r="H457" s="334" t="n"/>
      <c r="I457" s="332">
        <f>IFERROR(VLOOKUP(TEXT(H457,"0"),IPRESS!$A$3:$B$212,2,0),"")</f>
        <v/>
      </c>
      <c r="J457" s="334" t="n"/>
      <c r="K457" s="332">
        <f>IFERROR(VLOOKUP(TEXT(O457,"0"),CONDUCTORES!$A$3:$G$54,7,0),"")</f>
        <v/>
      </c>
      <c r="L457" s="334" t="n"/>
      <c r="M457" s="334" t="n"/>
      <c r="N457" s="333">
        <f>IFERROR(IF(L457*M457=0,"",L457*M457),"")</f>
        <v/>
      </c>
      <c r="O457" s="334" t="n"/>
      <c r="P457" s="332">
        <f>IFERROR(VLOOKUP(TEXT(O457,"0"),CONDUCTORES!$A$3:$G$54,2,0),"")</f>
        <v/>
      </c>
      <c r="Q457" s="332">
        <f>IFERROR(VLOOKUP(TEXT(O457,"0"),CONDUCTORES!$A$3:$H$54,6,0),"")</f>
        <v/>
      </c>
      <c r="R457" s="334" t="n"/>
      <c r="S457" s="334" t="n"/>
      <c r="T457" s="334" t="n"/>
      <c r="U457" s="334" t="n"/>
      <c r="V457" s="334" t="n"/>
      <c r="W457" s="334" t="n"/>
      <c r="X457" s="334" t="n"/>
      <c r="Y457" s="334" t="n"/>
    </row>
    <row r="458" ht="15" customHeight="1" s="195">
      <c r="A458" s="280" t="n"/>
      <c r="B458" s="280" t="n"/>
      <c r="C458" s="280" t="n"/>
      <c r="D458" s="280" t="n"/>
      <c r="E458" s="280" t="n"/>
      <c r="F458" s="280" t="n"/>
      <c r="G458" s="280" t="n"/>
      <c r="H458" s="280" t="n"/>
      <c r="I458" s="332">
        <f>IFERROR(VLOOKUP(TEXT(H458,"0"),IPRESS!$A$3:$B$212,2,0),"")</f>
        <v/>
      </c>
      <c r="J458" s="280" t="n"/>
      <c r="K458" s="332">
        <f>IFERROR(VLOOKUP(TEXT(O458,"0"),CONDUCTORES!$A$3:$G$54,7,0),"")</f>
        <v/>
      </c>
      <c r="L458" s="280" t="n"/>
      <c r="M458" s="280" t="n"/>
      <c r="N458" s="333">
        <f>IFERROR(IF(L458*M458=0,"",L458*M458),"")</f>
        <v/>
      </c>
      <c r="O458" s="280" t="n"/>
      <c r="P458" s="332">
        <f>IFERROR(VLOOKUP(TEXT(O458,"0"),CONDUCTORES!$A$3:$G$54,2,0),"")</f>
        <v/>
      </c>
      <c r="Q458" s="332">
        <f>IFERROR(VLOOKUP(TEXT(O458,"0"),CONDUCTORES!$A$3:$H$54,6,0),"")</f>
        <v/>
      </c>
      <c r="R458" s="280" t="n"/>
      <c r="S458" s="280" t="n"/>
      <c r="T458" s="280" t="n"/>
      <c r="U458" s="280" t="n"/>
      <c r="V458" s="280" t="n"/>
      <c r="W458" s="280" t="n"/>
      <c r="X458" s="280" t="n"/>
      <c r="Y458" s="280" t="n"/>
    </row>
    <row r="459" ht="15" customHeight="1" s="195">
      <c r="A459" s="334" t="n"/>
      <c r="B459" s="334" t="n"/>
      <c r="C459" s="334" t="n"/>
      <c r="D459" s="334" t="n"/>
      <c r="E459" s="334" t="n"/>
      <c r="F459" s="334" t="n"/>
      <c r="G459" s="334" t="n"/>
      <c r="H459" s="334" t="n"/>
      <c r="I459" s="332">
        <f>IFERROR(VLOOKUP(TEXT(H459,"0"),IPRESS!$A$3:$B$212,2,0),"")</f>
        <v/>
      </c>
      <c r="J459" s="334" t="n"/>
      <c r="K459" s="332">
        <f>IFERROR(VLOOKUP(TEXT(O459,"0"),CONDUCTORES!$A$3:$G$54,7,0),"")</f>
        <v/>
      </c>
      <c r="L459" s="334" t="n"/>
      <c r="M459" s="334" t="n"/>
      <c r="N459" s="333">
        <f>IFERROR(IF(L459*M459=0,"",L459*M459),"")</f>
        <v/>
      </c>
      <c r="O459" s="334" t="n"/>
      <c r="P459" s="332">
        <f>IFERROR(VLOOKUP(TEXT(O459,"0"),CONDUCTORES!$A$3:$G$54,2,0),"")</f>
        <v/>
      </c>
      <c r="Q459" s="332">
        <f>IFERROR(VLOOKUP(TEXT(O459,"0"),CONDUCTORES!$A$3:$H$54,6,0),"")</f>
        <v/>
      </c>
      <c r="R459" s="334" t="n"/>
      <c r="S459" s="334" t="n"/>
      <c r="T459" s="334" t="n"/>
      <c r="U459" s="334" t="n"/>
      <c r="V459" s="334" t="n"/>
      <c r="W459" s="334" t="n"/>
      <c r="X459" s="334" t="n"/>
      <c r="Y459" s="334" t="n"/>
    </row>
    <row r="460" ht="15" customHeight="1" s="195">
      <c r="A460" s="280" t="n"/>
      <c r="B460" s="280" t="n"/>
      <c r="C460" s="280" t="n"/>
      <c r="D460" s="280" t="n"/>
      <c r="E460" s="280" t="n"/>
      <c r="F460" s="280" t="n"/>
      <c r="G460" s="280" t="n"/>
      <c r="H460" s="280" t="n"/>
      <c r="I460" s="332">
        <f>IFERROR(VLOOKUP(TEXT(H460,"0"),IPRESS!$A$3:$B$212,2,0),"")</f>
        <v/>
      </c>
      <c r="J460" s="280" t="n"/>
      <c r="K460" s="332">
        <f>IFERROR(VLOOKUP(TEXT(O460,"0"),CONDUCTORES!$A$3:$G$54,7,0),"")</f>
        <v/>
      </c>
      <c r="L460" s="280" t="n"/>
      <c r="M460" s="280" t="n"/>
      <c r="N460" s="333">
        <f>IFERROR(IF(L460*M460=0,"",L460*M460),"")</f>
        <v/>
      </c>
      <c r="O460" s="280" t="n"/>
      <c r="P460" s="332">
        <f>IFERROR(VLOOKUP(TEXT(O460,"0"),CONDUCTORES!$A$3:$G$54,2,0),"")</f>
        <v/>
      </c>
      <c r="Q460" s="332">
        <f>IFERROR(VLOOKUP(TEXT(O460,"0"),CONDUCTORES!$A$3:$H$54,6,0),"")</f>
        <v/>
      </c>
      <c r="R460" s="280" t="n"/>
      <c r="S460" s="280" t="n"/>
      <c r="T460" s="280" t="n"/>
      <c r="U460" s="280" t="n"/>
      <c r="V460" s="280" t="n"/>
      <c r="W460" s="280" t="n"/>
      <c r="X460" s="280" t="n"/>
      <c r="Y460" s="280" t="n"/>
    </row>
    <row r="461" ht="15" customHeight="1" s="195">
      <c r="A461" s="334" t="n"/>
      <c r="B461" s="334" t="n"/>
      <c r="C461" s="334" t="n"/>
      <c r="D461" s="334" t="n"/>
      <c r="E461" s="334" t="n"/>
      <c r="F461" s="334" t="n"/>
      <c r="G461" s="334" t="n"/>
      <c r="H461" s="334" t="n"/>
      <c r="I461" s="332">
        <f>IFERROR(VLOOKUP(TEXT(H461,"0"),IPRESS!$A$3:$B$212,2,0),"")</f>
        <v/>
      </c>
      <c r="J461" s="334" t="n"/>
      <c r="K461" s="332">
        <f>IFERROR(VLOOKUP(TEXT(O461,"0"),CONDUCTORES!$A$3:$G$54,7,0),"")</f>
        <v/>
      </c>
      <c r="L461" s="334" t="n"/>
      <c r="M461" s="334" t="n"/>
      <c r="N461" s="333">
        <f>IFERROR(IF(L461*M461=0,"",L461*M461),"")</f>
        <v/>
      </c>
      <c r="O461" s="334" t="n"/>
      <c r="P461" s="332">
        <f>IFERROR(VLOOKUP(TEXT(O461,"0"),CONDUCTORES!$A$3:$G$54,2,0),"")</f>
        <v/>
      </c>
      <c r="Q461" s="332">
        <f>IFERROR(VLOOKUP(TEXT(O461,"0"),CONDUCTORES!$A$3:$H$54,6,0),"")</f>
        <v/>
      </c>
      <c r="R461" s="334" t="n"/>
      <c r="S461" s="334" t="n"/>
      <c r="T461" s="334" t="n"/>
      <c r="U461" s="334" t="n"/>
      <c r="V461" s="334" t="n"/>
      <c r="W461" s="334" t="n"/>
      <c r="X461" s="334" t="n"/>
      <c r="Y461" s="334" t="n"/>
    </row>
    <row r="462" ht="15" customHeight="1" s="195">
      <c r="A462" s="280" t="n"/>
      <c r="B462" s="280" t="n"/>
      <c r="C462" s="280" t="n"/>
      <c r="D462" s="280" t="n"/>
      <c r="E462" s="280" t="n"/>
      <c r="F462" s="280" t="n"/>
      <c r="G462" s="280" t="n"/>
      <c r="H462" s="280" t="n"/>
      <c r="I462" s="332">
        <f>IFERROR(VLOOKUP(TEXT(H462,"0"),IPRESS!$A$3:$B$212,2,0),"")</f>
        <v/>
      </c>
      <c r="J462" s="280" t="n"/>
      <c r="K462" s="332">
        <f>IFERROR(VLOOKUP(TEXT(O462,"0"),CONDUCTORES!$A$3:$G$54,7,0),"")</f>
        <v/>
      </c>
      <c r="L462" s="280" t="n"/>
      <c r="M462" s="280" t="n"/>
      <c r="N462" s="333">
        <f>IFERROR(IF(L462*M462=0,"",L462*M462),"")</f>
        <v/>
      </c>
      <c r="O462" s="280" t="n"/>
      <c r="P462" s="332">
        <f>IFERROR(VLOOKUP(TEXT(O462,"0"),CONDUCTORES!$A$3:$G$54,2,0),"")</f>
        <v/>
      </c>
      <c r="Q462" s="332">
        <f>IFERROR(VLOOKUP(TEXT(O462,"0"),CONDUCTORES!$A$3:$H$54,6,0),"")</f>
        <v/>
      </c>
      <c r="R462" s="280" t="n"/>
      <c r="S462" s="280" t="n"/>
      <c r="T462" s="280" t="n"/>
      <c r="U462" s="280" t="n"/>
      <c r="V462" s="280" t="n"/>
      <c r="W462" s="280" t="n"/>
      <c r="X462" s="280" t="n"/>
      <c r="Y462" s="280" t="n"/>
    </row>
    <row r="463" ht="15" customHeight="1" s="195">
      <c r="A463" s="334" t="n"/>
      <c r="B463" s="334" t="n"/>
      <c r="C463" s="334" t="n"/>
      <c r="D463" s="334" t="n"/>
      <c r="E463" s="334" t="n"/>
      <c r="F463" s="334" t="n"/>
      <c r="G463" s="334" t="n"/>
      <c r="H463" s="334" t="n"/>
      <c r="I463" s="332">
        <f>IFERROR(VLOOKUP(TEXT(H463,"0"),IPRESS!$A$3:$B$212,2,0),"")</f>
        <v/>
      </c>
      <c r="J463" s="334" t="n"/>
      <c r="K463" s="332">
        <f>IFERROR(VLOOKUP(TEXT(O463,"0"),CONDUCTORES!$A$3:$G$54,7,0),"")</f>
        <v/>
      </c>
      <c r="L463" s="334" t="n"/>
      <c r="M463" s="334" t="n"/>
      <c r="N463" s="333">
        <f>IFERROR(IF(L463*M463=0,"",L463*M463),"")</f>
        <v/>
      </c>
      <c r="O463" s="334" t="n"/>
      <c r="P463" s="332">
        <f>IFERROR(VLOOKUP(TEXT(O463,"0"),CONDUCTORES!$A$3:$G$54,2,0),"")</f>
        <v/>
      </c>
      <c r="Q463" s="332">
        <f>IFERROR(VLOOKUP(TEXT(O463,"0"),CONDUCTORES!$A$3:$H$54,6,0),"")</f>
        <v/>
      </c>
      <c r="R463" s="334" t="n"/>
      <c r="S463" s="334" t="n"/>
      <c r="T463" s="334" t="n"/>
      <c r="U463" s="334" t="n"/>
      <c r="V463" s="334" t="n"/>
      <c r="W463" s="334" t="n"/>
      <c r="X463" s="334" t="n"/>
      <c r="Y463" s="334" t="n"/>
    </row>
    <row r="464" ht="15" customHeight="1" s="195">
      <c r="A464" s="280" t="n"/>
      <c r="B464" s="280" t="n"/>
      <c r="C464" s="280" t="n"/>
      <c r="D464" s="280" t="n"/>
      <c r="E464" s="280" t="n"/>
      <c r="F464" s="280" t="n"/>
      <c r="G464" s="280" t="n"/>
      <c r="H464" s="280" t="n"/>
      <c r="I464" s="332">
        <f>IFERROR(VLOOKUP(TEXT(H464,"0"),IPRESS!$A$3:$B$212,2,0),"")</f>
        <v/>
      </c>
      <c r="J464" s="280" t="n"/>
      <c r="K464" s="332">
        <f>IFERROR(VLOOKUP(TEXT(O464,"0"),CONDUCTORES!$A$3:$G$54,7,0),"")</f>
        <v/>
      </c>
      <c r="L464" s="280" t="n"/>
      <c r="M464" s="280" t="n"/>
      <c r="N464" s="333">
        <f>IFERROR(IF(L464*M464=0,"",L464*M464),"")</f>
        <v/>
      </c>
      <c r="O464" s="280" t="n"/>
      <c r="P464" s="332">
        <f>IFERROR(VLOOKUP(TEXT(O464,"0"),CONDUCTORES!$A$3:$G$54,2,0),"")</f>
        <v/>
      </c>
      <c r="Q464" s="332">
        <f>IFERROR(VLOOKUP(TEXT(O464,"0"),CONDUCTORES!$A$3:$H$54,6,0),"")</f>
        <v/>
      </c>
      <c r="R464" s="280" t="n"/>
      <c r="S464" s="280" t="n"/>
      <c r="T464" s="280" t="n"/>
      <c r="U464" s="280" t="n"/>
      <c r="V464" s="280" t="n"/>
      <c r="W464" s="280" t="n"/>
      <c r="X464" s="280" t="n"/>
      <c r="Y464" s="280" t="n"/>
    </row>
    <row r="465" ht="15" customHeight="1" s="195">
      <c r="A465" s="334" t="n"/>
      <c r="B465" s="334" t="n"/>
      <c r="C465" s="334" t="n"/>
      <c r="D465" s="334" t="n"/>
      <c r="E465" s="334" t="n"/>
      <c r="F465" s="334" t="n"/>
      <c r="G465" s="334" t="n"/>
      <c r="H465" s="334" t="n"/>
      <c r="I465" s="332">
        <f>IFERROR(VLOOKUP(TEXT(H465,"0"),IPRESS!$A$3:$B$212,2,0),"")</f>
        <v/>
      </c>
      <c r="J465" s="334" t="n"/>
      <c r="K465" s="332">
        <f>IFERROR(VLOOKUP(TEXT(O465,"0"),CONDUCTORES!$A$3:$G$54,7,0),"")</f>
        <v/>
      </c>
      <c r="L465" s="334" t="n"/>
      <c r="M465" s="334" t="n"/>
      <c r="N465" s="333">
        <f>IFERROR(IF(L465*M465=0,"",L465*M465),"")</f>
        <v/>
      </c>
      <c r="O465" s="334" t="n"/>
      <c r="P465" s="332">
        <f>IFERROR(VLOOKUP(TEXT(O465,"0"),CONDUCTORES!$A$3:$G$54,2,0),"")</f>
        <v/>
      </c>
      <c r="Q465" s="332">
        <f>IFERROR(VLOOKUP(TEXT(O465,"0"),CONDUCTORES!$A$3:$H$54,6,0),"")</f>
        <v/>
      </c>
      <c r="R465" s="334" t="n"/>
      <c r="S465" s="334" t="n"/>
      <c r="T465" s="334" t="n"/>
      <c r="U465" s="334" t="n"/>
      <c r="V465" s="334" t="n"/>
      <c r="W465" s="334" t="n"/>
      <c r="X465" s="334" t="n"/>
      <c r="Y465" s="334" t="n"/>
    </row>
    <row r="466" ht="15" customHeight="1" s="195">
      <c r="A466" s="280" t="n"/>
      <c r="B466" s="280" t="n"/>
      <c r="C466" s="280" t="n"/>
      <c r="D466" s="280" t="n"/>
      <c r="E466" s="280" t="n"/>
      <c r="F466" s="280" t="n"/>
      <c r="G466" s="280" t="n"/>
      <c r="H466" s="280" t="n"/>
      <c r="I466" s="332">
        <f>IFERROR(VLOOKUP(TEXT(H466,"0"),IPRESS!$A$3:$B$212,2,0),"")</f>
        <v/>
      </c>
      <c r="J466" s="280" t="n"/>
      <c r="K466" s="332">
        <f>IFERROR(VLOOKUP(TEXT(O466,"0"),CONDUCTORES!$A$3:$G$54,7,0),"")</f>
        <v/>
      </c>
      <c r="L466" s="280" t="n"/>
      <c r="M466" s="280" t="n"/>
      <c r="N466" s="333">
        <f>IFERROR(IF(L466*M466=0,"",L466*M466),"")</f>
        <v/>
      </c>
      <c r="O466" s="280" t="n"/>
      <c r="P466" s="332">
        <f>IFERROR(VLOOKUP(TEXT(O466,"0"),CONDUCTORES!$A$3:$G$54,2,0),"")</f>
        <v/>
      </c>
      <c r="Q466" s="332">
        <f>IFERROR(VLOOKUP(TEXT(O466,"0"),CONDUCTORES!$A$3:$H$54,6,0),"")</f>
        <v/>
      </c>
      <c r="R466" s="280" t="n"/>
      <c r="S466" s="280" t="n"/>
      <c r="T466" s="280" t="n"/>
      <c r="U466" s="280" t="n"/>
      <c r="V466" s="280" t="n"/>
      <c r="W466" s="280" t="n"/>
      <c r="X466" s="280" t="n"/>
      <c r="Y466" s="280" t="n"/>
    </row>
    <row r="467" ht="15" customHeight="1" s="195">
      <c r="A467" s="334" t="n"/>
      <c r="B467" s="334" t="n"/>
      <c r="C467" s="334" t="n"/>
      <c r="D467" s="334" t="n"/>
      <c r="E467" s="334" t="n"/>
      <c r="F467" s="334" t="n"/>
      <c r="G467" s="334" t="n"/>
      <c r="H467" s="334" t="n"/>
      <c r="I467" s="332">
        <f>IFERROR(VLOOKUP(TEXT(H467,"0"),IPRESS!$A$3:$B$212,2,0),"")</f>
        <v/>
      </c>
      <c r="J467" s="334" t="n"/>
      <c r="K467" s="332">
        <f>IFERROR(VLOOKUP(TEXT(O467,"0"),CONDUCTORES!$A$3:$G$54,7,0),"")</f>
        <v/>
      </c>
      <c r="L467" s="334" t="n"/>
      <c r="M467" s="334" t="n"/>
      <c r="N467" s="333">
        <f>IFERROR(IF(L467*M467=0,"",L467*M467),"")</f>
        <v/>
      </c>
      <c r="O467" s="334" t="n"/>
      <c r="P467" s="332">
        <f>IFERROR(VLOOKUP(TEXT(O467,"0"),CONDUCTORES!$A$3:$G$54,2,0),"")</f>
        <v/>
      </c>
      <c r="Q467" s="332">
        <f>IFERROR(VLOOKUP(TEXT(O467,"0"),CONDUCTORES!$A$3:$H$54,6,0),"")</f>
        <v/>
      </c>
      <c r="R467" s="334" t="n"/>
      <c r="S467" s="334" t="n"/>
      <c r="T467" s="334" t="n"/>
      <c r="U467" s="334" t="n"/>
      <c r="V467" s="334" t="n"/>
      <c r="W467" s="334" t="n"/>
      <c r="X467" s="334" t="n"/>
      <c r="Y467" s="334" t="n"/>
    </row>
    <row r="468" ht="15" customHeight="1" s="195">
      <c r="A468" s="280" t="n"/>
      <c r="B468" s="280" t="n"/>
      <c r="C468" s="280" t="n"/>
      <c r="D468" s="280" t="n"/>
      <c r="E468" s="280" t="n"/>
      <c r="F468" s="280" t="n"/>
      <c r="G468" s="280" t="n"/>
      <c r="H468" s="280" t="n"/>
      <c r="I468" s="332">
        <f>IFERROR(VLOOKUP(TEXT(H468,"0"),IPRESS!$A$3:$B$212,2,0),"")</f>
        <v/>
      </c>
      <c r="J468" s="280" t="n"/>
      <c r="K468" s="332">
        <f>IFERROR(VLOOKUP(TEXT(O468,"0"),CONDUCTORES!$A$3:$G$54,7,0),"")</f>
        <v/>
      </c>
      <c r="L468" s="280" t="n"/>
      <c r="M468" s="280" t="n"/>
      <c r="N468" s="333">
        <f>IFERROR(IF(L468*M468=0,"",L468*M468),"")</f>
        <v/>
      </c>
      <c r="O468" s="280" t="n"/>
      <c r="P468" s="332">
        <f>IFERROR(VLOOKUP(TEXT(O468,"0"),CONDUCTORES!$A$3:$G$54,2,0),"")</f>
        <v/>
      </c>
      <c r="Q468" s="332">
        <f>IFERROR(VLOOKUP(TEXT(O468,"0"),CONDUCTORES!$A$3:$H$54,6,0),"")</f>
        <v/>
      </c>
      <c r="R468" s="280" t="n"/>
      <c r="S468" s="280" t="n"/>
      <c r="T468" s="280" t="n"/>
      <c r="U468" s="280" t="n"/>
      <c r="V468" s="280" t="n"/>
      <c r="W468" s="280" t="n"/>
      <c r="X468" s="280" t="n"/>
      <c r="Y468" s="280" t="n"/>
    </row>
    <row r="469" ht="15" customHeight="1" s="195">
      <c r="A469" s="334" t="n"/>
      <c r="B469" s="334" t="n"/>
      <c r="C469" s="334" t="n"/>
      <c r="D469" s="334" t="n"/>
      <c r="E469" s="334" t="n"/>
      <c r="F469" s="334" t="n"/>
      <c r="G469" s="334" t="n"/>
      <c r="H469" s="334" t="n"/>
      <c r="I469" s="332">
        <f>IFERROR(VLOOKUP(TEXT(H469,"0"),IPRESS!$A$3:$B$212,2,0),"")</f>
        <v/>
      </c>
      <c r="J469" s="334" t="n"/>
      <c r="K469" s="332">
        <f>IFERROR(VLOOKUP(TEXT(O469,"0"),CONDUCTORES!$A$3:$G$54,7,0),"")</f>
        <v/>
      </c>
      <c r="L469" s="334" t="n"/>
      <c r="M469" s="334" t="n"/>
      <c r="N469" s="333">
        <f>IFERROR(IF(L469*M469=0,"",L469*M469),"")</f>
        <v/>
      </c>
      <c r="O469" s="334" t="n"/>
      <c r="P469" s="332">
        <f>IFERROR(VLOOKUP(TEXT(O469,"0"),CONDUCTORES!$A$3:$G$54,2,0),"")</f>
        <v/>
      </c>
      <c r="Q469" s="332">
        <f>IFERROR(VLOOKUP(TEXT(O469,"0"),CONDUCTORES!$A$3:$H$54,6,0),"")</f>
        <v/>
      </c>
      <c r="R469" s="334" t="n"/>
      <c r="S469" s="334" t="n"/>
      <c r="T469" s="334" t="n"/>
      <c r="U469" s="334" t="n"/>
      <c r="V469" s="334" t="n"/>
      <c r="W469" s="334" t="n"/>
      <c r="X469" s="334" t="n"/>
      <c r="Y469" s="334" t="n"/>
    </row>
    <row r="470" ht="15" customHeight="1" s="195">
      <c r="A470" s="280" t="n"/>
      <c r="B470" s="280" t="n"/>
      <c r="C470" s="280" t="n"/>
      <c r="D470" s="280" t="n"/>
      <c r="E470" s="280" t="n"/>
      <c r="F470" s="280" t="n"/>
      <c r="G470" s="280" t="n"/>
      <c r="H470" s="280" t="n"/>
      <c r="I470" s="332">
        <f>IFERROR(VLOOKUP(TEXT(H470,"0"),IPRESS!$A$3:$B$212,2,0),"")</f>
        <v/>
      </c>
      <c r="J470" s="280" t="n"/>
      <c r="K470" s="332">
        <f>IFERROR(VLOOKUP(TEXT(O470,"0"),CONDUCTORES!$A$3:$G$54,7,0),"")</f>
        <v/>
      </c>
      <c r="L470" s="280" t="n"/>
      <c r="M470" s="280" t="n"/>
      <c r="N470" s="333">
        <f>IFERROR(IF(L470*M470=0,"",L470*M470),"")</f>
        <v/>
      </c>
      <c r="O470" s="280" t="n"/>
      <c r="P470" s="332">
        <f>IFERROR(VLOOKUP(TEXT(O470,"0"),CONDUCTORES!$A$3:$G$54,2,0),"")</f>
        <v/>
      </c>
      <c r="Q470" s="332">
        <f>IFERROR(VLOOKUP(TEXT(O470,"0"),CONDUCTORES!$A$3:$H$54,6,0),"")</f>
        <v/>
      </c>
      <c r="R470" s="280" t="n"/>
      <c r="S470" s="280" t="n"/>
      <c r="T470" s="280" t="n"/>
      <c r="U470" s="280" t="n"/>
      <c r="V470" s="280" t="n"/>
      <c r="W470" s="280" t="n"/>
      <c r="X470" s="280" t="n"/>
      <c r="Y470" s="280" t="n"/>
    </row>
    <row r="471" ht="15" customHeight="1" s="195">
      <c r="A471" s="334" t="n"/>
      <c r="B471" s="334" t="n"/>
      <c r="C471" s="334" t="n"/>
      <c r="D471" s="334" t="n"/>
      <c r="E471" s="334" t="n"/>
      <c r="F471" s="334" t="n"/>
      <c r="G471" s="334" t="n"/>
      <c r="H471" s="334" t="n"/>
      <c r="I471" s="332">
        <f>IFERROR(VLOOKUP(TEXT(H471,"0"),IPRESS!$A$3:$B$212,2,0),"")</f>
        <v/>
      </c>
      <c r="J471" s="334" t="n"/>
      <c r="K471" s="332">
        <f>IFERROR(VLOOKUP(TEXT(O471,"0"),CONDUCTORES!$A$3:$G$54,7,0),"")</f>
        <v/>
      </c>
      <c r="L471" s="334" t="n"/>
      <c r="M471" s="334" t="n"/>
      <c r="N471" s="333">
        <f>IFERROR(IF(L471*M471=0,"",L471*M471),"")</f>
        <v/>
      </c>
      <c r="O471" s="334" t="n"/>
      <c r="P471" s="332">
        <f>IFERROR(VLOOKUP(TEXT(O471,"0"),CONDUCTORES!$A$3:$G$54,2,0),"")</f>
        <v/>
      </c>
      <c r="Q471" s="332">
        <f>IFERROR(VLOOKUP(TEXT(O471,"0"),CONDUCTORES!$A$3:$H$54,6,0),"")</f>
        <v/>
      </c>
      <c r="R471" s="334" t="n"/>
      <c r="S471" s="334" t="n"/>
      <c r="T471" s="334" t="n"/>
      <c r="U471" s="334" t="n"/>
      <c r="V471" s="334" t="n"/>
      <c r="W471" s="334" t="n"/>
      <c r="X471" s="334" t="n"/>
      <c r="Y471" s="334" t="n"/>
    </row>
    <row r="472" ht="15" customHeight="1" s="195">
      <c r="A472" s="280" t="n"/>
      <c r="B472" s="280" t="n"/>
      <c r="C472" s="280" t="n"/>
      <c r="D472" s="280" t="n"/>
      <c r="E472" s="280" t="n"/>
      <c r="F472" s="280" t="n"/>
      <c r="G472" s="280" t="n"/>
      <c r="H472" s="280" t="n"/>
      <c r="I472" s="332">
        <f>IFERROR(VLOOKUP(TEXT(H472,"0"),IPRESS!$A$3:$B$212,2,0),"")</f>
        <v/>
      </c>
      <c r="J472" s="280" t="n"/>
      <c r="K472" s="332">
        <f>IFERROR(VLOOKUP(TEXT(O472,"0"),CONDUCTORES!$A$3:$G$54,7,0),"")</f>
        <v/>
      </c>
      <c r="L472" s="280" t="n"/>
      <c r="M472" s="280" t="n"/>
      <c r="N472" s="333">
        <f>IFERROR(IF(L472*M472=0,"",L472*M472),"")</f>
        <v/>
      </c>
      <c r="O472" s="280" t="n"/>
      <c r="P472" s="332">
        <f>IFERROR(VLOOKUP(TEXT(O472,"0"),CONDUCTORES!$A$3:$G$54,2,0),"")</f>
        <v/>
      </c>
      <c r="Q472" s="332">
        <f>IFERROR(VLOOKUP(TEXT(O472,"0"),CONDUCTORES!$A$3:$H$54,6,0),"")</f>
        <v/>
      </c>
      <c r="R472" s="280" t="n"/>
      <c r="S472" s="280" t="n"/>
      <c r="T472" s="280" t="n"/>
      <c r="U472" s="280" t="n"/>
      <c r="V472" s="280" t="n"/>
      <c r="W472" s="280" t="n"/>
      <c r="X472" s="280" t="n"/>
      <c r="Y472" s="280" t="n"/>
    </row>
    <row r="473" ht="15" customHeight="1" s="195">
      <c r="A473" s="334" t="n"/>
      <c r="B473" s="334" t="n"/>
      <c r="C473" s="334" t="n"/>
      <c r="D473" s="334" t="n"/>
      <c r="E473" s="334" t="n"/>
      <c r="F473" s="334" t="n"/>
      <c r="G473" s="334" t="n"/>
      <c r="H473" s="334" t="n"/>
      <c r="I473" s="332">
        <f>IFERROR(VLOOKUP(TEXT(H473,"0"),IPRESS!$A$3:$B$212,2,0),"")</f>
        <v/>
      </c>
      <c r="J473" s="334" t="n"/>
      <c r="K473" s="332">
        <f>IFERROR(VLOOKUP(TEXT(O473,"0"),CONDUCTORES!$A$3:$G$54,7,0),"")</f>
        <v/>
      </c>
      <c r="L473" s="334" t="n"/>
      <c r="M473" s="334" t="n"/>
      <c r="N473" s="333">
        <f>IFERROR(IF(L473*M473=0,"",L473*M473),"")</f>
        <v/>
      </c>
      <c r="O473" s="334" t="n"/>
      <c r="P473" s="332">
        <f>IFERROR(VLOOKUP(TEXT(O473,"0"),CONDUCTORES!$A$3:$G$54,2,0),"")</f>
        <v/>
      </c>
      <c r="Q473" s="332">
        <f>IFERROR(VLOOKUP(TEXT(O473,"0"),CONDUCTORES!$A$3:$H$54,6,0),"")</f>
        <v/>
      </c>
      <c r="R473" s="334" t="n"/>
      <c r="S473" s="334" t="n"/>
      <c r="T473" s="334" t="n"/>
      <c r="U473" s="334" t="n"/>
      <c r="V473" s="334" t="n"/>
      <c r="W473" s="334" t="n"/>
      <c r="X473" s="334" t="n"/>
      <c r="Y473" s="334" t="n"/>
    </row>
    <row r="474" ht="15" customHeight="1" s="195">
      <c r="A474" s="280" t="n"/>
      <c r="B474" s="280" t="n"/>
      <c r="C474" s="280" t="n"/>
      <c r="D474" s="280" t="n"/>
      <c r="E474" s="280" t="n"/>
      <c r="F474" s="280" t="n"/>
      <c r="G474" s="280" t="n"/>
      <c r="H474" s="280" t="n"/>
      <c r="I474" s="332">
        <f>IFERROR(VLOOKUP(TEXT(H474,"0"),IPRESS!$A$3:$B$212,2,0),"")</f>
        <v/>
      </c>
      <c r="J474" s="280" t="n"/>
      <c r="K474" s="332">
        <f>IFERROR(VLOOKUP(TEXT(O474,"0"),CONDUCTORES!$A$3:$G$54,7,0),"")</f>
        <v/>
      </c>
      <c r="L474" s="280" t="n"/>
      <c r="M474" s="280" t="n"/>
      <c r="N474" s="333">
        <f>IFERROR(IF(L474*M474=0,"",L474*M474),"")</f>
        <v/>
      </c>
      <c r="O474" s="280" t="n"/>
      <c r="P474" s="332">
        <f>IFERROR(VLOOKUP(TEXT(O474,"0"),CONDUCTORES!$A$3:$G$54,2,0),"")</f>
        <v/>
      </c>
      <c r="Q474" s="332">
        <f>IFERROR(VLOOKUP(TEXT(O474,"0"),CONDUCTORES!$A$3:$H$54,6,0),"")</f>
        <v/>
      </c>
      <c r="R474" s="280" t="n"/>
      <c r="S474" s="280" t="n"/>
      <c r="T474" s="280" t="n"/>
      <c r="U474" s="280" t="n"/>
      <c r="V474" s="280" t="n"/>
      <c r="W474" s="280" t="n"/>
      <c r="X474" s="280" t="n"/>
      <c r="Y474" s="280" t="n"/>
    </row>
    <row r="475" ht="15" customHeight="1" s="195">
      <c r="A475" s="334" t="n"/>
      <c r="B475" s="334" t="n"/>
      <c r="C475" s="334" t="n"/>
      <c r="D475" s="334" t="n"/>
      <c r="E475" s="334" t="n"/>
      <c r="F475" s="334" t="n"/>
      <c r="G475" s="334" t="n"/>
      <c r="H475" s="334" t="n"/>
      <c r="I475" s="332">
        <f>IFERROR(VLOOKUP(TEXT(H475,"0"),IPRESS!$A$3:$B$212,2,0),"")</f>
        <v/>
      </c>
      <c r="J475" s="334" t="n"/>
      <c r="K475" s="332">
        <f>IFERROR(VLOOKUP(TEXT(O475,"0"),CONDUCTORES!$A$3:$G$54,7,0),"")</f>
        <v/>
      </c>
      <c r="L475" s="334" t="n"/>
      <c r="M475" s="334" t="n"/>
      <c r="N475" s="333">
        <f>IFERROR(IF(L475*M475=0,"",L475*M475),"")</f>
        <v/>
      </c>
      <c r="O475" s="334" t="n"/>
      <c r="P475" s="332">
        <f>IFERROR(VLOOKUP(TEXT(O475,"0"),CONDUCTORES!$A$3:$G$54,2,0),"")</f>
        <v/>
      </c>
      <c r="Q475" s="332">
        <f>IFERROR(VLOOKUP(TEXT(O475,"0"),CONDUCTORES!$A$3:$H$54,6,0),"")</f>
        <v/>
      </c>
      <c r="R475" s="334" t="n"/>
      <c r="S475" s="334" t="n"/>
      <c r="T475" s="334" t="n"/>
      <c r="U475" s="334" t="n"/>
      <c r="V475" s="334" t="n"/>
      <c r="W475" s="334" t="n"/>
      <c r="X475" s="334" t="n"/>
      <c r="Y475" s="334" t="n"/>
    </row>
    <row r="476" ht="15" customHeight="1" s="195">
      <c r="A476" s="280" t="n"/>
      <c r="B476" s="280" t="n"/>
      <c r="C476" s="280" t="n"/>
      <c r="D476" s="280" t="n"/>
      <c r="E476" s="280" t="n"/>
      <c r="F476" s="280" t="n"/>
      <c r="G476" s="280" t="n"/>
      <c r="H476" s="280" t="n"/>
      <c r="I476" s="332">
        <f>IFERROR(VLOOKUP(TEXT(H476,"0"),IPRESS!$A$3:$B$212,2,0),"")</f>
        <v/>
      </c>
      <c r="J476" s="280" t="n"/>
      <c r="K476" s="332">
        <f>IFERROR(VLOOKUP(TEXT(O476,"0"),CONDUCTORES!$A$3:$G$54,7,0),"")</f>
        <v/>
      </c>
      <c r="L476" s="280" t="n"/>
      <c r="M476" s="280" t="n"/>
      <c r="N476" s="333">
        <f>IFERROR(IF(L476*M476=0,"",L476*M476),"")</f>
        <v/>
      </c>
      <c r="O476" s="280" t="n"/>
      <c r="P476" s="332">
        <f>IFERROR(VLOOKUP(TEXT(O476,"0"),CONDUCTORES!$A$3:$G$54,2,0),"")</f>
        <v/>
      </c>
      <c r="Q476" s="332">
        <f>IFERROR(VLOOKUP(TEXT(O476,"0"),CONDUCTORES!$A$3:$H$54,6,0),"")</f>
        <v/>
      </c>
      <c r="R476" s="280" t="n"/>
      <c r="S476" s="280" t="n"/>
      <c r="T476" s="280" t="n"/>
      <c r="U476" s="280" t="n"/>
      <c r="V476" s="280" t="n"/>
      <c r="W476" s="280" t="n"/>
      <c r="X476" s="280" t="n"/>
      <c r="Y476" s="280" t="n"/>
    </row>
    <row r="477" ht="15" customHeight="1" s="195">
      <c r="A477" s="334" t="n"/>
      <c r="B477" s="334" t="n"/>
      <c r="C477" s="334" t="n"/>
      <c r="D477" s="334" t="n"/>
      <c r="E477" s="334" t="n"/>
      <c r="F477" s="334" t="n"/>
      <c r="G477" s="334" t="n"/>
      <c r="H477" s="334" t="n"/>
      <c r="I477" s="332">
        <f>IFERROR(VLOOKUP(TEXT(H477,"0"),IPRESS!$A$3:$B$212,2,0),"")</f>
        <v/>
      </c>
      <c r="J477" s="334" t="n"/>
      <c r="K477" s="332">
        <f>IFERROR(VLOOKUP(TEXT(O477,"0"),CONDUCTORES!$A$3:$G$54,7,0),"")</f>
        <v/>
      </c>
      <c r="L477" s="334" t="n"/>
      <c r="M477" s="334" t="n"/>
      <c r="N477" s="333">
        <f>IFERROR(IF(L477*M477=0,"",L477*M477),"")</f>
        <v/>
      </c>
      <c r="O477" s="334" t="n"/>
      <c r="P477" s="332">
        <f>IFERROR(VLOOKUP(TEXT(O477,"0"),CONDUCTORES!$A$3:$G$54,2,0),"")</f>
        <v/>
      </c>
      <c r="Q477" s="332">
        <f>IFERROR(VLOOKUP(TEXT(O477,"0"),CONDUCTORES!$A$3:$H$54,6,0),"")</f>
        <v/>
      </c>
      <c r="R477" s="334" t="n"/>
      <c r="S477" s="334" t="n"/>
      <c r="T477" s="334" t="n"/>
      <c r="U477" s="334" t="n"/>
      <c r="V477" s="334" t="n"/>
      <c r="W477" s="334" t="n"/>
      <c r="X477" s="334" t="n"/>
      <c r="Y477" s="334" t="n"/>
    </row>
    <row r="478" ht="15" customHeight="1" s="195">
      <c r="A478" s="280" t="n"/>
      <c r="B478" s="280" t="n"/>
      <c r="C478" s="280" t="n"/>
      <c r="D478" s="280" t="n"/>
      <c r="E478" s="280" t="n"/>
      <c r="F478" s="280" t="n"/>
      <c r="G478" s="280" t="n"/>
      <c r="H478" s="280" t="n"/>
      <c r="I478" s="332">
        <f>IFERROR(VLOOKUP(TEXT(H478,"0"),IPRESS!$A$3:$B$212,2,0),"")</f>
        <v/>
      </c>
      <c r="J478" s="280" t="n"/>
      <c r="K478" s="332">
        <f>IFERROR(VLOOKUP(TEXT(O478,"0"),CONDUCTORES!$A$3:$G$54,7,0),"")</f>
        <v/>
      </c>
      <c r="L478" s="280" t="n"/>
      <c r="M478" s="280" t="n"/>
      <c r="N478" s="333">
        <f>IFERROR(IF(L478*M478=0,"",L478*M478),"")</f>
        <v/>
      </c>
      <c r="O478" s="280" t="n"/>
      <c r="P478" s="332">
        <f>IFERROR(VLOOKUP(TEXT(O478,"0"),CONDUCTORES!$A$3:$G$54,2,0),"")</f>
        <v/>
      </c>
      <c r="Q478" s="332">
        <f>IFERROR(VLOOKUP(TEXT(O478,"0"),CONDUCTORES!$A$3:$H$54,6,0),"")</f>
        <v/>
      </c>
      <c r="R478" s="280" t="n"/>
      <c r="S478" s="280" t="n"/>
      <c r="T478" s="280" t="n"/>
      <c r="U478" s="280" t="n"/>
      <c r="V478" s="280" t="n"/>
      <c r="W478" s="280" t="n"/>
      <c r="X478" s="280" t="n"/>
      <c r="Y478" s="280" t="n"/>
    </row>
    <row r="479" ht="15" customHeight="1" s="195">
      <c r="A479" s="334" t="n"/>
      <c r="B479" s="334" t="n"/>
      <c r="C479" s="334" t="n"/>
      <c r="D479" s="334" t="n"/>
      <c r="E479" s="334" t="n"/>
      <c r="F479" s="334" t="n"/>
      <c r="G479" s="334" t="n"/>
      <c r="H479" s="334" t="n"/>
      <c r="I479" s="332">
        <f>IFERROR(VLOOKUP(TEXT(H479,"0"),IPRESS!$A$3:$B$212,2,0),"")</f>
        <v/>
      </c>
      <c r="J479" s="334" t="n"/>
      <c r="K479" s="332">
        <f>IFERROR(VLOOKUP(TEXT(O479,"0"),CONDUCTORES!$A$3:$G$54,7,0),"")</f>
        <v/>
      </c>
      <c r="L479" s="334" t="n"/>
      <c r="M479" s="334" t="n"/>
      <c r="N479" s="333">
        <f>IFERROR(IF(L479*M479=0,"",L479*M479),"")</f>
        <v/>
      </c>
      <c r="O479" s="334" t="n"/>
      <c r="P479" s="332">
        <f>IFERROR(VLOOKUP(TEXT(O479,"0"),CONDUCTORES!$A$3:$G$54,2,0),"")</f>
        <v/>
      </c>
      <c r="Q479" s="332">
        <f>IFERROR(VLOOKUP(TEXT(O479,"0"),CONDUCTORES!$A$3:$H$54,6,0),"")</f>
        <v/>
      </c>
      <c r="R479" s="334" t="n"/>
      <c r="S479" s="334" t="n"/>
      <c r="T479" s="334" t="n"/>
      <c r="U479" s="334" t="n"/>
      <c r="V479" s="334" t="n"/>
      <c r="W479" s="334" t="n"/>
      <c r="X479" s="334" t="n"/>
      <c r="Y479" s="334" t="n"/>
    </row>
    <row r="480" ht="15" customHeight="1" s="195">
      <c r="A480" s="280" t="n"/>
      <c r="B480" s="280" t="n"/>
      <c r="C480" s="280" t="n"/>
      <c r="D480" s="280" t="n"/>
      <c r="E480" s="280" t="n"/>
      <c r="F480" s="280" t="n"/>
      <c r="G480" s="280" t="n"/>
      <c r="H480" s="280" t="n"/>
      <c r="I480" s="332">
        <f>IFERROR(VLOOKUP(TEXT(H480,"0"),IPRESS!$A$3:$B$212,2,0),"")</f>
        <v/>
      </c>
      <c r="J480" s="280" t="n"/>
      <c r="K480" s="332">
        <f>IFERROR(VLOOKUP(TEXT(O480,"0"),CONDUCTORES!$A$3:$G$54,7,0),"")</f>
        <v/>
      </c>
      <c r="L480" s="280" t="n"/>
      <c r="M480" s="280" t="n"/>
      <c r="N480" s="333">
        <f>IFERROR(IF(L480*M480=0,"",L480*M480),"")</f>
        <v/>
      </c>
      <c r="O480" s="280" t="n"/>
      <c r="P480" s="332">
        <f>IFERROR(VLOOKUP(TEXT(O480,"0"),CONDUCTORES!$A$3:$G$54,2,0),"")</f>
        <v/>
      </c>
      <c r="Q480" s="332">
        <f>IFERROR(VLOOKUP(TEXT(O480,"0"),CONDUCTORES!$A$3:$H$54,6,0),"")</f>
        <v/>
      </c>
      <c r="R480" s="280" t="n"/>
      <c r="S480" s="280" t="n"/>
      <c r="T480" s="280" t="n"/>
      <c r="U480" s="280" t="n"/>
      <c r="V480" s="280" t="n"/>
      <c r="W480" s="280" t="n"/>
      <c r="X480" s="280" t="n"/>
      <c r="Y480" s="280" t="n"/>
    </row>
    <row r="481" ht="15" customHeight="1" s="195">
      <c r="A481" s="334" t="n"/>
      <c r="B481" s="334" t="n"/>
      <c r="C481" s="334" t="n"/>
      <c r="D481" s="334" t="n"/>
      <c r="E481" s="334" t="n"/>
      <c r="F481" s="334" t="n"/>
      <c r="G481" s="334" t="n"/>
      <c r="H481" s="334" t="n"/>
      <c r="I481" s="332">
        <f>IFERROR(VLOOKUP(TEXT(H481,"0"),IPRESS!$A$3:$B$212,2,0),"")</f>
        <v/>
      </c>
      <c r="J481" s="334" t="n"/>
      <c r="K481" s="332">
        <f>IFERROR(VLOOKUP(TEXT(O481,"0"),CONDUCTORES!$A$3:$G$54,7,0),"")</f>
        <v/>
      </c>
      <c r="L481" s="334" t="n"/>
      <c r="M481" s="334" t="n"/>
      <c r="N481" s="333">
        <f>IFERROR(IF(L481*M481=0,"",L481*M481),"")</f>
        <v/>
      </c>
      <c r="O481" s="334" t="n"/>
      <c r="P481" s="332">
        <f>IFERROR(VLOOKUP(TEXT(O481,"0"),CONDUCTORES!$A$3:$G$54,2,0),"")</f>
        <v/>
      </c>
      <c r="Q481" s="332">
        <f>IFERROR(VLOOKUP(TEXT(O481,"0"),CONDUCTORES!$A$3:$H$54,6,0),"")</f>
        <v/>
      </c>
      <c r="R481" s="334" t="n"/>
      <c r="S481" s="334" t="n"/>
      <c r="T481" s="334" t="n"/>
      <c r="U481" s="334" t="n"/>
      <c r="V481" s="334" t="n"/>
      <c r="W481" s="334" t="n"/>
      <c r="X481" s="334" t="n"/>
      <c r="Y481" s="334" t="n"/>
    </row>
    <row r="482" ht="15" customHeight="1" s="195">
      <c r="A482" s="280" t="n"/>
      <c r="B482" s="280" t="n"/>
      <c r="C482" s="280" t="n"/>
      <c r="D482" s="280" t="n"/>
      <c r="E482" s="280" t="n"/>
      <c r="F482" s="280" t="n"/>
      <c r="G482" s="280" t="n"/>
      <c r="H482" s="280" t="n"/>
      <c r="I482" s="332">
        <f>IFERROR(VLOOKUP(TEXT(H482,"0"),IPRESS!$A$3:$B$212,2,0),"")</f>
        <v/>
      </c>
      <c r="J482" s="280" t="n"/>
      <c r="K482" s="332">
        <f>IFERROR(VLOOKUP(TEXT(O482,"0"),CONDUCTORES!$A$3:$G$54,7,0),"")</f>
        <v/>
      </c>
      <c r="L482" s="280" t="n"/>
      <c r="M482" s="280" t="n"/>
      <c r="N482" s="333">
        <f>IFERROR(IF(L482*M482=0,"",L482*M482),"")</f>
        <v/>
      </c>
      <c r="O482" s="280" t="n"/>
      <c r="P482" s="332">
        <f>IFERROR(VLOOKUP(TEXT(O482,"0"),CONDUCTORES!$A$3:$G$54,2,0),"")</f>
        <v/>
      </c>
      <c r="Q482" s="332">
        <f>IFERROR(VLOOKUP(TEXT(O482,"0"),CONDUCTORES!$A$3:$H$54,6,0),"")</f>
        <v/>
      </c>
      <c r="R482" s="280" t="n"/>
      <c r="S482" s="280" t="n"/>
      <c r="T482" s="280" t="n"/>
      <c r="U482" s="280" t="n"/>
      <c r="V482" s="280" t="n"/>
      <c r="W482" s="280" t="n"/>
      <c r="X482" s="280" t="n"/>
      <c r="Y482" s="280" t="n"/>
    </row>
    <row r="483" ht="15" customHeight="1" s="195">
      <c r="A483" s="334" t="n"/>
      <c r="B483" s="334" t="n"/>
      <c r="C483" s="334" t="n"/>
      <c r="D483" s="334" t="n"/>
      <c r="E483" s="334" t="n"/>
      <c r="F483" s="334" t="n"/>
      <c r="G483" s="334" t="n"/>
      <c r="H483" s="334" t="n"/>
      <c r="I483" s="332">
        <f>IFERROR(VLOOKUP(TEXT(H483,"0"),IPRESS!$A$3:$B$212,2,0),"")</f>
        <v/>
      </c>
      <c r="J483" s="334" t="n"/>
      <c r="K483" s="332">
        <f>IFERROR(VLOOKUP(TEXT(O483,"0"),CONDUCTORES!$A$3:$G$54,7,0),"")</f>
        <v/>
      </c>
      <c r="L483" s="334" t="n"/>
      <c r="M483" s="334" t="n"/>
      <c r="N483" s="333">
        <f>IFERROR(IF(L483*M483=0,"",L483*M483),"")</f>
        <v/>
      </c>
      <c r="O483" s="334" t="n"/>
      <c r="P483" s="332">
        <f>IFERROR(VLOOKUP(TEXT(O483,"0"),CONDUCTORES!$A$3:$G$54,2,0),"")</f>
        <v/>
      </c>
      <c r="Q483" s="332">
        <f>IFERROR(VLOOKUP(TEXT(O483,"0"),CONDUCTORES!$A$3:$H$54,6,0),"")</f>
        <v/>
      </c>
      <c r="R483" s="334" t="n"/>
      <c r="S483" s="334" t="n"/>
      <c r="T483" s="334" t="n"/>
      <c r="U483" s="334" t="n"/>
      <c r="V483" s="334" t="n"/>
      <c r="W483" s="334" t="n"/>
      <c r="X483" s="334" t="n"/>
      <c r="Y483" s="334" t="n"/>
    </row>
    <row r="484" ht="15" customHeight="1" s="195">
      <c r="A484" s="280" t="n"/>
      <c r="B484" s="280" t="n"/>
      <c r="C484" s="280" t="n"/>
      <c r="D484" s="280" t="n"/>
      <c r="E484" s="280" t="n"/>
      <c r="F484" s="280" t="n"/>
      <c r="G484" s="280" t="n"/>
      <c r="H484" s="280" t="n"/>
      <c r="I484" s="332">
        <f>IFERROR(VLOOKUP(TEXT(H484,"0"),IPRESS!$A$3:$B$212,2,0),"")</f>
        <v/>
      </c>
      <c r="J484" s="280" t="n"/>
      <c r="K484" s="332">
        <f>IFERROR(VLOOKUP(TEXT(O484,"0"),CONDUCTORES!$A$3:$G$54,7,0),"")</f>
        <v/>
      </c>
      <c r="L484" s="280" t="n"/>
      <c r="M484" s="280" t="n"/>
      <c r="N484" s="333">
        <f>IFERROR(IF(L484*M484=0,"",L484*M484),"")</f>
        <v/>
      </c>
      <c r="O484" s="280" t="n"/>
      <c r="P484" s="332">
        <f>IFERROR(VLOOKUP(TEXT(O484,"0"),CONDUCTORES!$A$3:$G$54,2,0),"")</f>
        <v/>
      </c>
      <c r="Q484" s="332">
        <f>IFERROR(VLOOKUP(TEXT(O484,"0"),CONDUCTORES!$A$3:$H$54,6,0),"")</f>
        <v/>
      </c>
      <c r="R484" s="280" t="n"/>
      <c r="S484" s="280" t="n"/>
      <c r="T484" s="280" t="n"/>
      <c r="U484" s="280" t="n"/>
      <c r="V484" s="280" t="n"/>
      <c r="W484" s="280" t="n"/>
      <c r="X484" s="280" t="n"/>
      <c r="Y484" s="280" t="n"/>
    </row>
    <row r="485" ht="15" customHeight="1" s="195">
      <c r="A485" s="334" t="n"/>
      <c r="B485" s="334" t="n"/>
      <c r="C485" s="334" t="n"/>
      <c r="D485" s="334" t="n"/>
      <c r="E485" s="334" t="n"/>
      <c r="F485" s="334" t="n"/>
      <c r="G485" s="334" t="n"/>
      <c r="H485" s="334" t="n"/>
      <c r="I485" s="332">
        <f>IFERROR(VLOOKUP(TEXT(H485,"0"),IPRESS!$A$3:$B$212,2,0),"")</f>
        <v/>
      </c>
      <c r="J485" s="334" t="n"/>
      <c r="K485" s="332">
        <f>IFERROR(VLOOKUP(TEXT(O485,"0"),CONDUCTORES!$A$3:$G$54,7,0),"")</f>
        <v/>
      </c>
      <c r="L485" s="334" t="n"/>
      <c r="M485" s="334" t="n"/>
      <c r="N485" s="333">
        <f>IFERROR(IF(L485*M485=0,"",L485*M485),"")</f>
        <v/>
      </c>
      <c r="O485" s="334" t="n"/>
      <c r="P485" s="332">
        <f>IFERROR(VLOOKUP(TEXT(O485,"0"),CONDUCTORES!$A$3:$G$54,2,0),"")</f>
        <v/>
      </c>
      <c r="Q485" s="332">
        <f>IFERROR(VLOOKUP(TEXT(O485,"0"),CONDUCTORES!$A$3:$H$54,6,0),"")</f>
        <v/>
      </c>
      <c r="R485" s="334" t="n"/>
      <c r="S485" s="334" t="n"/>
      <c r="T485" s="334" t="n"/>
      <c r="U485" s="334" t="n"/>
      <c r="V485" s="334" t="n"/>
      <c r="W485" s="334" t="n"/>
      <c r="X485" s="334" t="n"/>
      <c r="Y485" s="334" t="n"/>
    </row>
    <row r="486" ht="15" customHeight="1" s="195">
      <c r="A486" s="280" t="n"/>
      <c r="B486" s="280" t="n"/>
      <c r="C486" s="280" t="n"/>
      <c r="D486" s="280" t="n"/>
      <c r="E486" s="280" t="n"/>
      <c r="F486" s="280" t="n"/>
      <c r="G486" s="280" t="n"/>
      <c r="H486" s="280" t="n"/>
      <c r="I486" s="332">
        <f>IFERROR(VLOOKUP(TEXT(H486,"0"),IPRESS!$A$3:$B$212,2,0),"")</f>
        <v/>
      </c>
      <c r="J486" s="280" t="n"/>
      <c r="K486" s="332">
        <f>IFERROR(VLOOKUP(TEXT(O486,"0"),CONDUCTORES!$A$3:$G$54,7,0),"")</f>
        <v/>
      </c>
      <c r="L486" s="280" t="n"/>
      <c r="M486" s="280" t="n"/>
      <c r="N486" s="333">
        <f>IFERROR(IF(L486*M486=0,"",L486*M486),"")</f>
        <v/>
      </c>
      <c r="O486" s="280" t="n"/>
      <c r="P486" s="332">
        <f>IFERROR(VLOOKUP(TEXT(O486,"0"),CONDUCTORES!$A$3:$G$54,2,0),"")</f>
        <v/>
      </c>
      <c r="Q486" s="332">
        <f>IFERROR(VLOOKUP(TEXT(O486,"0"),CONDUCTORES!$A$3:$H$54,6,0),"")</f>
        <v/>
      </c>
      <c r="R486" s="280" t="n"/>
      <c r="S486" s="280" t="n"/>
      <c r="T486" s="280" t="n"/>
      <c r="U486" s="280" t="n"/>
      <c r="V486" s="280" t="n"/>
      <c r="W486" s="280" t="n"/>
      <c r="X486" s="280" t="n"/>
      <c r="Y486" s="280" t="n"/>
    </row>
    <row r="487" ht="15" customHeight="1" s="195">
      <c r="A487" s="334" t="n"/>
      <c r="B487" s="334" t="n"/>
      <c r="C487" s="334" t="n"/>
      <c r="D487" s="334" t="n"/>
      <c r="E487" s="334" t="n"/>
      <c r="F487" s="334" t="n"/>
      <c r="G487" s="334" t="n"/>
      <c r="H487" s="334" t="n"/>
      <c r="I487" s="332">
        <f>IFERROR(VLOOKUP(TEXT(H487,"0"),IPRESS!$A$3:$B$212,2,0),"")</f>
        <v/>
      </c>
      <c r="J487" s="334" t="n"/>
      <c r="K487" s="332">
        <f>IFERROR(VLOOKUP(TEXT(O487,"0"),CONDUCTORES!$A$3:$G$54,7,0),"")</f>
        <v/>
      </c>
      <c r="L487" s="334" t="n"/>
      <c r="M487" s="334" t="n"/>
      <c r="N487" s="333">
        <f>IFERROR(IF(L487*M487=0,"",L487*M487),"")</f>
        <v/>
      </c>
      <c r="O487" s="334" t="n"/>
      <c r="P487" s="332">
        <f>IFERROR(VLOOKUP(TEXT(O487,"0"),CONDUCTORES!$A$3:$G$54,2,0),"")</f>
        <v/>
      </c>
      <c r="Q487" s="332">
        <f>IFERROR(VLOOKUP(TEXT(O487,"0"),CONDUCTORES!$A$3:$H$54,6,0),"")</f>
        <v/>
      </c>
      <c r="R487" s="334" t="n"/>
      <c r="S487" s="334" t="n"/>
      <c r="T487" s="334" t="n"/>
      <c r="U487" s="334" t="n"/>
      <c r="V487" s="334" t="n"/>
      <c r="W487" s="334" t="n"/>
      <c r="X487" s="334" t="n"/>
      <c r="Y487" s="334" t="n"/>
    </row>
    <row r="488" ht="15" customHeight="1" s="195">
      <c r="A488" s="280" t="n"/>
      <c r="B488" s="280" t="n"/>
      <c r="C488" s="280" t="n"/>
      <c r="D488" s="280" t="n"/>
      <c r="E488" s="280" t="n"/>
      <c r="F488" s="280" t="n"/>
      <c r="G488" s="280" t="n"/>
      <c r="H488" s="280" t="n"/>
      <c r="I488" s="332">
        <f>IFERROR(VLOOKUP(TEXT(H488,"0"),IPRESS!$A$3:$B$212,2,0),"")</f>
        <v/>
      </c>
      <c r="J488" s="280" t="n"/>
      <c r="K488" s="332">
        <f>IFERROR(VLOOKUP(TEXT(O488,"0"),CONDUCTORES!$A$3:$G$54,7,0),"")</f>
        <v/>
      </c>
      <c r="L488" s="280" t="n"/>
      <c r="M488" s="280" t="n"/>
      <c r="N488" s="333">
        <f>IFERROR(IF(L488*M488=0,"",L488*M488),"")</f>
        <v/>
      </c>
      <c r="O488" s="280" t="n"/>
      <c r="P488" s="332">
        <f>IFERROR(VLOOKUP(TEXT(O488,"0"),CONDUCTORES!$A$3:$G$54,2,0),"")</f>
        <v/>
      </c>
      <c r="Q488" s="332">
        <f>IFERROR(VLOOKUP(TEXT(O488,"0"),CONDUCTORES!$A$3:$H$54,6,0),"")</f>
        <v/>
      </c>
      <c r="R488" s="280" t="n"/>
      <c r="S488" s="280" t="n"/>
      <c r="T488" s="280" t="n"/>
      <c r="U488" s="280" t="n"/>
      <c r="V488" s="280" t="n"/>
      <c r="W488" s="280" t="n"/>
      <c r="X488" s="280" t="n"/>
      <c r="Y488" s="280" t="n"/>
    </row>
    <row r="489" ht="15" customHeight="1" s="195">
      <c r="A489" s="334" t="n"/>
      <c r="B489" s="334" t="n"/>
      <c r="C489" s="334" t="n"/>
      <c r="D489" s="334" t="n"/>
      <c r="E489" s="334" t="n"/>
      <c r="F489" s="334" t="n"/>
      <c r="G489" s="334" t="n"/>
      <c r="H489" s="334" t="n"/>
      <c r="I489" s="332">
        <f>IFERROR(VLOOKUP(TEXT(H489,"0"),IPRESS!$A$3:$B$212,2,0),"")</f>
        <v/>
      </c>
      <c r="J489" s="334" t="n"/>
      <c r="K489" s="332">
        <f>IFERROR(VLOOKUP(TEXT(O489,"0"),CONDUCTORES!$A$3:$G$54,7,0),"")</f>
        <v/>
      </c>
      <c r="L489" s="334" t="n"/>
      <c r="M489" s="334" t="n"/>
      <c r="N489" s="333">
        <f>IFERROR(IF(L489*M489=0,"",L489*M489),"")</f>
        <v/>
      </c>
      <c r="O489" s="334" t="n"/>
      <c r="P489" s="332">
        <f>IFERROR(VLOOKUP(TEXT(O489,"0"),CONDUCTORES!$A$3:$G$54,2,0),"")</f>
        <v/>
      </c>
      <c r="Q489" s="332">
        <f>IFERROR(VLOOKUP(TEXT(O489,"0"),CONDUCTORES!$A$3:$H$54,6,0),"")</f>
        <v/>
      </c>
      <c r="R489" s="334" t="n"/>
      <c r="S489" s="334" t="n"/>
      <c r="T489" s="334" t="n"/>
      <c r="U489" s="334" t="n"/>
      <c r="V489" s="334" t="n"/>
      <c r="W489" s="334" t="n"/>
      <c r="X489" s="334" t="n"/>
      <c r="Y489" s="334" t="n"/>
    </row>
    <row r="490" ht="15" customHeight="1" s="195">
      <c r="A490" s="280" t="n"/>
      <c r="B490" s="280" t="n"/>
      <c r="C490" s="280" t="n"/>
      <c r="D490" s="280" t="n"/>
      <c r="E490" s="280" t="n"/>
      <c r="F490" s="280" t="n"/>
      <c r="G490" s="280" t="n"/>
      <c r="H490" s="280" t="n"/>
      <c r="I490" s="332">
        <f>IFERROR(VLOOKUP(TEXT(H490,"0"),IPRESS!$A$3:$B$212,2,0),"")</f>
        <v/>
      </c>
      <c r="J490" s="280" t="n"/>
      <c r="K490" s="332">
        <f>IFERROR(VLOOKUP(TEXT(O490,"0"),CONDUCTORES!$A$3:$G$54,7,0),"")</f>
        <v/>
      </c>
      <c r="L490" s="280" t="n"/>
      <c r="M490" s="280" t="n"/>
      <c r="N490" s="333">
        <f>IFERROR(IF(L490*M490=0,"",L490*M490),"")</f>
        <v/>
      </c>
      <c r="O490" s="280" t="n"/>
      <c r="P490" s="332">
        <f>IFERROR(VLOOKUP(TEXT(O490,"0"),CONDUCTORES!$A$3:$G$54,2,0),"")</f>
        <v/>
      </c>
      <c r="Q490" s="332">
        <f>IFERROR(VLOOKUP(TEXT(O490,"0"),CONDUCTORES!$A$3:$H$54,6,0),"")</f>
        <v/>
      </c>
      <c r="R490" s="280" t="n"/>
      <c r="S490" s="280" t="n"/>
      <c r="T490" s="280" t="n"/>
      <c r="U490" s="280" t="n"/>
      <c r="V490" s="280" t="n"/>
      <c r="W490" s="280" t="n"/>
      <c r="X490" s="280" t="n"/>
      <c r="Y490" s="280" t="n"/>
    </row>
    <row r="491" ht="15" customHeight="1" s="195">
      <c r="A491" s="334" t="n"/>
      <c r="B491" s="334" t="n"/>
      <c r="C491" s="334" t="n"/>
      <c r="D491" s="334" t="n"/>
      <c r="E491" s="334" t="n"/>
      <c r="F491" s="334" t="n"/>
      <c r="G491" s="334" t="n"/>
      <c r="H491" s="334" t="n"/>
      <c r="I491" s="332">
        <f>IFERROR(VLOOKUP(TEXT(H491,"0"),IPRESS!$A$3:$B$212,2,0),"")</f>
        <v/>
      </c>
      <c r="J491" s="334" t="n"/>
      <c r="K491" s="332">
        <f>IFERROR(VLOOKUP(TEXT(O491,"0"),CONDUCTORES!$A$3:$G$54,7,0),"")</f>
        <v/>
      </c>
      <c r="L491" s="334" t="n"/>
      <c r="M491" s="334" t="n"/>
      <c r="N491" s="333">
        <f>IFERROR(IF(L491*M491=0,"",L491*M491),"")</f>
        <v/>
      </c>
      <c r="O491" s="334" t="n"/>
      <c r="P491" s="332">
        <f>IFERROR(VLOOKUP(TEXT(O491,"0"),CONDUCTORES!$A$3:$G$54,2,0),"")</f>
        <v/>
      </c>
      <c r="Q491" s="332">
        <f>IFERROR(VLOOKUP(TEXT(O491,"0"),CONDUCTORES!$A$3:$H$54,6,0),"")</f>
        <v/>
      </c>
      <c r="R491" s="334" t="n"/>
      <c r="S491" s="334" t="n"/>
      <c r="T491" s="334" t="n"/>
      <c r="U491" s="334" t="n"/>
      <c r="V491" s="334" t="n"/>
      <c r="W491" s="334" t="n"/>
      <c r="X491" s="334" t="n"/>
      <c r="Y491" s="334" t="n"/>
    </row>
    <row r="492" ht="15" customHeight="1" s="195">
      <c r="A492" s="280" t="n"/>
      <c r="B492" s="280" t="n"/>
      <c r="C492" s="280" t="n"/>
      <c r="D492" s="280" t="n"/>
      <c r="E492" s="280" t="n"/>
      <c r="F492" s="280" t="n"/>
      <c r="G492" s="280" t="n"/>
      <c r="H492" s="280" t="n"/>
      <c r="I492" s="332">
        <f>IFERROR(VLOOKUP(TEXT(H492,"0"),IPRESS!$A$3:$B$212,2,0),"")</f>
        <v/>
      </c>
      <c r="J492" s="280" t="n"/>
      <c r="K492" s="332">
        <f>IFERROR(VLOOKUP(TEXT(O492,"0"),CONDUCTORES!$A$3:$G$54,7,0),"")</f>
        <v/>
      </c>
      <c r="L492" s="280" t="n"/>
      <c r="M492" s="280" t="n"/>
      <c r="N492" s="333">
        <f>IFERROR(IF(L492*M492=0,"",L492*M492),"")</f>
        <v/>
      </c>
      <c r="O492" s="280" t="n"/>
      <c r="P492" s="332">
        <f>IFERROR(VLOOKUP(TEXT(O492,"0"),CONDUCTORES!$A$3:$G$54,2,0),"")</f>
        <v/>
      </c>
      <c r="Q492" s="332">
        <f>IFERROR(VLOOKUP(TEXT(O492,"0"),CONDUCTORES!$A$3:$H$54,6,0),"")</f>
        <v/>
      </c>
      <c r="R492" s="280" t="n"/>
      <c r="S492" s="280" t="n"/>
      <c r="T492" s="280" t="n"/>
      <c r="U492" s="280" t="n"/>
      <c r="V492" s="280" t="n"/>
      <c r="W492" s="280" t="n"/>
      <c r="X492" s="280" t="n"/>
      <c r="Y492" s="280" t="n"/>
    </row>
    <row r="493" ht="15" customHeight="1" s="195">
      <c r="A493" s="334" t="n"/>
      <c r="B493" s="334" t="n"/>
      <c r="C493" s="334" t="n"/>
      <c r="D493" s="334" t="n"/>
      <c r="E493" s="334" t="n"/>
      <c r="F493" s="334" t="n"/>
      <c r="G493" s="334" t="n"/>
      <c r="H493" s="334" t="n"/>
      <c r="I493" s="332">
        <f>IFERROR(VLOOKUP(TEXT(H493,"0"),IPRESS!$A$3:$B$212,2,0),"")</f>
        <v/>
      </c>
      <c r="J493" s="334" t="n"/>
      <c r="K493" s="332">
        <f>IFERROR(VLOOKUP(TEXT(O493,"0"),CONDUCTORES!$A$3:$G$54,7,0),"")</f>
        <v/>
      </c>
      <c r="L493" s="334" t="n"/>
      <c r="M493" s="334" t="n"/>
      <c r="N493" s="333">
        <f>IFERROR(IF(L493*M493=0,"",L493*M493),"")</f>
        <v/>
      </c>
      <c r="O493" s="334" t="n"/>
      <c r="P493" s="332">
        <f>IFERROR(VLOOKUP(TEXT(O493,"0"),CONDUCTORES!$A$3:$G$54,2,0),"")</f>
        <v/>
      </c>
      <c r="Q493" s="332">
        <f>IFERROR(VLOOKUP(TEXT(O493,"0"),CONDUCTORES!$A$3:$H$54,6,0),"")</f>
        <v/>
      </c>
      <c r="R493" s="334" t="n"/>
      <c r="S493" s="334" t="n"/>
      <c r="T493" s="334" t="n"/>
      <c r="U493" s="334" t="n"/>
      <c r="V493" s="334" t="n"/>
      <c r="W493" s="334" t="n"/>
      <c r="X493" s="334" t="n"/>
      <c r="Y493" s="334" t="n"/>
    </row>
    <row r="494" ht="15" customHeight="1" s="195">
      <c r="A494" s="280" t="n"/>
      <c r="B494" s="280" t="n"/>
      <c r="C494" s="280" t="n"/>
      <c r="D494" s="280" t="n"/>
      <c r="E494" s="280" t="n"/>
      <c r="F494" s="280" t="n"/>
      <c r="G494" s="280" t="n"/>
      <c r="H494" s="280" t="n"/>
      <c r="I494" s="332">
        <f>IFERROR(VLOOKUP(TEXT(H494,"0"),IPRESS!$A$3:$B$212,2,0),"")</f>
        <v/>
      </c>
      <c r="J494" s="280" t="n"/>
      <c r="K494" s="332">
        <f>IFERROR(VLOOKUP(TEXT(O494,"0"),CONDUCTORES!$A$3:$G$54,7,0),"")</f>
        <v/>
      </c>
      <c r="L494" s="280" t="n"/>
      <c r="M494" s="280" t="n"/>
      <c r="N494" s="333">
        <f>IFERROR(IF(L494*M494=0,"",L494*M494),"")</f>
        <v/>
      </c>
      <c r="O494" s="280" t="n"/>
      <c r="P494" s="332">
        <f>IFERROR(VLOOKUP(TEXT(O494,"0"),CONDUCTORES!$A$3:$G$54,2,0),"")</f>
        <v/>
      </c>
      <c r="Q494" s="332">
        <f>IFERROR(VLOOKUP(TEXT(O494,"0"),CONDUCTORES!$A$3:$H$54,6,0),"")</f>
        <v/>
      </c>
      <c r="R494" s="280" t="n"/>
      <c r="S494" s="280" t="n"/>
      <c r="T494" s="280" t="n"/>
      <c r="U494" s="280" t="n"/>
      <c r="V494" s="280" t="n"/>
      <c r="W494" s="280" t="n"/>
      <c r="X494" s="280" t="n"/>
      <c r="Y494" s="280" t="n"/>
    </row>
    <row r="495" ht="15" customHeight="1" s="195">
      <c r="A495" s="334" t="n"/>
      <c r="B495" s="334" t="n"/>
      <c r="C495" s="334" t="n"/>
      <c r="D495" s="334" t="n"/>
      <c r="E495" s="334" t="n"/>
      <c r="F495" s="334" t="n"/>
      <c r="G495" s="334" t="n"/>
      <c r="H495" s="334" t="n"/>
      <c r="I495" s="332">
        <f>IFERROR(VLOOKUP(TEXT(H495,"0"),IPRESS!$A$3:$B$212,2,0),"")</f>
        <v/>
      </c>
      <c r="J495" s="334" t="n"/>
      <c r="K495" s="332">
        <f>IFERROR(VLOOKUP(TEXT(O495,"0"),CONDUCTORES!$A$3:$G$54,7,0),"")</f>
        <v/>
      </c>
      <c r="L495" s="334" t="n"/>
      <c r="M495" s="334" t="n"/>
      <c r="N495" s="333">
        <f>IFERROR(IF(L495*M495=0,"",L495*M495),"")</f>
        <v/>
      </c>
      <c r="O495" s="334" t="n"/>
      <c r="P495" s="332">
        <f>IFERROR(VLOOKUP(TEXT(O495,"0"),CONDUCTORES!$A$3:$G$54,2,0),"")</f>
        <v/>
      </c>
      <c r="Q495" s="332">
        <f>IFERROR(VLOOKUP(TEXT(O495,"0"),CONDUCTORES!$A$3:$H$54,6,0),"")</f>
        <v/>
      </c>
      <c r="R495" s="334" t="n"/>
      <c r="S495" s="334" t="n"/>
      <c r="T495" s="334" t="n"/>
      <c r="U495" s="334" t="n"/>
      <c r="V495" s="334" t="n"/>
      <c r="W495" s="334" t="n"/>
      <c r="X495" s="334" t="n"/>
      <c r="Y495" s="334" t="n"/>
    </row>
    <row r="496" ht="15" customHeight="1" s="195">
      <c r="A496" s="280" t="n"/>
      <c r="B496" s="280" t="n"/>
      <c r="C496" s="280" t="n"/>
      <c r="D496" s="280" t="n"/>
      <c r="E496" s="280" t="n"/>
      <c r="F496" s="280" t="n"/>
      <c r="G496" s="280" t="n"/>
      <c r="H496" s="280" t="n"/>
      <c r="I496" s="332">
        <f>IFERROR(VLOOKUP(TEXT(H496,"0"),IPRESS!$A$3:$B$212,2,0),"")</f>
        <v/>
      </c>
      <c r="J496" s="280" t="n"/>
      <c r="K496" s="332">
        <f>IFERROR(VLOOKUP(TEXT(O496,"0"),CONDUCTORES!$A$3:$G$54,7,0),"")</f>
        <v/>
      </c>
      <c r="L496" s="280" t="n"/>
      <c r="M496" s="280" t="n"/>
      <c r="N496" s="333">
        <f>IFERROR(IF(L496*M496=0,"",L496*M496),"")</f>
        <v/>
      </c>
      <c r="O496" s="280" t="n"/>
      <c r="P496" s="332">
        <f>IFERROR(VLOOKUP(TEXT(O496,"0"),CONDUCTORES!$A$3:$G$54,2,0),"")</f>
        <v/>
      </c>
      <c r="Q496" s="332">
        <f>IFERROR(VLOOKUP(TEXT(O496,"0"),CONDUCTORES!$A$3:$H$54,6,0),"")</f>
        <v/>
      </c>
      <c r="R496" s="280" t="n"/>
      <c r="S496" s="280" t="n"/>
      <c r="T496" s="280" t="n"/>
      <c r="U496" s="280" t="n"/>
      <c r="V496" s="280" t="n"/>
      <c r="W496" s="280" t="n"/>
      <c r="X496" s="280" t="n"/>
      <c r="Y496" s="280" t="n"/>
    </row>
    <row r="497" ht="15" customHeight="1" s="195">
      <c r="A497" s="334" t="n"/>
      <c r="B497" s="334" t="n"/>
      <c r="C497" s="334" t="n"/>
      <c r="D497" s="334" t="n"/>
      <c r="E497" s="334" t="n"/>
      <c r="F497" s="334" t="n"/>
      <c r="G497" s="334" t="n"/>
      <c r="H497" s="334" t="n"/>
      <c r="I497" s="332">
        <f>IFERROR(VLOOKUP(TEXT(H497,"0"),IPRESS!$A$3:$B$212,2,0),"")</f>
        <v/>
      </c>
      <c r="J497" s="334" t="n"/>
      <c r="K497" s="332">
        <f>IFERROR(VLOOKUP(TEXT(O497,"0"),CONDUCTORES!$A$3:$G$54,7,0),"")</f>
        <v/>
      </c>
      <c r="L497" s="334" t="n"/>
      <c r="M497" s="334" t="n"/>
      <c r="N497" s="333">
        <f>IFERROR(IF(L497*M497=0,"",L497*M497),"")</f>
        <v/>
      </c>
      <c r="O497" s="334" t="n"/>
      <c r="P497" s="332">
        <f>IFERROR(VLOOKUP(TEXT(O497,"0"),CONDUCTORES!$A$3:$G$54,2,0),"")</f>
        <v/>
      </c>
      <c r="Q497" s="332">
        <f>IFERROR(VLOOKUP(TEXT(O497,"0"),CONDUCTORES!$A$3:$H$54,6,0),"")</f>
        <v/>
      </c>
      <c r="R497" s="334" t="n"/>
      <c r="S497" s="334" t="n"/>
      <c r="T497" s="334" t="n"/>
      <c r="U497" s="334" t="n"/>
      <c r="V497" s="334" t="n"/>
      <c r="W497" s="334" t="n"/>
      <c r="X497" s="334" t="n"/>
      <c r="Y497" s="334" t="n"/>
    </row>
    <row r="498" ht="15" customHeight="1" s="195">
      <c r="A498" s="280" t="n"/>
      <c r="B498" s="280" t="n"/>
      <c r="C498" s="280" t="n"/>
      <c r="D498" s="280" t="n"/>
      <c r="E498" s="280" t="n"/>
      <c r="F498" s="280" t="n"/>
      <c r="G498" s="280" t="n"/>
      <c r="H498" s="280" t="n"/>
      <c r="I498" s="332">
        <f>IFERROR(VLOOKUP(TEXT(H498,"0"),IPRESS!$A$3:$B$212,2,0),"")</f>
        <v/>
      </c>
      <c r="J498" s="280" t="n"/>
      <c r="K498" s="332">
        <f>IFERROR(VLOOKUP(TEXT(O498,"0"),CONDUCTORES!$A$3:$G$54,7,0),"")</f>
        <v/>
      </c>
      <c r="L498" s="280" t="n"/>
      <c r="M498" s="280" t="n"/>
      <c r="N498" s="333">
        <f>IFERROR(IF(L498*M498=0,"",L498*M498),"")</f>
        <v/>
      </c>
      <c r="O498" s="280" t="n"/>
      <c r="P498" s="332">
        <f>IFERROR(VLOOKUP(TEXT(O498,"0"),CONDUCTORES!$A$3:$G$54,2,0),"")</f>
        <v/>
      </c>
      <c r="Q498" s="332">
        <f>IFERROR(VLOOKUP(TEXT(O498,"0"),CONDUCTORES!$A$3:$H$54,6,0),"")</f>
        <v/>
      </c>
      <c r="R498" s="280" t="n"/>
      <c r="S498" s="280" t="n"/>
      <c r="T498" s="280" t="n"/>
      <c r="U498" s="280" t="n"/>
      <c r="V498" s="280" t="n"/>
      <c r="W498" s="280" t="n"/>
      <c r="X498" s="280" t="n"/>
      <c r="Y498" s="280" t="n"/>
    </row>
    <row r="499" ht="15" customHeight="1" s="195">
      <c r="A499" s="334" t="n"/>
      <c r="B499" s="334" t="n"/>
      <c r="C499" s="334" t="n"/>
      <c r="D499" s="334" t="n"/>
      <c r="E499" s="334" t="n"/>
      <c r="F499" s="334" t="n"/>
      <c r="G499" s="334" t="n"/>
      <c r="H499" s="334" t="n"/>
      <c r="I499" s="332">
        <f>IFERROR(VLOOKUP(TEXT(H499,"0"),IPRESS!$A$3:$B$212,2,0),"")</f>
        <v/>
      </c>
      <c r="J499" s="334" t="n"/>
      <c r="K499" s="332">
        <f>IFERROR(VLOOKUP(TEXT(O499,"0"),CONDUCTORES!$A$3:$G$54,7,0),"")</f>
        <v/>
      </c>
      <c r="L499" s="334" t="n"/>
      <c r="M499" s="334" t="n"/>
      <c r="N499" s="333">
        <f>IFERROR(IF(L499*M499=0,"",L499*M499),"")</f>
        <v/>
      </c>
      <c r="O499" s="334" t="n"/>
      <c r="P499" s="332">
        <f>IFERROR(VLOOKUP(TEXT(O499,"0"),CONDUCTORES!$A$3:$G$54,2,0),"")</f>
        <v/>
      </c>
      <c r="Q499" s="332">
        <f>IFERROR(VLOOKUP(TEXT(O499,"0"),CONDUCTORES!$A$3:$H$54,6,0),"")</f>
        <v/>
      </c>
      <c r="R499" s="334" t="n"/>
      <c r="S499" s="334" t="n"/>
      <c r="T499" s="334" t="n"/>
      <c r="U499" s="334" t="n"/>
      <c r="V499" s="334" t="n"/>
      <c r="W499" s="334" t="n"/>
      <c r="X499" s="334" t="n"/>
      <c r="Y499" s="334" t="n"/>
    </row>
    <row r="500" ht="15" customHeight="1" s="195">
      <c r="A500" s="280" t="n"/>
      <c r="B500" s="280" t="n"/>
      <c r="C500" s="280" t="n"/>
      <c r="D500" s="280" t="n"/>
      <c r="E500" s="280" t="n"/>
      <c r="F500" s="280" t="n"/>
      <c r="G500" s="280" t="n"/>
      <c r="H500" s="280" t="n"/>
      <c r="I500" s="332">
        <f>IFERROR(VLOOKUP(TEXT(H500,"0"),IPRESS!$A$3:$B$212,2,0),"")</f>
        <v/>
      </c>
      <c r="J500" s="280" t="n"/>
      <c r="K500" s="332">
        <f>IFERROR(VLOOKUP(TEXT(O500,"0"),CONDUCTORES!$A$3:$G$54,7,0),"")</f>
        <v/>
      </c>
      <c r="L500" s="280" t="n"/>
      <c r="M500" s="280" t="n"/>
      <c r="N500" s="333">
        <f>IFERROR(IF(L500*M500=0,"",L500*M500),"")</f>
        <v/>
      </c>
      <c r="O500" s="280" t="n"/>
      <c r="P500" s="332">
        <f>IFERROR(VLOOKUP(TEXT(O500,"0"),CONDUCTORES!$A$3:$G$54,2,0),"")</f>
        <v/>
      </c>
      <c r="Q500" s="332">
        <f>IFERROR(VLOOKUP(TEXT(O500,"0"),CONDUCTORES!$A$3:$H$54,6,0),"")</f>
        <v/>
      </c>
      <c r="R500" s="280" t="n"/>
      <c r="S500" s="280" t="n"/>
      <c r="T500" s="280" t="n"/>
      <c r="U500" s="280" t="n"/>
      <c r="V500" s="280" t="n"/>
      <c r="W500" s="280" t="n"/>
      <c r="X500" s="280" t="n"/>
      <c r="Y500" s="280" t="n"/>
    </row>
    <row r="501" ht="15" customHeight="1" s="195">
      <c r="A501" s="334" t="n"/>
      <c r="B501" s="334" t="n"/>
      <c r="C501" s="334" t="n"/>
      <c r="D501" s="334" t="n"/>
      <c r="E501" s="334" t="n"/>
      <c r="F501" s="334" t="n"/>
      <c r="G501" s="334" t="n"/>
      <c r="H501" s="334" t="n"/>
      <c r="I501" s="332">
        <f>IFERROR(VLOOKUP(TEXT(H501,"0"),IPRESS!$A$3:$B$212,2,0),"")</f>
        <v/>
      </c>
      <c r="J501" s="334" t="n"/>
      <c r="K501" s="332">
        <f>IFERROR(VLOOKUP(TEXT(O501,"0"),CONDUCTORES!$A$3:$G$54,7,0),"")</f>
        <v/>
      </c>
      <c r="L501" s="334" t="n"/>
      <c r="M501" s="334" t="n"/>
      <c r="N501" s="333">
        <f>IFERROR(IF(L501*M501=0,"",L501*M501),"")</f>
        <v/>
      </c>
      <c r="O501" s="334" t="n"/>
      <c r="P501" s="332">
        <f>IFERROR(VLOOKUP(TEXT(O501,"0"),CONDUCTORES!$A$3:$G$54,2,0),"")</f>
        <v/>
      </c>
      <c r="Q501" s="332">
        <f>IFERROR(VLOOKUP(TEXT(O501,"0"),CONDUCTORES!$A$3:$H$54,6,0),"")</f>
        <v/>
      </c>
      <c r="R501" s="334" t="n"/>
      <c r="S501" s="334" t="n"/>
      <c r="T501" s="334" t="n"/>
      <c r="U501" s="334" t="n"/>
      <c r="V501" s="334" t="n"/>
      <c r="W501" s="334" t="n"/>
      <c r="X501" s="334" t="n"/>
      <c r="Y501" s="334" t="n"/>
    </row>
    <row r="502" ht="15" customHeight="1" s="195">
      <c r="A502" s="280" t="n"/>
      <c r="B502" s="280" t="n"/>
      <c r="C502" s="280" t="n"/>
      <c r="D502" s="280" t="n"/>
      <c r="E502" s="280" t="n"/>
      <c r="F502" s="280" t="n"/>
      <c r="G502" s="280" t="n"/>
      <c r="H502" s="280" t="n"/>
      <c r="I502" s="332">
        <f>IFERROR(VLOOKUP(TEXT(H502,"0"),IPRESS!$A$3:$B$212,2,0),"")</f>
        <v/>
      </c>
      <c r="J502" s="280" t="n"/>
      <c r="K502" s="332">
        <f>IFERROR(VLOOKUP(TEXT(O502,"0"),CONDUCTORES!$A$3:$G$54,7,0),"")</f>
        <v/>
      </c>
      <c r="L502" s="280" t="n"/>
      <c r="M502" s="280" t="n"/>
      <c r="N502" s="333">
        <f>IFERROR(IF(L502*M502=0,"",L502*M502),"")</f>
        <v/>
      </c>
      <c r="O502" s="280" t="n"/>
      <c r="P502" s="332">
        <f>IFERROR(VLOOKUP(TEXT(O502,"0"),CONDUCTORES!$A$3:$G$54,2,0),"")</f>
        <v/>
      </c>
      <c r="Q502" s="332">
        <f>IFERROR(VLOOKUP(TEXT(O502,"0"),CONDUCTORES!$A$3:$H$54,6,0),"")</f>
        <v/>
      </c>
      <c r="R502" s="280" t="n"/>
      <c r="S502" s="280" t="n"/>
      <c r="T502" s="280" t="n"/>
      <c r="U502" s="280" t="n"/>
      <c r="V502" s="280" t="n"/>
      <c r="W502" s="280" t="n"/>
      <c r="X502" s="280" t="n"/>
      <c r="Y502" s="280" t="n"/>
    </row>
    <row r="503" ht="15" customHeight="1" s="195">
      <c r="A503" s="334" t="n"/>
      <c r="B503" s="334" t="n"/>
      <c r="C503" s="334" t="n"/>
      <c r="D503" s="334" t="n"/>
      <c r="E503" s="334" t="n"/>
      <c r="F503" s="334" t="n"/>
      <c r="G503" s="334" t="n"/>
      <c r="H503" s="334" t="n"/>
      <c r="I503" s="332">
        <f>IFERROR(VLOOKUP(TEXT(H503,"0"),IPRESS!$A$3:$B$212,2,0),"")</f>
        <v/>
      </c>
      <c r="J503" s="334" t="n"/>
      <c r="K503" s="332">
        <f>IFERROR(VLOOKUP(TEXT(O503,"0"),CONDUCTORES!$A$3:$G$54,7,0),"")</f>
        <v/>
      </c>
      <c r="L503" s="334" t="n"/>
      <c r="M503" s="334" t="n"/>
      <c r="N503" s="333">
        <f>IFERROR(IF(L503*M503=0,"",L503*M503),"")</f>
        <v/>
      </c>
      <c r="O503" s="334" t="n"/>
      <c r="P503" s="332">
        <f>IFERROR(VLOOKUP(TEXT(O503,"0"),CONDUCTORES!$A$3:$G$54,2,0),"")</f>
        <v/>
      </c>
      <c r="Q503" s="332">
        <f>IFERROR(VLOOKUP(TEXT(O503,"0"),CONDUCTORES!$A$3:$H$54,6,0),"")</f>
        <v/>
      </c>
      <c r="R503" s="334" t="n"/>
      <c r="S503" s="334" t="n"/>
      <c r="T503" s="334" t="n"/>
      <c r="U503" s="334" t="n"/>
      <c r="V503" s="334" t="n"/>
      <c r="W503" s="334" t="n"/>
      <c r="X503" s="334" t="n"/>
      <c r="Y503" s="334" t="n"/>
    </row>
    <row r="504" ht="15" customHeight="1" s="195">
      <c r="A504" s="280" t="n"/>
      <c r="B504" s="280" t="n"/>
      <c r="C504" s="280" t="n"/>
      <c r="D504" s="280" t="n"/>
      <c r="E504" s="280" t="n"/>
      <c r="F504" s="280" t="n"/>
      <c r="G504" s="280" t="n"/>
      <c r="H504" s="280" t="n"/>
      <c r="I504" s="332">
        <f>IFERROR(VLOOKUP(TEXT(H504,"0"),IPRESS!$A$3:$B$212,2,0),"")</f>
        <v/>
      </c>
      <c r="J504" s="280" t="n"/>
      <c r="K504" s="332">
        <f>IFERROR(VLOOKUP(TEXT(O504,"0"),CONDUCTORES!$A$3:$G$54,7,0),"")</f>
        <v/>
      </c>
      <c r="L504" s="280" t="n"/>
      <c r="M504" s="280" t="n"/>
      <c r="N504" s="333">
        <f>IFERROR(IF(L504*M504=0,"",L504*M504),"")</f>
        <v/>
      </c>
      <c r="O504" s="280" t="n"/>
      <c r="P504" s="332">
        <f>IFERROR(VLOOKUP(TEXT(O504,"0"),CONDUCTORES!$A$3:$G$54,2,0),"")</f>
        <v/>
      </c>
      <c r="Q504" s="332">
        <f>IFERROR(VLOOKUP(TEXT(O504,"0"),CONDUCTORES!$A$3:$H$54,6,0),"")</f>
        <v/>
      </c>
      <c r="R504" s="280" t="n"/>
      <c r="S504" s="280" t="n"/>
      <c r="T504" s="280" t="n"/>
      <c r="U504" s="280" t="n"/>
      <c r="V504" s="280" t="n"/>
      <c r="W504" s="280" t="n"/>
      <c r="X504" s="280" t="n"/>
      <c r="Y504" s="280" t="n"/>
    </row>
    <row r="505" ht="15" customHeight="1" s="195">
      <c r="A505" s="334" t="n"/>
      <c r="B505" s="334" t="n"/>
      <c r="C505" s="334" t="n"/>
      <c r="D505" s="334" t="n"/>
      <c r="E505" s="334" t="n"/>
      <c r="F505" s="334" t="n"/>
      <c r="G505" s="334" t="n"/>
      <c r="H505" s="334" t="n"/>
      <c r="I505" s="332">
        <f>IFERROR(VLOOKUP(TEXT(H505,"0"),IPRESS!$A$3:$B$212,2,0),"")</f>
        <v/>
      </c>
      <c r="J505" s="334" t="n"/>
      <c r="K505" s="332">
        <f>IFERROR(VLOOKUP(TEXT(O505,"0"),CONDUCTORES!$A$3:$G$54,7,0),"")</f>
        <v/>
      </c>
      <c r="L505" s="334" t="n"/>
      <c r="M505" s="334" t="n"/>
      <c r="N505" s="333">
        <f>IFERROR(IF(L505*M505=0,"",L505*M505),"")</f>
        <v/>
      </c>
      <c r="O505" s="334" t="n"/>
      <c r="P505" s="332">
        <f>IFERROR(VLOOKUP(TEXT(O505,"0"),CONDUCTORES!$A$3:$G$54,2,0),"")</f>
        <v/>
      </c>
      <c r="Q505" s="332">
        <f>IFERROR(VLOOKUP(TEXT(O505,"0"),CONDUCTORES!$A$3:$H$54,6,0),"")</f>
        <v/>
      </c>
      <c r="R505" s="334" t="n"/>
      <c r="S505" s="334" t="n"/>
      <c r="T505" s="334" t="n"/>
      <c r="U505" s="334" t="n"/>
      <c r="V505" s="334" t="n"/>
      <c r="W505" s="334" t="n"/>
      <c r="X505" s="334" t="n"/>
      <c r="Y505" s="334" t="n"/>
    </row>
    <row r="506" ht="21.75" customHeight="1" s="195">
      <c r="A506" s="346" t="inlineStr">
        <is>
          <t>TOTALES DEL MES</t>
        </is>
      </c>
      <c r="M506" s="320">
        <f>SUM(M6:M505)</f>
        <v/>
      </c>
      <c r="N506" s="320">
        <f>SUM(N6:N505)</f>
        <v/>
      </c>
    </row>
    <row r="507" ht="15.75" customHeight="1" s="195"/>
    <row r="508" ht="15.75" customHeight="1" s="195"/>
    <row r="509" ht="15.75" customHeight="1" s="195"/>
    <row r="510" ht="15.75" customHeight="1" s="195"/>
    <row r="511" ht="15.75" customHeight="1" s="195"/>
    <row r="512" ht="15.75" customHeight="1" s="195"/>
    <row r="513" ht="15.75" customHeight="1" s="195"/>
    <row r="514" ht="15.75" customHeight="1" s="195"/>
    <row r="515" ht="15.75" customHeight="1" s="195"/>
    <row r="516" ht="15.75" customHeight="1" s="195"/>
    <row r="517" ht="15.75" customHeight="1" s="195"/>
    <row r="518" ht="15.75" customHeight="1" s="195"/>
    <row r="519" ht="15.75" customHeight="1" s="195"/>
    <row r="520" ht="15.75" customHeight="1" s="195"/>
    <row r="521" ht="15.75" customHeight="1" s="195"/>
    <row r="522" ht="15.75" customHeight="1" s="195"/>
    <row r="523" ht="15.75" customHeight="1" s="195"/>
    <row r="524" ht="15.75" customHeight="1" s="195"/>
    <row r="525" ht="15.75" customHeight="1" s="195"/>
    <row r="526" ht="15.75" customHeight="1" s="195"/>
    <row r="527" ht="15.75" customHeight="1" s="195"/>
    <row r="528" ht="15.75" customHeight="1" s="195"/>
    <row r="529" ht="15.75" customHeight="1" s="195"/>
    <row r="530" ht="15.75" customHeight="1" s="195"/>
    <row r="531" ht="15.75" customHeight="1" s="195"/>
    <row r="532" ht="15.75" customHeight="1" s="195"/>
    <row r="533" ht="15.75" customHeight="1" s="195"/>
    <row r="534" ht="15.75" customHeight="1" s="195"/>
    <row r="535" ht="15.75" customHeight="1" s="195"/>
    <row r="536" ht="15.75" customHeight="1" s="195"/>
    <row r="537" ht="15.75" customHeight="1" s="195"/>
    <row r="538" ht="15.75" customHeight="1" s="195"/>
    <row r="539" ht="15.75" customHeight="1" s="195"/>
    <row r="540" ht="15.75" customHeight="1" s="195"/>
    <row r="541" ht="15.75" customHeight="1" s="195"/>
    <row r="542" ht="15.75" customHeight="1" s="195"/>
    <row r="543" ht="15.75" customHeight="1" s="195"/>
    <row r="544" ht="15.75" customHeight="1" s="195"/>
    <row r="545" ht="15.75" customHeight="1" s="195"/>
    <row r="546" ht="15.75" customHeight="1" s="195"/>
    <row r="547" ht="15.75" customHeight="1" s="195"/>
    <row r="548" ht="15.75" customHeight="1" s="195"/>
    <row r="549" ht="15.75" customHeight="1" s="195"/>
    <row r="550" ht="15.75" customHeight="1" s="195"/>
    <row r="551" ht="15.75" customHeight="1" s="195"/>
    <row r="552" ht="15.75" customHeight="1" s="195"/>
    <row r="553" ht="15.75" customHeight="1" s="195"/>
    <row r="554" ht="15.75" customHeight="1" s="195"/>
    <row r="555" ht="15.75" customHeight="1" s="195"/>
    <row r="556" ht="15.75" customHeight="1" s="195"/>
    <row r="557" ht="15.75" customHeight="1" s="195"/>
    <row r="558" ht="15.75" customHeight="1" s="195"/>
    <row r="559" ht="15.75" customHeight="1" s="195"/>
    <row r="560" ht="15.75" customHeight="1" s="195"/>
    <row r="561" ht="15.75" customHeight="1" s="195"/>
    <row r="562" ht="15.75" customHeight="1" s="195"/>
    <row r="563" ht="15.75" customHeight="1" s="195"/>
    <row r="564" ht="15.75" customHeight="1" s="195"/>
    <row r="565" ht="15.75" customHeight="1" s="195"/>
    <row r="566" ht="15.75" customHeight="1" s="195"/>
    <row r="567" ht="15.75" customHeight="1" s="195"/>
    <row r="568" ht="15.75" customHeight="1" s="195"/>
    <row r="569" ht="15.75" customHeight="1" s="195"/>
    <row r="570" ht="15.75" customHeight="1" s="195"/>
    <row r="571" ht="15.75" customHeight="1" s="195"/>
    <row r="572" ht="15.75" customHeight="1" s="195"/>
    <row r="573" ht="15.75" customHeight="1" s="195"/>
    <row r="574" ht="15.75" customHeight="1" s="195"/>
    <row r="575" ht="15.75" customHeight="1" s="195"/>
    <row r="576" ht="15.75" customHeight="1" s="195"/>
    <row r="577" ht="15.75" customHeight="1" s="195"/>
    <row r="578" ht="15.75" customHeight="1" s="195"/>
    <row r="579" ht="15.75" customHeight="1" s="195"/>
    <row r="580" ht="15.75" customHeight="1" s="195"/>
    <row r="581" ht="15.75" customHeight="1" s="195"/>
    <row r="582" ht="15.75" customHeight="1" s="195"/>
    <row r="583" ht="15.75" customHeight="1" s="195"/>
    <row r="584" ht="15.75" customHeight="1" s="195"/>
    <row r="585" ht="15.75" customHeight="1" s="195"/>
    <row r="586" ht="15.75" customHeight="1" s="195"/>
    <row r="587" ht="15.75" customHeight="1" s="195"/>
    <row r="588" ht="15.75" customHeight="1" s="195"/>
    <row r="589" ht="15.75" customHeight="1" s="195"/>
    <row r="590" ht="15.75" customHeight="1" s="195"/>
    <row r="591" ht="15.75" customHeight="1" s="195"/>
    <row r="592" ht="15.75" customHeight="1" s="195"/>
    <row r="593" ht="15.75" customHeight="1" s="195"/>
    <row r="594" ht="15.75" customHeight="1" s="195"/>
    <row r="595" ht="15.75" customHeight="1" s="195"/>
    <row r="596" ht="15.75" customHeight="1" s="195"/>
    <row r="597" ht="15.75" customHeight="1" s="195"/>
    <row r="598" ht="15.75" customHeight="1" s="195"/>
    <row r="599" ht="15.75" customHeight="1" s="195"/>
    <row r="600" ht="15.75" customHeight="1" s="195"/>
    <row r="601" ht="15.75" customHeight="1" s="195"/>
    <row r="602" ht="15.75" customHeight="1" s="195"/>
    <row r="603" ht="15.75" customHeight="1" s="195"/>
    <row r="604" ht="15.75" customHeight="1" s="195"/>
    <row r="605" ht="15.75" customHeight="1" s="195"/>
    <row r="606" ht="15.75" customHeight="1" s="195"/>
    <row r="607" ht="15.75" customHeight="1" s="195"/>
    <row r="608" ht="15.75" customHeight="1" s="195"/>
    <row r="609" ht="15.75" customHeight="1" s="195"/>
    <row r="610" ht="15.75" customHeight="1" s="195"/>
    <row r="611" ht="15.75" customHeight="1" s="195"/>
    <row r="612" ht="15.75" customHeight="1" s="195"/>
    <row r="613" ht="15.75" customHeight="1" s="195"/>
    <row r="614" ht="15.75" customHeight="1" s="195"/>
    <row r="615" ht="15.75" customHeight="1" s="195"/>
    <row r="616" ht="15.75" customHeight="1" s="195"/>
    <row r="617" ht="15.75" customHeight="1" s="195"/>
    <row r="618" ht="15.75" customHeight="1" s="195"/>
    <row r="619" ht="15.75" customHeight="1" s="195"/>
    <row r="620" ht="15.75" customHeight="1" s="195"/>
    <row r="621" ht="15.75" customHeight="1" s="195"/>
    <row r="622" ht="15.75" customHeight="1" s="195"/>
    <row r="623" ht="15.75" customHeight="1" s="195"/>
    <row r="624" ht="15.75" customHeight="1" s="195"/>
    <row r="625" ht="15.75" customHeight="1" s="195"/>
    <row r="626" ht="15.75" customHeight="1" s="195"/>
    <row r="627" ht="15.75" customHeight="1" s="195"/>
    <row r="628" ht="15.75" customHeight="1" s="195"/>
    <row r="629" ht="15.75" customHeight="1" s="195"/>
    <row r="630" ht="15.75" customHeight="1" s="195"/>
    <row r="631" ht="15.75" customHeight="1" s="195"/>
    <row r="632" ht="15.75" customHeight="1" s="195"/>
    <row r="633" ht="15.75" customHeight="1" s="195"/>
    <row r="634" ht="15.75" customHeight="1" s="195"/>
    <row r="635" ht="15.75" customHeight="1" s="195"/>
    <row r="636" ht="15.75" customHeight="1" s="195"/>
    <row r="637" ht="15.75" customHeight="1" s="195"/>
    <row r="638" ht="15.75" customHeight="1" s="195"/>
    <row r="639" ht="15.75" customHeight="1" s="195"/>
    <row r="640" ht="15.75" customHeight="1" s="195"/>
    <row r="641" ht="15.75" customHeight="1" s="195"/>
    <row r="642" ht="15.75" customHeight="1" s="195"/>
    <row r="643" ht="15.75" customHeight="1" s="195"/>
    <row r="644" ht="15.75" customHeight="1" s="195"/>
    <row r="645" ht="15.75" customHeight="1" s="195"/>
    <row r="646" ht="15.75" customHeight="1" s="195"/>
    <row r="647" ht="15.75" customHeight="1" s="195"/>
    <row r="648" ht="15.75" customHeight="1" s="195"/>
    <row r="649" ht="15.75" customHeight="1" s="195"/>
    <row r="650" ht="15.75" customHeight="1" s="195"/>
    <row r="651" ht="15.75" customHeight="1" s="195"/>
    <row r="652" ht="15.75" customHeight="1" s="195"/>
    <row r="653" ht="15.75" customHeight="1" s="195"/>
    <row r="654" ht="15.75" customHeight="1" s="195"/>
    <row r="655" ht="15.75" customHeight="1" s="195"/>
    <row r="656" ht="15.75" customHeight="1" s="195"/>
    <row r="657" ht="15.75" customHeight="1" s="195"/>
    <row r="658" ht="15.75" customHeight="1" s="195"/>
    <row r="659" ht="15.75" customHeight="1" s="195"/>
    <row r="660" ht="15.75" customHeight="1" s="195"/>
    <row r="661" ht="15.75" customHeight="1" s="195"/>
    <row r="662" ht="15.75" customHeight="1" s="195"/>
    <row r="663" ht="15.75" customHeight="1" s="195"/>
    <row r="664" ht="15.75" customHeight="1" s="195"/>
    <row r="665" ht="15.75" customHeight="1" s="195"/>
    <row r="666" ht="15.75" customHeight="1" s="195"/>
    <row r="667" ht="15.75" customHeight="1" s="195"/>
    <row r="668" ht="15.75" customHeight="1" s="195"/>
    <row r="669" ht="15.75" customHeight="1" s="195"/>
    <row r="670" ht="15.75" customHeight="1" s="195"/>
    <row r="671" ht="15.75" customHeight="1" s="195"/>
    <row r="672" ht="15.75" customHeight="1" s="195"/>
    <row r="673" ht="15.75" customHeight="1" s="195"/>
    <row r="674" ht="15.75" customHeight="1" s="195"/>
    <row r="675" ht="15.75" customHeight="1" s="195"/>
    <row r="676" ht="15.75" customHeight="1" s="195"/>
    <row r="677" ht="15.75" customHeight="1" s="195"/>
    <row r="678" ht="15.75" customHeight="1" s="195"/>
    <row r="679" ht="15.75" customHeight="1" s="195"/>
    <row r="680" ht="15.75" customHeight="1" s="195"/>
    <row r="681" ht="15.75" customHeight="1" s="195"/>
    <row r="682" ht="15.75" customHeight="1" s="195"/>
    <row r="683" ht="15.75" customHeight="1" s="195"/>
    <row r="684" ht="15.75" customHeight="1" s="195"/>
    <row r="685" ht="15.75" customHeight="1" s="195"/>
    <row r="686" ht="15.75" customHeight="1" s="195"/>
    <row r="687" ht="15.75" customHeight="1" s="195"/>
    <row r="688" ht="15.75" customHeight="1" s="195"/>
    <row r="689" ht="15.75" customHeight="1" s="195"/>
    <row r="690" ht="15.75" customHeight="1" s="195"/>
    <row r="691" ht="15.75" customHeight="1" s="195"/>
    <row r="692" ht="15.75" customHeight="1" s="195"/>
    <row r="693" ht="15.75" customHeight="1" s="195"/>
    <row r="694" ht="15.75" customHeight="1" s="195"/>
    <row r="695" ht="15.75" customHeight="1" s="195"/>
    <row r="696" ht="15.75" customHeight="1" s="195"/>
    <row r="697" ht="15.75" customHeight="1" s="195"/>
    <row r="698" ht="15.75" customHeight="1" s="195"/>
    <row r="699" ht="15.75" customHeight="1" s="195"/>
    <row r="700" ht="15.75" customHeight="1" s="195"/>
    <row r="701" ht="15.75" customHeight="1" s="195"/>
    <row r="702" ht="15.75" customHeight="1" s="195"/>
    <row r="703" ht="15.75" customHeight="1" s="195"/>
    <row r="704" ht="15.75" customHeight="1" s="195"/>
    <row r="705" ht="15.75" customHeight="1" s="195"/>
    <row r="706" ht="15.75" customHeight="1" s="195"/>
    <row r="707" ht="15.75" customHeight="1" s="195"/>
    <row r="708" ht="15.75" customHeight="1" s="195"/>
    <row r="709" ht="15.75" customHeight="1" s="195"/>
    <row r="710" ht="15.75" customHeight="1" s="195"/>
    <row r="711" ht="15.75" customHeight="1" s="195"/>
    <row r="712" ht="15.75" customHeight="1" s="195"/>
    <row r="713" ht="15.75" customHeight="1" s="195"/>
    <row r="714" ht="15.75" customHeight="1" s="195"/>
    <row r="715" ht="15.75" customHeight="1" s="195"/>
    <row r="716" ht="15.75" customHeight="1" s="195"/>
    <row r="717" ht="15.75" customHeight="1" s="195"/>
    <row r="718" ht="15.75" customHeight="1" s="195"/>
    <row r="719" ht="15.75" customHeight="1" s="195"/>
    <row r="720" ht="15.75" customHeight="1" s="195"/>
    <row r="721" ht="15.75" customHeight="1" s="195"/>
    <row r="722" ht="15.75" customHeight="1" s="195"/>
    <row r="723" ht="15.75" customHeight="1" s="195"/>
    <row r="724" ht="15.75" customHeight="1" s="195"/>
    <row r="725" ht="15.75" customHeight="1" s="195"/>
    <row r="726" ht="15.75" customHeight="1" s="195"/>
    <row r="727" ht="15.75" customHeight="1" s="195"/>
    <row r="728" ht="15.75" customHeight="1" s="195"/>
    <row r="729" ht="15.75" customHeight="1" s="195"/>
    <row r="730" ht="15.75" customHeight="1" s="195"/>
    <row r="731" ht="15.75" customHeight="1" s="195"/>
    <row r="732" ht="15.75" customHeight="1" s="195"/>
    <row r="733" ht="15.75" customHeight="1" s="195"/>
    <row r="734" ht="15.75" customHeight="1" s="195"/>
    <row r="735" ht="15.75" customHeight="1" s="195"/>
    <row r="736" ht="15.75" customHeight="1" s="195"/>
    <row r="737" ht="15.75" customHeight="1" s="195"/>
    <row r="738" ht="15.75" customHeight="1" s="195"/>
    <row r="739" ht="15.75" customHeight="1" s="195"/>
    <row r="740" ht="15.75" customHeight="1" s="195"/>
    <row r="741" ht="15.75" customHeight="1" s="195"/>
    <row r="742" ht="15.75" customHeight="1" s="195"/>
    <row r="743" ht="15.75" customHeight="1" s="195"/>
    <row r="744" ht="15.75" customHeight="1" s="195"/>
    <row r="745" ht="15.75" customHeight="1" s="195"/>
    <row r="746" ht="15.75" customHeight="1" s="195"/>
    <row r="747" ht="15.75" customHeight="1" s="195"/>
    <row r="748" ht="15.75" customHeight="1" s="195"/>
    <row r="749" ht="15.75" customHeight="1" s="195"/>
    <row r="750" ht="15.75" customHeight="1" s="195"/>
    <row r="751" ht="15.75" customHeight="1" s="195"/>
    <row r="752" ht="15.75" customHeight="1" s="195"/>
    <row r="753" ht="15.75" customHeight="1" s="195"/>
    <row r="754" ht="15.75" customHeight="1" s="195"/>
    <row r="755" ht="15.75" customHeight="1" s="195"/>
    <row r="756" ht="15.75" customHeight="1" s="195"/>
    <row r="757" ht="15.75" customHeight="1" s="195"/>
    <row r="758" ht="15.75" customHeight="1" s="195"/>
    <row r="759" ht="15.75" customHeight="1" s="195"/>
    <row r="760" ht="15.75" customHeight="1" s="195"/>
    <row r="761" ht="15.75" customHeight="1" s="195"/>
    <row r="762" ht="15.75" customHeight="1" s="195"/>
    <row r="763" ht="15.75" customHeight="1" s="195"/>
    <row r="764" ht="15.75" customHeight="1" s="195"/>
    <row r="765" ht="15.75" customHeight="1" s="195"/>
    <row r="766" ht="15.75" customHeight="1" s="195"/>
    <row r="767" ht="15.75" customHeight="1" s="195"/>
    <row r="768" ht="15.75" customHeight="1" s="195"/>
    <row r="769" ht="15.75" customHeight="1" s="195"/>
    <row r="770" ht="15.75" customHeight="1" s="195"/>
    <row r="771" ht="15.75" customHeight="1" s="195"/>
    <row r="772" ht="15.75" customHeight="1" s="195"/>
    <row r="773" ht="15.75" customHeight="1" s="195"/>
    <row r="774" ht="15.75" customHeight="1" s="195"/>
    <row r="775" ht="15.75" customHeight="1" s="195"/>
    <row r="776" ht="15.75" customHeight="1" s="195"/>
    <row r="777" ht="15.75" customHeight="1" s="195"/>
    <row r="778" ht="15.75" customHeight="1" s="195"/>
    <row r="779" ht="15.75" customHeight="1" s="195"/>
    <row r="780" ht="15.75" customHeight="1" s="195"/>
    <row r="781" ht="15.75" customHeight="1" s="195"/>
    <row r="782" ht="15.75" customHeight="1" s="195"/>
    <row r="783" ht="15.75" customHeight="1" s="195"/>
    <row r="784" ht="15.75" customHeight="1" s="195"/>
    <row r="785" ht="15.75" customHeight="1" s="195"/>
    <row r="786" ht="15.75" customHeight="1" s="195"/>
    <row r="787" ht="15.75" customHeight="1" s="195"/>
    <row r="788" ht="15.75" customHeight="1" s="195"/>
    <row r="789" ht="15.75" customHeight="1" s="195"/>
    <row r="790" ht="15.75" customHeight="1" s="195"/>
    <row r="791" ht="15.75" customHeight="1" s="195"/>
    <row r="792" ht="15.75" customHeight="1" s="195"/>
    <row r="793" ht="15.75" customHeight="1" s="195"/>
    <row r="794" ht="15.75" customHeight="1" s="195"/>
    <row r="795" ht="15.75" customHeight="1" s="195"/>
    <row r="796" ht="15.75" customHeight="1" s="195"/>
    <row r="797" ht="15.75" customHeight="1" s="195"/>
    <row r="798" ht="15.75" customHeight="1" s="195"/>
    <row r="799" ht="15.75" customHeight="1" s="195"/>
    <row r="800" ht="15.75" customHeight="1" s="195"/>
    <row r="801" ht="15.75" customHeight="1" s="195"/>
    <row r="802" ht="15.75" customHeight="1" s="195"/>
    <row r="803" ht="15.75" customHeight="1" s="195"/>
    <row r="804" ht="15.75" customHeight="1" s="195"/>
    <row r="805" ht="15.75" customHeight="1" s="195"/>
    <row r="806" ht="15.75" customHeight="1" s="195"/>
    <row r="807" ht="15.75" customHeight="1" s="195"/>
    <row r="808" ht="15.75" customHeight="1" s="195"/>
    <row r="809" ht="15.75" customHeight="1" s="195"/>
    <row r="810" ht="15.75" customHeight="1" s="195"/>
    <row r="811" ht="15.75" customHeight="1" s="195"/>
    <row r="812" ht="15.75" customHeight="1" s="195"/>
    <row r="813" ht="15.75" customHeight="1" s="195"/>
    <row r="814" ht="15.75" customHeight="1" s="195"/>
    <row r="815" ht="15.75" customHeight="1" s="195"/>
    <row r="816" ht="15.75" customHeight="1" s="195"/>
    <row r="817" ht="15.75" customHeight="1" s="195"/>
    <row r="818" ht="15.75" customHeight="1" s="195"/>
    <row r="819" ht="15.75" customHeight="1" s="195"/>
    <row r="820" ht="15.75" customHeight="1" s="195"/>
    <row r="821" ht="15.75" customHeight="1" s="195"/>
    <row r="822" ht="15.75" customHeight="1" s="195"/>
    <row r="823" ht="15.75" customHeight="1" s="195"/>
    <row r="824" ht="15.75" customHeight="1" s="195"/>
    <row r="825" ht="15.75" customHeight="1" s="195"/>
    <row r="826" ht="15.75" customHeight="1" s="195"/>
    <row r="827" ht="15.75" customHeight="1" s="195"/>
    <row r="828" ht="15.75" customHeight="1" s="195"/>
    <row r="829" ht="15.75" customHeight="1" s="195"/>
    <row r="830" ht="15.75" customHeight="1" s="195"/>
    <row r="831" ht="15.75" customHeight="1" s="195"/>
    <row r="832" ht="15.75" customHeight="1" s="195"/>
    <row r="833" ht="15.75" customHeight="1" s="195"/>
    <row r="834" ht="15.75" customHeight="1" s="195"/>
    <row r="835" ht="15.75" customHeight="1" s="195"/>
    <row r="836" ht="15.75" customHeight="1" s="195"/>
    <row r="837" ht="15.75" customHeight="1" s="195"/>
    <row r="838" ht="15.75" customHeight="1" s="195"/>
    <row r="839" ht="15.75" customHeight="1" s="195"/>
    <row r="840" ht="15.75" customHeight="1" s="195"/>
    <row r="841" ht="15.75" customHeight="1" s="195"/>
    <row r="842" ht="15.75" customHeight="1" s="195"/>
    <row r="843" ht="15.75" customHeight="1" s="195"/>
    <row r="844" ht="15.75" customHeight="1" s="195"/>
    <row r="845" ht="15.75" customHeight="1" s="195"/>
    <row r="846" ht="15.75" customHeight="1" s="195"/>
    <row r="847" ht="15.75" customHeight="1" s="195"/>
    <row r="848" ht="15.75" customHeight="1" s="195"/>
    <row r="849" ht="15.75" customHeight="1" s="195"/>
    <row r="850" ht="15.75" customHeight="1" s="195"/>
    <row r="851" ht="15.75" customHeight="1" s="195"/>
    <row r="852" ht="15.75" customHeight="1" s="195"/>
    <row r="853" ht="15.75" customHeight="1" s="195"/>
    <row r="854" ht="15.75" customHeight="1" s="195"/>
    <row r="855" ht="15.75" customHeight="1" s="195"/>
    <row r="856" ht="15.75" customHeight="1" s="195"/>
    <row r="857" ht="15.75" customHeight="1" s="195"/>
    <row r="858" ht="15.75" customHeight="1" s="195"/>
    <row r="859" ht="15.75" customHeight="1" s="195"/>
    <row r="860" ht="15.75" customHeight="1" s="195"/>
    <row r="861" ht="15.75" customHeight="1" s="195"/>
    <row r="862" ht="15.75" customHeight="1" s="195"/>
    <row r="863" ht="15.75" customHeight="1" s="195"/>
    <row r="864" ht="15.75" customHeight="1" s="195"/>
    <row r="865" ht="15.75" customHeight="1" s="195"/>
    <row r="866" ht="15.75" customHeight="1" s="195"/>
    <row r="867" ht="15.75" customHeight="1" s="195"/>
    <row r="868" ht="15.75" customHeight="1" s="195"/>
    <row r="869" ht="15.75" customHeight="1" s="195"/>
    <row r="870" ht="15.75" customHeight="1" s="195"/>
    <row r="871" ht="15.75" customHeight="1" s="195"/>
    <row r="872" ht="15.75" customHeight="1" s="195"/>
    <row r="873" ht="15.75" customHeight="1" s="195"/>
    <row r="874" ht="15.75" customHeight="1" s="195"/>
    <row r="875" ht="15.75" customHeight="1" s="195"/>
    <row r="876" ht="15.75" customHeight="1" s="195"/>
    <row r="877" ht="15.75" customHeight="1" s="195"/>
    <row r="878" ht="15.75" customHeight="1" s="195"/>
    <row r="879" ht="15.75" customHeight="1" s="195"/>
    <row r="880" ht="15.75" customHeight="1" s="195"/>
    <row r="881" ht="15.75" customHeight="1" s="195"/>
    <row r="882" ht="15.75" customHeight="1" s="195"/>
    <row r="883" ht="15.75" customHeight="1" s="195"/>
    <row r="884" ht="15.75" customHeight="1" s="195"/>
    <row r="885" ht="15.75" customHeight="1" s="195"/>
    <row r="886" ht="15.75" customHeight="1" s="195"/>
    <row r="887" ht="15.75" customHeight="1" s="195"/>
    <row r="888" ht="15.75" customHeight="1" s="195"/>
    <row r="889" ht="15.75" customHeight="1" s="195"/>
    <row r="890" ht="15.75" customHeight="1" s="195"/>
    <row r="891" ht="15.75" customHeight="1" s="195"/>
    <row r="892" ht="15.75" customHeight="1" s="195"/>
    <row r="893" ht="15.75" customHeight="1" s="195"/>
    <row r="894" ht="15.75" customHeight="1" s="195"/>
    <row r="895" ht="15.75" customHeight="1" s="195"/>
    <row r="896" ht="15.75" customHeight="1" s="195"/>
    <row r="897" ht="15.75" customHeight="1" s="195"/>
    <row r="898" ht="15.75" customHeight="1" s="195"/>
    <row r="899" ht="15.75" customHeight="1" s="195"/>
    <row r="900" ht="15.75" customHeight="1" s="195"/>
    <row r="901" ht="15.75" customHeight="1" s="195"/>
    <row r="902" ht="15.75" customHeight="1" s="195"/>
    <row r="903" ht="15.75" customHeight="1" s="195"/>
    <row r="904" ht="15.75" customHeight="1" s="195"/>
    <row r="905" ht="15.75" customHeight="1" s="195"/>
    <row r="906" ht="15.75" customHeight="1" s="195"/>
    <row r="907" ht="15.75" customHeight="1" s="195"/>
    <row r="908" ht="15.75" customHeight="1" s="195"/>
    <row r="909" ht="15.75" customHeight="1" s="195"/>
    <row r="910" ht="15.75" customHeight="1" s="195"/>
    <row r="911" ht="15.75" customHeight="1" s="195"/>
    <row r="912" ht="15.75" customHeight="1" s="195"/>
    <row r="913" ht="15.75" customHeight="1" s="195"/>
    <row r="914" ht="15.75" customHeight="1" s="195"/>
    <row r="915" ht="15.75" customHeight="1" s="195"/>
    <row r="916" ht="15.75" customHeight="1" s="195"/>
    <row r="917" ht="15.75" customHeight="1" s="195"/>
    <row r="918" ht="15.75" customHeight="1" s="195"/>
    <row r="919" ht="15.75" customHeight="1" s="195"/>
    <row r="920" ht="15.75" customHeight="1" s="195"/>
    <row r="921" ht="15.75" customHeight="1" s="195"/>
    <row r="922" ht="15.75" customHeight="1" s="195"/>
    <row r="923" ht="15.75" customHeight="1" s="195"/>
    <row r="924" ht="15.75" customHeight="1" s="195"/>
    <row r="925" ht="15.75" customHeight="1" s="195"/>
    <row r="926" ht="15.75" customHeight="1" s="195"/>
    <row r="927" ht="15.75" customHeight="1" s="195"/>
    <row r="928" ht="15.75" customHeight="1" s="195"/>
    <row r="929" ht="15.75" customHeight="1" s="195"/>
    <row r="930" ht="15.75" customHeight="1" s="195"/>
    <row r="931" ht="15.75" customHeight="1" s="195"/>
    <row r="932" ht="15.75" customHeight="1" s="195"/>
    <row r="933" ht="15.75" customHeight="1" s="195"/>
    <row r="934" ht="15.75" customHeight="1" s="195"/>
    <row r="935" ht="15.75" customHeight="1" s="195"/>
    <row r="936" ht="15.75" customHeight="1" s="195"/>
    <row r="937" ht="15.75" customHeight="1" s="195"/>
    <row r="938" ht="15.75" customHeight="1" s="195"/>
    <row r="939" ht="15.75" customHeight="1" s="195"/>
    <row r="940" ht="15.75" customHeight="1" s="195"/>
    <row r="941" ht="15.75" customHeight="1" s="195"/>
    <row r="942" ht="15.75" customHeight="1" s="195"/>
    <row r="943" ht="15.75" customHeight="1" s="195"/>
    <row r="944" ht="15.75" customHeight="1" s="195"/>
    <row r="945" ht="15.75" customHeight="1" s="195"/>
    <row r="946" ht="15.75" customHeight="1" s="195"/>
    <row r="947" ht="15.75" customHeight="1" s="195"/>
    <row r="948" ht="15.75" customHeight="1" s="195"/>
    <row r="949" ht="15.75" customHeight="1" s="195"/>
    <row r="950" ht="15.75" customHeight="1" s="195"/>
    <row r="951" ht="15.75" customHeight="1" s="195"/>
    <row r="952" ht="15.75" customHeight="1" s="195"/>
    <row r="953" ht="15.75" customHeight="1" s="195"/>
    <row r="954" ht="15.75" customHeight="1" s="195"/>
    <row r="955" ht="15.75" customHeight="1" s="195"/>
    <row r="956" ht="15.75" customHeight="1" s="195"/>
    <row r="957" ht="15.75" customHeight="1" s="195"/>
    <row r="958" ht="15.75" customHeight="1" s="195"/>
    <row r="959" ht="15.75" customHeight="1" s="195"/>
    <row r="960" ht="15.75" customHeight="1" s="195"/>
    <row r="961" ht="15.75" customHeight="1" s="195"/>
    <row r="962" ht="15.75" customHeight="1" s="195"/>
    <row r="963" ht="15.75" customHeight="1" s="195"/>
    <row r="964" ht="15.75" customHeight="1" s="195"/>
    <row r="965" ht="15.75" customHeight="1" s="195"/>
    <row r="966" ht="15.75" customHeight="1" s="195"/>
    <row r="967" ht="15.75" customHeight="1" s="195"/>
    <row r="968" ht="15.75" customHeight="1" s="195"/>
    <row r="969" ht="15.75" customHeight="1" s="195"/>
    <row r="970" ht="15.75" customHeight="1" s="195"/>
    <row r="971" ht="15.75" customHeight="1" s="195"/>
    <row r="972" ht="15.75" customHeight="1" s="195"/>
    <row r="973" ht="15.75" customHeight="1" s="195"/>
    <row r="974" ht="15.75" customHeight="1" s="195"/>
    <row r="975" ht="15.75" customHeight="1" s="195"/>
    <row r="976" ht="15.75" customHeight="1" s="195"/>
    <row r="977" ht="15.75" customHeight="1" s="195"/>
    <row r="978" ht="15.75" customHeight="1" s="195"/>
    <row r="979" ht="15.75" customHeight="1" s="195"/>
    <row r="980" ht="15.75" customHeight="1" s="195"/>
    <row r="981" ht="15.75" customHeight="1" s="195"/>
    <row r="982" ht="15.75" customHeight="1" s="195"/>
    <row r="983" ht="15.75" customHeight="1" s="195"/>
    <row r="984" ht="15.75" customHeight="1" s="195"/>
    <row r="985" ht="15.75" customHeight="1" s="195"/>
    <row r="986" ht="15.75" customHeight="1" s="195"/>
    <row r="987" ht="15.75" customHeight="1" s="195"/>
    <row r="988" ht="15.75" customHeight="1" s="195"/>
    <row r="989" ht="15.75" customHeight="1" s="195"/>
    <row r="990" ht="15.75" customHeight="1" s="195"/>
    <row r="991" ht="15.75" customHeight="1" s="195"/>
    <row r="992" ht="15.75" customHeight="1" s="195"/>
    <row r="993" ht="15.75" customHeight="1" s="195"/>
    <row r="994" ht="15.75" customHeight="1" s="195"/>
    <row r="995" ht="15.75" customHeight="1" s="195"/>
    <row r="996" ht="15.75" customHeight="1" s="195"/>
    <row r="997" ht="15.75" customHeight="1" s="195"/>
    <row r="998" ht="15.75" customHeight="1" s="195"/>
    <row r="999" ht="15.75" customHeight="1" s="195"/>
    <row r="1000" ht="15.75" customHeight="1" s="195"/>
  </sheetData>
  <mergeCells count="13">
    <mergeCell ref="D2:F2"/>
    <mergeCell ref="G2:I2"/>
    <mergeCell ref="S2:T2"/>
    <mergeCell ref="J2:L2"/>
    <mergeCell ref="A111:J111"/>
    <mergeCell ref="U2:V2"/>
    <mergeCell ref="A506:G506"/>
    <mergeCell ref="P2:R2"/>
    <mergeCell ref="A1:Y1"/>
    <mergeCell ref="W2:AC2"/>
    <mergeCell ref="A4:Y4"/>
    <mergeCell ref="M2:O2"/>
    <mergeCell ref="A2:C2"/>
  </mergeCells>
  <conditionalFormatting sqref="T6:T505">
    <cfRule type="expression" rank="0" priority="2" equalAverage="0" aboveAverage="0" dxfId="0" text="" percent="0" bottom="0">
      <formula>EXACT(T6,"APROBADO")</formula>
    </cfRule>
    <cfRule type="expression" rank="0" priority="3" equalAverage="0" aboveAverage="0" dxfId="7" text="" percent="0" bottom="0">
      <formula>EXACT(T6,"PENDIENTE")</formula>
    </cfRule>
  </conditionalFormatting>
  <conditionalFormatting sqref="K6:K505">
    <cfRule type="expression" rank="0" priority="4" equalAverage="0" aboveAverage="0" dxfId="8" text="" percent="0" bottom="0">
      <formula>EXACT(K6,"GASOLINA")</formula>
    </cfRule>
  </conditionalFormatting>
  <conditionalFormatting sqref="Y4:Y130">
    <cfRule type="expression" rank="0" priority="5" equalAverage="0" aboveAverage="0" dxfId="9" text="" percent="0" bottom="0">
      <formula>Y4&lt;&gt;""</formula>
    </cfRule>
  </conditionalFormatting>
  <dataValidations count="4">
    <dataValidation sqref="K6:K505" showDropDown="0" showInputMessage="0" showErrorMessage="0" allowBlank="1" type="list" errorStyle="stop" operator="between">
      <formula1>"PETROLEO,GASOLINA"</formula1>
      <formula2>0</formula2>
    </dataValidation>
    <dataValidation sqref="E6:E110 E112:E505" showDropDown="0" showInputMessage="0" showErrorMessage="0" allowBlank="1" type="list" errorStyle="stop" operator="between">
      <formula1>"DNI,CE,PASAPORTE"</formula1>
      <formula2>0</formula2>
    </dataValidation>
    <dataValidation sqref="Y5:Y130" showDropDown="0" showInputMessage="0" showErrorMessage="0" allowBlank="1" type="list" errorStyle="stop" operator="between">
      <formula1>CONDUCTORES!$H$3:$H$104</formula1>
      <formula2>0</formula2>
    </dataValidation>
    <dataValidation sqref="T6:T505" showDropDown="0" showInputMessage="0" showErrorMessage="0" allowBlank="1" type="list" errorStyle="stop" operator="between">
      <formula1>"APROBADO,PENDIENTE,OBSERVADO"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C5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14.43359375" defaultRowHeight="15" zeroHeight="0" outlineLevelRow="0"/>
  <cols>
    <col width="5" customWidth="1" style="194" min="1" max="1"/>
    <col width="14" customWidth="1" style="194" min="2" max="2"/>
    <col width="8" customWidth="1" style="194" min="3" max="3"/>
    <col width="28" customWidth="1" style="194" min="4" max="4"/>
    <col width="7" customWidth="1" style="194" min="5" max="5"/>
    <col width="14" customWidth="1" style="194" min="6" max="6"/>
    <col width="12" customWidth="1" style="194" min="7" max="7"/>
    <col width="10" customWidth="1" style="194" min="8" max="8"/>
    <col width="30" customWidth="1" style="194" min="9" max="9"/>
    <col width="10" customWidth="1" style="194" min="10" max="10"/>
    <col width="12" customWidth="1" style="194" min="11" max="11"/>
    <col width="10" customWidth="1" style="194" min="12" max="13"/>
    <col width="14" customWidth="1" style="194" min="14" max="15"/>
    <col width="28" customWidth="1" style="194" min="16" max="16"/>
    <col width="12" customWidth="1" style="194" min="17" max="18"/>
    <col width="16" customWidth="1" style="194" min="19" max="19"/>
    <col width="12" customWidth="1" style="194" min="20" max="21"/>
    <col width="14" customWidth="1" style="194" min="22" max="23"/>
    <col width="8" customWidth="1" style="194" min="24" max="24"/>
    <col width="22" customWidth="1" style="194" min="25" max="25"/>
    <col width="8.710000000000001" customWidth="1" style="194" min="26" max="29"/>
  </cols>
  <sheetData>
    <row r="1" ht="27.75" customHeight="1" s="195">
      <c r="A1" s="317" t="inlineStr">
        <is>
          <t>REPORTE DE TRASLADO DE PACIENTES SIS DEL MES DE NOVIEMBRE 2025 PARA REPOSICION DE COMBUSTIBLE</t>
        </is>
      </c>
    </row>
    <row r="2" ht="21.75" customHeight="1" s="195">
      <c r="A2" s="318" t="inlineStr">
        <is>
          <t>TOTAL PETROLEO (gal):</t>
        </is>
      </c>
      <c r="D2" s="319">
        <f>IFERROR(SUMPRODUCT((K4:K90="PETROLEO")*ISNUMBER(M4:M90)*M4:M90),0)</f>
        <v/>
      </c>
      <c r="G2" s="318" t="inlineStr">
        <is>
          <t>TOTAL GASOLINA (gal):</t>
        </is>
      </c>
      <c r="J2" s="319">
        <f>IFERROR(SUMPRODUCT((K4:K90="GASOLINA")*ISNUMBER(M4:M90)*M4:M90),0)</f>
        <v/>
      </c>
      <c r="M2" s="318" t="inlineStr">
        <is>
          <t>TOTAL SOLES S/.:</t>
        </is>
      </c>
      <c r="P2" s="320">
        <f>IFERROR(SUMPRODUCT(ISNUMBER(M4:M90)*L4:L90*M4:M90),0)</f>
        <v/>
      </c>
      <c r="S2" s="318" t="inlineStr">
        <is>
          <t>N TRASLADOS:</t>
        </is>
      </c>
      <c r="U2" s="321">
        <f>SUBTOTAL(2,A4:A90)</f>
        <v/>
      </c>
      <c r="W2" s="322" t="inlineStr">
        <is>
          <t>↑ Al filtrar por EESS los totales cambian automáticamente</t>
        </is>
      </c>
    </row>
    <row r="3" ht="3.75" customHeight="1" s="195">
      <c r="A3" s="323" t="n"/>
      <c r="B3" s="323" t="n"/>
      <c r="C3" s="323" t="n"/>
      <c r="D3" s="323" t="n"/>
      <c r="E3" s="323" t="n"/>
      <c r="F3" s="323" t="n"/>
      <c r="G3" s="323" t="n"/>
      <c r="H3" s="323" t="n"/>
      <c r="I3" s="323" t="n"/>
      <c r="J3" s="323" t="n"/>
      <c r="K3" s="323" t="n"/>
      <c r="L3" s="323" t="n"/>
      <c r="M3" s="323" t="n"/>
      <c r="N3" s="323" t="n"/>
      <c r="O3" s="323" t="n"/>
      <c r="P3" s="323" t="n"/>
      <c r="Q3" s="323" t="n"/>
      <c r="R3" s="323" t="n"/>
      <c r="S3" s="323" t="n"/>
      <c r="T3" s="323" t="n"/>
      <c r="U3" s="323" t="n"/>
      <c r="V3" s="323" t="n"/>
      <c r="W3" s="323" t="n"/>
      <c r="X3" s="323" t="n"/>
      <c r="Y3" s="324" t="inlineStr">
        <is>
          <t>DEVOLVER A
(IPRESS DESTINO)</t>
        </is>
      </c>
    </row>
    <row r="4" ht="19.5" customHeight="1" s="195">
      <c r="A4" s="325" t="inlineStr">
        <is>
          <t>COLUMNAS EN AZUL = AUTO (no editar) | Ingrese: N, NRO FORMATO, AFILIADO, TIPO DOC, NRO DOC, FECHA TRASLADO, COD RENAES, COD REFERENCIA, DNI CONDUCTOR, PRECIO GAL, GALONES, FECHA ENTREGA, CIE-10, ESTADO FUA, FECHA DIGITACION, OFICIO, O/C, META, OBSERVACION</t>
        </is>
      </c>
    </row>
    <row r="5" ht="30" customHeight="1" s="195">
      <c r="A5" s="326" t="inlineStr">
        <is>
          <t>N</t>
        </is>
      </c>
      <c r="B5" s="327" t="inlineStr">
        <is>
          <t>NRO FORMATO
ATENCION</t>
        </is>
      </c>
      <c r="C5" s="327" t="inlineStr">
        <is>
          <t>UNIDAD
EJECUTORA</t>
        </is>
      </c>
      <c r="D5" s="327" t="inlineStr">
        <is>
          <t>AFILIADO</t>
        </is>
      </c>
      <c r="E5" s="327" t="inlineStr">
        <is>
          <t>TIPO
DOC</t>
        </is>
      </c>
      <c r="F5" s="327" t="inlineStr">
        <is>
          <t>NRO
DOCUMENTO</t>
        </is>
      </c>
      <c r="G5" s="327" t="inlineStr">
        <is>
          <t>FECHA
TRASLADO</t>
        </is>
      </c>
      <c r="H5" s="327" t="inlineStr">
        <is>
          <t>COD
RENAES</t>
        </is>
      </c>
      <c r="I5" s="328" t="inlineStr">
        <is>
          <t>DESCRIPCION
EESS</t>
        </is>
      </c>
      <c r="J5" s="327" t="inlineStr">
        <is>
          <t>COD EESS
REFERENCIA</t>
        </is>
      </c>
      <c r="K5" s="328" t="inlineStr">
        <is>
          <t>TIPO DE
COMBUSTIBLE</t>
        </is>
      </c>
      <c r="L5" s="327" t="inlineStr">
        <is>
          <t>PRECIO
GAL S/.</t>
        </is>
      </c>
      <c r="M5" s="327" t="inlineStr">
        <is>
          <t>GALONES</t>
        </is>
      </c>
      <c r="N5" s="328" t="inlineStr">
        <is>
          <t>TOTAL
COMBUSTIBLE S/.</t>
        </is>
      </c>
      <c r="O5" s="327" t="inlineStr">
        <is>
          <t>DNI
CONDUCTOR</t>
        </is>
      </c>
      <c r="P5" s="329">
        <f>IFERROR(VLOOKUP(TEXT(O5,"0"),CONDUCTORES!$A$3:$G$100,2,0),"")</f>
        <v/>
      </c>
      <c r="Q5" s="329">
        <f>IFERROR(VLOOKUP(TEXT(O5,"0"),CONDUCTORES!$A$3:$H$100,6,0),"")</f>
        <v/>
      </c>
      <c r="R5" s="327" t="inlineStr">
        <is>
          <t>FECHA DE
ENTREGA</t>
        </is>
      </c>
      <c r="S5" s="327" t="inlineStr">
        <is>
          <t>CODIGO DE
DIAGNOSTICO</t>
        </is>
      </c>
      <c r="T5" s="327" t="inlineStr">
        <is>
          <t>ESTADO
FUA</t>
        </is>
      </c>
      <c r="U5" s="327" t="inlineStr">
        <is>
          <t>FECHA
DIGITACION</t>
        </is>
      </c>
      <c r="V5" s="327" t="inlineStr">
        <is>
          <t>OFICIO</t>
        </is>
      </c>
      <c r="W5" s="327" t="inlineStr">
        <is>
          <t>O/C</t>
        </is>
      </c>
      <c r="X5" s="327" t="inlineStr">
        <is>
          <t>META</t>
        </is>
      </c>
      <c r="Y5" s="330" t="inlineStr">
        <is>
          <t>OBSERVACION</t>
        </is>
      </c>
    </row>
    <row r="6" ht="15.75" customHeight="1" s="195">
      <c r="A6" s="301" t="n">
        <v>1</v>
      </c>
      <c r="B6" s="302" t="inlineStr">
        <is>
          <t>00000058</t>
        </is>
      </c>
      <c r="C6" s="301" t="inlineStr">
        <is>
          <t>REGION</t>
        </is>
      </c>
      <c r="D6" s="302" t="inlineStr">
        <is>
          <t>LLANCA OCAMPO GLENY</t>
        </is>
      </c>
      <c r="E6" s="301" t="inlineStr">
        <is>
          <t>DNI</t>
        </is>
      </c>
      <c r="F6" s="301" t="inlineStr">
        <is>
          <t>47820872</t>
        </is>
      </c>
      <c r="G6" s="331" t="n">
        <v>45962</v>
      </c>
      <c r="H6" s="301" t="inlineStr">
        <is>
          <t>4850</t>
        </is>
      </c>
      <c r="I6" s="332">
        <f>IFERROR(VLOOKUP(TEXT(H6,"0"),IPRESS!$A$3:$B$212,2,0),"")</f>
        <v/>
      </c>
      <c r="J6" s="301" t="inlineStr">
        <is>
          <t>4838</t>
        </is>
      </c>
      <c r="K6" s="332">
        <f>IFERROR(VLOOKUP(TEXT(O6,"0"),CONDUCTORES!$A$3:$G$100,7,0),"")</f>
        <v/>
      </c>
      <c r="L6" s="245" t="n">
        <v>18.18</v>
      </c>
      <c r="M6" s="245" t="n">
        <v>4</v>
      </c>
      <c r="N6" s="333">
        <f>IFERROR(IF(L6*M6=0,"",L6*M6),"")</f>
        <v/>
      </c>
      <c r="O6" s="280" t="n"/>
      <c r="P6" s="332">
        <f>IFERROR(VLOOKUP(TEXT(O6,"0"),CONDUCTORES!$A$3:$G$100,2,0),"")</f>
        <v/>
      </c>
      <c r="Q6" s="332">
        <f>IFERROR(VLOOKUP(TEXT(O6,"0"),CONDUCTORES!$A$3:$H$100,6,0),"")</f>
        <v/>
      </c>
      <c r="R6" s="331" t="n">
        <v>45987</v>
      </c>
      <c r="S6" s="302" t="inlineStr">
        <is>
          <t>T600</t>
        </is>
      </c>
      <c r="T6" s="301" t="n"/>
      <c r="U6" s="334" t="n"/>
      <c r="V6" s="301" t="inlineStr">
        <is>
          <t>5989-2025</t>
        </is>
      </c>
      <c r="W6" s="301" t="inlineStr">
        <is>
          <t>CONTRATO N° 001-2025</t>
        </is>
      </c>
      <c r="X6" s="301" t="inlineStr">
        <is>
          <t>266.0</t>
        </is>
      </c>
      <c r="Y6" s="280" t="n"/>
    </row>
    <row r="7" ht="15.75" customHeight="1" s="195">
      <c r="A7" s="241" t="n">
        <v>2</v>
      </c>
      <c r="B7" s="305" t="inlineStr">
        <is>
          <t>00000087</t>
        </is>
      </c>
      <c r="C7" s="241" t="inlineStr">
        <is>
          <t>REGION</t>
        </is>
      </c>
      <c r="D7" s="305" t="inlineStr">
        <is>
          <t>HUAMAN DE ARCE OTILIA</t>
        </is>
      </c>
      <c r="E7" s="241" t="inlineStr">
        <is>
          <t>DNI</t>
        </is>
      </c>
      <c r="F7" s="241" t="inlineStr">
        <is>
          <t>33731694</t>
        </is>
      </c>
      <c r="G7" s="336" t="n">
        <v>45962</v>
      </c>
      <c r="H7" s="241" t="inlineStr">
        <is>
          <t>4932</t>
        </is>
      </c>
      <c r="I7" s="332">
        <f>IFERROR(VLOOKUP(TEXT(H7,"0"),IPRESS!$A$3:$B$212,2,0),"")</f>
        <v/>
      </c>
      <c r="J7" s="241" t="inlineStr">
        <is>
          <t>4838</t>
        </is>
      </c>
      <c r="K7" s="332">
        <f>IFERROR(VLOOKUP(TEXT(O7,"0"),CONDUCTORES!$A$3:$G$100,7,0),"")</f>
        <v/>
      </c>
      <c r="L7" s="239" t="n">
        <v>18.18</v>
      </c>
      <c r="M7" s="239" t="n">
        <v>6</v>
      </c>
      <c r="N7" s="333">
        <f>IFERROR(IF(L7*M7=0,"",L7*M7),"")</f>
        <v/>
      </c>
      <c r="O7" s="334" t="n"/>
      <c r="P7" s="332">
        <f>IFERROR(VLOOKUP(TEXT(O7,"0"),CONDUCTORES!$A$3:$G$100,2,0),"")</f>
        <v/>
      </c>
      <c r="Q7" s="332">
        <f>IFERROR(VLOOKUP(TEXT(O7,"0"),CONDUCTORES!$A$3:$H$100,6,0),"")</f>
        <v/>
      </c>
      <c r="R7" s="336" t="n">
        <v>45996</v>
      </c>
      <c r="S7" s="305" t="inlineStr">
        <is>
          <t>S607</t>
        </is>
      </c>
      <c r="T7" s="241" t="n"/>
      <c r="U7" s="280" t="n"/>
      <c r="V7" s="241" t="n"/>
      <c r="W7" s="241" t="n"/>
      <c r="X7" s="241" t="n"/>
      <c r="Y7" s="280" t="n"/>
    </row>
    <row r="8" ht="15.75" customHeight="1" s="195">
      <c r="A8" s="301" t="n">
        <v>3</v>
      </c>
      <c r="B8" s="302" t="inlineStr">
        <is>
          <t>00000059</t>
        </is>
      </c>
      <c r="C8" s="301" t="inlineStr">
        <is>
          <t>REGION</t>
        </is>
      </c>
      <c r="D8" s="302" t="inlineStr">
        <is>
          <t>DE LA CRUZ ROJAS PEDRO</t>
        </is>
      </c>
      <c r="E8" s="301" t="inlineStr">
        <is>
          <t>DNI</t>
        </is>
      </c>
      <c r="F8" s="301" t="inlineStr">
        <is>
          <t>33780782</t>
        </is>
      </c>
      <c r="G8" s="331" t="n">
        <v>45963</v>
      </c>
      <c r="H8" s="301" t="inlineStr">
        <is>
          <t>4850</t>
        </is>
      </c>
      <c r="I8" s="332">
        <f>IFERROR(VLOOKUP(TEXT(H8,"0"),IPRESS!$A$3:$B$212,2,0),"")</f>
        <v/>
      </c>
      <c r="J8" s="301" t="inlineStr">
        <is>
          <t>4838</t>
        </is>
      </c>
      <c r="K8" s="332">
        <f>IFERROR(VLOOKUP(TEXT(O8,"0"),CONDUCTORES!$A$3:$G$100,7,0),"")</f>
        <v/>
      </c>
      <c r="L8" s="245" t="n">
        <v>18.18</v>
      </c>
      <c r="M8" s="245" t="n">
        <v>4</v>
      </c>
      <c r="N8" s="333">
        <f>IFERROR(IF(L8*M8=0,"",L8*M8),"")</f>
        <v/>
      </c>
      <c r="O8" s="280" t="n"/>
      <c r="P8" s="332">
        <f>IFERROR(VLOOKUP(TEXT(O8,"0"),CONDUCTORES!$A$3:$G$100,2,0),"")</f>
        <v/>
      </c>
      <c r="Q8" s="332">
        <f>IFERROR(VLOOKUP(TEXT(O8,"0"),CONDUCTORES!$A$3:$H$100,6,0),"")</f>
        <v/>
      </c>
      <c r="R8" s="331" t="n">
        <v>45987</v>
      </c>
      <c r="S8" s="302" t="inlineStr">
        <is>
          <t>N40X,N111</t>
        </is>
      </c>
      <c r="T8" s="301" t="n"/>
      <c r="U8" s="334" t="n"/>
      <c r="V8" s="301" t="inlineStr">
        <is>
          <t>5989-2025</t>
        </is>
      </c>
      <c r="W8" s="301" t="inlineStr">
        <is>
          <t>CONTRATO N° 001-2025</t>
        </is>
      </c>
      <c r="X8" s="301" t="inlineStr">
        <is>
          <t>266.0</t>
        </is>
      </c>
      <c r="Y8" s="280" t="n"/>
    </row>
    <row r="9" ht="15.75" customHeight="1" s="195">
      <c r="A9" s="241" t="n">
        <v>4</v>
      </c>
      <c r="B9" s="305" t="inlineStr">
        <is>
          <t>00000022</t>
        </is>
      </c>
      <c r="C9" s="241" t="inlineStr">
        <is>
          <t>REGION</t>
        </is>
      </c>
      <c r="D9" s="305" t="inlineStr">
        <is>
          <t>ZETA RIVAS YURITH YOLANDA</t>
        </is>
      </c>
      <c r="E9" s="241" t="inlineStr">
        <is>
          <t>DNI</t>
        </is>
      </c>
      <c r="F9" s="241" t="inlineStr">
        <is>
          <t>44871893</t>
        </is>
      </c>
      <c r="G9" s="336" t="n">
        <v>45964</v>
      </c>
      <c r="H9" s="241" t="inlineStr">
        <is>
          <t>4874</t>
        </is>
      </c>
      <c r="I9" s="332">
        <f>IFERROR(VLOOKUP(TEXT(H9,"0"),IPRESS!$A$3:$B$212,2,0),"")</f>
        <v/>
      </c>
      <c r="J9" s="241" t="inlineStr">
        <is>
          <t>4838</t>
        </is>
      </c>
      <c r="K9" s="332">
        <f>IFERROR(VLOOKUP(TEXT(O9,"0"),CONDUCTORES!$A$3:$G$100,7,0),"")</f>
        <v/>
      </c>
      <c r="L9" s="239" t="n">
        <v>18.18</v>
      </c>
      <c r="M9" s="239" t="n">
        <v>25</v>
      </c>
      <c r="N9" s="333">
        <f>IFERROR(IF(L9*M9=0,"",L9*M9),"")</f>
        <v/>
      </c>
      <c r="O9" s="334" t="n"/>
      <c r="P9" s="332">
        <f>IFERROR(VLOOKUP(TEXT(O9,"0"),CONDUCTORES!$A$3:$G$100,2,0),"")</f>
        <v/>
      </c>
      <c r="Q9" s="332">
        <f>IFERROR(VLOOKUP(TEXT(O9,"0"),CONDUCTORES!$A$3:$H$100,6,0),"")</f>
        <v/>
      </c>
      <c r="R9" s="336" t="n">
        <v>45989</v>
      </c>
      <c r="S9" s="305" t="inlineStr">
        <is>
          <t>O669</t>
        </is>
      </c>
      <c r="T9" s="241" t="n"/>
      <c r="U9" s="280" t="n"/>
      <c r="V9" s="241" t="inlineStr">
        <is>
          <t>6090-2025</t>
        </is>
      </c>
      <c r="W9" s="241" t="inlineStr">
        <is>
          <t>CONTRATO No 001-2025 DYT</t>
        </is>
      </c>
      <c r="X9" s="241" t="inlineStr">
        <is>
          <t>266.0</t>
        </is>
      </c>
      <c r="Y9" s="280" t="n"/>
    </row>
    <row r="10" ht="15.75" customHeight="1" s="195">
      <c r="A10" s="301" t="n">
        <v>5</v>
      </c>
      <c r="B10" s="302" t="inlineStr">
        <is>
          <t>00000060</t>
        </is>
      </c>
      <c r="C10" s="301" t="inlineStr">
        <is>
          <t>REGION</t>
        </is>
      </c>
      <c r="D10" s="302" t="inlineStr">
        <is>
          <t>CUEVA GRANDEZ ADELIZ</t>
        </is>
      </c>
      <c r="E10" s="301" t="inlineStr">
        <is>
          <t>DNI</t>
        </is>
      </c>
      <c r="F10" s="301" t="inlineStr">
        <is>
          <t>72259252</t>
        </is>
      </c>
      <c r="G10" s="331" t="n">
        <v>45964</v>
      </c>
      <c r="H10" s="301" t="inlineStr">
        <is>
          <t>4850</t>
        </is>
      </c>
      <c r="I10" s="332">
        <f>IFERROR(VLOOKUP(TEXT(H10,"0"),IPRESS!$A$3:$B$212,2,0),"")</f>
        <v/>
      </c>
      <c r="J10" s="301" t="inlineStr">
        <is>
          <t>4838</t>
        </is>
      </c>
      <c r="K10" s="332">
        <f>IFERROR(VLOOKUP(TEXT(O10,"0"),CONDUCTORES!$A$3:$G$100,7,0),"")</f>
        <v/>
      </c>
      <c r="L10" s="245" t="n">
        <v>18.18</v>
      </c>
      <c r="M10" s="245" t="n">
        <v>4</v>
      </c>
      <c r="N10" s="333">
        <f>IFERROR(IF(L10*M10=0,"",L10*M10),"")</f>
        <v/>
      </c>
      <c r="O10" s="280" t="n"/>
      <c r="P10" s="332">
        <f>IFERROR(VLOOKUP(TEXT(O10,"0"),CONDUCTORES!$A$3:$G$100,2,0),"")</f>
        <v/>
      </c>
      <c r="Q10" s="332">
        <f>IFERROR(VLOOKUP(TEXT(O10,"0"),CONDUCTORES!$A$3:$H$100,6,0),"")</f>
        <v/>
      </c>
      <c r="R10" s="331" t="n">
        <v>45987</v>
      </c>
      <c r="S10" s="302" t="inlineStr">
        <is>
          <t>O759,O149</t>
        </is>
      </c>
      <c r="T10" s="301" t="n"/>
      <c r="U10" s="334" t="n"/>
      <c r="V10" s="301" t="inlineStr">
        <is>
          <t>5989-2025</t>
        </is>
      </c>
      <c r="W10" s="301" t="inlineStr">
        <is>
          <t>CONTRATO N° 001-2025</t>
        </is>
      </c>
      <c r="X10" s="301" t="inlineStr">
        <is>
          <t>266.0</t>
        </is>
      </c>
      <c r="Y10" s="280" t="n"/>
    </row>
    <row r="11" ht="15.75" customHeight="1" s="195">
      <c r="A11" s="241" t="n">
        <v>6</v>
      </c>
      <c r="B11" s="305" t="inlineStr">
        <is>
          <t>00000079</t>
        </is>
      </c>
      <c r="C11" s="241" t="inlineStr">
        <is>
          <t>REGION</t>
        </is>
      </c>
      <c r="D11" s="305" t="inlineStr">
        <is>
          <t>HUAMAN MENDOZA ELESSANDRA SAYURY</t>
        </is>
      </c>
      <c r="E11" s="241" t="inlineStr">
        <is>
          <t>DNI</t>
        </is>
      </c>
      <c r="F11" s="241" t="inlineStr">
        <is>
          <t>81331104</t>
        </is>
      </c>
      <c r="G11" s="336" t="n">
        <v>45964</v>
      </c>
      <c r="H11" s="241" t="inlineStr">
        <is>
          <t>4866</t>
        </is>
      </c>
      <c r="I11" s="332">
        <f>IFERROR(VLOOKUP(TEXT(H11,"0"),IPRESS!$A$3:$B$212,2,0),"")</f>
        <v/>
      </c>
      <c r="J11" s="241" t="inlineStr">
        <is>
          <t>4838</t>
        </is>
      </c>
      <c r="K11" s="332">
        <f>IFERROR(VLOOKUP(TEXT(O11,"0"),CONDUCTORES!$A$3:$G$100,7,0),"")</f>
        <v/>
      </c>
      <c r="L11" s="239" t="n">
        <v>18.18</v>
      </c>
      <c r="M11" s="239" t="n">
        <v>4</v>
      </c>
      <c r="N11" s="333">
        <f>IFERROR(IF(L11*M11=0,"",L11*M11),"")</f>
        <v/>
      </c>
      <c r="O11" s="334" t="n"/>
      <c r="P11" s="332">
        <f>IFERROR(VLOOKUP(TEXT(O11,"0"),CONDUCTORES!$A$3:$G$100,2,0),"")</f>
        <v/>
      </c>
      <c r="Q11" s="332">
        <f>IFERROR(VLOOKUP(TEXT(O11,"0"),CONDUCTORES!$A$3:$H$100,6,0),"")</f>
        <v/>
      </c>
      <c r="R11" s="336" t="n">
        <v>45988</v>
      </c>
      <c r="S11" s="305" t="inlineStr">
        <is>
          <t>R252,R290</t>
        </is>
      </c>
      <c r="T11" s="241" t="n"/>
      <c r="U11" s="280" t="n"/>
      <c r="V11" s="241" t="inlineStr">
        <is>
          <t>6038-2025</t>
        </is>
      </c>
      <c r="W11" s="241" t="inlineStr">
        <is>
          <t>CONTRATO 001-2025</t>
        </is>
      </c>
      <c r="X11" s="241" t="inlineStr">
        <is>
          <t>266.0</t>
        </is>
      </c>
      <c r="Y11" s="280" t="n"/>
    </row>
    <row r="12" ht="15.75" customHeight="1" s="195">
      <c r="A12" s="301" t="n">
        <v>7</v>
      </c>
      <c r="B12" s="302" t="inlineStr">
        <is>
          <t>00000088</t>
        </is>
      </c>
      <c r="C12" s="301" t="inlineStr">
        <is>
          <t>REGION</t>
        </is>
      </c>
      <c r="D12" s="302" t="inlineStr">
        <is>
          <t>CHICANA POCLIN JOVITA</t>
        </is>
      </c>
      <c r="E12" s="301" t="inlineStr">
        <is>
          <t>DNI</t>
        </is>
      </c>
      <c r="F12" s="301" t="inlineStr">
        <is>
          <t>33725966</t>
        </is>
      </c>
      <c r="G12" s="331" t="n">
        <v>45964</v>
      </c>
      <c r="H12" s="301" t="inlineStr">
        <is>
          <t>4932</t>
        </is>
      </c>
      <c r="I12" s="332">
        <f>IFERROR(VLOOKUP(TEXT(H12,"0"),IPRESS!$A$3:$B$212,2,0),"")</f>
        <v/>
      </c>
      <c r="J12" s="301" t="inlineStr">
        <is>
          <t>4838</t>
        </is>
      </c>
      <c r="K12" s="332">
        <f>IFERROR(VLOOKUP(TEXT(O12,"0"),CONDUCTORES!$A$3:$G$100,7,0),"")</f>
        <v/>
      </c>
      <c r="L12" s="245" t="n">
        <v>18.18</v>
      </c>
      <c r="M12" s="245" t="n">
        <v>6</v>
      </c>
      <c r="N12" s="333">
        <f>IFERROR(IF(L12*M12=0,"",L12*M12),"")</f>
        <v/>
      </c>
      <c r="O12" s="280" t="n"/>
      <c r="P12" s="332">
        <f>IFERROR(VLOOKUP(TEXT(O12,"0"),CONDUCTORES!$A$3:$G$100,2,0),"")</f>
        <v/>
      </c>
      <c r="Q12" s="332">
        <f>IFERROR(VLOOKUP(TEXT(O12,"0"),CONDUCTORES!$A$3:$H$100,6,0),"")</f>
        <v/>
      </c>
      <c r="R12" s="331" t="n">
        <v>45996</v>
      </c>
      <c r="S12" s="302" t="inlineStr">
        <is>
          <t>I679</t>
        </is>
      </c>
      <c r="T12" s="301" t="n"/>
      <c r="U12" s="334" t="n"/>
      <c r="V12" s="301" t="n"/>
      <c r="W12" s="301" t="n"/>
      <c r="X12" s="301" t="n"/>
      <c r="Y12" s="280" t="n"/>
    </row>
    <row r="13" ht="15.75" customHeight="1" s="195">
      <c r="A13" s="337" t="n">
        <v>8</v>
      </c>
      <c r="B13" s="338" t="inlineStr">
        <is>
          <t>00000097</t>
        </is>
      </c>
      <c r="C13" s="337" t="inlineStr">
        <is>
          <t>REGION</t>
        </is>
      </c>
      <c r="D13" s="338" t="inlineStr">
        <is>
          <t>LACHIRA INGA PAULO CESAR</t>
        </is>
      </c>
      <c r="E13" s="337" t="inlineStr">
        <is>
          <t>DNI</t>
        </is>
      </c>
      <c r="F13" s="337" t="inlineStr">
        <is>
          <t>44700966</t>
        </is>
      </c>
      <c r="G13" s="339" t="n">
        <v>45965</v>
      </c>
      <c r="H13" s="337" t="inlineStr">
        <is>
          <t>4922</t>
        </is>
      </c>
      <c r="I13" s="332">
        <f>IFERROR(VLOOKUP(TEXT(H13,"0"),IPRESS!$A$3:$B$212,2,0),"")</f>
        <v/>
      </c>
      <c r="J13" s="337" t="inlineStr">
        <is>
          <t>4838</t>
        </is>
      </c>
      <c r="K13" s="332">
        <f>IFERROR(VLOOKUP(TEXT(O13,"0"),CONDUCTORES!$A$3:$G$100,7,0),"")</f>
        <v/>
      </c>
      <c r="L13" s="340" t="n">
        <v>17.95</v>
      </c>
      <c r="M13" s="340" t="n">
        <v>6</v>
      </c>
      <c r="N13" s="333">
        <f>IFERROR(IF(L13*M13=0,"",L13*M13),"")</f>
        <v/>
      </c>
      <c r="O13" s="334" t="n"/>
      <c r="P13" s="332">
        <f>IFERROR(VLOOKUP(TEXT(O13,"0"),CONDUCTORES!$A$3:$G$100,2,0),"")</f>
        <v/>
      </c>
      <c r="Q13" s="332">
        <f>IFERROR(VLOOKUP(TEXT(O13,"0"),CONDUCTORES!$A$3:$H$100,6,0),"")</f>
        <v/>
      </c>
      <c r="R13" s="339" t="n">
        <v>45989</v>
      </c>
      <c r="S13" s="338" t="inlineStr">
        <is>
          <t>S800,S820</t>
        </is>
      </c>
      <c r="T13" s="337" t="n"/>
      <c r="U13" s="341" t="n"/>
      <c r="V13" s="337" t="inlineStr">
        <is>
          <t>6069-2025</t>
        </is>
      </c>
      <c r="W13" s="337" t="inlineStr">
        <is>
          <t>877.0</t>
        </is>
      </c>
      <c r="X13" s="337" t="inlineStr">
        <is>
          <t>189.0</t>
        </is>
      </c>
      <c r="Y13" s="280" t="n"/>
    </row>
    <row r="14" ht="15.75" customHeight="1" s="195">
      <c r="A14" s="301" t="n">
        <v>9</v>
      </c>
      <c r="B14" s="302" t="inlineStr">
        <is>
          <t>00000096</t>
        </is>
      </c>
      <c r="C14" s="301" t="inlineStr">
        <is>
          <t>REGION</t>
        </is>
      </c>
      <c r="D14" s="302" t="inlineStr">
        <is>
          <t>GUEVARA PILCO MAICON</t>
        </is>
      </c>
      <c r="E14" s="301" t="inlineStr">
        <is>
          <t>DNI</t>
        </is>
      </c>
      <c r="F14" s="301" t="inlineStr">
        <is>
          <t>44737180</t>
        </is>
      </c>
      <c r="G14" s="331" t="n">
        <v>45965</v>
      </c>
      <c r="H14" s="301" t="inlineStr">
        <is>
          <t>4922</t>
        </is>
      </c>
      <c r="I14" s="332">
        <f>IFERROR(VLOOKUP(TEXT(H14,"0"),IPRESS!$A$3:$B$212,2,0),"")</f>
        <v/>
      </c>
      <c r="J14" s="301" t="inlineStr">
        <is>
          <t>4838</t>
        </is>
      </c>
      <c r="K14" s="332">
        <f>IFERROR(VLOOKUP(TEXT(O14,"0"),CONDUCTORES!$A$3:$G$100,7,0),"")</f>
        <v/>
      </c>
      <c r="L14" s="245" t="n">
        <v>18.18</v>
      </c>
      <c r="M14" s="245" t="n">
        <v>5</v>
      </c>
      <c r="N14" s="333">
        <f>IFERROR(IF(L14*M14=0,"",L14*M14),"")</f>
        <v/>
      </c>
      <c r="O14" s="280" t="n"/>
      <c r="P14" s="332">
        <f>IFERROR(VLOOKUP(TEXT(O14,"0"),CONDUCTORES!$A$3:$G$100,2,0),"")</f>
        <v/>
      </c>
      <c r="Q14" s="332">
        <f>IFERROR(VLOOKUP(TEXT(O14,"0"),CONDUCTORES!$A$3:$H$100,6,0),"")</f>
        <v/>
      </c>
      <c r="R14" s="331" t="n">
        <v>45970</v>
      </c>
      <c r="S14" s="302" t="inlineStr">
        <is>
          <t>T609</t>
        </is>
      </c>
      <c r="T14" s="301" t="n"/>
      <c r="U14" s="334" t="n"/>
      <c r="V14" s="301" t="inlineStr">
        <is>
          <t>6071-2025</t>
        </is>
      </c>
      <c r="W14" s="301" t="inlineStr">
        <is>
          <t>CONTRATO No 001-2025 DYT</t>
        </is>
      </c>
      <c r="X14" s="301" t="inlineStr">
        <is>
          <t>266.0</t>
        </is>
      </c>
      <c r="Y14" s="280" t="n"/>
    </row>
    <row r="15" ht="15.75" customHeight="1" s="195">
      <c r="A15" s="241" t="n">
        <v>10</v>
      </c>
      <c r="B15" s="305" t="inlineStr">
        <is>
          <t>00000089</t>
        </is>
      </c>
      <c r="C15" s="241" t="inlineStr">
        <is>
          <t>REGION</t>
        </is>
      </c>
      <c r="D15" s="305" t="inlineStr">
        <is>
          <t>DIAZ ZAMORA FLOR YANET</t>
        </is>
      </c>
      <c r="E15" s="241" t="inlineStr">
        <is>
          <t>DNI</t>
        </is>
      </c>
      <c r="F15" s="241" t="inlineStr">
        <is>
          <t>75726340</t>
        </is>
      </c>
      <c r="G15" s="336" t="n">
        <v>45965</v>
      </c>
      <c r="H15" s="241" t="inlineStr">
        <is>
          <t>4932</t>
        </is>
      </c>
      <c r="I15" s="332">
        <f>IFERROR(VLOOKUP(TEXT(H15,"0"),IPRESS!$A$3:$B$212,2,0),"")</f>
        <v/>
      </c>
      <c r="J15" s="241" t="inlineStr">
        <is>
          <t>4838</t>
        </is>
      </c>
      <c r="K15" s="332">
        <f>IFERROR(VLOOKUP(TEXT(O15,"0"),CONDUCTORES!$A$3:$G$100,7,0),"")</f>
        <v/>
      </c>
      <c r="L15" s="239" t="n">
        <v>18.18</v>
      </c>
      <c r="M15" s="239" t="n">
        <v>8</v>
      </c>
      <c r="N15" s="333">
        <f>IFERROR(IF(L15*M15=0,"",L15*M15),"")</f>
        <v/>
      </c>
      <c r="O15" s="334" t="n"/>
      <c r="P15" s="332">
        <f>IFERROR(VLOOKUP(TEXT(O15,"0"),CONDUCTORES!$A$3:$G$100,2,0),"")</f>
        <v/>
      </c>
      <c r="Q15" s="332">
        <f>IFERROR(VLOOKUP(TEXT(O15,"0"),CONDUCTORES!$A$3:$H$100,6,0),"")</f>
        <v/>
      </c>
      <c r="R15" s="336" t="n">
        <v>45996</v>
      </c>
      <c r="S15" s="305" t="inlineStr">
        <is>
          <t>K37X</t>
        </is>
      </c>
      <c r="T15" s="241" t="n"/>
      <c r="U15" s="280" t="n"/>
      <c r="V15" s="241" t="n"/>
      <c r="W15" s="241" t="n"/>
      <c r="X15" s="241" t="n"/>
      <c r="Y15" s="280" t="n"/>
    </row>
    <row r="16" ht="15.75" customHeight="1" s="195">
      <c r="A16" s="301" t="n">
        <v>11</v>
      </c>
      <c r="B16" s="302" t="inlineStr">
        <is>
          <t>00000023</t>
        </is>
      </c>
      <c r="C16" s="301" t="inlineStr">
        <is>
          <t>REGION</t>
        </is>
      </c>
      <c r="D16" s="302" t="inlineStr">
        <is>
          <t>HOYOS FLORES GILBERTO</t>
        </is>
      </c>
      <c r="E16" s="301" t="inlineStr">
        <is>
          <t>DNI</t>
        </is>
      </c>
      <c r="F16" s="301" t="inlineStr">
        <is>
          <t>33783673</t>
        </is>
      </c>
      <c r="G16" s="331" t="n">
        <v>45966</v>
      </c>
      <c r="H16" s="301" t="inlineStr">
        <is>
          <t>4874</t>
        </is>
      </c>
      <c r="I16" s="332">
        <f>IFERROR(VLOOKUP(TEXT(H16,"0"),IPRESS!$A$3:$B$212,2,0),"")</f>
        <v/>
      </c>
      <c r="J16" s="301" t="inlineStr">
        <is>
          <t>5125</t>
        </is>
      </c>
      <c r="K16" s="332">
        <f>IFERROR(VLOOKUP(TEXT(O16,"0"),CONDUCTORES!$A$3:$G$100,7,0),"")</f>
        <v/>
      </c>
      <c r="L16" s="245" t="n">
        <v>18.18</v>
      </c>
      <c r="M16" s="245" t="n">
        <v>20</v>
      </c>
      <c r="N16" s="333">
        <f>IFERROR(IF(L16*M16=0,"",L16*M16),"")</f>
        <v/>
      </c>
      <c r="O16" s="280" t="n"/>
      <c r="P16" s="332">
        <f>IFERROR(VLOOKUP(TEXT(O16,"0"),CONDUCTORES!$A$3:$G$100,2,0),"")</f>
        <v/>
      </c>
      <c r="Q16" s="332">
        <f>IFERROR(VLOOKUP(TEXT(O16,"0"),CONDUCTORES!$A$3:$H$100,6,0),"")</f>
        <v/>
      </c>
      <c r="R16" s="331" t="n">
        <v>45989</v>
      </c>
      <c r="S16" s="302" t="inlineStr">
        <is>
          <t>J969,J13X</t>
        </is>
      </c>
      <c r="T16" s="301" t="n"/>
      <c r="U16" s="334" t="n"/>
      <c r="V16" s="301" t="inlineStr">
        <is>
          <t>6090-2025</t>
        </is>
      </c>
      <c r="W16" s="301" t="inlineStr">
        <is>
          <t>CONTRATO No 001-2025 DYT</t>
        </is>
      </c>
      <c r="X16" s="301" t="inlineStr">
        <is>
          <t>266.0</t>
        </is>
      </c>
      <c r="Y16" s="280" t="n"/>
    </row>
    <row r="17" ht="15.75" customHeight="1" s="195">
      <c r="A17" s="241" t="n">
        <v>12</v>
      </c>
      <c r="B17" s="305" t="inlineStr">
        <is>
          <t>00000090</t>
        </is>
      </c>
      <c r="C17" s="241" t="inlineStr">
        <is>
          <t>REGION</t>
        </is>
      </c>
      <c r="D17" s="305" t="inlineStr">
        <is>
          <t>SANCHEZ NICODEMUS LEICY RAQUEL</t>
        </is>
      </c>
      <c r="E17" s="241" t="inlineStr">
        <is>
          <t>DNI</t>
        </is>
      </c>
      <c r="F17" s="241" t="inlineStr">
        <is>
          <t>60129166</t>
        </is>
      </c>
      <c r="G17" s="336" t="n">
        <v>45966</v>
      </c>
      <c r="H17" s="241" t="inlineStr">
        <is>
          <t>4932</t>
        </is>
      </c>
      <c r="I17" s="332">
        <f>IFERROR(VLOOKUP(TEXT(H17,"0"),IPRESS!$A$3:$B$212,2,0),"")</f>
        <v/>
      </c>
      <c r="J17" s="241" t="inlineStr">
        <is>
          <t>4838</t>
        </is>
      </c>
      <c r="K17" s="332">
        <f>IFERROR(VLOOKUP(TEXT(O17,"0"),CONDUCTORES!$A$3:$G$100,7,0),"")</f>
        <v/>
      </c>
      <c r="L17" s="239" t="n">
        <v>18.18</v>
      </c>
      <c r="M17" s="239" t="n">
        <v>6</v>
      </c>
      <c r="N17" s="333">
        <f>IFERROR(IF(L17*M17=0,"",L17*M17),"")</f>
        <v/>
      </c>
      <c r="O17" s="334" t="n"/>
      <c r="P17" s="332">
        <f>IFERROR(VLOOKUP(TEXT(O17,"0"),CONDUCTORES!$A$3:$G$100,2,0),"")</f>
        <v/>
      </c>
      <c r="Q17" s="332">
        <f>IFERROR(VLOOKUP(TEXT(O17,"0"),CONDUCTORES!$A$3:$H$100,6,0),"")</f>
        <v/>
      </c>
      <c r="R17" s="336" t="n">
        <v>45996</v>
      </c>
      <c r="S17" s="305" t="inlineStr">
        <is>
          <t>O149,Z359</t>
        </is>
      </c>
      <c r="T17" s="241" t="n"/>
      <c r="U17" s="280" t="n"/>
      <c r="V17" s="241" t="n"/>
      <c r="W17" s="241" t="n"/>
      <c r="X17" s="241" t="n"/>
      <c r="Y17" s="280" t="n"/>
    </row>
    <row r="18" ht="15.75" customHeight="1" s="195">
      <c r="A18" s="301" t="n">
        <v>13</v>
      </c>
      <c r="B18" s="302" t="inlineStr">
        <is>
          <t>000000921</t>
        </is>
      </c>
      <c r="C18" s="301" t="inlineStr">
        <is>
          <t>REGION</t>
        </is>
      </c>
      <c r="D18" s="302" t="inlineStr">
        <is>
          <t>CAPTO VALLE JESUS MARINO</t>
        </is>
      </c>
      <c r="E18" s="301" t="inlineStr">
        <is>
          <t>DNI</t>
        </is>
      </c>
      <c r="F18" s="301" t="inlineStr">
        <is>
          <t>33726031</t>
        </is>
      </c>
      <c r="G18" s="331" t="n">
        <v>45966</v>
      </c>
      <c r="H18" s="301" t="inlineStr">
        <is>
          <t>4932</t>
        </is>
      </c>
      <c r="I18" s="332">
        <f>IFERROR(VLOOKUP(TEXT(H18,"0"),IPRESS!$A$3:$B$212,2,0),"")</f>
        <v/>
      </c>
      <c r="J18" s="301" t="inlineStr">
        <is>
          <t>4838</t>
        </is>
      </c>
      <c r="K18" s="332">
        <f>IFERROR(VLOOKUP(TEXT(O18,"0"),CONDUCTORES!$A$3:$G$100,7,0),"")</f>
        <v/>
      </c>
      <c r="L18" s="245" t="n">
        <v>18.18</v>
      </c>
      <c r="M18" s="245" t="n">
        <v>8</v>
      </c>
      <c r="N18" s="333">
        <f>IFERROR(IF(L18*M18=0,"",L18*M18),"")</f>
        <v/>
      </c>
      <c r="O18" s="280" t="n"/>
      <c r="P18" s="332">
        <f>IFERROR(VLOOKUP(TEXT(O18,"0"),CONDUCTORES!$A$3:$G$100,2,0),"")</f>
        <v/>
      </c>
      <c r="Q18" s="332">
        <f>IFERROR(VLOOKUP(TEXT(O18,"0"),CONDUCTORES!$A$3:$H$100,6,0),"")</f>
        <v/>
      </c>
      <c r="R18" s="334" t="n"/>
      <c r="S18" s="302" t="inlineStr">
        <is>
          <t>G934,R31X,C61X</t>
        </is>
      </c>
      <c r="T18" s="301" t="n"/>
      <c r="U18" s="334" t="n"/>
      <c r="V18" s="301" t="n"/>
      <c r="W18" s="301" t="n"/>
      <c r="X18" s="301" t="n"/>
      <c r="Y18" s="280" t="n"/>
    </row>
    <row r="19" ht="15.75" customHeight="1" s="195">
      <c r="A19" s="241" t="n">
        <v>14</v>
      </c>
      <c r="B19" s="305" t="inlineStr">
        <is>
          <t>00000246</t>
        </is>
      </c>
      <c r="C19" s="241" t="inlineStr">
        <is>
          <t>REGION</t>
        </is>
      </c>
      <c r="D19" s="305" t="inlineStr">
        <is>
          <t>CHERRES SANTIESTEBAN ANTHONY LORENZO</t>
        </is>
      </c>
      <c r="E19" s="241" t="inlineStr">
        <is>
          <t>DNI</t>
        </is>
      </c>
      <c r="F19" s="241" t="inlineStr">
        <is>
          <t>74308898</t>
        </is>
      </c>
      <c r="G19" s="336" t="n">
        <v>45967</v>
      </c>
      <c r="H19" s="241" t="inlineStr">
        <is>
          <t>4950</t>
        </is>
      </c>
      <c r="I19" s="332">
        <f>IFERROR(VLOOKUP(TEXT(H19,"0"),IPRESS!$A$3:$B$212,2,0),"")</f>
        <v/>
      </c>
      <c r="J19" s="241" t="inlineStr">
        <is>
          <t>4838</t>
        </is>
      </c>
      <c r="K19" s="332">
        <f>IFERROR(VLOOKUP(TEXT(O19,"0"),CONDUCTORES!$A$3:$G$100,7,0),"")</f>
        <v/>
      </c>
      <c r="L19" s="239" t="n">
        <v>20.25</v>
      </c>
      <c r="M19" s="239" t="n">
        <v>7</v>
      </c>
      <c r="N19" s="333">
        <f>IFERROR(IF(L19*M19=0,"",L19*M19),"")</f>
        <v/>
      </c>
      <c r="O19" s="334" t="n"/>
      <c r="P19" s="332">
        <f>IFERROR(VLOOKUP(TEXT(O19,"0"),CONDUCTORES!$A$3:$G$100,2,0),"")</f>
        <v/>
      </c>
      <c r="Q19" s="332">
        <f>IFERROR(VLOOKUP(TEXT(O19,"0"),CONDUCTORES!$A$3:$H$100,6,0),"")</f>
        <v/>
      </c>
      <c r="R19" s="336" t="n">
        <v>45988</v>
      </c>
      <c r="S19" s="305" t="inlineStr">
        <is>
          <t>K359,R104</t>
        </is>
      </c>
      <c r="T19" s="241" t="n"/>
      <c r="U19" s="280" t="n"/>
      <c r="V19" s="241" t="inlineStr">
        <is>
          <t>6044-2025</t>
        </is>
      </c>
      <c r="W19" s="241" t="inlineStr">
        <is>
          <t>3479.0</t>
        </is>
      </c>
      <c r="X19" s="241" t="inlineStr">
        <is>
          <t>189.0</t>
        </is>
      </c>
      <c r="Y19" s="280" t="n"/>
    </row>
    <row r="20" ht="15.75" customHeight="1" s="195">
      <c r="A20" s="301" t="n">
        <v>15</v>
      </c>
      <c r="B20" s="302" t="inlineStr">
        <is>
          <t>00000247</t>
        </is>
      </c>
      <c r="C20" s="301" t="inlineStr">
        <is>
          <t>REGION</t>
        </is>
      </c>
      <c r="D20" s="302" t="inlineStr">
        <is>
          <t>TONGO MOLOCHO ERMELINDA</t>
        </is>
      </c>
      <c r="E20" s="301" t="inlineStr">
        <is>
          <t>DNI</t>
        </is>
      </c>
      <c r="F20" s="301" t="inlineStr">
        <is>
          <t>48710097</t>
        </is>
      </c>
      <c r="G20" s="331" t="n">
        <v>45967</v>
      </c>
      <c r="H20" s="301" t="inlineStr">
        <is>
          <t>4950</t>
        </is>
      </c>
      <c r="I20" s="332">
        <f>IFERROR(VLOOKUP(TEXT(H20,"0"),IPRESS!$A$3:$B$212,2,0),"")</f>
        <v/>
      </c>
      <c r="J20" s="301" t="inlineStr">
        <is>
          <t>4838</t>
        </is>
      </c>
      <c r="K20" s="332">
        <f>IFERROR(VLOOKUP(TEXT(O20,"0"),CONDUCTORES!$A$3:$G$100,7,0),"")</f>
        <v/>
      </c>
      <c r="L20" s="245" t="n">
        <v>20.25</v>
      </c>
      <c r="M20" s="245" t="n">
        <v>7</v>
      </c>
      <c r="N20" s="333">
        <f>IFERROR(IF(L20*M20=0,"",L20*M20),"")</f>
        <v/>
      </c>
      <c r="O20" s="280" t="n"/>
      <c r="P20" s="332">
        <f>IFERROR(VLOOKUP(TEXT(O20,"0"),CONDUCTORES!$A$3:$G$100,2,0),"")</f>
        <v/>
      </c>
      <c r="Q20" s="332">
        <f>IFERROR(VLOOKUP(TEXT(O20,"0"),CONDUCTORES!$A$3:$H$100,6,0),"")</f>
        <v/>
      </c>
      <c r="R20" s="331" t="n">
        <v>45988</v>
      </c>
      <c r="S20" s="302" t="inlineStr">
        <is>
          <t>S721</t>
        </is>
      </c>
      <c r="T20" s="301" t="n"/>
      <c r="U20" s="334" t="n"/>
      <c r="V20" s="301" t="inlineStr">
        <is>
          <t>6044-2025</t>
        </is>
      </c>
      <c r="W20" s="301" t="inlineStr">
        <is>
          <t>3479.0</t>
        </is>
      </c>
      <c r="X20" s="301" t="inlineStr">
        <is>
          <t>189.0</t>
        </is>
      </c>
      <c r="Y20" s="280" t="n"/>
    </row>
    <row r="21" ht="15.75" customHeight="1" s="195">
      <c r="A21" s="241" t="n">
        <v>16</v>
      </c>
      <c r="B21" s="305" t="inlineStr">
        <is>
          <t>00000248</t>
        </is>
      </c>
      <c r="C21" s="241" t="inlineStr">
        <is>
          <t>REGION</t>
        </is>
      </c>
      <c r="D21" s="305" t="inlineStr">
        <is>
          <t>RODAS TAFUR LIZ CRISTINA</t>
        </is>
      </c>
      <c r="E21" s="241" t="inlineStr">
        <is>
          <t>DNI</t>
        </is>
      </c>
      <c r="F21" s="241" t="inlineStr">
        <is>
          <t>33963008</t>
        </is>
      </c>
      <c r="G21" s="336" t="n">
        <v>45967</v>
      </c>
      <c r="H21" s="241" t="inlineStr">
        <is>
          <t>4950</t>
        </is>
      </c>
      <c r="I21" s="332">
        <f>IFERROR(VLOOKUP(TEXT(H21,"0"),IPRESS!$A$3:$B$212,2,0),"")</f>
        <v/>
      </c>
      <c r="J21" s="241" t="inlineStr">
        <is>
          <t>4838</t>
        </is>
      </c>
      <c r="K21" s="332">
        <f>IFERROR(VLOOKUP(TEXT(O21,"0"),CONDUCTORES!$A$3:$G$100,7,0),"")</f>
        <v/>
      </c>
      <c r="L21" s="239" t="n">
        <v>20.25</v>
      </c>
      <c r="M21" s="239" t="n">
        <v>7</v>
      </c>
      <c r="N21" s="333">
        <f>IFERROR(IF(L21*M21=0,"",L21*M21),"")</f>
        <v/>
      </c>
      <c r="O21" s="334" t="n"/>
      <c r="P21" s="332">
        <f>IFERROR(VLOOKUP(TEXT(O21,"0"),CONDUCTORES!$A$3:$G$100,2,0),"")</f>
        <v/>
      </c>
      <c r="Q21" s="332">
        <f>IFERROR(VLOOKUP(TEXT(O21,"0"),CONDUCTORES!$A$3:$H$100,6,0),"")</f>
        <v/>
      </c>
      <c r="R21" s="336" t="n">
        <v>45988</v>
      </c>
      <c r="S21" s="305" t="inlineStr">
        <is>
          <t>K922,R571</t>
        </is>
      </c>
      <c r="T21" s="241" t="n"/>
      <c r="U21" s="280" t="n"/>
      <c r="V21" s="241" t="inlineStr">
        <is>
          <t>6044-2025</t>
        </is>
      </c>
      <c r="W21" s="241" t="inlineStr">
        <is>
          <t>3479.0</t>
        </is>
      </c>
      <c r="X21" s="241" t="inlineStr">
        <is>
          <t>189.0</t>
        </is>
      </c>
      <c r="Y21" s="280" t="n"/>
    </row>
    <row r="22" ht="15.75" customHeight="1" s="195">
      <c r="A22" s="301" t="n">
        <v>17</v>
      </c>
      <c r="B22" s="302" t="inlineStr">
        <is>
          <t>00000041</t>
        </is>
      </c>
      <c r="C22" s="301" t="inlineStr">
        <is>
          <t>REGION</t>
        </is>
      </c>
      <c r="D22" s="302" t="inlineStr">
        <is>
          <t>GUIOP TUCTO LILIANA</t>
        </is>
      </c>
      <c r="E22" s="301" t="inlineStr">
        <is>
          <t>DNI</t>
        </is>
      </c>
      <c r="F22" s="301" t="inlineStr">
        <is>
          <t>73228134</t>
        </is>
      </c>
      <c r="G22" s="331" t="n">
        <v>45968</v>
      </c>
      <c r="H22" s="301" t="inlineStr">
        <is>
          <t>4904</t>
        </is>
      </c>
      <c r="I22" s="332">
        <f>IFERROR(VLOOKUP(TEXT(H22,"0"),IPRESS!$A$3:$B$212,2,0),"")</f>
        <v/>
      </c>
      <c r="J22" s="301" t="inlineStr">
        <is>
          <t>4838</t>
        </is>
      </c>
      <c r="K22" s="332">
        <f>IFERROR(VLOOKUP(TEXT(O22,"0"),CONDUCTORES!$A$3:$G$100,7,0),"")</f>
        <v/>
      </c>
      <c r="L22" s="245" t="n">
        <v>18.18</v>
      </c>
      <c r="M22" s="245" t="n">
        <v>12</v>
      </c>
      <c r="N22" s="333">
        <f>IFERROR(IF(L22*M22=0,"",L22*M22),"")</f>
        <v/>
      </c>
      <c r="O22" s="280" t="n"/>
      <c r="P22" s="332">
        <f>IFERROR(VLOOKUP(TEXT(O22,"0"),CONDUCTORES!$A$3:$G$100,2,0),"")</f>
        <v/>
      </c>
      <c r="Q22" s="332">
        <f>IFERROR(VLOOKUP(TEXT(O22,"0"),CONDUCTORES!$A$3:$H$100,6,0),"")</f>
        <v/>
      </c>
      <c r="R22" s="331" t="n">
        <v>45992</v>
      </c>
      <c r="S22" s="302" t="inlineStr">
        <is>
          <t>O200</t>
        </is>
      </c>
      <c r="T22" s="301" t="inlineStr">
        <is>
          <t>DEVOLVER EL COMBUSTIBLE AL CENTRO DE SALUD JALCA GRANDE</t>
        </is>
      </c>
      <c r="U22" s="334" t="n"/>
      <c r="V22" s="301" t="n"/>
      <c r="W22" s="301" t="n"/>
      <c r="X22" s="301" t="n"/>
      <c r="Y22" s="280" t="n"/>
    </row>
    <row r="23" ht="15.75" customHeight="1" s="195">
      <c r="A23" s="241" t="n">
        <v>18</v>
      </c>
      <c r="B23" s="305" t="inlineStr">
        <is>
          <t>00000249</t>
        </is>
      </c>
      <c r="C23" s="241" t="inlineStr">
        <is>
          <t>REGION</t>
        </is>
      </c>
      <c r="D23" s="305" t="inlineStr">
        <is>
          <t>NOVOA TAFUR EDITHA CONSUELO</t>
        </is>
      </c>
      <c r="E23" s="241" t="inlineStr">
        <is>
          <t>DNI</t>
        </is>
      </c>
      <c r="F23" s="241" t="inlineStr">
        <is>
          <t>33951427</t>
        </is>
      </c>
      <c r="G23" s="336" t="n">
        <v>45969</v>
      </c>
      <c r="H23" s="241" t="inlineStr">
        <is>
          <t>4950</t>
        </is>
      </c>
      <c r="I23" s="332">
        <f>IFERROR(VLOOKUP(TEXT(H23,"0"),IPRESS!$A$3:$B$212,2,0),"")</f>
        <v/>
      </c>
      <c r="J23" s="241" t="inlineStr">
        <is>
          <t>4838</t>
        </is>
      </c>
      <c r="K23" s="332">
        <f>IFERROR(VLOOKUP(TEXT(O23,"0"),CONDUCTORES!$A$3:$G$100,7,0),"")</f>
        <v/>
      </c>
      <c r="L23" s="239" t="n">
        <v>20.25</v>
      </c>
      <c r="M23" s="239" t="n">
        <v>6.7</v>
      </c>
      <c r="N23" s="333">
        <f>IFERROR(IF(L23*M23=0,"",L23*M23),"")</f>
        <v/>
      </c>
      <c r="O23" s="334" t="n"/>
      <c r="P23" s="332">
        <f>IFERROR(VLOOKUP(TEXT(O23,"0"),CONDUCTORES!$A$3:$G$100,2,0),"")</f>
        <v/>
      </c>
      <c r="Q23" s="332">
        <f>IFERROR(VLOOKUP(TEXT(O23,"0"),CONDUCTORES!$A$3:$H$100,6,0),"")</f>
        <v/>
      </c>
      <c r="R23" s="336" t="n">
        <v>45988</v>
      </c>
      <c r="S23" s="305" t="inlineStr">
        <is>
          <t>I639,J690,J841</t>
        </is>
      </c>
      <c r="T23" s="241" t="n"/>
      <c r="U23" s="280" t="n"/>
      <c r="V23" s="241" t="inlineStr">
        <is>
          <t>6044-2025</t>
        </is>
      </c>
      <c r="W23" s="241" t="inlineStr">
        <is>
          <t>3479.0</t>
        </is>
      </c>
      <c r="X23" s="241" t="inlineStr">
        <is>
          <t>189.0</t>
        </is>
      </c>
      <c r="Y23" s="280" t="n"/>
    </row>
    <row r="24" ht="15.75" customHeight="1" s="195">
      <c r="A24" s="301" t="n">
        <v>19</v>
      </c>
      <c r="B24" s="302" t="inlineStr">
        <is>
          <t>00000250</t>
        </is>
      </c>
      <c r="C24" s="301" t="inlineStr">
        <is>
          <t>REGION</t>
        </is>
      </c>
      <c r="D24" s="302" t="inlineStr">
        <is>
          <t>UBILLUS BACA SARA</t>
        </is>
      </c>
      <c r="E24" s="301" t="inlineStr">
        <is>
          <t>DNI</t>
        </is>
      </c>
      <c r="F24" s="301" t="inlineStr">
        <is>
          <t>75902339</t>
        </is>
      </c>
      <c r="G24" s="331" t="n">
        <v>45970</v>
      </c>
      <c r="H24" s="301" t="inlineStr">
        <is>
          <t>4950</t>
        </is>
      </c>
      <c r="I24" s="332">
        <f>IFERROR(VLOOKUP(TEXT(H24,"0"),IPRESS!$A$3:$B$212,2,0),"")</f>
        <v/>
      </c>
      <c r="J24" s="301" t="inlineStr">
        <is>
          <t>4838</t>
        </is>
      </c>
      <c r="K24" s="332">
        <f>IFERROR(VLOOKUP(TEXT(O24,"0"),CONDUCTORES!$A$3:$G$100,7,0),"")</f>
        <v/>
      </c>
      <c r="L24" s="245" t="n">
        <v>20.25</v>
      </c>
      <c r="M24" s="245" t="n">
        <v>7</v>
      </c>
      <c r="N24" s="333">
        <f>IFERROR(IF(L24*M24=0,"",L24*M24),"")</f>
        <v/>
      </c>
      <c r="O24" s="280" t="n"/>
      <c r="P24" s="332">
        <f>IFERROR(VLOOKUP(TEXT(O24,"0"),CONDUCTORES!$A$3:$G$100,2,0),"")</f>
        <v/>
      </c>
      <c r="Q24" s="332">
        <f>IFERROR(VLOOKUP(TEXT(O24,"0"),CONDUCTORES!$A$3:$H$100,6,0),"")</f>
        <v/>
      </c>
      <c r="R24" s="331" t="n">
        <v>45988</v>
      </c>
      <c r="S24" s="302" t="inlineStr">
        <is>
          <t>O321</t>
        </is>
      </c>
      <c r="T24" s="301" t="n"/>
      <c r="U24" s="334" t="n"/>
      <c r="V24" s="301" t="inlineStr">
        <is>
          <t>6044-2025</t>
        </is>
      </c>
      <c r="W24" s="301" t="inlineStr">
        <is>
          <t>3479.0</t>
        </is>
      </c>
      <c r="X24" s="301" t="inlineStr">
        <is>
          <t>189.0</t>
        </is>
      </c>
      <c r="Y24" s="280" t="n"/>
    </row>
    <row r="25" ht="15.75" customHeight="1" s="195">
      <c r="A25" s="241" t="n">
        <v>20</v>
      </c>
      <c r="B25" s="305" t="inlineStr">
        <is>
          <t>00000100</t>
        </is>
      </c>
      <c r="C25" s="241" t="inlineStr">
        <is>
          <t>REGION</t>
        </is>
      </c>
      <c r="D25" s="305" t="inlineStr">
        <is>
          <t>HUAÑAMBAL CAHUAZA ENRIQUE</t>
        </is>
      </c>
      <c r="E25" s="241" t="inlineStr">
        <is>
          <t>DNI</t>
        </is>
      </c>
      <c r="F25" s="241" t="inlineStr">
        <is>
          <t>60128492</t>
        </is>
      </c>
      <c r="G25" s="336" t="n">
        <v>45970</v>
      </c>
      <c r="H25" s="241" t="inlineStr">
        <is>
          <t>4922</t>
        </is>
      </c>
      <c r="I25" s="332">
        <f>IFERROR(VLOOKUP(TEXT(H25,"0"),IPRESS!$A$3:$B$212,2,0),"")</f>
        <v/>
      </c>
      <c r="J25" s="241" t="inlineStr">
        <is>
          <t>4838</t>
        </is>
      </c>
      <c r="K25" s="332">
        <f>IFERROR(VLOOKUP(TEXT(O25,"0"),CONDUCTORES!$A$3:$G$100,7,0),"")</f>
        <v/>
      </c>
      <c r="L25" s="239" t="n">
        <v>18.18</v>
      </c>
      <c r="M25" s="239" t="n">
        <v>5</v>
      </c>
      <c r="N25" s="333">
        <f>IFERROR(IF(L25*M25=0,"",L25*M25),"")</f>
        <v/>
      </c>
      <c r="O25" s="334" t="n"/>
      <c r="P25" s="332">
        <f>IFERROR(VLOOKUP(TEXT(O25,"0"),CONDUCTORES!$A$3:$G$100,2,0),"")</f>
        <v/>
      </c>
      <c r="Q25" s="332">
        <f>IFERROR(VLOOKUP(TEXT(O25,"0"),CONDUCTORES!$A$3:$H$100,6,0),"")</f>
        <v/>
      </c>
      <c r="R25" s="336" t="n">
        <v>45970</v>
      </c>
      <c r="S25" s="305" t="inlineStr">
        <is>
          <t>S010,S020,S065</t>
        </is>
      </c>
      <c r="T25" s="241" t="n"/>
      <c r="U25" s="280" t="n"/>
      <c r="V25" s="241" t="inlineStr">
        <is>
          <t>6071-2025</t>
        </is>
      </c>
      <c r="W25" s="241" t="inlineStr">
        <is>
          <t>CONTRATO No 001-2025 DYT</t>
        </is>
      </c>
      <c r="X25" s="241" t="inlineStr">
        <is>
          <t>266.0</t>
        </is>
      </c>
      <c r="Y25" s="280" t="n"/>
    </row>
    <row r="26" ht="15.75" customHeight="1" s="195">
      <c r="A26" s="337" t="n">
        <v>21</v>
      </c>
      <c r="B26" s="338" t="inlineStr">
        <is>
          <t>00000099</t>
        </is>
      </c>
      <c r="C26" s="337" t="inlineStr">
        <is>
          <t>REGION</t>
        </is>
      </c>
      <c r="D26" s="338" t="inlineStr">
        <is>
          <t>TUESTA PEREZ MIGUEL</t>
        </is>
      </c>
      <c r="E26" s="337" t="inlineStr">
        <is>
          <t>DNI</t>
        </is>
      </c>
      <c r="F26" s="337" t="inlineStr">
        <is>
          <t>42902058</t>
        </is>
      </c>
      <c r="G26" s="339" t="n">
        <v>45970</v>
      </c>
      <c r="H26" s="337" t="inlineStr">
        <is>
          <t>4922</t>
        </is>
      </c>
      <c r="I26" s="332">
        <f>IFERROR(VLOOKUP(TEXT(H26,"0"),IPRESS!$A$3:$B$212,2,0),"")</f>
        <v/>
      </c>
      <c r="J26" s="337" t="inlineStr">
        <is>
          <t>4838</t>
        </is>
      </c>
      <c r="K26" s="332">
        <f>IFERROR(VLOOKUP(TEXT(O26,"0"),CONDUCTORES!$A$3:$G$100,7,0),"")</f>
        <v/>
      </c>
      <c r="L26" s="340" t="n">
        <v>17.95</v>
      </c>
      <c r="M26" s="340" t="n">
        <v>6</v>
      </c>
      <c r="N26" s="333">
        <f>IFERROR(IF(L26*M26=0,"",L26*M26),"")</f>
        <v/>
      </c>
      <c r="O26" s="280" t="n"/>
      <c r="P26" s="332">
        <f>IFERROR(VLOOKUP(TEXT(O26,"0"),CONDUCTORES!$A$3:$G$100,2,0),"")</f>
        <v/>
      </c>
      <c r="Q26" s="332">
        <f>IFERROR(VLOOKUP(TEXT(O26,"0"),CONDUCTORES!$A$3:$H$100,6,0),"")</f>
        <v/>
      </c>
      <c r="R26" s="339" t="n">
        <v>45989</v>
      </c>
      <c r="S26" s="338" t="inlineStr">
        <is>
          <t>S311</t>
        </is>
      </c>
      <c r="T26" s="337" t="n"/>
      <c r="U26" s="341" t="n"/>
      <c r="V26" s="337" t="inlineStr">
        <is>
          <t>6069-2025</t>
        </is>
      </c>
      <c r="W26" s="337" t="inlineStr">
        <is>
          <t>877.0</t>
        </is>
      </c>
      <c r="X26" s="337" t="inlineStr">
        <is>
          <t>189.0</t>
        </is>
      </c>
      <c r="Y26" s="280" t="n"/>
    </row>
    <row r="27" ht="15.75" customHeight="1" s="195">
      <c r="A27" s="241" t="n">
        <v>22</v>
      </c>
      <c r="B27" s="305" t="inlineStr">
        <is>
          <t>00000098</t>
        </is>
      </c>
      <c r="C27" s="241" t="inlineStr">
        <is>
          <t>REGION</t>
        </is>
      </c>
      <c r="D27" s="305" t="inlineStr">
        <is>
          <t>ROJAS CULQUI ROSA</t>
        </is>
      </c>
      <c r="E27" s="241" t="inlineStr">
        <is>
          <t>DNI</t>
        </is>
      </c>
      <c r="F27" s="241" t="inlineStr">
        <is>
          <t>45165592</t>
        </is>
      </c>
      <c r="G27" s="336" t="n">
        <v>45970</v>
      </c>
      <c r="H27" s="241" t="inlineStr">
        <is>
          <t>4922</t>
        </is>
      </c>
      <c r="I27" s="332">
        <f>IFERROR(VLOOKUP(TEXT(H27,"0"),IPRESS!$A$3:$B$212,2,0),"")</f>
        <v/>
      </c>
      <c r="J27" s="241" t="inlineStr">
        <is>
          <t>4838</t>
        </is>
      </c>
      <c r="K27" s="332">
        <f>IFERROR(VLOOKUP(TEXT(O27,"0"),CONDUCTORES!$A$3:$G$100,7,0),"")</f>
        <v/>
      </c>
      <c r="L27" s="239" t="n">
        <v>18.18</v>
      </c>
      <c r="M27" s="239" t="n">
        <v>5</v>
      </c>
      <c r="N27" s="333">
        <f>IFERROR(IF(L27*M27=0,"",L27*M27),"")</f>
        <v/>
      </c>
      <c r="O27" s="334" t="n"/>
      <c r="P27" s="332">
        <f>IFERROR(VLOOKUP(TEXT(O27,"0"),CONDUCTORES!$A$3:$G$100,2,0),"")</f>
        <v/>
      </c>
      <c r="Q27" s="332">
        <f>IFERROR(VLOOKUP(TEXT(O27,"0"),CONDUCTORES!$A$3:$H$100,6,0),"")</f>
        <v/>
      </c>
      <c r="R27" s="280" t="n"/>
      <c r="S27" s="305" t="inlineStr">
        <is>
          <t>S010,S020,S065</t>
        </is>
      </c>
      <c r="T27" s="241" t="n"/>
      <c r="U27" s="280" t="n"/>
      <c r="V27" s="241" t="n"/>
      <c r="W27" s="241" t="n"/>
      <c r="X27" s="241" t="n"/>
      <c r="Y27" s="280" t="n"/>
    </row>
    <row r="28" ht="15.75" customHeight="1" s="195">
      <c r="A28" s="301" t="n">
        <v>23</v>
      </c>
      <c r="B28" s="302" t="inlineStr">
        <is>
          <t>00000014</t>
        </is>
      </c>
      <c r="C28" s="301" t="inlineStr">
        <is>
          <t>REGION</t>
        </is>
      </c>
      <c r="D28" s="302" t="inlineStr">
        <is>
          <t>VILCA DE HUAMAN SHAVICA</t>
        </is>
      </c>
      <c r="E28" s="301" t="inlineStr">
        <is>
          <t>DNI</t>
        </is>
      </c>
      <c r="F28" s="301" t="inlineStr">
        <is>
          <t>33962597</t>
        </is>
      </c>
      <c r="G28" s="331" t="n">
        <v>45971</v>
      </c>
      <c r="H28" s="301" t="inlineStr">
        <is>
          <t>4946</t>
        </is>
      </c>
      <c r="I28" s="332">
        <f>IFERROR(VLOOKUP(TEXT(H28,"0"),IPRESS!$A$3:$B$212,2,0),"")</f>
        <v/>
      </c>
      <c r="J28" s="301" t="inlineStr">
        <is>
          <t>4950</t>
        </is>
      </c>
      <c r="K28" s="332">
        <f>IFERROR(VLOOKUP(TEXT(O28,"0"),CONDUCTORES!$A$3:$G$100,7,0),"")</f>
        <v/>
      </c>
      <c r="L28" s="245" t="n">
        <v>20.25</v>
      </c>
      <c r="M28" s="245" t="n">
        <v>3</v>
      </c>
      <c r="N28" s="333">
        <f>IFERROR(IF(L28*M28=0,"",L28*M28),"")</f>
        <v/>
      </c>
      <c r="O28" s="280" t="n"/>
      <c r="P28" s="332">
        <f>IFERROR(VLOOKUP(TEXT(O28,"0"),CONDUCTORES!$A$3:$G$100,2,0),"")</f>
        <v/>
      </c>
      <c r="Q28" s="332">
        <f>IFERROR(VLOOKUP(TEXT(O28,"0"),CONDUCTORES!$A$3:$H$100,6,0),"")</f>
        <v/>
      </c>
      <c r="R28" s="331" t="n">
        <v>46010</v>
      </c>
      <c r="S28" s="302" t="inlineStr">
        <is>
          <t>I209</t>
        </is>
      </c>
      <c r="T28" s="301" t="n"/>
      <c r="U28" s="334" t="n"/>
      <c r="V28" s="301" t="n"/>
      <c r="W28" s="301" t="n"/>
      <c r="X28" s="301" t="n"/>
      <c r="Y28" s="280" t="n"/>
    </row>
    <row r="29" ht="15.75" customHeight="1" s="195">
      <c r="A29" s="241" t="n">
        <v>24</v>
      </c>
      <c r="B29" s="305" t="inlineStr">
        <is>
          <t>00000091</t>
        </is>
      </c>
      <c r="C29" s="241" t="inlineStr">
        <is>
          <t>REGION</t>
        </is>
      </c>
      <c r="D29" s="305" t="inlineStr">
        <is>
          <t>SANCHEZ BECERRA PORFIRIO</t>
        </is>
      </c>
      <c r="E29" s="241" t="inlineStr">
        <is>
          <t>DNI</t>
        </is>
      </c>
      <c r="F29" s="241" t="inlineStr">
        <is>
          <t>33731949</t>
        </is>
      </c>
      <c r="G29" s="336" t="n">
        <v>45971</v>
      </c>
      <c r="H29" s="241" t="inlineStr">
        <is>
          <t>4932</t>
        </is>
      </c>
      <c r="I29" s="332">
        <f>IFERROR(VLOOKUP(TEXT(H29,"0"),IPRESS!$A$3:$B$212,2,0),"")</f>
        <v/>
      </c>
      <c r="J29" s="241" t="inlineStr">
        <is>
          <t>4838</t>
        </is>
      </c>
      <c r="K29" s="332">
        <f>IFERROR(VLOOKUP(TEXT(O29,"0"),CONDUCTORES!$A$3:$G$100,7,0),"")</f>
        <v/>
      </c>
      <c r="L29" s="239" t="n">
        <v>18.18</v>
      </c>
      <c r="M29" s="239" t="n">
        <v>8</v>
      </c>
      <c r="N29" s="333">
        <f>IFERROR(IF(L29*M29=0,"",L29*M29),"")</f>
        <v/>
      </c>
      <c r="O29" s="334" t="n"/>
      <c r="P29" s="332">
        <f>IFERROR(VLOOKUP(TEXT(O29,"0"),CONDUCTORES!$A$3:$G$100,2,0),"")</f>
        <v/>
      </c>
      <c r="Q29" s="332">
        <f>IFERROR(VLOOKUP(TEXT(O29,"0"),CONDUCTORES!$A$3:$H$100,6,0),"")</f>
        <v/>
      </c>
      <c r="R29" s="336" t="n">
        <v>45996</v>
      </c>
      <c r="S29" s="305" t="inlineStr">
        <is>
          <t>H113</t>
        </is>
      </c>
      <c r="T29" s="241" t="n"/>
      <c r="U29" s="280" t="n"/>
      <c r="V29" s="241" t="n"/>
      <c r="W29" s="241" t="n"/>
      <c r="X29" s="241" t="n"/>
      <c r="Y29" s="280" t="n"/>
    </row>
    <row r="30" ht="15.75" customHeight="1" s="195">
      <c r="A30" s="301" t="n">
        <v>25</v>
      </c>
      <c r="B30" s="302" t="inlineStr">
        <is>
          <t>00000093</t>
        </is>
      </c>
      <c r="C30" s="301" t="inlineStr">
        <is>
          <t>REGION</t>
        </is>
      </c>
      <c r="D30" s="302" t="inlineStr">
        <is>
          <t>CORDOVA DIAZ EVELY</t>
        </is>
      </c>
      <c r="E30" s="301" t="inlineStr">
        <is>
          <t>DNI</t>
        </is>
      </c>
      <c r="F30" s="301" t="inlineStr">
        <is>
          <t>75698526</t>
        </is>
      </c>
      <c r="G30" s="331" t="n">
        <v>45971</v>
      </c>
      <c r="H30" s="301" t="inlineStr">
        <is>
          <t>4932</t>
        </is>
      </c>
      <c r="I30" s="332">
        <f>IFERROR(VLOOKUP(TEXT(H30,"0"),IPRESS!$A$3:$B$212,2,0),"")</f>
        <v/>
      </c>
      <c r="J30" s="301" t="inlineStr">
        <is>
          <t>4838</t>
        </is>
      </c>
      <c r="K30" s="332">
        <f>IFERROR(VLOOKUP(TEXT(O30,"0"),CONDUCTORES!$A$3:$G$100,7,0),"")</f>
        <v/>
      </c>
      <c r="L30" s="245" t="n">
        <v>18.18</v>
      </c>
      <c r="M30" s="245" t="n">
        <v>6</v>
      </c>
      <c r="N30" s="333">
        <f>IFERROR(IF(L30*M30=0,"",L30*M30),"")</f>
        <v/>
      </c>
      <c r="O30" s="280" t="n"/>
      <c r="P30" s="332">
        <f>IFERROR(VLOOKUP(TEXT(O30,"0"),CONDUCTORES!$A$3:$G$100,2,0),"")</f>
        <v/>
      </c>
      <c r="Q30" s="332">
        <f>IFERROR(VLOOKUP(TEXT(O30,"0"),CONDUCTORES!$A$3:$H$100,6,0),"")</f>
        <v/>
      </c>
      <c r="R30" s="331" t="n">
        <v>45996</v>
      </c>
      <c r="S30" s="302" t="inlineStr">
        <is>
          <t>O211,Z359</t>
        </is>
      </c>
      <c r="T30" s="301" t="n"/>
      <c r="U30" s="334" t="n"/>
      <c r="V30" s="301" t="n"/>
      <c r="W30" s="301" t="n"/>
      <c r="X30" s="301" t="n"/>
      <c r="Y30" s="280" t="n"/>
    </row>
    <row r="31" ht="15.75" customHeight="1" s="195">
      <c r="A31" s="241" t="n">
        <v>26</v>
      </c>
      <c r="B31" s="305" t="inlineStr">
        <is>
          <t>00000080</t>
        </is>
      </c>
      <c r="C31" s="241" t="inlineStr">
        <is>
          <t>REGION</t>
        </is>
      </c>
      <c r="D31" s="305" t="inlineStr">
        <is>
          <t>ARISTA DIAPIZ ETELVINA</t>
        </is>
      </c>
      <c r="E31" s="241" t="inlineStr">
        <is>
          <t>DNI</t>
        </is>
      </c>
      <c r="F31" s="241" t="inlineStr">
        <is>
          <t>80348066</t>
        </is>
      </c>
      <c r="G31" s="336" t="n">
        <v>45972</v>
      </c>
      <c r="H31" s="241" t="inlineStr">
        <is>
          <t>4866</t>
        </is>
      </c>
      <c r="I31" s="332">
        <f>IFERROR(VLOOKUP(TEXT(H31,"0"),IPRESS!$A$3:$B$212,2,0),"")</f>
        <v/>
      </c>
      <c r="J31" s="241" t="inlineStr">
        <is>
          <t>4838</t>
        </is>
      </c>
      <c r="K31" s="332">
        <f>IFERROR(VLOOKUP(TEXT(O31,"0"),CONDUCTORES!$A$3:$G$100,7,0),"")</f>
        <v/>
      </c>
      <c r="L31" s="239" t="n">
        <v>18.18</v>
      </c>
      <c r="M31" s="239" t="n">
        <v>4</v>
      </c>
      <c r="N31" s="333">
        <f>IFERROR(IF(L31*M31=0,"",L31*M31),"")</f>
        <v/>
      </c>
      <c r="O31" s="334" t="n"/>
      <c r="P31" s="332">
        <f>IFERROR(VLOOKUP(TEXT(O31,"0"),CONDUCTORES!$A$3:$G$100,2,0),"")</f>
        <v/>
      </c>
      <c r="Q31" s="332">
        <f>IFERROR(VLOOKUP(TEXT(O31,"0"),CONDUCTORES!$A$3:$H$100,6,0),"")</f>
        <v/>
      </c>
      <c r="R31" s="336" t="n">
        <v>45988</v>
      </c>
      <c r="S31" s="305" t="inlineStr">
        <is>
          <t>I500</t>
        </is>
      </c>
      <c r="T31" s="241" t="n"/>
      <c r="U31" s="280" t="n"/>
      <c r="V31" s="241" t="inlineStr">
        <is>
          <t>6038-2025</t>
        </is>
      </c>
      <c r="W31" s="241" t="inlineStr">
        <is>
          <t>CONTRATO 001-2025</t>
        </is>
      </c>
      <c r="X31" s="241" t="inlineStr">
        <is>
          <t>266.0</t>
        </is>
      </c>
      <c r="Y31" s="280" t="n"/>
    </row>
    <row r="32" ht="15.75" customHeight="1" s="195">
      <c r="A32" s="301" t="n">
        <v>27</v>
      </c>
      <c r="B32" s="302" t="inlineStr">
        <is>
          <t>00000251</t>
        </is>
      </c>
      <c r="C32" s="301" t="inlineStr">
        <is>
          <t>REGION</t>
        </is>
      </c>
      <c r="D32" s="302" t="inlineStr">
        <is>
          <t>CHUQUIPIONDO CAMAN INGRID ZELIDETH</t>
        </is>
      </c>
      <c r="E32" s="301" t="inlineStr">
        <is>
          <t>DNI</t>
        </is>
      </c>
      <c r="F32" s="301" t="inlineStr">
        <is>
          <t>61728356</t>
        </is>
      </c>
      <c r="G32" s="331" t="n">
        <v>45973</v>
      </c>
      <c r="H32" s="301" t="inlineStr">
        <is>
          <t>4950</t>
        </is>
      </c>
      <c r="I32" s="332">
        <f>IFERROR(VLOOKUP(TEXT(H32,"0"),IPRESS!$A$3:$B$212,2,0),"")</f>
        <v/>
      </c>
      <c r="J32" s="301" t="inlineStr">
        <is>
          <t>4838</t>
        </is>
      </c>
      <c r="K32" s="332">
        <f>IFERROR(VLOOKUP(TEXT(O32,"0"),CONDUCTORES!$A$3:$G$100,7,0),"")</f>
        <v/>
      </c>
      <c r="L32" s="245" t="n">
        <v>20.25</v>
      </c>
      <c r="M32" s="245" t="n">
        <v>7</v>
      </c>
      <c r="N32" s="333">
        <f>IFERROR(IF(L32*M32=0,"",L32*M32),"")</f>
        <v/>
      </c>
      <c r="O32" s="280" t="n"/>
      <c r="P32" s="332">
        <f>IFERROR(VLOOKUP(TEXT(O32,"0"),CONDUCTORES!$A$3:$G$100,2,0),"")</f>
        <v/>
      </c>
      <c r="Q32" s="332">
        <f>IFERROR(VLOOKUP(TEXT(O32,"0"),CONDUCTORES!$A$3:$H$100,6,0),"")</f>
        <v/>
      </c>
      <c r="R32" s="331" t="n">
        <v>45988</v>
      </c>
      <c r="S32" s="302" t="inlineStr">
        <is>
          <t>O230,O990,O991</t>
        </is>
      </c>
      <c r="T32" s="301" t="n"/>
      <c r="U32" s="334" t="n"/>
      <c r="V32" s="301" t="inlineStr">
        <is>
          <t>6044-2025</t>
        </is>
      </c>
      <c r="W32" s="301" t="inlineStr">
        <is>
          <t>3479.0</t>
        </is>
      </c>
      <c r="X32" s="301" t="inlineStr">
        <is>
          <t>189.0</t>
        </is>
      </c>
      <c r="Y32" s="280" t="n"/>
    </row>
    <row r="33" ht="15.75" customHeight="1" s="195">
      <c r="A33" s="241" t="n">
        <v>28</v>
      </c>
      <c r="B33" s="305" t="inlineStr">
        <is>
          <t>00000081</t>
        </is>
      </c>
      <c r="C33" s="241" t="inlineStr">
        <is>
          <t>REGION</t>
        </is>
      </c>
      <c r="D33" s="305" t="inlineStr">
        <is>
          <t>CACHAY TUESTA JUDITH</t>
        </is>
      </c>
      <c r="E33" s="241" t="inlineStr">
        <is>
          <t>DNI</t>
        </is>
      </c>
      <c r="F33" s="241" t="inlineStr">
        <is>
          <t>60393249</t>
        </is>
      </c>
      <c r="G33" s="336" t="n">
        <v>45973</v>
      </c>
      <c r="H33" s="241" t="inlineStr">
        <is>
          <t>4866</t>
        </is>
      </c>
      <c r="I33" s="332">
        <f>IFERROR(VLOOKUP(TEXT(H33,"0"),IPRESS!$A$3:$B$212,2,0),"")</f>
        <v/>
      </c>
      <c r="J33" s="241" t="inlineStr">
        <is>
          <t>4838</t>
        </is>
      </c>
      <c r="K33" s="332">
        <f>IFERROR(VLOOKUP(TEXT(O33,"0"),CONDUCTORES!$A$3:$G$100,7,0),"")</f>
        <v/>
      </c>
      <c r="L33" s="239" t="n">
        <v>18.18</v>
      </c>
      <c r="M33" s="239" t="n">
        <v>4</v>
      </c>
      <c r="N33" s="333">
        <f>IFERROR(IF(L33*M33=0,"",L33*M33),"")</f>
        <v/>
      </c>
      <c r="O33" s="334" t="n"/>
      <c r="P33" s="332">
        <f>IFERROR(VLOOKUP(TEXT(O33,"0"),CONDUCTORES!$A$3:$G$100,2,0),"")</f>
        <v/>
      </c>
      <c r="Q33" s="332">
        <f>IFERROR(VLOOKUP(TEXT(O33,"0"),CONDUCTORES!$A$3:$H$100,6,0),"")</f>
        <v/>
      </c>
      <c r="R33" s="280" t="n"/>
      <c r="S33" s="305" t="inlineStr">
        <is>
          <t>O688,O365</t>
        </is>
      </c>
      <c r="T33" s="241" t="n"/>
      <c r="U33" s="280" t="n"/>
      <c r="V33" s="241" t="n"/>
      <c r="W33" s="241" t="n"/>
      <c r="X33" s="241" t="n"/>
      <c r="Y33" s="280" t="n"/>
    </row>
    <row r="34" ht="15.75" customHeight="1" s="195">
      <c r="A34" s="301" t="n">
        <v>29</v>
      </c>
      <c r="B34" s="302" t="inlineStr">
        <is>
          <t>00000095</t>
        </is>
      </c>
      <c r="C34" s="301" t="inlineStr">
        <is>
          <t>REGION</t>
        </is>
      </c>
      <c r="D34" s="302" t="inlineStr">
        <is>
          <t>TONGO FERNENDEZ DAGOBERTO</t>
        </is>
      </c>
      <c r="E34" s="301" t="inlineStr">
        <is>
          <t>DNI</t>
        </is>
      </c>
      <c r="F34" s="301" t="inlineStr">
        <is>
          <t>33652676</t>
        </is>
      </c>
      <c r="G34" s="331" t="n">
        <v>45973</v>
      </c>
      <c r="H34" s="301" t="inlineStr">
        <is>
          <t>4932</t>
        </is>
      </c>
      <c r="I34" s="332">
        <f>IFERROR(VLOOKUP(TEXT(H34,"0"),IPRESS!$A$3:$B$212,2,0),"")</f>
        <v/>
      </c>
      <c r="J34" s="301" t="inlineStr">
        <is>
          <t>4838</t>
        </is>
      </c>
      <c r="K34" s="332">
        <f>IFERROR(VLOOKUP(TEXT(O34,"0"),CONDUCTORES!$A$3:$G$100,7,0),"")</f>
        <v/>
      </c>
      <c r="L34" s="245" t="n">
        <v>18.18</v>
      </c>
      <c r="M34" s="245" t="n">
        <v>8</v>
      </c>
      <c r="N34" s="333">
        <f>IFERROR(IF(L34*M34=0,"",L34*M34),"")</f>
        <v/>
      </c>
      <c r="O34" s="280" t="n"/>
      <c r="P34" s="332">
        <f>IFERROR(VLOOKUP(TEXT(O34,"0"),CONDUCTORES!$A$3:$G$100,2,0),"")</f>
        <v/>
      </c>
      <c r="Q34" s="332">
        <f>IFERROR(VLOOKUP(TEXT(O34,"0"),CONDUCTORES!$A$3:$H$100,6,0),"")</f>
        <v/>
      </c>
      <c r="R34" s="334" t="n"/>
      <c r="S34" s="302" t="inlineStr">
        <is>
          <t>I209,I219,I10X</t>
        </is>
      </c>
      <c r="T34" s="301" t="n"/>
      <c r="U34" s="334" t="n"/>
      <c r="V34" s="301" t="n"/>
      <c r="W34" s="301" t="n"/>
      <c r="X34" s="301" t="n"/>
      <c r="Y34" s="280" t="n"/>
    </row>
    <row r="35" ht="15.75" customHeight="1" s="195">
      <c r="A35" s="241" t="n">
        <v>30</v>
      </c>
      <c r="B35" s="305" t="inlineStr">
        <is>
          <t>00000094</t>
        </is>
      </c>
      <c r="C35" s="241" t="inlineStr">
        <is>
          <t>REGION</t>
        </is>
      </c>
      <c r="D35" s="305" t="inlineStr">
        <is>
          <t>VITON DELGADO EDITA</t>
        </is>
      </c>
      <c r="E35" s="241" t="inlineStr">
        <is>
          <t>DNI</t>
        </is>
      </c>
      <c r="F35" s="241" t="inlineStr">
        <is>
          <t>33738126</t>
        </is>
      </c>
      <c r="G35" s="336" t="n">
        <v>45973</v>
      </c>
      <c r="H35" s="241" t="inlineStr">
        <is>
          <t>4932</t>
        </is>
      </c>
      <c r="I35" s="332">
        <f>IFERROR(VLOOKUP(TEXT(H35,"0"),IPRESS!$A$3:$B$212,2,0),"")</f>
        <v/>
      </c>
      <c r="J35" s="241" t="inlineStr">
        <is>
          <t>4838</t>
        </is>
      </c>
      <c r="K35" s="332">
        <f>IFERROR(VLOOKUP(TEXT(O35,"0"),CONDUCTORES!$A$3:$G$100,7,0),"")</f>
        <v/>
      </c>
      <c r="L35" s="239" t="n">
        <v>18.18</v>
      </c>
      <c r="M35" s="239" t="n">
        <v>8</v>
      </c>
      <c r="N35" s="333">
        <f>IFERROR(IF(L35*M35=0,"",L35*M35),"")</f>
        <v/>
      </c>
      <c r="O35" s="334" t="n"/>
      <c r="P35" s="332">
        <f>IFERROR(VLOOKUP(TEXT(O35,"0"),CONDUCTORES!$A$3:$G$100,2,0),"")</f>
        <v/>
      </c>
      <c r="Q35" s="332">
        <f>IFERROR(VLOOKUP(TEXT(O35,"0"),CONDUCTORES!$A$3:$H$100,6,0),"")</f>
        <v/>
      </c>
      <c r="R35" s="280" t="n"/>
      <c r="S35" s="305" t="inlineStr">
        <is>
          <t>I64X</t>
        </is>
      </c>
      <c r="T35" s="241" t="n"/>
      <c r="U35" s="280" t="n"/>
      <c r="V35" s="241" t="n"/>
      <c r="W35" s="241" t="n"/>
      <c r="X35" s="241" t="n"/>
      <c r="Y35" s="280" t="n"/>
    </row>
    <row r="36" ht="15.75" customHeight="1" s="195">
      <c r="A36" s="301" t="n">
        <v>31</v>
      </c>
      <c r="B36" s="302" t="inlineStr">
        <is>
          <t>00000061</t>
        </is>
      </c>
      <c r="C36" s="301" t="inlineStr">
        <is>
          <t>REGION</t>
        </is>
      </c>
      <c r="D36" s="302" t="inlineStr">
        <is>
          <t>CHUMBE OLIVARES MARIA JESUS</t>
        </is>
      </c>
      <c r="E36" s="301" t="inlineStr">
        <is>
          <t>DNI</t>
        </is>
      </c>
      <c r="F36" s="301" t="inlineStr">
        <is>
          <t>33781471</t>
        </is>
      </c>
      <c r="G36" s="331" t="n">
        <v>45973</v>
      </c>
      <c r="H36" s="301" t="inlineStr">
        <is>
          <t>4850</t>
        </is>
      </c>
      <c r="I36" s="332">
        <f>IFERROR(VLOOKUP(TEXT(H36,"0"),IPRESS!$A$3:$B$212,2,0),"")</f>
        <v/>
      </c>
      <c r="J36" s="301" t="inlineStr">
        <is>
          <t>4838</t>
        </is>
      </c>
      <c r="K36" s="332">
        <f>IFERROR(VLOOKUP(TEXT(O36,"0"),CONDUCTORES!$A$3:$G$100,7,0),"")</f>
        <v/>
      </c>
      <c r="L36" s="245" t="n">
        <v>18.18</v>
      </c>
      <c r="M36" s="245" t="n">
        <v>4</v>
      </c>
      <c r="N36" s="333">
        <f>IFERROR(IF(L36*M36=0,"",L36*M36),"")</f>
        <v/>
      </c>
      <c r="O36" s="280" t="n"/>
      <c r="P36" s="332">
        <f>IFERROR(VLOOKUP(TEXT(O36,"0"),CONDUCTORES!$A$3:$G$100,2,0),"")</f>
        <v/>
      </c>
      <c r="Q36" s="332">
        <f>IFERROR(VLOOKUP(TEXT(O36,"0"),CONDUCTORES!$A$3:$H$100,6,0),"")</f>
        <v/>
      </c>
      <c r="R36" s="334" t="n"/>
      <c r="S36" s="302" t="inlineStr">
        <is>
          <t>G919</t>
        </is>
      </c>
      <c r="T36" s="301" t="n"/>
      <c r="U36" s="334" t="n"/>
      <c r="V36" s="301" t="n"/>
      <c r="W36" s="301" t="n"/>
      <c r="X36" s="301" t="n"/>
      <c r="Y36" s="280" t="n"/>
    </row>
    <row r="37" ht="15.75" customHeight="1" s="195">
      <c r="A37" s="241" t="n">
        <v>32</v>
      </c>
      <c r="B37" s="305" t="inlineStr">
        <is>
          <t>00000252</t>
        </is>
      </c>
      <c r="C37" s="241" t="inlineStr">
        <is>
          <t>REGION</t>
        </is>
      </c>
      <c r="D37" s="305" t="inlineStr">
        <is>
          <t>RAMOS GOICOCHEA LUZ HERLITA</t>
        </is>
      </c>
      <c r="E37" s="241" t="inlineStr">
        <is>
          <t>DNI</t>
        </is>
      </c>
      <c r="F37" s="241" t="inlineStr">
        <is>
          <t>77486057</t>
        </is>
      </c>
      <c r="G37" s="336" t="n">
        <v>45974</v>
      </c>
      <c r="H37" s="241" t="inlineStr">
        <is>
          <t>4950</t>
        </is>
      </c>
      <c r="I37" s="332">
        <f>IFERROR(VLOOKUP(TEXT(H37,"0"),IPRESS!$A$3:$B$212,2,0),"")</f>
        <v/>
      </c>
      <c r="J37" s="241" t="inlineStr">
        <is>
          <t>4838</t>
        </is>
      </c>
      <c r="K37" s="332">
        <f>IFERROR(VLOOKUP(TEXT(O37,"0"),CONDUCTORES!$A$3:$G$100,7,0),"")</f>
        <v/>
      </c>
      <c r="L37" s="239" t="n">
        <v>20.25</v>
      </c>
      <c r="M37" s="239" t="n">
        <v>7</v>
      </c>
      <c r="N37" s="333">
        <f>IFERROR(IF(L37*M37=0,"",L37*M37),"")</f>
        <v/>
      </c>
      <c r="O37" s="334" t="n"/>
      <c r="P37" s="332">
        <f>IFERROR(VLOOKUP(TEXT(O37,"0"),CONDUCTORES!$A$3:$G$100,2,0),"")</f>
        <v/>
      </c>
      <c r="Q37" s="332">
        <f>IFERROR(VLOOKUP(TEXT(O37,"0"),CONDUCTORES!$A$3:$H$100,6,0),"")</f>
        <v/>
      </c>
      <c r="R37" s="336" t="n">
        <v>45988</v>
      </c>
      <c r="S37" s="305" t="inlineStr">
        <is>
          <t>O420,O234</t>
        </is>
      </c>
      <c r="T37" s="241" t="n"/>
      <c r="U37" s="280" t="n"/>
      <c r="V37" s="241" t="inlineStr">
        <is>
          <t>6044-2025</t>
        </is>
      </c>
      <c r="W37" s="241" t="inlineStr">
        <is>
          <t>3479.0</t>
        </is>
      </c>
      <c r="X37" s="241" t="inlineStr">
        <is>
          <t>189.0</t>
        </is>
      </c>
      <c r="Y37" s="280" t="n"/>
    </row>
    <row r="38" ht="15.75" customHeight="1" s="195">
      <c r="A38" s="337" t="n">
        <v>33</v>
      </c>
      <c r="B38" s="338" t="inlineStr">
        <is>
          <t>00000104</t>
        </is>
      </c>
      <c r="C38" s="337" t="inlineStr">
        <is>
          <t>REGION</t>
        </is>
      </c>
      <c r="D38" s="338" t="inlineStr">
        <is>
          <t>GOÑAS DE VALLE ENEDINA</t>
        </is>
      </c>
      <c r="E38" s="337" t="inlineStr">
        <is>
          <t>DNI</t>
        </is>
      </c>
      <c r="F38" s="337" t="inlineStr">
        <is>
          <t>33732666</t>
        </is>
      </c>
      <c r="G38" s="339" t="n">
        <v>45974</v>
      </c>
      <c r="H38" s="337" t="inlineStr">
        <is>
          <t>4922</t>
        </is>
      </c>
      <c r="I38" s="332">
        <f>IFERROR(VLOOKUP(TEXT(H38,"0"),IPRESS!$A$3:$B$212,2,0),"")</f>
        <v/>
      </c>
      <c r="J38" s="337" t="inlineStr">
        <is>
          <t>4838</t>
        </is>
      </c>
      <c r="K38" s="332">
        <f>IFERROR(VLOOKUP(TEXT(O38,"0"),CONDUCTORES!$A$3:$G$100,7,0),"")</f>
        <v/>
      </c>
      <c r="L38" s="340" t="n">
        <v>17.95</v>
      </c>
      <c r="M38" s="340" t="n">
        <v>6</v>
      </c>
      <c r="N38" s="333">
        <f>IFERROR(IF(L38*M38=0,"",L38*M38),"")</f>
        <v/>
      </c>
      <c r="O38" s="280" t="n"/>
      <c r="P38" s="332">
        <f>IFERROR(VLOOKUP(TEXT(O38,"0"),CONDUCTORES!$A$3:$G$100,2,0),"")</f>
        <v/>
      </c>
      <c r="Q38" s="332">
        <f>IFERROR(VLOOKUP(TEXT(O38,"0"),CONDUCTORES!$A$3:$H$100,6,0),"")</f>
        <v/>
      </c>
      <c r="R38" s="341" t="n"/>
      <c r="S38" s="338" t="inlineStr">
        <is>
          <t>I10X,I674</t>
        </is>
      </c>
      <c r="T38" s="337" t="n"/>
      <c r="U38" s="341" t="n"/>
      <c r="V38" s="337" t="n"/>
      <c r="W38" s="337" t="n"/>
      <c r="X38" s="337" t="n"/>
      <c r="Y38" s="280" t="n"/>
    </row>
    <row r="39" ht="15.75" customHeight="1" s="195">
      <c r="A39" s="241" t="n">
        <v>34</v>
      </c>
      <c r="B39" s="305" t="inlineStr">
        <is>
          <t>00000253</t>
        </is>
      </c>
      <c r="C39" s="241" t="inlineStr">
        <is>
          <t>REGION</t>
        </is>
      </c>
      <c r="D39" s="305" t="inlineStr">
        <is>
          <t>PUERTA SOPLA LEYBER MARCELINO</t>
        </is>
      </c>
      <c r="E39" s="241" t="inlineStr">
        <is>
          <t>DNI</t>
        </is>
      </c>
      <c r="F39" s="241" t="inlineStr">
        <is>
          <t>60030832</t>
        </is>
      </c>
      <c r="G39" s="336" t="n">
        <v>45975</v>
      </c>
      <c r="H39" s="241" t="inlineStr">
        <is>
          <t>4950</t>
        </is>
      </c>
      <c r="I39" s="332">
        <f>IFERROR(VLOOKUP(TEXT(H39,"0"),IPRESS!$A$3:$B$212,2,0),"")</f>
        <v/>
      </c>
      <c r="J39" s="241" t="inlineStr">
        <is>
          <t>4838</t>
        </is>
      </c>
      <c r="K39" s="332">
        <f>IFERROR(VLOOKUP(TEXT(O39,"0"),CONDUCTORES!$A$3:$G$100,7,0),"")</f>
        <v/>
      </c>
      <c r="L39" s="239" t="n">
        <v>20.25</v>
      </c>
      <c r="M39" s="239" t="n">
        <v>7</v>
      </c>
      <c r="N39" s="333">
        <f>IFERROR(IF(L39*M39=0,"",L39*M39),"")</f>
        <v/>
      </c>
      <c r="O39" s="334" t="n"/>
      <c r="P39" s="332">
        <f>IFERROR(VLOOKUP(TEXT(O39,"0"),CONDUCTORES!$A$3:$G$100,2,0),"")</f>
        <v/>
      </c>
      <c r="Q39" s="332">
        <f>IFERROR(VLOOKUP(TEXT(O39,"0"),CONDUCTORES!$A$3:$H$100,6,0),"")</f>
        <v/>
      </c>
      <c r="R39" s="336" t="n">
        <v>45988</v>
      </c>
      <c r="S39" s="305" t="inlineStr">
        <is>
          <t>K359</t>
        </is>
      </c>
      <c r="T39" s="241" t="n"/>
      <c r="U39" s="280" t="n"/>
      <c r="V39" s="241" t="inlineStr">
        <is>
          <t>6044-2025</t>
        </is>
      </c>
      <c r="W39" s="241" t="inlineStr">
        <is>
          <t>3479.0</t>
        </is>
      </c>
      <c r="X39" s="241" t="inlineStr">
        <is>
          <t>189.0</t>
        </is>
      </c>
      <c r="Y39" s="280" t="n"/>
    </row>
    <row r="40" ht="15.75" customHeight="1" s="195">
      <c r="A40" s="301" t="n">
        <v>35</v>
      </c>
      <c r="B40" s="302" t="inlineStr">
        <is>
          <t>00000024</t>
        </is>
      </c>
      <c r="C40" s="301" t="inlineStr">
        <is>
          <t>REGION</t>
        </is>
      </c>
      <c r="D40" s="302" t="inlineStr">
        <is>
          <t>PUSCAN HUAMAN FERNANDO</t>
        </is>
      </c>
      <c r="E40" s="301" t="inlineStr">
        <is>
          <t>DNI</t>
        </is>
      </c>
      <c r="F40" s="301" t="inlineStr">
        <is>
          <t>33436144</t>
        </is>
      </c>
      <c r="G40" s="331" t="n">
        <v>45975</v>
      </c>
      <c r="H40" s="301" t="inlineStr">
        <is>
          <t>4905</t>
        </is>
      </c>
      <c r="I40" s="332">
        <f>IFERROR(VLOOKUP(TEXT(H40,"0"),IPRESS!$A$3:$B$212,2,0),"")</f>
        <v/>
      </c>
      <c r="J40" s="301" t="inlineStr">
        <is>
          <t>4838</t>
        </is>
      </c>
      <c r="K40" s="332">
        <f>IFERROR(VLOOKUP(TEXT(O40,"0"),CONDUCTORES!$A$3:$G$100,7,0),"")</f>
        <v/>
      </c>
      <c r="L40" s="245" t="n">
        <v>18.18</v>
      </c>
      <c r="M40" s="245" t="n">
        <v>8</v>
      </c>
      <c r="N40" s="333">
        <f>IFERROR(IF(L40*M40=0,"",L40*M40),"")</f>
        <v/>
      </c>
      <c r="O40" s="280" t="n"/>
      <c r="P40" s="332">
        <f>IFERROR(VLOOKUP(TEXT(O40,"0"),CONDUCTORES!$A$3:$G$100,2,0),"")</f>
        <v/>
      </c>
      <c r="Q40" s="332">
        <f>IFERROR(VLOOKUP(TEXT(O40,"0"),CONDUCTORES!$A$3:$H$100,6,0),"")</f>
        <v/>
      </c>
      <c r="R40" s="334" t="n"/>
      <c r="S40" s="302" t="inlineStr">
        <is>
          <t>S818,S823</t>
        </is>
      </c>
      <c r="T40" s="301" t="n"/>
      <c r="U40" s="334" t="n"/>
      <c r="V40" s="301" t="n"/>
      <c r="W40" s="301" t="n"/>
      <c r="X40" s="301" t="n"/>
      <c r="Y40" s="280" t="n"/>
    </row>
    <row r="41" ht="15.75" customHeight="1" s="195">
      <c r="A41" s="337" t="n">
        <v>36</v>
      </c>
      <c r="B41" s="338" t="inlineStr">
        <is>
          <t>00000101</t>
        </is>
      </c>
      <c r="C41" s="337" t="inlineStr">
        <is>
          <t>REGION</t>
        </is>
      </c>
      <c r="D41" s="338" t="inlineStr">
        <is>
          <t>VILCA OCAMPO MARIA ROSARIO</t>
        </is>
      </c>
      <c r="E41" s="337" t="inlineStr">
        <is>
          <t>DNI</t>
        </is>
      </c>
      <c r="F41" s="337" t="inlineStr">
        <is>
          <t>47651509</t>
        </is>
      </c>
      <c r="G41" s="339" t="n">
        <v>45975</v>
      </c>
      <c r="H41" s="337" t="inlineStr">
        <is>
          <t>4922</t>
        </is>
      </c>
      <c r="I41" s="332">
        <f>IFERROR(VLOOKUP(TEXT(H41,"0"),IPRESS!$A$3:$B$212,2,0),"")</f>
        <v/>
      </c>
      <c r="J41" s="337" t="inlineStr">
        <is>
          <t>4838</t>
        </is>
      </c>
      <c r="K41" s="332">
        <f>IFERROR(VLOOKUP(TEXT(O41,"0"),CONDUCTORES!$A$3:$G$100,7,0),"")</f>
        <v/>
      </c>
      <c r="L41" s="340" t="n">
        <v>17.95</v>
      </c>
      <c r="M41" s="340" t="n">
        <v>6</v>
      </c>
      <c r="N41" s="333">
        <f>IFERROR(IF(L41*M41=0,"",L41*M41),"")</f>
        <v/>
      </c>
      <c r="O41" s="334" t="n"/>
      <c r="P41" s="332">
        <f>IFERROR(VLOOKUP(TEXT(O41,"0"),CONDUCTORES!$A$3:$G$100,2,0),"")</f>
        <v/>
      </c>
      <c r="Q41" s="332">
        <f>IFERROR(VLOOKUP(TEXT(O41,"0"),CONDUCTORES!$A$3:$H$100,6,0),"")</f>
        <v/>
      </c>
      <c r="R41" s="339" t="n">
        <v>45989</v>
      </c>
      <c r="S41" s="338" t="inlineStr">
        <is>
          <t>O429</t>
        </is>
      </c>
      <c r="T41" s="337" t="n"/>
      <c r="U41" s="341" t="n"/>
      <c r="V41" s="337" t="inlineStr">
        <is>
          <t>6069-2025</t>
        </is>
      </c>
      <c r="W41" s="337" t="inlineStr">
        <is>
          <t>877.0</t>
        </is>
      </c>
      <c r="X41" s="337" t="inlineStr">
        <is>
          <t>189.0</t>
        </is>
      </c>
      <c r="Y41" s="280" t="n"/>
    </row>
    <row r="42" ht="15.75" customHeight="1" s="195">
      <c r="A42" s="301" t="n">
        <v>37</v>
      </c>
      <c r="B42" s="302" t="inlineStr">
        <is>
          <t>00000005</t>
        </is>
      </c>
      <c r="C42" s="301" t="inlineStr">
        <is>
          <t>REGION</t>
        </is>
      </c>
      <c r="D42" s="302" t="inlineStr">
        <is>
          <t>MENDOZA LOPEZ NEYRA PAMELA</t>
        </is>
      </c>
      <c r="E42" s="301" t="inlineStr">
        <is>
          <t>DNI</t>
        </is>
      </c>
      <c r="F42" s="301" t="inlineStr">
        <is>
          <t>61645327</t>
        </is>
      </c>
      <c r="G42" s="331" t="n">
        <v>45975</v>
      </c>
      <c r="H42" s="301" t="inlineStr">
        <is>
          <t>7060</t>
        </is>
      </c>
      <c r="I42" s="332">
        <f>IFERROR(VLOOKUP(TEXT(H42,"0"),IPRESS!$A$3:$B$212,2,0),"")</f>
        <v/>
      </c>
      <c r="J42" s="301" t="inlineStr">
        <is>
          <t>4838</t>
        </is>
      </c>
      <c r="K42" s="332">
        <f>IFERROR(VLOOKUP(TEXT(O42,"0"),CONDUCTORES!$A$3:$G$100,7,0),"")</f>
        <v/>
      </c>
      <c r="L42" s="245" t="n">
        <v>18.18</v>
      </c>
      <c r="M42" s="245" t="n">
        <v>20</v>
      </c>
      <c r="N42" s="333">
        <f>IFERROR(IF(L42*M42=0,"",L42*M42),"")</f>
        <v/>
      </c>
      <c r="O42" s="280" t="n"/>
      <c r="P42" s="332">
        <f>IFERROR(VLOOKUP(TEXT(O42,"0"),CONDUCTORES!$A$3:$G$100,2,0),"")</f>
        <v/>
      </c>
      <c r="Q42" s="332">
        <f>IFERROR(VLOOKUP(TEXT(O42,"0"),CONDUCTORES!$A$3:$H$100,6,0),"")</f>
        <v/>
      </c>
      <c r="R42" s="334" t="n"/>
      <c r="S42" s="302" t="inlineStr">
        <is>
          <t>T600</t>
        </is>
      </c>
      <c r="T42" s="301" t="inlineStr">
        <is>
          <t>DEVOLVER AL C.S. COLLONCE</t>
        </is>
      </c>
      <c r="U42" s="334" t="n"/>
      <c r="V42" s="301" t="n"/>
      <c r="W42" s="301" t="n"/>
      <c r="X42" s="301" t="n"/>
      <c r="Y42" s="280" t="n"/>
    </row>
    <row r="43" ht="15.75" customHeight="1" s="195">
      <c r="A43" s="241" t="n">
        <v>38</v>
      </c>
      <c r="B43" s="305" t="inlineStr">
        <is>
          <t>00000102</t>
        </is>
      </c>
      <c r="C43" s="241" t="inlineStr">
        <is>
          <t>REGION</t>
        </is>
      </c>
      <c r="D43" s="305" t="inlineStr">
        <is>
          <t>MORI CUMBIA EXALTACION CRUZ</t>
        </is>
      </c>
      <c r="E43" s="241" t="inlineStr">
        <is>
          <t>DNI</t>
        </is>
      </c>
      <c r="F43" s="241" t="inlineStr">
        <is>
          <t>33729640</t>
        </is>
      </c>
      <c r="G43" s="336" t="n">
        <v>45976</v>
      </c>
      <c r="H43" s="241" t="inlineStr">
        <is>
          <t>4922</t>
        </is>
      </c>
      <c r="I43" s="332">
        <f>IFERROR(VLOOKUP(TEXT(H43,"0"),IPRESS!$A$3:$B$212,2,0),"")</f>
        <v/>
      </c>
      <c r="J43" s="241" t="inlineStr">
        <is>
          <t>4838</t>
        </is>
      </c>
      <c r="K43" s="332">
        <f>IFERROR(VLOOKUP(TEXT(O43,"0"),CONDUCTORES!$A$3:$G$100,7,0),"")</f>
        <v/>
      </c>
      <c r="L43" s="239" t="n">
        <v>18.18</v>
      </c>
      <c r="M43" s="239" t="n">
        <v>5</v>
      </c>
      <c r="N43" s="333">
        <f>IFERROR(IF(L43*M43=0,"",L43*M43),"")</f>
        <v/>
      </c>
      <c r="O43" s="334" t="n"/>
      <c r="P43" s="332">
        <f>IFERROR(VLOOKUP(TEXT(O43,"0"),CONDUCTORES!$A$3:$G$100,2,0),"")</f>
        <v/>
      </c>
      <c r="Q43" s="332">
        <f>IFERROR(VLOOKUP(TEXT(O43,"0"),CONDUCTORES!$A$3:$H$100,6,0),"")</f>
        <v/>
      </c>
      <c r="R43" s="336" t="n">
        <v>45970</v>
      </c>
      <c r="S43" s="305" t="inlineStr">
        <is>
          <t>J64X,J10X</t>
        </is>
      </c>
      <c r="T43" s="241" t="n"/>
      <c r="U43" s="280" t="n"/>
      <c r="V43" s="241" t="inlineStr">
        <is>
          <t>6071-2025</t>
        </is>
      </c>
      <c r="W43" s="241" t="inlineStr">
        <is>
          <t>CONTRATO No 001-2025 DYT</t>
        </is>
      </c>
      <c r="X43" s="241" t="inlineStr">
        <is>
          <t>266.0</t>
        </is>
      </c>
      <c r="Y43" s="280" t="n"/>
    </row>
    <row r="44" ht="15.75" customHeight="1" s="195">
      <c r="A44" s="301" t="n">
        <v>39</v>
      </c>
      <c r="B44" s="302" t="inlineStr">
        <is>
          <t>00000254</t>
        </is>
      </c>
      <c r="C44" s="301" t="inlineStr">
        <is>
          <t>REGION</t>
        </is>
      </c>
      <c r="D44" s="302" t="inlineStr">
        <is>
          <t>LOPEZ LOPEZ DE VEGA ADILIA MERCEDES</t>
        </is>
      </c>
      <c r="E44" s="301" t="inlineStr">
        <is>
          <t>DNI</t>
        </is>
      </c>
      <c r="F44" s="301" t="inlineStr">
        <is>
          <t>33789648</t>
        </is>
      </c>
      <c r="G44" s="331" t="n">
        <v>45977</v>
      </c>
      <c r="H44" s="301" t="inlineStr">
        <is>
          <t>4950</t>
        </is>
      </c>
      <c r="I44" s="332">
        <f>IFERROR(VLOOKUP(TEXT(H44,"0"),IPRESS!$A$3:$B$212,2,0),"")</f>
        <v/>
      </c>
      <c r="J44" s="301" t="inlineStr">
        <is>
          <t>4838</t>
        </is>
      </c>
      <c r="K44" s="332">
        <f>IFERROR(VLOOKUP(TEXT(O44,"0"),CONDUCTORES!$A$3:$G$100,7,0),"")</f>
        <v/>
      </c>
      <c r="L44" s="245" t="n">
        <v>20.25</v>
      </c>
      <c r="M44" s="245" t="n">
        <v>7</v>
      </c>
      <c r="N44" s="333">
        <f>IFERROR(IF(L44*M44=0,"",L44*M44),"")</f>
        <v/>
      </c>
      <c r="O44" s="280" t="n"/>
      <c r="P44" s="332">
        <f>IFERROR(VLOOKUP(TEXT(O44,"0"),CONDUCTORES!$A$3:$G$100,2,0),"")</f>
        <v/>
      </c>
      <c r="Q44" s="332">
        <f>IFERROR(VLOOKUP(TEXT(O44,"0"),CONDUCTORES!$A$3:$H$100,6,0),"")</f>
        <v/>
      </c>
      <c r="R44" s="331" t="n">
        <v>45988</v>
      </c>
      <c r="S44" s="302" t="inlineStr">
        <is>
          <t>K830,C221,D649</t>
        </is>
      </c>
      <c r="T44" s="301" t="n"/>
      <c r="U44" s="334" t="n"/>
      <c r="V44" s="301" t="inlineStr">
        <is>
          <t>6044-2025</t>
        </is>
      </c>
      <c r="W44" s="301" t="inlineStr">
        <is>
          <t>3479.0</t>
        </is>
      </c>
      <c r="X44" s="301" t="inlineStr">
        <is>
          <t>189.0</t>
        </is>
      </c>
      <c r="Y44" s="280" t="n"/>
    </row>
    <row r="45" ht="15.75" customHeight="1" s="195">
      <c r="A45" s="241" t="n">
        <v>40</v>
      </c>
      <c r="B45" s="305" t="inlineStr">
        <is>
          <t>00000096</t>
        </is>
      </c>
      <c r="C45" s="241" t="inlineStr">
        <is>
          <t>REGION</t>
        </is>
      </c>
      <c r="D45" s="305" t="inlineStr">
        <is>
          <t>ACUÑA VARGAS JON JONATAN</t>
        </is>
      </c>
      <c r="E45" s="241" t="inlineStr">
        <is>
          <t>DNI</t>
        </is>
      </c>
      <c r="F45" s="241" t="inlineStr">
        <is>
          <t>81032177</t>
        </is>
      </c>
      <c r="G45" s="336" t="n">
        <v>45978</v>
      </c>
      <c r="H45" s="241" t="inlineStr">
        <is>
          <t>4932</t>
        </is>
      </c>
      <c r="I45" s="332">
        <f>IFERROR(VLOOKUP(TEXT(H45,"0"),IPRESS!$A$3:$B$212,2,0),"")</f>
        <v/>
      </c>
      <c r="J45" s="241" t="inlineStr">
        <is>
          <t>4838</t>
        </is>
      </c>
      <c r="K45" s="332">
        <f>IFERROR(VLOOKUP(TEXT(O45,"0"),CONDUCTORES!$A$3:$G$100,7,0),"")</f>
        <v/>
      </c>
      <c r="L45" s="239" t="n">
        <v>18.18</v>
      </c>
      <c r="M45" s="239" t="n">
        <v>6</v>
      </c>
      <c r="N45" s="333">
        <f>IFERROR(IF(L45*M45=0,"",L45*M45),"")</f>
        <v/>
      </c>
      <c r="O45" s="334" t="n"/>
      <c r="P45" s="332">
        <f>IFERROR(VLOOKUP(TEXT(O45,"0"),CONDUCTORES!$A$3:$G$100,2,0),"")</f>
        <v/>
      </c>
      <c r="Q45" s="332">
        <f>IFERROR(VLOOKUP(TEXT(O45,"0"),CONDUCTORES!$A$3:$H$100,6,0),"")</f>
        <v/>
      </c>
      <c r="R45" s="280" t="n"/>
      <c r="S45" s="305" t="inlineStr">
        <is>
          <t>S069,S108</t>
        </is>
      </c>
      <c r="T45" s="241" t="n"/>
      <c r="U45" s="280" t="n"/>
      <c r="V45" s="241" t="n"/>
      <c r="W45" s="241" t="n"/>
      <c r="X45" s="241" t="n"/>
      <c r="Y45" s="280" t="n"/>
    </row>
    <row r="46" ht="15.75" customHeight="1" s="195">
      <c r="A46" s="301" t="n">
        <v>41</v>
      </c>
      <c r="B46" s="302" t="inlineStr">
        <is>
          <t>00000025</t>
        </is>
      </c>
      <c r="C46" s="301" t="inlineStr">
        <is>
          <t>REGION</t>
        </is>
      </c>
      <c r="D46" s="302" t="inlineStr">
        <is>
          <t>TUCTO GUIOP DANNY</t>
        </is>
      </c>
      <c r="E46" s="301" t="inlineStr">
        <is>
          <t>DNI</t>
        </is>
      </c>
      <c r="F46" s="301" t="inlineStr">
        <is>
          <t>72732497</t>
        </is>
      </c>
      <c r="G46" s="331" t="n">
        <v>45979</v>
      </c>
      <c r="H46" s="301" t="inlineStr">
        <is>
          <t>4905</t>
        </is>
      </c>
      <c r="I46" s="332">
        <f>IFERROR(VLOOKUP(TEXT(H46,"0"),IPRESS!$A$3:$B$212,2,0),"")</f>
        <v/>
      </c>
      <c r="J46" s="301" t="inlineStr">
        <is>
          <t>4838</t>
        </is>
      </c>
      <c r="K46" s="332">
        <f>IFERROR(VLOOKUP(TEXT(O46,"0"),CONDUCTORES!$A$3:$G$100,7,0),"")</f>
        <v/>
      </c>
      <c r="L46" s="245" t="n">
        <v>18.18</v>
      </c>
      <c r="M46" s="245" t="n">
        <v>8</v>
      </c>
      <c r="N46" s="333">
        <f>IFERROR(IF(L46*M46=0,"",L46*M46),"")</f>
        <v/>
      </c>
      <c r="O46" s="280" t="n"/>
      <c r="P46" s="332">
        <f>IFERROR(VLOOKUP(TEXT(O46,"0"),CONDUCTORES!$A$3:$G$100,2,0),"")</f>
        <v/>
      </c>
      <c r="Q46" s="332">
        <f>IFERROR(VLOOKUP(TEXT(O46,"0"),CONDUCTORES!$A$3:$H$100,6,0),"")</f>
        <v/>
      </c>
      <c r="R46" s="334" t="n"/>
      <c r="S46" s="302" t="inlineStr">
        <is>
          <t>O429</t>
        </is>
      </c>
      <c r="T46" s="301" t="n"/>
      <c r="U46" s="334" t="n"/>
      <c r="V46" s="301" t="n"/>
      <c r="W46" s="301" t="n"/>
      <c r="X46" s="301" t="n"/>
      <c r="Y46" s="280" t="n"/>
    </row>
    <row r="47" ht="15.75" customHeight="1" s="195">
      <c r="A47" s="241" t="n">
        <v>42</v>
      </c>
      <c r="B47" s="305" t="inlineStr">
        <is>
          <t>00000062</t>
        </is>
      </c>
      <c r="C47" s="241" t="inlineStr">
        <is>
          <t>REGION</t>
        </is>
      </c>
      <c r="D47" s="305" t="inlineStr">
        <is>
          <t>VALQUI VENTURA LUCILA ZADIHT</t>
        </is>
      </c>
      <c r="E47" s="241" t="inlineStr">
        <is>
          <t>DNI</t>
        </is>
      </c>
      <c r="F47" s="241" t="inlineStr">
        <is>
          <t>46851509</t>
        </is>
      </c>
      <c r="G47" s="336" t="n">
        <v>45980</v>
      </c>
      <c r="H47" s="241" t="inlineStr">
        <is>
          <t>4850</t>
        </is>
      </c>
      <c r="I47" s="332">
        <f>IFERROR(VLOOKUP(TEXT(H47,"0"),IPRESS!$A$3:$B$212,2,0),"")</f>
        <v/>
      </c>
      <c r="J47" s="241" t="inlineStr">
        <is>
          <t>4838</t>
        </is>
      </c>
      <c r="K47" s="332">
        <f>IFERROR(VLOOKUP(TEXT(O47,"0"),CONDUCTORES!$A$3:$G$100,7,0),"")</f>
        <v/>
      </c>
      <c r="L47" s="239" t="n">
        <v>18.18</v>
      </c>
      <c r="M47" s="239" t="n">
        <v>4</v>
      </c>
      <c r="N47" s="333">
        <f>IFERROR(IF(L47*M47=0,"",L47*M47),"")</f>
        <v/>
      </c>
      <c r="O47" s="334" t="n"/>
      <c r="P47" s="332">
        <f>IFERROR(VLOOKUP(TEXT(O47,"0"),CONDUCTORES!$A$3:$G$100,2,0),"")</f>
        <v/>
      </c>
      <c r="Q47" s="332">
        <f>IFERROR(VLOOKUP(TEXT(O47,"0"),CONDUCTORES!$A$3:$H$100,6,0),"")</f>
        <v/>
      </c>
      <c r="R47" s="280" t="n"/>
      <c r="S47" s="305" t="inlineStr">
        <is>
          <t>P059</t>
        </is>
      </c>
      <c r="T47" s="241" t="n"/>
      <c r="U47" s="280" t="n"/>
      <c r="V47" s="241" t="n"/>
      <c r="W47" s="241" t="n"/>
      <c r="X47" s="241" t="n"/>
      <c r="Y47" s="280" t="n"/>
    </row>
    <row r="48" ht="15.75" customHeight="1" s="195">
      <c r="A48" s="301" t="n">
        <v>43</v>
      </c>
      <c r="B48" s="302" t="inlineStr">
        <is>
          <t>00000255</t>
        </is>
      </c>
      <c r="C48" s="301" t="inlineStr">
        <is>
          <t>REGION</t>
        </is>
      </c>
      <c r="D48" s="302" t="inlineStr">
        <is>
          <t>BACA MALDONADO PERCY</t>
        </is>
      </c>
      <c r="E48" s="301" t="inlineStr">
        <is>
          <t>DNI</t>
        </is>
      </c>
      <c r="F48" s="301" t="inlineStr">
        <is>
          <t>77473851</t>
        </is>
      </c>
      <c r="G48" s="331" t="n">
        <v>45981</v>
      </c>
      <c r="H48" s="301" t="inlineStr">
        <is>
          <t>4950</t>
        </is>
      </c>
      <c r="I48" s="332">
        <f>IFERROR(VLOOKUP(TEXT(H48,"0"),IPRESS!$A$3:$B$212,2,0),"")</f>
        <v/>
      </c>
      <c r="J48" s="301" t="inlineStr">
        <is>
          <t>4838</t>
        </is>
      </c>
      <c r="K48" s="332">
        <f>IFERROR(VLOOKUP(TEXT(O48,"0"),CONDUCTORES!$A$3:$G$100,7,0),"")</f>
        <v/>
      </c>
      <c r="L48" s="245" t="n">
        <v>20.25</v>
      </c>
      <c r="M48" s="245" t="n">
        <v>7</v>
      </c>
      <c r="N48" s="333">
        <f>IFERROR(IF(L48*M48=0,"",L48*M48),"")</f>
        <v/>
      </c>
      <c r="O48" s="280" t="n"/>
      <c r="P48" s="332">
        <f>IFERROR(VLOOKUP(TEXT(O48,"0"),CONDUCTORES!$A$3:$G$100,2,0),"")</f>
        <v/>
      </c>
      <c r="Q48" s="332">
        <f>IFERROR(VLOOKUP(TEXT(O48,"0"),CONDUCTORES!$A$3:$H$100,6,0),"")</f>
        <v/>
      </c>
      <c r="R48" s="331" t="n">
        <v>45988</v>
      </c>
      <c r="S48" s="302" t="inlineStr">
        <is>
          <t>I871,R220,I10X</t>
        </is>
      </c>
      <c r="T48" s="301" t="n"/>
      <c r="U48" s="334" t="n"/>
      <c r="V48" s="301" t="inlineStr">
        <is>
          <t>6044-2025</t>
        </is>
      </c>
      <c r="W48" s="301" t="inlineStr">
        <is>
          <t>3479.0</t>
        </is>
      </c>
      <c r="X48" s="301" t="inlineStr">
        <is>
          <t>189.0</t>
        </is>
      </c>
      <c r="Y48" s="280" t="n"/>
    </row>
    <row r="49" ht="15.75" customHeight="1" s="195">
      <c r="A49" s="241" t="n">
        <v>44</v>
      </c>
      <c r="B49" s="305" t="inlineStr">
        <is>
          <t>00000024</t>
        </is>
      </c>
      <c r="C49" s="241" t="inlineStr">
        <is>
          <t>REGION</t>
        </is>
      </c>
      <c r="D49" s="305" t="inlineStr">
        <is>
          <t>RUIZ LOPEZ ELSA VALENTINA</t>
        </is>
      </c>
      <c r="E49" s="241" t="inlineStr">
        <is>
          <t>DNI</t>
        </is>
      </c>
      <c r="F49" s="241" t="inlineStr">
        <is>
          <t>90639035</t>
        </is>
      </c>
      <c r="G49" s="336" t="n">
        <v>45981</v>
      </c>
      <c r="H49" s="241" t="inlineStr">
        <is>
          <t>4917</t>
        </is>
      </c>
      <c r="I49" s="332">
        <f>IFERROR(VLOOKUP(TEXT(H49,"0"),IPRESS!$A$3:$B$212,2,0),"")</f>
        <v/>
      </c>
      <c r="J49" s="241" t="inlineStr">
        <is>
          <t>4838</t>
        </is>
      </c>
      <c r="K49" s="332">
        <f>IFERROR(VLOOKUP(TEXT(O49,"0"),CONDUCTORES!$A$3:$G$100,7,0),"")</f>
        <v/>
      </c>
      <c r="L49" s="239" t="n">
        <v>18.18</v>
      </c>
      <c r="M49" s="239" t="n">
        <v>12</v>
      </c>
      <c r="N49" s="333">
        <f>IFERROR(IF(L49*M49=0,"",L49*M49),"")</f>
        <v/>
      </c>
      <c r="O49" s="334" t="n"/>
      <c r="P49" s="332">
        <f>IFERROR(VLOOKUP(TEXT(O49,"0"),CONDUCTORES!$A$3:$G$100,2,0),"")</f>
        <v/>
      </c>
      <c r="Q49" s="332">
        <f>IFERROR(VLOOKUP(TEXT(O49,"0"),CONDUCTORES!$A$3:$H$100,6,0),"")</f>
        <v/>
      </c>
      <c r="R49" s="280" t="n"/>
      <c r="S49" s="305" t="inlineStr">
        <is>
          <t>K359</t>
        </is>
      </c>
      <c r="T49" s="241" t="n"/>
      <c r="U49" s="280" t="n"/>
      <c r="V49" s="241" t="n"/>
      <c r="W49" s="241" t="n"/>
      <c r="X49" s="241" t="n"/>
      <c r="Y49" s="280" t="n"/>
    </row>
    <row r="50" ht="15.75" customHeight="1" s="195">
      <c r="A50" s="301" t="n">
        <v>45</v>
      </c>
      <c r="B50" s="302" t="inlineStr">
        <is>
          <t>00000097</t>
        </is>
      </c>
      <c r="C50" s="301" t="inlineStr">
        <is>
          <t>REGION</t>
        </is>
      </c>
      <c r="D50" s="302" t="inlineStr">
        <is>
          <t>MEDINA CUBAS ELIZABETH</t>
        </is>
      </c>
      <c r="E50" s="301" t="inlineStr">
        <is>
          <t>DNI</t>
        </is>
      </c>
      <c r="F50" s="301" t="inlineStr">
        <is>
          <t>48721179</t>
        </is>
      </c>
      <c r="G50" s="331" t="n">
        <v>45981</v>
      </c>
      <c r="H50" s="301" t="inlineStr">
        <is>
          <t>4932</t>
        </is>
      </c>
      <c r="I50" s="332">
        <f>IFERROR(VLOOKUP(TEXT(H50,"0"),IPRESS!$A$3:$B$212,2,0),"")</f>
        <v/>
      </c>
      <c r="J50" s="301" t="inlineStr">
        <is>
          <t>4838</t>
        </is>
      </c>
      <c r="K50" s="332">
        <f>IFERROR(VLOOKUP(TEXT(O50,"0"),CONDUCTORES!$A$3:$G$100,7,0),"")</f>
        <v/>
      </c>
      <c r="L50" s="245" t="n">
        <v>18.18</v>
      </c>
      <c r="M50" s="245" t="n">
        <v>6</v>
      </c>
      <c r="N50" s="333">
        <f>IFERROR(IF(L50*M50=0,"",L50*M50),"")</f>
        <v/>
      </c>
      <c r="O50" s="280" t="n"/>
      <c r="P50" s="332">
        <f>IFERROR(VLOOKUP(TEXT(O50,"0"),CONDUCTORES!$A$3:$G$100,2,0),"")</f>
        <v/>
      </c>
      <c r="Q50" s="332">
        <f>IFERROR(VLOOKUP(TEXT(O50,"0"),CONDUCTORES!$A$3:$H$100,6,0),"")</f>
        <v/>
      </c>
      <c r="R50" s="334" t="n"/>
      <c r="S50" s="302" t="inlineStr">
        <is>
          <t>Z359,O366</t>
        </is>
      </c>
      <c r="T50" s="301" t="n"/>
      <c r="U50" s="334" t="n"/>
      <c r="V50" s="301" t="n"/>
      <c r="W50" s="301" t="n"/>
      <c r="X50" s="301" t="n"/>
      <c r="Y50" s="280" t="n"/>
    </row>
    <row r="51" ht="15.75" customHeight="1" s="195">
      <c r="A51" s="241" t="n">
        <v>46</v>
      </c>
      <c r="B51" s="305" t="inlineStr">
        <is>
          <t>00000004</t>
        </is>
      </c>
      <c r="C51" s="241" t="inlineStr">
        <is>
          <t>REGION</t>
        </is>
      </c>
      <c r="D51" s="305" t="inlineStr">
        <is>
          <t>SALVA DIAZ LIDUVINA</t>
        </is>
      </c>
      <c r="E51" s="241" t="inlineStr">
        <is>
          <t>DNI</t>
        </is>
      </c>
      <c r="F51" s="241" t="inlineStr">
        <is>
          <t>43331641</t>
        </is>
      </c>
      <c r="G51" s="336" t="n">
        <v>45982</v>
      </c>
      <c r="H51" s="241" t="inlineStr">
        <is>
          <t>4916</t>
        </is>
      </c>
      <c r="I51" s="332">
        <f>IFERROR(VLOOKUP(TEXT(H51,"0"),IPRESS!$A$3:$B$212,2,0),"")</f>
        <v/>
      </c>
      <c r="J51" s="241" t="inlineStr">
        <is>
          <t>4838</t>
        </is>
      </c>
      <c r="K51" s="332">
        <f>IFERROR(VLOOKUP(TEXT(O51,"0"),CONDUCTORES!$A$3:$G$100,7,0),"")</f>
        <v/>
      </c>
      <c r="L51" s="239" t="n">
        <v>18.18</v>
      </c>
      <c r="M51" s="239" t="n">
        <v>12</v>
      </c>
      <c r="N51" s="333">
        <f>IFERROR(IF(L51*M51=0,"",L51*M51),"")</f>
        <v/>
      </c>
      <c r="O51" s="334" t="n"/>
      <c r="P51" s="332">
        <f>IFERROR(VLOOKUP(TEXT(O51,"0"),CONDUCTORES!$A$3:$G$100,2,0),"")</f>
        <v/>
      </c>
      <c r="Q51" s="332">
        <f>IFERROR(VLOOKUP(TEXT(O51,"0"),CONDUCTORES!$A$3:$H$100,6,0),"")</f>
        <v/>
      </c>
      <c r="R51" s="280" t="n"/>
      <c r="S51" s="305" t="inlineStr">
        <is>
          <t>Z359,O342</t>
        </is>
      </c>
      <c r="T51" s="241" t="n"/>
      <c r="U51" s="280" t="n"/>
      <c r="V51" s="241" t="n"/>
      <c r="W51" s="241" t="n"/>
      <c r="X51" s="241" t="n"/>
      <c r="Y51" s="280" t="n"/>
    </row>
    <row r="52" ht="15.75" customHeight="1" s="195">
      <c r="A52" s="301" t="n">
        <v>47</v>
      </c>
      <c r="B52" s="302" t="inlineStr">
        <is>
          <t>00000256</t>
        </is>
      </c>
      <c r="C52" s="301" t="inlineStr">
        <is>
          <t>REGION</t>
        </is>
      </c>
      <c r="D52" s="302" t="inlineStr">
        <is>
          <t>TAFUR DE LOPEZ CELINDA ROSA</t>
        </is>
      </c>
      <c r="E52" s="301" t="inlineStr">
        <is>
          <t>DNI</t>
        </is>
      </c>
      <c r="F52" s="301" t="inlineStr">
        <is>
          <t>33949713</t>
        </is>
      </c>
      <c r="G52" s="331" t="n">
        <v>45982</v>
      </c>
      <c r="H52" s="301" t="inlineStr">
        <is>
          <t>4950</t>
        </is>
      </c>
      <c r="I52" s="332">
        <f>IFERROR(VLOOKUP(TEXT(H52,"0"),IPRESS!$A$3:$B$212,2,0),"")</f>
        <v/>
      </c>
      <c r="J52" s="301" t="inlineStr">
        <is>
          <t>4838</t>
        </is>
      </c>
      <c r="K52" s="332">
        <f>IFERROR(VLOOKUP(TEXT(O52,"0"),CONDUCTORES!$A$3:$G$100,7,0),"")</f>
        <v/>
      </c>
      <c r="L52" s="245" t="n">
        <v>20.25</v>
      </c>
      <c r="M52" s="245" t="n">
        <v>7</v>
      </c>
      <c r="N52" s="333">
        <f>IFERROR(IF(L52*M52=0,"",L52*M52),"")</f>
        <v/>
      </c>
      <c r="O52" s="280" t="n"/>
      <c r="P52" s="332">
        <f>IFERROR(VLOOKUP(TEXT(O52,"0"),CONDUCTORES!$A$3:$G$100,2,0),"")</f>
        <v/>
      </c>
      <c r="Q52" s="332">
        <f>IFERROR(VLOOKUP(TEXT(O52,"0"),CONDUCTORES!$A$3:$H$100,6,0),"")</f>
        <v/>
      </c>
      <c r="R52" s="334" t="n"/>
      <c r="S52" s="302" t="inlineStr">
        <is>
          <t>S723</t>
        </is>
      </c>
      <c r="T52" s="301" t="n"/>
      <c r="U52" s="334" t="n"/>
      <c r="V52" s="301" t="n"/>
      <c r="W52" s="301" t="n"/>
      <c r="X52" s="301" t="n"/>
      <c r="Y52" s="280" t="n"/>
    </row>
    <row r="53" ht="15.75" customHeight="1" s="195">
      <c r="A53" s="241" t="n">
        <v>48</v>
      </c>
      <c r="B53" s="305" t="inlineStr">
        <is>
          <t>00000082</t>
        </is>
      </c>
      <c r="C53" s="241" t="inlineStr">
        <is>
          <t>REGION</t>
        </is>
      </c>
      <c r="D53" s="305" t="inlineStr">
        <is>
          <t>VENTURA POQUIOMA NELSON</t>
        </is>
      </c>
      <c r="E53" s="241" t="inlineStr">
        <is>
          <t>DNI</t>
        </is>
      </c>
      <c r="F53" s="241" t="inlineStr">
        <is>
          <t>33792420</t>
        </is>
      </c>
      <c r="G53" s="336" t="n">
        <v>45982</v>
      </c>
      <c r="H53" s="241" t="inlineStr">
        <is>
          <t>4866</t>
        </is>
      </c>
      <c r="I53" s="332">
        <f>IFERROR(VLOOKUP(TEXT(H53,"0"),IPRESS!$A$3:$B$212,2,0),"")</f>
        <v/>
      </c>
      <c r="J53" s="241" t="inlineStr">
        <is>
          <t>4838</t>
        </is>
      </c>
      <c r="K53" s="332">
        <f>IFERROR(VLOOKUP(TEXT(O53,"0"),CONDUCTORES!$A$3:$G$100,7,0),"")</f>
        <v/>
      </c>
      <c r="L53" s="239" t="n">
        <v>18.18</v>
      </c>
      <c r="M53" s="239" t="n">
        <v>4</v>
      </c>
      <c r="N53" s="333">
        <f>IFERROR(IF(L53*M53=0,"",L53*M53),"")</f>
        <v/>
      </c>
      <c r="O53" s="334" t="n"/>
      <c r="P53" s="332">
        <f>IFERROR(VLOOKUP(TEXT(O53,"0"),CONDUCTORES!$A$3:$G$100,2,0),"")</f>
        <v/>
      </c>
      <c r="Q53" s="332">
        <f>IFERROR(VLOOKUP(TEXT(O53,"0"),CONDUCTORES!$A$3:$H$100,6,0),"")</f>
        <v/>
      </c>
      <c r="R53" s="336" t="n">
        <v>45988</v>
      </c>
      <c r="S53" s="305" t="inlineStr">
        <is>
          <t>K566</t>
        </is>
      </c>
      <c r="T53" s="241" t="n"/>
      <c r="U53" s="280" t="n"/>
      <c r="V53" s="241" t="inlineStr">
        <is>
          <t>6038-2025</t>
        </is>
      </c>
      <c r="W53" s="241" t="inlineStr">
        <is>
          <t>CONTRATO 001-2025</t>
        </is>
      </c>
      <c r="X53" s="241" t="inlineStr">
        <is>
          <t>266.0</t>
        </is>
      </c>
      <c r="Y53" s="280" t="n"/>
    </row>
    <row r="54" ht="15.75" customHeight="1" s="195">
      <c r="A54" s="301" t="n">
        <v>49</v>
      </c>
      <c r="B54" s="302" t="inlineStr">
        <is>
          <t>00000044</t>
        </is>
      </c>
      <c r="C54" s="301" t="inlineStr">
        <is>
          <t>REGION</t>
        </is>
      </c>
      <c r="D54" s="302" t="inlineStr">
        <is>
          <t>BRIONES ORTIZ JOSE ERNESTO</t>
        </is>
      </c>
      <c r="E54" s="301" t="inlineStr">
        <is>
          <t>DNI</t>
        </is>
      </c>
      <c r="F54" s="301" t="inlineStr">
        <is>
          <t>33423941</t>
        </is>
      </c>
      <c r="G54" s="331" t="n">
        <v>45982</v>
      </c>
      <c r="H54" s="301" t="inlineStr">
        <is>
          <t>4859</t>
        </is>
      </c>
      <c r="I54" s="332">
        <f>IFERROR(VLOOKUP(TEXT(H54,"0"),IPRESS!$A$3:$B$212,2,0),"")</f>
        <v/>
      </c>
      <c r="J54" s="301" t="inlineStr">
        <is>
          <t>4838</t>
        </is>
      </c>
      <c r="K54" s="332">
        <f>IFERROR(VLOOKUP(TEXT(O54,"0"),CONDUCTORES!$A$3:$G$100,7,0),"")</f>
        <v/>
      </c>
      <c r="L54" s="245" t="n">
        <v>18.18</v>
      </c>
      <c r="M54" s="245" t="n">
        <v>7.5</v>
      </c>
      <c r="N54" s="333">
        <f>IFERROR(IF(L54*M54=0,"",L54*M54),"")</f>
        <v/>
      </c>
      <c r="O54" s="280" t="n"/>
      <c r="P54" s="332">
        <f>IFERROR(VLOOKUP(TEXT(O54,"0"),CONDUCTORES!$A$3:$G$100,2,0),"")</f>
        <v/>
      </c>
      <c r="Q54" s="332">
        <f>IFERROR(VLOOKUP(TEXT(O54,"0"),CONDUCTORES!$A$3:$H$100,6,0),"")</f>
        <v/>
      </c>
      <c r="R54" s="334" t="n"/>
      <c r="S54" s="302" t="inlineStr">
        <is>
          <t>S069,S065</t>
        </is>
      </c>
      <c r="T54" s="301" t="n"/>
      <c r="U54" s="334" t="n"/>
      <c r="V54" s="301" t="n"/>
      <c r="W54" s="301" t="n"/>
      <c r="X54" s="301" t="n"/>
      <c r="Y54" s="280" t="n"/>
    </row>
    <row r="55" ht="15.75" customHeight="1" s="195">
      <c r="A55" s="241" t="n">
        <v>50</v>
      </c>
      <c r="B55" s="305" t="inlineStr">
        <is>
          <t>00000015</t>
        </is>
      </c>
      <c r="C55" s="241" t="inlineStr">
        <is>
          <t>REGION</t>
        </is>
      </c>
      <c r="D55" s="305" t="inlineStr">
        <is>
          <t>HUAMAN BECERRIL LUIS FERNANDO</t>
        </is>
      </c>
      <c r="E55" s="241" t="inlineStr">
        <is>
          <t>DNI</t>
        </is>
      </c>
      <c r="F55" s="241" t="inlineStr">
        <is>
          <t>70173675</t>
        </is>
      </c>
      <c r="G55" s="336" t="n">
        <v>45984</v>
      </c>
      <c r="H55" s="241" t="inlineStr">
        <is>
          <t>4946</t>
        </is>
      </c>
      <c r="I55" s="332">
        <f>IFERROR(VLOOKUP(TEXT(H55,"0"),IPRESS!$A$3:$B$212,2,0),"")</f>
        <v/>
      </c>
      <c r="J55" s="241" t="inlineStr">
        <is>
          <t>4950</t>
        </is>
      </c>
      <c r="K55" s="332">
        <f>IFERROR(VLOOKUP(TEXT(O55,"0"),CONDUCTORES!$A$3:$G$100,7,0),"")</f>
        <v/>
      </c>
      <c r="L55" s="239" t="n">
        <v>20.25</v>
      </c>
      <c r="M55" s="239" t="n">
        <v>3</v>
      </c>
      <c r="N55" s="333">
        <f>IFERROR(IF(L55*M55=0,"",L55*M55),"")</f>
        <v/>
      </c>
      <c r="O55" s="334" t="n"/>
      <c r="P55" s="332">
        <f>IFERROR(VLOOKUP(TEXT(O55,"0"),CONDUCTORES!$A$3:$G$100,2,0),"")</f>
        <v/>
      </c>
      <c r="Q55" s="332">
        <f>IFERROR(VLOOKUP(TEXT(O55,"0"),CONDUCTORES!$A$3:$H$100,6,0),"")</f>
        <v/>
      </c>
      <c r="R55" s="336" t="n">
        <v>46010</v>
      </c>
      <c r="S55" s="305" t="inlineStr">
        <is>
          <t>N23X,K851</t>
        </is>
      </c>
      <c r="T55" s="241" t="n"/>
      <c r="U55" s="280" t="n"/>
      <c r="V55" s="241" t="n"/>
      <c r="W55" s="241" t="n"/>
      <c r="X55" s="241" t="n"/>
      <c r="Y55" s="280" t="n"/>
    </row>
    <row r="56" ht="15.75" customHeight="1" s="195">
      <c r="A56" s="301" t="n">
        <v>51</v>
      </c>
      <c r="B56" s="302" t="inlineStr">
        <is>
          <t>00000038</t>
        </is>
      </c>
      <c r="C56" s="301" t="inlineStr">
        <is>
          <t>REGION</t>
        </is>
      </c>
      <c r="D56" s="302" t="inlineStr">
        <is>
          <t>PEREZ ALARCON ALICIA</t>
        </is>
      </c>
      <c r="E56" s="301" t="inlineStr">
        <is>
          <t>DNI</t>
        </is>
      </c>
      <c r="F56" s="301" t="inlineStr">
        <is>
          <t>77085087</t>
        </is>
      </c>
      <c r="G56" s="331" t="n">
        <v>45986</v>
      </c>
      <c r="H56" s="301" t="inlineStr">
        <is>
          <t>4950</t>
        </is>
      </c>
      <c r="I56" s="332">
        <f>IFERROR(VLOOKUP(TEXT(H56,"0"),IPRESS!$A$3:$B$212,2,0),"")</f>
        <v/>
      </c>
      <c r="J56" s="301" t="inlineStr">
        <is>
          <t>4838</t>
        </is>
      </c>
      <c r="K56" s="332">
        <f>IFERROR(VLOOKUP(TEXT(O56,"0"),CONDUCTORES!$A$3:$G$100,7,0),"")</f>
        <v/>
      </c>
      <c r="L56" s="245" t="n">
        <v>20.25</v>
      </c>
      <c r="M56" s="245" t="n">
        <v>7</v>
      </c>
      <c r="N56" s="333">
        <f>IFERROR(IF(L56*M56=0,"",L56*M56),"")</f>
        <v/>
      </c>
      <c r="O56" s="280" t="n"/>
      <c r="P56" s="332">
        <f>IFERROR(VLOOKUP(TEXT(O56,"0"),CONDUCTORES!$A$3:$G$100,2,0),"")</f>
        <v/>
      </c>
      <c r="Q56" s="332">
        <f>IFERROR(VLOOKUP(TEXT(O56,"0"),CONDUCTORES!$A$3:$H$100,6,0),"")</f>
        <v/>
      </c>
      <c r="R56" s="334" t="n"/>
      <c r="S56" s="302" t="inlineStr">
        <is>
          <t>O141</t>
        </is>
      </c>
      <c r="T56" s="301" t="n"/>
      <c r="U56" s="334" t="n"/>
      <c r="V56" s="301" t="n"/>
      <c r="W56" s="301" t="n"/>
      <c r="X56" s="301" t="n"/>
      <c r="Y56" s="280" t="n"/>
    </row>
    <row r="57" ht="15.75" customHeight="1" s="195">
      <c r="A57" s="241" t="n">
        <v>52</v>
      </c>
      <c r="B57" s="305" t="inlineStr">
        <is>
          <t>00000009</t>
        </is>
      </c>
      <c r="C57" s="241" t="inlineStr">
        <is>
          <t>REGION</t>
        </is>
      </c>
      <c r="D57" s="305" t="inlineStr">
        <is>
          <t>HUAMURO TONGO DIANA</t>
        </is>
      </c>
      <c r="E57" s="241" t="inlineStr">
        <is>
          <t>DNI</t>
        </is>
      </c>
      <c r="F57" s="241" t="inlineStr">
        <is>
          <t>71653020</t>
        </is>
      </c>
      <c r="G57" s="336" t="n">
        <v>45986</v>
      </c>
      <c r="H57" s="241" t="inlineStr">
        <is>
          <t>4938</t>
        </is>
      </c>
      <c r="I57" s="332">
        <f>IFERROR(VLOOKUP(TEXT(H57,"0"),IPRESS!$A$3:$B$212,2,0),"")</f>
        <v/>
      </c>
      <c r="J57" s="241" t="inlineStr">
        <is>
          <t>4932</t>
        </is>
      </c>
      <c r="K57" s="332">
        <f>IFERROR(VLOOKUP(TEXT(O57,"0"),CONDUCTORES!$A$3:$G$100,7,0),"")</f>
        <v/>
      </c>
      <c r="L57" s="239" t="n">
        <v>18.18</v>
      </c>
      <c r="M57" s="239" t="n">
        <v>4</v>
      </c>
      <c r="N57" s="333">
        <f>IFERROR(IF(L57*M57=0,"",L57*M57),"")</f>
        <v/>
      </c>
      <c r="O57" s="334" t="n"/>
      <c r="P57" s="332">
        <f>IFERROR(VLOOKUP(TEXT(O57,"0"),CONDUCTORES!$A$3:$G$100,2,0),"")</f>
        <v/>
      </c>
      <c r="Q57" s="332">
        <f>IFERROR(VLOOKUP(TEXT(O57,"0"),CONDUCTORES!$A$3:$H$100,6,0),"")</f>
        <v/>
      </c>
      <c r="R57" s="280" t="n"/>
      <c r="S57" s="305" t="inlineStr">
        <is>
          <t>Z349</t>
        </is>
      </c>
      <c r="T57" s="241" t="n"/>
      <c r="U57" s="280" t="n"/>
      <c r="V57" s="241" t="n"/>
      <c r="W57" s="241" t="n"/>
      <c r="X57" s="241" t="n"/>
      <c r="Y57" s="280" t="n"/>
    </row>
    <row r="58" ht="15.75" customHeight="1" s="195">
      <c r="A58" s="301" t="n">
        <v>53</v>
      </c>
      <c r="B58" s="302" t="inlineStr">
        <is>
          <t>00000257</t>
        </is>
      </c>
      <c r="C58" s="301" t="inlineStr">
        <is>
          <t>REGION</t>
        </is>
      </c>
      <c r="D58" s="302" t="inlineStr">
        <is>
          <t>PEREZ ALARCON ALICIA</t>
        </is>
      </c>
      <c r="E58" s="301" t="inlineStr">
        <is>
          <t>DNI</t>
        </is>
      </c>
      <c r="F58" s="301" t="inlineStr">
        <is>
          <t>77085087</t>
        </is>
      </c>
      <c r="G58" s="331" t="n">
        <v>45986</v>
      </c>
      <c r="H58" s="301" t="inlineStr">
        <is>
          <t>4954</t>
        </is>
      </c>
      <c r="I58" s="332">
        <f>IFERROR(VLOOKUP(TEXT(H58,"0"),IPRESS!$A$3:$B$212,2,0),"")</f>
        <v/>
      </c>
      <c r="J58" s="301" t="inlineStr">
        <is>
          <t>4950</t>
        </is>
      </c>
      <c r="K58" s="332">
        <f>IFERROR(VLOOKUP(TEXT(O58,"0"),CONDUCTORES!$A$3:$G$100,7,0),"")</f>
        <v/>
      </c>
      <c r="L58" s="245" t="n">
        <v>20.25</v>
      </c>
      <c r="M58" s="245" t="n">
        <v>10</v>
      </c>
      <c r="N58" s="333">
        <f>IFERROR(IF(L58*M58=0,"",L58*M58),"")</f>
        <v/>
      </c>
      <c r="O58" s="280" t="n"/>
      <c r="P58" s="332">
        <f>IFERROR(VLOOKUP(TEXT(O58,"0"),CONDUCTORES!$A$3:$G$100,2,0),"")</f>
        <v/>
      </c>
      <c r="Q58" s="332">
        <f>IFERROR(VLOOKUP(TEXT(O58,"0"),CONDUCTORES!$A$3:$H$100,6,0),"")</f>
        <v/>
      </c>
      <c r="R58" s="334" t="n"/>
      <c r="S58" s="302" t="inlineStr">
        <is>
          <t>O141</t>
        </is>
      </c>
      <c r="T58" s="301" t="inlineStr">
        <is>
          <t>DEVOLVER AL C.S. OMIA</t>
        </is>
      </c>
      <c r="U58" s="334" t="n"/>
      <c r="V58" s="301" t="n"/>
      <c r="W58" s="301" t="n"/>
      <c r="X58" s="301" t="n"/>
      <c r="Y58" s="280" t="n"/>
    </row>
    <row r="59" ht="15.75" customHeight="1" s="195">
      <c r="A59" s="241" t="n">
        <v>54</v>
      </c>
      <c r="B59" s="305" t="inlineStr">
        <is>
          <t>00000103</t>
        </is>
      </c>
      <c r="C59" s="241" t="inlineStr">
        <is>
          <t>REGION</t>
        </is>
      </c>
      <c r="D59" s="305" t="inlineStr">
        <is>
          <t>PUERTA MAS DIMPINA</t>
        </is>
      </c>
      <c r="E59" s="241" t="inlineStr">
        <is>
          <t>DNI</t>
        </is>
      </c>
      <c r="F59" s="241" t="inlineStr">
        <is>
          <t>48748757</t>
        </is>
      </c>
      <c r="G59" s="336" t="n">
        <v>45986</v>
      </c>
      <c r="H59" s="241" t="inlineStr">
        <is>
          <t>4922</t>
        </is>
      </c>
      <c r="I59" s="332">
        <f>IFERROR(VLOOKUP(TEXT(H59,"0"),IPRESS!$A$3:$B$212,2,0),"")</f>
        <v/>
      </c>
      <c r="J59" s="241" t="inlineStr">
        <is>
          <t>4838</t>
        </is>
      </c>
      <c r="K59" s="332">
        <f>IFERROR(VLOOKUP(TEXT(O59,"0"),CONDUCTORES!$A$3:$G$100,7,0),"")</f>
        <v/>
      </c>
      <c r="L59" s="239" t="n">
        <v>18.18</v>
      </c>
      <c r="M59" s="239" t="n">
        <v>5</v>
      </c>
      <c r="N59" s="333">
        <f>IFERROR(IF(L59*M59=0,"",L59*M59),"")</f>
        <v/>
      </c>
      <c r="O59" s="334" t="n"/>
      <c r="P59" s="332">
        <f>IFERROR(VLOOKUP(TEXT(O59,"0"),CONDUCTORES!$A$3:$G$100,2,0),"")</f>
        <v/>
      </c>
      <c r="Q59" s="332">
        <f>IFERROR(VLOOKUP(TEXT(O59,"0"),CONDUCTORES!$A$3:$H$100,6,0),"")</f>
        <v/>
      </c>
      <c r="R59" s="280" t="n"/>
      <c r="S59" s="305" t="inlineStr">
        <is>
          <t>R520,Y889</t>
        </is>
      </c>
      <c r="T59" s="241" t="n"/>
      <c r="U59" s="280" t="n"/>
      <c r="V59" s="241" t="n"/>
      <c r="W59" s="241" t="n"/>
      <c r="X59" s="241" t="n"/>
      <c r="Y59" s="280" t="n"/>
    </row>
    <row r="60" ht="15.75" customHeight="1" s="195">
      <c r="A60" s="301" t="n">
        <v>55</v>
      </c>
      <c r="B60" s="302" t="inlineStr">
        <is>
          <t>00000064</t>
        </is>
      </c>
      <c r="C60" s="301" t="inlineStr">
        <is>
          <t>REGION</t>
        </is>
      </c>
      <c r="D60" s="302" t="inlineStr">
        <is>
          <t>VILCHEZ CHAVEZ NANCY MARLOT</t>
        </is>
      </c>
      <c r="E60" s="301" t="inlineStr">
        <is>
          <t>DNI</t>
        </is>
      </c>
      <c r="F60" s="301" t="inlineStr">
        <is>
          <t>78007552</t>
        </is>
      </c>
      <c r="G60" s="331" t="n">
        <v>45986</v>
      </c>
      <c r="H60" s="301" t="inlineStr">
        <is>
          <t>4850</t>
        </is>
      </c>
      <c r="I60" s="332">
        <f>IFERROR(VLOOKUP(TEXT(H60,"0"),IPRESS!$A$3:$B$212,2,0),"")</f>
        <v/>
      </c>
      <c r="J60" s="301" t="inlineStr">
        <is>
          <t>4838</t>
        </is>
      </c>
      <c r="K60" s="332">
        <f>IFERROR(VLOOKUP(TEXT(O60,"0"),CONDUCTORES!$A$3:$G$100,7,0),"")</f>
        <v/>
      </c>
      <c r="L60" s="245" t="n">
        <v>18.18</v>
      </c>
      <c r="M60" s="245" t="n">
        <v>4</v>
      </c>
      <c r="N60" s="333">
        <f>IFERROR(IF(L60*M60=0,"",L60*M60),"")</f>
        <v/>
      </c>
      <c r="O60" s="280" t="n"/>
      <c r="P60" s="332">
        <f>IFERROR(VLOOKUP(TEXT(O60,"0"),CONDUCTORES!$A$3:$G$100,2,0),"")</f>
        <v/>
      </c>
      <c r="Q60" s="332">
        <f>IFERROR(VLOOKUP(TEXT(O60,"0"),CONDUCTORES!$A$3:$H$100,6,0),"")</f>
        <v/>
      </c>
      <c r="R60" s="334" t="n"/>
      <c r="S60" s="302" t="inlineStr">
        <is>
          <t>O48X,O363</t>
        </is>
      </c>
      <c r="T60" s="301" t="n"/>
      <c r="U60" s="334" t="n"/>
      <c r="V60" s="301" t="n"/>
      <c r="W60" s="301" t="n"/>
      <c r="X60" s="301" t="n"/>
      <c r="Y60" s="280" t="n"/>
    </row>
    <row r="61" ht="15.75" customHeight="1" s="195">
      <c r="A61" s="241" t="n">
        <v>56</v>
      </c>
      <c r="B61" s="305" t="inlineStr">
        <is>
          <t>00000063</t>
        </is>
      </c>
      <c r="C61" s="241" t="inlineStr">
        <is>
          <t>REGION</t>
        </is>
      </c>
      <c r="D61" s="305" t="inlineStr">
        <is>
          <t>RAMOS VENTURA ROGER ANTONIO</t>
        </is>
      </c>
      <c r="E61" s="241" t="inlineStr">
        <is>
          <t>DNI</t>
        </is>
      </c>
      <c r="F61" s="241" t="inlineStr">
        <is>
          <t>48218225</t>
        </is>
      </c>
      <c r="G61" s="336" t="n">
        <v>45986</v>
      </c>
      <c r="H61" s="241" t="inlineStr">
        <is>
          <t>4850</t>
        </is>
      </c>
      <c r="I61" s="332">
        <f>IFERROR(VLOOKUP(TEXT(H61,"0"),IPRESS!$A$3:$B$212,2,0),"")</f>
        <v/>
      </c>
      <c r="J61" s="241" t="inlineStr">
        <is>
          <t>4838</t>
        </is>
      </c>
      <c r="K61" s="332">
        <f>IFERROR(VLOOKUP(TEXT(O61,"0"),CONDUCTORES!$A$3:$G$100,7,0),"")</f>
        <v/>
      </c>
      <c r="L61" s="239" t="n">
        <v>18.18</v>
      </c>
      <c r="M61" s="239" t="n">
        <v>4</v>
      </c>
      <c r="N61" s="333">
        <f>IFERROR(IF(L61*M61=0,"",L61*M61),"")</f>
        <v/>
      </c>
      <c r="O61" s="334" t="n"/>
      <c r="P61" s="332">
        <f>IFERROR(VLOOKUP(TEXT(O61,"0"),CONDUCTORES!$A$3:$G$100,2,0),"")</f>
        <v/>
      </c>
      <c r="Q61" s="332">
        <f>IFERROR(VLOOKUP(TEXT(O61,"0"),CONDUCTORES!$A$3:$H$100,6,0),"")</f>
        <v/>
      </c>
      <c r="R61" s="280" t="n"/>
      <c r="S61" s="305" t="inlineStr">
        <is>
          <t>J180</t>
        </is>
      </c>
      <c r="T61" s="241" t="n"/>
      <c r="U61" s="280" t="n"/>
      <c r="V61" s="241" t="n"/>
      <c r="W61" s="241" t="n"/>
      <c r="X61" s="241" t="n"/>
      <c r="Y61" s="280" t="n"/>
    </row>
    <row r="62" ht="15.75" customHeight="1" s="195">
      <c r="A62" s="337" t="n">
        <v>57</v>
      </c>
      <c r="B62" s="338" t="inlineStr">
        <is>
          <t>00000002</t>
        </is>
      </c>
      <c r="C62" s="337" t="inlineStr">
        <is>
          <t>REGION</t>
        </is>
      </c>
      <c r="D62" s="338" t="inlineStr">
        <is>
          <t>VASQUEZ TERRONES YENI YUDITH</t>
        </is>
      </c>
      <c r="E62" s="337" t="inlineStr">
        <is>
          <t>DNI</t>
        </is>
      </c>
      <c r="F62" s="337" t="inlineStr">
        <is>
          <t>60031737</t>
        </is>
      </c>
      <c r="G62" s="339" t="n">
        <v>45987</v>
      </c>
      <c r="H62" s="337" t="inlineStr">
        <is>
          <t>7206</t>
        </is>
      </c>
      <c r="I62" s="332">
        <f>IFERROR(VLOOKUP(TEXT(H62,"0"),IPRESS!$A$3:$B$212,2,0),"")</f>
        <v/>
      </c>
      <c r="J62" s="337" t="inlineStr">
        <is>
          <t>4838</t>
        </is>
      </c>
      <c r="K62" s="332">
        <f>IFERROR(VLOOKUP(TEXT(O62,"0"),CONDUCTORES!$A$3:$G$100,7,0),"")</f>
        <v/>
      </c>
      <c r="L62" s="340" t="n">
        <v>17.95</v>
      </c>
      <c r="M62" s="340" t="n">
        <v>26</v>
      </c>
      <c r="N62" s="333">
        <f>IFERROR(IF(L62*M62=0,"",L62*M62),"")</f>
        <v/>
      </c>
      <c r="O62" s="280" t="n"/>
      <c r="P62" s="332">
        <f>IFERROR(VLOOKUP(TEXT(O62,"0"),CONDUCTORES!$A$3:$G$100,2,0),"")</f>
        <v/>
      </c>
      <c r="Q62" s="332">
        <f>IFERROR(VLOOKUP(TEXT(O62,"0"),CONDUCTORES!$A$3:$H$100,6,0),"")</f>
        <v/>
      </c>
      <c r="R62" s="341" t="n"/>
      <c r="S62" s="338" t="inlineStr">
        <is>
          <t>O200</t>
        </is>
      </c>
      <c r="T62" s="337" t="inlineStr">
        <is>
          <t>DEVOLVER AL C.S. COCABAMBA</t>
        </is>
      </c>
      <c r="U62" s="341" t="n"/>
      <c r="V62" s="337" t="n"/>
      <c r="W62" s="337" t="n"/>
      <c r="X62" s="337" t="n"/>
      <c r="Y62" s="280" t="n"/>
    </row>
    <row r="63" ht="15.75" customHeight="1" s="195">
      <c r="A63" s="241" t="n">
        <v>58</v>
      </c>
      <c r="B63" s="305" t="inlineStr">
        <is>
          <t>00000258</t>
        </is>
      </c>
      <c r="C63" s="241" t="inlineStr">
        <is>
          <t>REGION</t>
        </is>
      </c>
      <c r="D63" s="305" t="inlineStr">
        <is>
          <t>ALMEIDA FERNANDEZ PEDRO CARLOS ALEJANDRO</t>
        </is>
      </c>
      <c r="E63" s="241" t="inlineStr">
        <is>
          <t>DNI</t>
        </is>
      </c>
      <c r="F63" s="241" t="inlineStr">
        <is>
          <t>61843350</t>
        </is>
      </c>
      <c r="G63" s="336" t="n">
        <v>45987</v>
      </c>
      <c r="H63" s="241" t="inlineStr">
        <is>
          <t>4950</t>
        </is>
      </c>
      <c r="I63" s="332">
        <f>IFERROR(VLOOKUP(TEXT(H63,"0"),IPRESS!$A$3:$B$212,2,0),"")</f>
        <v/>
      </c>
      <c r="J63" s="241" t="inlineStr">
        <is>
          <t>4838</t>
        </is>
      </c>
      <c r="K63" s="332">
        <f>IFERROR(VLOOKUP(TEXT(O63,"0"),CONDUCTORES!$A$3:$G$100,7,0),"")</f>
        <v/>
      </c>
      <c r="L63" s="239" t="n">
        <v>20.25</v>
      </c>
      <c r="M63" s="239" t="n">
        <v>7</v>
      </c>
      <c r="N63" s="333">
        <f>IFERROR(IF(L63*M63=0,"",L63*M63),"")</f>
        <v/>
      </c>
      <c r="O63" s="334" t="n"/>
      <c r="P63" s="332">
        <f>IFERROR(VLOOKUP(TEXT(O63,"0"),CONDUCTORES!$A$3:$G$100,2,0),"")</f>
        <v/>
      </c>
      <c r="Q63" s="332">
        <f>IFERROR(VLOOKUP(TEXT(O63,"0"),CONDUCTORES!$A$3:$H$100,6,0),"")</f>
        <v/>
      </c>
      <c r="R63" s="280" t="n"/>
      <c r="S63" s="305" t="inlineStr">
        <is>
          <t>T439,Z915</t>
        </is>
      </c>
      <c r="T63" s="241" t="n"/>
      <c r="U63" s="280" t="n"/>
      <c r="V63" s="241" t="n"/>
      <c r="W63" s="241" t="n"/>
      <c r="X63" s="241" t="n"/>
      <c r="Y63" s="280" t="n"/>
    </row>
    <row r="64" ht="15.75" customHeight="1" s="195">
      <c r="A64" s="301" t="n">
        <v>59</v>
      </c>
      <c r="B64" s="302" t="inlineStr">
        <is>
          <t>00000050</t>
        </is>
      </c>
      <c r="C64" s="301" t="inlineStr">
        <is>
          <t>REGION</t>
        </is>
      </c>
      <c r="D64" s="302" t="inlineStr">
        <is>
          <t>GALLARDO LOZANO EMILY</t>
        </is>
      </c>
      <c r="E64" s="301" t="inlineStr">
        <is>
          <t>DNI</t>
        </is>
      </c>
      <c r="F64" s="301" t="inlineStr">
        <is>
          <t>94212182</t>
        </is>
      </c>
      <c r="G64" s="331" t="n">
        <v>45988</v>
      </c>
      <c r="H64" s="301" t="inlineStr">
        <is>
          <t>4903</t>
        </is>
      </c>
      <c r="I64" s="332">
        <f>IFERROR(VLOOKUP(TEXT(H64,"0"),IPRESS!$A$3:$B$212,2,0),"")</f>
        <v/>
      </c>
      <c r="J64" s="301" t="inlineStr">
        <is>
          <t>4838</t>
        </is>
      </c>
      <c r="K64" s="332">
        <f>IFERROR(VLOOKUP(TEXT(O64,"0"),CONDUCTORES!$A$3:$G$100,7,0),"")</f>
        <v/>
      </c>
      <c r="L64" s="245" t="n">
        <v>18.18</v>
      </c>
      <c r="M64" s="245" t="n">
        <v>5</v>
      </c>
      <c r="N64" s="333">
        <f>IFERROR(IF(L64*M64=0,"",L64*M64),"")</f>
        <v/>
      </c>
      <c r="O64" s="280" t="n"/>
      <c r="P64" s="332">
        <f>IFERROR(VLOOKUP(TEXT(O64,"0"),CONDUCTORES!$A$3:$G$100,2,0),"")</f>
        <v/>
      </c>
      <c r="Q64" s="332">
        <f>IFERROR(VLOOKUP(TEXT(O64,"0"),CONDUCTORES!$A$3:$H$100,6,0),"")</f>
        <v/>
      </c>
      <c r="R64" s="334" t="n"/>
      <c r="S64" s="302" t="inlineStr">
        <is>
          <t>D649,C959</t>
        </is>
      </c>
      <c r="T64" s="301" t="n"/>
      <c r="U64" s="334" t="n"/>
      <c r="V64" s="301" t="n"/>
      <c r="W64" s="301" t="n"/>
      <c r="X64" s="301" t="n"/>
      <c r="Y64" s="280" t="n"/>
    </row>
    <row r="65" ht="15.75" customHeight="1" s="195">
      <c r="A65" s="241" t="n">
        <v>60</v>
      </c>
      <c r="B65" s="305" t="inlineStr">
        <is>
          <t>00000105</t>
        </is>
      </c>
      <c r="C65" s="241" t="inlineStr">
        <is>
          <t>REGION</t>
        </is>
      </c>
      <c r="D65" s="305" t="inlineStr">
        <is>
          <t>TAFUR HOYOS ROSA LIDIA</t>
        </is>
      </c>
      <c r="E65" s="241" t="inlineStr">
        <is>
          <t>DNI</t>
        </is>
      </c>
      <c r="F65" s="241" t="inlineStr">
        <is>
          <t>33739130</t>
        </is>
      </c>
      <c r="G65" s="336" t="n">
        <v>45988</v>
      </c>
      <c r="H65" s="241" t="inlineStr">
        <is>
          <t>4922</t>
        </is>
      </c>
      <c r="I65" s="332">
        <f>IFERROR(VLOOKUP(TEXT(H65,"0"),IPRESS!$A$3:$B$212,2,0),"")</f>
        <v/>
      </c>
      <c r="J65" s="241" t="inlineStr">
        <is>
          <t>4838</t>
        </is>
      </c>
      <c r="K65" s="332">
        <f>IFERROR(VLOOKUP(TEXT(O65,"0"),CONDUCTORES!$A$3:$G$100,7,0),"")</f>
        <v/>
      </c>
      <c r="L65" s="239" t="n">
        <v>18.18</v>
      </c>
      <c r="M65" s="239" t="n">
        <v>5</v>
      </c>
      <c r="N65" s="333">
        <f>IFERROR(IF(L65*M65=0,"",L65*M65),"")</f>
        <v/>
      </c>
      <c r="O65" s="334" t="n"/>
      <c r="P65" s="332">
        <f>IFERROR(VLOOKUP(TEXT(O65,"0"),CONDUCTORES!$A$3:$G$100,2,0),"")</f>
        <v/>
      </c>
      <c r="Q65" s="332">
        <f>IFERROR(VLOOKUP(TEXT(O65,"0"),CONDUCTORES!$A$3:$H$100,6,0),"")</f>
        <v/>
      </c>
      <c r="R65" s="280" t="n"/>
      <c r="S65" s="305" t="inlineStr">
        <is>
          <t>G409,G419,J969</t>
        </is>
      </c>
      <c r="T65" s="241" t="n"/>
      <c r="U65" s="280" t="n"/>
      <c r="V65" s="241" t="n"/>
      <c r="W65" s="241" t="n"/>
      <c r="X65" s="241" t="n"/>
      <c r="Y65" s="280" t="n"/>
    </row>
    <row r="66" ht="15.75" customHeight="1" s="195">
      <c r="A66" s="301" t="n">
        <v>61</v>
      </c>
      <c r="B66" s="302" t="inlineStr">
        <is>
          <t>00000259</t>
        </is>
      </c>
      <c r="C66" s="301" t="inlineStr">
        <is>
          <t>REGION</t>
        </is>
      </c>
      <c r="D66" s="302" t="inlineStr">
        <is>
          <t>GUEVARA ESCOBAR MARIA ELENA</t>
        </is>
      </c>
      <c r="E66" s="301" t="inlineStr">
        <is>
          <t>DNI</t>
        </is>
      </c>
      <c r="F66" s="301" t="inlineStr">
        <is>
          <t>41953338</t>
        </is>
      </c>
      <c r="G66" s="331" t="n">
        <v>45989</v>
      </c>
      <c r="H66" s="301" t="inlineStr">
        <is>
          <t>4950</t>
        </is>
      </c>
      <c r="I66" s="332">
        <f>IFERROR(VLOOKUP(TEXT(H66,"0"),IPRESS!$A$3:$B$212,2,0),"")</f>
        <v/>
      </c>
      <c r="J66" s="301" t="inlineStr">
        <is>
          <t>4838</t>
        </is>
      </c>
      <c r="K66" s="332">
        <f>IFERROR(VLOOKUP(TEXT(O66,"0"),CONDUCTORES!$A$3:$G$100,7,0),"")</f>
        <v/>
      </c>
      <c r="L66" s="245" t="n">
        <v>20.25</v>
      </c>
      <c r="M66" s="245" t="n">
        <v>7</v>
      </c>
      <c r="N66" s="333">
        <f>IFERROR(IF(L66*M66=0,"",L66*M66),"")</f>
        <v/>
      </c>
      <c r="O66" s="280" t="n"/>
      <c r="P66" s="332">
        <f>IFERROR(VLOOKUP(TEXT(O66,"0"),CONDUCTORES!$A$3:$G$100,2,0),"")</f>
        <v/>
      </c>
      <c r="Q66" s="332">
        <f>IFERROR(VLOOKUP(TEXT(O66,"0"),CONDUCTORES!$A$3:$H$100,6,0),"")</f>
        <v/>
      </c>
      <c r="R66" s="334" t="n"/>
      <c r="S66" s="302" t="inlineStr">
        <is>
          <t>O60X,O100</t>
        </is>
      </c>
      <c r="T66" s="301" t="n"/>
      <c r="U66" s="334" t="n"/>
      <c r="V66" s="301" t="n"/>
      <c r="W66" s="301" t="n"/>
      <c r="X66" s="301" t="n"/>
      <c r="Y66" s="280" t="n"/>
    </row>
    <row r="67" ht="15.75" customHeight="1" s="195">
      <c r="A67" s="241" t="n">
        <v>62</v>
      </c>
      <c r="B67" s="305" t="inlineStr">
        <is>
          <t>00000051</t>
        </is>
      </c>
      <c r="C67" s="241" t="inlineStr">
        <is>
          <t>REGION</t>
        </is>
      </c>
      <c r="D67" s="305" t="inlineStr">
        <is>
          <t>RUBIO TUESTA NOE</t>
        </is>
      </c>
      <c r="E67" s="241" t="inlineStr">
        <is>
          <t>DNI</t>
        </is>
      </c>
      <c r="F67" s="241" t="inlineStr">
        <is>
          <t>33427124</t>
        </is>
      </c>
      <c r="G67" s="336" t="n">
        <v>45990</v>
      </c>
      <c r="H67" s="241" t="inlineStr">
        <is>
          <t>4903</t>
        </is>
      </c>
      <c r="I67" s="332">
        <f>IFERROR(VLOOKUP(TEXT(H67,"0"),IPRESS!$A$3:$B$212,2,0),"")</f>
        <v/>
      </c>
      <c r="J67" s="241" t="inlineStr">
        <is>
          <t>4838</t>
        </is>
      </c>
      <c r="K67" s="332">
        <f>IFERROR(VLOOKUP(TEXT(O67,"0"),CONDUCTORES!$A$3:$G$100,7,0),"")</f>
        <v/>
      </c>
      <c r="L67" s="239" t="n">
        <v>18.18</v>
      </c>
      <c r="M67" s="239" t="n">
        <v>5</v>
      </c>
      <c r="N67" s="333">
        <f>IFERROR(IF(L67*M67=0,"",L67*M67),"")</f>
        <v/>
      </c>
      <c r="O67" s="334" t="n"/>
      <c r="P67" s="332">
        <f>IFERROR(VLOOKUP(TEXT(O67,"0"),CONDUCTORES!$A$3:$G$100,2,0),"")</f>
        <v/>
      </c>
      <c r="Q67" s="332">
        <f>IFERROR(VLOOKUP(TEXT(O67,"0"),CONDUCTORES!$A$3:$H$100,6,0),"")</f>
        <v/>
      </c>
      <c r="R67" s="280" t="n"/>
      <c r="S67" s="305" t="inlineStr">
        <is>
          <t>R100,K359</t>
        </is>
      </c>
      <c r="T67" s="241" t="n"/>
      <c r="U67" s="280" t="n"/>
      <c r="V67" s="241" t="n"/>
      <c r="W67" s="241" t="n"/>
      <c r="X67" s="241" t="n"/>
      <c r="Y67" s="280" t="n"/>
    </row>
    <row r="68" ht="15.75" customHeight="1" s="195">
      <c r="A68" s="301" t="n">
        <v>63</v>
      </c>
      <c r="B68" s="302" t="inlineStr">
        <is>
          <t>00000106</t>
        </is>
      </c>
      <c r="C68" s="301" t="inlineStr">
        <is>
          <t>REGION</t>
        </is>
      </c>
      <c r="D68" s="302" t="inlineStr">
        <is>
          <t>VILCHEZ CASTRO JUAN NELSON</t>
        </is>
      </c>
      <c r="E68" s="301" t="inlineStr">
        <is>
          <t>DNI</t>
        </is>
      </c>
      <c r="F68" s="301" t="inlineStr">
        <is>
          <t>42955104</t>
        </is>
      </c>
      <c r="G68" s="331" t="n">
        <v>45991</v>
      </c>
      <c r="H68" s="301" t="inlineStr">
        <is>
          <t>4922</t>
        </is>
      </c>
      <c r="I68" s="332">
        <f>IFERROR(VLOOKUP(TEXT(H68,"0"),IPRESS!$A$3:$B$212,2,0),"")</f>
        <v/>
      </c>
      <c r="J68" s="301" t="inlineStr">
        <is>
          <t>4838</t>
        </is>
      </c>
      <c r="K68" s="332">
        <f>IFERROR(VLOOKUP(TEXT(O68,"0"),CONDUCTORES!$A$3:$G$100,7,0),"")</f>
        <v/>
      </c>
      <c r="L68" s="245" t="n">
        <v>18.18</v>
      </c>
      <c r="M68" s="245" t="n">
        <v>5</v>
      </c>
      <c r="N68" s="333">
        <f>IFERROR(IF(L68*M68=0,"",L68*M68),"")</f>
        <v/>
      </c>
      <c r="O68" s="280" t="n"/>
      <c r="P68" s="332">
        <f>IFERROR(VLOOKUP(TEXT(O68,"0"),CONDUCTORES!$A$3:$G$100,2,0),"")</f>
        <v/>
      </c>
      <c r="Q68" s="332">
        <f>IFERROR(VLOOKUP(TEXT(O68,"0"),CONDUCTORES!$A$3:$H$100,6,0),"")</f>
        <v/>
      </c>
      <c r="R68" s="334" t="n"/>
      <c r="S68" s="302" t="inlineStr">
        <is>
          <t>K37X</t>
        </is>
      </c>
      <c r="T68" s="301" t="n"/>
      <c r="U68" s="334" t="n"/>
      <c r="V68" s="301" t="n"/>
      <c r="W68" s="301" t="n"/>
      <c r="X68" s="301" t="n"/>
      <c r="Y68" s="280" t="n"/>
    </row>
    <row r="69" ht="15.75" customHeight="1" s="195">
      <c r="A69" s="241" t="n">
        <v>64</v>
      </c>
      <c r="B69" s="305" t="inlineStr">
        <is>
          <t>0000006</t>
        </is>
      </c>
      <c r="C69" s="241" t="inlineStr">
        <is>
          <t>REGION</t>
        </is>
      </c>
      <c r="D69" s="305" t="inlineStr">
        <is>
          <t>MONTEZA QUISPE VANESA LEIDE</t>
        </is>
      </c>
      <c r="E69" s="241" t="inlineStr">
        <is>
          <t>DNI</t>
        </is>
      </c>
      <c r="F69" s="241" t="inlineStr">
        <is>
          <t>47495535</t>
        </is>
      </c>
      <c r="G69" s="336" t="n">
        <v>45989</v>
      </c>
      <c r="H69" s="241" t="inlineStr">
        <is>
          <t>4875</t>
        </is>
      </c>
      <c r="I69" s="332">
        <f>IFERROR(VLOOKUP(TEXT(H69,"0"),IPRESS!$A$3:$B$212,2,0),"")</f>
        <v/>
      </c>
      <c r="J69" s="241" t="inlineStr">
        <is>
          <t>4838</t>
        </is>
      </c>
      <c r="K69" s="332">
        <f>IFERROR(VLOOKUP(TEXT(O69,"0"),CONDUCTORES!$A$3:$G$100,7,0),"")</f>
        <v/>
      </c>
      <c r="L69" s="239" t="n">
        <v>18.18</v>
      </c>
      <c r="M69" s="239" t="n">
        <v>25</v>
      </c>
      <c r="N69" s="333">
        <f>IFERROR(IF(L69*M69=0,"",L69*M69),"")</f>
        <v/>
      </c>
      <c r="O69" s="334" t="n"/>
      <c r="P69" s="332">
        <f>IFERROR(VLOOKUP(TEXT(O69,"0"),CONDUCTORES!$A$3:$G$100,2,0),"")</f>
        <v/>
      </c>
      <c r="Q69" s="332">
        <f>IFERROR(VLOOKUP(TEXT(O69,"0"),CONDUCTORES!$A$3:$H$100,6,0),"")</f>
        <v/>
      </c>
      <c r="R69" s="280" t="n"/>
      <c r="S69" s="305" t="inlineStr">
        <is>
          <t>O149</t>
        </is>
      </c>
      <c r="T69" s="241" t="inlineStr">
        <is>
          <t>DEVOLVER AL C.S. COCOCHO</t>
        </is>
      </c>
      <c r="U69" s="280" t="n"/>
      <c r="V69" s="241" t="n"/>
      <c r="W69" s="241" t="n"/>
      <c r="X69" s="241" t="n"/>
      <c r="Y69" s="280" t="n"/>
    </row>
    <row r="70" ht="15.75" customHeight="1" s="195">
      <c r="A70" s="301" t="n">
        <v>65</v>
      </c>
      <c r="B70" s="302" t="inlineStr">
        <is>
          <t>0000264</t>
        </is>
      </c>
      <c r="C70" s="301" t="inlineStr">
        <is>
          <t>REGION</t>
        </is>
      </c>
      <c r="D70" s="302" t="inlineStr">
        <is>
          <t>SOROE PUERTA VICENTE</t>
        </is>
      </c>
      <c r="E70" s="301" t="inlineStr">
        <is>
          <t>DNI</t>
        </is>
      </c>
      <c r="F70" s="301" t="inlineStr">
        <is>
          <t>76604384</t>
        </is>
      </c>
      <c r="G70" s="331" t="n">
        <v>45990</v>
      </c>
      <c r="H70" s="301" t="inlineStr">
        <is>
          <t>4950</t>
        </is>
      </c>
      <c r="I70" s="332">
        <f>IFERROR(VLOOKUP(TEXT(H70,"0"),IPRESS!$A$3:$B$212,2,0),"")</f>
        <v/>
      </c>
      <c r="J70" s="301" t="inlineStr">
        <is>
          <t>4838</t>
        </is>
      </c>
      <c r="K70" s="332">
        <f>IFERROR(VLOOKUP(TEXT(O70,"0"),CONDUCTORES!$A$3:$G$100,7,0),"")</f>
        <v/>
      </c>
      <c r="L70" s="245" t="n">
        <v>20.25</v>
      </c>
      <c r="M70" s="245" t="n">
        <v>6.2</v>
      </c>
      <c r="N70" s="333">
        <f>IFERROR(IF(L70*M70=0,"",L70*M70),"")</f>
        <v/>
      </c>
      <c r="O70" s="280" t="n"/>
      <c r="P70" s="332">
        <f>IFERROR(VLOOKUP(TEXT(O70,"0"),CONDUCTORES!$A$3:$G$100,2,0),"")</f>
        <v/>
      </c>
      <c r="Q70" s="332">
        <f>IFERROR(VLOOKUP(TEXT(O70,"0"),CONDUCTORES!$A$3:$H$100,6,0),"")</f>
        <v/>
      </c>
      <c r="R70" s="334" t="n"/>
      <c r="S70" s="302" t="inlineStr">
        <is>
          <t>N390,A090,E86X,N179</t>
        </is>
      </c>
      <c r="T70" s="301" t="n"/>
      <c r="U70" s="334" t="n"/>
      <c r="V70" s="301" t="n"/>
      <c r="W70" s="301" t="n"/>
      <c r="X70" s="301" t="n"/>
      <c r="Y70" s="280" t="n"/>
    </row>
    <row r="71" ht="15.75" customHeight="1" s="195">
      <c r="A71" s="241" t="n">
        <v>66</v>
      </c>
      <c r="B71" s="305" t="inlineStr">
        <is>
          <t>0000025</t>
        </is>
      </c>
      <c r="C71" s="241" t="inlineStr">
        <is>
          <t>REGION</t>
        </is>
      </c>
      <c r="D71" s="305" t="inlineStr">
        <is>
          <t>FONSECA FUENTES MARCELINA</t>
        </is>
      </c>
      <c r="E71" s="241" t="inlineStr">
        <is>
          <t>DNI</t>
        </is>
      </c>
      <c r="F71" s="241" t="inlineStr">
        <is>
          <t>48471792</t>
        </is>
      </c>
      <c r="G71" s="336" t="n">
        <v>45986</v>
      </c>
      <c r="H71" s="241" t="inlineStr">
        <is>
          <t>4874</t>
        </is>
      </c>
      <c r="I71" s="332">
        <f>IFERROR(VLOOKUP(TEXT(H71,"0"),IPRESS!$A$3:$B$212,2,0),"")</f>
        <v/>
      </c>
      <c r="J71" s="241" t="inlineStr">
        <is>
          <t>4838</t>
        </is>
      </c>
      <c r="K71" s="332">
        <f>IFERROR(VLOOKUP(TEXT(O71,"0"),CONDUCTORES!$A$3:$G$100,7,0),"")</f>
        <v/>
      </c>
      <c r="L71" s="239" t="n">
        <v>18.18</v>
      </c>
      <c r="M71" s="239" t="n">
        <v>23</v>
      </c>
      <c r="N71" s="333">
        <f>IFERROR(IF(L71*M71=0,"",L71*M71),"")</f>
        <v/>
      </c>
      <c r="O71" s="334" t="n"/>
      <c r="P71" s="332">
        <f>IFERROR(VLOOKUP(TEXT(O71,"0"),CONDUCTORES!$A$3:$G$100,2,0),"")</f>
        <v/>
      </c>
      <c r="Q71" s="332">
        <f>IFERROR(VLOOKUP(TEXT(O71,"0"),CONDUCTORES!$A$3:$H$100,6,0),"")</f>
        <v/>
      </c>
      <c r="R71" s="280" t="n"/>
      <c r="S71" s="305" t="inlineStr">
        <is>
          <t>O990,K922</t>
        </is>
      </c>
      <c r="T71" s="241" t="n"/>
      <c r="U71" s="280" t="n"/>
      <c r="V71" s="241" t="n"/>
      <c r="W71" s="241" t="n"/>
      <c r="X71" s="241" t="n"/>
      <c r="Y71" s="280" t="n"/>
    </row>
    <row r="72" ht="15.75" customHeight="1" s="195">
      <c r="A72" s="301" t="n">
        <v>67</v>
      </c>
      <c r="B72" s="302" t="n"/>
      <c r="C72" s="301" t="inlineStr">
        <is>
          <t>REGION</t>
        </is>
      </c>
      <c r="D72" s="302" t="n"/>
      <c r="E72" s="301" t="inlineStr">
        <is>
          <t>DNI</t>
        </is>
      </c>
      <c r="F72" s="301" t="n"/>
      <c r="G72" s="334" t="n"/>
      <c r="H72" s="301" t="n"/>
      <c r="I72" s="332">
        <f>IFERROR(VLOOKUP(TEXT(H72,"0"),IPRESS!$A$3:$B$212,2,0),"")</f>
        <v/>
      </c>
      <c r="J72" s="301" t="n"/>
      <c r="K72" s="332">
        <f>IFERROR(VLOOKUP(TEXT(O72,"0"),CONDUCTORES!$A$3:$G$100,7,0),"")</f>
        <v/>
      </c>
      <c r="L72" s="245" t="n"/>
      <c r="M72" s="245" t="n"/>
      <c r="N72" s="333">
        <f>IFERROR(IF(L72*M72=0,"",L72*M72),"")</f>
        <v/>
      </c>
      <c r="O72" s="280" t="n"/>
      <c r="P72" s="332">
        <f>IFERROR(VLOOKUP(TEXT(O72,"0"),CONDUCTORES!$A$3:$G$100,2,0),"")</f>
        <v/>
      </c>
      <c r="Q72" s="332">
        <f>IFERROR(VLOOKUP(TEXT(O72,"0"),CONDUCTORES!$A$3:$H$100,6,0),"")</f>
        <v/>
      </c>
      <c r="R72" s="334" t="n"/>
      <c r="S72" s="302" t="n"/>
      <c r="T72" s="301" t="n"/>
      <c r="U72" s="334" t="n"/>
      <c r="V72" s="301" t="n"/>
      <c r="W72" s="301" t="n"/>
      <c r="X72" s="301" t="n"/>
      <c r="Y72" s="280" t="n"/>
    </row>
    <row r="73" ht="15.75" customHeight="1" s="195">
      <c r="A73" s="241" t="n">
        <v>68</v>
      </c>
      <c r="B73" s="305" t="n"/>
      <c r="C73" s="241" t="inlineStr">
        <is>
          <t>REGION</t>
        </is>
      </c>
      <c r="D73" s="305" t="n"/>
      <c r="E73" s="241" t="inlineStr">
        <is>
          <t>DNI</t>
        </is>
      </c>
      <c r="F73" s="241" t="n"/>
      <c r="G73" s="280" t="n"/>
      <c r="H73" s="241" t="n"/>
      <c r="I73" s="332">
        <f>IFERROR(VLOOKUP(TEXT(H73,"0"),IPRESS!$A$3:$B$212,2,0),"")</f>
        <v/>
      </c>
      <c r="J73" s="241" t="n"/>
      <c r="K73" s="332">
        <f>IFERROR(VLOOKUP(TEXT(O73,"0"),CONDUCTORES!$A$3:$G$100,7,0),"")</f>
        <v/>
      </c>
      <c r="L73" s="239" t="n"/>
      <c r="M73" s="239" t="n"/>
      <c r="N73" s="333">
        <f>IFERROR(IF(L73*M73=0,"",L73*M73),"")</f>
        <v/>
      </c>
      <c r="O73" s="334" t="n"/>
      <c r="P73" s="332">
        <f>IFERROR(VLOOKUP(TEXT(O73,"0"),CONDUCTORES!$A$3:$G$100,2,0),"")</f>
        <v/>
      </c>
      <c r="Q73" s="332">
        <f>IFERROR(VLOOKUP(TEXT(O73,"0"),CONDUCTORES!$A$3:$H$100,6,0),"")</f>
        <v/>
      </c>
      <c r="R73" s="280" t="n"/>
      <c r="S73" s="305" t="n"/>
      <c r="T73" s="241" t="n"/>
      <c r="U73" s="280" t="n"/>
      <c r="V73" s="241" t="n"/>
      <c r="W73" s="241" t="n"/>
      <c r="X73" s="241" t="n"/>
      <c r="Y73" s="280" t="n"/>
    </row>
    <row r="74" ht="15.75" customHeight="1" s="195">
      <c r="A74" s="301" t="n">
        <v>69</v>
      </c>
      <c r="B74" s="302" t="n"/>
      <c r="C74" s="301" t="inlineStr">
        <is>
          <t>REGION</t>
        </is>
      </c>
      <c r="D74" s="302" t="n"/>
      <c r="E74" s="301" t="inlineStr">
        <is>
          <t>DNI</t>
        </is>
      </c>
      <c r="F74" s="301" t="n"/>
      <c r="G74" s="334" t="n"/>
      <c r="H74" s="301" t="n"/>
      <c r="I74" s="332">
        <f>IFERROR(VLOOKUP(TEXT(H74,"0"),IPRESS!$A$3:$B$212,2,0),"")</f>
        <v/>
      </c>
      <c r="J74" s="301" t="n"/>
      <c r="K74" s="332">
        <f>IFERROR(VLOOKUP(TEXT(O74,"0"),CONDUCTORES!$A$3:$G$100,7,0),"")</f>
        <v/>
      </c>
      <c r="L74" s="245" t="n"/>
      <c r="M74" s="245" t="n"/>
      <c r="N74" s="333">
        <f>IFERROR(IF(L74*M74=0,"",L74*M74),"")</f>
        <v/>
      </c>
      <c r="O74" s="280" t="n"/>
      <c r="P74" s="332">
        <f>IFERROR(VLOOKUP(TEXT(O74,"0"),CONDUCTORES!$A$3:$G$100,2,0),"")</f>
        <v/>
      </c>
      <c r="Q74" s="332">
        <f>IFERROR(VLOOKUP(TEXT(O74,"0"),CONDUCTORES!$A$3:$H$100,6,0),"")</f>
        <v/>
      </c>
      <c r="R74" s="334" t="n"/>
      <c r="S74" s="302" t="n"/>
      <c r="T74" s="301" t="n"/>
      <c r="U74" s="334" t="n"/>
      <c r="V74" s="301" t="n"/>
      <c r="W74" s="301" t="n"/>
      <c r="X74" s="301" t="n"/>
      <c r="Y74" s="280" t="n"/>
    </row>
    <row r="75" ht="15.75" customHeight="1" s="195">
      <c r="A75" s="241" t="n">
        <v>70</v>
      </c>
      <c r="B75" s="305" t="n"/>
      <c r="C75" s="241" t="inlineStr">
        <is>
          <t>REGION</t>
        </is>
      </c>
      <c r="D75" s="305" t="n"/>
      <c r="E75" s="241" t="inlineStr">
        <is>
          <t>DNI</t>
        </is>
      </c>
      <c r="F75" s="241" t="n"/>
      <c r="G75" s="280" t="n"/>
      <c r="H75" s="241" t="n"/>
      <c r="I75" s="332">
        <f>IFERROR(VLOOKUP(TEXT(H75,"0"),IPRESS!$A$3:$B$212,2,0),"")</f>
        <v/>
      </c>
      <c r="J75" s="241" t="n"/>
      <c r="K75" s="332">
        <f>IFERROR(VLOOKUP(TEXT(O75,"0"),CONDUCTORES!$A$3:$G$100,7,0),"")</f>
        <v/>
      </c>
      <c r="L75" s="239" t="n"/>
      <c r="M75" s="239" t="n"/>
      <c r="N75" s="333">
        <f>IFERROR(IF(L75*M75=0,"",L75*M75),"")</f>
        <v/>
      </c>
      <c r="O75" s="334" t="n"/>
      <c r="P75" s="332">
        <f>IFERROR(VLOOKUP(TEXT(O75,"0"),CONDUCTORES!$A$3:$G$100,2,0),"")</f>
        <v/>
      </c>
      <c r="Q75" s="332">
        <f>IFERROR(VLOOKUP(TEXT(O75,"0"),CONDUCTORES!$A$3:$H$100,6,0),"")</f>
        <v/>
      </c>
      <c r="R75" s="280" t="n"/>
      <c r="S75" s="305" t="n"/>
      <c r="T75" s="241" t="n"/>
      <c r="U75" s="280" t="n"/>
      <c r="V75" s="241" t="n"/>
      <c r="W75" s="241" t="n"/>
      <c r="X75" s="241" t="n"/>
      <c r="Y75" s="280" t="n"/>
    </row>
    <row r="76" ht="15.75" customHeight="1" s="195">
      <c r="A76" s="301" t="n">
        <v>71</v>
      </c>
      <c r="B76" s="302" t="n"/>
      <c r="C76" s="301" t="inlineStr">
        <is>
          <t>REGION</t>
        </is>
      </c>
      <c r="D76" s="302" t="n"/>
      <c r="E76" s="301" t="inlineStr">
        <is>
          <t>DNI</t>
        </is>
      </c>
      <c r="F76" s="301" t="n"/>
      <c r="G76" s="334" t="n"/>
      <c r="H76" s="301" t="n"/>
      <c r="I76" s="332">
        <f>IFERROR(VLOOKUP(TEXT(H76,"0"),IPRESS!$A$3:$B$212,2,0),"")</f>
        <v/>
      </c>
      <c r="J76" s="301" t="n"/>
      <c r="K76" s="332">
        <f>IFERROR(VLOOKUP(TEXT(O76,"0"),CONDUCTORES!$A$3:$G$100,7,0),"")</f>
        <v/>
      </c>
      <c r="L76" s="245" t="n"/>
      <c r="M76" s="245" t="n"/>
      <c r="N76" s="333">
        <f>IFERROR(IF(L76*M76=0,"",L76*M76),"")</f>
        <v/>
      </c>
      <c r="O76" s="280" t="n"/>
      <c r="P76" s="332">
        <f>IFERROR(VLOOKUP(TEXT(O76,"0"),CONDUCTORES!$A$3:$G$100,2,0),"")</f>
        <v/>
      </c>
      <c r="Q76" s="332">
        <f>IFERROR(VLOOKUP(TEXT(O76,"0"),CONDUCTORES!$A$3:$H$100,6,0),"")</f>
        <v/>
      </c>
      <c r="R76" s="334" t="n"/>
      <c r="S76" s="302" t="n"/>
      <c r="T76" s="301" t="n"/>
      <c r="U76" s="334" t="n"/>
      <c r="V76" s="301" t="n"/>
      <c r="W76" s="301" t="n"/>
      <c r="X76" s="301" t="n"/>
      <c r="Y76" s="280" t="n"/>
    </row>
    <row r="77" ht="15.75" customHeight="1" s="195">
      <c r="A77" s="241" t="n">
        <v>72</v>
      </c>
      <c r="B77" s="305" t="n"/>
      <c r="C77" s="241" t="inlineStr">
        <is>
          <t>REGION</t>
        </is>
      </c>
      <c r="D77" s="305" t="n"/>
      <c r="E77" s="241" t="inlineStr">
        <is>
          <t>DNI</t>
        </is>
      </c>
      <c r="F77" s="241" t="n"/>
      <c r="G77" s="280" t="n"/>
      <c r="H77" s="241" t="n"/>
      <c r="I77" s="332">
        <f>IFERROR(VLOOKUP(TEXT(H77,"0"),IPRESS!$A$3:$B$212,2,0),"")</f>
        <v/>
      </c>
      <c r="J77" s="241" t="n"/>
      <c r="K77" s="332">
        <f>IFERROR(VLOOKUP(TEXT(O77,"0"),CONDUCTORES!$A$3:$G$100,7,0),"")</f>
        <v/>
      </c>
      <c r="L77" s="239" t="n"/>
      <c r="M77" s="239" t="n"/>
      <c r="N77" s="333">
        <f>IFERROR(IF(L77*M77=0,"",L77*M77),"")</f>
        <v/>
      </c>
      <c r="O77" s="334" t="n"/>
      <c r="P77" s="332">
        <f>IFERROR(VLOOKUP(TEXT(O77,"0"),CONDUCTORES!$A$3:$G$100,2,0),"")</f>
        <v/>
      </c>
      <c r="Q77" s="332">
        <f>IFERROR(VLOOKUP(TEXT(O77,"0"),CONDUCTORES!$A$3:$H$100,6,0),"")</f>
        <v/>
      </c>
      <c r="R77" s="280" t="n"/>
      <c r="S77" s="305" t="n"/>
      <c r="T77" s="241" t="n"/>
      <c r="U77" s="280" t="n"/>
      <c r="V77" s="241" t="n"/>
      <c r="W77" s="241" t="n"/>
      <c r="X77" s="241" t="n"/>
      <c r="Y77" s="280" t="n"/>
    </row>
    <row r="78" ht="15.75" customHeight="1" s="195">
      <c r="A78" s="301" t="n">
        <v>73</v>
      </c>
      <c r="B78" s="302" t="n"/>
      <c r="C78" s="301" t="inlineStr">
        <is>
          <t>REGION</t>
        </is>
      </c>
      <c r="D78" s="302" t="n"/>
      <c r="E78" s="301" t="inlineStr">
        <is>
          <t>DNI</t>
        </is>
      </c>
      <c r="F78" s="301" t="n"/>
      <c r="G78" s="334" t="n"/>
      <c r="H78" s="301" t="n"/>
      <c r="I78" s="332">
        <f>IFERROR(VLOOKUP(TEXT(H78,"0"),IPRESS!$A$3:$B$212,2,0),"")</f>
        <v/>
      </c>
      <c r="J78" s="301" t="n"/>
      <c r="K78" s="332">
        <f>IFERROR(VLOOKUP(TEXT(O78,"0"),CONDUCTORES!$A$3:$G$100,7,0),"")</f>
        <v/>
      </c>
      <c r="L78" s="245" t="n"/>
      <c r="M78" s="245" t="n"/>
      <c r="N78" s="333">
        <f>IFERROR(IF(L78*M78=0,"",L78*M78),"")</f>
        <v/>
      </c>
      <c r="O78" s="280" t="n"/>
      <c r="P78" s="332">
        <f>IFERROR(VLOOKUP(TEXT(O78,"0"),CONDUCTORES!$A$3:$G$100,2,0),"")</f>
        <v/>
      </c>
      <c r="Q78" s="332">
        <f>IFERROR(VLOOKUP(TEXT(O78,"0"),CONDUCTORES!$A$3:$H$100,6,0),"")</f>
        <v/>
      </c>
      <c r="R78" s="334" t="n"/>
      <c r="S78" s="302" t="n"/>
      <c r="T78" s="301" t="n"/>
      <c r="U78" s="334" t="n"/>
      <c r="V78" s="301" t="n"/>
      <c r="W78" s="301" t="n"/>
      <c r="X78" s="301" t="n"/>
      <c r="Y78" s="280" t="n"/>
    </row>
    <row r="79" ht="15.75" customHeight="1" s="195">
      <c r="A79" s="241" t="n">
        <v>74</v>
      </c>
      <c r="B79" s="305" t="n"/>
      <c r="C79" s="241" t="inlineStr">
        <is>
          <t>REGION</t>
        </is>
      </c>
      <c r="D79" s="305" t="n"/>
      <c r="E79" s="241" t="inlineStr">
        <is>
          <t>DNI</t>
        </is>
      </c>
      <c r="F79" s="241" t="n"/>
      <c r="G79" s="280" t="n"/>
      <c r="H79" s="241" t="n"/>
      <c r="I79" s="332">
        <f>IFERROR(VLOOKUP(TEXT(H79,"0"),IPRESS!$A$3:$B$212,2,0),"")</f>
        <v/>
      </c>
      <c r="J79" s="241" t="n"/>
      <c r="K79" s="332">
        <f>IFERROR(VLOOKUP(TEXT(O79,"0"),CONDUCTORES!$A$3:$G$100,7,0),"")</f>
        <v/>
      </c>
      <c r="L79" s="239" t="n"/>
      <c r="M79" s="239" t="n"/>
      <c r="N79" s="333">
        <f>IFERROR(IF(L79*M79=0,"",L79*M79),"")</f>
        <v/>
      </c>
      <c r="O79" s="334" t="n"/>
      <c r="P79" s="332">
        <f>IFERROR(VLOOKUP(TEXT(O79,"0"),CONDUCTORES!$A$3:$G$100,2,0),"")</f>
        <v/>
      </c>
      <c r="Q79" s="332">
        <f>IFERROR(VLOOKUP(TEXT(O79,"0"),CONDUCTORES!$A$3:$H$100,6,0),"")</f>
        <v/>
      </c>
      <c r="R79" s="280" t="n"/>
      <c r="S79" s="305" t="n"/>
      <c r="T79" s="241" t="n"/>
      <c r="U79" s="280" t="n"/>
      <c r="V79" s="241" t="n"/>
      <c r="W79" s="241" t="n"/>
      <c r="X79" s="241" t="n"/>
      <c r="Y79" s="280" t="n"/>
    </row>
    <row r="80" ht="15.75" customHeight="1" s="195">
      <c r="A80" s="301" t="n">
        <v>75</v>
      </c>
      <c r="B80" s="302" t="n"/>
      <c r="C80" s="301" t="inlineStr">
        <is>
          <t>REGION</t>
        </is>
      </c>
      <c r="D80" s="302" t="n"/>
      <c r="E80" s="301" t="inlineStr">
        <is>
          <t>DNI</t>
        </is>
      </c>
      <c r="F80" s="301" t="n"/>
      <c r="G80" s="334" t="n"/>
      <c r="H80" s="301" t="n"/>
      <c r="I80" s="332">
        <f>IFERROR(VLOOKUP(TEXT(H80,"0"),IPRESS!$A$3:$B$212,2,0),"")</f>
        <v/>
      </c>
      <c r="J80" s="301" t="n"/>
      <c r="K80" s="332">
        <f>IFERROR(VLOOKUP(TEXT(O80,"0"),CONDUCTORES!$A$3:$G$100,7,0),"")</f>
        <v/>
      </c>
      <c r="L80" s="245" t="n"/>
      <c r="M80" s="245" t="n"/>
      <c r="N80" s="333">
        <f>IFERROR(IF(L80*M80=0,"",L80*M80),"")</f>
        <v/>
      </c>
      <c r="O80" s="280" t="n"/>
      <c r="P80" s="332">
        <f>IFERROR(VLOOKUP(TEXT(O80,"0"),CONDUCTORES!$A$3:$G$100,2,0),"")</f>
        <v/>
      </c>
      <c r="Q80" s="332">
        <f>IFERROR(VLOOKUP(TEXT(O80,"0"),CONDUCTORES!$A$3:$H$100,6,0),"")</f>
        <v/>
      </c>
      <c r="R80" s="334" t="n"/>
      <c r="S80" s="302" t="n"/>
      <c r="T80" s="301" t="n"/>
      <c r="U80" s="334" t="n"/>
      <c r="V80" s="301" t="n"/>
      <c r="W80" s="301" t="n"/>
      <c r="X80" s="301" t="n"/>
      <c r="Y80" s="280" t="n"/>
    </row>
    <row r="81" ht="15.75" customHeight="1" s="195">
      <c r="A81" s="241" t="n">
        <v>76</v>
      </c>
      <c r="B81" s="305" t="n"/>
      <c r="C81" s="241" t="inlineStr">
        <is>
          <t>REGION</t>
        </is>
      </c>
      <c r="D81" s="305" t="n"/>
      <c r="E81" s="241" t="inlineStr">
        <is>
          <t>DNI</t>
        </is>
      </c>
      <c r="F81" s="241" t="n"/>
      <c r="G81" s="280" t="n"/>
      <c r="H81" s="241" t="n"/>
      <c r="I81" s="332">
        <f>IFERROR(VLOOKUP(TEXT(H81,"0"),IPRESS!$A$3:$B$212,2,0),"")</f>
        <v/>
      </c>
      <c r="J81" s="241" t="n"/>
      <c r="K81" s="332">
        <f>IFERROR(VLOOKUP(TEXT(O81,"0"),CONDUCTORES!$A$3:$G$100,7,0),"")</f>
        <v/>
      </c>
      <c r="L81" s="239" t="n"/>
      <c r="M81" s="239" t="n"/>
      <c r="N81" s="333">
        <f>IFERROR(IF(L81*M81=0,"",L81*M81),"")</f>
        <v/>
      </c>
      <c r="O81" s="334" t="n"/>
      <c r="P81" s="332">
        <f>IFERROR(VLOOKUP(TEXT(O81,"0"),CONDUCTORES!$A$3:$G$100,2,0),"")</f>
        <v/>
      </c>
      <c r="Q81" s="332">
        <f>IFERROR(VLOOKUP(TEXT(O81,"0"),CONDUCTORES!$A$3:$H$100,6,0),"")</f>
        <v/>
      </c>
      <c r="R81" s="280" t="n"/>
      <c r="S81" s="305" t="n"/>
      <c r="T81" s="241" t="n"/>
      <c r="U81" s="280" t="n"/>
      <c r="V81" s="241" t="n"/>
      <c r="W81" s="241" t="n"/>
      <c r="X81" s="241" t="n"/>
      <c r="Y81" s="280" t="n"/>
    </row>
    <row r="82" ht="15.75" customHeight="1" s="195">
      <c r="A82" s="301" t="n">
        <v>77</v>
      </c>
      <c r="B82" s="302" t="n"/>
      <c r="C82" s="301" t="inlineStr">
        <is>
          <t>REGION</t>
        </is>
      </c>
      <c r="D82" s="302" t="n"/>
      <c r="E82" s="301" t="inlineStr">
        <is>
          <t>DNI</t>
        </is>
      </c>
      <c r="F82" s="301" t="n"/>
      <c r="G82" s="334" t="n"/>
      <c r="H82" s="301" t="n"/>
      <c r="I82" s="332">
        <f>IFERROR(VLOOKUP(TEXT(H82,"0"),IPRESS!$A$3:$B$212,2,0),"")</f>
        <v/>
      </c>
      <c r="J82" s="301" t="n"/>
      <c r="K82" s="332">
        <f>IFERROR(VLOOKUP(TEXT(O82,"0"),CONDUCTORES!$A$3:$G$100,7,0),"")</f>
        <v/>
      </c>
      <c r="L82" s="245" t="n"/>
      <c r="M82" s="245" t="n"/>
      <c r="N82" s="333">
        <f>IFERROR(IF(L82*M82=0,"",L82*M82),"")</f>
        <v/>
      </c>
      <c r="O82" s="280" t="n"/>
      <c r="P82" s="332">
        <f>IFERROR(VLOOKUP(TEXT(O82,"0"),CONDUCTORES!$A$3:$G$100,2,0),"")</f>
        <v/>
      </c>
      <c r="Q82" s="332">
        <f>IFERROR(VLOOKUP(TEXT(O82,"0"),CONDUCTORES!$A$3:$H$100,6,0),"")</f>
        <v/>
      </c>
      <c r="R82" s="334" t="n"/>
      <c r="S82" s="302" t="n"/>
      <c r="T82" s="301" t="n"/>
      <c r="U82" s="334" t="n"/>
      <c r="V82" s="301" t="n"/>
      <c r="W82" s="301" t="n"/>
      <c r="X82" s="301" t="n"/>
      <c r="Y82" s="280" t="n"/>
    </row>
    <row r="83" ht="15.75" customHeight="1" s="195">
      <c r="A83" s="241" t="n">
        <v>78</v>
      </c>
      <c r="B83" s="305" t="n"/>
      <c r="C83" s="241" t="inlineStr">
        <is>
          <t>REGION</t>
        </is>
      </c>
      <c r="D83" s="305" t="n"/>
      <c r="E83" s="241" t="inlineStr">
        <is>
          <t>DNI</t>
        </is>
      </c>
      <c r="F83" s="241" t="n"/>
      <c r="G83" s="280" t="n"/>
      <c r="H83" s="241" t="n"/>
      <c r="I83" s="332">
        <f>IFERROR(VLOOKUP(TEXT(H83,"0"),IPRESS!$A$3:$B$212,2,0),"")</f>
        <v/>
      </c>
      <c r="J83" s="241" t="n"/>
      <c r="K83" s="332">
        <f>IFERROR(VLOOKUP(TEXT(O83,"0"),CONDUCTORES!$A$3:$G$100,7,0),"")</f>
        <v/>
      </c>
      <c r="L83" s="239" t="n"/>
      <c r="M83" s="239" t="n"/>
      <c r="N83" s="333">
        <f>IFERROR(IF(L83*M83=0,"",L83*M83),"")</f>
        <v/>
      </c>
      <c r="O83" s="334" t="n"/>
      <c r="P83" s="332">
        <f>IFERROR(VLOOKUP(TEXT(O83,"0"),CONDUCTORES!$A$3:$G$100,2,0),"")</f>
        <v/>
      </c>
      <c r="Q83" s="332">
        <f>IFERROR(VLOOKUP(TEXT(O83,"0"),CONDUCTORES!$A$3:$H$100,6,0),"")</f>
        <v/>
      </c>
      <c r="R83" s="280" t="n"/>
      <c r="S83" s="305" t="n"/>
      <c r="T83" s="241" t="n"/>
      <c r="U83" s="280" t="n"/>
      <c r="V83" s="241" t="n"/>
      <c r="W83" s="241" t="n"/>
      <c r="X83" s="241" t="n"/>
      <c r="Y83" s="280" t="n"/>
    </row>
    <row r="84" ht="15.75" customHeight="1" s="195">
      <c r="A84" s="301" t="n">
        <v>79</v>
      </c>
      <c r="B84" s="302" t="n"/>
      <c r="C84" s="301" t="inlineStr">
        <is>
          <t>REGION</t>
        </is>
      </c>
      <c r="D84" s="302" t="n"/>
      <c r="E84" s="301" t="inlineStr">
        <is>
          <t>DNI</t>
        </is>
      </c>
      <c r="F84" s="301" t="n"/>
      <c r="G84" s="334" t="n"/>
      <c r="H84" s="301" t="n"/>
      <c r="I84" s="332">
        <f>IFERROR(VLOOKUP(TEXT(H84,"0"),IPRESS!$A$3:$B$212,2,0),"")</f>
        <v/>
      </c>
      <c r="J84" s="301" t="n"/>
      <c r="K84" s="332">
        <f>IFERROR(VLOOKUP(TEXT(O84,"0"),CONDUCTORES!$A$3:$G$100,7,0),"")</f>
        <v/>
      </c>
      <c r="L84" s="245" t="n"/>
      <c r="M84" s="245" t="n"/>
      <c r="N84" s="333">
        <f>IFERROR(IF(L84*M84=0,"",L84*M84),"")</f>
        <v/>
      </c>
      <c r="O84" s="280" t="n"/>
      <c r="P84" s="332">
        <f>IFERROR(VLOOKUP(TEXT(O84,"0"),CONDUCTORES!$A$3:$G$100,2,0),"")</f>
        <v/>
      </c>
      <c r="Q84" s="332">
        <f>IFERROR(VLOOKUP(TEXT(O84,"0"),CONDUCTORES!$A$3:$H$100,6,0),"")</f>
        <v/>
      </c>
      <c r="R84" s="334" t="n"/>
      <c r="S84" s="302" t="n"/>
      <c r="T84" s="301" t="n"/>
      <c r="U84" s="334" t="n"/>
      <c r="V84" s="301" t="n"/>
      <c r="W84" s="301" t="n"/>
      <c r="X84" s="301" t="n"/>
      <c r="Y84" s="280" t="n"/>
    </row>
    <row r="85" ht="15.75" customHeight="1" s="195">
      <c r="A85" s="241" t="n">
        <v>80</v>
      </c>
      <c r="B85" s="305" t="n"/>
      <c r="C85" s="241" t="inlineStr">
        <is>
          <t>REGION</t>
        </is>
      </c>
      <c r="D85" s="305" t="n"/>
      <c r="E85" s="241" t="inlineStr">
        <is>
          <t>DNI</t>
        </is>
      </c>
      <c r="F85" s="241" t="n"/>
      <c r="G85" s="280" t="n"/>
      <c r="H85" s="241" t="n"/>
      <c r="I85" s="332">
        <f>IFERROR(VLOOKUP(TEXT(H85,"0"),IPRESS!$A$3:$B$212,2,0),"")</f>
        <v/>
      </c>
      <c r="J85" s="241" t="n"/>
      <c r="K85" s="332">
        <f>IFERROR(VLOOKUP(TEXT(O85,"0"),CONDUCTORES!$A$3:$G$100,7,0),"")</f>
        <v/>
      </c>
      <c r="L85" s="239" t="n"/>
      <c r="M85" s="239" t="n"/>
      <c r="N85" s="333">
        <f>IFERROR(IF(L85*M85=0,"",L85*M85),"")</f>
        <v/>
      </c>
      <c r="O85" s="334" t="n"/>
      <c r="P85" s="332">
        <f>IFERROR(VLOOKUP(TEXT(O85,"0"),CONDUCTORES!$A$3:$G$100,2,0),"")</f>
        <v/>
      </c>
      <c r="Q85" s="332">
        <f>IFERROR(VLOOKUP(TEXT(O85,"0"),CONDUCTORES!$A$3:$H$100,6,0),"")</f>
        <v/>
      </c>
      <c r="R85" s="280" t="n"/>
      <c r="S85" s="305" t="n"/>
      <c r="T85" s="241" t="n"/>
      <c r="U85" s="280" t="n"/>
      <c r="V85" s="241" t="n"/>
      <c r="W85" s="241" t="n"/>
      <c r="X85" s="241" t="n"/>
      <c r="Y85" s="280" t="n"/>
    </row>
    <row r="86" ht="15.75" customHeight="1" s="195">
      <c r="A86" s="301" t="n">
        <v>81</v>
      </c>
      <c r="B86" s="302" t="n"/>
      <c r="C86" s="301" t="inlineStr">
        <is>
          <t>REGION</t>
        </is>
      </c>
      <c r="D86" s="302" t="n"/>
      <c r="E86" s="301" t="inlineStr">
        <is>
          <t>DNI</t>
        </is>
      </c>
      <c r="F86" s="301" t="n"/>
      <c r="G86" s="334" t="n"/>
      <c r="H86" s="301" t="n"/>
      <c r="I86" s="332">
        <f>IFERROR(VLOOKUP(TEXT(H86,"0"),IPRESS!$A$3:$B$212,2,0),"")</f>
        <v/>
      </c>
      <c r="J86" s="301" t="n"/>
      <c r="K86" s="332">
        <f>IFERROR(VLOOKUP(TEXT(O86,"0"),CONDUCTORES!$A$3:$G$100,7,0),"")</f>
        <v/>
      </c>
      <c r="L86" s="245" t="n"/>
      <c r="M86" s="245" t="n"/>
      <c r="N86" s="333">
        <f>IFERROR(IF(L86*M86=0,"",L86*M86),"")</f>
        <v/>
      </c>
      <c r="O86" s="280" t="n"/>
      <c r="P86" s="332">
        <f>IFERROR(VLOOKUP(TEXT(O86,"0"),CONDUCTORES!$A$3:$G$100,2,0),"")</f>
        <v/>
      </c>
      <c r="Q86" s="332">
        <f>IFERROR(VLOOKUP(TEXT(O86,"0"),CONDUCTORES!$A$3:$H$100,6,0),"")</f>
        <v/>
      </c>
      <c r="R86" s="334" t="n"/>
      <c r="S86" s="302" t="n"/>
      <c r="T86" s="301" t="n"/>
      <c r="U86" s="334" t="n"/>
      <c r="V86" s="301" t="n"/>
      <c r="W86" s="301" t="n"/>
      <c r="X86" s="301" t="n"/>
      <c r="Y86" s="280" t="n"/>
    </row>
    <row r="87" ht="15.75" customHeight="1" s="195">
      <c r="A87" s="241" t="n">
        <v>82</v>
      </c>
      <c r="B87" s="305" t="n"/>
      <c r="C87" s="241" t="inlineStr">
        <is>
          <t>REGION</t>
        </is>
      </c>
      <c r="D87" s="305" t="n"/>
      <c r="E87" s="241" t="inlineStr">
        <is>
          <t>DNI</t>
        </is>
      </c>
      <c r="F87" s="241" t="n"/>
      <c r="G87" s="280" t="n"/>
      <c r="H87" s="241" t="n"/>
      <c r="I87" s="332">
        <f>IFERROR(VLOOKUP(TEXT(H87,"0"),IPRESS!$A$3:$B$212,2,0),"")</f>
        <v/>
      </c>
      <c r="J87" s="241" t="n"/>
      <c r="K87" s="332">
        <f>IFERROR(VLOOKUP(TEXT(O87,"0"),CONDUCTORES!$A$3:$G$100,7,0),"")</f>
        <v/>
      </c>
      <c r="L87" s="239" t="n"/>
      <c r="M87" s="239" t="n"/>
      <c r="N87" s="333">
        <f>IFERROR(IF(L87*M87=0,"",L87*M87),"")</f>
        <v/>
      </c>
      <c r="O87" s="334" t="n"/>
      <c r="P87" s="332">
        <f>IFERROR(VLOOKUP(TEXT(O87,"0"),CONDUCTORES!$A$3:$G$100,2,0),"")</f>
        <v/>
      </c>
      <c r="Q87" s="332">
        <f>IFERROR(VLOOKUP(TEXT(O87,"0"),CONDUCTORES!$A$3:$H$100,6,0),"")</f>
        <v/>
      </c>
      <c r="R87" s="280" t="n"/>
      <c r="S87" s="305" t="n"/>
      <c r="T87" s="241" t="n"/>
      <c r="U87" s="280" t="n"/>
      <c r="V87" s="241" t="n"/>
      <c r="W87" s="241" t="n"/>
      <c r="X87" s="241" t="n"/>
      <c r="Y87" s="280" t="n"/>
    </row>
    <row r="88" ht="15.75" customHeight="1" s="195">
      <c r="A88" s="301" t="n">
        <v>83</v>
      </c>
      <c r="B88" s="302" t="n"/>
      <c r="C88" s="301" t="inlineStr">
        <is>
          <t>REGION</t>
        </is>
      </c>
      <c r="D88" s="302" t="n"/>
      <c r="E88" s="301" t="inlineStr">
        <is>
          <t>DNI</t>
        </is>
      </c>
      <c r="F88" s="301" t="n"/>
      <c r="G88" s="334" t="n"/>
      <c r="H88" s="301" t="n"/>
      <c r="I88" s="332">
        <f>IFERROR(VLOOKUP(TEXT(H88,"0"),IPRESS!$A$3:$B$212,2,0),"")</f>
        <v/>
      </c>
      <c r="J88" s="301" t="n"/>
      <c r="K88" s="332">
        <f>IFERROR(VLOOKUP(TEXT(O88,"0"),CONDUCTORES!$A$3:$G$100,7,0),"")</f>
        <v/>
      </c>
      <c r="L88" s="245" t="n"/>
      <c r="M88" s="245" t="n"/>
      <c r="N88" s="333">
        <f>IFERROR(IF(L88*M88=0,"",L88*M88),"")</f>
        <v/>
      </c>
      <c r="O88" s="280" t="n"/>
      <c r="P88" s="332">
        <f>IFERROR(VLOOKUP(TEXT(O88,"0"),CONDUCTORES!$A$3:$G$100,2,0),"")</f>
        <v/>
      </c>
      <c r="Q88" s="332">
        <f>IFERROR(VLOOKUP(TEXT(O88,"0"),CONDUCTORES!$A$3:$H$100,6,0),"")</f>
        <v/>
      </c>
      <c r="R88" s="334" t="n"/>
      <c r="S88" s="302" t="n"/>
      <c r="T88" s="301" t="n"/>
      <c r="U88" s="334" t="n"/>
      <c r="V88" s="301" t="n"/>
      <c r="W88" s="301" t="n"/>
      <c r="X88" s="301" t="n"/>
      <c r="Y88" s="280" t="n"/>
    </row>
    <row r="89" ht="15" customHeight="1" s="195">
      <c r="A89" s="334" t="n"/>
      <c r="B89" s="334" t="n"/>
      <c r="C89" s="334" t="n"/>
      <c r="D89" s="334" t="n"/>
      <c r="E89" s="334" t="n"/>
      <c r="F89" s="334" t="n"/>
      <c r="G89" s="334" t="n"/>
      <c r="H89" s="334" t="n"/>
      <c r="I89" s="332">
        <f>IFERROR(VLOOKUP(TEXT(H89,"0"),IPRESS!$A$3:$B$212,2,0),"")</f>
        <v/>
      </c>
      <c r="J89" s="334" t="n"/>
      <c r="K89" s="332">
        <f>IFERROR(VLOOKUP(TEXT(O89,"0"),CONDUCTORES!$A$3:$G$54,7,0),"")</f>
        <v/>
      </c>
      <c r="L89" s="334" t="n"/>
      <c r="M89" s="334" t="n"/>
      <c r="N89" s="333">
        <f>IFERROR(IF(L89*M89=0,"",L89*M89),"")</f>
        <v/>
      </c>
      <c r="O89" s="334" t="n"/>
      <c r="P89" s="332">
        <f>IFERROR(VLOOKUP(TEXT(O89,"0"),CONDUCTORES!$A$3:$G$54,2,0),"")</f>
        <v/>
      </c>
      <c r="Q89" s="332">
        <f>IFERROR(VLOOKUP(TEXT(O89,"0"),CONDUCTORES!$A$3:$H$54,6,0),"")</f>
        <v/>
      </c>
      <c r="R89" s="334" t="n"/>
      <c r="S89" s="334" t="n"/>
      <c r="T89" s="334" t="n"/>
      <c r="U89" s="334" t="n"/>
      <c r="V89" s="334" t="n"/>
      <c r="W89" s="334" t="n"/>
      <c r="X89" s="334" t="n"/>
      <c r="Y89" s="334" t="n"/>
    </row>
    <row r="90" ht="24" customHeight="1" s="195">
      <c r="A90" s="342" t="inlineStr">
        <is>
          <t>SUBTOTAL (cambia al filtrar por EESS) →</t>
        </is>
      </c>
      <c r="K90" s="343" t="n"/>
      <c r="L90" s="280" t="n"/>
      <c r="M90" s="344">
        <f>SUBTOTAL(9,M4:M88)</f>
        <v/>
      </c>
      <c r="N90" s="344">
        <f>SUBTOTAL(9,N4:N88)</f>
        <v/>
      </c>
      <c r="O90" s="280" t="n"/>
      <c r="P90" s="332">
        <f>IFERROR(VLOOKUP(TEXT(O90,"0"),CONDUCTORES!$A$3:$G$100,2,0),"")</f>
        <v/>
      </c>
      <c r="Q90" s="332">
        <f>IFERROR(VLOOKUP(TEXT(O90,"0"),CONDUCTORES!$A$3:$H$100,6,0),"")</f>
        <v/>
      </c>
      <c r="R90" s="280" t="n"/>
      <c r="S90" s="280" t="n"/>
      <c r="T90" s="280" t="n"/>
      <c r="U90" s="280" t="n"/>
      <c r="V90" s="280" t="n"/>
      <c r="W90" s="280" t="n"/>
      <c r="X90" s="280" t="n"/>
      <c r="Y90" s="280" t="n"/>
    </row>
    <row r="91" ht="15" customHeight="1" s="195">
      <c r="A91" s="334" t="n"/>
      <c r="B91" s="334" t="n"/>
      <c r="C91" s="334" t="n"/>
      <c r="D91" s="334" t="n"/>
      <c r="E91" s="334" t="n"/>
      <c r="F91" s="334" t="n"/>
      <c r="G91" s="334" t="n"/>
      <c r="H91" s="334" t="n"/>
      <c r="I91" s="343" t="n"/>
      <c r="J91" s="334" t="n"/>
      <c r="K91" s="343" t="n"/>
      <c r="L91" s="334" t="n"/>
      <c r="M91" s="334" t="n"/>
      <c r="N91" s="345" t="n"/>
      <c r="O91" s="334" t="n"/>
      <c r="P91" s="343" t="n"/>
      <c r="Q91" s="343" t="n"/>
      <c r="R91" s="334" t="n"/>
      <c r="S91" s="334" t="n"/>
      <c r="T91" s="334" t="n"/>
      <c r="U91" s="334" t="n"/>
      <c r="V91" s="334" t="n"/>
      <c r="W91" s="334" t="n"/>
      <c r="X91" s="334" t="n"/>
      <c r="Y91" s="334" t="n"/>
    </row>
    <row r="92" ht="15" customHeight="1" s="195">
      <c r="A92" s="280" t="n"/>
      <c r="B92" s="280" t="n"/>
      <c r="C92" s="280" t="n"/>
      <c r="D92" s="280" t="n"/>
      <c r="E92" s="280" t="n"/>
      <c r="F92" s="280" t="n"/>
      <c r="G92" s="280" t="n"/>
      <c r="H92" s="280" t="n"/>
      <c r="I92" s="343" t="n"/>
      <c r="J92" s="280" t="n"/>
      <c r="K92" s="343" t="n"/>
      <c r="L92" s="280" t="n"/>
      <c r="M92" s="280" t="n"/>
      <c r="N92" s="345" t="n"/>
      <c r="O92" s="280" t="n"/>
      <c r="P92" s="343" t="n"/>
      <c r="Q92" s="343" t="n"/>
      <c r="R92" s="280" t="n"/>
      <c r="S92" s="280" t="n"/>
      <c r="T92" s="280" t="n"/>
      <c r="U92" s="280" t="n"/>
      <c r="V92" s="280" t="n"/>
      <c r="W92" s="280" t="n"/>
      <c r="X92" s="280" t="n"/>
      <c r="Y92" s="280" t="n"/>
    </row>
    <row r="93" ht="15" customHeight="1" s="195">
      <c r="A93" s="334" t="n"/>
      <c r="B93" s="334" t="n"/>
      <c r="C93" s="334" t="n"/>
      <c r="D93" s="334" t="n"/>
      <c r="E93" s="334" t="n"/>
      <c r="F93" s="334" t="n"/>
      <c r="G93" s="334" t="n"/>
      <c r="H93" s="334" t="n"/>
      <c r="I93" s="343" t="n"/>
      <c r="J93" s="334" t="n"/>
      <c r="K93" s="343" t="n"/>
      <c r="L93" s="334" t="n"/>
      <c r="M93" s="334" t="n"/>
      <c r="N93" s="345" t="n"/>
      <c r="O93" s="334" t="n"/>
      <c r="P93" s="343" t="n"/>
      <c r="Q93" s="343" t="n"/>
      <c r="R93" s="334" t="n"/>
      <c r="S93" s="334" t="n"/>
      <c r="T93" s="334" t="n"/>
      <c r="U93" s="334" t="n"/>
      <c r="V93" s="334" t="n"/>
      <c r="W93" s="334" t="n"/>
      <c r="X93" s="334" t="n"/>
      <c r="Y93" s="334" t="n"/>
    </row>
    <row r="94" ht="15" customHeight="1" s="195">
      <c r="A94" s="280" t="n"/>
      <c r="B94" s="280" t="n"/>
      <c r="C94" s="280" t="n"/>
      <c r="D94" s="280" t="n"/>
      <c r="E94" s="280" t="n"/>
      <c r="F94" s="280" t="n"/>
      <c r="G94" s="280" t="n"/>
      <c r="H94" s="280" t="n"/>
      <c r="I94" s="343" t="n"/>
      <c r="J94" s="280" t="n"/>
      <c r="K94" s="343" t="n"/>
      <c r="L94" s="280" t="n"/>
      <c r="M94" s="280" t="n"/>
      <c r="N94" s="345" t="n"/>
      <c r="O94" s="280" t="n"/>
      <c r="P94" s="343" t="n"/>
      <c r="Q94" s="343" t="n"/>
      <c r="R94" s="280" t="n"/>
      <c r="S94" s="280" t="n"/>
      <c r="T94" s="280" t="n"/>
      <c r="U94" s="280" t="n"/>
      <c r="V94" s="280" t="n"/>
      <c r="W94" s="280" t="n"/>
      <c r="X94" s="280" t="n"/>
      <c r="Y94" s="280" t="n"/>
    </row>
    <row r="95" ht="15" customHeight="1" s="195">
      <c r="A95" s="334" t="n"/>
      <c r="B95" s="334" t="n"/>
      <c r="C95" s="334" t="n"/>
      <c r="D95" s="334" t="n"/>
      <c r="E95" s="334" t="n"/>
      <c r="F95" s="334" t="n"/>
      <c r="G95" s="334" t="n"/>
      <c r="H95" s="334" t="n"/>
      <c r="I95" s="332">
        <f>IFERROR(VLOOKUP(TEXT(H95,"0"),IPRESS!$A$3:$B$212,2,0),"")</f>
        <v/>
      </c>
      <c r="J95" s="334" t="n"/>
      <c r="K95" s="332">
        <f>IFERROR(VLOOKUP(TEXT(O95,"0"),CONDUCTORES!$A$3:$G$54,7,0),"")</f>
        <v/>
      </c>
      <c r="L95" s="334" t="n"/>
      <c r="M95" s="334" t="n"/>
      <c r="N95" s="333">
        <f>IFERROR(IF(L95*M95=0,"",L95*M95),"")</f>
        <v/>
      </c>
      <c r="O95" s="334" t="n"/>
      <c r="P95" s="332">
        <f>IFERROR(VLOOKUP(TEXT(O95,"0"),CONDUCTORES!$A$3:$G$54,2,0),"")</f>
        <v/>
      </c>
      <c r="Q95" s="332">
        <f>IFERROR(VLOOKUP(TEXT(O95,"0"),CONDUCTORES!$A$3:$H$54,6,0),"")</f>
        <v/>
      </c>
      <c r="R95" s="334" t="n"/>
      <c r="S95" s="334" t="n"/>
      <c r="T95" s="334" t="n"/>
      <c r="U95" s="334" t="n"/>
      <c r="V95" s="334" t="n"/>
      <c r="W95" s="334" t="n"/>
      <c r="X95" s="334" t="n"/>
      <c r="Y95" s="334" t="n"/>
    </row>
    <row r="96" ht="15" customHeight="1" s="195">
      <c r="A96" s="280" t="n"/>
      <c r="B96" s="280" t="n"/>
      <c r="C96" s="280" t="n"/>
      <c r="D96" s="280" t="n"/>
      <c r="E96" s="280" t="n"/>
      <c r="F96" s="280" t="n"/>
      <c r="G96" s="280" t="n"/>
      <c r="H96" s="280" t="n"/>
      <c r="I96" s="332">
        <f>IFERROR(VLOOKUP(TEXT(H96,"0"),IPRESS!$A$3:$B$212,2,0),"")</f>
        <v/>
      </c>
      <c r="J96" s="280" t="n"/>
      <c r="K96" s="332">
        <f>IFERROR(VLOOKUP(TEXT(O96,"0"),CONDUCTORES!$A$3:$G$54,7,0),"")</f>
        <v/>
      </c>
      <c r="L96" s="280" t="n"/>
      <c r="M96" s="280" t="n"/>
      <c r="N96" s="333">
        <f>IFERROR(IF(L96*M96=0,"",L96*M96),"")</f>
        <v/>
      </c>
      <c r="O96" s="280" t="n"/>
      <c r="P96" s="332">
        <f>IFERROR(VLOOKUP(TEXT(O96,"0"),CONDUCTORES!$A$3:$G$54,2,0),"")</f>
        <v/>
      </c>
      <c r="Q96" s="332">
        <f>IFERROR(VLOOKUP(TEXT(O96,"0"),CONDUCTORES!$A$3:$H$54,6,0),"")</f>
        <v/>
      </c>
      <c r="R96" s="280" t="n"/>
      <c r="S96" s="280" t="n"/>
      <c r="T96" s="280" t="n"/>
      <c r="U96" s="280" t="n"/>
      <c r="V96" s="280" t="n"/>
      <c r="W96" s="280" t="n"/>
      <c r="X96" s="280" t="n"/>
      <c r="Y96" s="280" t="n"/>
    </row>
    <row r="97" ht="15" customHeight="1" s="195">
      <c r="A97" s="334" t="n"/>
      <c r="B97" s="334" t="n"/>
      <c r="C97" s="334" t="n"/>
      <c r="D97" s="334" t="n"/>
      <c r="E97" s="334" t="n"/>
      <c r="F97" s="334" t="n"/>
      <c r="G97" s="334" t="n"/>
      <c r="H97" s="334" t="n"/>
      <c r="I97" s="332">
        <f>IFERROR(VLOOKUP(TEXT(H97,"0"),IPRESS!$A$3:$B$212,2,0),"")</f>
        <v/>
      </c>
      <c r="J97" s="334" t="n"/>
      <c r="K97" s="332">
        <f>IFERROR(VLOOKUP(TEXT(O97,"0"),CONDUCTORES!$A$3:$G$54,7,0),"")</f>
        <v/>
      </c>
      <c r="L97" s="334" t="n"/>
      <c r="M97" s="334" t="n"/>
      <c r="N97" s="333">
        <f>IFERROR(IF(L97*M97=0,"",L97*M97),"")</f>
        <v/>
      </c>
      <c r="O97" s="334" t="n"/>
      <c r="P97" s="332">
        <f>IFERROR(VLOOKUP(TEXT(O97,"0"),CONDUCTORES!$A$3:$G$54,2,0),"")</f>
        <v/>
      </c>
      <c r="Q97" s="332">
        <f>IFERROR(VLOOKUP(TEXT(O97,"0"),CONDUCTORES!$A$3:$H$54,6,0),"")</f>
        <v/>
      </c>
      <c r="R97" s="334" t="n"/>
      <c r="S97" s="334" t="n"/>
      <c r="T97" s="334" t="n"/>
      <c r="U97" s="334" t="n"/>
      <c r="V97" s="334" t="n"/>
      <c r="W97" s="334" t="n"/>
      <c r="X97" s="334" t="n"/>
      <c r="Y97" s="334" t="n"/>
    </row>
    <row r="98" ht="15" customHeight="1" s="195">
      <c r="A98" s="280" t="n"/>
      <c r="B98" s="280" t="n"/>
      <c r="C98" s="280" t="n"/>
      <c r="D98" s="280" t="n"/>
      <c r="E98" s="280" t="n"/>
      <c r="F98" s="280" t="n"/>
      <c r="G98" s="280" t="n"/>
      <c r="H98" s="280" t="n"/>
      <c r="I98" s="332">
        <f>IFERROR(VLOOKUP(TEXT(H98,"0"),IPRESS!$A$3:$B$212,2,0),"")</f>
        <v/>
      </c>
      <c r="J98" s="280" t="n"/>
      <c r="K98" s="332">
        <f>IFERROR(VLOOKUP(TEXT(O98,"0"),CONDUCTORES!$A$3:$G$54,7,0),"")</f>
        <v/>
      </c>
      <c r="L98" s="280" t="n"/>
      <c r="M98" s="280" t="n"/>
      <c r="N98" s="333">
        <f>IFERROR(IF(L98*M98=0,"",L98*M98),"")</f>
        <v/>
      </c>
      <c r="O98" s="280" t="n"/>
      <c r="P98" s="332">
        <f>IFERROR(VLOOKUP(TEXT(O98,"0"),CONDUCTORES!$A$3:$G$54,2,0),"")</f>
        <v/>
      </c>
      <c r="Q98" s="332">
        <f>IFERROR(VLOOKUP(TEXT(O98,"0"),CONDUCTORES!$A$3:$H$54,6,0),"")</f>
        <v/>
      </c>
      <c r="R98" s="280" t="n"/>
      <c r="S98" s="280" t="n"/>
      <c r="T98" s="280" t="n"/>
      <c r="U98" s="280" t="n"/>
      <c r="V98" s="280" t="n"/>
      <c r="W98" s="280" t="n"/>
      <c r="X98" s="280" t="n"/>
      <c r="Y98" s="280" t="n"/>
    </row>
    <row r="99" ht="15" customHeight="1" s="195">
      <c r="A99" s="334" t="n"/>
      <c r="B99" s="334" t="n"/>
      <c r="C99" s="334" t="n"/>
      <c r="D99" s="334" t="n"/>
      <c r="E99" s="334" t="n"/>
      <c r="F99" s="334" t="n"/>
      <c r="G99" s="334" t="n"/>
      <c r="H99" s="334" t="n"/>
      <c r="I99" s="332">
        <f>IFERROR(VLOOKUP(TEXT(H99,"0"),IPRESS!$A$3:$B$212,2,0),"")</f>
        <v/>
      </c>
      <c r="J99" s="334" t="n"/>
      <c r="K99" s="332">
        <f>IFERROR(VLOOKUP(TEXT(O99,"0"),CONDUCTORES!$A$3:$G$54,7,0),"")</f>
        <v/>
      </c>
      <c r="L99" s="334" t="n"/>
      <c r="M99" s="334" t="n"/>
      <c r="N99" s="333">
        <f>IFERROR(IF(L99*M99=0,"",L99*M99),"")</f>
        <v/>
      </c>
      <c r="O99" s="334" t="n"/>
      <c r="P99" s="332">
        <f>IFERROR(VLOOKUP(TEXT(O99,"0"),CONDUCTORES!$A$3:$G$54,2,0),"")</f>
        <v/>
      </c>
      <c r="Q99" s="332">
        <f>IFERROR(VLOOKUP(TEXT(O99,"0"),CONDUCTORES!$A$3:$H$54,6,0),"")</f>
        <v/>
      </c>
      <c r="R99" s="334" t="n"/>
      <c r="S99" s="334" t="n"/>
      <c r="T99" s="334" t="n"/>
      <c r="U99" s="334" t="n"/>
      <c r="V99" s="334" t="n"/>
      <c r="W99" s="334" t="n"/>
      <c r="X99" s="334" t="n"/>
      <c r="Y99" s="334" t="n"/>
    </row>
    <row r="100" ht="15" customHeight="1" s="195">
      <c r="A100" s="280" t="n"/>
      <c r="B100" s="280" t="n"/>
      <c r="C100" s="280" t="n"/>
      <c r="D100" s="280" t="n"/>
      <c r="E100" s="280" t="n"/>
      <c r="F100" s="280" t="n"/>
      <c r="G100" s="280" t="n"/>
      <c r="H100" s="280" t="n"/>
      <c r="I100" s="332">
        <f>IFERROR(VLOOKUP(TEXT(H100,"0"),IPRESS!$A$3:$B$212,2,0),"")</f>
        <v/>
      </c>
      <c r="J100" s="280" t="n"/>
      <c r="K100" s="332">
        <f>IFERROR(VLOOKUP(TEXT(O100,"0"),CONDUCTORES!$A$3:$G$54,7,0),"")</f>
        <v/>
      </c>
      <c r="L100" s="280" t="n"/>
      <c r="M100" s="280" t="n"/>
      <c r="N100" s="333">
        <f>IFERROR(IF(L100*M100=0,"",L100*M100),"")</f>
        <v/>
      </c>
      <c r="O100" s="280" t="n"/>
      <c r="P100" s="332">
        <f>IFERROR(VLOOKUP(TEXT(O100,"0"),CONDUCTORES!$A$3:$G$54,2,0),"")</f>
        <v/>
      </c>
      <c r="Q100" s="332">
        <f>IFERROR(VLOOKUP(TEXT(O100,"0"),CONDUCTORES!$A$3:$H$54,6,0),"")</f>
        <v/>
      </c>
      <c r="R100" s="280" t="n"/>
      <c r="S100" s="280" t="n"/>
      <c r="T100" s="280" t="n"/>
      <c r="U100" s="280" t="n"/>
      <c r="V100" s="280" t="n"/>
      <c r="W100" s="280" t="n"/>
      <c r="X100" s="280" t="n"/>
      <c r="Y100" s="280" t="n"/>
    </row>
    <row r="101" ht="15" customHeight="1" s="195">
      <c r="A101" s="334" t="n"/>
      <c r="B101" s="334" t="n"/>
      <c r="C101" s="334" t="n"/>
      <c r="D101" s="334" t="n"/>
      <c r="E101" s="334" t="n"/>
      <c r="F101" s="334" t="n"/>
      <c r="G101" s="334" t="n"/>
      <c r="H101" s="334" t="n"/>
      <c r="I101" s="332">
        <f>IFERROR(VLOOKUP(TEXT(H101,"0"),IPRESS!$A$3:$B$212,2,0),"")</f>
        <v/>
      </c>
      <c r="J101" s="334" t="n"/>
      <c r="K101" s="332">
        <f>IFERROR(VLOOKUP(TEXT(O101,"0"),CONDUCTORES!$A$3:$G$54,7,0),"")</f>
        <v/>
      </c>
      <c r="L101" s="334" t="n"/>
      <c r="M101" s="334" t="n"/>
      <c r="N101" s="333">
        <f>IFERROR(IF(L101*M101=0,"",L101*M101),"")</f>
        <v/>
      </c>
      <c r="O101" s="334" t="n"/>
      <c r="P101" s="332">
        <f>IFERROR(VLOOKUP(TEXT(O101,"0"),CONDUCTORES!$A$3:$G$54,2,0),"")</f>
        <v/>
      </c>
      <c r="Q101" s="332">
        <f>IFERROR(VLOOKUP(TEXT(O101,"0"),CONDUCTORES!$A$3:$H$54,6,0),"")</f>
        <v/>
      </c>
      <c r="R101" s="334" t="n"/>
      <c r="S101" s="334" t="n"/>
      <c r="T101" s="334" t="n"/>
      <c r="U101" s="334" t="n"/>
      <c r="V101" s="334" t="n"/>
      <c r="W101" s="334" t="n"/>
      <c r="X101" s="334" t="n"/>
      <c r="Y101" s="334" t="n"/>
    </row>
    <row r="102" ht="15" customHeight="1" s="195">
      <c r="A102" s="280" t="n"/>
      <c r="B102" s="280" t="n"/>
      <c r="C102" s="280" t="n"/>
      <c r="D102" s="280" t="n"/>
      <c r="E102" s="280" t="n"/>
      <c r="F102" s="280" t="n"/>
      <c r="G102" s="280" t="n"/>
      <c r="H102" s="280" t="n"/>
      <c r="I102" s="332">
        <f>IFERROR(VLOOKUP(TEXT(H102,"0"),IPRESS!$A$3:$B$212,2,0),"")</f>
        <v/>
      </c>
      <c r="J102" s="280" t="n"/>
      <c r="K102" s="332">
        <f>IFERROR(VLOOKUP(TEXT(O102,"0"),CONDUCTORES!$A$3:$G$54,7,0),"")</f>
        <v/>
      </c>
      <c r="L102" s="280" t="n"/>
      <c r="M102" s="280" t="n"/>
      <c r="N102" s="333">
        <f>IFERROR(IF(L102*M102=0,"",L102*M102),"")</f>
        <v/>
      </c>
      <c r="O102" s="280" t="n"/>
      <c r="P102" s="332">
        <f>IFERROR(VLOOKUP(TEXT(O102,"0"),CONDUCTORES!$A$3:$G$54,2,0),"")</f>
        <v/>
      </c>
      <c r="Q102" s="332">
        <f>IFERROR(VLOOKUP(TEXT(O102,"0"),CONDUCTORES!$A$3:$H$54,6,0),"")</f>
        <v/>
      </c>
      <c r="R102" s="280" t="n"/>
      <c r="S102" s="280" t="n"/>
      <c r="T102" s="280" t="n"/>
      <c r="U102" s="280" t="n"/>
      <c r="V102" s="280" t="n"/>
      <c r="W102" s="280" t="n"/>
      <c r="X102" s="280" t="n"/>
      <c r="Y102" s="280" t="n"/>
    </row>
    <row r="103" ht="15" customHeight="1" s="195">
      <c r="A103" s="334" t="n"/>
      <c r="B103" s="334" t="n"/>
      <c r="C103" s="334" t="n"/>
      <c r="D103" s="334" t="n"/>
      <c r="E103" s="334" t="n"/>
      <c r="F103" s="334" t="n"/>
      <c r="G103" s="334" t="n"/>
      <c r="H103" s="334" t="n"/>
      <c r="I103" s="332">
        <f>IFERROR(VLOOKUP(TEXT(H103,"0"),IPRESS!$A$3:$B$212,2,0),"")</f>
        <v/>
      </c>
      <c r="J103" s="334" t="n"/>
      <c r="K103" s="332">
        <f>IFERROR(VLOOKUP(TEXT(O103,"0"),CONDUCTORES!$A$3:$G$54,7,0),"")</f>
        <v/>
      </c>
      <c r="L103" s="334" t="n"/>
      <c r="M103" s="334" t="n"/>
      <c r="N103" s="333">
        <f>IFERROR(IF(L103*M103=0,"",L103*M103),"")</f>
        <v/>
      </c>
      <c r="O103" s="334" t="n"/>
      <c r="P103" s="332">
        <f>IFERROR(VLOOKUP(TEXT(O103,"0"),CONDUCTORES!$A$3:$G$54,2,0),"")</f>
        <v/>
      </c>
      <c r="Q103" s="332">
        <f>IFERROR(VLOOKUP(TEXT(O103,"0"),CONDUCTORES!$A$3:$H$54,6,0),"")</f>
        <v/>
      </c>
      <c r="R103" s="334" t="n"/>
      <c r="S103" s="334" t="n"/>
      <c r="T103" s="334" t="n"/>
      <c r="U103" s="334" t="n"/>
      <c r="V103" s="334" t="n"/>
      <c r="W103" s="334" t="n"/>
      <c r="X103" s="334" t="n"/>
      <c r="Y103" s="334" t="n"/>
    </row>
    <row r="104" ht="15" customHeight="1" s="195">
      <c r="A104" s="280" t="n"/>
      <c r="B104" s="280" t="n"/>
      <c r="C104" s="280" t="n"/>
      <c r="D104" s="280" t="n"/>
      <c r="E104" s="280" t="n"/>
      <c r="F104" s="280" t="n"/>
      <c r="G104" s="280" t="n"/>
      <c r="H104" s="280" t="n"/>
      <c r="I104" s="332">
        <f>IFERROR(VLOOKUP(TEXT(H104,"0"),IPRESS!$A$3:$B$212,2,0),"")</f>
        <v/>
      </c>
      <c r="J104" s="280" t="n"/>
      <c r="K104" s="332">
        <f>IFERROR(VLOOKUP(TEXT(O104,"0"),CONDUCTORES!$A$3:$G$54,7,0),"")</f>
        <v/>
      </c>
      <c r="L104" s="280" t="n"/>
      <c r="M104" s="280" t="n"/>
      <c r="N104" s="333">
        <f>IFERROR(IF(L104*M104=0,"",L104*M104),"")</f>
        <v/>
      </c>
      <c r="O104" s="280" t="n"/>
      <c r="P104" s="332">
        <f>IFERROR(VLOOKUP(TEXT(O104,"0"),CONDUCTORES!$A$3:$G$54,2,0),"")</f>
        <v/>
      </c>
      <c r="Q104" s="332">
        <f>IFERROR(VLOOKUP(TEXT(O104,"0"),CONDUCTORES!$A$3:$H$54,6,0),"")</f>
        <v/>
      </c>
      <c r="R104" s="280" t="n"/>
      <c r="S104" s="280" t="n"/>
      <c r="T104" s="280" t="n"/>
      <c r="U104" s="280" t="n"/>
      <c r="V104" s="280" t="n"/>
      <c r="W104" s="280" t="n"/>
      <c r="X104" s="280" t="n"/>
      <c r="Y104" s="280" t="n"/>
    </row>
    <row r="105" ht="15" customHeight="1" s="195">
      <c r="A105" s="334" t="n"/>
      <c r="B105" s="334" t="n"/>
      <c r="C105" s="334" t="n"/>
      <c r="D105" s="334" t="n"/>
      <c r="E105" s="334" t="n"/>
      <c r="F105" s="334" t="n"/>
      <c r="G105" s="334" t="n"/>
      <c r="H105" s="334" t="n"/>
      <c r="I105" s="332">
        <f>IFERROR(VLOOKUP(TEXT(H105,"0"),IPRESS!$A$3:$B$212,2,0),"")</f>
        <v/>
      </c>
      <c r="J105" s="334" t="n"/>
      <c r="K105" s="332">
        <f>IFERROR(VLOOKUP(TEXT(O105,"0"),CONDUCTORES!$A$3:$G$54,7,0),"")</f>
        <v/>
      </c>
      <c r="L105" s="334" t="n"/>
      <c r="M105" s="334" t="n"/>
      <c r="N105" s="333">
        <f>IFERROR(IF(L105*M105=0,"",L105*M105),"")</f>
        <v/>
      </c>
      <c r="O105" s="334" t="n"/>
      <c r="P105" s="332">
        <f>IFERROR(VLOOKUP(TEXT(O105,"0"),CONDUCTORES!$A$3:$G$54,2,0),"")</f>
        <v/>
      </c>
      <c r="Q105" s="332">
        <f>IFERROR(VLOOKUP(TEXT(O105,"0"),CONDUCTORES!$A$3:$H$54,6,0),"")</f>
        <v/>
      </c>
      <c r="R105" s="334" t="n"/>
      <c r="S105" s="334" t="n"/>
      <c r="T105" s="334" t="n"/>
      <c r="U105" s="334" t="n"/>
      <c r="V105" s="334" t="n"/>
      <c r="W105" s="334" t="n"/>
      <c r="X105" s="334" t="n"/>
      <c r="Y105" s="334" t="n"/>
    </row>
    <row r="106" ht="15" customHeight="1" s="195">
      <c r="A106" s="280" t="n"/>
      <c r="B106" s="280" t="n"/>
      <c r="C106" s="280" t="n"/>
      <c r="D106" s="280" t="n"/>
      <c r="E106" s="280" t="n"/>
      <c r="F106" s="280" t="n"/>
      <c r="G106" s="280" t="n"/>
      <c r="H106" s="280" t="n"/>
      <c r="I106" s="332">
        <f>IFERROR(VLOOKUP(TEXT(H106,"0"),IPRESS!$A$3:$B$212,2,0),"")</f>
        <v/>
      </c>
      <c r="J106" s="280" t="n"/>
      <c r="K106" s="332">
        <f>IFERROR(VLOOKUP(TEXT(O106,"0"),CONDUCTORES!$A$3:$G$54,7,0),"")</f>
        <v/>
      </c>
      <c r="L106" s="280" t="n"/>
      <c r="M106" s="280" t="n"/>
      <c r="N106" s="333">
        <f>IFERROR(IF(L106*M106=0,"",L106*M106),"")</f>
        <v/>
      </c>
      <c r="O106" s="280" t="n"/>
      <c r="P106" s="332">
        <f>IFERROR(VLOOKUP(TEXT(O106,"0"),CONDUCTORES!$A$3:$G$54,2,0),"")</f>
        <v/>
      </c>
      <c r="Q106" s="332">
        <f>IFERROR(VLOOKUP(TEXT(O106,"0"),CONDUCTORES!$A$3:$H$54,6,0),"")</f>
        <v/>
      </c>
      <c r="R106" s="280" t="n"/>
      <c r="S106" s="280" t="n"/>
      <c r="T106" s="280" t="n"/>
      <c r="U106" s="280" t="n"/>
      <c r="V106" s="280" t="n"/>
      <c r="W106" s="280" t="n"/>
      <c r="X106" s="280" t="n"/>
      <c r="Y106" s="280" t="n"/>
    </row>
    <row r="107" ht="15" customHeight="1" s="195">
      <c r="A107" s="334" t="n"/>
      <c r="B107" s="334" t="n"/>
      <c r="C107" s="334" t="n"/>
      <c r="D107" s="334" t="n"/>
      <c r="E107" s="334" t="n"/>
      <c r="F107" s="334" t="n"/>
      <c r="G107" s="334" t="n"/>
      <c r="H107" s="334" t="n"/>
      <c r="I107" s="332">
        <f>IFERROR(VLOOKUP(TEXT(H107,"0"),IPRESS!$A$3:$B$212,2,0),"")</f>
        <v/>
      </c>
      <c r="J107" s="334" t="n"/>
      <c r="K107" s="332">
        <f>IFERROR(VLOOKUP(TEXT(O107,"0"),CONDUCTORES!$A$3:$G$54,7,0),"")</f>
        <v/>
      </c>
      <c r="L107" s="334" t="n"/>
      <c r="M107" s="334" t="n"/>
      <c r="N107" s="333">
        <f>IFERROR(IF(L107*M107=0,"",L107*M107),"")</f>
        <v/>
      </c>
      <c r="O107" s="334" t="n"/>
      <c r="P107" s="332">
        <f>IFERROR(VLOOKUP(TEXT(O107,"0"),CONDUCTORES!$A$3:$G$54,2,0),"")</f>
        <v/>
      </c>
      <c r="Q107" s="332">
        <f>IFERROR(VLOOKUP(TEXT(O107,"0"),CONDUCTORES!$A$3:$H$54,6,0),"")</f>
        <v/>
      </c>
      <c r="R107" s="334" t="n"/>
      <c r="S107" s="334" t="n"/>
      <c r="T107" s="334" t="n"/>
      <c r="U107" s="334" t="n"/>
      <c r="V107" s="334" t="n"/>
      <c r="W107" s="334" t="n"/>
      <c r="X107" s="334" t="n"/>
      <c r="Y107" s="334" t="n"/>
    </row>
    <row r="108" ht="15" customHeight="1" s="195">
      <c r="A108" s="280" t="n"/>
      <c r="B108" s="280" t="n"/>
      <c r="C108" s="280" t="n"/>
      <c r="D108" s="280" t="n"/>
      <c r="E108" s="280" t="n"/>
      <c r="F108" s="280" t="n"/>
      <c r="G108" s="280" t="n"/>
      <c r="H108" s="280" t="n"/>
      <c r="I108" s="332">
        <f>IFERROR(VLOOKUP(TEXT(H108,"0"),IPRESS!$A$3:$B$212,2,0),"")</f>
        <v/>
      </c>
      <c r="J108" s="280" t="n"/>
      <c r="K108" s="332">
        <f>IFERROR(VLOOKUP(TEXT(O108,"0"),CONDUCTORES!$A$3:$G$54,7,0),"")</f>
        <v/>
      </c>
      <c r="L108" s="280" t="n"/>
      <c r="M108" s="280" t="n"/>
      <c r="N108" s="333">
        <f>IFERROR(IF(L108*M108=0,"",L108*M108),"")</f>
        <v/>
      </c>
      <c r="O108" s="280" t="n"/>
      <c r="P108" s="332">
        <f>IFERROR(VLOOKUP(TEXT(O108,"0"),CONDUCTORES!$A$3:$G$54,2,0),"")</f>
        <v/>
      </c>
      <c r="Q108" s="332">
        <f>IFERROR(VLOOKUP(TEXT(O108,"0"),CONDUCTORES!$A$3:$H$54,6,0),"")</f>
        <v/>
      </c>
      <c r="R108" s="280" t="n"/>
      <c r="S108" s="280" t="n"/>
      <c r="T108" s="280" t="n"/>
      <c r="U108" s="280" t="n"/>
      <c r="V108" s="280" t="n"/>
      <c r="W108" s="280" t="n"/>
      <c r="X108" s="280" t="n"/>
      <c r="Y108" s="280" t="n"/>
    </row>
    <row r="109" ht="15" customHeight="1" s="195">
      <c r="A109" s="334" t="n"/>
      <c r="B109" s="334" t="n"/>
      <c r="C109" s="334" t="n"/>
      <c r="D109" s="334" t="n"/>
      <c r="E109" s="334" t="n"/>
      <c r="F109" s="334" t="n"/>
      <c r="G109" s="334" t="n"/>
      <c r="H109" s="334" t="n"/>
      <c r="I109" s="332">
        <f>IFERROR(VLOOKUP(TEXT(H109,"0"),IPRESS!$A$3:$B$212,2,0),"")</f>
        <v/>
      </c>
      <c r="J109" s="334" t="n"/>
      <c r="K109" s="332">
        <f>IFERROR(VLOOKUP(TEXT(O109,"0"),CONDUCTORES!$A$3:$G$54,7,0),"")</f>
        <v/>
      </c>
      <c r="L109" s="334" t="n"/>
      <c r="M109" s="334" t="n"/>
      <c r="N109" s="333">
        <f>IFERROR(IF(L109*M109=0,"",L109*M109),"")</f>
        <v/>
      </c>
      <c r="O109" s="334" t="n"/>
      <c r="P109" s="332">
        <f>IFERROR(VLOOKUP(TEXT(O109,"0"),CONDUCTORES!$A$3:$G$54,2,0),"")</f>
        <v/>
      </c>
      <c r="Q109" s="332">
        <f>IFERROR(VLOOKUP(TEXT(O109,"0"),CONDUCTORES!$A$3:$H$54,6,0),"")</f>
        <v/>
      </c>
      <c r="R109" s="334" t="n"/>
      <c r="S109" s="334" t="n"/>
      <c r="T109" s="334" t="n"/>
      <c r="U109" s="334" t="n"/>
      <c r="V109" s="334" t="n"/>
      <c r="W109" s="334" t="n"/>
      <c r="X109" s="334" t="n"/>
      <c r="Y109" s="334" t="n"/>
    </row>
    <row r="110" ht="15" customHeight="1" s="195">
      <c r="A110" s="280" t="n"/>
      <c r="B110" s="280" t="n"/>
      <c r="C110" s="280" t="n"/>
      <c r="D110" s="280" t="n"/>
      <c r="E110" s="280" t="n"/>
      <c r="F110" s="280" t="n"/>
      <c r="G110" s="280" t="n"/>
      <c r="H110" s="280" t="n"/>
      <c r="I110" s="332">
        <f>IFERROR(VLOOKUP(TEXT(H110,"0"),IPRESS!$A$3:$B$212,2,0),"")</f>
        <v/>
      </c>
      <c r="J110" s="280" t="n"/>
      <c r="K110" s="332">
        <f>IFERROR(VLOOKUP(TEXT(O110,"0"),CONDUCTORES!$A$3:$G$54,7,0),"")</f>
        <v/>
      </c>
      <c r="L110" s="280" t="n"/>
      <c r="M110" s="280" t="n"/>
      <c r="N110" s="333">
        <f>IFERROR(IF(L110*M110=0,"",L110*M110),"")</f>
        <v/>
      </c>
      <c r="O110" s="280" t="n"/>
      <c r="P110" s="332">
        <f>IFERROR(VLOOKUP(TEXT(O110,"0"),CONDUCTORES!$A$3:$G$54,2,0),"")</f>
        <v/>
      </c>
      <c r="Q110" s="332">
        <f>IFERROR(VLOOKUP(TEXT(O110,"0"),CONDUCTORES!$A$3:$H$54,6,0),"")</f>
        <v/>
      </c>
      <c r="R110" s="280" t="n"/>
      <c r="S110" s="280" t="n"/>
      <c r="T110" s="280" t="n"/>
      <c r="U110" s="280" t="n"/>
      <c r="V110" s="280" t="n"/>
      <c r="W110" s="280" t="n"/>
      <c r="X110" s="280" t="n"/>
      <c r="Y110" s="280" t="n"/>
    </row>
    <row r="111" ht="15" customHeight="1" s="195">
      <c r="A111" s="334" t="n"/>
      <c r="B111" s="334" t="n"/>
      <c r="C111" s="334" t="n"/>
      <c r="D111" s="334" t="n"/>
      <c r="E111" s="334" t="n"/>
      <c r="F111" s="334" t="n"/>
      <c r="G111" s="334" t="n"/>
      <c r="H111" s="334" t="n"/>
      <c r="I111" s="332">
        <f>IFERROR(VLOOKUP(TEXT(H111,"0"),IPRESS!$A$3:$B$212,2,0),"")</f>
        <v/>
      </c>
      <c r="J111" s="334" t="n"/>
      <c r="K111" s="332">
        <f>IFERROR(VLOOKUP(TEXT(O111,"0"),CONDUCTORES!$A$3:$G$54,7,0),"")</f>
        <v/>
      </c>
      <c r="L111" s="334" t="n"/>
      <c r="M111" s="334" t="n"/>
      <c r="N111" s="333">
        <f>IFERROR(IF(L111*M111=0,"",L111*M111),"")</f>
        <v/>
      </c>
      <c r="O111" s="334" t="n"/>
      <c r="P111" s="332">
        <f>IFERROR(VLOOKUP(TEXT(O111,"0"),CONDUCTORES!$A$3:$G$54,2,0),"")</f>
        <v/>
      </c>
      <c r="Q111" s="332">
        <f>IFERROR(VLOOKUP(TEXT(O111,"0"),CONDUCTORES!$A$3:$H$54,6,0),"")</f>
        <v/>
      </c>
      <c r="R111" s="334" t="n"/>
      <c r="S111" s="334" t="n"/>
      <c r="T111" s="334" t="n"/>
      <c r="U111" s="334" t="n"/>
      <c r="V111" s="334" t="n"/>
      <c r="W111" s="334" t="n"/>
      <c r="X111" s="334" t="n"/>
      <c r="Y111" s="334" t="n"/>
    </row>
    <row r="112" ht="15" customHeight="1" s="195">
      <c r="A112" s="280" t="n"/>
      <c r="B112" s="280" t="n"/>
      <c r="C112" s="280" t="n"/>
      <c r="D112" s="280" t="n"/>
      <c r="E112" s="280" t="n"/>
      <c r="F112" s="280" t="n"/>
      <c r="G112" s="280" t="n"/>
      <c r="H112" s="280" t="n"/>
      <c r="I112" s="332">
        <f>IFERROR(VLOOKUP(TEXT(H112,"0"),IPRESS!$A$3:$B$212,2,0),"")</f>
        <v/>
      </c>
      <c r="J112" s="280" t="n"/>
      <c r="K112" s="332">
        <f>IFERROR(VLOOKUP(TEXT(O112,"0"),CONDUCTORES!$A$3:$G$54,7,0),"")</f>
        <v/>
      </c>
      <c r="L112" s="280" t="n"/>
      <c r="M112" s="280" t="n"/>
      <c r="N112" s="333">
        <f>IFERROR(IF(L112*M112=0,"",L112*M112),"")</f>
        <v/>
      </c>
      <c r="O112" s="280" t="n"/>
      <c r="P112" s="332">
        <f>IFERROR(VLOOKUP(TEXT(O112,"0"),CONDUCTORES!$A$3:$G$54,2,0),"")</f>
        <v/>
      </c>
      <c r="Q112" s="332">
        <f>IFERROR(VLOOKUP(TEXT(O112,"0"),CONDUCTORES!$A$3:$H$54,6,0),"")</f>
        <v/>
      </c>
      <c r="R112" s="280" t="n"/>
      <c r="S112" s="280" t="n"/>
      <c r="T112" s="280" t="n"/>
      <c r="U112" s="280" t="n"/>
      <c r="V112" s="280" t="n"/>
      <c r="W112" s="280" t="n"/>
      <c r="X112" s="280" t="n"/>
      <c r="Y112" s="280" t="n"/>
    </row>
    <row r="113" ht="15" customHeight="1" s="195">
      <c r="A113" s="334" t="n"/>
      <c r="B113" s="334" t="n"/>
      <c r="C113" s="334" t="n"/>
      <c r="D113" s="334" t="n"/>
      <c r="E113" s="334" t="n"/>
      <c r="F113" s="334" t="n"/>
      <c r="G113" s="334" t="n"/>
      <c r="H113" s="334" t="n"/>
      <c r="I113" s="332">
        <f>IFERROR(VLOOKUP(TEXT(H113,"0"),IPRESS!$A$3:$B$212,2,0),"")</f>
        <v/>
      </c>
      <c r="J113" s="334" t="n"/>
      <c r="K113" s="332">
        <f>IFERROR(VLOOKUP(TEXT(O113,"0"),CONDUCTORES!$A$3:$G$54,7,0),"")</f>
        <v/>
      </c>
      <c r="L113" s="334" t="n"/>
      <c r="M113" s="334" t="n"/>
      <c r="N113" s="333">
        <f>IFERROR(IF(L113*M113=0,"",L113*M113),"")</f>
        <v/>
      </c>
      <c r="O113" s="334" t="n"/>
      <c r="P113" s="332">
        <f>IFERROR(VLOOKUP(TEXT(O113,"0"),CONDUCTORES!$A$3:$G$54,2,0),"")</f>
        <v/>
      </c>
      <c r="Q113" s="332">
        <f>IFERROR(VLOOKUP(TEXT(O113,"0"),CONDUCTORES!$A$3:$H$54,6,0),"")</f>
        <v/>
      </c>
      <c r="R113" s="334" t="n"/>
      <c r="S113" s="334" t="n"/>
      <c r="T113" s="334" t="n"/>
      <c r="U113" s="334" t="n"/>
      <c r="V113" s="334" t="n"/>
      <c r="W113" s="334" t="n"/>
      <c r="X113" s="334" t="n"/>
      <c r="Y113" s="334" t="n"/>
    </row>
    <row r="114" ht="15" customHeight="1" s="195">
      <c r="A114" s="280" t="n"/>
      <c r="B114" s="280" t="n"/>
      <c r="C114" s="280" t="n"/>
      <c r="D114" s="280" t="n"/>
      <c r="E114" s="280" t="n"/>
      <c r="F114" s="280" t="n"/>
      <c r="G114" s="280" t="n"/>
      <c r="H114" s="280" t="n"/>
      <c r="I114" s="332">
        <f>IFERROR(VLOOKUP(TEXT(H114,"0"),IPRESS!$A$3:$B$212,2,0),"")</f>
        <v/>
      </c>
      <c r="J114" s="280" t="n"/>
      <c r="K114" s="332">
        <f>IFERROR(VLOOKUP(TEXT(O114,"0"),CONDUCTORES!$A$3:$G$54,7,0),"")</f>
        <v/>
      </c>
      <c r="L114" s="280" t="n"/>
      <c r="M114" s="280" t="n"/>
      <c r="N114" s="333">
        <f>IFERROR(IF(L114*M114=0,"",L114*M114),"")</f>
        <v/>
      </c>
      <c r="O114" s="280" t="n"/>
      <c r="P114" s="332">
        <f>IFERROR(VLOOKUP(TEXT(O114,"0"),CONDUCTORES!$A$3:$G$54,2,0),"")</f>
        <v/>
      </c>
      <c r="Q114" s="332">
        <f>IFERROR(VLOOKUP(TEXT(O114,"0"),CONDUCTORES!$A$3:$H$54,6,0),"")</f>
        <v/>
      </c>
      <c r="R114" s="280" t="n"/>
      <c r="S114" s="280" t="n"/>
      <c r="T114" s="280" t="n"/>
      <c r="U114" s="280" t="n"/>
      <c r="V114" s="280" t="n"/>
      <c r="W114" s="280" t="n"/>
      <c r="X114" s="280" t="n"/>
      <c r="Y114" s="280" t="n"/>
    </row>
    <row r="115" ht="15" customHeight="1" s="195">
      <c r="A115" s="334" t="n"/>
      <c r="B115" s="334" t="n"/>
      <c r="C115" s="334" t="n"/>
      <c r="D115" s="334" t="n"/>
      <c r="E115" s="334" t="n"/>
      <c r="F115" s="334" t="n"/>
      <c r="G115" s="334" t="n"/>
      <c r="H115" s="334" t="n"/>
      <c r="I115" s="332">
        <f>IFERROR(VLOOKUP(TEXT(H115,"0"),IPRESS!$A$3:$B$212,2,0),"")</f>
        <v/>
      </c>
      <c r="J115" s="334" t="n"/>
      <c r="K115" s="332">
        <f>IFERROR(VLOOKUP(TEXT(O115,"0"),CONDUCTORES!$A$3:$G$54,7,0),"")</f>
        <v/>
      </c>
      <c r="L115" s="334" t="n"/>
      <c r="M115" s="334" t="n"/>
      <c r="N115" s="333">
        <f>IFERROR(IF(L115*M115=0,"",L115*M115),"")</f>
        <v/>
      </c>
      <c r="O115" s="334" t="n"/>
      <c r="P115" s="332">
        <f>IFERROR(VLOOKUP(TEXT(O115,"0"),CONDUCTORES!$A$3:$G$54,2,0),"")</f>
        <v/>
      </c>
      <c r="Q115" s="332">
        <f>IFERROR(VLOOKUP(TEXT(O115,"0"),CONDUCTORES!$A$3:$H$54,6,0),"")</f>
        <v/>
      </c>
      <c r="R115" s="334" t="n"/>
      <c r="S115" s="334" t="n"/>
      <c r="T115" s="334" t="n"/>
      <c r="U115" s="334" t="n"/>
      <c r="V115" s="334" t="n"/>
      <c r="W115" s="334" t="n"/>
      <c r="X115" s="334" t="n"/>
      <c r="Y115" s="334" t="n"/>
    </row>
    <row r="116" ht="15" customHeight="1" s="195">
      <c r="A116" s="280" t="n"/>
      <c r="B116" s="280" t="n"/>
      <c r="C116" s="280" t="n"/>
      <c r="D116" s="280" t="n"/>
      <c r="E116" s="280" t="n"/>
      <c r="F116" s="280" t="n"/>
      <c r="G116" s="280" t="n"/>
      <c r="H116" s="280" t="n"/>
      <c r="I116" s="332">
        <f>IFERROR(VLOOKUP(TEXT(H116,"0"),IPRESS!$A$3:$B$212,2,0),"")</f>
        <v/>
      </c>
      <c r="J116" s="280" t="n"/>
      <c r="K116" s="332">
        <f>IFERROR(VLOOKUP(TEXT(O116,"0"),CONDUCTORES!$A$3:$G$54,7,0),"")</f>
        <v/>
      </c>
      <c r="L116" s="280" t="n"/>
      <c r="M116" s="280" t="n"/>
      <c r="N116" s="333">
        <f>IFERROR(IF(L116*M116=0,"",L116*M116),"")</f>
        <v/>
      </c>
      <c r="O116" s="280" t="n"/>
      <c r="P116" s="332">
        <f>IFERROR(VLOOKUP(TEXT(O116,"0"),CONDUCTORES!$A$3:$G$54,2,0),"")</f>
        <v/>
      </c>
      <c r="Q116" s="332">
        <f>IFERROR(VLOOKUP(TEXT(O116,"0"),CONDUCTORES!$A$3:$H$54,6,0),"")</f>
        <v/>
      </c>
      <c r="R116" s="280" t="n"/>
      <c r="S116" s="280" t="n"/>
      <c r="T116" s="280" t="n"/>
      <c r="U116" s="280" t="n"/>
      <c r="V116" s="280" t="n"/>
      <c r="W116" s="280" t="n"/>
      <c r="X116" s="280" t="n"/>
      <c r="Y116" s="280" t="n"/>
    </row>
    <row r="117" ht="15" customHeight="1" s="195">
      <c r="A117" s="334" t="n"/>
      <c r="B117" s="334" t="n"/>
      <c r="C117" s="334" t="n"/>
      <c r="D117" s="334" t="n"/>
      <c r="E117" s="334" t="n"/>
      <c r="F117" s="334" t="n"/>
      <c r="G117" s="334" t="n"/>
      <c r="H117" s="334" t="n"/>
      <c r="I117" s="332">
        <f>IFERROR(VLOOKUP(TEXT(H117,"0"),IPRESS!$A$3:$B$212,2,0),"")</f>
        <v/>
      </c>
      <c r="J117" s="334" t="n"/>
      <c r="K117" s="332">
        <f>IFERROR(VLOOKUP(TEXT(O117,"0"),CONDUCTORES!$A$3:$G$54,7,0),"")</f>
        <v/>
      </c>
      <c r="L117" s="334" t="n"/>
      <c r="M117" s="334" t="n"/>
      <c r="N117" s="333">
        <f>IFERROR(IF(L117*M117=0,"",L117*M117),"")</f>
        <v/>
      </c>
      <c r="O117" s="334" t="n"/>
      <c r="P117" s="332">
        <f>IFERROR(VLOOKUP(TEXT(O117,"0"),CONDUCTORES!$A$3:$G$54,2,0),"")</f>
        <v/>
      </c>
      <c r="Q117" s="332">
        <f>IFERROR(VLOOKUP(TEXT(O117,"0"),CONDUCTORES!$A$3:$H$54,6,0),"")</f>
        <v/>
      </c>
      <c r="R117" s="334" t="n"/>
      <c r="S117" s="334" t="n"/>
      <c r="T117" s="334" t="n"/>
      <c r="U117" s="334" t="n"/>
      <c r="V117" s="334" t="n"/>
      <c r="W117" s="334" t="n"/>
      <c r="X117" s="334" t="n"/>
      <c r="Y117" s="334" t="n"/>
    </row>
    <row r="118" ht="15" customHeight="1" s="195">
      <c r="A118" s="280" t="n"/>
      <c r="B118" s="280" t="n"/>
      <c r="C118" s="280" t="n"/>
      <c r="D118" s="280" t="n"/>
      <c r="E118" s="280" t="n"/>
      <c r="F118" s="280" t="n"/>
      <c r="G118" s="280" t="n"/>
      <c r="H118" s="280" t="n"/>
      <c r="I118" s="332">
        <f>IFERROR(VLOOKUP(TEXT(H118,"0"),IPRESS!$A$3:$B$212,2,0),"")</f>
        <v/>
      </c>
      <c r="J118" s="280" t="n"/>
      <c r="K118" s="332">
        <f>IFERROR(VLOOKUP(TEXT(O118,"0"),CONDUCTORES!$A$3:$G$54,7,0),"")</f>
        <v/>
      </c>
      <c r="L118" s="280" t="n"/>
      <c r="M118" s="280" t="n"/>
      <c r="N118" s="333">
        <f>IFERROR(IF(L118*M118=0,"",L118*M118),"")</f>
        <v/>
      </c>
      <c r="O118" s="280" t="n"/>
      <c r="P118" s="332">
        <f>IFERROR(VLOOKUP(TEXT(O118,"0"),CONDUCTORES!$A$3:$G$54,2,0),"")</f>
        <v/>
      </c>
      <c r="Q118" s="332">
        <f>IFERROR(VLOOKUP(TEXT(O118,"0"),CONDUCTORES!$A$3:$H$54,6,0),"")</f>
        <v/>
      </c>
      <c r="R118" s="280" t="n"/>
      <c r="S118" s="280" t="n"/>
      <c r="T118" s="280" t="n"/>
      <c r="U118" s="280" t="n"/>
      <c r="V118" s="280" t="n"/>
      <c r="W118" s="280" t="n"/>
      <c r="X118" s="280" t="n"/>
      <c r="Y118" s="280" t="n"/>
    </row>
    <row r="119" ht="15" customHeight="1" s="195">
      <c r="A119" s="334" t="n"/>
      <c r="B119" s="334" t="n"/>
      <c r="C119" s="334" t="n"/>
      <c r="D119" s="334" t="n"/>
      <c r="E119" s="334" t="n"/>
      <c r="F119" s="334" t="n"/>
      <c r="G119" s="334" t="n"/>
      <c r="H119" s="334" t="n"/>
      <c r="I119" s="332">
        <f>IFERROR(VLOOKUP(TEXT(H119,"0"),IPRESS!$A$3:$B$212,2,0),"")</f>
        <v/>
      </c>
      <c r="J119" s="334" t="n"/>
      <c r="K119" s="332">
        <f>IFERROR(VLOOKUP(TEXT(O119,"0"),CONDUCTORES!$A$3:$G$54,7,0),"")</f>
        <v/>
      </c>
      <c r="L119" s="334" t="n"/>
      <c r="M119" s="334" t="n"/>
      <c r="N119" s="333">
        <f>IFERROR(IF(L119*M119=0,"",L119*M119),"")</f>
        <v/>
      </c>
      <c r="O119" s="334" t="n"/>
      <c r="P119" s="332">
        <f>IFERROR(VLOOKUP(TEXT(O119,"0"),CONDUCTORES!$A$3:$G$54,2,0),"")</f>
        <v/>
      </c>
      <c r="Q119" s="332">
        <f>IFERROR(VLOOKUP(TEXT(O119,"0"),CONDUCTORES!$A$3:$H$54,6,0),"")</f>
        <v/>
      </c>
      <c r="R119" s="334" t="n"/>
      <c r="S119" s="334" t="n"/>
      <c r="T119" s="334" t="n"/>
      <c r="U119" s="334" t="n"/>
      <c r="V119" s="334" t="n"/>
      <c r="W119" s="334" t="n"/>
      <c r="X119" s="334" t="n"/>
      <c r="Y119" s="334" t="n"/>
    </row>
    <row r="120" ht="15" customHeight="1" s="195">
      <c r="A120" s="280" t="n"/>
      <c r="B120" s="280" t="n"/>
      <c r="C120" s="280" t="n"/>
      <c r="D120" s="280" t="n"/>
      <c r="E120" s="280" t="n"/>
      <c r="F120" s="280" t="n"/>
      <c r="G120" s="280" t="n"/>
      <c r="H120" s="280" t="n"/>
      <c r="I120" s="332">
        <f>IFERROR(VLOOKUP(TEXT(H120,"0"),IPRESS!$A$3:$B$212,2,0),"")</f>
        <v/>
      </c>
      <c r="J120" s="280" t="n"/>
      <c r="K120" s="332">
        <f>IFERROR(VLOOKUP(TEXT(O120,"0"),CONDUCTORES!$A$3:$G$54,7,0),"")</f>
        <v/>
      </c>
      <c r="L120" s="280" t="n"/>
      <c r="M120" s="280" t="n"/>
      <c r="N120" s="333">
        <f>IFERROR(IF(L120*M120=0,"",L120*M120),"")</f>
        <v/>
      </c>
      <c r="O120" s="280" t="n"/>
      <c r="P120" s="332">
        <f>IFERROR(VLOOKUP(TEXT(O120,"0"),CONDUCTORES!$A$3:$G$54,2,0),"")</f>
        <v/>
      </c>
      <c r="Q120" s="332">
        <f>IFERROR(VLOOKUP(TEXT(O120,"0"),CONDUCTORES!$A$3:$H$54,6,0),"")</f>
        <v/>
      </c>
      <c r="R120" s="280" t="n"/>
      <c r="S120" s="280" t="n"/>
      <c r="T120" s="280" t="n"/>
      <c r="U120" s="280" t="n"/>
      <c r="V120" s="280" t="n"/>
      <c r="W120" s="280" t="n"/>
      <c r="X120" s="280" t="n"/>
      <c r="Y120" s="280" t="n"/>
    </row>
    <row r="121" ht="15" customHeight="1" s="195">
      <c r="A121" s="334" t="n"/>
      <c r="B121" s="334" t="n"/>
      <c r="C121" s="334" t="n"/>
      <c r="D121" s="334" t="n"/>
      <c r="E121" s="334" t="n"/>
      <c r="F121" s="334" t="n"/>
      <c r="G121" s="334" t="n"/>
      <c r="H121" s="334" t="n"/>
      <c r="I121" s="332">
        <f>IFERROR(VLOOKUP(TEXT(H121,"0"),IPRESS!$A$3:$B$212,2,0),"")</f>
        <v/>
      </c>
      <c r="J121" s="334" t="n"/>
      <c r="K121" s="332">
        <f>IFERROR(VLOOKUP(TEXT(O121,"0"),CONDUCTORES!$A$3:$G$54,7,0),"")</f>
        <v/>
      </c>
      <c r="L121" s="334" t="n"/>
      <c r="M121" s="334" t="n"/>
      <c r="N121" s="333">
        <f>IFERROR(IF(L121*M121=0,"",L121*M121),"")</f>
        <v/>
      </c>
      <c r="O121" s="334" t="n"/>
      <c r="P121" s="332">
        <f>IFERROR(VLOOKUP(TEXT(O121,"0"),CONDUCTORES!$A$3:$G$54,2,0),"")</f>
        <v/>
      </c>
      <c r="Q121" s="332">
        <f>IFERROR(VLOOKUP(TEXT(O121,"0"),CONDUCTORES!$A$3:$H$54,6,0),"")</f>
        <v/>
      </c>
      <c r="R121" s="334" t="n"/>
      <c r="S121" s="334" t="n"/>
      <c r="T121" s="334" t="n"/>
      <c r="U121" s="334" t="n"/>
      <c r="V121" s="334" t="n"/>
      <c r="W121" s="334" t="n"/>
      <c r="X121" s="334" t="n"/>
      <c r="Y121" s="334" t="n"/>
    </row>
    <row r="122" ht="15" customHeight="1" s="195">
      <c r="A122" s="280" t="n"/>
      <c r="B122" s="280" t="n"/>
      <c r="C122" s="280" t="n"/>
      <c r="D122" s="280" t="n"/>
      <c r="E122" s="280" t="n"/>
      <c r="F122" s="280" t="n"/>
      <c r="G122" s="280" t="n"/>
      <c r="H122" s="280" t="n"/>
      <c r="I122" s="332">
        <f>IFERROR(VLOOKUP(TEXT(H122,"0"),IPRESS!$A$3:$B$212,2,0),"")</f>
        <v/>
      </c>
      <c r="J122" s="280" t="n"/>
      <c r="K122" s="332">
        <f>IFERROR(VLOOKUP(TEXT(O122,"0"),CONDUCTORES!$A$3:$G$54,7,0),"")</f>
        <v/>
      </c>
      <c r="L122" s="280" t="n"/>
      <c r="M122" s="280" t="n"/>
      <c r="N122" s="333">
        <f>IFERROR(IF(L122*M122=0,"",L122*M122),"")</f>
        <v/>
      </c>
      <c r="O122" s="280" t="n"/>
      <c r="P122" s="332">
        <f>IFERROR(VLOOKUP(TEXT(O122,"0"),CONDUCTORES!$A$3:$G$54,2,0),"")</f>
        <v/>
      </c>
      <c r="Q122" s="332">
        <f>IFERROR(VLOOKUP(TEXT(O122,"0"),CONDUCTORES!$A$3:$H$54,6,0),"")</f>
        <v/>
      </c>
      <c r="R122" s="280" t="n"/>
      <c r="S122" s="280" t="n"/>
      <c r="T122" s="280" t="n"/>
      <c r="U122" s="280" t="n"/>
      <c r="V122" s="280" t="n"/>
      <c r="W122" s="280" t="n"/>
      <c r="X122" s="280" t="n"/>
      <c r="Y122" s="280" t="n"/>
    </row>
    <row r="123" ht="15" customHeight="1" s="195">
      <c r="A123" s="334" t="n"/>
      <c r="B123" s="334" t="n"/>
      <c r="C123" s="334" t="n"/>
      <c r="D123" s="334" t="n"/>
      <c r="E123" s="334" t="n"/>
      <c r="F123" s="334" t="n"/>
      <c r="G123" s="334" t="n"/>
      <c r="H123" s="334" t="n"/>
      <c r="I123" s="332">
        <f>IFERROR(VLOOKUP(TEXT(H123,"0"),IPRESS!$A$3:$B$212,2,0),"")</f>
        <v/>
      </c>
      <c r="J123" s="334" t="n"/>
      <c r="K123" s="332">
        <f>IFERROR(VLOOKUP(TEXT(O123,"0"),CONDUCTORES!$A$3:$G$54,7,0),"")</f>
        <v/>
      </c>
      <c r="L123" s="334" t="n"/>
      <c r="M123" s="334" t="n"/>
      <c r="N123" s="333">
        <f>IFERROR(IF(L123*M123=0,"",L123*M123),"")</f>
        <v/>
      </c>
      <c r="O123" s="334" t="n"/>
      <c r="P123" s="332">
        <f>IFERROR(VLOOKUP(TEXT(O123,"0"),CONDUCTORES!$A$3:$G$54,2,0),"")</f>
        <v/>
      </c>
      <c r="Q123" s="332">
        <f>IFERROR(VLOOKUP(TEXT(O123,"0"),CONDUCTORES!$A$3:$H$54,6,0),"")</f>
        <v/>
      </c>
      <c r="R123" s="334" t="n"/>
      <c r="S123" s="334" t="n"/>
      <c r="T123" s="334" t="n"/>
      <c r="U123" s="334" t="n"/>
      <c r="V123" s="334" t="n"/>
      <c r="W123" s="334" t="n"/>
      <c r="X123" s="334" t="n"/>
      <c r="Y123" s="334" t="n"/>
    </row>
    <row r="124" ht="15" customHeight="1" s="195">
      <c r="A124" s="280" t="n"/>
      <c r="B124" s="280" t="n"/>
      <c r="C124" s="280" t="n"/>
      <c r="D124" s="280" t="n"/>
      <c r="E124" s="280" t="n"/>
      <c r="F124" s="280" t="n"/>
      <c r="G124" s="280" t="n"/>
      <c r="H124" s="280" t="n"/>
      <c r="I124" s="332">
        <f>IFERROR(VLOOKUP(TEXT(H124,"0"),IPRESS!$A$3:$B$212,2,0),"")</f>
        <v/>
      </c>
      <c r="J124" s="280" t="n"/>
      <c r="K124" s="332">
        <f>IFERROR(VLOOKUP(TEXT(O124,"0"),CONDUCTORES!$A$3:$G$54,7,0),"")</f>
        <v/>
      </c>
      <c r="L124" s="280" t="n"/>
      <c r="M124" s="280" t="n"/>
      <c r="N124" s="333">
        <f>IFERROR(IF(L124*M124=0,"",L124*M124),"")</f>
        <v/>
      </c>
      <c r="O124" s="280" t="n"/>
      <c r="P124" s="332">
        <f>IFERROR(VLOOKUP(TEXT(O124,"0"),CONDUCTORES!$A$3:$G$54,2,0),"")</f>
        <v/>
      </c>
      <c r="Q124" s="332">
        <f>IFERROR(VLOOKUP(TEXT(O124,"0"),CONDUCTORES!$A$3:$H$54,6,0),"")</f>
        <v/>
      </c>
      <c r="R124" s="280" t="n"/>
      <c r="S124" s="280" t="n"/>
      <c r="T124" s="280" t="n"/>
      <c r="U124" s="280" t="n"/>
      <c r="V124" s="280" t="n"/>
      <c r="W124" s="280" t="n"/>
      <c r="X124" s="280" t="n"/>
      <c r="Y124" s="280" t="n"/>
    </row>
    <row r="125" ht="15" customHeight="1" s="195">
      <c r="A125" s="334" t="n"/>
      <c r="B125" s="334" t="n"/>
      <c r="C125" s="334" t="n"/>
      <c r="D125" s="334" t="n"/>
      <c r="E125" s="334" t="n"/>
      <c r="F125" s="334" t="n"/>
      <c r="G125" s="334" t="n"/>
      <c r="H125" s="334" t="n"/>
      <c r="I125" s="332">
        <f>IFERROR(VLOOKUP(TEXT(H125,"0"),IPRESS!$A$3:$B$212,2,0),"")</f>
        <v/>
      </c>
      <c r="J125" s="334" t="n"/>
      <c r="K125" s="332">
        <f>IFERROR(VLOOKUP(TEXT(O125,"0"),CONDUCTORES!$A$3:$G$54,7,0),"")</f>
        <v/>
      </c>
      <c r="L125" s="334" t="n"/>
      <c r="M125" s="334" t="n"/>
      <c r="N125" s="333">
        <f>IFERROR(IF(L125*M125=0,"",L125*M125),"")</f>
        <v/>
      </c>
      <c r="O125" s="334" t="n"/>
      <c r="P125" s="332">
        <f>IFERROR(VLOOKUP(TEXT(O125,"0"),CONDUCTORES!$A$3:$G$54,2,0),"")</f>
        <v/>
      </c>
      <c r="Q125" s="332">
        <f>IFERROR(VLOOKUP(TEXT(O125,"0"),CONDUCTORES!$A$3:$H$54,6,0),"")</f>
        <v/>
      </c>
      <c r="R125" s="334" t="n"/>
      <c r="S125" s="334" t="n"/>
      <c r="T125" s="334" t="n"/>
      <c r="U125" s="334" t="n"/>
      <c r="V125" s="334" t="n"/>
      <c r="W125" s="334" t="n"/>
      <c r="X125" s="334" t="n"/>
      <c r="Y125" s="334" t="n"/>
    </row>
    <row r="126" ht="15" customHeight="1" s="195">
      <c r="A126" s="280" t="n"/>
      <c r="B126" s="280" t="n"/>
      <c r="C126" s="280" t="n"/>
      <c r="D126" s="280" t="n"/>
      <c r="E126" s="280" t="n"/>
      <c r="F126" s="280" t="n"/>
      <c r="G126" s="280" t="n"/>
      <c r="H126" s="280" t="n"/>
      <c r="I126" s="332">
        <f>IFERROR(VLOOKUP(TEXT(H126,"0"),IPRESS!$A$3:$B$212,2,0),"")</f>
        <v/>
      </c>
      <c r="J126" s="280" t="n"/>
      <c r="K126" s="332">
        <f>IFERROR(VLOOKUP(TEXT(O126,"0"),CONDUCTORES!$A$3:$G$54,7,0),"")</f>
        <v/>
      </c>
      <c r="L126" s="280" t="n"/>
      <c r="M126" s="280" t="n"/>
      <c r="N126" s="333">
        <f>IFERROR(IF(L126*M126=0,"",L126*M126),"")</f>
        <v/>
      </c>
      <c r="O126" s="280" t="n"/>
      <c r="P126" s="332">
        <f>IFERROR(VLOOKUP(TEXT(O126,"0"),CONDUCTORES!$A$3:$G$54,2,0),"")</f>
        <v/>
      </c>
      <c r="Q126" s="332">
        <f>IFERROR(VLOOKUP(TEXT(O126,"0"),CONDUCTORES!$A$3:$H$54,6,0),"")</f>
        <v/>
      </c>
      <c r="R126" s="280" t="n"/>
      <c r="S126" s="280" t="n"/>
      <c r="T126" s="280" t="n"/>
      <c r="U126" s="280" t="n"/>
      <c r="V126" s="280" t="n"/>
      <c r="W126" s="280" t="n"/>
      <c r="X126" s="280" t="n"/>
      <c r="Y126" s="280" t="n"/>
    </row>
    <row r="127" ht="15" customHeight="1" s="195">
      <c r="A127" s="334" t="n"/>
      <c r="B127" s="334" t="n"/>
      <c r="C127" s="334" t="n"/>
      <c r="D127" s="334" t="n"/>
      <c r="E127" s="334" t="n"/>
      <c r="F127" s="334" t="n"/>
      <c r="G127" s="334" t="n"/>
      <c r="H127" s="334" t="n"/>
      <c r="I127" s="332">
        <f>IFERROR(VLOOKUP(TEXT(H127,"0"),IPRESS!$A$3:$B$212,2,0),"")</f>
        <v/>
      </c>
      <c r="J127" s="334" t="n"/>
      <c r="K127" s="332">
        <f>IFERROR(VLOOKUP(TEXT(O127,"0"),CONDUCTORES!$A$3:$G$54,7,0),"")</f>
        <v/>
      </c>
      <c r="L127" s="334" t="n"/>
      <c r="M127" s="334" t="n"/>
      <c r="N127" s="333">
        <f>IFERROR(IF(L127*M127=0,"",L127*M127),"")</f>
        <v/>
      </c>
      <c r="O127" s="334" t="n"/>
      <c r="P127" s="332">
        <f>IFERROR(VLOOKUP(TEXT(O127,"0"),CONDUCTORES!$A$3:$G$54,2,0),"")</f>
        <v/>
      </c>
      <c r="Q127" s="332">
        <f>IFERROR(VLOOKUP(TEXT(O127,"0"),CONDUCTORES!$A$3:$H$54,6,0),"")</f>
        <v/>
      </c>
      <c r="R127" s="334" t="n"/>
      <c r="S127" s="334" t="n"/>
      <c r="T127" s="334" t="n"/>
      <c r="U127" s="334" t="n"/>
      <c r="V127" s="334" t="n"/>
      <c r="W127" s="334" t="n"/>
      <c r="X127" s="334" t="n"/>
      <c r="Y127" s="334" t="n"/>
    </row>
    <row r="128" ht="15" customHeight="1" s="195">
      <c r="A128" s="280" t="n"/>
      <c r="B128" s="280" t="n"/>
      <c r="C128" s="280" t="n"/>
      <c r="D128" s="280" t="n"/>
      <c r="E128" s="280" t="n"/>
      <c r="F128" s="280" t="n"/>
      <c r="G128" s="280" t="n"/>
      <c r="H128" s="280" t="n"/>
      <c r="I128" s="332">
        <f>IFERROR(VLOOKUP(TEXT(H128,"0"),IPRESS!$A$3:$B$212,2,0),"")</f>
        <v/>
      </c>
      <c r="J128" s="280" t="n"/>
      <c r="K128" s="332">
        <f>IFERROR(VLOOKUP(TEXT(O128,"0"),CONDUCTORES!$A$3:$G$54,7,0),"")</f>
        <v/>
      </c>
      <c r="L128" s="280" t="n"/>
      <c r="M128" s="280" t="n"/>
      <c r="N128" s="333">
        <f>IFERROR(IF(L128*M128=0,"",L128*M128),"")</f>
        <v/>
      </c>
      <c r="O128" s="280" t="n"/>
      <c r="P128" s="332">
        <f>IFERROR(VLOOKUP(TEXT(O128,"0"),CONDUCTORES!$A$3:$G$54,2,0),"")</f>
        <v/>
      </c>
      <c r="Q128" s="332">
        <f>IFERROR(VLOOKUP(TEXT(O128,"0"),CONDUCTORES!$A$3:$H$54,6,0),"")</f>
        <v/>
      </c>
      <c r="R128" s="280" t="n"/>
      <c r="S128" s="280" t="n"/>
      <c r="T128" s="280" t="n"/>
      <c r="U128" s="280" t="n"/>
      <c r="V128" s="280" t="n"/>
      <c r="W128" s="280" t="n"/>
      <c r="X128" s="280" t="n"/>
      <c r="Y128" s="280" t="n"/>
    </row>
    <row r="129" ht="15" customHeight="1" s="195">
      <c r="A129" s="334" t="n"/>
      <c r="B129" s="334" t="n"/>
      <c r="C129" s="334" t="n"/>
      <c r="D129" s="334" t="n"/>
      <c r="E129" s="334" t="n"/>
      <c r="F129" s="334" t="n"/>
      <c r="G129" s="334" t="n"/>
      <c r="H129" s="334" t="n"/>
      <c r="I129" s="332">
        <f>IFERROR(VLOOKUP(TEXT(H129,"0"),IPRESS!$A$3:$B$212,2,0),"")</f>
        <v/>
      </c>
      <c r="J129" s="334" t="n"/>
      <c r="K129" s="332">
        <f>IFERROR(VLOOKUP(TEXT(O129,"0"),CONDUCTORES!$A$3:$G$54,7,0),"")</f>
        <v/>
      </c>
      <c r="L129" s="334" t="n"/>
      <c r="M129" s="334" t="n"/>
      <c r="N129" s="333">
        <f>IFERROR(IF(L129*M129=0,"",L129*M129),"")</f>
        <v/>
      </c>
      <c r="O129" s="334" t="n"/>
      <c r="P129" s="332">
        <f>IFERROR(VLOOKUP(TEXT(O129,"0"),CONDUCTORES!$A$3:$G$54,2,0),"")</f>
        <v/>
      </c>
      <c r="Q129" s="332">
        <f>IFERROR(VLOOKUP(TEXT(O129,"0"),CONDUCTORES!$A$3:$H$54,6,0),"")</f>
        <v/>
      </c>
      <c r="R129" s="334" t="n"/>
      <c r="S129" s="334" t="n"/>
      <c r="T129" s="334" t="n"/>
      <c r="U129" s="334" t="n"/>
      <c r="V129" s="334" t="n"/>
      <c r="W129" s="334" t="n"/>
      <c r="X129" s="334" t="n"/>
      <c r="Y129" s="334" t="n"/>
    </row>
    <row r="130" ht="15" customHeight="1" s="195">
      <c r="A130" s="280" t="n"/>
      <c r="B130" s="280" t="n"/>
      <c r="C130" s="280" t="n"/>
      <c r="D130" s="280" t="n"/>
      <c r="E130" s="280" t="n"/>
      <c r="F130" s="280" t="n"/>
      <c r="G130" s="280" t="n"/>
      <c r="H130" s="280" t="n"/>
      <c r="I130" s="332">
        <f>IFERROR(VLOOKUP(TEXT(H130,"0"),IPRESS!$A$3:$B$212,2,0),"")</f>
        <v/>
      </c>
      <c r="J130" s="280" t="n"/>
      <c r="K130" s="332">
        <f>IFERROR(VLOOKUP(TEXT(O130,"0"),CONDUCTORES!$A$3:$G$54,7,0),"")</f>
        <v/>
      </c>
      <c r="L130" s="280" t="n"/>
      <c r="M130" s="280" t="n"/>
      <c r="N130" s="333">
        <f>IFERROR(IF(L130*M130=0,"",L130*M130),"")</f>
        <v/>
      </c>
      <c r="O130" s="280" t="n"/>
      <c r="P130" s="332">
        <f>IFERROR(VLOOKUP(TEXT(O130,"0"),CONDUCTORES!$A$3:$G$54,2,0),"")</f>
        <v/>
      </c>
      <c r="Q130" s="332">
        <f>IFERROR(VLOOKUP(TEXT(O130,"0"),CONDUCTORES!$A$3:$H$54,6,0),"")</f>
        <v/>
      </c>
      <c r="R130" s="280" t="n"/>
      <c r="S130" s="280" t="n"/>
      <c r="T130" s="280" t="n"/>
      <c r="U130" s="280" t="n"/>
      <c r="V130" s="280" t="n"/>
      <c r="W130" s="280" t="n"/>
      <c r="X130" s="280" t="n"/>
      <c r="Y130" s="280" t="n"/>
    </row>
    <row r="131" ht="15" customHeight="1" s="195">
      <c r="A131" s="334" t="n"/>
      <c r="B131" s="334" t="n"/>
      <c r="C131" s="334" t="n"/>
      <c r="D131" s="334" t="n"/>
      <c r="E131" s="334" t="n"/>
      <c r="F131" s="334" t="n"/>
      <c r="G131" s="334" t="n"/>
      <c r="H131" s="334" t="n"/>
      <c r="I131" s="332">
        <f>IFERROR(VLOOKUP(TEXT(H131,"0"),IPRESS!$A$3:$B$212,2,0),"")</f>
        <v/>
      </c>
      <c r="J131" s="334" t="n"/>
      <c r="K131" s="332">
        <f>IFERROR(VLOOKUP(TEXT(O131,"0"),CONDUCTORES!$A$3:$G$54,7,0),"")</f>
        <v/>
      </c>
      <c r="L131" s="334" t="n"/>
      <c r="M131" s="334" t="n"/>
      <c r="N131" s="333">
        <f>IFERROR(IF(L131*M131=0,"",L131*M131),"")</f>
        <v/>
      </c>
      <c r="O131" s="334" t="n"/>
      <c r="P131" s="332">
        <f>IFERROR(VLOOKUP(TEXT(O131,"0"),CONDUCTORES!$A$3:$G$54,2,0),"")</f>
        <v/>
      </c>
      <c r="Q131" s="332">
        <f>IFERROR(VLOOKUP(TEXT(O131,"0"),CONDUCTORES!$A$3:$H$54,6,0),"")</f>
        <v/>
      </c>
      <c r="R131" s="334" t="n"/>
      <c r="S131" s="334" t="n"/>
      <c r="T131" s="334" t="n"/>
      <c r="U131" s="334" t="n"/>
      <c r="V131" s="334" t="n"/>
      <c r="W131" s="334" t="n"/>
      <c r="X131" s="334" t="n"/>
      <c r="Y131" s="334" t="n"/>
    </row>
    <row r="132" ht="15" customHeight="1" s="195">
      <c r="A132" s="280" t="n"/>
      <c r="B132" s="280" t="n"/>
      <c r="C132" s="280" t="n"/>
      <c r="D132" s="280" t="n"/>
      <c r="E132" s="280" t="n"/>
      <c r="F132" s="280" t="n"/>
      <c r="G132" s="280" t="n"/>
      <c r="H132" s="280" t="n"/>
      <c r="I132" s="332">
        <f>IFERROR(VLOOKUP(TEXT(H132,"0"),IPRESS!$A$3:$B$212,2,0),"")</f>
        <v/>
      </c>
      <c r="J132" s="280" t="n"/>
      <c r="K132" s="332">
        <f>IFERROR(VLOOKUP(TEXT(O132,"0"),CONDUCTORES!$A$3:$G$54,7,0),"")</f>
        <v/>
      </c>
      <c r="L132" s="280" t="n"/>
      <c r="M132" s="280" t="n"/>
      <c r="N132" s="333">
        <f>IFERROR(IF(L132*M132=0,"",L132*M132),"")</f>
        <v/>
      </c>
      <c r="O132" s="280" t="n"/>
      <c r="P132" s="332">
        <f>IFERROR(VLOOKUP(TEXT(O132,"0"),CONDUCTORES!$A$3:$G$54,2,0),"")</f>
        <v/>
      </c>
      <c r="Q132" s="332">
        <f>IFERROR(VLOOKUP(TEXT(O132,"0"),CONDUCTORES!$A$3:$H$54,6,0),"")</f>
        <v/>
      </c>
      <c r="R132" s="280" t="n"/>
      <c r="S132" s="280" t="n"/>
      <c r="T132" s="280" t="n"/>
      <c r="U132" s="280" t="n"/>
      <c r="V132" s="280" t="n"/>
      <c r="W132" s="280" t="n"/>
      <c r="X132" s="280" t="n"/>
      <c r="Y132" s="280" t="n"/>
    </row>
    <row r="133" ht="15" customHeight="1" s="195">
      <c r="A133" s="334" t="n"/>
      <c r="B133" s="334" t="n"/>
      <c r="C133" s="334" t="n"/>
      <c r="D133" s="334" t="n"/>
      <c r="E133" s="334" t="n"/>
      <c r="F133" s="334" t="n"/>
      <c r="G133" s="334" t="n"/>
      <c r="H133" s="334" t="n"/>
      <c r="I133" s="332">
        <f>IFERROR(VLOOKUP(TEXT(H133,"0"),IPRESS!$A$3:$B$212,2,0),"")</f>
        <v/>
      </c>
      <c r="J133" s="334" t="n"/>
      <c r="K133" s="332">
        <f>IFERROR(VLOOKUP(TEXT(O133,"0"),CONDUCTORES!$A$3:$G$54,7,0),"")</f>
        <v/>
      </c>
      <c r="L133" s="334" t="n"/>
      <c r="M133" s="334" t="n"/>
      <c r="N133" s="333">
        <f>IFERROR(IF(L133*M133=0,"",L133*M133),"")</f>
        <v/>
      </c>
      <c r="O133" s="334" t="n"/>
      <c r="P133" s="332">
        <f>IFERROR(VLOOKUP(TEXT(O133,"0"),CONDUCTORES!$A$3:$G$54,2,0),"")</f>
        <v/>
      </c>
      <c r="Q133" s="332">
        <f>IFERROR(VLOOKUP(TEXT(O133,"0"),CONDUCTORES!$A$3:$H$54,6,0),"")</f>
        <v/>
      </c>
      <c r="R133" s="334" t="n"/>
      <c r="S133" s="334" t="n"/>
      <c r="T133" s="334" t="n"/>
      <c r="U133" s="334" t="n"/>
      <c r="V133" s="334" t="n"/>
      <c r="W133" s="334" t="n"/>
      <c r="X133" s="334" t="n"/>
      <c r="Y133" s="334" t="n"/>
    </row>
    <row r="134" ht="15" customHeight="1" s="195">
      <c r="A134" s="280" t="n"/>
      <c r="B134" s="280" t="n"/>
      <c r="C134" s="280" t="n"/>
      <c r="D134" s="280" t="n"/>
      <c r="E134" s="280" t="n"/>
      <c r="F134" s="280" t="n"/>
      <c r="G134" s="280" t="n"/>
      <c r="H134" s="280" t="n"/>
      <c r="I134" s="332">
        <f>IFERROR(VLOOKUP(TEXT(H134,"0"),IPRESS!$A$3:$B$212,2,0),"")</f>
        <v/>
      </c>
      <c r="J134" s="280" t="n"/>
      <c r="K134" s="332">
        <f>IFERROR(VLOOKUP(TEXT(O134,"0"),CONDUCTORES!$A$3:$G$54,7,0),"")</f>
        <v/>
      </c>
      <c r="L134" s="280" t="n"/>
      <c r="M134" s="280" t="n"/>
      <c r="N134" s="333">
        <f>IFERROR(IF(L134*M134=0,"",L134*M134),"")</f>
        <v/>
      </c>
      <c r="O134" s="280" t="n"/>
      <c r="P134" s="332">
        <f>IFERROR(VLOOKUP(TEXT(O134,"0"),CONDUCTORES!$A$3:$G$54,2,0),"")</f>
        <v/>
      </c>
      <c r="Q134" s="332">
        <f>IFERROR(VLOOKUP(TEXT(O134,"0"),CONDUCTORES!$A$3:$H$54,6,0),"")</f>
        <v/>
      </c>
      <c r="R134" s="280" t="n"/>
      <c r="S134" s="280" t="n"/>
      <c r="T134" s="280" t="n"/>
      <c r="U134" s="280" t="n"/>
      <c r="V134" s="280" t="n"/>
      <c r="W134" s="280" t="n"/>
      <c r="X134" s="280" t="n"/>
      <c r="Y134" s="280" t="n"/>
    </row>
    <row r="135" ht="15" customHeight="1" s="195">
      <c r="A135" s="334" t="n"/>
      <c r="B135" s="334" t="n"/>
      <c r="C135" s="334" t="n"/>
      <c r="D135" s="334" t="n"/>
      <c r="E135" s="334" t="n"/>
      <c r="F135" s="334" t="n"/>
      <c r="G135" s="334" t="n"/>
      <c r="H135" s="334" t="n"/>
      <c r="I135" s="332">
        <f>IFERROR(VLOOKUP(TEXT(H135,"0"),IPRESS!$A$3:$B$212,2,0),"")</f>
        <v/>
      </c>
      <c r="J135" s="334" t="n"/>
      <c r="K135" s="332">
        <f>IFERROR(VLOOKUP(TEXT(O135,"0"),CONDUCTORES!$A$3:$G$54,7,0),"")</f>
        <v/>
      </c>
      <c r="L135" s="334" t="n"/>
      <c r="M135" s="334" t="n"/>
      <c r="N135" s="333">
        <f>IFERROR(IF(L135*M135=0,"",L135*M135),"")</f>
        <v/>
      </c>
      <c r="O135" s="334" t="n"/>
      <c r="P135" s="332">
        <f>IFERROR(VLOOKUP(TEXT(O135,"0"),CONDUCTORES!$A$3:$G$54,2,0),"")</f>
        <v/>
      </c>
      <c r="Q135" s="332">
        <f>IFERROR(VLOOKUP(TEXT(O135,"0"),CONDUCTORES!$A$3:$H$54,6,0),"")</f>
        <v/>
      </c>
      <c r="R135" s="334" t="n"/>
      <c r="S135" s="334" t="n"/>
      <c r="T135" s="334" t="n"/>
      <c r="U135" s="334" t="n"/>
      <c r="V135" s="334" t="n"/>
      <c r="W135" s="334" t="n"/>
      <c r="X135" s="334" t="n"/>
      <c r="Y135" s="334" t="n"/>
    </row>
    <row r="136" ht="15" customHeight="1" s="195">
      <c r="A136" s="280" t="n"/>
      <c r="B136" s="280" t="n"/>
      <c r="C136" s="280" t="n"/>
      <c r="D136" s="280" t="n"/>
      <c r="E136" s="280" t="n"/>
      <c r="F136" s="280" t="n"/>
      <c r="G136" s="280" t="n"/>
      <c r="H136" s="280" t="n"/>
      <c r="I136" s="332">
        <f>IFERROR(VLOOKUP(TEXT(H136,"0"),IPRESS!$A$3:$B$212,2,0),"")</f>
        <v/>
      </c>
      <c r="J136" s="280" t="n"/>
      <c r="K136" s="332">
        <f>IFERROR(VLOOKUP(TEXT(O136,"0"),CONDUCTORES!$A$3:$G$54,7,0),"")</f>
        <v/>
      </c>
      <c r="L136" s="280" t="n"/>
      <c r="M136" s="280" t="n"/>
      <c r="N136" s="333">
        <f>IFERROR(IF(L136*M136=0,"",L136*M136),"")</f>
        <v/>
      </c>
      <c r="O136" s="280" t="n"/>
      <c r="P136" s="332">
        <f>IFERROR(VLOOKUP(TEXT(O136,"0"),CONDUCTORES!$A$3:$G$54,2,0),"")</f>
        <v/>
      </c>
      <c r="Q136" s="332">
        <f>IFERROR(VLOOKUP(TEXT(O136,"0"),CONDUCTORES!$A$3:$H$54,6,0),"")</f>
        <v/>
      </c>
      <c r="R136" s="280" t="n"/>
      <c r="S136" s="280" t="n"/>
      <c r="T136" s="280" t="n"/>
      <c r="U136" s="280" t="n"/>
      <c r="V136" s="280" t="n"/>
      <c r="W136" s="280" t="n"/>
      <c r="X136" s="280" t="n"/>
      <c r="Y136" s="280" t="n"/>
    </row>
    <row r="137" ht="15" customHeight="1" s="195">
      <c r="A137" s="334" t="n"/>
      <c r="B137" s="334" t="n"/>
      <c r="C137" s="334" t="n"/>
      <c r="D137" s="334" t="n"/>
      <c r="E137" s="334" t="n"/>
      <c r="F137" s="334" t="n"/>
      <c r="G137" s="334" t="n"/>
      <c r="H137" s="334" t="n"/>
      <c r="I137" s="332">
        <f>IFERROR(VLOOKUP(TEXT(H137,"0"),IPRESS!$A$3:$B$212,2,0),"")</f>
        <v/>
      </c>
      <c r="J137" s="334" t="n"/>
      <c r="K137" s="332">
        <f>IFERROR(VLOOKUP(TEXT(O137,"0"),CONDUCTORES!$A$3:$G$54,7,0),"")</f>
        <v/>
      </c>
      <c r="L137" s="334" t="n"/>
      <c r="M137" s="334" t="n"/>
      <c r="N137" s="333">
        <f>IFERROR(IF(L137*M137=0,"",L137*M137),"")</f>
        <v/>
      </c>
      <c r="O137" s="334" t="n"/>
      <c r="P137" s="332">
        <f>IFERROR(VLOOKUP(TEXT(O137,"0"),CONDUCTORES!$A$3:$G$54,2,0),"")</f>
        <v/>
      </c>
      <c r="Q137" s="332">
        <f>IFERROR(VLOOKUP(TEXT(O137,"0"),CONDUCTORES!$A$3:$H$54,6,0),"")</f>
        <v/>
      </c>
      <c r="R137" s="334" t="n"/>
      <c r="S137" s="334" t="n"/>
      <c r="T137" s="334" t="n"/>
      <c r="U137" s="334" t="n"/>
      <c r="V137" s="334" t="n"/>
      <c r="W137" s="334" t="n"/>
      <c r="X137" s="334" t="n"/>
      <c r="Y137" s="334" t="n"/>
    </row>
    <row r="138" ht="15" customHeight="1" s="195">
      <c r="A138" s="280" t="n"/>
      <c r="B138" s="280" t="n"/>
      <c r="C138" s="280" t="n"/>
      <c r="D138" s="280" t="n"/>
      <c r="E138" s="280" t="n"/>
      <c r="F138" s="280" t="n"/>
      <c r="G138" s="280" t="n"/>
      <c r="H138" s="280" t="n"/>
      <c r="I138" s="332">
        <f>IFERROR(VLOOKUP(TEXT(H138,"0"),IPRESS!$A$3:$B$212,2,0),"")</f>
        <v/>
      </c>
      <c r="J138" s="280" t="n"/>
      <c r="K138" s="332">
        <f>IFERROR(VLOOKUP(TEXT(O138,"0"),CONDUCTORES!$A$3:$G$54,7,0),"")</f>
        <v/>
      </c>
      <c r="L138" s="280" t="n"/>
      <c r="M138" s="280" t="n"/>
      <c r="N138" s="333">
        <f>IFERROR(IF(L138*M138=0,"",L138*M138),"")</f>
        <v/>
      </c>
      <c r="O138" s="280" t="n"/>
      <c r="P138" s="332">
        <f>IFERROR(VLOOKUP(TEXT(O138,"0"),CONDUCTORES!$A$3:$G$54,2,0),"")</f>
        <v/>
      </c>
      <c r="Q138" s="332">
        <f>IFERROR(VLOOKUP(TEXT(O138,"0"),CONDUCTORES!$A$3:$H$54,6,0),"")</f>
        <v/>
      </c>
      <c r="R138" s="280" t="n"/>
      <c r="S138" s="280" t="n"/>
      <c r="T138" s="280" t="n"/>
      <c r="U138" s="280" t="n"/>
      <c r="V138" s="280" t="n"/>
      <c r="W138" s="280" t="n"/>
      <c r="X138" s="280" t="n"/>
      <c r="Y138" s="280" t="n"/>
    </row>
    <row r="139" ht="15" customHeight="1" s="195">
      <c r="A139" s="334" t="n"/>
      <c r="B139" s="334" t="n"/>
      <c r="C139" s="334" t="n"/>
      <c r="D139" s="334" t="n"/>
      <c r="E139" s="334" t="n"/>
      <c r="F139" s="334" t="n"/>
      <c r="G139" s="334" t="n"/>
      <c r="H139" s="334" t="n"/>
      <c r="I139" s="332">
        <f>IFERROR(VLOOKUP(TEXT(H139,"0"),IPRESS!$A$3:$B$212,2,0),"")</f>
        <v/>
      </c>
      <c r="J139" s="334" t="n"/>
      <c r="K139" s="332">
        <f>IFERROR(VLOOKUP(TEXT(O139,"0"),CONDUCTORES!$A$3:$G$54,7,0),"")</f>
        <v/>
      </c>
      <c r="L139" s="334" t="n"/>
      <c r="M139" s="334" t="n"/>
      <c r="N139" s="333">
        <f>IFERROR(IF(L139*M139=0,"",L139*M139),"")</f>
        <v/>
      </c>
      <c r="O139" s="334" t="n"/>
      <c r="P139" s="332">
        <f>IFERROR(VLOOKUP(TEXT(O139,"0"),CONDUCTORES!$A$3:$G$54,2,0),"")</f>
        <v/>
      </c>
      <c r="Q139" s="332">
        <f>IFERROR(VLOOKUP(TEXT(O139,"0"),CONDUCTORES!$A$3:$H$54,6,0),"")</f>
        <v/>
      </c>
      <c r="R139" s="334" t="n"/>
      <c r="S139" s="334" t="n"/>
      <c r="T139" s="334" t="n"/>
      <c r="U139" s="334" t="n"/>
      <c r="V139" s="334" t="n"/>
      <c r="W139" s="334" t="n"/>
      <c r="X139" s="334" t="n"/>
      <c r="Y139" s="334" t="n"/>
    </row>
    <row r="140" ht="15" customHeight="1" s="195">
      <c r="A140" s="280" t="n"/>
      <c r="B140" s="280" t="n"/>
      <c r="C140" s="280" t="n"/>
      <c r="D140" s="280" t="n"/>
      <c r="E140" s="280" t="n"/>
      <c r="F140" s="280" t="n"/>
      <c r="G140" s="280" t="n"/>
      <c r="H140" s="280" t="n"/>
      <c r="I140" s="332">
        <f>IFERROR(VLOOKUP(TEXT(H140,"0"),IPRESS!$A$3:$B$212,2,0),"")</f>
        <v/>
      </c>
      <c r="J140" s="280" t="n"/>
      <c r="K140" s="332">
        <f>IFERROR(VLOOKUP(TEXT(O140,"0"),CONDUCTORES!$A$3:$G$54,7,0),"")</f>
        <v/>
      </c>
      <c r="L140" s="280" t="n"/>
      <c r="M140" s="280" t="n"/>
      <c r="N140" s="333">
        <f>IFERROR(IF(L140*M140=0,"",L140*M140),"")</f>
        <v/>
      </c>
      <c r="O140" s="280" t="n"/>
      <c r="P140" s="332">
        <f>IFERROR(VLOOKUP(TEXT(O140,"0"),CONDUCTORES!$A$3:$G$54,2,0),"")</f>
        <v/>
      </c>
      <c r="Q140" s="332">
        <f>IFERROR(VLOOKUP(TEXT(O140,"0"),CONDUCTORES!$A$3:$H$54,6,0),"")</f>
        <v/>
      </c>
      <c r="R140" s="280" t="n"/>
      <c r="S140" s="280" t="n"/>
      <c r="T140" s="280" t="n"/>
      <c r="U140" s="280" t="n"/>
      <c r="V140" s="280" t="n"/>
      <c r="W140" s="280" t="n"/>
      <c r="X140" s="280" t="n"/>
      <c r="Y140" s="280" t="n"/>
    </row>
    <row r="141" ht="15" customHeight="1" s="195">
      <c r="A141" s="334" t="n"/>
      <c r="B141" s="334" t="n"/>
      <c r="C141" s="334" t="n"/>
      <c r="D141" s="334" t="n"/>
      <c r="E141" s="334" t="n"/>
      <c r="F141" s="334" t="n"/>
      <c r="G141" s="334" t="n"/>
      <c r="H141" s="334" t="n"/>
      <c r="I141" s="332">
        <f>IFERROR(VLOOKUP(TEXT(H141,"0"),IPRESS!$A$3:$B$212,2,0),"")</f>
        <v/>
      </c>
      <c r="J141" s="334" t="n"/>
      <c r="K141" s="332">
        <f>IFERROR(VLOOKUP(TEXT(O141,"0"),CONDUCTORES!$A$3:$G$54,7,0),"")</f>
        <v/>
      </c>
      <c r="L141" s="334" t="n"/>
      <c r="M141" s="334" t="n"/>
      <c r="N141" s="333">
        <f>IFERROR(IF(L141*M141=0,"",L141*M141),"")</f>
        <v/>
      </c>
      <c r="O141" s="334" t="n"/>
      <c r="P141" s="332">
        <f>IFERROR(VLOOKUP(TEXT(O141,"0"),CONDUCTORES!$A$3:$G$54,2,0),"")</f>
        <v/>
      </c>
      <c r="Q141" s="332">
        <f>IFERROR(VLOOKUP(TEXT(O141,"0"),CONDUCTORES!$A$3:$H$54,6,0),"")</f>
        <v/>
      </c>
      <c r="R141" s="334" t="n"/>
      <c r="S141" s="334" t="n"/>
      <c r="T141" s="334" t="n"/>
      <c r="U141" s="334" t="n"/>
      <c r="V141" s="334" t="n"/>
      <c r="W141" s="334" t="n"/>
      <c r="X141" s="334" t="n"/>
      <c r="Y141" s="334" t="n"/>
    </row>
    <row r="142" ht="15" customHeight="1" s="195">
      <c r="A142" s="280" t="n"/>
      <c r="B142" s="280" t="n"/>
      <c r="C142" s="280" t="n"/>
      <c r="D142" s="280" t="n"/>
      <c r="E142" s="280" t="n"/>
      <c r="F142" s="280" t="n"/>
      <c r="G142" s="280" t="n"/>
      <c r="H142" s="280" t="n"/>
      <c r="I142" s="332">
        <f>IFERROR(VLOOKUP(TEXT(H142,"0"),IPRESS!$A$3:$B$212,2,0),"")</f>
        <v/>
      </c>
      <c r="J142" s="280" t="n"/>
      <c r="K142" s="332">
        <f>IFERROR(VLOOKUP(TEXT(O142,"0"),CONDUCTORES!$A$3:$G$54,7,0),"")</f>
        <v/>
      </c>
      <c r="L142" s="280" t="n"/>
      <c r="M142" s="280" t="n"/>
      <c r="N142" s="333">
        <f>IFERROR(IF(L142*M142=0,"",L142*M142),"")</f>
        <v/>
      </c>
      <c r="O142" s="280" t="n"/>
      <c r="P142" s="332">
        <f>IFERROR(VLOOKUP(TEXT(O142,"0"),CONDUCTORES!$A$3:$G$54,2,0),"")</f>
        <v/>
      </c>
      <c r="Q142" s="332">
        <f>IFERROR(VLOOKUP(TEXT(O142,"0"),CONDUCTORES!$A$3:$H$54,6,0),"")</f>
        <v/>
      </c>
      <c r="R142" s="280" t="n"/>
      <c r="S142" s="280" t="n"/>
      <c r="T142" s="280" t="n"/>
      <c r="U142" s="280" t="n"/>
      <c r="V142" s="280" t="n"/>
      <c r="W142" s="280" t="n"/>
      <c r="X142" s="280" t="n"/>
      <c r="Y142" s="280" t="n"/>
    </row>
    <row r="143" ht="15" customHeight="1" s="195">
      <c r="A143" s="334" t="n"/>
      <c r="B143" s="334" t="n"/>
      <c r="C143" s="334" t="n"/>
      <c r="D143" s="334" t="n"/>
      <c r="E143" s="334" t="n"/>
      <c r="F143" s="334" t="n"/>
      <c r="G143" s="334" t="n"/>
      <c r="H143" s="334" t="n"/>
      <c r="I143" s="332">
        <f>IFERROR(VLOOKUP(TEXT(H143,"0"),IPRESS!$A$3:$B$212,2,0),"")</f>
        <v/>
      </c>
      <c r="J143" s="334" t="n"/>
      <c r="K143" s="332">
        <f>IFERROR(VLOOKUP(TEXT(O143,"0"),CONDUCTORES!$A$3:$G$54,7,0),"")</f>
        <v/>
      </c>
      <c r="L143" s="334" t="n"/>
      <c r="M143" s="334" t="n"/>
      <c r="N143" s="333">
        <f>IFERROR(IF(L143*M143=0,"",L143*M143),"")</f>
        <v/>
      </c>
      <c r="O143" s="334" t="n"/>
      <c r="P143" s="332">
        <f>IFERROR(VLOOKUP(TEXT(O143,"0"),CONDUCTORES!$A$3:$G$54,2,0),"")</f>
        <v/>
      </c>
      <c r="Q143" s="332">
        <f>IFERROR(VLOOKUP(TEXT(O143,"0"),CONDUCTORES!$A$3:$H$54,6,0),"")</f>
        <v/>
      </c>
      <c r="R143" s="334" t="n"/>
      <c r="S143" s="334" t="n"/>
      <c r="T143" s="334" t="n"/>
      <c r="U143" s="334" t="n"/>
      <c r="V143" s="334" t="n"/>
      <c r="W143" s="334" t="n"/>
      <c r="X143" s="334" t="n"/>
      <c r="Y143" s="334" t="n"/>
    </row>
    <row r="144" ht="15" customHeight="1" s="195">
      <c r="A144" s="280" t="n"/>
      <c r="B144" s="280" t="n"/>
      <c r="C144" s="280" t="n"/>
      <c r="D144" s="280" t="n"/>
      <c r="E144" s="280" t="n"/>
      <c r="F144" s="280" t="n"/>
      <c r="G144" s="280" t="n"/>
      <c r="H144" s="280" t="n"/>
      <c r="I144" s="332">
        <f>IFERROR(VLOOKUP(TEXT(H144,"0"),IPRESS!$A$3:$B$212,2,0),"")</f>
        <v/>
      </c>
      <c r="J144" s="280" t="n"/>
      <c r="K144" s="332">
        <f>IFERROR(VLOOKUP(TEXT(O144,"0"),CONDUCTORES!$A$3:$G$54,7,0),"")</f>
        <v/>
      </c>
      <c r="L144" s="280" t="n"/>
      <c r="M144" s="280" t="n"/>
      <c r="N144" s="333">
        <f>IFERROR(IF(L144*M144=0,"",L144*M144),"")</f>
        <v/>
      </c>
      <c r="O144" s="280" t="n"/>
      <c r="P144" s="332">
        <f>IFERROR(VLOOKUP(TEXT(O144,"0"),CONDUCTORES!$A$3:$G$54,2,0),"")</f>
        <v/>
      </c>
      <c r="Q144" s="332">
        <f>IFERROR(VLOOKUP(TEXT(O144,"0"),CONDUCTORES!$A$3:$H$54,6,0),"")</f>
        <v/>
      </c>
      <c r="R144" s="280" t="n"/>
      <c r="S144" s="280" t="n"/>
      <c r="T144" s="280" t="n"/>
      <c r="U144" s="280" t="n"/>
      <c r="V144" s="280" t="n"/>
      <c r="W144" s="280" t="n"/>
      <c r="X144" s="280" t="n"/>
      <c r="Y144" s="280" t="n"/>
    </row>
    <row r="145" ht="15" customHeight="1" s="195">
      <c r="A145" s="334" t="n"/>
      <c r="B145" s="334" t="n"/>
      <c r="C145" s="334" t="n"/>
      <c r="D145" s="334" t="n"/>
      <c r="E145" s="334" t="n"/>
      <c r="F145" s="334" t="n"/>
      <c r="G145" s="334" t="n"/>
      <c r="H145" s="334" t="n"/>
      <c r="I145" s="332">
        <f>IFERROR(VLOOKUP(TEXT(H145,"0"),IPRESS!$A$3:$B$212,2,0),"")</f>
        <v/>
      </c>
      <c r="J145" s="334" t="n"/>
      <c r="K145" s="332">
        <f>IFERROR(VLOOKUP(TEXT(O145,"0"),CONDUCTORES!$A$3:$G$54,7,0),"")</f>
        <v/>
      </c>
      <c r="L145" s="334" t="n"/>
      <c r="M145" s="334" t="n"/>
      <c r="N145" s="333">
        <f>IFERROR(IF(L145*M145=0,"",L145*M145),"")</f>
        <v/>
      </c>
      <c r="O145" s="334" t="n"/>
      <c r="P145" s="332">
        <f>IFERROR(VLOOKUP(TEXT(O145,"0"),CONDUCTORES!$A$3:$G$54,2,0),"")</f>
        <v/>
      </c>
      <c r="Q145" s="332">
        <f>IFERROR(VLOOKUP(TEXT(O145,"0"),CONDUCTORES!$A$3:$H$54,6,0),"")</f>
        <v/>
      </c>
      <c r="R145" s="334" t="n"/>
      <c r="S145" s="334" t="n"/>
      <c r="T145" s="334" t="n"/>
      <c r="U145" s="334" t="n"/>
      <c r="V145" s="334" t="n"/>
      <c r="W145" s="334" t="n"/>
      <c r="X145" s="334" t="n"/>
      <c r="Y145" s="334" t="n"/>
    </row>
    <row r="146" ht="15" customHeight="1" s="195">
      <c r="A146" s="280" t="n"/>
      <c r="B146" s="280" t="n"/>
      <c r="C146" s="280" t="n"/>
      <c r="D146" s="280" t="n"/>
      <c r="E146" s="280" t="n"/>
      <c r="F146" s="280" t="n"/>
      <c r="G146" s="280" t="n"/>
      <c r="H146" s="280" t="n"/>
      <c r="I146" s="332">
        <f>IFERROR(VLOOKUP(TEXT(H146,"0"),IPRESS!$A$3:$B$212,2,0),"")</f>
        <v/>
      </c>
      <c r="J146" s="280" t="n"/>
      <c r="K146" s="332">
        <f>IFERROR(VLOOKUP(TEXT(O146,"0"),CONDUCTORES!$A$3:$G$54,7,0),"")</f>
        <v/>
      </c>
      <c r="L146" s="280" t="n"/>
      <c r="M146" s="280" t="n"/>
      <c r="N146" s="333">
        <f>IFERROR(IF(L146*M146=0,"",L146*M146),"")</f>
        <v/>
      </c>
      <c r="O146" s="280" t="n"/>
      <c r="P146" s="332">
        <f>IFERROR(VLOOKUP(TEXT(O146,"0"),CONDUCTORES!$A$3:$G$54,2,0),"")</f>
        <v/>
      </c>
      <c r="Q146" s="332">
        <f>IFERROR(VLOOKUP(TEXT(O146,"0"),CONDUCTORES!$A$3:$H$54,6,0),"")</f>
        <v/>
      </c>
      <c r="R146" s="280" t="n"/>
      <c r="S146" s="280" t="n"/>
      <c r="T146" s="280" t="n"/>
      <c r="U146" s="280" t="n"/>
      <c r="V146" s="280" t="n"/>
      <c r="W146" s="280" t="n"/>
      <c r="X146" s="280" t="n"/>
      <c r="Y146" s="280" t="n"/>
    </row>
    <row r="147" ht="15" customHeight="1" s="195">
      <c r="A147" s="334" t="n"/>
      <c r="B147" s="334" t="n"/>
      <c r="C147" s="334" t="n"/>
      <c r="D147" s="334" t="n"/>
      <c r="E147" s="334" t="n"/>
      <c r="F147" s="334" t="n"/>
      <c r="G147" s="334" t="n"/>
      <c r="H147" s="334" t="n"/>
      <c r="I147" s="332">
        <f>IFERROR(VLOOKUP(TEXT(H147,"0"),IPRESS!$A$3:$B$212,2,0),"")</f>
        <v/>
      </c>
      <c r="J147" s="334" t="n"/>
      <c r="K147" s="332">
        <f>IFERROR(VLOOKUP(TEXT(O147,"0"),CONDUCTORES!$A$3:$G$54,7,0),"")</f>
        <v/>
      </c>
      <c r="L147" s="334" t="n"/>
      <c r="M147" s="334" t="n"/>
      <c r="N147" s="333">
        <f>IFERROR(IF(L147*M147=0,"",L147*M147),"")</f>
        <v/>
      </c>
      <c r="O147" s="334" t="n"/>
      <c r="P147" s="332">
        <f>IFERROR(VLOOKUP(TEXT(O147,"0"),CONDUCTORES!$A$3:$G$54,2,0),"")</f>
        <v/>
      </c>
      <c r="Q147" s="332">
        <f>IFERROR(VLOOKUP(TEXT(O147,"0"),CONDUCTORES!$A$3:$H$54,6,0),"")</f>
        <v/>
      </c>
      <c r="R147" s="334" t="n"/>
      <c r="S147" s="334" t="n"/>
      <c r="T147" s="334" t="n"/>
      <c r="U147" s="334" t="n"/>
      <c r="V147" s="334" t="n"/>
      <c r="W147" s="334" t="n"/>
      <c r="X147" s="334" t="n"/>
      <c r="Y147" s="334" t="n"/>
    </row>
    <row r="148" ht="15" customHeight="1" s="195">
      <c r="A148" s="280" t="n"/>
      <c r="B148" s="280" t="n"/>
      <c r="C148" s="280" t="n"/>
      <c r="D148" s="280" t="n"/>
      <c r="E148" s="280" t="n"/>
      <c r="F148" s="280" t="n"/>
      <c r="G148" s="280" t="n"/>
      <c r="H148" s="280" t="n"/>
      <c r="I148" s="332">
        <f>IFERROR(VLOOKUP(TEXT(H148,"0"),IPRESS!$A$3:$B$212,2,0),"")</f>
        <v/>
      </c>
      <c r="J148" s="280" t="n"/>
      <c r="K148" s="332">
        <f>IFERROR(VLOOKUP(TEXT(O148,"0"),CONDUCTORES!$A$3:$G$54,7,0),"")</f>
        <v/>
      </c>
      <c r="L148" s="280" t="n"/>
      <c r="M148" s="280" t="n"/>
      <c r="N148" s="333">
        <f>IFERROR(IF(L148*M148=0,"",L148*M148),"")</f>
        <v/>
      </c>
      <c r="O148" s="280" t="n"/>
      <c r="P148" s="332">
        <f>IFERROR(VLOOKUP(TEXT(O148,"0"),CONDUCTORES!$A$3:$G$54,2,0),"")</f>
        <v/>
      </c>
      <c r="Q148" s="332">
        <f>IFERROR(VLOOKUP(TEXT(O148,"0"),CONDUCTORES!$A$3:$H$54,6,0),"")</f>
        <v/>
      </c>
      <c r="R148" s="280" t="n"/>
      <c r="S148" s="280" t="n"/>
      <c r="T148" s="280" t="n"/>
      <c r="U148" s="280" t="n"/>
      <c r="V148" s="280" t="n"/>
      <c r="W148" s="280" t="n"/>
      <c r="X148" s="280" t="n"/>
      <c r="Y148" s="280" t="n"/>
    </row>
    <row r="149" ht="15" customHeight="1" s="195">
      <c r="A149" s="334" t="n"/>
      <c r="B149" s="334" t="n"/>
      <c r="C149" s="334" t="n"/>
      <c r="D149" s="334" t="n"/>
      <c r="E149" s="334" t="n"/>
      <c r="F149" s="334" t="n"/>
      <c r="G149" s="334" t="n"/>
      <c r="H149" s="334" t="n"/>
      <c r="I149" s="332">
        <f>IFERROR(VLOOKUP(TEXT(H149,"0"),IPRESS!$A$3:$B$212,2,0),"")</f>
        <v/>
      </c>
      <c r="J149" s="334" t="n"/>
      <c r="K149" s="332">
        <f>IFERROR(VLOOKUP(TEXT(O149,"0"),CONDUCTORES!$A$3:$G$54,7,0),"")</f>
        <v/>
      </c>
      <c r="L149" s="334" t="n"/>
      <c r="M149" s="334" t="n"/>
      <c r="N149" s="333">
        <f>IFERROR(IF(L149*M149=0,"",L149*M149),"")</f>
        <v/>
      </c>
      <c r="O149" s="334" t="n"/>
      <c r="P149" s="332">
        <f>IFERROR(VLOOKUP(TEXT(O149,"0"),CONDUCTORES!$A$3:$G$54,2,0),"")</f>
        <v/>
      </c>
      <c r="Q149" s="332">
        <f>IFERROR(VLOOKUP(TEXT(O149,"0"),CONDUCTORES!$A$3:$H$54,6,0),"")</f>
        <v/>
      </c>
      <c r="R149" s="334" t="n"/>
      <c r="S149" s="334" t="n"/>
      <c r="T149" s="334" t="n"/>
      <c r="U149" s="334" t="n"/>
      <c r="V149" s="334" t="n"/>
      <c r="W149" s="334" t="n"/>
      <c r="X149" s="334" t="n"/>
      <c r="Y149" s="334" t="n"/>
    </row>
    <row r="150" ht="15" customHeight="1" s="195">
      <c r="A150" s="280" t="n"/>
      <c r="B150" s="280" t="n"/>
      <c r="C150" s="280" t="n"/>
      <c r="D150" s="280" t="n"/>
      <c r="E150" s="280" t="n"/>
      <c r="F150" s="280" t="n"/>
      <c r="G150" s="280" t="n"/>
      <c r="H150" s="280" t="n"/>
      <c r="I150" s="332">
        <f>IFERROR(VLOOKUP(TEXT(H150,"0"),IPRESS!$A$3:$B$212,2,0),"")</f>
        <v/>
      </c>
      <c r="J150" s="280" t="n"/>
      <c r="K150" s="332">
        <f>IFERROR(VLOOKUP(TEXT(O150,"0"),CONDUCTORES!$A$3:$G$54,7,0),"")</f>
        <v/>
      </c>
      <c r="L150" s="280" t="n"/>
      <c r="M150" s="280" t="n"/>
      <c r="N150" s="333">
        <f>IFERROR(IF(L150*M150=0,"",L150*M150),"")</f>
        <v/>
      </c>
      <c r="O150" s="280" t="n"/>
      <c r="P150" s="332">
        <f>IFERROR(VLOOKUP(TEXT(O150,"0"),CONDUCTORES!$A$3:$G$54,2,0),"")</f>
        <v/>
      </c>
      <c r="Q150" s="332">
        <f>IFERROR(VLOOKUP(TEXT(O150,"0"),CONDUCTORES!$A$3:$H$54,6,0),"")</f>
        <v/>
      </c>
      <c r="R150" s="280" t="n"/>
      <c r="S150" s="280" t="n"/>
      <c r="T150" s="280" t="n"/>
      <c r="U150" s="280" t="n"/>
      <c r="V150" s="280" t="n"/>
      <c r="W150" s="280" t="n"/>
      <c r="X150" s="280" t="n"/>
      <c r="Y150" s="280" t="n"/>
    </row>
    <row r="151" ht="15" customHeight="1" s="195">
      <c r="A151" s="334" t="n"/>
      <c r="B151" s="334" t="n"/>
      <c r="C151" s="334" t="n"/>
      <c r="D151" s="334" t="n"/>
      <c r="E151" s="334" t="n"/>
      <c r="F151" s="334" t="n"/>
      <c r="G151" s="334" t="n"/>
      <c r="H151" s="334" t="n"/>
      <c r="I151" s="332">
        <f>IFERROR(VLOOKUP(TEXT(H151,"0"),IPRESS!$A$3:$B$212,2,0),"")</f>
        <v/>
      </c>
      <c r="J151" s="334" t="n"/>
      <c r="K151" s="332">
        <f>IFERROR(VLOOKUP(TEXT(O151,"0"),CONDUCTORES!$A$3:$G$54,7,0),"")</f>
        <v/>
      </c>
      <c r="L151" s="334" t="n"/>
      <c r="M151" s="334" t="n"/>
      <c r="N151" s="333">
        <f>IFERROR(IF(L151*M151=0,"",L151*M151),"")</f>
        <v/>
      </c>
      <c r="O151" s="334" t="n"/>
      <c r="P151" s="332">
        <f>IFERROR(VLOOKUP(TEXT(O151,"0"),CONDUCTORES!$A$3:$G$54,2,0),"")</f>
        <v/>
      </c>
      <c r="Q151" s="332">
        <f>IFERROR(VLOOKUP(TEXT(O151,"0"),CONDUCTORES!$A$3:$H$54,6,0),"")</f>
        <v/>
      </c>
      <c r="R151" s="334" t="n"/>
      <c r="S151" s="334" t="n"/>
      <c r="T151" s="334" t="n"/>
      <c r="U151" s="334" t="n"/>
      <c r="V151" s="334" t="n"/>
      <c r="W151" s="334" t="n"/>
      <c r="X151" s="334" t="n"/>
      <c r="Y151" s="334" t="n"/>
    </row>
    <row r="152" ht="15" customHeight="1" s="195">
      <c r="A152" s="280" t="n"/>
      <c r="B152" s="280" t="n"/>
      <c r="C152" s="280" t="n"/>
      <c r="D152" s="280" t="n"/>
      <c r="E152" s="280" t="n"/>
      <c r="F152" s="280" t="n"/>
      <c r="G152" s="280" t="n"/>
      <c r="H152" s="280" t="n"/>
      <c r="I152" s="332">
        <f>IFERROR(VLOOKUP(TEXT(H152,"0"),IPRESS!$A$3:$B$212,2,0),"")</f>
        <v/>
      </c>
      <c r="J152" s="280" t="n"/>
      <c r="K152" s="332">
        <f>IFERROR(VLOOKUP(TEXT(O152,"0"),CONDUCTORES!$A$3:$G$54,7,0),"")</f>
        <v/>
      </c>
      <c r="L152" s="280" t="n"/>
      <c r="M152" s="280" t="n"/>
      <c r="N152" s="333">
        <f>IFERROR(IF(L152*M152=0,"",L152*M152),"")</f>
        <v/>
      </c>
      <c r="O152" s="280" t="n"/>
      <c r="P152" s="332">
        <f>IFERROR(VLOOKUP(TEXT(O152,"0"),CONDUCTORES!$A$3:$G$54,2,0),"")</f>
        <v/>
      </c>
      <c r="Q152" s="332">
        <f>IFERROR(VLOOKUP(TEXT(O152,"0"),CONDUCTORES!$A$3:$H$54,6,0),"")</f>
        <v/>
      </c>
      <c r="R152" s="280" t="n"/>
      <c r="S152" s="280" t="n"/>
      <c r="T152" s="280" t="n"/>
      <c r="U152" s="280" t="n"/>
      <c r="V152" s="280" t="n"/>
      <c r="W152" s="280" t="n"/>
      <c r="X152" s="280" t="n"/>
      <c r="Y152" s="280" t="n"/>
    </row>
    <row r="153" ht="15" customHeight="1" s="195">
      <c r="A153" s="334" t="n"/>
      <c r="B153" s="334" t="n"/>
      <c r="C153" s="334" t="n"/>
      <c r="D153" s="334" t="n"/>
      <c r="E153" s="334" t="n"/>
      <c r="F153" s="334" t="n"/>
      <c r="G153" s="334" t="n"/>
      <c r="H153" s="334" t="n"/>
      <c r="I153" s="332">
        <f>IFERROR(VLOOKUP(TEXT(H153,"0"),IPRESS!$A$3:$B$212,2,0),"")</f>
        <v/>
      </c>
      <c r="J153" s="334" t="n"/>
      <c r="K153" s="332">
        <f>IFERROR(VLOOKUP(TEXT(O153,"0"),CONDUCTORES!$A$3:$G$54,7,0),"")</f>
        <v/>
      </c>
      <c r="L153" s="334" t="n"/>
      <c r="M153" s="334" t="n"/>
      <c r="N153" s="333">
        <f>IFERROR(IF(L153*M153=0,"",L153*M153),"")</f>
        <v/>
      </c>
      <c r="O153" s="334" t="n"/>
      <c r="P153" s="332">
        <f>IFERROR(VLOOKUP(TEXT(O153,"0"),CONDUCTORES!$A$3:$G$54,2,0),"")</f>
        <v/>
      </c>
      <c r="Q153" s="332">
        <f>IFERROR(VLOOKUP(TEXT(O153,"0"),CONDUCTORES!$A$3:$H$54,6,0),"")</f>
        <v/>
      </c>
      <c r="R153" s="334" t="n"/>
      <c r="S153" s="334" t="n"/>
      <c r="T153" s="334" t="n"/>
      <c r="U153" s="334" t="n"/>
      <c r="V153" s="334" t="n"/>
      <c r="W153" s="334" t="n"/>
      <c r="X153" s="334" t="n"/>
      <c r="Y153" s="334" t="n"/>
    </row>
    <row r="154" ht="15" customHeight="1" s="195">
      <c r="A154" s="280" t="n"/>
      <c r="B154" s="280" t="n"/>
      <c r="C154" s="280" t="n"/>
      <c r="D154" s="280" t="n"/>
      <c r="E154" s="280" t="n"/>
      <c r="F154" s="280" t="n"/>
      <c r="G154" s="280" t="n"/>
      <c r="H154" s="280" t="n"/>
      <c r="I154" s="332">
        <f>IFERROR(VLOOKUP(TEXT(H154,"0"),IPRESS!$A$3:$B$212,2,0),"")</f>
        <v/>
      </c>
      <c r="J154" s="280" t="n"/>
      <c r="K154" s="332">
        <f>IFERROR(VLOOKUP(TEXT(O154,"0"),CONDUCTORES!$A$3:$G$54,7,0),"")</f>
        <v/>
      </c>
      <c r="L154" s="280" t="n"/>
      <c r="M154" s="280" t="n"/>
      <c r="N154" s="333">
        <f>IFERROR(IF(L154*M154=0,"",L154*M154),"")</f>
        <v/>
      </c>
      <c r="O154" s="280" t="n"/>
      <c r="P154" s="332">
        <f>IFERROR(VLOOKUP(TEXT(O154,"0"),CONDUCTORES!$A$3:$G$54,2,0),"")</f>
        <v/>
      </c>
      <c r="Q154" s="332">
        <f>IFERROR(VLOOKUP(TEXT(O154,"0"),CONDUCTORES!$A$3:$H$54,6,0),"")</f>
        <v/>
      </c>
      <c r="R154" s="280" t="n"/>
      <c r="S154" s="280" t="n"/>
      <c r="T154" s="280" t="n"/>
      <c r="U154" s="280" t="n"/>
      <c r="V154" s="280" t="n"/>
      <c r="W154" s="280" t="n"/>
      <c r="X154" s="280" t="n"/>
      <c r="Y154" s="280" t="n"/>
    </row>
    <row r="155" ht="15" customHeight="1" s="195">
      <c r="A155" s="334" t="n"/>
      <c r="B155" s="334" t="n"/>
      <c r="C155" s="334" t="n"/>
      <c r="D155" s="334" t="n"/>
      <c r="E155" s="334" t="n"/>
      <c r="F155" s="334" t="n"/>
      <c r="G155" s="334" t="n"/>
      <c r="H155" s="334" t="n"/>
      <c r="I155" s="332">
        <f>IFERROR(VLOOKUP(TEXT(H155,"0"),IPRESS!$A$3:$B$212,2,0),"")</f>
        <v/>
      </c>
      <c r="J155" s="334" t="n"/>
      <c r="K155" s="332">
        <f>IFERROR(VLOOKUP(TEXT(O155,"0"),CONDUCTORES!$A$3:$G$54,7,0),"")</f>
        <v/>
      </c>
      <c r="L155" s="334" t="n"/>
      <c r="M155" s="334" t="n"/>
      <c r="N155" s="333">
        <f>IFERROR(IF(L155*M155=0,"",L155*M155),"")</f>
        <v/>
      </c>
      <c r="O155" s="334" t="n"/>
      <c r="P155" s="332">
        <f>IFERROR(VLOOKUP(TEXT(O155,"0"),CONDUCTORES!$A$3:$G$54,2,0),"")</f>
        <v/>
      </c>
      <c r="Q155" s="332">
        <f>IFERROR(VLOOKUP(TEXT(O155,"0"),CONDUCTORES!$A$3:$H$54,6,0),"")</f>
        <v/>
      </c>
      <c r="R155" s="334" t="n"/>
      <c r="S155" s="334" t="n"/>
      <c r="T155" s="334" t="n"/>
      <c r="U155" s="334" t="n"/>
      <c r="V155" s="334" t="n"/>
      <c r="W155" s="334" t="n"/>
      <c r="X155" s="334" t="n"/>
      <c r="Y155" s="334" t="n"/>
    </row>
    <row r="156" ht="15" customHeight="1" s="195">
      <c r="A156" s="280" t="n"/>
      <c r="B156" s="280" t="n"/>
      <c r="C156" s="280" t="n"/>
      <c r="D156" s="280" t="n"/>
      <c r="E156" s="280" t="n"/>
      <c r="F156" s="280" t="n"/>
      <c r="G156" s="280" t="n"/>
      <c r="H156" s="280" t="n"/>
      <c r="I156" s="332">
        <f>IFERROR(VLOOKUP(TEXT(H156,"0"),IPRESS!$A$3:$B$212,2,0),"")</f>
        <v/>
      </c>
      <c r="J156" s="280" t="n"/>
      <c r="K156" s="332">
        <f>IFERROR(VLOOKUP(TEXT(O156,"0"),CONDUCTORES!$A$3:$G$54,7,0),"")</f>
        <v/>
      </c>
      <c r="L156" s="280" t="n"/>
      <c r="M156" s="280" t="n"/>
      <c r="N156" s="333">
        <f>IFERROR(IF(L156*M156=0,"",L156*M156),"")</f>
        <v/>
      </c>
      <c r="O156" s="280" t="n"/>
      <c r="P156" s="332">
        <f>IFERROR(VLOOKUP(TEXT(O156,"0"),CONDUCTORES!$A$3:$G$54,2,0),"")</f>
        <v/>
      </c>
      <c r="Q156" s="332">
        <f>IFERROR(VLOOKUP(TEXT(O156,"0"),CONDUCTORES!$A$3:$H$54,6,0),"")</f>
        <v/>
      </c>
      <c r="R156" s="280" t="n"/>
      <c r="S156" s="280" t="n"/>
      <c r="T156" s="280" t="n"/>
      <c r="U156" s="280" t="n"/>
      <c r="V156" s="280" t="n"/>
      <c r="W156" s="280" t="n"/>
      <c r="X156" s="280" t="n"/>
      <c r="Y156" s="280" t="n"/>
    </row>
    <row r="157" ht="15" customHeight="1" s="195">
      <c r="A157" s="334" t="n"/>
      <c r="B157" s="334" t="n"/>
      <c r="C157" s="334" t="n"/>
      <c r="D157" s="334" t="n"/>
      <c r="E157" s="334" t="n"/>
      <c r="F157" s="334" t="n"/>
      <c r="G157" s="334" t="n"/>
      <c r="H157" s="334" t="n"/>
      <c r="I157" s="332">
        <f>IFERROR(VLOOKUP(TEXT(H157,"0"),IPRESS!$A$3:$B$212,2,0),"")</f>
        <v/>
      </c>
      <c r="J157" s="334" t="n"/>
      <c r="K157" s="332">
        <f>IFERROR(VLOOKUP(TEXT(O157,"0"),CONDUCTORES!$A$3:$G$54,7,0),"")</f>
        <v/>
      </c>
      <c r="L157" s="334" t="n"/>
      <c r="M157" s="334" t="n"/>
      <c r="N157" s="333">
        <f>IFERROR(IF(L157*M157=0,"",L157*M157),"")</f>
        <v/>
      </c>
      <c r="O157" s="334" t="n"/>
      <c r="P157" s="332">
        <f>IFERROR(VLOOKUP(TEXT(O157,"0"),CONDUCTORES!$A$3:$G$54,2,0),"")</f>
        <v/>
      </c>
      <c r="Q157" s="332">
        <f>IFERROR(VLOOKUP(TEXT(O157,"0"),CONDUCTORES!$A$3:$H$54,6,0),"")</f>
        <v/>
      </c>
      <c r="R157" s="334" t="n"/>
      <c r="S157" s="334" t="n"/>
      <c r="T157" s="334" t="n"/>
      <c r="U157" s="334" t="n"/>
      <c r="V157" s="334" t="n"/>
      <c r="W157" s="334" t="n"/>
      <c r="X157" s="334" t="n"/>
      <c r="Y157" s="334" t="n"/>
    </row>
    <row r="158" ht="15" customHeight="1" s="195">
      <c r="A158" s="280" t="n"/>
      <c r="B158" s="280" t="n"/>
      <c r="C158" s="280" t="n"/>
      <c r="D158" s="280" t="n"/>
      <c r="E158" s="280" t="n"/>
      <c r="F158" s="280" t="n"/>
      <c r="G158" s="280" t="n"/>
      <c r="H158" s="280" t="n"/>
      <c r="I158" s="332">
        <f>IFERROR(VLOOKUP(TEXT(H158,"0"),IPRESS!$A$3:$B$212,2,0),"")</f>
        <v/>
      </c>
      <c r="J158" s="280" t="n"/>
      <c r="K158" s="332">
        <f>IFERROR(VLOOKUP(TEXT(O158,"0"),CONDUCTORES!$A$3:$G$54,7,0),"")</f>
        <v/>
      </c>
      <c r="L158" s="280" t="n"/>
      <c r="M158" s="280" t="n"/>
      <c r="N158" s="333">
        <f>IFERROR(IF(L158*M158=0,"",L158*M158),"")</f>
        <v/>
      </c>
      <c r="O158" s="280" t="n"/>
      <c r="P158" s="332">
        <f>IFERROR(VLOOKUP(TEXT(O158,"0"),CONDUCTORES!$A$3:$G$54,2,0),"")</f>
        <v/>
      </c>
      <c r="Q158" s="332">
        <f>IFERROR(VLOOKUP(TEXT(O158,"0"),CONDUCTORES!$A$3:$H$54,6,0),"")</f>
        <v/>
      </c>
      <c r="R158" s="280" t="n"/>
      <c r="S158" s="280" t="n"/>
      <c r="T158" s="280" t="n"/>
      <c r="U158" s="280" t="n"/>
      <c r="V158" s="280" t="n"/>
      <c r="W158" s="280" t="n"/>
      <c r="X158" s="280" t="n"/>
      <c r="Y158" s="280" t="n"/>
    </row>
    <row r="159" ht="15" customHeight="1" s="195">
      <c r="A159" s="334" t="n"/>
      <c r="B159" s="334" t="n"/>
      <c r="C159" s="334" t="n"/>
      <c r="D159" s="334" t="n"/>
      <c r="E159" s="334" t="n"/>
      <c r="F159" s="334" t="n"/>
      <c r="G159" s="334" t="n"/>
      <c r="H159" s="334" t="n"/>
      <c r="I159" s="332">
        <f>IFERROR(VLOOKUP(TEXT(H159,"0"),IPRESS!$A$3:$B$212,2,0),"")</f>
        <v/>
      </c>
      <c r="J159" s="334" t="n"/>
      <c r="K159" s="332">
        <f>IFERROR(VLOOKUP(TEXT(O159,"0"),CONDUCTORES!$A$3:$G$54,7,0),"")</f>
        <v/>
      </c>
      <c r="L159" s="334" t="n"/>
      <c r="M159" s="334" t="n"/>
      <c r="N159" s="333">
        <f>IFERROR(IF(L159*M159=0,"",L159*M159),"")</f>
        <v/>
      </c>
      <c r="O159" s="334" t="n"/>
      <c r="P159" s="332">
        <f>IFERROR(VLOOKUP(TEXT(O159,"0"),CONDUCTORES!$A$3:$G$54,2,0),"")</f>
        <v/>
      </c>
      <c r="Q159" s="332">
        <f>IFERROR(VLOOKUP(TEXT(O159,"0"),CONDUCTORES!$A$3:$H$54,6,0),"")</f>
        <v/>
      </c>
      <c r="R159" s="334" t="n"/>
      <c r="S159" s="334" t="n"/>
      <c r="T159" s="334" t="n"/>
      <c r="U159" s="334" t="n"/>
      <c r="V159" s="334" t="n"/>
      <c r="W159" s="334" t="n"/>
      <c r="X159" s="334" t="n"/>
      <c r="Y159" s="334" t="n"/>
    </row>
    <row r="160" ht="15" customHeight="1" s="195">
      <c r="A160" s="280" t="n"/>
      <c r="B160" s="280" t="n"/>
      <c r="C160" s="280" t="n"/>
      <c r="D160" s="280" t="n"/>
      <c r="E160" s="280" t="n"/>
      <c r="F160" s="280" t="n"/>
      <c r="G160" s="280" t="n"/>
      <c r="H160" s="280" t="n"/>
      <c r="I160" s="332">
        <f>IFERROR(VLOOKUP(TEXT(H160,"0"),IPRESS!$A$3:$B$212,2,0),"")</f>
        <v/>
      </c>
      <c r="J160" s="280" t="n"/>
      <c r="K160" s="332">
        <f>IFERROR(VLOOKUP(TEXT(O160,"0"),CONDUCTORES!$A$3:$G$54,7,0),"")</f>
        <v/>
      </c>
      <c r="L160" s="280" t="n"/>
      <c r="M160" s="280" t="n"/>
      <c r="N160" s="333">
        <f>IFERROR(IF(L160*M160=0,"",L160*M160),"")</f>
        <v/>
      </c>
      <c r="O160" s="280" t="n"/>
      <c r="P160" s="332">
        <f>IFERROR(VLOOKUP(TEXT(O160,"0"),CONDUCTORES!$A$3:$G$54,2,0),"")</f>
        <v/>
      </c>
      <c r="Q160" s="332">
        <f>IFERROR(VLOOKUP(TEXT(O160,"0"),CONDUCTORES!$A$3:$H$54,6,0),"")</f>
        <v/>
      </c>
      <c r="R160" s="280" t="n"/>
      <c r="S160" s="280" t="n"/>
      <c r="T160" s="280" t="n"/>
      <c r="U160" s="280" t="n"/>
      <c r="V160" s="280" t="n"/>
      <c r="W160" s="280" t="n"/>
      <c r="X160" s="280" t="n"/>
      <c r="Y160" s="280" t="n"/>
    </row>
    <row r="161" ht="15" customHeight="1" s="195">
      <c r="A161" s="334" t="n"/>
      <c r="B161" s="334" t="n"/>
      <c r="C161" s="334" t="n"/>
      <c r="D161" s="334" t="n"/>
      <c r="E161" s="334" t="n"/>
      <c r="F161" s="334" t="n"/>
      <c r="G161" s="334" t="n"/>
      <c r="H161" s="334" t="n"/>
      <c r="I161" s="332">
        <f>IFERROR(VLOOKUP(TEXT(H161,"0"),IPRESS!$A$3:$B$212,2,0),"")</f>
        <v/>
      </c>
      <c r="J161" s="334" t="n"/>
      <c r="K161" s="332">
        <f>IFERROR(VLOOKUP(TEXT(O161,"0"),CONDUCTORES!$A$3:$G$54,7,0),"")</f>
        <v/>
      </c>
      <c r="L161" s="334" t="n"/>
      <c r="M161" s="334" t="n"/>
      <c r="N161" s="333">
        <f>IFERROR(IF(L161*M161=0,"",L161*M161),"")</f>
        <v/>
      </c>
      <c r="O161" s="334" t="n"/>
      <c r="P161" s="332">
        <f>IFERROR(VLOOKUP(TEXT(O161,"0"),CONDUCTORES!$A$3:$G$54,2,0),"")</f>
        <v/>
      </c>
      <c r="Q161" s="332">
        <f>IFERROR(VLOOKUP(TEXT(O161,"0"),CONDUCTORES!$A$3:$H$54,6,0),"")</f>
        <v/>
      </c>
      <c r="R161" s="334" t="n"/>
      <c r="S161" s="334" t="n"/>
      <c r="T161" s="334" t="n"/>
      <c r="U161" s="334" t="n"/>
      <c r="V161" s="334" t="n"/>
      <c r="W161" s="334" t="n"/>
      <c r="X161" s="334" t="n"/>
      <c r="Y161" s="334" t="n"/>
    </row>
    <row r="162" ht="15" customHeight="1" s="195">
      <c r="A162" s="280" t="n"/>
      <c r="B162" s="280" t="n"/>
      <c r="C162" s="280" t="n"/>
      <c r="D162" s="280" t="n"/>
      <c r="E162" s="280" t="n"/>
      <c r="F162" s="280" t="n"/>
      <c r="G162" s="280" t="n"/>
      <c r="H162" s="280" t="n"/>
      <c r="I162" s="332">
        <f>IFERROR(VLOOKUP(TEXT(H162,"0"),IPRESS!$A$3:$B$212,2,0),"")</f>
        <v/>
      </c>
      <c r="J162" s="280" t="n"/>
      <c r="K162" s="332">
        <f>IFERROR(VLOOKUP(TEXT(O162,"0"),CONDUCTORES!$A$3:$G$54,7,0),"")</f>
        <v/>
      </c>
      <c r="L162" s="280" t="n"/>
      <c r="M162" s="280" t="n"/>
      <c r="N162" s="333">
        <f>IFERROR(IF(L162*M162=0,"",L162*M162),"")</f>
        <v/>
      </c>
      <c r="O162" s="280" t="n"/>
      <c r="P162" s="332">
        <f>IFERROR(VLOOKUP(TEXT(O162,"0"),CONDUCTORES!$A$3:$G$54,2,0),"")</f>
        <v/>
      </c>
      <c r="Q162" s="332">
        <f>IFERROR(VLOOKUP(TEXT(O162,"0"),CONDUCTORES!$A$3:$H$54,6,0),"")</f>
        <v/>
      </c>
      <c r="R162" s="280" t="n"/>
      <c r="S162" s="280" t="n"/>
      <c r="T162" s="280" t="n"/>
      <c r="U162" s="280" t="n"/>
      <c r="V162" s="280" t="n"/>
      <c r="W162" s="280" t="n"/>
      <c r="X162" s="280" t="n"/>
      <c r="Y162" s="280" t="n"/>
    </row>
    <row r="163" ht="15" customHeight="1" s="195">
      <c r="A163" s="334" t="n"/>
      <c r="B163" s="334" t="n"/>
      <c r="C163" s="334" t="n"/>
      <c r="D163" s="334" t="n"/>
      <c r="E163" s="334" t="n"/>
      <c r="F163" s="334" t="n"/>
      <c r="G163" s="334" t="n"/>
      <c r="H163" s="334" t="n"/>
      <c r="I163" s="332">
        <f>IFERROR(VLOOKUP(TEXT(H163,"0"),IPRESS!$A$3:$B$212,2,0),"")</f>
        <v/>
      </c>
      <c r="J163" s="334" t="n"/>
      <c r="K163" s="332">
        <f>IFERROR(VLOOKUP(TEXT(O163,"0"),CONDUCTORES!$A$3:$G$54,7,0),"")</f>
        <v/>
      </c>
      <c r="L163" s="334" t="n"/>
      <c r="M163" s="334" t="n"/>
      <c r="N163" s="333">
        <f>IFERROR(IF(L163*M163=0,"",L163*M163),"")</f>
        <v/>
      </c>
      <c r="O163" s="334" t="n"/>
      <c r="P163" s="332">
        <f>IFERROR(VLOOKUP(TEXT(O163,"0"),CONDUCTORES!$A$3:$G$54,2,0),"")</f>
        <v/>
      </c>
      <c r="Q163" s="332">
        <f>IFERROR(VLOOKUP(TEXT(O163,"0"),CONDUCTORES!$A$3:$H$54,6,0),"")</f>
        <v/>
      </c>
      <c r="R163" s="334" t="n"/>
      <c r="S163" s="334" t="n"/>
      <c r="T163" s="334" t="n"/>
      <c r="U163" s="334" t="n"/>
      <c r="V163" s="334" t="n"/>
      <c r="W163" s="334" t="n"/>
      <c r="X163" s="334" t="n"/>
      <c r="Y163" s="334" t="n"/>
    </row>
    <row r="164" ht="15" customHeight="1" s="195">
      <c r="A164" s="280" t="n"/>
      <c r="B164" s="280" t="n"/>
      <c r="C164" s="280" t="n"/>
      <c r="D164" s="280" t="n"/>
      <c r="E164" s="280" t="n"/>
      <c r="F164" s="280" t="n"/>
      <c r="G164" s="280" t="n"/>
      <c r="H164" s="280" t="n"/>
      <c r="I164" s="332">
        <f>IFERROR(VLOOKUP(TEXT(H164,"0"),IPRESS!$A$3:$B$212,2,0),"")</f>
        <v/>
      </c>
      <c r="J164" s="280" t="n"/>
      <c r="K164" s="332">
        <f>IFERROR(VLOOKUP(TEXT(O164,"0"),CONDUCTORES!$A$3:$G$54,7,0),"")</f>
        <v/>
      </c>
      <c r="L164" s="280" t="n"/>
      <c r="M164" s="280" t="n"/>
      <c r="N164" s="333">
        <f>IFERROR(IF(L164*M164=0,"",L164*M164),"")</f>
        <v/>
      </c>
      <c r="O164" s="280" t="n"/>
      <c r="P164" s="332">
        <f>IFERROR(VLOOKUP(TEXT(O164,"0"),CONDUCTORES!$A$3:$G$54,2,0),"")</f>
        <v/>
      </c>
      <c r="Q164" s="332">
        <f>IFERROR(VLOOKUP(TEXT(O164,"0"),CONDUCTORES!$A$3:$H$54,6,0),"")</f>
        <v/>
      </c>
      <c r="R164" s="280" t="n"/>
      <c r="S164" s="280" t="n"/>
      <c r="T164" s="280" t="n"/>
      <c r="U164" s="280" t="n"/>
      <c r="V164" s="280" t="n"/>
      <c r="W164" s="280" t="n"/>
      <c r="X164" s="280" t="n"/>
      <c r="Y164" s="280" t="n"/>
    </row>
    <row r="165" ht="15" customHeight="1" s="195">
      <c r="A165" s="334" t="n"/>
      <c r="B165" s="334" t="n"/>
      <c r="C165" s="334" t="n"/>
      <c r="D165" s="334" t="n"/>
      <c r="E165" s="334" t="n"/>
      <c r="F165" s="334" t="n"/>
      <c r="G165" s="334" t="n"/>
      <c r="H165" s="334" t="n"/>
      <c r="I165" s="332">
        <f>IFERROR(VLOOKUP(TEXT(H165,"0"),IPRESS!$A$3:$B$212,2,0),"")</f>
        <v/>
      </c>
      <c r="J165" s="334" t="n"/>
      <c r="K165" s="332">
        <f>IFERROR(VLOOKUP(TEXT(O165,"0"),CONDUCTORES!$A$3:$G$54,7,0),"")</f>
        <v/>
      </c>
      <c r="L165" s="334" t="n"/>
      <c r="M165" s="334" t="n"/>
      <c r="N165" s="333">
        <f>IFERROR(IF(L165*M165=0,"",L165*M165),"")</f>
        <v/>
      </c>
      <c r="O165" s="334" t="n"/>
      <c r="P165" s="332">
        <f>IFERROR(VLOOKUP(TEXT(O165,"0"),CONDUCTORES!$A$3:$G$54,2,0),"")</f>
        <v/>
      </c>
      <c r="Q165" s="332">
        <f>IFERROR(VLOOKUP(TEXT(O165,"0"),CONDUCTORES!$A$3:$H$54,6,0),"")</f>
        <v/>
      </c>
      <c r="R165" s="334" t="n"/>
      <c r="S165" s="334" t="n"/>
      <c r="T165" s="334" t="n"/>
      <c r="U165" s="334" t="n"/>
      <c r="V165" s="334" t="n"/>
      <c r="W165" s="334" t="n"/>
      <c r="X165" s="334" t="n"/>
      <c r="Y165" s="334" t="n"/>
    </row>
    <row r="166" ht="15" customHeight="1" s="195">
      <c r="A166" s="280" t="n"/>
      <c r="B166" s="280" t="n"/>
      <c r="C166" s="280" t="n"/>
      <c r="D166" s="280" t="n"/>
      <c r="E166" s="280" t="n"/>
      <c r="F166" s="280" t="n"/>
      <c r="G166" s="280" t="n"/>
      <c r="H166" s="280" t="n"/>
      <c r="I166" s="332">
        <f>IFERROR(VLOOKUP(TEXT(H166,"0"),IPRESS!$A$3:$B$212,2,0),"")</f>
        <v/>
      </c>
      <c r="J166" s="280" t="n"/>
      <c r="K166" s="332">
        <f>IFERROR(VLOOKUP(TEXT(O166,"0"),CONDUCTORES!$A$3:$G$54,7,0),"")</f>
        <v/>
      </c>
      <c r="L166" s="280" t="n"/>
      <c r="M166" s="280" t="n"/>
      <c r="N166" s="333">
        <f>IFERROR(IF(L166*M166=0,"",L166*M166),"")</f>
        <v/>
      </c>
      <c r="O166" s="280" t="n"/>
      <c r="P166" s="332">
        <f>IFERROR(VLOOKUP(TEXT(O166,"0"),CONDUCTORES!$A$3:$G$54,2,0),"")</f>
        <v/>
      </c>
      <c r="Q166" s="332">
        <f>IFERROR(VLOOKUP(TEXT(O166,"0"),CONDUCTORES!$A$3:$H$54,6,0),"")</f>
        <v/>
      </c>
      <c r="R166" s="280" t="n"/>
      <c r="S166" s="280" t="n"/>
      <c r="T166" s="280" t="n"/>
      <c r="U166" s="280" t="n"/>
      <c r="V166" s="280" t="n"/>
      <c r="W166" s="280" t="n"/>
      <c r="X166" s="280" t="n"/>
      <c r="Y166" s="280" t="n"/>
    </row>
    <row r="167" ht="15" customHeight="1" s="195">
      <c r="A167" s="334" t="n"/>
      <c r="B167" s="334" t="n"/>
      <c r="C167" s="334" t="n"/>
      <c r="D167" s="334" t="n"/>
      <c r="E167" s="334" t="n"/>
      <c r="F167" s="334" t="n"/>
      <c r="G167" s="334" t="n"/>
      <c r="H167" s="334" t="n"/>
      <c r="I167" s="332">
        <f>IFERROR(VLOOKUP(TEXT(H167,"0"),IPRESS!$A$3:$B$212,2,0),"")</f>
        <v/>
      </c>
      <c r="J167" s="334" t="n"/>
      <c r="K167" s="332">
        <f>IFERROR(VLOOKUP(TEXT(O167,"0"),CONDUCTORES!$A$3:$G$54,7,0),"")</f>
        <v/>
      </c>
      <c r="L167" s="334" t="n"/>
      <c r="M167" s="334" t="n"/>
      <c r="N167" s="333">
        <f>IFERROR(IF(L167*M167=0,"",L167*M167),"")</f>
        <v/>
      </c>
      <c r="O167" s="334" t="n"/>
      <c r="P167" s="332">
        <f>IFERROR(VLOOKUP(TEXT(O167,"0"),CONDUCTORES!$A$3:$G$54,2,0),"")</f>
        <v/>
      </c>
      <c r="Q167" s="332">
        <f>IFERROR(VLOOKUP(TEXT(O167,"0"),CONDUCTORES!$A$3:$H$54,6,0),"")</f>
        <v/>
      </c>
      <c r="R167" s="334" t="n"/>
      <c r="S167" s="334" t="n"/>
      <c r="T167" s="334" t="n"/>
      <c r="U167" s="334" t="n"/>
      <c r="V167" s="334" t="n"/>
      <c r="W167" s="334" t="n"/>
      <c r="X167" s="334" t="n"/>
      <c r="Y167" s="334" t="n"/>
    </row>
    <row r="168" ht="15" customHeight="1" s="195">
      <c r="A168" s="280" t="n"/>
      <c r="B168" s="280" t="n"/>
      <c r="C168" s="280" t="n"/>
      <c r="D168" s="280" t="n"/>
      <c r="E168" s="280" t="n"/>
      <c r="F168" s="280" t="n"/>
      <c r="G168" s="280" t="n"/>
      <c r="H168" s="280" t="n"/>
      <c r="I168" s="332">
        <f>IFERROR(VLOOKUP(TEXT(H168,"0"),IPRESS!$A$3:$B$212,2,0),"")</f>
        <v/>
      </c>
      <c r="J168" s="280" t="n"/>
      <c r="K168" s="332">
        <f>IFERROR(VLOOKUP(TEXT(O168,"0"),CONDUCTORES!$A$3:$G$54,7,0),"")</f>
        <v/>
      </c>
      <c r="L168" s="280" t="n"/>
      <c r="M168" s="280" t="n"/>
      <c r="N168" s="333">
        <f>IFERROR(IF(L168*M168=0,"",L168*M168),"")</f>
        <v/>
      </c>
      <c r="O168" s="280" t="n"/>
      <c r="P168" s="332">
        <f>IFERROR(VLOOKUP(TEXT(O168,"0"),CONDUCTORES!$A$3:$G$54,2,0),"")</f>
        <v/>
      </c>
      <c r="Q168" s="332">
        <f>IFERROR(VLOOKUP(TEXT(O168,"0"),CONDUCTORES!$A$3:$H$54,6,0),"")</f>
        <v/>
      </c>
      <c r="R168" s="280" t="n"/>
      <c r="S168" s="280" t="n"/>
      <c r="T168" s="280" t="n"/>
      <c r="U168" s="280" t="n"/>
      <c r="V168" s="280" t="n"/>
      <c r="W168" s="280" t="n"/>
      <c r="X168" s="280" t="n"/>
      <c r="Y168" s="280" t="n"/>
    </row>
    <row r="169" ht="15" customHeight="1" s="195">
      <c r="A169" s="334" t="n"/>
      <c r="B169" s="334" t="n"/>
      <c r="C169" s="334" t="n"/>
      <c r="D169" s="334" t="n"/>
      <c r="E169" s="334" t="n"/>
      <c r="F169" s="334" t="n"/>
      <c r="G169" s="334" t="n"/>
      <c r="H169" s="334" t="n"/>
      <c r="I169" s="332">
        <f>IFERROR(VLOOKUP(TEXT(H169,"0"),IPRESS!$A$3:$B$212,2,0),"")</f>
        <v/>
      </c>
      <c r="J169" s="334" t="n"/>
      <c r="K169" s="332">
        <f>IFERROR(VLOOKUP(TEXT(O169,"0"),CONDUCTORES!$A$3:$G$54,7,0),"")</f>
        <v/>
      </c>
      <c r="L169" s="334" t="n"/>
      <c r="M169" s="334" t="n"/>
      <c r="N169" s="333">
        <f>IFERROR(IF(L169*M169=0,"",L169*M169),"")</f>
        <v/>
      </c>
      <c r="O169" s="334" t="n"/>
      <c r="P169" s="332">
        <f>IFERROR(VLOOKUP(TEXT(O169,"0"),CONDUCTORES!$A$3:$G$54,2,0),"")</f>
        <v/>
      </c>
      <c r="Q169" s="332">
        <f>IFERROR(VLOOKUP(TEXT(O169,"0"),CONDUCTORES!$A$3:$H$54,6,0),"")</f>
        <v/>
      </c>
      <c r="R169" s="334" t="n"/>
      <c r="S169" s="334" t="n"/>
      <c r="T169" s="334" t="n"/>
      <c r="U169" s="334" t="n"/>
      <c r="V169" s="334" t="n"/>
      <c r="W169" s="334" t="n"/>
      <c r="X169" s="334" t="n"/>
      <c r="Y169" s="334" t="n"/>
    </row>
    <row r="170" ht="15" customHeight="1" s="195">
      <c r="A170" s="280" t="n"/>
      <c r="B170" s="280" t="n"/>
      <c r="C170" s="280" t="n"/>
      <c r="D170" s="280" t="n"/>
      <c r="E170" s="280" t="n"/>
      <c r="F170" s="280" t="n"/>
      <c r="G170" s="280" t="n"/>
      <c r="H170" s="280" t="n"/>
      <c r="I170" s="332">
        <f>IFERROR(VLOOKUP(TEXT(H170,"0"),IPRESS!$A$3:$B$212,2,0),"")</f>
        <v/>
      </c>
      <c r="J170" s="280" t="n"/>
      <c r="K170" s="332">
        <f>IFERROR(VLOOKUP(TEXT(O170,"0"),CONDUCTORES!$A$3:$G$54,7,0),"")</f>
        <v/>
      </c>
      <c r="L170" s="280" t="n"/>
      <c r="M170" s="280" t="n"/>
      <c r="N170" s="333">
        <f>IFERROR(IF(L170*M170=0,"",L170*M170),"")</f>
        <v/>
      </c>
      <c r="O170" s="280" t="n"/>
      <c r="P170" s="332">
        <f>IFERROR(VLOOKUP(TEXT(O170,"0"),CONDUCTORES!$A$3:$G$54,2,0),"")</f>
        <v/>
      </c>
      <c r="Q170" s="332">
        <f>IFERROR(VLOOKUP(TEXT(O170,"0"),CONDUCTORES!$A$3:$H$54,6,0),"")</f>
        <v/>
      </c>
      <c r="R170" s="280" t="n"/>
      <c r="S170" s="280" t="n"/>
      <c r="T170" s="280" t="n"/>
      <c r="U170" s="280" t="n"/>
      <c r="V170" s="280" t="n"/>
      <c r="W170" s="280" t="n"/>
      <c r="X170" s="280" t="n"/>
      <c r="Y170" s="280" t="n"/>
    </row>
    <row r="171" ht="15" customHeight="1" s="195">
      <c r="A171" s="334" t="n"/>
      <c r="B171" s="334" t="n"/>
      <c r="C171" s="334" t="n"/>
      <c r="D171" s="334" t="n"/>
      <c r="E171" s="334" t="n"/>
      <c r="F171" s="334" t="n"/>
      <c r="G171" s="334" t="n"/>
      <c r="H171" s="334" t="n"/>
      <c r="I171" s="332">
        <f>IFERROR(VLOOKUP(TEXT(H171,"0"),IPRESS!$A$3:$B$212,2,0),"")</f>
        <v/>
      </c>
      <c r="J171" s="334" t="n"/>
      <c r="K171" s="332">
        <f>IFERROR(VLOOKUP(TEXT(O171,"0"),CONDUCTORES!$A$3:$G$54,7,0),"")</f>
        <v/>
      </c>
      <c r="L171" s="334" t="n"/>
      <c r="M171" s="334" t="n"/>
      <c r="N171" s="333">
        <f>IFERROR(IF(L171*M171=0,"",L171*M171),"")</f>
        <v/>
      </c>
      <c r="O171" s="334" t="n"/>
      <c r="P171" s="332">
        <f>IFERROR(VLOOKUP(TEXT(O171,"0"),CONDUCTORES!$A$3:$G$54,2,0),"")</f>
        <v/>
      </c>
      <c r="Q171" s="332">
        <f>IFERROR(VLOOKUP(TEXT(O171,"0"),CONDUCTORES!$A$3:$H$54,6,0),"")</f>
        <v/>
      </c>
      <c r="R171" s="334" t="n"/>
      <c r="S171" s="334" t="n"/>
      <c r="T171" s="334" t="n"/>
      <c r="U171" s="334" t="n"/>
      <c r="V171" s="334" t="n"/>
      <c r="W171" s="334" t="n"/>
      <c r="X171" s="334" t="n"/>
      <c r="Y171" s="334" t="n"/>
    </row>
    <row r="172" ht="15" customHeight="1" s="195">
      <c r="A172" s="280" t="n"/>
      <c r="B172" s="280" t="n"/>
      <c r="C172" s="280" t="n"/>
      <c r="D172" s="280" t="n"/>
      <c r="E172" s="280" t="n"/>
      <c r="F172" s="280" t="n"/>
      <c r="G172" s="280" t="n"/>
      <c r="H172" s="280" t="n"/>
      <c r="I172" s="332">
        <f>IFERROR(VLOOKUP(TEXT(H172,"0"),IPRESS!$A$3:$B$212,2,0),"")</f>
        <v/>
      </c>
      <c r="J172" s="280" t="n"/>
      <c r="K172" s="332">
        <f>IFERROR(VLOOKUP(TEXT(O172,"0"),CONDUCTORES!$A$3:$G$54,7,0),"")</f>
        <v/>
      </c>
      <c r="L172" s="280" t="n"/>
      <c r="M172" s="280" t="n"/>
      <c r="N172" s="333">
        <f>IFERROR(IF(L172*M172=0,"",L172*M172),"")</f>
        <v/>
      </c>
      <c r="O172" s="280" t="n"/>
      <c r="P172" s="332">
        <f>IFERROR(VLOOKUP(TEXT(O172,"0"),CONDUCTORES!$A$3:$G$54,2,0),"")</f>
        <v/>
      </c>
      <c r="Q172" s="332">
        <f>IFERROR(VLOOKUP(TEXT(O172,"0"),CONDUCTORES!$A$3:$H$54,6,0),"")</f>
        <v/>
      </c>
      <c r="R172" s="280" t="n"/>
      <c r="S172" s="280" t="n"/>
      <c r="T172" s="280" t="n"/>
      <c r="U172" s="280" t="n"/>
      <c r="V172" s="280" t="n"/>
      <c r="W172" s="280" t="n"/>
      <c r="X172" s="280" t="n"/>
      <c r="Y172" s="280" t="n"/>
    </row>
    <row r="173" ht="15" customHeight="1" s="195">
      <c r="A173" s="334" t="n"/>
      <c r="B173" s="334" t="n"/>
      <c r="C173" s="334" t="n"/>
      <c r="D173" s="334" t="n"/>
      <c r="E173" s="334" t="n"/>
      <c r="F173" s="334" t="n"/>
      <c r="G173" s="334" t="n"/>
      <c r="H173" s="334" t="n"/>
      <c r="I173" s="332">
        <f>IFERROR(VLOOKUP(TEXT(H173,"0"),IPRESS!$A$3:$B$212,2,0),"")</f>
        <v/>
      </c>
      <c r="J173" s="334" t="n"/>
      <c r="K173" s="332">
        <f>IFERROR(VLOOKUP(TEXT(O173,"0"),CONDUCTORES!$A$3:$G$54,7,0),"")</f>
        <v/>
      </c>
      <c r="L173" s="334" t="n"/>
      <c r="M173" s="334" t="n"/>
      <c r="N173" s="333">
        <f>IFERROR(IF(L173*M173=0,"",L173*M173),"")</f>
        <v/>
      </c>
      <c r="O173" s="334" t="n"/>
      <c r="P173" s="332">
        <f>IFERROR(VLOOKUP(TEXT(O173,"0"),CONDUCTORES!$A$3:$G$54,2,0),"")</f>
        <v/>
      </c>
      <c r="Q173" s="332">
        <f>IFERROR(VLOOKUP(TEXT(O173,"0"),CONDUCTORES!$A$3:$H$54,6,0),"")</f>
        <v/>
      </c>
      <c r="R173" s="334" t="n"/>
      <c r="S173" s="334" t="n"/>
      <c r="T173" s="334" t="n"/>
      <c r="U173" s="334" t="n"/>
      <c r="V173" s="334" t="n"/>
      <c r="W173" s="334" t="n"/>
      <c r="X173" s="334" t="n"/>
      <c r="Y173" s="334" t="n"/>
    </row>
    <row r="174" ht="15" customHeight="1" s="195">
      <c r="A174" s="280" t="n"/>
      <c r="B174" s="280" t="n"/>
      <c r="C174" s="280" t="n"/>
      <c r="D174" s="280" t="n"/>
      <c r="E174" s="280" t="n"/>
      <c r="F174" s="280" t="n"/>
      <c r="G174" s="280" t="n"/>
      <c r="H174" s="280" t="n"/>
      <c r="I174" s="332">
        <f>IFERROR(VLOOKUP(TEXT(H174,"0"),IPRESS!$A$3:$B$212,2,0),"")</f>
        <v/>
      </c>
      <c r="J174" s="280" t="n"/>
      <c r="K174" s="332">
        <f>IFERROR(VLOOKUP(TEXT(O174,"0"),CONDUCTORES!$A$3:$G$54,7,0),"")</f>
        <v/>
      </c>
      <c r="L174" s="280" t="n"/>
      <c r="M174" s="280" t="n"/>
      <c r="N174" s="333">
        <f>IFERROR(IF(L174*M174=0,"",L174*M174),"")</f>
        <v/>
      </c>
      <c r="O174" s="280" t="n"/>
      <c r="P174" s="332">
        <f>IFERROR(VLOOKUP(TEXT(O174,"0"),CONDUCTORES!$A$3:$G$54,2,0),"")</f>
        <v/>
      </c>
      <c r="Q174" s="332">
        <f>IFERROR(VLOOKUP(TEXT(O174,"0"),CONDUCTORES!$A$3:$H$54,6,0),"")</f>
        <v/>
      </c>
      <c r="R174" s="280" t="n"/>
      <c r="S174" s="280" t="n"/>
      <c r="T174" s="280" t="n"/>
      <c r="U174" s="280" t="n"/>
      <c r="V174" s="280" t="n"/>
      <c r="W174" s="280" t="n"/>
      <c r="X174" s="280" t="n"/>
      <c r="Y174" s="280" t="n"/>
    </row>
    <row r="175" ht="15" customHeight="1" s="195">
      <c r="A175" s="334" t="n"/>
      <c r="B175" s="334" t="n"/>
      <c r="C175" s="334" t="n"/>
      <c r="D175" s="334" t="n"/>
      <c r="E175" s="334" t="n"/>
      <c r="F175" s="334" t="n"/>
      <c r="G175" s="334" t="n"/>
      <c r="H175" s="334" t="n"/>
      <c r="I175" s="332">
        <f>IFERROR(VLOOKUP(TEXT(H175,"0"),IPRESS!$A$3:$B$212,2,0),"")</f>
        <v/>
      </c>
      <c r="J175" s="334" t="n"/>
      <c r="K175" s="332">
        <f>IFERROR(VLOOKUP(TEXT(O175,"0"),CONDUCTORES!$A$3:$G$54,7,0),"")</f>
        <v/>
      </c>
      <c r="L175" s="334" t="n"/>
      <c r="M175" s="334" t="n"/>
      <c r="N175" s="333">
        <f>IFERROR(IF(L175*M175=0,"",L175*M175),"")</f>
        <v/>
      </c>
      <c r="O175" s="334" t="n"/>
      <c r="P175" s="332">
        <f>IFERROR(VLOOKUP(TEXT(O175,"0"),CONDUCTORES!$A$3:$G$54,2,0),"")</f>
        <v/>
      </c>
      <c r="Q175" s="332">
        <f>IFERROR(VLOOKUP(TEXT(O175,"0"),CONDUCTORES!$A$3:$H$54,6,0),"")</f>
        <v/>
      </c>
      <c r="R175" s="334" t="n"/>
      <c r="S175" s="334" t="n"/>
      <c r="T175" s="334" t="n"/>
      <c r="U175" s="334" t="n"/>
      <c r="V175" s="334" t="n"/>
      <c r="W175" s="334" t="n"/>
      <c r="X175" s="334" t="n"/>
      <c r="Y175" s="334" t="n"/>
    </row>
    <row r="176" ht="15" customHeight="1" s="195">
      <c r="A176" s="280" t="n"/>
      <c r="B176" s="280" t="n"/>
      <c r="C176" s="280" t="n"/>
      <c r="D176" s="280" t="n"/>
      <c r="E176" s="280" t="n"/>
      <c r="F176" s="280" t="n"/>
      <c r="G176" s="280" t="n"/>
      <c r="H176" s="280" t="n"/>
      <c r="I176" s="332">
        <f>IFERROR(VLOOKUP(TEXT(H176,"0"),IPRESS!$A$3:$B$212,2,0),"")</f>
        <v/>
      </c>
      <c r="J176" s="280" t="n"/>
      <c r="K176" s="332">
        <f>IFERROR(VLOOKUP(TEXT(O176,"0"),CONDUCTORES!$A$3:$G$54,7,0),"")</f>
        <v/>
      </c>
      <c r="L176" s="280" t="n"/>
      <c r="M176" s="280" t="n"/>
      <c r="N176" s="333">
        <f>IFERROR(IF(L176*M176=0,"",L176*M176),"")</f>
        <v/>
      </c>
      <c r="O176" s="280" t="n"/>
      <c r="P176" s="332">
        <f>IFERROR(VLOOKUP(TEXT(O176,"0"),CONDUCTORES!$A$3:$G$54,2,0),"")</f>
        <v/>
      </c>
      <c r="Q176" s="332">
        <f>IFERROR(VLOOKUP(TEXT(O176,"0"),CONDUCTORES!$A$3:$H$54,6,0),"")</f>
        <v/>
      </c>
      <c r="R176" s="280" t="n"/>
      <c r="S176" s="280" t="n"/>
      <c r="T176" s="280" t="n"/>
      <c r="U176" s="280" t="n"/>
      <c r="V176" s="280" t="n"/>
      <c r="W176" s="280" t="n"/>
      <c r="X176" s="280" t="n"/>
      <c r="Y176" s="280" t="n"/>
    </row>
    <row r="177" ht="15" customHeight="1" s="195">
      <c r="A177" s="334" t="n"/>
      <c r="B177" s="334" t="n"/>
      <c r="C177" s="334" t="n"/>
      <c r="D177" s="334" t="n"/>
      <c r="E177" s="334" t="n"/>
      <c r="F177" s="334" t="n"/>
      <c r="G177" s="334" t="n"/>
      <c r="H177" s="334" t="n"/>
      <c r="I177" s="332">
        <f>IFERROR(VLOOKUP(TEXT(H177,"0"),IPRESS!$A$3:$B$212,2,0),"")</f>
        <v/>
      </c>
      <c r="J177" s="334" t="n"/>
      <c r="K177" s="332">
        <f>IFERROR(VLOOKUP(TEXT(O177,"0"),CONDUCTORES!$A$3:$G$54,7,0),"")</f>
        <v/>
      </c>
      <c r="L177" s="334" t="n"/>
      <c r="M177" s="334" t="n"/>
      <c r="N177" s="333">
        <f>IFERROR(IF(L177*M177=0,"",L177*M177),"")</f>
        <v/>
      </c>
      <c r="O177" s="334" t="n"/>
      <c r="P177" s="332">
        <f>IFERROR(VLOOKUP(TEXT(O177,"0"),CONDUCTORES!$A$3:$G$54,2,0),"")</f>
        <v/>
      </c>
      <c r="Q177" s="332">
        <f>IFERROR(VLOOKUP(TEXT(O177,"0"),CONDUCTORES!$A$3:$H$54,6,0),"")</f>
        <v/>
      </c>
      <c r="R177" s="334" t="n"/>
      <c r="S177" s="334" t="n"/>
      <c r="T177" s="334" t="n"/>
      <c r="U177" s="334" t="n"/>
      <c r="V177" s="334" t="n"/>
      <c r="W177" s="334" t="n"/>
      <c r="X177" s="334" t="n"/>
      <c r="Y177" s="334" t="n"/>
    </row>
    <row r="178" ht="15" customHeight="1" s="195">
      <c r="A178" s="280" t="n"/>
      <c r="B178" s="280" t="n"/>
      <c r="C178" s="280" t="n"/>
      <c r="D178" s="280" t="n"/>
      <c r="E178" s="280" t="n"/>
      <c r="F178" s="280" t="n"/>
      <c r="G178" s="280" t="n"/>
      <c r="H178" s="280" t="n"/>
      <c r="I178" s="332">
        <f>IFERROR(VLOOKUP(TEXT(H178,"0"),IPRESS!$A$3:$B$212,2,0),"")</f>
        <v/>
      </c>
      <c r="J178" s="280" t="n"/>
      <c r="K178" s="332">
        <f>IFERROR(VLOOKUP(TEXT(O178,"0"),CONDUCTORES!$A$3:$G$54,7,0),"")</f>
        <v/>
      </c>
      <c r="L178" s="280" t="n"/>
      <c r="M178" s="280" t="n"/>
      <c r="N178" s="333">
        <f>IFERROR(IF(L178*M178=0,"",L178*M178),"")</f>
        <v/>
      </c>
      <c r="O178" s="280" t="n"/>
      <c r="P178" s="332">
        <f>IFERROR(VLOOKUP(TEXT(O178,"0"),CONDUCTORES!$A$3:$G$54,2,0),"")</f>
        <v/>
      </c>
      <c r="Q178" s="332">
        <f>IFERROR(VLOOKUP(TEXT(O178,"0"),CONDUCTORES!$A$3:$H$54,6,0),"")</f>
        <v/>
      </c>
      <c r="R178" s="280" t="n"/>
      <c r="S178" s="280" t="n"/>
      <c r="T178" s="280" t="n"/>
      <c r="U178" s="280" t="n"/>
      <c r="V178" s="280" t="n"/>
      <c r="W178" s="280" t="n"/>
      <c r="X178" s="280" t="n"/>
      <c r="Y178" s="280" t="n"/>
    </row>
    <row r="179" ht="15" customHeight="1" s="195">
      <c r="A179" s="334" t="n"/>
      <c r="B179" s="334" t="n"/>
      <c r="C179" s="334" t="n"/>
      <c r="D179" s="334" t="n"/>
      <c r="E179" s="334" t="n"/>
      <c r="F179" s="334" t="n"/>
      <c r="G179" s="334" t="n"/>
      <c r="H179" s="334" t="n"/>
      <c r="I179" s="332">
        <f>IFERROR(VLOOKUP(TEXT(H179,"0"),IPRESS!$A$3:$B$212,2,0),"")</f>
        <v/>
      </c>
      <c r="J179" s="334" t="n"/>
      <c r="K179" s="332">
        <f>IFERROR(VLOOKUP(TEXT(O179,"0"),CONDUCTORES!$A$3:$G$54,7,0),"")</f>
        <v/>
      </c>
      <c r="L179" s="334" t="n"/>
      <c r="M179" s="334" t="n"/>
      <c r="N179" s="333">
        <f>IFERROR(IF(L179*M179=0,"",L179*M179),"")</f>
        <v/>
      </c>
      <c r="O179" s="334" t="n"/>
      <c r="P179" s="332">
        <f>IFERROR(VLOOKUP(TEXT(O179,"0"),CONDUCTORES!$A$3:$G$54,2,0),"")</f>
        <v/>
      </c>
      <c r="Q179" s="332">
        <f>IFERROR(VLOOKUP(TEXT(O179,"0"),CONDUCTORES!$A$3:$H$54,6,0),"")</f>
        <v/>
      </c>
      <c r="R179" s="334" t="n"/>
      <c r="S179" s="334" t="n"/>
      <c r="T179" s="334" t="n"/>
      <c r="U179" s="334" t="n"/>
      <c r="V179" s="334" t="n"/>
      <c r="W179" s="334" t="n"/>
      <c r="X179" s="334" t="n"/>
      <c r="Y179" s="334" t="n"/>
    </row>
    <row r="180" ht="15" customHeight="1" s="195">
      <c r="A180" s="280" t="n"/>
      <c r="B180" s="280" t="n"/>
      <c r="C180" s="280" t="n"/>
      <c r="D180" s="280" t="n"/>
      <c r="E180" s="280" t="n"/>
      <c r="F180" s="280" t="n"/>
      <c r="G180" s="280" t="n"/>
      <c r="H180" s="280" t="n"/>
      <c r="I180" s="332">
        <f>IFERROR(VLOOKUP(TEXT(H180,"0"),IPRESS!$A$3:$B$212,2,0),"")</f>
        <v/>
      </c>
      <c r="J180" s="280" t="n"/>
      <c r="K180" s="332">
        <f>IFERROR(VLOOKUP(TEXT(O180,"0"),CONDUCTORES!$A$3:$G$54,7,0),"")</f>
        <v/>
      </c>
      <c r="L180" s="280" t="n"/>
      <c r="M180" s="280" t="n"/>
      <c r="N180" s="333">
        <f>IFERROR(IF(L180*M180=0,"",L180*M180),"")</f>
        <v/>
      </c>
      <c r="O180" s="280" t="n"/>
      <c r="P180" s="332">
        <f>IFERROR(VLOOKUP(TEXT(O180,"0"),CONDUCTORES!$A$3:$G$54,2,0),"")</f>
        <v/>
      </c>
      <c r="Q180" s="332">
        <f>IFERROR(VLOOKUP(TEXT(O180,"0"),CONDUCTORES!$A$3:$H$54,6,0),"")</f>
        <v/>
      </c>
      <c r="R180" s="280" t="n"/>
      <c r="S180" s="280" t="n"/>
      <c r="T180" s="280" t="n"/>
      <c r="U180" s="280" t="n"/>
      <c r="V180" s="280" t="n"/>
      <c r="W180" s="280" t="n"/>
      <c r="X180" s="280" t="n"/>
      <c r="Y180" s="280" t="n"/>
    </row>
    <row r="181" ht="15" customHeight="1" s="195">
      <c r="A181" s="334" t="n"/>
      <c r="B181" s="334" t="n"/>
      <c r="C181" s="334" t="n"/>
      <c r="D181" s="334" t="n"/>
      <c r="E181" s="334" t="n"/>
      <c r="F181" s="334" t="n"/>
      <c r="G181" s="334" t="n"/>
      <c r="H181" s="334" t="n"/>
      <c r="I181" s="332">
        <f>IFERROR(VLOOKUP(TEXT(H181,"0"),IPRESS!$A$3:$B$212,2,0),"")</f>
        <v/>
      </c>
      <c r="J181" s="334" t="n"/>
      <c r="K181" s="332">
        <f>IFERROR(VLOOKUP(TEXT(O181,"0"),CONDUCTORES!$A$3:$G$54,7,0),"")</f>
        <v/>
      </c>
      <c r="L181" s="334" t="n"/>
      <c r="M181" s="334" t="n"/>
      <c r="N181" s="333">
        <f>IFERROR(IF(L181*M181=0,"",L181*M181),"")</f>
        <v/>
      </c>
      <c r="O181" s="334" t="n"/>
      <c r="P181" s="332">
        <f>IFERROR(VLOOKUP(TEXT(O181,"0"),CONDUCTORES!$A$3:$G$54,2,0),"")</f>
        <v/>
      </c>
      <c r="Q181" s="332">
        <f>IFERROR(VLOOKUP(TEXT(O181,"0"),CONDUCTORES!$A$3:$H$54,6,0),"")</f>
        <v/>
      </c>
      <c r="R181" s="334" t="n"/>
      <c r="S181" s="334" t="n"/>
      <c r="T181" s="334" t="n"/>
      <c r="U181" s="334" t="n"/>
      <c r="V181" s="334" t="n"/>
      <c r="W181" s="334" t="n"/>
      <c r="X181" s="334" t="n"/>
      <c r="Y181" s="334" t="n"/>
    </row>
    <row r="182" ht="15" customHeight="1" s="195">
      <c r="A182" s="280" t="n"/>
      <c r="B182" s="280" t="n"/>
      <c r="C182" s="280" t="n"/>
      <c r="D182" s="280" t="n"/>
      <c r="E182" s="280" t="n"/>
      <c r="F182" s="280" t="n"/>
      <c r="G182" s="280" t="n"/>
      <c r="H182" s="280" t="n"/>
      <c r="I182" s="332">
        <f>IFERROR(VLOOKUP(TEXT(H182,"0"),IPRESS!$A$3:$B$212,2,0),"")</f>
        <v/>
      </c>
      <c r="J182" s="280" t="n"/>
      <c r="K182" s="332">
        <f>IFERROR(VLOOKUP(TEXT(O182,"0"),CONDUCTORES!$A$3:$G$54,7,0),"")</f>
        <v/>
      </c>
      <c r="L182" s="280" t="n"/>
      <c r="M182" s="280" t="n"/>
      <c r="N182" s="333">
        <f>IFERROR(IF(L182*M182=0,"",L182*M182),"")</f>
        <v/>
      </c>
      <c r="O182" s="280" t="n"/>
      <c r="P182" s="332">
        <f>IFERROR(VLOOKUP(TEXT(O182,"0"),CONDUCTORES!$A$3:$G$54,2,0),"")</f>
        <v/>
      </c>
      <c r="Q182" s="332">
        <f>IFERROR(VLOOKUP(TEXT(O182,"0"),CONDUCTORES!$A$3:$H$54,6,0),"")</f>
        <v/>
      </c>
      <c r="R182" s="280" t="n"/>
      <c r="S182" s="280" t="n"/>
      <c r="T182" s="280" t="n"/>
      <c r="U182" s="280" t="n"/>
      <c r="V182" s="280" t="n"/>
      <c r="W182" s="280" t="n"/>
      <c r="X182" s="280" t="n"/>
      <c r="Y182" s="280" t="n"/>
    </row>
    <row r="183" ht="15" customHeight="1" s="195">
      <c r="A183" s="334" t="n"/>
      <c r="B183" s="334" t="n"/>
      <c r="C183" s="334" t="n"/>
      <c r="D183" s="334" t="n"/>
      <c r="E183" s="334" t="n"/>
      <c r="F183" s="334" t="n"/>
      <c r="G183" s="334" t="n"/>
      <c r="H183" s="334" t="n"/>
      <c r="I183" s="332">
        <f>IFERROR(VLOOKUP(TEXT(H183,"0"),IPRESS!$A$3:$B$212,2,0),"")</f>
        <v/>
      </c>
      <c r="J183" s="334" t="n"/>
      <c r="K183" s="332">
        <f>IFERROR(VLOOKUP(TEXT(O183,"0"),CONDUCTORES!$A$3:$G$54,7,0),"")</f>
        <v/>
      </c>
      <c r="L183" s="334" t="n"/>
      <c r="M183" s="334" t="n"/>
      <c r="N183" s="333">
        <f>IFERROR(IF(L183*M183=0,"",L183*M183),"")</f>
        <v/>
      </c>
      <c r="O183" s="334" t="n"/>
      <c r="P183" s="332">
        <f>IFERROR(VLOOKUP(TEXT(O183,"0"),CONDUCTORES!$A$3:$G$54,2,0),"")</f>
        <v/>
      </c>
      <c r="Q183" s="332">
        <f>IFERROR(VLOOKUP(TEXT(O183,"0"),CONDUCTORES!$A$3:$H$54,6,0),"")</f>
        <v/>
      </c>
      <c r="R183" s="334" t="n"/>
      <c r="S183" s="334" t="n"/>
      <c r="T183" s="334" t="n"/>
      <c r="U183" s="334" t="n"/>
      <c r="V183" s="334" t="n"/>
      <c r="W183" s="334" t="n"/>
      <c r="X183" s="334" t="n"/>
      <c r="Y183" s="334" t="n"/>
    </row>
    <row r="184" ht="15" customHeight="1" s="195">
      <c r="A184" s="280" t="n"/>
      <c r="B184" s="280" t="n"/>
      <c r="C184" s="280" t="n"/>
      <c r="D184" s="280" t="n"/>
      <c r="E184" s="280" t="n"/>
      <c r="F184" s="280" t="n"/>
      <c r="G184" s="280" t="n"/>
      <c r="H184" s="280" t="n"/>
      <c r="I184" s="332">
        <f>IFERROR(VLOOKUP(TEXT(H184,"0"),IPRESS!$A$3:$B$212,2,0),"")</f>
        <v/>
      </c>
      <c r="J184" s="280" t="n"/>
      <c r="K184" s="332">
        <f>IFERROR(VLOOKUP(TEXT(O184,"0"),CONDUCTORES!$A$3:$G$54,7,0),"")</f>
        <v/>
      </c>
      <c r="L184" s="280" t="n"/>
      <c r="M184" s="280" t="n"/>
      <c r="N184" s="333">
        <f>IFERROR(IF(L184*M184=0,"",L184*M184),"")</f>
        <v/>
      </c>
      <c r="O184" s="280" t="n"/>
      <c r="P184" s="332">
        <f>IFERROR(VLOOKUP(TEXT(O184,"0"),CONDUCTORES!$A$3:$G$54,2,0),"")</f>
        <v/>
      </c>
      <c r="Q184" s="332">
        <f>IFERROR(VLOOKUP(TEXT(O184,"0"),CONDUCTORES!$A$3:$H$54,6,0),"")</f>
        <v/>
      </c>
      <c r="R184" s="280" t="n"/>
      <c r="S184" s="280" t="n"/>
      <c r="T184" s="280" t="n"/>
      <c r="U184" s="280" t="n"/>
      <c r="V184" s="280" t="n"/>
      <c r="W184" s="280" t="n"/>
      <c r="X184" s="280" t="n"/>
      <c r="Y184" s="280" t="n"/>
    </row>
    <row r="185" ht="15" customHeight="1" s="195">
      <c r="A185" s="334" t="n"/>
      <c r="B185" s="334" t="n"/>
      <c r="C185" s="334" t="n"/>
      <c r="D185" s="334" t="n"/>
      <c r="E185" s="334" t="n"/>
      <c r="F185" s="334" t="n"/>
      <c r="G185" s="334" t="n"/>
      <c r="H185" s="334" t="n"/>
      <c r="I185" s="332">
        <f>IFERROR(VLOOKUP(TEXT(H185,"0"),IPRESS!$A$3:$B$212,2,0),"")</f>
        <v/>
      </c>
      <c r="J185" s="334" t="n"/>
      <c r="K185" s="332">
        <f>IFERROR(VLOOKUP(TEXT(O185,"0"),CONDUCTORES!$A$3:$G$54,7,0),"")</f>
        <v/>
      </c>
      <c r="L185" s="334" t="n"/>
      <c r="M185" s="334" t="n"/>
      <c r="N185" s="333">
        <f>IFERROR(IF(L185*M185=0,"",L185*M185),"")</f>
        <v/>
      </c>
      <c r="O185" s="334" t="n"/>
      <c r="P185" s="332">
        <f>IFERROR(VLOOKUP(TEXT(O185,"0"),CONDUCTORES!$A$3:$G$54,2,0),"")</f>
        <v/>
      </c>
      <c r="Q185" s="332">
        <f>IFERROR(VLOOKUP(TEXT(O185,"0"),CONDUCTORES!$A$3:$H$54,6,0),"")</f>
        <v/>
      </c>
      <c r="R185" s="334" t="n"/>
      <c r="S185" s="334" t="n"/>
      <c r="T185" s="334" t="n"/>
      <c r="U185" s="334" t="n"/>
      <c r="V185" s="334" t="n"/>
      <c r="W185" s="334" t="n"/>
      <c r="X185" s="334" t="n"/>
      <c r="Y185" s="334" t="n"/>
    </row>
    <row r="186" ht="15" customHeight="1" s="195">
      <c r="A186" s="280" t="n"/>
      <c r="B186" s="280" t="n"/>
      <c r="C186" s="280" t="n"/>
      <c r="D186" s="280" t="n"/>
      <c r="E186" s="280" t="n"/>
      <c r="F186" s="280" t="n"/>
      <c r="G186" s="280" t="n"/>
      <c r="H186" s="280" t="n"/>
      <c r="I186" s="332">
        <f>IFERROR(VLOOKUP(TEXT(H186,"0"),IPRESS!$A$3:$B$212,2,0),"")</f>
        <v/>
      </c>
      <c r="J186" s="280" t="n"/>
      <c r="K186" s="332">
        <f>IFERROR(VLOOKUP(TEXT(O186,"0"),CONDUCTORES!$A$3:$G$54,7,0),"")</f>
        <v/>
      </c>
      <c r="L186" s="280" t="n"/>
      <c r="M186" s="280" t="n"/>
      <c r="N186" s="333">
        <f>IFERROR(IF(L186*M186=0,"",L186*M186),"")</f>
        <v/>
      </c>
      <c r="O186" s="280" t="n"/>
      <c r="P186" s="332">
        <f>IFERROR(VLOOKUP(TEXT(O186,"0"),CONDUCTORES!$A$3:$G$54,2,0),"")</f>
        <v/>
      </c>
      <c r="Q186" s="332">
        <f>IFERROR(VLOOKUP(TEXT(O186,"0"),CONDUCTORES!$A$3:$H$54,6,0),"")</f>
        <v/>
      </c>
      <c r="R186" s="280" t="n"/>
      <c r="S186" s="280" t="n"/>
      <c r="T186" s="280" t="n"/>
      <c r="U186" s="280" t="n"/>
      <c r="V186" s="280" t="n"/>
      <c r="W186" s="280" t="n"/>
      <c r="X186" s="280" t="n"/>
      <c r="Y186" s="280" t="n"/>
    </row>
    <row r="187" ht="15" customHeight="1" s="195">
      <c r="A187" s="334" t="n"/>
      <c r="B187" s="334" t="n"/>
      <c r="C187" s="334" t="n"/>
      <c r="D187" s="334" t="n"/>
      <c r="E187" s="334" t="n"/>
      <c r="F187" s="334" t="n"/>
      <c r="G187" s="334" t="n"/>
      <c r="H187" s="334" t="n"/>
      <c r="I187" s="332">
        <f>IFERROR(VLOOKUP(TEXT(H187,"0"),IPRESS!$A$3:$B$212,2,0),"")</f>
        <v/>
      </c>
      <c r="J187" s="334" t="n"/>
      <c r="K187" s="332">
        <f>IFERROR(VLOOKUP(TEXT(O187,"0"),CONDUCTORES!$A$3:$G$54,7,0),"")</f>
        <v/>
      </c>
      <c r="L187" s="334" t="n"/>
      <c r="M187" s="334" t="n"/>
      <c r="N187" s="333">
        <f>IFERROR(IF(L187*M187=0,"",L187*M187),"")</f>
        <v/>
      </c>
      <c r="O187" s="334" t="n"/>
      <c r="P187" s="332">
        <f>IFERROR(VLOOKUP(TEXT(O187,"0"),CONDUCTORES!$A$3:$G$54,2,0),"")</f>
        <v/>
      </c>
      <c r="Q187" s="332">
        <f>IFERROR(VLOOKUP(TEXT(O187,"0"),CONDUCTORES!$A$3:$H$54,6,0),"")</f>
        <v/>
      </c>
      <c r="R187" s="334" t="n"/>
      <c r="S187" s="334" t="n"/>
      <c r="T187" s="334" t="n"/>
      <c r="U187" s="334" t="n"/>
      <c r="V187" s="334" t="n"/>
      <c r="W187" s="334" t="n"/>
      <c r="X187" s="334" t="n"/>
      <c r="Y187" s="334" t="n"/>
    </row>
    <row r="188" ht="15" customHeight="1" s="195">
      <c r="A188" s="280" t="n"/>
      <c r="B188" s="280" t="n"/>
      <c r="C188" s="280" t="n"/>
      <c r="D188" s="280" t="n"/>
      <c r="E188" s="280" t="n"/>
      <c r="F188" s="280" t="n"/>
      <c r="G188" s="280" t="n"/>
      <c r="H188" s="280" t="n"/>
      <c r="I188" s="332">
        <f>IFERROR(VLOOKUP(TEXT(H188,"0"),IPRESS!$A$3:$B$212,2,0),"")</f>
        <v/>
      </c>
      <c r="J188" s="280" t="n"/>
      <c r="K188" s="332">
        <f>IFERROR(VLOOKUP(TEXT(O188,"0"),CONDUCTORES!$A$3:$G$54,7,0),"")</f>
        <v/>
      </c>
      <c r="L188" s="280" t="n"/>
      <c r="M188" s="280" t="n"/>
      <c r="N188" s="333">
        <f>IFERROR(IF(L188*M188=0,"",L188*M188),"")</f>
        <v/>
      </c>
      <c r="O188" s="280" t="n"/>
      <c r="P188" s="332">
        <f>IFERROR(VLOOKUP(TEXT(O188,"0"),CONDUCTORES!$A$3:$G$54,2,0),"")</f>
        <v/>
      </c>
      <c r="Q188" s="332">
        <f>IFERROR(VLOOKUP(TEXT(O188,"0"),CONDUCTORES!$A$3:$H$54,6,0),"")</f>
        <v/>
      </c>
      <c r="R188" s="280" t="n"/>
      <c r="S188" s="280" t="n"/>
      <c r="T188" s="280" t="n"/>
      <c r="U188" s="280" t="n"/>
      <c r="V188" s="280" t="n"/>
      <c r="W188" s="280" t="n"/>
      <c r="X188" s="280" t="n"/>
      <c r="Y188" s="280" t="n"/>
    </row>
    <row r="189" ht="15" customHeight="1" s="195">
      <c r="A189" s="334" t="n"/>
      <c r="B189" s="334" t="n"/>
      <c r="C189" s="334" t="n"/>
      <c r="D189" s="334" t="n"/>
      <c r="E189" s="334" t="n"/>
      <c r="F189" s="334" t="n"/>
      <c r="G189" s="334" t="n"/>
      <c r="H189" s="334" t="n"/>
      <c r="I189" s="332">
        <f>IFERROR(VLOOKUP(TEXT(H189,"0"),IPRESS!$A$3:$B$212,2,0),"")</f>
        <v/>
      </c>
      <c r="J189" s="334" t="n"/>
      <c r="K189" s="332">
        <f>IFERROR(VLOOKUP(TEXT(O189,"0"),CONDUCTORES!$A$3:$G$54,7,0),"")</f>
        <v/>
      </c>
      <c r="L189" s="334" t="n"/>
      <c r="M189" s="334" t="n"/>
      <c r="N189" s="333">
        <f>IFERROR(IF(L189*M189=0,"",L189*M189),"")</f>
        <v/>
      </c>
      <c r="O189" s="334" t="n"/>
      <c r="P189" s="332">
        <f>IFERROR(VLOOKUP(TEXT(O189,"0"),CONDUCTORES!$A$3:$G$54,2,0),"")</f>
        <v/>
      </c>
      <c r="Q189" s="332">
        <f>IFERROR(VLOOKUP(TEXT(O189,"0"),CONDUCTORES!$A$3:$H$54,6,0),"")</f>
        <v/>
      </c>
      <c r="R189" s="334" t="n"/>
      <c r="S189" s="334" t="n"/>
      <c r="T189" s="334" t="n"/>
      <c r="U189" s="334" t="n"/>
      <c r="V189" s="334" t="n"/>
      <c r="W189" s="334" t="n"/>
      <c r="X189" s="334" t="n"/>
      <c r="Y189" s="334" t="n"/>
    </row>
    <row r="190" ht="15" customHeight="1" s="195">
      <c r="A190" s="280" t="n"/>
      <c r="B190" s="280" t="n"/>
      <c r="C190" s="280" t="n"/>
      <c r="D190" s="280" t="n"/>
      <c r="E190" s="280" t="n"/>
      <c r="F190" s="280" t="n"/>
      <c r="G190" s="280" t="n"/>
      <c r="H190" s="280" t="n"/>
      <c r="I190" s="332">
        <f>IFERROR(VLOOKUP(TEXT(H190,"0"),IPRESS!$A$3:$B$212,2,0),"")</f>
        <v/>
      </c>
      <c r="J190" s="280" t="n"/>
      <c r="K190" s="332">
        <f>IFERROR(VLOOKUP(TEXT(O190,"0"),CONDUCTORES!$A$3:$G$54,7,0),"")</f>
        <v/>
      </c>
      <c r="L190" s="280" t="n"/>
      <c r="M190" s="280" t="n"/>
      <c r="N190" s="333">
        <f>IFERROR(IF(L190*M190=0,"",L190*M190),"")</f>
        <v/>
      </c>
      <c r="O190" s="280" t="n"/>
      <c r="P190" s="332">
        <f>IFERROR(VLOOKUP(TEXT(O190,"0"),CONDUCTORES!$A$3:$G$54,2,0),"")</f>
        <v/>
      </c>
      <c r="Q190" s="332">
        <f>IFERROR(VLOOKUP(TEXT(O190,"0"),CONDUCTORES!$A$3:$H$54,6,0),"")</f>
        <v/>
      </c>
      <c r="R190" s="280" t="n"/>
      <c r="S190" s="280" t="n"/>
      <c r="T190" s="280" t="n"/>
      <c r="U190" s="280" t="n"/>
      <c r="V190" s="280" t="n"/>
      <c r="W190" s="280" t="n"/>
      <c r="X190" s="280" t="n"/>
      <c r="Y190" s="280" t="n"/>
    </row>
    <row r="191" ht="15" customHeight="1" s="195">
      <c r="A191" s="334" t="n"/>
      <c r="B191" s="334" t="n"/>
      <c r="C191" s="334" t="n"/>
      <c r="D191" s="334" t="n"/>
      <c r="E191" s="334" t="n"/>
      <c r="F191" s="334" t="n"/>
      <c r="G191" s="334" t="n"/>
      <c r="H191" s="334" t="n"/>
      <c r="I191" s="332">
        <f>IFERROR(VLOOKUP(TEXT(H191,"0"),IPRESS!$A$3:$B$212,2,0),"")</f>
        <v/>
      </c>
      <c r="J191" s="334" t="n"/>
      <c r="K191" s="332">
        <f>IFERROR(VLOOKUP(TEXT(O191,"0"),CONDUCTORES!$A$3:$G$54,7,0),"")</f>
        <v/>
      </c>
      <c r="L191" s="334" t="n"/>
      <c r="M191" s="334" t="n"/>
      <c r="N191" s="333">
        <f>IFERROR(IF(L191*M191=0,"",L191*M191),"")</f>
        <v/>
      </c>
      <c r="O191" s="334" t="n"/>
      <c r="P191" s="332">
        <f>IFERROR(VLOOKUP(TEXT(O191,"0"),CONDUCTORES!$A$3:$G$54,2,0),"")</f>
        <v/>
      </c>
      <c r="Q191" s="332">
        <f>IFERROR(VLOOKUP(TEXT(O191,"0"),CONDUCTORES!$A$3:$H$54,6,0),"")</f>
        <v/>
      </c>
      <c r="R191" s="334" t="n"/>
      <c r="S191" s="334" t="n"/>
      <c r="T191" s="334" t="n"/>
      <c r="U191" s="334" t="n"/>
      <c r="V191" s="334" t="n"/>
      <c r="W191" s="334" t="n"/>
      <c r="X191" s="334" t="n"/>
      <c r="Y191" s="334" t="n"/>
    </row>
    <row r="192" ht="15" customHeight="1" s="195">
      <c r="A192" s="280" t="n"/>
      <c r="B192" s="280" t="n"/>
      <c r="C192" s="280" t="n"/>
      <c r="D192" s="280" t="n"/>
      <c r="E192" s="280" t="n"/>
      <c r="F192" s="280" t="n"/>
      <c r="G192" s="280" t="n"/>
      <c r="H192" s="280" t="n"/>
      <c r="I192" s="332">
        <f>IFERROR(VLOOKUP(TEXT(H192,"0"),IPRESS!$A$3:$B$212,2,0),"")</f>
        <v/>
      </c>
      <c r="J192" s="280" t="n"/>
      <c r="K192" s="332">
        <f>IFERROR(VLOOKUP(TEXT(O192,"0"),CONDUCTORES!$A$3:$G$54,7,0),"")</f>
        <v/>
      </c>
      <c r="L192" s="280" t="n"/>
      <c r="M192" s="280" t="n"/>
      <c r="N192" s="333">
        <f>IFERROR(IF(L192*M192=0,"",L192*M192),"")</f>
        <v/>
      </c>
      <c r="O192" s="280" t="n"/>
      <c r="P192" s="332">
        <f>IFERROR(VLOOKUP(TEXT(O192,"0"),CONDUCTORES!$A$3:$G$54,2,0),"")</f>
        <v/>
      </c>
      <c r="Q192" s="332">
        <f>IFERROR(VLOOKUP(TEXT(O192,"0"),CONDUCTORES!$A$3:$H$54,6,0),"")</f>
        <v/>
      </c>
      <c r="R192" s="280" t="n"/>
      <c r="S192" s="280" t="n"/>
      <c r="T192" s="280" t="n"/>
      <c r="U192" s="280" t="n"/>
      <c r="V192" s="280" t="n"/>
      <c r="W192" s="280" t="n"/>
      <c r="X192" s="280" t="n"/>
      <c r="Y192" s="280" t="n"/>
    </row>
    <row r="193" ht="15" customHeight="1" s="195">
      <c r="A193" s="334" t="n"/>
      <c r="B193" s="334" t="n"/>
      <c r="C193" s="334" t="n"/>
      <c r="D193" s="334" t="n"/>
      <c r="E193" s="334" t="n"/>
      <c r="F193" s="334" t="n"/>
      <c r="G193" s="334" t="n"/>
      <c r="H193" s="334" t="n"/>
      <c r="I193" s="332">
        <f>IFERROR(VLOOKUP(TEXT(H193,"0"),IPRESS!$A$3:$B$212,2,0),"")</f>
        <v/>
      </c>
      <c r="J193" s="334" t="n"/>
      <c r="K193" s="332">
        <f>IFERROR(VLOOKUP(TEXT(O193,"0"),CONDUCTORES!$A$3:$G$54,7,0),"")</f>
        <v/>
      </c>
      <c r="L193" s="334" t="n"/>
      <c r="M193" s="334" t="n"/>
      <c r="N193" s="333">
        <f>IFERROR(IF(L193*M193=0,"",L193*M193),"")</f>
        <v/>
      </c>
      <c r="O193" s="334" t="n"/>
      <c r="P193" s="332">
        <f>IFERROR(VLOOKUP(TEXT(O193,"0"),CONDUCTORES!$A$3:$G$54,2,0),"")</f>
        <v/>
      </c>
      <c r="Q193" s="332">
        <f>IFERROR(VLOOKUP(TEXT(O193,"0"),CONDUCTORES!$A$3:$H$54,6,0),"")</f>
        <v/>
      </c>
      <c r="R193" s="334" t="n"/>
      <c r="S193" s="334" t="n"/>
      <c r="T193" s="334" t="n"/>
      <c r="U193" s="334" t="n"/>
      <c r="V193" s="334" t="n"/>
      <c r="W193" s="334" t="n"/>
      <c r="X193" s="334" t="n"/>
      <c r="Y193" s="334" t="n"/>
    </row>
    <row r="194" ht="15" customHeight="1" s="195">
      <c r="A194" s="280" t="n"/>
      <c r="B194" s="280" t="n"/>
      <c r="C194" s="280" t="n"/>
      <c r="D194" s="280" t="n"/>
      <c r="E194" s="280" t="n"/>
      <c r="F194" s="280" t="n"/>
      <c r="G194" s="280" t="n"/>
      <c r="H194" s="280" t="n"/>
      <c r="I194" s="332">
        <f>IFERROR(VLOOKUP(TEXT(H194,"0"),IPRESS!$A$3:$B$212,2,0),"")</f>
        <v/>
      </c>
      <c r="J194" s="280" t="n"/>
      <c r="K194" s="332">
        <f>IFERROR(VLOOKUP(TEXT(O194,"0"),CONDUCTORES!$A$3:$G$54,7,0),"")</f>
        <v/>
      </c>
      <c r="L194" s="280" t="n"/>
      <c r="M194" s="280" t="n"/>
      <c r="N194" s="333">
        <f>IFERROR(IF(L194*M194=0,"",L194*M194),"")</f>
        <v/>
      </c>
      <c r="O194" s="280" t="n"/>
      <c r="P194" s="332">
        <f>IFERROR(VLOOKUP(TEXT(O194,"0"),CONDUCTORES!$A$3:$G$54,2,0),"")</f>
        <v/>
      </c>
      <c r="Q194" s="332">
        <f>IFERROR(VLOOKUP(TEXT(O194,"0"),CONDUCTORES!$A$3:$H$54,6,0),"")</f>
        <v/>
      </c>
      <c r="R194" s="280" t="n"/>
      <c r="S194" s="280" t="n"/>
      <c r="T194" s="280" t="n"/>
      <c r="U194" s="280" t="n"/>
      <c r="V194" s="280" t="n"/>
      <c r="W194" s="280" t="n"/>
      <c r="X194" s="280" t="n"/>
      <c r="Y194" s="280" t="n"/>
    </row>
    <row r="195" ht="15" customHeight="1" s="195">
      <c r="A195" s="334" t="n"/>
      <c r="B195" s="334" t="n"/>
      <c r="C195" s="334" t="n"/>
      <c r="D195" s="334" t="n"/>
      <c r="E195" s="334" t="n"/>
      <c r="F195" s="334" t="n"/>
      <c r="G195" s="334" t="n"/>
      <c r="H195" s="334" t="n"/>
      <c r="I195" s="332">
        <f>IFERROR(VLOOKUP(TEXT(H195,"0"),IPRESS!$A$3:$B$212,2,0),"")</f>
        <v/>
      </c>
      <c r="J195" s="334" t="n"/>
      <c r="K195" s="332">
        <f>IFERROR(VLOOKUP(TEXT(O195,"0"),CONDUCTORES!$A$3:$G$54,7,0),"")</f>
        <v/>
      </c>
      <c r="L195" s="334" t="n"/>
      <c r="M195" s="334" t="n"/>
      <c r="N195" s="333">
        <f>IFERROR(IF(L195*M195=0,"",L195*M195),"")</f>
        <v/>
      </c>
      <c r="O195" s="334" t="n"/>
      <c r="P195" s="332">
        <f>IFERROR(VLOOKUP(TEXT(O195,"0"),CONDUCTORES!$A$3:$G$54,2,0),"")</f>
        <v/>
      </c>
      <c r="Q195" s="332">
        <f>IFERROR(VLOOKUP(TEXT(O195,"0"),CONDUCTORES!$A$3:$H$54,6,0),"")</f>
        <v/>
      </c>
      <c r="R195" s="334" t="n"/>
      <c r="S195" s="334" t="n"/>
      <c r="T195" s="334" t="n"/>
      <c r="U195" s="334" t="n"/>
      <c r="V195" s="334" t="n"/>
      <c r="W195" s="334" t="n"/>
      <c r="X195" s="334" t="n"/>
      <c r="Y195" s="334" t="n"/>
    </row>
    <row r="196" ht="15" customHeight="1" s="195">
      <c r="A196" s="280" t="n"/>
      <c r="B196" s="280" t="n"/>
      <c r="C196" s="280" t="n"/>
      <c r="D196" s="280" t="n"/>
      <c r="E196" s="280" t="n"/>
      <c r="F196" s="280" t="n"/>
      <c r="G196" s="280" t="n"/>
      <c r="H196" s="280" t="n"/>
      <c r="I196" s="332">
        <f>IFERROR(VLOOKUP(TEXT(H196,"0"),IPRESS!$A$3:$B$212,2,0),"")</f>
        <v/>
      </c>
      <c r="J196" s="280" t="n"/>
      <c r="K196" s="332">
        <f>IFERROR(VLOOKUP(TEXT(O196,"0"),CONDUCTORES!$A$3:$G$54,7,0),"")</f>
        <v/>
      </c>
      <c r="L196" s="280" t="n"/>
      <c r="M196" s="280" t="n"/>
      <c r="N196" s="333">
        <f>IFERROR(IF(L196*M196=0,"",L196*M196),"")</f>
        <v/>
      </c>
      <c r="O196" s="280" t="n"/>
      <c r="P196" s="332">
        <f>IFERROR(VLOOKUP(TEXT(O196,"0"),CONDUCTORES!$A$3:$G$54,2,0),"")</f>
        <v/>
      </c>
      <c r="Q196" s="332">
        <f>IFERROR(VLOOKUP(TEXT(O196,"0"),CONDUCTORES!$A$3:$H$54,6,0),"")</f>
        <v/>
      </c>
      <c r="R196" s="280" t="n"/>
      <c r="S196" s="280" t="n"/>
      <c r="T196" s="280" t="n"/>
      <c r="U196" s="280" t="n"/>
      <c r="V196" s="280" t="n"/>
      <c r="W196" s="280" t="n"/>
      <c r="X196" s="280" t="n"/>
      <c r="Y196" s="280" t="n"/>
    </row>
    <row r="197" ht="15" customHeight="1" s="195">
      <c r="A197" s="334" t="n"/>
      <c r="B197" s="334" t="n"/>
      <c r="C197" s="334" t="n"/>
      <c r="D197" s="334" t="n"/>
      <c r="E197" s="334" t="n"/>
      <c r="F197" s="334" t="n"/>
      <c r="G197" s="334" t="n"/>
      <c r="H197" s="334" t="n"/>
      <c r="I197" s="332">
        <f>IFERROR(VLOOKUP(TEXT(H197,"0"),IPRESS!$A$3:$B$212,2,0),"")</f>
        <v/>
      </c>
      <c r="J197" s="334" t="n"/>
      <c r="K197" s="332">
        <f>IFERROR(VLOOKUP(TEXT(O197,"0"),CONDUCTORES!$A$3:$G$54,7,0),"")</f>
        <v/>
      </c>
      <c r="L197" s="334" t="n"/>
      <c r="M197" s="334" t="n"/>
      <c r="N197" s="333">
        <f>IFERROR(IF(L197*M197=0,"",L197*M197),"")</f>
        <v/>
      </c>
      <c r="O197" s="334" t="n"/>
      <c r="P197" s="332">
        <f>IFERROR(VLOOKUP(TEXT(O197,"0"),CONDUCTORES!$A$3:$G$54,2,0),"")</f>
        <v/>
      </c>
      <c r="Q197" s="332">
        <f>IFERROR(VLOOKUP(TEXT(O197,"0"),CONDUCTORES!$A$3:$H$54,6,0),"")</f>
        <v/>
      </c>
      <c r="R197" s="334" t="n"/>
      <c r="S197" s="334" t="n"/>
      <c r="T197" s="334" t="n"/>
      <c r="U197" s="334" t="n"/>
      <c r="V197" s="334" t="n"/>
      <c r="W197" s="334" t="n"/>
      <c r="X197" s="334" t="n"/>
      <c r="Y197" s="334" t="n"/>
    </row>
    <row r="198" ht="15" customHeight="1" s="195">
      <c r="A198" s="280" t="n"/>
      <c r="B198" s="280" t="n"/>
      <c r="C198" s="280" t="n"/>
      <c r="D198" s="280" t="n"/>
      <c r="E198" s="280" t="n"/>
      <c r="F198" s="280" t="n"/>
      <c r="G198" s="280" t="n"/>
      <c r="H198" s="280" t="n"/>
      <c r="I198" s="332">
        <f>IFERROR(VLOOKUP(TEXT(H198,"0"),IPRESS!$A$3:$B$212,2,0),"")</f>
        <v/>
      </c>
      <c r="J198" s="280" t="n"/>
      <c r="K198" s="332">
        <f>IFERROR(VLOOKUP(TEXT(O198,"0"),CONDUCTORES!$A$3:$G$54,7,0),"")</f>
        <v/>
      </c>
      <c r="L198" s="280" t="n"/>
      <c r="M198" s="280" t="n"/>
      <c r="N198" s="333">
        <f>IFERROR(IF(L198*M198=0,"",L198*M198),"")</f>
        <v/>
      </c>
      <c r="O198" s="280" t="n"/>
      <c r="P198" s="332">
        <f>IFERROR(VLOOKUP(TEXT(O198,"0"),CONDUCTORES!$A$3:$G$54,2,0),"")</f>
        <v/>
      </c>
      <c r="Q198" s="332">
        <f>IFERROR(VLOOKUP(TEXT(O198,"0"),CONDUCTORES!$A$3:$H$54,6,0),"")</f>
        <v/>
      </c>
      <c r="R198" s="280" t="n"/>
      <c r="S198" s="280" t="n"/>
      <c r="T198" s="280" t="n"/>
      <c r="U198" s="280" t="n"/>
      <c r="V198" s="280" t="n"/>
      <c r="W198" s="280" t="n"/>
      <c r="X198" s="280" t="n"/>
      <c r="Y198" s="280" t="n"/>
    </row>
    <row r="199" ht="15" customHeight="1" s="195">
      <c r="A199" s="334" t="n"/>
      <c r="B199" s="334" t="n"/>
      <c r="C199" s="334" t="n"/>
      <c r="D199" s="334" t="n"/>
      <c r="E199" s="334" t="n"/>
      <c r="F199" s="334" t="n"/>
      <c r="G199" s="334" t="n"/>
      <c r="H199" s="334" t="n"/>
      <c r="I199" s="332">
        <f>IFERROR(VLOOKUP(TEXT(H199,"0"),IPRESS!$A$3:$B$212,2,0),"")</f>
        <v/>
      </c>
      <c r="J199" s="334" t="n"/>
      <c r="K199" s="332">
        <f>IFERROR(VLOOKUP(TEXT(O199,"0"),CONDUCTORES!$A$3:$G$54,7,0),"")</f>
        <v/>
      </c>
      <c r="L199" s="334" t="n"/>
      <c r="M199" s="334" t="n"/>
      <c r="N199" s="333">
        <f>IFERROR(IF(L199*M199=0,"",L199*M199),"")</f>
        <v/>
      </c>
      <c r="O199" s="334" t="n"/>
      <c r="P199" s="332">
        <f>IFERROR(VLOOKUP(TEXT(O199,"0"),CONDUCTORES!$A$3:$G$54,2,0),"")</f>
        <v/>
      </c>
      <c r="Q199" s="332">
        <f>IFERROR(VLOOKUP(TEXT(O199,"0"),CONDUCTORES!$A$3:$H$54,6,0),"")</f>
        <v/>
      </c>
      <c r="R199" s="334" t="n"/>
      <c r="S199" s="334" t="n"/>
      <c r="T199" s="334" t="n"/>
      <c r="U199" s="334" t="n"/>
      <c r="V199" s="334" t="n"/>
      <c r="W199" s="334" t="n"/>
      <c r="X199" s="334" t="n"/>
      <c r="Y199" s="334" t="n"/>
    </row>
    <row r="200" ht="15" customHeight="1" s="195">
      <c r="A200" s="280" t="n"/>
      <c r="B200" s="280" t="n"/>
      <c r="C200" s="280" t="n"/>
      <c r="D200" s="280" t="n"/>
      <c r="E200" s="280" t="n"/>
      <c r="F200" s="280" t="n"/>
      <c r="G200" s="280" t="n"/>
      <c r="H200" s="280" t="n"/>
      <c r="I200" s="332">
        <f>IFERROR(VLOOKUP(TEXT(H200,"0"),IPRESS!$A$3:$B$212,2,0),"")</f>
        <v/>
      </c>
      <c r="J200" s="280" t="n"/>
      <c r="K200" s="332">
        <f>IFERROR(VLOOKUP(TEXT(O200,"0"),CONDUCTORES!$A$3:$G$54,7,0),"")</f>
        <v/>
      </c>
      <c r="L200" s="280" t="n"/>
      <c r="M200" s="280" t="n"/>
      <c r="N200" s="333">
        <f>IFERROR(IF(L200*M200=0,"",L200*M200),"")</f>
        <v/>
      </c>
      <c r="O200" s="280" t="n"/>
      <c r="P200" s="332">
        <f>IFERROR(VLOOKUP(TEXT(O200,"0"),CONDUCTORES!$A$3:$G$54,2,0),"")</f>
        <v/>
      </c>
      <c r="Q200" s="332">
        <f>IFERROR(VLOOKUP(TEXT(O200,"0"),CONDUCTORES!$A$3:$H$54,6,0),"")</f>
        <v/>
      </c>
      <c r="R200" s="280" t="n"/>
      <c r="S200" s="280" t="n"/>
      <c r="T200" s="280" t="n"/>
      <c r="U200" s="280" t="n"/>
      <c r="V200" s="280" t="n"/>
      <c r="W200" s="280" t="n"/>
      <c r="X200" s="280" t="n"/>
      <c r="Y200" s="280" t="n"/>
    </row>
    <row r="201" ht="15" customHeight="1" s="195">
      <c r="A201" s="334" t="n"/>
      <c r="B201" s="334" t="n"/>
      <c r="C201" s="334" t="n"/>
      <c r="D201" s="334" t="n"/>
      <c r="E201" s="334" t="n"/>
      <c r="F201" s="334" t="n"/>
      <c r="G201" s="334" t="n"/>
      <c r="H201" s="334" t="n"/>
      <c r="I201" s="332">
        <f>IFERROR(VLOOKUP(TEXT(H201,"0"),IPRESS!$A$3:$B$212,2,0),"")</f>
        <v/>
      </c>
      <c r="J201" s="334" t="n"/>
      <c r="K201" s="332">
        <f>IFERROR(VLOOKUP(TEXT(O201,"0"),CONDUCTORES!$A$3:$G$54,7,0),"")</f>
        <v/>
      </c>
      <c r="L201" s="334" t="n"/>
      <c r="M201" s="334" t="n"/>
      <c r="N201" s="333">
        <f>IFERROR(IF(L201*M201=0,"",L201*M201),"")</f>
        <v/>
      </c>
      <c r="O201" s="334" t="n"/>
      <c r="P201" s="332">
        <f>IFERROR(VLOOKUP(TEXT(O201,"0"),CONDUCTORES!$A$3:$G$54,2,0),"")</f>
        <v/>
      </c>
      <c r="Q201" s="332">
        <f>IFERROR(VLOOKUP(TEXT(O201,"0"),CONDUCTORES!$A$3:$H$54,6,0),"")</f>
        <v/>
      </c>
      <c r="R201" s="334" t="n"/>
      <c r="S201" s="334" t="n"/>
      <c r="T201" s="334" t="n"/>
      <c r="U201" s="334" t="n"/>
      <c r="V201" s="334" t="n"/>
      <c r="W201" s="334" t="n"/>
      <c r="X201" s="334" t="n"/>
      <c r="Y201" s="334" t="n"/>
    </row>
    <row r="202" ht="15" customHeight="1" s="195">
      <c r="A202" s="280" t="n"/>
      <c r="B202" s="280" t="n"/>
      <c r="C202" s="280" t="n"/>
      <c r="D202" s="280" t="n"/>
      <c r="E202" s="280" t="n"/>
      <c r="F202" s="280" t="n"/>
      <c r="G202" s="280" t="n"/>
      <c r="H202" s="280" t="n"/>
      <c r="I202" s="332">
        <f>IFERROR(VLOOKUP(TEXT(H202,"0"),IPRESS!$A$3:$B$212,2,0),"")</f>
        <v/>
      </c>
      <c r="J202" s="280" t="n"/>
      <c r="K202" s="332">
        <f>IFERROR(VLOOKUP(TEXT(O202,"0"),CONDUCTORES!$A$3:$G$54,7,0),"")</f>
        <v/>
      </c>
      <c r="L202" s="280" t="n"/>
      <c r="M202" s="280" t="n"/>
      <c r="N202" s="333">
        <f>IFERROR(IF(L202*M202=0,"",L202*M202),"")</f>
        <v/>
      </c>
      <c r="O202" s="280" t="n"/>
      <c r="P202" s="332">
        <f>IFERROR(VLOOKUP(TEXT(O202,"0"),CONDUCTORES!$A$3:$G$54,2,0),"")</f>
        <v/>
      </c>
      <c r="Q202" s="332">
        <f>IFERROR(VLOOKUP(TEXT(O202,"0"),CONDUCTORES!$A$3:$H$54,6,0),"")</f>
        <v/>
      </c>
      <c r="R202" s="280" t="n"/>
      <c r="S202" s="280" t="n"/>
      <c r="T202" s="280" t="n"/>
      <c r="U202" s="280" t="n"/>
      <c r="V202" s="280" t="n"/>
      <c r="W202" s="280" t="n"/>
      <c r="X202" s="280" t="n"/>
      <c r="Y202" s="280" t="n"/>
    </row>
    <row r="203" ht="15" customHeight="1" s="195">
      <c r="A203" s="334" t="n"/>
      <c r="B203" s="334" t="n"/>
      <c r="C203" s="334" t="n"/>
      <c r="D203" s="334" t="n"/>
      <c r="E203" s="334" t="n"/>
      <c r="F203" s="334" t="n"/>
      <c r="G203" s="334" t="n"/>
      <c r="H203" s="334" t="n"/>
      <c r="I203" s="332">
        <f>IFERROR(VLOOKUP(TEXT(H203,"0"),IPRESS!$A$3:$B$212,2,0),"")</f>
        <v/>
      </c>
      <c r="J203" s="334" t="n"/>
      <c r="K203" s="332">
        <f>IFERROR(VLOOKUP(TEXT(O203,"0"),CONDUCTORES!$A$3:$G$54,7,0),"")</f>
        <v/>
      </c>
      <c r="L203" s="334" t="n"/>
      <c r="M203" s="334" t="n"/>
      <c r="N203" s="333">
        <f>IFERROR(IF(L203*M203=0,"",L203*M203),"")</f>
        <v/>
      </c>
      <c r="O203" s="334" t="n"/>
      <c r="P203" s="332">
        <f>IFERROR(VLOOKUP(TEXT(O203,"0"),CONDUCTORES!$A$3:$G$54,2,0),"")</f>
        <v/>
      </c>
      <c r="Q203" s="332">
        <f>IFERROR(VLOOKUP(TEXT(O203,"0"),CONDUCTORES!$A$3:$H$54,6,0),"")</f>
        <v/>
      </c>
      <c r="R203" s="334" t="n"/>
      <c r="S203" s="334" t="n"/>
      <c r="T203" s="334" t="n"/>
      <c r="U203" s="334" t="n"/>
      <c r="V203" s="334" t="n"/>
      <c r="W203" s="334" t="n"/>
      <c r="X203" s="334" t="n"/>
      <c r="Y203" s="334" t="n"/>
    </row>
    <row r="204" ht="15" customHeight="1" s="195">
      <c r="A204" s="280" t="n"/>
      <c r="B204" s="280" t="n"/>
      <c r="C204" s="280" t="n"/>
      <c r="D204" s="280" t="n"/>
      <c r="E204" s="280" t="n"/>
      <c r="F204" s="280" t="n"/>
      <c r="G204" s="280" t="n"/>
      <c r="H204" s="280" t="n"/>
      <c r="I204" s="332">
        <f>IFERROR(VLOOKUP(TEXT(H204,"0"),IPRESS!$A$3:$B$212,2,0),"")</f>
        <v/>
      </c>
      <c r="J204" s="280" t="n"/>
      <c r="K204" s="332">
        <f>IFERROR(VLOOKUP(TEXT(O204,"0"),CONDUCTORES!$A$3:$G$54,7,0),"")</f>
        <v/>
      </c>
      <c r="L204" s="280" t="n"/>
      <c r="M204" s="280" t="n"/>
      <c r="N204" s="333">
        <f>IFERROR(IF(L204*M204=0,"",L204*M204),"")</f>
        <v/>
      </c>
      <c r="O204" s="280" t="n"/>
      <c r="P204" s="332">
        <f>IFERROR(VLOOKUP(TEXT(O204,"0"),CONDUCTORES!$A$3:$G$54,2,0),"")</f>
        <v/>
      </c>
      <c r="Q204" s="332">
        <f>IFERROR(VLOOKUP(TEXT(O204,"0"),CONDUCTORES!$A$3:$H$54,6,0),"")</f>
        <v/>
      </c>
      <c r="R204" s="280" t="n"/>
      <c r="S204" s="280" t="n"/>
      <c r="T204" s="280" t="n"/>
      <c r="U204" s="280" t="n"/>
      <c r="V204" s="280" t="n"/>
      <c r="W204" s="280" t="n"/>
      <c r="X204" s="280" t="n"/>
      <c r="Y204" s="280" t="n"/>
    </row>
    <row r="205" ht="15" customHeight="1" s="195">
      <c r="A205" s="334" t="n"/>
      <c r="B205" s="334" t="n"/>
      <c r="C205" s="334" t="n"/>
      <c r="D205" s="334" t="n"/>
      <c r="E205" s="334" t="n"/>
      <c r="F205" s="334" t="n"/>
      <c r="G205" s="334" t="n"/>
      <c r="H205" s="334" t="n"/>
      <c r="I205" s="332">
        <f>IFERROR(VLOOKUP(TEXT(H205,"0"),IPRESS!$A$3:$B$212,2,0),"")</f>
        <v/>
      </c>
      <c r="J205" s="334" t="n"/>
      <c r="K205" s="332">
        <f>IFERROR(VLOOKUP(TEXT(O205,"0"),CONDUCTORES!$A$3:$G$54,7,0),"")</f>
        <v/>
      </c>
      <c r="L205" s="334" t="n"/>
      <c r="M205" s="334" t="n"/>
      <c r="N205" s="333">
        <f>IFERROR(IF(L205*M205=0,"",L205*M205),"")</f>
        <v/>
      </c>
      <c r="O205" s="334" t="n"/>
      <c r="P205" s="332">
        <f>IFERROR(VLOOKUP(TEXT(O205,"0"),CONDUCTORES!$A$3:$G$54,2,0),"")</f>
        <v/>
      </c>
      <c r="Q205" s="332">
        <f>IFERROR(VLOOKUP(TEXT(O205,"0"),CONDUCTORES!$A$3:$H$54,6,0),"")</f>
        <v/>
      </c>
      <c r="R205" s="334" t="n"/>
      <c r="S205" s="334" t="n"/>
      <c r="T205" s="334" t="n"/>
      <c r="U205" s="334" t="n"/>
      <c r="V205" s="334" t="n"/>
      <c r="W205" s="334" t="n"/>
      <c r="X205" s="334" t="n"/>
      <c r="Y205" s="334" t="n"/>
    </row>
    <row r="206" ht="15" customHeight="1" s="195">
      <c r="A206" s="280" t="n"/>
      <c r="B206" s="280" t="n"/>
      <c r="C206" s="280" t="n"/>
      <c r="D206" s="280" t="n"/>
      <c r="E206" s="280" t="n"/>
      <c r="F206" s="280" t="n"/>
      <c r="G206" s="280" t="n"/>
      <c r="H206" s="280" t="n"/>
      <c r="I206" s="332">
        <f>IFERROR(VLOOKUP(TEXT(H206,"0"),IPRESS!$A$3:$B$212,2,0),"")</f>
        <v/>
      </c>
      <c r="J206" s="280" t="n"/>
      <c r="K206" s="332">
        <f>IFERROR(VLOOKUP(TEXT(O206,"0"),CONDUCTORES!$A$3:$G$54,7,0),"")</f>
        <v/>
      </c>
      <c r="L206" s="280" t="n"/>
      <c r="M206" s="280" t="n"/>
      <c r="N206" s="333">
        <f>IFERROR(IF(L206*M206=0,"",L206*M206),"")</f>
        <v/>
      </c>
      <c r="O206" s="280" t="n"/>
      <c r="P206" s="332">
        <f>IFERROR(VLOOKUP(TEXT(O206,"0"),CONDUCTORES!$A$3:$G$54,2,0),"")</f>
        <v/>
      </c>
      <c r="Q206" s="332">
        <f>IFERROR(VLOOKUP(TEXT(O206,"0"),CONDUCTORES!$A$3:$H$54,6,0),"")</f>
        <v/>
      </c>
      <c r="R206" s="280" t="n"/>
      <c r="S206" s="280" t="n"/>
      <c r="T206" s="280" t="n"/>
      <c r="U206" s="280" t="n"/>
      <c r="V206" s="280" t="n"/>
      <c r="W206" s="280" t="n"/>
      <c r="X206" s="280" t="n"/>
      <c r="Y206" s="280" t="n"/>
    </row>
    <row r="207" ht="15" customHeight="1" s="195">
      <c r="A207" s="334" t="n"/>
      <c r="B207" s="334" t="n"/>
      <c r="C207" s="334" t="n"/>
      <c r="D207" s="334" t="n"/>
      <c r="E207" s="334" t="n"/>
      <c r="F207" s="334" t="n"/>
      <c r="G207" s="334" t="n"/>
      <c r="H207" s="334" t="n"/>
      <c r="I207" s="332">
        <f>IFERROR(VLOOKUP(TEXT(H207,"0"),IPRESS!$A$3:$B$212,2,0),"")</f>
        <v/>
      </c>
      <c r="J207" s="334" t="n"/>
      <c r="K207" s="332">
        <f>IFERROR(VLOOKUP(TEXT(O207,"0"),CONDUCTORES!$A$3:$G$54,7,0),"")</f>
        <v/>
      </c>
      <c r="L207" s="334" t="n"/>
      <c r="M207" s="334" t="n"/>
      <c r="N207" s="333">
        <f>IFERROR(IF(L207*M207=0,"",L207*M207),"")</f>
        <v/>
      </c>
      <c r="O207" s="334" t="n"/>
      <c r="P207" s="332">
        <f>IFERROR(VLOOKUP(TEXT(O207,"0"),CONDUCTORES!$A$3:$G$54,2,0),"")</f>
        <v/>
      </c>
      <c r="Q207" s="332">
        <f>IFERROR(VLOOKUP(TEXT(O207,"0"),CONDUCTORES!$A$3:$H$54,6,0),"")</f>
        <v/>
      </c>
      <c r="R207" s="334" t="n"/>
      <c r="S207" s="334" t="n"/>
      <c r="T207" s="334" t="n"/>
      <c r="U207" s="334" t="n"/>
      <c r="V207" s="334" t="n"/>
      <c r="W207" s="334" t="n"/>
      <c r="X207" s="334" t="n"/>
      <c r="Y207" s="334" t="n"/>
    </row>
    <row r="208" ht="15" customHeight="1" s="195">
      <c r="A208" s="280" t="n"/>
      <c r="B208" s="280" t="n"/>
      <c r="C208" s="280" t="n"/>
      <c r="D208" s="280" t="n"/>
      <c r="E208" s="280" t="n"/>
      <c r="F208" s="280" t="n"/>
      <c r="G208" s="280" t="n"/>
      <c r="H208" s="280" t="n"/>
      <c r="I208" s="332">
        <f>IFERROR(VLOOKUP(TEXT(H208,"0"),IPRESS!$A$3:$B$212,2,0),"")</f>
        <v/>
      </c>
      <c r="J208" s="280" t="n"/>
      <c r="K208" s="332">
        <f>IFERROR(VLOOKUP(TEXT(O208,"0"),CONDUCTORES!$A$3:$G$54,7,0),"")</f>
        <v/>
      </c>
      <c r="L208" s="280" t="n"/>
      <c r="M208" s="280" t="n"/>
      <c r="N208" s="333">
        <f>IFERROR(IF(L208*M208=0,"",L208*M208),"")</f>
        <v/>
      </c>
      <c r="O208" s="280" t="n"/>
      <c r="P208" s="332">
        <f>IFERROR(VLOOKUP(TEXT(O208,"0"),CONDUCTORES!$A$3:$G$54,2,0),"")</f>
        <v/>
      </c>
      <c r="Q208" s="332">
        <f>IFERROR(VLOOKUP(TEXT(O208,"0"),CONDUCTORES!$A$3:$H$54,6,0),"")</f>
        <v/>
      </c>
      <c r="R208" s="280" t="n"/>
      <c r="S208" s="280" t="n"/>
      <c r="T208" s="280" t="n"/>
      <c r="U208" s="280" t="n"/>
      <c r="V208" s="280" t="n"/>
      <c r="W208" s="280" t="n"/>
      <c r="X208" s="280" t="n"/>
      <c r="Y208" s="280" t="n"/>
    </row>
    <row r="209" ht="15" customHeight="1" s="195">
      <c r="A209" s="334" t="n"/>
      <c r="B209" s="334" t="n"/>
      <c r="C209" s="334" t="n"/>
      <c r="D209" s="334" t="n"/>
      <c r="E209" s="334" t="n"/>
      <c r="F209" s="334" t="n"/>
      <c r="G209" s="334" t="n"/>
      <c r="H209" s="334" t="n"/>
      <c r="I209" s="332">
        <f>IFERROR(VLOOKUP(TEXT(H209,"0"),IPRESS!$A$3:$B$212,2,0),"")</f>
        <v/>
      </c>
      <c r="J209" s="334" t="n"/>
      <c r="K209" s="332">
        <f>IFERROR(VLOOKUP(TEXT(O209,"0"),CONDUCTORES!$A$3:$G$54,7,0),"")</f>
        <v/>
      </c>
      <c r="L209" s="334" t="n"/>
      <c r="M209" s="334" t="n"/>
      <c r="N209" s="333">
        <f>IFERROR(IF(L209*M209=0,"",L209*M209),"")</f>
        <v/>
      </c>
      <c r="O209" s="334" t="n"/>
      <c r="P209" s="332">
        <f>IFERROR(VLOOKUP(TEXT(O209,"0"),CONDUCTORES!$A$3:$G$54,2,0),"")</f>
        <v/>
      </c>
      <c r="Q209" s="332">
        <f>IFERROR(VLOOKUP(TEXT(O209,"0"),CONDUCTORES!$A$3:$H$54,6,0),"")</f>
        <v/>
      </c>
      <c r="R209" s="334" t="n"/>
      <c r="S209" s="334" t="n"/>
      <c r="T209" s="334" t="n"/>
      <c r="U209" s="334" t="n"/>
      <c r="V209" s="334" t="n"/>
      <c r="W209" s="334" t="n"/>
      <c r="X209" s="334" t="n"/>
      <c r="Y209" s="334" t="n"/>
    </row>
    <row r="210" ht="15" customHeight="1" s="195">
      <c r="A210" s="280" t="n"/>
      <c r="B210" s="280" t="n"/>
      <c r="C210" s="280" t="n"/>
      <c r="D210" s="280" t="n"/>
      <c r="E210" s="280" t="n"/>
      <c r="F210" s="280" t="n"/>
      <c r="G210" s="280" t="n"/>
      <c r="H210" s="280" t="n"/>
      <c r="I210" s="332">
        <f>IFERROR(VLOOKUP(TEXT(H210,"0"),IPRESS!$A$3:$B$212,2,0),"")</f>
        <v/>
      </c>
      <c r="J210" s="280" t="n"/>
      <c r="K210" s="332">
        <f>IFERROR(VLOOKUP(TEXT(O210,"0"),CONDUCTORES!$A$3:$G$54,7,0),"")</f>
        <v/>
      </c>
      <c r="L210" s="280" t="n"/>
      <c r="M210" s="280" t="n"/>
      <c r="N210" s="333">
        <f>IFERROR(IF(L210*M210=0,"",L210*M210),"")</f>
        <v/>
      </c>
      <c r="O210" s="280" t="n"/>
      <c r="P210" s="332">
        <f>IFERROR(VLOOKUP(TEXT(O210,"0"),CONDUCTORES!$A$3:$G$54,2,0),"")</f>
        <v/>
      </c>
      <c r="Q210" s="332">
        <f>IFERROR(VLOOKUP(TEXT(O210,"0"),CONDUCTORES!$A$3:$H$54,6,0),"")</f>
        <v/>
      </c>
      <c r="R210" s="280" t="n"/>
      <c r="S210" s="280" t="n"/>
      <c r="T210" s="280" t="n"/>
      <c r="U210" s="280" t="n"/>
      <c r="V210" s="280" t="n"/>
      <c r="W210" s="280" t="n"/>
      <c r="X210" s="280" t="n"/>
      <c r="Y210" s="280" t="n"/>
    </row>
    <row r="211" ht="15" customHeight="1" s="195">
      <c r="A211" s="334" t="n"/>
      <c r="B211" s="334" t="n"/>
      <c r="C211" s="334" t="n"/>
      <c r="D211" s="334" t="n"/>
      <c r="E211" s="334" t="n"/>
      <c r="F211" s="334" t="n"/>
      <c r="G211" s="334" t="n"/>
      <c r="H211" s="334" t="n"/>
      <c r="I211" s="332">
        <f>IFERROR(VLOOKUP(TEXT(H211,"0"),IPRESS!$A$3:$B$212,2,0),"")</f>
        <v/>
      </c>
      <c r="J211" s="334" t="n"/>
      <c r="K211" s="332">
        <f>IFERROR(VLOOKUP(TEXT(O211,"0"),CONDUCTORES!$A$3:$G$54,7,0),"")</f>
        <v/>
      </c>
      <c r="L211" s="334" t="n"/>
      <c r="M211" s="334" t="n"/>
      <c r="N211" s="333">
        <f>IFERROR(IF(L211*M211=0,"",L211*M211),"")</f>
        <v/>
      </c>
      <c r="O211" s="334" t="n"/>
      <c r="P211" s="332">
        <f>IFERROR(VLOOKUP(TEXT(O211,"0"),CONDUCTORES!$A$3:$G$54,2,0),"")</f>
        <v/>
      </c>
      <c r="Q211" s="332">
        <f>IFERROR(VLOOKUP(TEXT(O211,"0"),CONDUCTORES!$A$3:$H$54,6,0),"")</f>
        <v/>
      </c>
      <c r="R211" s="334" t="n"/>
      <c r="S211" s="334" t="n"/>
      <c r="T211" s="334" t="n"/>
      <c r="U211" s="334" t="n"/>
      <c r="V211" s="334" t="n"/>
      <c r="W211" s="334" t="n"/>
      <c r="X211" s="334" t="n"/>
      <c r="Y211" s="334" t="n"/>
    </row>
    <row r="212" ht="15" customHeight="1" s="195">
      <c r="A212" s="280" t="n"/>
      <c r="B212" s="280" t="n"/>
      <c r="C212" s="280" t="n"/>
      <c r="D212" s="280" t="n"/>
      <c r="E212" s="280" t="n"/>
      <c r="F212" s="280" t="n"/>
      <c r="G212" s="280" t="n"/>
      <c r="H212" s="280" t="n"/>
      <c r="I212" s="332">
        <f>IFERROR(VLOOKUP(TEXT(H212,"0"),IPRESS!$A$3:$B$212,2,0),"")</f>
        <v/>
      </c>
      <c r="J212" s="280" t="n"/>
      <c r="K212" s="332">
        <f>IFERROR(VLOOKUP(TEXT(O212,"0"),CONDUCTORES!$A$3:$G$54,7,0),"")</f>
        <v/>
      </c>
      <c r="L212" s="280" t="n"/>
      <c r="M212" s="280" t="n"/>
      <c r="N212" s="333">
        <f>IFERROR(IF(L212*M212=0,"",L212*M212),"")</f>
        <v/>
      </c>
      <c r="O212" s="280" t="n"/>
      <c r="P212" s="332">
        <f>IFERROR(VLOOKUP(TEXT(O212,"0"),CONDUCTORES!$A$3:$G$54,2,0),"")</f>
        <v/>
      </c>
      <c r="Q212" s="332">
        <f>IFERROR(VLOOKUP(TEXT(O212,"0"),CONDUCTORES!$A$3:$H$54,6,0),"")</f>
        <v/>
      </c>
      <c r="R212" s="280" t="n"/>
      <c r="S212" s="280" t="n"/>
      <c r="T212" s="280" t="n"/>
      <c r="U212" s="280" t="n"/>
      <c r="V212" s="280" t="n"/>
      <c r="W212" s="280" t="n"/>
      <c r="X212" s="280" t="n"/>
      <c r="Y212" s="280" t="n"/>
    </row>
    <row r="213" ht="15" customHeight="1" s="195">
      <c r="A213" s="334" t="n"/>
      <c r="B213" s="334" t="n"/>
      <c r="C213" s="334" t="n"/>
      <c r="D213" s="334" t="n"/>
      <c r="E213" s="334" t="n"/>
      <c r="F213" s="334" t="n"/>
      <c r="G213" s="334" t="n"/>
      <c r="H213" s="334" t="n"/>
      <c r="I213" s="332">
        <f>IFERROR(VLOOKUP(TEXT(H213,"0"),IPRESS!$A$3:$B$212,2,0),"")</f>
        <v/>
      </c>
      <c r="J213" s="334" t="n"/>
      <c r="K213" s="332">
        <f>IFERROR(VLOOKUP(TEXT(O213,"0"),CONDUCTORES!$A$3:$G$54,7,0),"")</f>
        <v/>
      </c>
      <c r="L213" s="334" t="n"/>
      <c r="M213" s="334" t="n"/>
      <c r="N213" s="333">
        <f>IFERROR(IF(L213*M213=0,"",L213*M213),"")</f>
        <v/>
      </c>
      <c r="O213" s="334" t="n"/>
      <c r="P213" s="332">
        <f>IFERROR(VLOOKUP(TEXT(O213,"0"),CONDUCTORES!$A$3:$G$54,2,0),"")</f>
        <v/>
      </c>
      <c r="Q213" s="332">
        <f>IFERROR(VLOOKUP(TEXT(O213,"0"),CONDUCTORES!$A$3:$H$54,6,0),"")</f>
        <v/>
      </c>
      <c r="R213" s="334" t="n"/>
      <c r="S213" s="334" t="n"/>
      <c r="T213" s="334" t="n"/>
      <c r="U213" s="334" t="n"/>
      <c r="V213" s="334" t="n"/>
      <c r="W213" s="334" t="n"/>
      <c r="X213" s="334" t="n"/>
      <c r="Y213" s="334" t="n"/>
    </row>
    <row r="214" ht="15" customHeight="1" s="195">
      <c r="A214" s="280" t="n"/>
      <c r="B214" s="280" t="n"/>
      <c r="C214" s="280" t="n"/>
      <c r="D214" s="280" t="n"/>
      <c r="E214" s="280" t="n"/>
      <c r="F214" s="280" t="n"/>
      <c r="G214" s="280" t="n"/>
      <c r="H214" s="280" t="n"/>
      <c r="I214" s="332">
        <f>IFERROR(VLOOKUP(TEXT(H214,"0"),IPRESS!$A$3:$B$212,2,0),"")</f>
        <v/>
      </c>
      <c r="J214" s="280" t="n"/>
      <c r="K214" s="332">
        <f>IFERROR(VLOOKUP(TEXT(O214,"0"),CONDUCTORES!$A$3:$G$54,7,0),"")</f>
        <v/>
      </c>
      <c r="L214" s="280" t="n"/>
      <c r="M214" s="280" t="n"/>
      <c r="N214" s="333">
        <f>IFERROR(IF(L214*M214=0,"",L214*M214),"")</f>
        <v/>
      </c>
      <c r="O214" s="280" t="n"/>
      <c r="P214" s="332">
        <f>IFERROR(VLOOKUP(TEXT(O214,"0"),CONDUCTORES!$A$3:$G$54,2,0),"")</f>
        <v/>
      </c>
      <c r="Q214" s="332">
        <f>IFERROR(VLOOKUP(TEXT(O214,"0"),CONDUCTORES!$A$3:$H$54,6,0),"")</f>
        <v/>
      </c>
      <c r="R214" s="280" t="n"/>
      <c r="S214" s="280" t="n"/>
      <c r="T214" s="280" t="n"/>
      <c r="U214" s="280" t="n"/>
      <c r="V214" s="280" t="n"/>
      <c r="W214" s="280" t="n"/>
      <c r="X214" s="280" t="n"/>
      <c r="Y214" s="280" t="n"/>
    </row>
    <row r="215" ht="15" customHeight="1" s="195">
      <c r="A215" s="334" t="n"/>
      <c r="B215" s="334" t="n"/>
      <c r="C215" s="334" t="n"/>
      <c r="D215" s="334" t="n"/>
      <c r="E215" s="334" t="n"/>
      <c r="F215" s="334" t="n"/>
      <c r="G215" s="334" t="n"/>
      <c r="H215" s="334" t="n"/>
      <c r="I215" s="332">
        <f>IFERROR(VLOOKUP(TEXT(H215,"0"),IPRESS!$A$3:$B$212,2,0),"")</f>
        <v/>
      </c>
      <c r="J215" s="334" t="n"/>
      <c r="K215" s="332">
        <f>IFERROR(VLOOKUP(TEXT(O215,"0"),CONDUCTORES!$A$3:$G$54,7,0),"")</f>
        <v/>
      </c>
      <c r="L215" s="334" t="n"/>
      <c r="M215" s="334" t="n"/>
      <c r="N215" s="333">
        <f>IFERROR(IF(L215*M215=0,"",L215*M215),"")</f>
        <v/>
      </c>
      <c r="O215" s="334" t="n"/>
      <c r="P215" s="332">
        <f>IFERROR(VLOOKUP(TEXT(O215,"0"),CONDUCTORES!$A$3:$G$54,2,0),"")</f>
        <v/>
      </c>
      <c r="Q215" s="332">
        <f>IFERROR(VLOOKUP(TEXT(O215,"0"),CONDUCTORES!$A$3:$H$54,6,0),"")</f>
        <v/>
      </c>
      <c r="R215" s="334" t="n"/>
      <c r="S215" s="334" t="n"/>
      <c r="T215" s="334" t="n"/>
      <c r="U215" s="334" t="n"/>
      <c r="V215" s="334" t="n"/>
      <c r="W215" s="334" t="n"/>
      <c r="X215" s="334" t="n"/>
      <c r="Y215" s="334" t="n"/>
    </row>
    <row r="216" ht="15" customHeight="1" s="195">
      <c r="A216" s="280" t="n"/>
      <c r="B216" s="280" t="n"/>
      <c r="C216" s="280" t="n"/>
      <c r="D216" s="280" t="n"/>
      <c r="E216" s="280" t="n"/>
      <c r="F216" s="280" t="n"/>
      <c r="G216" s="280" t="n"/>
      <c r="H216" s="280" t="n"/>
      <c r="I216" s="332">
        <f>IFERROR(VLOOKUP(TEXT(H216,"0"),IPRESS!$A$3:$B$212,2,0),"")</f>
        <v/>
      </c>
      <c r="J216" s="280" t="n"/>
      <c r="K216" s="332">
        <f>IFERROR(VLOOKUP(TEXT(O216,"0"),CONDUCTORES!$A$3:$G$54,7,0),"")</f>
        <v/>
      </c>
      <c r="L216" s="280" t="n"/>
      <c r="M216" s="280" t="n"/>
      <c r="N216" s="333">
        <f>IFERROR(IF(L216*M216=0,"",L216*M216),"")</f>
        <v/>
      </c>
      <c r="O216" s="280" t="n"/>
      <c r="P216" s="332">
        <f>IFERROR(VLOOKUP(TEXT(O216,"0"),CONDUCTORES!$A$3:$G$54,2,0),"")</f>
        <v/>
      </c>
      <c r="Q216" s="332">
        <f>IFERROR(VLOOKUP(TEXT(O216,"0"),CONDUCTORES!$A$3:$H$54,6,0),"")</f>
        <v/>
      </c>
      <c r="R216" s="280" t="n"/>
      <c r="S216" s="280" t="n"/>
      <c r="T216" s="280" t="n"/>
      <c r="U216" s="280" t="n"/>
      <c r="V216" s="280" t="n"/>
      <c r="W216" s="280" t="n"/>
      <c r="X216" s="280" t="n"/>
      <c r="Y216" s="280" t="n"/>
    </row>
    <row r="217" ht="15" customHeight="1" s="195">
      <c r="A217" s="334" t="n"/>
      <c r="B217" s="334" t="n"/>
      <c r="C217" s="334" t="n"/>
      <c r="D217" s="334" t="n"/>
      <c r="E217" s="334" t="n"/>
      <c r="F217" s="334" t="n"/>
      <c r="G217" s="334" t="n"/>
      <c r="H217" s="334" t="n"/>
      <c r="I217" s="332">
        <f>IFERROR(VLOOKUP(TEXT(H217,"0"),IPRESS!$A$3:$B$212,2,0),"")</f>
        <v/>
      </c>
      <c r="J217" s="334" t="n"/>
      <c r="K217" s="332">
        <f>IFERROR(VLOOKUP(TEXT(O217,"0"),CONDUCTORES!$A$3:$G$54,7,0),"")</f>
        <v/>
      </c>
      <c r="L217" s="334" t="n"/>
      <c r="M217" s="334" t="n"/>
      <c r="N217" s="333">
        <f>IFERROR(IF(L217*M217=0,"",L217*M217),"")</f>
        <v/>
      </c>
      <c r="O217" s="334" t="n"/>
      <c r="P217" s="332">
        <f>IFERROR(VLOOKUP(TEXT(O217,"0"),CONDUCTORES!$A$3:$G$54,2,0),"")</f>
        <v/>
      </c>
      <c r="Q217" s="332">
        <f>IFERROR(VLOOKUP(TEXT(O217,"0"),CONDUCTORES!$A$3:$H$54,6,0),"")</f>
        <v/>
      </c>
      <c r="R217" s="334" t="n"/>
      <c r="S217" s="334" t="n"/>
      <c r="T217" s="334" t="n"/>
      <c r="U217" s="334" t="n"/>
      <c r="V217" s="334" t="n"/>
      <c r="W217" s="334" t="n"/>
      <c r="X217" s="334" t="n"/>
      <c r="Y217" s="334" t="n"/>
    </row>
    <row r="218" ht="15" customHeight="1" s="195">
      <c r="A218" s="280" t="n"/>
      <c r="B218" s="280" t="n"/>
      <c r="C218" s="280" t="n"/>
      <c r="D218" s="280" t="n"/>
      <c r="E218" s="280" t="n"/>
      <c r="F218" s="280" t="n"/>
      <c r="G218" s="280" t="n"/>
      <c r="H218" s="280" t="n"/>
      <c r="I218" s="332">
        <f>IFERROR(VLOOKUP(TEXT(H218,"0"),IPRESS!$A$3:$B$212,2,0),"")</f>
        <v/>
      </c>
      <c r="J218" s="280" t="n"/>
      <c r="K218" s="332">
        <f>IFERROR(VLOOKUP(TEXT(O218,"0"),CONDUCTORES!$A$3:$G$54,7,0),"")</f>
        <v/>
      </c>
      <c r="L218" s="280" t="n"/>
      <c r="M218" s="280" t="n"/>
      <c r="N218" s="333">
        <f>IFERROR(IF(L218*M218=0,"",L218*M218),"")</f>
        <v/>
      </c>
      <c r="O218" s="280" t="n"/>
      <c r="P218" s="332">
        <f>IFERROR(VLOOKUP(TEXT(O218,"0"),CONDUCTORES!$A$3:$G$54,2,0),"")</f>
        <v/>
      </c>
      <c r="Q218" s="332">
        <f>IFERROR(VLOOKUP(TEXT(O218,"0"),CONDUCTORES!$A$3:$H$54,6,0),"")</f>
        <v/>
      </c>
      <c r="R218" s="280" t="n"/>
      <c r="S218" s="280" t="n"/>
      <c r="T218" s="280" t="n"/>
      <c r="U218" s="280" t="n"/>
      <c r="V218" s="280" t="n"/>
      <c r="W218" s="280" t="n"/>
      <c r="X218" s="280" t="n"/>
      <c r="Y218" s="280" t="n"/>
    </row>
    <row r="219" ht="15" customHeight="1" s="195">
      <c r="A219" s="334" t="n"/>
      <c r="B219" s="334" t="n"/>
      <c r="C219" s="334" t="n"/>
      <c r="D219" s="334" t="n"/>
      <c r="E219" s="334" t="n"/>
      <c r="F219" s="334" t="n"/>
      <c r="G219" s="334" t="n"/>
      <c r="H219" s="334" t="n"/>
      <c r="I219" s="332">
        <f>IFERROR(VLOOKUP(TEXT(H219,"0"),IPRESS!$A$3:$B$212,2,0),"")</f>
        <v/>
      </c>
      <c r="J219" s="334" t="n"/>
      <c r="K219" s="332">
        <f>IFERROR(VLOOKUP(TEXT(O219,"0"),CONDUCTORES!$A$3:$G$54,7,0),"")</f>
        <v/>
      </c>
      <c r="L219" s="334" t="n"/>
      <c r="M219" s="334" t="n"/>
      <c r="N219" s="333">
        <f>IFERROR(IF(L219*M219=0,"",L219*M219),"")</f>
        <v/>
      </c>
      <c r="O219" s="334" t="n"/>
      <c r="P219" s="332">
        <f>IFERROR(VLOOKUP(TEXT(O219,"0"),CONDUCTORES!$A$3:$G$54,2,0),"")</f>
        <v/>
      </c>
      <c r="Q219" s="332">
        <f>IFERROR(VLOOKUP(TEXT(O219,"0"),CONDUCTORES!$A$3:$H$54,6,0),"")</f>
        <v/>
      </c>
      <c r="R219" s="334" t="n"/>
      <c r="S219" s="334" t="n"/>
      <c r="T219" s="334" t="n"/>
      <c r="U219" s="334" t="n"/>
      <c r="V219" s="334" t="n"/>
      <c r="W219" s="334" t="n"/>
      <c r="X219" s="334" t="n"/>
      <c r="Y219" s="334" t="n"/>
    </row>
    <row r="220" ht="15" customHeight="1" s="195">
      <c r="A220" s="280" t="n"/>
      <c r="B220" s="280" t="n"/>
      <c r="C220" s="280" t="n"/>
      <c r="D220" s="280" t="n"/>
      <c r="E220" s="280" t="n"/>
      <c r="F220" s="280" t="n"/>
      <c r="G220" s="280" t="n"/>
      <c r="H220" s="280" t="n"/>
      <c r="I220" s="332">
        <f>IFERROR(VLOOKUP(TEXT(H220,"0"),IPRESS!$A$3:$B$212,2,0),"")</f>
        <v/>
      </c>
      <c r="J220" s="280" t="n"/>
      <c r="K220" s="332">
        <f>IFERROR(VLOOKUP(TEXT(O220,"0"),CONDUCTORES!$A$3:$G$54,7,0),"")</f>
        <v/>
      </c>
      <c r="L220" s="280" t="n"/>
      <c r="M220" s="280" t="n"/>
      <c r="N220" s="333">
        <f>IFERROR(IF(L220*M220=0,"",L220*M220),"")</f>
        <v/>
      </c>
      <c r="O220" s="280" t="n"/>
      <c r="P220" s="332">
        <f>IFERROR(VLOOKUP(TEXT(O220,"0"),CONDUCTORES!$A$3:$G$54,2,0),"")</f>
        <v/>
      </c>
      <c r="Q220" s="332">
        <f>IFERROR(VLOOKUP(TEXT(O220,"0"),CONDUCTORES!$A$3:$H$54,6,0),"")</f>
        <v/>
      </c>
      <c r="R220" s="280" t="n"/>
      <c r="S220" s="280" t="n"/>
      <c r="T220" s="280" t="n"/>
      <c r="U220" s="280" t="n"/>
      <c r="V220" s="280" t="n"/>
      <c r="W220" s="280" t="n"/>
      <c r="X220" s="280" t="n"/>
      <c r="Y220" s="280" t="n"/>
    </row>
    <row r="221" ht="15" customHeight="1" s="195">
      <c r="A221" s="334" t="n"/>
      <c r="B221" s="334" t="n"/>
      <c r="C221" s="334" t="n"/>
      <c r="D221" s="334" t="n"/>
      <c r="E221" s="334" t="n"/>
      <c r="F221" s="334" t="n"/>
      <c r="G221" s="334" t="n"/>
      <c r="H221" s="334" t="n"/>
      <c r="I221" s="332">
        <f>IFERROR(VLOOKUP(TEXT(H221,"0"),IPRESS!$A$3:$B$212,2,0),"")</f>
        <v/>
      </c>
      <c r="J221" s="334" t="n"/>
      <c r="K221" s="332">
        <f>IFERROR(VLOOKUP(TEXT(O221,"0"),CONDUCTORES!$A$3:$G$54,7,0),"")</f>
        <v/>
      </c>
      <c r="L221" s="334" t="n"/>
      <c r="M221" s="334" t="n"/>
      <c r="N221" s="333">
        <f>IFERROR(IF(L221*M221=0,"",L221*M221),"")</f>
        <v/>
      </c>
      <c r="O221" s="334" t="n"/>
      <c r="P221" s="332">
        <f>IFERROR(VLOOKUP(TEXT(O221,"0"),CONDUCTORES!$A$3:$G$54,2,0),"")</f>
        <v/>
      </c>
      <c r="Q221" s="332">
        <f>IFERROR(VLOOKUP(TEXT(O221,"0"),CONDUCTORES!$A$3:$H$54,6,0),"")</f>
        <v/>
      </c>
      <c r="R221" s="334" t="n"/>
      <c r="S221" s="334" t="n"/>
      <c r="T221" s="334" t="n"/>
      <c r="U221" s="334" t="n"/>
      <c r="V221" s="334" t="n"/>
      <c r="W221" s="334" t="n"/>
      <c r="X221" s="334" t="n"/>
      <c r="Y221" s="334" t="n"/>
    </row>
    <row r="222" ht="15" customHeight="1" s="195">
      <c r="A222" s="280" t="n"/>
      <c r="B222" s="280" t="n"/>
      <c r="C222" s="280" t="n"/>
      <c r="D222" s="280" t="n"/>
      <c r="E222" s="280" t="n"/>
      <c r="F222" s="280" t="n"/>
      <c r="G222" s="280" t="n"/>
      <c r="H222" s="280" t="n"/>
      <c r="I222" s="332">
        <f>IFERROR(VLOOKUP(TEXT(H222,"0"),IPRESS!$A$3:$B$212,2,0),"")</f>
        <v/>
      </c>
      <c r="J222" s="280" t="n"/>
      <c r="K222" s="332">
        <f>IFERROR(VLOOKUP(TEXT(O222,"0"),CONDUCTORES!$A$3:$G$54,7,0),"")</f>
        <v/>
      </c>
      <c r="L222" s="280" t="n"/>
      <c r="M222" s="280" t="n"/>
      <c r="N222" s="333">
        <f>IFERROR(IF(L222*M222=0,"",L222*M222),"")</f>
        <v/>
      </c>
      <c r="O222" s="280" t="n"/>
      <c r="P222" s="332">
        <f>IFERROR(VLOOKUP(TEXT(O222,"0"),CONDUCTORES!$A$3:$G$54,2,0),"")</f>
        <v/>
      </c>
      <c r="Q222" s="332">
        <f>IFERROR(VLOOKUP(TEXT(O222,"0"),CONDUCTORES!$A$3:$H$54,6,0),"")</f>
        <v/>
      </c>
      <c r="R222" s="280" t="n"/>
      <c r="S222" s="280" t="n"/>
      <c r="T222" s="280" t="n"/>
      <c r="U222" s="280" t="n"/>
      <c r="V222" s="280" t="n"/>
      <c r="W222" s="280" t="n"/>
      <c r="X222" s="280" t="n"/>
      <c r="Y222" s="280" t="n"/>
    </row>
    <row r="223" ht="15" customHeight="1" s="195">
      <c r="A223" s="334" t="n"/>
      <c r="B223" s="334" t="n"/>
      <c r="C223" s="334" t="n"/>
      <c r="D223" s="334" t="n"/>
      <c r="E223" s="334" t="n"/>
      <c r="F223" s="334" t="n"/>
      <c r="G223" s="334" t="n"/>
      <c r="H223" s="334" t="n"/>
      <c r="I223" s="332">
        <f>IFERROR(VLOOKUP(TEXT(H223,"0"),IPRESS!$A$3:$B$212,2,0),"")</f>
        <v/>
      </c>
      <c r="J223" s="334" t="n"/>
      <c r="K223" s="332">
        <f>IFERROR(VLOOKUP(TEXT(O223,"0"),CONDUCTORES!$A$3:$G$54,7,0),"")</f>
        <v/>
      </c>
      <c r="L223" s="334" t="n"/>
      <c r="M223" s="334" t="n"/>
      <c r="N223" s="333">
        <f>IFERROR(IF(L223*M223=0,"",L223*M223),"")</f>
        <v/>
      </c>
      <c r="O223" s="334" t="n"/>
      <c r="P223" s="332">
        <f>IFERROR(VLOOKUP(TEXT(O223,"0"),CONDUCTORES!$A$3:$G$54,2,0),"")</f>
        <v/>
      </c>
      <c r="Q223" s="332">
        <f>IFERROR(VLOOKUP(TEXT(O223,"0"),CONDUCTORES!$A$3:$H$54,6,0),"")</f>
        <v/>
      </c>
      <c r="R223" s="334" t="n"/>
      <c r="S223" s="334" t="n"/>
      <c r="T223" s="334" t="n"/>
      <c r="U223" s="334" t="n"/>
      <c r="V223" s="334" t="n"/>
      <c r="W223" s="334" t="n"/>
      <c r="X223" s="334" t="n"/>
      <c r="Y223" s="334" t="n"/>
    </row>
    <row r="224" ht="15" customHeight="1" s="195">
      <c r="A224" s="280" t="n"/>
      <c r="B224" s="280" t="n"/>
      <c r="C224" s="280" t="n"/>
      <c r="D224" s="280" t="n"/>
      <c r="E224" s="280" t="n"/>
      <c r="F224" s="280" t="n"/>
      <c r="G224" s="280" t="n"/>
      <c r="H224" s="280" t="n"/>
      <c r="I224" s="332">
        <f>IFERROR(VLOOKUP(TEXT(H224,"0"),IPRESS!$A$3:$B$212,2,0),"")</f>
        <v/>
      </c>
      <c r="J224" s="280" t="n"/>
      <c r="K224" s="332">
        <f>IFERROR(VLOOKUP(TEXT(O224,"0"),CONDUCTORES!$A$3:$G$54,7,0),"")</f>
        <v/>
      </c>
      <c r="L224" s="280" t="n"/>
      <c r="M224" s="280" t="n"/>
      <c r="N224" s="333">
        <f>IFERROR(IF(L224*M224=0,"",L224*M224),"")</f>
        <v/>
      </c>
      <c r="O224" s="280" t="n"/>
      <c r="P224" s="332">
        <f>IFERROR(VLOOKUP(TEXT(O224,"0"),CONDUCTORES!$A$3:$G$54,2,0),"")</f>
        <v/>
      </c>
      <c r="Q224" s="332">
        <f>IFERROR(VLOOKUP(TEXT(O224,"0"),CONDUCTORES!$A$3:$H$54,6,0),"")</f>
        <v/>
      </c>
      <c r="R224" s="280" t="n"/>
      <c r="S224" s="280" t="n"/>
      <c r="T224" s="280" t="n"/>
      <c r="U224" s="280" t="n"/>
      <c r="V224" s="280" t="n"/>
      <c r="W224" s="280" t="n"/>
      <c r="X224" s="280" t="n"/>
      <c r="Y224" s="280" t="n"/>
    </row>
    <row r="225" ht="15" customHeight="1" s="195">
      <c r="A225" s="334" t="n"/>
      <c r="B225" s="334" t="n"/>
      <c r="C225" s="334" t="n"/>
      <c r="D225" s="334" t="n"/>
      <c r="E225" s="334" t="n"/>
      <c r="F225" s="334" t="n"/>
      <c r="G225" s="334" t="n"/>
      <c r="H225" s="334" t="n"/>
      <c r="I225" s="332">
        <f>IFERROR(VLOOKUP(TEXT(H225,"0"),IPRESS!$A$3:$B$212,2,0),"")</f>
        <v/>
      </c>
      <c r="J225" s="334" t="n"/>
      <c r="K225" s="332">
        <f>IFERROR(VLOOKUP(TEXT(O225,"0"),CONDUCTORES!$A$3:$G$54,7,0),"")</f>
        <v/>
      </c>
      <c r="L225" s="334" t="n"/>
      <c r="M225" s="334" t="n"/>
      <c r="N225" s="333">
        <f>IFERROR(IF(L225*M225=0,"",L225*M225),"")</f>
        <v/>
      </c>
      <c r="O225" s="334" t="n"/>
      <c r="P225" s="332">
        <f>IFERROR(VLOOKUP(TEXT(O225,"0"),CONDUCTORES!$A$3:$G$54,2,0),"")</f>
        <v/>
      </c>
      <c r="Q225" s="332">
        <f>IFERROR(VLOOKUP(TEXT(O225,"0"),CONDUCTORES!$A$3:$H$54,6,0),"")</f>
        <v/>
      </c>
      <c r="R225" s="334" t="n"/>
      <c r="S225" s="334" t="n"/>
      <c r="T225" s="334" t="n"/>
      <c r="U225" s="334" t="n"/>
      <c r="V225" s="334" t="n"/>
      <c r="W225" s="334" t="n"/>
      <c r="X225" s="334" t="n"/>
      <c r="Y225" s="334" t="n"/>
    </row>
    <row r="226" ht="15" customHeight="1" s="195">
      <c r="A226" s="280" t="n"/>
      <c r="B226" s="280" t="n"/>
      <c r="C226" s="280" t="n"/>
      <c r="D226" s="280" t="n"/>
      <c r="E226" s="280" t="n"/>
      <c r="F226" s="280" t="n"/>
      <c r="G226" s="280" t="n"/>
      <c r="H226" s="280" t="n"/>
      <c r="I226" s="332">
        <f>IFERROR(VLOOKUP(TEXT(H226,"0"),IPRESS!$A$3:$B$212,2,0),"")</f>
        <v/>
      </c>
      <c r="J226" s="280" t="n"/>
      <c r="K226" s="332">
        <f>IFERROR(VLOOKUP(TEXT(O226,"0"),CONDUCTORES!$A$3:$G$54,7,0),"")</f>
        <v/>
      </c>
      <c r="L226" s="280" t="n"/>
      <c r="M226" s="280" t="n"/>
      <c r="N226" s="333">
        <f>IFERROR(IF(L226*M226=0,"",L226*M226),"")</f>
        <v/>
      </c>
      <c r="O226" s="280" t="n"/>
      <c r="P226" s="332">
        <f>IFERROR(VLOOKUP(TEXT(O226,"0"),CONDUCTORES!$A$3:$G$54,2,0),"")</f>
        <v/>
      </c>
      <c r="Q226" s="332">
        <f>IFERROR(VLOOKUP(TEXT(O226,"0"),CONDUCTORES!$A$3:$H$54,6,0),"")</f>
        <v/>
      </c>
      <c r="R226" s="280" t="n"/>
      <c r="S226" s="280" t="n"/>
      <c r="T226" s="280" t="n"/>
      <c r="U226" s="280" t="n"/>
      <c r="V226" s="280" t="n"/>
      <c r="W226" s="280" t="n"/>
      <c r="X226" s="280" t="n"/>
      <c r="Y226" s="280" t="n"/>
    </row>
    <row r="227" ht="15" customHeight="1" s="195">
      <c r="A227" s="334" t="n"/>
      <c r="B227" s="334" t="n"/>
      <c r="C227" s="334" t="n"/>
      <c r="D227" s="334" t="n"/>
      <c r="E227" s="334" t="n"/>
      <c r="F227" s="334" t="n"/>
      <c r="G227" s="334" t="n"/>
      <c r="H227" s="334" t="n"/>
      <c r="I227" s="332">
        <f>IFERROR(VLOOKUP(TEXT(H227,"0"),IPRESS!$A$3:$B$212,2,0),"")</f>
        <v/>
      </c>
      <c r="J227" s="334" t="n"/>
      <c r="K227" s="332">
        <f>IFERROR(VLOOKUP(TEXT(O227,"0"),CONDUCTORES!$A$3:$G$54,7,0),"")</f>
        <v/>
      </c>
      <c r="L227" s="334" t="n"/>
      <c r="M227" s="334" t="n"/>
      <c r="N227" s="333">
        <f>IFERROR(IF(L227*M227=0,"",L227*M227),"")</f>
        <v/>
      </c>
      <c r="O227" s="334" t="n"/>
      <c r="P227" s="332">
        <f>IFERROR(VLOOKUP(TEXT(O227,"0"),CONDUCTORES!$A$3:$G$54,2,0),"")</f>
        <v/>
      </c>
      <c r="Q227" s="332">
        <f>IFERROR(VLOOKUP(TEXT(O227,"0"),CONDUCTORES!$A$3:$H$54,6,0),"")</f>
        <v/>
      </c>
      <c r="R227" s="334" t="n"/>
      <c r="S227" s="334" t="n"/>
      <c r="T227" s="334" t="n"/>
      <c r="U227" s="334" t="n"/>
      <c r="V227" s="334" t="n"/>
      <c r="W227" s="334" t="n"/>
      <c r="X227" s="334" t="n"/>
      <c r="Y227" s="334" t="n"/>
    </row>
    <row r="228" ht="15" customHeight="1" s="195">
      <c r="A228" s="280" t="n"/>
      <c r="B228" s="280" t="n"/>
      <c r="C228" s="280" t="n"/>
      <c r="D228" s="280" t="n"/>
      <c r="E228" s="280" t="n"/>
      <c r="F228" s="280" t="n"/>
      <c r="G228" s="280" t="n"/>
      <c r="H228" s="280" t="n"/>
      <c r="I228" s="332">
        <f>IFERROR(VLOOKUP(TEXT(H228,"0"),IPRESS!$A$3:$B$212,2,0),"")</f>
        <v/>
      </c>
      <c r="J228" s="280" t="n"/>
      <c r="K228" s="332">
        <f>IFERROR(VLOOKUP(TEXT(O228,"0"),CONDUCTORES!$A$3:$G$54,7,0),"")</f>
        <v/>
      </c>
      <c r="L228" s="280" t="n"/>
      <c r="M228" s="280" t="n"/>
      <c r="N228" s="333">
        <f>IFERROR(IF(L228*M228=0,"",L228*M228),"")</f>
        <v/>
      </c>
      <c r="O228" s="280" t="n"/>
      <c r="P228" s="332">
        <f>IFERROR(VLOOKUP(TEXT(O228,"0"),CONDUCTORES!$A$3:$G$54,2,0),"")</f>
        <v/>
      </c>
      <c r="Q228" s="332">
        <f>IFERROR(VLOOKUP(TEXT(O228,"0"),CONDUCTORES!$A$3:$H$54,6,0),"")</f>
        <v/>
      </c>
      <c r="R228" s="280" t="n"/>
      <c r="S228" s="280" t="n"/>
      <c r="T228" s="280" t="n"/>
      <c r="U228" s="280" t="n"/>
      <c r="V228" s="280" t="n"/>
      <c r="W228" s="280" t="n"/>
      <c r="X228" s="280" t="n"/>
      <c r="Y228" s="280" t="n"/>
    </row>
    <row r="229" ht="15" customHeight="1" s="195">
      <c r="A229" s="334" t="n"/>
      <c r="B229" s="334" t="n"/>
      <c r="C229" s="334" t="n"/>
      <c r="D229" s="334" t="n"/>
      <c r="E229" s="334" t="n"/>
      <c r="F229" s="334" t="n"/>
      <c r="G229" s="334" t="n"/>
      <c r="H229" s="334" t="n"/>
      <c r="I229" s="332">
        <f>IFERROR(VLOOKUP(TEXT(H229,"0"),IPRESS!$A$3:$B$212,2,0),"")</f>
        <v/>
      </c>
      <c r="J229" s="334" t="n"/>
      <c r="K229" s="332">
        <f>IFERROR(VLOOKUP(TEXT(O229,"0"),CONDUCTORES!$A$3:$G$54,7,0),"")</f>
        <v/>
      </c>
      <c r="L229" s="334" t="n"/>
      <c r="M229" s="334" t="n"/>
      <c r="N229" s="333">
        <f>IFERROR(IF(L229*M229=0,"",L229*M229),"")</f>
        <v/>
      </c>
      <c r="O229" s="334" t="n"/>
      <c r="P229" s="332">
        <f>IFERROR(VLOOKUP(TEXT(O229,"0"),CONDUCTORES!$A$3:$G$54,2,0),"")</f>
        <v/>
      </c>
      <c r="Q229" s="332">
        <f>IFERROR(VLOOKUP(TEXT(O229,"0"),CONDUCTORES!$A$3:$H$54,6,0),"")</f>
        <v/>
      </c>
      <c r="R229" s="334" t="n"/>
      <c r="S229" s="334" t="n"/>
      <c r="T229" s="334" t="n"/>
      <c r="U229" s="334" t="n"/>
      <c r="V229" s="334" t="n"/>
      <c r="W229" s="334" t="n"/>
      <c r="X229" s="334" t="n"/>
      <c r="Y229" s="334" t="n"/>
    </row>
    <row r="230" ht="15" customHeight="1" s="195">
      <c r="A230" s="280" t="n"/>
      <c r="B230" s="280" t="n"/>
      <c r="C230" s="280" t="n"/>
      <c r="D230" s="280" t="n"/>
      <c r="E230" s="280" t="n"/>
      <c r="F230" s="280" t="n"/>
      <c r="G230" s="280" t="n"/>
      <c r="H230" s="280" t="n"/>
      <c r="I230" s="332">
        <f>IFERROR(VLOOKUP(TEXT(H230,"0"),IPRESS!$A$3:$B$212,2,0),"")</f>
        <v/>
      </c>
      <c r="J230" s="280" t="n"/>
      <c r="K230" s="332">
        <f>IFERROR(VLOOKUP(TEXT(O230,"0"),CONDUCTORES!$A$3:$G$54,7,0),"")</f>
        <v/>
      </c>
      <c r="L230" s="280" t="n"/>
      <c r="M230" s="280" t="n"/>
      <c r="N230" s="333">
        <f>IFERROR(IF(L230*M230=0,"",L230*M230),"")</f>
        <v/>
      </c>
      <c r="O230" s="280" t="n"/>
      <c r="P230" s="332">
        <f>IFERROR(VLOOKUP(TEXT(O230,"0"),CONDUCTORES!$A$3:$G$54,2,0),"")</f>
        <v/>
      </c>
      <c r="Q230" s="332">
        <f>IFERROR(VLOOKUP(TEXT(O230,"0"),CONDUCTORES!$A$3:$H$54,6,0),"")</f>
        <v/>
      </c>
      <c r="R230" s="280" t="n"/>
      <c r="S230" s="280" t="n"/>
      <c r="T230" s="280" t="n"/>
      <c r="U230" s="280" t="n"/>
      <c r="V230" s="280" t="n"/>
      <c r="W230" s="280" t="n"/>
      <c r="X230" s="280" t="n"/>
      <c r="Y230" s="280" t="n"/>
    </row>
    <row r="231" ht="15" customHeight="1" s="195">
      <c r="A231" s="334" t="n"/>
      <c r="B231" s="334" t="n"/>
      <c r="C231" s="334" t="n"/>
      <c r="D231" s="334" t="n"/>
      <c r="E231" s="334" t="n"/>
      <c r="F231" s="334" t="n"/>
      <c r="G231" s="334" t="n"/>
      <c r="H231" s="334" t="n"/>
      <c r="I231" s="332">
        <f>IFERROR(VLOOKUP(TEXT(H231,"0"),IPRESS!$A$3:$B$212,2,0),"")</f>
        <v/>
      </c>
      <c r="J231" s="334" t="n"/>
      <c r="K231" s="332">
        <f>IFERROR(VLOOKUP(TEXT(O231,"0"),CONDUCTORES!$A$3:$G$54,7,0),"")</f>
        <v/>
      </c>
      <c r="L231" s="334" t="n"/>
      <c r="M231" s="334" t="n"/>
      <c r="N231" s="333">
        <f>IFERROR(IF(L231*M231=0,"",L231*M231),"")</f>
        <v/>
      </c>
      <c r="O231" s="334" t="n"/>
      <c r="P231" s="332">
        <f>IFERROR(VLOOKUP(TEXT(O231,"0"),CONDUCTORES!$A$3:$G$54,2,0),"")</f>
        <v/>
      </c>
      <c r="Q231" s="332">
        <f>IFERROR(VLOOKUP(TEXT(O231,"0"),CONDUCTORES!$A$3:$H$54,6,0),"")</f>
        <v/>
      </c>
      <c r="R231" s="334" t="n"/>
      <c r="S231" s="334" t="n"/>
      <c r="T231" s="334" t="n"/>
      <c r="U231" s="334" t="n"/>
      <c r="V231" s="334" t="n"/>
      <c r="W231" s="334" t="n"/>
      <c r="X231" s="334" t="n"/>
      <c r="Y231" s="334" t="n"/>
    </row>
    <row r="232" ht="15" customHeight="1" s="195">
      <c r="A232" s="280" t="n"/>
      <c r="B232" s="280" t="n"/>
      <c r="C232" s="280" t="n"/>
      <c r="D232" s="280" t="n"/>
      <c r="E232" s="280" t="n"/>
      <c r="F232" s="280" t="n"/>
      <c r="G232" s="280" t="n"/>
      <c r="H232" s="280" t="n"/>
      <c r="I232" s="332">
        <f>IFERROR(VLOOKUP(TEXT(H232,"0"),IPRESS!$A$3:$B$212,2,0),"")</f>
        <v/>
      </c>
      <c r="J232" s="280" t="n"/>
      <c r="K232" s="332">
        <f>IFERROR(VLOOKUP(TEXT(O232,"0"),CONDUCTORES!$A$3:$G$54,7,0),"")</f>
        <v/>
      </c>
      <c r="L232" s="280" t="n"/>
      <c r="M232" s="280" t="n"/>
      <c r="N232" s="333">
        <f>IFERROR(IF(L232*M232=0,"",L232*M232),"")</f>
        <v/>
      </c>
      <c r="O232" s="280" t="n"/>
      <c r="P232" s="332">
        <f>IFERROR(VLOOKUP(TEXT(O232,"0"),CONDUCTORES!$A$3:$G$54,2,0),"")</f>
        <v/>
      </c>
      <c r="Q232" s="332">
        <f>IFERROR(VLOOKUP(TEXT(O232,"0"),CONDUCTORES!$A$3:$H$54,6,0),"")</f>
        <v/>
      </c>
      <c r="R232" s="280" t="n"/>
      <c r="S232" s="280" t="n"/>
      <c r="T232" s="280" t="n"/>
      <c r="U232" s="280" t="n"/>
      <c r="V232" s="280" t="n"/>
      <c r="W232" s="280" t="n"/>
      <c r="X232" s="280" t="n"/>
      <c r="Y232" s="280" t="n"/>
    </row>
    <row r="233" ht="15" customHeight="1" s="195">
      <c r="A233" s="334" t="n"/>
      <c r="B233" s="334" t="n"/>
      <c r="C233" s="334" t="n"/>
      <c r="D233" s="334" t="n"/>
      <c r="E233" s="334" t="n"/>
      <c r="F233" s="334" t="n"/>
      <c r="G233" s="334" t="n"/>
      <c r="H233" s="334" t="n"/>
      <c r="I233" s="332">
        <f>IFERROR(VLOOKUP(TEXT(H233,"0"),IPRESS!$A$3:$B$212,2,0),"")</f>
        <v/>
      </c>
      <c r="J233" s="334" t="n"/>
      <c r="K233" s="332">
        <f>IFERROR(VLOOKUP(TEXT(O233,"0"),CONDUCTORES!$A$3:$G$54,7,0),"")</f>
        <v/>
      </c>
      <c r="L233" s="334" t="n"/>
      <c r="M233" s="334" t="n"/>
      <c r="N233" s="333">
        <f>IFERROR(IF(L233*M233=0,"",L233*M233),"")</f>
        <v/>
      </c>
      <c r="O233" s="334" t="n"/>
      <c r="P233" s="332">
        <f>IFERROR(VLOOKUP(TEXT(O233,"0"),CONDUCTORES!$A$3:$G$54,2,0),"")</f>
        <v/>
      </c>
      <c r="Q233" s="332">
        <f>IFERROR(VLOOKUP(TEXT(O233,"0"),CONDUCTORES!$A$3:$H$54,6,0),"")</f>
        <v/>
      </c>
      <c r="R233" s="334" t="n"/>
      <c r="S233" s="334" t="n"/>
      <c r="T233" s="334" t="n"/>
      <c r="U233" s="334" t="n"/>
      <c r="V233" s="334" t="n"/>
      <c r="W233" s="334" t="n"/>
      <c r="X233" s="334" t="n"/>
      <c r="Y233" s="334" t="n"/>
    </row>
    <row r="234" ht="15" customHeight="1" s="195">
      <c r="A234" s="280" t="n"/>
      <c r="B234" s="280" t="n"/>
      <c r="C234" s="280" t="n"/>
      <c r="D234" s="280" t="n"/>
      <c r="E234" s="280" t="n"/>
      <c r="F234" s="280" t="n"/>
      <c r="G234" s="280" t="n"/>
      <c r="H234" s="280" t="n"/>
      <c r="I234" s="332">
        <f>IFERROR(VLOOKUP(TEXT(H234,"0"),IPRESS!$A$3:$B$212,2,0),"")</f>
        <v/>
      </c>
      <c r="J234" s="280" t="n"/>
      <c r="K234" s="332">
        <f>IFERROR(VLOOKUP(TEXT(O234,"0"),CONDUCTORES!$A$3:$G$54,7,0),"")</f>
        <v/>
      </c>
      <c r="L234" s="280" t="n"/>
      <c r="M234" s="280" t="n"/>
      <c r="N234" s="333">
        <f>IFERROR(IF(L234*M234=0,"",L234*M234),"")</f>
        <v/>
      </c>
      <c r="O234" s="280" t="n"/>
      <c r="P234" s="332">
        <f>IFERROR(VLOOKUP(TEXT(O234,"0"),CONDUCTORES!$A$3:$G$54,2,0),"")</f>
        <v/>
      </c>
      <c r="Q234" s="332">
        <f>IFERROR(VLOOKUP(TEXT(O234,"0"),CONDUCTORES!$A$3:$H$54,6,0),"")</f>
        <v/>
      </c>
      <c r="R234" s="280" t="n"/>
      <c r="S234" s="280" t="n"/>
      <c r="T234" s="280" t="n"/>
      <c r="U234" s="280" t="n"/>
      <c r="V234" s="280" t="n"/>
      <c r="W234" s="280" t="n"/>
      <c r="X234" s="280" t="n"/>
      <c r="Y234" s="280" t="n"/>
    </row>
    <row r="235" ht="15" customHeight="1" s="195">
      <c r="A235" s="334" t="n"/>
      <c r="B235" s="334" t="n"/>
      <c r="C235" s="334" t="n"/>
      <c r="D235" s="334" t="n"/>
      <c r="E235" s="334" t="n"/>
      <c r="F235" s="334" t="n"/>
      <c r="G235" s="334" t="n"/>
      <c r="H235" s="334" t="n"/>
      <c r="I235" s="332">
        <f>IFERROR(VLOOKUP(TEXT(H235,"0"),IPRESS!$A$3:$B$212,2,0),"")</f>
        <v/>
      </c>
      <c r="J235" s="334" t="n"/>
      <c r="K235" s="332">
        <f>IFERROR(VLOOKUP(TEXT(O235,"0"),CONDUCTORES!$A$3:$G$54,7,0),"")</f>
        <v/>
      </c>
      <c r="L235" s="334" t="n"/>
      <c r="M235" s="334" t="n"/>
      <c r="N235" s="333">
        <f>IFERROR(IF(L235*M235=0,"",L235*M235),"")</f>
        <v/>
      </c>
      <c r="O235" s="334" t="n"/>
      <c r="P235" s="332">
        <f>IFERROR(VLOOKUP(TEXT(O235,"0"),CONDUCTORES!$A$3:$G$54,2,0),"")</f>
        <v/>
      </c>
      <c r="Q235" s="332">
        <f>IFERROR(VLOOKUP(TEXT(O235,"0"),CONDUCTORES!$A$3:$H$54,6,0),"")</f>
        <v/>
      </c>
      <c r="R235" s="334" t="n"/>
      <c r="S235" s="334" t="n"/>
      <c r="T235" s="334" t="n"/>
      <c r="U235" s="334" t="n"/>
      <c r="V235" s="334" t="n"/>
      <c r="W235" s="334" t="n"/>
      <c r="X235" s="334" t="n"/>
      <c r="Y235" s="334" t="n"/>
    </row>
    <row r="236" ht="15" customHeight="1" s="195">
      <c r="A236" s="280" t="n"/>
      <c r="B236" s="280" t="n"/>
      <c r="C236" s="280" t="n"/>
      <c r="D236" s="280" t="n"/>
      <c r="E236" s="280" t="n"/>
      <c r="F236" s="280" t="n"/>
      <c r="G236" s="280" t="n"/>
      <c r="H236" s="280" t="n"/>
      <c r="I236" s="332">
        <f>IFERROR(VLOOKUP(TEXT(H236,"0"),IPRESS!$A$3:$B$212,2,0),"")</f>
        <v/>
      </c>
      <c r="J236" s="280" t="n"/>
      <c r="K236" s="332">
        <f>IFERROR(VLOOKUP(TEXT(O236,"0"),CONDUCTORES!$A$3:$G$54,7,0),"")</f>
        <v/>
      </c>
      <c r="L236" s="280" t="n"/>
      <c r="M236" s="280" t="n"/>
      <c r="N236" s="333">
        <f>IFERROR(IF(L236*M236=0,"",L236*M236),"")</f>
        <v/>
      </c>
      <c r="O236" s="280" t="n"/>
      <c r="P236" s="332">
        <f>IFERROR(VLOOKUP(TEXT(O236,"0"),CONDUCTORES!$A$3:$G$54,2,0),"")</f>
        <v/>
      </c>
      <c r="Q236" s="332">
        <f>IFERROR(VLOOKUP(TEXT(O236,"0"),CONDUCTORES!$A$3:$H$54,6,0),"")</f>
        <v/>
      </c>
      <c r="R236" s="280" t="n"/>
      <c r="S236" s="280" t="n"/>
      <c r="T236" s="280" t="n"/>
      <c r="U236" s="280" t="n"/>
      <c r="V236" s="280" t="n"/>
      <c r="W236" s="280" t="n"/>
      <c r="X236" s="280" t="n"/>
      <c r="Y236" s="280" t="n"/>
    </row>
    <row r="237" ht="15" customHeight="1" s="195">
      <c r="A237" s="334" t="n"/>
      <c r="B237" s="334" t="n"/>
      <c r="C237" s="334" t="n"/>
      <c r="D237" s="334" t="n"/>
      <c r="E237" s="334" t="n"/>
      <c r="F237" s="334" t="n"/>
      <c r="G237" s="334" t="n"/>
      <c r="H237" s="334" t="n"/>
      <c r="I237" s="332">
        <f>IFERROR(VLOOKUP(TEXT(H237,"0"),IPRESS!$A$3:$B$212,2,0),"")</f>
        <v/>
      </c>
      <c r="J237" s="334" t="n"/>
      <c r="K237" s="332">
        <f>IFERROR(VLOOKUP(TEXT(O237,"0"),CONDUCTORES!$A$3:$G$54,7,0),"")</f>
        <v/>
      </c>
      <c r="L237" s="334" t="n"/>
      <c r="M237" s="334" t="n"/>
      <c r="N237" s="333">
        <f>IFERROR(IF(L237*M237=0,"",L237*M237),"")</f>
        <v/>
      </c>
      <c r="O237" s="334" t="n"/>
      <c r="P237" s="332">
        <f>IFERROR(VLOOKUP(TEXT(O237,"0"),CONDUCTORES!$A$3:$G$54,2,0),"")</f>
        <v/>
      </c>
      <c r="Q237" s="332">
        <f>IFERROR(VLOOKUP(TEXT(O237,"0"),CONDUCTORES!$A$3:$H$54,6,0),"")</f>
        <v/>
      </c>
      <c r="R237" s="334" t="n"/>
      <c r="S237" s="334" t="n"/>
      <c r="T237" s="334" t="n"/>
      <c r="U237" s="334" t="n"/>
      <c r="V237" s="334" t="n"/>
      <c r="W237" s="334" t="n"/>
      <c r="X237" s="334" t="n"/>
      <c r="Y237" s="334" t="n"/>
    </row>
    <row r="238" ht="15" customHeight="1" s="195">
      <c r="A238" s="280" t="n"/>
      <c r="B238" s="280" t="n"/>
      <c r="C238" s="280" t="n"/>
      <c r="D238" s="280" t="n"/>
      <c r="E238" s="280" t="n"/>
      <c r="F238" s="280" t="n"/>
      <c r="G238" s="280" t="n"/>
      <c r="H238" s="280" t="n"/>
      <c r="I238" s="332">
        <f>IFERROR(VLOOKUP(TEXT(H238,"0"),IPRESS!$A$3:$B$212,2,0),"")</f>
        <v/>
      </c>
      <c r="J238" s="280" t="n"/>
      <c r="K238" s="332">
        <f>IFERROR(VLOOKUP(TEXT(O238,"0"),CONDUCTORES!$A$3:$G$54,7,0),"")</f>
        <v/>
      </c>
      <c r="L238" s="280" t="n"/>
      <c r="M238" s="280" t="n"/>
      <c r="N238" s="333">
        <f>IFERROR(IF(L238*M238=0,"",L238*M238),"")</f>
        <v/>
      </c>
      <c r="O238" s="280" t="n"/>
      <c r="P238" s="332">
        <f>IFERROR(VLOOKUP(TEXT(O238,"0"),CONDUCTORES!$A$3:$G$54,2,0),"")</f>
        <v/>
      </c>
      <c r="Q238" s="332">
        <f>IFERROR(VLOOKUP(TEXT(O238,"0"),CONDUCTORES!$A$3:$H$54,6,0),"")</f>
        <v/>
      </c>
      <c r="R238" s="280" t="n"/>
      <c r="S238" s="280" t="n"/>
      <c r="T238" s="280" t="n"/>
      <c r="U238" s="280" t="n"/>
      <c r="V238" s="280" t="n"/>
      <c r="W238" s="280" t="n"/>
      <c r="X238" s="280" t="n"/>
      <c r="Y238" s="280" t="n"/>
    </row>
    <row r="239" ht="15" customHeight="1" s="195">
      <c r="A239" s="334" t="n"/>
      <c r="B239" s="334" t="n"/>
      <c r="C239" s="334" t="n"/>
      <c r="D239" s="334" t="n"/>
      <c r="E239" s="334" t="n"/>
      <c r="F239" s="334" t="n"/>
      <c r="G239" s="334" t="n"/>
      <c r="H239" s="334" t="n"/>
      <c r="I239" s="332">
        <f>IFERROR(VLOOKUP(TEXT(H239,"0"),IPRESS!$A$3:$B$212,2,0),"")</f>
        <v/>
      </c>
      <c r="J239" s="334" t="n"/>
      <c r="K239" s="332">
        <f>IFERROR(VLOOKUP(TEXT(O239,"0"),CONDUCTORES!$A$3:$G$54,7,0),"")</f>
        <v/>
      </c>
      <c r="L239" s="334" t="n"/>
      <c r="M239" s="334" t="n"/>
      <c r="N239" s="333">
        <f>IFERROR(IF(L239*M239=0,"",L239*M239),"")</f>
        <v/>
      </c>
      <c r="O239" s="334" t="n"/>
      <c r="P239" s="332">
        <f>IFERROR(VLOOKUP(TEXT(O239,"0"),CONDUCTORES!$A$3:$G$54,2,0),"")</f>
        <v/>
      </c>
      <c r="Q239" s="332">
        <f>IFERROR(VLOOKUP(TEXT(O239,"0"),CONDUCTORES!$A$3:$H$54,6,0),"")</f>
        <v/>
      </c>
      <c r="R239" s="334" t="n"/>
      <c r="S239" s="334" t="n"/>
      <c r="T239" s="334" t="n"/>
      <c r="U239" s="334" t="n"/>
      <c r="V239" s="334" t="n"/>
      <c r="W239" s="334" t="n"/>
      <c r="X239" s="334" t="n"/>
      <c r="Y239" s="334" t="n"/>
    </row>
    <row r="240" ht="15" customHeight="1" s="195">
      <c r="A240" s="280" t="n"/>
      <c r="B240" s="280" t="n"/>
      <c r="C240" s="280" t="n"/>
      <c r="D240" s="280" t="n"/>
      <c r="E240" s="280" t="n"/>
      <c r="F240" s="280" t="n"/>
      <c r="G240" s="280" t="n"/>
      <c r="H240" s="280" t="n"/>
      <c r="I240" s="332">
        <f>IFERROR(VLOOKUP(TEXT(H240,"0"),IPRESS!$A$3:$B$212,2,0),"")</f>
        <v/>
      </c>
      <c r="J240" s="280" t="n"/>
      <c r="K240" s="332">
        <f>IFERROR(VLOOKUP(TEXT(O240,"0"),CONDUCTORES!$A$3:$G$54,7,0),"")</f>
        <v/>
      </c>
      <c r="L240" s="280" t="n"/>
      <c r="M240" s="280" t="n"/>
      <c r="N240" s="333">
        <f>IFERROR(IF(L240*M240=0,"",L240*M240),"")</f>
        <v/>
      </c>
      <c r="O240" s="280" t="n"/>
      <c r="P240" s="332">
        <f>IFERROR(VLOOKUP(TEXT(O240,"0"),CONDUCTORES!$A$3:$G$54,2,0),"")</f>
        <v/>
      </c>
      <c r="Q240" s="332">
        <f>IFERROR(VLOOKUP(TEXT(O240,"0"),CONDUCTORES!$A$3:$H$54,6,0),"")</f>
        <v/>
      </c>
      <c r="R240" s="280" t="n"/>
      <c r="S240" s="280" t="n"/>
      <c r="T240" s="280" t="n"/>
      <c r="U240" s="280" t="n"/>
      <c r="V240" s="280" t="n"/>
      <c r="W240" s="280" t="n"/>
      <c r="X240" s="280" t="n"/>
      <c r="Y240" s="280" t="n"/>
    </row>
    <row r="241" ht="15" customHeight="1" s="195">
      <c r="A241" s="334" t="n"/>
      <c r="B241" s="334" t="n"/>
      <c r="C241" s="334" t="n"/>
      <c r="D241" s="334" t="n"/>
      <c r="E241" s="334" t="n"/>
      <c r="F241" s="334" t="n"/>
      <c r="G241" s="334" t="n"/>
      <c r="H241" s="334" t="n"/>
      <c r="I241" s="332">
        <f>IFERROR(VLOOKUP(TEXT(H241,"0"),IPRESS!$A$3:$B$212,2,0),"")</f>
        <v/>
      </c>
      <c r="J241" s="334" t="n"/>
      <c r="K241" s="332">
        <f>IFERROR(VLOOKUP(TEXT(O241,"0"),CONDUCTORES!$A$3:$G$54,7,0),"")</f>
        <v/>
      </c>
      <c r="L241" s="334" t="n"/>
      <c r="M241" s="334" t="n"/>
      <c r="N241" s="333">
        <f>IFERROR(IF(L241*M241=0,"",L241*M241),"")</f>
        <v/>
      </c>
      <c r="O241" s="334" t="n"/>
      <c r="P241" s="332">
        <f>IFERROR(VLOOKUP(TEXT(O241,"0"),CONDUCTORES!$A$3:$G$54,2,0),"")</f>
        <v/>
      </c>
      <c r="Q241" s="332">
        <f>IFERROR(VLOOKUP(TEXT(O241,"0"),CONDUCTORES!$A$3:$H$54,6,0),"")</f>
        <v/>
      </c>
      <c r="R241" s="334" t="n"/>
      <c r="S241" s="334" t="n"/>
      <c r="T241" s="334" t="n"/>
      <c r="U241" s="334" t="n"/>
      <c r="V241" s="334" t="n"/>
      <c r="W241" s="334" t="n"/>
      <c r="X241" s="334" t="n"/>
      <c r="Y241" s="334" t="n"/>
    </row>
    <row r="242" ht="15" customHeight="1" s="195">
      <c r="A242" s="280" t="n"/>
      <c r="B242" s="280" t="n"/>
      <c r="C242" s="280" t="n"/>
      <c r="D242" s="280" t="n"/>
      <c r="E242" s="280" t="n"/>
      <c r="F242" s="280" t="n"/>
      <c r="G242" s="280" t="n"/>
      <c r="H242" s="280" t="n"/>
      <c r="I242" s="332">
        <f>IFERROR(VLOOKUP(TEXT(H242,"0"),IPRESS!$A$3:$B$212,2,0),"")</f>
        <v/>
      </c>
      <c r="J242" s="280" t="n"/>
      <c r="K242" s="332">
        <f>IFERROR(VLOOKUP(TEXT(O242,"0"),CONDUCTORES!$A$3:$G$54,7,0),"")</f>
        <v/>
      </c>
      <c r="L242" s="280" t="n"/>
      <c r="M242" s="280" t="n"/>
      <c r="N242" s="333">
        <f>IFERROR(IF(L242*M242=0,"",L242*M242),"")</f>
        <v/>
      </c>
      <c r="O242" s="280" t="n"/>
      <c r="P242" s="332">
        <f>IFERROR(VLOOKUP(TEXT(O242,"0"),CONDUCTORES!$A$3:$G$54,2,0),"")</f>
        <v/>
      </c>
      <c r="Q242" s="332">
        <f>IFERROR(VLOOKUP(TEXT(O242,"0"),CONDUCTORES!$A$3:$H$54,6,0),"")</f>
        <v/>
      </c>
      <c r="R242" s="280" t="n"/>
      <c r="S242" s="280" t="n"/>
      <c r="T242" s="280" t="n"/>
      <c r="U242" s="280" t="n"/>
      <c r="V242" s="280" t="n"/>
      <c r="W242" s="280" t="n"/>
      <c r="X242" s="280" t="n"/>
      <c r="Y242" s="280" t="n"/>
    </row>
    <row r="243" ht="15" customHeight="1" s="195">
      <c r="A243" s="334" t="n"/>
      <c r="B243" s="334" t="n"/>
      <c r="C243" s="334" t="n"/>
      <c r="D243" s="334" t="n"/>
      <c r="E243" s="334" t="n"/>
      <c r="F243" s="334" t="n"/>
      <c r="G243" s="334" t="n"/>
      <c r="H243" s="334" t="n"/>
      <c r="I243" s="332">
        <f>IFERROR(VLOOKUP(TEXT(H243,"0"),IPRESS!$A$3:$B$212,2,0),"")</f>
        <v/>
      </c>
      <c r="J243" s="334" t="n"/>
      <c r="K243" s="332">
        <f>IFERROR(VLOOKUP(TEXT(O243,"0"),CONDUCTORES!$A$3:$G$54,7,0),"")</f>
        <v/>
      </c>
      <c r="L243" s="334" t="n"/>
      <c r="M243" s="334" t="n"/>
      <c r="N243" s="333">
        <f>IFERROR(IF(L243*M243=0,"",L243*M243),"")</f>
        <v/>
      </c>
      <c r="O243" s="334" t="n"/>
      <c r="P243" s="332">
        <f>IFERROR(VLOOKUP(TEXT(O243,"0"),CONDUCTORES!$A$3:$G$54,2,0),"")</f>
        <v/>
      </c>
      <c r="Q243" s="332">
        <f>IFERROR(VLOOKUP(TEXT(O243,"0"),CONDUCTORES!$A$3:$H$54,6,0),"")</f>
        <v/>
      </c>
      <c r="R243" s="334" t="n"/>
      <c r="S243" s="334" t="n"/>
      <c r="T243" s="334" t="n"/>
      <c r="U243" s="334" t="n"/>
      <c r="V243" s="334" t="n"/>
      <c r="W243" s="334" t="n"/>
      <c r="X243" s="334" t="n"/>
      <c r="Y243" s="334" t="n"/>
    </row>
    <row r="244" ht="15" customHeight="1" s="195">
      <c r="A244" s="280" t="n"/>
      <c r="B244" s="280" t="n"/>
      <c r="C244" s="280" t="n"/>
      <c r="D244" s="280" t="n"/>
      <c r="E244" s="280" t="n"/>
      <c r="F244" s="280" t="n"/>
      <c r="G244" s="280" t="n"/>
      <c r="H244" s="280" t="n"/>
      <c r="I244" s="332">
        <f>IFERROR(VLOOKUP(TEXT(H244,"0"),IPRESS!$A$3:$B$212,2,0),"")</f>
        <v/>
      </c>
      <c r="J244" s="280" t="n"/>
      <c r="K244" s="332">
        <f>IFERROR(VLOOKUP(TEXT(O244,"0"),CONDUCTORES!$A$3:$G$54,7,0),"")</f>
        <v/>
      </c>
      <c r="L244" s="280" t="n"/>
      <c r="M244" s="280" t="n"/>
      <c r="N244" s="333">
        <f>IFERROR(IF(L244*M244=0,"",L244*M244),"")</f>
        <v/>
      </c>
      <c r="O244" s="280" t="n"/>
      <c r="P244" s="332">
        <f>IFERROR(VLOOKUP(TEXT(O244,"0"),CONDUCTORES!$A$3:$G$54,2,0),"")</f>
        <v/>
      </c>
      <c r="Q244" s="332">
        <f>IFERROR(VLOOKUP(TEXT(O244,"0"),CONDUCTORES!$A$3:$H$54,6,0),"")</f>
        <v/>
      </c>
      <c r="R244" s="280" t="n"/>
      <c r="S244" s="280" t="n"/>
      <c r="T244" s="280" t="n"/>
      <c r="U244" s="280" t="n"/>
      <c r="V244" s="280" t="n"/>
      <c r="W244" s="280" t="n"/>
      <c r="X244" s="280" t="n"/>
      <c r="Y244" s="280" t="n"/>
    </row>
    <row r="245" ht="15" customHeight="1" s="195">
      <c r="A245" s="334" t="n"/>
      <c r="B245" s="334" t="n"/>
      <c r="C245" s="334" t="n"/>
      <c r="D245" s="334" t="n"/>
      <c r="E245" s="334" t="n"/>
      <c r="F245" s="334" t="n"/>
      <c r="G245" s="334" t="n"/>
      <c r="H245" s="334" t="n"/>
      <c r="I245" s="332">
        <f>IFERROR(VLOOKUP(TEXT(H245,"0"),IPRESS!$A$3:$B$212,2,0),"")</f>
        <v/>
      </c>
      <c r="J245" s="334" t="n"/>
      <c r="K245" s="332">
        <f>IFERROR(VLOOKUP(TEXT(O245,"0"),CONDUCTORES!$A$3:$G$54,7,0),"")</f>
        <v/>
      </c>
      <c r="L245" s="334" t="n"/>
      <c r="M245" s="334" t="n"/>
      <c r="N245" s="333">
        <f>IFERROR(IF(L245*M245=0,"",L245*M245),"")</f>
        <v/>
      </c>
      <c r="O245" s="334" t="n"/>
      <c r="P245" s="332">
        <f>IFERROR(VLOOKUP(TEXT(O245,"0"),CONDUCTORES!$A$3:$G$54,2,0),"")</f>
        <v/>
      </c>
      <c r="Q245" s="332">
        <f>IFERROR(VLOOKUP(TEXT(O245,"0"),CONDUCTORES!$A$3:$H$54,6,0),"")</f>
        <v/>
      </c>
      <c r="R245" s="334" t="n"/>
      <c r="S245" s="334" t="n"/>
      <c r="T245" s="334" t="n"/>
      <c r="U245" s="334" t="n"/>
      <c r="V245" s="334" t="n"/>
      <c r="W245" s="334" t="n"/>
      <c r="X245" s="334" t="n"/>
      <c r="Y245" s="334" t="n"/>
    </row>
    <row r="246" ht="15" customHeight="1" s="195">
      <c r="A246" s="280" t="n"/>
      <c r="B246" s="280" t="n"/>
      <c r="C246" s="280" t="n"/>
      <c r="D246" s="280" t="n"/>
      <c r="E246" s="280" t="n"/>
      <c r="F246" s="280" t="n"/>
      <c r="G246" s="280" t="n"/>
      <c r="H246" s="280" t="n"/>
      <c r="I246" s="332">
        <f>IFERROR(VLOOKUP(TEXT(H246,"0"),IPRESS!$A$3:$B$212,2,0),"")</f>
        <v/>
      </c>
      <c r="J246" s="280" t="n"/>
      <c r="K246" s="332">
        <f>IFERROR(VLOOKUP(TEXT(O246,"0"),CONDUCTORES!$A$3:$G$54,7,0),"")</f>
        <v/>
      </c>
      <c r="L246" s="280" t="n"/>
      <c r="M246" s="280" t="n"/>
      <c r="N246" s="333">
        <f>IFERROR(IF(L246*M246=0,"",L246*M246),"")</f>
        <v/>
      </c>
      <c r="O246" s="280" t="n"/>
      <c r="P246" s="332">
        <f>IFERROR(VLOOKUP(TEXT(O246,"0"),CONDUCTORES!$A$3:$G$54,2,0),"")</f>
        <v/>
      </c>
      <c r="Q246" s="332">
        <f>IFERROR(VLOOKUP(TEXT(O246,"0"),CONDUCTORES!$A$3:$H$54,6,0),"")</f>
        <v/>
      </c>
      <c r="R246" s="280" t="n"/>
      <c r="S246" s="280" t="n"/>
      <c r="T246" s="280" t="n"/>
      <c r="U246" s="280" t="n"/>
      <c r="V246" s="280" t="n"/>
      <c r="W246" s="280" t="n"/>
      <c r="X246" s="280" t="n"/>
      <c r="Y246" s="280" t="n"/>
    </row>
    <row r="247" ht="15" customHeight="1" s="195">
      <c r="A247" s="334" t="n"/>
      <c r="B247" s="334" t="n"/>
      <c r="C247" s="334" t="n"/>
      <c r="D247" s="334" t="n"/>
      <c r="E247" s="334" t="n"/>
      <c r="F247" s="334" t="n"/>
      <c r="G247" s="334" t="n"/>
      <c r="H247" s="334" t="n"/>
      <c r="I247" s="332">
        <f>IFERROR(VLOOKUP(TEXT(H247,"0"),IPRESS!$A$3:$B$212,2,0),"")</f>
        <v/>
      </c>
      <c r="J247" s="334" t="n"/>
      <c r="K247" s="332">
        <f>IFERROR(VLOOKUP(TEXT(O247,"0"),CONDUCTORES!$A$3:$G$54,7,0),"")</f>
        <v/>
      </c>
      <c r="L247" s="334" t="n"/>
      <c r="M247" s="334" t="n"/>
      <c r="N247" s="333">
        <f>IFERROR(IF(L247*M247=0,"",L247*M247),"")</f>
        <v/>
      </c>
      <c r="O247" s="334" t="n"/>
      <c r="P247" s="332">
        <f>IFERROR(VLOOKUP(TEXT(O247,"0"),CONDUCTORES!$A$3:$G$54,2,0),"")</f>
        <v/>
      </c>
      <c r="Q247" s="332">
        <f>IFERROR(VLOOKUP(TEXT(O247,"0"),CONDUCTORES!$A$3:$H$54,6,0),"")</f>
        <v/>
      </c>
      <c r="R247" s="334" t="n"/>
      <c r="S247" s="334" t="n"/>
      <c r="T247" s="334" t="n"/>
      <c r="U247" s="334" t="n"/>
      <c r="V247" s="334" t="n"/>
      <c r="W247" s="334" t="n"/>
      <c r="X247" s="334" t="n"/>
      <c r="Y247" s="334" t="n"/>
    </row>
    <row r="248" ht="15" customHeight="1" s="195">
      <c r="A248" s="280" t="n"/>
      <c r="B248" s="280" t="n"/>
      <c r="C248" s="280" t="n"/>
      <c r="D248" s="280" t="n"/>
      <c r="E248" s="280" t="n"/>
      <c r="F248" s="280" t="n"/>
      <c r="G248" s="280" t="n"/>
      <c r="H248" s="280" t="n"/>
      <c r="I248" s="332">
        <f>IFERROR(VLOOKUP(TEXT(H248,"0"),IPRESS!$A$3:$B$212,2,0),"")</f>
        <v/>
      </c>
      <c r="J248" s="280" t="n"/>
      <c r="K248" s="332">
        <f>IFERROR(VLOOKUP(TEXT(O248,"0"),CONDUCTORES!$A$3:$G$54,7,0),"")</f>
        <v/>
      </c>
      <c r="L248" s="280" t="n"/>
      <c r="M248" s="280" t="n"/>
      <c r="N248" s="333">
        <f>IFERROR(IF(L248*M248=0,"",L248*M248),"")</f>
        <v/>
      </c>
      <c r="O248" s="280" t="n"/>
      <c r="P248" s="332">
        <f>IFERROR(VLOOKUP(TEXT(O248,"0"),CONDUCTORES!$A$3:$G$54,2,0),"")</f>
        <v/>
      </c>
      <c r="Q248" s="332">
        <f>IFERROR(VLOOKUP(TEXT(O248,"0"),CONDUCTORES!$A$3:$H$54,6,0),"")</f>
        <v/>
      </c>
      <c r="R248" s="280" t="n"/>
      <c r="S248" s="280" t="n"/>
      <c r="T248" s="280" t="n"/>
      <c r="U248" s="280" t="n"/>
      <c r="V248" s="280" t="n"/>
      <c r="W248" s="280" t="n"/>
      <c r="X248" s="280" t="n"/>
      <c r="Y248" s="280" t="n"/>
    </row>
    <row r="249" ht="15" customHeight="1" s="195">
      <c r="A249" s="334" t="n"/>
      <c r="B249" s="334" t="n"/>
      <c r="C249" s="334" t="n"/>
      <c r="D249" s="334" t="n"/>
      <c r="E249" s="334" t="n"/>
      <c r="F249" s="334" t="n"/>
      <c r="G249" s="334" t="n"/>
      <c r="H249" s="334" t="n"/>
      <c r="I249" s="332">
        <f>IFERROR(VLOOKUP(TEXT(H249,"0"),IPRESS!$A$3:$B$212,2,0),"")</f>
        <v/>
      </c>
      <c r="J249" s="334" t="n"/>
      <c r="K249" s="332">
        <f>IFERROR(VLOOKUP(TEXT(O249,"0"),CONDUCTORES!$A$3:$G$54,7,0),"")</f>
        <v/>
      </c>
      <c r="L249" s="334" t="n"/>
      <c r="M249" s="334" t="n"/>
      <c r="N249" s="333">
        <f>IFERROR(IF(L249*M249=0,"",L249*M249),"")</f>
        <v/>
      </c>
      <c r="O249" s="334" t="n"/>
      <c r="P249" s="332">
        <f>IFERROR(VLOOKUP(TEXT(O249,"0"),CONDUCTORES!$A$3:$G$54,2,0),"")</f>
        <v/>
      </c>
      <c r="Q249" s="332">
        <f>IFERROR(VLOOKUP(TEXT(O249,"0"),CONDUCTORES!$A$3:$H$54,6,0),"")</f>
        <v/>
      </c>
      <c r="R249" s="334" t="n"/>
      <c r="S249" s="334" t="n"/>
      <c r="T249" s="334" t="n"/>
      <c r="U249" s="334" t="n"/>
      <c r="V249" s="334" t="n"/>
      <c r="W249" s="334" t="n"/>
      <c r="X249" s="334" t="n"/>
      <c r="Y249" s="334" t="n"/>
    </row>
    <row r="250" ht="15" customHeight="1" s="195">
      <c r="A250" s="280" t="n"/>
      <c r="B250" s="280" t="n"/>
      <c r="C250" s="280" t="n"/>
      <c r="D250" s="280" t="n"/>
      <c r="E250" s="280" t="n"/>
      <c r="F250" s="280" t="n"/>
      <c r="G250" s="280" t="n"/>
      <c r="H250" s="280" t="n"/>
      <c r="I250" s="332">
        <f>IFERROR(VLOOKUP(TEXT(H250,"0"),IPRESS!$A$3:$B$212,2,0),"")</f>
        <v/>
      </c>
      <c r="J250" s="280" t="n"/>
      <c r="K250" s="332">
        <f>IFERROR(VLOOKUP(TEXT(O250,"0"),CONDUCTORES!$A$3:$G$54,7,0),"")</f>
        <v/>
      </c>
      <c r="L250" s="280" t="n"/>
      <c r="M250" s="280" t="n"/>
      <c r="N250" s="333">
        <f>IFERROR(IF(L250*M250=0,"",L250*M250),"")</f>
        <v/>
      </c>
      <c r="O250" s="280" t="n"/>
      <c r="P250" s="332">
        <f>IFERROR(VLOOKUP(TEXT(O250,"0"),CONDUCTORES!$A$3:$G$54,2,0),"")</f>
        <v/>
      </c>
      <c r="Q250" s="332">
        <f>IFERROR(VLOOKUP(TEXT(O250,"0"),CONDUCTORES!$A$3:$H$54,6,0),"")</f>
        <v/>
      </c>
      <c r="R250" s="280" t="n"/>
      <c r="S250" s="280" t="n"/>
      <c r="T250" s="280" t="n"/>
      <c r="U250" s="280" t="n"/>
      <c r="V250" s="280" t="n"/>
      <c r="W250" s="280" t="n"/>
      <c r="X250" s="280" t="n"/>
      <c r="Y250" s="280" t="n"/>
    </row>
    <row r="251" ht="15" customHeight="1" s="195">
      <c r="A251" s="334" t="n"/>
      <c r="B251" s="334" t="n"/>
      <c r="C251" s="334" t="n"/>
      <c r="D251" s="334" t="n"/>
      <c r="E251" s="334" t="n"/>
      <c r="F251" s="334" t="n"/>
      <c r="G251" s="334" t="n"/>
      <c r="H251" s="334" t="n"/>
      <c r="I251" s="332">
        <f>IFERROR(VLOOKUP(TEXT(H251,"0"),IPRESS!$A$3:$B$212,2,0),"")</f>
        <v/>
      </c>
      <c r="J251" s="334" t="n"/>
      <c r="K251" s="332">
        <f>IFERROR(VLOOKUP(TEXT(O251,"0"),CONDUCTORES!$A$3:$G$54,7,0),"")</f>
        <v/>
      </c>
      <c r="L251" s="334" t="n"/>
      <c r="M251" s="334" t="n"/>
      <c r="N251" s="333">
        <f>IFERROR(IF(L251*M251=0,"",L251*M251),"")</f>
        <v/>
      </c>
      <c r="O251" s="334" t="n"/>
      <c r="P251" s="332">
        <f>IFERROR(VLOOKUP(TEXT(O251,"0"),CONDUCTORES!$A$3:$G$54,2,0),"")</f>
        <v/>
      </c>
      <c r="Q251" s="332">
        <f>IFERROR(VLOOKUP(TEXT(O251,"0"),CONDUCTORES!$A$3:$H$54,6,0),"")</f>
        <v/>
      </c>
      <c r="R251" s="334" t="n"/>
      <c r="S251" s="334" t="n"/>
      <c r="T251" s="334" t="n"/>
      <c r="U251" s="334" t="n"/>
      <c r="V251" s="334" t="n"/>
      <c r="W251" s="334" t="n"/>
      <c r="X251" s="334" t="n"/>
      <c r="Y251" s="334" t="n"/>
    </row>
    <row r="252" ht="15" customHeight="1" s="195">
      <c r="A252" s="280" t="n"/>
      <c r="B252" s="280" t="n"/>
      <c r="C252" s="280" t="n"/>
      <c r="D252" s="280" t="n"/>
      <c r="E252" s="280" t="n"/>
      <c r="F252" s="280" t="n"/>
      <c r="G252" s="280" t="n"/>
      <c r="H252" s="280" t="n"/>
      <c r="I252" s="332">
        <f>IFERROR(VLOOKUP(TEXT(H252,"0"),IPRESS!$A$3:$B$212,2,0),"")</f>
        <v/>
      </c>
      <c r="J252" s="280" t="n"/>
      <c r="K252" s="332">
        <f>IFERROR(VLOOKUP(TEXT(O252,"0"),CONDUCTORES!$A$3:$G$54,7,0),"")</f>
        <v/>
      </c>
      <c r="L252" s="280" t="n"/>
      <c r="M252" s="280" t="n"/>
      <c r="N252" s="333">
        <f>IFERROR(IF(L252*M252=0,"",L252*M252),"")</f>
        <v/>
      </c>
      <c r="O252" s="280" t="n"/>
      <c r="P252" s="332">
        <f>IFERROR(VLOOKUP(TEXT(O252,"0"),CONDUCTORES!$A$3:$G$54,2,0),"")</f>
        <v/>
      </c>
      <c r="Q252" s="332">
        <f>IFERROR(VLOOKUP(TEXT(O252,"0"),CONDUCTORES!$A$3:$H$54,6,0),"")</f>
        <v/>
      </c>
      <c r="R252" s="280" t="n"/>
      <c r="S252" s="280" t="n"/>
      <c r="T252" s="280" t="n"/>
      <c r="U252" s="280" t="n"/>
      <c r="V252" s="280" t="n"/>
      <c r="W252" s="280" t="n"/>
      <c r="X252" s="280" t="n"/>
      <c r="Y252" s="280" t="n"/>
    </row>
    <row r="253" ht="15" customHeight="1" s="195">
      <c r="A253" s="334" t="n"/>
      <c r="B253" s="334" t="n"/>
      <c r="C253" s="334" t="n"/>
      <c r="D253" s="334" t="n"/>
      <c r="E253" s="334" t="n"/>
      <c r="F253" s="334" t="n"/>
      <c r="G253" s="334" t="n"/>
      <c r="H253" s="334" t="n"/>
      <c r="I253" s="332">
        <f>IFERROR(VLOOKUP(TEXT(H253,"0"),IPRESS!$A$3:$B$212,2,0),"")</f>
        <v/>
      </c>
      <c r="J253" s="334" t="n"/>
      <c r="K253" s="332">
        <f>IFERROR(VLOOKUP(TEXT(O253,"0"),CONDUCTORES!$A$3:$G$54,7,0),"")</f>
        <v/>
      </c>
      <c r="L253" s="334" t="n"/>
      <c r="M253" s="334" t="n"/>
      <c r="N253" s="333">
        <f>IFERROR(IF(L253*M253=0,"",L253*M253),"")</f>
        <v/>
      </c>
      <c r="O253" s="334" t="n"/>
      <c r="P253" s="332">
        <f>IFERROR(VLOOKUP(TEXT(O253,"0"),CONDUCTORES!$A$3:$G$54,2,0),"")</f>
        <v/>
      </c>
      <c r="Q253" s="332">
        <f>IFERROR(VLOOKUP(TEXT(O253,"0"),CONDUCTORES!$A$3:$H$54,6,0),"")</f>
        <v/>
      </c>
      <c r="R253" s="334" t="n"/>
      <c r="S253" s="334" t="n"/>
      <c r="T253" s="334" t="n"/>
      <c r="U253" s="334" t="n"/>
      <c r="V253" s="334" t="n"/>
      <c r="W253" s="334" t="n"/>
      <c r="X253" s="334" t="n"/>
      <c r="Y253" s="334" t="n"/>
    </row>
    <row r="254" ht="15" customHeight="1" s="195">
      <c r="A254" s="280" t="n"/>
      <c r="B254" s="280" t="n"/>
      <c r="C254" s="280" t="n"/>
      <c r="D254" s="280" t="n"/>
      <c r="E254" s="280" t="n"/>
      <c r="F254" s="280" t="n"/>
      <c r="G254" s="280" t="n"/>
      <c r="H254" s="280" t="n"/>
      <c r="I254" s="332">
        <f>IFERROR(VLOOKUP(TEXT(H254,"0"),IPRESS!$A$3:$B$212,2,0),"")</f>
        <v/>
      </c>
      <c r="J254" s="280" t="n"/>
      <c r="K254" s="332">
        <f>IFERROR(VLOOKUP(TEXT(O254,"0"),CONDUCTORES!$A$3:$G$54,7,0),"")</f>
        <v/>
      </c>
      <c r="L254" s="280" t="n"/>
      <c r="M254" s="280" t="n"/>
      <c r="N254" s="333">
        <f>IFERROR(IF(L254*M254=0,"",L254*M254),"")</f>
        <v/>
      </c>
      <c r="O254" s="280" t="n"/>
      <c r="P254" s="332">
        <f>IFERROR(VLOOKUP(TEXT(O254,"0"),CONDUCTORES!$A$3:$G$54,2,0),"")</f>
        <v/>
      </c>
      <c r="Q254" s="332">
        <f>IFERROR(VLOOKUP(TEXT(O254,"0"),CONDUCTORES!$A$3:$H$54,6,0),"")</f>
        <v/>
      </c>
      <c r="R254" s="280" t="n"/>
      <c r="S254" s="280" t="n"/>
      <c r="T254" s="280" t="n"/>
      <c r="U254" s="280" t="n"/>
      <c r="V254" s="280" t="n"/>
      <c r="W254" s="280" t="n"/>
      <c r="X254" s="280" t="n"/>
      <c r="Y254" s="280" t="n"/>
    </row>
    <row r="255" ht="15" customHeight="1" s="195">
      <c r="A255" s="334" t="n"/>
      <c r="B255" s="334" t="n"/>
      <c r="C255" s="334" t="n"/>
      <c r="D255" s="334" t="n"/>
      <c r="E255" s="334" t="n"/>
      <c r="F255" s="334" t="n"/>
      <c r="G255" s="334" t="n"/>
      <c r="H255" s="334" t="n"/>
      <c r="I255" s="332">
        <f>IFERROR(VLOOKUP(TEXT(H255,"0"),IPRESS!$A$3:$B$212,2,0),"")</f>
        <v/>
      </c>
      <c r="J255" s="334" t="n"/>
      <c r="K255" s="332">
        <f>IFERROR(VLOOKUP(TEXT(O255,"0"),CONDUCTORES!$A$3:$G$54,7,0),"")</f>
        <v/>
      </c>
      <c r="L255" s="334" t="n"/>
      <c r="M255" s="334" t="n"/>
      <c r="N255" s="333">
        <f>IFERROR(IF(L255*M255=0,"",L255*M255),"")</f>
        <v/>
      </c>
      <c r="O255" s="334" t="n"/>
      <c r="P255" s="332">
        <f>IFERROR(VLOOKUP(TEXT(O255,"0"),CONDUCTORES!$A$3:$G$54,2,0),"")</f>
        <v/>
      </c>
      <c r="Q255" s="332">
        <f>IFERROR(VLOOKUP(TEXT(O255,"0"),CONDUCTORES!$A$3:$H$54,6,0),"")</f>
        <v/>
      </c>
      <c r="R255" s="334" t="n"/>
      <c r="S255" s="334" t="n"/>
      <c r="T255" s="334" t="n"/>
      <c r="U255" s="334" t="n"/>
      <c r="V255" s="334" t="n"/>
      <c r="W255" s="334" t="n"/>
      <c r="X255" s="334" t="n"/>
      <c r="Y255" s="334" t="n"/>
    </row>
    <row r="256" ht="15" customHeight="1" s="195">
      <c r="A256" s="280" t="n"/>
      <c r="B256" s="280" t="n"/>
      <c r="C256" s="280" t="n"/>
      <c r="D256" s="280" t="n"/>
      <c r="E256" s="280" t="n"/>
      <c r="F256" s="280" t="n"/>
      <c r="G256" s="280" t="n"/>
      <c r="H256" s="280" t="n"/>
      <c r="I256" s="332">
        <f>IFERROR(VLOOKUP(TEXT(H256,"0"),IPRESS!$A$3:$B$212,2,0),"")</f>
        <v/>
      </c>
      <c r="J256" s="280" t="n"/>
      <c r="K256" s="332">
        <f>IFERROR(VLOOKUP(TEXT(O256,"0"),CONDUCTORES!$A$3:$G$54,7,0),"")</f>
        <v/>
      </c>
      <c r="L256" s="280" t="n"/>
      <c r="M256" s="280" t="n"/>
      <c r="N256" s="333">
        <f>IFERROR(IF(L256*M256=0,"",L256*M256),"")</f>
        <v/>
      </c>
      <c r="O256" s="280" t="n"/>
      <c r="P256" s="332">
        <f>IFERROR(VLOOKUP(TEXT(O256,"0"),CONDUCTORES!$A$3:$G$54,2,0),"")</f>
        <v/>
      </c>
      <c r="Q256" s="332">
        <f>IFERROR(VLOOKUP(TEXT(O256,"0"),CONDUCTORES!$A$3:$H$54,6,0),"")</f>
        <v/>
      </c>
      <c r="R256" s="280" t="n"/>
      <c r="S256" s="280" t="n"/>
      <c r="T256" s="280" t="n"/>
      <c r="U256" s="280" t="n"/>
      <c r="V256" s="280" t="n"/>
      <c r="W256" s="280" t="n"/>
      <c r="X256" s="280" t="n"/>
      <c r="Y256" s="280" t="n"/>
    </row>
    <row r="257" ht="15" customHeight="1" s="195">
      <c r="A257" s="334" t="n"/>
      <c r="B257" s="334" t="n"/>
      <c r="C257" s="334" t="n"/>
      <c r="D257" s="334" t="n"/>
      <c r="E257" s="334" t="n"/>
      <c r="F257" s="334" t="n"/>
      <c r="G257" s="334" t="n"/>
      <c r="H257" s="334" t="n"/>
      <c r="I257" s="332">
        <f>IFERROR(VLOOKUP(TEXT(H257,"0"),IPRESS!$A$3:$B$212,2,0),"")</f>
        <v/>
      </c>
      <c r="J257" s="334" t="n"/>
      <c r="K257" s="332">
        <f>IFERROR(VLOOKUP(TEXT(O257,"0"),CONDUCTORES!$A$3:$G$54,7,0),"")</f>
        <v/>
      </c>
      <c r="L257" s="334" t="n"/>
      <c r="M257" s="334" t="n"/>
      <c r="N257" s="333">
        <f>IFERROR(IF(L257*M257=0,"",L257*M257),"")</f>
        <v/>
      </c>
      <c r="O257" s="334" t="n"/>
      <c r="P257" s="332">
        <f>IFERROR(VLOOKUP(TEXT(O257,"0"),CONDUCTORES!$A$3:$G$54,2,0),"")</f>
        <v/>
      </c>
      <c r="Q257" s="332">
        <f>IFERROR(VLOOKUP(TEXT(O257,"0"),CONDUCTORES!$A$3:$H$54,6,0),"")</f>
        <v/>
      </c>
      <c r="R257" s="334" t="n"/>
      <c r="S257" s="334" t="n"/>
      <c r="T257" s="334" t="n"/>
      <c r="U257" s="334" t="n"/>
      <c r="V257" s="334" t="n"/>
      <c r="W257" s="334" t="n"/>
      <c r="X257" s="334" t="n"/>
      <c r="Y257" s="334" t="n"/>
    </row>
    <row r="258" ht="15" customHeight="1" s="195">
      <c r="A258" s="280" t="n"/>
      <c r="B258" s="280" t="n"/>
      <c r="C258" s="280" t="n"/>
      <c r="D258" s="280" t="n"/>
      <c r="E258" s="280" t="n"/>
      <c r="F258" s="280" t="n"/>
      <c r="G258" s="280" t="n"/>
      <c r="H258" s="280" t="n"/>
      <c r="I258" s="332">
        <f>IFERROR(VLOOKUP(TEXT(H258,"0"),IPRESS!$A$3:$B$212,2,0),"")</f>
        <v/>
      </c>
      <c r="J258" s="280" t="n"/>
      <c r="K258" s="332">
        <f>IFERROR(VLOOKUP(TEXT(O258,"0"),CONDUCTORES!$A$3:$G$54,7,0),"")</f>
        <v/>
      </c>
      <c r="L258" s="280" t="n"/>
      <c r="M258" s="280" t="n"/>
      <c r="N258" s="333">
        <f>IFERROR(IF(L258*M258=0,"",L258*M258),"")</f>
        <v/>
      </c>
      <c r="O258" s="280" t="n"/>
      <c r="P258" s="332">
        <f>IFERROR(VLOOKUP(TEXT(O258,"0"),CONDUCTORES!$A$3:$G$54,2,0),"")</f>
        <v/>
      </c>
      <c r="Q258" s="332">
        <f>IFERROR(VLOOKUP(TEXT(O258,"0"),CONDUCTORES!$A$3:$H$54,6,0),"")</f>
        <v/>
      </c>
      <c r="R258" s="280" t="n"/>
      <c r="S258" s="280" t="n"/>
      <c r="T258" s="280" t="n"/>
      <c r="U258" s="280" t="n"/>
      <c r="V258" s="280" t="n"/>
      <c r="W258" s="280" t="n"/>
      <c r="X258" s="280" t="n"/>
      <c r="Y258" s="280" t="n"/>
    </row>
    <row r="259" ht="15" customHeight="1" s="195">
      <c r="A259" s="334" t="n"/>
      <c r="B259" s="334" t="n"/>
      <c r="C259" s="334" t="n"/>
      <c r="D259" s="334" t="n"/>
      <c r="E259" s="334" t="n"/>
      <c r="F259" s="334" t="n"/>
      <c r="G259" s="334" t="n"/>
      <c r="H259" s="334" t="n"/>
      <c r="I259" s="332">
        <f>IFERROR(VLOOKUP(TEXT(H259,"0"),IPRESS!$A$3:$B$212,2,0),"")</f>
        <v/>
      </c>
      <c r="J259" s="334" t="n"/>
      <c r="K259" s="332">
        <f>IFERROR(VLOOKUP(TEXT(O259,"0"),CONDUCTORES!$A$3:$G$54,7,0),"")</f>
        <v/>
      </c>
      <c r="L259" s="334" t="n"/>
      <c r="M259" s="334" t="n"/>
      <c r="N259" s="333">
        <f>IFERROR(IF(L259*M259=0,"",L259*M259),"")</f>
        <v/>
      </c>
      <c r="O259" s="334" t="n"/>
      <c r="P259" s="332">
        <f>IFERROR(VLOOKUP(TEXT(O259,"0"),CONDUCTORES!$A$3:$G$54,2,0),"")</f>
        <v/>
      </c>
      <c r="Q259" s="332">
        <f>IFERROR(VLOOKUP(TEXT(O259,"0"),CONDUCTORES!$A$3:$H$54,6,0),"")</f>
        <v/>
      </c>
      <c r="R259" s="334" t="n"/>
      <c r="S259" s="334" t="n"/>
      <c r="T259" s="334" t="n"/>
      <c r="U259" s="334" t="n"/>
      <c r="V259" s="334" t="n"/>
      <c r="W259" s="334" t="n"/>
      <c r="X259" s="334" t="n"/>
      <c r="Y259" s="334" t="n"/>
    </row>
    <row r="260" ht="15" customHeight="1" s="195">
      <c r="A260" s="280" t="n"/>
      <c r="B260" s="280" t="n"/>
      <c r="C260" s="280" t="n"/>
      <c r="D260" s="280" t="n"/>
      <c r="E260" s="280" t="n"/>
      <c r="F260" s="280" t="n"/>
      <c r="G260" s="280" t="n"/>
      <c r="H260" s="280" t="n"/>
      <c r="I260" s="332">
        <f>IFERROR(VLOOKUP(TEXT(H260,"0"),IPRESS!$A$3:$B$212,2,0),"")</f>
        <v/>
      </c>
      <c r="J260" s="280" t="n"/>
      <c r="K260" s="332">
        <f>IFERROR(VLOOKUP(TEXT(O260,"0"),CONDUCTORES!$A$3:$G$54,7,0),"")</f>
        <v/>
      </c>
      <c r="L260" s="280" t="n"/>
      <c r="M260" s="280" t="n"/>
      <c r="N260" s="333">
        <f>IFERROR(IF(L260*M260=0,"",L260*M260),"")</f>
        <v/>
      </c>
      <c r="O260" s="280" t="n"/>
      <c r="P260" s="332">
        <f>IFERROR(VLOOKUP(TEXT(O260,"0"),CONDUCTORES!$A$3:$G$54,2,0),"")</f>
        <v/>
      </c>
      <c r="Q260" s="332">
        <f>IFERROR(VLOOKUP(TEXT(O260,"0"),CONDUCTORES!$A$3:$H$54,6,0),"")</f>
        <v/>
      </c>
      <c r="R260" s="280" t="n"/>
      <c r="S260" s="280" t="n"/>
      <c r="T260" s="280" t="n"/>
      <c r="U260" s="280" t="n"/>
      <c r="V260" s="280" t="n"/>
      <c r="W260" s="280" t="n"/>
      <c r="X260" s="280" t="n"/>
      <c r="Y260" s="280" t="n"/>
    </row>
    <row r="261" ht="15" customHeight="1" s="195">
      <c r="A261" s="334" t="n"/>
      <c r="B261" s="334" t="n"/>
      <c r="C261" s="334" t="n"/>
      <c r="D261" s="334" t="n"/>
      <c r="E261" s="334" t="n"/>
      <c r="F261" s="334" t="n"/>
      <c r="G261" s="334" t="n"/>
      <c r="H261" s="334" t="n"/>
      <c r="I261" s="332">
        <f>IFERROR(VLOOKUP(TEXT(H261,"0"),IPRESS!$A$3:$B$212,2,0),"")</f>
        <v/>
      </c>
      <c r="J261" s="334" t="n"/>
      <c r="K261" s="332">
        <f>IFERROR(VLOOKUP(TEXT(O261,"0"),CONDUCTORES!$A$3:$G$54,7,0),"")</f>
        <v/>
      </c>
      <c r="L261" s="334" t="n"/>
      <c r="M261" s="334" t="n"/>
      <c r="N261" s="333">
        <f>IFERROR(IF(L261*M261=0,"",L261*M261),"")</f>
        <v/>
      </c>
      <c r="O261" s="334" t="n"/>
      <c r="P261" s="332">
        <f>IFERROR(VLOOKUP(TEXT(O261,"0"),CONDUCTORES!$A$3:$G$54,2,0),"")</f>
        <v/>
      </c>
      <c r="Q261" s="332">
        <f>IFERROR(VLOOKUP(TEXT(O261,"0"),CONDUCTORES!$A$3:$H$54,6,0),"")</f>
        <v/>
      </c>
      <c r="R261" s="334" t="n"/>
      <c r="S261" s="334" t="n"/>
      <c r="T261" s="334" t="n"/>
      <c r="U261" s="334" t="n"/>
      <c r="V261" s="334" t="n"/>
      <c r="W261" s="334" t="n"/>
      <c r="X261" s="334" t="n"/>
      <c r="Y261" s="334" t="n"/>
    </row>
    <row r="262" ht="15" customHeight="1" s="195">
      <c r="A262" s="280" t="n"/>
      <c r="B262" s="280" t="n"/>
      <c r="C262" s="280" t="n"/>
      <c r="D262" s="280" t="n"/>
      <c r="E262" s="280" t="n"/>
      <c r="F262" s="280" t="n"/>
      <c r="G262" s="280" t="n"/>
      <c r="H262" s="280" t="n"/>
      <c r="I262" s="332">
        <f>IFERROR(VLOOKUP(TEXT(H262,"0"),IPRESS!$A$3:$B$212,2,0),"")</f>
        <v/>
      </c>
      <c r="J262" s="280" t="n"/>
      <c r="K262" s="332">
        <f>IFERROR(VLOOKUP(TEXT(O262,"0"),CONDUCTORES!$A$3:$G$54,7,0),"")</f>
        <v/>
      </c>
      <c r="L262" s="280" t="n"/>
      <c r="M262" s="280" t="n"/>
      <c r="N262" s="333">
        <f>IFERROR(IF(L262*M262=0,"",L262*M262),"")</f>
        <v/>
      </c>
      <c r="O262" s="280" t="n"/>
      <c r="P262" s="332">
        <f>IFERROR(VLOOKUP(TEXT(O262,"0"),CONDUCTORES!$A$3:$G$54,2,0),"")</f>
        <v/>
      </c>
      <c r="Q262" s="332">
        <f>IFERROR(VLOOKUP(TEXT(O262,"0"),CONDUCTORES!$A$3:$H$54,6,0),"")</f>
        <v/>
      </c>
      <c r="R262" s="280" t="n"/>
      <c r="S262" s="280" t="n"/>
      <c r="T262" s="280" t="n"/>
      <c r="U262" s="280" t="n"/>
      <c r="V262" s="280" t="n"/>
      <c r="W262" s="280" t="n"/>
      <c r="X262" s="280" t="n"/>
      <c r="Y262" s="280" t="n"/>
    </row>
    <row r="263" ht="15" customHeight="1" s="195">
      <c r="A263" s="334" t="n"/>
      <c r="B263" s="334" t="n"/>
      <c r="C263" s="334" t="n"/>
      <c r="D263" s="334" t="n"/>
      <c r="E263" s="334" t="n"/>
      <c r="F263" s="334" t="n"/>
      <c r="G263" s="334" t="n"/>
      <c r="H263" s="334" t="n"/>
      <c r="I263" s="332">
        <f>IFERROR(VLOOKUP(TEXT(H263,"0"),IPRESS!$A$3:$B$212,2,0),"")</f>
        <v/>
      </c>
      <c r="J263" s="334" t="n"/>
      <c r="K263" s="332">
        <f>IFERROR(VLOOKUP(TEXT(O263,"0"),CONDUCTORES!$A$3:$G$54,7,0),"")</f>
        <v/>
      </c>
      <c r="L263" s="334" t="n"/>
      <c r="M263" s="334" t="n"/>
      <c r="N263" s="333">
        <f>IFERROR(IF(L263*M263=0,"",L263*M263),"")</f>
        <v/>
      </c>
      <c r="O263" s="334" t="n"/>
      <c r="P263" s="332">
        <f>IFERROR(VLOOKUP(TEXT(O263,"0"),CONDUCTORES!$A$3:$G$54,2,0),"")</f>
        <v/>
      </c>
      <c r="Q263" s="332">
        <f>IFERROR(VLOOKUP(TEXT(O263,"0"),CONDUCTORES!$A$3:$H$54,6,0),"")</f>
        <v/>
      </c>
      <c r="R263" s="334" t="n"/>
      <c r="S263" s="334" t="n"/>
      <c r="T263" s="334" t="n"/>
      <c r="U263" s="334" t="n"/>
      <c r="V263" s="334" t="n"/>
      <c r="W263" s="334" t="n"/>
      <c r="X263" s="334" t="n"/>
      <c r="Y263" s="334" t="n"/>
    </row>
    <row r="264" ht="15" customHeight="1" s="195">
      <c r="A264" s="280" t="n"/>
      <c r="B264" s="280" t="n"/>
      <c r="C264" s="280" t="n"/>
      <c r="D264" s="280" t="n"/>
      <c r="E264" s="280" t="n"/>
      <c r="F264" s="280" t="n"/>
      <c r="G264" s="280" t="n"/>
      <c r="H264" s="280" t="n"/>
      <c r="I264" s="332">
        <f>IFERROR(VLOOKUP(TEXT(H264,"0"),IPRESS!$A$3:$B$212,2,0),"")</f>
        <v/>
      </c>
      <c r="J264" s="280" t="n"/>
      <c r="K264" s="332">
        <f>IFERROR(VLOOKUP(TEXT(O264,"0"),CONDUCTORES!$A$3:$G$54,7,0),"")</f>
        <v/>
      </c>
      <c r="L264" s="280" t="n"/>
      <c r="M264" s="280" t="n"/>
      <c r="N264" s="333">
        <f>IFERROR(IF(L264*M264=0,"",L264*M264),"")</f>
        <v/>
      </c>
      <c r="O264" s="280" t="n"/>
      <c r="P264" s="332">
        <f>IFERROR(VLOOKUP(TEXT(O264,"0"),CONDUCTORES!$A$3:$G$54,2,0),"")</f>
        <v/>
      </c>
      <c r="Q264" s="332">
        <f>IFERROR(VLOOKUP(TEXT(O264,"0"),CONDUCTORES!$A$3:$H$54,6,0),"")</f>
        <v/>
      </c>
      <c r="R264" s="280" t="n"/>
      <c r="S264" s="280" t="n"/>
      <c r="T264" s="280" t="n"/>
      <c r="U264" s="280" t="n"/>
      <c r="V264" s="280" t="n"/>
      <c r="W264" s="280" t="n"/>
      <c r="X264" s="280" t="n"/>
      <c r="Y264" s="280" t="n"/>
    </row>
    <row r="265" ht="15" customHeight="1" s="195">
      <c r="A265" s="334" t="n"/>
      <c r="B265" s="334" t="n"/>
      <c r="C265" s="334" t="n"/>
      <c r="D265" s="334" t="n"/>
      <c r="E265" s="334" t="n"/>
      <c r="F265" s="334" t="n"/>
      <c r="G265" s="334" t="n"/>
      <c r="H265" s="334" t="n"/>
      <c r="I265" s="332">
        <f>IFERROR(VLOOKUP(TEXT(H265,"0"),IPRESS!$A$3:$B$212,2,0),"")</f>
        <v/>
      </c>
      <c r="J265" s="334" t="n"/>
      <c r="K265" s="332">
        <f>IFERROR(VLOOKUP(TEXT(O265,"0"),CONDUCTORES!$A$3:$G$54,7,0),"")</f>
        <v/>
      </c>
      <c r="L265" s="334" t="n"/>
      <c r="M265" s="334" t="n"/>
      <c r="N265" s="333">
        <f>IFERROR(IF(L265*M265=0,"",L265*M265),"")</f>
        <v/>
      </c>
      <c r="O265" s="334" t="n"/>
      <c r="P265" s="332">
        <f>IFERROR(VLOOKUP(TEXT(O265,"0"),CONDUCTORES!$A$3:$G$54,2,0),"")</f>
        <v/>
      </c>
      <c r="Q265" s="332">
        <f>IFERROR(VLOOKUP(TEXT(O265,"0"),CONDUCTORES!$A$3:$H$54,6,0),"")</f>
        <v/>
      </c>
      <c r="R265" s="334" t="n"/>
      <c r="S265" s="334" t="n"/>
      <c r="T265" s="334" t="n"/>
      <c r="U265" s="334" t="n"/>
      <c r="V265" s="334" t="n"/>
      <c r="W265" s="334" t="n"/>
      <c r="X265" s="334" t="n"/>
      <c r="Y265" s="334" t="n"/>
    </row>
    <row r="266" ht="15" customHeight="1" s="195">
      <c r="A266" s="280" t="n"/>
      <c r="B266" s="280" t="n"/>
      <c r="C266" s="280" t="n"/>
      <c r="D266" s="280" t="n"/>
      <c r="E266" s="280" t="n"/>
      <c r="F266" s="280" t="n"/>
      <c r="G266" s="280" t="n"/>
      <c r="H266" s="280" t="n"/>
      <c r="I266" s="332">
        <f>IFERROR(VLOOKUP(TEXT(H266,"0"),IPRESS!$A$3:$B$212,2,0),"")</f>
        <v/>
      </c>
      <c r="J266" s="280" t="n"/>
      <c r="K266" s="332">
        <f>IFERROR(VLOOKUP(TEXT(O266,"0"),CONDUCTORES!$A$3:$G$54,7,0),"")</f>
        <v/>
      </c>
      <c r="L266" s="280" t="n"/>
      <c r="M266" s="280" t="n"/>
      <c r="N266" s="333">
        <f>IFERROR(IF(L266*M266=0,"",L266*M266),"")</f>
        <v/>
      </c>
      <c r="O266" s="280" t="n"/>
      <c r="P266" s="332">
        <f>IFERROR(VLOOKUP(TEXT(O266,"0"),CONDUCTORES!$A$3:$G$54,2,0),"")</f>
        <v/>
      </c>
      <c r="Q266" s="332">
        <f>IFERROR(VLOOKUP(TEXT(O266,"0"),CONDUCTORES!$A$3:$H$54,6,0),"")</f>
        <v/>
      </c>
      <c r="R266" s="280" t="n"/>
      <c r="S266" s="280" t="n"/>
      <c r="T266" s="280" t="n"/>
      <c r="U266" s="280" t="n"/>
      <c r="V266" s="280" t="n"/>
      <c r="W266" s="280" t="n"/>
      <c r="X266" s="280" t="n"/>
      <c r="Y266" s="280" t="n"/>
    </row>
    <row r="267" ht="15" customHeight="1" s="195">
      <c r="A267" s="334" t="n"/>
      <c r="B267" s="334" t="n"/>
      <c r="C267" s="334" t="n"/>
      <c r="D267" s="334" t="n"/>
      <c r="E267" s="334" t="n"/>
      <c r="F267" s="334" t="n"/>
      <c r="G267" s="334" t="n"/>
      <c r="H267" s="334" t="n"/>
      <c r="I267" s="332">
        <f>IFERROR(VLOOKUP(TEXT(H267,"0"),IPRESS!$A$3:$B$212,2,0),"")</f>
        <v/>
      </c>
      <c r="J267" s="334" t="n"/>
      <c r="K267" s="332">
        <f>IFERROR(VLOOKUP(TEXT(O267,"0"),CONDUCTORES!$A$3:$G$54,7,0),"")</f>
        <v/>
      </c>
      <c r="L267" s="334" t="n"/>
      <c r="M267" s="334" t="n"/>
      <c r="N267" s="333">
        <f>IFERROR(IF(L267*M267=0,"",L267*M267),"")</f>
        <v/>
      </c>
      <c r="O267" s="334" t="n"/>
      <c r="P267" s="332">
        <f>IFERROR(VLOOKUP(TEXT(O267,"0"),CONDUCTORES!$A$3:$G$54,2,0),"")</f>
        <v/>
      </c>
      <c r="Q267" s="332">
        <f>IFERROR(VLOOKUP(TEXT(O267,"0"),CONDUCTORES!$A$3:$H$54,6,0),"")</f>
        <v/>
      </c>
      <c r="R267" s="334" t="n"/>
      <c r="S267" s="334" t="n"/>
      <c r="T267" s="334" t="n"/>
      <c r="U267" s="334" t="n"/>
      <c r="V267" s="334" t="n"/>
      <c r="W267" s="334" t="n"/>
      <c r="X267" s="334" t="n"/>
      <c r="Y267" s="334" t="n"/>
    </row>
    <row r="268" ht="15" customHeight="1" s="195">
      <c r="A268" s="280" t="n"/>
      <c r="B268" s="280" t="n"/>
      <c r="C268" s="280" t="n"/>
      <c r="D268" s="280" t="n"/>
      <c r="E268" s="280" t="n"/>
      <c r="F268" s="280" t="n"/>
      <c r="G268" s="280" t="n"/>
      <c r="H268" s="280" t="n"/>
      <c r="I268" s="332">
        <f>IFERROR(VLOOKUP(TEXT(H268,"0"),IPRESS!$A$3:$B$212,2,0),"")</f>
        <v/>
      </c>
      <c r="J268" s="280" t="n"/>
      <c r="K268" s="332">
        <f>IFERROR(VLOOKUP(TEXT(O268,"0"),CONDUCTORES!$A$3:$G$54,7,0),"")</f>
        <v/>
      </c>
      <c r="L268" s="280" t="n"/>
      <c r="M268" s="280" t="n"/>
      <c r="N268" s="333">
        <f>IFERROR(IF(L268*M268=0,"",L268*M268),"")</f>
        <v/>
      </c>
      <c r="O268" s="280" t="n"/>
      <c r="P268" s="332">
        <f>IFERROR(VLOOKUP(TEXT(O268,"0"),CONDUCTORES!$A$3:$G$54,2,0),"")</f>
        <v/>
      </c>
      <c r="Q268" s="332">
        <f>IFERROR(VLOOKUP(TEXT(O268,"0"),CONDUCTORES!$A$3:$H$54,6,0),"")</f>
        <v/>
      </c>
      <c r="R268" s="280" t="n"/>
      <c r="S268" s="280" t="n"/>
      <c r="T268" s="280" t="n"/>
      <c r="U268" s="280" t="n"/>
      <c r="V268" s="280" t="n"/>
      <c r="W268" s="280" t="n"/>
      <c r="X268" s="280" t="n"/>
      <c r="Y268" s="280" t="n"/>
    </row>
    <row r="269" ht="15" customHeight="1" s="195">
      <c r="A269" s="334" t="n"/>
      <c r="B269" s="334" t="n"/>
      <c r="C269" s="334" t="n"/>
      <c r="D269" s="334" t="n"/>
      <c r="E269" s="334" t="n"/>
      <c r="F269" s="334" t="n"/>
      <c r="G269" s="334" t="n"/>
      <c r="H269" s="334" t="n"/>
      <c r="I269" s="332">
        <f>IFERROR(VLOOKUP(TEXT(H269,"0"),IPRESS!$A$3:$B$212,2,0),"")</f>
        <v/>
      </c>
      <c r="J269" s="334" t="n"/>
      <c r="K269" s="332">
        <f>IFERROR(VLOOKUP(TEXT(O269,"0"),CONDUCTORES!$A$3:$G$54,7,0),"")</f>
        <v/>
      </c>
      <c r="L269" s="334" t="n"/>
      <c r="M269" s="334" t="n"/>
      <c r="N269" s="333">
        <f>IFERROR(IF(L269*M269=0,"",L269*M269),"")</f>
        <v/>
      </c>
      <c r="O269" s="334" t="n"/>
      <c r="P269" s="332">
        <f>IFERROR(VLOOKUP(TEXT(O269,"0"),CONDUCTORES!$A$3:$G$54,2,0),"")</f>
        <v/>
      </c>
      <c r="Q269" s="332">
        <f>IFERROR(VLOOKUP(TEXT(O269,"0"),CONDUCTORES!$A$3:$H$54,6,0),"")</f>
        <v/>
      </c>
      <c r="R269" s="334" t="n"/>
      <c r="S269" s="334" t="n"/>
      <c r="T269" s="334" t="n"/>
      <c r="U269" s="334" t="n"/>
      <c r="V269" s="334" t="n"/>
      <c r="W269" s="334" t="n"/>
      <c r="X269" s="334" t="n"/>
      <c r="Y269" s="334" t="n"/>
    </row>
    <row r="270" ht="15" customHeight="1" s="195">
      <c r="A270" s="280" t="n"/>
      <c r="B270" s="280" t="n"/>
      <c r="C270" s="280" t="n"/>
      <c r="D270" s="280" t="n"/>
      <c r="E270" s="280" t="n"/>
      <c r="F270" s="280" t="n"/>
      <c r="G270" s="280" t="n"/>
      <c r="H270" s="280" t="n"/>
      <c r="I270" s="332">
        <f>IFERROR(VLOOKUP(TEXT(H270,"0"),IPRESS!$A$3:$B$212,2,0),"")</f>
        <v/>
      </c>
      <c r="J270" s="280" t="n"/>
      <c r="K270" s="332">
        <f>IFERROR(VLOOKUP(TEXT(O270,"0"),CONDUCTORES!$A$3:$G$54,7,0),"")</f>
        <v/>
      </c>
      <c r="L270" s="280" t="n"/>
      <c r="M270" s="280" t="n"/>
      <c r="N270" s="333">
        <f>IFERROR(IF(L270*M270=0,"",L270*M270),"")</f>
        <v/>
      </c>
      <c r="O270" s="280" t="n"/>
      <c r="P270" s="332">
        <f>IFERROR(VLOOKUP(TEXT(O270,"0"),CONDUCTORES!$A$3:$G$54,2,0),"")</f>
        <v/>
      </c>
      <c r="Q270" s="332">
        <f>IFERROR(VLOOKUP(TEXT(O270,"0"),CONDUCTORES!$A$3:$H$54,6,0),"")</f>
        <v/>
      </c>
      <c r="R270" s="280" t="n"/>
      <c r="S270" s="280" t="n"/>
      <c r="T270" s="280" t="n"/>
      <c r="U270" s="280" t="n"/>
      <c r="V270" s="280" t="n"/>
      <c r="W270" s="280" t="n"/>
      <c r="X270" s="280" t="n"/>
      <c r="Y270" s="280" t="n"/>
    </row>
    <row r="271" ht="15" customHeight="1" s="195">
      <c r="A271" s="334" t="n"/>
      <c r="B271" s="334" t="n"/>
      <c r="C271" s="334" t="n"/>
      <c r="D271" s="334" t="n"/>
      <c r="E271" s="334" t="n"/>
      <c r="F271" s="334" t="n"/>
      <c r="G271" s="334" t="n"/>
      <c r="H271" s="334" t="n"/>
      <c r="I271" s="332">
        <f>IFERROR(VLOOKUP(TEXT(H271,"0"),IPRESS!$A$3:$B$212,2,0),"")</f>
        <v/>
      </c>
      <c r="J271" s="334" t="n"/>
      <c r="K271" s="332">
        <f>IFERROR(VLOOKUP(TEXT(O271,"0"),CONDUCTORES!$A$3:$G$54,7,0),"")</f>
        <v/>
      </c>
      <c r="L271" s="334" t="n"/>
      <c r="M271" s="334" t="n"/>
      <c r="N271" s="333">
        <f>IFERROR(IF(L271*M271=0,"",L271*M271),"")</f>
        <v/>
      </c>
      <c r="O271" s="334" t="n"/>
      <c r="P271" s="332">
        <f>IFERROR(VLOOKUP(TEXT(O271,"0"),CONDUCTORES!$A$3:$G$54,2,0),"")</f>
        <v/>
      </c>
      <c r="Q271" s="332">
        <f>IFERROR(VLOOKUP(TEXT(O271,"0"),CONDUCTORES!$A$3:$H$54,6,0),"")</f>
        <v/>
      </c>
      <c r="R271" s="334" t="n"/>
      <c r="S271" s="334" t="n"/>
      <c r="T271" s="334" t="n"/>
      <c r="U271" s="334" t="n"/>
      <c r="V271" s="334" t="n"/>
      <c r="W271" s="334" t="n"/>
      <c r="X271" s="334" t="n"/>
      <c r="Y271" s="334" t="n"/>
    </row>
    <row r="272" ht="15" customHeight="1" s="195">
      <c r="A272" s="280" t="n"/>
      <c r="B272" s="280" t="n"/>
      <c r="C272" s="280" t="n"/>
      <c r="D272" s="280" t="n"/>
      <c r="E272" s="280" t="n"/>
      <c r="F272" s="280" t="n"/>
      <c r="G272" s="280" t="n"/>
      <c r="H272" s="280" t="n"/>
      <c r="I272" s="332">
        <f>IFERROR(VLOOKUP(TEXT(H272,"0"),IPRESS!$A$3:$B$212,2,0),"")</f>
        <v/>
      </c>
      <c r="J272" s="280" t="n"/>
      <c r="K272" s="332">
        <f>IFERROR(VLOOKUP(TEXT(O272,"0"),CONDUCTORES!$A$3:$G$54,7,0),"")</f>
        <v/>
      </c>
      <c r="L272" s="280" t="n"/>
      <c r="M272" s="280" t="n"/>
      <c r="N272" s="333">
        <f>IFERROR(IF(L272*M272=0,"",L272*M272),"")</f>
        <v/>
      </c>
      <c r="O272" s="280" t="n"/>
      <c r="P272" s="332">
        <f>IFERROR(VLOOKUP(TEXT(O272,"0"),CONDUCTORES!$A$3:$G$54,2,0),"")</f>
        <v/>
      </c>
      <c r="Q272" s="332">
        <f>IFERROR(VLOOKUP(TEXT(O272,"0"),CONDUCTORES!$A$3:$H$54,6,0),"")</f>
        <v/>
      </c>
      <c r="R272" s="280" t="n"/>
      <c r="S272" s="280" t="n"/>
      <c r="T272" s="280" t="n"/>
      <c r="U272" s="280" t="n"/>
      <c r="V272" s="280" t="n"/>
      <c r="W272" s="280" t="n"/>
      <c r="X272" s="280" t="n"/>
      <c r="Y272" s="280" t="n"/>
    </row>
    <row r="273" ht="15" customHeight="1" s="195">
      <c r="A273" s="334" t="n"/>
      <c r="B273" s="334" t="n"/>
      <c r="C273" s="334" t="n"/>
      <c r="D273" s="334" t="n"/>
      <c r="E273" s="334" t="n"/>
      <c r="F273" s="334" t="n"/>
      <c r="G273" s="334" t="n"/>
      <c r="H273" s="334" t="n"/>
      <c r="I273" s="332">
        <f>IFERROR(VLOOKUP(TEXT(H273,"0"),IPRESS!$A$3:$B$212,2,0),"")</f>
        <v/>
      </c>
      <c r="J273" s="334" t="n"/>
      <c r="K273" s="332">
        <f>IFERROR(VLOOKUP(TEXT(O273,"0"),CONDUCTORES!$A$3:$G$54,7,0),"")</f>
        <v/>
      </c>
      <c r="L273" s="334" t="n"/>
      <c r="M273" s="334" t="n"/>
      <c r="N273" s="333">
        <f>IFERROR(IF(L273*M273=0,"",L273*M273),"")</f>
        <v/>
      </c>
      <c r="O273" s="334" t="n"/>
      <c r="P273" s="332">
        <f>IFERROR(VLOOKUP(TEXT(O273,"0"),CONDUCTORES!$A$3:$G$54,2,0),"")</f>
        <v/>
      </c>
      <c r="Q273" s="332">
        <f>IFERROR(VLOOKUP(TEXT(O273,"0"),CONDUCTORES!$A$3:$H$54,6,0),"")</f>
        <v/>
      </c>
      <c r="R273" s="334" t="n"/>
      <c r="S273" s="334" t="n"/>
      <c r="T273" s="334" t="n"/>
      <c r="U273" s="334" t="n"/>
      <c r="V273" s="334" t="n"/>
      <c r="W273" s="334" t="n"/>
      <c r="X273" s="334" t="n"/>
      <c r="Y273" s="334" t="n"/>
    </row>
    <row r="274" ht="15" customHeight="1" s="195">
      <c r="A274" s="280" t="n"/>
      <c r="B274" s="280" t="n"/>
      <c r="C274" s="280" t="n"/>
      <c r="D274" s="280" t="n"/>
      <c r="E274" s="280" t="n"/>
      <c r="F274" s="280" t="n"/>
      <c r="G274" s="280" t="n"/>
      <c r="H274" s="280" t="n"/>
      <c r="I274" s="332">
        <f>IFERROR(VLOOKUP(TEXT(H274,"0"),IPRESS!$A$3:$B$212,2,0),"")</f>
        <v/>
      </c>
      <c r="J274" s="280" t="n"/>
      <c r="K274" s="332">
        <f>IFERROR(VLOOKUP(TEXT(O274,"0"),CONDUCTORES!$A$3:$G$54,7,0),"")</f>
        <v/>
      </c>
      <c r="L274" s="280" t="n"/>
      <c r="M274" s="280" t="n"/>
      <c r="N274" s="333">
        <f>IFERROR(IF(L274*M274=0,"",L274*M274),"")</f>
        <v/>
      </c>
      <c r="O274" s="280" t="n"/>
      <c r="P274" s="332">
        <f>IFERROR(VLOOKUP(TEXT(O274,"0"),CONDUCTORES!$A$3:$G$54,2,0),"")</f>
        <v/>
      </c>
      <c r="Q274" s="332">
        <f>IFERROR(VLOOKUP(TEXT(O274,"0"),CONDUCTORES!$A$3:$H$54,6,0),"")</f>
        <v/>
      </c>
      <c r="R274" s="280" t="n"/>
      <c r="S274" s="280" t="n"/>
      <c r="T274" s="280" t="n"/>
      <c r="U274" s="280" t="n"/>
      <c r="V274" s="280" t="n"/>
      <c r="W274" s="280" t="n"/>
      <c r="X274" s="280" t="n"/>
      <c r="Y274" s="280" t="n"/>
    </row>
    <row r="275" ht="15" customHeight="1" s="195">
      <c r="A275" s="334" t="n"/>
      <c r="B275" s="334" t="n"/>
      <c r="C275" s="334" t="n"/>
      <c r="D275" s="334" t="n"/>
      <c r="E275" s="334" t="n"/>
      <c r="F275" s="334" t="n"/>
      <c r="G275" s="334" t="n"/>
      <c r="H275" s="334" t="n"/>
      <c r="I275" s="332">
        <f>IFERROR(VLOOKUP(TEXT(H275,"0"),IPRESS!$A$3:$B$212,2,0),"")</f>
        <v/>
      </c>
      <c r="J275" s="334" t="n"/>
      <c r="K275" s="332">
        <f>IFERROR(VLOOKUP(TEXT(O275,"0"),CONDUCTORES!$A$3:$G$54,7,0),"")</f>
        <v/>
      </c>
      <c r="L275" s="334" t="n"/>
      <c r="M275" s="334" t="n"/>
      <c r="N275" s="333">
        <f>IFERROR(IF(L275*M275=0,"",L275*M275),"")</f>
        <v/>
      </c>
      <c r="O275" s="334" t="n"/>
      <c r="P275" s="332">
        <f>IFERROR(VLOOKUP(TEXT(O275,"0"),CONDUCTORES!$A$3:$G$54,2,0),"")</f>
        <v/>
      </c>
      <c r="Q275" s="332">
        <f>IFERROR(VLOOKUP(TEXT(O275,"0"),CONDUCTORES!$A$3:$H$54,6,0),"")</f>
        <v/>
      </c>
      <c r="R275" s="334" t="n"/>
      <c r="S275" s="334" t="n"/>
      <c r="T275" s="334" t="n"/>
      <c r="U275" s="334" t="n"/>
      <c r="V275" s="334" t="n"/>
      <c r="W275" s="334" t="n"/>
      <c r="X275" s="334" t="n"/>
      <c r="Y275" s="334" t="n"/>
    </row>
    <row r="276" ht="15" customHeight="1" s="195">
      <c r="A276" s="280" t="n"/>
      <c r="B276" s="280" t="n"/>
      <c r="C276" s="280" t="n"/>
      <c r="D276" s="280" t="n"/>
      <c r="E276" s="280" t="n"/>
      <c r="F276" s="280" t="n"/>
      <c r="G276" s="280" t="n"/>
      <c r="H276" s="280" t="n"/>
      <c r="I276" s="332">
        <f>IFERROR(VLOOKUP(TEXT(H276,"0"),IPRESS!$A$3:$B$212,2,0),"")</f>
        <v/>
      </c>
      <c r="J276" s="280" t="n"/>
      <c r="K276" s="332">
        <f>IFERROR(VLOOKUP(TEXT(O276,"0"),CONDUCTORES!$A$3:$G$54,7,0),"")</f>
        <v/>
      </c>
      <c r="L276" s="280" t="n"/>
      <c r="M276" s="280" t="n"/>
      <c r="N276" s="333">
        <f>IFERROR(IF(L276*M276=0,"",L276*M276),"")</f>
        <v/>
      </c>
      <c r="O276" s="280" t="n"/>
      <c r="P276" s="332">
        <f>IFERROR(VLOOKUP(TEXT(O276,"0"),CONDUCTORES!$A$3:$G$54,2,0),"")</f>
        <v/>
      </c>
      <c r="Q276" s="332">
        <f>IFERROR(VLOOKUP(TEXT(O276,"0"),CONDUCTORES!$A$3:$H$54,6,0),"")</f>
        <v/>
      </c>
      <c r="R276" s="280" t="n"/>
      <c r="S276" s="280" t="n"/>
      <c r="T276" s="280" t="n"/>
      <c r="U276" s="280" t="n"/>
      <c r="V276" s="280" t="n"/>
      <c r="W276" s="280" t="n"/>
      <c r="X276" s="280" t="n"/>
      <c r="Y276" s="280" t="n"/>
    </row>
    <row r="277" ht="15" customHeight="1" s="195">
      <c r="A277" s="334" t="n"/>
      <c r="B277" s="334" t="n"/>
      <c r="C277" s="334" t="n"/>
      <c r="D277" s="334" t="n"/>
      <c r="E277" s="334" t="n"/>
      <c r="F277" s="334" t="n"/>
      <c r="G277" s="334" t="n"/>
      <c r="H277" s="334" t="n"/>
      <c r="I277" s="332">
        <f>IFERROR(VLOOKUP(TEXT(H277,"0"),IPRESS!$A$3:$B$212,2,0),"")</f>
        <v/>
      </c>
      <c r="J277" s="334" t="n"/>
      <c r="K277" s="332">
        <f>IFERROR(VLOOKUP(TEXT(O277,"0"),CONDUCTORES!$A$3:$G$54,7,0),"")</f>
        <v/>
      </c>
      <c r="L277" s="334" t="n"/>
      <c r="M277" s="334" t="n"/>
      <c r="N277" s="333">
        <f>IFERROR(IF(L277*M277=0,"",L277*M277),"")</f>
        <v/>
      </c>
      <c r="O277" s="334" t="n"/>
      <c r="P277" s="332">
        <f>IFERROR(VLOOKUP(TEXT(O277,"0"),CONDUCTORES!$A$3:$G$54,2,0),"")</f>
        <v/>
      </c>
      <c r="Q277" s="332">
        <f>IFERROR(VLOOKUP(TEXT(O277,"0"),CONDUCTORES!$A$3:$H$54,6,0),"")</f>
        <v/>
      </c>
      <c r="R277" s="334" t="n"/>
      <c r="S277" s="334" t="n"/>
      <c r="T277" s="334" t="n"/>
      <c r="U277" s="334" t="n"/>
      <c r="V277" s="334" t="n"/>
      <c r="W277" s="334" t="n"/>
      <c r="X277" s="334" t="n"/>
      <c r="Y277" s="334" t="n"/>
    </row>
    <row r="278" ht="15" customHeight="1" s="195">
      <c r="A278" s="280" t="n"/>
      <c r="B278" s="280" t="n"/>
      <c r="C278" s="280" t="n"/>
      <c r="D278" s="280" t="n"/>
      <c r="E278" s="280" t="n"/>
      <c r="F278" s="280" t="n"/>
      <c r="G278" s="280" t="n"/>
      <c r="H278" s="280" t="n"/>
      <c r="I278" s="332">
        <f>IFERROR(VLOOKUP(TEXT(H278,"0"),IPRESS!$A$3:$B$212,2,0),"")</f>
        <v/>
      </c>
      <c r="J278" s="280" t="n"/>
      <c r="K278" s="332">
        <f>IFERROR(VLOOKUP(TEXT(O278,"0"),CONDUCTORES!$A$3:$G$54,7,0),"")</f>
        <v/>
      </c>
      <c r="L278" s="280" t="n"/>
      <c r="M278" s="280" t="n"/>
      <c r="N278" s="333">
        <f>IFERROR(IF(L278*M278=0,"",L278*M278),"")</f>
        <v/>
      </c>
      <c r="O278" s="280" t="n"/>
      <c r="P278" s="332">
        <f>IFERROR(VLOOKUP(TEXT(O278,"0"),CONDUCTORES!$A$3:$G$54,2,0),"")</f>
        <v/>
      </c>
      <c r="Q278" s="332">
        <f>IFERROR(VLOOKUP(TEXT(O278,"0"),CONDUCTORES!$A$3:$H$54,6,0),"")</f>
        <v/>
      </c>
      <c r="R278" s="280" t="n"/>
      <c r="S278" s="280" t="n"/>
      <c r="T278" s="280" t="n"/>
      <c r="U278" s="280" t="n"/>
      <c r="V278" s="280" t="n"/>
      <c r="W278" s="280" t="n"/>
      <c r="X278" s="280" t="n"/>
      <c r="Y278" s="280" t="n"/>
    </row>
    <row r="279" ht="15" customHeight="1" s="195">
      <c r="A279" s="334" t="n"/>
      <c r="B279" s="334" t="n"/>
      <c r="C279" s="334" t="n"/>
      <c r="D279" s="334" t="n"/>
      <c r="E279" s="334" t="n"/>
      <c r="F279" s="334" t="n"/>
      <c r="G279" s="334" t="n"/>
      <c r="H279" s="334" t="n"/>
      <c r="I279" s="332">
        <f>IFERROR(VLOOKUP(TEXT(H279,"0"),IPRESS!$A$3:$B$212,2,0),"")</f>
        <v/>
      </c>
      <c r="J279" s="334" t="n"/>
      <c r="K279" s="332">
        <f>IFERROR(VLOOKUP(TEXT(O279,"0"),CONDUCTORES!$A$3:$G$54,7,0),"")</f>
        <v/>
      </c>
      <c r="L279" s="334" t="n"/>
      <c r="M279" s="334" t="n"/>
      <c r="N279" s="333">
        <f>IFERROR(IF(L279*M279=0,"",L279*M279),"")</f>
        <v/>
      </c>
      <c r="O279" s="334" t="n"/>
      <c r="P279" s="332">
        <f>IFERROR(VLOOKUP(TEXT(O279,"0"),CONDUCTORES!$A$3:$G$54,2,0),"")</f>
        <v/>
      </c>
      <c r="Q279" s="332">
        <f>IFERROR(VLOOKUP(TEXT(O279,"0"),CONDUCTORES!$A$3:$H$54,6,0),"")</f>
        <v/>
      </c>
      <c r="R279" s="334" t="n"/>
      <c r="S279" s="334" t="n"/>
      <c r="T279" s="334" t="n"/>
      <c r="U279" s="334" t="n"/>
      <c r="V279" s="334" t="n"/>
      <c r="W279" s="334" t="n"/>
      <c r="X279" s="334" t="n"/>
      <c r="Y279" s="334" t="n"/>
    </row>
    <row r="280" ht="15" customHeight="1" s="195">
      <c r="A280" s="280" t="n"/>
      <c r="B280" s="280" t="n"/>
      <c r="C280" s="280" t="n"/>
      <c r="D280" s="280" t="n"/>
      <c r="E280" s="280" t="n"/>
      <c r="F280" s="280" t="n"/>
      <c r="G280" s="280" t="n"/>
      <c r="H280" s="280" t="n"/>
      <c r="I280" s="332">
        <f>IFERROR(VLOOKUP(TEXT(H280,"0"),IPRESS!$A$3:$B$212,2,0),"")</f>
        <v/>
      </c>
      <c r="J280" s="280" t="n"/>
      <c r="K280" s="332">
        <f>IFERROR(VLOOKUP(TEXT(O280,"0"),CONDUCTORES!$A$3:$G$54,7,0),"")</f>
        <v/>
      </c>
      <c r="L280" s="280" t="n"/>
      <c r="M280" s="280" t="n"/>
      <c r="N280" s="333">
        <f>IFERROR(IF(L280*M280=0,"",L280*M280),"")</f>
        <v/>
      </c>
      <c r="O280" s="280" t="n"/>
      <c r="P280" s="332">
        <f>IFERROR(VLOOKUP(TEXT(O280,"0"),CONDUCTORES!$A$3:$G$54,2,0),"")</f>
        <v/>
      </c>
      <c r="Q280" s="332">
        <f>IFERROR(VLOOKUP(TEXT(O280,"0"),CONDUCTORES!$A$3:$H$54,6,0),"")</f>
        <v/>
      </c>
      <c r="R280" s="280" t="n"/>
      <c r="S280" s="280" t="n"/>
      <c r="T280" s="280" t="n"/>
      <c r="U280" s="280" t="n"/>
      <c r="V280" s="280" t="n"/>
      <c r="W280" s="280" t="n"/>
      <c r="X280" s="280" t="n"/>
      <c r="Y280" s="280" t="n"/>
    </row>
    <row r="281" ht="15" customHeight="1" s="195">
      <c r="A281" s="334" t="n"/>
      <c r="B281" s="334" t="n"/>
      <c r="C281" s="334" t="n"/>
      <c r="D281" s="334" t="n"/>
      <c r="E281" s="334" t="n"/>
      <c r="F281" s="334" t="n"/>
      <c r="G281" s="334" t="n"/>
      <c r="H281" s="334" t="n"/>
      <c r="I281" s="332">
        <f>IFERROR(VLOOKUP(TEXT(H281,"0"),IPRESS!$A$3:$B$212,2,0),"")</f>
        <v/>
      </c>
      <c r="J281" s="334" t="n"/>
      <c r="K281" s="332">
        <f>IFERROR(VLOOKUP(TEXT(O281,"0"),CONDUCTORES!$A$3:$G$54,7,0),"")</f>
        <v/>
      </c>
      <c r="L281" s="334" t="n"/>
      <c r="M281" s="334" t="n"/>
      <c r="N281" s="333">
        <f>IFERROR(IF(L281*M281=0,"",L281*M281),"")</f>
        <v/>
      </c>
      <c r="O281" s="334" t="n"/>
      <c r="P281" s="332">
        <f>IFERROR(VLOOKUP(TEXT(O281,"0"),CONDUCTORES!$A$3:$G$54,2,0),"")</f>
        <v/>
      </c>
      <c r="Q281" s="332">
        <f>IFERROR(VLOOKUP(TEXT(O281,"0"),CONDUCTORES!$A$3:$H$54,6,0),"")</f>
        <v/>
      </c>
      <c r="R281" s="334" t="n"/>
      <c r="S281" s="334" t="n"/>
      <c r="T281" s="334" t="n"/>
      <c r="U281" s="334" t="n"/>
      <c r="V281" s="334" t="n"/>
      <c r="W281" s="334" t="n"/>
      <c r="X281" s="334" t="n"/>
      <c r="Y281" s="334" t="n"/>
    </row>
    <row r="282" ht="15" customHeight="1" s="195">
      <c r="A282" s="280" t="n"/>
      <c r="B282" s="280" t="n"/>
      <c r="C282" s="280" t="n"/>
      <c r="D282" s="280" t="n"/>
      <c r="E282" s="280" t="n"/>
      <c r="F282" s="280" t="n"/>
      <c r="G282" s="280" t="n"/>
      <c r="H282" s="280" t="n"/>
      <c r="I282" s="332">
        <f>IFERROR(VLOOKUP(TEXT(H282,"0"),IPRESS!$A$3:$B$212,2,0),"")</f>
        <v/>
      </c>
      <c r="J282" s="280" t="n"/>
      <c r="K282" s="332">
        <f>IFERROR(VLOOKUP(TEXT(O282,"0"),CONDUCTORES!$A$3:$G$54,7,0),"")</f>
        <v/>
      </c>
      <c r="L282" s="280" t="n"/>
      <c r="M282" s="280" t="n"/>
      <c r="N282" s="333">
        <f>IFERROR(IF(L282*M282=0,"",L282*M282),"")</f>
        <v/>
      </c>
      <c r="O282" s="280" t="n"/>
      <c r="P282" s="332">
        <f>IFERROR(VLOOKUP(TEXT(O282,"0"),CONDUCTORES!$A$3:$G$54,2,0),"")</f>
        <v/>
      </c>
      <c r="Q282" s="332">
        <f>IFERROR(VLOOKUP(TEXT(O282,"0"),CONDUCTORES!$A$3:$H$54,6,0),"")</f>
        <v/>
      </c>
      <c r="R282" s="280" t="n"/>
      <c r="S282" s="280" t="n"/>
      <c r="T282" s="280" t="n"/>
      <c r="U282" s="280" t="n"/>
      <c r="V282" s="280" t="n"/>
      <c r="W282" s="280" t="n"/>
      <c r="X282" s="280" t="n"/>
      <c r="Y282" s="280" t="n"/>
    </row>
    <row r="283" ht="15" customHeight="1" s="195">
      <c r="A283" s="334" t="n"/>
      <c r="B283" s="334" t="n"/>
      <c r="C283" s="334" t="n"/>
      <c r="D283" s="334" t="n"/>
      <c r="E283" s="334" t="n"/>
      <c r="F283" s="334" t="n"/>
      <c r="G283" s="334" t="n"/>
      <c r="H283" s="334" t="n"/>
      <c r="I283" s="332">
        <f>IFERROR(VLOOKUP(TEXT(H283,"0"),IPRESS!$A$3:$B$212,2,0),"")</f>
        <v/>
      </c>
      <c r="J283" s="334" t="n"/>
      <c r="K283" s="332">
        <f>IFERROR(VLOOKUP(TEXT(O283,"0"),CONDUCTORES!$A$3:$G$54,7,0),"")</f>
        <v/>
      </c>
      <c r="L283" s="334" t="n"/>
      <c r="M283" s="334" t="n"/>
      <c r="N283" s="333">
        <f>IFERROR(IF(L283*M283=0,"",L283*M283),"")</f>
        <v/>
      </c>
      <c r="O283" s="334" t="n"/>
      <c r="P283" s="332">
        <f>IFERROR(VLOOKUP(TEXT(O283,"0"),CONDUCTORES!$A$3:$G$54,2,0),"")</f>
        <v/>
      </c>
      <c r="Q283" s="332">
        <f>IFERROR(VLOOKUP(TEXT(O283,"0"),CONDUCTORES!$A$3:$H$54,6,0),"")</f>
        <v/>
      </c>
      <c r="R283" s="334" t="n"/>
      <c r="S283" s="334" t="n"/>
      <c r="T283" s="334" t="n"/>
      <c r="U283" s="334" t="n"/>
      <c r="V283" s="334" t="n"/>
      <c r="W283" s="334" t="n"/>
      <c r="X283" s="334" t="n"/>
      <c r="Y283" s="334" t="n"/>
    </row>
    <row r="284" ht="15" customHeight="1" s="195">
      <c r="A284" s="280" t="n"/>
      <c r="B284" s="280" t="n"/>
      <c r="C284" s="280" t="n"/>
      <c r="D284" s="280" t="n"/>
      <c r="E284" s="280" t="n"/>
      <c r="F284" s="280" t="n"/>
      <c r="G284" s="280" t="n"/>
      <c r="H284" s="280" t="n"/>
      <c r="I284" s="332">
        <f>IFERROR(VLOOKUP(TEXT(H284,"0"),IPRESS!$A$3:$B$212,2,0),"")</f>
        <v/>
      </c>
      <c r="J284" s="280" t="n"/>
      <c r="K284" s="332">
        <f>IFERROR(VLOOKUP(TEXT(O284,"0"),CONDUCTORES!$A$3:$G$54,7,0),"")</f>
        <v/>
      </c>
      <c r="L284" s="280" t="n"/>
      <c r="M284" s="280" t="n"/>
      <c r="N284" s="333">
        <f>IFERROR(IF(L284*M284=0,"",L284*M284),"")</f>
        <v/>
      </c>
      <c r="O284" s="280" t="n"/>
      <c r="P284" s="332">
        <f>IFERROR(VLOOKUP(TEXT(O284,"0"),CONDUCTORES!$A$3:$G$54,2,0),"")</f>
        <v/>
      </c>
      <c r="Q284" s="332">
        <f>IFERROR(VLOOKUP(TEXT(O284,"0"),CONDUCTORES!$A$3:$H$54,6,0),"")</f>
        <v/>
      </c>
      <c r="R284" s="280" t="n"/>
      <c r="S284" s="280" t="n"/>
      <c r="T284" s="280" t="n"/>
      <c r="U284" s="280" t="n"/>
      <c r="V284" s="280" t="n"/>
      <c r="W284" s="280" t="n"/>
      <c r="X284" s="280" t="n"/>
      <c r="Y284" s="280" t="n"/>
    </row>
    <row r="285" ht="15" customHeight="1" s="195">
      <c r="A285" s="334" t="n"/>
      <c r="B285" s="334" t="n"/>
      <c r="C285" s="334" t="n"/>
      <c r="D285" s="334" t="n"/>
      <c r="E285" s="334" t="n"/>
      <c r="F285" s="334" t="n"/>
      <c r="G285" s="334" t="n"/>
      <c r="H285" s="334" t="n"/>
      <c r="I285" s="332">
        <f>IFERROR(VLOOKUP(TEXT(H285,"0"),IPRESS!$A$3:$B$212,2,0),"")</f>
        <v/>
      </c>
      <c r="J285" s="334" t="n"/>
      <c r="K285" s="332">
        <f>IFERROR(VLOOKUP(TEXT(O285,"0"),CONDUCTORES!$A$3:$G$54,7,0),"")</f>
        <v/>
      </c>
      <c r="L285" s="334" t="n"/>
      <c r="M285" s="334" t="n"/>
      <c r="N285" s="333">
        <f>IFERROR(IF(L285*M285=0,"",L285*M285),"")</f>
        <v/>
      </c>
      <c r="O285" s="334" t="n"/>
      <c r="P285" s="332">
        <f>IFERROR(VLOOKUP(TEXT(O285,"0"),CONDUCTORES!$A$3:$G$54,2,0),"")</f>
        <v/>
      </c>
      <c r="Q285" s="332">
        <f>IFERROR(VLOOKUP(TEXT(O285,"0"),CONDUCTORES!$A$3:$H$54,6,0),"")</f>
        <v/>
      </c>
      <c r="R285" s="334" t="n"/>
      <c r="S285" s="334" t="n"/>
      <c r="T285" s="334" t="n"/>
      <c r="U285" s="334" t="n"/>
      <c r="V285" s="334" t="n"/>
      <c r="W285" s="334" t="n"/>
      <c r="X285" s="334" t="n"/>
      <c r="Y285" s="334" t="n"/>
    </row>
    <row r="286" ht="15" customHeight="1" s="195">
      <c r="A286" s="280" t="n"/>
      <c r="B286" s="280" t="n"/>
      <c r="C286" s="280" t="n"/>
      <c r="D286" s="280" t="n"/>
      <c r="E286" s="280" t="n"/>
      <c r="F286" s="280" t="n"/>
      <c r="G286" s="280" t="n"/>
      <c r="H286" s="280" t="n"/>
      <c r="I286" s="332">
        <f>IFERROR(VLOOKUP(TEXT(H286,"0"),IPRESS!$A$3:$B$212,2,0),"")</f>
        <v/>
      </c>
      <c r="J286" s="280" t="n"/>
      <c r="K286" s="332">
        <f>IFERROR(VLOOKUP(TEXT(O286,"0"),CONDUCTORES!$A$3:$G$54,7,0),"")</f>
        <v/>
      </c>
      <c r="L286" s="280" t="n"/>
      <c r="M286" s="280" t="n"/>
      <c r="N286" s="333">
        <f>IFERROR(IF(L286*M286=0,"",L286*M286),"")</f>
        <v/>
      </c>
      <c r="O286" s="280" t="n"/>
      <c r="P286" s="332">
        <f>IFERROR(VLOOKUP(TEXT(O286,"0"),CONDUCTORES!$A$3:$G$54,2,0),"")</f>
        <v/>
      </c>
      <c r="Q286" s="332">
        <f>IFERROR(VLOOKUP(TEXT(O286,"0"),CONDUCTORES!$A$3:$H$54,6,0),"")</f>
        <v/>
      </c>
      <c r="R286" s="280" t="n"/>
      <c r="S286" s="280" t="n"/>
      <c r="T286" s="280" t="n"/>
      <c r="U286" s="280" t="n"/>
      <c r="V286" s="280" t="n"/>
      <c r="W286" s="280" t="n"/>
      <c r="X286" s="280" t="n"/>
      <c r="Y286" s="280" t="n"/>
    </row>
    <row r="287" ht="15" customHeight="1" s="195">
      <c r="A287" s="334" t="n"/>
      <c r="B287" s="334" t="n"/>
      <c r="C287" s="334" t="n"/>
      <c r="D287" s="334" t="n"/>
      <c r="E287" s="334" t="n"/>
      <c r="F287" s="334" t="n"/>
      <c r="G287" s="334" t="n"/>
      <c r="H287" s="334" t="n"/>
      <c r="I287" s="332">
        <f>IFERROR(VLOOKUP(TEXT(H287,"0"),IPRESS!$A$3:$B$212,2,0),"")</f>
        <v/>
      </c>
      <c r="J287" s="334" t="n"/>
      <c r="K287" s="332">
        <f>IFERROR(VLOOKUP(TEXT(O287,"0"),CONDUCTORES!$A$3:$G$54,7,0),"")</f>
        <v/>
      </c>
      <c r="L287" s="334" t="n"/>
      <c r="M287" s="334" t="n"/>
      <c r="N287" s="333">
        <f>IFERROR(IF(L287*M287=0,"",L287*M287),"")</f>
        <v/>
      </c>
      <c r="O287" s="334" t="n"/>
      <c r="P287" s="332">
        <f>IFERROR(VLOOKUP(TEXT(O287,"0"),CONDUCTORES!$A$3:$G$54,2,0),"")</f>
        <v/>
      </c>
      <c r="Q287" s="332">
        <f>IFERROR(VLOOKUP(TEXT(O287,"0"),CONDUCTORES!$A$3:$H$54,6,0),"")</f>
        <v/>
      </c>
      <c r="R287" s="334" t="n"/>
      <c r="S287" s="334" t="n"/>
      <c r="T287" s="334" t="n"/>
      <c r="U287" s="334" t="n"/>
      <c r="V287" s="334" t="n"/>
      <c r="W287" s="334" t="n"/>
      <c r="X287" s="334" t="n"/>
      <c r="Y287" s="334" t="n"/>
    </row>
    <row r="288" ht="15" customHeight="1" s="195">
      <c r="A288" s="280" t="n"/>
      <c r="B288" s="280" t="n"/>
      <c r="C288" s="280" t="n"/>
      <c r="D288" s="280" t="n"/>
      <c r="E288" s="280" t="n"/>
      <c r="F288" s="280" t="n"/>
      <c r="G288" s="280" t="n"/>
      <c r="H288" s="280" t="n"/>
      <c r="I288" s="332">
        <f>IFERROR(VLOOKUP(TEXT(H288,"0"),IPRESS!$A$3:$B$212,2,0),"")</f>
        <v/>
      </c>
      <c r="J288" s="280" t="n"/>
      <c r="K288" s="332">
        <f>IFERROR(VLOOKUP(TEXT(O288,"0"),CONDUCTORES!$A$3:$G$54,7,0),"")</f>
        <v/>
      </c>
      <c r="L288" s="280" t="n"/>
      <c r="M288" s="280" t="n"/>
      <c r="N288" s="333">
        <f>IFERROR(IF(L288*M288=0,"",L288*M288),"")</f>
        <v/>
      </c>
      <c r="O288" s="280" t="n"/>
      <c r="P288" s="332">
        <f>IFERROR(VLOOKUP(TEXT(O288,"0"),CONDUCTORES!$A$3:$G$54,2,0),"")</f>
        <v/>
      </c>
      <c r="Q288" s="332">
        <f>IFERROR(VLOOKUP(TEXT(O288,"0"),CONDUCTORES!$A$3:$H$54,6,0),"")</f>
        <v/>
      </c>
      <c r="R288" s="280" t="n"/>
      <c r="S288" s="280" t="n"/>
      <c r="T288" s="280" t="n"/>
      <c r="U288" s="280" t="n"/>
      <c r="V288" s="280" t="n"/>
      <c r="W288" s="280" t="n"/>
      <c r="X288" s="280" t="n"/>
      <c r="Y288" s="280" t="n"/>
    </row>
    <row r="289" ht="15" customHeight="1" s="195">
      <c r="A289" s="334" t="n"/>
      <c r="B289" s="334" t="n"/>
      <c r="C289" s="334" t="n"/>
      <c r="D289" s="334" t="n"/>
      <c r="E289" s="334" t="n"/>
      <c r="F289" s="334" t="n"/>
      <c r="G289" s="334" t="n"/>
      <c r="H289" s="334" t="n"/>
      <c r="I289" s="332">
        <f>IFERROR(VLOOKUP(TEXT(H289,"0"),IPRESS!$A$3:$B$212,2,0),"")</f>
        <v/>
      </c>
      <c r="J289" s="334" t="n"/>
      <c r="K289" s="332">
        <f>IFERROR(VLOOKUP(TEXT(O289,"0"),CONDUCTORES!$A$3:$G$54,7,0),"")</f>
        <v/>
      </c>
      <c r="L289" s="334" t="n"/>
      <c r="M289" s="334" t="n"/>
      <c r="N289" s="333">
        <f>IFERROR(IF(L289*M289=0,"",L289*M289),"")</f>
        <v/>
      </c>
      <c r="O289" s="334" t="n"/>
      <c r="P289" s="332">
        <f>IFERROR(VLOOKUP(TEXT(O289,"0"),CONDUCTORES!$A$3:$G$54,2,0),"")</f>
        <v/>
      </c>
      <c r="Q289" s="332">
        <f>IFERROR(VLOOKUP(TEXT(O289,"0"),CONDUCTORES!$A$3:$H$54,6,0),"")</f>
        <v/>
      </c>
      <c r="R289" s="334" t="n"/>
      <c r="S289" s="334" t="n"/>
      <c r="T289" s="334" t="n"/>
      <c r="U289" s="334" t="n"/>
      <c r="V289" s="334" t="n"/>
      <c r="W289" s="334" t="n"/>
      <c r="X289" s="334" t="n"/>
      <c r="Y289" s="334" t="n"/>
    </row>
    <row r="290" ht="15" customHeight="1" s="195">
      <c r="A290" s="280" t="n"/>
      <c r="B290" s="280" t="n"/>
      <c r="C290" s="280" t="n"/>
      <c r="D290" s="280" t="n"/>
      <c r="E290" s="280" t="n"/>
      <c r="F290" s="280" t="n"/>
      <c r="G290" s="280" t="n"/>
      <c r="H290" s="280" t="n"/>
      <c r="I290" s="332">
        <f>IFERROR(VLOOKUP(TEXT(H290,"0"),IPRESS!$A$3:$B$212,2,0),"")</f>
        <v/>
      </c>
      <c r="J290" s="280" t="n"/>
      <c r="K290" s="332">
        <f>IFERROR(VLOOKUP(TEXT(O290,"0"),CONDUCTORES!$A$3:$G$54,7,0),"")</f>
        <v/>
      </c>
      <c r="L290" s="280" t="n"/>
      <c r="M290" s="280" t="n"/>
      <c r="N290" s="333">
        <f>IFERROR(IF(L290*M290=0,"",L290*M290),"")</f>
        <v/>
      </c>
      <c r="O290" s="280" t="n"/>
      <c r="P290" s="332">
        <f>IFERROR(VLOOKUP(TEXT(O290,"0"),CONDUCTORES!$A$3:$G$54,2,0),"")</f>
        <v/>
      </c>
      <c r="Q290" s="332">
        <f>IFERROR(VLOOKUP(TEXT(O290,"0"),CONDUCTORES!$A$3:$H$54,6,0),"")</f>
        <v/>
      </c>
      <c r="R290" s="280" t="n"/>
      <c r="S290" s="280" t="n"/>
      <c r="T290" s="280" t="n"/>
      <c r="U290" s="280" t="n"/>
      <c r="V290" s="280" t="n"/>
      <c r="W290" s="280" t="n"/>
      <c r="X290" s="280" t="n"/>
      <c r="Y290" s="280" t="n"/>
    </row>
    <row r="291" ht="15" customHeight="1" s="195">
      <c r="A291" s="334" t="n"/>
      <c r="B291" s="334" t="n"/>
      <c r="C291" s="334" t="n"/>
      <c r="D291" s="334" t="n"/>
      <c r="E291" s="334" t="n"/>
      <c r="F291" s="334" t="n"/>
      <c r="G291" s="334" t="n"/>
      <c r="H291" s="334" t="n"/>
      <c r="I291" s="332">
        <f>IFERROR(VLOOKUP(TEXT(H291,"0"),IPRESS!$A$3:$B$212,2,0),"")</f>
        <v/>
      </c>
      <c r="J291" s="334" t="n"/>
      <c r="K291" s="332">
        <f>IFERROR(VLOOKUP(TEXT(O291,"0"),CONDUCTORES!$A$3:$G$54,7,0),"")</f>
        <v/>
      </c>
      <c r="L291" s="334" t="n"/>
      <c r="M291" s="334" t="n"/>
      <c r="N291" s="333">
        <f>IFERROR(IF(L291*M291=0,"",L291*M291),"")</f>
        <v/>
      </c>
      <c r="O291" s="334" t="n"/>
      <c r="P291" s="332">
        <f>IFERROR(VLOOKUP(TEXT(O291,"0"),CONDUCTORES!$A$3:$G$54,2,0),"")</f>
        <v/>
      </c>
      <c r="Q291" s="332">
        <f>IFERROR(VLOOKUP(TEXT(O291,"0"),CONDUCTORES!$A$3:$H$54,6,0),"")</f>
        <v/>
      </c>
      <c r="R291" s="334" t="n"/>
      <c r="S291" s="334" t="n"/>
      <c r="T291" s="334" t="n"/>
      <c r="U291" s="334" t="n"/>
      <c r="V291" s="334" t="n"/>
      <c r="W291" s="334" t="n"/>
      <c r="X291" s="334" t="n"/>
      <c r="Y291" s="334" t="n"/>
    </row>
    <row r="292" ht="15" customHeight="1" s="195">
      <c r="A292" s="280" t="n"/>
      <c r="B292" s="280" t="n"/>
      <c r="C292" s="280" t="n"/>
      <c r="D292" s="280" t="n"/>
      <c r="E292" s="280" t="n"/>
      <c r="F292" s="280" t="n"/>
      <c r="G292" s="280" t="n"/>
      <c r="H292" s="280" t="n"/>
      <c r="I292" s="332">
        <f>IFERROR(VLOOKUP(TEXT(H292,"0"),IPRESS!$A$3:$B$212,2,0),"")</f>
        <v/>
      </c>
      <c r="J292" s="280" t="n"/>
      <c r="K292" s="332">
        <f>IFERROR(VLOOKUP(TEXT(O292,"0"),CONDUCTORES!$A$3:$G$54,7,0),"")</f>
        <v/>
      </c>
      <c r="L292" s="280" t="n"/>
      <c r="M292" s="280" t="n"/>
      <c r="N292" s="333">
        <f>IFERROR(IF(L292*M292=0,"",L292*M292),"")</f>
        <v/>
      </c>
      <c r="O292" s="280" t="n"/>
      <c r="P292" s="332">
        <f>IFERROR(VLOOKUP(TEXT(O292,"0"),CONDUCTORES!$A$3:$G$54,2,0),"")</f>
        <v/>
      </c>
      <c r="Q292" s="332">
        <f>IFERROR(VLOOKUP(TEXT(O292,"0"),CONDUCTORES!$A$3:$H$54,6,0),"")</f>
        <v/>
      </c>
      <c r="R292" s="280" t="n"/>
      <c r="S292" s="280" t="n"/>
      <c r="T292" s="280" t="n"/>
      <c r="U292" s="280" t="n"/>
      <c r="V292" s="280" t="n"/>
      <c r="W292" s="280" t="n"/>
      <c r="X292" s="280" t="n"/>
      <c r="Y292" s="280" t="n"/>
    </row>
    <row r="293" ht="15" customHeight="1" s="195">
      <c r="A293" s="334" t="n"/>
      <c r="B293" s="334" t="n"/>
      <c r="C293" s="334" t="n"/>
      <c r="D293" s="334" t="n"/>
      <c r="E293" s="334" t="n"/>
      <c r="F293" s="334" t="n"/>
      <c r="G293" s="334" t="n"/>
      <c r="H293" s="334" t="n"/>
      <c r="I293" s="332">
        <f>IFERROR(VLOOKUP(TEXT(H293,"0"),IPRESS!$A$3:$B$212,2,0),"")</f>
        <v/>
      </c>
      <c r="J293" s="334" t="n"/>
      <c r="K293" s="332">
        <f>IFERROR(VLOOKUP(TEXT(O293,"0"),CONDUCTORES!$A$3:$G$54,7,0),"")</f>
        <v/>
      </c>
      <c r="L293" s="334" t="n"/>
      <c r="M293" s="334" t="n"/>
      <c r="N293" s="333">
        <f>IFERROR(IF(L293*M293=0,"",L293*M293),"")</f>
        <v/>
      </c>
      <c r="O293" s="334" t="n"/>
      <c r="P293" s="332">
        <f>IFERROR(VLOOKUP(TEXT(O293,"0"),CONDUCTORES!$A$3:$G$54,2,0),"")</f>
        <v/>
      </c>
      <c r="Q293" s="332">
        <f>IFERROR(VLOOKUP(TEXT(O293,"0"),CONDUCTORES!$A$3:$H$54,6,0),"")</f>
        <v/>
      </c>
      <c r="R293" s="334" t="n"/>
      <c r="S293" s="334" t="n"/>
      <c r="T293" s="334" t="n"/>
      <c r="U293" s="334" t="n"/>
      <c r="V293" s="334" t="n"/>
      <c r="W293" s="334" t="n"/>
      <c r="X293" s="334" t="n"/>
      <c r="Y293" s="334" t="n"/>
    </row>
    <row r="294" ht="15" customHeight="1" s="195">
      <c r="A294" s="280" t="n"/>
      <c r="B294" s="280" t="n"/>
      <c r="C294" s="280" t="n"/>
      <c r="D294" s="280" t="n"/>
      <c r="E294" s="280" t="n"/>
      <c r="F294" s="280" t="n"/>
      <c r="G294" s="280" t="n"/>
      <c r="H294" s="280" t="n"/>
      <c r="I294" s="332">
        <f>IFERROR(VLOOKUP(TEXT(H294,"0"),IPRESS!$A$3:$B$212,2,0),"")</f>
        <v/>
      </c>
      <c r="J294" s="280" t="n"/>
      <c r="K294" s="332">
        <f>IFERROR(VLOOKUP(TEXT(O294,"0"),CONDUCTORES!$A$3:$G$54,7,0),"")</f>
        <v/>
      </c>
      <c r="L294" s="280" t="n"/>
      <c r="M294" s="280" t="n"/>
      <c r="N294" s="333">
        <f>IFERROR(IF(L294*M294=0,"",L294*M294),"")</f>
        <v/>
      </c>
      <c r="O294" s="280" t="n"/>
      <c r="P294" s="332">
        <f>IFERROR(VLOOKUP(TEXT(O294,"0"),CONDUCTORES!$A$3:$G$54,2,0),"")</f>
        <v/>
      </c>
      <c r="Q294" s="332">
        <f>IFERROR(VLOOKUP(TEXT(O294,"0"),CONDUCTORES!$A$3:$H$54,6,0),"")</f>
        <v/>
      </c>
      <c r="R294" s="280" t="n"/>
      <c r="S294" s="280" t="n"/>
      <c r="T294" s="280" t="n"/>
      <c r="U294" s="280" t="n"/>
      <c r="V294" s="280" t="n"/>
      <c r="W294" s="280" t="n"/>
      <c r="X294" s="280" t="n"/>
      <c r="Y294" s="280" t="n"/>
    </row>
    <row r="295" ht="15" customHeight="1" s="195">
      <c r="A295" s="334" t="n"/>
      <c r="B295" s="334" t="n"/>
      <c r="C295" s="334" t="n"/>
      <c r="D295" s="334" t="n"/>
      <c r="E295" s="334" t="n"/>
      <c r="F295" s="334" t="n"/>
      <c r="G295" s="334" t="n"/>
      <c r="H295" s="334" t="n"/>
      <c r="I295" s="332">
        <f>IFERROR(VLOOKUP(TEXT(H295,"0"),IPRESS!$A$3:$B$212,2,0),"")</f>
        <v/>
      </c>
      <c r="J295" s="334" t="n"/>
      <c r="K295" s="332">
        <f>IFERROR(VLOOKUP(TEXT(O295,"0"),CONDUCTORES!$A$3:$G$54,7,0),"")</f>
        <v/>
      </c>
      <c r="L295" s="334" t="n"/>
      <c r="M295" s="334" t="n"/>
      <c r="N295" s="333">
        <f>IFERROR(IF(L295*M295=0,"",L295*M295),"")</f>
        <v/>
      </c>
      <c r="O295" s="334" t="n"/>
      <c r="P295" s="332">
        <f>IFERROR(VLOOKUP(TEXT(O295,"0"),CONDUCTORES!$A$3:$G$54,2,0),"")</f>
        <v/>
      </c>
      <c r="Q295" s="332">
        <f>IFERROR(VLOOKUP(TEXT(O295,"0"),CONDUCTORES!$A$3:$H$54,6,0),"")</f>
        <v/>
      </c>
      <c r="R295" s="334" t="n"/>
      <c r="S295" s="334" t="n"/>
      <c r="T295" s="334" t="n"/>
      <c r="U295" s="334" t="n"/>
      <c r="V295" s="334" t="n"/>
      <c r="W295" s="334" t="n"/>
      <c r="X295" s="334" t="n"/>
      <c r="Y295" s="334" t="n"/>
    </row>
    <row r="296" ht="15" customHeight="1" s="195">
      <c r="A296" s="280" t="n"/>
      <c r="B296" s="280" t="n"/>
      <c r="C296" s="280" t="n"/>
      <c r="D296" s="280" t="n"/>
      <c r="E296" s="280" t="n"/>
      <c r="F296" s="280" t="n"/>
      <c r="G296" s="280" t="n"/>
      <c r="H296" s="280" t="n"/>
      <c r="I296" s="332">
        <f>IFERROR(VLOOKUP(TEXT(H296,"0"),IPRESS!$A$3:$B$212,2,0),"")</f>
        <v/>
      </c>
      <c r="J296" s="280" t="n"/>
      <c r="K296" s="332">
        <f>IFERROR(VLOOKUP(TEXT(O296,"0"),CONDUCTORES!$A$3:$G$54,7,0),"")</f>
        <v/>
      </c>
      <c r="L296" s="280" t="n"/>
      <c r="M296" s="280" t="n"/>
      <c r="N296" s="333">
        <f>IFERROR(IF(L296*M296=0,"",L296*M296),"")</f>
        <v/>
      </c>
      <c r="O296" s="280" t="n"/>
      <c r="P296" s="332">
        <f>IFERROR(VLOOKUP(TEXT(O296,"0"),CONDUCTORES!$A$3:$G$54,2,0),"")</f>
        <v/>
      </c>
      <c r="Q296" s="332">
        <f>IFERROR(VLOOKUP(TEXT(O296,"0"),CONDUCTORES!$A$3:$H$54,6,0),"")</f>
        <v/>
      </c>
      <c r="R296" s="280" t="n"/>
      <c r="S296" s="280" t="n"/>
      <c r="T296" s="280" t="n"/>
      <c r="U296" s="280" t="n"/>
      <c r="V296" s="280" t="n"/>
      <c r="W296" s="280" t="n"/>
      <c r="X296" s="280" t="n"/>
      <c r="Y296" s="280" t="n"/>
    </row>
    <row r="297" ht="15" customHeight="1" s="195">
      <c r="A297" s="334" t="n"/>
      <c r="B297" s="334" t="n"/>
      <c r="C297" s="334" t="n"/>
      <c r="D297" s="334" t="n"/>
      <c r="E297" s="334" t="n"/>
      <c r="F297" s="334" t="n"/>
      <c r="G297" s="334" t="n"/>
      <c r="H297" s="334" t="n"/>
      <c r="I297" s="332">
        <f>IFERROR(VLOOKUP(TEXT(H297,"0"),IPRESS!$A$3:$B$212,2,0),"")</f>
        <v/>
      </c>
      <c r="J297" s="334" t="n"/>
      <c r="K297" s="332">
        <f>IFERROR(VLOOKUP(TEXT(O297,"0"),CONDUCTORES!$A$3:$G$54,7,0),"")</f>
        <v/>
      </c>
      <c r="L297" s="334" t="n"/>
      <c r="M297" s="334" t="n"/>
      <c r="N297" s="333">
        <f>IFERROR(IF(L297*M297=0,"",L297*M297),"")</f>
        <v/>
      </c>
      <c r="O297" s="334" t="n"/>
      <c r="P297" s="332">
        <f>IFERROR(VLOOKUP(TEXT(O297,"0"),CONDUCTORES!$A$3:$G$54,2,0),"")</f>
        <v/>
      </c>
      <c r="Q297" s="332">
        <f>IFERROR(VLOOKUP(TEXT(O297,"0"),CONDUCTORES!$A$3:$H$54,6,0),"")</f>
        <v/>
      </c>
      <c r="R297" s="334" t="n"/>
      <c r="S297" s="334" t="n"/>
      <c r="T297" s="334" t="n"/>
      <c r="U297" s="334" t="n"/>
      <c r="V297" s="334" t="n"/>
      <c r="W297" s="334" t="n"/>
      <c r="X297" s="334" t="n"/>
      <c r="Y297" s="334" t="n"/>
    </row>
    <row r="298" ht="15" customHeight="1" s="195">
      <c r="A298" s="280" t="n"/>
      <c r="B298" s="280" t="n"/>
      <c r="C298" s="280" t="n"/>
      <c r="D298" s="280" t="n"/>
      <c r="E298" s="280" t="n"/>
      <c r="F298" s="280" t="n"/>
      <c r="G298" s="280" t="n"/>
      <c r="H298" s="280" t="n"/>
      <c r="I298" s="332">
        <f>IFERROR(VLOOKUP(TEXT(H298,"0"),IPRESS!$A$3:$B$212,2,0),"")</f>
        <v/>
      </c>
      <c r="J298" s="280" t="n"/>
      <c r="K298" s="332">
        <f>IFERROR(VLOOKUP(TEXT(O298,"0"),CONDUCTORES!$A$3:$G$54,7,0),"")</f>
        <v/>
      </c>
      <c r="L298" s="280" t="n"/>
      <c r="M298" s="280" t="n"/>
      <c r="N298" s="333">
        <f>IFERROR(IF(L298*M298=0,"",L298*M298),"")</f>
        <v/>
      </c>
      <c r="O298" s="280" t="n"/>
      <c r="P298" s="332">
        <f>IFERROR(VLOOKUP(TEXT(O298,"0"),CONDUCTORES!$A$3:$G$54,2,0),"")</f>
        <v/>
      </c>
      <c r="Q298" s="332">
        <f>IFERROR(VLOOKUP(TEXT(O298,"0"),CONDUCTORES!$A$3:$H$54,6,0),"")</f>
        <v/>
      </c>
      <c r="R298" s="280" t="n"/>
      <c r="S298" s="280" t="n"/>
      <c r="T298" s="280" t="n"/>
      <c r="U298" s="280" t="n"/>
      <c r="V298" s="280" t="n"/>
      <c r="W298" s="280" t="n"/>
      <c r="X298" s="280" t="n"/>
      <c r="Y298" s="280" t="n"/>
    </row>
    <row r="299" ht="15" customHeight="1" s="195">
      <c r="A299" s="334" t="n"/>
      <c r="B299" s="334" t="n"/>
      <c r="C299" s="334" t="n"/>
      <c r="D299" s="334" t="n"/>
      <c r="E299" s="334" t="n"/>
      <c r="F299" s="334" t="n"/>
      <c r="G299" s="334" t="n"/>
      <c r="H299" s="334" t="n"/>
      <c r="I299" s="332">
        <f>IFERROR(VLOOKUP(TEXT(H299,"0"),IPRESS!$A$3:$B$212,2,0),"")</f>
        <v/>
      </c>
      <c r="J299" s="334" t="n"/>
      <c r="K299" s="332">
        <f>IFERROR(VLOOKUP(TEXT(O299,"0"),CONDUCTORES!$A$3:$G$54,7,0),"")</f>
        <v/>
      </c>
      <c r="L299" s="334" t="n"/>
      <c r="M299" s="334" t="n"/>
      <c r="N299" s="333">
        <f>IFERROR(IF(L299*M299=0,"",L299*M299),"")</f>
        <v/>
      </c>
      <c r="O299" s="334" t="n"/>
      <c r="P299" s="332">
        <f>IFERROR(VLOOKUP(TEXT(O299,"0"),CONDUCTORES!$A$3:$G$54,2,0),"")</f>
        <v/>
      </c>
      <c r="Q299" s="332">
        <f>IFERROR(VLOOKUP(TEXT(O299,"0"),CONDUCTORES!$A$3:$H$54,6,0),"")</f>
        <v/>
      </c>
      <c r="R299" s="334" t="n"/>
      <c r="S299" s="334" t="n"/>
      <c r="T299" s="334" t="n"/>
      <c r="U299" s="334" t="n"/>
      <c r="V299" s="334" t="n"/>
      <c r="W299" s="334" t="n"/>
      <c r="X299" s="334" t="n"/>
      <c r="Y299" s="334" t="n"/>
    </row>
    <row r="300" ht="15" customHeight="1" s="195">
      <c r="A300" s="280" t="n"/>
      <c r="B300" s="280" t="n"/>
      <c r="C300" s="280" t="n"/>
      <c r="D300" s="280" t="n"/>
      <c r="E300" s="280" t="n"/>
      <c r="F300" s="280" t="n"/>
      <c r="G300" s="280" t="n"/>
      <c r="H300" s="280" t="n"/>
      <c r="I300" s="332">
        <f>IFERROR(VLOOKUP(TEXT(H300,"0"),IPRESS!$A$3:$B$212,2,0),"")</f>
        <v/>
      </c>
      <c r="J300" s="280" t="n"/>
      <c r="K300" s="332">
        <f>IFERROR(VLOOKUP(TEXT(O300,"0"),CONDUCTORES!$A$3:$G$54,7,0),"")</f>
        <v/>
      </c>
      <c r="L300" s="280" t="n"/>
      <c r="M300" s="280" t="n"/>
      <c r="N300" s="333">
        <f>IFERROR(IF(L300*M300=0,"",L300*M300),"")</f>
        <v/>
      </c>
      <c r="O300" s="280" t="n"/>
      <c r="P300" s="332">
        <f>IFERROR(VLOOKUP(TEXT(O300,"0"),CONDUCTORES!$A$3:$G$54,2,0),"")</f>
        <v/>
      </c>
      <c r="Q300" s="332">
        <f>IFERROR(VLOOKUP(TEXT(O300,"0"),CONDUCTORES!$A$3:$H$54,6,0),"")</f>
        <v/>
      </c>
      <c r="R300" s="280" t="n"/>
      <c r="S300" s="280" t="n"/>
      <c r="T300" s="280" t="n"/>
      <c r="U300" s="280" t="n"/>
      <c r="V300" s="280" t="n"/>
      <c r="W300" s="280" t="n"/>
      <c r="X300" s="280" t="n"/>
      <c r="Y300" s="280" t="n"/>
    </row>
    <row r="301" ht="15" customHeight="1" s="195">
      <c r="A301" s="334" t="n"/>
      <c r="B301" s="334" t="n"/>
      <c r="C301" s="334" t="n"/>
      <c r="D301" s="334" t="n"/>
      <c r="E301" s="334" t="n"/>
      <c r="F301" s="334" t="n"/>
      <c r="G301" s="334" t="n"/>
      <c r="H301" s="334" t="n"/>
      <c r="I301" s="332">
        <f>IFERROR(VLOOKUP(TEXT(H301,"0"),IPRESS!$A$3:$B$212,2,0),"")</f>
        <v/>
      </c>
      <c r="J301" s="334" t="n"/>
      <c r="K301" s="332">
        <f>IFERROR(VLOOKUP(TEXT(O301,"0"),CONDUCTORES!$A$3:$G$54,7,0),"")</f>
        <v/>
      </c>
      <c r="L301" s="334" t="n"/>
      <c r="M301" s="334" t="n"/>
      <c r="N301" s="333">
        <f>IFERROR(IF(L301*M301=0,"",L301*M301),"")</f>
        <v/>
      </c>
      <c r="O301" s="334" t="n"/>
      <c r="P301" s="332">
        <f>IFERROR(VLOOKUP(TEXT(O301,"0"),CONDUCTORES!$A$3:$G$54,2,0),"")</f>
        <v/>
      </c>
      <c r="Q301" s="332">
        <f>IFERROR(VLOOKUP(TEXT(O301,"0"),CONDUCTORES!$A$3:$H$54,6,0),"")</f>
        <v/>
      </c>
      <c r="R301" s="334" t="n"/>
      <c r="S301" s="334" t="n"/>
      <c r="T301" s="334" t="n"/>
      <c r="U301" s="334" t="n"/>
      <c r="V301" s="334" t="n"/>
      <c r="W301" s="334" t="n"/>
      <c r="X301" s="334" t="n"/>
      <c r="Y301" s="334" t="n"/>
    </row>
    <row r="302" ht="15" customHeight="1" s="195">
      <c r="A302" s="280" t="n"/>
      <c r="B302" s="280" t="n"/>
      <c r="C302" s="280" t="n"/>
      <c r="D302" s="280" t="n"/>
      <c r="E302" s="280" t="n"/>
      <c r="F302" s="280" t="n"/>
      <c r="G302" s="280" t="n"/>
      <c r="H302" s="280" t="n"/>
      <c r="I302" s="332">
        <f>IFERROR(VLOOKUP(TEXT(H302,"0"),IPRESS!$A$3:$B$212,2,0),"")</f>
        <v/>
      </c>
      <c r="J302" s="280" t="n"/>
      <c r="K302" s="332">
        <f>IFERROR(VLOOKUP(TEXT(O302,"0"),CONDUCTORES!$A$3:$G$54,7,0),"")</f>
        <v/>
      </c>
      <c r="L302" s="280" t="n"/>
      <c r="M302" s="280" t="n"/>
      <c r="N302" s="333">
        <f>IFERROR(IF(L302*M302=0,"",L302*M302),"")</f>
        <v/>
      </c>
      <c r="O302" s="280" t="n"/>
      <c r="P302" s="332">
        <f>IFERROR(VLOOKUP(TEXT(O302,"0"),CONDUCTORES!$A$3:$G$54,2,0),"")</f>
        <v/>
      </c>
      <c r="Q302" s="332">
        <f>IFERROR(VLOOKUP(TEXT(O302,"0"),CONDUCTORES!$A$3:$H$54,6,0),"")</f>
        <v/>
      </c>
      <c r="R302" s="280" t="n"/>
      <c r="S302" s="280" t="n"/>
      <c r="T302" s="280" t="n"/>
      <c r="U302" s="280" t="n"/>
      <c r="V302" s="280" t="n"/>
      <c r="W302" s="280" t="n"/>
      <c r="X302" s="280" t="n"/>
      <c r="Y302" s="280" t="n"/>
    </row>
    <row r="303" ht="15" customHeight="1" s="195">
      <c r="A303" s="334" t="n"/>
      <c r="B303" s="334" t="n"/>
      <c r="C303" s="334" t="n"/>
      <c r="D303" s="334" t="n"/>
      <c r="E303" s="334" t="n"/>
      <c r="F303" s="334" t="n"/>
      <c r="G303" s="334" t="n"/>
      <c r="H303" s="334" t="n"/>
      <c r="I303" s="332">
        <f>IFERROR(VLOOKUP(TEXT(H303,"0"),IPRESS!$A$3:$B$212,2,0),"")</f>
        <v/>
      </c>
      <c r="J303" s="334" t="n"/>
      <c r="K303" s="332">
        <f>IFERROR(VLOOKUP(TEXT(O303,"0"),CONDUCTORES!$A$3:$G$54,7,0),"")</f>
        <v/>
      </c>
      <c r="L303" s="334" t="n"/>
      <c r="M303" s="334" t="n"/>
      <c r="N303" s="333">
        <f>IFERROR(IF(L303*M303=0,"",L303*M303),"")</f>
        <v/>
      </c>
      <c r="O303" s="334" t="n"/>
      <c r="P303" s="332">
        <f>IFERROR(VLOOKUP(TEXT(O303,"0"),CONDUCTORES!$A$3:$G$54,2,0),"")</f>
        <v/>
      </c>
      <c r="Q303" s="332">
        <f>IFERROR(VLOOKUP(TEXT(O303,"0"),CONDUCTORES!$A$3:$H$54,6,0),"")</f>
        <v/>
      </c>
      <c r="R303" s="334" t="n"/>
      <c r="S303" s="334" t="n"/>
      <c r="T303" s="334" t="n"/>
      <c r="U303" s="334" t="n"/>
      <c r="V303" s="334" t="n"/>
      <c r="W303" s="334" t="n"/>
      <c r="X303" s="334" t="n"/>
      <c r="Y303" s="334" t="n"/>
    </row>
    <row r="304" ht="15" customHeight="1" s="195">
      <c r="A304" s="280" t="n"/>
      <c r="B304" s="280" t="n"/>
      <c r="C304" s="280" t="n"/>
      <c r="D304" s="280" t="n"/>
      <c r="E304" s="280" t="n"/>
      <c r="F304" s="280" t="n"/>
      <c r="G304" s="280" t="n"/>
      <c r="H304" s="280" t="n"/>
      <c r="I304" s="332">
        <f>IFERROR(VLOOKUP(TEXT(H304,"0"),IPRESS!$A$3:$B$212,2,0),"")</f>
        <v/>
      </c>
      <c r="J304" s="280" t="n"/>
      <c r="K304" s="332">
        <f>IFERROR(VLOOKUP(TEXT(O304,"0"),CONDUCTORES!$A$3:$G$54,7,0),"")</f>
        <v/>
      </c>
      <c r="L304" s="280" t="n"/>
      <c r="M304" s="280" t="n"/>
      <c r="N304" s="333">
        <f>IFERROR(IF(L304*M304=0,"",L304*M304),"")</f>
        <v/>
      </c>
      <c r="O304" s="280" t="n"/>
      <c r="P304" s="332">
        <f>IFERROR(VLOOKUP(TEXT(O304,"0"),CONDUCTORES!$A$3:$G$54,2,0),"")</f>
        <v/>
      </c>
      <c r="Q304" s="332">
        <f>IFERROR(VLOOKUP(TEXT(O304,"0"),CONDUCTORES!$A$3:$H$54,6,0),"")</f>
        <v/>
      </c>
      <c r="R304" s="280" t="n"/>
      <c r="S304" s="280" t="n"/>
      <c r="T304" s="280" t="n"/>
      <c r="U304" s="280" t="n"/>
      <c r="V304" s="280" t="n"/>
      <c r="W304" s="280" t="n"/>
      <c r="X304" s="280" t="n"/>
      <c r="Y304" s="280" t="n"/>
    </row>
    <row r="305" ht="15" customHeight="1" s="195">
      <c r="A305" s="334" t="n"/>
      <c r="B305" s="334" t="n"/>
      <c r="C305" s="334" t="n"/>
      <c r="D305" s="334" t="n"/>
      <c r="E305" s="334" t="n"/>
      <c r="F305" s="334" t="n"/>
      <c r="G305" s="334" t="n"/>
      <c r="H305" s="334" t="n"/>
      <c r="I305" s="332">
        <f>IFERROR(VLOOKUP(TEXT(H305,"0"),IPRESS!$A$3:$B$212,2,0),"")</f>
        <v/>
      </c>
      <c r="J305" s="334" t="n"/>
      <c r="K305" s="332">
        <f>IFERROR(VLOOKUP(TEXT(O305,"0"),CONDUCTORES!$A$3:$G$54,7,0),"")</f>
        <v/>
      </c>
      <c r="L305" s="334" t="n"/>
      <c r="M305" s="334" t="n"/>
      <c r="N305" s="333">
        <f>IFERROR(IF(L305*M305=0,"",L305*M305),"")</f>
        <v/>
      </c>
      <c r="O305" s="334" t="n"/>
      <c r="P305" s="332">
        <f>IFERROR(VLOOKUP(TEXT(O305,"0"),CONDUCTORES!$A$3:$G$54,2,0),"")</f>
        <v/>
      </c>
      <c r="Q305" s="332">
        <f>IFERROR(VLOOKUP(TEXT(O305,"0"),CONDUCTORES!$A$3:$H$54,6,0),"")</f>
        <v/>
      </c>
      <c r="R305" s="334" t="n"/>
      <c r="S305" s="334" t="n"/>
      <c r="T305" s="334" t="n"/>
      <c r="U305" s="334" t="n"/>
      <c r="V305" s="334" t="n"/>
      <c r="W305" s="334" t="n"/>
      <c r="X305" s="334" t="n"/>
      <c r="Y305" s="334" t="n"/>
    </row>
    <row r="306" ht="15" customHeight="1" s="195">
      <c r="A306" s="280" t="n"/>
      <c r="B306" s="280" t="n"/>
      <c r="C306" s="280" t="n"/>
      <c r="D306" s="280" t="n"/>
      <c r="E306" s="280" t="n"/>
      <c r="F306" s="280" t="n"/>
      <c r="G306" s="280" t="n"/>
      <c r="H306" s="280" t="n"/>
      <c r="I306" s="332">
        <f>IFERROR(VLOOKUP(TEXT(H306,"0"),IPRESS!$A$3:$B$212,2,0),"")</f>
        <v/>
      </c>
      <c r="J306" s="280" t="n"/>
      <c r="K306" s="332">
        <f>IFERROR(VLOOKUP(TEXT(O306,"0"),CONDUCTORES!$A$3:$G$54,7,0),"")</f>
        <v/>
      </c>
      <c r="L306" s="280" t="n"/>
      <c r="M306" s="280" t="n"/>
      <c r="N306" s="333">
        <f>IFERROR(IF(L306*M306=0,"",L306*M306),"")</f>
        <v/>
      </c>
      <c r="O306" s="280" t="n"/>
      <c r="P306" s="332">
        <f>IFERROR(VLOOKUP(TEXT(O306,"0"),CONDUCTORES!$A$3:$G$54,2,0),"")</f>
        <v/>
      </c>
      <c r="Q306" s="332">
        <f>IFERROR(VLOOKUP(TEXT(O306,"0"),CONDUCTORES!$A$3:$H$54,6,0),"")</f>
        <v/>
      </c>
      <c r="R306" s="280" t="n"/>
      <c r="S306" s="280" t="n"/>
      <c r="T306" s="280" t="n"/>
      <c r="U306" s="280" t="n"/>
      <c r="V306" s="280" t="n"/>
      <c r="W306" s="280" t="n"/>
      <c r="X306" s="280" t="n"/>
      <c r="Y306" s="280" t="n"/>
    </row>
    <row r="307" ht="15" customHeight="1" s="195">
      <c r="A307" s="334" t="n"/>
      <c r="B307" s="334" t="n"/>
      <c r="C307" s="334" t="n"/>
      <c r="D307" s="334" t="n"/>
      <c r="E307" s="334" t="n"/>
      <c r="F307" s="334" t="n"/>
      <c r="G307" s="334" t="n"/>
      <c r="H307" s="334" t="n"/>
      <c r="I307" s="332">
        <f>IFERROR(VLOOKUP(TEXT(H307,"0"),IPRESS!$A$3:$B$212,2,0),"")</f>
        <v/>
      </c>
      <c r="J307" s="334" t="n"/>
      <c r="K307" s="332">
        <f>IFERROR(VLOOKUP(TEXT(O307,"0"),CONDUCTORES!$A$3:$G$54,7,0),"")</f>
        <v/>
      </c>
      <c r="L307" s="334" t="n"/>
      <c r="M307" s="334" t="n"/>
      <c r="N307" s="333">
        <f>IFERROR(IF(L307*M307=0,"",L307*M307),"")</f>
        <v/>
      </c>
      <c r="O307" s="334" t="n"/>
      <c r="P307" s="332">
        <f>IFERROR(VLOOKUP(TEXT(O307,"0"),CONDUCTORES!$A$3:$G$54,2,0),"")</f>
        <v/>
      </c>
      <c r="Q307" s="332">
        <f>IFERROR(VLOOKUP(TEXT(O307,"0"),CONDUCTORES!$A$3:$H$54,6,0),"")</f>
        <v/>
      </c>
      <c r="R307" s="334" t="n"/>
      <c r="S307" s="334" t="n"/>
      <c r="T307" s="334" t="n"/>
      <c r="U307" s="334" t="n"/>
      <c r="V307" s="334" t="n"/>
      <c r="W307" s="334" t="n"/>
      <c r="X307" s="334" t="n"/>
      <c r="Y307" s="334" t="n"/>
    </row>
    <row r="308" ht="15" customHeight="1" s="195">
      <c r="A308" s="280" t="n"/>
      <c r="B308" s="280" t="n"/>
      <c r="C308" s="280" t="n"/>
      <c r="D308" s="280" t="n"/>
      <c r="E308" s="280" t="n"/>
      <c r="F308" s="280" t="n"/>
      <c r="G308" s="280" t="n"/>
      <c r="H308" s="280" t="n"/>
      <c r="I308" s="332">
        <f>IFERROR(VLOOKUP(TEXT(H308,"0"),IPRESS!$A$3:$B$212,2,0),"")</f>
        <v/>
      </c>
      <c r="J308" s="280" t="n"/>
      <c r="K308" s="332">
        <f>IFERROR(VLOOKUP(TEXT(O308,"0"),CONDUCTORES!$A$3:$G$54,7,0),"")</f>
        <v/>
      </c>
      <c r="L308" s="280" t="n"/>
      <c r="M308" s="280" t="n"/>
      <c r="N308" s="333">
        <f>IFERROR(IF(L308*M308=0,"",L308*M308),"")</f>
        <v/>
      </c>
      <c r="O308" s="280" t="n"/>
      <c r="P308" s="332">
        <f>IFERROR(VLOOKUP(TEXT(O308,"0"),CONDUCTORES!$A$3:$G$54,2,0),"")</f>
        <v/>
      </c>
      <c r="Q308" s="332">
        <f>IFERROR(VLOOKUP(TEXT(O308,"0"),CONDUCTORES!$A$3:$H$54,6,0),"")</f>
        <v/>
      </c>
      <c r="R308" s="280" t="n"/>
      <c r="S308" s="280" t="n"/>
      <c r="T308" s="280" t="n"/>
      <c r="U308" s="280" t="n"/>
      <c r="V308" s="280" t="n"/>
      <c r="W308" s="280" t="n"/>
      <c r="X308" s="280" t="n"/>
      <c r="Y308" s="280" t="n"/>
    </row>
    <row r="309" ht="15" customHeight="1" s="195">
      <c r="A309" s="334" t="n"/>
      <c r="B309" s="334" t="n"/>
      <c r="C309" s="334" t="n"/>
      <c r="D309" s="334" t="n"/>
      <c r="E309" s="334" t="n"/>
      <c r="F309" s="334" t="n"/>
      <c r="G309" s="334" t="n"/>
      <c r="H309" s="334" t="n"/>
      <c r="I309" s="332">
        <f>IFERROR(VLOOKUP(TEXT(H309,"0"),IPRESS!$A$3:$B$212,2,0),"")</f>
        <v/>
      </c>
      <c r="J309" s="334" t="n"/>
      <c r="K309" s="332">
        <f>IFERROR(VLOOKUP(TEXT(O309,"0"),CONDUCTORES!$A$3:$G$54,7,0),"")</f>
        <v/>
      </c>
      <c r="L309" s="334" t="n"/>
      <c r="M309" s="334" t="n"/>
      <c r="N309" s="333">
        <f>IFERROR(IF(L309*M309=0,"",L309*M309),"")</f>
        <v/>
      </c>
      <c r="O309" s="334" t="n"/>
      <c r="P309" s="332">
        <f>IFERROR(VLOOKUP(TEXT(O309,"0"),CONDUCTORES!$A$3:$G$54,2,0),"")</f>
        <v/>
      </c>
      <c r="Q309" s="332">
        <f>IFERROR(VLOOKUP(TEXT(O309,"0"),CONDUCTORES!$A$3:$H$54,6,0),"")</f>
        <v/>
      </c>
      <c r="R309" s="334" t="n"/>
      <c r="S309" s="334" t="n"/>
      <c r="T309" s="334" t="n"/>
      <c r="U309" s="334" t="n"/>
      <c r="V309" s="334" t="n"/>
      <c r="W309" s="334" t="n"/>
      <c r="X309" s="334" t="n"/>
      <c r="Y309" s="334" t="n"/>
    </row>
    <row r="310" ht="15" customHeight="1" s="195">
      <c r="A310" s="280" t="n"/>
      <c r="B310" s="280" t="n"/>
      <c r="C310" s="280" t="n"/>
      <c r="D310" s="280" t="n"/>
      <c r="E310" s="280" t="n"/>
      <c r="F310" s="280" t="n"/>
      <c r="G310" s="280" t="n"/>
      <c r="H310" s="280" t="n"/>
      <c r="I310" s="332">
        <f>IFERROR(VLOOKUP(TEXT(H310,"0"),IPRESS!$A$3:$B$212,2,0),"")</f>
        <v/>
      </c>
      <c r="J310" s="280" t="n"/>
      <c r="K310" s="332">
        <f>IFERROR(VLOOKUP(TEXT(O310,"0"),CONDUCTORES!$A$3:$G$54,7,0),"")</f>
        <v/>
      </c>
      <c r="L310" s="280" t="n"/>
      <c r="M310" s="280" t="n"/>
      <c r="N310" s="333">
        <f>IFERROR(IF(L310*M310=0,"",L310*M310),"")</f>
        <v/>
      </c>
      <c r="O310" s="280" t="n"/>
      <c r="P310" s="332">
        <f>IFERROR(VLOOKUP(TEXT(O310,"0"),CONDUCTORES!$A$3:$G$54,2,0),"")</f>
        <v/>
      </c>
      <c r="Q310" s="332">
        <f>IFERROR(VLOOKUP(TEXT(O310,"0"),CONDUCTORES!$A$3:$H$54,6,0),"")</f>
        <v/>
      </c>
      <c r="R310" s="280" t="n"/>
      <c r="S310" s="280" t="n"/>
      <c r="T310" s="280" t="n"/>
      <c r="U310" s="280" t="n"/>
      <c r="V310" s="280" t="n"/>
      <c r="W310" s="280" t="n"/>
      <c r="X310" s="280" t="n"/>
      <c r="Y310" s="280" t="n"/>
    </row>
    <row r="311" ht="15" customHeight="1" s="195">
      <c r="A311" s="334" t="n"/>
      <c r="B311" s="334" t="n"/>
      <c r="C311" s="334" t="n"/>
      <c r="D311" s="334" t="n"/>
      <c r="E311" s="334" t="n"/>
      <c r="F311" s="334" t="n"/>
      <c r="G311" s="334" t="n"/>
      <c r="H311" s="334" t="n"/>
      <c r="I311" s="332">
        <f>IFERROR(VLOOKUP(TEXT(H311,"0"),IPRESS!$A$3:$B$212,2,0),"")</f>
        <v/>
      </c>
      <c r="J311" s="334" t="n"/>
      <c r="K311" s="332">
        <f>IFERROR(VLOOKUP(TEXT(O311,"0"),CONDUCTORES!$A$3:$G$54,7,0),"")</f>
        <v/>
      </c>
      <c r="L311" s="334" t="n"/>
      <c r="M311" s="334" t="n"/>
      <c r="N311" s="333">
        <f>IFERROR(IF(L311*M311=0,"",L311*M311),"")</f>
        <v/>
      </c>
      <c r="O311" s="334" t="n"/>
      <c r="P311" s="332">
        <f>IFERROR(VLOOKUP(TEXT(O311,"0"),CONDUCTORES!$A$3:$G$54,2,0),"")</f>
        <v/>
      </c>
      <c r="Q311" s="332">
        <f>IFERROR(VLOOKUP(TEXT(O311,"0"),CONDUCTORES!$A$3:$H$54,6,0),"")</f>
        <v/>
      </c>
      <c r="R311" s="334" t="n"/>
      <c r="S311" s="334" t="n"/>
      <c r="T311" s="334" t="n"/>
      <c r="U311" s="334" t="n"/>
      <c r="V311" s="334" t="n"/>
      <c r="W311" s="334" t="n"/>
      <c r="X311" s="334" t="n"/>
      <c r="Y311" s="334" t="n"/>
    </row>
    <row r="312" ht="15" customHeight="1" s="195">
      <c r="A312" s="280" t="n"/>
      <c r="B312" s="280" t="n"/>
      <c r="C312" s="280" t="n"/>
      <c r="D312" s="280" t="n"/>
      <c r="E312" s="280" t="n"/>
      <c r="F312" s="280" t="n"/>
      <c r="G312" s="280" t="n"/>
      <c r="H312" s="280" t="n"/>
      <c r="I312" s="332">
        <f>IFERROR(VLOOKUP(TEXT(H312,"0"),IPRESS!$A$3:$B$212,2,0),"")</f>
        <v/>
      </c>
      <c r="J312" s="280" t="n"/>
      <c r="K312" s="332">
        <f>IFERROR(VLOOKUP(TEXT(O312,"0"),CONDUCTORES!$A$3:$G$54,7,0),"")</f>
        <v/>
      </c>
      <c r="L312" s="280" t="n"/>
      <c r="M312" s="280" t="n"/>
      <c r="N312" s="333">
        <f>IFERROR(IF(L312*M312=0,"",L312*M312),"")</f>
        <v/>
      </c>
      <c r="O312" s="280" t="n"/>
      <c r="P312" s="332">
        <f>IFERROR(VLOOKUP(TEXT(O312,"0"),CONDUCTORES!$A$3:$G$54,2,0),"")</f>
        <v/>
      </c>
      <c r="Q312" s="332">
        <f>IFERROR(VLOOKUP(TEXT(O312,"0"),CONDUCTORES!$A$3:$H$54,6,0),"")</f>
        <v/>
      </c>
      <c r="R312" s="280" t="n"/>
      <c r="S312" s="280" t="n"/>
      <c r="T312" s="280" t="n"/>
      <c r="U312" s="280" t="n"/>
      <c r="V312" s="280" t="n"/>
      <c r="W312" s="280" t="n"/>
      <c r="X312" s="280" t="n"/>
      <c r="Y312" s="280" t="n"/>
    </row>
    <row r="313" ht="15" customHeight="1" s="195">
      <c r="A313" s="334" t="n"/>
      <c r="B313" s="334" t="n"/>
      <c r="C313" s="334" t="n"/>
      <c r="D313" s="334" t="n"/>
      <c r="E313" s="334" t="n"/>
      <c r="F313" s="334" t="n"/>
      <c r="G313" s="334" t="n"/>
      <c r="H313" s="334" t="n"/>
      <c r="I313" s="332">
        <f>IFERROR(VLOOKUP(TEXT(H313,"0"),IPRESS!$A$3:$B$212,2,0),"")</f>
        <v/>
      </c>
      <c r="J313" s="334" t="n"/>
      <c r="K313" s="332">
        <f>IFERROR(VLOOKUP(TEXT(O313,"0"),CONDUCTORES!$A$3:$G$54,7,0),"")</f>
        <v/>
      </c>
      <c r="L313" s="334" t="n"/>
      <c r="M313" s="334" t="n"/>
      <c r="N313" s="333">
        <f>IFERROR(IF(L313*M313=0,"",L313*M313),"")</f>
        <v/>
      </c>
      <c r="O313" s="334" t="n"/>
      <c r="P313" s="332">
        <f>IFERROR(VLOOKUP(TEXT(O313,"0"),CONDUCTORES!$A$3:$G$54,2,0),"")</f>
        <v/>
      </c>
      <c r="Q313" s="332">
        <f>IFERROR(VLOOKUP(TEXT(O313,"0"),CONDUCTORES!$A$3:$H$54,6,0),"")</f>
        <v/>
      </c>
      <c r="R313" s="334" t="n"/>
      <c r="S313" s="334" t="n"/>
      <c r="T313" s="334" t="n"/>
      <c r="U313" s="334" t="n"/>
      <c r="V313" s="334" t="n"/>
      <c r="W313" s="334" t="n"/>
      <c r="X313" s="334" t="n"/>
      <c r="Y313" s="334" t="n"/>
    </row>
    <row r="314" ht="15" customHeight="1" s="195">
      <c r="A314" s="280" t="n"/>
      <c r="B314" s="280" t="n"/>
      <c r="C314" s="280" t="n"/>
      <c r="D314" s="280" t="n"/>
      <c r="E314" s="280" t="n"/>
      <c r="F314" s="280" t="n"/>
      <c r="G314" s="280" t="n"/>
      <c r="H314" s="280" t="n"/>
      <c r="I314" s="332">
        <f>IFERROR(VLOOKUP(TEXT(H314,"0"),IPRESS!$A$3:$B$212,2,0),"")</f>
        <v/>
      </c>
      <c r="J314" s="280" t="n"/>
      <c r="K314" s="332">
        <f>IFERROR(VLOOKUP(TEXT(O314,"0"),CONDUCTORES!$A$3:$G$54,7,0),"")</f>
        <v/>
      </c>
      <c r="L314" s="280" t="n"/>
      <c r="M314" s="280" t="n"/>
      <c r="N314" s="333">
        <f>IFERROR(IF(L314*M314=0,"",L314*M314),"")</f>
        <v/>
      </c>
      <c r="O314" s="280" t="n"/>
      <c r="P314" s="332">
        <f>IFERROR(VLOOKUP(TEXT(O314,"0"),CONDUCTORES!$A$3:$G$54,2,0),"")</f>
        <v/>
      </c>
      <c r="Q314" s="332">
        <f>IFERROR(VLOOKUP(TEXT(O314,"0"),CONDUCTORES!$A$3:$H$54,6,0),"")</f>
        <v/>
      </c>
      <c r="R314" s="280" t="n"/>
      <c r="S314" s="280" t="n"/>
      <c r="T314" s="280" t="n"/>
      <c r="U314" s="280" t="n"/>
      <c r="V314" s="280" t="n"/>
      <c r="W314" s="280" t="n"/>
      <c r="X314" s="280" t="n"/>
      <c r="Y314" s="280" t="n"/>
    </row>
    <row r="315" ht="15" customHeight="1" s="195">
      <c r="A315" s="334" t="n"/>
      <c r="B315" s="334" t="n"/>
      <c r="C315" s="334" t="n"/>
      <c r="D315" s="334" t="n"/>
      <c r="E315" s="334" t="n"/>
      <c r="F315" s="334" t="n"/>
      <c r="G315" s="334" t="n"/>
      <c r="H315" s="334" t="n"/>
      <c r="I315" s="332">
        <f>IFERROR(VLOOKUP(TEXT(H315,"0"),IPRESS!$A$3:$B$212,2,0),"")</f>
        <v/>
      </c>
      <c r="J315" s="334" t="n"/>
      <c r="K315" s="332">
        <f>IFERROR(VLOOKUP(TEXT(O315,"0"),CONDUCTORES!$A$3:$G$54,7,0),"")</f>
        <v/>
      </c>
      <c r="L315" s="334" t="n"/>
      <c r="M315" s="334" t="n"/>
      <c r="N315" s="333">
        <f>IFERROR(IF(L315*M315=0,"",L315*M315),"")</f>
        <v/>
      </c>
      <c r="O315" s="334" t="n"/>
      <c r="P315" s="332">
        <f>IFERROR(VLOOKUP(TEXT(O315,"0"),CONDUCTORES!$A$3:$G$54,2,0),"")</f>
        <v/>
      </c>
      <c r="Q315" s="332">
        <f>IFERROR(VLOOKUP(TEXT(O315,"0"),CONDUCTORES!$A$3:$H$54,6,0),"")</f>
        <v/>
      </c>
      <c r="R315" s="334" t="n"/>
      <c r="S315" s="334" t="n"/>
      <c r="T315" s="334" t="n"/>
      <c r="U315" s="334" t="n"/>
      <c r="V315" s="334" t="n"/>
      <c r="W315" s="334" t="n"/>
      <c r="X315" s="334" t="n"/>
      <c r="Y315" s="334" t="n"/>
    </row>
    <row r="316" ht="15" customHeight="1" s="195">
      <c r="A316" s="280" t="n"/>
      <c r="B316" s="280" t="n"/>
      <c r="C316" s="280" t="n"/>
      <c r="D316" s="280" t="n"/>
      <c r="E316" s="280" t="n"/>
      <c r="F316" s="280" t="n"/>
      <c r="G316" s="280" t="n"/>
      <c r="H316" s="280" t="n"/>
      <c r="I316" s="332">
        <f>IFERROR(VLOOKUP(TEXT(H316,"0"),IPRESS!$A$3:$B$212,2,0),"")</f>
        <v/>
      </c>
      <c r="J316" s="280" t="n"/>
      <c r="K316" s="332">
        <f>IFERROR(VLOOKUP(TEXT(O316,"0"),CONDUCTORES!$A$3:$G$54,7,0),"")</f>
        <v/>
      </c>
      <c r="L316" s="280" t="n"/>
      <c r="M316" s="280" t="n"/>
      <c r="N316" s="333">
        <f>IFERROR(IF(L316*M316=0,"",L316*M316),"")</f>
        <v/>
      </c>
      <c r="O316" s="280" t="n"/>
      <c r="P316" s="332">
        <f>IFERROR(VLOOKUP(TEXT(O316,"0"),CONDUCTORES!$A$3:$G$54,2,0),"")</f>
        <v/>
      </c>
      <c r="Q316" s="332">
        <f>IFERROR(VLOOKUP(TEXT(O316,"0"),CONDUCTORES!$A$3:$H$54,6,0),"")</f>
        <v/>
      </c>
      <c r="R316" s="280" t="n"/>
      <c r="S316" s="280" t="n"/>
      <c r="T316" s="280" t="n"/>
      <c r="U316" s="280" t="n"/>
      <c r="V316" s="280" t="n"/>
      <c r="W316" s="280" t="n"/>
      <c r="X316" s="280" t="n"/>
      <c r="Y316" s="280" t="n"/>
    </row>
    <row r="317" ht="15" customHeight="1" s="195">
      <c r="A317" s="334" t="n"/>
      <c r="B317" s="334" t="n"/>
      <c r="C317" s="334" t="n"/>
      <c r="D317" s="334" t="n"/>
      <c r="E317" s="334" t="n"/>
      <c r="F317" s="334" t="n"/>
      <c r="G317" s="334" t="n"/>
      <c r="H317" s="334" t="n"/>
      <c r="I317" s="332">
        <f>IFERROR(VLOOKUP(TEXT(H317,"0"),IPRESS!$A$3:$B$212,2,0),"")</f>
        <v/>
      </c>
      <c r="J317" s="334" t="n"/>
      <c r="K317" s="332">
        <f>IFERROR(VLOOKUP(TEXT(O317,"0"),CONDUCTORES!$A$3:$G$54,7,0),"")</f>
        <v/>
      </c>
      <c r="L317" s="334" t="n"/>
      <c r="M317" s="334" t="n"/>
      <c r="N317" s="333">
        <f>IFERROR(IF(L317*M317=0,"",L317*M317),"")</f>
        <v/>
      </c>
      <c r="O317" s="334" t="n"/>
      <c r="P317" s="332">
        <f>IFERROR(VLOOKUP(TEXT(O317,"0"),CONDUCTORES!$A$3:$G$54,2,0),"")</f>
        <v/>
      </c>
      <c r="Q317" s="332">
        <f>IFERROR(VLOOKUP(TEXT(O317,"0"),CONDUCTORES!$A$3:$H$54,6,0),"")</f>
        <v/>
      </c>
      <c r="R317" s="334" t="n"/>
      <c r="S317" s="334" t="n"/>
      <c r="T317" s="334" t="n"/>
      <c r="U317" s="334" t="n"/>
      <c r="V317" s="334" t="n"/>
      <c r="W317" s="334" t="n"/>
      <c r="X317" s="334" t="n"/>
      <c r="Y317" s="334" t="n"/>
    </row>
    <row r="318" ht="15" customHeight="1" s="195">
      <c r="A318" s="280" t="n"/>
      <c r="B318" s="280" t="n"/>
      <c r="C318" s="280" t="n"/>
      <c r="D318" s="280" t="n"/>
      <c r="E318" s="280" t="n"/>
      <c r="F318" s="280" t="n"/>
      <c r="G318" s="280" t="n"/>
      <c r="H318" s="280" t="n"/>
      <c r="I318" s="332">
        <f>IFERROR(VLOOKUP(TEXT(H318,"0"),IPRESS!$A$3:$B$212,2,0),"")</f>
        <v/>
      </c>
      <c r="J318" s="280" t="n"/>
      <c r="K318" s="332">
        <f>IFERROR(VLOOKUP(TEXT(O318,"0"),CONDUCTORES!$A$3:$G$54,7,0),"")</f>
        <v/>
      </c>
      <c r="L318" s="280" t="n"/>
      <c r="M318" s="280" t="n"/>
      <c r="N318" s="333">
        <f>IFERROR(IF(L318*M318=0,"",L318*M318),"")</f>
        <v/>
      </c>
      <c r="O318" s="280" t="n"/>
      <c r="P318" s="332">
        <f>IFERROR(VLOOKUP(TEXT(O318,"0"),CONDUCTORES!$A$3:$G$54,2,0),"")</f>
        <v/>
      </c>
      <c r="Q318" s="332">
        <f>IFERROR(VLOOKUP(TEXT(O318,"0"),CONDUCTORES!$A$3:$H$54,6,0),"")</f>
        <v/>
      </c>
      <c r="R318" s="280" t="n"/>
      <c r="S318" s="280" t="n"/>
      <c r="T318" s="280" t="n"/>
      <c r="U318" s="280" t="n"/>
      <c r="V318" s="280" t="n"/>
      <c r="W318" s="280" t="n"/>
      <c r="X318" s="280" t="n"/>
      <c r="Y318" s="280" t="n"/>
    </row>
    <row r="319" ht="15" customHeight="1" s="195">
      <c r="A319" s="334" t="n"/>
      <c r="B319" s="334" t="n"/>
      <c r="C319" s="334" t="n"/>
      <c r="D319" s="334" t="n"/>
      <c r="E319" s="334" t="n"/>
      <c r="F319" s="334" t="n"/>
      <c r="G319" s="334" t="n"/>
      <c r="H319" s="334" t="n"/>
      <c r="I319" s="332">
        <f>IFERROR(VLOOKUP(TEXT(H319,"0"),IPRESS!$A$3:$B$212,2,0),"")</f>
        <v/>
      </c>
      <c r="J319" s="334" t="n"/>
      <c r="K319" s="332">
        <f>IFERROR(VLOOKUP(TEXT(O319,"0"),CONDUCTORES!$A$3:$G$54,7,0),"")</f>
        <v/>
      </c>
      <c r="L319" s="334" t="n"/>
      <c r="M319" s="334" t="n"/>
      <c r="N319" s="333">
        <f>IFERROR(IF(L319*M319=0,"",L319*M319),"")</f>
        <v/>
      </c>
      <c r="O319" s="334" t="n"/>
      <c r="P319" s="332">
        <f>IFERROR(VLOOKUP(TEXT(O319,"0"),CONDUCTORES!$A$3:$G$54,2,0),"")</f>
        <v/>
      </c>
      <c r="Q319" s="332">
        <f>IFERROR(VLOOKUP(TEXT(O319,"0"),CONDUCTORES!$A$3:$H$54,6,0),"")</f>
        <v/>
      </c>
      <c r="R319" s="334" t="n"/>
      <c r="S319" s="334" t="n"/>
      <c r="T319" s="334" t="n"/>
      <c r="U319" s="334" t="n"/>
      <c r="V319" s="334" t="n"/>
      <c r="W319" s="334" t="n"/>
      <c r="X319" s="334" t="n"/>
      <c r="Y319" s="334" t="n"/>
    </row>
    <row r="320" ht="15" customHeight="1" s="195">
      <c r="A320" s="280" t="n"/>
      <c r="B320" s="280" t="n"/>
      <c r="C320" s="280" t="n"/>
      <c r="D320" s="280" t="n"/>
      <c r="E320" s="280" t="n"/>
      <c r="F320" s="280" t="n"/>
      <c r="G320" s="280" t="n"/>
      <c r="H320" s="280" t="n"/>
      <c r="I320" s="332">
        <f>IFERROR(VLOOKUP(TEXT(H320,"0"),IPRESS!$A$3:$B$212,2,0),"")</f>
        <v/>
      </c>
      <c r="J320" s="280" t="n"/>
      <c r="K320" s="332">
        <f>IFERROR(VLOOKUP(TEXT(O320,"0"),CONDUCTORES!$A$3:$G$54,7,0),"")</f>
        <v/>
      </c>
      <c r="L320" s="280" t="n"/>
      <c r="M320" s="280" t="n"/>
      <c r="N320" s="333">
        <f>IFERROR(IF(L320*M320=0,"",L320*M320),"")</f>
        <v/>
      </c>
      <c r="O320" s="280" t="n"/>
      <c r="P320" s="332">
        <f>IFERROR(VLOOKUP(TEXT(O320,"0"),CONDUCTORES!$A$3:$G$54,2,0),"")</f>
        <v/>
      </c>
      <c r="Q320" s="332">
        <f>IFERROR(VLOOKUP(TEXT(O320,"0"),CONDUCTORES!$A$3:$H$54,6,0),"")</f>
        <v/>
      </c>
      <c r="R320" s="280" t="n"/>
      <c r="S320" s="280" t="n"/>
      <c r="T320" s="280" t="n"/>
      <c r="U320" s="280" t="n"/>
      <c r="V320" s="280" t="n"/>
      <c r="W320" s="280" t="n"/>
      <c r="X320" s="280" t="n"/>
      <c r="Y320" s="280" t="n"/>
    </row>
    <row r="321" ht="15" customHeight="1" s="195">
      <c r="A321" s="334" t="n"/>
      <c r="B321" s="334" t="n"/>
      <c r="C321" s="334" t="n"/>
      <c r="D321" s="334" t="n"/>
      <c r="E321" s="334" t="n"/>
      <c r="F321" s="334" t="n"/>
      <c r="G321" s="334" t="n"/>
      <c r="H321" s="334" t="n"/>
      <c r="I321" s="332">
        <f>IFERROR(VLOOKUP(TEXT(H321,"0"),IPRESS!$A$3:$B$212,2,0),"")</f>
        <v/>
      </c>
      <c r="J321" s="334" t="n"/>
      <c r="K321" s="332">
        <f>IFERROR(VLOOKUP(TEXT(O321,"0"),CONDUCTORES!$A$3:$G$54,7,0),"")</f>
        <v/>
      </c>
      <c r="L321" s="334" t="n"/>
      <c r="M321" s="334" t="n"/>
      <c r="N321" s="333">
        <f>IFERROR(IF(L321*M321=0,"",L321*M321),"")</f>
        <v/>
      </c>
      <c r="O321" s="334" t="n"/>
      <c r="P321" s="332">
        <f>IFERROR(VLOOKUP(TEXT(O321,"0"),CONDUCTORES!$A$3:$G$54,2,0),"")</f>
        <v/>
      </c>
      <c r="Q321" s="332">
        <f>IFERROR(VLOOKUP(TEXT(O321,"0"),CONDUCTORES!$A$3:$H$54,6,0),"")</f>
        <v/>
      </c>
      <c r="R321" s="334" t="n"/>
      <c r="S321" s="334" t="n"/>
      <c r="T321" s="334" t="n"/>
      <c r="U321" s="334" t="n"/>
      <c r="V321" s="334" t="n"/>
      <c r="W321" s="334" t="n"/>
      <c r="X321" s="334" t="n"/>
      <c r="Y321" s="334" t="n"/>
    </row>
    <row r="322" ht="15" customHeight="1" s="195">
      <c r="A322" s="280" t="n"/>
      <c r="B322" s="280" t="n"/>
      <c r="C322" s="280" t="n"/>
      <c r="D322" s="280" t="n"/>
      <c r="E322" s="280" t="n"/>
      <c r="F322" s="280" t="n"/>
      <c r="G322" s="280" t="n"/>
      <c r="H322" s="280" t="n"/>
      <c r="I322" s="332">
        <f>IFERROR(VLOOKUP(TEXT(H322,"0"),IPRESS!$A$3:$B$212,2,0),"")</f>
        <v/>
      </c>
      <c r="J322" s="280" t="n"/>
      <c r="K322" s="332">
        <f>IFERROR(VLOOKUP(TEXT(O322,"0"),CONDUCTORES!$A$3:$G$54,7,0),"")</f>
        <v/>
      </c>
      <c r="L322" s="280" t="n"/>
      <c r="M322" s="280" t="n"/>
      <c r="N322" s="333">
        <f>IFERROR(IF(L322*M322=0,"",L322*M322),"")</f>
        <v/>
      </c>
      <c r="O322" s="280" t="n"/>
      <c r="P322" s="332">
        <f>IFERROR(VLOOKUP(TEXT(O322,"0"),CONDUCTORES!$A$3:$G$54,2,0),"")</f>
        <v/>
      </c>
      <c r="Q322" s="332">
        <f>IFERROR(VLOOKUP(TEXT(O322,"0"),CONDUCTORES!$A$3:$H$54,6,0),"")</f>
        <v/>
      </c>
      <c r="R322" s="280" t="n"/>
      <c r="S322" s="280" t="n"/>
      <c r="T322" s="280" t="n"/>
      <c r="U322" s="280" t="n"/>
      <c r="V322" s="280" t="n"/>
      <c r="W322" s="280" t="n"/>
      <c r="X322" s="280" t="n"/>
      <c r="Y322" s="280" t="n"/>
    </row>
    <row r="323" ht="15" customHeight="1" s="195">
      <c r="A323" s="334" t="n"/>
      <c r="B323" s="334" t="n"/>
      <c r="C323" s="334" t="n"/>
      <c r="D323" s="334" t="n"/>
      <c r="E323" s="334" t="n"/>
      <c r="F323" s="334" t="n"/>
      <c r="G323" s="334" t="n"/>
      <c r="H323" s="334" t="n"/>
      <c r="I323" s="332">
        <f>IFERROR(VLOOKUP(TEXT(H323,"0"),IPRESS!$A$3:$B$212,2,0),"")</f>
        <v/>
      </c>
      <c r="J323" s="334" t="n"/>
      <c r="K323" s="332">
        <f>IFERROR(VLOOKUP(TEXT(O323,"0"),CONDUCTORES!$A$3:$G$54,7,0),"")</f>
        <v/>
      </c>
      <c r="L323" s="334" t="n"/>
      <c r="M323" s="334" t="n"/>
      <c r="N323" s="333">
        <f>IFERROR(IF(L323*M323=0,"",L323*M323),"")</f>
        <v/>
      </c>
      <c r="O323" s="334" t="n"/>
      <c r="P323" s="332">
        <f>IFERROR(VLOOKUP(TEXT(O323,"0"),CONDUCTORES!$A$3:$G$54,2,0),"")</f>
        <v/>
      </c>
      <c r="Q323" s="332">
        <f>IFERROR(VLOOKUP(TEXT(O323,"0"),CONDUCTORES!$A$3:$H$54,6,0),"")</f>
        <v/>
      </c>
      <c r="R323" s="334" t="n"/>
      <c r="S323" s="334" t="n"/>
      <c r="T323" s="334" t="n"/>
      <c r="U323" s="334" t="n"/>
      <c r="V323" s="334" t="n"/>
      <c r="W323" s="334" t="n"/>
      <c r="X323" s="334" t="n"/>
      <c r="Y323" s="334" t="n"/>
    </row>
    <row r="324" ht="15" customHeight="1" s="195">
      <c r="A324" s="280" t="n"/>
      <c r="B324" s="280" t="n"/>
      <c r="C324" s="280" t="n"/>
      <c r="D324" s="280" t="n"/>
      <c r="E324" s="280" t="n"/>
      <c r="F324" s="280" t="n"/>
      <c r="G324" s="280" t="n"/>
      <c r="H324" s="280" t="n"/>
      <c r="I324" s="332">
        <f>IFERROR(VLOOKUP(TEXT(H324,"0"),IPRESS!$A$3:$B$212,2,0),"")</f>
        <v/>
      </c>
      <c r="J324" s="280" t="n"/>
      <c r="K324" s="332">
        <f>IFERROR(VLOOKUP(TEXT(O324,"0"),CONDUCTORES!$A$3:$G$54,7,0),"")</f>
        <v/>
      </c>
      <c r="L324" s="280" t="n"/>
      <c r="M324" s="280" t="n"/>
      <c r="N324" s="333">
        <f>IFERROR(IF(L324*M324=0,"",L324*M324),"")</f>
        <v/>
      </c>
      <c r="O324" s="280" t="n"/>
      <c r="P324" s="332">
        <f>IFERROR(VLOOKUP(TEXT(O324,"0"),CONDUCTORES!$A$3:$G$54,2,0),"")</f>
        <v/>
      </c>
      <c r="Q324" s="332">
        <f>IFERROR(VLOOKUP(TEXT(O324,"0"),CONDUCTORES!$A$3:$H$54,6,0),"")</f>
        <v/>
      </c>
      <c r="R324" s="280" t="n"/>
      <c r="S324" s="280" t="n"/>
      <c r="T324" s="280" t="n"/>
      <c r="U324" s="280" t="n"/>
      <c r="V324" s="280" t="n"/>
      <c r="W324" s="280" t="n"/>
      <c r="X324" s="280" t="n"/>
      <c r="Y324" s="280" t="n"/>
    </row>
    <row r="325" ht="15" customHeight="1" s="195">
      <c r="A325" s="334" t="n"/>
      <c r="B325" s="334" t="n"/>
      <c r="C325" s="334" t="n"/>
      <c r="D325" s="334" t="n"/>
      <c r="E325" s="334" t="n"/>
      <c r="F325" s="334" t="n"/>
      <c r="G325" s="334" t="n"/>
      <c r="H325" s="334" t="n"/>
      <c r="I325" s="332">
        <f>IFERROR(VLOOKUP(TEXT(H325,"0"),IPRESS!$A$3:$B$212,2,0),"")</f>
        <v/>
      </c>
      <c r="J325" s="334" t="n"/>
      <c r="K325" s="332">
        <f>IFERROR(VLOOKUP(TEXT(O325,"0"),CONDUCTORES!$A$3:$G$54,7,0),"")</f>
        <v/>
      </c>
      <c r="L325" s="334" t="n"/>
      <c r="M325" s="334" t="n"/>
      <c r="N325" s="333">
        <f>IFERROR(IF(L325*M325=0,"",L325*M325),"")</f>
        <v/>
      </c>
      <c r="O325" s="334" t="n"/>
      <c r="P325" s="332">
        <f>IFERROR(VLOOKUP(TEXT(O325,"0"),CONDUCTORES!$A$3:$G$54,2,0),"")</f>
        <v/>
      </c>
      <c r="Q325" s="332">
        <f>IFERROR(VLOOKUP(TEXT(O325,"0"),CONDUCTORES!$A$3:$H$54,6,0),"")</f>
        <v/>
      </c>
      <c r="R325" s="334" t="n"/>
      <c r="S325" s="334" t="n"/>
      <c r="T325" s="334" t="n"/>
      <c r="U325" s="334" t="n"/>
      <c r="V325" s="334" t="n"/>
      <c r="W325" s="334" t="n"/>
      <c r="X325" s="334" t="n"/>
      <c r="Y325" s="334" t="n"/>
    </row>
    <row r="326" ht="15" customHeight="1" s="195">
      <c r="A326" s="280" t="n"/>
      <c r="B326" s="280" t="n"/>
      <c r="C326" s="280" t="n"/>
      <c r="D326" s="280" t="n"/>
      <c r="E326" s="280" t="n"/>
      <c r="F326" s="280" t="n"/>
      <c r="G326" s="280" t="n"/>
      <c r="H326" s="280" t="n"/>
      <c r="I326" s="332">
        <f>IFERROR(VLOOKUP(TEXT(H326,"0"),IPRESS!$A$3:$B$212,2,0),"")</f>
        <v/>
      </c>
      <c r="J326" s="280" t="n"/>
      <c r="K326" s="332">
        <f>IFERROR(VLOOKUP(TEXT(O326,"0"),CONDUCTORES!$A$3:$G$54,7,0),"")</f>
        <v/>
      </c>
      <c r="L326" s="280" t="n"/>
      <c r="M326" s="280" t="n"/>
      <c r="N326" s="333">
        <f>IFERROR(IF(L326*M326=0,"",L326*M326),"")</f>
        <v/>
      </c>
      <c r="O326" s="280" t="n"/>
      <c r="P326" s="332">
        <f>IFERROR(VLOOKUP(TEXT(O326,"0"),CONDUCTORES!$A$3:$G$54,2,0),"")</f>
        <v/>
      </c>
      <c r="Q326" s="332">
        <f>IFERROR(VLOOKUP(TEXT(O326,"0"),CONDUCTORES!$A$3:$H$54,6,0),"")</f>
        <v/>
      </c>
      <c r="R326" s="280" t="n"/>
      <c r="S326" s="280" t="n"/>
      <c r="T326" s="280" t="n"/>
      <c r="U326" s="280" t="n"/>
      <c r="V326" s="280" t="n"/>
      <c r="W326" s="280" t="n"/>
      <c r="X326" s="280" t="n"/>
      <c r="Y326" s="280" t="n"/>
    </row>
    <row r="327" ht="15" customHeight="1" s="195">
      <c r="A327" s="334" t="n"/>
      <c r="B327" s="334" t="n"/>
      <c r="C327" s="334" t="n"/>
      <c r="D327" s="334" t="n"/>
      <c r="E327" s="334" t="n"/>
      <c r="F327" s="334" t="n"/>
      <c r="G327" s="334" t="n"/>
      <c r="H327" s="334" t="n"/>
      <c r="I327" s="332">
        <f>IFERROR(VLOOKUP(TEXT(H327,"0"),IPRESS!$A$3:$B$212,2,0),"")</f>
        <v/>
      </c>
      <c r="J327" s="334" t="n"/>
      <c r="K327" s="332">
        <f>IFERROR(VLOOKUP(TEXT(O327,"0"),CONDUCTORES!$A$3:$G$54,7,0),"")</f>
        <v/>
      </c>
      <c r="L327" s="334" t="n"/>
      <c r="M327" s="334" t="n"/>
      <c r="N327" s="333">
        <f>IFERROR(IF(L327*M327=0,"",L327*M327),"")</f>
        <v/>
      </c>
      <c r="O327" s="334" t="n"/>
      <c r="P327" s="332">
        <f>IFERROR(VLOOKUP(TEXT(O327,"0"),CONDUCTORES!$A$3:$G$54,2,0),"")</f>
        <v/>
      </c>
      <c r="Q327" s="332">
        <f>IFERROR(VLOOKUP(TEXT(O327,"0"),CONDUCTORES!$A$3:$H$54,6,0),"")</f>
        <v/>
      </c>
      <c r="R327" s="334" t="n"/>
      <c r="S327" s="334" t="n"/>
      <c r="T327" s="334" t="n"/>
      <c r="U327" s="334" t="n"/>
      <c r="V327" s="334" t="n"/>
      <c r="W327" s="334" t="n"/>
      <c r="X327" s="334" t="n"/>
      <c r="Y327" s="334" t="n"/>
    </row>
    <row r="328" ht="15" customHeight="1" s="195">
      <c r="A328" s="280" t="n"/>
      <c r="B328" s="280" t="n"/>
      <c r="C328" s="280" t="n"/>
      <c r="D328" s="280" t="n"/>
      <c r="E328" s="280" t="n"/>
      <c r="F328" s="280" t="n"/>
      <c r="G328" s="280" t="n"/>
      <c r="H328" s="280" t="n"/>
      <c r="I328" s="332">
        <f>IFERROR(VLOOKUP(TEXT(H328,"0"),IPRESS!$A$3:$B$212,2,0),"")</f>
        <v/>
      </c>
      <c r="J328" s="280" t="n"/>
      <c r="K328" s="332">
        <f>IFERROR(VLOOKUP(TEXT(O328,"0"),CONDUCTORES!$A$3:$G$54,7,0),"")</f>
        <v/>
      </c>
      <c r="L328" s="280" t="n"/>
      <c r="M328" s="280" t="n"/>
      <c r="N328" s="333">
        <f>IFERROR(IF(L328*M328=0,"",L328*M328),"")</f>
        <v/>
      </c>
      <c r="O328" s="280" t="n"/>
      <c r="P328" s="332">
        <f>IFERROR(VLOOKUP(TEXT(O328,"0"),CONDUCTORES!$A$3:$G$54,2,0),"")</f>
        <v/>
      </c>
      <c r="Q328" s="332">
        <f>IFERROR(VLOOKUP(TEXT(O328,"0"),CONDUCTORES!$A$3:$H$54,6,0),"")</f>
        <v/>
      </c>
      <c r="R328" s="280" t="n"/>
      <c r="S328" s="280" t="n"/>
      <c r="T328" s="280" t="n"/>
      <c r="U328" s="280" t="n"/>
      <c r="V328" s="280" t="n"/>
      <c r="W328" s="280" t="n"/>
      <c r="X328" s="280" t="n"/>
      <c r="Y328" s="280" t="n"/>
    </row>
    <row r="329" ht="15" customHeight="1" s="195">
      <c r="A329" s="334" t="n"/>
      <c r="B329" s="334" t="n"/>
      <c r="C329" s="334" t="n"/>
      <c r="D329" s="334" t="n"/>
      <c r="E329" s="334" t="n"/>
      <c r="F329" s="334" t="n"/>
      <c r="G329" s="334" t="n"/>
      <c r="H329" s="334" t="n"/>
      <c r="I329" s="332">
        <f>IFERROR(VLOOKUP(TEXT(H329,"0"),IPRESS!$A$3:$B$212,2,0),"")</f>
        <v/>
      </c>
      <c r="J329" s="334" t="n"/>
      <c r="K329" s="332">
        <f>IFERROR(VLOOKUP(TEXT(O329,"0"),CONDUCTORES!$A$3:$G$54,7,0),"")</f>
        <v/>
      </c>
      <c r="L329" s="334" t="n"/>
      <c r="M329" s="334" t="n"/>
      <c r="N329" s="333">
        <f>IFERROR(IF(L329*M329=0,"",L329*M329),"")</f>
        <v/>
      </c>
      <c r="O329" s="334" t="n"/>
      <c r="P329" s="332">
        <f>IFERROR(VLOOKUP(TEXT(O329,"0"),CONDUCTORES!$A$3:$G$54,2,0),"")</f>
        <v/>
      </c>
      <c r="Q329" s="332">
        <f>IFERROR(VLOOKUP(TEXT(O329,"0"),CONDUCTORES!$A$3:$H$54,6,0),"")</f>
        <v/>
      </c>
      <c r="R329" s="334" t="n"/>
      <c r="S329" s="334" t="n"/>
      <c r="T329" s="334" t="n"/>
      <c r="U329" s="334" t="n"/>
      <c r="V329" s="334" t="n"/>
      <c r="W329" s="334" t="n"/>
      <c r="X329" s="334" t="n"/>
      <c r="Y329" s="334" t="n"/>
    </row>
    <row r="330" ht="15" customHeight="1" s="195">
      <c r="A330" s="280" t="n"/>
      <c r="B330" s="280" t="n"/>
      <c r="C330" s="280" t="n"/>
      <c r="D330" s="280" t="n"/>
      <c r="E330" s="280" t="n"/>
      <c r="F330" s="280" t="n"/>
      <c r="G330" s="280" t="n"/>
      <c r="H330" s="280" t="n"/>
      <c r="I330" s="332">
        <f>IFERROR(VLOOKUP(TEXT(H330,"0"),IPRESS!$A$3:$B$212,2,0),"")</f>
        <v/>
      </c>
      <c r="J330" s="280" t="n"/>
      <c r="K330" s="332">
        <f>IFERROR(VLOOKUP(TEXT(O330,"0"),CONDUCTORES!$A$3:$G$54,7,0),"")</f>
        <v/>
      </c>
      <c r="L330" s="280" t="n"/>
      <c r="M330" s="280" t="n"/>
      <c r="N330" s="333">
        <f>IFERROR(IF(L330*M330=0,"",L330*M330),"")</f>
        <v/>
      </c>
      <c r="O330" s="280" t="n"/>
      <c r="P330" s="332">
        <f>IFERROR(VLOOKUP(TEXT(O330,"0"),CONDUCTORES!$A$3:$G$54,2,0),"")</f>
        <v/>
      </c>
      <c r="Q330" s="332">
        <f>IFERROR(VLOOKUP(TEXT(O330,"0"),CONDUCTORES!$A$3:$H$54,6,0),"")</f>
        <v/>
      </c>
      <c r="R330" s="280" t="n"/>
      <c r="S330" s="280" t="n"/>
      <c r="T330" s="280" t="n"/>
      <c r="U330" s="280" t="n"/>
      <c r="V330" s="280" t="n"/>
      <c r="W330" s="280" t="n"/>
      <c r="X330" s="280" t="n"/>
      <c r="Y330" s="280" t="n"/>
    </row>
    <row r="331" ht="15" customHeight="1" s="195">
      <c r="A331" s="334" t="n"/>
      <c r="B331" s="334" t="n"/>
      <c r="C331" s="334" t="n"/>
      <c r="D331" s="334" t="n"/>
      <c r="E331" s="334" t="n"/>
      <c r="F331" s="334" t="n"/>
      <c r="G331" s="334" t="n"/>
      <c r="H331" s="334" t="n"/>
      <c r="I331" s="332">
        <f>IFERROR(VLOOKUP(TEXT(H331,"0"),IPRESS!$A$3:$B$212,2,0),"")</f>
        <v/>
      </c>
      <c r="J331" s="334" t="n"/>
      <c r="K331" s="332">
        <f>IFERROR(VLOOKUP(TEXT(O331,"0"),CONDUCTORES!$A$3:$G$54,7,0),"")</f>
        <v/>
      </c>
      <c r="L331" s="334" t="n"/>
      <c r="M331" s="334" t="n"/>
      <c r="N331" s="333">
        <f>IFERROR(IF(L331*M331=0,"",L331*M331),"")</f>
        <v/>
      </c>
      <c r="O331" s="334" t="n"/>
      <c r="P331" s="332">
        <f>IFERROR(VLOOKUP(TEXT(O331,"0"),CONDUCTORES!$A$3:$G$54,2,0),"")</f>
        <v/>
      </c>
      <c r="Q331" s="332">
        <f>IFERROR(VLOOKUP(TEXT(O331,"0"),CONDUCTORES!$A$3:$H$54,6,0),"")</f>
        <v/>
      </c>
      <c r="R331" s="334" t="n"/>
      <c r="S331" s="334" t="n"/>
      <c r="T331" s="334" t="n"/>
      <c r="U331" s="334" t="n"/>
      <c r="V331" s="334" t="n"/>
      <c r="W331" s="334" t="n"/>
      <c r="X331" s="334" t="n"/>
      <c r="Y331" s="334" t="n"/>
    </row>
    <row r="332" ht="15" customHeight="1" s="195">
      <c r="A332" s="280" t="n"/>
      <c r="B332" s="280" t="n"/>
      <c r="C332" s="280" t="n"/>
      <c r="D332" s="280" t="n"/>
      <c r="E332" s="280" t="n"/>
      <c r="F332" s="280" t="n"/>
      <c r="G332" s="280" t="n"/>
      <c r="H332" s="280" t="n"/>
      <c r="I332" s="332">
        <f>IFERROR(VLOOKUP(TEXT(H332,"0"),IPRESS!$A$3:$B$212,2,0),"")</f>
        <v/>
      </c>
      <c r="J332" s="280" t="n"/>
      <c r="K332" s="332">
        <f>IFERROR(VLOOKUP(TEXT(O332,"0"),CONDUCTORES!$A$3:$G$54,7,0),"")</f>
        <v/>
      </c>
      <c r="L332" s="280" t="n"/>
      <c r="M332" s="280" t="n"/>
      <c r="N332" s="333">
        <f>IFERROR(IF(L332*M332=0,"",L332*M332),"")</f>
        <v/>
      </c>
      <c r="O332" s="280" t="n"/>
      <c r="P332" s="332">
        <f>IFERROR(VLOOKUP(TEXT(O332,"0"),CONDUCTORES!$A$3:$G$54,2,0),"")</f>
        <v/>
      </c>
      <c r="Q332" s="332">
        <f>IFERROR(VLOOKUP(TEXT(O332,"0"),CONDUCTORES!$A$3:$H$54,6,0),"")</f>
        <v/>
      </c>
      <c r="R332" s="280" t="n"/>
      <c r="S332" s="280" t="n"/>
      <c r="T332" s="280" t="n"/>
      <c r="U332" s="280" t="n"/>
      <c r="V332" s="280" t="n"/>
      <c r="W332" s="280" t="n"/>
      <c r="X332" s="280" t="n"/>
      <c r="Y332" s="280" t="n"/>
    </row>
    <row r="333" ht="15" customHeight="1" s="195">
      <c r="A333" s="334" t="n"/>
      <c r="B333" s="334" t="n"/>
      <c r="C333" s="334" t="n"/>
      <c r="D333" s="334" t="n"/>
      <c r="E333" s="334" t="n"/>
      <c r="F333" s="334" t="n"/>
      <c r="G333" s="334" t="n"/>
      <c r="H333" s="334" t="n"/>
      <c r="I333" s="332">
        <f>IFERROR(VLOOKUP(TEXT(H333,"0"),IPRESS!$A$3:$B$212,2,0),"")</f>
        <v/>
      </c>
      <c r="J333" s="334" t="n"/>
      <c r="K333" s="332">
        <f>IFERROR(VLOOKUP(TEXT(O333,"0"),CONDUCTORES!$A$3:$G$54,7,0),"")</f>
        <v/>
      </c>
      <c r="L333" s="334" t="n"/>
      <c r="M333" s="334" t="n"/>
      <c r="N333" s="333">
        <f>IFERROR(IF(L333*M333=0,"",L333*M333),"")</f>
        <v/>
      </c>
      <c r="O333" s="334" t="n"/>
      <c r="P333" s="332">
        <f>IFERROR(VLOOKUP(TEXT(O333,"0"),CONDUCTORES!$A$3:$G$54,2,0),"")</f>
        <v/>
      </c>
      <c r="Q333" s="332">
        <f>IFERROR(VLOOKUP(TEXT(O333,"0"),CONDUCTORES!$A$3:$H$54,6,0),"")</f>
        <v/>
      </c>
      <c r="R333" s="334" t="n"/>
      <c r="S333" s="334" t="n"/>
      <c r="T333" s="334" t="n"/>
      <c r="U333" s="334" t="n"/>
      <c r="V333" s="334" t="n"/>
      <c r="W333" s="334" t="n"/>
      <c r="X333" s="334" t="n"/>
      <c r="Y333" s="334" t="n"/>
    </row>
    <row r="334" ht="15" customHeight="1" s="195">
      <c r="A334" s="280" t="n"/>
      <c r="B334" s="280" t="n"/>
      <c r="C334" s="280" t="n"/>
      <c r="D334" s="280" t="n"/>
      <c r="E334" s="280" t="n"/>
      <c r="F334" s="280" t="n"/>
      <c r="G334" s="280" t="n"/>
      <c r="H334" s="280" t="n"/>
      <c r="I334" s="332">
        <f>IFERROR(VLOOKUP(TEXT(H334,"0"),IPRESS!$A$3:$B$212,2,0),"")</f>
        <v/>
      </c>
      <c r="J334" s="280" t="n"/>
      <c r="K334" s="332">
        <f>IFERROR(VLOOKUP(TEXT(O334,"0"),CONDUCTORES!$A$3:$G$54,7,0),"")</f>
        <v/>
      </c>
      <c r="L334" s="280" t="n"/>
      <c r="M334" s="280" t="n"/>
      <c r="N334" s="333">
        <f>IFERROR(IF(L334*M334=0,"",L334*M334),"")</f>
        <v/>
      </c>
      <c r="O334" s="280" t="n"/>
      <c r="P334" s="332">
        <f>IFERROR(VLOOKUP(TEXT(O334,"0"),CONDUCTORES!$A$3:$G$54,2,0),"")</f>
        <v/>
      </c>
      <c r="Q334" s="332">
        <f>IFERROR(VLOOKUP(TEXT(O334,"0"),CONDUCTORES!$A$3:$H$54,6,0),"")</f>
        <v/>
      </c>
      <c r="R334" s="280" t="n"/>
      <c r="S334" s="280" t="n"/>
      <c r="T334" s="280" t="n"/>
      <c r="U334" s="280" t="n"/>
      <c r="V334" s="280" t="n"/>
      <c r="W334" s="280" t="n"/>
      <c r="X334" s="280" t="n"/>
      <c r="Y334" s="280" t="n"/>
    </row>
    <row r="335" ht="15" customHeight="1" s="195">
      <c r="A335" s="334" t="n"/>
      <c r="B335" s="334" t="n"/>
      <c r="C335" s="334" t="n"/>
      <c r="D335" s="334" t="n"/>
      <c r="E335" s="334" t="n"/>
      <c r="F335" s="334" t="n"/>
      <c r="G335" s="334" t="n"/>
      <c r="H335" s="334" t="n"/>
      <c r="I335" s="332">
        <f>IFERROR(VLOOKUP(TEXT(H335,"0"),IPRESS!$A$3:$B$212,2,0),"")</f>
        <v/>
      </c>
      <c r="J335" s="334" t="n"/>
      <c r="K335" s="332">
        <f>IFERROR(VLOOKUP(TEXT(O335,"0"),CONDUCTORES!$A$3:$G$54,7,0),"")</f>
        <v/>
      </c>
      <c r="L335" s="334" t="n"/>
      <c r="M335" s="334" t="n"/>
      <c r="N335" s="333">
        <f>IFERROR(IF(L335*M335=0,"",L335*M335),"")</f>
        <v/>
      </c>
      <c r="O335" s="334" t="n"/>
      <c r="P335" s="332">
        <f>IFERROR(VLOOKUP(TEXT(O335,"0"),CONDUCTORES!$A$3:$G$54,2,0),"")</f>
        <v/>
      </c>
      <c r="Q335" s="332">
        <f>IFERROR(VLOOKUP(TEXT(O335,"0"),CONDUCTORES!$A$3:$H$54,6,0),"")</f>
        <v/>
      </c>
      <c r="R335" s="334" t="n"/>
      <c r="S335" s="334" t="n"/>
      <c r="T335" s="334" t="n"/>
      <c r="U335" s="334" t="n"/>
      <c r="V335" s="334" t="n"/>
      <c r="W335" s="334" t="n"/>
      <c r="X335" s="334" t="n"/>
      <c r="Y335" s="334" t="n"/>
    </row>
    <row r="336" ht="15" customHeight="1" s="195">
      <c r="A336" s="280" t="n"/>
      <c r="B336" s="280" t="n"/>
      <c r="C336" s="280" t="n"/>
      <c r="D336" s="280" t="n"/>
      <c r="E336" s="280" t="n"/>
      <c r="F336" s="280" t="n"/>
      <c r="G336" s="280" t="n"/>
      <c r="H336" s="280" t="n"/>
      <c r="I336" s="332">
        <f>IFERROR(VLOOKUP(TEXT(H336,"0"),IPRESS!$A$3:$B$212,2,0),"")</f>
        <v/>
      </c>
      <c r="J336" s="280" t="n"/>
      <c r="K336" s="332">
        <f>IFERROR(VLOOKUP(TEXT(O336,"0"),CONDUCTORES!$A$3:$G$54,7,0),"")</f>
        <v/>
      </c>
      <c r="L336" s="280" t="n"/>
      <c r="M336" s="280" t="n"/>
      <c r="N336" s="333">
        <f>IFERROR(IF(L336*M336=0,"",L336*M336),"")</f>
        <v/>
      </c>
      <c r="O336" s="280" t="n"/>
      <c r="P336" s="332">
        <f>IFERROR(VLOOKUP(TEXT(O336,"0"),CONDUCTORES!$A$3:$G$54,2,0),"")</f>
        <v/>
      </c>
      <c r="Q336" s="332">
        <f>IFERROR(VLOOKUP(TEXT(O336,"0"),CONDUCTORES!$A$3:$H$54,6,0),"")</f>
        <v/>
      </c>
      <c r="R336" s="280" t="n"/>
      <c r="S336" s="280" t="n"/>
      <c r="T336" s="280" t="n"/>
      <c r="U336" s="280" t="n"/>
      <c r="V336" s="280" t="n"/>
      <c r="W336" s="280" t="n"/>
      <c r="X336" s="280" t="n"/>
      <c r="Y336" s="280" t="n"/>
    </row>
    <row r="337" ht="15" customHeight="1" s="195">
      <c r="A337" s="334" t="n"/>
      <c r="B337" s="334" t="n"/>
      <c r="C337" s="334" t="n"/>
      <c r="D337" s="334" t="n"/>
      <c r="E337" s="334" t="n"/>
      <c r="F337" s="334" t="n"/>
      <c r="G337" s="334" t="n"/>
      <c r="H337" s="334" t="n"/>
      <c r="I337" s="332">
        <f>IFERROR(VLOOKUP(TEXT(H337,"0"),IPRESS!$A$3:$B$212,2,0),"")</f>
        <v/>
      </c>
      <c r="J337" s="334" t="n"/>
      <c r="K337" s="332">
        <f>IFERROR(VLOOKUP(TEXT(O337,"0"),CONDUCTORES!$A$3:$G$54,7,0),"")</f>
        <v/>
      </c>
      <c r="L337" s="334" t="n"/>
      <c r="M337" s="334" t="n"/>
      <c r="N337" s="333">
        <f>IFERROR(IF(L337*M337=0,"",L337*M337),"")</f>
        <v/>
      </c>
      <c r="O337" s="334" t="n"/>
      <c r="P337" s="332">
        <f>IFERROR(VLOOKUP(TEXT(O337,"0"),CONDUCTORES!$A$3:$G$54,2,0),"")</f>
        <v/>
      </c>
      <c r="Q337" s="332">
        <f>IFERROR(VLOOKUP(TEXT(O337,"0"),CONDUCTORES!$A$3:$H$54,6,0),"")</f>
        <v/>
      </c>
      <c r="R337" s="334" t="n"/>
      <c r="S337" s="334" t="n"/>
      <c r="T337" s="334" t="n"/>
      <c r="U337" s="334" t="n"/>
      <c r="V337" s="334" t="n"/>
      <c r="W337" s="334" t="n"/>
      <c r="X337" s="334" t="n"/>
      <c r="Y337" s="334" t="n"/>
    </row>
    <row r="338" ht="15" customHeight="1" s="195">
      <c r="A338" s="280" t="n"/>
      <c r="B338" s="280" t="n"/>
      <c r="C338" s="280" t="n"/>
      <c r="D338" s="280" t="n"/>
      <c r="E338" s="280" t="n"/>
      <c r="F338" s="280" t="n"/>
      <c r="G338" s="280" t="n"/>
      <c r="H338" s="280" t="n"/>
      <c r="I338" s="332">
        <f>IFERROR(VLOOKUP(TEXT(H338,"0"),IPRESS!$A$3:$B$212,2,0),"")</f>
        <v/>
      </c>
      <c r="J338" s="280" t="n"/>
      <c r="K338" s="332">
        <f>IFERROR(VLOOKUP(TEXT(O338,"0"),CONDUCTORES!$A$3:$G$54,7,0),"")</f>
        <v/>
      </c>
      <c r="L338" s="280" t="n"/>
      <c r="M338" s="280" t="n"/>
      <c r="N338" s="333">
        <f>IFERROR(IF(L338*M338=0,"",L338*M338),"")</f>
        <v/>
      </c>
      <c r="O338" s="280" t="n"/>
      <c r="P338" s="332">
        <f>IFERROR(VLOOKUP(TEXT(O338,"0"),CONDUCTORES!$A$3:$G$54,2,0),"")</f>
        <v/>
      </c>
      <c r="Q338" s="332">
        <f>IFERROR(VLOOKUP(TEXT(O338,"0"),CONDUCTORES!$A$3:$H$54,6,0),"")</f>
        <v/>
      </c>
      <c r="R338" s="280" t="n"/>
      <c r="S338" s="280" t="n"/>
      <c r="T338" s="280" t="n"/>
      <c r="U338" s="280" t="n"/>
      <c r="V338" s="280" t="n"/>
      <c r="W338" s="280" t="n"/>
      <c r="X338" s="280" t="n"/>
      <c r="Y338" s="280" t="n"/>
    </row>
    <row r="339" ht="15" customHeight="1" s="195">
      <c r="A339" s="334" t="n"/>
      <c r="B339" s="334" t="n"/>
      <c r="C339" s="334" t="n"/>
      <c r="D339" s="334" t="n"/>
      <c r="E339" s="334" t="n"/>
      <c r="F339" s="334" t="n"/>
      <c r="G339" s="334" t="n"/>
      <c r="H339" s="334" t="n"/>
      <c r="I339" s="332">
        <f>IFERROR(VLOOKUP(TEXT(H339,"0"),IPRESS!$A$3:$B$212,2,0),"")</f>
        <v/>
      </c>
      <c r="J339" s="334" t="n"/>
      <c r="K339" s="332">
        <f>IFERROR(VLOOKUP(TEXT(O339,"0"),CONDUCTORES!$A$3:$G$54,7,0),"")</f>
        <v/>
      </c>
      <c r="L339" s="334" t="n"/>
      <c r="M339" s="334" t="n"/>
      <c r="N339" s="333">
        <f>IFERROR(IF(L339*M339=0,"",L339*M339),"")</f>
        <v/>
      </c>
      <c r="O339" s="334" t="n"/>
      <c r="P339" s="332">
        <f>IFERROR(VLOOKUP(TEXT(O339,"0"),CONDUCTORES!$A$3:$G$54,2,0),"")</f>
        <v/>
      </c>
      <c r="Q339" s="332">
        <f>IFERROR(VLOOKUP(TEXT(O339,"0"),CONDUCTORES!$A$3:$H$54,6,0),"")</f>
        <v/>
      </c>
      <c r="R339" s="334" t="n"/>
      <c r="S339" s="334" t="n"/>
      <c r="T339" s="334" t="n"/>
      <c r="U339" s="334" t="n"/>
      <c r="V339" s="334" t="n"/>
      <c r="W339" s="334" t="n"/>
      <c r="X339" s="334" t="n"/>
      <c r="Y339" s="334" t="n"/>
    </row>
    <row r="340" ht="15" customHeight="1" s="195">
      <c r="A340" s="280" t="n"/>
      <c r="B340" s="280" t="n"/>
      <c r="C340" s="280" t="n"/>
      <c r="D340" s="280" t="n"/>
      <c r="E340" s="280" t="n"/>
      <c r="F340" s="280" t="n"/>
      <c r="G340" s="280" t="n"/>
      <c r="H340" s="280" t="n"/>
      <c r="I340" s="332">
        <f>IFERROR(VLOOKUP(TEXT(H340,"0"),IPRESS!$A$3:$B$212,2,0),"")</f>
        <v/>
      </c>
      <c r="J340" s="280" t="n"/>
      <c r="K340" s="332">
        <f>IFERROR(VLOOKUP(TEXT(O340,"0"),CONDUCTORES!$A$3:$G$54,7,0),"")</f>
        <v/>
      </c>
      <c r="L340" s="280" t="n"/>
      <c r="M340" s="280" t="n"/>
      <c r="N340" s="333">
        <f>IFERROR(IF(L340*M340=0,"",L340*M340),"")</f>
        <v/>
      </c>
      <c r="O340" s="280" t="n"/>
      <c r="P340" s="332">
        <f>IFERROR(VLOOKUP(TEXT(O340,"0"),CONDUCTORES!$A$3:$G$54,2,0),"")</f>
        <v/>
      </c>
      <c r="Q340" s="332">
        <f>IFERROR(VLOOKUP(TEXT(O340,"0"),CONDUCTORES!$A$3:$H$54,6,0),"")</f>
        <v/>
      </c>
      <c r="R340" s="280" t="n"/>
      <c r="S340" s="280" t="n"/>
      <c r="T340" s="280" t="n"/>
      <c r="U340" s="280" t="n"/>
      <c r="V340" s="280" t="n"/>
      <c r="W340" s="280" t="n"/>
      <c r="X340" s="280" t="n"/>
      <c r="Y340" s="280" t="n"/>
    </row>
    <row r="341" ht="15" customHeight="1" s="195">
      <c r="A341" s="334" t="n"/>
      <c r="B341" s="334" t="n"/>
      <c r="C341" s="334" t="n"/>
      <c r="D341" s="334" t="n"/>
      <c r="E341" s="334" t="n"/>
      <c r="F341" s="334" t="n"/>
      <c r="G341" s="334" t="n"/>
      <c r="H341" s="334" t="n"/>
      <c r="I341" s="332">
        <f>IFERROR(VLOOKUP(TEXT(H341,"0"),IPRESS!$A$3:$B$212,2,0),"")</f>
        <v/>
      </c>
      <c r="J341" s="334" t="n"/>
      <c r="K341" s="332">
        <f>IFERROR(VLOOKUP(TEXT(O341,"0"),CONDUCTORES!$A$3:$G$54,7,0),"")</f>
        <v/>
      </c>
      <c r="L341" s="334" t="n"/>
      <c r="M341" s="334" t="n"/>
      <c r="N341" s="333">
        <f>IFERROR(IF(L341*M341=0,"",L341*M341),"")</f>
        <v/>
      </c>
      <c r="O341" s="334" t="n"/>
      <c r="P341" s="332">
        <f>IFERROR(VLOOKUP(TEXT(O341,"0"),CONDUCTORES!$A$3:$G$54,2,0),"")</f>
        <v/>
      </c>
      <c r="Q341" s="332">
        <f>IFERROR(VLOOKUP(TEXT(O341,"0"),CONDUCTORES!$A$3:$H$54,6,0),"")</f>
        <v/>
      </c>
      <c r="R341" s="334" t="n"/>
      <c r="S341" s="334" t="n"/>
      <c r="T341" s="334" t="n"/>
      <c r="U341" s="334" t="n"/>
      <c r="V341" s="334" t="n"/>
      <c r="W341" s="334" t="n"/>
      <c r="X341" s="334" t="n"/>
      <c r="Y341" s="334" t="n"/>
    </row>
    <row r="342" ht="15" customHeight="1" s="195">
      <c r="A342" s="280" t="n"/>
      <c r="B342" s="280" t="n"/>
      <c r="C342" s="280" t="n"/>
      <c r="D342" s="280" t="n"/>
      <c r="E342" s="280" t="n"/>
      <c r="F342" s="280" t="n"/>
      <c r="G342" s="280" t="n"/>
      <c r="H342" s="280" t="n"/>
      <c r="I342" s="332">
        <f>IFERROR(VLOOKUP(TEXT(H342,"0"),IPRESS!$A$3:$B$212,2,0),"")</f>
        <v/>
      </c>
      <c r="J342" s="280" t="n"/>
      <c r="K342" s="332">
        <f>IFERROR(VLOOKUP(TEXT(O342,"0"),CONDUCTORES!$A$3:$G$54,7,0),"")</f>
        <v/>
      </c>
      <c r="L342" s="280" t="n"/>
      <c r="M342" s="280" t="n"/>
      <c r="N342" s="333">
        <f>IFERROR(IF(L342*M342=0,"",L342*M342),"")</f>
        <v/>
      </c>
      <c r="O342" s="280" t="n"/>
      <c r="P342" s="332">
        <f>IFERROR(VLOOKUP(TEXT(O342,"0"),CONDUCTORES!$A$3:$G$54,2,0),"")</f>
        <v/>
      </c>
      <c r="Q342" s="332">
        <f>IFERROR(VLOOKUP(TEXT(O342,"0"),CONDUCTORES!$A$3:$H$54,6,0),"")</f>
        <v/>
      </c>
      <c r="R342" s="280" t="n"/>
      <c r="S342" s="280" t="n"/>
      <c r="T342" s="280" t="n"/>
      <c r="U342" s="280" t="n"/>
      <c r="V342" s="280" t="n"/>
      <c r="W342" s="280" t="n"/>
      <c r="X342" s="280" t="n"/>
      <c r="Y342" s="280" t="n"/>
    </row>
    <row r="343" ht="15" customHeight="1" s="195">
      <c r="A343" s="334" t="n"/>
      <c r="B343" s="334" t="n"/>
      <c r="C343" s="334" t="n"/>
      <c r="D343" s="334" t="n"/>
      <c r="E343" s="334" t="n"/>
      <c r="F343" s="334" t="n"/>
      <c r="G343" s="334" t="n"/>
      <c r="H343" s="334" t="n"/>
      <c r="I343" s="332">
        <f>IFERROR(VLOOKUP(TEXT(H343,"0"),IPRESS!$A$3:$B$212,2,0),"")</f>
        <v/>
      </c>
      <c r="J343" s="334" t="n"/>
      <c r="K343" s="332">
        <f>IFERROR(VLOOKUP(TEXT(O343,"0"),CONDUCTORES!$A$3:$G$54,7,0),"")</f>
        <v/>
      </c>
      <c r="L343" s="334" t="n"/>
      <c r="M343" s="334" t="n"/>
      <c r="N343" s="333">
        <f>IFERROR(IF(L343*M343=0,"",L343*M343),"")</f>
        <v/>
      </c>
      <c r="O343" s="334" t="n"/>
      <c r="P343" s="332">
        <f>IFERROR(VLOOKUP(TEXT(O343,"0"),CONDUCTORES!$A$3:$G$54,2,0),"")</f>
        <v/>
      </c>
      <c r="Q343" s="332">
        <f>IFERROR(VLOOKUP(TEXT(O343,"0"),CONDUCTORES!$A$3:$H$54,6,0),"")</f>
        <v/>
      </c>
      <c r="R343" s="334" t="n"/>
      <c r="S343" s="334" t="n"/>
      <c r="T343" s="334" t="n"/>
      <c r="U343" s="334" t="n"/>
      <c r="V343" s="334" t="n"/>
      <c r="W343" s="334" t="n"/>
      <c r="X343" s="334" t="n"/>
      <c r="Y343" s="334" t="n"/>
    </row>
    <row r="344" ht="15" customHeight="1" s="195">
      <c r="A344" s="280" t="n"/>
      <c r="B344" s="280" t="n"/>
      <c r="C344" s="280" t="n"/>
      <c r="D344" s="280" t="n"/>
      <c r="E344" s="280" t="n"/>
      <c r="F344" s="280" t="n"/>
      <c r="G344" s="280" t="n"/>
      <c r="H344" s="280" t="n"/>
      <c r="I344" s="332">
        <f>IFERROR(VLOOKUP(TEXT(H344,"0"),IPRESS!$A$3:$B$212,2,0),"")</f>
        <v/>
      </c>
      <c r="J344" s="280" t="n"/>
      <c r="K344" s="332">
        <f>IFERROR(VLOOKUP(TEXT(O344,"0"),CONDUCTORES!$A$3:$G$54,7,0),"")</f>
        <v/>
      </c>
      <c r="L344" s="280" t="n"/>
      <c r="M344" s="280" t="n"/>
      <c r="N344" s="333">
        <f>IFERROR(IF(L344*M344=0,"",L344*M344),"")</f>
        <v/>
      </c>
      <c r="O344" s="280" t="n"/>
      <c r="P344" s="332">
        <f>IFERROR(VLOOKUP(TEXT(O344,"0"),CONDUCTORES!$A$3:$G$54,2,0),"")</f>
        <v/>
      </c>
      <c r="Q344" s="332">
        <f>IFERROR(VLOOKUP(TEXT(O344,"0"),CONDUCTORES!$A$3:$H$54,6,0),"")</f>
        <v/>
      </c>
      <c r="R344" s="280" t="n"/>
      <c r="S344" s="280" t="n"/>
      <c r="T344" s="280" t="n"/>
      <c r="U344" s="280" t="n"/>
      <c r="V344" s="280" t="n"/>
      <c r="W344" s="280" t="n"/>
      <c r="X344" s="280" t="n"/>
      <c r="Y344" s="280" t="n"/>
    </row>
    <row r="345" ht="15" customHeight="1" s="195">
      <c r="A345" s="334" t="n"/>
      <c r="B345" s="334" t="n"/>
      <c r="C345" s="334" t="n"/>
      <c r="D345" s="334" t="n"/>
      <c r="E345" s="334" t="n"/>
      <c r="F345" s="334" t="n"/>
      <c r="G345" s="334" t="n"/>
      <c r="H345" s="334" t="n"/>
      <c r="I345" s="332">
        <f>IFERROR(VLOOKUP(TEXT(H345,"0"),IPRESS!$A$3:$B$212,2,0),"")</f>
        <v/>
      </c>
      <c r="J345" s="334" t="n"/>
      <c r="K345" s="332">
        <f>IFERROR(VLOOKUP(TEXT(O345,"0"),CONDUCTORES!$A$3:$G$54,7,0),"")</f>
        <v/>
      </c>
      <c r="L345" s="334" t="n"/>
      <c r="M345" s="334" t="n"/>
      <c r="N345" s="333">
        <f>IFERROR(IF(L345*M345=0,"",L345*M345),"")</f>
        <v/>
      </c>
      <c r="O345" s="334" t="n"/>
      <c r="P345" s="332">
        <f>IFERROR(VLOOKUP(TEXT(O345,"0"),CONDUCTORES!$A$3:$G$54,2,0),"")</f>
        <v/>
      </c>
      <c r="Q345" s="332">
        <f>IFERROR(VLOOKUP(TEXT(O345,"0"),CONDUCTORES!$A$3:$H$54,6,0),"")</f>
        <v/>
      </c>
      <c r="R345" s="334" t="n"/>
      <c r="S345" s="334" t="n"/>
      <c r="T345" s="334" t="n"/>
      <c r="U345" s="334" t="n"/>
      <c r="V345" s="334" t="n"/>
      <c r="W345" s="334" t="n"/>
      <c r="X345" s="334" t="n"/>
      <c r="Y345" s="334" t="n"/>
    </row>
    <row r="346" ht="15" customHeight="1" s="195">
      <c r="A346" s="280" t="n"/>
      <c r="B346" s="280" t="n"/>
      <c r="C346" s="280" t="n"/>
      <c r="D346" s="280" t="n"/>
      <c r="E346" s="280" t="n"/>
      <c r="F346" s="280" t="n"/>
      <c r="G346" s="280" t="n"/>
      <c r="H346" s="280" t="n"/>
      <c r="I346" s="332">
        <f>IFERROR(VLOOKUP(TEXT(H346,"0"),IPRESS!$A$3:$B$212,2,0),"")</f>
        <v/>
      </c>
      <c r="J346" s="280" t="n"/>
      <c r="K346" s="332">
        <f>IFERROR(VLOOKUP(TEXT(O346,"0"),CONDUCTORES!$A$3:$G$54,7,0),"")</f>
        <v/>
      </c>
      <c r="L346" s="280" t="n"/>
      <c r="M346" s="280" t="n"/>
      <c r="N346" s="333">
        <f>IFERROR(IF(L346*M346=0,"",L346*M346),"")</f>
        <v/>
      </c>
      <c r="O346" s="280" t="n"/>
      <c r="P346" s="332">
        <f>IFERROR(VLOOKUP(TEXT(O346,"0"),CONDUCTORES!$A$3:$G$54,2,0),"")</f>
        <v/>
      </c>
      <c r="Q346" s="332">
        <f>IFERROR(VLOOKUP(TEXT(O346,"0"),CONDUCTORES!$A$3:$H$54,6,0),"")</f>
        <v/>
      </c>
      <c r="R346" s="280" t="n"/>
      <c r="S346" s="280" t="n"/>
      <c r="T346" s="280" t="n"/>
      <c r="U346" s="280" t="n"/>
      <c r="V346" s="280" t="n"/>
      <c r="W346" s="280" t="n"/>
      <c r="X346" s="280" t="n"/>
      <c r="Y346" s="280" t="n"/>
    </row>
    <row r="347" ht="15" customHeight="1" s="195">
      <c r="A347" s="334" t="n"/>
      <c r="B347" s="334" t="n"/>
      <c r="C347" s="334" t="n"/>
      <c r="D347" s="334" t="n"/>
      <c r="E347" s="334" t="n"/>
      <c r="F347" s="334" t="n"/>
      <c r="G347" s="334" t="n"/>
      <c r="H347" s="334" t="n"/>
      <c r="I347" s="332">
        <f>IFERROR(VLOOKUP(TEXT(H347,"0"),IPRESS!$A$3:$B$212,2,0),"")</f>
        <v/>
      </c>
      <c r="J347" s="334" t="n"/>
      <c r="K347" s="332">
        <f>IFERROR(VLOOKUP(TEXT(O347,"0"),CONDUCTORES!$A$3:$G$54,7,0),"")</f>
        <v/>
      </c>
      <c r="L347" s="334" t="n"/>
      <c r="M347" s="334" t="n"/>
      <c r="N347" s="333">
        <f>IFERROR(IF(L347*M347=0,"",L347*M347),"")</f>
        <v/>
      </c>
      <c r="O347" s="334" t="n"/>
      <c r="P347" s="332">
        <f>IFERROR(VLOOKUP(TEXT(O347,"0"),CONDUCTORES!$A$3:$G$54,2,0),"")</f>
        <v/>
      </c>
      <c r="Q347" s="332">
        <f>IFERROR(VLOOKUP(TEXT(O347,"0"),CONDUCTORES!$A$3:$H$54,6,0),"")</f>
        <v/>
      </c>
      <c r="R347" s="334" t="n"/>
      <c r="S347" s="334" t="n"/>
      <c r="T347" s="334" t="n"/>
      <c r="U347" s="334" t="n"/>
      <c r="V347" s="334" t="n"/>
      <c r="W347" s="334" t="n"/>
      <c r="X347" s="334" t="n"/>
      <c r="Y347" s="334" t="n"/>
    </row>
    <row r="348" ht="15" customHeight="1" s="195">
      <c r="A348" s="280" t="n"/>
      <c r="B348" s="280" t="n"/>
      <c r="C348" s="280" t="n"/>
      <c r="D348" s="280" t="n"/>
      <c r="E348" s="280" t="n"/>
      <c r="F348" s="280" t="n"/>
      <c r="G348" s="280" t="n"/>
      <c r="H348" s="280" t="n"/>
      <c r="I348" s="332">
        <f>IFERROR(VLOOKUP(TEXT(H348,"0"),IPRESS!$A$3:$B$212,2,0),"")</f>
        <v/>
      </c>
      <c r="J348" s="280" t="n"/>
      <c r="K348" s="332">
        <f>IFERROR(VLOOKUP(TEXT(O348,"0"),CONDUCTORES!$A$3:$G$54,7,0),"")</f>
        <v/>
      </c>
      <c r="L348" s="280" t="n"/>
      <c r="M348" s="280" t="n"/>
      <c r="N348" s="333">
        <f>IFERROR(IF(L348*M348=0,"",L348*M348),"")</f>
        <v/>
      </c>
      <c r="O348" s="280" t="n"/>
      <c r="P348" s="332">
        <f>IFERROR(VLOOKUP(TEXT(O348,"0"),CONDUCTORES!$A$3:$G$54,2,0),"")</f>
        <v/>
      </c>
      <c r="Q348" s="332">
        <f>IFERROR(VLOOKUP(TEXT(O348,"0"),CONDUCTORES!$A$3:$H$54,6,0),"")</f>
        <v/>
      </c>
      <c r="R348" s="280" t="n"/>
      <c r="S348" s="280" t="n"/>
      <c r="T348" s="280" t="n"/>
      <c r="U348" s="280" t="n"/>
      <c r="V348" s="280" t="n"/>
      <c r="W348" s="280" t="n"/>
      <c r="X348" s="280" t="n"/>
      <c r="Y348" s="280" t="n"/>
    </row>
    <row r="349" ht="15" customHeight="1" s="195">
      <c r="A349" s="334" t="n"/>
      <c r="B349" s="334" t="n"/>
      <c r="C349" s="334" t="n"/>
      <c r="D349" s="334" t="n"/>
      <c r="E349" s="334" t="n"/>
      <c r="F349" s="334" t="n"/>
      <c r="G349" s="334" t="n"/>
      <c r="H349" s="334" t="n"/>
      <c r="I349" s="332">
        <f>IFERROR(VLOOKUP(TEXT(H349,"0"),IPRESS!$A$3:$B$212,2,0),"")</f>
        <v/>
      </c>
      <c r="J349" s="334" t="n"/>
      <c r="K349" s="332">
        <f>IFERROR(VLOOKUP(TEXT(O349,"0"),CONDUCTORES!$A$3:$G$54,7,0),"")</f>
        <v/>
      </c>
      <c r="L349" s="334" t="n"/>
      <c r="M349" s="334" t="n"/>
      <c r="N349" s="333">
        <f>IFERROR(IF(L349*M349=0,"",L349*M349),"")</f>
        <v/>
      </c>
      <c r="O349" s="334" t="n"/>
      <c r="P349" s="332">
        <f>IFERROR(VLOOKUP(TEXT(O349,"0"),CONDUCTORES!$A$3:$G$54,2,0),"")</f>
        <v/>
      </c>
      <c r="Q349" s="332">
        <f>IFERROR(VLOOKUP(TEXT(O349,"0"),CONDUCTORES!$A$3:$H$54,6,0),"")</f>
        <v/>
      </c>
      <c r="R349" s="334" t="n"/>
      <c r="S349" s="334" t="n"/>
      <c r="T349" s="334" t="n"/>
      <c r="U349" s="334" t="n"/>
      <c r="V349" s="334" t="n"/>
      <c r="W349" s="334" t="n"/>
      <c r="X349" s="334" t="n"/>
      <c r="Y349" s="334" t="n"/>
    </row>
    <row r="350" ht="15" customHeight="1" s="195">
      <c r="A350" s="280" t="n"/>
      <c r="B350" s="280" t="n"/>
      <c r="C350" s="280" t="n"/>
      <c r="D350" s="280" t="n"/>
      <c r="E350" s="280" t="n"/>
      <c r="F350" s="280" t="n"/>
      <c r="G350" s="280" t="n"/>
      <c r="H350" s="280" t="n"/>
      <c r="I350" s="332">
        <f>IFERROR(VLOOKUP(TEXT(H350,"0"),IPRESS!$A$3:$B$212,2,0),"")</f>
        <v/>
      </c>
      <c r="J350" s="280" t="n"/>
      <c r="K350" s="332">
        <f>IFERROR(VLOOKUP(TEXT(O350,"0"),CONDUCTORES!$A$3:$G$54,7,0),"")</f>
        <v/>
      </c>
      <c r="L350" s="280" t="n"/>
      <c r="M350" s="280" t="n"/>
      <c r="N350" s="333">
        <f>IFERROR(IF(L350*M350=0,"",L350*M350),"")</f>
        <v/>
      </c>
      <c r="O350" s="280" t="n"/>
      <c r="P350" s="332">
        <f>IFERROR(VLOOKUP(TEXT(O350,"0"),CONDUCTORES!$A$3:$G$54,2,0),"")</f>
        <v/>
      </c>
      <c r="Q350" s="332">
        <f>IFERROR(VLOOKUP(TEXT(O350,"0"),CONDUCTORES!$A$3:$H$54,6,0),"")</f>
        <v/>
      </c>
      <c r="R350" s="280" t="n"/>
      <c r="S350" s="280" t="n"/>
      <c r="T350" s="280" t="n"/>
      <c r="U350" s="280" t="n"/>
      <c r="V350" s="280" t="n"/>
      <c r="W350" s="280" t="n"/>
      <c r="X350" s="280" t="n"/>
      <c r="Y350" s="280" t="n"/>
    </row>
    <row r="351" ht="15" customHeight="1" s="195">
      <c r="A351" s="334" t="n"/>
      <c r="B351" s="334" t="n"/>
      <c r="C351" s="334" t="n"/>
      <c r="D351" s="334" t="n"/>
      <c r="E351" s="334" t="n"/>
      <c r="F351" s="334" t="n"/>
      <c r="G351" s="334" t="n"/>
      <c r="H351" s="334" t="n"/>
      <c r="I351" s="332">
        <f>IFERROR(VLOOKUP(TEXT(H351,"0"),IPRESS!$A$3:$B$212,2,0),"")</f>
        <v/>
      </c>
      <c r="J351" s="334" t="n"/>
      <c r="K351" s="332">
        <f>IFERROR(VLOOKUP(TEXT(O351,"0"),CONDUCTORES!$A$3:$G$54,7,0),"")</f>
        <v/>
      </c>
      <c r="L351" s="334" t="n"/>
      <c r="M351" s="334" t="n"/>
      <c r="N351" s="333">
        <f>IFERROR(IF(L351*M351=0,"",L351*M351),"")</f>
        <v/>
      </c>
      <c r="O351" s="334" t="n"/>
      <c r="P351" s="332">
        <f>IFERROR(VLOOKUP(TEXT(O351,"0"),CONDUCTORES!$A$3:$G$54,2,0),"")</f>
        <v/>
      </c>
      <c r="Q351" s="332">
        <f>IFERROR(VLOOKUP(TEXT(O351,"0"),CONDUCTORES!$A$3:$H$54,6,0),"")</f>
        <v/>
      </c>
      <c r="R351" s="334" t="n"/>
      <c r="S351" s="334" t="n"/>
      <c r="T351" s="334" t="n"/>
      <c r="U351" s="334" t="n"/>
      <c r="V351" s="334" t="n"/>
      <c r="W351" s="334" t="n"/>
      <c r="X351" s="334" t="n"/>
      <c r="Y351" s="334" t="n"/>
    </row>
    <row r="352" ht="15" customHeight="1" s="195">
      <c r="A352" s="280" t="n"/>
      <c r="B352" s="280" t="n"/>
      <c r="C352" s="280" t="n"/>
      <c r="D352" s="280" t="n"/>
      <c r="E352" s="280" t="n"/>
      <c r="F352" s="280" t="n"/>
      <c r="G352" s="280" t="n"/>
      <c r="H352" s="280" t="n"/>
      <c r="I352" s="332">
        <f>IFERROR(VLOOKUP(TEXT(H352,"0"),IPRESS!$A$3:$B$212,2,0),"")</f>
        <v/>
      </c>
      <c r="J352" s="280" t="n"/>
      <c r="K352" s="332">
        <f>IFERROR(VLOOKUP(TEXT(O352,"0"),CONDUCTORES!$A$3:$G$54,7,0),"")</f>
        <v/>
      </c>
      <c r="L352" s="280" t="n"/>
      <c r="M352" s="280" t="n"/>
      <c r="N352" s="333">
        <f>IFERROR(IF(L352*M352=0,"",L352*M352),"")</f>
        <v/>
      </c>
      <c r="O352" s="280" t="n"/>
      <c r="P352" s="332">
        <f>IFERROR(VLOOKUP(TEXT(O352,"0"),CONDUCTORES!$A$3:$G$54,2,0),"")</f>
        <v/>
      </c>
      <c r="Q352" s="332">
        <f>IFERROR(VLOOKUP(TEXT(O352,"0"),CONDUCTORES!$A$3:$H$54,6,0),"")</f>
        <v/>
      </c>
      <c r="R352" s="280" t="n"/>
      <c r="S352" s="280" t="n"/>
      <c r="T352" s="280" t="n"/>
      <c r="U352" s="280" t="n"/>
      <c r="V352" s="280" t="n"/>
      <c r="W352" s="280" t="n"/>
      <c r="X352" s="280" t="n"/>
      <c r="Y352" s="280" t="n"/>
    </row>
    <row r="353" ht="15" customHeight="1" s="195">
      <c r="A353" s="334" t="n"/>
      <c r="B353" s="334" t="n"/>
      <c r="C353" s="334" t="n"/>
      <c r="D353" s="334" t="n"/>
      <c r="E353" s="334" t="n"/>
      <c r="F353" s="334" t="n"/>
      <c r="G353" s="334" t="n"/>
      <c r="H353" s="334" t="n"/>
      <c r="I353" s="332">
        <f>IFERROR(VLOOKUP(TEXT(H353,"0"),IPRESS!$A$3:$B$212,2,0),"")</f>
        <v/>
      </c>
      <c r="J353" s="334" t="n"/>
      <c r="K353" s="332">
        <f>IFERROR(VLOOKUP(TEXT(O353,"0"),CONDUCTORES!$A$3:$G$54,7,0),"")</f>
        <v/>
      </c>
      <c r="L353" s="334" t="n"/>
      <c r="M353" s="334" t="n"/>
      <c r="N353" s="333">
        <f>IFERROR(IF(L353*M353=0,"",L353*M353),"")</f>
        <v/>
      </c>
      <c r="O353" s="334" t="n"/>
      <c r="P353" s="332">
        <f>IFERROR(VLOOKUP(TEXT(O353,"0"),CONDUCTORES!$A$3:$G$54,2,0),"")</f>
        <v/>
      </c>
      <c r="Q353" s="332">
        <f>IFERROR(VLOOKUP(TEXT(O353,"0"),CONDUCTORES!$A$3:$H$54,6,0),"")</f>
        <v/>
      </c>
      <c r="R353" s="334" t="n"/>
      <c r="S353" s="334" t="n"/>
      <c r="T353" s="334" t="n"/>
      <c r="U353" s="334" t="n"/>
      <c r="V353" s="334" t="n"/>
      <c r="W353" s="334" t="n"/>
      <c r="X353" s="334" t="n"/>
      <c r="Y353" s="334" t="n"/>
    </row>
    <row r="354" ht="15" customHeight="1" s="195">
      <c r="A354" s="280" t="n"/>
      <c r="B354" s="280" t="n"/>
      <c r="C354" s="280" t="n"/>
      <c r="D354" s="280" t="n"/>
      <c r="E354" s="280" t="n"/>
      <c r="F354" s="280" t="n"/>
      <c r="G354" s="280" t="n"/>
      <c r="H354" s="280" t="n"/>
      <c r="I354" s="332">
        <f>IFERROR(VLOOKUP(TEXT(H354,"0"),IPRESS!$A$3:$B$212,2,0),"")</f>
        <v/>
      </c>
      <c r="J354" s="280" t="n"/>
      <c r="K354" s="332">
        <f>IFERROR(VLOOKUP(TEXT(O354,"0"),CONDUCTORES!$A$3:$G$54,7,0),"")</f>
        <v/>
      </c>
      <c r="L354" s="280" t="n"/>
      <c r="M354" s="280" t="n"/>
      <c r="N354" s="333">
        <f>IFERROR(IF(L354*M354=0,"",L354*M354),"")</f>
        <v/>
      </c>
      <c r="O354" s="280" t="n"/>
      <c r="P354" s="332">
        <f>IFERROR(VLOOKUP(TEXT(O354,"0"),CONDUCTORES!$A$3:$G$54,2,0),"")</f>
        <v/>
      </c>
      <c r="Q354" s="332">
        <f>IFERROR(VLOOKUP(TEXT(O354,"0"),CONDUCTORES!$A$3:$H$54,6,0),"")</f>
        <v/>
      </c>
      <c r="R354" s="280" t="n"/>
      <c r="S354" s="280" t="n"/>
      <c r="T354" s="280" t="n"/>
      <c r="U354" s="280" t="n"/>
      <c r="V354" s="280" t="n"/>
      <c r="W354" s="280" t="n"/>
      <c r="X354" s="280" t="n"/>
      <c r="Y354" s="280" t="n"/>
    </row>
    <row r="355" ht="15" customHeight="1" s="195">
      <c r="A355" s="334" t="n"/>
      <c r="B355" s="334" t="n"/>
      <c r="C355" s="334" t="n"/>
      <c r="D355" s="334" t="n"/>
      <c r="E355" s="334" t="n"/>
      <c r="F355" s="334" t="n"/>
      <c r="G355" s="334" t="n"/>
      <c r="H355" s="334" t="n"/>
      <c r="I355" s="332">
        <f>IFERROR(VLOOKUP(TEXT(H355,"0"),IPRESS!$A$3:$B$212,2,0),"")</f>
        <v/>
      </c>
      <c r="J355" s="334" t="n"/>
      <c r="K355" s="332">
        <f>IFERROR(VLOOKUP(TEXT(O355,"0"),CONDUCTORES!$A$3:$G$54,7,0),"")</f>
        <v/>
      </c>
      <c r="L355" s="334" t="n"/>
      <c r="M355" s="334" t="n"/>
      <c r="N355" s="333">
        <f>IFERROR(IF(L355*M355=0,"",L355*M355),"")</f>
        <v/>
      </c>
      <c r="O355" s="334" t="n"/>
      <c r="P355" s="332">
        <f>IFERROR(VLOOKUP(TEXT(O355,"0"),CONDUCTORES!$A$3:$G$54,2,0),"")</f>
        <v/>
      </c>
      <c r="Q355" s="332">
        <f>IFERROR(VLOOKUP(TEXT(O355,"0"),CONDUCTORES!$A$3:$H$54,6,0),"")</f>
        <v/>
      </c>
      <c r="R355" s="334" t="n"/>
      <c r="S355" s="334" t="n"/>
      <c r="T355" s="334" t="n"/>
      <c r="U355" s="334" t="n"/>
      <c r="V355" s="334" t="n"/>
      <c r="W355" s="334" t="n"/>
      <c r="X355" s="334" t="n"/>
      <c r="Y355" s="334" t="n"/>
    </row>
    <row r="356" ht="15" customHeight="1" s="195">
      <c r="A356" s="280" t="n"/>
      <c r="B356" s="280" t="n"/>
      <c r="C356" s="280" t="n"/>
      <c r="D356" s="280" t="n"/>
      <c r="E356" s="280" t="n"/>
      <c r="F356" s="280" t="n"/>
      <c r="G356" s="280" t="n"/>
      <c r="H356" s="280" t="n"/>
      <c r="I356" s="332">
        <f>IFERROR(VLOOKUP(TEXT(H356,"0"),IPRESS!$A$3:$B$212,2,0),"")</f>
        <v/>
      </c>
      <c r="J356" s="280" t="n"/>
      <c r="K356" s="332">
        <f>IFERROR(VLOOKUP(TEXT(O356,"0"),CONDUCTORES!$A$3:$G$54,7,0),"")</f>
        <v/>
      </c>
      <c r="L356" s="280" t="n"/>
      <c r="M356" s="280" t="n"/>
      <c r="N356" s="333">
        <f>IFERROR(IF(L356*M356=0,"",L356*M356),"")</f>
        <v/>
      </c>
      <c r="O356" s="280" t="n"/>
      <c r="P356" s="332">
        <f>IFERROR(VLOOKUP(TEXT(O356,"0"),CONDUCTORES!$A$3:$G$54,2,0),"")</f>
        <v/>
      </c>
      <c r="Q356" s="332">
        <f>IFERROR(VLOOKUP(TEXT(O356,"0"),CONDUCTORES!$A$3:$H$54,6,0),"")</f>
        <v/>
      </c>
      <c r="R356" s="280" t="n"/>
      <c r="S356" s="280" t="n"/>
      <c r="T356" s="280" t="n"/>
      <c r="U356" s="280" t="n"/>
      <c r="V356" s="280" t="n"/>
      <c r="W356" s="280" t="n"/>
      <c r="X356" s="280" t="n"/>
      <c r="Y356" s="280" t="n"/>
    </row>
    <row r="357" ht="15" customHeight="1" s="195">
      <c r="A357" s="334" t="n"/>
      <c r="B357" s="334" t="n"/>
      <c r="C357" s="334" t="n"/>
      <c r="D357" s="334" t="n"/>
      <c r="E357" s="334" t="n"/>
      <c r="F357" s="334" t="n"/>
      <c r="G357" s="334" t="n"/>
      <c r="H357" s="334" t="n"/>
      <c r="I357" s="332">
        <f>IFERROR(VLOOKUP(TEXT(H357,"0"),IPRESS!$A$3:$B$212,2,0),"")</f>
        <v/>
      </c>
      <c r="J357" s="334" t="n"/>
      <c r="K357" s="332">
        <f>IFERROR(VLOOKUP(TEXT(O357,"0"),CONDUCTORES!$A$3:$G$54,7,0),"")</f>
        <v/>
      </c>
      <c r="L357" s="334" t="n"/>
      <c r="M357" s="334" t="n"/>
      <c r="N357" s="333">
        <f>IFERROR(IF(L357*M357=0,"",L357*M357),"")</f>
        <v/>
      </c>
      <c r="O357" s="334" t="n"/>
      <c r="P357" s="332">
        <f>IFERROR(VLOOKUP(TEXT(O357,"0"),CONDUCTORES!$A$3:$G$54,2,0),"")</f>
        <v/>
      </c>
      <c r="Q357" s="332">
        <f>IFERROR(VLOOKUP(TEXT(O357,"0"),CONDUCTORES!$A$3:$H$54,6,0),"")</f>
        <v/>
      </c>
      <c r="R357" s="334" t="n"/>
      <c r="S357" s="334" t="n"/>
      <c r="T357" s="334" t="n"/>
      <c r="U357" s="334" t="n"/>
      <c r="V357" s="334" t="n"/>
      <c r="W357" s="334" t="n"/>
      <c r="X357" s="334" t="n"/>
      <c r="Y357" s="334" t="n"/>
    </row>
    <row r="358" ht="15" customHeight="1" s="195">
      <c r="A358" s="280" t="n"/>
      <c r="B358" s="280" t="n"/>
      <c r="C358" s="280" t="n"/>
      <c r="D358" s="280" t="n"/>
      <c r="E358" s="280" t="n"/>
      <c r="F358" s="280" t="n"/>
      <c r="G358" s="280" t="n"/>
      <c r="H358" s="280" t="n"/>
      <c r="I358" s="332">
        <f>IFERROR(VLOOKUP(TEXT(H358,"0"),IPRESS!$A$3:$B$212,2,0),"")</f>
        <v/>
      </c>
      <c r="J358" s="280" t="n"/>
      <c r="K358" s="332">
        <f>IFERROR(VLOOKUP(TEXT(O358,"0"),CONDUCTORES!$A$3:$G$54,7,0),"")</f>
        <v/>
      </c>
      <c r="L358" s="280" t="n"/>
      <c r="M358" s="280" t="n"/>
      <c r="N358" s="333">
        <f>IFERROR(IF(L358*M358=0,"",L358*M358),"")</f>
        <v/>
      </c>
      <c r="O358" s="280" t="n"/>
      <c r="P358" s="332">
        <f>IFERROR(VLOOKUP(TEXT(O358,"0"),CONDUCTORES!$A$3:$G$54,2,0),"")</f>
        <v/>
      </c>
      <c r="Q358" s="332">
        <f>IFERROR(VLOOKUP(TEXT(O358,"0"),CONDUCTORES!$A$3:$H$54,6,0),"")</f>
        <v/>
      </c>
      <c r="R358" s="280" t="n"/>
      <c r="S358" s="280" t="n"/>
      <c r="T358" s="280" t="n"/>
      <c r="U358" s="280" t="n"/>
      <c r="V358" s="280" t="n"/>
      <c r="W358" s="280" t="n"/>
      <c r="X358" s="280" t="n"/>
      <c r="Y358" s="280" t="n"/>
    </row>
    <row r="359" ht="15" customHeight="1" s="195">
      <c r="A359" s="334" t="n"/>
      <c r="B359" s="334" t="n"/>
      <c r="C359" s="334" t="n"/>
      <c r="D359" s="334" t="n"/>
      <c r="E359" s="334" t="n"/>
      <c r="F359" s="334" t="n"/>
      <c r="G359" s="334" t="n"/>
      <c r="H359" s="334" t="n"/>
      <c r="I359" s="332">
        <f>IFERROR(VLOOKUP(TEXT(H359,"0"),IPRESS!$A$3:$B$212,2,0),"")</f>
        <v/>
      </c>
      <c r="J359" s="334" t="n"/>
      <c r="K359" s="332">
        <f>IFERROR(VLOOKUP(TEXT(O359,"0"),CONDUCTORES!$A$3:$G$54,7,0),"")</f>
        <v/>
      </c>
      <c r="L359" s="334" t="n"/>
      <c r="M359" s="334" t="n"/>
      <c r="N359" s="333">
        <f>IFERROR(IF(L359*M359=0,"",L359*M359),"")</f>
        <v/>
      </c>
      <c r="O359" s="334" t="n"/>
      <c r="P359" s="332">
        <f>IFERROR(VLOOKUP(TEXT(O359,"0"),CONDUCTORES!$A$3:$G$54,2,0),"")</f>
        <v/>
      </c>
      <c r="Q359" s="332">
        <f>IFERROR(VLOOKUP(TEXT(O359,"0"),CONDUCTORES!$A$3:$H$54,6,0),"")</f>
        <v/>
      </c>
      <c r="R359" s="334" t="n"/>
      <c r="S359" s="334" t="n"/>
      <c r="T359" s="334" t="n"/>
      <c r="U359" s="334" t="n"/>
      <c r="V359" s="334" t="n"/>
      <c r="W359" s="334" t="n"/>
      <c r="X359" s="334" t="n"/>
      <c r="Y359" s="334" t="n"/>
    </row>
    <row r="360" ht="15" customHeight="1" s="195">
      <c r="A360" s="280" t="n"/>
      <c r="B360" s="280" t="n"/>
      <c r="C360" s="280" t="n"/>
      <c r="D360" s="280" t="n"/>
      <c r="E360" s="280" t="n"/>
      <c r="F360" s="280" t="n"/>
      <c r="G360" s="280" t="n"/>
      <c r="H360" s="280" t="n"/>
      <c r="I360" s="332">
        <f>IFERROR(VLOOKUP(TEXT(H360,"0"),IPRESS!$A$3:$B$212,2,0),"")</f>
        <v/>
      </c>
      <c r="J360" s="280" t="n"/>
      <c r="K360" s="332">
        <f>IFERROR(VLOOKUP(TEXT(O360,"0"),CONDUCTORES!$A$3:$G$54,7,0),"")</f>
        <v/>
      </c>
      <c r="L360" s="280" t="n"/>
      <c r="M360" s="280" t="n"/>
      <c r="N360" s="333">
        <f>IFERROR(IF(L360*M360=0,"",L360*M360),"")</f>
        <v/>
      </c>
      <c r="O360" s="280" t="n"/>
      <c r="P360" s="332">
        <f>IFERROR(VLOOKUP(TEXT(O360,"0"),CONDUCTORES!$A$3:$G$54,2,0),"")</f>
        <v/>
      </c>
      <c r="Q360" s="332">
        <f>IFERROR(VLOOKUP(TEXT(O360,"0"),CONDUCTORES!$A$3:$H$54,6,0),"")</f>
        <v/>
      </c>
      <c r="R360" s="280" t="n"/>
      <c r="S360" s="280" t="n"/>
      <c r="T360" s="280" t="n"/>
      <c r="U360" s="280" t="n"/>
      <c r="V360" s="280" t="n"/>
      <c r="W360" s="280" t="n"/>
      <c r="X360" s="280" t="n"/>
      <c r="Y360" s="280" t="n"/>
    </row>
    <row r="361" ht="15" customHeight="1" s="195">
      <c r="A361" s="334" t="n"/>
      <c r="B361" s="334" t="n"/>
      <c r="C361" s="334" t="n"/>
      <c r="D361" s="334" t="n"/>
      <c r="E361" s="334" t="n"/>
      <c r="F361" s="334" t="n"/>
      <c r="G361" s="334" t="n"/>
      <c r="H361" s="334" t="n"/>
      <c r="I361" s="332">
        <f>IFERROR(VLOOKUP(TEXT(H361,"0"),IPRESS!$A$3:$B$212,2,0),"")</f>
        <v/>
      </c>
      <c r="J361" s="334" t="n"/>
      <c r="K361" s="332">
        <f>IFERROR(VLOOKUP(TEXT(O361,"0"),CONDUCTORES!$A$3:$G$54,7,0),"")</f>
        <v/>
      </c>
      <c r="L361" s="334" t="n"/>
      <c r="M361" s="334" t="n"/>
      <c r="N361" s="333">
        <f>IFERROR(IF(L361*M361=0,"",L361*M361),"")</f>
        <v/>
      </c>
      <c r="O361" s="334" t="n"/>
      <c r="P361" s="332">
        <f>IFERROR(VLOOKUP(TEXT(O361,"0"),CONDUCTORES!$A$3:$G$54,2,0),"")</f>
        <v/>
      </c>
      <c r="Q361" s="332">
        <f>IFERROR(VLOOKUP(TEXT(O361,"0"),CONDUCTORES!$A$3:$H$54,6,0),"")</f>
        <v/>
      </c>
      <c r="R361" s="334" t="n"/>
      <c r="S361" s="334" t="n"/>
      <c r="T361" s="334" t="n"/>
      <c r="U361" s="334" t="n"/>
      <c r="V361" s="334" t="n"/>
      <c r="W361" s="334" t="n"/>
      <c r="X361" s="334" t="n"/>
      <c r="Y361" s="334" t="n"/>
    </row>
    <row r="362" ht="15" customHeight="1" s="195">
      <c r="A362" s="280" t="n"/>
      <c r="B362" s="280" t="n"/>
      <c r="C362" s="280" t="n"/>
      <c r="D362" s="280" t="n"/>
      <c r="E362" s="280" t="n"/>
      <c r="F362" s="280" t="n"/>
      <c r="G362" s="280" t="n"/>
      <c r="H362" s="280" t="n"/>
      <c r="I362" s="332">
        <f>IFERROR(VLOOKUP(TEXT(H362,"0"),IPRESS!$A$3:$B$212,2,0),"")</f>
        <v/>
      </c>
      <c r="J362" s="280" t="n"/>
      <c r="K362" s="332">
        <f>IFERROR(VLOOKUP(TEXT(O362,"0"),CONDUCTORES!$A$3:$G$54,7,0),"")</f>
        <v/>
      </c>
      <c r="L362" s="280" t="n"/>
      <c r="M362" s="280" t="n"/>
      <c r="N362" s="333">
        <f>IFERROR(IF(L362*M362=0,"",L362*M362),"")</f>
        <v/>
      </c>
      <c r="O362" s="280" t="n"/>
      <c r="P362" s="332">
        <f>IFERROR(VLOOKUP(TEXT(O362,"0"),CONDUCTORES!$A$3:$G$54,2,0),"")</f>
        <v/>
      </c>
      <c r="Q362" s="332">
        <f>IFERROR(VLOOKUP(TEXT(O362,"0"),CONDUCTORES!$A$3:$H$54,6,0),"")</f>
        <v/>
      </c>
      <c r="R362" s="280" t="n"/>
      <c r="S362" s="280" t="n"/>
      <c r="T362" s="280" t="n"/>
      <c r="U362" s="280" t="n"/>
      <c r="V362" s="280" t="n"/>
      <c r="W362" s="280" t="n"/>
      <c r="X362" s="280" t="n"/>
      <c r="Y362" s="280" t="n"/>
    </row>
    <row r="363" ht="15" customHeight="1" s="195">
      <c r="A363" s="334" t="n"/>
      <c r="B363" s="334" t="n"/>
      <c r="C363" s="334" t="n"/>
      <c r="D363" s="334" t="n"/>
      <c r="E363" s="334" t="n"/>
      <c r="F363" s="334" t="n"/>
      <c r="G363" s="334" t="n"/>
      <c r="H363" s="334" t="n"/>
      <c r="I363" s="332">
        <f>IFERROR(VLOOKUP(TEXT(H363,"0"),IPRESS!$A$3:$B$212,2,0),"")</f>
        <v/>
      </c>
      <c r="J363" s="334" t="n"/>
      <c r="K363" s="332">
        <f>IFERROR(VLOOKUP(TEXT(O363,"0"),CONDUCTORES!$A$3:$G$54,7,0),"")</f>
        <v/>
      </c>
      <c r="L363" s="334" t="n"/>
      <c r="M363" s="334" t="n"/>
      <c r="N363" s="333">
        <f>IFERROR(IF(L363*M363=0,"",L363*M363),"")</f>
        <v/>
      </c>
      <c r="O363" s="334" t="n"/>
      <c r="P363" s="332">
        <f>IFERROR(VLOOKUP(TEXT(O363,"0"),CONDUCTORES!$A$3:$G$54,2,0),"")</f>
        <v/>
      </c>
      <c r="Q363" s="332">
        <f>IFERROR(VLOOKUP(TEXT(O363,"0"),CONDUCTORES!$A$3:$H$54,6,0),"")</f>
        <v/>
      </c>
      <c r="R363" s="334" t="n"/>
      <c r="S363" s="334" t="n"/>
      <c r="T363" s="334" t="n"/>
      <c r="U363" s="334" t="n"/>
      <c r="V363" s="334" t="n"/>
      <c r="W363" s="334" t="n"/>
      <c r="X363" s="334" t="n"/>
      <c r="Y363" s="334" t="n"/>
    </row>
    <row r="364" ht="15" customHeight="1" s="195">
      <c r="A364" s="280" t="n"/>
      <c r="B364" s="280" t="n"/>
      <c r="C364" s="280" t="n"/>
      <c r="D364" s="280" t="n"/>
      <c r="E364" s="280" t="n"/>
      <c r="F364" s="280" t="n"/>
      <c r="G364" s="280" t="n"/>
      <c r="H364" s="280" t="n"/>
      <c r="I364" s="332">
        <f>IFERROR(VLOOKUP(TEXT(H364,"0"),IPRESS!$A$3:$B$212,2,0),"")</f>
        <v/>
      </c>
      <c r="J364" s="280" t="n"/>
      <c r="K364" s="332">
        <f>IFERROR(VLOOKUP(TEXT(O364,"0"),CONDUCTORES!$A$3:$G$54,7,0),"")</f>
        <v/>
      </c>
      <c r="L364" s="280" t="n"/>
      <c r="M364" s="280" t="n"/>
      <c r="N364" s="333">
        <f>IFERROR(IF(L364*M364=0,"",L364*M364),"")</f>
        <v/>
      </c>
      <c r="O364" s="280" t="n"/>
      <c r="P364" s="332">
        <f>IFERROR(VLOOKUP(TEXT(O364,"0"),CONDUCTORES!$A$3:$G$54,2,0),"")</f>
        <v/>
      </c>
      <c r="Q364" s="332">
        <f>IFERROR(VLOOKUP(TEXT(O364,"0"),CONDUCTORES!$A$3:$H$54,6,0),"")</f>
        <v/>
      </c>
      <c r="R364" s="280" t="n"/>
      <c r="S364" s="280" t="n"/>
      <c r="T364" s="280" t="n"/>
      <c r="U364" s="280" t="n"/>
      <c r="V364" s="280" t="n"/>
      <c r="W364" s="280" t="n"/>
      <c r="X364" s="280" t="n"/>
      <c r="Y364" s="280" t="n"/>
    </row>
    <row r="365" ht="15" customHeight="1" s="195">
      <c r="A365" s="334" t="n"/>
      <c r="B365" s="334" t="n"/>
      <c r="C365" s="334" t="n"/>
      <c r="D365" s="334" t="n"/>
      <c r="E365" s="334" t="n"/>
      <c r="F365" s="334" t="n"/>
      <c r="G365" s="334" t="n"/>
      <c r="H365" s="334" t="n"/>
      <c r="I365" s="332">
        <f>IFERROR(VLOOKUP(TEXT(H365,"0"),IPRESS!$A$3:$B$212,2,0),"")</f>
        <v/>
      </c>
      <c r="J365" s="334" t="n"/>
      <c r="K365" s="332">
        <f>IFERROR(VLOOKUP(TEXT(O365,"0"),CONDUCTORES!$A$3:$G$54,7,0),"")</f>
        <v/>
      </c>
      <c r="L365" s="334" t="n"/>
      <c r="M365" s="334" t="n"/>
      <c r="N365" s="333">
        <f>IFERROR(IF(L365*M365=0,"",L365*M365),"")</f>
        <v/>
      </c>
      <c r="O365" s="334" t="n"/>
      <c r="P365" s="332">
        <f>IFERROR(VLOOKUP(TEXT(O365,"0"),CONDUCTORES!$A$3:$G$54,2,0),"")</f>
        <v/>
      </c>
      <c r="Q365" s="332">
        <f>IFERROR(VLOOKUP(TEXT(O365,"0"),CONDUCTORES!$A$3:$H$54,6,0),"")</f>
        <v/>
      </c>
      <c r="R365" s="334" t="n"/>
      <c r="S365" s="334" t="n"/>
      <c r="T365" s="334" t="n"/>
      <c r="U365" s="334" t="n"/>
      <c r="V365" s="334" t="n"/>
      <c r="W365" s="334" t="n"/>
      <c r="X365" s="334" t="n"/>
      <c r="Y365" s="334" t="n"/>
    </row>
    <row r="366" ht="15" customHeight="1" s="195">
      <c r="A366" s="280" t="n"/>
      <c r="B366" s="280" t="n"/>
      <c r="C366" s="280" t="n"/>
      <c r="D366" s="280" t="n"/>
      <c r="E366" s="280" t="n"/>
      <c r="F366" s="280" t="n"/>
      <c r="G366" s="280" t="n"/>
      <c r="H366" s="280" t="n"/>
      <c r="I366" s="332">
        <f>IFERROR(VLOOKUP(TEXT(H366,"0"),IPRESS!$A$3:$B$212,2,0),"")</f>
        <v/>
      </c>
      <c r="J366" s="280" t="n"/>
      <c r="K366" s="332">
        <f>IFERROR(VLOOKUP(TEXT(O366,"0"),CONDUCTORES!$A$3:$G$54,7,0),"")</f>
        <v/>
      </c>
      <c r="L366" s="280" t="n"/>
      <c r="M366" s="280" t="n"/>
      <c r="N366" s="333">
        <f>IFERROR(IF(L366*M366=0,"",L366*M366),"")</f>
        <v/>
      </c>
      <c r="O366" s="280" t="n"/>
      <c r="P366" s="332">
        <f>IFERROR(VLOOKUP(TEXT(O366,"0"),CONDUCTORES!$A$3:$G$54,2,0),"")</f>
        <v/>
      </c>
      <c r="Q366" s="332">
        <f>IFERROR(VLOOKUP(TEXT(O366,"0"),CONDUCTORES!$A$3:$H$54,6,0),"")</f>
        <v/>
      </c>
      <c r="R366" s="280" t="n"/>
      <c r="S366" s="280" t="n"/>
      <c r="T366" s="280" t="n"/>
      <c r="U366" s="280" t="n"/>
      <c r="V366" s="280" t="n"/>
      <c r="W366" s="280" t="n"/>
      <c r="X366" s="280" t="n"/>
      <c r="Y366" s="280" t="n"/>
    </row>
    <row r="367" ht="15" customHeight="1" s="195">
      <c r="A367" s="334" t="n"/>
      <c r="B367" s="334" t="n"/>
      <c r="C367" s="334" t="n"/>
      <c r="D367" s="334" t="n"/>
      <c r="E367" s="334" t="n"/>
      <c r="F367" s="334" t="n"/>
      <c r="G367" s="334" t="n"/>
      <c r="H367" s="334" t="n"/>
      <c r="I367" s="332">
        <f>IFERROR(VLOOKUP(TEXT(H367,"0"),IPRESS!$A$3:$B$212,2,0),"")</f>
        <v/>
      </c>
      <c r="J367" s="334" t="n"/>
      <c r="K367" s="332">
        <f>IFERROR(VLOOKUP(TEXT(O367,"0"),CONDUCTORES!$A$3:$G$54,7,0),"")</f>
        <v/>
      </c>
      <c r="L367" s="334" t="n"/>
      <c r="M367" s="334" t="n"/>
      <c r="N367" s="333">
        <f>IFERROR(IF(L367*M367=0,"",L367*M367),"")</f>
        <v/>
      </c>
      <c r="O367" s="334" t="n"/>
      <c r="P367" s="332">
        <f>IFERROR(VLOOKUP(TEXT(O367,"0"),CONDUCTORES!$A$3:$G$54,2,0),"")</f>
        <v/>
      </c>
      <c r="Q367" s="332">
        <f>IFERROR(VLOOKUP(TEXT(O367,"0"),CONDUCTORES!$A$3:$H$54,6,0),"")</f>
        <v/>
      </c>
      <c r="R367" s="334" t="n"/>
      <c r="S367" s="334" t="n"/>
      <c r="T367" s="334" t="n"/>
      <c r="U367" s="334" t="n"/>
      <c r="V367" s="334" t="n"/>
      <c r="W367" s="334" t="n"/>
      <c r="X367" s="334" t="n"/>
      <c r="Y367" s="334" t="n"/>
    </row>
    <row r="368" ht="15" customHeight="1" s="195">
      <c r="A368" s="280" t="n"/>
      <c r="B368" s="280" t="n"/>
      <c r="C368" s="280" t="n"/>
      <c r="D368" s="280" t="n"/>
      <c r="E368" s="280" t="n"/>
      <c r="F368" s="280" t="n"/>
      <c r="G368" s="280" t="n"/>
      <c r="H368" s="280" t="n"/>
      <c r="I368" s="332">
        <f>IFERROR(VLOOKUP(TEXT(H368,"0"),IPRESS!$A$3:$B$212,2,0),"")</f>
        <v/>
      </c>
      <c r="J368" s="280" t="n"/>
      <c r="K368" s="332">
        <f>IFERROR(VLOOKUP(TEXT(O368,"0"),CONDUCTORES!$A$3:$G$54,7,0),"")</f>
        <v/>
      </c>
      <c r="L368" s="280" t="n"/>
      <c r="M368" s="280" t="n"/>
      <c r="N368" s="333">
        <f>IFERROR(IF(L368*M368=0,"",L368*M368),"")</f>
        <v/>
      </c>
      <c r="O368" s="280" t="n"/>
      <c r="P368" s="332">
        <f>IFERROR(VLOOKUP(TEXT(O368,"0"),CONDUCTORES!$A$3:$G$54,2,0),"")</f>
        <v/>
      </c>
      <c r="Q368" s="332">
        <f>IFERROR(VLOOKUP(TEXT(O368,"0"),CONDUCTORES!$A$3:$H$54,6,0),"")</f>
        <v/>
      </c>
      <c r="R368" s="280" t="n"/>
      <c r="S368" s="280" t="n"/>
      <c r="T368" s="280" t="n"/>
      <c r="U368" s="280" t="n"/>
      <c r="V368" s="280" t="n"/>
      <c r="W368" s="280" t="n"/>
      <c r="X368" s="280" t="n"/>
      <c r="Y368" s="280" t="n"/>
    </row>
    <row r="369" ht="15" customHeight="1" s="195">
      <c r="A369" s="334" t="n"/>
      <c r="B369" s="334" t="n"/>
      <c r="C369" s="334" t="n"/>
      <c r="D369" s="334" t="n"/>
      <c r="E369" s="334" t="n"/>
      <c r="F369" s="334" t="n"/>
      <c r="G369" s="334" t="n"/>
      <c r="H369" s="334" t="n"/>
      <c r="I369" s="332">
        <f>IFERROR(VLOOKUP(TEXT(H369,"0"),IPRESS!$A$3:$B$212,2,0),"")</f>
        <v/>
      </c>
      <c r="J369" s="334" t="n"/>
      <c r="K369" s="332">
        <f>IFERROR(VLOOKUP(TEXT(O369,"0"),CONDUCTORES!$A$3:$G$54,7,0),"")</f>
        <v/>
      </c>
      <c r="L369" s="334" t="n"/>
      <c r="M369" s="334" t="n"/>
      <c r="N369" s="333">
        <f>IFERROR(IF(L369*M369=0,"",L369*M369),"")</f>
        <v/>
      </c>
      <c r="O369" s="334" t="n"/>
      <c r="P369" s="332">
        <f>IFERROR(VLOOKUP(TEXT(O369,"0"),CONDUCTORES!$A$3:$G$54,2,0),"")</f>
        <v/>
      </c>
      <c r="Q369" s="332">
        <f>IFERROR(VLOOKUP(TEXT(O369,"0"),CONDUCTORES!$A$3:$H$54,6,0),"")</f>
        <v/>
      </c>
      <c r="R369" s="334" t="n"/>
      <c r="S369" s="334" t="n"/>
      <c r="T369" s="334" t="n"/>
      <c r="U369" s="334" t="n"/>
      <c r="V369" s="334" t="n"/>
      <c r="W369" s="334" t="n"/>
      <c r="X369" s="334" t="n"/>
      <c r="Y369" s="334" t="n"/>
    </row>
    <row r="370" ht="15" customHeight="1" s="195">
      <c r="A370" s="280" t="n"/>
      <c r="B370" s="280" t="n"/>
      <c r="C370" s="280" t="n"/>
      <c r="D370" s="280" t="n"/>
      <c r="E370" s="280" t="n"/>
      <c r="F370" s="280" t="n"/>
      <c r="G370" s="280" t="n"/>
      <c r="H370" s="280" t="n"/>
      <c r="I370" s="332">
        <f>IFERROR(VLOOKUP(TEXT(H370,"0"),IPRESS!$A$3:$B$212,2,0),"")</f>
        <v/>
      </c>
      <c r="J370" s="280" t="n"/>
      <c r="K370" s="332">
        <f>IFERROR(VLOOKUP(TEXT(O370,"0"),CONDUCTORES!$A$3:$G$54,7,0),"")</f>
        <v/>
      </c>
      <c r="L370" s="280" t="n"/>
      <c r="M370" s="280" t="n"/>
      <c r="N370" s="333">
        <f>IFERROR(IF(L370*M370=0,"",L370*M370),"")</f>
        <v/>
      </c>
      <c r="O370" s="280" t="n"/>
      <c r="P370" s="332">
        <f>IFERROR(VLOOKUP(TEXT(O370,"0"),CONDUCTORES!$A$3:$G$54,2,0),"")</f>
        <v/>
      </c>
      <c r="Q370" s="332">
        <f>IFERROR(VLOOKUP(TEXT(O370,"0"),CONDUCTORES!$A$3:$H$54,6,0),"")</f>
        <v/>
      </c>
      <c r="R370" s="280" t="n"/>
      <c r="S370" s="280" t="n"/>
      <c r="T370" s="280" t="n"/>
      <c r="U370" s="280" t="n"/>
      <c r="V370" s="280" t="n"/>
      <c r="W370" s="280" t="n"/>
      <c r="X370" s="280" t="n"/>
      <c r="Y370" s="280" t="n"/>
    </row>
    <row r="371" ht="15" customHeight="1" s="195">
      <c r="A371" s="334" t="n"/>
      <c r="B371" s="334" t="n"/>
      <c r="C371" s="334" t="n"/>
      <c r="D371" s="334" t="n"/>
      <c r="E371" s="334" t="n"/>
      <c r="F371" s="334" t="n"/>
      <c r="G371" s="334" t="n"/>
      <c r="H371" s="334" t="n"/>
      <c r="I371" s="332">
        <f>IFERROR(VLOOKUP(TEXT(H371,"0"),IPRESS!$A$3:$B$212,2,0),"")</f>
        <v/>
      </c>
      <c r="J371" s="334" t="n"/>
      <c r="K371" s="332">
        <f>IFERROR(VLOOKUP(TEXT(O371,"0"),CONDUCTORES!$A$3:$G$54,7,0),"")</f>
        <v/>
      </c>
      <c r="L371" s="334" t="n"/>
      <c r="M371" s="334" t="n"/>
      <c r="N371" s="333">
        <f>IFERROR(IF(L371*M371=0,"",L371*M371),"")</f>
        <v/>
      </c>
      <c r="O371" s="334" t="n"/>
      <c r="P371" s="332">
        <f>IFERROR(VLOOKUP(TEXT(O371,"0"),CONDUCTORES!$A$3:$G$54,2,0),"")</f>
        <v/>
      </c>
      <c r="Q371" s="332">
        <f>IFERROR(VLOOKUP(TEXT(O371,"0"),CONDUCTORES!$A$3:$H$54,6,0),"")</f>
        <v/>
      </c>
      <c r="R371" s="334" t="n"/>
      <c r="S371" s="334" t="n"/>
      <c r="T371" s="334" t="n"/>
      <c r="U371" s="334" t="n"/>
      <c r="V371" s="334" t="n"/>
      <c r="W371" s="334" t="n"/>
      <c r="X371" s="334" t="n"/>
      <c r="Y371" s="334" t="n"/>
    </row>
    <row r="372" ht="15" customHeight="1" s="195">
      <c r="A372" s="280" t="n"/>
      <c r="B372" s="280" t="n"/>
      <c r="C372" s="280" t="n"/>
      <c r="D372" s="280" t="n"/>
      <c r="E372" s="280" t="n"/>
      <c r="F372" s="280" t="n"/>
      <c r="G372" s="280" t="n"/>
      <c r="H372" s="280" t="n"/>
      <c r="I372" s="332">
        <f>IFERROR(VLOOKUP(TEXT(H372,"0"),IPRESS!$A$3:$B$212,2,0),"")</f>
        <v/>
      </c>
      <c r="J372" s="280" t="n"/>
      <c r="K372" s="332">
        <f>IFERROR(VLOOKUP(TEXT(O372,"0"),CONDUCTORES!$A$3:$G$54,7,0),"")</f>
        <v/>
      </c>
      <c r="L372" s="280" t="n"/>
      <c r="M372" s="280" t="n"/>
      <c r="N372" s="333">
        <f>IFERROR(IF(L372*M372=0,"",L372*M372),"")</f>
        <v/>
      </c>
      <c r="O372" s="280" t="n"/>
      <c r="P372" s="332">
        <f>IFERROR(VLOOKUP(TEXT(O372,"0"),CONDUCTORES!$A$3:$G$54,2,0),"")</f>
        <v/>
      </c>
      <c r="Q372" s="332">
        <f>IFERROR(VLOOKUP(TEXT(O372,"0"),CONDUCTORES!$A$3:$H$54,6,0),"")</f>
        <v/>
      </c>
      <c r="R372" s="280" t="n"/>
      <c r="S372" s="280" t="n"/>
      <c r="T372" s="280" t="n"/>
      <c r="U372" s="280" t="n"/>
      <c r="V372" s="280" t="n"/>
      <c r="W372" s="280" t="n"/>
      <c r="X372" s="280" t="n"/>
      <c r="Y372" s="280" t="n"/>
    </row>
    <row r="373" ht="15" customHeight="1" s="195">
      <c r="A373" s="334" t="n"/>
      <c r="B373" s="334" t="n"/>
      <c r="C373" s="334" t="n"/>
      <c r="D373" s="334" t="n"/>
      <c r="E373" s="334" t="n"/>
      <c r="F373" s="334" t="n"/>
      <c r="G373" s="334" t="n"/>
      <c r="H373" s="334" t="n"/>
      <c r="I373" s="332">
        <f>IFERROR(VLOOKUP(TEXT(H373,"0"),IPRESS!$A$3:$B$212,2,0),"")</f>
        <v/>
      </c>
      <c r="J373" s="334" t="n"/>
      <c r="K373" s="332">
        <f>IFERROR(VLOOKUP(TEXT(O373,"0"),CONDUCTORES!$A$3:$G$54,7,0),"")</f>
        <v/>
      </c>
      <c r="L373" s="334" t="n"/>
      <c r="M373" s="334" t="n"/>
      <c r="N373" s="333">
        <f>IFERROR(IF(L373*M373=0,"",L373*M373),"")</f>
        <v/>
      </c>
      <c r="O373" s="334" t="n"/>
      <c r="P373" s="332">
        <f>IFERROR(VLOOKUP(TEXT(O373,"0"),CONDUCTORES!$A$3:$G$54,2,0),"")</f>
        <v/>
      </c>
      <c r="Q373" s="332">
        <f>IFERROR(VLOOKUP(TEXT(O373,"0"),CONDUCTORES!$A$3:$H$54,6,0),"")</f>
        <v/>
      </c>
      <c r="R373" s="334" t="n"/>
      <c r="S373" s="334" t="n"/>
      <c r="T373" s="334" t="n"/>
      <c r="U373" s="334" t="n"/>
      <c r="V373" s="334" t="n"/>
      <c r="W373" s="334" t="n"/>
      <c r="X373" s="334" t="n"/>
      <c r="Y373" s="334" t="n"/>
    </row>
    <row r="374" ht="15" customHeight="1" s="195">
      <c r="A374" s="280" t="n"/>
      <c r="B374" s="280" t="n"/>
      <c r="C374" s="280" t="n"/>
      <c r="D374" s="280" t="n"/>
      <c r="E374" s="280" t="n"/>
      <c r="F374" s="280" t="n"/>
      <c r="G374" s="280" t="n"/>
      <c r="H374" s="280" t="n"/>
      <c r="I374" s="332">
        <f>IFERROR(VLOOKUP(TEXT(H374,"0"),IPRESS!$A$3:$B$212,2,0),"")</f>
        <v/>
      </c>
      <c r="J374" s="280" t="n"/>
      <c r="K374" s="332">
        <f>IFERROR(VLOOKUP(TEXT(O374,"0"),CONDUCTORES!$A$3:$G$54,7,0),"")</f>
        <v/>
      </c>
      <c r="L374" s="280" t="n"/>
      <c r="M374" s="280" t="n"/>
      <c r="N374" s="333">
        <f>IFERROR(IF(L374*M374=0,"",L374*M374),"")</f>
        <v/>
      </c>
      <c r="O374" s="280" t="n"/>
      <c r="P374" s="332">
        <f>IFERROR(VLOOKUP(TEXT(O374,"0"),CONDUCTORES!$A$3:$G$54,2,0),"")</f>
        <v/>
      </c>
      <c r="Q374" s="332">
        <f>IFERROR(VLOOKUP(TEXT(O374,"0"),CONDUCTORES!$A$3:$H$54,6,0),"")</f>
        <v/>
      </c>
      <c r="R374" s="280" t="n"/>
      <c r="S374" s="280" t="n"/>
      <c r="T374" s="280" t="n"/>
      <c r="U374" s="280" t="n"/>
      <c r="V374" s="280" t="n"/>
      <c r="W374" s="280" t="n"/>
      <c r="X374" s="280" t="n"/>
      <c r="Y374" s="280" t="n"/>
    </row>
    <row r="375" ht="15" customHeight="1" s="195">
      <c r="A375" s="334" t="n"/>
      <c r="B375" s="334" t="n"/>
      <c r="C375" s="334" t="n"/>
      <c r="D375" s="334" t="n"/>
      <c r="E375" s="334" t="n"/>
      <c r="F375" s="334" t="n"/>
      <c r="G375" s="334" t="n"/>
      <c r="H375" s="334" t="n"/>
      <c r="I375" s="332">
        <f>IFERROR(VLOOKUP(TEXT(H375,"0"),IPRESS!$A$3:$B$212,2,0),"")</f>
        <v/>
      </c>
      <c r="J375" s="334" t="n"/>
      <c r="K375" s="332">
        <f>IFERROR(VLOOKUP(TEXT(O375,"0"),CONDUCTORES!$A$3:$G$54,7,0),"")</f>
        <v/>
      </c>
      <c r="L375" s="334" t="n"/>
      <c r="M375" s="334" t="n"/>
      <c r="N375" s="333">
        <f>IFERROR(IF(L375*M375=0,"",L375*M375),"")</f>
        <v/>
      </c>
      <c r="O375" s="334" t="n"/>
      <c r="P375" s="332">
        <f>IFERROR(VLOOKUP(TEXT(O375,"0"),CONDUCTORES!$A$3:$G$54,2,0),"")</f>
        <v/>
      </c>
      <c r="Q375" s="332">
        <f>IFERROR(VLOOKUP(TEXT(O375,"0"),CONDUCTORES!$A$3:$H$54,6,0),"")</f>
        <v/>
      </c>
      <c r="R375" s="334" t="n"/>
      <c r="S375" s="334" t="n"/>
      <c r="T375" s="334" t="n"/>
      <c r="U375" s="334" t="n"/>
      <c r="V375" s="334" t="n"/>
      <c r="W375" s="334" t="n"/>
      <c r="X375" s="334" t="n"/>
      <c r="Y375" s="334" t="n"/>
    </row>
    <row r="376" ht="15" customHeight="1" s="195">
      <c r="A376" s="280" t="n"/>
      <c r="B376" s="280" t="n"/>
      <c r="C376" s="280" t="n"/>
      <c r="D376" s="280" t="n"/>
      <c r="E376" s="280" t="n"/>
      <c r="F376" s="280" t="n"/>
      <c r="G376" s="280" t="n"/>
      <c r="H376" s="280" t="n"/>
      <c r="I376" s="332">
        <f>IFERROR(VLOOKUP(TEXT(H376,"0"),IPRESS!$A$3:$B$212,2,0),"")</f>
        <v/>
      </c>
      <c r="J376" s="280" t="n"/>
      <c r="K376" s="332">
        <f>IFERROR(VLOOKUP(TEXT(O376,"0"),CONDUCTORES!$A$3:$G$54,7,0),"")</f>
        <v/>
      </c>
      <c r="L376" s="280" t="n"/>
      <c r="M376" s="280" t="n"/>
      <c r="N376" s="333">
        <f>IFERROR(IF(L376*M376=0,"",L376*M376),"")</f>
        <v/>
      </c>
      <c r="O376" s="280" t="n"/>
      <c r="P376" s="332">
        <f>IFERROR(VLOOKUP(TEXT(O376,"0"),CONDUCTORES!$A$3:$G$54,2,0),"")</f>
        <v/>
      </c>
      <c r="Q376" s="332">
        <f>IFERROR(VLOOKUP(TEXT(O376,"0"),CONDUCTORES!$A$3:$H$54,6,0),"")</f>
        <v/>
      </c>
      <c r="R376" s="280" t="n"/>
      <c r="S376" s="280" t="n"/>
      <c r="T376" s="280" t="n"/>
      <c r="U376" s="280" t="n"/>
      <c r="V376" s="280" t="n"/>
      <c r="W376" s="280" t="n"/>
      <c r="X376" s="280" t="n"/>
      <c r="Y376" s="280" t="n"/>
    </row>
    <row r="377" ht="15" customHeight="1" s="195">
      <c r="A377" s="334" t="n"/>
      <c r="B377" s="334" t="n"/>
      <c r="C377" s="334" t="n"/>
      <c r="D377" s="334" t="n"/>
      <c r="E377" s="334" t="n"/>
      <c r="F377" s="334" t="n"/>
      <c r="G377" s="334" t="n"/>
      <c r="H377" s="334" t="n"/>
      <c r="I377" s="332">
        <f>IFERROR(VLOOKUP(TEXT(H377,"0"),IPRESS!$A$3:$B$212,2,0),"")</f>
        <v/>
      </c>
      <c r="J377" s="334" t="n"/>
      <c r="K377" s="332">
        <f>IFERROR(VLOOKUP(TEXT(O377,"0"),CONDUCTORES!$A$3:$G$54,7,0),"")</f>
        <v/>
      </c>
      <c r="L377" s="334" t="n"/>
      <c r="M377" s="334" t="n"/>
      <c r="N377" s="333">
        <f>IFERROR(IF(L377*M377=0,"",L377*M377),"")</f>
        <v/>
      </c>
      <c r="O377" s="334" t="n"/>
      <c r="P377" s="332">
        <f>IFERROR(VLOOKUP(TEXT(O377,"0"),CONDUCTORES!$A$3:$G$54,2,0),"")</f>
        <v/>
      </c>
      <c r="Q377" s="332">
        <f>IFERROR(VLOOKUP(TEXT(O377,"0"),CONDUCTORES!$A$3:$H$54,6,0),"")</f>
        <v/>
      </c>
      <c r="R377" s="334" t="n"/>
      <c r="S377" s="334" t="n"/>
      <c r="T377" s="334" t="n"/>
      <c r="U377" s="334" t="n"/>
      <c r="V377" s="334" t="n"/>
      <c r="W377" s="334" t="n"/>
      <c r="X377" s="334" t="n"/>
      <c r="Y377" s="334" t="n"/>
    </row>
    <row r="378" ht="15" customHeight="1" s="195">
      <c r="A378" s="280" t="n"/>
      <c r="B378" s="280" t="n"/>
      <c r="C378" s="280" t="n"/>
      <c r="D378" s="280" t="n"/>
      <c r="E378" s="280" t="n"/>
      <c r="F378" s="280" t="n"/>
      <c r="G378" s="280" t="n"/>
      <c r="H378" s="280" t="n"/>
      <c r="I378" s="332">
        <f>IFERROR(VLOOKUP(TEXT(H378,"0"),IPRESS!$A$3:$B$212,2,0),"")</f>
        <v/>
      </c>
      <c r="J378" s="280" t="n"/>
      <c r="K378" s="332">
        <f>IFERROR(VLOOKUP(TEXT(O378,"0"),CONDUCTORES!$A$3:$G$54,7,0),"")</f>
        <v/>
      </c>
      <c r="L378" s="280" t="n"/>
      <c r="M378" s="280" t="n"/>
      <c r="N378" s="333">
        <f>IFERROR(IF(L378*M378=0,"",L378*M378),"")</f>
        <v/>
      </c>
      <c r="O378" s="280" t="n"/>
      <c r="P378" s="332">
        <f>IFERROR(VLOOKUP(TEXT(O378,"0"),CONDUCTORES!$A$3:$G$54,2,0),"")</f>
        <v/>
      </c>
      <c r="Q378" s="332">
        <f>IFERROR(VLOOKUP(TEXT(O378,"0"),CONDUCTORES!$A$3:$H$54,6,0),"")</f>
        <v/>
      </c>
      <c r="R378" s="280" t="n"/>
      <c r="S378" s="280" t="n"/>
      <c r="T378" s="280" t="n"/>
      <c r="U378" s="280" t="n"/>
      <c r="V378" s="280" t="n"/>
      <c r="W378" s="280" t="n"/>
      <c r="X378" s="280" t="n"/>
      <c r="Y378" s="280" t="n"/>
    </row>
    <row r="379" ht="15" customHeight="1" s="195">
      <c r="A379" s="334" t="n"/>
      <c r="B379" s="334" t="n"/>
      <c r="C379" s="334" t="n"/>
      <c r="D379" s="334" t="n"/>
      <c r="E379" s="334" t="n"/>
      <c r="F379" s="334" t="n"/>
      <c r="G379" s="334" t="n"/>
      <c r="H379" s="334" t="n"/>
      <c r="I379" s="332">
        <f>IFERROR(VLOOKUP(TEXT(H379,"0"),IPRESS!$A$3:$B$212,2,0),"")</f>
        <v/>
      </c>
      <c r="J379" s="334" t="n"/>
      <c r="K379" s="332">
        <f>IFERROR(VLOOKUP(TEXT(O379,"0"),CONDUCTORES!$A$3:$G$54,7,0),"")</f>
        <v/>
      </c>
      <c r="L379" s="334" t="n"/>
      <c r="M379" s="334" t="n"/>
      <c r="N379" s="333">
        <f>IFERROR(IF(L379*M379=0,"",L379*M379),"")</f>
        <v/>
      </c>
      <c r="O379" s="334" t="n"/>
      <c r="P379" s="332">
        <f>IFERROR(VLOOKUP(TEXT(O379,"0"),CONDUCTORES!$A$3:$G$54,2,0),"")</f>
        <v/>
      </c>
      <c r="Q379" s="332">
        <f>IFERROR(VLOOKUP(TEXT(O379,"0"),CONDUCTORES!$A$3:$H$54,6,0),"")</f>
        <v/>
      </c>
      <c r="R379" s="334" t="n"/>
      <c r="S379" s="334" t="n"/>
      <c r="T379" s="334" t="n"/>
      <c r="U379" s="334" t="n"/>
      <c r="V379" s="334" t="n"/>
      <c r="W379" s="334" t="n"/>
      <c r="X379" s="334" t="n"/>
      <c r="Y379" s="334" t="n"/>
    </row>
    <row r="380" ht="15" customHeight="1" s="195">
      <c r="A380" s="280" t="n"/>
      <c r="B380" s="280" t="n"/>
      <c r="C380" s="280" t="n"/>
      <c r="D380" s="280" t="n"/>
      <c r="E380" s="280" t="n"/>
      <c r="F380" s="280" t="n"/>
      <c r="G380" s="280" t="n"/>
      <c r="H380" s="280" t="n"/>
      <c r="I380" s="332">
        <f>IFERROR(VLOOKUP(TEXT(H380,"0"),IPRESS!$A$3:$B$212,2,0),"")</f>
        <v/>
      </c>
      <c r="J380" s="280" t="n"/>
      <c r="K380" s="332">
        <f>IFERROR(VLOOKUP(TEXT(O380,"0"),CONDUCTORES!$A$3:$G$54,7,0),"")</f>
        <v/>
      </c>
      <c r="L380" s="280" t="n"/>
      <c r="M380" s="280" t="n"/>
      <c r="N380" s="333">
        <f>IFERROR(IF(L380*M380=0,"",L380*M380),"")</f>
        <v/>
      </c>
      <c r="O380" s="280" t="n"/>
      <c r="P380" s="332">
        <f>IFERROR(VLOOKUP(TEXT(O380,"0"),CONDUCTORES!$A$3:$G$54,2,0),"")</f>
        <v/>
      </c>
      <c r="Q380" s="332">
        <f>IFERROR(VLOOKUP(TEXT(O380,"0"),CONDUCTORES!$A$3:$H$54,6,0),"")</f>
        <v/>
      </c>
      <c r="R380" s="280" t="n"/>
      <c r="S380" s="280" t="n"/>
      <c r="T380" s="280" t="n"/>
      <c r="U380" s="280" t="n"/>
      <c r="V380" s="280" t="n"/>
      <c r="W380" s="280" t="n"/>
      <c r="X380" s="280" t="n"/>
      <c r="Y380" s="280" t="n"/>
    </row>
    <row r="381" ht="15" customHeight="1" s="195">
      <c r="A381" s="334" t="n"/>
      <c r="B381" s="334" t="n"/>
      <c r="C381" s="334" t="n"/>
      <c r="D381" s="334" t="n"/>
      <c r="E381" s="334" t="n"/>
      <c r="F381" s="334" t="n"/>
      <c r="G381" s="334" t="n"/>
      <c r="H381" s="334" t="n"/>
      <c r="I381" s="332">
        <f>IFERROR(VLOOKUP(TEXT(H381,"0"),IPRESS!$A$3:$B$212,2,0),"")</f>
        <v/>
      </c>
      <c r="J381" s="334" t="n"/>
      <c r="K381" s="332">
        <f>IFERROR(VLOOKUP(TEXT(O381,"0"),CONDUCTORES!$A$3:$G$54,7,0),"")</f>
        <v/>
      </c>
      <c r="L381" s="334" t="n"/>
      <c r="M381" s="334" t="n"/>
      <c r="N381" s="333">
        <f>IFERROR(IF(L381*M381=0,"",L381*M381),"")</f>
        <v/>
      </c>
      <c r="O381" s="334" t="n"/>
      <c r="P381" s="332">
        <f>IFERROR(VLOOKUP(TEXT(O381,"0"),CONDUCTORES!$A$3:$G$54,2,0),"")</f>
        <v/>
      </c>
      <c r="Q381" s="332">
        <f>IFERROR(VLOOKUP(TEXT(O381,"0"),CONDUCTORES!$A$3:$H$54,6,0),"")</f>
        <v/>
      </c>
      <c r="R381" s="334" t="n"/>
      <c r="S381" s="334" t="n"/>
      <c r="T381" s="334" t="n"/>
      <c r="U381" s="334" t="n"/>
      <c r="V381" s="334" t="n"/>
      <c r="W381" s="334" t="n"/>
      <c r="X381" s="334" t="n"/>
      <c r="Y381" s="334" t="n"/>
    </row>
    <row r="382" ht="15" customHeight="1" s="195">
      <c r="A382" s="280" t="n"/>
      <c r="B382" s="280" t="n"/>
      <c r="C382" s="280" t="n"/>
      <c r="D382" s="280" t="n"/>
      <c r="E382" s="280" t="n"/>
      <c r="F382" s="280" t="n"/>
      <c r="G382" s="280" t="n"/>
      <c r="H382" s="280" t="n"/>
      <c r="I382" s="332">
        <f>IFERROR(VLOOKUP(TEXT(H382,"0"),IPRESS!$A$3:$B$212,2,0),"")</f>
        <v/>
      </c>
      <c r="J382" s="280" t="n"/>
      <c r="K382" s="332">
        <f>IFERROR(VLOOKUP(TEXT(O382,"0"),CONDUCTORES!$A$3:$G$54,7,0),"")</f>
        <v/>
      </c>
      <c r="L382" s="280" t="n"/>
      <c r="M382" s="280" t="n"/>
      <c r="N382" s="333">
        <f>IFERROR(IF(L382*M382=0,"",L382*M382),"")</f>
        <v/>
      </c>
      <c r="O382" s="280" t="n"/>
      <c r="P382" s="332">
        <f>IFERROR(VLOOKUP(TEXT(O382,"0"),CONDUCTORES!$A$3:$G$54,2,0),"")</f>
        <v/>
      </c>
      <c r="Q382" s="332">
        <f>IFERROR(VLOOKUP(TEXT(O382,"0"),CONDUCTORES!$A$3:$H$54,6,0),"")</f>
        <v/>
      </c>
      <c r="R382" s="280" t="n"/>
      <c r="S382" s="280" t="n"/>
      <c r="T382" s="280" t="n"/>
      <c r="U382" s="280" t="n"/>
      <c r="V382" s="280" t="n"/>
      <c r="W382" s="280" t="n"/>
      <c r="X382" s="280" t="n"/>
      <c r="Y382" s="280" t="n"/>
    </row>
    <row r="383" ht="15" customHeight="1" s="195">
      <c r="A383" s="334" t="n"/>
      <c r="B383" s="334" t="n"/>
      <c r="C383" s="334" t="n"/>
      <c r="D383" s="334" t="n"/>
      <c r="E383" s="334" t="n"/>
      <c r="F383" s="334" t="n"/>
      <c r="G383" s="334" t="n"/>
      <c r="H383" s="334" t="n"/>
      <c r="I383" s="332">
        <f>IFERROR(VLOOKUP(TEXT(H383,"0"),IPRESS!$A$3:$B$212,2,0),"")</f>
        <v/>
      </c>
      <c r="J383" s="334" t="n"/>
      <c r="K383" s="332">
        <f>IFERROR(VLOOKUP(TEXT(O383,"0"),CONDUCTORES!$A$3:$G$54,7,0),"")</f>
        <v/>
      </c>
      <c r="L383" s="334" t="n"/>
      <c r="M383" s="334" t="n"/>
      <c r="N383" s="333">
        <f>IFERROR(IF(L383*M383=0,"",L383*M383),"")</f>
        <v/>
      </c>
      <c r="O383" s="334" t="n"/>
      <c r="P383" s="332">
        <f>IFERROR(VLOOKUP(TEXT(O383,"0"),CONDUCTORES!$A$3:$G$54,2,0),"")</f>
        <v/>
      </c>
      <c r="Q383" s="332">
        <f>IFERROR(VLOOKUP(TEXT(O383,"0"),CONDUCTORES!$A$3:$H$54,6,0),"")</f>
        <v/>
      </c>
      <c r="R383" s="334" t="n"/>
      <c r="S383" s="334" t="n"/>
      <c r="T383" s="334" t="n"/>
      <c r="U383" s="334" t="n"/>
      <c r="V383" s="334" t="n"/>
      <c r="W383" s="334" t="n"/>
      <c r="X383" s="334" t="n"/>
      <c r="Y383" s="334" t="n"/>
    </row>
    <row r="384" ht="15" customHeight="1" s="195">
      <c r="A384" s="280" t="n"/>
      <c r="B384" s="280" t="n"/>
      <c r="C384" s="280" t="n"/>
      <c r="D384" s="280" t="n"/>
      <c r="E384" s="280" t="n"/>
      <c r="F384" s="280" t="n"/>
      <c r="G384" s="280" t="n"/>
      <c r="H384" s="280" t="n"/>
      <c r="I384" s="332">
        <f>IFERROR(VLOOKUP(TEXT(H384,"0"),IPRESS!$A$3:$B$212,2,0),"")</f>
        <v/>
      </c>
      <c r="J384" s="280" t="n"/>
      <c r="K384" s="332">
        <f>IFERROR(VLOOKUP(TEXT(O384,"0"),CONDUCTORES!$A$3:$G$54,7,0),"")</f>
        <v/>
      </c>
      <c r="L384" s="280" t="n"/>
      <c r="M384" s="280" t="n"/>
      <c r="N384" s="333">
        <f>IFERROR(IF(L384*M384=0,"",L384*M384),"")</f>
        <v/>
      </c>
      <c r="O384" s="280" t="n"/>
      <c r="P384" s="332">
        <f>IFERROR(VLOOKUP(TEXT(O384,"0"),CONDUCTORES!$A$3:$G$54,2,0),"")</f>
        <v/>
      </c>
      <c r="Q384" s="332">
        <f>IFERROR(VLOOKUP(TEXT(O384,"0"),CONDUCTORES!$A$3:$H$54,6,0),"")</f>
        <v/>
      </c>
      <c r="R384" s="280" t="n"/>
      <c r="S384" s="280" t="n"/>
      <c r="T384" s="280" t="n"/>
      <c r="U384" s="280" t="n"/>
      <c r="V384" s="280" t="n"/>
      <c r="W384" s="280" t="n"/>
      <c r="X384" s="280" t="n"/>
      <c r="Y384" s="280" t="n"/>
    </row>
    <row r="385" ht="15" customHeight="1" s="195">
      <c r="A385" s="334" t="n"/>
      <c r="B385" s="334" t="n"/>
      <c r="C385" s="334" t="n"/>
      <c r="D385" s="334" t="n"/>
      <c r="E385" s="334" t="n"/>
      <c r="F385" s="334" t="n"/>
      <c r="G385" s="334" t="n"/>
      <c r="H385" s="334" t="n"/>
      <c r="I385" s="332">
        <f>IFERROR(VLOOKUP(TEXT(H385,"0"),IPRESS!$A$3:$B$212,2,0),"")</f>
        <v/>
      </c>
      <c r="J385" s="334" t="n"/>
      <c r="K385" s="332">
        <f>IFERROR(VLOOKUP(TEXT(O385,"0"),CONDUCTORES!$A$3:$G$54,7,0),"")</f>
        <v/>
      </c>
      <c r="L385" s="334" t="n"/>
      <c r="M385" s="334" t="n"/>
      <c r="N385" s="333">
        <f>IFERROR(IF(L385*M385=0,"",L385*M385),"")</f>
        <v/>
      </c>
      <c r="O385" s="334" t="n"/>
      <c r="P385" s="332">
        <f>IFERROR(VLOOKUP(TEXT(O385,"0"),CONDUCTORES!$A$3:$G$54,2,0),"")</f>
        <v/>
      </c>
      <c r="Q385" s="332">
        <f>IFERROR(VLOOKUP(TEXT(O385,"0"),CONDUCTORES!$A$3:$H$54,6,0),"")</f>
        <v/>
      </c>
      <c r="R385" s="334" t="n"/>
      <c r="S385" s="334" t="n"/>
      <c r="T385" s="334" t="n"/>
      <c r="U385" s="334" t="n"/>
      <c r="V385" s="334" t="n"/>
      <c r="W385" s="334" t="n"/>
      <c r="X385" s="334" t="n"/>
      <c r="Y385" s="334" t="n"/>
    </row>
    <row r="386" ht="15" customHeight="1" s="195">
      <c r="A386" s="280" t="n"/>
      <c r="B386" s="280" t="n"/>
      <c r="C386" s="280" t="n"/>
      <c r="D386" s="280" t="n"/>
      <c r="E386" s="280" t="n"/>
      <c r="F386" s="280" t="n"/>
      <c r="G386" s="280" t="n"/>
      <c r="H386" s="280" t="n"/>
      <c r="I386" s="332">
        <f>IFERROR(VLOOKUP(TEXT(H386,"0"),IPRESS!$A$3:$B$212,2,0),"")</f>
        <v/>
      </c>
      <c r="J386" s="280" t="n"/>
      <c r="K386" s="332">
        <f>IFERROR(VLOOKUP(TEXT(O386,"0"),CONDUCTORES!$A$3:$G$54,7,0),"")</f>
        <v/>
      </c>
      <c r="L386" s="280" t="n"/>
      <c r="M386" s="280" t="n"/>
      <c r="N386" s="333">
        <f>IFERROR(IF(L386*M386=0,"",L386*M386),"")</f>
        <v/>
      </c>
      <c r="O386" s="280" t="n"/>
      <c r="P386" s="332">
        <f>IFERROR(VLOOKUP(TEXT(O386,"0"),CONDUCTORES!$A$3:$G$54,2,0),"")</f>
        <v/>
      </c>
      <c r="Q386" s="332">
        <f>IFERROR(VLOOKUP(TEXT(O386,"0"),CONDUCTORES!$A$3:$H$54,6,0),"")</f>
        <v/>
      </c>
      <c r="R386" s="280" t="n"/>
      <c r="S386" s="280" t="n"/>
      <c r="T386" s="280" t="n"/>
      <c r="U386" s="280" t="n"/>
      <c r="V386" s="280" t="n"/>
      <c r="W386" s="280" t="n"/>
      <c r="X386" s="280" t="n"/>
      <c r="Y386" s="280" t="n"/>
    </row>
    <row r="387" ht="15" customHeight="1" s="195">
      <c r="A387" s="334" t="n"/>
      <c r="B387" s="334" t="n"/>
      <c r="C387" s="334" t="n"/>
      <c r="D387" s="334" t="n"/>
      <c r="E387" s="334" t="n"/>
      <c r="F387" s="334" t="n"/>
      <c r="G387" s="334" t="n"/>
      <c r="H387" s="334" t="n"/>
      <c r="I387" s="332">
        <f>IFERROR(VLOOKUP(TEXT(H387,"0"),IPRESS!$A$3:$B$212,2,0),"")</f>
        <v/>
      </c>
      <c r="J387" s="334" t="n"/>
      <c r="K387" s="332">
        <f>IFERROR(VLOOKUP(TEXT(O387,"0"),CONDUCTORES!$A$3:$G$54,7,0),"")</f>
        <v/>
      </c>
      <c r="L387" s="334" t="n"/>
      <c r="M387" s="334" t="n"/>
      <c r="N387" s="333">
        <f>IFERROR(IF(L387*M387=0,"",L387*M387),"")</f>
        <v/>
      </c>
      <c r="O387" s="334" t="n"/>
      <c r="P387" s="332">
        <f>IFERROR(VLOOKUP(TEXT(O387,"0"),CONDUCTORES!$A$3:$G$54,2,0),"")</f>
        <v/>
      </c>
      <c r="Q387" s="332">
        <f>IFERROR(VLOOKUP(TEXT(O387,"0"),CONDUCTORES!$A$3:$H$54,6,0),"")</f>
        <v/>
      </c>
      <c r="R387" s="334" t="n"/>
      <c r="S387" s="334" t="n"/>
      <c r="T387" s="334" t="n"/>
      <c r="U387" s="334" t="n"/>
      <c r="V387" s="334" t="n"/>
      <c r="W387" s="334" t="n"/>
      <c r="X387" s="334" t="n"/>
      <c r="Y387" s="334" t="n"/>
    </row>
    <row r="388" ht="15" customHeight="1" s="195">
      <c r="A388" s="280" t="n"/>
      <c r="B388" s="280" t="n"/>
      <c r="C388" s="280" t="n"/>
      <c r="D388" s="280" t="n"/>
      <c r="E388" s="280" t="n"/>
      <c r="F388" s="280" t="n"/>
      <c r="G388" s="280" t="n"/>
      <c r="H388" s="280" t="n"/>
      <c r="I388" s="332">
        <f>IFERROR(VLOOKUP(TEXT(H388,"0"),IPRESS!$A$3:$B$212,2,0),"")</f>
        <v/>
      </c>
      <c r="J388" s="280" t="n"/>
      <c r="K388" s="332">
        <f>IFERROR(VLOOKUP(TEXT(O388,"0"),CONDUCTORES!$A$3:$G$54,7,0),"")</f>
        <v/>
      </c>
      <c r="L388" s="280" t="n"/>
      <c r="M388" s="280" t="n"/>
      <c r="N388" s="333">
        <f>IFERROR(IF(L388*M388=0,"",L388*M388),"")</f>
        <v/>
      </c>
      <c r="O388" s="280" t="n"/>
      <c r="P388" s="332">
        <f>IFERROR(VLOOKUP(TEXT(O388,"0"),CONDUCTORES!$A$3:$G$54,2,0),"")</f>
        <v/>
      </c>
      <c r="Q388" s="332">
        <f>IFERROR(VLOOKUP(TEXT(O388,"0"),CONDUCTORES!$A$3:$H$54,6,0),"")</f>
        <v/>
      </c>
      <c r="R388" s="280" t="n"/>
      <c r="S388" s="280" t="n"/>
      <c r="T388" s="280" t="n"/>
      <c r="U388" s="280" t="n"/>
      <c r="V388" s="280" t="n"/>
      <c r="W388" s="280" t="n"/>
      <c r="X388" s="280" t="n"/>
      <c r="Y388" s="280" t="n"/>
    </row>
    <row r="389" ht="15" customHeight="1" s="195">
      <c r="A389" s="334" t="n"/>
      <c r="B389" s="334" t="n"/>
      <c r="C389" s="334" t="n"/>
      <c r="D389" s="334" t="n"/>
      <c r="E389" s="334" t="n"/>
      <c r="F389" s="334" t="n"/>
      <c r="G389" s="334" t="n"/>
      <c r="H389" s="334" t="n"/>
      <c r="I389" s="332">
        <f>IFERROR(VLOOKUP(TEXT(H389,"0"),IPRESS!$A$3:$B$212,2,0),"")</f>
        <v/>
      </c>
      <c r="J389" s="334" t="n"/>
      <c r="K389" s="332">
        <f>IFERROR(VLOOKUP(TEXT(O389,"0"),CONDUCTORES!$A$3:$G$54,7,0),"")</f>
        <v/>
      </c>
      <c r="L389" s="334" t="n"/>
      <c r="M389" s="334" t="n"/>
      <c r="N389" s="333">
        <f>IFERROR(IF(L389*M389=0,"",L389*M389),"")</f>
        <v/>
      </c>
      <c r="O389" s="334" t="n"/>
      <c r="P389" s="332">
        <f>IFERROR(VLOOKUP(TEXT(O389,"0"),CONDUCTORES!$A$3:$G$54,2,0),"")</f>
        <v/>
      </c>
      <c r="Q389" s="332">
        <f>IFERROR(VLOOKUP(TEXT(O389,"0"),CONDUCTORES!$A$3:$H$54,6,0),"")</f>
        <v/>
      </c>
      <c r="R389" s="334" t="n"/>
      <c r="S389" s="334" t="n"/>
      <c r="T389" s="334" t="n"/>
      <c r="U389" s="334" t="n"/>
      <c r="V389" s="334" t="n"/>
      <c r="W389" s="334" t="n"/>
      <c r="X389" s="334" t="n"/>
      <c r="Y389" s="334" t="n"/>
    </row>
    <row r="390" ht="15" customHeight="1" s="195">
      <c r="A390" s="280" t="n"/>
      <c r="B390" s="280" t="n"/>
      <c r="C390" s="280" t="n"/>
      <c r="D390" s="280" t="n"/>
      <c r="E390" s="280" t="n"/>
      <c r="F390" s="280" t="n"/>
      <c r="G390" s="280" t="n"/>
      <c r="H390" s="280" t="n"/>
      <c r="I390" s="332">
        <f>IFERROR(VLOOKUP(TEXT(H390,"0"),IPRESS!$A$3:$B$212,2,0),"")</f>
        <v/>
      </c>
      <c r="J390" s="280" t="n"/>
      <c r="K390" s="332">
        <f>IFERROR(VLOOKUP(TEXT(O390,"0"),CONDUCTORES!$A$3:$G$54,7,0),"")</f>
        <v/>
      </c>
      <c r="L390" s="280" t="n"/>
      <c r="M390" s="280" t="n"/>
      <c r="N390" s="333">
        <f>IFERROR(IF(L390*M390=0,"",L390*M390),"")</f>
        <v/>
      </c>
      <c r="O390" s="280" t="n"/>
      <c r="P390" s="332">
        <f>IFERROR(VLOOKUP(TEXT(O390,"0"),CONDUCTORES!$A$3:$G$54,2,0),"")</f>
        <v/>
      </c>
      <c r="Q390" s="332">
        <f>IFERROR(VLOOKUP(TEXT(O390,"0"),CONDUCTORES!$A$3:$H$54,6,0),"")</f>
        <v/>
      </c>
      <c r="R390" s="280" t="n"/>
      <c r="S390" s="280" t="n"/>
      <c r="T390" s="280" t="n"/>
      <c r="U390" s="280" t="n"/>
      <c r="V390" s="280" t="n"/>
      <c r="W390" s="280" t="n"/>
      <c r="X390" s="280" t="n"/>
      <c r="Y390" s="280" t="n"/>
    </row>
    <row r="391" ht="15" customHeight="1" s="195">
      <c r="A391" s="334" t="n"/>
      <c r="B391" s="334" t="n"/>
      <c r="C391" s="334" t="n"/>
      <c r="D391" s="334" t="n"/>
      <c r="E391" s="334" t="n"/>
      <c r="F391" s="334" t="n"/>
      <c r="G391" s="334" t="n"/>
      <c r="H391" s="334" t="n"/>
      <c r="I391" s="332">
        <f>IFERROR(VLOOKUP(TEXT(H391,"0"),IPRESS!$A$3:$B$212,2,0),"")</f>
        <v/>
      </c>
      <c r="J391" s="334" t="n"/>
      <c r="K391" s="332">
        <f>IFERROR(VLOOKUP(TEXT(O391,"0"),CONDUCTORES!$A$3:$G$54,7,0),"")</f>
        <v/>
      </c>
      <c r="L391" s="334" t="n"/>
      <c r="M391" s="334" t="n"/>
      <c r="N391" s="333">
        <f>IFERROR(IF(L391*M391=0,"",L391*M391),"")</f>
        <v/>
      </c>
      <c r="O391" s="334" t="n"/>
      <c r="P391" s="332">
        <f>IFERROR(VLOOKUP(TEXT(O391,"0"),CONDUCTORES!$A$3:$G$54,2,0),"")</f>
        <v/>
      </c>
      <c r="Q391" s="332">
        <f>IFERROR(VLOOKUP(TEXT(O391,"0"),CONDUCTORES!$A$3:$H$54,6,0),"")</f>
        <v/>
      </c>
      <c r="R391" s="334" t="n"/>
      <c r="S391" s="334" t="n"/>
      <c r="T391" s="334" t="n"/>
      <c r="U391" s="334" t="n"/>
      <c r="V391" s="334" t="n"/>
      <c r="W391" s="334" t="n"/>
      <c r="X391" s="334" t="n"/>
      <c r="Y391" s="334" t="n"/>
    </row>
    <row r="392" ht="15" customHeight="1" s="195">
      <c r="A392" s="280" t="n"/>
      <c r="B392" s="280" t="n"/>
      <c r="C392" s="280" t="n"/>
      <c r="D392" s="280" t="n"/>
      <c r="E392" s="280" t="n"/>
      <c r="F392" s="280" t="n"/>
      <c r="G392" s="280" t="n"/>
      <c r="H392" s="280" t="n"/>
      <c r="I392" s="332">
        <f>IFERROR(VLOOKUP(TEXT(H392,"0"),IPRESS!$A$3:$B$212,2,0),"")</f>
        <v/>
      </c>
      <c r="J392" s="280" t="n"/>
      <c r="K392" s="332">
        <f>IFERROR(VLOOKUP(TEXT(O392,"0"),CONDUCTORES!$A$3:$G$54,7,0),"")</f>
        <v/>
      </c>
      <c r="L392" s="280" t="n"/>
      <c r="M392" s="280" t="n"/>
      <c r="N392" s="333">
        <f>IFERROR(IF(L392*M392=0,"",L392*M392),"")</f>
        <v/>
      </c>
      <c r="O392" s="280" t="n"/>
      <c r="P392" s="332">
        <f>IFERROR(VLOOKUP(TEXT(O392,"0"),CONDUCTORES!$A$3:$G$54,2,0),"")</f>
        <v/>
      </c>
      <c r="Q392" s="332">
        <f>IFERROR(VLOOKUP(TEXT(O392,"0"),CONDUCTORES!$A$3:$H$54,6,0),"")</f>
        <v/>
      </c>
      <c r="R392" s="280" t="n"/>
      <c r="S392" s="280" t="n"/>
      <c r="T392" s="280" t="n"/>
      <c r="U392" s="280" t="n"/>
      <c r="V392" s="280" t="n"/>
      <c r="W392" s="280" t="n"/>
      <c r="X392" s="280" t="n"/>
      <c r="Y392" s="280" t="n"/>
    </row>
    <row r="393" ht="15" customHeight="1" s="195">
      <c r="A393" s="334" t="n"/>
      <c r="B393" s="334" t="n"/>
      <c r="C393" s="334" t="n"/>
      <c r="D393" s="334" t="n"/>
      <c r="E393" s="334" t="n"/>
      <c r="F393" s="334" t="n"/>
      <c r="G393" s="334" t="n"/>
      <c r="H393" s="334" t="n"/>
      <c r="I393" s="332">
        <f>IFERROR(VLOOKUP(TEXT(H393,"0"),IPRESS!$A$3:$B$212,2,0),"")</f>
        <v/>
      </c>
      <c r="J393" s="334" t="n"/>
      <c r="K393" s="332">
        <f>IFERROR(VLOOKUP(TEXT(O393,"0"),CONDUCTORES!$A$3:$G$54,7,0),"")</f>
        <v/>
      </c>
      <c r="L393" s="334" t="n"/>
      <c r="M393" s="334" t="n"/>
      <c r="N393" s="333">
        <f>IFERROR(IF(L393*M393=0,"",L393*M393),"")</f>
        <v/>
      </c>
      <c r="O393" s="334" t="n"/>
      <c r="P393" s="332">
        <f>IFERROR(VLOOKUP(TEXT(O393,"0"),CONDUCTORES!$A$3:$G$54,2,0),"")</f>
        <v/>
      </c>
      <c r="Q393" s="332">
        <f>IFERROR(VLOOKUP(TEXT(O393,"0"),CONDUCTORES!$A$3:$H$54,6,0),"")</f>
        <v/>
      </c>
      <c r="R393" s="334" t="n"/>
      <c r="S393" s="334" t="n"/>
      <c r="T393" s="334" t="n"/>
      <c r="U393" s="334" t="n"/>
      <c r="V393" s="334" t="n"/>
      <c r="W393" s="334" t="n"/>
      <c r="X393" s="334" t="n"/>
      <c r="Y393" s="334" t="n"/>
    </row>
    <row r="394" ht="15" customHeight="1" s="195">
      <c r="A394" s="280" t="n"/>
      <c r="B394" s="280" t="n"/>
      <c r="C394" s="280" t="n"/>
      <c r="D394" s="280" t="n"/>
      <c r="E394" s="280" t="n"/>
      <c r="F394" s="280" t="n"/>
      <c r="G394" s="280" t="n"/>
      <c r="H394" s="280" t="n"/>
      <c r="I394" s="332">
        <f>IFERROR(VLOOKUP(TEXT(H394,"0"),IPRESS!$A$3:$B$212,2,0),"")</f>
        <v/>
      </c>
      <c r="J394" s="280" t="n"/>
      <c r="K394" s="332">
        <f>IFERROR(VLOOKUP(TEXT(O394,"0"),CONDUCTORES!$A$3:$G$54,7,0),"")</f>
        <v/>
      </c>
      <c r="L394" s="280" t="n"/>
      <c r="M394" s="280" t="n"/>
      <c r="N394" s="333">
        <f>IFERROR(IF(L394*M394=0,"",L394*M394),"")</f>
        <v/>
      </c>
      <c r="O394" s="280" t="n"/>
      <c r="P394" s="332">
        <f>IFERROR(VLOOKUP(TEXT(O394,"0"),CONDUCTORES!$A$3:$G$54,2,0),"")</f>
        <v/>
      </c>
      <c r="Q394" s="332">
        <f>IFERROR(VLOOKUP(TEXT(O394,"0"),CONDUCTORES!$A$3:$H$54,6,0),"")</f>
        <v/>
      </c>
      <c r="R394" s="280" t="n"/>
      <c r="S394" s="280" t="n"/>
      <c r="T394" s="280" t="n"/>
      <c r="U394" s="280" t="n"/>
      <c r="V394" s="280" t="n"/>
      <c r="W394" s="280" t="n"/>
      <c r="X394" s="280" t="n"/>
      <c r="Y394" s="280" t="n"/>
    </row>
    <row r="395" ht="15" customHeight="1" s="195">
      <c r="A395" s="334" t="n"/>
      <c r="B395" s="334" t="n"/>
      <c r="C395" s="334" t="n"/>
      <c r="D395" s="334" t="n"/>
      <c r="E395" s="334" t="n"/>
      <c r="F395" s="334" t="n"/>
      <c r="G395" s="334" t="n"/>
      <c r="H395" s="334" t="n"/>
      <c r="I395" s="332">
        <f>IFERROR(VLOOKUP(TEXT(H395,"0"),IPRESS!$A$3:$B$212,2,0),"")</f>
        <v/>
      </c>
      <c r="J395" s="334" t="n"/>
      <c r="K395" s="332">
        <f>IFERROR(VLOOKUP(TEXT(O395,"0"),CONDUCTORES!$A$3:$G$54,7,0),"")</f>
        <v/>
      </c>
      <c r="L395" s="334" t="n"/>
      <c r="M395" s="334" t="n"/>
      <c r="N395" s="333">
        <f>IFERROR(IF(L395*M395=0,"",L395*M395),"")</f>
        <v/>
      </c>
      <c r="O395" s="334" t="n"/>
      <c r="P395" s="332">
        <f>IFERROR(VLOOKUP(TEXT(O395,"0"),CONDUCTORES!$A$3:$G$54,2,0),"")</f>
        <v/>
      </c>
      <c r="Q395" s="332">
        <f>IFERROR(VLOOKUP(TEXT(O395,"0"),CONDUCTORES!$A$3:$H$54,6,0),"")</f>
        <v/>
      </c>
      <c r="R395" s="334" t="n"/>
      <c r="S395" s="334" t="n"/>
      <c r="T395" s="334" t="n"/>
      <c r="U395" s="334" t="n"/>
      <c r="V395" s="334" t="n"/>
      <c r="W395" s="334" t="n"/>
      <c r="X395" s="334" t="n"/>
      <c r="Y395" s="334" t="n"/>
    </row>
    <row r="396" ht="15" customHeight="1" s="195">
      <c r="A396" s="280" t="n"/>
      <c r="B396" s="280" t="n"/>
      <c r="C396" s="280" t="n"/>
      <c r="D396" s="280" t="n"/>
      <c r="E396" s="280" t="n"/>
      <c r="F396" s="280" t="n"/>
      <c r="G396" s="280" t="n"/>
      <c r="H396" s="280" t="n"/>
      <c r="I396" s="332">
        <f>IFERROR(VLOOKUP(TEXT(H396,"0"),IPRESS!$A$3:$B$212,2,0),"")</f>
        <v/>
      </c>
      <c r="J396" s="280" t="n"/>
      <c r="K396" s="332">
        <f>IFERROR(VLOOKUP(TEXT(O396,"0"),CONDUCTORES!$A$3:$G$54,7,0),"")</f>
        <v/>
      </c>
      <c r="L396" s="280" t="n"/>
      <c r="M396" s="280" t="n"/>
      <c r="N396" s="333">
        <f>IFERROR(IF(L396*M396=0,"",L396*M396),"")</f>
        <v/>
      </c>
      <c r="O396" s="280" t="n"/>
      <c r="P396" s="332">
        <f>IFERROR(VLOOKUP(TEXT(O396,"0"),CONDUCTORES!$A$3:$G$54,2,0),"")</f>
        <v/>
      </c>
      <c r="Q396" s="332">
        <f>IFERROR(VLOOKUP(TEXT(O396,"0"),CONDUCTORES!$A$3:$H$54,6,0),"")</f>
        <v/>
      </c>
      <c r="R396" s="280" t="n"/>
      <c r="S396" s="280" t="n"/>
      <c r="T396" s="280" t="n"/>
      <c r="U396" s="280" t="n"/>
      <c r="V396" s="280" t="n"/>
      <c r="W396" s="280" t="n"/>
      <c r="X396" s="280" t="n"/>
      <c r="Y396" s="280" t="n"/>
    </row>
    <row r="397" ht="15" customHeight="1" s="195">
      <c r="A397" s="334" t="n"/>
      <c r="B397" s="334" t="n"/>
      <c r="C397" s="334" t="n"/>
      <c r="D397" s="334" t="n"/>
      <c r="E397" s="334" t="n"/>
      <c r="F397" s="334" t="n"/>
      <c r="G397" s="334" t="n"/>
      <c r="H397" s="334" t="n"/>
      <c r="I397" s="332">
        <f>IFERROR(VLOOKUP(TEXT(H397,"0"),IPRESS!$A$3:$B$212,2,0),"")</f>
        <v/>
      </c>
      <c r="J397" s="334" t="n"/>
      <c r="K397" s="332">
        <f>IFERROR(VLOOKUP(TEXT(O397,"0"),CONDUCTORES!$A$3:$G$54,7,0),"")</f>
        <v/>
      </c>
      <c r="L397" s="334" t="n"/>
      <c r="M397" s="334" t="n"/>
      <c r="N397" s="333">
        <f>IFERROR(IF(L397*M397=0,"",L397*M397),"")</f>
        <v/>
      </c>
      <c r="O397" s="334" t="n"/>
      <c r="P397" s="332">
        <f>IFERROR(VLOOKUP(TEXT(O397,"0"),CONDUCTORES!$A$3:$G$54,2,0),"")</f>
        <v/>
      </c>
      <c r="Q397" s="332">
        <f>IFERROR(VLOOKUP(TEXT(O397,"0"),CONDUCTORES!$A$3:$H$54,6,0),"")</f>
        <v/>
      </c>
      <c r="R397" s="334" t="n"/>
      <c r="S397" s="334" t="n"/>
      <c r="T397" s="334" t="n"/>
      <c r="U397" s="334" t="n"/>
      <c r="V397" s="334" t="n"/>
      <c r="W397" s="334" t="n"/>
      <c r="X397" s="334" t="n"/>
      <c r="Y397" s="334" t="n"/>
    </row>
    <row r="398" ht="15" customHeight="1" s="195">
      <c r="A398" s="280" t="n"/>
      <c r="B398" s="280" t="n"/>
      <c r="C398" s="280" t="n"/>
      <c r="D398" s="280" t="n"/>
      <c r="E398" s="280" t="n"/>
      <c r="F398" s="280" t="n"/>
      <c r="G398" s="280" t="n"/>
      <c r="H398" s="280" t="n"/>
      <c r="I398" s="332">
        <f>IFERROR(VLOOKUP(TEXT(H398,"0"),IPRESS!$A$3:$B$212,2,0),"")</f>
        <v/>
      </c>
      <c r="J398" s="280" t="n"/>
      <c r="K398" s="332">
        <f>IFERROR(VLOOKUP(TEXT(O398,"0"),CONDUCTORES!$A$3:$G$54,7,0),"")</f>
        <v/>
      </c>
      <c r="L398" s="280" t="n"/>
      <c r="M398" s="280" t="n"/>
      <c r="N398" s="333">
        <f>IFERROR(IF(L398*M398=0,"",L398*M398),"")</f>
        <v/>
      </c>
      <c r="O398" s="280" t="n"/>
      <c r="P398" s="332">
        <f>IFERROR(VLOOKUP(TEXT(O398,"0"),CONDUCTORES!$A$3:$G$54,2,0),"")</f>
        <v/>
      </c>
      <c r="Q398" s="332">
        <f>IFERROR(VLOOKUP(TEXT(O398,"0"),CONDUCTORES!$A$3:$H$54,6,0),"")</f>
        <v/>
      </c>
      <c r="R398" s="280" t="n"/>
      <c r="S398" s="280" t="n"/>
      <c r="T398" s="280" t="n"/>
      <c r="U398" s="280" t="n"/>
      <c r="V398" s="280" t="n"/>
      <c r="W398" s="280" t="n"/>
      <c r="X398" s="280" t="n"/>
      <c r="Y398" s="280" t="n"/>
    </row>
    <row r="399" ht="15" customHeight="1" s="195">
      <c r="A399" s="334" t="n"/>
      <c r="B399" s="334" t="n"/>
      <c r="C399" s="334" t="n"/>
      <c r="D399" s="334" t="n"/>
      <c r="E399" s="334" t="n"/>
      <c r="F399" s="334" t="n"/>
      <c r="G399" s="334" t="n"/>
      <c r="H399" s="334" t="n"/>
      <c r="I399" s="332">
        <f>IFERROR(VLOOKUP(TEXT(H399,"0"),IPRESS!$A$3:$B$212,2,0),"")</f>
        <v/>
      </c>
      <c r="J399" s="334" t="n"/>
      <c r="K399" s="332">
        <f>IFERROR(VLOOKUP(TEXT(O399,"0"),CONDUCTORES!$A$3:$G$54,7,0),"")</f>
        <v/>
      </c>
      <c r="L399" s="334" t="n"/>
      <c r="M399" s="334" t="n"/>
      <c r="N399" s="333">
        <f>IFERROR(IF(L399*M399=0,"",L399*M399),"")</f>
        <v/>
      </c>
      <c r="O399" s="334" t="n"/>
      <c r="P399" s="332">
        <f>IFERROR(VLOOKUP(TEXT(O399,"0"),CONDUCTORES!$A$3:$G$54,2,0),"")</f>
        <v/>
      </c>
      <c r="Q399" s="332">
        <f>IFERROR(VLOOKUP(TEXT(O399,"0"),CONDUCTORES!$A$3:$H$54,6,0),"")</f>
        <v/>
      </c>
      <c r="R399" s="334" t="n"/>
      <c r="S399" s="334" t="n"/>
      <c r="T399" s="334" t="n"/>
      <c r="U399" s="334" t="n"/>
      <c r="V399" s="334" t="n"/>
      <c r="W399" s="334" t="n"/>
      <c r="X399" s="334" t="n"/>
      <c r="Y399" s="334" t="n"/>
    </row>
    <row r="400" ht="15" customHeight="1" s="195">
      <c r="A400" s="280" t="n"/>
      <c r="B400" s="280" t="n"/>
      <c r="C400" s="280" t="n"/>
      <c r="D400" s="280" t="n"/>
      <c r="E400" s="280" t="n"/>
      <c r="F400" s="280" t="n"/>
      <c r="G400" s="280" t="n"/>
      <c r="H400" s="280" t="n"/>
      <c r="I400" s="332">
        <f>IFERROR(VLOOKUP(TEXT(H400,"0"),IPRESS!$A$3:$B$212,2,0),"")</f>
        <v/>
      </c>
      <c r="J400" s="280" t="n"/>
      <c r="K400" s="332">
        <f>IFERROR(VLOOKUP(TEXT(O400,"0"),CONDUCTORES!$A$3:$G$54,7,0),"")</f>
        <v/>
      </c>
      <c r="L400" s="280" t="n"/>
      <c r="M400" s="280" t="n"/>
      <c r="N400" s="333">
        <f>IFERROR(IF(L400*M400=0,"",L400*M400),"")</f>
        <v/>
      </c>
      <c r="O400" s="280" t="n"/>
      <c r="P400" s="332">
        <f>IFERROR(VLOOKUP(TEXT(O400,"0"),CONDUCTORES!$A$3:$G$54,2,0),"")</f>
        <v/>
      </c>
      <c r="Q400" s="332">
        <f>IFERROR(VLOOKUP(TEXT(O400,"0"),CONDUCTORES!$A$3:$H$54,6,0),"")</f>
        <v/>
      </c>
      <c r="R400" s="280" t="n"/>
      <c r="S400" s="280" t="n"/>
      <c r="T400" s="280" t="n"/>
      <c r="U400" s="280" t="n"/>
      <c r="V400" s="280" t="n"/>
      <c r="W400" s="280" t="n"/>
      <c r="X400" s="280" t="n"/>
      <c r="Y400" s="280" t="n"/>
    </row>
    <row r="401" ht="15" customHeight="1" s="195">
      <c r="A401" s="334" t="n"/>
      <c r="B401" s="334" t="n"/>
      <c r="C401" s="334" t="n"/>
      <c r="D401" s="334" t="n"/>
      <c r="E401" s="334" t="n"/>
      <c r="F401" s="334" t="n"/>
      <c r="G401" s="334" t="n"/>
      <c r="H401" s="334" t="n"/>
      <c r="I401" s="332">
        <f>IFERROR(VLOOKUP(TEXT(H401,"0"),IPRESS!$A$3:$B$212,2,0),"")</f>
        <v/>
      </c>
      <c r="J401" s="334" t="n"/>
      <c r="K401" s="332">
        <f>IFERROR(VLOOKUP(TEXT(O401,"0"),CONDUCTORES!$A$3:$G$54,7,0),"")</f>
        <v/>
      </c>
      <c r="L401" s="334" t="n"/>
      <c r="M401" s="334" t="n"/>
      <c r="N401" s="333">
        <f>IFERROR(IF(L401*M401=0,"",L401*M401),"")</f>
        <v/>
      </c>
      <c r="O401" s="334" t="n"/>
      <c r="P401" s="332">
        <f>IFERROR(VLOOKUP(TEXT(O401,"0"),CONDUCTORES!$A$3:$G$54,2,0),"")</f>
        <v/>
      </c>
      <c r="Q401" s="332">
        <f>IFERROR(VLOOKUP(TEXT(O401,"0"),CONDUCTORES!$A$3:$H$54,6,0),"")</f>
        <v/>
      </c>
      <c r="R401" s="334" t="n"/>
      <c r="S401" s="334" t="n"/>
      <c r="T401" s="334" t="n"/>
      <c r="U401" s="334" t="n"/>
      <c r="V401" s="334" t="n"/>
      <c r="W401" s="334" t="n"/>
      <c r="X401" s="334" t="n"/>
      <c r="Y401" s="334" t="n"/>
    </row>
    <row r="402" ht="15" customHeight="1" s="195">
      <c r="A402" s="280" t="n"/>
      <c r="B402" s="280" t="n"/>
      <c r="C402" s="280" t="n"/>
      <c r="D402" s="280" t="n"/>
      <c r="E402" s="280" t="n"/>
      <c r="F402" s="280" t="n"/>
      <c r="G402" s="280" t="n"/>
      <c r="H402" s="280" t="n"/>
      <c r="I402" s="332">
        <f>IFERROR(VLOOKUP(TEXT(H402,"0"),IPRESS!$A$3:$B$212,2,0),"")</f>
        <v/>
      </c>
      <c r="J402" s="280" t="n"/>
      <c r="K402" s="332">
        <f>IFERROR(VLOOKUP(TEXT(O402,"0"),CONDUCTORES!$A$3:$G$54,7,0),"")</f>
        <v/>
      </c>
      <c r="L402" s="280" t="n"/>
      <c r="M402" s="280" t="n"/>
      <c r="N402" s="333">
        <f>IFERROR(IF(L402*M402=0,"",L402*M402),"")</f>
        <v/>
      </c>
      <c r="O402" s="280" t="n"/>
      <c r="P402" s="332">
        <f>IFERROR(VLOOKUP(TEXT(O402,"0"),CONDUCTORES!$A$3:$G$54,2,0),"")</f>
        <v/>
      </c>
      <c r="Q402" s="332">
        <f>IFERROR(VLOOKUP(TEXT(O402,"0"),CONDUCTORES!$A$3:$H$54,6,0),"")</f>
        <v/>
      </c>
      <c r="R402" s="280" t="n"/>
      <c r="S402" s="280" t="n"/>
      <c r="T402" s="280" t="n"/>
      <c r="U402" s="280" t="n"/>
      <c r="V402" s="280" t="n"/>
      <c r="W402" s="280" t="n"/>
      <c r="X402" s="280" t="n"/>
      <c r="Y402" s="280" t="n"/>
    </row>
    <row r="403" ht="15" customHeight="1" s="195">
      <c r="A403" s="334" t="n"/>
      <c r="B403" s="334" t="n"/>
      <c r="C403" s="334" t="n"/>
      <c r="D403" s="334" t="n"/>
      <c r="E403" s="334" t="n"/>
      <c r="F403" s="334" t="n"/>
      <c r="G403" s="334" t="n"/>
      <c r="H403" s="334" t="n"/>
      <c r="I403" s="332">
        <f>IFERROR(VLOOKUP(TEXT(H403,"0"),IPRESS!$A$3:$B$212,2,0),"")</f>
        <v/>
      </c>
      <c r="J403" s="334" t="n"/>
      <c r="K403" s="332">
        <f>IFERROR(VLOOKUP(TEXT(O403,"0"),CONDUCTORES!$A$3:$G$54,7,0),"")</f>
        <v/>
      </c>
      <c r="L403" s="334" t="n"/>
      <c r="M403" s="334" t="n"/>
      <c r="N403" s="333">
        <f>IFERROR(IF(L403*M403=0,"",L403*M403),"")</f>
        <v/>
      </c>
      <c r="O403" s="334" t="n"/>
      <c r="P403" s="332">
        <f>IFERROR(VLOOKUP(TEXT(O403,"0"),CONDUCTORES!$A$3:$G$54,2,0),"")</f>
        <v/>
      </c>
      <c r="Q403" s="332">
        <f>IFERROR(VLOOKUP(TEXT(O403,"0"),CONDUCTORES!$A$3:$H$54,6,0),"")</f>
        <v/>
      </c>
      <c r="R403" s="334" t="n"/>
      <c r="S403" s="334" t="n"/>
      <c r="T403" s="334" t="n"/>
      <c r="U403" s="334" t="n"/>
      <c r="V403" s="334" t="n"/>
      <c r="W403" s="334" t="n"/>
      <c r="X403" s="334" t="n"/>
      <c r="Y403" s="334" t="n"/>
    </row>
    <row r="404" ht="15" customHeight="1" s="195">
      <c r="A404" s="280" t="n"/>
      <c r="B404" s="280" t="n"/>
      <c r="C404" s="280" t="n"/>
      <c r="D404" s="280" t="n"/>
      <c r="E404" s="280" t="n"/>
      <c r="F404" s="280" t="n"/>
      <c r="G404" s="280" t="n"/>
      <c r="H404" s="280" t="n"/>
      <c r="I404" s="332">
        <f>IFERROR(VLOOKUP(TEXT(H404,"0"),IPRESS!$A$3:$B$212,2,0),"")</f>
        <v/>
      </c>
      <c r="J404" s="280" t="n"/>
      <c r="K404" s="332">
        <f>IFERROR(VLOOKUP(TEXT(O404,"0"),CONDUCTORES!$A$3:$G$54,7,0),"")</f>
        <v/>
      </c>
      <c r="L404" s="280" t="n"/>
      <c r="M404" s="280" t="n"/>
      <c r="N404" s="333">
        <f>IFERROR(IF(L404*M404=0,"",L404*M404),"")</f>
        <v/>
      </c>
      <c r="O404" s="280" t="n"/>
      <c r="P404" s="332">
        <f>IFERROR(VLOOKUP(TEXT(O404,"0"),CONDUCTORES!$A$3:$G$54,2,0),"")</f>
        <v/>
      </c>
      <c r="Q404" s="332">
        <f>IFERROR(VLOOKUP(TEXT(O404,"0"),CONDUCTORES!$A$3:$H$54,6,0),"")</f>
        <v/>
      </c>
      <c r="R404" s="280" t="n"/>
      <c r="S404" s="280" t="n"/>
      <c r="T404" s="280" t="n"/>
      <c r="U404" s="280" t="n"/>
      <c r="V404" s="280" t="n"/>
      <c r="W404" s="280" t="n"/>
      <c r="X404" s="280" t="n"/>
      <c r="Y404" s="280" t="n"/>
    </row>
    <row r="405" ht="15" customHeight="1" s="195">
      <c r="A405" s="334" t="n"/>
      <c r="B405" s="334" t="n"/>
      <c r="C405" s="334" t="n"/>
      <c r="D405" s="334" t="n"/>
      <c r="E405" s="334" t="n"/>
      <c r="F405" s="334" t="n"/>
      <c r="G405" s="334" t="n"/>
      <c r="H405" s="334" t="n"/>
      <c r="I405" s="332">
        <f>IFERROR(VLOOKUP(TEXT(H405,"0"),IPRESS!$A$3:$B$212,2,0),"")</f>
        <v/>
      </c>
      <c r="J405" s="334" t="n"/>
      <c r="K405" s="332">
        <f>IFERROR(VLOOKUP(TEXT(O405,"0"),CONDUCTORES!$A$3:$G$54,7,0),"")</f>
        <v/>
      </c>
      <c r="L405" s="334" t="n"/>
      <c r="M405" s="334" t="n"/>
      <c r="N405" s="333">
        <f>IFERROR(IF(L405*M405=0,"",L405*M405),"")</f>
        <v/>
      </c>
      <c r="O405" s="334" t="n"/>
      <c r="P405" s="332">
        <f>IFERROR(VLOOKUP(TEXT(O405,"0"),CONDUCTORES!$A$3:$G$54,2,0),"")</f>
        <v/>
      </c>
      <c r="Q405" s="332">
        <f>IFERROR(VLOOKUP(TEXT(O405,"0"),CONDUCTORES!$A$3:$H$54,6,0),"")</f>
        <v/>
      </c>
      <c r="R405" s="334" t="n"/>
      <c r="S405" s="334" t="n"/>
      <c r="T405" s="334" t="n"/>
      <c r="U405" s="334" t="n"/>
      <c r="V405" s="334" t="n"/>
      <c r="W405" s="334" t="n"/>
      <c r="X405" s="334" t="n"/>
      <c r="Y405" s="334" t="n"/>
    </row>
    <row r="406" ht="15" customHeight="1" s="195">
      <c r="A406" s="280" t="n"/>
      <c r="B406" s="280" t="n"/>
      <c r="C406" s="280" t="n"/>
      <c r="D406" s="280" t="n"/>
      <c r="E406" s="280" t="n"/>
      <c r="F406" s="280" t="n"/>
      <c r="G406" s="280" t="n"/>
      <c r="H406" s="280" t="n"/>
      <c r="I406" s="332">
        <f>IFERROR(VLOOKUP(TEXT(H406,"0"),IPRESS!$A$3:$B$212,2,0),"")</f>
        <v/>
      </c>
      <c r="J406" s="280" t="n"/>
      <c r="K406" s="332">
        <f>IFERROR(VLOOKUP(TEXT(O406,"0"),CONDUCTORES!$A$3:$G$54,7,0),"")</f>
        <v/>
      </c>
      <c r="L406" s="280" t="n"/>
      <c r="M406" s="280" t="n"/>
      <c r="N406" s="333">
        <f>IFERROR(IF(L406*M406=0,"",L406*M406),"")</f>
        <v/>
      </c>
      <c r="O406" s="280" t="n"/>
      <c r="P406" s="332">
        <f>IFERROR(VLOOKUP(TEXT(O406,"0"),CONDUCTORES!$A$3:$G$54,2,0),"")</f>
        <v/>
      </c>
      <c r="Q406" s="332">
        <f>IFERROR(VLOOKUP(TEXT(O406,"0"),CONDUCTORES!$A$3:$H$54,6,0),"")</f>
        <v/>
      </c>
      <c r="R406" s="280" t="n"/>
      <c r="S406" s="280" t="n"/>
      <c r="T406" s="280" t="n"/>
      <c r="U406" s="280" t="n"/>
      <c r="V406" s="280" t="n"/>
      <c r="W406" s="280" t="n"/>
      <c r="X406" s="280" t="n"/>
      <c r="Y406" s="280" t="n"/>
    </row>
    <row r="407" ht="15" customHeight="1" s="195">
      <c r="A407" s="334" t="n"/>
      <c r="B407" s="334" t="n"/>
      <c r="C407" s="334" t="n"/>
      <c r="D407" s="334" t="n"/>
      <c r="E407" s="334" t="n"/>
      <c r="F407" s="334" t="n"/>
      <c r="G407" s="334" t="n"/>
      <c r="H407" s="334" t="n"/>
      <c r="I407" s="332">
        <f>IFERROR(VLOOKUP(TEXT(H407,"0"),IPRESS!$A$3:$B$212,2,0),"")</f>
        <v/>
      </c>
      <c r="J407" s="334" t="n"/>
      <c r="K407" s="332">
        <f>IFERROR(VLOOKUP(TEXT(O407,"0"),CONDUCTORES!$A$3:$G$54,7,0),"")</f>
        <v/>
      </c>
      <c r="L407" s="334" t="n"/>
      <c r="M407" s="334" t="n"/>
      <c r="N407" s="333">
        <f>IFERROR(IF(L407*M407=0,"",L407*M407),"")</f>
        <v/>
      </c>
      <c r="O407" s="334" t="n"/>
      <c r="P407" s="332">
        <f>IFERROR(VLOOKUP(TEXT(O407,"0"),CONDUCTORES!$A$3:$G$54,2,0),"")</f>
        <v/>
      </c>
      <c r="Q407" s="332">
        <f>IFERROR(VLOOKUP(TEXT(O407,"0"),CONDUCTORES!$A$3:$H$54,6,0),"")</f>
        <v/>
      </c>
      <c r="R407" s="334" t="n"/>
      <c r="S407" s="334" t="n"/>
      <c r="T407" s="334" t="n"/>
      <c r="U407" s="334" t="n"/>
      <c r="V407" s="334" t="n"/>
      <c r="W407" s="334" t="n"/>
      <c r="X407" s="334" t="n"/>
      <c r="Y407" s="334" t="n"/>
    </row>
    <row r="408" ht="15" customHeight="1" s="195">
      <c r="A408" s="280" t="n"/>
      <c r="B408" s="280" t="n"/>
      <c r="C408" s="280" t="n"/>
      <c r="D408" s="280" t="n"/>
      <c r="E408" s="280" t="n"/>
      <c r="F408" s="280" t="n"/>
      <c r="G408" s="280" t="n"/>
      <c r="H408" s="280" t="n"/>
      <c r="I408" s="332">
        <f>IFERROR(VLOOKUP(TEXT(H408,"0"),IPRESS!$A$3:$B$212,2,0),"")</f>
        <v/>
      </c>
      <c r="J408" s="280" t="n"/>
      <c r="K408" s="332">
        <f>IFERROR(VLOOKUP(TEXT(O408,"0"),CONDUCTORES!$A$3:$G$54,7,0),"")</f>
        <v/>
      </c>
      <c r="L408" s="280" t="n"/>
      <c r="M408" s="280" t="n"/>
      <c r="N408" s="333">
        <f>IFERROR(IF(L408*M408=0,"",L408*M408),"")</f>
        <v/>
      </c>
      <c r="O408" s="280" t="n"/>
      <c r="P408" s="332">
        <f>IFERROR(VLOOKUP(TEXT(O408,"0"),CONDUCTORES!$A$3:$G$54,2,0),"")</f>
        <v/>
      </c>
      <c r="Q408" s="332">
        <f>IFERROR(VLOOKUP(TEXT(O408,"0"),CONDUCTORES!$A$3:$H$54,6,0),"")</f>
        <v/>
      </c>
      <c r="R408" s="280" t="n"/>
      <c r="S408" s="280" t="n"/>
      <c r="T408" s="280" t="n"/>
      <c r="U408" s="280" t="n"/>
      <c r="V408" s="280" t="n"/>
      <c r="W408" s="280" t="n"/>
      <c r="X408" s="280" t="n"/>
      <c r="Y408" s="280" t="n"/>
    </row>
    <row r="409" ht="15" customHeight="1" s="195">
      <c r="A409" s="334" t="n"/>
      <c r="B409" s="334" t="n"/>
      <c r="C409" s="334" t="n"/>
      <c r="D409" s="334" t="n"/>
      <c r="E409" s="334" t="n"/>
      <c r="F409" s="334" t="n"/>
      <c r="G409" s="334" t="n"/>
      <c r="H409" s="334" t="n"/>
      <c r="I409" s="332">
        <f>IFERROR(VLOOKUP(TEXT(H409,"0"),IPRESS!$A$3:$B$212,2,0),"")</f>
        <v/>
      </c>
      <c r="J409" s="334" t="n"/>
      <c r="K409" s="332">
        <f>IFERROR(VLOOKUP(TEXT(O409,"0"),CONDUCTORES!$A$3:$G$54,7,0),"")</f>
        <v/>
      </c>
      <c r="L409" s="334" t="n"/>
      <c r="M409" s="334" t="n"/>
      <c r="N409" s="333">
        <f>IFERROR(IF(L409*M409=0,"",L409*M409),"")</f>
        <v/>
      </c>
      <c r="O409" s="334" t="n"/>
      <c r="P409" s="332">
        <f>IFERROR(VLOOKUP(TEXT(O409,"0"),CONDUCTORES!$A$3:$G$54,2,0),"")</f>
        <v/>
      </c>
      <c r="Q409" s="332">
        <f>IFERROR(VLOOKUP(TEXT(O409,"0"),CONDUCTORES!$A$3:$H$54,6,0),"")</f>
        <v/>
      </c>
      <c r="R409" s="334" t="n"/>
      <c r="S409" s="334" t="n"/>
      <c r="T409" s="334" t="n"/>
      <c r="U409" s="334" t="n"/>
      <c r="V409" s="334" t="n"/>
      <c r="W409" s="334" t="n"/>
      <c r="X409" s="334" t="n"/>
      <c r="Y409" s="334" t="n"/>
    </row>
    <row r="410" ht="15" customHeight="1" s="195">
      <c r="A410" s="280" t="n"/>
      <c r="B410" s="280" t="n"/>
      <c r="C410" s="280" t="n"/>
      <c r="D410" s="280" t="n"/>
      <c r="E410" s="280" t="n"/>
      <c r="F410" s="280" t="n"/>
      <c r="G410" s="280" t="n"/>
      <c r="H410" s="280" t="n"/>
      <c r="I410" s="332">
        <f>IFERROR(VLOOKUP(TEXT(H410,"0"),IPRESS!$A$3:$B$212,2,0),"")</f>
        <v/>
      </c>
      <c r="J410" s="280" t="n"/>
      <c r="K410" s="332">
        <f>IFERROR(VLOOKUP(TEXT(O410,"0"),CONDUCTORES!$A$3:$G$54,7,0),"")</f>
        <v/>
      </c>
      <c r="L410" s="280" t="n"/>
      <c r="M410" s="280" t="n"/>
      <c r="N410" s="333">
        <f>IFERROR(IF(L410*M410=0,"",L410*M410),"")</f>
        <v/>
      </c>
      <c r="O410" s="280" t="n"/>
      <c r="P410" s="332">
        <f>IFERROR(VLOOKUP(TEXT(O410,"0"),CONDUCTORES!$A$3:$G$54,2,0),"")</f>
        <v/>
      </c>
      <c r="Q410" s="332">
        <f>IFERROR(VLOOKUP(TEXT(O410,"0"),CONDUCTORES!$A$3:$H$54,6,0),"")</f>
        <v/>
      </c>
      <c r="R410" s="280" t="n"/>
      <c r="S410" s="280" t="n"/>
      <c r="T410" s="280" t="n"/>
      <c r="U410" s="280" t="n"/>
      <c r="V410" s="280" t="n"/>
      <c r="W410" s="280" t="n"/>
      <c r="X410" s="280" t="n"/>
      <c r="Y410" s="280" t="n"/>
    </row>
    <row r="411" ht="15" customHeight="1" s="195">
      <c r="A411" s="334" t="n"/>
      <c r="B411" s="334" t="n"/>
      <c r="C411" s="334" t="n"/>
      <c r="D411" s="334" t="n"/>
      <c r="E411" s="334" t="n"/>
      <c r="F411" s="334" t="n"/>
      <c r="G411" s="334" t="n"/>
      <c r="H411" s="334" t="n"/>
      <c r="I411" s="332">
        <f>IFERROR(VLOOKUP(TEXT(H411,"0"),IPRESS!$A$3:$B$212,2,0),"")</f>
        <v/>
      </c>
      <c r="J411" s="334" t="n"/>
      <c r="K411" s="332">
        <f>IFERROR(VLOOKUP(TEXT(O411,"0"),CONDUCTORES!$A$3:$G$54,7,0),"")</f>
        <v/>
      </c>
      <c r="L411" s="334" t="n"/>
      <c r="M411" s="334" t="n"/>
      <c r="N411" s="333">
        <f>IFERROR(IF(L411*M411=0,"",L411*M411),"")</f>
        <v/>
      </c>
      <c r="O411" s="334" t="n"/>
      <c r="P411" s="332">
        <f>IFERROR(VLOOKUP(TEXT(O411,"0"),CONDUCTORES!$A$3:$G$54,2,0),"")</f>
        <v/>
      </c>
      <c r="Q411" s="332">
        <f>IFERROR(VLOOKUP(TEXT(O411,"0"),CONDUCTORES!$A$3:$H$54,6,0),"")</f>
        <v/>
      </c>
      <c r="R411" s="334" t="n"/>
      <c r="S411" s="334" t="n"/>
      <c r="T411" s="334" t="n"/>
      <c r="U411" s="334" t="n"/>
      <c r="V411" s="334" t="n"/>
      <c r="W411" s="334" t="n"/>
      <c r="X411" s="334" t="n"/>
      <c r="Y411" s="334" t="n"/>
    </row>
    <row r="412" ht="15" customHeight="1" s="195">
      <c r="A412" s="280" t="n"/>
      <c r="B412" s="280" t="n"/>
      <c r="C412" s="280" t="n"/>
      <c r="D412" s="280" t="n"/>
      <c r="E412" s="280" t="n"/>
      <c r="F412" s="280" t="n"/>
      <c r="G412" s="280" t="n"/>
      <c r="H412" s="280" t="n"/>
      <c r="I412" s="332">
        <f>IFERROR(VLOOKUP(TEXT(H412,"0"),IPRESS!$A$3:$B$212,2,0),"")</f>
        <v/>
      </c>
      <c r="J412" s="280" t="n"/>
      <c r="K412" s="332">
        <f>IFERROR(VLOOKUP(TEXT(O412,"0"),CONDUCTORES!$A$3:$G$54,7,0),"")</f>
        <v/>
      </c>
      <c r="L412" s="280" t="n"/>
      <c r="M412" s="280" t="n"/>
      <c r="N412" s="333">
        <f>IFERROR(IF(L412*M412=0,"",L412*M412),"")</f>
        <v/>
      </c>
      <c r="O412" s="280" t="n"/>
      <c r="P412" s="332">
        <f>IFERROR(VLOOKUP(TEXT(O412,"0"),CONDUCTORES!$A$3:$G$54,2,0),"")</f>
        <v/>
      </c>
      <c r="Q412" s="332">
        <f>IFERROR(VLOOKUP(TEXT(O412,"0"),CONDUCTORES!$A$3:$H$54,6,0),"")</f>
        <v/>
      </c>
      <c r="R412" s="280" t="n"/>
      <c r="S412" s="280" t="n"/>
      <c r="T412" s="280" t="n"/>
      <c r="U412" s="280" t="n"/>
      <c r="V412" s="280" t="n"/>
      <c r="W412" s="280" t="n"/>
      <c r="X412" s="280" t="n"/>
      <c r="Y412" s="280" t="n"/>
    </row>
    <row r="413" ht="15" customHeight="1" s="195">
      <c r="A413" s="334" t="n"/>
      <c r="B413" s="334" t="n"/>
      <c r="C413" s="334" t="n"/>
      <c r="D413" s="334" t="n"/>
      <c r="E413" s="334" t="n"/>
      <c r="F413" s="334" t="n"/>
      <c r="G413" s="334" t="n"/>
      <c r="H413" s="334" t="n"/>
      <c r="I413" s="332">
        <f>IFERROR(VLOOKUP(TEXT(H413,"0"),IPRESS!$A$3:$B$212,2,0),"")</f>
        <v/>
      </c>
      <c r="J413" s="334" t="n"/>
      <c r="K413" s="332">
        <f>IFERROR(VLOOKUP(TEXT(O413,"0"),CONDUCTORES!$A$3:$G$54,7,0),"")</f>
        <v/>
      </c>
      <c r="L413" s="334" t="n"/>
      <c r="M413" s="334" t="n"/>
      <c r="N413" s="333">
        <f>IFERROR(IF(L413*M413=0,"",L413*M413),"")</f>
        <v/>
      </c>
      <c r="O413" s="334" t="n"/>
      <c r="P413" s="332">
        <f>IFERROR(VLOOKUP(TEXT(O413,"0"),CONDUCTORES!$A$3:$G$54,2,0),"")</f>
        <v/>
      </c>
      <c r="Q413" s="332">
        <f>IFERROR(VLOOKUP(TEXT(O413,"0"),CONDUCTORES!$A$3:$H$54,6,0),"")</f>
        <v/>
      </c>
      <c r="R413" s="334" t="n"/>
      <c r="S413" s="334" t="n"/>
      <c r="T413" s="334" t="n"/>
      <c r="U413" s="334" t="n"/>
      <c r="V413" s="334" t="n"/>
      <c r="W413" s="334" t="n"/>
      <c r="X413" s="334" t="n"/>
      <c r="Y413" s="334" t="n"/>
    </row>
    <row r="414" ht="15" customHeight="1" s="195">
      <c r="A414" s="280" t="n"/>
      <c r="B414" s="280" t="n"/>
      <c r="C414" s="280" t="n"/>
      <c r="D414" s="280" t="n"/>
      <c r="E414" s="280" t="n"/>
      <c r="F414" s="280" t="n"/>
      <c r="G414" s="280" t="n"/>
      <c r="H414" s="280" t="n"/>
      <c r="I414" s="332">
        <f>IFERROR(VLOOKUP(TEXT(H414,"0"),IPRESS!$A$3:$B$212,2,0),"")</f>
        <v/>
      </c>
      <c r="J414" s="280" t="n"/>
      <c r="K414" s="332">
        <f>IFERROR(VLOOKUP(TEXT(O414,"0"),CONDUCTORES!$A$3:$G$54,7,0),"")</f>
        <v/>
      </c>
      <c r="L414" s="280" t="n"/>
      <c r="M414" s="280" t="n"/>
      <c r="N414" s="333">
        <f>IFERROR(IF(L414*M414=0,"",L414*M414),"")</f>
        <v/>
      </c>
      <c r="O414" s="280" t="n"/>
      <c r="P414" s="332">
        <f>IFERROR(VLOOKUP(TEXT(O414,"0"),CONDUCTORES!$A$3:$G$54,2,0),"")</f>
        <v/>
      </c>
      <c r="Q414" s="332">
        <f>IFERROR(VLOOKUP(TEXT(O414,"0"),CONDUCTORES!$A$3:$H$54,6,0),"")</f>
        <v/>
      </c>
      <c r="R414" s="280" t="n"/>
      <c r="S414" s="280" t="n"/>
      <c r="T414" s="280" t="n"/>
      <c r="U414" s="280" t="n"/>
      <c r="V414" s="280" t="n"/>
      <c r="W414" s="280" t="n"/>
      <c r="X414" s="280" t="n"/>
      <c r="Y414" s="280" t="n"/>
    </row>
    <row r="415" ht="15" customHeight="1" s="195">
      <c r="A415" s="334" t="n"/>
      <c r="B415" s="334" t="n"/>
      <c r="C415" s="334" t="n"/>
      <c r="D415" s="334" t="n"/>
      <c r="E415" s="334" t="n"/>
      <c r="F415" s="334" t="n"/>
      <c r="G415" s="334" t="n"/>
      <c r="H415" s="334" t="n"/>
      <c r="I415" s="332">
        <f>IFERROR(VLOOKUP(TEXT(H415,"0"),IPRESS!$A$3:$B$212,2,0),"")</f>
        <v/>
      </c>
      <c r="J415" s="334" t="n"/>
      <c r="K415" s="332">
        <f>IFERROR(VLOOKUP(TEXT(O415,"0"),CONDUCTORES!$A$3:$G$54,7,0),"")</f>
        <v/>
      </c>
      <c r="L415" s="334" t="n"/>
      <c r="M415" s="334" t="n"/>
      <c r="N415" s="333">
        <f>IFERROR(IF(L415*M415=0,"",L415*M415),"")</f>
        <v/>
      </c>
      <c r="O415" s="334" t="n"/>
      <c r="P415" s="332">
        <f>IFERROR(VLOOKUP(TEXT(O415,"0"),CONDUCTORES!$A$3:$G$54,2,0),"")</f>
        <v/>
      </c>
      <c r="Q415" s="332">
        <f>IFERROR(VLOOKUP(TEXT(O415,"0"),CONDUCTORES!$A$3:$H$54,6,0),"")</f>
        <v/>
      </c>
      <c r="R415" s="334" t="n"/>
      <c r="S415" s="334" t="n"/>
      <c r="T415" s="334" t="n"/>
      <c r="U415" s="334" t="n"/>
      <c r="V415" s="334" t="n"/>
      <c r="W415" s="334" t="n"/>
      <c r="X415" s="334" t="n"/>
      <c r="Y415" s="334" t="n"/>
    </row>
    <row r="416" ht="15" customHeight="1" s="195">
      <c r="A416" s="280" t="n"/>
      <c r="B416" s="280" t="n"/>
      <c r="C416" s="280" t="n"/>
      <c r="D416" s="280" t="n"/>
      <c r="E416" s="280" t="n"/>
      <c r="F416" s="280" t="n"/>
      <c r="G416" s="280" t="n"/>
      <c r="H416" s="280" t="n"/>
      <c r="I416" s="332">
        <f>IFERROR(VLOOKUP(TEXT(H416,"0"),IPRESS!$A$3:$B$212,2,0),"")</f>
        <v/>
      </c>
      <c r="J416" s="280" t="n"/>
      <c r="K416" s="332">
        <f>IFERROR(VLOOKUP(TEXT(O416,"0"),CONDUCTORES!$A$3:$G$54,7,0),"")</f>
        <v/>
      </c>
      <c r="L416" s="280" t="n"/>
      <c r="M416" s="280" t="n"/>
      <c r="N416" s="333">
        <f>IFERROR(IF(L416*M416=0,"",L416*M416),"")</f>
        <v/>
      </c>
      <c r="O416" s="280" t="n"/>
      <c r="P416" s="332">
        <f>IFERROR(VLOOKUP(TEXT(O416,"0"),CONDUCTORES!$A$3:$G$54,2,0),"")</f>
        <v/>
      </c>
      <c r="Q416" s="332">
        <f>IFERROR(VLOOKUP(TEXT(O416,"0"),CONDUCTORES!$A$3:$H$54,6,0),"")</f>
        <v/>
      </c>
      <c r="R416" s="280" t="n"/>
      <c r="S416" s="280" t="n"/>
      <c r="T416" s="280" t="n"/>
      <c r="U416" s="280" t="n"/>
      <c r="V416" s="280" t="n"/>
      <c r="W416" s="280" t="n"/>
      <c r="X416" s="280" t="n"/>
      <c r="Y416" s="280" t="n"/>
    </row>
    <row r="417" ht="15" customHeight="1" s="195">
      <c r="A417" s="334" t="n"/>
      <c r="B417" s="334" t="n"/>
      <c r="C417" s="334" t="n"/>
      <c r="D417" s="334" t="n"/>
      <c r="E417" s="334" t="n"/>
      <c r="F417" s="334" t="n"/>
      <c r="G417" s="334" t="n"/>
      <c r="H417" s="334" t="n"/>
      <c r="I417" s="332">
        <f>IFERROR(VLOOKUP(TEXT(H417,"0"),IPRESS!$A$3:$B$212,2,0),"")</f>
        <v/>
      </c>
      <c r="J417" s="334" t="n"/>
      <c r="K417" s="332">
        <f>IFERROR(VLOOKUP(TEXT(O417,"0"),CONDUCTORES!$A$3:$G$54,7,0),"")</f>
        <v/>
      </c>
      <c r="L417" s="334" t="n"/>
      <c r="M417" s="334" t="n"/>
      <c r="N417" s="333">
        <f>IFERROR(IF(L417*M417=0,"",L417*M417),"")</f>
        <v/>
      </c>
      <c r="O417" s="334" t="n"/>
      <c r="P417" s="332">
        <f>IFERROR(VLOOKUP(TEXT(O417,"0"),CONDUCTORES!$A$3:$G$54,2,0),"")</f>
        <v/>
      </c>
      <c r="Q417" s="332">
        <f>IFERROR(VLOOKUP(TEXT(O417,"0"),CONDUCTORES!$A$3:$H$54,6,0),"")</f>
        <v/>
      </c>
      <c r="R417" s="334" t="n"/>
      <c r="S417" s="334" t="n"/>
      <c r="T417" s="334" t="n"/>
      <c r="U417" s="334" t="n"/>
      <c r="V417" s="334" t="n"/>
      <c r="W417" s="334" t="n"/>
      <c r="X417" s="334" t="n"/>
      <c r="Y417" s="334" t="n"/>
    </row>
    <row r="418" ht="15" customHeight="1" s="195">
      <c r="A418" s="280" t="n"/>
      <c r="B418" s="280" t="n"/>
      <c r="C418" s="280" t="n"/>
      <c r="D418" s="280" t="n"/>
      <c r="E418" s="280" t="n"/>
      <c r="F418" s="280" t="n"/>
      <c r="G418" s="280" t="n"/>
      <c r="H418" s="280" t="n"/>
      <c r="I418" s="332">
        <f>IFERROR(VLOOKUP(TEXT(H418,"0"),IPRESS!$A$3:$B$212,2,0),"")</f>
        <v/>
      </c>
      <c r="J418" s="280" t="n"/>
      <c r="K418" s="332">
        <f>IFERROR(VLOOKUP(TEXT(O418,"0"),CONDUCTORES!$A$3:$G$54,7,0),"")</f>
        <v/>
      </c>
      <c r="L418" s="280" t="n"/>
      <c r="M418" s="280" t="n"/>
      <c r="N418" s="333">
        <f>IFERROR(IF(L418*M418=0,"",L418*M418),"")</f>
        <v/>
      </c>
      <c r="O418" s="280" t="n"/>
      <c r="P418" s="332">
        <f>IFERROR(VLOOKUP(TEXT(O418,"0"),CONDUCTORES!$A$3:$G$54,2,0),"")</f>
        <v/>
      </c>
      <c r="Q418" s="332">
        <f>IFERROR(VLOOKUP(TEXT(O418,"0"),CONDUCTORES!$A$3:$H$54,6,0),"")</f>
        <v/>
      </c>
      <c r="R418" s="280" t="n"/>
      <c r="S418" s="280" t="n"/>
      <c r="T418" s="280" t="n"/>
      <c r="U418" s="280" t="n"/>
      <c r="V418" s="280" t="n"/>
      <c r="W418" s="280" t="n"/>
      <c r="X418" s="280" t="n"/>
      <c r="Y418" s="280" t="n"/>
    </row>
    <row r="419" ht="15" customHeight="1" s="195">
      <c r="A419" s="334" t="n"/>
      <c r="B419" s="334" t="n"/>
      <c r="C419" s="334" t="n"/>
      <c r="D419" s="334" t="n"/>
      <c r="E419" s="334" t="n"/>
      <c r="F419" s="334" t="n"/>
      <c r="G419" s="334" t="n"/>
      <c r="H419" s="334" t="n"/>
      <c r="I419" s="332">
        <f>IFERROR(VLOOKUP(TEXT(H419,"0"),IPRESS!$A$3:$B$212,2,0),"")</f>
        <v/>
      </c>
      <c r="J419" s="334" t="n"/>
      <c r="K419" s="332">
        <f>IFERROR(VLOOKUP(TEXT(O419,"0"),CONDUCTORES!$A$3:$G$54,7,0),"")</f>
        <v/>
      </c>
      <c r="L419" s="334" t="n"/>
      <c r="M419" s="334" t="n"/>
      <c r="N419" s="333">
        <f>IFERROR(IF(L419*M419=0,"",L419*M419),"")</f>
        <v/>
      </c>
      <c r="O419" s="334" t="n"/>
      <c r="P419" s="332">
        <f>IFERROR(VLOOKUP(TEXT(O419,"0"),CONDUCTORES!$A$3:$G$54,2,0),"")</f>
        <v/>
      </c>
      <c r="Q419" s="332">
        <f>IFERROR(VLOOKUP(TEXT(O419,"0"),CONDUCTORES!$A$3:$H$54,6,0),"")</f>
        <v/>
      </c>
      <c r="R419" s="334" t="n"/>
      <c r="S419" s="334" t="n"/>
      <c r="T419" s="334" t="n"/>
      <c r="U419" s="334" t="n"/>
      <c r="V419" s="334" t="n"/>
      <c r="W419" s="334" t="n"/>
      <c r="X419" s="334" t="n"/>
      <c r="Y419" s="334" t="n"/>
    </row>
    <row r="420" ht="15" customHeight="1" s="195">
      <c r="A420" s="280" t="n"/>
      <c r="B420" s="280" t="n"/>
      <c r="C420" s="280" t="n"/>
      <c r="D420" s="280" t="n"/>
      <c r="E420" s="280" t="n"/>
      <c r="F420" s="280" t="n"/>
      <c r="G420" s="280" t="n"/>
      <c r="H420" s="280" t="n"/>
      <c r="I420" s="332">
        <f>IFERROR(VLOOKUP(TEXT(H420,"0"),IPRESS!$A$3:$B$212,2,0),"")</f>
        <v/>
      </c>
      <c r="J420" s="280" t="n"/>
      <c r="K420" s="332">
        <f>IFERROR(VLOOKUP(TEXT(O420,"0"),CONDUCTORES!$A$3:$G$54,7,0),"")</f>
        <v/>
      </c>
      <c r="L420" s="280" t="n"/>
      <c r="M420" s="280" t="n"/>
      <c r="N420" s="333">
        <f>IFERROR(IF(L420*M420=0,"",L420*M420),"")</f>
        <v/>
      </c>
      <c r="O420" s="280" t="n"/>
      <c r="P420" s="332">
        <f>IFERROR(VLOOKUP(TEXT(O420,"0"),CONDUCTORES!$A$3:$G$54,2,0),"")</f>
        <v/>
      </c>
      <c r="Q420" s="332">
        <f>IFERROR(VLOOKUP(TEXT(O420,"0"),CONDUCTORES!$A$3:$H$54,6,0),"")</f>
        <v/>
      </c>
      <c r="R420" s="280" t="n"/>
      <c r="S420" s="280" t="n"/>
      <c r="T420" s="280" t="n"/>
      <c r="U420" s="280" t="n"/>
      <c r="V420" s="280" t="n"/>
      <c r="W420" s="280" t="n"/>
      <c r="X420" s="280" t="n"/>
      <c r="Y420" s="280" t="n"/>
    </row>
    <row r="421" ht="15" customHeight="1" s="195">
      <c r="A421" s="334" t="n"/>
      <c r="B421" s="334" t="n"/>
      <c r="C421" s="334" t="n"/>
      <c r="D421" s="334" t="n"/>
      <c r="E421" s="334" t="n"/>
      <c r="F421" s="334" t="n"/>
      <c r="G421" s="334" t="n"/>
      <c r="H421" s="334" t="n"/>
      <c r="I421" s="332">
        <f>IFERROR(VLOOKUP(TEXT(H421,"0"),IPRESS!$A$3:$B$212,2,0),"")</f>
        <v/>
      </c>
      <c r="J421" s="334" t="n"/>
      <c r="K421" s="332">
        <f>IFERROR(VLOOKUP(TEXT(O421,"0"),CONDUCTORES!$A$3:$G$54,7,0),"")</f>
        <v/>
      </c>
      <c r="L421" s="334" t="n"/>
      <c r="M421" s="334" t="n"/>
      <c r="N421" s="333">
        <f>IFERROR(IF(L421*M421=0,"",L421*M421),"")</f>
        <v/>
      </c>
      <c r="O421" s="334" t="n"/>
      <c r="P421" s="332">
        <f>IFERROR(VLOOKUP(TEXT(O421,"0"),CONDUCTORES!$A$3:$G$54,2,0),"")</f>
        <v/>
      </c>
      <c r="Q421" s="332">
        <f>IFERROR(VLOOKUP(TEXT(O421,"0"),CONDUCTORES!$A$3:$H$54,6,0),"")</f>
        <v/>
      </c>
      <c r="R421" s="334" t="n"/>
      <c r="S421" s="334" t="n"/>
      <c r="T421" s="334" t="n"/>
      <c r="U421" s="334" t="n"/>
      <c r="V421" s="334" t="n"/>
      <c r="W421" s="334" t="n"/>
      <c r="X421" s="334" t="n"/>
      <c r="Y421" s="334" t="n"/>
    </row>
    <row r="422" ht="15" customHeight="1" s="195">
      <c r="A422" s="280" t="n"/>
      <c r="B422" s="280" t="n"/>
      <c r="C422" s="280" t="n"/>
      <c r="D422" s="280" t="n"/>
      <c r="E422" s="280" t="n"/>
      <c r="F422" s="280" t="n"/>
      <c r="G422" s="280" t="n"/>
      <c r="H422" s="280" t="n"/>
      <c r="I422" s="332">
        <f>IFERROR(VLOOKUP(TEXT(H422,"0"),IPRESS!$A$3:$B$212,2,0),"")</f>
        <v/>
      </c>
      <c r="J422" s="280" t="n"/>
      <c r="K422" s="332">
        <f>IFERROR(VLOOKUP(TEXT(O422,"0"),CONDUCTORES!$A$3:$G$54,7,0),"")</f>
        <v/>
      </c>
      <c r="L422" s="280" t="n"/>
      <c r="M422" s="280" t="n"/>
      <c r="N422" s="333">
        <f>IFERROR(IF(L422*M422=0,"",L422*M422),"")</f>
        <v/>
      </c>
      <c r="O422" s="280" t="n"/>
      <c r="P422" s="332">
        <f>IFERROR(VLOOKUP(TEXT(O422,"0"),CONDUCTORES!$A$3:$G$54,2,0),"")</f>
        <v/>
      </c>
      <c r="Q422" s="332">
        <f>IFERROR(VLOOKUP(TEXT(O422,"0"),CONDUCTORES!$A$3:$H$54,6,0),"")</f>
        <v/>
      </c>
      <c r="R422" s="280" t="n"/>
      <c r="S422" s="280" t="n"/>
      <c r="T422" s="280" t="n"/>
      <c r="U422" s="280" t="n"/>
      <c r="V422" s="280" t="n"/>
      <c r="W422" s="280" t="n"/>
      <c r="X422" s="280" t="n"/>
      <c r="Y422" s="280" t="n"/>
    </row>
    <row r="423" ht="15" customHeight="1" s="195">
      <c r="A423" s="334" t="n"/>
      <c r="B423" s="334" t="n"/>
      <c r="C423" s="334" t="n"/>
      <c r="D423" s="334" t="n"/>
      <c r="E423" s="334" t="n"/>
      <c r="F423" s="334" t="n"/>
      <c r="G423" s="334" t="n"/>
      <c r="H423" s="334" t="n"/>
      <c r="I423" s="332">
        <f>IFERROR(VLOOKUP(TEXT(H423,"0"),IPRESS!$A$3:$B$212,2,0),"")</f>
        <v/>
      </c>
      <c r="J423" s="334" t="n"/>
      <c r="K423" s="332">
        <f>IFERROR(VLOOKUP(TEXT(O423,"0"),CONDUCTORES!$A$3:$G$54,7,0),"")</f>
        <v/>
      </c>
      <c r="L423" s="334" t="n"/>
      <c r="M423" s="334" t="n"/>
      <c r="N423" s="333">
        <f>IFERROR(IF(L423*M423=0,"",L423*M423),"")</f>
        <v/>
      </c>
      <c r="O423" s="334" t="n"/>
      <c r="P423" s="332">
        <f>IFERROR(VLOOKUP(TEXT(O423,"0"),CONDUCTORES!$A$3:$G$54,2,0),"")</f>
        <v/>
      </c>
      <c r="Q423" s="332">
        <f>IFERROR(VLOOKUP(TEXT(O423,"0"),CONDUCTORES!$A$3:$H$54,6,0),"")</f>
        <v/>
      </c>
      <c r="R423" s="334" t="n"/>
      <c r="S423" s="334" t="n"/>
      <c r="T423" s="334" t="n"/>
      <c r="U423" s="334" t="n"/>
      <c r="V423" s="334" t="n"/>
      <c r="W423" s="334" t="n"/>
      <c r="X423" s="334" t="n"/>
      <c r="Y423" s="334" t="n"/>
    </row>
    <row r="424" ht="15" customHeight="1" s="195">
      <c r="A424" s="280" t="n"/>
      <c r="B424" s="280" t="n"/>
      <c r="C424" s="280" t="n"/>
      <c r="D424" s="280" t="n"/>
      <c r="E424" s="280" t="n"/>
      <c r="F424" s="280" t="n"/>
      <c r="G424" s="280" t="n"/>
      <c r="H424" s="280" t="n"/>
      <c r="I424" s="332">
        <f>IFERROR(VLOOKUP(TEXT(H424,"0"),IPRESS!$A$3:$B$212,2,0),"")</f>
        <v/>
      </c>
      <c r="J424" s="280" t="n"/>
      <c r="K424" s="332">
        <f>IFERROR(VLOOKUP(TEXT(O424,"0"),CONDUCTORES!$A$3:$G$54,7,0),"")</f>
        <v/>
      </c>
      <c r="L424" s="280" t="n"/>
      <c r="M424" s="280" t="n"/>
      <c r="N424" s="333">
        <f>IFERROR(IF(L424*M424=0,"",L424*M424),"")</f>
        <v/>
      </c>
      <c r="O424" s="280" t="n"/>
      <c r="P424" s="332">
        <f>IFERROR(VLOOKUP(TEXT(O424,"0"),CONDUCTORES!$A$3:$G$54,2,0),"")</f>
        <v/>
      </c>
      <c r="Q424" s="332">
        <f>IFERROR(VLOOKUP(TEXT(O424,"0"),CONDUCTORES!$A$3:$H$54,6,0),"")</f>
        <v/>
      </c>
      <c r="R424" s="280" t="n"/>
      <c r="S424" s="280" t="n"/>
      <c r="T424" s="280" t="n"/>
      <c r="U424" s="280" t="n"/>
      <c r="V424" s="280" t="n"/>
      <c r="W424" s="280" t="n"/>
      <c r="X424" s="280" t="n"/>
      <c r="Y424" s="280" t="n"/>
    </row>
    <row r="425" ht="15" customHeight="1" s="195">
      <c r="A425" s="334" t="n"/>
      <c r="B425" s="334" t="n"/>
      <c r="C425" s="334" t="n"/>
      <c r="D425" s="334" t="n"/>
      <c r="E425" s="334" t="n"/>
      <c r="F425" s="334" t="n"/>
      <c r="G425" s="334" t="n"/>
      <c r="H425" s="334" t="n"/>
      <c r="I425" s="332">
        <f>IFERROR(VLOOKUP(TEXT(H425,"0"),IPRESS!$A$3:$B$212,2,0),"")</f>
        <v/>
      </c>
      <c r="J425" s="334" t="n"/>
      <c r="K425" s="332">
        <f>IFERROR(VLOOKUP(TEXT(O425,"0"),CONDUCTORES!$A$3:$G$54,7,0),"")</f>
        <v/>
      </c>
      <c r="L425" s="334" t="n"/>
      <c r="M425" s="334" t="n"/>
      <c r="N425" s="333">
        <f>IFERROR(IF(L425*M425=0,"",L425*M425),"")</f>
        <v/>
      </c>
      <c r="O425" s="334" t="n"/>
      <c r="P425" s="332">
        <f>IFERROR(VLOOKUP(TEXT(O425,"0"),CONDUCTORES!$A$3:$G$54,2,0),"")</f>
        <v/>
      </c>
      <c r="Q425" s="332">
        <f>IFERROR(VLOOKUP(TEXT(O425,"0"),CONDUCTORES!$A$3:$H$54,6,0),"")</f>
        <v/>
      </c>
      <c r="R425" s="334" t="n"/>
      <c r="S425" s="334" t="n"/>
      <c r="T425" s="334" t="n"/>
      <c r="U425" s="334" t="n"/>
      <c r="V425" s="334" t="n"/>
      <c r="W425" s="334" t="n"/>
      <c r="X425" s="334" t="n"/>
      <c r="Y425" s="334" t="n"/>
    </row>
    <row r="426" ht="15" customHeight="1" s="195">
      <c r="A426" s="280" t="n"/>
      <c r="B426" s="280" t="n"/>
      <c r="C426" s="280" t="n"/>
      <c r="D426" s="280" t="n"/>
      <c r="E426" s="280" t="n"/>
      <c r="F426" s="280" t="n"/>
      <c r="G426" s="280" t="n"/>
      <c r="H426" s="280" t="n"/>
      <c r="I426" s="332">
        <f>IFERROR(VLOOKUP(TEXT(H426,"0"),IPRESS!$A$3:$B$212,2,0),"")</f>
        <v/>
      </c>
      <c r="J426" s="280" t="n"/>
      <c r="K426" s="332">
        <f>IFERROR(VLOOKUP(TEXT(O426,"0"),CONDUCTORES!$A$3:$G$54,7,0),"")</f>
        <v/>
      </c>
      <c r="L426" s="280" t="n"/>
      <c r="M426" s="280" t="n"/>
      <c r="N426" s="333">
        <f>IFERROR(IF(L426*M426=0,"",L426*M426),"")</f>
        <v/>
      </c>
      <c r="O426" s="280" t="n"/>
      <c r="P426" s="332">
        <f>IFERROR(VLOOKUP(TEXT(O426,"0"),CONDUCTORES!$A$3:$G$54,2,0),"")</f>
        <v/>
      </c>
      <c r="Q426" s="332">
        <f>IFERROR(VLOOKUP(TEXT(O426,"0"),CONDUCTORES!$A$3:$H$54,6,0),"")</f>
        <v/>
      </c>
      <c r="R426" s="280" t="n"/>
      <c r="S426" s="280" t="n"/>
      <c r="T426" s="280" t="n"/>
      <c r="U426" s="280" t="n"/>
      <c r="V426" s="280" t="n"/>
      <c r="W426" s="280" t="n"/>
      <c r="X426" s="280" t="n"/>
      <c r="Y426" s="280" t="n"/>
    </row>
    <row r="427" ht="15" customHeight="1" s="195">
      <c r="A427" s="334" t="n"/>
      <c r="B427" s="334" t="n"/>
      <c r="C427" s="334" t="n"/>
      <c r="D427" s="334" t="n"/>
      <c r="E427" s="334" t="n"/>
      <c r="F427" s="334" t="n"/>
      <c r="G427" s="334" t="n"/>
      <c r="H427" s="334" t="n"/>
      <c r="I427" s="332">
        <f>IFERROR(VLOOKUP(TEXT(H427,"0"),IPRESS!$A$3:$B$212,2,0),"")</f>
        <v/>
      </c>
      <c r="J427" s="334" t="n"/>
      <c r="K427" s="332">
        <f>IFERROR(VLOOKUP(TEXT(O427,"0"),CONDUCTORES!$A$3:$G$54,7,0),"")</f>
        <v/>
      </c>
      <c r="L427" s="334" t="n"/>
      <c r="M427" s="334" t="n"/>
      <c r="N427" s="333">
        <f>IFERROR(IF(L427*M427=0,"",L427*M427),"")</f>
        <v/>
      </c>
      <c r="O427" s="334" t="n"/>
      <c r="P427" s="332">
        <f>IFERROR(VLOOKUP(TEXT(O427,"0"),CONDUCTORES!$A$3:$G$54,2,0),"")</f>
        <v/>
      </c>
      <c r="Q427" s="332">
        <f>IFERROR(VLOOKUP(TEXT(O427,"0"),CONDUCTORES!$A$3:$H$54,6,0),"")</f>
        <v/>
      </c>
      <c r="R427" s="334" t="n"/>
      <c r="S427" s="334" t="n"/>
      <c r="T427" s="334" t="n"/>
      <c r="U427" s="334" t="n"/>
      <c r="V427" s="334" t="n"/>
      <c r="W427" s="334" t="n"/>
      <c r="X427" s="334" t="n"/>
      <c r="Y427" s="334" t="n"/>
    </row>
    <row r="428" ht="15" customHeight="1" s="195">
      <c r="A428" s="280" t="n"/>
      <c r="B428" s="280" t="n"/>
      <c r="C428" s="280" t="n"/>
      <c r="D428" s="280" t="n"/>
      <c r="E428" s="280" t="n"/>
      <c r="F428" s="280" t="n"/>
      <c r="G428" s="280" t="n"/>
      <c r="H428" s="280" t="n"/>
      <c r="I428" s="332">
        <f>IFERROR(VLOOKUP(TEXT(H428,"0"),IPRESS!$A$3:$B$212,2,0),"")</f>
        <v/>
      </c>
      <c r="J428" s="280" t="n"/>
      <c r="K428" s="332">
        <f>IFERROR(VLOOKUP(TEXT(O428,"0"),CONDUCTORES!$A$3:$G$54,7,0),"")</f>
        <v/>
      </c>
      <c r="L428" s="280" t="n"/>
      <c r="M428" s="280" t="n"/>
      <c r="N428" s="333">
        <f>IFERROR(IF(L428*M428=0,"",L428*M428),"")</f>
        <v/>
      </c>
      <c r="O428" s="280" t="n"/>
      <c r="P428" s="332">
        <f>IFERROR(VLOOKUP(TEXT(O428,"0"),CONDUCTORES!$A$3:$G$54,2,0),"")</f>
        <v/>
      </c>
      <c r="Q428" s="332">
        <f>IFERROR(VLOOKUP(TEXT(O428,"0"),CONDUCTORES!$A$3:$H$54,6,0),"")</f>
        <v/>
      </c>
      <c r="R428" s="280" t="n"/>
      <c r="S428" s="280" t="n"/>
      <c r="T428" s="280" t="n"/>
      <c r="U428" s="280" t="n"/>
      <c r="V428" s="280" t="n"/>
      <c r="W428" s="280" t="n"/>
      <c r="X428" s="280" t="n"/>
      <c r="Y428" s="280" t="n"/>
    </row>
    <row r="429" ht="15" customHeight="1" s="195">
      <c r="A429" s="334" t="n"/>
      <c r="B429" s="334" t="n"/>
      <c r="C429" s="334" t="n"/>
      <c r="D429" s="334" t="n"/>
      <c r="E429" s="334" t="n"/>
      <c r="F429" s="334" t="n"/>
      <c r="G429" s="334" t="n"/>
      <c r="H429" s="334" t="n"/>
      <c r="I429" s="332">
        <f>IFERROR(VLOOKUP(TEXT(H429,"0"),IPRESS!$A$3:$B$212,2,0),"")</f>
        <v/>
      </c>
      <c r="J429" s="334" t="n"/>
      <c r="K429" s="332">
        <f>IFERROR(VLOOKUP(TEXT(O429,"0"),CONDUCTORES!$A$3:$G$54,7,0),"")</f>
        <v/>
      </c>
      <c r="L429" s="334" t="n"/>
      <c r="M429" s="334" t="n"/>
      <c r="N429" s="333">
        <f>IFERROR(IF(L429*M429=0,"",L429*M429),"")</f>
        <v/>
      </c>
      <c r="O429" s="334" t="n"/>
      <c r="P429" s="332">
        <f>IFERROR(VLOOKUP(TEXT(O429,"0"),CONDUCTORES!$A$3:$G$54,2,0),"")</f>
        <v/>
      </c>
      <c r="Q429" s="332">
        <f>IFERROR(VLOOKUP(TEXT(O429,"0"),CONDUCTORES!$A$3:$H$54,6,0),"")</f>
        <v/>
      </c>
      <c r="R429" s="334" t="n"/>
      <c r="S429" s="334" t="n"/>
      <c r="T429" s="334" t="n"/>
      <c r="U429" s="334" t="n"/>
      <c r="V429" s="334" t="n"/>
      <c r="W429" s="334" t="n"/>
      <c r="X429" s="334" t="n"/>
      <c r="Y429" s="334" t="n"/>
    </row>
    <row r="430" ht="15" customHeight="1" s="195">
      <c r="A430" s="280" t="n"/>
      <c r="B430" s="280" t="n"/>
      <c r="C430" s="280" t="n"/>
      <c r="D430" s="280" t="n"/>
      <c r="E430" s="280" t="n"/>
      <c r="F430" s="280" t="n"/>
      <c r="G430" s="280" t="n"/>
      <c r="H430" s="280" t="n"/>
      <c r="I430" s="332">
        <f>IFERROR(VLOOKUP(TEXT(H430,"0"),IPRESS!$A$3:$B$212,2,0),"")</f>
        <v/>
      </c>
      <c r="J430" s="280" t="n"/>
      <c r="K430" s="332">
        <f>IFERROR(VLOOKUP(TEXT(O430,"0"),CONDUCTORES!$A$3:$G$54,7,0),"")</f>
        <v/>
      </c>
      <c r="L430" s="280" t="n"/>
      <c r="M430" s="280" t="n"/>
      <c r="N430" s="333">
        <f>IFERROR(IF(L430*M430=0,"",L430*M430),"")</f>
        <v/>
      </c>
      <c r="O430" s="280" t="n"/>
      <c r="P430" s="332">
        <f>IFERROR(VLOOKUP(TEXT(O430,"0"),CONDUCTORES!$A$3:$G$54,2,0),"")</f>
        <v/>
      </c>
      <c r="Q430" s="332">
        <f>IFERROR(VLOOKUP(TEXT(O430,"0"),CONDUCTORES!$A$3:$H$54,6,0),"")</f>
        <v/>
      </c>
      <c r="R430" s="280" t="n"/>
      <c r="S430" s="280" t="n"/>
      <c r="T430" s="280" t="n"/>
      <c r="U430" s="280" t="n"/>
      <c r="V430" s="280" t="n"/>
      <c r="W430" s="280" t="n"/>
      <c r="X430" s="280" t="n"/>
      <c r="Y430" s="280" t="n"/>
    </row>
    <row r="431" ht="15" customHeight="1" s="195">
      <c r="A431" s="334" t="n"/>
      <c r="B431" s="334" t="n"/>
      <c r="C431" s="334" t="n"/>
      <c r="D431" s="334" t="n"/>
      <c r="E431" s="334" t="n"/>
      <c r="F431" s="334" t="n"/>
      <c r="G431" s="334" t="n"/>
      <c r="H431" s="334" t="n"/>
      <c r="I431" s="332">
        <f>IFERROR(VLOOKUP(TEXT(H431,"0"),IPRESS!$A$3:$B$212,2,0),"")</f>
        <v/>
      </c>
      <c r="J431" s="334" t="n"/>
      <c r="K431" s="332">
        <f>IFERROR(VLOOKUP(TEXT(O431,"0"),CONDUCTORES!$A$3:$G$54,7,0),"")</f>
        <v/>
      </c>
      <c r="L431" s="334" t="n"/>
      <c r="M431" s="334" t="n"/>
      <c r="N431" s="333">
        <f>IFERROR(IF(L431*M431=0,"",L431*M431),"")</f>
        <v/>
      </c>
      <c r="O431" s="334" t="n"/>
      <c r="P431" s="332">
        <f>IFERROR(VLOOKUP(TEXT(O431,"0"),CONDUCTORES!$A$3:$G$54,2,0),"")</f>
        <v/>
      </c>
      <c r="Q431" s="332">
        <f>IFERROR(VLOOKUP(TEXT(O431,"0"),CONDUCTORES!$A$3:$H$54,6,0),"")</f>
        <v/>
      </c>
      <c r="R431" s="334" t="n"/>
      <c r="S431" s="334" t="n"/>
      <c r="T431" s="334" t="n"/>
      <c r="U431" s="334" t="n"/>
      <c r="V431" s="334" t="n"/>
      <c r="W431" s="334" t="n"/>
      <c r="X431" s="334" t="n"/>
      <c r="Y431" s="334" t="n"/>
    </row>
    <row r="432" ht="15" customHeight="1" s="195">
      <c r="A432" s="280" t="n"/>
      <c r="B432" s="280" t="n"/>
      <c r="C432" s="280" t="n"/>
      <c r="D432" s="280" t="n"/>
      <c r="E432" s="280" t="n"/>
      <c r="F432" s="280" t="n"/>
      <c r="G432" s="280" t="n"/>
      <c r="H432" s="280" t="n"/>
      <c r="I432" s="332">
        <f>IFERROR(VLOOKUP(TEXT(H432,"0"),IPRESS!$A$3:$B$212,2,0),"")</f>
        <v/>
      </c>
      <c r="J432" s="280" t="n"/>
      <c r="K432" s="332">
        <f>IFERROR(VLOOKUP(TEXT(O432,"0"),CONDUCTORES!$A$3:$G$54,7,0),"")</f>
        <v/>
      </c>
      <c r="L432" s="280" t="n"/>
      <c r="M432" s="280" t="n"/>
      <c r="N432" s="333">
        <f>IFERROR(IF(L432*M432=0,"",L432*M432),"")</f>
        <v/>
      </c>
      <c r="O432" s="280" t="n"/>
      <c r="P432" s="332">
        <f>IFERROR(VLOOKUP(TEXT(O432,"0"),CONDUCTORES!$A$3:$G$54,2,0),"")</f>
        <v/>
      </c>
      <c r="Q432" s="332">
        <f>IFERROR(VLOOKUP(TEXT(O432,"0"),CONDUCTORES!$A$3:$H$54,6,0),"")</f>
        <v/>
      </c>
      <c r="R432" s="280" t="n"/>
      <c r="S432" s="280" t="n"/>
      <c r="T432" s="280" t="n"/>
      <c r="U432" s="280" t="n"/>
      <c r="V432" s="280" t="n"/>
      <c r="W432" s="280" t="n"/>
      <c r="X432" s="280" t="n"/>
      <c r="Y432" s="280" t="n"/>
    </row>
    <row r="433" ht="15" customHeight="1" s="195">
      <c r="A433" s="334" t="n"/>
      <c r="B433" s="334" t="n"/>
      <c r="C433" s="334" t="n"/>
      <c r="D433" s="334" t="n"/>
      <c r="E433" s="334" t="n"/>
      <c r="F433" s="334" t="n"/>
      <c r="G433" s="334" t="n"/>
      <c r="H433" s="334" t="n"/>
      <c r="I433" s="332">
        <f>IFERROR(VLOOKUP(TEXT(H433,"0"),IPRESS!$A$3:$B$212,2,0),"")</f>
        <v/>
      </c>
      <c r="J433" s="334" t="n"/>
      <c r="K433" s="332">
        <f>IFERROR(VLOOKUP(TEXT(O433,"0"),CONDUCTORES!$A$3:$G$54,7,0),"")</f>
        <v/>
      </c>
      <c r="L433" s="334" t="n"/>
      <c r="M433" s="334" t="n"/>
      <c r="N433" s="333">
        <f>IFERROR(IF(L433*M433=0,"",L433*M433),"")</f>
        <v/>
      </c>
      <c r="O433" s="334" t="n"/>
      <c r="P433" s="332">
        <f>IFERROR(VLOOKUP(TEXT(O433,"0"),CONDUCTORES!$A$3:$G$54,2,0),"")</f>
        <v/>
      </c>
      <c r="Q433" s="332">
        <f>IFERROR(VLOOKUP(TEXT(O433,"0"),CONDUCTORES!$A$3:$H$54,6,0),"")</f>
        <v/>
      </c>
      <c r="R433" s="334" t="n"/>
      <c r="S433" s="334" t="n"/>
      <c r="T433" s="334" t="n"/>
      <c r="U433" s="334" t="n"/>
      <c r="V433" s="334" t="n"/>
      <c r="W433" s="334" t="n"/>
      <c r="X433" s="334" t="n"/>
      <c r="Y433" s="334" t="n"/>
    </row>
    <row r="434" ht="15" customHeight="1" s="195">
      <c r="A434" s="280" t="n"/>
      <c r="B434" s="280" t="n"/>
      <c r="C434" s="280" t="n"/>
      <c r="D434" s="280" t="n"/>
      <c r="E434" s="280" t="n"/>
      <c r="F434" s="280" t="n"/>
      <c r="G434" s="280" t="n"/>
      <c r="H434" s="280" t="n"/>
      <c r="I434" s="332">
        <f>IFERROR(VLOOKUP(TEXT(H434,"0"),IPRESS!$A$3:$B$212,2,0),"")</f>
        <v/>
      </c>
      <c r="J434" s="280" t="n"/>
      <c r="K434" s="332">
        <f>IFERROR(VLOOKUP(TEXT(O434,"0"),CONDUCTORES!$A$3:$G$54,7,0),"")</f>
        <v/>
      </c>
      <c r="L434" s="280" t="n"/>
      <c r="M434" s="280" t="n"/>
      <c r="N434" s="333">
        <f>IFERROR(IF(L434*M434=0,"",L434*M434),"")</f>
        <v/>
      </c>
      <c r="O434" s="280" t="n"/>
      <c r="P434" s="332">
        <f>IFERROR(VLOOKUP(TEXT(O434,"0"),CONDUCTORES!$A$3:$G$54,2,0),"")</f>
        <v/>
      </c>
      <c r="Q434" s="332">
        <f>IFERROR(VLOOKUP(TEXT(O434,"0"),CONDUCTORES!$A$3:$H$54,6,0),"")</f>
        <v/>
      </c>
      <c r="R434" s="280" t="n"/>
      <c r="S434" s="280" t="n"/>
      <c r="T434" s="280" t="n"/>
      <c r="U434" s="280" t="n"/>
      <c r="V434" s="280" t="n"/>
      <c r="W434" s="280" t="n"/>
      <c r="X434" s="280" t="n"/>
      <c r="Y434" s="280" t="n"/>
    </row>
    <row r="435" ht="15" customHeight="1" s="195">
      <c r="A435" s="334" t="n"/>
      <c r="B435" s="334" t="n"/>
      <c r="C435" s="334" t="n"/>
      <c r="D435" s="334" t="n"/>
      <c r="E435" s="334" t="n"/>
      <c r="F435" s="334" t="n"/>
      <c r="G435" s="334" t="n"/>
      <c r="H435" s="334" t="n"/>
      <c r="I435" s="332">
        <f>IFERROR(VLOOKUP(TEXT(H435,"0"),IPRESS!$A$3:$B$212,2,0),"")</f>
        <v/>
      </c>
      <c r="J435" s="334" t="n"/>
      <c r="K435" s="332">
        <f>IFERROR(VLOOKUP(TEXT(O435,"0"),CONDUCTORES!$A$3:$G$54,7,0),"")</f>
        <v/>
      </c>
      <c r="L435" s="334" t="n"/>
      <c r="M435" s="334" t="n"/>
      <c r="N435" s="333">
        <f>IFERROR(IF(L435*M435=0,"",L435*M435),"")</f>
        <v/>
      </c>
      <c r="O435" s="334" t="n"/>
      <c r="P435" s="332">
        <f>IFERROR(VLOOKUP(TEXT(O435,"0"),CONDUCTORES!$A$3:$G$54,2,0),"")</f>
        <v/>
      </c>
      <c r="Q435" s="332">
        <f>IFERROR(VLOOKUP(TEXT(O435,"0"),CONDUCTORES!$A$3:$H$54,6,0),"")</f>
        <v/>
      </c>
      <c r="R435" s="334" t="n"/>
      <c r="S435" s="334" t="n"/>
      <c r="T435" s="334" t="n"/>
      <c r="U435" s="334" t="n"/>
      <c r="V435" s="334" t="n"/>
      <c r="W435" s="334" t="n"/>
      <c r="X435" s="334" t="n"/>
      <c r="Y435" s="334" t="n"/>
    </row>
    <row r="436" ht="15" customHeight="1" s="195">
      <c r="A436" s="280" t="n"/>
      <c r="B436" s="280" t="n"/>
      <c r="C436" s="280" t="n"/>
      <c r="D436" s="280" t="n"/>
      <c r="E436" s="280" t="n"/>
      <c r="F436" s="280" t="n"/>
      <c r="G436" s="280" t="n"/>
      <c r="H436" s="280" t="n"/>
      <c r="I436" s="332">
        <f>IFERROR(VLOOKUP(TEXT(H436,"0"),IPRESS!$A$3:$B$212,2,0),"")</f>
        <v/>
      </c>
      <c r="J436" s="280" t="n"/>
      <c r="K436" s="332">
        <f>IFERROR(VLOOKUP(TEXT(O436,"0"),CONDUCTORES!$A$3:$G$54,7,0),"")</f>
        <v/>
      </c>
      <c r="L436" s="280" t="n"/>
      <c r="M436" s="280" t="n"/>
      <c r="N436" s="333">
        <f>IFERROR(IF(L436*M436=0,"",L436*M436),"")</f>
        <v/>
      </c>
      <c r="O436" s="280" t="n"/>
      <c r="P436" s="332">
        <f>IFERROR(VLOOKUP(TEXT(O436,"0"),CONDUCTORES!$A$3:$G$54,2,0),"")</f>
        <v/>
      </c>
      <c r="Q436" s="332">
        <f>IFERROR(VLOOKUP(TEXT(O436,"0"),CONDUCTORES!$A$3:$H$54,6,0),"")</f>
        <v/>
      </c>
      <c r="R436" s="280" t="n"/>
      <c r="S436" s="280" t="n"/>
      <c r="T436" s="280" t="n"/>
      <c r="U436" s="280" t="n"/>
      <c r="V436" s="280" t="n"/>
      <c r="W436" s="280" t="n"/>
      <c r="X436" s="280" t="n"/>
      <c r="Y436" s="280" t="n"/>
    </row>
    <row r="437" ht="15" customHeight="1" s="195">
      <c r="A437" s="334" t="n"/>
      <c r="B437" s="334" t="n"/>
      <c r="C437" s="334" t="n"/>
      <c r="D437" s="334" t="n"/>
      <c r="E437" s="334" t="n"/>
      <c r="F437" s="334" t="n"/>
      <c r="G437" s="334" t="n"/>
      <c r="H437" s="334" t="n"/>
      <c r="I437" s="332">
        <f>IFERROR(VLOOKUP(TEXT(H437,"0"),IPRESS!$A$3:$B$212,2,0),"")</f>
        <v/>
      </c>
      <c r="J437" s="334" t="n"/>
      <c r="K437" s="332">
        <f>IFERROR(VLOOKUP(TEXT(O437,"0"),CONDUCTORES!$A$3:$G$54,7,0),"")</f>
        <v/>
      </c>
      <c r="L437" s="334" t="n"/>
      <c r="M437" s="334" t="n"/>
      <c r="N437" s="333">
        <f>IFERROR(IF(L437*M437=0,"",L437*M437),"")</f>
        <v/>
      </c>
      <c r="O437" s="334" t="n"/>
      <c r="P437" s="332">
        <f>IFERROR(VLOOKUP(TEXT(O437,"0"),CONDUCTORES!$A$3:$G$54,2,0),"")</f>
        <v/>
      </c>
      <c r="Q437" s="332">
        <f>IFERROR(VLOOKUP(TEXT(O437,"0"),CONDUCTORES!$A$3:$H$54,6,0),"")</f>
        <v/>
      </c>
      <c r="R437" s="334" t="n"/>
      <c r="S437" s="334" t="n"/>
      <c r="T437" s="334" t="n"/>
      <c r="U437" s="334" t="n"/>
      <c r="V437" s="334" t="n"/>
      <c r="W437" s="334" t="n"/>
      <c r="X437" s="334" t="n"/>
      <c r="Y437" s="334" t="n"/>
    </row>
    <row r="438" ht="15" customHeight="1" s="195">
      <c r="A438" s="280" t="n"/>
      <c r="B438" s="280" t="n"/>
      <c r="C438" s="280" t="n"/>
      <c r="D438" s="280" t="n"/>
      <c r="E438" s="280" t="n"/>
      <c r="F438" s="280" t="n"/>
      <c r="G438" s="280" t="n"/>
      <c r="H438" s="280" t="n"/>
      <c r="I438" s="332">
        <f>IFERROR(VLOOKUP(TEXT(H438,"0"),IPRESS!$A$3:$B$212,2,0),"")</f>
        <v/>
      </c>
      <c r="J438" s="280" t="n"/>
      <c r="K438" s="332">
        <f>IFERROR(VLOOKUP(TEXT(O438,"0"),CONDUCTORES!$A$3:$G$54,7,0),"")</f>
        <v/>
      </c>
      <c r="L438" s="280" t="n"/>
      <c r="M438" s="280" t="n"/>
      <c r="N438" s="333">
        <f>IFERROR(IF(L438*M438=0,"",L438*M438),"")</f>
        <v/>
      </c>
      <c r="O438" s="280" t="n"/>
      <c r="P438" s="332">
        <f>IFERROR(VLOOKUP(TEXT(O438,"0"),CONDUCTORES!$A$3:$G$54,2,0),"")</f>
        <v/>
      </c>
      <c r="Q438" s="332">
        <f>IFERROR(VLOOKUP(TEXT(O438,"0"),CONDUCTORES!$A$3:$H$54,6,0),"")</f>
        <v/>
      </c>
      <c r="R438" s="280" t="n"/>
      <c r="S438" s="280" t="n"/>
      <c r="T438" s="280" t="n"/>
      <c r="U438" s="280" t="n"/>
      <c r="V438" s="280" t="n"/>
      <c r="W438" s="280" t="n"/>
      <c r="X438" s="280" t="n"/>
      <c r="Y438" s="280" t="n"/>
    </row>
    <row r="439" ht="15" customHeight="1" s="195">
      <c r="A439" s="334" t="n"/>
      <c r="B439" s="334" t="n"/>
      <c r="C439" s="334" t="n"/>
      <c r="D439" s="334" t="n"/>
      <c r="E439" s="334" t="n"/>
      <c r="F439" s="334" t="n"/>
      <c r="G439" s="334" t="n"/>
      <c r="H439" s="334" t="n"/>
      <c r="I439" s="332">
        <f>IFERROR(VLOOKUP(TEXT(H439,"0"),IPRESS!$A$3:$B$212,2,0),"")</f>
        <v/>
      </c>
      <c r="J439" s="334" t="n"/>
      <c r="K439" s="332">
        <f>IFERROR(VLOOKUP(TEXT(O439,"0"),CONDUCTORES!$A$3:$G$54,7,0),"")</f>
        <v/>
      </c>
      <c r="L439" s="334" t="n"/>
      <c r="M439" s="334" t="n"/>
      <c r="N439" s="333">
        <f>IFERROR(IF(L439*M439=0,"",L439*M439),"")</f>
        <v/>
      </c>
      <c r="O439" s="334" t="n"/>
      <c r="P439" s="332">
        <f>IFERROR(VLOOKUP(TEXT(O439,"0"),CONDUCTORES!$A$3:$G$54,2,0),"")</f>
        <v/>
      </c>
      <c r="Q439" s="332">
        <f>IFERROR(VLOOKUP(TEXT(O439,"0"),CONDUCTORES!$A$3:$H$54,6,0),"")</f>
        <v/>
      </c>
      <c r="R439" s="334" t="n"/>
      <c r="S439" s="334" t="n"/>
      <c r="T439" s="334" t="n"/>
      <c r="U439" s="334" t="n"/>
      <c r="V439" s="334" t="n"/>
      <c r="W439" s="334" t="n"/>
      <c r="X439" s="334" t="n"/>
      <c r="Y439" s="334" t="n"/>
    </row>
    <row r="440" ht="15" customHeight="1" s="195">
      <c r="A440" s="280" t="n"/>
      <c r="B440" s="280" t="n"/>
      <c r="C440" s="280" t="n"/>
      <c r="D440" s="280" t="n"/>
      <c r="E440" s="280" t="n"/>
      <c r="F440" s="280" t="n"/>
      <c r="G440" s="280" t="n"/>
      <c r="H440" s="280" t="n"/>
      <c r="I440" s="332">
        <f>IFERROR(VLOOKUP(TEXT(H440,"0"),IPRESS!$A$3:$B$212,2,0),"")</f>
        <v/>
      </c>
      <c r="J440" s="280" t="n"/>
      <c r="K440" s="332">
        <f>IFERROR(VLOOKUP(TEXT(O440,"0"),CONDUCTORES!$A$3:$G$54,7,0),"")</f>
        <v/>
      </c>
      <c r="L440" s="280" t="n"/>
      <c r="M440" s="280" t="n"/>
      <c r="N440" s="333">
        <f>IFERROR(IF(L440*M440=0,"",L440*M440),"")</f>
        <v/>
      </c>
      <c r="O440" s="280" t="n"/>
      <c r="P440" s="332">
        <f>IFERROR(VLOOKUP(TEXT(O440,"0"),CONDUCTORES!$A$3:$G$54,2,0),"")</f>
        <v/>
      </c>
      <c r="Q440" s="332">
        <f>IFERROR(VLOOKUP(TEXT(O440,"0"),CONDUCTORES!$A$3:$H$54,6,0),"")</f>
        <v/>
      </c>
      <c r="R440" s="280" t="n"/>
      <c r="S440" s="280" t="n"/>
      <c r="T440" s="280" t="n"/>
      <c r="U440" s="280" t="n"/>
      <c r="V440" s="280" t="n"/>
      <c r="W440" s="280" t="n"/>
      <c r="X440" s="280" t="n"/>
      <c r="Y440" s="280" t="n"/>
    </row>
    <row r="441" ht="15" customHeight="1" s="195">
      <c r="A441" s="334" t="n"/>
      <c r="B441" s="334" t="n"/>
      <c r="C441" s="334" t="n"/>
      <c r="D441" s="334" t="n"/>
      <c r="E441" s="334" t="n"/>
      <c r="F441" s="334" t="n"/>
      <c r="G441" s="334" t="n"/>
      <c r="H441" s="334" t="n"/>
      <c r="I441" s="332">
        <f>IFERROR(VLOOKUP(TEXT(H441,"0"),IPRESS!$A$3:$B$212,2,0),"")</f>
        <v/>
      </c>
      <c r="J441" s="334" t="n"/>
      <c r="K441" s="332">
        <f>IFERROR(VLOOKUP(TEXT(O441,"0"),CONDUCTORES!$A$3:$G$54,7,0),"")</f>
        <v/>
      </c>
      <c r="L441" s="334" t="n"/>
      <c r="M441" s="334" t="n"/>
      <c r="N441" s="333">
        <f>IFERROR(IF(L441*M441=0,"",L441*M441),"")</f>
        <v/>
      </c>
      <c r="O441" s="334" t="n"/>
      <c r="P441" s="332">
        <f>IFERROR(VLOOKUP(TEXT(O441,"0"),CONDUCTORES!$A$3:$G$54,2,0),"")</f>
        <v/>
      </c>
      <c r="Q441" s="332">
        <f>IFERROR(VLOOKUP(TEXT(O441,"0"),CONDUCTORES!$A$3:$H$54,6,0),"")</f>
        <v/>
      </c>
      <c r="R441" s="334" t="n"/>
      <c r="S441" s="334" t="n"/>
      <c r="T441" s="334" t="n"/>
      <c r="U441" s="334" t="n"/>
      <c r="V441" s="334" t="n"/>
      <c r="W441" s="334" t="n"/>
      <c r="X441" s="334" t="n"/>
      <c r="Y441" s="334" t="n"/>
    </row>
    <row r="442" ht="15" customHeight="1" s="195">
      <c r="A442" s="280" t="n"/>
      <c r="B442" s="280" t="n"/>
      <c r="C442" s="280" t="n"/>
      <c r="D442" s="280" t="n"/>
      <c r="E442" s="280" t="n"/>
      <c r="F442" s="280" t="n"/>
      <c r="G442" s="280" t="n"/>
      <c r="H442" s="280" t="n"/>
      <c r="I442" s="332">
        <f>IFERROR(VLOOKUP(TEXT(H442,"0"),IPRESS!$A$3:$B$212,2,0),"")</f>
        <v/>
      </c>
      <c r="J442" s="280" t="n"/>
      <c r="K442" s="332">
        <f>IFERROR(VLOOKUP(TEXT(O442,"0"),CONDUCTORES!$A$3:$G$54,7,0),"")</f>
        <v/>
      </c>
      <c r="L442" s="280" t="n"/>
      <c r="M442" s="280" t="n"/>
      <c r="N442" s="333">
        <f>IFERROR(IF(L442*M442=0,"",L442*M442),"")</f>
        <v/>
      </c>
      <c r="O442" s="280" t="n"/>
      <c r="P442" s="332">
        <f>IFERROR(VLOOKUP(TEXT(O442,"0"),CONDUCTORES!$A$3:$G$54,2,0),"")</f>
        <v/>
      </c>
      <c r="Q442" s="332">
        <f>IFERROR(VLOOKUP(TEXT(O442,"0"),CONDUCTORES!$A$3:$H$54,6,0),"")</f>
        <v/>
      </c>
      <c r="R442" s="280" t="n"/>
      <c r="S442" s="280" t="n"/>
      <c r="T442" s="280" t="n"/>
      <c r="U442" s="280" t="n"/>
      <c r="V442" s="280" t="n"/>
      <c r="W442" s="280" t="n"/>
      <c r="X442" s="280" t="n"/>
      <c r="Y442" s="280" t="n"/>
    </row>
    <row r="443" ht="15" customHeight="1" s="195">
      <c r="A443" s="334" t="n"/>
      <c r="B443" s="334" t="n"/>
      <c r="C443" s="334" t="n"/>
      <c r="D443" s="334" t="n"/>
      <c r="E443" s="334" t="n"/>
      <c r="F443" s="334" t="n"/>
      <c r="G443" s="334" t="n"/>
      <c r="H443" s="334" t="n"/>
      <c r="I443" s="332">
        <f>IFERROR(VLOOKUP(TEXT(H443,"0"),IPRESS!$A$3:$B$212,2,0),"")</f>
        <v/>
      </c>
      <c r="J443" s="334" t="n"/>
      <c r="K443" s="332">
        <f>IFERROR(VLOOKUP(TEXT(O443,"0"),CONDUCTORES!$A$3:$G$54,7,0),"")</f>
        <v/>
      </c>
      <c r="L443" s="334" t="n"/>
      <c r="M443" s="334" t="n"/>
      <c r="N443" s="333">
        <f>IFERROR(IF(L443*M443=0,"",L443*M443),"")</f>
        <v/>
      </c>
      <c r="O443" s="334" t="n"/>
      <c r="P443" s="332">
        <f>IFERROR(VLOOKUP(TEXT(O443,"0"),CONDUCTORES!$A$3:$G$54,2,0),"")</f>
        <v/>
      </c>
      <c r="Q443" s="332">
        <f>IFERROR(VLOOKUP(TEXT(O443,"0"),CONDUCTORES!$A$3:$H$54,6,0),"")</f>
        <v/>
      </c>
      <c r="R443" s="334" t="n"/>
      <c r="S443" s="334" t="n"/>
      <c r="T443" s="334" t="n"/>
      <c r="U443" s="334" t="n"/>
      <c r="V443" s="334" t="n"/>
      <c r="W443" s="334" t="n"/>
      <c r="X443" s="334" t="n"/>
      <c r="Y443" s="334" t="n"/>
    </row>
    <row r="444" ht="15" customHeight="1" s="195">
      <c r="A444" s="280" t="n"/>
      <c r="B444" s="280" t="n"/>
      <c r="C444" s="280" t="n"/>
      <c r="D444" s="280" t="n"/>
      <c r="E444" s="280" t="n"/>
      <c r="F444" s="280" t="n"/>
      <c r="G444" s="280" t="n"/>
      <c r="H444" s="280" t="n"/>
      <c r="I444" s="332">
        <f>IFERROR(VLOOKUP(TEXT(H444,"0"),IPRESS!$A$3:$B$212,2,0),"")</f>
        <v/>
      </c>
      <c r="J444" s="280" t="n"/>
      <c r="K444" s="332">
        <f>IFERROR(VLOOKUP(TEXT(O444,"0"),CONDUCTORES!$A$3:$G$54,7,0),"")</f>
        <v/>
      </c>
      <c r="L444" s="280" t="n"/>
      <c r="M444" s="280" t="n"/>
      <c r="N444" s="333">
        <f>IFERROR(IF(L444*M444=0,"",L444*M444),"")</f>
        <v/>
      </c>
      <c r="O444" s="280" t="n"/>
      <c r="P444" s="332">
        <f>IFERROR(VLOOKUP(TEXT(O444,"0"),CONDUCTORES!$A$3:$G$54,2,0),"")</f>
        <v/>
      </c>
      <c r="Q444" s="332">
        <f>IFERROR(VLOOKUP(TEXT(O444,"0"),CONDUCTORES!$A$3:$H$54,6,0),"")</f>
        <v/>
      </c>
      <c r="R444" s="280" t="n"/>
      <c r="S444" s="280" t="n"/>
      <c r="T444" s="280" t="n"/>
      <c r="U444" s="280" t="n"/>
      <c r="V444" s="280" t="n"/>
      <c r="W444" s="280" t="n"/>
      <c r="X444" s="280" t="n"/>
      <c r="Y444" s="280" t="n"/>
    </row>
    <row r="445" ht="15" customHeight="1" s="195">
      <c r="A445" s="334" t="n"/>
      <c r="B445" s="334" t="n"/>
      <c r="C445" s="334" t="n"/>
      <c r="D445" s="334" t="n"/>
      <c r="E445" s="334" t="n"/>
      <c r="F445" s="334" t="n"/>
      <c r="G445" s="334" t="n"/>
      <c r="H445" s="334" t="n"/>
      <c r="I445" s="332">
        <f>IFERROR(VLOOKUP(TEXT(H445,"0"),IPRESS!$A$3:$B$212,2,0),"")</f>
        <v/>
      </c>
      <c r="J445" s="334" t="n"/>
      <c r="K445" s="332">
        <f>IFERROR(VLOOKUP(TEXT(O445,"0"),CONDUCTORES!$A$3:$G$54,7,0),"")</f>
        <v/>
      </c>
      <c r="L445" s="334" t="n"/>
      <c r="M445" s="334" t="n"/>
      <c r="N445" s="333">
        <f>IFERROR(IF(L445*M445=0,"",L445*M445),"")</f>
        <v/>
      </c>
      <c r="O445" s="334" t="n"/>
      <c r="P445" s="332">
        <f>IFERROR(VLOOKUP(TEXT(O445,"0"),CONDUCTORES!$A$3:$G$54,2,0),"")</f>
        <v/>
      </c>
      <c r="Q445" s="332">
        <f>IFERROR(VLOOKUP(TEXT(O445,"0"),CONDUCTORES!$A$3:$H$54,6,0),"")</f>
        <v/>
      </c>
      <c r="R445" s="334" t="n"/>
      <c r="S445" s="334" t="n"/>
      <c r="T445" s="334" t="n"/>
      <c r="U445" s="334" t="n"/>
      <c r="V445" s="334" t="n"/>
      <c r="W445" s="334" t="n"/>
      <c r="X445" s="334" t="n"/>
      <c r="Y445" s="334" t="n"/>
    </row>
    <row r="446" ht="15" customHeight="1" s="195">
      <c r="A446" s="280" t="n"/>
      <c r="B446" s="280" t="n"/>
      <c r="C446" s="280" t="n"/>
      <c r="D446" s="280" t="n"/>
      <c r="E446" s="280" t="n"/>
      <c r="F446" s="280" t="n"/>
      <c r="G446" s="280" t="n"/>
      <c r="H446" s="280" t="n"/>
      <c r="I446" s="332">
        <f>IFERROR(VLOOKUP(TEXT(H446,"0"),IPRESS!$A$3:$B$212,2,0),"")</f>
        <v/>
      </c>
      <c r="J446" s="280" t="n"/>
      <c r="K446" s="332">
        <f>IFERROR(VLOOKUP(TEXT(O446,"0"),CONDUCTORES!$A$3:$G$54,7,0),"")</f>
        <v/>
      </c>
      <c r="L446" s="280" t="n"/>
      <c r="M446" s="280" t="n"/>
      <c r="N446" s="333">
        <f>IFERROR(IF(L446*M446=0,"",L446*M446),"")</f>
        <v/>
      </c>
      <c r="O446" s="280" t="n"/>
      <c r="P446" s="332">
        <f>IFERROR(VLOOKUP(TEXT(O446,"0"),CONDUCTORES!$A$3:$G$54,2,0),"")</f>
        <v/>
      </c>
      <c r="Q446" s="332">
        <f>IFERROR(VLOOKUP(TEXT(O446,"0"),CONDUCTORES!$A$3:$H$54,6,0),"")</f>
        <v/>
      </c>
      <c r="R446" s="280" t="n"/>
      <c r="S446" s="280" t="n"/>
      <c r="T446" s="280" t="n"/>
      <c r="U446" s="280" t="n"/>
      <c r="V446" s="280" t="n"/>
      <c r="W446" s="280" t="n"/>
      <c r="X446" s="280" t="n"/>
      <c r="Y446" s="280" t="n"/>
    </row>
    <row r="447" ht="15" customHeight="1" s="195">
      <c r="A447" s="334" t="n"/>
      <c r="B447" s="334" t="n"/>
      <c r="C447" s="334" t="n"/>
      <c r="D447" s="334" t="n"/>
      <c r="E447" s="334" t="n"/>
      <c r="F447" s="334" t="n"/>
      <c r="G447" s="334" t="n"/>
      <c r="H447" s="334" t="n"/>
      <c r="I447" s="332">
        <f>IFERROR(VLOOKUP(TEXT(H447,"0"),IPRESS!$A$3:$B$212,2,0),"")</f>
        <v/>
      </c>
      <c r="J447" s="334" t="n"/>
      <c r="K447" s="332">
        <f>IFERROR(VLOOKUP(TEXT(O447,"0"),CONDUCTORES!$A$3:$G$54,7,0),"")</f>
        <v/>
      </c>
      <c r="L447" s="334" t="n"/>
      <c r="M447" s="334" t="n"/>
      <c r="N447" s="333">
        <f>IFERROR(IF(L447*M447=0,"",L447*M447),"")</f>
        <v/>
      </c>
      <c r="O447" s="334" t="n"/>
      <c r="P447" s="332">
        <f>IFERROR(VLOOKUP(TEXT(O447,"0"),CONDUCTORES!$A$3:$G$54,2,0),"")</f>
        <v/>
      </c>
      <c r="Q447" s="332">
        <f>IFERROR(VLOOKUP(TEXT(O447,"0"),CONDUCTORES!$A$3:$H$54,6,0),"")</f>
        <v/>
      </c>
      <c r="R447" s="334" t="n"/>
      <c r="S447" s="334" t="n"/>
      <c r="T447" s="334" t="n"/>
      <c r="U447" s="334" t="n"/>
      <c r="V447" s="334" t="n"/>
      <c r="W447" s="334" t="n"/>
      <c r="X447" s="334" t="n"/>
      <c r="Y447" s="334" t="n"/>
    </row>
    <row r="448" ht="15" customHeight="1" s="195">
      <c r="A448" s="280" t="n"/>
      <c r="B448" s="280" t="n"/>
      <c r="C448" s="280" t="n"/>
      <c r="D448" s="280" t="n"/>
      <c r="E448" s="280" t="n"/>
      <c r="F448" s="280" t="n"/>
      <c r="G448" s="280" t="n"/>
      <c r="H448" s="280" t="n"/>
      <c r="I448" s="332">
        <f>IFERROR(VLOOKUP(TEXT(H448,"0"),IPRESS!$A$3:$B$212,2,0),"")</f>
        <v/>
      </c>
      <c r="J448" s="280" t="n"/>
      <c r="K448" s="332">
        <f>IFERROR(VLOOKUP(TEXT(O448,"0"),CONDUCTORES!$A$3:$G$54,7,0),"")</f>
        <v/>
      </c>
      <c r="L448" s="280" t="n"/>
      <c r="M448" s="280" t="n"/>
      <c r="N448" s="333">
        <f>IFERROR(IF(L448*M448=0,"",L448*M448),"")</f>
        <v/>
      </c>
      <c r="O448" s="280" t="n"/>
      <c r="P448" s="332">
        <f>IFERROR(VLOOKUP(TEXT(O448,"0"),CONDUCTORES!$A$3:$G$54,2,0),"")</f>
        <v/>
      </c>
      <c r="Q448" s="332">
        <f>IFERROR(VLOOKUP(TEXT(O448,"0"),CONDUCTORES!$A$3:$H$54,6,0),"")</f>
        <v/>
      </c>
      <c r="R448" s="280" t="n"/>
      <c r="S448" s="280" t="n"/>
      <c r="T448" s="280" t="n"/>
      <c r="U448" s="280" t="n"/>
      <c r="V448" s="280" t="n"/>
      <c r="W448" s="280" t="n"/>
      <c r="X448" s="280" t="n"/>
      <c r="Y448" s="280" t="n"/>
    </row>
    <row r="449" ht="15" customHeight="1" s="195">
      <c r="A449" s="334" t="n"/>
      <c r="B449" s="334" t="n"/>
      <c r="C449" s="334" t="n"/>
      <c r="D449" s="334" t="n"/>
      <c r="E449" s="334" t="n"/>
      <c r="F449" s="334" t="n"/>
      <c r="G449" s="334" t="n"/>
      <c r="H449" s="334" t="n"/>
      <c r="I449" s="332">
        <f>IFERROR(VLOOKUP(TEXT(H449,"0"),IPRESS!$A$3:$B$212,2,0),"")</f>
        <v/>
      </c>
      <c r="J449" s="334" t="n"/>
      <c r="K449" s="332">
        <f>IFERROR(VLOOKUP(TEXT(O449,"0"),CONDUCTORES!$A$3:$G$54,7,0),"")</f>
        <v/>
      </c>
      <c r="L449" s="334" t="n"/>
      <c r="M449" s="334" t="n"/>
      <c r="N449" s="333">
        <f>IFERROR(IF(L449*M449=0,"",L449*M449),"")</f>
        <v/>
      </c>
      <c r="O449" s="334" t="n"/>
      <c r="P449" s="332">
        <f>IFERROR(VLOOKUP(TEXT(O449,"0"),CONDUCTORES!$A$3:$G$54,2,0),"")</f>
        <v/>
      </c>
      <c r="Q449" s="332">
        <f>IFERROR(VLOOKUP(TEXT(O449,"0"),CONDUCTORES!$A$3:$H$54,6,0),"")</f>
        <v/>
      </c>
      <c r="R449" s="334" t="n"/>
      <c r="S449" s="334" t="n"/>
      <c r="T449" s="334" t="n"/>
      <c r="U449" s="334" t="n"/>
      <c r="V449" s="334" t="n"/>
      <c r="W449" s="334" t="n"/>
      <c r="X449" s="334" t="n"/>
      <c r="Y449" s="334" t="n"/>
    </row>
    <row r="450" ht="15" customHeight="1" s="195">
      <c r="A450" s="280" t="n"/>
      <c r="B450" s="280" t="n"/>
      <c r="C450" s="280" t="n"/>
      <c r="D450" s="280" t="n"/>
      <c r="E450" s="280" t="n"/>
      <c r="F450" s="280" t="n"/>
      <c r="G450" s="280" t="n"/>
      <c r="H450" s="280" t="n"/>
      <c r="I450" s="332">
        <f>IFERROR(VLOOKUP(TEXT(H450,"0"),IPRESS!$A$3:$B$212,2,0),"")</f>
        <v/>
      </c>
      <c r="J450" s="280" t="n"/>
      <c r="K450" s="332">
        <f>IFERROR(VLOOKUP(TEXT(O450,"0"),CONDUCTORES!$A$3:$G$54,7,0),"")</f>
        <v/>
      </c>
      <c r="L450" s="280" t="n"/>
      <c r="M450" s="280" t="n"/>
      <c r="N450" s="333">
        <f>IFERROR(IF(L450*M450=0,"",L450*M450),"")</f>
        <v/>
      </c>
      <c r="O450" s="280" t="n"/>
      <c r="P450" s="332">
        <f>IFERROR(VLOOKUP(TEXT(O450,"0"),CONDUCTORES!$A$3:$G$54,2,0),"")</f>
        <v/>
      </c>
      <c r="Q450" s="332">
        <f>IFERROR(VLOOKUP(TEXT(O450,"0"),CONDUCTORES!$A$3:$H$54,6,0),"")</f>
        <v/>
      </c>
      <c r="R450" s="280" t="n"/>
      <c r="S450" s="280" t="n"/>
      <c r="T450" s="280" t="n"/>
      <c r="U450" s="280" t="n"/>
      <c r="V450" s="280" t="n"/>
      <c r="W450" s="280" t="n"/>
      <c r="X450" s="280" t="n"/>
      <c r="Y450" s="280" t="n"/>
    </row>
    <row r="451" ht="15" customHeight="1" s="195">
      <c r="A451" s="334" t="n"/>
      <c r="B451" s="334" t="n"/>
      <c r="C451" s="334" t="n"/>
      <c r="D451" s="334" t="n"/>
      <c r="E451" s="334" t="n"/>
      <c r="F451" s="334" t="n"/>
      <c r="G451" s="334" t="n"/>
      <c r="H451" s="334" t="n"/>
      <c r="I451" s="332">
        <f>IFERROR(VLOOKUP(TEXT(H451,"0"),IPRESS!$A$3:$B$212,2,0),"")</f>
        <v/>
      </c>
      <c r="J451" s="334" t="n"/>
      <c r="K451" s="332">
        <f>IFERROR(VLOOKUP(TEXT(O451,"0"),CONDUCTORES!$A$3:$G$54,7,0),"")</f>
        <v/>
      </c>
      <c r="L451" s="334" t="n"/>
      <c r="M451" s="334" t="n"/>
      <c r="N451" s="333">
        <f>IFERROR(IF(L451*M451=0,"",L451*M451),"")</f>
        <v/>
      </c>
      <c r="O451" s="334" t="n"/>
      <c r="P451" s="332">
        <f>IFERROR(VLOOKUP(TEXT(O451,"0"),CONDUCTORES!$A$3:$G$54,2,0),"")</f>
        <v/>
      </c>
      <c r="Q451" s="332">
        <f>IFERROR(VLOOKUP(TEXT(O451,"0"),CONDUCTORES!$A$3:$H$54,6,0),"")</f>
        <v/>
      </c>
      <c r="R451" s="334" t="n"/>
      <c r="S451" s="334" t="n"/>
      <c r="T451" s="334" t="n"/>
      <c r="U451" s="334" t="n"/>
      <c r="V451" s="334" t="n"/>
      <c r="W451" s="334" t="n"/>
      <c r="X451" s="334" t="n"/>
      <c r="Y451" s="334" t="n"/>
    </row>
    <row r="452" ht="15" customHeight="1" s="195">
      <c r="A452" s="280" t="n"/>
      <c r="B452" s="280" t="n"/>
      <c r="C452" s="280" t="n"/>
      <c r="D452" s="280" t="n"/>
      <c r="E452" s="280" t="n"/>
      <c r="F452" s="280" t="n"/>
      <c r="G452" s="280" t="n"/>
      <c r="H452" s="280" t="n"/>
      <c r="I452" s="332">
        <f>IFERROR(VLOOKUP(TEXT(H452,"0"),IPRESS!$A$3:$B$212,2,0),"")</f>
        <v/>
      </c>
      <c r="J452" s="280" t="n"/>
      <c r="K452" s="332">
        <f>IFERROR(VLOOKUP(TEXT(O452,"0"),CONDUCTORES!$A$3:$G$54,7,0),"")</f>
        <v/>
      </c>
      <c r="L452" s="280" t="n"/>
      <c r="M452" s="280" t="n"/>
      <c r="N452" s="333">
        <f>IFERROR(IF(L452*M452=0,"",L452*M452),"")</f>
        <v/>
      </c>
      <c r="O452" s="280" t="n"/>
      <c r="P452" s="332">
        <f>IFERROR(VLOOKUP(TEXT(O452,"0"),CONDUCTORES!$A$3:$G$54,2,0),"")</f>
        <v/>
      </c>
      <c r="Q452" s="332">
        <f>IFERROR(VLOOKUP(TEXT(O452,"0"),CONDUCTORES!$A$3:$H$54,6,0),"")</f>
        <v/>
      </c>
      <c r="R452" s="280" t="n"/>
      <c r="S452" s="280" t="n"/>
      <c r="T452" s="280" t="n"/>
      <c r="U452" s="280" t="n"/>
      <c r="V452" s="280" t="n"/>
      <c r="W452" s="280" t="n"/>
      <c r="X452" s="280" t="n"/>
      <c r="Y452" s="280" t="n"/>
    </row>
    <row r="453" ht="15" customHeight="1" s="195">
      <c r="A453" s="334" t="n"/>
      <c r="B453" s="334" t="n"/>
      <c r="C453" s="334" t="n"/>
      <c r="D453" s="334" t="n"/>
      <c r="E453" s="334" t="n"/>
      <c r="F453" s="334" t="n"/>
      <c r="G453" s="334" t="n"/>
      <c r="H453" s="334" t="n"/>
      <c r="I453" s="332">
        <f>IFERROR(VLOOKUP(TEXT(H453,"0"),IPRESS!$A$3:$B$212,2,0),"")</f>
        <v/>
      </c>
      <c r="J453" s="334" t="n"/>
      <c r="K453" s="332">
        <f>IFERROR(VLOOKUP(TEXT(O453,"0"),CONDUCTORES!$A$3:$G$54,7,0),"")</f>
        <v/>
      </c>
      <c r="L453" s="334" t="n"/>
      <c r="M453" s="334" t="n"/>
      <c r="N453" s="333">
        <f>IFERROR(IF(L453*M453=0,"",L453*M453),"")</f>
        <v/>
      </c>
      <c r="O453" s="334" t="n"/>
      <c r="P453" s="332">
        <f>IFERROR(VLOOKUP(TEXT(O453,"0"),CONDUCTORES!$A$3:$G$54,2,0),"")</f>
        <v/>
      </c>
      <c r="Q453" s="332">
        <f>IFERROR(VLOOKUP(TEXT(O453,"0"),CONDUCTORES!$A$3:$H$54,6,0),"")</f>
        <v/>
      </c>
      <c r="R453" s="334" t="n"/>
      <c r="S453" s="334" t="n"/>
      <c r="T453" s="334" t="n"/>
      <c r="U453" s="334" t="n"/>
      <c r="V453" s="334" t="n"/>
      <c r="W453" s="334" t="n"/>
      <c r="X453" s="334" t="n"/>
      <c r="Y453" s="334" t="n"/>
    </row>
    <row r="454" ht="15" customHeight="1" s="195">
      <c r="A454" s="280" t="n"/>
      <c r="B454" s="280" t="n"/>
      <c r="C454" s="280" t="n"/>
      <c r="D454" s="280" t="n"/>
      <c r="E454" s="280" t="n"/>
      <c r="F454" s="280" t="n"/>
      <c r="G454" s="280" t="n"/>
      <c r="H454" s="280" t="n"/>
      <c r="I454" s="332">
        <f>IFERROR(VLOOKUP(TEXT(H454,"0"),IPRESS!$A$3:$B$212,2,0),"")</f>
        <v/>
      </c>
      <c r="J454" s="280" t="n"/>
      <c r="K454" s="332">
        <f>IFERROR(VLOOKUP(TEXT(O454,"0"),CONDUCTORES!$A$3:$G$54,7,0),"")</f>
        <v/>
      </c>
      <c r="L454" s="280" t="n"/>
      <c r="M454" s="280" t="n"/>
      <c r="N454" s="333">
        <f>IFERROR(IF(L454*M454=0,"",L454*M454),"")</f>
        <v/>
      </c>
      <c r="O454" s="280" t="n"/>
      <c r="P454" s="332">
        <f>IFERROR(VLOOKUP(TEXT(O454,"0"),CONDUCTORES!$A$3:$G$54,2,0),"")</f>
        <v/>
      </c>
      <c r="Q454" s="332">
        <f>IFERROR(VLOOKUP(TEXT(O454,"0"),CONDUCTORES!$A$3:$H$54,6,0),"")</f>
        <v/>
      </c>
      <c r="R454" s="280" t="n"/>
      <c r="S454" s="280" t="n"/>
      <c r="T454" s="280" t="n"/>
      <c r="U454" s="280" t="n"/>
      <c r="V454" s="280" t="n"/>
      <c r="W454" s="280" t="n"/>
      <c r="X454" s="280" t="n"/>
      <c r="Y454" s="280" t="n"/>
    </row>
    <row r="455" ht="15" customHeight="1" s="195">
      <c r="A455" s="334" t="n"/>
      <c r="B455" s="334" t="n"/>
      <c r="C455" s="334" t="n"/>
      <c r="D455" s="334" t="n"/>
      <c r="E455" s="334" t="n"/>
      <c r="F455" s="334" t="n"/>
      <c r="G455" s="334" t="n"/>
      <c r="H455" s="334" t="n"/>
      <c r="I455" s="332">
        <f>IFERROR(VLOOKUP(TEXT(H455,"0"),IPRESS!$A$3:$B$212,2,0),"")</f>
        <v/>
      </c>
      <c r="J455" s="334" t="n"/>
      <c r="K455" s="332">
        <f>IFERROR(VLOOKUP(TEXT(O455,"0"),CONDUCTORES!$A$3:$G$54,7,0),"")</f>
        <v/>
      </c>
      <c r="L455" s="334" t="n"/>
      <c r="M455" s="334" t="n"/>
      <c r="N455" s="333">
        <f>IFERROR(IF(L455*M455=0,"",L455*M455),"")</f>
        <v/>
      </c>
      <c r="O455" s="334" t="n"/>
      <c r="P455" s="332">
        <f>IFERROR(VLOOKUP(TEXT(O455,"0"),CONDUCTORES!$A$3:$G$54,2,0),"")</f>
        <v/>
      </c>
      <c r="Q455" s="332">
        <f>IFERROR(VLOOKUP(TEXT(O455,"0"),CONDUCTORES!$A$3:$H$54,6,0),"")</f>
        <v/>
      </c>
      <c r="R455" s="334" t="n"/>
      <c r="S455" s="334" t="n"/>
      <c r="T455" s="334" t="n"/>
      <c r="U455" s="334" t="n"/>
      <c r="V455" s="334" t="n"/>
      <c r="W455" s="334" t="n"/>
      <c r="X455" s="334" t="n"/>
      <c r="Y455" s="334" t="n"/>
    </row>
    <row r="456" ht="15" customHeight="1" s="195">
      <c r="A456" s="280" t="n"/>
      <c r="B456" s="280" t="n"/>
      <c r="C456" s="280" t="n"/>
      <c r="D456" s="280" t="n"/>
      <c r="E456" s="280" t="n"/>
      <c r="F456" s="280" t="n"/>
      <c r="G456" s="280" t="n"/>
      <c r="H456" s="280" t="n"/>
      <c r="I456" s="332">
        <f>IFERROR(VLOOKUP(TEXT(H456,"0"),IPRESS!$A$3:$B$212,2,0),"")</f>
        <v/>
      </c>
      <c r="J456" s="280" t="n"/>
      <c r="K456" s="332">
        <f>IFERROR(VLOOKUP(TEXT(O456,"0"),CONDUCTORES!$A$3:$G$54,7,0),"")</f>
        <v/>
      </c>
      <c r="L456" s="280" t="n"/>
      <c r="M456" s="280" t="n"/>
      <c r="N456" s="333">
        <f>IFERROR(IF(L456*M456=0,"",L456*M456),"")</f>
        <v/>
      </c>
      <c r="O456" s="280" t="n"/>
      <c r="P456" s="332">
        <f>IFERROR(VLOOKUP(TEXT(O456,"0"),CONDUCTORES!$A$3:$G$54,2,0),"")</f>
        <v/>
      </c>
      <c r="Q456" s="332">
        <f>IFERROR(VLOOKUP(TEXT(O456,"0"),CONDUCTORES!$A$3:$H$54,6,0),"")</f>
        <v/>
      </c>
      <c r="R456" s="280" t="n"/>
      <c r="S456" s="280" t="n"/>
      <c r="T456" s="280" t="n"/>
      <c r="U456" s="280" t="n"/>
      <c r="V456" s="280" t="n"/>
      <c r="W456" s="280" t="n"/>
      <c r="X456" s="280" t="n"/>
      <c r="Y456" s="280" t="n"/>
    </row>
    <row r="457" ht="15" customHeight="1" s="195">
      <c r="A457" s="334" t="n"/>
      <c r="B457" s="334" t="n"/>
      <c r="C457" s="334" t="n"/>
      <c r="D457" s="334" t="n"/>
      <c r="E457" s="334" t="n"/>
      <c r="F457" s="334" t="n"/>
      <c r="G457" s="334" t="n"/>
      <c r="H457" s="334" t="n"/>
      <c r="I457" s="332">
        <f>IFERROR(VLOOKUP(TEXT(H457,"0"),IPRESS!$A$3:$B$212,2,0),"")</f>
        <v/>
      </c>
      <c r="J457" s="334" t="n"/>
      <c r="K457" s="332">
        <f>IFERROR(VLOOKUP(TEXT(O457,"0"),CONDUCTORES!$A$3:$G$54,7,0),"")</f>
        <v/>
      </c>
      <c r="L457" s="334" t="n"/>
      <c r="M457" s="334" t="n"/>
      <c r="N457" s="333">
        <f>IFERROR(IF(L457*M457=0,"",L457*M457),"")</f>
        <v/>
      </c>
      <c r="O457" s="334" t="n"/>
      <c r="P457" s="332">
        <f>IFERROR(VLOOKUP(TEXT(O457,"0"),CONDUCTORES!$A$3:$G$54,2,0),"")</f>
        <v/>
      </c>
      <c r="Q457" s="332">
        <f>IFERROR(VLOOKUP(TEXT(O457,"0"),CONDUCTORES!$A$3:$H$54,6,0),"")</f>
        <v/>
      </c>
      <c r="R457" s="334" t="n"/>
      <c r="S457" s="334" t="n"/>
      <c r="T457" s="334" t="n"/>
      <c r="U457" s="334" t="n"/>
      <c r="V457" s="334" t="n"/>
      <c r="W457" s="334" t="n"/>
      <c r="X457" s="334" t="n"/>
      <c r="Y457" s="334" t="n"/>
    </row>
    <row r="458" ht="15" customHeight="1" s="195">
      <c r="A458" s="280" t="n"/>
      <c r="B458" s="280" t="n"/>
      <c r="C458" s="280" t="n"/>
      <c r="D458" s="280" t="n"/>
      <c r="E458" s="280" t="n"/>
      <c r="F458" s="280" t="n"/>
      <c r="G458" s="280" t="n"/>
      <c r="H458" s="280" t="n"/>
      <c r="I458" s="332">
        <f>IFERROR(VLOOKUP(TEXT(H458,"0"),IPRESS!$A$3:$B$212,2,0),"")</f>
        <v/>
      </c>
      <c r="J458" s="280" t="n"/>
      <c r="K458" s="332">
        <f>IFERROR(VLOOKUP(TEXT(O458,"0"),CONDUCTORES!$A$3:$G$54,7,0),"")</f>
        <v/>
      </c>
      <c r="L458" s="280" t="n"/>
      <c r="M458" s="280" t="n"/>
      <c r="N458" s="333">
        <f>IFERROR(IF(L458*M458=0,"",L458*M458),"")</f>
        <v/>
      </c>
      <c r="O458" s="280" t="n"/>
      <c r="P458" s="332">
        <f>IFERROR(VLOOKUP(TEXT(O458,"0"),CONDUCTORES!$A$3:$G$54,2,0),"")</f>
        <v/>
      </c>
      <c r="Q458" s="332">
        <f>IFERROR(VLOOKUP(TEXT(O458,"0"),CONDUCTORES!$A$3:$H$54,6,0),"")</f>
        <v/>
      </c>
      <c r="R458" s="280" t="n"/>
      <c r="S458" s="280" t="n"/>
      <c r="T458" s="280" t="n"/>
      <c r="U458" s="280" t="n"/>
      <c r="V458" s="280" t="n"/>
      <c r="W458" s="280" t="n"/>
      <c r="X458" s="280" t="n"/>
      <c r="Y458" s="280" t="n"/>
    </row>
    <row r="459" ht="15" customHeight="1" s="195">
      <c r="A459" s="334" t="n"/>
      <c r="B459" s="334" t="n"/>
      <c r="C459" s="334" t="n"/>
      <c r="D459" s="334" t="n"/>
      <c r="E459" s="334" t="n"/>
      <c r="F459" s="334" t="n"/>
      <c r="G459" s="334" t="n"/>
      <c r="H459" s="334" t="n"/>
      <c r="I459" s="332">
        <f>IFERROR(VLOOKUP(TEXT(H459,"0"),IPRESS!$A$3:$B$212,2,0),"")</f>
        <v/>
      </c>
      <c r="J459" s="334" t="n"/>
      <c r="K459" s="332">
        <f>IFERROR(VLOOKUP(TEXT(O459,"0"),CONDUCTORES!$A$3:$G$54,7,0),"")</f>
        <v/>
      </c>
      <c r="L459" s="334" t="n"/>
      <c r="M459" s="334" t="n"/>
      <c r="N459" s="333">
        <f>IFERROR(IF(L459*M459=0,"",L459*M459),"")</f>
        <v/>
      </c>
      <c r="O459" s="334" t="n"/>
      <c r="P459" s="332">
        <f>IFERROR(VLOOKUP(TEXT(O459,"0"),CONDUCTORES!$A$3:$G$54,2,0),"")</f>
        <v/>
      </c>
      <c r="Q459" s="332">
        <f>IFERROR(VLOOKUP(TEXT(O459,"0"),CONDUCTORES!$A$3:$H$54,6,0),"")</f>
        <v/>
      </c>
      <c r="R459" s="334" t="n"/>
      <c r="S459" s="334" t="n"/>
      <c r="T459" s="334" t="n"/>
      <c r="U459" s="334" t="n"/>
      <c r="V459" s="334" t="n"/>
      <c r="W459" s="334" t="n"/>
      <c r="X459" s="334" t="n"/>
      <c r="Y459" s="334" t="n"/>
    </row>
    <row r="460" ht="15" customHeight="1" s="195">
      <c r="A460" s="280" t="n"/>
      <c r="B460" s="280" t="n"/>
      <c r="C460" s="280" t="n"/>
      <c r="D460" s="280" t="n"/>
      <c r="E460" s="280" t="n"/>
      <c r="F460" s="280" t="n"/>
      <c r="G460" s="280" t="n"/>
      <c r="H460" s="280" t="n"/>
      <c r="I460" s="332">
        <f>IFERROR(VLOOKUP(TEXT(H460,"0"),IPRESS!$A$3:$B$212,2,0),"")</f>
        <v/>
      </c>
      <c r="J460" s="280" t="n"/>
      <c r="K460" s="332">
        <f>IFERROR(VLOOKUP(TEXT(O460,"0"),CONDUCTORES!$A$3:$G$54,7,0),"")</f>
        <v/>
      </c>
      <c r="L460" s="280" t="n"/>
      <c r="M460" s="280" t="n"/>
      <c r="N460" s="333">
        <f>IFERROR(IF(L460*M460=0,"",L460*M460),"")</f>
        <v/>
      </c>
      <c r="O460" s="280" t="n"/>
      <c r="P460" s="332">
        <f>IFERROR(VLOOKUP(TEXT(O460,"0"),CONDUCTORES!$A$3:$G$54,2,0),"")</f>
        <v/>
      </c>
      <c r="Q460" s="332">
        <f>IFERROR(VLOOKUP(TEXT(O460,"0"),CONDUCTORES!$A$3:$H$54,6,0),"")</f>
        <v/>
      </c>
      <c r="R460" s="280" t="n"/>
      <c r="S460" s="280" t="n"/>
      <c r="T460" s="280" t="n"/>
      <c r="U460" s="280" t="n"/>
      <c r="V460" s="280" t="n"/>
      <c r="W460" s="280" t="n"/>
      <c r="X460" s="280" t="n"/>
      <c r="Y460" s="280" t="n"/>
    </row>
    <row r="461" ht="15" customHeight="1" s="195">
      <c r="A461" s="334" t="n"/>
      <c r="B461" s="334" t="n"/>
      <c r="C461" s="334" t="n"/>
      <c r="D461" s="334" t="n"/>
      <c r="E461" s="334" t="n"/>
      <c r="F461" s="334" t="n"/>
      <c r="G461" s="334" t="n"/>
      <c r="H461" s="334" t="n"/>
      <c r="I461" s="332">
        <f>IFERROR(VLOOKUP(TEXT(H461,"0"),IPRESS!$A$3:$B$212,2,0),"")</f>
        <v/>
      </c>
      <c r="J461" s="334" t="n"/>
      <c r="K461" s="332">
        <f>IFERROR(VLOOKUP(TEXT(O461,"0"),CONDUCTORES!$A$3:$G$54,7,0),"")</f>
        <v/>
      </c>
      <c r="L461" s="334" t="n"/>
      <c r="M461" s="334" t="n"/>
      <c r="N461" s="333">
        <f>IFERROR(IF(L461*M461=0,"",L461*M461),"")</f>
        <v/>
      </c>
      <c r="O461" s="334" t="n"/>
      <c r="P461" s="332">
        <f>IFERROR(VLOOKUP(TEXT(O461,"0"),CONDUCTORES!$A$3:$G$54,2,0),"")</f>
        <v/>
      </c>
      <c r="Q461" s="332">
        <f>IFERROR(VLOOKUP(TEXT(O461,"0"),CONDUCTORES!$A$3:$H$54,6,0),"")</f>
        <v/>
      </c>
      <c r="R461" s="334" t="n"/>
      <c r="S461" s="334" t="n"/>
      <c r="T461" s="334" t="n"/>
      <c r="U461" s="334" t="n"/>
      <c r="V461" s="334" t="n"/>
      <c r="W461" s="334" t="n"/>
      <c r="X461" s="334" t="n"/>
      <c r="Y461" s="334" t="n"/>
    </row>
    <row r="462" ht="15" customHeight="1" s="195">
      <c r="A462" s="280" t="n"/>
      <c r="B462" s="280" t="n"/>
      <c r="C462" s="280" t="n"/>
      <c r="D462" s="280" t="n"/>
      <c r="E462" s="280" t="n"/>
      <c r="F462" s="280" t="n"/>
      <c r="G462" s="280" t="n"/>
      <c r="H462" s="280" t="n"/>
      <c r="I462" s="332">
        <f>IFERROR(VLOOKUP(TEXT(H462,"0"),IPRESS!$A$3:$B$212,2,0),"")</f>
        <v/>
      </c>
      <c r="J462" s="280" t="n"/>
      <c r="K462" s="332">
        <f>IFERROR(VLOOKUP(TEXT(O462,"0"),CONDUCTORES!$A$3:$G$54,7,0),"")</f>
        <v/>
      </c>
      <c r="L462" s="280" t="n"/>
      <c r="M462" s="280" t="n"/>
      <c r="N462" s="333">
        <f>IFERROR(IF(L462*M462=0,"",L462*M462),"")</f>
        <v/>
      </c>
      <c r="O462" s="280" t="n"/>
      <c r="P462" s="332">
        <f>IFERROR(VLOOKUP(TEXT(O462,"0"),CONDUCTORES!$A$3:$G$54,2,0),"")</f>
        <v/>
      </c>
      <c r="Q462" s="332">
        <f>IFERROR(VLOOKUP(TEXT(O462,"0"),CONDUCTORES!$A$3:$H$54,6,0),"")</f>
        <v/>
      </c>
      <c r="R462" s="280" t="n"/>
      <c r="S462" s="280" t="n"/>
      <c r="T462" s="280" t="n"/>
      <c r="U462" s="280" t="n"/>
      <c r="V462" s="280" t="n"/>
      <c r="W462" s="280" t="n"/>
      <c r="X462" s="280" t="n"/>
      <c r="Y462" s="280" t="n"/>
    </row>
    <row r="463" ht="15" customHeight="1" s="195">
      <c r="A463" s="334" t="n"/>
      <c r="B463" s="334" t="n"/>
      <c r="C463" s="334" t="n"/>
      <c r="D463" s="334" t="n"/>
      <c r="E463" s="334" t="n"/>
      <c r="F463" s="334" t="n"/>
      <c r="G463" s="334" t="n"/>
      <c r="H463" s="334" t="n"/>
      <c r="I463" s="332">
        <f>IFERROR(VLOOKUP(TEXT(H463,"0"),IPRESS!$A$3:$B$212,2,0),"")</f>
        <v/>
      </c>
      <c r="J463" s="334" t="n"/>
      <c r="K463" s="332">
        <f>IFERROR(VLOOKUP(TEXT(O463,"0"),CONDUCTORES!$A$3:$G$54,7,0),"")</f>
        <v/>
      </c>
      <c r="L463" s="334" t="n"/>
      <c r="M463" s="334" t="n"/>
      <c r="N463" s="333">
        <f>IFERROR(IF(L463*M463=0,"",L463*M463),"")</f>
        <v/>
      </c>
      <c r="O463" s="334" t="n"/>
      <c r="P463" s="332">
        <f>IFERROR(VLOOKUP(TEXT(O463,"0"),CONDUCTORES!$A$3:$G$54,2,0),"")</f>
        <v/>
      </c>
      <c r="Q463" s="332">
        <f>IFERROR(VLOOKUP(TEXT(O463,"0"),CONDUCTORES!$A$3:$H$54,6,0),"")</f>
        <v/>
      </c>
      <c r="R463" s="334" t="n"/>
      <c r="S463" s="334" t="n"/>
      <c r="T463" s="334" t="n"/>
      <c r="U463" s="334" t="n"/>
      <c r="V463" s="334" t="n"/>
      <c r="W463" s="334" t="n"/>
      <c r="X463" s="334" t="n"/>
      <c r="Y463" s="334" t="n"/>
    </row>
    <row r="464" ht="15" customHeight="1" s="195">
      <c r="A464" s="280" t="n"/>
      <c r="B464" s="280" t="n"/>
      <c r="C464" s="280" t="n"/>
      <c r="D464" s="280" t="n"/>
      <c r="E464" s="280" t="n"/>
      <c r="F464" s="280" t="n"/>
      <c r="G464" s="280" t="n"/>
      <c r="H464" s="280" t="n"/>
      <c r="I464" s="332">
        <f>IFERROR(VLOOKUP(TEXT(H464,"0"),IPRESS!$A$3:$B$212,2,0),"")</f>
        <v/>
      </c>
      <c r="J464" s="280" t="n"/>
      <c r="K464" s="332">
        <f>IFERROR(VLOOKUP(TEXT(O464,"0"),CONDUCTORES!$A$3:$G$54,7,0),"")</f>
        <v/>
      </c>
      <c r="L464" s="280" t="n"/>
      <c r="M464" s="280" t="n"/>
      <c r="N464" s="333">
        <f>IFERROR(IF(L464*M464=0,"",L464*M464),"")</f>
        <v/>
      </c>
      <c r="O464" s="280" t="n"/>
      <c r="P464" s="332">
        <f>IFERROR(VLOOKUP(TEXT(O464,"0"),CONDUCTORES!$A$3:$G$54,2,0),"")</f>
        <v/>
      </c>
      <c r="Q464" s="332">
        <f>IFERROR(VLOOKUP(TEXT(O464,"0"),CONDUCTORES!$A$3:$H$54,6,0),"")</f>
        <v/>
      </c>
      <c r="R464" s="280" t="n"/>
      <c r="S464" s="280" t="n"/>
      <c r="T464" s="280" t="n"/>
      <c r="U464" s="280" t="n"/>
      <c r="V464" s="280" t="n"/>
      <c r="W464" s="280" t="n"/>
      <c r="X464" s="280" t="n"/>
      <c r="Y464" s="280" t="n"/>
    </row>
    <row r="465" ht="15" customHeight="1" s="195">
      <c r="A465" s="334" t="n"/>
      <c r="B465" s="334" t="n"/>
      <c r="C465" s="334" t="n"/>
      <c r="D465" s="334" t="n"/>
      <c r="E465" s="334" t="n"/>
      <c r="F465" s="334" t="n"/>
      <c r="G465" s="334" t="n"/>
      <c r="H465" s="334" t="n"/>
      <c r="I465" s="332">
        <f>IFERROR(VLOOKUP(TEXT(H465,"0"),IPRESS!$A$3:$B$212,2,0),"")</f>
        <v/>
      </c>
      <c r="J465" s="334" t="n"/>
      <c r="K465" s="332">
        <f>IFERROR(VLOOKUP(TEXT(O465,"0"),CONDUCTORES!$A$3:$G$54,7,0),"")</f>
        <v/>
      </c>
      <c r="L465" s="334" t="n"/>
      <c r="M465" s="334" t="n"/>
      <c r="N465" s="333">
        <f>IFERROR(IF(L465*M465=0,"",L465*M465),"")</f>
        <v/>
      </c>
      <c r="O465" s="334" t="n"/>
      <c r="P465" s="332">
        <f>IFERROR(VLOOKUP(TEXT(O465,"0"),CONDUCTORES!$A$3:$G$54,2,0),"")</f>
        <v/>
      </c>
      <c r="Q465" s="332">
        <f>IFERROR(VLOOKUP(TEXT(O465,"0"),CONDUCTORES!$A$3:$H$54,6,0),"")</f>
        <v/>
      </c>
      <c r="R465" s="334" t="n"/>
      <c r="S465" s="334" t="n"/>
      <c r="T465" s="334" t="n"/>
      <c r="U465" s="334" t="n"/>
      <c r="V465" s="334" t="n"/>
      <c r="W465" s="334" t="n"/>
      <c r="X465" s="334" t="n"/>
      <c r="Y465" s="334" t="n"/>
    </row>
    <row r="466" ht="15" customHeight="1" s="195">
      <c r="A466" s="280" t="n"/>
      <c r="B466" s="280" t="n"/>
      <c r="C466" s="280" t="n"/>
      <c r="D466" s="280" t="n"/>
      <c r="E466" s="280" t="n"/>
      <c r="F466" s="280" t="n"/>
      <c r="G466" s="280" t="n"/>
      <c r="H466" s="280" t="n"/>
      <c r="I466" s="332">
        <f>IFERROR(VLOOKUP(TEXT(H466,"0"),IPRESS!$A$3:$B$212,2,0),"")</f>
        <v/>
      </c>
      <c r="J466" s="280" t="n"/>
      <c r="K466" s="332">
        <f>IFERROR(VLOOKUP(TEXT(O466,"0"),CONDUCTORES!$A$3:$G$54,7,0),"")</f>
        <v/>
      </c>
      <c r="L466" s="280" t="n"/>
      <c r="M466" s="280" t="n"/>
      <c r="N466" s="333">
        <f>IFERROR(IF(L466*M466=0,"",L466*M466),"")</f>
        <v/>
      </c>
      <c r="O466" s="280" t="n"/>
      <c r="P466" s="332">
        <f>IFERROR(VLOOKUP(TEXT(O466,"0"),CONDUCTORES!$A$3:$G$54,2,0),"")</f>
        <v/>
      </c>
      <c r="Q466" s="332">
        <f>IFERROR(VLOOKUP(TEXT(O466,"0"),CONDUCTORES!$A$3:$H$54,6,0),"")</f>
        <v/>
      </c>
      <c r="R466" s="280" t="n"/>
      <c r="S466" s="280" t="n"/>
      <c r="T466" s="280" t="n"/>
      <c r="U466" s="280" t="n"/>
      <c r="V466" s="280" t="n"/>
      <c r="W466" s="280" t="n"/>
      <c r="X466" s="280" t="n"/>
      <c r="Y466" s="280" t="n"/>
    </row>
    <row r="467" ht="15" customHeight="1" s="195">
      <c r="A467" s="334" t="n"/>
      <c r="B467" s="334" t="n"/>
      <c r="C467" s="334" t="n"/>
      <c r="D467" s="334" t="n"/>
      <c r="E467" s="334" t="n"/>
      <c r="F467" s="334" t="n"/>
      <c r="G467" s="334" t="n"/>
      <c r="H467" s="334" t="n"/>
      <c r="I467" s="332">
        <f>IFERROR(VLOOKUP(TEXT(H467,"0"),IPRESS!$A$3:$B$212,2,0),"")</f>
        <v/>
      </c>
      <c r="J467" s="334" t="n"/>
      <c r="K467" s="332">
        <f>IFERROR(VLOOKUP(TEXT(O467,"0"),CONDUCTORES!$A$3:$G$54,7,0),"")</f>
        <v/>
      </c>
      <c r="L467" s="334" t="n"/>
      <c r="M467" s="334" t="n"/>
      <c r="N467" s="333">
        <f>IFERROR(IF(L467*M467=0,"",L467*M467),"")</f>
        <v/>
      </c>
      <c r="O467" s="334" t="n"/>
      <c r="P467" s="332">
        <f>IFERROR(VLOOKUP(TEXT(O467,"0"),CONDUCTORES!$A$3:$G$54,2,0),"")</f>
        <v/>
      </c>
      <c r="Q467" s="332">
        <f>IFERROR(VLOOKUP(TEXT(O467,"0"),CONDUCTORES!$A$3:$H$54,6,0),"")</f>
        <v/>
      </c>
      <c r="R467" s="334" t="n"/>
      <c r="S467" s="334" t="n"/>
      <c r="T467" s="334" t="n"/>
      <c r="U467" s="334" t="n"/>
      <c r="V467" s="334" t="n"/>
      <c r="W467" s="334" t="n"/>
      <c r="X467" s="334" t="n"/>
      <c r="Y467" s="334" t="n"/>
    </row>
    <row r="468" ht="15" customHeight="1" s="195">
      <c r="A468" s="280" t="n"/>
      <c r="B468" s="280" t="n"/>
      <c r="C468" s="280" t="n"/>
      <c r="D468" s="280" t="n"/>
      <c r="E468" s="280" t="n"/>
      <c r="F468" s="280" t="n"/>
      <c r="G468" s="280" t="n"/>
      <c r="H468" s="280" t="n"/>
      <c r="I468" s="332">
        <f>IFERROR(VLOOKUP(TEXT(H468,"0"),IPRESS!$A$3:$B$212,2,0),"")</f>
        <v/>
      </c>
      <c r="J468" s="280" t="n"/>
      <c r="K468" s="332">
        <f>IFERROR(VLOOKUP(TEXT(O468,"0"),CONDUCTORES!$A$3:$G$54,7,0),"")</f>
        <v/>
      </c>
      <c r="L468" s="280" t="n"/>
      <c r="M468" s="280" t="n"/>
      <c r="N468" s="333">
        <f>IFERROR(IF(L468*M468=0,"",L468*M468),"")</f>
        <v/>
      </c>
      <c r="O468" s="280" t="n"/>
      <c r="P468" s="332">
        <f>IFERROR(VLOOKUP(TEXT(O468,"0"),CONDUCTORES!$A$3:$G$54,2,0),"")</f>
        <v/>
      </c>
      <c r="Q468" s="332">
        <f>IFERROR(VLOOKUP(TEXT(O468,"0"),CONDUCTORES!$A$3:$H$54,6,0),"")</f>
        <v/>
      </c>
      <c r="R468" s="280" t="n"/>
      <c r="S468" s="280" t="n"/>
      <c r="T468" s="280" t="n"/>
      <c r="U468" s="280" t="n"/>
      <c r="V468" s="280" t="n"/>
      <c r="W468" s="280" t="n"/>
      <c r="X468" s="280" t="n"/>
      <c r="Y468" s="280" t="n"/>
    </row>
    <row r="469" ht="15" customHeight="1" s="195">
      <c r="A469" s="334" t="n"/>
      <c r="B469" s="334" t="n"/>
      <c r="C469" s="334" t="n"/>
      <c r="D469" s="334" t="n"/>
      <c r="E469" s="334" t="n"/>
      <c r="F469" s="334" t="n"/>
      <c r="G469" s="334" t="n"/>
      <c r="H469" s="334" t="n"/>
      <c r="I469" s="332">
        <f>IFERROR(VLOOKUP(TEXT(H469,"0"),IPRESS!$A$3:$B$212,2,0),"")</f>
        <v/>
      </c>
      <c r="J469" s="334" t="n"/>
      <c r="K469" s="332">
        <f>IFERROR(VLOOKUP(TEXT(O469,"0"),CONDUCTORES!$A$3:$G$54,7,0),"")</f>
        <v/>
      </c>
      <c r="L469" s="334" t="n"/>
      <c r="M469" s="334" t="n"/>
      <c r="N469" s="333">
        <f>IFERROR(IF(L469*M469=0,"",L469*M469),"")</f>
        <v/>
      </c>
      <c r="O469" s="334" t="n"/>
      <c r="P469" s="332">
        <f>IFERROR(VLOOKUP(TEXT(O469,"0"),CONDUCTORES!$A$3:$G$54,2,0),"")</f>
        <v/>
      </c>
      <c r="Q469" s="332">
        <f>IFERROR(VLOOKUP(TEXT(O469,"0"),CONDUCTORES!$A$3:$H$54,6,0),"")</f>
        <v/>
      </c>
      <c r="R469" s="334" t="n"/>
      <c r="S469" s="334" t="n"/>
      <c r="T469" s="334" t="n"/>
      <c r="U469" s="334" t="n"/>
      <c r="V469" s="334" t="n"/>
      <c r="W469" s="334" t="n"/>
      <c r="X469" s="334" t="n"/>
      <c r="Y469" s="334" t="n"/>
    </row>
    <row r="470" ht="15" customHeight="1" s="195">
      <c r="A470" s="280" t="n"/>
      <c r="B470" s="280" t="n"/>
      <c r="C470" s="280" t="n"/>
      <c r="D470" s="280" t="n"/>
      <c r="E470" s="280" t="n"/>
      <c r="F470" s="280" t="n"/>
      <c r="G470" s="280" t="n"/>
      <c r="H470" s="280" t="n"/>
      <c r="I470" s="332">
        <f>IFERROR(VLOOKUP(TEXT(H470,"0"),IPRESS!$A$3:$B$212,2,0),"")</f>
        <v/>
      </c>
      <c r="J470" s="280" t="n"/>
      <c r="K470" s="332">
        <f>IFERROR(VLOOKUP(TEXT(O470,"0"),CONDUCTORES!$A$3:$G$54,7,0),"")</f>
        <v/>
      </c>
      <c r="L470" s="280" t="n"/>
      <c r="M470" s="280" t="n"/>
      <c r="N470" s="333">
        <f>IFERROR(IF(L470*M470=0,"",L470*M470),"")</f>
        <v/>
      </c>
      <c r="O470" s="280" t="n"/>
      <c r="P470" s="332">
        <f>IFERROR(VLOOKUP(TEXT(O470,"0"),CONDUCTORES!$A$3:$G$54,2,0),"")</f>
        <v/>
      </c>
      <c r="Q470" s="332">
        <f>IFERROR(VLOOKUP(TEXT(O470,"0"),CONDUCTORES!$A$3:$H$54,6,0),"")</f>
        <v/>
      </c>
      <c r="R470" s="280" t="n"/>
      <c r="S470" s="280" t="n"/>
      <c r="T470" s="280" t="n"/>
      <c r="U470" s="280" t="n"/>
      <c r="V470" s="280" t="n"/>
      <c r="W470" s="280" t="n"/>
      <c r="X470" s="280" t="n"/>
      <c r="Y470" s="280" t="n"/>
    </row>
    <row r="471" ht="15" customHeight="1" s="195">
      <c r="A471" s="334" t="n"/>
      <c r="B471" s="334" t="n"/>
      <c r="C471" s="334" t="n"/>
      <c r="D471" s="334" t="n"/>
      <c r="E471" s="334" t="n"/>
      <c r="F471" s="334" t="n"/>
      <c r="G471" s="334" t="n"/>
      <c r="H471" s="334" t="n"/>
      <c r="I471" s="332">
        <f>IFERROR(VLOOKUP(TEXT(H471,"0"),IPRESS!$A$3:$B$212,2,0),"")</f>
        <v/>
      </c>
      <c r="J471" s="334" t="n"/>
      <c r="K471" s="332">
        <f>IFERROR(VLOOKUP(TEXT(O471,"0"),CONDUCTORES!$A$3:$G$54,7,0),"")</f>
        <v/>
      </c>
      <c r="L471" s="334" t="n"/>
      <c r="M471" s="334" t="n"/>
      <c r="N471" s="333">
        <f>IFERROR(IF(L471*M471=0,"",L471*M471),"")</f>
        <v/>
      </c>
      <c r="O471" s="334" t="n"/>
      <c r="P471" s="332">
        <f>IFERROR(VLOOKUP(TEXT(O471,"0"),CONDUCTORES!$A$3:$G$54,2,0),"")</f>
        <v/>
      </c>
      <c r="Q471" s="332">
        <f>IFERROR(VLOOKUP(TEXT(O471,"0"),CONDUCTORES!$A$3:$H$54,6,0),"")</f>
        <v/>
      </c>
      <c r="R471" s="334" t="n"/>
      <c r="S471" s="334" t="n"/>
      <c r="T471" s="334" t="n"/>
      <c r="U471" s="334" t="n"/>
      <c r="V471" s="334" t="n"/>
      <c r="W471" s="334" t="n"/>
      <c r="X471" s="334" t="n"/>
      <c r="Y471" s="334" t="n"/>
    </row>
    <row r="472" ht="15" customHeight="1" s="195">
      <c r="A472" s="280" t="n"/>
      <c r="B472" s="280" t="n"/>
      <c r="C472" s="280" t="n"/>
      <c r="D472" s="280" t="n"/>
      <c r="E472" s="280" t="n"/>
      <c r="F472" s="280" t="n"/>
      <c r="G472" s="280" t="n"/>
      <c r="H472" s="280" t="n"/>
      <c r="I472" s="332">
        <f>IFERROR(VLOOKUP(TEXT(H472,"0"),IPRESS!$A$3:$B$212,2,0),"")</f>
        <v/>
      </c>
      <c r="J472" s="280" t="n"/>
      <c r="K472" s="332">
        <f>IFERROR(VLOOKUP(TEXT(O472,"0"),CONDUCTORES!$A$3:$G$54,7,0),"")</f>
        <v/>
      </c>
      <c r="L472" s="280" t="n"/>
      <c r="M472" s="280" t="n"/>
      <c r="N472" s="333">
        <f>IFERROR(IF(L472*M472=0,"",L472*M472),"")</f>
        <v/>
      </c>
      <c r="O472" s="280" t="n"/>
      <c r="P472" s="332">
        <f>IFERROR(VLOOKUP(TEXT(O472,"0"),CONDUCTORES!$A$3:$G$54,2,0),"")</f>
        <v/>
      </c>
      <c r="Q472" s="332">
        <f>IFERROR(VLOOKUP(TEXT(O472,"0"),CONDUCTORES!$A$3:$H$54,6,0),"")</f>
        <v/>
      </c>
      <c r="R472" s="280" t="n"/>
      <c r="S472" s="280" t="n"/>
      <c r="T472" s="280" t="n"/>
      <c r="U472" s="280" t="n"/>
      <c r="V472" s="280" t="n"/>
      <c r="W472" s="280" t="n"/>
      <c r="X472" s="280" t="n"/>
      <c r="Y472" s="280" t="n"/>
    </row>
    <row r="473" ht="15" customHeight="1" s="195">
      <c r="A473" s="334" t="n"/>
      <c r="B473" s="334" t="n"/>
      <c r="C473" s="334" t="n"/>
      <c r="D473" s="334" t="n"/>
      <c r="E473" s="334" t="n"/>
      <c r="F473" s="334" t="n"/>
      <c r="G473" s="334" t="n"/>
      <c r="H473" s="334" t="n"/>
      <c r="I473" s="332">
        <f>IFERROR(VLOOKUP(TEXT(H473,"0"),IPRESS!$A$3:$B$212,2,0),"")</f>
        <v/>
      </c>
      <c r="J473" s="334" t="n"/>
      <c r="K473" s="332">
        <f>IFERROR(VLOOKUP(TEXT(O473,"0"),CONDUCTORES!$A$3:$G$54,7,0),"")</f>
        <v/>
      </c>
      <c r="L473" s="334" t="n"/>
      <c r="M473" s="334" t="n"/>
      <c r="N473" s="333">
        <f>IFERROR(IF(L473*M473=0,"",L473*M473),"")</f>
        <v/>
      </c>
      <c r="O473" s="334" t="n"/>
      <c r="P473" s="332">
        <f>IFERROR(VLOOKUP(TEXT(O473,"0"),CONDUCTORES!$A$3:$G$54,2,0),"")</f>
        <v/>
      </c>
      <c r="Q473" s="332">
        <f>IFERROR(VLOOKUP(TEXT(O473,"0"),CONDUCTORES!$A$3:$H$54,6,0),"")</f>
        <v/>
      </c>
      <c r="R473" s="334" t="n"/>
      <c r="S473" s="334" t="n"/>
      <c r="T473" s="334" t="n"/>
      <c r="U473" s="334" t="n"/>
      <c r="V473" s="334" t="n"/>
      <c r="W473" s="334" t="n"/>
      <c r="X473" s="334" t="n"/>
      <c r="Y473" s="334" t="n"/>
    </row>
    <row r="474" ht="15" customHeight="1" s="195">
      <c r="A474" s="280" t="n"/>
      <c r="B474" s="280" t="n"/>
      <c r="C474" s="280" t="n"/>
      <c r="D474" s="280" t="n"/>
      <c r="E474" s="280" t="n"/>
      <c r="F474" s="280" t="n"/>
      <c r="G474" s="280" t="n"/>
      <c r="H474" s="280" t="n"/>
      <c r="I474" s="332">
        <f>IFERROR(VLOOKUP(TEXT(H474,"0"),IPRESS!$A$3:$B$212,2,0),"")</f>
        <v/>
      </c>
      <c r="J474" s="280" t="n"/>
      <c r="K474" s="332">
        <f>IFERROR(VLOOKUP(TEXT(O474,"0"),CONDUCTORES!$A$3:$G$54,7,0),"")</f>
        <v/>
      </c>
      <c r="L474" s="280" t="n"/>
      <c r="M474" s="280" t="n"/>
      <c r="N474" s="333">
        <f>IFERROR(IF(L474*M474=0,"",L474*M474),"")</f>
        <v/>
      </c>
      <c r="O474" s="280" t="n"/>
      <c r="P474" s="332">
        <f>IFERROR(VLOOKUP(TEXT(O474,"0"),CONDUCTORES!$A$3:$G$54,2,0),"")</f>
        <v/>
      </c>
      <c r="Q474" s="332">
        <f>IFERROR(VLOOKUP(TEXT(O474,"0"),CONDUCTORES!$A$3:$H$54,6,0),"")</f>
        <v/>
      </c>
      <c r="R474" s="280" t="n"/>
      <c r="S474" s="280" t="n"/>
      <c r="T474" s="280" t="n"/>
      <c r="U474" s="280" t="n"/>
      <c r="V474" s="280" t="n"/>
      <c r="W474" s="280" t="n"/>
      <c r="X474" s="280" t="n"/>
      <c r="Y474" s="280" t="n"/>
    </row>
    <row r="475" ht="15" customHeight="1" s="195">
      <c r="A475" s="334" t="n"/>
      <c r="B475" s="334" t="n"/>
      <c r="C475" s="334" t="n"/>
      <c r="D475" s="334" t="n"/>
      <c r="E475" s="334" t="n"/>
      <c r="F475" s="334" t="n"/>
      <c r="G475" s="334" t="n"/>
      <c r="H475" s="334" t="n"/>
      <c r="I475" s="332">
        <f>IFERROR(VLOOKUP(TEXT(H475,"0"),IPRESS!$A$3:$B$212,2,0),"")</f>
        <v/>
      </c>
      <c r="J475" s="334" t="n"/>
      <c r="K475" s="332">
        <f>IFERROR(VLOOKUP(TEXT(O475,"0"),CONDUCTORES!$A$3:$G$54,7,0),"")</f>
        <v/>
      </c>
      <c r="L475" s="334" t="n"/>
      <c r="M475" s="334" t="n"/>
      <c r="N475" s="333">
        <f>IFERROR(IF(L475*M475=0,"",L475*M475),"")</f>
        <v/>
      </c>
      <c r="O475" s="334" t="n"/>
      <c r="P475" s="332">
        <f>IFERROR(VLOOKUP(TEXT(O475,"0"),CONDUCTORES!$A$3:$G$54,2,0),"")</f>
        <v/>
      </c>
      <c r="Q475" s="332">
        <f>IFERROR(VLOOKUP(TEXT(O475,"0"),CONDUCTORES!$A$3:$H$54,6,0),"")</f>
        <v/>
      </c>
      <c r="R475" s="334" t="n"/>
      <c r="S475" s="334" t="n"/>
      <c r="T475" s="334" t="n"/>
      <c r="U475" s="334" t="n"/>
      <c r="V475" s="334" t="n"/>
      <c r="W475" s="334" t="n"/>
      <c r="X475" s="334" t="n"/>
      <c r="Y475" s="334" t="n"/>
    </row>
    <row r="476" ht="15" customHeight="1" s="195">
      <c r="A476" s="280" t="n"/>
      <c r="B476" s="280" t="n"/>
      <c r="C476" s="280" t="n"/>
      <c r="D476" s="280" t="n"/>
      <c r="E476" s="280" t="n"/>
      <c r="F476" s="280" t="n"/>
      <c r="G476" s="280" t="n"/>
      <c r="H476" s="280" t="n"/>
      <c r="I476" s="332">
        <f>IFERROR(VLOOKUP(TEXT(H476,"0"),IPRESS!$A$3:$B$212,2,0),"")</f>
        <v/>
      </c>
      <c r="J476" s="280" t="n"/>
      <c r="K476" s="332">
        <f>IFERROR(VLOOKUP(TEXT(O476,"0"),CONDUCTORES!$A$3:$G$54,7,0),"")</f>
        <v/>
      </c>
      <c r="L476" s="280" t="n"/>
      <c r="M476" s="280" t="n"/>
      <c r="N476" s="333">
        <f>IFERROR(IF(L476*M476=0,"",L476*M476),"")</f>
        <v/>
      </c>
      <c r="O476" s="280" t="n"/>
      <c r="P476" s="332">
        <f>IFERROR(VLOOKUP(TEXT(O476,"0"),CONDUCTORES!$A$3:$G$54,2,0),"")</f>
        <v/>
      </c>
      <c r="Q476" s="332">
        <f>IFERROR(VLOOKUP(TEXT(O476,"0"),CONDUCTORES!$A$3:$H$54,6,0),"")</f>
        <v/>
      </c>
      <c r="R476" s="280" t="n"/>
      <c r="S476" s="280" t="n"/>
      <c r="T476" s="280" t="n"/>
      <c r="U476" s="280" t="n"/>
      <c r="V476" s="280" t="n"/>
      <c r="W476" s="280" t="n"/>
      <c r="X476" s="280" t="n"/>
      <c r="Y476" s="280" t="n"/>
    </row>
    <row r="477" ht="15" customHeight="1" s="195">
      <c r="A477" s="334" t="n"/>
      <c r="B477" s="334" t="n"/>
      <c r="C477" s="334" t="n"/>
      <c r="D477" s="334" t="n"/>
      <c r="E477" s="334" t="n"/>
      <c r="F477" s="334" t="n"/>
      <c r="G477" s="334" t="n"/>
      <c r="H477" s="334" t="n"/>
      <c r="I477" s="332">
        <f>IFERROR(VLOOKUP(TEXT(H477,"0"),IPRESS!$A$3:$B$212,2,0),"")</f>
        <v/>
      </c>
      <c r="J477" s="334" t="n"/>
      <c r="K477" s="332">
        <f>IFERROR(VLOOKUP(TEXT(O477,"0"),CONDUCTORES!$A$3:$G$54,7,0),"")</f>
        <v/>
      </c>
      <c r="L477" s="334" t="n"/>
      <c r="M477" s="334" t="n"/>
      <c r="N477" s="333">
        <f>IFERROR(IF(L477*M477=0,"",L477*M477),"")</f>
        <v/>
      </c>
      <c r="O477" s="334" t="n"/>
      <c r="P477" s="332">
        <f>IFERROR(VLOOKUP(TEXT(O477,"0"),CONDUCTORES!$A$3:$G$54,2,0),"")</f>
        <v/>
      </c>
      <c r="Q477" s="332">
        <f>IFERROR(VLOOKUP(TEXT(O477,"0"),CONDUCTORES!$A$3:$H$54,6,0),"")</f>
        <v/>
      </c>
      <c r="R477" s="334" t="n"/>
      <c r="S477" s="334" t="n"/>
      <c r="T477" s="334" t="n"/>
      <c r="U477" s="334" t="n"/>
      <c r="V477" s="334" t="n"/>
      <c r="W477" s="334" t="n"/>
      <c r="X477" s="334" t="n"/>
      <c r="Y477" s="334" t="n"/>
    </row>
    <row r="478" ht="15" customHeight="1" s="195">
      <c r="A478" s="280" t="n"/>
      <c r="B478" s="280" t="n"/>
      <c r="C478" s="280" t="n"/>
      <c r="D478" s="280" t="n"/>
      <c r="E478" s="280" t="n"/>
      <c r="F478" s="280" t="n"/>
      <c r="G478" s="280" t="n"/>
      <c r="H478" s="280" t="n"/>
      <c r="I478" s="332">
        <f>IFERROR(VLOOKUP(TEXT(H478,"0"),IPRESS!$A$3:$B$212,2,0),"")</f>
        <v/>
      </c>
      <c r="J478" s="280" t="n"/>
      <c r="K478" s="332">
        <f>IFERROR(VLOOKUP(TEXT(O478,"0"),CONDUCTORES!$A$3:$G$54,7,0),"")</f>
        <v/>
      </c>
      <c r="L478" s="280" t="n"/>
      <c r="M478" s="280" t="n"/>
      <c r="N478" s="333">
        <f>IFERROR(IF(L478*M478=0,"",L478*M478),"")</f>
        <v/>
      </c>
      <c r="O478" s="280" t="n"/>
      <c r="P478" s="332">
        <f>IFERROR(VLOOKUP(TEXT(O478,"0"),CONDUCTORES!$A$3:$G$54,2,0),"")</f>
        <v/>
      </c>
      <c r="Q478" s="332">
        <f>IFERROR(VLOOKUP(TEXT(O478,"0"),CONDUCTORES!$A$3:$H$54,6,0),"")</f>
        <v/>
      </c>
      <c r="R478" s="280" t="n"/>
      <c r="S478" s="280" t="n"/>
      <c r="T478" s="280" t="n"/>
      <c r="U478" s="280" t="n"/>
      <c r="V478" s="280" t="n"/>
      <c r="W478" s="280" t="n"/>
      <c r="X478" s="280" t="n"/>
      <c r="Y478" s="280" t="n"/>
    </row>
    <row r="479" ht="15" customHeight="1" s="195">
      <c r="A479" s="334" t="n"/>
      <c r="B479" s="334" t="n"/>
      <c r="C479" s="334" t="n"/>
      <c r="D479" s="334" t="n"/>
      <c r="E479" s="334" t="n"/>
      <c r="F479" s="334" t="n"/>
      <c r="G479" s="334" t="n"/>
      <c r="H479" s="334" t="n"/>
      <c r="I479" s="332">
        <f>IFERROR(VLOOKUP(TEXT(H479,"0"),IPRESS!$A$3:$B$212,2,0),"")</f>
        <v/>
      </c>
      <c r="J479" s="334" t="n"/>
      <c r="K479" s="332">
        <f>IFERROR(VLOOKUP(TEXT(O479,"0"),CONDUCTORES!$A$3:$G$54,7,0),"")</f>
        <v/>
      </c>
      <c r="L479" s="334" t="n"/>
      <c r="M479" s="334" t="n"/>
      <c r="N479" s="333">
        <f>IFERROR(IF(L479*M479=0,"",L479*M479),"")</f>
        <v/>
      </c>
      <c r="O479" s="334" t="n"/>
      <c r="P479" s="332">
        <f>IFERROR(VLOOKUP(TEXT(O479,"0"),CONDUCTORES!$A$3:$G$54,2,0),"")</f>
        <v/>
      </c>
      <c r="Q479" s="332">
        <f>IFERROR(VLOOKUP(TEXT(O479,"0"),CONDUCTORES!$A$3:$H$54,6,0),"")</f>
        <v/>
      </c>
      <c r="R479" s="334" t="n"/>
      <c r="S479" s="334" t="n"/>
      <c r="T479" s="334" t="n"/>
      <c r="U479" s="334" t="n"/>
      <c r="V479" s="334" t="n"/>
      <c r="W479" s="334" t="n"/>
      <c r="X479" s="334" t="n"/>
      <c r="Y479" s="334" t="n"/>
    </row>
    <row r="480" ht="15" customHeight="1" s="195">
      <c r="A480" s="280" t="n"/>
      <c r="B480" s="280" t="n"/>
      <c r="C480" s="280" t="n"/>
      <c r="D480" s="280" t="n"/>
      <c r="E480" s="280" t="n"/>
      <c r="F480" s="280" t="n"/>
      <c r="G480" s="280" t="n"/>
      <c r="H480" s="280" t="n"/>
      <c r="I480" s="332">
        <f>IFERROR(VLOOKUP(TEXT(H480,"0"),IPRESS!$A$3:$B$212,2,0),"")</f>
        <v/>
      </c>
      <c r="J480" s="280" t="n"/>
      <c r="K480" s="332">
        <f>IFERROR(VLOOKUP(TEXT(O480,"0"),CONDUCTORES!$A$3:$G$54,7,0),"")</f>
        <v/>
      </c>
      <c r="L480" s="280" t="n"/>
      <c r="M480" s="280" t="n"/>
      <c r="N480" s="333">
        <f>IFERROR(IF(L480*M480=0,"",L480*M480),"")</f>
        <v/>
      </c>
      <c r="O480" s="280" t="n"/>
      <c r="P480" s="332">
        <f>IFERROR(VLOOKUP(TEXT(O480,"0"),CONDUCTORES!$A$3:$G$54,2,0),"")</f>
        <v/>
      </c>
      <c r="Q480" s="332">
        <f>IFERROR(VLOOKUP(TEXT(O480,"0"),CONDUCTORES!$A$3:$H$54,6,0),"")</f>
        <v/>
      </c>
      <c r="R480" s="280" t="n"/>
      <c r="S480" s="280" t="n"/>
      <c r="T480" s="280" t="n"/>
      <c r="U480" s="280" t="n"/>
      <c r="V480" s="280" t="n"/>
      <c r="W480" s="280" t="n"/>
      <c r="X480" s="280" t="n"/>
      <c r="Y480" s="280" t="n"/>
    </row>
    <row r="481" ht="15" customHeight="1" s="195">
      <c r="A481" s="334" t="n"/>
      <c r="B481" s="334" t="n"/>
      <c r="C481" s="334" t="n"/>
      <c r="D481" s="334" t="n"/>
      <c r="E481" s="334" t="n"/>
      <c r="F481" s="334" t="n"/>
      <c r="G481" s="334" t="n"/>
      <c r="H481" s="334" t="n"/>
      <c r="I481" s="332">
        <f>IFERROR(VLOOKUP(TEXT(H481,"0"),IPRESS!$A$3:$B$212,2,0),"")</f>
        <v/>
      </c>
      <c r="J481" s="334" t="n"/>
      <c r="K481" s="332">
        <f>IFERROR(VLOOKUP(TEXT(O481,"0"),CONDUCTORES!$A$3:$G$54,7,0),"")</f>
        <v/>
      </c>
      <c r="L481" s="334" t="n"/>
      <c r="M481" s="334" t="n"/>
      <c r="N481" s="333">
        <f>IFERROR(IF(L481*M481=0,"",L481*M481),"")</f>
        <v/>
      </c>
      <c r="O481" s="334" t="n"/>
      <c r="P481" s="332">
        <f>IFERROR(VLOOKUP(TEXT(O481,"0"),CONDUCTORES!$A$3:$G$54,2,0),"")</f>
        <v/>
      </c>
      <c r="Q481" s="332">
        <f>IFERROR(VLOOKUP(TEXT(O481,"0"),CONDUCTORES!$A$3:$H$54,6,0),"")</f>
        <v/>
      </c>
      <c r="R481" s="334" t="n"/>
      <c r="S481" s="334" t="n"/>
      <c r="T481" s="334" t="n"/>
      <c r="U481" s="334" t="n"/>
      <c r="V481" s="334" t="n"/>
      <c r="W481" s="334" t="n"/>
      <c r="X481" s="334" t="n"/>
      <c r="Y481" s="334" t="n"/>
    </row>
    <row r="482" ht="15" customHeight="1" s="195">
      <c r="A482" s="280" t="n"/>
      <c r="B482" s="280" t="n"/>
      <c r="C482" s="280" t="n"/>
      <c r="D482" s="280" t="n"/>
      <c r="E482" s="280" t="n"/>
      <c r="F482" s="280" t="n"/>
      <c r="G482" s="280" t="n"/>
      <c r="H482" s="280" t="n"/>
      <c r="I482" s="332">
        <f>IFERROR(VLOOKUP(TEXT(H482,"0"),IPRESS!$A$3:$B$212,2,0),"")</f>
        <v/>
      </c>
      <c r="J482" s="280" t="n"/>
      <c r="K482" s="332">
        <f>IFERROR(VLOOKUP(TEXT(O482,"0"),CONDUCTORES!$A$3:$G$54,7,0),"")</f>
        <v/>
      </c>
      <c r="L482" s="280" t="n"/>
      <c r="M482" s="280" t="n"/>
      <c r="N482" s="333">
        <f>IFERROR(IF(L482*M482=0,"",L482*M482),"")</f>
        <v/>
      </c>
      <c r="O482" s="280" t="n"/>
      <c r="P482" s="332">
        <f>IFERROR(VLOOKUP(TEXT(O482,"0"),CONDUCTORES!$A$3:$G$54,2,0),"")</f>
        <v/>
      </c>
      <c r="Q482" s="332">
        <f>IFERROR(VLOOKUP(TEXT(O482,"0"),CONDUCTORES!$A$3:$H$54,6,0),"")</f>
        <v/>
      </c>
      <c r="R482" s="280" t="n"/>
      <c r="S482" s="280" t="n"/>
      <c r="T482" s="280" t="n"/>
      <c r="U482" s="280" t="n"/>
      <c r="V482" s="280" t="n"/>
      <c r="W482" s="280" t="n"/>
      <c r="X482" s="280" t="n"/>
      <c r="Y482" s="280" t="n"/>
    </row>
    <row r="483" ht="15" customHeight="1" s="195">
      <c r="A483" s="334" t="n"/>
      <c r="B483" s="334" t="n"/>
      <c r="C483" s="334" t="n"/>
      <c r="D483" s="334" t="n"/>
      <c r="E483" s="334" t="n"/>
      <c r="F483" s="334" t="n"/>
      <c r="G483" s="334" t="n"/>
      <c r="H483" s="334" t="n"/>
      <c r="I483" s="332">
        <f>IFERROR(VLOOKUP(TEXT(H483,"0"),IPRESS!$A$3:$B$212,2,0),"")</f>
        <v/>
      </c>
      <c r="J483" s="334" t="n"/>
      <c r="K483" s="332">
        <f>IFERROR(VLOOKUP(TEXT(O483,"0"),CONDUCTORES!$A$3:$G$54,7,0),"")</f>
        <v/>
      </c>
      <c r="L483" s="334" t="n"/>
      <c r="M483" s="334" t="n"/>
      <c r="N483" s="333">
        <f>IFERROR(IF(L483*M483=0,"",L483*M483),"")</f>
        <v/>
      </c>
      <c r="O483" s="334" t="n"/>
      <c r="P483" s="332">
        <f>IFERROR(VLOOKUP(TEXT(O483,"0"),CONDUCTORES!$A$3:$G$54,2,0),"")</f>
        <v/>
      </c>
      <c r="Q483" s="332">
        <f>IFERROR(VLOOKUP(TEXT(O483,"0"),CONDUCTORES!$A$3:$H$54,6,0),"")</f>
        <v/>
      </c>
      <c r="R483" s="334" t="n"/>
      <c r="S483" s="334" t="n"/>
      <c r="T483" s="334" t="n"/>
      <c r="U483" s="334" t="n"/>
      <c r="V483" s="334" t="n"/>
      <c r="W483" s="334" t="n"/>
      <c r="X483" s="334" t="n"/>
      <c r="Y483" s="334" t="n"/>
    </row>
    <row r="484" ht="15" customHeight="1" s="195">
      <c r="A484" s="280" t="n"/>
      <c r="B484" s="280" t="n"/>
      <c r="C484" s="280" t="n"/>
      <c r="D484" s="280" t="n"/>
      <c r="E484" s="280" t="n"/>
      <c r="F484" s="280" t="n"/>
      <c r="G484" s="280" t="n"/>
      <c r="H484" s="280" t="n"/>
      <c r="I484" s="332">
        <f>IFERROR(VLOOKUP(TEXT(H484,"0"),IPRESS!$A$3:$B$212,2,0),"")</f>
        <v/>
      </c>
      <c r="J484" s="280" t="n"/>
      <c r="K484" s="332">
        <f>IFERROR(VLOOKUP(TEXT(O484,"0"),CONDUCTORES!$A$3:$G$54,7,0),"")</f>
        <v/>
      </c>
      <c r="L484" s="280" t="n"/>
      <c r="M484" s="280" t="n"/>
      <c r="N484" s="333">
        <f>IFERROR(IF(L484*M484=0,"",L484*M484),"")</f>
        <v/>
      </c>
      <c r="O484" s="280" t="n"/>
      <c r="P484" s="332">
        <f>IFERROR(VLOOKUP(TEXT(O484,"0"),CONDUCTORES!$A$3:$G$54,2,0),"")</f>
        <v/>
      </c>
      <c r="Q484" s="332">
        <f>IFERROR(VLOOKUP(TEXT(O484,"0"),CONDUCTORES!$A$3:$H$54,6,0),"")</f>
        <v/>
      </c>
      <c r="R484" s="280" t="n"/>
      <c r="S484" s="280" t="n"/>
      <c r="T484" s="280" t="n"/>
      <c r="U484" s="280" t="n"/>
      <c r="V484" s="280" t="n"/>
      <c r="W484" s="280" t="n"/>
      <c r="X484" s="280" t="n"/>
      <c r="Y484" s="280" t="n"/>
    </row>
    <row r="485" ht="15" customHeight="1" s="195">
      <c r="A485" s="334" t="n"/>
      <c r="B485" s="334" t="n"/>
      <c r="C485" s="334" t="n"/>
      <c r="D485" s="334" t="n"/>
      <c r="E485" s="334" t="n"/>
      <c r="F485" s="334" t="n"/>
      <c r="G485" s="334" t="n"/>
      <c r="H485" s="334" t="n"/>
      <c r="I485" s="332">
        <f>IFERROR(VLOOKUP(TEXT(H485,"0"),IPRESS!$A$3:$B$212,2,0),"")</f>
        <v/>
      </c>
      <c r="J485" s="334" t="n"/>
      <c r="K485" s="332">
        <f>IFERROR(VLOOKUP(TEXT(O485,"0"),CONDUCTORES!$A$3:$G$54,7,0),"")</f>
        <v/>
      </c>
      <c r="L485" s="334" t="n"/>
      <c r="M485" s="334" t="n"/>
      <c r="N485" s="333">
        <f>IFERROR(IF(L485*M485=0,"",L485*M485),"")</f>
        <v/>
      </c>
      <c r="O485" s="334" t="n"/>
      <c r="P485" s="332">
        <f>IFERROR(VLOOKUP(TEXT(O485,"0"),CONDUCTORES!$A$3:$G$54,2,0),"")</f>
        <v/>
      </c>
      <c r="Q485" s="332">
        <f>IFERROR(VLOOKUP(TEXT(O485,"0"),CONDUCTORES!$A$3:$H$54,6,0),"")</f>
        <v/>
      </c>
      <c r="R485" s="334" t="n"/>
      <c r="S485" s="334" t="n"/>
      <c r="T485" s="334" t="n"/>
      <c r="U485" s="334" t="n"/>
      <c r="V485" s="334" t="n"/>
      <c r="W485" s="334" t="n"/>
      <c r="X485" s="334" t="n"/>
      <c r="Y485" s="334" t="n"/>
    </row>
    <row r="486" ht="15" customHeight="1" s="195">
      <c r="A486" s="280" t="n"/>
      <c r="B486" s="280" t="n"/>
      <c r="C486" s="280" t="n"/>
      <c r="D486" s="280" t="n"/>
      <c r="E486" s="280" t="n"/>
      <c r="F486" s="280" t="n"/>
      <c r="G486" s="280" t="n"/>
      <c r="H486" s="280" t="n"/>
      <c r="I486" s="332">
        <f>IFERROR(VLOOKUP(TEXT(H486,"0"),IPRESS!$A$3:$B$212,2,0),"")</f>
        <v/>
      </c>
      <c r="J486" s="280" t="n"/>
      <c r="K486" s="332">
        <f>IFERROR(VLOOKUP(TEXT(O486,"0"),CONDUCTORES!$A$3:$G$54,7,0),"")</f>
        <v/>
      </c>
      <c r="L486" s="280" t="n"/>
      <c r="M486" s="280" t="n"/>
      <c r="N486" s="333">
        <f>IFERROR(IF(L486*M486=0,"",L486*M486),"")</f>
        <v/>
      </c>
      <c r="O486" s="280" t="n"/>
      <c r="P486" s="332">
        <f>IFERROR(VLOOKUP(TEXT(O486,"0"),CONDUCTORES!$A$3:$G$54,2,0),"")</f>
        <v/>
      </c>
      <c r="Q486" s="332">
        <f>IFERROR(VLOOKUP(TEXT(O486,"0"),CONDUCTORES!$A$3:$H$54,6,0),"")</f>
        <v/>
      </c>
      <c r="R486" s="280" t="n"/>
      <c r="S486" s="280" t="n"/>
      <c r="T486" s="280" t="n"/>
      <c r="U486" s="280" t="n"/>
      <c r="V486" s="280" t="n"/>
      <c r="W486" s="280" t="n"/>
      <c r="X486" s="280" t="n"/>
      <c r="Y486" s="280" t="n"/>
    </row>
    <row r="487" ht="15" customHeight="1" s="195">
      <c r="A487" s="334" t="n"/>
      <c r="B487" s="334" t="n"/>
      <c r="C487" s="334" t="n"/>
      <c r="D487" s="334" t="n"/>
      <c r="E487" s="334" t="n"/>
      <c r="F487" s="334" t="n"/>
      <c r="G487" s="334" t="n"/>
      <c r="H487" s="334" t="n"/>
      <c r="I487" s="332">
        <f>IFERROR(VLOOKUP(TEXT(H487,"0"),IPRESS!$A$3:$B$212,2,0),"")</f>
        <v/>
      </c>
      <c r="J487" s="334" t="n"/>
      <c r="K487" s="332">
        <f>IFERROR(VLOOKUP(TEXT(O487,"0"),CONDUCTORES!$A$3:$G$54,7,0),"")</f>
        <v/>
      </c>
      <c r="L487" s="334" t="n"/>
      <c r="M487" s="334" t="n"/>
      <c r="N487" s="333">
        <f>IFERROR(IF(L487*M487=0,"",L487*M487),"")</f>
        <v/>
      </c>
      <c r="O487" s="334" t="n"/>
      <c r="P487" s="332">
        <f>IFERROR(VLOOKUP(TEXT(O487,"0"),CONDUCTORES!$A$3:$G$54,2,0),"")</f>
        <v/>
      </c>
      <c r="Q487" s="332">
        <f>IFERROR(VLOOKUP(TEXT(O487,"0"),CONDUCTORES!$A$3:$H$54,6,0),"")</f>
        <v/>
      </c>
      <c r="R487" s="334" t="n"/>
      <c r="S487" s="334" t="n"/>
      <c r="T487" s="334" t="n"/>
      <c r="U487" s="334" t="n"/>
      <c r="V487" s="334" t="n"/>
      <c r="W487" s="334" t="n"/>
      <c r="X487" s="334" t="n"/>
      <c r="Y487" s="334" t="n"/>
    </row>
    <row r="488" ht="15" customHeight="1" s="195">
      <c r="A488" s="280" t="n"/>
      <c r="B488" s="280" t="n"/>
      <c r="C488" s="280" t="n"/>
      <c r="D488" s="280" t="n"/>
      <c r="E488" s="280" t="n"/>
      <c r="F488" s="280" t="n"/>
      <c r="G488" s="280" t="n"/>
      <c r="H488" s="280" t="n"/>
      <c r="I488" s="332">
        <f>IFERROR(VLOOKUP(TEXT(H488,"0"),IPRESS!$A$3:$B$212,2,0),"")</f>
        <v/>
      </c>
      <c r="J488" s="280" t="n"/>
      <c r="K488" s="332">
        <f>IFERROR(VLOOKUP(TEXT(O488,"0"),CONDUCTORES!$A$3:$G$54,7,0),"")</f>
        <v/>
      </c>
      <c r="L488" s="280" t="n"/>
      <c r="M488" s="280" t="n"/>
      <c r="N488" s="333">
        <f>IFERROR(IF(L488*M488=0,"",L488*M488),"")</f>
        <v/>
      </c>
      <c r="O488" s="280" t="n"/>
      <c r="P488" s="332">
        <f>IFERROR(VLOOKUP(TEXT(O488,"0"),CONDUCTORES!$A$3:$G$54,2,0),"")</f>
        <v/>
      </c>
      <c r="Q488" s="332">
        <f>IFERROR(VLOOKUP(TEXT(O488,"0"),CONDUCTORES!$A$3:$H$54,6,0),"")</f>
        <v/>
      </c>
      <c r="R488" s="280" t="n"/>
      <c r="S488" s="280" t="n"/>
      <c r="T488" s="280" t="n"/>
      <c r="U488" s="280" t="n"/>
      <c r="V488" s="280" t="n"/>
      <c r="W488" s="280" t="n"/>
      <c r="X488" s="280" t="n"/>
      <c r="Y488" s="280" t="n"/>
    </row>
    <row r="489" ht="15" customHeight="1" s="195">
      <c r="A489" s="334" t="n"/>
      <c r="B489" s="334" t="n"/>
      <c r="C489" s="334" t="n"/>
      <c r="D489" s="334" t="n"/>
      <c r="E489" s="334" t="n"/>
      <c r="F489" s="334" t="n"/>
      <c r="G489" s="334" t="n"/>
      <c r="H489" s="334" t="n"/>
      <c r="I489" s="332">
        <f>IFERROR(VLOOKUP(TEXT(H489,"0"),IPRESS!$A$3:$B$212,2,0),"")</f>
        <v/>
      </c>
      <c r="J489" s="334" t="n"/>
      <c r="K489" s="332">
        <f>IFERROR(VLOOKUP(TEXT(O489,"0"),CONDUCTORES!$A$3:$G$54,7,0),"")</f>
        <v/>
      </c>
      <c r="L489" s="334" t="n"/>
      <c r="M489" s="334" t="n"/>
      <c r="N489" s="333">
        <f>IFERROR(IF(L489*M489=0,"",L489*M489),"")</f>
        <v/>
      </c>
      <c r="O489" s="334" t="n"/>
      <c r="P489" s="332">
        <f>IFERROR(VLOOKUP(TEXT(O489,"0"),CONDUCTORES!$A$3:$G$54,2,0),"")</f>
        <v/>
      </c>
      <c r="Q489" s="332">
        <f>IFERROR(VLOOKUP(TEXT(O489,"0"),CONDUCTORES!$A$3:$H$54,6,0),"")</f>
        <v/>
      </c>
      <c r="R489" s="334" t="n"/>
      <c r="S489" s="334" t="n"/>
      <c r="T489" s="334" t="n"/>
      <c r="U489" s="334" t="n"/>
      <c r="V489" s="334" t="n"/>
      <c r="W489" s="334" t="n"/>
      <c r="X489" s="334" t="n"/>
      <c r="Y489" s="334" t="n"/>
    </row>
    <row r="490" ht="15" customHeight="1" s="195">
      <c r="A490" s="280" t="n"/>
      <c r="B490" s="280" t="n"/>
      <c r="C490" s="280" t="n"/>
      <c r="D490" s="280" t="n"/>
      <c r="E490" s="280" t="n"/>
      <c r="F490" s="280" t="n"/>
      <c r="G490" s="280" t="n"/>
      <c r="H490" s="280" t="n"/>
      <c r="I490" s="332">
        <f>IFERROR(VLOOKUP(TEXT(H490,"0"),IPRESS!$A$3:$B$212,2,0),"")</f>
        <v/>
      </c>
      <c r="J490" s="280" t="n"/>
      <c r="K490" s="332">
        <f>IFERROR(VLOOKUP(TEXT(O490,"0"),CONDUCTORES!$A$3:$G$54,7,0),"")</f>
        <v/>
      </c>
      <c r="L490" s="280" t="n"/>
      <c r="M490" s="280" t="n"/>
      <c r="N490" s="333">
        <f>IFERROR(IF(L490*M490=0,"",L490*M490),"")</f>
        <v/>
      </c>
      <c r="O490" s="280" t="n"/>
      <c r="P490" s="332">
        <f>IFERROR(VLOOKUP(TEXT(O490,"0"),CONDUCTORES!$A$3:$G$54,2,0),"")</f>
        <v/>
      </c>
      <c r="Q490" s="332">
        <f>IFERROR(VLOOKUP(TEXT(O490,"0"),CONDUCTORES!$A$3:$H$54,6,0),"")</f>
        <v/>
      </c>
      <c r="R490" s="280" t="n"/>
      <c r="S490" s="280" t="n"/>
      <c r="T490" s="280" t="n"/>
      <c r="U490" s="280" t="n"/>
      <c r="V490" s="280" t="n"/>
      <c r="W490" s="280" t="n"/>
      <c r="X490" s="280" t="n"/>
      <c r="Y490" s="280" t="n"/>
    </row>
    <row r="491" ht="15" customHeight="1" s="195">
      <c r="A491" s="334" t="n"/>
      <c r="B491" s="334" t="n"/>
      <c r="C491" s="334" t="n"/>
      <c r="D491" s="334" t="n"/>
      <c r="E491" s="334" t="n"/>
      <c r="F491" s="334" t="n"/>
      <c r="G491" s="334" t="n"/>
      <c r="H491" s="334" t="n"/>
      <c r="I491" s="332">
        <f>IFERROR(VLOOKUP(TEXT(H491,"0"),IPRESS!$A$3:$B$212,2,0),"")</f>
        <v/>
      </c>
      <c r="J491" s="334" t="n"/>
      <c r="K491" s="332">
        <f>IFERROR(VLOOKUP(TEXT(O491,"0"),CONDUCTORES!$A$3:$G$54,7,0),"")</f>
        <v/>
      </c>
      <c r="L491" s="334" t="n"/>
      <c r="M491" s="334" t="n"/>
      <c r="N491" s="333">
        <f>IFERROR(IF(L491*M491=0,"",L491*M491),"")</f>
        <v/>
      </c>
      <c r="O491" s="334" t="n"/>
      <c r="P491" s="332">
        <f>IFERROR(VLOOKUP(TEXT(O491,"0"),CONDUCTORES!$A$3:$G$54,2,0),"")</f>
        <v/>
      </c>
      <c r="Q491" s="332">
        <f>IFERROR(VLOOKUP(TEXT(O491,"0"),CONDUCTORES!$A$3:$H$54,6,0),"")</f>
        <v/>
      </c>
      <c r="R491" s="334" t="n"/>
      <c r="S491" s="334" t="n"/>
      <c r="T491" s="334" t="n"/>
      <c r="U491" s="334" t="n"/>
      <c r="V491" s="334" t="n"/>
      <c r="W491" s="334" t="n"/>
      <c r="X491" s="334" t="n"/>
      <c r="Y491" s="334" t="n"/>
    </row>
    <row r="492" ht="15" customHeight="1" s="195">
      <c r="A492" s="280" t="n"/>
      <c r="B492" s="280" t="n"/>
      <c r="C492" s="280" t="n"/>
      <c r="D492" s="280" t="n"/>
      <c r="E492" s="280" t="n"/>
      <c r="F492" s="280" t="n"/>
      <c r="G492" s="280" t="n"/>
      <c r="H492" s="280" t="n"/>
      <c r="I492" s="332">
        <f>IFERROR(VLOOKUP(TEXT(H492,"0"),IPRESS!$A$3:$B$212,2,0),"")</f>
        <v/>
      </c>
      <c r="J492" s="280" t="n"/>
      <c r="K492" s="332">
        <f>IFERROR(VLOOKUP(TEXT(O492,"0"),CONDUCTORES!$A$3:$G$54,7,0),"")</f>
        <v/>
      </c>
      <c r="L492" s="280" t="n"/>
      <c r="M492" s="280" t="n"/>
      <c r="N492" s="333">
        <f>IFERROR(IF(L492*M492=0,"",L492*M492),"")</f>
        <v/>
      </c>
      <c r="O492" s="280" t="n"/>
      <c r="P492" s="332">
        <f>IFERROR(VLOOKUP(TEXT(O492,"0"),CONDUCTORES!$A$3:$G$54,2,0),"")</f>
        <v/>
      </c>
      <c r="Q492" s="332">
        <f>IFERROR(VLOOKUP(TEXT(O492,"0"),CONDUCTORES!$A$3:$H$54,6,0),"")</f>
        <v/>
      </c>
      <c r="R492" s="280" t="n"/>
      <c r="S492" s="280" t="n"/>
      <c r="T492" s="280" t="n"/>
      <c r="U492" s="280" t="n"/>
      <c r="V492" s="280" t="n"/>
      <c r="W492" s="280" t="n"/>
      <c r="X492" s="280" t="n"/>
      <c r="Y492" s="280" t="n"/>
    </row>
    <row r="493" ht="15" customHeight="1" s="195">
      <c r="A493" s="334" t="n"/>
      <c r="B493" s="334" t="n"/>
      <c r="C493" s="334" t="n"/>
      <c r="D493" s="334" t="n"/>
      <c r="E493" s="334" t="n"/>
      <c r="F493" s="334" t="n"/>
      <c r="G493" s="334" t="n"/>
      <c r="H493" s="334" t="n"/>
      <c r="I493" s="332">
        <f>IFERROR(VLOOKUP(TEXT(H493,"0"),IPRESS!$A$3:$B$212,2,0),"")</f>
        <v/>
      </c>
      <c r="J493" s="334" t="n"/>
      <c r="K493" s="332">
        <f>IFERROR(VLOOKUP(TEXT(O493,"0"),CONDUCTORES!$A$3:$G$54,7,0),"")</f>
        <v/>
      </c>
      <c r="L493" s="334" t="n"/>
      <c r="M493" s="334" t="n"/>
      <c r="N493" s="333">
        <f>IFERROR(IF(L493*M493=0,"",L493*M493),"")</f>
        <v/>
      </c>
      <c r="O493" s="334" t="n"/>
      <c r="P493" s="332">
        <f>IFERROR(VLOOKUP(TEXT(O493,"0"),CONDUCTORES!$A$3:$G$54,2,0),"")</f>
        <v/>
      </c>
      <c r="Q493" s="332">
        <f>IFERROR(VLOOKUP(TEXT(O493,"0"),CONDUCTORES!$A$3:$H$54,6,0),"")</f>
        <v/>
      </c>
      <c r="R493" s="334" t="n"/>
      <c r="S493" s="334" t="n"/>
      <c r="T493" s="334" t="n"/>
      <c r="U493" s="334" t="n"/>
      <c r="V493" s="334" t="n"/>
      <c r="W493" s="334" t="n"/>
      <c r="X493" s="334" t="n"/>
      <c r="Y493" s="334" t="n"/>
    </row>
    <row r="494" ht="15" customHeight="1" s="195">
      <c r="A494" s="280" t="n"/>
      <c r="B494" s="280" t="n"/>
      <c r="C494" s="280" t="n"/>
      <c r="D494" s="280" t="n"/>
      <c r="E494" s="280" t="n"/>
      <c r="F494" s="280" t="n"/>
      <c r="G494" s="280" t="n"/>
      <c r="H494" s="280" t="n"/>
      <c r="I494" s="332">
        <f>IFERROR(VLOOKUP(TEXT(H494,"0"),IPRESS!$A$3:$B$212,2,0),"")</f>
        <v/>
      </c>
      <c r="J494" s="280" t="n"/>
      <c r="K494" s="332">
        <f>IFERROR(VLOOKUP(TEXT(O494,"0"),CONDUCTORES!$A$3:$G$54,7,0),"")</f>
        <v/>
      </c>
      <c r="L494" s="280" t="n"/>
      <c r="M494" s="280" t="n"/>
      <c r="N494" s="333">
        <f>IFERROR(IF(L494*M494=0,"",L494*M494),"")</f>
        <v/>
      </c>
      <c r="O494" s="280" t="n"/>
      <c r="P494" s="332">
        <f>IFERROR(VLOOKUP(TEXT(O494,"0"),CONDUCTORES!$A$3:$G$54,2,0),"")</f>
        <v/>
      </c>
      <c r="Q494" s="332">
        <f>IFERROR(VLOOKUP(TEXT(O494,"0"),CONDUCTORES!$A$3:$H$54,6,0),"")</f>
        <v/>
      </c>
      <c r="R494" s="280" t="n"/>
      <c r="S494" s="280" t="n"/>
      <c r="T494" s="280" t="n"/>
      <c r="U494" s="280" t="n"/>
      <c r="V494" s="280" t="n"/>
      <c r="W494" s="280" t="n"/>
      <c r="X494" s="280" t="n"/>
      <c r="Y494" s="280" t="n"/>
    </row>
    <row r="495" ht="15" customHeight="1" s="195">
      <c r="A495" s="334" t="n"/>
      <c r="B495" s="334" t="n"/>
      <c r="C495" s="334" t="n"/>
      <c r="D495" s="334" t="n"/>
      <c r="E495" s="334" t="n"/>
      <c r="F495" s="334" t="n"/>
      <c r="G495" s="334" t="n"/>
      <c r="H495" s="334" t="n"/>
      <c r="I495" s="332">
        <f>IFERROR(VLOOKUP(TEXT(H495,"0"),IPRESS!$A$3:$B$212,2,0),"")</f>
        <v/>
      </c>
      <c r="J495" s="334" t="n"/>
      <c r="K495" s="332">
        <f>IFERROR(VLOOKUP(TEXT(O495,"0"),CONDUCTORES!$A$3:$G$54,7,0),"")</f>
        <v/>
      </c>
      <c r="L495" s="334" t="n"/>
      <c r="M495" s="334" t="n"/>
      <c r="N495" s="333">
        <f>IFERROR(IF(L495*M495=0,"",L495*M495),"")</f>
        <v/>
      </c>
      <c r="O495" s="334" t="n"/>
      <c r="P495" s="332">
        <f>IFERROR(VLOOKUP(TEXT(O495,"0"),CONDUCTORES!$A$3:$G$54,2,0),"")</f>
        <v/>
      </c>
      <c r="Q495" s="332">
        <f>IFERROR(VLOOKUP(TEXT(O495,"0"),CONDUCTORES!$A$3:$H$54,6,0),"")</f>
        <v/>
      </c>
      <c r="R495" s="334" t="n"/>
      <c r="S495" s="334" t="n"/>
      <c r="T495" s="334" t="n"/>
      <c r="U495" s="334" t="n"/>
      <c r="V495" s="334" t="n"/>
      <c r="W495" s="334" t="n"/>
      <c r="X495" s="334" t="n"/>
      <c r="Y495" s="334" t="n"/>
    </row>
    <row r="496" ht="15" customHeight="1" s="195">
      <c r="A496" s="280" t="n"/>
      <c r="B496" s="280" t="n"/>
      <c r="C496" s="280" t="n"/>
      <c r="D496" s="280" t="n"/>
      <c r="E496" s="280" t="n"/>
      <c r="F496" s="280" t="n"/>
      <c r="G496" s="280" t="n"/>
      <c r="H496" s="280" t="n"/>
      <c r="I496" s="332">
        <f>IFERROR(VLOOKUP(TEXT(H496,"0"),IPRESS!$A$3:$B$212,2,0),"")</f>
        <v/>
      </c>
      <c r="J496" s="280" t="n"/>
      <c r="K496" s="332">
        <f>IFERROR(VLOOKUP(TEXT(O496,"0"),CONDUCTORES!$A$3:$G$54,7,0),"")</f>
        <v/>
      </c>
      <c r="L496" s="280" t="n"/>
      <c r="M496" s="280" t="n"/>
      <c r="N496" s="333">
        <f>IFERROR(IF(L496*M496=0,"",L496*M496),"")</f>
        <v/>
      </c>
      <c r="O496" s="280" t="n"/>
      <c r="P496" s="332">
        <f>IFERROR(VLOOKUP(TEXT(O496,"0"),CONDUCTORES!$A$3:$G$54,2,0),"")</f>
        <v/>
      </c>
      <c r="Q496" s="332">
        <f>IFERROR(VLOOKUP(TEXT(O496,"0"),CONDUCTORES!$A$3:$H$54,6,0),"")</f>
        <v/>
      </c>
      <c r="R496" s="280" t="n"/>
      <c r="S496" s="280" t="n"/>
      <c r="T496" s="280" t="n"/>
      <c r="U496" s="280" t="n"/>
      <c r="V496" s="280" t="n"/>
      <c r="W496" s="280" t="n"/>
      <c r="X496" s="280" t="n"/>
      <c r="Y496" s="280" t="n"/>
    </row>
    <row r="497" ht="15" customHeight="1" s="195">
      <c r="A497" s="334" t="n"/>
      <c r="B497" s="334" t="n"/>
      <c r="C497" s="334" t="n"/>
      <c r="D497" s="334" t="n"/>
      <c r="E497" s="334" t="n"/>
      <c r="F497" s="334" t="n"/>
      <c r="G497" s="334" t="n"/>
      <c r="H497" s="334" t="n"/>
      <c r="I497" s="332">
        <f>IFERROR(VLOOKUP(TEXT(H497,"0"),IPRESS!$A$3:$B$212,2,0),"")</f>
        <v/>
      </c>
      <c r="J497" s="334" t="n"/>
      <c r="K497" s="332">
        <f>IFERROR(VLOOKUP(TEXT(O497,"0"),CONDUCTORES!$A$3:$G$54,7,0),"")</f>
        <v/>
      </c>
      <c r="L497" s="334" t="n"/>
      <c r="M497" s="334" t="n"/>
      <c r="N497" s="333">
        <f>IFERROR(IF(L497*M497=0,"",L497*M497),"")</f>
        <v/>
      </c>
      <c r="O497" s="334" t="n"/>
      <c r="P497" s="332">
        <f>IFERROR(VLOOKUP(TEXT(O497,"0"),CONDUCTORES!$A$3:$G$54,2,0),"")</f>
        <v/>
      </c>
      <c r="Q497" s="332">
        <f>IFERROR(VLOOKUP(TEXT(O497,"0"),CONDUCTORES!$A$3:$H$54,6,0),"")</f>
        <v/>
      </c>
      <c r="R497" s="334" t="n"/>
      <c r="S497" s="334" t="n"/>
      <c r="T497" s="334" t="n"/>
      <c r="U497" s="334" t="n"/>
      <c r="V497" s="334" t="n"/>
      <c r="W497" s="334" t="n"/>
      <c r="X497" s="334" t="n"/>
      <c r="Y497" s="334" t="n"/>
    </row>
    <row r="498" ht="15" customHeight="1" s="195">
      <c r="A498" s="280" t="n"/>
      <c r="B498" s="280" t="n"/>
      <c r="C498" s="280" t="n"/>
      <c r="D498" s="280" t="n"/>
      <c r="E498" s="280" t="n"/>
      <c r="F498" s="280" t="n"/>
      <c r="G498" s="280" t="n"/>
      <c r="H498" s="280" t="n"/>
      <c r="I498" s="332">
        <f>IFERROR(VLOOKUP(TEXT(H498,"0"),IPRESS!$A$3:$B$212,2,0),"")</f>
        <v/>
      </c>
      <c r="J498" s="280" t="n"/>
      <c r="K498" s="332">
        <f>IFERROR(VLOOKUP(TEXT(O498,"0"),CONDUCTORES!$A$3:$G$54,7,0),"")</f>
        <v/>
      </c>
      <c r="L498" s="280" t="n"/>
      <c r="M498" s="280" t="n"/>
      <c r="N498" s="333">
        <f>IFERROR(IF(L498*M498=0,"",L498*M498),"")</f>
        <v/>
      </c>
      <c r="O498" s="280" t="n"/>
      <c r="P498" s="332">
        <f>IFERROR(VLOOKUP(TEXT(O498,"0"),CONDUCTORES!$A$3:$G$54,2,0),"")</f>
        <v/>
      </c>
      <c r="Q498" s="332">
        <f>IFERROR(VLOOKUP(TEXT(O498,"0"),CONDUCTORES!$A$3:$H$54,6,0),"")</f>
        <v/>
      </c>
      <c r="R498" s="280" t="n"/>
      <c r="S498" s="280" t="n"/>
      <c r="T498" s="280" t="n"/>
      <c r="U498" s="280" t="n"/>
      <c r="V498" s="280" t="n"/>
      <c r="W498" s="280" t="n"/>
      <c r="X498" s="280" t="n"/>
      <c r="Y498" s="280" t="n"/>
    </row>
    <row r="499" ht="15" customHeight="1" s="195">
      <c r="A499" s="334" t="n"/>
      <c r="B499" s="334" t="n"/>
      <c r="C499" s="334" t="n"/>
      <c r="D499" s="334" t="n"/>
      <c r="E499" s="334" t="n"/>
      <c r="F499" s="334" t="n"/>
      <c r="G499" s="334" t="n"/>
      <c r="H499" s="334" t="n"/>
      <c r="I499" s="332">
        <f>IFERROR(VLOOKUP(TEXT(H499,"0"),IPRESS!$A$3:$B$212,2,0),"")</f>
        <v/>
      </c>
      <c r="J499" s="334" t="n"/>
      <c r="K499" s="332">
        <f>IFERROR(VLOOKUP(TEXT(O499,"0"),CONDUCTORES!$A$3:$G$54,7,0),"")</f>
        <v/>
      </c>
      <c r="L499" s="334" t="n"/>
      <c r="M499" s="334" t="n"/>
      <c r="N499" s="333">
        <f>IFERROR(IF(L499*M499=0,"",L499*M499),"")</f>
        <v/>
      </c>
      <c r="O499" s="334" t="n"/>
      <c r="P499" s="332">
        <f>IFERROR(VLOOKUP(TEXT(O499,"0"),CONDUCTORES!$A$3:$G$54,2,0),"")</f>
        <v/>
      </c>
      <c r="Q499" s="332">
        <f>IFERROR(VLOOKUP(TEXT(O499,"0"),CONDUCTORES!$A$3:$H$54,6,0),"")</f>
        <v/>
      </c>
      <c r="R499" s="334" t="n"/>
      <c r="S499" s="334" t="n"/>
      <c r="T499" s="334" t="n"/>
      <c r="U499" s="334" t="n"/>
      <c r="V499" s="334" t="n"/>
      <c r="W499" s="334" t="n"/>
      <c r="X499" s="334" t="n"/>
      <c r="Y499" s="334" t="n"/>
    </row>
    <row r="500" ht="15" customHeight="1" s="195">
      <c r="A500" s="280" t="n"/>
      <c r="B500" s="280" t="n"/>
      <c r="C500" s="280" t="n"/>
      <c r="D500" s="280" t="n"/>
      <c r="E500" s="280" t="n"/>
      <c r="F500" s="280" t="n"/>
      <c r="G500" s="280" t="n"/>
      <c r="H500" s="280" t="n"/>
      <c r="I500" s="332">
        <f>IFERROR(VLOOKUP(TEXT(H500,"0"),IPRESS!$A$3:$B$212,2,0),"")</f>
        <v/>
      </c>
      <c r="J500" s="280" t="n"/>
      <c r="K500" s="332">
        <f>IFERROR(VLOOKUP(TEXT(O500,"0"),CONDUCTORES!$A$3:$G$54,7,0),"")</f>
        <v/>
      </c>
      <c r="L500" s="280" t="n"/>
      <c r="M500" s="280" t="n"/>
      <c r="N500" s="333">
        <f>IFERROR(IF(L500*M500=0,"",L500*M500),"")</f>
        <v/>
      </c>
      <c r="O500" s="280" t="n"/>
      <c r="P500" s="332">
        <f>IFERROR(VLOOKUP(TEXT(O500,"0"),CONDUCTORES!$A$3:$G$54,2,0),"")</f>
        <v/>
      </c>
      <c r="Q500" s="332">
        <f>IFERROR(VLOOKUP(TEXT(O500,"0"),CONDUCTORES!$A$3:$H$54,6,0),"")</f>
        <v/>
      </c>
      <c r="R500" s="280" t="n"/>
      <c r="S500" s="280" t="n"/>
      <c r="T500" s="280" t="n"/>
      <c r="U500" s="280" t="n"/>
      <c r="V500" s="280" t="n"/>
      <c r="W500" s="280" t="n"/>
      <c r="X500" s="280" t="n"/>
      <c r="Y500" s="280" t="n"/>
    </row>
    <row r="501" ht="15" customHeight="1" s="195">
      <c r="A501" s="334" t="n"/>
      <c r="B501" s="334" t="n"/>
      <c r="C501" s="334" t="n"/>
      <c r="D501" s="334" t="n"/>
      <c r="E501" s="334" t="n"/>
      <c r="F501" s="334" t="n"/>
      <c r="G501" s="334" t="n"/>
      <c r="H501" s="334" t="n"/>
      <c r="I501" s="332">
        <f>IFERROR(VLOOKUP(TEXT(H501,"0"),IPRESS!$A$3:$B$212,2,0),"")</f>
        <v/>
      </c>
      <c r="J501" s="334" t="n"/>
      <c r="K501" s="332">
        <f>IFERROR(VLOOKUP(TEXT(O501,"0"),CONDUCTORES!$A$3:$G$54,7,0),"")</f>
        <v/>
      </c>
      <c r="L501" s="334" t="n"/>
      <c r="M501" s="334" t="n"/>
      <c r="N501" s="333">
        <f>IFERROR(IF(L501*M501=0,"",L501*M501),"")</f>
        <v/>
      </c>
      <c r="O501" s="334" t="n"/>
      <c r="P501" s="332">
        <f>IFERROR(VLOOKUP(TEXT(O501,"0"),CONDUCTORES!$A$3:$G$54,2,0),"")</f>
        <v/>
      </c>
      <c r="Q501" s="332">
        <f>IFERROR(VLOOKUP(TEXT(O501,"0"),CONDUCTORES!$A$3:$H$54,6,0),"")</f>
        <v/>
      </c>
      <c r="R501" s="334" t="n"/>
      <c r="S501" s="334" t="n"/>
      <c r="T501" s="334" t="n"/>
      <c r="U501" s="334" t="n"/>
      <c r="V501" s="334" t="n"/>
      <c r="W501" s="334" t="n"/>
      <c r="X501" s="334" t="n"/>
      <c r="Y501" s="334" t="n"/>
    </row>
    <row r="502" ht="15" customHeight="1" s="195">
      <c r="A502" s="280" t="n"/>
      <c r="B502" s="280" t="n"/>
      <c r="C502" s="280" t="n"/>
      <c r="D502" s="280" t="n"/>
      <c r="E502" s="280" t="n"/>
      <c r="F502" s="280" t="n"/>
      <c r="G502" s="280" t="n"/>
      <c r="H502" s="280" t="n"/>
      <c r="I502" s="332">
        <f>IFERROR(VLOOKUP(TEXT(H502,"0"),IPRESS!$A$3:$B$212,2,0),"")</f>
        <v/>
      </c>
      <c r="J502" s="280" t="n"/>
      <c r="K502" s="332">
        <f>IFERROR(VLOOKUP(TEXT(O502,"0"),CONDUCTORES!$A$3:$G$54,7,0),"")</f>
        <v/>
      </c>
      <c r="L502" s="280" t="n"/>
      <c r="M502" s="280" t="n"/>
      <c r="N502" s="333">
        <f>IFERROR(IF(L502*M502=0,"",L502*M502),"")</f>
        <v/>
      </c>
      <c r="O502" s="280" t="n"/>
      <c r="P502" s="332">
        <f>IFERROR(VLOOKUP(TEXT(O502,"0"),CONDUCTORES!$A$3:$G$54,2,0),"")</f>
        <v/>
      </c>
      <c r="Q502" s="332">
        <f>IFERROR(VLOOKUP(TEXT(O502,"0"),CONDUCTORES!$A$3:$H$54,6,0),"")</f>
        <v/>
      </c>
      <c r="R502" s="280" t="n"/>
      <c r="S502" s="280" t="n"/>
      <c r="T502" s="280" t="n"/>
      <c r="U502" s="280" t="n"/>
      <c r="V502" s="280" t="n"/>
      <c r="W502" s="280" t="n"/>
      <c r="X502" s="280" t="n"/>
      <c r="Y502" s="280" t="n"/>
    </row>
    <row r="503" ht="15" customHeight="1" s="195">
      <c r="A503" s="334" t="n"/>
      <c r="B503" s="334" t="n"/>
      <c r="C503" s="334" t="n"/>
      <c r="D503" s="334" t="n"/>
      <c r="E503" s="334" t="n"/>
      <c r="F503" s="334" t="n"/>
      <c r="G503" s="334" t="n"/>
      <c r="H503" s="334" t="n"/>
      <c r="I503" s="332">
        <f>IFERROR(VLOOKUP(TEXT(H503,"0"),IPRESS!$A$3:$B$212,2,0),"")</f>
        <v/>
      </c>
      <c r="J503" s="334" t="n"/>
      <c r="K503" s="332">
        <f>IFERROR(VLOOKUP(TEXT(O503,"0"),CONDUCTORES!$A$3:$G$54,7,0),"")</f>
        <v/>
      </c>
      <c r="L503" s="334" t="n"/>
      <c r="M503" s="334" t="n"/>
      <c r="N503" s="333">
        <f>IFERROR(IF(L503*M503=0,"",L503*M503),"")</f>
        <v/>
      </c>
      <c r="O503" s="334" t="n"/>
      <c r="P503" s="332">
        <f>IFERROR(VLOOKUP(TEXT(O503,"0"),CONDUCTORES!$A$3:$G$54,2,0),"")</f>
        <v/>
      </c>
      <c r="Q503" s="332">
        <f>IFERROR(VLOOKUP(TEXT(O503,"0"),CONDUCTORES!$A$3:$H$54,6,0),"")</f>
        <v/>
      </c>
      <c r="R503" s="334" t="n"/>
      <c r="S503" s="334" t="n"/>
      <c r="T503" s="334" t="n"/>
      <c r="U503" s="334" t="n"/>
      <c r="V503" s="334" t="n"/>
      <c r="W503" s="334" t="n"/>
      <c r="X503" s="334" t="n"/>
      <c r="Y503" s="334" t="n"/>
    </row>
    <row r="504" ht="15" customHeight="1" s="195">
      <c r="A504" s="280" t="n"/>
      <c r="B504" s="280" t="n"/>
      <c r="C504" s="280" t="n"/>
      <c r="D504" s="280" t="n"/>
      <c r="E504" s="280" t="n"/>
      <c r="F504" s="280" t="n"/>
      <c r="G504" s="280" t="n"/>
      <c r="H504" s="280" t="n"/>
      <c r="I504" s="332">
        <f>IFERROR(VLOOKUP(TEXT(H504,"0"),IPRESS!$A$3:$B$212,2,0),"")</f>
        <v/>
      </c>
      <c r="J504" s="280" t="n"/>
      <c r="K504" s="332">
        <f>IFERROR(VLOOKUP(TEXT(O504,"0"),CONDUCTORES!$A$3:$G$54,7,0),"")</f>
        <v/>
      </c>
      <c r="L504" s="280" t="n"/>
      <c r="M504" s="280" t="n"/>
      <c r="N504" s="333">
        <f>IFERROR(IF(L504*M504=0,"",L504*M504),"")</f>
        <v/>
      </c>
      <c r="O504" s="280" t="n"/>
      <c r="P504" s="332">
        <f>IFERROR(VLOOKUP(TEXT(O504,"0"),CONDUCTORES!$A$3:$G$54,2,0),"")</f>
        <v/>
      </c>
      <c r="Q504" s="332">
        <f>IFERROR(VLOOKUP(TEXT(O504,"0"),CONDUCTORES!$A$3:$H$54,6,0),"")</f>
        <v/>
      </c>
      <c r="R504" s="280" t="n"/>
      <c r="S504" s="280" t="n"/>
      <c r="T504" s="280" t="n"/>
      <c r="U504" s="280" t="n"/>
      <c r="V504" s="280" t="n"/>
      <c r="W504" s="280" t="n"/>
      <c r="X504" s="280" t="n"/>
      <c r="Y504" s="280" t="n"/>
    </row>
    <row r="505" ht="15" customHeight="1" s="195">
      <c r="A505" s="334" t="n"/>
      <c r="B505" s="334" t="n"/>
      <c r="C505" s="334" t="n"/>
      <c r="D505" s="334" t="n"/>
      <c r="E505" s="334" t="n"/>
      <c r="F505" s="334" t="n"/>
      <c r="G505" s="334" t="n"/>
      <c r="H505" s="334" t="n"/>
      <c r="I505" s="332">
        <f>IFERROR(VLOOKUP(TEXT(H505,"0"),IPRESS!$A$3:$B$212,2,0),"")</f>
        <v/>
      </c>
      <c r="J505" s="334" t="n"/>
      <c r="K505" s="332">
        <f>IFERROR(VLOOKUP(TEXT(O505,"0"),CONDUCTORES!$A$3:$G$54,7,0),"")</f>
        <v/>
      </c>
      <c r="L505" s="334" t="n"/>
      <c r="M505" s="334" t="n"/>
      <c r="N505" s="333">
        <f>IFERROR(IF(L505*M505=0,"",L505*M505),"")</f>
        <v/>
      </c>
      <c r="O505" s="334" t="n"/>
      <c r="P505" s="332">
        <f>IFERROR(VLOOKUP(TEXT(O505,"0"),CONDUCTORES!$A$3:$G$54,2,0),"")</f>
        <v/>
      </c>
      <c r="Q505" s="332">
        <f>IFERROR(VLOOKUP(TEXT(O505,"0"),CONDUCTORES!$A$3:$H$54,6,0),"")</f>
        <v/>
      </c>
      <c r="R505" s="334" t="n"/>
      <c r="S505" s="334" t="n"/>
      <c r="T505" s="334" t="n"/>
      <c r="U505" s="334" t="n"/>
      <c r="V505" s="334" t="n"/>
      <c r="W505" s="334" t="n"/>
      <c r="X505" s="334" t="n"/>
      <c r="Y505" s="334" t="n"/>
    </row>
    <row r="506" ht="21.75" customHeight="1" s="195">
      <c r="A506" s="346" t="inlineStr">
        <is>
          <t>TOTALES DEL MES</t>
        </is>
      </c>
      <c r="M506" s="320">
        <f>SUM(M6:M505)</f>
        <v/>
      </c>
      <c r="N506" s="320">
        <f>SUM(N6:N505)</f>
        <v/>
      </c>
    </row>
    <row r="507" ht="15.75" customHeight="1" s="195"/>
    <row r="508" ht="15.75" customHeight="1" s="195"/>
    <row r="509" ht="15.75" customHeight="1" s="195"/>
    <row r="510" ht="15.75" customHeight="1" s="195"/>
    <row r="511" ht="15.75" customHeight="1" s="195"/>
    <row r="512" ht="15.75" customHeight="1" s="195"/>
    <row r="513" ht="15.75" customHeight="1" s="195"/>
    <row r="514" ht="15.75" customHeight="1" s="195"/>
    <row r="515" ht="15.75" customHeight="1" s="195"/>
    <row r="516" ht="15.75" customHeight="1" s="195"/>
    <row r="517" ht="15.75" customHeight="1" s="195"/>
    <row r="518" ht="15.75" customHeight="1" s="195"/>
    <row r="519" ht="15.75" customHeight="1" s="195"/>
    <row r="520" ht="15.75" customHeight="1" s="195"/>
    <row r="521" ht="15.75" customHeight="1" s="195"/>
    <row r="522" ht="15.75" customHeight="1" s="195"/>
    <row r="523" ht="15.75" customHeight="1" s="195"/>
    <row r="524" ht="15.75" customHeight="1" s="195"/>
    <row r="525" ht="15.75" customHeight="1" s="195"/>
    <row r="526" ht="15.75" customHeight="1" s="195"/>
    <row r="527" ht="15.75" customHeight="1" s="195"/>
    <row r="528" ht="15.75" customHeight="1" s="195"/>
    <row r="529" ht="15.75" customHeight="1" s="195"/>
    <row r="530" ht="15.75" customHeight="1" s="195"/>
    <row r="531" ht="15.75" customHeight="1" s="195"/>
    <row r="532" ht="15.75" customHeight="1" s="195"/>
    <row r="533" ht="15.75" customHeight="1" s="195"/>
    <row r="534" ht="15.75" customHeight="1" s="195"/>
    <row r="535" ht="15.75" customHeight="1" s="195"/>
    <row r="536" ht="15.75" customHeight="1" s="195"/>
    <row r="537" ht="15.75" customHeight="1" s="195"/>
    <row r="538" ht="15.75" customHeight="1" s="195"/>
    <row r="539" ht="15.75" customHeight="1" s="195"/>
    <row r="540" ht="15.75" customHeight="1" s="195"/>
    <row r="541" ht="15.75" customHeight="1" s="195"/>
    <row r="542" ht="15.75" customHeight="1" s="195"/>
    <row r="543" ht="15.75" customHeight="1" s="195"/>
    <row r="544" ht="15.75" customHeight="1" s="195"/>
    <row r="545" ht="15.75" customHeight="1" s="195"/>
    <row r="546" ht="15.75" customHeight="1" s="195"/>
    <row r="547" ht="15.75" customHeight="1" s="195"/>
    <row r="548" ht="15.75" customHeight="1" s="195"/>
    <row r="549" ht="15.75" customHeight="1" s="195"/>
    <row r="550" ht="15.75" customHeight="1" s="195"/>
    <row r="551" ht="15.75" customHeight="1" s="195"/>
    <row r="552" ht="15.75" customHeight="1" s="195"/>
    <row r="553" ht="15.75" customHeight="1" s="195"/>
    <row r="554" ht="15.75" customHeight="1" s="195"/>
    <row r="555" ht="15.75" customHeight="1" s="195"/>
    <row r="556" ht="15.75" customHeight="1" s="195"/>
    <row r="557" ht="15.75" customHeight="1" s="195"/>
    <row r="558" ht="15.75" customHeight="1" s="195"/>
    <row r="559" ht="15.75" customHeight="1" s="195"/>
    <row r="560" ht="15.75" customHeight="1" s="195"/>
    <row r="561" ht="15.75" customHeight="1" s="195"/>
    <row r="562" ht="15.75" customHeight="1" s="195"/>
    <row r="563" ht="15.75" customHeight="1" s="195"/>
    <row r="564" ht="15.75" customHeight="1" s="195"/>
    <row r="565" ht="15.75" customHeight="1" s="195"/>
    <row r="566" ht="15.75" customHeight="1" s="195"/>
    <row r="567" ht="15.75" customHeight="1" s="195"/>
    <row r="568" ht="15.75" customHeight="1" s="195"/>
    <row r="569" ht="15.75" customHeight="1" s="195"/>
    <row r="570" ht="15.75" customHeight="1" s="195"/>
    <row r="571" ht="15.75" customHeight="1" s="195"/>
    <row r="572" ht="15.75" customHeight="1" s="195"/>
    <row r="573" ht="15.75" customHeight="1" s="195"/>
    <row r="574" ht="15.75" customHeight="1" s="195"/>
    <row r="575" ht="15.75" customHeight="1" s="195"/>
    <row r="576" ht="15.75" customHeight="1" s="195"/>
    <row r="577" ht="15.75" customHeight="1" s="195"/>
    <row r="578" ht="15.75" customHeight="1" s="195"/>
    <row r="579" ht="15.75" customHeight="1" s="195"/>
    <row r="580" ht="15.75" customHeight="1" s="195"/>
    <row r="581" ht="15.75" customHeight="1" s="195"/>
    <row r="582" ht="15.75" customHeight="1" s="195"/>
    <row r="583" ht="15.75" customHeight="1" s="195"/>
    <row r="584" ht="15.75" customHeight="1" s="195"/>
    <row r="585" ht="15.75" customHeight="1" s="195"/>
    <row r="586" ht="15.75" customHeight="1" s="195"/>
    <row r="587" ht="15.75" customHeight="1" s="195"/>
    <row r="588" ht="15.75" customHeight="1" s="195"/>
    <row r="589" ht="15.75" customHeight="1" s="195"/>
    <row r="590" ht="15.75" customHeight="1" s="195"/>
    <row r="591" ht="15.75" customHeight="1" s="195"/>
    <row r="592" ht="15.75" customHeight="1" s="195"/>
    <row r="593" ht="15.75" customHeight="1" s="195"/>
    <row r="594" ht="15.75" customHeight="1" s="195"/>
    <row r="595" ht="15.75" customHeight="1" s="195"/>
    <row r="596" ht="15.75" customHeight="1" s="195"/>
    <row r="597" ht="15.75" customHeight="1" s="195"/>
    <row r="598" ht="15.75" customHeight="1" s="195"/>
    <row r="599" ht="15.75" customHeight="1" s="195"/>
    <row r="600" ht="15.75" customHeight="1" s="195"/>
    <row r="601" ht="15.75" customHeight="1" s="195"/>
    <row r="602" ht="15.75" customHeight="1" s="195"/>
    <row r="603" ht="15.75" customHeight="1" s="195"/>
    <row r="604" ht="15.75" customHeight="1" s="195"/>
    <row r="605" ht="15.75" customHeight="1" s="195"/>
    <row r="606" ht="15.75" customHeight="1" s="195"/>
    <row r="607" ht="15.75" customHeight="1" s="195"/>
    <row r="608" ht="15.75" customHeight="1" s="195"/>
    <row r="609" ht="15.75" customHeight="1" s="195"/>
    <row r="610" ht="15.75" customHeight="1" s="195"/>
    <row r="611" ht="15.75" customHeight="1" s="195"/>
    <row r="612" ht="15.75" customHeight="1" s="195"/>
    <row r="613" ht="15.75" customHeight="1" s="195"/>
    <row r="614" ht="15.75" customHeight="1" s="195"/>
    <row r="615" ht="15.75" customHeight="1" s="195"/>
    <row r="616" ht="15.75" customHeight="1" s="195"/>
    <row r="617" ht="15.75" customHeight="1" s="195"/>
    <row r="618" ht="15.75" customHeight="1" s="195"/>
    <row r="619" ht="15.75" customHeight="1" s="195"/>
    <row r="620" ht="15.75" customHeight="1" s="195"/>
    <row r="621" ht="15.75" customHeight="1" s="195"/>
    <row r="622" ht="15.75" customHeight="1" s="195"/>
    <row r="623" ht="15.75" customHeight="1" s="195"/>
    <row r="624" ht="15.75" customHeight="1" s="195"/>
    <row r="625" ht="15.75" customHeight="1" s="195"/>
    <row r="626" ht="15.75" customHeight="1" s="195"/>
    <row r="627" ht="15.75" customHeight="1" s="195"/>
    <row r="628" ht="15.75" customHeight="1" s="195"/>
    <row r="629" ht="15.75" customHeight="1" s="195"/>
    <row r="630" ht="15.75" customHeight="1" s="195"/>
    <row r="631" ht="15.75" customHeight="1" s="195"/>
    <row r="632" ht="15.75" customHeight="1" s="195"/>
    <row r="633" ht="15.75" customHeight="1" s="195"/>
    <row r="634" ht="15.75" customHeight="1" s="195"/>
    <row r="635" ht="15.75" customHeight="1" s="195"/>
    <row r="636" ht="15.75" customHeight="1" s="195"/>
    <row r="637" ht="15.75" customHeight="1" s="195"/>
    <row r="638" ht="15.75" customHeight="1" s="195"/>
    <row r="639" ht="15.75" customHeight="1" s="195"/>
    <row r="640" ht="15.75" customHeight="1" s="195"/>
    <row r="641" ht="15.75" customHeight="1" s="195"/>
    <row r="642" ht="15.75" customHeight="1" s="195"/>
    <row r="643" ht="15.75" customHeight="1" s="195"/>
    <row r="644" ht="15.75" customHeight="1" s="195"/>
    <row r="645" ht="15.75" customHeight="1" s="195"/>
    <row r="646" ht="15.75" customHeight="1" s="195"/>
    <row r="647" ht="15.75" customHeight="1" s="195"/>
    <row r="648" ht="15.75" customHeight="1" s="195"/>
    <row r="649" ht="15.75" customHeight="1" s="195"/>
    <row r="650" ht="15.75" customHeight="1" s="195"/>
    <row r="651" ht="15.75" customHeight="1" s="195"/>
    <row r="652" ht="15.75" customHeight="1" s="195"/>
    <row r="653" ht="15.75" customHeight="1" s="195"/>
    <row r="654" ht="15.75" customHeight="1" s="195"/>
    <row r="655" ht="15.75" customHeight="1" s="195"/>
    <row r="656" ht="15.75" customHeight="1" s="195"/>
    <row r="657" ht="15.75" customHeight="1" s="195"/>
    <row r="658" ht="15.75" customHeight="1" s="195"/>
    <row r="659" ht="15.75" customHeight="1" s="195"/>
    <row r="660" ht="15.75" customHeight="1" s="195"/>
    <row r="661" ht="15.75" customHeight="1" s="195"/>
    <row r="662" ht="15.75" customHeight="1" s="195"/>
    <row r="663" ht="15.75" customHeight="1" s="195"/>
    <row r="664" ht="15.75" customHeight="1" s="195"/>
    <row r="665" ht="15.75" customHeight="1" s="195"/>
    <row r="666" ht="15.75" customHeight="1" s="195"/>
    <row r="667" ht="15.75" customHeight="1" s="195"/>
    <row r="668" ht="15.75" customHeight="1" s="195"/>
    <row r="669" ht="15.75" customHeight="1" s="195"/>
    <row r="670" ht="15.75" customHeight="1" s="195"/>
    <row r="671" ht="15.75" customHeight="1" s="195"/>
    <row r="672" ht="15.75" customHeight="1" s="195"/>
    <row r="673" ht="15.75" customHeight="1" s="195"/>
    <row r="674" ht="15.75" customHeight="1" s="195"/>
    <row r="675" ht="15.75" customHeight="1" s="195"/>
    <row r="676" ht="15.75" customHeight="1" s="195"/>
    <row r="677" ht="15.75" customHeight="1" s="195"/>
    <row r="678" ht="15.75" customHeight="1" s="195"/>
    <row r="679" ht="15.75" customHeight="1" s="195"/>
    <row r="680" ht="15.75" customHeight="1" s="195"/>
    <row r="681" ht="15.75" customHeight="1" s="195"/>
    <row r="682" ht="15.75" customHeight="1" s="195"/>
    <row r="683" ht="15.75" customHeight="1" s="195"/>
    <row r="684" ht="15.75" customHeight="1" s="195"/>
    <row r="685" ht="15.75" customHeight="1" s="195"/>
    <row r="686" ht="15.75" customHeight="1" s="195"/>
    <row r="687" ht="15.75" customHeight="1" s="195"/>
    <row r="688" ht="15.75" customHeight="1" s="195"/>
    <row r="689" ht="15.75" customHeight="1" s="195"/>
    <row r="690" ht="15.75" customHeight="1" s="195"/>
    <row r="691" ht="15.75" customHeight="1" s="195"/>
    <row r="692" ht="15.75" customHeight="1" s="195"/>
    <row r="693" ht="15.75" customHeight="1" s="195"/>
    <row r="694" ht="15.75" customHeight="1" s="195"/>
    <row r="695" ht="15.75" customHeight="1" s="195"/>
    <row r="696" ht="15.75" customHeight="1" s="195"/>
    <row r="697" ht="15.75" customHeight="1" s="195"/>
    <row r="698" ht="15.75" customHeight="1" s="195"/>
    <row r="699" ht="15.75" customHeight="1" s="195"/>
    <row r="700" ht="15.75" customHeight="1" s="195"/>
    <row r="701" ht="15.75" customHeight="1" s="195"/>
    <row r="702" ht="15.75" customHeight="1" s="195"/>
    <row r="703" ht="15.75" customHeight="1" s="195"/>
    <row r="704" ht="15.75" customHeight="1" s="195"/>
    <row r="705" ht="15.75" customHeight="1" s="195"/>
    <row r="706" ht="15.75" customHeight="1" s="195"/>
    <row r="707" ht="15.75" customHeight="1" s="195"/>
    <row r="708" ht="15.75" customHeight="1" s="195"/>
    <row r="709" ht="15.75" customHeight="1" s="195"/>
    <row r="710" ht="15.75" customHeight="1" s="195"/>
    <row r="711" ht="15.75" customHeight="1" s="195"/>
    <row r="712" ht="15.75" customHeight="1" s="195"/>
    <row r="713" ht="15.75" customHeight="1" s="195"/>
    <row r="714" ht="15.75" customHeight="1" s="195"/>
    <row r="715" ht="15.75" customHeight="1" s="195"/>
    <row r="716" ht="15.75" customHeight="1" s="195"/>
    <row r="717" ht="15.75" customHeight="1" s="195"/>
    <row r="718" ht="15.75" customHeight="1" s="195"/>
    <row r="719" ht="15.75" customHeight="1" s="195"/>
    <row r="720" ht="15.75" customHeight="1" s="195"/>
    <row r="721" ht="15.75" customHeight="1" s="195"/>
    <row r="722" ht="15.75" customHeight="1" s="195"/>
    <row r="723" ht="15.75" customHeight="1" s="195"/>
    <row r="724" ht="15.75" customHeight="1" s="195"/>
    <row r="725" ht="15.75" customHeight="1" s="195"/>
    <row r="726" ht="15.75" customHeight="1" s="195"/>
    <row r="727" ht="15.75" customHeight="1" s="195"/>
    <row r="728" ht="15.75" customHeight="1" s="195"/>
    <row r="729" ht="15.75" customHeight="1" s="195"/>
    <row r="730" ht="15.75" customHeight="1" s="195"/>
    <row r="731" ht="15.75" customHeight="1" s="195"/>
    <row r="732" ht="15.75" customHeight="1" s="195"/>
    <row r="733" ht="15.75" customHeight="1" s="195"/>
    <row r="734" ht="15.75" customHeight="1" s="195"/>
    <row r="735" ht="15.75" customHeight="1" s="195"/>
    <row r="736" ht="15.75" customHeight="1" s="195"/>
    <row r="737" ht="15.75" customHeight="1" s="195"/>
    <row r="738" ht="15.75" customHeight="1" s="195"/>
    <row r="739" ht="15.75" customHeight="1" s="195"/>
    <row r="740" ht="15.75" customHeight="1" s="195"/>
    <row r="741" ht="15.75" customHeight="1" s="195"/>
    <row r="742" ht="15.75" customHeight="1" s="195"/>
    <row r="743" ht="15.75" customHeight="1" s="195"/>
    <row r="744" ht="15.75" customHeight="1" s="195"/>
    <row r="745" ht="15.75" customHeight="1" s="195"/>
    <row r="746" ht="15.75" customHeight="1" s="195"/>
    <row r="747" ht="15.75" customHeight="1" s="195"/>
    <row r="748" ht="15.75" customHeight="1" s="195"/>
    <row r="749" ht="15.75" customHeight="1" s="195"/>
    <row r="750" ht="15.75" customHeight="1" s="195"/>
    <row r="751" ht="15.75" customHeight="1" s="195"/>
    <row r="752" ht="15.75" customHeight="1" s="195"/>
    <row r="753" ht="15.75" customHeight="1" s="195"/>
    <row r="754" ht="15.75" customHeight="1" s="195"/>
    <row r="755" ht="15.75" customHeight="1" s="195"/>
    <row r="756" ht="15.75" customHeight="1" s="195"/>
    <row r="757" ht="15.75" customHeight="1" s="195"/>
    <row r="758" ht="15.75" customHeight="1" s="195"/>
    <row r="759" ht="15.75" customHeight="1" s="195"/>
    <row r="760" ht="15.75" customHeight="1" s="195"/>
    <row r="761" ht="15.75" customHeight="1" s="195"/>
    <row r="762" ht="15.75" customHeight="1" s="195"/>
    <row r="763" ht="15.75" customHeight="1" s="195"/>
    <row r="764" ht="15.75" customHeight="1" s="195"/>
    <row r="765" ht="15.75" customHeight="1" s="195"/>
    <row r="766" ht="15.75" customHeight="1" s="195"/>
    <row r="767" ht="15.75" customHeight="1" s="195"/>
    <row r="768" ht="15.75" customHeight="1" s="195"/>
    <row r="769" ht="15.75" customHeight="1" s="195"/>
    <row r="770" ht="15.75" customHeight="1" s="195"/>
    <row r="771" ht="15.75" customHeight="1" s="195"/>
    <row r="772" ht="15.75" customHeight="1" s="195"/>
    <row r="773" ht="15.75" customHeight="1" s="195"/>
    <row r="774" ht="15.75" customHeight="1" s="195"/>
    <row r="775" ht="15.75" customHeight="1" s="195"/>
    <row r="776" ht="15.75" customHeight="1" s="195"/>
    <row r="777" ht="15.75" customHeight="1" s="195"/>
    <row r="778" ht="15.75" customHeight="1" s="195"/>
    <row r="779" ht="15.75" customHeight="1" s="195"/>
    <row r="780" ht="15.75" customHeight="1" s="195"/>
    <row r="781" ht="15.75" customHeight="1" s="195"/>
    <row r="782" ht="15.75" customHeight="1" s="195"/>
    <row r="783" ht="15.75" customHeight="1" s="195"/>
    <row r="784" ht="15.75" customHeight="1" s="195"/>
    <row r="785" ht="15.75" customHeight="1" s="195"/>
    <row r="786" ht="15.75" customHeight="1" s="195"/>
    <row r="787" ht="15.75" customHeight="1" s="195"/>
    <row r="788" ht="15.75" customHeight="1" s="195"/>
    <row r="789" ht="15.75" customHeight="1" s="195"/>
    <row r="790" ht="15.75" customHeight="1" s="195"/>
    <row r="791" ht="15.75" customHeight="1" s="195"/>
    <row r="792" ht="15.75" customHeight="1" s="195"/>
    <row r="793" ht="15.75" customHeight="1" s="195"/>
    <row r="794" ht="15.75" customHeight="1" s="195"/>
    <row r="795" ht="15.75" customHeight="1" s="195"/>
    <row r="796" ht="15.75" customHeight="1" s="195"/>
    <row r="797" ht="15.75" customHeight="1" s="195"/>
    <row r="798" ht="15.75" customHeight="1" s="195"/>
    <row r="799" ht="15.75" customHeight="1" s="195"/>
    <row r="800" ht="15.75" customHeight="1" s="195"/>
    <row r="801" ht="15.75" customHeight="1" s="195"/>
    <row r="802" ht="15.75" customHeight="1" s="195"/>
    <row r="803" ht="15.75" customHeight="1" s="195"/>
    <row r="804" ht="15.75" customHeight="1" s="195"/>
    <row r="805" ht="15.75" customHeight="1" s="195"/>
    <row r="806" ht="15.75" customHeight="1" s="195"/>
    <row r="807" ht="15.75" customHeight="1" s="195"/>
    <row r="808" ht="15.75" customHeight="1" s="195"/>
    <row r="809" ht="15.75" customHeight="1" s="195"/>
    <row r="810" ht="15.75" customHeight="1" s="195"/>
    <row r="811" ht="15.75" customHeight="1" s="195"/>
    <row r="812" ht="15.75" customHeight="1" s="195"/>
    <row r="813" ht="15.75" customHeight="1" s="195"/>
    <row r="814" ht="15.75" customHeight="1" s="195"/>
    <row r="815" ht="15.75" customHeight="1" s="195"/>
    <row r="816" ht="15.75" customHeight="1" s="195"/>
    <row r="817" ht="15.75" customHeight="1" s="195"/>
    <row r="818" ht="15.75" customHeight="1" s="195"/>
    <row r="819" ht="15.75" customHeight="1" s="195"/>
    <row r="820" ht="15.75" customHeight="1" s="195"/>
    <row r="821" ht="15.75" customHeight="1" s="195"/>
    <row r="822" ht="15.75" customHeight="1" s="195"/>
    <row r="823" ht="15.75" customHeight="1" s="195"/>
    <row r="824" ht="15.75" customHeight="1" s="195"/>
    <row r="825" ht="15.75" customHeight="1" s="195"/>
    <row r="826" ht="15.75" customHeight="1" s="195"/>
    <row r="827" ht="15.75" customHeight="1" s="195"/>
    <row r="828" ht="15.75" customHeight="1" s="195"/>
    <row r="829" ht="15.75" customHeight="1" s="195"/>
    <row r="830" ht="15.75" customHeight="1" s="195"/>
    <row r="831" ht="15.75" customHeight="1" s="195"/>
    <row r="832" ht="15.75" customHeight="1" s="195"/>
    <row r="833" ht="15.75" customHeight="1" s="195"/>
    <row r="834" ht="15.75" customHeight="1" s="195"/>
    <row r="835" ht="15.75" customHeight="1" s="195"/>
    <row r="836" ht="15.75" customHeight="1" s="195"/>
    <row r="837" ht="15.75" customHeight="1" s="195"/>
    <row r="838" ht="15.75" customHeight="1" s="195"/>
    <row r="839" ht="15.75" customHeight="1" s="195"/>
    <row r="840" ht="15.75" customHeight="1" s="195"/>
    <row r="841" ht="15.75" customHeight="1" s="195"/>
    <row r="842" ht="15.75" customHeight="1" s="195"/>
    <row r="843" ht="15.75" customHeight="1" s="195"/>
    <row r="844" ht="15.75" customHeight="1" s="195"/>
    <row r="845" ht="15.75" customHeight="1" s="195"/>
    <row r="846" ht="15.75" customHeight="1" s="195"/>
    <row r="847" ht="15.75" customHeight="1" s="195"/>
    <row r="848" ht="15.75" customHeight="1" s="195"/>
    <row r="849" ht="15.75" customHeight="1" s="195"/>
    <row r="850" ht="15.75" customHeight="1" s="195"/>
    <row r="851" ht="15.75" customHeight="1" s="195"/>
    <row r="852" ht="15.75" customHeight="1" s="195"/>
    <row r="853" ht="15.75" customHeight="1" s="195"/>
    <row r="854" ht="15.75" customHeight="1" s="195"/>
    <row r="855" ht="15.75" customHeight="1" s="195"/>
    <row r="856" ht="15.75" customHeight="1" s="195"/>
    <row r="857" ht="15.75" customHeight="1" s="195"/>
    <row r="858" ht="15.75" customHeight="1" s="195"/>
    <row r="859" ht="15.75" customHeight="1" s="195"/>
    <row r="860" ht="15.75" customHeight="1" s="195"/>
    <row r="861" ht="15.75" customHeight="1" s="195"/>
    <row r="862" ht="15.75" customHeight="1" s="195"/>
    <row r="863" ht="15.75" customHeight="1" s="195"/>
    <row r="864" ht="15.75" customHeight="1" s="195"/>
    <row r="865" ht="15.75" customHeight="1" s="195"/>
    <row r="866" ht="15.75" customHeight="1" s="195"/>
    <row r="867" ht="15.75" customHeight="1" s="195"/>
    <row r="868" ht="15.75" customHeight="1" s="195"/>
    <row r="869" ht="15.75" customHeight="1" s="195"/>
    <row r="870" ht="15.75" customHeight="1" s="195"/>
    <row r="871" ht="15.75" customHeight="1" s="195"/>
    <row r="872" ht="15.75" customHeight="1" s="195"/>
    <row r="873" ht="15.75" customHeight="1" s="195"/>
    <row r="874" ht="15.75" customHeight="1" s="195"/>
    <row r="875" ht="15.75" customHeight="1" s="195"/>
    <row r="876" ht="15.75" customHeight="1" s="195"/>
    <row r="877" ht="15.75" customHeight="1" s="195"/>
    <row r="878" ht="15.75" customHeight="1" s="195"/>
    <row r="879" ht="15.75" customHeight="1" s="195"/>
    <row r="880" ht="15.75" customHeight="1" s="195"/>
    <row r="881" ht="15.75" customHeight="1" s="195"/>
    <row r="882" ht="15.75" customHeight="1" s="195"/>
    <row r="883" ht="15.75" customHeight="1" s="195"/>
    <row r="884" ht="15.75" customHeight="1" s="195"/>
    <row r="885" ht="15.75" customHeight="1" s="195"/>
    <row r="886" ht="15.75" customHeight="1" s="195"/>
    <row r="887" ht="15.75" customHeight="1" s="195"/>
    <row r="888" ht="15.75" customHeight="1" s="195"/>
    <row r="889" ht="15.75" customHeight="1" s="195"/>
    <row r="890" ht="15.75" customHeight="1" s="195"/>
    <row r="891" ht="15.75" customHeight="1" s="195"/>
    <row r="892" ht="15.75" customHeight="1" s="195"/>
    <row r="893" ht="15.75" customHeight="1" s="195"/>
    <row r="894" ht="15.75" customHeight="1" s="195"/>
    <row r="895" ht="15.75" customHeight="1" s="195"/>
    <row r="896" ht="15.75" customHeight="1" s="195"/>
    <row r="897" ht="15.75" customHeight="1" s="195"/>
    <row r="898" ht="15.75" customHeight="1" s="195"/>
    <row r="899" ht="15.75" customHeight="1" s="195"/>
    <row r="900" ht="15.75" customHeight="1" s="195"/>
    <row r="901" ht="15.75" customHeight="1" s="195"/>
    <row r="902" ht="15.75" customHeight="1" s="195"/>
    <row r="903" ht="15.75" customHeight="1" s="195"/>
    <row r="904" ht="15.75" customHeight="1" s="195"/>
    <row r="905" ht="15.75" customHeight="1" s="195"/>
    <row r="906" ht="15.75" customHeight="1" s="195"/>
    <row r="907" ht="15.75" customHeight="1" s="195"/>
    <row r="908" ht="15.75" customHeight="1" s="195"/>
    <row r="909" ht="15.75" customHeight="1" s="195"/>
    <row r="910" ht="15.75" customHeight="1" s="195"/>
    <row r="911" ht="15.75" customHeight="1" s="195"/>
    <row r="912" ht="15.75" customHeight="1" s="195"/>
    <row r="913" ht="15.75" customHeight="1" s="195"/>
    <row r="914" ht="15.75" customHeight="1" s="195"/>
    <row r="915" ht="15.75" customHeight="1" s="195"/>
    <row r="916" ht="15.75" customHeight="1" s="195"/>
    <row r="917" ht="15.75" customHeight="1" s="195"/>
    <row r="918" ht="15.75" customHeight="1" s="195"/>
    <row r="919" ht="15.75" customHeight="1" s="195"/>
    <row r="920" ht="15.75" customHeight="1" s="195"/>
    <row r="921" ht="15.75" customHeight="1" s="195"/>
    <row r="922" ht="15.75" customHeight="1" s="195"/>
    <row r="923" ht="15.75" customHeight="1" s="195"/>
    <row r="924" ht="15.75" customHeight="1" s="195"/>
    <row r="925" ht="15.75" customHeight="1" s="195"/>
    <row r="926" ht="15.75" customHeight="1" s="195"/>
    <row r="927" ht="15.75" customHeight="1" s="195"/>
    <row r="928" ht="15.75" customHeight="1" s="195"/>
    <row r="929" ht="15.75" customHeight="1" s="195"/>
    <row r="930" ht="15.75" customHeight="1" s="195"/>
    <row r="931" ht="15.75" customHeight="1" s="195"/>
    <row r="932" ht="15.75" customHeight="1" s="195"/>
    <row r="933" ht="15.75" customHeight="1" s="195"/>
    <row r="934" ht="15.75" customHeight="1" s="195"/>
    <row r="935" ht="15.75" customHeight="1" s="195"/>
    <row r="936" ht="15.75" customHeight="1" s="195"/>
    <row r="937" ht="15.75" customHeight="1" s="195"/>
    <row r="938" ht="15.75" customHeight="1" s="195"/>
    <row r="939" ht="15.75" customHeight="1" s="195"/>
    <row r="940" ht="15.75" customHeight="1" s="195"/>
    <row r="941" ht="15.75" customHeight="1" s="195"/>
    <row r="942" ht="15.75" customHeight="1" s="195"/>
    <row r="943" ht="15.75" customHeight="1" s="195"/>
    <row r="944" ht="15.75" customHeight="1" s="195"/>
    <row r="945" ht="15.75" customHeight="1" s="195"/>
    <row r="946" ht="15.75" customHeight="1" s="195"/>
    <row r="947" ht="15.75" customHeight="1" s="195"/>
    <row r="948" ht="15.75" customHeight="1" s="195"/>
    <row r="949" ht="15.75" customHeight="1" s="195"/>
    <row r="950" ht="15.75" customHeight="1" s="195"/>
    <row r="951" ht="15.75" customHeight="1" s="195"/>
    <row r="952" ht="15.75" customHeight="1" s="195"/>
    <row r="953" ht="15.75" customHeight="1" s="195"/>
    <row r="954" ht="15.75" customHeight="1" s="195"/>
    <row r="955" ht="15.75" customHeight="1" s="195"/>
    <row r="956" ht="15.75" customHeight="1" s="195"/>
    <row r="957" ht="15.75" customHeight="1" s="195"/>
    <row r="958" ht="15.75" customHeight="1" s="195"/>
    <row r="959" ht="15.75" customHeight="1" s="195"/>
    <row r="960" ht="15.75" customHeight="1" s="195"/>
    <row r="961" ht="15.75" customHeight="1" s="195"/>
    <row r="962" ht="15.75" customHeight="1" s="195"/>
    <row r="963" ht="15.75" customHeight="1" s="195"/>
    <row r="964" ht="15.75" customHeight="1" s="195"/>
    <row r="965" ht="15.75" customHeight="1" s="195"/>
    <row r="966" ht="15.75" customHeight="1" s="195"/>
    <row r="967" ht="15.75" customHeight="1" s="195"/>
    <row r="968" ht="15.75" customHeight="1" s="195"/>
    <row r="969" ht="15.75" customHeight="1" s="195"/>
    <row r="970" ht="15.75" customHeight="1" s="195"/>
    <row r="971" ht="15.75" customHeight="1" s="195"/>
    <row r="972" ht="15.75" customHeight="1" s="195"/>
    <row r="973" ht="15.75" customHeight="1" s="195"/>
    <row r="974" ht="15.75" customHeight="1" s="195"/>
    <row r="975" ht="15.75" customHeight="1" s="195"/>
    <row r="976" ht="15.75" customHeight="1" s="195"/>
    <row r="977" ht="15.75" customHeight="1" s="195"/>
    <row r="978" ht="15.75" customHeight="1" s="195"/>
    <row r="979" ht="15.75" customHeight="1" s="195"/>
    <row r="980" ht="15.75" customHeight="1" s="195"/>
    <row r="981" ht="15.75" customHeight="1" s="195"/>
    <row r="982" ht="15.75" customHeight="1" s="195"/>
    <row r="983" ht="15.75" customHeight="1" s="195"/>
    <row r="984" ht="15.75" customHeight="1" s="195"/>
    <row r="985" ht="15.75" customHeight="1" s="195"/>
    <row r="986" ht="15.75" customHeight="1" s="195"/>
    <row r="987" ht="15.75" customHeight="1" s="195"/>
    <row r="988" ht="15.75" customHeight="1" s="195"/>
    <row r="989" ht="15.75" customHeight="1" s="195"/>
    <row r="990" ht="15.75" customHeight="1" s="195"/>
    <row r="991" ht="15.75" customHeight="1" s="195"/>
    <row r="992" ht="15.75" customHeight="1" s="195"/>
    <row r="993" ht="15.75" customHeight="1" s="195"/>
    <row r="994" ht="15.75" customHeight="1" s="195"/>
    <row r="995" ht="15.75" customHeight="1" s="195"/>
    <row r="996" ht="15.75" customHeight="1" s="195"/>
    <row r="997" ht="15.75" customHeight="1" s="195"/>
    <row r="998" ht="15.75" customHeight="1" s="195"/>
    <row r="999" ht="15.75" customHeight="1" s="195"/>
    <row r="1000" ht="15.75" customHeight="1" s="195"/>
  </sheetData>
  <mergeCells count="13">
    <mergeCell ref="D2:F2"/>
    <mergeCell ref="G2:I2"/>
    <mergeCell ref="S2:T2"/>
    <mergeCell ref="J2:L2"/>
    <mergeCell ref="A506:G506"/>
    <mergeCell ref="U2:V2"/>
    <mergeCell ref="P2:R2"/>
    <mergeCell ref="A2:C2"/>
    <mergeCell ref="A1:Y1"/>
    <mergeCell ref="W2:AC2"/>
    <mergeCell ref="A4:Y4"/>
    <mergeCell ref="M2:O2"/>
    <mergeCell ref="A90:J90"/>
  </mergeCells>
  <conditionalFormatting sqref="T6:T505">
    <cfRule type="expression" rank="0" priority="2" equalAverage="0" aboveAverage="0" dxfId="0" text="" percent="0" bottom="0">
      <formula>EXACT(T6,"APROBADO")</formula>
    </cfRule>
    <cfRule type="expression" rank="0" priority="3" equalAverage="0" aboveAverage="0" dxfId="7" text="" percent="0" bottom="0">
      <formula>EXACT(T6,"PENDIENTE")</formula>
    </cfRule>
  </conditionalFormatting>
  <conditionalFormatting sqref="K6:K505">
    <cfRule type="expression" rank="0" priority="4" equalAverage="0" aboveAverage="0" dxfId="8" text="" percent="0" bottom="0">
      <formula>EXACT(K6,"GASOLINA")</formula>
    </cfRule>
  </conditionalFormatting>
  <conditionalFormatting sqref="Y4:Y130">
    <cfRule type="expression" rank="0" priority="5" equalAverage="0" aboveAverage="0" dxfId="9" text="" percent="0" bottom="0">
      <formula>Y4&lt;&gt;""</formula>
    </cfRule>
  </conditionalFormatting>
  <dataValidations count="4">
    <dataValidation sqref="K6:K505" showDropDown="0" showInputMessage="0" showErrorMessage="0" allowBlank="1" type="list" errorStyle="stop" operator="between">
      <formula1>"PETROLEO,GASOLINA"</formula1>
      <formula2>0</formula2>
    </dataValidation>
    <dataValidation sqref="E6:E89 E91:E505" showDropDown="0" showInputMessage="0" showErrorMessage="0" allowBlank="1" type="list" errorStyle="stop" operator="between">
      <formula1>"DNI,CE,PASAPORTE"</formula1>
      <formula2>0</formula2>
    </dataValidation>
    <dataValidation sqref="Y5:Y130" showDropDown="0" showInputMessage="0" showErrorMessage="0" allowBlank="1" type="list" errorStyle="stop" operator="between">
      <formula1>CONDUCTORES!$H$3:$H$104</formula1>
      <formula2>0</formula2>
    </dataValidation>
    <dataValidation sqref="T6:T505" showDropDown="0" showInputMessage="0" showErrorMessage="0" allowBlank="1" type="list" errorStyle="stop" operator="between">
      <formula1>"APROBADO,PENDIENTE,OBSERVADO"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C5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14.43359375" defaultRowHeight="15" zeroHeight="0" outlineLevelRow="0"/>
  <cols>
    <col width="5" customWidth="1" style="194" min="1" max="1"/>
    <col width="14" customWidth="1" style="194" min="2" max="2"/>
    <col width="8" customWidth="1" style="194" min="3" max="3"/>
    <col width="28" customWidth="1" style="194" min="4" max="4"/>
    <col width="7" customWidth="1" style="194" min="5" max="5"/>
    <col width="14" customWidth="1" style="194" min="6" max="6"/>
    <col width="12" customWidth="1" style="194" min="7" max="7"/>
    <col width="10" customWidth="1" style="194" min="8" max="8"/>
    <col width="30" customWidth="1" style="194" min="9" max="9"/>
    <col width="10" customWidth="1" style="194" min="10" max="10"/>
    <col width="12" customWidth="1" style="194" min="11" max="11"/>
    <col width="10" customWidth="1" style="194" min="12" max="13"/>
    <col width="14" customWidth="1" style="194" min="14" max="15"/>
    <col width="28" customWidth="1" style="194" min="16" max="16"/>
    <col width="12" customWidth="1" style="194" min="17" max="18"/>
    <col width="16" customWidth="1" style="194" min="19" max="19"/>
    <col width="12" customWidth="1" style="194" min="20" max="21"/>
    <col width="14" customWidth="1" style="194" min="22" max="23"/>
    <col width="8" customWidth="1" style="194" min="24" max="24"/>
    <col width="22" customWidth="1" style="194" min="25" max="25"/>
    <col width="8.710000000000001" customWidth="1" style="194" min="26" max="29"/>
  </cols>
  <sheetData>
    <row r="1" ht="27.75" customHeight="1" s="195">
      <c r="A1" s="317" t="inlineStr">
        <is>
          <t>REPORTE DE TRASLADO DE PACIENTES SIS DEL MES DE DICIEMBRE 2025 PARA REPOSICION DE COMBUSTIBLE</t>
        </is>
      </c>
    </row>
    <row r="2" ht="21.75" customHeight="1" s="195">
      <c r="A2" s="318" t="inlineStr">
        <is>
          <t>TOTAL PETROLEO (gal):</t>
        </is>
      </c>
      <c r="D2" s="319">
        <f>IFERROR(SUMPRODUCT((K4:K101="PETROLEO")*ISNUMBER(M4:M101)*M4:M101),0)</f>
        <v/>
      </c>
      <c r="G2" s="318" t="inlineStr">
        <is>
          <t>TOTAL GASOLINA (gal):</t>
        </is>
      </c>
      <c r="J2" s="319">
        <f>IFERROR(SUMPRODUCT((K4:K101="GASOLINA")*ISNUMBER(M4:M101)*M4:M101),0)</f>
        <v/>
      </c>
      <c r="M2" s="318" t="inlineStr">
        <is>
          <t>TOTAL SOLES S/.:</t>
        </is>
      </c>
      <c r="P2" s="320">
        <f>IFERROR(SUMPRODUCT(ISNUMBER(M4:M101)*L4:L101*M4:M101),0)</f>
        <v/>
      </c>
      <c r="S2" s="318" t="inlineStr">
        <is>
          <t>N TRASLADOS:</t>
        </is>
      </c>
      <c r="U2" s="321">
        <f>SUBTOTAL(2,A4:A101)</f>
        <v/>
      </c>
      <c r="W2" s="322" t="inlineStr">
        <is>
          <t>↑ Al filtrar por EESS los totales cambian automáticamente</t>
        </is>
      </c>
    </row>
    <row r="3" ht="3.75" customHeight="1" s="195">
      <c r="A3" s="323" t="n"/>
      <c r="B3" s="323" t="n"/>
      <c r="C3" s="323" t="n"/>
      <c r="D3" s="323" t="n"/>
      <c r="E3" s="323" t="n"/>
      <c r="F3" s="323" t="n"/>
      <c r="G3" s="323" t="n"/>
      <c r="H3" s="323" t="n"/>
      <c r="I3" s="323" t="n"/>
      <c r="J3" s="323" t="n"/>
      <c r="K3" s="323" t="n"/>
      <c r="L3" s="323" t="n"/>
      <c r="M3" s="323" t="n"/>
      <c r="N3" s="323" t="n"/>
      <c r="O3" s="323" t="n"/>
      <c r="P3" s="323" t="n"/>
      <c r="Q3" s="323" t="n"/>
      <c r="R3" s="323" t="n"/>
      <c r="S3" s="323" t="n"/>
      <c r="T3" s="323" t="n"/>
      <c r="U3" s="323" t="n"/>
      <c r="V3" s="323" t="n"/>
      <c r="W3" s="323" t="n"/>
      <c r="X3" s="323" t="n"/>
      <c r="Y3" s="324" t="inlineStr">
        <is>
          <t>DEVOLVER A
(IPRESS DESTINO)</t>
        </is>
      </c>
    </row>
    <row r="4" ht="19.5" customHeight="1" s="195">
      <c r="A4" s="325" t="inlineStr">
        <is>
          <t>COLUMNAS EN AZUL = AUTO (no editar) | Ingrese: N, NRO FORMATO, AFILIADO, TIPO DOC, NRO DOC, FECHA TRASLADO, COD RENAES, COD REFERENCIA, DNI CONDUCTOR, PRECIO GAL, GALONES, FECHA ENTREGA, CIE-10, ESTADO FUA, FECHA DIGITACION, OFICIO, O/C, META, OBSERVACION</t>
        </is>
      </c>
    </row>
    <row r="5" ht="30" customHeight="1" s="195">
      <c r="A5" s="326" t="inlineStr">
        <is>
          <t>N</t>
        </is>
      </c>
      <c r="B5" s="327" t="inlineStr">
        <is>
          <t>NRO FORMATO
ATENCION</t>
        </is>
      </c>
      <c r="C5" s="327" t="inlineStr">
        <is>
          <t>UNIDAD
EJECUTORA</t>
        </is>
      </c>
      <c r="D5" s="327" t="inlineStr">
        <is>
          <t>AFILIADO</t>
        </is>
      </c>
      <c r="E5" s="327" t="inlineStr">
        <is>
          <t>TIPO
DOC</t>
        </is>
      </c>
      <c r="F5" s="327" t="inlineStr">
        <is>
          <t>NRO
DOCUMENTO</t>
        </is>
      </c>
      <c r="G5" s="327" t="inlineStr">
        <is>
          <t>FECHA
TRASLADO</t>
        </is>
      </c>
      <c r="H5" s="327" t="inlineStr">
        <is>
          <t>COD
RENAES</t>
        </is>
      </c>
      <c r="I5" s="328" t="inlineStr">
        <is>
          <t>DESCRIPCION
EESS</t>
        </is>
      </c>
      <c r="J5" s="327" t="inlineStr">
        <is>
          <t>COD EESS
REFERENCIA</t>
        </is>
      </c>
      <c r="K5" s="328" t="inlineStr">
        <is>
          <t>TIPO DE
COMBUSTIBLE</t>
        </is>
      </c>
      <c r="L5" s="327" t="inlineStr">
        <is>
          <t>PRECIO
GAL S/.</t>
        </is>
      </c>
      <c r="M5" s="327" t="inlineStr">
        <is>
          <t>GALONES</t>
        </is>
      </c>
      <c r="N5" s="328" t="inlineStr">
        <is>
          <t>TOTAL
COMBUSTIBLE S/.</t>
        </is>
      </c>
      <c r="O5" s="327" t="inlineStr">
        <is>
          <t>DNI
CONDUCTOR</t>
        </is>
      </c>
      <c r="P5" s="329">
        <f>IFERROR(VLOOKUP(TEXT(O5,"0"),CONDUCTORES!$A$3:$G$100,2,0),"")</f>
        <v/>
      </c>
      <c r="Q5" s="329">
        <f>IFERROR(VLOOKUP(TEXT(O5,"0"),CONDUCTORES!$A$3:$H$100,6,0),"")</f>
        <v/>
      </c>
      <c r="R5" s="327" t="inlineStr">
        <is>
          <t>FECHA DE
ENTREGA</t>
        </is>
      </c>
      <c r="S5" s="327" t="inlineStr">
        <is>
          <t>CODIGO DE
DIAGNOSTICO</t>
        </is>
      </c>
      <c r="T5" s="327" t="inlineStr">
        <is>
          <t>ESTADO
FUA</t>
        </is>
      </c>
      <c r="U5" s="327" t="inlineStr">
        <is>
          <t>FECHA
DIGITACION</t>
        </is>
      </c>
      <c r="V5" s="327" t="inlineStr">
        <is>
          <t>OFICIO</t>
        </is>
      </c>
      <c r="W5" s="327" t="inlineStr">
        <is>
          <t>O/C</t>
        </is>
      </c>
      <c r="X5" s="327" t="inlineStr">
        <is>
          <t>META</t>
        </is>
      </c>
      <c r="Y5" s="330" t="inlineStr">
        <is>
          <t>OBSERVACION</t>
        </is>
      </c>
    </row>
    <row r="6" ht="15.75" customHeight="1" s="195">
      <c r="A6" s="301" t="n">
        <v>1</v>
      </c>
      <c r="B6" s="302" t="inlineStr">
        <is>
          <t>0000099</t>
        </is>
      </c>
      <c r="C6" s="301" t="inlineStr">
        <is>
          <t>REGION</t>
        </is>
      </c>
      <c r="D6" s="302" t="inlineStr">
        <is>
          <t>MORI GARCIA FLOR KELI</t>
        </is>
      </c>
      <c r="E6" s="301" t="inlineStr">
        <is>
          <t>DNI</t>
        </is>
      </c>
      <c r="F6" s="301" t="inlineStr">
        <is>
          <t>48751322</t>
        </is>
      </c>
      <c r="G6" s="331" t="n">
        <v>46002</v>
      </c>
      <c r="H6" s="301" t="inlineStr">
        <is>
          <t>4932</t>
        </is>
      </c>
      <c r="I6" s="332">
        <f>IFERROR(VLOOKUP(TEXT(H6,"0"),IPRESS!$A$3:$B$212,2,0),"")</f>
        <v/>
      </c>
      <c r="J6" s="301" t="inlineStr">
        <is>
          <t>4838</t>
        </is>
      </c>
      <c r="K6" s="332">
        <f>IFERROR(VLOOKUP(TEXT(O6,"0"),CONDUCTORES!$A$3:$G$100,7,0),"")</f>
        <v/>
      </c>
      <c r="L6" s="245" t="n">
        <v>18.18</v>
      </c>
      <c r="M6" s="245" t="n">
        <v>6</v>
      </c>
      <c r="N6" s="333">
        <f>IFERROR(IF(L6*M6=0,"",L6*M6),"")</f>
        <v/>
      </c>
      <c r="O6" s="280" t="n"/>
      <c r="P6" s="332">
        <f>IFERROR(VLOOKUP(TEXT(O6,"0"),CONDUCTORES!$A$3:$G$100,2,0),"")</f>
        <v/>
      </c>
      <c r="Q6" s="332">
        <f>IFERROR(VLOOKUP(TEXT(O6,"0"),CONDUCTORES!$A$3:$H$100,6,0),"")</f>
        <v/>
      </c>
      <c r="R6" s="334" t="n"/>
      <c r="S6" s="302" t="inlineStr">
        <is>
          <t>O009</t>
        </is>
      </c>
      <c r="T6" s="301" t="n"/>
      <c r="U6" s="334" t="n"/>
      <c r="V6" s="301" t="n"/>
      <c r="W6" s="301" t="n"/>
      <c r="X6" s="301" t="n"/>
      <c r="Y6" s="280" t="n"/>
    </row>
    <row r="7" ht="15.75" customHeight="1" s="195">
      <c r="A7" s="241" t="n">
        <v>2</v>
      </c>
      <c r="B7" s="305" t="inlineStr">
        <is>
          <t>0000100</t>
        </is>
      </c>
      <c r="C7" s="241" t="inlineStr">
        <is>
          <t>REGION</t>
        </is>
      </c>
      <c r="D7" s="305" t="inlineStr">
        <is>
          <t>TIRADO VASQUEZ MARIA ELVA</t>
        </is>
      </c>
      <c r="E7" s="241" t="inlineStr">
        <is>
          <t>DNI</t>
        </is>
      </c>
      <c r="F7" s="241" t="inlineStr">
        <is>
          <t>27427047</t>
        </is>
      </c>
      <c r="G7" s="336" t="n">
        <v>46002</v>
      </c>
      <c r="H7" s="241" t="inlineStr">
        <is>
          <t>4932</t>
        </is>
      </c>
      <c r="I7" s="332">
        <f>IFERROR(VLOOKUP(TEXT(H7,"0"),IPRESS!$A$3:$B$212,2,0),"")</f>
        <v/>
      </c>
      <c r="J7" s="241" t="inlineStr">
        <is>
          <t>4838</t>
        </is>
      </c>
      <c r="K7" s="332">
        <f>IFERROR(VLOOKUP(TEXT(O7,"0"),CONDUCTORES!$A$3:$G$100,7,0),"")</f>
        <v/>
      </c>
      <c r="L7" s="239" t="n">
        <v>18.18</v>
      </c>
      <c r="M7" s="239" t="n">
        <v>6</v>
      </c>
      <c r="N7" s="333">
        <f>IFERROR(IF(L7*M7=0,"",L7*M7),"")</f>
        <v/>
      </c>
      <c r="O7" s="334" t="n"/>
      <c r="P7" s="332">
        <f>IFERROR(VLOOKUP(TEXT(O7,"0"),CONDUCTORES!$A$3:$G$100,2,0),"")</f>
        <v/>
      </c>
      <c r="Q7" s="332">
        <f>IFERROR(VLOOKUP(TEXT(O7,"0"),CONDUCTORES!$A$3:$H$100,6,0),"")</f>
        <v/>
      </c>
      <c r="R7" s="280" t="n"/>
      <c r="S7" s="305" t="inlineStr">
        <is>
          <t>N939,D62X,N800</t>
        </is>
      </c>
      <c r="T7" s="241" t="n"/>
      <c r="U7" s="280" t="n"/>
      <c r="V7" s="241" t="n"/>
      <c r="W7" s="241" t="n"/>
      <c r="X7" s="241" t="n"/>
      <c r="Y7" s="280" t="n"/>
    </row>
    <row r="8" ht="15.75" customHeight="1" s="195">
      <c r="A8" s="337" t="n">
        <v>3</v>
      </c>
      <c r="B8" s="338" t="inlineStr">
        <is>
          <t>0000111</t>
        </is>
      </c>
      <c r="C8" s="337" t="inlineStr">
        <is>
          <t>REGION</t>
        </is>
      </c>
      <c r="D8" s="338" t="inlineStr">
        <is>
          <t>VENTURA DAZA MOISES</t>
        </is>
      </c>
      <c r="E8" s="337" t="inlineStr">
        <is>
          <t>DNI</t>
        </is>
      </c>
      <c r="F8" s="337" t="inlineStr">
        <is>
          <t>41323837</t>
        </is>
      </c>
      <c r="G8" s="339" t="n">
        <v>45997</v>
      </c>
      <c r="H8" s="337" t="inlineStr">
        <is>
          <t>4922</t>
        </is>
      </c>
      <c r="I8" s="332">
        <f>IFERROR(VLOOKUP(TEXT(H8,"0"),IPRESS!$A$3:$B$212,2,0),"")</f>
        <v/>
      </c>
      <c r="J8" s="337" t="inlineStr">
        <is>
          <t>4838</t>
        </is>
      </c>
      <c r="K8" s="332">
        <f>IFERROR(VLOOKUP(TEXT(O8,"0"),CONDUCTORES!$A$3:$G$100,7,0),"")</f>
        <v/>
      </c>
      <c r="L8" s="340" t="n">
        <v>17.95</v>
      </c>
      <c r="M8" s="340" t="n">
        <v>6</v>
      </c>
      <c r="N8" s="333">
        <f>IFERROR(IF(L8*M8=0,"",L8*M8),"")</f>
        <v/>
      </c>
      <c r="O8" s="280" t="n"/>
      <c r="P8" s="332">
        <f>IFERROR(VLOOKUP(TEXT(O8,"0"),CONDUCTORES!$A$3:$G$100,2,0),"")</f>
        <v/>
      </c>
      <c r="Q8" s="332">
        <f>IFERROR(VLOOKUP(TEXT(O8,"0"),CONDUCTORES!$A$3:$H$100,6,0),"")</f>
        <v/>
      </c>
      <c r="R8" s="341" t="n"/>
      <c r="S8" s="338" t="inlineStr">
        <is>
          <t>J960,J90X</t>
        </is>
      </c>
      <c r="T8" s="337" t="n"/>
      <c r="U8" s="341" t="n"/>
      <c r="V8" s="337" t="n"/>
      <c r="W8" s="337" t="n"/>
      <c r="X8" s="337" t="n"/>
      <c r="Y8" s="280" t="n"/>
    </row>
    <row r="9" ht="15.75" customHeight="1" s="195">
      <c r="A9" s="241" t="n">
        <v>4</v>
      </c>
      <c r="B9" s="305" t="inlineStr">
        <is>
          <t>0000110</t>
        </is>
      </c>
      <c r="C9" s="241" t="inlineStr">
        <is>
          <t>REGION</t>
        </is>
      </c>
      <c r="D9" s="305" t="inlineStr">
        <is>
          <t>TELLO GUEVARON LEONBILDA</t>
        </is>
      </c>
      <c r="E9" s="241" t="inlineStr">
        <is>
          <t>DNI</t>
        </is>
      </c>
      <c r="F9" s="241" t="inlineStr">
        <is>
          <t>33732096</t>
        </is>
      </c>
      <c r="G9" s="336" t="n">
        <v>45996</v>
      </c>
      <c r="H9" s="241" t="inlineStr">
        <is>
          <t>4922</t>
        </is>
      </c>
      <c r="I9" s="332">
        <f>IFERROR(VLOOKUP(TEXT(H9,"0"),IPRESS!$A$3:$B$212,2,0),"")</f>
        <v/>
      </c>
      <c r="J9" s="241" t="inlineStr">
        <is>
          <t>4838</t>
        </is>
      </c>
      <c r="K9" s="332">
        <f>IFERROR(VLOOKUP(TEXT(O9,"0"),CONDUCTORES!$A$3:$G$100,7,0),"")</f>
        <v/>
      </c>
      <c r="L9" s="239" t="n">
        <v>18.18</v>
      </c>
      <c r="M9" s="239" t="n">
        <v>5</v>
      </c>
      <c r="N9" s="333">
        <f>IFERROR(IF(L9*M9=0,"",L9*M9),"")</f>
        <v/>
      </c>
      <c r="O9" s="334" t="n"/>
      <c r="P9" s="332">
        <f>IFERROR(VLOOKUP(TEXT(O9,"0"),CONDUCTORES!$A$3:$G$100,2,0),"")</f>
        <v/>
      </c>
      <c r="Q9" s="332">
        <f>IFERROR(VLOOKUP(TEXT(O9,"0"),CONDUCTORES!$A$3:$H$100,6,0),"")</f>
        <v/>
      </c>
      <c r="R9" s="280" t="n"/>
      <c r="S9" s="305" t="inlineStr">
        <is>
          <t>D649,N189,K25X</t>
        </is>
      </c>
      <c r="T9" s="241" t="n"/>
      <c r="U9" s="280" t="n"/>
      <c r="V9" s="241" t="n"/>
      <c r="W9" s="241" t="n"/>
      <c r="X9" s="241" t="n"/>
      <c r="Y9" s="280" t="n"/>
    </row>
    <row r="10" ht="15.75" customHeight="1" s="195">
      <c r="A10" s="301" t="n">
        <v>5</v>
      </c>
      <c r="B10" s="302" t="inlineStr">
        <is>
          <t>0000108</t>
        </is>
      </c>
      <c r="C10" s="301" t="inlineStr">
        <is>
          <t>REGION</t>
        </is>
      </c>
      <c r="D10" s="302" t="inlineStr">
        <is>
          <t>JAUREGUI CAMPOS LEIDY GABRIELITA</t>
        </is>
      </c>
      <c r="E10" s="301" t="inlineStr">
        <is>
          <t>DNI</t>
        </is>
      </c>
      <c r="F10" s="301" t="inlineStr">
        <is>
          <t>60730344</t>
        </is>
      </c>
      <c r="G10" s="331" t="n">
        <v>45995</v>
      </c>
      <c r="H10" s="301" t="inlineStr">
        <is>
          <t>4922</t>
        </is>
      </c>
      <c r="I10" s="332">
        <f>IFERROR(VLOOKUP(TEXT(H10,"0"),IPRESS!$A$3:$B$212,2,0),"")</f>
        <v/>
      </c>
      <c r="J10" s="301" t="inlineStr">
        <is>
          <t>4838</t>
        </is>
      </c>
      <c r="K10" s="332">
        <f>IFERROR(VLOOKUP(TEXT(O10,"0"),CONDUCTORES!$A$3:$G$100,7,0),"")</f>
        <v/>
      </c>
      <c r="L10" s="245" t="n">
        <v>18.18</v>
      </c>
      <c r="M10" s="245" t="n">
        <v>5</v>
      </c>
      <c r="N10" s="333">
        <f>IFERROR(IF(L10*M10=0,"",L10*M10),"")</f>
        <v/>
      </c>
      <c r="O10" s="280" t="n"/>
      <c r="P10" s="332">
        <f>IFERROR(VLOOKUP(TEXT(O10,"0"),CONDUCTORES!$A$3:$G$100,2,0),"")</f>
        <v/>
      </c>
      <c r="Q10" s="332">
        <f>IFERROR(VLOOKUP(TEXT(O10,"0"),CONDUCTORES!$A$3:$H$100,6,0),"")</f>
        <v/>
      </c>
      <c r="R10" s="334" t="n"/>
      <c r="S10" s="302" t="inlineStr">
        <is>
          <t>O239,K37X</t>
        </is>
      </c>
      <c r="T10" s="301" t="n"/>
      <c r="U10" s="334" t="n"/>
      <c r="V10" s="301" t="n"/>
      <c r="W10" s="301" t="n"/>
      <c r="X10" s="301" t="n"/>
      <c r="Y10" s="280" t="n"/>
    </row>
    <row r="11" ht="15.75" customHeight="1" s="195">
      <c r="A11" s="337" t="n">
        <v>6</v>
      </c>
      <c r="B11" s="338" t="inlineStr">
        <is>
          <t>0000006</t>
        </is>
      </c>
      <c r="C11" s="337" t="inlineStr">
        <is>
          <t>REGION</t>
        </is>
      </c>
      <c r="D11" s="338" t="inlineStr">
        <is>
          <t>PIZARRO VENTURA ROSA</t>
        </is>
      </c>
      <c r="E11" s="337" t="inlineStr">
        <is>
          <t>DNI</t>
        </is>
      </c>
      <c r="F11" s="337" t="inlineStr">
        <is>
          <t>76287013</t>
        </is>
      </c>
      <c r="G11" s="339" t="n">
        <v>45992</v>
      </c>
      <c r="H11" s="337" t="inlineStr">
        <is>
          <t>4913</t>
        </is>
      </c>
      <c r="I11" s="332">
        <f>IFERROR(VLOOKUP(TEXT(H11,"0"),IPRESS!$A$3:$B$212,2,0),"")</f>
        <v/>
      </c>
      <c r="J11" s="337" t="inlineStr">
        <is>
          <t>4838</t>
        </is>
      </c>
      <c r="K11" s="332">
        <f>IFERROR(VLOOKUP(TEXT(O11,"0"),CONDUCTORES!$A$3:$G$100,7,0),"")</f>
        <v/>
      </c>
      <c r="L11" s="340" t="n">
        <v>17.95</v>
      </c>
      <c r="M11" s="340" t="n">
        <v>20</v>
      </c>
      <c r="N11" s="333">
        <f>IFERROR(IF(L11*M11=0,"",L11*M11),"")</f>
        <v/>
      </c>
      <c r="O11" s="334" t="n"/>
      <c r="P11" s="332">
        <f>IFERROR(VLOOKUP(TEXT(O11,"0"),CONDUCTORES!$A$3:$G$100,2,0),"")</f>
        <v/>
      </c>
      <c r="Q11" s="332">
        <f>IFERROR(VLOOKUP(TEXT(O11,"0"),CONDUCTORES!$A$3:$H$100,6,0),"")</f>
        <v/>
      </c>
      <c r="R11" s="341" t="n"/>
      <c r="S11" s="338" t="inlineStr">
        <is>
          <t>L029</t>
        </is>
      </c>
      <c r="T11" s="337" t="n"/>
      <c r="U11" s="341" t="n"/>
      <c r="V11" s="337" t="n"/>
      <c r="W11" s="337" t="n"/>
      <c r="X11" s="337" t="n"/>
      <c r="Y11" s="280" t="n"/>
    </row>
    <row r="12" ht="15.75" customHeight="1" s="195">
      <c r="A12" s="301" t="n">
        <v>7</v>
      </c>
      <c r="B12" s="302" t="inlineStr">
        <is>
          <t>0000098</t>
        </is>
      </c>
      <c r="C12" s="301" t="inlineStr">
        <is>
          <t>REGION</t>
        </is>
      </c>
      <c r="D12" s="302" t="inlineStr">
        <is>
          <t>HERNANDEZ SHIPIAMA INIKA PATRICIA</t>
        </is>
      </c>
      <c r="E12" s="301" t="inlineStr">
        <is>
          <t>DNI</t>
        </is>
      </c>
      <c r="F12" s="301" t="inlineStr">
        <is>
          <t>91498186</t>
        </is>
      </c>
      <c r="G12" s="331" t="n">
        <v>45992</v>
      </c>
      <c r="H12" s="301" t="inlineStr">
        <is>
          <t>4932</t>
        </is>
      </c>
      <c r="I12" s="332">
        <f>IFERROR(VLOOKUP(TEXT(H12,"0"),IPRESS!$A$3:$B$212,2,0),"")</f>
        <v/>
      </c>
      <c r="J12" s="301" t="inlineStr">
        <is>
          <t>4838</t>
        </is>
      </c>
      <c r="K12" s="332">
        <f>IFERROR(VLOOKUP(TEXT(O12,"0"),CONDUCTORES!$A$3:$G$100,7,0),"")</f>
        <v/>
      </c>
      <c r="L12" s="245" t="n">
        <v>18.18</v>
      </c>
      <c r="M12" s="245" t="n">
        <v>6</v>
      </c>
      <c r="N12" s="333">
        <f>IFERROR(IF(L12*M12=0,"",L12*M12),"")</f>
        <v/>
      </c>
      <c r="O12" s="280" t="n"/>
      <c r="P12" s="332">
        <f>IFERROR(VLOOKUP(TEXT(O12,"0"),CONDUCTORES!$A$3:$G$100,2,0),"")</f>
        <v/>
      </c>
      <c r="Q12" s="332">
        <f>IFERROR(VLOOKUP(TEXT(O12,"0"),CONDUCTORES!$A$3:$H$100,6,0),"")</f>
        <v/>
      </c>
      <c r="R12" s="334" t="n"/>
      <c r="S12" s="302" t="inlineStr">
        <is>
          <t>S069</t>
        </is>
      </c>
      <c r="T12" s="301" t="n"/>
      <c r="U12" s="334" t="n"/>
      <c r="V12" s="301" t="n"/>
      <c r="W12" s="301" t="n"/>
      <c r="X12" s="301" t="n"/>
      <c r="Y12" s="280" t="n"/>
    </row>
    <row r="13" ht="15.75" customHeight="1" s="195">
      <c r="A13" s="241" t="n">
        <v>8</v>
      </c>
      <c r="B13" s="305" t="inlineStr">
        <is>
          <t>0000052</t>
        </is>
      </c>
      <c r="C13" s="241" t="inlineStr">
        <is>
          <t>REGION</t>
        </is>
      </c>
      <c r="D13" s="305" t="inlineStr">
        <is>
          <t>CHAVEZ RUBIO MARIA LUISA</t>
        </is>
      </c>
      <c r="E13" s="241" t="inlineStr">
        <is>
          <t>DNI</t>
        </is>
      </c>
      <c r="F13" s="241" t="inlineStr">
        <is>
          <t>33807463</t>
        </is>
      </c>
      <c r="G13" s="336" t="n">
        <v>45992</v>
      </c>
      <c r="H13" s="241" t="inlineStr">
        <is>
          <t>4903</t>
        </is>
      </c>
      <c r="I13" s="332">
        <f>IFERROR(VLOOKUP(TEXT(H13,"0"),IPRESS!$A$3:$B$212,2,0),"")</f>
        <v/>
      </c>
      <c r="J13" s="241" t="inlineStr">
        <is>
          <t>4838</t>
        </is>
      </c>
      <c r="K13" s="332">
        <f>IFERROR(VLOOKUP(TEXT(O13,"0"),CONDUCTORES!$A$3:$G$100,7,0),"")</f>
        <v/>
      </c>
      <c r="L13" s="239" t="n">
        <v>18.18</v>
      </c>
      <c r="M13" s="239" t="n">
        <v>5</v>
      </c>
      <c r="N13" s="333">
        <f>IFERROR(IF(L13*M13=0,"",L13*M13),"")</f>
        <v/>
      </c>
      <c r="O13" s="334" t="n"/>
      <c r="P13" s="332">
        <f>IFERROR(VLOOKUP(TEXT(O13,"0"),CONDUCTORES!$A$3:$G$100,2,0),"")</f>
        <v/>
      </c>
      <c r="Q13" s="332">
        <f>IFERROR(VLOOKUP(TEXT(O13,"0"),CONDUCTORES!$A$3:$H$100,6,0),"")</f>
        <v/>
      </c>
      <c r="R13" s="280" t="n"/>
      <c r="S13" s="305" t="inlineStr">
        <is>
          <t>R33X,N390,I500</t>
        </is>
      </c>
      <c r="T13" s="241" t="n"/>
      <c r="U13" s="280" t="n"/>
      <c r="V13" s="241" t="n"/>
      <c r="W13" s="241" t="n"/>
      <c r="X13" s="241" t="n"/>
      <c r="Y13" s="280" t="n"/>
    </row>
    <row r="14" ht="15.75" customHeight="1" s="195">
      <c r="A14" s="301" t="n">
        <v>9</v>
      </c>
      <c r="B14" s="302" t="inlineStr">
        <is>
          <t>0000025</t>
        </is>
      </c>
      <c r="C14" s="301" t="inlineStr">
        <is>
          <t>REGION</t>
        </is>
      </c>
      <c r="D14" s="302" t="inlineStr">
        <is>
          <t>CHAVEZ ROJAS JUANITA</t>
        </is>
      </c>
      <c r="E14" s="301" t="inlineStr">
        <is>
          <t>DNI</t>
        </is>
      </c>
      <c r="F14" s="301" t="inlineStr">
        <is>
          <t>44341093</t>
        </is>
      </c>
      <c r="G14" s="331" t="n">
        <v>45993</v>
      </c>
      <c r="H14" s="301" t="inlineStr">
        <is>
          <t>4917</t>
        </is>
      </c>
      <c r="I14" s="332">
        <f>IFERROR(VLOOKUP(TEXT(H14,"0"),IPRESS!$A$3:$B$212,2,0),"")</f>
        <v/>
      </c>
      <c r="J14" s="301" t="inlineStr">
        <is>
          <t>4932</t>
        </is>
      </c>
      <c r="K14" s="332">
        <f>IFERROR(VLOOKUP(TEXT(O14,"0"),CONDUCTORES!$A$3:$G$100,7,0),"")</f>
        <v/>
      </c>
      <c r="L14" s="245" t="n">
        <v>18.18</v>
      </c>
      <c r="M14" s="245" t="n">
        <v>5</v>
      </c>
      <c r="N14" s="333">
        <f>IFERROR(IF(L14*M14=0,"",L14*M14),"")</f>
        <v/>
      </c>
      <c r="O14" s="280" t="n"/>
      <c r="P14" s="332">
        <f>IFERROR(VLOOKUP(TEXT(O14,"0"),CONDUCTORES!$A$3:$G$100,2,0),"")</f>
        <v/>
      </c>
      <c r="Q14" s="332">
        <f>IFERROR(VLOOKUP(TEXT(O14,"0"),CONDUCTORES!$A$3:$H$100,6,0),"")</f>
        <v/>
      </c>
      <c r="R14" s="334" t="n"/>
      <c r="S14" s="302" t="inlineStr">
        <is>
          <t>O021</t>
        </is>
      </c>
      <c r="T14" s="301" t="n"/>
      <c r="U14" s="334" t="n"/>
      <c r="V14" s="301" t="n"/>
      <c r="W14" s="301" t="n"/>
      <c r="X14" s="301" t="n"/>
      <c r="Y14" s="280" t="n"/>
    </row>
    <row r="15" ht="15.75" customHeight="1" s="195">
      <c r="A15" s="241" t="n">
        <v>10</v>
      </c>
      <c r="B15" s="305" t="inlineStr">
        <is>
          <t>0000107</t>
        </is>
      </c>
      <c r="C15" s="241" t="inlineStr">
        <is>
          <t>REGION</t>
        </is>
      </c>
      <c r="D15" s="305" t="inlineStr">
        <is>
          <t>OCAMPO VILLACORTA GLICERIA</t>
        </is>
      </c>
      <c r="E15" s="241" t="inlineStr">
        <is>
          <t>DNI</t>
        </is>
      </c>
      <c r="F15" s="241" t="inlineStr">
        <is>
          <t>48406564</t>
        </is>
      </c>
      <c r="G15" s="336" t="n">
        <v>45992</v>
      </c>
      <c r="H15" s="241" t="inlineStr">
        <is>
          <t>4922</t>
        </is>
      </c>
      <c r="I15" s="332">
        <f>IFERROR(VLOOKUP(TEXT(H15,"0"),IPRESS!$A$3:$B$212,2,0),"")</f>
        <v/>
      </c>
      <c r="J15" s="241" t="inlineStr">
        <is>
          <t>4838</t>
        </is>
      </c>
      <c r="K15" s="332">
        <f>IFERROR(VLOOKUP(TEXT(O15,"0"),CONDUCTORES!$A$3:$G$100,7,0),"")</f>
        <v/>
      </c>
      <c r="L15" s="239" t="n">
        <v>18.18</v>
      </c>
      <c r="M15" s="239" t="n">
        <v>5</v>
      </c>
      <c r="N15" s="333">
        <f>IFERROR(IF(L15*M15=0,"",L15*M15),"")</f>
        <v/>
      </c>
      <c r="O15" s="334" t="n"/>
      <c r="P15" s="332">
        <f>IFERROR(VLOOKUP(TEXT(O15,"0"),CONDUCTORES!$A$3:$G$100,2,0),"")</f>
        <v/>
      </c>
      <c r="Q15" s="332">
        <f>IFERROR(VLOOKUP(TEXT(O15,"0"),CONDUCTORES!$A$3:$H$100,6,0),"")</f>
        <v/>
      </c>
      <c r="R15" s="280" t="n"/>
      <c r="S15" s="305" t="inlineStr">
        <is>
          <t>I64X,I10X</t>
        </is>
      </c>
      <c r="T15" s="241" t="n"/>
      <c r="U15" s="280" t="n"/>
      <c r="V15" s="241" t="n"/>
      <c r="W15" s="241" t="n"/>
      <c r="X15" s="241" t="n"/>
      <c r="Y15" s="280" t="n"/>
    </row>
    <row r="16" ht="15.75" customHeight="1" s="195">
      <c r="A16" s="337" t="n">
        <v>11</v>
      </c>
      <c r="B16" s="338" t="inlineStr">
        <is>
          <t>0000015</t>
        </is>
      </c>
      <c r="C16" s="337" t="inlineStr">
        <is>
          <t>REGION</t>
        </is>
      </c>
      <c r="D16" s="338" t="inlineStr">
        <is>
          <t>ALVAREZ PINO NITZI NICOLLE</t>
        </is>
      </c>
      <c r="E16" s="337" t="inlineStr">
        <is>
          <t>DNI</t>
        </is>
      </c>
      <c r="F16" s="337" t="inlineStr">
        <is>
          <t>73621069</t>
        </is>
      </c>
      <c r="G16" s="339" t="n">
        <v>45999</v>
      </c>
      <c r="H16" s="337" t="inlineStr">
        <is>
          <t>4869</t>
        </is>
      </c>
      <c r="I16" s="332">
        <f>IFERROR(VLOOKUP(TEXT(H16,"0"),IPRESS!$A$3:$B$212,2,0),"")</f>
        <v/>
      </c>
      <c r="J16" s="337" t="inlineStr">
        <is>
          <t>4838</t>
        </is>
      </c>
      <c r="K16" s="332">
        <f>IFERROR(VLOOKUP(TEXT(O16,"0"),CONDUCTORES!$A$3:$G$100,7,0),"")</f>
        <v/>
      </c>
      <c r="L16" s="340" t="n">
        <v>17.95</v>
      </c>
      <c r="M16" s="340" t="n">
        <v>8</v>
      </c>
      <c r="N16" s="333">
        <f>IFERROR(IF(L16*M16=0,"",L16*M16),"")</f>
        <v/>
      </c>
      <c r="O16" s="280" t="n"/>
      <c r="P16" s="332">
        <f>IFERROR(VLOOKUP(TEXT(O16,"0"),CONDUCTORES!$A$3:$G$100,2,0),"")</f>
        <v/>
      </c>
      <c r="Q16" s="332">
        <f>IFERROR(VLOOKUP(TEXT(O16,"0"),CONDUCTORES!$A$3:$H$100,6,0),"")</f>
        <v/>
      </c>
      <c r="R16" s="341" t="n"/>
      <c r="S16" s="338" t="inlineStr">
        <is>
          <t>Z359,O689,O990</t>
        </is>
      </c>
      <c r="T16" s="337" t="n"/>
      <c r="U16" s="341" t="n"/>
      <c r="V16" s="337" t="n"/>
      <c r="W16" s="337" t="n"/>
      <c r="X16" s="337" t="n"/>
      <c r="Y16" s="280" t="n"/>
    </row>
    <row r="17" ht="15.75" customHeight="1" s="195">
      <c r="A17" s="337" t="n">
        <v>12</v>
      </c>
      <c r="B17" s="338" t="inlineStr">
        <is>
          <t>0000013</t>
        </is>
      </c>
      <c r="C17" s="337" t="inlineStr">
        <is>
          <t>REGION</t>
        </is>
      </c>
      <c r="D17" s="338" t="inlineStr">
        <is>
          <t>BUSTAMANTE MAYTA GUILLERMINA</t>
        </is>
      </c>
      <c r="E17" s="337" t="inlineStr">
        <is>
          <t>DNI</t>
        </is>
      </c>
      <c r="F17" s="337" t="inlineStr">
        <is>
          <t>47559118</t>
        </is>
      </c>
      <c r="G17" s="339" t="n">
        <v>45996</v>
      </c>
      <c r="H17" s="337" t="inlineStr">
        <is>
          <t>4869</t>
        </is>
      </c>
      <c r="I17" s="332">
        <f>IFERROR(VLOOKUP(TEXT(H17,"0"),IPRESS!$A$3:$B$212,2,0),"")</f>
        <v/>
      </c>
      <c r="J17" s="337" t="inlineStr">
        <is>
          <t>4838</t>
        </is>
      </c>
      <c r="K17" s="332">
        <f>IFERROR(VLOOKUP(TEXT(O17,"0"),CONDUCTORES!$A$3:$G$100,7,0),"")</f>
        <v/>
      </c>
      <c r="L17" s="340" t="n">
        <v>17.95</v>
      </c>
      <c r="M17" s="340" t="n">
        <v>8</v>
      </c>
      <c r="N17" s="333">
        <f>IFERROR(IF(L17*M17=0,"",L17*M17),"")</f>
        <v/>
      </c>
      <c r="O17" s="334" t="n"/>
      <c r="P17" s="332">
        <f>IFERROR(VLOOKUP(TEXT(O17,"0"),CONDUCTORES!$A$3:$G$100,2,0),"")</f>
        <v/>
      </c>
      <c r="Q17" s="332">
        <f>IFERROR(VLOOKUP(TEXT(O17,"0"),CONDUCTORES!$A$3:$H$100,6,0),"")</f>
        <v/>
      </c>
      <c r="R17" s="341" t="n"/>
      <c r="S17" s="338" t="inlineStr">
        <is>
          <t>O034</t>
        </is>
      </c>
      <c r="T17" s="337" t="n"/>
      <c r="U17" s="341" t="n"/>
      <c r="V17" s="337" t="n"/>
      <c r="W17" s="337" t="n"/>
      <c r="X17" s="337" t="n"/>
      <c r="Y17" s="280" t="n"/>
    </row>
    <row r="18" ht="15.75" customHeight="1" s="195">
      <c r="A18" s="337" t="n">
        <v>13</v>
      </c>
      <c r="B18" s="338" t="inlineStr">
        <is>
          <t>0000014</t>
        </is>
      </c>
      <c r="C18" s="337" t="inlineStr">
        <is>
          <t>REGION</t>
        </is>
      </c>
      <c r="D18" s="338" t="inlineStr">
        <is>
          <t>CRUZ ZABARBURU DIEGO ALEXIS</t>
        </is>
      </c>
      <c r="E18" s="337" t="inlineStr">
        <is>
          <t>DNI</t>
        </is>
      </c>
      <c r="F18" s="337" t="inlineStr">
        <is>
          <t>71844910</t>
        </is>
      </c>
      <c r="G18" s="339" t="n">
        <v>45997</v>
      </c>
      <c r="H18" s="337" t="inlineStr">
        <is>
          <t>4869</t>
        </is>
      </c>
      <c r="I18" s="332">
        <f>IFERROR(VLOOKUP(TEXT(H18,"0"),IPRESS!$A$3:$B$212,2,0),"")</f>
        <v/>
      </c>
      <c r="J18" s="337" t="inlineStr">
        <is>
          <t>4838</t>
        </is>
      </c>
      <c r="K18" s="332">
        <f>IFERROR(VLOOKUP(TEXT(O18,"0"),CONDUCTORES!$A$3:$G$100,7,0),"")</f>
        <v/>
      </c>
      <c r="L18" s="340" t="n">
        <v>17.95</v>
      </c>
      <c r="M18" s="340" t="n">
        <v>8</v>
      </c>
      <c r="N18" s="333">
        <f>IFERROR(IF(L18*M18=0,"",L18*M18),"")</f>
        <v/>
      </c>
      <c r="O18" s="280" t="n"/>
      <c r="P18" s="332">
        <f>IFERROR(VLOOKUP(TEXT(O18,"0"),CONDUCTORES!$A$3:$G$100,2,0),"")</f>
        <v/>
      </c>
      <c r="Q18" s="332">
        <f>IFERROR(VLOOKUP(TEXT(O18,"0"),CONDUCTORES!$A$3:$H$100,6,0),"")</f>
        <v/>
      </c>
      <c r="R18" s="341" t="n"/>
      <c r="S18" s="338" t="inlineStr">
        <is>
          <t>S930,S82X</t>
        </is>
      </c>
      <c r="T18" s="337" t="n"/>
      <c r="U18" s="341" t="n"/>
      <c r="V18" s="337" t="n"/>
      <c r="W18" s="337" t="n"/>
      <c r="X18" s="337" t="n"/>
      <c r="Y18" s="280" t="n"/>
    </row>
    <row r="19" ht="15.75" customHeight="1" s="195">
      <c r="A19" s="241" t="n">
        <v>14</v>
      </c>
      <c r="B19" s="305" t="inlineStr">
        <is>
          <t>0000273</t>
        </is>
      </c>
      <c r="C19" s="241" t="inlineStr">
        <is>
          <t>REGION</t>
        </is>
      </c>
      <c r="D19" s="305" t="inlineStr">
        <is>
          <t>HUAMAN DIAZ GABRIEL</t>
        </is>
      </c>
      <c r="E19" s="241" t="inlineStr">
        <is>
          <t>DNI</t>
        </is>
      </c>
      <c r="F19" s="241" t="inlineStr">
        <is>
          <t>49009348</t>
        </is>
      </c>
      <c r="G19" s="336" t="n">
        <v>46007</v>
      </c>
      <c r="H19" s="241" t="inlineStr">
        <is>
          <t>4950</t>
        </is>
      </c>
      <c r="I19" s="332">
        <f>IFERROR(VLOOKUP(TEXT(H19,"0"),IPRESS!$A$3:$B$212,2,0),"")</f>
        <v/>
      </c>
      <c r="J19" s="241" t="inlineStr">
        <is>
          <t>4838</t>
        </is>
      </c>
      <c r="K19" s="332">
        <f>IFERROR(VLOOKUP(TEXT(O19,"0"),CONDUCTORES!$A$3:$G$100,7,0),"")</f>
        <v/>
      </c>
      <c r="L19" s="239" t="n">
        <v>20.25</v>
      </c>
      <c r="M19" s="239" t="n">
        <v>7</v>
      </c>
      <c r="N19" s="333">
        <f>IFERROR(IF(L19*M19=0,"",L19*M19),"")</f>
        <v/>
      </c>
      <c r="O19" s="334" t="n"/>
      <c r="P19" s="332">
        <f>IFERROR(VLOOKUP(TEXT(O19,"0"),CONDUCTORES!$A$3:$G$100,2,0),"")</f>
        <v/>
      </c>
      <c r="Q19" s="332">
        <f>IFERROR(VLOOKUP(TEXT(O19,"0"),CONDUCTORES!$A$3:$H$100,6,0),"")</f>
        <v/>
      </c>
      <c r="R19" s="280" t="n"/>
      <c r="S19" s="305" t="inlineStr">
        <is>
          <t>K566,N179</t>
        </is>
      </c>
      <c r="T19" s="241" t="n"/>
      <c r="U19" s="280" t="n"/>
      <c r="V19" s="241" t="n"/>
      <c r="W19" s="241" t="n"/>
      <c r="X19" s="241" t="n"/>
      <c r="Y19" s="280" t="n"/>
    </row>
    <row r="20" ht="15.75" customHeight="1" s="195">
      <c r="A20" s="301" t="n">
        <v>15</v>
      </c>
      <c r="B20" s="302" t="inlineStr">
        <is>
          <t>0000272</t>
        </is>
      </c>
      <c r="C20" s="301" t="inlineStr">
        <is>
          <t>REGION</t>
        </is>
      </c>
      <c r="D20" s="302" t="inlineStr">
        <is>
          <t>RABANAL TEJADA CRUZ</t>
        </is>
      </c>
      <c r="E20" s="301" t="inlineStr">
        <is>
          <t>DNI</t>
        </is>
      </c>
      <c r="F20" s="301" t="inlineStr">
        <is>
          <t>33940444</t>
        </is>
      </c>
      <c r="G20" s="331" t="n">
        <v>46006</v>
      </c>
      <c r="H20" s="301" t="inlineStr">
        <is>
          <t>4950</t>
        </is>
      </c>
      <c r="I20" s="332">
        <f>IFERROR(VLOOKUP(TEXT(H20,"0"),IPRESS!$A$3:$B$212,2,0),"")</f>
        <v/>
      </c>
      <c r="J20" s="301" t="inlineStr">
        <is>
          <t>4838</t>
        </is>
      </c>
      <c r="K20" s="332">
        <f>IFERROR(VLOOKUP(TEXT(O20,"0"),CONDUCTORES!$A$3:$G$100,7,0),"")</f>
        <v/>
      </c>
      <c r="L20" s="245" t="n">
        <v>20.25</v>
      </c>
      <c r="M20" s="245" t="n">
        <v>7</v>
      </c>
      <c r="N20" s="333">
        <f>IFERROR(IF(L20*M20=0,"",L20*M20),"")</f>
        <v/>
      </c>
      <c r="O20" s="280" t="n"/>
      <c r="P20" s="332">
        <f>IFERROR(VLOOKUP(TEXT(O20,"0"),CONDUCTORES!$A$3:$G$100,2,0),"")</f>
        <v/>
      </c>
      <c r="Q20" s="332">
        <f>IFERROR(VLOOKUP(TEXT(O20,"0"),CONDUCTORES!$A$3:$H$100,6,0),"")</f>
        <v/>
      </c>
      <c r="R20" s="334" t="n"/>
      <c r="S20" s="302" t="inlineStr">
        <is>
          <t>K359</t>
        </is>
      </c>
      <c r="T20" s="301" t="n"/>
      <c r="U20" s="334" t="n"/>
      <c r="V20" s="301" t="n"/>
      <c r="W20" s="301" t="n"/>
      <c r="X20" s="301" t="n"/>
      <c r="Y20" s="280" t="n"/>
    </row>
    <row r="21" ht="15.75" customHeight="1" s="195">
      <c r="A21" s="241" t="n">
        <v>16</v>
      </c>
      <c r="B21" s="305" t="inlineStr">
        <is>
          <t>0000269</t>
        </is>
      </c>
      <c r="C21" s="241" t="inlineStr">
        <is>
          <t>REGION</t>
        </is>
      </c>
      <c r="D21" s="305" t="inlineStr">
        <is>
          <t>GUTIERREZ MESIA ALICIA</t>
        </is>
      </c>
      <c r="E21" s="241" t="inlineStr">
        <is>
          <t>DNI</t>
        </is>
      </c>
      <c r="F21" s="241" t="inlineStr">
        <is>
          <t>33945863</t>
        </is>
      </c>
      <c r="G21" s="336" t="n">
        <v>46003</v>
      </c>
      <c r="H21" s="241" t="inlineStr">
        <is>
          <t>4950</t>
        </is>
      </c>
      <c r="I21" s="332">
        <f>IFERROR(VLOOKUP(TEXT(H21,"0"),IPRESS!$A$3:$B$212,2,0),"")</f>
        <v/>
      </c>
      <c r="J21" s="241" t="inlineStr">
        <is>
          <t>4838</t>
        </is>
      </c>
      <c r="K21" s="332">
        <f>IFERROR(VLOOKUP(TEXT(O21,"0"),CONDUCTORES!$A$3:$G$100,7,0),"")</f>
        <v/>
      </c>
      <c r="L21" s="239" t="n">
        <v>20.25</v>
      </c>
      <c r="M21" s="239" t="n">
        <v>6.5</v>
      </c>
      <c r="N21" s="333">
        <f>IFERROR(IF(L21*M21=0,"",L21*M21),"")</f>
        <v/>
      </c>
      <c r="O21" s="334" t="n"/>
      <c r="P21" s="332">
        <f>IFERROR(VLOOKUP(TEXT(O21,"0"),CONDUCTORES!$A$3:$G$100,2,0),"")</f>
        <v/>
      </c>
      <c r="Q21" s="332">
        <f>IFERROR(VLOOKUP(TEXT(O21,"0"),CONDUCTORES!$A$3:$H$100,6,0),"")</f>
        <v/>
      </c>
      <c r="R21" s="280" t="n"/>
      <c r="S21" s="305" t="inlineStr">
        <is>
          <t>I219</t>
        </is>
      </c>
      <c r="T21" s="241" t="n"/>
      <c r="U21" s="280" t="n"/>
      <c r="V21" s="241" t="n"/>
      <c r="W21" s="241" t="n"/>
      <c r="X21" s="241" t="n"/>
      <c r="Y21" s="280" t="n"/>
    </row>
    <row r="22" ht="15.75" customHeight="1" s="195">
      <c r="A22" s="301" t="n">
        <v>17</v>
      </c>
      <c r="B22" s="302" t="inlineStr">
        <is>
          <t>0000270</t>
        </is>
      </c>
      <c r="C22" s="301" t="inlineStr">
        <is>
          <t>REGION</t>
        </is>
      </c>
      <c r="D22" s="302" t="inlineStr">
        <is>
          <t>LOPEZ NOVOA OLIVER</t>
        </is>
      </c>
      <c r="E22" s="301" t="inlineStr">
        <is>
          <t>DNI</t>
        </is>
      </c>
      <c r="F22" s="301" t="inlineStr">
        <is>
          <t>41441733</t>
        </is>
      </c>
      <c r="G22" s="331" t="n">
        <v>46004</v>
      </c>
      <c r="H22" s="301" t="inlineStr">
        <is>
          <t>4950</t>
        </is>
      </c>
      <c r="I22" s="332">
        <f>IFERROR(VLOOKUP(TEXT(H22,"0"),IPRESS!$A$3:$B$212,2,0),"")</f>
        <v/>
      </c>
      <c r="J22" s="301" t="inlineStr">
        <is>
          <t>4838</t>
        </is>
      </c>
      <c r="K22" s="332">
        <f>IFERROR(VLOOKUP(TEXT(O22,"0"),CONDUCTORES!$A$3:$G$100,7,0),"")</f>
        <v/>
      </c>
      <c r="L22" s="245" t="n">
        <v>20.25</v>
      </c>
      <c r="M22" s="245" t="n">
        <v>7</v>
      </c>
      <c r="N22" s="333">
        <f>IFERROR(IF(L22*M22=0,"",L22*M22),"")</f>
        <v/>
      </c>
      <c r="O22" s="280" t="n"/>
      <c r="P22" s="332">
        <f>IFERROR(VLOOKUP(TEXT(O22,"0"),CONDUCTORES!$A$3:$G$100,2,0),"")</f>
        <v/>
      </c>
      <c r="Q22" s="332">
        <f>IFERROR(VLOOKUP(TEXT(O22,"0"),CONDUCTORES!$A$3:$H$100,6,0),"")</f>
        <v/>
      </c>
      <c r="R22" s="334" t="n"/>
      <c r="S22" s="302" t="inlineStr">
        <is>
          <t>K922,D649</t>
        </is>
      </c>
      <c r="T22" s="301" t="n"/>
      <c r="U22" s="334" t="n"/>
      <c r="V22" s="301" t="n"/>
      <c r="W22" s="301" t="n"/>
      <c r="X22" s="301" t="n"/>
      <c r="Y22" s="280" t="n"/>
    </row>
    <row r="23" ht="15.75" customHeight="1" s="195">
      <c r="A23" s="241" t="n">
        <v>18</v>
      </c>
      <c r="B23" s="305" t="inlineStr">
        <is>
          <t>0000267</t>
        </is>
      </c>
      <c r="C23" s="241" t="inlineStr">
        <is>
          <t>REGION</t>
        </is>
      </c>
      <c r="D23" s="305" t="inlineStr">
        <is>
          <t>PUIQUIN PUERTA FRANCISCO</t>
        </is>
      </c>
      <c r="E23" s="241" t="inlineStr">
        <is>
          <t>DNI</t>
        </is>
      </c>
      <c r="F23" s="241" t="inlineStr">
        <is>
          <t>33960143</t>
        </is>
      </c>
      <c r="G23" s="336" t="n">
        <v>46002</v>
      </c>
      <c r="H23" s="241" t="inlineStr">
        <is>
          <t>4950</t>
        </is>
      </c>
      <c r="I23" s="332">
        <f>IFERROR(VLOOKUP(TEXT(H23,"0"),IPRESS!$A$3:$B$212,2,0),"")</f>
        <v/>
      </c>
      <c r="J23" s="241" t="inlineStr">
        <is>
          <t>4838</t>
        </is>
      </c>
      <c r="K23" s="332">
        <f>IFERROR(VLOOKUP(TEXT(O23,"0"),CONDUCTORES!$A$3:$G$100,7,0),"")</f>
        <v/>
      </c>
      <c r="L23" s="239" t="n">
        <v>20.25</v>
      </c>
      <c r="M23" s="239" t="n">
        <v>7</v>
      </c>
      <c r="N23" s="333">
        <f>IFERROR(IF(L23*M23=0,"",L23*M23),"")</f>
        <v/>
      </c>
      <c r="O23" s="334" t="n"/>
      <c r="P23" s="332">
        <f>IFERROR(VLOOKUP(TEXT(O23,"0"),CONDUCTORES!$A$3:$G$100,2,0),"")</f>
        <v/>
      </c>
      <c r="Q23" s="332">
        <f>IFERROR(VLOOKUP(TEXT(O23,"0"),CONDUCTORES!$A$3:$H$100,6,0),"")</f>
        <v/>
      </c>
      <c r="R23" s="280" t="n"/>
      <c r="S23" s="305" t="inlineStr">
        <is>
          <t>K922</t>
        </is>
      </c>
      <c r="T23" s="241" t="n"/>
      <c r="U23" s="280" t="n"/>
      <c r="V23" s="241" t="n"/>
      <c r="W23" s="241" t="n"/>
      <c r="X23" s="241" t="n"/>
      <c r="Y23" s="280" t="n"/>
    </row>
    <row r="24" ht="15.75" customHeight="1" s="195">
      <c r="A24" s="301" t="n">
        <v>19</v>
      </c>
      <c r="B24" s="302" t="inlineStr">
        <is>
          <t>0000262</t>
        </is>
      </c>
      <c r="C24" s="301" t="inlineStr">
        <is>
          <t>REGION</t>
        </is>
      </c>
      <c r="D24" s="302" t="inlineStr">
        <is>
          <t>CONCHE GOÑAS LUZ ANGELICA</t>
        </is>
      </c>
      <c r="E24" s="301" t="inlineStr">
        <is>
          <t>DNI</t>
        </is>
      </c>
      <c r="F24" s="301" t="inlineStr">
        <is>
          <t>70164452</t>
        </is>
      </c>
      <c r="G24" s="331" t="n">
        <v>45997</v>
      </c>
      <c r="H24" s="301" t="inlineStr">
        <is>
          <t>4950</t>
        </is>
      </c>
      <c r="I24" s="332">
        <f>IFERROR(VLOOKUP(TEXT(H24,"0"),IPRESS!$A$3:$B$212,2,0),"")</f>
        <v/>
      </c>
      <c r="J24" s="301" t="inlineStr">
        <is>
          <t>4838</t>
        </is>
      </c>
      <c r="K24" s="332">
        <f>IFERROR(VLOOKUP(TEXT(O24,"0"),CONDUCTORES!$A$3:$G$100,7,0),"")</f>
        <v/>
      </c>
      <c r="L24" s="245" t="n">
        <v>20.25</v>
      </c>
      <c r="M24" s="245" t="n">
        <v>7</v>
      </c>
      <c r="N24" s="333">
        <f>IFERROR(IF(L24*M24=0,"",L24*M24),"")</f>
        <v/>
      </c>
      <c r="O24" s="280" t="n"/>
      <c r="P24" s="332">
        <f>IFERROR(VLOOKUP(TEXT(O24,"0"),CONDUCTORES!$A$3:$G$100,2,0),"")</f>
        <v/>
      </c>
      <c r="Q24" s="332">
        <f>IFERROR(VLOOKUP(TEXT(O24,"0"),CONDUCTORES!$A$3:$H$100,6,0),"")</f>
        <v/>
      </c>
      <c r="R24" s="334" t="n"/>
      <c r="S24" s="302" t="inlineStr">
        <is>
          <t>S009,T07X.S011</t>
        </is>
      </c>
      <c r="T24" s="301" t="n"/>
      <c r="U24" s="334" t="n"/>
      <c r="V24" s="301" t="n"/>
      <c r="W24" s="301" t="n"/>
      <c r="X24" s="301" t="n"/>
      <c r="Y24" s="280" t="n"/>
    </row>
    <row r="25" ht="15.75" customHeight="1" s="195">
      <c r="A25" s="241" t="n">
        <v>20</v>
      </c>
      <c r="B25" s="305" t="inlineStr">
        <is>
          <t>0000261</t>
        </is>
      </c>
      <c r="C25" s="241" t="inlineStr">
        <is>
          <t>REGION</t>
        </is>
      </c>
      <c r="D25" s="305" t="inlineStr">
        <is>
          <t>MACHUCA MARTOS JESSY KATERINE</t>
        </is>
      </c>
      <c r="E25" s="241" t="inlineStr">
        <is>
          <t>DNI</t>
        </is>
      </c>
      <c r="F25" s="241" t="inlineStr">
        <is>
          <t>91349062</t>
        </is>
      </c>
      <c r="G25" s="336" t="n">
        <v>45993</v>
      </c>
      <c r="H25" s="241" t="inlineStr">
        <is>
          <t>4950</t>
        </is>
      </c>
      <c r="I25" s="332">
        <f>IFERROR(VLOOKUP(TEXT(H25,"0"),IPRESS!$A$3:$B$212,2,0),"")</f>
        <v/>
      </c>
      <c r="J25" s="241" t="inlineStr">
        <is>
          <t>4838</t>
        </is>
      </c>
      <c r="K25" s="332">
        <f>IFERROR(VLOOKUP(TEXT(O25,"0"),CONDUCTORES!$A$3:$G$100,7,0),"")</f>
        <v/>
      </c>
      <c r="L25" s="239" t="n">
        <v>20.25</v>
      </c>
      <c r="M25" s="239" t="n">
        <v>7</v>
      </c>
      <c r="N25" s="333">
        <f>IFERROR(IF(L25*M25=0,"",L25*M25),"")</f>
        <v/>
      </c>
      <c r="O25" s="334" t="n"/>
      <c r="P25" s="332">
        <f>IFERROR(VLOOKUP(TEXT(O25,"0"),CONDUCTORES!$A$3:$G$100,2,0),"")</f>
        <v/>
      </c>
      <c r="Q25" s="332">
        <f>IFERROR(VLOOKUP(TEXT(O25,"0"),CONDUCTORES!$A$3:$H$100,6,0),"")</f>
        <v/>
      </c>
      <c r="R25" s="280" t="n"/>
      <c r="S25" s="305" t="inlineStr">
        <is>
          <t>K359</t>
        </is>
      </c>
      <c r="T25" s="241" t="n"/>
      <c r="U25" s="280" t="n"/>
      <c r="V25" s="241" t="n"/>
      <c r="W25" s="241" t="n"/>
      <c r="X25" s="241" t="n"/>
      <c r="Y25" s="280" t="n"/>
    </row>
    <row r="26" ht="15.75" customHeight="1" s="195">
      <c r="A26" s="301" t="n">
        <v>21</v>
      </c>
      <c r="B26" s="302" t="inlineStr">
        <is>
          <t>0000263</t>
        </is>
      </c>
      <c r="C26" s="301" t="inlineStr">
        <is>
          <t>REGION</t>
        </is>
      </c>
      <c r="D26" s="302" t="inlineStr">
        <is>
          <t>LOZANO COTRINA MARIO ANTONIO</t>
        </is>
      </c>
      <c r="E26" s="301" t="inlineStr">
        <is>
          <t>DNI</t>
        </is>
      </c>
      <c r="F26" s="301" t="inlineStr">
        <is>
          <t>33951387</t>
        </is>
      </c>
      <c r="G26" s="331" t="n">
        <v>45999</v>
      </c>
      <c r="H26" s="301" t="inlineStr">
        <is>
          <t>4950</t>
        </is>
      </c>
      <c r="I26" s="332">
        <f>IFERROR(VLOOKUP(TEXT(H26,"0"),IPRESS!$A$3:$B$212,2,0),"")</f>
        <v/>
      </c>
      <c r="J26" s="301" t="inlineStr">
        <is>
          <t>4838</t>
        </is>
      </c>
      <c r="K26" s="332">
        <f>IFERROR(VLOOKUP(TEXT(O26,"0"),CONDUCTORES!$A$3:$G$100,7,0),"")</f>
        <v/>
      </c>
      <c r="L26" s="245" t="n">
        <v>20.25</v>
      </c>
      <c r="M26" s="245" t="n">
        <v>7</v>
      </c>
      <c r="N26" s="333">
        <f>IFERROR(IF(L26*M26=0,"",L26*M26),"")</f>
        <v/>
      </c>
      <c r="O26" s="280" t="n"/>
      <c r="P26" s="332">
        <f>IFERROR(VLOOKUP(TEXT(O26,"0"),CONDUCTORES!$A$3:$G$100,2,0),"")</f>
        <v/>
      </c>
      <c r="Q26" s="332">
        <f>IFERROR(VLOOKUP(TEXT(O26,"0"),CONDUCTORES!$A$3:$H$100,6,0),"")</f>
        <v/>
      </c>
      <c r="R26" s="334" t="n"/>
      <c r="S26" s="302" t="inlineStr">
        <is>
          <t>J440,J960,A419</t>
        </is>
      </c>
      <c r="T26" s="301" t="n"/>
      <c r="U26" s="334" t="n"/>
      <c r="V26" s="301" t="n"/>
      <c r="W26" s="301" t="n"/>
      <c r="X26" s="301" t="n"/>
      <c r="Y26" s="280" t="n"/>
    </row>
    <row r="27" ht="15.75" customHeight="1" s="195">
      <c r="A27" s="241" t="n">
        <v>22</v>
      </c>
      <c r="B27" s="305" t="inlineStr">
        <is>
          <t>0000260</t>
        </is>
      </c>
      <c r="C27" s="241" t="inlineStr">
        <is>
          <t>REGION</t>
        </is>
      </c>
      <c r="D27" s="305" t="inlineStr">
        <is>
          <t>HUMAN ROJAS LUZ ELITA</t>
        </is>
      </c>
      <c r="E27" s="241" t="inlineStr">
        <is>
          <t>DNI</t>
        </is>
      </c>
      <c r="F27" s="241" t="inlineStr">
        <is>
          <t>60708263</t>
        </is>
      </c>
      <c r="G27" s="336" t="n">
        <v>45992</v>
      </c>
      <c r="H27" s="241" t="inlineStr">
        <is>
          <t>4950</t>
        </is>
      </c>
      <c r="I27" s="332">
        <f>IFERROR(VLOOKUP(TEXT(H27,"0"),IPRESS!$A$3:$B$212,2,0),"")</f>
        <v/>
      </c>
      <c r="J27" s="241" t="inlineStr">
        <is>
          <t>4838</t>
        </is>
      </c>
      <c r="K27" s="332">
        <f>IFERROR(VLOOKUP(TEXT(O27,"0"),CONDUCTORES!$A$3:$G$100,7,0),"")</f>
        <v/>
      </c>
      <c r="L27" s="239" t="n">
        <v>20.25</v>
      </c>
      <c r="M27" s="239" t="n">
        <v>7</v>
      </c>
      <c r="N27" s="333">
        <f>IFERROR(IF(L27*M27=0,"",L27*M27),"")</f>
        <v/>
      </c>
      <c r="O27" s="334" t="n"/>
      <c r="P27" s="332">
        <f>IFERROR(VLOOKUP(TEXT(O27,"0"),CONDUCTORES!$A$3:$G$100,2,0),"")</f>
        <v/>
      </c>
      <c r="Q27" s="332">
        <f>IFERROR(VLOOKUP(TEXT(O27,"0"),CONDUCTORES!$A$3:$H$100,6,0),"")</f>
        <v/>
      </c>
      <c r="R27" s="280" t="n"/>
      <c r="S27" s="305" t="inlineStr">
        <is>
          <t>K359</t>
        </is>
      </c>
      <c r="T27" s="241" t="n"/>
      <c r="U27" s="280" t="n"/>
      <c r="V27" s="241" t="n"/>
      <c r="W27" s="241" t="n"/>
      <c r="X27" s="241" t="n"/>
      <c r="Y27" s="280" t="n"/>
    </row>
    <row r="28" ht="15.75" customHeight="1" s="195">
      <c r="A28" s="301" t="n">
        <v>23</v>
      </c>
      <c r="B28" s="302" t="inlineStr">
        <is>
          <t>0000026</t>
        </is>
      </c>
      <c r="C28" s="301" t="inlineStr">
        <is>
          <t>REGION</t>
        </is>
      </c>
      <c r="D28" s="302" t="inlineStr">
        <is>
          <t>CHOCTALIN TUCTO JHEIDI SANDRITA</t>
        </is>
      </c>
      <c r="E28" s="301" t="inlineStr">
        <is>
          <t>DNI</t>
        </is>
      </c>
      <c r="F28" s="301" t="inlineStr">
        <is>
          <t>75067879</t>
        </is>
      </c>
      <c r="G28" s="331" t="n">
        <v>46001</v>
      </c>
      <c r="H28" s="301" t="inlineStr">
        <is>
          <t>4905</t>
        </is>
      </c>
      <c r="I28" s="332">
        <f>IFERROR(VLOOKUP(TEXT(H28,"0"),IPRESS!$A$3:$B$212,2,0),"")</f>
        <v/>
      </c>
      <c r="J28" s="301" t="inlineStr">
        <is>
          <t>4838</t>
        </is>
      </c>
      <c r="K28" s="332">
        <f>IFERROR(VLOOKUP(TEXT(O28,"0"),CONDUCTORES!$A$3:$G$100,7,0),"")</f>
        <v/>
      </c>
      <c r="L28" s="245" t="n">
        <v>18.18</v>
      </c>
      <c r="M28" s="245" t="n">
        <v>8</v>
      </c>
      <c r="N28" s="333">
        <f>IFERROR(IF(L28*M28=0,"",L28*M28),"")</f>
        <v/>
      </c>
      <c r="O28" s="280" t="n"/>
      <c r="P28" s="332">
        <f>IFERROR(VLOOKUP(TEXT(O28,"0"),CONDUCTORES!$A$3:$G$100,2,0),"")</f>
        <v/>
      </c>
      <c r="Q28" s="332">
        <f>IFERROR(VLOOKUP(TEXT(O28,"0"),CONDUCTORES!$A$3:$H$100,6,0),"")</f>
        <v/>
      </c>
      <c r="R28" s="334" t="n"/>
      <c r="S28" s="302" t="inlineStr">
        <is>
          <t>O369</t>
        </is>
      </c>
      <c r="T28" s="301" t="n"/>
      <c r="U28" s="334" t="n"/>
      <c r="V28" s="301" t="n"/>
      <c r="W28" s="301" t="n"/>
      <c r="X28" s="301" t="n"/>
      <c r="Y28" s="280" t="n"/>
    </row>
    <row r="29" ht="15.75" customHeight="1" s="195">
      <c r="A29" s="337" t="n">
        <v>24</v>
      </c>
      <c r="B29" s="338" t="inlineStr">
        <is>
          <t>0000005</t>
        </is>
      </c>
      <c r="C29" s="337" t="inlineStr">
        <is>
          <t>REGION</t>
        </is>
      </c>
      <c r="D29" s="338" t="inlineStr">
        <is>
          <t>SAAVEDRA VELAYSOSA ELVIS</t>
        </is>
      </c>
      <c r="E29" s="337" t="inlineStr">
        <is>
          <t>DNI</t>
        </is>
      </c>
      <c r="F29" s="337" t="inlineStr">
        <is>
          <t>60349397</t>
        </is>
      </c>
      <c r="G29" s="339" t="n">
        <v>46000</v>
      </c>
      <c r="H29" s="337" t="inlineStr">
        <is>
          <t>4913</t>
        </is>
      </c>
      <c r="I29" s="332">
        <f>IFERROR(VLOOKUP(TEXT(H29,"0"),IPRESS!$A$3:$B$212,2,0),"")</f>
        <v/>
      </c>
      <c r="J29" s="337" t="inlineStr">
        <is>
          <t>5125</t>
        </is>
      </c>
      <c r="K29" s="332">
        <f>IFERROR(VLOOKUP(TEXT(O29,"0"),CONDUCTORES!$A$3:$G$100,7,0),"")</f>
        <v/>
      </c>
      <c r="L29" s="340" t="n">
        <v>17.95</v>
      </c>
      <c r="M29" s="340" t="n">
        <v>14</v>
      </c>
      <c r="N29" s="333">
        <f>IFERROR(IF(L29*M29=0,"",L29*M29),"")</f>
        <v/>
      </c>
      <c r="O29" s="334" t="n"/>
      <c r="P29" s="332">
        <f>IFERROR(VLOOKUP(TEXT(O29,"0"),CONDUCTORES!$A$3:$G$100,2,0),"")</f>
        <v/>
      </c>
      <c r="Q29" s="332">
        <f>IFERROR(VLOOKUP(TEXT(O29,"0"),CONDUCTORES!$A$3:$H$100,6,0),"")</f>
        <v/>
      </c>
      <c r="R29" s="341" t="n"/>
      <c r="S29" s="338" t="inlineStr">
        <is>
          <t>A971</t>
        </is>
      </c>
      <c r="T29" s="337" t="n"/>
      <c r="U29" s="341" t="n"/>
      <c r="V29" s="337" t="n"/>
      <c r="W29" s="337" t="n"/>
      <c r="X29" s="337" t="n"/>
      <c r="Y29" s="280" t="n"/>
    </row>
    <row r="30" ht="15.75" customHeight="1" s="195">
      <c r="A30" s="301" t="n">
        <v>25</v>
      </c>
      <c r="B30" s="302" t="inlineStr">
        <is>
          <t>0000109</t>
        </is>
      </c>
      <c r="C30" s="301" t="inlineStr">
        <is>
          <t>REGION</t>
        </is>
      </c>
      <c r="D30" s="302" t="inlineStr">
        <is>
          <t>CHASQUIBOL CALONGOS MARILU</t>
        </is>
      </c>
      <c r="E30" s="301" t="inlineStr">
        <is>
          <t>DNI</t>
        </is>
      </c>
      <c r="F30" s="301" t="inlineStr">
        <is>
          <t>33723007</t>
        </is>
      </c>
      <c r="G30" s="331" t="n">
        <v>45996</v>
      </c>
      <c r="H30" s="301" t="inlineStr">
        <is>
          <t>4922</t>
        </is>
      </c>
      <c r="I30" s="332">
        <f>IFERROR(VLOOKUP(TEXT(H30,"0"),IPRESS!$A$3:$B$212,2,0),"")</f>
        <v/>
      </c>
      <c r="J30" s="301" t="inlineStr">
        <is>
          <t>4838</t>
        </is>
      </c>
      <c r="K30" s="332">
        <f>IFERROR(VLOOKUP(TEXT(O30,"0"),CONDUCTORES!$A$3:$G$100,7,0),"")</f>
        <v/>
      </c>
      <c r="L30" s="245" t="n">
        <v>18.18</v>
      </c>
      <c r="M30" s="245" t="n">
        <v>5</v>
      </c>
      <c r="N30" s="333">
        <f>IFERROR(IF(L30*M30=0,"",L30*M30),"")</f>
        <v/>
      </c>
      <c r="O30" s="280" t="n"/>
      <c r="P30" s="332">
        <f>IFERROR(VLOOKUP(TEXT(O30,"0"),CONDUCTORES!$A$3:$G$100,2,0),"")</f>
        <v/>
      </c>
      <c r="Q30" s="332">
        <f>IFERROR(VLOOKUP(TEXT(O30,"0"),CONDUCTORES!$A$3:$H$100,6,0),"")</f>
        <v/>
      </c>
      <c r="R30" s="334" t="n"/>
      <c r="S30" s="302" t="inlineStr">
        <is>
          <t>N10X,A419</t>
        </is>
      </c>
      <c r="T30" s="301" t="n"/>
      <c r="U30" s="334" t="n"/>
      <c r="V30" s="301" t="n"/>
      <c r="W30" s="301" t="n"/>
      <c r="X30" s="301" t="n"/>
      <c r="Y30" s="280" t="n"/>
    </row>
    <row r="31" ht="15.75" customHeight="1" s="195">
      <c r="A31" s="241" t="n">
        <v>26</v>
      </c>
      <c r="B31" s="305" t="inlineStr">
        <is>
          <t>0000112</t>
        </is>
      </c>
      <c r="C31" s="241" t="inlineStr">
        <is>
          <t>REGION</t>
        </is>
      </c>
      <c r="D31" s="305" t="inlineStr">
        <is>
          <t>YOMONA PIZARRO MARCO ANTONIO</t>
        </is>
      </c>
      <c r="E31" s="241" t="inlineStr">
        <is>
          <t>DNI</t>
        </is>
      </c>
      <c r="F31" s="241" t="inlineStr">
        <is>
          <t>61301045</t>
        </is>
      </c>
      <c r="G31" s="336" t="n">
        <v>46009</v>
      </c>
      <c r="H31" s="241" t="inlineStr">
        <is>
          <t>4922</t>
        </is>
      </c>
      <c r="I31" s="332">
        <f>IFERROR(VLOOKUP(TEXT(H31,"0"),IPRESS!$A$3:$B$212,2,0),"")</f>
        <v/>
      </c>
      <c r="J31" s="241" t="inlineStr">
        <is>
          <t>4838</t>
        </is>
      </c>
      <c r="K31" s="332">
        <f>IFERROR(VLOOKUP(TEXT(O31,"0"),CONDUCTORES!$A$3:$G$100,7,0),"")</f>
        <v/>
      </c>
      <c r="L31" s="239" t="n">
        <v>18.18</v>
      </c>
      <c r="M31" s="239" t="n">
        <v>5</v>
      </c>
      <c r="N31" s="333">
        <f>IFERROR(IF(L31*M31=0,"",L31*M31),"")</f>
        <v/>
      </c>
      <c r="O31" s="334" t="n"/>
      <c r="P31" s="332">
        <f>IFERROR(VLOOKUP(TEXT(O31,"0"),CONDUCTORES!$A$3:$G$100,2,0),"")</f>
        <v/>
      </c>
      <c r="Q31" s="332">
        <f>IFERROR(VLOOKUP(TEXT(O31,"0"),CONDUCTORES!$A$3:$H$100,6,0),"")</f>
        <v/>
      </c>
      <c r="R31" s="280" t="n"/>
      <c r="S31" s="305" t="inlineStr">
        <is>
          <t>K37X</t>
        </is>
      </c>
      <c r="T31" s="241" t="n"/>
      <c r="U31" s="280" t="n"/>
      <c r="V31" s="241" t="n"/>
      <c r="W31" s="241" t="n"/>
      <c r="X31" s="241" t="n"/>
      <c r="Y31" s="280" t="n"/>
    </row>
    <row r="32" ht="15.75" customHeight="1" s="195">
      <c r="A32" s="337" t="n">
        <v>27</v>
      </c>
      <c r="B32" s="338" t="inlineStr">
        <is>
          <t>0000113</t>
        </is>
      </c>
      <c r="C32" s="337" t="inlineStr">
        <is>
          <t>REGION</t>
        </is>
      </c>
      <c r="D32" s="338" t="inlineStr">
        <is>
          <t>QUIROZ TOLENTINO HANNO JHOHANSON</t>
        </is>
      </c>
      <c r="E32" s="337" t="inlineStr">
        <is>
          <t>DNI</t>
        </is>
      </c>
      <c r="F32" s="337" t="inlineStr">
        <is>
          <t>92400177</t>
        </is>
      </c>
      <c r="G32" s="339" t="n">
        <v>46011</v>
      </c>
      <c r="H32" s="337" t="inlineStr">
        <is>
          <t>4922</t>
        </is>
      </c>
      <c r="I32" s="332">
        <f>IFERROR(VLOOKUP(TEXT(H32,"0"),IPRESS!$A$3:$B$212,2,0),"")</f>
        <v/>
      </c>
      <c r="J32" s="337" t="inlineStr">
        <is>
          <t>4838</t>
        </is>
      </c>
      <c r="K32" s="332">
        <f>IFERROR(VLOOKUP(TEXT(O32,"0"),CONDUCTORES!$A$3:$G$100,7,0),"")</f>
        <v/>
      </c>
      <c r="L32" s="340" t="n">
        <v>17.95</v>
      </c>
      <c r="M32" s="340" t="n">
        <v>6</v>
      </c>
      <c r="N32" s="333">
        <f>IFERROR(IF(L32*M32=0,"",L32*M32),"")</f>
        <v/>
      </c>
      <c r="O32" s="280" t="n"/>
      <c r="P32" s="332">
        <f>IFERROR(VLOOKUP(TEXT(O32,"0"),CONDUCTORES!$A$3:$G$100,2,0),"")</f>
        <v/>
      </c>
      <c r="Q32" s="332">
        <f>IFERROR(VLOOKUP(TEXT(O32,"0"),CONDUCTORES!$A$3:$H$100,6,0),"")</f>
        <v/>
      </c>
      <c r="R32" s="341" t="n"/>
      <c r="S32" s="338" t="inlineStr">
        <is>
          <t>L500,T887</t>
        </is>
      </c>
      <c r="T32" s="337" t="n"/>
      <c r="U32" s="341" t="n"/>
      <c r="V32" s="337" t="n"/>
      <c r="W32" s="337" t="n"/>
      <c r="X32" s="337" t="n"/>
      <c r="Y32" s="280" t="n"/>
    </row>
    <row r="33" ht="15.75" customHeight="1" s="195">
      <c r="A33" s="241" t="n">
        <v>28</v>
      </c>
      <c r="B33" s="305" t="inlineStr">
        <is>
          <t>0000044</t>
        </is>
      </c>
      <c r="C33" s="241" t="inlineStr">
        <is>
          <t>REGION</t>
        </is>
      </c>
      <c r="D33" s="305" t="inlineStr">
        <is>
          <t>MEDINA MAMANI IRIS MANUELA</t>
        </is>
      </c>
      <c r="E33" s="241" t="inlineStr">
        <is>
          <t>DNI</t>
        </is>
      </c>
      <c r="F33" s="241" t="inlineStr">
        <is>
          <t>77326347</t>
        </is>
      </c>
      <c r="G33" s="336" t="n">
        <v>46003</v>
      </c>
      <c r="H33" s="241" t="inlineStr">
        <is>
          <t>4904</t>
        </is>
      </c>
      <c r="I33" s="332">
        <f>IFERROR(VLOOKUP(TEXT(H33,"0"),IPRESS!$A$3:$B$212,2,0),"")</f>
        <v/>
      </c>
      <c r="J33" s="241" t="inlineStr">
        <is>
          <t>4838</t>
        </is>
      </c>
      <c r="K33" s="332">
        <f>IFERROR(VLOOKUP(TEXT(O33,"0"),CONDUCTORES!$A$3:$G$100,7,0),"")</f>
        <v/>
      </c>
      <c r="L33" s="239" t="n">
        <v>18.18</v>
      </c>
      <c r="M33" s="239" t="n">
        <v>6</v>
      </c>
      <c r="N33" s="333">
        <f>IFERROR(IF(L33*M33=0,"",L33*M33),"")</f>
        <v/>
      </c>
      <c r="O33" s="334" t="n"/>
      <c r="P33" s="332">
        <f>IFERROR(VLOOKUP(TEXT(O33,"0"),CONDUCTORES!$A$3:$G$100,2,0),"")</f>
        <v/>
      </c>
      <c r="Q33" s="332">
        <f>IFERROR(VLOOKUP(TEXT(O33,"0"),CONDUCTORES!$A$3:$H$100,6,0),"")</f>
        <v/>
      </c>
      <c r="R33" s="280" t="n"/>
      <c r="S33" s="305" t="inlineStr">
        <is>
          <t>O471,O342</t>
        </is>
      </c>
      <c r="T33" s="241" t="n"/>
      <c r="U33" s="280" t="n"/>
      <c r="V33" s="241" t="n"/>
      <c r="W33" s="241" t="n"/>
      <c r="X33" s="241" t="n"/>
      <c r="Y33" s="280" t="n"/>
    </row>
    <row r="34" ht="15.75" customHeight="1" s="195">
      <c r="A34" s="301" t="n">
        <v>29</v>
      </c>
      <c r="B34" s="302" t="inlineStr">
        <is>
          <t>0000043</t>
        </is>
      </c>
      <c r="C34" s="301" t="inlineStr">
        <is>
          <t>REGION</t>
        </is>
      </c>
      <c r="D34" s="302" t="inlineStr">
        <is>
          <t>MAICELO LLAJA APOLINAR</t>
        </is>
      </c>
      <c r="E34" s="301" t="inlineStr">
        <is>
          <t>DNI</t>
        </is>
      </c>
      <c r="F34" s="301" t="inlineStr">
        <is>
          <t>33421416</t>
        </is>
      </c>
      <c r="G34" s="331" t="n">
        <v>46000</v>
      </c>
      <c r="H34" s="301" t="inlineStr">
        <is>
          <t>4904</t>
        </is>
      </c>
      <c r="I34" s="332">
        <f>IFERROR(VLOOKUP(TEXT(H34,"0"),IPRESS!$A$3:$B$212,2,0),"")</f>
        <v/>
      </c>
      <c r="J34" s="301" t="inlineStr">
        <is>
          <t>4838</t>
        </is>
      </c>
      <c r="K34" s="332">
        <f>IFERROR(VLOOKUP(TEXT(O34,"0"),CONDUCTORES!$A$3:$G$100,7,0),"")</f>
        <v/>
      </c>
      <c r="L34" s="245" t="n">
        <v>18.18</v>
      </c>
      <c r="M34" s="245" t="n">
        <v>6</v>
      </c>
      <c r="N34" s="333">
        <f>IFERROR(IF(L34*M34=0,"",L34*M34),"")</f>
        <v/>
      </c>
      <c r="O34" s="280" t="n"/>
      <c r="P34" s="332">
        <f>IFERROR(VLOOKUP(TEXT(O34,"0"),CONDUCTORES!$A$3:$G$100,2,0),"")</f>
        <v/>
      </c>
      <c r="Q34" s="332">
        <f>IFERROR(VLOOKUP(TEXT(O34,"0"),CONDUCTORES!$A$3:$H$100,6,0),"")</f>
        <v/>
      </c>
      <c r="R34" s="334" t="n"/>
      <c r="S34" s="302" t="inlineStr">
        <is>
          <t>J960,J159</t>
        </is>
      </c>
      <c r="T34" s="301" t="n"/>
      <c r="U34" s="334" t="n"/>
      <c r="V34" s="301" t="n"/>
      <c r="W34" s="301" t="n"/>
      <c r="X34" s="301" t="n"/>
      <c r="Y34" s="280" t="n"/>
    </row>
    <row r="35" ht="15.75" customHeight="1" s="195">
      <c r="A35" s="241" t="n">
        <v>30</v>
      </c>
      <c r="B35" s="305" t="inlineStr">
        <is>
          <t>0000047</t>
        </is>
      </c>
      <c r="C35" s="241" t="inlineStr">
        <is>
          <t>REGION</t>
        </is>
      </c>
      <c r="D35" s="305" t="inlineStr">
        <is>
          <t>OYARCE CHAVEZ ELIZA TRINIDAD</t>
        </is>
      </c>
      <c r="E35" s="241" t="inlineStr">
        <is>
          <t>DNI</t>
        </is>
      </c>
      <c r="F35" s="241" t="inlineStr">
        <is>
          <t>47205993</t>
        </is>
      </c>
      <c r="G35" s="336" t="n">
        <v>46011</v>
      </c>
      <c r="H35" s="241" t="inlineStr">
        <is>
          <t>4904</t>
        </is>
      </c>
      <c r="I35" s="332">
        <f>IFERROR(VLOOKUP(TEXT(H35,"0"),IPRESS!$A$3:$B$212,2,0),"")</f>
        <v/>
      </c>
      <c r="J35" s="241" t="inlineStr">
        <is>
          <t>4838</t>
        </is>
      </c>
      <c r="K35" s="332">
        <f>IFERROR(VLOOKUP(TEXT(O35,"0"),CONDUCTORES!$A$3:$G$100,7,0),"")</f>
        <v/>
      </c>
      <c r="L35" s="239" t="n">
        <v>18.18</v>
      </c>
      <c r="M35" s="239" t="n">
        <v>6</v>
      </c>
      <c r="N35" s="333">
        <f>IFERROR(IF(L35*M35=0,"",L35*M35),"")</f>
        <v/>
      </c>
      <c r="O35" s="334" t="n"/>
      <c r="P35" s="332">
        <f>IFERROR(VLOOKUP(TEXT(O35,"0"),CONDUCTORES!$A$3:$G$100,2,0),"")</f>
        <v/>
      </c>
      <c r="Q35" s="332">
        <f>IFERROR(VLOOKUP(TEXT(O35,"0"),CONDUCTORES!$A$3:$H$100,6,0),"")</f>
        <v/>
      </c>
      <c r="R35" s="280" t="n"/>
      <c r="S35" s="305" t="inlineStr">
        <is>
          <t>O360</t>
        </is>
      </c>
      <c r="T35" s="241" t="n"/>
      <c r="U35" s="280" t="n"/>
      <c r="V35" s="241" t="n"/>
      <c r="W35" s="241" t="n"/>
      <c r="X35" s="241" t="n"/>
      <c r="Y35" s="280" t="n"/>
    </row>
    <row r="36" ht="15.75" customHeight="1" s="195">
      <c r="A36" s="301" t="n">
        <v>31</v>
      </c>
      <c r="B36" s="302" t="inlineStr">
        <is>
          <t>0000042</t>
        </is>
      </c>
      <c r="C36" s="301" t="inlineStr">
        <is>
          <t>REGION</t>
        </is>
      </c>
      <c r="D36" s="302" t="inlineStr">
        <is>
          <t>CHOCTALIN BUSTOS SARITA</t>
        </is>
      </c>
      <c r="E36" s="301" t="inlineStr">
        <is>
          <t>DNI</t>
        </is>
      </c>
      <c r="F36" s="301" t="inlineStr">
        <is>
          <t>72807509</t>
        </is>
      </c>
      <c r="G36" s="331" t="n">
        <v>45995</v>
      </c>
      <c r="H36" s="301" t="inlineStr">
        <is>
          <t>4904</t>
        </is>
      </c>
      <c r="I36" s="332">
        <f>IFERROR(VLOOKUP(TEXT(H36,"0"),IPRESS!$A$3:$B$212,2,0),"")</f>
        <v/>
      </c>
      <c r="J36" s="301" t="inlineStr">
        <is>
          <t>4838</t>
        </is>
      </c>
      <c r="K36" s="332">
        <f>IFERROR(VLOOKUP(TEXT(O36,"0"),CONDUCTORES!$A$3:$G$100,7,0),"")</f>
        <v/>
      </c>
      <c r="L36" s="245" t="n">
        <v>18.18</v>
      </c>
      <c r="M36" s="245" t="n">
        <v>6</v>
      </c>
      <c r="N36" s="333">
        <f>IFERROR(IF(L36*M36=0,"",L36*M36),"")</f>
        <v/>
      </c>
      <c r="O36" s="280" t="n"/>
      <c r="P36" s="332">
        <f>IFERROR(VLOOKUP(TEXT(O36,"0"),CONDUCTORES!$A$3:$G$100,2,0),"")</f>
        <v/>
      </c>
      <c r="Q36" s="332">
        <f>IFERROR(VLOOKUP(TEXT(O36,"0"),CONDUCTORES!$A$3:$H$100,6,0),"")</f>
        <v/>
      </c>
      <c r="R36" s="334" t="n"/>
      <c r="S36" s="302" t="inlineStr">
        <is>
          <t>O268</t>
        </is>
      </c>
      <c r="T36" s="301" t="n"/>
      <c r="U36" s="334" t="n"/>
      <c r="V36" s="301" t="n"/>
      <c r="W36" s="301" t="n"/>
      <c r="X36" s="301" t="n"/>
      <c r="Y36" s="280" t="n"/>
    </row>
    <row r="37" ht="15.75" customHeight="1" s="195">
      <c r="A37" s="241" t="n">
        <v>32</v>
      </c>
      <c r="B37" s="305" t="inlineStr">
        <is>
          <t>0000045</t>
        </is>
      </c>
      <c r="C37" s="241" t="inlineStr">
        <is>
          <t>REGION</t>
        </is>
      </c>
      <c r="D37" s="305" t="inlineStr">
        <is>
          <t>VELA LARA DORIS</t>
        </is>
      </c>
      <c r="E37" s="241" t="inlineStr">
        <is>
          <t>DNI</t>
        </is>
      </c>
      <c r="F37" s="241" t="inlineStr">
        <is>
          <t>45168608</t>
        </is>
      </c>
      <c r="G37" s="336" t="n">
        <v>46003</v>
      </c>
      <c r="H37" s="241" t="inlineStr">
        <is>
          <t>4904</t>
        </is>
      </c>
      <c r="I37" s="332">
        <f>IFERROR(VLOOKUP(TEXT(H37,"0"),IPRESS!$A$3:$B$212,2,0),"")</f>
        <v/>
      </c>
      <c r="J37" s="241" t="inlineStr">
        <is>
          <t>4838</t>
        </is>
      </c>
      <c r="K37" s="332">
        <f>IFERROR(VLOOKUP(TEXT(O37,"0"),CONDUCTORES!$A$3:$G$100,7,0),"")</f>
        <v/>
      </c>
      <c r="L37" s="239" t="n">
        <v>18.18</v>
      </c>
      <c r="M37" s="239" t="n">
        <v>6</v>
      </c>
      <c r="N37" s="333">
        <f>IFERROR(IF(L37*M37=0,"",L37*M37),"")</f>
        <v/>
      </c>
      <c r="O37" s="334" t="n"/>
      <c r="P37" s="332">
        <f>IFERROR(VLOOKUP(TEXT(O37,"0"),CONDUCTORES!$A$3:$G$100,2,0),"")</f>
        <v/>
      </c>
      <c r="Q37" s="332">
        <f>IFERROR(VLOOKUP(TEXT(O37,"0"),CONDUCTORES!$A$3:$H$100,6,0),"")</f>
        <v/>
      </c>
      <c r="R37" s="280" t="n"/>
      <c r="S37" s="305" t="inlineStr">
        <is>
          <t>O031,R571</t>
        </is>
      </c>
      <c r="T37" s="241" t="n"/>
      <c r="U37" s="280" t="n"/>
      <c r="V37" s="241" t="n"/>
      <c r="W37" s="241" t="n"/>
      <c r="X37" s="241" t="n"/>
      <c r="Y37" s="280" t="n"/>
    </row>
    <row r="38" ht="15.75" customHeight="1" s="195">
      <c r="A38" s="301" t="n">
        <v>33</v>
      </c>
      <c r="B38" s="302" t="inlineStr">
        <is>
          <t>0000058</t>
        </is>
      </c>
      <c r="C38" s="301" t="inlineStr">
        <is>
          <t>REGION</t>
        </is>
      </c>
      <c r="D38" s="302" t="inlineStr">
        <is>
          <t>BARRERA TOMAMGUILLA JAVIER</t>
        </is>
      </c>
      <c r="E38" s="301" t="inlineStr">
        <is>
          <t>DNI</t>
        </is>
      </c>
      <c r="F38" s="301" t="inlineStr">
        <is>
          <t>33816078</t>
        </is>
      </c>
      <c r="G38" s="331" t="n">
        <v>46011</v>
      </c>
      <c r="H38" s="301" t="inlineStr">
        <is>
          <t>4903</t>
        </is>
      </c>
      <c r="I38" s="332">
        <f>IFERROR(VLOOKUP(TEXT(H38,"0"),IPRESS!$A$3:$B$212,2,0),"")</f>
        <v/>
      </c>
      <c r="J38" s="301" t="inlineStr">
        <is>
          <t>4838</t>
        </is>
      </c>
      <c r="K38" s="332">
        <f>IFERROR(VLOOKUP(TEXT(O38,"0"),CONDUCTORES!$A$3:$G$100,7,0),"")</f>
        <v/>
      </c>
      <c r="L38" s="245" t="n">
        <v>18.18</v>
      </c>
      <c r="M38" s="245" t="n">
        <v>5</v>
      </c>
      <c r="N38" s="333">
        <f>IFERROR(IF(L38*M38=0,"",L38*M38),"")</f>
        <v/>
      </c>
      <c r="O38" s="280" t="n"/>
      <c r="P38" s="332">
        <f>IFERROR(VLOOKUP(TEXT(O38,"0"),CONDUCTORES!$A$3:$G$100,2,0),"")</f>
        <v/>
      </c>
      <c r="Q38" s="332">
        <f>IFERROR(VLOOKUP(TEXT(O38,"0"),CONDUCTORES!$A$3:$H$100,6,0),"")</f>
        <v/>
      </c>
      <c r="R38" s="334" t="n"/>
      <c r="S38" s="302" t="inlineStr">
        <is>
          <t>S099,I620</t>
        </is>
      </c>
      <c r="T38" s="301" t="n"/>
      <c r="U38" s="334" t="n"/>
      <c r="V38" s="301" t="n"/>
      <c r="W38" s="301" t="n"/>
      <c r="X38" s="301" t="n"/>
      <c r="Y38" s="280" t="n"/>
    </row>
    <row r="39" ht="15.75" customHeight="1" s="195">
      <c r="A39" s="241" t="n">
        <v>34</v>
      </c>
      <c r="B39" s="305" t="inlineStr">
        <is>
          <t>0000054</t>
        </is>
      </c>
      <c r="C39" s="241" t="inlineStr">
        <is>
          <t>REGION</t>
        </is>
      </c>
      <c r="D39" s="305" t="inlineStr">
        <is>
          <t>TAUMA CHEVEZ DE PUSCAN LIZALITA</t>
        </is>
      </c>
      <c r="E39" s="241" t="inlineStr">
        <is>
          <t>DNI</t>
        </is>
      </c>
      <c r="F39" s="241" t="inlineStr">
        <is>
          <t>42528301</t>
        </is>
      </c>
      <c r="G39" s="336" t="n">
        <v>46001</v>
      </c>
      <c r="H39" s="241" t="inlineStr">
        <is>
          <t>4903</t>
        </is>
      </c>
      <c r="I39" s="332">
        <f>IFERROR(VLOOKUP(TEXT(H39,"0"),IPRESS!$A$3:$B$212,2,0),"")</f>
        <v/>
      </c>
      <c r="J39" s="241" t="inlineStr">
        <is>
          <t>4838</t>
        </is>
      </c>
      <c r="K39" s="332">
        <f>IFERROR(VLOOKUP(TEXT(O39,"0"),CONDUCTORES!$A$3:$G$100,7,0),"")</f>
        <v/>
      </c>
      <c r="L39" s="239" t="n">
        <v>18.18</v>
      </c>
      <c r="M39" s="239" t="n">
        <v>5</v>
      </c>
      <c r="N39" s="333">
        <f>IFERROR(IF(L39*M39=0,"",L39*M39),"")</f>
        <v/>
      </c>
      <c r="O39" s="334" t="n"/>
      <c r="P39" s="332">
        <f>IFERROR(VLOOKUP(TEXT(O39,"0"),CONDUCTORES!$A$3:$G$100,2,0),"")</f>
        <v/>
      </c>
      <c r="Q39" s="332">
        <f>IFERROR(VLOOKUP(TEXT(O39,"0"),CONDUCTORES!$A$3:$H$100,6,0),"")</f>
        <v/>
      </c>
      <c r="R39" s="280" t="n"/>
      <c r="S39" s="305" t="inlineStr">
        <is>
          <t>K810,R100</t>
        </is>
      </c>
      <c r="T39" s="241" t="n"/>
      <c r="U39" s="280" t="n"/>
      <c r="V39" s="241" t="n"/>
      <c r="W39" s="241" t="n"/>
      <c r="X39" s="241" t="n"/>
      <c r="Y39" s="280" t="n"/>
    </row>
    <row r="40" ht="15.75" customHeight="1" s="195">
      <c r="A40" s="301" t="n">
        <v>35</v>
      </c>
      <c r="B40" s="302" t="inlineStr">
        <is>
          <t>0000055</t>
        </is>
      </c>
      <c r="C40" s="301" t="inlineStr">
        <is>
          <t>REGION</t>
        </is>
      </c>
      <c r="D40" s="302" t="inlineStr">
        <is>
          <t>HUAMAN HUAMAN ROSALI</t>
        </is>
      </c>
      <c r="E40" s="301" t="inlineStr">
        <is>
          <t>DNI</t>
        </is>
      </c>
      <c r="F40" s="301" t="inlineStr">
        <is>
          <t>33807210</t>
        </is>
      </c>
      <c r="G40" s="331" t="n">
        <v>46003</v>
      </c>
      <c r="H40" s="301" t="inlineStr">
        <is>
          <t>4903</t>
        </is>
      </c>
      <c r="I40" s="332">
        <f>IFERROR(VLOOKUP(TEXT(H40,"0"),IPRESS!$A$3:$B$212,2,0),"")</f>
        <v/>
      </c>
      <c r="J40" s="301" t="inlineStr">
        <is>
          <t>4838</t>
        </is>
      </c>
      <c r="K40" s="332">
        <f>IFERROR(VLOOKUP(TEXT(O40,"0"),CONDUCTORES!$A$3:$G$100,7,0),"")</f>
        <v/>
      </c>
      <c r="L40" s="245" t="n">
        <v>18.18</v>
      </c>
      <c r="M40" s="245" t="n">
        <v>5</v>
      </c>
      <c r="N40" s="333">
        <f>IFERROR(IF(L40*M40=0,"",L40*M40),"")</f>
        <v/>
      </c>
      <c r="O40" s="280" t="n"/>
      <c r="P40" s="332">
        <f>IFERROR(VLOOKUP(TEXT(O40,"0"),CONDUCTORES!$A$3:$G$100,2,0),"")</f>
        <v/>
      </c>
      <c r="Q40" s="332">
        <f>IFERROR(VLOOKUP(TEXT(O40,"0"),CONDUCTORES!$A$3:$H$100,6,0),"")</f>
        <v/>
      </c>
      <c r="R40" s="334" t="n"/>
      <c r="S40" s="302" t="inlineStr">
        <is>
          <t>R310,D649,N23X</t>
        </is>
      </c>
      <c r="T40" s="301" t="n"/>
      <c r="U40" s="334" t="n"/>
      <c r="V40" s="301" t="n"/>
      <c r="W40" s="301" t="n"/>
      <c r="X40" s="301" t="n"/>
      <c r="Y40" s="280" t="n"/>
    </row>
    <row r="41" ht="15.75" customHeight="1" s="195">
      <c r="A41" s="241" t="n">
        <v>36</v>
      </c>
      <c r="B41" s="305" t="inlineStr">
        <is>
          <t>0000057</t>
        </is>
      </c>
      <c r="C41" s="241" t="inlineStr">
        <is>
          <t>REGION</t>
        </is>
      </c>
      <c r="D41" s="305" t="inlineStr">
        <is>
          <t>FERNANDEZ RAMIREZ CARLOS ALBERTO</t>
        </is>
      </c>
      <c r="E41" s="241" t="inlineStr">
        <is>
          <t>DNI</t>
        </is>
      </c>
      <c r="F41" s="241" t="inlineStr">
        <is>
          <t>18069238</t>
        </is>
      </c>
      <c r="G41" s="336" t="n">
        <v>46010</v>
      </c>
      <c r="H41" s="241" t="inlineStr">
        <is>
          <t>4903</t>
        </is>
      </c>
      <c r="I41" s="332">
        <f>IFERROR(VLOOKUP(TEXT(H41,"0"),IPRESS!$A$3:$B$212,2,0),"")</f>
        <v/>
      </c>
      <c r="J41" s="241" t="inlineStr">
        <is>
          <t>4838</t>
        </is>
      </c>
      <c r="K41" s="332">
        <f>IFERROR(VLOOKUP(TEXT(O41,"0"),CONDUCTORES!$A$3:$G$100,7,0),"")</f>
        <v/>
      </c>
      <c r="L41" s="239" t="n">
        <v>18.18</v>
      </c>
      <c r="M41" s="239" t="n">
        <v>5</v>
      </c>
      <c r="N41" s="333">
        <f>IFERROR(IF(L41*M41=0,"",L41*M41),"")</f>
        <v/>
      </c>
      <c r="O41" s="334" t="n"/>
      <c r="P41" s="332">
        <f>IFERROR(VLOOKUP(TEXT(O41,"0"),CONDUCTORES!$A$3:$G$100,2,0),"")</f>
        <v/>
      </c>
      <c r="Q41" s="332">
        <f>IFERROR(VLOOKUP(TEXT(O41,"0"),CONDUCTORES!$A$3:$H$100,6,0),"")</f>
        <v/>
      </c>
      <c r="R41" s="280" t="n"/>
      <c r="S41" s="305" t="inlineStr">
        <is>
          <t>R030,I472</t>
        </is>
      </c>
      <c r="T41" s="241" t="n"/>
      <c r="U41" s="280" t="n"/>
      <c r="V41" s="241" t="n"/>
      <c r="W41" s="241" t="n"/>
      <c r="X41" s="241" t="n"/>
      <c r="Y41" s="280" t="n"/>
    </row>
    <row r="42" ht="15.75" customHeight="1" s="195">
      <c r="A42" s="301" t="n">
        <v>37</v>
      </c>
      <c r="B42" s="302" t="inlineStr">
        <is>
          <t>0000056</t>
        </is>
      </c>
      <c r="C42" s="301" t="inlineStr">
        <is>
          <t>REGION</t>
        </is>
      </c>
      <c r="D42" s="302" t="inlineStr">
        <is>
          <t>REVILLA CASTREJON ROSA ALEJANDRINA</t>
        </is>
      </c>
      <c r="E42" s="301" t="inlineStr">
        <is>
          <t>DNI</t>
        </is>
      </c>
      <c r="F42" s="301" t="inlineStr">
        <is>
          <t>72926269</t>
        </is>
      </c>
      <c r="G42" s="331" t="n">
        <v>46007</v>
      </c>
      <c r="H42" s="301" t="inlineStr">
        <is>
          <t>4903</t>
        </is>
      </c>
      <c r="I42" s="332">
        <f>IFERROR(VLOOKUP(TEXT(H42,"0"),IPRESS!$A$3:$B$212,2,0),"")</f>
        <v/>
      </c>
      <c r="J42" s="301" t="inlineStr">
        <is>
          <t>4838</t>
        </is>
      </c>
      <c r="K42" s="332">
        <f>IFERROR(VLOOKUP(TEXT(O42,"0"),CONDUCTORES!$A$3:$G$100,7,0),"")</f>
        <v/>
      </c>
      <c r="L42" s="245" t="n">
        <v>18.18</v>
      </c>
      <c r="M42" s="245" t="n">
        <v>5</v>
      </c>
      <c r="N42" s="333">
        <f>IFERROR(IF(L42*M42=0,"",L42*M42),"")</f>
        <v/>
      </c>
      <c r="O42" s="280" t="n"/>
      <c r="P42" s="332">
        <f>IFERROR(VLOOKUP(TEXT(O42,"0"),CONDUCTORES!$A$3:$G$100,2,0),"")</f>
        <v/>
      </c>
      <c r="Q42" s="332">
        <f>IFERROR(VLOOKUP(TEXT(O42,"0"),CONDUCTORES!$A$3:$H$100,6,0),"")</f>
        <v/>
      </c>
      <c r="R42" s="334" t="n"/>
      <c r="S42" s="302" t="inlineStr">
        <is>
          <t>O318</t>
        </is>
      </c>
      <c r="T42" s="301" t="n"/>
      <c r="U42" s="334" t="n"/>
      <c r="V42" s="301" t="n"/>
      <c r="W42" s="301" t="n"/>
      <c r="X42" s="301" t="n"/>
      <c r="Y42" s="280" t="n"/>
    </row>
    <row r="43" ht="15.75" customHeight="1" s="195">
      <c r="A43" s="241" t="n">
        <v>38</v>
      </c>
      <c r="B43" s="305" t="inlineStr">
        <is>
          <t>0000053</t>
        </is>
      </c>
      <c r="C43" s="241" t="inlineStr">
        <is>
          <t>REGION</t>
        </is>
      </c>
      <c r="D43" s="305" t="inlineStr">
        <is>
          <t>GALLARDO DE SOTO DORIS</t>
        </is>
      </c>
      <c r="E43" s="241" t="inlineStr">
        <is>
          <t>DNI</t>
        </is>
      </c>
      <c r="F43" s="241" t="inlineStr">
        <is>
          <t>16540098</t>
        </is>
      </c>
      <c r="G43" s="336" t="n">
        <v>45998</v>
      </c>
      <c r="H43" s="241" t="inlineStr">
        <is>
          <t>4903</t>
        </is>
      </c>
      <c r="I43" s="332">
        <f>IFERROR(VLOOKUP(TEXT(H43,"0"),IPRESS!$A$3:$B$212,2,0),"")</f>
        <v/>
      </c>
      <c r="J43" s="241" t="inlineStr">
        <is>
          <t>4838</t>
        </is>
      </c>
      <c r="K43" s="332">
        <f>IFERROR(VLOOKUP(TEXT(O43,"0"),CONDUCTORES!$A$3:$G$100,7,0),"")</f>
        <v/>
      </c>
      <c r="L43" s="239" t="n">
        <v>18.18</v>
      </c>
      <c r="M43" s="239" t="n">
        <v>5</v>
      </c>
      <c r="N43" s="333">
        <f>IFERROR(IF(L43*M43=0,"",L43*M43),"")</f>
        <v/>
      </c>
      <c r="O43" s="334" t="n"/>
      <c r="P43" s="332">
        <f>IFERROR(VLOOKUP(TEXT(O43,"0"),CONDUCTORES!$A$3:$G$100,2,0),"")</f>
        <v/>
      </c>
      <c r="Q43" s="332">
        <f>IFERROR(VLOOKUP(TEXT(O43,"0"),CONDUCTORES!$A$3:$H$100,6,0),"")</f>
        <v/>
      </c>
      <c r="R43" s="280" t="n"/>
      <c r="S43" s="305" t="inlineStr">
        <is>
          <t>S345,S799,S299</t>
        </is>
      </c>
      <c r="T43" s="241" t="n"/>
      <c r="U43" s="280" t="n"/>
      <c r="V43" s="241" t="n"/>
      <c r="W43" s="241" t="n"/>
      <c r="X43" s="241" t="n"/>
      <c r="Y43" s="280" t="n"/>
    </row>
    <row r="44" ht="15.75" customHeight="1" s="195">
      <c r="A44" s="301" t="n">
        <v>39</v>
      </c>
      <c r="B44" s="302" t="inlineStr">
        <is>
          <t>0000266</t>
        </is>
      </c>
      <c r="C44" s="301" t="inlineStr">
        <is>
          <t>REGION</t>
        </is>
      </c>
      <c r="D44" s="302" t="inlineStr">
        <is>
          <t>HANS SCHLEIFER</t>
        </is>
      </c>
      <c r="E44" s="301" t="inlineStr">
        <is>
          <t>DNI</t>
        </is>
      </c>
      <c r="F44" s="301" t="inlineStr">
        <is>
          <t>1960971</t>
        </is>
      </c>
      <c r="G44" s="331" t="n">
        <v>46002</v>
      </c>
      <c r="H44" s="301" t="inlineStr">
        <is>
          <t>4950</t>
        </is>
      </c>
      <c r="I44" s="332">
        <f>IFERROR(VLOOKUP(TEXT(H44,"0"),IPRESS!$A$3:$B$212,2,0),"")</f>
        <v/>
      </c>
      <c r="J44" s="301" t="inlineStr">
        <is>
          <t>4838</t>
        </is>
      </c>
      <c r="K44" s="332">
        <f>IFERROR(VLOOKUP(TEXT(O44,"0"),CONDUCTORES!$A$3:$G$100,7,0),"")</f>
        <v/>
      </c>
      <c r="L44" s="245" t="n">
        <v>20.25</v>
      </c>
      <c r="M44" s="245" t="n">
        <v>10</v>
      </c>
      <c r="N44" s="333">
        <f>IFERROR(IF(L44*M44=0,"",L44*M44),"")</f>
        <v/>
      </c>
      <c r="O44" s="280" t="n"/>
      <c r="P44" s="332">
        <f>IFERROR(VLOOKUP(TEXT(O44,"0"),CONDUCTORES!$A$3:$G$100,2,0),"")</f>
        <v/>
      </c>
      <c r="Q44" s="332">
        <f>IFERROR(VLOOKUP(TEXT(O44,"0"),CONDUCTORES!$A$3:$H$100,6,0),"")</f>
        <v/>
      </c>
      <c r="R44" s="334" t="n"/>
      <c r="S44" s="302" t="inlineStr">
        <is>
          <t>A419,J960,K720,N179</t>
        </is>
      </c>
      <c r="T44" s="301" t="inlineStr">
        <is>
          <t>DEVOLVER EL COMBUSTIBLE AL C.S. HUAMBO</t>
        </is>
      </c>
      <c r="U44" s="334" t="n"/>
      <c r="V44" s="301" t="n"/>
      <c r="W44" s="301" t="n"/>
      <c r="X44" s="301" t="n"/>
      <c r="Y44" s="280" t="n"/>
    </row>
    <row r="45" ht="15.75" customHeight="1" s="195">
      <c r="A45" s="241" t="n">
        <v>40</v>
      </c>
      <c r="B45" s="305" t="inlineStr">
        <is>
          <t>0000271</t>
        </is>
      </c>
      <c r="C45" s="241" t="inlineStr">
        <is>
          <t>REGION</t>
        </is>
      </c>
      <c r="D45" s="305" t="inlineStr">
        <is>
          <t>MELENDEZ DE MONTANO MARIA DEL CARMEN</t>
        </is>
      </c>
      <c r="E45" s="241" t="inlineStr">
        <is>
          <t>DNI</t>
        </is>
      </c>
      <c r="F45" s="241" t="inlineStr">
        <is>
          <t>33948376</t>
        </is>
      </c>
      <c r="G45" s="336" t="n">
        <v>46006</v>
      </c>
      <c r="H45" s="241" t="inlineStr">
        <is>
          <t>4950</t>
        </is>
      </c>
      <c r="I45" s="332">
        <f>IFERROR(VLOOKUP(TEXT(H45,"0"),IPRESS!$A$3:$B$212,2,0),"")</f>
        <v/>
      </c>
      <c r="J45" s="241" t="inlineStr">
        <is>
          <t>4838</t>
        </is>
      </c>
      <c r="K45" s="332">
        <f>IFERROR(VLOOKUP(TEXT(O45,"0"),CONDUCTORES!$A$3:$G$100,7,0),"")</f>
        <v/>
      </c>
      <c r="L45" s="239" t="n">
        <v>20.25</v>
      </c>
      <c r="M45" s="239" t="n">
        <v>7</v>
      </c>
      <c r="N45" s="333">
        <f>IFERROR(IF(L45*M45=0,"",L45*M45),"")</f>
        <v/>
      </c>
      <c r="O45" s="334" t="n"/>
      <c r="P45" s="332">
        <f>IFERROR(VLOOKUP(TEXT(O45,"0"),CONDUCTORES!$A$3:$G$100,2,0),"")</f>
        <v/>
      </c>
      <c r="Q45" s="332">
        <f>IFERROR(VLOOKUP(TEXT(O45,"0"),CONDUCTORES!$A$3:$H$100,6,0),"")</f>
        <v/>
      </c>
      <c r="R45" s="280" t="n"/>
      <c r="S45" s="305" t="inlineStr">
        <is>
          <t>J159,R739,E111</t>
        </is>
      </c>
      <c r="T45" s="241" t="n"/>
      <c r="U45" s="280" t="n"/>
      <c r="V45" s="241" t="n"/>
      <c r="W45" s="241" t="n"/>
      <c r="X45" s="241" t="n"/>
      <c r="Y45" s="280" t="n"/>
    </row>
    <row r="46" ht="15.75" customHeight="1" s="195">
      <c r="A46" s="301" t="n">
        <v>41</v>
      </c>
      <c r="B46" s="302" t="inlineStr">
        <is>
          <t>0000276</t>
        </is>
      </c>
      <c r="C46" s="301" t="inlineStr">
        <is>
          <t>REGION</t>
        </is>
      </c>
      <c r="D46" s="302" t="inlineStr">
        <is>
          <t>PORTOCARRERO PORTOCARRERO KELVIN ABRAHAM</t>
        </is>
      </c>
      <c r="E46" s="301" t="inlineStr">
        <is>
          <t>DNI</t>
        </is>
      </c>
      <c r="F46" s="301" t="inlineStr">
        <is>
          <t>62139925</t>
        </is>
      </c>
      <c r="G46" s="331" t="n">
        <v>46010</v>
      </c>
      <c r="H46" s="301" t="inlineStr">
        <is>
          <t>4950</t>
        </is>
      </c>
      <c r="I46" s="332">
        <f>IFERROR(VLOOKUP(TEXT(H46,"0"),IPRESS!$A$3:$B$212,2,0),"")</f>
        <v/>
      </c>
      <c r="J46" s="301" t="inlineStr">
        <is>
          <t>4838</t>
        </is>
      </c>
      <c r="K46" s="332">
        <f>IFERROR(VLOOKUP(TEXT(O46,"0"),CONDUCTORES!$A$3:$G$100,7,0),"")</f>
        <v/>
      </c>
      <c r="L46" s="245" t="n">
        <v>20.25</v>
      </c>
      <c r="M46" s="245" t="n">
        <v>10</v>
      </c>
      <c r="N46" s="333">
        <f>IFERROR(IF(L46*M46=0,"",L46*M46),"")</f>
        <v/>
      </c>
      <c r="O46" s="280" t="n"/>
      <c r="P46" s="332">
        <f>IFERROR(VLOOKUP(TEXT(O46,"0"),CONDUCTORES!$A$3:$G$100,2,0),"")</f>
        <v/>
      </c>
      <c r="Q46" s="332">
        <f>IFERROR(VLOOKUP(TEXT(O46,"0"),CONDUCTORES!$A$3:$H$100,6,0),"")</f>
        <v/>
      </c>
      <c r="R46" s="334" t="n"/>
      <c r="S46" s="302" t="inlineStr">
        <is>
          <t>K359,R104</t>
        </is>
      </c>
      <c r="T46" s="301" t="inlineStr">
        <is>
          <t>DEVOLVER EL COMBUSTIBLE AL C.S. HUAMBO</t>
        </is>
      </c>
      <c r="U46" s="334" t="n"/>
      <c r="V46" s="301" t="n"/>
      <c r="W46" s="301" t="n"/>
      <c r="X46" s="301" t="n"/>
      <c r="Y46" s="280" t="n"/>
    </row>
    <row r="47" ht="15.75" customHeight="1" s="195">
      <c r="A47" s="241" t="n">
        <v>42</v>
      </c>
      <c r="B47" s="305" t="inlineStr">
        <is>
          <t>0000277</t>
        </is>
      </c>
      <c r="C47" s="241" t="inlineStr">
        <is>
          <t>REGION</t>
        </is>
      </c>
      <c r="D47" s="305" t="inlineStr">
        <is>
          <t>LOPEZ TORRES JUAN JOSE</t>
        </is>
      </c>
      <c r="E47" s="241" t="inlineStr">
        <is>
          <t>DNI</t>
        </is>
      </c>
      <c r="F47" s="241" t="inlineStr">
        <is>
          <t>33941317</t>
        </is>
      </c>
      <c r="G47" s="336" t="n">
        <v>46010</v>
      </c>
      <c r="H47" s="241" t="inlineStr">
        <is>
          <t>4950</t>
        </is>
      </c>
      <c r="I47" s="332">
        <f>IFERROR(VLOOKUP(TEXT(H47,"0"),IPRESS!$A$3:$B$212,2,0),"")</f>
        <v/>
      </c>
      <c r="J47" s="241" t="inlineStr">
        <is>
          <t>4838</t>
        </is>
      </c>
      <c r="K47" s="332">
        <f>IFERROR(VLOOKUP(TEXT(O47,"0"),CONDUCTORES!$A$3:$G$100,7,0),"")</f>
        <v/>
      </c>
      <c r="L47" s="239" t="n">
        <v>20.25</v>
      </c>
      <c r="M47" s="239" t="n">
        <v>7</v>
      </c>
      <c r="N47" s="333">
        <f>IFERROR(IF(L47*M47=0,"",L47*M47),"")</f>
        <v/>
      </c>
      <c r="O47" s="334" t="n"/>
      <c r="P47" s="332">
        <f>IFERROR(VLOOKUP(TEXT(O47,"0"),CONDUCTORES!$A$3:$G$100,2,0),"")</f>
        <v/>
      </c>
      <c r="Q47" s="332">
        <f>IFERROR(VLOOKUP(TEXT(O47,"0"),CONDUCTORES!$A$3:$H$100,6,0),"")</f>
        <v/>
      </c>
      <c r="R47" s="280" t="n"/>
      <c r="S47" s="305" t="inlineStr">
        <is>
          <t>I500,N19X,J81X</t>
        </is>
      </c>
      <c r="T47" s="241" t="n"/>
      <c r="U47" s="280" t="n"/>
      <c r="V47" s="241" t="n"/>
      <c r="W47" s="241" t="n"/>
      <c r="X47" s="241" t="n"/>
      <c r="Y47" s="280" t="n"/>
    </row>
    <row r="48" ht="15.75" customHeight="1" s="195">
      <c r="A48" s="301" t="n">
        <v>43</v>
      </c>
      <c r="B48" s="302" t="inlineStr">
        <is>
          <t>0000279</t>
        </is>
      </c>
      <c r="C48" s="301" t="inlineStr">
        <is>
          <t>REGION</t>
        </is>
      </c>
      <c r="D48" s="302" t="inlineStr">
        <is>
          <t>LLANOS MEGO LUZ MARIA</t>
        </is>
      </c>
      <c r="E48" s="301" t="inlineStr">
        <is>
          <t>DNI</t>
        </is>
      </c>
      <c r="F48" s="301" t="inlineStr">
        <is>
          <t>71599750</t>
        </is>
      </c>
      <c r="G48" s="331" t="n">
        <v>46011</v>
      </c>
      <c r="H48" s="301" t="inlineStr">
        <is>
          <t>4950</t>
        </is>
      </c>
      <c r="I48" s="332">
        <f>IFERROR(VLOOKUP(TEXT(H48,"0"),IPRESS!$A$3:$B$212,2,0),"")</f>
        <v/>
      </c>
      <c r="J48" s="301" t="inlineStr">
        <is>
          <t>4838</t>
        </is>
      </c>
      <c r="K48" s="332">
        <f>IFERROR(VLOOKUP(TEXT(O48,"0"),CONDUCTORES!$A$3:$G$100,7,0),"")</f>
        <v/>
      </c>
      <c r="L48" s="245" t="n">
        <v>20.25</v>
      </c>
      <c r="M48" s="245" t="n">
        <v>7</v>
      </c>
      <c r="N48" s="333">
        <f>IFERROR(IF(L48*M48=0,"",L48*M48),"")</f>
        <v/>
      </c>
      <c r="O48" s="280" t="n"/>
      <c r="P48" s="332">
        <f>IFERROR(VLOOKUP(TEXT(O48,"0"),CONDUCTORES!$A$3:$G$100,2,0),"")</f>
        <v/>
      </c>
      <c r="Q48" s="332">
        <f>IFERROR(VLOOKUP(TEXT(O48,"0"),CONDUCTORES!$A$3:$H$100,6,0),"")</f>
        <v/>
      </c>
      <c r="R48" s="334" t="n"/>
      <c r="S48" s="302" t="inlineStr">
        <is>
          <t>O469,O459</t>
        </is>
      </c>
      <c r="T48" s="301" t="n"/>
      <c r="U48" s="334" t="n"/>
      <c r="V48" s="301" t="n"/>
      <c r="W48" s="301" t="n"/>
      <c r="X48" s="301" t="n"/>
      <c r="Y48" s="280" t="n"/>
    </row>
    <row r="49" ht="15.75" customHeight="1" s="195">
      <c r="A49" s="241" t="n">
        <v>44</v>
      </c>
      <c r="B49" s="305" t="inlineStr">
        <is>
          <t>0000009</t>
        </is>
      </c>
      <c r="C49" s="241" t="inlineStr">
        <is>
          <t>REGION</t>
        </is>
      </c>
      <c r="D49" s="305" t="inlineStr">
        <is>
          <t>VARGAS QUINTANA LUCIANA</t>
        </is>
      </c>
      <c r="E49" s="241" t="inlineStr">
        <is>
          <t>DNI</t>
        </is>
      </c>
      <c r="F49" s="241" t="inlineStr">
        <is>
          <t>33813841</t>
        </is>
      </c>
      <c r="G49" s="336" t="n">
        <v>45995</v>
      </c>
      <c r="H49" s="241" t="inlineStr">
        <is>
          <t>4895</t>
        </is>
      </c>
      <c r="I49" s="332">
        <f>IFERROR(VLOOKUP(TEXT(H49,"0"),IPRESS!$A$3:$B$212,2,0),"")</f>
        <v/>
      </c>
      <c r="J49" s="241" t="inlineStr">
        <is>
          <t>4838</t>
        </is>
      </c>
      <c r="K49" s="332">
        <f>IFERROR(VLOOKUP(TEXT(O49,"0"),CONDUCTORES!$A$3:$G$100,7,0),"")</f>
        <v/>
      </c>
      <c r="L49" s="239" t="n">
        <v>18.18</v>
      </c>
      <c r="M49" s="239" t="n">
        <v>7</v>
      </c>
      <c r="N49" s="333">
        <f>IFERROR(IF(L49*M49=0,"",L49*M49),"")</f>
        <v/>
      </c>
      <c r="O49" s="334" t="n"/>
      <c r="P49" s="332">
        <f>IFERROR(VLOOKUP(TEXT(O49,"0"),CONDUCTORES!$A$3:$G$100,2,0),"")</f>
        <v/>
      </c>
      <c r="Q49" s="332">
        <f>IFERROR(VLOOKUP(TEXT(O49,"0"),CONDUCTORES!$A$3:$H$100,6,0),"")</f>
        <v/>
      </c>
      <c r="R49" s="280" t="n"/>
      <c r="S49" s="305" t="inlineStr">
        <is>
          <t>N739,N719</t>
        </is>
      </c>
      <c r="T49" s="241" t="n"/>
      <c r="U49" s="280" t="n"/>
      <c r="V49" s="241" t="n"/>
      <c r="W49" s="241" t="n"/>
      <c r="X49" s="241" t="n"/>
      <c r="Y49" s="280" t="n"/>
    </row>
    <row r="50" ht="15.75" customHeight="1" s="195">
      <c r="A50" s="301" t="n">
        <v>45</v>
      </c>
      <c r="B50" s="302" t="inlineStr">
        <is>
          <t>0000010</t>
        </is>
      </c>
      <c r="C50" s="301" t="inlineStr">
        <is>
          <t>REGION</t>
        </is>
      </c>
      <c r="D50" s="302" t="inlineStr">
        <is>
          <t>PINGUS QUILO WILFREDO</t>
        </is>
      </c>
      <c r="E50" s="301" t="inlineStr">
        <is>
          <t>DNI</t>
        </is>
      </c>
      <c r="F50" s="301" t="inlineStr">
        <is>
          <t>33786229</t>
        </is>
      </c>
      <c r="G50" s="331" t="n">
        <v>45996</v>
      </c>
      <c r="H50" s="301" t="inlineStr">
        <is>
          <t>4895</t>
        </is>
      </c>
      <c r="I50" s="332">
        <f>IFERROR(VLOOKUP(TEXT(H50,"0"),IPRESS!$A$3:$B$212,2,0),"")</f>
        <v/>
      </c>
      <c r="J50" s="301" t="inlineStr">
        <is>
          <t>4838</t>
        </is>
      </c>
      <c r="K50" s="332">
        <f>IFERROR(VLOOKUP(TEXT(O50,"0"),CONDUCTORES!$A$3:$G$100,7,0),"")</f>
        <v/>
      </c>
      <c r="L50" s="245" t="n">
        <v>18.18</v>
      </c>
      <c r="M50" s="245" t="n">
        <v>7</v>
      </c>
      <c r="N50" s="333">
        <f>IFERROR(IF(L50*M50=0,"",L50*M50),"")</f>
        <v/>
      </c>
      <c r="O50" s="280" t="n"/>
      <c r="P50" s="332">
        <f>IFERROR(VLOOKUP(TEXT(O50,"0"),CONDUCTORES!$A$3:$G$100,2,0),"")</f>
        <v/>
      </c>
      <c r="Q50" s="332">
        <f>IFERROR(VLOOKUP(TEXT(O50,"0"),CONDUCTORES!$A$3:$H$100,6,0),"")</f>
        <v/>
      </c>
      <c r="R50" s="334" t="n"/>
      <c r="S50" s="302" t="inlineStr">
        <is>
          <t>T608,Y911</t>
        </is>
      </c>
      <c r="T50" s="301" t="n"/>
      <c r="U50" s="334" t="n"/>
      <c r="V50" s="301" t="n"/>
      <c r="W50" s="301" t="n"/>
      <c r="X50" s="301" t="n"/>
      <c r="Y50" s="280" t="n"/>
    </row>
    <row r="51" ht="15.75" customHeight="1" s="195">
      <c r="A51" s="241" t="n">
        <v>46</v>
      </c>
      <c r="B51" s="305" t="inlineStr">
        <is>
          <t>0000024</t>
        </is>
      </c>
      <c r="C51" s="241" t="inlineStr">
        <is>
          <t>REGION</t>
        </is>
      </c>
      <c r="D51" s="305" t="inlineStr">
        <is>
          <t>CUBAS MUÑOZ GUISELA</t>
        </is>
      </c>
      <c r="E51" s="241" t="inlineStr">
        <is>
          <t>DNI</t>
        </is>
      </c>
      <c r="F51" s="241" t="inlineStr">
        <is>
          <t>70121274</t>
        </is>
      </c>
      <c r="G51" s="336" t="n">
        <v>45999</v>
      </c>
      <c r="H51" s="241" t="inlineStr">
        <is>
          <t>4874</t>
        </is>
      </c>
      <c r="I51" s="332">
        <f>IFERROR(VLOOKUP(TEXT(H51,"0"),IPRESS!$A$3:$B$212,2,0),"")</f>
        <v/>
      </c>
      <c r="J51" s="241" t="inlineStr">
        <is>
          <t>5125</t>
        </is>
      </c>
      <c r="K51" s="332">
        <f>IFERROR(VLOOKUP(TEXT(O51,"0"),CONDUCTORES!$A$3:$G$100,7,0),"")</f>
        <v/>
      </c>
      <c r="L51" s="239" t="n">
        <v>18.18</v>
      </c>
      <c r="M51" s="239" t="n">
        <v>20</v>
      </c>
      <c r="N51" s="333">
        <f>IFERROR(IF(L51*M51=0,"",L51*M51),"")</f>
        <v/>
      </c>
      <c r="O51" s="334" t="n"/>
      <c r="P51" s="332">
        <f>IFERROR(VLOOKUP(TEXT(O51,"0"),CONDUCTORES!$A$3:$G$100,2,0),"")</f>
        <v/>
      </c>
      <c r="Q51" s="332">
        <f>IFERROR(VLOOKUP(TEXT(O51,"0"),CONDUCTORES!$A$3:$H$100,6,0),"")</f>
        <v/>
      </c>
      <c r="R51" s="280" t="n"/>
      <c r="S51" s="305" t="inlineStr">
        <is>
          <t>Z359,O200</t>
        </is>
      </c>
      <c r="T51" s="241" t="n"/>
      <c r="U51" s="280" t="n"/>
      <c r="V51" s="241" t="n"/>
      <c r="W51" s="241" t="n"/>
      <c r="X51" s="241" t="n"/>
      <c r="Y51" s="280" t="n"/>
    </row>
    <row r="52" ht="15.75" customHeight="1" s="195">
      <c r="A52" s="301" t="n">
        <v>47</v>
      </c>
      <c r="B52" s="302" t="inlineStr">
        <is>
          <t>0000028</t>
        </is>
      </c>
      <c r="C52" s="301" t="inlineStr">
        <is>
          <t>REGION</t>
        </is>
      </c>
      <c r="D52" s="302" t="inlineStr">
        <is>
          <t>SABOYA RODRIGUEZ GAYLENI</t>
        </is>
      </c>
      <c r="E52" s="301" t="inlineStr">
        <is>
          <t>DNI</t>
        </is>
      </c>
      <c r="F52" s="301" t="inlineStr">
        <is>
          <t>63144001</t>
        </is>
      </c>
      <c r="G52" s="331" t="n">
        <v>46008</v>
      </c>
      <c r="H52" s="301" t="inlineStr">
        <is>
          <t>4874</t>
        </is>
      </c>
      <c r="I52" s="332">
        <f>IFERROR(VLOOKUP(TEXT(H52,"0"),IPRESS!$A$3:$B$212,2,0),"")</f>
        <v/>
      </c>
      <c r="J52" s="301" t="inlineStr">
        <is>
          <t>5125</t>
        </is>
      </c>
      <c r="K52" s="332">
        <f>IFERROR(VLOOKUP(TEXT(O52,"0"),CONDUCTORES!$A$3:$G$100,7,0),"")</f>
        <v/>
      </c>
      <c r="L52" s="245" t="n">
        <v>18.18</v>
      </c>
      <c r="M52" s="245" t="n">
        <v>20</v>
      </c>
      <c r="N52" s="333">
        <f>IFERROR(IF(L52*M52=0,"",L52*M52),"")</f>
        <v/>
      </c>
      <c r="O52" s="280" t="n"/>
      <c r="P52" s="332">
        <f>IFERROR(VLOOKUP(TEXT(O52,"0"),CONDUCTORES!$A$3:$G$100,2,0),"")</f>
        <v/>
      </c>
      <c r="Q52" s="332">
        <f>IFERROR(VLOOKUP(TEXT(O52,"0"),CONDUCTORES!$A$3:$H$100,6,0),"")</f>
        <v/>
      </c>
      <c r="R52" s="334" t="n"/>
      <c r="S52" s="302" t="inlineStr">
        <is>
          <t>Z359,O332</t>
        </is>
      </c>
      <c r="T52" s="301" t="n"/>
      <c r="U52" s="334" t="n"/>
      <c r="V52" s="301" t="n"/>
      <c r="W52" s="301" t="n"/>
      <c r="X52" s="301" t="n"/>
      <c r="Y52" s="280" t="n"/>
    </row>
    <row r="53" ht="15.75" customHeight="1" s="195">
      <c r="A53" s="241" t="n">
        <v>48</v>
      </c>
      <c r="B53" s="305" t="inlineStr">
        <is>
          <t>0000010</t>
        </is>
      </c>
      <c r="C53" s="241" t="inlineStr">
        <is>
          <t>REGION</t>
        </is>
      </c>
      <c r="D53" s="305" t="inlineStr">
        <is>
          <t>ACOSTA ACOSTA SEGUNDO JUAN</t>
        </is>
      </c>
      <c r="E53" s="241" t="inlineStr">
        <is>
          <t>DNI</t>
        </is>
      </c>
      <c r="F53" s="241" t="inlineStr">
        <is>
          <t>33944470</t>
        </is>
      </c>
      <c r="G53" s="336" t="n">
        <v>45995</v>
      </c>
      <c r="H53" s="241" t="inlineStr">
        <is>
          <t>4943</t>
        </is>
      </c>
      <c r="I53" s="332">
        <f>IFERROR(VLOOKUP(TEXT(H53,"0"),IPRESS!$A$3:$B$212,2,0),"")</f>
        <v/>
      </c>
      <c r="J53" s="241" t="inlineStr">
        <is>
          <t>4950</t>
        </is>
      </c>
      <c r="K53" s="332">
        <f>IFERROR(VLOOKUP(TEXT(O53,"0"),CONDUCTORES!$A$3:$G$100,7,0),"")</f>
        <v/>
      </c>
      <c r="L53" s="239" t="n">
        <v>20.25</v>
      </c>
      <c r="M53" s="239" t="n">
        <v>3</v>
      </c>
      <c r="N53" s="333">
        <f>IFERROR(IF(L53*M53=0,"",L53*M53),"")</f>
        <v/>
      </c>
      <c r="O53" s="334" t="n"/>
      <c r="P53" s="332">
        <f>IFERROR(VLOOKUP(TEXT(O53,"0"),CONDUCTORES!$A$3:$G$100,2,0),"")</f>
        <v/>
      </c>
      <c r="Q53" s="332">
        <f>IFERROR(VLOOKUP(TEXT(O53,"0"),CONDUCTORES!$A$3:$H$100,6,0),"")</f>
        <v/>
      </c>
      <c r="R53" s="280" t="n"/>
      <c r="S53" s="305" t="inlineStr">
        <is>
          <t>R568</t>
        </is>
      </c>
      <c r="T53" s="241" t="n"/>
      <c r="U53" s="280" t="n"/>
      <c r="V53" s="241" t="n"/>
      <c r="W53" s="241" t="n"/>
      <c r="X53" s="241" t="n"/>
      <c r="Y53" s="280" t="n"/>
    </row>
    <row r="54" ht="15.75" customHeight="1" s="195">
      <c r="A54" s="301" t="n">
        <v>49</v>
      </c>
      <c r="B54" s="302" t="inlineStr">
        <is>
          <t>0000011</t>
        </is>
      </c>
      <c r="C54" s="301" t="inlineStr">
        <is>
          <t>REGION</t>
        </is>
      </c>
      <c r="D54" s="302" t="inlineStr">
        <is>
          <t>HANS SCHLEIFER</t>
        </is>
      </c>
      <c r="E54" s="301" t="inlineStr">
        <is>
          <t>DNI</t>
        </is>
      </c>
      <c r="F54" s="301" t="inlineStr">
        <is>
          <t>1960971</t>
        </is>
      </c>
      <c r="G54" s="331" t="n">
        <v>46001</v>
      </c>
      <c r="H54" s="301" t="inlineStr">
        <is>
          <t>4943</t>
        </is>
      </c>
      <c r="I54" s="332">
        <f>IFERROR(VLOOKUP(TEXT(H54,"0"),IPRESS!$A$3:$B$212,2,0),"")</f>
        <v/>
      </c>
      <c r="J54" s="301" t="inlineStr">
        <is>
          <t>4950</t>
        </is>
      </c>
      <c r="K54" s="332">
        <f>IFERROR(VLOOKUP(TEXT(O54,"0"),CONDUCTORES!$A$3:$G$100,7,0),"")</f>
        <v/>
      </c>
      <c r="L54" s="245" t="n">
        <v>20.25</v>
      </c>
      <c r="M54" s="245" t="n">
        <v>3</v>
      </c>
      <c r="N54" s="333">
        <f>IFERROR(IF(L54*M54=0,"",L54*M54),"")</f>
        <v/>
      </c>
      <c r="O54" s="280" t="n"/>
      <c r="P54" s="332">
        <f>IFERROR(VLOOKUP(TEXT(O54,"0"),CONDUCTORES!$A$3:$G$100,2,0),"")</f>
        <v/>
      </c>
      <c r="Q54" s="332">
        <f>IFERROR(VLOOKUP(TEXT(O54,"0"),CONDUCTORES!$A$3:$H$100,6,0),"")</f>
        <v/>
      </c>
      <c r="R54" s="334" t="n"/>
      <c r="S54" s="302" t="inlineStr">
        <is>
          <t>A419</t>
        </is>
      </c>
      <c r="T54" s="301" t="n"/>
      <c r="U54" s="334" t="n"/>
      <c r="V54" s="301" t="n"/>
      <c r="W54" s="301" t="n"/>
      <c r="X54" s="301" t="n"/>
      <c r="Y54" s="280" t="n"/>
    </row>
    <row r="55" ht="15.75" customHeight="1" s="195">
      <c r="A55" s="241" t="n">
        <v>50</v>
      </c>
      <c r="B55" s="305" t="inlineStr">
        <is>
          <t>0000013</t>
        </is>
      </c>
      <c r="C55" s="241" t="inlineStr">
        <is>
          <t>REGION</t>
        </is>
      </c>
      <c r="D55" s="305" t="inlineStr">
        <is>
          <t>VARGAS TUESTA DELIZ MARLI</t>
        </is>
      </c>
      <c r="E55" s="241" t="inlineStr">
        <is>
          <t>DNI</t>
        </is>
      </c>
      <c r="F55" s="241" t="inlineStr">
        <is>
          <t>44064439</t>
        </is>
      </c>
      <c r="G55" s="336" t="n">
        <v>46003</v>
      </c>
      <c r="H55" s="241" t="inlineStr">
        <is>
          <t>4943</t>
        </is>
      </c>
      <c r="I55" s="332">
        <f>IFERROR(VLOOKUP(TEXT(H55,"0"),IPRESS!$A$3:$B$212,2,0),"")</f>
        <v/>
      </c>
      <c r="J55" s="241" t="inlineStr">
        <is>
          <t>4950</t>
        </is>
      </c>
      <c r="K55" s="332">
        <f>IFERROR(VLOOKUP(TEXT(O55,"0"),CONDUCTORES!$A$3:$G$100,7,0),"")</f>
        <v/>
      </c>
      <c r="L55" s="239" t="n">
        <v>20.25</v>
      </c>
      <c r="M55" s="239" t="n">
        <v>3</v>
      </c>
      <c r="N55" s="333">
        <f>IFERROR(IF(L55*M55=0,"",L55*M55),"")</f>
        <v/>
      </c>
      <c r="O55" s="334" t="n"/>
      <c r="P55" s="332">
        <f>IFERROR(VLOOKUP(TEXT(O55,"0"),CONDUCTORES!$A$3:$G$100,2,0),"")</f>
        <v/>
      </c>
      <c r="Q55" s="332">
        <f>IFERROR(VLOOKUP(TEXT(O55,"0"),CONDUCTORES!$A$3:$H$100,6,0),"")</f>
        <v/>
      </c>
      <c r="R55" s="280" t="n"/>
      <c r="S55" s="305" t="inlineStr">
        <is>
          <t>K819</t>
        </is>
      </c>
      <c r="T55" s="241" t="n"/>
      <c r="U55" s="280" t="n"/>
      <c r="V55" s="241" t="n"/>
      <c r="W55" s="241" t="n"/>
      <c r="X55" s="241" t="n"/>
      <c r="Y55" s="280" t="n"/>
    </row>
    <row r="56" ht="15.75" customHeight="1" s="195">
      <c r="A56" s="301" t="n">
        <v>51</v>
      </c>
      <c r="B56" s="302" t="inlineStr">
        <is>
          <t>0000265</t>
        </is>
      </c>
      <c r="C56" s="301" t="inlineStr">
        <is>
          <t>REGION</t>
        </is>
      </c>
      <c r="D56" s="302" t="inlineStr">
        <is>
          <t>YAHUARCANI TELLO DANIELA ELISA</t>
        </is>
      </c>
      <c r="E56" s="301" t="inlineStr">
        <is>
          <t>DNI</t>
        </is>
      </c>
      <c r="F56" s="301" t="inlineStr">
        <is>
          <t>74362940</t>
        </is>
      </c>
      <c r="G56" s="331" t="n">
        <v>45998</v>
      </c>
      <c r="H56" s="301" t="inlineStr">
        <is>
          <t>4950</t>
        </is>
      </c>
      <c r="I56" s="332">
        <f>IFERROR(VLOOKUP(TEXT(H56,"0"),IPRESS!$A$3:$B$212,2,0),"")</f>
        <v/>
      </c>
      <c r="J56" s="301" t="inlineStr">
        <is>
          <t>4838</t>
        </is>
      </c>
      <c r="K56" s="332">
        <f>IFERROR(VLOOKUP(TEXT(O56,"0"),CONDUCTORES!$A$3:$G$100,7,0),"")</f>
        <v/>
      </c>
      <c r="L56" s="245" t="n">
        <v>20.25</v>
      </c>
      <c r="M56" s="245" t="n">
        <v>7</v>
      </c>
      <c r="N56" s="333">
        <f>IFERROR(IF(L56*M56=0,"",L56*M56),"")</f>
        <v/>
      </c>
      <c r="O56" s="280" t="n"/>
      <c r="P56" s="332">
        <f>IFERROR(VLOOKUP(TEXT(O56,"0"),CONDUCTORES!$A$3:$G$100,2,0),"")</f>
        <v/>
      </c>
      <c r="Q56" s="332">
        <f>IFERROR(VLOOKUP(TEXT(O56,"0"),CONDUCTORES!$A$3:$H$100,6,0),"")</f>
        <v/>
      </c>
      <c r="R56" s="334" t="n"/>
      <c r="S56" s="302" t="inlineStr">
        <is>
          <t>Z359,O366</t>
        </is>
      </c>
      <c r="T56" s="301" t="n"/>
      <c r="U56" s="334" t="n"/>
      <c r="V56" s="301" t="n"/>
      <c r="W56" s="301" t="n"/>
      <c r="X56" s="301" t="n"/>
      <c r="Y56" s="280" t="n"/>
    </row>
    <row r="57" ht="15.75" customHeight="1" s="195">
      <c r="A57" s="241" t="n">
        <v>52</v>
      </c>
      <c r="B57" s="305" t="inlineStr">
        <is>
          <t>0000268</t>
        </is>
      </c>
      <c r="C57" s="241" t="inlineStr">
        <is>
          <t>REGION</t>
        </is>
      </c>
      <c r="D57" s="305" t="inlineStr">
        <is>
          <t>VALQUE ARBILDO EVANGELINA</t>
        </is>
      </c>
      <c r="E57" s="241" t="inlineStr">
        <is>
          <t>DNI</t>
        </is>
      </c>
      <c r="F57" s="241" t="inlineStr">
        <is>
          <t>33952512</t>
        </is>
      </c>
      <c r="G57" s="336" t="n">
        <v>46003</v>
      </c>
      <c r="H57" s="241" t="inlineStr">
        <is>
          <t>4950</t>
        </is>
      </c>
      <c r="I57" s="332">
        <f>IFERROR(VLOOKUP(TEXT(H57,"0"),IPRESS!$A$3:$B$212,2,0),"")</f>
        <v/>
      </c>
      <c r="J57" s="241" t="inlineStr">
        <is>
          <t>4838</t>
        </is>
      </c>
      <c r="K57" s="332">
        <f>IFERROR(VLOOKUP(TEXT(O57,"0"),CONDUCTORES!$A$3:$G$100,7,0),"")</f>
        <v/>
      </c>
      <c r="L57" s="239" t="n">
        <v>20.25</v>
      </c>
      <c r="M57" s="239" t="n">
        <v>6.8</v>
      </c>
      <c r="N57" s="333">
        <f>IFERROR(IF(L57*M57=0,"",L57*M57),"")</f>
        <v/>
      </c>
      <c r="O57" s="334" t="n"/>
      <c r="P57" s="332">
        <f>IFERROR(VLOOKUP(TEXT(O57,"0"),CONDUCTORES!$A$3:$G$100,2,0),"")</f>
        <v/>
      </c>
      <c r="Q57" s="332">
        <f>IFERROR(VLOOKUP(TEXT(O57,"0"),CONDUCTORES!$A$3:$H$100,6,0),"")</f>
        <v/>
      </c>
      <c r="R57" s="280" t="n"/>
      <c r="S57" s="305" t="inlineStr">
        <is>
          <t>I64X,J960,I10X</t>
        </is>
      </c>
      <c r="T57" s="241" t="n"/>
      <c r="U57" s="280" t="n"/>
      <c r="V57" s="241" t="n"/>
      <c r="W57" s="241" t="n"/>
      <c r="X57" s="241" t="n"/>
      <c r="Y57" s="280" t="n"/>
    </row>
    <row r="58" ht="15.75" customHeight="1" s="195">
      <c r="A58" s="301" t="n">
        <v>53</v>
      </c>
      <c r="B58" s="302" t="inlineStr">
        <is>
          <t>0000274</t>
        </is>
      </c>
      <c r="C58" s="301" t="inlineStr">
        <is>
          <t>REGION</t>
        </is>
      </c>
      <c r="D58" s="302" t="inlineStr">
        <is>
          <t>QUISPE MEJIA FRANCISCO</t>
        </is>
      </c>
      <c r="E58" s="301" t="inlineStr">
        <is>
          <t>DNI</t>
        </is>
      </c>
      <c r="F58" s="301" t="inlineStr">
        <is>
          <t>33942846</t>
        </is>
      </c>
      <c r="G58" s="331" t="n">
        <v>46009</v>
      </c>
      <c r="H58" s="301" t="inlineStr">
        <is>
          <t>4950</t>
        </is>
      </c>
      <c r="I58" s="332">
        <f>IFERROR(VLOOKUP(TEXT(H58,"0"),IPRESS!$A$3:$B$212,2,0),"")</f>
        <v/>
      </c>
      <c r="J58" s="301" t="inlineStr">
        <is>
          <t>4838</t>
        </is>
      </c>
      <c r="K58" s="332">
        <f>IFERROR(VLOOKUP(TEXT(O58,"0"),CONDUCTORES!$A$3:$G$100,7,0),"")</f>
        <v/>
      </c>
      <c r="L58" s="245" t="n">
        <v>20.25</v>
      </c>
      <c r="M58" s="245" t="n">
        <v>7</v>
      </c>
      <c r="N58" s="333">
        <f>IFERROR(IF(L58*M58=0,"",L58*M58),"")</f>
        <v/>
      </c>
      <c r="O58" s="280" t="n"/>
      <c r="P58" s="332">
        <f>IFERROR(VLOOKUP(TEXT(O58,"0"),CONDUCTORES!$A$3:$G$100,2,0),"")</f>
        <v/>
      </c>
      <c r="Q58" s="332">
        <f>IFERROR(VLOOKUP(TEXT(O58,"0"),CONDUCTORES!$A$3:$H$100,6,0),"")</f>
        <v/>
      </c>
      <c r="R58" s="334" t="n"/>
      <c r="S58" s="302" t="inlineStr">
        <is>
          <t>K560,K566,K565</t>
        </is>
      </c>
      <c r="T58" s="301" t="n"/>
      <c r="U58" s="334" t="n"/>
      <c r="V58" s="301" t="n"/>
      <c r="W58" s="301" t="n"/>
      <c r="X58" s="301" t="n"/>
      <c r="Y58" s="280" t="n"/>
    </row>
    <row r="59" ht="15.75" customHeight="1" s="195">
      <c r="A59" s="241" t="n">
        <v>54</v>
      </c>
      <c r="B59" s="305" t="inlineStr">
        <is>
          <t>0000280</t>
        </is>
      </c>
      <c r="C59" s="241" t="inlineStr">
        <is>
          <t>REGION</t>
        </is>
      </c>
      <c r="D59" s="305" t="inlineStr">
        <is>
          <t>ZUMAETA VILLA OLINDA ANGELICA</t>
        </is>
      </c>
      <c r="E59" s="241" t="inlineStr">
        <is>
          <t>DNI</t>
        </is>
      </c>
      <c r="F59" s="241" t="inlineStr">
        <is>
          <t>43410541</t>
        </is>
      </c>
      <c r="G59" s="336" t="n">
        <v>46014</v>
      </c>
      <c r="H59" s="241" t="inlineStr">
        <is>
          <t>4950</t>
        </is>
      </c>
      <c r="I59" s="332">
        <f>IFERROR(VLOOKUP(TEXT(H59,"0"),IPRESS!$A$3:$B$212,2,0),"")</f>
        <v/>
      </c>
      <c r="J59" s="241" t="inlineStr">
        <is>
          <t>4838</t>
        </is>
      </c>
      <c r="K59" s="332">
        <f>IFERROR(VLOOKUP(TEXT(O59,"0"),CONDUCTORES!$A$3:$G$100,7,0),"")</f>
        <v/>
      </c>
      <c r="L59" s="239" t="n">
        <v>20.25</v>
      </c>
      <c r="M59" s="239" t="n">
        <v>10</v>
      </c>
      <c r="N59" s="333">
        <f>IFERROR(IF(L59*M59=0,"",L59*M59),"")</f>
        <v/>
      </c>
      <c r="O59" s="334" t="n"/>
      <c r="P59" s="332">
        <f>IFERROR(VLOOKUP(TEXT(O59,"0"),CONDUCTORES!$A$3:$G$100,2,0),"")</f>
        <v/>
      </c>
      <c r="Q59" s="332">
        <f>IFERROR(VLOOKUP(TEXT(O59,"0"),CONDUCTORES!$A$3:$H$100,6,0),"")</f>
        <v/>
      </c>
      <c r="R59" s="280" t="n"/>
      <c r="S59" s="305" t="inlineStr">
        <is>
          <t>S729,J189,I10X</t>
        </is>
      </c>
      <c r="T59" s="241" t="inlineStr">
        <is>
          <t>DEVOLVER AL C.S. HUAMBO</t>
        </is>
      </c>
      <c r="U59" s="280" t="n"/>
      <c r="V59" s="241" t="n"/>
      <c r="W59" s="241" t="n"/>
      <c r="X59" s="241" t="n"/>
      <c r="Y59" s="280" t="n"/>
    </row>
    <row r="60" ht="15.75" customHeight="1" s="195">
      <c r="A60" s="301" t="n">
        <v>55</v>
      </c>
      <c r="B60" s="302" t="inlineStr">
        <is>
          <t>0000281</t>
        </is>
      </c>
      <c r="C60" s="301" t="inlineStr">
        <is>
          <t>REGION</t>
        </is>
      </c>
      <c r="D60" s="302" t="inlineStr">
        <is>
          <t>OLIVARES GUAYAMIS CARMEN LUISA</t>
        </is>
      </c>
      <c r="E60" s="301" t="inlineStr">
        <is>
          <t>DNI</t>
        </is>
      </c>
      <c r="F60" s="301" t="inlineStr">
        <is>
          <t>1782107</t>
        </is>
      </c>
      <c r="G60" s="331" t="n">
        <v>46015</v>
      </c>
      <c r="H60" s="301" t="inlineStr">
        <is>
          <t>4950</t>
        </is>
      </c>
      <c r="I60" s="332">
        <f>IFERROR(VLOOKUP(TEXT(H60,"0"),IPRESS!$A$3:$B$212,2,0),"")</f>
        <v/>
      </c>
      <c r="J60" s="301" t="inlineStr">
        <is>
          <t>4838</t>
        </is>
      </c>
      <c r="K60" s="332">
        <f>IFERROR(VLOOKUP(TEXT(O60,"0"),CONDUCTORES!$A$3:$G$100,7,0),"")</f>
        <v/>
      </c>
      <c r="L60" s="245" t="n">
        <v>20.25</v>
      </c>
      <c r="M60" s="245" t="n">
        <v>7</v>
      </c>
      <c r="N60" s="333">
        <f>IFERROR(IF(L60*M60=0,"",L60*M60),"")</f>
        <v/>
      </c>
      <c r="O60" s="280" t="n"/>
      <c r="P60" s="332">
        <f>IFERROR(VLOOKUP(TEXT(O60,"0"),CONDUCTORES!$A$3:$G$100,2,0),"")</f>
        <v/>
      </c>
      <c r="Q60" s="332">
        <f>IFERROR(VLOOKUP(TEXT(O60,"0"),CONDUCTORES!$A$3:$H$100,6,0),"")</f>
        <v/>
      </c>
      <c r="R60" s="334" t="n"/>
      <c r="S60" s="302" t="inlineStr">
        <is>
          <t>R104,K359</t>
        </is>
      </c>
      <c r="T60" s="301" t="n"/>
      <c r="U60" s="334" t="n"/>
      <c r="V60" s="301" t="n"/>
      <c r="W60" s="301" t="n"/>
      <c r="X60" s="301" t="n"/>
      <c r="Y60" s="280" t="n"/>
    </row>
    <row r="61" ht="15.75" customHeight="1" s="195">
      <c r="A61" s="241" t="n">
        <v>56</v>
      </c>
      <c r="B61" s="305" t="inlineStr">
        <is>
          <t xml:space="preserve"> </t>
        </is>
      </c>
      <c r="C61" s="241" t="inlineStr">
        <is>
          <t>REGION</t>
        </is>
      </c>
      <c r="D61" s="305" t="inlineStr">
        <is>
          <t>CLAVO BUSTOS AITANA PAULETT</t>
        </is>
      </c>
      <c r="E61" s="241" t="inlineStr">
        <is>
          <t>DNI</t>
        </is>
      </c>
      <c r="F61" s="241" t="inlineStr">
        <is>
          <t>94401732</t>
        </is>
      </c>
      <c r="G61" s="336" t="n">
        <v>46016</v>
      </c>
      <c r="H61" s="241" t="inlineStr">
        <is>
          <t>4904</t>
        </is>
      </c>
      <c r="I61" s="332">
        <f>IFERROR(VLOOKUP(TEXT(H61,"0"),IPRESS!$A$3:$B$212,2,0),"")</f>
        <v/>
      </c>
      <c r="J61" s="241" t="inlineStr">
        <is>
          <t>4838</t>
        </is>
      </c>
      <c r="K61" s="332">
        <f>IFERROR(VLOOKUP(TEXT(O61,"0"),CONDUCTORES!$A$3:$G$100,7,0),"")</f>
        <v/>
      </c>
      <c r="L61" s="239" t="n">
        <v>18.18</v>
      </c>
      <c r="M61" s="239" t="n">
        <v>6</v>
      </c>
      <c r="N61" s="333">
        <f>IFERROR(IF(L61*M61=0,"",L61*M61),"")</f>
        <v/>
      </c>
      <c r="O61" s="334" t="n"/>
      <c r="P61" s="332">
        <f>IFERROR(VLOOKUP(TEXT(O61,"0"),CONDUCTORES!$A$3:$G$100,2,0),"")</f>
        <v/>
      </c>
      <c r="Q61" s="332">
        <f>IFERROR(VLOOKUP(TEXT(O61,"0"),CONDUCTORES!$A$3:$H$100,6,0),"")</f>
        <v/>
      </c>
      <c r="R61" s="280" t="n"/>
      <c r="S61" s="305" t="inlineStr">
        <is>
          <t>J189</t>
        </is>
      </c>
      <c r="T61" s="241" t="n"/>
      <c r="U61" s="280" t="n"/>
      <c r="V61" s="241" t="n"/>
      <c r="W61" s="241" t="n"/>
      <c r="X61" s="241" t="n"/>
      <c r="Y61" s="280" t="n"/>
    </row>
    <row r="62" ht="15.75" customHeight="1" s="195">
      <c r="A62" s="301" t="n">
        <v>57</v>
      </c>
      <c r="B62" s="302" t="inlineStr">
        <is>
          <t>0000084</t>
        </is>
      </c>
      <c r="C62" s="301" t="inlineStr">
        <is>
          <t>REGION</t>
        </is>
      </c>
      <c r="D62" s="302" t="inlineStr">
        <is>
          <t>LOPEZ VELAYSOSA ELIANITA</t>
        </is>
      </c>
      <c r="E62" s="301" t="inlineStr">
        <is>
          <t>DNI</t>
        </is>
      </c>
      <c r="F62" s="301" t="inlineStr">
        <is>
          <t>75422301</t>
        </is>
      </c>
      <c r="G62" s="331" t="n">
        <v>46008</v>
      </c>
      <c r="H62" s="301" t="inlineStr">
        <is>
          <t>4866</t>
        </is>
      </c>
      <c r="I62" s="332">
        <f>IFERROR(VLOOKUP(TEXT(H62,"0"),IPRESS!$A$3:$B$212,2,0),"")</f>
        <v/>
      </c>
      <c r="J62" s="301" t="inlineStr">
        <is>
          <t>4838</t>
        </is>
      </c>
      <c r="K62" s="332">
        <f>IFERROR(VLOOKUP(TEXT(O62,"0"),CONDUCTORES!$A$3:$G$100,7,0),"")</f>
        <v/>
      </c>
      <c r="L62" s="245" t="n">
        <v>18.18</v>
      </c>
      <c r="M62" s="245" t="n">
        <v>4</v>
      </c>
      <c r="N62" s="333">
        <f>IFERROR(IF(L62*M62=0,"",L62*M62),"")</f>
        <v/>
      </c>
      <c r="O62" s="280" t="n"/>
      <c r="P62" s="332">
        <f>IFERROR(VLOOKUP(TEXT(O62,"0"),CONDUCTORES!$A$3:$G$100,2,0),"")</f>
        <v/>
      </c>
      <c r="Q62" s="332">
        <f>IFERROR(VLOOKUP(TEXT(O62,"0"),CONDUCTORES!$A$3:$H$100,6,0),"")</f>
        <v/>
      </c>
      <c r="R62" s="334" t="n"/>
      <c r="S62" s="302" t="inlineStr">
        <is>
          <t>O200</t>
        </is>
      </c>
      <c r="T62" s="301" t="n"/>
      <c r="U62" s="334" t="n"/>
      <c r="V62" s="301" t="n"/>
      <c r="W62" s="301" t="n"/>
      <c r="X62" s="301" t="n"/>
      <c r="Y62" s="280" t="n"/>
    </row>
    <row r="63" ht="15.75" customHeight="1" s="195">
      <c r="A63" s="241" t="n">
        <v>58</v>
      </c>
      <c r="B63" s="305" t="inlineStr">
        <is>
          <t>0000085</t>
        </is>
      </c>
      <c r="C63" s="241" t="inlineStr">
        <is>
          <t>REGION</t>
        </is>
      </c>
      <c r="D63" s="305" t="inlineStr">
        <is>
          <t>MENDOZA DIAPIZ CAROLINA</t>
        </is>
      </c>
      <c r="E63" s="241" t="inlineStr">
        <is>
          <t>DNI</t>
        </is>
      </c>
      <c r="F63" s="241" t="inlineStr">
        <is>
          <t>40259423</t>
        </is>
      </c>
      <c r="G63" s="336" t="n">
        <v>46009</v>
      </c>
      <c r="H63" s="241" t="inlineStr">
        <is>
          <t>4866</t>
        </is>
      </c>
      <c r="I63" s="332">
        <f>IFERROR(VLOOKUP(TEXT(H63,"0"),IPRESS!$A$3:$B$212,2,0),"")</f>
        <v/>
      </c>
      <c r="J63" s="241" t="inlineStr">
        <is>
          <t>4838</t>
        </is>
      </c>
      <c r="K63" s="332">
        <f>IFERROR(VLOOKUP(TEXT(O63,"0"),CONDUCTORES!$A$3:$G$100,7,0),"")</f>
        <v/>
      </c>
      <c r="L63" s="239" t="n">
        <v>18.18</v>
      </c>
      <c r="M63" s="239" t="n">
        <v>4</v>
      </c>
      <c r="N63" s="333">
        <f>IFERROR(IF(L63*M63=0,"",L63*M63),"")</f>
        <v/>
      </c>
      <c r="O63" s="334" t="n"/>
      <c r="P63" s="332">
        <f>IFERROR(VLOOKUP(TEXT(O63,"0"),CONDUCTORES!$A$3:$G$100,2,0),"")</f>
        <v/>
      </c>
      <c r="Q63" s="332">
        <f>IFERROR(VLOOKUP(TEXT(O63,"0"),CONDUCTORES!$A$3:$H$100,6,0),"")</f>
        <v/>
      </c>
      <c r="R63" s="280" t="n"/>
      <c r="S63" s="305" t="inlineStr">
        <is>
          <t>K359</t>
        </is>
      </c>
      <c r="T63" s="241" t="n"/>
      <c r="U63" s="280" t="n"/>
      <c r="V63" s="241" t="n"/>
      <c r="W63" s="241" t="n"/>
      <c r="X63" s="241" t="n"/>
      <c r="Y63" s="280" t="n"/>
    </row>
    <row r="64" ht="15.75" customHeight="1" s="195">
      <c r="A64" s="301" t="n">
        <v>59</v>
      </c>
      <c r="B64" s="302" t="inlineStr">
        <is>
          <t>0000086</t>
        </is>
      </c>
      <c r="C64" s="301" t="inlineStr">
        <is>
          <t>REGION</t>
        </is>
      </c>
      <c r="D64" s="302" t="inlineStr">
        <is>
          <t xml:space="preserve">VENTURA BOBADILLA CLEMENTINA </t>
        </is>
      </c>
      <c r="E64" s="301" t="inlineStr">
        <is>
          <t>DNI</t>
        </is>
      </c>
      <c r="F64" s="301" t="inlineStr">
        <is>
          <t>47070501</t>
        </is>
      </c>
      <c r="G64" s="331" t="n">
        <v>46010</v>
      </c>
      <c r="H64" s="301" t="inlineStr">
        <is>
          <t>4866</t>
        </is>
      </c>
      <c r="I64" s="332">
        <f>IFERROR(VLOOKUP(TEXT(H64,"0"),IPRESS!$A$3:$B$212,2,0),"")</f>
        <v/>
      </c>
      <c r="J64" s="301" t="inlineStr">
        <is>
          <t>4838</t>
        </is>
      </c>
      <c r="K64" s="332">
        <f>IFERROR(VLOOKUP(TEXT(O64,"0"),CONDUCTORES!$A$3:$G$100,7,0),"")</f>
        <v/>
      </c>
      <c r="L64" s="245" t="n">
        <v>18.18</v>
      </c>
      <c r="M64" s="245" t="n">
        <v>4</v>
      </c>
      <c r="N64" s="333">
        <f>IFERROR(IF(L64*M64=0,"",L64*M64),"")</f>
        <v/>
      </c>
      <c r="O64" s="280" t="n"/>
      <c r="P64" s="332">
        <f>IFERROR(VLOOKUP(TEXT(O64,"0"),CONDUCTORES!$A$3:$G$100,2,0),"")</f>
        <v/>
      </c>
      <c r="Q64" s="332">
        <f>IFERROR(VLOOKUP(TEXT(O64,"0"),CONDUCTORES!$A$3:$H$100,6,0),"")</f>
        <v/>
      </c>
      <c r="R64" s="334" t="n"/>
      <c r="S64" s="302" t="inlineStr">
        <is>
          <t>S720</t>
        </is>
      </c>
      <c r="T64" s="301" t="n"/>
      <c r="U64" s="334" t="n"/>
      <c r="V64" s="301" t="n"/>
      <c r="W64" s="301" t="n"/>
      <c r="X64" s="301" t="n"/>
      <c r="Y64" s="280" t="n"/>
    </row>
    <row r="65" ht="15.75" customHeight="1" s="195">
      <c r="A65" s="241" t="n">
        <v>60</v>
      </c>
      <c r="B65" s="305" t="inlineStr">
        <is>
          <t>0000083</t>
        </is>
      </c>
      <c r="C65" s="241" t="inlineStr">
        <is>
          <t>REGION</t>
        </is>
      </c>
      <c r="D65" s="305" t="inlineStr">
        <is>
          <t>INGA TORREJON CELENY</t>
        </is>
      </c>
      <c r="E65" s="241" t="inlineStr">
        <is>
          <t>DNI</t>
        </is>
      </c>
      <c r="F65" s="241" t="inlineStr">
        <is>
          <t>73348816</t>
        </is>
      </c>
      <c r="G65" s="336" t="n">
        <v>45997</v>
      </c>
      <c r="H65" s="241" t="inlineStr">
        <is>
          <t>4866</t>
        </is>
      </c>
      <c r="I65" s="332">
        <f>IFERROR(VLOOKUP(TEXT(H65,"0"),IPRESS!$A$3:$B$212,2,0),"")</f>
        <v/>
      </c>
      <c r="J65" s="241" t="inlineStr">
        <is>
          <t>4838</t>
        </is>
      </c>
      <c r="K65" s="332">
        <f>IFERROR(VLOOKUP(TEXT(O65,"0"),CONDUCTORES!$A$3:$G$100,7,0),"")</f>
        <v/>
      </c>
      <c r="L65" s="239" t="n">
        <v>18.18</v>
      </c>
      <c r="M65" s="239" t="n">
        <v>4</v>
      </c>
      <c r="N65" s="333">
        <f>IFERROR(IF(L65*M65=0,"",L65*M65),"")</f>
        <v/>
      </c>
      <c r="O65" s="334" t="n"/>
      <c r="P65" s="332">
        <f>IFERROR(VLOOKUP(TEXT(O65,"0"),CONDUCTORES!$A$3:$G$100,2,0),"")</f>
        <v/>
      </c>
      <c r="Q65" s="332">
        <f>IFERROR(VLOOKUP(TEXT(O65,"0"),CONDUCTORES!$A$3:$H$100,6,0),"")</f>
        <v/>
      </c>
      <c r="R65" s="280" t="n"/>
      <c r="S65" s="305" t="inlineStr">
        <is>
          <t>S524</t>
        </is>
      </c>
      <c r="T65" s="241" t="n"/>
      <c r="U65" s="280" t="n"/>
      <c r="V65" s="241" t="n"/>
      <c r="W65" s="241" t="n"/>
      <c r="X65" s="241" t="n"/>
      <c r="Y65" s="280" t="n"/>
    </row>
    <row r="66" ht="15.75" customHeight="1" s="195">
      <c r="A66" s="301" t="n">
        <v>61</v>
      </c>
      <c r="B66" s="302" t="inlineStr">
        <is>
          <t>0000282</t>
        </is>
      </c>
      <c r="C66" s="301" t="inlineStr">
        <is>
          <t>REGION</t>
        </is>
      </c>
      <c r="D66" s="302" t="inlineStr">
        <is>
          <t>OYARCE VALVERDE FRAN NOILER</t>
        </is>
      </c>
      <c r="E66" s="301" t="inlineStr">
        <is>
          <t>DNI</t>
        </is>
      </c>
      <c r="F66" s="301" t="inlineStr">
        <is>
          <t>76963669</t>
        </is>
      </c>
      <c r="G66" s="331" t="n">
        <v>46018</v>
      </c>
      <c r="H66" s="301" t="inlineStr">
        <is>
          <t>4950</t>
        </is>
      </c>
      <c r="I66" s="332">
        <f>IFERROR(VLOOKUP(TEXT(H66,"0"),IPRESS!$A$3:$B$212,2,0),"")</f>
        <v/>
      </c>
      <c r="J66" s="301" t="inlineStr">
        <is>
          <t>4838</t>
        </is>
      </c>
      <c r="K66" s="332">
        <f>IFERROR(VLOOKUP(TEXT(O66,"0"),CONDUCTORES!$A$3:$G$100,7,0),"")</f>
        <v/>
      </c>
      <c r="L66" s="245" t="n">
        <v>20.25</v>
      </c>
      <c r="M66" s="245" t="n">
        <v>7</v>
      </c>
      <c r="N66" s="333">
        <f>IFERROR(IF(L66*M66=0,"",L66*M66),"")</f>
        <v/>
      </c>
      <c r="O66" s="280" t="n"/>
      <c r="P66" s="332">
        <f>IFERROR(VLOOKUP(TEXT(O66,"0"),CONDUCTORES!$A$3:$G$100,2,0),"")</f>
        <v/>
      </c>
      <c r="Q66" s="332">
        <f>IFERROR(VLOOKUP(TEXT(O66,"0"),CONDUCTORES!$A$3:$H$100,6,0),"")</f>
        <v/>
      </c>
      <c r="R66" s="334" t="n"/>
      <c r="S66" s="302" t="inlineStr">
        <is>
          <t>K359,K750,Z888</t>
        </is>
      </c>
      <c r="T66" s="301" t="n"/>
      <c r="U66" s="334" t="n"/>
      <c r="V66" s="301" t="n"/>
      <c r="W66" s="301" t="n"/>
      <c r="X66" s="301" t="n"/>
      <c r="Y66" s="280" t="n"/>
    </row>
    <row r="67" ht="15.75" customHeight="1" s="195">
      <c r="A67" s="241" t="n">
        <v>62</v>
      </c>
      <c r="B67" s="305" t="inlineStr">
        <is>
          <t>0000283</t>
        </is>
      </c>
      <c r="C67" s="241" t="inlineStr">
        <is>
          <t>REGION</t>
        </is>
      </c>
      <c r="D67" s="305" t="inlineStr">
        <is>
          <t>TEFUR GRANDEZ GERARDO SEGUNDO</t>
        </is>
      </c>
      <c r="E67" s="241" t="inlineStr">
        <is>
          <t>DNI</t>
        </is>
      </c>
      <c r="F67" s="241" t="inlineStr">
        <is>
          <t>33941430</t>
        </is>
      </c>
      <c r="G67" s="336" t="n">
        <v>46022</v>
      </c>
      <c r="H67" s="241" t="inlineStr">
        <is>
          <t>4950</t>
        </is>
      </c>
      <c r="I67" s="332">
        <f>IFERROR(VLOOKUP(TEXT(H67,"0"),IPRESS!$A$3:$B$212,2,0),"")</f>
        <v/>
      </c>
      <c r="J67" s="241" t="inlineStr">
        <is>
          <t>4838</t>
        </is>
      </c>
      <c r="K67" s="332">
        <f>IFERROR(VLOOKUP(TEXT(O67,"0"),CONDUCTORES!$A$3:$G$100,7,0),"")</f>
        <v/>
      </c>
      <c r="L67" s="239" t="n">
        <v>20.25</v>
      </c>
      <c r="M67" s="239" t="n">
        <v>10</v>
      </c>
      <c r="N67" s="333">
        <f>IFERROR(IF(L67*M67=0,"",L67*M67),"")</f>
        <v/>
      </c>
      <c r="O67" s="334" t="n"/>
      <c r="P67" s="332">
        <f>IFERROR(VLOOKUP(TEXT(O67,"0"),CONDUCTORES!$A$3:$G$100,2,0),"")</f>
        <v/>
      </c>
      <c r="Q67" s="332">
        <f>IFERROR(VLOOKUP(TEXT(O67,"0"),CONDUCTORES!$A$3:$H$100,6,0),"")</f>
        <v/>
      </c>
      <c r="R67" s="280" t="n"/>
      <c r="S67" s="305" t="inlineStr">
        <is>
          <t>A419,N390,J189</t>
        </is>
      </c>
      <c r="T67" s="241" t="inlineStr">
        <is>
          <t>DEVOLUCION AL C.S. OMIA</t>
        </is>
      </c>
      <c r="U67" s="280" t="n"/>
      <c r="V67" s="241" t="n"/>
      <c r="W67" s="241" t="n"/>
      <c r="X67" s="241" t="n"/>
      <c r="Y67" s="280" t="n"/>
    </row>
    <row r="68" ht="15.75" customHeight="1" s="195">
      <c r="A68" s="301" t="n">
        <v>63</v>
      </c>
      <c r="B68" s="302" t="inlineStr">
        <is>
          <t>0000024</t>
        </is>
      </c>
      <c r="C68" s="301" t="inlineStr">
        <is>
          <t>REGION</t>
        </is>
      </c>
      <c r="D68" s="302" t="inlineStr">
        <is>
          <t>REVILLA CAMAN ASTRID THALIA</t>
        </is>
      </c>
      <c r="E68" s="301" t="inlineStr">
        <is>
          <t>DNI</t>
        </is>
      </c>
      <c r="F68" s="301" t="inlineStr">
        <is>
          <t>92089239</t>
        </is>
      </c>
      <c r="G68" s="331" t="n">
        <v>45994</v>
      </c>
      <c r="H68" s="301" t="inlineStr">
        <is>
          <t>4887</t>
        </is>
      </c>
      <c r="I68" s="332">
        <f>IFERROR(VLOOKUP(TEXT(H68,"0"),IPRESS!$A$3:$B$212,2,0),"")</f>
        <v/>
      </c>
      <c r="J68" s="301" t="inlineStr">
        <is>
          <t>4838</t>
        </is>
      </c>
      <c r="K68" s="332">
        <f>IFERROR(VLOOKUP(TEXT(O68,"0"),CONDUCTORES!$A$3:$G$100,7,0),"")</f>
        <v/>
      </c>
      <c r="L68" s="245" t="n">
        <v>18.18</v>
      </c>
      <c r="M68" s="245" t="n">
        <v>10</v>
      </c>
      <c r="N68" s="333">
        <f>IFERROR(IF(L68*M68=0,"",L68*M68),"")</f>
        <v/>
      </c>
      <c r="O68" s="280" t="n"/>
      <c r="P68" s="332">
        <f>IFERROR(VLOOKUP(TEXT(O68,"0"),CONDUCTORES!$A$3:$G$100,2,0),"")</f>
        <v/>
      </c>
      <c r="Q68" s="332">
        <f>IFERROR(VLOOKUP(TEXT(O68,"0"),CONDUCTORES!$A$3:$H$100,6,0),"")</f>
        <v/>
      </c>
      <c r="R68" s="334" t="n"/>
      <c r="S68" s="302" t="inlineStr">
        <is>
          <t>S429</t>
        </is>
      </c>
      <c r="T68" s="301" t="n"/>
      <c r="U68" s="334" t="n"/>
      <c r="V68" s="301" t="n"/>
      <c r="W68" s="301" t="n"/>
      <c r="X68" s="301" t="n"/>
      <c r="Y68" s="280" t="n"/>
    </row>
    <row r="69" ht="15.75" customHeight="1" s="195">
      <c r="A69" s="241" t="n">
        <v>64</v>
      </c>
      <c r="B69" s="305" t="inlineStr">
        <is>
          <t>0000025</t>
        </is>
      </c>
      <c r="C69" s="241" t="inlineStr">
        <is>
          <t>REGION</t>
        </is>
      </c>
      <c r="D69" s="305" t="inlineStr">
        <is>
          <t>YNGA MAS JHISELA</t>
        </is>
      </c>
      <c r="E69" s="241" t="inlineStr">
        <is>
          <t>DNI</t>
        </is>
      </c>
      <c r="F69" s="241" t="inlineStr">
        <is>
          <t>72803478</t>
        </is>
      </c>
      <c r="G69" s="336" t="n">
        <v>46012</v>
      </c>
      <c r="H69" s="241" t="inlineStr">
        <is>
          <t>4887</t>
        </is>
      </c>
      <c r="I69" s="332">
        <f>IFERROR(VLOOKUP(TEXT(H69,"0"),IPRESS!$A$3:$B$212,2,0),"")</f>
        <v/>
      </c>
      <c r="J69" s="241" t="inlineStr">
        <is>
          <t>4838</t>
        </is>
      </c>
      <c r="K69" s="332">
        <f>IFERROR(VLOOKUP(TEXT(O69,"0"),CONDUCTORES!$A$3:$G$100,7,0),"")</f>
        <v/>
      </c>
      <c r="L69" s="239" t="n">
        <v>18.18</v>
      </c>
      <c r="M69" s="239" t="n">
        <v>10</v>
      </c>
      <c r="N69" s="333">
        <f>IFERROR(IF(L69*M69=0,"",L69*M69),"")</f>
        <v/>
      </c>
      <c r="O69" s="334" t="n"/>
      <c r="P69" s="332">
        <f>IFERROR(VLOOKUP(TEXT(O69,"0"),CONDUCTORES!$A$3:$G$100,2,0),"")</f>
        <v/>
      </c>
      <c r="Q69" s="332">
        <f>IFERROR(VLOOKUP(TEXT(O69,"0"),CONDUCTORES!$A$3:$H$100,6,0),"")</f>
        <v/>
      </c>
      <c r="R69" s="280" t="n"/>
      <c r="S69" s="305" t="inlineStr">
        <is>
          <t>Z359,O063</t>
        </is>
      </c>
      <c r="T69" s="241" t="n"/>
      <c r="U69" s="280" t="n"/>
      <c r="V69" s="241" t="n"/>
      <c r="W69" s="241" t="n"/>
      <c r="X69" s="241" t="n"/>
      <c r="Y69" s="280" t="n"/>
    </row>
    <row r="70" ht="15.75" customHeight="1" s="195">
      <c r="A70" s="301" t="n">
        <v>65</v>
      </c>
      <c r="B70" s="302" t="inlineStr">
        <is>
          <t>0000026</t>
        </is>
      </c>
      <c r="C70" s="301" t="inlineStr">
        <is>
          <t>REGION</t>
        </is>
      </c>
      <c r="D70" s="302" t="inlineStr">
        <is>
          <t>YNGA MAS JHISELA</t>
        </is>
      </c>
      <c r="E70" s="301" t="inlineStr">
        <is>
          <t>DNI</t>
        </is>
      </c>
      <c r="F70" s="301" t="inlineStr">
        <is>
          <t>72803478</t>
        </is>
      </c>
      <c r="G70" s="331" t="n">
        <v>46017</v>
      </c>
      <c r="H70" s="301" t="inlineStr">
        <is>
          <t>4887</t>
        </is>
      </c>
      <c r="I70" s="332">
        <f>IFERROR(VLOOKUP(TEXT(H70,"0"),IPRESS!$A$3:$B$212,2,0),"")</f>
        <v/>
      </c>
      <c r="J70" s="301" t="inlineStr">
        <is>
          <t>4838</t>
        </is>
      </c>
      <c r="K70" s="332">
        <f>IFERROR(VLOOKUP(TEXT(O70,"0"),CONDUCTORES!$A$3:$G$100,7,0),"")</f>
        <v/>
      </c>
      <c r="L70" s="245" t="n">
        <v>18.18</v>
      </c>
      <c r="M70" s="245" t="n">
        <v>10</v>
      </c>
      <c r="N70" s="333">
        <f>IFERROR(IF(L70*M70=0,"",L70*M70),"")</f>
        <v/>
      </c>
      <c r="O70" s="280" t="n"/>
      <c r="P70" s="332">
        <f>IFERROR(VLOOKUP(TEXT(O70,"0"),CONDUCTORES!$A$3:$G$100,2,0),"")</f>
        <v/>
      </c>
      <c r="Q70" s="332">
        <f>IFERROR(VLOOKUP(TEXT(O70,"0"),CONDUCTORES!$A$3:$H$100,6,0),"")</f>
        <v/>
      </c>
      <c r="R70" s="334" t="n"/>
      <c r="S70" s="302" t="inlineStr">
        <is>
          <t>Z359,O063</t>
        </is>
      </c>
      <c r="T70" s="301" t="n"/>
      <c r="U70" s="334" t="n"/>
      <c r="V70" s="301" t="n"/>
      <c r="W70" s="301" t="n"/>
      <c r="X70" s="301" t="n"/>
      <c r="Y70" s="280" t="n"/>
    </row>
    <row r="71" ht="15.75" customHeight="1" s="195">
      <c r="A71" s="241" t="n">
        <v>66</v>
      </c>
      <c r="B71" s="305" t="inlineStr">
        <is>
          <t>0000011</t>
        </is>
      </c>
      <c r="C71" s="241" t="inlineStr">
        <is>
          <t>REGION</t>
        </is>
      </c>
      <c r="D71" s="305" t="inlineStr">
        <is>
          <t>CHAVEZ CHUQUIPINDO CLARIBEL</t>
        </is>
      </c>
      <c r="E71" s="241" t="inlineStr">
        <is>
          <t>DNI</t>
        </is>
      </c>
      <c r="F71" s="241" t="inlineStr">
        <is>
          <t>73540942</t>
        </is>
      </c>
      <c r="G71" s="336" t="n">
        <v>46005</v>
      </c>
      <c r="H71" s="241" t="inlineStr">
        <is>
          <t>4895</t>
        </is>
      </c>
      <c r="I71" s="332">
        <f>IFERROR(VLOOKUP(TEXT(H71,"0"),IPRESS!$A$3:$B$212,2,0),"")</f>
        <v/>
      </c>
      <c r="J71" s="241" t="inlineStr">
        <is>
          <t>4838</t>
        </is>
      </c>
      <c r="K71" s="332">
        <f>IFERROR(VLOOKUP(TEXT(O71,"0"),CONDUCTORES!$A$3:$G$100,7,0),"")</f>
        <v/>
      </c>
      <c r="L71" s="239" t="n">
        <v>18.18</v>
      </c>
      <c r="M71" s="239" t="n">
        <v>7</v>
      </c>
      <c r="N71" s="333">
        <f>IFERROR(IF(L71*M71=0,"",L71*M71),"")</f>
        <v/>
      </c>
      <c r="O71" s="334" t="n"/>
      <c r="P71" s="332">
        <f>IFERROR(VLOOKUP(TEXT(O71,"0"),CONDUCTORES!$A$3:$G$100,2,0),"")</f>
        <v/>
      </c>
      <c r="Q71" s="332">
        <f>IFERROR(VLOOKUP(TEXT(O71,"0"),CONDUCTORES!$A$3:$H$100,6,0),"")</f>
        <v/>
      </c>
      <c r="R71" s="280" t="n"/>
      <c r="S71" s="305" t="inlineStr">
        <is>
          <t>O268</t>
        </is>
      </c>
      <c r="T71" s="241" t="n"/>
      <c r="U71" s="280" t="n"/>
      <c r="V71" s="241" t="n"/>
      <c r="W71" s="241" t="n"/>
      <c r="X71" s="241" t="n"/>
      <c r="Y71" s="280" t="n"/>
    </row>
    <row r="72" ht="15.75" customHeight="1" s="195">
      <c r="A72" s="301" t="n">
        <v>67</v>
      </c>
      <c r="B72" s="302" t="inlineStr">
        <is>
          <t>0000026</t>
        </is>
      </c>
      <c r="C72" s="301" t="inlineStr">
        <is>
          <t>REGION</t>
        </is>
      </c>
      <c r="D72" s="302" t="inlineStr">
        <is>
          <t>RODRIGUEZ URIARTE ESTHER</t>
        </is>
      </c>
      <c r="E72" s="301" t="inlineStr">
        <is>
          <t>DNI</t>
        </is>
      </c>
      <c r="F72" s="301" t="inlineStr">
        <is>
          <t>33784097</t>
        </is>
      </c>
      <c r="G72" s="331" t="n">
        <v>45995</v>
      </c>
      <c r="H72" s="301" t="inlineStr">
        <is>
          <t>4874</t>
        </is>
      </c>
      <c r="I72" s="332">
        <f>IFERROR(VLOOKUP(TEXT(H72,"0"),IPRESS!$A$3:$B$212,2,0),"")</f>
        <v/>
      </c>
      <c r="J72" s="301" t="inlineStr">
        <is>
          <t>4838</t>
        </is>
      </c>
      <c r="K72" s="332">
        <f>IFERROR(VLOOKUP(TEXT(O72,"0"),CONDUCTORES!$A$3:$G$100,7,0),"")</f>
        <v/>
      </c>
      <c r="L72" s="245" t="n">
        <v>18.18</v>
      </c>
      <c r="M72" s="245" t="n">
        <v>25</v>
      </c>
      <c r="N72" s="333">
        <f>IFERROR(IF(L72*M72=0,"",L72*M72),"")</f>
        <v/>
      </c>
      <c r="O72" s="280" t="n"/>
      <c r="P72" s="332">
        <f>IFERROR(VLOOKUP(TEXT(O72,"0"),CONDUCTORES!$A$3:$G$100,2,0),"")</f>
        <v/>
      </c>
      <c r="Q72" s="332">
        <f>IFERROR(VLOOKUP(TEXT(O72,"0"),CONDUCTORES!$A$3:$H$100,6,0),"")</f>
        <v/>
      </c>
      <c r="R72" s="334" t="n"/>
      <c r="S72" s="302" t="inlineStr">
        <is>
          <t>K359</t>
        </is>
      </c>
      <c r="T72" s="301" t="n"/>
      <c r="U72" s="334" t="n"/>
      <c r="V72" s="301" t="n"/>
      <c r="W72" s="301" t="n"/>
      <c r="X72" s="301" t="n"/>
      <c r="Y72" s="280" t="n"/>
    </row>
    <row r="73" ht="15.75" customHeight="1" s="195">
      <c r="A73" s="241" t="n">
        <v>68</v>
      </c>
      <c r="B73" s="305" t="inlineStr">
        <is>
          <t>0000027</t>
        </is>
      </c>
      <c r="C73" s="241" t="inlineStr">
        <is>
          <t>REGION</t>
        </is>
      </c>
      <c r="D73" s="305" t="inlineStr">
        <is>
          <t>CHALAS GUERRA MARIA JESUS</t>
        </is>
      </c>
      <c r="E73" s="241" t="inlineStr">
        <is>
          <t>DNI</t>
        </is>
      </c>
      <c r="F73" s="241" t="inlineStr">
        <is>
          <t>81418138</t>
        </is>
      </c>
      <c r="G73" s="336" t="n">
        <v>45997</v>
      </c>
      <c r="H73" s="241" t="inlineStr">
        <is>
          <t>4874</t>
        </is>
      </c>
      <c r="I73" s="332">
        <f>IFERROR(VLOOKUP(TEXT(H73,"0"),IPRESS!$A$3:$B$212,2,0),"")</f>
        <v/>
      </c>
      <c r="J73" s="241" t="inlineStr">
        <is>
          <t>5125</t>
        </is>
      </c>
      <c r="K73" s="332">
        <f>IFERROR(VLOOKUP(TEXT(O73,"0"),CONDUCTORES!$A$3:$G$100,7,0),"")</f>
        <v/>
      </c>
      <c r="L73" s="239" t="n">
        <v>18.18</v>
      </c>
      <c r="M73" s="239" t="n">
        <v>20</v>
      </c>
      <c r="N73" s="333">
        <f>IFERROR(IF(L73*M73=0,"",L73*M73),"")</f>
        <v/>
      </c>
      <c r="O73" s="334" t="n"/>
      <c r="P73" s="332">
        <f>IFERROR(VLOOKUP(TEXT(O73,"0"),CONDUCTORES!$A$3:$G$100,2,0),"")</f>
        <v/>
      </c>
      <c r="Q73" s="332">
        <f>IFERROR(VLOOKUP(TEXT(O73,"0"),CONDUCTORES!$A$3:$H$100,6,0),"")</f>
        <v/>
      </c>
      <c r="R73" s="280" t="n"/>
      <c r="S73" s="305" t="inlineStr">
        <is>
          <t>J459,J960</t>
        </is>
      </c>
      <c r="T73" s="241" t="n"/>
      <c r="U73" s="280" t="n"/>
      <c r="V73" s="241" t="n"/>
      <c r="W73" s="241" t="n"/>
      <c r="X73" s="241" t="n"/>
      <c r="Y73" s="280" t="n"/>
    </row>
    <row r="74" ht="15.75" customHeight="1" s="195">
      <c r="A74" s="301" t="n">
        <v>69</v>
      </c>
      <c r="B74" s="302" t="inlineStr">
        <is>
          <t>0000065</t>
        </is>
      </c>
      <c r="C74" s="301" t="inlineStr">
        <is>
          <t>REGION</t>
        </is>
      </c>
      <c r="D74" s="302" t="inlineStr">
        <is>
          <t>GRANDEZ CUIPAL EUFEMIA</t>
        </is>
      </c>
      <c r="E74" s="301" t="inlineStr">
        <is>
          <t>DNI</t>
        </is>
      </c>
      <c r="F74" s="301" t="inlineStr">
        <is>
          <t>33781437</t>
        </is>
      </c>
      <c r="G74" s="331" t="n">
        <v>46009</v>
      </c>
      <c r="H74" s="301" t="inlineStr">
        <is>
          <t>4850</t>
        </is>
      </c>
      <c r="I74" s="332">
        <f>IFERROR(VLOOKUP(TEXT(H74,"0"),IPRESS!$A$3:$B$212,2,0),"")</f>
        <v/>
      </c>
      <c r="J74" s="301" t="inlineStr">
        <is>
          <t>4838</t>
        </is>
      </c>
      <c r="K74" s="332">
        <f>IFERROR(VLOOKUP(TEXT(O74,"0"),CONDUCTORES!$A$3:$G$100,7,0),"")</f>
        <v/>
      </c>
      <c r="L74" s="245" t="n">
        <v>18.18</v>
      </c>
      <c r="M74" s="245" t="n">
        <v>4</v>
      </c>
      <c r="N74" s="333">
        <f>IFERROR(IF(L74*M74=0,"",L74*M74),"")</f>
        <v/>
      </c>
      <c r="O74" s="280" t="n"/>
      <c r="P74" s="332">
        <f>IFERROR(VLOOKUP(TEXT(O74,"0"),CONDUCTORES!$A$3:$G$100,2,0),"")</f>
        <v/>
      </c>
      <c r="Q74" s="332">
        <f>IFERROR(VLOOKUP(TEXT(O74,"0"),CONDUCTORES!$A$3:$H$100,6,0),"")</f>
        <v/>
      </c>
      <c r="R74" s="334" t="n"/>
      <c r="S74" s="302" t="inlineStr">
        <is>
          <t>S523</t>
        </is>
      </c>
      <c r="T74" s="301" t="n"/>
      <c r="U74" s="334" t="n"/>
      <c r="V74" s="301" t="n"/>
      <c r="W74" s="301" t="n"/>
      <c r="X74" s="301" t="n"/>
      <c r="Y74" s="280" t="n"/>
    </row>
    <row r="75" ht="15.75" customHeight="1" s="195">
      <c r="A75" s="241" t="n">
        <v>70</v>
      </c>
      <c r="B75" s="305" t="inlineStr">
        <is>
          <t>0000066</t>
        </is>
      </c>
      <c r="C75" s="241" t="inlineStr">
        <is>
          <t>REGION</t>
        </is>
      </c>
      <c r="D75" s="305" t="inlineStr">
        <is>
          <t>HUAMAN LLANCA MILAGRITOS</t>
        </is>
      </c>
      <c r="E75" s="241" t="inlineStr">
        <is>
          <t>DNI</t>
        </is>
      </c>
      <c r="F75" s="241" t="inlineStr">
        <is>
          <t>72261583</t>
        </is>
      </c>
      <c r="G75" s="336" t="n">
        <v>46011</v>
      </c>
      <c r="H75" s="241" t="inlineStr">
        <is>
          <t>4850</t>
        </is>
      </c>
      <c r="I75" s="332">
        <f>IFERROR(VLOOKUP(TEXT(H75,"0"),IPRESS!$A$3:$B$212,2,0),"")</f>
        <v/>
      </c>
      <c r="J75" s="241" t="inlineStr">
        <is>
          <t>4838</t>
        </is>
      </c>
      <c r="K75" s="332">
        <f>IFERROR(VLOOKUP(TEXT(O75,"0"),CONDUCTORES!$A$3:$G$100,7,0),"")</f>
        <v/>
      </c>
      <c r="L75" s="239" t="n">
        <v>18.18</v>
      </c>
      <c r="M75" s="239" t="n">
        <v>4</v>
      </c>
      <c r="N75" s="333">
        <f>IFERROR(IF(L75*M75=0,"",L75*M75),"")</f>
        <v/>
      </c>
      <c r="O75" s="334" t="n"/>
      <c r="P75" s="332">
        <f>IFERROR(VLOOKUP(TEXT(O75,"0"),CONDUCTORES!$A$3:$G$100,2,0),"")</f>
        <v/>
      </c>
      <c r="Q75" s="332">
        <f>IFERROR(VLOOKUP(TEXT(O75,"0"),CONDUCTORES!$A$3:$H$100,6,0),"")</f>
        <v/>
      </c>
      <c r="R75" s="280" t="n"/>
      <c r="S75" s="305" t="inlineStr">
        <is>
          <t>O422</t>
        </is>
      </c>
      <c r="T75" s="241" t="n"/>
      <c r="U75" s="280" t="n"/>
      <c r="V75" s="241" t="n"/>
      <c r="W75" s="241" t="n"/>
      <c r="X75" s="241" t="n"/>
      <c r="Y75" s="280" t="n"/>
    </row>
    <row r="76" ht="15.75" customHeight="1" s="195">
      <c r="A76" s="301" t="n">
        <v>71</v>
      </c>
      <c r="B76" s="302" t="inlineStr">
        <is>
          <t>0000067</t>
        </is>
      </c>
      <c r="C76" s="301" t="inlineStr">
        <is>
          <t>REGION</t>
        </is>
      </c>
      <c r="D76" s="302" t="inlineStr">
        <is>
          <t>BARDALES ECHAIZ ELIAM</t>
        </is>
      </c>
      <c r="E76" s="301" t="inlineStr">
        <is>
          <t>DNI</t>
        </is>
      </c>
      <c r="F76" s="301" t="inlineStr">
        <is>
          <t>72240374</t>
        </is>
      </c>
      <c r="G76" s="331" t="n">
        <v>46014</v>
      </c>
      <c r="H76" s="301" t="inlineStr">
        <is>
          <t>4850</t>
        </is>
      </c>
      <c r="I76" s="332">
        <f>IFERROR(VLOOKUP(TEXT(H76,"0"),IPRESS!$A$3:$B$212,2,0),"")</f>
        <v/>
      </c>
      <c r="J76" s="301" t="inlineStr">
        <is>
          <t>4838</t>
        </is>
      </c>
      <c r="K76" s="332">
        <f>IFERROR(VLOOKUP(TEXT(O76,"0"),CONDUCTORES!$A$3:$G$100,7,0),"")</f>
        <v/>
      </c>
      <c r="L76" s="245" t="n">
        <v>18.18</v>
      </c>
      <c r="M76" s="245" t="n">
        <v>4</v>
      </c>
      <c r="N76" s="333">
        <f>IFERROR(IF(L76*M76=0,"",L76*M76),"")</f>
        <v/>
      </c>
      <c r="O76" s="280" t="n"/>
      <c r="P76" s="332">
        <f>IFERROR(VLOOKUP(TEXT(O76,"0"),CONDUCTORES!$A$3:$G$100,2,0),"")</f>
        <v/>
      </c>
      <c r="Q76" s="332">
        <f>IFERROR(VLOOKUP(TEXT(O76,"0"),CONDUCTORES!$A$3:$H$100,6,0),"")</f>
        <v/>
      </c>
      <c r="R76" s="334" t="n"/>
      <c r="S76" s="302" t="inlineStr">
        <is>
          <t>R104,K37X</t>
        </is>
      </c>
      <c r="T76" s="301" t="n"/>
      <c r="U76" s="334" t="n"/>
      <c r="V76" s="301" t="n"/>
      <c r="W76" s="301" t="n"/>
      <c r="X76" s="301" t="n"/>
      <c r="Y76" s="280" t="n"/>
    </row>
    <row r="77" ht="15.75" customHeight="1" s="195">
      <c r="A77" s="241" t="n">
        <v>72</v>
      </c>
      <c r="B77" s="305" t="inlineStr">
        <is>
          <t>0000045</t>
        </is>
      </c>
      <c r="C77" s="241" t="inlineStr">
        <is>
          <t>REGION</t>
        </is>
      </c>
      <c r="D77" s="305" t="inlineStr">
        <is>
          <t>FARJE VARGAS SESI YANELA</t>
        </is>
      </c>
      <c r="E77" s="241" t="inlineStr">
        <is>
          <t>DNI</t>
        </is>
      </c>
      <c r="F77" s="241" t="inlineStr">
        <is>
          <t>70968953</t>
        </is>
      </c>
      <c r="G77" s="336" t="n">
        <v>46006</v>
      </c>
      <c r="H77" s="241" t="inlineStr">
        <is>
          <t>4859</t>
        </is>
      </c>
      <c r="I77" s="332">
        <f>IFERROR(VLOOKUP(TEXT(H77,"0"),IPRESS!$A$3:$B$212,2,0),"")</f>
        <v/>
      </c>
      <c r="J77" s="241" t="inlineStr">
        <is>
          <t>4838</t>
        </is>
      </c>
      <c r="K77" s="332">
        <f>IFERROR(VLOOKUP(TEXT(O77,"0"),CONDUCTORES!$A$3:$G$100,7,0),"")</f>
        <v/>
      </c>
      <c r="L77" s="239" t="n">
        <v>18.18</v>
      </c>
      <c r="M77" s="239" t="n">
        <v>7.5</v>
      </c>
      <c r="N77" s="333">
        <f>IFERROR(IF(L77*M77=0,"",L77*M77),"")</f>
        <v/>
      </c>
      <c r="O77" s="334" t="n"/>
      <c r="P77" s="332">
        <f>IFERROR(VLOOKUP(TEXT(O77,"0"),CONDUCTORES!$A$3:$G$100,2,0),"")</f>
        <v/>
      </c>
      <c r="Q77" s="332">
        <f>IFERROR(VLOOKUP(TEXT(O77,"0"),CONDUCTORES!$A$3:$H$100,6,0),"")</f>
        <v/>
      </c>
      <c r="R77" s="280" t="n"/>
      <c r="S77" s="305" t="inlineStr">
        <is>
          <t>S420</t>
        </is>
      </c>
      <c r="T77" s="241" t="n"/>
      <c r="U77" s="280" t="n"/>
      <c r="V77" s="241" t="n"/>
      <c r="W77" s="241" t="n"/>
      <c r="X77" s="241" t="n"/>
      <c r="Y77" s="280" t="n"/>
    </row>
    <row r="78" ht="15.75" customHeight="1" s="195">
      <c r="A78" s="301" t="n">
        <v>73</v>
      </c>
      <c r="B78" s="302" t="inlineStr">
        <is>
          <t>0000010</t>
        </is>
      </c>
      <c r="C78" s="301" t="inlineStr">
        <is>
          <t>REGION</t>
        </is>
      </c>
      <c r="D78" s="302" t="inlineStr">
        <is>
          <t>TASILLA LOPEZ LUZ AURORA</t>
        </is>
      </c>
      <c r="E78" s="301" t="inlineStr">
        <is>
          <t>DNI</t>
        </is>
      </c>
      <c r="F78" s="301" t="inlineStr">
        <is>
          <t>47382699</t>
        </is>
      </c>
      <c r="G78" s="331" t="n">
        <v>46010</v>
      </c>
      <c r="H78" s="301" t="inlineStr">
        <is>
          <t>4858</t>
        </is>
      </c>
      <c r="I78" s="332">
        <f>IFERROR(VLOOKUP(TEXT(H78,"0"),IPRESS!$A$3:$B$212,2,0),"")</f>
        <v/>
      </c>
      <c r="J78" s="301" t="inlineStr">
        <is>
          <t>4838</t>
        </is>
      </c>
      <c r="K78" s="332">
        <f>IFERROR(VLOOKUP(TEXT(O78,"0"),CONDUCTORES!$A$3:$G$100,7,0),"")</f>
        <v/>
      </c>
      <c r="L78" s="245" t="n">
        <v>18.18</v>
      </c>
      <c r="M78" s="245" t="n">
        <v>15</v>
      </c>
      <c r="N78" s="333">
        <f>IFERROR(IF(L78*M78=0,"",L78*M78),"")</f>
        <v/>
      </c>
      <c r="O78" s="280" t="n"/>
      <c r="P78" s="332">
        <f>IFERROR(VLOOKUP(TEXT(O78,"0"),CONDUCTORES!$A$3:$G$100,2,0),"")</f>
        <v/>
      </c>
      <c r="Q78" s="332">
        <f>IFERROR(VLOOKUP(TEXT(O78,"0"),CONDUCTORES!$A$3:$H$100,6,0),"")</f>
        <v/>
      </c>
      <c r="R78" s="334" t="n"/>
      <c r="S78" s="302" t="inlineStr">
        <is>
          <t>I828,N200,E119</t>
        </is>
      </c>
      <c r="T78" s="301" t="n"/>
      <c r="U78" s="334" t="n"/>
      <c r="V78" s="301" t="n"/>
      <c r="W78" s="301" t="n"/>
      <c r="X78" s="301" t="n"/>
      <c r="Y78" s="280" t="n"/>
    </row>
    <row r="79" ht="15.75" customHeight="1" s="195">
      <c r="A79" s="241" t="n">
        <v>74</v>
      </c>
      <c r="B79" s="305" t="inlineStr">
        <is>
          <t>0000101</t>
        </is>
      </c>
      <c r="C79" s="241" t="inlineStr">
        <is>
          <t>REGION</t>
        </is>
      </c>
      <c r="D79" s="305" t="inlineStr">
        <is>
          <t>NINA SONCCO ELSA JUSTA</t>
        </is>
      </c>
      <c r="E79" s="241" t="inlineStr">
        <is>
          <t>DNI</t>
        </is>
      </c>
      <c r="F79" s="241" t="inlineStr">
        <is>
          <t>40563198</t>
        </is>
      </c>
      <c r="G79" s="336" t="n">
        <v>46007</v>
      </c>
      <c r="H79" s="241" t="inlineStr">
        <is>
          <t>4932</t>
        </is>
      </c>
      <c r="I79" s="332">
        <f>IFERROR(VLOOKUP(TEXT(H79,"0"),IPRESS!$A$3:$B$212,2,0),"")</f>
        <v/>
      </c>
      <c r="J79" s="241" t="inlineStr">
        <is>
          <t>4838</t>
        </is>
      </c>
      <c r="K79" s="332">
        <f>IFERROR(VLOOKUP(TEXT(O79,"0"),CONDUCTORES!$A$3:$G$100,7,0),"")</f>
        <v/>
      </c>
      <c r="L79" s="239" t="n">
        <v>18.18</v>
      </c>
      <c r="M79" s="239" t="n">
        <v>6</v>
      </c>
      <c r="N79" s="333">
        <f>IFERROR(IF(L79*M79=0,"",L79*M79),"")</f>
        <v/>
      </c>
      <c r="O79" s="334" t="n"/>
      <c r="P79" s="332">
        <f>IFERROR(VLOOKUP(TEXT(O79,"0"),CONDUCTORES!$A$3:$G$100,2,0),"")</f>
        <v/>
      </c>
      <c r="Q79" s="332">
        <f>IFERROR(VLOOKUP(TEXT(O79,"0"),CONDUCTORES!$A$3:$H$100,6,0),"")</f>
        <v/>
      </c>
      <c r="R79" s="280" t="n"/>
      <c r="S79" s="305" t="inlineStr">
        <is>
          <t>K37X</t>
        </is>
      </c>
      <c r="T79" s="241" t="n"/>
      <c r="U79" s="280" t="n"/>
      <c r="V79" s="241" t="n"/>
      <c r="W79" s="241" t="n"/>
      <c r="X79" s="241" t="n"/>
      <c r="Y79" s="280" t="n"/>
    </row>
    <row r="80" ht="15.75" customHeight="1" s="195">
      <c r="A80" s="301" t="n">
        <v>75</v>
      </c>
      <c r="B80" s="302" t="inlineStr">
        <is>
          <t>0000102</t>
        </is>
      </c>
      <c r="C80" s="301" t="inlineStr">
        <is>
          <t>REGION</t>
        </is>
      </c>
      <c r="D80" s="302" t="inlineStr">
        <is>
          <t>HUAMANTA DIAZ EDILMER</t>
        </is>
      </c>
      <c r="E80" s="301" t="inlineStr">
        <is>
          <t>DNI</t>
        </is>
      </c>
      <c r="F80" s="301" t="inlineStr">
        <is>
          <t>62150318</t>
        </is>
      </c>
      <c r="G80" s="331" t="n">
        <v>46010</v>
      </c>
      <c r="H80" s="301" t="inlineStr">
        <is>
          <t>4932</t>
        </is>
      </c>
      <c r="I80" s="332">
        <f>IFERROR(VLOOKUP(TEXT(H80,"0"),IPRESS!$A$3:$B$212,2,0),"")</f>
        <v/>
      </c>
      <c r="J80" s="301" t="inlineStr">
        <is>
          <t>4838</t>
        </is>
      </c>
      <c r="K80" s="332">
        <f>IFERROR(VLOOKUP(TEXT(O80,"0"),CONDUCTORES!$A$3:$G$100,7,0),"")</f>
        <v/>
      </c>
      <c r="L80" s="245" t="n">
        <v>18.18</v>
      </c>
      <c r="M80" s="245" t="n">
        <v>6</v>
      </c>
      <c r="N80" s="333">
        <f>IFERROR(IF(L80*M80=0,"",L80*M80),"")</f>
        <v/>
      </c>
      <c r="O80" s="280" t="n"/>
      <c r="P80" s="332">
        <f>IFERROR(VLOOKUP(TEXT(O80,"0"),CONDUCTORES!$A$3:$G$100,2,0),"")</f>
        <v/>
      </c>
      <c r="Q80" s="332">
        <f>IFERROR(VLOOKUP(TEXT(O80,"0"),CONDUCTORES!$A$3:$H$100,6,0),"")</f>
        <v/>
      </c>
      <c r="R80" s="334" t="n"/>
      <c r="S80" s="302" t="inlineStr">
        <is>
          <t>S925,S971</t>
        </is>
      </c>
      <c r="T80" s="301" t="n"/>
      <c r="U80" s="334" t="n"/>
      <c r="V80" s="301" t="n"/>
      <c r="W80" s="301" t="n"/>
      <c r="X80" s="301" t="n"/>
      <c r="Y80" s="280" t="n"/>
    </row>
    <row r="81" ht="15.75" customHeight="1" s="195">
      <c r="A81" s="241" t="n">
        <v>76</v>
      </c>
      <c r="B81" s="305" t="inlineStr">
        <is>
          <t>0000103</t>
        </is>
      </c>
      <c r="C81" s="241" t="inlineStr">
        <is>
          <t>REGION</t>
        </is>
      </c>
      <c r="D81" s="305" t="inlineStr">
        <is>
          <t>NINA SONCCO ELSA JUSTA</t>
        </is>
      </c>
      <c r="E81" s="241" t="inlineStr">
        <is>
          <t>DNI</t>
        </is>
      </c>
      <c r="F81" s="241" t="inlineStr">
        <is>
          <t>40563198</t>
        </is>
      </c>
      <c r="G81" s="336" t="n">
        <v>46011</v>
      </c>
      <c r="H81" s="241" t="inlineStr">
        <is>
          <t>4932</t>
        </is>
      </c>
      <c r="I81" s="332">
        <f>IFERROR(VLOOKUP(TEXT(H81,"0"),IPRESS!$A$3:$B$212,2,0),"")</f>
        <v/>
      </c>
      <c r="J81" s="241" t="inlineStr">
        <is>
          <t>4838</t>
        </is>
      </c>
      <c r="K81" s="332">
        <f>IFERROR(VLOOKUP(TEXT(O81,"0"),CONDUCTORES!$A$3:$G$100,7,0),"")</f>
        <v/>
      </c>
      <c r="L81" s="239" t="n">
        <v>18.18</v>
      </c>
      <c r="M81" s="239" t="n">
        <v>6</v>
      </c>
      <c r="N81" s="333">
        <f>IFERROR(IF(L81*M81=0,"",L81*M81),"")</f>
        <v/>
      </c>
      <c r="O81" s="334" t="n"/>
      <c r="P81" s="332">
        <f>IFERROR(VLOOKUP(TEXT(O81,"0"),CONDUCTORES!$A$3:$G$100,2,0),"")</f>
        <v/>
      </c>
      <c r="Q81" s="332">
        <f>IFERROR(VLOOKUP(TEXT(O81,"0"),CONDUCTORES!$A$3:$H$100,6,0),"")</f>
        <v/>
      </c>
      <c r="R81" s="280" t="n"/>
      <c r="S81" s="305" t="inlineStr">
        <is>
          <t>T814</t>
        </is>
      </c>
      <c r="T81" s="241" t="n"/>
      <c r="U81" s="280" t="n"/>
      <c r="V81" s="241" t="n"/>
      <c r="W81" s="241" t="n"/>
      <c r="X81" s="241" t="n"/>
      <c r="Y81" s="280" t="n"/>
    </row>
    <row r="82" ht="15.75" customHeight="1" s="195">
      <c r="A82" s="301" t="n">
        <v>77</v>
      </c>
      <c r="B82" s="302" t="inlineStr">
        <is>
          <t>0000104</t>
        </is>
      </c>
      <c r="C82" s="301" t="inlineStr">
        <is>
          <t>REGION</t>
        </is>
      </c>
      <c r="D82" s="302" t="inlineStr">
        <is>
          <t>ALVIS CHICANA JOSE LUIS</t>
        </is>
      </c>
      <c r="E82" s="301" t="inlineStr">
        <is>
          <t>DNI</t>
        </is>
      </c>
      <c r="F82" s="301" t="inlineStr">
        <is>
          <t>33738227</t>
        </is>
      </c>
      <c r="G82" s="331" t="n">
        <v>46011</v>
      </c>
      <c r="H82" s="301" t="inlineStr">
        <is>
          <t>4932</t>
        </is>
      </c>
      <c r="I82" s="332">
        <f>IFERROR(VLOOKUP(TEXT(H82,"0"),IPRESS!$A$3:$B$212,2,0),"")</f>
        <v/>
      </c>
      <c r="J82" s="301" t="inlineStr">
        <is>
          <t>4838</t>
        </is>
      </c>
      <c r="K82" s="332">
        <f>IFERROR(VLOOKUP(TEXT(O82,"0"),CONDUCTORES!$A$3:$G$100,7,0),"")</f>
        <v/>
      </c>
      <c r="L82" s="245" t="n">
        <v>18.18</v>
      </c>
      <c r="M82" s="245" t="n">
        <v>6</v>
      </c>
      <c r="N82" s="333">
        <f>IFERROR(IF(L82*M82=0,"",L82*M82),"")</f>
        <v/>
      </c>
      <c r="O82" s="280" t="n"/>
      <c r="P82" s="332">
        <f>IFERROR(VLOOKUP(TEXT(O82,"0"),CONDUCTORES!$A$3:$G$100,2,0),"")</f>
        <v/>
      </c>
      <c r="Q82" s="332">
        <f>IFERROR(VLOOKUP(TEXT(O82,"0"),CONDUCTORES!$A$3:$H$100,6,0),"")</f>
        <v/>
      </c>
      <c r="R82" s="334" t="n"/>
      <c r="S82" s="302" t="inlineStr">
        <is>
          <t>R104,K859,K802</t>
        </is>
      </c>
      <c r="T82" s="301" t="n"/>
      <c r="U82" s="334" t="n"/>
      <c r="V82" s="301" t="n"/>
      <c r="W82" s="301" t="n"/>
      <c r="X82" s="301" t="n"/>
      <c r="Y82" s="280" t="n"/>
    </row>
    <row r="83" ht="15.75" customHeight="1" s="195">
      <c r="A83" s="241" t="n">
        <v>78</v>
      </c>
      <c r="B83" s="305" t="inlineStr">
        <is>
          <t>0000027</t>
        </is>
      </c>
      <c r="C83" s="241" t="inlineStr">
        <is>
          <t>REGION</t>
        </is>
      </c>
      <c r="D83" s="305" t="inlineStr">
        <is>
          <t>BUSTOS PUSCAN AQUELINO</t>
        </is>
      </c>
      <c r="E83" s="241" t="inlineStr">
        <is>
          <t>DNI</t>
        </is>
      </c>
      <c r="F83" s="241" t="inlineStr">
        <is>
          <t>46606439</t>
        </is>
      </c>
      <c r="G83" s="336" t="n">
        <v>46014</v>
      </c>
      <c r="H83" s="241" t="inlineStr">
        <is>
          <t>4905</t>
        </is>
      </c>
      <c r="I83" s="332">
        <f>IFERROR(VLOOKUP(TEXT(H83,"0"),IPRESS!$A$3:$B$212,2,0),"")</f>
        <v/>
      </c>
      <c r="J83" s="241" t="inlineStr">
        <is>
          <t>4838</t>
        </is>
      </c>
      <c r="K83" s="332">
        <f>IFERROR(VLOOKUP(TEXT(O83,"0"),CONDUCTORES!$A$3:$G$100,7,0),"")</f>
        <v/>
      </c>
      <c r="L83" s="239" t="n">
        <v>18.18</v>
      </c>
      <c r="M83" s="239" t="n">
        <v>8</v>
      </c>
      <c r="N83" s="333">
        <f>IFERROR(IF(L83*M83=0,"",L83*M83),"")</f>
        <v/>
      </c>
      <c r="O83" s="334" t="n"/>
      <c r="P83" s="332">
        <f>IFERROR(VLOOKUP(TEXT(O83,"0"),CONDUCTORES!$A$3:$G$100,2,0),"")</f>
        <v/>
      </c>
      <c r="Q83" s="332">
        <f>IFERROR(VLOOKUP(TEXT(O83,"0"),CONDUCTORES!$A$3:$H$100,6,0),"")</f>
        <v/>
      </c>
      <c r="R83" s="280" t="n"/>
      <c r="S83" s="305" t="inlineStr">
        <is>
          <t>S202,S420</t>
        </is>
      </c>
      <c r="T83" s="241" t="n"/>
      <c r="U83" s="280" t="n"/>
      <c r="V83" s="241" t="n"/>
      <c r="W83" s="241" t="n"/>
      <c r="X83" s="241" t="n"/>
      <c r="Y83" s="280" t="n"/>
    </row>
    <row r="84" ht="15.75" customHeight="1" s="195">
      <c r="A84" s="301" t="n">
        <v>79</v>
      </c>
      <c r="B84" s="302" t="inlineStr">
        <is>
          <t>0000105</t>
        </is>
      </c>
      <c r="C84" s="301" t="inlineStr">
        <is>
          <t>REGION</t>
        </is>
      </c>
      <c r="D84" s="302" t="inlineStr">
        <is>
          <t>BUSTAMANTE BAUTISTA RICHARRD JEFERSON</t>
        </is>
      </c>
      <c r="E84" s="301" t="inlineStr">
        <is>
          <t>DNI</t>
        </is>
      </c>
      <c r="F84" s="301" t="inlineStr">
        <is>
          <t>81032122</t>
        </is>
      </c>
      <c r="G84" s="331" t="n">
        <v>46015</v>
      </c>
      <c r="H84" s="301" t="inlineStr">
        <is>
          <t>4932</t>
        </is>
      </c>
      <c r="I84" s="332">
        <f>IFERROR(VLOOKUP(TEXT(H84,"0"),IPRESS!$A$3:$B$212,2,0),"")</f>
        <v/>
      </c>
      <c r="J84" s="301" t="inlineStr">
        <is>
          <t>4838</t>
        </is>
      </c>
      <c r="K84" s="332">
        <f>IFERROR(VLOOKUP(TEXT(O84,"0"),CONDUCTORES!$A$3:$G$100,7,0),"")</f>
        <v/>
      </c>
      <c r="L84" s="245" t="n">
        <v>18.18</v>
      </c>
      <c r="M84" s="245" t="n">
        <v>6</v>
      </c>
      <c r="N84" s="333">
        <f>IFERROR(IF(L84*M84=0,"",L84*M84),"")</f>
        <v/>
      </c>
      <c r="O84" s="280" t="n"/>
      <c r="P84" s="332">
        <f>IFERROR(VLOOKUP(TEXT(O84,"0"),CONDUCTORES!$A$3:$G$100,2,0),"")</f>
        <v/>
      </c>
      <c r="Q84" s="332">
        <f>IFERROR(VLOOKUP(TEXT(O84,"0"),CONDUCTORES!$A$3:$H$100,6,0),"")</f>
        <v/>
      </c>
      <c r="R84" s="334" t="n"/>
      <c r="S84" s="302" t="inlineStr">
        <is>
          <t>S525</t>
        </is>
      </c>
      <c r="T84" s="301" t="n"/>
      <c r="U84" s="334" t="n"/>
      <c r="V84" s="301" t="n"/>
      <c r="W84" s="301" t="n"/>
      <c r="X84" s="301" t="n"/>
      <c r="Y84" s="280" t="n"/>
    </row>
    <row r="85" ht="15.75" customHeight="1" s="195">
      <c r="A85" s="241" t="n">
        <v>80</v>
      </c>
      <c r="B85" s="305" t="inlineStr">
        <is>
          <t>0000059</t>
        </is>
      </c>
      <c r="C85" s="241" t="inlineStr">
        <is>
          <t>REGION</t>
        </is>
      </c>
      <c r="D85" s="305" t="inlineStr">
        <is>
          <t>VELASQUEZ GALLARDO NEYDA MARLENI</t>
        </is>
      </c>
      <c r="E85" s="241" t="inlineStr">
        <is>
          <t>DNI</t>
        </is>
      </c>
      <c r="F85" s="241" t="inlineStr">
        <is>
          <t>60355237</t>
        </is>
      </c>
      <c r="G85" s="336" t="n">
        <v>46016</v>
      </c>
      <c r="H85" s="241" t="inlineStr">
        <is>
          <t>4903</t>
        </is>
      </c>
      <c r="I85" s="332">
        <f>IFERROR(VLOOKUP(TEXT(H85,"0"),IPRESS!$A$3:$B$212,2,0),"")</f>
        <v/>
      </c>
      <c r="J85" s="241" t="inlineStr">
        <is>
          <t>4838</t>
        </is>
      </c>
      <c r="K85" s="332">
        <f>IFERROR(VLOOKUP(TEXT(O85,"0"),CONDUCTORES!$A$3:$G$100,7,0),"")</f>
        <v/>
      </c>
      <c r="L85" s="239" t="n">
        <v>18.18</v>
      </c>
      <c r="M85" s="239" t="n">
        <v>5</v>
      </c>
      <c r="N85" s="333">
        <f>IFERROR(IF(L85*M85=0,"",L85*M85),"")</f>
        <v/>
      </c>
      <c r="O85" s="334" t="n"/>
      <c r="P85" s="332">
        <f>IFERROR(VLOOKUP(TEXT(O85,"0"),CONDUCTORES!$A$3:$G$100,2,0),"")</f>
        <v/>
      </c>
      <c r="Q85" s="332">
        <f>IFERROR(VLOOKUP(TEXT(O85,"0"),CONDUCTORES!$A$3:$H$100,6,0),"")</f>
        <v/>
      </c>
      <c r="R85" s="280" t="n"/>
      <c r="S85" s="305" t="inlineStr">
        <is>
          <t>R310,K85X,K810</t>
        </is>
      </c>
      <c r="T85" s="241" t="n"/>
      <c r="U85" s="280" t="n"/>
      <c r="V85" s="241" t="n"/>
      <c r="W85" s="241" t="n"/>
      <c r="X85" s="241" t="n"/>
      <c r="Y85" s="280" t="n"/>
    </row>
    <row r="86" ht="15.75" customHeight="1" s="195">
      <c r="A86" s="301" t="n">
        <v>81</v>
      </c>
      <c r="B86" s="302" t="inlineStr">
        <is>
          <t>0000106</t>
        </is>
      </c>
      <c r="C86" s="301" t="inlineStr">
        <is>
          <t>REGION</t>
        </is>
      </c>
      <c r="D86" s="302" t="inlineStr">
        <is>
          <t>MEJIA BURGA MARY SELENI</t>
        </is>
      </c>
      <c r="E86" s="301" t="inlineStr">
        <is>
          <t>DNI</t>
        </is>
      </c>
      <c r="F86" s="301" t="inlineStr">
        <is>
          <t>47979856</t>
        </is>
      </c>
      <c r="G86" s="331" t="n">
        <v>46018</v>
      </c>
      <c r="H86" s="301" t="inlineStr">
        <is>
          <t>4932</t>
        </is>
      </c>
      <c r="I86" s="332">
        <f>IFERROR(VLOOKUP(TEXT(H86,"0"),IPRESS!$A$3:$B$212,2,0),"")</f>
        <v/>
      </c>
      <c r="J86" s="301" t="inlineStr">
        <is>
          <t>4838</t>
        </is>
      </c>
      <c r="K86" s="332">
        <f>IFERROR(VLOOKUP(TEXT(O86,"0"),CONDUCTORES!$A$3:$G$100,7,0),"")</f>
        <v/>
      </c>
      <c r="L86" s="245" t="n">
        <v>18.18</v>
      </c>
      <c r="M86" s="245" t="n">
        <v>6</v>
      </c>
      <c r="N86" s="333">
        <f>IFERROR(IF(L86*M86=0,"",L86*M86),"")</f>
        <v/>
      </c>
      <c r="O86" s="280" t="n"/>
      <c r="P86" s="332">
        <f>IFERROR(VLOOKUP(TEXT(O86,"0"),CONDUCTORES!$A$3:$G$100,2,0),"")</f>
        <v/>
      </c>
      <c r="Q86" s="332">
        <f>IFERROR(VLOOKUP(TEXT(O86,"0"),CONDUCTORES!$A$3:$H$100,6,0),"")</f>
        <v/>
      </c>
      <c r="R86" s="334" t="n"/>
      <c r="S86" s="302" t="inlineStr">
        <is>
          <t>O459,Z359</t>
        </is>
      </c>
      <c r="T86" s="301" t="n"/>
      <c r="U86" s="334" t="n"/>
      <c r="V86" s="301" t="n"/>
      <c r="W86" s="301" t="n"/>
      <c r="X86" s="301" t="n"/>
      <c r="Y86" s="280" t="n"/>
    </row>
    <row r="87" ht="15.75" customHeight="1" s="195">
      <c r="A87" s="241" t="n">
        <v>82</v>
      </c>
      <c r="B87" s="305" t="inlineStr">
        <is>
          <t>0000028</t>
        </is>
      </c>
      <c r="C87" s="241" t="inlineStr">
        <is>
          <t>REGION</t>
        </is>
      </c>
      <c r="D87" s="305" t="inlineStr">
        <is>
          <t>TUCTO HORNA MERCY MELISA</t>
        </is>
      </c>
      <c r="E87" s="241" t="inlineStr">
        <is>
          <t>DNI</t>
        </is>
      </c>
      <c r="F87" s="241" t="inlineStr">
        <is>
          <t>62147932</t>
        </is>
      </c>
      <c r="G87" s="336" t="n">
        <v>46020</v>
      </c>
      <c r="H87" s="241" t="inlineStr">
        <is>
          <t>4905</t>
        </is>
      </c>
      <c r="I87" s="332">
        <f>IFERROR(VLOOKUP(TEXT(H87,"0"),IPRESS!$A$3:$B$212,2,0),"")</f>
        <v/>
      </c>
      <c r="J87" s="241" t="inlineStr">
        <is>
          <t>4838</t>
        </is>
      </c>
      <c r="K87" s="332">
        <f>IFERROR(VLOOKUP(TEXT(O87,"0"),CONDUCTORES!$A$3:$G$100,7,0),"")</f>
        <v/>
      </c>
      <c r="L87" s="239" t="n">
        <v>18.18</v>
      </c>
      <c r="M87" s="239" t="n">
        <v>8</v>
      </c>
      <c r="N87" s="333">
        <f>IFERROR(IF(L87*M87=0,"",L87*M87),"")</f>
        <v/>
      </c>
      <c r="O87" s="334" t="n"/>
      <c r="P87" s="332">
        <f>IFERROR(VLOOKUP(TEXT(O87,"0"),CONDUCTORES!$A$3:$G$100,2,0),"")</f>
        <v/>
      </c>
      <c r="Q87" s="332">
        <f>IFERROR(VLOOKUP(TEXT(O87,"0"),CONDUCTORES!$A$3:$H$100,6,0),"")</f>
        <v/>
      </c>
      <c r="R87" s="280" t="n"/>
      <c r="S87" s="305" t="inlineStr">
        <is>
          <t>Z356,O809</t>
        </is>
      </c>
      <c r="T87" s="241" t="n"/>
      <c r="U87" s="280" t="n"/>
      <c r="V87" s="241" t="n"/>
      <c r="W87" s="241" t="n"/>
      <c r="X87" s="241" t="n"/>
      <c r="Y87" s="280" t="n"/>
    </row>
    <row r="88" ht="15.75" customHeight="1" s="195">
      <c r="A88" s="301" t="n">
        <v>83</v>
      </c>
      <c r="B88" s="302" t="inlineStr">
        <is>
          <t>0000029</t>
        </is>
      </c>
      <c r="C88" s="301" t="inlineStr">
        <is>
          <t>REGION</t>
        </is>
      </c>
      <c r="D88" s="302" t="inlineStr">
        <is>
          <t>CHAVEZ HUAMAN MARISOL</t>
        </is>
      </c>
      <c r="E88" s="301" t="inlineStr">
        <is>
          <t>DNI</t>
        </is>
      </c>
      <c r="F88" s="301" t="inlineStr">
        <is>
          <t>75050762</t>
        </is>
      </c>
      <c r="G88" s="331" t="n">
        <v>46018</v>
      </c>
      <c r="H88" s="301" t="inlineStr">
        <is>
          <t>4905</t>
        </is>
      </c>
      <c r="I88" s="332">
        <f>IFERROR(VLOOKUP(TEXT(H88,"0"),IPRESS!$A$3:$B$212,2,0),"")</f>
        <v/>
      </c>
      <c r="J88" s="301" t="inlineStr">
        <is>
          <t>4838</t>
        </is>
      </c>
      <c r="K88" s="332">
        <f>IFERROR(VLOOKUP(TEXT(O88,"0"),CONDUCTORES!$A$3:$G$100,7,0),"")</f>
        <v/>
      </c>
      <c r="L88" s="245" t="n">
        <v>18.18</v>
      </c>
      <c r="M88" s="245" t="n">
        <v>8</v>
      </c>
      <c r="N88" s="333">
        <f>IFERROR(IF(L88*M88=0,"",L88*M88),"")</f>
        <v/>
      </c>
      <c r="O88" s="280" t="n"/>
      <c r="P88" s="332">
        <f>IFERROR(VLOOKUP(TEXT(O88,"0"),CONDUCTORES!$A$3:$G$100,2,0),"")</f>
        <v/>
      </c>
      <c r="Q88" s="332">
        <f>IFERROR(VLOOKUP(TEXT(O88,"0"),CONDUCTORES!$A$3:$H$100,6,0),"")</f>
        <v/>
      </c>
      <c r="R88" s="334" t="n"/>
      <c r="S88" s="302" t="inlineStr">
        <is>
          <t>O200</t>
        </is>
      </c>
      <c r="T88" s="301" t="n"/>
      <c r="U88" s="334" t="n"/>
      <c r="V88" s="301" t="n"/>
      <c r="W88" s="301" t="n"/>
      <c r="X88" s="301" t="n"/>
      <c r="Y88" s="280" t="n"/>
    </row>
    <row r="89" ht="15.75" customHeight="1" s="195">
      <c r="A89" s="241" t="n">
        <v>84</v>
      </c>
      <c r="B89" s="305" t="inlineStr">
        <is>
          <t>0000015</t>
        </is>
      </c>
      <c r="C89" s="241" t="inlineStr">
        <is>
          <t>REGION</t>
        </is>
      </c>
      <c r="D89" s="305" t="inlineStr">
        <is>
          <t>SANCHEZ PAISIG SILVIA</t>
        </is>
      </c>
      <c r="E89" s="241" t="inlineStr">
        <is>
          <t>DNI</t>
        </is>
      </c>
      <c r="F89" s="241" t="inlineStr">
        <is>
          <t>47679685</t>
        </is>
      </c>
      <c r="G89" s="336" t="n">
        <v>46016</v>
      </c>
      <c r="H89" s="241" t="inlineStr">
        <is>
          <t>4873</t>
        </is>
      </c>
      <c r="I89" s="332">
        <f>IFERROR(VLOOKUP(TEXT(H89,"0"),IPRESS!$A$3:$B$212,2,0),"")</f>
        <v/>
      </c>
      <c r="J89" s="241" t="inlineStr">
        <is>
          <t>4838</t>
        </is>
      </c>
      <c r="K89" s="332">
        <f>IFERROR(VLOOKUP(TEXT(O89,"0"),CONDUCTORES!$A$3:$G$100,7,0),"")</f>
        <v/>
      </c>
      <c r="L89" s="239" t="n">
        <v>18.18</v>
      </c>
      <c r="M89" s="239" t="n">
        <v>20</v>
      </c>
      <c r="N89" s="333">
        <f>IFERROR(IF(L89*M89=0,"",L89*M89),"")</f>
        <v/>
      </c>
      <c r="O89" s="334" t="n"/>
      <c r="P89" s="332">
        <f>IFERROR(VLOOKUP(TEXT(O89,"0"),CONDUCTORES!$A$3:$G$100,2,0),"")</f>
        <v/>
      </c>
      <c r="Q89" s="332">
        <f>IFERROR(VLOOKUP(TEXT(O89,"0"),CONDUCTORES!$A$3:$H$100,6,0),"")</f>
        <v/>
      </c>
      <c r="R89" s="280" t="n"/>
      <c r="S89" s="305" t="inlineStr">
        <is>
          <t>O200</t>
        </is>
      </c>
      <c r="T89" s="241" t="n"/>
      <c r="U89" s="280" t="n"/>
      <c r="V89" s="241" t="n"/>
      <c r="W89" s="241" t="n"/>
      <c r="X89" s="241" t="n"/>
      <c r="Y89" s="280" t="n"/>
    </row>
    <row r="90" ht="15.75" customHeight="1" s="195">
      <c r="A90" s="337" t="n">
        <v>85</v>
      </c>
      <c r="B90" s="338" t="inlineStr">
        <is>
          <t>0000016</t>
        </is>
      </c>
      <c r="C90" s="337" t="inlineStr">
        <is>
          <t>REGION</t>
        </is>
      </c>
      <c r="D90" s="338" t="inlineStr">
        <is>
          <t>ALVAREZ PINO NITZI NICOLLE</t>
        </is>
      </c>
      <c r="E90" s="337" t="inlineStr">
        <is>
          <t>DNI</t>
        </is>
      </c>
      <c r="F90" s="337" t="inlineStr">
        <is>
          <t>73621069</t>
        </is>
      </c>
      <c r="G90" s="339" t="n">
        <v>46013</v>
      </c>
      <c r="H90" s="337" t="inlineStr">
        <is>
          <t>4869</t>
        </is>
      </c>
      <c r="I90" s="332">
        <f>IFERROR(VLOOKUP(TEXT(H90,"0"),IPRESS!$A$3:$B$212,2,0),"")</f>
        <v/>
      </c>
      <c r="J90" s="337" t="inlineStr">
        <is>
          <t>4838</t>
        </is>
      </c>
      <c r="K90" s="332">
        <f>IFERROR(VLOOKUP(TEXT(O90,"0"),CONDUCTORES!$A$3:$G$100,7,0),"")</f>
        <v/>
      </c>
      <c r="L90" s="340" t="n">
        <v>17.95</v>
      </c>
      <c r="M90" s="340" t="n">
        <v>8</v>
      </c>
      <c r="N90" s="333">
        <f>IFERROR(IF(L90*M90=0,"",L90*M90),"")</f>
        <v/>
      </c>
      <c r="O90" s="280" t="n"/>
      <c r="P90" s="332">
        <f>IFERROR(VLOOKUP(TEXT(O90,"0"),CONDUCTORES!$A$3:$G$100,2,0),"")</f>
        <v/>
      </c>
      <c r="Q90" s="332">
        <f>IFERROR(VLOOKUP(TEXT(O90,"0"),CONDUCTORES!$A$3:$H$100,6,0),"")</f>
        <v/>
      </c>
      <c r="R90" s="341" t="n"/>
      <c r="S90" s="338" t="inlineStr">
        <is>
          <t>Z348,O471,O990</t>
        </is>
      </c>
      <c r="T90" s="337" t="n"/>
      <c r="U90" s="341" t="n"/>
      <c r="V90" s="337" t="n"/>
      <c r="W90" s="337" t="n"/>
      <c r="X90" s="337" t="n"/>
      <c r="Y90" s="280" t="n"/>
    </row>
    <row r="91" ht="15.75" customHeight="1" s="195">
      <c r="A91" s="241" t="n">
        <v>86</v>
      </c>
      <c r="B91" s="305" t="inlineStr">
        <is>
          <t>0000002</t>
        </is>
      </c>
      <c r="C91" s="241" t="inlineStr">
        <is>
          <t>REGION</t>
        </is>
      </c>
      <c r="D91" s="305" t="inlineStr">
        <is>
          <t>ROMERO PELAEZ JESUS MAXIMILIANO</t>
        </is>
      </c>
      <c r="E91" s="241" t="inlineStr">
        <is>
          <t>DNI</t>
        </is>
      </c>
      <c r="F91" s="241" t="inlineStr">
        <is>
          <t>81686231</t>
        </is>
      </c>
      <c r="G91" s="336" t="n">
        <v>46020</v>
      </c>
      <c r="H91" s="241" t="inlineStr">
        <is>
          <t>4862</t>
        </is>
      </c>
      <c r="I91" s="332">
        <f>IFERROR(VLOOKUP(TEXT(H91,"0"),IPRESS!$A$3:$B$212,2,0),"")</f>
        <v/>
      </c>
      <c r="J91" s="241" t="inlineStr">
        <is>
          <t>4838</t>
        </is>
      </c>
      <c r="K91" s="332">
        <f>IFERROR(VLOOKUP(TEXT(O91,"0"),CONDUCTORES!$A$3:$G$100,7,0),"")</f>
        <v/>
      </c>
      <c r="L91" s="239" t="n">
        <v>18.18</v>
      </c>
      <c r="M91" s="239" t="n">
        <v>6</v>
      </c>
      <c r="N91" s="333">
        <f>IFERROR(IF(L91*M91=0,"",L91*M91),"")</f>
        <v/>
      </c>
      <c r="O91" s="334" t="n"/>
      <c r="P91" s="332">
        <f>IFERROR(VLOOKUP(TEXT(O91,"0"),CONDUCTORES!$A$3:$G$100,2,0),"")</f>
        <v/>
      </c>
      <c r="Q91" s="332">
        <f>IFERROR(VLOOKUP(TEXT(O91,"0"),CONDUCTORES!$A$3:$H$100,6,0),"")</f>
        <v/>
      </c>
      <c r="R91" s="280" t="n"/>
      <c r="S91" s="305" t="inlineStr">
        <is>
          <t>K359</t>
        </is>
      </c>
      <c r="T91" s="241" t="inlineStr">
        <is>
          <t>DEVOLUCION AL C.S. LEYMEBAMBA</t>
        </is>
      </c>
      <c r="U91" s="280" t="n"/>
      <c r="V91" s="241" t="n"/>
      <c r="W91" s="241" t="n"/>
      <c r="X91" s="241" t="n"/>
      <c r="Y91" s="280" t="n"/>
    </row>
    <row r="92" ht="15.75" customHeight="1" s="195">
      <c r="A92" s="301" t="n">
        <v>87</v>
      </c>
      <c r="B92" s="302" t="inlineStr">
        <is>
          <t>0000047</t>
        </is>
      </c>
      <c r="C92" s="301" t="inlineStr">
        <is>
          <t>REGION</t>
        </is>
      </c>
      <c r="D92" s="302" t="inlineStr">
        <is>
          <t>ROJAS MARIN DENIS VIDELINA</t>
        </is>
      </c>
      <c r="E92" s="301" t="inlineStr">
        <is>
          <t>DNI</t>
        </is>
      </c>
      <c r="F92" s="301" t="inlineStr">
        <is>
          <t>46025820</t>
        </is>
      </c>
      <c r="G92" s="331" t="n">
        <v>46018</v>
      </c>
      <c r="H92" s="301" t="inlineStr">
        <is>
          <t>4859</t>
        </is>
      </c>
      <c r="I92" s="332">
        <f>IFERROR(VLOOKUP(TEXT(H92,"0"),IPRESS!$A$3:$B$212,2,0),"")</f>
        <v/>
      </c>
      <c r="J92" s="301" t="inlineStr">
        <is>
          <t>4838</t>
        </is>
      </c>
      <c r="K92" s="332">
        <f>IFERROR(VLOOKUP(TEXT(O92,"0"),CONDUCTORES!$A$3:$G$100,7,0),"")</f>
        <v/>
      </c>
      <c r="L92" s="245" t="n">
        <v>18.18</v>
      </c>
      <c r="M92" s="245" t="n">
        <v>6</v>
      </c>
      <c r="N92" s="333">
        <f>IFERROR(IF(L92*M92=0,"",L92*M92),"")</f>
        <v/>
      </c>
      <c r="O92" s="280" t="n"/>
      <c r="P92" s="332">
        <f>IFERROR(VLOOKUP(TEXT(O92,"0"),CONDUCTORES!$A$3:$G$100,2,0),"")</f>
        <v/>
      </c>
      <c r="Q92" s="332">
        <f>IFERROR(VLOOKUP(TEXT(O92,"0"),CONDUCTORES!$A$3:$H$100,6,0),"")</f>
        <v/>
      </c>
      <c r="R92" s="334" t="n"/>
      <c r="S92" s="302" t="inlineStr">
        <is>
          <t>P209</t>
        </is>
      </c>
      <c r="T92" s="301" t="n"/>
      <c r="U92" s="334" t="n"/>
      <c r="V92" s="301" t="n"/>
      <c r="W92" s="301" t="n"/>
      <c r="X92" s="301" t="n"/>
      <c r="Y92" s="280" t="n"/>
    </row>
    <row r="93" ht="15.75" customHeight="1" s="195">
      <c r="A93" s="241" t="n">
        <v>88</v>
      </c>
      <c r="B93" s="305" t="inlineStr">
        <is>
          <t>0000021</t>
        </is>
      </c>
      <c r="C93" s="241" t="inlineStr">
        <is>
          <t>REGION</t>
        </is>
      </c>
      <c r="D93" s="305" t="inlineStr">
        <is>
          <t>GUEVARA RIVERA JUAN</t>
        </is>
      </c>
      <c r="E93" s="241" t="inlineStr">
        <is>
          <t>DNI</t>
        </is>
      </c>
      <c r="F93" s="241" t="inlineStr">
        <is>
          <t>80402470</t>
        </is>
      </c>
      <c r="G93" s="336" t="n">
        <v>46021</v>
      </c>
      <c r="H93" s="241" t="inlineStr">
        <is>
          <t>4873</t>
        </is>
      </c>
      <c r="I93" s="332">
        <f>IFERROR(VLOOKUP(TEXT(H93,"0"),IPRESS!$A$3:$B$212,2,0),"")</f>
        <v/>
      </c>
      <c r="J93" s="241" t="inlineStr">
        <is>
          <t>4838</t>
        </is>
      </c>
      <c r="K93" s="332">
        <f>IFERROR(VLOOKUP(TEXT(O93,"0"),CONDUCTORES!$A$3:$G$100,7,0),"")</f>
        <v/>
      </c>
      <c r="L93" s="239" t="n">
        <v>18.18</v>
      </c>
      <c r="M93" s="239" t="n">
        <v>20</v>
      </c>
      <c r="N93" s="333">
        <f>IFERROR(IF(L93*M93=0,"",L93*M93),"")</f>
        <v/>
      </c>
      <c r="O93" s="334" t="n"/>
      <c r="P93" s="332">
        <f>IFERROR(VLOOKUP(TEXT(O93,"0"),CONDUCTORES!$A$3:$G$100,2,0),"")</f>
        <v/>
      </c>
      <c r="Q93" s="332">
        <f>IFERROR(VLOOKUP(TEXT(O93,"0"),CONDUCTORES!$A$3:$H$100,6,0),"")</f>
        <v/>
      </c>
      <c r="R93" s="280" t="n"/>
      <c r="S93" s="305" t="inlineStr">
        <is>
          <t>K358</t>
        </is>
      </c>
      <c r="T93" s="241" t="n"/>
      <c r="U93" s="280" t="n"/>
      <c r="V93" s="241" t="n"/>
      <c r="W93" s="241" t="n"/>
      <c r="X93" s="241" t="n"/>
      <c r="Y93" s="280" t="n"/>
    </row>
    <row r="94" ht="15.75" customHeight="1" s="195">
      <c r="A94" s="301" t="n">
        <v>89</v>
      </c>
      <c r="B94" s="302" t="n"/>
      <c r="C94" s="301" t="inlineStr">
        <is>
          <t>REGION</t>
        </is>
      </c>
      <c r="D94" s="302" t="n"/>
      <c r="E94" s="301" t="inlineStr">
        <is>
          <t>DNI</t>
        </is>
      </c>
      <c r="F94" s="301" t="n"/>
      <c r="G94" s="334" t="n"/>
      <c r="H94" s="301" t="n"/>
      <c r="I94" s="332">
        <f>IFERROR(VLOOKUP(TEXT(H94,"0"),IPRESS!$A$3:$B$212,2,0),"")</f>
        <v/>
      </c>
      <c r="J94" s="301" t="n"/>
      <c r="K94" s="332">
        <f>IFERROR(VLOOKUP(TEXT(O94,"0"),CONDUCTORES!$A$3:$G$100,7,0),"")</f>
        <v/>
      </c>
      <c r="L94" s="245" t="n"/>
      <c r="M94" s="245" t="n"/>
      <c r="N94" s="333">
        <f>IFERROR(IF(L94*M94=0,"",L94*M94),"")</f>
        <v/>
      </c>
      <c r="O94" s="280" t="n"/>
      <c r="P94" s="332">
        <f>IFERROR(VLOOKUP(TEXT(O94,"0"),CONDUCTORES!$A$3:$G$100,2,0),"")</f>
        <v/>
      </c>
      <c r="Q94" s="332">
        <f>IFERROR(VLOOKUP(TEXT(O94,"0"),CONDUCTORES!$A$3:$H$100,6,0),"")</f>
        <v/>
      </c>
      <c r="R94" s="334" t="n"/>
      <c r="S94" s="302" t="n"/>
      <c r="T94" s="301" t="n"/>
      <c r="U94" s="334" t="n"/>
      <c r="V94" s="301" t="n"/>
      <c r="W94" s="301" t="n"/>
      <c r="X94" s="301" t="n"/>
      <c r="Y94" s="280" t="n"/>
    </row>
    <row r="95" ht="15.75" customHeight="1" s="195">
      <c r="A95" s="241" t="n">
        <v>90</v>
      </c>
      <c r="B95" s="305" t="n"/>
      <c r="C95" s="241" t="inlineStr">
        <is>
          <t>REGION</t>
        </is>
      </c>
      <c r="D95" s="305" t="n"/>
      <c r="E95" s="241" t="inlineStr">
        <is>
          <t>DNI</t>
        </is>
      </c>
      <c r="F95" s="241" t="n"/>
      <c r="G95" s="280" t="n"/>
      <c r="H95" s="241" t="n"/>
      <c r="I95" s="332">
        <f>IFERROR(VLOOKUP(TEXT(H95,"0"),IPRESS!$A$3:$B$212,2,0),"")</f>
        <v/>
      </c>
      <c r="J95" s="241" t="n"/>
      <c r="K95" s="332">
        <f>IFERROR(VLOOKUP(TEXT(O95,"0"),CONDUCTORES!$A$3:$G$100,7,0),"")</f>
        <v/>
      </c>
      <c r="L95" s="239" t="n"/>
      <c r="M95" s="239" t="n"/>
      <c r="N95" s="333">
        <f>IFERROR(IF(L95*M95=0,"",L95*M95),"")</f>
        <v/>
      </c>
      <c r="O95" s="334" t="n"/>
      <c r="P95" s="332">
        <f>IFERROR(VLOOKUP(TEXT(O95,"0"),CONDUCTORES!$A$3:$G$100,2,0),"")</f>
        <v/>
      </c>
      <c r="Q95" s="332">
        <f>IFERROR(VLOOKUP(TEXT(O95,"0"),CONDUCTORES!$A$3:$H$100,6,0),"")</f>
        <v/>
      </c>
      <c r="R95" s="280" t="n"/>
      <c r="S95" s="305" t="n"/>
      <c r="T95" s="241" t="n"/>
      <c r="U95" s="280" t="n"/>
      <c r="V95" s="241" t="n"/>
      <c r="W95" s="241" t="n"/>
      <c r="X95" s="241" t="n"/>
      <c r="Y95" s="280" t="n"/>
    </row>
    <row r="96" ht="15.75" customHeight="1" s="195">
      <c r="A96" s="301" t="n">
        <v>91</v>
      </c>
      <c r="B96" s="302" t="n"/>
      <c r="C96" s="301" t="inlineStr">
        <is>
          <t>REGION</t>
        </is>
      </c>
      <c r="D96" s="302" t="n"/>
      <c r="E96" s="301" t="inlineStr">
        <is>
          <t>DNI</t>
        </is>
      </c>
      <c r="F96" s="301" t="n"/>
      <c r="G96" s="334" t="n"/>
      <c r="H96" s="301" t="n"/>
      <c r="I96" s="332">
        <f>IFERROR(VLOOKUP(TEXT(H96,"0"),IPRESS!$A$3:$B$212,2,0),"")</f>
        <v/>
      </c>
      <c r="J96" s="301" t="n"/>
      <c r="K96" s="332">
        <f>IFERROR(VLOOKUP(TEXT(O96,"0"),CONDUCTORES!$A$3:$G$100,7,0),"")</f>
        <v/>
      </c>
      <c r="L96" s="245" t="n"/>
      <c r="M96" s="245" t="n"/>
      <c r="N96" s="333">
        <f>IFERROR(IF(L96*M96=0,"",L96*M96),"")</f>
        <v/>
      </c>
      <c r="O96" s="280" t="n"/>
      <c r="P96" s="332">
        <f>IFERROR(VLOOKUP(TEXT(O96,"0"),CONDUCTORES!$A$3:$G$100,2,0),"")</f>
        <v/>
      </c>
      <c r="Q96" s="332">
        <f>IFERROR(VLOOKUP(TEXT(O96,"0"),CONDUCTORES!$A$3:$H$100,6,0),"")</f>
        <v/>
      </c>
      <c r="R96" s="334" t="n"/>
      <c r="S96" s="302" t="n"/>
      <c r="T96" s="301" t="n"/>
      <c r="U96" s="334" t="n"/>
      <c r="V96" s="301" t="n"/>
      <c r="W96" s="301" t="n"/>
      <c r="X96" s="301" t="n"/>
      <c r="Y96" s="280" t="n"/>
    </row>
    <row r="97" ht="15.75" customHeight="1" s="195">
      <c r="A97" s="241" t="n">
        <v>92</v>
      </c>
      <c r="B97" s="305" t="n"/>
      <c r="C97" s="241" t="inlineStr">
        <is>
          <t>REGION</t>
        </is>
      </c>
      <c r="D97" s="305" t="n"/>
      <c r="E97" s="241" t="inlineStr">
        <is>
          <t>DNI</t>
        </is>
      </c>
      <c r="F97" s="241" t="n"/>
      <c r="G97" s="280" t="n"/>
      <c r="H97" s="241" t="n"/>
      <c r="I97" s="332">
        <f>IFERROR(VLOOKUP(TEXT(H97,"0"),IPRESS!$A$3:$B$212,2,0),"")</f>
        <v/>
      </c>
      <c r="J97" s="241" t="n"/>
      <c r="K97" s="332">
        <f>IFERROR(VLOOKUP(TEXT(O97,"0"),CONDUCTORES!$A$3:$G$100,7,0),"")</f>
        <v/>
      </c>
      <c r="L97" s="239" t="n"/>
      <c r="M97" s="239" t="n"/>
      <c r="N97" s="333">
        <f>IFERROR(IF(L97*M97=0,"",L97*M97),"")</f>
        <v/>
      </c>
      <c r="O97" s="334" t="n"/>
      <c r="P97" s="332">
        <f>IFERROR(VLOOKUP(TEXT(O97,"0"),CONDUCTORES!$A$3:$G$100,2,0),"")</f>
        <v/>
      </c>
      <c r="Q97" s="332">
        <f>IFERROR(VLOOKUP(TEXT(O97,"0"),CONDUCTORES!$A$3:$H$100,6,0),"")</f>
        <v/>
      </c>
      <c r="R97" s="280" t="n"/>
      <c r="S97" s="305" t="n"/>
      <c r="T97" s="241" t="n"/>
      <c r="U97" s="280" t="n"/>
      <c r="V97" s="241" t="n"/>
      <c r="W97" s="241" t="n"/>
      <c r="X97" s="241" t="n"/>
      <c r="Y97" s="280" t="n"/>
    </row>
    <row r="98" ht="15.75" customHeight="1" s="195">
      <c r="A98" s="301" t="n">
        <v>93</v>
      </c>
      <c r="B98" s="302" t="n"/>
      <c r="C98" s="301" t="inlineStr">
        <is>
          <t>REGION</t>
        </is>
      </c>
      <c r="D98" s="302" t="n"/>
      <c r="E98" s="301" t="inlineStr">
        <is>
          <t>DNI</t>
        </is>
      </c>
      <c r="F98" s="301" t="n"/>
      <c r="G98" s="334" t="n"/>
      <c r="H98" s="301" t="n"/>
      <c r="I98" s="332">
        <f>IFERROR(VLOOKUP(TEXT(H98,"0"),IPRESS!$A$3:$B$212,2,0),"")</f>
        <v/>
      </c>
      <c r="J98" s="301" t="n"/>
      <c r="K98" s="332">
        <f>IFERROR(VLOOKUP(TEXT(O98,"0"),CONDUCTORES!$A$3:$G$100,7,0),"")</f>
        <v/>
      </c>
      <c r="L98" s="245" t="n"/>
      <c r="M98" s="245" t="n"/>
      <c r="N98" s="333">
        <f>IFERROR(IF(L98*M98=0,"",L98*M98),"")</f>
        <v/>
      </c>
      <c r="O98" s="280" t="n"/>
      <c r="P98" s="332">
        <f>IFERROR(VLOOKUP(TEXT(O98,"0"),CONDUCTORES!$A$3:$G$100,2,0),"")</f>
        <v/>
      </c>
      <c r="Q98" s="332">
        <f>IFERROR(VLOOKUP(TEXT(O98,"0"),CONDUCTORES!$A$3:$H$100,6,0),"")</f>
        <v/>
      </c>
      <c r="R98" s="334" t="n"/>
      <c r="S98" s="302" t="n"/>
      <c r="T98" s="301" t="n"/>
      <c r="U98" s="334" t="n"/>
      <c r="V98" s="301" t="n"/>
      <c r="W98" s="301" t="n"/>
      <c r="X98" s="301" t="n"/>
      <c r="Y98" s="280" t="n"/>
    </row>
    <row r="99" ht="15.75" customHeight="1" s="195">
      <c r="A99" s="241" t="n">
        <v>94</v>
      </c>
      <c r="B99" s="305" t="n"/>
      <c r="C99" s="241" t="inlineStr">
        <is>
          <t>REGION</t>
        </is>
      </c>
      <c r="D99" s="305" t="n"/>
      <c r="E99" s="241" t="inlineStr">
        <is>
          <t>DNI</t>
        </is>
      </c>
      <c r="F99" s="241" t="n"/>
      <c r="G99" s="280" t="n"/>
      <c r="H99" s="241" t="n"/>
      <c r="I99" s="332">
        <f>IFERROR(VLOOKUP(TEXT(H99,"0"),IPRESS!$A$3:$B$212,2,0),"")</f>
        <v/>
      </c>
      <c r="J99" s="241" t="n"/>
      <c r="K99" s="332">
        <f>IFERROR(VLOOKUP(TEXT(O99,"0"),CONDUCTORES!$A$3:$G$100,7,0),"")</f>
        <v/>
      </c>
      <c r="L99" s="239" t="n"/>
      <c r="M99" s="239" t="n"/>
      <c r="N99" s="333">
        <f>IFERROR(IF(L99*M99=0,"",L99*M99),"")</f>
        <v/>
      </c>
      <c r="O99" s="334" t="n"/>
      <c r="P99" s="332">
        <f>IFERROR(VLOOKUP(TEXT(O99,"0"),CONDUCTORES!$A$3:$G$100,2,0),"")</f>
        <v/>
      </c>
      <c r="Q99" s="332">
        <f>IFERROR(VLOOKUP(TEXT(O99,"0"),CONDUCTORES!$A$3:$H$100,6,0),"")</f>
        <v/>
      </c>
      <c r="R99" s="280" t="n"/>
      <c r="S99" s="305" t="n"/>
      <c r="T99" s="241" t="n"/>
      <c r="U99" s="280" t="n"/>
      <c r="V99" s="241" t="n"/>
      <c r="W99" s="241" t="n"/>
      <c r="X99" s="241" t="n"/>
      <c r="Y99" s="280" t="n"/>
    </row>
    <row r="100" ht="15" customHeight="1" s="195">
      <c r="A100" s="280" t="n"/>
      <c r="B100" s="280" t="n"/>
      <c r="C100" s="280" t="n"/>
      <c r="D100" s="280" t="n"/>
      <c r="E100" s="280" t="n"/>
      <c r="F100" s="280" t="n"/>
      <c r="G100" s="280" t="n"/>
      <c r="H100" s="280" t="n"/>
      <c r="I100" s="332">
        <f>IFERROR(VLOOKUP(TEXT(H100,"0"),IPRESS!$A$3:$B$212,2,0),"")</f>
        <v/>
      </c>
      <c r="J100" s="280" t="n"/>
      <c r="K100" s="332">
        <f>IFERROR(VLOOKUP(TEXT(O100,"0"),CONDUCTORES!$A$3:$G$54,7,0),"")</f>
        <v/>
      </c>
      <c r="L100" s="280" t="n"/>
      <c r="M100" s="280" t="n"/>
      <c r="N100" s="333">
        <f>IFERROR(IF(L100*M100=0,"",L100*M100),"")</f>
        <v/>
      </c>
      <c r="O100" s="280" t="n"/>
      <c r="P100" s="332">
        <f>IFERROR(VLOOKUP(TEXT(O100,"0"),CONDUCTORES!$A$3:$G$54,2,0),"")</f>
        <v/>
      </c>
      <c r="Q100" s="332">
        <f>IFERROR(VLOOKUP(TEXT(O100,"0"),CONDUCTORES!$A$3:$H$54,6,0),"")</f>
        <v/>
      </c>
      <c r="R100" s="280" t="n"/>
      <c r="S100" s="280" t="n"/>
      <c r="T100" s="280" t="n"/>
      <c r="U100" s="280" t="n"/>
      <c r="V100" s="280" t="n"/>
      <c r="W100" s="280" t="n"/>
      <c r="X100" s="280" t="n"/>
      <c r="Y100" s="280" t="n"/>
    </row>
    <row r="101" ht="24" customHeight="1" s="195">
      <c r="A101" s="342" t="inlineStr">
        <is>
          <t>SUBTOTAL (cambia al filtrar por EESS) →</t>
        </is>
      </c>
      <c r="K101" s="343" t="n"/>
      <c r="L101" s="280" t="n"/>
      <c r="M101" s="344">
        <f>SUBTOTAL(9,M4:M99)</f>
        <v/>
      </c>
      <c r="N101" s="344">
        <f>SUBTOTAL(9,N4:N99)</f>
        <v/>
      </c>
      <c r="O101" s="280" t="n"/>
      <c r="P101" s="332">
        <f>IFERROR(VLOOKUP(TEXT(O101,"0"),CONDUCTORES!$A$3:$G$100,2,0),"")</f>
        <v/>
      </c>
      <c r="Q101" s="332">
        <f>IFERROR(VLOOKUP(TEXT(O101,"0"),CONDUCTORES!$A$3:$H$100,6,0),"")</f>
        <v/>
      </c>
      <c r="R101" s="280" t="n"/>
      <c r="S101" s="280" t="n"/>
      <c r="T101" s="280" t="n"/>
      <c r="U101" s="280" t="n"/>
      <c r="V101" s="280" t="n"/>
      <c r="W101" s="280" t="n"/>
      <c r="X101" s="280" t="n"/>
      <c r="Y101" s="280" t="n"/>
    </row>
    <row r="102" ht="15" customHeight="1" s="195">
      <c r="A102" s="280" t="n"/>
      <c r="B102" s="280" t="n"/>
      <c r="C102" s="280" t="n"/>
      <c r="D102" s="280" t="n"/>
      <c r="E102" s="280" t="n"/>
      <c r="F102" s="280" t="n"/>
      <c r="G102" s="280" t="n"/>
      <c r="H102" s="280" t="n"/>
      <c r="I102" s="343" t="n"/>
      <c r="J102" s="280" t="n"/>
      <c r="K102" s="343" t="n"/>
      <c r="L102" s="280" t="n"/>
      <c r="M102" s="280" t="n"/>
      <c r="N102" s="345" t="n"/>
      <c r="O102" s="280" t="n"/>
      <c r="P102" s="343" t="n"/>
      <c r="Q102" s="343" t="n"/>
      <c r="R102" s="280" t="n"/>
      <c r="S102" s="280" t="n"/>
      <c r="T102" s="280" t="n"/>
      <c r="U102" s="280" t="n"/>
      <c r="V102" s="280" t="n"/>
      <c r="W102" s="280" t="n"/>
      <c r="X102" s="280" t="n"/>
      <c r="Y102" s="280" t="n"/>
    </row>
    <row r="103" ht="15" customHeight="1" s="195">
      <c r="A103" s="334" t="n"/>
      <c r="B103" s="334" t="n"/>
      <c r="C103" s="334" t="n"/>
      <c r="D103" s="334" t="n"/>
      <c r="E103" s="334" t="n"/>
      <c r="F103" s="334" t="n"/>
      <c r="G103" s="334" t="n"/>
      <c r="H103" s="334" t="n"/>
      <c r="I103" s="343" t="n"/>
      <c r="J103" s="334" t="n"/>
      <c r="K103" s="343" t="n"/>
      <c r="L103" s="334" t="n"/>
      <c r="M103" s="334" t="n"/>
      <c r="N103" s="345" t="n"/>
      <c r="O103" s="334" t="n"/>
      <c r="P103" s="343" t="n"/>
      <c r="Q103" s="343" t="n"/>
      <c r="R103" s="334" t="n"/>
      <c r="S103" s="334" t="n"/>
      <c r="T103" s="334" t="n"/>
      <c r="U103" s="334" t="n"/>
      <c r="V103" s="334" t="n"/>
      <c r="W103" s="334" t="n"/>
      <c r="X103" s="334" t="n"/>
      <c r="Y103" s="334" t="n"/>
    </row>
    <row r="104" ht="15" customHeight="1" s="195">
      <c r="A104" s="280" t="n"/>
      <c r="B104" s="280" t="n"/>
      <c r="C104" s="280" t="n"/>
      <c r="D104" s="280" t="n"/>
      <c r="E104" s="280" t="n"/>
      <c r="F104" s="280" t="n"/>
      <c r="G104" s="280" t="n"/>
      <c r="H104" s="280" t="n"/>
      <c r="I104" s="343" t="n"/>
      <c r="J104" s="280" t="n"/>
      <c r="K104" s="343" t="n"/>
      <c r="L104" s="280" t="n"/>
      <c r="M104" s="280" t="n"/>
      <c r="N104" s="345" t="n"/>
      <c r="O104" s="280" t="n"/>
      <c r="P104" s="343" t="n"/>
      <c r="Q104" s="343" t="n"/>
      <c r="R104" s="280" t="n"/>
      <c r="S104" s="280" t="n"/>
      <c r="T104" s="280" t="n"/>
      <c r="U104" s="280" t="n"/>
      <c r="V104" s="280" t="n"/>
      <c r="W104" s="280" t="n"/>
      <c r="X104" s="280" t="n"/>
      <c r="Y104" s="280" t="n"/>
    </row>
    <row r="105" ht="15" customHeight="1" s="195">
      <c r="A105" s="334" t="n"/>
      <c r="B105" s="334" t="n"/>
      <c r="C105" s="334" t="n"/>
      <c r="D105" s="334" t="n"/>
      <c r="E105" s="334" t="n"/>
      <c r="F105" s="334" t="n"/>
      <c r="G105" s="334" t="n"/>
      <c r="H105" s="334" t="n"/>
      <c r="I105" s="343" t="n"/>
      <c r="J105" s="334" t="n"/>
      <c r="K105" s="343" t="n"/>
      <c r="L105" s="334" t="n"/>
      <c r="M105" s="334" t="n"/>
      <c r="N105" s="345" t="n"/>
      <c r="O105" s="334" t="n"/>
      <c r="P105" s="343" t="n"/>
      <c r="Q105" s="343" t="n"/>
      <c r="R105" s="334" t="n"/>
      <c r="S105" s="334" t="n"/>
      <c r="T105" s="334" t="n"/>
      <c r="U105" s="334" t="n"/>
      <c r="V105" s="334" t="n"/>
      <c r="W105" s="334" t="n"/>
      <c r="X105" s="334" t="n"/>
      <c r="Y105" s="334" t="n"/>
    </row>
    <row r="106" ht="15" customHeight="1" s="195">
      <c r="A106" s="280" t="n"/>
      <c r="B106" s="280" t="n"/>
      <c r="C106" s="280" t="n"/>
      <c r="D106" s="280" t="n"/>
      <c r="E106" s="280" t="n"/>
      <c r="F106" s="280" t="n"/>
      <c r="G106" s="280" t="n"/>
      <c r="H106" s="280" t="n"/>
      <c r="I106" s="332">
        <f>IFERROR(VLOOKUP(TEXT(H106,"0"),IPRESS!$A$3:$B$212,2,0),"")</f>
        <v/>
      </c>
      <c r="J106" s="280" t="n"/>
      <c r="K106" s="332">
        <f>IFERROR(VLOOKUP(TEXT(O106,"0"),CONDUCTORES!$A$3:$G$54,7,0),"")</f>
        <v/>
      </c>
      <c r="L106" s="280" t="n"/>
      <c r="M106" s="280" t="n"/>
      <c r="N106" s="333">
        <f>IFERROR(IF(L106*M106=0,"",L106*M106),"")</f>
        <v/>
      </c>
      <c r="O106" s="280" t="n"/>
      <c r="P106" s="332">
        <f>IFERROR(VLOOKUP(TEXT(O106,"0"),CONDUCTORES!$A$3:$G$54,2,0),"")</f>
        <v/>
      </c>
      <c r="Q106" s="332">
        <f>IFERROR(VLOOKUP(TEXT(O106,"0"),CONDUCTORES!$A$3:$H$54,6,0),"")</f>
        <v/>
      </c>
      <c r="R106" s="280" t="n"/>
      <c r="S106" s="280" t="n"/>
      <c r="T106" s="280" t="n"/>
      <c r="U106" s="280" t="n"/>
      <c r="V106" s="280" t="n"/>
      <c r="W106" s="280" t="n"/>
      <c r="X106" s="280" t="n"/>
      <c r="Y106" s="280" t="n"/>
    </row>
    <row r="107" ht="15" customHeight="1" s="195">
      <c r="A107" s="334" t="n"/>
      <c r="B107" s="334" t="n"/>
      <c r="C107" s="334" t="n"/>
      <c r="D107" s="334" t="n"/>
      <c r="E107" s="334" t="n"/>
      <c r="F107" s="334" t="n"/>
      <c r="G107" s="334" t="n"/>
      <c r="H107" s="334" t="n"/>
      <c r="I107" s="332">
        <f>IFERROR(VLOOKUP(TEXT(H107,"0"),IPRESS!$A$3:$B$212,2,0),"")</f>
        <v/>
      </c>
      <c r="J107" s="334" t="n"/>
      <c r="K107" s="332">
        <f>IFERROR(VLOOKUP(TEXT(O107,"0"),CONDUCTORES!$A$3:$G$54,7,0),"")</f>
        <v/>
      </c>
      <c r="L107" s="334" t="n"/>
      <c r="M107" s="334" t="n"/>
      <c r="N107" s="333">
        <f>IFERROR(IF(L107*M107=0,"",L107*M107),"")</f>
        <v/>
      </c>
      <c r="O107" s="334" t="n"/>
      <c r="P107" s="332">
        <f>IFERROR(VLOOKUP(TEXT(O107,"0"),CONDUCTORES!$A$3:$G$54,2,0),"")</f>
        <v/>
      </c>
      <c r="Q107" s="332">
        <f>IFERROR(VLOOKUP(TEXT(O107,"0"),CONDUCTORES!$A$3:$H$54,6,0),"")</f>
        <v/>
      </c>
      <c r="R107" s="334" t="n"/>
      <c r="S107" s="334" t="n"/>
      <c r="T107" s="334" t="n"/>
      <c r="U107" s="334" t="n"/>
      <c r="V107" s="334" t="n"/>
      <c r="W107" s="334" t="n"/>
      <c r="X107" s="334" t="n"/>
      <c r="Y107" s="334" t="n"/>
    </row>
    <row r="108" ht="15" customHeight="1" s="195">
      <c r="A108" s="280" t="n"/>
      <c r="B108" s="280" t="n"/>
      <c r="C108" s="280" t="n"/>
      <c r="D108" s="280" t="n"/>
      <c r="E108" s="280" t="n"/>
      <c r="F108" s="280" t="n"/>
      <c r="G108" s="280" t="n"/>
      <c r="H108" s="280" t="n"/>
      <c r="I108" s="332">
        <f>IFERROR(VLOOKUP(TEXT(H108,"0"),IPRESS!$A$3:$B$212,2,0),"")</f>
        <v/>
      </c>
      <c r="J108" s="280" t="n"/>
      <c r="K108" s="332">
        <f>IFERROR(VLOOKUP(TEXT(O108,"0"),CONDUCTORES!$A$3:$G$54,7,0),"")</f>
        <v/>
      </c>
      <c r="L108" s="280" t="n"/>
      <c r="M108" s="280" t="n"/>
      <c r="N108" s="333">
        <f>IFERROR(IF(L108*M108=0,"",L108*M108),"")</f>
        <v/>
      </c>
      <c r="O108" s="280" t="n"/>
      <c r="P108" s="332">
        <f>IFERROR(VLOOKUP(TEXT(O108,"0"),CONDUCTORES!$A$3:$G$54,2,0),"")</f>
        <v/>
      </c>
      <c r="Q108" s="332">
        <f>IFERROR(VLOOKUP(TEXT(O108,"0"),CONDUCTORES!$A$3:$H$54,6,0),"")</f>
        <v/>
      </c>
      <c r="R108" s="280" t="n"/>
      <c r="S108" s="280" t="n"/>
      <c r="T108" s="280" t="n"/>
      <c r="U108" s="280" t="n"/>
      <c r="V108" s="280" t="n"/>
      <c r="W108" s="280" t="n"/>
      <c r="X108" s="280" t="n"/>
      <c r="Y108" s="280" t="n"/>
    </row>
    <row r="109" ht="15" customHeight="1" s="195">
      <c r="A109" s="334" t="n"/>
      <c r="B109" s="334" t="n"/>
      <c r="C109" s="334" t="n"/>
      <c r="D109" s="334" t="n"/>
      <c r="E109" s="334" t="n"/>
      <c r="F109" s="334" t="n"/>
      <c r="G109" s="334" t="n"/>
      <c r="H109" s="334" t="n"/>
      <c r="I109" s="332">
        <f>IFERROR(VLOOKUP(TEXT(H109,"0"),IPRESS!$A$3:$B$212,2,0),"")</f>
        <v/>
      </c>
      <c r="J109" s="334" t="n"/>
      <c r="K109" s="332">
        <f>IFERROR(VLOOKUP(TEXT(O109,"0"),CONDUCTORES!$A$3:$G$54,7,0),"")</f>
        <v/>
      </c>
      <c r="L109" s="334" t="n"/>
      <c r="M109" s="334" t="n"/>
      <c r="N109" s="333">
        <f>IFERROR(IF(L109*M109=0,"",L109*M109),"")</f>
        <v/>
      </c>
      <c r="O109" s="334" t="n"/>
      <c r="P109" s="332">
        <f>IFERROR(VLOOKUP(TEXT(O109,"0"),CONDUCTORES!$A$3:$G$54,2,0),"")</f>
        <v/>
      </c>
      <c r="Q109" s="332">
        <f>IFERROR(VLOOKUP(TEXT(O109,"0"),CONDUCTORES!$A$3:$H$54,6,0),"")</f>
        <v/>
      </c>
      <c r="R109" s="334" t="n"/>
      <c r="S109" s="334" t="n"/>
      <c r="T109" s="334" t="n"/>
      <c r="U109" s="334" t="n"/>
      <c r="V109" s="334" t="n"/>
      <c r="W109" s="334" t="n"/>
      <c r="X109" s="334" t="n"/>
      <c r="Y109" s="334" t="n"/>
    </row>
    <row r="110" ht="15" customHeight="1" s="195">
      <c r="A110" s="280" t="n"/>
      <c r="B110" s="280" t="n"/>
      <c r="C110" s="280" t="n"/>
      <c r="D110" s="280" t="n"/>
      <c r="E110" s="280" t="n"/>
      <c r="F110" s="280" t="n"/>
      <c r="G110" s="280" t="n"/>
      <c r="H110" s="280" t="n"/>
      <c r="I110" s="332">
        <f>IFERROR(VLOOKUP(TEXT(H110,"0"),IPRESS!$A$3:$B$212,2,0),"")</f>
        <v/>
      </c>
      <c r="J110" s="280" t="n"/>
      <c r="K110" s="332">
        <f>IFERROR(VLOOKUP(TEXT(O110,"0"),CONDUCTORES!$A$3:$G$54,7,0),"")</f>
        <v/>
      </c>
      <c r="L110" s="280" t="n"/>
      <c r="M110" s="280" t="n"/>
      <c r="N110" s="333">
        <f>IFERROR(IF(L110*M110=0,"",L110*M110),"")</f>
        <v/>
      </c>
      <c r="O110" s="280" t="n"/>
      <c r="P110" s="332">
        <f>IFERROR(VLOOKUP(TEXT(O110,"0"),CONDUCTORES!$A$3:$G$54,2,0),"")</f>
        <v/>
      </c>
      <c r="Q110" s="332">
        <f>IFERROR(VLOOKUP(TEXT(O110,"0"),CONDUCTORES!$A$3:$H$54,6,0),"")</f>
        <v/>
      </c>
      <c r="R110" s="280" t="n"/>
      <c r="S110" s="280" t="n"/>
      <c r="T110" s="280" t="n"/>
      <c r="U110" s="280" t="n"/>
      <c r="V110" s="280" t="n"/>
      <c r="W110" s="280" t="n"/>
      <c r="X110" s="280" t="n"/>
      <c r="Y110" s="280" t="n"/>
    </row>
    <row r="111" ht="15" customHeight="1" s="195">
      <c r="A111" s="334" t="n"/>
      <c r="B111" s="334" t="n"/>
      <c r="C111" s="334" t="n"/>
      <c r="D111" s="334" t="n"/>
      <c r="E111" s="334" t="n"/>
      <c r="F111" s="334" t="n"/>
      <c r="G111" s="334" t="n"/>
      <c r="H111" s="334" t="n"/>
      <c r="I111" s="332">
        <f>IFERROR(VLOOKUP(TEXT(H111,"0"),IPRESS!$A$3:$B$212,2,0),"")</f>
        <v/>
      </c>
      <c r="J111" s="334" t="n"/>
      <c r="K111" s="332">
        <f>IFERROR(VLOOKUP(TEXT(O111,"0"),CONDUCTORES!$A$3:$G$54,7,0),"")</f>
        <v/>
      </c>
      <c r="L111" s="334" t="n"/>
      <c r="M111" s="334" t="n"/>
      <c r="N111" s="333">
        <f>IFERROR(IF(L111*M111=0,"",L111*M111),"")</f>
        <v/>
      </c>
      <c r="O111" s="334" t="n"/>
      <c r="P111" s="332">
        <f>IFERROR(VLOOKUP(TEXT(O111,"0"),CONDUCTORES!$A$3:$G$54,2,0),"")</f>
        <v/>
      </c>
      <c r="Q111" s="332">
        <f>IFERROR(VLOOKUP(TEXT(O111,"0"),CONDUCTORES!$A$3:$H$54,6,0),"")</f>
        <v/>
      </c>
      <c r="R111" s="334" t="n"/>
      <c r="S111" s="334" t="n"/>
      <c r="T111" s="334" t="n"/>
      <c r="U111" s="334" t="n"/>
      <c r="V111" s="334" t="n"/>
      <c r="W111" s="334" t="n"/>
      <c r="X111" s="334" t="n"/>
      <c r="Y111" s="334" t="n"/>
    </row>
    <row r="112" ht="15" customHeight="1" s="195">
      <c r="A112" s="280" t="n"/>
      <c r="B112" s="280" t="n"/>
      <c r="C112" s="280" t="n"/>
      <c r="D112" s="280" t="n"/>
      <c r="E112" s="280" t="n"/>
      <c r="F112" s="280" t="n"/>
      <c r="G112" s="280" t="n"/>
      <c r="H112" s="280" t="n"/>
      <c r="I112" s="332">
        <f>IFERROR(VLOOKUP(TEXT(H112,"0"),IPRESS!$A$3:$B$212,2,0),"")</f>
        <v/>
      </c>
      <c r="J112" s="280" t="n"/>
      <c r="K112" s="332">
        <f>IFERROR(VLOOKUP(TEXT(O112,"0"),CONDUCTORES!$A$3:$G$54,7,0),"")</f>
        <v/>
      </c>
      <c r="L112" s="280" t="n"/>
      <c r="M112" s="280" t="n"/>
      <c r="N112" s="333">
        <f>IFERROR(IF(L112*M112=0,"",L112*M112),"")</f>
        <v/>
      </c>
      <c r="O112" s="280" t="n"/>
      <c r="P112" s="332">
        <f>IFERROR(VLOOKUP(TEXT(O112,"0"),CONDUCTORES!$A$3:$G$54,2,0),"")</f>
        <v/>
      </c>
      <c r="Q112" s="332">
        <f>IFERROR(VLOOKUP(TEXT(O112,"0"),CONDUCTORES!$A$3:$H$54,6,0),"")</f>
        <v/>
      </c>
      <c r="R112" s="280" t="n"/>
      <c r="S112" s="280" t="n"/>
      <c r="T112" s="280" t="n"/>
      <c r="U112" s="280" t="n"/>
      <c r="V112" s="280" t="n"/>
      <c r="W112" s="280" t="n"/>
      <c r="X112" s="280" t="n"/>
      <c r="Y112" s="280" t="n"/>
    </row>
    <row r="113" ht="15" customHeight="1" s="195">
      <c r="A113" s="334" t="n"/>
      <c r="B113" s="334" t="n"/>
      <c r="C113" s="334" t="n"/>
      <c r="D113" s="334" t="n"/>
      <c r="E113" s="334" t="n"/>
      <c r="F113" s="334" t="n"/>
      <c r="G113" s="334" t="n"/>
      <c r="H113" s="334" t="n"/>
      <c r="I113" s="332">
        <f>IFERROR(VLOOKUP(TEXT(H113,"0"),IPRESS!$A$3:$B$212,2,0),"")</f>
        <v/>
      </c>
      <c r="J113" s="334" t="n"/>
      <c r="K113" s="332">
        <f>IFERROR(VLOOKUP(TEXT(O113,"0"),CONDUCTORES!$A$3:$G$54,7,0),"")</f>
        <v/>
      </c>
      <c r="L113" s="334" t="n"/>
      <c r="M113" s="334" t="n"/>
      <c r="N113" s="333">
        <f>IFERROR(IF(L113*M113=0,"",L113*M113),"")</f>
        <v/>
      </c>
      <c r="O113" s="334" t="n"/>
      <c r="P113" s="332">
        <f>IFERROR(VLOOKUP(TEXT(O113,"0"),CONDUCTORES!$A$3:$G$54,2,0),"")</f>
        <v/>
      </c>
      <c r="Q113" s="332">
        <f>IFERROR(VLOOKUP(TEXT(O113,"0"),CONDUCTORES!$A$3:$H$54,6,0),"")</f>
        <v/>
      </c>
      <c r="R113" s="334" t="n"/>
      <c r="S113" s="334" t="n"/>
      <c r="T113" s="334" t="n"/>
      <c r="U113" s="334" t="n"/>
      <c r="V113" s="334" t="n"/>
      <c r="W113" s="334" t="n"/>
      <c r="X113" s="334" t="n"/>
      <c r="Y113" s="334" t="n"/>
    </row>
    <row r="114" ht="15" customHeight="1" s="195">
      <c r="A114" s="280" t="n"/>
      <c r="B114" s="280" t="n"/>
      <c r="C114" s="280" t="n"/>
      <c r="D114" s="280" t="n"/>
      <c r="E114" s="280" t="n"/>
      <c r="F114" s="280" t="n"/>
      <c r="G114" s="280" t="n"/>
      <c r="H114" s="280" t="n"/>
      <c r="I114" s="332">
        <f>IFERROR(VLOOKUP(TEXT(H114,"0"),IPRESS!$A$3:$B$212,2,0),"")</f>
        <v/>
      </c>
      <c r="J114" s="280" t="n"/>
      <c r="K114" s="332">
        <f>IFERROR(VLOOKUP(TEXT(O114,"0"),CONDUCTORES!$A$3:$G$54,7,0),"")</f>
        <v/>
      </c>
      <c r="L114" s="280" t="n"/>
      <c r="M114" s="280" t="n"/>
      <c r="N114" s="333">
        <f>IFERROR(IF(L114*M114=0,"",L114*M114),"")</f>
        <v/>
      </c>
      <c r="O114" s="280" t="n"/>
      <c r="P114" s="332">
        <f>IFERROR(VLOOKUP(TEXT(O114,"0"),CONDUCTORES!$A$3:$G$54,2,0),"")</f>
        <v/>
      </c>
      <c r="Q114" s="332">
        <f>IFERROR(VLOOKUP(TEXT(O114,"0"),CONDUCTORES!$A$3:$H$54,6,0),"")</f>
        <v/>
      </c>
      <c r="R114" s="280" t="n"/>
      <c r="S114" s="280" t="n"/>
      <c r="T114" s="280" t="n"/>
      <c r="U114" s="280" t="n"/>
      <c r="V114" s="280" t="n"/>
      <c r="W114" s="280" t="n"/>
      <c r="X114" s="280" t="n"/>
      <c r="Y114" s="280" t="n"/>
    </row>
    <row r="115" ht="15" customHeight="1" s="195">
      <c r="A115" s="334" t="n"/>
      <c r="B115" s="334" t="n"/>
      <c r="C115" s="334" t="n"/>
      <c r="D115" s="334" t="n"/>
      <c r="E115" s="334" t="n"/>
      <c r="F115" s="334" t="n"/>
      <c r="G115" s="334" t="n"/>
      <c r="H115" s="334" t="n"/>
      <c r="I115" s="332">
        <f>IFERROR(VLOOKUP(TEXT(H115,"0"),IPRESS!$A$3:$B$212,2,0),"")</f>
        <v/>
      </c>
      <c r="J115" s="334" t="n"/>
      <c r="K115" s="332">
        <f>IFERROR(VLOOKUP(TEXT(O115,"0"),CONDUCTORES!$A$3:$G$54,7,0),"")</f>
        <v/>
      </c>
      <c r="L115" s="334" t="n"/>
      <c r="M115" s="334" t="n"/>
      <c r="N115" s="333">
        <f>IFERROR(IF(L115*M115=0,"",L115*M115),"")</f>
        <v/>
      </c>
      <c r="O115" s="334" t="n"/>
      <c r="P115" s="332">
        <f>IFERROR(VLOOKUP(TEXT(O115,"0"),CONDUCTORES!$A$3:$G$54,2,0),"")</f>
        <v/>
      </c>
      <c r="Q115" s="332">
        <f>IFERROR(VLOOKUP(TEXT(O115,"0"),CONDUCTORES!$A$3:$H$54,6,0),"")</f>
        <v/>
      </c>
      <c r="R115" s="334" t="n"/>
      <c r="S115" s="334" t="n"/>
      <c r="T115" s="334" t="n"/>
      <c r="U115" s="334" t="n"/>
      <c r="V115" s="334" t="n"/>
      <c r="W115" s="334" t="n"/>
      <c r="X115" s="334" t="n"/>
      <c r="Y115" s="334" t="n"/>
    </row>
    <row r="116" ht="15" customHeight="1" s="195">
      <c r="A116" s="280" t="n"/>
      <c r="B116" s="280" t="n"/>
      <c r="C116" s="280" t="n"/>
      <c r="D116" s="280" t="n"/>
      <c r="E116" s="280" t="n"/>
      <c r="F116" s="280" t="n"/>
      <c r="G116" s="280" t="n"/>
      <c r="H116" s="280" t="n"/>
      <c r="I116" s="332">
        <f>IFERROR(VLOOKUP(TEXT(H116,"0"),IPRESS!$A$3:$B$212,2,0),"")</f>
        <v/>
      </c>
      <c r="J116" s="280" t="n"/>
      <c r="K116" s="332">
        <f>IFERROR(VLOOKUP(TEXT(O116,"0"),CONDUCTORES!$A$3:$G$54,7,0),"")</f>
        <v/>
      </c>
      <c r="L116" s="280" t="n"/>
      <c r="M116" s="280" t="n"/>
      <c r="N116" s="333">
        <f>IFERROR(IF(L116*M116=0,"",L116*M116),"")</f>
        <v/>
      </c>
      <c r="O116" s="280" t="n"/>
      <c r="P116" s="332">
        <f>IFERROR(VLOOKUP(TEXT(O116,"0"),CONDUCTORES!$A$3:$G$54,2,0),"")</f>
        <v/>
      </c>
      <c r="Q116" s="332">
        <f>IFERROR(VLOOKUP(TEXT(O116,"0"),CONDUCTORES!$A$3:$H$54,6,0),"")</f>
        <v/>
      </c>
      <c r="R116" s="280" t="n"/>
      <c r="S116" s="280" t="n"/>
      <c r="T116" s="280" t="n"/>
      <c r="U116" s="280" t="n"/>
      <c r="V116" s="280" t="n"/>
      <c r="W116" s="280" t="n"/>
      <c r="X116" s="280" t="n"/>
      <c r="Y116" s="280" t="n"/>
    </row>
    <row r="117" ht="15" customHeight="1" s="195">
      <c r="A117" s="334" t="n"/>
      <c r="B117" s="334" t="n"/>
      <c r="C117" s="334" t="n"/>
      <c r="D117" s="334" t="n"/>
      <c r="E117" s="334" t="n"/>
      <c r="F117" s="334" t="n"/>
      <c r="G117" s="334" t="n"/>
      <c r="H117" s="334" t="n"/>
      <c r="I117" s="332">
        <f>IFERROR(VLOOKUP(TEXT(H117,"0"),IPRESS!$A$3:$B$212,2,0),"")</f>
        <v/>
      </c>
      <c r="J117" s="334" t="n"/>
      <c r="K117" s="332">
        <f>IFERROR(VLOOKUP(TEXT(O117,"0"),CONDUCTORES!$A$3:$G$54,7,0),"")</f>
        <v/>
      </c>
      <c r="L117" s="334" t="n"/>
      <c r="M117" s="334" t="n"/>
      <c r="N117" s="333">
        <f>IFERROR(IF(L117*M117=0,"",L117*M117),"")</f>
        <v/>
      </c>
      <c r="O117" s="334" t="n"/>
      <c r="P117" s="332">
        <f>IFERROR(VLOOKUP(TEXT(O117,"0"),CONDUCTORES!$A$3:$G$54,2,0),"")</f>
        <v/>
      </c>
      <c r="Q117" s="332">
        <f>IFERROR(VLOOKUP(TEXT(O117,"0"),CONDUCTORES!$A$3:$H$54,6,0),"")</f>
        <v/>
      </c>
      <c r="R117" s="334" t="n"/>
      <c r="S117" s="334" t="n"/>
      <c r="T117" s="334" t="n"/>
      <c r="U117" s="334" t="n"/>
      <c r="V117" s="334" t="n"/>
      <c r="W117" s="334" t="n"/>
      <c r="X117" s="334" t="n"/>
      <c r="Y117" s="334" t="n"/>
    </row>
    <row r="118" ht="15" customHeight="1" s="195">
      <c r="A118" s="280" t="n"/>
      <c r="B118" s="280" t="n"/>
      <c r="C118" s="280" t="n"/>
      <c r="D118" s="280" t="n"/>
      <c r="E118" s="280" t="n"/>
      <c r="F118" s="280" t="n"/>
      <c r="G118" s="280" t="n"/>
      <c r="H118" s="280" t="n"/>
      <c r="I118" s="332">
        <f>IFERROR(VLOOKUP(TEXT(H118,"0"),IPRESS!$A$3:$B$212,2,0),"")</f>
        <v/>
      </c>
      <c r="J118" s="280" t="n"/>
      <c r="K118" s="332">
        <f>IFERROR(VLOOKUP(TEXT(O118,"0"),CONDUCTORES!$A$3:$G$54,7,0),"")</f>
        <v/>
      </c>
      <c r="L118" s="280" t="n"/>
      <c r="M118" s="280" t="n"/>
      <c r="N118" s="333">
        <f>IFERROR(IF(L118*M118=0,"",L118*M118),"")</f>
        <v/>
      </c>
      <c r="O118" s="280" t="n"/>
      <c r="P118" s="332">
        <f>IFERROR(VLOOKUP(TEXT(O118,"0"),CONDUCTORES!$A$3:$G$54,2,0),"")</f>
        <v/>
      </c>
      <c r="Q118" s="332">
        <f>IFERROR(VLOOKUP(TEXT(O118,"0"),CONDUCTORES!$A$3:$H$54,6,0),"")</f>
        <v/>
      </c>
      <c r="R118" s="280" t="n"/>
      <c r="S118" s="280" t="n"/>
      <c r="T118" s="280" t="n"/>
      <c r="U118" s="280" t="n"/>
      <c r="V118" s="280" t="n"/>
      <c r="W118" s="280" t="n"/>
      <c r="X118" s="280" t="n"/>
      <c r="Y118" s="280" t="n"/>
    </row>
    <row r="119" ht="15" customHeight="1" s="195">
      <c r="A119" s="334" t="n"/>
      <c r="B119" s="334" t="n"/>
      <c r="C119" s="334" t="n"/>
      <c r="D119" s="334" t="n"/>
      <c r="E119" s="334" t="n"/>
      <c r="F119" s="334" t="n"/>
      <c r="G119" s="334" t="n"/>
      <c r="H119" s="334" t="n"/>
      <c r="I119" s="332">
        <f>IFERROR(VLOOKUP(TEXT(H119,"0"),IPRESS!$A$3:$B$212,2,0),"")</f>
        <v/>
      </c>
      <c r="J119" s="334" t="n"/>
      <c r="K119" s="332">
        <f>IFERROR(VLOOKUP(TEXT(O119,"0"),CONDUCTORES!$A$3:$G$54,7,0),"")</f>
        <v/>
      </c>
      <c r="L119" s="334" t="n"/>
      <c r="M119" s="334" t="n"/>
      <c r="N119" s="333">
        <f>IFERROR(IF(L119*M119=0,"",L119*M119),"")</f>
        <v/>
      </c>
      <c r="O119" s="334" t="n"/>
      <c r="P119" s="332">
        <f>IFERROR(VLOOKUP(TEXT(O119,"0"),CONDUCTORES!$A$3:$G$54,2,0),"")</f>
        <v/>
      </c>
      <c r="Q119" s="332">
        <f>IFERROR(VLOOKUP(TEXT(O119,"0"),CONDUCTORES!$A$3:$H$54,6,0),"")</f>
        <v/>
      </c>
      <c r="R119" s="334" t="n"/>
      <c r="S119" s="334" t="n"/>
      <c r="T119" s="334" t="n"/>
      <c r="U119" s="334" t="n"/>
      <c r="V119" s="334" t="n"/>
      <c r="W119" s="334" t="n"/>
      <c r="X119" s="334" t="n"/>
      <c r="Y119" s="334" t="n"/>
    </row>
    <row r="120" ht="15" customHeight="1" s="195">
      <c r="A120" s="280" t="n"/>
      <c r="B120" s="280" t="n"/>
      <c r="C120" s="280" t="n"/>
      <c r="D120" s="280" t="n"/>
      <c r="E120" s="280" t="n"/>
      <c r="F120" s="280" t="n"/>
      <c r="G120" s="280" t="n"/>
      <c r="H120" s="280" t="n"/>
      <c r="I120" s="332">
        <f>IFERROR(VLOOKUP(TEXT(H120,"0"),IPRESS!$A$3:$B$212,2,0),"")</f>
        <v/>
      </c>
      <c r="J120" s="280" t="n"/>
      <c r="K120" s="332">
        <f>IFERROR(VLOOKUP(TEXT(O120,"0"),CONDUCTORES!$A$3:$G$54,7,0),"")</f>
        <v/>
      </c>
      <c r="L120" s="280" t="n"/>
      <c r="M120" s="280" t="n"/>
      <c r="N120" s="333">
        <f>IFERROR(IF(L120*M120=0,"",L120*M120),"")</f>
        <v/>
      </c>
      <c r="O120" s="280" t="n"/>
      <c r="P120" s="332">
        <f>IFERROR(VLOOKUP(TEXT(O120,"0"),CONDUCTORES!$A$3:$G$54,2,0),"")</f>
        <v/>
      </c>
      <c r="Q120" s="332">
        <f>IFERROR(VLOOKUP(TEXT(O120,"0"),CONDUCTORES!$A$3:$H$54,6,0),"")</f>
        <v/>
      </c>
      <c r="R120" s="280" t="n"/>
      <c r="S120" s="280" t="n"/>
      <c r="T120" s="280" t="n"/>
      <c r="U120" s="280" t="n"/>
      <c r="V120" s="280" t="n"/>
      <c r="W120" s="280" t="n"/>
      <c r="X120" s="280" t="n"/>
      <c r="Y120" s="280" t="n"/>
    </row>
    <row r="121" ht="15" customHeight="1" s="195">
      <c r="A121" s="334" t="n"/>
      <c r="B121" s="334" t="n"/>
      <c r="C121" s="334" t="n"/>
      <c r="D121" s="334" t="n"/>
      <c r="E121" s="334" t="n"/>
      <c r="F121" s="334" t="n"/>
      <c r="G121" s="334" t="n"/>
      <c r="H121" s="334" t="n"/>
      <c r="I121" s="332">
        <f>IFERROR(VLOOKUP(TEXT(H121,"0"),IPRESS!$A$3:$B$212,2,0),"")</f>
        <v/>
      </c>
      <c r="J121" s="334" t="n"/>
      <c r="K121" s="332">
        <f>IFERROR(VLOOKUP(TEXT(O121,"0"),CONDUCTORES!$A$3:$G$54,7,0),"")</f>
        <v/>
      </c>
      <c r="L121" s="334" t="n"/>
      <c r="M121" s="334" t="n"/>
      <c r="N121" s="333">
        <f>IFERROR(IF(L121*M121=0,"",L121*M121),"")</f>
        <v/>
      </c>
      <c r="O121" s="334" t="n"/>
      <c r="P121" s="332">
        <f>IFERROR(VLOOKUP(TEXT(O121,"0"),CONDUCTORES!$A$3:$G$54,2,0),"")</f>
        <v/>
      </c>
      <c r="Q121" s="332">
        <f>IFERROR(VLOOKUP(TEXT(O121,"0"),CONDUCTORES!$A$3:$H$54,6,0),"")</f>
        <v/>
      </c>
      <c r="R121" s="334" t="n"/>
      <c r="S121" s="334" t="n"/>
      <c r="T121" s="334" t="n"/>
      <c r="U121" s="334" t="n"/>
      <c r="V121" s="334" t="n"/>
      <c r="W121" s="334" t="n"/>
      <c r="X121" s="334" t="n"/>
      <c r="Y121" s="334" t="n"/>
    </row>
    <row r="122" ht="15" customHeight="1" s="195">
      <c r="A122" s="280" t="n"/>
      <c r="B122" s="280" t="n"/>
      <c r="C122" s="280" t="n"/>
      <c r="D122" s="280" t="n"/>
      <c r="E122" s="280" t="n"/>
      <c r="F122" s="280" t="n"/>
      <c r="G122" s="280" t="n"/>
      <c r="H122" s="280" t="n"/>
      <c r="I122" s="332">
        <f>IFERROR(VLOOKUP(TEXT(H122,"0"),IPRESS!$A$3:$B$212,2,0),"")</f>
        <v/>
      </c>
      <c r="J122" s="280" t="n"/>
      <c r="K122" s="332">
        <f>IFERROR(VLOOKUP(TEXT(O122,"0"),CONDUCTORES!$A$3:$G$54,7,0),"")</f>
        <v/>
      </c>
      <c r="L122" s="280" t="n"/>
      <c r="M122" s="280" t="n"/>
      <c r="N122" s="333">
        <f>IFERROR(IF(L122*M122=0,"",L122*M122),"")</f>
        <v/>
      </c>
      <c r="O122" s="280" t="n"/>
      <c r="P122" s="332">
        <f>IFERROR(VLOOKUP(TEXT(O122,"0"),CONDUCTORES!$A$3:$G$54,2,0),"")</f>
        <v/>
      </c>
      <c r="Q122" s="332">
        <f>IFERROR(VLOOKUP(TEXT(O122,"0"),CONDUCTORES!$A$3:$H$54,6,0),"")</f>
        <v/>
      </c>
      <c r="R122" s="280" t="n"/>
      <c r="S122" s="280" t="n"/>
      <c r="T122" s="280" t="n"/>
      <c r="U122" s="280" t="n"/>
      <c r="V122" s="280" t="n"/>
      <c r="W122" s="280" t="n"/>
      <c r="X122" s="280" t="n"/>
      <c r="Y122" s="280" t="n"/>
    </row>
    <row r="123" ht="15" customHeight="1" s="195">
      <c r="A123" s="334" t="n"/>
      <c r="B123" s="334" t="n"/>
      <c r="C123" s="334" t="n"/>
      <c r="D123" s="334" t="n"/>
      <c r="E123" s="334" t="n"/>
      <c r="F123" s="334" t="n"/>
      <c r="G123" s="334" t="n"/>
      <c r="H123" s="334" t="n"/>
      <c r="I123" s="332">
        <f>IFERROR(VLOOKUP(TEXT(H123,"0"),IPRESS!$A$3:$B$212,2,0),"")</f>
        <v/>
      </c>
      <c r="J123" s="334" t="n"/>
      <c r="K123" s="332">
        <f>IFERROR(VLOOKUP(TEXT(O123,"0"),CONDUCTORES!$A$3:$G$54,7,0),"")</f>
        <v/>
      </c>
      <c r="L123" s="334" t="n"/>
      <c r="M123" s="334" t="n"/>
      <c r="N123" s="333">
        <f>IFERROR(IF(L123*M123=0,"",L123*M123),"")</f>
        <v/>
      </c>
      <c r="O123" s="334" t="n"/>
      <c r="P123" s="332">
        <f>IFERROR(VLOOKUP(TEXT(O123,"0"),CONDUCTORES!$A$3:$G$54,2,0),"")</f>
        <v/>
      </c>
      <c r="Q123" s="332">
        <f>IFERROR(VLOOKUP(TEXT(O123,"0"),CONDUCTORES!$A$3:$H$54,6,0),"")</f>
        <v/>
      </c>
      <c r="R123" s="334" t="n"/>
      <c r="S123" s="334" t="n"/>
      <c r="T123" s="334" t="n"/>
      <c r="U123" s="334" t="n"/>
      <c r="V123" s="334" t="n"/>
      <c r="W123" s="334" t="n"/>
      <c r="X123" s="334" t="n"/>
      <c r="Y123" s="334" t="n"/>
    </row>
    <row r="124" ht="15" customHeight="1" s="195">
      <c r="A124" s="280" t="n"/>
      <c r="B124" s="280" t="n"/>
      <c r="C124" s="280" t="n"/>
      <c r="D124" s="280" t="n"/>
      <c r="E124" s="280" t="n"/>
      <c r="F124" s="280" t="n"/>
      <c r="G124" s="280" t="n"/>
      <c r="H124" s="280" t="n"/>
      <c r="I124" s="332">
        <f>IFERROR(VLOOKUP(TEXT(H124,"0"),IPRESS!$A$3:$B$212,2,0),"")</f>
        <v/>
      </c>
      <c r="J124" s="280" t="n"/>
      <c r="K124" s="332">
        <f>IFERROR(VLOOKUP(TEXT(O124,"0"),CONDUCTORES!$A$3:$G$54,7,0),"")</f>
        <v/>
      </c>
      <c r="L124" s="280" t="n"/>
      <c r="M124" s="280" t="n"/>
      <c r="N124" s="333">
        <f>IFERROR(IF(L124*M124=0,"",L124*M124),"")</f>
        <v/>
      </c>
      <c r="O124" s="280" t="n"/>
      <c r="P124" s="332">
        <f>IFERROR(VLOOKUP(TEXT(O124,"0"),CONDUCTORES!$A$3:$G$54,2,0),"")</f>
        <v/>
      </c>
      <c r="Q124" s="332">
        <f>IFERROR(VLOOKUP(TEXT(O124,"0"),CONDUCTORES!$A$3:$H$54,6,0),"")</f>
        <v/>
      </c>
      <c r="R124" s="280" t="n"/>
      <c r="S124" s="280" t="n"/>
      <c r="T124" s="280" t="n"/>
      <c r="U124" s="280" t="n"/>
      <c r="V124" s="280" t="n"/>
      <c r="W124" s="280" t="n"/>
      <c r="X124" s="280" t="n"/>
      <c r="Y124" s="280" t="n"/>
    </row>
    <row r="125" ht="15" customHeight="1" s="195">
      <c r="A125" s="334" t="n"/>
      <c r="B125" s="334" t="n"/>
      <c r="C125" s="334" t="n"/>
      <c r="D125" s="334" t="n"/>
      <c r="E125" s="334" t="n"/>
      <c r="F125" s="334" t="n"/>
      <c r="G125" s="334" t="n"/>
      <c r="H125" s="334" t="n"/>
      <c r="I125" s="332">
        <f>IFERROR(VLOOKUP(TEXT(H125,"0"),IPRESS!$A$3:$B$212,2,0),"")</f>
        <v/>
      </c>
      <c r="J125" s="334" t="n"/>
      <c r="K125" s="332">
        <f>IFERROR(VLOOKUP(TEXT(O125,"0"),CONDUCTORES!$A$3:$G$54,7,0),"")</f>
        <v/>
      </c>
      <c r="L125" s="334" t="n"/>
      <c r="M125" s="334" t="n"/>
      <c r="N125" s="333">
        <f>IFERROR(IF(L125*M125=0,"",L125*M125),"")</f>
        <v/>
      </c>
      <c r="O125" s="334" t="n"/>
      <c r="P125" s="332">
        <f>IFERROR(VLOOKUP(TEXT(O125,"0"),CONDUCTORES!$A$3:$G$54,2,0),"")</f>
        <v/>
      </c>
      <c r="Q125" s="332">
        <f>IFERROR(VLOOKUP(TEXT(O125,"0"),CONDUCTORES!$A$3:$H$54,6,0),"")</f>
        <v/>
      </c>
      <c r="R125" s="334" t="n"/>
      <c r="S125" s="334" t="n"/>
      <c r="T125" s="334" t="n"/>
      <c r="U125" s="334" t="n"/>
      <c r="V125" s="334" t="n"/>
      <c r="W125" s="334" t="n"/>
      <c r="X125" s="334" t="n"/>
      <c r="Y125" s="334" t="n"/>
    </row>
    <row r="126" ht="15" customHeight="1" s="195">
      <c r="A126" s="280" t="n"/>
      <c r="B126" s="280" t="n"/>
      <c r="C126" s="280" t="n"/>
      <c r="D126" s="280" t="n"/>
      <c r="E126" s="280" t="n"/>
      <c r="F126" s="280" t="n"/>
      <c r="G126" s="280" t="n"/>
      <c r="H126" s="280" t="n"/>
      <c r="I126" s="332">
        <f>IFERROR(VLOOKUP(TEXT(H126,"0"),IPRESS!$A$3:$B$212,2,0),"")</f>
        <v/>
      </c>
      <c r="J126" s="280" t="n"/>
      <c r="K126" s="332">
        <f>IFERROR(VLOOKUP(TEXT(O126,"0"),CONDUCTORES!$A$3:$G$54,7,0),"")</f>
        <v/>
      </c>
      <c r="L126" s="280" t="n"/>
      <c r="M126" s="280" t="n"/>
      <c r="N126" s="333">
        <f>IFERROR(IF(L126*M126=0,"",L126*M126),"")</f>
        <v/>
      </c>
      <c r="O126" s="280" t="n"/>
      <c r="P126" s="332">
        <f>IFERROR(VLOOKUP(TEXT(O126,"0"),CONDUCTORES!$A$3:$G$54,2,0),"")</f>
        <v/>
      </c>
      <c r="Q126" s="332">
        <f>IFERROR(VLOOKUP(TEXT(O126,"0"),CONDUCTORES!$A$3:$H$54,6,0),"")</f>
        <v/>
      </c>
      <c r="R126" s="280" t="n"/>
      <c r="S126" s="280" t="n"/>
      <c r="T126" s="280" t="n"/>
      <c r="U126" s="280" t="n"/>
      <c r="V126" s="280" t="n"/>
      <c r="W126" s="280" t="n"/>
      <c r="X126" s="280" t="n"/>
      <c r="Y126" s="280" t="n"/>
    </row>
    <row r="127" ht="15" customHeight="1" s="195">
      <c r="A127" s="334" t="n"/>
      <c r="B127" s="334" t="n"/>
      <c r="C127" s="334" t="n"/>
      <c r="D127" s="334" t="n"/>
      <c r="E127" s="334" t="n"/>
      <c r="F127" s="334" t="n"/>
      <c r="G127" s="334" t="n"/>
      <c r="H127" s="334" t="n"/>
      <c r="I127" s="332">
        <f>IFERROR(VLOOKUP(TEXT(H127,"0"),IPRESS!$A$3:$B$212,2,0),"")</f>
        <v/>
      </c>
      <c r="J127" s="334" t="n"/>
      <c r="K127" s="332">
        <f>IFERROR(VLOOKUP(TEXT(O127,"0"),CONDUCTORES!$A$3:$G$54,7,0),"")</f>
        <v/>
      </c>
      <c r="L127" s="334" t="n"/>
      <c r="M127" s="334" t="n"/>
      <c r="N127" s="333">
        <f>IFERROR(IF(L127*M127=0,"",L127*M127),"")</f>
        <v/>
      </c>
      <c r="O127" s="334" t="n"/>
      <c r="P127" s="332">
        <f>IFERROR(VLOOKUP(TEXT(O127,"0"),CONDUCTORES!$A$3:$G$54,2,0),"")</f>
        <v/>
      </c>
      <c r="Q127" s="332">
        <f>IFERROR(VLOOKUP(TEXT(O127,"0"),CONDUCTORES!$A$3:$H$54,6,0),"")</f>
        <v/>
      </c>
      <c r="R127" s="334" t="n"/>
      <c r="S127" s="334" t="n"/>
      <c r="T127" s="334" t="n"/>
      <c r="U127" s="334" t="n"/>
      <c r="V127" s="334" t="n"/>
      <c r="W127" s="334" t="n"/>
      <c r="X127" s="334" t="n"/>
      <c r="Y127" s="334" t="n"/>
    </row>
    <row r="128" ht="15" customHeight="1" s="195">
      <c r="A128" s="280" t="n"/>
      <c r="B128" s="280" t="n"/>
      <c r="C128" s="280" t="n"/>
      <c r="D128" s="280" t="n"/>
      <c r="E128" s="280" t="n"/>
      <c r="F128" s="280" t="n"/>
      <c r="G128" s="280" t="n"/>
      <c r="H128" s="280" t="n"/>
      <c r="I128" s="332">
        <f>IFERROR(VLOOKUP(TEXT(H128,"0"),IPRESS!$A$3:$B$212,2,0),"")</f>
        <v/>
      </c>
      <c r="J128" s="280" t="n"/>
      <c r="K128" s="332">
        <f>IFERROR(VLOOKUP(TEXT(O128,"0"),CONDUCTORES!$A$3:$G$54,7,0),"")</f>
        <v/>
      </c>
      <c r="L128" s="280" t="n"/>
      <c r="M128" s="280" t="n"/>
      <c r="N128" s="333">
        <f>IFERROR(IF(L128*M128=0,"",L128*M128),"")</f>
        <v/>
      </c>
      <c r="O128" s="280" t="n"/>
      <c r="P128" s="332">
        <f>IFERROR(VLOOKUP(TEXT(O128,"0"),CONDUCTORES!$A$3:$G$54,2,0),"")</f>
        <v/>
      </c>
      <c r="Q128" s="332">
        <f>IFERROR(VLOOKUP(TEXT(O128,"0"),CONDUCTORES!$A$3:$H$54,6,0),"")</f>
        <v/>
      </c>
      <c r="R128" s="280" t="n"/>
      <c r="S128" s="280" t="n"/>
      <c r="T128" s="280" t="n"/>
      <c r="U128" s="280" t="n"/>
      <c r="V128" s="280" t="n"/>
      <c r="W128" s="280" t="n"/>
      <c r="X128" s="280" t="n"/>
      <c r="Y128" s="280" t="n"/>
    </row>
    <row r="129" ht="15" customHeight="1" s="195">
      <c r="A129" s="334" t="n"/>
      <c r="B129" s="334" t="n"/>
      <c r="C129" s="334" t="n"/>
      <c r="D129" s="334" t="n"/>
      <c r="E129" s="334" t="n"/>
      <c r="F129" s="334" t="n"/>
      <c r="G129" s="334" t="n"/>
      <c r="H129" s="334" t="n"/>
      <c r="I129" s="332">
        <f>IFERROR(VLOOKUP(TEXT(H129,"0"),IPRESS!$A$3:$B$212,2,0),"")</f>
        <v/>
      </c>
      <c r="J129" s="334" t="n"/>
      <c r="K129" s="332">
        <f>IFERROR(VLOOKUP(TEXT(O129,"0"),CONDUCTORES!$A$3:$G$54,7,0),"")</f>
        <v/>
      </c>
      <c r="L129" s="334" t="n"/>
      <c r="M129" s="334" t="n"/>
      <c r="N129" s="333">
        <f>IFERROR(IF(L129*M129=0,"",L129*M129),"")</f>
        <v/>
      </c>
      <c r="O129" s="334" t="n"/>
      <c r="P129" s="332">
        <f>IFERROR(VLOOKUP(TEXT(O129,"0"),CONDUCTORES!$A$3:$G$54,2,0),"")</f>
        <v/>
      </c>
      <c r="Q129" s="332">
        <f>IFERROR(VLOOKUP(TEXT(O129,"0"),CONDUCTORES!$A$3:$H$54,6,0),"")</f>
        <v/>
      </c>
      <c r="R129" s="334" t="n"/>
      <c r="S129" s="334" t="n"/>
      <c r="T129" s="334" t="n"/>
      <c r="U129" s="334" t="n"/>
      <c r="V129" s="334" t="n"/>
      <c r="W129" s="334" t="n"/>
      <c r="X129" s="334" t="n"/>
      <c r="Y129" s="334" t="n"/>
    </row>
    <row r="130" ht="15" customHeight="1" s="195">
      <c r="A130" s="280" t="n"/>
      <c r="B130" s="280" t="n"/>
      <c r="C130" s="280" t="n"/>
      <c r="D130" s="280" t="n"/>
      <c r="E130" s="280" t="n"/>
      <c r="F130" s="280" t="n"/>
      <c r="G130" s="280" t="n"/>
      <c r="H130" s="280" t="n"/>
      <c r="I130" s="332">
        <f>IFERROR(VLOOKUP(TEXT(H130,"0"),IPRESS!$A$3:$B$212,2,0),"")</f>
        <v/>
      </c>
      <c r="J130" s="280" t="n"/>
      <c r="K130" s="332">
        <f>IFERROR(VLOOKUP(TEXT(O130,"0"),CONDUCTORES!$A$3:$G$54,7,0),"")</f>
        <v/>
      </c>
      <c r="L130" s="280" t="n"/>
      <c r="M130" s="280" t="n"/>
      <c r="N130" s="333">
        <f>IFERROR(IF(L130*M130=0,"",L130*M130),"")</f>
        <v/>
      </c>
      <c r="O130" s="280" t="n"/>
      <c r="P130" s="332">
        <f>IFERROR(VLOOKUP(TEXT(O130,"0"),CONDUCTORES!$A$3:$G$54,2,0),"")</f>
        <v/>
      </c>
      <c r="Q130" s="332">
        <f>IFERROR(VLOOKUP(TEXT(O130,"0"),CONDUCTORES!$A$3:$H$54,6,0),"")</f>
        <v/>
      </c>
      <c r="R130" s="280" t="n"/>
      <c r="S130" s="280" t="n"/>
      <c r="T130" s="280" t="n"/>
      <c r="U130" s="280" t="n"/>
      <c r="V130" s="280" t="n"/>
      <c r="W130" s="280" t="n"/>
      <c r="X130" s="280" t="n"/>
      <c r="Y130" s="280" t="n"/>
    </row>
    <row r="131" ht="15" customHeight="1" s="195">
      <c r="A131" s="334" t="n"/>
      <c r="B131" s="334" t="n"/>
      <c r="C131" s="334" t="n"/>
      <c r="D131" s="334" t="n"/>
      <c r="E131" s="334" t="n"/>
      <c r="F131" s="334" t="n"/>
      <c r="G131" s="334" t="n"/>
      <c r="H131" s="334" t="n"/>
      <c r="I131" s="332">
        <f>IFERROR(VLOOKUP(TEXT(H131,"0"),IPRESS!$A$3:$B$212,2,0),"")</f>
        <v/>
      </c>
      <c r="J131" s="334" t="n"/>
      <c r="K131" s="332">
        <f>IFERROR(VLOOKUP(TEXT(O131,"0"),CONDUCTORES!$A$3:$G$54,7,0),"")</f>
        <v/>
      </c>
      <c r="L131" s="334" t="n"/>
      <c r="M131" s="334" t="n"/>
      <c r="N131" s="333">
        <f>IFERROR(IF(L131*M131=0,"",L131*M131),"")</f>
        <v/>
      </c>
      <c r="O131" s="334" t="n"/>
      <c r="P131" s="332">
        <f>IFERROR(VLOOKUP(TEXT(O131,"0"),CONDUCTORES!$A$3:$G$54,2,0),"")</f>
        <v/>
      </c>
      <c r="Q131" s="332">
        <f>IFERROR(VLOOKUP(TEXT(O131,"0"),CONDUCTORES!$A$3:$H$54,6,0),"")</f>
        <v/>
      </c>
      <c r="R131" s="334" t="n"/>
      <c r="S131" s="334" t="n"/>
      <c r="T131" s="334" t="n"/>
      <c r="U131" s="334" t="n"/>
      <c r="V131" s="334" t="n"/>
      <c r="W131" s="334" t="n"/>
      <c r="X131" s="334" t="n"/>
      <c r="Y131" s="334" t="n"/>
    </row>
    <row r="132" ht="15" customHeight="1" s="195">
      <c r="A132" s="280" t="n"/>
      <c r="B132" s="280" t="n"/>
      <c r="C132" s="280" t="n"/>
      <c r="D132" s="280" t="n"/>
      <c r="E132" s="280" t="n"/>
      <c r="F132" s="280" t="n"/>
      <c r="G132" s="280" t="n"/>
      <c r="H132" s="280" t="n"/>
      <c r="I132" s="332">
        <f>IFERROR(VLOOKUP(TEXT(H132,"0"),IPRESS!$A$3:$B$212,2,0),"")</f>
        <v/>
      </c>
      <c r="J132" s="280" t="n"/>
      <c r="K132" s="332">
        <f>IFERROR(VLOOKUP(TEXT(O132,"0"),CONDUCTORES!$A$3:$G$54,7,0),"")</f>
        <v/>
      </c>
      <c r="L132" s="280" t="n"/>
      <c r="M132" s="280" t="n"/>
      <c r="N132" s="333">
        <f>IFERROR(IF(L132*M132=0,"",L132*M132),"")</f>
        <v/>
      </c>
      <c r="O132" s="280" t="n"/>
      <c r="P132" s="332">
        <f>IFERROR(VLOOKUP(TEXT(O132,"0"),CONDUCTORES!$A$3:$G$54,2,0),"")</f>
        <v/>
      </c>
      <c r="Q132" s="332">
        <f>IFERROR(VLOOKUP(TEXT(O132,"0"),CONDUCTORES!$A$3:$H$54,6,0),"")</f>
        <v/>
      </c>
      <c r="R132" s="280" t="n"/>
      <c r="S132" s="280" t="n"/>
      <c r="T132" s="280" t="n"/>
      <c r="U132" s="280" t="n"/>
      <c r="V132" s="280" t="n"/>
      <c r="W132" s="280" t="n"/>
      <c r="X132" s="280" t="n"/>
      <c r="Y132" s="280" t="n"/>
    </row>
    <row r="133" ht="15" customHeight="1" s="195">
      <c r="A133" s="334" t="n"/>
      <c r="B133" s="334" t="n"/>
      <c r="C133" s="334" t="n"/>
      <c r="D133" s="334" t="n"/>
      <c r="E133" s="334" t="n"/>
      <c r="F133" s="334" t="n"/>
      <c r="G133" s="334" t="n"/>
      <c r="H133" s="334" t="n"/>
      <c r="I133" s="332">
        <f>IFERROR(VLOOKUP(TEXT(H133,"0"),IPRESS!$A$3:$B$212,2,0),"")</f>
        <v/>
      </c>
      <c r="J133" s="334" t="n"/>
      <c r="K133" s="332">
        <f>IFERROR(VLOOKUP(TEXT(O133,"0"),CONDUCTORES!$A$3:$G$54,7,0),"")</f>
        <v/>
      </c>
      <c r="L133" s="334" t="n"/>
      <c r="M133" s="334" t="n"/>
      <c r="N133" s="333">
        <f>IFERROR(IF(L133*M133=0,"",L133*M133),"")</f>
        <v/>
      </c>
      <c r="O133" s="334" t="n"/>
      <c r="P133" s="332">
        <f>IFERROR(VLOOKUP(TEXT(O133,"0"),CONDUCTORES!$A$3:$G$54,2,0),"")</f>
        <v/>
      </c>
      <c r="Q133" s="332">
        <f>IFERROR(VLOOKUP(TEXT(O133,"0"),CONDUCTORES!$A$3:$H$54,6,0),"")</f>
        <v/>
      </c>
      <c r="R133" s="334" t="n"/>
      <c r="S133" s="334" t="n"/>
      <c r="T133" s="334" t="n"/>
      <c r="U133" s="334" t="n"/>
      <c r="V133" s="334" t="n"/>
      <c r="W133" s="334" t="n"/>
      <c r="X133" s="334" t="n"/>
      <c r="Y133" s="334" t="n"/>
    </row>
    <row r="134" ht="15" customHeight="1" s="195">
      <c r="A134" s="280" t="n"/>
      <c r="B134" s="280" t="n"/>
      <c r="C134" s="280" t="n"/>
      <c r="D134" s="280" t="n"/>
      <c r="E134" s="280" t="n"/>
      <c r="F134" s="280" t="n"/>
      <c r="G134" s="280" t="n"/>
      <c r="H134" s="280" t="n"/>
      <c r="I134" s="332">
        <f>IFERROR(VLOOKUP(TEXT(H134,"0"),IPRESS!$A$3:$B$212,2,0),"")</f>
        <v/>
      </c>
      <c r="J134" s="280" t="n"/>
      <c r="K134" s="332">
        <f>IFERROR(VLOOKUP(TEXT(O134,"0"),CONDUCTORES!$A$3:$G$54,7,0),"")</f>
        <v/>
      </c>
      <c r="L134" s="280" t="n"/>
      <c r="M134" s="280" t="n"/>
      <c r="N134" s="333">
        <f>IFERROR(IF(L134*M134=0,"",L134*M134),"")</f>
        <v/>
      </c>
      <c r="O134" s="280" t="n"/>
      <c r="P134" s="332">
        <f>IFERROR(VLOOKUP(TEXT(O134,"0"),CONDUCTORES!$A$3:$G$54,2,0),"")</f>
        <v/>
      </c>
      <c r="Q134" s="332">
        <f>IFERROR(VLOOKUP(TEXT(O134,"0"),CONDUCTORES!$A$3:$H$54,6,0),"")</f>
        <v/>
      </c>
      <c r="R134" s="280" t="n"/>
      <c r="S134" s="280" t="n"/>
      <c r="T134" s="280" t="n"/>
      <c r="U134" s="280" t="n"/>
      <c r="V134" s="280" t="n"/>
      <c r="W134" s="280" t="n"/>
      <c r="X134" s="280" t="n"/>
      <c r="Y134" s="280" t="n"/>
    </row>
    <row r="135" ht="15" customHeight="1" s="195">
      <c r="A135" s="334" t="n"/>
      <c r="B135" s="334" t="n"/>
      <c r="C135" s="334" t="n"/>
      <c r="D135" s="334" t="n"/>
      <c r="E135" s="334" t="n"/>
      <c r="F135" s="334" t="n"/>
      <c r="G135" s="334" t="n"/>
      <c r="H135" s="334" t="n"/>
      <c r="I135" s="332">
        <f>IFERROR(VLOOKUP(TEXT(H135,"0"),IPRESS!$A$3:$B$212,2,0),"")</f>
        <v/>
      </c>
      <c r="J135" s="334" t="n"/>
      <c r="K135" s="332">
        <f>IFERROR(VLOOKUP(TEXT(O135,"0"),CONDUCTORES!$A$3:$G$54,7,0),"")</f>
        <v/>
      </c>
      <c r="L135" s="334" t="n"/>
      <c r="M135" s="334" t="n"/>
      <c r="N135" s="333">
        <f>IFERROR(IF(L135*M135=0,"",L135*M135),"")</f>
        <v/>
      </c>
      <c r="O135" s="334" t="n"/>
      <c r="P135" s="332">
        <f>IFERROR(VLOOKUP(TEXT(O135,"0"),CONDUCTORES!$A$3:$G$54,2,0),"")</f>
        <v/>
      </c>
      <c r="Q135" s="332">
        <f>IFERROR(VLOOKUP(TEXT(O135,"0"),CONDUCTORES!$A$3:$H$54,6,0),"")</f>
        <v/>
      </c>
      <c r="R135" s="334" t="n"/>
      <c r="S135" s="334" t="n"/>
      <c r="T135" s="334" t="n"/>
      <c r="U135" s="334" t="n"/>
      <c r="V135" s="334" t="n"/>
      <c r="W135" s="334" t="n"/>
      <c r="X135" s="334" t="n"/>
      <c r="Y135" s="334" t="n"/>
    </row>
    <row r="136" ht="15" customHeight="1" s="195">
      <c r="A136" s="280" t="n"/>
      <c r="B136" s="280" t="n"/>
      <c r="C136" s="280" t="n"/>
      <c r="D136" s="280" t="n"/>
      <c r="E136" s="280" t="n"/>
      <c r="F136" s="280" t="n"/>
      <c r="G136" s="280" t="n"/>
      <c r="H136" s="280" t="n"/>
      <c r="I136" s="332">
        <f>IFERROR(VLOOKUP(TEXT(H136,"0"),IPRESS!$A$3:$B$212,2,0),"")</f>
        <v/>
      </c>
      <c r="J136" s="280" t="n"/>
      <c r="K136" s="332">
        <f>IFERROR(VLOOKUP(TEXT(O136,"0"),CONDUCTORES!$A$3:$G$54,7,0),"")</f>
        <v/>
      </c>
      <c r="L136" s="280" t="n"/>
      <c r="M136" s="280" t="n"/>
      <c r="N136" s="333">
        <f>IFERROR(IF(L136*M136=0,"",L136*M136),"")</f>
        <v/>
      </c>
      <c r="O136" s="280" t="n"/>
      <c r="P136" s="332">
        <f>IFERROR(VLOOKUP(TEXT(O136,"0"),CONDUCTORES!$A$3:$G$54,2,0),"")</f>
        <v/>
      </c>
      <c r="Q136" s="332">
        <f>IFERROR(VLOOKUP(TEXT(O136,"0"),CONDUCTORES!$A$3:$H$54,6,0),"")</f>
        <v/>
      </c>
      <c r="R136" s="280" t="n"/>
      <c r="S136" s="280" t="n"/>
      <c r="T136" s="280" t="n"/>
      <c r="U136" s="280" t="n"/>
      <c r="V136" s="280" t="n"/>
      <c r="W136" s="280" t="n"/>
      <c r="X136" s="280" t="n"/>
      <c r="Y136" s="280" t="n"/>
    </row>
    <row r="137" ht="15" customHeight="1" s="195">
      <c r="A137" s="334" t="n"/>
      <c r="B137" s="334" t="n"/>
      <c r="C137" s="334" t="n"/>
      <c r="D137" s="334" t="n"/>
      <c r="E137" s="334" t="n"/>
      <c r="F137" s="334" t="n"/>
      <c r="G137" s="334" t="n"/>
      <c r="H137" s="334" t="n"/>
      <c r="I137" s="332">
        <f>IFERROR(VLOOKUP(TEXT(H137,"0"),IPRESS!$A$3:$B$212,2,0),"")</f>
        <v/>
      </c>
      <c r="J137" s="334" t="n"/>
      <c r="K137" s="332">
        <f>IFERROR(VLOOKUP(TEXT(O137,"0"),CONDUCTORES!$A$3:$G$54,7,0),"")</f>
        <v/>
      </c>
      <c r="L137" s="334" t="n"/>
      <c r="M137" s="334" t="n"/>
      <c r="N137" s="333">
        <f>IFERROR(IF(L137*M137=0,"",L137*M137),"")</f>
        <v/>
      </c>
      <c r="O137" s="334" t="n"/>
      <c r="P137" s="332">
        <f>IFERROR(VLOOKUP(TEXT(O137,"0"),CONDUCTORES!$A$3:$G$54,2,0),"")</f>
        <v/>
      </c>
      <c r="Q137" s="332">
        <f>IFERROR(VLOOKUP(TEXT(O137,"0"),CONDUCTORES!$A$3:$H$54,6,0),"")</f>
        <v/>
      </c>
      <c r="R137" s="334" t="n"/>
      <c r="S137" s="334" t="n"/>
      <c r="T137" s="334" t="n"/>
      <c r="U137" s="334" t="n"/>
      <c r="V137" s="334" t="n"/>
      <c r="W137" s="334" t="n"/>
      <c r="X137" s="334" t="n"/>
      <c r="Y137" s="334" t="n"/>
    </row>
    <row r="138" ht="15" customHeight="1" s="195">
      <c r="A138" s="280" t="n"/>
      <c r="B138" s="280" t="n"/>
      <c r="C138" s="280" t="n"/>
      <c r="D138" s="280" t="n"/>
      <c r="E138" s="280" t="n"/>
      <c r="F138" s="280" t="n"/>
      <c r="G138" s="280" t="n"/>
      <c r="H138" s="280" t="n"/>
      <c r="I138" s="332">
        <f>IFERROR(VLOOKUP(TEXT(H138,"0"),IPRESS!$A$3:$B$212,2,0),"")</f>
        <v/>
      </c>
      <c r="J138" s="280" t="n"/>
      <c r="K138" s="332">
        <f>IFERROR(VLOOKUP(TEXT(O138,"0"),CONDUCTORES!$A$3:$G$54,7,0),"")</f>
        <v/>
      </c>
      <c r="L138" s="280" t="n"/>
      <c r="M138" s="280" t="n"/>
      <c r="N138" s="333">
        <f>IFERROR(IF(L138*M138=0,"",L138*M138),"")</f>
        <v/>
      </c>
      <c r="O138" s="280" t="n"/>
      <c r="P138" s="332">
        <f>IFERROR(VLOOKUP(TEXT(O138,"0"),CONDUCTORES!$A$3:$G$54,2,0),"")</f>
        <v/>
      </c>
      <c r="Q138" s="332">
        <f>IFERROR(VLOOKUP(TEXT(O138,"0"),CONDUCTORES!$A$3:$H$54,6,0),"")</f>
        <v/>
      </c>
      <c r="R138" s="280" t="n"/>
      <c r="S138" s="280" t="n"/>
      <c r="T138" s="280" t="n"/>
      <c r="U138" s="280" t="n"/>
      <c r="V138" s="280" t="n"/>
      <c r="W138" s="280" t="n"/>
      <c r="X138" s="280" t="n"/>
      <c r="Y138" s="280" t="n"/>
    </row>
    <row r="139" ht="15" customHeight="1" s="195">
      <c r="A139" s="334" t="n"/>
      <c r="B139" s="334" t="n"/>
      <c r="C139" s="334" t="n"/>
      <c r="D139" s="334" t="n"/>
      <c r="E139" s="334" t="n"/>
      <c r="F139" s="334" t="n"/>
      <c r="G139" s="334" t="n"/>
      <c r="H139" s="334" t="n"/>
      <c r="I139" s="332">
        <f>IFERROR(VLOOKUP(TEXT(H139,"0"),IPRESS!$A$3:$B$212,2,0),"")</f>
        <v/>
      </c>
      <c r="J139" s="334" t="n"/>
      <c r="K139" s="332">
        <f>IFERROR(VLOOKUP(TEXT(O139,"0"),CONDUCTORES!$A$3:$G$54,7,0),"")</f>
        <v/>
      </c>
      <c r="L139" s="334" t="n"/>
      <c r="M139" s="334" t="n"/>
      <c r="N139" s="333">
        <f>IFERROR(IF(L139*M139=0,"",L139*M139),"")</f>
        <v/>
      </c>
      <c r="O139" s="334" t="n"/>
      <c r="P139" s="332">
        <f>IFERROR(VLOOKUP(TEXT(O139,"0"),CONDUCTORES!$A$3:$G$54,2,0),"")</f>
        <v/>
      </c>
      <c r="Q139" s="332">
        <f>IFERROR(VLOOKUP(TEXT(O139,"0"),CONDUCTORES!$A$3:$H$54,6,0),"")</f>
        <v/>
      </c>
      <c r="R139" s="334" t="n"/>
      <c r="S139" s="334" t="n"/>
      <c r="T139" s="334" t="n"/>
      <c r="U139" s="334" t="n"/>
      <c r="V139" s="334" t="n"/>
      <c r="W139" s="334" t="n"/>
      <c r="X139" s="334" t="n"/>
      <c r="Y139" s="334" t="n"/>
    </row>
    <row r="140" ht="15" customHeight="1" s="195">
      <c r="A140" s="280" t="n"/>
      <c r="B140" s="280" t="n"/>
      <c r="C140" s="280" t="n"/>
      <c r="D140" s="280" t="n"/>
      <c r="E140" s="280" t="n"/>
      <c r="F140" s="280" t="n"/>
      <c r="G140" s="280" t="n"/>
      <c r="H140" s="280" t="n"/>
      <c r="I140" s="332">
        <f>IFERROR(VLOOKUP(TEXT(H140,"0"),IPRESS!$A$3:$B$212,2,0),"")</f>
        <v/>
      </c>
      <c r="J140" s="280" t="n"/>
      <c r="K140" s="332">
        <f>IFERROR(VLOOKUP(TEXT(O140,"0"),CONDUCTORES!$A$3:$G$54,7,0),"")</f>
        <v/>
      </c>
      <c r="L140" s="280" t="n"/>
      <c r="M140" s="280" t="n"/>
      <c r="N140" s="333">
        <f>IFERROR(IF(L140*M140=0,"",L140*M140),"")</f>
        <v/>
      </c>
      <c r="O140" s="280" t="n"/>
      <c r="P140" s="332">
        <f>IFERROR(VLOOKUP(TEXT(O140,"0"),CONDUCTORES!$A$3:$G$54,2,0),"")</f>
        <v/>
      </c>
      <c r="Q140" s="332">
        <f>IFERROR(VLOOKUP(TEXT(O140,"0"),CONDUCTORES!$A$3:$H$54,6,0),"")</f>
        <v/>
      </c>
      <c r="R140" s="280" t="n"/>
      <c r="S140" s="280" t="n"/>
      <c r="T140" s="280" t="n"/>
      <c r="U140" s="280" t="n"/>
      <c r="V140" s="280" t="n"/>
      <c r="W140" s="280" t="n"/>
      <c r="X140" s="280" t="n"/>
      <c r="Y140" s="280" t="n"/>
    </row>
    <row r="141" ht="15" customHeight="1" s="195">
      <c r="A141" s="334" t="n"/>
      <c r="B141" s="334" t="n"/>
      <c r="C141" s="334" t="n"/>
      <c r="D141" s="334" t="n"/>
      <c r="E141" s="334" t="n"/>
      <c r="F141" s="334" t="n"/>
      <c r="G141" s="334" t="n"/>
      <c r="H141" s="334" t="n"/>
      <c r="I141" s="332">
        <f>IFERROR(VLOOKUP(TEXT(H141,"0"),IPRESS!$A$3:$B$212,2,0),"")</f>
        <v/>
      </c>
      <c r="J141" s="334" t="n"/>
      <c r="K141" s="332">
        <f>IFERROR(VLOOKUP(TEXT(O141,"0"),CONDUCTORES!$A$3:$G$54,7,0),"")</f>
        <v/>
      </c>
      <c r="L141" s="334" t="n"/>
      <c r="M141" s="334" t="n"/>
      <c r="N141" s="333">
        <f>IFERROR(IF(L141*M141=0,"",L141*M141),"")</f>
        <v/>
      </c>
      <c r="O141" s="334" t="n"/>
      <c r="P141" s="332">
        <f>IFERROR(VLOOKUP(TEXT(O141,"0"),CONDUCTORES!$A$3:$G$54,2,0),"")</f>
        <v/>
      </c>
      <c r="Q141" s="332">
        <f>IFERROR(VLOOKUP(TEXT(O141,"0"),CONDUCTORES!$A$3:$H$54,6,0),"")</f>
        <v/>
      </c>
      <c r="R141" s="334" t="n"/>
      <c r="S141" s="334" t="n"/>
      <c r="T141" s="334" t="n"/>
      <c r="U141" s="334" t="n"/>
      <c r="V141" s="334" t="n"/>
      <c r="W141" s="334" t="n"/>
      <c r="X141" s="334" t="n"/>
      <c r="Y141" s="334" t="n"/>
    </row>
    <row r="142" ht="15" customHeight="1" s="195">
      <c r="A142" s="280" t="n"/>
      <c r="B142" s="280" t="n"/>
      <c r="C142" s="280" t="n"/>
      <c r="D142" s="280" t="n"/>
      <c r="E142" s="280" t="n"/>
      <c r="F142" s="280" t="n"/>
      <c r="G142" s="280" t="n"/>
      <c r="H142" s="280" t="n"/>
      <c r="I142" s="332">
        <f>IFERROR(VLOOKUP(TEXT(H142,"0"),IPRESS!$A$3:$B$212,2,0),"")</f>
        <v/>
      </c>
      <c r="J142" s="280" t="n"/>
      <c r="K142" s="332">
        <f>IFERROR(VLOOKUP(TEXT(O142,"0"),CONDUCTORES!$A$3:$G$54,7,0),"")</f>
        <v/>
      </c>
      <c r="L142" s="280" t="n"/>
      <c r="M142" s="280" t="n"/>
      <c r="N142" s="333">
        <f>IFERROR(IF(L142*M142=0,"",L142*M142),"")</f>
        <v/>
      </c>
      <c r="O142" s="280" t="n"/>
      <c r="P142" s="332">
        <f>IFERROR(VLOOKUP(TEXT(O142,"0"),CONDUCTORES!$A$3:$G$54,2,0),"")</f>
        <v/>
      </c>
      <c r="Q142" s="332">
        <f>IFERROR(VLOOKUP(TEXT(O142,"0"),CONDUCTORES!$A$3:$H$54,6,0),"")</f>
        <v/>
      </c>
      <c r="R142" s="280" t="n"/>
      <c r="S142" s="280" t="n"/>
      <c r="T142" s="280" t="n"/>
      <c r="U142" s="280" t="n"/>
      <c r="V142" s="280" t="n"/>
      <c r="W142" s="280" t="n"/>
      <c r="X142" s="280" t="n"/>
      <c r="Y142" s="280" t="n"/>
    </row>
    <row r="143" ht="15" customHeight="1" s="195">
      <c r="A143" s="334" t="n"/>
      <c r="B143" s="334" t="n"/>
      <c r="C143" s="334" t="n"/>
      <c r="D143" s="334" t="n"/>
      <c r="E143" s="334" t="n"/>
      <c r="F143" s="334" t="n"/>
      <c r="G143" s="334" t="n"/>
      <c r="H143" s="334" t="n"/>
      <c r="I143" s="332">
        <f>IFERROR(VLOOKUP(TEXT(H143,"0"),IPRESS!$A$3:$B$212,2,0),"")</f>
        <v/>
      </c>
      <c r="J143" s="334" t="n"/>
      <c r="K143" s="332">
        <f>IFERROR(VLOOKUP(TEXT(O143,"0"),CONDUCTORES!$A$3:$G$54,7,0),"")</f>
        <v/>
      </c>
      <c r="L143" s="334" t="n"/>
      <c r="M143" s="334" t="n"/>
      <c r="N143" s="333">
        <f>IFERROR(IF(L143*M143=0,"",L143*M143),"")</f>
        <v/>
      </c>
      <c r="O143" s="334" t="n"/>
      <c r="P143" s="332">
        <f>IFERROR(VLOOKUP(TEXT(O143,"0"),CONDUCTORES!$A$3:$G$54,2,0),"")</f>
        <v/>
      </c>
      <c r="Q143" s="332">
        <f>IFERROR(VLOOKUP(TEXT(O143,"0"),CONDUCTORES!$A$3:$H$54,6,0),"")</f>
        <v/>
      </c>
      <c r="R143" s="334" t="n"/>
      <c r="S143" s="334" t="n"/>
      <c r="T143" s="334" t="n"/>
      <c r="U143" s="334" t="n"/>
      <c r="V143" s="334" t="n"/>
      <c r="W143" s="334" t="n"/>
      <c r="X143" s="334" t="n"/>
      <c r="Y143" s="334" t="n"/>
    </row>
    <row r="144" ht="15" customHeight="1" s="195">
      <c r="A144" s="280" t="n"/>
      <c r="B144" s="280" t="n"/>
      <c r="C144" s="280" t="n"/>
      <c r="D144" s="280" t="n"/>
      <c r="E144" s="280" t="n"/>
      <c r="F144" s="280" t="n"/>
      <c r="G144" s="280" t="n"/>
      <c r="H144" s="280" t="n"/>
      <c r="I144" s="332">
        <f>IFERROR(VLOOKUP(TEXT(H144,"0"),IPRESS!$A$3:$B$212,2,0),"")</f>
        <v/>
      </c>
      <c r="J144" s="280" t="n"/>
      <c r="K144" s="332">
        <f>IFERROR(VLOOKUP(TEXT(O144,"0"),CONDUCTORES!$A$3:$G$54,7,0),"")</f>
        <v/>
      </c>
      <c r="L144" s="280" t="n"/>
      <c r="M144" s="280" t="n"/>
      <c r="N144" s="333">
        <f>IFERROR(IF(L144*M144=0,"",L144*M144),"")</f>
        <v/>
      </c>
      <c r="O144" s="280" t="n"/>
      <c r="P144" s="332">
        <f>IFERROR(VLOOKUP(TEXT(O144,"0"),CONDUCTORES!$A$3:$G$54,2,0),"")</f>
        <v/>
      </c>
      <c r="Q144" s="332">
        <f>IFERROR(VLOOKUP(TEXT(O144,"0"),CONDUCTORES!$A$3:$H$54,6,0),"")</f>
        <v/>
      </c>
      <c r="R144" s="280" t="n"/>
      <c r="S144" s="280" t="n"/>
      <c r="T144" s="280" t="n"/>
      <c r="U144" s="280" t="n"/>
      <c r="V144" s="280" t="n"/>
      <c r="W144" s="280" t="n"/>
      <c r="X144" s="280" t="n"/>
      <c r="Y144" s="280" t="n"/>
    </row>
    <row r="145" ht="15" customHeight="1" s="195">
      <c r="A145" s="334" t="n"/>
      <c r="B145" s="334" t="n"/>
      <c r="C145" s="334" t="n"/>
      <c r="D145" s="334" t="n"/>
      <c r="E145" s="334" t="n"/>
      <c r="F145" s="334" t="n"/>
      <c r="G145" s="334" t="n"/>
      <c r="H145" s="334" t="n"/>
      <c r="I145" s="332">
        <f>IFERROR(VLOOKUP(TEXT(H145,"0"),IPRESS!$A$3:$B$212,2,0),"")</f>
        <v/>
      </c>
      <c r="J145" s="334" t="n"/>
      <c r="K145" s="332">
        <f>IFERROR(VLOOKUP(TEXT(O145,"0"),CONDUCTORES!$A$3:$G$54,7,0),"")</f>
        <v/>
      </c>
      <c r="L145" s="334" t="n"/>
      <c r="M145" s="334" t="n"/>
      <c r="N145" s="333">
        <f>IFERROR(IF(L145*M145=0,"",L145*M145),"")</f>
        <v/>
      </c>
      <c r="O145" s="334" t="n"/>
      <c r="P145" s="332">
        <f>IFERROR(VLOOKUP(TEXT(O145,"0"),CONDUCTORES!$A$3:$G$54,2,0),"")</f>
        <v/>
      </c>
      <c r="Q145" s="332">
        <f>IFERROR(VLOOKUP(TEXT(O145,"0"),CONDUCTORES!$A$3:$H$54,6,0),"")</f>
        <v/>
      </c>
      <c r="R145" s="334" t="n"/>
      <c r="S145" s="334" t="n"/>
      <c r="T145" s="334" t="n"/>
      <c r="U145" s="334" t="n"/>
      <c r="V145" s="334" t="n"/>
      <c r="W145" s="334" t="n"/>
      <c r="X145" s="334" t="n"/>
      <c r="Y145" s="334" t="n"/>
    </row>
    <row r="146" ht="15" customHeight="1" s="195">
      <c r="A146" s="280" t="n"/>
      <c r="B146" s="280" t="n"/>
      <c r="C146" s="280" t="n"/>
      <c r="D146" s="280" t="n"/>
      <c r="E146" s="280" t="n"/>
      <c r="F146" s="280" t="n"/>
      <c r="G146" s="280" t="n"/>
      <c r="H146" s="280" t="n"/>
      <c r="I146" s="332">
        <f>IFERROR(VLOOKUP(TEXT(H146,"0"),IPRESS!$A$3:$B$212,2,0),"")</f>
        <v/>
      </c>
      <c r="J146" s="280" t="n"/>
      <c r="K146" s="332">
        <f>IFERROR(VLOOKUP(TEXT(O146,"0"),CONDUCTORES!$A$3:$G$54,7,0),"")</f>
        <v/>
      </c>
      <c r="L146" s="280" t="n"/>
      <c r="M146" s="280" t="n"/>
      <c r="N146" s="333">
        <f>IFERROR(IF(L146*M146=0,"",L146*M146),"")</f>
        <v/>
      </c>
      <c r="O146" s="280" t="n"/>
      <c r="P146" s="332">
        <f>IFERROR(VLOOKUP(TEXT(O146,"0"),CONDUCTORES!$A$3:$G$54,2,0),"")</f>
        <v/>
      </c>
      <c r="Q146" s="332">
        <f>IFERROR(VLOOKUP(TEXT(O146,"0"),CONDUCTORES!$A$3:$H$54,6,0),"")</f>
        <v/>
      </c>
      <c r="R146" s="280" t="n"/>
      <c r="S146" s="280" t="n"/>
      <c r="T146" s="280" t="n"/>
      <c r="U146" s="280" t="n"/>
      <c r="V146" s="280" t="n"/>
      <c r="W146" s="280" t="n"/>
      <c r="X146" s="280" t="n"/>
      <c r="Y146" s="280" t="n"/>
    </row>
    <row r="147" ht="15" customHeight="1" s="195">
      <c r="A147" s="334" t="n"/>
      <c r="B147" s="334" t="n"/>
      <c r="C147" s="334" t="n"/>
      <c r="D147" s="334" t="n"/>
      <c r="E147" s="334" t="n"/>
      <c r="F147" s="334" t="n"/>
      <c r="G147" s="334" t="n"/>
      <c r="H147" s="334" t="n"/>
      <c r="I147" s="332">
        <f>IFERROR(VLOOKUP(TEXT(H147,"0"),IPRESS!$A$3:$B$212,2,0),"")</f>
        <v/>
      </c>
      <c r="J147" s="334" t="n"/>
      <c r="K147" s="332">
        <f>IFERROR(VLOOKUP(TEXT(O147,"0"),CONDUCTORES!$A$3:$G$54,7,0),"")</f>
        <v/>
      </c>
      <c r="L147" s="334" t="n"/>
      <c r="M147" s="334" t="n"/>
      <c r="N147" s="333">
        <f>IFERROR(IF(L147*M147=0,"",L147*M147),"")</f>
        <v/>
      </c>
      <c r="O147" s="334" t="n"/>
      <c r="P147" s="332">
        <f>IFERROR(VLOOKUP(TEXT(O147,"0"),CONDUCTORES!$A$3:$G$54,2,0),"")</f>
        <v/>
      </c>
      <c r="Q147" s="332">
        <f>IFERROR(VLOOKUP(TEXT(O147,"0"),CONDUCTORES!$A$3:$H$54,6,0),"")</f>
        <v/>
      </c>
      <c r="R147" s="334" t="n"/>
      <c r="S147" s="334" t="n"/>
      <c r="T147" s="334" t="n"/>
      <c r="U147" s="334" t="n"/>
      <c r="V147" s="334" t="n"/>
      <c r="W147" s="334" t="n"/>
      <c r="X147" s="334" t="n"/>
      <c r="Y147" s="334" t="n"/>
    </row>
    <row r="148" ht="15" customHeight="1" s="195">
      <c r="A148" s="280" t="n"/>
      <c r="B148" s="280" t="n"/>
      <c r="C148" s="280" t="n"/>
      <c r="D148" s="280" t="n"/>
      <c r="E148" s="280" t="n"/>
      <c r="F148" s="280" t="n"/>
      <c r="G148" s="280" t="n"/>
      <c r="H148" s="280" t="n"/>
      <c r="I148" s="332">
        <f>IFERROR(VLOOKUP(TEXT(H148,"0"),IPRESS!$A$3:$B$212,2,0),"")</f>
        <v/>
      </c>
      <c r="J148" s="280" t="n"/>
      <c r="K148" s="332">
        <f>IFERROR(VLOOKUP(TEXT(O148,"0"),CONDUCTORES!$A$3:$G$54,7,0),"")</f>
        <v/>
      </c>
      <c r="L148" s="280" t="n"/>
      <c r="M148" s="280" t="n"/>
      <c r="N148" s="333">
        <f>IFERROR(IF(L148*M148=0,"",L148*M148),"")</f>
        <v/>
      </c>
      <c r="O148" s="280" t="n"/>
      <c r="P148" s="332">
        <f>IFERROR(VLOOKUP(TEXT(O148,"0"),CONDUCTORES!$A$3:$G$54,2,0),"")</f>
        <v/>
      </c>
      <c r="Q148" s="332">
        <f>IFERROR(VLOOKUP(TEXT(O148,"0"),CONDUCTORES!$A$3:$H$54,6,0),"")</f>
        <v/>
      </c>
      <c r="R148" s="280" t="n"/>
      <c r="S148" s="280" t="n"/>
      <c r="T148" s="280" t="n"/>
      <c r="U148" s="280" t="n"/>
      <c r="V148" s="280" t="n"/>
      <c r="W148" s="280" t="n"/>
      <c r="X148" s="280" t="n"/>
      <c r="Y148" s="280" t="n"/>
    </row>
    <row r="149" ht="15" customHeight="1" s="195">
      <c r="A149" s="334" t="n"/>
      <c r="B149" s="334" t="n"/>
      <c r="C149" s="334" t="n"/>
      <c r="D149" s="334" t="n"/>
      <c r="E149" s="334" t="n"/>
      <c r="F149" s="334" t="n"/>
      <c r="G149" s="334" t="n"/>
      <c r="H149" s="334" t="n"/>
      <c r="I149" s="332">
        <f>IFERROR(VLOOKUP(TEXT(H149,"0"),IPRESS!$A$3:$B$212,2,0),"")</f>
        <v/>
      </c>
      <c r="J149" s="334" t="n"/>
      <c r="K149" s="332">
        <f>IFERROR(VLOOKUP(TEXT(O149,"0"),CONDUCTORES!$A$3:$G$54,7,0),"")</f>
        <v/>
      </c>
      <c r="L149" s="334" t="n"/>
      <c r="M149" s="334" t="n"/>
      <c r="N149" s="333">
        <f>IFERROR(IF(L149*M149=0,"",L149*M149),"")</f>
        <v/>
      </c>
      <c r="O149" s="334" t="n"/>
      <c r="P149" s="332">
        <f>IFERROR(VLOOKUP(TEXT(O149,"0"),CONDUCTORES!$A$3:$G$54,2,0),"")</f>
        <v/>
      </c>
      <c r="Q149" s="332">
        <f>IFERROR(VLOOKUP(TEXT(O149,"0"),CONDUCTORES!$A$3:$H$54,6,0),"")</f>
        <v/>
      </c>
      <c r="R149" s="334" t="n"/>
      <c r="S149" s="334" t="n"/>
      <c r="T149" s="334" t="n"/>
      <c r="U149" s="334" t="n"/>
      <c r="V149" s="334" t="n"/>
      <c r="W149" s="334" t="n"/>
      <c r="X149" s="334" t="n"/>
      <c r="Y149" s="334" t="n"/>
    </row>
    <row r="150" ht="15" customHeight="1" s="195">
      <c r="A150" s="280" t="n"/>
      <c r="B150" s="280" t="n"/>
      <c r="C150" s="280" t="n"/>
      <c r="D150" s="280" t="n"/>
      <c r="E150" s="280" t="n"/>
      <c r="F150" s="280" t="n"/>
      <c r="G150" s="280" t="n"/>
      <c r="H150" s="280" t="n"/>
      <c r="I150" s="332">
        <f>IFERROR(VLOOKUP(TEXT(H150,"0"),IPRESS!$A$3:$B$212,2,0),"")</f>
        <v/>
      </c>
      <c r="J150" s="280" t="n"/>
      <c r="K150" s="332">
        <f>IFERROR(VLOOKUP(TEXT(O150,"0"),CONDUCTORES!$A$3:$G$54,7,0),"")</f>
        <v/>
      </c>
      <c r="L150" s="280" t="n"/>
      <c r="M150" s="280" t="n"/>
      <c r="N150" s="333">
        <f>IFERROR(IF(L150*M150=0,"",L150*M150),"")</f>
        <v/>
      </c>
      <c r="O150" s="280" t="n"/>
      <c r="P150" s="332">
        <f>IFERROR(VLOOKUP(TEXT(O150,"0"),CONDUCTORES!$A$3:$G$54,2,0),"")</f>
        <v/>
      </c>
      <c r="Q150" s="332">
        <f>IFERROR(VLOOKUP(TEXT(O150,"0"),CONDUCTORES!$A$3:$H$54,6,0),"")</f>
        <v/>
      </c>
      <c r="R150" s="280" t="n"/>
      <c r="S150" s="280" t="n"/>
      <c r="T150" s="280" t="n"/>
      <c r="U150" s="280" t="n"/>
      <c r="V150" s="280" t="n"/>
      <c r="W150" s="280" t="n"/>
      <c r="X150" s="280" t="n"/>
      <c r="Y150" s="280" t="n"/>
    </row>
    <row r="151" ht="15" customHeight="1" s="195">
      <c r="A151" s="334" t="n"/>
      <c r="B151" s="334" t="n"/>
      <c r="C151" s="334" t="n"/>
      <c r="D151" s="334" t="n"/>
      <c r="E151" s="334" t="n"/>
      <c r="F151" s="334" t="n"/>
      <c r="G151" s="334" t="n"/>
      <c r="H151" s="334" t="n"/>
      <c r="I151" s="332">
        <f>IFERROR(VLOOKUP(TEXT(H151,"0"),IPRESS!$A$3:$B$212,2,0),"")</f>
        <v/>
      </c>
      <c r="J151" s="334" t="n"/>
      <c r="K151" s="332">
        <f>IFERROR(VLOOKUP(TEXT(O151,"0"),CONDUCTORES!$A$3:$G$54,7,0),"")</f>
        <v/>
      </c>
      <c r="L151" s="334" t="n"/>
      <c r="M151" s="334" t="n"/>
      <c r="N151" s="333">
        <f>IFERROR(IF(L151*M151=0,"",L151*M151),"")</f>
        <v/>
      </c>
      <c r="O151" s="334" t="n"/>
      <c r="P151" s="332">
        <f>IFERROR(VLOOKUP(TEXT(O151,"0"),CONDUCTORES!$A$3:$G$54,2,0),"")</f>
        <v/>
      </c>
      <c r="Q151" s="332">
        <f>IFERROR(VLOOKUP(TEXT(O151,"0"),CONDUCTORES!$A$3:$H$54,6,0),"")</f>
        <v/>
      </c>
      <c r="R151" s="334" t="n"/>
      <c r="S151" s="334" t="n"/>
      <c r="T151" s="334" t="n"/>
      <c r="U151" s="334" t="n"/>
      <c r="V151" s="334" t="n"/>
      <c r="W151" s="334" t="n"/>
      <c r="X151" s="334" t="n"/>
      <c r="Y151" s="334" t="n"/>
    </row>
    <row r="152" ht="15" customHeight="1" s="195">
      <c r="A152" s="280" t="n"/>
      <c r="B152" s="280" t="n"/>
      <c r="C152" s="280" t="n"/>
      <c r="D152" s="280" t="n"/>
      <c r="E152" s="280" t="n"/>
      <c r="F152" s="280" t="n"/>
      <c r="G152" s="280" t="n"/>
      <c r="H152" s="280" t="n"/>
      <c r="I152" s="332">
        <f>IFERROR(VLOOKUP(TEXT(H152,"0"),IPRESS!$A$3:$B$212,2,0),"")</f>
        <v/>
      </c>
      <c r="J152" s="280" t="n"/>
      <c r="K152" s="332">
        <f>IFERROR(VLOOKUP(TEXT(O152,"0"),CONDUCTORES!$A$3:$G$54,7,0),"")</f>
        <v/>
      </c>
      <c r="L152" s="280" t="n"/>
      <c r="M152" s="280" t="n"/>
      <c r="N152" s="333">
        <f>IFERROR(IF(L152*M152=0,"",L152*M152),"")</f>
        <v/>
      </c>
      <c r="O152" s="280" t="n"/>
      <c r="P152" s="332">
        <f>IFERROR(VLOOKUP(TEXT(O152,"0"),CONDUCTORES!$A$3:$G$54,2,0),"")</f>
        <v/>
      </c>
      <c r="Q152" s="332">
        <f>IFERROR(VLOOKUP(TEXT(O152,"0"),CONDUCTORES!$A$3:$H$54,6,0),"")</f>
        <v/>
      </c>
      <c r="R152" s="280" t="n"/>
      <c r="S152" s="280" t="n"/>
      <c r="T152" s="280" t="n"/>
      <c r="U152" s="280" t="n"/>
      <c r="V152" s="280" t="n"/>
      <c r="W152" s="280" t="n"/>
      <c r="X152" s="280" t="n"/>
      <c r="Y152" s="280" t="n"/>
    </row>
    <row r="153" ht="15" customHeight="1" s="195">
      <c r="A153" s="334" t="n"/>
      <c r="B153" s="334" t="n"/>
      <c r="C153" s="334" t="n"/>
      <c r="D153" s="334" t="n"/>
      <c r="E153" s="334" t="n"/>
      <c r="F153" s="334" t="n"/>
      <c r="G153" s="334" t="n"/>
      <c r="H153" s="334" t="n"/>
      <c r="I153" s="332">
        <f>IFERROR(VLOOKUP(TEXT(H153,"0"),IPRESS!$A$3:$B$212,2,0),"")</f>
        <v/>
      </c>
      <c r="J153" s="334" t="n"/>
      <c r="K153" s="332">
        <f>IFERROR(VLOOKUP(TEXT(O153,"0"),CONDUCTORES!$A$3:$G$54,7,0),"")</f>
        <v/>
      </c>
      <c r="L153" s="334" t="n"/>
      <c r="M153" s="334" t="n"/>
      <c r="N153" s="333">
        <f>IFERROR(IF(L153*M153=0,"",L153*M153),"")</f>
        <v/>
      </c>
      <c r="O153" s="334" t="n"/>
      <c r="P153" s="332">
        <f>IFERROR(VLOOKUP(TEXT(O153,"0"),CONDUCTORES!$A$3:$G$54,2,0),"")</f>
        <v/>
      </c>
      <c r="Q153" s="332">
        <f>IFERROR(VLOOKUP(TEXT(O153,"0"),CONDUCTORES!$A$3:$H$54,6,0),"")</f>
        <v/>
      </c>
      <c r="R153" s="334" t="n"/>
      <c r="S153" s="334" t="n"/>
      <c r="T153" s="334" t="n"/>
      <c r="U153" s="334" t="n"/>
      <c r="V153" s="334" t="n"/>
      <c r="W153" s="334" t="n"/>
      <c r="X153" s="334" t="n"/>
      <c r="Y153" s="334" t="n"/>
    </row>
    <row r="154" ht="15" customHeight="1" s="195">
      <c r="A154" s="280" t="n"/>
      <c r="B154" s="280" t="n"/>
      <c r="C154" s="280" t="n"/>
      <c r="D154" s="280" t="n"/>
      <c r="E154" s="280" t="n"/>
      <c r="F154" s="280" t="n"/>
      <c r="G154" s="280" t="n"/>
      <c r="H154" s="280" t="n"/>
      <c r="I154" s="332">
        <f>IFERROR(VLOOKUP(TEXT(H154,"0"),IPRESS!$A$3:$B$212,2,0),"")</f>
        <v/>
      </c>
      <c r="J154" s="280" t="n"/>
      <c r="K154" s="332">
        <f>IFERROR(VLOOKUP(TEXT(O154,"0"),CONDUCTORES!$A$3:$G$54,7,0),"")</f>
        <v/>
      </c>
      <c r="L154" s="280" t="n"/>
      <c r="M154" s="280" t="n"/>
      <c r="N154" s="333">
        <f>IFERROR(IF(L154*M154=0,"",L154*M154),"")</f>
        <v/>
      </c>
      <c r="O154" s="280" t="n"/>
      <c r="P154" s="332">
        <f>IFERROR(VLOOKUP(TEXT(O154,"0"),CONDUCTORES!$A$3:$G$54,2,0),"")</f>
        <v/>
      </c>
      <c r="Q154" s="332">
        <f>IFERROR(VLOOKUP(TEXT(O154,"0"),CONDUCTORES!$A$3:$H$54,6,0),"")</f>
        <v/>
      </c>
      <c r="R154" s="280" t="n"/>
      <c r="S154" s="280" t="n"/>
      <c r="T154" s="280" t="n"/>
      <c r="U154" s="280" t="n"/>
      <c r="V154" s="280" t="n"/>
      <c r="W154" s="280" t="n"/>
      <c r="X154" s="280" t="n"/>
      <c r="Y154" s="280" t="n"/>
    </row>
    <row r="155" ht="15" customHeight="1" s="195">
      <c r="A155" s="334" t="n"/>
      <c r="B155" s="334" t="n"/>
      <c r="C155" s="334" t="n"/>
      <c r="D155" s="334" t="n"/>
      <c r="E155" s="334" t="n"/>
      <c r="F155" s="334" t="n"/>
      <c r="G155" s="334" t="n"/>
      <c r="H155" s="334" t="n"/>
      <c r="I155" s="332">
        <f>IFERROR(VLOOKUP(TEXT(H155,"0"),IPRESS!$A$3:$B$212,2,0),"")</f>
        <v/>
      </c>
      <c r="J155" s="334" t="n"/>
      <c r="K155" s="332">
        <f>IFERROR(VLOOKUP(TEXT(O155,"0"),CONDUCTORES!$A$3:$G$54,7,0),"")</f>
        <v/>
      </c>
      <c r="L155" s="334" t="n"/>
      <c r="M155" s="334" t="n"/>
      <c r="N155" s="333">
        <f>IFERROR(IF(L155*M155=0,"",L155*M155),"")</f>
        <v/>
      </c>
      <c r="O155" s="334" t="n"/>
      <c r="P155" s="332">
        <f>IFERROR(VLOOKUP(TEXT(O155,"0"),CONDUCTORES!$A$3:$G$54,2,0),"")</f>
        <v/>
      </c>
      <c r="Q155" s="332">
        <f>IFERROR(VLOOKUP(TEXT(O155,"0"),CONDUCTORES!$A$3:$H$54,6,0),"")</f>
        <v/>
      </c>
      <c r="R155" s="334" t="n"/>
      <c r="S155" s="334" t="n"/>
      <c r="T155" s="334" t="n"/>
      <c r="U155" s="334" t="n"/>
      <c r="V155" s="334" t="n"/>
      <c r="W155" s="334" t="n"/>
      <c r="X155" s="334" t="n"/>
      <c r="Y155" s="334" t="n"/>
    </row>
    <row r="156" ht="15" customHeight="1" s="195">
      <c r="A156" s="280" t="n"/>
      <c r="B156" s="280" t="n"/>
      <c r="C156" s="280" t="n"/>
      <c r="D156" s="280" t="n"/>
      <c r="E156" s="280" t="n"/>
      <c r="F156" s="280" t="n"/>
      <c r="G156" s="280" t="n"/>
      <c r="H156" s="280" t="n"/>
      <c r="I156" s="332">
        <f>IFERROR(VLOOKUP(TEXT(H156,"0"),IPRESS!$A$3:$B$212,2,0),"")</f>
        <v/>
      </c>
      <c r="J156" s="280" t="n"/>
      <c r="K156" s="332">
        <f>IFERROR(VLOOKUP(TEXT(O156,"0"),CONDUCTORES!$A$3:$G$54,7,0),"")</f>
        <v/>
      </c>
      <c r="L156" s="280" t="n"/>
      <c r="M156" s="280" t="n"/>
      <c r="N156" s="333">
        <f>IFERROR(IF(L156*M156=0,"",L156*M156),"")</f>
        <v/>
      </c>
      <c r="O156" s="280" t="n"/>
      <c r="P156" s="332">
        <f>IFERROR(VLOOKUP(TEXT(O156,"0"),CONDUCTORES!$A$3:$G$54,2,0),"")</f>
        <v/>
      </c>
      <c r="Q156" s="332">
        <f>IFERROR(VLOOKUP(TEXT(O156,"0"),CONDUCTORES!$A$3:$H$54,6,0),"")</f>
        <v/>
      </c>
      <c r="R156" s="280" t="n"/>
      <c r="S156" s="280" t="n"/>
      <c r="T156" s="280" t="n"/>
      <c r="U156" s="280" t="n"/>
      <c r="V156" s="280" t="n"/>
      <c r="W156" s="280" t="n"/>
      <c r="X156" s="280" t="n"/>
      <c r="Y156" s="280" t="n"/>
    </row>
    <row r="157" ht="15" customHeight="1" s="195">
      <c r="A157" s="334" t="n"/>
      <c r="B157" s="334" t="n"/>
      <c r="C157" s="334" t="n"/>
      <c r="D157" s="334" t="n"/>
      <c r="E157" s="334" t="n"/>
      <c r="F157" s="334" t="n"/>
      <c r="G157" s="334" t="n"/>
      <c r="H157" s="334" t="n"/>
      <c r="I157" s="332">
        <f>IFERROR(VLOOKUP(TEXT(H157,"0"),IPRESS!$A$3:$B$212,2,0),"")</f>
        <v/>
      </c>
      <c r="J157" s="334" t="n"/>
      <c r="K157" s="332">
        <f>IFERROR(VLOOKUP(TEXT(O157,"0"),CONDUCTORES!$A$3:$G$54,7,0),"")</f>
        <v/>
      </c>
      <c r="L157" s="334" t="n"/>
      <c r="M157" s="334" t="n"/>
      <c r="N157" s="333">
        <f>IFERROR(IF(L157*M157=0,"",L157*M157),"")</f>
        <v/>
      </c>
      <c r="O157" s="334" t="n"/>
      <c r="P157" s="332">
        <f>IFERROR(VLOOKUP(TEXT(O157,"0"),CONDUCTORES!$A$3:$G$54,2,0),"")</f>
        <v/>
      </c>
      <c r="Q157" s="332">
        <f>IFERROR(VLOOKUP(TEXT(O157,"0"),CONDUCTORES!$A$3:$H$54,6,0),"")</f>
        <v/>
      </c>
      <c r="R157" s="334" t="n"/>
      <c r="S157" s="334" t="n"/>
      <c r="T157" s="334" t="n"/>
      <c r="U157" s="334" t="n"/>
      <c r="V157" s="334" t="n"/>
      <c r="W157" s="334" t="n"/>
      <c r="X157" s="334" t="n"/>
      <c r="Y157" s="334" t="n"/>
    </row>
    <row r="158" ht="15" customHeight="1" s="195">
      <c r="A158" s="280" t="n"/>
      <c r="B158" s="280" t="n"/>
      <c r="C158" s="280" t="n"/>
      <c r="D158" s="280" t="n"/>
      <c r="E158" s="280" t="n"/>
      <c r="F158" s="280" t="n"/>
      <c r="G158" s="280" t="n"/>
      <c r="H158" s="280" t="n"/>
      <c r="I158" s="332">
        <f>IFERROR(VLOOKUP(TEXT(H158,"0"),IPRESS!$A$3:$B$212,2,0),"")</f>
        <v/>
      </c>
      <c r="J158" s="280" t="n"/>
      <c r="K158" s="332">
        <f>IFERROR(VLOOKUP(TEXT(O158,"0"),CONDUCTORES!$A$3:$G$54,7,0),"")</f>
        <v/>
      </c>
      <c r="L158" s="280" t="n"/>
      <c r="M158" s="280" t="n"/>
      <c r="N158" s="333">
        <f>IFERROR(IF(L158*M158=0,"",L158*M158),"")</f>
        <v/>
      </c>
      <c r="O158" s="280" t="n"/>
      <c r="P158" s="332">
        <f>IFERROR(VLOOKUP(TEXT(O158,"0"),CONDUCTORES!$A$3:$G$54,2,0),"")</f>
        <v/>
      </c>
      <c r="Q158" s="332">
        <f>IFERROR(VLOOKUP(TEXT(O158,"0"),CONDUCTORES!$A$3:$H$54,6,0),"")</f>
        <v/>
      </c>
      <c r="R158" s="280" t="n"/>
      <c r="S158" s="280" t="n"/>
      <c r="T158" s="280" t="n"/>
      <c r="U158" s="280" t="n"/>
      <c r="V158" s="280" t="n"/>
      <c r="W158" s="280" t="n"/>
      <c r="X158" s="280" t="n"/>
      <c r="Y158" s="280" t="n"/>
    </row>
    <row r="159" ht="15" customHeight="1" s="195">
      <c r="A159" s="334" t="n"/>
      <c r="B159" s="334" t="n"/>
      <c r="C159" s="334" t="n"/>
      <c r="D159" s="334" t="n"/>
      <c r="E159" s="334" t="n"/>
      <c r="F159" s="334" t="n"/>
      <c r="G159" s="334" t="n"/>
      <c r="H159" s="334" t="n"/>
      <c r="I159" s="332">
        <f>IFERROR(VLOOKUP(TEXT(H159,"0"),IPRESS!$A$3:$B$212,2,0),"")</f>
        <v/>
      </c>
      <c r="J159" s="334" t="n"/>
      <c r="K159" s="332">
        <f>IFERROR(VLOOKUP(TEXT(O159,"0"),CONDUCTORES!$A$3:$G$54,7,0),"")</f>
        <v/>
      </c>
      <c r="L159" s="334" t="n"/>
      <c r="M159" s="334" t="n"/>
      <c r="N159" s="333">
        <f>IFERROR(IF(L159*M159=0,"",L159*M159),"")</f>
        <v/>
      </c>
      <c r="O159" s="334" t="n"/>
      <c r="P159" s="332">
        <f>IFERROR(VLOOKUP(TEXT(O159,"0"),CONDUCTORES!$A$3:$G$54,2,0),"")</f>
        <v/>
      </c>
      <c r="Q159" s="332">
        <f>IFERROR(VLOOKUP(TEXT(O159,"0"),CONDUCTORES!$A$3:$H$54,6,0),"")</f>
        <v/>
      </c>
      <c r="R159" s="334" t="n"/>
      <c r="S159" s="334" t="n"/>
      <c r="T159" s="334" t="n"/>
      <c r="U159" s="334" t="n"/>
      <c r="V159" s="334" t="n"/>
      <c r="W159" s="334" t="n"/>
      <c r="X159" s="334" t="n"/>
      <c r="Y159" s="334" t="n"/>
    </row>
    <row r="160" ht="15" customHeight="1" s="195">
      <c r="A160" s="280" t="n"/>
      <c r="B160" s="280" t="n"/>
      <c r="C160" s="280" t="n"/>
      <c r="D160" s="280" t="n"/>
      <c r="E160" s="280" t="n"/>
      <c r="F160" s="280" t="n"/>
      <c r="G160" s="280" t="n"/>
      <c r="H160" s="280" t="n"/>
      <c r="I160" s="332">
        <f>IFERROR(VLOOKUP(TEXT(H160,"0"),IPRESS!$A$3:$B$212,2,0),"")</f>
        <v/>
      </c>
      <c r="J160" s="280" t="n"/>
      <c r="K160" s="332">
        <f>IFERROR(VLOOKUP(TEXT(O160,"0"),CONDUCTORES!$A$3:$G$54,7,0),"")</f>
        <v/>
      </c>
      <c r="L160" s="280" t="n"/>
      <c r="M160" s="280" t="n"/>
      <c r="N160" s="333">
        <f>IFERROR(IF(L160*M160=0,"",L160*M160),"")</f>
        <v/>
      </c>
      <c r="O160" s="280" t="n"/>
      <c r="P160" s="332">
        <f>IFERROR(VLOOKUP(TEXT(O160,"0"),CONDUCTORES!$A$3:$G$54,2,0),"")</f>
        <v/>
      </c>
      <c r="Q160" s="332">
        <f>IFERROR(VLOOKUP(TEXT(O160,"0"),CONDUCTORES!$A$3:$H$54,6,0),"")</f>
        <v/>
      </c>
      <c r="R160" s="280" t="n"/>
      <c r="S160" s="280" t="n"/>
      <c r="T160" s="280" t="n"/>
      <c r="U160" s="280" t="n"/>
      <c r="V160" s="280" t="n"/>
      <c r="W160" s="280" t="n"/>
      <c r="X160" s="280" t="n"/>
      <c r="Y160" s="280" t="n"/>
    </row>
    <row r="161" ht="15" customHeight="1" s="195">
      <c r="A161" s="334" t="n"/>
      <c r="B161" s="334" t="n"/>
      <c r="C161" s="334" t="n"/>
      <c r="D161" s="334" t="n"/>
      <c r="E161" s="334" t="n"/>
      <c r="F161" s="334" t="n"/>
      <c r="G161" s="334" t="n"/>
      <c r="H161" s="334" t="n"/>
      <c r="I161" s="332">
        <f>IFERROR(VLOOKUP(TEXT(H161,"0"),IPRESS!$A$3:$B$212,2,0),"")</f>
        <v/>
      </c>
      <c r="J161" s="334" t="n"/>
      <c r="K161" s="332">
        <f>IFERROR(VLOOKUP(TEXT(O161,"0"),CONDUCTORES!$A$3:$G$54,7,0),"")</f>
        <v/>
      </c>
      <c r="L161" s="334" t="n"/>
      <c r="M161" s="334" t="n"/>
      <c r="N161" s="333">
        <f>IFERROR(IF(L161*M161=0,"",L161*M161),"")</f>
        <v/>
      </c>
      <c r="O161" s="334" t="n"/>
      <c r="P161" s="332">
        <f>IFERROR(VLOOKUP(TEXT(O161,"0"),CONDUCTORES!$A$3:$G$54,2,0),"")</f>
        <v/>
      </c>
      <c r="Q161" s="332">
        <f>IFERROR(VLOOKUP(TEXT(O161,"0"),CONDUCTORES!$A$3:$H$54,6,0),"")</f>
        <v/>
      </c>
      <c r="R161" s="334" t="n"/>
      <c r="S161" s="334" t="n"/>
      <c r="T161" s="334" t="n"/>
      <c r="U161" s="334" t="n"/>
      <c r="V161" s="334" t="n"/>
      <c r="W161" s="334" t="n"/>
      <c r="X161" s="334" t="n"/>
      <c r="Y161" s="334" t="n"/>
    </row>
    <row r="162" ht="15" customHeight="1" s="195">
      <c r="A162" s="280" t="n"/>
      <c r="B162" s="280" t="n"/>
      <c r="C162" s="280" t="n"/>
      <c r="D162" s="280" t="n"/>
      <c r="E162" s="280" t="n"/>
      <c r="F162" s="280" t="n"/>
      <c r="G162" s="280" t="n"/>
      <c r="H162" s="280" t="n"/>
      <c r="I162" s="332">
        <f>IFERROR(VLOOKUP(TEXT(H162,"0"),IPRESS!$A$3:$B$212,2,0),"")</f>
        <v/>
      </c>
      <c r="J162" s="280" t="n"/>
      <c r="K162" s="332">
        <f>IFERROR(VLOOKUP(TEXT(O162,"0"),CONDUCTORES!$A$3:$G$54,7,0),"")</f>
        <v/>
      </c>
      <c r="L162" s="280" t="n"/>
      <c r="M162" s="280" t="n"/>
      <c r="N162" s="333">
        <f>IFERROR(IF(L162*M162=0,"",L162*M162),"")</f>
        <v/>
      </c>
      <c r="O162" s="280" t="n"/>
      <c r="P162" s="332">
        <f>IFERROR(VLOOKUP(TEXT(O162,"0"),CONDUCTORES!$A$3:$G$54,2,0),"")</f>
        <v/>
      </c>
      <c r="Q162" s="332">
        <f>IFERROR(VLOOKUP(TEXT(O162,"0"),CONDUCTORES!$A$3:$H$54,6,0),"")</f>
        <v/>
      </c>
      <c r="R162" s="280" t="n"/>
      <c r="S162" s="280" t="n"/>
      <c r="T162" s="280" t="n"/>
      <c r="U162" s="280" t="n"/>
      <c r="V162" s="280" t="n"/>
      <c r="W162" s="280" t="n"/>
      <c r="X162" s="280" t="n"/>
      <c r="Y162" s="280" t="n"/>
    </row>
    <row r="163" ht="15" customHeight="1" s="195">
      <c r="A163" s="334" t="n"/>
      <c r="B163" s="334" t="n"/>
      <c r="C163" s="334" t="n"/>
      <c r="D163" s="334" t="n"/>
      <c r="E163" s="334" t="n"/>
      <c r="F163" s="334" t="n"/>
      <c r="G163" s="334" t="n"/>
      <c r="H163" s="334" t="n"/>
      <c r="I163" s="332">
        <f>IFERROR(VLOOKUP(TEXT(H163,"0"),IPRESS!$A$3:$B$212,2,0),"")</f>
        <v/>
      </c>
      <c r="J163" s="334" t="n"/>
      <c r="K163" s="332">
        <f>IFERROR(VLOOKUP(TEXT(O163,"0"),CONDUCTORES!$A$3:$G$54,7,0),"")</f>
        <v/>
      </c>
      <c r="L163" s="334" t="n"/>
      <c r="M163" s="334" t="n"/>
      <c r="N163" s="333">
        <f>IFERROR(IF(L163*M163=0,"",L163*M163),"")</f>
        <v/>
      </c>
      <c r="O163" s="334" t="n"/>
      <c r="P163" s="332">
        <f>IFERROR(VLOOKUP(TEXT(O163,"0"),CONDUCTORES!$A$3:$G$54,2,0),"")</f>
        <v/>
      </c>
      <c r="Q163" s="332">
        <f>IFERROR(VLOOKUP(TEXT(O163,"0"),CONDUCTORES!$A$3:$H$54,6,0),"")</f>
        <v/>
      </c>
      <c r="R163" s="334" t="n"/>
      <c r="S163" s="334" t="n"/>
      <c r="T163" s="334" t="n"/>
      <c r="U163" s="334" t="n"/>
      <c r="V163" s="334" t="n"/>
      <c r="W163" s="334" t="n"/>
      <c r="X163" s="334" t="n"/>
      <c r="Y163" s="334" t="n"/>
    </row>
    <row r="164" ht="15" customHeight="1" s="195">
      <c r="A164" s="280" t="n"/>
      <c r="B164" s="280" t="n"/>
      <c r="C164" s="280" t="n"/>
      <c r="D164" s="280" t="n"/>
      <c r="E164" s="280" t="n"/>
      <c r="F164" s="280" t="n"/>
      <c r="G164" s="280" t="n"/>
      <c r="H164" s="280" t="n"/>
      <c r="I164" s="332">
        <f>IFERROR(VLOOKUP(TEXT(H164,"0"),IPRESS!$A$3:$B$212,2,0),"")</f>
        <v/>
      </c>
      <c r="J164" s="280" t="n"/>
      <c r="K164" s="332">
        <f>IFERROR(VLOOKUP(TEXT(O164,"0"),CONDUCTORES!$A$3:$G$54,7,0),"")</f>
        <v/>
      </c>
      <c r="L164" s="280" t="n"/>
      <c r="M164" s="280" t="n"/>
      <c r="N164" s="333">
        <f>IFERROR(IF(L164*M164=0,"",L164*M164),"")</f>
        <v/>
      </c>
      <c r="O164" s="280" t="n"/>
      <c r="P164" s="332">
        <f>IFERROR(VLOOKUP(TEXT(O164,"0"),CONDUCTORES!$A$3:$G$54,2,0),"")</f>
        <v/>
      </c>
      <c r="Q164" s="332">
        <f>IFERROR(VLOOKUP(TEXT(O164,"0"),CONDUCTORES!$A$3:$H$54,6,0),"")</f>
        <v/>
      </c>
      <c r="R164" s="280" t="n"/>
      <c r="S164" s="280" t="n"/>
      <c r="T164" s="280" t="n"/>
      <c r="U164" s="280" t="n"/>
      <c r="V164" s="280" t="n"/>
      <c r="W164" s="280" t="n"/>
      <c r="X164" s="280" t="n"/>
      <c r="Y164" s="280" t="n"/>
    </row>
    <row r="165" ht="15" customHeight="1" s="195">
      <c r="A165" s="334" t="n"/>
      <c r="B165" s="334" t="n"/>
      <c r="C165" s="334" t="n"/>
      <c r="D165" s="334" t="n"/>
      <c r="E165" s="334" t="n"/>
      <c r="F165" s="334" t="n"/>
      <c r="G165" s="334" t="n"/>
      <c r="H165" s="334" t="n"/>
      <c r="I165" s="332">
        <f>IFERROR(VLOOKUP(TEXT(H165,"0"),IPRESS!$A$3:$B$212,2,0),"")</f>
        <v/>
      </c>
      <c r="J165" s="334" t="n"/>
      <c r="K165" s="332">
        <f>IFERROR(VLOOKUP(TEXT(O165,"0"),CONDUCTORES!$A$3:$G$54,7,0),"")</f>
        <v/>
      </c>
      <c r="L165" s="334" t="n"/>
      <c r="M165" s="334" t="n"/>
      <c r="N165" s="333">
        <f>IFERROR(IF(L165*M165=0,"",L165*M165),"")</f>
        <v/>
      </c>
      <c r="O165" s="334" t="n"/>
      <c r="P165" s="332">
        <f>IFERROR(VLOOKUP(TEXT(O165,"0"),CONDUCTORES!$A$3:$G$54,2,0),"")</f>
        <v/>
      </c>
      <c r="Q165" s="332">
        <f>IFERROR(VLOOKUP(TEXT(O165,"0"),CONDUCTORES!$A$3:$H$54,6,0),"")</f>
        <v/>
      </c>
      <c r="R165" s="334" t="n"/>
      <c r="S165" s="334" t="n"/>
      <c r="T165" s="334" t="n"/>
      <c r="U165" s="334" t="n"/>
      <c r="V165" s="334" t="n"/>
      <c r="W165" s="334" t="n"/>
      <c r="X165" s="334" t="n"/>
      <c r="Y165" s="334" t="n"/>
    </row>
    <row r="166" ht="15" customHeight="1" s="195">
      <c r="A166" s="280" t="n"/>
      <c r="B166" s="280" t="n"/>
      <c r="C166" s="280" t="n"/>
      <c r="D166" s="280" t="n"/>
      <c r="E166" s="280" t="n"/>
      <c r="F166" s="280" t="n"/>
      <c r="G166" s="280" t="n"/>
      <c r="H166" s="280" t="n"/>
      <c r="I166" s="332">
        <f>IFERROR(VLOOKUP(TEXT(H166,"0"),IPRESS!$A$3:$B$212,2,0),"")</f>
        <v/>
      </c>
      <c r="J166" s="280" t="n"/>
      <c r="K166" s="332">
        <f>IFERROR(VLOOKUP(TEXT(O166,"0"),CONDUCTORES!$A$3:$G$54,7,0),"")</f>
        <v/>
      </c>
      <c r="L166" s="280" t="n"/>
      <c r="M166" s="280" t="n"/>
      <c r="N166" s="333">
        <f>IFERROR(IF(L166*M166=0,"",L166*M166),"")</f>
        <v/>
      </c>
      <c r="O166" s="280" t="n"/>
      <c r="P166" s="332">
        <f>IFERROR(VLOOKUP(TEXT(O166,"0"),CONDUCTORES!$A$3:$G$54,2,0),"")</f>
        <v/>
      </c>
      <c r="Q166" s="332">
        <f>IFERROR(VLOOKUP(TEXT(O166,"0"),CONDUCTORES!$A$3:$H$54,6,0),"")</f>
        <v/>
      </c>
      <c r="R166" s="280" t="n"/>
      <c r="S166" s="280" t="n"/>
      <c r="T166" s="280" t="n"/>
      <c r="U166" s="280" t="n"/>
      <c r="V166" s="280" t="n"/>
      <c r="W166" s="280" t="n"/>
      <c r="X166" s="280" t="n"/>
      <c r="Y166" s="280" t="n"/>
    </row>
    <row r="167" ht="15" customHeight="1" s="195">
      <c r="A167" s="334" t="n"/>
      <c r="B167" s="334" t="n"/>
      <c r="C167" s="334" t="n"/>
      <c r="D167" s="334" t="n"/>
      <c r="E167" s="334" t="n"/>
      <c r="F167" s="334" t="n"/>
      <c r="G167" s="334" t="n"/>
      <c r="H167" s="334" t="n"/>
      <c r="I167" s="332">
        <f>IFERROR(VLOOKUP(TEXT(H167,"0"),IPRESS!$A$3:$B$212,2,0),"")</f>
        <v/>
      </c>
      <c r="J167" s="334" t="n"/>
      <c r="K167" s="332">
        <f>IFERROR(VLOOKUP(TEXT(O167,"0"),CONDUCTORES!$A$3:$G$54,7,0),"")</f>
        <v/>
      </c>
      <c r="L167" s="334" t="n"/>
      <c r="M167" s="334" t="n"/>
      <c r="N167" s="333">
        <f>IFERROR(IF(L167*M167=0,"",L167*M167),"")</f>
        <v/>
      </c>
      <c r="O167" s="334" t="n"/>
      <c r="P167" s="332">
        <f>IFERROR(VLOOKUP(TEXT(O167,"0"),CONDUCTORES!$A$3:$G$54,2,0),"")</f>
        <v/>
      </c>
      <c r="Q167" s="332">
        <f>IFERROR(VLOOKUP(TEXT(O167,"0"),CONDUCTORES!$A$3:$H$54,6,0),"")</f>
        <v/>
      </c>
      <c r="R167" s="334" t="n"/>
      <c r="S167" s="334" t="n"/>
      <c r="T167" s="334" t="n"/>
      <c r="U167" s="334" t="n"/>
      <c r="V167" s="334" t="n"/>
      <c r="W167" s="334" t="n"/>
      <c r="X167" s="334" t="n"/>
      <c r="Y167" s="334" t="n"/>
    </row>
    <row r="168" ht="15" customHeight="1" s="195">
      <c r="A168" s="280" t="n"/>
      <c r="B168" s="280" t="n"/>
      <c r="C168" s="280" t="n"/>
      <c r="D168" s="280" t="n"/>
      <c r="E168" s="280" t="n"/>
      <c r="F168" s="280" t="n"/>
      <c r="G168" s="280" t="n"/>
      <c r="H168" s="280" t="n"/>
      <c r="I168" s="332">
        <f>IFERROR(VLOOKUP(TEXT(H168,"0"),IPRESS!$A$3:$B$212,2,0),"")</f>
        <v/>
      </c>
      <c r="J168" s="280" t="n"/>
      <c r="K168" s="332">
        <f>IFERROR(VLOOKUP(TEXT(O168,"0"),CONDUCTORES!$A$3:$G$54,7,0),"")</f>
        <v/>
      </c>
      <c r="L168" s="280" t="n"/>
      <c r="M168" s="280" t="n"/>
      <c r="N168" s="333">
        <f>IFERROR(IF(L168*M168=0,"",L168*M168),"")</f>
        <v/>
      </c>
      <c r="O168" s="280" t="n"/>
      <c r="P168" s="332">
        <f>IFERROR(VLOOKUP(TEXT(O168,"0"),CONDUCTORES!$A$3:$G$54,2,0),"")</f>
        <v/>
      </c>
      <c r="Q168" s="332">
        <f>IFERROR(VLOOKUP(TEXT(O168,"0"),CONDUCTORES!$A$3:$H$54,6,0),"")</f>
        <v/>
      </c>
      <c r="R168" s="280" t="n"/>
      <c r="S168" s="280" t="n"/>
      <c r="T168" s="280" t="n"/>
      <c r="U168" s="280" t="n"/>
      <c r="V168" s="280" t="n"/>
      <c r="W168" s="280" t="n"/>
      <c r="X168" s="280" t="n"/>
      <c r="Y168" s="280" t="n"/>
    </row>
    <row r="169" ht="15" customHeight="1" s="195">
      <c r="A169" s="334" t="n"/>
      <c r="B169" s="334" t="n"/>
      <c r="C169" s="334" t="n"/>
      <c r="D169" s="334" t="n"/>
      <c r="E169" s="334" t="n"/>
      <c r="F169" s="334" t="n"/>
      <c r="G169" s="334" t="n"/>
      <c r="H169" s="334" t="n"/>
      <c r="I169" s="332">
        <f>IFERROR(VLOOKUP(TEXT(H169,"0"),IPRESS!$A$3:$B$212,2,0),"")</f>
        <v/>
      </c>
      <c r="J169" s="334" t="n"/>
      <c r="K169" s="332">
        <f>IFERROR(VLOOKUP(TEXT(O169,"0"),CONDUCTORES!$A$3:$G$54,7,0),"")</f>
        <v/>
      </c>
      <c r="L169" s="334" t="n"/>
      <c r="M169" s="334" t="n"/>
      <c r="N169" s="333">
        <f>IFERROR(IF(L169*M169=0,"",L169*M169),"")</f>
        <v/>
      </c>
      <c r="O169" s="334" t="n"/>
      <c r="P169" s="332">
        <f>IFERROR(VLOOKUP(TEXT(O169,"0"),CONDUCTORES!$A$3:$G$54,2,0),"")</f>
        <v/>
      </c>
      <c r="Q169" s="332">
        <f>IFERROR(VLOOKUP(TEXT(O169,"0"),CONDUCTORES!$A$3:$H$54,6,0),"")</f>
        <v/>
      </c>
      <c r="R169" s="334" t="n"/>
      <c r="S169" s="334" t="n"/>
      <c r="T169" s="334" t="n"/>
      <c r="U169" s="334" t="n"/>
      <c r="V169" s="334" t="n"/>
      <c r="W169" s="334" t="n"/>
      <c r="X169" s="334" t="n"/>
      <c r="Y169" s="334" t="n"/>
    </row>
    <row r="170" ht="15" customHeight="1" s="195">
      <c r="A170" s="280" t="n"/>
      <c r="B170" s="280" t="n"/>
      <c r="C170" s="280" t="n"/>
      <c r="D170" s="280" t="n"/>
      <c r="E170" s="280" t="n"/>
      <c r="F170" s="280" t="n"/>
      <c r="G170" s="280" t="n"/>
      <c r="H170" s="280" t="n"/>
      <c r="I170" s="332">
        <f>IFERROR(VLOOKUP(TEXT(H170,"0"),IPRESS!$A$3:$B$212,2,0),"")</f>
        <v/>
      </c>
      <c r="J170" s="280" t="n"/>
      <c r="K170" s="332">
        <f>IFERROR(VLOOKUP(TEXT(O170,"0"),CONDUCTORES!$A$3:$G$54,7,0),"")</f>
        <v/>
      </c>
      <c r="L170" s="280" t="n"/>
      <c r="M170" s="280" t="n"/>
      <c r="N170" s="333">
        <f>IFERROR(IF(L170*M170=0,"",L170*M170),"")</f>
        <v/>
      </c>
      <c r="O170" s="280" t="n"/>
      <c r="P170" s="332">
        <f>IFERROR(VLOOKUP(TEXT(O170,"0"),CONDUCTORES!$A$3:$G$54,2,0),"")</f>
        <v/>
      </c>
      <c r="Q170" s="332">
        <f>IFERROR(VLOOKUP(TEXT(O170,"0"),CONDUCTORES!$A$3:$H$54,6,0),"")</f>
        <v/>
      </c>
      <c r="R170" s="280" t="n"/>
      <c r="S170" s="280" t="n"/>
      <c r="T170" s="280" t="n"/>
      <c r="U170" s="280" t="n"/>
      <c r="V170" s="280" t="n"/>
      <c r="W170" s="280" t="n"/>
      <c r="X170" s="280" t="n"/>
      <c r="Y170" s="280" t="n"/>
    </row>
    <row r="171" ht="15" customHeight="1" s="195">
      <c r="A171" s="334" t="n"/>
      <c r="B171" s="334" t="n"/>
      <c r="C171" s="334" t="n"/>
      <c r="D171" s="334" t="n"/>
      <c r="E171" s="334" t="n"/>
      <c r="F171" s="334" t="n"/>
      <c r="G171" s="334" t="n"/>
      <c r="H171" s="334" t="n"/>
      <c r="I171" s="332">
        <f>IFERROR(VLOOKUP(TEXT(H171,"0"),IPRESS!$A$3:$B$212,2,0),"")</f>
        <v/>
      </c>
      <c r="J171" s="334" t="n"/>
      <c r="K171" s="332">
        <f>IFERROR(VLOOKUP(TEXT(O171,"0"),CONDUCTORES!$A$3:$G$54,7,0),"")</f>
        <v/>
      </c>
      <c r="L171" s="334" t="n"/>
      <c r="M171" s="334" t="n"/>
      <c r="N171" s="333">
        <f>IFERROR(IF(L171*M171=0,"",L171*M171),"")</f>
        <v/>
      </c>
      <c r="O171" s="334" t="n"/>
      <c r="P171" s="332">
        <f>IFERROR(VLOOKUP(TEXT(O171,"0"),CONDUCTORES!$A$3:$G$54,2,0),"")</f>
        <v/>
      </c>
      <c r="Q171" s="332">
        <f>IFERROR(VLOOKUP(TEXT(O171,"0"),CONDUCTORES!$A$3:$H$54,6,0),"")</f>
        <v/>
      </c>
      <c r="R171" s="334" t="n"/>
      <c r="S171" s="334" t="n"/>
      <c r="T171" s="334" t="n"/>
      <c r="U171" s="334" t="n"/>
      <c r="V171" s="334" t="n"/>
      <c r="W171" s="334" t="n"/>
      <c r="X171" s="334" t="n"/>
      <c r="Y171" s="334" t="n"/>
    </row>
    <row r="172" ht="15" customHeight="1" s="195">
      <c r="A172" s="280" t="n"/>
      <c r="B172" s="280" t="n"/>
      <c r="C172" s="280" t="n"/>
      <c r="D172" s="280" t="n"/>
      <c r="E172" s="280" t="n"/>
      <c r="F172" s="280" t="n"/>
      <c r="G172" s="280" t="n"/>
      <c r="H172" s="280" t="n"/>
      <c r="I172" s="332">
        <f>IFERROR(VLOOKUP(TEXT(H172,"0"),IPRESS!$A$3:$B$212,2,0),"")</f>
        <v/>
      </c>
      <c r="J172" s="280" t="n"/>
      <c r="K172" s="332">
        <f>IFERROR(VLOOKUP(TEXT(O172,"0"),CONDUCTORES!$A$3:$G$54,7,0),"")</f>
        <v/>
      </c>
      <c r="L172" s="280" t="n"/>
      <c r="M172" s="280" t="n"/>
      <c r="N172" s="333">
        <f>IFERROR(IF(L172*M172=0,"",L172*M172),"")</f>
        <v/>
      </c>
      <c r="O172" s="280" t="n"/>
      <c r="P172" s="332">
        <f>IFERROR(VLOOKUP(TEXT(O172,"0"),CONDUCTORES!$A$3:$G$54,2,0),"")</f>
        <v/>
      </c>
      <c r="Q172" s="332">
        <f>IFERROR(VLOOKUP(TEXT(O172,"0"),CONDUCTORES!$A$3:$H$54,6,0),"")</f>
        <v/>
      </c>
      <c r="R172" s="280" t="n"/>
      <c r="S172" s="280" t="n"/>
      <c r="T172" s="280" t="n"/>
      <c r="U172" s="280" t="n"/>
      <c r="V172" s="280" t="n"/>
      <c r="W172" s="280" t="n"/>
      <c r="X172" s="280" t="n"/>
      <c r="Y172" s="280" t="n"/>
    </row>
    <row r="173" ht="15" customHeight="1" s="195">
      <c r="A173" s="334" t="n"/>
      <c r="B173" s="334" t="n"/>
      <c r="C173" s="334" t="n"/>
      <c r="D173" s="334" t="n"/>
      <c r="E173" s="334" t="n"/>
      <c r="F173" s="334" t="n"/>
      <c r="G173" s="334" t="n"/>
      <c r="H173" s="334" t="n"/>
      <c r="I173" s="332">
        <f>IFERROR(VLOOKUP(TEXT(H173,"0"),IPRESS!$A$3:$B$212,2,0),"")</f>
        <v/>
      </c>
      <c r="J173" s="334" t="n"/>
      <c r="K173" s="332">
        <f>IFERROR(VLOOKUP(TEXT(O173,"0"),CONDUCTORES!$A$3:$G$54,7,0),"")</f>
        <v/>
      </c>
      <c r="L173" s="334" t="n"/>
      <c r="M173" s="334" t="n"/>
      <c r="N173" s="333">
        <f>IFERROR(IF(L173*M173=0,"",L173*M173),"")</f>
        <v/>
      </c>
      <c r="O173" s="334" t="n"/>
      <c r="P173" s="332">
        <f>IFERROR(VLOOKUP(TEXT(O173,"0"),CONDUCTORES!$A$3:$G$54,2,0),"")</f>
        <v/>
      </c>
      <c r="Q173" s="332">
        <f>IFERROR(VLOOKUP(TEXT(O173,"0"),CONDUCTORES!$A$3:$H$54,6,0),"")</f>
        <v/>
      </c>
      <c r="R173" s="334" t="n"/>
      <c r="S173" s="334" t="n"/>
      <c r="T173" s="334" t="n"/>
      <c r="U173" s="334" t="n"/>
      <c r="V173" s="334" t="n"/>
      <c r="W173" s="334" t="n"/>
      <c r="X173" s="334" t="n"/>
      <c r="Y173" s="334" t="n"/>
    </row>
    <row r="174" ht="15" customHeight="1" s="195">
      <c r="A174" s="280" t="n"/>
      <c r="B174" s="280" t="n"/>
      <c r="C174" s="280" t="n"/>
      <c r="D174" s="280" t="n"/>
      <c r="E174" s="280" t="n"/>
      <c r="F174" s="280" t="n"/>
      <c r="G174" s="280" t="n"/>
      <c r="H174" s="280" t="n"/>
      <c r="I174" s="332">
        <f>IFERROR(VLOOKUP(TEXT(H174,"0"),IPRESS!$A$3:$B$212,2,0),"")</f>
        <v/>
      </c>
      <c r="J174" s="280" t="n"/>
      <c r="K174" s="332">
        <f>IFERROR(VLOOKUP(TEXT(O174,"0"),CONDUCTORES!$A$3:$G$54,7,0),"")</f>
        <v/>
      </c>
      <c r="L174" s="280" t="n"/>
      <c r="M174" s="280" t="n"/>
      <c r="N174" s="333">
        <f>IFERROR(IF(L174*M174=0,"",L174*M174),"")</f>
        <v/>
      </c>
      <c r="O174" s="280" t="n"/>
      <c r="P174" s="332">
        <f>IFERROR(VLOOKUP(TEXT(O174,"0"),CONDUCTORES!$A$3:$G$54,2,0),"")</f>
        <v/>
      </c>
      <c r="Q174" s="332">
        <f>IFERROR(VLOOKUP(TEXT(O174,"0"),CONDUCTORES!$A$3:$H$54,6,0),"")</f>
        <v/>
      </c>
      <c r="R174" s="280" t="n"/>
      <c r="S174" s="280" t="n"/>
      <c r="T174" s="280" t="n"/>
      <c r="U174" s="280" t="n"/>
      <c r="V174" s="280" t="n"/>
      <c r="W174" s="280" t="n"/>
      <c r="X174" s="280" t="n"/>
      <c r="Y174" s="280" t="n"/>
    </row>
    <row r="175" ht="15" customHeight="1" s="195">
      <c r="A175" s="334" t="n"/>
      <c r="B175" s="334" t="n"/>
      <c r="C175" s="334" t="n"/>
      <c r="D175" s="334" t="n"/>
      <c r="E175" s="334" t="n"/>
      <c r="F175" s="334" t="n"/>
      <c r="G175" s="334" t="n"/>
      <c r="H175" s="334" t="n"/>
      <c r="I175" s="332">
        <f>IFERROR(VLOOKUP(TEXT(H175,"0"),IPRESS!$A$3:$B$212,2,0),"")</f>
        <v/>
      </c>
      <c r="J175" s="334" t="n"/>
      <c r="K175" s="332">
        <f>IFERROR(VLOOKUP(TEXT(O175,"0"),CONDUCTORES!$A$3:$G$54,7,0),"")</f>
        <v/>
      </c>
      <c r="L175" s="334" t="n"/>
      <c r="M175" s="334" t="n"/>
      <c r="N175" s="333">
        <f>IFERROR(IF(L175*M175=0,"",L175*M175),"")</f>
        <v/>
      </c>
      <c r="O175" s="334" t="n"/>
      <c r="P175" s="332">
        <f>IFERROR(VLOOKUP(TEXT(O175,"0"),CONDUCTORES!$A$3:$G$54,2,0),"")</f>
        <v/>
      </c>
      <c r="Q175" s="332">
        <f>IFERROR(VLOOKUP(TEXT(O175,"0"),CONDUCTORES!$A$3:$H$54,6,0),"")</f>
        <v/>
      </c>
      <c r="R175" s="334" t="n"/>
      <c r="S175" s="334" t="n"/>
      <c r="T175" s="334" t="n"/>
      <c r="U175" s="334" t="n"/>
      <c r="V175" s="334" t="n"/>
      <c r="W175" s="334" t="n"/>
      <c r="X175" s="334" t="n"/>
      <c r="Y175" s="334" t="n"/>
    </row>
    <row r="176" ht="15" customHeight="1" s="195">
      <c r="A176" s="280" t="n"/>
      <c r="B176" s="280" t="n"/>
      <c r="C176" s="280" t="n"/>
      <c r="D176" s="280" t="n"/>
      <c r="E176" s="280" t="n"/>
      <c r="F176" s="280" t="n"/>
      <c r="G176" s="280" t="n"/>
      <c r="H176" s="280" t="n"/>
      <c r="I176" s="332">
        <f>IFERROR(VLOOKUP(TEXT(H176,"0"),IPRESS!$A$3:$B$212,2,0),"")</f>
        <v/>
      </c>
      <c r="J176" s="280" t="n"/>
      <c r="K176" s="332">
        <f>IFERROR(VLOOKUP(TEXT(O176,"0"),CONDUCTORES!$A$3:$G$54,7,0),"")</f>
        <v/>
      </c>
      <c r="L176" s="280" t="n"/>
      <c r="M176" s="280" t="n"/>
      <c r="N176" s="333">
        <f>IFERROR(IF(L176*M176=0,"",L176*M176),"")</f>
        <v/>
      </c>
      <c r="O176" s="280" t="n"/>
      <c r="P176" s="332">
        <f>IFERROR(VLOOKUP(TEXT(O176,"0"),CONDUCTORES!$A$3:$G$54,2,0),"")</f>
        <v/>
      </c>
      <c r="Q176" s="332">
        <f>IFERROR(VLOOKUP(TEXT(O176,"0"),CONDUCTORES!$A$3:$H$54,6,0),"")</f>
        <v/>
      </c>
      <c r="R176" s="280" t="n"/>
      <c r="S176" s="280" t="n"/>
      <c r="T176" s="280" t="n"/>
      <c r="U176" s="280" t="n"/>
      <c r="V176" s="280" t="n"/>
      <c r="W176" s="280" t="n"/>
      <c r="X176" s="280" t="n"/>
      <c r="Y176" s="280" t="n"/>
    </row>
    <row r="177" ht="15" customHeight="1" s="195">
      <c r="A177" s="334" t="n"/>
      <c r="B177" s="334" t="n"/>
      <c r="C177" s="334" t="n"/>
      <c r="D177" s="334" t="n"/>
      <c r="E177" s="334" t="n"/>
      <c r="F177" s="334" t="n"/>
      <c r="G177" s="334" t="n"/>
      <c r="H177" s="334" t="n"/>
      <c r="I177" s="332">
        <f>IFERROR(VLOOKUP(TEXT(H177,"0"),IPRESS!$A$3:$B$212,2,0),"")</f>
        <v/>
      </c>
      <c r="J177" s="334" t="n"/>
      <c r="K177" s="332">
        <f>IFERROR(VLOOKUP(TEXT(O177,"0"),CONDUCTORES!$A$3:$G$54,7,0),"")</f>
        <v/>
      </c>
      <c r="L177" s="334" t="n"/>
      <c r="M177" s="334" t="n"/>
      <c r="N177" s="333">
        <f>IFERROR(IF(L177*M177=0,"",L177*M177),"")</f>
        <v/>
      </c>
      <c r="O177" s="334" t="n"/>
      <c r="P177" s="332">
        <f>IFERROR(VLOOKUP(TEXT(O177,"0"),CONDUCTORES!$A$3:$G$54,2,0),"")</f>
        <v/>
      </c>
      <c r="Q177" s="332">
        <f>IFERROR(VLOOKUP(TEXT(O177,"0"),CONDUCTORES!$A$3:$H$54,6,0),"")</f>
        <v/>
      </c>
      <c r="R177" s="334" t="n"/>
      <c r="S177" s="334" t="n"/>
      <c r="T177" s="334" t="n"/>
      <c r="U177" s="334" t="n"/>
      <c r="V177" s="334" t="n"/>
      <c r="W177" s="334" t="n"/>
      <c r="X177" s="334" t="n"/>
      <c r="Y177" s="334" t="n"/>
    </row>
    <row r="178" ht="15" customHeight="1" s="195">
      <c r="A178" s="280" t="n"/>
      <c r="B178" s="280" t="n"/>
      <c r="C178" s="280" t="n"/>
      <c r="D178" s="280" t="n"/>
      <c r="E178" s="280" t="n"/>
      <c r="F178" s="280" t="n"/>
      <c r="G178" s="280" t="n"/>
      <c r="H178" s="280" t="n"/>
      <c r="I178" s="332">
        <f>IFERROR(VLOOKUP(TEXT(H178,"0"),IPRESS!$A$3:$B$212,2,0),"")</f>
        <v/>
      </c>
      <c r="J178" s="280" t="n"/>
      <c r="K178" s="332">
        <f>IFERROR(VLOOKUP(TEXT(O178,"0"),CONDUCTORES!$A$3:$G$54,7,0),"")</f>
        <v/>
      </c>
      <c r="L178" s="280" t="n"/>
      <c r="M178" s="280" t="n"/>
      <c r="N178" s="333">
        <f>IFERROR(IF(L178*M178=0,"",L178*M178),"")</f>
        <v/>
      </c>
      <c r="O178" s="280" t="n"/>
      <c r="P178" s="332">
        <f>IFERROR(VLOOKUP(TEXT(O178,"0"),CONDUCTORES!$A$3:$G$54,2,0),"")</f>
        <v/>
      </c>
      <c r="Q178" s="332">
        <f>IFERROR(VLOOKUP(TEXT(O178,"0"),CONDUCTORES!$A$3:$H$54,6,0),"")</f>
        <v/>
      </c>
      <c r="R178" s="280" t="n"/>
      <c r="S178" s="280" t="n"/>
      <c r="T178" s="280" t="n"/>
      <c r="U178" s="280" t="n"/>
      <c r="V178" s="280" t="n"/>
      <c r="W178" s="280" t="n"/>
      <c r="X178" s="280" t="n"/>
      <c r="Y178" s="280" t="n"/>
    </row>
    <row r="179" ht="15" customHeight="1" s="195">
      <c r="A179" s="334" t="n"/>
      <c r="B179" s="334" t="n"/>
      <c r="C179" s="334" t="n"/>
      <c r="D179" s="334" t="n"/>
      <c r="E179" s="334" t="n"/>
      <c r="F179" s="334" t="n"/>
      <c r="G179" s="334" t="n"/>
      <c r="H179" s="334" t="n"/>
      <c r="I179" s="332">
        <f>IFERROR(VLOOKUP(TEXT(H179,"0"),IPRESS!$A$3:$B$212,2,0),"")</f>
        <v/>
      </c>
      <c r="J179" s="334" t="n"/>
      <c r="K179" s="332">
        <f>IFERROR(VLOOKUP(TEXT(O179,"0"),CONDUCTORES!$A$3:$G$54,7,0),"")</f>
        <v/>
      </c>
      <c r="L179" s="334" t="n"/>
      <c r="M179" s="334" t="n"/>
      <c r="N179" s="333">
        <f>IFERROR(IF(L179*M179=0,"",L179*M179),"")</f>
        <v/>
      </c>
      <c r="O179" s="334" t="n"/>
      <c r="P179" s="332">
        <f>IFERROR(VLOOKUP(TEXT(O179,"0"),CONDUCTORES!$A$3:$G$54,2,0),"")</f>
        <v/>
      </c>
      <c r="Q179" s="332">
        <f>IFERROR(VLOOKUP(TEXT(O179,"0"),CONDUCTORES!$A$3:$H$54,6,0),"")</f>
        <v/>
      </c>
      <c r="R179" s="334" t="n"/>
      <c r="S179" s="334" t="n"/>
      <c r="T179" s="334" t="n"/>
      <c r="U179" s="334" t="n"/>
      <c r="V179" s="334" t="n"/>
      <c r="W179" s="334" t="n"/>
      <c r="X179" s="334" t="n"/>
      <c r="Y179" s="334" t="n"/>
    </row>
    <row r="180" ht="15" customHeight="1" s="195">
      <c r="A180" s="280" t="n"/>
      <c r="B180" s="280" t="n"/>
      <c r="C180" s="280" t="n"/>
      <c r="D180" s="280" t="n"/>
      <c r="E180" s="280" t="n"/>
      <c r="F180" s="280" t="n"/>
      <c r="G180" s="280" t="n"/>
      <c r="H180" s="280" t="n"/>
      <c r="I180" s="332">
        <f>IFERROR(VLOOKUP(TEXT(H180,"0"),IPRESS!$A$3:$B$212,2,0),"")</f>
        <v/>
      </c>
      <c r="J180" s="280" t="n"/>
      <c r="K180" s="332">
        <f>IFERROR(VLOOKUP(TEXT(O180,"0"),CONDUCTORES!$A$3:$G$54,7,0),"")</f>
        <v/>
      </c>
      <c r="L180" s="280" t="n"/>
      <c r="M180" s="280" t="n"/>
      <c r="N180" s="333">
        <f>IFERROR(IF(L180*M180=0,"",L180*M180),"")</f>
        <v/>
      </c>
      <c r="O180" s="280" t="n"/>
      <c r="P180" s="332">
        <f>IFERROR(VLOOKUP(TEXT(O180,"0"),CONDUCTORES!$A$3:$G$54,2,0),"")</f>
        <v/>
      </c>
      <c r="Q180" s="332">
        <f>IFERROR(VLOOKUP(TEXT(O180,"0"),CONDUCTORES!$A$3:$H$54,6,0),"")</f>
        <v/>
      </c>
      <c r="R180" s="280" t="n"/>
      <c r="S180" s="280" t="n"/>
      <c r="T180" s="280" t="n"/>
      <c r="U180" s="280" t="n"/>
      <c r="V180" s="280" t="n"/>
      <c r="W180" s="280" t="n"/>
      <c r="X180" s="280" t="n"/>
      <c r="Y180" s="280" t="n"/>
    </row>
    <row r="181" ht="15" customHeight="1" s="195">
      <c r="A181" s="334" t="n"/>
      <c r="B181" s="334" t="n"/>
      <c r="C181" s="334" t="n"/>
      <c r="D181" s="334" t="n"/>
      <c r="E181" s="334" t="n"/>
      <c r="F181" s="334" t="n"/>
      <c r="G181" s="334" t="n"/>
      <c r="H181" s="334" t="n"/>
      <c r="I181" s="332">
        <f>IFERROR(VLOOKUP(TEXT(H181,"0"),IPRESS!$A$3:$B$212,2,0),"")</f>
        <v/>
      </c>
      <c r="J181" s="334" t="n"/>
      <c r="K181" s="332">
        <f>IFERROR(VLOOKUP(TEXT(O181,"0"),CONDUCTORES!$A$3:$G$54,7,0),"")</f>
        <v/>
      </c>
      <c r="L181" s="334" t="n"/>
      <c r="M181" s="334" t="n"/>
      <c r="N181" s="333">
        <f>IFERROR(IF(L181*M181=0,"",L181*M181),"")</f>
        <v/>
      </c>
      <c r="O181" s="334" t="n"/>
      <c r="P181" s="332">
        <f>IFERROR(VLOOKUP(TEXT(O181,"0"),CONDUCTORES!$A$3:$G$54,2,0),"")</f>
        <v/>
      </c>
      <c r="Q181" s="332">
        <f>IFERROR(VLOOKUP(TEXT(O181,"0"),CONDUCTORES!$A$3:$H$54,6,0),"")</f>
        <v/>
      </c>
      <c r="R181" s="334" t="n"/>
      <c r="S181" s="334" t="n"/>
      <c r="T181" s="334" t="n"/>
      <c r="U181" s="334" t="n"/>
      <c r="V181" s="334" t="n"/>
      <c r="W181" s="334" t="n"/>
      <c r="X181" s="334" t="n"/>
      <c r="Y181" s="334" t="n"/>
    </row>
    <row r="182" ht="15" customHeight="1" s="195">
      <c r="A182" s="280" t="n"/>
      <c r="B182" s="280" t="n"/>
      <c r="C182" s="280" t="n"/>
      <c r="D182" s="280" t="n"/>
      <c r="E182" s="280" t="n"/>
      <c r="F182" s="280" t="n"/>
      <c r="G182" s="280" t="n"/>
      <c r="H182" s="280" t="n"/>
      <c r="I182" s="332">
        <f>IFERROR(VLOOKUP(TEXT(H182,"0"),IPRESS!$A$3:$B$212,2,0),"")</f>
        <v/>
      </c>
      <c r="J182" s="280" t="n"/>
      <c r="K182" s="332">
        <f>IFERROR(VLOOKUP(TEXT(O182,"0"),CONDUCTORES!$A$3:$G$54,7,0),"")</f>
        <v/>
      </c>
      <c r="L182" s="280" t="n"/>
      <c r="M182" s="280" t="n"/>
      <c r="N182" s="333">
        <f>IFERROR(IF(L182*M182=0,"",L182*M182),"")</f>
        <v/>
      </c>
      <c r="O182" s="280" t="n"/>
      <c r="P182" s="332">
        <f>IFERROR(VLOOKUP(TEXT(O182,"0"),CONDUCTORES!$A$3:$G$54,2,0),"")</f>
        <v/>
      </c>
      <c r="Q182" s="332">
        <f>IFERROR(VLOOKUP(TEXT(O182,"0"),CONDUCTORES!$A$3:$H$54,6,0),"")</f>
        <v/>
      </c>
      <c r="R182" s="280" t="n"/>
      <c r="S182" s="280" t="n"/>
      <c r="T182" s="280" t="n"/>
      <c r="U182" s="280" t="n"/>
      <c r="V182" s="280" t="n"/>
      <c r="W182" s="280" t="n"/>
      <c r="X182" s="280" t="n"/>
      <c r="Y182" s="280" t="n"/>
    </row>
    <row r="183" ht="15" customHeight="1" s="195">
      <c r="A183" s="334" t="n"/>
      <c r="B183" s="334" t="n"/>
      <c r="C183" s="334" t="n"/>
      <c r="D183" s="334" t="n"/>
      <c r="E183" s="334" t="n"/>
      <c r="F183" s="334" t="n"/>
      <c r="G183" s="334" t="n"/>
      <c r="H183" s="334" t="n"/>
      <c r="I183" s="332">
        <f>IFERROR(VLOOKUP(TEXT(H183,"0"),IPRESS!$A$3:$B$212,2,0),"")</f>
        <v/>
      </c>
      <c r="J183" s="334" t="n"/>
      <c r="K183" s="332">
        <f>IFERROR(VLOOKUP(TEXT(O183,"0"),CONDUCTORES!$A$3:$G$54,7,0),"")</f>
        <v/>
      </c>
      <c r="L183" s="334" t="n"/>
      <c r="M183" s="334" t="n"/>
      <c r="N183" s="333">
        <f>IFERROR(IF(L183*M183=0,"",L183*M183),"")</f>
        <v/>
      </c>
      <c r="O183" s="334" t="n"/>
      <c r="P183" s="332">
        <f>IFERROR(VLOOKUP(TEXT(O183,"0"),CONDUCTORES!$A$3:$G$54,2,0),"")</f>
        <v/>
      </c>
      <c r="Q183" s="332">
        <f>IFERROR(VLOOKUP(TEXT(O183,"0"),CONDUCTORES!$A$3:$H$54,6,0),"")</f>
        <v/>
      </c>
      <c r="R183" s="334" t="n"/>
      <c r="S183" s="334" t="n"/>
      <c r="T183" s="334" t="n"/>
      <c r="U183" s="334" t="n"/>
      <c r="V183" s="334" t="n"/>
      <c r="W183" s="334" t="n"/>
      <c r="X183" s="334" t="n"/>
      <c r="Y183" s="334" t="n"/>
    </row>
    <row r="184" ht="15" customHeight="1" s="195">
      <c r="A184" s="280" t="n"/>
      <c r="B184" s="280" t="n"/>
      <c r="C184" s="280" t="n"/>
      <c r="D184" s="280" t="n"/>
      <c r="E184" s="280" t="n"/>
      <c r="F184" s="280" t="n"/>
      <c r="G184" s="280" t="n"/>
      <c r="H184" s="280" t="n"/>
      <c r="I184" s="332">
        <f>IFERROR(VLOOKUP(TEXT(H184,"0"),IPRESS!$A$3:$B$212,2,0),"")</f>
        <v/>
      </c>
      <c r="J184" s="280" t="n"/>
      <c r="K184" s="332">
        <f>IFERROR(VLOOKUP(TEXT(O184,"0"),CONDUCTORES!$A$3:$G$54,7,0),"")</f>
        <v/>
      </c>
      <c r="L184" s="280" t="n"/>
      <c r="M184" s="280" t="n"/>
      <c r="N184" s="333">
        <f>IFERROR(IF(L184*M184=0,"",L184*M184),"")</f>
        <v/>
      </c>
      <c r="O184" s="280" t="n"/>
      <c r="P184" s="332">
        <f>IFERROR(VLOOKUP(TEXT(O184,"0"),CONDUCTORES!$A$3:$G$54,2,0),"")</f>
        <v/>
      </c>
      <c r="Q184" s="332">
        <f>IFERROR(VLOOKUP(TEXT(O184,"0"),CONDUCTORES!$A$3:$H$54,6,0),"")</f>
        <v/>
      </c>
      <c r="R184" s="280" t="n"/>
      <c r="S184" s="280" t="n"/>
      <c r="T184" s="280" t="n"/>
      <c r="U184" s="280" t="n"/>
      <c r="V184" s="280" t="n"/>
      <c r="W184" s="280" t="n"/>
      <c r="X184" s="280" t="n"/>
      <c r="Y184" s="280" t="n"/>
    </row>
    <row r="185" ht="15" customHeight="1" s="195">
      <c r="A185" s="334" t="n"/>
      <c r="B185" s="334" t="n"/>
      <c r="C185" s="334" t="n"/>
      <c r="D185" s="334" t="n"/>
      <c r="E185" s="334" t="n"/>
      <c r="F185" s="334" t="n"/>
      <c r="G185" s="334" t="n"/>
      <c r="H185" s="334" t="n"/>
      <c r="I185" s="332">
        <f>IFERROR(VLOOKUP(TEXT(H185,"0"),IPRESS!$A$3:$B$212,2,0),"")</f>
        <v/>
      </c>
      <c r="J185" s="334" t="n"/>
      <c r="K185" s="332">
        <f>IFERROR(VLOOKUP(TEXT(O185,"0"),CONDUCTORES!$A$3:$G$54,7,0),"")</f>
        <v/>
      </c>
      <c r="L185" s="334" t="n"/>
      <c r="M185" s="334" t="n"/>
      <c r="N185" s="333">
        <f>IFERROR(IF(L185*M185=0,"",L185*M185),"")</f>
        <v/>
      </c>
      <c r="O185" s="334" t="n"/>
      <c r="P185" s="332">
        <f>IFERROR(VLOOKUP(TEXT(O185,"0"),CONDUCTORES!$A$3:$G$54,2,0),"")</f>
        <v/>
      </c>
      <c r="Q185" s="332">
        <f>IFERROR(VLOOKUP(TEXT(O185,"0"),CONDUCTORES!$A$3:$H$54,6,0),"")</f>
        <v/>
      </c>
      <c r="R185" s="334" t="n"/>
      <c r="S185" s="334" t="n"/>
      <c r="T185" s="334" t="n"/>
      <c r="U185" s="334" t="n"/>
      <c r="V185" s="334" t="n"/>
      <c r="W185" s="334" t="n"/>
      <c r="X185" s="334" t="n"/>
      <c r="Y185" s="334" t="n"/>
    </row>
    <row r="186" ht="15" customHeight="1" s="195">
      <c r="A186" s="280" t="n"/>
      <c r="B186" s="280" t="n"/>
      <c r="C186" s="280" t="n"/>
      <c r="D186" s="280" t="n"/>
      <c r="E186" s="280" t="n"/>
      <c r="F186" s="280" t="n"/>
      <c r="G186" s="280" t="n"/>
      <c r="H186" s="280" t="n"/>
      <c r="I186" s="332">
        <f>IFERROR(VLOOKUP(TEXT(H186,"0"),IPRESS!$A$3:$B$212,2,0),"")</f>
        <v/>
      </c>
      <c r="J186" s="280" t="n"/>
      <c r="K186" s="332">
        <f>IFERROR(VLOOKUP(TEXT(O186,"0"),CONDUCTORES!$A$3:$G$54,7,0),"")</f>
        <v/>
      </c>
      <c r="L186" s="280" t="n"/>
      <c r="M186" s="280" t="n"/>
      <c r="N186" s="333">
        <f>IFERROR(IF(L186*M186=0,"",L186*M186),"")</f>
        <v/>
      </c>
      <c r="O186" s="280" t="n"/>
      <c r="P186" s="332">
        <f>IFERROR(VLOOKUP(TEXT(O186,"0"),CONDUCTORES!$A$3:$G$54,2,0),"")</f>
        <v/>
      </c>
      <c r="Q186" s="332">
        <f>IFERROR(VLOOKUP(TEXT(O186,"0"),CONDUCTORES!$A$3:$H$54,6,0),"")</f>
        <v/>
      </c>
      <c r="R186" s="280" t="n"/>
      <c r="S186" s="280" t="n"/>
      <c r="T186" s="280" t="n"/>
      <c r="U186" s="280" t="n"/>
      <c r="V186" s="280" t="n"/>
      <c r="W186" s="280" t="n"/>
      <c r="X186" s="280" t="n"/>
      <c r="Y186" s="280" t="n"/>
    </row>
    <row r="187" ht="15" customHeight="1" s="195">
      <c r="A187" s="334" t="n"/>
      <c r="B187" s="334" t="n"/>
      <c r="C187" s="334" t="n"/>
      <c r="D187" s="334" t="n"/>
      <c r="E187" s="334" t="n"/>
      <c r="F187" s="334" t="n"/>
      <c r="G187" s="334" t="n"/>
      <c r="H187" s="334" t="n"/>
      <c r="I187" s="332">
        <f>IFERROR(VLOOKUP(TEXT(H187,"0"),IPRESS!$A$3:$B$212,2,0),"")</f>
        <v/>
      </c>
      <c r="J187" s="334" t="n"/>
      <c r="K187" s="332">
        <f>IFERROR(VLOOKUP(TEXT(O187,"0"),CONDUCTORES!$A$3:$G$54,7,0),"")</f>
        <v/>
      </c>
      <c r="L187" s="334" t="n"/>
      <c r="M187" s="334" t="n"/>
      <c r="N187" s="333">
        <f>IFERROR(IF(L187*M187=0,"",L187*M187),"")</f>
        <v/>
      </c>
      <c r="O187" s="334" t="n"/>
      <c r="P187" s="332">
        <f>IFERROR(VLOOKUP(TEXT(O187,"0"),CONDUCTORES!$A$3:$G$54,2,0),"")</f>
        <v/>
      </c>
      <c r="Q187" s="332">
        <f>IFERROR(VLOOKUP(TEXT(O187,"0"),CONDUCTORES!$A$3:$H$54,6,0),"")</f>
        <v/>
      </c>
      <c r="R187" s="334" t="n"/>
      <c r="S187" s="334" t="n"/>
      <c r="T187" s="334" t="n"/>
      <c r="U187" s="334" t="n"/>
      <c r="V187" s="334" t="n"/>
      <c r="W187" s="334" t="n"/>
      <c r="X187" s="334" t="n"/>
      <c r="Y187" s="334" t="n"/>
    </row>
    <row r="188" ht="15" customHeight="1" s="195">
      <c r="A188" s="280" t="n"/>
      <c r="B188" s="280" t="n"/>
      <c r="C188" s="280" t="n"/>
      <c r="D188" s="280" t="n"/>
      <c r="E188" s="280" t="n"/>
      <c r="F188" s="280" t="n"/>
      <c r="G188" s="280" t="n"/>
      <c r="H188" s="280" t="n"/>
      <c r="I188" s="332">
        <f>IFERROR(VLOOKUP(TEXT(H188,"0"),IPRESS!$A$3:$B$212,2,0),"")</f>
        <v/>
      </c>
      <c r="J188" s="280" t="n"/>
      <c r="K188" s="332">
        <f>IFERROR(VLOOKUP(TEXT(O188,"0"),CONDUCTORES!$A$3:$G$54,7,0),"")</f>
        <v/>
      </c>
      <c r="L188" s="280" t="n"/>
      <c r="M188" s="280" t="n"/>
      <c r="N188" s="333">
        <f>IFERROR(IF(L188*M188=0,"",L188*M188),"")</f>
        <v/>
      </c>
      <c r="O188" s="280" t="n"/>
      <c r="P188" s="332">
        <f>IFERROR(VLOOKUP(TEXT(O188,"0"),CONDUCTORES!$A$3:$G$54,2,0),"")</f>
        <v/>
      </c>
      <c r="Q188" s="332">
        <f>IFERROR(VLOOKUP(TEXT(O188,"0"),CONDUCTORES!$A$3:$H$54,6,0),"")</f>
        <v/>
      </c>
      <c r="R188" s="280" t="n"/>
      <c r="S188" s="280" t="n"/>
      <c r="T188" s="280" t="n"/>
      <c r="U188" s="280" t="n"/>
      <c r="V188" s="280" t="n"/>
      <c r="W188" s="280" t="n"/>
      <c r="X188" s="280" t="n"/>
      <c r="Y188" s="280" t="n"/>
    </row>
    <row r="189" ht="15" customHeight="1" s="195">
      <c r="A189" s="334" t="n"/>
      <c r="B189" s="334" t="n"/>
      <c r="C189" s="334" t="n"/>
      <c r="D189" s="334" t="n"/>
      <c r="E189" s="334" t="n"/>
      <c r="F189" s="334" t="n"/>
      <c r="G189" s="334" t="n"/>
      <c r="H189" s="334" t="n"/>
      <c r="I189" s="332">
        <f>IFERROR(VLOOKUP(TEXT(H189,"0"),IPRESS!$A$3:$B$212,2,0),"")</f>
        <v/>
      </c>
      <c r="J189" s="334" t="n"/>
      <c r="K189" s="332">
        <f>IFERROR(VLOOKUP(TEXT(O189,"0"),CONDUCTORES!$A$3:$G$54,7,0),"")</f>
        <v/>
      </c>
      <c r="L189" s="334" t="n"/>
      <c r="M189" s="334" t="n"/>
      <c r="N189" s="333">
        <f>IFERROR(IF(L189*M189=0,"",L189*M189),"")</f>
        <v/>
      </c>
      <c r="O189" s="334" t="n"/>
      <c r="P189" s="332">
        <f>IFERROR(VLOOKUP(TEXT(O189,"0"),CONDUCTORES!$A$3:$G$54,2,0),"")</f>
        <v/>
      </c>
      <c r="Q189" s="332">
        <f>IFERROR(VLOOKUP(TEXT(O189,"0"),CONDUCTORES!$A$3:$H$54,6,0),"")</f>
        <v/>
      </c>
      <c r="R189" s="334" t="n"/>
      <c r="S189" s="334" t="n"/>
      <c r="T189" s="334" t="n"/>
      <c r="U189" s="334" t="n"/>
      <c r="V189" s="334" t="n"/>
      <c r="W189" s="334" t="n"/>
      <c r="X189" s="334" t="n"/>
      <c r="Y189" s="334" t="n"/>
    </row>
    <row r="190" ht="15" customHeight="1" s="195">
      <c r="A190" s="280" t="n"/>
      <c r="B190" s="280" t="n"/>
      <c r="C190" s="280" t="n"/>
      <c r="D190" s="280" t="n"/>
      <c r="E190" s="280" t="n"/>
      <c r="F190" s="280" t="n"/>
      <c r="G190" s="280" t="n"/>
      <c r="H190" s="280" t="n"/>
      <c r="I190" s="332">
        <f>IFERROR(VLOOKUP(TEXT(H190,"0"),IPRESS!$A$3:$B$212,2,0),"")</f>
        <v/>
      </c>
      <c r="J190" s="280" t="n"/>
      <c r="K190" s="332">
        <f>IFERROR(VLOOKUP(TEXT(O190,"0"),CONDUCTORES!$A$3:$G$54,7,0),"")</f>
        <v/>
      </c>
      <c r="L190" s="280" t="n"/>
      <c r="M190" s="280" t="n"/>
      <c r="N190" s="333">
        <f>IFERROR(IF(L190*M190=0,"",L190*M190),"")</f>
        <v/>
      </c>
      <c r="O190" s="280" t="n"/>
      <c r="P190" s="332">
        <f>IFERROR(VLOOKUP(TEXT(O190,"0"),CONDUCTORES!$A$3:$G$54,2,0),"")</f>
        <v/>
      </c>
      <c r="Q190" s="332">
        <f>IFERROR(VLOOKUP(TEXT(O190,"0"),CONDUCTORES!$A$3:$H$54,6,0),"")</f>
        <v/>
      </c>
      <c r="R190" s="280" t="n"/>
      <c r="S190" s="280" t="n"/>
      <c r="T190" s="280" t="n"/>
      <c r="U190" s="280" t="n"/>
      <c r="V190" s="280" t="n"/>
      <c r="W190" s="280" t="n"/>
      <c r="X190" s="280" t="n"/>
      <c r="Y190" s="280" t="n"/>
    </row>
    <row r="191" ht="15" customHeight="1" s="195">
      <c r="A191" s="334" t="n"/>
      <c r="B191" s="334" t="n"/>
      <c r="C191" s="334" t="n"/>
      <c r="D191" s="334" t="n"/>
      <c r="E191" s="334" t="n"/>
      <c r="F191" s="334" t="n"/>
      <c r="G191" s="334" t="n"/>
      <c r="H191" s="334" t="n"/>
      <c r="I191" s="332">
        <f>IFERROR(VLOOKUP(TEXT(H191,"0"),IPRESS!$A$3:$B$212,2,0),"")</f>
        <v/>
      </c>
      <c r="J191" s="334" t="n"/>
      <c r="K191" s="332">
        <f>IFERROR(VLOOKUP(TEXT(O191,"0"),CONDUCTORES!$A$3:$G$54,7,0),"")</f>
        <v/>
      </c>
      <c r="L191" s="334" t="n"/>
      <c r="M191" s="334" t="n"/>
      <c r="N191" s="333">
        <f>IFERROR(IF(L191*M191=0,"",L191*M191),"")</f>
        <v/>
      </c>
      <c r="O191" s="334" t="n"/>
      <c r="P191" s="332">
        <f>IFERROR(VLOOKUP(TEXT(O191,"0"),CONDUCTORES!$A$3:$G$54,2,0),"")</f>
        <v/>
      </c>
      <c r="Q191" s="332">
        <f>IFERROR(VLOOKUP(TEXT(O191,"0"),CONDUCTORES!$A$3:$H$54,6,0),"")</f>
        <v/>
      </c>
      <c r="R191" s="334" t="n"/>
      <c r="S191" s="334" t="n"/>
      <c r="T191" s="334" t="n"/>
      <c r="U191" s="334" t="n"/>
      <c r="V191" s="334" t="n"/>
      <c r="W191" s="334" t="n"/>
      <c r="X191" s="334" t="n"/>
      <c r="Y191" s="334" t="n"/>
    </row>
    <row r="192" ht="15" customHeight="1" s="195">
      <c r="A192" s="280" t="n"/>
      <c r="B192" s="280" t="n"/>
      <c r="C192" s="280" t="n"/>
      <c r="D192" s="280" t="n"/>
      <c r="E192" s="280" t="n"/>
      <c r="F192" s="280" t="n"/>
      <c r="G192" s="280" t="n"/>
      <c r="H192" s="280" t="n"/>
      <c r="I192" s="332">
        <f>IFERROR(VLOOKUP(TEXT(H192,"0"),IPRESS!$A$3:$B$212,2,0),"")</f>
        <v/>
      </c>
      <c r="J192" s="280" t="n"/>
      <c r="K192" s="332">
        <f>IFERROR(VLOOKUP(TEXT(O192,"0"),CONDUCTORES!$A$3:$G$54,7,0),"")</f>
        <v/>
      </c>
      <c r="L192" s="280" t="n"/>
      <c r="M192" s="280" t="n"/>
      <c r="N192" s="333">
        <f>IFERROR(IF(L192*M192=0,"",L192*M192),"")</f>
        <v/>
      </c>
      <c r="O192" s="280" t="n"/>
      <c r="P192" s="332">
        <f>IFERROR(VLOOKUP(TEXT(O192,"0"),CONDUCTORES!$A$3:$G$54,2,0),"")</f>
        <v/>
      </c>
      <c r="Q192" s="332">
        <f>IFERROR(VLOOKUP(TEXT(O192,"0"),CONDUCTORES!$A$3:$H$54,6,0),"")</f>
        <v/>
      </c>
      <c r="R192" s="280" t="n"/>
      <c r="S192" s="280" t="n"/>
      <c r="T192" s="280" t="n"/>
      <c r="U192" s="280" t="n"/>
      <c r="V192" s="280" t="n"/>
      <c r="W192" s="280" t="n"/>
      <c r="X192" s="280" t="n"/>
      <c r="Y192" s="280" t="n"/>
    </row>
    <row r="193" ht="15" customHeight="1" s="195">
      <c r="A193" s="334" t="n"/>
      <c r="B193" s="334" t="n"/>
      <c r="C193" s="334" t="n"/>
      <c r="D193" s="334" t="n"/>
      <c r="E193" s="334" t="n"/>
      <c r="F193" s="334" t="n"/>
      <c r="G193" s="334" t="n"/>
      <c r="H193" s="334" t="n"/>
      <c r="I193" s="332">
        <f>IFERROR(VLOOKUP(TEXT(H193,"0"),IPRESS!$A$3:$B$212,2,0),"")</f>
        <v/>
      </c>
      <c r="J193" s="334" t="n"/>
      <c r="K193" s="332">
        <f>IFERROR(VLOOKUP(TEXT(O193,"0"),CONDUCTORES!$A$3:$G$54,7,0),"")</f>
        <v/>
      </c>
      <c r="L193" s="334" t="n"/>
      <c r="M193" s="334" t="n"/>
      <c r="N193" s="333">
        <f>IFERROR(IF(L193*M193=0,"",L193*M193),"")</f>
        <v/>
      </c>
      <c r="O193" s="334" t="n"/>
      <c r="P193" s="332">
        <f>IFERROR(VLOOKUP(TEXT(O193,"0"),CONDUCTORES!$A$3:$G$54,2,0),"")</f>
        <v/>
      </c>
      <c r="Q193" s="332">
        <f>IFERROR(VLOOKUP(TEXT(O193,"0"),CONDUCTORES!$A$3:$H$54,6,0),"")</f>
        <v/>
      </c>
      <c r="R193" s="334" t="n"/>
      <c r="S193" s="334" t="n"/>
      <c r="T193" s="334" t="n"/>
      <c r="U193" s="334" t="n"/>
      <c r="V193" s="334" t="n"/>
      <c r="W193" s="334" t="n"/>
      <c r="X193" s="334" t="n"/>
      <c r="Y193" s="334" t="n"/>
    </row>
    <row r="194" ht="15" customHeight="1" s="195">
      <c r="A194" s="280" t="n"/>
      <c r="B194" s="280" t="n"/>
      <c r="C194" s="280" t="n"/>
      <c r="D194" s="280" t="n"/>
      <c r="E194" s="280" t="n"/>
      <c r="F194" s="280" t="n"/>
      <c r="G194" s="280" t="n"/>
      <c r="H194" s="280" t="n"/>
      <c r="I194" s="332">
        <f>IFERROR(VLOOKUP(TEXT(H194,"0"),IPRESS!$A$3:$B$212,2,0),"")</f>
        <v/>
      </c>
      <c r="J194" s="280" t="n"/>
      <c r="K194" s="332">
        <f>IFERROR(VLOOKUP(TEXT(O194,"0"),CONDUCTORES!$A$3:$G$54,7,0),"")</f>
        <v/>
      </c>
      <c r="L194" s="280" t="n"/>
      <c r="M194" s="280" t="n"/>
      <c r="N194" s="333">
        <f>IFERROR(IF(L194*M194=0,"",L194*M194),"")</f>
        <v/>
      </c>
      <c r="O194" s="280" t="n"/>
      <c r="P194" s="332">
        <f>IFERROR(VLOOKUP(TEXT(O194,"0"),CONDUCTORES!$A$3:$G$54,2,0),"")</f>
        <v/>
      </c>
      <c r="Q194" s="332">
        <f>IFERROR(VLOOKUP(TEXT(O194,"0"),CONDUCTORES!$A$3:$H$54,6,0),"")</f>
        <v/>
      </c>
      <c r="R194" s="280" t="n"/>
      <c r="S194" s="280" t="n"/>
      <c r="T194" s="280" t="n"/>
      <c r="U194" s="280" t="n"/>
      <c r="V194" s="280" t="n"/>
      <c r="W194" s="280" t="n"/>
      <c r="X194" s="280" t="n"/>
      <c r="Y194" s="280" t="n"/>
    </row>
    <row r="195" ht="15" customHeight="1" s="195">
      <c r="A195" s="334" t="n"/>
      <c r="B195" s="334" t="n"/>
      <c r="C195" s="334" t="n"/>
      <c r="D195" s="334" t="n"/>
      <c r="E195" s="334" t="n"/>
      <c r="F195" s="334" t="n"/>
      <c r="G195" s="334" t="n"/>
      <c r="H195" s="334" t="n"/>
      <c r="I195" s="332">
        <f>IFERROR(VLOOKUP(TEXT(H195,"0"),IPRESS!$A$3:$B$212,2,0),"")</f>
        <v/>
      </c>
      <c r="J195" s="334" t="n"/>
      <c r="K195" s="332">
        <f>IFERROR(VLOOKUP(TEXT(O195,"0"),CONDUCTORES!$A$3:$G$54,7,0),"")</f>
        <v/>
      </c>
      <c r="L195" s="334" t="n"/>
      <c r="M195" s="334" t="n"/>
      <c r="N195" s="333">
        <f>IFERROR(IF(L195*M195=0,"",L195*M195),"")</f>
        <v/>
      </c>
      <c r="O195" s="334" t="n"/>
      <c r="P195" s="332">
        <f>IFERROR(VLOOKUP(TEXT(O195,"0"),CONDUCTORES!$A$3:$G$54,2,0),"")</f>
        <v/>
      </c>
      <c r="Q195" s="332">
        <f>IFERROR(VLOOKUP(TEXT(O195,"0"),CONDUCTORES!$A$3:$H$54,6,0),"")</f>
        <v/>
      </c>
      <c r="R195" s="334" t="n"/>
      <c r="S195" s="334" t="n"/>
      <c r="T195" s="334" t="n"/>
      <c r="U195" s="334" t="n"/>
      <c r="V195" s="334" t="n"/>
      <c r="W195" s="334" t="n"/>
      <c r="X195" s="334" t="n"/>
      <c r="Y195" s="334" t="n"/>
    </row>
    <row r="196" ht="15" customHeight="1" s="195">
      <c r="A196" s="280" t="n"/>
      <c r="B196" s="280" t="n"/>
      <c r="C196" s="280" t="n"/>
      <c r="D196" s="280" t="n"/>
      <c r="E196" s="280" t="n"/>
      <c r="F196" s="280" t="n"/>
      <c r="G196" s="280" t="n"/>
      <c r="H196" s="280" t="n"/>
      <c r="I196" s="332">
        <f>IFERROR(VLOOKUP(TEXT(H196,"0"),IPRESS!$A$3:$B$212,2,0),"")</f>
        <v/>
      </c>
      <c r="J196" s="280" t="n"/>
      <c r="K196" s="332">
        <f>IFERROR(VLOOKUP(TEXT(O196,"0"),CONDUCTORES!$A$3:$G$54,7,0),"")</f>
        <v/>
      </c>
      <c r="L196" s="280" t="n"/>
      <c r="M196" s="280" t="n"/>
      <c r="N196" s="333">
        <f>IFERROR(IF(L196*M196=0,"",L196*M196),"")</f>
        <v/>
      </c>
      <c r="O196" s="280" t="n"/>
      <c r="P196" s="332">
        <f>IFERROR(VLOOKUP(TEXT(O196,"0"),CONDUCTORES!$A$3:$G$54,2,0),"")</f>
        <v/>
      </c>
      <c r="Q196" s="332">
        <f>IFERROR(VLOOKUP(TEXT(O196,"0"),CONDUCTORES!$A$3:$H$54,6,0),"")</f>
        <v/>
      </c>
      <c r="R196" s="280" t="n"/>
      <c r="S196" s="280" t="n"/>
      <c r="T196" s="280" t="n"/>
      <c r="U196" s="280" t="n"/>
      <c r="V196" s="280" t="n"/>
      <c r="W196" s="280" t="n"/>
      <c r="X196" s="280" t="n"/>
      <c r="Y196" s="280" t="n"/>
    </row>
    <row r="197" ht="15" customHeight="1" s="195">
      <c r="A197" s="334" t="n"/>
      <c r="B197" s="334" t="n"/>
      <c r="C197" s="334" t="n"/>
      <c r="D197" s="334" t="n"/>
      <c r="E197" s="334" t="n"/>
      <c r="F197" s="334" t="n"/>
      <c r="G197" s="334" t="n"/>
      <c r="H197" s="334" t="n"/>
      <c r="I197" s="332">
        <f>IFERROR(VLOOKUP(TEXT(H197,"0"),IPRESS!$A$3:$B$212,2,0),"")</f>
        <v/>
      </c>
      <c r="J197" s="334" t="n"/>
      <c r="K197" s="332">
        <f>IFERROR(VLOOKUP(TEXT(O197,"0"),CONDUCTORES!$A$3:$G$54,7,0),"")</f>
        <v/>
      </c>
      <c r="L197" s="334" t="n"/>
      <c r="M197" s="334" t="n"/>
      <c r="N197" s="333">
        <f>IFERROR(IF(L197*M197=0,"",L197*M197),"")</f>
        <v/>
      </c>
      <c r="O197" s="334" t="n"/>
      <c r="P197" s="332">
        <f>IFERROR(VLOOKUP(TEXT(O197,"0"),CONDUCTORES!$A$3:$G$54,2,0),"")</f>
        <v/>
      </c>
      <c r="Q197" s="332">
        <f>IFERROR(VLOOKUP(TEXT(O197,"0"),CONDUCTORES!$A$3:$H$54,6,0),"")</f>
        <v/>
      </c>
      <c r="R197" s="334" t="n"/>
      <c r="S197" s="334" t="n"/>
      <c r="T197" s="334" t="n"/>
      <c r="U197" s="334" t="n"/>
      <c r="V197" s="334" t="n"/>
      <c r="W197" s="334" t="n"/>
      <c r="X197" s="334" t="n"/>
      <c r="Y197" s="334" t="n"/>
    </row>
    <row r="198" ht="15" customHeight="1" s="195">
      <c r="A198" s="280" t="n"/>
      <c r="B198" s="280" t="n"/>
      <c r="C198" s="280" t="n"/>
      <c r="D198" s="280" t="n"/>
      <c r="E198" s="280" t="n"/>
      <c r="F198" s="280" t="n"/>
      <c r="G198" s="280" t="n"/>
      <c r="H198" s="280" t="n"/>
      <c r="I198" s="332">
        <f>IFERROR(VLOOKUP(TEXT(H198,"0"),IPRESS!$A$3:$B$212,2,0),"")</f>
        <v/>
      </c>
      <c r="J198" s="280" t="n"/>
      <c r="K198" s="332">
        <f>IFERROR(VLOOKUP(TEXT(O198,"0"),CONDUCTORES!$A$3:$G$54,7,0),"")</f>
        <v/>
      </c>
      <c r="L198" s="280" t="n"/>
      <c r="M198" s="280" t="n"/>
      <c r="N198" s="333">
        <f>IFERROR(IF(L198*M198=0,"",L198*M198),"")</f>
        <v/>
      </c>
      <c r="O198" s="280" t="n"/>
      <c r="P198" s="332">
        <f>IFERROR(VLOOKUP(TEXT(O198,"0"),CONDUCTORES!$A$3:$G$54,2,0),"")</f>
        <v/>
      </c>
      <c r="Q198" s="332">
        <f>IFERROR(VLOOKUP(TEXT(O198,"0"),CONDUCTORES!$A$3:$H$54,6,0),"")</f>
        <v/>
      </c>
      <c r="R198" s="280" t="n"/>
      <c r="S198" s="280" t="n"/>
      <c r="T198" s="280" t="n"/>
      <c r="U198" s="280" t="n"/>
      <c r="V198" s="280" t="n"/>
      <c r="W198" s="280" t="n"/>
      <c r="X198" s="280" t="n"/>
      <c r="Y198" s="280" t="n"/>
    </row>
    <row r="199" ht="15" customHeight="1" s="195">
      <c r="A199" s="334" t="n"/>
      <c r="B199" s="334" t="n"/>
      <c r="C199" s="334" t="n"/>
      <c r="D199" s="334" t="n"/>
      <c r="E199" s="334" t="n"/>
      <c r="F199" s="334" t="n"/>
      <c r="G199" s="334" t="n"/>
      <c r="H199" s="334" t="n"/>
      <c r="I199" s="332">
        <f>IFERROR(VLOOKUP(TEXT(H199,"0"),IPRESS!$A$3:$B$212,2,0),"")</f>
        <v/>
      </c>
      <c r="J199" s="334" t="n"/>
      <c r="K199" s="332">
        <f>IFERROR(VLOOKUP(TEXT(O199,"0"),CONDUCTORES!$A$3:$G$54,7,0),"")</f>
        <v/>
      </c>
      <c r="L199" s="334" t="n"/>
      <c r="M199" s="334" t="n"/>
      <c r="N199" s="333">
        <f>IFERROR(IF(L199*M199=0,"",L199*M199),"")</f>
        <v/>
      </c>
      <c r="O199" s="334" t="n"/>
      <c r="P199" s="332">
        <f>IFERROR(VLOOKUP(TEXT(O199,"0"),CONDUCTORES!$A$3:$G$54,2,0),"")</f>
        <v/>
      </c>
      <c r="Q199" s="332">
        <f>IFERROR(VLOOKUP(TEXT(O199,"0"),CONDUCTORES!$A$3:$H$54,6,0),"")</f>
        <v/>
      </c>
      <c r="R199" s="334" t="n"/>
      <c r="S199" s="334" t="n"/>
      <c r="T199" s="334" t="n"/>
      <c r="U199" s="334" t="n"/>
      <c r="V199" s="334" t="n"/>
      <c r="W199" s="334" t="n"/>
      <c r="X199" s="334" t="n"/>
      <c r="Y199" s="334" t="n"/>
    </row>
    <row r="200" ht="15" customHeight="1" s="195">
      <c r="A200" s="280" t="n"/>
      <c r="B200" s="280" t="n"/>
      <c r="C200" s="280" t="n"/>
      <c r="D200" s="280" t="n"/>
      <c r="E200" s="280" t="n"/>
      <c r="F200" s="280" t="n"/>
      <c r="G200" s="280" t="n"/>
      <c r="H200" s="280" t="n"/>
      <c r="I200" s="332">
        <f>IFERROR(VLOOKUP(TEXT(H200,"0"),IPRESS!$A$3:$B$212,2,0),"")</f>
        <v/>
      </c>
      <c r="J200" s="280" t="n"/>
      <c r="K200" s="332">
        <f>IFERROR(VLOOKUP(TEXT(O200,"0"),CONDUCTORES!$A$3:$G$54,7,0),"")</f>
        <v/>
      </c>
      <c r="L200" s="280" t="n"/>
      <c r="M200" s="280" t="n"/>
      <c r="N200" s="333">
        <f>IFERROR(IF(L200*M200=0,"",L200*M200),"")</f>
        <v/>
      </c>
      <c r="O200" s="280" t="n"/>
      <c r="P200" s="332">
        <f>IFERROR(VLOOKUP(TEXT(O200,"0"),CONDUCTORES!$A$3:$G$54,2,0),"")</f>
        <v/>
      </c>
      <c r="Q200" s="332">
        <f>IFERROR(VLOOKUP(TEXT(O200,"0"),CONDUCTORES!$A$3:$H$54,6,0),"")</f>
        <v/>
      </c>
      <c r="R200" s="280" t="n"/>
      <c r="S200" s="280" t="n"/>
      <c r="T200" s="280" t="n"/>
      <c r="U200" s="280" t="n"/>
      <c r="V200" s="280" t="n"/>
      <c r="W200" s="280" t="n"/>
      <c r="X200" s="280" t="n"/>
      <c r="Y200" s="280" t="n"/>
    </row>
    <row r="201" ht="15" customHeight="1" s="195">
      <c r="A201" s="334" t="n"/>
      <c r="B201" s="334" t="n"/>
      <c r="C201" s="334" t="n"/>
      <c r="D201" s="334" t="n"/>
      <c r="E201" s="334" t="n"/>
      <c r="F201" s="334" t="n"/>
      <c r="G201" s="334" t="n"/>
      <c r="H201" s="334" t="n"/>
      <c r="I201" s="332">
        <f>IFERROR(VLOOKUP(TEXT(H201,"0"),IPRESS!$A$3:$B$212,2,0),"")</f>
        <v/>
      </c>
      <c r="J201" s="334" t="n"/>
      <c r="K201" s="332">
        <f>IFERROR(VLOOKUP(TEXT(O201,"0"),CONDUCTORES!$A$3:$G$54,7,0),"")</f>
        <v/>
      </c>
      <c r="L201" s="334" t="n"/>
      <c r="M201" s="334" t="n"/>
      <c r="N201" s="333">
        <f>IFERROR(IF(L201*M201=0,"",L201*M201),"")</f>
        <v/>
      </c>
      <c r="O201" s="334" t="n"/>
      <c r="P201" s="332">
        <f>IFERROR(VLOOKUP(TEXT(O201,"0"),CONDUCTORES!$A$3:$G$54,2,0),"")</f>
        <v/>
      </c>
      <c r="Q201" s="332">
        <f>IFERROR(VLOOKUP(TEXT(O201,"0"),CONDUCTORES!$A$3:$H$54,6,0),"")</f>
        <v/>
      </c>
      <c r="R201" s="334" t="n"/>
      <c r="S201" s="334" t="n"/>
      <c r="T201" s="334" t="n"/>
      <c r="U201" s="334" t="n"/>
      <c r="V201" s="334" t="n"/>
      <c r="W201" s="334" t="n"/>
      <c r="X201" s="334" t="n"/>
      <c r="Y201" s="334" t="n"/>
    </row>
    <row r="202" ht="15" customHeight="1" s="195">
      <c r="A202" s="280" t="n"/>
      <c r="B202" s="280" t="n"/>
      <c r="C202" s="280" t="n"/>
      <c r="D202" s="280" t="n"/>
      <c r="E202" s="280" t="n"/>
      <c r="F202" s="280" t="n"/>
      <c r="G202" s="280" t="n"/>
      <c r="H202" s="280" t="n"/>
      <c r="I202" s="332">
        <f>IFERROR(VLOOKUP(TEXT(H202,"0"),IPRESS!$A$3:$B$212,2,0),"")</f>
        <v/>
      </c>
      <c r="J202" s="280" t="n"/>
      <c r="K202" s="332">
        <f>IFERROR(VLOOKUP(TEXT(O202,"0"),CONDUCTORES!$A$3:$G$54,7,0),"")</f>
        <v/>
      </c>
      <c r="L202" s="280" t="n"/>
      <c r="M202" s="280" t="n"/>
      <c r="N202" s="333">
        <f>IFERROR(IF(L202*M202=0,"",L202*M202),"")</f>
        <v/>
      </c>
      <c r="O202" s="280" t="n"/>
      <c r="P202" s="332">
        <f>IFERROR(VLOOKUP(TEXT(O202,"0"),CONDUCTORES!$A$3:$G$54,2,0),"")</f>
        <v/>
      </c>
      <c r="Q202" s="332">
        <f>IFERROR(VLOOKUP(TEXT(O202,"0"),CONDUCTORES!$A$3:$H$54,6,0),"")</f>
        <v/>
      </c>
      <c r="R202" s="280" t="n"/>
      <c r="S202" s="280" t="n"/>
      <c r="T202" s="280" t="n"/>
      <c r="U202" s="280" t="n"/>
      <c r="V202" s="280" t="n"/>
      <c r="W202" s="280" t="n"/>
      <c r="X202" s="280" t="n"/>
      <c r="Y202" s="280" t="n"/>
    </row>
    <row r="203" ht="15" customHeight="1" s="195">
      <c r="A203" s="334" t="n"/>
      <c r="B203" s="334" t="n"/>
      <c r="C203" s="334" t="n"/>
      <c r="D203" s="334" t="n"/>
      <c r="E203" s="334" t="n"/>
      <c r="F203" s="334" t="n"/>
      <c r="G203" s="334" t="n"/>
      <c r="H203" s="334" t="n"/>
      <c r="I203" s="332">
        <f>IFERROR(VLOOKUP(TEXT(H203,"0"),IPRESS!$A$3:$B$212,2,0),"")</f>
        <v/>
      </c>
      <c r="J203" s="334" t="n"/>
      <c r="K203" s="332">
        <f>IFERROR(VLOOKUP(TEXT(O203,"0"),CONDUCTORES!$A$3:$G$54,7,0),"")</f>
        <v/>
      </c>
      <c r="L203" s="334" t="n"/>
      <c r="M203" s="334" t="n"/>
      <c r="N203" s="333">
        <f>IFERROR(IF(L203*M203=0,"",L203*M203),"")</f>
        <v/>
      </c>
      <c r="O203" s="334" t="n"/>
      <c r="P203" s="332">
        <f>IFERROR(VLOOKUP(TEXT(O203,"0"),CONDUCTORES!$A$3:$G$54,2,0),"")</f>
        <v/>
      </c>
      <c r="Q203" s="332">
        <f>IFERROR(VLOOKUP(TEXT(O203,"0"),CONDUCTORES!$A$3:$H$54,6,0),"")</f>
        <v/>
      </c>
      <c r="R203" s="334" t="n"/>
      <c r="S203" s="334" t="n"/>
      <c r="T203" s="334" t="n"/>
      <c r="U203" s="334" t="n"/>
      <c r="V203" s="334" t="n"/>
      <c r="W203" s="334" t="n"/>
      <c r="X203" s="334" t="n"/>
      <c r="Y203" s="334" t="n"/>
    </row>
    <row r="204" ht="15" customHeight="1" s="195">
      <c r="A204" s="280" t="n"/>
      <c r="B204" s="280" t="n"/>
      <c r="C204" s="280" t="n"/>
      <c r="D204" s="280" t="n"/>
      <c r="E204" s="280" t="n"/>
      <c r="F204" s="280" t="n"/>
      <c r="G204" s="280" t="n"/>
      <c r="H204" s="280" t="n"/>
      <c r="I204" s="332">
        <f>IFERROR(VLOOKUP(TEXT(H204,"0"),IPRESS!$A$3:$B$212,2,0),"")</f>
        <v/>
      </c>
      <c r="J204" s="280" t="n"/>
      <c r="K204" s="332">
        <f>IFERROR(VLOOKUP(TEXT(O204,"0"),CONDUCTORES!$A$3:$G$54,7,0),"")</f>
        <v/>
      </c>
      <c r="L204" s="280" t="n"/>
      <c r="M204" s="280" t="n"/>
      <c r="N204" s="333">
        <f>IFERROR(IF(L204*M204=0,"",L204*M204),"")</f>
        <v/>
      </c>
      <c r="O204" s="280" t="n"/>
      <c r="P204" s="332">
        <f>IFERROR(VLOOKUP(TEXT(O204,"0"),CONDUCTORES!$A$3:$G$54,2,0),"")</f>
        <v/>
      </c>
      <c r="Q204" s="332">
        <f>IFERROR(VLOOKUP(TEXT(O204,"0"),CONDUCTORES!$A$3:$H$54,6,0),"")</f>
        <v/>
      </c>
      <c r="R204" s="280" t="n"/>
      <c r="S204" s="280" t="n"/>
      <c r="T204" s="280" t="n"/>
      <c r="U204" s="280" t="n"/>
      <c r="V204" s="280" t="n"/>
      <c r="W204" s="280" t="n"/>
      <c r="X204" s="280" t="n"/>
      <c r="Y204" s="280" t="n"/>
    </row>
    <row r="205" ht="15" customHeight="1" s="195">
      <c r="A205" s="334" t="n"/>
      <c r="B205" s="334" t="n"/>
      <c r="C205" s="334" t="n"/>
      <c r="D205" s="334" t="n"/>
      <c r="E205" s="334" t="n"/>
      <c r="F205" s="334" t="n"/>
      <c r="G205" s="334" t="n"/>
      <c r="H205" s="334" t="n"/>
      <c r="I205" s="332">
        <f>IFERROR(VLOOKUP(TEXT(H205,"0"),IPRESS!$A$3:$B$212,2,0),"")</f>
        <v/>
      </c>
      <c r="J205" s="334" t="n"/>
      <c r="K205" s="332">
        <f>IFERROR(VLOOKUP(TEXT(O205,"0"),CONDUCTORES!$A$3:$G$54,7,0),"")</f>
        <v/>
      </c>
      <c r="L205" s="334" t="n"/>
      <c r="M205" s="334" t="n"/>
      <c r="N205" s="333">
        <f>IFERROR(IF(L205*M205=0,"",L205*M205),"")</f>
        <v/>
      </c>
      <c r="O205" s="334" t="n"/>
      <c r="P205" s="332">
        <f>IFERROR(VLOOKUP(TEXT(O205,"0"),CONDUCTORES!$A$3:$G$54,2,0),"")</f>
        <v/>
      </c>
      <c r="Q205" s="332">
        <f>IFERROR(VLOOKUP(TEXT(O205,"0"),CONDUCTORES!$A$3:$H$54,6,0),"")</f>
        <v/>
      </c>
      <c r="R205" s="334" t="n"/>
      <c r="S205" s="334" t="n"/>
      <c r="T205" s="334" t="n"/>
      <c r="U205" s="334" t="n"/>
      <c r="V205" s="334" t="n"/>
      <c r="W205" s="334" t="n"/>
      <c r="X205" s="334" t="n"/>
      <c r="Y205" s="334" t="n"/>
    </row>
    <row r="206" ht="15" customHeight="1" s="195">
      <c r="A206" s="280" t="n"/>
      <c r="B206" s="280" t="n"/>
      <c r="C206" s="280" t="n"/>
      <c r="D206" s="280" t="n"/>
      <c r="E206" s="280" t="n"/>
      <c r="F206" s="280" t="n"/>
      <c r="G206" s="280" t="n"/>
      <c r="H206" s="280" t="n"/>
      <c r="I206" s="332">
        <f>IFERROR(VLOOKUP(TEXT(H206,"0"),IPRESS!$A$3:$B$212,2,0),"")</f>
        <v/>
      </c>
      <c r="J206" s="280" t="n"/>
      <c r="K206" s="332">
        <f>IFERROR(VLOOKUP(TEXT(O206,"0"),CONDUCTORES!$A$3:$G$54,7,0),"")</f>
        <v/>
      </c>
      <c r="L206" s="280" t="n"/>
      <c r="M206" s="280" t="n"/>
      <c r="N206" s="333">
        <f>IFERROR(IF(L206*M206=0,"",L206*M206),"")</f>
        <v/>
      </c>
      <c r="O206" s="280" t="n"/>
      <c r="P206" s="332">
        <f>IFERROR(VLOOKUP(TEXT(O206,"0"),CONDUCTORES!$A$3:$G$54,2,0),"")</f>
        <v/>
      </c>
      <c r="Q206" s="332">
        <f>IFERROR(VLOOKUP(TEXT(O206,"0"),CONDUCTORES!$A$3:$H$54,6,0),"")</f>
        <v/>
      </c>
      <c r="R206" s="280" t="n"/>
      <c r="S206" s="280" t="n"/>
      <c r="T206" s="280" t="n"/>
      <c r="U206" s="280" t="n"/>
      <c r="V206" s="280" t="n"/>
      <c r="W206" s="280" t="n"/>
      <c r="X206" s="280" t="n"/>
      <c r="Y206" s="280" t="n"/>
    </row>
    <row r="207" ht="15" customHeight="1" s="195">
      <c r="A207" s="334" t="n"/>
      <c r="B207" s="334" t="n"/>
      <c r="C207" s="334" t="n"/>
      <c r="D207" s="334" t="n"/>
      <c r="E207" s="334" t="n"/>
      <c r="F207" s="334" t="n"/>
      <c r="G207" s="334" t="n"/>
      <c r="H207" s="334" t="n"/>
      <c r="I207" s="332">
        <f>IFERROR(VLOOKUP(TEXT(H207,"0"),IPRESS!$A$3:$B$212,2,0),"")</f>
        <v/>
      </c>
      <c r="J207" s="334" t="n"/>
      <c r="K207" s="332">
        <f>IFERROR(VLOOKUP(TEXT(O207,"0"),CONDUCTORES!$A$3:$G$54,7,0),"")</f>
        <v/>
      </c>
      <c r="L207" s="334" t="n"/>
      <c r="M207" s="334" t="n"/>
      <c r="N207" s="333">
        <f>IFERROR(IF(L207*M207=0,"",L207*M207),"")</f>
        <v/>
      </c>
      <c r="O207" s="334" t="n"/>
      <c r="P207" s="332">
        <f>IFERROR(VLOOKUP(TEXT(O207,"0"),CONDUCTORES!$A$3:$G$54,2,0),"")</f>
        <v/>
      </c>
      <c r="Q207" s="332">
        <f>IFERROR(VLOOKUP(TEXT(O207,"0"),CONDUCTORES!$A$3:$H$54,6,0),"")</f>
        <v/>
      </c>
      <c r="R207" s="334" t="n"/>
      <c r="S207" s="334" t="n"/>
      <c r="T207" s="334" t="n"/>
      <c r="U207" s="334" t="n"/>
      <c r="V207" s="334" t="n"/>
      <c r="W207" s="334" t="n"/>
      <c r="X207" s="334" t="n"/>
      <c r="Y207" s="334" t="n"/>
    </row>
    <row r="208" ht="15" customHeight="1" s="195">
      <c r="A208" s="280" t="n"/>
      <c r="B208" s="280" t="n"/>
      <c r="C208" s="280" t="n"/>
      <c r="D208" s="280" t="n"/>
      <c r="E208" s="280" t="n"/>
      <c r="F208" s="280" t="n"/>
      <c r="G208" s="280" t="n"/>
      <c r="H208" s="280" t="n"/>
      <c r="I208" s="332">
        <f>IFERROR(VLOOKUP(TEXT(H208,"0"),IPRESS!$A$3:$B$212,2,0),"")</f>
        <v/>
      </c>
      <c r="J208" s="280" t="n"/>
      <c r="K208" s="332">
        <f>IFERROR(VLOOKUP(TEXT(O208,"0"),CONDUCTORES!$A$3:$G$54,7,0),"")</f>
        <v/>
      </c>
      <c r="L208" s="280" t="n"/>
      <c r="M208" s="280" t="n"/>
      <c r="N208" s="333">
        <f>IFERROR(IF(L208*M208=0,"",L208*M208),"")</f>
        <v/>
      </c>
      <c r="O208" s="280" t="n"/>
      <c r="P208" s="332">
        <f>IFERROR(VLOOKUP(TEXT(O208,"0"),CONDUCTORES!$A$3:$G$54,2,0),"")</f>
        <v/>
      </c>
      <c r="Q208" s="332">
        <f>IFERROR(VLOOKUP(TEXT(O208,"0"),CONDUCTORES!$A$3:$H$54,6,0),"")</f>
        <v/>
      </c>
      <c r="R208" s="280" t="n"/>
      <c r="S208" s="280" t="n"/>
      <c r="T208" s="280" t="n"/>
      <c r="U208" s="280" t="n"/>
      <c r="V208" s="280" t="n"/>
      <c r="W208" s="280" t="n"/>
      <c r="X208" s="280" t="n"/>
      <c r="Y208" s="280" t="n"/>
    </row>
    <row r="209" ht="15" customHeight="1" s="195">
      <c r="A209" s="334" t="n"/>
      <c r="B209" s="334" t="n"/>
      <c r="C209" s="334" t="n"/>
      <c r="D209" s="334" t="n"/>
      <c r="E209" s="334" t="n"/>
      <c r="F209" s="334" t="n"/>
      <c r="G209" s="334" t="n"/>
      <c r="H209" s="334" t="n"/>
      <c r="I209" s="332">
        <f>IFERROR(VLOOKUP(TEXT(H209,"0"),IPRESS!$A$3:$B$212,2,0),"")</f>
        <v/>
      </c>
      <c r="J209" s="334" t="n"/>
      <c r="K209" s="332">
        <f>IFERROR(VLOOKUP(TEXT(O209,"0"),CONDUCTORES!$A$3:$G$54,7,0),"")</f>
        <v/>
      </c>
      <c r="L209" s="334" t="n"/>
      <c r="M209" s="334" t="n"/>
      <c r="N209" s="333">
        <f>IFERROR(IF(L209*M209=0,"",L209*M209),"")</f>
        <v/>
      </c>
      <c r="O209" s="334" t="n"/>
      <c r="P209" s="332">
        <f>IFERROR(VLOOKUP(TEXT(O209,"0"),CONDUCTORES!$A$3:$G$54,2,0),"")</f>
        <v/>
      </c>
      <c r="Q209" s="332">
        <f>IFERROR(VLOOKUP(TEXT(O209,"0"),CONDUCTORES!$A$3:$H$54,6,0),"")</f>
        <v/>
      </c>
      <c r="R209" s="334" t="n"/>
      <c r="S209" s="334" t="n"/>
      <c r="T209" s="334" t="n"/>
      <c r="U209" s="334" t="n"/>
      <c r="V209" s="334" t="n"/>
      <c r="W209" s="334" t="n"/>
      <c r="X209" s="334" t="n"/>
      <c r="Y209" s="334" t="n"/>
    </row>
    <row r="210" ht="15" customHeight="1" s="195">
      <c r="A210" s="280" t="n"/>
      <c r="B210" s="280" t="n"/>
      <c r="C210" s="280" t="n"/>
      <c r="D210" s="280" t="n"/>
      <c r="E210" s="280" t="n"/>
      <c r="F210" s="280" t="n"/>
      <c r="G210" s="280" t="n"/>
      <c r="H210" s="280" t="n"/>
      <c r="I210" s="332">
        <f>IFERROR(VLOOKUP(TEXT(H210,"0"),IPRESS!$A$3:$B$212,2,0),"")</f>
        <v/>
      </c>
      <c r="J210" s="280" t="n"/>
      <c r="K210" s="332">
        <f>IFERROR(VLOOKUP(TEXT(O210,"0"),CONDUCTORES!$A$3:$G$54,7,0),"")</f>
        <v/>
      </c>
      <c r="L210" s="280" t="n"/>
      <c r="M210" s="280" t="n"/>
      <c r="N210" s="333">
        <f>IFERROR(IF(L210*M210=0,"",L210*M210),"")</f>
        <v/>
      </c>
      <c r="O210" s="280" t="n"/>
      <c r="P210" s="332">
        <f>IFERROR(VLOOKUP(TEXT(O210,"0"),CONDUCTORES!$A$3:$G$54,2,0),"")</f>
        <v/>
      </c>
      <c r="Q210" s="332">
        <f>IFERROR(VLOOKUP(TEXT(O210,"0"),CONDUCTORES!$A$3:$H$54,6,0),"")</f>
        <v/>
      </c>
      <c r="R210" s="280" t="n"/>
      <c r="S210" s="280" t="n"/>
      <c r="T210" s="280" t="n"/>
      <c r="U210" s="280" t="n"/>
      <c r="V210" s="280" t="n"/>
      <c r="W210" s="280" t="n"/>
      <c r="X210" s="280" t="n"/>
      <c r="Y210" s="280" t="n"/>
    </row>
    <row r="211" ht="15" customHeight="1" s="195">
      <c r="A211" s="334" t="n"/>
      <c r="B211" s="334" t="n"/>
      <c r="C211" s="334" t="n"/>
      <c r="D211" s="334" t="n"/>
      <c r="E211" s="334" t="n"/>
      <c r="F211" s="334" t="n"/>
      <c r="G211" s="334" t="n"/>
      <c r="H211" s="334" t="n"/>
      <c r="I211" s="332">
        <f>IFERROR(VLOOKUP(TEXT(H211,"0"),IPRESS!$A$3:$B$212,2,0),"")</f>
        <v/>
      </c>
      <c r="J211" s="334" t="n"/>
      <c r="K211" s="332">
        <f>IFERROR(VLOOKUP(TEXT(O211,"0"),CONDUCTORES!$A$3:$G$54,7,0),"")</f>
        <v/>
      </c>
      <c r="L211" s="334" t="n"/>
      <c r="M211" s="334" t="n"/>
      <c r="N211" s="333">
        <f>IFERROR(IF(L211*M211=0,"",L211*M211),"")</f>
        <v/>
      </c>
      <c r="O211" s="334" t="n"/>
      <c r="P211" s="332">
        <f>IFERROR(VLOOKUP(TEXT(O211,"0"),CONDUCTORES!$A$3:$G$54,2,0),"")</f>
        <v/>
      </c>
      <c r="Q211" s="332">
        <f>IFERROR(VLOOKUP(TEXT(O211,"0"),CONDUCTORES!$A$3:$H$54,6,0),"")</f>
        <v/>
      </c>
      <c r="R211" s="334" t="n"/>
      <c r="S211" s="334" t="n"/>
      <c r="T211" s="334" t="n"/>
      <c r="U211" s="334" t="n"/>
      <c r="V211" s="334" t="n"/>
      <c r="W211" s="334" t="n"/>
      <c r="X211" s="334" t="n"/>
      <c r="Y211" s="334" t="n"/>
    </row>
    <row r="212" ht="15" customHeight="1" s="195">
      <c r="A212" s="280" t="n"/>
      <c r="B212" s="280" t="n"/>
      <c r="C212" s="280" t="n"/>
      <c r="D212" s="280" t="n"/>
      <c r="E212" s="280" t="n"/>
      <c r="F212" s="280" t="n"/>
      <c r="G212" s="280" t="n"/>
      <c r="H212" s="280" t="n"/>
      <c r="I212" s="332">
        <f>IFERROR(VLOOKUP(TEXT(H212,"0"),IPRESS!$A$3:$B$212,2,0),"")</f>
        <v/>
      </c>
      <c r="J212" s="280" t="n"/>
      <c r="K212" s="332">
        <f>IFERROR(VLOOKUP(TEXT(O212,"0"),CONDUCTORES!$A$3:$G$54,7,0),"")</f>
        <v/>
      </c>
      <c r="L212" s="280" t="n"/>
      <c r="M212" s="280" t="n"/>
      <c r="N212" s="333">
        <f>IFERROR(IF(L212*M212=0,"",L212*M212),"")</f>
        <v/>
      </c>
      <c r="O212" s="280" t="n"/>
      <c r="P212" s="332">
        <f>IFERROR(VLOOKUP(TEXT(O212,"0"),CONDUCTORES!$A$3:$G$54,2,0),"")</f>
        <v/>
      </c>
      <c r="Q212" s="332">
        <f>IFERROR(VLOOKUP(TEXT(O212,"0"),CONDUCTORES!$A$3:$H$54,6,0),"")</f>
        <v/>
      </c>
      <c r="R212" s="280" t="n"/>
      <c r="S212" s="280" t="n"/>
      <c r="T212" s="280" t="n"/>
      <c r="U212" s="280" t="n"/>
      <c r="V212" s="280" t="n"/>
      <c r="W212" s="280" t="n"/>
      <c r="X212" s="280" t="n"/>
      <c r="Y212" s="280" t="n"/>
    </row>
    <row r="213" ht="15" customHeight="1" s="195">
      <c r="A213" s="334" t="n"/>
      <c r="B213" s="334" t="n"/>
      <c r="C213" s="334" t="n"/>
      <c r="D213" s="334" t="n"/>
      <c r="E213" s="334" t="n"/>
      <c r="F213" s="334" t="n"/>
      <c r="G213" s="334" t="n"/>
      <c r="H213" s="334" t="n"/>
      <c r="I213" s="332">
        <f>IFERROR(VLOOKUP(TEXT(H213,"0"),IPRESS!$A$3:$B$212,2,0),"")</f>
        <v/>
      </c>
      <c r="J213" s="334" t="n"/>
      <c r="K213" s="332">
        <f>IFERROR(VLOOKUP(TEXT(O213,"0"),CONDUCTORES!$A$3:$G$54,7,0),"")</f>
        <v/>
      </c>
      <c r="L213" s="334" t="n"/>
      <c r="M213" s="334" t="n"/>
      <c r="N213" s="333">
        <f>IFERROR(IF(L213*M213=0,"",L213*M213),"")</f>
        <v/>
      </c>
      <c r="O213" s="334" t="n"/>
      <c r="P213" s="332">
        <f>IFERROR(VLOOKUP(TEXT(O213,"0"),CONDUCTORES!$A$3:$G$54,2,0),"")</f>
        <v/>
      </c>
      <c r="Q213" s="332">
        <f>IFERROR(VLOOKUP(TEXT(O213,"0"),CONDUCTORES!$A$3:$H$54,6,0),"")</f>
        <v/>
      </c>
      <c r="R213" s="334" t="n"/>
      <c r="S213" s="334" t="n"/>
      <c r="T213" s="334" t="n"/>
      <c r="U213" s="334" t="n"/>
      <c r="V213" s="334" t="n"/>
      <c r="W213" s="334" t="n"/>
      <c r="X213" s="334" t="n"/>
      <c r="Y213" s="334" t="n"/>
    </row>
    <row r="214" ht="15" customHeight="1" s="195">
      <c r="A214" s="280" t="n"/>
      <c r="B214" s="280" t="n"/>
      <c r="C214" s="280" t="n"/>
      <c r="D214" s="280" t="n"/>
      <c r="E214" s="280" t="n"/>
      <c r="F214" s="280" t="n"/>
      <c r="G214" s="280" t="n"/>
      <c r="H214" s="280" t="n"/>
      <c r="I214" s="332">
        <f>IFERROR(VLOOKUP(TEXT(H214,"0"),IPRESS!$A$3:$B$212,2,0),"")</f>
        <v/>
      </c>
      <c r="J214" s="280" t="n"/>
      <c r="K214" s="332">
        <f>IFERROR(VLOOKUP(TEXT(O214,"0"),CONDUCTORES!$A$3:$G$54,7,0),"")</f>
        <v/>
      </c>
      <c r="L214" s="280" t="n"/>
      <c r="M214" s="280" t="n"/>
      <c r="N214" s="333">
        <f>IFERROR(IF(L214*M214=0,"",L214*M214),"")</f>
        <v/>
      </c>
      <c r="O214" s="280" t="n"/>
      <c r="P214" s="332">
        <f>IFERROR(VLOOKUP(TEXT(O214,"0"),CONDUCTORES!$A$3:$G$54,2,0),"")</f>
        <v/>
      </c>
      <c r="Q214" s="332">
        <f>IFERROR(VLOOKUP(TEXT(O214,"0"),CONDUCTORES!$A$3:$H$54,6,0),"")</f>
        <v/>
      </c>
      <c r="R214" s="280" t="n"/>
      <c r="S214" s="280" t="n"/>
      <c r="T214" s="280" t="n"/>
      <c r="U214" s="280" t="n"/>
      <c r="V214" s="280" t="n"/>
      <c r="W214" s="280" t="n"/>
      <c r="X214" s="280" t="n"/>
      <c r="Y214" s="280" t="n"/>
    </row>
    <row r="215" ht="15" customHeight="1" s="195">
      <c r="A215" s="334" t="n"/>
      <c r="B215" s="334" t="n"/>
      <c r="C215" s="334" t="n"/>
      <c r="D215" s="334" t="n"/>
      <c r="E215" s="334" t="n"/>
      <c r="F215" s="334" t="n"/>
      <c r="G215" s="334" t="n"/>
      <c r="H215" s="334" t="n"/>
      <c r="I215" s="332">
        <f>IFERROR(VLOOKUP(TEXT(H215,"0"),IPRESS!$A$3:$B$212,2,0),"")</f>
        <v/>
      </c>
      <c r="J215" s="334" t="n"/>
      <c r="K215" s="332">
        <f>IFERROR(VLOOKUP(TEXT(O215,"0"),CONDUCTORES!$A$3:$G$54,7,0),"")</f>
        <v/>
      </c>
      <c r="L215" s="334" t="n"/>
      <c r="M215" s="334" t="n"/>
      <c r="N215" s="333">
        <f>IFERROR(IF(L215*M215=0,"",L215*M215),"")</f>
        <v/>
      </c>
      <c r="O215" s="334" t="n"/>
      <c r="P215" s="332">
        <f>IFERROR(VLOOKUP(TEXT(O215,"0"),CONDUCTORES!$A$3:$G$54,2,0),"")</f>
        <v/>
      </c>
      <c r="Q215" s="332">
        <f>IFERROR(VLOOKUP(TEXT(O215,"0"),CONDUCTORES!$A$3:$H$54,6,0),"")</f>
        <v/>
      </c>
      <c r="R215" s="334" t="n"/>
      <c r="S215" s="334" t="n"/>
      <c r="T215" s="334" t="n"/>
      <c r="U215" s="334" t="n"/>
      <c r="V215" s="334" t="n"/>
      <c r="W215" s="334" t="n"/>
      <c r="X215" s="334" t="n"/>
      <c r="Y215" s="334" t="n"/>
    </row>
    <row r="216" ht="15" customHeight="1" s="195">
      <c r="A216" s="280" t="n"/>
      <c r="B216" s="280" t="n"/>
      <c r="C216" s="280" t="n"/>
      <c r="D216" s="280" t="n"/>
      <c r="E216" s="280" t="n"/>
      <c r="F216" s="280" t="n"/>
      <c r="G216" s="280" t="n"/>
      <c r="H216" s="280" t="n"/>
      <c r="I216" s="332">
        <f>IFERROR(VLOOKUP(TEXT(H216,"0"),IPRESS!$A$3:$B$212,2,0),"")</f>
        <v/>
      </c>
      <c r="J216" s="280" t="n"/>
      <c r="K216" s="332">
        <f>IFERROR(VLOOKUP(TEXT(O216,"0"),CONDUCTORES!$A$3:$G$54,7,0),"")</f>
        <v/>
      </c>
      <c r="L216" s="280" t="n"/>
      <c r="M216" s="280" t="n"/>
      <c r="N216" s="333">
        <f>IFERROR(IF(L216*M216=0,"",L216*M216),"")</f>
        <v/>
      </c>
      <c r="O216" s="280" t="n"/>
      <c r="P216" s="332">
        <f>IFERROR(VLOOKUP(TEXT(O216,"0"),CONDUCTORES!$A$3:$G$54,2,0),"")</f>
        <v/>
      </c>
      <c r="Q216" s="332">
        <f>IFERROR(VLOOKUP(TEXT(O216,"0"),CONDUCTORES!$A$3:$H$54,6,0),"")</f>
        <v/>
      </c>
      <c r="R216" s="280" t="n"/>
      <c r="S216" s="280" t="n"/>
      <c r="T216" s="280" t="n"/>
      <c r="U216" s="280" t="n"/>
      <c r="V216" s="280" t="n"/>
      <c r="W216" s="280" t="n"/>
      <c r="X216" s="280" t="n"/>
      <c r="Y216" s="280" t="n"/>
    </row>
    <row r="217" ht="15" customHeight="1" s="195">
      <c r="A217" s="334" t="n"/>
      <c r="B217" s="334" t="n"/>
      <c r="C217" s="334" t="n"/>
      <c r="D217" s="334" t="n"/>
      <c r="E217" s="334" t="n"/>
      <c r="F217" s="334" t="n"/>
      <c r="G217" s="334" t="n"/>
      <c r="H217" s="334" t="n"/>
      <c r="I217" s="332">
        <f>IFERROR(VLOOKUP(TEXT(H217,"0"),IPRESS!$A$3:$B$212,2,0),"")</f>
        <v/>
      </c>
      <c r="J217" s="334" t="n"/>
      <c r="K217" s="332">
        <f>IFERROR(VLOOKUP(TEXT(O217,"0"),CONDUCTORES!$A$3:$G$54,7,0),"")</f>
        <v/>
      </c>
      <c r="L217" s="334" t="n"/>
      <c r="M217" s="334" t="n"/>
      <c r="N217" s="333">
        <f>IFERROR(IF(L217*M217=0,"",L217*M217),"")</f>
        <v/>
      </c>
      <c r="O217" s="334" t="n"/>
      <c r="P217" s="332">
        <f>IFERROR(VLOOKUP(TEXT(O217,"0"),CONDUCTORES!$A$3:$G$54,2,0),"")</f>
        <v/>
      </c>
      <c r="Q217" s="332">
        <f>IFERROR(VLOOKUP(TEXT(O217,"0"),CONDUCTORES!$A$3:$H$54,6,0),"")</f>
        <v/>
      </c>
      <c r="R217" s="334" t="n"/>
      <c r="S217" s="334" t="n"/>
      <c r="T217" s="334" t="n"/>
      <c r="U217" s="334" t="n"/>
      <c r="V217" s="334" t="n"/>
      <c r="W217" s="334" t="n"/>
      <c r="X217" s="334" t="n"/>
      <c r="Y217" s="334" t="n"/>
    </row>
    <row r="218" ht="15" customHeight="1" s="195">
      <c r="A218" s="280" t="n"/>
      <c r="B218" s="280" t="n"/>
      <c r="C218" s="280" t="n"/>
      <c r="D218" s="280" t="n"/>
      <c r="E218" s="280" t="n"/>
      <c r="F218" s="280" t="n"/>
      <c r="G218" s="280" t="n"/>
      <c r="H218" s="280" t="n"/>
      <c r="I218" s="332">
        <f>IFERROR(VLOOKUP(TEXT(H218,"0"),IPRESS!$A$3:$B$212,2,0),"")</f>
        <v/>
      </c>
      <c r="J218" s="280" t="n"/>
      <c r="K218" s="332">
        <f>IFERROR(VLOOKUP(TEXT(O218,"0"),CONDUCTORES!$A$3:$G$54,7,0),"")</f>
        <v/>
      </c>
      <c r="L218" s="280" t="n"/>
      <c r="M218" s="280" t="n"/>
      <c r="N218" s="333">
        <f>IFERROR(IF(L218*M218=0,"",L218*M218),"")</f>
        <v/>
      </c>
      <c r="O218" s="280" t="n"/>
      <c r="P218" s="332">
        <f>IFERROR(VLOOKUP(TEXT(O218,"0"),CONDUCTORES!$A$3:$G$54,2,0),"")</f>
        <v/>
      </c>
      <c r="Q218" s="332">
        <f>IFERROR(VLOOKUP(TEXT(O218,"0"),CONDUCTORES!$A$3:$H$54,6,0),"")</f>
        <v/>
      </c>
      <c r="R218" s="280" t="n"/>
      <c r="S218" s="280" t="n"/>
      <c r="T218" s="280" t="n"/>
      <c r="U218" s="280" t="n"/>
      <c r="V218" s="280" t="n"/>
      <c r="W218" s="280" t="n"/>
      <c r="X218" s="280" t="n"/>
      <c r="Y218" s="280" t="n"/>
    </row>
    <row r="219" ht="15" customHeight="1" s="195">
      <c r="A219" s="334" t="n"/>
      <c r="B219" s="334" t="n"/>
      <c r="C219" s="334" t="n"/>
      <c r="D219" s="334" t="n"/>
      <c r="E219" s="334" t="n"/>
      <c r="F219" s="334" t="n"/>
      <c r="G219" s="334" t="n"/>
      <c r="H219" s="334" t="n"/>
      <c r="I219" s="332">
        <f>IFERROR(VLOOKUP(TEXT(H219,"0"),IPRESS!$A$3:$B$212,2,0),"")</f>
        <v/>
      </c>
      <c r="J219" s="334" t="n"/>
      <c r="K219" s="332">
        <f>IFERROR(VLOOKUP(TEXT(O219,"0"),CONDUCTORES!$A$3:$G$54,7,0),"")</f>
        <v/>
      </c>
      <c r="L219" s="334" t="n"/>
      <c r="M219" s="334" t="n"/>
      <c r="N219" s="333">
        <f>IFERROR(IF(L219*M219=0,"",L219*M219),"")</f>
        <v/>
      </c>
      <c r="O219" s="334" t="n"/>
      <c r="P219" s="332">
        <f>IFERROR(VLOOKUP(TEXT(O219,"0"),CONDUCTORES!$A$3:$G$54,2,0),"")</f>
        <v/>
      </c>
      <c r="Q219" s="332">
        <f>IFERROR(VLOOKUP(TEXT(O219,"0"),CONDUCTORES!$A$3:$H$54,6,0),"")</f>
        <v/>
      </c>
      <c r="R219" s="334" t="n"/>
      <c r="S219" s="334" t="n"/>
      <c r="T219" s="334" t="n"/>
      <c r="U219" s="334" t="n"/>
      <c r="V219" s="334" t="n"/>
      <c r="W219" s="334" t="n"/>
      <c r="X219" s="334" t="n"/>
      <c r="Y219" s="334" t="n"/>
    </row>
    <row r="220" ht="15" customHeight="1" s="195">
      <c r="A220" s="280" t="n"/>
      <c r="B220" s="280" t="n"/>
      <c r="C220" s="280" t="n"/>
      <c r="D220" s="280" t="n"/>
      <c r="E220" s="280" t="n"/>
      <c r="F220" s="280" t="n"/>
      <c r="G220" s="280" t="n"/>
      <c r="H220" s="280" t="n"/>
      <c r="I220" s="332">
        <f>IFERROR(VLOOKUP(TEXT(H220,"0"),IPRESS!$A$3:$B$212,2,0),"")</f>
        <v/>
      </c>
      <c r="J220" s="280" t="n"/>
      <c r="K220" s="332">
        <f>IFERROR(VLOOKUP(TEXT(O220,"0"),CONDUCTORES!$A$3:$G$54,7,0),"")</f>
        <v/>
      </c>
      <c r="L220" s="280" t="n"/>
      <c r="M220" s="280" t="n"/>
      <c r="N220" s="333">
        <f>IFERROR(IF(L220*M220=0,"",L220*M220),"")</f>
        <v/>
      </c>
      <c r="O220" s="280" t="n"/>
      <c r="P220" s="332">
        <f>IFERROR(VLOOKUP(TEXT(O220,"0"),CONDUCTORES!$A$3:$G$54,2,0),"")</f>
        <v/>
      </c>
      <c r="Q220" s="332">
        <f>IFERROR(VLOOKUP(TEXT(O220,"0"),CONDUCTORES!$A$3:$H$54,6,0),"")</f>
        <v/>
      </c>
      <c r="R220" s="280" t="n"/>
      <c r="S220" s="280" t="n"/>
      <c r="T220" s="280" t="n"/>
      <c r="U220" s="280" t="n"/>
      <c r="V220" s="280" t="n"/>
      <c r="W220" s="280" t="n"/>
      <c r="X220" s="280" t="n"/>
      <c r="Y220" s="280" t="n"/>
    </row>
    <row r="221" ht="15" customHeight="1" s="195">
      <c r="A221" s="334" t="n"/>
      <c r="B221" s="334" t="n"/>
      <c r="C221" s="334" t="n"/>
      <c r="D221" s="334" t="n"/>
      <c r="E221" s="334" t="n"/>
      <c r="F221" s="334" t="n"/>
      <c r="G221" s="334" t="n"/>
      <c r="H221" s="334" t="n"/>
      <c r="I221" s="332">
        <f>IFERROR(VLOOKUP(TEXT(H221,"0"),IPRESS!$A$3:$B$212,2,0),"")</f>
        <v/>
      </c>
      <c r="J221" s="334" t="n"/>
      <c r="K221" s="332">
        <f>IFERROR(VLOOKUP(TEXT(O221,"0"),CONDUCTORES!$A$3:$G$54,7,0),"")</f>
        <v/>
      </c>
      <c r="L221" s="334" t="n"/>
      <c r="M221" s="334" t="n"/>
      <c r="N221" s="333">
        <f>IFERROR(IF(L221*M221=0,"",L221*M221),"")</f>
        <v/>
      </c>
      <c r="O221" s="334" t="n"/>
      <c r="P221" s="332">
        <f>IFERROR(VLOOKUP(TEXT(O221,"0"),CONDUCTORES!$A$3:$G$54,2,0),"")</f>
        <v/>
      </c>
      <c r="Q221" s="332">
        <f>IFERROR(VLOOKUP(TEXT(O221,"0"),CONDUCTORES!$A$3:$H$54,6,0),"")</f>
        <v/>
      </c>
      <c r="R221" s="334" t="n"/>
      <c r="S221" s="334" t="n"/>
      <c r="T221" s="334" t="n"/>
      <c r="U221" s="334" t="n"/>
      <c r="V221" s="334" t="n"/>
      <c r="W221" s="334" t="n"/>
      <c r="X221" s="334" t="n"/>
      <c r="Y221" s="334" t="n"/>
    </row>
    <row r="222" ht="15" customHeight="1" s="195">
      <c r="A222" s="280" t="n"/>
      <c r="B222" s="280" t="n"/>
      <c r="C222" s="280" t="n"/>
      <c r="D222" s="280" t="n"/>
      <c r="E222" s="280" t="n"/>
      <c r="F222" s="280" t="n"/>
      <c r="G222" s="280" t="n"/>
      <c r="H222" s="280" t="n"/>
      <c r="I222" s="332">
        <f>IFERROR(VLOOKUP(TEXT(H222,"0"),IPRESS!$A$3:$B$212,2,0),"")</f>
        <v/>
      </c>
      <c r="J222" s="280" t="n"/>
      <c r="K222" s="332">
        <f>IFERROR(VLOOKUP(TEXT(O222,"0"),CONDUCTORES!$A$3:$G$54,7,0),"")</f>
        <v/>
      </c>
      <c r="L222" s="280" t="n"/>
      <c r="M222" s="280" t="n"/>
      <c r="N222" s="333">
        <f>IFERROR(IF(L222*M222=0,"",L222*M222),"")</f>
        <v/>
      </c>
      <c r="O222" s="280" t="n"/>
      <c r="P222" s="332">
        <f>IFERROR(VLOOKUP(TEXT(O222,"0"),CONDUCTORES!$A$3:$G$54,2,0),"")</f>
        <v/>
      </c>
      <c r="Q222" s="332">
        <f>IFERROR(VLOOKUP(TEXT(O222,"0"),CONDUCTORES!$A$3:$H$54,6,0),"")</f>
        <v/>
      </c>
      <c r="R222" s="280" t="n"/>
      <c r="S222" s="280" t="n"/>
      <c r="T222" s="280" t="n"/>
      <c r="U222" s="280" t="n"/>
      <c r="V222" s="280" t="n"/>
      <c r="W222" s="280" t="n"/>
      <c r="X222" s="280" t="n"/>
      <c r="Y222" s="280" t="n"/>
    </row>
    <row r="223" ht="15" customHeight="1" s="195">
      <c r="A223" s="334" t="n"/>
      <c r="B223" s="334" t="n"/>
      <c r="C223" s="334" t="n"/>
      <c r="D223" s="334" t="n"/>
      <c r="E223" s="334" t="n"/>
      <c r="F223" s="334" t="n"/>
      <c r="G223" s="334" t="n"/>
      <c r="H223" s="334" t="n"/>
      <c r="I223" s="332">
        <f>IFERROR(VLOOKUP(TEXT(H223,"0"),IPRESS!$A$3:$B$212,2,0),"")</f>
        <v/>
      </c>
      <c r="J223" s="334" t="n"/>
      <c r="K223" s="332">
        <f>IFERROR(VLOOKUP(TEXT(O223,"0"),CONDUCTORES!$A$3:$G$54,7,0),"")</f>
        <v/>
      </c>
      <c r="L223" s="334" t="n"/>
      <c r="M223" s="334" t="n"/>
      <c r="N223" s="333">
        <f>IFERROR(IF(L223*M223=0,"",L223*M223),"")</f>
        <v/>
      </c>
      <c r="O223" s="334" t="n"/>
      <c r="P223" s="332">
        <f>IFERROR(VLOOKUP(TEXT(O223,"0"),CONDUCTORES!$A$3:$G$54,2,0),"")</f>
        <v/>
      </c>
      <c r="Q223" s="332">
        <f>IFERROR(VLOOKUP(TEXT(O223,"0"),CONDUCTORES!$A$3:$H$54,6,0),"")</f>
        <v/>
      </c>
      <c r="R223" s="334" t="n"/>
      <c r="S223" s="334" t="n"/>
      <c r="T223" s="334" t="n"/>
      <c r="U223" s="334" t="n"/>
      <c r="V223" s="334" t="n"/>
      <c r="W223" s="334" t="n"/>
      <c r="X223" s="334" t="n"/>
      <c r="Y223" s="334" t="n"/>
    </row>
    <row r="224" ht="15" customHeight="1" s="195">
      <c r="A224" s="280" t="n"/>
      <c r="B224" s="280" t="n"/>
      <c r="C224" s="280" t="n"/>
      <c r="D224" s="280" t="n"/>
      <c r="E224" s="280" t="n"/>
      <c r="F224" s="280" t="n"/>
      <c r="G224" s="280" t="n"/>
      <c r="H224" s="280" t="n"/>
      <c r="I224" s="332">
        <f>IFERROR(VLOOKUP(TEXT(H224,"0"),IPRESS!$A$3:$B$212,2,0),"")</f>
        <v/>
      </c>
      <c r="J224" s="280" t="n"/>
      <c r="K224" s="332">
        <f>IFERROR(VLOOKUP(TEXT(O224,"0"),CONDUCTORES!$A$3:$G$54,7,0),"")</f>
        <v/>
      </c>
      <c r="L224" s="280" t="n"/>
      <c r="M224" s="280" t="n"/>
      <c r="N224" s="333">
        <f>IFERROR(IF(L224*M224=0,"",L224*M224),"")</f>
        <v/>
      </c>
      <c r="O224" s="280" t="n"/>
      <c r="P224" s="332">
        <f>IFERROR(VLOOKUP(TEXT(O224,"0"),CONDUCTORES!$A$3:$G$54,2,0),"")</f>
        <v/>
      </c>
      <c r="Q224" s="332">
        <f>IFERROR(VLOOKUP(TEXT(O224,"0"),CONDUCTORES!$A$3:$H$54,6,0),"")</f>
        <v/>
      </c>
      <c r="R224" s="280" t="n"/>
      <c r="S224" s="280" t="n"/>
      <c r="T224" s="280" t="n"/>
      <c r="U224" s="280" t="n"/>
      <c r="V224" s="280" t="n"/>
      <c r="W224" s="280" t="n"/>
      <c r="X224" s="280" t="n"/>
      <c r="Y224" s="280" t="n"/>
    </row>
    <row r="225" ht="15" customHeight="1" s="195">
      <c r="A225" s="334" t="n"/>
      <c r="B225" s="334" t="n"/>
      <c r="C225" s="334" t="n"/>
      <c r="D225" s="334" t="n"/>
      <c r="E225" s="334" t="n"/>
      <c r="F225" s="334" t="n"/>
      <c r="G225" s="334" t="n"/>
      <c r="H225" s="334" t="n"/>
      <c r="I225" s="332">
        <f>IFERROR(VLOOKUP(TEXT(H225,"0"),IPRESS!$A$3:$B$212,2,0),"")</f>
        <v/>
      </c>
      <c r="J225" s="334" t="n"/>
      <c r="K225" s="332">
        <f>IFERROR(VLOOKUP(TEXT(O225,"0"),CONDUCTORES!$A$3:$G$54,7,0),"")</f>
        <v/>
      </c>
      <c r="L225" s="334" t="n"/>
      <c r="M225" s="334" t="n"/>
      <c r="N225" s="333">
        <f>IFERROR(IF(L225*M225=0,"",L225*M225),"")</f>
        <v/>
      </c>
      <c r="O225" s="334" t="n"/>
      <c r="P225" s="332">
        <f>IFERROR(VLOOKUP(TEXT(O225,"0"),CONDUCTORES!$A$3:$G$54,2,0),"")</f>
        <v/>
      </c>
      <c r="Q225" s="332">
        <f>IFERROR(VLOOKUP(TEXT(O225,"0"),CONDUCTORES!$A$3:$H$54,6,0),"")</f>
        <v/>
      </c>
      <c r="R225" s="334" t="n"/>
      <c r="S225" s="334" t="n"/>
      <c r="T225" s="334" t="n"/>
      <c r="U225" s="334" t="n"/>
      <c r="V225" s="334" t="n"/>
      <c r="W225" s="334" t="n"/>
      <c r="X225" s="334" t="n"/>
      <c r="Y225" s="334" t="n"/>
    </row>
    <row r="226" ht="15" customHeight="1" s="195">
      <c r="A226" s="280" t="n"/>
      <c r="B226" s="280" t="n"/>
      <c r="C226" s="280" t="n"/>
      <c r="D226" s="280" t="n"/>
      <c r="E226" s="280" t="n"/>
      <c r="F226" s="280" t="n"/>
      <c r="G226" s="280" t="n"/>
      <c r="H226" s="280" t="n"/>
      <c r="I226" s="332">
        <f>IFERROR(VLOOKUP(TEXT(H226,"0"),IPRESS!$A$3:$B$212,2,0),"")</f>
        <v/>
      </c>
      <c r="J226" s="280" t="n"/>
      <c r="K226" s="332">
        <f>IFERROR(VLOOKUP(TEXT(O226,"0"),CONDUCTORES!$A$3:$G$54,7,0),"")</f>
        <v/>
      </c>
      <c r="L226" s="280" t="n"/>
      <c r="M226" s="280" t="n"/>
      <c r="N226" s="333">
        <f>IFERROR(IF(L226*M226=0,"",L226*M226),"")</f>
        <v/>
      </c>
      <c r="O226" s="280" t="n"/>
      <c r="P226" s="332">
        <f>IFERROR(VLOOKUP(TEXT(O226,"0"),CONDUCTORES!$A$3:$G$54,2,0),"")</f>
        <v/>
      </c>
      <c r="Q226" s="332">
        <f>IFERROR(VLOOKUP(TEXT(O226,"0"),CONDUCTORES!$A$3:$H$54,6,0),"")</f>
        <v/>
      </c>
      <c r="R226" s="280" t="n"/>
      <c r="S226" s="280" t="n"/>
      <c r="T226" s="280" t="n"/>
      <c r="U226" s="280" t="n"/>
      <c r="V226" s="280" t="n"/>
      <c r="W226" s="280" t="n"/>
      <c r="X226" s="280" t="n"/>
      <c r="Y226" s="280" t="n"/>
    </row>
    <row r="227" ht="15" customHeight="1" s="195">
      <c r="A227" s="334" t="n"/>
      <c r="B227" s="334" t="n"/>
      <c r="C227" s="334" t="n"/>
      <c r="D227" s="334" t="n"/>
      <c r="E227" s="334" t="n"/>
      <c r="F227" s="334" t="n"/>
      <c r="G227" s="334" t="n"/>
      <c r="H227" s="334" t="n"/>
      <c r="I227" s="332">
        <f>IFERROR(VLOOKUP(TEXT(H227,"0"),IPRESS!$A$3:$B$212,2,0),"")</f>
        <v/>
      </c>
      <c r="J227" s="334" t="n"/>
      <c r="K227" s="332">
        <f>IFERROR(VLOOKUP(TEXT(O227,"0"),CONDUCTORES!$A$3:$G$54,7,0),"")</f>
        <v/>
      </c>
      <c r="L227" s="334" t="n"/>
      <c r="M227" s="334" t="n"/>
      <c r="N227" s="333">
        <f>IFERROR(IF(L227*M227=0,"",L227*M227),"")</f>
        <v/>
      </c>
      <c r="O227" s="334" t="n"/>
      <c r="P227" s="332">
        <f>IFERROR(VLOOKUP(TEXT(O227,"0"),CONDUCTORES!$A$3:$G$54,2,0),"")</f>
        <v/>
      </c>
      <c r="Q227" s="332">
        <f>IFERROR(VLOOKUP(TEXT(O227,"0"),CONDUCTORES!$A$3:$H$54,6,0),"")</f>
        <v/>
      </c>
      <c r="R227" s="334" t="n"/>
      <c r="S227" s="334" t="n"/>
      <c r="T227" s="334" t="n"/>
      <c r="U227" s="334" t="n"/>
      <c r="V227" s="334" t="n"/>
      <c r="W227" s="334" t="n"/>
      <c r="X227" s="334" t="n"/>
      <c r="Y227" s="334" t="n"/>
    </row>
    <row r="228" ht="15" customHeight="1" s="195">
      <c r="A228" s="280" t="n"/>
      <c r="B228" s="280" t="n"/>
      <c r="C228" s="280" t="n"/>
      <c r="D228" s="280" t="n"/>
      <c r="E228" s="280" t="n"/>
      <c r="F228" s="280" t="n"/>
      <c r="G228" s="280" t="n"/>
      <c r="H228" s="280" t="n"/>
      <c r="I228" s="332">
        <f>IFERROR(VLOOKUP(TEXT(H228,"0"),IPRESS!$A$3:$B$212,2,0),"")</f>
        <v/>
      </c>
      <c r="J228" s="280" t="n"/>
      <c r="K228" s="332">
        <f>IFERROR(VLOOKUP(TEXT(O228,"0"),CONDUCTORES!$A$3:$G$54,7,0),"")</f>
        <v/>
      </c>
      <c r="L228" s="280" t="n"/>
      <c r="M228" s="280" t="n"/>
      <c r="N228" s="333">
        <f>IFERROR(IF(L228*M228=0,"",L228*M228),"")</f>
        <v/>
      </c>
      <c r="O228" s="280" t="n"/>
      <c r="P228" s="332">
        <f>IFERROR(VLOOKUP(TEXT(O228,"0"),CONDUCTORES!$A$3:$G$54,2,0),"")</f>
        <v/>
      </c>
      <c r="Q228" s="332">
        <f>IFERROR(VLOOKUP(TEXT(O228,"0"),CONDUCTORES!$A$3:$H$54,6,0),"")</f>
        <v/>
      </c>
      <c r="R228" s="280" t="n"/>
      <c r="S228" s="280" t="n"/>
      <c r="T228" s="280" t="n"/>
      <c r="U228" s="280" t="n"/>
      <c r="V228" s="280" t="n"/>
      <c r="W228" s="280" t="n"/>
      <c r="X228" s="280" t="n"/>
      <c r="Y228" s="280" t="n"/>
    </row>
    <row r="229" ht="15" customHeight="1" s="195">
      <c r="A229" s="334" t="n"/>
      <c r="B229" s="334" t="n"/>
      <c r="C229" s="334" t="n"/>
      <c r="D229" s="334" t="n"/>
      <c r="E229" s="334" t="n"/>
      <c r="F229" s="334" t="n"/>
      <c r="G229" s="334" t="n"/>
      <c r="H229" s="334" t="n"/>
      <c r="I229" s="332">
        <f>IFERROR(VLOOKUP(TEXT(H229,"0"),IPRESS!$A$3:$B$212,2,0),"")</f>
        <v/>
      </c>
      <c r="J229" s="334" t="n"/>
      <c r="K229" s="332">
        <f>IFERROR(VLOOKUP(TEXT(O229,"0"),CONDUCTORES!$A$3:$G$54,7,0),"")</f>
        <v/>
      </c>
      <c r="L229" s="334" t="n"/>
      <c r="M229" s="334" t="n"/>
      <c r="N229" s="333">
        <f>IFERROR(IF(L229*M229=0,"",L229*M229),"")</f>
        <v/>
      </c>
      <c r="O229" s="334" t="n"/>
      <c r="P229" s="332">
        <f>IFERROR(VLOOKUP(TEXT(O229,"0"),CONDUCTORES!$A$3:$G$54,2,0),"")</f>
        <v/>
      </c>
      <c r="Q229" s="332">
        <f>IFERROR(VLOOKUP(TEXT(O229,"0"),CONDUCTORES!$A$3:$H$54,6,0),"")</f>
        <v/>
      </c>
      <c r="R229" s="334" t="n"/>
      <c r="S229" s="334" t="n"/>
      <c r="T229" s="334" t="n"/>
      <c r="U229" s="334" t="n"/>
      <c r="V229" s="334" t="n"/>
      <c r="W229" s="334" t="n"/>
      <c r="X229" s="334" t="n"/>
      <c r="Y229" s="334" t="n"/>
    </row>
    <row r="230" ht="15" customHeight="1" s="195">
      <c r="A230" s="280" t="n"/>
      <c r="B230" s="280" t="n"/>
      <c r="C230" s="280" t="n"/>
      <c r="D230" s="280" t="n"/>
      <c r="E230" s="280" t="n"/>
      <c r="F230" s="280" t="n"/>
      <c r="G230" s="280" t="n"/>
      <c r="H230" s="280" t="n"/>
      <c r="I230" s="332">
        <f>IFERROR(VLOOKUP(TEXT(H230,"0"),IPRESS!$A$3:$B$212,2,0),"")</f>
        <v/>
      </c>
      <c r="J230" s="280" t="n"/>
      <c r="K230" s="332">
        <f>IFERROR(VLOOKUP(TEXT(O230,"0"),CONDUCTORES!$A$3:$G$54,7,0),"")</f>
        <v/>
      </c>
      <c r="L230" s="280" t="n"/>
      <c r="M230" s="280" t="n"/>
      <c r="N230" s="333">
        <f>IFERROR(IF(L230*M230=0,"",L230*M230),"")</f>
        <v/>
      </c>
      <c r="O230" s="280" t="n"/>
      <c r="P230" s="332">
        <f>IFERROR(VLOOKUP(TEXT(O230,"0"),CONDUCTORES!$A$3:$G$54,2,0),"")</f>
        <v/>
      </c>
      <c r="Q230" s="332">
        <f>IFERROR(VLOOKUP(TEXT(O230,"0"),CONDUCTORES!$A$3:$H$54,6,0),"")</f>
        <v/>
      </c>
      <c r="R230" s="280" t="n"/>
      <c r="S230" s="280" t="n"/>
      <c r="T230" s="280" t="n"/>
      <c r="U230" s="280" t="n"/>
      <c r="V230" s="280" t="n"/>
      <c r="W230" s="280" t="n"/>
      <c r="X230" s="280" t="n"/>
      <c r="Y230" s="280" t="n"/>
    </row>
    <row r="231" ht="15" customHeight="1" s="195">
      <c r="A231" s="334" t="n"/>
      <c r="B231" s="334" t="n"/>
      <c r="C231" s="334" t="n"/>
      <c r="D231" s="334" t="n"/>
      <c r="E231" s="334" t="n"/>
      <c r="F231" s="334" t="n"/>
      <c r="G231" s="334" t="n"/>
      <c r="H231" s="334" t="n"/>
      <c r="I231" s="332">
        <f>IFERROR(VLOOKUP(TEXT(H231,"0"),IPRESS!$A$3:$B$212,2,0),"")</f>
        <v/>
      </c>
      <c r="J231" s="334" t="n"/>
      <c r="K231" s="332">
        <f>IFERROR(VLOOKUP(TEXT(O231,"0"),CONDUCTORES!$A$3:$G$54,7,0),"")</f>
        <v/>
      </c>
      <c r="L231" s="334" t="n"/>
      <c r="M231" s="334" t="n"/>
      <c r="N231" s="333">
        <f>IFERROR(IF(L231*M231=0,"",L231*M231),"")</f>
        <v/>
      </c>
      <c r="O231" s="334" t="n"/>
      <c r="P231" s="332">
        <f>IFERROR(VLOOKUP(TEXT(O231,"0"),CONDUCTORES!$A$3:$G$54,2,0),"")</f>
        <v/>
      </c>
      <c r="Q231" s="332">
        <f>IFERROR(VLOOKUP(TEXT(O231,"0"),CONDUCTORES!$A$3:$H$54,6,0),"")</f>
        <v/>
      </c>
      <c r="R231" s="334" t="n"/>
      <c r="S231" s="334" t="n"/>
      <c r="T231" s="334" t="n"/>
      <c r="U231" s="334" t="n"/>
      <c r="V231" s="334" t="n"/>
      <c r="W231" s="334" t="n"/>
      <c r="X231" s="334" t="n"/>
      <c r="Y231" s="334" t="n"/>
    </row>
    <row r="232" ht="15" customHeight="1" s="195">
      <c r="A232" s="280" t="n"/>
      <c r="B232" s="280" t="n"/>
      <c r="C232" s="280" t="n"/>
      <c r="D232" s="280" t="n"/>
      <c r="E232" s="280" t="n"/>
      <c r="F232" s="280" t="n"/>
      <c r="G232" s="280" t="n"/>
      <c r="H232" s="280" t="n"/>
      <c r="I232" s="332">
        <f>IFERROR(VLOOKUP(TEXT(H232,"0"),IPRESS!$A$3:$B$212,2,0),"")</f>
        <v/>
      </c>
      <c r="J232" s="280" t="n"/>
      <c r="K232" s="332">
        <f>IFERROR(VLOOKUP(TEXT(O232,"0"),CONDUCTORES!$A$3:$G$54,7,0),"")</f>
        <v/>
      </c>
      <c r="L232" s="280" t="n"/>
      <c r="M232" s="280" t="n"/>
      <c r="N232" s="333">
        <f>IFERROR(IF(L232*M232=0,"",L232*M232),"")</f>
        <v/>
      </c>
      <c r="O232" s="280" t="n"/>
      <c r="P232" s="332">
        <f>IFERROR(VLOOKUP(TEXT(O232,"0"),CONDUCTORES!$A$3:$G$54,2,0),"")</f>
        <v/>
      </c>
      <c r="Q232" s="332">
        <f>IFERROR(VLOOKUP(TEXT(O232,"0"),CONDUCTORES!$A$3:$H$54,6,0),"")</f>
        <v/>
      </c>
      <c r="R232" s="280" t="n"/>
      <c r="S232" s="280" t="n"/>
      <c r="T232" s="280" t="n"/>
      <c r="U232" s="280" t="n"/>
      <c r="V232" s="280" t="n"/>
      <c r="W232" s="280" t="n"/>
      <c r="X232" s="280" t="n"/>
      <c r="Y232" s="280" t="n"/>
    </row>
    <row r="233" ht="15" customHeight="1" s="195">
      <c r="A233" s="334" t="n"/>
      <c r="B233" s="334" t="n"/>
      <c r="C233" s="334" t="n"/>
      <c r="D233" s="334" t="n"/>
      <c r="E233" s="334" t="n"/>
      <c r="F233" s="334" t="n"/>
      <c r="G233" s="334" t="n"/>
      <c r="H233" s="334" t="n"/>
      <c r="I233" s="332">
        <f>IFERROR(VLOOKUP(TEXT(H233,"0"),IPRESS!$A$3:$B$212,2,0),"")</f>
        <v/>
      </c>
      <c r="J233" s="334" t="n"/>
      <c r="K233" s="332">
        <f>IFERROR(VLOOKUP(TEXT(O233,"0"),CONDUCTORES!$A$3:$G$54,7,0),"")</f>
        <v/>
      </c>
      <c r="L233" s="334" t="n"/>
      <c r="M233" s="334" t="n"/>
      <c r="N233" s="333">
        <f>IFERROR(IF(L233*M233=0,"",L233*M233),"")</f>
        <v/>
      </c>
      <c r="O233" s="334" t="n"/>
      <c r="P233" s="332">
        <f>IFERROR(VLOOKUP(TEXT(O233,"0"),CONDUCTORES!$A$3:$G$54,2,0),"")</f>
        <v/>
      </c>
      <c r="Q233" s="332">
        <f>IFERROR(VLOOKUP(TEXT(O233,"0"),CONDUCTORES!$A$3:$H$54,6,0),"")</f>
        <v/>
      </c>
      <c r="R233" s="334" t="n"/>
      <c r="S233" s="334" t="n"/>
      <c r="T233" s="334" t="n"/>
      <c r="U233" s="334" t="n"/>
      <c r="V233" s="334" t="n"/>
      <c r="W233" s="334" t="n"/>
      <c r="X233" s="334" t="n"/>
      <c r="Y233" s="334" t="n"/>
    </row>
    <row r="234" ht="15" customHeight="1" s="195">
      <c r="A234" s="280" t="n"/>
      <c r="B234" s="280" t="n"/>
      <c r="C234" s="280" t="n"/>
      <c r="D234" s="280" t="n"/>
      <c r="E234" s="280" t="n"/>
      <c r="F234" s="280" t="n"/>
      <c r="G234" s="280" t="n"/>
      <c r="H234" s="280" t="n"/>
      <c r="I234" s="332">
        <f>IFERROR(VLOOKUP(TEXT(H234,"0"),IPRESS!$A$3:$B$212,2,0),"")</f>
        <v/>
      </c>
      <c r="J234" s="280" t="n"/>
      <c r="K234" s="332">
        <f>IFERROR(VLOOKUP(TEXT(O234,"0"),CONDUCTORES!$A$3:$G$54,7,0),"")</f>
        <v/>
      </c>
      <c r="L234" s="280" t="n"/>
      <c r="M234" s="280" t="n"/>
      <c r="N234" s="333">
        <f>IFERROR(IF(L234*M234=0,"",L234*M234),"")</f>
        <v/>
      </c>
      <c r="O234" s="280" t="n"/>
      <c r="P234" s="332">
        <f>IFERROR(VLOOKUP(TEXT(O234,"0"),CONDUCTORES!$A$3:$G$54,2,0),"")</f>
        <v/>
      </c>
      <c r="Q234" s="332">
        <f>IFERROR(VLOOKUP(TEXT(O234,"0"),CONDUCTORES!$A$3:$H$54,6,0),"")</f>
        <v/>
      </c>
      <c r="R234" s="280" t="n"/>
      <c r="S234" s="280" t="n"/>
      <c r="T234" s="280" t="n"/>
      <c r="U234" s="280" t="n"/>
      <c r="V234" s="280" t="n"/>
      <c r="W234" s="280" t="n"/>
      <c r="X234" s="280" t="n"/>
      <c r="Y234" s="280" t="n"/>
    </row>
    <row r="235" ht="15" customHeight="1" s="195">
      <c r="A235" s="334" t="n"/>
      <c r="B235" s="334" t="n"/>
      <c r="C235" s="334" t="n"/>
      <c r="D235" s="334" t="n"/>
      <c r="E235" s="334" t="n"/>
      <c r="F235" s="334" t="n"/>
      <c r="G235" s="334" t="n"/>
      <c r="H235" s="334" t="n"/>
      <c r="I235" s="332">
        <f>IFERROR(VLOOKUP(TEXT(H235,"0"),IPRESS!$A$3:$B$212,2,0),"")</f>
        <v/>
      </c>
      <c r="J235" s="334" t="n"/>
      <c r="K235" s="332">
        <f>IFERROR(VLOOKUP(TEXT(O235,"0"),CONDUCTORES!$A$3:$G$54,7,0),"")</f>
        <v/>
      </c>
      <c r="L235" s="334" t="n"/>
      <c r="M235" s="334" t="n"/>
      <c r="N235" s="333">
        <f>IFERROR(IF(L235*M235=0,"",L235*M235),"")</f>
        <v/>
      </c>
      <c r="O235" s="334" t="n"/>
      <c r="P235" s="332">
        <f>IFERROR(VLOOKUP(TEXT(O235,"0"),CONDUCTORES!$A$3:$G$54,2,0),"")</f>
        <v/>
      </c>
      <c r="Q235" s="332">
        <f>IFERROR(VLOOKUP(TEXT(O235,"0"),CONDUCTORES!$A$3:$H$54,6,0),"")</f>
        <v/>
      </c>
      <c r="R235" s="334" t="n"/>
      <c r="S235" s="334" t="n"/>
      <c r="T235" s="334" t="n"/>
      <c r="U235" s="334" t="n"/>
      <c r="V235" s="334" t="n"/>
      <c r="W235" s="334" t="n"/>
      <c r="X235" s="334" t="n"/>
      <c r="Y235" s="334" t="n"/>
    </row>
    <row r="236" ht="15" customHeight="1" s="195">
      <c r="A236" s="280" t="n"/>
      <c r="B236" s="280" t="n"/>
      <c r="C236" s="280" t="n"/>
      <c r="D236" s="280" t="n"/>
      <c r="E236" s="280" t="n"/>
      <c r="F236" s="280" t="n"/>
      <c r="G236" s="280" t="n"/>
      <c r="H236" s="280" t="n"/>
      <c r="I236" s="332">
        <f>IFERROR(VLOOKUP(TEXT(H236,"0"),IPRESS!$A$3:$B$212,2,0),"")</f>
        <v/>
      </c>
      <c r="J236" s="280" t="n"/>
      <c r="K236" s="332">
        <f>IFERROR(VLOOKUP(TEXT(O236,"0"),CONDUCTORES!$A$3:$G$54,7,0),"")</f>
        <v/>
      </c>
      <c r="L236" s="280" t="n"/>
      <c r="M236" s="280" t="n"/>
      <c r="N236" s="333">
        <f>IFERROR(IF(L236*M236=0,"",L236*M236),"")</f>
        <v/>
      </c>
      <c r="O236" s="280" t="n"/>
      <c r="P236" s="332">
        <f>IFERROR(VLOOKUP(TEXT(O236,"0"),CONDUCTORES!$A$3:$G$54,2,0),"")</f>
        <v/>
      </c>
      <c r="Q236" s="332">
        <f>IFERROR(VLOOKUP(TEXT(O236,"0"),CONDUCTORES!$A$3:$H$54,6,0),"")</f>
        <v/>
      </c>
      <c r="R236" s="280" t="n"/>
      <c r="S236" s="280" t="n"/>
      <c r="T236" s="280" t="n"/>
      <c r="U236" s="280" t="n"/>
      <c r="V236" s="280" t="n"/>
      <c r="W236" s="280" t="n"/>
      <c r="X236" s="280" t="n"/>
      <c r="Y236" s="280" t="n"/>
    </row>
    <row r="237" ht="15" customHeight="1" s="195">
      <c r="A237" s="334" t="n"/>
      <c r="B237" s="334" t="n"/>
      <c r="C237" s="334" t="n"/>
      <c r="D237" s="334" t="n"/>
      <c r="E237" s="334" t="n"/>
      <c r="F237" s="334" t="n"/>
      <c r="G237" s="334" t="n"/>
      <c r="H237" s="334" t="n"/>
      <c r="I237" s="332">
        <f>IFERROR(VLOOKUP(TEXT(H237,"0"),IPRESS!$A$3:$B$212,2,0),"")</f>
        <v/>
      </c>
      <c r="J237" s="334" t="n"/>
      <c r="K237" s="332">
        <f>IFERROR(VLOOKUP(TEXT(O237,"0"),CONDUCTORES!$A$3:$G$54,7,0),"")</f>
        <v/>
      </c>
      <c r="L237" s="334" t="n"/>
      <c r="M237" s="334" t="n"/>
      <c r="N237" s="333">
        <f>IFERROR(IF(L237*M237=0,"",L237*M237),"")</f>
        <v/>
      </c>
      <c r="O237" s="334" t="n"/>
      <c r="P237" s="332">
        <f>IFERROR(VLOOKUP(TEXT(O237,"0"),CONDUCTORES!$A$3:$G$54,2,0),"")</f>
        <v/>
      </c>
      <c r="Q237" s="332">
        <f>IFERROR(VLOOKUP(TEXT(O237,"0"),CONDUCTORES!$A$3:$H$54,6,0),"")</f>
        <v/>
      </c>
      <c r="R237" s="334" t="n"/>
      <c r="S237" s="334" t="n"/>
      <c r="T237" s="334" t="n"/>
      <c r="U237" s="334" t="n"/>
      <c r="V237" s="334" t="n"/>
      <c r="W237" s="334" t="n"/>
      <c r="X237" s="334" t="n"/>
      <c r="Y237" s="334" t="n"/>
    </row>
    <row r="238" ht="15" customHeight="1" s="195">
      <c r="A238" s="280" t="n"/>
      <c r="B238" s="280" t="n"/>
      <c r="C238" s="280" t="n"/>
      <c r="D238" s="280" t="n"/>
      <c r="E238" s="280" t="n"/>
      <c r="F238" s="280" t="n"/>
      <c r="G238" s="280" t="n"/>
      <c r="H238" s="280" t="n"/>
      <c r="I238" s="332">
        <f>IFERROR(VLOOKUP(TEXT(H238,"0"),IPRESS!$A$3:$B$212,2,0),"")</f>
        <v/>
      </c>
      <c r="J238" s="280" t="n"/>
      <c r="K238" s="332">
        <f>IFERROR(VLOOKUP(TEXT(O238,"0"),CONDUCTORES!$A$3:$G$54,7,0),"")</f>
        <v/>
      </c>
      <c r="L238" s="280" t="n"/>
      <c r="M238" s="280" t="n"/>
      <c r="N238" s="333">
        <f>IFERROR(IF(L238*M238=0,"",L238*M238),"")</f>
        <v/>
      </c>
      <c r="O238" s="280" t="n"/>
      <c r="P238" s="332">
        <f>IFERROR(VLOOKUP(TEXT(O238,"0"),CONDUCTORES!$A$3:$G$54,2,0),"")</f>
        <v/>
      </c>
      <c r="Q238" s="332">
        <f>IFERROR(VLOOKUP(TEXT(O238,"0"),CONDUCTORES!$A$3:$H$54,6,0),"")</f>
        <v/>
      </c>
      <c r="R238" s="280" t="n"/>
      <c r="S238" s="280" t="n"/>
      <c r="T238" s="280" t="n"/>
      <c r="U238" s="280" t="n"/>
      <c r="V238" s="280" t="n"/>
      <c r="W238" s="280" t="n"/>
      <c r="X238" s="280" t="n"/>
      <c r="Y238" s="280" t="n"/>
    </row>
    <row r="239" ht="15" customHeight="1" s="195">
      <c r="A239" s="334" t="n"/>
      <c r="B239" s="334" t="n"/>
      <c r="C239" s="334" t="n"/>
      <c r="D239" s="334" t="n"/>
      <c r="E239" s="334" t="n"/>
      <c r="F239" s="334" t="n"/>
      <c r="G239" s="334" t="n"/>
      <c r="H239" s="334" t="n"/>
      <c r="I239" s="332">
        <f>IFERROR(VLOOKUP(TEXT(H239,"0"),IPRESS!$A$3:$B$212,2,0),"")</f>
        <v/>
      </c>
      <c r="J239" s="334" t="n"/>
      <c r="K239" s="332">
        <f>IFERROR(VLOOKUP(TEXT(O239,"0"),CONDUCTORES!$A$3:$G$54,7,0),"")</f>
        <v/>
      </c>
      <c r="L239" s="334" t="n"/>
      <c r="M239" s="334" t="n"/>
      <c r="N239" s="333">
        <f>IFERROR(IF(L239*M239=0,"",L239*M239),"")</f>
        <v/>
      </c>
      <c r="O239" s="334" t="n"/>
      <c r="P239" s="332">
        <f>IFERROR(VLOOKUP(TEXT(O239,"0"),CONDUCTORES!$A$3:$G$54,2,0),"")</f>
        <v/>
      </c>
      <c r="Q239" s="332">
        <f>IFERROR(VLOOKUP(TEXT(O239,"0"),CONDUCTORES!$A$3:$H$54,6,0),"")</f>
        <v/>
      </c>
      <c r="R239" s="334" t="n"/>
      <c r="S239" s="334" t="n"/>
      <c r="T239" s="334" t="n"/>
      <c r="U239" s="334" t="n"/>
      <c r="V239" s="334" t="n"/>
      <c r="W239" s="334" t="n"/>
      <c r="X239" s="334" t="n"/>
      <c r="Y239" s="334" t="n"/>
    </row>
    <row r="240" ht="15" customHeight="1" s="195">
      <c r="A240" s="280" t="n"/>
      <c r="B240" s="280" t="n"/>
      <c r="C240" s="280" t="n"/>
      <c r="D240" s="280" t="n"/>
      <c r="E240" s="280" t="n"/>
      <c r="F240" s="280" t="n"/>
      <c r="G240" s="280" t="n"/>
      <c r="H240" s="280" t="n"/>
      <c r="I240" s="332">
        <f>IFERROR(VLOOKUP(TEXT(H240,"0"),IPRESS!$A$3:$B$212,2,0),"")</f>
        <v/>
      </c>
      <c r="J240" s="280" t="n"/>
      <c r="K240" s="332">
        <f>IFERROR(VLOOKUP(TEXT(O240,"0"),CONDUCTORES!$A$3:$G$54,7,0),"")</f>
        <v/>
      </c>
      <c r="L240" s="280" t="n"/>
      <c r="M240" s="280" t="n"/>
      <c r="N240" s="333">
        <f>IFERROR(IF(L240*M240=0,"",L240*M240),"")</f>
        <v/>
      </c>
      <c r="O240" s="280" t="n"/>
      <c r="P240" s="332">
        <f>IFERROR(VLOOKUP(TEXT(O240,"0"),CONDUCTORES!$A$3:$G$54,2,0),"")</f>
        <v/>
      </c>
      <c r="Q240" s="332">
        <f>IFERROR(VLOOKUP(TEXT(O240,"0"),CONDUCTORES!$A$3:$H$54,6,0),"")</f>
        <v/>
      </c>
      <c r="R240" s="280" t="n"/>
      <c r="S240" s="280" t="n"/>
      <c r="T240" s="280" t="n"/>
      <c r="U240" s="280" t="n"/>
      <c r="V240" s="280" t="n"/>
      <c r="W240" s="280" t="n"/>
      <c r="X240" s="280" t="n"/>
      <c r="Y240" s="280" t="n"/>
    </row>
    <row r="241" ht="15" customHeight="1" s="195">
      <c r="A241" s="334" t="n"/>
      <c r="B241" s="334" t="n"/>
      <c r="C241" s="334" t="n"/>
      <c r="D241" s="334" t="n"/>
      <c r="E241" s="334" t="n"/>
      <c r="F241" s="334" t="n"/>
      <c r="G241" s="334" t="n"/>
      <c r="H241" s="334" t="n"/>
      <c r="I241" s="332">
        <f>IFERROR(VLOOKUP(TEXT(H241,"0"),IPRESS!$A$3:$B$212,2,0),"")</f>
        <v/>
      </c>
      <c r="J241" s="334" t="n"/>
      <c r="K241" s="332">
        <f>IFERROR(VLOOKUP(TEXT(O241,"0"),CONDUCTORES!$A$3:$G$54,7,0),"")</f>
        <v/>
      </c>
      <c r="L241" s="334" t="n"/>
      <c r="M241" s="334" t="n"/>
      <c r="N241" s="333">
        <f>IFERROR(IF(L241*M241=0,"",L241*M241),"")</f>
        <v/>
      </c>
      <c r="O241" s="334" t="n"/>
      <c r="P241" s="332">
        <f>IFERROR(VLOOKUP(TEXT(O241,"0"),CONDUCTORES!$A$3:$G$54,2,0),"")</f>
        <v/>
      </c>
      <c r="Q241" s="332">
        <f>IFERROR(VLOOKUP(TEXT(O241,"0"),CONDUCTORES!$A$3:$H$54,6,0),"")</f>
        <v/>
      </c>
      <c r="R241" s="334" t="n"/>
      <c r="S241" s="334" t="n"/>
      <c r="T241" s="334" t="n"/>
      <c r="U241" s="334" t="n"/>
      <c r="V241" s="334" t="n"/>
      <c r="W241" s="334" t="n"/>
      <c r="X241" s="334" t="n"/>
      <c r="Y241" s="334" t="n"/>
    </row>
    <row r="242" ht="15" customHeight="1" s="195">
      <c r="A242" s="280" t="n"/>
      <c r="B242" s="280" t="n"/>
      <c r="C242" s="280" t="n"/>
      <c r="D242" s="280" t="n"/>
      <c r="E242" s="280" t="n"/>
      <c r="F242" s="280" t="n"/>
      <c r="G242" s="280" t="n"/>
      <c r="H242" s="280" t="n"/>
      <c r="I242" s="332">
        <f>IFERROR(VLOOKUP(TEXT(H242,"0"),IPRESS!$A$3:$B$212,2,0),"")</f>
        <v/>
      </c>
      <c r="J242" s="280" t="n"/>
      <c r="K242" s="332">
        <f>IFERROR(VLOOKUP(TEXT(O242,"0"),CONDUCTORES!$A$3:$G$54,7,0),"")</f>
        <v/>
      </c>
      <c r="L242" s="280" t="n"/>
      <c r="M242" s="280" t="n"/>
      <c r="N242" s="333">
        <f>IFERROR(IF(L242*M242=0,"",L242*M242),"")</f>
        <v/>
      </c>
      <c r="O242" s="280" t="n"/>
      <c r="P242" s="332">
        <f>IFERROR(VLOOKUP(TEXT(O242,"0"),CONDUCTORES!$A$3:$G$54,2,0),"")</f>
        <v/>
      </c>
      <c r="Q242" s="332">
        <f>IFERROR(VLOOKUP(TEXT(O242,"0"),CONDUCTORES!$A$3:$H$54,6,0),"")</f>
        <v/>
      </c>
      <c r="R242" s="280" t="n"/>
      <c r="S242" s="280" t="n"/>
      <c r="T242" s="280" t="n"/>
      <c r="U242" s="280" t="n"/>
      <c r="V242" s="280" t="n"/>
      <c r="W242" s="280" t="n"/>
      <c r="X242" s="280" t="n"/>
      <c r="Y242" s="280" t="n"/>
    </row>
    <row r="243" ht="15" customHeight="1" s="195">
      <c r="A243" s="334" t="n"/>
      <c r="B243" s="334" t="n"/>
      <c r="C243" s="334" t="n"/>
      <c r="D243" s="334" t="n"/>
      <c r="E243" s="334" t="n"/>
      <c r="F243" s="334" t="n"/>
      <c r="G243" s="334" t="n"/>
      <c r="H243" s="334" t="n"/>
      <c r="I243" s="332">
        <f>IFERROR(VLOOKUP(TEXT(H243,"0"),IPRESS!$A$3:$B$212,2,0),"")</f>
        <v/>
      </c>
      <c r="J243" s="334" t="n"/>
      <c r="K243" s="332">
        <f>IFERROR(VLOOKUP(TEXT(O243,"0"),CONDUCTORES!$A$3:$G$54,7,0),"")</f>
        <v/>
      </c>
      <c r="L243" s="334" t="n"/>
      <c r="M243" s="334" t="n"/>
      <c r="N243" s="333">
        <f>IFERROR(IF(L243*M243=0,"",L243*M243),"")</f>
        <v/>
      </c>
      <c r="O243" s="334" t="n"/>
      <c r="P243" s="332">
        <f>IFERROR(VLOOKUP(TEXT(O243,"0"),CONDUCTORES!$A$3:$G$54,2,0),"")</f>
        <v/>
      </c>
      <c r="Q243" s="332">
        <f>IFERROR(VLOOKUP(TEXT(O243,"0"),CONDUCTORES!$A$3:$H$54,6,0),"")</f>
        <v/>
      </c>
      <c r="R243" s="334" t="n"/>
      <c r="S243" s="334" t="n"/>
      <c r="T243" s="334" t="n"/>
      <c r="U243" s="334" t="n"/>
      <c r="V243" s="334" t="n"/>
      <c r="W243" s="334" t="n"/>
      <c r="X243" s="334" t="n"/>
      <c r="Y243" s="334" t="n"/>
    </row>
    <row r="244" ht="15" customHeight="1" s="195">
      <c r="A244" s="280" t="n"/>
      <c r="B244" s="280" t="n"/>
      <c r="C244" s="280" t="n"/>
      <c r="D244" s="280" t="n"/>
      <c r="E244" s="280" t="n"/>
      <c r="F244" s="280" t="n"/>
      <c r="G244" s="280" t="n"/>
      <c r="H244" s="280" t="n"/>
      <c r="I244" s="332">
        <f>IFERROR(VLOOKUP(TEXT(H244,"0"),IPRESS!$A$3:$B$212,2,0),"")</f>
        <v/>
      </c>
      <c r="J244" s="280" t="n"/>
      <c r="K244" s="332">
        <f>IFERROR(VLOOKUP(TEXT(O244,"0"),CONDUCTORES!$A$3:$G$54,7,0),"")</f>
        <v/>
      </c>
      <c r="L244" s="280" t="n"/>
      <c r="M244" s="280" t="n"/>
      <c r="N244" s="333">
        <f>IFERROR(IF(L244*M244=0,"",L244*M244),"")</f>
        <v/>
      </c>
      <c r="O244" s="280" t="n"/>
      <c r="P244" s="332">
        <f>IFERROR(VLOOKUP(TEXT(O244,"0"),CONDUCTORES!$A$3:$G$54,2,0),"")</f>
        <v/>
      </c>
      <c r="Q244" s="332">
        <f>IFERROR(VLOOKUP(TEXT(O244,"0"),CONDUCTORES!$A$3:$H$54,6,0),"")</f>
        <v/>
      </c>
      <c r="R244" s="280" t="n"/>
      <c r="S244" s="280" t="n"/>
      <c r="T244" s="280" t="n"/>
      <c r="U244" s="280" t="n"/>
      <c r="V244" s="280" t="n"/>
      <c r="W244" s="280" t="n"/>
      <c r="X244" s="280" t="n"/>
      <c r="Y244" s="280" t="n"/>
    </row>
    <row r="245" ht="15" customHeight="1" s="195">
      <c r="A245" s="334" t="n"/>
      <c r="B245" s="334" t="n"/>
      <c r="C245" s="334" t="n"/>
      <c r="D245" s="334" t="n"/>
      <c r="E245" s="334" t="n"/>
      <c r="F245" s="334" t="n"/>
      <c r="G245" s="334" t="n"/>
      <c r="H245" s="334" t="n"/>
      <c r="I245" s="332">
        <f>IFERROR(VLOOKUP(TEXT(H245,"0"),IPRESS!$A$3:$B$212,2,0),"")</f>
        <v/>
      </c>
      <c r="J245" s="334" t="n"/>
      <c r="K245" s="332">
        <f>IFERROR(VLOOKUP(TEXT(O245,"0"),CONDUCTORES!$A$3:$G$54,7,0),"")</f>
        <v/>
      </c>
      <c r="L245" s="334" t="n"/>
      <c r="M245" s="334" t="n"/>
      <c r="N245" s="333">
        <f>IFERROR(IF(L245*M245=0,"",L245*M245),"")</f>
        <v/>
      </c>
      <c r="O245" s="334" t="n"/>
      <c r="P245" s="332">
        <f>IFERROR(VLOOKUP(TEXT(O245,"0"),CONDUCTORES!$A$3:$G$54,2,0),"")</f>
        <v/>
      </c>
      <c r="Q245" s="332">
        <f>IFERROR(VLOOKUP(TEXT(O245,"0"),CONDUCTORES!$A$3:$H$54,6,0),"")</f>
        <v/>
      </c>
      <c r="R245" s="334" t="n"/>
      <c r="S245" s="334" t="n"/>
      <c r="T245" s="334" t="n"/>
      <c r="U245" s="334" t="n"/>
      <c r="V245" s="334" t="n"/>
      <c r="W245" s="334" t="n"/>
      <c r="X245" s="334" t="n"/>
      <c r="Y245" s="334" t="n"/>
    </row>
    <row r="246" ht="15" customHeight="1" s="195">
      <c r="A246" s="280" t="n"/>
      <c r="B246" s="280" t="n"/>
      <c r="C246" s="280" t="n"/>
      <c r="D246" s="280" t="n"/>
      <c r="E246" s="280" t="n"/>
      <c r="F246" s="280" t="n"/>
      <c r="G246" s="280" t="n"/>
      <c r="H246" s="280" t="n"/>
      <c r="I246" s="332">
        <f>IFERROR(VLOOKUP(TEXT(H246,"0"),IPRESS!$A$3:$B$212,2,0),"")</f>
        <v/>
      </c>
      <c r="J246" s="280" t="n"/>
      <c r="K246" s="332">
        <f>IFERROR(VLOOKUP(TEXT(O246,"0"),CONDUCTORES!$A$3:$G$54,7,0),"")</f>
        <v/>
      </c>
      <c r="L246" s="280" t="n"/>
      <c r="M246" s="280" t="n"/>
      <c r="N246" s="333">
        <f>IFERROR(IF(L246*M246=0,"",L246*M246),"")</f>
        <v/>
      </c>
      <c r="O246" s="280" t="n"/>
      <c r="P246" s="332">
        <f>IFERROR(VLOOKUP(TEXT(O246,"0"),CONDUCTORES!$A$3:$G$54,2,0),"")</f>
        <v/>
      </c>
      <c r="Q246" s="332">
        <f>IFERROR(VLOOKUP(TEXT(O246,"0"),CONDUCTORES!$A$3:$H$54,6,0),"")</f>
        <v/>
      </c>
      <c r="R246" s="280" t="n"/>
      <c r="S246" s="280" t="n"/>
      <c r="T246" s="280" t="n"/>
      <c r="U246" s="280" t="n"/>
      <c r="V246" s="280" t="n"/>
      <c r="W246" s="280" t="n"/>
      <c r="X246" s="280" t="n"/>
      <c r="Y246" s="280" t="n"/>
    </row>
    <row r="247" ht="15" customHeight="1" s="195">
      <c r="A247" s="334" t="n"/>
      <c r="B247" s="334" t="n"/>
      <c r="C247" s="334" t="n"/>
      <c r="D247" s="334" t="n"/>
      <c r="E247" s="334" t="n"/>
      <c r="F247" s="334" t="n"/>
      <c r="G247" s="334" t="n"/>
      <c r="H247" s="334" t="n"/>
      <c r="I247" s="332">
        <f>IFERROR(VLOOKUP(TEXT(H247,"0"),IPRESS!$A$3:$B$212,2,0),"")</f>
        <v/>
      </c>
      <c r="J247" s="334" t="n"/>
      <c r="K247" s="332">
        <f>IFERROR(VLOOKUP(TEXT(O247,"0"),CONDUCTORES!$A$3:$G$54,7,0),"")</f>
        <v/>
      </c>
      <c r="L247" s="334" t="n"/>
      <c r="M247" s="334" t="n"/>
      <c r="N247" s="333">
        <f>IFERROR(IF(L247*M247=0,"",L247*M247),"")</f>
        <v/>
      </c>
      <c r="O247" s="334" t="n"/>
      <c r="P247" s="332">
        <f>IFERROR(VLOOKUP(TEXT(O247,"0"),CONDUCTORES!$A$3:$G$54,2,0),"")</f>
        <v/>
      </c>
      <c r="Q247" s="332">
        <f>IFERROR(VLOOKUP(TEXT(O247,"0"),CONDUCTORES!$A$3:$H$54,6,0),"")</f>
        <v/>
      </c>
      <c r="R247" s="334" t="n"/>
      <c r="S247" s="334" t="n"/>
      <c r="T247" s="334" t="n"/>
      <c r="U247" s="334" t="n"/>
      <c r="V247" s="334" t="n"/>
      <c r="W247" s="334" t="n"/>
      <c r="X247" s="334" t="n"/>
      <c r="Y247" s="334" t="n"/>
    </row>
    <row r="248" ht="15" customHeight="1" s="195">
      <c r="A248" s="280" t="n"/>
      <c r="B248" s="280" t="n"/>
      <c r="C248" s="280" t="n"/>
      <c r="D248" s="280" t="n"/>
      <c r="E248" s="280" t="n"/>
      <c r="F248" s="280" t="n"/>
      <c r="G248" s="280" t="n"/>
      <c r="H248" s="280" t="n"/>
      <c r="I248" s="332">
        <f>IFERROR(VLOOKUP(TEXT(H248,"0"),IPRESS!$A$3:$B$212,2,0),"")</f>
        <v/>
      </c>
      <c r="J248" s="280" t="n"/>
      <c r="K248" s="332">
        <f>IFERROR(VLOOKUP(TEXT(O248,"0"),CONDUCTORES!$A$3:$G$54,7,0),"")</f>
        <v/>
      </c>
      <c r="L248" s="280" t="n"/>
      <c r="M248" s="280" t="n"/>
      <c r="N248" s="333">
        <f>IFERROR(IF(L248*M248=0,"",L248*M248),"")</f>
        <v/>
      </c>
      <c r="O248" s="280" t="n"/>
      <c r="P248" s="332">
        <f>IFERROR(VLOOKUP(TEXT(O248,"0"),CONDUCTORES!$A$3:$G$54,2,0),"")</f>
        <v/>
      </c>
      <c r="Q248" s="332">
        <f>IFERROR(VLOOKUP(TEXT(O248,"0"),CONDUCTORES!$A$3:$H$54,6,0),"")</f>
        <v/>
      </c>
      <c r="R248" s="280" t="n"/>
      <c r="S248" s="280" t="n"/>
      <c r="T248" s="280" t="n"/>
      <c r="U248" s="280" t="n"/>
      <c r="V248" s="280" t="n"/>
      <c r="W248" s="280" t="n"/>
      <c r="X248" s="280" t="n"/>
      <c r="Y248" s="280" t="n"/>
    </row>
    <row r="249" ht="15" customHeight="1" s="195">
      <c r="A249" s="334" t="n"/>
      <c r="B249" s="334" t="n"/>
      <c r="C249" s="334" t="n"/>
      <c r="D249" s="334" t="n"/>
      <c r="E249" s="334" t="n"/>
      <c r="F249" s="334" t="n"/>
      <c r="G249" s="334" t="n"/>
      <c r="H249" s="334" t="n"/>
      <c r="I249" s="332">
        <f>IFERROR(VLOOKUP(TEXT(H249,"0"),IPRESS!$A$3:$B$212,2,0),"")</f>
        <v/>
      </c>
      <c r="J249" s="334" t="n"/>
      <c r="K249" s="332">
        <f>IFERROR(VLOOKUP(TEXT(O249,"0"),CONDUCTORES!$A$3:$G$54,7,0),"")</f>
        <v/>
      </c>
      <c r="L249" s="334" t="n"/>
      <c r="M249" s="334" t="n"/>
      <c r="N249" s="333">
        <f>IFERROR(IF(L249*M249=0,"",L249*M249),"")</f>
        <v/>
      </c>
      <c r="O249" s="334" t="n"/>
      <c r="P249" s="332">
        <f>IFERROR(VLOOKUP(TEXT(O249,"0"),CONDUCTORES!$A$3:$G$54,2,0),"")</f>
        <v/>
      </c>
      <c r="Q249" s="332">
        <f>IFERROR(VLOOKUP(TEXT(O249,"0"),CONDUCTORES!$A$3:$H$54,6,0),"")</f>
        <v/>
      </c>
      <c r="R249" s="334" t="n"/>
      <c r="S249" s="334" t="n"/>
      <c r="T249" s="334" t="n"/>
      <c r="U249" s="334" t="n"/>
      <c r="V249" s="334" t="n"/>
      <c r="W249" s="334" t="n"/>
      <c r="X249" s="334" t="n"/>
      <c r="Y249" s="334" t="n"/>
    </row>
    <row r="250" ht="15" customHeight="1" s="195">
      <c r="A250" s="280" t="n"/>
      <c r="B250" s="280" t="n"/>
      <c r="C250" s="280" t="n"/>
      <c r="D250" s="280" t="n"/>
      <c r="E250" s="280" t="n"/>
      <c r="F250" s="280" t="n"/>
      <c r="G250" s="280" t="n"/>
      <c r="H250" s="280" t="n"/>
      <c r="I250" s="332">
        <f>IFERROR(VLOOKUP(TEXT(H250,"0"),IPRESS!$A$3:$B$212,2,0),"")</f>
        <v/>
      </c>
      <c r="J250" s="280" t="n"/>
      <c r="K250" s="332">
        <f>IFERROR(VLOOKUP(TEXT(O250,"0"),CONDUCTORES!$A$3:$G$54,7,0),"")</f>
        <v/>
      </c>
      <c r="L250" s="280" t="n"/>
      <c r="M250" s="280" t="n"/>
      <c r="N250" s="333">
        <f>IFERROR(IF(L250*M250=0,"",L250*M250),"")</f>
        <v/>
      </c>
      <c r="O250" s="280" t="n"/>
      <c r="P250" s="332">
        <f>IFERROR(VLOOKUP(TEXT(O250,"0"),CONDUCTORES!$A$3:$G$54,2,0),"")</f>
        <v/>
      </c>
      <c r="Q250" s="332">
        <f>IFERROR(VLOOKUP(TEXT(O250,"0"),CONDUCTORES!$A$3:$H$54,6,0),"")</f>
        <v/>
      </c>
      <c r="R250" s="280" t="n"/>
      <c r="S250" s="280" t="n"/>
      <c r="T250" s="280" t="n"/>
      <c r="U250" s="280" t="n"/>
      <c r="V250" s="280" t="n"/>
      <c r="W250" s="280" t="n"/>
      <c r="X250" s="280" t="n"/>
      <c r="Y250" s="280" t="n"/>
    </row>
    <row r="251" ht="15" customHeight="1" s="195">
      <c r="A251" s="334" t="n"/>
      <c r="B251" s="334" t="n"/>
      <c r="C251" s="334" t="n"/>
      <c r="D251" s="334" t="n"/>
      <c r="E251" s="334" t="n"/>
      <c r="F251" s="334" t="n"/>
      <c r="G251" s="334" t="n"/>
      <c r="H251" s="334" t="n"/>
      <c r="I251" s="332">
        <f>IFERROR(VLOOKUP(TEXT(H251,"0"),IPRESS!$A$3:$B$212,2,0),"")</f>
        <v/>
      </c>
      <c r="J251" s="334" t="n"/>
      <c r="K251" s="332">
        <f>IFERROR(VLOOKUP(TEXT(O251,"0"),CONDUCTORES!$A$3:$G$54,7,0),"")</f>
        <v/>
      </c>
      <c r="L251" s="334" t="n"/>
      <c r="M251" s="334" t="n"/>
      <c r="N251" s="333">
        <f>IFERROR(IF(L251*M251=0,"",L251*M251),"")</f>
        <v/>
      </c>
      <c r="O251" s="334" t="n"/>
      <c r="P251" s="332">
        <f>IFERROR(VLOOKUP(TEXT(O251,"0"),CONDUCTORES!$A$3:$G$54,2,0),"")</f>
        <v/>
      </c>
      <c r="Q251" s="332">
        <f>IFERROR(VLOOKUP(TEXT(O251,"0"),CONDUCTORES!$A$3:$H$54,6,0),"")</f>
        <v/>
      </c>
      <c r="R251" s="334" t="n"/>
      <c r="S251" s="334" t="n"/>
      <c r="T251" s="334" t="n"/>
      <c r="U251" s="334" t="n"/>
      <c r="V251" s="334" t="n"/>
      <c r="W251" s="334" t="n"/>
      <c r="X251" s="334" t="n"/>
      <c r="Y251" s="334" t="n"/>
    </row>
    <row r="252" ht="15" customHeight="1" s="195">
      <c r="A252" s="280" t="n"/>
      <c r="B252" s="280" t="n"/>
      <c r="C252" s="280" t="n"/>
      <c r="D252" s="280" t="n"/>
      <c r="E252" s="280" t="n"/>
      <c r="F252" s="280" t="n"/>
      <c r="G252" s="280" t="n"/>
      <c r="H252" s="280" t="n"/>
      <c r="I252" s="332">
        <f>IFERROR(VLOOKUP(TEXT(H252,"0"),IPRESS!$A$3:$B$212,2,0),"")</f>
        <v/>
      </c>
      <c r="J252" s="280" t="n"/>
      <c r="K252" s="332">
        <f>IFERROR(VLOOKUP(TEXT(O252,"0"),CONDUCTORES!$A$3:$G$54,7,0),"")</f>
        <v/>
      </c>
      <c r="L252" s="280" t="n"/>
      <c r="M252" s="280" t="n"/>
      <c r="N252" s="333">
        <f>IFERROR(IF(L252*M252=0,"",L252*M252),"")</f>
        <v/>
      </c>
      <c r="O252" s="280" t="n"/>
      <c r="P252" s="332">
        <f>IFERROR(VLOOKUP(TEXT(O252,"0"),CONDUCTORES!$A$3:$G$54,2,0),"")</f>
        <v/>
      </c>
      <c r="Q252" s="332">
        <f>IFERROR(VLOOKUP(TEXT(O252,"0"),CONDUCTORES!$A$3:$H$54,6,0),"")</f>
        <v/>
      </c>
      <c r="R252" s="280" t="n"/>
      <c r="S252" s="280" t="n"/>
      <c r="T252" s="280" t="n"/>
      <c r="U252" s="280" t="n"/>
      <c r="V252" s="280" t="n"/>
      <c r="W252" s="280" t="n"/>
      <c r="X252" s="280" t="n"/>
      <c r="Y252" s="280" t="n"/>
    </row>
    <row r="253" ht="15" customHeight="1" s="195">
      <c r="A253" s="334" t="n"/>
      <c r="B253" s="334" t="n"/>
      <c r="C253" s="334" t="n"/>
      <c r="D253" s="334" t="n"/>
      <c r="E253" s="334" t="n"/>
      <c r="F253" s="334" t="n"/>
      <c r="G253" s="334" t="n"/>
      <c r="H253" s="334" t="n"/>
      <c r="I253" s="332">
        <f>IFERROR(VLOOKUP(TEXT(H253,"0"),IPRESS!$A$3:$B$212,2,0),"")</f>
        <v/>
      </c>
      <c r="J253" s="334" t="n"/>
      <c r="K253" s="332">
        <f>IFERROR(VLOOKUP(TEXT(O253,"0"),CONDUCTORES!$A$3:$G$54,7,0),"")</f>
        <v/>
      </c>
      <c r="L253" s="334" t="n"/>
      <c r="M253" s="334" t="n"/>
      <c r="N253" s="333">
        <f>IFERROR(IF(L253*M253=0,"",L253*M253),"")</f>
        <v/>
      </c>
      <c r="O253" s="334" t="n"/>
      <c r="P253" s="332">
        <f>IFERROR(VLOOKUP(TEXT(O253,"0"),CONDUCTORES!$A$3:$G$54,2,0),"")</f>
        <v/>
      </c>
      <c r="Q253" s="332">
        <f>IFERROR(VLOOKUP(TEXT(O253,"0"),CONDUCTORES!$A$3:$H$54,6,0),"")</f>
        <v/>
      </c>
      <c r="R253" s="334" t="n"/>
      <c r="S253" s="334" t="n"/>
      <c r="T253" s="334" t="n"/>
      <c r="U253" s="334" t="n"/>
      <c r="V253" s="334" t="n"/>
      <c r="W253" s="334" t="n"/>
      <c r="X253" s="334" t="n"/>
      <c r="Y253" s="334" t="n"/>
    </row>
    <row r="254" ht="15" customHeight="1" s="195">
      <c r="A254" s="280" t="n"/>
      <c r="B254" s="280" t="n"/>
      <c r="C254" s="280" t="n"/>
      <c r="D254" s="280" t="n"/>
      <c r="E254" s="280" t="n"/>
      <c r="F254" s="280" t="n"/>
      <c r="G254" s="280" t="n"/>
      <c r="H254" s="280" t="n"/>
      <c r="I254" s="332">
        <f>IFERROR(VLOOKUP(TEXT(H254,"0"),IPRESS!$A$3:$B$212,2,0),"")</f>
        <v/>
      </c>
      <c r="J254" s="280" t="n"/>
      <c r="K254" s="332">
        <f>IFERROR(VLOOKUP(TEXT(O254,"0"),CONDUCTORES!$A$3:$G$54,7,0),"")</f>
        <v/>
      </c>
      <c r="L254" s="280" t="n"/>
      <c r="M254" s="280" t="n"/>
      <c r="N254" s="333">
        <f>IFERROR(IF(L254*M254=0,"",L254*M254),"")</f>
        <v/>
      </c>
      <c r="O254" s="280" t="n"/>
      <c r="P254" s="332">
        <f>IFERROR(VLOOKUP(TEXT(O254,"0"),CONDUCTORES!$A$3:$G$54,2,0),"")</f>
        <v/>
      </c>
      <c r="Q254" s="332">
        <f>IFERROR(VLOOKUP(TEXT(O254,"0"),CONDUCTORES!$A$3:$H$54,6,0),"")</f>
        <v/>
      </c>
      <c r="R254" s="280" t="n"/>
      <c r="S254" s="280" t="n"/>
      <c r="T254" s="280" t="n"/>
      <c r="U254" s="280" t="n"/>
      <c r="V254" s="280" t="n"/>
      <c r="W254" s="280" t="n"/>
      <c r="X254" s="280" t="n"/>
      <c r="Y254" s="280" t="n"/>
    </row>
    <row r="255" ht="15" customHeight="1" s="195">
      <c r="A255" s="334" t="n"/>
      <c r="B255" s="334" t="n"/>
      <c r="C255" s="334" t="n"/>
      <c r="D255" s="334" t="n"/>
      <c r="E255" s="334" t="n"/>
      <c r="F255" s="334" t="n"/>
      <c r="G255" s="334" t="n"/>
      <c r="H255" s="334" t="n"/>
      <c r="I255" s="332">
        <f>IFERROR(VLOOKUP(TEXT(H255,"0"),IPRESS!$A$3:$B$212,2,0),"")</f>
        <v/>
      </c>
      <c r="J255" s="334" t="n"/>
      <c r="K255" s="332">
        <f>IFERROR(VLOOKUP(TEXT(O255,"0"),CONDUCTORES!$A$3:$G$54,7,0),"")</f>
        <v/>
      </c>
      <c r="L255" s="334" t="n"/>
      <c r="M255" s="334" t="n"/>
      <c r="N255" s="333">
        <f>IFERROR(IF(L255*M255=0,"",L255*M255),"")</f>
        <v/>
      </c>
      <c r="O255" s="334" t="n"/>
      <c r="P255" s="332">
        <f>IFERROR(VLOOKUP(TEXT(O255,"0"),CONDUCTORES!$A$3:$G$54,2,0),"")</f>
        <v/>
      </c>
      <c r="Q255" s="332">
        <f>IFERROR(VLOOKUP(TEXT(O255,"0"),CONDUCTORES!$A$3:$H$54,6,0),"")</f>
        <v/>
      </c>
      <c r="R255" s="334" t="n"/>
      <c r="S255" s="334" t="n"/>
      <c r="T255" s="334" t="n"/>
      <c r="U255" s="334" t="n"/>
      <c r="V255" s="334" t="n"/>
      <c r="W255" s="334" t="n"/>
      <c r="X255" s="334" t="n"/>
      <c r="Y255" s="334" t="n"/>
    </row>
    <row r="256" ht="15" customHeight="1" s="195">
      <c r="A256" s="280" t="n"/>
      <c r="B256" s="280" t="n"/>
      <c r="C256" s="280" t="n"/>
      <c r="D256" s="280" t="n"/>
      <c r="E256" s="280" t="n"/>
      <c r="F256" s="280" t="n"/>
      <c r="G256" s="280" t="n"/>
      <c r="H256" s="280" t="n"/>
      <c r="I256" s="332">
        <f>IFERROR(VLOOKUP(TEXT(H256,"0"),IPRESS!$A$3:$B$212,2,0),"")</f>
        <v/>
      </c>
      <c r="J256" s="280" t="n"/>
      <c r="K256" s="332">
        <f>IFERROR(VLOOKUP(TEXT(O256,"0"),CONDUCTORES!$A$3:$G$54,7,0),"")</f>
        <v/>
      </c>
      <c r="L256" s="280" t="n"/>
      <c r="M256" s="280" t="n"/>
      <c r="N256" s="333">
        <f>IFERROR(IF(L256*M256=0,"",L256*M256),"")</f>
        <v/>
      </c>
      <c r="O256" s="280" t="n"/>
      <c r="P256" s="332">
        <f>IFERROR(VLOOKUP(TEXT(O256,"0"),CONDUCTORES!$A$3:$G$54,2,0),"")</f>
        <v/>
      </c>
      <c r="Q256" s="332">
        <f>IFERROR(VLOOKUP(TEXT(O256,"0"),CONDUCTORES!$A$3:$H$54,6,0),"")</f>
        <v/>
      </c>
      <c r="R256" s="280" t="n"/>
      <c r="S256" s="280" t="n"/>
      <c r="T256" s="280" t="n"/>
      <c r="U256" s="280" t="n"/>
      <c r="V256" s="280" t="n"/>
      <c r="W256" s="280" t="n"/>
      <c r="X256" s="280" t="n"/>
      <c r="Y256" s="280" t="n"/>
    </row>
    <row r="257" ht="15" customHeight="1" s="195">
      <c r="A257" s="334" t="n"/>
      <c r="B257" s="334" t="n"/>
      <c r="C257" s="334" t="n"/>
      <c r="D257" s="334" t="n"/>
      <c r="E257" s="334" t="n"/>
      <c r="F257" s="334" t="n"/>
      <c r="G257" s="334" t="n"/>
      <c r="H257" s="334" t="n"/>
      <c r="I257" s="332">
        <f>IFERROR(VLOOKUP(TEXT(H257,"0"),IPRESS!$A$3:$B$212,2,0),"")</f>
        <v/>
      </c>
      <c r="J257" s="334" t="n"/>
      <c r="K257" s="332">
        <f>IFERROR(VLOOKUP(TEXT(O257,"0"),CONDUCTORES!$A$3:$G$54,7,0),"")</f>
        <v/>
      </c>
      <c r="L257" s="334" t="n"/>
      <c r="M257" s="334" t="n"/>
      <c r="N257" s="333">
        <f>IFERROR(IF(L257*M257=0,"",L257*M257),"")</f>
        <v/>
      </c>
      <c r="O257" s="334" t="n"/>
      <c r="P257" s="332">
        <f>IFERROR(VLOOKUP(TEXT(O257,"0"),CONDUCTORES!$A$3:$G$54,2,0),"")</f>
        <v/>
      </c>
      <c r="Q257" s="332">
        <f>IFERROR(VLOOKUP(TEXT(O257,"0"),CONDUCTORES!$A$3:$H$54,6,0),"")</f>
        <v/>
      </c>
      <c r="R257" s="334" t="n"/>
      <c r="S257" s="334" t="n"/>
      <c r="T257" s="334" t="n"/>
      <c r="U257" s="334" t="n"/>
      <c r="V257" s="334" t="n"/>
      <c r="W257" s="334" t="n"/>
      <c r="X257" s="334" t="n"/>
      <c r="Y257" s="334" t="n"/>
    </row>
    <row r="258" ht="15" customHeight="1" s="195">
      <c r="A258" s="280" t="n"/>
      <c r="B258" s="280" t="n"/>
      <c r="C258" s="280" t="n"/>
      <c r="D258" s="280" t="n"/>
      <c r="E258" s="280" t="n"/>
      <c r="F258" s="280" t="n"/>
      <c r="G258" s="280" t="n"/>
      <c r="H258" s="280" t="n"/>
      <c r="I258" s="332">
        <f>IFERROR(VLOOKUP(TEXT(H258,"0"),IPRESS!$A$3:$B$212,2,0),"")</f>
        <v/>
      </c>
      <c r="J258" s="280" t="n"/>
      <c r="K258" s="332">
        <f>IFERROR(VLOOKUP(TEXT(O258,"0"),CONDUCTORES!$A$3:$G$54,7,0),"")</f>
        <v/>
      </c>
      <c r="L258" s="280" t="n"/>
      <c r="M258" s="280" t="n"/>
      <c r="N258" s="333">
        <f>IFERROR(IF(L258*M258=0,"",L258*M258),"")</f>
        <v/>
      </c>
      <c r="O258" s="280" t="n"/>
      <c r="P258" s="332">
        <f>IFERROR(VLOOKUP(TEXT(O258,"0"),CONDUCTORES!$A$3:$G$54,2,0),"")</f>
        <v/>
      </c>
      <c r="Q258" s="332">
        <f>IFERROR(VLOOKUP(TEXT(O258,"0"),CONDUCTORES!$A$3:$H$54,6,0),"")</f>
        <v/>
      </c>
      <c r="R258" s="280" t="n"/>
      <c r="S258" s="280" t="n"/>
      <c r="T258" s="280" t="n"/>
      <c r="U258" s="280" t="n"/>
      <c r="V258" s="280" t="n"/>
      <c r="W258" s="280" t="n"/>
      <c r="X258" s="280" t="n"/>
      <c r="Y258" s="280" t="n"/>
    </row>
    <row r="259" ht="15" customHeight="1" s="195">
      <c r="A259" s="334" t="n"/>
      <c r="B259" s="334" t="n"/>
      <c r="C259" s="334" t="n"/>
      <c r="D259" s="334" t="n"/>
      <c r="E259" s="334" t="n"/>
      <c r="F259" s="334" t="n"/>
      <c r="G259" s="334" t="n"/>
      <c r="H259" s="334" t="n"/>
      <c r="I259" s="332">
        <f>IFERROR(VLOOKUP(TEXT(H259,"0"),IPRESS!$A$3:$B$212,2,0),"")</f>
        <v/>
      </c>
      <c r="J259" s="334" t="n"/>
      <c r="K259" s="332">
        <f>IFERROR(VLOOKUP(TEXT(O259,"0"),CONDUCTORES!$A$3:$G$54,7,0),"")</f>
        <v/>
      </c>
      <c r="L259" s="334" t="n"/>
      <c r="M259" s="334" t="n"/>
      <c r="N259" s="333">
        <f>IFERROR(IF(L259*M259=0,"",L259*M259),"")</f>
        <v/>
      </c>
      <c r="O259" s="334" t="n"/>
      <c r="P259" s="332">
        <f>IFERROR(VLOOKUP(TEXT(O259,"0"),CONDUCTORES!$A$3:$G$54,2,0),"")</f>
        <v/>
      </c>
      <c r="Q259" s="332">
        <f>IFERROR(VLOOKUP(TEXT(O259,"0"),CONDUCTORES!$A$3:$H$54,6,0),"")</f>
        <v/>
      </c>
      <c r="R259" s="334" t="n"/>
      <c r="S259" s="334" t="n"/>
      <c r="T259" s="334" t="n"/>
      <c r="U259" s="334" t="n"/>
      <c r="V259" s="334" t="n"/>
      <c r="W259" s="334" t="n"/>
      <c r="X259" s="334" t="n"/>
      <c r="Y259" s="334" t="n"/>
    </row>
    <row r="260" ht="15" customHeight="1" s="195">
      <c r="A260" s="280" t="n"/>
      <c r="B260" s="280" t="n"/>
      <c r="C260" s="280" t="n"/>
      <c r="D260" s="280" t="n"/>
      <c r="E260" s="280" t="n"/>
      <c r="F260" s="280" t="n"/>
      <c r="G260" s="280" t="n"/>
      <c r="H260" s="280" t="n"/>
      <c r="I260" s="332">
        <f>IFERROR(VLOOKUP(TEXT(H260,"0"),IPRESS!$A$3:$B$212,2,0),"")</f>
        <v/>
      </c>
      <c r="J260" s="280" t="n"/>
      <c r="K260" s="332">
        <f>IFERROR(VLOOKUP(TEXT(O260,"0"),CONDUCTORES!$A$3:$G$54,7,0),"")</f>
        <v/>
      </c>
      <c r="L260" s="280" t="n"/>
      <c r="M260" s="280" t="n"/>
      <c r="N260" s="333">
        <f>IFERROR(IF(L260*M260=0,"",L260*M260),"")</f>
        <v/>
      </c>
      <c r="O260" s="280" t="n"/>
      <c r="P260" s="332">
        <f>IFERROR(VLOOKUP(TEXT(O260,"0"),CONDUCTORES!$A$3:$G$54,2,0),"")</f>
        <v/>
      </c>
      <c r="Q260" s="332">
        <f>IFERROR(VLOOKUP(TEXT(O260,"0"),CONDUCTORES!$A$3:$H$54,6,0),"")</f>
        <v/>
      </c>
      <c r="R260" s="280" t="n"/>
      <c r="S260" s="280" t="n"/>
      <c r="T260" s="280" t="n"/>
      <c r="U260" s="280" t="n"/>
      <c r="V260" s="280" t="n"/>
      <c r="W260" s="280" t="n"/>
      <c r="X260" s="280" t="n"/>
      <c r="Y260" s="280" t="n"/>
    </row>
    <row r="261" ht="15" customHeight="1" s="195">
      <c r="A261" s="334" t="n"/>
      <c r="B261" s="334" t="n"/>
      <c r="C261" s="334" t="n"/>
      <c r="D261" s="334" t="n"/>
      <c r="E261" s="334" t="n"/>
      <c r="F261" s="334" t="n"/>
      <c r="G261" s="334" t="n"/>
      <c r="H261" s="334" t="n"/>
      <c r="I261" s="332">
        <f>IFERROR(VLOOKUP(TEXT(H261,"0"),IPRESS!$A$3:$B$212,2,0),"")</f>
        <v/>
      </c>
      <c r="J261" s="334" t="n"/>
      <c r="K261" s="332">
        <f>IFERROR(VLOOKUP(TEXT(O261,"0"),CONDUCTORES!$A$3:$G$54,7,0),"")</f>
        <v/>
      </c>
      <c r="L261" s="334" t="n"/>
      <c r="M261" s="334" t="n"/>
      <c r="N261" s="333">
        <f>IFERROR(IF(L261*M261=0,"",L261*M261),"")</f>
        <v/>
      </c>
      <c r="O261" s="334" t="n"/>
      <c r="P261" s="332">
        <f>IFERROR(VLOOKUP(TEXT(O261,"0"),CONDUCTORES!$A$3:$G$54,2,0),"")</f>
        <v/>
      </c>
      <c r="Q261" s="332">
        <f>IFERROR(VLOOKUP(TEXT(O261,"0"),CONDUCTORES!$A$3:$H$54,6,0),"")</f>
        <v/>
      </c>
      <c r="R261" s="334" t="n"/>
      <c r="S261" s="334" t="n"/>
      <c r="T261" s="334" t="n"/>
      <c r="U261" s="334" t="n"/>
      <c r="V261" s="334" t="n"/>
      <c r="W261" s="334" t="n"/>
      <c r="X261" s="334" t="n"/>
      <c r="Y261" s="334" t="n"/>
    </row>
    <row r="262" ht="15" customHeight="1" s="195">
      <c r="A262" s="280" t="n"/>
      <c r="B262" s="280" t="n"/>
      <c r="C262" s="280" t="n"/>
      <c r="D262" s="280" t="n"/>
      <c r="E262" s="280" t="n"/>
      <c r="F262" s="280" t="n"/>
      <c r="G262" s="280" t="n"/>
      <c r="H262" s="280" t="n"/>
      <c r="I262" s="332">
        <f>IFERROR(VLOOKUP(TEXT(H262,"0"),IPRESS!$A$3:$B$212,2,0),"")</f>
        <v/>
      </c>
      <c r="J262" s="280" t="n"/>
      <c r="K262" s="332">
        <f>IFERROR(VLOOKUP(TEXT(O262,"0"),CONDUCTORES!$A$3:$G$54,7,0),"")</f>
        <v/>
      </c>
      <c r="L262" s="280" t="n"/>
      <c r="M262" s="280" t="n"/>
      <c r="N262" s="333">
        <f>IFERROR(IF(L262*M262=0,"",L262*M262),"")</f>
        <v/>
      </c>
      <c r="O262" s="280" t="n"/>
      <c r="P262" s="332">
        <f>IFERROR(VLOOKUP(TEXT(O262,"0"),CONDUCTORES!$A$3:$G$54,2,0),"")</f>
        <v/>
      </c>
      <c r="Q262" s="332">
        <f>IFERROR(VLOOKUP(TEXT(O262,"0"),CONDUCTORES!$A$3:$H$54,6,0),"")</f>
        <v/>
      </c>
      <c r="R262" s="280" t="n"/>
      <c r="S262" s="280" t="n"/>
      <c r="T262" s="280" t="n"/>
      <c r="U262" s="280" t="n"/>
      <c r="V262" s="280" t="n"/>
      <c r="W262" s="280" t="n"/>
      <c r="X262" s="280" t="n"/>
      <c r="Y262" s="280" t="n"/>
    </row>
    <row r="263" ht="15" customHeight="1" s="195">
      <c r="A263" s="334" t="n"/>
      <c r="B263" s="334" t="n"/>
      <c r="C263" s="334" t="n"/>
      <c r="D263" s="334" t="n"/>
      <c r="E263" s="334" t="n"/>
      <c r="F263" s="334" t="n"/>
      <c r="G263" s="334" t="n"/>
      <c r="H263" s="334" t="n"/>
      <c r="I263" s="332">
        <f>IFERROR(VLOOKUP(TEXT(H263,"0"),IPRESS!$A$3:$B$212,2,0),"")</f>
        <v/>
      </c>
      <c r="J263" s="334" t="n"/>
      <c r="K263" s="332">
        <f>IFERROR(VLOOKUP(TEXT(O263,"0"),CONDUCTORES!$A$3:$G$54,7,0),"")</f>
        <v/>
      </c>
      <c r="L263" s="334" t="n"/>
      <c r="M263" s="334" t="n"/>
      <c r="N263" s="333">
        <f>IFERROR(IF(L263*M263=0,"",L263*M263),"")</f>
        <v/>
      </c>
      <c r="O263" s="334" t="n"/>
      <c r="P263" s="332">
        <f>IFERROR(VLOOKUP(TEXT(O263,"0"),CONDUCTORES!$A$3:$G$54,2,0),"")</f>
        <v/>
      </c>
      <c r="Q263" s="332">
        <f>IFERROR(VLOOKUP(TEXT(O263,"0"),CONDUCTORES!$A$3:$H$54,6,0),"")</f>
        <v/>
      </c>
      <c r="R263" s="334" t="n"/>
      <c r="S263" s="334" t="n"/>
      <c r="T263" s="334" t="n"/>
      <c r="U263" s="334" t="n"/>
      <c r="V263" s="334" t="n"/>
      <c r="W263" s="334" t="n"/>
      <c r="X263" s="334" t="n"/>
      <c r="Y263" s="334" t="n"/>
    </row>
    <row r="264" ht="15" customHeight="1" s="195">
      <c r="A264" s="280" t="n"/>
      <c r="B264" s="280" t="n"/>
      <c r="C264" s="280" t="n"/>
      <c r="D264" s="280" t="n"/>
      <c r="E264" s="280" t="n"/>
      <c r="F264" s="280" t="n"/>
      <c r="G264" s="280" t="n"/>
      <c r="H264" s="280" t="n"/>
      <c r="I264" s="332">
        <f>IFERROR(VLOOKUP(TEXT(H264,"0"),IPRESS!$A$3:$B$212,2,0),"")</f>
        <v/>
      </c>
      <c r="J264" s="280" t="n"/>
      <c r="K264" s="332">
        <f>IFERROR(VLOOKUP(TEXT(O264,"0"),CONDUCTORES!$A$3:$G$54,7,0),"")</f>
        <v/>
      </c>
      <c r="L264" s="280" t="n"/>
      <c r="M264" s="280" t="n"/>
      <c r="N264" s="333">
        <f>IFERROR(IF(L264*M264=0,"",L264*M264),"")</f>
        <v/>
      </c>
      <c r="O264" s="280" t="n"/>
      <c r="P264" s="332">
        <f>IFERROR(VLOOKUP(TEXT(O264,"0"),CONDUCTORES!$A$3:$G$54,2,0),"")</f>
        <v/>
      </c>
      <c r="Q264" s="332">
        <f>IFERROR(VLOOKUP(TEXT(O264,"0"),CONDUCTORES!$A$3:$H$54,6,0),"")</f>
        <v/>
      </c>
      <c r="R264" s="280" t="n"/>
      <c r="S264" s="280" t="n"/>
      <c r="T264" s="280" t="n"/>
      <c r="U264" s="280" t="n"/>
      <c r="V264" s="280" t="n"/>
      <c r="W264" s="280" t="n"/>
      <c r="X264" s="280" t="n"/>
      <c r="Y264" s="280" t="n"/>
    </row>
    <row r="265" ht="15" customHeight="1" s="195">
      <c r="A265" s="334" t="n"/>
      <c r="B265" s="334" t="n"/>
      <c r="C265" s="334" t="n"/>
      <c r="D265" s="334" t="n"/>
      <c r="E265" s="334" t="n"/>
      <c r="F265" s="334" t="n"/>
      <c r="G265" s="334" t="n"/>
      <c r="H265" s="334" t="n"/>
      <c r="I265" s="332">
        <f>IFERROR(VLOOKUP(TEXT(H265,"0"),IPRESS!$A$3:$B$212,2,0),"")</f>
        <v/>
      </c>
      <c r="J265" s="334" t="n"/>
      <c r="K265" s="332">
        <f>IFERROR(VLOOKUP(TEXT(O265,"0"),CONDUCTORES!$A$3:$G$54,7,0),"")</f>
        <v/>
      </c>
      <c r="L265" s="334" t="n"/>
      <c r="M265" s="334" t="n"/>
      <c r="N265" s="333">
        <f>IFERROR(IF(L265*M265=0,"",L265*M265),"")</f>
        <v/>
      </c>
      <c r="O265" s="334" t="n"/>
      <c r="P265" s="332">
        <f>IFERROR(VLOOKUP(TEXT(O265,"0"),CONDUCTORES!$A$3:$G$54,2,0),"")</f>
        <v/>
      </c>
      <c r="Q265" s="332">
        <f>IFERROR(VLOOKUP(TEXT(O265,"0"),CONDUCTORES!$A$3:$H$54,6,0),"")</f>
        <v/>
      </c>
      <c r="R265" s="334" t="n"/>
      <c r="S265" s="334" t="n"/>
      <c r="T265" s="334" t="n"/>
      <c r="U265" s="334" t="n"/>
      <c r="V265" s="334" t="n"/>
      <c r="W265" s="334" t="n"/>
      <c r="X265" s="334" t="n"/>
      <c r="Y265" s="334" t="n"/>
    </row>
    <row r="266" ht="15" customHeight="1" s="195">
      <c r="A266" s="280" t="n"/>
      <c r="B266" s="280" t="n"/>
      <c r="C266" s="280" t="n"/>
      <c r="D266" s="280" t="n"/>
      <c r="E266" s="280" t="n"/>
      <c r="F266" s="280" t="n"/>
      <c r="G266" s="280" t="n"/>
      <c r="H266" s="280" t="n"/>
      <c r="I266" s="332">
        <f>IFERROR(VLOOKUP(TEXT(H266,"0"),IPRESS!$A$3:$B$212,2,0),"")</f>
        <v/>
      </c>
      <c r="J266" s="280" t="n"/>
      <c r="K266" s="332">
        <f>IFERROR(VLOOKUP(TEXT(O266,"0"),CONDUCTORES!$A$3:$G$54,7,0),"")</f>
        <v/>
      </c>
      <c r="L266" s="280" t="n"/>
      <c r="M266" s="280" t="n"/>
      <c r="N266" s="333">
        <f>IFERROR(IF(L266*M266=0,"",L266*M266),"")</f>
        <v/>
      </c>
      <c r="O266" s="280" t="n"/>
      <c r="P266" s="332">
        <f>IFERROR(VLOOKUP(TEXT(O266,"0"),CONDUCTORES!$A$3:$G$54,2,0),"")</f>
        <v/>
      </c>
      <c r="Q266" s="332">
        <f>IFERROR(VLOOKUP(TEXT(O266,"0"),CONDUCTORES!$A$3:$H$54,6,0),"")</f>
        <v/>
      </c>
      <c r="R266" s="280" t="n"/>
      <c r="S266" s="280" t="n"/>
      <c r="T266" s="280" t="n"/>
      <c r="U266" s="280" t="n"/>
      <c r="V266" s="280" t="n"/>
      <c r="W266" s="280" t="n"/>
      <c r="X266" s="280" t="n"/>
      <c r="Y266" s="280" t="n"/>
    </row>
    <row r="267" ht="15" customHeight="1" s="195">
      <c r="A267" s="334" t="n"/>
      <c r="B267" s="334" t="n"/>
      <c r="C267" s="334" t="n"/>
      <c r="D267" s="334" t="n"/>
      <c r="E267" s="334" t="n"/>
      <c r="F267" s="334" t="n"/>
      <c r="G267" s="334" t="n"/>
      <c r="H267" s="334" t="n"/>
      <c r="I267" s="332">
        <f>IFERROR(VLOOKUP(TEXT(H267,"0"),IPRESS!$A$3:$B$212,2,0),"")</f>
        <v/>
      </c>
      <c r="J267" s="334" t="n"/>
      <c r="K267" s="332">
        <f>IFERROR(VLOOKUP(TEXT(O267,"0"),CONDUCTORES!$A$3:$G$54,7,0),"")</f>
        <v/>
      </c>
      <c r="L267" s="334" t="n"/>
      <c r="M267" s="334" t="n"/>
      <c r="N267" s="333">
        <f>IFERROR(IF(L267*M267=0,"",L267*M267),"")</f>
        <v/>
      </c>
      <c r="O267" s="334" t="n"/>
      <c r="P267" s="332">
        <f>IFERROR(VLOOKUP(TEXT(O267,"0"),CONDUCTORES!$A$3:$G$54,2,0),"")</f>
        <v/>
      </c>
      <c r="Q267" s="332">
        <f>IFERROR(VLOOKUP(TEXT(O267,"0"),CONDUCTORES!$A$3:$H$54,6,0),"")</f>
        <v/>
      </c>
      <c r="R267" s="334" t="n"/>
      <c r="S267" s="334" t="n"/>
      <c r="T267" s="334" t="n"/>
      <c r="U267" s="334" t="n"/>
      <c r="V267" s="334" t="n"/>
      <c r="W267" s="334" t="n"/>
      <c r="X267" s="334" t="n"/>
      <c r="Y267" s="334" t="n"/>
    </row>
    <row r="268" ht="15" customHeight="1" s="195">
      <c r="A268" s="280" t="n"/>
      <c r="B268" s="280" t="n"/>
      <c r="C268" s="280" t="n"/>
      <c r="D268" s="280" t="n"/>
      <c r="E268" s="280" t="n"/>
      <c r="F268" s="280" t="n"/>
      <c r="G268" s="280" t="n"/>
      <c r="H268" s="280" t="n"/>
      <c r="I268" s="332">
        <f>IFERROR(VLOOKUP(TEXT(H268,"0"),IPRESS!$A$3:$B$212,2,0),"")</f>
        <v/>
      </c>
      <c r="J268" s="280" t="n"/>
      <c r="K268" s="332">
        <f>IFERROR(VLOOKUP(TEXT(O268,"0"),CONDUCTORES!$A$3:$G$54,7,0),"")</f>
        <v/>
      </c>
      <c r="L268" s="280" t="n"/>
      <c r="M268" s="280" t="n"/>
      <c r="N268" s="333">
        <f>IFERROR(IF(L268*M268=0,"",L268*M268),"")</f>
        <v/>
      </c>
      <c r="O268" s="280" t="n"/>
      <c r="P268" s="332">
        <f>IFERROR(VLOOKUP(TEXT(O268,"0"),CONDUCTORES!$A$3:$G$54,2,0),"")</f>
        <v/>
      </c>
      <c r="Q268" s="332">
        <f>IFERROR(VLOOKUP(TEXT(O268,"0"),CONDUCTORES!$A$3:$H$54,6,0),"")</f>
        <v/>
      </c>
      <c r="R268" s="280" t="n"/>
      <c r="S268" s="280" t="n"/>
      <c r="T268" s="280" t="n"/>
      <c r="U268" s="280" t="n"/>
      <c r="V268" s="280" t="n"/>
      <c r="W268" s="280" t="n"/>
      <c r="X268" s="280" t="n"/>
      <c r="Y268" s="280" t="n"/>
    </row>
    <row r="269" ht="15" customHeight="1" s="195">
      <c r="A269" s="334" t="n"/>
      <c r="B269" s="334" t="n"/>
      <c r="C269" s="334" t="n"/>
      <c r="D269" s="334" t="n"/>
      <c r="E269" s="334" t="n"/>
      <c r="F269" s="334" t="n"/>
      <c r="G269" s="334" t="n"/>
      <c r="H269" s="334" t="n"/>
      <c r="I269" s="332">
        <f>IFERROR(VLOOKUP(TEXT(H269,"0"),IPRESS!$A$3:$B$212,2,0),"")</f>
        <v/>
      </c>
      <c r="J269" s="334" t="n"/>
      <c r="K269" s="332">
        <f>IFERROR(VLOOKUP(TEXT(O269,"0"),CONDUCTORES!$A$3:$G$54,7,0),"")</f>
        <v/>
      </c>
      <c r="L269" s="334" t="n"/>
      <c r="M269" s="334" t="n"/>
      <c r="N269" s="333">
        <f>IFERROR(IF(L269*M269=0,"",L269*M269),"")</f>
        <v/>
      </c>
      <c r="O269" s="334" t="n"/>
      <c r="P269" s="332">
        <f>IFERROR(VLOOKUP(TEXT(O269,"0"),CONDUCTORES!$A$3:$G$54,2,0),"")</f>
        <v/>
      </c>
      <c r="Q269" s="332">
        <f>IFERROR(VLOOKUP(TEXT(O269,"0"),CONDUCTORES!$A$3:$H$54,6,0),"")</f>
        <v/>
      </c>
      <c r="R269" s="334" t="n"/>
      <c r="S269" s="334" t="n"/>
      <c r="T269" s="334" t="n"/>
      <c r="U269" s="334" t="n"/>
      <c r="V269" s="334" t="n"/>
      <c r="W269" s="334" t="n"/>
      <c r="X269" s="334" t="n"/>
      <c r="Y269" s="334" t="n"/>
    </row>
    <row r="270" ht="15" customHeight="1" s="195">
      <c r="A270" s="280" t="n"/>
      <c r="B270" s="280" t="n"/>
      <c r="C270" s="280" t="n"/>
      <c r="D270" s="280" t="n"/>
      <c r="E270" s="280" t="n"/>
      <c r="F270" s="280" t="n"/>
      <c r="G270" s="280" t="n"/>
      <c r="H270" s="280" t="n"/>
      <c r="I270" s="332">
        <f>IFERROR(VLOOKUP(TEXT(H270,"0"),IPRESS!$A$3:$B$212,2,0),"")</f>
        <v/>
      </c>
      <c r="J270" s="280" t="n"/>
      <c r="K270" s="332">
        <f>IFERROR(VLOOKUP(TEXT(O270,"0"),CONDUCTORES!$A$3:$G$54,7,0),"")</f>
        <v/>
      </c>
      <c r="L270" s="280" t="n"/>
      <c r="M270" s="280" t="n"/>
      <c r="N270" s="333">
        <f>IFERROR(IF(L270*M270=0,"",L270*M270),"")</f>
        <v/>
      </c>
      <c r="O270" s="280" t="n"/>
      <c r="P270" s="332">
        <f>IFERROR(VLOOKUP(TEXT(O270,"0"),CONDUCTORES!$A$3:$G$54,2,0),"")</f>
        <v/>
      </c>
      <c r="Q270" s="332">
        <f>IFERROR(VLOOKUP(TEXT(O270,"0"),CONDUCTORES!$A$3:$H$54,6,0),"")</f>
        <v/>
      </c>
      <c r="R270" s="280" t="n"/>
      <c r="S270" s="280" t="n"/>
      <c r="T270" s="280" t="n"/>
      <c r="U270" s="280" t="n"/>
      <c r="V270" s="280" t="n"/>
      <c r="W270" s="280" t="n"/>
      <c r="X270" s="280" t="n"/>
      <c r="Y270" s="280" t="n"/>
    </row>
    <row r="271" ht="15" customHeight="1" s="195">
      <c r="A271" s="334" t="n"/>
      <c r="B271" s="334" t="n"/>
      <c r="C271" s="334" t="n"/>
      <c r="D271" s="334" t="n"/>
      <c r="E271" s="334" t="n"/>
      <c r="F271" s="334" t="n"/>
      <c r="G271" s="334" t="n"/>
      <c r="H271" s="334" t="n"/>
      <c r="I271" s="332">
        <f>IFERROR(VLOOKUP(TEXT(H271,"0"),IPRESS!$A$3:$B$212,2,0),"")</f>
        <v/>
      </c>
      <c r="J271" s="334" t="n"/>
      <c r="K271" s="332">
        <f>IFERROR(VLOOKUP(TEXT(O271,"0"),CONDUCTORES!$A$3:$G$54,7,0),"")</f>
        <v/>
      </c>
      <c r="L271" s="334" t="n"/>
      <c r="M271" s="334" t="n"/>
      <c r="N271" s="333">
        <f>IFERROR(IF(L271*M271=0,"",L271*M271),"")</f>
        <v/>
      </c>
      <c r="O271" s="334" t="n"/>
      <c r="P271" s="332">
        <f>IFERROR(VLOOKUP(TEXT(O271,"0"),CONDUCTORES!$A$3:$G$54,2,0),"")</f>
        <v/>
      </c>
      <c r="Q271" s="332">
        <f>IFERROR(VLOOKUP(TEXT(O271,"0"),CONDUCTORES!$A$3:$H$54,6,0),"")</f>
        <v/>
      </c>
      <c r="R271" s="334" t="n"/>
      <c r="S271" s="334" t="n"/>
      <c r="T271" s="334" t="n"/>
      <c r="U271" s="334" t="n"/>
      <c r="V271" s="334" t="n"/>
      <c r="W271" s="334" t="n"/>
      <c r="X271" s="334" t="n"/>
      <c r="Y271" s="334" t="n"/>
    </row>
    <row r="272" ht="15" customHeight="1" s="195">
      <c r="A272" s="280" t="n"/>
      <c r="B272" s="280" t="n"/>
      <c r="C272" s="280" t="n"/>
      <c r="D272" s="280" t="n"/>
      <c r="E272" s="280" t="n"/>
      <c r="F272" s="280" t="n"/>
      <c r="G272" s="280" t="n"/>
      <c r="H272" s="280" t="n"/>
      <c r="I272" s="332">
        <f>IFERROR(VLOOKUP(TEXT(H272,"0"),IPRESS!$A$3:$B$212,2,0),"")</f>
        <v/>
      </c>
      <c r="J272" s="280" t="n"/>
      <c r="K272" s="332">
        <f>IFERROR(VLOOKUP(TEXT(O272,"0"),CONDUCTORES!$A$3:$G$54,7,0),"")</f>
        <v/>
      </c>
      <c r="L272" s="280" t="n"/>
      <c r="M272" s="280" t="n"/>
      <c r="N272" s="333">
        <f>IFERROR(IF(L272*M272=0,"",L272*M272),"")</f>
        <v/>
      </c>
      <c r="O272" s="280" t="n"/>
      <c r="P272" s="332">
        <f>IFERROR(VLOOKUP(TEXT(O272,"0"),CONDUCTORES!$A$3:$G$54,2,0),"")</f>
        <v/>
      </c>
      <c r="Q272" s="332">
        <f>IFERROR(VLOOKUP(TEXT(O272,"0"),CONDUCTORES!$A$3:$H$54,6,0),"")</f>
        <v/>
      </c>
      <c r="R272" s="280" t="n"/>
      <c r="S272" s="280" t="n"/>
      <c r="T272" s="280" t="n"/>
      <c r="U272" s="280" t="n"/>
      <c r="V272" s="280" t="n"/>
      <c r="W272" s="280" t="n"/>
      <c r="X272" s="280" t="n"/>
      <c r="Y272" s="280" t="n"/>
    </row>
    <row r="273" ht="15" customHeight="1" s="195">
      <c r="A273" s="334" t="n"/>
      <c r="B273" s="334" t="n"/>
      <c r="C273" s="334" t="n"/>
      <c r="D273" s="334" t="n"/>
      <c r="E273" s="334" t="n"/>
      <c r="F273" s="334" t="n"/>
      <c r="G273" s="334" t="n"/>
      <c r="H273" s="334" t="n"/>
      <c r="I273" s="332">
        <f>IFERROR(VLOOKUP(TEXT(H273,"0"),IPRESS!$A$3:$B$212,2,0),"")</f>
        <v/>
      </c>
      <c r="J273" s="334" t="n"/>
      <c r="K273" s="332">
        <f>IFERROR(VLOOKUP(TEXT(O273,"0"),CONDUCTORES!$A$3:$G$54,7,0),"")</f>
        <v/>
      </c>
      <c r="L273" s="334" t="n"/>
      <c r="M273" s="334" t="n"/>
      <c r="N273" s="333">
        <f>IFERROR(IF(L273*M273=0,"",L273*M273),"")</f>
        <v/>
      </c>
      <c r="O273" s="334" t="n"/>
      <c r="P273" s="332">
        <f>IFERROR(VLOOKUP(TEXT(O273,"0"),CONDUCTORES!$A$3:$G$54,2,0),"")</f>
        <v/>
      </c>
      <c r="Q273" s="332">
        <f>IFERROR(VLOOKUP(TEXT(O273,"0"),CONDUCTORES!$A$3:$H$54,6,0),"")</f>
        <v/>
      </c>
      <c r="R273" s="334" t="n"/>
      <c r="S273" s="334" t="n"/>
      <c r="T273" s="334" t="n"/>
      <c r="U273" s="334" t="n"/>
      <c r="V273" s="334" t="n"/>
      <c r="W273" s="334" t="n"/>
      <c r="X273" s="334" t="n"/>
      <c r="Y273" s="334" t="n"/>
    </row>
    <row r="274" ht="15" customHeight="1" s="195">
      <c r="A274" s="280" t="n"/>
      <c r="B274" s="280" t="n"/>
      <c r="C274" s="280" t="n"/>
      <c r="D274" s="280" t="n"/>
      <c r="E274" s="280" t="n"/>
      <c r="F274" s="280" t="n"/>
      <c r="G274" s="280" t="n"/>
      <c r="H274" s="280" t="n"/>
      <c r="I274" s="332">
        <f>IFERROR(VLOOKUP(TEXT(H274,"0"),IPRESS!$A$3:$B$212,2,0),"")</f>
        <v/>
      </c>
      <c r="J274" s="280" t="n"/>
      <c r="K274" s="332">
        <f>IFERROR(VLOOKUP(TEXT(O274,"0"),CONDUCTORES!$A$3:$G$54,7,0),"")</f>
        <v/>
      </c>
      <c r="L274" s="280" t="n"/>
      <c r="M274" s="280" t="n"/>
      <c r="N274" s="333">
        <f>IFERROR(IF(L274*M274=0,"",L274*M274),"")</f>
        <v/>
      </c>
      <c r="O274" s="280" t="n"/>
      <c r="P274" s="332">
        <f>IFERROR(VLOOKUP(TEXT(O274,"0"),CONDUCTORES!$A$3:$G$54,2,0),"")</f>
        <v/>
      </c>
      <c r="Q274" s="332">
        <f>IFERROR(VLOOKUP(TEXT(O274,"0"),CONDUCTORES!$A$3:$H$54,6,0),"")</f>
        <v/>
      </c>
      <c r="R274" s="280" t="n"/>
      <c r="S274" s="280" t="n"/>
      <c r="T274" s="280" t="n"/>
      <c r="U274" s="280" t="n"/>
      <c r="V274" s="280" t="n"/>
      <c r="W274" s="280" t="n"/>
      <c r="X274" s="280" t="n"/>
      <c r="Y274" s="280" t="n"/>
    </row>
    <row r="275" ht="15" customHeight="1" s="195">
      <c r="A275" s="334" t="n"/>
      <c r="B275" s="334" t="n"/>
      <c r="C275" s="334" t="n"/>
      <c r="D275" s="334" t="n"/>
      <c r="E275" s="334" t="n"/>
      <c r="F275" s="334" t="n"/>
      <c r="G275" s="334" t="n"/>
      <c r="H275" s="334" t="n"/>
      <c r="I275" s="332">
        <f>IFERROR(VLOOKUP(TEXT(H275,"0"),IPRESS!$A$3:$B$212,2,0),"")</f>
        <v/>
      </c>
      <c r="J275" s="334" t="n"/>
      <c r="K275" s="332">
        <f>IFERROR(VLOOKUP(TEXT(O275,"0"),CONDUCTORES!$A$3:$G$54,7,0),"")</f>
        <v/>
      </c>
      <c r="L275" s="334" t="n"/>
      <c r="M275" s="334" t="n"/>
      <c r="N275" s="333">
        <f>IFERROR(IF(L275*M275=0,"",L275*M275),"")</f>
        <v/>
      </c>
      <c r="O275" s="334" t="n"/>
      <c r="P275" s="332">
        <f>IFERROR(VLOOKUP(TEXT(O275,"0"),CONDUCTORES!$A$3:$G$54,2,0),"")</f>
        <v/>
      </c>
      <c r="Q275" s="332">
        <f>IFERROR(VLOOKUP(TEXT(O275,"0"),CONDUCTORES!$A$3:$H$54,6,0),"")</f>
        <v/>
      </c>
      <c r="R275" s="334" t="n"/>
      <c r="S275" s="334" t="n"/>
      <c r="T275" s="334" t="n"/>
      <c r="U275" s="334" t="n"/>
      <c r="V275" s="334" t="n"/>
      <c r="W275" s="334" t="n"/>
      <c r="X275" s="334" t="n"/>
      <c r="Y275" s="334" t="n"/>
    </row>
    <row r="276" ht="15" customHeight="1" s="195">
      <c r="A276" s="280" t="n"/>
      <c r="B276" s="280" t="n"/>
      <c r="C276" s="280" t="n"/>
      <c r="D276" s="280" t="n"/>
      <c r="E276" s="280" t="n"/>
      <c r="F276" s="280" t="n"/>
      <c r="G276" s="280" t="n"/>
      <c r="H276" s="280" t="n"/>
      <c r="I276" s="332">
        <f>IFERROR(VLOOKUP(TEXT(H276,"0"),IPRESS!$A$3:$B$212,2,0),"")</f>
        <v/>
      </c>
      <c r="J276" s="280" t="n"/>
      <c r="K276" s="332">
        <f>IFERROR(VLOOKUP(TEXT(O276,"0"),CONDUCTORES!$A$3:$G$54,7,0),"")</f>
        <v/>
      </c>
      <c r="L276" s="280" t="n"/>
      <c r="M276" s="280" t="n"/>
      <c r="N276" s="333">
        <f>IFERROR(IF(L276*M276=0,"",L276*M276),"")</f>
        <v/>
      </c>
      <c r="O276" s="280" t="n"/>
      <c r="P276" s="332">
        <f>IFERROR(VLOOKUP(TEXT(O276,"0"),CONDUCTORES!$A$3:$G$54,2,0),"")</f>
        <v/>
      </c>
      <c r="Q276" s="332">
        <f>IFERROR(VLOOKUP(TEXT(O276,"0"),CONDUCTORES!$A$3:$H$54,6,0),"")</f>
        <v/>
      </c>
      <c r="R276" s="280" t="n"/>
      <c r="S276" s="280" t="n"/>
      <c r="T276" s="280" t="n"/>
      <c r="U276" s="280" t="n"/>
      <c r="V276" s="280" t="n"/>
      <c r="W276" s="280" t="n"/>
      <c r="X276" s="280" t="n"/>
      <c r="Y276" s="280" t="n"/>
    </row>
    <row r="277" ht="15" customHeight="1" s="195">
      <c r="A277" s="334" t="n"/>
      <c r="B277" s="334" t="n"/>
      <c r="C277" s="334" t="n"/>
      <c r="D277" s="334" t="n"/>
      <c r="E277" s="334" t="n"/>
      <c r="F277" s="334" t="n"/>
      <c r="G277" s="334" t="n"/>
      <c r="H277" s="334" t="n"/>
      <c r="I277" s="332">
        <f>IFERROR(VLOOKUP(TEXT(H277,"0"),IPRESS!$A$3:$B$212,2,0),"")</f>
        <v/>
      </c>
      <c r="J277" s="334" t="n"/>
      <c r="K277" s="332">
        <f>IFERROR(VLOOKUP(TEXT(O277,"0"),CONDUCTORES!$A$3:$G$54,7,0),"")</f>
        <v/>
      </c>
      <c r="L277" s="334" t="n"/>
      <c r="M277" s="334" t="n"/>
      <c r="N277" s="333">
        <f>IFERROR(IF(L277*M277=0,"",L277*M277),"")</f>
        <v/>
      </c>
      <c r="O277" s="334" t="n"/>
      <c r="P277" s="332">
        <f>IFERROR(VLOOKUP(TEXT(O277,"0"),CONDUCTORES!$A$3:$G$54,2,0),"")</f>
        <v/>
      </c>
      <c r="Q277" s="332">
        <f>IFERROR(VLOOKUP(TEXT(O277,"0"),CONDUCTORES!$A$3:$H$54,6,0),"")</f>
        <v/>
      </c>
      <c r="R277" s="334" t="n"/>
      <c r="S277" s="334" t="n"/>
      <c r="T277" s="334" t="n"/>
      <c r="U277" s="334" t="n"/>
      <c r="V277" s="334" t="n"/>
      <c r="W277" s="334" t="n"/>
      <c r="X277" s="334" t="n"/>
      <c r="Y277" s="334" t="n"/>
    </row>
    <row r="278" ht="15" customHeight="1" s="195">
      <c r="A278" s="280" t="n"/>
      <c r="B278" s="280" t="n"/>
      <c r="C278" s="280" t="n"/>
      <c r="D278" s="280" t="n"/>
      <c r="E278" s="280" t="n"/>
      <c r="F278" s="280" t="n"/>
      <c r="G278" s="280" t="n"/>
      <c r="H278" s="280" t="n"/>
      <c r="I278" s="332">
        <f>IFERROR(VLOOKUP(TEXT(H278,"0"),IPRESS!$A$3:$B$212,2,0),"")</f>
        <v/>
      </c>
      <c r="J278" s="280" t="n"/>
      <c r="K278" s="332">
        <f>IFERROR(VLOOKUP(TEXT(O278,"0"),CONDUCTORES!$A$3:$G$54,7,0),"")</f>
        <v/>
      </c>
      <c r="L278" s="280" t="n"/>
      <c r="M278" s="280" t="n"/>
      <c r="N278" s="333">
        <f>IFERROR(IF(L278*M278=0,"",L278*M278),"")</f>
        <v/>
      </c>
      <c r="O278" s="280" t="n"/>
      <c r="P278" s="332">
        <f>IFERROR(VLOOKUP(TEXT(O278,"0"),CONDUCTORES!$A$3:$G$54,2,0),"")</f>
        <v/>
      </c>
      <c r="Q278" s="332">
        <f>IFERROR(VLOOKUP(TEXT(O278,"0"),CONDUCTORES!$A$3:$H$54,6,0),"")</f>
        <v/>
      </c>
      <c r="R278" s="280" t="n"/>
      <c r="S278" s="280" t="n"/>
      <c r="T278" s="280" t="n"/>
      <c r="U278" s="280" t="n"/>
      <c r="V278" s="280" t="n"/>
      <c r="W278" s="280" t="n"/>
      <c r="X278" s="280" t="n"/>
      <c r="Y278" s="280" t="n"/>
    </row>
    <row r="279" ht="15" customHeight="1" s="195">
      <c r="A279" s="334" t="n"/>
      <c r="B279" s="334" t="n"/>
      <c r="C279" s="334" t="n"/>
      <c r="D279" s="334" t="n"/>
      <c r="E279" s="334" t="n"/>
      <c r="F279" s="334" t="n"/>
      <c r="G279" s="334" t="n"/>
      <c r="H279" s="334" t="n"/>
      <c r="I279" s="332">
        <f>IFERROR(VLOOKUP(TEXT(H279,"0"),IPRESS!$A$3:$B$212,2,0),"")</f>
        <v/>
      </c>
      <c r="J279" s="334" t="n"/>
      <c r="K279" s="332">
        <f>IFERROR(VLOOKUP(TEXT(O279,"0"),CONDUCTORES!$A$3:$G$54,7,0),"")</f>
        <v/>
      </c>
      <c r="L279" s="334" t="n"/>
      <c r="M279" s="334" t="n"/>
      <c r="N279" s="333">
        <f>IFERROR(IF(L279*M279=0,"",L279*M279),"")</f>
        <v/>
      </c>
      <c r="O279" s="334" t="n"/>
      <c r="P279" s="332">
        <f>IFERROR(VLOOKUP(TEXT(O279,"0"),CONDUCTORES!$A$3:$G$54,2,0),"")</f>
        <v/>
      </c>
      <c r="Q279" s="332">
        <f>IFERROR(VLOOKUP(TEXT(O279,"0"),CONDUCTORES!$A$3:$H$54,6,0),"")</f>
        <v/>
      </c>
      <c r="R279" s="334" t="n"/>
      <c r="S279" s="334" t="n"/>
      <c r="T279" s="334" t="n"/>
      <c r="U279" s="334" t="n"/>
      <c r="V279" s="334" t="n"/>
      <c r="W279" s="334" t="n"/>
      <c r="X279" s="334" t="n"/>
      <c r="Y279" s="334" t="n"/>
    </row>
    <row r="280" ht="15" customHeight="1" s="195">
      <c r="A280" s="280" t="n"/>
      <c r="B280" s="280" t="n"/>
      <c r="C280" s="280" t="n"/>
      <c r="D280" s="280" t="n"/>
      <c r="E280" s="280" t="n"/>
      <c r="F280" s="280" t="n"/>
      <c r="G280" s="280" t="n"/>
      <c r="H280" s="280" t="n"/>
      <c r="I280" s="332">
        <f>IFERROR(VLOOKUP(TEXT(H280,"0"),IPRESS!$A$3:$B$212,2,0),"")</f>
        <v/>
      </c>
      <c r="J280" s="280" t="n"/>
      <c r="K280" s="332">
        <f>IFERROR(VLOOKUP(TEXT(O280,"0"),CONDUCTORES!$A$3:$G$54,7,0),"")</f>
        <v/>
      </c>
      <c r="L280" s="280" t="n"/>
      <c r="M280" s="280" t="n"/>
      <c r="N280" s="333">
        <f>IFERROR(IF(L280*M280=0,"",L280*M280),"")</f>
        <v/>
      </c>
      <c r="O280" s="280" t="n"/>
      <c r="P280" s="332">
        <f>IFERROR(VLOOKUP(TEXT(O280,"0"),CONDUCTORES!$A$3:$G$54,2,0),"")</f>
        <v/>
      </c>
      <c r="Q280" s="332">
        <f>IFERROR(VLOOKUP(TEXT(O280,"0"),CONDUCTORES!$A$3:$H$54,6,0),"")</f>
        <v/>
      </c>
      <c r="R280" s="280" t="n"/>
      <c r="S280" s="280" t="n"/>
      <c r="T280" s="280" t="n"/>
      <c r="U280" s="280" t="n"/>
      <c r="V280" s="280" t="n"/>
      <c r="W280" s="280" t="n"/>
      <c r="X280" s="280" t="n"/>
      <c r="Y280" s="280" t="n"/>
    </row>
    <row r="281" ht="15" customHeight="1" s="195">
      <c r="A281" s="334" t="n"/>
      <c r="B281" s="334" t="n"/>
      <c r="C281" s="334" t="n"/>
      <c r="D281" s="334" t="n"/>
      <c r="E281" s="334" t="n"/>
      <c r="F281" s="334" t="n"/>
      <c r="G281" s="334" t="n"/>
      <c r="H281" s="334" t="n"/>
      <c r="I281" s="332">
        <f>IFERROR(VLOOKUP(TEXT(H281,"0"),IPRESS!$A$3:$B$212,2,0),"")</f>
        <v/>
      </c>
      <c r="J281" s="334" t="n"/>
      <c r="K281" s="332">
        <f>IFERROR(VLOOKUP(TEXT(O281,"0"),CONDUCTORES!$A$3:$G$54,7,0),"")</f>
        <v/>
      </c>
      <c r="L281" s="334" t="n"/>
      <c r="M281" s="334" t="n"/>
      <c r="N281" s="333">
        <f>IFERROR(IF(L281*M281=0,"",L281*M281),"")</f>
        <v/>
      </c>
      <c r="O281" s="334" t="n"/>
      <c r="P281" s="332">
        <f>IFERROR(VLOOKUP(TEXT(O281,"0"),CONDUCTORES!$A$3:$G$54,2,0),"")</f>
        <v/>
      </c>
      <c r="Q281" s="332">
        <f>IFERROR(VLOOKUP(TEXT(O281,"0"),CONDUCTORES!$A$3:$H$54,6,0),"")</f>
        <v/>
      </c>
      <c r="R281" s="334" t="n"/>
      <c r="S281" s="334" t="n"/>
      <c r="T281" s="334" t="n"/>
      <c r="U281" s="334" t="n"/>
      <c r="V281" s="334" t="n"/>
      <c r="W281" s="334" t="n"/>
      <c r="X281" s="334" t="n"/>
      <c r="Y281" s="334" t="n"/>
    </row>
    <row r="282" ht="15" customHeight="1" s="195">
      <c r="A282" s="280" t="n"/>
      <c r="B282" s="280" t="n"/>
      <c r="C282" s="280" t="n"/>
      <c r="D282" s="280" t="n"/>
      <c r="E282" s="280" t="n"/>
      <c r="F282" s="280" t="n"/>
      <c r="G282" s="280" t="n"/>
      <c r="H282" s="280" t="n"/>
      <c r="I282" s="332">
        <f>IFERROR(VLOOKUP(TEXT(H282,"0"),IPRESS!$A$3:$B$212,2,0),"")</f>
        <v/>
      </c>
      <c r="J282" s="280" t="n"/>
      <c r="K282" s="332">
        <f>IFERROR(VLOOKUP(TEXT(O282,"0"),CONDUCTORES!$A$3:$G$54,7,0),"")</f>
        <v/>
      </c>
      <c r="L282" s="280" t="n"/>
      <c r="M282" s="280" t="n"/>
      <c r="N282" s="333">
        <f>IFERROR(IF(L282*M282=0,"",L282*M282),"")</f>
        <v/>
      </c>
      <c r="O282" s="280" t="n"/>
      <c r="P282" s="332">
        <f>IFERROR(VLOOKUP(TEXT(O282,"0"),CONDUCTORES!$A$3:$G$54,2,0),"")</f>
        <v/>
      </c>
      <c r="Q282" s="332">
        <f>IFERROR(VLOOKUP(TEXT(O282,"0"),CONDUCTORES!$A$3:$H$54,6,0),"")</f>
        <v/>
      </c>
      <c r="R282" s="280" t="n"/>
      <c r="S282" s="280" t="n"/>
      <c r="T282" s="280" t="n"/>
      <c r="U282" s="280" t="n"/>
      <c r="V282" s="280" t="n"/>
      <c r="W282" s="280" t="n"/>
      <c r="X282" s="280" t="n"/>
      <c r="Y282" s="280" t="n"/>
    </row>
    <row r="283" ht="15" customHeight="1" s="195">
      <c r="A283" s="334" t="n"/>
      <c r="B283" s="334" t="n"/>
      <c r="C283" s="334" t="n"/>
      <c r="D283" s="334" t="n"/>
      <c r="E283" s="334" t="n"/>
      <c r="F283" s="334" t="n"/>
      <c r="G283" s="334" t="n"/>
      <c r="H283" s="334" t="n"/>
      <c r="I283" s="332">
        <f>IFERROR(VLOOKUP(TEXT(H283,"0"),IPRESS!$A$3:$B$212,2,0),"")</f>
        <v/>
      </c>
      <c r="J283" s="334" t="n"/>
      <c r="K283" s="332">
        <f>IFERROR(VLOOKUP(TEXT(O283,"0"),CONDUCTORES!$A$3:$G$54,7,0),"")</f>
        <v/>
      </c>
      <c r="L283" s="334" t="n"/>
      <c r="M283" s="334" t="n"/>
      <c r="N283" s="333">
        <f>IFERROR(IF(L283*M283=0,"",L283*M283),"")</f>
        <v/>
      </c>
      <c r="O283" s="334" t="n"/>
      <c r="P283" s="332">
        <f>IFERROR(VLOOKUP(TEXT(O283,"0"),CONDUCTORES!$A$3:$G$54,2,0),"")</f>
        <v/>
      </c>
      <c r="Q283" s="332">
        <f>IFERROR(VLOOKUP(TEXT(O283,"0"),CONDUCTORES!$A$3:$H$54,6,0),"")</f>
        <v/>
      </c>
      <c r="R283" s="334" t="n"/>
      <c r="S283" s="334" t="n"/>
      <c r="T283" s="334" t="n"/>
      <c r="U283" s="334" t="n"/>
      <c r="V283" s="334" t="n"/>
      <c r="W283" s="334" t="n"/>
      <c r="X283" s="334" t="n"/>
      <c r="Y283" s="334" t="n"/>
    </row>
    <row r="284" ht="15" customHeight="1" s="195">
      <c r="A284" s="280" t="n"/>
      <c r="B284" s="280" t="n"/>
      <c r="C284" s="280" t="n"/>
      <c r="D284" s="280" t="n"/>
      <c r="E284" s="280" t="n"/>
      <c r="F284" s="280" t="n"/>
      <c r="G284" s="280" t="n"/>
      <c r="H284" s="280" t="n"/>
      <c r="I284" s="332">
        <f>IFERROR(VLOOKUP(TEXT(H284,"0"),IPRESS!$A$3:$B$212,2,0),"")</f>
        <v/>
      </c>
      <c r="J284" s="280" t="n"/>
      <c r="K284" s="332">
        <f>IFERROR(VLOOKUP(TEXT(O284,"0"),CONDUCTORES!$A$3:$G$54,7,0),"")</f>
        <v/>
      </c>
      <c r="L284" s="280" t="n"/>
      <c r="M284" s="280" t="n"/>
      <c r="N284" s="333">
        <f>IFERROR(IF(L284*M284=0,"",L284*M284),"")</f>
        <v/>
      </c>
      <c r="O284" s="280" t="n"/>
      <c r="P284" s="332">
        <f>IFERROR(VLOOKUP(TEXT(O284,"0"),CONDUCTORES!$A$3:$G$54,2,0),"")</f>
        <v/>
      </c>
      <c r="Q284" s="332">
        <f>IFERROR(VLOOKUP(TEXT(O284,"0"),CONDUCTORES!$A$3:$H$54,6,0),"")</f>
        <v/>
      </c>
      <c r="R284" s="280" t="n"/>
      <c r="S284" s="280" t="n"/>
      <c r="T284" s="280" t="n"/>
      <c r="U284" s="280" t="n"/>
      <c r="V284" s="280" t="n"/>
      <c r="W284" s="280" t="n"/>
      <c r="X284" s="280" t="n"/>
      <c r="Y284" s="280" t="n"/>
    </row>
    <row r="285" ht="15" customHeight="1" s="195">
      <c r="A285" s="334" t="n"/>
      <c r="B285" s="334" t="n"/>
      <c r="C285" s="334" t="n"/>
      <c r="D285" s="334" t="n"/>
      <c r="E285" s="334" t="n"/>
      <c r="F285" s="334" t="n"/>
      <c r="G285" s="334" t="n"/>
      <c r="H285" s="334" t="n"/>
      <c r="I285" s="332">
        <f>IFERROR(VLOOKUP(TEXT(H285,"0"),IPRESS!$A$3:$B$212,2,0),"")</f>
        <v/>
      </c>
      <c r="J285" s="334" t="n"/>
      <c r="K285" s="332">
        <f>IFERROR(VLOOKUP(TEXT(O285,"0"),CONDUCTORES!$A$3:$G$54,7,0),"")</f>
        <v/>
      </c>
      <c r="L285" s="334" t="n"/>
      <c r="M285" s="334" t="n"/>
      <c r="N285" s="333">
        <f>IFERROR(IF(L285*M285=0,"",L285*M285),"")</f>
        <v/>
      </c>
      <c r="O285" s="334" t="n"/>
      <c r="P285" s="332">
        <f>IFERROR(VLOOKUP(TEXT(O285,"0"),CONDUCTORES!$A$3:$G$54,2,0),"")</f>
        <v/>
      </c>
      <c r="Q285" s="332">
        <f>IFERROR(VLOOKUP(TEXT(O285,"0"),CONDUCTORES!$A$3:$H$54,6,0),"")</f>
        <v/>
      </c>
      <c r="R285" s="334" t="n"/>
      <c r="S285" s="334" t="n"/>
      <c r="T285" s="334" t="n"/>
      <c r="U285" s="334" t="n"/>
      <c r="V285" s="334" t="n"/>
      <c r="W285" s="334" t="n"/>
      <c r="X285" s="334" t="n"/>
      <c r="Y285" s="334" t="n"/>
    </row>
    <row r="286" ht="15" customHeight="1" s="195">
      <c r="A286" s="280" t="n"/>
      <c r="B286" s="280" t="n"/>
      <c r="C286" s="280" t="n"/>
      <c r="D286" s="280" t="n"/>
      <c r="E286" s="280" t="n"/>
      <c r="F286" s="280" t="n"/>
      <c r="G286" s="280" t="n"/>
      <c r="H286" s="280" t="n"/>
      <c r="I286" s="332">
        <f>IFERROR(VLOOKUP(TEXT(H286,"0"),IPRESS!$A$3:$B$212,2,0),"")</f>
        <v/>
      </c>
      <c r="J286" s="280" t="n"/>
      <c r="K286" s="332">
        <f>IFERROR(VLOOKUP(TEXT(O286,"0"),CONDUCTORES!$A$3:$G$54,7,0),"")</f>
        <v/>
      </c>
      <c r="L286" s="280" t="n"/>
      <c r="M286" s="280" t="n"/>
      <c r="N286" s="333">
        <f>IFERROR(IF(L286*M286=0,"",L286*M286),"")</f>
        <v/>
      </c>
      <c r="O286" s="280" t="n"/>
      <c r="P286" s="332">
        <f>IFERROR(VLOOKUP(TEXT(O286,"0"),CONDUCTORES!$A$3:$G$54,2,0),"")</f>
        <v/>
      </c>
      <c r="Q286" s="332">
        <f>IFERROR(VLOOKUP(TEXT(O286,"0"),CONDUCTORES!$A$3:$H$54,6,0),"")</f>
        <v/>
      </c>
      <c r="R286" s="280" t="n"/>
      <c r="S286" s="280" t="n"/>
      <c r="T286" s="280" t="n"/>
      <c r="U286" s="280" t="n"/>
      <c r="V286" s="280" t="n"/>
      <c r="W286" s="280" t="n"/>
      <c r="X286" s="280" t="n"/>
      <c r="Y286" s="280" t="n"/>
    </row>
    <row r="287" ht="15" customHeight="1" s="195">
      <c r="A287" s="334" t="n"/>
      <c r="B287" s="334" t="n"/>
      <c r="C287" s="334" t="n"/>
      <c r="D287" s="334" t="n"/>
      <c r="E287" s="334" t="n"/>
      <c r="F287" s="334" t="n"/>
      <c r="G287" s="334" t="n"/>
      <c r="H287" s="334" t="n"/>
      <c r="I287" s="332">
        <f>IFERROR(VLOOKUP(TEXT(H287,"0"),IPRESS!$A$3:$B$212,2,0),"")</f>
        <v/>
      </c>
      <c r="J287" s="334" t="n"/>
      <c r="K287" s="332">
        <f>IFERROR(VLOOKUP(TEXT(O287,"0"),CONDUCTORES!$A$3:$G$54,7,0),"")</f>
        <v/>
      </c>
      <c r="L287" s="334" t="n"/>
      <c r="M287" s="334" t="n"/>
      <c r="N287" s="333">
        <f>IFERROR(IF(L287*M287=0,"",L287*M287),"")</f>
        <v/>
      </c>
      <c r="O287" s="334" t="n"/>
      <c r="P287" s="332">
        <f>IFERROR(VLOOKUP(TEXT(O287,"0"),CONDUCTORES!$A$3:$G$54,2,0),"")</f>
        <v/>
      </c>
      <c r="Q287" s="332">
        <f>IFERROR(VLOOKUP(TEXT(O287,"0"),CONDUCTORES!$A$3:$H$54,6,0),"")</f>
        <v/>
      </c>
      <c r="R287" s="334" t="n"/>
      <c r="S287" s="334" t="n"/>
      <c r="T287" s="334" t="n"/>
      <c r="U287" s="334" t="n"/>
      <c r="V287" s="334" t="n"/>
      <c r="W287" s="334" t="n"/>
      <c r="X287" s="334" t="n"/>
      <c r="Y287" s="334" t="n"/>
    </row>
    <row r="288" ht="15" customHeight="1" s="195">
      <c r="A288" s="280" t="n"/>
      <c r="B288" s="280" t="n"/>
      <c r="C288" s="280" t="n"/>
      <c r="D288" s="280" t="n"/>
      <c r="E288" s="280" t="n"/>
      <c r="F288" s="280" t="n"/>
      <c r="G288" s="280" t="n"/>
      <c r="H288" s="280" t="n"/>
      <c r="I288" s="332">
        <f>IFERROR(VLOOKUP(TEXT(H288,"0"),IPRESS!$A$3:$B$212,2,0),"")</f>
        <v/>
      </c>
      <c r="J288" s="280" t="n"/>
      <c r="K288" s="332">
        <f>IFERROR(VLOOKUP(TEXT(O288,"0"),CONDUCTORES!$A$3:$G$54,7,0),"")</f>
        <v/>
      </c>
      <c r="L288" s="280" t="n"/>
      <c r="M288" s="280" t="n"/>
      <c r="N288" s="333">
        <f>IFERROR(IF(L288*M288=0,"",L288*M288),"")</f>
        <v/>
      </c>
      <c r="O288" s="280" t="n"/>
      <c r="P288" s="332">
        <f>IFERROR(VLOOKUP(TEXT(O288,"0"),CONDUCTORES!$A$3:$G$54,2,0),"")</f>
        <v/>
      </c>
      <c r="Q288" s="332">
        <f>IFERROR(VLOOKUP(TEXT(O288,"0"),CONDUCTORES!$A$3:$H$54,6,0),"")</f>
        <v/>
      </c>
      <c r="R288" s="280" t="n"/>
      <c r="S288" s="280" t="n"/>
      <c r="T288" s="280" t="n"/>
      <c r="U288" s="280" t="n"/>
      <c r="V288" s="280" t="n"/>
      <c r="W288" s="280" t="n"/>
      <c r="X288" s="280" t="n"/>
      <c r="Y288" s="280" t="n"/>
    </row>
    <row r="289" ht="15" customHeight="1" s="195">
      <c r="A289" s="334" t="n"/>
      <c r="B289" s="334" t="n"/>
      <c r="C289" s="334" t="n"/>
      <c r="D289" s="334" t="n"/>
      <c r="E289" s="334" t="n"/>
      <c r="F289" s="334" t="n"/>
      <c r="G289" s="334" t="n"/>
      <c r="H289" s="334" t="n"/>
      <c r="I289" s="332">
        <f>IFERROR(VLOOKUP(TEXT(H289,"0"),IPRESS!$A$3:$B$212,2,0),"")</f>
        <v/>
      </c>
      <c r="J289" s="334" t="n"/>
      <c r="K289" s="332">
        <f>IFERROR(VLOOKUP(TEXT(O289,"0"),CONDUCTORES!$A$3:$G$54,7,0),"")</f>
        <v/>
      </c>
      <c r="L289" s="334" t="n"/>
      <c r="M289" s="334" t="n"/>
      <c r="N289" s="333">
        <f>IFERROR(IF(L289*M289=0,"",L289*M289),"")</f>
        <v/>
      </c>
      <c r="O289" s="334" t="n"/>
      <c r="P289" s="332">
        <f>IFERROR(VLOOKUP(TEXT(O289,"0"),CONDUCTORES!$A$3:$G$54,2,0),"")</f>
        <v/>
      </c>
      <c r="Q289" s="332">
        <f>IFERROR(VLOOKUP(TEXT(O289,"0"),CONDUCTORES!$A$3:$H$54,6,0),"")</f>
        <v/>
      </c>
      <c r="R289" s="334" t="n"/>
      <c r="S289" s="334" t="n"/>
      <c r="T289" s="334" t="n"/>
      <c r="U289" s="334" t="n"/>
      <c r="V289" s="334" t="n"/>
      <c r="W289" s="334" t="n"/>
      <c r="X289" s="334" t="n"/>
      <c r="Y289" s="334" t="n"/>
    </row>
    <row r="290" ht="15" customHeight="1" s="195">
      <c r="A290" s="280" t="n"/>
      <c r="B290" s="280" t="n"/>
      <c r="C290" s="280" t="n"/>
      <c r="D290" s="280" t="n"/>
      <c r="E290" s="280" t="n"/>
      <c r="F290" s="280" t="n"/>
      <c r="G290" s="280" t="n"/>
      <c r="H290" s="280" t="n"/>
      <c r="I290" s="332">
        <f>IFERROR(VLOOKUP(TEXT(H290,"0"),IPRESS!$A$3:$B$212,2,0),"")</f>
        <v/>
      </c>
      <c r="J290" s="280" t="n"/>
      <c r="K290" s="332">
        <f>IFERROR(VLOOKUP(TEXT(O290,"0"),CONDUCTORES!$A$3:$G$54,7,0),"")</f>
        <v/>
      </c>
      <c r="L290" s="280" t="n"/>
      <c r="M290" s="280" t="n"/>
      <c r="N290" s="333">
        <f>IFERROR(IF(L290*M290=0,"",L290*M290),"")</f>
        <v/>
      </c>
      <c r="O290" s="280" t="n"/>
      <c r="P290" s="332">
        <f>IFERROR(VLOOKUP(TEXT(O290,"0"),CONDUCTORES!$A$3:$G$54,2,0),"")</f>
        <v/>
      </c>
      <c r="Q290" s="332">
        <f>IFERROR(VLOOKUP(TEXT(O290,"0"),CONDUCTORES!$A$3:$H$54,6,0),"")</f>
        <v/>
      </c>
      <c r="R290" s="280" t="n"/>
      <c r="S290" s="280" t="n"/>
      <c r="T290" s="280" t="n"/>
      <c r="U290" s="280" t="n"/>
      <c r="V290" s="280" t="n"/>
      <c r="W290" s="280" t="n"/>
      <c r="X290" s="280" t="n"/>
      <c r="Y290" s="280" t="n"/>
    </row>
    <row r="291" ht="15" customHeight="1" s="195">
      <c r="A291" s="334" t="n"/>
      <c r="B291" s="334" t="n"/>
      <c r="C291" s="334" t="n"/>
      <c r="D291" s="334" t="n"/>
      <c r="E291" s="334" t="n"/>
      <c r="F291" s="334" t="n"/>
      <c r="G291" s="334" t="n"/>
      <c r="H291" s="334" t="n"/>
      <c r="I291" s="332">
        <f>IFERROR(VLOOKUP(TEXT(H291,"0"),IPRESS!$A$3:$B$212,2,0),"")</f>
        <v/>
      </c>
      <c r="J291" s="334" t="n"/>
      <c r="K291" s="332">
        <f>IFERROR(VLOOKUP(TEXT(O291,"0"),CONDUCTORES!$A$3:$G$54,7,0),"")</f>
        <v/>
      </c>
      <c r="L291" s="334" t="n"/>
      <c r="M291" s="334" t="n"/>
      <c r="N291" s="333">
        <f>IFERROR(IF(L291*M291=0,"",L291*M291),"")</f>
        <v/>
      </c>
      <c r="O291" s="334" t="n"/>
      <c r="P291" s="332">
        <f>IFERROR(VLOOKUP(TEXT(O291,"0"),CONDUCTORES!$A$3:$G$54,2,0),"")</f>
        <v/>
      </c>
      <c r="Q291" s="332">
        <f>IFERROR(VLOOKUP(TEXT(O291,"0"),CONDUCTORES!$A$3:$H$54,6,0),"")</f>
        <v/>
      </c>
      <c r="R291" s="334" t="n"/>
      <c r="S291" s="334" t="n"/>
      <c r="T291" s="334" t="n"/>
      <c r="U291" s="334" t="n"/>
      <c r="V291" s="334" t="n"/>
      <c r="W291" s="334" t="n"/>
      <c r="X291" s="334" t="n"/>
      <c r="Y291" s="334" t="n"/>
    </row>
    <row r="292" ht="15" customHeight="1" s="195">
      <c r="A292" s="280" t="n"/>
      <c r="B292" s="280" t="n"/>
      <c r="C292" s="280" t="n"/>
      <c r="D292" s="280" t="n"/>
      <c r="E292" s="280" t="n"/>
      <c r="F292" s="280" t="n"/>
      <c r="G292" s="280" t="n"/>
      <c r="H292" s="280" t="n"/>
      <c r="I292" s="332">
        <f>IFERROR(VLOOKUP(TEXT(H292,"0"),IPRESS!$A$3:$B$212,2,0),"")</f>
        <v/>
      </c>
      <c r="J292" s="280" t="n"/>
      <c r="K292" s="332">
        <f>IFERROR(VLOOKUP(TEXT(O292,"0"),CONDUCTORES!$A$3:$G$54,7,0),"")</f>
        <v/>
      </c>
      <c r="L292" s="280" t="n"/>
      <c r="M292" s="280" t="n"/>
      <c r="N292" s="333">
        <f>IFERROR(IF(L292*M292=0,"",L292*M292),"")</f>
        <v/>
      </c>
      <c r="O292" s="280" t="n"/>
      <c r="P292" s="332">
        <f>IFERROR(VLOOKUP(TEXT(O292,"0"),CONDUCTORES!$A$3:$G$54,2,0),"")</f>
        <v/>
      </c>
      <c r="Q292" s="332">
        <f>IFERROR(VLOOKUP(TEXT(O292,"0"),CONDUCTORES!$A$3:$H$54,6,0),"")</f>
        <v/>
      </c>
      <c r="R292" s="280" t="n"/>
      <c r="S292" s="280" t="n"/>
      <c r="T292" s="280" t="n"/>
      <c r="U292" s="280" t="n"/>
      <c r="V292" s="280" t="n"/>
      <c r="W292" s="280" t="n"/>
      <c r="X292" s="280" t="n"/>
      <c r="Y292" s="280" t="n"/>
    </row>
    <row r="293" ht="15" customHeight="1" s="195">
      <c r="A293" s="334" t="n"/>
      <c r="B293" s="334" t="n"/>
      <c r="C293" s="334" t="n"/>
      <c r="D293" s="334" t="n"/>
      <c r="E293" s="334" t="n"/>
      <c r="F293" s="334" t="n"/>
      <c r="G293" s="334" t="n"/>
      <c r="H293" s="334" t="n"/>
      <c r="I293" s="332">
        <f>IFERROR(VLOOKUP(TEXT(H293,"0"),IPRESS!$A$3:$B$212,2,0),"")</f>
        <v/>
      </c>
      <c r="J293" s="334" t="n"/>
      <c r="K293" s="332">
        <f>IFERROR(VLOOKUP(TEXT(O293,"0"),CONDUCTORES!$A$3:$G$54,7,0),"")</f>
        <v/>
      </c>
      <c r="L293" s="334" t="n"/>
      <c r="M293" s="334" t="n"/>
      <c r="N293" s="333">
        <f>IFERROR(IF(L293*M293=0,"",L293*M293),"")</f>
        <v/>
      </c>
      <c r="O293" s="334" t="n"/>
      <c r="P293" s="332">
        <f>IFERROR(VLOOKUP(TEXT(O293,"0"),CONDUCTORES!$A$3:$G$54,2,0),"")</f>
        <v/>
      </c>
      <c r="Q293" s="332">
        <f>IFERROR(VLOOKUP(TEXT(O293,"0"),CONDUCTORES!$A$3:$H$54,6,0),"")</f>
        <v/>
      </c>
      <c r="R293" s="334" t="n"/>
      <c r="S293" s="334" t="n"/>
      <c r="T293" s="334" t="n"/>
      <c r="U293" s="334" t="n"/>
      <c r="V293" s="334" t="n"/>
      <c r="W293" s="334" t="n"/>
      <c r="X293" s="334" t="n"/>
      <c r="Y293" s="334" t="n"/>
    </row>
    <row r="294" ht="15" customHeight="1" s="195">
      <c r="A294" s="280" t="n"/>
      <c r="B294" s="280" t="n"/>
      <c r="C294" s="280" t="n"/>
      <c r="D294" s="280" t="n"/>
      <c r="E294" s="280" t="n"/>
      <c r="F294" s="280" t="n"/>
      <c r="G294" s="280" t="n"/>
      <c r="H294" s="280" t="n"/>
      <c r="I294" s="332">
        <f>IFERROR(VLOOKUP(TEXT(H294,"0"),IPRESS!$A$3:$B$212,2,0),"")</f>
        <v/>
      </c>
      <c r="J294" s="280" t="n"/>
      <c r="K294" s="332">
        <f>IFERROR(VLOOKUP(TEXT(O294,"0"),CONDUCTORES!$A$3:$G$54,7,0),"")</f>
        <v/>
      </c>
      <c r="L294" s="280" t="n"/>
      <c r="M294" s="280" t="n"/>
      <c r="N294" s="333">
        <f>IFERROR(IF(L294*M294=0,"",L294*M294),"")</f>
        <v/>
      </c>
      <c r="O294" s="280" t="n"/>
      <c r="P294" s="332">
        <f>IFERROR(VLOOKUP(TEXT(O294,"0"),CONDUCTORES!$A$3:$G$54,2,0),"")</f>
        <v/>
      </c>
      <c r="Q294" s="332">
        <f>IFERROR(VLOOKUP(TEXT(O294,"0"),CONDUCTORES!$A$3:$H$54,6,0),"")</f>
        <v/>
      </c>
      <c r="R294" s="280" t="n"/>
      <c r="S294" s="280" t="n"/>
      <c r="T294" s="280" t="n"/>
      <c r="U294" s="280" t="n"/>
      <c r="V294" s="280" t="n"/>
      <c r="W294" s="280" t="n"/>
      <c r="X294" s="280" t="n"/>
      <c r="Y294" s="280" t="n"/>
    </row>
    <row r="295" ht="15" customHeight="1" s="195">
      <c r="A295" s="334" t="n"/>
      <c r="B295" s="334" t="n"/>
      <c r="C295" s="334" t="n"/>
      <c r="D295" s="334" t="n"/>
      <c r="E295" s="334" t="n"/>
      <c r="F295" s="334" t="n"/>
      <c r="G295" s="334" t="n"/>
      <c r="H295" s="334" t="n"/>
      <c r="I295" s="332">
        <f>IFERROR(VLOOKUP(TEXT(H295,"0"),IPRESS!$A$3:$B$212,2,0),"")</f>
        <v/>
      </c>
      <c r="J295" s="334" t="n"/>
      <c r="K295" s="332">
        <f>IFERROR(VLOOKUP(TEXT(O295,"0"),CONDUCTORES!$A$3:$G$54,7,0),"")</f>
        <v/>
      </c>
      <c r="L295" s="334" t="n"/>
      <c r="M295" s="334" t="n"/>
      <c r="N295" s="333">
        <f>IFERROR(IF(L295*M295=0,"",L295*M295),"")</f>
        <v/>
      </c>
      <c r="O295" s="334" t="n"/>
      <c r="P295" s="332">
        <f>IFERROR(VLOOKUP(TEXT(O295,"0"),CONDUCTORES!$A$3:$G$54,2,0),"")</f>
        <v/>
      </c>
      <c r="Q295" s="332">
        <f>IFERROR(VLOOKUP(TEXT(O295,"0"),CONDUCTORES!$A$3:$H$54,6,0),"")</f>
        <v/>
      </c>
      <c r="R295" s="334" t="n"/>
      <c r="S295" s="334" t="n"/>
      <c r="T295" s="334" t="n"/>
      <c r="U295" s="334" t="n"/>
      <c r="V295" s="334" t="n"/>
      <c r="W295" s="334" t="n"/>
      <c r="X295" s="334" t="n"/>
      <c r="Y295" s="334" t="n"/>
    </row>
    <row r="296" ht="15" customHeight="1" s="195">
      <c r="A296" s="280" t="n"/>
      <c r="B296" s="280" t="n"/>
      <c r="C296" s="280" t="n"/>
      <c r="D296" s="280" t="n"/>
      <c r="E296" s="280" t="n"/>
      <c r="F296" s="280" t="n"/>
      <c r="G296" s="280" t="n"/>
      <c r="H296" s="280" t="n"/>
      <c r="I296" s="332">
        <f>IFERROR(VLOOKUP(TEXT(H296,"0"),IPRESS!$A$3:$B$212,2,0),"")</f>
        <v/>
      </c>
      <c r="J296" s="280" t="n"/>
      <c r="K296" s="332">
        <f>IFERROR(VLOOKUP(TEXT(O296,"0"),CONDUCTORES!$A$3:$G$54,7,0),"")</f>
        <v/>
      </c>
      <c r="L296" s="280" t="n"/>
      <c r="M296" s="280" t="n"/>
      <c r="N296" s="333">
        <f>IFERROR(IF(L296*M296=0,"",L296*M296),"")</f>
        <v/>
      </c>
      <c r="O296" s="280" t="n"/>
      <c r="P296" s="332">
        <f>IFERROR(VLOOKUP(TEXT(O296,"0"),CONDUCTORES!$A$3:$G$54,2,0),"")</f>
        <v/>
      </c>
      <c r="Q296" s="332">
        <f>IFERROR(VLOOKUP(TEXT(O296,"0"),CONDUCTORES!$A$3:$H$54,6,0),"")</f>
        <v/>
      </c>
      <c r="R296" s="280" t="n"/>
      <c r="S296" s="280" t="n"/>
      <c r="T296" s="280" t="n"/>
      <c r="U296" s="280" t="n"/>
      <c r="V296" s="280" t="n"/>
      <c r="W296" s="280" t="n"/>
      <c r="X296" s="280" t="n"/>
      <c r="Y296" s="280" t="n"/>
    </row>
    <row r="297" ht="15" customHeight="1" s="195">
      <c r="A297" s="334" t="n"/>
      <c r="B297" s="334" t="n"/>
      <c r="C297" s="334" t="n"/>
      <c r="D297" s="334" t="n"/>
      <c r="E297" s="334" t="n"/>
      <c r="F297" s="334" t="n"/>
      <c r="G297" s="334" t="n"/>
      <c r="H297" s="334" t="n"/>
      <c r="I297" s="332">
        <f>IFERROR(VLOOKUP(TEXT(H297,"0"),IPRESS!$A$3:$B$212,2,0),"")</f>
        <v/>
      </c>
      <c r="J297" s="334" t="n"/>
      <c r="K297" s="332">
        <f>IFERROR(VLOOKUP(TEXT(O297,"0"),CONDUCTORES!$A$3:$G$54,7,0),"")</f>
        <v/>
      </c>
      <c r="L297" s="334" t="n"/>
      <c r="M297" s="334" t="n"/>
      <c r="N297" s="333">
        <f>IFERROR(IF(L297*M297=0,"",L297*M297),"")</f>
        <v/>
      </c>
      <c r="O297" s="334" t="n"/>
      <c r="P297" s="332">
        <f>IFERROR(VLOOKUP(TEXT(O297,"0"),CONDUCTORES!$A$3:$G$54,2,0),"")</f>
        <v/>
      </c>
      <c r="Q297" s="332">
        <f>IFERROR(VLOOKUP(TEXT(O297,"0"),CONDUCTORES!$A$3:$H$54,6,0),"")</f>
        <v/>
      </c>
      <c r="R297" s="334" t="n"/>
      <c r="S297" s="334" t="n"/>
      <c r="T297" s="334" t="n"/>
      <c r="U297" s="334" t="n"/>
      <c r="V297" s="334" t="n"/>
      <c r="W297" s="334" t="n"/>
      <c r="X297" s="334" t="n"/>
      <c r="Y297" s="334" t="n"/>
    </row>
    <row r="298" ht="15" customHeight="1" s="195">
      <c r="A298" s="280" t="n"/>
      <c r="B298" s="280" t="n"/>
      <c r="C298" s="280" t="n"/>
      <c r="D298" s="280" t="n"/>
      <c r="E298" s="280" t="n"/>
      <c r="F298" s="280" t="n"/>
      <c r="G298" s="280" t="n"/>
      <c r="H298" s="280" t="n"/>
      <c r="I298" s="332">
        <f>IFERROR(VLOOKUP(TEXT(H298,"0"),IPRESS!$A$3:$B$212,2,0),"")</f>
        <v/>
      </c>
      <c r="J298" s="280" t="n"/>
      <c r="K298" s="332">
        <f>IFERROR(VLOOKUP(TEXT(O298,"0"),CONDUCTORES!$A$3:$G$54,7,0),"")</f>
        <v/>
      </c>
      <c r="L298" s="280" t="n"/>
      <c r="M298" s="280" t="n"/>
      <c r="N298" s="333">
        <f>IFERROR(IF(L298*M298=0,"",L298*M298),"")</f>
        <v/>
      </c>
      <c r="O298" s="280" t="n"/>
      <c r="P298" s="332">
        <f>IFERROR(VLOOKUP(TEXT(O298,"0"),CONDUCTORES!$A$3:$G$54,2,0),"")</f>
        <v/>
      </c>
      <c r="Q298" s="332">
        <f>IFERROR(VLOOKUP(TEXT(O298,"0"),CONDUCTORES!$A$3:$H$54,6,0),"")</f>
        <v/>
      </c>
      <c r="R298" s="280" t="n"/>
      <c r="S298" s="280" t="n"/>
      <c r="T298" s="280" t="n"/>
      <c r="U298" s="280" t="n"/>
      <c r="V298" s="280" t="n"/>
      <c r="W298" s="280" t="n"/>
      <c r="X298" s="280" t="n"/>
      <c r="Y298" s="280" t="n"/>
    </row>
    <row r="299" ht="15" customHeight="1" s="195">
      <c r="A299" s="334" t="n"/>
      <c r="B299" s="334" t="n"/>
      <c r="C299" s="334" t="n"/>
      <c r="D299" s="334" t="n"/>
      <c r="E299" s="334" t="n"/>
      <c r="F299" s="334" t="n"/>
      <c r="G299" s="334" t="n"/>
      <c r="H299" s="334" t="n"/>
      <c r="I299" s="332">
        <f>IFERROR(VLOOKUP(TEXT(H299,"0"),IPRESS!$A$3:$B$212,2,0),"")</f>
        <v/>
      </c>
      <c r="J299" s="334" t="n"/>
      <c r="K299" s="332">
        <f>IFERROR(VLOOKUP(TEXT(O299,"0"),CONDUCTORES!$A$3:$G$54,7,0),"")</f>
        <v/>
      </c>
      <c r="L299" s="334" t="n"/>
      <c r="M299" s="334" t="n"/>
      <c r="N299" s="333">
        <f>IFERROR(IF(L299*M299=0,"",L299*M299),"")</f>
        <v/>
      </c>
      <c r="O299" s="334" t="n"/>
      <c r="P299" s="332">
        <f>IFERROR(VLOOKUP(TEXT(O299,"0"),CONDUCTORES!$A$3:$G$54,2,0),"")</f>
        <v/>
      </c>
      <c r="Q299" s="332">
        <f>IFERROR(VLOOKUP(TEXT(O299,"0"),CONDUCTORES!$A$3:$H$54,6,0),"")</f>
        <v/>
      </c>
      <c r="R299" s="334" t="n"/>
      <c r="S299" s="334" t="n"/>
      <c r="T299" s="334" t="n"/>
      <c r="U299" s="334" t="n"/>
      <c r="V299" s="334" t="n"/>
      <c r="W299" s="334" t="n"/>
      <c r="X299" s="334" t="n"/>
      <c r="Y299" s="334" t="n"/>
    </row>
    <row r="300" ht="15" customHeight="1" s="195">
      <c r="A300" s="280" t="n"/>
      <c r="B300" s="280" t="n"/>
      <c r="C300" s="280" t="n"/>
      <c r="D300" s="280" t="n"/>
      <c r="E300" s="280" t="n"/>
      <c r="F300" s="280" t="n"/>
      <c r="G300" s="280" t="n"/>
      <c r="H300" s="280" t="n"/>
      <c r="I300" s="332">
        <f>IFERROR(VLOOKUP(TEXT(H300,"0"),IPRESS!$A$3:$B$212,2,0),"")</f>
        <v/>
      </c>
      <c r="J300" s="280" t="n"/>
      <c r="K300" s="332">
        <f>IFERROR(VLOOKUP(TEXT(O300,"0"),CONDUCTORES!$A$3:$G$54,7,0),"")</f>
        <v/>
      </c>
      <c r="L300" s="280" t="n"/>
      <c r="M300" s="280" t="n"/>
      <c r="N300" s="333">
        <f>IFERROR(IF(L300*M300=0,"",L300*M300),"")</f>
        <v/>
      </c>
      <c r="O300" s="280" t="n"/>
      <c r="P300" s="332">
        <f>IFERROR(VLOOKUP(TEXT(O300,"0"),CONDUCTORES!$A$3:$G$54,2,0),"")</f>
        <v/>
      </c>
      <c r="Q300" s="332">
        <f>IFERROR(VLOOKUP(TEXT(O300,"0"),CONDUCTORES!$A$3:$H$54,6,0),"")</f>
        <v/>
      </c>
      <c r="R300" s="280" t="n"/>
      <c r="S300" s="280" t="n"/>
      <c r="T300" s="280" t="n"/>
      <c r="U300" s="280" t="n"/>
      <c r="V300" s="280" t="n"/>
      <c r="W300" s="280" t="n"/>
      <c r="X300" s="280" t="n"/>
      <c r="Y300" s="280" t="n"/>
    </row>
    <row r="301" ht="15" customHeight="1" s="195">
      <c r="A301" s="334" t="n"/>
      <c r="B301" s="334" t="n"/>
      <c r="C301" s="334" t="n"/>
      <c r="D301" s="334" t="n"/>
      <c r="E301" s="334" t="n"/>
      <c r="F301" s="334" t="n"/>
      <c r="G301" s="334" t="n"/>
      <c r="H301" s="334" t="n"/>
      <c r="I301" s="332">
        <f>IFERROR(VLOOKUP(TEXT(H301,"0"),IPRESS!$A$3:$B$212,2,0),"")</f>
        <v/>
      </c>
      <c r="J301" s="334" t="n"/>
      <c r="K301" s="332">
        <f>IFERROR(VLOOKUP(TEXT(O301,"0"),CONDUCTORES!$A$3:$G$54,7,0),"")</f>
        <v/>
      </c>
      <c r="L301" s="334" t="n"/>
      <c r="M301" s="334" t="n"/>
      <c r="N301" s="333">
        <f>IFERROR(IF(L301*M301=0,"",L301*M301),"")</f>
        <v/>
      </c>
      <c r="O301" s="334" t="n"/>
      <c r="P301" s="332">
        <f>IFERROR(VLOOKUP(TEXT(O301,"0"),CONDUCTORES!$A$3:$G$54,2,0),"")</f>
        <v/>
      </c>
      <c r="Q301" s="332">
        <f>IFERROR(VLOOKUP(TEXT(O301,"0"),CONDUCTORES!$A$3:$H$54,6,0),"")</f>
        <v/>
      </c>
      <c r="R301" s="334" t="n"/>
      <c r="S301" s="334" t="n"/>
      <c r="T301" s="334" t="n"/>
      <c r="U301" s="334" t="n"/>
      <c r="V301" s="334" t="n"/>
      <c r="W301" s="334" t="n"/>
      <c r="X301" s="334" t="n"/>
      <c r="Y301" s="334" t="n"/>
    </row>
    <row r="302" ht="15" customHeight="1" s="195">
      <c r="A302" s="280" t="n"/>
      <c r="B302" s="280" t="n"/>
      <c r="C302" s="280" t="n"/>
      <c r="D302" s="280" t="n"/>
      <c r="E302" s="280" t="n"/>
      <c r="F302" s="280" t="n"/>
      <c r="G302" s="280" t="n"/>
      <c r="H302" s="280" t="n"/>
      <c r="I302" s="332">
        <f>IFERROR(VLOOKUP(TEXT(H302,"0"),IPRESS!$A$3:$B$212,2,0),"")</f>
        <v/>
      </c>
      <c r="J302" s="280" t="n"/>
      <c r="K302" s="332">
        <f>IFERROR(VLOOKUP(TEXT(O302,"0"),CONDUCTORES!$A$3:$G$54,7,0),"")</f>
        <v/>
      </c>
      <c r="L302" s="280" t="n"/>
      <c r="M302" s="280" t="n"/>
      <c r="N302" s="333">
        <f>IFERROR(IF(L302*M302=0,"",L302*M302),"")</f>
        <v/>
      </c>
      <c r="O302" s="280" t="n"/>
      <c r="P302" s="332">
        <f>IFERROR(VLOOKUP(TEXT(O302,"0"),CONDUCTORES!$A$3:$G$54,2,0),"")</f>
        <v/>
      </c>
      <c r="Q302" s="332">
        <f>IFERROR(VLOOKUP(TEXT(O302,"0"),CONDUCTORES!$A$3:$H$54,6,0),"")</f>
        <v/>
      </c>
      <c r="R302" s="280" t="n"/>
      <c r="S302" s="280" t="n"/>
      <c r="T302" s="280" t="n"/>
      <c r="U302" s="280" t="n"/>
      <c r="V302" s="280" t="n"/>
      <c r="W302" s="280" t="n"/>
      <c r="X302" s="280" t="n"/>
      <c r="Y302" s="280" t="n"/>
    </row>
    <row r="303" ht="15" customHeight="1" s="195">
      <c r="A303" s="334" t="n"/>
      <c r="B303" s="334" t="n"/>
      <c r="C303" s="334" t="n"/>
      <c r="D303" s="334" t="n"/>
      <c r="E303" s="334" t="n"/>
      <c r="F303" s="334" t="n"/>
      <c r="G303" s="334" t="n"/>
      <c r="H303" s="334" t="n"/>
      <c r="I303" s="332">
        <f>IFERROR(VLOOKUP(TEXT(H303,"0"),IPRESS!$A$3:$B$212,2,0),"")</f>
        <v/>
      </c>
      <c r="J303" s="334" t="n"/>
      <c r="K303" s="332">
        <f>IFERROR(VLOOKUP(TEXT(O303,"0"),CONDUCTORES!$A$3:$G$54,7,0),"")</f>
        <v/>
      </c>
      <c r="L303" s="334" t="n"/>
      <c r="M303" s="334" t="n"/>
      <c r="N303" s="333">
        <f>IFERROR(IF(L303*M303=0,"",L303*M303),"")</f>
        <v/>
      </c>
      <c r="O303" s="334" t="n"/>
      <c r="P303" s="332">
        <f>IFERROR(VLOOKUP(TEXT(O303,"0"),CONDUCTORES!$A$3:$G$54,2,0),"")</f>
        <v/>
      </c>
      <c r="Q303" s="332">
        <f>IFERROR(VLOOKUP(TEXT(O303,"0"),CONDUCTORES!$A$3:$H$54,6,0),"")</f>
        <v/>
      </c>
      <c r="R303" s="334" t="n"/>
      <c r="S303" s="334" t="n"/>
      <c r="T303" s="334" t="n"/>
      <c r="U303" s="334" t="n"/>
      <c r="V303" s="334" t="n"/>
      <c r="W303" s="334" t="n"/>
      <c r="X303" s="334" t="n"/>
      <c r="Y303" s="334" t="n"/>
    </row>
    <row r="304" ht="15" customHeight="1" s="195">
      <c r="A304" s="280" t="n"/>
      <c r="B304" s="280" t="n"/>
      <c r="C304" s="280" t="n"/>
      <c r="D304" s="280" t="n"/>
      <c r="E304" s="280" t="n"/>
      <c r="F304" s="280" t="n"/>
      <c r="G304" s="280" t="n"/>
      <c r="H304" s="280" t="n"/>
      <c r="I304" s="332">
        <f>IFERROR(VLOOKUP(TEXT(H304,"0"),IPRESS!$A$3:$B$212,2,0),"")</f>
        <v/>
      </c>
      <c r="J304" s="280" t="n"/>
      <c r="K304" s="332">
        <f>IFERROR(VLOOKUP(TEXT(O304,"0"),CONDUCTORES!$A$3:$G$54,7,0),"")</f>
        <v/>
      </c>
      <c r="L304" s="280" t="n"/>
      <c r="M304" s="280" t="n"/>
      <c r="N304" s="333">
        <f>IFERROR(IF(L304*M304=0,"",L304*M304),"")</f>
        <v/>
      </c>
      <c r="O304" s="280" t="n"/>
      <c r="P304" s="332">
        <f>IFERROR(VLOOKUP(TEXT(O304,"0"),CONDUCTORES!$A$3:$G$54,2,0),"")</f>
        <v/>
      </c>
      <c r="Q304" s="332">
        <f>IFERROR(VLOOKUP(TEXT(O304,"0"),CONDUCTORES!$A$3:$H$54,6,0),"")</f>
        <v/>
      </c>
      <c r="R304" s="280" t="n"/>
      <c r="S304" s="280" t="n"/>
      <c r="T304" s="280" t="n"/>
      <c r="U304" s="280" t="n"/>
      <c r="V304" s="280" t="n"/>
      <c r="W304" s="280" t="n"/>
      <c r="X304" s="280" t="n"/>
      <c r="Y304" s="280" t="n"/>
    </row>
    <row r="305" ht="15" customHeight="1" s="195">
      <c r="A305" s="334" t="n"/>
      <c r="B305" s="334" t="n"/>
      <c r="C305" s="334" t="n"/>
      <c r="D305" s="334" t="n"/>
      <c r="E305" s="334" t="n"/>
      <c r="F305" s="334" t="n"/>
      <c r="G305" s="334" t="n"/>
      <c r="H305" s="334" t="n"/>
      <c r="I305" s="332">
        <f>IFERROR(VLOOKUP(TEXT(H305,"0"),IPRESS!$A$3:$B$212,2,0),"")</f>
        <v/>
      </c>
      <c r="J305" s="334" t="n"/>
      <c r="K305" s="332">
        <f>IFERROR(VLOOKUP(TEXT(O305,"0"),CONDUCTORES!$A$3:$G$54,7,0),"")</f>
        <v/>
      </c>
      <c r="L305" s="334" t="n"/>
      <c r="M305" s="334" t="n"/>
      <c r="N305" s="333">
        <f>IFERROR(IF(L305*M305=0,"",L305*M305),"")</f>
        <v/>
      </c>
      <c r="O305" s="334" t="n"/>
      <c r="P305" s="332">
        <f>IFERROR(VLOOKUP(TEXT(O305,"0"),CONDUCTORES!$A$3:$G$54,2,0),"")</f>
        <v/>
      </c>
      <c r="Q305" s="332">
        <f>IFERROR(VLOOKUP(TEXT(O305,"0"),CONDUCTORES!$A$3:$H$54,6,0),"")</f>
        <v/>
      </c>
      <c r="R305" s="334" t="n"/>
      <c r="S305" s="334" t="n"/>
      <c r="T305" s="334" t="n"/>
      <c r="U305" s="334" t="n"/>
      <c r="V305" s="334" t="n"/>
      <c r="W305" s="334" t="n"/>
      <c r="X305" s="334" t="n"/>
      <c r="Y305" s="334" t="n"/>
    </row>
    <row r="306" ht="15" customHeight="1" s="195">
      <c r="A306" s="280" t="n"/>
      <c r="B306" s="280" t="n"/>
      <c r="C306" s="280" t="n"/>
      <c r="D306" s="280" t="n"/>
      <c r="E306" s="280" t="n"/>
      <c r="F306" s="280" t="n"/>
      <c r="G306" s="280" t="n"/>
      <c r="H306" s="280" t="n"/>
      <c r="I306" s="332">
        <f>IFERROR(VLOOKUP(TEXT(H306,"0"),IPRESS!$A$3:$B$212,2,0),"")</f>
        <v/>
      </c>
      <c r="J306" s="280" t="n"/>
      <c r="K306" s="332">
        <f>IFERROR(VLOOKUP(TEXT(O306,"0"),CONDUCTORES!$A$3:$G$54,7,0),"")</f>
        <v/>
      </c>
      <c r="L306" s="280" t="n"/>
      <c r="M306" s="280" t="n"/>
      <c r="N306" s="333">
        <f>IFERROR(IF(L306*M306=0,"",L306*M306),"")</f>
        <v/>
      </c>
      <c r="O306" s="280" t="n"/>
      <c r="P306" s="332">
        <f>IFERROR(VLOOKUP(TEXT(O306,"0"),CONDUCTORES!$A$3:$G$54,2,0),"")</f>
        <v/>
      </c>
      <c r="Q306" s="332">
        <f>IFERROR(VLOOKUP(TEXT(O306,"0"),CONDUCTORES!$A$3:$H$54,6,0),"")</f>
        <v/>
      </c>
      <c r="R306" s="280" t="n"/>
      <c r="S306" s="280" t="n"/>
      <c r="T306" s="280" t="n"/>
      <c r="U306" s="280" t="n"/>
      <c r="V306" s="280" t="n"/>
      <c r="W306" s="280" t="n"/>
      <c r="X306" s="280" t="n"/>
      <c r="Y306" s="280" t="n"/>
    </row>
    <row r="307" ht="15" customHeight="1" s="195">
      <c r="A307" s="334" t="n"/>
      <c r="B307" s="334" t="n"/>
      <c r="C307" s="334" t="n"/>
      <c r="D307" s="334" t="n"/>
      <c r="E307" s="334" t="n"/>
      <c r="F307" s="334" t="n"/>
      <c r="G307" s="334" t="n"/>
      <c r="H307" s="334" t="n"/>
      <c r="I307" s="332">
        <f>IFERROR(VLOOKUP(TEXT(H307,"0"),IPRESS!$A$3:$B$212,2,0),"")</f>
        <v/>
      </c>
      <c r="J307" s="334" t="n"/>
      <c r="K307" s="332">
        <f>IFERROR(VLOOKUP(TEXT(O307,"0"),CONDUCTORES!$A$3:$G$54,7,0),"")</f>
        <v/>
      </c>
      <c r="L307" s="334" t="n"/>
      <c r="M307" s="334" t="n"/>
      <c r="N307" s="333">
        <f>IFERROR(IF(L307*M307=0,"",L307*M307),"")</f>
        <v/>
      </c>
      <c r="O307" s="334" t="n"/>
      <c r="P307" s="332">
        <f>IFERROR(VLOOKUP(TEXT(O307,"0"),CONDUCTORES!$A$3:$G$54,2,0),"")</f>
        <v/>
      </c>
      <c r="Q307" s="332">
        <f>IFERROR(VLOOKUP(TEXT(O307,"0"),CONDUCTORES!$A$3:$H$54,6,0),"")</f>
        <v/>
      </c>
      <c r="R307" s="334" t="n"/>
      <c r="S307" s="334" t="n"/>
      <c r="T307" s="334" t="n"/>
      <c r="U307" s="334" t="n"/>
      <c r="V307" s="334" t="n"/>
      <c r="W307" s="334" t="n"/>
      <c r="X307" s="334" t="n"/>
      <c r="Y307" s="334" t="n"/>
    </row>
    <row r="308" ht="15" customHeight="1" s="195">
      <c r="A308" s="280" t="n"/>
      <c r="B308" s="280" t="n"/>
      <c r="C308" s="280" t="n"/>
      <c r="D308" s="280" t="n"/>
      <c r="E308" s="280" t="n"/>
      <c r="F308" s="280" t="n"/>
      <c r="G308" s="280" t="n"/>
      <c r="H308" s="280" t="n"/>
      <c r="I308" s="332">
        <f>IFERROR(VLOOKUP(TEXT(H308,"0"),IPRESS!$A$3:$B$212,2,0),"")</f>
        <v/>
      </c>
      <c r="J308" s="280" t="n"/>
      <c r="K308" s="332">
        <f>IFERROR(VLOOKUP(TEXT(O308,"0"),CONDUCTORES!$A$3:$G$54,7,0),"")</f>
        <v/>
      </c>
      <c r="L308" s="280" t="n"/>
      <c r="M308" s="280" t="n"/>
      <c r="N308" s="333">
        <f>IFERROR(IF(L308*M308=0,"",L308*M308),"")</f>
        <v/>
      </c>
      <c r="O308" s="280" t="n"/>
      <c r="P308" s="332">
        <f>IFERROR(VLOOKUP(TEXT(O308,"0"),CONDUCTORES!$A$3:$G$54,2,0),"")</f>
        <v/>
      </c>
      <c r="Q308" s="332">
        <f>IFERROR(VLOOKUP(TEXT(O308,"0"),CONDUCTORES!$A$3:$H$54,6,0),"")</f>
        <v/>
      </c>
      <c r="R308" s="280" t="n"/>
      <c r="S308" s="280" t="n"/>
      <c r="T308" s="280" t="n"/>
      <c r="U308" s="280" t="n"/>
      <c r="V308" s="280" t="n"/>
      <c r="W308" s="280" t="n"/>
      <c r="X308" s="280" t="n"/>
      <c r="Y308" s="280" t="n"/>
    </row>
    <row r="309" ht="15" customHeight="1" s="195">
      <c r="A309" s="334" t="n"/>
      <c r="B309" s="334" t="n"/>
      <c r="C309" s="334" t="n"/>
      <c r="D309" s="334" t="n"/>
      <c r="E309" s="334" t="n"/>
      <c r="F309" s="334" t="n"/>
      <c r="G309" s="334" t="n"/>
      <c r="H309" s="334" t="n"/>
      <c r="I309" s="332">
        <f>IFERROR(VLOOKUP(TEXT(H309,"0"),IPRESS!$A$3:$B$212,2,0),"")</f>
        <v/>
      </c>
      <c r="J309" s="334" t="n"/>
      <c r="K309" s="332">
        <f>IFERROR(VLOOKUP(TEXT(O309,"0"),CONDUCTORES!$A$3:$G$54,7,0),"")</f>
        <v/>
      </c>
      <c r="L309" s="334" t="n"/>
      <c r="M309" s="334" t="n"/>
      <c r="N309" s="333">
        <f>IFERROR(IF(L309*M309=0,"",L309*M309),"")</f>
        <v/>
      </c>
      <c r="O309" s="334" t="n"/>
      <c r="P309" s="332">
        <f>IFERROR(VLOOKUP(TEXT(O309,"0"),CONDUCTORES!$A$3:$G$54,2,0),"")</f>
        <v/>
      </c>
      <c r="Q309" s="332">
        <f>IFERROR(VLOOKUP(TEXT(O309,"0"),CONDUCTORES!$A$3:$H$54,6,0),"")</f>
        <v/>
      </c>
      <c r="R309" s="334" t="n"/>
      <c r="S309" s="334" t="n"/>
      <c r="T309" s="334" t="n"/>
      <c r="U309" s="334" t="n"/>
      <c r="V309" s="334" t="n"/>
      <c r="W309" s="334" t="n"/>
      <c r="X309" s="334" t="n"/>
      <c r="Y309" s="334" t="n"/>
    </row>
    <row r="310" ht="15" customHeight="1" s="195">
      <c r="A310" s="280" t="n"/>
      <c r="B310" s="280" t="n"/>
      <c r="C310" s="280" t="n"/>
      <c r="D310" s="280" t="n"/>
      <c r="E310" s="280" t="n"/>
      <c r="F310" s="280" t="n"/>
      <c r="G310" s="280" t="n"/>
      <c r="H310" s="280" t="n"/>
      <c r="I310" s="332">
        <f>IFERROR(VLOOKUP(TEXT(H310,"0"),IPRESS!$A$3:$B$212,2,0),"")</f>
        <v/>
      </c>
      <c r="J310" s="280" t="n"/>
      <c r="K310" s="332">
        <f>IFERROR(VLOOKUP(TEXT(O310,"0"),CONDUCTORES!$A$3:$G$54,7,0),"")</f>
        <v/>
      </c>
      <c r="L310" s="280" t="n"/>
      <c r="M310" s="280" t="n"/>
      <c r="N310" s="333">
        <f>IFERROR(IF(L310*M310=0,"",L310*M310),"")</f>
        <v/>
      </c>
      <c r="O310" s="280" t="n"/>
      <c r="P310" s="332">
        <f>IFERROR(VLOOKUP(TEXT(O310,"0"),CONDUCTORES!$A$3:$G$54,2,0),"")</f>
        <v/>
      </c>
      <c r="Q310" s="332">
        <f>IFERROR(VLOOKUP(TEXT(O310,"0"),CONDUCTORES!$A$3:$H$54,6,0),"")</f>
        <v/>
      </c>
      <c r="R310" s="280" t="n"/>
      <c r="S310" s="280" t="n"/>
      <c r="T310" s="280" t="n"/>
      <c r="U310" s="280" t="n"/>
      <c r="V310" s="280" t="n"/>
      <c r="W310" s="280" t="n"/>
      <c r="X310" s="280" t="n"/>
      <c r="Y310" s="280" t="n"/>
    </row>
    <row r="311" ht="15" customHeight="1" s="195">
      <c r="A311" s="334" t="n"/>
      <c r="B311" s="334" t="n"/>
      <c r="C311" s="334" t="n"/>
      <c r="D311" s="334" t="n"/>
      <c r="E311" s="334" t="n"/>
      <c r="F311" s="334" t="n"/>
      <c r="G311" s="334" t="n"/>
      <c r="H311" s="334" t="n"/>
      <c r="I311" s="332">
        <f>IFERROR(VLOOKUP(TEXT(H311,"0"),IPRESS!$A$3:$B$212,2,0),"")</f>
        <v/>
      </c>
      <c r="J311" s="334" t="n"/>
      <c r="K311" s="332">
        <f>IFERROR(VLOOKUP(TEXT(O311,"0"),CONDUCTORES!$A$3:$G$54,7,0),"")</f>
        <v/>
      </c>
      <c r="L311" s="334" t="n"/>
      <c r="M311" s="334" t="n"/>
      <c r="N311" s="333">
        <f>IFERROR(IF(L311*M311=0,"",L311*M311),"")</f>
        <v/>
      </c>
      <c r="O311" s="334" t="n"/>
      <c r="P311" s="332">
        <f>IFERROR(VLOOKUP(TEXT(O311,"0"),CONDUCTORES!$A$3:$G$54,2,0),"")</f>
        <v/>
      </c>
      <c r="Q311" s="332">
        <f>IFERROR(VLOOKUP(TEXT(O311,"0"),CONDUCTORES!$A$3:$H$54,6,0),"")</f>
        <v/>
      </c>
      <c r="R311" s="334" t="n"/>
      <c r="S311" s="334" t="n"/>
      <c r="T311" s="334" t="n"/>
      <c r="U311" s="334" t="n"/>
      <c r="V311" s="334" t="n"/>
      <c r="W311" s="334" t="n"/>
      <c r="X311" s="334" t="n"/>
      <c r="Y311" s="334" t="n"/>
    </row>
    <row r="312" ht="15" customHeight="1" s="195">
      <c r="A312" s="280" t="n"/>
      <c r="B312" s="280" t="n"/>
      <c r="C312" s="280" t="n"/>
      <c r="D312" s="280" t="n"/>
      <c r="E312" s="280" t="n"/>
      <c r="F312" s="280" t="n"/>
      <c r="G312" s="280" t="n"/>
      <c r="H312" s="280" t="n"/>
      <c r="I312" s="332">
        <f>IFERROR(VLOOKUP(TEXT(H312,"0"),IPRESS!$A$3:$B$212,2,0),"")</f>
        <v/>
      </c>
      <c r="J312" s="280" t="n"/>
      <c r="K312" s="332">
        <f>IFERROR(VLOOKUP(TEXT(O312,"0"),CONDUCTORES!$A$3:$G$54,7,0),"")</f>
        <v/>
      </c>
      <c r="L312" s="280" t="n"/>
      <c r="M312" s="280" t="n"/>
      <c r="N312" s="333">
        <f>IFERROR(IF(L312*M312=0,"",L312*M312),"")</f>
        <v/>
      </c>
      <c r="O312" s="280" t="n"/>
      <c r="P312" s="332">
        <f>IFERROR(VLOOKUP(TEXT(O312,"0"),CONDUCTORES!$A$3:$G$54,2,0),"")</f>
        <v/>
      </c>
      <c r="Q312" s="332">
        <f>IFERROR(VLOOKUP(TEXT(O312,"0"),CONDUCTORES!$A$3:$H$54,6,0),"")</f>
        <v/>
      </c>
      <c r="R312" s="280" t="n"/>
      <c r="S312" s="280" t="n"/>
      <c r="T312" s="280" t="n"/>
      <c r="U312" s="280" t="n"/>
      <c r="V312" s="280" t="n"/>
      <c r="W312" s="280" t="n"/>
      <c r="X312" s="280" t="n"/>
      <c r="Y312" s="280" t="n"/>
    </row>
    <row r="313" ht="15" customHeight="1" s="195">
      <c r="A313" s="334" t="n"/>
      <c r="B313" s="334" t="n"/>
      <c r="C313" s="334" t="n"/>
      <c r="D313" s="334" t="n"/>
      <c r="E313" s="334" t="n"/>
      <c r="F313" s="334" t="n"/>
      <c r="G313" s="334" t="n"/>
      <c r="H313" s="334" t="n"/>
      <c r="I313" s="332">
        <f>IFERROR(VLOOKUP(TEXT(H313,"0"),IPRESS!$A$3:$B$212,2,0),"")</f>
        <v/>
      </c>
      <c r="J313" s="334" t="n"/>
      <c r="K313" s="332">
        <f>IFERROR(VLOOKUP(TEXT(O313,"0"),CONDUCTORES!$A$3:$G$54,7,0),"")</f>
        <v/>
      </c>
      <c r="L313" s="334" t="n"/>
      <c r="M313" s="334" t="n"/>
      <c r="N313" s="333">
        <f>IFERROR(IF(L313*M313=0,"",L313*M313),"")</f>
        <v/>
      </c>
      <c r="O313" s="334" t="n"/>
      <c r="P313" s="332">
        <f>IFERROR(VLOOKUP(TEXT(O313,"0"),CONDUCTORES!$A$3:$G$54,2,0),"")</f>
        <v/>
      </c>
      <c r="Q313" s="332">
        <f>IFERROR(VLOOKUP(TEXT(O313,"0"),CONDUCTORES!$A$3:$H$54,6,0),"")</f>
        <v/>
      </c>
      <c r="R313" s="334" t="n"/>
      <c r="S313" s="334" t="n"/>
      <c r="T313" s="334" t="n"/>
      <c r="U313" s="334" t="n"/>
      <c r="V313" s="334" t="n"/>
      <c r="W313" s="334" t="n"/>
      <c r="X313" s="334" t="n"/>
      <c r="Y313" s="334" t="n"/>
    </row>
    <row r="314" ht="15" customHeight="1" s="195">
      <c r="A314" s="280" t="n"/>
      <c r="B314" s="280" t="n"/>
      <c r="C314" s="280" t="n"/>
      <c r="D314" s="280" t="n"/>
      <c r="E314" s="280" t="n"/>
      <c r="F314" s="280" t="n"/>
      <c r="G314" s="280" t="n"/>
      <c r="H314" s="280" t="n"/>
      <c r="I314" s="332">
        <f>IFERROR(VLOOKUP(TEXT(H314,"0"),IPRESS!$A$3:$B$212,2,0),"")</f>
        <v/>
      </c>
      <c r="J314" s="280" t="n"/>
      <c r="K314" s="332">
        <f>IFERROR(VLOOKUP(TEXT(O314,"0"),CONDUCTORES!$A$3:$G$54,7,0),"")</f>
        <v/>
      </c>
      <c r="L314" s="280" t="n"/>
      <c r="M314" s="280" t="n"/>
      <c r="N314" s="333">
        <f>IFERROR(IF(L314*M314=0,"",L314*M314),"")</f>
        <v/>
      </c>
      <c r="O314" s="280" t="n"/>
      <c r="P314" s="332">
        <f>IFERROR(VLOOKUP(TEXT(O314,"0"),CONDUCTORES!$A$3:$G$54,2,0),"")</f>
        <v/>
      </c>
      <c r="Q314" s="332">
        <f>IFERROR(VLOOKUP(TEXT(O314,"0"),CONDUCTORES!$A$3:$H$54,6,0),"")</f>
        <v/>
      </c>
      <c r="R314" s="280" t="n"/>
      <c r="S314" s="280" t="n"/>
      <c r="T314" s="280" t="n"/>
      <c r="U314" s="280" t="n"/>
      <c r="V314" s="280" t="n"/>
      <c r="W314" s="280" t="n"/>
      <c r="X314" s="280" t="n"/>
      <c r="Y314" s="280" t="n"/>
    </row>
    <row r="315" ht="15" customHeight="1" s="195">
      <c r="A315" s="334" t="n"/>
      <c r="B315" s="334" t="n"/>
      <c r="C315" s="334" t="n"/>
      <c r="D315" s="334" t="n"/>
      <c r="E315" s="334" t="n"/>
      <c r="F315" s="334" t="n"/>
      <c r="G315" s="334" t="n"/>
      <c r="H315" s="334" t="n"/>
      <c r="I315" s="332">
        <f>IFERROR(VLOOKUP(TEXT(H315,"0"),IPRESS!$A$3:$B$212,2,0),"")</f>
        <v/>
      </c>
      <c r="J315" s="334" t="n"/>
      <c r="K315" s="332">
        <f>IFERROR(VLOOKUP(TEXT(O315,"0"),CONDUCTORES!$A$3:$G$54,7,0),"")</f>
        <v/>
      </c>
      <c r="L315" s="334" t="n"/>
      <c r="M315" s="334" t="n"/>
      <c r="N315" s="333">
        <f>IFERROR(IF(L315*M315=0,"",L315*M315),"")</f>
        <v/>
      </c>
      <c r="O315" s="334" t="n"/>
      <c r="P315" s="332">
        <f>IFERROR(VLOOKUP(TEXT(O315,"0"),CONDUCTORES!$A$3:$G$54,2,0),"")</f>
        <v/>
      </c>
      <c r="Q315" s="332">
        <f>IFERROR(VLOOKUP(TEXT(O315,"0"),CONDUCTORES!$A$3:$H$54,6,0),"")</f>
        <v/>
      </c>
      <c r="R315" s="334" t="n"/>
      <c r="S315" s="334" t="n"/>
      <c r="T315" s="334" t="n"/>
      <c r="U315" s="334" t="n"/>
      <c r="V315" s="334" t="n"/>
      <c r="W315" s="334" t="n"/>
      <c r="X315" s="334" t="n"/>
      <c r="Y315" s="334" t="n"/>
    </row>
    <row r="316" ht="15" customHeight="1" s="195">
      <c r="A316" s="280" t="n"/>
      <c r="B316" s="280" t="n"/>
      <c r="C316" s="280" t="n"/>
      <c r="D316" s="280" t="n"/>
      <c r="E316" s="280" t="n"/>
      <c r="F316" s="280" t="n"/>
      <c r="G316" s="280" t="n"/>
      <c r="H316" s="280" t="n"/>
      <c r="I316" s="332">
        <f>IFERROR(VLOOKUP(TEXT(H316,"0"),IPRESS!$A$3:$B$212,2,0),"")</f>
        <v/>
      </c>
      <c r="J316" s="280" t="n"/>
      <c r="K316" s="332">
        <f>IFERROR(VLOOKUP(TEXT(O316,"0"),CONDUCTORES!$A$3:$G$54,7,0),"")</f>
        <v/>
      </c>
      <c r="L316" s="280" t="n"/>
      <c r="M316" s="280" t="n"/>
      <c r="N316" s="333">
        <f>IFERROR(IF(L316*M316=0,"",L316*M316),"")</f>
        <v/>
      </c>
      <c r="O316" s="280" t="n"/>
      <c r="P316" s="332">
        <f>IFERROR(VLOOKUP(TEXT(O316,"0"),CONDUCTORES!$A$3:$G$54,2,0),"")</f>
        <v/>
      </c>
      <c r="Q316" s="332">
        <f>IFERROR(VLOOKUP(TEXT(O316,"0"),CONDUCTORES!$A$3:$H$54,6,0),"")</f>
        <v/>
      </c>
      <c r="R316" s="280" t="n"/>
      <c r="S316" s="280" t="n"/>
      <c r="T316" s="280" t="n"/>
      <c r="U316" s="280" t="n"/>
      <c r="V316" s="280" t="n"/>
      <c r="W316" s="280" t="n"/>
      <c r="X316" s="280" t="n"/>
      <c r="Y316" s="280" t="n"/>
    </row>
    <row r="317" ht="15" customHeight="1" s="195">
      <c r="A317" s="334" t="n"/>
      <c r="B317" s="334" t="n"/>
      <c r="C317" s="334" t="n"/>
      <c r="D317" s="334" t="n"/>
      <c r="E317" s="334" t="n"/>
      <c r="F317" s="334" t="n"/>
      <c r="G317" s="334" t="n"/>
      <c r="H317" s="334" t="n"/>
      <c r="I317" s="332">
        <f>IFERROR(VLOOKUP(TEXT(H317,"0"),IPRESS!$A$3:$B$212,2,0),"")</f>
        <v/>
      </c>
      <c r="J317" s="334" t="n"/>
      <c r="K317" s="332">
        <f>IFERROR(VLOOKUP(TEXT(O317,"0"),CONDUCTORES!$A$3:$G$54,7,0),"")</f>
        <v/>
      </c>
      <c r="L317" s="334" t="n"/>
      <c r="M317" s="334" t="n"/>
      <c r="N317" s="333">
        <f>IFERROR(IF(L317*M317=0,"",L317*M317),"")</f>
        <v/>
      </c>
      <c r="O317" s="334" t="n"/>
      <c r="P317" s="332">
        <f>IFERROR(VLOOKUP(TEXT(O317,"0"),CONDUCTORES!$A$3:$G$54,2,0),"")</f>
        <v/>
      </c>
      <c r="Q317" s="332">
        <f>IFERROR(VLOOKUP(TEXT(O317,"0"),CONDUCTORES!$A$3:$H$54,6,0),"")</f>
        <v/>
      </c>
      <c r="R317" s="334" t="n"/>
      <c r="S317" s="334" t="n"/>
      <c r="T317" s="334" t="n"/>
      <c r="U317" s="334" t="n"/>
      <c r="V317" s="334" t="n"/>
      <c r="W317" s="334" t="n"/>
      <c r="X317" s="334" t="n"/>
      <c r="Y317" s="334" t="n"/>
    </row>
    <row r="318" ht="15" customHeight="1" s="195">
      <c r="A318" s="280" t="n"/>
      <c r="B318" s="280" t="n"/>
      <c r="C318" s="280" t="n"/>
      <c r="D318" s="280" t="n"/>
      <c r="E318" s="280" t="n"/>
      <c r="F318" s="280" t="n"/>
      <c r="G318" s="280" t="n"/>
      <c r="H318" s="280" t="n"/>
      <c r="I318" s="332">
        <f>IFERROR(VLOOKUP(TEXT(H318,"0"),IPRESS!$A$3:$B$212,2,0),"")</f>
        <v/>
      </c>
      <c r="J318" s="280" t="n"/>
      <c r="K318" s="332">
        <f>IFERROR(VLOOKUP(TEXT(O318,"0"),CONDUCTORES!$A$3:$G$54,7,0),"")</f>
        <v/>
      </c>
      <c r="L318" s="280" t="n"/>
      <c r="M318" s="280" t="n"/>
      <c r="N318" s="333">
        <f>IFERROR(IF(L318*M318=0,"",L318*M318),"")</f>
        <v/>
      </c>
      <c r="O318" s="280" t="n"/>
      <c r="P318" s="332">
        <f>IFERROR(VLOOKUP(TEXT(O318,"0"),CONDUCTORES!$A$3:$G$54,2,0),"")</f>
        <v/>
      </c>
      <c r="Q318" s="332">
        <f>IFERROR(VLOOKUP(TEXT(O318,"0"),CONDUCTORES!$A$3:$H$54,6,0),"")</f>
        <v/>
      </c>
      <c r="R318" s="280" t="n"/>
      <c r="S318" s="280" t="n"/>
      <c r="T318" s="280" t="n"/>
      <c r="U318" s="280" t="n"/>
      <c r="V318" s="280" t="n"/>
      <c r="W318" s="280" t="n"/>
      <c r="X318" s="280" t="n"/>
      <c r="Y318" s="280" t="n"/>
    </row>
    <row r="319" ht="15" customHeight="1" s="195">
      <c r="A319" s="334" t="n"/>
      <c r="B319" s="334" t="n"/>
      <c r="C319" s="334" t="n"/>
      <c r="D319" s="334" t="n"/>
      <c r="E319" s="334" t="n"/>
      <c r="F319" s="334" t="n"/>
      <c r="G319" s="334" t="n"/>
      <c r="H319" s="334" t="n"/>
      <c r="I319" s="332">
        <f>IFERROR(VLOOKUP(TEXT(H319,"0"),IPRESS!$A$3:$B$212,2,0),"")</f>
        <v/>
      </c>
      <c r="J319" s="334" t="n"/>
      <c r="K319" s="332">
        <f>IFERROR(VLOOKUP(TEXT(O319,"0"),CONDUCTORES!$A$3:$G$54,7,0),"")</f>
        <v/>
      </c>
      <c r="L319" s="334" t="n"/>
      <c r="M319" s="334" t="n"/>
      <c r="N319" s="333">
        <f>IFERROR(IF(L319*M319=0,"",L319*M319),"")</f>
        <v/>
      </c>
      <c r="O319" s="334" t="n"/>
      <c r="P319" s="332">
        <f>IFERROR(VLOOKUP(TEXT(O319,"0"),CONDUCTORES!$A$3:$G$54,2,0),"")</f>
        <v/>
      </c>
      <c r="Q319" s="332">
        <f>IFERROR(VLOOKUP(TEXT(O319,"0"),CONDUCTORES!$A$3:$H$54,6,0),"")</f>
        <v/>
      </c>
      <c r="R319" s="334" t="n"/>
      <c r="S319" s="334" t="n"/>
      <c r="T319" s="334" t="n"/>
      <c r="U319" s="334" t="n"/>
      <c r="V319" s="334" t="n"/>
      <c r="W319" s="334" t="n"/>
      <c r="X319" s="334" t="n"/>
      <c r="Y319" s="334" t="n"/>
    </row>
    <row r="320" ht="15" customHeight="1" s="195">
      <c r="A320" s="280" t="n"/>
      <c r="B320" s="280" t="n"/>
      <c r="C320" s="280" t="n"/>
      <c r="D320" s="280" t="n"/>
      <c r="E320" s="280" t="n"/>
      <c r="F320" s="280" t="n"/>
      <c r="G320" s="280" t="n"/>
      <c r="H320" s="280" t="n"/>
      <c r="I320" s="332">
        <f>IFERROR(VLOOKUP(TEXT(H320,"0"),IPRESS!$A$3:$B$212,2,0),"")</f>
        <v/>
      </c>
      <c r="J320" s="280" t="n"/>
      <c r="K320" s="332">
        <f>IFERROR(VLOOKUP(TEXT(O320,"0"),CONDUCTORES!$A$3:$G$54,7,0),"")</f>
        <v/>
      </c>
      <c r="L320" s="280" t="n"/>
      <c r="M320" s="280" t="n"/>
      <c r="N320" s="333">
        <f>IFERROR(IF(L320*M320=0,"",L320*M320),"")</f>
        <v/>
      </c>
      <c r="O320" s="280" t="n"/>
      <c r="P320" s="332">
        <f>IFERROR(VLOOKUP(TEXT(O320,"0"),CONDUCTORES!$A$3:$G$54,2,0),"")</f>
        <v/>
      </c>
      <c r="Q320" s="332">
        <f>IFERROR(VLOOKUP(TEXT(O320,"0"),CONDUCTORES!$A$3:$H$54,6,0),"")</f>
        <v/>
      </c>
      <c r="R320" s="280" t="n"/>
      <c r="S320" s="280" t="n"/>
      <c r="T320" s="280" t="n"/>
      <c r="U320" s="280" t="n"/>
      <c r="V320" s="280" t="n"/>
      <c r="W320" s="280" t="n"/>
      <c r="X320" s="280" t="n"/>
      <c r="Y320" s="280" t="n"/>
    </row>
    <row r="321" ht="15" customHeight="1" s="195">
      <c r="A321" s="334" t="n"/>
      <c r="B321" s="334" t="n"/>
      <c r="C321" s="334" t="n"/>
      <c r="D321" s="334" t="n"/>
      <c r="E321" s="334" t="n"/>
      <c r="F321" s="334" t="n"/>
      <c r="G321" s="334" t="n"/>
      <c r="H321" s="334" t="n"/>
      <c r="I321" s="332">
        <f>IFERROR(VLOOKUP(TEXT(H321,"0"),IPRESS!$A$3:$B$212,2,0),"")</f>
        <v/>
      </c>
      <c r="J321" s="334" t="n"/>
      <c r="K321" s="332">
        <f>IFERROR(VLOOKUP(TEXT(O321,"0"),CONDUCTORES!$A$3:$G$54,7,0),"")</f>
        <v/>
      </c>
      <c r="L321" s="334" t="n"/>
      <c r="M321" s="334" t="n"/>
      <c r="N321" s="333">
        <f>IFERROR(IF(L321*M321=0,"",L321*M321),"")</f>
        <v/>
      </c>
      <c r="O321" s="334" t="n"/>
      <c r="P321" s="332">
        <f>IFERROR(VLOOKUP(TEXT(O321,"0"),CONDUCTORES!$A$3:$G$54,2,0),"")</f>
        <v/>
      </c>
      <c r="Q321" s="332">
        <f>IFERROR(VLOOKUP(TEXT(O321,"0"),CONDUCTORES!$A$3:$H$54,6,0),"")</f>
        <v/>
      </c>
      <c r="R321" s="334" t="n"/>
      <c r="S321" s="334" t="n"/>
      <c r="T321" s="334" t="n"/>
      <c r="U321" s="334" t="n"/>
      <c r="V321" s="334" t="n"/>
      <c r="W321" s="334" t="n"/>
      <c r="X321" s="334" t="n"/>
      <c r="Y321" s="334" t="n"/>
    </row>
    <row r="322" ht="15" customHeight="1" s="195">
      <c r="A322" s="280" t="n"/>
      <c r="B322" s="280" t="n"/>
      <c r="C322" s="280" t="n"/>
      <c r="D322" s="280" t="n"/>
      <c r="E322" s="280" t="n"/>
      <c r="F322" s="280" t="n"/>
      <c r="G322" s="280" t="n"/>
      <c r="H322" s="280" t="n"/>
      <c r="I322" s="332">
        <f>IFERROR(VLOOKUP(TEXT(H322,"0"),IPRESS!$A$3:$B$212,2,0),"")</f>
        <v/>
      </c>
      <c r="J322" s="280" t="n"/>
      <c r="K322" s="332">
        <f>IFERROR(VLOOKUP(TEXT(O322,"0"),CONDUCTORES!$A$3:$G$54,7,0),"")</f>
        <v/>
      </c>
      <c r="L322" s="280" t="n"/>
      <c r="M322" s="280" t="n"/>
      <c r="N322" s="333">
        <f>IFERROR(IF(L322*M322=0,"",L322*M322),"")</f>
        <v/>
      </c>
      <c r="O322" s="280" t="n"/>
      <c r="P322" s="332">
        <f>IFERROR(VLOOKUP(TEXT(O322,"0"),CONDUCTORES!$A$3:$G$54,2,0),"")</f>
        <v/>
      </c>
      <c r="Q322" s="332">
        <f>IFERROR(VLOOKUP(TEXT(O322,"0"),CONDUCTORES!$A$3:$H$54,6,0),"")</f>
        <v/>
      </c>
      <c r="R322" s="280" t="n"/>
      <c r="S322" s="280" t="n"/>
      <c r="T322" s="280" t="n"/>
      <c r="U322" s="280" t="n"/>
      <c r="V322" s="280" t="n"/>
      <c r="W322" s="280" t="n"/>
      <c r="X322" s="280" t="n"/>
      <c r="Y322" s="280" t="n"/>
    </row>
    <row r="323" ht="15" customHeight="1" s="195">
      <c r="A323" s="334" t="n"/>
      <c r="B323" s="334" t="n"/>
      <c r="C323" s="334" t="n"/>
      <c r="D323" s="334" t="n"/>
      <c r="E323" s="334" t="n"/>
      <c r="F323" s="334" t="n"/>
      <c r="G323" s="334" t="n"/>
      <c r="H323" s="334" t="n"/>
      <c r="I323" s="332">
        <f>IFERROR(VLOOKUP(TEXT(H323,"0"),IPRESS!$A$3:$B$212,2,0),"")</f>
        <v/>
      </c>
      <c r="J323" s="334" t="n"/>
      <c r="K323" s="332">
        <f>IFERROR(VLOOKUP(TEXT(O323,"0"),CONDUCTORES!$A$3:$G$54,7,0),"")</f>
        <v/>
      </c>
      <c r="L323" s="334" t="n"/>
      <c r="M323" s="334" t="n"/>
      <c r="N323" s="333">
        <f>IFERROR(IF(L323*M323=0,"",L323*M323),"")</f>
        <v/>
      </c>
      <c r="O323" s="334" t="n"/>
      <c r="P323" s="332">
        <f>IFERROR(VLOOKUP(TEXT(O323,"0"),CONDUCTORES!$A$3:$G$54,2,0),"")</f>
        <v/>
      </c>
      <c r="Q323" s="332">
        <f>IFERROR(VLOOKUP(TEXT(O323,"0"),CONDUCTORES!$A$3:$H$54,6,0),"")</f>
        <v/>
      </c>
      <c r="R323" s="334" t="n"/>
      <c r="S323" s="334" t="n"/>
      <c r="T323" s="334" t="n"/>
      <c r="U323" s="334" t="n"/>
      <c r="V323" s="334" t="n"/>
      <c r="W323" s="334" t="n"/>
      <c r="X323" s="334" t="n"/>
      <c r="Y323" s="334" t="n"/>
    </row>
    <row r="324" ht="15" customHeight="1" s="195">
      <c r="A324" s="280" t="n"/>
      <c r="B324" s="280" t="n"/>
      <c r="C324" s="280" t="n"/>
      <c r="D324" s="280" t="n"/>
      <c r="E324" s="280" t="n"/>
      <c r="F324" s="280" t="n"/>
      <c r="G324" s="280" t="n"/>
      <c r="H324" s="280" t="n"/>
      <c r="I324" s="332">
        <f>IFERROR(VLOOKUP(TEXT(H324,"0"),IPRESS!$A$3:$B$212,2,0),"")</f>
        <v/>
      </c>
      <c r="J324" s="280" t="n"/>
      <c r="K324" s="332">
        <f>IFERROR(VLOOKUP(TEXT(O324,"0"),CONDUCTORES!$A$3:$G$54,7,0),"")</f>
        <v/>
      </c>
      <c r="L324" s="280" t="n"/>
      <c r="M324" s="280" t="n"/>
      <c r="N324" s="333">
        <f>IFERROR(IF(L324*M324=0,"",L324*M324),"")</f>
        <v/>
      </c>
      <c r="O324" s="280" t="n"/>
      <c r="P324" s="332">
        <f>IFERROR(VLOOKUP(TEXT(O324,"0"),CONDUCTORES!$A$3:$G$54,2,0),"")</f>
        <v/>
      </c>
      <c r="Q324" s="332">
        <f>IFERROR(VLOOKUP(TEXT(O324,"0"),CONDUCTORES!$A$3:$H$54,6,0),"")</f>
        <v/>
      </c>
      <c r="R324" s="280" t="n"/>
      <c r="S324" s="280" t="n"/>
      <c r="T324" s="280" t="n"/>
      <c r="U324" s="280" t="n"/>
      <c r="V324" s="280" t="n"/>
      <c r="W324" s="280" t="n"/>
      <c r="X324" s="280" t="n"/>
      <c r="Y324" s="280" t="n"/>
    </row>
    <row r="325" ht="15" customHeight="1" s="195">
      <c r="A325" s="334" t="n"/>
      <c r="B325" s="334" t="n"/>
      <c r="C325" s="334" t="n"/>
      <c r="D325" s="334" t="n"/>
      <c r="E325" s="334" t="n"/>
      <c r="F325" s="334" t="n"/>
      <c r="G325" s="334" t="n"/>
      <c r="H325" s="334" t="n"/>
      <c r="I325" s="332">
        <f>IFERROR(VLOOKUP(TEXT(H325,"0"),IPRESS!$A$3:$B$212,2,0),"")</f>
        <v/>
      </c>
      <c r="J325" s="334" t="n"/>
      <c r="K325" s="332">
        <f>IFERROR(VLOOKUP(TEXT(O325,"0"),CONDUCTORES!$A$3:$G$54,7,0),"")</f>
        <v/>
      </c>
      <c r="L325" s="334" t="n"/>
      <c r="M325" s="334" t="n"/>
      <c r="N325" s="333">
        <f>IFERROR(IF(L325*M325=0,"",L325*M325),"")</f>
        <v/>
      </c>
      <c r="O325" s="334" t="n"/>
      <c r="P325" s="332">
        <f>IFERROR(VLOOKUP(TEXT(O325,"0"),CONDUCTORES!$A$3:$G$54,2,0),"")</f>
        <v/>
      </c>
      <c r="Q325" s="332">
        <f>IFERROR(VLOOKUP(TEXT(O325,"0"),CONDUCTORES!$A$3:$H$54,6,0),"")</f>
        <v/>
      </c>
      <c r="R325" s="334" t="n"/>
      <c r="S325" s="334" t="n"/>
      <c r="T325" s="334" t="n"/>
      <c r="U325" s="334" t="n"/>
      <c r="V325" s="334" t="n"/>
      <c r="W325" s="334" t="n"/>
      <c r="X325" s="334" t="n"/>
      <c r="Y325" s="334" t="n"/>
    </row>
    <row r="326" ht="15" customHeight="1" s="195">
      <c r="A326" s="280" t="n"/>
      <c r="B326" s="280" t="n"/>
      <c r="C326" s="280" t="n"/>
      <c r="D326" s="280" t="n"/>
      <c r="E326" s="280" t="n"/>
      <c r="F326" s="280" t="n"/>
      <c r="G326" s="280" t="n"/>
      <c r="H326" s="280" t="n"/>
      <c r="I326" s="332">
        <f>IFERROR(VLOOKUP(TEXT(H326,"0"),IPRESS!$A$3:$B$212,2,0),"")</f>
        <v/>
      </c>
      <c r="J326" s="280" t="n"/>
      <c r="K326" s="332">
        <f>IFERROR(VLOOKUP(TEXT(O326,"0"),CONDUCTORES!$A$3:$G$54,7,0),"")</f>
        <v/>
      </c>
      <c r="L326" s="280" t="n"/>
      <c r="M326" s="280" t="n"/>
      <c r="N326" s="333">
        <f>IFERROR(IF(L326*M326=0,"",L326*M326),"")</f>
        <v/>
      </c>
      <c r="O326" s="280" t="n"/>
      <c r="P326" s="332">
        <f>IFERROR(VLOOKUP(TEXT(O326,"0"),CONDUCTORES!$A$3:$G$54,2,0),"")</f>
        <v/>
      </c>
      <c r="Q326" s="332">
        <f>IFERROR(VLOOKUP(TEXT(O326,"0"),CONDUCTORES!$A$3:$H$54,6,0),"")</f>
        <v/>
      </c>
      <c r="R326" s="280" t="n"/>
      <c r="S326" s="280" t="n"/>
      <c r="T326" s="280" t="n"/>
      <c r="U326" s="280" t="n"/>
      <c r="V326" s="280" t="n"/>
      <c r="W326" s="280" t="n"/>
      <c r="X326" s="280" t="n"/>
      <c r="Y326" s="280" t="n"/>
    </row>
    <row r="327" ht="15" customHeight="1" s="195">
      <c r="A327" s="334" t="n"/>
      <c r="B327" s="334" t="n"/>
      <c r="C327" s="334" t="n"/>
      <c r="D327" s="334" t="n"/>
      <c r="E327" s="334" t="n"/>
      <c r="F327" s="334" t="n"/>
      <c r="G327" s="334" t="n"/>
      <c r="H327" s="334" t="n"/>
      <c r="I327" s="332">
        <f>IFERROR(VLOOKUP(TEXT(H327,"0"),IPRESS!$A$3:$B$212,2,0),"")</f>
        <v/>
      </c>
      <c r="J327" s="334" t="n"/>
      <c r="K327" s="332">
        <f>IFERROR(VLOOKUP(TEXT(O327,"0"),CONDUCTORES!$A$3:$G$54,7,0),"")</f>
        <v/>
      </c>
      <c r="L327" s="334" t="n"/>
      <c r="M327" s="334" t="n"/>
      <c r="N327" s="333">
        <f>IFERROR(IF(L327*M327=0,"",L327*M327),"")</f>
        <v/>
      </c>
      <c r="O327" s="334" t="n"/>
      <c r="P327" s="332">
        <f>IFERROR(VLOOKUP(TEXT(O327,"0"),CONDUCTORES!$A$3:$G$54,2,0),"")</f>
        <v/>
      </c>
      <c r="Q327" s="332">
        <f>IFERROR(VLOOKUP(TEXT(O327,"0"),CONDUCTORES!$A$3:$H$54,6,0),"")</f>
        <v/>
      </c>
      <c r="R327" s="334" t="n"/>
      <c r="S327" s="334" t="n"/>
      <c r="T327" s="334" t="n"/>
      <c r="U327" s="334" t="n"/>
      <c r="V327" s="334" t="n"/>
      <c r="W327" s="334" t="n"/>
      <c r="X327" s="334" t="n"/>
      <c r="Y327" s="334" t="n"/>
    </row>
    <row r="328" ht="15" customHeight="1" s="195">
      <c r="A328" s="280" t="n"/>
      <c r="B328" s="280" t="n"/>
      <c r="C328" s="280" t="n"/>
      <c r="D328" s="280" t="n"/>
      <c r="E328" s="280" t="n"/>
      <c r="F328" s="280" t="n"/>
      <c r="G328" s="280" t="n"/>
      <c r="H328" s="280" t="n"/>
      <c r="I328" s="332">
        <f>IFERROR(VLOOKUP(TEXT(H328,"0"),IPRESS!$A$3:$B$212,2,0),"")</f>
        <v/>
      </c>
      <c r="J328" s="280" t="n"/>
      <c r="K328" s="332">
        <f>IFERROR(VLOOKUP(TEXT(O328,"0"),CONDUCTORES!$A$3:$G$54,7,0),"")</f>
        <v/>
      </c>
      <c r="L328" s="280" t="n"/>
      <c r="M328" s="280" t="n"/>
      <c r="N328" s="333">
        <f>IFERROR(IF(L328*M328=0,"",L328*M328),"")</f>
        <v/>
      </c>
      <c r="O328" s="280" t="n"/>
      <c r="P328" s="332">
        <f>IFERROR(VLOOKUP(TEXT(O328,"0"),CONDUCTORES!$A$3:$G$54,2,0),"")</f>
        <v/>
      </c>
      <c r="Q328" s="332">
        <f>IFERROR(VLOOKUP(TEXT(O328,"0"),CONDUCTORES!$A$3:$H$54,6,0),"")</f>
        <v/>
      </c>
      <c r="R328" s="280" t="n"/>
      <c r="S328" s="280" t="n"/>
      <c r="T328" s="280" t="n"/>
      <c r="U328" s="280" t="n"/>
      <c r="V328" s="280" t="n"/>
      <c r="W328" s="280" t="n"/>
      <c r="X328" s="280" t="n"/>
      <c r="Y328" s="280" t="n"/>
    </row>
    <row r="329" ht="15" customHeight="1" s="195">
      <c r="A329" s="334" t="n"/>
      <c r="B329" s="334" t="n"/>
      <c r="C329" s="334" t="n"/>
      <c r="D329" s="334" t="n"/>
      <c r="E329" s="334" t="n"/>
      <c r="F329" s="334" t="n"/>
      <c r="G329" s="334" t="n"/>
      <c r="H329" s="334" t="n"/>
      <c r="I329" s="332">
        <f>IFERROR(VLOOKUP(TEXT(H329,"0"),IPRESS!$A$3:$B$212,2,0),"")</f>
        <v/>
      </c>
      <c r="J329" s="334" t="n"/>
      <c r="K329" s="332">
        <f>IFERROR(VLOOKUP(TEXT(O329,"0"),CONDUCTORES!$A$3:$G$54,7,0),"")</f>
        <v/>
      </c>
      <c r="L329" s="334" t="n"/>
      <c r="M329" s="334" t="n"/>
      <c r="N329" s="333">
        <f>IFERROR(IF(L329*M329=0,"",L329*M329),"")</f>
        <v/>
      </c>
      <c r="O329" s="334" t="n"/>
      <c r="P329" s="332">
        <f>IFERROR(VLOOKUP(TEXT(O329,"0"),CONDUCTORES!$A$3:$G$54,2,0),"")</f>
        <v/>
      </c>
      <c r="Q329" s="332">
        <f>IFERROR(VLOOKUP(TEXT(O329,"0"),CONDUCTORES!$A$3:$H$54,6,0),"")</f>
        <v/>
      </c>
      <c r="R329" s="334" t="n"/>
      <c r="S329" s="334" t="n"/>
      <c r="T329" s="334" t="n"/>
      <c r="U329" s="334" t="n"/>
      <c r="V329" s="334" t="n"/>
      <c r="W329" s="334" t="n"/>
      <c r="X329" s="334" t="n"/>
      <c r="Y329" s="334" t="n"/>
    </row>
    <row r="330" ht="15" customHeight="1" s="195">
      <c r="A330" s="280" t="n"/>
      <c r="B330" s="280" t="n"/>
      <c r="C330" s="280" t="n"/>
      <c r="D330" s="280" t="n"/>
      <c r="E330" s="280" t="n"/>
      <c r="F330" s="280" t="n"/>
      <c r="G330" s="280" t="n"/>
      <c r="H330" s="280" t="n"/>
      <c r="I330" s="332">
        <f>IFERROR(VLOOKUP(TEXT(H330,"0"),IPRESS!$A$3:$B$212,2,0),"")</f>
        <v/>
      </c>
      <c r="J330" s="280" t="n"/>
      <c r="K330" s="332">
        <f>IFERROR(VLOOKUP(TEXT(O330,"0"),CONDUCTORES!$A$3:$G$54,7,0),"")</f>
        <v/>
      </c>
      <c r="L330" s="280" t="n"/>
      <c r="M330" s="280" t="n"/>
      <c r="N330" s="333">
        <f>IFERROR(IF(L330*M330=0,"",L330*M330),"")</f>
        <v/>
      </c>
      <c r="O330" s="280" t="n"/>
      <c r="P330" s="332">
        <f>IFERROR(VLOOKUP(TEXT(O330,"0"),CONDUCTORES!$A$3:$G$54,2,0),"")</f>
        <v/>
      </c>
      <c r="Q330" s="332">
        <f>IFERROR(VLOOKUP(TEXT(O330,"0"),CONDUCTORES!$A$3:$H$54,6,0),"")</f>
        <v/>
      </c>
      <c r="R330" s="280" t="n"/>
      <c r="S330" s="280" t="n"/>
      <c r="T330" s="280" t="n"/>
      <c r="U330" s="280" t="n"/>
      <c r="V330" s="280" t="n"/>
      <c r="W330" s="280" t="n"/>
      <c r="X330" s="280" t="n"/>
      <c r="Y330" s="280" t="n"/>
    </row>
    <row r="331" ht="15" customHeight="1" s="195">
      <c r="A331" s="334" t="n"/>
      <c r="B331" s="334" t="n"/>
      <c r="C331" s="334" t="n"/>
      <c r="D331" s="334" t="n"/>
      <c r="E331" s="334" t="n"/>
      <c r="F331" s="334" t="n"/>
      <c r="G331" s="334" t="n"/>
      <c r="H331" s="334" t="n"/>
      <c r="I331" s="332">
        <f>IFERROR(VLOOKUP(TEXT(H331,"0"),IPRESS!$A$3:$B$212,2,0),"")</f>
        <v/>
      </c>
      <c r="J331" s="334" t="n"/>
      <c r="K331" s="332">
        <f>IFERROR(VLOOKUP(TEXT(O331,"0"),CONDUCTORES!$A$3:$G$54,7,0),"")</f>
        <v/>
      </c>
      <c r="L331" s="334" t="n"/>
      <c r="M331" s="334" t="n"/>
      <c r="N331" s="333">
        <f>IFERROR(IF(L331*M331=0,"",L331*M331),"")</f>
        <v/>
      </c>
      <c r="O331" s="334" t="n"/>
      <c r="P331" s="332">
        <f>IFERROR(VLOOKUP(TEXT(O331,"0"),CONDUCTORES!$A$3:$G$54,2,0),"")</f>
        <v/>
      </c>
      <c r="Q331" s="332">
        <f>IFERROR(VLOOKUP(TEXT(O331,"0"),CONDUCTORES!$A$3:$H$54,6,0),"")</f>
        <v/>
      </c>
      <c r="R331" s="334" t="n"/>
      <c r="S331" s="334" t="n"/>
      <c r="T331" s="334" t="n"/>
      <c r="U331" s="334" t="n"/>
      <c r="V331" s="334" t="n"/>
      <c r="W331" s="334" t="n"/>
      <c r="X331" s="334" t="n"/>
      <c r="Y331" s="334" t="n"/>
    </row>
    <row r="332" ht="15" customHeight="1" s="195">
      <c r="A332" s="280" t="n"/>
      <c r="B332" s="280" t="n"/>
      <c r="C332" s="280" t="n"/>
      <c r="D332" s="280" t="n"/>
      <c r="E332" s="280" t="n"/>
      <c r="F332" s="280" t="n"/>
      <c r="G332" s="280" t="n"/>
      <c r="H332" s="280" t="n"/>
      <c r="I332" s="332">
        <f>IFERROR(VLOOKUP(TEXT(H332,"0"),IPRESS!$A$3:$B$212,2,0),"")</f>
        <v/>
      </c>
      <c r="J332" s="280" t="n"/>
      <c r="K332" s="332">
        <f>IFERROR(VLOOKUP(TEXT(O332,"0"),CONDUCTORES!$A$3:$G$54,7,0),"")</f>
        <v/>
      </c>
      <c r="L332" s="280" t="n"/>
      <c r="M332" s="280" t="n"/>
      <c r="N332" s="333">
        <f>IFERROR(IF(L332*M332=0,"",L332*M332),"")</f>
        <v/>
      </c>
      <c r="O332" s="280" t="n"/>
      <c r="P332" s="332">
        <f>IFERROR(VLOOKUP(TEXT(O332,"0"),CONDUCTORES!$A$3:$G$54,2,0),"")</f>
        <v/>
      </c>
      <c r="Q332" s="332">
        <f>IFERROR(VLOOKUP(TEXT(O332,"0"),CONDUCTORES!$A$3:$H$54,6,0),"")</f>
        <v/>
      </c>
      <c r="R332" s="280" t="n"/>
      <c r="S332" s="280" t="n"/>
      <c r="T332" s="280" t="n"/>
      <c r="U332" s="280" t="n"/>
      <c r="V332" s="280" t="n"/>
      <c r="W332" s="280" t="n"/>
      <c r="X332" s="280" t="n"/>
      <c r="Y332" s="280" t="n"/>
    </row>
    <row r="333" ht="15" customHeight="1" s="195">
      <c r="A333" s="334" t="n"/>
      <c r="B333" s="334" t="n"/>
      <c r="C333" s="334" t="n"/>
      <c r="D333" s="334" t="n"/>
      <c r="E333" s="334" t="n"/>
      <c r="F333" s="334" t="n"/>
      <c r="G333" s="334" t="n"/>
      <c r="H333" s="334" t="n"/>
      <c r="I333" s="332">
        <f>IFERROR(VLOOKUP(TEXT(H333,"0"),IPRESS!$A$3:$B$212,2,0),"")</f>
        <v/>
      </c>
      <c r="J333" s="334" t="n"/>
      <c r="K333" s="332">
        <f>IFERROR(VLOOKUP(TEXT(O333,"0"),CONDUCTORES!$A$3:$G$54,7,0),"")</f>
        <v/>
      </c>
      <c r="L333" s="334" t="n"/>
      <c r="M333" s="334" t="n"/>
      <c r="N333" s="333">
        <f>IFERROR(IF(L333*M333=0,"",L333*M333),"")</f>
        <v/>
      </c>
      <c r="O333" s="334" t="n"/>
      <c r="P333" s="332">
        <f>IFERROR(VLOOKUP(TEXT(O333,"0"),CONDUCTORES!$A$3:$G$54,2,0),"")</f>
        <v/>
      </c>
      <c r="Q333" s="332">
        <f>IFERROR(VLOOKUP(TEXT(O333,"0"),CONDUCTORES!$A$3:$H$54,6,0),"")</f>
        <v/>
      </c>
      <c r="R333" s="334" t="n"/>
      <c r="S333" s="334" t="n"/>
      <c r="T333" s="334" t="n"/>
      <c r="U333" s="334" t="n"/>
      <c r="V333" s="334" t="n"/>
      <c r="W333" s="334" t="n"/>
      <c r="X333" s="334" t="n"/>
      <c r="Y333" s="334" t="n"/>
    </row>
    <row r="334" ht="15" customHeight="1" s="195">
      <c r="A334" s="280" t="n"/>
      <c r="B334" s="280" t="n"/>
      <c r="C334" s="280" t="n"/>
      <c r="D334" s="280" t="n"/>
      <c r="E334" s="280" t="n"/>
      <c r="F334" s="280" t="n"/>
      <c r="G334" s="280" t="n"/>
      <c r="H334" s="280" t="n"/>
      <c r="I334" s="332">
        <f>IFERROR(VLOOKUP(TEXT(H334,"0"),IPRESS!$A$3:$B$212,2,0),"")</f>
        <v/>
      </c>
      <c r="J334" s="280" t="n"/>
      <c r="K334" s="332">
        <f>IFERROR(VLOOKUP(TEXT(O334,"0"),CONDUCTORES!$A$3:$G$54,7,0),"")</f>
        <v/>
      </c>
      <c r="L334" s="280" t="n"/>
      <c r="M334" s="280" t="n"/>
      <c r="N334" s="333">
        <f>IFERROR(IF(L334*M334=0,"",L334*M334),"")</f>
        <v/>
      </c>
      <c r="O334" s="280" t="n"/>
      <c r="P334" s="332">
        <f>IFERROR(VLOOKUP(TEXT(O334,"0"),CONDUCTORES!$A$3:$G$54,2,0),"")</f>
        <v/>
      </c>
      <c r="Q334" s="332">
        <f>IFERROR(VLOOKUP(TEXT(O334,"0"),CONDUCTORES!$A$3:$H$54,6,0),"")</f>
        <v/>
      </c>
      <c r="R334" s="280" t="n"/>
      <c r="S334" s="280" t="n"/>
      <c r="T334" s="280" t="n"/>
      <c r="U334" s="280" t="n"/>
      <c r="V334" s="280" t="n"/>
      <c r="W334" s="280" t="n"/>
      <c r="X334" s="280" t="n"/>
      <c r="Y334" s="280" t="n"/>
    </row>
    <row r="335" ht="15" customHeight="1" s="195">
      <c r="A335" s="334" t="n"/>
      <c r="B335" s="334" t="n"/>
      <c r="C335" s="334" t="n"/>
      <c r="D335" s="334" t="n"/>
      <c r="E335" s="334" t="n"/>
      <c r="F335" s="334" t="n"/>
      <c r="G335" s="334" t="n"/>
      <c r="H335" s="334" t="n"/>
      <c r="I335" s="332">
        <f>IFERROR(VLOOKUP(TEXT(H335,"0"),IPRESS!$A$3:$B$212,2,0),"")</f>
        <v/>
      </c>
      <c r="J335" s="334" t="n"/>
      <c r="K335" s="332">
        <f>IFERROR(VLOOKUP(TEXT(O335,"0"),CONDUCTORES!$A$3:$G$54,7,0),"")</f>
        <v/>
      </c>
      <c r="L335" s="334" t="n"/>
      <c r="M335" s="334" t="n"/>
      <c r="N335" s="333">
        <f>IFERROR(IF(L335*M335=0,"",L335*M335),"")</f>
        <v/>
      </c>
      <c r="O335" s="334" t="n"/>
      <c r="P335" s="332">
        <f>IFERROR(VLOOKUP(TEXT(O335,"0"),CONDUCTORES!$A$3:$G$54,2,0),"")</f>
        <v/>
      </c>
      <c r="Q335" s="332">
        <f>IFERROR(VLOOKUP(TEXT(O335,"0"),CONDUCTORES!$A$3:$H$54,6,0),"")</f>
        <v/>
      </c>
      <c r="R335" s="334" t="n"/>
      <c r="S335" s="334" t="n"/>
      <c r="T335" s="334" t="n"/>
      <c r="U335" s="334" t="n"/>
      <c r="V335" s="334" t="n"/>
      <c r="W335" s="334" t="n"/>
      <c r="X335" s="334" t="n"/>
      <c r="Y335" s="334" t="n"/>
    </row>
    <row r="336" ht="15" customHeight="1" s="195">
      <c r="A336" s="280" t="n"/>
      <c r="B336" s="280" t="n"/>
      <c r="C336" s="280" t="n"/>
      <c r="D336" s="280" t="n"/>
      <c r="E336" s="280" t="n"/>
      <c r="F336" s="280" t="n"/>
      <c r="G336" s="280" t="n"/>
      <c r="H336" s="280" t="n"/>
      <c r="I336" s="332">
        <f>IFERROR(VLOOKUP(TEXT(H336,"0"),IPRESS!$A$3:$B$212,2,0),"")</f>
        <v/>
      </c>
      <c r="J336" s="280" t="n"/>
      <c r="K336" s="332">
        <f>IFERROR(VLOOKUP(TEXT(O336,"0"),CONDUCTORES!$A$3:$G$54,7,0),"")</f>
        <v/>
      </c>
      <c r="L336" s="280" t="n"/>
      <c r="M336" s="280" t="n"/>
      <c r="N336" s="333">
        <f>IFERROR(IF(L336*M336=0,"",L336*M336),"")</f>
        <v/>
      </c>
      <c r="O336" s="280" t="n"/>
      <c r="P336" s="332">
        <f>IFERROR(VLOOKUP(TEXT(O336,"0"),CONDUCTORES!$A$3:$G$54,2,0),"")</f>
        <v/>
      </c>
      <c r="Q336" s="332">
        <f>IFERROR(VLOOKUP(TEXT(O336,"0"),CONDUCTORES!$A$3:$H$54,6,0),"")</f>
        <v/>
      </c>
      <c r="R336" s="280" t="n"/>
      <c r="S336" s="280" t="n"/>
      <c r="T336" s="280" t="n"/>
      <c r="U336" s="280" t="n"/>
      <c r="V336" s="280" t="n"/>
      <c r="W336" s="280" t="n"/>
      <c r="X336" s="280" t="n"/>
      <c r="Y336" s="280" t="n"/>
    </row>
    <row r="337" ht="15" customHeight="1" s="195">
      <c r="A337" s="334" t="n"/>
      <c r="B337" s="334" t="n"/>
      <c r="C337" s="334" t="n"/>
      <c r="D337" s="334" t="n"/>
      <c r="E337" s="334" t="n"/>
      <c r="F337" s="334" t="n"/>
      <c r="G337" s="334" t="n"/>
      <c r="H337" s="334" t="n"/>
      <c r="I337" s="332">
        <f>IFERROR(VLOOKUP(TEXT(H337,"0"),IPRESS!$A$3:$B$212,2,0),"")</f>
        <v/>
      </c>
      <c r="J337" s="334" t="n"/>
      <c r="K337" s="332">
        <f>IFERROR(VLOOKUP(TEXT(O337,"0"),CONDUCTORES!$A$3:$G$54,7,0),"")</f>
        <v/>
      </c>
      <c r="L337" s="334" t="n"/>
      <c r="M337" s="334" t="n"/>
      <c r="N337" s="333">
        <f>IFERROR(IF(L337*M337=0,"",L337*M337),"")</f>
        <v/>
      </c>
      <c r="O337" s="334" t="n"/>
      <c r="P337" s="332">
        <f>IFERROR(VLOOKUP(TEXT(O337,"0"),CONDUCTORES!$A$3:$G$54,2,0),"")</f>
        <v/>
      </c>
      <c r="Q337" s="332">
        <f>IFERROR(VLOOKUP(TEXT(O337,"0"),CONDUCTORES!$A$3:$H$54,6,0),"")</f>
        <v/>
      </c>
      <c r="R337" s="334" t="n"/>
      <c r="S337" s="334" t="n"/>
      <c r="T337" s="334" t="n"/>
      <c r="U337" s="334" t="n"/>
      <c r="V337" s="334" t="n"/>
      <c r="W337" s="334" t="n"/>
      <c r="X337" s="334" t="n"/>
      <c r="Y337" s="334" t="n"/>
    </row>
    <row r="338" ht="15" customHeight="1" s="195">
      <c r="A338" s="280" t="n"/>
      <c r="B338" s="280" t="n"/>
      <c r="C338" s="280" t="n"/>
      <c r="D338" s="280" t="n"/>
      <c r="E338" s="280" t="n"/>
      <c r="F338" s="280" t="n"/>
      <c r="G338" s="280" t="n"/>
      <c r="H338" s="280" t="n"/>
      <c r="I338" s="332">
        <f>IFERROR(VLOOKUP(TEXT(H338,"0"),IPRESS!$A$3:$B$212,2,0),"")</f>
        <v/>
      </c>
      <c r="J338" s="280" t="n"/>
      <c r="K338" s="332">
        <f>IFERROR(VLOOKUP(TEXT(O338,"0"),CONDUCTORES!$A$3:$G$54,7,0),"")</f>
        <v/>
      </c>
      <c r="L338" s="280" t="n"/>
      <c r="M338" s="280" t="n"/>
      <c r="N338" s="333">
        <f>IFERROR(IF(L338*M338=0,"",L338*M338),"")</f>
        <v/>
      </c>
      <c r="O338" s="280" t="n"/>
      <c r="P338" s="332">
        <f>IFERROR(VLOOKUP(TEXT(O338,"0"),CONDUCTORES!$A$3:$G$54,2,0),"")</f>
        <v/>
      </c>
      <c r="Q338" s="332">
        <f>IFERROR(VLOOKUP(TEXT(O338,"0"),CONDUCTORES!$A$3:$H$54,6,0),"")</f>
        <v/>
      </c>
      <c r="R338" s="280" t="n"/>
      <c r="S338" s="280" t="n"/>
      <c r="T338" s="280" t="n"/>
      <c r="U338" s="280" t="n"/>
      <c r="V338" s="280" t="n"/>
      <c r="W338" s="280" t="n"/>
      <c r="X338" s="280" t="n"/>
      <c r="Y338" s="280" t="n"/>
    </row>
    <row r="339" ht="15" customHeight="1" s="195">
      <c r="A339" s="334" t="n"/>
      <c r="B339" s="334" t="n"/>
      <c r="C339" s="334" t="n"/>
      <c r="D339" s="334" t="n"/>
      <c r="E339" s="334" t="n"/>
      <c r="F339" s="334" t="n"/>
      <c r="G339" s="334" t="n"/>
      <c r="H339" s="334" t="n"/>
      <c r="I339" s="332">
        <f>IFERROR(VLOOKUP(TEXT(H339,"0"),IPRESS!$A$3:$B$212,2,0),"")</f>
        <v/>
      </c>
      <c r="J339" s="334" t="n"/>
      <c r="K339" s="332">
        <f>IFERROR(VLOOKUP(TEXT(O339,"0"),CONDUCTORES!$A$3:$G$54,7,0),"")</f>
        <v/>
      </c>
      <c r="L339" s="334" t="n"/>
      <c r="M339" s="334" t="n"/>
      <c r="N339" s="333">
        <f>IFERROR(IF(L339*M339=0,"",L339*M339),"")</f>
        <v/>
      </c>
      <c r="O339" s="334" t="n"/>
      <c r="P339" s="332">
        <f>IFERROR(VLOOKUP(TEXT(O339,"0"),CONDUCTORES!$A$3:$G$54,2,0),"")</f>
        <v/>
      </c>
      <c r="Q339" s="332">
        <f>IFERROR(VLOOKUP(TEXT(O339,"0"),CONDUCTORES!$A$3:$H$54,6,0),"")</f>
        <v/>
      </c>
      <c r="R339" s="334" t="n"/>
      <c r="S339" s="334" t="n"/>
      <c r="T339" s="334" t="n"/>
      <c r="U339" s="334" t="n"/>
      <c r="V339" s="334" t="n"/>
      <c r="W339" s="334" t="n"/>
      <c r="X339" s="334" t="n"/>
      <c r="Y339" s="334" t="n"/>
    </row>
    <row r="340" ht="15" customHeight="1" s="195">
      <c r="A340" s="280" t="n"/>
      <c r="B340" s="280" t="n"/>
      <c r="C340" s="280" t="n"/>
      <c r="D340" s="280" t="n"/>
      <c r="E340" s="280" t="n"/>
      <c r="F340" s="280" t="n"/>
      <c r="G340" s="280" t="n"/>
      <c r="H340" s="280" t="n"/>
      <c r="I340" s="332">
        <f>IFERROR(VLOOKUP(TEXT(H340,"0"),IPRESS!$A$3:$B$212,2,0),"")</f>
        <v/>
      </c>
      <c r="J340" s="280" t="n"/>
      <c r="K340" s="332">
        <f>IFERROR(VLOOKUP(TEXT(O340,"0"),CONDUCTORES!$A$3:$G$54,7,0),"")</f>
        <v/>
      </c>
      <c r="L340" s="280" t="n"/>
      <c r="M340" s="280" t="n"/>
      <c r="N340" s="333">
        <f>IFERROR(IF(L340*M340=0,"",L340*M340),"")</f>
        <v/>
      </c>
      <c r="O340" s="280" t="n"/>
      <c r="P340" s="332">
        <f>IFERROR(VLOOKUP(TEXT(O340,"0"),CONDUCTORES!$A$3:$G$54,2,0),"")</f>
        <v/>
      </c>
      <c r="Q340" s="332">
        <f>IFERROR(VLOOKUP(TEXT(O340,"0"),CONDUCTORES!$A$3:$H$54,6,0),"")</f>
        <v/>
      </c>
      <c r="R340" s="280" t="n"/>
      <c r="S340" s="280" t="n"/>
      <c r="T340" s="280" t="n"/>
      <c r="U340" s="280" t="n"/>
      <c r="V340" s="280" t="n"/>
      <c r="W340" s="280" t="n"/>
      <c r="X340" s="280" t="n"/>
      <c r="Y340" s="280" t="n"/>
    </row>
    <row r="341" ht="15" customHeight="1" s="195">
      <c r="A341" s="334" t="n"/>
      <c r="B341" s="334" t="n"/>
      <c r="C341" s="334" t="n"/>
      <c r="D341" s="334" t="n"/>
      <c r="E341" s="334" t="n"/>
      <c r="F341" s="334" t="n"/>
      <c r="G341" s="334" t="n"/>
      <c r="H341" s="334" t="n"/>
      <c r="I341" s="332">
        <f>IFERROR(VLOOKUP(TEXT(H341,"0"),IPRESS!$A$3:$B$212,2,0),"")</f>
        <v/>
      </c>
      <c r="J341" s="334" t="n"/>
      <c r="K341" s="332">
        <f>IFERROR(VLOOKUP(TEXT(O341,"0"),CONDUCTORES!$A$3:$G$54,7,0),"")</f>
        <v/>
      </c>
      <c r="L341" s="334" t="n"/>
      <c r="M341" s="334" t="n"/>
      <c r="N341" s="333">
        <f>IFERROR(IF(L341*M341=0,"",L341*M341),"")</f>
        <v/>
      </c>
      <c r="O341" s="334" t="n"/>
      <c r="P341" s="332">
        <f>IFERROR(VLOOKUP(TEXT(O341,"0"),CONDUCTORES!$A$3:$G$54,2,0),"")</f>
        <v/>
      </c>
      <c r="Q341" s="332">
        <f>IFERROR(VLOOKUP(TEXT(O341,"0"),CONDUCTORES!$A$3:$H$54,6,0),"")</f>
        <v/>
      </c>
      <c r="R341" s="334" t="n"/>
      <c r="S341" s="334" t="n"/>
      <c r="T341" s="334" t="n"/>
      <c r="U341" s="334" t="n"/>
      <c r="V341" s="334" t="n"/>
      <c r="W341" s="334" t="n"/>
      <c r="X341" s="334" t="n"/>
      <c r="Y341" s="334" t="n"/>
    </row>
    <row r="342" ht="15" customHeight="1" s="195">
      <c r="A342" s="280" t="n"/>
      <c r="B342" s="280" t="n"/>
      <c r="C342" s="280" t="n"/>
      <c r="D342" s="280" t="n"/>
      <c r="E342" s="280" t="n"/>
      <c r="F342" s="280" t="n"/>
      <c r="G342" s="280" t="n"/>
      <c r="H342" s="280" t="n"/>
      <c r="I342" s="332">
        <f>IFERROR(VLOOKUP(TEXT(H342,"0"),IPRESS!$A$3:$B$212,2,0),"")</f>
        <v/>
      </c>
      <c r="J342" s="280" t="n"/>
      <c r="K342" s="332">
        <f>IFERROR(VLOOKUP(TEXT(O342,"0"),CONDUCTORES!$A$3:$G$54,7,0),"")</f>
        <v/>
      </c>
      <c r="L342" s="280" t="n"/>
      <c r="M342" s="280" t="n"/>
      <c r="N342" s="333">
        <f>IFERROR(IF(L342*M342=0,"",L342*M342),"")</f>
        <v/>
      </c>
      <c r="O342" s="280" t="n"/>
      <c r="P342" s="332">
        <f>IFERROR(VLOOKUP(TEXT(O342,"0"),CONDUCTORES!$A$3:$G$54,2,0),"")</f>
        <v/>
      </c>
      <c r="Q342" s="332">
        <f>IFERROR(VLOOKUP(TEXT(O342,"0"),CONDUCTORES!$A$3:$H$54,6,0),"")</f>
        <v/>
      </c>
      <c r="R342" s="280" t="n"/>
      <c r="S342" s="280" t="n"/>
      <c r="T342" s="280" t="n"/>
      <c r="U342" s="280" t="n"/>
      <c r="V342" s="280" t="n"/>
      <c r="W342" s="280" t="n"/>
      <c r="X342" s="280" t="n"/>
      <c r="Y342" s="280" t="n"/>
    </row>
    <row r="343" ht="15" customHeight="1" s="195">
      <c r="A343" s="334" t="n"/>
      <c r="B343" s="334" t="n"/>
      <c r="C343" s="334" t="n"/>
      <c r="D343" s="334" t="n"/>
      <c r="E343" s="334" t="n"/>
      <c r="F343" s="334" t="n"/>
      <c r="G343" s="334" t="n"/>
      <c r="H343" s="334" t="n"/>
      <c r="I343" s="332">
        <f>IFERROR(VLOOKUP(TEXT(H343,"0"),IPRESS!$A$3:$B$212,2,0),"")</f>
        <v/>
      </c>
      <c r="J343" s="334" t="n"/>
      <c r="K343" s="332">
        <f>IFERROR(VLOOKUP(TEXT(O343,"0"),CONDUCTORES!$A$3:$G$54,7,0),"")</f>
        <v/>
      </c>
      <c r="L343" s="334" t="n"/>
      <c r="M343" s="334" t="n"/>
      <c r="N343" s="333">
        <f>IFERROR(IF(L343*M343=0,"",L343*M343),"")</f>
        <v/>
      </c>
      <c r="O343" s="334" t="n"/>
      <c r="P343" s="332">
        <f>IFERROR(VLOOKUP(TEXT(O343,"0"),CONDUCTORES!$A$3:$G$54,2,0),"")</f>
        <v/>
      </c>
      <c r="Q343" s="332">
        <f>IFERROR(VLOOKUP(TEXT(O343,"0"),CONDUCTORES!$A$3:$H$54,6,0),"")</f>
        <v/>
      </c>
      <c r="R343" s="334" t="n"/>
      <c r="S343" s="334" t="n"/>
      <c r="T343" s="334" t="n"/>
      <c r="U343" s="334" t="n"/>
      <c r="V343" s="334" t="n"/>
      <c r="W343" s="334" t="n"/>
      <c r="X343" s="334" t="n"/>
      <c r="Y343" s="334" t="n"/>
    </row>
    <row r="344" ht="15" customHeight="1" s="195">
      <c r="A344" s="280" t="n"/>
      <c r="B344" s="280" t="n"/>
      <c r="C344" s="280" t="n"/>
      <c r="D344" s="280" t="n"/>
      <c r="E344" s="280" t="n"/>
      <c r="F344" s="280" t="n"/>
      <c r="G344" s="280" t="n"/>
      <c r="H344" s="280" t="n"/>
      <c r="I344" s="332">
        <f>IFERROR(VLOOKUP(TEXT(H344,"0"),IPRESS!$A$3:$B$212,2,0),"")</f>
        <v/>
      </c>
      <c r="J344" s="280" t="n"/>
      <c r="K344" s="332">
        <f>IFERROR(VLOOKUP(TEXT(O344,"0"),CONDUCTORES!$A$3:$G$54,7,0),"")</f>
        <v/>
      </c>
      <c r="L344" s="280" t="n"/>
      <c r="M344" s="280" t="n"/>
      <c r="N344" s="333">
        <f>IFERROR(IF(L344*M344=0,"",L344*M344),"")</f>
        <v/>
      </c>
      <c r="O344" s="280" t="n"/>
      <c r="P344" s="332">
        <f>IFERROR(VLOOKUP(TEXT(O344,"0"),CONDUCTORES!$A$3:$G$54,2,0),"")</f>
        <v/>
      </c>
      <c r="Q344" s="332">
        <f>IFERROR(VLOOKUP(TEXT(O344,"0"),CONDUCTORES!$A$3:$H$54,6,0),"")</f>
        <v/>
      </c>
      <c r="R344" s="280" t="n"/>
      <c r="S344" s="280" t="n"/>
      <c r="T344" s="280" t="n"/>
      <c r="U344" s="280" t="n"/>
      <c r="V344" s="280" t="n"/>
      <c r="W344" s="280" t="n"/>
      <c r="X344" s="280" t="n"/>
      <c r="Y344" s="280" t="n"/>
    </row>
    <row r="345" ht="15" customHeight="1" s="195">
      <c r="A345" s="334" t="n"/>
      <c r="B345" s="334" t="n"/>
      <c r="C345" s="334" t="n"/>
      <c r="D345" s="334" t="n"/>
      <c r="E345" s="334" t="n"/>
      <c r="F345" s="334" t="n"/>
      <c r="G345" s="334" t="n"/>
      <c r="H345" s="334" t="n"/>
      <c r="I345" s="332">
        <f>IFERROR(VLOOKUP(TEXT(H345,"0"),IPRESS!$A$3:$B$212,2,0),"")</f>
        <v/>
      </c>
      <c r="J345" s="334" t="n"/>
      <c r="K345" s="332">
        <f>IFERROR(VLOOKUP(TEXT(O345,"0"),CONDUCTORES!$A$3:$G$54,7,0),"")</f>
        <v/>
      </c>
      <c r="L345" s="334" t="n"/>
      <c r="M345" s="334" t="n"/>
      <c r="N345" s="333">
        <f>IFERROR(IF(L345*M345=0,"",L345*M345),"")</f>
        <v/>
      </c>
      <c r="O345" s="334" t="n"/>
      <c r="P345" s="332">
        <f>IFERROR(VLOOKUP(TEXT(O345,"0"),CONDUCTORES!$A$3:$G$54,2,0),"")</f>
        <v/>
      </c>
      <c r="Q345" s="332">
        <f>IFERROR(VLOOKUP(TEXT(O345,"0"),CONDUCTORES!$A$3:$H$54,6,0),"")</f>
        <v/>
      </c>
      <c r="R345" s="334" t="n"/>
      <c r="S345" s="334" t="n"/>
      <c r="T345" s="334" t="n"/>
      <c r="U345" s="334" t="n"/>
      <c r="V345" s="334" t="n"/>
      <c r="W345" s="334" t="n"/>
      <c r="X345" s="334" t="n"/>
      <c r="Y345" s="334" t="n"/>
    </row>
    <row r="346" ht="15" customHeight="1" s="195">
      <c r="A346" s="280" t="n"/>
      <c r="B346" s="280" t="n"/>
      <c r="C346" s="280" t="n"/>
      <c r="D346" s="280" t="n"/>
      <c r="E346" s="280" t="n"/>
      <c r="F346" s="280" t="n"/>
      <c r="G346" s="280" t="n"/>
      <c r="H346" s="280" t="n"/>
      <c r="I346" s="332">
        <f>IFERROR(VLOOKUP(TEXT(H346,"0"),IPRESS!$A$3:$B$212,2,0),"")</f>
        <v/>
      </c>
      <c r="J346" s="280" t="n"/>
      <c r="K346" s="332">
        <f>IFERROR(VLOOKUP(TEXT(O346,"0"),CONDUCTORES!$A$3:$G$54,7,0),"")</f>
        <v/>
      </c>
      <c r="L346" s="280" t="n"/>
      <c r="M346" s="280" t="n"/>
      <c r="N346" s="333">
        <f>IFERROR(IF(L346*M346=0,"",L346*M346),"")</f>
        <v/>
      </c>
      <c r="O346" s="280" t="n"/>
      <c r="P346" s="332">
        <f>IFERROR(VLOOKUP(TEXT(O346,"0"),CONDUCTORES!$A$3:$G$54,2,0),"")</f>
        <v/>
      </c>
      <c r="Q346" s="332">
        <f>IFERROR(VLOOKUP(TEXT(O346,"0"),CONDUCTORES!$A$3:$H$54,6,0),"")</f>
        <v/>
      </c>
      <c r="R346" s="280" t="n"/>
      <c r="S346" s="280" t="n"/>
      <c r="T346" s="280" t="n"/>
      <c r="U346" s="280" t="n"/>
      <c r="V346" s="280" t="n"/>
      <c r="W346" s="280" t="n"/>
      <c r="X346" s="280" t="n"/>
      <c r="Y346" s="280" t="n"/>
    </row>
    <row r="347" ht="15" customHeight="1" s="195">
      <c r="A347" s="334" t="n"/>
      <c r="B347" s="334" t="n"/>
      <c r="C347" s="334" t="n"/>
      <c r="D347" s="334" t="n"/>
      <c r="E347" s="334" t="n"/>
      <c r="F347" s="334" t="n"/>
      <c r="G347" s="334" t="n"/>
      <c r="H347" s="334" t="n"/>
      <c r="I347" s="332">
        <f>IFERROR(VLOOKUP(TEXT(H347,"0"),IPRESS!$A$3:$B$212,2,0),"")</f>
        <v/>
      </c>
      <c r="J347" s="334" t="n"/>
      <c r="K347" s="332">
        <f>IFERROR(VLOOKUP(TEXT(O347,"0"),CONDUCTORES!$A$3:$G$54,7,0),"")</f>
        <v/>
      </c>
      <c r="L347" s="334" t="n"/>
      <c r="M347" s="334" t="n"/>
      <c r="N347" s="333">
        <f>IFERROR(IF(L347*M347=0,"",L347*M347),"")</f>
        <v/>
      </c>
      <c r="O347" s="334" t="n"/>
      <c r="P347" s="332">
        <f>IFERROR(VLOOKUP(TEXT(O347,"0"),CONDUCTORES!$A$3:$G$54,2,0),"")</f>
        <v/>
      </c>
      <c r="Q347" s="332">
        <f>IFERROR(VLOOKUP(TEXT(O347,"0"),CONDUCTORES!$A$3:$H$54,6,0),"")</f>
        <v/>
      </c>
      <c r="R347" s="334" t="n"/>
      <c r="S347" s="334" t="n"/>
      <c r="T347" s="334" t="n"/>
      <c r="U347" s="334" t="n"/>
      <c r="V347" s="334" t="n"/>
      <c r="W347" s="334" t="n"/>
      <c r="X347" s="334" t="n"/>
      <c r="Y347" s="334" t="n"/>
    </row>
    <row r="348" ht="15" customHeight="1" s="195">
      <c r="A348" s="280" t="n"/>
      <c r="B348" s="280" t="n"/>
      <c r="C348" s="280" t="n"/>
      <c r="D348" s="280" t="n"/>
      <c r="E348" s="280" t="n"/>
      <c r="F348" s="280" t="n"/>
      <c r="G348" s="280" t="n"/>
      <c r="H348" s="280" t="n"/>
      <c r="I348" s="332">
        <f>IFERROR(VLOOKUP(TEXT(H348,"0"),IPRESS!$A$3:$B$212,2,0),"")</f>
        <v/>
      </c>
      <c r="J348" s="280" t="n"/>
      <c r="K348" s="332">
        <f>IFERROR(VLOOKUP(TEXT(O348,"0"),CONDUCTORES!$A$3:$G$54,7,0),"")</f>
        <v/>
      </c>
      <c r="L348" s="280" t="n"/>
      <c r="M348" s="280" t="n"/>
      <c r="N348" s="333">
        <f>IFERROR(IF(L348*M348=0,"",L348*M348),"")</f>
        <v/>
      </c>
      <c r="O348" s="280" t="n"/>
      <c r="P348" s="332">
        <f>IFERROR(VLOOKUP(TEXT(O348,"0"),CONDUCTORES!$A$3:$G$54,2,0),"")</f>
        <v/>
      </c>
      <c r="Q348" s="332">
        <f>IFERROR(VLOOKUP(TEXT(O348,"0"),CONDUCTORES!$A$3:$H$54,6,0),"")</f>
        <v/>
      </c>
      <c r="R348" s="280" t="n"/>
      <c r="S348" s="280" t="n"/>
      <c r="T348" s="280" t="n"/>
      <c r="U348" s="280" t="n"/>
      <c r="V348" s="280" t="n"/>
      <c r="W348" s="280" t="n"/>
      <c r="X348" s="280" t="n"/>
      <c r="Y348" s="280" t="n"/>
    </row>
    <row r="349" ht="15" customHeight="1" s="195">
      <c r="A349" s="334" t="n"/>
      <c r="B349" s="334" t="n"/>
      <c r="C349" s="334" t="n"/>
      <c r="D349" s="334" t="n"/>
      <c r="E349" s="334" t="n"/>
      <c r="F349" s="334" t="n"/>
      <c r="G349" s="334" t="n"/>
      <c r="H349" s="334" t="n"/>
      <c r="I349" s="332">
        <f>IFERROR(VLOOKUP(TEXT(H349,"0"),IPRESS!$A$3:$B$212,2,0),"")</f>
        <v/>
      </c>
      <c r="J349" s="334" t="n"/>
      <c r="K349" s="332">
        <f>IFERROR(VLOOKUP(TEXT(O349,"0"),CONDUCTORES!$A$3:$G$54,7,0),"")</f>
        <v/>
      </c>
      <c r="L349" s="334" t="n"/>
      <c r="M349" s="334" t="n"/>
      <c r="N349" s="333">
        <f>IFERROR(IF(L349*M349=0,"",L349*M349),"")</f>
        <v/>
      </c>
      <c r="O349" s="334" t="n"/>
      <c r="P349" s="332">
        <f>IFERROR(VLOOKUP(TEXT(O349,"0"),CONDUCTORES!$A$3:$G$54,2,0),"")</f>
        <v/>
      </c>
      <c r="Q349" s="332">
        <f>IFERROR(VLOOKUP(TEXT(O349,"0"),CONDUCTORES!$A$3:$H$54,6,0),"")</f>
        <v/>
      </c>
      <c r="R349" s="334" t="n"/>
      <c r="S349" s="334" t="n"/>
      <c r="T349" s="334" t="n"/>
      <c r="U349" s="334" t="n"/>
      <c r="V349" s="334" t="n"/>
      <c r="W349" s="334" t="n"/>
      <c r="X349" s="334" t="n"/>
      <c r="Y349" s="334" t="n"/>
    </row>
    <row r="350" ht="15" customHeight="1" s="195">
      <c r="A350" s="280" t="n"/>
      <c r="B350" s="280" t="n"/>
      <c r="C350" s="280" t="n"/>
      <c r="D350" s="280" t="n"/>
      <c r="E350" s="280" t="n"/>
      <c r="F350" s="280" t="n"/>
      <c r="G350" s="280" t="n"/>
      <c r="H350" s="280" t="n"/>
      <c r="I350" s="332">
        <f>IFERROR(VLOOKUP(TEXT(H350,"0"),IPRESS!$A$3:$B$212,2,0),"")</f>
        <v/>
      </c>
      <c r="J350" s="280" t="n"/>
      <c r="K350" s="332">
        <f>IFERROR(VLOOKUP(TEXT(O350,"0"),CONDUCTORES!$A$3:$G$54,7,0),"")</f>
        <v/>
      </c>
      <c r="L350" s="280" t="n"/>
      <c r="M350" s="280" t="n"/>
      <c r="N350" s="333">
        <f>IFERROR(IF(L350*M350=0,"",L350*M350),"")</f>
        <v/>
      </c>
      <c r="O350" s="280" t="n"/>
      <c r="P350" s="332">
        <f>IFERROR(VLOOKUP(TEXT(O350,"0"),CONDUCTORES!$A$3:$G$54,2,0),"")</f>
        <v/>
      </c>
      <c r="Q350" s="332">
        <f>IFERROR(VLOOKUP(TEXT(O350,"0"),CONDUCTORES!$A$3:$H$54,6,0),"")</f>
        <v/>
      </c>
      <c r="R350" s="280" t="n"/>
      <c r="S350" s="280" t="n"/>
      <c r="T350" s="280" t="n"/>
      <c r="U350" s="280" t="n"/>
      <c r="V350" s="280" t="n"/>
      <c r="W350" s="280" t="n"/>
      <c r="X350" s="280" t="n"/>
      <c r="Y350" s="280" t="n"/>
    </row>
    <row r="351" ht="15" customHeight="1" s="195">
      <c r="A351" s="334" t="n"/>
      <c r="B351" s="334" t="n"/>
      <c r="C351" s="334" t="n"/>
      <c r="D351" s="334" t="n"/>
      <c r="E351" s="334" t="n"/>
      <c r="F351" s="334" t="n"/>
      <c r="G351" s="334" t="n"/>
      <c r="H351" s="334" t="n"/>
      <c r="I351" s="332">
        <f>IFERROR(VLOOKUP(TEXT(H351,"0"),IPRESS!$A$3:$B$212,2,0),"")</f>
        <v/>
      </c>
      <c r="J351" s="334" t="n"/>
      <c r="K351" s="332">
        <f>IFERROR(VLOOKUP(TEXT(O351,"0"),CONDUCTORES!$A$3:$G$54,7,0),"")</f>
        <v/>
      </c>
      <c r="L351" s="334" t="n"/>
      <c r="M351" s="334" t="n"/>
      <c r="N351" s="333">
        <f>IFERROR(IF(L351*M351=0,"",L351*M351),"")</f>
        <v/>
      </c>
      <c r="O351" s="334" t="n"/>
      <c r="P351" s="332">
        <f>IFERROR(VLOOKUP(TEXT(O351,"0"),CONDUCTORES!$A$3:$G$54,2,0),"")</f>
        <v/>
      </c>
      <c r="Q351" s="332">
        <f>IFERROR(VLOOKUP(TEXT(O351,"0"),CONDUCTORES!$A$3:$H$54,6,0),"")</f>
        <v/>
      </c>
      <c r="R351" s="334" t="n"/>
      <c r="S351" s="334" t="n"/>
      <c r="T351" s="334" t="n"/>
      <c r="U351" s="334" t="n"/>
      <c r="V351" s="334" t="n"/>
      <c r="W351" s="334" t="n"/>
      <c r="X351" s="334" t="n"/>
      <c r="Y351" s="334" t="n"/>
    </row>
    <row r="352" ht="15" customHeight="1" s="195">
      <c r="A352" s="280" t="n"/>
      <c r="B352" s="280" t="n"/>
      <c r="C352" s="280" t="n"/>
      <c r="D352" s="280" t="n"/>
      <c r="E352" s="280" t="n"/>
      <c r="F352" s="280" t="n"/>
      <c r="G352" s="280" t="n"/>
      <c r="H352" s="280" t="n"/>
      <c r="I352" s="332">
        <f>IFERROR(VLOOKUP(TEXT(H352,"0"),IPRESS!$A$3:$B$212,2,0),"")</f>
        <v/>
      </c>
      <c r="J352" s="280" t="n"/>
      <c r="K352" s="332">
        <f>IFERROR(VLOOKUP(TEXT(O352,"0"),CONDUCTORES!$A$3:$G$54,7,0),"")</f>
        <v/>
      </c>
      <c r="L352" s="280" t="n"/>
      <c r="M352" s="280" t="n"/>
      <c r="N352" s="333">
        <f>IFERROR(IF(L352*M352=0,"",L352*M352),"")</f>
        <v/>
      </c>
      <c r="O352" s="280" t="n"/>
      <c r="P352" s="332">
        <f>IFERROR(VLOOKUP(TEXT(O352,"0"),CONDUCTORES!$A$3:$G$54,2,0),"")</f>
        <v/>
      </c>
      <c r="Q352" s="332">
        <f>IFERROR(VLOOKUP(TEXT(O352,"0"),CONDUCTORES!$A$3:$H$54,6,0),"")</f>
        <v/>
      </c>
      <c r="R352" s="280" t="n"/>
      <c r="S352" s="280" t="n"/>
      <c r="T352" s="280" t="n"/>
      <c r="U352" s="280" t="n"/>
      <c r="V352" s="280" t="n"/>
      <c r="W352" s="280" t="n"/>
      <c r="X352" s="280" t="n"/>
      <c r="Y352" s="280" t="n"/>
    </row>
    <row r="353" ht="15" customHeight="1" s="195">
      <c r="A353" s="334" t="n"/>
      <c r="B353" s="334" t="n"/>
      <c r="C353" s="334" t="n"/>
      <c r="D353" s="334" t="n"/>
      <c r="E353" s="334" t="n"/>
      <c r="F353" s="334" t="n"/>
      <c r="G353" s="334" t="n"/>
      <c r="H353" s="334" t="n"/>
      <c r="I353" s="332">
        <f>IFERROR(VLOOKUP(TEXT(H353,"0"),IPRESS!$A$3:$B$212,2,0),"")</f>
        <v/>
      </c>
      <c r="J353" s="334" t="n"/>
      <c r="K353" s="332">
        <f>IFERROR(VLOOKUP(TEXT(O353,"0"),CONDUCTORES!$A$3:$G$54,7,0),"")</f>
        <v/>
      </c>
      <c r="L353" s="334" t="n"/>
      <c r="M353" s="334" t="n"/>
      <c r="N353" s="333">
        <f>IFERROR(IF(L353*M353=0,"",L353*M353),"")</f>
        <v/>
      </c>
      <c r="O353" s="334" t="n"/>
      <c r="P353" s="332">
        <f>IFERROR(VLOOKUP(TEXT(O353,"0"),CONDUCTORES!$A$3:$G$54,2,0),"")</f>
        <v/>
      </c>
      <c r="Q353" s="332">
        <f>IFERROR(VLOOKUP(TEXT(O353,"0"),CONDUCTORES!$A$3:$H$54,6,0),"")</f>
        <v/>
      </c>
      <c r="R353" s="334" t="n"/>
      <c r="S353" s="334" t="n"/>
      <c r="T353" s="334" t="n"/>
      <c r="U353" s="334" t="n"/>
      <c r="V353" s="334" t="n"/>
      <c r="W353" s="334" t="n"/>
      <c r="X353" s="334" t="n"/>
      <c r="Y353" s="334" t="n"/>
    </row>
    <row r="354" ht="15" customHeight="1" s="195">
      <c r="A354" s="280" t="n"/>
      <c r="B354" s="280" t="n"/>
      <c r="C354" s="280" t="n"/>
      <c r="D354" s="280" t="n"/>
      <c r="E354" s="280" t="n"/>
      <c r="F354" s="280" t="n"/>
      <c r="G354" s="280" t="n"/>
      <c r="H354" s="280" t="n"/>
      <c r="I354" s="332">
        <f>IFERROR(VLOOKUP(TEXT(H354,"0"),IPRESS!$A$3:$B$212,2,0),"")</f>
        <v/>
      </c>
      <c r="J354" s="280" t="n"/>
      <c r="K354" s="332">
        <f>IFERROR(VLOOKUP(TEXT(O354,"0"),CONDUCTORES!$A$3:$G$54,7,0),"")</f>
        <v/>
      </c>
      <c r="L354" s="280" t="n"/>
      <c r="M354" s="280" t="n"/>
      <c r="N354" s="333">
        <f>IFERROR(IF(L354*M354=0,"",L354*M354),"")</f>
        <v/>
      </c>
      <c r="O354" s="280" t="n"/>
      <c r="P354" s="332">
        <f>IFERROR(VLOOKUP(TEXT(O354,"0"),CONDUCTORES!$A$3:$G$54,2,0),"")</f>
        <v/>
      </c>
      <c r="Q354" s="332">
        <f>IFERROR(VLOOKUP(TEXT(O354,"0"),CONDUCTORES!$A$3:$H$54,6,0),"")</f>
        <v/>
      </c>
      <c r="R354" s="280" t="n"/>
      <c r="S354" s="280" t="n"/>
      <c r="T354" s="280" t="n"/>
      <c r="U354" s="280" t="n"/>
      <c r="V354" s="280" t="n"/>
      <c r="W354" s="280" t="n"/>
      <c r="X354" s="280" t="n"/>
      <c r="Y354" s="280" t="n"/>
    </row>
    <row r="355" ht="15" customHeight="1" s="195">
      <c r="A355" s="334" t="n"/>
      <c r="B355" s="334" t="n"/>
      <c r="C355" s="334" t="n"/>
      <c r="D355" s="334" t="n"/>
      <c r="E355" s="334" t="n"/>
      <c r="F355" s="334" t="n"/>
      <c r="G355" s="334" t="n"/>
      <c r="H355" s="334" t="n"/>
      <c r="I355" s="332">
        <f>IFERROR(VLOOKUP(TEXT(H355,"0"),IPRESS!$A$3:$B$212,2,0),"")</f>
        <v/>
      </c>
      <c r="J355" s="334" t="n"/>
      <c r="K355" s="332">
        <f>IFERROR(VLOOKUP(TEXT(O355,"0"),CONDUCTORES!$A$3:$G$54,7,0),"")</f>
        <v/>
      </c>
      <c r="L355" s="334" t="n"/>
      <c r="M355" s="334" t="n"/>
      <c r="N355" s="333">
        <f>IFERROR(IF(L355*M355=0,"",L355*M355),"")</f>
        <v/>
      </c>
      <c r="O355" s="334" t="n"/>
      <c r="P355" s="332">
        <f>IFERROR(VLOOKUP(TEXT(O355,"0"),CONDUCTORES!$A$3:$G$54,2,0),"")</f>
        <v/>
      </c>
      <c r="Q355" s="332">
        <f>IFERROR(VLOOKUP(TEXT(O355,"0"),CONDUCTORES!$A$3:$H$54,6,0),"")</f>
        <v/>
      </c>
      <c r="R355" s="334" t="n"/>
      <c r="S355" s="334" t="n"/>
      <c r="T355" s="334" t="n"/>
      <c r="U355" s="334" t="n"/>
      <c r="V355" s="334" t="n"/>
      <c r="W355" s="334" t="n"/>
      <c r="X355" s="334" t="n"/>
      <c r="Y355" s="334" t="n"/>
    </row>
    <row r="356" ht="15" customHeight="1" s="195">
      <c r="A356" s="280" t="n"/>
      <c r="B356" s="280" t="n"/>
      <c r="C356" s="280" t="n"/>
      <c r="D356" s="280" t="n"/>
      <c r="E356" s="280" t="n"/>
      <c r="F356" s="280" t="n"/>
      <c r="G356" s="280" t="n"/>
      <c r="H356" s="280" t="n"/>
      <c r="I356" s="332">
        <f>IFERROR(VLOOKUP(TEXT(H356,"0"),IPRESS!$A$3:$B$212,2,0),"")</f>
        <v/>
      </c>
      <c r="J356" s="280" t="n"/>
      <c r="K356" s="332">
        <f>IFERROR(VLOOKUP(TEXT(O356,"0"),CONDUCTORES!$A$3:$G$54,7,0),"")</f>
        <v/>
      </c>
      <c r="L356" s="280" t="n"/>
      <c r="M356" s="280" t="n"/>
      <c r="N356" s="333">
        <f>IFERROR(IF(L356*M356=0,"",L356*M356),"")</f>
        <v/>
      </c>
      <c r="O356" s="280" t="n"/>
      <c r="P356" s="332">
        <f>IFERROR(VLOOKUP(TEXT(O356,"0"),CONDUCTORES!$A$3:$G$54,2,0),"")</f>
        <v/>
      </c>
      <c r="Q356" s="332">
        <f>IFERROR(VLOOKUP(TEXT(O356,"0"),CONDUCTORES!$A$3:$H$54,6,0),"")</f>
        <v/>
      </c>
      <c r="R356" s="280" t="n"/>
      <c r="S356" s="280" t="n"/>
      <c r="T356" s="280" t="n"/>
      <c r="U356" s="280" t="n"/>
      <c r="V356" s="280" t="n"/>
      <c r="W356" s="280" t="n"/>
      <c r="X356" s="280" t="n"/>
      <c r="Y356" s="280" t="n"/>
    </row>
    <row r="357" ht="15" customHeight="1" s="195">
      <c r="A357" s="334" t="n"/>
      <c r="B357" s="334" t="n"/>
      <c r="C357" s="334" t="n"/>
      <c r="D357" s="334" t="n"/>
      <c r="E357" s="334" t="n"/>
      <c r="F357" s="334" t="n"/>
      <c r="G357" s="334" t="n"/>
      <c r="H357" s="334" t="n"/>
      <c r="I357" s="332">
        <f>IFERROR(VLOOKUP(TEXT(H357,"0"),IPRESS!$A$3:$B$212,2,0),"")</f>
        <v/>
      </c>
      <c r="J357" s="334" t="n"/>
      <c r="K357" s="332">
        <f>IFERROR(VLOOKUP(TEXT(O357,"0"),CONDUCTORES!$A$3:$G$54,7,0),"")</f>
        <v/>
      </c>
      <c r="L357" s="334" t="n"/>
      <c r="M357" s="334" t="n"/>
      <c r="N357" s="333">
        <f>IFERROR(IF(L357*M357=0,"",L357*M357),"")</f>
        <v/>
      </c>
      <c r="O357" s="334" t="n"/>
      <c r="P357" s="332">
        <f>IFERROR(VLOOKUP(TEXT(O357,"0"),CONDUCTORES!$A$3:$G$54,2,0),"")</f>
        <v/>
      </c>
      <c r="Q357" s="332">
        <f>IFERROR(VLOOKUP(TEXT(O357,"0"),CONDUCTORES!$A$3:$H$54,6,0),"")</f>
        <v/>
      </c>
      <c r="R357" s="334" t="n"/>
      <c r="S357" s="334" t="n"/>
      <c r="T357" s="334" t="n"/>
      <c r="U357" s="334" t="n"/>
      <c r="V357" s="334" t="n"/>
      <c r="W357" s="334" t="n"/>
      <c r="X357" s="334" t="n"/>
      <c r="Y357" s="334" t="n"/>
    </row>
    <row r="358" ht="15" customHeight="1" s="195">
      <c r="A358" s="280" t="n"/>
      <c r="B358" s="280" t="n"/>
      <c r="C358" s="280" t="n"/>
      <c r="D358" s="280" t="n"/>
      <c r="E358" s="280" t="n"/>
      <c r="F358" s="280" t="n"/>
      <c r="G358" s="280" t="n"/>
      <c r="H358" s="280" t="n"/>
      <c r="I358" s="332">
        <f>IFERROR(VLOOKUP(TEXT(H358,"0"),IPRESS!$A$3:$B$212,2,0),"")</f>
        <v/>
      </c>
      <c r="J358" s="280" t="n"/>
      <c r="K358" s="332">
        <f>IFERROR(VLOOKUP(TEXT(O358,"0"),CONDUCTORES!$A$3:$G$54,7,0),"")</f>
        <v/>
      </c>
      <c r="L358" s="280" t="n"/>
      <c r="M358" s="280" t="n"/>
      <c r="N358" s="333">
        <f>IFERROR(IF(L358*M358=0,"",L358*M358),"")</f>
        <v/>
      </c>
      <c r="O358" s="280" t="n"/>
      <c r="P358" s="332">
        <f>IFERROR(VLOOKUP(TEXT(O358,"0"),CONDUCTORES!$A$3:$G$54,2,0),"")</f>
        <v/>
      </c>
      <c r="Q358" s="332">
        <f>IFERROR(VLOOKUP(TEXT(O358,"0"),CONDUCTORES!$A$3:$H$54,6,0),"")</f>
        <v/>
      </c>
      <c r="R358" s="280" t="n"/>
      <c r="S358" s="280" t="n"/>
      <c r="T358" s="280" t="n"/>
      <c r="U358" s="280" t="n"/>
      <c r="V358" s="280" t="n"/>
      <c r="W358" s="280" t="n"/>
      <c r="X358" s="280" t="n"/>
      <c r="Y358" s="280" t="n"/>
    </row>
    <row r="359" ht="15" customHeight="1" s="195">
      <c r="A359" s="334" t="n"/>
      <c r="B359" s="334" t="n"/>
      <c r="C359" s="334" t="n"/>
      <c r="D359" s="334" t="n"/>
      <c r="E359" s="334" t="n"/>
      <c r="F359" s="334" t="n"/>
      <c r="G359" s="334" t="n"/>
      <c r="H359" s="334" t="n"/>
      <c r="I359" s="332">
        <f>IFERROR(VLOOKUP(TEXT(H359,"0"),IPRESS!$A$3:$B$212,2,0),"")</f>
        <v/>
      </c>
      <c r="J359" s="334" t="n"/>
      <c r="K359" s="332">
        <f>IFERROR(VLOOKUP(TEXT(O359,"0"),CONDUCTORES!$A$3:$G$54,7,0),"")</f>
        <v/>
      </c>
      <c r="L359" s="334" t="n"/>
      <c r="M359" s="334" t="n"/>
      <c r="N359" s="333">
        <f>IFERROR(IF(L359*M359=0,"",L359*M359),"")</f>
        <v/>
      </c>
      <c r="O359" s="334" t="n"/>
      <c r="P359" s="332">
        <f>IFERROR(VLOOKUP(TEXT(O359,"0"),CONDUCTORES!$A$3:$G$54,2,0),"")</f>
        <v/>
      </c>
      <c r="Q359" s="332">
        <f>IFERROR(VLOOKUP(TEXT(O359,"0"),CONDUCTORES!$A$3:$H$54,6,0),"")</f>
        <v/>
      </c>
      <c r="R359" s="334" t="n"/>
      <c r="S359" s="334" t="n"/>
      <c r="T359" s="334" t="n"/>
      <c r="U359" s="334" t="n"/>
      <c r="V359" s="334" t="n"/>
      <c r="W359" s="334" t="n"/>
      <c r="X359" s="334" t="n"/>
      <c r="Y359" s="334" t="n"/>
    </row>
    <row r="360" ht="15" customHeight="1" s="195">
      <c r="A360" s="280" t="n"/>
      <c r="B360" s="280" t="n"/>
      <c r="C360" s="280" t="n"/>
      <c r="D360" s="280" t="n"/>
      <c r="E360" s="280" t="n"/>
      <c r="F360" s="280" t="n"/>
      <c r="G360" s="280" t="n"/>
      <c r="H360" s="280" t="n"/>
      <c r="I360" s="332">
        <f>IFERROR(VLOOKUP(TEXT(H360,"0"),IPRESS!$A$3:$B$212,2,0),"")</f>
        <v/>
      </c>
      <c r="J360" s="280" t="n"/>
      <c r="K360" s="332">
        <f>IFERROR(VLOOKUP(TEXT(O360,"0"),CONDUCTORES!$A$3:$G$54,7,0),"")</f>
        <v/>
      </c>
      <c r="L360" s="280" t="n"/>
      <c r="M360" s="280" t="n"/>
      <c r="N360" s="333">
        <f>IFERROR(IF(L360*M360=0,"",L360*M360),"")</f>
        <v/>
      </c>
      <c r="O360" s="280" t="n"/>
      <c r="P360" s="332">
        <f>IFERROR(VLOOKUP(TEXT(O360,"0"),CONDUCTORES!$A$3:$G$54,2,0),"")</f>
        <v/>
      </c>
      <c r="Q360" s="332">
        <f>IFERROR(VLOOKUP(TEXT(O360,"0"),CONDUCTORES!$A$3:$H$54,6,0),"")</f>
        <v/>
      </c>
      <c r="R360" s="280" t="n"/>
      <c r="S360" s="280" t="n"/>
      <c r="T360" s="280" t="n"/>
      <c r="U360" s="280" t="n"/>
      <c r="V360" s="280" t="n"/>
      <c r="W360" s="280" t="n"/>
      <c r="X360" s="280" t="n"/>
      <c r="Y360" s="280" t="n"/>
    </row>
    <row r="361" ht="15" customHeight="1" s="195">
      <c r="A361" s="334" t="n"/>
      <c r="B361" s="334" t="n"/>
      <c r="C361" s="334" t="n"/>
      <c r="D361" s="334" t="n"/>
      <c r="E361" s="334" t="n"/>
      <c r="F361" s="334" t="n"/>
      <c r="G361" s="334" t="n"/>
      <c r="H361" s="334" t="n"/>
      <c r="I361" s="332">
        <f>IFERROR(VLOOKUP(TEXT(H361,"0"),IPRESS!$A$3:$B$212,2,0),"")</f>
        <v/>
      </c>
      <c r="J361" s="334" t="n"/>
      <c r="K361" s="332">
        <f>IFERROR(VLOOKUP(TEXT(O361,"0"),CONDUCTORES!$A$3:$G$54,7,0),"")</f>
        <v/>
      </c>
      <c r="L361" s="334" t="n"/>
      <c r="M361" s="334" t="n"/>
      <c r="N361" s="333">
        <f>IFERROR(IF(L361*M361=0,"",L361*M361),"")</f>
        <v/>
      </c>
      <c r="O361" s="334" t="n"/>
      <c r="P361" s="332">
        <f>IFERROR(VLOOKUP(TEXT(O361,"0"),CONDUCTORES!$A$3:$G$54,2,0),"")</f>
        <v/>
      </c>
      <c r="Q361" s="332">
        <f>IFERROR(VLOOKUP(TEXT(O361,"0"),CONDUCTORES!$A$3:$H$54,6,0),"")</f>
        <v/>
      </c>
      <c r="R361" s="334" t="n"/>
      <c r="S361" s="334" t="n"/>
      <c r="T361" s="334" t="n"/>
      <c r="U361" s="334" t="n"/>
      <c r="V361" s="334" t="n"/>
      <c r="W361" s="334" t="n"/>
      <c r="X361" s="334" t="n"/>
      <c r="Y361" s="334" t="n"/>
    </row>
    <row r="362" ht="15" customHeight="1" s="195">
      <c r="A362" s="280" t="n"/>
      <c r="B362" s="280" t="n"/>
      <c r="C362" s="280" t="n"/>
      <c r="D362" s="280" t="n"/>
      <c r="E362" s="280" t="n"/>
      <c r="F362" s="280" t="n"/>
      <c r="G362" s="280" t="n"/>
      <c r="H362" s="280" t="n"/>
      <c r="I362" s="332">
        <f>IFERROR(VLOOKUP(TEXT(H362,"0"),IPRESS!$A$3:$B$212,2,0),"")</f>
        <v/>
      </c>
      <c r="J362" s="280" t="n"/>
      <c r="K362" s="332">
        <f>IFERROR(VLOOKUP(TEXT(O362,"0"),CONDUCTORES!$A$3:$G$54,7,0),"")</f>
        <v/>
      </c>
      <c r="L362" s="280" t="n"/>
      <c r="M362" s="280" t="n"/>
      <c r="N362" s="333">
        <f>IFERROR(IF(L362*M362=0,"",L362*M362),"")</f>
        <v/>
      </c>
      <c r="O362" s="280" t="n"/>
      <c r="P362" s="332">
        <f>IFERROR(VLOOKUP(TEXT(O362,"0"),CONDUCTORES!$A$3:$G$54,2,0),"")</f>
        <v/>
      </c>
      <c r="Q362" s="332">
        <f>IFERROR(VLOOKUP(TEXT(O362,"0"),CONDUCTORES!$A$3:$H$54,6,0),"")</f>
        <v/>
      </c>
      <c r="R362" s="280" t="n"/>
      <c r="S362" s="280" t="n"/>
      <c r="T362" s="280" t="n"/>
      <c r="U362" s="280" t="n"/>
      <c r="V362" s="280" t="n"/>
      <c r="W362" s="280" t="n"/>
      <c r="X362" s="280" t="n"/>
      <c r="Y362" s="280" t="n"/>
    </row>
    <row r="363" ht="15" customHeight="1" s="195">
      <c r="A363" s="334" t="n"/>
      <c r="B363" s="334" t="n"/>
      <c r="C363" s="334" t="n"/>
      <c r="D363" s="334" t="n"/>
      <c r="E363" s="334" t="n"/>
      <c r="F363" s="334" t="n"/>
      <c r="G363" s="334" t="n"/>
      <c r="H363" s="334" t="n"/>
      <c r="I363" s="332">
        <f>IFERROR(VLOOKUP(TEXT(H363,"0"),IPRESS!$A$3:$B$212,2,0),"")</f>
        <v/>
      </c>
      <c r="J363" s="334" t="n"/>
      <c r="K363" s="332">
        <f>IFERROR(VLOOKUP(TEXT(O363,"0"),CONDUCTORES!$A$3:$G$54,7,0),"")</f>
        <v/>
      </c>
      <c r="L363" s="334" t="n"/>
      <c r="M363" s="334" t="n"/>
      <c r="N363" s="333">
        <f>IFERROR(IF(L363*M363=0,"",L363*M363),"")</f>
        <v/>
      </c>
      <c r="O363" s="334" t="n"/>
      <c r="P363" s="332">
        <f>IFERROR(VLOOKUP(TEXT(O363,"0"),CONDUCTORES!$A$3:$G$54,2,0),"")</f>
        <v/>
      </c>
      <c r="Q363" s="332">
        <f>IFERROR(VLOOKUP(TEXT(O363,"0"),CONDUCTORES!$A$3:$H$54,6,0),"")</f>
        <v/>
      </c>
      <c r="R363" s="334" t="n"/>
      <c r="S363" s="334" t="n"/>
      <c r="T363" s="334" t="n"/>
      <c r="U363" s="334" t="n"/>
      <c r="V363" s="334" t="n"/>
      <c r="W363" s="334" t="n"/>
      <c r="X363" s="334" t="n"/>
      <c r="Y363" s="334" t="n"/>
    </row>
    <row r="364" ht="15" customHeight="1" s="195">
      <c r="A364" s="280" t="n"/>
      <c r="B364" s="280" t="n"/>
      <c r="C364" s="280" t="n"/>
      <c r="D364" s="280" t="n"/>
      <c r="E364" s="280" t="n"/>
      <c r="F364" s="280" t="n"/>
      <c r="G364" s="280" t="n"/>
      <c r="H364" s="280" t="n"/>
      <c r="I364" s="332">
        <f>IFERROR(VLOOKUP(TEXT(H364,"0"),IPRESS!$A$3:$B$212,2,0),"")</f>
        <v/>
      </c>
      <c r="J364" s="280" t="n"/>
      <c r="K364" s="332">
        <f>IFERROR(VLOOKUP(TEXT(O364,"0"),CONDUCTORES!$A$3:$G$54,7,0),"")</f>
        <v/>
      </c>
      <c r="L364" s="280" t="n"/>
      <c r="M364" s="280" t="n"/>
      <c r="N364" s="333">
        <f>IFERROR(IF(L364*M364=0,"",L364*M364),"")</f>
        <v/>
      </c>
      <c r="O364" s="280" t="n"/>
      <c r="P364" s="332">
        <f>IFERROR(VLOOKUP(TEXT(O364,"0"),CONDUCTORES!$A$3:$G$54,2,0),"")</f>
        <v/>
      </c>
      <c r="Q364" s="332">
        <f>IFERROR(VLOOKUP(TEXT(O364,"0"),CONDUCTORES!$A$3:$H$54,6,0),"")</f>
        <v/>
      </c>
      <c r="R364" s="280" t="n"/>
      <c r="S364" s="280" t="n"/>
      <c r="T364" s="280" t="n"/>
      <c r="U364" s="280" t="n"/>
      <c r="V364" s="280" t="n"/>
      <c r="W364" s="280" t="n"/>
      <c r="X364" s="280" t="n"/>
      <c r="Y364" s="280" t="n"/>
    </row>
    <row r="365" ht="15" customHeight="1" s="195">
      <c r="A365" s="334" t="n"/>
      <c r="B365" s="334" t="n"/>
      <c r="C365" s="334" t="n"/>
      <c r="D365" s="334" t="n"/>
      <c r="E365" s="334" t="n"/>
      <c r="F365" s="334" t="n"/>
      <c r="G365" s="334" t="n"/>
      <c r="H365" s="334" t="n"/>
      <c r="I365" s="332">
        <f>IFERROR(VLOOKUP(TEXT(H365,"0"),IPRESS!$A$3:$B$212,2,0),"")</f>
        <v/>
      </c>
      <c r="J365" s="334" t="n"/>
      <c r="K365" s="332">
        <f>IFERROR(VLOOKUP(TEXT(O365,"0"),CONDUCTORES!$A$3:$G$54,7,0),"")</f>
        <v/>
      </c>
      <c r="L365" s="334" t="n"/>
      <c r="M365" s="334" t="n"/>
      <c r="N365" s="333">
        <f>IFERROR(IF(L365*M365=0,"",L365*M365),"")</f>
        <v/>
      </c>
      <c r="O365" s="334" t="n"/>
      <c r="P365" s="332">
        <f>IFERROR(VLOOKUP(TEXT(O365,"0"),CONDUCTORES!$A$3:$G$54,2,0),"")</f>
        <v/>
      </c>
      <c r="Q365" s="332">
        <f>IFERROR(VLOOKUP(TEXT(O365,"0"),CONDUCTORES!$A$3:$H$54,6,0),"")</f>
        <v/>
      </c>
      <c r="R365" s="334" t="n"/>
      <c r="S365" s="334" t="n"/>
      <c r="T365" s="334" t="n"/>
      <c r="U365" s="334" t="n"/>
      <c r="V365" s="334" t="n"/>
      <c r="W365" s="334" t="n"/>
      <c r="X365" s="334" t="n"/>
      <c r="Y365" s="334" t="n"/>
    </row>
    <row r="366" ht="15" customHeight="1" s="195">
      <c r="A366" s="280" t="n"/>
      <c r="B366" s="280" t="n"/>
      <c r="C366" s="280" t="n"/>
      <c r="D366" s="280" t="n"/>
      <c r="E366" s="280" t="n"/>
      <c r="F366" s="280" t="n"/>
      <c r="G366" s="280" t="n"/>
      <c r="H366" s="280" t="n"/>
      <c r="I366" s="332">
        <f>IFERROR(VLOOKUP(TEXT(H366,"0"),IPRESS!$A$3:$B$212,2,0),"")</f>
        <v/>
      </c>
      <c r="J366" s="280" t="n"/>
      <c r="K366" s="332">
        <f>IFERROR(VLOOKUP(TEXT(O366,"0"),CONDUCTORES!$A$3:$G$54,7,0),"")</f>
        <v/>
      </c>
      <c r="L366" s="280" t="n"/>
      <c r="M366" s="280" t="n"/>
      <c r="N366" s="333">
        <f>IFERROR(IF(L366*M366=0,"",L366*M366),"")</f>
        <v/>
      </c>
      <c r="O366" s="280" t="n"/>
      <c r="P366" s="332">
        <f>IFERROR(VLOOKUP(TEXT(O366,"0"),CONDUCTORES!$A$3:$G$54,2,0),"")</f>
        <v/>
      </c>
      <c r="Q366" s="332">
        <f>IFERROR(VLOOKUP(TEXT(O366,"0"),CONDUCTORES!$A$3:$H$54,6,0),"")</f>
        <v/>
      </c>
      <c r="R366" s="280" t="n"/>
      <c r="S366" s="280" t="n"/>
      <c r="T366" s="280" t="n"/>
      <c r="U366" s="280" t="n"/>
      <c r="V366" s="280" t="n"/>
      <c r="W366" s="280" t="n"/>
      <c r="X366" s="280" t="n"/>
      <c r="Y366" s="280" t="n"/>
    </row>
    <row r="367" ht="15" customHeight="1" s="195">
      <c r="A367" s="334" t="n"/>
      <c r="B367" s="334" t="n"/>
      <c r="C367" s="334" t="n"/>
      <c r="D367" s="334" t="n"/>
      <c r="E367" s="334" t="n"/>
      <c r="F367" s="334" t="n"/>
      <c r="G367" s="334" t="n"/>
      <c r="H367" s="334" t="n"/>
      <c r="I367" s="332">
        <f>IFERROR(VLOOKUP(TEXT(H367,"0"),IPRESS!$A$3:$B$212,2,0),"")</f>
        <v/>
      </c>
      <c r="J367" s="334" t="n"/>
      <c r="K367" s="332">
        <f>IFERROR(VLOOKUP(TEXT(O367,"0"),CONDUCTORES!$A$3:$G$54,7,0),"")</f>
        <v/>
      </c>
      <c r="L367" s="334" t="n"/>
      <c r="M367" s="334" t="n"/>
      <c r="N367" s="333">
        <f>IFERROR(IF(L367*M367=0,"",L367*M367),"")</f>
        <v/>
      </c>
      <c r="O367" s="334" t="n"/>
      <c r="P367" s="332">
        <f>IFERROR(VLOOKUP(TEXT(O367,"0"),CONDUCTORES!$A$3:$G$54,2,0),"")</f>
        <v/>
      </c>
      <c r="Q367" s="332">
        <f>IFERROR(VLOOKUP(TEXT(O367,"0"),CONDUCTORES!$A$3:$H$54,6,0),"")</f>
        <v/>
      </c>
      <c r="R367" s="334" t="n"/>
      <c r="S367" s="334" t="n"/>
      <c r="T367" s="334" t="n"/>
      <c r="U367" s="334" t="n"/>
      <c r="V367" s="334" t="n"/>
      <c r="W367" s="334" t="n"/>
      <c r="X367" s="334" t="n"/>
      <c r="Y367" s="334" t="n"/>
    </row>
    <row r="368" ht="15" customHeight="1" s="195">
      <c r="A368" s="280" t="n"/>
      <c r="B368" s="280" t="n"/>
      <c r="C368" s="280" t="n"/>
      <c r="D368" s="280" t="n"/>
      <c r="E368" s="280" t="n"/>
      <c r="F368" s="280" t="n"/>
      <c r="G368" s="280" t="n"/>
      <c r="H368" s="280" t="n"/>
      <c r="I368" s="332">
        <f>IFERROR(VLOOKUP(TEXT(H368,"0"),IPRESS!$A$3:$B$212,2,0),"")</f>
        <v/>
      </c>
      <c r="J368" s="280" t="n"/>
      <c r="K368" s="332">
        <f>IFERROR(VLOOKUP(TEXT(O368,"0"),CONDUCTORES!$A$3:$G$54,7,0),"")</f>
        <v/>
      </c>
      <c r="L368" s="280" t="n"/>
      <c r="M368" s="280" t="n"/>
      <c r="N368" s="333">
        <f>IFERROR(IF(L368*M368=0,"",L368*M368),"")</f>
        <v/>
      </c>
      <c r="O368" s="280" t="n"/>
      <c r="P368" s="332">
        <f>IFERROR(VLOOKUP(TEXT(O368,"0"),CONDUCTORES!$A$3:$G$54,2,0),"")</f>
        <v/>
      </c>
      <c r="Q368" s="332">
        <f>IFERROR(VLOOKUP(TEXT(O368,"0"),CONDUCTORES!$A$3:$H$54,6,0),"")</f>
        <v/>
      </c>
      <c r="R368" s="280" t="n"/>
      <c r="S368" s="280" t="n"/>
      <c r="T368" s="280" t="n"/>
      <c r="U368" s="280" t="n"/>
      <c r="V368" s="280" t="n"/>
      <c r="W368" s="280" t="n"/>
      <c r="X368" s="280" t="n"/>
      <c r="Y368" s="280" t="n"/>
    </row>
    <row r="369" ht="15" customHeight="1" s="195">
      <c r="A369" s="334" t="n"/>
      <c r="B369" s="334" t="n"/>
      <c r="C369" s="334" t="n"/>
      <c r="D369" s="334" t="n"/>
      <c r="E369" s="334" t="n"/>
      <c r="F369" s="334" t="n"/>
      <c r="G369" s="334" t="n"/>
      <c r="H369" s="334" t="n"/>
      <c r="I369" s="332">
        <f>IFERROR(VLOOKUP(TEXT(H369,"0"),IPRESS!$A$3:$B$212,2,0),"")</f>
        <v/>
      </c>
      <c r="J369" s="334" t="n"/>
      <c r="K369" s="332">
        <f>IFERROR(VLOOKUP(TEXT(O369,"0"),CONDUCTORES!$A$3:$G$54,7,0),"")</f>
        <v/>
      </c>
      <c r="L369" s="334" t="n"/>
      <c r="M369" s="334" t="n"/>
      <c r="N369" s="333">
        <f>IFERROR(IF(L369*M369=0,"",L369*M369),"")</f>
        <v/>
      </c>
      <c r="O369" s="334" t="n"/>
      <c r="P369" s="332">
        <f>IFERROR(VLOOKUP(TEXT(O369,"0"),CONDUCTORES!$A$3:$G$54,2,0),"")</f>
        <v/>
      </c>
      <c r="Q369" s="332">
        <f>IFERROR(VLOOKUP(TEXT(O369,"0"),CONDUCTORES!$A$3:$H$54,6,0),"")</f>
        <v/>
      </c>
      <c r="R369" s="334" t="n"/>
      <c r="S369" s="334" t="n"/>
      <c r="T369" s="334" t="n"/>
      <c r="U369" s="334" t="n"/>
      <c r="V369" s="334" t="n"/>
      <c r="W369" s="334" t="n"/>
      <c r="X369" s="334" t="n"/>
      <c r="Y369" s="334" t="n"/>
    </row>
    <row r="370" ht="15" customHeight="1" s="195">
      <c r="A370" s="280" t="n"/>
      <c r="B370" s="280" t="n"/>
      <c r="C370" s="280" t="n"/>
      <c r="D370" s="280" t="n"/>
      <c r="E370" s="280" t="n"/>
      <c r="F370" s="280" t="n"/>
      <c r="G370" s="280" t="n"/>
      <c r="H370" s="280" t="n"/>
      <c r="I370" s="332">
        <f>IFERROR(VLOOKUP(TEXT(H370,"0"),IPRESS!$A$3:$B$212,2,0),"")</f>
        <v/>
      </c>
      <c r="J370" s="280" t="n"/>
      <c r="K370" s="332">
        <f>IFERROR(VLOOKUP(TEXT(O370,"0"),CONDUCTORES!$A$3:$G$54,7,0),"")</f>
        <v/>
      </c>
      <c r="L370" s="280" t="n"/>
      <c r="M370" s="280" t="n"/>
      <c r="N370" s="333">
        <f>IFERROR(IF(L370*M370=0,"",L370*M370),"")</f>
        <v/>
      </c>
      <c r="O370" s="280" t="n"/>
      <c r="P370" s="332">
        <f>IFERROR(VLOOKUP(TEXT(O370,"0"),CONDUCTORES!$A$3:$G$54,2,0),"")</f>
        <v/>
      </c>
      <c r="Q370" s="332">
        <f>IFERROR(VLOOKUP(TEXT(O370,"0"),CONDUCTORES!$A$3:$H$54,6,0),"")</f>
        <v/>
      </c>
      <c r="R370" s="280" t="n"/>
      <c r="S370" s="280" t="n"/>
      <c r="T370" s="280" t="n"/>
      <c r="U370" s="280" t="n"/>
      <c r="V370" s="280" t="n"/>
      <c r="W370" s="280" t="n"/>
      <c r="X370" s="280" t="n"/>
      <c r="Y370" s="280" t="n"/>
    </row>
    <row r="371" ht="15" customHeight="1" s="195">
      <c r="A371" s="334" t="n"/>
      <c r="B371" s="334" t="n"/>
      <c r="C371" s="334" t="n"/>
      <c r="D371" s="334" t="n"/>
      <c r="E371" s="334" t="n"/>
      <c r="F371" s="334" t="n"/>
      <c r="G371" s="334" t="n"/>
      <c r="H371" s="334" t="n"/>
      <c r="I371" s="332">
        <f>IFERROR(VLOOKUP(TEXT(H371,"0"),IPRESS!$A$3:$B$212,2,0),"")</f>
        <v/>
      </c>
      <c r="J371" s="334" t="n"/>
      <c r="K371" s="332">
        <f>IFERROR(VLOOKUP(TEXT(O371,"0"),CONDUCTORES!$A$3:$G$54,7,0),"")</f>
        <v/>
      </c>
      <c r="L371" s="334" t="n"/>
      <c r="M371" s="334" t="n"/>
      <c r="N371" s="333">
        <f>IFERROR(IF(L371*M371=0,"",L371*M371),"")</f>
        <v/>
      </c>
      <c r="O371" s="334" t="n"/>
      <c r="P371" s="332">
        <f>IFERROR(VLOOKUP(TEXT(O371,"0"),CONDUCTORES!$A$3:$G$54,2,0),"")</f>
        <v/>
      </c>
      <c r="Q371" s="332">
        <f>IFERROR(VLOOKUP(TEXT(O371,"0"),CONDUCTORES!$A$3:$H$54,6,0),"")</f>
        <v/>
      </c>
      <c r="R371" s="334" t="n"/>
      <c r="S371" s="334" t="n"/>
      <c r="T371" s="334" t="n"/>
      <c r="U371" s="334" t="n"/>
      <c r="V371" s="334" t="n"/>
      <c r="W371" s="334" t="n"/>
      <c r="X371" s="334" t="n"/>
      <c r="Y371" s="334" t="n"/>
    </row>
    <row r="372" ht="15" customHeight="1" s="195">
      <c r="A372" s="280" t="n"/>
      <c r="B372" s="280" t="n"/>
      <c r="C372" s="280" t="n"/>
      <c r="D372" s="280" t="n"/>
      <c r="E372" s="280" t="n"/>
      <c r="F372" s="280" t="n"/>
      <c r="G372" s="280" t="n"/>
      <c r="H372" s="280" t="n"/>
      <c r="I372" s="332">
        <f>IFERROR(VLOOKUP(TEXT(H372,"0"),IPRESS!$A$3:$B$212,2,0),"")</f>
        <v/>
      </c>
      <c r="J372" s="280" t="n"/>
      <c r="K372" s="332">
        <f>IFERROR(VLOOKUP(TEXT(O372,"0"),CONDUCTORES!$A$3:$G$54,7,0),"")</f>
        <v/>
      </c>
      <c r="L372" s="280" t="n"/>
      <c r="M372" s="280" t="n"/>
      <c r="N372" s="333">
        <f>IFERROR(IF(L372*M372=0,"",L372*M372),"")</f>
        <v/>
      </c>
      <c r="O372" s="280" t="n"/>
      <c r="P372" s="332">
        <f>IFERROR(VLOOKUP(TEXT(O372,"0"),CONDUCTORES!$A$3:$G$54,2,0),"")</f>
        <v/>
      </c>
      <c r="Q372" s="332">
        <f>IFERROR(VLOOKUP(TEXT(O372,"0"),CONDUCTORES!$A$3:$H$54,6,0),"")</f>
        <v/>
      </c>
      <c r="R372" s="280" t="n"/>
      <c r="S372" s="280" t="n"/>
      <c r="T372" s="280" t="n"/>
      <c r="U372" s="280" t="n"/>
      <c r="V372" s="280" t="n"/>
      <c r="W372" s="280" t="n"/>
      <c r="X372" s="280" t="n"/>
      <c r="Y372" s="280" t="n"/>
    </row>
    <row r="373" ht="15" customHeight="1" s="195">
      <c r="A373" s="334" t="n"/>
      <c r="B373" s="334" t="n"/>
      <c r="C373" s="334" t="n"/>
      <c r="D373" s="334" t="n"/>
      <c r="E373" s="334" t="n"/>
      <c r="F373" s="334" t="n"/>
      <c r="G373" s="334" t="n"/>
      <c r="H373" s="334" t="n"/>
      <c r="I373" s="332">
        <f>IFERROR(VLOOKUP(TEXT(H373,"0"),IPRESS!$A$3:$B$212,2,0),"")</f>
        <v/>
      </c>
      <c r="J373" s="334" t="n"/>
      <c r="K373" s="332">
        <f>IFERROR(VLOOKUP(TEXT(O373,"0"),CONDUCTORES!$A$3:$G$54,7,0),"")</f>
        <v/>
      </c>
      <c r="L373" s="334" t="n"/>
      <c r="M373" s="334" t="n"/>
      <c r="N373" s="333">
        <f>IFERROR(IF(L373*M373=0,"",L373*M373),"")</f>
        <v/>
      </c>
      <c r="O373" s="334" t="n"/>
      <c r="P373" s="332">
        <f>IFERROR(VLOOKUP(TEXT(O373,"0"),CONDUCTORES!$A$3:$G$54,2,0),"")</f>
        <v/>
      </c>
      <c r="Q373" s="332">
        <f>IFERROR(VLOOKUP(TEXT(O373,"0"),CONDUCTORES!$A$3:$H$54,6,0),"")</f>
        <v/>
      </c>
      <c r="R373" s="334" t="n"/>
      <c r="S373" s="334" t="n"/>
      <c r="T373" s="334" t="n"/>
      <c r="U373" s="334" t="n"/>
      <c r="V373" s="334" t="n"/>
      <c r="W373" s="334" t="n"/>
      <c r="X373" s="334" t="n"/>
      <c r="Y373" s="334" t="n"/>
    </row>
    <row r="374" ht="15" customHeight="1" s="195">
      <c r="A374" s="280" t="n"/>
      <c r="B374" s="280" t="n"/>
      <c r="C374" s="280" t="n"/>
      <c r="D374" s="280" t="n"/>
      <c r="E374" s="280" t="n"/>
      <c r="F374" s="280" t="n"/>
      <c r="G374" s="280" t="n"/>
      <c r="H374" s="280" t="n"/>
      <c r="I374" s="332">
        <f>IFERROR(VLOOKUP(TEXT(H374,"0"),IPRESS!$A$3:$B$212,2,0),"")</f>
        <v/>
      </c>
      <c r="J374" s="280" t="n"/>
      <c r="K374" s="332">
        <f>IFERROR(VLOOKUP(TEXT(O374,"0"),CONDUCTORES!$A$3:$G$54,7,0),"")</f>
        <v/>
      </c>
      <c r="L374" s="280" t="n"/>
      <c r="M374" s="280" t="n"/>
      <c r="N374" s="333">
        <f>IFERROR(IF(L374*M374=0,"",L374*M374),"")</f>
        <v/>
      </c>
      <c r="O374" s="280" t="n"/>
      <c r="P374" s="332">
        <f>IFERROR(VLOOKUP(TEXT(O374,"0"),CONDUCTORES!$A$3:$G$54,2,0),"")</f>
        <v/>
      </c>
      <c r="Q374" s="332">
        <f>IFERROR(VLOOKUP(TEXT(O374,"0"),CONDUCTORES!$A$3:$H$54,6,0),"")</f>
        <v/>
      </c>
      <c r="R374" s="280" t="n"/>
      <c r="S374" s="280" t="n"/>
      <c r="T374" s="280" t="n"/>
      <c r="U374" s="280" t="n"/>
      <c r="V374" s="280" t="n"/>
      <c r="W374" s="280" t="n"/>
      <c r="X374" s="280" t="n"/>
      <c r="Y374" s="280" t="n"/>
    </row>
    <row r="375" ht="15" customHeight="1" s="195">
      <c r="A375" s="334" t="n"/>
      <c r="B375" s="334" t="n"/>
      <c r="C375" s="334" t="n"/>
      <c r="D375" s="334" t="n"/>
      <c r="E375" s="334" t="n"/>
      <c r="F375" s="334" t="n"/>
      <c r="G375" s="334" t="n"/>
      <c r="H375" s="334" t="n"/>
      <c r="I375" s="332">
        <f>IFERROR(VLOOKUP(TEXT(H375,"0"),IPRESS!$A$3:$B$212,2,0),"")</f>
        <v/>
      </c>
      <c r="J375" s="334" t="n"/>
      <c r="K375" s="332">
        <f>IFERROR(VLOOKUP(TEXT(O375,"0"),CONDUCTORES!$A$3:$G$54,7,0),"")</f>
        <v/>
      </c>
      <c r="L375" s="334" t="n"/>
      <c r="M375" s="334" t="n"/>
      <c r="N375" s="333">
        <f>IFERROR(IF(L375*M375=0,"",L375*M375),"")</f>
        <v/>
      </c>
      <c r="O375" s="334" t="n"/>
      <c r="P375" s="332">
        <f>IFERROR(VLOOKUP(TEXT(O375,"0"),CONDUCTORES!$A$3:$G$54,2,0),"")</f>
        <v/>
      </c>
      <c r="Q375" s="332">
        <f>IFERROR(VLOOKUP(TEXT(O375,"0"),CONDUCTORES!$A$3:$H$54,6,0),"")</f>
        <v/>
      </c>
      <c r="R375" s="334" t="n"/>
      <c r="S375" s="334" t="n"/>
      <c r="T375" s="334" t="n"/>
      <c r="U375" s="334" t="n"/>
      <c r="V375" s="334" t="n"/>
      <c r="W375" s="334" t="n"/>
      <c r="X375" s="334" t="n"/>
      <c r="Y375" s="334" t="n"/>
    </row>
    <row r="376" ht="15" customHeight="1" s="195">
      <c r="A376" s="280" t="n"/>
      <c r="B376" s="280" t="n"/>
      <c r="C376" s="280" t="n"/>
      <c r="D376" s="280" t="n"/>
      <c r="E376" s="280" t="n"/>
      <c r="F376" s="280" t="n"/>
      <c r="G376" s="280" t="n"/>
      <c r="H376" s="280" t="n"/>
      <c r="I376" s="332">
        <f>IFERROR(VLOOKUP(TEXT(H376,"0"),IPRESS!$A$3:$B$212,2,0),"")</f>
        <v/>
      </c>
      <c r="J376" s="280" t="n"/>
      <c r="K376" s="332">
        <f>IFERROR(VLOOKUP(TEXT(O376,"0"),CONDUCTORES!$A$3:$G$54,7,0),"")</f>
        <v/>
      </c>
      <c r="L376" s="280" t="n"/>
      <c r="M376" s="280" t="n"/>
      <c r="N376" s="333">
        <f>IFERROR(IF(L376*M376=0,"",L376*M376),"")</f>
        <v/>
      </c>
      <c r="O376" s="280" t="n"/>
      <c r="P376" s="332">
        <f>IFERROR(VLOOKUP(TEXT(O376,"0"),CONDUCTORES!$A$3:$G$54,2,0),"")</f>
        <v/>
      </c>
      <c r="Q376" s="332">
        <f>IFERROR(VLOOKUP(TEXT(O376,"0"),CONDUCTORES!$A$3:$H$54,6,0),"")</f>
        <v/>
      </c>
      <c r="R376" s="280" t="n"/>
      <c r="S376" s="280" t="n"/>
      <c r="T376" s="280" t="n"/>
      <c r="U376" s="280" t="n"/>
      <c r="V376" s="280" t="n"/>
      <c r="W376" s="280" t="n"/>
      <c r="X376" s="280" t="n"/>
      <c r="Y376" s="280" t="n"/>
    </row>
    <row r="377" ht="15" customHeight="1" s="195">
      <c r="A377" s="334" t="n"/>
      <c r="B377" s="334" t="n"/>
      <c r="C377" s="334" t="n"/>
      <c r="D377" s="334" t="n"/>
      <c r="E377" s="334" t="n"/>
      <c r="F377" s="334" t="n"/>
      <c r="G377" s="334" t="n"/>
      <c r="H377" s="334" t="n"/>
      <c r="I377" s="332">
        <f>IFERROR(VLOOKUP(TEXT(H377,"0"),IPRESS!$A$3:$B$212,2,0),"")</f>
        <v/>
      </c>
      <c r="J377" s="334" t="n"/>
      <c r="K377" s="332">
        <f>IFERROR(VLOOKUP(TEXT(O377,"0"),CONDUCTORES!$A$3:$G$54,7,0),"")</f>
        <v/>
      </c>
      <c r="L377" s="334" t="n"/>
      <c r="M377" s="334" t="n"/>
      <c r="N377" s="333">
        <f>IFERROR(IF(L377*M377=0,"",L377*M377),"")</f>
        <v/>
      </c>
      <c r="O377" s="334" t="n"/>
      <c r="P377" s="332">
        <f>IFERROR(VLOOKUP(TEXT(O377,"0"),CONDUCTORES!$A$3:$G$54,2,0),"")</f>
        <v/>
      </c>
      <c r="Q377" s="332">
        <f>IFERROR(VLOOKUP(TEXT(O377,"0"),CONDUCTORES!$A$3:$H$54,6,0),"")</f>
        <v/>
      </c>
      <c r="R377" s="334" t="n"/>
      <c r="S377" s="334" t="n"/>
      <c r="T377" s="334" t="n"/>
      <c r="U377" s="334" t="n"/>
      <c r="V377" s="334" t="n"/>
      <c r="W377" s="334" t="n"/>
      <c r="X377" s="334" t="n"/>
      <c r="Y377" s="334" t="n"/>
    </row>
    <row r="378" ht="15" customHeight="1" s="195">
      <c r="A378" s="280" t="n"/>
      <c r="B378" s="280" t="n"/>
      <c r="C378" s="280" t="n"/>
      <c r="D378" s="280" t="n"/>
      <c r="E378" s="280" t="n"/>
      <c r="F378" s="280" t="n"/>
      <c r="G378" s="280" t="n"/>
      <c r="H378" s="280" t="n"/>
      <c r="I378" s="332">
        <f>IFERROR(VLOOKUP(TEXT(H378,"0"),IPRESS!$A$3:$B$212,2,0),"")</f>
        <v/>
      </c>
      <c r="J378" s="280" t="n"/>
      <c r="K378" s="332">
        <f>IFERROR(VLOOKUP(TEXT(O378,"0"),CONDUCTORES!$A$3:$G$54,7,0),"")</f>
        <v/>
      </c>
      <c r="L378" s="280" t="n"/>
      <c r="M378" s="280" t="n"/>
      <c r="N378" s="333">
        <f>IFERROR(IF(L378*M378=0,"",L378*M378),"")</f>
        <v/>
      </c>
      <c r="O378" s="280" t="n"/>
      <c r="P378" s="332">
        <f>IFERROR(VLOOKUP(TEXT(O378,"0"),CONDUCTORES!$A$3:$G$54,2,0),"")</f>
        <v/>
      </c>
      <c r="Q378" s="332">
        <f>IFERROR(VLOOKUP(TEXT(O378,"0"),CONDUCTORES!$A$3:$H$54,6,0),"")</f>
        <v/>
      </c>
      <c r="R378" s="280" t="n"/>
      <c r="S378" s="280" t="n"/>
      <c r="T378" s="280" t="n"/>
      <c r="U378" s="280" t="n"/>
      <c r="V378" s="280" t="n"/>
      <c r="W378" s="280" t="n"/>
      <c r="X378" s="280" t="n"/>
      <c r="Y378" s="280" t="n"/>
    </row>
    <row r="379" ht="15" customHeight="1" s="195">
      <c r="A379" s="334" t="n"/>
      <c r="B379" s="334" t="n"/>
      <c r="C379" s="334" t="n"/>
      <c r="D379" s="334" t="n"/>
      <c r="E379" s="334" t="n"/>
      <c r="F379" s="334" t="n"/>
      <c r="G379" s="334" t="n"/>
      <c r="H379" s="334" t="n"/>
      <c r="I379" s="332">
        <f>IFERROR(VLOOKUP(TEXT(H379,"0"),IPRESS!$A$3:$B$212,2,0),"")</f>
        <v/>
      </c>
      <c r="J379" s="334" t="n"/>
      <c r="K379" s="332">
        <f>IFERROR(VLOOKUP(TEXT(O379,"0"),CONDUCTORES!$A$3:$G$54,7,0),"")</f>
        <v/>
      </c>
      <c r="L379" s="334" t="n"/>
      <c r="M379" s="334" t="n"/>
      <c r="N379" s="333">
        <f>IFERROR(IF(L379*M379=0,"",L379*M379),"")</f>
        <v/>
      </c>
      <c r="O379" s="334" t="n"/>
      <c r="P379" s="332">
        <f>IFERROR(VLOOKUP(TEXT(O379,"0"),CONDUCTORES!$A$3:$G$54,2,0),"")</f>
        <v/>
      </c>
      <c r="Q379" s="332">
        <f>IFERROR(VLOOKUP(TEXT(O379,"0"),CONDUCTORES!$A$3:$H$54,6,0),"")</f>
        <v/>
      </c>
      <c r="R379" s="334" t="n"/>
      <c r="S379" s="334" t="n"/>
      <c r="T379" s="334" t="n"/>
      <c r="U379" s="334" t="n"/>
      <c r="V379" s="334" t="n"/>
      <c r="W379" s="334" t="n"/>
      <c r="X379" s="334" t="n"/>
      <c r="Y379" s="334" t="n"/>
    </row>
    <row r="380" ht="15" customHeight="1" s="195">
      <c r="A380" s="280" t="n"/>
      <c r="B380" s="280" t="n"/>
      <c r="C380" s="280" t="n"/>
      <c r="D380" s="280" t="n"/>
      <c r="E380" s="280" t="n"/>
      <c r="F380" s="280" t="n"/>
      <c r="G380" s="280" t="n"/>
      <c r="H380" s="280" t="n"/>
      <c r="I380" s="332">
        <f>IFERROR(VLOOKUP(TEXT(H380,"0"),IPRESS!$A$3:$B$212,2,0),"")</f>
        <v/>
      </c>
      <c r="J380" s="280" t="n"/>
      <c r="K380" s="332">
        <f>IFERROR(VLOOKUP(TEXT(O380,"0"),CONDUCTORES!$A$3:$G$54,7,0),"")</f>
        <v/>
      </c>
      <c r="L380" s="280" t="n"/>
      <c r="M380" s="280" t="n"/>
      <c r="N380" s="333">
        <f>IFERROR(IF(L380*M380=0,"",L380*M380),"")</f>
        <v/>
      </c>
      <c r="O380" s="280" t="n"/>
      <c r="P380" s="332">
        <f>IFERROR(VLOOKUP(TEXT(O380,"0"),CONDUCTORES!$A$3:$G$54,2,0),"")</f>
        <v/>
      </c>
      <c r="Q380" s="332">
        <f>IFERROR(VLOOKUP(TEXT(O380,"0"),CONDUCTORES!$A$3:$H$54,6,0),"")</f>
        <v/>
      </c>
      <c r="R380" s="280" t="n"/>
      <c r="S380" s="280" t="n"/>
      <c r="T380" s="280" t="n"/>
      <c r="U380" s="280" t="n"/>
      <c r="V380" s="280" t="n"/>
      <c r="W380" s="280" t="n"/>
      <c r="X380" s="280" t="n"/>
      <c r="Y380" s="280" t="n"/>
    </row>
    <row r="381" ht="15" customHeight="1" s="195">
      <c r="A381" s="334" t="n"/>
      <c r="B381" s="334" t="n"/>
      <c r="C381" s="334" t="n"/>
      <c r="D381" s="334" t="n"/>
      <c r="E381" s="334" t="n"/>
      <c r="F381" s="334" t="n"/>
      <c r="G381" s="334" t="n"/>
      <c r="H381" s="334" t="n"/>
      <c r="I381" s="332">
        <f>IFERROR(VLOOKUP(TEXT(H381,"0"),IPRESS!$A$3:$B$212,2,0),"")</f>
        <v/>
      </c>
      <c r="J381" s="334" t="n"/>
      <c r="K381" s="332">
        <f>IFERROR(VLOOKUP(TEXT(O381,"0"),CONDUCTORES!$A$3:$G$54,7,0),"")</f>
        <v/>
      </c>
      <c r="L381" s="334" t="n"/>
      <c r="M381" s="334" t="n"/>
      <c r="N381" s="333">
        <f>IFERROR(IF(L381*M381=0,"",L381*M381),"")</f>
        <v/>
      </c>
      <c r="O381" s="334" t="n"/>
      <c r="P381" s="332">
        <f>IFERROR(VLOOKUP(TEXT(O381,"0"),CONDUCTORES!$A$3:$G$54,2,0),"")</f>
        <v/>
      </c>
      <c r="Q381" s="332">
        <f>IFERROR(VLOOKUP(TEXT(O381,"0"),CONDUCTORES!$A$3:$H$54,6,0),"")</f>
        <v/>
      </c>
      <c r="R381" s="334" t="n"/>
      <c r="S381" s="334" t="n"/>
      <c r="T381" s="334" t="n"/>
      <c r="U381" s="334" t="n"/>
      <c r="V381" s="334" t="n"/>
      <c r="W381" s="334" t="n"/>
      <c r="X381" s="334" t="n"/>
      <c r="Y381" s="334" t="n"/>
    </row>
    <row r="382" ht="15" customHeight="1" s="195">
      <c r="A382" s="280" t="n"/>
      <c r="B382" s="280" t="n"/>
      <c r="C382" s="280" t="n"/>
      <c r="D382" s="280" t="n"/>
      <c r="E382" s="280" t="n"/>
      <c r="F382" s="280" t="n"/>
      <c r="G382" s="280" t="n"/>
      <c r="H382" s="280" t="n"/>
      <c r="I382" s="332">
        <f>IFERROR(VLOOKUP(TEXT(H382,"0"),IPRESS!$A$3:$B$212,2,0),"")</f>
        <v/>
      </c>
      <c r="J382" s="280" t="n"/>
      <c r="K382" s="332">
        <f>IFERROR(VLOOKUP(TEXT(O382,"0"),CONDUCTORES!$A$3:$G$54,7,0),"")</f>
        <v/>
      </c>
      <c r="L382" s="280" t="n"/>
      <c r="M382" s="280" t="n"/>
      <c r="N382" s="333">
        <f>IFERROR(IF(L382*M382=0,"",L382*M382),"")</f>
        <v/>
      </c>
      <c r="O382" s="280" t="n"/>
      <c r="P382" s="332">
        <f>IFERROR(VLOOKUP(TEXT(O382,"0"),CONDUCTORES!$A$3:$G$54,2,0),"")</f>
        <v/>
      </c>
      <c r="Q382" s="332">
        <f>IFERROR(VLOOKUP(TEXT(O382,"0"),CONDUCTORES!$A$3:$H$54,6,0),"")</f>
        <v/>
      </c>
      <c r="R382" s="280" t="n"/>
      <c r="S382" s="280" t="n"/>
      <c r="T382" s="280" t="n"/>
      <c r="U382" s="280" t="n"/>
      <c r="V382" s="280" t="n"/>
      <c r="W382" s="280" t="n"/>
      <c r="X382" s="280" t="n"/>
      <c r="Y382" s="280" t="n"/>
    </row>
    <row r="383" ht="15" customHeight="1" s="195">
      <c r="A383" s="334" t="n"/>
      <c r="B383" s="334" t="n"/>
      <c r="C383" s="334" t="n"/>
      <c r="D383" s="334" t="n"/>
      <c r="E383" s="334" t="n"/>
      <c r="F383" s="334" t="n"/>
      <c r="G383" s="334" t="n"/>
      <c r="H383" s="334" t="n"/>
      <c r="I383" s="332">
        <f>IFERROR(VLOOKUP(TEXT(H383,"0"),IPRESS!$A$3:$B$212,2,0),"")</f>
        <v/>
      </c>
      <c r="J383" s="334" t="n"/>
      <c r="K383" s="332">
        <f>IFERROR(VLOOKUP(TEXT(O383,"0"),CONDUCTORES!$A$3:$G$54,7,0),"")</f>
        <v/>
      </c>
      <c r="L383" s="334" t="n"/>
      <c r="M383" s="334" t="n"/>
      <c r="N383" s="333">
        <f>IFERROR(IF(L383*M383=0,"",L383*M383),"")</f>
        <v/>
      </c>
      <c r="O383" s="334" t="n"/>
      <c r="P383" s="332">
        <f>IFERROR(VLOOKUP(TEXT(O383,"0"),CONDUCTORES!$A$3:$G$54,2,0),"")</f>
        <v/>
      </c>
      <c r="Q383" s="332">
        <f>IFERROR(VLOOKUP(TEXT(O383,"0"),CONDUCTORES!$A$3:$H$54,6,0),"")</f>
        <v/>
      </c>
      <c r="R383" s="334" t="n"/>
      <c r="S383" s="334" t="n"/>
      <c r="T383" s="334" t="n"/>
      <c r="U383" s="334" t="n"/>
      <c r="V383" s="334" t="n"/>
      <c r="W383" s="334" t="n"/>
      <c r="X383" s="334" t="n"/>
      <c r="Y383" s="334" t="n"/>
    </row>
    <row r="384" ht="15" customHeight="1" s="195">
      <c r="A384" s="280" t="n"/>
      <c r="B384" s="280" t="n"/>
      <c r="C384" s="280" t="n"/>
      <c r="D384" s="280" t="n"/>
      <c r="E384" s="280" t="n"/>
      <c r="F384" s="280" t="n"/>
      <c r="G384" s="280" t="n"/>
      <c r="H384" s="280" t="n"/>
      <c r="I384" s="332">
        <f>IFERROR(VLOOKUP(TEXT(H384,"0"),IPRESS!$A$3:$B$212,2,0),"")</f>
        <v/>
      </c>
      <c r="J384" s="280" t="n"/>
      <c r="K384" s="332">
        <f>IFERROR(VLOOKUP(TEXT(O384,"0"),CONDUCTORES!$A$3:$G$54,7,0),"")</f>
        <v/>
      </c>
      <c r="L384" s="280" t="n"/>
      <c r="M384" s="280" t="n"/>
      <c r="N384" s="333">
        <f>IFERROR(IF(L384*M384=0,"",L384*M384),"")</f>
        <v/>
      </c>
      <c r="O384" s="280" t="n"/>
      <c r="P384" s="332">
        <f>IFERROR(VLOOKUP(TEXT(O384,"0"),CONDUCTORES!$A$3:$G$54,2,0),"")</f>
        <v/>
      </c>
      <c r="Q384" s="332">
        <f>IFERROR(VLOOKUP(TEXT(O384,"0"),CONDUCTORES!$A$3:$H$54,6,0),"")</f>
        <v/>
      </c>
      <c r="R384" s="280" t="n"/>
      <c r="S384" s="280" t="n"/>
      <c r="T384" s="280" t="n"/>
      <c r="U384" s="280" t="n"/>
      <c r="V384" s="280" t="n"/>
      <c r="W384" s="280" t="n"/>
      <c r="X384" s="280" t="n"/>
      <c r="Y384" s="280" t="n"/>
    </row>
    <row r="385" ht="15" customHeight="1" s="195">
      <c r="A385" s="334" t="n"/>
      <c r="B385" s="334" t="n"/>
      <c r="C385" s="334" t="n"/>
      <c r="D385" s="334" t="n"/>
      <c r="E385" s="334" t="n"/>
      <c r="F385" s="334" t="n"/>
      <c r="G385" s="334" t="n"/>
      <c r="H385" s="334" t="n"/>
      <c r="I385" s="332">
        <f>IFERROR(VLOOKUP(TEXT(H385,"0"),IPRESS!$A$3:$B$212,2,0),"")</f>
        <v/>
      </c>
      <c r="J385" s="334" t="n"/>
      <c r="K385" s="332">
        <f>IFERROR(VLOOKUP(TEXT(O385,"0"),CONDUCTORES!$A$3:$G$54,7,0),"")</f>
        <v/>
      </c>
      <c r="L385" s="334" t="n"/>
      <c r="M385" s="334" t="n"/>
      <c r="N385" s="333">
        <f>IFERROR(IF(L385*M385=0,"",L385*M385),"")</f>
        <v/>
      </c>
      <c r="O385" s="334" t="n"/>
      <c r="P385" s="332">
        <f>IFERROR(VLOOKUP(TEXT(O385,"0"),CONDUCTORES!$A$3:$G$54,2,0),"")</f>
        <v/>
      </c>
      <c r="Q385" s="332">
        <f>IFERROR(VLOOKUP(TEXT(O385,"0"),CONDUCTORES!$A$3:$H$54,6,0),"")</f>
        <v/>
      </c>
      <c r="R385" s="334" t="n"/>
      <c r="S385" s="334" t="n"/>
      <c r="T385" s="334" t="n"/>
      <c r="U385" s="334" t="n"/>
      <c r="V385" s="334" t="n"/>
      <c r="W385" s="334" t="n"/>
      <c r="X385" s="334" t="n"/>
      <c r="Y385" s="334" t="n"/>
    </row>
    <row r="386" ht="15" customHeight="1" s="195">
      <c r="A386" s="280" t="n"/>
      <c r="B386" s="280" t="n"/>
      <c r="C386" s="280" t="n"/>
      <c r="D386" s="280" t="n"/>
      <c r="E386" s="280" t="n"/>
      <c r="F386" s="280" t="n"/>
      <c r="G386" s="280" t="n"/>
      <c r="H386" s="280" t="n"/>
      <c r="I386" s="332">
        <f>IFERROR(VLOOKUP(TEXT(H386,"0"),IPRESS!$A$3:$B$212,2,0),"")</f>
        <v/>
      </c>
      <c r="J386" s="280" t="n"/>
      <c r="K386" s="332">
        <f>IFERROR(VLOOKUP(TEXT(O386,"0"),CONDUCTORES!$A$3:$G$54,7,0),"")</f>
        <v/>
      </c>
      <c r="L386" s="280" t="n"/>
      <c r="M386" s="280" t="n"/>
      <c r="N386" s="333">
        <f>IFERROR(IF(L386*M386=0,"",L386*M386),"")</f>
        <v/>
      </c>
      <c r="O386" s="280" t="n"/>
      <c r="P386" s="332">
        <f>IFERROR(VLOOKUP(TEXT(O386,"0"),CONDUCTORES!$A$3:$G$54,2,0),"")</f>
        <v/>
      </c>
      <c r="Q386" s="332">
        <f>IFERROR(VLOOKUP(TEXT(O386,"0"),CONDUCTORES!$A$3:$H$54,6,0),"")</f>
        <v/>
      </c>
      <c r="R386" s="280" t="n"/>
      <c r="S386" s="280" t="n"/>
      <c r="T386" s="280" t="n"/>
      <c r="U386" s="280" t="n"/>
      <c r="V386" s="280" t="n"/>
      <c r="W386" s="280" t="n"/>
      <c r="X386" s="280" t="n"/>
      <c r="Y386" s="280" t="n"/>
    </row>
    <row r="387" ht="15" customHeight="1" s="195">
      <c r="A387" s="334" t="n"/>
      <c r="B387" s="334" t="n"/>
      <c r="C387" s="334" t="n"/>
      <c r="D387" s="334" t="n"/>
      <c r="E387" s="334" t="n"/>
      <c r="F387" s="334" t="n"/>
      <c r="G387" s="334" t="n"/>
      <c r="H387" s="334" t="n"/>
      <c r="I387" s="332">
        <f>IFERROR(VLOOKUP(TEXT(H387,"0"),IPRESS!$A$3:$B$212,2,0),"")</f>
        <v/>
      </c>
      <c r="J387" s="334" t="n"/>
      <c r="K387" s="332">
        <f>IFERROR(VLOOKUP(TEXT(O387,"0"),CONDUCTORES!$A$3:$G$54,7,0),"")</f>
        <v/>
      </c>
      <c r="L387" s="334" t="n"/>
      <c r="M387" s="334" t="n"/>
      <c r="N387" s="333">
        <f>IFERROR(IF(L387*M387=0,"",L387*M387),"")</f>
        <v/>
      </c>
      <c r="O387" s="334" t="n"/>
      <c r="P387" s="332">
        <f>IFERROR(VLOOKUP(TEXT(O387,"0"),CONDUCTORES!$A$3:$G$54,2,0),"")</f>
        <v/>
      </c>
      <c r="Q387" s="332">
        <f>IFERROR(VLOOKUP(TEXT(O387,"0"),CONDUCTORES!$A$3:$H$54,6,0),"")</f>
        <v/>
      </c>
      <c r="R387" s="334" t="n"/>
      <c r="S387" s="334" t="n"/>
      <c r="T387" s="334" t="n"/>
      <c r="U387" s="334" t="n"/>
      <c r="V387" s="334" t="n"/>
      <c r="W387" s="334" t="n"/>
      <c r="X387" s="334" t="n"/>
      <c r="Y387" s="334" t="n"/>
    </row>
    <row r="388" ht="15" customHeight="1" s="195">
      <c r="A388" s="280" t="n"/>
      <c r="B388" s="280" t="n"/>
      <c r="C388" s="280" t="n"/>
      <c r="D388" s="280" t="n"/>
      <c r="E388" s="280" t="n"/>
      <c r="F388" s="280" t="n"/>
      <c r="G388" s="280" t="n"/>
      <c r="H388" s="280" t="n"/>
      <c r="I388" s="332">
        <f>IFERROR(VLOOKUP(TEXT(H388,"0"),IPRESS!$A$3:$B$212,2,0),"")</f>
        <v/>
      </c>
      <c r="J388" s="280" t="n"/>
      <c r="K388" s="332">
        <f>IFERROR(VLOOKUP(TEXT(O388,"0"),CONDUCTORES!$A$3:$G$54,7,0),"")</f>
        <v/>
      </c>
      <c r="L388" s="280" t="n"/>
      <c r="M388" s="280" t="n"/>
      <c r="N388" s="333">
        <f>IFERROR(IF(L388*M388=0,"",L388*M388),"")</f>
        <v/>
      </c>
      <c r="O388" s="280" t="n"/>
      <c r="P388" s="332">
        <f>IFERROR(VLOOKUP(TEXT(O388,"0"),CONDUCTORES!$A$3:$G$54,2,0),"")</f>
        <v/>
      </c>
      <c r="Q388" s="332">
        <f>IFERROR(VLOOKUP(TEXT(O388,"0"),CONDUCTORES!$A$3:$H$54,6,0),"")</f>
        <v/>
      </c>
      <c r="R388" s="280" t="n"/>
      <c r="S388" s="280" t="n"/>
      <c r="T388" s="280" t="n"/>
      <c r="U388" s="280" t="n"/>
      <c r="V388" s="280" t="n"/>
      <c r="W388" s="280" t="n"/>
      <c r="X388" s="280" t="n"/>
      <c r="Y388" s="280" t="n"/>
    </row>
    <row r="389" ht="15" customHeight="1" s="195">
      <c r="A389" s="334" t="n"/>
      <c r="B389" s="334" t="n"/>
      <c r="C389" s="334" t="n"/>
      <c r="D389" s="334" t="n"/>
      <c r="E389" s="334" t="n"/>
      <c r="F389" s="334" t="n"/>
      <c r="G389" s="334" t="n"/>
      <c r="H389" s="334" t="n"/>
      <c r="I389" s="332">
        <f>IFERROR(VLOOKUP(TEXT(H389,"0"),IPRESS!$A$3:$B$212,2,0),"")</f>
        <v/>
      </c>
      <c r="J389" s="334" t="n"/>
      <c r="K389" s="332">
        <f>IFERROR(VLOOKUP(TEXT(O389,"0"),CONDUCTORES!$A$3:$G$54,7,0),"")</f>
        <v/>
      </c>
      <c r="L389" s="334" t="n"/>
      <c r="M389" s="334" t="n"/>
      <c r="N389" s="333">
        <f>IFERROR(IF(L389*M389=0,"",L389*M389),"")</f>
        <v/>
      </c>
      <c r="O389" s="334" t="n"/>
      <c r="P389" s="332">
        <f>IFERROR(VLOOKUP(TEXT(O389,"0"),CONDUCTORES!$A$3:$G$54,2,0),"")</f>
        <v/>
      </c>
      <c r="Q389" s="332">
        <f>IFERROR(VLOOKUP(TEXT(O389,"0"),CONDUCTORES!$A$3:$H$54,6,0),"")</f>
        <v/>
      </c>
      <c r="R389" s="334" t="n"/>
      <c r="S389" s="334" t="n"/>
      <c r="T389" s="334" t="n"/>
      <c r="U389" s="334" t="n"/>
      <c r="V389" s="334" t="n"/>
      <c r="W389" s="334" t="n"/>
      <c r="X389" s="334" t="n"/>
      <c r="Y389" s="334" t="n"/>
    </row>
    <row r="390" ht="15" customHeight="1" s="195">
      <c r="A390" s="280" t="n"/>
      <c r="B390" s="280" t="n"/>
      <c r="C390" s="280" t="n"/>
      <c r="D390" s="280" t="n"/>
      <c r="E390" s="280" t="n"/>
      <c r="F390" s="280" t="n"/>
      <c r="G390" s="280" t="n"/>
      <c r="H390" s="280" t="n"/>
      <c r="I390" s="332">
        <f>IFERROR(VLOOKUP(TEXT(H390,"0"),IPRESS!$A$3:$B$212,2,0),"")</f>
        <v/>
      </c>
      <c r="J390" s="280" t="n"/>
      <c r="K390" s="332">
        <f>IFERROR(VLOOKUP(TEXT(O390,"0"),CONDUCTORES!$A$3:$G$54,7,0),"")</f>
        <v/>
      </c>
      <c r="L390" s="280" t="n"/>
      <c r="M390" s="280" t="n"/>
      <c r="N390" s="333">
        <f>IFERROR(IF(L390*M390=0,"",L390*M390),"")</f>
        <v/>
      </c>
      <c r="O390" s="280" t="n"/>
      <c r="P390" s="332">
        <f>IFERROR(VLOOKUP(TEXT(O390,"0"),CONDUCTORES!$A$3:$G$54,2,0),"")</f>
        <v/>
      </c>
      <c r="Q390" s="332">
        <f>IFERROR(VLOOKUP(TEXT(O390,"0"),CONDUCTORES!$A$3:$H$54,6,0),"")</f>
        <v/>
      </c>
      <c r="R390" s="280" t="n"/>
      <c r="S390" s="280" t="n"/>
      <c r="T390" s="280" t="n"/>
      <c r="U390" s="280" t="n"/>
      <c r="V390" s="280" t="n"/>
      <c r="W390" s="280" t="n"/>
      <c r="X390" s="280" t="n"/>
      <c r="Y390" s="280" t="n"/>
    </row>
    <row r="391" ht="15" customHeight="1" s="195">
      <c r="A391" s="334" t="n"/>
      <c r="B391" s="334" t="n"/>
      <c r="C391" s="334" t="n"/>
      <c r="D391" s="334" t="n"/>
      <c r="E391" s="334" t="n"/>
      <c r="F391" s="334" t="n"/>
      <c r="G391" s="334" t="n"/>
      <c r="H391" s="334" t="n"/>
      <c r="I391" s="332">
        <f>IFERROR(VLOOKUP(TEXT(H391,"0"),IPRESS!$A$3:$B$212,2,0),"")</f>
        <v/>
      </c>
      <c r="J391" s="334" t="n"/>
      <c r="K391" s="332">
        <f>IFERROR(VLOOKUP(TEXT(O391,"0"),CONDUCTORES!$A$3:$G$54,7,0),"")</f>
        <v/>
      </c>
      <c r="L391" s="334" t="n"/>
      <c r="M391" s="334" t="n"/>
      <c r="N391" s="333">
        <f>IFERROR(IF(L391*M391=0,"",L391*M391),"")</f>
        <v/>
      </c>
      <c r="O391" s="334" t="n"/>
      <c r="P391" s="332">
        <f>IFERROR(VLOOKUP(TEXT(O391,"0"),CONDUCTORES!$A$3:$G$54,2,0),"")</f>
        <v/>
      </c>
      <c r="Q391" s="332">
        <f>IFERROR(VLOOKUP(TEXT(O391,"0"),CONDUCTORES!$A$3:$H$54,6,0),"")</f>
        <v/>
      </c>
      <c r="R391" s="334" t="n"/>
      <c r="S391" s="334" t="n"/>
      <c r="T391" s="334" t="n"/>
      <c r="U391" s="334" t="n"/>
      <c r="V391" s="334" t="n"/>
      <c r="W391" s="334" t="n"/>
      <c r="X391" s="334" t="n"/>
      <c r="Y391" s="334" t="n"/>
    </row>
    <row r="392" ht="15" customHeight="1" s="195">
      <c r="A392" s="280" t="n"/>
      <c r="B392" s="280" t="n"/>
      <c r="C392" s="280" t="n"/>
      <c r="D392" s="280" t="n"/>
      <c r="E392" s="280" t="n"/>
      <c r="F392" s="280" t="n"/>
      <c r="G392" s="280" t="n"/>
      <c r="H392" s="280" t="n"/>
      <c r="I392" s="332">
        <f>IFERROR(VLOOKUP(TEXT(H392,"0"),IPRESS!$A$3:$B$212,2,0),"")</f>
        <v/>
      </c>
      <c r="J392" s="280" t="n"/>
      <c r="K392" s="332">
        <f>IFERROR(VLOOKUP(TEXT(O392,"0"),CONDUCTORES!$A$3:$G$54,7,0),"")</f>
        <v/>
      </c>
      <c r="L392" s="280" t="n"/>
      <c r="M392" s="280" t="n"/>
      <c r="N392" s="333">
        <f>IFERROR(IF(L392*M392=0,"",L392*M392),"")</f>
        <v/>
      </c>
      <c r="O392" s="280" t="n"/>
      <c r="P392" s="332">
        <f>IFERROR(VLOOKUP(TEXT(O392,"0"),CONDUCTORES!$A$3:$G$54,2,0),"")</f>
        <v/>
      </c>
      <c r="Q392" s="332">
        <f>IFERROR(VLOOKUP(TEXT(O392,"0"),CONDUCTORES!$A$3:$H$54,6,0),"")</f>
        <v/>
      </c>
      <c r="R392" s="280" t="n"/>
      <c r="S392" s="280" t="n"/>
      <c r="T392" s="280" t="n"/>
      <c r="U392" s="280" t="n"/>
      <c r="V392" s="280" t="n"/>
      <c r="W392" s="280" t="n"/>
      <c r="X392" s="280" t="n"/>
      <c r="Y392" s="280" t="n"/>
    </row>
    <row r="393" ht="15" customHeight="1" s="195">
      <c r="A393" s="334" t="n"/>
      <c r="B393" s="334" t="n"/>
      <c r="C393" s="334" t="n"/>
      <c r="D393" s="334" t="n"/>
      <c r="E393" s="334" t="n"/>
      <c r="F393" s="334" t="n"/>
      <c r="G393" s="334" t="n"/>
      <c r="H393" s="334" t="n"/>
      <c r="I393" s="332">
        <f>IFERROR(VLOOKUP(TEXT(H393,"0"),IPRESS!$A$3:$B$212,2,0),"")</f>
        <v/>
      </c>
      <c r="J393" s="334" t="n"/>
      <c r="K393" s="332">
        <f>IFERROR(VLOOKUP(TEXT(O393,"0"),CONDUCTORES!$A$3:$G$54,7,0),"")</f>
        <v/>
      </c>
      <c r="L393" s="334" t="n"/>
      <c r="M393" s="334" t="n"/>
      <c r="N393" s="333">
        <f>IFERROR(IF(L393*M393=0,"",L393*M393),"")</f>
        <v/>
      </c>
      <c r="O393" s="334" t="n"/>
      <c r="P393" s="332">
        <f>IFERROR(VLOOKUP(TEXT(O393,"0"),CONDUCTORES!$A$3:$G$54,2,0),"")</f>
        <v/>
      </c>
      <c r="Q393" s="332">
        <f>IFERROR(VLOOKUP(TEXT(O393,"0"),CONDUCTORES!$A$3:$H$54,6,0),"")</f>
        <v/>
      </c>
      <c r="R393" s="334" t="n"/>
      <c r="S393" s="334" t="n"/>
      <c r="T393" s="334" t="n"/>
      <c r="U393" s="334" t="n"/>
      <c r="V393" s="334" t="n"/>
      <c r="W393" s="334" t="n"/>
      <c r="X393" s="334" t="n"/>
      <c r="Y393" s="334" t="n"/>
    </row>
    <row r="394" ht="15" customHeight="1" s="195">
      <c r="A394" s="280" t="n"/>
      <c r="B394" s="280" t="n"/>
      <c r="C394" s="280" t="n"/>
      <c r="D394" s="280" t="n"/>
      <c r="E394" s="280" t="n"/>
      <c r="F394" s="280" t="n"/>
      <c r="G394" s="280" t="n"/>
      <c r="H394" s="280" t="n"/>
      <c r="I394" s="332">
        <f>IFERROR(VLOOKUP(TEXT(H394,"0"),IPRESS!$A$3:$B$212,2,0),"")</f>
        <v/>
      </c>
      <c r="J394" s="280" t="n"/>
      <c r="K394" s="332">
        <f>IFERROR(VLOOKUP(TEXT(O394,"0"),CONDUCTORES!$A$3:$G$54,7,0),"")</f>
        <v/>
      </c>
      <c r="L394" s="280" t="n"/>
      <c r="M394" s="280" t="n"/>
      <c r="N394" s="333">
        <f>IFERROR(IF(L394*M394=0,"",L394*M394),"")</f>
        <v/>
      </c>
      <c r="O394" s="280" t="n"/>
      <c r="P394" s="332">
        <f>IFERROR(VLOOKUP(TEXT(O394,"0"),CONDUCTORES!$A$3:$G$54,2,0),"")</f>
        <v/>
      </c>
      <c r="Q394" s="332">
        <f>IFERROR(VLOOKUP(TEXT(O394,"0"),CONDUCTORES!$A$3:$H$54,6,0),"")</f>
        <v/>
      </c>
      <c r="R394" s="280" t="n"/>
      <c r="S394" s="280" t="n"/>
      <c r="T394" s="280" t="n"/>
      <c r="U394" s="280" t="n"/>
      <c r="V394" s="280" t="n"/>
      <c r="W394" s="280" t="n"/>
      <c r="X394" s="280" t="n"/>
      <c r="Y394" s="280" t="n"/>
    </row>
    <row r="395" ht="15" customHeight="1" s="195">
      <c r="A395" s="334" t="n"/>
      <c r="B395" s="334" t="n"/>
      <c r="C395" s="334" t="n"/>
      <c r="D395" s="334" t="n"/>
      <c r="E395" s="334" t="n"/>
      <c r="F395" s="334" t="n"/>
      <c r="G395" s="334" t="n"/>
      <c r="H395" s="334" t="n"/>
      <c r="I395" s="332">
        <f>IFERROR(VLOOKUP(TEXT(H395,"0"),IPRESS!$A$3:$B$212,2,0),"")</f>
        <v/>
      </c>
      <c r="J395" s="334" t="n"/>
      <c r="K395" s="332">
        <f>IFERROR(VLOOKUP(TEXT(O395,"0"),CONDUCTORES!$A$3:$G$54,7,0),"")</f>
        <v/>
      </c>
      <c r="L395" s="334" t="n"/>
      <c r="M395" s="334" t="n"/>
      <c r="N395" s="333">
        <f>IFERROR(IF(L395*M395=0,"",L395*M395),"")</f>
        <v/>
      </c>
      <c r="O395" s="334" t="n"/>
      <c r="P395" s="332">
        <f>IFERROR(VLOOKUP(TEXT(O395,"0"),CONDUCTORES!$A$3:$G$54,2,0),"")</f>
        <v/>
      </c>
      <c r="Q395" s="332">
        <f>IFERROR(VLOOKUP(TEXT(O395,"0"),CONDUCTORES!$A$3:$H$54,6,0),"")</f>
        <v/>
      </c>
      <c r="R395" s="334" t="n"/>
      <c r="S395" s="334" t="n"/>
      <c r="T395" s="334" t="n"/>
      <c r="U395" s="334" t="n"/>
      <c r="V395" s="334" t="n"/>
      <c r="W395" s="334" t="n"/>
      <c r="X395" s="334" t="n"/>
      <c r="Y395" s="334" t="n"/>
    </row>
    <row r="396" ht="15" customHeight="1" s="195">
      <c r="A396" s="280" t="n"/>
      <c r="B396" s="280" t="n"/>
      <c r="C396" s="280" t="n"/>
      <c r="D396" s="280" t="n"/>
      <c r="E396" s="280" t="n"/>
      <c r="F396" s="280" t="n"/>
      <c r="G396" s="280" t="n"/>
      <c r="H396" s="280" t="n"/>
      <c r="I396" s="332">
        <f>IFERROR(VLOOKUP(TEXT(H396,"0"),IPRESS!$A$3:$B$212,2,0),"")</f>
        <v/>
      </c>
      <c r="J396" s="280" t="n"/>
      <c r="K396" s="332">
        <f>IFERROR(VLOOKUP(TEXT(O396,"0"),CONDUCTORES!$A$3:$G$54,7,0),"")</f>
        <v/>
      </c>
      <c r="L396" s="280" t="n"/>
      <c r="M396" s="280" t="n"/>
      <c r="N396" s="333">
        <f>IFERROR(IF(L396*M396=0,"",L396*M396),"")</f>
        <v/>
      </c>
      <c r="O396" s="280" t="n"/>
      <c r="P396" s="332">
        <f>IFERROR(VLOOKUP(TEXT(O396,"0"),CONDUCTORES!$A$3:$G$54,2,0),"")</f>
        <v/>
      </c>
      <c r="Q396" s="332">
        <f>IFERROR(VLOOKUP(TEXT(O396,"0"),CONDUCTORES!$A$3:$H$54,6,0),"")</f>
        <v/>
      </c>
      <c r="R396" s="280" t="n"/>
      <c r="S396" s="280" t="n"/>
      <c r="T396" s="280" t="n"/>
      <c r="U396" s="280" t="n"/>
      <c r="V396" s="280" t="n"/>
      <c r="W396" s="280" t="n"/>
      <c r="X396" s="280" t="n"/>
      <c r="Y396" s="280" t="n"/>
    </row>
    <row r="397" ht="15" customHeight="1" s="195">
      <c r="A397" s="334" t="n"/>
      <c r="B397" s="334" t="n"/>
      <c r="C397" s="334" t="n"/>
      <c r="D397" s="334" t="n"/>
      <c r="E397" s="334" t="n"/>
      <c r="F397" s="334" t="n"/>
      <c r="G397" s="334" t="n"/>
      <c r="H397" s="334" t="n"/>
      <c r="I397" s="332">
        <f>IFERROR(VLOOKUP(TEXT(H397,"0"),IPRESS!$A$3:$B$212,2,0),"")</f>
        <v/>
      </c>
      <c r="J397" s="334" t="n"/>
      <c r="K397" s="332">
        <f>IFERROR(VLOOKUP(TEXT(O397,"0"),CONDUCTORES!$A$3:$G$54,7,0),"")</f>
        <v/>
      </c>
      <c r="L397" s="334" t="n"/>
      <c r="M397" s="334" t="n"/>
      <c r="N397" s="333">
        <f>IFERROR(IF(L397*M397=0,"",L397*M397),"")</f>
        <v/>
      </c>
      <c r="O397" s="334" t="n"/>
      <c r="P397" s="332">
        <f>IFERROR(VLOOKUP(TEXT(O397,"0"),CONDUCTORES!$A$3:$G$54,2,0),"")</f>
        <v/>
      </c>
      <c r="Q397" s="332">
        <f>IFERROR(VLOOKUP(TEXT(O397,"0"),CONDUCTORES!$A$3:$H$54,6,0),"")</f>
        <v/>
      </c>
      <c r="R397" s="334" t="n"/>
      <c r="S397" s="334" t="n"/>
      <c r="T397" s="334" t="n"/>
      <c r="U397" s="334" t="n"/>
      <c r="V397" s="334" t="n"/>
      <c r="W397" s="334" t="n"/>
      <c r="X397" s="334" t="n"/>
      <c r="Y397" s="334" t="n"/>
    </row>
    <row r="398" ht="15" customHeight="1" s="195">
      <c r="A398" s="280" t="n"/>
      <c r="B398" s="280" t="n"/>
      <c r="C398" s="280" t="n"/>
      <c r="D398" s="280" t="n"/>
      <c r="E398" s="280" t="n"/>
      <c r="F398" s="280" t="n"/>
      <c r="G398" s="280" t="n"/>
      <c r="H398" s="280" t="n"/>
      <c r="I398" s="332">
        <f>IFERROR(VLOOKUP(TEXT(H398,"0"),IPRESS!$A$3:$B$212,2,0),"")</f>
        <v/>
      </c>
      <c r="J398" s="280" t="n"/>
      <c r="K398" s="332">
        <f>IFERROR(VLOOKUP(TEXT(O398,"0"),CONDUCTORES!$A$3:$G$54,7,0),"")</f>
        <v/>
      </c>
      <c r="L398" s="280" t="n"/>
      <c r="M398" s="280" t="n"/>
      <c r="N398" s="333">
        <f>IFERROR(IF(L398*M398=0,"",L398*M398),"")</f>
        <v/>
      </c>
      <c r="O398" s="280" t="n"/>
      <c r="P398" s="332">
        <f>IFERROR(VLOOKUP(TEXT(O398,"0"),CONDUCTORES!$A$3:$G$54,2,0),"")</f>
        <v/>
      </c>
      <c r="Q398" s="332">
        <f>IFERROR(VLOOKUP(TEXT(O398,"0"),CONDUCTORES!$A$3:$H$54,6,0),"")</f>
        <v/>
      </c>
      <c r="R398" s="280" t="n"/>
      <c r="S398" s="280" t="n"/>
      <c r="T398" s="280" t="n"/>
      <c r="U398" s="280" t="n"/>
      <c r="V398" s="280" t="n"/>
      <c r="W398" s="280" t="n"/>
      <c r="X398" s="280" t="n"/>
      <c r="Y398" s="280" t="n"/>
    </row>
    <row r="399" ht="15" customHeight="1" s="195">
      <c r="A399" s="334" t="n"/>
      <c r="B399" s="334" t="n"/>
      <c r="C399" s="334" t="n"/>
      <c r="D399" s="334" t="n"/>
      <c r="E399" s="334" t="n"/>
      <c r="F399" s="334" t="n"/>
      <c r="G399" s="334" t="n"/>
      <c r="H399" s="334" t="n"/>
      <c r="I399" s="332">
        <f>IFERROR(VLOOKUP(TEXT(H399,"0"),IPRESS!$A$3:$B$212,2,0),"")</f>
        <v/>
      </c>
      <c r="J399" s="334" t="n"/>
      <c r="K399" s="332">
        <f>IFERROR(VLOOKUP(TEXT(O399,"0"),CONDUCTORES!$A$3:$G$54,7,0),"")</f>
        <v/>
      </c>
      <c r="L399" s="334" t="n"/>
      <c r="M399" s="334" t="n"/>
      <c r="N399" s="333">
        <f>IFERROR(IF(L399*M399=0,"",L399*M399),"")</f>
        <v/>
      </c>
      <c r="O399" s="334" t="n"/>
      <c r="P399" s="332">
        <f>IFERROR(VLOOKUP(TEXT(O399,"0"),CONDUCTORES!$A$3:$G$54,2,0),"")</f>
        <v/>
      </c>
      <c r="Q399" s="332">
        <f>IFERROR(VLOOKUP(TEXT(O399,"0"),CONDUCTORES!$A$3:$H$54,6,0),"")</f>
        <v/>
      </c>
      <c r="R399" s="334" t="n"/>
      <c r="S399" s="334" t="n"/>
      <c r="T399" s="334" t="n"/>
      <c r="U399" s="334" t="n"/>
      <c r="V399" s="334" t="n"/>
      <c r="W399" s="334" t="n"/>
      <c r="X399" s="334" t="n"/>
      <c r="Y399" s="334" t="n"/>
    </row>
    <row r="400" ht="15" customHeight="1" s="195">
      <c r="A400" s="280" t="n"/>
      <c r="B400" s="280" t="n"/>
      <c r="C400" s="280" t="n"/>
      <c r="D400" s="280" t="n"/>
      <c r="E400" s="280" t="n"/>
      <c r="F400" s="280" t="n"/>
      <c r="G400" s="280" t="n"/>
      <c r="H400" s="280" t="n"/>
      <c r="I400" s="332">
        <f>IFERROR(VLOOKUP(TEXT(H400,"0"),IPRESS!$A$3:$B$212,2,0),"")</f>
        <v/>
      </c>
      <c r="J400" s="280" t="n"/>
      <c r="K400" s="332">
        <f>IFERROR(VLOOKUP(TEXT(O400,"0"),CONDUCTORES!$A$3:$G$54,7,0),"")</f>
        <v/>
      </c>
      <c r="L400" s="280" t="n"/>
      <c r="M400" s="280" t="n"/>
      <c r="N400" s="333">
        <f>IFERROR(IF(L400*M400=0,"",L400*M400),"")</f>
        <v/>
      </c>
      <c r="O400" s="280" t="n"/>
      <c r="P400" s="332">
        <f>IFERROR(VLOOKUP(TEXT(O400,"0"),CONDUCTORES!$A$3:$G$54,2,0),"")</f>
        <v/>
      </c>
      <c r="Q400" s="332">
        <f>IFERROR(VLOOKUP(TEXT(O400,"0"),CONDUCTORES!$A$3:$H$54,6,0),"")</f>
        <v/>
      </c>
      <c r="R400" s="280" t="n"/>
      <c r="S400" s="280" t="n"/>
      <c r="T400" s="280" t="n"/>
      <c r="U400" s="280" t="n"/>
      <c r="V400" s="280" t="n"/>
      <c r="W400" s="280" t="n"/>
      <c r="X400" s="280" t="n"/>
      <c r="Y400" s="280" t="n"/>
    </row>
    <row r="401" ht="15" customHeight="1" s="195">
      <c r="A401" s="334" t="n"/>
      <c r="B401" s="334" t="n"/>
      <c r="C401" s="334" t="n"/>
      <c r="D401" s="334" t="n"/>
      <c r="E401" s="334" t="n"/>
      <c r="F401" s="334" t="n"/>
      <c r="G401" s="334" t="n"/>
      <c r="H401" s="334" t="n"/>
      <c r="I401" s="332">
        <f>IFERROR(VLOOKUP(TEXT(H401,"0"),IPRESS!$A$3:$B$212,2,0),"")</f>
        <v/>
      </c>
      <c r="J401" s="334" t="n"/>
      <c r="K401" s="332">
        <f>IFERROR(VLOOKUP(TEXT(O401,"0"),CONDUCTORES!$A$3:$G$54,7,0),"")</f>
        <v/>
      </c>
      <c r="L401" s="334" t="n"/>
      <c r="M401" s="334" t="n"/>
      <c r="N401" s="333">
        <f>IFERROR(IF(L401*M401=0,"",L401*M401),"")</f>
        <v/>
      </c>
      <c r="O401" s="334" t="n"/>
      <c r="P401" s="332">
        <f>IFERROR(VLOOKUP(TEXT(O401,"0"),CONDUCTORES!$A$3:$G$54,2,0),"")</f>
        <v/>
      </c>
      <c r="Q401" s="332">
        <f>IFERROR(VLOOKUP(TEXT(O401,"0"),CONDUCTORES!$A$3:$H$54,6,0),"")</f>
        <v/>
      </c>
      <c r="R401" s="334" t="n"/>
      <c r="S401" s="334" t="n"/>
      <c r="T401" s="334" t="n"/>
      <c r="U401" s="334" t="n"/>
      <c r="V401" s="334" t="n"/>
      <c r="W401" s="334" t="n"/>
      <c r="X401" s="334" t="n"/>
      <c r="Y401" s="334" t="n"/>
    </row>
    <row r="402" ht="15" customHeight="1" s="195">
      <c r="A402" s="280" t="n"/>
      <c r="B402" s="280" t="n"/>
      <c r="C402" s="280" t="n"/>
      <c r="D402" s="280" t="n"/>
      <c r="E402" s="280" t="n"/>
      <c r="F402" s="280" t="n"/>
      <c r="G402" s="280" t="n"/>
      <c r="H402" s="280" t="n"/>
      <c r="I402" s="332">
        <f>IFERROR(VLOOKUP(TEXT(H402,"0"),IPRESS!$A$3:$B$212,2,0),"")</f>
        <v/>
      </c>
      <c r="J402" s="280" t="n"/>
      <c r="K402" s="332">
        <f>IFERROR(VLOOKUP(TEXT(O402,"0"),CONDUCTORES!$A$3:$G$54,7,0),"")</f>
        <v/>
      </c>
      <c r="L402" s="280" t="n"/>
      <c r="M402" s="280" t="n"/>
      <c r="N402" s="333">
        <f>IFERROR(IF(L402*M402=0,"",L402*M402),"")</f>
        <v/>
      </c>
      <c r="O402" s="280" t="n"/>
      <c r="P402" s="332">
        <f>IFERROR(VLOOKUP(TEXT(O402,"0"),CONDUCTORES!$A$3:$G$54,2,0),"")</f>
        <v/>
      </c>
      <c r="Q402" s="332">
        <f>IFERROR(VLOOKUP(TEXT(O402,"0"),CONDUCTORES!$A$3:$H$54,6,0),"")</f>
        <v/>
      </c>
      <c r="R402" s="280" t="n"/>
      <c r="S402" s="280" t="n"/>
      <c r="T402" s="280" t="n"/>
      <c r="U402" s="280" t="n"/>
      <c r="V402" s="280" t="n"/>
      <c r="W402" s="280" t="n"/>
      <c r="X402" s="280" t="n"/>
      <c r="Y402" s="280" t="n"/>
    </row>
    <row r="403" ht="15" customHeight="1" s="195">
      <c r="A403" s="334" t="n"/>
      <c r="B403" s="334" t="n"/>
      <c r="C403" s="334" t="n"/>
      <c r="D403" s="334" t="n"/>
      <c r="E403" s="334" t="n"/>
      <c r="F403" s="334" t="n"/>
      <c r="G403" s="334" t="n"/>
      <c r="H403" s="334" t="n"/>
      <c r="I403" s="332">
        <f>IFERROR(VLOOKUP(TEXT(H403,"0"),IPRESS!$A$3:$B$212,2,0),"")</f>
        <v/>
      </c>
      <c r="J403" s="334" t="n"/>
      <c r="K403" s="332">
        <f>IFERROR(VLOOKUP(TEXT(O403,"0"),CONDUCTORES!$A$3:$G$54,7,0),"")</f>
        <v/>
      </c>
      <c r="L403" s="334" t="n"/>
      <c r="M403" s="334" t="n"/>
      <c r="N403" s="333">
        <f>IFERROR(IF(L403*M403=0,"",L403*M403),"")</f>
        <v/>
      </c>
      <c r="O403" s="334" t="n"/>
      <c r="P403" s="332">
        <f>IFERROR(VLOOKUP(TEXT(O403,"0"),CONDUCTORES!$A$3:$G$54,2,0),"")</f>
        <v/>
      </c>
      <c r="Q403" s="332">
        <f>IFERROR(VLOOKUP(TEXT(O403,"0"),CONDUCTORES!$A$3:$H$54,6,0),"")</f>
        <v/>
      </c>
      <c r="R403" s="334" t="n"/>
      <c r="S403" s="334" t="n"/>
      <c r="T403" s="334" t="n"/>
      <c r="U403" s="334" t="n"/>
      <c r="V403" s="334" t="n"/>
      <c r="W403" s="334" t="n"/>
      <c r="X403" s="334" t="n"/>
      <c r="Y403" s="334" t="n"/>
    </row>
    <row r="404" ht="15" customHeight="1" s="195">
      <c r="A404" s="280" t="n"/>
      <c r="B404" s="280" t="n"/>
      <c r="C404" s="280" t="n"/>
      <c r="D404" s="280" t="n"/>
      <c r="E404" s="280" t="n"/>
      <c r="F404" s="280" t="n"/>
      <c r="G404" s="280" t="n"/>
      <c r="H404" s="280" t="n"/>
      <c r="I404" s="332">
        <f>IFERROR(VLOOKUP(TEXT(H404,"0"),IPRESS!$A$3:$B$212,2,0),"")</f>
        <v/>
      </c>
      <c r="J404" s="280" t="n"/>
      <c r="K404" s="332">
        <f>IFERROR(VLOOKUP(TEXT(O404,"0"),CONDUCTORES!$A$3:$G$54,7,0),"")</f>
        <v/>
      </c>
      <c r="L404" s="280" t="n"/>
      <c r="M404" s="280" t="n"/>
      <c r="N404" s="333">
        <f>IFERROR(IF(L404*M404=0,"",L404*M404),"")</f>
        <v/>
      </c>
      <c r="O404" s="280" t="n"/>
      <c r="P404" s="332">
        <f>IFERROR(VLOOKUP(TEXT(O404,"0"),CONDUCTORES!$A$3:$G$54,2,0),"")</f>
        <v/>
      </c>
      <c r="Q404" s="332">
        <f>IFERROR(VLOOKUP(TEXT(O404,"0"),CONDUCTORES!$A$3:$H$54,6,0),"")</f>
        <v/>
      </c>
      <c r="R404" s="280" t="n"/>
      <c r="S404" s="280" t="n"/>
      <c r="T404" s="280" t="n"/>
      <c r="U404" s="280" t="n"/>
      <c r="V404" s="280" t="n"/>
      <c r="W404" s="280" t="n"/>
      <c r="X404" s="280" t="n"/>
      <c r="Y404" s="280" t="n"/>
    </row>
    <row r="405" ht="15" customHeight="1" s="195">
      <c r="A405" s="334" t="n"/>
      <c r="B405" s="334" t="n"/>
      <c r="C405" s="334" t="n"/>
      <c r="D405" s="334" t="n"/>
      <c r="E405" s="334" t="n"/>
      <c r="F405" s="334" t="n"/>
      <c r="G405" s="334" t="n"/>
      <c r="H405" s="334" t="n"/>
      <c r="I405" s="332">
        <f>IFERROR(VLOOKUP(TEXT(H405,"0"),IPRESS!$A$3:$B$212,2,0),"")</f>
        <v/>
      </c>
      <c r="J405" s="334" t="n"/>
      <c r="K405" s="332">
        <f>IFERROR(VLOOKUP(TEXT(O405,"0"),CONDUCTORES!$A$3:$G$54,7,0),"")</f>
        <v/>
      </c>
      <c r="L405" s="334" t="n"/>
      <c r="M405" s="334" t="n"/>
      <c r="N405" s="333">
        <f>IFERROR(IF(L405*M405=0,"",L405*M405),"")</f>
        <v/>
      </c>
      <c r="O405" s="334" t="n"/>
      <c r="P405" s="332">
        <f>IFERROR(VLOOKUP(TEXT(O405,"0"),CONDUCTORES!$A$3:$G$54,2,0),"")</f>
        <v/>
      </c>
      <c r="Q405" s="332">
        <f>IFERROR(VLOOKUP(TEXT(O405,"0"),CONDUCTORES!$A$3:$H$54,6,0),"")</f>
        <v/>
      </c>
      <c r="R405" s="334" t="n"/>
      <c r="S405" s="334" t="n"/>
      <c r="T405" s="334" t="n"/>
      <c r="U405" s="334" t="n"/>
      <c r="V405" s="334" t="n"/>
      <c r="W405" s="334" t="n"/>
      <c r="X405" s="334" t="n"/>
      <c r="Y405" s="334" t="n"/>
    </row>
    <row r="406" ht="15" customHeight="1" s="195">
      <c r="A406" s="280" t="n"/>
      <c r="B406" s="280" t="n"/>
      <c r="C406" s="280" t="n"/>
      <c r="D406" s="280" t="n"/>
      <c r="E406" s="280" t="n"/>
      <c r="F406" s="280" t="n"/>
      <c r="G406" s="280" t="n"/>
      <c r="H406" s="280" t="n"/>
      <c r="I406" s="332">
        <f>IFERROR(VLOOKUP(TEXT(H406,"0"),IPRESS!$A$3:$B$212,2,0),"")</f>
        <v/>
      </c>
      <c r="J406" s="280" t="n"/>
      <c r="K406" s="332">
        <f>IFERROR(VLOOKUP(TEXT(O406,"0"),CONDUCTORES!$A$3:$G$54,7,0),"")</f>
        <v/>
      </c>
      <c r="L406" s="280" t="n"/>
      <c r="M406" s="280" t="n"/>
      <c r="N406" s="333">
        <f>IFERROR(IF(L406*M406=0,"",L406*M406),"")</f>
        <v/>
      </c>
      <c r="O406" s="280" t="n"/>
      <c r="P406" s="332">
        <f>IFERROR(VLOOKUP(TEXT(O406,"0"),CONDUCTORES!$A$3:$G$54,2,0),"")</f>
        <v/>
      </c>
      <c r="Q406" s="332">
        <f>IFERROR(VLOOKUP(TEXT(O406,"0"),CONDUCTORES!$A$3:$H$54,6,0),"")</f>
        <v/>
      </c>
      <c r="R406" s="280" t="n"/>
      <c r="S406" s="280" t="n"/>
      <c r="T406" s="280" t="n"/>
      <c r="U406" s="280" t="n"/>
      <c r="V406" s="280" t="n"/>
      <c r="W406" s="280" t="n"/>
      <c r="X406" s="280" t="n"/>
      <c r="Y406" s="280" t="n"/>
    </row>
    <row r="407" ht="15" customHeight="1" s="195">
      <c r="A407" s="334" t="n"/>
      <c r="B407" s="334" t="n"/>
      <c r="C407" s="334" t="n"/>
      <c r="D407" s="334" t="n"/>
      <c r="E407" s="334" t="n"/>
      <c r="F407" s="334" t="n"/>
      <c r="G407" s="334" t="n"/>
      <c r="H407" s="334" t="n"/>
      <c r="I407" s="332">
        <f>IFERROR(VLOOKUP(TEXT(H407,"0"),IPRESS!$A$3:$B$212,2,0),"")</f>
        <v/>
      </c>
      <c r="J407" s="334" t="n"/>
      <c r="K407" s="332">
        <f>IFERROR(VLOOKUP(TEXT(O407,"0"),CONDUCTORES!$A$3:$G$54,7,0),"")</f>
        <v/>
      </c>
      <c r="L407" s="334" t="n"/>
      <c r="M407" s="334" t="n"/>
      <c r="N407" s="333">
        <f>IFERROR(IF(L407*M407=0,"",L407*M407),"")</f>
        <v/>
      </c>
      <c r="O407" s="334" t="n"/>
      <c r="P407" s="332">
        <f>IFERROR(VLOOKUP(TEXT(O407,"0"),CONDUCTORES!$A$3:$G$54,2,0),"")</f>
        <v/>
      </c>
      <c r="Q407" s="332">
        <f>IFERROR(VLOOKUP(TEXT(O407,"0"),CONDUCTORES!$A$3:$H$54,6,0),"")</f>
        <v/>
      </c>
      <c r="R407" s="334" t="n"/>
      <c r="S407" s="334" t="n"/>
      <c r="T407" s="334" t="n"/>
      <c r="U407" s="334" t="n"/>
      <c r="V407" s="334" t="n"/>
      <c r="W407" s="334" t="n"/>
      <c r="X407" s="334" t="n"/>
      <c r="Y407" s="334" t="n"/>
    </row>
    <row r="408" ht="15" customHeight="1" s="195">
      <c r="A408" s="280" t="n"/>
      <c r="B408" s="280" t="n"/>
      <c r="C408" s="280" t="n"/>
      <c r="D408" s="280" t="n"/>
      <c r="E408" s="280" t="n"/>
      <c r="F408" s="280" t="n"/>
      <c r="G408" s="280" t="n"/>
      <c r="H408" s="280" t="n"/>
      <c r="I408" s="332">
        <f>IFERROR(VLOOKUP(TEXT(H408,"0"),IPRESS!$A$3:$B$212,2,0),"")</f>
        <v/>
      </c>
      <c r="J408" s="280" t="n"/>
      <c r="K408" s="332">
        <f>IFERROR(VLOOKUP(TEXT(O408,"0"),CONDUCTORES!$A$3:$G$54,7,0),"")</f>
        <v/>
      </c>
      <c r="L408" s="280" t="n"/>
      <c r="M408" s="280" t="n"/>
      <c r="N408" s="333">
        <f>IFERROR(IF(L408*M408=0,"",L408*M408),"")</f>
        <v/>
      </c>
      <c r="O408" s="280" t="n"/>
      <c r="P408" s="332">
        <f>IFERROR(VLOOKUP(TEXT(O408,"0"),CONDUCTORES!$A$3:$G$54,2,0),"")</f>
        <v/>
      </c>
      <c r="Q408" s="332">
        <f>IFERROR(VLOOKUP(TEXT(O408,"0"),CONDUCTORES!$A$3:$H$54,6,0),"")</f>
        <v/>
      </c>
      <c r="R408" s="280" t="n"/>
      <c r="S408" s="280" t="n"/>
      <c r="T408" s="280" t="n"/>
      <c r="U408" s="280" t="n"/>
      <c r="V408" s="280" t="n"/>
      <c r="W408" s="280" t="n"/>
      <c r="X408" s="280" t="n"/>
      <c r="Y408" s="280" t="n"/>
    </row>
    <row r="409" ht="15" customHeight="1" s="195">
      <c r="A409" s="334" t="n"/>
      <c r="B409" s="334" t="n"/>
      <c r="C409" s="334" t="n"/>
      <c r="D409" s="334" t="n"/>
      <c r="E409" s="334" t="n"/>
      <c r="F409" s="334" t="n"/>
      <c r="G409" s="334" t="n"/>
      <c r="H409" s="334" t="n"/>
      <c r="I409" s="332">
        <f>IFERROR(VLOOKUP(TEXT(H409,"0"),IPRESS!$A$3:$B$212,2,0),"")</f>
        <v/>
      </c>
      <c r="J409" s="334" t="n"/>
      <c r="K409" s="332">
        <f>IFERROR(VLOOKUP(TEXT(O409,"0"),CONDUCTORES!$A$3:$G$54,7,0),"")</f>
        <v/>
      </c>
      <c r="L409" s="334" t="n"/>
      <c r="M409" s="334" t="n"/>
      <c r="N409" s="333">
        <f>IFERROR(IF(L409*M409=0,"",L409*M409),"")</f>
        <v/>
      </c>
      <c r="O409" s="334" t="n"/>
      <c r="P409" s="332">
        <f>IFERROR(VLOOKUP(TEXT(O409,"0"),CONDUCTORES!$A$3:$G$54,2,0),"")</f>
        <v/>
      </c>
      <c r="Q409" s="332">
        <f>IFERROR(VLOOKUP(TEXT(O409,"0"),CONDUCTORES!$A$3:$H$54,6,0),"")</f>
        <v/>
      </c>
      <c r="R409" s="334" t="n"/>
      <c r="S409" s="334" t="n"/>
      <c r="T409" s="334" t="n"/>
      <c r="U409" s="334" t="n"/>
      <c r="V409" s="334" t="n"/>
      <c r="W409" s="334" t="n"/>
      <c r="X409" s="334" t="n"/>
      <c r="Y409" s="334" t="n"/>
    </row>
    <row r="410" ht="15" customHeight="1" s="195">
      <c r="A410" s="280" t="n"/>
      <c r="B410" s="280" t="n"/>
      <c r="C410" s="280" t="n"/>
      <c r="D410" s="280" t="n"/>
      <c r="E410" s="280" t="n"/>
      <c r="F410" s="280" t="n"/>
      <c r="G410" s="280" t="n"/>
      <c r="H410" s="280" t="n"/>
      <c r="I410" s="332">
        <f>IFERROR(VLOOKUP(TEXT(H410,"0"),IPRESS!$A$3:$B$212,2,0),"")</f>
        <v/>
      </c>
      <c r="J410" s="280" t="n"/>
      <c r="K410" s="332">
        <f>IFERROR(VLOOKUP(TEXT(O410,"0"),CONDUCTORES!$A$3:$G$54,7,0),"")</f>
        <v/>
      </c>
      <c r="L410" s="280" t="n"/>
      <c r="M410" s="280" t="n"/>
      <c r="N410" s="333">
        <f>IFERROR(IF(L410*M410=0,"",L410*M410),"")</f>
        <v/>
      </c>
      <c r="O410" s="280" t="n"/>
      <c r="P410" s="332">
        <f>IFERROR(VLOOKUP(TEXT(O410,"0"),CONDUCTORES!$A$3:$G$54,2,0),"")</f>
        <v/>
      </c>
      <c r="Q410" s="332">
        <f>IFERROR(VLOOKUP(TEXT(O410,"0"),CONDUCTORES!$A$3:$H$54,6,0),"")</f>
        <v/>
      </c>
      <c r="R410" s="280" t="n"/>
      <c r="S410" s="280" t="n"/>
      <c r="T410" s="280" t="n"/>
      <c r="U410" s="280" t="n"/>
      <c r="V410" s="280" t="n"/>
      <c r="W410" s="280" t="n"/>
      <c r="X410" s="280" t="n"/>
      <c r="Y410" s="280" t="n"/>
    </row>
    <row r="411" ht="15" customHeight="1" s="195">
      <c r="A411" s="334" t="n"/>
      <c r="B411" s="334" t="n"/>
      <c r="C411" s="334" t="n"/>
      <c r="D411" s="334" t="n"/>
      <c r="E411" s="334" t="n"/>
      <c r="F411" s="334" t="n"/>
      <c r="G411" s="334" t="n"/>
      <c r="H411" s="334" t="n"/>
      <c r="I411" s="332">
        <f>IFERROR(VLOOKUP(TEXT(H411,"0"),IPRESS!$A$3:$B$212,2,0),"")</f>
        <v/>
      </c>
      <c r="J411" s="334" t="n"/>
      <c r="K411" s="332">
        <f>IFERROR(VLOOKUP(TEXT(O411,"0"),CONDUCTORES!$A$3:$G$54,7,0),"")</f>
        <v/>
      </c>
      <c r="L411" s="334" t="n"/>
      <c r="M411" s="334" t="n"/>
      <c r="N411" s="333">
        <f>IFERROR(IF(L411*M411=0,"",L411*M411),"")</f>
        <v/>
      </c>
      <c r="O411" s="334" t="n"/>
      <c r="P411" s="332">
        <f>IFERROR(VLOOKUP(TEXT(O411,"0"),CONDUCTORES!$A$3:$G$54,2,0),"")</f>
        <v/>
      </c>
      <c r="Q411" s="332">
        <f>IFERROR(VLOOKUP(TEXT(O411,"0"),CONDUCTORES!$A$3:$H$54,6,0),"")</f>
        <v/>
      </c>
      <c r="R411" s="334" t="n"/>
      <c r="S411" s="334" t="n"/>
      <c r="T411" s="334" t="n"/>
      <c r="U411" s="334" t="n"/>
      <c r="V411" s="334" t="n"/>
      <c r="W411" s="334" t="n"/>
      <c r="X411" s="334" t="n"/>
      <c r="Y411" s="334" t="n"/>
    </row>
    <row r="412" ht="15" customHeight="1" s="195">
      <c r="A412" s="280" t="n"/>
      <c r="B412" s="280" t="n"/>
      <c r="C412" s="280" t="n"/>
      <c r="D412" s="280" t="n"/>
      <c r="E412" s="280" t="n"/>
      <c r="F412" s="280" t="n"/>
      <c r="G412" s="280" t="n"/>
      <c r="H412" s="280" t="n"/>
      <c r="I412" s="332">
        <f>IFERROR(VLOOKUP(TEXT(H412,"0"),IPRESS!$A$3:$B$212,2,0),"")</f>
        <v/>
      </c>
      <c r="J412" s="280" t="n"/>
      <c r="K412" s="332">
        <f>IFERROR(VLOOKUP(TEXT(O412,"0"),CONDUCTORES!$A$3:$G$54,7,0),"")</f>
        <v/>
      </c>
      <c r="L412" s="280" t="n"/>
      <c r="M412" s="280" t="n"/>
      <c r="N412" s="333">
        <f>IFERROR(IF(L412*M412=0,"",L412*M412),"")</f>
        <v/>
      </c>
      <c r="O412" s="280" t="n"/>
      <c r="P412" s="332">
        <f>IFERROR(VLOOKUP(TEXT(O412,"0"),CONDUCTORES!$A$3:$G$54,2,0),"")</f>
        <v/>
      </c>
      <c r="Q412" s="332">
        <f>IFERROR(VLOOKUP(TEXT(O412,"0"),CONDUCTORES!$A$3:$H$54,6,0),"")</f>
        <v/>
      </c>
      <c r="R412" s="280" t="n"/>
      <c r="S412" s="280" t="n"/>
      <c r="T412" s="280" t="n"/>
      <c r="U412" s="280" t="n"/>
      <c r="V412" s="280" t="n"/>
      <c r="W412" s="280" t="n"/>
      <c r="X412" s="280" t="n"/>
      <c r="Y412" s="280" t="n"/>
    </row>
    <row r="413" ht="15" customHeight="1" s="195">
      <c r="A413" s="334" t="n"/>
      <c r="B413" s="334" t="n"/>
      <c r="C413" s="334" t="n"/>
      <c r="D413" s="334" t="n"/>
      <c r="E413" s="334" t="n"/>
      <c r="F413" s="334" t="n"/>
      <c r="G413" s="334" t="n"/>
      <c r="H413" s="334" t="n"/>
      <c r="I413" s="332">
        <f>IFERROR(VLOOKUP(TEXT(H413,"0"),IPRESS!$A$3:$B$212,2,0),"")</f>
        <v/>
      </c>
      <c r="J413" s="334" t="n"/>
      <c r="K413" s="332">
        <f>IFERROR(VLOOKUP(TEXT(O413,"0"),CONDUCTORES!$A$3:$G$54,7,0),"")</f>
        <v/>
      </c>
      <c r="L413" s="334" t="n"/>
      <c r="M413" s="334" t="n"/>
      <c r="N413" s="333">
        <f>IFERROR(IF(L413*M413=0,"",L413*M413),"")</f>
        <v/>
      </c>
      <c r="O413" s="334" t="n"/>
      <c r="P413" s="332">
        <f>IFERROR(VLOOKUP(TEXT(O413,"0"),CONDUCTORES!$A$3:$G$54,2,0),"")</f>
        <v/>
      </c>
      <c r="Q413" s="332">
        <f>IFERROR(VLOOKUP(TEXT(O413,"0"),CONDUCTORES!$A$3:$H$54,6,0),"")</f>
        <v/>
      </c>
      <c r="R413" s="334" t="n"/>
      <c r="S413" s="334" t="n"/>
      <c r="T413" s="334" t="n"/>
      <c r="U413" s="334" t="n"/>
      <c r="V413" s="334" t="n"/>
      <c r="W413" s="334" t="n"/>
      <c r="X413" s="334" t="n"/>
      <c r="Y413" s="334" t="n"/>
    </row>
    <row r="414" ht="15" customHeight="1" s="195">
      <c r="A414" s="280" t="n"/>
      <c r="B414" s="280" t="n"/>
      <c r="C414" s="280" t="n"/>
      <c r="D414" s="280" t="n"/>
      <c r="E414" s="280" t="n"/>
      <c r="F414" s="280" t="n"/>
      <c r="G414" s="280" t="n"/>
      <c r="H414" s="280" t="n"/>
      <c r="I414" s="332">
        <f>IFERROR(VLOOKUP(TEXT(H414,"0"),IPRESS!$A$3:$B$212,2,0),"")</f>
        <v/>
      </c>
      <c r="J414" s="280" t="n"/>
      <c r="K414" s="332">
        <f>IFERROR(VLOOKUP(TEXT(O414,"0"),CONDUCTORES!$A$3:$G$54,7,0),"")</f>
        <v/>
      </c>
      <c r="L414" s="280" t="n"/>
      <c r="M414" s="280" t="n"/>
      <c r="N414" s="333">
        <f>IFERROR(IF(L414*M414=0,"",L414*M414),"")</f>
        <v/>
      </c>
      <c r="O414" s="280" t="n"/>
      <c r="P414" s="332">
        <f>IFERROR(VLOOKUP(TEXT(O414,"0"),CONDUCTORES!$A$3:$G$54,2,0),"")</f>
        <v/>
      </c>
      <c r="Q414" s="332">
        <f>IFERROR(VLOOKUP(TEXT(O414,"0"),CONDUCTORES!$A$3:$H$54,6,0),"")</f>
        <v/>
      </c>
      <c r="R414" s="280" t="n"/>
      <c r="S414" s="280" t="n"/>
      <c r="T414" s="280" t="n"/>
      <c r="U414" s="280" t="n"/>
      <c r="V414" s="280" t="n"/>
      <c r="W414" s="280" t="n"/>
      <c r="X414" s="280" t="n"/>
      <c r="Y414" s="280" t="n"/>
    </row>
    <row r="415" ht="15" customHeight="1" s="195">
      <c r="A415" s="334" t="n"/>
      <c r="B415" s="334" t="n"/>
      <c r="C415" s="334" t="n"/>
      <c r="D415" s="334" t="n"/>
      <c r="E415" s="334" t="n"/>
      <c r="F415" s="334" t="n"/>
      <c r="G415" s="334" t="n"/>
      <c r="H415" s="334" t="n"/>
      <c r="I415" s="332">
        <f>IFERROR(VLOOKUP(TEXT(H415,"0"),IPRESS!$A$3:$B$212,2,0),"")</f>
        <v/>
      </c>
      <c r="J415" s="334" t="n"/>
      <c r="K415" s="332">
        <f>IFERROR(VLOOKUP(TEXT(O415,"0"),CONDUCTORES!$A$3:$G$54,7,0),"")</f>
        <v/>
      </c>
      <c r="L415" s="334" t="n"/>
      <c r="M415" s="334" t="n"/>
      <c r="N415" s="333">
        <f>IFERROR(IF(L415*M415=0,"",L415*M415),"")</f>
        <v/>
      </c>
      <c r="O415" s="334" t="n"/>
      <c r="P415" s="332">
        <f>IFERROR(VLOOKUP(TEXT(O415,"0"),CONDUCTORES!$A$3:$G$54,2,0),"")</f>
        <v/>
      </c>
      <c r="Q415" s="332">
        <f>IFERROR(VLOOKUP(TEXT(O415,"0"),CONDUCTORES!$A$3:$H$54,6,0),"")</f>
        <v/>
      </c>
      <c r="R415" s="334" t="n"/>
      <c r="S415" s="334" t="n"/>
      <c r="T415" s="334" t="n"/>
      <c r="U415" s="334" t="n"/>
      <c r="V415" s="334" t="n"/>
      <c r="W415" s="334" t="n"/>
      <c r="X415" s="334" t="n"/>
      <c r="Y415" s="334" t="n"/>
    </row>
    <row r="416" ht="15" customHeight="1" s="195">
      <c r="A416" s="280" t="n"/>
      <c r="B416" s="280" t="n"/>
      <c r="C416" s="280" t="n"/>
      <c r="D416" s="280" t="n"/>
      <c r="E416" s="280" t="n"/>
      <c r="F416" s="280" t="n"/>
      <c r="G416" s="280" t="n"/>
      <c r="H416" s="280" t="n"/>
      <c r="I416" s="332">
        <f>IFERROR(VLOOKUP(TEXT(H416,"0"),IPRESS!$A$3:$B$212,2,0),"")</f>
        <v/>
      </c>
      <c r="J416" s="280" t="n"/>
      <c r="K416" s="332">
        <f>IFERROR(VLOOKUP(TEXT(O416,"0"),CONDUCTORES!$A$3:$G$54,7,0),"")</f>
        <v/>
      </c>
      <c r="L416" s="280" t="n"/>
      <c r="M416" s="280" t="n"/>
      <c r="N416" s="333">
        <f>IFERROR(IF(L416*M416=0,"",L416*M416),"")</f>
        <v/>
      </c>
      <c r="O416" s="280" t="n"/>
      <c r="P416" s="332">
        <f>IFERROR(VLOOKUP(TEXT(O416,"0"),CONDUCTORES!$A$3:$G$54,2,0),"")</f>
        <v/>
      </c>
      <c r="Q416" s="332">
        <f>IFERROR(VLOOKUP(TEXT(O416,"0"),CONDUCTORES!$A$3:$H$54,6,0),"")</f>
        <v/>
      </c>
      <c r="R416" s="280" t="n"/>
      <c r="S416" s="280" t="n"/>
      <c r="T416" s="280" t="n"/>
      <c r="U416" s="280" t="n"/>
      <c r="V416" s="280" t="n"/>
      <c r="W416" s="280" t="n"/>
      <c r="X416" s="280" t="n"/>
      <c r="Y416" s="280" t="n"/>
    </row>
    <row r="417" ht="15" customHeight="1" s="195">
      <c r="A417" s="334" t="n"/>
      <c r="B417" s="334" t="n"/>
      <c r="C417" s="334" t="n"/>
      <c r="D417" s="334" t="n"/>
      <c r="E417" s="334" t="n"/>
      <c r="F417" s="334" t="n"/>
      <c r="G417" s="334" t="n"/>
      <c r="H417" s="334" t="n"/>
      <c r="I417" s="332">
        <f>IFERROR(VLOOKUP(TEXT(H417,"0"),IPRESS!$A$3:$B$212,2,0),"")</f>
        <v/>
      </c>
      <c r="J417" s="334" t="n"/>
      <c r="K417" s="332">
        <f>IFERROR(VLOOKUP(TEXT(O417,"0"),CONDUCTORES!$A$3:$G$54,7,0),"")</f>
        <v/>
      </c>
      <c r="L417" s="334" t="n"/>
      <c r="M417" s="334" t="n"/>
      <c r="N417" s="333">
        <f>IFERROR(IF(L417*M417=0,"",L417*M417),"")</f>
        <v/>
      </c>
      <c r="O417" s="334" t="n"/>
      <c r="P417" s="332">
        <f>IFERROR(VLOOKUP(TEXT(O417,"0"),CONDUCTORES!$A$3:$G$54,2,0),"")</f>
        <v/>
      </c>
      <c r="Q417" s="332">
        <f>IFERROR(VLOOKUP(TEXT(O417,"0"),CONDUCTORES!$A$3:$H$54,6,0),"")</f>
        <v/>
      </c>
      <c r="R417" s="334" t="n"/>
      <c r="S417" s="334" t="n"/>
      <c r="T417" s="334" t="n"/>
      <c r="U417" s="334" t="n"/>
      <c r="V417" s="334" t="n"/>
      <c r="W417" s="334" t="n"/>
      <c r="X417" s="334" t="n"/>
      <c r="Y417" s="334" t="n"/>
    </row>
    <row r="418" ht="15" customHeight="1" s="195">
      <c r="A418" s="280" t="n"/>
      <c r="B418" s="280" t="n"/>
      <c r="C418" s="280" t="n"/>
      <c r="D418" s="280" t="n"/>
      <c r="E418" s="280" t="n"/>
      <c r="F418" s="280" t="n"/>
      <c r="G418" s="280" t="n"/>
      <c r="H418" s="280" t="n"/>
      <c r="I418" s="332">
        <f>IFERROR(VLOOKUP(TEXT(H418,"0"),IPRESS!$A$3:$B$212,2,0),"")</f>
        <v/>
      </c>
      <c r="J418" s="280" t="n"/>
      <c r="K418" s="332">
        <f>IFERROR(VLOOKUP(TEXT(O418,"0"),CONDUCTORES!$A$3:$G$54,7,0),"")</f>
        <v/>
      </c>
      <c r="L418" s="280" t="n"/>
      <c r="M418" s="280" t="n"/>
      <c r="N418" s="333">
        <f>IFERROR(IF(L418*M418=0,"",L418*M418),"")</f>
        <v/>
      </c>
      <c r="O418" s="280" t="n"/>
      <c r="P418" s="332">
        <f>IFERROR(VLOOKUP(TEXT(O418,"0"),CONDUCTORES!$A$3:$G$54,2,0),"")</f>
        <v/>
      </c>
      <c r="Q418" s="332">
        <f>IFERROR(VLOOKUP(TEXT(O418,"0"),CONDUCTORES!$A$3:$H$54,6,0),"")</f>
        <v/>
      </c>
      <c r="R418" s="280" t="n"/>
      <c r="S418" s="280" t="n"/>
      <c r="T418" s="280" t="n"/>
      <c r="U418" s="280" t="n"/>
      <c r="V418" s="280" t="n"/>
      <c r="W418" s="280" t="n"/>
      <c r="X418" s="280" t="n"/>
      <c r="Y418" s="280" t="n"/>
    </row>
    <row r="419" ht="15" customHeight="1" s="195">
      <c r="A419" s="334" t="n"/>
      <c r="B419" s="334" t="n"/>
      <c r="C419" s="334" t="n"/>
      <c r="D419" s="334" t="n"/>
      <c r="E419" s="334" t="n"/>
      <c r="F419" s="334" t="n"/>
      <c r="G419" s="334" t="n"/>
      <c r="H419" s="334" t="n"/>
      <c r="I419" s="332">
        <f>IFERROR(VLOOKUP(TEXT(H419,"0"),IPRESS!$A$3:$B$212,2,0),"")</f>
        <v/>
      </c>
      <c r="J419" s="334" t="n"/>
      <c r="K419" s="332">
        <f>IFERROR(VLOOKUP(TEXT(O419,"0"),CONDUCTORES!$A$3:$G$54,7,0),"")</f>
        <v/>
      </c>
      <c r="L419" s="334" t="n"/>
      <c r="M419" s="334" t="n"/>
      <c r="N419" s="333">
        <f>IFERROR(IF(L419*M419=0,"",L419*M419),"")</f>
        <v/>
      </c>
      <c r="O419" s="334" t="n"/>
      <c r="P419" s="332">
        <f>IFERROR(VLOOKUP(TEXT(O419,"0"),CONDUCTORES!$A$3:$G$54,2,0),"")</f>
        <v/>
      </c>
      <c r="Q419" s="332">
        <f>IFERROR(VLOOKUP(TEXT(O419,"0"),CONDUCTORES!$A$3:$H$54,6,0),"")</f>
        <v/>
      </c>
      <c r="R419" s="334" t="n"/>
      <c r="S419" s="334" t="n"/>
      <c r="T419" s="334" t="n"/>
      <c r="U419" s="334" t="n"/>
      <c r="V419" s="334" t="n"/>
      <c r="W419" s="334" t="n"/>
      <c r="X419" s="334" t="n"/>
      <c r="Y419" s="334" t="n"/>
    </row>
    <row r="420" ht="15" customHeight="1" s="195">
      <c r="A420" s="280" t="n"/>
      <c r="B420" s="280" t="n"/>
      <c r="C420" s="280" t="n"/>
      <c r="D420" s="280" t="n"/>
      <c r="E420" s="280" t="n"/>
      <c r="F420" s="280" t="n"/>
      <c r="G420" s="280" t="n"/>
      <c r="H420" s="280" t="n"/>
      <c r="I420" s="332">
        <f>IFERROR(VLOOKUP(TEXT(H420,"0"),IPRESS!$A$3:$B$212,2,0),"")</f>
        <v/>
      </c>
      <c r="J420" s="280" t="n"/>
      <c r="K420" s="332">
        <f>IFERROR(VLOOKUP(TEXT(O420,"0"),CONDUCTORES!$A$3:$G$54,7,0),"")</f>
        <v/>
      </c>
      <c r="L420" s="280" t="n"/>
      <c r="M420" s="280" t="n"/>
      <c r="N420" s="333">
        <f>IFERROR(IF(L420*M420=0,"",L420*M420),"")</f>
        <v/>
      </c>
      <c r="O420" s="280" t="n"/>
      <c r="P420" s="332">
        <f>IFERROR(VLOOKUP(TEXT(O420,"0"),CONDUCTORES!$A$3:$G$54,2,0),"")</f>
        <v/>
      </c>
      <c r="Q420" s="332">
        <f>IFERROR(VLOOKUP(TEXT(O420,"0"),CONDUCTORES!$A$3:$H$54,6,0),"")</f>
        <v/>
      </c>
      <c r="R420" s="280" t="n"/>
      <c r="S420" s="280" t="n"/>
      <c r="T420" s="280" t="n"/>
      <c r="U420" s="280" t="n"/>
      <c r="V420" s="280" t="n"/>
      <c r="W420" s="280" t="n"/>
      <c r="X420" s="280" t="n"/>
      <c r="Y420" s="280" t="n"/>
    </row>
    <row r="421" ht="15" customHeight="1" s="195">
      <c r="A421" s="334" t="n"/>
      <c r="B421" s="334" t="n"/>
      <c r="C421" s="334" t="n"/>
      <c r="D421" s="334" t="n"/>
      <c r="E421" s="334" t="n"/>
      <c r="F421" s="334" t="n"/>
      <c r="G421" s="334" t="n"/>
      <c r="H421" s="334" t="n"/>
      <c r="I421" s="332">
        <f>IFERROR(VLOOKUP(TEXT(H421,"0"),IPRESS!$A$3:$B$212,2,0),"")</f>
        <v/>
      </c>
      <c r="J421" s="334" t="n"/>
      <c r="K421" s="332">
        <f>IFERROR(VLOOKUP(TEXT(O421,"0"),CONDUCTORES!$A$3:$G$54,7,0),"")</f>
        <v/>
      </c>
      <c r="L421" s="334" t="n"/>
      <c r="M421" s="334" t="n"/>
      <c r="N421" s="333">
        <f>IFERROR(IF(L421*M421=0,"",L421*M421),"")</f>
        <v/>
      </c>
      <c r="O421" s="334" t="n"/>
      <c r="P421" s="332">
        <f>IFERROR(VLOOKUP(TEXT(O421,"0"),CONDUCTORES!$A$3:$G$54,2,0),"")</f>
        <v/>
      </c>
      <c r="Q421" s="332">
        <f>IFERROR(VLOOKUP(TEXT(O421,"0"),CONDUCTORES!$A$3:$H$54,6,0),"")</f>
        <v/>
      </c>
      <c r="R421" s="334" t="n"/>
      <c r="S421" s="334" t="n"/>
      <c r="T421" s="334" t="n"/>
      <c r="U421" s="334" t="n"/>
      <c r="V421" s="334" t="n"/>
      <c r="W421" s="334" t="n"/>
      <c r="X421" s="334" t="n"/>
      <c r="Y421" s="334" t="n"/>
    </row>
    <row r="422" ht="15" customHeight="1" s="195">
      <c r="A422" s="280" t="n"/>
      <c r="B422" s="280" t="n"/>
      <c r="C422" s="280" t="n"/>
      <c r="D422" s="280" t="n"/>
      <c r="E422" s="280" t="n"/>
      <c r="F422" s="280" t="n"/>
      <c r="G422" s="280" t="n"/>
      <c r="H422" s="280" t="n"/>
      <c r="I422" s="332">
        <f>IFERROR(VLOOKUP(TEXT(H422,"0"),IPRESS!$A$3:$B$212,2,0),"")</f>
        <v/>
      </c>
      <c r="J422" s="280" t="n"/>
      <c r="K422" s="332">
        <f>IFERROR(VLOOKUP(TEXT(O422,"0"),CONDUCTORES!$A$3:$G$54,7,0),"")</f>
        <v/>
      </c>
      <c r="L422" s="280" t="n"/>
      <c r="M422" s="280" t="n"/>
      <c r="N422" s="333">
        <f>IFERROR(IF(L422*M422=0,"",L422*M422),"")</f>
        <v/>
      </c>
      <c r="O422" s="280" t="n"/>
      <c r="P422" s="332">
        <f>IFERROR(VLOOKUP(TEXT(O422,"0"),CONDUCTORES!$A$3:$G$54,2,0),"")</f>
        <v/>
      </c>
      <c r="Q422" s="332">
        <f>IFERROR(VLOOKUP(TEXT(O422,"0"),CONDUCTORES!$A$3:$H$54,6,0),"")</f>
        <v/>
      </c>
      <c r="R422" s="280" t="n"/>
      <c r="S422" s="280" t="n"/>
      <c r="T422" s="280" t="n"/>
      <c r="U422" s="280" t="n"/>
      <c r="V422" s="280" t="n"/>
      <c r="W422" s="280" t="n"/>
      <c r="X422" s="280" t="n"/>
      <c r="Y422" s="280" t="n"/>
    </row>
    <row r="423" ht="15" customHeight="1" s="195">
      <c r="A423" s="334" t="n"/>
      <c r="B423" s="334" t="n"/>
      <c r="C423" s="334" t="n"/>
      <c r="D423" s="334" t="n"/>
      <c r="E423" s="334" t="n"/>
      <c r="F423" s="334" t="n"/>
      <c r="G423" s="334" t="n"/>
      <c r="H423" s="334" t="n"/>
      <c r="I423" s="332">
        <f>IFERROR(VLOOKUP(TEXT(H423,"0"),IPRESS!$A$3:$B$212,2,0),"")</f>
        <v/>
      </c>
      <c r="J423" s="334" t="n"/>
      <c r="K423" s="332">
        <f>IFERROR(VLOOKUP(TEXT(O423,"0"),CONDUCTORES!$A$3:$G$54,7,0),"")</f>
        <v/>
      </c>
      <c r="L423" s="334" t="n"/>
      <c r="M423" s="334" t="n"/>
      <c r="N423" s="333">
        <f>IFERROR(IF(L423*M423=0,"",L423*M423),"")</f>
        <v/>
      </c>
      <c r="O423" s="334" t="n"/>
      <c r="P423" s="332">
        <f>IFERROR(VLOOKUP(TEXT(O423,"0"),CONDUCTORES!$A$3:$G$54,2,0),"")</f>
        <v/>
      </c>
      <c r="Q423" s="332">
        <f>IFERROR(VLOOKUP(TEXT(O423,"0"),CONDUCTORES!$A$3:$H$54,6,0),"")</f>
        <v/>
      </c>
      <c r="R423" s="334" t="n"/>
      <c r="S423" s="334" t="n"/>
      <c r="T423" s="334" t="n"/>
      <c r="U423" s="334" t="n"/>
      <c r="V423" s="334" t="n"/>
      <c r="W423" s="334" t="n"/>
      <c r="X423" s="334" t="n"/>
      <c r="Y423" s="334" t="n"/>
    </row>
    <row r="424" ht="15" customHeight="1" s="195">
      <c r="A424" s="280" t="n"/>
      <c r="B424" s="280" t="n"/>
      <c r="C424" s="280" t="n"/>
      <c r="D424" s="280" t="n"/>
      <c r="E424" s="280" t="n"/>
      <c r="F424" s="280" t="n"/>
      <c r="G424" s="280" t="n"/>
      <c r="H424" s="280" t="n"/>
      <c r="I424" s="332">
        <f>IFERROR(VLOOKUP(TEXT(H424,"0"),IPRESS!$A$3:$B$212,2,0),"")</f>
        <v/>
      </c>
      <c r="J424" s="280" t="n"/>
      <c r="K424" s="332">
        <f>IFERROR(VLOOKUP(TEXT(O424,"0"),CONDUCTORES!$A$3:$G$54,7,0),"")</f>
        <v/>
      </c>
      <c r="L424" s="280" t="n"/>
      <c r="M424" s="280" t="n"/>
      <c r="N424" s="333">
        <f>IFERROR(IF(L424*M424=0,"",L424*M424),"")</f>
        <v/>
      </c>
      <c r="O424" s="280" t="n"/>
      <c r="P424" s="332">
        <f>IFERROR(VLOOKUP(TEXT(O424,"0"),CONDUCTORES!$A$3:$G$54,2,0),"")</f>
        <v/>
      </c>
      <c r="Q424" s="332">
        <f>IFERROR(VLOOKUP(TEXT(O424,"0"),CONDUCTORES!$A$3:$H$54,6,0),"")</f>
        <v/>
      </c>
      <c r="R424" s="280" t="n"/>
      <c r="S424" s="280" t="n"/>
      <c r="T424" s="280" t="n"/>
      <c r="U424" s="280" t="n"/>
      <c r="V424" s="280" t="n"/>
      <c r="W424" s="280" t="n"/>
      <c r="X424" s="280" t="n"/>
      <c r="Y424" s="280" t="n"/>
    </row>
    <row r="425" ht="15" customHeight="1" s="195">
      <c r="A425" s="334" t="n"/>
      <c r="B425" s="334" t="n"/>
      <c r="C425" s="334" t="n"/>
      <c r="D425" s="334" t="n"/>
      <c r="E425" s="334" t="n"/>
      <c r="F425" s="334" t="n"/>
      <c r="G425" s="334" t="n"/>
      <c r="H425" s="334" t="n"/>
      <c r="I425" s="332">
        <f>IFERROR(VLOOKUP(TEXT(H425,"0"),IPRESS!$A$3:$B$212,2,0),"")</f>
        <v/>
      </c>
      <c r="J425" s="334" t="n"/>
      <c r="K425" s="332">
        <f>IFERROR(VLOOKUP(TEXT(O425,"0"),CONDUCTORES!$A$3:$G$54,7,0),"")</f>
        <v/>
      </c>
      <c r="L425" s="334" t="n"/>
      <c r="M425" s="334" t="n"/>
      <c r="N425" s="333">
        <f>IFERROR(IF(L425*M425=0,"",L425*M425),"")</f>
        <v/>
      </c>
      <c r="O425" s="334" t="n"/>
      <c r="P425" s="332">
        <f>IFERROR(VLOOKUP(TEXT(O425,"0"),CONDUCTORES!$A$3:$G$54,2,0),"")</f>
        <v/>
      </c>
      <c r="Q425" s="332">
        <f>IFERROR(VLOOKUP(TEXT(O425,"0"),CONDUCTORES!$A$3:$H$54,6,0),"")</f>
        <v/>
      </c>
      <c r="R425" s="334" t="n"/>
      <c r="S425" s="334" t="n"/>
      <c r="T425" s="334" t="n"/>
      <c r="U425" s="334" t="n"/>
      <c r="V425" s="334" t="n"/>
      <c r="W425" s="334" t="n"/>
      <c r="X425" s="334" t="n"/>
      <c r="Y425" s="334" t="n"/>
    </row>
    <row r="426" ht="15" customHeight="1" s="195">
      <c r="A426" s="280" t="n"/>
      <c r="B426" s="280" t="n"/>
      <c r="C426" s="280" t="n"/>
      <c r="D426" s="280" t="n"/>
      <c r="E426" s="280" t="n"/>
      <c r="F426" s="280" t="n"/>
      <c r="G426" s="280" t="n"/>
      <c r="H426" s="280" t="n"/>
      <c r="I426" s="332">
        <f>IFERROR(VLOOKUP(TEXT(H426,"0"),IPRESS!$A$3:$B$212,2,0),"")</f>
        <v/>
      </c>
      <c r="J426" s="280" t="n"/>
      <c r="K426" s="332">
        <f>IFERROR(VLOOKUP(TEXT(O426,"0"),CONDUCTORES!$A$3:$G$54,7,0),"")</f>
        <v/>
      </c>
      <c r="L426" s="280" t="n"/>
      <c r="M426" s="280" t="n"/>
      <c r="N426" s="333">
        <f>IFERROR(IF(L426*M426=0,"",L426*M426),"")</f>
        <v/>
      </c>
      <c r="O426" s="280" t="n"/>
      <c r="P426" s="332">
        <f>IFERROR(VLOOKUP(TEXT(O426,"0"),CONDUCTORES!$A$3:$G$54,2,0),"")</f>
        <v/>
      </c>
      <c r="Q426" s="332">
        <f>IFERROR(VLOOKUP(TEXT(O426,"0"),CONDUCTORES!$A$3:$H$54,6,0),"")</f>
        <v/>
      </c>
      <c r="R426" s="280" t="n"/>
      <c r="S426" s="280" t="n"/>
      <c r="T426" s="280" t="n"/>
      <c r="U426" s="280" t="n"/>
      <c r="V426" s="280" t="n"/>
      <c r="W426" s="280" t="n"/>
      <c r="X426" s="280" t="n"/>
      <c r="Y426" s="280" t="n"/>
    </row>
    <row r="427" ht="15" customHeight="1" s="195">
      <c r="A427" s="334" t="n"/>
      <c r="B427" s="334" t="n"/>
      <c r="C427" s="334" t="n"/>
      <c r="D427" s="334" t="n"/>
      <c r="E427" s="334" t="n"/>
      <c r="F427" s="334" t="n"/>
      <c r="G427" s="334" t="n"/>
      <c r="H427" s="334" t="n"/>
      <c r="I427" s="332">
        <f>IFERROR(VLOOKUP(TEXT(H427,"0"),IPRESS!$A$3:$B$212,2,0),"")</f>
        <v/>
      </c>
      <c r="J427" s="334" t="n"/>
      <c r="K427" s="332">
        <f>IFERROR(VLOOKUP(TEXT(O427,"0"),CONDUCTORES!$A$3:$G$54,7,0),"")</f>
        <v/>
      </c>
      <c r="L427" s="334" t="n"/>
      <c r="M427" s="334" t="n"/>
      <c r="N427" s="333">
        <f>IFERROR(IF(L427*M427=0,"",L427*M427),"")</f>
        <v/>
      </c>
      <c r="O427" s="334" t="n"/>
      <c r="P427" s="332">
        <f>IFERROR(VLOOKUP(TEXT(O427,"0"),CONDUCTORES!$A$3:$G$54,2,0),"")</f>
        <v/>
      </c>
      <c r="Q427" s="332">
        <f>IFERROR(VLOOKUP(TEXT(O427,"0"),CONDUCTORES!$A$3:$H$54,6,0),"")</f>
        <v/>
      </c>
      <c r="R427" s="334" t="n"/>
      <c r="S427" s="334" t="n"/>
      <c r="T427" s="334" t="n"/>
      <c r="U427" s="334" t="n"/>
      <c r="V427" s="334" t="n"/>
      <c r="W427" s="334" t="n"/>
      <c r="X427" s="334" t="n"/>
      <c r="Y427" s="334" t="n"/>
    </row>
    <row r="428" ht="15" customHeight="1" s="195">
      <c r="A428" s="280" t="n"/>
      <c r="B428" s="280" t="n"/>
      <c r="C428" s="280" t="n"/>
      <c r="D428" s="280" t="n"/>
      <c r="E428" s="280" t="n"/>
      <c r="F428" s="280" t="n"/>
      <c r="G428" s="280" t="n"/>
      <c r="H428" s="280" t="n"/>
      <c r="I428" s="332">
        <f>IFERROR(VLOOKUP(TEXT(H428,"0"),IPRESS!$A$3:$B$212,2,0),"")</f>
        <v/>
      </c>
      <c r="J428" s="280" t="n"/>
      <c r="K428" s="332">
        <f>IFERROR(VLOOKUP(TEXT(O428,"0"),CONDUCTORES!$A$3:$G$54,7,0),"")</f>
        <v/>
      </c>
      <c r="L428" s="280" t="n"/>
      <c r="M428" s="280" t="n"/>
      <c r="N428" s="333">
        <f>IFERROR(IF(L428*M428=0,"",L428*M428),"")</f>
        <v/>
      </c>
      <c r="O428" s="280" t="n"/>
      <c r="P428" s="332">
        <f>IFERROR(VLOOKUP(TEXT(O428,"0"),CONDUCTORES!$A$3:$G$54,2,0),"")</f>
        <v/>
      </c>
      <c r="Q428" s="332">
        <f>IFERROR(VLOOKUP(TEXT(O428,"0"),CONDUCTORES!$A$3:$H$54,6,0),"")</f>
        <v/>
      </c>
      <c r="R428" s="280" t="n"/>
      <c r="S428" s="280" t="n"/>
      <c r="T428" s="280" t="n"/>
      <c r="U428" s="280" t="n"/>
      <c r="V428" s="280" t="n"/>
      <c r="W428" s="280" t="n"/>
      <c r="X428" s="280" t="n"/>
      <c r="Y428" s="280" t="n"/>
    </row>
    <row r="429" ht="15" customHeight="1" s="195">
      <c r="A429" s="334" t="n"/>
      <c r="B429" s="334" t="n"/>
      <c r="C429" s="334" t="n"/>
      <c r="D429" s="334" t="n"/>
      <c r="E429" s="334" t="n"/>
      <c r="F429" s="334" t="n"/>
      <c r="G429" s="334" t="n"/>
      <c r="H429" s="334" t="n"/>
      <c r="I429" s="332">
        <f>IFERROR(VLOOKUP(TEXT(H429,"0"),IPRESS!$A$3:$B$212,2,0),"")</f>
        <v/>
      </c>
      <c r="J429" s="334" t="n"/>
      <c r="K429" s="332">
        <f>IFERROR(VLOOKUP(TEXT(O429,"0"),CONDUCTORES!$A$3:$G$54,7,0),"")</f>
        <v/>
      </c>
      <c r="L429" s="334" t="n"/>
      <c r="M429" s="334" t="n"/>
      <c r="N429" s="333">
        <f>IFERROR(IF(L429*M429=0,"",L429*M429),"")</f>
        <v/>
      </c>
      <c r="O429" s="334" t="n"/>
      <c r="P429" s="332">
        <f>IFERROR(VLOOKUP(TEXT(O429,"0"),CONDUCTORES!$A$3:$G$54,2,0),"")</f>
        <v/>
      </c>
      <c r="Q429" s="332">
        <f>IFERROR(VLOOKUP(TEXT(O429,"0"),CONDUCTORES!$A$3:$H$54,6,0),"")</f>
        <v/>
      </c>
      <c r="R429" s="334" t="n"/>
      <c r="S429" s="334" t="n"/>
      <c r="T429" s="334" t="n"/>
      <c r="U429" s="334" t="n"/>
      <c r="V429" s="334" t="n"/>
      <c r="W429" s="334" t="n"/>
      <c r="X429" s="334" t="n"/>
      <c r="Y429" s="334" t="n"/>
    </row>
    <row r="430" ht="15" customHeight="1" s="195">
      <c r="A430" s="280" t="n"/>
      <c r="B430" s="280" t="n"/>
      <c r="C430" s="280" t="n"/>
      <c r="D430" s="280" t="n"/>
      <c r="E430" s="280" t="n"/>
      <c r="F430" s="280" t="n"/>
      <c r="G430" s="280" t="n"/>
      <c r="H430" s="280" t="n"/>
      <c r="I430" s="332">
        <f>IFERROR(VLOOKUP(TEXT(H430,"0"),IPRESS!$A$3:$B$212,2,0),"")</f>
        <v/>
      </c>
      <c r="J430" s="280" t="n"/>
      <c r="K430" s="332">
        <f>IFERROR(VLOOKUP(TEXT(O430,"0"),CONDUCTORES!$A$3:$G$54,7,0),"")</f>
        <v/>
      </c>
      <c r="L430" s="280" t="n"/>
      <c r="M430" s="280" t="n"/>
      <c r="N430" s="333">
        <f>IFERROR(IF(L430*M430=0,"",L430*M430),"")</f>
        <v/>
      </c>
      <c r="O430" s="280" t="n"/>
      <c r="P430" s="332">
        <f>IFERROR(VLOOKUP(TEXT(O430,"0"),CONDUCTORES!$A$3:$G$54,2,0),"")</f>
        <v/>
      </c>
      <c r="Q430" s="332">
        <f>IFERROR(VLOOKUP(TEXT(O430,"0"),CONDUCTORES!$A$3:$H$54,6,0),"")</f>
        <v/>
      </c>
      <c r="R430" s="280" t="n"/>
      <c r="S430" s="280" t="n"/>
      <c r="T430" s="280" t="n"/>
      <c r="U430" s="280" t="n"/>
      <c r="V430" s="280" t="n"/>
      <c r="W430" s="280" t="n"/>
      <c r="X430" s="280" t="n"/>
      <c r="Y430" s="280" t="n"/>
    </row>
    <row r="431" ht="15" customHeight="1" s="195">
      <c r="A431" s="334" t="n"/>
      <c r="B431" s="334" t="n"/>
      <c r="C431" s="334" t="n"/>
      <c r="D431" s="334" t="n"/>
      <c r="E431" s="334" t="n"/>
      <c r="F431" s="334" t="n"/>
      <c r="G431" s="334" t="n"/>
      <c r="H431" s="334" t="n"/>
      <c r="I431" s="332">
        <f>IFERROR(VLOOKUP(TEXT(H431,"0"),IPRESS!$A$3:$B$212,2,0),"")</f>
        <v/>
      </c>
      <c r="J431" s="334" t="n"/>
      <c r="K431" s="332">
        <f>IFERROR(VLOOKUP(TEXT(O431,"0"),CONDUCTORES!$A$3:$G$54,7,0),"")</f>
        <v/>
      </c>
      <c r="L431" s="334" t="n"/>
      <c r="M431" s="334" t="n"/>
      <c r="N431" s="333">
        <f>IFERROR(IF(L431*M431=0,"",L431*M431),"")</f>
        <v/>
      </c>
      <c r="O431" s="334" t="n"/>
      <c r="P431" s="332">
        <f>IFERROR(VLOOKUP(TEXT(O431,"0"),CONDUCTORES!$A$3:$G$54,2,0),"")</f>
        <v/>
      </c>
      <c r="Q431" s="332">
        <f>IFERROR(VLOOKUP(TEXT(O431,"0"),CONDUCTORES!$A$3:$H$54,6,0),"")</f>
        <v/>
      </c>
      <c r="R431" s="334" t="n"/>
      <c r="S431" s="334" t="n"/>
      <c r="T431" s="334" t="n"/>
      <c r="U431" s="334" t="n"/>
      <c r="V431" s="334" t="n"/>
      <c r="W431" s="334" t="n"/>
      <c r="X431" s="334" t="n"/>
      <c r="Y431" s="334" t="n"/>
    </row>
    <row r="432" ht="15" customHeight="1" s="195">
      <c r="A432" s="280" t="n"/>
      <c r="B432" s="280" t="n"/>
      <c r="C432" s="280" t="n"/>
      <c r="D432" s="280" t="n"/>
      <c r="E432" s="280" t="n"/>
      <c r="F432" s="280" t="n"/>
      <c r="G432" s="280" t="n"/>
      <c r="H432" s="280" t="n"/>
      <c r="I432" s="332">
        <f>IFERROR(VLOOKUP(TEXT(H432,"0"),IPRESS!$A$3:$B$212,2,0),"")</f>
        <v/>
      </c>
      <c r="J432" s="280" t="n"/>
      <c r="K432" s="332">
        <f>IFERROR(VLOOKUP(TEXT(O432,"0"),CONDUCTORES!$A$3:$G$54,7,0),"")</f>
        <v/>
      </c>
      <c r="L432" s="280" t="n"/>
      <c r="M432" s="280" t="n"/>
      <c r="N432" s="333">
        <f>IFERROR(IF(L432*M432=0,"",L432*M432),"")</f>
        <v/>
      </c>
      <c r="O432" s="280" t="n"/>
      <c r="P432" s="332">
        <f>IFERROR(VLOOKUP(TEXT(O432,"0"),CONDUCTORES!$A$3:$G$54,2,0),"")</f>
        <v/>
      </c>
      <c r="Q432" s="332">
        <f>IFERROR(VLOOKUP(TEXT(O432,"0"),CONDUCTORES!$A$3:$H$54,6,0),"")</f>
        <v/>
      </c>
      <c r="R432" s="280" t="n"/>
      <c r="S432" s="280" t="n"/>
      <c r="T432" s="280" t="n"/>
      <c r="U432" s="280" t="n"/>
      <c r="V432" s="280" t="n"/>
      <c r="W432" s="280" t="n"/>
      <c r="X432" s="280" t="n"/>
      <c r="Y432" s="280" t="n"/>
    </row>
    <row r="433" ht="15" customHeight="1" s="195">
      <c r="A433" s="334" t="n"/>
      <c r="B433" s="334" t="n"/>
      <c r="C433" s="334" t="n"/>
      <c r="D433" s="334" t="n"/>
      <c r="E433" s="334" t="n"/>
      <c r="F433" s="334" t="n"/>
      <c r="G433" s="334" t="n"/>
      <c r="H433" s="334" t="n"/>
      <c r="I433" s="332">
        <f>IFERROR(VLOOKUP(TEXT(H433,"0"),IPRESS!$A$3:$B$212,2,0),"")</f>
        <v/>
      </c>
      <c r="J433" s="334" t="n"/>
      <c r="K433" s="332">
        <f>IFERROR(VLOOKUP(TEXT(O433,"0"),CONDUCTORES!$A$3:$G$54,7,0),"")</f>
        <v/>
      </c>
      <c r="L433" s="334" t="n"/>
      <c r="M433" s="334" t="n"/>
      <c r="N433" s="333">
        <f>IFERROR(IF(L433*M433=0,"",L433*M433),"")</f>
        <v/>
      </c>
      <c r="O433" s="334" t="n"/>
      <c r="P433" s="332">
        <f>IFERROR(VLOOKUP(TEXT(O433,"0"),CONDUCTORES!$A$3:$G$54,2,0),"")</f>
        <v/>
      </c>
      <c r="Q433" s="332">
        <f>IFERROR(VLOOKUP(TEXT(O433,"0"),CONDUCTORES!$A$3:$H$54,6,0),"")</f>
        <v/>
      </c>
      <c r="R433" s="334" t="n"/>
      <c r="S433" s="334" t="n"/>
      <c r="T433" s="334" t="n"/>
      <c r="U433" s="334" t="n"/>
      <c r="V433" s="334" t="n"/>
      <c r="W433" s="334" t="n"/>
      <c r="X433" s="334" t="n"/>
      <c r="Y433" s="334" t="n"/>
    </row>
    <row r="434" ht="15" customHeight="1" s="195">
      <c r="A434" s="280" t="n"/>
      <c r="B434" s="280" t="n"/>
      <c r="C434" s="280" t="n"/>
      <c r="D434" s="280" t="n"/>
      <c r="E434" s="280" t="n"/>
      <c r="F434" s="280" t="n"/>
      <c r="G434" s="280" t="n"/>
      <c r="H434" s="280" t="n"/>
      <c r="I434" s="332">
        <f>IFERROR(VLOOKUP(TEXT(H434,"0"),IPRESS!$A$3:$B$212,2,0),"")</f>
        <v/>
      </c>
      <c r="J434" s="280" t="n"/>
      <c r="K434" s="332">
        <f>IFERROR(VLOOKUP(TEXT(O434,"0"),CONDUCTORES!$A$3:$G$54,7,0),"")</f>
        <v/>
      </c>
      <c r="L434" s="280" t="n"/>
      <c r="M434" s="280" t="n"/>
      <c r="N434" s="333">
        <f>IFERROR(IF(L434*M434=0,"",L434*M434),"")</f>
        <v/>
      </c>
      <c r="O434" s="280" t="n"/>
      <c r="P434" s="332">
        <f>IFERROR(VLOOKUP(TEXT(O434,"0"),CONDUCTORES!$A$3:$G$54,2,0),"")</f>
        <v/>
      </c>
      <c r="Q434" s="332">
        <f>IFERROR(VLOOKUP(TEXT(O434,"0"),CONDUCTORES!$A$3:$H$54,6,0),"")</f>
        <v/>
      </c>
      <c r="R434" s="280" t="n"/>
      <c r="S434" s="280" t="n"/>
      <c r="T434" s="280" t="n"/>
      <c r="U434" s="280" t="n"/>
      <c r="V434" s="280" t="n"/>
      <c r="W434" s="280" t="n"/>
      <c r="X434" s="280" t="n"/>
      <c r="Y434" s="280" t="n"/>
    </row>
    <row r="435" ht="15" customHeight="1" s="195">
      <c r="A435" s="334" t="n"/>
      <c r="B435" s="334" t="n"/>
      <c r="C435" s="334" t="n"/>
      <c r="D435" s="334" t="n"/>
      <c r="E435" s="334" t="n"/>
      <c r="F435" s="334" t="n"/>
      <c r="G435" s="334" t="n"/>
      <c r="H435" s="334" t="n"/>
      <c r="I435" s="332">
        <f>IFERROR(VLOOKUP(TEXT(H435,"0"),IPRESS!$A$3:$B$212,2,0),"")</f>
        <v/>
      </c>
      <c r="J435" s="334" t="n"/>
      <c r="K435" s="332">
        <f>IFERROR(VLOOKUP(TEXT(O435,"0"),CONDUCTORES!$A$3:$G$54,7,0),"")</f>
        <v/>
      </c>
      <c r="L435" s="334" t="n"/>
      <c r="M435" s="334" t="n"/>
      <c r="N435" s="333">
        <f>IFERROR(IF(L435*M435=0,"",L435*M435),"")</f>
        <v/>
      </c>
      <c r="O435" s="334" t="n"/>
      <c r="P435" s="332">
        <f>IFERROR(VLOOKUP(TEXT(O435,"0"),CONDUCTORES!$A$3:$G$54,2,0),"")</f>
        <v/>
      </c>
      <c r="Q435" s="332">
        <f>IFERROR(VLOOKUP(TEXT(O435,"0"),CONDUCTORES!$A$3:$H$54,6,0),"")</f>
        <v/>
      </c>
      <c r="R435" s="334" t="n"/>
      <c r="S435" s="334" t="n"/>
      <c r="T435" s="334" t="n"/>
      <c r="U435" s="334" t="n"/>
      <c r="V435" s="334" t="n"/>
      <c r="W435" s="334" t="n"/>
      <c r="X435" s="334" t="n"/>
      <c r="Y435" s="334" t="n"/>
    </row>
    <row r="436" ht="15" customHeight="1" s="195">
      <c r="A436" s="280" t="n"/>
      <c r="B436" s="280" t="n"/>
      <c r="C436" s="280" t="n"/>
      <c r="D436" s="280" t="n"/>
      <c r="E436" s="280" t="n"/>
      <c r="F436" s="280" t="n"/>
      <c r="G436" s="280" t="n"/>
      <c r="H436" s="280" t="n"/>
      <c r="I436" s="332">
        <f>IFERROR(VLOOKUP(TEXT(H436,"0"),IPRESS!$A$3:$B$212,2,0),"")</f>
        <v/>
      </c>
      <c r="J436" s="280" t="n"/>
      <c r="K436" s="332">
        <f>IFERROR(VLOOKUP(TEXT(O436,"0"),CONDUCTORES!$A$3:$G$54,7,0),"")</f>
        <v/>
      </c>
      <c r="L436" s="280" t="n"/>
      <c r="M436" s="280" t="n"/>
      <c r="N436" s="333">
        <f>IFERROR(IF(L436*M436=0,"",L436*M436),"")</f>
        <v/>
      </c>
      <c r="O436" s="280" t="n"/>
      <c r="P436" s="332">
        <f>IFERROR(VLOOKUP(TEXT(O436,"0"),CONDUCTORES!$A$3:$G$54,2,0),"")</f>
        <v/>
      </c>
      <c r="Q436" s="332">
        <f>IFERROR(VLOOKUP(TEXT(O436,"0"),CONDUCTORES!$A$3:$H$54,6,0),"")</f>
        <v/>
      </c>
      <c r="R436" s="280" t="n"/>
      <c r="S436" s="280" t="n"/>
      <c r="T436" s="280" t="n"/>
      <c r="U436" s="280" t="n"/>
      <c r="V436" s="280" t="n"/>
      <c r="W436" s="280" t="n"/>
      <c r="X436" s="280" t="n"/>
      <c r="Y436" s="280" t="n"/>
    </row>
    <row r="437" ht="15" customHeight="1" s="195">
      <c r="A437" s="334" t="n"/>
      <c r="B437" s="334" t="n"/>
      <c r="C437" s="334" t="n"/>
      <c r="D437" s="334" t="n"/>
      <c r="E437" s="334" t="n"/>
      <c r="F437" s="334" t="n"/>
      <c r="G437" s="334" t="n"/>
      <c r="H437" s="334" t="n"/>
      <c r="I437" s="332">
        <f>IFERROR(VLOOKUP(TEXT(H437,"0"),IPRESS!$A$3:$B$212,2,0),"")</f>
        <v/>
      </c>
      <c r="J437" s="334" t="n"/>
      <c r="K437" s="332">
        <f>IFERROR(VLOOKUP(TEXT(O437,"0"),CONDUCTORES!$A$3:$G$54,7,0),"")</f>
        <v/>
      </c>
      <c r="L437" s="334" t="n"/>
      <c r="M437" s="334" t="n"/>
      <c r="N437" s="333">
        <f>IFERROR(IF(L437*M437=0,"",L437*M437),"")</f>
        <v/>
      </c>
      <c r="O437" s="334" t="n"/>
      <c r="P437" s="332">
        <f>IFERROR(VLOOKUP(TEXT(O437,"0"),CONDUCTORES!$A$3:$G$54,2,0),"")</f>
        <v/>
      </c>
      <c r="Q437" s="332">
        <f>IFERROR(VLOOKUP(TEXT(O437,"0"),CONDUCTORES!$A$3:$H$54,6,0),"")</f>
        <v/>
      </c>
      <c r="R437" s="334" t="n"/>
      <c r="S437" s="334" t="n"/>
      <c r="T437" s="334" t="n"/>
      <c r="U437" s="334" t="n"/>
      <c r="V437" s="334" t="n"/>
      <c r="W437" s="334" t="n"/>
      <c r="X437" s="334" t="n"/>
      <c r="Y437" s="334" t="n"/>
    </row>
    <row r="438" ht="15" customHeight="1" s="195">
      <c r="A438" s="280" t="n"/>
      <c r="B438" s="280" t="n"/>
      <c r="C438" s="280" t="n"/>
      <c r="D438" s="280" t="n"/>
      <c r="E438" s="280" t="n"/>
      <c r="F438" s="280" t="n"/>
      <c r="G438" s="280" t="n"/>
      <c r="H438" s="280" t="n"/>
      <c r="I438" s="332">
        <f>IFERROR(VLOOKUP(TEXT(H438,"0"),IPRESS!$A$3:$B$212,2,0),"")</f>
        <v/>
      </c>
      <c r="J438" s="280" t="n"/>
      <c r="K438" s="332">
        <f>IFERROR(VLOOKUP(TEXT(O438,"0"),CONDUCTORES!$A$3:$G$54,7,0),"")</f>
        <v/>
      </c>
      <c r="L438" s="280" t="n"/>
      <c r="M438" s="280" t="n"/>
      <c r="N438" s="333">
        <f>IFERROR(IF(L438*M438=0,"",L438*M438),"")</f>
        <v/>
      </c>
      <c r="O438" s="280" t="n"/>
      <c r="P438" s="332">
        <f>IFERROR(VLOOKUP(TEXT(O438,"0"),CONDUCTORES!$A$3:$G$54,2,0),"")</f>
        <v/>
      </c>
      <c r="Q438" s="332">
        <f>IFERROR(VLOOKUP(TEXT(O438,"0"),CONDUCTORES!$A$3:$H$54,6,0),"")</f>
        <v/>
      </c>
      <c r="R438" s="280" t="n"/>
      <c r="S438" s="280" t="n"/>
      <c r="T438" s="280" t="n"/>
      <c r="U438" s="280" t="n"/>
      <c r="V438" s="280" t="n"/>
      <c r="W438" s="280" t="n"/>
      <c r="X438" s="280" t="n"/>
      <c r="Y438" s="280" t="n"/>
    </row>
    <row r="439" ht="15" customHeight="1" s="195">
      <c r="A439" s="334" t="n"/>
      <c r="B439" s="334" t="n"/>
      <c r="C439" s="334" t="n"/>
      <c r="D439" s="334" t="n"/>
      <c r="E439" s="334" t="n"/>
      <c r="F439" s="334" t="n"/>
      <c r="G439" s="334" t="n"/>
      <c r="H439" s="334" t="n"/>
      <c r="I439" s="332">
        <f>IFERROR(VLOOKUP(TEXT(H439,"0"),IPRESS!$A$3:$B$212,2,0),"")</f>
        <v/>
      </c>
      <c r="J439" s="334" t="n"/>
      <c r="K439" s="332">
        <f>IFERROR(VLOOKUP(TEXT(O439,"0"),CONDUCTORES!$A$3:$G$54,7,0),"")</f>
        <v/>
      </c>
      <c r="L439" s="334" t="n"/>
      <c r="M439" s="334" t="n"/>
      <c r="N439" s="333">
        <f>IFERROR(IF(L439*M439=0,"",L439*M439),"")</f>
        <v/>
      </c>
      <c r="O439" s="334" t="n"/>
      <c r="P439" s="332">
        <f>IFERROR(VLOOKUP(TEXT(O439,"0"),CONDUCTORES!$A$3:$G$54,2,0),"")</f>
        <v/>
      </c>
      <c r="Q439" s="332">
        <f>IFERROR(VLOOKUP(TEXT(O439,"0"),CONDUCTORES!$A$3:$H$54,6,0),"")</f>
        <v/>
      </c>
      <c r="R439" s="334" t="n"/>
      <c r="S439" s="334" t="n"/>
      <c r="T439" s="334" t="n"/>
      <c r="U439" s="334" t="n"/>
      <c r="V439" s="334" t="n"/>
      <c r="W439" s="334" t="n"/>
      <c r="X439" s="334" t="n"/>
      <c r="Y439" s="334" t="n"/>
    </row>
    <row r="440" ht="15" customHeight="1" s="195">
      <c r="A440" s="280" t="n"/>
      <c r="B440" s="280" t="n"/>
      <c r="C440" s="280" t="n"/>
      <c r="D440" s="280" t="n"/>
      <c r="E440" s="280" t="n"/>
      <c r="F440" s="280" t="n"/>
      <c r="G440" s="280" t="n"/>
      <c r="H440" s="280" t="n"/>
      <c r="I440" s="332">
        <f>IFERROR(VLOOKUP(TEXT(H440,"0"),IPRESS!$A$3:$B$212,2,0),"")</f>
        <v/>
      </c>
      <c r="J440" s="280" t="n"/>
      <c r="K440" s="332">
        <f>IFERROR(VLOOKUP(TEXT(O440,"0"),CONDUCTORES!$A$3:$G$54,7,0),"")</f>
        <v/>
      </c>
      <c r="L440" s="280" t="n"/>
      <c r="M440" s="280" t="n"/>
      <c r="N440" s="333">
        <f>IFERROR(IF(L440*M440=0,"",L440*M440),"")</f>
        <v/>
      </c>
      <c r="O440" s="280" t="n"/>
      <c r="P440" s="332">
        <f>IFERROR(VLOOKUP(TEXT(O440,"0"),CONDUCTORES!$A$3:$G$54,2,0),"")</f>
        <v/>
      </c>
      <c r="Q440" s="332">
        <f>IFERROR(VLOOKUP(TEXT(O440,"0"),CONDUCTORES!$A$3:$H$54,6,0),"")</f>
        <v/>
      </c>
      <c r="R440" s="280" t="n"/>
      <c r="S440" s="280" t="n"/>
      <c r="T440" s="280" t="n"/>
      <c r="U440" s="280" t="n"/>
      <c r="V440" s="280" t="n"/>
      <c r="W440" s="280" t="n"/>
      <c r="X440" s="280" t="n"/>
      <c r="Y440" s="280" t="n"/>
    </row>
    <row r="441" ht="15" customHeight="1" s="195">
      <c r="A441" s="334" t="n"/>
      <c r="B441" s="334" t="n"/>
      <c r="C441" s="334" t="n"/>
      <c r="D441" s="334" t="n"/>
      <c r="E441" s="334" t="n"/>
      <c r="F441" s="334" t="n"/>
      <c r="G441" s="334" t="n"/>
      <c r="H441" s="334" t="n"/>
      <c r="I441" s="332">
        <f>IFERROR(VLOOKUP(TEXT(H441,"0"),IPRESS!$A$3:$B$212,2,0),"")</f>
        <v/>
      </c>
      <c r="J441" s="334" t="n"/>
      <c r="K441" s="332">
        <f>IFERROR(VLOOKUP(TEXT(O441,"0"),CONDUCTORES!$A$3:$G$54,7,0),"")</f>
        <v/>
      </c>
      <c r="L441" s="334" t="n"/>
      <c r="M441" s="334" t="n"/>
      <c r="N441" s="333">
        <f>IFERROR(IF(L441*M441=0,"",L441*M441),"")</f>
        <v/>
      </c>
      <c r="O441" s="334" t="n"/>
      <c r="P441" s="332">
        <f>IFERROR(VLOOKUP(TEXT(O441,"0"),CONDUCTORES!$A$3:$G$54,2,0),"")</f>
        <v/>
      </c>
      <c r="Q441" s="332">
        <f>IFERROR(VLOOKUP(TEXT(O441,"0"),CONDUCTORES!$A$3:$H$54,6,0),"")</f>
        <v/>
      </c>
      <c r="R441" s="334" t="n"/>
      <c r="S441" s="334" t="n"/>
      <c r="T441" s="334" t="n"/>
      <c r="U441" s="334" t="n"/>
      <c r="V441" s="334" t="n"/>
      <c r="W441" s="334" t="n"/>
      <c r="X441" s="334" t="n"/>
      <c r="Y441" s="334" t="n"/>
    </row>
    <row r="442" ht="15" customHeight="1" s="195">
      <c r="A442" s="280" t="n"/>
      <c r="B442" s="280" t="n"/>
      <c r="C442" s="280" t="n"/>
      <c r="D442" s="280" t="n"/>
      <c r="E442" s="280" t="n"/>
      <c r="F442" s="280" t="n"/>
      <c r="G442" s="280" t="n"/>
      <c r="H442" s="280" t="n"/>
      <c r="I442" s="332">
        <f>IFERROR(VLOOKUP(TEXT(H442,"0"),IPRESS!$A$3:$B$212,2,0),"")</f>
        <v/>
      </c>
      <c r="J442" s="280" t="n"/>
      <c r="K442" s="332">
        <f>IFERROR(VLOOKUP(TEXT(O442,"0"),CONDUCTORES!$A$3:$G$54,7,0),"")</f>
        <v/>
      </c>
      <c r="L442" s="280" t="n"/>
      <c r="M442" s="280" t="n"/>
      <c r="N442" s="333">
        <f>IFERROR(IF(L442*M442=0,"",L442*M442),"")</f>
        <v/>
      </c>
      <c r="O442" s="280" t="n"/>
      <c r="P442" s="332">
        <f>IFERROR(VLOOKUP(TEXT(O442,"0"),CONDUCTORES!$A$3:$G$54,2,0),"")</f>
        <v/>
      </c>
      <c r="Q442" s="332">
        <f>IFERROR(VLOOKUP(TEXT(O442,"0"),CONDUCTORES!$A$3:$H$54,6,0),"")</f>
        <v/>
      </c>
      <c r="R442" s="280" t="n"/>
      <c r="S442" s="280" t="n"/>
      <c r="T442" s="280" t="n"/>
      <c r="U442" s="280" t="n"/>
      <c r="V442" s="280" t="n"/>
      <c r="W442" s="280" t="n"/>
      <c r="X442" s="280" t="n"/>
      <c r="Y442" s="280" t="n"/>
    </row>
    <row r="443" ht="15" customHeight="1" s="195">
      <c r="A443" s="334" t="n"/>
      <c r="B443" s="334" t="n"/>
      <c r="C443" s="334" t="n"/>
      <c r="D443" s="334" t="n"/>
      <c r="E443" s="334" t="n"/>
      <c r="F443" s="334" t="n"/>
      <c r="G443" s="334" t="n"/>
      <c r="H443" s="334" t="n"/>
      <c r="I443" s="332">
        <f>IFERROR(VLOOKUP(TEXT(H443,"0"),IPRESS!$A$3:$B$212,2,0),"")</f>
        <v/>
      </c>
      <c r="J443" s="334" t="n"/>
      <c r="K443" s="332">
        <f>IFERROR(VLOOKUP(TEXT(O443,"0"),CONDUCTORES!$A$3:$G$54,7,0),"")</f>
        <v/>
      </c>
      <c r="L443" s="334" t="n"/>
      <c r="M443" s="334" t="n"/>
      <c r="N443" s="333">
        <f>IFERROR(IF(L443*M443=0,"",L443*M443),"")</f>
        <v/>
      </c>
      <c r="O443" s="334" t="n"/>
      <c r="P443" s="332">
        <f>IFERROR(VLOOKUP(TEXT(O443,"0"),CONDUCTORES!$A$3:$G$54,2,0),"")</f>
        <v/>
      </c>
      <c r="Q443" s="332">
        <f>IFERROR(VLOOKUP(TEXT(O443,"0"),CONDUCTORES!$A$3:$H$54,6,0),"")</f>
        <v/>
      </c>
      <c r="R443" s="334" t="n"/>
      <c r="S443" s="334" t="n"/>
      <c r="T443" s="334" t="n"/>
      <c r="U443" s="334" t="n"/>
      <c r="V443" s="334" t="n"/>
      <c r="W443" s="334" t="n"/>
      <c r="X443" s="334" t="n"/>
      <c r="Y443" s="334" t="n"/>
    </row>
    <row r="444" ht="15" customHeight="1" s="195">
      <c r="A444" s="280" t="n"/>
      <c r="B444" s="280" t="n"/>
      <c r="C444" s="280" t="n"/>
      <c r="D444" s="280" t="n"/>
      <c r="E444" s="280" t="n"/>
      <c r="F444" s="280" t="n"/>
      <c r="G444" s="280" t="n"/>
      <c r="H444" s="280" t="n"/>
      <c r="I444" s="332">
        <f>IFERROR(VLOOKUP(TEXT(H444,"0"),IPRESS!$A$3:$B$212,2,0),"")</f>
        <v/>
      </c>
      <c r="J444" s="280" t="n"/>
      <c r="K444" s="332">
        <f>IFERROR(VLOOKUP(TEXT(O444,"0"),CONDUCTORES!$A$3:$G$54,7,0),"")</f>
        <v/>
      </c>
      <c r="L444" s="280" t="n"/>
      <c r="M444" s="280" t="n"/>
      <c r="N444" s="333">
        <f>IFERROR(IF(L444*M444=0,"",L444*M444),"")</f>
        <v/>
      </c>
      <c r="O444" s="280" t="n"/>
      <c r="P444" s="332">
        <f>IFERROR(VLOOKUP(TEXT(O444,"0"),CONDUCTORES!$A$3:$G$54,2,0),"")</f>
        <v/>
      </c>
      <c r="Q444" s="332">
        <f>IFERROR(VLOOKUP(TEXT(O444,"0"),CONDUCTORES!$A$3:$H$54,6,0),"")</f>
        <v/>
      </c>
      <c r="R444" s="280" t="n"/>
      <c r="S444" s="280" t="n"/>
      <c r="T444" s="280" t="n"/>
      <c r="U444" s="280" t="n"/>
      <c r="V444" s="280" t="n"/>
      <c r="W444" s="280" t="n"/>
      <c r="X444" s="280" t="n"/>
      <c r="Y444" s="280" t="n"/>
    </row>
    <row r="445" ht="15" customHeight="1" s="195">
      <c r="A445" s="334" t="n"/>
      <c r="B445" s="334" t="n"/>
      <c r="C445" s="334" t="n"/>
      <c r="D445" s="334" t="n"/>
      <c r="E445" s="334" t="n"/>
      <c r="F445" s="334" t="n"/>
      <c r="G445" s="334" t="n"/>
      <c r="H445" s="334" t="n"/>
      <c r="I445" s="332">
        <f>IFERROR(VLOOKUP(TEXT(H445,"0"),IPRESS!$A$3:$B$212,2,0),"")</f>
        <v/>
      </c>
      <c r="J445" s="334" t="n"/>
      <c r="K445" s="332">
        <f>IFERROR(VLOOKUP(TEXT(O445,"0"),CONDUCTORES!$A$3:$G$54,7,0),"")</f>
        <v/>
      </c>
      <c r="L445" s="334" t="n"/>
      <c r="M445" s="334" t="n"/>
      <c r="N445" s="333">
        <f>IFERROR(IF(L445*M445=0,"",L445*M445),"")</f>
        <v/>
      </c>
      <c r="O445" s="334" t="n"/>
      <c r="P445" s="332">
        <f>IFERROR(VLOOKUP(TEXT(O445,"0"),CONDUCTORES!$A$3:$G$54,2,0),"")</f>
        <v/>
      </c>
      <c r="Q445" s="332">
        <f>IFERROR(VLOOKUP(TEXT(O445,"0"),CONDUCTORES!$A$3:$H$54,6,0),"")</f>
        <v/>
      </c>
      <c r="R445" s="334" t="n"/>
      <c r="S445" s="334" t="n"/>
      <c r="T445" s="334" t="n"/>
      <c r="U445" s="334" t="n"/>
      <c r="V445" s="334" t="n"/>
      <c r="W445" s="334" t="n"/>
      <c r="X445" s="334" t="n"/>
      <c r="Y445" s="334" t="n"/>
    </row>
    <row r="446" ht="15" customHeight="1" s="195">
      <c r="A446" s="280" t="n"/>
      <c r="B446" s="280" t="n"/>
      <c r="C446" s="280" t="n"/>
      <c r="D446" s="280" t="n"/>
      <c r="E446" s="280" t="n"/>
      <c r="F446" s="280" t="n"/>
      <c r="G446" s="280" t="n"/>
      <c r="H446" s="280" t="n"/>
      <c r="I446" s="332">
        <f>IFERROR(VLOOKUP(TEXT(H446,"0"),IPRESS!$A$3:$B$212,2,0),"")</f>
        <v/>
      </c>
      <c r="J446" s="280" t="n"/>
      <c r="K446" s="332">
        <f>IFERROR(VLOOKUP(TEXT(O446,"0"),CONDUCTORES!$A$3:$G$54,7,0),"")</f>
        <v/>
      </c>
      <c r="L446" s="280" t="n"/>
      <c r="M446" s="280" t="n"/>
      <c r="N446" s="333">
        <f>IFERROR(IF(L446*M446=0,"",L446*M446),"")</f>
        <v/>
      </c>
      <c r="O446" s="280" t="n"/>
      <c r="P446" s="332">
        <f>IFERROR(VLOOKUP(TEXT(O446,"0"),CONDUCTORES!$A$3:$G$54,2,0),"")</f>
        <v/>
      </c>
      <c r="Q446" s="332">
        <f>IFERROR(VLOOKUP(TEXT(O446,"0"),CONDUCTORES!$A$3:$H$54,6,0),"")</f>
        <v/>
      </c>
      <c r="R446" s="280" t="n"/>
      <c r="S446" s="280" t="n"/>
      <c r="T446" s="280" t="n"/>
      <c r="U446" s="280" t="n"/>
      <c r="V446" s="280" t="n"/>
      <c r="W446" s="280" t="n"/>
      <c r="X446" s="280" t="n"/>
      <c r="Y446" s="280" t="n"/>
    </row>
    <row r="447" ht="15" customHeight="1" s="195">
      <c r="A447" s="334" t="n"/>
      <c r="B447" s="334" t="n"/>
      <c r="C447" s="334" t="n"/>
      <c r="D447" s="334" t="n"/>
      <c r="E447" s="334" t="n"/>
      <c r="F447" s="334" t="n"/>
      <c r="G447" s="334" t="n"/>
      <c r="H447" s="334" t="n"/>
      <c r="I447" s="332">
        <f>IFERROR(VLOOKUP(TEXT(H447,"0"),IPRESS!$A$3:$B$212,2,0),"")</f>
        <v/>
      </c>
      <c r="J447" s="334" t="n"/>
      <c r="K447" s="332">
        <f>IFERROR(VLOOKUP(TEXT(O447,"0"),CONDUCTORES!$A$3:$G$54,7,0),"")</f>
        <v/>
      </c>
      <c r="L447" s="334" t="n"/>
      <c r="M447" s="334" t="n"/>
      <c r="N447" s="333">
        <f>IFERROR(IF(L447*M447=0,"",L447*M447),"")</f>
        <v/>
      </c>
      <c r="O447" s="334" t="n"/>
      <c r="P447" s="332">
        <f>IFERROR(VLOOKUP(TEXT(O447,"0"),CONDUCTORES!$A$3:$G$54,2,0),"")</f>
        <v/>
      </c>
      <c r="Q447" s="332">
        <f>IFERROR(VLOOKUP(TEXT(O447,"0"),CONDUCTORES!$A$3:$H$54,6,0),"")</f>
        <v/>
      </c>
      <c r="R447" s="334" t="n"/>
      <c r="S447" s="334" t="n"/>
      <c r="T447" s="334" t="n"/>
      <c r="U447" s="334" t="n"/>
      <c r="V447" s="334" t="n"/>
      <c r="W447" s="334" t="n"/>
      <c r="X447" s="334" t="n"/>
      <c r="Y447" s="334" t="n"/>
    </row>
    <row r="448" ht="15" customHeight="1" s="195">
      <c r="A448" s="280" t="n"/>
      <c r="B448" s="280" t="n"/>
      <c r="C448" s="280" t="n"/>
      <c r="D448" s="280" t="n"/>
      <c r="E448" s="280" t="n"/>
      <c r="F448" s="280" t="n"/>
      <c r="G448" s="280" t="n"/>
      <c r="H448" s="280" t="n"/>
      <c r="I448" s="332">
        <f>IFERROR(VLOOKUP(TEXT(H448,"0"),IPRESS!$A$3:$B$212,2,0),"")</f>
        <v/>
      </c>
      <c r="J448" s="280" t="n"/>
      <c r="K448" s="332">
        <f>IFERROR(VLOOKUP(TEXT(O448,"0"),CONDUCTORES!$A$3:$G$54,7,0),"")</f>
        <v/>
      </c>
      <c r="L448" s="280" t="n"/>
      <c r="M448" s="280" t="n"/>
      <c r="N448" s="333">
        <f>IFERROR(IF(L448*M448=0,"",L448*M448),"")</f>
        <v/>
      </c>
      <c r="O448" s="280" t="n"/>
      <c r="P448" s="332">
        <f>IFERROR(VLOOKUP(TEXT(O448,"0"),CONDUCTORES!$A$3:$G$54,2,0),"")</f>
        <v/>
      </c>
      <c r="Q448" s="332">
        <f>IFERROR(VLOOKUP(TEXT(O448,"0"),CONDUCTORES!$A$3:$H$54,6,0),"")</f>
        <v/>
      </c>
      <c r="R448" s="280" t="n"/>
      <c r="S448" s="280" t="n"/>
      <c r="T448" s="280" t="n"/>
      <c r="U448" s="280" t="n"/>
      <c r="V448" s="280" t="n"/>
      <c r="W448" s="280" t="n"/>
      <c r="X448" s="280" t="n"/>
      <c r="Y448" s="280" t="n"/>
    </row>
    <row r="449" ht="15" customHeight="1" s="195">
      <c r="A449" s="334" t="n"/>
      <c r="B449" s="334" t="n"/>
      <c r="C449" s="334" t="n"/>
      <c r="D449" s="334" t="n"/>
      <c r="E449" s="334" t="n"/>
      <c r="F449" s="334" t="n"/>
      <c r="G449" s="334" t="n"/>
      <c r="H449" s="334" t="n"/>
      <c r="I449" s="332">
        <f>IFERROR(VLOOKUP(TEXT(H449,"0"),IPRESS!$A$3:$B$212,2,0),"")</f>
        <v/>
      </c>
      <c r="J449" s="334" t="n"/>
      <c r="K449" s="332">
        <f>IFERROR(VLOOKUP(TEXT(O449,"0"),CONDUCTORES!$A$3:$G$54,7,0),"")</f>
        <v/>
      </c>
      <c r="L449" s="334" t="n"/>
      <c r="M449" s="334" t="n"/>
      <c r="N449" s="333">
        <f>IFERROR(IF(L449*M449=0,"",L449*M449),"")</f>
        <v/>
      </c>
      <c r="O449" s="334" t="n"/>
      <c r="P449" s="332">
        <f>IFERROR(VLOOKUP(TEXT(O449,"0"),CONDUCTORES!$A$3:$G$54,2,0),"")</f>
        <v/>
      </c>
      <c r="Q449" s="332">
        <f>IFERROR(VLOOKUP(TEXT(O449,"0"),CONDUCTORES!$A$3:$H$54,6,0),"")</f>
        <v/>
      </c>
      <c r="R449" s="334" t="n"/>
      <c r="S449" s="334" t="n"/>
      <c r="T449" s="334" t="n"/>
      <c r="U449" s="334" t="n"/>
      <c r="V449" s="334" t="n"/>
      <c r="W449" s="334" t="n"/>
      <c r="X449" s="334" t="n"/>
      <c r="Y449" s="334" t="n"/>
    </row>
    <row r="450" ht="15" customHeight="1" s="195">
      <c r="A450" s="280" t="n"/>
      <c r="B450" s="280" t="n"/>
      <c r="C450" s="280" t="n"/>
      <c r="D450" s="280" t="n"/>
      <c r="E450" s="280" t="n"/>
      <c r="F450" s="280" t="n"/>
      <c r="G450" s="280" t="n"/>
      <c r="H450" s="280" t="n"/>
      <c r="I450" s="332">
        <f>IFERROR(VLOOKUP(TEXT(H450,"0"),IPRESS!$A$3:$B$212,2,0),"")</f>
        <v/>
      </c>
      <c r="J450" s="280" t="n"/>
      <c r="K450" s="332">
        <f>IFERROR(VLOOKUP(TEXT(O450,"0"),CONDUCTORES!$A$3:$G$54,7,0),"")</f>
        <v/>
      </c>
      <c r="L450" s="280" t="n"/>
      <c r="M450" s="280" t="n"/>
      <c r="N450" s="333">
        <f>IFERROR(IF(L450*M450=0,"",L450*M450),"")</f>
        <v/>
      </c>
      <c r="O450" s="280" t="n"/>
      <c r="P450" s="332">
        <f>IFERROR(VLOOKUP(TEXT(O450,"0"),CONDUCTORES!$A$3:$G$54,2,0),"")</f>
        <v/>
      </c>
      <c r="Q450" s="332">
        <f>IFERROR(VLOOKUP(TEXT(O450,"0"),CONDUCTORES!$A$3:$H$54,6,0),"")</f>
        <v/>
      </c>
      <c r="R450" s="280" t="n"/>
      <c r="S450" s="280" t="n"/>
      <c r="T450" s="280" t="n"/>
      <c r="U450" s="280" t="n"/>
      <c r="V450" s="280" t="n"/>
      <c r="W450" s="280" t="n"/>
      <c r="X450" s="280" t="n"/>
      <c r="Y450" s="280" t="n"/>
    </row>
    <row r="451" ht="15" customHeight="1" s="195">
      <c r="A451" s="334" t="n"/>
      <c r="B451" s="334" t="n"/>
      <c r="C451" s="334" t="n"/>
      <c r="D451" s="334" t="n"/>
      <c r="E451" s="334" t="n"/>
      <c r="F451" s="334" t="n"/>
      <c r="G451" s="334" t="n"/>
      <c r="H451" s="334" t="n"/>
      <c r="I451" s="332">
        <f>IFERROR(VLOOKUP(TEXT(H451,"0"),IPRESS!$A$3:$B$212,2,0),"")</f>
        <v/>
      </c>
      <c r="J451" s="334" t="n"/>
      <c r="K451" s="332">
        <f>IFERROR(VLOOKUP(TEXT(O451,"0"),CONDUCTORES!$A$3:$G$54,7,0),"")</f>
        <v/>
      </c>
      <c r="L451" s="334" t="n"/>
      <c r="M451" s="334" t="n"/>
      <c r="N451" s="333">
        <f>IFERROR(IF(L451*M451=0,"",L451*M451),"")</f>
        <v/>
      </c>
      <c r="O451" s="334" t="n"/>
      <c r="P451" s="332">
        <f>IFERROR(VLOOKUP(TEXT(O451,"0"),CONDUCTORES!$A$3:$G$54,2,0),"")</f>
        <v/>
      </c>
      <c r="Q451" s="332">
        <f>IFERROR(VLOOKUP(TEXT(O451,"0"),CONDUCTORES!$A$3:$H$54,6,0),"")</f>
        <v/>
      </c>
      <c r="R451" s="334" t="n"/>
      <c r="S451" s="334" t="n"/>
      <c r="T451" s="334" t="n"/>
      <c r="U451" s="334" t="n"/>
      <c r="V451" s="334" t="n"/>
      <c r="W451" s="334" t="n"/>
      <c r="X451" s="334" t="n"/>
      <c r="Y451" s="334" t="n"/>
    </row>
    <row r="452" ht="15" customHeight="1" s="195">
      <c r="A452" s="280" t="n"/>
      <c r="B452" s="280" t="n"/>
      <c r="C452" s="280" t="n"/>
      <c r="D452" s="280" t="n"/>
      <c r="E452" s="280" t="n"/>
      <c r="F452" s="280" t="n"/>
      <c r="G452" s="280" t="n"/>
      <c r="H452" s="280" t="n"/>
      <c r="I452" s="332">
        <f>IFERROR(VLOOKUP(TEXT(H452,"0"),IPRESS!$A$3:$B$212,2,0),"")</f>
        <v/>
      </c>
      <c r="J452" s="280" t="n"/>
      <c r="K452" s="332">
        <f>IFERROR(VLOOKUP(TEXT(O452,"0"),CONDUCTORES!$A$3:$G$54,7,0),"")</f>
        <v/>
      </c>
      <c r="L452" s="280" t="n"/>
      <c r="M452" s="280" t="n"/>
      <c r="N452" s="333">
        <f>IFERROR(IF(L452*M452=0,"",L452*M452),"")</f>
        <v/>
      </c>
      <c r="O452" s="280" t="n"/>
      <c r="P452" s="332">
        <f>IFERROR(VLOOKUP(TEXT(O452,"0"),CONDUCTORES!$A$3:$G$54,2,0),"")</f>
        <v/>
      </c>
      <c r="Q452" s="332">
        <f>IFERROR(VLOOKUP(TEXT(O452,"0"),CONDUCTORES!$A$3:$H$54,6,0),"")</f>
        <v/>
      </c>
      <c r="R452" s="280" t="n"/>
      <c r="S452" s="280" t="n"/>
      <c r="T452" s="280" t="n"/>
      <c r="U452" s="280" t="n"/>
      <c r="V452" s="280" t="n"/>
      <c r="W452" s="280" t="n"/>
      <c r="X452" s="280" t="n"/>
      <c r="Y452" s="280" t="n"/>
    </row>
    <row r="453" ht="15" customHeight="1" s="195">
      <c r="A453" s="334" t="n"/>
      <c r="B453" s="334" t="n"/>
      <c r="C453" s="334" t="n"/>
      <c r="D453" s="334" t="n"/>
      <c r="E453" s="334" t="n"/>
      <c r="F453" s="334" t="n"/>
      <c r="G453" s="334" t="n"/>
      <c r="H453" s="334" t="n"/>
      <c r="I453" s="332">
        <f>IFERROR(VLOOKUP(TEXT(H453,"0"),IPRESS!$A$3:$B$212,2,0),"")</f>
        <v/>
      </c>
      <c r="J453" s="334" t="n"/>
      <c r="K453" s="332">
        <f>IFERROR(VLOOKUP(TEXT(O453,"0"),CONDUCTORES!$A$3:$G$54,7,0),"")</f>
        <v/>
      </c>
      <c r="L453" s="334" t="n"/>
      <c r="M453" s="334" t="n"/>
      <c r="N453" s="333">
        <f>IFERROR(IF(L453*M453=0,"",L453*M453),"")</f>
        <v/>
      </c>
      <c r="O453" s="334" t="n"/>
      <c r="P453" s="332">
        <f>IFERROR(VLOOKUP(TEXT(O453,"0"),CONDUCTORES!$A$3:$G$54,2,0),"")</f>
        <v/>
      </c>
      <c r="Q453" s="332">
        <f>IFERROR(VLOOKUP(TEXT(O453,"0"),CONDUCTORES!$A$3:$H$54,6,0),"")</f>
        <v/>
      </c>
      <c r="R453" s="334" t="n"/>
      <c r="S453" s="334" t="n"/>
      <c r="T453" s="334" t="n"/>
      <c r="U453" s="334" t="n"/>
      <c r="V453" s="334" t="n"/>
      <c r="W453" s="334" t="n"/>
      <c r="X453" s="334" t="n"/>
      <c r="Y453" s="334" t="n"/>
    </row>
    <row r="454" ht="15" customHeight="1" s="195">
      <c r="A454" s="280" t="n"/>
      <c r="B454" s="280" t="n"/>
      <c r="C454" s="280" t="n"/>
      <c r="D454" s="280" t="n"/>
      <c r="E454" s="280" t="n"/>
      <c r="F454" s="280" t="n"/>
      <c r="G454" s="280" t="n"/>
      <c r="H454" s="280" t="n"/>
      <c r="I454" s="332">
        <f>IFERROR(VLOOKUP(TEXT(H454,"0"),IPRESS!$A$3:$B$212,2,0),"")</f>
        <v/>
      </c>
      <c r="J454" s="280" t="n"/>
      <c r="K454" s="332">
        <f>IFERROR(VLOOKUP(TEXT(O454,"0"),CONDUCTORES!$A$3:$G$54,7,0),"")</f>
        <v/>
      </c>
      <c r="L454" s="280" t="n"/>
      <c r="M454" s="280" t="n"/>
      <c r="N454" s="333">
        <f>IFERROR(IF(L454*M454=0,"",L454*M454),"")</f>
        <v/>
      </c>
      <c r="O454" s="280" t="n"/>
      <c r="P454" s="332">
        <f>IFERROR(VLOOKUP(TEXT(O454,"0"),CONDUCTORES!$A$3:$G$54,2,0),"")</f>
        <v/>
      </c>
      <c r="Q454" s="332">
        <f>IFERROR(VLOOKUP(TEXT(O454,"0"),CONDUCTORES!$A$3:$H$54,6,0),"")</f>
        <v/>
      </c>
      <c r="R454" s="280" t="n"/>
      <c r="S454" s="280" t="n"/>
      <c r="T454" s="280" t="n"/>
      <c r="U454" s="280" t="n"/>
      <c r="V454" s="280" t="n"/>
      <c r="W454" s="280" t="n"/>
      <c r="X454" s="280" t="n"/>
      <c r="Y454" s="280" t="n"/>
    </row>
    <row r="455" ht="15" customHeight="1" s="195">
      <c r="A455" s="334" t="n"/>
      <c r="B455" s="334" t="n"/>
      <c r="C455" s="334" t="n"/>
      <c r="D455" s="334" t="n"/>
      <c r="E455" s="334" t="n"/>
      <c r="F455" s="334" t="n"/>
      <c r="G455" s="334" t="n"/>
      <c r="H455" s="334" t="n"/>
      <c r="I455" s="332">
        <f>IFERROR(VLOOKUP(TEXT(H455,"0"),IPRESS!$A$3:$B$212,2,0),"")</f>
        <v/>
      </c>
      <c r="J455" s="334" t="n"/>
      <c r="K455" s="332">
        <f>IFERROR(VLOOKUP(TEXT(O455,"0"),CONDUCTORES!$A$3:$G$54,7,0),"")</f>
        <v/>
      </c>
      <c r="L455" s="334" t="n"/>
      <c r="M455" s="334" t="n"/>
      <c r="N455" s="333">
        <f>IFERROR(IF(L455*M455=0,"",L455*M455),"")</f>
        <v/>
      </c>
      <c r="O455" s="334" t="n"/>
      <c r="P455" s="332">
        <f>IFERROR(VLOOKUP(TEXT(O455,"0"),CONDUCTORES!$A$3:$G$54,2,0),"")</f>
        <v/>
      </c>
      <c r="Q455" s="332">
        <f>IFERROR(VLOOKUP(TEXT(O455,"0"),CONDUCTORES!$A$3:$H$54,6,0),"")</f>
        <v/>
      </c>
      <c r="R455" s="334" t="n"/>
      <c r="S455" s="334" t="n"/>
      <c r="T455" s="334" t="n"/>
      <c r="U455" s="334" t="n"/>
      <c r="V455" s="334" t="n"/>
      <c r="W455" s="334" t="n"/>
      <c r="X455" s="334" t="n"/>
      <c r="Y455" s="334" t="n"/>
    </row>
    <row r="456" ht="15" customHeight="1" s="195">
      <c r="A456" s="280" t="n"/>
      <c r="B456" s="280" t="n"/>
      <c r="C456" s="280" t="n"/>
      <c r="D456" s="280" t="n"/>
      <c r="E456" s="280" t="n"/>
      <c r="F456" s="280" t="n"/>
      <c r="G456" s="280" t="n"/>
      <c r="H456" s="280" t="n"/>
      <c r="I456" s="332">
        <f>IFERROR(VLOOKUP(TEXT(H456,"0"),IPRESS!$A$3:$B$212,2,0),"")</f>
        <v/>
      </c>
      <c r="J456" s="280" t="n"/>
      <c r="K456" s="332">
        <f>IFERROR(VLOOKUP(TEXT(O456,"0"),CONDUCTORES!$A$3:$G$54,7,0),"")</f>
        <v/>
      </c>
      <c r="L456" s="280" t="n"/>
      <c r="M456" s="280" t="n"/>
      <c r="N456" s="333">
        <f>IFERROR(IF(L456*M456=0,"",L456*M456),"")</f>
        <v/>
      </c>
      <c r="O456" s="280" t="n"/>
      <c r="P456" s="332">
        <f>IFERROR(VLOOKUP(TEXT(O456,"0"),CONDUCTORES!$A$3:$G$54,2,0),"")</f>
        <v/>
      </c>
      <c r="Q456" s="332">
        <f>IFERROR(VLOOKUP(TEXT(O456,"0"),CONDUCTORES!$A$3:$H$54,6,0),"")</f>
        <v/>
      </c>
      <c r="R456" s="280" t="n"/>
      <c r="S456" s="280" t="n"/>
      <c r="T456" s="280" t="n"/>
      <c r="U456" s="280" t="n"/>
      <c r="V456" s="280" t="n"/>
      <c r="W456" s="280" t="n"/>
      <c r="X456" s="280" t="n"/>
      <c r="Y456" s="280" t="n"/>
    </row>
    <row r="457" ht="15" customHeight="1" s="195">
      <c r="A457" s="334" t="n"/>
      <c r="B457" s="334" t="n"/>
      <c r="C457" s="334" t="n"/>
      <c r="D457" s="334" t="n"/>
      <c r="E457" s="334" t="n"/>
      <c r="F457" s="334" t="n"/>
      <c r="G457" s="334" t="n"/>
      <c r="H457" s="334" t="n"/>
      <c r="I457" s="332">
        <f>IFERROR(VLOOKUP(TEXT(H457,"0"),IPRESS!$A$3:$B$212,2,0),"")</f>
        <v/>
      </c>
      <c r="J457" s="334" t="n"/>
      <c r="K457" s="332">
        <f>IFERROR(VLOOKUP(TEXT(O457,"0"),CONDUCTORES!$A$3:$G$54,7,0),"")</f>
        <v/>
      </c>
      <c r="L457" s="334" t="n"/>
      <c r="M457" s="334" t="n"/>
      <c r="N457" s="333">
        <f>IFERROR(IF(L457*M457=0,"",L457*M457),"")</f>
        <v/>
      </c>
      <c r="O457" s="334" t="n"/>
      <c r="P457" s="332">
        <f>IFERROR(VLOOKUP(TEXT(O457,"0"),CONDUCTORES!$A$3:$G$54,2,0),"")</f>
        <v/>
      </c>
      <c r="Q457" s="332">
        <f>IFERROR(VLOOKUP(TEXT(O457,"0"),CONDUCTORES!$A$3:$H$54,6,0),"")</f>
        <v/>
      </c>
      <c r="R457" s="334" t="n"/>
      <c r="S457" s="334" t="n"/>
      <c r="T457" s="334" t="n"/>
      <c r="U457" s="334" t="n"/>
      <c r="V457" s="334" t="n"/>
      <c r="W457" s="334" t="n"/>
      <c r="X457" s="334" t="n"/>
      <c r="Y457" s="334" t="n"/>
    </row>
    <row r="458" ht="15" customHeight="1" s="195">
      <c r="A458" s="280" t="n"/>
      <c r="B458" s="280" t="n"/>
      <c r="C458" s="280" t="n"/>
      <c r="D458" s="280" t="n"/>
      <c r="E458" s="280" t="n"/>
      <c r="F458" s="280" t="n"/>
      <c r="G458" s="280" t="n"/>
      <c r="H458" s="280" t="n"/>
      <c r="I458" s="332">
        <f>IFERROR(VLOOKUP(TEXT(H458,"0"),IPRESS!$A$3:$B$212,2,0),"")</f>
        <v/>
      </c>
      <c r="J458" s="280" t="n"/>
      <c r="K458" s="332">
        <f>IFERROR(VLOOKUP(TEXT(O458,"0"),CONDUCTORES!$A$3:$G$54,7,0),"")</f>
        <v/>
      </c>
      <c r="L458" s="280" t="n"/>
      <c r="M458" s="280" t="n"/>
      <c r="N458" s="333">
        <f>IFERROR(IF(L458*M458=0,"",L458*M458),"")</f>
        <v/>
      </c>
      <c r="O458" s="280" t="n"/>
      <c r="P458" s="332">
        <f>IFERROR(VLOOKUP(TEXT(O458,"0"),CONDUCTORES!$A$3:$G$54,2,0),"")</f>
        <v/>
      </c>
      <c r="Q458" s="332">
        <f>IFERROR(VLOOKUP(TEXT(O458,"0"),CONDUCTORES!$A$3:$H$54,6,0),"")</f>
        <v/>
      </c>
      <c r="R458" s="280" t="n"/>
      <c r="S458" s="280" t="n"/>
      <c r="T458" s="280" t="n"/>
      <c r="U458" s="280" t="n"/>
      <c r="V458" s="280" t="n"/>
      <c r="W458" s="280" t="n"/>
      <c r="X458" s="280" t="n"/>
      <c r="Y458" s="280" t="n"/>
    </row>
    <row r="459" ht="15" customHeight="1" s="195">
      <c r="A459" s="334" t="n"/>
      <c r="B459" s="334" t="n"/>
      <c r="C459" s="334" t="n"/>
      <c r="D459" s="334" t="n"/>
      <c r="E459" s="334" t="n"/>
      <c r="F459" s="334" t="n"/>
      <c r="G459" s="334" t="n"/>
      <c r="H459" s="334" t="n"/>
      <c r="I459" s="332">
        <f>IFERROR(VLOOKUP(TEXT(H459,"0"),IPRESS!$A$3:$B$212,2,0),"")</f>
        <v/>
      </c>
      <c r="J459" s="334" t="n"/>
      <c r="K459" s="332">
        <f>IFERROR(VLOOKUP(TEXT(O459,"0"),CONDUCTORES!$A$3:$G$54,7,0),"")</f>
        <v/>
      </c>
      <c r="L459" s="334" t="n"/>
      <c r="M459" s="334" t="n"/>
      <c r="N459" s="333">
        <f>IFERROR(IF(L459*M459=0,"",L459*M459),"")</f>
        <v/>
      </c>
      <c r="O459" s="334" t="n"/>
      <c r="P459" s="332">
        <f>IFERROR(VLOOKUP(TEXT(O459,"0"),CONDUCTORES!$A$3:$G$54,2,0),"")</f>
        <v/>
      </c>
      <c r="Q459" s="332">
        <f>IFERROR(VLOOKUP(TEXT(O459,"0"),CONDUCTORES!$A$3:$H$54,6,0),"")</f>
        <v/>
      </c>
      <c r="R459" s="334" t="n"/>
      <c r="S459" s="334" t="n"/>
      <c r="T459" s="334" t="n"/>
      <c r="U459" s="334" t="n"/>
      <c r="V459" s="334" t="n"/>
      <c r="W459" s="334" t="n"/>
      <c r="X459" s="334" t="n"/>
      <c r="Y459" s="334" t="n"/>
    </row>
    <row r="460" ht="15" customHeight="1" s="195">
      <c r="A460" s="280" t="n"/>
      <c r="B460" s="280" t="n"/>
      <c r="C460" s="280" t="n"/>
      <c r="D460" s="280" t="n"/>
      <c r="E460" s="280" t="n"/>
      <c r="F460" s="280" t="n"/>
      <c r="G460" s="280" t="n"/>
      <c r="H460" s="280" t="n"/>
      <c r="I460" s="332">
        <f>IFERROR(VLOOKUP(TEXT(H460,"0"),IPRESS!$A$3:$B$212,2,0),"")</f>
        <v/>
      </c>
      <c r="J460" s="280" t="n"/>
      <c r="K460" s="332">
        <f>IFERROR(VLOOKUP(TEXT(O460,"0"),CONDUCTORES!$A$3:$G$54,7,0),"")</f>
        <v/>
      </c>
      <c r="L460" s="280" t="n"/>
      <c r="M460" s="280" t="n"/>
      <c r="N460" s="333">
        <f>IFERROR(IF(L460*M460=0,"",L460*M460),"")</f>
        <v/>
      </c>
      <c r="O460" s="280" t="n"/>
      <c r="P460" s="332">
        <f>IFERROR(VLOOKUP(TEXT(O460,"0"),CONDUCTORES!$A$3:$G$54,2,0),"")</f>
        <v/>
      </c>
      <c r="Q460" s="332">
        <f>IFERROR(VLOOKUP(TEXT(O460,"0"),CONDUCTORES!$A$3:$H$54,6,0),"")</f>
        <v/>
      </c>
      <c r="R460" s="280" t="n"/>
      <c r="S460" s="280" t="n"/>
      <c r="T460" s="280" t="n"/>
      <c r="U460" s="280" t="n"/>
      <c r="V460" s="280" t="n"/>
      <c r="W460" s="280" t="n"/>
      <c r="X460" s="280" t="n"/>
      <c r="Y460" s="280" t="n"/>
    </row>
    <row r="461" ht="15" customHeight="1" s="195">
      <c r="A461" s="334" t="n"/>
      <c r="B461" s="334" t="n"/>
      <c r="C461" s="334" t="n"/>
      <c r="D461" s="334" t="n"/>
      <c r="E461" s="334" t="n"/>
      <c r="F461" s="334" t="n"/>
      <c r="G461" s="334" t="n"/>
      <c r="H461" s="334" t="n"/>
      <c r="I461" s="332">
        <f>IFERROR(VLOOKUP(TEXT(H461,"0"),IPRESS!$A$3:$B$212,2,0),"")</f>
        <v/>
      </c>
      <c r="J461" s="334" t="n"/>
      <c r="K461" s="332">
        <f>IFERROR(VLOOKUP(TEXT(O461,"0"),CONDUCTORES!$A$3:$G$54,7,0),"")</f>
        <v/>
      </c>
      <c r="L461" s="334" t="n"/>
      <c r="M461" s="334" t="n"/>
      <c r="N461" s="333">
        <f>IFERROR(IF(L461*M461=0,"",L461*M461),"")</f>
        <v/>
      </c>
      <c r="O461" s="334" t="n"/>
      <c r="P461" s="332">
        <f>IFERROR(VLOOKUP(TEXT(O461,"0"),CONDUCTORES!$A$3:$G$54,2,0),"")</f>
        <v/>
      </c>
      <c r="Q461" s="332">
        <f>IFERROR(VLOOKUP(TEXT(O461,"0"),CONDUCTORES!$A$3:$H$54,6,0),"")</f>
        <v/>
      </c>
      <c r="R461" s="334" t="n"/>
      <c r="S461" s="334" t="n"/>
      <c r="T461" s="334" t="n"/>
      <c r="U461" s="334" t="n"/>
      <c r="V461" s="334" t="n"/>
      <c r="W461" s="334" t="n"/>
      <c r="X461" s="334" t="n"/>
      <c r="Y461" s="334" t="n"/>
    </row>
    <row r="462" ht="15" customHeight="1" s="195">
      <c r="A462" s="280" t="n"/>
      <c r="B462" s="280" t="n"/>
      <c r="C462" s="280" t="n"/>
      <c r="D462" s="280" t="n"/>
      <c r="E462" s="280" t="n"/>
      <c r="F462" s="280" t="n"/>
      <c r="G462" s="280" t="n"/>
      <c r="H462" s="280" t="n"/>
      <c r="I462" s="332">
        <f>IFERROR(VLOOKUP(TEXT(H462,"0"),IPRESS!$A$3:$B$212,2,0),"")</f>
        <v/>
      </c>
      <c r="J462" s="280" t="n"/>
      <c r="K462" s="332">
        <f>IFERROR(VLOOKUP(TEXT(O462,"0"),CONDUCTORES!$A$3:$G$54,7,0),"")</f>
        <v/>
      </c>
      <c r="L462" s="280" t="n"/>
      <c r="M462" s="280" t="n"/>
      <c r="N462" s="333">
        <f>IFERROR(IF(L462*M462=0,"",L462*M462),"")</f>
        <v/>
      </c>
      <c r="O462" s="280" t="n"/>
      <c r="P462" s="332">
        <f>IFERROR(VLOOKUP(TEXT(O462,"0"),CONDUCTORES!$A$3:$G$54,2,0),"")</f>
        <v/>
      </c>
      <c r="Q462" s="332">
        <f>IFERROR(VLOOKUP(TEXT(O462,"0"),CONDUCTORES!$A$3:$H$54,6,0),"")</f>
        <v/>
      </c>
      <c r="R462" s="280" t="n"/>
      <c r="S462" s="280" t="n"/>
      <c r="T462" s="280" t="n"/>
      <c r="U462" s="280" t="n"/>
      <c r="V462" s="280" t="n"/>
      <c r="W462" s="280" t="n"/>
      <c r="X462" s="280" t="n"/>
      <c r="Y462" s="280" t="n"/>
    </row>
    <row r="463" ht="15" customHeight="1" s="195">
      <c r="A463" s="334" t="n"/>
      <c r="B463" s="334" t="n"/>
      <c r="C463" s="334" t="n"/>
      <c r="D463" s="334" t="n"/>
      <c r="E463" s="334" t="n"/>
      <c r="F463" s="334" t="n"/>
      <c r="G463" s="334" t="n"/>
      <c r="H463" s="334" t="n"/>
      <c r="I463" s="332">
        <f>IFERROR(VLOOKUP(TEXT(H463,"0"),IPRESS!$A$3:$B$212,2,0),"")</f>
        <v/>
      </c>
      <c r="J463" s="334" t="n"/>
      <c r="K463" s="332">
        <f>IFERROR(VLOOKUP(TEXT(O463,"0"),CONDUCTORES!$A$3:$G$54,7,0),"")</f>
        <v/>
      </c>
      <c r="L463" s="334" t="n"/>
      <c r="M463" s="334" t="n"/>
      <c r="N463" s="333">
        <f>IFERROR(IF(L463*M463=0,"",L463*M463),"")</f>
        <v/>
      </c>
      <c r="O463" s="334" t="n"/>
      <c r="P463" s="332">
        <f>IFERROR(VLOOKUP(TEXT(O463,"0"),CONDUCTORES!$A$3:$G$54,2,0),"")</f>
        <v/>
      </c>
      <c r="Q463" s="332">
        <f>IFERROR(VLOOKUP(TEXT(O463,"0"),CONDUCTORES!$A$3:$H$54,6,0),"")</f>
        <v/>
      </c>
      <c r="R463" s="334" t="n"/>
      <c r="S463" s="334" t="n"/>
      <c r="T463" s="334" t="n"/>
      <c r="U463" s="334" t="n"/>
      <c r="V463" s="334" t="n"/>
      <c r="W463" s="334" t="n"/>
      <c r="X463" s="334" t="n"/>
      <c r="Y463" s="334" t="n"/>
    </row>
    <row r="464" ht="15" customHeight="1" s="195">
      <c r="A464" s="280" t="n"/>
      <c r="B464" s="280" t="n"/>
      <c r="C464" s="280" t="n"/>
      <c r="D464" s="280" t="n"/>
      <c r="E464" s="280" t="n"/>
      <c r="F464" s="280" t="n"/>
      <c r="G464" s="280" t="n"/>
      <c r="H464" s="280" t="n"/>
      <c r="I464" s="332">
        <f>IFERROR(VLOOKUP(TEXT(H464,"0"),IPRESS!$A$3:$B$212,2,0),"")</f>
        <v/>
      </c>
      <c r="J464" s="280" t="n"/>
      <c r="K464" s="332">
        <f>IFERROR(VLOOKUP(TEXT(O464,"0"),CONDUCTORES!$A$3:$G$54,7,0),"")</f>
        <v/>
      </c>
      <c r="L464" s="280" t="n"/>
      <c r="M464" s="280" t="n"/>
      <c r="N464" s="333">
        <f>IFERROR(IF(L464*M464=0,"",L464*M464),"")</f>
        <v/>
      </c>
      <c r="O464" s="280" t="n"/>
      <c r="P464" s="332">
        <f>IFERROR(VLOOKUP(TEXT(O464,"0"),CONDUCTORES!$A$3:$G$54,2,0),"")</f>
        <v/>
      </c>
      <c r="Q464" s="332">
        <f>IFERROR(VLOOKUP(TEXT(O464,"0"),CONDUCTORES!$A$3:$H$54,6,0),"")</f>
        <v/>
      </c>
      <c r="R464" s="280" t="n"/>
      <c r="S464" s="280" t="n"/>
      <c r="T464" s="280" t="n"/>
      <c r="U464" s="280" t="n"/>
      <c r="V464" s="280" t="n"/>
      <c r="W464" s="280" t="n"/>
      <c r="X464" s="280" t="n"/>
      <c r="Y464" s="280" t="n"/>
    </row>
    <row r="465" ht="15" customHeight="1" s="195">
      <c r="A465" s="334" t="n"/>
      <c r="B465" s="334" t="n"/>
      <c r="C465" s="334" t="n"/>
      <c r="D465" s="334" t="n"/>
      <c r="E465" s="334" t="n"/>
      <c r="F465" s="334" t="n"/>
      <c r="G465" s="334" t="n"/>
      <c r="H465" s="334" t="n"/>
      <c r="I465" s="332">
        <f>IFERROR(VLOOKUP(TEXT(H465,"0"),IPRESS!$A$3:$B$212,2,0),"")</f>
        <v/>
      </c>
      <c r="J465" s="334" t="n"/>
      <c r="K465" s="332">
        <f>IFERROR(VLOOKUP(TEXT(O465,"0"),CONDUCTORES!$A$3:$G$54,7,0),"")</f>
        <v/>
      </c>
      <c r="L465" s="334" t="n"/>
      <c r="M465" s="334" t="n"/>
      <c r="N465" s="333">
        <f>IFERROR(IF(L465*M465=0,"",L465*M465),"")</f>
        <v/>
      </c>
      <c r="O465" s="334" t="n"/>
      <c r="P465" s="332">
        <f>IFERROR(VLOOKUP(TEXT(O465,"0"),CONDUCTORES!$A$3:$G$54,2,0),"")</f>
        <v/>
      </c>
      <c r="Q465" s="332">
        <f>IFERROR(VLOOKUP(TEXT(O465,"0"),CONDUCTORES!$A$3:$H$54,6,0),"")</f>
        <v/>
      </c>
      <c r="R465" s="334" t="n"/>
      <c r="S465" s="334" t="n"/>
      <c r="T465" s="334" t="n"/>
      <c r="U465" s="334" t="n"/>
      <c r="V465" s="334" t="n"/>
      <c r="W465" s="334" t="n"/>
      <c r="X465" s="334" t="n"/>
      <c r="Y465" s="334" t="n"/>
    </row>
    <row r="466" ht="15" customHeight="1" s="195">
      <c r="A466" s="280" t="n"/>
      <c r="B466" s="280" t="n"/>
      <c r="C466" s="280" t="n"/>
      <c r="D466" s="280" t="n"/>
      <c r="E466" s="280" t="n"/>
      <c r="F466" s="280" t="n"/>
      <c r="G466" s="280" t="n"/>
      <c r="H466" s="280" t="n"/>
      <c r="I466" s="332">
        <f>IFERROR(VLOOKUP(TEXT(H466,"0"),IPRESS!$A$3:$B$212,2,0),"")</f>
        <v/>
      </c>
      <c r="J466" s="280" t="n"/>
      <c r="K466" s="332">
        <f>IFERROR(VLOOKUP(TEXT(O466,"0"),CONDUCTORES!$A$3:$G$54,7,0),"")</f>
        <v/>
      </c>
      <c r="L466" s="280" t="n"/>
      <c r="M466" s="280" t="n"/>
      <c r="N466" s="333">
        <f>IFERROR(IF(L466*M466=0,"",L466*M466),"")</f>
        <v/>
      </c>
      <c r="O466" s="280" t="n"/>
      <c r="P466" s="332">
        <f>IFERROR(VLOOKUP(TEXT(O466,"0"),CONDUCTORES!$A$3:$G$54,2,0),"")</f>
        <v/>
      </c>
      <c r="Q466" s="332">
        <f>IFERROR(VLOOKUP(TEXT(O466,"0"),CONDUCTORES!$A$3:$H$54,6,0),"")</f>
        <v/>
      </c>
      <c r="R466" s="280" t="n"/>
      <c r="S466" s="280" t="n"/>
      <c r="T466" s="280" t="n"/>
      <c r="U466" s="280" t="n"/>
      <c r="V466" s="280" t="n"/>
      <c r="W466" s="280" t="n"/>
      <c r="X466" s="280" t="n"/>
      <c r="Y466" s="280" t="n"/>
    </row>
    <row r="467" ht="15" customHeight="1" s="195">
      <c r="A467" s="334" t="n"/>
      <c r="B467" s="334" t="n"/>
      <c r="C467" s="334" t="n"/>
      <c r="D467" s="334" t="n"/>
      <c r="E467" s="334" t="n"/>
      <c r="F467" s="334" t="n"/>
      <c r="G467" s="334" t="n"/>
      <c r="H467" s="334" t="n"/>
      <c r="I467" s="332">
        <f>IFERROR(VLOOKUP(TEXT(H467,"0"),IPRESS!$A$3:$B$212,2,0),"")</f>
        <v/>
      </c>
      <c r="J467" s="334" t="n"/>
      <c r="K467" s="332">
        <f>IFERROR(VLOOKUP(TEXT(O467,"0"),CONDUCTORES!$A$3:$G$54,7,0),"")</f>
        <v/>
      </c>
      <c r="L467" s="334" t="n"/>
      <c r="M467" s="334" t="n"/>
      <c r="N467" s="333">
        <f>IFERROR(IF(L467*M467=0,"",L467*M467),"")</f>
        <v/>
      </c>
      <c r="O467" s="334" t="n"/>
      <c r="P467" s="332">
        <f>IFERROR(VLOOKUP(TEXT(O467,"0"),CONDUCTORES!$A$3:$G$54,2,0),"")</f>
        <v/>
      </c>
      <c r="Q467" s="332">
        <f>IFERROR(VLOOKUP(TEXT(O467,"0"),CONDUCTORES!$A$3:$H$54,6,0),"")</f>
        <v/>
      </c>
      <c r="R467" s="334" t="n"/>
      <c r="S467" s="334" t="n"/>
      <c r="T467" s="334" t="n"/>
      <c r="U467" s="334" t="n"/>
      <c r="V467" s="334" t="n"/>
      <c r="W467" s="334" t="n"/>
      <c r="X467" s="334" t="n"/>
      <c r="Y467" s="334" t="n"/>
    </row>
    <row r="468" ht="15" customHeight="1" s="195">
      <c r="A468" s="280" t="n"/>
      <c r="B468" s="280" t="n"/>
      <c r="C468" s="280" t="n"/>
      <c r="D468" s="280" t="n"/>
      <c r="E468" s="280" t="n"/>
      <c r="F468" s="280" t="n"/>
      <c r="G468" s="280" t="n"/>
      <c r="H468" s="280" t="n"/>
      <c r="I468" s="332">
        <f>IFERROR(VLOOKUP(TEXT(H468,"0"),IPRESS!$A$3:$B$212,2,0),"")</f>
        <v/>
      </c>
      <c r="J468" s="280" t="n"/>
      <c r="K468" s="332">
        <f>IFERROR(VLOOKUP(TEXT(O468,"0"),CONDUCTORES!$A$3:$G$54,7,0),"")</f>
        <v/>
      </c>
      <c r="L468" s="280" t="n"/>
      <c r="M468" s="280" t="n"/>
      <c r="N468" s="333">
        <f>IFERROR(IF(L468*M468=0,"",L468*M468),"")</f>
        <v/>
      </c>
      <c r="O468" s="280" t="n"/>
      <c r="P468" s="332">
        <f>IFERROR(VLOOKUP(TEXT(O468,"0"),CONDUCTORES!$A$3:$G$54,2,0),"")</f>
        <v/>
      </c>
      <c r="Q468" s="332">
        <f>IFERROR(VLOOKUP(TEXT(O468,"0"),CONDUCTORES!$A$3:$H$54,6,0),"")</f>
        <v/>
      </c>
      <c r="R468" s="280" t="n"/>
      <c r="S468" s="280" t="n"/>
      <c r="T468" s="280" t="n"/>
      <c r="U468" s="280" t="n"/>
      <c r="V468" s="280" t="n"/>
      <c r="W468" s="280" t="n"/>
      <c r="X468" s="280" t="n"/>
      <c r="Y468" s="280" t="n"/>
    </row>
    <row r="469" ht="15" customHeight="1" s="195">
      <c r="A469" s="334" t="n"/>
      <c r="B469" s="334" t="n"/>
      <c r="C469" s="334" t="n"/>
      <c r="D469" s="334" t="n"/>
      <c r="E469" s="334" t="n"/>
      <c r="F469" s="334" t="n"/>
      <c r="G469" s="334" t="n"/>
      <c r="H469" s="334" t="n"/>
      <c r="I469" s="332">
        <f>IFERROR(VLOOKUP(TEXT(H469,"0"),IPRESS!$A$3:$B$212,2,0),"")</f>
        <v/>
      </c>
      <c r="J469" s="334" t="n"/>
      <c r="K469" s="332">
        <f>IFERROR(VLOOKUP(TEXT(O469,"0"),CONDUCTORES!$A$3:$G$54,7,0),"")</f>
        <v/>
      </c>
      <c r="L469" s="334" t="n"/>
      <c r="M469" s="334" t="n"/>
      <c r="N469" s="333">
        <f>IFERROR(IF(L469*M469=0,"",L469*M469),"")</f>
        <v/>
      </c>
      <c r="O469" s="334" t="n"/>
      <c r="P469" s="332">
        <f>IFERROR(VLOOKUP(TEXT(O469,"0"),CONDUCTORES!$A$3:$G$54,2,0),"")</f>
        <v/>
      </c>
      <c r="Q469" s="332">
        <f>IFERROR(VLOOKUP(TEXT(O469,"0"),CONDUCTORES!$A$3:$H$54,6,0),"")</f>
        <v/>
      </c>
      <c r="R469" s="334" t="n"/>
      <c r="S469" s="334" t="n"/>
      <c r="T469" s="334" t="n"/>
      <c r="U469" s="334" t="n"/>
      <c r="V469" s="334" t="n"/>
      <c r="W469" s="334" t="n"/>
      <c r="X469" s="334" t="n"/>
      <c r="Y469" s="334" t="n"/>
    </row>
    <row r="470" ht="15" customHeight="1" s="195">
      <c r="A470" s="280" t="n"/>
      <c r="B470" s="280" t="n"/>
      <c r="C470" s="280" t="n"/>
      <c r="D470" s="280" t="n"/>
      <c r="E470" s="280" t="n"/>
      <c r="F470" s="280" t="n"/>
      <c r="G470" s="280" t="n"/>
      <c r="H470" s="280" t="n"/>
      <c r="I470" s="332">
        <f>IFERROR(VLOOKUP(TEXT(H470,"0"),IPRESS!$A$3:$B$212,2,0),"")</f>
        <v/>
      </c>
      <c r="J470" s="280" t="n"/>
      <c r="K470" s="332">
        <f>IFERROR(VLOOKUP(TEXT(O470,"0"),CONDUCTORES!$A$3:$G$54,7,0),"")</f>
        <v/>
      </c>
      <c r="L470" s="280" t="n"/>
      <c r="M470" s="280" t="n"/>
      <c r="N470" s="333">
        <f>IFERROR(IF(L470*M470=0,"",L470*M470),"")</f>
        <v/>
      </c>
      <c r="O470" s="280" t="n"/>
      <c r="P470" s="332">
        <f>IFERROR(VLOOKUP(TEXT(O470,"0"),CONDUCTORES!$A$3:$G$54,2,0),"")</f>
        <v/>
      </c>
      <c r="Q470" s="332">
        <f>IFERROR(VLOOKUP(TEXT(O470,"0"),CONDUCTORES!$A$3:$H$54,6,0),"")</f>
        <v/>
      </c>
      <c r="R470" s="280" t="n"/>
      <c r="S470" s="280" t="n"/>
      <c r="T470" s="280" t="n"/>
      <c r="U470" s="280" t="n"/>
      <c r="V470" s="280" t="n"/>
      <c r="W470" s="280" t="n"/>
      <c r="X470" s="280" t="n"/>
      <c r="Y470" s="280" t="n"/>
    </row>
    <row r="471" ht="15" customHeight="1" s="195">
      <c r="A471" s="334" t="n"/>
      <c r="B471" s="334" t="n"/>
      <c r="C471" s="334" t="n"/>
      <c r="D471" s="334" t="n"/>
      <c r="E471" s="334" t="n"/>
      <c r="F471" s="334" t="n"/>
      <c r="G471" s="334" t="n"/>
      <c r="H471" s="334" t="n"/>
      <c r="I471" s="332">
        <f>IFERROR(VLOOKUP(TEXT(H471,"0"),IPRESS!$A$3:$B$212,2,0),"")</f>
        <v/>
      </c>
      <c r="J471" s="334" t="n"/>
      <c r="K471" s="332">
        <f>IFERROR(VLOOKUP(TEXT(O471,"0"),CONDUCTORES!$A$3:$G$54,7,0),"")</f>
        <v/>
      </c>
      <c r="L471" s="334" t="n"/>
      <c r="M471" s="334" t="n"/>
      <c r="N471" s="333">
        <f>IFERROR(IF(L471*M471=0,"",L471*M471),"")</f>
        <v/>
      </c>
      <c r="O471" s="334" t="n"/>
      <c r="P471" s="332">
        <f>IFERROR(VLOOKUP(TEXT(O471,"0"),CONDUCTORES!$A$3:$G$54,2,0),"")</f>
        <v/>
      </c>
      <c r="Q471" s="332">
        <f>IFERROR(VLOOKUP(TEXT(O471,"0"),CONDUCTORES!$A$3:$H$54,6,0),"")</f>
        <v/>
      </c>
      <c r="R471" s="334" t="n"/>
      <c r="S471" s="334" t="n"/>
      <c r="T471" s="334" t="n"/>
      <c r="U471" s="334" t="n"/>
      <c r="V471" s="334" t="n"/>
      <c r="W471" s="334" t="n"/>
      <c r="X471" s="334" t="n"/>
      <c r="Y471" s="334" t="n"/>
    </row>
    <row r="472" ht="15" customHeight="1" s="195">
      <c r="A472" s="280" t="n"/>
      <c r="B472" s="280" t="n"/>
      <c r="C472" s="280" t="n"/>
      <c r="D472" s="280" t="n"/>
      <c r="E472" s="280" t="n"/>
      <c r="F472" s="280" t="n"/>
      <c r="G472" s="280" t="n"/>
      <c r="H472" s="280" t="n"/>
      <c r="I472" s="332">
        <f>IFERROR(VLOOKUP(TEXT(H472,"0"),IPRESS!$A$3:$B$212,2,0),"")</f>
        <v/>
      </c>
      <c r="J472" s="280" t="n"/>
      <c r="K472" s="332">
        <f>IFERROR(VLOOKUP(TEXT(O472,"0"),CONDUCTORES!$A$3:$G$54,7,0),"")</f>
        <v/>
      </c>
      <c r="L472" s="280" t="n"/>
      <c r="M472" s="280" t="n"/>
      <c r="N472" s="333">
        <f>IFERROR(IF(L472*M472=0,"",L472*M472),"")</f>
        <v/>
      </c>
      <c r="O472" s="280" t="n"/>
      <c r="P472" s="332">
        <f>IFERROR(VLOOKUP(TEXT(O472,"0"),CONDUCTORES!$A$3:$G$54,2,0),"")</f>
        <v/>
      </c>
      <c r="Q472" s="332">
        <f>IFERROR(VLOOKUP(TEXT(O472,"0"),CONDUCTORES!$A$3:$H$54,6,0),"")</f>
        <v/>
      </c>
      <c r="R472" s="280" t="n"/>
      <c r="S472" s="280" t="n"/>
      <c r="T472" s="280" t="n"/>
      <c r="U472" s="280" t="n"/>
      <c r="V472" s="280" t="n"/>
      <c r="W472" s="280" t="n"/>
      <c r="X472" s="280" t="n"/>
      <c r="Y472" s="280" t="n"/>
    </row>
    <row r="473" ht="15" customHeight="1" s="195">
      <c r="A473" s="334" t="n"/>
      <c r="B473" s="334" t="n"/>
      <c r="C473" s="334" t="n"/>
      <c r="D473" s="334" t="n"/>
      <c r="E473" s="334" t="n"/>
      <c r="F473" s="334" t="n"/>
      <c r="G473" s="334" t="n"/>
      <c r="H473" s="334" t="n"/>
      <c r="I473" s="332">
        <f>IFERROR(VLOOKUP(TEXT(H473,"0"),IPRESS!$A$3:$B$212,2,0),"")</f>
        <v/>
      </c>
      <c r="J473" s="334" t="n"/>
      <c r="K473" s="332">
        <f>IFERROR(VLOOKUP(TEXT(O473,"0"),CONDUCTORES!$A$3:$G$54,7,0),"")</f>
        <v/>
      </c>
      <c r="L473" s="334" t="n"/>
      <c r="M473" s="334" t="n"/>
      <c r="N473" s="333">
        <f>IFERROR(IF(L473*M473=0,"",L473*M473),"")</f>
        <v/>
      </c>
      <c r="O473" s="334" t="n"/>
      <c r="P473" s="332">
        <f>IFERROR(VLOOKUP(TEXT(O473,"0"),CONDUCTORES!$A$3:$G$54,2,0),"")</f>
        <v/>
      </c>
      <c r="Q473" s="332">
        <f>IFERROR(VLOOKUP(TEXT(O473,"0"),CONDUCTORES!$A$3:$H$54,6,0),"")</f>
        <v/>
      </c>
      <c r="R473" s="334" t="n"/>
      <c r="S473" s="334" t="n"/>
      <c r="T473" s="334" t="n"/>
      <c r="U473" s="334" t="n"/>
      <c r="V473" s="334" t="n"/>
      <c r="W473" s="334" t="n"/>
      <c r="X473" s="334" t="n"/>
      <c r="Y473" s="334" t="n"/>
    </row>
    <row r="474" ht="15" customHeight="1" s="195">
      <c r="A474" s="280" t="n"/>
      <c r="B474" s="280" t="n"/>
      <c r="C474" s="280" t="n"/>
      <c r="D474" s="280" t="n"/>
      <c r="E474" s="280" t="n"/>
      <c r="F474" s="280" t="n"/>
      <c r="G474" s="280" t="n"/>
      <c r="H474" s="280" t="n"/>
      <c r="I474" s="332">
        <f>IFERROR(VLOOKUP(TEXT(H474,"0"),IPRESS!$A$3:$B$212,2,0),"")</f>
        <v/>
      </c>
      <c r="J474" s="280" t="n"/>
      <c r="K474" s="332">
        <f>IFERROR(VLOOKUP(TEXT(O474,"0"),CONDUCTORES!$A$3:$G$54,7,0),"")</f>
        <v/>
      </c>
      <c r="L474" s="280" t="n"/>
      <c r="M474" s="280" t="n"/>
      <c r="N474" s="333">
        <f>IFERROR(IF(L474*M474=0,"",L474*M474),"")</f>
        <v/>
      </c>
      <c r="O474" s="280" t="n"/>
      <c r="P474" s="332">
        <f>IFERROR(VLOOKUP(TEXT(O474,"0"),CONDUCTORES!$A$3:$G$54,2,0),"")</f>
        <v/>
      </c>
      <c r="Q474" s="332">
        <f>IFERROR(VLOOKUP(TEXT(O474,"0"),CONDUCTORES!$A$3:$H$54,6,0),"")</f>
        <v/>
      </c>
      <c r="R474" s="280" t="n"/>
      <c r="S474" s="280" t="n"/>
      <c r="T474" s="280" t="n"/>
      <c r="U474" s="280" t="n"/>
      <c r="V474" s="280" t="n"/>
      <c r="W474" s="280" t="n"/>
      <c r="X474" s="280" t="n"/>
      <c r="Y474" s="280" t="n"/>
    </row>
    <row r="475" ht="15" customHeight="1" s="195">
      <c r="A475" s="334" t="n"/>
      <c r="B475" s="334" t="n"/>
      <c r="C475" s="334" t="n"/>
      <c r="D475" s="334" t="n"/>
      <c r="E475" s="334" t="n"/>
      <c r="F475" s="334" t="n"/>
      <c r="G475" s="334" t="n"/>
      <c r="H475" s="334" t="n"/>
      <c r="I475" s="332">
        <f>IFERROR(VLOOKUP(TEXT(H475,"0"),IPRESS!$A$3:$B$212,2,0),"")</f>
        <v/>
      </c>
      <c r="J475" s="334" t="n"/>
      <c r="K475" s="332">
        <f>IFERROR(VLOOKUP(TEXT(O475,"0"),CONDUCTORES!$A$3:$G$54,7,0),"")</f>
        <v/>
      </c>
      <c r="L475" s="334" t="n"/>
      <c r="M475" s="334" t="n"/>
      <c r="N475" s="333">
        <f>IFERROR(IF(L475*M475=0,"",L475*M475),"")</f>
        <v/>
      </c>
      <c r="O475" s="334" t="n"/>
      <c r="P475" s="332">
        <f>IFERROR(VLOOKUP(TEXT(O475,"0"),CONDUCTORES!$A$3:$G$54,2,0),"")</f>
        <v/>
      </c>
      <c r="Q475" s="332">
        <f>IFERROR(VLOOKUP(TEXT(O475,"0"),CONDUCTORES!$A$3:$H$54,6,0),"")</f>
        <v/>
      </c>
      <c r="R475" s="334" t="n"/>
      <c r="S475" s="334" t="n"/>
      <c r="T475" s="334" t="n"/>
      <c r="U475" s="334" t="n"/>
      <c r="V475" s="334" t="n"/>
      <c r="W475" s="334" t="n"/>
      <c r="X475" s="334" t="n"/>
      <c r="Y475" s="334" t="n"/>
    </row>
    <row r="476" ht="15" customHeight="1" s="195">
      <c r="A476" s="280" t="n"/>
      <c r="B476" s="280" t="n"/>
      <c r="C476" s="280" t="n"/>
      <c r="D476" s="280" t="n"/>
      <c r="E476" s="280" t="n"/>
      <c r="F476" s="280" t="n"/>
      <c r="G476" s="280" t="n"/>
      <c r="H476" s="280" t="n"/>
      <c r="I476" s="332">
        <f>IFERROR(VLOOKUP(TEXT(H476,"0"),IPRESS!$A$3:$B$212,2,0),"")</f>
        <v/>
      </c>
      <c r="J476" s="280" t="n"/>
      <c r="K476" s="332">
        <f>IFERROR(VLOOKUP(TEXT(O476,"0"),CONDUCTORES!$A$3:$G$54,7,0),"")</f>
        <v/>
      </c>
      <c r="L476" s="280" t="n"/>
      <c r="M476" s="280" t="n"/>
      <c r="N476" s="333">
        <f>IFERROR(IF(L476*M476=0,"",L476*M476),"")</f>
        <v/>
      </c>
      <c r="O476" s="280" t="n"/>
      <c r="P476" s="332">
        <f>IFERROR(VLOOKUP(TEXT(O476,"0"),CONDUCTORES!$A$3:$G$54,2,0),"")</f>
        <v/>
      </c>
      <c r="Q476" s="332">
        <f>IFERROR(VLOOKUP(TEXT(O476,"0"),CONDUCTORES!$A$3:$H$54,6,0),"")</f>
        <v/>
      </c>
      <c r="R476" s="280" t="n"/>
      <c r="S476" s="280" t="n"/>
      <c r="T476" s="280" t="n"/>
      <c r="U476" s="280" t="n"/>
      <c r="V476" s="280" t="n"/>
      <c r="W476" s="280" t="n"/>
      <c r="X476" s="280" t="n"/>
      <c r="Y476" s="280" t="n"/>
    </row>
    <row r="477" ht="15" customHeight="1" s="195">
      <c r="A477" s="334" t="n"/>
      <c r="B477" s="334" t="n"/>
      <c r="C477" s="334" t="n"/>
      <c r="D477" s="334" t="n"/>
      <c r="E477" s="334" t="n"/>
      <c r="F477" s="334" t="n"/>
      <c r="G477" s="334" t="n"/>
      <c r="H477" s="334" t="n"/>
      <c r="I477" s="332">
        <f>IFERROR(VLOOKUP(TEXT(H477,"0"),IPRESS!$A$3:$B$212,2,0),"")</f>
        <v/>
      </c>
      <c r="J477" s="334" t="n"/>
      <c r="K477" s="332">
        <f>IFERROR(VLOOKUP(TEXT(O477,"0"),CONDUCTORES!$A$3:$G$54,7,0),"")</f>
        <v/>
      </c>
      <c r="L477" s="334" t="n"/>
      <c r="M477" s="334" t="n"/>
      <c r="N477" s="333">
        <f>IFERROR(IF(L477*M477=0,"",L477*M477),"")</f>
        <v/>
      </c>
      <c r="O477" s="334" t="n"/>
      <c r="P477" s="332">
        <f>IFERROR(VLOOKUP(TEXT(O477,"0"),CONDUCTORES!$A$3:$G$54,2,0),"")</f>
        <v/>
      </c>
      <c r="Q477" s="332">
        <f>IFERROR(VLOOKUP(TEXT(O477,"0"),CONDUCTORES!$A$3:$H$54,6,0),"")</f>
        <v/>
      </c>
      <c r="R477" s="334" t="n"/>
      <c r="S477" s="334" t="n"/>
      <c r="T477" s="334" t="n"/>
      <c r="U477" s="334" t="n"/>
      <c r="V477" s="334" t="n"/>
      <c r="W477" s="334" t="n"/>
      <c r="X477" s="334" t="n"/>
      <c r="Y477" s="334" t="n"/>
    </row>
    <row r="478" ht="15" customHeight="1" s="195">
      <c r="A478" s="280" t="n"/>
      <c r="B478" s="280" t="n"/>
      <c r="C478" s="280" t="n"/>
      <c r="D478" s="280" t="n"/>
      <c r="E478" s="280" t="n"/>
      <c r="F478" s="280" t="n"/>
      <c r="G478" s="280" t="n"/>
      <c r="H478" s="280" t="n"/>
      <c r="I478" s="332">
        <f>IFERROR(VLOOKUP(TEXT(H478,"0"),IPRESS!$A$3:$B$212,2,0),"")</f>
        <v/>
      </c>
      <c r="J478" s="280" t="n"/>
      <c r="K478" s="332">
        <f>IFERROR(VLOOKUP(TEXT(O478,"0"),CONDUCTORES!$A$3:$G$54,7,0),"")</f>
        <v/>
      </c>
      <c r="L478" s="280" t="n"/>
      <c r="M478" s="280" t="n"/>
      <c r="N478" s="333">
        <f>IFERROR(IF(L478*M478=0,"",L478*M478),"")</f>
        <v/>
      </c>
      <c r="O478" s="280" t="n"/>
      <c r="P478" s="332">
        <f>IFERROR(VLOOKUP(TEXT(O478,"0"),CONDUCTORES!$A$3:$G$54,2,0),"")</f>
        <v/>
      </c>
      <c r="Q478" s="332">
        <f>IFERROR(VLOOKUP(TEXT(O478,"0"),CONDUCTORES!$A$3:$H$54,6,0),"")</f>
        <v/>
      </c>
      <c r="R478" s="280" t="n"/>
      <c r="S478" s="280" t="n"/>
      <c r="T478" s="280" t="n"/>
      <c r="U478" s="280" t="n"/>
      <c r="V478" s="280" t="n"/>
      <c r="W478" s="280" t="n"/>
      <c r="X478" s="280" t="n"/>
      <c r="Y478" s="280" t="n"/>
    </row>
    <row r="479" ht="15" customHeight="1" s="195">
      <c r="A479" s="334" t="n"/>
      <c r="B479" s="334" t="n"/>
      <c r="C479" s="334" t="n"/>
      <c r="D479" s="334" t="n"/>
      <c r="E479" s="334" t="n"/>
      <c r="F479" s="334" t="n"/>
      <c r="G479" s="334" t="n"/>
      <c r="H479" s="334" t="n"/>
      <c r="I479" s="332">
        <f>IFERROR(VLOOKUP(TEXT(H479,"0"),IPRESS!$A$3:$B$212,2,0),"")</f>
        <v/>
      </c>
      <c r="J479" s="334" t="n"/>
      <c r="K479" s="332">
        <f>IFERROR(VLOOKUP(TEXT(O479,"0"),CONDUCTORES!$A$3:$G$54,7,0),"")</f>
        <v/>
      </c>
      <c r="L479" s="334" t="n"/>
      <c r="M479" s="334" t="n"/>
      <c r="N479" s="333">
        <f>IFERROR(IF(L479*M479=0,"",L479*M479),"")</f>
        <v/>
      </c>
      <c r="O479" s="334" t="n"/>
      <c r="P479" s="332">
        <f>IFERROR(VLOOKUP(TEXT(O479,"0"),CONDUCTORES!$A$3:$G$54,2,0),"")</f>
        <v/>
      </c>
      <c r="Q479" s="332">
        <f>IFERROR(VLOOKUP(TEXT(O479,"0"),CONDUCTORES!$A$3:$H$54,6,0),"")</f>
        <v/>
      </c>
      <c r="R479" s="334" t="n"/>
      <c r="S479" s="334" t="n"/>
      <c r="T479" s="334" t="n"/>
      <c r="U479" s="334" t="n"/>
      <c r="V479" s="334" t="n"/>
      <c r="W479" s="334" t="n"/>
      <c r="X479" s="334" t="n"/>
      <c r="Y479" s="334" t="n"/>
    </row>
    <row r="480" ht="15" customHeight="1" s="195">
      <c r="A480" s="280" t="n"/>
      <c r="B480" s="280" t="n"/>
      <c r="C480" s="280" t="n"/>
      <c r="D480" s="280" t="n"/>
      <c r="E480" s="280" t="n"/>
      <c r="F480" s="280" t="n"/>
      <c r="G480" s="280" t="n"/>
      <c r="H480" s="280" t="n"/>
      <c r="I480" s="332">
        <f>IFERROR(VLOOKUP(TEXT(H480,"0"),IPRESS!$A$3:$B$212,2,0),"")</f>
        <v/>
      </c>
      <c r="J480" s="280" t="n"/>
      <c r="K480" s="332">
        <f>IFERROR(VLOOKUP(TEXT(O480,"0"),CONDUCTORES!$A$3:$G$54,7,0),"")</f>
        <v/>
      </c>
      <c r="L480" s="280" t="n"/>
      <c r="M480" s="280" t="n"/>
      <c r="N480" s="333">
        <f>IFERROR(IF(L480*M480=0,"",L480*M480),"")</f>
        <v/>
      </c>
      <c r="O480" s="280" t="n"/>
      <c r="P480" s="332">
        <f>IFERROR(VLOOKUP(TEXT(O480,"0"),CONDUCTORES!$A$3:$G$54,2,0),"")</f>
        <v/>
      </c>
      <c r="Q480" s="332">
        <f>IFERROR(VLOOKUP(TEXT(O480,"0"),CONDUCTORES!$A$3:$H$54,6,0),"")</f>
        <v/>
      </c>
      <c r="R480" s="280" t="n"/>
      <c r="S480" s="280" t="n"/>
      <c r="T480" s="280" t="n"/>
      <c r="U480" s="280" t="n"/>
      <c r="V480" s="280" t="n"/>
      <c r="W480" s="280" t="n"/>
      <c r="X480" s="280" t="n"/>
      <c r="Y480" s="280" t="n"/>
    </row>
    <row r="481" ht="15" customHeight="1" s="195">
      <c r="A481" s="334" t="n"/>
      <c r="B481" s="334" t="n"/>
      <c r="C481" s="334" t="n"/>
      <c r="D481" s="334" t="n"/>
      <c r="E481" s="334" t="n"/>
      <c r="F481" s="334" t="n"/>
      <c r="G481" s="334" t="n"/>
      <c r="H481" s="334" t="n"/>
      <c r="I481" s="332">
        <f>IFERROR(VLOOKUP(TEXT(H481,"0"),IPRESS!$A$3:$B$212,2,0),"")</f>
        <v/>
      </c>
      <c r="J481" s="334" t="n"/>
      <c r="K481" s="332">
        <f>IFERROR(VLOOKUP(TEXT(O481,"0"),CONDUCTORES!$A$3:$G$54,7,0),"")</f>
        <v/>
      </c>
      <c r="L481" s="334" t="n"/>
      <c r="M481" s="334" t="n"/>
      <c r="N481" s="333">
        <f>IFERROR(IF(L481*M481=0,"",L481*M481),"")</f>
        <v/>
      </c>
      <c r="O481" s="334" t="n"/>
      <c r="P481" s="332">
        <f>IFERROR(VLOOKUP(TEXT(O481,"0"),CONDUCTORES!$A$3:$G$54,2,0),"")</f>
        <v/>
      </c>
      <c r="Q481" s="332">
        <f>IFERROR(VLOOKUP(TEXT(O481,"0"),CONDUCTORES!$A$3:$H$54,6,0),"")</f>
        <v/>
      </c>
      <c r="R481" s="334" t="n"/>
      <c r="S481" s="334" t="n"/>
      <c r="T481" s="334" t="n"/>
      <c r="U481" s="334" t="n"/>
      <c r="V481" s="334" t="n"/>
      <c r="W481" s="334" t="n"/>
      <c r="X481" s="334" t="n"/>
      <c r="Y481" s="334" t="n"/>
    </row>
    <row r="482" ht="15" customHeight="1" s="195">
      <c r="A482" s="280" t="n"/>
      <c r="B482" s="280" t="n"/>
      <c r="C482" s="280" t="n"/>
      <c r="D482" s="280" t="n"/>
      <c r="E482" s="280" t="n"/>
      <c r="F482" s="280" t="n"/>
      <c r="G482" s="280" t="n"/>
      <c r="H482" s="280" t="n"/>
      <c r="I482" s="332">
        <f>IFERROR(VLOOKUP(TEXT(H482,"0"),IPRESS!$A$3:$B$212,2,0),"")</f>
        <v/>
      </c>
      <c r="J482" s="280" t="n"/>
      <c r="K482" s="332">
        <f>IFERROR(VLOOKUP(TEXT(O482,"0"),CONDUCTORES!$A$3:$G$54,7,0),"")</f>
        <v/>
      </c>
      <c r="L482" s="280" t="n"/>
      <c r="M482" s="280" t="n"/>
      <c r="N482" s="333">
        <f>IFERROR(IF(L482*M482=0,"",L482*M482),"")</f>
        <v/>
      </c>
      <c r="O482" s="280" t="n"/>
      <c r="P482" s="332">
        <f>IFERROR(VLOOKUP(TEXT(O482,"0"),CONDUCTORES!$A$3:$G$54,2,0),"")</f>
        <v/>
      </c>
      <c r="Q482" s="332">
        <f>IFERROR(VLOOKUP(TEXT(O482,"0"),CONDUCTORES!$A$3:$H$54,6,0),"")</f>
        <v/>
      </c>
      <c r="R482" s="280" t="n"/>
      <c r="S482" s="280" t="n"/>
      <c r="T482" s="280" t="n"/>
      <c r="U482" s="280" t="n"/>
      <c r="V482" s="280" t="n"/>
      <c r="W482" s="280" t="n"/>
      <c r="X482" s="280" t="n"/>
      <c r="Y482" s="280" t="n"/>
    </row>
    <row r="483" ht="15" customHeight="1" s="195">
      <c r="A483" s="334" t="n"/>
      <c r="B483" s="334" t="n"/>
      <c r="C483" s="334" t="n"/>
      <c r="D483" s="334" t="n"/>
      <c r="E483" s="334" t="n"/>
      <c r="F483" s="334" t="n"/>
      <c r="G483" s="334" t="n"/>
      <c r="H483" s="334" t="n"/>
      <c r="I483" s="332">
        <f>IFERROR(VLOOKUP(TEXT(H483,"0"),IPRESS!$A$3:$B$212,2,0),"")</f>
        <v/>
      </c>
      <c r="J483" s="334" t="n"/>
      <c r="K483" s="332">
        <f>IFERROR(VLOOKUP(TEXT(O483,"0"),CONDUCTORES!$A$3:$G$54,7,0),"")</f>
        <v/>
      </c>
      <c r="L483" s="334" t="n"/>
      <c r="M483" s="334" t="n"/>
      <c r="N483" s="333">
        <f>IFERROR(IF(L483*M483=0,"",L483*M483),"")</f>
        <v/>
      </c>
      <c r="O483" s="334" t="n"/>
      <c r="P483" s="332">
        <f>IFERROR(VLOOKUP(TEXT(O483,"0"),CONDUCTORES!$A$3:$G$54,2,0),"")</f>
        <v/>
      </c>
      <c r="Q483" s="332">
        <f>IFERROR(VLOOKUP(TEXT(O483,"0"),CONDUCTORES!$A$3:$H$54,6,0),"")</f>
        <v/>
      </c>
      <c r="R483" s="334" t="n"/>
      <c r="S483" s="334" t="n"/>
      <c r="T483" s="334" t="n"/>
      <c r="U483" s="334" t="n"/>
      <c r="V483" s="334" t="n"/>
      <c r="W483" s="334" t="n"/>
      <c r="X483" s="334" t="n"/>
      <c r="Y483" s="334" t="n"/>
    </row>
    <row r="484" ht="15" customHeight="1" s="195">
      <c r="A484" s="280" t="n"/>
      <c r="B484" s="280" t="n"/>
      <c r="C484" s="280" t="n"/>
      <c r="D484" s="280" t="n"/>
      <c r="E484" s="280" t="n"/>
      <c r="F484" s="280" t="n"/>
      <c r="G484" s="280" t="n"/>
      <c r="H484" s="280" t="n"/>
      <c r="I484" s="332">
        <f>IFERROR(VLOOKUP(TEXT(H484,"0"),IPRESS!$A$3:$B$212,2,0),"")</f>
        <v/>
      </c>
      <c r="J484" s="280" t="n"/>
      <c r="K484" s="332">
        <f>IFERROR(VLOOKUP(TEXT(O484,"0"),CONDUCTORES!$A$3:$G$54,7,0),"")</f>
        <v/>
      </c>
      <c r="L484" s="280" t="n"/>
      <c r="M484" s="280" t="n"/>
      <c r="N484" s="333">
        <f>IFERROR(IF(L484*M484=0,"",L484*M484),"")</f>
        <v/>
      </c>
      <c r="O484" s="280" t="n"/>
      <c r="P484" s="332">
        <f>IFERROR(VLOOKUP(TEXT(O484,"0"),CONDUCTORES!$A$3:$G$54,2,0),"")</f>
        <v/>
      </c>
      <c r="Q484" s="332">
        <f>IFERROR(VLOOKUP(TEXT(O484,"0"),CONDUCTORES!$A$3:$H$54,6,0),"")</f>
        <v/>
      </c>
      <c r="R484" s="280" t="n"/>
      <c r="S484" s="280" t="n"/>
      <c r="T484" s="280" t="n"/>
      <c r="U484" s="280" t="n"/>
      <c r="V484" s="280" t="n"/>
      <c r="W484" s="280" t="n"/>
      <c r="X484" s="280" t="n"/>
      <c r="Y484" s="280" t="n"/>
    </row>
    <row r="485" ht="15" customHeight="1" s="195">
      <c r="A485" s="334" t="n"/>
      <c r="B485" s="334" t="n"/>
      <c r="C485" s="334" t="n"/>
      <c r="D485" s="334" t="n"/>
      <c r="E485" s="334" t="n"/>
      <c r="F485" s="334" t="n"/>
      <c r="G485" s="334" t="n"/>
      <c r="H485" s="334" t="n"/>
      <c r="I485" s="332">
        <f>IFERROR(VLOOKUP(TEXT(H485,"0"),IPRESS!$A$3:$B$212,2,0),"")</f>
        <v/>
      </c>
      <c r="J485" s="334" t="n"/>
      <c r="K485" s="332">
        <f>IFERROR(VLOOKUP(TEXT(O485,"0"),CONDUCTORES!$A$3:$G$54,7,0),"")</f>
        <v/>
      </c>
      <c r="L485" s="334" t="n"/>
      <c r="M485" s="334" t="n"/>
      <c r="N485" s="333">
        <f>IFERROR(IF(L485*M485=0,"",L485*M485),"")</f>
        <v/>
      </c>
      <c r="O485" s="334" t="n"/>
      <c r="P485" s="332">
        <f>IFERROR(VLOOKUP(TEXT(O485,"0"),CONDUCTORES!$A$3:$G$54,2,0),"")</f>
        <v/>
      </c>
      <c r="Q485" s="332">
        <f>IFERROR(VLOOKUP(TEXT(O485,"0"),CONDUCTORES!$A$3:$H$54,6,0),"")</f>
        <v/>
      </c>
      <c r="R485" s="334" t="n"/>
      <c r="S485" s="334" t="n"/>
      <c r="T485" s="334" t="n"/>
      <c r="U485" s="334" t="n"/>
      <c r="V485" s="334" t="n"/>
      <c r="W485" s="334" t="n"/>
      <c r="X485" s="334" t="n"/>
      <c r="Y485" s="334" t="n"/>
    </row>
    <row r="486" ht="15" customHeight="1" s="195">
      <c r="A486" s="280" t="n"/>
      <c r="B486" s="280" t="n"/>
      <c r="C486" s="280" t="n"/>
      <c r="D486" s="280" t="n"/>
      <c r="E486" s="280" t="n"/>
      <c r="F486" s="280" t="n"/>
      <c r="G486" s="280" t="n"/>
      <c r="H486" s="280" t="n"/>
      <c r="I486" s="332">
        <f>IFERROR(VLOOKUP(TEXT(H486,"0"),IPRESS!$A$3:$B$212,2,0),"")</f>
        <v/>
      </c>
      <c r="J486" s="280" t="n"/>
      <c r="K486" s="332">
        <f>IFERROR(VLOOKUP(TEXT(O486,"0"),CONDUCTORES!$A$3:$G$54,7,0),"")</f>
        <v/>
      </c>
      <c r="L486" s="280" t="n"/>
      <c r="M486" s="280" t="n"/>
      <c r="N486" s="333">
        <f>IFERROR(IF(L486*M486=0,"",L486*M486),"")</f>
        <v/>
      </c>
      <c r="O486" s="280" t="n"/>
      <c r="P486" s="332">
        <f>IFERROR(VLOOKUP(TEXT(O486,"0"),CONDUCTORES!$A$3:$G$54,2,0),"")</f>
        <v/>
      </c>
      <c r="Q486" s="332">
        <f>IFERROR(VLOOKUP(TEXT(O486,"0"),CONDUCTORES!$A$3:$H$54,6,0),"")</f>
        <v/>
      </c>
      <c r="R486" s="280" t="n"/>
      <c r="S486" s="280" t="n"/>
      <c r="T486" s="280" t="n"/>
      <c r="U486" s="280" t="n"/>
      <c r="V486" s="280" t="n"/>
      <c r="W486" s="280" t="n"/>
      <c r="X486" s="280" t="n"/>
      <c r="Y486" s="280" t="n"/>
    </row>
    <row r="487" ht="15" customHeight="1" s="195">
      <c r="A487" s="334" t="n"/>
      <c r="B487" s="334" t="n"/>
      <c r="C487" s="334" t="n"/>
      <c r="D487" s="334" t="n"/>
      <c r="E487" s="334" t="n"/>
      <c r="F487" s="334" t="n"/>
      <c r="G487" s="334" t="n"/>
      <c r="H487" s="334" t="n"/>
      <c r="I487" s="332">
        <f>IFERROR(VLOOKUP(TEXT(H487,"0"),IPRESS!$A$3:$B$212,2,0),"")</f>
        <v/>
      </c>
      <c r="J487" s="334" t="n"/>
      <c r="K487" s="332">
        <f>IFERROR(VLOOKUP(TEXT(O487,"0"),CONDUCTORES!$A$3:$G$54,7,0),"")</f>
        <v/>
      </c>
      <c r="L487" s="334" t="n"/>
      <c r="M487" s="334" t="n"/>
      <c r="N487" s="333">
        <f>IFERROR(IF(L487*M487=0,"",L487*M487),"")</f>
        <v/>
      </c>
      <c r="O487" s="334" t="n"/>
      <c r="P487" s="332">
        <f>IFERROR(VLOOKUP(TEXT(O487,"0"),CONDUCTORES!$A$3:$G$54,2,0),"")</f>
        <v/>
      </c>
      <c r="Q487" s="332">
        <f>IFERROR(VLOOKUP(TEXT(O487,"0"),CONDUCTORES!$A$3:$H$54,6,0),"")</f>
        <v/>
      </c>
      <c r="R487" s="334" t="n"/>
      <c r="S487" s="334" t="n"/>
      <c r="T487" s="334" t="n"/>
      <c r="U487" s="334" t="n"/>
      <c r="V487" s="334" t="n"/>
      <c r="W487" s="334" t="n"/>
      <c r="X487" s="334" t="n"/>
      <c r="Y487" s="334" t="n"/>
    </row>
    <row r="488" ht="15" customHeight="1" s="195">
      <c r="A488" s="280" t="n"/>
      <c r="B488" s="280" t="n"/>
      <c r="C488" s="280" t="n"/>
      <c r="D488" s="280" t="n"/>
      <c r="E488" s="280" t="n"/>
      <c r="F488" s="280" t="n"/>
      <c r="G488" s="280" t="n"/>
      <c r="H488" s="280" t="n"/>
      <c r="I488" s="332">
        <f>IFERROR(VLOOKUP(TEXT(H488,"0"),IPRESS!$A$3:$B$212,2,0),"")</f>
        <v/>
      </c>
      <c r="J488" s="280" t="n"/>
      <c r="K488" s="332">
        <f>IFERROR(VLOOKUP(TEXT(O488,"0"),CONDUCTORES!$A$3:$G$54,7,0),"")</f>
        <v/>
      </c>
      <c r="L488" s="280" t="n"/>
      <c r="M488" s="280" t="n"/>
      <c r="N488" s="333">
        <f>IFERROR(IF(L488*M488=0,"",L488*M488),"")</f>
        <v/>
      </c>
      <c r="O488" s="280" t="n"/>
      <c r="P488" s="332">
        <f>IFERROR(VLOOKUP(TEXT(O488,"0"),CONDUCTORES!$A$3:$G$54,2,0),"")</f>
        <v/>
      </c>
      <c r="Q488" s="332">
        <f>IFERROR(VLOOKUP(TEXT(O488,"0"),CONDUCTORES!$A$3:$H$54,6,0),"")</f>
        <v/>
      </c>
      <c r="R488" s="280" t="n"/>
      <c r="S488" s="280" t="n"/>
      <c r="T488" s="280" t="n"/>
      <c r="U488" s="280" t="n"/>
      <c r="V488" s="280" t="n"/>
      <c r="W488" s="280" t="n"/>
      <c r="X488" s="280" t="n"/>
      <c r="Y488" s="280" t="n"/>
    </row>
    <row r="489" ht="15" customHeight="1" s="195">
      <c r="A489" s="334" t="n"/>
      <c r="B489" s="334" t="n"/>
      <c r="C489" s="334" t="n"/>
      <c r="D489" s="334" t="n"/>
      <c r="E489" s="334" t="n"/>
      <c r="F489" s="334" t="n"/>
      <c r="G489" s="334" t="n"/>
      <c r="H489" s="334" t="n"/>
      <c r="I489" s="332">
        <f>IFERROR(VLOOKUP(TEXT(H489,"0"),IPRESS!$A$3:$B$212,2,0),"")</f>
        <v/>
      </c>
      <c r="J489" s="334" t="n"/>
      <c r="K489" s="332">
        <f>IFERROR(VLOOKUP(TEXT(O489,"0"),CONDUCTORES!$A$3:$G$54,7,0),"")</f>
        <v/>
      </c>
      <c r="L489" s="334" t="n"/>
      <c r="M489" s="334" t="n"/>
      <c r="N489" s="333">
        <f>IFERROR(IF(L489*M489=0,"",L489*M489),"")</f>
        <v/>
      </c>
      <c r="O489" s="334" t="n"/>
      <c r="P489" s="332">
        <f>IFERROR(VLOOKUP(TEXT(O489,"0"),CONDUCTORES!$A$3:$G$54,2,0),"")</f>
        <v/>
      </c>
      <c r="Q489" s="332">
        <f>IFERROR(VLOOKUP(TEXT(O489,"0"),CONDUCTORES!$A$3:$H$54,6,0),"")</f>
        <v/>
      </c>
      <c r="R489" s="334" t="n"/>
      <c r="S489" s="334" t="n"/>
      <c r="T489" s="334" t="n"/>
      <c r="U489" s="334" t="n"/>
      <c r="V489" s="334" t="n"/>
      <c r="W489" s="334" t="n"/>
      <c r="X489" s="334" t="n"/>
      <c r="Y489" s="334" t="n"/>
    </row>
    <row r="490" ht="15" customHeight="1" s="195">
      <c r="A490" s="280" t="n"/>
      <c r="B490" s="280" t="n"/>
      <c r="C490" s="280" t="n"/>
      <c r="D490" s="280" t="n"/>
      <c r="E490" s="280" t="n"/>
      <c r="F490" s="280" t="n"/>
      <c r="G490" s="280" t="n"/>
      <c r="H490" s="280" t="n"/>
      <c r="I490" s="332">
        <f>IFERROR(VLOOKUP(TEXT(H490,"0"),IPRESS!$A$3:$B$212,2,0),"")</f>
        <v/>
      </c>
      <c r="J490" s="280" t="n"/>
      <c r="K490" s="332">
        <f>IFERROR(VLOOKUP(TEXT(O490,"0"),CONDUCTORES!$A$3:$G$54,7,0),"")</f>
        <v/>
      </c>
      <c r="L490" s="280" t="n"/>
      <c r="M490" s="280" t="n"/>
      <c r="N490" s="333">
        <f>IFERROR(IF(L490*M490=0,"",L490*M490),"")</f>
        <v/>
      </c>
      <c r="O490" s="280" t="n"/>
      <c r="P490" s="332">
        <f>IFERROR(VLOOKUP(TEXT(O490,"0"),CONDUCTORES!$A$3:$G$54,2,0),"")</f>
        <v/>
      </c>
      <c r="Q490" s="332">
        <f>IFERROR(VLOOKUP(TEXT(O490,"0"),CONDUCTORES!$A$3:$H$54,6,0),"")</f>
        <v/>
      </c>
      <c r="R490" s="280" t="n"/>
      <c r="S490" s="280" t="n"/>
      <c r="T490" s="280" t="n"/>
      <c r="U490" s="280" t="n"/>
      <c r="V490" s="280" t="n"/>
      <c r="W490" s="280" t="n"/>
      <c r="X490" s="280" t="n"/>
      <c r="Y490" s="280" t="n"/>
    </row>
    <row r="491" ht="15" customHeight="1" s="195">
      <c r="A491" s="334" t="n"/>
      <c r="B491" s="334" t="n"/>
      <c r="C491" s="334" t="n"/>
      <c r="D491" s="334" t="n"/>
      <c r="E491" s="334" t="n"/>
      <c r="F491" s="334" t="n"/>
      <c r="G491" s="334" t="n"/>
      <c r="H491" s="334" t="n"/>
      <c r="I491" s="332">
        <f>IFERROR(VLOOKUP(TEXT(H491,"0"),IPRESS!$A$3:$B$212,2,0),"")</f>
        <v/>
      </c>
      <c r="J491" s="334" t="n"/>
      <c r="K491" s="332">
        <f>IFERROR(VLOOKUP(TEXT(O491,"0"),CONDUCTORES!$A$3:$G$54,7,0),"")</f>
        <v/>
      </c>
      <c r="L491" s="334" t="n"/>
      <c r="M491" s="334" t="n"/>
      <c r="N491" s="333">
        <f>IFERROR(IF(L491*M491=0,"",L491*M491),"")</f>
        <v/>
      </c>
      <c r="O491" s="334" t="n"/>
      <c r="P491" s="332">
        <f>IFERROR(VLOOKUP(TEXT(O491,"0"),CONDUCTORES!$A$3:$G$54,2,0),"")</f>
        <v/>
      </c>
      <c r="Q491" s="332">
        <f>IFERROR(VLOOKUP(TEXT(O491,"0"),CONDUCTORES!$A$3:$H$54,6,0),"")</f>
        <v/>
      </c>
      <c r="R491" s="334" t="n"/>
      <c r="S491" s="334" t="n"/>
      <c r="T491" s="334" t="n"/>
      <c r="U491" s="334" t="n"/>
      <c r="V491" s="334" t="n"/>
      <c r="W491" s="334" t="n"/>
      <c r="X491" s="334" t="n"/>
      <c r="Y491" s="334" t="n"/>
    </row>
    <row r="492" ht="15" customHeight="1" s="195">
      <c r="A492" s="280" t="n"/>
      <c r="B492" s="280" t="n"/>
      <c r="C492" s="280" t="n"/>
      <c r="D492" s="280" t="n"/>
      <c r="E492" s="280" t="n"/>
      <c r="F492" s="280" t="n"/>
      <c r="G492" s="280" t="n"/>
      <c r="H492" s="280" t="n"/>
      <c r="I492" s="332">
        <f>IFERROR(VLOOKUP(TEXT(H492,"0"),IPRESS!$A$3:$B$212,2,0),"")</f>
        <v/>
      </c>
      <c r="J492" s="280" t="n"/>
      <c r="K492" s="332">
        <f>IFERROR(VLOOKUP(TEXT(O492,"0"),CONDUCTORES!$A$3:$G$54,7,0),"")</f>
        <v/>
      </c>
      <c r="L492" s="280" t="n"/>
      <c r="M492" s="280" t="n"/>
      <c r="N492" s="333">
        <f>IFERROR(IF(L492*M492=0,"",L492*M492),"")</f>
        <v/>
      </c>
      <c r="O492" s="280" t="n"/>
      <c r="P492" s="332">
        <f>IFERROR(VLOOKUP(TEXT(O492,"0"),CONDUCTORES!$A$3:$G$54,2,0),"")</f>
        <v/>
      </c>
      <c r="Q492" s="332">
        <f>IFERROR(VLOOKUP(TEXT(O492,"0"),CONDUCTORES!$A$3:$H$54,6,0),"")</f>
        <v/>
      </c>
      <c r="R492" s="280" t="n"/>
      <c r="S492" s="280" t="n"/>
      <c r="T492" s="280" t="n"/>
      <c r="U492" s="280" t="n"/>
      <c r="V492" s="280" t="n"/>
      <c r="W492" s="280" t="n"/>
      <c r="X492" s="280" t="n"/>
      <c r="Y492" s="280" t="n"/>
    </row>
    <row r="493" ht="15" customHeight="1" s="195">
      <c r="A493" s="334" t="n"/>
      <c r="B493" s="334" t="n"/>
      <c r="C493" s="334" t="n"/>
      <c r="D493" s="334" t="n"/>
      <c r="E493" s="334" t="n"/>
      <c r="F493" s="334" t="n"/>
      <c r="G493" s="334" t="n"/>
      <c r="H493" s="334" t="n"/>
      <c r="I493" s="332">
        <f>IFERROR(VLOOKUP(TEXT(H493,"0"),IPRESS!$A$3:$B$212,2,0),"")</f>
        <v/>
      </c>
      <c r="J493" s="334" t="n"/>
      <c r="K493" s="332">
        <f>IFERROR(VLOOKUP(TEXT(O493,"0"),CONDUCTORES!$A$3:$G$54,7,0),"")</f>
        <v/>
      </c>
      <c r="L493" s="334" t="n"/>
      <c r="M493" s="334" t="n"/>
      <c r="N493" s="333">
        <f>IFERROR(IF(L493*M493=0,"",L493*M493),"")</f>
        <v/>
      </c>
      <c r="O493" s="334" t="n"/>
      <c r="P493" s="332">
        <f>IFERROR(VLOOKUP(TEXT(O493,"0"),CONDUCTORES!$A$3:$G$54,2,0),"")</f>
        <v/>
      </c>
      <c r="Q493" s="332">
        <f>IFERROR(VLOOKUP(TEXT(O493,"0"),CONDUCTORES!$A$3:$H$54,6,0),"")</f>
        <v/>
      </c>
      <c r="R493" s="334" t="n"/>
      <c r="S493" s="334" t="n"/>
      <c r="T493" s="334" t="n"/>
      <c r="U493" s="334" t="n"/>
      <c r="V493" s="334" t="n"/>
      <c r="W493" s="334" t="n"/>
      <c r="X493" s="334" t="n"/>
      <c r="Y493" s="334" t="n"/>
    </row>
    <row r="494" ht="15" customHeight="1" s="195">
      <c r="A494" s="280" t="n"/>
      <c r="B494" s="280" t="n"/>
      <c r="C494" s="280" t="n"/>
      <c r="D494" s="280" t="n"/>
      <c r="E494" s="280" t="n"/>
      <c r="F494" s="280" t="n"/>
      <c r="G494" s="280" t="n"/>
      <c r="H494" s="280" t="n"/>
      <c r="I494" s="332">
        <f>IFERROR(VLOOKUP(TEXT(H494,"0"),IPRESS!$A$3:$B$212,2,0),"")</f>
        <v/>
      </c>
      <c r="J494" s="280" t="n"/>
      <c r="K494" s="332">
        <f>IFERROR(VLOOKUP(TEXT(O494,"0"),CONDUCTORES!$A$3:$G$54,7,0),"")</f>
        <v/>
      </c>
      <c r="L494" s="280" t="n"/>
      <c r="M494" s="280" t="n"/>
      <c r="N494" s="333">
        <f>IFERROR(IF(L494*M494=0,"",L494*M494),"")</f>
        <v/>
      </c>
      <c r="O494" s="280" t="n"/>
      <c r="P494" s="332">
        <f>IFERROR(VLOOKUP(TEXT(O494,"0"),CONDUCTORES!$A$3:$G$54,2,0),"")</f>
        <v/>
      </c>
      <c r="Q494" s="332">
        <f>IFERROR(VLOOKUP(TEXT(O494,"0"),CONDUCTORES!$A$3:$H$54,6,0),"")</f>
        <v/>
      </c>
      <c r="R494" s="280" t="n"/>
      <c r="S494" s="280" t="n"/>
      <c r="T494" s="280" t="n"/>
      <c r="U494" s="280" t="n"/>
      <c r="V494" s="280" t="n"/>
      <c r="W494" s="280" t="n"/>
      <c r="X494" s="280" t="n"/>
      <c r="Y494" s="280" t="n"/>
    </row>
    <row r="495" ht="15" customHeight="1" s="195">
      <c r="A495" s="334" t="n"/>
      <c r="B495" s="334" t="n"/>
      <c r="C495" s="334" t="n"/>
      <c r="D495" s="334" t="n"/>
      <c r="E495" s="334" t="n"/>
      <c r="F495" s="334" t="n"/>
      <c r="G495" s="334" t="n"/>
      <c r="H495" s="334" t="n"/>
      <c r="I495" s="332">
        <f>IFERROR(VLOOKUP(TEXT(H495,"0"),IPRESS!$A$3:$B$212,2,0),"")</f>
        <v/>
      </c>
      <c r="J495" s="334" t="n"/>
      <c r="K495" s="332">
        <f>IFERROR(VLOOKUP(TEXT(O495,"0"),CONDUCTORES!$A$3:$G$54,7,0),"")</f>
        <v/>
      </c>
      <c r="L495" s="334" t="n"/>
      <c r="M495" s="334" t="n"/>
      <c r="N495" s="333">
        <f>IFERROR(IF(L495*M495=0,"",L495*M495),"")</f>
        <v/>
      </c>
      <c r="O495" s="334" t="n"/>
      <c r="P495" s="332">
        <f>IFERROR(VLOOKUP(TEXT(O495,"0"),CONDUCTORES!$A$3:$G$54,2,0),"")</f>
        <v/>
      </c>
      <c r="Q495" s="332">
        <f>IFERROR(VLOOKUP(TEXT(O495,"0"),CONDUCTORES!$A$3:$H$54,6,0),"")</f>
        <v/>
      </c>
      <c r="R495" s="334" t="n"/>
      <c r="S495" s="334" t="n"/>
      <c r="T495" s="334" t="n"/>
      <c r="U495" s="334" t="n"/>
      <c r="V495" s="334" t="n"/>
      <c r="W495" s="334" t="n"/>
      <c r="X495" s="334" t="n"/>
      <c r="Y495" s="334" t="n"/>
    </row>
    <row r="496" ht="15" customHeight="1" s="195">
      <c r="A496" s="280" t="n"/>
      <c r="B496" s="280" t="n"/>
      <c r="C496" s="280" t="n"/>
      <c r="D496" s="280" t="n"/>
      <c r="E496" s="280" t="n"/>
      <c r="F496" s="280" t="n"/>
      <c r="G496" s="280" t="n"/>
      <c r="H496" s="280" t="n"/>
      <c r="I496" s="332">
        <f>IFERROR(VLOOKUP(TEXT(H496,"0"),IPRESS!$A$3:$B$212,2,0),"")</f>
        <v/>
      </c>
      <c r="J496" s="280" t="n"/>
      <c r="K496" s="332">
        <f>IFERROR(VLOOKUP(TEXT(O496,"0"),CONDUCTORES!$A$3:$G$54,7,0),"")</f>
        <v/>
      </c>
      <c r="L496" s="280" t="n"/>
      <c r="M496" s="280" t="n"/>
      <c r="N496" s="333">
        <f>IFERROR(IF(L496*M496=0,"",L496*M496),"")</f>
        <v/>
      </c>
      <c r="O496" s="280" t="n"/>
      <c r="P496" s="332">
        <f>IFERROR(VLOOKUP(TEXT(O496,"0"),CONDUCTORES!$A$3:$G$54,2,0),"")</f>
        <v/>
      </c>
      <c r="Q496" s="332">
        <f>IFERROR(VLOOKUP(TEXT(O496,"0"),CONDUCTORES!$A$3:$H$54,6,0),"")</f>
        <v/>
      </c>
      <c r="R496" s="280" t="n"/>
      <c r="S496" s="280" t="n"/>
      <c r="T496" s="280" t="n"/>
      <c r="U496" s="280" t="n"/>
      <c r="V496" s="280" t="n"/>
      <c r="W496" s="280" t="n"/>
      <c r="X496" s="280" t="n"/>
      <c r="Y496" s="280" t="n"/>
    </row>
    <row r="497" ht="15" customHeight="1" s="195">
      <c r="A497" s="334" t="n"/>
      <c r="B497" s="334" t="n"/>
      <c r="C497" s="334" t="n"/>
      <c r="D497" s="334" t="n"/>
      <c r="E497" s="334" t="n"/>
      <c r="F497" s="334" t="n"/>
      <c r="G497" s="334" t="n"/>
      <c r="H497" s="334" t="n"/>
      <c r="I497" s="332">
        <f>IFERROR(VLOOKUP(TEXT(H497,"0"),IPRESS!$A$3:$B$212,2,0),"")</f>
        <v/>
      </c>
      <c r="J497" s="334" t="n"/>
      <c r="K497" s="332">
        <f>IFERROR(VLOOKUP(TEXT(O497,"0"),CONDUCTORES!$A$3:$G$54,7,0),"")</f>
        <v/>
      </c>
      <c r="L497" s="334" t="n"/>
      <c r="M497" s="334" t="n"/>
      <c r="N497" s="333">
        <f>IFERROR(IF(L497*M497=0,"",L497*M497),"")</f>
        <v/>
      </c>
      <c r="O497" s="334" t="n"/>
      <c r="P497" s="332">
        <f>IFERROR(VLOOKUP(TEXT(O497,"0"),CONDUCTORES!$A$3:$G$54,2,0),"")</f>
        <v/>
      </c>
      <c r="Q497" s="332">
        <f>IFERROR(VLOOKUP(TEXT(O497,"0"),CONDUCTORES!$A$3:$H$54,6,0),"")</f>
        <v/>
      </c>
      <c r="R497" s="334" t="n"/>
      <c r="S497" s="334" t="n"/>
      <c r="T497" s="334" t="n"/>
      <c r="U497" s="334" t="n"/>
      <c r="V497" s="334" t="n"/>
      <c r="W497" s="334" t="n"/>
      <c r="X497" s="334" t="n"/>
      <c r="Y497" s="334" t="n"/>
    </row>
    <row r="498" ht="15" customHeight="1" s="195">
      <c r="A498" s="280" t="n"/>
      <c r="B498" s="280" t="n"/>
      <c r="C498" s="280" t="n"/>
      <c r="D498" s="280" t="n"/>
      <c r="E498" s="280" t="n"/>
      <c r="F498" s="280" t="n"/>
      <c r="G498" s="280" t="n"/>
      <c r="H498" s="280" t="n"/>
      <c r="I498" s="332">
        <f>IFERROR(VLOOKUP(TEXT(H498,"0"),IPRESS!$A$3:$B$212,2,0),"")</f>
        <v/>
      </c>
      <c r="J498" s="280" t="n"/>
      <c r="K498" s="332">
        <f>IFERROR(VLOOKUP(TEXT(O498,"0"),CONDUCTORES!$A$3:$G$54,7,0),"")</f>
        <v/>
      </c>
      <c r="L498" s="280" t="n"/>
      <c r="M498" s="280" t="n"/>
      <c r="N498" s="333">
        <f>IFERROR(IF(L498*M498=0,"",L498*M498),"")</f>
        <v/>
      </c>
      <c r="O498" s="280" t="n"/>
      <c r="P498" s="332">
        <f>IFERROR(VLOOKUP(TEXT(O498,"0"),CONDUCTORES!$A$3:$G$54,2,0),"")</f>
        <v/>
      </c>
      <c r="Q498" s="332">
        <f>IFERROR(VLOOKUP(TEXT(O498,"0"),CONDUCTORES!$A$3:$H$54,6,0),"")</f>
        <v/>
      </c>
      <c r="R498" s="280" t="n"/>
      <c r="S498" s="280" t="n"/>
      <c r="T498" s="280" t="n"/>
      <c r="U498" s="280" t="n"/>
      <c r="V498" s="280" t="n"/>
      <c r="W498" s="280" t="n"/>
      <c r="X498" s="280" t="n"/>
      <c r="Y498" s="280" t="n"/>
    </row>
    <row r="499" ht="15" customHeight="1" s="195">
      <c r="A499" s="334" t="n"/>
      <c r="B499" s="334" t="n"/>
      <c r="C499" s="334" t="n"/>
      <c r="D499" s="334" t="n"/>
      <c r="E499" s="334" t="n"/>
      <c r="F499" s="334" t="n"/>
      <c r="G499" s="334" t="n"/>
      <c r="H499" s="334" t="n"/>
      <c r="I499" s="332">
        <f>IFERROR(VLOOKUP(TEXT(H499,"0"),IPRESS!$A$3:$B$212,2,0),"")</f>
        <v/>
      </c>
      <c r="J499" s="334" t="n"/>
      <c r="K499" s="332">
        <f>IFERROR(VLOOKUP(TEXT(O499,"0"),CONDUCTORES!$A$3:$G$54,7,0),"")</f>
        <v/>
      </c>
      <c r="L499" s="334" t="n"/>
      <c r="M499" s="334" t="n"/>
      <c r="N499" s="333">
        <f>IFERROR(IF(L499*M499=0,"",L499*M499),"")</f>
        <v/>
      </c>
      <c r="O499" s="334" t="n"/>
      <c r="P499" s="332">
        <f>IFERROR(VLOOKUP(TEXT(O499,"0"),CONDUCTORES!$A$3:$G$54,2,0),"")</f>
        <v/>
      </c>
      <c r="Q499" s="332">
        <f>IFERROR(VLOOKUP(TEXT(O499,"0"),CONDUCTORES!$A$3:$H$54,6,0),"")</f>
        <v/>
      </c>
      <c r="R499" s="334" t="n"/>
      <c r="S499" s="334" t="n"/>
      <c r="T499" s="334" t="n"/>
      <c r="U499" s="334" t="n"/>
      <c r="V499" s="334" t="n"/>
      <c r="W499" s="334" t="n"/>
      <c r="X499" s="334" t="n"/>
      <c r="Y499" s="334" t="n"/>
    </row>
    <row r="500" ht="15" customHeight="1" s="195">
      <c r="A500" s="280" t="n"/>
      <c r="B500" s="280" t="n"/>
      <c r="C500" s="280" t="n"/>
      <c r="D500" s="280" t="n"/>
      <c r="E500" s="280" t="n"/>
      <c r="F500" s="280" t="n"/>
      <c r="G500" s="280" t="n"/>
      <c r="H500" s="280" t="n"/>
      <c r="I500" s="332">
        <f>IFERROR(VLOOKUP(TEXT(H500,"0"),IPRESS!$A$3:$B$212,2,0),"")</f>
        <v/>
      </c>
      <c r="J500" s="280" t="n"/>
      <c r="K500" s="332">
        <f>IFERROR(VLOOKUP(TEXT(O500,"0"),CONDUCTORES!$A$3:$G$54,7,0),"")</f>
        <v/>
      </c>
      <c r="L500" s="280" t="n"/>
      <c r="M500" s="280" t="n"/>
      <c r="N500" s="333">
        <f>IFERROR(IF(L500*M500=0,"",L500*M500),"")</f>
        <v/>
      </c>
      <c r="O500" s="280" t="n"/>
      <c r="P500" s="332">
        <f>IFERROR(VLOOKUP(TEXT(O500,"0"),CONDUCTORES!$A$3:$G$54,2,0),"")</f>
        <v/>
      </c>
      <c r="Q500" s="332">
        <f>IFERROR(VLOOKUP(TEXT(O500,"0"),CONDUCTORES!$A$3:$H$54,6,0),"")</f>
        <v/>
      </c>
      <c r="R500" s="280" t="n"/>
      <c r="S500" s="280" t="n"/>
      <c r="T500" s="280" t="n"/>
      <c r="U500" s="280" t="n"/>
      <c r="V500" s="280" t="n"/>
      <c r="W500" s="280" t="n"/>
      <c r="X500" s="280" t="n"/>
      <c r="Y500" s="280" t="n"/>
    </row>
    <row r="501" ht="15" customHeight="1" s="195">
      <c r="A501" s="334" t="n"/>
      <c r="B501" s="334" t="n"/>
      <c r="C501" s="334" t="n"/>
      <c r="D501" s="334" t="n"/>
      <c r="E501" s="334" t="n"/>
      <c r="F501" s="334" t="n"/>
      <c r="G501" s="334" t="n"/>
      <c r="H501" s="334" t="n"/>
      <c r="I501" s="332">
        <f>IFERROR(VLOOKUP(TEXT(H501,"0"),IPRESS!$A$3:$B$212,2,0),"")</f>
        <v/>
      </c>
      <c r="J501" s="334" t="n"/>
      <c r="K501" s="332">
        <f>IFERROR(VLOOKUP(TEXT(O501,"0"),CONDUCTORES!$A$3:$G$54,7,0),"")</f>
        <v/>
      </c>
      <c r="L501" s="334" t="n"/>
      <c r="M501" s="334" t="n"/>
      <c r="N501" s="333">
        <f>IFERROR(IF(L501*M501=0,"",L501*M501),"")</f>
        <v/>
      </c>
      <c r="O501" s="334" t="n"/>
      <c r="P501" s="332">
        <f>IFERROR(VLOOKUP(TEXT(O501,"0"),CONDUCTORES!$A$3:$G$54,2,0),"")</f>
        <v/>
      </c>
      <c r="Q501" s="332">
        <f>IFERROR(VLOOKUP(TEXT(O501,"0"),CONDUCTORES!$A$3:$H$54,6,0),"")</f>
        <v/>
      </c>
      <c r="R501" s="334" t="n"/>
      <c r="S501" s="334" t="n"/>
      <c r="T501" s="334" t="n"/>
      <c r="U501" s="334" t="n"/>
      <c r="V501" s="334" t="n"/>
      <c r="W501" s="334" t="n"/>
      <c r="X501" s="334" t="n"/>
      <c r="Y501" s="334" t="n"/>
    </row>
    <row r="502" ht="15" customHeight="1" s="195">
      <c r="A502" s="280" t="n"/>
      <c r="B502" s="280" t="n"/>
      <c r="C502" s="280" t="n"/>
      <c r="D502" s="280" t="n"/>
      <c r="E502" s="280" t="n"/>
      <c r="F502" s="280" t="n"/>
      <c r="G502" s="280" t="n"/>
      <c r="H502" s="280" t="n"/>
      <c r="I502" s="332">
        <f>IFERROR(VLOOKUP(TEXT(H502,"0"),IPRESS!$A$3:$B$212,2,0),"")</f>
        <v/>
      </c>
      <c r="J502" s="280" t="n"/>
      <c r="K502" s="332">
        <f>IFERROR(VLOOKUP(TEXT(O502,"0"),CONDUCTORES!$A$3:$G$54,7,0),"")</f>
        <v/>
      </c>
      <c r="L502" s="280" t="n"/>
      <c r="M502" s="280" t="n"/>
      <c r="N502" s="333">
        <f>IFERROR(IF(L502*M502=0,"",L502*M502),"")</f>
        <v/>
      </c>
      <c r="O502" s="280" t="n"/>
      <c r="P502" s="332">
        <f>IFERROR(VLOOKUP(TEXT(O502,"0"),CONDUCTORES!$A$3:$G$54,2,0),"")</f>
        <v/>
      </c>
      <c r="Q502" s="332">
        <f>IFERROR(VLOOKUP(TEXT(O502,"0"),CONDUCTORES!$A$3:$H$54,6,0),"")</f>
        <v/>
      </c>
      <c r="R502" s="280" t="n"/>
      <c r="S502" s="280" t="n"/>
      <c r="T502" s="280" t="n"/>
      <c r="U502" s="280" t="n"/>
      <c r="V502" s="280" t="n"/>
      <c r="W502" s="280" t="n"/>
      <c r="X502" s="280" t="n"/>
      <c r="Y502" s="280" t="n"/>
    </row>
    <row r="503" ht="15" customHeight="1" s="195">
      <c r="A503" s="334" t="n"/>
      <c r="B503" s="334" t="n"/>
      <c r="C503" s="334" t="n"/>
      <c r="D503" s="334" t="n"/>
      <c r="E503" s="334" t="n"/>
      <c r="F503" s="334" t="n"/>
      <c r="G503" s="334" t="n"/>
      <c r="H503" s="334" t="n"/>
      <c r="I503" s="332">
        <f>IFERROR(VLOOKUP(TEXT(H503,"0"),IPRESS!$A$3:$B$212,2,0),"")</f>
        <v/>
      </c>
      <c r="J503" s="334" t="n"/>
      <c r="K503" s="332">
        <f>IFERROR(VLOOKUP(TEXT(O503,"0"),CONDUCTORES!$A$3:$G$54,7,0),"")</f>
        <v/>
      </c>
      <c r="L503" s="334" t="n"/>
      <c r="M503" s="334" t="n"/>
      <c r="N503" s="333">
        <f>IFERROR(IF(L503*M503=0,"",L503*M503),"")</f>
        <v/>
      </c>
      <c r="O503" s="334" t="n"/>
      <c r="P503" s="332">
        <f>IFERROR(VLOOKUP(TEXT(O503,"0"),CONDUCTORES!$A$3:$G$54,2,0),"")</f>
        <v/>
      </c>
      <c r="Q503" s="332">
        <f>IFERROR(VLOOKUP(TEXT(O503,"0"),CONDUCTORES!$A$3:$H$54,6,0),"")</f>
        <v/>
      </c>
      <c r="R503" s="334" t="n"/>
      <c r="S503" s="334" t="n"/>
      <c r="T503" s="334" t="n"/>
      <c r="U503" s="334" t="n"/>
      <c r="V503" s="334" t="n"/>
      <c r="W503" s="334" t="n"/>
      <c r="X503" s="334" t="n"/>
      <c r="Y503" s="334" t="n"/>
    </row>
    <row r="504" ht="15" customHeight="1" s="195">
      <c r="A504" s="280" t="n"/>
      <c r="B504" s="280" t="n"/>
      <c r="C504" s="280" t="n"/>
      <c r="D504" s="280" t="n"/>
      <c r="E504" s="280" t="n"/>
      <c r="F504" s="280" t="n"/>
      <c r="G504" s="280" t="n"/>
      <c r="H504" s="280" t="n"/>
      <c r="I504" s="332">
        <f>IFERROR(VLOOKUP(TEXT(H504,"0"),IPRESS!$A$3:$B$212,2,0),"")</f>
        <v/>
      </c>
      <c r="J504" s="280" t="n"/>
      <c r="K504" s="332">
        <f>IFERROR(VLOOKUP(TEXT(O504,"0"),CONDUCTORES!$A$3:$G$54,7,0),"")</f>
        <v/>
      </c>
      <c r="L504" s="280" t="n"/>
      <c r="M504" s="280" t="n"/>
      <c r="N504" s="333">
        <f>IFERROR(IF(L504*M504=0,"",L504*M504),"")</f>
        <v/>
      </c>
      <c r="O504" s="280" t="n"/>
      <c r="P504" s="332">
        <f>IFERROR(VLOOKUP(TEXT(O504,"0"),CONDUCTORES!$A$3:$G$54,2,0),"")</f>
        <v/>
      </c>
      <c r="Q504" s="332">
        <f>IFERROR(VLOOKUP(TEXT(O504,"0"),CONDUCTORES!$A$3:$H$54,6,0),"")</f>
        <v/>
      </c>
      <c r="R504" s="280" t="n"/>
      <c r="S504" s="280" t="n"/>
      <c r="T504" s="280" t="n"/>
      <c r="U504" s="280" t="n"/>
      <c r="V504" s="280" t="n"/>
      <c r="W504" s="280" t="n"/>
      <c r="X504" s="280" t="n"/>
      <c r="Y504" s="280" t="n"/>
    </row>
    <row r="505" ht="15" customHeight="1" s="195">
      <c r="A505" s="334" t="n"/>
      <c r="B505" s="334" t="n"/>
      <c r="C505" s="334" t="n"/>
      <c r="D505" s="334" t="n"/>
      <c r="E505" s="334" t="n"/>
      <c r="F505" s="334" t="n"/>
      <c r="G505" s="334" t="n"/>
      <c r="H505" s="334" t="n"/>
      <c r="I505" s="332">
        <f>IFERROR(VLOOKUP(TEXT(H505,"0"),IPRESS!$A$3:$B$212,2,0),"")</f>
        <v/>
      </c>
      <c r="J505" s="334" t="n"/>
      <c r="K505" s="332">
        <f>IFERROR(VLOOKUP(TEXT(O505,"0"),CONDUCTORES!$A$3:$G$54,7,0),"")</f>
        <v/>
      </c>
      <c r="L505" s="334" t="n"/>
      <c r="M505" s="334" t="n"/>
      <c r="N505" s="333">
        <f>IFERROR(IF(L505*M505=0,"",L505*M505),"")</f>
        <v/>
      </c>
      <c r="O505" s="334" t="n"/>
      <c r="P505" s="332">
        <f>IFERROR(VLOOKUP(TEXT(O505,"0"),CONDUCTORES!$A$3:$G$54,2,0),"")</f>
        <v/>
      </c>
      <c r="Q505" s="332">
        <f>IFERROR(VLOOKUP(TEXT(O505,"0"),CONDUCTORES!$A$3:$H$54,6,0),"")</f>
        <v/>
      </c>
      <c r="R505" s="334" t="n"/>
      <c r="S505" s="334" t="n"/>
      <c r="T505" s="334" t="n"/>
      <c r="U505" s="334" t="n"/>
      <c r="V505" s="334" t="n"/>
      <c r="W505" s="334" t="n"/>
      <c r="X505" s="334" t="n"/>
      <c r="Y505" s="334" t="n"/>
    </row>
    <row r="506" ht="21.75" customHeight="1" s="195">
      <c r="A506" s="346" t="inlineStr">
        <is>
          <t>TOTALES DEL MES</t>
        </is>
      </c>
      <c r="M506" s="320">
        <f>SUM(M6:M505)</f>
        <v/>
      </c>
      <c r="N506" s="320">
        <f>SUM(N6:N505)</f>
        <v/>
      </c>
    </row>
    <row r="507" ht="15.75" customHeight="1" s="195"/>
    <row r="508" ht="15.75" customHeight="1" s="195"/>
    <row r="509" ht="15.75" customHeight="1" s="195"/>
    <row r="510" ht="15.75" customHeight="1" s="195"/>
    <row r="511" ht="15.75" customHeight="1" s="195"/>
    <row r="512" ht="15.75" customHeight="1" s="195"/>
    <row r="513" ht="15.75" customHeight="1" s="195"/>
    <row r="514" ht="15.75" customHeight="1" s="195"/>
    <row r="515" ht="15.75" customHeight="1" s="195"/>
    <row r="516" ht="15.75" customHeight="1" s="195"/>
    <row r="517" ht="15.75" customHeight="1" s="195"/>
    <row r="518" ht="15.75" customHeight="1" s="195"/>
    <row r="519" ht="15.75" customHeight="1" s="195"/>
    <row r="520" ht="15.75" customHeight="1" s="195"/>
    <row r="521" ht="15.75" customHeight="1" s="195"/>
    <row r="522" ht="15.75" customHeight="1" s="195"/>
    <row r="523" ht="15.75" customHeight="1" s="195"/>
    <row r="524" ht="15.75" customHeight="1" s="195"/>
    <row r="525" ht="15.75" customHeight="1" s="195"/>
    <row r="526" ht="15.75" customHeight="1" s="195"/>
    <row r="527" ht="15.75" customHeight="1" s="195"/>
    <row r="528" ht="15.75" customHeight="1" s="195"/>
    <row r="529" ht="15.75" customHeight="1" s="195"/>
    <row r="530" ht="15.75" customHeight="1" s="195"/>
    <row r="531" ht="15.75" customHeight="1" s="195"/>
    <row r="532" ht="15.75" customHeight="1" s="195"/>
    <row r="533" ht="15.75" customHeight="1" s="195"/>
    <row r="534" ht="15.75" customHeight="1" s="195"/>
    <row r="535" ht="15.75" customHeight="1" s="195"/>
    <row r="536" ht="15.75" customHeight="1" s="195"/>
    <row r="537" ht="15.75" customHeight="1" s="195"/>
    <row r="538" ht="15.75" customHeight="1" s="195"/>
    <row r="539" ht="15.75" customHeight="1" s="195"/>
    <row r="540" ht="15.75" customHeight="1" s="195"/>
    <row r="541" ht="15.75" customHeight="1" s="195"/>
    <row r="542" ht="15.75" customHeight="1" s="195"/>
    <row r="543" ht="15.75" customHeight="1" s="195"/>
    <row r="544" ht="15.75" customHeight="1" s="195"/>
    <row r="545" ht="15.75" customHeight="1" s="195"/>
    <row r="546" ht="15.75" customHeight="1" s="195"/>
    <row r="547" ht="15.75" customHeight="1" s="195"/>
    <row r="548" ht="15.75" customHeight="1" s="195"/>
    <row r="549" ht="15.75" customHeight="1" s="195"/>
    <row r="550" ht="15.75" customHeight="1" s="195"/>
    <row r="551" ht="15.75" customHeight="1" s="195"/>
    <row r="552" ht="15.75" customHeight="1" s="195"/>
    <row r="553" ht="15.75" customHeight="1" s="195"/>
    <row r="554" ht="15.75" customHeight="1" s="195"/>
    <row r="555" ht="15.75" customHeight="1" s="195"/>
    <row r="556" ht="15.75" customHeight="1" s="195"/>
    <row r="557" ht="15.75" customHeight="1" s="195"/>
    <row r="558" ht="15.75" customHeight="1" s="195"/>
    <row r="559" ht="15.75" customHeight="1" s="195"/>
    <row r="560" ht="15.75" customHeight="1" s="195"/>
    <row r="561" ht="15.75" customHeight="1" s="195"/>
    <row r="562" ht="15.75" customHeight="1" s="195"/>
    <row r="563" ht="15.75" customHeight="1" s="195"/>
    <row r="564" ht="15.75" customHeight="1" s="195"/>
    <row r="565" ht="15.75" customHeight="1" s="195"/>
    <row r="566" ht="15.75" customHeight="1" s="195"/>
    <row r="567" ht="15.75" customHeight="1" s="195"/>
    <row r="568" ht="15.75" customHeight="1" s="195"/>
    <row r="569" ht="15.75" customHeight="1" s="195"/>
    <row r="570" ht="15.75" customHeight="1" s="195"/>
    <row r="571" ht="15.75" customHeight="1" s="195"/>
    <row r="572" ht="15.75" customHeight="1" s="195"/>
    <row r="573" ht="15.75" customHeight="1" s="195"/>
    <row r="574" ht="15.75" customHeight="1" s="195"/>
    <row r="575" ht="15.75" customHeight="1" s="195"/>
    <row r="576" ht="15.75" customHeight="1" s="195"/>
    <row r="577" ht="15.75" customHeight="1" s="195"/>
    <row r="578" ht="15.75" customHeight="1" s="195"/>
    <row r="579" ht="15.75" customHeight="1" s="195"/>
    <row r="580" ht="15.75" customHeight="1" s="195"/>
    <row r="581" ht="15.75" customHeight="1" s="195"/>
    <row r="582" ht="15.75" customHeight="1" s="195"/>
    <row r="583" ht="15.75" customHeight="1" s="195"/>
    <row r="584" ht="15.75" customHeight="1" s="195"/>
    <row r="585" ht="15.75" customHeight="1" s="195"/>
    <row r="586" ht="15.75" customHeight="1" s="195"/>
    <row r="587" ht="15.75" customHeight="1" s="195"/>
    <row r="588" ht="15.75" customHeight="1" s="195"/>
    <row r="589" ht="15.75" customHeight="1" s="195"/>
    <row r="590" ht="15.75" customHeight="1" s="195"/>
    <row r="591" ht="15.75" customHeight="1" s="195"/>
    <row r="592" ht="15.75" customHeight="1" s="195"/>
    <row r="593" ht="15.75" customHeight="1" s="195"/>
    <row r="594" ht="15.75" customHeight="1" s="195"/>
    <row r="595" ht="15.75" customHeight="1" s="195"/>
    <row r="596" ht="15.75" customHeight="1" s="195"/>
    <row r="597" ht="15.75" customHeight="1" s="195"/>
    <row r="598" ht="15.75" customHeight="1" s="195"/>
    <row r="599" ht="15.75" customHeight="1" s="195"/>
    <row r="600" ht="15.75" customHeight="1" s="195"/>
    <row r="601" ht="15.75" customHeight="1" s="195"/>
    <row r="602" ht="15.75" customHeight="1" s="195"/>
    <row r="603" ht="15.75" customHeight="1" s="195"/>
    <row r="604" ht="15.75" customHeight="1" s="195"/>
    <row r="605" ht="15.75" customHeight="1" s="195"/>
    <row r="606" ht="15.75" customHeight="1" s="195"/>
    <row r="607" ht="15.75" customHeight="1" s="195"/>
    <row r="608" ht="15.75" customHeight="1" s="195"/>
    <row r="609" ht="15.75" customHeight="1" s="195"/>
    <row r="610" ht="15.75" customHeight="1" s="195"/>
    <row r="611" ht="15.75" customHeight="1" s="195"/>
    <row r="612" ht="15.75" customHeight="1" s="195"/>
    <row r="613" ht="15.75" customHeight="1" s="195"/>
    <row r="614" ht="15.75" customHeight="1" s="195"/>
    <row r="615" ht="15.75" customHeight="1" s="195"/>
    <row r="616" ht="15.75" customHeight="1" s="195"/>
    <row r="617" ht="15.75" customHeight="1" s="195"/>
    <row r="618" ht="15.75" customHeight="1" s="195"/>
    <row r="619" ht="15.75" customHeight="1" s="195"/>
    <row r="620" ht="15.75" customHeight="1" s="195"/>
    <row r="621" ht="15.75" customHeight="1" s="195"/>
    <row r="622" ht="15.75" customHeight="1" s="195"/>
    <row r="623" ht="15.75" customHeight="1" s="195"/>
    <row r="624" ht="15.75" customHeight="1" s="195"/>
    <row r="625" ht="15.75" customHeight="1" s="195"/>
    <row r="626" ht="15.75" customHeight="1" s="195"/>
    <row r="627" ht="15.75" customHeight="1" s="195"/>
    <row r="628" ht="15.75" customHeight="1" s="195"/>
    <row r="629" ht="15.75" customHeight="1" s="195"/>
    <row r="630" ht="15.75" customHeight="1" s="195"/>
    <row r="631" ht="15.75" customHeight="1" s="195"/>
    <row r="632" ht="15.75" customHeight="1" s="195"/>
    <row r="633" ht="15.75" customHeight="1" s="195"/>
    <row r="634" ht="15.75" customHeight="1" s="195"/>
    <row r="635" ht="15.75" customHeight="1" s="195"/>
    <row r="636" ht="15.75" customHeight="1" s="195"/>
    <row r="637" ht="15.75" customHeight="1" s="195"/>
    <row r="638" ht="15.75" customHeight="1" s="195"/>
    <row r="639" ht="15.75" customHeight="1" s="195"/>
    <row r="640" ht="15.75" customHeight="1" s="195"/>
    <row r="641" ht="15.75" customHeight="1" s="195"/>
    <row r="642" ht="15.75" customHeight="1" s="195"/>
    <row r="643" ht="15.75" customHeight="1" s="195"/>
    <row r="644" ht="15.75" customHeight="1" s="195"/>
    <row r="645" ht="15.75" customHeight="1" s="195"/>
    <row r="646" ht="15.75" customHeight="1" s="195"/>
    <row r="647" ht="15.75" customHeight="1" s="195"/>
    <row r="648" ht="15.75" customHeight="1" s="195"/>
    <row r="649" ht="15.75" customHeight="1" s="195"/>
    <row r="650" ht="15.75" customHeight="1" s="195"/>
    <row r="651" ht="15.75" customHeight="1" s="195"/>
    <row r="652" ht="15.75" customHeight="1" s="195"/>
    <row r="653" ht="15.75" customHeight="1" s="195"/>
    <row r="654" ht="15.75" customHeight="1" s="195"/>
    <row r="655" ht="15.75" customHeight="1" s="195"/>
    <row r="656" ht="15.75" customHeight="1" s="195"/>
    <row r="657" ht="15.75" customHeight="1" s="195"/>
    <row r="658" ht="15.75" customHeight="1" s="195"/>
    <row r="659" ht="15.75" customHeight="1" s="195"/>
    <row r="660" ht="15.75" customHeight="1" s="195"/>
    <row r="661" ht="15.75" customHeight="1" s="195"/>
    <row r="662" ht="15.75" customHeight="1" s="195"/>
    <row r="663" ht="15.75" customHeight="1" s="195"/>
    <row r="664" ht="15.75" customHeight="1" s="195"/>
    <row r="665" ht="15.75" customHeight="1" s="195"/>
    <row r="666" ht="15.75" customHeight="1" s="195"/>
    <row r="667" ht="15.75" customHeight="1" s="195"/>
    <row r="668" ht="15.75" customHeight="1" s="195"/>
    <row r="669" ht="15.75" customHeight="1" s="195"/>
    <row r="670" ht="15.75" customHeight="1" s="195"/>
    <row r="671" ht="15.75" customHeight="1" s="195"/>
    <row r="672" ht="15.75" customHeight="1" s="195"/>
    <row r="673" ht="15.75" customHeight="1" s="195"/>
    <row r="674" ht="15.75" customHeight="1" s="195"/>
    <row r="675" ht="15.75" customHeight="1" s="195"/>
    <row r="676" ht="15.75" customHeight="1" s="195"/>
    <row r="677" ht="15.75" customHeight="1" s="195"/>
    <row r="678" ht="15.75" customHeight="1" s="195"/>
    <row r="679" ht="15.75" customHeight="1" s="195"/>
    <row r="680" ht="15.75" customHeight="1" s="195"/>
    <row r="681" ht="15.75" customHeight="1" s="195"/>
    <row r="682" ht="15.75" customHeight="1" s="195"/>
    <row r="683" ht="15.75" customHeight="1" s="195"/>
    <row r="684" ht="15.75" customHeight="1" s="195"/>
    <row r="685" ht="15.75" customHeight="1" s="195"/>
    <row r="686" ht="15.75" customHeight="1" s="195"/>
    <row r="687" ht="15.75" customHeight="1" s="195"/>
    <row r="688" ht="15.75" customHeight="1" s="195"/>
    <row r="689" ht="15.75" customHeight="1" s="195"/>
    <row r="690" ht="15.75" customHeight="1" s="195"/>
    <row r="691" ht="15.75" customHeight="1" s="195"/>
    <row r="692" ht="15.75" customHeight="1" s="195"/>
    <row r="693" ht="15.75" customHeight="1" s="195"/>
    <row r="694" ht="15.75" customHeight="1" s="195"/>
    <row r="695" ht="15.75" customHeight="1" s="195"/>
    <row r="696" ht="15.75" customHeight="1" s="195"/>
    <row r="697" ht="15.75" customHeight="1" s="195"/>
    <row r="698" ht="15.75" customHeight="1" s="195"/>
    <row r="699" ht="15.75" customHeight="1" s="195"/>
    <row r="700" ht="15.75" customHeight="1" s="195"/>
    <row r="701" ht="15.75" customHeight="1" s="195"/>
    <row r="702" ht="15.75" customHeight="1" s="195"/>
    <row r="703" ht="15.75" customHeight="1" s="195"/>
    <row r="704" ht="15.75" customHeight="1" s="195"/>
    <row r="705" ht="15.75" customHeight="1" s="195"/>
    <row r="706" ht="15.75" customHeight="1" s="195"/>
    <row r="707" ht="15.75" customHeight="1" s="195"/>
    <row r="708" ht="15.75" customHeight="1" s="195"/>
    <row r="709" ht="15.75" customHeight="1" s="195"/>
    <row r="710" ht="15.75" customHeight="1" s="195"/>
    <row r="711" ht="15.75" customHeight="1" s="195"/>
    <row r="712" ht="15.75" customHeight="1" s="195"/>
    <row r="713" ht="15.75" customHeight="1" s="195"/>
    <row r="714" ht="15.75" customHeight="1" s="195"/>
    <row r="715" ht="15.75" customHeight="1" s="195"/>
    <row r="716" ht="15.75" customHeight="1" s="195"/>
    <row r="717" ht="15.75" customHeight="1" s="195"/>
    <row r="718" ht="15.75" customHeight="1" s="195"/>
    <row r="719" ht="15.75" customHeight="1" s="195"/>
    <row r="720" ht="15.75" customHeight="1" s="195"/>
    <row r="721" ht="15.75" customHeight="1" s="195"/>
    <row r="722" ht="15.75" customHeight="1" s="195"/>
    <row r="723" ht="15.75" customHeight="1" s="195"/>
    <row r="724" ht="15.75" customHeight="1" s="195"/>
    <row r="725" ht="15.75" customHeight="1" s="195"/>
    <row r="726" ht="15.75" customHeight="1" s="195"/>
    <row r="727" ht="15.75" customHeight="1" s="195"/>
    <row r="728" ht="15.75" customHeight="1" s="195"/>
    <row r="729" ht="15.75" customHeight="1" s="195"/>
    <row r="730" ht="15.75" customHeight="1" s="195"/>
    <row r="731" ht="15.75" customHeight="1" s="195"/>
    <row r="732" ht="15.75" customHeight="1" s="195"/>
    <row r="733" ht="15.75" customHeight="1" s="195"/>
    <row r="734" ht="15.75" customHeight="1" s="195"/>
    <row r="735" ht="15.75" customHeight="1" s="195"/>
    <row r="736" ht="15.75" customHeight="1" s="195"/>
    <row r="737" ht="15.75" customHeight="1" s="195"/>
    <row r="738" ht="15.75" customHeight="1" s="195"/>
    <row r="739" ht="15.75" customHeight="1" s="195"/>
    <row r="740" ht="15.75" customHeight="1" s="195"/>
    <row r="741" ht="15.75" customHeight="1" s="195"/>
    <row r="742" ht="15.75" customHeight="1" s="195"/>
    <row r="743" ht="15.75" customHeight="1" s="195"/>
    <row r="744" ht="15.75" customHeight="1" s="195"/>
    <row r="745" ht="15.75" customHeight="1" s="195"/>
    <row r="746" ht="15.75" customHeight="1" s="195"/>
    <row r="747" ht="15.75" customHeight="1" s="195"/>
    <row r="748" ht="15.75" customHeight="1" s="195"/>
    <row r="749" ht="15.75" customHeight="1" s="195"/>
    <row r="750" ht="15.75" customHeight="1" s="195"/>
    <row r="751" ht="15.75" customHeight="1" s="195"/>
    <row r="752" ht="15.75" customHeight="1" s="195"/>
    <row r="753" ht="15.75" customHeight="1" s="195"/>
    <row r="754" ht="15.75" customHeight="1" s="195"/>
    <row r="755" ht="15.75" customHeight="1" s="195"/>
    <row r="756" ht="15.75" customHeight="1" s="195"/>
    <row r="757" ht="15.75" customHeight="1" s="195"/>
    <row r="758" ht="15.75" customHeight="1" s="195"/>
    <row r="759" ht="15.75" customHeight="1" s="195"/>
    <row r="760" ht="15.75" customHeight="1" s="195"/>
    <row r="761" ht="15.75" customHeight="1" s="195"/>
    <row r="762" ht="15.75" customHeight="1" s="195"/>
    <row r="763" ht="15.75" customHeight="1" s="195"/>
    <row r="764" ht="15.75" customHeight="1" s="195"/>
    <row r="765" ht="15.75" customHeight="1" s="195"/>
    <row r="766" ht="15.75" customHeight="1" s="195"/>
    <row r="767" ht="15.75" customHeight="1" s="195"/>
    <row r="768" ht="15.75" customHeight="1" s="195"/>
    <row r="769" ht="15.75" customHeight="1" s="195"/>
    <row r="770" ht="15.75" customHeight="1" s="195"/>
    <row r="771" ht="15.75" customHeight="1" s="195"/>
    <row r="772" ht="15.75" customHeight="1" s="195"/>
    <row r="773" ht="15.75" customHeight="1" s="195"/>
    <row r="774" ht="15.75" customHeight="1" s="195"/>
    <row r="775" ht="15.75" customHeight="1" s="195"/>
    <row r="776" ht="15.75" customHeight="1" s="195"/>
    <row r="777" ht="15.75" customHeight="1" s="195"/>
    <row r="778" ht="15.75" customHeight="1" s="195"/>
    <row r="779" ht="15.75" customHeight="1" s="195"/>
    <row r="780" ht="15.75" customHeight="1" s="195"/>
    <row r="781" ht="15.75" customHeight="1" s="195"/>
    <row r="782" ht="15.75" customHeight="1" s="195"/>
    <row r="783" ht="15.75" customHeight="1" s="195"/>
    <row r="784" ht="15.75" customHeight="1" s="195"/>
    <row r="785" ht="15.75" customHeight="1" s="195"/>
    <row r="786" ht="15.75" customHeight="1" s="195"/>
    <row r="787" ht="15.75" customHeight="1" s="195"/>
    <row r="788" ht="15.75" customHeight="1" s="195"/>
    <row r="789" ht="15.75" customHeight="1" s="195"/>
    <row r="790" ht="15.75" customHeight="1" s="195"/>
    <row r="791" ht="15.75" customHeight="1" s="195"/>
    <row r="792" ht="15.75" customHeight="1" s="195"/>
    <row r="793" ht="15.75" customHeight="1" s="195"/>
    <row r="794" ht="15.75" customHeight="1" s="195"/>
    <row r="795" ht="15.75" customHeight="1" s="195"/>
    <row r="796" ht="15.75" customHeight="1" s="195"/>
    <row r="797" ht="15.75" customHeight="1" s="195"/>
    <row r="798" ht="15.75" customHeight="1" s="195"/>
    <row r="799" ht="15.75" customHeight="1" s="195"/>
    <row r="800" ht="15.75" customHeight="1" s="195"/>
    <row r="801" ht="15.75" customHeight="1" s="195"/>
    <row r="802" ht="15.75" customHeight="1" s="195"/>
    <row r="803" ht="15.75" customHeight="1" s="195"/>
    <row r="804" ht="15.75" customHeight="1" s="195"/>
    <row r="805" ht="15.75" customHeight="1" s="195"/>
    <row r="806" ht="15.75" customHeight="1" s="195"/>
    <row r="807" ht="15.75" customHeight="1" s="195"/>
    <row r="808" ht="15.75" customHeight="1" s="195"/>
    <row r="809" ht="15.75" customHeight="1" s="195"/>
    <row r="810" ht="15.75" customHeight="1" s="195"/>
    <row r="811" ht="15.75" customHeight="1" s="195"/>
    <row r="812" ht="15.75" customHeight="1" s="195"/>
    <row r="813" ht="15.75" customHeight="1" s="195"/>
    <row r="814" ht="15.75" customHeight="1" s="195"/>
    <row r="815" ht="15.75" customHeight="1" s="195"/>
    <row r="816" ht="15.75" customHeight="1" s="195"/>
    <row r="817" ht="15.75" customHeight="1" s="195"/>
    <row r="818" ht="15.75" customHeight="1" s="195"/>
    <row r="819" ht="15.75" customHeight="1" s="195"/>
    <row r="820" ht="15.75" customHeight="1" s="195"/>
    <row r="821" ht="15.75" customHeight="1" s="195"/>
    <row r="822" ht="15.75" customHeight="1" s="195"/>
    <row r="823" ht="15.75" customHeight="1" s="195"/>
    <row r="824" ht="15.75" customHeight="1" s="195"/>
    <row r="825" ht="15.75" customHeight="1" s="195"/>
    <row r="826" ht="15.75" customHeight="1" s="195"/>
    <row r="827" ht="15.75" customHeight="1" s="195"/>
    <row r="828" ht="15.75" customHeight="1" s="195"/>
    <row r="829" ht="15.75" customHeight="1" s="195"/>
    <row r="830" ht="15.75" customHeight="1" s="195"/>
    <row r="831" ht="15.75" customHeight="1" s="195"/>
    <row r="832" ht="15.75" customHeight="1" s="195"/>
    <row r="833" ht="15.75" customHeight="1" s="195"/>
    <row r="834" ht="15.75" customHeight="1" s="195"/>
    <row r="835" ht="15.75" customHeight="1" s="195"/>
    <row r="836" ht="15.75" customHeight="1" s="195"/>
    <row r="837" ht="15.75" customHeight="1" s="195"/>
    <row r="838" ht="15.75" customHeight="1" s="195"/>
    <row r="839" ht="15.75" customHeight="1" s="195"/>
    <row r="840" ht="15.75" customHeight="1" s="195"/>
    <row r="841" ht="15.75" customHeight="1" s="195"/>
    <row r="842" ht="15.75" customHeight="1" s="195"/>
    <row r="843" ht="15.75" customHeight="1" s="195"/>
    <row r="844" ht="15.75" customHeight="1" s="195"/>
    <row r="845" ht="15.75" customHeight="1" s="195"/>
    <row r="846" ht="15.75" customHeight="1" s="195"/>
    <row r="847" ht="15.75" customHeight="1" s="195"/>
    <row r="848" ht="15.75" customHeight="1" s="195"/>
    <row r="849" ht="15.75" customHeight="1" s="195"/>
    <row r="850" ht="15.75" customHeight="1" s="195"/>
    <row r="851" ht="15.75" customHeight="1" s="195"/>
    <row r="852" ht="15.75" customHeight="1" s="195"/>
    <row r="853" ht="15.75" customHeight="1" s="195"/>
    <row r="854" ht="15.75" customHeight="1" s="195"/>
    <row r="855" ht="15.75" customHeight="1" s="195"/>
    <row r="856" ht="15.75" customHeight="1" s="195"/>
    <row r="857" ht="15.75" customHeight="1" s="195"/>
    <row r="858" ht="15.75" customHeight="1" s="195"/>
    <row r="859" ht="15.75" customHeight="1" s="195"/>
    <row r="860" ht="15.75" customHeight="1" s="195"/>
    <row r="861" ht="15.75" customHeight="1" s="195"/>
    <row r="862" ht="15.75" customHeight="1" s="195"/>
    <row r="863" ht="15.75" customHeight="1" s="195"/>
    <row r="864" ht="15.75" customHeight="1" s="195"/>
    <row r="865" ht="15.75" customHeight="1" s="195"/>
    <row r="866" ht="15.75" customHeight="1" s="195"/>
    <row r="867" ht="15.75" customHeight="1" s="195"/>
    <row r="868" ht="15.75" customHeight="1" s="195"/>
    <row r="869" ht="15.75" customHeight="1" s="195"/>
    <row r="870" ht="15.75" customHeight="1" s="195"/>
    <row r="871" ht="15.75" customHeight="1" s="195"/>
    <row r="872" ht="15.75" customHeight="1" s="195"/>
    <row r="873" ht="15.75" customHeight="1" s="195"/>
    <row r="874" ht="15.75" customHeight="1" s="195"/>
    <row r="875" ht="15.75" customHeight="1" s="195"/>
    <row r="876" ht="15.75" customHeight="1" s="195"/>
    <row r="877" ht="15.75" customHeight="1" s="195"/>
    <row r="878" ht="15.75" customHeight="1" s="195"/>
    <row r="879" ht="15.75" customHeight="1" s="195"/>
    <row r="880" ht="15.75" customHeight="1" s="195"/>
    <row r="881" ht="15.75" customHeight="1" s="195"/>
    <row r="882" ht="15.75" customHeight="1" s="195"/>
    <row r="883" ht="15.75" customHeight="1" s="195"/>
    <row r="884" ht="15.75" customHeight="1" s="195"/>
    <row r="885" ht="15.75" customHeight="1" s="195"/>
    <row r="886" ht="15.75" customHeight="1" s="195"/>
    <row r="887" ht="15.75" customHeight="1" s="195"/>
    <row r="888" ht="15.75" customHeight="1" s="195"/>
    <row r="889" ht="15.75" customHeight="1" s="195"/>
    <row r="890" ht="15.75" customHeight="1" s="195"/>
    <row r="891" ht="15.75" customHeight="1" s="195"/>
    <row r="892" ht="15.75" customHeight="1" s="195"/>
    <row r="893" ht="15.75" customHeight="1" s="195"/>
    <row r="894" ht="15.75" customHeight="1" s="195"/>
    <row r="895" ht="15.75" customHeight="1" s="195"/>
    <row r="896" ht="15.75" customHeight="1" s="195"/>
    <row r="897" ht="15.75" customHeight="1" s="195"/>
    <row r="898" ht="15.75" customHeight="1" s="195"/>
    <row r="899" ht="15.75" customHeight="1" s="195"/>
    <row r="900" ht="15.75" customHeight="1" s="195"/>
    <row r="901" ht="15.75" customHeight="1" s="195"/>
    <row r="902" ht="15.75" customHeight="1" s="195"/>
    <row r="903" ht="15.75" customHeight="1" s="195"/>
    <row r="904" ht="15.75" customHeight="1" s="195"/>
    <row r="905" ht="15.75" customHeight="1" s="195"/>
    <row r="906" ht="15.75" customHeight="1" s="195"/>
    <row r="907" ht="15.75" customHeight="1" s="195"/>
    <row r="908" ht="15.75" customHeight="1" s="195"/>
    <row r="909" ht="15.75" customHeight="1" s="195"/>
    <row r="910" ht="15.75" customHeight="1" s="195"/>
    <row r="911" ht="15.75" customHeight="1" s="195"/>
    <row r="912" ht="15.75" customHeight="1" s="195"/>
    <row r="913" ht="15.75" customHeight="1" s="195"/>
    <row r="914" ht="15.75" customHeight="1" s="195"/>
    <row r="915" ht="15.75" customHeight="1" s="195"/>
    <row r="916" ht="15.75" customHeight="1" s="195"/>
    <row r="917" ht="15.75" customHeight="1" s="195"/>
    <row r="918" ht="15.75" customHeight="1" s="195"/>
    <row r="919" ht="15.75" customHeight="1" s="195"/>
    <row r="920" ht="15.75" customHeight="1" s="195"/>
    <row r="921" ht="15.75" customHeight="1" s="195"/>
    <row r="922" ht="15.75" customHeight="1" s="195"/>
    <row r="923" ht="15.75" customHeight="1" s="195"/>
    <row r="924" ht="15.75" customHeight="1" s="195"/>
    <row r="925" ht="15.75" customHeight="1" s="195"/>
    <row r="926" ht="15.75" customHeight="1" s="195"/>
    <row r="927" ht="15.75" customHeight="1" s="195"/>
    <row r="928" ht="15.75" customHeight="1" s="195"/>
    <row r="929" ht="15.75" customHeight="1" s="195"/>
    <row r="930" ht="15.75" customHeight="1" s="195"/>
    <row r="931" ht="15.75" customHeight="1" s="195"/>
    <row r="932" ht="15.75" customHeight="1" s="195"/>
    <row r="933" ht="15.75" customHeight="1" s="195"/>
    <row r="934" ht="15.75" customHeight="1" s="195"/>
    <row r="935" ht="15.75" customHeight="1" s="195"/>
    <row r="936" ht="15.75" customHeight="1" s="195"/>
    <row r="937" ht="15.75" customHeight="1" s="195"/>
    <row r="938" ht="15.75" customHeight="1" s="195"/>
    <row r="939" ht="15.75" customHeight="1" s="195"/>
    <row r="940" ht="15.75" customHeight="1" s="195"/>
    <row r="941" ht="15.75" customHeight="1" s="195"/>
    <row r="942" ht="15.75" customHeight="1" s="195"/>
    <row r="943" ht="15.75" customHeight="1" s="195"/>
    <row r="944" ht="15.75" customHeight="1" s="195"/>
    <row r="945" ht="15.75" customHeight="1" s="195"/>
    <row r="946" ht="15.75" customHeight="1" s="195"/>
    <row r="947" ht="15.75" customHeight="1" s="195"/>
    <row r="948" ht="15.75" customHeight="1" s="195"/>
    <row r="949" ht="15.75" customHeight="1" s="195"/>
    <row r="950" ht="15.75" customHeight="1" s="195"/>
    <row r="951" ht="15.75" customHeight="1" s="195"/>
    <row r="952" ht="15.75" customHeight="1" s="195"/>
    <row r="953" ht="15.75" customHeight="1" s="195"/>
    <row r="954" ht="15.75" customHeight="1" s="195"/>
    <row r="955" ht="15.75" customHeight="1" s="195"/>
    <row r="956" ht="15.75" customHeight="1" s="195"/>
    <row r="957" ht="15.75" customHeight="1" s="195"/>
    <row r="958" ht="15.75" customHeight="1" s="195"/>
    <row r="959" ht="15.75" customHeight="1" s="195"/>
    <row r="960" ht="15.75" customHeight="1" s="195"/>
    <row r="961" ht="15.75" customHeight="1" s="195"/>
    <row r="962" ht="15.75" customHeight="1" s="195"/>
    <row r="963" ht="15.75" customHeight="1" s="195"/>
    <row r="964" ht="15.75" customHeight="1" s="195"/>
    <row r="965" ht="15.75" customHeight="1" s="195"/>
    <row r="966" ht="15.75" customHeight="1" s="195"/>
    <row r="967" ht="15.75" customHeight="1" s="195"/>
    <row r="968" ht="15.75" customHeight="1" s="195"/>
    <row r="969" ht="15.75" customHeight="1" s="195"/>
    <row r="970" ht="15.75" customHeight="1" s="195"/>
    <row r="971" ht="15.75" customHeight="1" s="195"/>
    <row r="972" ht="15.75" customHeight="1" s="195"/>
    <row r="973" ht="15.75" customHeight="1" s="195"/>
    <row r="974" ht="15.75" customHeight="1" s="195"/>
    <row r="975" ht="15.75" customHeight="1" s="195"/>
    <row r="976" ht="15.75" customHeight="1" s="195"/>
    <row r="977" ht="15.75" customHeight="1" s="195"/>
    <row r="978" ht="15.75" customHeight="1" s="195"/>
    <row r="979" ht="15.75" customHeight="1" s="195"/>
    <row r="980" ht="15.75" customHeight="1" s="195"/>
    <row r="981" ht="15.75" customHeight="1" s="195"/>
    <row r="982" ht="15.75" customHeight="1" s="195"/>
    <row r="983" ht="15.75" customHeight="1" s="195"/>
    <row r="984" ht="15.75" customHeight="1" s="195"/>
    <row r="985" ht="15.75" customHeight="1" s="195"/>
    <row r="986" ht="15.75" customHeight="1" s="195"/>
    <row r="987" ht="15.75" customHeight="1" s="195"/>
    <row r="988" ht="15.75" customHeight="1" s="195"/>
    <row r="989" ht="15.75" customHeight="1" s="195"/>
    <row r="990" ht="15.75" customHeight="1" s="195"/>
    <row r="991" ht="15.75" customHeight="1" s="195"/>
    <row r="992" ht="15.75" customHeight="1" s="195"/>
    <row r="993" ht="15.75" customHeight="1" s="195"/>
    <row r="994" ht="15.75" customHeight="1" s="195"/>
    <row r="995" ht="15.75" customHeight="1" s="195"/>
    <row r="996" ht="15.75" customHeight="1" s="195"/>
    <row r="997" ht="15.75" customHeight="1" s="195"/>
    <row r="998" ht="15.75" customHeight="1" s="195"/>
    <row r="999" ht="15.75" customHeight="1" s="195"/>
    <row r="1000" ht="15.75" customHeight="1" s="195"/>
  </sheetData>
  <mergeCells count="13">
    <mergeCell ref="D2:F2"/>
    <mergeCell ref="G2:I2"/>
    <mergeCell ref="S2:T2"/>
    <mergeCell ref="J2:L2"/>
    <mergeCell ref="A506:G506"/>
    <mergeCell ref="U2:V2"/>
    <mergeCell ref="P2:R2"/>
    <mergeCell ref="A1:Y1"/>
    <mergeCell ref="W2:AC2"/>
    <mergeCell ref="A101:J101"/>
    <mergeCell ref="A4:Y4"/>
    <mergeCell ref="M2:O2"/>
    <mergeCell ref="A2:C2"/>
  </mergeCells>
  <conditionalFormatting sqref="T6:T505">
    <cfRule type="expression" rank="0" priority="2" equalAverage="0" aboveAverage="0" dxfId="0" text="" percent="0" bottom="0">
      <formula>EXACT(T6,"APROBADO")</formula>
    </cfRule>
    <cfRule type="expression" rank="0" priority="3" equalAverage="0" aboveAverage="0" dxfId="7" text="" percent="0" bottom="0">
      <formula>EXACT(T6,"PENDIENTE")</formula>
    </cfRule>
  </conditionalFormatting>
  <conditionalFormatting sqref="K6:K505">
    <cfRule type="expression" rank="0" priority="4" equalAverage="0" aboveAverage="0" dxfId="8" text="" percent="0" bottom="0">
      <formula>EXACT(K6,"GASOLINA")</formula>
    </cfRule>
  </conditionalFormatting>
  <conditionalFormatting sqref="Y4:Y130">
    <cfRule type="expression" rank="0" priority="5" equalAverage="0" aboveAverage="0" dxfId="9" text="" percent="0" bottom="0">
      <formula>Y4&lt;&gt;""</formula>
    </cfRule>
  </conditionalFormatting>
  <dataValidations count="4">
    <dataValidation sqref="K6:K505" showDropDown="0" showInputMessage="0" showErrorMessage="0" allowBlank="1" type="list" errorStyle="stop" operator="between">
      <formula1>"PETROLEO,GASOLINA"</formula1>
      <formula2>0</formula2>
    </dataValidation>
    <dataValidation sqref="E6:E100 E102:E505" showDropDown="0" showInputMessage="0" showErrorMessage="0" allowBlank="1" type="list" errorStyle="stop" operator="between">
      <formula1>"DNI,CE,PASAPORTE"</formula1>
      <formula2>0</formula2>
    </dataValidation>
    <dataValidation sqref="Y5:Y130" showDropDown="0" showInputMessage="0" showErrorMessage="0" allowBlank="1" type="list" errorStyle="stop" operator="between">
      <formula1>CONDUCTORES!$H$3:$H$104</formula1>
      <formula2>0</formula2>
    </dataValidation>
    <dataValidation sqref="T6:T505" showDropDown="0" showInputMessage="0" showErrorMessage="0" allowBlank="1" type="list" errorStyle="stop" operator="between">
      <formula1>"APROBADO,PENDIENTE,OBSERVADO"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1">
    <outlinePr summaryBelow="1" summaryRight="1"/>
    <pageSetUpPr fitToPage="0"/>
  </sheetPr>
  <dimension ref="A1:AC5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14.43359375" defaultRowHeight="15" zeroHeight="0" outlineLevelRow="0"/>
  <cols>
    <col width="5" customWidth="1" style="194" min="1" max="1"/>
    <col width="14" customWidth="1" style="194" min="2" max="2"/>
    <col width="8" customWidth="1" style="194" min="3" max="3"/>
    <col width="33" customWidth="1" style="194" min="4" max="4"/>
    <col width="7" customWidth="1" style="194" min="5" max="5"/>
    <col width="14" customWidth="1" style="194" min="6" max="6"/>
    <col width="12" customWidth="1" style="194" min="7" max="7"/>
    <col width="10" customWidth="1" style="194" min="8" max="8"/>
    <col width="30" customWidth="1" style="194" min="9" max="9"/>
    <col width="10" customWidth="1" style="194" min="10" max="10"/>
    <col width="12" customWidth="1" style="194" min="11" max="11"/>
    <col width="10" customWidth="1" style="194" min="12" max="13"/>
    <col width="14" customWidth="1" style="194" min="14" max="15"/>
    <col width="28" customWidth="1" style="194" min="16" max="16"/>
    <col width="12" customWidth="1" style="194" min="17" max="18"/>
    <col width="16" customWidth="1" style="194" min="19" max="19"/>
    <col width="12" customWidth="1" style="194" min="20" max="21"/>
    <col width="14" customWidth="1" style="194" min="22" max="23"/>
    <col width="8" customWidth="1" style="194" min="24" max="24"/>
    <col width="22" customWidth="1" style="194" min="25" max="25"/>
    <col width="14" customWidth="1" style="194" min="26" max="26"/>
    <col width="8.710000000000001" customWidth="1" style="194" min="27" max="29"/>
  </cols>
  <sheetData>
    <row r="1" ht="27.75" customHeight="1" s="195">
      <c r="A1" s="317" t="inlineStr">
        <is>
          <t>REPORTE DE TRASLADO DE PACIENTES SIS DEL MES DE ENERO 2026 PARA REPOSICION DE COMBUSTIBLE</t>
        </is>
      </c>
    </row>
    <row r="2" ht="21.75" customHeight="1" s="195">
      <c r="A2" s="318" t="inlineStr">
        <is>
          <t>TOTAL PETROLEO (gal):</t>
        </is>
      </c>
      <c r="D2" s="319">
        <f>IFERROR(SUMPRODUCT((K6:K99="PETROLEO")*ISNUMBER(M6:M99)*M6:M99),0)</f>
        <v/>
      </c>
      <c r="G2" s="318" t="inlineStr">
        <is>
          <t>TOTAL GASOLINA (gal):</t>
        </is>
      </c>
      <c r="J2" s="319">
        <f>IFERROR(SUMPRODUCT((K6:K99="GASOLINA")*ISNUMBER(M6:M99)*M6:M99),0)</f>
        <v/>
      </c>
      <c r="M2" s="318" t="inlineStr">
        <is>
          <t>TOTAL SOLES S/.:</t>
        </is>
      </c>
      <c r="P2" s="320">
        <f>IFERROR(SUMPRODUCT(ISNUMBER(M6:M99)*L6:L99*M6:M99),0)</f>
        <v/>
      </c>
      <c r="S2" s="318" t="inlineStr">
        <is>
          <t>N TRASLADOS:</t>
        </is>
      </c>
      <c r="U2" s="321">
        <f>SUBTOTAL(2,A6:A99)</f>
        <v/>
      </c>
      <c r="W2" s="322" t="inlineStr">
        <is>
          <t>↑ Al filtrar por EESS los totales cambian automáticamente</t>
        </is>
      </c>
    </row>
    <row r="3" ht="3.75" customHeight="1" s="195">
      <c r="A3" s="323" t="n"/>
      <c r="B3" s="323" t="n"/>
      <c r="C3" s="323" t="n"/>
      <c r="D3" s="323" t="n"/>
      <c r="E3" s="323" t="n"/>
      <c r="F3" s="323" t="n"/>
      <c r="G3" s="323" t="n"/>
      <c r="H3" s="323" t="n"/>
      <c r="I3" s="323" t="n"/>
      <c r="J3" s="323" t="n"/>
      <c r="K3" s="323" t="n"/>
      <c r="L3" s="323" t="n"/>
      <c r="M3" s="323" t="n"/>
      <c r="N3" s="323" t="n"/>
      <c r="O3" s="323" t="n"/>
      <c r="P3" s="323" t="n"/>
      <c r="Q3" s="323" t="n"/>
      <c r="R3" s="323" t="n"/>
      <c r="S3" s="323" t="n"/>
      <c r="T3" s="323" t="n"/>
      <c r="U3" s="323" t="n"/>
      <c r="V3" s="323" t="n"/>
      <c r="W3" s="323" t="n"/>
      <c r="X3" s="323" t="n"/>
      <c r="Y3" s="323" t="n"/>
    </row>
    <row r="4" ht="19.5" customHeight="1" s="195">
      <c r="A4" s="325" t="inlineStr">
        <is>
          <t>COLUMNAS EN AZUL = AUTO (no editar) | Ingrese: N, NRO FORMATO, AFILIADO, TIPO DOC, NRO DOC, FECHA TRASLADO, COD RENAES, COD REFERENCIA, DNI CONDUCTOR, PRECIO GAL, GALONES, FECHA ENTREGA, CIE-10, ESTADO FUA, FECHA DIGITACION, OFICIO, O/C, META, OBSERVACION</t>
        </is>
      </c>
    </row>
    <row r="5" ht="30" customHeight="1" s="195">
      <c r="A5" s="326" t="inlineStr">
        <is>
          <t>N</t>
        </is>
      </c>
      <c r="B5" s="327" t="inlineStr">
        <is>
          <t>NRO FORMATO
ATENCION</t>
        </is>
      </c>
      <c r="C5" s="327" t="inlineStr">
        <is>
          <t>UNIDAD
EJECUTORA</t>
        </is>
      </c>
      <c r="D5" s="327" t="inlineStr">
        <is>
          <t>AFILIADO</t>
        </is>
      </c>
      <c r="E5" s="327" t="inlineStr">
        <is>
          <t>TIPO
DOC</t>
        </is>
      </c>
      <c r="F5" s="327" t="inlineStr">
        <is>
          <t>NRO
DOCUMENTO</t>
        </is>
      </c>
      <c r="G5" s="327" t="inlineStr">
        <is>
          <t>FECHA
TRASLADO</t>
        </is>
      </c>
      <c r="H5" s="327" t="inlineStr">
        <is>
          <t>COD
RENAES</t>
        </is>
      </c>
      <c r="I5" s="328" t="inlineStr">
        <is>
          <t>DESCRIPCION
EESS</t>
        </is>
      </c>
      <c r="J5" s="327" t="inlineStr">
        <is>
          <t>COD EESS
REFERENCIA</t>
        </is>
      </c>
      <c r="K5" s="328" t="inlineStr">
        <is>
          <t>TIPO DE
COMBUSTIBLE</t>
        </is>
      </c>
      <c r="L5" s="327" t="inlineStr">
        <is>
          <t>PRECIO
GAL S/.</t>
        </is>
      </c>
      <c r="M5" s="327" t="inlineStr">
        <is>
          <t>GALONES</t>
        </is>
      </c>
      <c r="N5" s="328" t="inlineStr">
        <is>
          <t>TOTAL
COMBUSTIBLE S/.</t>
        </is>
      </c>
      <c r="O5" s="327" t="inlineStr">
        <is>
          <t>DNI
CONDUCTOR</t>
        </is>
      </c>
      <c r="P5" s="328" t="inlineStr">
        <is>
          <t>NOMBRE
CONDUCTOR</t>
        </is>
      </c>
      <c r="Q5" s="328" t="inlineStr">
        <is>
          <t>PLACA</t>
        </is>
      </c>
      <c r="R5" s="327" t="inlineStr">
        <is>
          <t>FECHA DE
ENTREGA</t>
        </is>
      </c>
      <c r="S5" s="327" t="inlineStr">
        <is>
          <t>CODIGO DE
DIAGNOSTICO</t>
        </is>
      </c>
      <c r="T5" s="327" t="inlineStr">
        <is>
          <t>ESTADO
FUA</t>
        </is>
      </c>
      <c r="U5" s="327" t="inlineStr">
        <is>
          <t>FECHA
DIGITACION</t>
        </is>
      </c>
      <c r="V5" s="327" t="inlineStr">
        <is>
          <t>OFICIO</t>
        </is>
      </c>
      <c r="W5" s="327" t="inlineStr">
        <is>
          <t>O/C</t>
        </is>
      </c>
      <c r="X5" s="327" t="inlineStr">
        <is>
          <t>META</t>
        </is>
      </c>
      <c r="Y5" s="348" t="inlineStr">
        <is>
          <t>DEVOLVER A
(IPRESS DESTINO)</t>
        </is>
      </c>
      <c r="Z5" s="349" t="inlineStr">
        <is>
          <t>ESTADO
COMPLETADO</t>
        </is>
      </c>
    </row>
    <row r="6" hidden="1" ht="15.75" customHeight="1" s="195">
      <c r="A6" s="301" t="n">
        <v>1</v>
      </c>
      <c r="B6" s="302" t="inlineStr">
        <is>
          <t>0000107</t>
        </is>
      </c>
      <c r="C6" s="301" t="inlineStr">
        <is>
          <t>REGION</t>
        </is>
      </c>
      <c r="D6" s="302" t="inlineStr">
        <is>
          <t>CIEZA RIOS AYLANI ELIZABETH</t>
        </is>
      </c>
      <c r="E6" s="301" t="inlineStr">
        <is>
          <t>DNI</t>
        </is>
      </c>
      <c r="F6" s="301" t="inlineStr">
        <is>
          <t>94063517</t>
        </is>
      </c>
      <c r="G6" s="331" t="n">
        <v>46023</v>
      </c>
      <c r="H6" s="301" t="inlineStr">
        <is>
          <t>4932</t>
        </is>
      </c>
      <c r="I6" s="332">
        <f>IFERROR(VLOOKUP(TEXT(H6,"0"),IPRESS!$A$3:$B$212,2,0),"")</f>
        <v/>
      </c>
      <c r="J6" s="301" t="inlineStr">
        <is>
          <t>4838</t>
        </is>
      </c>
      <c r="K6" s="332" t="inlineStr">
        <is>
          <t>PETROLEO</t>
        </is>
      </c>
      <c r="L6" s="245" t="n">
        <v>18.18</v>
      </c>
      <c r="M6" s="245" t="n">
        <v>6</v>
      </c>
      <c r="N6" s="333">
        <f>IFERROR(IF(L6*M6=0,"",L6*M6),"")</f>
        <v/>
      </c>
      <c r="O6" s="301" t="inlineStr">
        <is>
          <t>33727119</t>
        </is>
      </c>
      <c r="P6" s="332">
        <f>IFERROR(VLOOKUP(TEXT(O6,"0"),CONDUCTORES!$A$3:$G$100,2,0),"")</f>
        <v/>
      </c>
      <c r="Q6" s="332">
        <f>IFERROR(VLOOKUP(TEXT(O6,"0"),CONDUCTORES!$A$3:$H$100,6,0),"")</f>
        <v/>
      </c>
      <c r="R6" s="331" t="n"/>
      <c r="S6" s="302" t="inlineStr">
        <is>
          <t>R509,R560</t>
        </is>
      </c>
      <c r="T6" s="301" t="inlineStr">
        <is>
          <t>APROBADO</t>
        </is>
      </c>
      <c r="U6" s="334" t="n"/>
      <c r="V6" s="302" t="n"/>
      <c r="W6" s="301" t="n"/>
      <c r="X6" s="301" t="n"/>
      <c r="Y6" s="280" t="n"/>
      <c r="Z6" s="350">
        <f>IF(AND(R6&lt;&gt;"",V6&lt;&gt;"",W6&lt;&gt;"",X6&lt;&gt;""),"ENTREGADO","POR RECOGER")</f>
        <v/>
      </c>
      <c r="AA6" s="198" t="n"/>
      <c r="AB6" s="198" t="n"/>
      <c r="AC6" s="198" t="n"/>
    </row>
    <row r="7" hidden="1" ht="15.75" customHeight="1" s="195">
      <c r="A7" s="241" t="n">
        <v>2</v>
      </c>
      <c r="B7" s="305" t="inlineStr">
        <is>
          <t>0000012</t>
        </is>
      </c>
      <c r="C7" s="241" t="inlineStr">
        <is>
          <t>REGION</t>
        </is>
      </c>
      <c r="D7" s="305" t="inlineStr">
        <is>
          <t>DIAZ MESIA DIANELIT THALIA</t>
        </is>
      </c>
      <c r="E7" s="241" t="inlineStr">
        <is>
          <t>DNI</t>
        </is>
      </c>
      <c r="F7" s="241" t="inlineStr">
        <is>
          <t>75729771</t>
        </is>
      </c>
      <c r="G7" s="336" t="n">
        <v>46024</v>
      </c>
      <c r="H7" s="241" t="inlineStr">
        <is>
          <t>4895</t>
        </is>
      </c>
      <c r="I7" s="332">
        <f>IFERROR(VLOOKUP(TEXT(H7,"0"),IPRESS!$A$3:$B$212,2,0),"")</f>
        <v/>
      </c>
      <c r="J7" s="241" t="inlineStr">
        <is>
          <t>4838</t>
        </is>
      </c>
      <c r="K7" s="332" t="inlineStr">
        <is>
          <t>PETROLEO</t>
        </is>
      </c>
      <c r="L7" s="239" t="n">
        <v>18.18</v>
      </c>
      <c r="M7" s="239" t="n">
        <v>7</v>
      </c>
      <c r="N7" s="333">
        <f>IFERROR(IF(L7*M7=0,"",L7*M7),"")</f>
        <v/>
      </c>
      <c r="O7" s="241" t="inlineStr">
        <is>
          <t>33432847</t>
        </is>
      </c>
      <c r="P7" s="332">
        <f>IFERROR(VLOOKUP(TEXT(O7,"0"),CONDUCTORES!$A$3:$G$100,2,0),"")</f>
        <v/>
      </c>
      <c r="Q7" s="332">
        <f>IFERROR(VLOOKUP(TEXT(O7,"0"),CONDUCTORES!$A$3:$H$100,6,0),"")</f>
        <v/>
      </c>
      <c r="R7" s="280" t="n"/>
      <c r="S7" s="305" t="inlineStr">
        <is>
          <t>O200</t>
        </is>
      </c>
      <c r="T7" s="241" t="inlineStr">
        <is>
          <t>APROBADO</t>
        </is>
      </c>
      <c r="U7" s="280" t="n"/>
      <c r="V7" s="305" t="n"/>
      <c r="W7" s="241" t="n"/>
      <c r="X7" s="241" t="n"/>
      <c r="Y7" s="280" t="n"/>
      <c r="Z7" s="350">
        <f>IF(AND(R7&lt;&gt;"",V7&lt;&gt;"",W7&lt;&gt;"",X7&lt;&gt;""),"ENTREGADO","POR RECOGER")</f>
        <v/>
      </c>
      <c r="AA7" s="198" t="n"/>
      <c r="AB7" s="198" t="n"/>
      <c r="AC7" s="198" t="n"/>
    </row>
    <row r="8" hidden="1" ht="15.75" customHeight="1" s="195">
      <c r="A8" s="301" t="n">
        <v>3</v>
      </c>
      <c r="B8" s="302" t="inlineStr">
        <is>
          <t>0000284</t>
        </is>
      </c>
      <c r="C8" s="301" t="inlineStr">
        <is>
          <t>REGION</t>
        </is>
      </c>
      <c r="D8" s="302" t="inlineStr">
        <is>
          <t>ZELADA SANTILLAN EWHAN ADIEL</t>
        </is>
      </c>
      <c r="E8" s="301" t="inlineStr">
        <is>
          <t>DNI</t>
        </is>
      </c>
      <c r="F8" s="301" t="inlineStr">
        <is>
          <t>92682700</t>
        </is>
      </c>
      <c r="G8" s="331" t="n">
        <v>46024</v>
      </c>
      <c r="H8" s="301" t="inlineStr">
        <is>
          <t>4950</t>
        </is>
      </c>
      <c r="I8" s="332">
        <f>IFERROR(VLOOKUP(TEXT(H8,"0"),IPRESS!$A$3:$B$212,2,0),"")</f>
        <v/>
      </c>
      <c r="J8" s="301" t="inlineStr">
        <is>
          <t>4838</t>
        </is>
      </c>
      <c r="K8" s="332" t="inlineStr">
        <is>
          <t>PETROLEO</t>
        </is>
      </c>
      <c r="L8" s="245" t="n">
        <v>20.25</v>
      </c>
      <c r="M8" s="245" t="n">
        <v>7</v>
      </c>
      <c r="N8" s="333">
        <f>IFERROR(IF(L8*M8=0,"",L8*M8),"")</f>
        <v/>
      </c>
      <c r="O8" s="301" t="inlineStr">
        <is>
          <t>41785950</t>
        </is>
      </c>
      <c r="P8" s="332">
        <f>IFERROR(VLOOKUP(TEXT(O8,"0"),CONDUCTORES!$A$3:$G$100,2,0),"")</f>
        <v/>
      </c>
      <c r="Q8" s="332">
        <f>IFERROR(VLOOKUP(TEXT(O8,"0"),CONDUCTORES!$A$3:$H$100,6,0),"")</f>
        <v/>
      </c>
      <c r="R8" s="334" t="n"/>
      <c r="S8" s="302" t="inlineStr">
        <is>
          <t>K359,R509,N390</t>
        </is>
      </c>
      <c r="T8" s="301" t="inlineStr">
        <is>
          <t>APROBADO</t>
        </is>
      </c>
      <c r="U8" s="334" t="n"/>
      <c r="V8" s="302" t="n"/>
      <c r="W8" s="301" t="n"/>
      <c r="X8" s="301" t="n"/>
      <c r="Y8" s="280" t="n"/>
      <c r="Z8" s="350">
        <f>IF(AND(R8&lt;&gt;"",V8&lt;&gt;"",W8&lt;&gt;"",X8&lt;&gt;""),"ENTREGADO","POR RECOGER")</f>
        <v/>
      </c>
      <c r="AA8" s="198" t="n"/>
      <c r="AB8" s="198" t="n"/>
      <c r="AC8" s="198" t="n"/>
    </row>
    <row r="9" hidden="1" ht="15.75" customHeight="1" s="195">
      <c r="A9" s="241" t="n">
        <v>4</v>
      </c>
      <c r="B9" s="305" t="inlineStr">
        <is>
          <t>0000285</t>
        </is>
      </c>
      <c r="C9" s="241" t="inlineStr">
        <is>
          <t>REGION</t>
        </is>
      </c>
      <c r="D9" s="305" t="inlineStr">
        <is>
          <t>RODRIGUEZ CALDERON JESUS SALVADOR</t>
        </is>
      </c>
      <c r="E9" s="241" t="inlineStr">
        <is>
          <t>DNI</t>
        </is>
      </c>
      <c r="F9" s="241" t="inlineStr">
        <is>
          <t>33950773</t>
        </is>
      </c>
      <c r="G9" s="336" t="n">
        <v>46025</v>
      </c>
      <c r="H9" s="241" t="inlineStr">
        <is>
          <t>4950</t>
        </is>
      </c>
      <c r="I9" s="332">
        <f>IFERROR(VLOOKUP(TEXT(H9,"0"),IPRESS!$A$3:$B$212,2,0),"")</f>
        <v/>
      </c>
      <c r="J9" s="241" t="inlineStr">
        <is>
          <t>4838</t>
        </is>
      </c>
      <c r="K9" s="332" t="inlineStr">
        <is>
          <t>PETROLEO</t>
        </is>
      </c>
      <c r="L9" s="239" t="n">
        <v>20.25</v>
      </c>
      <c r="M9" s="239" t="n">
        <v>7</v>
      </c>
      <c r="N9" s="333">
        <f>IFERROR(IF(L9*M9=0,"",L9*M9),"")</f>
        <v/>
      </c>
      <c r="O9" s="241" t="n"/>
      <c r="P9" s="332">
        <f>IFERROR(VLOOKUP(TEXT(O9,"0"),CONDUCTORES!$A$3:$G$100,2,0),"")</f>
        <v/>
      </c>
      <c r="Q9" s="332">
        <f>IFERROR(VLOOKUP(TEXT(O9,"0"),CONDUCTORES!$A$3:$H$100,6,0),"")</f>
        <v/>
      </c>
      <c r="R9" s="280" t="n"/>
      <c r="S9" s="305" t="inlineStr">
        <is>
          <t>K659,N189,I10X</t>
        </is>
      </c>
      <c r="T9" s="241" t="inlineStr">
        <is>
          <t>APROBADO</t>
        </is>
      </c>
      <c r="U9" s="280" t="n"/>
      <c r="V9" s="305" t="n"/>
      <c r="W9" s="241" t="n"/>
      <c r="X9" s="241" t="n"/>
      <c r="Y9" s="280" t="n"/>
      <c r="Z9" s="350">
        <f>IF(AND(R9&lt;&gt;"",V9&lt;&gt;"",W9&lt;&gt;"",X9&lt;&gt;""),"ENTREGADO","POR RECOGER")</f>
        <v/>
      </c>
      <c r="AA9" s="198" t="n"/>
      <c r="AB9" s="198" t="n"/>
      <c r="AC9" s="198" t="n"/>
    </row>
    <row r="10" hidden="1" ht="15.75" customHeight="1" s="195">
      <c r="A10" s="301" t="n">
        <v>5</v>
      </c>
      <c r="B10" s="302" t="inlineStr">
        <is>
          <t>0000286</t>
        </is>
      </c>
      <c r="C10" s="301" t="inlineStr">
        <is>
          <t>REGION</t>
        </is>
      </c>
      <c r="D10" s="302" t="inlineStr">
        <is>
          <t>HUAMAN HUAMAN LUZ CLARITA</t>
        </is>
      </c>
      <c r="E10" s="301" t="inlineStr">
        <is>
          <t>DNI</t>
        </is>
      </c>
      <c r="F10" s="301" t="inlineStr">
        <is>
          <t>73632523</t>
        </is>
      </c>
      <c r="G10" s="331" t="n">
        <v>46026</v>
      </c>
      <c r="H10" s="301" t="inlineStr">
        <is>
          <t>4950</t>
        </is>
      </c>
      <c r="I10" s="332">
        <f>IFERROR(VLOOKUP(TEXT(H10,"0"),IPRESS!$A$3:$B$212,2,0),"")</f>
        <v/>
      </c>
      <c r="J10" s="301" t="inlineStr">
        <is>
          <t>4838</t>
        </is>
      </c>
      <c r="K10" s="332" t="inlineStr">
        <is>
          <t>PETROLEO</t>
        </is>
      </c>
      <c r="L10" s="245" t="n">
        <v>20.25</v>
      </c>
      <c r="M10" s="245" t="n">
        <v>7</v>
      </c>
      <c r="N10" s="333">
        <f>IFERROR(IF(L10*M10=0,"",L10*M10),"")</f>
        <v/>
      </c>
      <c r="O10" s="301" t="inlineStr">
        <is>
          <t>33402316</t>
        </is>
      </c>
      <c r="P10" s="332">
        <f>IFERROR(VLOOKUP(TEXT(O10,"0"),CONDUCTORES!$A$3:$G$100,2,0),"")</f>
        <v/>
      </c>
      <c r="Q10" s="332">
        <f>IFERROR(VLOOKUP(TEXT(O10,"0"),CONDUCTORES!$A$3:$H$100,6,0),"")</f>
        <v/>
      </c>
      <c r="R10" s="334" t="n"/>
      <c r="S10" s="302" t="inlineStr">
        <is>
          <t>N390,G419,A419</t>
        </is>
      </c>
      <c r="T10" s="301" t="inlineStr">
        <is>
          <t>APROBADO</t>
        </is>
      </c>
      <c r="U10" s="334" t="n"/>
      <c r="V10" s="302" t="n"/>
      <c r="W10" s="301" t="n"/>
      <c r="X10" s="301" t="n"/>
      <c r="Y10" s="280" t="n"/>
      <c r="Z10" s="350">
        <f>IF(AND(R10&lt;&gt;"",V10&lt;&gt;"",W10&lt;&gt;"",X10&lt;&gt;""),"ENTREGADO","POR RECOGER")</f>
        <v/>
      </c>
      <c r="AA10" s="198" t="n"/>
      <c r="AB10" s="198" t="n"/>
      <c r="AC10" s="198" t="n"/>
    </row>
    <row r="11" hidden="1" ht="15.75" customHeight="1" s="195">
      <c r="A11" s="241" t="n">
        <v>6</v>
      </c>
      <c r="B11" s="305" t="inlineStr">
        <is>
          <t>0000013</t>
        </is>
      </c>
      <c r="C11" s="241" t="inlineStr">
        <is>
          <t>REGION</t>
        </is>
      </c>
      <c r="D11" s="305" t="inlineStr">
        <is>
          <t>GUSMAN ALVARADO CESAR</t>
        </is>
      </c>
      <c r="E11" s="241" t="inlineStr">
        <is>
          <t>DNI</t>
        </is>
      </c>
      <c r="F11" s="241" t="inlineStr">
        <is>
          <t>45825389</t>
        </is>
      </c>
      <c r="G11" s="336" t="n">
        <v>46027</v>
      </c>
      <c r="H11" s="241" t="inlineStr">
        <is>
          <t>4895</t>
        </is>
      </c>
      <c r="I11" s="332">
        <f>IFERROR(VLOOKUP(TEXT(H11,"0"),IPRESS!$A$3:$B$212,2,0),"")</f>
        <v/>
      </c>
      <c r="J11" s="241" t="inlineStr">
        <is>
          <t>4838</t>
        </is>
      </c>
      <c r="K11" s="332" t="inlineStr">
        <is>
          <t>PETROLEO</t>
        </is>
      </c>
      <c r="L11" s="239" t="n">
        <v>18.18</v>
      </c>
      <c r="M11" s="239" t="n">
        <v>7</v>
      </c>
      <c r="N11" s="333">
        <f>IFERROR(IF(L11*M11=0,"",L11*M11),"")</f>
        <v/>
      </c>
      <c r="O11" s="241" t="inlineStr">
        <is>
          <t>33432847</t>
        </is>
      </c>
      <c r="P11" s="332">
        <f>IFERROR(VLOOKUP(TEXT(O11,"0"),CONDUCTORES!$A$3:$G$100,2,0),"")</f>
        <v/>
      </c>
      <c r="Q11" s="332">
        <f>IFERROR(VLOOKUP(TEXT(O11,"0"),CONDUCTORES!$A$3:$H$100,6,0),"")</f>
        <v/>
      </c>
      <c r="R11" s="280" t="n"/>
      <c r="S11" s="305" t="inlineStr">
        <is>
          <t>K359</t>
        </is>
      </c>
      <c r="T11" s="241" t="inlineStr">
        <is>
          <t>APROBADO</t>
        </is>
      </c>
      <c r="U11" s="280" t="n"/>
      <c r="V11" s="305" t="n"/>
      <c r="W11" s="241" t="n"/>
      <c r="X11" s="241" t="n"/>
      <c r="Y11" s="280" t="n"/>
      <c r="Z11" s="350">
        <f>IF(AND(R11&lt;&gt;"",V11&lt;&gt;"",W11&lt;&gt;"",X11&lt;&gt;""),"ENTREGADO","POR RECOGER")</f>
        <v/>
      </c>
      <c r="AA11" s="198" t="n"/>
      <c r="AB11" s="198" t="n"/>
      <c r="AC11" s="198" t="n"/>
    </row>
    <row r="12" hidden="1" ht="15.75" customHeight="1" s="195">
      <c r="A12" s="301" t="n">
        <v>7</v>
      </c>
      <c r="B12" s="302" t="inlineStr">
        <is>
          <t>0000287</t>
        </is>
      </c>
      <c r="C12" s="301" t="inlineStr">
        <is>
          <t>REGION</t>
        </is>
      </c>
      <c r="D12" s="302" t="inlineStr">
        <is>
          <t>PORTOCARRERO GRANDEZ GLORIA VILMITA</t>
        </is>
      </c>
      <c r="E12" s="301" t="inlineStr">
        <is>
          <t>DNI</t>
        </is>
      </c>
      <c r="F12" s="301" t="inlineStr">
        <is>
          <t>43504295</t>
        </is>
      </c>
      <c r="G12" s="331" t="n">
        <v>46027</v>
      </c>
      <c r="H12" s="301" t="inlineStr">
        <is>
          <t>4950</t>
        </is>
      </c>
      <c r="I12" s="332">
        <f>IFERROR(VLOOKUP(TEXT(H12,"0"),IPRESS!$A$3:$B$212,2,0),"")</f>
        <v/>
      </c>
      <c r="J12" s="301" t="inlineStr">
        <is>
          <t>4838</t>
        </is>
      </c>
      <c r="K12" s="332" t="inlineStr">
        <is>
          <t>PETROLEO</t>
        </is>
      </c>
      <c r="L12" s="245" t="n">
        <v>20.25</v>
      </c>
      <c r="M12" s="245" t="n">
        <v>7</v>
      </c>
      <c r="N12" s="333">
        <f>IFERROR(IF(L12*M12=0,"",L12*M12),"")</f>
        <v/>
      </c>
      <c r="O12" s="264" t="n"/>
      <c r="P12" s="332">
        <f>IFERROR(VLOOKUP(TEXT(O12,"0"),CONDUCTORES!$A$3:$G$100,2,0),"")</f>
        <v/>
      </c>
      <c r="Q12" s="332">
        <f>IFERROR(VLOOKUP(TEXT(O12,"0"),CONDUCTORES!$A$3:$H$100,6,0),"")</f>
        <v/>
      </c>
      <c r="R12" s="334" t="n"/>
      <c r="S12" s="302" t="inlineStr">
        <is>
          <t>O689,O366</t>
        </is>
      </c>
      <c r="T12" s="301" t="inlineStr">
        <is>
          <t>APROBADO</t>
        </is>
      </c>
      <c r="U12" s="334" t="n"/>
      <c r="V12" s="302" t="n"/>
      <c r="W12" s="301" t="n"/>
      <c r="X12" s="301" t="n"/>
      <c r="Y12" s="280" t="n"/>
      <c r="Z12" s="350">
        <f>IF(AND(R12&lt;&gt;"",V12&lt;&gt;"",W12&lt;&gt;"",X12&lt;&gt;""),"ENTREGADO","POR RECOGER")</f>
        <v/>
      </c>
      <c r="AA12" s="198" t="n"/>
      <c r="AB12" s="198" t="n"/>
      <c r="AC12" s="198" t="n"/>
    </row>
    <row r="13" hidden="1" ht="15.75" customHeight="1" s="195">
      <c r="A13" s="351" t="n">
        <v>8</v>
      </c>
      <c r="B13" s="352" t="inlineStr">
        <is>
          <t>0000288</t>
        </is>
      </c>
      <c r="C13" s="351" t="inlineStr">
        <is>
          <t>REGION</t>
        </is>
      </c>
      <c r="D13" s="352" t="inlineStr">
        <is>
          <t>VARGAS TUESTA BRISTYN PAOLO</t>
        </is>
      </c>
      <c r="E13" s="351" t="inlineStr">
        <is>
          <t>DNI</t>
        </is>
      </c>
      <c r="F13" s="351" t="inlineStr">
        <is>
          <t>91225101</t>
        </is>
      </c>
      <c r="G13" s="353" t="n">
        <v>46028</v>
      </c>
      <c r="H13" s="351" t="inlineStr">
        <is>
          <t>4950</t>
        </is>
      </c>
      <c r="I13" s="332">
        <f>IFERROR(VLOOKUP(TEXT(H13,"0"),IPRESS!$A$3:$B$212,2,0),"")</f>
        <v/>
      </c>
      <c r="J13" s="351" t="inlineStr">
        <is>
          <t>4838</t>
        </is>
      </c>
      <c r="K13" s="332" t="inlineStr">
        <is>
          <t>PETROLEO</t>
        </is>
      </c>
      <c r="L13" s="354" t="n">
        <v>20.25</v>
      </c>
      <c r="M13" s="354" t="n">
        <v>10</v>
      </c>
      <c r="N13" s="333">
        <f>IFERROR(IF(L13*M13=0,"",L13*M13),"")</f>
        <v/>
      </c>
      <c r="O13" s="351" t="inlineStr">
        <is>
          <t>40083507</t>
        </is>
      </c>
      <c r="P13" s="332">
        <f>IFERROR(VLOOKUP(TEXT(O13,"0"),CONDUCTORES!$A$3:$G$100,2,0),"")</f>
        <v/>
      </c>
      <c r="Q13" s="332">
        <f>IFERROR(VLOOKUP(TEXT(O13,"0"),CONDUCTORES!$A$3:$H$100,6,0),"")</f>
        <v/>
      </c>
      <c r="R13" s="355" t="n"/>
      <c r="S13" s="352" t="inlineStr">
        <is>
          <t>S069,H540</t>
        </is>
      </c>
      <c r="T13" s="351" t="inlineStr">
        <is>
          <t>APROBADO</t>
        </is>
      </c>
      <c r="U13" s="355" t="n"/>
      <c r="V13" s="352" t="n"/>
      <c r="W13" s="351" t="n"/>
      <c r="X13" s="351" t="n"/>
      <c r="Y13" s="356" t="inlineStr">
        <is>
          <t>HUAMBO</t>
        </is>
      </c>
      <c r="Z13" s="350">
        <f>IF(AND(R13&lt;&gt;"",V13&lt;&gt;"",W13&lt;&gt;"",X13&lt;&gt;""),"ENTREGADO","POR RECOGER")</f>
        <v/>
      </c>
      <c r="AA13" s="198" t="n"/>
      <c r="AB13" s="198" t="n"/>
      <c r="AC13" s="198" t="n"/>
    </row>
    <row r="14" hidden="1" ht="15.75" customHeight="1" s="195">
      <c r="A14" s="301" t="n">
        <v>9</v>
      </c>
      <c r="B14" s="302" t="inlineStr">
        <is>
          <t>0000026</t>
        </is>
      </c>
      <c r="C14" s="301" t="inlineStr">
        <is>
          <t>REGION</t>
        </is>
      </c>
      <c r="D14" s="302" t="inlineStr">
        <is>
          <t>LEON DELGADO EIMI YAMILET</t>
        </is>
      </c>
      <c r="E14" s="301" t="inlineStr">
        <is>
          <t>DNI</t>
        </is>
      </c>
      <c r="F14" s="301" t="inlineStr">
        <is>
          <t>61561896</t>
        </is>
      </c>
      <c r="G14" s="331" t="n">
        <v>45663</v>
      </c>
      <c r="H14" s="301" t="inlineStr">
        <is>
          <t>4917</t>
        </is>
      </c>
      <c r="I14" s="332">
        <f>IFERROR(VLOOKUP(TEXT(H14,"0"),IPRESS!$A$3:$B$212,2,0),"")</f>
        <v/>
      </c>
      <c r="J14" s="301" t="inlineStr">
        <is>
          <t>4932</t>
        </is>
      </c>
      <c r="K14" s="332" t="inlineStr">
        <is>
          <t>PETROLEO</t>
        </is>
      </c>
      <c r="L14" s="245" t="n">
        <v>18.18</v>
      </c>
      <c r="M14" s="245" t="n">
        <v>5</v>
      </c>
      <c r="N14" s="333">
        <f>IFERROR(IF(L14*M14=0,"",L14*M14),"")</f>
        <v/>
      </c>
      <c r="O14" s="301" t="inlineStr">
        <is>
          <t>33734466</t>
        </is>
      </c>
      <c r="P14" s="332">
        <f>IFERROR(VLOOKUP(TEXT(O14,"0"),CONDUCTORES!$A$3:$G$100,2,0),"")</f>
        <v/>
      </c>
      <c r="Q14" s="332">
        <f>IFERROR(VLOOKUP(TEXT(O14,"0"),CONDUCTORES!$A$3:$H$100,6,0),"")</f>
        <v/>
      </c>
      <c r="R14" s="334" t="n"/>
      <c r="S14" s="302" t="inlineStr">
        <is>
          <t>O034</t>
        </is>
      </c>
      <c r="T14" s="301" t="inlineStr">
        <is>
          <t>APROBADO</t>
        </is>
      </c>
      <c r="U14" s="334" t="n"/>
      <c r="V14" s="302" t="n"/>
      <c r="W14" s="301" t="n"/>
      <c r="X14" s="301" t="n"/>
      <c r="Y14" s="280" t="n"/>
      <c r="Z14" s="350">
        <f>IF(AND(R14&lt;&gt;"",V14&lt;&gt;"",W14&lt;&gt;"",X14&lt;&gt;""),"ENTREGADO","POR RECOGER")</f>
        <v/>
      </c>
      <c r="AA14" s="198" t="n"/>
      <c r="AB14" s="198" t="n"/>
      <c r="AC14" s="198" t="n"/>
    </row>
    <row r="15" hidden="1" ht="15.75" customHeight="1" s="195">
      <c r="A15" s="241" t="n">
        <v>10</v>
      </c>
      <c r="B15" s="305" t="inlineStr">
        <is>
          <t>0000289</t>
        </is>
      </c>
      <c r="C15" s="241" t="inlineStr">
        <is>
          <t>REGION</t>
        </is>
      </c>
      <c r="D15" s="305" t="inlineStr">
        <is>
          <t>TAFUR LOPEZ SEGUNDO PACIFICO</t>
        </is>
      </c>
      <c r="E15" s="241" t="inlineStr">
        <is>
          <t>DNI</t>
        </is>
      </c>
      <c r="F15" s="241" t="inlineStr">
        <is>
          <t>44932120</t>
        </is>
      </c>
      <c r="G15" s="336" t="n">
        <v>46029</v>
      </c>
      <c r="H15" s="241" t="inlineStr">
        <is>
          <t>4950</t>
        </is>
      </c>
      <c r="I15" s="332">
        <f>IFERROR(VLOOKUP(TEXT(H15,"0"),IPRESS!$A$3:$B$212,2,0),"")</f>
        <v/>
      </c>
      <c r="J15" s="241" t="inlineStr">
        <is>
          <t>4838</t>
        </is>
      </c>
      <c r="K15" s="332" t="inlineStr">
        <is>
          <t>PETROLEO</t>
        </is>
      </c>
      <c r="L15" s="239" t="n">
        <v>20.25</v>
      </c>
      <c r="M15" s="239" t="n">
        <v>7</v>
      </c>
      <c r="N15" s="333">
        <f>IFERROR(IF(L15*M15=0,"",L15*M15),"")</f>
        <v/>
      </c>
      <c r="O15" s="241" t="n"/>
      <c r="P15" s="332">
        <f>IFERROR(VLOOKUP(TEXT(O15,"0"),CONDUCTORES!$A$3:$G$100,2,0),"")</f>
        <v/>
      </c>
      <c r="Q15" s="332">
        <f>IFERROR(VLOOKUP(TEXT(O15,"0"),CONDUCTORES!$A$3:$H$100,6,0),"")</f>
        <v/>
      </c>
      <c r="R15" s="280" t="n"/>
      <c r="S15" s="305" t="inlineStr">
        <is>
          <t>S819,I10X</t>
        </is>
      </c>
      <c r="T15" s="241" t="inlineStr">
        <is>
          <t>APROBADO</t>
        </is>
      </c>
      <c r="U15" s="280" t="n"/>
      <c r="V15" s="305" t="n"/>
      <c r="W15" s="241" t="n"/>
      <c r="X15" s="241" t="n"/>
      <c r="Y15" s="280" t="n"/>
      <c r="Z15" s="350">
        <f>IF(AND(R15&lt;&gt;"",V15&lt;&gt;"",W15&lt;&gt;"",X15&lt;&gt;""),"ENTREGADO","POR RECOGER")</f>
        <v/>
      </c>
      <c r="AA15" s="198" t="n"/>
      <c r="AB15" s="198" t="n"/>
      <c r="AC15" s="198" t="n"/>
    </row>
    <row r="16" hidden="1" ht="15.75" customHeight="1" s="195">
      <c r="A16" s="301" t="n">
        <v>11</v>
      </c>
      <c r="B16" s="302" t="inlineStr">
        <is>
          <t>0000290</t>
        </is>
      </c>
      <c r="C16" s="301" t="inlineStr">
        <is>
          <t>REGION</t>
        </is>
      </c>
      <c r="D16" s="302" t="inlineStr">
        <is>
          <t>VILLA LOPEZ NEILI DANITZA</t>
        </is>
      </c>
      <c r="E16" s="301" t="inlineStr">
        <is>
          <t>DNI</t>
        </is>
      </c>
      <c r="F16" s="301" t="inlineStr">
        <is>
          <t>44401644</t>
        </is>
      </c>
      <c r="G16" s="331" t="n">
        <v>46030</v>
      </c>
      <c r="H16" s="301" t="inlineStr">
        <is>
          <t>4950</t>
        </is>
      </c>
      <c r="I16" s="332">
        <f>IFERROR(VLOOKUP(TEXT(H16,"0"),IPRESS!$A$3:$B$212,2,0),"")</f>
        <v/>
      </c>
      <c r="J16" s="301" t="inlineStr">
        <is>
          <t>4838</t>
        </is>
      </c>
      <c r="K16" s="332" t="inlineStr">
        <is>
          <t>PETROLEO</t>
        </is>
      </c>
      <c r="L16" s="245" t="n">
        <v>20.25</v>
      </c>
      <c r="M16" s="245" t="n">
        <v>7</v>
      </c>
      <c r="N16" s="333">
        <f>IFERROR(IF(L16*M16=0,"",L16*M16),"")</f>
        <v/>
      </c>
      <c r="O16" s="301" t="inlineStr">
        <is>
          <t>33402316</t>
        </is>
      </c>
      <c r="P16" s="332">
        <f>IFERROR(VLOOKUP(TEXT(O16,"0"),CONDUCTORES!$A$3:$G$100,2,0),"")</f>
        <v/>
      </c>
      <c r="Q16" s="332">
        <f>IFERROR(VLOOKUP(TEXT(O16,"0"),CONDUCTORES!$A$3:$H$100,6,0),"")</f>
        <v/>
      </c>
      <c r="R16" s="334" t="n"/>
      <c r="S16" s="302" t="inlineStr">
        <is>
          <t>O200</t>
        </is>
      </c>
      <c r="T16" s="301" t="inlineStr">
        <is>
          <t>APROBADO</t>
        </is>
      </c>
      <c r="U16" s="334" t="n"/>
      <c r="V16" s="302" t="n"/>
      <c r="W16" s="301" t="n"/>
      <c r="X16" s="301" t="n"/>
      <c r="Y16" s="280" t="n"/>
      <c r="Z16" s="350">
        <f>IF(AND(R16&lt;&gt;"",V16&lt;&gt;"",W16&lt;&gt;"",X16&lt;&gt;""),"ENTREGADO","POR RECOGER")</f>
        <v/>
      </c>
      <c r="AA16" s="198" t="n"/>
      <c r="AB16" s="198" t="n"/>
      <c r="AC16" s="198" t="n"/>
    </row>
    <row r="17" hidden="1" ht="15.75" customHeight="1" s="195">
      <c r="A17" s="241" t="n">
        <v>12</v>
      </c>
      <c r="B17" s="305" t="inlineStr">
        <is>
          <t>0000291</t>
        </is>
      </c>
      <c r="C17" s="241" t="inlineStr">
        <is>
          <t>REGION</t>
        </is>
      </c>
      <c r="D17" s="305" t="inlineStr">
        <is>
          <t>FERNANDEZ LOPEZ GIL AUGUSTO</t>
        </is>
      </c>
      <c r="E17" s="241" t="inlineStr">
        <is>
          <t>DNI</t>
        </is>
      </c>
      <c r="F17" s="241" t="inlineStr">
        <is>
          <t>33946545</t>
        </is>
      </c>
      <c r="G17" s="336" t="n">
        <v>46031</v>
      </c>
      <c r="H17" s="241" t="inlineStr">
        <is>
          <t>4950</t>
        </is>
      </c>
      <c r="I17" s="332">
        <f>IFERROR(VLOOKUP(TEXT(H17,"0"),IPRESS!$A$3:$B$212,2,0),"")</f>
        <v/>
      </c>
      <c r="J17" s="241" t="inlineStr">
        <is>
          <t>4838</t>
        </is>
      </c>
      <c r="K17" s="332" t="inlineStr">
        <is>
          <t>PETROLEO</t>
        </is>
      </c>
      <c r="L17" s="239" t="n">
        <v>20.25</v>
      </c>
      <c r="M17" s="239" t="n">
        <v>7</v>
      </c>
      <c r="N17" s="333">
        <f>IFERROR(IF(L17*M17=0,"",L17*M17),"")</f>
        <v/>
      </c>
      <c r="O17" s="241" t="n">
        <v>9990954</v>
      </c>
      <c r="P17" s="332">
        <f>IFERROR(VLOOKUP(TEXT(O17,"0"),CONDUCTORES!$A$3:$G$100,2,0),"")</f>
        <v/>
      </c>
      <c r="Q17" s="332">
        <f>IFERROR(VLOOKUP(TEXT(O17,"0"),CONDUCTORES!$A$3:$H$100,6,0),"")</f>
        <v/>
      </c>
      <c r="R17" s="280" t="n"/>
      <c r="S17" s="305" t="inlineStr">
        <is>
          <t>K922,I850,K703</t>
        </is>
      </c>
      <c r="T17" s="241" t="inlineStr">
        <is>
          <t>APROBADO</t>
        </is>
      </c>
      <c r="U17" s="280" t="n"/>
      <c r="V17" s="305" t="n"/>
      <c r="W17" s="241" t="n"/>
      <c r="X17" s="241" t="n"/>
      <c r="Y17" s="280" t="n"/>
      <c r="Z17" s="350">
        <f>IF(AND(R17&lt;&gt;"",V17&lt;&gt;"",W17&lt;&gt;"",X17&lt;&gt;""),"ENTREGADO","POR RECOGER")</f>
        <v/>
      </c>
      <c r="AA17" s="198" t="n"/>
      <c r="AB17" s="198" t="n"/>
      <c r="AC17" s="198" t="n"/>
    </row>
    <row r="18" hidden="1" ht="15.75" customHeight="1" s="195">
      <c r="A18" s="301" t="n">
        <v>13</v>
      </c>
      <c r="B18" s="302" t="inlineStr">
        <is>
          <t>0000292</t>
        </is>
      </c>
      <c r="C18" s="301" t="inlineStr">
        <is>
          <t>REGION</t>
        </is>
      </c>
      <c r="D18" s="302" t="inlineStr">
        <is>
          <t>ARANA LOPEZ MARILIZ MISHEL</t>
        </is>
      </c>
      <c r="E18" s="301" t="inlineStr">
        <is>
          <t>DNI</t>
        </is>
      </c>
      <c r="F18" s="301" t="inlineStr">
        <is>
          <t>78095143</t>
        </is>
      </c>
      <c r="G18" s="331" t="n">
        <v>46032</v>
      </c>
      <c r="H18" s="301" t="inlineStr">
        <is>
          <t>4950</t>
        </is>
      </c>
      <c r="I18" s="332">
        <f>IFERROR(VLOOKUP(TEXT(H18,"0"),IPRESS!$A$3:$B$212,2,0),"")</f>
        <v/>
      </c>
      <c r="J18" s="301" t="inlineStr">
        <is>
          <t>4838</t>
        </is>
      </c>
      <c r="K18" s="332" t="inlineStr">
        <is>
          <t>PETROLEO</t>
        </is>
      </c>
      <c r="L18" s="245" t="n">
        <v>20.25</v>
      </c>
      <c r="M18" s="245" t="n">
        <v>6.8</v>
      </c>
      <c r="N18" s="333">
        <f>IFERROR(IF(L18*M18=0,"",L18*M18),"")</f>
        <v/>
      </c>
      <c r="O18" s="301" t="inlineStr">
        <is>
          <t>9990954</t>
        </is>
      </c>
      <c r="P18" s="332">
        <f>IFERROR(VLOOKUP(TEXT(O18,"0"),CONDUCTORES!$A$3:$G$100,2,0),"")</f>
        <v/>
      </c>
      <c r="Q18" s="332">
        <f>IFERROR(VLOOKUP(TEXT(O18,"0"),CONDUCTORES!$A$3:$H$100,6,0),"")</f>
        <v/>
      </c>
      <c r="R18" s="334" t="n"/>
      <c r="S18" s="302" t="inlineStr">
        <is>
          <t>O050</t>
        </is>
      </c>
      <c r="T18" s="301" t="inlineStr">
        <is>
          <t>APROBADO</t>
        </is>
      </c>
      <c r="U18" s="334" t="n"/>
      <c r="V18" s="302" t="n"/>
      <c r="W18" s="301" t="n"/>
      <c r="X18" s="301" t="n"/>
      <c r="Y18" s="280" t="n"/>
      <c r="Z18" s="350">
        <f>IF(AND(R18&lt;&gt;"",V18&lt;&gt;"",W18&lt;&gt;"",X18&lt;&gt;""),"ENTREGADO","POR RECOGER")</f>
        <v/>
      </c>
      <c r="AA18" s="198" t="n"/>
      <c r="AB18" s="198" t="n"/>
      <c r="AC18" s="198" t="n"/>
    </row>
    <row r="19" hidden="1" ht="15.75" customHeight="1" s="195">
      <c r="A19" s="241" t="n">
        <v>14</v>
      </c>
      <c r="B19" s="305" t="inlineStr">
        <is>
          <t>0000293</t>
        </is>
      </c>
      <c r="C19" s="241" t="inlineStr">
        <is>
          <t>REGION</t>
        </is>
      </c>
      <c r="D19" s="305" t="inlineStr">
        <is>
          <t>LUCERO TUESTA MARBELI</t>
        </is>
      </c>
      <c r="E19" s="241" t="inlineStr">
        <is>
          <t>DNI</t>
        </is>
      </c>
      <c r="F19" s="241" t="inlineStr">
        <is>
          <t>63365856</t>
        </is>
      </c>
      <c r="G19" s="336" t="n">
        <v>46034</v>
      </c>
      <c r="H19" s="241" t="inlineStr">
        <is>
          <t>4950</t>
        </is>
      </c>
      <c r="I19" s="332">
        <f>IFERROR(VLOOKUP(TEXT(H19,"0"),IPRESS!$A$3:$B$212,2,0),"")</f>
        <v/>
      </c>
      <c r="J19" s="241" t="inlineStr">
        <is>
          <t>4838</t>
        </is>
      </c>
      <c r="K19" s="332" t="inlineStr">
        <is>
          <t>PETROLEO</t>
        </is>
      </c>
      <c r="L19" s="239" t="n">
        <v>20.25</v>
      </c>
      <c r="M19" s="239" t="n">
        <v>5</v>
      </c>
      <c r="N19" s="333">
        <f>IFERROR(IF(L19*M19=0,"",L19*M19),"")</f>
        <v/>
      </c>
      <c r="O19" s="241" t="inlineStr">
        <is>
          <t>33402316</t>
        </is>
      </c>
      <c r="P19" s="332">
        <f>IFERROR(VLOOKUP(TEXT(O19,"0"),CONDUCTORES!$A$3:$G$100,2,0),"")</f>
        <v/>
      </c>
      <c r="Q19" s="332">
        <f>IFERROR(VLOOKUP(TEXT(O19,"0"),CONDUCTORES!$A$3:$H$100,6,0),"")</f>
        <v/>
      </c>
      <c r="R19" s="280" t="n"/>
      <c r="S19" s="305" t="inlineStr">
        <is>
          <t>O600,O420</t>
        </is>
      </c>
      <c r="T19" s="241" t="inlineStr">
        <is>
          <t>APROBADO</t>
        </is>
      </c>
      <c r="U19" s="280" t="n"/>
      <c r="V19" s="305" t="n"/>
      <c r="W19" s="241" t="n"/>
      <c r="X19" s="241" t="n"/>
      <c r="Y19" s="280" t="n"/>
      <c r="Z19" s="350">
        <f>IF(AND(R19&lt;&gt;"",V19&lt;&gt;"",W19&lt;&gt;"",X19&lt;&gt;""),"ENTREGADO","POR RECOGER")</f>
        <v/>
      </c>
      <c r="AA19" s="198" t="n"/>
      <c r="AB19" s="198" t="n"/>
      <c r="AC19" s="198" t="n"/>
    </row>
    <row r="20" hidden="1" ht="15.75" customHeight="1" s="195">
      <c r="A20" s="301" t="n">
        <v>15</v>
      </c>
      <c r="B20" s="302" t="inlineStr">
        <is>
          <t>0000108</t>
        </is>
      </c>
      <c r="C20" s="301" t="inlineStr">
        <is>
          <t>REGION</t>
        </is>
      </c>
      <c r="D20" s="302" t="inlineStr">
        <is>
          <t>REYES VASQUEZ JOAO YADIEL</t>
        </is>
      </c>
      <c r="E20" s="301" t="inlineStr">
        <is>
          <t>DNI</t>
        </is>
      </c>
      <c r="F20" s="301" t="inlineStr">
        <is>
          <t>94359638</t>
        </is>
      </c>
      <c r="G20" s="331" t="n">
        <v>46036</v>
      </c>
      <c r="H20" s="301" t="inlineStr">
        <is>
          <t>4932</t>
        </is>
      </c>
      <c r="I20" s="332">
        <f>IFERROR(VLOOKUP(TEXT(H20,"0"),IPRESS!$A$3:$B$212,2,0),"")</f>
        <v/>
      </c>
      <c r="J20" s="301" t="inlineStr">
        <is>
          <t>4838</t>
        </is>
      </c>
      <c r="K20" s="332" t="inlineStr">
        <is>
          <t>PETROLEO</t>
        </is>
      </c>
      <c r="L20" s="245" t="n">
        <v>18.18</v>
      </c>
      <c r="M20" s="245" t="n">
        <v>6</v>
      </c>
      <c r="N20" s="333">
        <f>IFERROR(IF(L20*M20=0,"",L20*M20),"")</f>
        <v/>
      </c>
      <c r="O20" s="301" t="inlineStr">
        <is>
          <t>33727119</t>
        </is>
      </c>
      <c r="P20" s="332">
        <f>IFERROR(VLOOKUP(TEXT(O20,"0"),CONDUCTORES!$A$3:$G$100,2,0),"")</f>
        <v/>
      </c>
      <c r="Q20" s="332">
        <f>IFERROR(VLOOKUP(TEXT(O20,"0"),CONDUCTORES!$A$3:$H$100,6,0),"")</f>
        <v/>
      </c>
      <c r="R20" s="334" t="n"/>
      <c r="S20" s="302" t="inlineStr">
        <is>
          <t>A419,J159</t>
        </is>
      </c>
      <c r="T20" s="301" t="inlineStr">
        <is>
          <t>APROBADO</t>
        </is>
      </c>
      <c r="U20" s="334" t="n"/>
      <c r="V20" s="302" t="n"/>
      <c r="W20" s="301" t="n"/>
      <c r="X20" s="301" t="n"/>
      <c r="Y20" s="280" t="n"/>
      <c r="Z20" s="350">
        <f>IF(AND(R20&lt;&gt;"",V20&lt;&gt;"",W20&lt;&gt;"",X20&lt;&gt;""),"ENTREGADO","POR RECOGER")</f>
        <v/>
      </c>
      <c r="AA20" s="198" t="n"/>
      <c r="AB20" s="198" t="n"/>
      <c r="AC20" s="198" t="n"/>
    </row>
    <row r="21" hidden="1" ht="15.75" customHeight="1" s="195">
      <c r="A21" s="241" t="n">
        <v>16</v>
      </c>
      <c r="B21" s="305" t="inlineStr">
        <is>
          <t>0000294</t>
        </is>
      </c>
      <c r="C21" s="241" t="inlineStr">
        <is>
          <t>REGION</t>
        </is>
      </c>
      <c r="D21" s="305" t="inlineStr">
        <is>
          <t>CASTRO DE VARGAS JUSTINA</t>
        </is>
      </c>
      <c r="E21" s="241" t="inlineStr">
        <is>
          <t>DNI</t>
        </is>
      </c>
      <c r="F21" s="241" t="inlineStr">
        <is>
          <t>33944106</t>
        </is>
      </c>
      <c r="G21" s="336" t="n">
        <v>46036</v>
      </c>
      <c r="H21" s="241" t="inlineStr">
        <is>
          <t>4950</t>
        </is>
      </c>
      <c r="I21" s="332">
        <f>IFERROR(VLOOKUP(TEXT(H21,"0"),IPRESS!$A$3:$B$212,2,0),"")</f>
        <v/>
      </c>
      <c r="J21" s="241" t="inlineStr">
        <is>
          <t>4838</t>
        </is>
      </c>
      <c r="K21" s="332" t="inlineStr">
        <is>
          <t>PETROLEO</t>
        </is>
      </c>
      <c r="L21" s="239" t="n">
        <v>20.25</v>
      </c>
      <c r="M21" s="239" t="n">
        <v>7</v>
      </c>
      <c r="N21" s="333">
        <f>IFERROR(IF(L21*M21=0,"",L21*M21),"")</f>
        <v/>
      </c>
      <c r="O21" s="241" t="inlineStr">
        <is>
          <t>9990954</t>
        </is>
      </c>
      <c r="P21" s="332">
        <f>IFERROR(VLOOKUP(TEXT(O21,"0"),CONDUCTORES!$A$3:$G$100,2,0),"")</f>
        <v/>
      </c>
      <c r="Q21" s="332">
        <f>IFERROR(VLOOKUP(TEXT(O21,"0"),CONDUCTORES!$A$3:$H$100,6,0),"")</f>
        <v/>
      </c>
      <c r="R21" s="280" t="n"/>
      <c r="S21" s="305" t="inlineStr">
        <is>
          <t>A419,K922,J960</t>
        </is>
      </c>
      <c r="T21" s="241" t="inlineStr">
        <is>
          <t>APROBADO</t>
        </is>
      </c>
      <c r="U21" s="280" t="n"/>
      <c r="V21" s="305" t="n"/>
      <c r="W21" s="241" t="n"/>
      <c r="X21" s="241" t="n"/>
      <c r="Y21" s="280" t="n"/>
      <c r="Z21" s="350">
        <f>IF(AND(R21&lt;&gt;"",V21&lt;&gt;"",W21&lt;&gt;"",X21&lt;&gt;""),"ENTREGADO","POR RECOGER")</f>
        <v/>
      </c>
      <c r="AA21" s="198" t="n"/>
      <c r="AB21" s="198" t="n"/>
      <c r="AC21" s="198" t="n"/>
    </row>
    <row r="22" hidden="1" ht="15.75" customHeight="1" s="195">
      <c r="A22" s="301" t="n">
        <v>17</v>
      </c>
      <c r="B22" s="302" t="inlineStr">
        <is>
          <t>0000109</t>
        </is>
      </c>
      <c r="C22" s="301" t="inlineStr">
        <is>
          <t>REGION</t>
        </is>
      </c>
      <c r="D22" s="302" t="inlineStr">
        <is>
          <t>OBLITAS VASQUEZ YENNY</t>
        </is>
      </c>
      <c r="E22" s="301" t="inlineStr">
        <is>
          <t>DNI</t>
        </is>
      </c>
      <c r="F22" s="301" t="inlineStr">
        <is>
          <t>77346512</t>
        </is>
      </c>
      <c r="G22" s="331" t="n">
        <v>46039</v>
      </c>
      <c r="H22" s="301" t="inlineStr">
        <is>
          <t>4932</t>
        </is>
      </c>
      <c r="I22" s="332">
        <f>IFERROR(VLOOKUP(TEXT(H22,"0"),IPRESS!$A$3:$B$212,2,0),"")</f>
        <v/>
      </c>
      <c r="J22" s="301" t="inlineStr">
        <is>
          <t>4838</t>
        </is>
      </c>
      <c r="K22" s="332" t="inlineStr">
        <is>
          <t>PETROLEO</t>
        </is>
      </c>
      <c r="L22" s="245" t="n">
        <v>18.18</v>
      </c>
      <c r="M22" s="245" t="n">
        <v>6</v>
      </c>
      <c r="N22" s="333">
        <f>IFERROR(IF(L22*M22=0,"",L22*M22),"")</f>
        <v/>
      </c>
      <c r="O22" s="301" t="inlineStr">
        <is>
          <t>33727119</t>
        </is>
      </c>
      <c r="P22" s="332">
        <f>IFERROR(VLOOKUP(TEXT(O22,"0"),CONDUCTORES!$A$3:$G$100,2,0),"")</f>
        <v/>
      </c>
      <c r="Q22" s="332">
        <f>IFERROR(VLOOKUP(TEXT(O22,"0"),CONDUCTORES!$A$3:$H$100,6,0),"")</f>
        <v/>
      </c>
      <c r="R22" s="334" t="n"/>
      <c r="S22" s="302" t="inlineStr">
        <is>
          <t>S681</t>
        </is>
      </c>
      <c r="T22" s="301" t="inlineStr">
        <is>
          <t>APROBADO</t>
        </is>
      </c>
      <c r="U22" s="334" t="n"/>
      <c r="V22" s="302" t="n"/>
      <c r="W22" s="301" t="n"/>
      <c r="X22" s="301" t="n"/>
      <c r="Y22" s="280" t="n"/>
      <c r="Z22" s="350">
        <f>IF(AND(R22&lt;&gt;"",V22&lt;&gt;"",W22&lt;&gt;"",X22&lt;&gt;""),"ENTREGADO","POR RECOGER")</f>
        <v/>
      </c>
      <c r="AA22" s="198" t="n"/>
      <c r="AB22" s="198" t="n"/>
      <c r="AC22" s="198" t="n"/>
    </row>
    <row r="23" hidden="1" ht="15.75" customHeight="1" s="195">
      <c r="A23" s="241" t="n">
        <v>18</v>
      </c>
      <c r="B23" s="305" t="inlineStr">
        <is>
          <t>0000295</t>
        </is>
      </c>
      <c r="C23" s="241" t="inlineStr">
        <is>
          <t>REGION</t>
        </is>
      </c>
      <c r="D23" s="305" t="inlineStr">
        <is>
          <t>TAFUR SALDAÑA JUAN ALBERTO</t>
        </is>
      </c>
      <c r="E23" s="241" t="inlineStr">
        <is>
          <t>DNI</t>
        </is>
      </c>
      <c r="F23" s="241" t="inlineStr">
        <is>
          <t>33941504</t>
        </is>
      </c>
      <c r="G23" s="336" t="n">
        <v>46039</v>
      </c>
      <c r="H23" s="241" t="inlineStr">
        <is>
          <t>4950</t>
        </is>
      </c>
      <c r="I23" s="332">
        <f>IFERROR(VLOOKUP(TEXT(H23,"0"),IPRESS!$A$3:$B$212,2,0),"")</f>
        <v/>
      </c>
      <c r="J23" s="241" t="inlineStr">
        <is>
          <t>4838</t>
        </is>
      </c>
      <c r="K23" s="332" t="inlineStr">
        <is>
          <t>PETROLEO</t>
        </is>
      </c>
      <c r="L23" s="239" t="n">
        <v>20.25</v>
      </c>
      <c r="M23" s="239" t="n">
        <v>7</v>
      </c>
      <c r="N23" s="333">
        <f>IFERROR(IF(L23*M23=0,"",L23*M23),"")</f>
        <v/>
      </c>
      <c r="O23" s="241" t="inlineStr">
        <is>
          <t>9990954</t>
        </is>
      </c>
      <c r="P23" s="332">
        <f>IFERROR(VLOOKUP(TEXT(O23,"0"),CONDUCTORES!$A$3:$G$100,2,0),"")</f>
        <v/>
      </c>
      <c r="Q23" s="332">
        <f>IFERROR(VLOOKUP(TEXT(O23,"0"),CONDUCTORES!$A$3:$H$100,6,0),"")</f>
        <v/>
      </c>
      <c r="R23" s="280" t="n"/>
      <c r="S23" s="305" t="inlineStr">
        <is>
          <t>J960,A156,C349</t>
        </is>
      </c>
      <c r="T23" s="241" t="inlineStr">
        <is>
          <t>APROBADO</t>
        </is>
      </c>
      <c r="U23" s="280" t="n"/>
      <c r="V23" s="305" t="n"/>
      <c r="W23" s="241" t="n"/>
      <c r="X23" s="241" t="n"/>
      <c r="Y23" s="280" t="n"/>
      <c r="Z23" s="350">
        <f>IF(AND(R23&lt;&gt;"",V23&lt;&gt;"",W23&lt;&gt;"",X23&lt;&gt;""),"ENTREGADO","POR RECOGER")</f>
        <v/>
      </c>
      <c r="AA23" s="198" t="n"/>
      <c r="AB23" s="198" t="n"/>
      <c r="AC23" s="198" t="n"/>
    </row>
    <row r="24" hidden="1" ht="15.75" customHeight="1" s="195">
      <c r="A24" s="301" t="n">
        <v>19</v>
      </c>
      <c r="B24" s="302" t="inlineStr">
        <is>
          <t>0000297</t>
        </is>
      </c>
      <c r="C24" s="301" t="inlineStr">
        <is>
          <t>REGION</t>
        </is>
      </c>
      <c r="D24" s="302" t="inlineStr">
        <is>
          <t>LOPEZ VILCAROMERO MARIKELI</t>
        </is>
      </c>
      <c r="E24" s="301" t="inlineStr">
        <is>
          <t>DNI</t>
        </is>
      </c>
      <c r="F24" s="301" t="inlineStr">
        <is>
          <t>60526420</t>
        </is>
      </c>
      <c r="G24" s="331" t="n">
        <v>46040</v>
      </c>
      <c r="H24" s="301" t="inlineStr">
        <is>
          <t>4950</t>
        </is>
      </c>
      <c r="I24" s="332">
        <f>IFERROR(VLOOKUP(TEXT(H24,"0"),IPRESS!$A$3:$B$212,2,0),"")</f>
        <v/>
      </c>
      <c r="J24" s="301" t="inlineStr">
        <is>
          <t>4838</t>
        </is>
      </c>
      <c r="K24" s="332" t="inlineStr">
        <is>
          <t>PETROLEO</t>
        </is>
      </c>
      <c r="L24" s="245" t="n">
        <v>20.25</v>
      </c>
      <c r="M24" s="245" t="n">
        <v>6</v>
      </c>
      <c r="N24" s="333">
        <f>IFERROR(IF(L24*M24=0,"",L24*M24),"")</f>
        <v/>
      </c>
      <c r="O24" s="301" t="inlineStr">
        <is>
          <t>41785950</t>
        </is>
      </c>
      <c r="P24" s="332">
        <f>IFERROR(VLOOKUP(TEXT(O24,"0"),CONDUCTORES!$A$3:$G$100,2,0),"")</f>
        <v/>
      </c>
      <c r="Q24" s="332">
        <f>IFERROR(VLOOKUP(TEXT(O24,"0"),CONDUCTORES!$A$3:$H$100,6,0),"")</f>
        <v/>
      </c>
      <c r="R24" s="334" t="n"/>
      <c r="S24" s="302" t="inlineStr">
        <is>
          <t>O034</t>
        </is>
      </c>
      <c r="T24" s="301" t="inlineStr">
        <is>
          <t>APROBADO</t>
        </is>
      </c>
      <c r="U24" s="334" t="n"/>
      <c r="V24" s="302" t="n"/>
      <c r="W24" s="301" t="n"/>
      <c r="X24" s="301" t="n"/>
      <c r="Y24" s="280" t="n"/>
      <c r="Z24" s="350">
        <f>IF(AND(R24&lt;&gt;"",V24&lt;&gt;"",W24&lt;&gt;"",X24&lt;&gt;""),"ENTREGADO","POR RECOGER")</f>
        <v/>
      </c>
      <c r="AA24" s="198" t="n"/>
      <c r="AB24" s="198" t="n"/>
      <c r="AC24" s="198" t="n"/>
    </row>
    <row r="25" hidden="1" ht="15.75" customHeight="1" s="195">
      <c r="A25" s="241" t="n">
        <v>20</v>
      </c>
      <c r="B25" s="305" t="inlineStr">
        <is>
          <t>0000061</t>
        </is>
      </c>
      <c r="C25" s="241" t="inlineStr">
        <is>
          <t>REGION</t>
        </is>
      </c>
      <c r="D25" s="305" t="inlineStr">
        <is>
          <t>CHAVEZ AREVALO FLORES MILA</t>
        </is>
      </c>
      <c r="E25" s="241" t="inlineStr">
        <is>
          <t>DNI</t>
        </is>
      </c>
      <c r="F25" s="241" t="inlineStr">
        <is>
          <t>72686690</t>
        </is>
      </c>
      <c r="G25" s="336" t="n">
        <v>46041</v>
      </c>
      <c r="H25" s="241" t="inlineStr">
        <is>
          <t>4903</t>
        </is>
      </c>
      <c r="I25" s="332">
        <f>IFERROR(VLOOKUP(TEXT(H25,"0"),IPRESS!$A$3:$B$212,2,0),"")</f>
        <v/>
      </c>
      <c r="J25" s="241" t="inlineStr">
        <is>
          <t>4838</t>
        </is>
      </c>
      <c r="K25" s="332" t="inlineStr">
        <is>
          <t>PETROLEO</t>
        </is>
      </c>
      <c r="L25" s="239" t="n">
        <v>18.18</v>
      </c>
      <c r="M25" s="239" t="n">
        <v>5</v>
      </c>
      <c r="N25" s="333">
        <f>IFERROR(IF(L25*M25=0,"",L25*M25),"")</f>
        <v/>
      </c>
      <c r="O25" s="241" t="inlineStr">
        <is>
          <t>33816046</t>
        </is>
      </c>
      <c r="P25" s="332">
        <f>IFERROR(VLOOKUP(TEXT(O25,"0"),CONDUCTORES!$A$3:$G$100,2,0),"")</f>
        <v/>
      </c>
      <c r="Q25" s="332">
        <f>IFERROR(VLOOKUP(TEXT(O25,"0"),CONDUCTORES!$A$3:$H$100,6,0),"")</f>
        <v/>
      </c>
      <c r="R25" s="280" t="n"/>
      <c r="S25" s="305" t="inlineStr">
        <is>
          <t>R100,R359</t>
        </is>
      </c>
      <c r="T25" s="241" t="inlineStr">
        <is>
          <t>APROBADO</t>
        </is>
      </c>
      <c r="U25" s="280" t="n"/>
      <c r="V25" s="305" t="n"/>
      <c r="W25" s="241" t="n"/>
      <c r="X25" s="241" t="n"/>
      <c r="Y25" s="280" t="n"/>
      <c r="Z25" s="350">
        <f>IF(AND(R25&lt;&gt;"",V25&lt;&gt;"",W25&lt;&gt;"",X25&lt;&gt;""),"ENTREGADO","POR RECOGER")</f>
        <v/>
      </c>
      <c r="AA25" s="198" t="n"/>
      <c r="AB25" s="198" t="n"/>
      <c r="AC25" s="198" t="n"/>
    </row>
    <row r="26" hidden="1" ht="15.75" customHeight="1" s="195">
      <c r="A26" s="301" t="n">
        <v>21</v>
      </c>
      <c r="B26" s="302" t="inlineStr">
        <is>
          <t>0000298</t>
        </is>
      </c>
      <c r="C26" s="301" t="inlineStr">
        <is>
          <t>REGION</t>
        </is>
      </c>
      <c r="D26" s="302" t="inlineStr">
        <is>
          <t>SANCHEZ REVILLA JHOSELI MANUELITA</t>
        </is>
      </c>
      <c r="E26" s="301" t="inlineStr">
        <is>
          <t>DNI</t>
        </is>
      </c>
      <c r="F26" s="301" t="inlineStr">
        <is>
          <t>60035393</t>
        </is>
      </c>
      <c r="G26" s="331" t="n">
        <v>46041</v>
      </c>
      <c r="H26" s="301" t="inlineStr">
        <is>
          <t>4950</t>
        </is>
      </c>
      <c r="I26" s="332">
        <f>IFERROR(VLOOKUP(TEXT(H26,"0"),IPRESS!$A$3:$B$212,2,0),"")</f>
        <v/>
      </c>
      <c r="J26" s="301" t="inlineStr">
        <is>
          <t>4838</t>
        </is>
      </c>
      <c r="K26" s="332" t="inlineStr">
        <is>
          <t>PETROLEO</t>
        </is>
      </c>
      <c r="L26" s="245" t="n">
        <v>20.25</v>
      </c>
      <c r="M26" s="245" t="n">
        <v>7</v>
      </c>
      <c r="N26" s="333">
        <f>IFERROR(IF(L26*M26=0,"",L26*M26),"")</f>
        <v/>
      </c>
      <c r="O26" s="301" t="inlineStr">
        <is>
          <t>9990954</t>
        </is>
      </c>
      <c r="P26" s="332">
        <f>IFERROR(VLOOKUP(TEXT(O26,"0"),CONDUCTORES!$A$3:$G$100,2,0),"")</f>
        <v/>
      </c>
      <c r="Q26" s="332">
        <f>IFERROR(VLOOKUP(TEXT(O26,"0"),CONDUCTORES!$A$3:$H$100,6,0),"")</f>
        <v/>
      </c>
      <c r="R26" s="334" t="n"/>
      <c r="S26" s="302" t="inlineStr">
        <is>
          <t>Z359,O420,O470</t>
        </is>
      </c>
      <c r="T26" s="301" t="inlineStr">
        <is>
          <t>APROBADO</t>
        </is>
      </c>
      <c r="U26" s="334" t="n"/>
      <c r="V26" s="302" t="n"/>
      <c r="W26" s="301" t="n"/>
      <c r="X26" s="301" t="n"/>
      <c r="Y26" s="280" t="n"/>
      <c r="Z26" s="350">
        <f>IF(AND(R26&lt;&gt;"",V26&lt;&gt;"",W26&lt;&gt;"",X26&lt;&gt;""),"ENTREGADO","POR RECOGER")</f>
        <v/>
      </c>
      <c r="AA26" s="198" t="n"/>
      <c r="AB26" s="198" t="n"/>
      <c r="AC26" s="198" t="n"/>
    </row>
    <row r="27" hidden="1" ht="15.75" customHeight="1" s="195">
      <c r="A27" s="241" t="n">
        <v>22</v>
      </c>
      <c r="B27" s="305" t="inlineStr">
        <is>
          <t>0000062</t>
        </is>
      </c>
      <c r="C27" s="241" t="inlineStr">
        <is>
          <t>REGION</t>
        </is>
      </c>
      <c r="D27" s="305" t="inlineStr">
        <is>
          <t>SILVA TAFUR DEICY MADAY</t>
        </is>
      </c>
      <c r="E27" s="241" t="inlineStr">
        <is>
          <t>DNI</t>
        </is>
      </c>
      <c r="F27" s="241" t="inlineStr">
        <is>
          <t>40662457</t>
        </is>
      </c>
      <c r="G27" s="336" t="n">
        <v>46042</v>
      </c>
      <c r="H27" s="241" t="inlineStr">
        <is>
          <t>4903</t>
        </is>
      </c>
      <c r="I27" s="332">
        <f>IFERROR(VLOOKUP(TEXT(H27,"0"),IPRESS!$A$3:$B$212,2,0),"")</f>
        <v/>
      </c>
      <c r="J27" s="241" t="inlineStr">
        <is>
          <t>4838</t>
        </is>
      </c>
      <c r="K27" s="332" t="inlineStr">
        <is>
          <t>PETROLEO</t>
        </is>
      </c>
      <c r="L27" s="239" t="n">
        <v>18.18</v>
      </c>
      <c r="M27" s="239" t="n">
        <v>5</v>
      </c>
      <c r="N27" s="333">
        <f>IFERROR(IF(L27*M27=0,"",L27*M27),"")</f>
        <v/>
      </c>
      <c r="O27" s="241" t="inlineStr">
        <is>
          <t>33816046</t>
        </is>
      </c>
      <c r="P27" s="332">
        <f>IFERROR(VLOOKUP(TEXT(O27,"0"),CONDUCTORES!$A$3:$G$100,2,0),"")</f>
        <v/>
      </c>
      <c r="Q27" s="332">
        <f>IFERROR(VLOOKUP(TEXT(O27,"0"),CONDUCTORES!$A$3:$H$100,6,0),"")</f>
        <v/>
      </c>
      <c r="R27" s="280" t="n"/>
      <c r="S27" s="305" t="inlineStr">
        <is>
          <t>S523</t>
        </is>
      </c>
      <c r="T27" s="241" t="inlineStr">
        <is>
          <t>APROBADO</t>
        </is>
      </c>
      <c r="U27" s="280" t="n"/>
      <c r="V27" s="305" t="n"/>
      <c r="W27" s="241" t="n"/>
      <c r="X27" s="241" t="n"/>
      <c r="Y27" s="280" t="n"/>
      <c r="Z27" s="350">
        <f>IF(AND(R27&lt;&gt;"",V27&lt;&gt;"",W27&lt;&gt;"",X27&lt;&gt;""),"ENTREGADO","POR RECOGER")</f>
        <v/>
      </c>
      <c r="AA27" s="198" t="n"/>
      <c r="AB27" s="198" t="n"/>
      <c r="AC27" s="198" t="n"/>
    </row>
    <row r="28" hidden="1" ht="15.75" customHeight="1" s="195">
      <c r="A28" s="301" t="n">
        <v>23</v>
      </c>
      <c r="B28" s="302" t="inlineStr">
        <is>
          <t>0000063</t>
        </is>
      </c>
      <c r="C28" s="301" t="inlineStr">
        <is>
          <t>REGION</t>
        </is>
      </c>
      <c r="D28" s="302" t="inlineStr">
        <is>
          <t>CRUZ CRUZ HILDA MERCEDES</t>
        </is>
      </c>
      <c r="E28" s="301" t="inlineStr">
        <is>
          <t>DNI</t>
        </is>
      </c>
      <c r="F28" s="301" t="inlineStr">
        <is>
          <t>33420344</t>
        </is>
      </c>
      <c r="G28" s="331" t="n">
        <v>46042</v>
      </c>
      <c r="H28" s="301" t="inlineStr">
        <is>
          <t>4903</t>
        </is>
      </c>
      <c r="I28" s="332">
        <f>IFERROR(VLOOKUP(TEXT(H28,"0"),IPRESS!$A$3:$B$212,2,0),"")</f>
        <v/>
      </c>
      <c r="J28" s="301" t="inlineStr">
        <is>
          <t>4838</t>
        </is>
      </c>
      <c r="K28" s="332" t="inlineStr">
        <is>
          <t>PETROLEO</t>
        </is>
      </c>
      <c r="L28" s="245" t="n">
        <v>18.18</v>
      </c>
      <c r="M28" s="245" t="n">
        <v>5</v>
      </c>
      <c r="N28" s="333">
        <f>IFERROR(IF(L28*M28=0,"",L28*M28),"")</f>
        <v/>
      </c>
      <c r="O28" s="301" t="inlineStr">
        <is>
          <t>33816046</t>
        </is>
      </c>
      <c r="P28" s="332">
        <f>IFERROR(VLOOKUP(TEXT(O28,"0"),CONDUCTORES!$A$3:$G$100,2,0),"")</f>
        <v/>
      </c>
      <c r="Q28" s="332">
        <f>IFERROR(VLOOKUP(TEXT(O28,"0"),CONDUCTORES!$A$3:$H$100,6,0),"")</f>
        <v/>
      </c>
      <c r="R28" s="334" t="n"/>
      <c r="S28" s="302" t="inlineStr">
        <is>
          <t>S528</t>
        </is>
      </c>
      <c r="T28" s="301" t="inlineStr">
        <is>
          <t>APROBADO</t>
        </is>
      </c>
      <c r="U28" s="334" t="n"/>
      <c r="V28" s="302" t="n"/>
      <c r="W28" s="301" t="n"/>
      <c r="X28" s="301" t="n"/>
      <c r="Y28" s="280" t="n"/>
      <c r="Z28" s="350">
        <f>IF(AND(R28&lt;&gt;"",V28&lt;&gt;"",W28&lt;&gt;"",X28&lt;&gt;""),"ENTREGADO","POR RECOGER")</f>
        <v/>
      </c>
      <c r="AA28" s="198" t="n"/>
      <c r="AB28" s="198" t="n"/>
      <c r="AC28" s="198" t="n"/>
    </row>
    <row r="29" hidden="1" ht="15.75" customHeight="1" s="195">
      <c r="A29" s="241" t="n">
        <v>24</v>
      </c>
      <c r="B29" s="305" t="inlineStr">
        <is>
          <t>0000300</t>
        </is>
      </c>
      <c r="C29" s="241" t="inlineStr">
        <is>
          <t>REGION</t>
        </is>
      </c>
      <c r="D29" s="305" t="inlineStr">
        <is>
          <t>MUÑOZ BUSTAMANTE MARINA MELANIA</t>
        </is>
      </c>
      <c r="E29" s="241" t="inlineStr">
        <is>
          <t>DNI</t>
        </is>
      </c>
      <c r="F29" s="241" t="inlineStr">
        <is>
          <t>47349553</t>
        </is>
      </c>
      <c r="G29" s="336" t="n">
        <v>46043</v>
      </c>
      <c r="H29" s="241" t="inlineStr">
        <is>
          <t>4950</t>
        </is>
      </c>
      <c r="I29" s="332">
        <f>IFERROR(VLOOKUP(TEXT(H29,"0"),IPRESS!$A$3:$B$212,2,0),"")</f>
        <v/>
      </c>
      <c r="J29" s="241" t="inlineStr">
        <is>
          <t>4838</t>
        </is>
      </c>
      <c r="K29" s="332" t="inlineStr">
        <is>
          <t>PETROLEO</t>
        </is>
      </c>
      <c r="L29" s="239" t="n">
        <v>20.25</v>
      </c>
      <c r="M29" s="239" t="n">
        <v>7</v>
      </c>
      <c r="N29" s="333">
        <f>IFERROR(IF(L29*M29=0,"",L29*M29),"")</f>
        <v/>
      </c>
      <c r="O29" s="241" t="inlineStr">
        <is>
          <t>9990954</t>
        </is>
      </c>
      <c r="P29" s="332">
        <f>IFERROR(VLOOKUP(TEXT(O29,"0"),CONDUCTORES!$A$3:$G$100,2,0),"")</f>
        <v/>
      </c>
      <c r="Q29" s="332">
        <f>IFERROR(VLOOKUP(TEXT(O29,"0"),CONDUCTORES!$A$3:$H$100,6,0),"")</f>
        <v/>
      </c>
      <c r="R29" s="280" t="n"/>
      <c r="S29" s="305" t="inlineStr">
        <is>
          <t>O469,O459,O470</t>
        </is>
      </c>
      <c r="T29" s="241" t="inlineStr">
        <is>
          <t>APROBADO</t>
        </is>
      </c>
      <c r="U29" s="280" t="n"/>
      <c r="V29" s="305" t="n"/>
      <c r="W29" s="241" t="n"/>
      <c r="X29" s="241" t="n"/>
      <c r="Y29" s="280" t="n"/>
      <c r="Z29" s="350">
        <f>IF(AND(R29&lt;&gt;"",V29&lt;&gt;"",W29&lt;&gt;"",X29&lt;&gt;""),"ENTREGADO","POR RECOGER")</f>
        <v/>
      </c>
      <c r="AA29" s="198" t="n"/>
      <c r="AB29" s="198" t="n"/>
      <c r="AC29" s="198" t="n"/>
    </row>
    <row r="30" hidden="1" ht="15.75" customHeight="1" s="195">
      <c r="A30" s="301" t="n">
        <v>25</v>
      </c>
      <c r="B30" s="302" t="inlineStr">
        <is>
          <t>0000301</t>
        </is>
      </c>
      <c r="C30" s="301" t="inlineStr">
        <is>
          <t>REGION</t>
        </is>
      </c>
      <c r="D30" s="302" t="inlineStr">
        <is>
          <t>GOMEZ AQUINO CIELO IRAHY</t>
        </is>
      </c>
      <c r="E30" s="301" t="inlineStr">
        <is>
          <t>DNI</t>
        </is>
      </c>
      <c r="F30" s="301" t="inlineStr">
        <is>
          <t>90953258</t>
        </is>
      </c>
      <c r="G30" s="331" t="n">
        <v>46043</v>
      </c>
      <c r="H30" s="301" t="inlineStr">
        <is>
          <t>4950</t>
        </is>
      </c>
      <c r="I30" s="332">
        <f>IFERROR(VLOOKUP(TEXT(H30,"0"),IPRESS!$A$3:$B$212,2,0),"")</f>
        <v/>
      </c>
      <c r="J30" s="301" t="inlineStr">
        <is>
          <t>4838</t>
        </is>
      </c>
      <c r="K30" s="332" t="inlineStr">
        <is>
          <t>PETROLEO</t>
        </is>
      </c>
      <c r="L30" s="245" t="n">
        <v>20.25</v>
      </c>
      <c r="M30" s="245" t="n">
        <v>6.55</v>
      </c>
      <c r="N30" s="333">
        <f>IFERROR(IF(L30*M30=0,"",L30*M30),"")</f>
        <v/>
      </c>
      <c r="O30" s="301" t="inlineStr">
        <is>
          <t>33402316</t>
        </is>
      </c>
      <c r="P30" s="332">
        <f>IFERROR(VLOOKUP(TEXT(O30,"0"),CONDUCTORES!$A$3:$G$100,2,0),"")</f>
        <v/>
      </c>
      <c r="Q30" s="332">
        <f>IFERROR(VLOOKUP(TEXT(O30,"0"),CONDUCTORES!$A$3:$H$100,6,0),"")</f>
        <v/>
      </c>
      <c r="R30" s="334" t="n"/>
      <c r="S30" s="302" t="inlineStr">
        <is>
          <t>G402,J159,R509</t>
        </is>
      </c>
      <c r="T30" s="301" t="inlineStr">
        <is>
          <t>APROBADO</t>
        </is>
      </c>
      <c r="U30" s="334" t="n"/>
      <c r="V30" s="302" t="n"/>
      <c r="W30" s="301" t="n"/>
      <c r="X30" s="301" t="n"/>
      <c r="Y30" s="280" t="n"/>
      <c r="Z30" s="350">
        <f>IF(AND(R30&lt;&gt;"",V30&lt;&gt;"",W30&lt;&gt;"",X30&lt;&gt;""),"ENTREGADO","POR RECOGER")</f>
        <v/>
      </c>
      <c r="AA30" s="198" t="n"/>
      <c r="AB30" s="198" t="n"/>
      <c r="AC30" s="198" t="n"/>
    </row>
    <row r="31" hidden="1" ht="15.75" customHeight="1" s="195">
      <c r="A31" s="241" t="n">
        <v>26</v>
      </c>
      <c r="B31" s="305" t="inlineStr">
        <is>
          <t>0000030</t>
        </is>
      </c>
      <c r="C31" s="241" t="inlineStr">
        <is>
          <t>REGION</t>
        </is>
      </c>
      <c r="D31" s="305" t="inlineStr">
        <is>
          <t>ROJAS SANCHEZ TEODOLIO</t>
        </is>
      </c>
      <c r="E31" s="241" t="inlineStr">
        <is>
          <t>DNI</t>
        </is>
      </c>
      <c r="F31" s="241" t="inlineStr">
        <is>
          <t>33415767</t>
        </is>
      </c>
      <c r="G31" s="336" t="n">
        <v>46025</v>
      </c>
      <c r="H31" s="241" t="inlineStr">
        <is>
          <t>4905</t>
        </is>
      </c>
      <c r="I31" s="332">
        <f>IFERROR(VLOOKUP(TEXT(H31,"0"),IPRESS!$A$3:$B$212,2,0),"")</f>
        <v/>
      </c>
      <c r="J31" s="241" t="inlineStr">
        <is>
          <t>4838</t>
        </is>
      </c>
      <c r="K31" s="332" t="inlineStr">
        <is>
          <t>PETROLEO</t>
        </is>
      </c>
      <c r="L31" s="239" t="n">
        <v>18.18</v>
      </c>
      <c r="M31" s="239" t="n">
        <v>7</v>
      </c>
      <c r="N31" s="333">
        <f>IFERROR(IF(L31*M31=0,"",L31*M31),"")</f>
        <v/>
      </c>
      <c r="O31" s="241" t="inlineStr">
        <is>
          <t>44894499</t>
        </is>
      </c>
      <c r="P31" s="332">
        <f>IFERROR(VLOOKUP(TEXT(O31,"0"),CONDUCTORES!$A$3:$G$100,2,0),"")</f>
        <v/>
      </c>
      <c r="Q31" s="332">
        <f>IFERROR(VLOOKUP(TEXT(O31,"0"),CONDUCTORES!$A$3:$H$100,6,0),"")</f>
        <v/>
      </c>
      <c r="R31" s="280" t="n"/>
      <c r="S31" s="305" t="inlineStr">
        <is>
          <t>J80X,J441,J180</t>
        </is>
      </c>
      <c r="T31" s="241" t="inlineStr">
        <is>
          <t>APROBADO</t>
        </is>
      </c>
      <c r="U31" s="280" t="n"/>
      <c r="V31" s="305" t="n"/>
      <c r="W31" s="241" t="n"/>
      <c r="X31" s="241" t="n"/>
      <c r="Y31" s="280" t="n"/>
      <c r="Z31" s="350">
        <f>IF(AND(R31&lt;&gt;"",V31&lt;&gt;"",W31&lt;&gt;"",X31&lt;&gt;""),"ENTREGADO","POR RECOGER")</f>
        <v/>
      </c>
      <c r="AA31" s="198" t="n"/>
      <c r="AB31" s="198" t="n"/>
      <c r="AC31" s="198" t="n"/>
    </row>
    <row r="32" hidden="1" ht="15.75" customHeight="1" s="195">
      <c r="A32" s="301" t="n">
        <v>27</v>
      </c>
      <c r="B32" s="302" t="inlineStr">
        <is>
          <t>0000031</t>
        </is>
      </c>
      <c r="C32" s="301" t="inlineStr">
        <is>
          <t>REGION</t>
        </is>
      </c>
      <c r="D32" s="302" t="inlineStr">
        <is>
          <t>HUAMAN HUAMAN MARLENI</t>
        </is>
      </c>
      <c r="E32" s="301" t="inlineStr">
        <is>
          <t>DNI</t>
        </is>
      </c>
      <c r="F32" s="301" t="inlineStr">
        <is>
          <t>43609007</t>
        </is>
      </c>
      <c r="G32" s="331" t="n">
        <v>46041</v>
      </c>
      <c r="H32" s="301" t="inlineStr">
        <is>
          <t>4905</t>
        </is>
      </c>
      <c r="I32" s="332">
        <f>IFERROR(VLOOKUP(TEXT(H32,"0"),IPRESS!$A$3:$B$212,2,0),"")</f>
        <v/>
      </c>
      <c r="J32" s="301" t="inlineStr">
        <is>
          <t>4838</t>
        </is>
      </c>
      <c r="K32" s="332" t="inlineStr">
        <is>
          <t>PETROLEO</t>
        </is>
      </c>
      <c r="L32" s="245" t="n">
        <v>18.18</v>
      </c>
      <c r="M32" s="245" t="n">
        <v>7</v>
      </c>
      <c r="N32" s="333">
        <f>IFERROR(IF(L32*M32=0,"",L32*M32),"")</f>
        <v/>
      </c>
      <c r="O32" s="301" t="inlineStr">
        <is>
          <t>44894499</t>
        </is>
      </c>
      <c r="P32" s="332">
        <f>IFERROR(VLOOKUP(TEXT(O32,"0"),CONDUCTORES!$A$3:$G$100,2,0),"")</f>
        <v/>
      </c>
      <c r="Q32" s="332">
        <f>IFERROR(VLOOKUP(TEXT(O32,"0"),CONDUCTORES!$A$3:$H$100,6,0),"")</f>
        <v/>
      </c>
      <c r="R32" s="334" t="n"/>
      <c r="S32" s="302" t="inlineStr">
        <is>
          <t>E86X,R100,K803</t>
        </is>
      </c>
      <c r="T32" s="301" t="inlineStr">
        <is>
          <t>APROBADO</t>
        </is>
      </c>
      <c r="U32" s="334" t="n"/>
      <c r="V32" s="302" t="n"/>
      <c r="W32" s="301" t="n"/>
      <c r="X32" s="301" t="n"/>
      <c r="Y32" s="280" t="n"/>
      <c r="Z32" s="350">
        <f>IF(AND(R32&lt;&gt;"",V32&lt;&gt;"",W32&lt;&gt;"",X32&lt;&gt;""),"ENTREGADO","POR RECOGER")</f>
        <v/>
      </c>
      <c r="AA32" s="198" t="n"/>
      <c r="AB32" s="198" t="n"/>
      <c r="AC32" s="198" t="n"/>
    </row>
    <row r="33" hidden="1" ht="15.75" customHeight="1" s="195">
      <c r="A33" s="241" t="n">
        <v>28</v>
      </c>
      <c r="B33" s="305" t="inlineStr">
        <is>
          <t>0000013</t>
        </is>
      </c>
      <c r="C33" s="241" t="inlineStr">
        <is>
          <t>REGION</t>
        </is>
      </c>
      <c r="D33" s="305" t="inlineStr">
        <is>
          <t>ZAGACETA RAMOS NICOLAS MARTIN</t>
        </is>
      </c>
      <c r="E33" s="241" t="inlineStr">
        <is>
          <t>DNI</t>
        </is>
      </c>
      <c r="F33" s="241" t="inlineStr">
        <is>
          <t>80812524</t>
        </is>
      </c>
      <c r="G33" s="336" t="n">
        <v>45683</v>
      </c>
      <c r="H33" s="241" t="inlineStr">
        <is>
          <t>4899</t>
        </is>
      </c>
      <c r="I33" s="332">
        <f>IFERROR(VLOOKUP(TEXT(H33,"0"),IPRESS!$A$3:$B$212,2,0),"")</f>
        <v/>
      </c>
      <c r="J33" s="241" t="inlineStr">
        <is>
          <t>4838</t>
        </is>
      </c>
      <c r="K33" s="332" t="inlineStr">
        <is>
          <t>PETROLEO</t>
        </is>
      </c>
      <c r="L33" s="239" t="n">
        <v>18.18</v>
      </c>
      <c r="M33" s="239" t="n">
        <v>12</v>
      </c>
      <c r="N33" s="333">
        <f>IFERROR(IF(L33*M33=0,"",L33*M33),"")</f>
        <v/>
      </c>
      <c r="O33" s="241" t="inlineStr">
        <is>
          <t>47438258</t>
        </is>
      </c>
      <c r="P33" s="332">
        <f>IFERROR(VLOOKUP(TEXT(O33,"0"),CONDUCTORES!$A$3:$G$100,2,0),"")</f>
        <v/>
      </c>
      <c r="Q33" s="332">
        <f>IFERROR(VLOOKUP(TEXT(O33,"0"),CONDUCTORES!$A$3:$H$100,6,0),"")</f>
        <v/>
      </c>
      <c r="R33" s="280" t="n"/>
      <c r="S33" s="305" t="inlineStr">
        <is>
          <t>S099</t>
        </is>
      </c>
      <c r="T33" s="241" t="inlineStr">
        <is>
          <t>APROBADO</t>
        </is>
      </c>
      <c r="U33" s="280" t="n"/>
      <c r="V33" s="305" t="n"/>
      <c r="W33" s="241" t="n"/>
      <c r="X33" s="241" t="n"/>
      <c r="Y33" s="280" t="n"/>
      <c r="Z33" s="350">
        <f>IF(AND(R33&lt;&gt;"",V33&lt;&gt;"",W33&lt;&gt;"",X33&lt;&gt;""),"ENTREGADO","POR RECOGER")</f>
        <v/>
      </c>
      <c r="AA33" s="198" t="n"/>
      <c r="AB33" s="198" t="n"/>
      <c r="AC33" s="198" t="n"/>
    </row>
    <row r="34" ht="15.75" customHeight="1" s="195">
      <c r="A34" s="337" t="n">
        <v>29</v>
      </c>
      <c r="B34" s="338" t="inlineStr">
        <is>
          <t>0000017</t>
        </is>
      </c>
      <c r="C34" s="337" t="inlineStr">
        <is>
          <t>REGION</t>
        </is>
      </c>
      <c r="D34" s="338" t="inlineStr">
        <is>
          <t>MAS MONTOYA ROSA VICTORIA</t>
        </is>
      </c>
      <c r="E34" s="337" t="inlineStr">
        <is>
          <t>DNI</t>
        </is>
      </c>
      <c r="F34" s="337" t="inlineStr">
        <is>
          <t>33423243</t>
        </is>
      </c>
      <c r="G34" s="339" t="n">
        <v>46025</v>
      </c>
      <c r="H34" s="337" t="inlineStr">
        <is>
          <t>4869</t>
        </is>
      </c>
      <c r="I34" s="332">
        <f>IFERROR(VLOOKUP(TEXT(H34,"0"),IPRESS!$A$3:$B$212,2,0),"")</f>
        <v/>
      </c>
      <c r="J34" s="337" t="inlineStr">
        <is>
          <t>4838</t>
        </is>
      </c>
      <c r="K34" s="357" t="inlineStr">
        <is>
          <t>GASOLINA</t>
        </is>
      </c>
      <c r="L34" s="340" t="n">
        <v>17.95</v>
      </c>
      <c r="M34" s="340" t="n">
        <v>8</v>
      </c>
      <c r="N34" s="333">
        <f>IFERROR(IF(L34*M34=0,"",L34*M34),"")</f>
        <v/>
      </c>
      <c r="O34" s="337" t="inlineStr">
        <is>
          <t>33428213</t>
        </is>
      </c>
      <c r="P34" s="332">
        <f>IFERROR(VLOOKUP(TEXT(O34,"0"),CONDUCTORES!$A$3:$G$100,2,0),"")</f>
        <v/>
      </c>
      <c r="Q34" s="332">
        <f>IFERROR(VLOOKUP(TEXT(O34,"0"),CONDUCTORES!$A$3:$H$100,6,0),"")</f>
        <v/>
      </c>
      <c r="R34" s="341" t="n"/>
      <c r="S34" s="338" t="inlineStr">
        <is>
          <t>J960,R739,S018</t>
        </is>
      </c>
      <c r="T34" s="337" t="inlineStr">
        <is>
          <t>APROBADO</t>
        </is>
      </c>
      <c r="U34" s="341" t="n"/>
      <c r="V34" s="338" t="n"/>
      <c r="W34" s="337" t="n"/>
      <c r="X34" s="337" t="n"/>
      <c r="Y34" s="280" t="n"/>
      <c r="Z34" s="350">
        <f>IF(AND(R34&lt;&gt;"",V34&lt;&gt;"",W34&lt;&gt;"",X34&lt;&gt;""),"ENTREGADO","POR RECOGER")</f>
        <v/>
      </c>
      <c r="AA34" s="198" t="n"/>
      <c r="AB34" s="198" t="n"/>
      <c r="AC34" s="198" t="n"/>
    </row>
    <row r="35" ht="15.75" customHeight="1" s="195">
      <c r="A35" s="337" t="n">
        <v>30</v>
      </c>
      <c r="B35" s="338" t="inlineStr">
        <is>
          <t>0000018</t>
        </is>
      </c>
      <c r="C35" s="337" t="inlineStr">
        <is>
          <t>REGION</t>
        </is>
      </c>
      <c r="D35" s="338" t="inlineStr">
        <is>
          <t>CANLLA GEBOL CELIDONIA</t>
        </is>
      </c>
      <c r="E35" s="337" t="inlineStr">
        <is>
          <t>DNI</t>
        </is>
      </c>
      <c r="F35" s="337" t="inlineStr">
        <is>
          <t>48797632</t>
        </is>
      </c>
      <c r="G35" s="339" t="n">
        <v>46029</v>
      </c>
      <c r="H35" s="337" t="inlineStr">
        <is>
          <t>4869</t>
        </is>
      </c>
      <c r="I35" s="332">
        <f>IFERROR(VLOOKUP(TEXT(H35,"0"),IPRESS!$A$3:$B$212,2,0),"")</f>
        <v/>
      </c>
      <c r="J35" s="337" t="inlineStr">
        <is>
          <t>4838</t>
        </is>
      </c>
      <c r="K35" s="357" t="inlineStr">
        <is>
          <t>GASOLINA</t>
        </is>
      </c>
      <c r="L35" s="340" t="n">
        <v>17.95</v>
      </c>
      <c r="M35" s="340" t="n">
        <v>8</v>
      </c>
      <c r="N35" s="333">
        <f>IFERROR(IF(L35*M35=0,"",L35*M35),"")</f>
        <v/>
      </c>
      <c r="O35" s="337" t="inlineStr">
        <is>
          <t>33428213</t>
        </is>
      </c>
      <c r="P35" s="332">
        <f>IFERROR(VLOOKUP(TEXT(O35,"0"),CONDUCTORES!$A$3:$G$100,2,0),"")</f>
        <v/>
      </c>
      <c r="Q35" s="332">
        <f>IFERROR(VLOOKUP(TEXT(O35,"0"),CONDUCTORES!$A$3:$H$100,6,0),"")</f>
        <v/>
      </c>
      <c r="R35" s="341" t="n"/>
      <c r="S35" s="338" t="inlineStr">
        <is>
          <t>N950,D500,R11X</t>
        </is>
      </c>
      <c r="T35" s="337" t="inlineStr">
        <is>
          <t>APROBADO</t>
        </is>
      </c>
      <c r="U35" s="341" t="n"/>
      <c r="V35" s="338" t="n"/>
      <c r="W35" s="337" t="n"/>
      <c r="X35" s="337" t="n"/>
      <c r="Y35" s="280" t="n"/>
      <c r="Z35" s="350">
        <f>IF(AND(R35&lt;&gt;"",V35&lt;&gt;"",W35&lt;&gt;"",X35&lt;&gt;""),"ENTREGADO","POR RECOGER")</f>
        <v/>
      </c>
      <c r="AA35" s="198" t="n"/>
      <c r="AB35" s="198" t="n"/>
      <c r="AC35" s="198" t="n"/>
    </row>
    <row r="36" hidden="1" ht="15.75" customHeight="1" s="195">
      <c r="A36" s="301" t="n">
        <v>31</v>
      </c>
      <c r="B36" s="302" t="inlineStr">
        <is>
          <t>0000022</t>
        </is>
      </c>
      <c r="C36" s="301" t="inlineStr">
        <is>
          <t>REGION</t>
        </is>
      </c>
      <c r="D36" s="302" t="inlineStr">
        <is>
          <t>LOPEZ GUADALUPE NARDY FIORELA</t>
        </is>
      </c>
      <c r="E36" s="301" t="inlineStr">
        <is>
          <t>DNI</t>
        </is>
      </c>
      <c r="F36" s="301" t="inlineStr">
        <is>
          <t>79521364</t>
        </is>
      </c>
      <c r="G36" s="331" t="n">
        <v>46035</v>
      </c>
      <c r="H36" s="301" t="inlineStr">
        <is>
          <t>4843</t>
        </is>
      </c>
      <c r="I36" s="332">
        <f>IFERROR(VLOOKUP(TEXT(H36,"0"),IPRESS!$A$3:$B$212,2,0),"")</f>
        <v/>
      </c>
      <c r="J36" s="301" t="inlineStr">
        <is>
          <t>4838</t>
        </is>
      </c>
      <c r="K36" s="332" t="inlineStr">
        <is>
          <t>PETROLEO</t>
        </is>
      </c>
      <c r="L36" s="245" t="n">
        <v>18.18</v>
      </c>
      <c r="M36" s="245" t="n">
        <v>20</v>
      </c>
      <c r="N36" s="333">
        <f>IFERROR(IF(L36*M36=0,"",L36*M36),"")</f>
        <v/>
      </c>
      <c r="O36" s="301" t="inlineStr">
        <is>
          <t>73602628</t>
        </is>
      </c>
      <c r="P36" s="332">
        <f>IFERROR(VLOOKUP(TEXT(O36,"0"),CONDUCTORES!$A$3:$G$100,2,0),"")</f>
        <v/>
      </c>
      <c r="Q36" s="332">
        <f>IFERROR(VLOOKUP(TEXT(O36,"0"),CONDUCTORES!$A$3:$H$100,6,0),"")</f>
        <v/>
      </c>
      <c r="R36" s="334" t="n"/>
      <c r="S36" s="302" t="inlineStr">
        <is>
          <t>D610</t>
        </is>
      </c>
      <c r="T36" s="301" t="inlineStr">
        <is>
          <t>APROBADO</t>
        </is>
      </c>
      <c r="U36" s="334" t="n"/>
      <c r="V36" s="302" t="n"/>
      <c r="W36" s="301" t="n"/>
      <c r="X36" s="301" t="n"/>
      <c r="Y36" s="280" t="n"/>
      <c r="Z36" s="350">
        <f>IF(AND(R36&lt;&gt;"",V36&lt;&gt;"",W36&lt;&gt;"",X36&lt;&gt;""),"ENTREGADO","POR RECOGER")</f>
        <v/>
      </c>
      <c r="AA36" s="198" t="n"/>
      <c r="AB36" s="198" t="n"/>
      <c r="AC36" s="198" t="n"/>
    </row>
    <row r="37" ht="15.75" customHeight="1" s="195">
      <c r="A37" s="337" t="n">
        <v>32</v>
      </c>
      <c r="B37" s="338" t="inlineStr">
        <is>
          <t>0000019</t>
        </is>
      </c>
      <c r="C37" s="337" t="inlineStr">
        <is>
          <t>REGION</t>
        </is>
      </c>
      <c r="D37" s="338" t="inlineStr">
        <is>
          <t>ROJAS VARGAS MARIA CARMEN</t>
        </is>
      </c>
      <c r="E37" s="337" t="inlineStr">
        <is>
          <t>DNI</t>
        </is>
      </c>
      <c r="F37" s="337" t="inlineStr">
        <is>
          <t>47181498</t>
        </is>
      </c>
      <c r="G37" s="339" t="n">
        <v>46041</v>
      </c>
      <c r="H37" s="337" t="inlineStr">
        <is>
          <t>4869</t>
        </is>
      </c>
      <c r="I37" s="332">
        <f>IFERROR(VLOOKUP(TEXT(H37,"0"),IPRESS!$A$3:$B$212,2,0),"")</f>
        <v/>
      </c>
      <c r="J37" s="337" t="inlineStr">
        <is>
          <t>4838</t>
        </is>
      </c>
      <c r="K37" s="357" t="inlineStr">
        <is>
          <t>GASOLINA</t>
        </is>
      </c>
      <c r="L37" s="340" t="n">
        <v>17.95</v>
      </c>
      <c r="M37" s="340" t="n">
        <v>8</v>
      </c>
      <c r="N37" s="333">
        <f>IFERROR(IF(L37*M37=0,"",L37*M37),"")</f>
        <v/>
      </c>
      <c r="O37" s="337" t="inlineStr">
        <is>
          <t>33428213</t>
        </is>
      </c>
      <c r="P37" s="332">
        <f>IFERROR(VLOOKUP(TEXT(O37,"0"),CONDUCTORES!$A$3:$G$100,2,0),"")</f>
        <v/>
      </c>
      <c r="Q37" s="332">
        <f>IFERROR(VLOOKUP(TEXT(O37,"0"),CONDUCTORES!$A$3:$H$100,6,0),"")</f>
        <v/>
      </c>
      <c r="R37" s="341" t="n"/>
      <c r="S37" s="338" t="inlineStr">
        <is>
          <t>K37X</t>
        </is>
      </c>
      <c r="T37" s="337" t="inlineStr">
        <is>
          <t>APROBADO</t>
        </is>
      </c>
      <c r="U37" s="341" t="n"/>
      <c r="V37" s="338" t="n"/>
      <c r="W37" s="337" t="n"/>
      <c r="X37" s="337" t="n"/>
      <c r="Y37" s="280" t="n"/>
      <c r="Z37" s="350">
        <f>IF(AND(R37&lt;&gt;"",V37&lt;&gt;"",W37&lt;&gt;"",X37&lt;&gt;""),"ENTREGADO","POR RECOGER")</f>
        <v/>
      </c>
      <c r="AA37" s="198" t="n"/>
      <c r="AB37" s="198" t="n"/>
      <c r="AC37" s="198" t="n"/>
    </row>
    <row r="38" hidden="1" ht="15.75" customHeight="1" s="195">
      <c r="A38" s="351" t="n">
        <v>33</v>
      </c>
      <c r="B38" s="352" t="inlineStr">
        <is>
          <t>0000008</t>
        </is>
      </c>
      <c r="C38" s="351" t="inlineStr">
        <is>
          <t>REGION</t>
        </is>
      </c>
      <c r="D38" s="352" t="inlineStr">
        <is>
          <t>IZQUERDO CORDOVA LUZ MERY</t>
        </is>
      </c>
      <c r="E38" s="351" t="inlineStr">
        <is>
          <t>DNI</t>
        </is>
      </c>
      <c r="F38" s="351" t="inlineStr">
        <is>
          <t>46555340</t>
        </is>
      </c>
      <c r="G38" s="353" t="n">
        <v>46042</v>
      </c>
      <c r="H38" s="351" t="inlineStr">
        <is>
          <t>7060</t>
        </is>
      </c>
      <c r="I38" s="332">
        <f>IFERROR(VLOOKUP(TEXT(H38,"0"),IPRESS!$A$3:$B$212,2,0),"")</f>
        <v/>
      </c>
      <c r="J38" s="351" t="inlineStr">
        <is>
          <t>4838</t>
        </is>
      </c>
      <c r="K38" s="332" t="inlineStr">
        <is>
          <t>PETROLEO</t>
        </is>
      </c>
      <c r="L38" s="354" t="n">
        <v>18.18</v>
      </c>
      <c r="M38" s="354" t="n">
        <v>20</v>
      </c>
      <c r="N38" s="333">
        <f>IFERROR(IF(L38*M38=0,"",L38*M38),"")</f>
        <v/>
      </c>
      <c r="O38" s="351" t="inlineStr">
        <is>
          <t>73602628</t>
        </is>
      </c>
      <c r="P38" s="332">
        <f>IFERROR(VLOOKUP(TEXT(O38,"0"),CONDUCTORES!$A$3:$G$100,2,0),"")</f>
        <v/>
      </c>
      <c r="Q38" s="332">
        <f>IFERROR(VLOOKUP(TEXT(O38,"0"),CONDUCTORES!$A$3:$H$100,6,0),"")</f>
        <v/>
      </c>
      <c r="R38" s="355" t="n"/>
      <c r="S38" s="352" t="inlineStr">
        <is>
          <t>O364</t>
        </is>
      </c>
      <c r="T38" s="351" t="inlineStr">
        <is>
          <t>APROBADO</t>
        </is>
      </c>
      <c r="U38" s="355" t="n"/>
      <c r="V38" s="352" t="n"/>
      <c r="W38" s="351" t="n"/>
      <c r="X38" s="351" t="n"/>
      <c r="Y38" s="356" t="inlineStr">
        <is>
          <t>COLLONCE</t>
        </is>
      </c>
      <c r="Z38" s="350">
        <f>IF(AND(R38&lt;&gt;"",V38&lt;&gt;"",W38&lt;&gt;"",X38&lt;&gt;""),"ENTREGADO","POR RECOGER")</f>
        <v/>
      </c>
      <c r="AA38" s="198" t="n"/>
      <c r="AB38" s="198" t="n"/>
      <c r="AC38" s="198" t="n"/>
    </row>
    <row r="39" hidden="1" ht="15.75" customHeight="1" s="195">
      <c r="A39" s="241" t="n">
        <v>34</v>
      </c>
      <c r="B39" s="305" t="inlineStr">
        <is>
          <t>0000048</t>
        </is>
      </c>
      <c r="C39" s="241" t="inlineStr">
        <is>
          <t>REGION</t>
        </is>
      </c>
      <c r="D39" s="305" t="inlineStr">
        <is>
          <t>CHAVEZ LLANOS MILAGRO JHUDITH</t>
        </is>
      </c>
      <c r="E39" s="241" t="inlineStr">
        <is>
          <t>DNI</t>
        </is>
      </c>
      <c r="F39" s="241" t="inlineStr">
        <is>
          <t>78374986</t>
        </is>
      </c>
      <c r="G39" s="336" t="n">
        <v>46024</v>
      </c>
      <c r="H39" s="241" t="inlineStr">
        <is>
          <t>4859</t>
        </is>
      </c>
      <c r="I39" s="332">
        <f>IFERROR(VLOOKUP(TEXT(H39,"0"),IPRESS!$A$3:$B$212,2,0),"")</f>
        <v/>
      </c>
      <c r="J39" s="241" t="inlineStr">
        <is>
          <t>4838</t>
        </is>
      </c>
      <c r="K39" s="332" t="inlineStr">
        <is>
          <t>PETROLEO</t>
        </is>
      </c>
      <c r="L39" s="239" t="n">
        <v>18.18</v>
      </c>
      <c r="M39" s="239" t="n">
        <v>7.5</v>
      </c>
      <c r="N39" s="333">
        <f>IFERROR(IF(L39*M39=0,"",L39*M39),"")</f>
        <v/>
      </c>
      <c r="O39" s="241" t="inlineStr">
        <is>
          <t>33400714</t>
        </is>
      </c>
      <c r="P39" s="332">
        <f>IFERROR(VLOOKUP(TEXT(O39,"0"),CONDUCTORES!$A$3:$G$100,2,0),"")</f>
        <v/>
      </c>
      <c r="Q39" s="332">
        <f>IFERROR(VLOOKUP(TEXT(O39,"0"),CONDUCTORES!$A$3:$H$100,6,0),"")</f>
        <v/>
      </c>
      <c r="R39" s="280" t="n"/>
      <c r="S39" s="305" t="inlineStr">
        <is>
          <t>O05X</t>
        </is>
      </c>
      <c r="T39" s="241" t="inlineStr">
        <is>
          <t>APROBADO</t>
        </is>
      </c>
      <c r="U39" s="280" t="n"/>
      <c r="V39" s="305" t="n"/>
      <c r="W39" s="241" t="n"/>
      <c r="X39" s="241" t="n"/>
      <c r="Y39" s="280" t="n"/>
      <c r="Z39" s="350">
        <f>IF(AND(R39&lt;&gt;"",V39&lt;&gt;"",W39&lt;&gt;"",X39&lt;&gt;""),"ENTREGADO","POR RECOGER")</f>
        <v/>
      </c>
      <c r="AA39" s="198" t="n"/>
      <c r="AB39" s="198" t="n"/>
      <c r="AC39" s="198" t="n"/>
    </row>
    <row r="40" hidden="1" ht="15.75" customHeight="1" s="195">
      <c r="A40" s="301" t="n">
        <v>35</v>
      </c>
      <c r="B40" s="302" t="inlineStr">
        <is>
          <t>0000049</t>
        </is>
      </c>
      <c r="C40" s="301" t="inlineStr">
        <is>
          <t>REGION</t>
        </is>
      </c>
      <c r="D40" s="302" t="inlineStr">
        <is>
          <t>ROJAS SILVA JOSE ALVINO</t>
        </is>
      </c>
      <c r="E40" s="301" t="inlineStr">
        <is>
          <t>DNI</t>
        </is>
      </c>
      <c r="F40" s="301" t="inlineStr">
        <is>
          <t>33417523</t>
        </is>
      </c>
      <c r="G40" s="331" t="n">
        <v>46031</v>
      </c>
      <c r="H40" s="301" t="inlineStr">
        <is>
          <t>4859</t>
        </is>
      </c>
      <c r="I40" s="332">
        <f>IFERROR(VLOOKUP(TEXT(H40,"0"),IPRESS!$A$3:$B$212,2,0),"")</f>
        <v/>
      </c>
      <c r="J40" s="301" t="inlineStr">
        <is>
          <t>4838</t>
        </is>
      </c>
      <c r="K40" s="332" t="inlineStr">
        <is>
          <t>PETROLEO</t>
        </is>
      </c>
      <c r="L40" s="245" t="n">
        <v>18.18</v>
      </c>
      <c r="M40" s="245" t="n">
        <v>6</v>
      </c>
      <c r="N40" s="333">
        <f>IFERROR(IF(L40*M40=0,"",L40*M40),"")</f>
        <v/>
      </c>
      <c r="O40" s="301" t="inlineStr">
        <is>
          <t>33417227</t>
        </is>
      </c>
      <c r="P40" s="332">
        <f>IFERROR(VLOOKUP(TEXT(O40,"0"),CONDUCTORES!$A$3:$G$100,2,0),"")</f>
        <v/>
      </c>
      <c r="Q40" s="332">
        <f>IFERROR(VLOOKUP(TEXT(O40,"0"),CONDUCTORES!$A$3:$H$100,6,0),"")</f>
        <v/>
      </c>
      <c r="R40" s="334" t="n"/>
      <c r="S40" s="302" t="inlineStr">
        <is>
          <t>J90X,J969</t>
        </is>
      </c>
      <c r="T40" s="301" t="inlineStr">
        <is>
          <t>APROBADO</t>
        </is>
      </c>
      <c r="U40" s="334" t="n"/>
      <c r="V40" s="302" t="n"/>
      <c r="W40" s="301" t="n"/>
      <c r="X40" s="301" t="n"/>
      <c r="Y40" s="280" t="n"/>
      <c r="Z40" s="350">
        <f>IF(AND(R40&lt;&gt;"",V40&lt;&gt;"",W40&lt;&gt;"",X40&lt;&gt;""),"ENTREGADO","POR RECOGER")</f>
        <v/>
      </c>
      <c r="AA40" s="198" t="n"/>
      <c r="AB40" s="198" t="n"/>
      <c r="AC40" s="198" t="n"/>
    </row>
    <row r="41" hidden="1" ht="15.75" customHeight="1" s="195">
      <c r="A41" s="241" t="n">
        <v>36</v>
      </c>
      <c r="B41" s="305" t="inlineStr">
        <is>
          <t>0000050</t>
        </is>
      </c>
      <c r="C41" s="241" t="inlineStr">
        <is>
          <t>REGION</t>
        </is>
      </c>
      <c r="D41" s="305" t="inlineStr">
        <is>
          <t>HERAS TRAUCO MAYRITH ELIZABETH</t>
        </is>
      </c>
      <c r="E41" s="241" t="inlineStr">
        <is>
          <t>DNI</t>
        </is>
      </c>
      <c r="F41" s="241" t="inlineStr">
        <is>
          <t>75528172</t>
        </is>
      </c>
      <c r="G41" s="336" t="n">
        <v>46041</v>
      </c>
      <c r="H41" s="241" t="inlineStr">
        <is>
          <t>4859</t>
        </is>
      </c>
      <c r="I41" s="332">
        <f>IFERROR(VLOOKUP(TEXT(H41,"0"),IPRESS!$A$3:$B$212,2,0),"")</f>
        <v/>
      </c>
      <c r="J41" s="241" t="inlineStr">
        <is>
          <t>4838</t>
        </is>
      </c>
      <c r="K41" s="332" t="inlineStr">
        <is>
          <t>PETROLEO</t>
        </is>
      </c>
      <c r="L41" s="239" t="n">
        <v>18.18</v>
      </c>
      <c r="M41" s="239" t="n">
        <v>7.5</v>
      </c>
      <c r="N41" s="333">
        <f>IFERROR(IF(L41*M41=0,"",L41*M41),"")</f>
        <v/>
      </c>
      <c r="O41" s="241" t="inlineStr">
        <is>
          <t>33417227</t>
        </is>
      </c>
      <c r="P41" s="332">
        <f>IFERROR(VLOOKUP(TEXT(O41,"0"),CONDUCTORES!$A$3:$G$100,2,0),"")</f>
        <v/>
      </c>
      <c r="Q41" s="332">
        <f>IFERROR(VLOOKUP(TEXT(O41,"0"),CONDUCTORES!$A$3:$H$100,6,0),"")</f>
        <v/>
      </c>
      <c r="R41" s="280" t="n"/>
      <c r="S41" s="305" t="inlineStr">
        <is>
          <t>O05X</t>
        </is>
      </c>
      <c r="T41" s="241" t="inlineStr">
        <is>
          <t>APROBADO</t>
        </is>
      </c>
      <c r="U41" s="280" t="n"/>
      <c r="V41" s="305" t="n"/>
      <c r="W41" s="241" t="n"/>
      <c r="X41" s="241" t="n"/>
      <c r="Y41" s="280" t="n"/>
      <c r="Z41" s="350">
        <f>IF(AND(R41&lt;&gt;"",V41&lt;&gt;"",W41&lt;&gt;"",X41&lt;&gt;""),"ENTREGADO","POR RECOGER")</f>
        <v/>
      </c>
      <c r="AA41" s="198" t="n"/>
      <c r="AB41" s="198" t="n"/>
      <c r="AC41" s="198" t="n"/>
    </row>
    <row r="42" hidden="1" ht="15.75" customHeight="1" s="195">
      <c r="A42" s="301" t="n">
        <v>37</v>
      </c>
      <c r="B42" s="302" t="inlineStr">
        <is>
          <t>0000008</t>
        </is>
      </c>
      <c r="C42" s="301" t="inlineStr">
        <is>
          <t>REGION</t>
        </is>
      </c>
      <c r="D42" s="302" t="inlineStr">
        <is>
          <t>OLASCUAGA ALVA GILVER</t>
        </is>
      </c>
      <c r="E42" s="301" t="inlineStr">
        <is>
          <t>DNI</t>
        </is>
      </c>
      <c r="F42" s="301" t="inlineStr">
        <is>
          <t>33813117</t>
        </is>
      </c>
      <c r="G42" s="331" t="n">
        <v>46045</v>
      </c>
      <c r="H42" s="301" t="inlineStr">
        <is>
          <t>4844</t>
        </is>
      </c>
      <c r="I42" s="332">
        <f>IFERROR(VLOOKUP(TEXT(H42,"0"),IPRESS!$A$3:$B$212,2,0),"")</f>
        <v/>
      </c>
      <c r="J42" s="301" t="inlineStr">
        <is>
          <t>4838</t>
        </is>
      </c>
      <c r="K42" s="332" t="inlineStr">
        <is>
          <t>PETROLEO</t>
        </is>
      </c>
      <c r="L42" s="245" t="n">
        <v>18.18</v>
      </c>
      <c r="M42" s="245" t="n">
        <v>20</v>
      </c>
      <c r="N42" s="333">
        <f>IFERROR(IF(L42*M42=0,"",L42*M42),"")</f>
        <v/>
      </c>
      <c r="O42" s="301" t="inlineStr">
        <is>
          <t>73602628</t>
        </is>
      </c>
      <c r="P42" s="332">
        <f>IFERROR(VLOOKUP(TEXT(O42,"0"),CONDUCTORES!$A$3:$G$100,2,0),"")</f>
        <v/>
      </c>
      <c r="Q42" s="332">
        <f>IFERROR(VLOOKUP(TEXT(O42,"0"),CONDUCTORES!$A$3:$H$100,6,0),"")</f>
        <v/>
      </c>
      <c r="R42" s="334" t="n"/>
      <c r="S42" s="302" t="inlineStr">
        <is>
          <t>S707,S397</t>
        </is>
      </c>
      <c r="T42" s="301" t="inlineStr">
        <is>
          <t>APROBADO</t>
        </is>
      </c>
      <c r="U42" s="334" t="n"/>
      <c r="V42" s="302" t="n"/>
      <c r="W42" s="301" t="n"/>
      <c r="X42" s="301" t="n"/>
      <c r="Y42" s="280" t="inlineStr">
        <is>
          <t>COLLONCE</t>
        </is>
      </c>
      <c r="Z42" s="350">
        <f>IF(AND(R42&lt;&gt;"",V42&lt;&gt;"",W42&lt;&gt;"",X42&lt;&gt;""),"ENTREGADO","POR RECOGER")</f>
        <v/>
      </c>
      <c r="AA42" s="198" t="n"/>
      <c r="AB42" s="198" t="n"/>
      <c r="AC42" s="198" t="n"/>
    </row>
    <row r="43" hidden="1" ht="15.75" customHeight="1" s="195">
      <c r="A43" s="351" t="n">
        <v>38</v>
      </c>
      <c r="B43" s="352" t="inlineStr">
        <is>
          <t>0000009</t>
        </is>
      </c>
      <c r="C43" s="351" t="inlineStr">
        <is>
          <t>REGION</t>
        </is>
      </c>
      <c r="D43" s="352" t="inlineStr">
        <is>
          <t>LOPEZ CHAVEZ MARIA</t>
        </is>
      </c>
      <c r="E43" s="351" t="inlineStr">
        <is>
          <t>DNI</t>
        </is>
      </c>
      <c r="F43" s="351" t="inlineStr">
        <is>
          <t>46555340</t>
        </is>
      </c>
      <c r="G43" s="353" t="n">
        <v>46048</v>
      </c>
      <c r="H43" s="351" t="inlineStr">
        <is>
          <t>7060</t>
        </is>
      </c>
      <c r="I43" s="332">
        <f>IFERROR(VLOOKUP(TEXT(H43,"0"),IPRESS!$A$3:$B$212,2,0),"")</f>
        <v/>
      </c>
      <c r="J43" s="351" t="inlineStr">
        <is>
          <t>4838</t>
        </is>
      </c>
      <c r="K43" s="332" t="inlineStr">
        <is>
          <t>PETROLEO</t>
        </is>
      </c>
      <c r="L43" s="354" t="n">
        <v>18.18</v>
      </c>
      <c r="M43" s="354" t="n">
        <v>20</v>
      </c>
      <c r="N43" s="333">
        <f>IFERROR(IF(L43*M43=0,"",L43*M43),"")</f>
        <v/>
      </c>
      <c r="O43" s="351" t="inlineStr">
        <is>
          <t>73602628</t>
        </is>
      </c>
      <c r="P43" s="332">
        <f>IFERROR(VLOOKUP(TEXT(O43,"0"),CONDUCTORES!$A$3:$G$100,2,0),"")</f>
        <v/>
      </c>
      <c r="Q43" s="332">
        <f>IFERROR(VLOOKUP(TEXT(O43,"0"),CONDUCTORES!$A$3:$H$100,6,0),"")</f>
        <v/>
      </c>
      <c r="R43" s="355" t="n"/>
      <c r="S43" s="352" t="inlineStr">
        <is>
          <t>O60X</t>
        </is>
      </c>
      <c r="T43" s="351" t="inlineStr">
        <is>
          <t>APROBADO</t>
        </is>
      </c>
      <c r="U43" s="355" t="n"/>
      <c r="V43" s="352" t="n"/>
      <c r="W43" s="351" t="n"/>
      <c r="X43" s="351" t="n"/>
      <c r="Y43" s="356" t="inlineStr">
        <is>
          <t>COLLONCE</t>
        </is>
      </c>
      <c r="Z43" s="350">
        <f>IF(AND(R43&lt;&gt;"",V43&lt;&gt;"",W43&lt;&gt;"",X43&lt;&gt;""),"ENTREGADO","POR RECOGER")</f>
        <v/>
      </c>
      <c r="AA43" s="198" t="n"/>
      <c r="AB43" s="198" t="n"/>
      <c r="AC43" s="198" t="n"/>
    </row>
    <row r="44" hidden="1" ht="15.75" customHeight="1" s="195">
      <c r="A44" s="301" t="n">
        <v>40</v>
      </c>
      <c r="B44" s="302" t="inlineStr">
        <is>
          <t>0000060</t>
        </is>
      </c>
      <c r="C44" s="301" t="inlineStr">
        <is>
          <t>REGION</t>
        </is>
      </c>
      <c r="D44" s="302" t="inlineStr">
        <is>
          <t>SOPLIN CRUZ ITALA</t>
        </is>
      </c>
      <c r="E44" s="301" t="inlineStr">
        <is>
          <t>DNI</t>
        </is>
      </c>
      <c r="F44" s="301" t="inlineStr">
        <is>
          <t>46091617</t>
        </is>
      </c>
      <c r="G44" s="331" t="n">
        <v>46034</v>
      </c>
      <c r="H44" s="301" t="inlineStr">
        <is>
          <t>4903</t>
        </is>
      </c>
      <c r="I44" s="332">
        <f>IFERROR(VLOOKUP(TEXT(H44,"0"),IPRESS!$A$3:$B$212,2,0),"")</f>
        <v/>
      </c>
      <c r="J44" s="301" t="inlineStr">
        <is>
          <t>4838</t>
        </is>
      </c>
      <c r="K44" s="332" t="inlineStr">
        <is>
          <t>PETROLEO</t>
        </is>
      </c>
      <c r="L44" s="245" t="n">
        <v>18.18</v>
      </c>
      <c r="M44" s="245" t="n">
        <v>5</v>
      </c>
      <c r="N44" s="333">
        <f>IFERROR(IF(L44*M44=0,"",L44*M44),"")</f>
        <v/>
      </c>
      <c r="O44" s="301" t="inlineStr">
        <is>
          <t>33816046</t>
        </is>
      </c>
      <c r="P44" s="332">
        <f>IFERROR(VLOOKUP(TEXT(O44,"0"),CONDUCTORES!$A$3:$G$100,2,0),"")</f>
        <v/>
      </c>
      <c r="Q44" s="332">
        <f>IFERROR(VLOOKUP(TEXT(O44,"0"),CONDUCTORES!$A$3:$H$100,6,0),"")</f>
        <v/>
      </c>
      <c r="R44" s="334" t="n"/>
      <c r="S44" s="302" t="inlineStr">
        <is>
          <t>S099</t>
        </is>
      </c>
      <c r="T44" s="301" t="inlineStr">
        <is>
          <t>APROBADO</t>
        </is>
      </c>
      <c r="U44" s="334" t="n"/>
      <c r="V44" s="302" t="n"/>
      <c r="W44" s="301" t="n"/>
      <c r="X44" s="301" t="n"/>
      <c r="Y44" s="280" t="n"/>
      <c r="Z44" s="350">
        <f>IF(AND(R44&lt;&gt;"",V44&lt;&gt;"",W44&lt;&gt;"",X44&lt;&gt;""),"ENTREGADO","POR RECOGER")</f>
        <v/>
      </c>
      <c r="AA44" s="198" t="n"/>
      <c r="AB44" s="198" t="n"/>
      <c r="AC44" s="198" t="n"/>
    </row>
    <row r="45" hidden="1" ht="15.75" customHeight="1" s="195">
      <c r="A45" s="241" t="n">
        <v>39</v>
      </c>
      <c r="B45" s="305" t="inlineStr">
        <is>
          <t>0000064</t>
        </is>
      </c>
      <c r="C45" s="241" t="inlineStr">
        <is>
          <t>REGION</t>
        </is>
      </c>
      <c r="D45" s="305" t="inlineStr">
        <is>
          <t>REVILLA CASTREJO ROSA</t>
        </is>
      </c>
      <c r="E45" s="241" t="inlineStr">
        <is>
          <t>DNI</t>
        </is>
      </c>
      <c r="F45" s="241" t="inlineStr">
        <is>
          <t>72926269</t>
        </is>
      </c>
      <c r="G45" s="336" t="n">
        <v>46046</v>
      </c>
      <c r="H45" s="241" t="inlineStr">
        <is>
          <t>4903</t>
        </is>
      </c>
      <c r="I45" s="332">
        <f>IFERROR(VLOOKUP(TEXT(H45,"0"),IPRESS!$A$3:$B$212,2,0),"")</f>
        <v/>
      </c>
      <c r="J45" s="241" t="inlineStr">
        <is>
          <t>4838</t>
        </is>
      </c>
      <c r="K45" s="332" t="inlineStr">
        <is>
          <t>PETROLEO</t>
        </is>
      </c>
      <c r="L45" s="239" t="n">
        <v>18.18</v>
      </c>
      <c r="M45" s="239" t="n">
        <v>5</v>
      </c>
      <c r="N45" s="333">
        <f>IFERROR(IF(L45*M45=0,"",L45*M45),"")</f>
        <v/>
      </c>
      <c r="O45" s="241" t="inlineStr">
        <is>
          <t>33816046</t>
        </is>
      </c>
      <c r="P45" s="332">
        <f>IFERROR(VLOOKUP(TEXT(O45,"0"),CONDUCTORES!$A$3:$G$100,2,0),"")</f>
        <v/>
      </c>
      <c r="Q45" s="332">
        <f>IFERROR(VLOOKUP(TEXT(O45,"0"),CONDUCTORES!$A$3:$H$100,6,0),"")</f>
        <v/>
      </c>
      <c r="R45" s="280" t="n"/>
      <c r="S45" s="305" t="inlineStr">
        <is>
          <t>O318,O429</t>
        </is>
      </c>
      <c r="T45" s="241" t="inlineStr">
        <is>
          <t>APROBADO</t>
        </is>
      </c>
      <c r="U45" s="280" t="n"/>
      <c r="V45" s="305" t="n"/>
      <c r="W45" s="241" t="n"/>
      <c r="X45" s="241" t="n"/>
      <c r="Y45" s="280" t="n"/>
      <c r="Z45" s="350">
        <f>IF(AND(R45&lt;&gt;"",V45&lt;&gt;"",W45&lt;&gt;"",X45&lt;&gt;""),"ENTREGADO","POR RECOGER")</f>
        <v/>
      </c>
      <c r="AA45" s="198" t="n"/>
      <c r="AB45" s="198" t="n"/>
      <c r="AC45" s="198" t="n"/>
    </row>
    <row r="46" hidden="1" ht="15.75" customHeight="1" s="195">
      <c r="A46" s="301" t="n">
        <v>41</v>
      </c>
      <c r="B46" s="302" t="inlineStr">
        <is>
          <t>0000068</t>
        </is>
      </c>
      <c r="C46" s="301" t="inlineStr">
        <is>
          <t>REGION</t>
        </is>
      </c>
      <c r="D46" s="302" t="inlineStr">
        <is>
          <t>SUCASACA GOMEZ MILAGROS SOFIA</t>
        </is>
      </c>
      <c r="E46" s="301" t="inlineStr">
        <is>
          <t>DNI</t>
        </is>
      </c>
      <c r="F46" s="301" t="inlineStr">
        <is>
          <t>77664061</t>
        </is>
      </c>
      <c r="G46" s="331" t="n">
        <v>46026</v>
      </c>
      <c r="H46" s="301" t="inlineStr">
        <is>
          <t>4850</t>
        </is>
      </c>
      <c r="I46" s="332">
        <f>IFERROR(VLOOKUP(TEXT(H46,"0"),IPRESS!$A$3:$B$212,2,0),"")</f>
        <v/>
      </c>
      <c r="J46" s="301" t="inlineStr">
        <is>
          <t>4838</t>
        </is>
      </c>
      <c r="K46" s="332" t="inlineStr">
        <is>
          <t>PETROLEO</t>
        </is>
      </c>
      <c r="L46" s="245" t="n">
        <v>18.18</v>
      </c>
      <c r="M46" s="245" t="n">
        <v>4</v>
      </c>
      <c r="N46" s="333">
        <f>IFERROR(IF(L46*M46=0,"",L46*M46),"")</f>
        <v/>
      </c>
      <c r="O46" s="301" t="inlineStr">
        <is>
          <t>41055990</t>
        </is>
      </c>
      <c r="P46" s="332">
        <f>IFERROR(VLOOKUP(TEXT(O46,"0"),CONDUCTORES!$A$3:$G$100,2,0),"")</f>
        <v/>
      </c>
      <c r="Q46" s="332">
        <f>IFERROR(VLOOKUP(TEXT(O46,"0"),CONDUCTORES!$A$3:$H$100,6,0),"")</f>
        <v/>
      </c>
      <c r="R46" s="334" t="n"/>
      <c r="S46" s="302" t="inlineStr">
        <is>
          <t>O324,P051</t>
        </is>
      </c>
      <c r="T46" s="301" t="inlineStr">
        <is>
          <t>APROBADO</t>
        </is>
      </c>
      <c r="U46" s="334" t="n"/>
      <c r="V46" s="302" t="n"/>
      <c r="W46" s="301" t="n"/>
      <c r="X46" s="301" t="n"/>
      <c r="Y46" s="280" t="n"/>
      <c r="Z46" s="350">
        <f>IF(AND(R46&lt;&gt;"",V46&lt;&gt;"",W46&lt;&gt;"",X46&lt;&gt;""),"ENTREGADO","POR RECOGER")</f>
        <v/>
      </c>
      <c r="AA46" s="198" t="n"/>
      <c r="AB46" s="198" t="n"/>
      <c r="AC46" s="198" t="n"/>
    </row>
    <row r="47" hidden="1" ht="15.75" customHeight="1" s="195">
      <c r="A47" s="241" t="n">
        <v>42</v>
      </c>
      <c r="B47" s="305" t="inlineStr">
        <is>
          <t>0000114</t>
        </is>
      </c>
      <c r="C47" s="241" t="inlineStr">
        <is>
          <t>REGION</t>
        </is>
      </c>
      <c r="D47" s="305" t="inlineStr">
        <is>
          <t>CULQUI LOPEZHAYA EMILIO</t>
        </is>
      </c>
      <c r="E47" s="241" t="inlineStr">
        <is>
          <t>DNI</t>
        </is>
      </c>
      <c r="F47" s="241" t="inlineStr">
        <is>
          <t>33729630</t>
        </is>
      </c>
      <c r="G47" s="336" t="n">
        <v>46024</v>
      </c>
      <c r="H47" s="241" t="inlineStr">
        <is>
          <t>4922</t>
        </is>
      </c>
      <c r="I47" s="332">
        <f>IFERROR(VLOOKUP(TEXT(H47,"0"),IPRESS!$A$3:$B$212,2,0),"")</f>
        <v/>
      </c>
      <c r="J47" s="241" t="inlineStr">
        <is>
          <t>4838</t>
        </is>
      </c>
      <c r="K47" s="332" t="inlineStr">
        <is>
          <t>PETROLEO</t>
        </is>
      </c>
      <c r="L47" s="239" t="n">
        <v>18.18</v>
      </c>
      <c r="M47" s="239" t="n">
        <v>5</v>
      </c>
      <c r="N47" s="333">
        <f>IFERROR(IF(L47*M47=0,"",L47*M47),"")</f>
        <v/>
      </c>
      <c r="O47" s="241" t="inlineStr">
        <is>
          <t>42494083</t>
        </is>
      </c>
      <c r="P47" s="332">
        <f>IFERROR(VLOOKUP(TEXT(O47,"0"),CONDUCTORES!$A$3:$G$100,2,0),"")</f>
        <v/>
      </c>
      <c r="Q47" s="332">
        <f>IFERROR(VLOOKUP(TEXT(O47,"0"),CONDUCTORES!$A$3:$H$100,6,0),"")</f>
        <v/>
      </c>
      <c r="R47" s="280" t="n"/>
      <c r="S47" s="305" t="inlineStr">
        <is>
          <t>R100,K661</t>
        </is>
      </c>
      <c r="T47" s="241" t="inlineStr">
        <is>
          <t>APROBADO</t>
        </is>
      </c>
      <c r="U47" s="280" t="n"/>
      <c r="V47" s="305" t="n"/>
      <c r="W47" s="241" t="n"/>
      <c r="X47" s="241" t="n"/>
      <c r="Y47" s="280" t="n"/>
      <c r="Z47" s="350">
        <f>IF(AND(R47&lt;&gt;"",V47&lt;&gt;"",W47&lt;&gt;"",X47&lt;&gt;""),"ENTREGADO","POR RECOGER")</f>
        <v/>
      </c>
      <c r="AA47" s="198" t="n"/>
      <c r="AB47" s="198" t="n"/>
      <c r="AC47" s="198" t="n"/>
    </row>
    <row r="48" hidden="1" ht="15.75" customHeight="1" s="195">
      <c r="A48" s="301" t="n">
        <v>43</v>
      </c>
      <c r="B48" s="302" t="inlineStr">
        <is>
          <t>0000022</t>
        </is>
      </c>
      <c r="C48" s="301" t="inlineStr">
        <is>
          <t>REGION</t>
        </is>
      </c>
      <c r="D48" s="302" t="inlineStr">
        <is>
          <t>OBLITAS SOLANO NILO</t>
        </is>
      </c>
      <c r="E48" s="301" t="inlineStr">
        <is>
          <t>DNI</t>
        </is>
      </c>
      <c r="F48" s="301" t="inlineStr">
        <is>
          <t>33784375</t>
        </is>
      </c>
      <c r="G48" s="331" t="n">
        <v>46027</v>
      </c>
      <c r="H48" s="301" t="inlineStr">
        <is>
          <t>4873</t>
        </is>
      </c>
      <c r="I48" s="332">
        <f>IFERROR(VLOOKUP(TEXT(H48,"0"),IPRESS!$A$3:$B$212,2,0),"")</f>
        <v/>
      </c>
      <c r="J48" s="301" t="inlineStr">
        <is>
          <t>4838</t>
        </is>
      </c>
      <c r="K48" s="332" t="inlineStr">
        <is>
          <t>PETROLEO</t>
        </is>
      </c>
      <c r="L48" s="245" t="n">
        <v>18.18</v>
      </c>
      <c r="M48" s="245" t="n">
        <v>20</v>
      </c>
      <c r="N48" s="333">
        <f>IFERROR(IF(L48*M48=0,"",L48*M48),"")</f>
        <v/>
      </c>
      <c r="O48" s="301" t="inlineStr">
        <is>
          <t>44333747</t>
        </is>
      </c>
      <c r="P48" s="332">
        <f>IFERROR(VLOOKUP(TEXT(O48,"0"),CONDUCTORES!$A$3:$G$100,2,0),"")</f>
        <v/>
      </c>
      <c r="Q48" s="332">
        <f>IFERROR(VLOOKUP(TEXT(O48,"0"),CONDUCTORES!$A$3:$H$100,6,0),"")</f>
        <v/>
      </c>
      <c r="R48" s="334" t="n"/>
      <c r="S48" s="302" t="inlineStr">
        <is>
          <t>K703,E161</t>
        </is>
      </c>
      <c r="T48" s="301" t="inlineStr">
        <is>
          <t>APROBADO</t>
        </is>
      </c>
      <c r="U48" s="334" t="n"/>
      <c r="V48" s="302" t="n"/>
      <c r="W48" s="301" t="n"/>
      <c r="X48" s="301" t="n"/>
      <c r="Y48" s="280" t="n"/>
      <c r="Z48" s="350">
        <f>IF(AND(R48&lt;&gt;"",V48&lt;&gt;"",W48&lt;&gt;"",X48&lt;&gt;""),"ENTREGADO","POR RECOGER")</f>
        <v/>
      </c>
      <c r="AA48" s="198" t="n"/>
      <c r="AB48" s="198" t="n"/>
      <c r="AC48" s="198" t="n"/>
    </row>
    <row r="49" hidden="1" ht="15.75" customHeight="1" s="195">
      <c r="A49" s="241" t="n">
        <v>44</v>
      </c>
      <c r="B49" s="305" t="inlineStr">
        <is>
          <t>0000115</t>
        </is>
      </c>
      <c r="C49" s="241" t="inlineStr">
        <is>
          <t>REGION</t>
        </is>
      </c>
      <c r="D49" s="305" t="inlineStr">
        <is>
          <t>GALOC CHAVEZ MAYLI LEONOR</t>
        </is>
      </c>
      <c r="E49" s="241" t="inlineStr">
        <is>
          <t>DNI</t>
        </is>
      </c>
      <c r="F49" s="241" t="inlineStr">
        <is>
          <t>60030450</t>
        </is>
      </c>
      <c r="G49" s="336" t="n">
        <v>46030</v>
      </c>
      <c r="H49" s="241" t="inlineStr">
        <is>
          <t>4922</t>
        </is>
      </c>
      <c r="I49" s="332">
        <f>IFERROR(VLOOKUP(TEXT(H49,"0"),IPRESS!$A$3:$B$212,2,0),"")</f>
        <v/>
      </c>
      <c r="J49" s="241" t="inlineStr">
        <is>
          <t>4838</t>
        </is>
      </c>
      <c r="K49" s="332" t="inlineStr">
        <is>
          <t>PETROLEO</t>
        </is>
      </c>
      <c r="L49" s="239" t="n">
        <v>18.18</v>
      </c>
      <c r="M49" s="239" t="n">
        <v>5</v>
      </c>
      <c r="N49" s="333">
        <f>IFERROR(IF(L49*M49=0,"",L49*M49),"")</f>
        <v/>
      </c>
      <c r="O49" s="241" t="inlineStr">
        <is>
          <t>42494083</t>
        </is>
      </c>
      <c r="P49" s="332">
        <f>IFERROR(VLOOKUP(TEXT(O49,"0"),CONDUCTORES!$A$3:$G$100,2,0),"")</f>
        <v/>
      </c>
      <c r="Q49" s="332">
        <f>IFERROR(VLOOKUP(TEXT(O49,"0"),CONDUCTORES!$A$3:$H$100,6,0),"")</f>
        <v/>
      </c>
      <c r="R49" s="280" t="n"/>
      <c r="S49" s="305" t="inlineStr">
        <is>
          <t>O200</t>
        </is>
      </c>
      <c r="T49" s="241" t="inlineStr">
        <is>
          <t>APROBADO</t>
        </is>
      </c>
      <c r="U49" s="280" t="n"/>
      <c r="V49" s="305" t="n"/>
      <c r="W49" s="241" t="n"/>
      <c r="X49" s="241" t="n"/>
      <c r="Y49" s="280" t="n"/>
      <c r="Z49" s="350">
        <f>IF(AND(R49&lt;&gt;"",V49&lt;&gt;"",W49&lt;&gt;"",X49&lt;&gt;""),"ENTREGADO","POR RECOGER")</f>
        <v/>
      </c>
      <c r="AA49" s="198" t="n"/>
      <c r="AB49" s="198" t="n"/>
      <c r="AC49" s="198" t="n"/>
    </row>
    <row r="50" hidden="1" ht="15.75" customHeight="1" s="195">
      <c r="A50" s="351" t="n">
        <v>45</v>
      </c>
      <c r="B50" s="352" t="inlineStr">
        <is>
          <t>0000001</t>
        </is>
      </c>
      <c r="C50" s="351" t="inlineStr">
        <is>
          <t>REGION</t>
        </is>
      </c>
      <c r="D50" s="352" t="inlineStr">
        <is>
          <t>ARANA LOPEZ MARILIZ MISHEL</t>
        </is>
      </c>
      <c r="E50" s="351" t="inlineStr">
        <is>
          <t>DNI</t>
        </is>
      </c>
      <c r="F50" s="351" t="inlineStr">
        <is>
          <t>78095143</t>
        </is>
      </c>
      <c r="G50" s="353" t="n">
        <v>46032</v>
      </c>
      <c r="H50" s="351" t="inlineStr">
        <is>
          <t>4952</t>
        </is>
      </c>
      <c r="I50" s="332">
        <f>IFERROR(VLOOKUP(TEXT(H50,"0"),IPRESS!$A$3:$B$212,2,0),"")</f>
        <v/>
      </c>
      <c r="J50" s="351" t="inlineStr">
        <is>
          <t>4950</t>
        </is>
      </c>
      <c r="K50" s="332" t="inlineStr">
        <is>
          <t>PETROLEO</t>
        </is>
      </c>
      <c r="L50" s="354" t="n">
        <v>20.25</v>
      </c>
      <c r="M50" s="354" t="n">
        <v>12</v>
      </c>
      <c r="N50" s="333">
        <f>IFERROR(IF(L50*M50=0,"",L50*M50),"")</f>
        <v/>
      </c>
      <c r="O50" s="351" t="inlineStr">
        <is>
          <t>70790222</t>
        </is>
      </c>
      <c r="P50" s="332">
        <f>IFERROR(VLOOKUP(TEXT(O50,"0"),CONDUCTORES!$A$3:$G$100,2,0),"")</f>
        <v/>
      </c>
      <c r="Q50" s="332">
        <f>IFERROR(VLOOKUP(TEXT(O50,"0"),CONDUCTORES!$A$3:$H$100,6,0),"")</f>
        <v/>
      </c>
      <c r="R50" s="355" t="n"/>
      <c r="S50" s="352" t="inlineStr">
        <is>
          <t>O034</t>
        </is>
      </c>
      <c r="T50" s="351" t="inlineStr">
        <is>
          <t>APROBADO</t>
        </is>
      </c>
      <c r="U50" s="355" t="n"/>
      <c r="V50" s="352" t="n"/>
      <c r="W50" s="351" t="n"/>
      <c r="X50" s="351" t="n"/>
      <c r="Y50" s="356" t="inlineStr">
        <is>
          <t>TOTORA</t>
        </is>
      </c>
      <c r="Z50" s="350">
        <f>IF(AND(R50&lt;&gt;"",V50&lt;&gt;"",W50&lt;&gt;"",X50&lt;&gt;""),"ENTREGADO","POR RECOGER")</f>
        <v/>
      </c>
      <c r="AA50" s="198" t="n"/>
      <c r="AB50" s="198" t="n"/>
      <c r="AC50" s="198" t="n"/>
    </row>
    <row r="51" hidden="1" ht="15.75" customHeight="1" s="195">
      <c r="A51" s="241" t="n">
        <v>46</v>
      </c>
      <c r="B51" s="305" t="inlineStr">
        <is>
          <t>0000001</t>
        </is>
      </c>
      <c r="C51" s="241" t="inlineStr">
        <is>
          <t>REGION</t>
        </is>
      </c>
      <c r="D51" s="305" t="inlineStr">
        <is>
          <t>VILLAVICENCIO HERNANDEZ WIDMER</t>
        </is>
      </c>
      <c r="E51" s="241" t="inlineStr">
        <is>
          <t>DNI</t>
        </is>
      </c>
      <c r="F51" s="241" t="inlineStr">
        <is>
          <t>42347377</t>
        </is>
      </c>
      <c r="G51" s="336" t="n">
        <v>46034</v>
      </c>
      <c r="H51" s="241" t="inlineStr">
        <is>
          <t>4958</t>
        </is>
      </c>
      <c r="I51" s="332">
        <f>IFERROR(VLOOKUP(TEXT(H51,"0"),IPRESS!$A$3:$B$212,2,0),"")</f>
        <v/>
      </c>
      <c r="J51" s="241" t="inlineStr">
        <is>
          <t>4950</t>
        </is>
      </c>
      <c r="K51" s="332" t="inlineStr">
        <is>
          <t>PETROLEO</t>
        </is>
      </c>
      <c r="L51" s="239" t="n">
        <v>20.25</v>
      </c>
      <c r="M51" s="239" t="n">
        <v>6</v>
      </c>
      <c r="N51" s="333">
        <f>IFERROR(IF(L51*M51=0,"",L51*M51),"")</f>
        <v/>
      </c>
      <c r="O51" s="241" t="inlineStr">
        <is>
          <t>70790222</t>
        </is>
      </c>
      <c r="P51" s="332">
        <f>IFERROR(VLOOKUP(TEXT(O51,"0"),CONDUCTORES!$A$3:$G$100,2,0),"")</f>
        <v/>
      </c>
      <c r="Q51" s="332">
        <f>IFERROR(VLOOKUP(TEXT(O51,"0"),CONDUCTORES!$A$3:$H$100,6,0),"")</f>
        <v/>
      </c>
      <c r="R51" s="280" t="n"/>
      <c r="S51" s="305" t="inlineStr">
        <is>
          <t>G459,I64X</t>
        </is>
      </c>
      <c r="T51" s="241" t="inlineStr">
        <is>
          <t>APROBADO</t>
        </is>
      </c>
      <c r="U51" s="280" t="n"/>
      <c r="V51" s="305" t="n"/>
      <c r="W51" s="241" t="n"/>
      <c r="X51" s="241" t="n"/>
      <c r="Y51" s="280" t="n"/>
      <c r="Z51" s="350">
        <f>IF(AND(R51&lt;&gt;"",V51&lt;&gt;"",W51&lt;&gt;"",X51&lt;&gt;""),"ENTREGADO","POR RECOGER")</f>
        <v/>
      </c>
      <c r="AA51" s="198" t="n"/>
      <c r="AB51" s="198" t="n"/>
      <c r="AC51" s="198" t="n"/>
    </row>
    <row r="52" hidden="1" ht="15.75" customHeight="1" s="195">
      <c r="A52" s="301" t="n">
        <v>47</v>
      </c>
      <c r="B52" s="302" t="inlineStr">
        <is>
          <t>0000014</t>
        </is>
      </c>
      <c r="C52" s="301" t="inlineStr">
        <is>
          <t>REGION</t>
        </is>
      </c>
      <c r="D52" s="302" t="inlineStr">
        <is>
          <t>VARGAS GRANDEZ GUSTAVO</t>
        </is>
      </c>
      <c r="E52" s="301" t="inlineStr">
        <is>
          <t>DNI</t>
        </is>
      </c>
      <c r="F52" s="301" t="inlineStr">
        <is>
          <t>33944112</t>
        </is>
      </c>
      <c r="G52" s="331" t="n">
        <v>46037</v>
      </c>
      <c r="H52" s="301" t="inlineStr">
        <is>
          <t>4943</t>
        </is>
      </c>
      <c r="I52" s="332">
        <f>IFERROR(VLOOKUP(TEXT(H52,"0"),IPRESS!$A$3:$B$212,2,0),"")</f>
        <v/>
      </c>
      <c r="J52" s="301" t="inlineStr">
        <is>
          <t>4950</t>
        </is>
      </c>
      <c r="K52" s="332" t="inlineStr">
        <is>
          <t>PETROLEO</t>
        </is>
      </c>
      <c r="L52" s="245" t="n">
        <v>20.25</v>
      </c>
      <c r="M52" s="245" t="n">
        <v>3</v>
      </c>
      <c r="N52" s="333">
        <f>IFERROR(IF(L52*M52=0,"",L52*M52),"")</f>
        <v/>
      </c>
      <c r="O52" s="301" t="inlineStr">
        <is>
          <t>40083507</t>
        </is>
      </c>
      <c r="P52" s="332">
        <f>IFERROR(VLOOKUP(TEXT(O52,"0"),CONDUCTORES!$A$3:$G$100,2,0),"")</f>
        <v/>
      </c>
      <c r="Q52" s="332">
        <f>IFERROR(VLOOKUP(TEXT(O52,"0"),CONDUCTORES!$A$3:$H$100,6,0),"")</f>
        <v/>
      </c>
      <c r="R52" s="334" t="n"/>
      <c r="S52" s="302" t="inlineStr">
        <is>
          <t>I679</t>
        </is>
      </c>
      <c r="T52" s="301" t="inlineStr">
        <is>
          <t>APROBADO</t>
        </is>
      </c>
      <c r="U52" s="334" t="n"/>
      <c r="V52" s="302" t="n"/>
      <c r="W52" s="301" t="n"/>
      <c r="X52" s="301" t="n"/>
      <c r="Y52" s="280" t="n"/>
      <c r="Z52" s="350">
        <f>IF(AND(R52&lt;&gt;"",V52&lt;&gt;"",W52&lt;&gt;"",X52&lt;&gt;""),"ENTREGADO","POR RECOGER")</f>
        <v/>
      </c>
      <c r="AA52" s="198" t="n"/>
      <c r="AB52" s="198" t="n"/>
      <c r="AC52" s="198" t="n"/>
    </row>
    <row r="53" ht="15.75" customHeight="1" s="195">
      <c r="A53" s="337" t="n">
        <v>48</v>
      </c>
      <c r="B53" s="338" t="inlineStr">
        <is>
          <t>0000118</t>
        </is>
      </c>
      <c r="C53" s="337" t="inlineStr">
        <is>
          <t>REGION</t>
        </is>
      </c>
      <c r="D53" s="338" t="inlineStr">
        <is>
          <t>CHAVEZ YOMONA MILTON</t>
        </is>
      </c>
      <c r="E53" s="337" t="inlineStr">
        <is>
          <t>DNI</t>
        </is>
      </c>
      <c r="F53" s="337" t="inlineStr">
        <is>
          <t>33738999</t>
        </is>
      </c>
      <c r="G53" s="339" t="n">
        <v>46042</v>
      </c>
      <c r="H53" s="337" t="inlineStr">
        <is>
          <t>4922</t>
        </is>
      </c>
      <c r="I53" s="332">
        <f>IFERROR(VLOOKUP(TEXT(H53,"0"),IPRESS!$A$3:$B$212,2,0),"")</f>
        <v/>
      </c>
      <c r="J53" s="337" t="inlineStr">
        <is>
          <t>4838</t>
        </is>
      </c>
      <c r="K53" s="357" t="inlineStr">
        <is>
          <t>GASOLINA</t>
        </is>
      </c>
      <c r="L53" s="340" t="n">
        <v>17.95</v>
      </c>
      <c r="M53" s="340" t="n">
        <v>6</v>
      </c>
      <c r="N53" s="333">
        <f>IFERROR(IF(L53*M53=0,"",L53*M53),"")</f>
        <v/>
      </c>
      <c r="O53" s="337" t="inlineStr">
        <is>
          <t>42494083</t>
        </is>
      </c>
      <c r="P53" s="332">
        <f>IFERROR(VLOOKUP(TEXT(O53,"0"),CONDUCTORES!$A$3:$G$100,2,0),"")</f>
        <v/>
      </c>
      <c r="Q53" s="332">
        <f>IFERROR(VLOOKUP(TEXT(O53,"0"),CONDUCTORES!$A$3:$H$100,6,0),"")</f>
        <v/>
      </c>
      <c r="R53" s="341" t="n"/>
      <c r="S53" s="338" t="inlineStr">
        <is>
          <t>R104,K37X</t>
        </is>
      </c>
      <c r="T53" s="337" t="inlineStr">
        <is>
          <t>APROBADO</t>
        </is>
      </c>
      <c r="U53" s="341" t="n"/>
      <c r="V53" s="338" t="n"/>
      <c r="W53" s="337" t="n"/>
      <c r="X53" s="337" t="n"/>
      <c r="Y53" s="280" t="n"/>
      <c r="Z53" s="350">
        <f>IF(AND(R53&lt;&gt;"",V53&lt;&gt;"",W53&lt;&gt;"",X53&lt;&gt;""),"ENTREGADO","POR RECOGER")</f>
        <v/>
      </c>
      <c r="AA53" s="198" t="n"/>
      <c r="AB53" s="198" t="n"/>
      <c r="AC53" s="198" t="n"/>
    </row>
    <row r="54" hidden="1" ht="15.75" customHeight="1" s="195">
      <c r="A54" s="301" t="n">
        <v>49</v>
      </c>
      <c r="B54" s="302" t="inlineStr">
        <is>
          <t>0000119</t>
        </is>
      </c>
      <c r="C54" s="301" t="inlineStr">
        <is>
          <t>REGION</t>
        </is>
      </c>
      <c r="D54" s="302" t="inlineStr">
        <is>
          <t>MEZA GUERRA SEBASTIAN LUIS ALEXANDER</t>
        </is>
      </c>
      <c r="E54" s="301" t="inlineStr">
        <is>
          <t>DNI</t>
        </is>
      </c>
      <c r="F54" s="301" t="inlineStr">
        <is>
          <t>91006502</t>
        </is>
      </c>
      <c r="G54" s="331" t="n">
        <v>46042</v>
      </c>
      <c r="H54" s="301" t="inlineStr">
        <is>
          <t>4922</t>
        </is>
      </c>
      <c r="I54" s="332">
        <f>IFERROR(VLOOKUP(TEXT(H54,"0"),IPRESS!$A$3:$B$212,2,0),"")</f>
        <v/>
      </c>
      <c r="J54" s="301" t="inlineStr">
        <is>
          <t>4838</t>
        </is>
      </c>
      <c r="K54" s="332" t="inlineStr">
        <is>
          <t>PETROLEO</t>
        </is>
      </c>
      <c r="L54" s="245" t="n">
        <v>18.18</v>
      </c>
      <c r="M54" s="245" t="n">
        <v>5</v>
      </c>
      <c r="N54" s="333">
        <f>IFERROR(IF(L54*M54=0,"",L54*M54),"")</f>
        <v/>
      </c>
      <c r="O54" s="301" t="inlineStr">
        <is>
          <t>42494083</t>
        </is>
      </c>
      <c r="P54" s="332">
        <f>IFERROR(VLOOKUP(TEXT(O54,"0"),CONDUCTORES!$A$3:$G$100,2,0),"")</f>
        <v/>
      </c>
      <c r="Q54" s="332">
        <f>IFERROR(VLOOKUP(TEXT(O54,"0"),CONDUCTORES!$A$3:$H$100,6,0),"")</f>
        <v/>
      </c>
      <c r="R54" s="334" t="n"/>
      <c r="S54" s="302" t="inlineStr">
        <is>
          <t>R509,D728,R590</t>
        </is>
      </c>
      <c r="T54" s="301" t="inlineStr">
        <is>
          <t>APROBADO</t>
        </is>
      </c>
      <c r="U54" s="334" t="n"/>
      <c r="V54" s="302" t="n"/>
      <c r="W54" s="301" t="n"/>
      <c r="X54" s="301" t="n"/>
      <c r="Y54" s="280" t="n"/>
      <c r="Z54" s="350">
        <f>IF(AND(R54&lt;&gt;"",V54&lt;&gt;"",W54&lt;&gt;"",X54&lt;&gt;""),"ENTREGADO","POR RECOGER")</f>
        <v/>
      </c>
      <c r="AA54" s="198" t="n"/>
      <c r="AB54" s="198" t="n"/>
      <c r="AC54" s="198" t="n"/>
    </row>
    <row r="55" hidden="1" ht="15.75" customHeight="1" s="195">
      <c r="A55" s="351" t="n">
        <v>50</v>
      </c>
      <c r="B55" s="352" t="inlineStr">
        <is>
          <t>0000003</t>
        </is>
      </c>
      <c r="C55" s="351" t="inlineStr">
        <is>
          <t>REGION</t>
        </is>
      </c>
      <c r="D55" s="352" t="inlineStr">
        <is>
          <t>LOPEZ RIVA KELLY</t>
        </is>
      </c>
      <c r="E55" s="351" t="inlineStr">
        <is>
          <t>DNI</t>
        </is>
      </c>
      <c r="F55" s="351" t="inlineStr">
        <is>
          <t>75083848</t>
        </is>
      </c>
      <c r="G55" s="353" t="n">
        <v>46044</v>
      </c>
      <c r="H55" s="351" t="inlineStr">
        <is>
          <t>4955</t>
        </is>
      </c>
      <c r="I55" s="332">
        <f>IFERROR(VLOOKUP(TEXT(H55,"0"),IPRESS!$A$3:$B$212,2,0),"")</f>
        <v/>
      </c>
      <c r="J55" s="351" t="inlineStr">
        <is>
          <t>4950</t>
        </is>
      </c>
      <c r="K55" s="332" t="inlineStr">
        <is>
          <t>PETROLEO</t>
        </is>
      </c>
      <c r="L55" s="354" t="n">
        <v>20.25</v>
      </c>
      <c r="M55" s="354" t="n">
        <v>8</v>
      </c>
      <c r="N55" s="333">
        <f>IFERROR(IF(L55*M55=0,"",L55*M55),"")</f>
        <v/>
      </c>
      <c r="O55" s="351" t="inlineStr">
        <is>
          <t>70790222</t>
        </is>
      </c>
      <c r="P55" s="332">
        <f>IFERROR(VLOOKUP(TEXT(O55,"0"),CONDUCTORES!$A$3:$G$100,2,0),"")</f>
        <v/>
      </c>
      <c r="Q55" s="332">
        <f>IFERROR(VLOOKUP(TEXT(O55,"0"),CONDUCTORES!$A$3:$H$100,6,0),"")</f>
        <v/>
      </c>
      <c r="R55" s="355" t="n"/>
      <c r="S55" s="352" t="inlineStr">
        <is>
          <t>Z358,O120,O13X</t>
        </is>
      </c>
      <c r="T55" s="351" t="inlineStr">
        <is>
          <t>APROBADO</t>
        </is>
      </c>
      <c r="U55" s="355" t="n"/>
      <c r="V55" s="352" t="n"/>
      <c r="W55" s="351" t="n"/>
      <c r="X55" s="351" t="n"/>
      <c r="Y55" s="356" t="inlineStr">
        <is>
          <t>TOTORA</t>
        </is>
      </c>
      <c r="Z55" s="350">
        <f>IF(AND(R55&lt;&gt;"",V55&lt;&gt;"",W55&lt;&gt;"",X55&lt;&gt;""),"ENTREGADO","POR RECOGER")</f>
        <v/>
      </c>
      <c r="AA55" s="198" t="n"/>
      <c r="AB55" s="198" t="n"/>
      <c r="AC55" s="198" t="n"/>
    </row>
    <row r="56" hidden="1" ht="15.75" customHeight="1" s="195">
      <c r="A56" s="301" t="n">
        <v>51</v>
      </c>
      <c r="B56" s="302" t="inlineStr">
        <is>
          <t>0000120</t>
        </is>
      </c>
      <c r="C56" s="301" t="inlineStr">
        <is>
          <t>REGION</t>
        </is>
      </c>
      <c r="D56" s="302" t="inlineStr">
        <is>
          <t>CASAS AGUILAR JUAN</t>
        </is>
      </c>
      <c r="E56" s="301" t="inlineStr">
        <is>
          <t>DNI</t>
        </is>
      </c>
      <c r="F56" s="301" t="inlineStr">
        <is>
          <t>80233101</t>
        </is>
      </c>
      <c r="G56" s="331" t="n">
        <v>46045</v>
      </c>
      <c r="H56" s="301" t="inlineStr">
        <is>
          <t>4922</t>
        </is>
      </c>
      <c r="I56" s="332">
        <f>IFERROR(VLOOKUP(TEXT(H56,"0"),IPRESS!$A$3:$B$212,2,0),"")</f>
        <v/>
      </c>
      <c r="J56" s="301" t="inlineStr">
        <is>
          <t>4838</t>
        </is>
      </c>
      <c r="K56" s="332" t="inlineStr">
        <is>
          <t>PETROLEO</t>
        </is>
      </c>
      <c r="L56" s="245" t="n">
        <v>18.18</v>
      </c>
      <c r="M56" s="245" t="n">
        <v>5</v>
      </c>
      <c r="N56" s="333">
        <f>IFERROR(IF(L56*M56=0,"",L56*M56),"")</f>
        <v/>
      </c>
      <c r="O56" s="301" t="inlineStr">
        <is>
          <t>71640877</t>
        </is>
      </c>
      <c r="P56" s="332">
        <f>IFERROR(VLOOKUP(TEXT(O56,"0"),CONDUCTORES!$A$3:$G$100,2,0),"")</f>
        <v/>
      </c>
      <c r="Q56" s="332">
        <f>IFERROR(VLOOKUP(TEXT(O56,"0"),CONDUCTORES!$A$3:$H$100,6,0),"")</f>
        <v/>
      </c>
      <c r="R56" s="334" t="n"/>
      <c r="S56" s="302" t="inlineStr">
        <is>
          <t>D500,K922,K270</t>
        </is>
      </c>
      <c r="T56" s="301" t="inlineStr">
        <is>
          <t>APROBADO</t>
        </is>
      </c>
      <c r="U56" s="334" t="n"/>
      <c r="V56" s="302" t="n"/>
      <c r="W56" s="301" t="n"/>
      <c r="X56" s="301" t="n"/>
      <c r="Y56" s="280" t="n"/>
      <c r="Z56" s="350">
        <f>IF(AND(R56&lt;&gt;"",V56&lt;&gt;"",W56&lt;&gt;"",X56&lt;&gt;""),"ENTREGADO","POR RECOGER")</f>
        <v/>
      </c>
      <c r="AA56" s="198" t="n"/>
      <c r="AB56" s="198" t="n"/>
      <c r="AC56" s="198" t="n"/>
    </row>
    <row r="57" hidden="1" ht="15.75" customHeight="1" s="195">
      <c r="A57" s="351" t="n">
        <v>52</v>
      </c>
      <c r="B57" s="352" t="inlineStr">
        <is>
          <t>0000004</t>
        </is>
      </c>
      <c r="C57" s="351" t="inlineStr">
        <is>
          <t>REGION</t>
        </is>
      </c>
      <c r="D57" s="352" t="inlineStr">
        <is>
          <t>HUAMAN LOPEZ FIDENCIO ARTEMIO</t>
        </is>
      </c>
      <c r="E57" s="351" t="inlineStr">
        <is>
          <t>DNI</t>
        </is>
      </c>
      <c r="F57" s="351" t="inlineStr">
        <is>
          <t>33946769</t>
        </is>
      </c>
      <c r="G57" s="353" t="n">
        <v>46046</v>
      </c>
      <c r="H57" s="351" t="inlineStr">
        <is>
          <t>4955</t>
        </is>
      </c>
      <c r="I57" s="332">
        <f>IFERROR(VLOOKUP(TEXT(H57,"0"),IPRESS!$A$3:$B$212,2,0),"")</f>
        <v/>
      </c>
      <c r="J57" s="351" t="inlineStr">
        <is>
          <t>4950</t>
        </is>
      </c>
      <c r="K57" s="332" t="inlineStr">
        <is>
          <t>PETROLEO</t>
        </is>
      </c>
      <c r="L57" s="354" t="n">
        <v>20.25</v>
      </c>
      <c r="M57" s="354" t="n">
        <v>10</v>
      </c>
      <c r="N57" s="333">
        <f>IFERROR(IF(L57*M57=0,"",L57*M57),"")</f>
        <v/>
      </c>
      <c r="O57" s="351" t="inlineStr">
        <is>
          <t>70790222</t>
        </is>
      </c>
      <c r="P57" s="332">
        <f>IFERROR(VLOOKUP(TEXT(O57,"0"),CONDUCTORES!$A$3:$G$100,2,0),"")</f>
        <v/>
      </c>
      <c r="Q57" s="332">
        <f>IFERROR(VLOOKUP(TEXT(O57,"0"),CONDUCTORES!$A$3:$H$100,6,0),"")</f>
        <v/>
      </c>
      <c r="R57" s="355" t="n"/>
      <c r="S57" s="352" t="inlineStr">
        <is>
          <t>I509</t>
        </is>
      </c>
      <c r="T57" s="351" t="inlineStr">
        <is>
          <t>APROBADO</t>
        </is>
      </c>
      <c r="U57" s="355" t="n"/>
      <c r="V57" s="352" t="n"/>
      <c r="W57" s="351" t="n"/>
      <c r="X57" s="351" t="n"/>
      <c r="Y57" s="356" t="inlineStr">
        <is>
          <t>TOTORA</t>
        </is>
      </c>
      <c r="Z57" s="350">
        <f>IF(AND(R57&lt;&gt;"",V57&lt;&gt;"",W57&lt;&gt;"",X57&lt;&gt;""),"ENTREGADO","POR RECOGER")</f>
        <v/>
      </c>
      <c r="AA57" s="198" t="n"/>
      <c r="AB57" s="198" t="n"/>
      <c r="AC57" s="198" t="n"/>
    </row>
    <row r="58" hidden="1" ht="15.75" customHeight="1" s="195">
      <c r="A58" s="301" t="n">
        <v>53</v>
      </c>
      <c r="B58" s="302" t="inlineStr">
        <is>
          <t>0000049</t>
        </is>
      </c>
      <c r="C58" s="301" t="inlineStr">
        <is>
          <t>REGION</t>
        </is>
      </c>
      <c r="D58" s="302" t="inlineStr">
        <is>
          <t>EDQUEN IDROGO MAXIMILIANO</t>
        </is>
      </c>
      <c r="E58" s="301" t="inlineStr">
        <is>
          <t>DNI</t>
        </is>
      </c>
      <c r="F58" s="301" t="inlineStr">
        <is>
          <t>33431626</t>
        </is>
      </c>
      <c r="G58" s="331" t="n">
        <v>46046</v>
      </c>
      <c r="H58" s="301" t="inlineStr">
        <is>
          <t>4904</t>
        </is>
      </c>
      <c r="I58" s="332">
        <f>IFERROR(VLOOKUP(TEXT(H58,"0"),IPRESS!$A$3:$B$212,2,0),"")</f>
        <v/>
      </c>
      <c r="J58" s="301" t="inlineStr">
        <is>
          <t>4838</t>
        </is>
      </c>
      <c r="K58" s="332" t="inlineStr">
        <is>
          <t>PETROLEO</t>
        </is>
      </c>
      <c r="L58" s="245" t="n">
        <v>18.18</v>
      </c>
      <c r="M58" s="245" t="n">
        <v>6</v>
      </c>
      <c r="N58" s="333">
        <f>IFERROR(IF(L58*M58=0,"",L58*M58),"")</f>
        <v/>
      </c>
      <c r="O58" s="301" t="inlineStr">
        <is>
          <t>40051255</t>
        </is>
      </c>
      <c r="P58" s="332">
        <f>IFERROR(VLOOKUP(TEXT(O58,"0"),CONDUCTORES!$A$3:$G$100,2,0),"")</f>
        <v/>
      </c>
      <c r="Q58" s="332">
        <f>IFERROR(VLOOKUP(TEXT(O58,"0"),CONDUCTORES!$A$3:$H$100,6,0),"")</f>
        <v/>
      </c>
      <c r="R58" s="334" t="n"/>
      <c r="S58" s="302" t="inlineStr">
        <is>
          <t>J960</t>
        </is>
      </c>
      <c r="T58" s="301" t="inlineStr">
        <is>
          <t>APROBADO</t>
        </is>
      </c>
      <c r="U58" s="334" t="n"/>
      <c r="V58" s="302" t="n"/>
      <c r="W58" s="301" t="n"/>
      <c r="X58" s="301" t="n"/>
      <c r="Y58" s="280" t="n"/>
      <c r="Z58" s="350">
        <f>IF(AND(R58&lt;&gt;"",V58&lt;&gt;"",W58&lt;&gt;"",X58&lt;&gt;""),"ENTREGADO","POR RECOGER")</f>
        <v/>
      </c>
      <c r="AA58" s="198" t="n"/>
      <c r="AB58" s="198" t="n"/>
      <c r="AC58" s="198" t="n"/>
    </row>
    <row r="59" hidden="1" ht="15.75" customHeight="1" s="195">
      <c r="A59" s="241" t="n">
        <v>54</v>
      </c>
      <c r="B59" s="305" t="inlineStr">
        <is>
          <t>0000016</t>
        </is>
      </c>
      <c r="C59" s="241" t="inlineStr">
        <is>
          <t>REGION</t>
        </is>
      </c>
      <c r="D59" s="305" t="inlineStr">
        <is>
          <t>HERNANDEZ DE LOPEZ CLOTILDE</t>
        </is>
      </c>
      <c r="E59" s="241" t="inlineStr">
        <is>
          <t>DNI</t>
        </is>
      </c>
      <c r="F59" s="241" t="inlineStr">
        <is>
          <t>33945367</t>
        </is>
      </c>
      <c r="G59" s="336" t="n">
        <v>46048</v>
      </c>
      <c r="H59" s="241" t="inlineStr">
        <is>
          <t>4943</t>
        </is>
      </c>
      <c r="I59" s="332">
        <f>IFERROR(VLOOKUP(TEXT(H59,"0"),IPRESS!$A$3:$B$212,2,0),"")</f>
        <v/>
      </c>
      <c r="J59" s="241" t="inlineStr">
        <is>
          <t>4950</t>
        </is>
      </c>
      <c r="K59" s="332" t="inlineStr">
        <is>
          <t>PETROLEO</t>
        </is>
      </c>
      <c r="L59" s="239" t="n">
        <v>20.25</v>
      </c>
      <c r="M59" s="239" t="n">
        <v>3</v>
      </c>
      <c r="N59" s="333">
        <f>IFERROR(IF(L59*M59=0,"",L59*M59),"")</f>
        <v/>
      </c>
      <c r="O59" s="241" t="inlineStr">
        <is>
          <t>40083507</t>
        </is>
      </c>
      <c r="P59" s="332">
        <f>IFERROR(VLOOKUP(TEXT(O59,"0"),CONDUCTORES!$A$3:$G$100,2,0),"")</f>
        <v/>
      </c>
      <c r="Q59" s="332">
        <f>IFERROR(VLOOKUP(TEXT(O59,"0"),CONDUCTORES!$A$3:$H$100,6,0),"")</f>
        <v/>
      </c>
      <c r="R59" s="280" t="n"/>
      <c r="S59" s="305" t="inlineStr">
        <is>
          <t>S729,I10X</t>
        </is>
      </c>
      <c r="T59" s="241" t="inlineStr">
        <is>
          <t>APROBADO</t>
        </is>
      </c>
      <c r="U59" s="280" t="n"/>
      <c r="V59" s="305" t="n"/>
      <c r="W59" s="241" t="n"/>
      <c r="X59" s="241" t="n"/>
      <c r="Y59" s="280" t="n"/>
      <c r="Z59" s="350">
        <f>IF(AND(R59&lt;&gt;"",V59&lt;&gt;"",W59&lt;&gt;"",X59&lt;&gt;""),"ENTREGADO","POR RECOGER")</f>
        <v/>
      </c>
      <c r="AA59" s="198" t="n"/>
      <c r="AB59" s="198" t="n"/>
      <c r="AC59" s="198" t="n"/>
    </row>
    <row r="60" hidden="1" ht="15.75" customHeight="1" s="195">
      <c r="A60" s="301" t="n">
        <v>55</v>
      </c>
      <c r="B60" s="302" t="inlineStr">
        <is>
          <t>0000121</t>
        </is>
      </c>
      <c r="C60" s="301" t="inlineStr">
        <is>
          <t>REGION</t>
        </is>
      </c>
      <c r="D60" s="302" t="inlineStr">
        <is>
          <t>DAZA CHASQUIBOL KARINA</t>
        </is>
      </c>
      <c r="E60" s="301" t="inlineStr">
        <is>
          <t>DNI</t>
        </is>
      </c>
      <c r="F60" s="301" t="inlineStr">
        <is>
          <t>42056398</t>
        </is>
      </c>
      <c r="G60" s="331" t="n">
        <v>46048</v>
      </c>
      <c r="H60" s="301" t="inlineStr">
        <is>
          <t>4922</t>
        </is>
      </c>
      <c r="I60" s="332">
        <f>IFERROR(VLOOKUP(TEXT(H60,"0"),IPRESS!$A$3:$B$212,2,0),"")</f>
        <v/>
      </c>
      <c r="J60" s="301" t="inlineStr">
        <is>
          <t>4838</t>
        </is>
      </c>
      <c r="K60" s="332" t="inlineStr">
        <is>
          <t>PETROLEO</t>
        </is>
      </c>
      <c r="L60" s="245" t="n">
        <v>18.18</v>
      </c>
      <c r="M60" s="245" t="n">
        <v>5</v>
      </c>
      <c r="N60" s="333">
        <f>IFERROR(IF(L60*M60=0,"",L60*M60),"")</f>
        <v/>
      </c>
      <c r="O60" s="301" t="inlineStr">
        <is>
          <t>71640877</t>
        </is>
      </c>
      <c r="P60" s="332">
        <f>IFERROR(VLOOKUP(TEXT(O60,"0"),CONDUCTORES!$A$3:$G$100,2,0),"")</f>
        <v/>
      </c>
      <c r="Q60" s="332">
        <f>IFERROR(VLOOKUP(TEXT(O60,"0"),CONDUCTORES!$A$3:$H$100,6,0),"")</f>
        <v/>
      </c>
      <c r="R60" s="334" t="n"/>
      <c r="S60" s="302" t="inlineStr">
        <is>
          <t>O141</t>
        </is>
      </c>
      <c r="T60" s="301" t="inlineStr">
        <is>
          <t>APROBADO</t>
        </is>
      </c>
      <c r="U60" s="334" t="n"/>
      <c r="V60" s="302" t="n"/>
      <c r="W60" s="301" t="n"/>
      <c r="X60" s="301" t="n"/>
      <c r="Y60" s="280" t="n"/>
      <c r="Z60" s="350">
        <f>IF(AND(R60&lt;&gt;"",V60&lt;&gt;"",W60&lt;&gt;"",X60&lt;&gt;""),"ENTREGADO","POR RECOGER")</f>
        <v/>
      </c>
      <c r="AA60" s="198" t="n"/>
      <c r="AB60" s="198" t="n"/>
      <c r="AC60" s="198" t="n"/>
    </row>
    <row r="61" hidden="1" ht="15.75" customHeight="1" s="195">
      <c r="A61" s="241" t="n">
        <v>56</v>
      </c>
      <c r="B61" s="305" t="inlineStr">
        <is>
          <t>0000014</t>
        </is>
      </c>
      <c r="C61" s="241" t="inlineStr">
        <is>
          <t>REGION</t>
        </is>
      </c>
      <c r="D61" s="305" t="inlineStr">
        <is>
          <t>AGUIRRE CHUQUIPIONDO ELIZABETH</t>
        </is>
      </c>
      <c r="E61" s="241" t="inlineStr">
        <is>
          <t>DNI</t>
        </is>
      </c>
      <c r="F61" s="241" t="inlineStr">
        <is>
          <t>60229552</t>
        </is>
      </c>
      <c r="G61" s="336" t="n">
        <v>46049</v>
      </c>
      <c r="H61" s="241" t="inlineStr">
        <is>
          <t>4895</t>
        </is>
      </c>
      <c r="I61" s="332">
        <f>IFERROR(VLOOKUP(TEXT(H61,"0"),IPRESS!$A$3:$B$212,2,0),"")</f>
        <v/>
      </c>
      <c r="J61" s="241" t="inlineStr">
        <is>
          <t>4838</t>
        </is>
      </c>
      <c r="K61" s="332" t="inlineStr">
        <is>
          <t>PETROLEO</t>
        </is>
      </c>
      <c r="L61" s="239" t="n">
        <v>18.18</v>
      </c>
      <c r="M61" s="239" t="n">
        <v>7</v>
      </c>
      <c r="N61" s="333">
        <f>IFERROR(IF(L61*M61=0,"",L61*M61),"")</f>
        <v/>
      </c>
      <c r="O61" s="241" t="inlineStr">
        <is>
          <t>33432847</t>
        </is>
      </c>
      <c r="P61" s="332">
        <f>IFERROR(VLOOKUP(TEXT(O61,"0"),CONDUCTORES!$A$3:$G$100,2,0),"")</f>
        <v/>
      </c>
      <c r="Q61" s="332">
        <f>IFERROR(VLOOKUP(TEXT(O61,"0"),CONDUCTORES!$A$3:$H$100,6,0),"")</f>
        <v/>
      </c>
      <c r="R61" s="280" t="n"/>
      <c r="S61" s="305" t="inlineStr">
        <is>
          <t>O268</t>
        </is>
      </c>
      <c r="T61" s="241" t="inlineStr">
        <is>
          <t>APROBADO</t>
        </is>
      </c>
      <c r="U61" s="280" t="n"/>
      <c r="V61" s="305" t="n"/>
      <c r="W61" s="241" t="n"/>
      <c r="X61" s="241" t="n"/>
      <c r="Y61" s="280" t="n"/>
      <c r="Z61" s="350">
        <f>IF(AND(R61&lt;&gt;"",V61&lt;&gt;"",W61&lt;&gt;"",X61&lt;&gt;""),"ENTREGADO","POR RECOGER")</f>
        <v/>
      </c>
      <c r="AA61" s="198" t="n"/>
      <c r="AB61" s="198" t="n"/>
      <c r="AC61" s="198" t="n"/>
    </row>
    <row r="62" hidden="1" ht="15.75" customHeight="1" s="195">
      <c r="A62" s="351" t="n">
        <v>57</v>
      </c>
      <c r="B62" s="352" t="inlineStr">
        <is>
          <t>0000003</t>
        </is>
      </c>
      <c r="C62" s="351" t="inlineStr">
        <is>
          <t>REGION</t>
        </is>
      </c>
      <c r="D62" s="352" t="inlineStr">
        <is>
          <t>VALLE HIDALGO JULIA CONSUELO</t>
        </is>
      </c>
      <c r="E62" s="351" t="inlineStr">
        <is>
          <t>DNI</t>
        </is>
      </c>
      <c r="F62" s="351" t="inlineStr">
        <is>
          <t>33421228</t>
        </is>
      </c>
      <c r="G62" s="353" t="n">
        <v>46051</v>
      </c>
      <c r="H62" s="351" t="inlineStr">
        <is>
          <t>4907</t>
        </is>
      </c>
      <c r="I62" s="332">
        <f>IFERROR(VLOOKUP(TEXT(H62,"0"),IPRESS!$A$3:$B$212,2,0),"")</f>
        <v/>
      </c>
      <c r="J62" s="351" t="inlineStr">
        <is>
          <t>4838</t>
        </is>
      </c>
      <c r="K62" s="332" t="inlineStr">
        <is>
          <t>PETROLEO</t>
        </is>
      </c>
      <c r="L62" s="354" t="n">
        <v>18.18</v>
      </c>
      <c r="M62" s="354" t="n">
        <v>8</v>
      </c>
      <c r="N62" s="333">
        <f>IFERROR(IF(L62*M62=0,"",L62*M62),"")</f>
        <v/>
      </c>
      <c r="O62" s="351" t="inlineStr">
        <is>
          <t>40051255</t>
        </is>
      </c>
      <c r="P62" s="332">
        <f>IFERROR(VLOOKUP(TEXT(O62,"0"),CONDUCTORES!$A$3:$G$100,2,0),"")</f>
        <v/>
      </c>
      <c r="Q62" s="332">
        <f>IFERROR(VLOOKUP(TEXT(O62,"0"),CONDUCTORES!$A$3:$H$100,6,0),"")</f>
        <v/>
      </c>
      <c r="R62" s="355" t="n"/>
      <c r="S62" s="352" t="inlineStr">
        <is>
          <t>S922</t>
        </is>
      </c>
      <c r="T62" s="351" t="inlineStr">
        <is>
          <t>APROBADO</t>
        </is>
      </c>
      <c r="U62" s="355" t="n"/>
      <c r="V62" s="352" t="n"/>
      <c r="W62" s="351" t="n"/>
      <c r="X62" s="351" t="n"/>
      <c r="Y62" s="356" t="inlineStr">
        <is>
          <t>YERBABUENA</t>
        </is>
      </c>
      <c r="Z62" s="350">
        <f>IF(AND(R62&lt;&gt;"",V62&lt;&gt;"",W62&lt;&gt;"",X62&lt;&gt;""),"ENTREGADO","POR RECOGER")</f>
        <v/>
      </c>
      <c r="AA62" s="198" t="n"/>
      <c r="AB62" s="198" t="n"/>
      <c r="AC62" s="198" t="n"/>
    </row>
    <row r="63" hidden="1" ht="15.75" customHeight="1" s="195">
      <c r="A63" s="241" t="n">
        <v>58</v>
      </c>
      <c r="B63" s="305" t="inlineStr">
        <is>
          <t>0000015</t>
        </is>
      </c>
      <c r="C63" s="241" t="inlineStr">
        <is>
          <t>REGION</t>
        </is>
      </c>
      <c r="D63" s="305" t="inlineStr">
        <is>
          <t>DIAZ MESIA DIANELIT THALIA</t>
        </is>
      </c>
      <c r="E63" s="241" t="inlineStr">
        <is>
          <t>DNI</t>
        </is>
      </c>
      <c r="F63" s="241" t="inlineStr">
        <is>
          <t>75729771</t>
        </is>
      </c>
      <c r="G63" s="336" t="n">
        <v>46051</v>
      </c>
      <c r="H63" s="241" t="inlineStr">
        <is>
          <t>4895</t>
        </is>
      </c>
      <c r="I63" s="332">
        <f>IFERROR(VLOOKUP(TEXT(H63,"0"),IPRESS!$A$3:$B$212,2,0),"")</f>
        <v/>
      </c>
      <c r="J63" s="241" t="inlineStr">
        <is>
          <t>4838</t>
        </is>
      </c>
      <c r="K63" s="332" t="inlineStr">
        <is>
          <t>PETROLEO</t>
        </is>
      </c>
      <c r="L63" s="239" t="n">
        <v>18.18</v>
      </c>
      <c r="M63" s="239" t="n">
        <v>7</v>
      </c>
      <c r="N63" s="333">
        <f>IFERROR(IF(L63*M63=0,"",L63*M63),"")</f>
        <v/>
      </c>
      <c r="O63" s="241" t="inlineStr">
        <is>
          <t>33432847</t>
        </is>
      </c>
      <c r="P63" s="332">
        <f>IFERROR(VLOOKUP(TEXT(O63,"0"),CONDUCTORES!$A$3:$G$100,2,0),"")</f>
        <v/>
      </c>
      <c r="Q63" s="332">
        <f>IFERROR(VLOOKUP(TEXT(O63,"0"),CONDUCTORES!$A$3:$H$100,6,0),"")</f>
        <v/>
      </c>
      <c r="R63" s="280" t="n"/>
      <c r="S63" s="305" t="inlineStr">
        <is>
          <t>D649,R101</t>
        </is>
      </c>
      <c r="T63" s="241" t="inlineStr">
        <is>
          <t>APROBADO</t>
        </is>
      </c>
      <c r="U63" s="280" t="n"/>
      <c r="V63" s="305" t="n"/>
      <c r="W63" s="241" t="n"/>
      <c r="X63" s="241" t="n"/>
      <c r="Y63" s="280" t="n"/>
      <c r="Z63" s="350">
        <f>IF(AND(R63&lt;&gt;"",V63&lt;&gt;"",W63&lt;&gt;"",X63&lt;&gt;""),"ENTREGADO","POR RECOGER")</f>
        <v/>
      </c>
      <c r="AA63" s="198" t="n"/>
      <c r="AB63" s="198" t="n"/>
      <c r="AC63" s="198" t="n"/>
    </row>
    <row r="64" hidden="1" ht="15.75" customHeight="1" s="195">
      <c r="A64" s="301" t="n">
        <v>59</v>
      </c>
      <c r="B64" s="302" t="inlineStr">
        <is>
          <t>0000122</t>
        </is>
      </c>
      <c r="C64" s="301" t="inlineStr">
        <is>
          <t>REGION</t>
        </is>
      </c>
      <c r="D64" s="302" t="inlineStr">
        <is>
          <t>TORRES CANTA FRANCE YOSELIN</t>
        </is>
      </c>
      <c r="E64" s="301" t="inlineStr">
        <is>
          <t>DNI</t>
        </is>
      </c>
      <c r="F64" s="301" t="inlineStr">
        <is>
          <t>76059052</t>
        </is>
      </c>
      <c r="G64" s="331" t="n">
        <v>46051</v>
      </c>
      <c r="H64" s="301" t="inlineStr">
        <is>
          <t>4922</t>
        </is>
      </c>
      <c r="I64" s="332">
        <f>IFERROR(VLOOKUP(TEXT(H64,"0"),IPRESS!$A$3:$B$212,2,0),"")</f>
        <v/>
      </c>
      <c r="J64" s="301" t="inlineStr">
        <is>
          <t>4838</t>
        </is>
      </c>
      <c r="K64" s="332" t="inlineStr">
        <is>
          <t>PETROLEO</t>
        </is>
      </c>
      <c r="L64" s="245" t="n">
        <v>18.18</v>
      </c>
      <c r="M64" s="245" t="n">
        <v>5</v>
      </c>
      <c r="N64" s="333">
        <f>IFERROR(IF(L64*M64=0,"",L64*M64),"")</f>
        <v/>
      </c>
      <c r="O64" s="301" t="inlineStr">
        <is>
          <t>71640877</t>
        </is>
      </c>
      <c r="P64" s="332">
        <f>IFERROR(VLOOKUP(TEXT(O64,"0"),CONDUCTORES!$A$3:$G$100,2,0),"")</f>
        <v/>
      </c>
      <c r="Q64" s="332">
        <f>IFERROR(VLOOKUP(TEXT(O64,"0"),CONDUCTORES!$A$3:$H$100,6,0),"")</f>
        <v/>
      </c>
      <c r="R64" s="334" t="n"/>
      <c r="S64" s="302" t="inlineStr">
        <is>
          <t>O335</t>
        </is>
      </c>
      <c r="T64" s="301" t="inlineStr">
        <is>
          <t>APROBADO</t>
        </is>
      </c>
      <c r="U64" s="334" t="n"/>
      <c r="V64" s="302" t="n"/>
      <c r="W64" s="301" t="n"/>
      <c r="X64" s="301" t="n"/>
      <c r="Y64" s="280" t="n"/>
      <c r="Z64" s="350">
        <f>IF(AND(R64&lt;&gt;"",V64&lt;&gt;"",W64&lt;&gt;"",X64&lt;&gt;""),"ENTREGADO","POR RECOGER")</f>
        <v/>
      </c>
      <c r="AA64" s="198" t="n"/>
      <c r="AB64" s="198" t="n"/>
      <c r="AC64" s="198" t="n"/>
    </row>
    <row r="65" hidden="1" ht="15.75" customHeight="1" s="195">
      <c r="A65" s="241" t="n">
        <v>60</v>
      </c>
      <c r="B65" s="305" t="inlineStr">
        <is>
          <t>0000307</t>
        </is>
      </c>
      <c r="C65" s="241" t="inlineStr">
        <is>
          <t>REGION</t>
        </is>
      </c>
      <c r="D65" s="305" t="inlineStr">
        <is>
          <t>MUÑOZ BUSTAMANTE MARINA MELANIA</t>
        </is>
      </c>
      <c r="E65" s="241" t="inlineStr">
        <is>
          <t>DNI</t>
        </is>
      </c>
      <c r="F65" s="241" t="inlineStr">
        <is>
          <t>47349553</t>
        </is>
      </c>
      <c r="G65" s="336" t="n">
        <v>46051</v>
      </c>
      <c r="H65" s="241" t="inlineStr">
        <is>
          <t>4950</t>
        </is>
      </c>
      <c r="I65" s="332">
        <f>IFERROR(VLOOKUP(TEXT(H65,"0"),IPRESS!$A$3:$B$212,2,0),"")</f>
        <v/>
      </c>
      <c r="J65" s="241" t="inlineStr">
        <is>
          <t>4838</t>
        </is>
      </c>
      <c r="K65" s="332" t="inlineStr">
        <is>
          <t>PETROLEO</t>
        </is>
      </c>
      <c r="L65" s="239" t="n">
        <v>20.25</v>
      </c>
      <c r="M65" s="239" t="n">
        <v>7.5</v>
      </c>
      <c r="N65" s="333">
        <f>IFERROR(IF(L65*M65=0,"",L65*M65),"")</f>
        <v/>
      </c>
      <c r="O65" s="241" t="inlineStr">
        <is>
          <t>41785950</t>
        </is>
      </c>
      <c r="P65" s="332">
        <f>IFERROR(VLOOKUP(TEXT(O65,"0"),CONDUCTORES!$A$3:$G$100,2,0),"")</f>
        <v/>
      </c>
      <c r="Q65" s="332">
        <f>IFERROR(VLOOKUP(TEXT(O65,"0"),CONDUCTORES!$A$3:$H$100,6,0),"")</f>
        <v/>
      </c>
      <c r="R65" s="280" t="n"/>
      <c r="S65" s="305" t="inlineStr">
        <is>
          <t>O342,O469,O459</t>
        </is>
      </c>
      <c r="T65" s="241" t="inlineStr">
        <is>
          <t>APROBADO</t>
        </is>
      </c>
      <c r="U65" s="280" t="n"/>
      <c r="V65" s="305" t="n"/>
      <c r="W65" s="241" t="n"/>
      <c r="X65" s="241" t="n"/>
      <c r="Y65" s="280" t="n"/>
      <c r="Z65" s="350">
        <f>IF(AND(R65&lt;&gt;"",V65&lt;&gt;"",W65&lt;&gt;"",X65&lt;&gt;""),"ENTREGADO","POR RECOGER")</f>
        <v/>
      </c>
      <c r="AA65" s="198" t="n"/>
      <c r="AB65" s="198" t="n"/>
      <c r="AC65" s="198" t="n"/>
    </row>
    <row r="66" hidden="1" ht="15.75" customHeight="1" s="195">
      <c r="A66" s="301" t="n">
        <v>61</v>
      </c>
      <c r="B66" s="302" t="inlineStr">
        <is>
          <t>0000015</t>
        </is>
      </c>
      <c r="C66" s="301" t="inlineStr">
        <is>
          <t>REGION</t>
        </is>
      </c>
      <c r="D66" s="302" t="inlineStr">
        <is>
          <t>PORTOCARRERO PORTOCARRERO MARIA</t>
        </is>
      </c>
      <c r="E66" s="301" t="inlineStr">
        <is>
          <t>DNI</t>
        </is>
      </c>
      <c r="F66" s="301" t="inlineStr">
        <is>
          <t>46109691</t>
        </is>
      </c>
      <c r="G66" s="331" t="n">
        <v>46043</v>
      </c>
      <c r="H66" s="301" t="inlineStr">
        <is>
          <t>4943</t>
        </is>
      </c>
      <c r="I66" s="332">
        <f>IFERROR(VLOOKUP(TEXT(H66,"0"),IPRESS!$A$3:$B$212,2,0),"")</f>
        <v/>
      </c>
      <c r="J66" s="301" t="inlineStr">
        <is>
          <t>4950</t>
        </is>
      </c>
      <c r="K66" s="332" t="inlineStr">
        <is>
          <t>PETROLEO</t>
        </is>
      </c>
      <c r="L66" s="245" t="n">
        <v>20.25</v>
      </c>
      <c r="M66" s="245" t="n">
        <v>3</v>
      </c>
      <c r="N66" s="333">
        <f>IFERROR(IF(L66*M66=0,"",L66*M66),"")</f>
        <v/>
      </c>
      <c r="O66" s="301" t="inlineStr">
        <is>
          <t>40083507</t>
        </is>
      </c>
      <c r="P66" s="332">
        <f>IFERROR(VLOOKUP(TEXT(O66,"0"),CONDUCTORES!$A$3:$G$100,2,0),"")</f>
        <v/>
      </c>
      <c r="Q66" s="332">
        <f>IFERROR(VLOOKUP(TEXT(O66,"0"),CONDUCTORES!$A$3:$H$100,6,0),"")</f>
        <v/>
      </c>
      <c r="R66" s="334" t="n"/>
      <c r="S66" s="302" t="inlineStr">
        <is>
          <t>Z359,O141</t>
        </is>
      </c>
      <c r="T66" s="301" t="inlineStr">
        <is>
          <t>APROBADO</t>
        </is>
      </c>
      <c r="U66" s="334" t="n"/>
      <c r="V66" s="302" t="n"/>
      <c r="W66" s="301" t="n"/>
      <c r="X66" s="301" t="n"/>
      <c r="Y66" s="280" t="n"/>
      <c r="Z66" s="350">
        <f>IF(AND(R66&lt;&gt;"",V66&lt;&gt;"",W66&lt;&gt;"",X66&lt;&gt;""),"ENTREGADO","POR RECOGER")</f>
        <v/>
      </c>
      <c r="AA66" s="198" t="n"/>
      <c r="AB66" s="198" t="n"/>
      <c r="AC66" s="198" t="n"/>
    </row>
    <row r="67" hidden="1" ht="15.75" customHeight="1" s="195">
      <c r="A67" s="241" t="n">
        <v>62</v>
      </c>
      <c r="B67" s="305" t="inlineStr">
        <is>
          <t>0000069</t>
        </is>
      </c>
      <c r="C67" s="241" t="inlineStr">
        <is>
          <t>REGION</t>
        </is>
      </c>
      <c r="D67" s="305" t="inlineStr">
        <is>
          <t>VALLEJOS FERNANDEZ SEILI DEL CARMEN</t>
        </is>
      </c>
      <c r="E67" s="241" t="inlineStr">
        <is>
          <t>DNI</t>
        </is>
      </c>
      <c r="F67" s="241" t="inlineStr">
        <is>
          <t>76650410</t>
        </is>
      </c>
      <c r="G67" s="336" t="n">
        <v>46041</v>
      </c>
      <c r="H67" s="241" t="inlineStr">
        <is>
          <t>4850</t>
        </is>
      </c>
      <c r="I67" s="332">
        <f>IFERROR(VLOOKUP(TEXT(H67,"0"),IPRESS!$A$3:$B$212,2,0),"")</f>
        <v/>
      </c>
      <c r="J67" s="241" t="inlineStr">
        <is>
          <t>4838</t>
        </is>
      </c>
      <c r="K67" s="332" t="inlineStr">
        <is>
          <t>PETROLEO</t>
        </is>
      </c>
      <c r="L67" s="239" t="n">
        <v>18.18</v>
      </c>
      <c r="M67" s="239" t="n">
        <v>4</v>
      </c>
      <c r="N67" s="333">
        <f>IFERROR(IF(L67*M67=0,"",L67*M67),"")</f>
        <v/>
      </c>
      <c r="O67" s="241" t="inlineStr">
        <is>
          <t>41055990</t>
        </is>
      </c>
      <c r="P67" s="332">
        <f>IFERROR(VLOOKUP(TEXT(O67,"0"),CONDUCTORES!$A$3:$G$100,2,0),"")</f>
        <v/>
      </c>
      <c r="Q67" s="332">
        <f>IFERROR(VLOOKUP(TEXT(O67,"0"),CONDUCTORES!$A$3:$H$100,6,0),"")</f>
        <v/>
      </c>
      <c r="R67" s="280" t="n"/>
      <c r="S67" s="305" t="inlineStr">
        <is>
          <t>O149</t>
        </is>
      </c>
      <c r="T67" s="241" t="inlineStr">
        <is>
          <t>APROBADO</t>
        </is>
      </c>
      <c r="U67" s="280" t="n"/>
      <c r="V67" s="305" t="n"/>
      <c r="W67" s="241" t="n"/>
      <c r="X67" s="241" t="n"/>
      <c r="Y67" s="280" t="n"/>
      <c r="Z67" s="350">
        <f>IF(AND(R67&lt;&gt;"",V67&lt;&gt;"",W67&lt;&gt;"",X67&lt;&gt;""),"ENTREGADO","POR RECOGER")</f>
        <v/>
      </c>
      <c r="AA67" s="198" t="n"/>
      <c r="AB67" s="198" t="n"/>
      <c r="AC67" s="198" t="n"/>
    </row>
    <row r="68" hidden="1" ht="15.75" customHeight="1" s="195">
      <c r="A68" s="301" t="n">
        <v>63</v>
      </c>
      <c r="B68" s="302" t="inlineStr">
        <is>
          <t>0000070</t>
        </is>
      </c>
      <c r="C68" s="301" t="inlineStr">
        <is>
          <t>REGION</t>
        </is>
      </c>
      <c r="D68" s="302" t="inlineStr">
        <is>
          <t>GOMEZ GOMEZ MAYCOL LLAMPIER</t>
        </is>
      </c>
      <c r="E68" s="301" t="inlineStr">
        <is>
          <t>DNI</t>
        </is>
      </c>
      <c r="F68" s="301" t="inlineStr">
        <is>
          <t>60032138</t>
        </is>
      </c>
      <c r="G68" s="331" t="n">
        <v>46045</v>
      </c>
      <c r="H68" s="301" t="inlineStr">
        <is>
          <t>4850</t>
        </is>
      </c>
      <c r="I68" s="332">
        <f>IFERROR(VLOOKUP(TEXT(H68,"0"),IPRESS!$A$3:$B$212,2,0),"")</f>
        <v/>
      </c>
      <c r="J68" s="301" t="inlineStr">
        <is>
          <t>4838</t>
        </is>
      </c>
      <c r="K68" s="332" t="inlineStr">
        <is>
          <t>PETROLEO</t>
        </is>
      </c>
      <c r="L68" s="245" t="n">
        <v>18.18</v>
      </c>
      <c r="M68" s="245" t="n">
        <v>4</v>
      </c>
      <c r="N68" s="333">
        <f>IFERROR(IF(L68*M68=0,"",L68*M68),"")</f>
        <v/>
      </c>
      <c r="O68" s="301" t="inlineStr">
        <is>
          <t>45309596</t>
        </is>
      </c>
      <c r="P68" s="332">
        <f>IFERROR(VLOOKUP(TEXT(O68,"0"),CONDUCTORES!$A$3:$G$100,2,0),"")</f>
        <v/>
      </c>
      <c r="Q68" s="332">
        <f>IFERROR(VLOOKUP(TEXT(O68,"0"),CONDUCTORES!$A$3:$H$100,6,0),"")</f>
        <v/>
      </c>
      <c r="R68" s="334" t="n"/>
      <c r="S68" s="302" t="inlineStr">
        <is>
          <t>S009,S017</t>
        </is>
      </c>
      <c r="T68" s="301" t="inlineStr">
        <is>
          <t>APROBADO</t>
        </is>
      </c>
      <c r="U68" s="334" t="n"/>
      <c r="V68" s="302" t="n"/>
      <c r="W68" s="301" t="n"/>
      <c r="X68" s="301" t="n"/>
      <c r="Y68" s="280" t="n"/>
      <c r="Z68" s="350">
        <f>IF(AND(R68&lt;&gt;"",V68&lt;&gt;"",W68&lt;&gt;"",X68&lt;&gt;""),"ENTREGADO","POR RECOGER")</f>
        <v/>
      </c>
      <c r="AA68" s="198" t="n"/>
      <c r="AB68" s="198" t="n"/>
      <c r="AC68" s="198" t="n"/>
    </row>
    <row r="69" hidden="1" ht="15.75" customHeight="1" s="195">
      <c r="A69" s="241" t="n">
        <v>64</v>
      </c>
      <c r="B69" s="305" t="inlineStr">
        <is>
          <t>0000071</t>
        </is>
      </c>
      <c r="C69" s="241" t="inlineStr">
        <is>
          <t>REGION</t>
        </is>
      </c>
      <c r="D69" s="305" t="inlineStr">
        <is>
          <t>SANTILLAN YALTA SEGUNDO MELQUIADES</t>
        </is>
      </c>
      <c r="E69" s="241" t="inlineStr">
        <is>
          <t>DNI</t>
        </is>
      </c>
      <c r="F69" s="241" t="inlineStr">
        <is>
          <t>41690429</t>
        </is>
      </c>
      <c r="G69" s="336" t="n">
        <v>46050</v>
      </c>
      <c r="H69" s="241" t="inlineStr">
        <is>
          <t>4850</t>
        </is>
      </c>
      <c r="I69" s="332">
        <f>IFERROR(VLOOKUP(TEXT(H69,"0"),IPRESS!$A$3:$B$212,2,0),"")</f>
        <v/>
      </c>
      <c r="J69" s="241" t="inlineStr">
        <is>
          <t>4838</t>
        </is>
      </c>
      <c r="K69" s="332" t="inlineStr">
        <is>
          <t>PETROLEO</t>
        </is>
      </c>
      <c r="L69" s="239" t="n">
        <v>18.18</v>
      </c>
      <c r="M69" s="239" t="n">
        <v>4</v>
      </c>
      <c r="N69" s="333">
        <f>IFERROR(IF(L69*M69=0,"",L69*M69),"")</f>
        <v/>
      </c>
      <c r="O69" s="241" t="inlineStr">
        <is>
          <t>41055990</t>
        </is>
      </c>
      <c r="P69" s="332">
        <f>IFERROR(VLOOKUP(TEXT(O69,"0"),CONDUCTORES!$A$3:$G$100,2,0),"")</f>
        <v/>
      </c>
      <c r="Q69" s="332">
        <f>IFERROR(VLOOKUP(TEXT(O69,"0"),CONDUCTORES!$A$3:$H$100,6,0),"")</f>
        <v/>
      </c>
      <c r="R69" s="280" t="n"/>
      <c r="S69" s="305" t="inlineStr">
        <is>
          <t>S517,S301,S700</t>
        </is>
      </c>
      <c r="T69" s="241" t="inlineStr">
        <is>
          <t>APROBADO</t>
        </is>
      </c>
      <c r="U69" s="280" t="n"/>
      <c r="V69" s="305" t="n"/>
      <c r="W69" s="241" t="n"/>
      <c r="X69" s="241" t="n"/>
      <c r="Y69" s="280" t="n"/>
      <c r="Z69" s="350">
        <f>IF(AND(R69&lt;&gt;"",V69&lt;&gt;"",W69&lt;&gt;"",X69&lt;&gt;""),"ENTREGADO","POR RECOGER")</f>
        <v/>
      </c>
      <c r="AA69" s="198" t="n"/>
      <c r="AB69" s="198" t="n"/>
      <c r="AC69" s="198" t="n"/>
    </row>
    <row r="70" hidden="1" ht="15.75" customHeight="1" s="195">
      <c r="A70" s="301" t="n">
        <v>65</v>
      </c>
      <c r="B70" s="302" t="inlineStr">
        <is>
          <t>0000011</t>
        </is>
      </c>
      <c r="C70" s="301" t="inlineStr">
        <is>
          <t>REGION</t>
        </is>
      </c>
      <c r="D70" s="302" t="inlineStr">
        <is>
          <t>RODRIGUEZ CHAVEZ RELI JHUDIT</t>
        </is>
      </c>
      <c r="E70" s="301" t="inlineStr">
        <is>
          <t>DNI</t>
        </is>
      </c>
      <c r="F70" s="301" t="inlineStr">
        <is>
          <t>48765807</t>
        </is>
      </c>
      <c r="G70" s="331" t="n">
        <v>46038</v>
      </c>
      <c r="H70" s="301" t="inlineStr">
        <is>
          <t>4858</t>
        </is>
      </c>
      <c r="I70" s="332">
        <f>IFERROR(VLOOKUP(TEXT(H70,"0"),IPRESS!$A$3:$B$212,2,0),"")</f>
        <v/>
      </c>
      <c r="J70" s="301" t="inlineStr">
        <is>
          <t>4838</t>
        </is>
      </c>
      <c r="K70" s="332" t="inlineStr">
        <is>
          <t>PETROLEO</t>
        </is>
      </c>
      <c r="L70" s="245" t="n">
        <v>18.18</v>
      </c>
      <c r="M70" s="245" t="n">
        <v>15</v>
      </c>
      <c r="N70" s="333">
        <f>IFERROR(IF(L70*M70=0,"",L70*M70),"")</f>
        <v/>
      </c>
      <c r="O70" s="301" t="inlineStr">
        <is>
          <t>44426318</t>
        </is>
      </c>
      <c r="P70" s="332">
        <f>IFERROR(VLOOKUP(TEXT(O70,"0"),CONDUCTORES!$A$3:$G$100,2,0),"")</f>
        <v/>
      </c>
      <c r="Q70" s="332">
        <f>IFERROR(VLOOKUP(TEXT(O70,"0"),CONDUCTORES!$A$3:$H$100,6,0),"")</f>
        <v/>
      </c>
      <c r="R70" s="334" t="n"/>
      <c r="S70" s="302" t="inlineStr">
        <is>
          <t>O369,O210</t>
        </is>
      </c>
      <c r="T70" s="301" t="inlineStr">
        <is>
          <t>APROBADO</t>
        </is>
      </c>
      <c r="U70" s="334" t="n"/>
      <c r="V70" s="302" t="n"/>
      <c r="W70" s="301" t="n"/>
      <c r="X70" s="301" t="n"/>
      <c r="Y70" s="280" t="n"/>
      <c r="Z70" s="350">
        <f>IF(AND(R70&lt;&gt;"",V70&lt;&gt;"",W70&lt;&gt;"",X70&lt;&gt;""),"ENTREGADO","POR RECOGER")</f>
        <v/>
      </c>
      <c r="AA70" s="198" t="n"/>
      <c r="AB70" s="198" t="n"/>
      <c r="AC70" s="198" t="n"/>
    </row>
    <row r="71" hidden="1" ht="15.75" customHeight="1" s="195">
      <c r="A71" s="241" t="n">
        <v>66</v>
      </c>
      <c r="B71" s="305" t="inlineStr">
        <is>
          <t>0000116</t>
        </is>
      </c>
      <c r="C71" s="241" t="inlineStr">
        <is>
          <t>REGION</t>
        </is>
      </c>
      <c r="D71" s="305" t="inlineStr">
        <is>
          <t>ESPARRAGA CASTILLO KEYNE MICHEL</t>
        </is>
      </c>
      <c r="E71" s="241" t="inlineStr">
        <is>
          <t>DNI</t>
        </is>
      </c>
      <c r="F71" s="241" t="inlineStr">
        <is>
          <t>94051643</t>
        </is>
      </c>
      <c r="G71" s="336" t="n">
        <v>46037</v>
      </c>
      <c r="H71" s="241" t="inlineStr">
        <is>
          <t>4922</t>
        </is>
      </c>
      <c r="I71" s="332">
        <f>IFERROR(VLOOKUP(TEXT(H71,"0"),IPRESS!$A$3:$B$212,2,0),"")</f>
        <v/>
      </c>
      <c r="J71" s="241" t="inlineStr">
        <is>
          <t>4838</t>
        </is>
      </c>
      <c r="K71" s="332" t="inlineStr">
        <is>
          <t>PETROLEO</t>
        </is>
      </c>
      <c r="L71" s="239" t="n">
        <v>18.18</v>
      </c>
      <c r="M71" s="239" t="n">
        <v>5</v>
      </c>
      <c r="N71" s="333">
        <f>IFERROR(IF(L71*M71=0,"",L71*M71),"")</f>
        <v/>
      </c>
      <c r="O71" s="241" t="inlineStr">
        <is>
          <t>33401502</t>
        </is>
      </c>
      <c r="P71" s="332">
        <f>IFERROR(VLOOKUP(TEXT(O71,"0"),CONDUCTORES!$A$3:$G$100,2,0),"")</f>
        <v/>
      </c>
      <c r="Q71" s="332">
        <f>IFERROR(VLOOKUP(TEXT(O71,"0"),CONDUCTORES!$A$3:$H$100,6,0),"")</f>
        <v/>
      </c>
      <c r="R71" s="280" t="n"/>
      <c r="S71" s="305" t="inlineStr">
        <is>
          <t>E86X,R11X,R509</t>
        </is>
      </c>
      <c r="T71" s="241" t="inlineStr">
        <is>
          <t>APROBADO</t>
        </is>
      </c>
      <c r="U71" s="280" t="n"/>
      <c r="V71" s="305" t="n"/>
      <c r="W71" s="241" t="n"/>
      <c r="X71" s="241" t="n"/>
      <c r="Y71" s="280" t="n"/>
      <c r="Z71" s="350">
        <f>IF(AND(R71&lt;&gt;"",V71&lt;&gt;"",W71&lt;&gt;"",X71&lt;&gt;""),"ENTREGADO","POR RECOGER")</f>
        <v/>
      </c>
      <c r="AA71" s="198" t="n"/>
      <c r="AB71" s="198" t="n"/>
      <c r="AC71" s="198" t="n"/>
    </row>
    <row r="72" hidden="1" ht="15.75" customHeight="1" s="195">
      <c r="A72" s="301" t="n">
        <v>67</v>
      </c>
      <c r="B72" s="302" t="inlineStr">
        <is>
          <t>0000055</t>
        </is>
      </c>
      <c r="C72" s="301" t="inlineStr">
        <is>
          <t>REGION</t>
        </is>
      </c>
      <c r="D72" s="302" t="inlineStr">
        <is>
          <t>VALLEJOS FUENTES ROYMER</t>
        </is>
      </c>
      <c r="E72" s="301" t="inlineStr">
        <is>
          <t>DNI</t>
        </is>
      </c>
      <c r="F72" s="301" t="inlineStr">
        <is>
          <t>41151923</t>
        </is>
      </c>
      <c r="G72" s="331" t="n">
        <v>46047</v>
      </c>
      <c r="H72" s="301" t="inlineStr">
        <is>
          <t>4876</t>
        </is>
      </c>
      <c r="I72" s="332">
        <f>IFERROR(VLOOKUP(TEXT(H72,"0"),IPRESS!$A$3:$B$212,2,0),"")</f>
        <v/>
      </c>
      <c r="J72" s="301" t="inlineStr">
        <is>
          <t>4838</t>
        </is>
      </c>
      <c r="K72" s="332" t="inlineStr">
        <is>
          <t>PETROLEO</t>
        </is>
      </c>
      <c r="L72" s="245" t="n">
        <v>18.18</v>
      </c>
      <c r="M72" s="245" t="n">
        <v>20</v>
      </c>
      <c r="N72" s="333">
        <f>IFERROR(IF(L72*M72=0,"",L72*M72),"")</f>
        <v/>
      </c>
      <c r="O72" s="301" t="n">
        <v>16712192</v>
      </c>
      <c r="P72" s="332">
        <f>IFERROR(VLOOKUP(TEXT(O72,"0"),CONDUCTORES!$A$3:$G$100,2,0),"")</f>
        <v/>
      </c>
      <c r="Q72" s="332">
        <f>IFERROR(VLOOKUP(TEXT(O72,"0"),CONDUCTORES!$A$3:$H$100,6,0),"")</f>
        <v/>
      </c>
      <c r="R72" s="334" t="n"/>
      <c r="S72" s="302" t="inlineStr">
        <is>
          <t>S469</t>
        </is>
      </c>
      <c r="T72" s="301" t="inlineStr">
        <is>
          <t>APROBADO</t>
        </is>
      </c>
      <c r="U72" s="334" t="n"/>
      <c r="V72" s="302" t="n"/>
      <c r="W72" s="301" t="n"/>
      <c r="X72" s="301" t="n"/>
      <c r="Y72" s="280" t="n"/>
      <c r="Z72" s="350">
        <f>IF(AND(R72&lt;&gt;"",V72&lt;&gt;"",W72&lt;&gt;"",X72&lt;&gt;""),"ENTREGADO","POR RECOGER")</f>
        <v/>
      </c>
      <c r="AA72" s="198" t="n"/>
      <c r="AB72" s="198" t="n"/>
      <c r="AC72" s="198" t="n"/>
    </row>
    <row r="73" hidden="1" ht="15.75" customHeight="1" s="195">
      <c r="A73" s="241" t="n">
        <v>68</v>
      </c>
      <c r="B73" s="305" t="inlineStr">
        <is>
          <t>0000054</t>
        </is>
      </c>
      <c r="C73" s="241" t="inlineStr">
        <is>
          <t>REGION</t>
        </is>
      </c>
      <c r="D73" s="305" t="inlineStr">
        <is>
          <t>GUADALUPE MELENDEZ SILVIA MERCEDES</t>
        </is>
      </c>
      <c r="E73" s="241" t="inlineStr">
        <is>
          <t>DNI</t>
        </is>
      </c>
      <c r="F73" s="241" t="inlineStr">
        <is>
          <t>80399218</t>
        </is>
      </c>
      <c r="G73" s="336" t="n">
        <v>46037</v>
      </c>
      <c r="H73" s="241" t="inlineStr">
        <is>
          <t>4876</t>
        </is>
      </c>
      <c r="I73" s="332">
        <f>IFERROR(VLOOKUP(TEXT(H73,"0"),IPRESS!$A$3:$B$212,2,0),"")</f>
        <v/>
      </c>
      <c r="J73" s="241" t="inlineStr">
        <is>
          <t>4838</t>
        </is>
      </c>
      <c r="K73" s="332" t="inlineStr">
        <is>
          <t>PETROLEO</t>
        </is>
      </c>
      <c r="L73" s="239" t="n">
        <v>18.18</v>
      </c>
      <c r="M73" s="239" t="n">
        <v>20</v>
      </c>
      <c r="N73" s="333">
        <f>IFERROR(IF(L73*M73=0,"",L73*M73),"")</f>
        <v/>
      </c>
      <c r="O73" s="241" t="n">
        <v>16712192</v>
      </c>
      <c r="P73" s="332">
        <f>IFERROR(VLOOKUP(TEXT(O73,"0"),CONDUCTORES!$A$3:$G$100,2,0),"")</f>
        <v/>
      </c>
      <c r="Q73" s="332">
        <f>IFERROR(VLOOKUP(TEXT(O73,"0"),CONDUCTORES!$A$3:$H$100,6,0),"")</f>
        <v/>
      </c>
      <c r="R73" s="280" t="n"/>
      <c r="S73" s="305" t="inlineStr">
        <is>
          <t>I219</t>
        </is>
      </c>
      <c r="T73" s="241" t="inlineStr">
        <is>
          <t>APROBADO</t>
        </is>
      </c>
      <c r="U73" s="280" t="n"/>
      <c r="V73" s="305" t="n"/>
      <c r="W73" s="241" t="n"/>
      <c r="X73" s="241" t="n"/>
      <c r="Y73" s="280" t="n"/>
      <c r="Z73" s="350">
        <f>IF(AND(R73&lt;&gt;"",V73&lt;&gt;"",W73&lt;&gt;"",X73&lt;&gt;""),"ENTREGADO","POR RECOGER")</f>
        <v/>
      </c>
      <c r="AA73" s="198" t="n"/>
      <c r="AB73" s="198" t="n"/>
      <c r="AC73" s="198" t="n"/>
    </row>
    <row r="74" hidden="1" ht="15.75" customHeight="1" s="195">
      <c r="A74" s="301" t="n">
        <v>69</v>
      </c>
      <c r="B74" s="302" t="inlineStr">
        <is>
          <t>0000111</t>
        </is>
      </c>
      <c r="C74" s="301" t="inlineStr">
        <is>
          <t>REGION</t>
        </is>
      </c>
      <c r="D74" s="302" t="inlineStr">
        <is>
          <t>LOPEZ RAMOS YOBANITA</t>
        </is>
      </c>
      <c r="E74" s="301" t="inlineStr">
        <is>
          <t>DNI</t>
        </is>
      </c>
      <c r="F74" s="301" t="inlineStr">
        <is>
          <t>61683414</t>
        </is>
      </c>
      <c r="G74" s="331" t="n">
        <v>46045</v>
      </c>
      <c r="H74" s="301" t="inlineStr">
        <is>
          <t>4932</t>
        </is>
      </c>
      <c r="I74" s="332">
        <f>IFERROR(VLOOKUP(TEXT(H74,"0"),IPRESS!$A$3:$B$212,2,0),"")</f>
        <v/>
      </c>
      <c r="J74" s="301" t="inlineStr">
        <is>
          <t>4838</t>
        </is>
      </c>
      <c r="K74" s="332" t="inlineStr">
        <is>
          <t>PETROLEO</t>
        </is>
      </c>
      <c r="L74" s="245" t="n">
        <v>18.18</v>
      </c>
      <c r="M74" s="245" t="n">
        <v>6</v>
      </c>
      <c r="N74" s="333">
        <f>IFERROR(IF(L74*M74=0,"",L74*M74),"")</f>
        <v/>
      </c>
      <c r="O74" s="301" t="inlineStr">
        <is>
          <t>33727119</t>
        </is>
      </c>
      <c r="P74" s="332">
        <f>IFERROR(VLOOKUP(TEXT(O74,"0"),CONDUCTORES!$A$3:$G$100,2,0),"")</f>
        <v/>
      </c>
      <c r="Q74" s="332">
        <f>IFERROR(VLOOKUP(TEXT(O74,"0"),CONDUCTORES!$A$3:$H$100,6,0),"")</f>
        <v/>
      </c>
      <c r="R74" s="334" t="n"/>
      <c r="S74" s="302" t="inlineStr">
        <is>
          <t>R103,K37X</t>
        </is>
      </c>
      <c r="T74" s="301" t="inlineStr">
        <is>
          <t>APROBADO</t>
        </is>
      </c>
      <c r="U74" s="334" t="n"/>
      <c r="V74" s="302" t="n"/>
      <c r="W74" s="301" t="n"/>
      <c r="X74" s="301" t="n"/>
      <c r="Y74" s="280" t="n"/>
      <c r="Z74" s="350">
        <f>IF(AND(R74&lt;&gt;"",V74&lt;&gt;"",W74&lt;&gt;"",X74&lt;&gt;""),"ENTREGADO","POR RECOGER")</f>
        <v/>
      </c>
      <c r="AA74" s="198" t="n"/>
      <c r="AB74" s="198" t="n"/>
      <c r="AC74" s="198" t="n"/>
    </row>
    <row r="75" hidden="1" ht="15.75" customHeight="1" s="195">
      <c r="A75" s="241" t="n">
        <v>70</v>
      </c>
      <c r="B75" s="305" t="inlineStr">
        <is>
          <t>0000113</t>
        </is>
      </c>
      <c r="C75" s="241" t="inlineStr">
        <is>
          <t>REGION</t>
        </is>
      </c>
      <c r="D75" s="305" t="inlineStr">
        <is>
          <t>LEIVA AGUILAR SABINA</t>
        </is>
      </c>
      <c r="E75" s="241" t="inlineStr">
        <is>
          <t>DNI</t>
        </is>
      </c>
      <c r="F75" s="241" t="inlineStr">
        <is>
          <t>70208555</t>
        </is>
      </c>
      <c r="G75" s="336" t="n">
        <v>46050</v>
      </c>
      <c r="H75" s="241" t="inlineStr">
        <is>
          <t>4932</t>
        </is>
      </c>
      <c r="I75" s="332">
        <f>IFERROR(VLOOKUP(TEXT(H75,"0"),IPRESS!$A$3:$B$212,2,0),"")</f>
        <v/>
      </c>
      <c r="J75" s="241" t="inlineStr">
        <is>
          <t>4838</t>
        </is>
      </c>
      <c r="K75" s="332" t="inlineStr">
        <is>
          <t>PETROLEO</t>
        </is>
      </c>
      <c r="L75" s="239" t="n">
        <v>18.18</v>
      </c>
      <c r="M75" s="239" t="n">
        <v>6</v>
      </c>
      <c r="N75" s="333">
        <f>IFERROR(IF(L75*M75=0,"",L75*M75),"")</f>
        <v/>
      </c>
      <c r="O75" s="241" t="inlineStr">
        <is>
          <t>33727119</t>
        </is>
      </c>
      <c r="P75" s="332">
        <f>IFERROR(VLOOKUP(TEXT(O75,"0"),CONDUCTORES!$A$3:$G$100,2,0),"")</f>
        <v/>
      </c>
      <c r="Q75" s="332">
        <f>IFERROR(VLOOKUP(TEXT(O75,"0"),CONDUCTORES!$A$3:$H$100,6,0),"")</f>
        <v/>
      </c>
      <c r="R75" s="280" t="n"/>
      <c r="S75" s="305" t="inlineStr">
        <is>
          <t>Z359,O141</t>
        </is>
      </c>
      <c r="T75" s="241" t="inlineStr">
        <is>
          <t>APROBADO</t>
        </is>
      </c>
      <c r="U75" s="280" t="n"/>
      <c r="V75" s="305" t="n"/>
      <c r="W75" s="241" t="n"/>
      <c r="X75" s="241" t="n"/>
      <c r="Y75" s="280" t="n"/>
      <c r="Z75" s="350">
        <f>IF(AND(R75&lt;&gt;"",V75&lt;&gt;"",W75&lt;&gt;"",X75&lt;&gt;""),"ENTREGADO","POR RECOGER")</f>
        <v/>
      </c>
      <c r="AA75" s="198" t="n"/>
      <c r="AB75" s="198" t="n"/>
      <c r="AC75" s="198" t="n"/>
    </row>
    <row r="76" hidden="1" ht="15.75" customHeight="1" s="195">
      <c r="A76" s="301" t="n">
        <v>71</v>
      </c>
      <c r="B76" s="302" t="inlineStr">
        <is>
          <t>0000110</t>
        </is>
      </c>
      <c r="C76" s="301" t="inlineStr">
        <is>
          <t>REGION</t>
        </is>
      </c>
      <c r="D76" s="302" t="inlineStr">
        <is>
          <t>FERNANDEZ GUEVARA DELA MARIBEL</t>
        </is>
      </c>
      <c r="E76" s="301" t="inlineStr">
        <is>
          <t>DNI</t>
        </is>
      </c>
      <c r="F76" s="301" t="inlineStr">
        <is>
          <t>43009631</t>
        </is>
      </c>
      <c r="G76" s="331" t="n">
        <v>46044</v>
      </c>
      <c r="H76" s="301" t="inlineStr">
        <is>
          <t>4932</t>
        </is>
      </c>
      <c r="I76" s="332">
        <f>IFERROR(VLOOKUP(TEXT(H76,"0"),IPRESS!$A$3:$B$212,2,0),"")</f>
        <v/>
      </c>
      <c r="J76" s="301" t="inlineStr">
        <is>
          <t>4838</t>
        </is>
      </c>
      <c r="K76" s="332" t="inlineStr">
        <is>
          <t>PETROLEO</t>
        </is>
      </c>
      <c r="L76" s="245" t="n">
        <v>18.18</v>
      </c>
      <c r="M76" s="245" t="n">
        <v>6</v>
      </c>
      <c r="N76" s="333">
        <f>IFERROR(IF(L76*M76=0,"",L76*M76),"")</f>
        <v/>
      </c>
      <c r="O76" s="301" t="inlineStr">
        <is>
          <t>33727119</t>
        </is>
      </c>
      <c r="P76" s="332">
        <f>IFERROR(VLOOKUP(TEXT(O76,"0"),CONDUCTORES!$A$3:$G$100,2,0),"")</f>
        <v/>
      </c>
      <c r="Q76" s="332">
        <f>IFERROR(VLOOKUP(TEXT(O76,"0"),CONDUCTORES!$A$3:$H$100,6,0),"")</f>
        <v/>
      </c>
      <c r="R76" s="334" t="n"/>
      <c r="S76" s="302" t="inlineStr">
        <is>
          <t>I160,I499,E878</t>
        </is>
      </c>
      <c r="T76" s="301" t="inlineStr">
        <is>
          <t>APROBADO</t>
        </is>
      </c>
      <c r="U76" s="334" t="n"/>
      <c r="V76" s="302" t="n"/>
      <c r="W76" s="301" t="n"/>
      <c r="X76" s="301" t="n"/>
      <c r="Y76" s="280" t="n"/>
      <c r="Z76" s="350">
        <f>IF(AND(R76&lt;&gt;"",V76&lt;&gt;"",W76&lt;&gt;"",X76&lt;&gt;""),"ENTREGADO","POR RECOGER")</f>
        <v/>
      </c>
      <c r="AA76" s="198" t="n"/>
      <c r="AB76" s="198" t="n"/>
      <c r="AC76" s="198" t="n"/>
    </row>
    <row r="77" hidden="1" ht="15.75" customHeight="1" s="195">
      <c r="A77" s="241" t="n">
        <v>72</v>
      </c>
      <c r="B77" s="305" t="inlineStr">
        <is>
          <t>0000112</t>
        </is>
      </c>
      <c r="C77" s="241" t="inlineStr">
        <is>
          <t>REGION</t>
        </is>
      </c>
      <c r="D77" s="305" t="inlineStr">
        <is>
          <t>HERRERA VASQUEZ MARY LUZ</t>
        </is>
      </c>
      <c r="E77" s="241" t="inlineStr">
        <is>
          <t>DNI</t>
        </is>
      </c>
      <c r="F77" s="241" t="inlineStr">
        <is>
          <t>71622319</t>
        </is>
      </c>
      <c r="G77" s="336" t="n">
        <v>46048</v>
      </c>
      <c r="H77" s="241" t="inlineStr">
        <is>
          <t>4932</t>
        </is>
      </c>
      <c r="I77" s="332">
        <f>IFERROR(VLOOKUP(TEXT(H77,"0"),IPRESS!$A$3:$B$212,2,0),"")</f>
        <v/>
      </c>
      <c r="J77" s="241" t="inlineStr">
        <is>
          <t>4838</t>
        </is>
      </c>
      <c r="K77" s="332" t="inlineStr">
        <is>
          <t>PETROLEO</t>
        </is>
      </c>
      <c r="L77" s="239" t="n">
        <v>18.18</v>
      </c>
      <c r="M77" s="239" t="n">
        <v>6</v>
      </c>
      <c r="N77" s="333">
        <f>IFERROR(IF(L77*M77=0,"",L77*M77),"")</f>
        <v/>
      </c>
      <c r="O77" s="241" t="inlineStr">
        <is>
          <t>33727119</t>
        </is>
      </c>
      <c r="P77" s="332">
        <f>IFERROR(VLOOKUP(TEXT(O77,"0"),CONDUCTORES!$A$3:$G$100,2,0),"")</f>
        <v/>
      </c>
      <c r="Q77" s="332">
        <f>IFERROR(VLOOKUP(TEXT(O77,"0"),CONDUCTORES!$A$3:$H$100,6,0),"")</f>
        <v/>
      </c>
      <c r="R77" s="280" t="n"/>
      <c r="S77" s="305" t="inlineStr">
        <is>
          <t>Z390,O730</t>
        </is>
      </c>
      <c r="T77" s="241" t="inlineStr">
        <is>
          <t>APROBADO</t>
        </is>
      </c>
      <c r="U77" s="280" t="n"/>
      <c r="V77" s="305" t="n"/>
      <c r="W77" s="241" t="n"/>
      <c r="X77" s="241" t="n"/>
      <c r="Y77" s="280" t="n"/>
      <c r="Z77" s="350">
        <f>IF(AND(R77&lt;&gt;"",V77&lt;&gt;"",W77&lt;&gt;"",X77&lt;&gt;""),"ENTREGADO","POR RECOGER")</f>
        <v/>
      </c>
      <c r="AA77" s="198" t="n"/>
      <c r="AB77" s="198" t="n"/>
      <c r="AC77" s="198" t="n"/>
    </row>
    <row r="78" hidden="1" ht="15.75" customHeight="1" s="195">
      <c r="A78" s="301" t="n">
        <v>73</v>
      </c>
      <c r="B78" s="302" t="inlineStr">
        <is>
          <t>0000115</t>
        </is>
      </c>
      <c r="C78" s="301" t="inlineStr">
        <is>
          <t>REGION</t>
        </is>
      </c>
      <c r="D78" s="302" t="inlineStr">
        <is>
          <t>VASQUEZ ABANTO YRAIDA</t>
        </is>
      </c>
      <c r="E78" s="301" t="inlineStr">
        <is>
          <t>DNI</t>
        </is>
      </c>
      <c r="F78" s="301" t="inlineStr">
        <is>
          <t>45514612</t>
        </is>
      </c>
      <c r="G78" s="331" t="n">
        <v>46050</v>
      </c>
      <c r="H78" s="301" t="inlineStr">
        <is>
          <t>4932</t>
        </is>
      </c>
      <c r="I78" s="332">
        <f>IFERROR(VLOOKUP(TEXT(H78,"0"),IPRESS!$A$3:$B$212,2,0),"")</f>
        <v/>
      </c>
      <c r="J78" s="301" t="inlineStr">
        <is>
          <t>4838</t>
        </is>
      </c>
      <c r="K78" s="332" t="inlineStr">
        <is>
          <t>PETROLEO</t>
        </is>
      </c>
      <c r="L78" s="245" t="n">
        <v>18.18</v>
      </c>
      <c r="M78" s="245" t="n">
        <v>6</v>
      </c>
      <c r="N78" s="333">
        <f>IFERROR(IF(L78*M78=0,"",L78*M78),"")</f>
        <v/>
      </c>
      <c r="O78" s="301" t="inlineStr">
        <is>
          <t>33727119</t>
        </is>
      </c>
      <c r="P78" s="332">
        <f>IFERROR(VLOOKUP(TEXT(O78,"0"),CONDUCTORES!$A$3:$G$100,2,0),"")</f>
        <v/>
      </c>
      <c r="Q78" s="332">
        <f>IFERROR(VLOOKUP(TEXT(O78,"0"),CONDUCTORES!$A$3:$H$100,6,0),"")</f>
        <v/>
      </c>
      <c r="R78" s="334" t="n"/>
      <c r="S78" s="302" t="inlineStr">
        <is>
          <t>Z359,O321</t>
        </is>
      </c>
      <c r="T78" s="301" t="inlineStr">
        <is>
          <t>APROBADO</t>
        </is>
      </c>
      <c r="U78" s="334" t="n"/>
      <c r="V78" s="302" t="n"/>
      <c r="W78" s="301" t="n"/>
      <c r="X78" s="301" t="n"/>
      <c r="Y78" s="280" t="n"/>
      <c r="Z78" s="350">
        <f>IF(AND(R78&lt;&gt;"",V78&lt;&gt;"",W78&lt;&gt;"",X78&lt;&gt;""),"ENTREGADO","POR RECOGER")</f>
        <v/>
      </c>
      <c r="AA78" s="198" t="n"/>
      <c r="AB78" s="198" t="n"/>
      <c r="AC78" s="198" t="n"/>
    </row>
    <row r="79" hidden="1" ht="15.75" customHeight="1" s="195">
      <c r="A79" s="241" t="n">
        <v>74</v>
      </c>
      <c r="B79" s="305" t="inlineStr">
        <is>
          <t>0000305</t>
        </is>
      </c>
      <c r="C79" s="241" t="inlineStr">
        <is>
          <t>REGION</t>
        </is>
      </c>
      <c r="D79" s="305" t="inlineStr">
        <is>
          <t>NEYRA ROMAN ELENITA</t>
        </is>
      </c>
      <c r="E79" s="241" t="inlineStr">
        <is>
          <t>DNI</t>
        </is>
      </c>
      <c r="F79" s="241" t="inlineStr">
        <is>
          <t>60462057</t>
        </is>
      </c>
      <c r="G79" s="336" t="n">
        <v>46047</v>
      </c>
      <c r="H79" s="241" t="inlineStr">
        <is>
          <t>4950</t>
        </is>
      </c>
      <c r="I79" s="332">
        <f>IFERROR(VLOOKUP(TEXT(H79,"0"),IPRESS!$A$3:$B$212,2,0),"")</f>
        <v/>
      </c>
      <c r="J79" s="241" t="inlineStr">
        <is>
          <t>4838</t>
        </is>
      </c>
      <c r="K79" s="332" t="inlineStr">
        <is>
          <t>PETROLEO</t>
        </is>
      </c>
      <c r="L79" s="239" t="n">
        <v>20.25</v>
      </c>
      <c r="M79" s="239" t="n">
        <v>7</v>
      </c>
      <c r="N79" s="333">
        <f>IFERROR(IF(L79*M79=0,"",L79*M79),"")</f>
        <v/>
      </c>
      <c r="O79" s="241" t="inlineStr">
        <is>
          <t>9990954</t>
        </is>
      </c>
      <c r="P79" s="332">
        <f>IFERROR(VLOOKUP(TEXT(O79,"0"),CONDUCTORES!$A$3:$G$100,2,0),"")</f>
        <v/>
      </c>
      <c r="Q79" s="332">
        <f>IFERROR(VLOOKUP(TEXT(O79,"0"),CONDUCTORES!$A$3:$H$100,6,0),"")</f>
        <v/>
      </c>
      <c r="R79" s="280" t="n"/>
      <c r="S79" s="305" t="inlineStr">
        <is>
          <t>O034</t>
        </is>
      </c>
      <c r="T79" s="241" t="inlineStr">
        <is>
          <t>APROBADO</t>
        </is>
      </c>
      <c r="U79" s="280" t="n"/>
      <c r="V79" s="305" t="n"/>
      <c r="W79" s="241" t="n"/>
      <c r="X79" s="241" t="n"/>
      <c r="Y79" s="280" t="n"/>
      <c r="Z79" s="350">
        <f>IF(AND(R79&lt;&gt;"",V79&lt;&gt;"",W79&lt;&gt;"",X79&lt;&gt;""),"ENTREGADO","POR RECOGER")</f>
        <v/>
      </c>
      <c r="AA79" s="198" t="n"/>
      <c r="AB79" s="198" t="n"/>
      <c r="AC79" s="198" t="n"/>
    </row>
    <row r="80" hidden="1" ht="15.75" customHeight="1" s="195">
      <c r="A80" s="301" t="n">
        <v>75</v>
      </c>
      <c r="B80" s="302" t="inlineStr">
        <is>
          <t>0000296</t>
        </is>
      </c>
      <c r="C80" s="301" t="inlineStr">
        <is>
          <t>REGION</t>
        </is>
      </c>
      <c r="D80" s="302" t="inlineStr">
        <is>
          <t>HUAMAN HIDALGO MARILACI</t>
        </is>
      </c>
      <c r="E80" s="301" t="inlineStr">
        <is>
          <t>DNI</t>
        </is>
      </c>
      <c r="F80" s="301" t="inlineStr">
        <is>
          <t>61644056</t>
        </is>
      </c>
      <c r="G80" s="331" t="n">
        <v>46040</v>
      </c>
      <c r="H80" s="301" t="inlineStr">
        <is>
          <t>4950</t>
        </is>
      </c>
      <c r="I80" s="332">
        <f>IFERROR(VLOOKUP(TEXT(H80,"0"),IPRESS!$A$3:$B$212,2,0),"")</f>
        <v/>
      </c>
      <c r="J80" s="301" t="inlineStr">
        <is>
          <t>4838</t>
        </is>
      </c>
      <c r="K80" s="332" t="inlineStr">
        <is>
          <t>PETROLEO</t>
        </is>
      </c>
      <c r="L80" s="245" t="n">
        <v>20.25</v>
      </c>
      <c r="M80" s="245" t="n">
        <v>6</v>
      </c>
      <c r="N80" s="333">
        <f>IFERROR(IF(L80*M80=0,"",L80*M80),"")</f>
        <v/>
      </c>
      <c r="O80" s="301" t="inlineStr">
        <is>
          <t>33402316</t>
        </is>
      </c>
      <c r="P80" s="332">
        <f>IFERROR(VLOOKUP(TEXT(O80,"0"),CONDUCTORES!$A$3:$G$100,2,0),"")</f>
        <v/>
      </c>
      <c r="Q80" s="332">
        <f>IFERROR(VLOOKUP(TEXT(O80,"0"),CONDUCTORES!$A$3:$H$100,6,0),"")</f>
        <v/>
      </c>
      <c r="R80" s="334" t="n"/>
      <c r="S80" s="302" t="inlineStr">
        <is>
          <t>O365,O471</t>
        </is>
      </c>
      <c r="T80" s="301" t="inlineStr">
        <is>
          <t>APROBADO</t>
        </is>
      </c>
      <c r="U80" s="334" t="n"/>
      <c r="V80" s="302" t="n"/>
      <c r="W80" s="301" t="n"/>
      <c r="X80" s="301" t="n"/>
      <c r="Y80" s="280" t="n"/>
      <c r="Z80" s="350">
        <f>IF(AND(R80&lt;&gt;"",V80&lt;&gt;"",W80&lt;&gt;"",X80&lt;&gt;""),"ENTREGADO","POR RECOGER")</f>
        <v/>
      </c>
      <c r="AA80" s="198" t="n"/>
      <c r="AB80" s="198" t="n"/>
      <c r="AC80" s="198" t="n"/>
    </row>
    <row r="81" hidden="1" ht="15.75" customHeight="1" s="195">
      <c r="A81" s="241" t="n">
        <v>76</v>
      </c>
      <c r="B81" s="305" t="inlineStr">
        <is>
          <t>0000299</t>
        </is>
      </c>
      <c r="C81" s="241" t="inlineStr">
        <is>
          <t>REGION</t>
        </is>
      </c>
      <c r="D81" s="305" t="inlineStr">
        <is>
          <t>PORTOCARRERO PORTOCARRERO MARIA</t>
        </is>
      </c>
      <c r="E81" s="241" t="inlineStr">
        <is>
          <t>DNI</t>
        </is>
      </c>
      <c r="F81" s="241" t="inlineStr">
        <is>
          <t>46109691</t>
        </is>
      </c>
      <c r="G81" s="336" t="n">
        <v>46043</v>
      </c>
      <c r="H81" s="241" t="inlineStr">
        <is>
          <t>4950</t>
        </is>
      </c>
      <c r="I81" s="332">
        <f>IFERROR(VLOOKUP(TEXT(H81,"0"),IPRESS!$A$3:$B$212,2,0),"")</f>
        <v/>
      </c>
      <c r="J81" s="241" t="inlineStr">
        <is>
          <t>4838</t>
        </is>
      </c>
      <c r="K81" s="332" t="inlineStr">
        <is>
          <t>PETROLEO</t>
        </is>
      </c>
      <c r="L81" s="239" t="n">
        <v>20.25</v>
      </c>
      <c r="M81" s="239" t="n">
        <v>7</v>
      </c>
      <c r="N81" s="333">
        <f>IFERROR(IF(L81*M81=0,"",L81*M81),"")</f>
        <v/>
      </c>
      <c r="O81" s="241" t="inlineStr">
        <is>
          <t>40083507</t>
        </is>
      </c>
      <c r="P81" s="332">
        <f>IFERROR(VLOOKUP(TEXT(O81,"0"),CONDUCTORES!$A$3:$G$100,2,0),"")</f>
        <v/>
      </c>
      <c r="Q81" s="332">
        <f>IFERROR(VLOOKUP(TEXT(O81,"0"),CONDUCTORES!$A$3:$H$100,6,0),"")</f>
        <v/>
      </c>
      <c r="R81" s="280" t="n"/>
      <c r="S81" s="305" t="inlineStr">
        <is>
          <t>O141</t>
        </is>
      </c>
      <c r="T81" s="241" t="inlineStr">
        <is>
          <t>APROBADO</t>
        </is>
      </c>
      <c r="U81" s="280" t="n"/>
      <c r="V81" s="305" t="n"/>
      <c r="W81" s="241" t="n"/>
      <c r="X81" s="241" t="n"/>
      <c r="Y81" s="280" t="n"/>
      <c r="Z81" s="350">
        <f>IF(AND(R81&lt;&gt;"",V81&lt;&gt;"",W81&lt;&gt;"",X81&lt;&gt;""),"ENTREGADO","POR RECOGER")</f>
        <v/>
      </c>
      <c r="AA81" s="198" t="n"/>
      <c r="AB81" s="198" t="n"/>
      <c r="AC81" s="198" t="n"/>
    </row>
    <row r="82" hidden="1" ht="15.75" customHeight="1" s="195">
      <c r="A82" s="301" t="n">
        <v>77</v>
      </c>
      <c r="B82" s="302" t="inlineStr">
        <is>
          <t>0000116</t>
        </is>
      </c>
      <c r="C82" s="301" t="inlineStr">
        <is>
          <t>REGION</t>
        </is>
      </c>
      <c r="D82" s="302" t="inlineStr">
        <is>
          <t>DIAZ HERRERA MARIA LUZVINDA</t>
        </is>
      </c>
      <c r="E82" s="301" t="inlineStr">
        <is>
          <t>DNI</t>
        </is>
      </c>
      <c r="F82" s="301" t="inlineStr">
        <is>
          <t>80585000</t>
        </is>
      </c>
      <c r="G82" s="331" t="n">
        <v>46041</v>
      </c>
      <c r="H82" s="301" t="inlineStr">
        <is>
          <t>4932</t>
        </is>
      </c>
      <c r="I82" s="332">
        <f>IFERROR(VLOOKUP(TEXT(H82,"0"),IPRESS!$A$3:$B$212,2,0),"")</f>
        <v/>
      </c>
      <c r="J82" s="301" t="inlineStr">
        <is>
          <t>4838</t>
        </is>
      </c>
      <c r="K82" s="332" t="inlineStr">
        <is>
          <t>PETROLEO</t>
        </is>
      </c>
      <c r="L82" s="245" t="n">
        <v>18.18</v>
      </c>
      <c r="M82" s="245" t="n">
        <v>6</v>
      </c>
      <c r="N82" s="333">
        <f>IFERROR(IF(L82*M82=0,"",L82*M82),"")</f>
        <v/>
      </c>
      <c r="O82" s="301" t="inlineStr">
        <is>
          <t>33726013</t>
        </is>
      </c>
      <c r="P82" s="332">
        <f>IFERROR(VLOOKUP(TEXT(O82,"0"),CONDUCTORES!$A$3:$G$100,2,0),"")</f>
        <v/>
      </c>
      <c r="Q82" s="332">
        <f>IFERROR(VLOOKUP(TEXT(O82,"0"),CONDUCTORES!$A$3:$H$100,6,0),"")</f>
        <v/>
      </c>
      <c r="R82" s="334" t="n"/>
      <c r="S82" s="302" t="inlineStr">
        <is>
          <t>I21X</t>
        </is>
      </c>
      <c r="T82" s="301" t="inlineStr">
        <is>
          <t>APROBADO</t>
        </is>
      </c>
      <c r="U82" s="334" t="n"/>
      <c r="V82" s="302" t="n"/>
      <c r="W82" s="301" t="n"/>
      <c r="X82" s="301" t="n"/>
      <c r="Y82" s="280" t="n"/>
      <c r="Z82" s="350">
        <f>IF(AND(R82&lt;&gt;"",V82&lt;&gt;"",W82&lt;&gt;"",X82&lt;&gt;""),"ENTREGADO","POR RECOGER")</f>
        <v/>
      </c>
      <c r="AA82" s="198" t="n"/>
      <c r="AB82" s="198" t="n"/>
      <c r="AC82" s="198" t="n"/>
    </row>
    <row r="83" hidden="1" ht="15.75" customHeight="1" s="195">
      <c r="A83" s="241" t="n">
        <v>78</v>
      </c>
      <c r="B83" s="305" t="inlineStr">
        <is>
          <t>0000117</t>
        </is>
      </c>
      <c r="C83" s="241" t="inlineStr">
        <is>
          <t>REGION</t>
        </is>
      </c>
      <c r="D83" s="305" t="inlineStr">
        <is>
          <t>DIAZ VEGA NICANOR</t>
        </is>
      </c>
      <c r="E83" s="241" t="inlineStr">
        <is>
          <t>DNI</t>
        </is>
      </c>
      <c r="F83" s="241" t="inlineStr">
        <is>
          <t>48772344</t>
        </is>
      </c>
      <c r="G83" s="336" t="n">
        <v>46046</v>
      </c>
      <c r="H83" s="241" t="inlineStr">
        <is>
          <t>4932</t>
        </is>
      </c>
      <c r="I83" s="332">
        <f>IFERROR(VLOOKUP(TEXT(H83,"0"),IPRESS!$A$3:$B$212,2,0),"")</f>
        <v/>
      </c>
      <c r="J83" s="241" t="inlineStr">
        <is>
          <t>4838</t>
        </is>
      </c>
      <c r="K83" s="332" t="inlineStr">
        <is>
          <t>PETROLEO</t>
        </is>
      </c>
      <c r="L83" s="239" t="n">
        <v>18.18</v>
      </c>
      <c r="M83" s="239" t="n">
        <v>6</v>
      </c>
      <c r="N83" s="333">
        <f>IFERROR(IF(L83*M83=0,"",L83*M83),"")</f>
        <v/>
      </c>
      <c r="O83" s="241" t="inlineStr">
        <is>
          <t>33726013</t>
        </is>
      </c>
      <c r="P83" s="332">
        <f>IFERROR(VLOOKUP(TEXT(O83,"0"),CONDUCTORES!$A$3:$G$100,2,0),"")</f>
        <v/>
      </c>
      <c r="Q83" s="332">
        <f>IFERROR(VLOOKUP(TEXT(O83,"0"),CONDUCTORES!$A$3:$H$100,6,0),"")</f>
        <v/>
      </c>
      <c r="R83" s="280" t="n"/>
      <c r="S83" s="305" t="inlineStr">
        <is>
          <t>S069</t>
        </is>
      </c>
      <c r="T83" s="241" t="inlineStr">
        <is>
          <t>APROBADO</t>
        </is>
      </c>
      <c r="U83" s="280" t="n"/>
      <c r="V83" s="305" t="n"/>
      <c r="W83" s="241" t="n"/>
      <c r="X83" s="241" t="n"/>
      <c r="Y83" s="280" t="n"/>
      <c r="Z83" s="350">
        <f>IF(AND(R83&lt;&gt;"",V83&lt;&gt;"",W83&lt;&gt;"",X83&lt;&gt;""),"ENTREGADO","POR RECOGER")</f>
        <v/>
      </c>
      <c r="AA83" s="198" t="n"/>
      <c r="AB83" s="198" t="n"/>
      <c r="AC83" s="198" t="n"/>
    </row>
    <row r="84" hidden="1" ht="15.75" customHeight="1" s="195">
      <c r="A84" s="301" t="n">
        <v>79</v>
      </c>
      <c r="B84" s="302" t="inlineStr">
        <is>
          <t>0000118</t>
        </is>
      </c>
      <c r="C84" s="301" t="inlineStr">
        <is>
          <t>REGION</t>
        </is>
      </c>
      <c r="D84" s="302" t="inlineStr">
        <is>
          <t>HERRERA OBLITAS VRIJIDA</t>
        </is>
      </c>
      <c r="E84" s="301" t="inlineStr">
        <is>
          <t>DNI</t>
        </is>
      </c>
      <c r="F84" s="301" t="inlineStr">
        <is>
          <t>48797626</t>
        </is>
      </c>
      <c r="G84" s="331" t="n">
        <v>46051</v>
      </c>
      <c r="H84" s="301" t="inlineStr">
        <is>
          <t>4932</t>
        </is>
      </c>
      <c r="I84" s="332">
        <f>IFERROR(VLOOKUP(TEXT(H84,"0"),IPRESS!$A$3:$B$212,2,0),"")</f>
        <v/>
      </c>
      <c r="J84" s="301" t="inlineStr">
        <is>
          <t>4838</t>
        </is>
      </c>
      <c r="K84" s="332" t="inlineStr">
        <is>
          <t>PETROLEO</t>
        </is>
      </c>
      <c r="L84" s="245" t="n">
        <v>18.18</v>
      </c>
      <c r="M84" s="245" t="n">
        <v>6</v>
      </c>
      <c r="N84" s="333">
        <f>IFERROR(IF(L84*M84=0,"",L84*M84),"")</f>
        <v/>
      </c>
      <c r="O84" s="301" t="inlineStr">
        <is>
          <t>33726013</t>
        </is>
      </c>
      <c r="P84" s="332">
        <f>IFERROR(VLOOKUP(TEXT(O84,"0"),CONDUCTORES!$A$3:$G$100,2,0),"")</f>
        <v/>
      </c>
      <c r="Q84" s="332">
        <f>IFERROR(VLOOKUP(TEXT(O84,"0"),CONDUCTORES!$A$3:$H$100,6,0),"")</f>
        <v/>
      </c>
      <c r="R84" s="334" t="n"/>
      <c r="S84" s="302" t="inlineStr">
        <is>
          <t>O141</t>
        </is>
      </c>
      <c r="T84" s="301" t="inlineStr">
        <is>
          <t>APROBADO</t>
        </is>
      </c>
      <c r="U84" s="334" t="n"/>
      <c r="V84" s="302" t="n"/>
      <c r="W84" s="301" t="n"/>
      <c r="X84" s="301" t="n"/>
      <c r="Y84" s="280" t="n"/>
      <c r="Z84" s="350">
        <f>IF(AND(R84&lt;&gt;"",V84&lt;&gt;"",W84&lt;&gt;"",X84&lt;&gt;""),"ENTREGADO","POR RECOGER")</f>
        <v/>
      </c>
      <c r="AA84" s="198" t="n"/>
      <c r="AB84" s="198" t="n"/>
      <c r="AC84" s="198" t="n"/>
    </row>
    <row r="85" hidden="1" ht="15.75" customHeight="1" s="195">
      <c r="A85" s="241" t="n">
        <v>80</v>
      </c>
      <c r="B85" s="305" t="inlineStr">
        <is>
          <t>0000009</t>
        </is>
      </c>
      <c r="C85" s="241" t="inlineStr">
        <is>
          <t>REGION</t>
        </is>
      </c>
      <c r="D85" s="305" t="inlineStr">
        <is>
          <t>CARRANZA CACHAY LUZ AURORA</t>
        </is>
      </c>
      <c r="E85" s="241" t="inlineStr">
        <is>
          <t>DNI</t>
        </is>
      </c>
      <c r="F85" s="241" t="inlineStr">
        <is>
          <t>46007941</t>
        </is>
      </c>
      <c r="G85" s="336" t="n">
        <v>46047</v>
      </c>
      <c r="H85" s="241" t="inlineStr">
        <is>
          <t>4888</t>
        </is>
      </c>
      <c r="I85" s="332">
        <f>IFERROR(VLOOKUP(TEXT(H85,"0"),IPRESS!$A$3:$B$212,2,0),"")</f>
        <v/>
      </c>
      <c r="J85" s="241" t="inlineStr">
        <is>
          <t>4838</t>
        </is>
      </c>
      <c r="K85" s="332" t="inlineStr">
        <is>
          <t>PETROLEO</t>
        </is>
      </c>
      <c r="L85" s="239" t="n">
        <v>18.18</v>
      </c>
      <c r="M85" s="239" t="n">
        <v>10</v>
      </c>
      <c r="N85" s="333">
        <f>IFERROR(IF(L85*M85=0,"",L85*M85),"")</f>
        <v/>
      </c>
      <c r="O85" s="241" t="inlineStr">
        <is>
          <t>42473516</t>
        </is>
      </c>
      <c r="P85" s="332">
        <f>IFERROR(VLOOKUP(TEXT(O85,"0"),CONDUCTORES!$A$3:$G$100,2,0),"")</f>
        <v/>
      </c>
      <c r="Q85" s="332">
        <f>IFERROR(VLOOKUP(TEXT(O85,"0"),CONDUCTORES!$A$3:$H$100,6,0),"")</f>
        <v/>
      </c>
      <c r="R85" s="280" t="n"/>
      <c r="S85" s="305" t="inlineStr">
        <is>
          <t>O60X,O429</t>
        </is>
      </c>
      <c r="T85" s="241" t="inlineStr">
        <is>
          <t>APROBADO</t>
        </is>
      </c>
      <c r="U85" s="280" t="n"/>
      <c r="V85" s="305" t="n"/>
      <c r="W85" s="241" t="n"/>
      <c r="X85" s="241" t="n"/>
      <c r="Y85" s="280" t="inlineStr">
        <is>
          <t>SANTO TOMAS</t>
        </is>
      </c>
      <c r="Z85" s="350">
        <f>IF(AND(R85&lt;&gt;"",V85&lt;&gt;"",W85&lt;&gt;"",X85&lt;&gt;""),"ENTREGADO","POR RECOGER")</f>
        <v/>
      </c>
      <c r="AA85" s="198" t="n"/>
      <c r="AB85" s="198" t="n"/>
      <c r="AC85" s="198" t="n"/>
    </row>
    <row r="86" hidden="1" ht="15.75" customHeight="1" s="195">
      <c r="A86" s="301" t="n">
        <v>81</v>
      </c>
      <c r="B86" s="302" t="inlineStr">
        <is>
          <t>0000001</t>
        </is>
      </c>
      <c r="C86" s="301" t="inlineStr">
        <is>
          <t>REGION</t>
        </is>
      </c>
      <c r="D86" s="302" t="inlineStr">
        <is>
          <t>VARGAS PITA WILFREDO</t>
        </is>
      </c>
      <c r="E86" s="301" t="inlineStr">
        <is>
          <t>DNI</t>
        </is>
      </c>
      <c r="F86" s="301" t="inlineStr">
        <is>
          <t>42749598</t>
        </is>
      </c>
      <c r="G86" s="331" t="n">
        <v>46043</v>
      </c>
      <c r="H86" s="301" t="inlineStr">
        <is>
          <t>4890</t>
        </is>
      </c>
      <c r="I86" s="332">
        <f>IFERROR(VLOOKUP(TEXT(H86,"0"),IPRESS!$A$3:$B$212,2,0),"")</f>
        <v/>
      </c>
      <c r="J86" s="301" t="inlineStr">
        <is>
          <t>4838</t>
        </is>
      </c>
      <c r="K86" s="332" t="inlineStr">
        <is>
          <t>PETROLEO</t>
        </is>
      </c>
      <c r="L86" s="245" t="n">
        <v>18.18</v>
      </c>
      <c r="M86" s="245" t="n">
        <v>10</v>
      </c>
      <c r="N86" s="333">
        <f>IFERROR(IF(L86*M86=0,"",L86*M86),"")</f>
        <v/>
      </c>
      <c r="O86" s="301" t="inlineStr">
        <is>
          <t>42473516</t>
        </is>
      </c>
      <c r="P86" s="332">
        <f>IFERROR(VLOOKUP(TEXT(O86,"0"),CONDUCTORES!$A$3:$G$100,2,0),"")</f>
        <v/>
      </c>
      <c r="Q86" s="332">
        <f>IFERROR(VLOOKUP(TEXT(O86,"0"),CONDUCTORES!$A$3:$H$100,6,0),"")</f>
        <v/>
      </c>
      <c r="R86" s="334" t="n"/>
      <c r="S86" s="302" t="inlineStr">
        <is>
          <t>K810</t>
        </is>
      </c>
      <c r="T86" s="301" t="inlineStr">
        <is>
          <t>APROBADO</t>
        </is>
      </c>
      <c r="U86" s="334" t="n"/>
      <c r="V86" s="302" t="n"/>
      <c r="W86" s="301" t="n"/>
      <c r="X86" s="301" t="n"/>
      <c r="Y86" s="280" t="inlineStr">
        <is>
          <t>SANTO TOMAS</t>
        </is>
      </c>
      <c r="Z86" s="350">
        <f>IF(AND(R86&lt;&gt;"",V86&lt;&gt;"",W86&lt;&gt;"",X86&lt;&gt;""),"ENTREGADO","POR RECOGER")</f>
        <v/>
      </c>
      <c r="AA86" s="198" t="n"/>
      <c r="AB86" s="198" t="n"/>
      <c r="AC86" s="198" t="n"/>
    </row>
    <row r="87" hidden="1" ht="15.75" customHeight="1" s="195">
      <c r="A87" s="241" t="n">
        <v>82</v>
      </c>
      <c r="B87" s="305" t="inlineStr">
        <is>
          <t>0000010</t>
        </is>
      </c>
      <c r="C87" s="241" t="inlineStr">
        <is>
          <t>REGION</t>
        </is>
      </c>
      <c r="D87" s="305" t="inlineStr">
        <is>
          <t>ROJAS BAUTISTA ILDA</t>
        </is>
      </c>
      <c r="E87" s="241" t="inlineStr">
        <is>
          <t>DNI</t>
        </is>
      </c>
      <c r="F87" s="241" t="inlineStr">
        <is>
          <t>71257561</t>
        </is>
      </c>
      <c r="G87" s="336" t="n">
        <v>46043</v>
      </c>
      <c r="H87" s="241" t="inlineStr">
        <is>
          <t>4938</t>
        </is>
      </c>
      <c r="I87" s="332">
        <f>IFERROR(VLOOKUP(TEXT(H87,"0"),IPRESS!$A$3:$B$212,2,0),"")</f>
        <v/>
      </c>
      <c r="J87" s="241" t="inlineStr">
        <is>
          <t>4932</t>
        </is>
      </c>
      <c r="K87" s="332" t="inlineStr">
        <is>
          <t>PETROLEO</t>
        </is>
      </c>
      <c r="L87" s="239" t="n">
        <v>18.18</v>
      </c>
      <c r="M87" s="239" t="n">
        <v>4</v>
      </c>
      <c r="N87" s="333">
        <f>IFERROR(IF(L87*M87=0,"",L87*M87),"")</f>
        <v/>
      </c>
      <c r="O87" s="241" t="inlineStr">
        <is>
          <t>33725999</t>
        </is>
      </c>
      <c r="P87" s="332">
        <f>IFERROR(VLOOKUP(TEXT(O87,"0"),CONDUCTORES!$A$3:$G$100,2,0),"")</f>
        <v/>
      </c>
      <c r="Q87" s="332">
        <f>IFERROR(VLOOKUP(TEXT(O87,"0"),CONDUCTORES!$A$3:$H$100,6,0),"")</f>
        <v/>
      </c>
      <c r="R87" s="280" t="n"/>
      <c r="S87" s="305" t="inlineStr">
        <is>
          <t>Z359,O998</t>
        </is>
      </c>
      <c r="T87" s="241" t="inlineStr">
        <is>
          <t>APROBADO</t>
        </is>
      </c>
      <c r="U87" s="280" t="n"/>
      <c r="V87" s="305" t="n"/>
      <c r="W87" s="241" t="n"/>
      <c r="X87" s="241" t="n"/>
      <c r="Y87" s="280" t="n"/>
      <c r="Z87" s="350">
        <f>IF(AND(R87&lt;&gt;"",V87&lt;&gt;"",W87&lt;&gt;"",X87&lt;&gt;""),"ENTREGADO","POR RECOGER")</f>
        <v/>
      </c>
      <c r="AA87" s="198" t="n"/>
      <c r="AB87" s="198" t="n"/>
      <c r="AC87" s="198" t="n"/>
    </row>
    <row r="88" hidden="1" ht="15.75" customHeight="1" s="195">
      <c r="A88" s="301" t="n">
        <v>83</v>
      </c>
      <c r="B88" s="302" t="inlineStr">
        <is>
          <t>0000011</t>
        </is>
      </c>
      <c r="C88" s="301" t="inlineStr">
        <is>
          <t>REGION</t>
        </is>
      </c>
      <c r="D88" s="302" t="inlineStr">
        <is>
          <t>TRUJILLO LUCANA DANITZA DAYANA</t>
        </is>
      </c>
      <c r="E88" s="301" t="inlineStr">
        <is>
          <t>DNI</t>
        </is>
      </c>
      <c r="F88" s="301" t="inlineStr">
        <is>
          <t>75078001</t>
        </is>
      </c>
      <c r="G88" s="331" t="n">
        <v>46048</v>
      </c>
      <c r="H88" s="301" t="inlineStr">
        <is>
          <t>4938</t>
        </is>
      </c>
      <c r="I88" s="332">
        <f>IFERROR(VLOOKUP(TEXT(H88,"0"),IPRESS!$A$3:$B$212,2,0),"")</f>
        <v/>
      </c>
      <c r="J88" s="301" t="inlineStr">
        <is>
          <t>4932</t>
        </is>
      </c>
      <c r="K88" s="332" t="inlineStr">
        <is>
          <t>PETROLEO</t>
        </is>
      </c>
      <c r="L88" s="245" t="n">
        <v>18.18</v>
      </c>
      <c r="M88" s="245" t="n">
        <v>4</v>
      </c>
      <c r="N88" s="333">
        <f>IFERROR(IF(L88*M88=0,"",L88*M88),"")</f>
        <v/>
      </c>
      <c r="O88" s="301" t="inlineStr">
        <is>
          <t>33725999</t>
        </is>
      </c>
      <c r="P88" s="332">
        <f>IFERROR(VLOOKUP(TEXT(O88,"0"),CONDUCTORES!$A$3:$G$100,2,0),"")</f>
        <v/>
      </c>
      <c r="Q88" s="332">
        <f>IFERROR(VLOOKUP(TEXT(O88,"0"),CONDUCTORES!$A$3:$H$100,6,0),"")</f>
        <v/>
      </c>
      <c r="R88" s="334" t="n"/>
      <c r="S88" s="302" t="inlineStr">
        <is>
          <t>Z359</t>
        </is>
      </c>
      <c r="T88" s="301" t="inlineStr">
        <is>
          <t>APROBADO</t>
        </is>
      </c>
      <c r="U88" s="334" t="n"/>
      <c r="V88" s="302" t="n"/>
      <c r="W88" s="301" t="n"/>
      <c r="X88" s="301" t="n"/>
      <c r="Y88" s="280" t="n"/>
      <c r="Z88" s="350">
        <f>IF(AND(R88&lt;&gt;"",V88&lt;&gt;"",W88&lt;&gt;"",X88&lt;&gt;""),"ENTREGADO","POR RECOGER")</f>
        <v/>
      </c>
      <c r="AA88" s="198" t="n"/>
      <c r="AB88" s="198" t="n"/>
      <c r="AC88" s="198" t="n"/>
    </row>
    <row r="89" hidden="1" ht="15.75" customHeight="1" s="195">
      <c r="A89" s="241" t="n">
        <v>84</v>
      </c>
      <c r="B89" s="305" t="inlineStr">
        <is>
          <t>0000012</t>
        </is>
      </c>
      <c r="C89" s="241" t="inlineStr">
        <is>
          <t>REGION</t>
        </is>
      </c>
      <c r="D89" s="305" t="inlineStr">
        <is>
          <t>LEIVA AGUILAR SABINA</t>
        </is>
      </c>
      <c r="E89" s="241" t="inlineStr">
        <is>
          <t>DNI</t>
        </is>
      </c>
      <c r="F89" s="241" t="inlineStr">
        <is>
          <t>70208555</t>
        </is>
      </c>
      <c r="G89" s="336" t="n">
        <v>46050</v>
      </c>
      <c r="H89" s="241" t="inlineStr">
        <is>
          <t>4938</t>
        </is>
      </c>
      <c r="I89" s="332">
        <f>IFERROR(VLOOKUP(TEXT(H89,"0"),IPRESS!$A$3:$B$212,2,0),"")</f>
        <v/>
      </c>
      <c r="J89" s="241" t="inlineStr">
        <is>
          <t>4932</t>
        </is>
      </c>
      <c r="K89" s="332" t="inlineStr">
        <is>
          <t>PETROLEO</t>
        </is>
      </c>
      <c r="L89" s="239" t="n">
        <v>18.18</v>
      </c>
      <c r="M89" s="239" t="n">
        <v>4</v>
      </c>
      <c r="N89" s="333">
        <f>IFERROR(IF(L89*M89=0,"",L89*M89),"")</f>
        <v/>
      </c>
      <c r="O89" s="241" t="inlineStr">
        <is>
          <t>33725999</t>
        </is>
      </c>
      <c r="P89" s="332">
        <f>IFERROR(VLOOKUP(TEXT(O89,"0"),CONDUCTORES!$A$3:$G$100,2,0),"")</f>
        <v/>
      </c>
      <c r="Q89" s="332">
        <f>IFERROR(VLOOKUP(TEXT(O89,"0"),CONDUCTORES!$A$3:$H$100,6,0),"")</f>
        <v/>
      </c>
      <c r="R89" s="280" t="n"/>
      <c r="S89" s="305" t="inlineStr">
        <is>
          <t>Z349</t>
        </is>
      </c>
      <c r="T89" s="241" t="inlineStr">
        <is>
          <t>APROBADO</t>
        </is>
      </c>
      <c r="U89" s="280" t="n"/>
      <c r="V89" s="305" t="n"/>
      <c r="W89" s="241" t="n"/>
      <c r="X89" s="241" t="n"/>
      <c r="Y89" s="280" t="n"/>
      <c r="Z89" s="350">
        <f>IF(AND(R89&lt;&gt;"",V89&lt;&gt;"",W89&lt;&gt;"",X89&lt;&gt;""),"ENTREGADO","POR RECOGER")</f>
        <v/>
      </c>
      <c r="AA89" s="198" t="n"/>
      <c r="AB89" s="198" t="n"/>
      <c r="AC89" s="198" t="n"/>
    </row>
    <row r="90" hidden="1" ht="15.75" customHeight="1" s="195">
      <c r="A90" s="301" t="n">
        <v>85</v>
      </c>
      <c r="B90" s="302" t="inlineStr">
        <is>
          <t>0000072</t>
        </is>
      </c>
      <c r="C90" s="301" t="inlineStr">
        <is>
          <t>REGION</t>
        </is>
      </c>
      <c r="D90" s="302" t="inlineStr">
        <is>
          <t>OCAMPO CUEVA NOA ZAIRED</t>
        </is>
      </c>
      <c r="E90" s="301" t="inlineStr">
        <is>
          <t>DNI</t>
        </is>
      </c>
      <c r="F90" s="301" t="inlineStr">
        <is>
          <t>94051509</t>
        </is>
      </c>
      <c r="G90" s="331" t="n">
        <v>46042</v>
      </c>
      <c r="H90" s="301" t="inlineStr">
        <is>
          <t>4850</t>
        </is>
      </c>
      <c r="I90" s="332">
        <f>IFERROR(VLOOKUP(TEXT(H90,"0"),IPRESS!$A$3:$B$212,2,0),"")</f>
        <v/>
      </c>
      <c r="J90" s="301" t="inlineStr">
        <is>
          <t>4838</t>
        </is>
      </c>
      <c r="K90" s="332" t="inlineStr">
        <is>
          <t>PETROLEO</t>
        </is>
      </c>
      <c r="L90" s="245" t="n">
        <v>18.18</v>
      </c>
      <c r="M90" s="245" t="n">
        <v>4</v>
      </c>
      <c r="N90" s="333">
        <f>IFERROR(IF(L90*M90=0,"",L90*M90),"")</f>
        <v/>
      </c>
      <c r="O90" s="301" t="inlineStr">
        <is>
          <t>45309596</t>
        </is>
      </c>
      <c r="P90" s="332">
        <f>IFERROR(VLOOKUP(TEXT(O90,"0"),CONDUCTORES!$A$3:$G$100,2,0),"")</f>
        <v/>
      </c>
      <c r="Q90" s="332">
        <f>IFERROR(VLOOKUP(TEXT(O90,"0"),CONDUCTORES!$A$3:$H$100,6,0),"")</f>
        <v/>
      </c>
      <c r="R90" s="334" t="n"/>
      <c r="S90" s="302" t="inlineStr">
        <is>
          <t>I509,Q249</t>
        </is>
      </c>
      <c r="T90" s="301" t="inlineStr">
        <is>
          <t>APROBADO</t>
        </is>
      </c>
      <c r="U90" s="334" t="n"/>
      <c r="V90" s="302" t="n"/>
      <c r="W90" s="301" t="n"/>
      <c r="X90" s="301" t="n"/>
      <c r="Y90" s="280" t="n"/>
      <c r="Z90" s="350">
        <f>IF(AND(R90&lt;&gt;"",V90&lt;&gt;"",W90&lt;&gt;"",X90&lt;&gt;""),"ENTREGADO","POR RECOGER")</f>
        <v/>
      </c>
      <c r="AA90" s="198" t="n"/>
      <c r="AB90" s="198" t="n"/>
      <c r="AC90" s="198" t="n"/>
    </row>
    <row r="91" ht="15.75" customHeight="1" s="195">
      <c r="A91" s="337" t="n">
        <v>86</v>
      </c>
      <c r="B91" s="338" t="inlineStr">
        <is>
          <t>0000123</t>
        </is>
      </c>
      <c r="C91" s="337" t="inlineStr">
        <is>
          <t>REGION</t>
        </is>
      </c>
      <c r="D91" s="338" t="inlineStr">
        <is>
          <t>VILCA AGUILAR EDWUIN HILARIO</t>
        </is>
      </c>
      <c r="E91" s="337" t="inlineStr">
        <is>
          <t>DNI</t>
        </is>
      </c>
      <c r="F91" s="337" t="inlineStr">
        <is>
          <t>9622495</t>
        </is>
      </c>
      <c r="G91" s="339" t="n">
        <v>46050</v>
      </c>
      <c r="H91" s="337" t="inlineStr">
        <is>
          <t>4922</t>
        </is>
      </c>
      <c r="I91" s="332">
        <f>IFERROR(VLOOKUP(TEXT(H91,"0"),IPRESS!$A$3:$B$212,2,0),"")</f>
        <v/>
      </c>
      <c r="J91" s="337" t="inlineStr">
        <is>
          <t>4838</t>
        </is>
      </c>
      <c r="K91" s="357" t="inlineStr">
        <is>
          <t>GASOLINA</t>
        </is>
      </c>
      <c r="L91" s="340" t="n">
        <v>17.95</v>
      </c>
      <c r="M91" s="340" t="n">
        <v>6</v>
      </c>
      <c r="N91" s="333">
        <f>IFERROR(IF(L91*M91=0,"",L91*M91),"")</f>
        <v/>
      </c>
      <c r="O91" s="337" t="inlineStr">
        <is>
          <t>33401502</t>
        </is>
      </c>
      <c r="P91" s="332">
        <f>IFERROR(VLOOKUP(TEXT(O91,"0"),CONDUCTORES!$A$3:$G$100,2,0),"")</f>
        <v/>
      </c>
      <c r="Q91" s="332">
        <f>IFERROR(VLOOKUP(TEXT(O91,"0"),CONDUCTORES!$A$3:$H$100,6,0),"")</f>
        <v/>
      </c>
      <c r="R91" s="341" t="n"/>
      <c r="S91" s="338" t="inlineStr">
        <is>
          <t>A049,R11X,N390,K359</t>
        </is>
      </c>
      <c r="T91" s="337" t="inlineStr">
        <is>
          <t>APROBADO</t>
        </is>
      </c>
      <c r="U91" s="341" t="n"/>
      <c r="V91" s="338" t="n"/>
      <c r="W91" s="337" t="n"/>
      <c r="X91" s="337" t="n"/>
      <c r="Y91" s="280" t="n"/>
      <c r="Z91" s="350">
        <f>IF(AND(R91&lt;&gt;"",V91&lt;&gt;"",W91&lt;&gt;"",X91&lt;&gt;""),"ENTREGADO","POR RECOGER")</f>
        <v/>
      </c>
      <c r="AA91" s="198" t="n"/>
      <c r="AB91" s="198" t="n"/>
      <c r="AC91" s="198" t="n"/>
    </row>
    <row r="92" hidden="1" ht="15.75" customHeight="1" s="195">
      <c r="A92" s="301" t="n">
        <v>87</v>
      </c>
      <c r="B92" s="302" t="inlineStr">
        <is>
          <t>0000073</t>
        </is>
      </c>
      <c r="C92" s="301" t="inlineStr">
        <is>
          <t>REGION</t>
        </is>
      </c>
      <c r="D92" s="302" t="inlineStr">
        <is>
          <t>POQUIOMA CHAVEZ ENOMI</t>
        </is>
      </c>
      <c r="E92" s="301" t="inlineStr">
        <is>
          <t>DNI</t>
        </is>
      </c>
      <c r="F92" s="301" t="inlineStr">
        <is>
          <t>43914122</t>
        </is>
      </c>
      <c r="G92" s="331" t="n">
        <v>46052</v>
      </c>
      <c r="H92" s="301" t="inlineStr">
        <is>
          <t>4850</t>
        </is>
      </c>
      <c r="I92" s="332">
        <f>IFERROR(VLOOKUP(TEXT(H92,"0"),IPRESS!$A$3:$B$212,2,0),"")</f>
        <v/>
      </c>
      <c r="J92" s="301" t="inlineStr">
        <is>
          <t>4838</t>
        </is>
      </c>
      <c r="K92" s="332" t="inlineStr">
        <is>
          <t>PETROLEO</t>
        </is>
      </c>
      <c r="L92" s="245" t="n">
        <v>18.18</v>
      </c>
      <c r="M92" s="245" t="n">
        <v>4</v>
      </c>
      <c r="N92" s="333">
        <f>IFERROR(IF(L92*M92=0,"",L92*M92),"")</f>
        <v/>
      </c>
      <c r="O92" s="301" t="inlineStr">
        <is>
          <t>41055990</t>
        </is>
      </c>
      <c r="P92" s="332">
        <f>IFERROR(VLOOKUP(TEXT(O92,"0"),CONDUCTORES!$A$3:$G$100,2,0),"")</f>
        <v/>
      </c>
      <c r="Q92" s="332">
        <f>IFERROR(VLOOKUP(TEXT(O92,"0"),CONDUCTORES!$A$3:$H$100,6,0),"")</f>
        <v/>
      </c>
      <c r="R92" s="334" t="n"/>
      <c r="S92" s="302" t="inlineStr">
        <is>
          <t>O064</t>
        </is>
      </c>
      <c r="T92" s="301" t="inlineStr">
        <is>
          <t>APROBADO</t>
        </is>
      </c>
      <c r="U92" s="334" t="n"/>
      <c r="V92" s="302" t="n"/>
      <c r="W92" s="301" t="n"/>
      <c r="X92" s="301" t="n"/>
      <c r="Y92" s="280" t="n"/>
      <c r="Z92" s="350">
        <f>IF(AND(R92&lt;&gt;"",V92&lt;&gt;"",W92&lt;&gt;"",X92&lt;&gt;""),"ENTREGADO","POR RECOGER")</f>
        <v/>
      </c>
      <c r="AA92" s="198" t="n"/>
      <c r="AB92" s="198" t="n"/>
      <c r="AC92" s="198" t="n"/>
    </row>
    <row r="93" hidden="1" ht="15.75" customHeight="1" s="195">
      <c r="A93" s="241" t="n">
        <v>88</v>
      </c>
      <c r="B93" s="305" t="inlineStr">
        <is>
          <t>0000304</t>
        </is>
      </c>
      <c r="C93" s="241" t="inlineStr">
        <is>
          <t>REGION</t>
        </is>
      </c>
      <c r="D93" s="305" t="inlineStr">
        <is>
          <t>ARISTA SALAZAR JULIAN</t>
        </is>
      </c>
      <c r="E93" s="241" t="inlineStr">
        <is>
          <t>DNI</t>
        </is>
      </c>
      <c r="F93" s="241" t="inlineStr">
        <is>
          <t>33948728</t>
        </is>
      </c>
      <c r="G93" s="336" t="n">
        <v>46046</v>
      </c>
      <c r="H93" s="241" t="inlineStr">
        <is>
          <t>4950</t>
        </is>
      </c>
      <c r="I93" s="332">
        <f>IFERROR(VLOOKUP(TEXT(H93,"0"),IPRESS!$A$3:$B$212,2,0),"")</f>
        <v/>
      </c>
      <c r="J93" s="241" t="inlineStr">
        <is>
          <t>4838</t>
        </is>
      </c>
      <c r="K93" s="332" t="inlineStr">
        <is>
          <t>PETROLEO</t>
        </is>
      </c>
      <c r="L93" s="239" t="n">
        <v>20.25</v>
      </c>
      <c r="M93" s="239" t="n">
        <v>5.7</v>
      </c>
      <c r="N93" s="333">
        <f>IFERROR(IF(L93*M93=0,"",L93*M93),"")</f>
        <v/>
      </c>
      <c r="O93" s="241" t="inlineStr">
        <is>
          <t>33402316</t>
        </is>
      </c>
      <c r="P93" s="332">
        <f>IFERROR(VLOOKUP(TEXT(O93,"0"),CONDUCTORES!$A$3:$G$100,2,0),"")</f>
        <v/>
      </c>
      <c r="Q93" s="332">
        <f>IFERROR(VLOOKUP(TEXT(O93,"0"),CONDUCTORES!$A$3:$H$100,6,0),"")</f>
        <v/>
      </c>
      <c r="R93" s="280" t="n"/>
      <c r="S93" s="305" t="inlineStr">
        <is>
          <t>K566,A010</t>
        </is>
      </c>
      <c r="T93" s="241" t="inlineStr">
        <is>
          <t>APROBADO</t>
        </is>
      </c>
      <c r="U93" s="280" t="n"/>
      <c r="V93" s="305" t="n"/>
      <c r="W93" s="241" t="n"/>
      <c r="X93" s="241" t="n"/>
      <c r="Y93" s="280" t="n"/>
      <c r="Z93" s="350">
        <f>IF(AND(R93&lt;&gt;"",V93&lt;&gt;"",W93&lt;&gt;"",X93&lt;&gt;""),"ENTREGADO","POR RECOGER")</f>
        <v/>
      </c>
      <c r="AA93" s="198" t="n"/>
      <c r="AB93" s="198" t="n"/>
      <c r="AC93" s="198" t="n"/>
    </row>
    <row r="94" hidden="1" ht="15.75" customHeight="1" s="195">
      <c r="A94" s="301" t="n">
        <v>89</v>
      </c>
      <c r="B94" s="302" t="n"/>
      <c r="C94" s="301" t="inlineStr">
        <is>
          <t>REGION</t>
        </is>
      </c>
      <c r="D94" s="302" t="inlineStr">
        <is>
          <t>RIVA MUÑOZ ALIPIO</t>
        </is>
      </c>
      <c r="E94" s="301" t="inlineStr">
        <is>
          <t>DNI</t>
        </is>
      </c>
      <c r="F94" s="301" t="inlineStr">
        <is>
          <t>33948299</t>
        </is>
      </c>
      <c r="G94" s="331" t="n">
        <v>46048</v>
      </c>
      <c r="H94" s="301" t="inlineStr">
        <is>
          <t>4950</t>
        </is>
      </c>
      <c r="I94" s="332">
        <f>IFERROR(VLOOKUP(TEXT(H94,"0"),IPRESS!$A$3:$B$212,2,0),"")</f>
        <v/>
      </c>
      <c r="J94" s="301" t="inlineStr">
        <is>
          <t>4838</t>
        </is>
      </c>
      <c r="K94" s="332" t="inlineStr">
        <is>
          <t>PETROLEO</t>
        </is>
      </c>
      <c r="L94" s="245" t="n">
        <v>20.25</v>
      </c>
      <c r="M94" s="245" t="n">
        <v>10</v>
      </c>
      <c r="N94" s="333">
        <f>IFERROR(IF(L94*M94=0,"",L94*M94),"")</f>
        <v/>
      </c>
      <c r="O94" s="301" t="inlineStr">
        <is>
          <t>40083507</t>
        </is>
      </c>
      <c r="P94" s="332">
        <f>IFERROR(VLOOKUP(TEXT(O94,"0"),CONDUCTORES!$A$3:$G$100,2,0),"")</f>
        <v/>
      </c>
      <c r="Q94" s="332">
        <f>IFERROR(VLOOKUP(TEXT(O94,"0"),CONDUCTORES!$A$3:$H$100,6,0),"")</f>
        <v/>
      </c>
      <c r="R94" s="334" t="n"/>
      <c r="S94" s="302" t="inlineStr">
        <is>
          <t>I500,R011,N188</t>
        </is>
      </c>
      <c r="T94" s="301" t="inlineStr">
        <is>
          <t>APROBADO</t>
        </is>
      </c>
      <c r="U94" s="334" t="n"/>
      <c r="V94" s="302" t="n"/>
      <c r="W94" s="301" t="n"/>
      <c r="X94" s="301" t="n"/>
      <c r="Y94" s="280" t="n"/>
      <c r="Z94" s="350">
        <f>IF(AND(R94&lt;&gt;"",V94&lt;&gt;"",W94&lt;&gt;"",X94&lt;&gt;""),"ENTREGADO","POR RECOGER")</f>
        <v/>
      </c>
      <c r="AA94" s="198" t="n"/>
      <c r="AB94" s="198" t="n"/>
      <c r="AC94" s="198" t="n"/>
    </row>
    <row r="95" hidden="1" ht="15.75" customHeight="1" s="195">
      <c r="A95" s="241" t="n">
        <v>90</v>
      </c>
      <c r="B95" s="305" t="n"/>
      <c r="C95" s="241" t="inlineStr">
        <is>
          <t>REGION</t>
        </is>
      </c>
      <c r="D95" s="305" t="n"/>
      <c r="E95" s="241" t="inlineStr">
        <is>
          <t>DNI</t>
        </is>
      </c>
      <c r="F95" s="241" t="n"/>
      <c r="G95" s="280" t="n"/>
      <c r="H95" s="241" t="n"/>
      <c r="I95" s="332">
        <f>IFERROR(VLOOKUP(TEXT(H95,"0"),IPRESS!$A$3:$B$212,2,0),"")</f>
        <v/>
      </c>
      <c r="J95" s="241" t="n"/>
      <c r="K95" s="332" t="n"/>
      <c r="L95" s="239" t="n"/>
      <c r="M95" s="239" t="n"/>
      <c r="N95" s="333">
        <f>IFERROR(IF(L95*M95=0,"",L95*M95),"")</f>
        <v/>
      </c>
      <c r="O95" s="241" t="n"/>
      <c r="P95" s="332">
        <f>IFERROR(VLOOKUP(TEXT(O95,"0"),CONDUCTORES!$A$3:$G$100,2,0),"")</f>
        <v/>
      </c>
      <c r="Q95" s="332">
        <f>IFERROR(VLOOKUP(TEXT(O95,"0"),CONDUCTORES!$A$3:$H$100,6,0),"")</f>
        <v/>
      </c>
      <c r="R95" s="280" t="n"/>
      <c r="S95" s="305" t="n"/>
      <c r="T95" s="241" t="n"/>
      <c r="U95" s="280" t="n"/>
      <c r="V95" s="305" t="n"/>
      <c r="W95" s="241" t="n"/>
      <c r="X95" s="241" t="n"/>
      <c r="Y95" s="280" t="n"/>
      <c r="Z95" s="350">
        <f>IF(AND(R95&lt;&gt;"",V95&lt;&gt;"",W95&lt;&gt;"",X95&lt;&gt;""),"ENTREGADO","POR RECOGER")</f>
        <v/>
      </c>
      <c r="AA95" s="198" t="n"/>
      <c r="AB95" s="198" t="n"/>
      <c r="AC95" s="198" t="n"/>
    </row>
    <row r="96" hidden="1" ht="15.75" customHeight="1" s="195">
      <c r="A96" s="301" t="n">
        <v>91</v>
      </c>
      <c r="B96" s="302" t="n"/>
      <c r="C96" s="301" t="inlineStr">
        <is>
          <t>REGION</t>
        </is>
      </c>
      <c r="D96" s="302" t="n"/>
      <c r="E96" s="301" t="inlineStr">
        <is>
          <t>DNI</t>
        </is>
      </c>
      <c r="F96" s="301" t="n"/>
      <c r="G96" s="334" t="n"/>
      <c r="H96" s="301" t="n"/>
      <c r="I96" s="332">
        <f>IFERROR(VLOOKUP(TEXT(H96,"0"),IPRESS!$A$3:$B$212,2,0),"")</f>
        <v/>
      </c>
      <c r="J96" s="301" t="n"/>
      <c r="K96" s="332" t="n"/>
      <c r="L96" s="245" t="n"/>
      <c r="M96" s="245" t="n"/>
      <c r="N96" s="333">
        <f>IFERROR(IF(L96*M96=0,"",L96*M96),"")</f>
        <v/>
      </c>
      <c r="O96" s="301" t="n"/>
      <c r="P96" s="332">
        <f>IFERROR(VLOOKUP(TEXT(O96,"0"),CONDUCTORES!$A$3:$G$100,2,0),"")</f>
        <v/>
      </c>
      <c r="Q96" s="332">
        <f>IFERROR(VLOOKUP(TEXT(O96,"0"),CONDUCTORES!$A$3:$H$100,6,0),"")</f>
        <v/>
      </c>
      <c r="R96" s="334" t="n"/>
      <c r="S96" s="302" t="n"/>
      <c r="T96" s="301" t="n"/>
      <c r="U96" s="334" t="n"/>
      <c r="V96" s="302" t="n"/>
      <c r="W96" s="301" t="n"/>
      <c r="X96" s="301" t="n"/>
      <c r="Y96" s="280" t="n"/>
      <c r="Z96" s="350">
        <f>IF(AND(R96&lt;&gt;"",V96&lt;&gt;"",W96&lt;&gt;"",X96&lt;&gt;""),"ENTREGADO","POR RECOGER")</f>
        <v/>
      </c>
      <c r="AA96" s="198" t="n"/>
      <c r="AB96" s="198" t="n"/>
      <c r="AC96" s="198" t="n"/>
    </row>
    <row r="97" hidden="1" ht="15.75" customHeight="1" s="195">
      <c r="A97" s="241" t="n">
        <v>92</v>
      </c>
      <c r="B97" s="305" t="n"/>
      <c r="C97" s="241" t="inlineStr">
        <is>
          <t>REGION</t>
        </is>
      </c>
      <c r="D97" s="305" t="n"/>
      <c r="E97" s="241" t="inlineStr">
        <is>
          <t>DNI</t>
        </is>
      </c>
      <c r="F97" s="241" t="n"/>
      <c r="G97" s="280" t="n"/>
      <c r="H97" s="241" t="n"/>
      <c r="I97" s="332">
        <f>IFERROR(VLOOKUP(TEXT(H97,"0"),IPRESS!$A$3:$B$212,2,0),"")</f>
        <v/>
      </c>
      <c r="J97" s="241" t="n"/>
      <c r="K97" s="332" t="n"/>
      <c r="L97" s="239" t="n"/>
      <c r="M97" s="239" t="n"/>
      <c r="N97" s="333">
        <f>IFERROR(IF(L97*M97=0,"",L97*M97),"")</f>
        <v/>
      </c>
      <c r="O97" s="241" t="n"/>
      <c r="P97" s="332">
        <f>IFERROR(VLOOKUP(TEXT(O97,"0"),CONDUCTORES!$A$3:$G$100,2,0),"")</f>
        <v/>
      </c>
      <c r="Q97" s="332">
        <f>IFERROR(VLOOKUP(TEXT(O97,"0"),CONDUCTORES!$A$3:$H$100,6,0),"")</f>
        <v/>
      </c>
      <c r="R97" s="280" t="n"/>
      <c r="S97" s="305" t="n"/>
      <c r="T97" s="241" t="n"/>
      <c r="U97" s="280" t="n"/>
      <c r="V97" s="305" t="n"/>
      <c r="W97" s="241" t="n"/>
      <c r="X97" s="241" t="n"/>
      <c r="Y97" s="280" t="n"/>
      <c r="Z97" s="350">
        <f>IF(AND(R97&lt;&gt;"",V97&lt;&gt;"",W97&lt;&gt;"",X97&lt;&gt;""),"ENTREGADO","POR RECOGER")</f>
        <v/>
      </c>
      <c r="AA97" s="198" t="n"/>
      <c r="AB97" s="198" t="n"/>
      <c r="AC97" s="198" t="n"/>
    </row>
    <row r="98" hidden="1" ht="15.75" customHeight="1" s="195">
      <c r="A98" s="301" t="n">
        <v>93</v>
      </c>
      <c r="B98" s="302" t="n"/>
      <c r="C98" s="301" t="inlineStr">
        <is>
          <t>REGION</t>
        </is>
      </c>
      <c r="D98" s="302" t="n"/>
      <c r="E98" s="301" t="inlineStr">
        <is>
          <t>DNI</t>
        </is>
      </c>
      <c r="F98" s="301" t="n"/>
      <c r="G98" s="334" t="n"/>
      <c r="H98" s="301" t="n"/>
      <c r="I98" s="332">
        <f>IFERROR(VLOOKUP(TEXT(H98,"0"),IPRESS!$A$3:$B$212,2,0),"")</f>
        <v/>
      </c>
      <c r="J98" s="301" t="n"/>
      <c r="K98" s="332" t="n"/>
      <c r="L98" s="245" t="n"/>
      <c r="M98" s="245" t="n"/>
      <c r="N98" s="333">
        <f>IFERROR(IF(L98*M98=0,"",L98*M98),"")</f>
        <v/>
      </c>
      <c r="O98" s="301" t="n"/>
      <c r="P98" s="332">
        <f>IFERROR(VLOOKUP(TEXT(O98,"0"),CONDUCTORES!$A$3:$G$100,2,0),"")</f>
        <v/>
      </c>
      <c r="Q98" s="332">
        <f>IFERROR(VLOOKUP(TEXT(O98,"0"),CONDUCTORES!$A$3:$H$100,6,0),"")</f>
        <v/>
      </c>
      <c r="R98" s="334" t="n"/>
      <c r="S98" s="302" t="n"/>
      <c r="T98" s="301" t="n"/>
      <c r="U98" s="334" t="n"/>
      <c r="V98" s="302" t="n"/>
      <c r="W98" s="301" t="n"/>
      <c r="X98" s="301" t="n"/>
      <c r="Y98" s="280" t="n"/>
      <c r="Z98" s="350">
        <f>IF(AND(R98&lt;&gt;"",V98&lt;&gt;"",W98&lt;&gt;"",X98&lt;&gt;""),"ENTREGADO","POR RECOGER")</f>
        <v/>
      </c>
      <c r="AA98" s="198" t="n"/>
      <c r="AB98" s="198" t="n"/>
      <c r="AC98" s="198" t="n"/>
    </row>
    <row r="99" hidden="1" ht="15.75" customHeight="1" s="195">
      <c r="A99" s="241" t="n">
        <v>94</v>
      </c>
      <c r="B99" s="305" t="n"/>
      <c r="C99" s="241" t="inlineStr">
        <is>
          <t>REGION</t>
        </is>
      </c>
      <c r="D99" s="305" t="n"/>
      <c r="E99" s="241" t="inlineStr">
        <is>
          <t>DNI</t>
        </is>
      </c>
      <c r="F99" s="241" t="n"/>
      <c r="G99" s="280" t="n"/>
      <c r="H99" s="241" t="n"/>
      <c r="I99" s="332">
        <f>IFERROR(VLOOKUP(TEXT(H99,"0"),IPRESS!$A$3:$B$212,2,0),"")</f>
        <v/>
      </c>
      <c r="J99" s="241" t="n"/>
      <c r="K99" s="332" t="n"/>
      <c r="L99" s="239" t="n"/>
      <c r="M99" s="239" t="n"/>
      <c r="N99" s="333">
        <f>IFERROR(IF(L99*M99=0,"",L99*M99),"")</f>
        <v/>
      </c>
      <c r="O99" s="241" t="n"/>
      <c r="P99" s="332">
        <f>IFERROR(VLOOKUP(TEXT(O99,"0"),CONDUCTORES!$A$3:$G$100,2,0),"")</f>
        <v/>
      </c>
      <c r="Q99" s="332">
        <f>IFERROR(VLOOKUP(TEXT(O99,"0"),CONDUCTORES!$A$3:$H$100,6,0),"")</f>
        <v/>
      </c>
      <c r="R99" s="280" t="n"/>
      <c r="S99" s="305" t="n"/>
      <c r="T99" s="241" t="n"/>
      <c r="U99" s="280" t="n"/>
      <c r="V99" s="305" t="n"/>
      <c r="W99" s="241" t="n"/>
      <c r="X99" s="241" t="n"/>
      <c r="Y99" s="280" t="n"/>
      <c r="Z99" s="350">
        <f>IF(AND(R99&lt;&gt;"",V99&lt;&gt;"",W99&lt;&gt;"",X99&lt;&gt;""),"ENTREGADO","POR RECOGER")</f>
        <v/>
      </c>
      <c r="AA99" s="198" t="n"/>
      <c r="AB99" s="198" t="n"/>
      <c r="AC99" s="198" t="n"/>
    </row>
    <row r="100" ht="15" customHeight="1" s="195">
      <c r="A100" s="280" t="n"/>
      <c r="B100" s="280" t="n"/>
      <c r="C100" s="280" t="n"/>
      <c r="D100" s="280" t="n"/>
      <c r="E100" s="280" t="n"/>
      <c r="F100" s="280" t="n"/>
      <c r="G100" s="280" t="n"/>
      <c r="H100" s="280" t="n"/>
      <c r="I100" s="343" t="n"/>
      <c r="J100" s="280" t="n"/>
      <c r="K100" s="343" t="n"/>
      <c r="L100" s="280" t="n"/>
      <c r="M100" s="280" t="n"/>
      <c r="N100" s="345" t="n"/>
      <c r="O100" s="280" t="n"/>
      <c r="P100" s="343" t="n"/>
      <c r="Q100" s="343" t="n"/>
      <c r="R100" s="280" t="n"/>
      <c r="S100" s="280" t="n"/>
      <c r="T100" s="280" t="n"/>
      <c r="U100" s="280" t="n"/>
      <c r="V100" s="280" t="n"/>
      <c r="W100" s="280" t="n"/>
      <c r="X100" s="280" t="n"/>
      <c r="Y100" s="280" t="n"/>
      <c r="Z100" s="350" t="n"/>
      <c r="AA100" s="198" t="n"/>
      <c r="AB100" s="198" t="n"/>
      <c r="AC100" s="198" t="n"/>
    </row>
    <row r="101" ht="24" customHeight="1" s="195">
      <c r="A101" s="358" t="n"/>
      <c r="K101" s="343" t="n"/>
      <c r="L101" s="280" t="n"/>
      <c r="M101" s="359" t="n"/>
      <c r="N101" s="359" t="n"/>
      <c r="O101" s="280" t="n"/>
      <c r="P101" s="343" t="n"/>
      <c r="Q101" s="343" t="n"/>
      <c r="R101" s="280" t="n"/>
      <c r="S101" s="280" t="n"/>
      <c r="T101" s="280" t="n"/>
      <c r="U101" s="280" t="n"/>
      <c r="V101" s="280" t="n"/>
      <c r="W101" s="280" t="n"/>
      <c r="X101" s="280" t="n"/>
      <c r="Y101" s="280" t="n"/>
      <c r="Z101" s="350" t="n"/>
      <c r="AA101" s="198" t="n"/>
      <c r="AB101" s="198" t="n"/>
      <c r="AC101" s="198" t="n"/>
    </row>
    <row r="102" ht="15" customHeight="1" s="195">
      <c r="A102" s="280" t="n"/>
      <c r="B102" s="280" t="n"/>
      <c r="C102" s="280" t="n"/>
      <c r="D102" s="280" t="n"/>
      <c r="E102" s="280" t="n"/>
      <c r="F102" s="280" t="n"/>
      <c r="G102" s="280" t="n"/>
      <c r="H102" s="280" t="n"/>
      <c r="I102" s="343" t="n"/>
      <c r="J102" s="280" t="n"/>
      <c r="K102" s="343" t="n"/>
      <c r="L102" s="280" t="n"/>
      <c r="M102" s="280" t="n"/>
      <c r="N102" s="345" t="n"/>
      <c r="O102" s="280" t="n"/>
      <c r="P102" s="343" t="n"/>
      <c r="Q102" s="343" t="n"/>
      <c r="R102" s="280" t="n"/>
      <c r="S102" s="280" t="n"/>
      <c r="T102" s="280" t="n"/>
      <c r="U102" s="280" t="n"/>
      <c r="V102" s="280" t="n"/>
      <c r="W102" s="280" t="n"/>
      <c r="X102" s="280" t="n"/>
      <c r="Y102" s="280" t="n"/>
      <c r="Z102" s="350" t="n"/>
      <c r="AA102" s="198" t="n"/>
      <c r="AB102" s="198" t="n"/>
      <c r="AC102" s="198" t="n"/>
    </row>
    <row r="103" ht="15" customHeight="1" s="195">
      <c r="A103" s="280" t="n"/>
      <c r="B103" s="280" t="n"/>
      <c r="C103" s="280" t="n"/>
      <c r="D103" s="280" t="n"/>
      <c r="E103" s="280" t="n"/>
      <c r="F103" s="280" t="n"/>
      <c r="G103" s="280" t="n"/>
      <c r="H103" s="280" t="n"/>
      <c r="I103" s="343" t="n"/>
      <c r="J103" s="280" t="n"/>
      <c r="K103" s="343" t="n"/>
      <c r="L103" s="280" t="n"/>
      <c r="M103" s="280" t="n"/>
      <c r="N103" s="345" t="n"/>
      <c r="O103" s="280" t="n"/>
      <c r="P103" s="343" t="n"/>
      <c r="Q103" s="343" t="n"/>
      <c r="R103" s="280" t="n"/>
      <c r="S103" s="280" t="n"/>
      <c r="T103" s="280" t="n"/>
      <c r="U103" s="280" t="n"/>
      <c r="V103" s="280" t="n"/>
      <c r="W103" s="280" t="n"/>
      <c r="X103" s="280" t="n"/>
      <c r="Y103" s="280" t="n"/>
      <c r="Z103" s="350" t="n"/>
      <c r="AA103" s="198" t="n"/>
      <c r="AB103" s="198" t="n"/>
      <c r="AC103" s="198" t="n"/>
    </row>
    <row r="104" ht="15" customHeight="1" s="195">
      <c r="A104" s="280" t="n"/>
      <c r="B104" s="280" t="n"/>
      <c r="C104" s="280" t="n"/>
      <c r="D104" s="280" t="n"/>
      <c r="E104" s="280" t="n"/>
      <c r="F104" s="280" t="n"/>
      <c r="G104" s="280" t="n"/>
      <c r="H104" s="280" t="n"/>
      <c r="I104" s="332">
        <f>IFERROR(VLOOKUP(TEXT(H104,"0"),IPRESS!$A$3:$B$212,2,0),"")</f>
        <v/>
      </c>
      <c r="J104" s="280" t="n"/>
      <c r="K104" s="343" t="n"/>
      <c r="L104" s="280" t="n"/>
      <c r="M104" s="280" t="n"/>
      <c r="N104" s="345" t="n"/>
      <c r="O104" s="280" t="n"/>
      <c r="P104" s="332">
        <f>IFERROR(VLOOKUP(TEXT(O104,"0"),CONDUCTORES!$A$3:$G$54,2,0),"")</f>
        <v/>
      </c>
      <c r="Q104" s="332">
        <f>IFERROR(VLOOKUP(TEXT(O104,"0"),CONDUCTORES!$A$3:$H$54,6,0),"")</f>
        <v/>
      </c>
      <c r="R104" s="280" t="n"/>
      <c r="S104" s="280" t="n"/>
      <c r="T104" s="280" t="n"/>
      <c r="U104" s="280" t="n"/>
      <c r="V104" s="280" t="n"/>
      <c r="W104" s="280" t="n"/>
      <c r="X104" s="280" t="n"/>
      <c r="Y104" s="280" t="n"/>
      <c r="Z104" s="350" t="n"/>
      <c r="AA104" s="198" t="n"/>
      <c r="AB104" s="198" t="n"/>
      <c r="AC104" s="198" t="n"/>
    </row>
    <row r="105" ht="15" customHeight="1" s="195">
      <c r="A105" s="280" t="n"/>
      <c r="B105" s="280" t="n"/>
      <c r="C105" s="280" t="n"/>
      <c r="D105" s="280" t="n"/>
      <c r="E105" s="280" t="n"/>
      <c r="F105" s="280" t="n"/>
      <c r="G105" s="280" t="n"/>
      <c r="H105" s="280" t="n"/>
      <c r="I105" s="332">
        <f>IFERROR(VLOOKUP(TEXT(H105,"0"),IPRESS!$A$3:$B$212,2,0),"")</f>
        <v/>
      </c>
      <c r="J105" s="280" t="n"/>
      <c r="K105" s="343" t="n"/>
      <c r="L105" s="280" t="n"/>
      <c r="M105" s="280" t="n"/>
      <c r="N105" s="345" t="n"/>
      <c r="O105" s="280" t="n"/>
      <c r="P105" s="332">
        <f>IFERROR(VLOOKUP(TEXT(O105,"0"),CONDUCTORES!$A$3:$G$54,2,0),"")</f>
        <v/>
      </c>
      <c r="Q105" s="332">
        <f>IFERROR(VLOOKUP(TEXT(O105,"0"),CONDUCTORES!$A$3:$H$54,6,0),"")</f>
        <v/>
      </c>
      <c r="R105" s="280" t="n"/>
      <c r="S105" s="280" t="n"/>
      <c r="T105" s="280" t="n"/>
      <c r="U105" s="280" t="n"/>
      <c r="V105" s="280" t="n"/>
      <c r="W105" s="280" t="n"/>
      <c r="X105" s="280" t="n"/>
      <c r="Y105" s="280" t="n"/>
      <c r="Z105" s="350" t="n"/>
      <c r="AA105" s="198" t="n"/>
      <c r="AB105" s="198" t="n"/>
      <c r="AC105" s="198" t="n"/>
    </row>
    <row r="106" ht="15" customHeight="1" s="195">
      <c r="A106" s="280" t="n"/>
      <c r="B106" s="280" t="n"/>
      <c r="C106" s="280" t="n"/>
      <c r="D106" s="280" t="n"/>
      <c r="E106" s="280" t="n"/>
      <c r="F106" s="280" t="n"/>
      <c r="G106" s="280" t="n"/>
      <c r="H106" s="280" t="n"/>
      <c r="I106" s="332">
        <f>IFERROR(VLOOKUP(TEXT(H106,"0"),IPRESS!$A$3:$B$212,2,0),"")</f>
        <v/>
      </c>
      <c r="J106" s="280" t="n"/>
      <c r="K106" s="343" t="n"/>
      <c r="L106" s="280" t="n"/>
      <c r="M106" s="280" t="n"/>
      <c r="N106" s="345" t="n"/>
      <c r="O106" s="280" t="n"/>
      <c r="P106" s="332">
        <f>IFERROR(VLOOKUP(TEXT(O106,"0"),CONDUCTORES!$A$3:$G$54,2,0),"")</f>
        <v/>
      </c>
      <c r="Q106" s="332">
        <f>IFERROR(VLOOKUP(TEXT(O106,"0"),CONDUCTORES!$A$3:$H$54,6,0),"")</f>
        <v/>
      </c>
      <c r="R106" s="280" t="n"/>
      <c r="S106" s="280" t="n"/>
      <c r="T106" s="280" t="n"/>
      <c r="U106" s="280" t="n"/>
      <c r="V106" s="280" t="n"/>
      <c r="W106" s="280" t="n"/>
      <c r="X106" s="280" t="n"/>
      <c r="Y106" s="280" t="n"/>
      <c r="Z106" s="350" t="n"/>
      <c r="AA106" s="198" t="n"/>
      <c r="AB106" s="198" t="n"/>
      <c r="AC106" s="198" t="n"/>
    </row>
    <row r="107" ht="15" customHeight="1" s="195">
      <c r="A107" s="280" t="n"/>
      <c r="B107" s="280" t="n"/>
      <c r="C107" s="280" t="n"/>
      <c r="D107" s="280" t="n"/>
      <c r="E107" s="280" t="n"/>
      <c r="F107" s="280" t="n"/>
      <c r="G107" s="280" t="n"/>
      <c r="H107" s="280" t="n"/>
      <c r="I107" s="332">
        <f>IFERROR(VLOOKUP(TEXT(H107,"0"),IPRESS!$A$3:$B$212,2,0),"")</f>
        <v/>
      </c>
      <c r="J107" s="280" t="n"/>
      <c r="K107" s="343" t="n"/>
      <c r="L107" s="280" t="n"/>
      <c r="M107" s="280" t="n"/>
      <c r="N107" s="345" t="n"/>
      <c r="O107" s="280" t="n"/>
      <c r="P107" s="332">
        <f>IFERROR(VLOOKUP(TEXT(O107,"0"),CONDUCTORES!$A$3:$G$54,2,0),"")</f>
        <v/>
      </c>
      <c r="Q107" s="332">
        <f>IFERROR(VLOOKUP(TEXT(O107,"0"),CONDUCTORES!$A$3:$H$54,6,0),"")</f>
        <v/>
      </c>
      <c r="R107" s="280" t="n"/>
      <c r="S107" s="280" t="n"/>
      <c r="T107" s="280" t="n"/>
      <c r="U107" s="280" t="n"/>
      <c r="V107" s="280" t="n"/>
      <c r="W107" s="280" t="n"/>
      <c r="X107" s="280" t="n"/>
      <c r="Y107" s="280" t="n"/>
      <c r="Z107" s="350" t="n"/>
      <c r="AA107" s="198" t="n"/>
      <c r="AB107" s="198" t="n"/>
      <c r="AC107" s="198" t="n"/>
    </row>
    <row r="108" ht="15" customHeight="1" s="195">
      <c r="A108" s="280" t="n"/>
      <c r="B108" s="280" t="n"/>
      <c r="C108" s="280" t="n"/>
      <c r="D108" s="280" t="n"/>
      <c r="E108" s="280" t="n"/>
      <c r="F108" s="280" t="n"/>
      <c r="G108" s="280" t="n"/>
      <c r="H108" s="280" t="n"/>
      <c r="I108" s="332">
        <f>IFERROR(VLOOKUP(TEXT(H108,"0"),IPRESS!$A$3:$B$212,2,0),"")</f>
        <v/>
      </c>
      <c r="J108" s="280" t="n"/>
      <c r="K108" s="343" t="n"/>
      <c r="L108" s="280" t="n"/>
      <c r="M108" s="280" t="n"/>
      <c r="N108" s="345" t="n"/>
      <c r="O108" s="280" t="n"/>
      <c r="P108" s="332">
        <f>IFERROR(VLOOKUP(TEXT(O108,"0"),CONDUCTORES!$A$3:$G$54,2,0),"")</f>
        <v/>
      </c>
      <c r="Q108" s="332">
        <f>IFERROR(VLOOKUP(TEXT(O108,"0"),CONDUCTORES!$A$3:$H$54,6,0),"")</f>
        <v/>
      </c>
      <c r="R108" s="280" t="n"/>
      <c r="S108" s="280" t="n"/>
      <c r="T108" s="280" t="n"/>
      <c r="U108" s="280" t="n"/>
      <c r="V108" s="280" t="n"/>
      <c r="W108" s="280" t="n"/>
      <c r="X108" s="280" t="n"/>
      <c r="Y108" s="280" t="n"/>
      <c r="Z108" s="350" t="n"/>
      <c r="AA108" s="198" t="n"/>
      <c r="AB108" s="198" t="n"/>
      <c r="AC108" s="198" t="n"/>
    </row>
    <row r="109" ht="15" customHeight="1" s="195">
      <c r="A109" s="280" t="n"/>
      <c r="B109" s="280" t="n"/>
      <c r="C109" s="280" t="n"/>
      <c r="D109" s="280" t="n"/>
      <c r="E109" s="280" t="n"/>
      <c r="F109" s="280" t="n"/>
      <c r="G109" s="280" t="n"/>
      <c r="H109" s="280" t="n"/>
      <c r="I109" s="332">
        <f>IFERROR(VLOOKUP(TEXT(H109,"0"),IPRESS!$A$3:$B$212,2,0),"")</f>
        <v/>
      </c>
      <c r="J109" s="280" t="n"/>
      <c r="K109" s="343" t="n"/>
      <c r="L109" s="280" t="n"/>
      <c r="M109" s="280" t="n"/>
      <c r="N109" s="345" t="n"/>
      <c r="O109" s="280" t="n"/>
      <c r="P109" s="332">
        <f>IFERROR(VLOOKUP(TEXT(O109,"0"),CONDUCTORES!$A$3:$G$54,2,0),"")</f>
        <v/>
      </c>
      <c r="Q109" s="332">
        <f>IFERROR(VLOOKUP(TEXT(O109,"0"),CONDUCTORES!$A$3:$H$54,6,0),"")</f>
        <v/>
      </c>
      <c r="R109" s="280" t="n"/>
      <c r="S109" s="280" t="n"/>
      <c r="T109" s="280" t="n"/>
      <c r="U109" s="280" t="n"/>
      <c r="V109" s="280" t="n"/>
      <c r="W109" s="280" t="n"/>
      <c r="X109" s="280" t="n"/>
      <c r="Y109" s="280" t="n"/>
      <c r="Z109" s="350" t="n"/>
      <c r="AA109" s="198" t="n"/>
      <c r="AB109" s="198" t="n"/>
      <c r="AC109" s="198" t="n"/>
    </row>
    <row r="110" ht="15" customHeight="1" s="195">
      <c r="A110" s="280" t="n"/>
      <c r="B110" s="280" t="n"/>
      <c r="C110" s="280" t="n"/>
      <c r="D110" s="280" t="n"/>
      <c r="E110" s="280" t="n"/>
      <c r="F110" s="280" t="n"/>
      <c r="G110" s="280" t="n"/>
      <c r="H110" s="280" t="n"/>
      <c r="I110" s="332">
        <f>IFERROR(VLOOKUP(TEXT(H110,"0"),IPRESS!$A$3:$B$212,2,0),"")</f>
        <v/>
      </c>
      <c r="J110" s="280" t="n"/>
      <c r="K110" s="343" t="n"/>
      <c r="L110" s="280" t="n"/>
      <c r="M110" s="280" t="n"/>
      <c r="N110" s="345" t="n"/>
      <c r="O110" s="280" t="n"/>
      <c r="P110" s="332">
        <f>IFERROR(VLOOKUP(TEXT(O110,"0"),CONDUCTORES!$A$3:$G$54,2,0),"")</f>
        <v/>
      </c>
      <c r="Q110" s="332">
        <f>IFERROR(VLOOKUP(TEXT(O110,"0"),CONDUCTORES!$A$3:$H$54,6,0),"")</f>
        <v/>
      </c>
      <c r="R110" s="280" t="n"/>
      <c r="S110" s="280" t="n"/>
      <c r="T110" s="280" t="n"/>
      <c r="U110" s="280" t="n"/>
      <c r="V110" s="280" t="n"/>
      <c r="W110" s="280" t="n"/>
      <c r="X110" s="280" t="n"/>
      <c r="Y110" s="280" t="n"/>
      <c r="Z110" s="350" t="n"/>
      <c r="AA110" s="198" t="n"/>
      <c r="AB110" s="198" t="n"/>
      <c r="AC110" s="198" t="n"/>
    </row>
    <row r="111" ht="15" customHeight="1" s="195">
      <c r="A111" s="280" t="n"/>
      <c r="B111" s="280" t="n"/>
      <c r="C111" s="280" t="n"/>
      <c r="D111" s="280" t="n"/>
      <c r="E111" s="280" t="n"/>
      <c r="F111" s="280" t="n"/>
      <c r="G111" s="280" t="n"/>
      <c r="H111" s="280" t="n"/>
      <c r="I111" s="332">
        <f>IFERROR(VLOOKUP(TEXT(H111,"0"),IPRESS!$A$3:$B$212,2,0),"")</f>
        <v/>
      </c>
      <c r="J111" s="280" t="n"/>
      <c r="K111" s="343" t="n"/>
      <c r="L111" s="280" t="n"/>
      <c r="M111" s="280" t="n"/>
      <c r="N111" s="345" t="n"/>
      <c r="O111" s="280" t="n"/>
      <c r="P111" s="332">
        <f>IFERROR(VLOOKUP(TEXT(O111,"0"),CONDUCTORES!$A$3:$G$54,2,0),"")</f>
        <v/>
      </c>
      <c r="Q111" s="332">
        <f>IFERROR(VLOOKUP(TEXT(O111,"0"),CONDUCTORES!$A$3:$H$54,6,0),"")</f>
        <v/>
      </c>
      <c r="R111" s="280" t="n"/>
      <c r="S111" s="280" t="n"/>
      <c r="T111" s="280" t="n"/>
      <c r="U111" s="280" t="n"/>
      <c r="V111" s="280" t="n"/>
      <c r="W111" s="280" t="n"/>
      <c r="X111" s="280" t="n"/>
      <c r="Y111" s="280" t="n"/>
      <c r="Z111" s="350" t="n"/>
      <c r="AA111" s="198" t="n"/>
      <c r="AB111" s="198" t="n"/>
      <c r="AC111" s="198" t="n"/>
    </row>
    <row r="112" ht="15" customHeight="1" s="195">
      <c r="A112" s="280" t="n"/>
      <c r="B112" s="280" t="n"/>
      <c r="C112" s="280" t="n"/>
      <c r="D112" s="280" t="n"/>
      <c r="E112" s="280" t="n"/>
      <c r="F112" s="280" t="n"/>
      <c r="G112" s="280" t="n"/>
      <c r="H112" s="280" t="n"/>
      <c r="I112" s="332">
        <f>IFERROR(VLOOKUP(TEXT(H112,"0"),IPRESS!$A$3:$B$212,2,0),"")</f>
        <v/>
      </c>
      <c r="J112" s="280" t="n"/>
      <c r="K112" s="343" t="n"/>
      <c r="L112" s="280" t="n"/>
      <c r="M112" s="280" t="n"/>
      <c r="N112" s="345" t="n"/>
      <c r="O112" s="280" t="n"/>
      <c r="P112" s="332">
        <f>IFERROR(VLOOKUP(TEXT(O112,"0"),CONDUCTORES!$A$3:$G$54,2,0),"")</f>
        <v/>
      </c>
      <c r="Q112" s="332">
        <f>IFERROR(VLOOKUP(TEXT(O112,"0"),CONDUCTORES!$A$3:$H$54,6,0),"")</f>
        <v/>
      </c>
      <c r="R112" s="280" t="n"/>
      <c r="S112" s="280" t="n"/>
      <c r="T112" s="280" t="n"/>
      <c r="U112" s="280" t="n"/>
      <c r="V112" s="280" t="n"/>
      <c r="W112" s="280" t="n"/>
      <c r="X112" s="280" t="n"/>
      <c r="Y112" s="280" t="n"/>
      <c r="Z112" s="350" t="n"/>
      <c r="AA112" s="198" t="n"/>
      <c r="AB112" s="198" t="n"/>
      <c r="AC112" s="198" t="n"/>
    </row>
    <row r="113" ht="15" customHeight="1" s="195">
      <c r="A113" s="280" t="n"/>
      <c r="B113" s="280" t="n"/>
      <c r="C113" s="280" t="n"/>
      <c r="D113" s="280" t="n"/>
      <c r="E113" s="280" t="n"/>
      <c r="F113" s="280" t="n"/>
      <c r="G113" s="280" t="n"/>
      <c r="H113" s="280" t="n"/>
      <c r="I113" s="332">
        <f>IFERROR(VLOOKUP(TEXT(H113,"0"),IPRESS!$A$3:$B$212,2,0),"")</f>
        <v/>
      </c>
      <c r="J113" s="280" t="n"/>
      <c r="K113" s="343" t="n"/>
      <c r="L113" s="280" t="n"/>
      <c r="M113" s="280" t="n"/>
      <c r="N113" s="345" t="n"/>
      <c r="O113" s="280" t="n"/>
      <c r="P113" s="332">
        <f>IFERROR(VLOOKUP(TEXT(O113,"0"),CONDUCTORES!$A$3:$G$54,2,0),"")</f>
        <v/>
      </c>
      <c r="Q113" s="332">
        <f>IFERROR(VLOOKUP(TEXT(O113,"0"),CONDUCTORES!$A$3:$H$54,6,0),"")</f>
        <v/>
      </c>
      <c r="R113" s="280" t="n"/>
      <c r="S113" s="280" t="n"/>
      <c r="T113" s="280" t="n"/>
      <c r="U113" s="280" t="n"/>
      <c r="V113" s="280" t="n"/>
      <c r="W113" s="280" t="n"/>
      <c r="X113" s="280" t="n"/>
      <c r="Y113" s="280" t="n"/>
      <c r="Z113" s="350" t="n"/>
      <c r="AA113" s="198" t="n"/>
      <c r="AB113" s="198" t="n"/>
      <c r="AC113" s="198" t="n"/>
    </row>
    <row r="114" ht="15" customHeight="1" s="195">
      <c r="A114" s="280" t="n"/>
      <c r="B114" s="280" t="n"/>
      <c r="C114" s="280" t="n"/>
      <c r="D114" s="280" t="n"/>
      <c r="E114" s="280" t="n"/>
      <c r="F114" s="280" t="n"/>
      <c r="G114" s="280" t="n"/>
      <c r="H114" s="280" t="n"/>
      <c r="I114" s="332">
        <f>IFERROR(VLOOKUP(TEXT(H114,"0"),IPRESS!$A$3:$B$212,2,0),"")</f>
        <v/>
      </c>
      <c r="J114" s="280" t="n"/>
      <c r="K114" s="343" t="n"/>
      <c r="L114" s="280" t="n"/>
      <c r="M114" s="280" t="n"/>
      <c r="N114" s="345" t="n"/>
      <c r="O114" s="280" t="n"/>
      <c r="P114" s="332">
        <f>IFERROR(VLOOKUP(TEXT(O114,"0"),CONDUCTORES!$A$3:$G$54,2,0),"")</f>
        <v/>
      </c>
      <c r="Q114" s="332">
        <f>IFERROR(VLOOKUP(TEXT(O114,"0"),CONDUCTORES!$A$3:$H$54,6,0),"")</f>
        <v/>
      </c>
      <c r="R114" s="280" t="n"/>
      <c r="S114" s="280" t="n"/>
      <c r="T114" s="280" t="n"/>
      <c r="U114" s="280" t="n"/>
      <c r="V114" s="280" t="n"/>
      <c r="W114" s="280" t="n"/>
      <c r="X114" s="280" t="n"/>
      <c r="Y114" s="280" t="n"/>
      <c r="Z114" s="350" t="n"/>
      <c r="AA114" s="198" t="n"/>
      <c r="AB114" s="198" t="n"/>
      <c r="AC114" s="198" t="n"/>
    </row>
    <row r="115" ht="15" customHeight="1" s="195">
      <c r="A115" s="280" t="n"/>
      <c r="B115" s="280" t="n"/>
      <c r="C115" s="280" t="n"/>
      <c r="D115" s="280" t="n"/>
      <c r="E115" s="280" t="n"/>
      <c r="F115" s="280" t="n"/>
      <c r="G115" s="280" t="n"/>
      <c r="H115" s="280" t="n"/>
      <c r="I115" s="332">
        <f>IFERROR(VLOOKUP(TEXT(H115,"0"),IPRESS!$A$3:$B$212,2,0),"")</f>
        <v/>
      </c>
      <c r="J115" s="280" t="n"/>
      <c r="K115" s="343" t="n"/>
      <c r="L115" s="280" t="n"/>
      <c r="M115" s="280" t="n"/>
      <c r="N115" s="345" t="n"/>
      <c r="O115" s="280" t="n"/>
      <c r="P115" s="332">
        <f>IFERROR(VLOOKUP(TEXT(O115,"0"),CONDUCTORES!$A$3:$G$54,2,0),"")</f>
        <v/>
      </c>
      <c r="Q115" s="332">
        <f>IFERROR(VLOOKUP(TEXT(O115,"0"),CONDUCTORES!$A$3:$H$54,6,0),"")</f>
        <v/>
      </c>
      <c r="R115" s="280" t="n"/>
      <c r="S115" s="280" t="n"/>
      <c r="T115" s="280" t="n"/>
      <c r="U115" s="280" t="n"/>
      <c r="V115" s="280" t="n"/>
      <c r="W115" s="280" t="n"/>
      <c r="X115" s="280" t="n"/>
      <c r="Y115" s="280" t="n"/>
      <c r="Z115" s="350" t="n"/>
      <c r="AA115" s="198" t="n"/>
      <c r="AB115" s="198" t="n"/>
      <c r="AC115" s="198" t="n"/>
    </row>
    <row r="116" ht="15" customHeight="1" s="195">
      <c r="A116" s="280" t="n"/>
      <c r="B116" s="280" t="n"/>
      <c r="C116" s="280" t="n"/>
      <c r="D116" s="280" t="n"/>
      <c r="E116" s="280" t="n"/>
      <c r="F116" s="280" t="n"/>
      <c r="G116" s="280" t="n"/>
      <c r="H116" s="280" t="n"/>
      <c r="I116" s="332">
        <f>IFERROR(VLOOKUP(TEXT(H116,"0"),IPRESS!$A$3:$B$212,2,0),"")</f>
        <v/>
      </c>
      <c r="J116" s="280" t="n"/>
      <c r="K116" s="343" t="n"/>
      <c r="L116" s="280" t="n"/>
      <c r="M116" s="280" t="n"/>
      <c r="N116" s="345" t="n"/>
      <c r="O116" s="280" t="n"/>
      <c r="P116" s="332">
        <f>IFERROR(VLOOKUP(TEXT(O116,"0"),CONDUCTORES!$A$3:$G$54,2,0),"")</f>
        <v/>
      </c>
      <c r="Q116" s="332">
        <f>IFERROR(VLOOKUP(TEXT(O116,"0"),CONDUCTORES!$A$3:$H$54,6,0),"")</f>
        <v/>
      </c>
      <c r="R116" s="280" t="n"/>
      <c r="S116" s="280" t="n"/>
      <c r="T116" s="280" t="n"/>
      <c r="U116" s="280" t="n"/>
      <c r="V116" s="280" t="n"/>
      <c r="W116" s="280" t="n"/>
      <c r="X116" s="280" t="n"/>
      <c r="Y116" s="280" t="n"/>
      <c r="Z116" s="350" t="n"/>
      <c r="AA116" s="198" t="n"/>
      <c r="AB116" s="198" t="n"/>
      <c r="AC116" s="198" t="n"/>
    </row>
    <row r="117" ht="15" customHeight="1" s="195">
      <c r="A117" s="280" t="n"/>
      <c r="B117" s="280" t="n"/>
      <c r="C117" s="280" t="n"/>
      <c r="D117" s="280" t="n"/>
      <c r="E117" s="280" t="n"/>
      <c r="F117" s="280" t="n"/>
      <c r="G117" s="280" t="n"/>
      <c r="H117" s="280" t="n"/>
      <c r="I117" s="332">
        <f>IFERROR(VLOOKUP(TEXT(H117,"0"),IPRESS!$A$3:$B$212,2,0),"")</f>
        <v/>
      </c>
      <c r="J117" s="280" t="n"/>
      <c r="K117" s="343" t="n"/>
      <c r="L117" s="280" t="n"/>
      <c r="M117" s="280" t="n"/>
      <c r="N117" s="345" t="n"/>
      <c r="O117" s="280" t="n"/>
      <c r="P117" s="332">
        <f>IFERROR(VLOOKUP(TEXT(O117,"0"),CONDUCTORES!$A$3:$G$54,2,0),"")</f>
        <v/>
      </c>
      <c r="Q117" s="332">
        <f>IFERROR(VLOOKUP(TEXT(O117,"0"),CONDUCTORES!$A$3:$H$54,6,0),"")</f>
        <v/>
      </c>
      <c r="R117" s="280" t="n"/>
      <c r="S117" s="280" t="n"/>
      <c r="T117" s="280" t="n"/>
      <c r="U117" s="280" t="n"/>
      <c r="V117" s="280" t="n"/>
      <c r="W117" s="280" t="n"/>
      <c r="X117" s="280" t="n"/>
      <c r="Y117" s="280" t="n"/>
      <c r="Z117" s="350" t="n"/>
      <c r="AA117" s="198" t="n"/>
      <c r="AB117" s="198" t="n"/>
      <c r="AC117" s="198" t="n"/>
    </row>
    <row r="118" ht="15" customHeight="1" s="195">
      <c r="A118" s="280" t="n"/>
      <c r="B118" s="280" t="n"/>
      <c r="C118" s="280" t="n"/>
      <c r="D118" s="280" t="n"/>
      <c r="E118" s="280" t="n"/>
      <c r="F118" s="280" t="n"/>
      <c r="G118" s="280" t="n"/>
      <c r="H118" s="280" t="n"/>
      <c r="I118" s="332">
        <f>IFERROR(VLOOKUP(TEXT(H118,"0"),IPRESS!$A$3:$B$212,2,0),"")</f>
        <v/>
      </c>
      <c r="J118" s="280" t="n"/>
      <c r="K118" s="343" t="n"/>
      <c r="L118" s="280" t="n"/>
      <c r="M118" s="280" t="n"/>
      <c r="N118" s="345" t="n"/>
      <c r="O118" s="280" t="n"/>
      <c r="P118" s="332">
        <f>IFERROR(VLOOKUP(TEXT(O118,"0"),CONDUCTORES!$A$3:$G$54,2,0),"")</f>
        <v/>
      </c>
      <c r="Q118" s="332">
        <f>IFERROR(VLOOKUP(TEXT(O118,"0"),CONDUCTORES!$A$3:$H$54,6,0),"")</f>
        <v/>
      </c>
      <c r="R118" s="280" t="n"/>
      <c r="S118" s="280" t="n"/>
      <c r="T118" s="280" t="n"/>
      <c r="U118" s="280" t="n"/>
      <c r="V118" s="280" t="n"/>
      <c r="W118" s="280" t="n"/>
      <c r="X118" s="280" t="n"/>
      <c r="Y118" s="280" t="n"/>
      <c r="Z118" s="350" t="n"/>
      <c r="AA118" s="198" t="n"/>
      <c r="AB118" s="198" t="n"/>
      <c r="AC118" s="198" t="n"/>
    </row>
    <row r="119" ht="15" customHeight="1" s="195">
      <c r="A119" s="280" t="n"/>
      <c r="B119" s="280" t="n"/>
      <c r="C119" s="280" t="n"/>
      <c r="D119" s="280" t="n"/>
      <c r="E119" s="280" t="n"/>
      <c r="F119" s="280" t="n"/>
      <c r="G119" s="280" t="n"/>
      <c r="H119" s="280" t="n"/>
      <c r="I119" s="332">
        <f>IFERROR(VLOOKUP(TEXT(H119,"0"),IPRESS!$A$3:$B$212,2,0),"")</f>
        <v/>
      </c>
      <c r="J119" s="280" t="n"/>
      <c r="K119" s="343" t="n"/>
      <c r="L119" s="280" t="n"/>
      <c r="M119" s="280" t="n"/>
      <c r="N119" s="345" t="n"/>
      <c r="O119" s="280" t="n"/>
      <c r="P119" s="332">
        <f>IFERROR(VLOOKUP(TEXT(O119,"0"),CONDUCTORES!$A$3:$G$54,2,0),"")</f>
        <v/>
      </c>
      <c r="Q119" s="332">
        <f>IFERROR(VLOOKUP(TEXT(O119,"0"),CONDUCTORES!$A$3:$H$54,6,0),"")</f>
        <v/>
      </c>
      <c r="R119" s="280" t="n"/>
      <c r="S119" s="280" t="n"/>
      <c r="T119" s="280" t="n"/>
      <c r="U119" s="280" t="n"/>
      <c r="V119" s="280" t="n"/>
      <c r="W119" s="280" t="n"/>
      <c r="X119" s="280" t="n"/>
      <c r="Y119" s="280" t="n"/>
      <c r="Z119" s="350" t="n"/>
      <c r="AA119" s="198" t="n"/>
      <c r="AB119" s="198" t="n"/>
      <c r="AC119" s="198" t="n"/>
    </row>
    <row r="120" ht="15" customHeight="1" s="195">
      <c r="A120" s="280" t="n"/>
      <c r="B120" s="280" t="n"/>
      <c r="C120" s="280" t="n"/>
      <c r="D120" s="280" t="n"/>
      <c r="E120" s="280" t="n"/>
      <c r="F120" s="280" t="n"/>
      <c r="G120" s="280" t="n"/>
      <c r="H120" s="280" t="n"/>
      <c r="I120" s="332">
        <f>IFERROR(VLOOKUP(TEXT(H120,"0"),IPRESS!$A$3:$B$212,2,0),"")</f>
        <v/>
      </c>
      <c r="J120" s="280" t="n"/>
      <c r="K120" s="343" t="n"/>
      <c r="L120" s="280" t="n"/>
      <c r="M120" s="280" t="n"/>
      <c r="N120" s="345" t="n"/>
      <c r="O120" s="280" t="n"/>
      <c r="P120" s="332">
        <f>IFERROR(VLOOKUP(TEXT(O120,"0"),CONDUCTORES!$A$3:$G$54,2,0),"")</f>
        <v/>
      </c>
      <c r="Q120" s="332">
        <f>IFERROR(VLOOKUP(TEXT(O120,"0"),CONDUCTORES!$A$3:$H$54,6,0),"")</f>
        <v/>
      </c>
      <c r="R120" s="280" t="n"/>
      <c r="S120" s="280" t="n"/>
      <c r="T120" s="280" t="n"/>
      <c r="U120" s="280" t="n"/>
      <c r="V120" s="280" t="n"/>
      <c r="W120" s="280" t="n"/>
      <c r="X120" s="280" t="n"/>
      <c r="Y120" s="280" t="n"/>
      <c r="Z120" s="350" t="n"/>
      <c r="AA120" s="198" t="n"/>
      <c r="AB120" s="198" t="n"/>
      <c r="AC120" s="198" t="n"/>
    </row>
    <row r="121" ht="15" customHeight="1" s="195">
      <c r="A121" s="280" t="n"/>
      <c r="B121" s="280" t="n"/>
      <c r="C121" s="280" t="n"/>
      <c r="D121" s="280" t="n"/>
      <c r="E121" s="280" t="n"/>
      <c r="F121" s="280" t="n"/>
      <c r="G121" s="280" t="n"/>
      <c r="H121" s="280" t="n"/>
      <c r="I121" s="332">
        <f>IFERROR(VLOOKUP(TEXT(H121,"0"),IPRESS!$A$3:$B$212,2,0),"")</f>
        <v/>
      </c>
      <c r="J121" s="280" t="n"/>
      <c r="K121" s="343" t="n"/>
      <c r="L121" s="280" t="n"/>
      <c r="M121" s="280" t="n"/>
      <c r="N121" s="345" t="n"/>
      <c r="O121" s="280" t="n"/>
      <c r="P121" s="332">
        <f>IFERROR(VLOOKUP(TEXT(O121,"0"),CONDUCTORES!$A$3:$G$54,2,0),"")</f>
        <v/>
      </c>
      <c r="Q121" s="332">
        <f>IFERROR(VLOOKUP(TEXT(O121,"0"),CONDUCTORES!$A$3:$H$54,6,0),"")</f>
        <v/>
      </c>
      <c r="R121" s="280" t="n"/>
      <c r="S121" s="280" t="n"/>
      <c r="T121" s="280" t="n"/>
      <c r="U121" s="280" t="n"/>
      <c r="V121" s="280" t="n"/>
      <c r="W121" s="280" t="n"/>
      <c r="X121" s="280" t="n"/>
      <c r="Y121" s="280" t="n"/>
      <c r="Z121" s="350" t="n"/>
      <c r="AA121" s="198" t="n"/>
      <c r="AB121" s="198" t="n"/>
      <c r="AC121" s="198" t="n"/>
    </row>
    <row r="122" ht="15" customHeight="1" s="195">
      <c r="A122" s="280" t="n"/>
      <c r="B122" s="280" t="n"/>
      <c r="C122" s="280" t="n"/>
      <c r="D122" s="280" t="n"/>
      <c r="E122" s="280" t="n"/>
      <c r="F122" s="280" t="n"/>
      <c r="G122" s="280" t="n"/>
      <c r="H122" s="280" t="n"/>
      <c r="I122" s="332">
        <f>IFERROR(VLOOKUP(TEXT(H122,"0"),IPRESS!$A$3:$B$212,2,0),"")</f>
        <v/>
      </c>
      <c r="J122" s="280" t="n"/>
      <c r="K122" s="343" t="n"/>
      <c r="L122" s="280" t="n"/>
      <c r="M122" s="280" t="n"/>
      <c r="N122" s="345" t="n"/>
      <c r="O122" s="280" t="n"/>
      <c r="P122" s="332">
        <f>IFERROR(VLOOKUP(TEXT(O122,"0"),CONDUCTORES!$A$3:$G$54,2,0),"")</f>
        <v/>
      </c>
      <c r="Q122" s="332">
        <f>IFERROR(VLOOKUP(TEXT(O122,"0"),CONDUCTORES!$A$3:$H$54,6,0),"")</f>
        <v/>
      </c>
      <c r="R122" s="280" t="n"/>
      <c r="S122" s="280" t="n"/>
      <c r="T122" s="280" t="n"/>
      <c r="U122" s="280" t="n"/>
      <c r="V122" s="280" t="n"/>
      <c r="W122" s="280" t="n"/>
      <c r="X122" s="280" t="n"/>
      <c r="Y122" s="280" t="n"/>
      <c r="Z122" s="350" t="n"/>
      <c r="AA122" s="198" t="n"/>
      <c r="AB122" s="198" t="n"/>
      <c r="AC122" s="198" t="n"/>
    </row>
    <row r="123" ht="15" customHeight="1" s="195">
      <c r="A123" s="280" t="n"/>
      <c r="B123" s="280" t="n"/>
      <c r="C123" s="280" t="n"/>
      <c r="D123" s="280" t="n"/>
      <c r="E123" s="280" t="n"/>
      <c r="F123" s="280" t="n"/>
      <c r="G123" s="280" t="n"/>
      <c r="H123" s="280" t="n"/>
      <c r="I123" s="332">
        <f>IFERROR(VLOOKUP(TEXT(H123,"0"),IPRESS!$A$3:$B$212,2,0),"")</f>
        <v/>
      </c>
      <c r="J123" s="280" t="n"/>
      <c r="K123" s="343" t="n"/>
      <c r="L123" s="280" t="n"/>
      <c r="M123" s="280" t="n"/>
      <c r="N123" s="345" t="n"/>
      <c r="O123" s="280" t="n"/>
      <c r="P123" s="332">
        <f>IFERROR(VLOOKUP(TEXT(O123,"0"),CONDUCTORES!$A$3:$G$54,2,0),"")</f>
        <v/>
      </c>
      <c r="Q123" s="332">
        <f>IFERROR(VLOOKUP(TEXT(O123,"0"),CONDUCTORES!$A$3:$H$54,6,0),"")</f>
        <v/>
      </c>
      <c r="R123" s="280" t="n"/>
      <c r="S123" s="280" t="n"/>
      <c r="T123" s="280" t="n"/>
      <c r="U123" s="280" t="n"/>
      <c r="V123" s="280" t="n"/>
      <c r="W123" s="280" t="n"/>
      <c r="X123" s="280" t="n"/>
      <c r="Y123" s="280" t="n"/>
      <c r="Z123" s="350" t="n"/>
      <c r="AA123" s="198" t="n"/>
      <c r="AB123" s="198" t="n"/>
      <c r="AC123" s="198" t="n"/>
    </row>
    <row r="124" ht="15" customHeight="1" s="195">
      <c r="A124" s="280" t="n"/>
      <c r="B124" s="280" t="n"/>
      <c r="C124" s="280" t="n"/>
      <c r="D124" s="280" t="n"/>
      <c r="E124" s="280" t="n"/>
      <c r="F124" s="280" t="n"/>
      <c r="G124" s="280" t="n"/>
      <c r="H124" s="280" t="n"/>
      <c r="I124" s="332">
        <f>IFERROR(VLOOKUP(TEXT(H124,"0"),IPRESS!$A$3:$B$212,2,0),"")</f>
        <v/>
      </c>
      <c r="J124" s="280" t="n"/>
      <c r="K124" s="343" t="n"/>
      <c r="L124" s="280" t="n"/>
      <c r="M124" s="280" t="n"/>
      <c r="N124" s="345" t="n"/>
      <c r="O124" s="280" t="n"/>
      <c r="P124" s="332">
        <f>IFERROR(VLOOKUP(TEXT(O124,"0"),CONDUCTORES!$A$3:$G$54,2,0),"")</f>
        <v/>
      </c>
      <c r="Q124" s="332">
        <f>IFERROR(VLOOKUP(TEXT(O124,"0"),CONDUCTORES!$A$3:$H$54,6,0),"")</f>
        <v/>
      </c>
      <c r="R124" s="280" t="n"/>
      <c r="S124" s="280" t="n"/>
      <c r="T124" s="280" t="n"/>
      <c r="U124" s="280" t="n"/>
      <c r="V124" s="280" t="n"/>
      <c r="W124" s="280" t="n"/>
      <c r="X124" s="280" t="n"/>
      <c r="Y124" s="280" t="n"/>
      <c r="Z124" s="350" t="n"/>
      <c r="AA124" s="198" t="n"/>
      <c r="AB124" s="198" t="n"/>
      <c r="AC124" s="198" t="n"/>
    </row>
    <row r="125" ht="15" customHeight="1" s="195">
      <c r="A125" s="280" t="n"/>
      <c r="B125" s="280" t="n"/>
      <c r="C125" s="280" t="n"/>
      <c r="D125" s="280" t="n"/>
      <c r="E125" s="280" t="n"/>
      <c r="F125" s="280" t="n"/>
      <c r="G125" s="280" t="n"/>
      <c r="H125" s="280" t="n"/>
      <c r="I125" s="332">
        <f>IFERROR(VLOOKUP(TEXT(H125,"0"),IPRESS!$A$3:$B$212,2,0),"")</f>
        <v/>
      </c>
      <c r="J125" s="280" t="n"/>
      <c r="K125" s="343" t="n"/>
      <c r="L125" s="280" t="n"/>
      <c r="M125" s="280" t="n"/>
      <c r="N125" s="345" t="n"/>
      <c r="O125" s="280" t="n"/>
      <c r="P125" s="332">
        <f>IFERROR(VLOOKUP(TEXT(O125,"0"),CONDUCTORES!$A$3:$G$54,2,0),"")</f>
        <v/>
      </c>
      <c r="Q125" s="332">
        <f>IFERROR(VLOOKUP(TEXT(O125,"0"),CONDUCTORES!$A$3:$H$54,6,0),"")</f>
        <v/>
      </c>
      <c r="R125" s="280" t="n"/>
      <c r="S125" s="280" t="n"/>
      <c r="T125" s="280" t="n"/>
      <c r="U125" s="280" t="n"/>
      <c r="V125" s="280" t="n"/>
      <c r="W125" s="280" t="n"/>
      <c r="X125" s="280" t="n"/>
      <c r="Y125" s="280" t="n"/>
      <c r="Z125" s="350" t="n"/>
      <c r="AA125" s="198" t="n"/>
      <c r="AB125" s="198" t="n"/>
      <c r="AC125" s="198" t="n"/>
    </row>
    <row r="126" ht="15" customHeight="1" s="195">
      <c r="A126" s="280" t="n"/>
      <c r="B126" s="280" t="n"/>
      <c r="C126" s="280" t="n"/>
      <c r="D126" s="280" t="n"/>
      <c r="E126" s="280" t="n"/>
      <c r="F126" s="280" t="n"/>
      <c r="G126" s="280" t="n"/>
      <c r="H126" s="280" t="n"/>
      <c r="I126" s="332">
        <f>IFERROR(VLOOKUP(TEXT(H126,"0"),IPRESS!$A$3:$B$212,2,0),"")</f>
        <v/>
      </c>
      <c r="J126" s="280" t="n"/>
      <c r="K126" s="343" t="n"/>
      <c r="L126" s="280" t="n"/>
      <c r="M126" s="280" t="n"/>
      <c r="N126" s="345" t="n"/>
      <c r="O126" s="280" t="n"/>
      <c r="P126" s="332">
        <f>IFERROR(VLOOKUP(TEXT(O126,"0"),CONDUCTORES!$A$3:$G$54,2,0),"")</f>
        <v/>
      </c>
      <c r="Q126" s="332">
        <f>IFERROR(VLOOKUP(TEXT(O126,"0"),CONDUCTORES!$A$3:$H$54,6,0),"")</f>
        <v/>
      </c>
      <c r="R126" s="280" t="n"/>
      <c r="S126" s="280" t="n"/>
      <c r="T126" s="280" t="n"/>
      <c r="U126" s="280" t="n"/>
      <c r="V126" s="280" t="n"/>
      <c r="W126" s="280" t="n"/>
      <c r="X126" s="280" t="n"/>
      <c r="Y126" s="280" t="n"/>
      <c r="Z126" s="350" t="n"/>
      <c r="AA126" s="198" t="n"/>
      <c r="AB126" s="198" t="n"/>
      <c r="AC126" s="198" t="n"/>
    </row>
    <row r="127" ht="15" customHeight="1" s="195">
      <c r="A127" s="280" t="n"/>
      <c r="B127" s="280" t="n"/>
      <c r="C127" s="280" t="n"/>
      <c r="D127" s="280" t="n"/>
      <c r="E127" s="280" t="n"/>
      <c r="F127" s="280" t="n"/>
      <c r="G127" s="280" t="n"/>
      <c r="H127" s="280" t="n"/>
      <c r="I127" s="332">
        <f>IFERROR(VLOOKUP(TEXT(H127,"0"),IPRESS!$A$3:$B$212,2,0),"")</f>
        <v/>
      </c>
      <c r="J127" s="280" t="n"/>
      <c r="K127" s="343" t="n"/>
      <c r="L127" s="280" t="n"/>
      <c r="M127" s="280" t="n"/>
      <c r="N127" s="345" t="n"/>
      <c r="O127" s="280" t="n"/>
      <c r="P127" s="332">
        <f>IFERROR(VLOOKUP(TEXT(O127,"0"),CONDUCTORES!$A$3:$G$54,2,0),"")</f>
        <v/>
      </c>
      <c r="Q127" s="332">
        <f>IFERROR(VLOOKUP(TEXT(O127,"0"),CONDUCTORES!$A$3:$H$54,6,0),"")</f>
        <v/>
      </c>
      <c r="R127" s="280" t="n"/>
      <c r="S127" s="280" t="n"/>
      <c r="T127" s="280" t="n"/>
      <c r="U127" s="280" t="n"/>
      <c r="V127" s="280" t="n"/>
      <c r="W127" s="280" t="n"/>
      <c r="X127" s="280" t="n"/>
      <c r="Y127" s="280" t="n"/>
      <c r="Z127" s="350" t="n"/>
      <c r="AA127" s="198" t="n"/>
      <c r="AB127" s="198" t="n"/>
      <c r="AC127" s="198" t="n"/>
    </row>
    <row r="128" ht="15" customHeight="1" s="195">
      <c r="A128" s="280" t="n"/>
      <c r="B128" s="280" t="n"/>
      <c r="C128" s="280" t="n"/>
      <c r="D128" s="280" t="n"/>
      <c r="E128" s="280" t="n"/>
      <c r="F128" s="280" t="n"/>
      <c r="G128" s="280" t="n"/>
      <c r="H128" s="280" t="n"/>
      <c r="I128" s="332">
        <f>IFERROR(VLOOKUP(TEXT(H128,"0"),IPRESS!$A$3:$B$212,2,0),"")</f>
        <v/>
      </c>
      <c r="J128" s="280" t="n"/>
      <c r="K128" s="343" t="n"/>
      <c r="L128" s="280" t="n"/>
      <c r="M128" s="280" t="n"/>
      <c r="N128" s="345" t="n"/>
      <c r="O128" s="280" t="n"/>
      <c r="P128" s="332">
        <f>IFERROR(VLOOKUP(TEXT(O128,"0"),CONDUCTORES!$A$3:$G$54,2,0),"")</f>
        <v/>
      </c>
      <c r="Q128" s="332">
        <f>IFERROR(VLOOKUP(TEXT(O128,"0"),CONDUCTORES!$A$3:$H$54,6,0),"")</f>
        <v/>
      </c>
      <c r="R128" s="280" t="n"/>
      <c r="S128" s="280" t="n"/>
      <c r="T128" s="280" t="n"/>
      <c r="U128" s="280" t="n"/>
      <c r="V128" s="280" t="n"/>
      <c r="W128" s="280" t="n"/>
      <c r="X128" s="280" t="n"/>
      <c r="Y128" s="280" t="n"/>
      <c r="Z128" s="350" t="n"/>
      <c r="AA128" s="198" t="n"/>
      <c r="AB128" s="198" t="n"/>
      <c r="AC128" s="198" t="n"/>
    </row>
    <row r="129" ht="15" customHeight="1" s="195">
      <c r="A129" s="280" t="n"/>
      <c r="B129" s="280" t="n"/>
      <c r="C129" s="280" t="n"/>
      <c r="D129" s="280" t="n"/>
      <c r="E129" s="280" t="n"/>
      <c r="F129" s="280" t="n"/>
      <c r="G129" s="280" t="n"/>
      <c r="H129" s="280" t="n"/>
      <c r="I129" s="332">
        <f>IFERROR(VLOOKUP(TEXT(H129,"0"),IPRESS!$A$3:$B$212,2,0),"")</f>
        <v/>
      </c>
      <c r="J129" s="280" t="n"/>
      <c r="K129" s="343" t="n"/>
      <c r="L129" s="280" t="n"/>
      <c r="M129" s="280" t="n"/>
      <c r="N129" s="345" t="n"/>
      <c r="O129" s="280" t="n"/>
      <c r="P129" s="332">
        <f>IFERROR(VLOOKUP(TEXT(O129,"0"),CONDUCTORES!$A$3:$G$54,2,0),"")</f>
        <v/>
      </c>
      <c r="Q129" s="332">
        <f>IFERROR(VLOOKUP(TEXT(O129,"0"),CONDUCTORES!$A$3:$H$54,6,0),"")</f>
        <v/>
      </c>
      <c r="R129" s="280" t="n"/>
      <c r="S129" s="280" t="n"/>
      <c r="T129" s="280" t="n"/>
      <c r="U129" s="280" t="n"/>
      <c r="V129" s="280" t="n"/>
      <c r="W129" s="280" t="n"/>
      <c r="X129" s="280" t="n"/>
      <c r="Y129" s="280" t="n"/>
      <c r="Z129" s="350" t="n"/>
      <c r="AA129" s="198" t="n"/>
      <c r="AB129" s="198" t="n"/>
      <c r="AC129" s="198" t="n"/>
    </row>
    <row r="130" ht="15" customHeight="1" s="195">
      <c r="A130" s="280" t="n"/>
      <c r="B130" s="280" t="n"/>
      <c r="C130" s="280" t="n"/>
      <c r="D130" s="280" t="n"/>
      <c r="E130" s="280" t="n"/>
      <c r="F130" s="280" t="n"/>
      <c r="G130" s="280" t="n"/>
      <c r="H130" s="280" t="n"/>
      <c r="I130" s="332">
        <f>IFERROR(VLOOKUP(TEXT(H130,"0"),IPRESS!$A$3:$B$212,2,0),"")</f>
        <v/>
      </c>
      <c r="J130" s="280" t="n"/>
      <c r="K130" s="343" t="n"/>
      <c r="L130" s="280" t="n"/>
      <c r="M130" s="280" t="n"/>
      <c r="N130" s="345" t="n"/>
      <c r="O130" s="280" t="n"/>
      <c r="P130" s="332">
        <f>IFERROR(VLOOKUP(TEXT(O130,"0"),CONDUCTORES!$A$3:$G$54,2,0),"")</f>
        <v/>
      </c>
      <c r="Q130" s="332">
        <f>IFERROR(VLOOKUP(TEXT(O130,"0"),CONDUCTORES!$A$3:$H$54,6,0),"")</f>
        <v/>
      </c>
      <c r="R130" s="280" t="n"/>
      <c r="S130" s="280" t="n"/>
      <c r="T130" s="280" t="n"/>
      <c r="U130" s="280" t="n"/>
      <c r="V130" s="280" t="n"/>
      <c r="W130" s="280" t="n"/>
      <c r="X130" s="280" t="n"/>
      <c r="Y130" s="280" t="n"/>
      <c r="Z130" s="350" t="n"/>
      <c r="AA130" s="198" t="n"/>
      <c r="AB130" s="198" t="n"/>
      <c r="AC130" s="198" t="n"/>
    </row>
    <row r="131" ht="15" customHeight="1" s="195">
      <c r="A131" s="280" t="n"/>
      <c r="B131" s="280" t="n"/>
      <c r="C131" s="280" t="n"/>
      <c r="D131" s="280" t="n"/>
      <c r="E131" s="280" t="n"/>
      <c r="F131" s="280" t="n"/>
      <c r="G131" s="280" t="n"/>
      <c r="H131" s="280" t="n"/>
      <c r="I131" s="332">
        <f>IFERROR(VLOOKUP(TEXT(H131,"0"),IPRESS!$A$3:$B$212,2,0),"")</f>
        <v/>
      </c>
      <c r="J131" s="280" t="n"/>
      <c r="K131" s="343" t="n"/>
      <c r="L131" s="280" t="n"/>
      <c r="M131" s="280" t="n"/>
      <c r="N131" s="345" t="n"/>
      <c r="O131" s="280" t="n"/>
      <c r="P131" s="332">
        <f>IFERROR(VLOOKUP(TEXT(O131,"0"),CONDUCTORES!$A$3:$G$54,2,0),"")</f>
        <v/>
      </c>
      <c r="Q131" s="332">
        <f>IFERROR(VLOOKUP(TEXT(O131,"0"),CONDUCTORES!$A$3:$H$54,6,0),"")</f>
        <v/>
      </c>
      <c r="R131" s="280" t="n"/>
      <c r="S131" s="280" t="n"/>
      <c r="T131" s="280" t="n"/>
      <c r="U131" s="280" t="n"/>
      <c r="V131" s="280" t="n"/>
      <c r="W131" s="280" t="n"/>
      <c r="X131" s="280" t="n"/>
      <c r="Y131" s="280" t="n"/>
      <c r="Z131" s="350" t="n"/>
      <c r="AA131" s="198" t="n"/>
      <c r="AB131" s="198" t="n"/>
      <c r="AC131" s="198" t="n"/>
    </row>
    <row r="132" ht="15" customHeight="1" s="195">
      <c r="A132" s="280" t="n"/>
      <c r="B132" s="280" t="n"/>
      <c r="C132" s="280" t="n"/>
      <c r="D132" s="280" t="n"/>
      <c r="E132" s="280" t="n"/>
      <c r="F132" s="280" t="n"/>
      <c r="G132" s="280" t="n"/>
      <c r="H132" s="280" t="n"/>
      <c r="I132" s="332">
        <f>IFERROR(VLOOKUP(TEXT(H132,"0"),IPRESS!$A$3:$B$212,2,0),"")</f>
        <v/>
      </c>
      <c r="J132" s="280" t="n"/>
      <c r="K132" s="343" t="n"/>
      <c r="L132" s="280" t="n"/>
      <c r="M132" s="280" t="n"/>
      <c r="N132" s="345" t="n"/>
      <c r="O132" s="280" t="n"/>
      <c r="P132" s="332">
        <f>IFERROR(VLOOKUP(TEXT(O132,"0"),CONDUCTORES!$A$3:$G$54,2,0),"")</f>
        <v/>
      </c>
      <c r="Q132" s="332">
        <f>IFERROR(VLOOKUP(TEXT(O132,"0"),CONDUCTORES!$A$3:$H$54,6,0),"")</f>
        <v/>
      </c>
      <c r="R132" s="280" t="n"/>
      <c r="S132" s="280" t="n"/>
      <c r="T132" s="280" t="n"/>
      <c r="U132" s="280" t="n"/>
      <c r="V132" s="280" t="n"/>
      <c r="W132" s="280" t="n"/>
      <c r="X132" s="280" t="n"/>
      <c r="Y132" s="280" t="n"/>
      <c r="Z132" s="350" t="n"/>
      <c r="AA132" s="198" t="n"/>
      <c r="AB132" s="198" t="n"/>
      <c r="AC132" s="198" t="n"/>
    </row>
    <row r="133" ht="15" customHeight="1" s="195">
      <c r="A133" s="280" t="n"/>
      <c r="B133" s="280" t="n"/>
      <c r="C133" s="280" t="n"/>
      <c r="D133" s="280" t="n"/>
      <c r="E133" s="280" t="n"/>
      <c r="F133" s="280" t="n"/>
      <c r="G133" s="280" t="n"/>
      <c r="H133" s="280" t="n"/>
      <c r="I133" s="332">
        <f>IFERROR(VLOOKUP(TEXT(H133,"0"),IPRESS!$A$3:$B$212,2,0),"")</f>
        <v/>
      </c>
      <c r="J133" s="280" t="n"/>
      <c r="K133" s="343" t="n"/>
      <c r="L133" s="280" t="n"/>
      <c r="M133" s="280" t="n"/>
      <c r="N133" s="345" t="n"/>
      <c r="O133" s="280" t="n"/>
      <c r="P133" s="332">
        <f>IFERROR(VLOOKUP(TEXT(O133,"0"),CONDUCTORES!$A$3:$G$54,2,0),"")</f>
        <v/>
      </c>
      <c r="Q133" s="332">
        <f>IFERROR(VLOOKUP(TEXT(O133,"0"),CONDUCTORES!$A$3:$H$54,6,0),"")</f>
        <v/>
      </c>
      <c r="R133" s="280" t="n"/>
      <c r="S133" s="280" t="n"/>
      <c r="T133" s="280" t="n"/>
      <c r="U133" s="280" t="n"/>
      <c r="V133" s="280" t="n"/>
      <c r="W133" s="280" t="n"/>
      <c r="X133" s="280" t="n"/>
      <c r="Y133" s="280" t="n"/>
      <c r="Z133" s="350" t="n"/>
      <c r="AA133" s="198" t="n"/>
      <c r="AB133" s="198" t="n"/>
      <c r="AC133" s="198" t="n"/>
    </row>
    <row r="134" ht="15" customHeight="1" s="195">
      <c r="A134" s="280" t="n"/>
      <c r="B134" s="280" t="n"/>
      <c r="C134" s="280" t="n"/>
      <c r="D134" s="280" t="n"/>
      <c r="E134" s="280" t="n"/>
      <c r="F134" s="280" t="n"/>
      <c r="G134" s="280" t="n"/>
      <c r="H134" s="280" t="n"/>
      <c r="I134" s="332">
        <f>IFERROR(VLOOKUP(TEXT(H134,"0"),IPRESS!$A$3:$B$212,2,0),"")</f>
        <v/>
      </c>
      <c r="J134" s="280" t="n"/>
      <c r="K134" s="343" t="n"/>
      <c r="L134" s="280" t="n"/>
      <c r="M134" s="280" t="n"/>
      <c r="N134" s="345" t="n"/>
      <c r="O134" s="280" t="n"/>
      <c r="P134" s="332">
        <f>IFERROR(VLOOKUP(TEXT(O134,"0"),CONDUCTORES!$A$3:$G$54,2,0),"")</f>
        <v/>
      </c>
      <c r="Q134" s="332">
        <f>IFERROR(VLOOKUP(TEXT(O134,"0"),CONDUCTORES!$A$3:$H$54,6,0),"")</f>
        <v/>
      </c>
      <c r="R134" s="280" t="n"/>
      <c r="S134" s="280" t="n"/>
      <c r="T134" s="280" t="n"/>
      <c r="U134" s="280" t="n"/>
      <c r="V134" s="280" t="n"/>
      <c r="W134" s="280" t="n"/>
      <c r="X134" s="280" t="n"/>
      <c r="Y134" s="280" t="n"/>
      <c r="Z134" s="350" t="n"/>
      <c r="AA134" s="198" t="n"/>
      <c r="AB134" s="198" t="n"/>
      <c r="AC134" s="198" t="n"/>
    </row>
    <row r="135" ht="15" customHeight="1" s="195">
      <c r="A135" s="280" t="n"/>
      <c r="B135" s="280" t="n"/>
      <c r="C135" s="280" t="n"/>
      <c r="D135" s="280" t="n"/>
      <c r="E135" s="280" t="n"/>
      <c r="F135" s="280" t="n"/>
      <c r="G135" s="280" t="n"/>
      <c r="H135" s="280" t="n"/>
      <c r="I135" s="332">
        <f>IFERROR(VLOOKUP(TEXT(H135,"0"),IPRESS!$A$3:$B$212,2,0),"")</f>
        <v/>
      </c>
      <c r="J135" s="280" t="n"/>
      <c r="K135" s="343" t="n"/>
      <c r="L135" s="280" t="n"/>
      <c r="M135" s="280" t="n"/>
      <c r="N135" s="345" t="n"/>
      <c r="O135" s="280" t="n"/>
      <c r="P135" s="332">
        <f>IFERROR(VLOOKUP(TEXT(O135,"0"),CONDUCTORES!$A$3:$G$54,2,0),"")</f>
        <v/>
      </c>
      <c r="Q135" s="332">
        <f>IFERROR(VLOOKUP(TEXT(O135,"0"),CONDUCTORES!$A$3:$H$54,6,0),"")</f>
        <v/>
      </c>
      <c r="R135" s="280" t="n"/>
      <c r="S135" s="280" t="n"/>
      <c r="T135" s="280" t="n"/>
      <c r="U135" s="280" t="n"/>
      <c r="V135" s="280" t="n"/>
      <c r="W135" s="280" t="n"/>
      <c r="X135" s="280" t="n"/>
      <c r="Y135" s="280" t="n"/>
      <c r="Z135" s="350" t="n"/>
      <c r="AA135" s="198" t="n"/>
      <c r="AB135" s="198" t="n"/>
      <c r="AC135" s="198" t="n"/>
    </row>
    <row r="136" ht="15" customHeight="1" s="195">
      <c r="A136" s="280" t="n"/>
      <c r="B136" s="280" t="n"/>
      <c r="C136" s="280" t="n"/>
      <c r="D136" s="280" t="n"/>
      <c r="E136" s="280" t="n"/>
      <c r="F136" s="280" t="n"/>
      <c r="G136" s="280" t="n"/>
      <c r="H136" s="280" t="n"/>
      <c r="I136" s="332">
        <f>IFERROR(VLOOKUP(TEXT(H136,"0"),IPRESS!$A$3:$B$212,2,0),"")</f>
        <v/>
      </c>
      <c r="J136" s="280" t="n"/>
      <c r="K136" s="343" t="n"/>
      <c r="L136" s="280" t="n"/>
      <c r="M136" s="280" t="n"/>
      <c r="N136" s="345" t="n"/>
      <c r="O136" s="280" t="n"/>
      <c r="P136" s="332">
        <f>IFERROR(VLOOKUP(TEXT(O136,"0"),CONDUCTORES!$A$3:$G$54,2,0),"")</f>
        <v/>
      </c>
      <c r="Q136" s="332">
        <f>IFERROR(VLOOKUP(TEXT(O136,"0"),CONDUCTORES!$A$3:$H$54,6,0),"")</f>
        <v/>
      </c>
      <c r="R136" s="280" t="n"/>
      <c r="S136" s="280" t="n"/>
      <c r="T136" s="280" t="n"/>
      <c r="U136" s="280" t="n"/>
      <c r="V136" s="280" t="n"/>
      <c r="W136" s="280" t="n"/>
      <c r="X136" s="280" t="n"/>
      <c r="Y136" s="280" t="n"/>
      <c r="Z136" s="350" t="n"/>
      <c r="AA136" s="198" t="n"/>
      <c r="AB136" s="198" t="n"/>
      <c r="AC136" s="198" t="n"/>
    </row>
    <row r="137" ht="15" customHeight="1" s="195">
      <c r="A137" s="280" t="n"/>
      <c r="B137" s="280" t="n"/>
      <c r="C137" s="280" t="n"/>
      <c r="D137" s="280" t="n"/>
      <c r="E137" s="280" t="n"/>
      <c r="F137" s="280" t="n"/>
      <c r="G137" s="280" t="n"/>
      <c r="H137" s="280" t="n"/>
      <c r="I137" s="332">
        <f>IFERROR(VLOOKUP(TEXT(H137,"0"),IPRESS!$A$3:$B$212,2,0),"")</f>
        <v/>
      </c>
      <c r="J137" s="280" t="n"/>
      <c r="K137" s="343" t="n"/>
      <c r="L137" s="280" t="n"/>
      <c r="M137" s="280" t="n"/>
      <c r="N137" s="345" t="n"/>
      <c r="O137" s="280" t="n"/>
      <c r="P137" s="332">
        <f>IFERROR(VLOOKUP(TEXT(O137,"0"),CONDUCTORES!$A$3:$G$54,2,0),"")</f>
        <v/>
      </c>
      <c r="Q137" s="332">
        <f>IFERROR(VLOOKUP(TEXT(O137,"0"),CONDUCTORES!$A$3:$H$54,6,0),"")</f>
        <v/>
      </c>
      <c r="R137" s="280" t="n"/>
      <c r="S137" s="280" t="n"/>
      <c r="T137" s="280" t="n"/>
      <c r="U137" s="280" t="n"/>
      <c r="V137" s="280" t="n"/>
      <c r="W137" s="280" t="n"/>
      <c r="X137" s="280" t="n"/>
      <c r="Y137" s="280" t="n"/>
      <c r="Z137" s="350" t="n"/>
      <c r="AA137" s="198" t="n"/>
      <c r="AB137" s="198" t="n"/>
      <c r="AC137" s="198" t="n"/>
    </row>
    <row r="138" ht="15" customHeight="1" s="195">
      <c r="A138" s="280" t="n"/>
      <c r="B138" s="280" t="n"/>
      <c r="C138" s="280" t="n"/>
      <c r="D138" s="280" t="n"/>
      <c r="E138" s="280" t="n"/>
      <c r="F138" s="280" t="n"/>
      <c r="G138" s="280" t="n"/>
      <c r="H138" s="280" t="n"/>
      <c r="I138" s="332">
        <f>IFERROR(VLOOKUP(TEXT(H138,"0"),IPRESS!$A$3:$B$212,2,0),"")</f>
        <v/>
      </c>
      <c r="J138" s="280" t="n"/>
      <c r="K138" s="343" t="n"/>
      <c r="L138" s="280" t="n"/>
      <c r="M138" s="280" t="n"/>
      <c r="N138" s="345" t="n"/>
      <c r="O138" s="280" t="n"/>
      <c r="P138" s="332">
        <f>IFERROR(VLOOKUP(TEXT(O138,"0"),CONDUCTORES!$A$3:$G$54,2,0),"")</f>
        <v/>
      </c>
      <c r="Q138" s="332">
        <f>IFERROR(VLOOKUP(TEXT(O138,"0"),CONDUCTORES!$A$3:$H$54,6,0),"")</f>
        <v/>
      </c>
      <c r="R138" s="280" t="n"/>
      <c r="S138" s="280" t="n"/>
      <c r="T138" s="280" t="n"/>
      <c r="U138" s="280" t="n"/>
      <c r="V138" s="280" t="n"/>
      <c r="W138" s="280" t="n"/>
      <c r="X138" s="280" t="n"/>
      <c r="Y138" s="280" t="n"/>
      <c r="Z138" s="350" t="n"/>
      <c r="AA138" s="198" t="n"/>
      <c r="AB138" s="198" t="n"/>
      <c r="AC138" s="198" t="n"/>
    </row>
    <row r="139" ht="15" customHeight="1" s="195">
      <c r="A139" s="280" t="n"/>
      <c r="B139" s="280" t="n"/>
      <c r="C139" s="280" t="n"/>
      <c r="D139" s="280" t="n"/>
      <c r="E139" s="280" t="n"/>
      <c r="F139" s="280" t="n"/>
      <c r="G139" s="280" t="n"/>
      <c r="H139" s="280" t="n"/>
      <c r="I139" s="332">
        <f>IFERROR(VLOOKUP(TEXT(H139,"0"),IPRESS!$A$3:$B$212,2,0),"")</f>
        <v/>
      </c>
      <c r="J139" s="280" t="n"/>
      <c r="K139" s="343" t="n"/>
      <c r="L139" s="280" t="n"/>
      <c r="M139" s="280" t="n"/>
      <c r="N139" s="345" t="n"/>
      <c r="O139" s="280" t="n"/>
      <c r="P139" s="332">
        <f>IFERROR(VLOOKUP(TEXT(O139,"0"),CONDUCTORES!$A$3:$G$54,2,0),"")</f>
        <v/>
      </c>
      <c r="Q139" s="332">
        <f>IFERROR(VLOOKUP(TEXT(O139,"0"),CONDUCTORES!$A$3:$H$54,6,0),"")</f>
        <v/>
      </c>
      <c r="R139" s="280" t="n"/>
      <c r="S139" s="280" t="n"/>
      <c r="T139" s="280" t="n"/>
      <c r="U139" s="280" t="n"/>
      <c r="V139" s="280" t="n"/>
      <c r="W139" s="280" t="n"/>
      <c r="X139" s="280" t="n"/>
      <c r="Y139" s="280" t="n"/>
      <c r="Z139" s="350" t="n"/>
      <c r="AA139" s="198" t="n"/>
      <c r="AB139" s="198" t="n"/>
      <c r="AC139" s="198" t="n"/>
    </row>
    <row r="140" ht="15" customHeight="1" s="195">
      <c r="A140" s="280" t="n"/>
      <c r="B140" s="280" t="n"/>
      <c r="C140" s="280" t="n"/>
      <c r="D140" s="280" t="n"/>
      <c r="E140" s="280" t="n"/>
      <c r="F140" s="280" t="n"/>
      <c r="G140" s="280" t="n"/>
      <c r="H140" s="280" t="n"/>
      <c r="I140" s="332">
        <f>IFERROR(VLOOKUP(TEXT(H140,"0"),IPRESS!$A$3:$B$212,2,0),"")</f>
        <v/>
      </c>
      <c r="J140" s="280" t="n"/>
      <c r="K140" s="343" t="n"/>
      <c r="L140" s="280" t="n"/>
      <c r="M140" s="280" t="n"/>
      <c r="N140" s="345" t="n"/>
      <c r="O140" s="280" t="n"/>
      <c r="P140" s="332">
        <f>IFERROR(VLOOKUP(TEXT(O140,"0"),CONDUCTORES!$A$3:$G$54,2,0),"")</f>
        <v/>
      </c>
      <c r="Q140" s="332">
        <f>IFERROR(VLOOKUP(TEXT(O140,"0"),CONDUCTORES!$A$3:$H$54,6,0),"")</f>
        <v/>
      </c>
      <c r="R140" s="280" t="n"/>
      <c r="S140" s="280" t="n"/>
      <c r="T140" s="280" t="n"/>
      <c r="U140" s="280" t="n"/>
      <c r="V140" s="280" t="n"/>
      <c r="W140" s="280" t="n"/>
      <c r="X140" s="280" t="n"/>
      <c r="Y140" s="280" t="n"/>
      <c r="Z140" s="350" t="n"/>
      <c r="AA140" s="198" t="n"/>
      <c r="AB140" s="198" t="n"/>
      <c r="AC140" s="198" t="n"/>
    </row>
    <row r="141" ht="15" customHeight="1" s="195">
      <c r="A141" s="280" t="n"/>
      <c r="B141" s="280" t="n"/>
      <c r="C141" s="280" t="n"/>
      <c r="D141" s="280" t="n"/>
      <c r="E141" s="280" t="n"/>
      <c r="F141" s="280" t="n"/>
      <c r="G141" s="280" t="n"/>
      <c r="H141" s="280" t="n"/>
      <c r="I141" s="332">
        <f>IFERROR(VLOOKUP(TEXT(H141,"0"),IPRESS!$A$3:$B$212,2,0),"")</f>
        <v/>
      </c>
      <c r="J141" s="280" t="n"/>
      <c r="K141" s="343" t="n"/>
      <c r="L141" s="280" t="n"/>
      <c r="M141" s="280" t="n"/>
      <c r="N141" s="345" t="n"/>
      <c r="O141" s="280" t="n"/>
      <c r="P141" s="332">
        <f>IFERROR(VLOOKUP(TEXT(O141,"0"),CONDUCTORES!$A$3:$G$54,2,0),"")</f>
        <v/>
      </c>
      <c r="Q141" s="332">
        <f>IFERROR(VLOOKUP(TEXT(O141,"0"),CONDUCTORES!$A$3:$H$54,6,0),"")</f>
        <v/>
      </c>
      <c r="R141" s="280" t="n"/>
      <c r="S141" s="280" t="n"/>
      <c r="T141" s="280" t="n"/>
      <c r="U141" s="280" t="n"/>
      <c r="V141" s="280" t="n"/>
      <c r="W141" s="280" t="n"/>
      <c r="X141" s="280" t="n"/>
      <c r="Y141" s="280" t="n"/>
      <c r="Z141" s="350" t="n"/>
      <c r="AA141" s="198" t="n"/>
      <c r="AB141" s="198" t="n"/>
      <c r="AC141" s="198" t="n"/>
    </row>
    <row r="142" ht="15" customHeight="1" s="195">
      <c r="A142" s="280" t="n"/>
      <c r="B142" s="280" t="n"/>
      <c r="C142" s="280" t="n"/>
      <c r="D142" s="280" t="n"/>
      <c r="E142" s="280" t="n"/>
      <c r="F142" s="280" t="n"/>
      <c r="G142" s="280" t="n"/>
      <c r="H142" s="280" t="n"/>
      <c r="I142" s="332">
        <f>IFERROR(VLOOKUP(TEXT(H142,"0"),IPRESS!$A$3:$B$212,2,0),"")</f>
        <v/>
      </c>
      <c r="J142" s="280" t="n"/>
      <c r="K142" s="343" t="n"/>
      <c r="L142" s="280" t="n"/>
      <c r="M142" s="280" t="n"/>
      <c r="N142" s="345" t="n"/>
      <c r="O142" s="280" t="n"/>
      <c r="P142" s="332">
        <f>IFERROR(VLOOKUP(TEXT(O142,"0"),CONDUCTORES!$A$3:$G$54,2,0),"")</f>
        <v/>
      </c>
      <c r="Q142" s="332">
        <f>IFERROR(VLOOKUP(TEXT(O142,"0"),CONDUCTORES!$A$3:$H$54,6,0),"")</f>
        <v/>
      </c>
      <c r="R142" s="280" t="n"/>
      <c r="S142" s="280" t="n"/>
      <c r="T142" s="280" t="n"/>
      <c r="U142" s="280" t="n"/>
      <c r="V142" s="280" t="n"/>
      <c r="W142" s="280" t="n"/>
      <c r="X142" s="280" t="n"/>
      <c r="Y142" s="280" t="n"/>
      <c r="Z142" s="350" t="n"/>
      <c r="AA142" s="198" t="n"/>
      <c r="AB142" s="198" t="n"/>
      <c r="AC142" s="198" t="n"/>
    </row>
    <row r="143" ht="15" customHeight="1" s="195">
      <c r="A143" s="280" t="n"/>
      <c r="B143" s="280" t="n"/>
      <c r="C143" s="280" t="n"/>
      <c r="D143" s="280" t="n"/>
      <c r="E143" s="280" t="n"/>
      <c r="F143" s="280" t="n"/>
      <c r="G143" s="280" t="n"/>
      <c r="H143" s="280" t="n"/>
      <c r="I143" s="332">
        <f>IFERROR(VLOOKUP(TEXT(H143,"0"),IPRESS!$A$3:$B$212,2,0),"")</f>
        <v/>
      </c>
      <c r="J143" s="280" t="n"/>
      <c r="K143" s="343" t="n"/>
      <c r="L143" s="280" t="n"/>
      <c r="M143" s="280" t="n"/>
      <c r="N143" s="345" t="n"/>
      <c r="O143" s="280" t="n"/>
      <c r="P143" s="332">
        <f>IFERROR(VLOOKUP(TEXT(O143,"0"),CONDUCTORES!$A$3:$G$54,2,0),"")</f>
        <v/>
      </c>
      <c r="Q143" s="332">
        <f>IFERROR(VLOOKUP(TEXT(O143,"0"),CONDUCTORES!$A$3:$H$54,6,0),"")</f>
        <v/>
      </c>
      <c r="R143" s="280" t="n"/>
      <c r="S143" s="280" t="n"/>
      <c r="T143" s="280" t="n"/>
      <c r="U143" s="280" t="n"/>
      <c r="V143" s="280" t="n"/>
      <c r="W143" s="280" t="n"/>
      <c r="X143" s="280" t="n"/>
      <c r="Y143" s="280" t="n"/>
      <c r="Z143" s="350" t="n"/>
      <c r="AA143" s="198" t="n"/>
      <c r="AB143" s="198" t="n"/>
      <c r="AC143" s="198" t="n"/>
    </row>
    <row r="144" ht="15" customHeight="1" s="195">
      <c r="A144" s="280" t="n"/>
      <c r="B144" s="280" t="n"/>
      <c r="C144" s="280" t="n"/>
      <c r="D144" s="280" t="n"/>
      <c r="E144" s="280" t="n"/>
      <c r="F144" s="280" t="n"/>
      <c r="G144" s="280" t="n"/>
      <c r="H144" s="280" t="n"/>
      <c r="I144" s="332">
        <f>IFERROR(VLOOKUP(TEXT(H144,"0"),IPRESS!$A$3:$B$212,2,0),"")</f>
        <v/>
      </c>
      <c r="J144" s="280" t="n"/>
      <c r="K144" s="343" t="n"/>
      <c r="L144" s="280" t="n"/>
      <c r="M144" s="280" t="n"/>
      <c r="N144" s="345" t="n"/>
      <c r="O144" s="280" t="n"/>
      <c r="P144" s="332">
        <f>IFERROR(VLOOKUP(TEXT(O144,"0"),CONDUCTORES!$A$3:$G$54,2,0),"")</f>
        <v/>
      </c>
      <c r="Q144" s="332">
        <f>IFERROR(VLOOKUP(TEXT(O144,"0"),CONDUCTORES!$A$3:$H$54,6,0),"")</f>
        <v/>
      </c>
      <c r="R144" s="280" t="n"/>
      <c r="S144" s="280" t="n"/>
      <c r="T144" s="280" t="n"/>
      <c r="U144" s="280" t="n"/>
      <c r="V144" s="280" t="n"/>
      <c r="W144" s="280" t="n"/>
      <c r="X144" s="280" t="n"/>
      <c r="Y144" s="280" t="n"/>
      <c r="Z144" s="350" t="n"/>
      <c r="AA144" s="198" t="n"/>
      <c r="AB144" s="198" t="n"/>
      <c r="AC144" s="198" t="n"/>
    </row>
    <row r="145" ht="15" customHeight="1" s="195">
      <c r="A145" s="280" t="n"/>
      <c r="B145" s="280" t="n"/>
      <c r="C145" s="280" t="n"/>
      <c r="D145" s="280" t="n"/>
      <c r="E145" s="280" t="n"/>
      <c r="F145" s="280" t="n"/>
      <c r="G145" s="280" t="n"/>
      <c r="H145" s="280" t="n"/>
      <c r="I145" s="332">
        <f>IFERROR(VLOOKUP(TEXT(H145,"0"),IPRESS!$A$3:$B$212,2,0),"")</f>
        <v/>
      </c>
      <c r="J145" s="280" t="n"/>
      <c r="K145" s="343" t="n"/>
      <c r="L145" s="280" t="n"/>
      <c r="M145" s="280" t="n"/>
      <c r="N145" s="345" t="n"/>
      <c r="O145" s="280" t="n"/>
      <c r="P145" s="332">
        <f>IFERROR(VLOOKUP(TEXT(O145,"0"),CONDUCTORES!$A$3:$G$54,2,0),"")</f>
        <v/>
      </c>
      <c r="Q145" s="332">
        <f>IFERROR(VLOOKUP(TEXT(O145,"0"),CONDUCTORES!$A$3:$H$54,6,0),"")</f>
        <v/>
      </c>
      <c r="R145" s="280" t="n"/>
      <c r="S145" s="280" t="n"/>
      <c r="T145" s="280" t="n"/>
      <c r="U145" s="280" t="n"/>
      <c r="V145" s="280" t="n"/>
      <c r="W145" s="280" t="n"/>
      <c r="X145" s="280" t="n"/>
      <c r="Y145" s="280" t="n"/>
      <c r="Z145" s="350" t="n"/>
      <c r="AA145" s="198" t="n"/>
      <c r="AB145" s="198" t="n"/>
      <c r="AC145" s="198" t="n"/>
    </row>
    <row r="146" ht="15" customHeight="1" s="195">
      <c r="A146" s="280" t="n"/>
      <c r="B146" s="280" t="n"/>
      <c r="C146" s="280" t="n"/>
      <c r="D146" s="280" t="n"/>
      <c r="E146" s="280" t="n"/>
      <c r="F146" s="280" t="n"/>
      <c r="G146" s="280" t="n"/>
      <c r="H146" s="280" t="n"/>
      <c r="I146" s="332">
        <f>IFERROR(VLOOKUP(TEXT(H146,"0"),IPRESS!$A$3:$B$212,2,0),"")</f>
        <v/>
      </c>
      <c r="J146" s="280" t="n"/>
      <c r="K146" s="343" t="n"/>
      <c r="L146" s="280" t="n"/>
      <c r="M146" s="280" t="n"/>
      <c r="N146" s="345" t="n"/>
      <c r="O146" s="280" t="n"/>
      <c r="P146" s="332">
        <f>IFERROR(VLOOKUP(TEXT(O146,"0"),CONDUCTORES!$A$3:$G$54,2,0),"")</f>
        <v/>
      </c>
      <c r="Q146" s="332">
        <f>IFERROR(VLOOKUP(TEXT(O146,"0"),CONDUCTORES!$A$3:$H$54,6,0),"")</f>
        <v/>
      </c>
      <c r="R146" s="280" t="n"/>
      <c r="S146" s="280" t="n"/>
      <c r="T146" s="280" t="n"/>
      <c r="U146" s="280" t="n"/>
      <c r="V146" s="280" t="n"/>
      <c r="W146" s="280" t="n"/>
      <c r="X146" s="280" t="n"/>
      <c r="Y146" s="280" t="n"/>
      <c r="Z146" s="350" t="n"/>
      <c r="AA146" s="198" t="n"/>
      <c r="AB146" s="198" t="n"/>
      <c r="AC146" s="198" t="n"/>
    </row>
    <row r="147" ht="15" customHeight="1" s="195">
      <c r="A147" s="280" t="n"/>
      <c r="B147" s="280" t="n"/>
      <c r="C147" s="280" t="n"/>
      <c r="D147" s="280" t="n"/>
      <c r="E147" s="280" t="n"/>
      <c r="F147" s="280" t="n"/>
      <c r="G147" s="280" t="n"/>
      <c r="H147" s="280" t="n"/>
      <c r="I147" s="332">
        <f>IFERROR(VLOOKUP(TEXT(H147,"0"),IPRESS!$A$3:$B$212,2,0),"")</f>
        <v/>
      </c>
      <c r="J147" s="280" t="n"/>
      <c r="K147" s="343" t="n"/>
      <c r="L147" s="280" t="n"/>
      <c r="M147" s="280" t="n"/>
      <c r="N147" s="345" t="n"/>
      <c r="O147" s="280" t="n"/>
      <c r="P147" s="332">
        <f>IFERROR(VLOOKUP(TEXT(O147,"0"),CONDUCTORES!$A$3:$G$54,2,0),"")</f>
        <v/>
      </c>
      <c r="Q147" s="332">
        <f>IFERROR(VLOOKUP(TEXT(O147,"0"),CONDUCTORES!$A$3:$H$54,6,0),"")</f>
        <v/>
      </c>
      <c r="R147" s="280" t="n"/>
      <c r="S147" s="280" t="n"/>
      <c r="T147" s="280" t="n"/>
      <c r="U147" s="280" t="n"/>
      <c r="V147" s="280" t="n"/>
      <c r="W147" s="280" t="n"/>
      <c r="X147" s="280" t="n"/>
      <c r="Y147" s="280" t="n"/>
      <c r="Z147" s="350" t="n"/>
      <c r="AA147" s="198" t="n"/>
      <c r="AB147" s="198" t="n"/>
      <c r="AC147" s="198" t="n"/>
    </row>
    <row r="148" ht="15" customHeight="1" s="195">
      <c r="A148" s="280" t="n"/>
      <c r="B148" s="280" t="n"/>
      <c r="C148" s="280" t="n"/>
      <c r="D148" s="280" t="n"/>
      <c r="E148" s="280" t="n"/>
      <c r="F148" s="280" t="n"/>
      <c r="G148" s="280" t="n"/>
      <c r="H148" s="280" t="n"/>
      <c r="I148" s="332">
        <f>IFERROR(VLOOKUP(TEXT(H148,"0"),IPRESS!$A$3:$B$212,2,0),"")</f>
        <v/>
      </c>
      <c r="J148" s="280" t="n"/>
      <c r="K148" s="343" t="n"/>
      <c r="L148" s="280" t="n"/>
      <c r="M148" s="280" t="n"/>
      <c r="N148" s="345" t="n"/>
      <c r="O148" s="280" t="n"/>
      <c r="P148" s="332">
        <f>IFERROR(VLOOKUP(TEXT(O148,"0"),CONDUCTORES!$A$3:$G$54,2,0),"")</f>
        <v/>
      </c>
      <c r="Q148" s="332">
        <f>IFERROR(VLOOKUP(TEXT(O148,"0"),CONDUCTORES!$A$3:$H$54,6,0),"")</f>
        <v/>
      </c>
      <c r="R148" s="280" t="n"/>
      <c r="S148" s="280" t="n"/>
      <c r="T148" s="280" t="n"/>
      <c r="U148" s="280" t="n"/>
      <c r="V148" s="280" t="n"/>
      <c r="W148" s="280" t="n"/>
      <c r="X148" s="280" t="n"/>
      <c r="Y148" s="280" t="n"/>
      <c r="Z148" s="350" t="n"/>
      <c r="AA148" s="198" t="n"/>
      <c r="AB148" s="198" t="n"/>
      <c r="AC148" s="198" t="n"/>
    </row>
    <row r="149" ht="15" customHeight="1" s="195">
      <c r="A149" s="280" t="n"/>
      <c r="B149" s="280" t="n"/>
      <c r="C149" s="280" t="n"/>
      <c r="D149" s="280" t="n"/>
      <c r="E149" s="280" t="n"/>
      <c r="F149" s="280" t="n"/>
      <c r="G149" s="280" t="n"/>
      <c r="H149" s="280" t="n"/>
      <c r="I149" s="332">
        <f>IFERROR(VLOOKUP(TEXT(H149,"0"),IPRESS!$A$3:$B$212,2,0),"")</f>
        <v/>
      </c>
      <c r="J149" s="280" t="n"/>
      <c r="K149" s="343" t="n"/>
      <c r="L149" s="280" t="n"/>
      <c r="M149" s="280" t="n"/>
      <c r="N149" s="345" t="n"/>
      <c r="O149" s="280" t="n"/>
      <c r="P149" s="332">
        <f>IFERROR(VLOOKUP(TEXT(O149,"0"),CONDUCTORES!$A$3:$G$54,2,0),"")</f>
        <v/>
      </c>
      <c r="Q149" s="332">
        <f>IFERROR(VLOOKUP(TEXT(O149,"0"),CONDUCTORES!$A$3:$H$54,6,0),"")</f>
        <v/>
      </c>
      <c r="R149" s="280" t="n"/>
      <c r="S149" s="280" t="n"/>
      <c r="T149" s="280" t="n"/>
      <c r="U149" s="280" t="n"/>
      <c r="V149" s="280" t="n"/>
      <c r="W149" s="280" t="n"/>
      <c r="X149" s="280" t="n"/>
      <c r="Y149" s="280" t="n"/>
      <c r="Z149" s="350" t="n"/>
      <c r="AA149" s="198" t="n"/>
      <c r="AB149" s="198" t="n"/>
      <c r="AC149" s="198" t="n"/>
    </row>
    <row r="150" ht="15" customHeight="1" s="195">
      <c r="A150" s="280" t="n"/>
      <c r="B150" s="280" t="n"/>
      <c r="C150" s="280" t="n"/>
      <c r="D150" s="280" t="n"/>
      <c r="E150" s="280" t="n"/>
      <c r="F150" s="280" t="n"/>
      <c r="G150" s="280" t="n"/>
      <c r="H150" s="280" t="n"/>
      <c r="I150" s="332">
        <f>IFERROR(VLOOKUP(TEXT(H150,"0"),IPRESS!$A$3:$B$212,2,0),"")</f>
        <v/>
      </c>
      <c r="J150" s="280" t="n"/>
      <c r="K150" s="343" t="n"/>
      <c r="L150" s="280" t="n"/>
      <c r="M150" s="280" t="n"/>
      <c r="N150" s="345" t="n"/>
      <c r="O150" s="280" t="n"/>
      <c r="P150" s="332">
        <f>IFERROR(VLOOKUP(TEXT(O150,"0"),CONDUCTORES!$A$3:$G$54,2,0),"")</f>
        <v/>
      </c>
      <c r="Q150" s="332">
        <f>IFERROR(VLOOKUP(TEXT(O150,"0"),CONDUCTORES!$A$3:$H$54,6,0),"")</f>
        <v/>
      </c>
      <c r="R150" s="280" t="n"/>
      <c r="S150" s="280" t="n"/>
      <c r="T150" s="280" t="n"/>
      <c r="U150" s="280" t="n"/>
      <c r="V150" s="280" t="n"/>
      <c r="W150" s="280" t="n"/>
      <c r="X150" s="280" t="n"/>
      <c r="Y150" s="280" t="n"/>
      <c r="Z150" s="350" t="n"/>
      <c r="AA150" s="198" t="n"/>
      <c r="AB150" s="198" t="n"/>
      <c r="AC150" s="198" t="n"/>
    </row>
    <row r="151" ht="15" customHeight="1" s="195">
      <c r="A151" s="280" t="n"/>
      <c r="B151" s="280" t="n"/>
      <c r="C151" s="280" t="n"/>
      <c r="D151" s="280" t="n"/>
      <c r="E151" s="280" t="n"/>
      <c r="F151" s="280" t="n"/>
      <c r="G151" s="280" t="n"/>
      <c r="H151" s="280" t="n"/>
      <c r="I151" s="332">
        <f>IFERROR(VLOOKUP(TEXT(H151,"0"),IPRESS!$A$3:$B$212,2,0),"")</f>
        <v/>
      </c>
      <c r="J151" s="280" t="n"/>
      <c r="K151" s="343" t="n"/>
      <c r="L151" s="280" t="n"/>
      <c r="M151" s="280" t="n"/>
      <c r="N151" s="345" t="n"/>
      <c r="O151" s="280" t="n"/>
      <c r="P151" s="332">
        <f>IFERROR(VLOOKUP(TEXT(O151,"0"),CONDUCTORES!$A$3:$G$54,2,0),"")</f>
        <v/>
      </c>
      <c r="Q151" s="332">
        <f>IFERROR(VLOOKUP(TEXT(O151,"0"),CONDUCTORES!$A$3:$H$54,6,0),"")</f>
        <v/>
      </c>
      <c r="R151" s="280" t="n"/>
      <c r="S151" s="280" t="n"/>
      <c r="T151" s="280" t="n"/>
      <c r="U151" s="280" t="n"/>
      <c r="V151" s="280" t="n"/>
      <c r="W151" s="280" t="n"/>
      <c r="X151" s="280" t="n"/>
      <c r="Y151" s="280" t="n"/>
      <c r="Z151" s="350" t="n"/>
      <c r="AA151" s="198" t="n"/>
      <c r="AB151" s="198" t="n"/>
      <c r="AC151" s="198" t="n"/>
    </row>
    <row r="152" ht="15" customHeight="1" s="195">
      <c r="A152" s="280" t="n"/>
      <c r="B152" s="280" t="n"/>
      <c r="C152" s="280" t="n"/>
      <c r="D152" s="280" t="n"/>
      <c r="E152" s="280" t="n"/>
      <c r="F152" s="280" t="n"/>
      <c r="G152" s="280" t="n"/>
      <c r="H152" s="280" t="n"/>
      <c r="I152" s="332">
        <f>IFERROR(VLOOKUP(TEXT(H152,"0"),IPRESS!$A$3:$B$212,2,0),"")</f>
        <v/>
      </c>
      <c r="J152" s="280" t="n"/>
      <c r="K152" s="343" t="n"/>
      <c r="L152" s="280" t="n"/>
      <c r="M152" s="280" t="n"/>
      <c r="N152" s="345" t="n"/>
      <c r="O152" s="280" t="n"/>
      <c r="P152" s="332">
        <f>IFERROR(VLOOKUP(TEXT(O152,"0"),CONDUCTORES!$A$3:$G$54,2,0),"")</f>
        <v/>
      </c>
      <c r="Q152" s="332">
        <f>IFERROR(VLOOKUP(TEXT(O152,"0"),CONDUCTORES!$A$3:$H$54,6,0),"")</f>
        <v/>
      </c>
      <c r="R152" s="280" t="n"/>
      <c r="S152" s="280" t="n"/>
      <c r="T152" s="280" t="n"/>
      <c r="U152" s="280" t="n"/>
      <c r="V152" s="280" t="n"/>
      <c r="W152" s="280" t="n"/>
      <c r="X152" s="280" t="n"/>
      <c r="Y152" s="280" t="n"/>
      <c r="Z152" s="350" t="n"/>
      <c r="AA152" s="198" t="n"/>
      <c r="AB152" s="198" t="n"/>
      <c r="AC152" s="198" t="n"/>
    </row>
    <row r="153" ht="15" customHeight="1" s="195">
      <c r="A153" s="280" t="n"/>
      <c r="B153" s="280" t="n"/>
      <c r="C153" s="280" t="n"/>
      <c r="D153" s="280" t="n"/>
      <c r="E153" s="280" t="n"/>
      <c r="F153" s="280" t="n"/>
      <c r="G153" s="280" t="n"/>
      <c r="H153" s="280" t="n"/>
      <c r="I153" s="332">
        <f>IFERROR(VLOOKUP(TEXT(H153,"0"),IPRESS!$A$3:$B$212,2,0),"")</f>
        <v/>
      </c>
      <c r="J153" s="280" t="n"/>
      <c r="K153" s="343" t="n"/>
      <c r="L153" s="280" t="n"/>
      <c r="M153" s="280" t="n"/>
      <c r="N153" s="345" t="n"/>
      <c r="O153" s="280" t="n"/>
      <c r="P153" s="332">
        <f>IFERROR(VLOOKUP(TEXT(O153,"0"),CONDUCTORES!$A$3:$G$54,2,0),"")</f>
        <v/>
      </c>
      <c r="Q153" s="332">
        <f>IFERROR(VLOOKUP(TEXT(O153,"0"),CONDUCTORES!$A$3:$H$54,6,0),"")</f>
        <v/>
      </c>
      <c r="R153" s="280" t="n"/>
      <c r="S153" s="280" t="n"/>
      <c r="T153" s="280" t="n"/>
      <c r="U153" s="280" t="n"/>
      <c r="V153" s="280" t="n"/>
      <c r="W153" s="280" t="n"/>
      <c r="X153" s="280" t="n"/>
      <c r="Y153" s="280" t="n"/>
      <c r="Z153" s="350" t="n"/>
      <c r="AA153" s="198" t="n"/>
      <c r="AB153" s="198" t="n"/>
      <c r="AC153" s="198" t="n"/>
    </row>
    <row r="154" ht="15" customHeight="1" s="195">
      <c r="A154" s="280" t="n"/>
      <c r="B154" s="280" t="n"/>
      <c r="C154" s="280" t="n"/>
      <c r="D154" s="280" t="n"/>
      <c r="E154" s="280" t="n"/>
      <c r="F154" s="280" t="n"/>
      <c r="G154" s="280" t="n"/>
      <c r="H154" s="280" t="n"/>
      <c r="I154" s="332">
        <f>IFERROR(VLOOKUP(TEXT(H154,"0"),IPRESS!$A$3:$B$212,2,0),"")</f>
        <v/>
      </c>
      <c r="J154" s="280" t="n"/>
      <c r="K154" s="343" t="n"/>
      <c r="L154" s="280" t="n"/>
      <c r="M154" s="280" t="n"/>
      <c r="N154" s="345" t="n"/>
      <c r="O154" s="280" t="n"/>
      <c r="P154" s="332">
        <f>IFERROR(VLOOKUP(TEXT(O154,"0"),CONDUCTORES!$A$3:$G$54,2,0),"")</f>
        <v/>
      </c>
      <c r="Q154" s="332">
        <f>IFERROR(VLOOKUP(TEXT(O154,"0"),CONDUCTORES!$A$3:$H$54,6,0),"")</f>
        <v/>
      </c>
      <c r="R154" s="280" t="n"/>
      <c r="S154" s="280" t="n"/>
      <c r="T154" s="280" t="n"/>
      <c r="U154" s="280" t="n"/>
      <c r="V154" s="280" t="n"/>
      <c r="W154" s="280" t="n"/>
      <c r="X154" s="280" t="n"/>
      <c r="Y154" s="280" t="n"/>
      <c r="Z154" s="350" t="n"/>
      <c r="AA154" s="198" t="n"/>
      <c r="AB154" s="198" t="n"/>
      <c r="AC154" s="198" t="n"/>
    </row>
    <row r="155" ht="15" customHeight="1" s="195">
      <c r="A155" s="280" t="n"/>
      <c r="B155" s="280" t="n"/>
      <c r="C155" s="280" t="n"/>
      <c r="D155" s="280" t="n"/>
      <c r="E155" s="280" t="n"/>
      <c r="F155" s="280" t="n"/>
      <c r="G155" s="280" t="n"/>
      <c r="H155" s="280" t="n"/>
      <c r="I155" s="332">
        <f>IFERROR(VLOOKUP(TEXT(H155,"0"),IPRESS!$A$3:$B$212,2,0),"")</f>
        <v/>
      </c>
      <c r="J155" s="280" t="n"/>
      <c r="K155" s="343" t="n"/>
      <c r="L155" s="280" t="n"/>
      <c r="M155" s="280" t="n"/>
      <c r="N155" s="345" t="n"/>
      <c r="O155" s="280" t="n"/>
      <c r="P155" s="332">
        <f>IFERROR(VLOOKUP(TEXT(O155,"0"),CONDUCTORES!$A$3:$G$54,2,0),"")</f>
        <v/>
      </c>
      <c r="Q155" s="332">
        <f>IFERROR(VLOOKUP(TEXT(O155,"0"),CONDUCTORES!$A$3:$H$54,6,0),"")</f>
        <v/>
      </c>
      <c r="R155" s="280" t="n"/>
      <c r="S155" s="280" t="n"/>
      <c r="T155" s="280" t="n"/>
      <c r="U155" s="280" t="n"/>
      <c r="V155" s="280" t="n"/>
      <c r="W155" s="280" t="n"/>
      <c r="X155" s="280" t="n"/>
      <c r="Y155" s="280" t="n"/>
      <c r="Z155" s="350" t="n"/>
      <c r="AA155" s="198" t="n"/>
      <c r="AB155" s="198" t="n"/>
      <c r="AC155" s="198" t="n"/>
    </row>
    <row r="156" ht="15" customHeight="1" s="195">
      <c r="A156" s="280" t="n"/>
      <c r="B156" s="280" t="n"/>
      <c r="C156" s="280" t="n"/>
      <c r="D156" s="280" t="n"/>
      <c r="E156" s="280" t="n"/>
      <c r="F156" s="280" t="n"/>
      <c r="G156" s="280" t="n"/>
      <c r="H156" s="280" t="n"/>
      <c r="I156" s="332">
        <f>IFERROR(VLOOKUP(TEXT(H156,"0"),IPRESS!$A$3:$B$212,2,0),"")</f>
        <v/>
      </c>
      <c r="J156" s="280" t="n"/>
      <c r="K156" s="343" t="n"/>
      <c r="L156" s="280" t="n"/>
      <c r="M156" s="280" t="n"/>
      <c r="N156" s="345" t="n"/>
      <c r="O156" s="280" t="n"/>
      <c r="P156" s="332">
        <f>IFERROR(VLOOKUP(TEXT(O156,"0"),CONDUCTORES!$A$3:$G$54,2,0),"")</f>
        <v/>
      </c>
      <c r="Q156" s="332">
        <f>IFERROR(VLOOKUP(TEXT(O156,"0"),CONDUCTORES!$A$3:$H$54,6,0),"")</f>
        <v/>
      </c>
      <c r="R156" s="280" t="n"/>
      <c r="S156" s="280" t="n"/>
      <c r="T156" s="280" t="n"/>
      <c r="U156" s="280" t="n"/>
      <c r="V156" s="280" t="n"/>
      <c r="W156" s="280" t="n"/>
      <c r="X156" s="280" t="n"/>
      <c r="Y156" s="280" t="n"/>
      <c r="Z156" s="350" t="n"/>
      <c r="AA156" s="198" t="n"/>
      <c r="AB156" s="198" t="n"/>
      <c r="AC156" s="198" t="n"/>
    </row>
    <row r="157" ht="15" customHeight="1" s="195">
      <c r="A157" s="280" t="n"/>
      <c r="B157" s="280" t="n"/>
      <c r="C157" s="280" t="n"/>
      <c r="D157" s="280" t="n"/>
      <c r="E157" s="280" t="n"/>
      <c r="F157" s="280" t="n"/>
      <c r="G157" s="280" t="n"/>
      <c r="H157" s="280" t="n"/>
      <c r="I157" s="332">
        <f>IFERROR(VLOOKUP(TEXT(H157,"0"),IPRESS!$A$3:$B$212,2,0),"")</f>
        <v/>
      </c>
      <c r="J157" s="280" t="n"/>
      <c r="K157" s="343" t="n"/>
      <c r="L157" s="280" t="n"/>
      <c r="M157" s="280" t="n"/>
      <c r="N157" s="345" t="n"/>
      <c r="O157" s="280" t="n"/>
      <c r="P157" s="332">
        <f>IFERROR(VLOOKUP(TEXT(O157,"0"),CONDUCTORES!$A$3:$G$54,2,0),"")</f>
        <v/>
      </c>
      <c r="Q157" s="332">
        <f>IFERROR(VLOOKUP(TEXT(O157,"0"),CONDUCTORES!$A$3:$H$54,6,0),"")</f>
        <v/>
      </c>
      <c r="R157" s="280" t="n"/>
      <c r="S157" s="280" t="n"/>
      <c r="T157" s="280" t="n"/>
      <c r="U157" s="280" t="n"/>
      <c r="V157" s="280" t="n"/>
      <c r="W157" s="280" t="n"/>
      <c r="X157" s="280" t="n"/>
      <c r="Y157" s="280" t="n"/>
      <c r="Z157" s="350" t="n"/>
      <c r="AA157" s="198" t="n"/>
      <c r="AB157" s="198" t="n"/>
      <c r="AC157" s="198" t="n"/>
    </row>
    <row r="158" ht="15" customHeight="1" s="195">
      <c r="A158" s="280" t="n"/>
      <c r="B158" s="280" t="n"/>
      <c r="C158" s="280" t="n"/>
      <c r="D158" s="280" t="n"/>
      <c r="E158" s="280" t="n"/>
      <c r="F158" s="280" t="n"/>
      <c r="G158" s="280" t="n"/>
      <c r="H158" s="280" t="n"/>
      <c r="I158" s="332">
        <f>IFERROR(VLOOKUP(TEXT(H158,"0"),IPRESS!$A$3:$B$212,2,0),"")</f>
        <v/>
      </c>
      <c r="J158" s="280" t="n"/>
      <c r="K158" s="343" t="n"/>
      <c r="L158" s="280" t="n"/>
      <c r="M158" s="280" t="n"/>
      <c r="N158" s="345" t="n"/>
      <c r="O158" s="280" t="n"/>
      <c r="P158" s="332">
        <f>IFERROR(VLOOKUP(TEXT(O158,"0"),CONDUCTORES!$A$3:$G$54,2,0),"")</f>
        <v/>
      </c>
      <c r="Q158" s="332">
        <f>IFERROR(VLOOKUP(TEXT(O158,"0"),CONDUCTORES!$A$3:$H$54,6,0),"")</f>
        <v/>
      </c>
      <c r="R158" s="280" t="n"/>
      <c r="S158" s="280" t="n"/>
      <c r="T158" s="280" t="n"/>
      <c r="U158" s="280" t="n"/>
      <c r="V158" s="280" t="n"/>
      <c r="W158" s="280" t="n"/>
      <c r="X158" s="280" t="n"/>
      <c r="Y158" s="280" t="n"/>
      <c r="Z158" s="350" t="n"/>
      <c r="AA158" s="198" t="n"/>
      <c r="AB158" s="198" t="n"/>
      <c r="AC158" s="198" t="n"/>
    </row>
    <row r="159" ht="15" customHeight="1" s="195">
      <c r="A159" s="280" t="n"/>
      <c r="B159" s="280" t="n"/>
      <c r="C159" s="280" t="n"/>
      <c r="D159" s="280" t="n"/>
      <c r="E159" s="280" t="n"/>
      <c r="F159" s="280" t="n"/>
      <c r="G159" s="280" t="n"/>
      <c r="H159" s="280" t="n"/>
      <c r="I159" s="332">
        <f>IFERROR(VLOOKUP(TEXT(H159,"0"),IPRESS!$A$3:$B$212,2,0),"")</f>
        <v/>
      </c>
      <c r="J159" s="280" t="n"/>
      <c r="K159" s="343" t="n"/>
      <c r="L159" s="280" t="n"/>
      <c r="M159" s="280" t="n"/>
      <c r="N159" s="345" t="n"/>
      <c r="O159" s="280" t="n"/>
      <c r="P159" s="332">
        <f>IFERROR(VLOOKUP(TEXT(O159,"0"),CONDUCTORES!$A$3:$G$54,2,0),"")</f>
        <v/>
      </c>
      <c r="Q159" s="332">
        <f>IFERROR(VLOOKUP(TEXT(O159,"0"),CONDUCTORES!$A$3:$H$54,6,0),"")</f>
        <v/>
      </c>
      <c r="R159" s="280" t="n"/>
      <c r="S159" s="280" t="n"/>
      <c r="T159" s="280" t="n"/>
      <c r="U159" s="280" t="n"/>
      <c r="V159" s="280" t="n"/>
      <c r="W159" s="280" t="n"/>
      <c r="X159" s="280" t="n"/>
      <c r="Y159" s="280" t="n"/>
      <c r="Z159" s="350" t="n"/>
      <c r="AA159" s="198" t="n"/>
      <c r="AB159" s="198" t="n"/>
      <c r="AC159" s="198" t="n"/>
    </row>
    <row r="160" ht="15" customHeight="1" s="195">
      <c r="A160" s="280" t="n"/>
      <c r="B160" s="280" t="n"/>
      <c r="C160" s="280" t="n"/>
      <c r="D160" s="280" t="n"/>
      <c r="E160" s="280" t="n"/>
      <c r="F160" s="280" t="n"/>
      <c r="G160" s="280" t="n"/>
      <c r="H160" s="280" t="n"/>
      <c r="I160" s="332">
        <f>IFERROR(VLOOKUP(TEXT(H160,"0"),IPRESS!$A$3:$B$212,2,0),"")</f>
        <v/>
      </c>
      <c r="J160" s="280" t="n"/>
      <c r="K160" s="343" t="n"/>
      <c r="L160" s="280" t="n"/>
      <c r="M160" s="280" t="n"/>
      <c r="N160" s="345" t="n"/>
      <c r="O160" s="280" t="n"/>
      <c r="P160" s="332">
        <f>IFERROR(VLOOKUP(TEXT(O160,"0"),CONDUCTORES!$A$3:$G$54,2,0),"")</f>
        <v/>
      </c>
      <c r="Q160" s="332">
        <f>IFERROR(VLOOKUP(TEXT(O160,"0"),CONDUCTORES!$A$3:$H$54,6,0),"")</f>
        <v/>
      </c>
      <c r="R160" s="280" t="n"/>
      <c r="S160" s="280" t="n"/>
      <c r="T160" s="280" t="n"/>
      <c r="U160" s="280" t="n"/>
      <c r="V160" s="280" t="n"/>
      <c r="W160" s="280" t="n"/>
      <c r="X160" s="280" t="n"/>
      <c r="Y160" s="280" t="n"/>
      <c r="Z160" s="350" t="n"/>
      <c r="AA160" s="198" t="n"/>
      <c r="AB160" s="198" t="n"/>
      <c r="AC160" s="198" t="n"/>
    </row>
    <row r="161" ht="15" customHeight="1" s="195">
      <c r="A161" s="280" t="n"/>
      <c r="B161" s="280" t="n"/>
      <c r="C161" s="280" t="n"/>
      <c r="D161" s="280" t="n"/>
      <c r="E161" s="280" t="n"/>
      <c r="F161" s="280" t="n"/>
      <c r="G161" s="280" t="n"/>
      <c r="H161" s="280" t="n"/>
      <c r="I161" s="332">
        <f>IFERROR(VLOOKUP(TEXT(H161,"0"),IPRESS!$A$3:$B$212,2,0),"")</f>
        <v/>
      </c>
      <c r="J161" s="280" t="n"/>
      <c r="K161" s="343" t="n"/>
      <c r="L161" s="280" t="n"/>
      <c r="M161" s="280" t="n"/>
      <c r="N161" s="345" t="n"/>
      <c r="O161" s="280" t="n"/>
      <c r="P161" s="332">
        <f>IFERROR(VLOOKUP(TEXT(O161,"0"),CONDUCTORES!$A$3:$G$54,2,0),"")</f>
        <v/>
      </c>
      <c r="Q161" s="332">
        <f>IFERROR(VLOOKUP(TEXT(O161,"0"),CONDUCTORES!$A$3:$H$54,6,0),"")</f>
        <v/>
      </c>
      <c r="R161" s="280" t="n"/>
      <c r="S161" s="280" t="n"/>
      <c r="T161" s="280" t="n"/>
      <c r="U161" s="280" t="n"/>
      <c r="V161" s="280" t="n"/>
      <c r="W161" s="280" t="n"/>
      <c r="X161" s="280" t="n"/>
      <c r="Y161" s="280" t="n"/>
      <c r="Z161" s="350" t="n"/>
      <c r="AA161" s="198" t="n"/>
      <c r="AB161" s="198" t="n"/>
      <c r="AC161" s="198" t="n"/>
    </row>
    <row r="162" ht="15" customHeight="1" s="195">
      <c r="A162" s="280" t="n"/>
      <c r="B162" s="280" t="n"/>
      <c r="C162" s="280" t="n"/>
      <c r="D162" s="280" t="n"/>
      <c r="E162" s="280" t="n"/>
      <c r="F162" s="280" t="n"/>
      <c r="G162" s="280" t="n"/>
      <c r="H162" s="280" t="n"/>
      <c r="I162" s="332">
        <f>IFERROR(VLOOKUP(TEXT(H162,"0"),IPRESS!$A$3:$B$212,2,0),"")</f>
        <v/>
      </c>
      <c r="J162" s="280" t="n"/>
      <c r="K162" s="343" t="n"/>
      <c r="L162" s="280" t="n"/>
      <c r="M162" s="280" t="n"/>
      <c r="N162" s="345" t="n"/>
      <c r="O162" s="280" t="n"/>
      <c r="P162" s="332">
        <f>IFERROR(VLOOKUP(TEXT(O162,"0"),CONDUCTORES!$A$3:$G$54,2,0),"")</f>
        <v/>
      </c>
      <c r="Q162" s="332">
        <f>IFERROR(VLOOKUP(TEXT(O162,"0"),CONDUCTORES!$A$3:$H$54,6,0),"")</f>
        <v/>
      </c>
      <c r="R162" s="280" t="n"/>
      <c r="S162" s="280" t="n"/>
      <c r="T162" s="280" t="n"/>
      <c r="U162" s="280" t="n"/>
      <c r="V162" s="280" t="n"/>
      <c r="W162" s="280" t="n"/>
      <c r="X162" s="280" t="n"/>
      <c r="Y162" s="280" t="n"/>
      <c r="Z162" s="350" t="n"/>
      <c r="AA162" s="198" t="n"/>
      <c r="AB162" s="198" t="n"/>
      <c r="AC162" s="198" t="n"/>
    </row>
    <row r="163" ht="15" customHeight="1" s="195">
      <c r="A163" s="280" t="n"/>
      <c r="B163" s="280" t="n"/>
      <c r="C163" s="280" t="n"/>
      <c r="D163" s="280" t="n"/>
      <c r="E163" s="280" t="n"/>
      <c r="F163" s="280" t="n"/>
      <c r="G163" s="280" t="n"/>
      <c r="H163" s="280" t="n"/>
      <c r="I163" s="332">
        <f>IFERROR(VLOOKUP(TEXT(H163,"0"),IPRESS!$A$3:$B$212,2,0),"")</f>
        <v/>
      </c>
      <c r="J163" s="280" t="n"/>
      <c r="K163" s="343" t="n"/>
      <c r="L163" s="280" t="n"/>
      <c r="M163" s="280" t="n"/>
      <c r="N163" s="345" t="n"/>
      <c r="O163" s="280" t="n"/>
      <c r="P163" s="332">
        <f>IFERROR(VLOOKUP(TEXT(O163,"0"),CONDUCTORES!$A$3:$G$54,2,0),"")</f>
        <v/>
      </c>
      <c r="Q163" s="332">
        <f>IFERROR(VLOOKUP(TEXT(O163,"0"),CONDUCTORES!$A$3:$H$54,6,0),"")</f>
        <v/>
      </c>
      <c r="R163" s="280" t="n"/>
      <c r="S163" s="280" t="n"/>
      <c r="T163" s="280" t="n"/>
      <c r="U163" s="280" t="n"/>
      <c r="V163" s="280" t="n"/>
      <c r="W163" s="280" t="n"/>
      <c r="X163" s="280" t="n"/>
      <c r="Y163" s="280" t="n"/>
      <c r="Z163" s="350" t="n"/>
      <c r="AA163" s="198" t="n"/>
      <c r="AB163" s="198" t="n"/>
      <c r="AC163" s="198" t="n"/>
    </row>
    <row r="164" ht="15" customHeight="1" s="195">
      <c r="A164" s="280" t="n"/>
      <c r="B164" s="280" t="n"/>
      <c r="C164" s="280" t="n"/>
      <c r="D164" s="280" t="n"/>
      <c r="E164" s="280" t="n"/>
      <c r="F164" s="280" t="n"/>
      <c r="G164" s="280" t="n"/>
      <c r="H164" s="280" t="n"/>
      <c r="I164" s="332">
        <f>IFERROR(VLOOKUP(TEXT(H164,"0"),IPRESS!$A$3:$B$212,2,0),"")</f>
        <v/>
      </c>
      <c r="J164" s="280" t="n"/>
      <c r="K164" s="343" t="n"/>
      <c r="L164" s="280" t="n"/>
      <c r="M164" s="280" t="n"/>
      <c r="N164" s="345" t="n"/>
      <c r="O164" s="280" t="n"/>
      <c r="P164" s="332">
        <f>IFERROR(VLOOKUP(TEXT(O164,"0"),CONDUCTORES!$A$3:$G$54,2,0),"")</f>
        <v/>
      </c>
      <c r="Q164" s="332">
        <f>IFERROR(VLOOKUP(TEXT(O164,"0"),CONDUCTORES!$A$3:$H$54,6,0),"")</f>
        <v/>
      </c>
      <c r="R164" s="280" t="n"/>
      <c r="S164" s="280" t="n"/>
      <c r="T164" s="280" t="n"/>
      <c r="U164" s="280" t="n"/>
      <c r="V164" s="280" t="n"/>
      <c r="W164" s="280" t="n"/>
      <c r="X164" s="280" t="n"/>
      <c r="Y164" s="280" t="n"/>
      <c r="Z164" s="350" t="n"/>
      <c r="AA164" s="198" t="n"/>
      <c r="AB164" s="198" t="n"/>
      <c r="AC164" s="198" t="n"/>
    </row>
    <row r="165" ht="15" customHeight="1" s="195">
      <c r="A165" s="280" t="n"/>
      <c r="B165" s="280" t="n"/>
      <c r="C165" s="280" t="n"/>
      <c r="D165" s="280" t="n"/>
      <c r="E165" s="280" t="n"/>
      <c r="F165" s="280" t="n"/>
      <c r="G165" s="280" t="n"/>
      <c r="H165" s="280" t="n"/>
      <c r="I165" s="332">
        <f>IFERROR(VLOOKUP(TEXT(H165,"0"),IPRESS!$A$3:$B$212,2,0),"")</f>
        <v/>
      </c>
      <c r="J165" s="280" t="n"/>
      <c r="K165" s="343" t="n"/>
      <c r="L165" s="280" t="n"/>
      <c r="M165" s="280" t="n"/>
      <c r="N165" s="345" t="n"/>
      <c r="O165" s="280" t="n"/>
      <c r="P165" s="332">
        <f>IFERROR(VLOOKUP(TEXT(O165,"0"),CONDUCTORES!$A$3:$G$54,2,0),"")</f>
        <v/>
      </c>
      <c r="Q165" s="332">
        <f>IFERROR(VLOOKUP(TEXT(O165,"0"),CONDUCTORES!$A$3:$H$54,6,0),"")</f>
        <v/>
      </c>
      <c r="R165" s="280" t="n"/>
      <c r="S165" s="280" t="n"/>
      <c r="T165" s="280" t="n"/>
      <c r="U165" s="280" t="n"/>
      <c r="V165" s="280" t="n"/>
      <c r="W165" s="280" t="n"/>
      <c r="X165" s="280" t="n"/>
      <c r="Y165" s="280" t="n"/>
      <c r="Z165" s="350" t="n"/>
      <c r="AA165" s="198" t="n"/>
      <c r="AB165" s="198" t="n"/>
      <c r="AC165" s="198" t="n"/>
    </row>
    <row r="166" ht="15" customHeight="1" s="195">
      <c r="A166" s="280" t="n"/>
      <c r="B166" s="280" t="n"/>
      <c r="C166" s="280" t="n"/>
      <c r="D166" s="280" t="n"/>
      <c r="E166" s="280" t="n"/>
      <c r="F166" s="280" t="n"/>
      <c r="G166" s="280" t="n"/>
      <c r="H166" s="280" t="n"/>
      <c r="I166" s="332">
        <f>IFERROR(VLOOKUP(TEXT(H166,"0"),IPRESS!$A$3:$B$212,2,0),"")</f>
        <v/>
      </c>
      <c r="J166" s="280" t="n"/>
      <c r="K166" s="343" t="n"/>
      <c r="L166" s="280" t="n"/>
      <c r="M166" s="280" t="n"/>
      <c r="N166" s="345" t="n"/>
      <c r="O166" s="280" t="n"/>
      <c r="P166" s="332">
        <f>IFERROR(VLOOKUP(TEXT(O166,"0"),CONDUCTORES!$A$3:$G$54,2,0),"")</f>
        <v/>
      </c>
      <c r="Q166" s="332">
        <f>IFERROR(VLOOKUP(TEXT(O166,"0"),CONDUCTORES!$A$3:$H$54,6,0),"")</f>
        <v/>
      </c>
      <c r="R166" s="280" t="n"/>
      <c r="S166" s="280" t="n"/>
      <c r="T166" s="280" t="n"/>
      <c r="U166" s="280" t="n"/>
      <c r="V166" s="280" t="n"/>
      <c r="W166" s="280" t="n"/>
      <c r="X166" s="280" t="n"/>
      <c r="Y166" s="280" t="n"/>
      <c r="Z166" s="350" t="n"/>
      <c r="AA166" s="198" t="n"/>
      <c r="AB166" s="198" t="n"/>
      <c r="AC166" s="198" t="n"/>
    </row>
    <row r="167" ht="15" customHeight="1" s="195">
      <c r="A167" s="280" t="n"/>
      <c r="B167" s="280" t="n"/>
      <c r="C167" s="280" t="n"/>
      <c r="D167" s="280" t="n"/>
      <c r="E167" s="280" t="n"/>
      <c r="F167" s="280" t="n"/>
      <c r="G167" s="280" t="n"/>
      <c r="H167" s="280" t="n"/>
      <c r="I167" s="332">
        <f>IFERROR(VLOOKUP(TEXT(H167,"0"),IPRESS!$A$3:$B$212,2,0),"")</f>
        <v/>
      </c>
      <c r="J167" s="280" t="n"/>
      <c r="K167" s="343" t="n"/>
      <c r="L167" s="280" t="n"/>
      <c r="M167" s="280" t="n"/>
      <c r="N167" s="345" t="n"/>
      <c r="O167" s="280" t="n"/>
      <c r="P167" s="332">
        <f>IFERROR(VLOOKUP(TEXT(O167,"0"),CONDUCTORES!$A$3:$G$54,2,0),"")</f>
        <v/>
      </c>
      <c r="Q167" s="332">
        <f>IFERROR(VLOOKUP(TEXT(O167,"0"),CONDUCTORES!$A$3:$H$54,6,0),"")</f>
        <v/>
      </c>
      <c r="R167" s="280" t="n"/>
      <c r="S167" s="280" t="n"/>
      <c r="T167" s="280" t="n"/>
      <c r="U167" s="280" t="n"/>
      <c r="V167" s="280" t="n"/>
      <c r="W167" s="280" t="n"/>
      <c r="X167" s="280" t="n"/>
      <c r="Y167" s="280" t="n"/>
      <c r="Z167" s="350" t="n"/>
      <c r="AA167" s="198" t="n"/>
      <c r="AB167" s="198" t="n"/>
      <c r="AC167" s="198" t="n"/>
    </row>
    <row r="168" ht="15" customHeight="1" s="195">
      <c r="A168" s="280" t="n"/>
      <c r="B168" s="280" t="n"/>
      <c r="C168" s="280" t="n"/>
      <c r="D168" s="280" t="n"/>
      <c r="E168" s="280" t="n"/>
      <c r="F168" s="280" t="n"/>
      <c r="G168" s="280" t="n"/>
      <c r="H168" s="280" t="n"/>
      <c r="I168" s="332">
        <f>IFERROR(VLOOKUP(TEXT(H168,"0"),IPRESS!$A$3:$B$212,2,0),"")</f>
        <v/>
      </c>
      <c r="J168" s="280" t="n"/>
      <c r="K168" s="343" t="n"/>
      <c r="L168" s="280" t="n"/>
      <c r="M168" s="280" t="n"/>
      <c r="N168" s="345" t="n"/>
      <c r="O168" s="280" t="n"/>
      <c r="P168" s="332">
        <f>IFERROR(VLOOKUP(TEXT(O168,"0"),CONDUCTORES!$A$3:$G$54,2,0),"")</f>
        <v/>
      </c>
      <c r="Q168" s="332">
        <f>IFERROR(VLOOKUP(TEXT(O168,"0"),CONDUCTORES!$A$3:$H$54,6,0),"")</f>
        <v/>
      </c>
      <c r="R168" s="280" t="n"/>
      <c r="S168" s="280" t="n"/>
      <c r="T168" s="280" t="n"/>
      <c r="U168" s="280" t="n"/>
      <c r="V168" s="280" t="n"/>
      <c r="W168" s="280" t="n"/>
      <c r="X168" s="280" t="n"/>
      <c r="Y168" s="280" t="n"/>
      <c r="Z168" s="350" t="n"/>
      <c r="AA168" s="198" t="n"/>
      <c r="AB168" s="198" t="n"/>
      <c r="AC168" s="198" t="n"/>
    </row>
    <row r="169" ht="15" customHeight="1" s="195">
      <c r="A169" s="280" t="n"/>
      <c r="B169" s="280" t="n"/>
      <c r="C169" s="280" t="n"/>
      <c r="D169" s="280" t="n"/>
      <c r="E169" s="280" t="n"/>
      <c r="F169" s="280" t="n"/>
      <c r="G169" s="280" t="n"/>
      <c r="H169" s="280" t="n"/>
      <c r="I169" s="332">
        <f>IFERROR(VLOOKUP(TEXT(H169,"0"),IPRESS!$A$3:$B$212,2,0),"")</f>
        <v/>
      </c>
      <c r="J169" s="280" t="n"/>
      <c r="K169" s="343" t="n"/>
      <c r="L169" s="280" t="n"/>
      <c r="M169" s="280" t="n"/>
      <c r="N169" s="345" t="n"/>
      <c r="O169" s="280" t="n"/>
      <c r="P169" s="332">
        <f>IFERROR(VLOOKUP(TEXT(O169,"0"),CONDUCTORES!$A$3:$G$54,2,0),"")</f>
        <v/>
      </c>
      <c r="Q169" s="332">
        <f>IFERROR(VLOOKUP(TEXT(O169,"0"),CONDUCTORES!$A$3:$H$54,6,0),"")</f>
        <v/>
      </c>
      <c r="R169" s="280" t="n"/>
      <c r="S169" s="280" t="n"/>
      <c r="T169" s="280" t="n"/>
      <c r="U169" s="280" t="n"/>
      <c r="V169" s="280" t="n"/>
      <c r="W169" s="280" t="n"/>
      <c r="X169" s="280" t="n"/>
      <c r="Y169" s="280" t="n"/>
      <c r="Z169" s="350" t="n"/>
      <c r="AA169" s="198" t="n"/>
      <c r="AB169" s="198" t="n"/>
      <c r="AC169" s="198" t="n"/>
    </row>
    <row r="170" ht="15" customHeight="1" s="195">
      <c r="A170" s="280" t="n"/>
      <c r="B170" s="280" t="n"/>
      <c r="C170" s="280" t="n"/>
      <c r="D170" s="280" t="n"/>
      <c r="E170" s="280" t="n"/>
      <c r="F170" s="280" t="n"/>
      <c r="G170" s="280" t="n"/>
      <c r="H170" s="280" t="n"/>
      <c r="I170" s="332">
        <f>IFERROR(VLOOKUP(TEXT(H170,"0"),IPRESS!$A$3:$B$212,2,0),"")</f>
        <v/>
      </c>
      <c r="J170" s="280" t="n"/>
      <c r="K170" s="343" t="n"/>
      <c r="L170" s="280" t="n"/>
      <c r="M170" s="280" t="n"/>
      <c r="N170" s="345" t="n"/>
      <c r="O170" s="280" t="n"/>
      <c r="P170" s="332">
        <f>IFERROR(VLOOKUP(TEXT(O170,"0"),CONDUCTORES!$A$3:$G$54,2,0),"")</f>
        <v/>
      </c>
      <c r="Q170" s="332">
        <f>IFERROR(VLOOKUP(TEXT(O170,"0"),CONDUCTORES!$A$3:$H$54,6,0),"")</f>
        <v/>
      </c>
      <c r="R170" s="280" t="n"/>
      <c r="S170" s="280" t="n"/>
      <c r="T170" s="280" t="n"/>
      <c r="U170" s="280" t="n"/>
      <c r="V170" s="280" t="n"/>
      <c r="W170" s="280" t="n"/>
      <c r="X170" s="280" t="n"/>
      <c r="Y170" s="280" t="n"/>
      <c r="Z170" s="350" t="n"/>
      <c r="AA170" s="198" t="n"/>
      <c r="AB170" s="198" t="n"/>
      <c r="AC170" s="198" t="n"/>
    </row>
    <row r="171" ht="15" customHeight="1" s="195">
      <c r="A171" s="280" t="n"/>
      <c r="B171" s="280" t="n"/>
      <c r="C171" s="280" t="n"/>
      <c r="D171" s="280" t="n"/>
      <c r="E171" s="280" t="n"/>
      <c r="F171" s="280" t="n"/>
      <c r="G171" s="280" t="n"/>
      <c r="H171" s="280" t="n"/>
      <c r="I171" s="332">
        <f>IFERROR(VLOOKUP(TEXT(H171,"0"),IPRESS!$A$3:$B$212,2,0),"")</f>
        <v/>
      </c>
      <c r="J171" s="280" t="n"/>
      <c r="K171" s="343" t="n"/>
      <c r="L171" s="280" t="n"/>
      <c r="M171" s="280" t="n"/>
      <c r="N171" s="345" t="n"/>
      <c r="O171" s="280" t="n"/>
      <c r="P171" s="332">
        <f>IFERROR(VLOOKUP(TEXT(O171,"0"),CONDUCTORES!$A$3:$G$54,2,0),"")</f>
        <v/>
      </c>
      <c r="Q171" s="332">
        <f>IFERROR(VLOOKUP(TEXT(O171,"0"),CONDUCTORES!$A$3:$H$54,6,0),"")</f>
        <v/>
      </c>
      <c r="R171" s="280" t="n"/>
      <c r="S171" s="280" t="n"/>
      <c r="T171" s="280" t="n"/>
      <c r="U171" s="280" t="n"/>
      <c r="V171" s="280" t="n"/>
      <c r="W171" s="280" t="n"/>
      <c r="X171" s="280" t="n"/>
      <c r="Y171" s="280" t="n"/>
      <c r="Z171" s="350" t="n"/>
      <c r="AA171" s="198" t="n"/>
      <c r="AB171" s="198" t="n"/>
      <c r="AC171" s="198" t="n"/>
    </row>
    <row r="172" ht="15" customHeight="1" s="195">
      <c r="A172" s="280" t="n"/>
      <c r="B172" s="280" t="n"/>
      <c r="C172" s="280" t="n"/>
      <c r="D172" s="280" t="n"/>
      <c r="E172" s="280" t="n"/>
      <c r="F172" s="280" t="n"/>
      <c r="G172" s="280" t="n"/>
      <c r="H172" s="280" t="n"/>
      <c r="I172" s="332">
        <f>IFERROR(VLOOKUP(TEXT(H172,"0"),IPRESS!$A$3:$B$212,2,0),"")</f>
        <v/>
      </c>
      <c r="J172" s="280" t="n"/>
      <c r="K172" s="343" t="n"/>
      <c r="L172" s="280" t="n"/>
      <c r="M172" s="280" t="n"/>
      <c r="N172" s="345" t="n"/>
      <c r="O172" s="280" t="n"/>
      <c r="P172" s="332">
        <f>IFERROR(VLOOKUP(TEXT(O172,"0"),CONDUCTORES!$A$3:$G$54,2,0),"")</f>
        <v/>
      </c>
      <c r="Q172" s="332">
        <f>IFERROR(VLOOKUP(TEXT(O172,"0"),CONDUCTORES!$A$3:$H$54,6,0),"")</f>
        <v/>
      </c>
      <c r="R172" s="280" t="n"/>
      <c r="S172" s="280" t="n"/>
      <c r="T172" s="280" t="n"/>
      <c r="U172" s="280" t="n"/>
      <c r="V172" s="280" t="n"/>
      <c r="W172" s="280" t="n"/>
      <c r="X172" s="280" t="n"/>
      <c r="Y172" s="280" t="n"/>
      <c r="Z172" s="350" t="n"/>
      <c r="AA172" s="198" t="n"/>
      <c r="AB172" s="198" t="n"/>
      <c r="AC172" s="198" t="n"/>
    </row>
    <row r="173" ht="15" customHeight="1" s="195">
      <c r="A173" s="280" t="n"/>
      <c r="B173" s="280" t="n"/>
      <c r="C173" s="280" t="n"/>
      <c r="D173" s="280" t="n"/>
      <c r="E173" s="280" t="n"/>
      <c r="F173" s="280" t="n"/>
      <c r="G173" s="280" t="n"/>
      <c r="H173" s="280" t="n"/>
      <c r="I173" s="332">
        <f>IFERROR(VLOOKUP(TEXT(H173,"0"),IPRESS!$A$3:$B$212,2,0),"")</f>
        <v/>
      </c>
      <c r="J173" s="280" t="n"/>
      <c r="K173" s="343" t="n"/>
      <c r="L173" s="280" t="n"/>
      <c r="M173" s="280" t="n"/>
      <c r="N173" s="345" t="n"/>
      <c r="O173" s="280" t="n"/>
      <c r="P173" s="332">
        <f>IFERROR(VLOOKUP(TEXT(O173,"0"),CONDUCTORES!$A$3:$G$54,2,0),"")</f>
        <v/>
      </c>
      <c r="Q173" s="332">
        <f>IFERROR(VLOOKUP(TEXT(O173,"0"),CONDUCTORES!$A$3:$H$54,6,0),"")</f>
        <v/>
      </c>
      <c r="R173" s="280" t="n"/>
      <c r="S173" s="280" t="n"/>
      <c r="T173" s="280" t="n"/>
      <c r="U173" s="280" t="n"/>
      <c r="V173" s="280" t="n"/>
      <c r="W173" s="280" t="n"/>
      <c r="X173" s="280" t="n"/>
      <c r="Y173" s="280" t="n"/>
      <c r="Z173" s="350" t="n"/>
      <c r="AA173" s="198" t="n"/>
      <c r="AB173" s="198" t="n"/>
      <c r="AC173" s="198" t="n"/>
    </row>
    <row r="174" ht="15" customHeight="1" s="195">
      <c r="A174" s="280" t="n"/>
      <c r="B174" s="280" t="n"/>
      <c r="C174" s="280" t="n"/>
      <c r="D174" s="280" t="n"/>
      <c r="E174" s="280" t="n"/>
      <c r="F174" s="280" t="n"/>
      <c r="G174" s="280" t="n"/>
      <c r="H174" s="280" t="n"/>
      <c r="I174" s="332">
        <f>IFERROR(VLOOKUP(TEXT(H174,"0"),IPRESS!$A$3:$B$212,2,0),"")</f>
        <v/>
      </c>
      <c r="J174" s="280" t="n"/>
      <c r="K174" s="343" t="n"/>
      <c r="L174" s="280" t="n"/>
      <c r="M174" s="280" t="n"/>
      <c r="N174" s="345" t="n"/>
      <c r="O174" s="280" t="n"/>
      <c r="P174" s="332">
        <f>IFERROR(VLOOKUP(TEXT(O174,"0"),CONDUCTORES!$A$3:$G$54,2,0),"")</f>
        <v/>
      </c>
      <c r="Q174" s="332">
        <f>IFERROR(VLOOKUP(TEXT(O174,"0"),CONDUCTORES!$A$3:$H$54,6,0),"")</f>
        <v/>
      </c>
      <c r="R174" s="280" t="n"/>
      <c r="S174" s="280" t="n"/>
      <c r="T174" s="280" t="n"/>
      <c r="U174" s="280" t="n"/>
      <c r="V174" s="280" t="n"/>
      <c r="W174" s="280" t="n"/>
      <c r="X174" s="280" t="n"/>
      <c r="Y174" s="280" t="n"/>
      <c r="Z174" s="350" t="n"/>
      <c r="AA174" s="198" t="n"/>
      <c r="AB174" s="198" t="n"/>
      <c r="AC174" s="198" t="n"/>
    </row>
    <row r="175" ht="15" customHeight="1" s="195">
      <c r="A175" s="280" t="n"/>
      <c r="B175" s="280" t="n"/>
      <c r="C175" s="280" t="n"/>
      <c r="D175" s="280" t="n"/>
      <c r="E175" s="280" t="n"/>
      <c r="F175" s="280" t="n"/>
      <c r="G175" s="280" t="n"/>
      <c r="H175" s="280" t="n"/>
      <c r="I175" s="332">
        <f>IFERROR(VLOOKUP(TEXT(H175,"0"),IPRESS!$A$3:$B$212,2,0),"")</f>
        <v/>
      </c>
      <c r="J175" s="280" t="n"/>
      <c r="K175" s="343" t="n"/>
      <c r="L175" s="280" t="n"/>
      <c r="M175" s="280" t="n"/>
      <c r="N175" s="345" t="n"/>
      <c r="O175" s="280" t="n"/>
      <c r="P175" s="332">
        <f>IFERROR(VLOOKUP(TEXT(O175,"0"),CONDUCTORES!$A$3:$G$54,2,0),"")</f>
        <v/>
      </c>
      <c r="Q175" s="332">
        <f>IFERROR(VLOOKUP(TEXT(O175,"0"),CONDUCTORES!$A$3:$H$54,6,0),"")</f>
        <v/>
      </c>
      <c r="R175" s="280" t="n"/>
      <c r="S175" s="280" t="n"/>
      <c r="T175" s="280" t="n"/>
      <c r="U175" s="280" t="n"/>
      <c r="V175" s="280" t="n"/>
      <c r="W175" s="280" t="n"/>
      <c r="X175" s="280" t="n"/>
      <c r="Y175" s="280" t="n"/>
      <c r="Z175" s="350" t="n"/>
      <c r="AA175" s="198" t="n"/>
      <c r="AB175" s="198" t="n"/>
      <c r="AC175" s="198" t="n"/>
    </row>
    <row r="176" ht="15" customHeight="1" s="195">
      <c r="A176" s="280" t="n"/>
      <c r="B176" s="280" t="n"/>
      <c r="C176" s="280" t="n"/>
      <c r="D176" s="280" t="n"/>
      <c r="E176" s="280" t="n"/>
      <c r="F176" s="280" t="n"/>
      <c r="G176" s="280" t="n"/>
      <c r="H176" s="280" t="n"/>
      <c r="I176" s="332">
        <f>IFERROR(VLOOKUP(TEXT(H176,"0"),IPRESS!$A$3:$B$212,2,0),"")</f>
        <v/>
      </c>
      <c r="J176" s="280" t="n"/>
      <c r="K176" s="343" t="n"/>
      <c r="L176" s="280" t="n"/>
      <c r="M176" s="280" t="n"/>
      <c r="N176" s="345" t="n"/>
      <c r="O176" s="280" t="n"/>
      <c r="P176" s="332">
        <f>IFERROR(VLOOKUP(TEXT(O176,"0"),CONDUCTORES!$A$3:$G$54,2,0),"")</f>
        <v/>
      </c>
      <c r="Q176" s="332">
        <f>IFERROR(VLOOKUP(TEXT(O176,"0"),CONDUCTORES!$A$3:$H$54,6,0),"")</f>
        <v/>
      </c>
      <c r="R176" s="280" t="n"/>
      <c r="S176" s="280" t="n"/>
      <c r="T176" s="280" t="n"/>
      <c r="U176" s="280" t="n"/>
      <c r="V176" s="280" t="n"/>
      <c r="W176" s="280" t="n"/>
      <c r="X176" s="280" t="n"/>
      <c r="Y176" s="280" t="n"/>
      <c r="Z176" s="350" t="n"/>
      <c r="AA176" s="198" t="n"/>
      <c r="AB176" s="198" t="n"/>
      <c r="AC176" s="198" t="n"/>
    </row>
    <row r="177" ht="15" customHeight="1" s="195">
      <c r="A177" s="280" t="n"/>
      <c r="B177" s="280" t="n"/>
      <c r="C177" s="280" t="n"/>
      <c r="D177" s="280" t="n"/>
      <c r="E177" s="280" t="n"/>
      <c r="F177" s="280" t="n"/>
      <c r="G177" s="280" t="n"/>
      <c r="H177" s="280" t="n"/>
      <c r="I177" s="332">
        <f>IFERROR(VLOOKUP(TEXT(H177,"0"),IPRESS!$A$3:$B$212,2,0),"")</f>
        <v/>
      </c>
      <c r="J177" s="280" t="n"/>
      <c r="K177" s="343" t="n"/>
      <c r="L177" s="280" t="n"/>
      <c r="M177" s="280" t="n"/>
      <c r="N177" s="345" t="n"/>
      <c r="O177" s="280" t="n"/>
      <c r="P177" s="332">
        <f>IFERROR(VLOOKUP(TEXT(O177,"0"),CONDUCTORES!$A$3:$G$54,2,0),"")</f>
        <v/>
      </c>
      <c r="Q177" s="332">
        <f>IFERROR(VLOOKUP(TEXT(O177,"0"),CONDUCTORES!$A$3:$H$54,6,0),"")</f>
        <v/>
      </c>
      <c r="R177" s="280" t="n"/>
      <c r="S177" s="280" t="n"/>
      <c r="T177" s="280" t="n"/>
      <c r="U177" s="280" t="n"/>
      <c r="V177" s="280" t="n"/>
      <c r="W177" s="280" t="n"/>
      <c r="X177" s="280" t="n"/>
      <c r="Y177" s="280" t="n"/>
      <c r="Z177" s="350" t="n"/>
      <c r="AA177" s="198" t="n"/>
      <c r="AB177" s="198" t="n"/>
      <c r="AC177" s="198" t="n"/>
    </row>
    <row r="178" ht="15" customHeight="1" s="195">
      <c r="A178" s="280" t="n"/>
      <c r="B178" s="280" t="n"/>
      <c r="C178" s="280" t="n"/>
      <c r="D178" s="280" t="n"/>
      <c r="E178" s="280" t="n"/>
      <c r="F178" s="280" t="n"/>
      <c r="G178" s="280" t="n"/>
      <c r="H178" s="280" t="n"/>
      <c r="I178" s="332">
        <f>IFERROR(VLOOKUP(TEXT(H178,"0"),IPRESS!$A$3:$B$212,2,0),"")</f>
        <v/>
      </c>
      <c r="J178" s="280" t="n"/>
      <c r="K178" s="343" t="n"/>
      <c r="L178" s="280" t="n"/>
      <c r="M178" s="280" t="n"/>
      <c r="N178" s="345" t="n"/>
      <c r="O178" s="280" t="n"/>
      <c r="P178" s="332">
        <f>IFERROR(VLOOKUP(TEXT(O178,"0"),CONDUCTORES!$A$3:$G$54,2,0),"")</f>
        <v/>
      </c>
      <c r="Q178" s="332">
        <f>IFERROR(VLOOKUP(TEXT(O178,"0"),CONDUCTORES!$A$3:$H$54,6,0),"")</f>
        <v/>
      </c>
      <c r="R178" s="280" t="n"/>
      <c r="S178" s="280" t="n"/>
      <c r="T178" s="280" t="n"/>
      <c r="U178" s="280" t="n"/>
      <c r="V178" s="280" t="n"/>
      <c r="W178" s="280" t="n"/>
      <c r="X178" s="280" t="n"/>
      <c r="Y178" s="280" t="n"/>
      <c r="Z178" s="350" t="n"/>
      <c r="AA178" s="198" t="n"/>
      <c r="AB178" s="198" t="n"/>
      <c r="AC178" s="198" t="n"/>
    </row>
    <row r="179" ht="15" customHeight="1" s="195">
      <c r="A179" s="280" t="n"/>
      <c r="B179" s="280" t="n"/>
      <c r="C179" s="280" t="n"/>
      <c r="D179" s="280" t="n"/>
      <c r="E179" s="280" t="n"/>
      <c r="F179" s="280" t="n"/>
      <c r="G179" s="280" t="n"/>
      <c r="H179" s="280" t="n"/>
      <c r="I179" s="332">
        <f>IFERROR(VLOOKUP(TEXT(H179,"0"),IPRESS!$A$3:$B$212,2,0),"")</f>
        <v/>
      </c>
      <c r="J179" s="280" t="n"/>
      <c r="K179" s="343" t="n"/>
      <c r="L179" s="280" t="n"/>
      <c r="M179" s="280" t="n"/>
      <c r="N179" s="345" t="n"/>
      <c r="O179" s="280" t="n"/>
      <c r="P179" s="332">
        <f>IFERROR(VLOOKUP(TEXT(O179,"0"),CONDUCTORES!$A$3:$G$54,2,0),"")</f>
        <v/>
      </c>
      <c r="Q179" s="332">
        <f>IFERROR(VLOOKUP(TEXT(O179,"0"),CONDUCTORES!$A$3:$H$54,6,0),"")</f>
        <v/>
      </c>
      <c r="R179" s="280" t="n"/>
      <c r="S179" s="280" t="n"/>
      <c r="T179" s="280" t="n"/>
      <c r="U179" s="280" t="n"/>
      <c r="V179" s="280" t="n"/>
      <c r="W179" s="280" t="n"/>
      <c r="X179" s="280" t="n"/>
      <c r="Y179" s="280" t="n"/>
      <c r="Z179" s="350" t="n"/>
      <c r="AA179" s="198" t="n"/>
      <c r="AB179" s="198" t="n"/>
      <c r="AC179" s="198" t="n"/>
    </row>
    <row r="180" ht="15" customHeight="1" s="195">
      <c r="A180" s="280" t="n"/>
      <c r="B180" s="280" t="n"/>
      <c r="C180" s="280" t="n"/>
      <c r="D180" s="280" t="n"/>
      <c r="E180" s="280" t="n"/>
      <c r="F180" s="280" t="n"/>
      <c r="G180" s="280" t="n"/>
      <c r="H180" s="280" t="n"/>
      <c r="I180" s="332">
        <f>IFERROR(VLOOKUP(TEXT(H180,"0"),IPRESS!$A$3:$B$212,2,0),"")</f>
        <v/>
      </c>
      <c r="J180" s="280" t="n"/>
      <c r="K180" s="343" t="n"/>
      <c r="L180" s="280" t="n"/>
      <c r="M180" s="280" t="n"/>
      <c r="N180" s="345" t="n"/>
      <c r="O180" s="280" t="n"/>
      <c r="P180" s="332">
        <f>IFERROR(VLOOKUP(TEXT(O180,"0"),CONDUCTORES!$A$3:$G$54,2,0),"")</f>
        <v/>
      </c>
      <c r="Q180" s="332">
        <f>IFERROR(VLOOKUP(TEXT(O180,"0"),CONDUCTORES!$A$3:$H$54,6,0),"")</f>
        <v/>
      </c>
      <c r="R180" s="280" t="n"/>
      <c r="S180" s="280" t="n"/>
      <c r="T180" s="280" t="n"/>
      <c r="U180" s="280" t="n"/>
      <c r="V180" s="280" t="n"/>
      <c r="W180" s="280" t="n"/>
      <c r="X180" s="280" t="n"/>
      <c r="Y180" s="280" t="n"/>
      <c r="Z180" s="350" t="n"/>
      <c r="AA180" s="198" t="n"/>
      <c r="AB180" s="198" t="n"/>
      <c r="AC180" s="198" t="n"/>
    </row>
    <row r="181" ht="15" customHeight="1" s="195">
      <c r="A181" s="280" t="n"/>
      <c r="B181" s="280" t="n"/>
      <c r="C181" s="280" t="n"/>
      <c r="D181" s="280" t="n"/>
      <c r="E181" s="280" t="n"/>
      <c r="F181" s="280" t="n"/>
      <c r="G181" s="280" t="n"/>
      <c r="H181" s="280" t="n"/>
      <c r="I181" s="332">
        <f>IFERROR(VLOOKUP(TEXT(H181,"0"),IPRESS!$A$3:$B$212,2,0),"")</f>
        <v/>
      </c>
      <c r="J181" s="280" t="n"/>
      <c r="K181" s="343" t="n"/>
      <c r="L181" s="280" t="n"/>
      <c r="M181" s="280" t="n"/>
      <c r="N181" s="345" t="n"/>
      <c r="O181" s="280" t="n"/>
      <c r="P181" s="332">
        <f>IFERROR(VLOOKUP(TEXT(O181,"0"),CONDUCTORES!$A$3:$G$54,2,0),"")</f>
        <v/>
      </c>
      <c r="Q181" s="332">
        <f>IFERROR(VLOOKUP(TEXT(O181,"0"),CONDUCTORES!$A$3:$H$54,6,0),"")</f>
        <v/>
      </c>
      <c r="R181" s="280" t="n"/>
      <c r="S181" s="280" t="n"/>
      <c r="T181" s="280" t="n"/>
      <c r="U181" s="280" t="n"/>
      <c r="V181" s="280" t="n"/>
      <c r="W181" s="280" t="n"/>
      <c r="X181" s="280" t="n"/>
      <c r="Y181" s="280" t="n"/>
      <c r="Z181" s="350" t="n"/>
      <c r="AA181" s="198" t="n"/>
      <c r="AB181" s="198" t="n"/>
      <c r="AC181" s="198" t="n"/>
    </row>
    <row r="182" ht="15" customHeight="1" s="195">
      <c r="A182" s="280" t="n"/>
      <c r="B182" s="280" t="n"/>
      <c r="C182" s="280" t="n"/>
      <c r="D182" s="280" t="n"/>
      <c r="E182" s="280" t="n"/>
      <c r="F182" s="280" t="n"/>
      <c r="G182" s="280" t="n"/>
      <c r="H182" s="280" t="n"/>
      <c r="I182" s="332">
        <f>IFERROR(VLOOKUP(TEXT(H182,"0"),IPRESS!$A$3:$B$212,2,0),"")</f>
        <v/>
      </c>
      <c r="J182" s="280" t="n"/>
      <c r="K182" s="343" t="n"/>
      <c r="L182" s="280" t="n"/>
      <c r="M182" s="280" t="n"/>
      <c r="N182" s="345" t="n"/>
      <c r="O182" s="280" t="n"/>
      <c r="P182" s="332">
        <f>IFERROR(VLOOKUP(TEXT(O182,"0"),CONDUCTORES!$A$3:$G$54,2,0),"")</f>
        <v/>
      </c>
      <c r="Q182" s="332">
        <f>IFERROR(VLOOKUP(TEXT(O182,"0"),CONDUCTORES!$A$3:$H$54,6,0),"")</f>
        <v/>
      </c>
      <c r="R182" s="280" t="n"/>
      <c r="S182" s="280" t="n"/>
      <c r="T182" s="280" t="n"/>
      <c r="U182" s="280" t="n"/>
      <c r="V182" s="280" t="n"/>
      <c r="W182" s="280" t="n"/>
      <c r="X182" s="280" t="n"/>
      <c r="Y182" s="280" t="n"/>
      <c r="Z182" s="350" t="n"/>
      <c r="AA182" s="198" t="n"/>
      <c r="AB182" s="198" t="n"/>
      <c r="AC182" s="198" t="n"/>
    </row>
    <row r="183" ht="15" customHeight="1" s="195">
      <c r="A183" s="280" t="n"/>
      <c r="B183" s="280" t="n"/>
      <c r="C183" s="280" t="n"/>
      <c r="D183" s="280" t="n"/>
      <c r="E183" s="280" t="n"/>
      <c r="F183" s="280" t="n"/>
      <c r="G183" s="280" t="n"/>
      <c r="H183" s="280" t="n"/>
      <c r="I183" s="332">
        <f>IFERROR(VLOOKUP(TEXT(H183,"0"),IPRESS!$A$3:$B$212,2,0),"")</f>
        <v/>
      </c>
      <c r="J183" s="280" t="n"/>
      <c r="K183" s="343" t="n"/>
      <c r="L183" s="280" t="n"/>
      <c r="M183" s="280" t="n"/>
      <c r="N183" s="345" t="n"/>
      <c r="O183" s="280" t="n"/>
      <c r="P183" s="332">
        <f>IFERROR(VLOOKUP(TEXT(O183,"0"),CONDUCTORES!$A$3:$G$54,2,0),"")</f>
        <v/>
      </c>
      <c r="Q183" s="332">
        <f>IFERROR(VLOOKUP(TEXT(O183,"0"),CONDUCTORES!$A$3:$H$54,6,0),"")</f>
        <v/>
      </c>
      <c r="R183" s="280" t="n"/>
      <c r="S183" s="280" t="n"/>
      <c r="T183" s="280" t="n"/>
      <c r="U183" s="280" t="n"/>
      <c r="V183" s="280" t="n"/>
      <c r="W183" s="280" t="n"/>
      <c r="X183" s="280" t="n"/>
      <c r="Y183" s="280" t="n"/>
      <c r="Z183" s="350" t="n"/>
      <c r="AA183" s="198" t="n"/>
      <c r="AB183" s="198" t="n"/>
      <c r="AC183" s="198" t="n"/>
    </row>
    <row r="184" ht="15" customHeight="1" s="195">
      <c r="A184" s="280" t="n"/>
      <c r="B184" s="280" t="n"/>
      <c r="C184" s="280" t="n"/>
      <c r="D184" s="280" t="n"/>
      <c r="E184" s="280" t="n"/>
      <c r="F184" s="280" t="n"/>
      <c r="G184" s="280" t="n"/>
      <c r="H184" s="280" t="n"/>
      <c r="I184" s="332">
        <f>IFERROR(VLOOKUP(TEXT(H184,"0"),IPRESS!$A$3:$B$212,2,0),"")</f>
        <v/>
      </c>
      <c r="J184" s="280" t="n"/>
      <c r="K184" s="343" t="n"/>
      <c r="L184" s="280" t="n"/>
      <c r="M184" s="280" t="n"/>
      <c r="N184" s="345" t="n"/>
      <c r="O184" s="280" t="n"/>
      <c r="P184" s="332">
        <f>IFERROR(VLOOKUP(TEXT(O184,"0"),CONDUCTORES!$A$3:$G$54,2,0),"")</f>
        <v/>
      </c>
      <c r="Q184" s="332">
        <f>IFERROR(VLOOKUP(TEXT(O184,"0"),CONDUCTORES!$A$3:$H$54,6,0),"")</f>
        <v/>
      </c>
      <c r="R184" s="280" t="n"/>
      <c r="S184" s="280" t="n"/>
      <c r="T184" s="280" t="n"/>
      <c r="U184" s="280" t="n"/>
      <c r="V184" s="280" t="n"/>
      <c r="W184" s="280" t="n"/>
      <c r="X184" s="280" t="n"/>
      <c r="Y184" s="280" t="n"/>
      <c r="Z184" s="350" t="n"/>
      <c r="AA184" s="198" t="n"/>
      <c r="AB184" s="198" t="n"/>
      <c r="AC184" s="198" t="n"/>
    </row>
    <row r="185" ht="15" customHeight="1" s="195">
      <c r="A185" s="280" t="n"/>
      <c r="B185" s="280" t="n"/>
      <c r="C185" s="280" t="n"/>
      <c r="D185" s="280" t="n"/>
      <c r="E185" s="280" t="n"/>
      <c r="F185" s="280" t="n"/>
      <c r="G185" s="280" t="n"/>
      <c r="H185" s="280" t="n"/>
      <c r="I185" s="332">
        <f>IFERROR(VLOOKUP(TEXT(H185,"0"),IPRESS!$A$3:$B$212,2,0),"")</f>
        <v/>
      </c>
      <c r="J185" s="280" t="n"/>
      <c r="K185" s="343" t="n"/>
      <c r="L185" s="280" t="n"/>
      <c r="M185" s="280" t="n"/>
      <c r="N185" s="345" t="n"/>
      <c r="O185" s="280" t="n"/>
      <c r="P185" s="332">
        <f>IFERROR(VLOOKUP(TEXT(O185,"0"),CONDUCTORES!$A$3:$G$54,2,0),"")</f>
        <v/>
      </c>
      <c r="Q185" s="332">
        <f>IFERROR(VLOOKUP(TEXT(O185,"0"),CONDUCTORES!$A$3:$H$54,6,0),"")</f>
        <v/>
      </c>
      <c r="R185" s="280" t="n"/>
      <c r="S185" s="280" t="n"/>
      <c r="T185" s="280" t="n"/>
      <c r="U185" s="280" t="n"/>
      <c r="V185" s="280" t="n"/>
      <c r="W185" s="280" t="n"/>
      <c r="X185" s="280" t="n"/>
      <c r="Y185" s="280" t="n"/>
      <c r="Z185" s="350" t="n"/>
      <c r="AA185" s="198" t="n"/>
      <c r="AB185" s="198" t="n"/>
      <c r="AC185" s="198" t="n"/>
    </row>
    <row r="186" ht="15" customHeight="1" s="195">
      <c r="A186" s="280" t="n"/>
      <c r="B186" s="280" t="n"/>
      <c r="C186" s="280" t="n"/>
      <c r="D186" s="280" t="n"/>
      <c r="E186" s="280" t="n"/>
      <c r="F186" s="280" t="n"/>
      <c r="G186" s="280" t="n"/>
      <c r="H186" s="280" t="n"/>
      <c r="I186" s="332">
        <f>IFERROR(VLOOKUP(TEXT(H186,"0"),IPRESS!$A$3:$B$212,2,0),"")</f>
        <v/>
      </c>
      <c r="J186" s="280" t="n"/>
      <c r="K186" s="343" t="n"/>
      <c r="L186" s="280" t="n"/>
      <c r="M186" s="280" t="n"/>
      <c r="N186" s="345" t="n"/>
      <c r="O186" s="280" t="n"/>
      <c r="P186" s="332">
        <f>IFERROR(VLOOKUP(TEXT(O186,"0"),CONDUCTORES!$A$3:$G$54,2,0),"")</f>
        <v/>
      </c>
      <c r="Q186" s="332">
        <f>IFERROR(VLOOKUP(TEXT(O186,"0"),CONDUCTORES!$A$3:$H$54,6,0),"")</f>
        <v/>
      </c>
      <c r="R186" s="280" t="n"/>
      <c r="S186" s="280" t="n"/>
      <c r="T186" s="280" t="n"/>
      <c r="U186" s="280" t="n"/>
      <c r="V186" s="280" t="n"/>
      <c r="W186" s="280" t="n"/>
      <c r="X186" s="280" t="n"/>
      <c r="Y186" s="280" t="n"/>
      <c r="Z186" s="350" t="n"/>
      <c r="AA186" s="198" t="n"/>
      <c r="AB186" s="198" t="n"/>
      <c r="AC186" s="198" t="n"/>
    </row>
    <row r="187" ht="15" customHeight="1" s="195">
      <c r="A187" s="280" t="n"/>
      <c r="B187" s="280" t="n"/>
      <c r="C187" s="280" t="n"/>
      <c r="D187" s="280" t="n"/>
      <c r="E187" s="280" t="n"/>
      <c r="F187" s="280" t="n"/>
      <c r="G187" s="280" t="n"/>
      <c r="H187" s="280" t="n"/>
      <c r="I187" s="332">
        <f>IFERROR(VLOOKUP(TEXT(H187,"0"),IPRESS!$A$3:$B$212,2,0),"")</f>
        <v/>
      </c>
      <c r="J187" s="280" t="n"/>
      <c r="K187" s="343" t="n"/>
      <c r="L187" s="280" t="n"/>
      <c r="M187" s="280" t="n"/>
      <c r="N187" s="345" t="n"/>
      <c r="O187" s="280" t="n"/>
      <c r="P187" s="332">
        <f>IFERROR(VLOOKUP(TEXT(O187,"0"),CONDUCTORES!$A$3:$G$54,2,0),"")</f>
        <v/>
      </c>
      <c r="Q187" s="332">
        <f>IFERROR(VLOOKUP(TEXT(O187,"0"),CONDUCTORES!$A$3:$H$54,6,0),"")</f>
        <v/>
      </c>
      <c r="R187" s="280" t="n"/>
      <c r="S187" s="280" t="n"/>
      <c r="T187" s="280" t="n"/>
      <c r="U187" s="280" t="n"/>
      <c r="V187" s="280" t="n"/>
      <c r="W187" s="280" t="n"/>
      <c r="X187" s="280" t="n"/>
      <c r="Y187" s="280" t="n"/>
      <c r="Z187" s="350" t="n"/>
      <c r="AA187" s="198" t="n"/>
      <c r="AB187" s="198" t="n"/>
      <c r="AC187" s="198" t="n"/>
    </row>
    <row r="188" ht="15" customHeight="1" s="195">
      <c r="A188" s="280" t="n"/>
      <c r="B188" s="280" t="n"/>
      <c r="C188" s="280" t="n"/>
      <c r="D188" s="280" t="n"/>
      <c r="E188" s="280" t="n"/>
      <c r="F188" s="280" t="n"/>
      <c r="G188" s="280" t="n"/>
      <c r="H188" s="280" t="n"/>
      <c r="I188" s="332">
        <f>IFERROR(VLOOKUP(TEXT(H188,"0"),IPRESS!$A$3:$B$212,2,0),"")</f>
        <v/>
      </c>
      <c r="J188" s="280" t="n"/>
      <c r="K188" s="343" t="n"/>
      <c r="L188" s="280" t="n"/>
      <c r="M188" s="280" t="n"/>
      <c r="N188" s="345" t="n"/>
      <c r="O188" s="280" t="n"/>
      <c r="P188" s="332">
        <f>IFERROR(VLOOKUP(TEXT(O188,"0"),CONDUCTORES!$A$3:$G$54,2,0),"")</f>
        <v/>
      </c>
      <c r="Q188" s="332">
        <f>IFERROR(VLOOKUP(TEXT(O188,"0"),CONDUCTORES!$A$3:$H$54,6,0),"")</f>
        <v/>
      </c>
      <c r="R188" s="280" t="n"/>
      <c r="S188" s="280" t="n"/>
      <c r="T188" s="280" t="n"/>
      <c r="U188" s="280" t="n"/>
      <c r="V188" s="280" t="n"/>
      <c r="W188" s="280" t="n"/>
      <c r="X188" s="280" t="n"/>
      <c r="Y188" s="280" t="n"/>
      <c r="Z188" s="350" t="n"/>
      <c r="AA188" s="198" t="n"/>
      <c r="AB188" s="198" t="n"/>
      <c r="AC188" s="198" t="n"/>
    </row>
    <row r="189" ht="15" customHeight="1" s="195">
      <c r="A189" s="280" t="n"/>
      <c r="B189" s="280" t="n"/>
      <c r="C189" s="280" t="n"/>
      <c r="D189" s="280" t="n"/>
      <c r="E189" s="280" t="n"/>
      <c r="F189" s="280" t="n"/>
      <c r="G189" s="280" t="n"/>
      <c r="H189" s="280" t="n"/>
      <c r="I189" s="332">
        <f>IFERROR(VLOOKUP(TEXT(H189,"0"),IPRESS!$A$3:$B$212,2,0),"")</f>
        <v/>
      </c>
      <c r="J189" s="280" t="n"/>
      <c r="K189" s="343" t="n"/>
      <c r="L189" s="280" t="n"/>
      <c r="M189" s="280" t="n"/>
      <c r="N189" s="345" t="n"/>
      <c r="O189" s="280" t="n"/>
      <c r="P189" s="332">
        <f>IFERROR(VLOOKUP(TEXT(O189,"0"),CONDUCTORES!$A$3:$G$54,2,0),"")</f>
        <v/>
      </c>
      <c r="Q189" s="332">
        <f>IFERROR(VLOOKUP(TEXT(O189,"0"),CONDUCTORES!$A$3:$H$54,6,0),"")</f>
        <v/>
      </c>
      <c r="R189" s="280" t="n"/>
      <c r="S189" s="280" t="n"/>
      <c r="T189" s="280" t="n"/>
      <c r="U189" s="280" t="n"/>
      <c r="V189" s="280" t="n"/>
      <c r="W189" s="280" t="n"/>
      <c r="X189" s="280" t="n"/>
      <c r="Y189" s="280" t="n"/>
      <c r="Z189" s="350" t="n"/>
      <c r="AA189" s="198" t="n"/>
      <c r="AB189" s="198" t="n"/>
      <c r="AC189" s="198" t="n"/>
    </row>
    <row r="190" ht="15" customHeight="1" s="195">
      <c r="A190" s="280" t="n"/>
      <c r="B190" s="280" t="n"/>
      <c r="C190" s="280" t="n"/>
      <c r="D190" s="280" t="n"/>
      <c r="E190" s="280" t="n"/>
      <c r="F190" s="280" t="n"/>
      <c r="G190" s="280" t="n"/>
      <c r="H190" s="280" t="n"/>
      <c r="I190" s="332">
        <f>IFERROR(VLOOKUP(TEXT(H190,"0"),IPRESS!$A$3:$B$212,2,0),"")</f>
        <v/>
      </c>
      <c r="J190" s="280" t="n"/>
      <c r="K190" s="343" t="n"/>
      <c r="L190" s="280" t="n"/>
      <c r="M190" s="280" t="n"/>
      <c r="N190" s="345" t="n"/>
      <c r="O190" s="280" t="n"/>
      <c r="P190" s="332">
        <f>IFERROR(VLOOKUP(TEXT(O190,"0"),CONDUCTORES!$A$3:$G$54,2,0),"")</f>
        <v/>
      </c>
      <c r="Q190" s="332">
        <f>IFERROR(VLOOKUP(TEXT(O190,"0"),CONDUCTORES!$A$3:$H$54,6,0),"")</f>
        <v/>
      </c>
      <c r="R190" s="280" t="n"/>
      <c r="S190" s="280" t="n"/>
      <c r="T190" s="280" t="n"/>
      <c r="U190" s="280" t="n"/>
      <c r="V190" s="280" t="n"/>
      <c r="W190" s="280" t="n"/>
      <c r="X190" s="280" t="n"/>
      <c r="Y190" s="280" t="n"/>
      <c r="Z190" s="350" t="n"/>
      <c r="AA190" s="198" t="n"/>
      <c r="AB190" s="198" t="n"/>
      <c r="AC190" s="198" t="n"/>
    </row>
    <row r="191" ht="15" customHeight="1" s="195">
      <c r="A191" s="280" t="n"/>
      <c r="B191" s="280" t="n"/>
      <c r="C191" s="280" t="n"/>
      <c r="D191" s="280" t="n"/>
      <c r="E191" s="280" t="n"/>
      <c r="F191" s="280" t="n"/>
      <c r="G191" s="280" t="n"/>
      <c r="H191" s="280" t="n"/>
      <c r="I191" s="332">
        <f>IFERROR(VLOOKUP(TEXT(H191,"0"),IPRESS!$A$3:$B$212,2,0),"")</f>
        <v/>
      </c>
      <c r="J191" s="280" t="n"/>
      <c r="K191" s="343" t="n"/>
      <c r="L191" s="280" t="n"/>
      <c r="M191" s="280" t="n"/>
      <c r="N191" s="345" t="n"/>
      <c r="O191" s="280" t="n"/>
      <c r="P191" s="332">
        <f>IFERROR(VLOOKUP(TEXT(O191,"0"),CONDUCTORES!$A$3:$G$54,2,0),"")</f>
        <v/>
      </c>
      <c r="Q191" s="332">
        <f>IFERROR(VLOOKUP(TEXT(O191,"0"),CONDUCTORES!$A$3:$H$54,6,0),"")</f>
        <v/>
      </c>
      <c r="R191" s="280" t="n"/>
      <c r="S191" s="280" t="n"/>
      <c r="T191" s="280" t="n"/>
      <c r="U191" s="280" t="n"/>
      <c r="V191" s="280" t="n"/>
      <c r="W191" s="280" t="n"/>
      <c r="X191" s="280" t="n"/>
      <c r="Y191" s="280" t="n"/>
      <c r="Z191" s="350" t="n"/>
      <c r="AA191" s="198" t="n"/>
      <c r="AB191" s="198" t="n"/>
      <c r="AC191" s="198" t="n"/>
    </row>
    <row r="192" ht="15" customHeight="1" s="195">
      <c r="A192" s="280" t="n"/>
      <c r="B192" s="280" t="n"/>
      <c r="C192" s="280" t="n"/>
      <c r="D192" s="280" t="n"/>
      <c r="E192" s="280" t="n"/>
      <c r="F192" s="280" t="n"/>
      <c r="G192" s="280" t="n"/>
      <c r="H192" s="280" t="n"/>
      <c r="I192" s="332">
        <f>IFERROR(VLOOKUP(TEXT(H192,"0"),IPRESS!$A$3:$B$212,2,0),"")</f>
        <v/>
      </c>
      <c r="J192" s="280" t="n"/>
      <c r="K192" s="343" t="n"/>
      <c r="L192" s="280" t="n"/>
      <c r="M192" s="280" t="n"/>
      <c r="N192" s="345" t="n"/>
      <c r="O192" s="280" t="n"/>
      <c r="P192" s="332">
        <f>IFERROR(VLOOKUP(TEXT(O192,"0"),CONDUCTORES!$A$3:$G$54,2,0),"")</f>
        <v/>
      </c>
      <c r="Q192" s="332">
        <f>IFERROR(VLOOKUP(TEXT(O192,"0"),CONDUCTORES!$A$3:$H$54,6,0),"")</f>
        <v/>
      </c>
      <c r="R192" s="280" t="n"/>
      <c r="S192" s="280" t="n"/>
      <c r="T192" s="280" t="n"/>
      <c r="U192" s="280" t="n"/>
      <c r="V192" s="280" t="n"/>
      <c r="W192" s="280" t="n"/>
      <c r="X192" s="280" t="n"/>
      <c r="Y192" s="280" t="n"/>
      <c r="Z192" s="350" t="n"/>
      <c r="AA192" s="198" t="n"/>
      <c r="AB192" s="198" t="n"/>
      <c r="AC192" s="198" t="n"/>
    </row>
    <row r="193" ht="15" customHeight="1" s="195">
      <c r="A193" s="280" t="n"/>
      <c r="B193" s="280" t="n"/>
      <c r="C193" s="280" t="n"/>
      <c r="D193" s="280" t="n"/>
      <c r="E193" s="280" t="n"/>
      <c r="F193" s="280" t="n"/>
      <c r="G193" s="280" t="n"/>
      <c r="H193" s="280" t="n"/>
      <c r="I193" s="332">
        <f>IFERROR(VLOOKUP(TEXT(H193,"0"),IPRESS!$A$3:$B$212,2,0),"")</f>
        <v/>
      </c>
      <c r="J193" s="280" t="n"/>
      <c r="K193" s="343" t="n"/>
      <c r="L193" s="280" t="n"/>
      <c r="M193" s="280" t="n"/>
      <c r="N193" s="345" t="n"/>
      <c r="O193" s="280" t="n"/>
      <c r="P193" s="332">
        <f>IFERROR(VLOOKUP(TEXT(O193,"0"),CONDUCTORES!$A$3:$G$54,2,0),"")</f>
        <v/>
      </c>
      <c r="Q193" s="332">
        <f>IFERROR(VLOOKUP(TEXT(O193,"0"),CONDUCTORES!$A$3:$H$54,6,0),"")</f>
        <v/>
      </c>
      <c r="R193" s="280" t="n"/>
      <c r="S193" s="280" t="n"/>
      <c r="T193" s="280" t="n"/>
      <c r="U193" s="280" t="n"/>
      <c r="V193" s="280" t="n"/>
      <c r="W193" s="280" t="n"/>
      <c r="X193" s="280" t="n"/>
      <c r="Y193" s="280" t="n"/>
      <c r="Z193" s="350" t="n"/>
      <c r="AA193" s="198" t="n"/>
      <c r="AB193" s="198" t="n"/>
      <c r="AC193" s="198" t="n"/>
    </row>
    <row r="194" ht="15" customHeight="1" s="195">
      <c r="A194" s="280" t="n"/>
      <c r="B194" s="280" t="n"/>
      <c r="C194" s="280" t="n"/>
      <c r="D194" s="280" t="n"/>
      <c r="E194" s="280" t="n"/>
      <c r="F194" s="280" t="n"/>
      <c r="G194" s="280" t="n"/>
      <c r="H194" s="280" t="n"/>
      <c r="I194" s="332">
        <f>IFERROR(VLOOKUP(TEXT(H194,"0"),IPRESS!$A$3:$B$212,2,0),"")</f>
        <v/>
      </c>
      <c r="J194" s="280" t="n"/>
      <c r="K194" s="343" t="n"/>
      <c r="L194" s="280" t="n"/>
      <c r="M194" s="280" t="n"/>
      <c r="N194" s="345" t="n"/>
      <c r="O194" s="280" t="n"/>
      <c r="P194" s="332">
        <f>IFERROR(VLOOKUP(TEXT(O194,"0"),CONDUCTORES!$A$3:$G$54,2,0),"")</f>
        <v/>
      </c>
      <c r="Q194" s="332">
        <f>IFERROR(VLOOKUP(TEXT(O194,"0"),CONDUCTORES!$A$3:$H$54,6,0),"")</f>
        <v/>
      </c>
      <c r="R194" s="280" t="n"/>
      <c r="S194" s="280" t="n"/>
      <c r="T194" s="280" t="n"/>
      <c r="U194" s="280" t="n"/>
      <c r="V194" s="280" t="n"/>
      <c r="W194" s="280" t="n"/>
      <c r="X194" s="280" t="n"/>
      <c r="Y194" s="280" t="n"/>
      <c r="Z194" s="350" t="n"/>
      <c r="AA194" s="198" t="n"/>
      <c r="AB194" s="198" t="n"/>
      <c r="AC194" s="198" t="n"/>
    </row>
    <row r="195" ht="15" customHeight="1" s="195">
      <c r="A195" s="280" t="n"/>
      <c r="B195" s="280" t="n"/>
      <c r="C195" s="280" t="n"/>
      <c r="D195" s="280" t="n"/>
      <c r="E195" s="280" t="n"/>
      <c r="F195" s="280" t="n"/>
      <c r="G195" s="280" t="n"/>
      <c r="H195" s="280" t="n"/>
      <c r="I195" s="332">
        <f>IFERROR(VLOOKUP(TEXT(H195,"0"),IPRESS!$A$3:$B$212,2,0),"")</f>
        <v/>
      </c>
      <c r="J195" s="280" t="n"/>
      <c r="K195" s="343" t="n"/>
      <c r="L195" s="280" t="n"/>
      <c r="M195" s="280" t="n"/>
      <c r="N195" s="345" t="n"/>
      <c r="O195" s="280" t="n"/>
      <c r="P195" s="332">
        <f>IFERROR(VLOOKUP(TEXT(O195,"0"),CONDUCTORES!$A$3:$G$54,2,0),"")</f>
        <v/>
      </c>
      <c r="Q195" s="332">
        <f>IFERROR(VLOOKUP(TEXT(O195,"0"),CONDUCTORES!$A$3:$H$54,6,0),"")</f>
        <v/>
      </c>
      <c r="R195" s="280" t="n"/>
      <c r="S195" s="280" t="n"/>
      <c r="T195" s="280" t="n"/>
      <c r="U195" s="280" t="n"/>
      <c r="V195" s="280" t="n"/>
      <c r="W195" s="280" t="n"/>
      <c r="X195" s="280" t="n"/>
      <c r="Y195" s="280" t="n"/>
      <c r="Z195" s="350" t="n"/>
      <c r="AA195" s="198" t="n"/>
      <c r="AB195" s="198" t="n"/>
      <c r="AC195" s="198" t="n"/>
    </row>
    <row r="196" ht="15" customHeight="1" s="195">
      <c r="A196" s="280" t="n"/>
      <c r="B196" s="280" t="n"/>
      <c r="C196" s="280" t="n"/>
      <c r="D196" s="280" t="n"/>
      <c r="E196" s="280" t="n"/>
      <c r="F196" s="280" t="n"/>
      <c r="G196" s="280" t="n"/>
      <c r="H196" s="280" t="n"/>
      <c r="I196" s="332">
        <f>IFERROR(VLOOKUP(TEXT(H196,"0"),IPRESS!$A$3:$B$212,2,0),"")</f>
        <v/>
      </c>
      <c r="J196" s="280" t="n"/>
      <c r="K196" s="343" t="n"/>
      <c r="L196" s="280" t="n"/>
      <c r="M196" s="280" t="n"/>
      <c r="N196" s="345" t="n"/>
      <c r="O196" s="280" t="n"/>
      <c r="P196" s="332">
        <f>IFERROR(VLOOKUP(TEXT(O196,"0"),CONDUCTORES!$A$3:$G$54,2,0),"")</f>
        <v/>
      </c>
      <c r="Q196" s="332">
        <f>IFERROR(VLOOKUP(TEXT(O196,"0"),CONDUCTORES!$A$3:$H$54,6,0),"")</f>
        <v/>
      </c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350" t="n"/>
      <c r="AA196" s="198" t="n"/>
      <c r="AB196" s="198" t="n"/>
      <c r="AC196" s="198" t="n"/>
    </row>
    <row r="197" ht="15" customHeight="1" s="195">
      <c r="A197" s="280" t="n"/>
      <c r="B197" s="280" t="n"/>
      <c r="C197" s="280" t="n"/>
      <c r="D197" s="280" t="n"/>
      <c r="E197" s="280" t="n"/>
      <c r="F197" s="280" t="n"/>
      <c r="G197" s="280" t="n"/>
      <c r="H197" s="280" t="n"/>
      <c r="I197" s="332">
        <f>IFERROR(VLOOKUP(TEXT(H197,"0"),IPRESS!$A$3:$B$212,2,0),"")</f>
        <v/>
      </c>
      <c r="J197" s="280" t="n"/>
      <c r="K197" s="343" t="n"/>
      <c r="L197" s="280" t="n"/>
      <c r="M197" s="280" t="n"/>
      <c r="N197" s="345" t="n"/>
      <c r="O197" s="280" t="n"/>
      <c r="P197" s="332">
        <f>IFERROR(VLOOKUP(TEXT(O197,"0"),CONDUCTORES!$A$3:$G$54,2,0),"")</f>
        <v/>
      </c>
      <c r="Q197" s="332">
        <f>IFERROR(VLOOKUP(TEXT(O197,"0"),CONDUCTORES!$A$3:$H$54,6,0),"")</f>
        <v/>
      </c>
      <c r="R197" s="280" t="n"/>
      <c r="S197" s="280" t="n"/>
      <c r="T197" s="280" t="n"/>
      <c r="U197" s="280" t="n"/>
      <c r="V197" s="280" t="n"/>
      <c r="W197" s="280" t="n"/>
      <c r="X197" s="280" t="n"/>
      <c r="Y197" s="280" t="n"/>
      <c r="Z197" s="350" t="n"/>
      <c r="AA197" s="198" t="n"/>
      <c r="AB197" s="198" t="n"/>
      <c r="AC197" s="198" t="n"/>
    </row>
    <row r="198" ht="15" customHeight="1" s="195">
      <c r="A198" s="280" t="n"/>
      <c r="B198" s="280" t="n"/>
      <c r="C198" s="280" t="n"/>
      <c r="D198" s="280" t="n"/>
      <c r="E198" s="280" t="n"/>
      <c r="F198" s="280" t="n"/>
      <c r="G198" s="280" t="n"/>
      <c r="H198" s="280" t="n"/>
      <c r="I198" s="332">
        <f>IFERROR(VLOOKUP(TEXT(H198,"0"),IPRESS!$A$3:$B$212,2,0),"")</f>
        <v/>
      </c>
      <c r="J198" s="280" t="n"/>
      <c r="K198" s="343" t="n"/>
      <c r="L198" s="280" t="n"/>
      <c r="M198" s="280" t="n"/>
      <c r="N198" s="345" t="n"/>
      <c r="O198" s="280" t="n"/>
      <c r="P198" s="332">
        <f>IFERROR(VLOOKUP(TEXT(O198,"0"),CONDUCTORES!$A$3:$G$54,2,0),"")</f>
        <v/>
      </c>
      <c r="Q198" s="332">
        <f>IFERROR(VLOOKUP(TEXT(O198,"0"),CONDUCTORES!$A$3:$H$54,6,0),"")</f>
        <v/>
      </c>
      <c r="R198" s="280" t="n"/>
      <c r="S198" s="280" t="n"/>
      <c r="T198" s="280" t="n"/>
      <c r="U198" s="280" t="n"/>
      <c r="V198" s="280" t="n"/>
      <c r="W198" s="280" t="n"/>
      <c r="X198" s="280" t="n"/>
      <c r="Y198" s="280" t="n"/>
      <c r="Z198" s="350" t="n"/>
      <c r="AA198" s="198" t="n"/>
      <c r="AB198" s="198" t="n"/>
      <c r="AC198" s="198" t="n"/>
    </row>
    <row r="199" ht="15" customHeight="1" s="195">
      <c r="A199" s="280" t="n"/>
      <c r="B199" s="280" t="n"/>
      <c r="C199" s="280" t="n"/>
      <c r="D199" s="280" t="n"/>
      <c r="E199" s="280" t="n"/>
      <c r="F199" s="280" t="n"/>
      <c r="G199" s="280" t="n"/>
      <c r="H199" s="280" t="n"/>
      <c r="I199" s="332">
        <f>IFERROR(VLOOKUP(TEXT(H199,"0"),IPRESS!$A$3:$B$212,2,0),"")</f>
        <v/>
      </c>
      <c r="J199" s="280" t="n"/>
      <c r="K199" s="343" t="n"/>
      <c r="L199" s="280" t="n"/>
      <c r="M199" s="280" t="n"/>
      <c r="N199" s="345" t="n"/>
      <c r="O199" s="280" t="n"/>
      <c r="P199" s="332">
        <f>IFERROR(VLOOKUP(TEXT(O199,"0"),CONDUCTORES!$A$3:$G$54,2,0),"")</f>
        <v/>
      </c>
      <c r="Q199" s="332">
        <f>IFERROR(VLOOKUP(TEXT(O199,"0"),CONDUCTORES!$A$3:$H$54,6,0),"")</f>
        <v/>
      </c>
      <c r="R199" s="280" t="n"/>
      <c r="S199" s="280" t="n"/>
      <c r="T199" s="280" t="n"/>
      <c r="U199" s="280" t="n"/>
      <c r="V199" s="280" t="n"/>
      <c r="W199" s="280" t="n"/>
      <c r="X199" s="280" t="n"/>
      <c r="Y199" s="280" t="n"/>
      <c r="Z199" s="350" t="n"/>
      <c r="AA199" s="198" t="n"/>
      <c r="AB199" s="198" t="n"/>
      <c r="AC199" s="198" t="n"/>
    </row>
    <row r="200" ht="15" customHeight="1" s="195">
      <c r="A200" s="280" t="n"/>
      <c r="B200" s="280" t="n"/>
      <c r="C200" s="280" t="n"/>
      <c r="D200" s="280" t="n"/>
      <c r="E200" s="280" t="n"/>
      <c r="F200" s="280" t="n"/>
      <c r="G200" s="280" t="n"/>
      <c r="H200" s="280" t="n"/>
      <c r="I200" s="332">
        <f>IFERROR(VLOOKUP(TEXT(H200,"0"),IPRESS!$A$3:$B$212,2,0),"")</f>
        <v/>
      </c>
      <c r="J200" s="280" t="n"/>
      <c r="K200" s="343" t="n"/>
      <c r="L200" s="280" t="n"/>
      <c r="M200" s="280" t="n"/>
      <c r="N200" s="345" t="n"/>
      <c r="O200" s="280" t="n"/>
      <c r="P200" s="332">
        <f>IFERROR(VLOOKUP(TEXT(O200,"0"),CONDUCTORES!$A$3:$G$54,2,0),"")</f>
        <v/>
      </c>
      <c r="Q200" s="332">
        <f>IFERROR(VLOOKUP(TEXT(O200,"0"),CONDUCTORES!$A$3:$H$54,6,0),"")</f>
        <v/>
      </c>
      <c r="R200" s="280" t="n"/>
      <c r="S200" s="280" t="n"/>
      <c r="T200" s="280" t="n"/>
      <c r="U200" s="280" t="n"/>
      <c r="V200" s="280" t="n"/>
      <c r="W200" s="280" t="n"/>
      <c r="X200" s="280" t="n"/>
      <c r="Y200" s="280" t="n"/>
      <c r="Z200" s="350" t="n"/>
      <c r="AA200" s="198" t="n"/>
      <c r="AB200" s="198" t="n"/>
      <c r="AC200" s="198" t="n"/>
    </row>
    <row r="201" ht="15" customHeight="1" s="195">
      <c r="A201" s="280" t="n"/>
      <c r="B201" s="280" t="n"/>
      <c r="C201" s="280" t="n"/>
      <c r="D201" s="280" t="n"/>
      <c r="E201" s="280" t="n"/>
      <c r="F201" s="280" t="n"/>
      <c r="G201" s="280" t="n"/>
      <c r="H201" s="280" t="n"/>
      <c r="I201" s="332">
        <f>IFERROR(VLOOKUP(TEXT(H201,"0"),IPRESS!$A$3:$B$212,2,0),"")</f>
        <v/>
      </c>
      <c r="J201" s="280" t="n"/>
      <c r="K201" s="343" t="n"/>
      <c r="L201" s="280" t="n"/>
      <c r="M201" s="280" t="n"/>
      <c r="N201" s="345" t="n"/>
      <c r="O201" s="280" t="n"/>
      <c r="P201" s="332">
        <f>IFERROR(VLOOKUP(TEXT(O201,"0"),CONDUCTORES!$A$3:$G$54,2,0),"")</f>
        <v/>
      </c>
      <c r="Q201" s="332">
        <f>IFERROR(VLOOKUP(TEXT(O201,"0"),CONDUCTORES!$A$3:$H$54,6,0),"")</f>
        <v/>
      </c>
      <c r="R201" s="280" t="n"/>
      <c r="S201" s="280" t="n"/>
      <c r="T201" s="280" t="n"/>
      <c r="U201" s="280" t="n"/>
      <c r="V201" s="280" t="n"/>
      <c r="W201" s="280" t="n"/>
      <c r="X201" s="280" t="n"/>
      <c r="Y201" s="280" t="n"/>
      <c r="Z201" s="350" t="n"/>
      <c r="AA201" s="198" t="n"/>
      <c r="AB201" s="198" t="n"/>
      <c r="AC201" s="198" t="n"/>
    </row>
    <row r="202" ht="15" customHeight="1" s="195">
      <c r="A202" s="280" t="n"/>
      <c r="B202" s="280" t="n"/>
      <c r="C202" s="280" t="n"/>
      <c r="D202" s="280" t="n"/>
      <c r="E202" s="280" t="n"/>
      <c r="F202" s="280" t="n"/>
      <c r="G202" s="280" t="n"/>
      <c r="H202" s="280" t="n"/>
      <c r="I202" s="332">
        <f>IFERROR(VLOOKUP(TEXT(H202,"0"),IPRESS!$A$3:$B$212,2,0),"")</f>
        <v/>
      </c>
      <c r="J202" s="280" t="n"/>
      <c r="K202" s="343" t="n"/>
      <c r="L202" s="280" t="n"/>
      <c r="M202" s="280" t="n"/>
      <c r="N202" s="345" t="n"/>
      <c r="O202" s="280" t="n"/>
      <c r="P202" s="332">
        <f>IFERROR(VLOOKUP(TEXT(O202,"0"),CONDUCTORES!$A$3:$G$54,2,0),"")</f>
        <v/>
      </c>
      <c r="Q202" s="332">
        <f>IFERROR(VLOOKUP(TEXT(O202,"0"),CONDUCTORES!$A$3:$H$54,6,0),"")</f>
        <v/>
      </c>
      <c r="R202" s="280" t="n"/>
      <c r="S202" s="280" t="n"/>
      <c r="T202" s="280" t="n"/>
      <c r="U202" s="280" t="n"/>
      <c r="V202" s="280" t="n"/>
      <c r="W202" s="280" t="n"/>
      <c r="X202" s="280" t="n"/>
      <c r="Y202" s="280" t="n"/>
      <c r="Z202" s="350" t="n"/>
      <c r="AA202" s="198" t="n"/>
      <c r="AB202" s="198" t="n"/>
      <c r="AC202" s="198" t="n"/>
    </row>
    <row r="203" ht="15" customHeight="1" s="195">
      <c r="A203" s="280" t="n"/>
      <c r="B203" s="280" t="n"/>
      <c r="C203" s="280" t="n"/>
      <c r="D203" s="280" t="n"/>
      <c r="E203" s="280" t="n"/>
      <c r="F203" s="280" t="n"/>
      <c r="G203" s="280" t="n"/>
      <c r="H203" s="280" t="n"/>
      <c r="I203" s="332">
        <f>IFERROR(VLOOKUP(TEXT(H203,"0"),IPRESS!$A$3:$B$212,2,0),"")</f>
        <v/>
      </c>
      <c r="J203" s="280" t="n"/>
      <c r="K203" s="343" t="n"/>
      <c r="L203" s="280" t="n"/>
      <c r="M203" s="280" t="n"/>
      <c r="N203" s="345" t="n"/>
      <c r="O203" s="280" t="n"/>
      <c r="P203" s="332">
        <f>IFERROR(VLOOKUP(TEXT(O203,"0"),CONDUCTORES!$A$3:$G$54,2,0),"")</f>
        <v/>
      </c>
      <c r="Q203" s="332">
        <f>IFERROR(VLOOKUP(TEXT(O203,"0"),CONDUCTORES!$A$3:$H$54,6,0),"")</f>
        <v/>
      </c>
      <c r="R203" s="280" t="n"/>
      <c r="S203" s="280" t="n"/>
      <c r="T203" s="280" t="n"/>
      <c r="U203" s="280" t="n"/>
      <c r="V203" s="280" t="n"/>
      <c r="W203" s="280" t="n"/>
      <c r="X203" s="280" t="n"/>
      <c r="Y203" s="280" t="n"/>
      <c r="Z203" s="350" t="n"/>
      <c r="AA203" s="198" t="n"/>
      <c r="AB203" s="198" t="n"/>
      <c r="AC203" s="198" t="n"/>
    </row>
    <row r="204" ht="15" customHeight="1" s="195">
      <c r="A204" s="280" t="n"/>
      <c r="B204" s="280" t="n"/>
      <c r="C204" s="280" t="n"/>
      <c r="D204" s="280" t="n"/>
      <c r="E204" s="280" t="n"/>
      <c r="F204" s="280" t="n"/>
      <c r="G204" s="280" t="n"/>
      <c r="H204" s="280" t="n"/>
      <c r="I204" s="332">
        <f>IFERROR(VLOOKUP(TEXT(H204,"0"),IPRESS!$A$3:$B$212,2,0),"")</f>
        <v/>
      </c>
      <c r="J204" s="280" t="n"/>
      <c r="K204" s="343" t="n"/>
      <c r="L204" s="280" t="n"/>
      <c r="M204" s="280" t="n"/>
      <c r="N204" s="345" t="n"/>
      <c r="O204" s="280" t="n"/>
      <c r="P204" s="332">
        <f>IFERROR(VLOOKUP(TEXT(O204,"0"),CONDUCTORES!$A$3:$G$54,2,0),"")</f>
        <v/>
      </c>
      <c r="Q204" s="332">
        <f>IFERROR(VLOOKUP(TEXT(O204,"0"),CONDUCTORES!$A$3:$H$54,6,0),"")</f>
        <v/>
      </c>
      <c r="R204" s="280" t="n"/>
      <c r="S204" s="280" t="n"/>
      <c r="T204" s="280" t="n"/>
      <c r="U204" s="280" t="n"/>
      <c r="V204" s="280" t="n"/>
      <c r="W204" s="280" t="n"/>
      <c r="X204" s="280" t="n"/>
      <c r="Y204" s="280" t="n"/>
      <c r="Z204" s="350" t="n"/>
      <c r="AA204" s="198" t="n"/>
      <c r="AB204" s="198" t="n"/>
      <c r="AC204" s="198" t="n"/>
    </row>
    <row r="205" ht="15" customHeight="1" s="195">
      <c r="A205" s="280" t="n"/>
      <c r="B205" s="280" t="n"/>
      <c r="C205" s="280" t="n"/>
      <c r="D205" s="280" t="n"/>
      <c r="E205" s="280" t="n"/>
      <c r="F205" s="280" t="n"/>
      <c r="G205" s="280" t="n"/>
      <c r="H205" s="280" t="n"/>
      <c r="I205" s="332">
        <f>IFERROR(VLOOKUP(TEXT(H205,"0"),IPRESS!$A$3:$B$212,2,0),"")</f>
        <v/>
      </c>
      <c r="J205" s="280" t="n"/>
      <c r="K205" s="343" t="n"/>
      <c r="L205" s="280" t="n"/>
      <c r="M205" s="280" t="n"/>
      <c r="N205" s="345" t="n"/>
      <c r="O205" s="280" t="n"/>
      <c r="P205" s="332">
        <f>IFERROR(VLOOKUP(TEXT(O205,"0"),CONDUCTORES!$A$3:$G$54,2,0),"")</f>
        <v/>
      </c>
      <c r="Q205" s="332">
        <f>IFERROR(VLOOKUP(TEXT(O205,"0"),CONDUCTORES!$A$3:$H$54,6,0),"")</f>
        <v/>
      </c>
      <c r="R205" s="280" t="n"/>
      <c r="S205" s="280" t="n"/>
      <c r="T205" s="280" t="n"/>
      <c r="U205" s="280" t="n"/>
      <c r="V205" s="280" t="n"/>
      <c r="W205" s="280" t="n"/>
      <c r="X205" s="280" t="n"/>
      <c r="Y205" s="280" t="n"/>
      <c r="Z205" s="350" t="n"/>
      <c r="AA205" s="198" t="n"/>
      <c r="AB205" s="198" t="n"/>
      <c r="AC205" s="198" t="n"/>
    </row>
    <row r="206" ht="15" customHeight="1" s="195">
      <c r="A206" s="280" t="n"/>
      <c r="B206" s="280" t="n"/>
      <c r="C206" s="280" t="n"/>
      <c r="D206" s="280" t="n"/>
      <c r="E206" s="280" t="n"/>
      <c r="F206" s="280" t="n"/>
      <c r="G206" s="280" t="n"/>
      <c r="H206" s="280" t="n"/>
      <c r="I206" s="332">
        <f>IFERROR(VLOOKUP(TEXT(H206,"0"),IPRESS!$A$3:$B$212,2,0),"")</f>
        <v/>
      </c>
      <c r="J206" s="280" t="n"/>
      <c r="K206" s="343" t="n"/>
      <c r="L206" s="280" t="n"/>
      <c r="M206" s="280" t="n"/>
      <c r="N206" s="345" t="n"/>
      <c r="O206" s="280" t="n"/>
      <c r="P206" s="332">
        <f>IFERROR(VLOOKUP(TEXT(O206,"0"),CONDUCTORES!$A$3:$G$54,2,0),"")</f>
        <v/>
      </c>
      <c r="Q206" s="332">
        <f>IFERROR(VLOOKUP(TEXT(O206,"0"),CONDUCTORES!$A$3:$H$54,6,0),"")</f>
        <v/>
      </c>
      <c r="R206" s="280" t="n"/>
      <c r="S206" s="280" t="n"/>
      <c r="T206" s="280" t="n"/>
      <c r="U206" s="280" t="n"/>
      <c r="V206" s="280" t="n"/>
      <c r="W206" s="280" t="n"/>
      <c r="X206" s="280" t="n"/>
      <c r="Y206" s="280" t="n"/>
      <c r="Z206" s="350" t="n"/>
      <c r="AA206" s="198" t="n"/>
      <c r="AB206" s="198" t="n"/>
      <c r="AC206" s="198" t="n"/>
    </row>
    <row r="207" ht="15" customHeight="1" s="195">
      <c r="A207" s="280" t="n"/>
      <c r="B207" s="280" t="n"/>
      <c r="C207" s="280" t="n"/>
      <c r="D207" s="280" t="n"/>
      <c r="E207" s="280" t="n"/>
      <c r="F207" s="280" t="n"/>
      <c r="G207" s="280" t="n"/>
      <c r="H207" s="280" t="n"/>
      <c r="I207" s="332">
        <f>IFERROR(VLOOKUP(TEXT(H207,"0"),IPRESS!$A$3:$B$212,2,0),"")</f>
        <v/>
      </c>
      <c r="J207" s="280" t="n"/>
      <c r="K207" s="343" t="n"/>
      <c r="L207" s="280" t="n"/>
      <c r="M207" s="280" t="n"/>
      <c r="N207" s="345" t="n"/>
      <c r="O207" s="280" t="n"/>
      <c r="P207" s="332">
        <f>IFERROR(VLOOKUP(TEXT(O207,"0"),CONDUCTORES!$A$3:$G$54,2,0),"")</f>
        <v/>
      </c>
      <c r="Q207" s="332">
        <f>IFERROR(VLOOKUP(TEXT(O207,"0"),CONDUCTORES!$A$3:$H$54,6,0),"")</f>
        <v/>
      </c>
      <c r="R207" s="280" t="n"/>
      <c r="S207" s="280" t="n"/>
      <c r="T207" s="280" t="n"/>
      <c r="U207" s="280" t="n"/>
      <c r="V207" s="280" t="n"/>
      <c r="W207" s="280" t="n"/>
      <c r="X207" s="280" t="n"/>
      <c r="Y207" s="280" t="n"/>
      <c r="Z207" s="350" t="n"/>
      <c r="AA207" s="198" t="n"/>
      <c r="AB207" s="198" t="n"/>
      <c r="AC207" s="198" t="n"/>
    </row>
    <row r="208" ht="15" customHeight="1" s="195">
      <c r="A208" s="280" t="n"/>
      <c r="B208" s="280" t="n"/>
      <c r="C208" s="280" t="n"/>
      <c r="D208" s="280" t="n"/>
      <c r="E208" s="280" t="n"/>
      <c r="F208" s="280" t="n"/>
      <c r="G208" s="280" t="n"/>
      <c r="H208" s="280" t="n"/>
      <c r="I208" s="332">
        <f>IFERROR(VLOOKUP(TEXT(H208,"0"),IPRESS!$A$3:$B$212,2,0),"")</f>
        <v/>
      </c>
      <c r="J208" s="280" t="n"/>
      <c r="K208" s="343" t="n"/>
      <c r="L208" s="280" t="n"/>
      <c r="M208" s="280" t="n"/>
      <c r="N208" s="345" t="n"/>
      <c r="O208" s="280" t="n"/>
      <c r="P208" s="332">
        <f>IFERROR(VLOOKUP(TEXT(O208,"0"),CONDUCTORES!$A$3:$G$54,2,0),"")</f>
        <v/>
      </c>
      <c r="Q208" s="332">
        <f>IFERROR(VLOOKUP(TEXT(O208,"0"),CONDUCTORES!$A$3:$H$54,6,0),"")</f>
        <v/>
      </c>
      <c r="R208" s="280" t="n"/>
      <c r="S208" s="280" t="n"/>
      <c r="T208" s="280" t="n"/>
      <c r="U208" s="280" t="n"/>
      <c r="V208" s="280" t="n"/>
      <c r="W208" s="280" t="n"/>
      <c r="X208" s="280" t="n"/>
      <c r="Y208" s="280" t="n"/>
      <c r="Z208" s="350" t="n"/>
      <c r="AA208" s="198" t="n"/>
      <c r="AB208" s="198" t="n"/>
      <c r="AC208" s="198" t="n"/>
    </row>
    <row r="209" ht="15" customHeight="1" s="195">
      <c r="A209" s="280" t="n"/>
      <c r="B209" s="280" t="n"/>
      <c r="C209" s="280" t="n"/>
      <c r="D209" s="280" t="n"/>
      <c r="E209" s="280" t="n"/>
      <c r="F209" s="280" t="n"/>
      <c r="G209" s="280" t="n"/>
      <c r="H209" s="280" t="n"/>
      <c r="I209" s="332">
        <f>IFERROR(VLOOKUP(TEXT(H209,"0"),IPRESS!$A$3:$B$212,2,0),"")</f>
        <v/>
      </c>
      <c r="J209" s="280" t="n"/>
      <c r="K209" s="343" t="n"/>
      <c r="L209" s="280" t="n"/>
      <c r="M209" s="280" t="n"/>
      <c r="N209" s="345" t="n"/>
      <c r="O209" s="280" t="n"/>
      <c r="P209" s="332">
        <f>IFERROR(VLOOKUP(TEXT(O209,"0"),CONDUCTORES!$A$3:$G$54,2,0),"")</f>
        <v/>
      </c>
      <c r="Q209" s="332">
        <f>IFERROR(VLOOKUP(TEXT(O209,"0"),CONDUCTORES!$A$3:$H$54,6,0),"")</f>
        <v/>
      </c>
      <c r="R209" s="280" t="n"/>
      <c r="S209" s="280" t="n"/>
      <c r="T209" s="280" t="n"/>
      <c r="U209" s="280" t="n"/>
      <c r="V209" s="280" t="n"/>
      <c r="W209" s="280" t="n"/>
      <c r="X209" s="280" t="n"/>
      <c r="Y209" s="280" t="n"/>
      <c r="Z209" s="350" t="n"/>
      <c r="AA209" s="198" t="n"/>
      <c r="AB209" s="198" t="n"/>
      <c r="AC209" s="198" t="n"/>
    </row>
    <row r="210" ht="15" customHeight="1" s="195">
      <c r="A210" s="280" t="n"/>
      <c r="B210" s="280" t="n"/>
      <c r="C210" s="280" t="n"/>
      <c r="D210" s="280" t="n"/>
      <c r="E210" s="280" t="n"/>
      <c r="F210" s="280" t="n"/>
      <c r="G210" s="280" t="n"/>
      <c r="H210" s="280" t="n"/>
      <c r="I210" s="332">
        <f>IFERROR(VLOOKUP(TEXT(H210,"0"),IPRESS!$A$3:$B$212,2,0),"")</f>
        <v/>
      </c>
      <c r="J210" s="280" t="n"/>
      <c r="K210" s="343" t="n"/>
      <c r="L210" s="280" t="n"/>
      <c r="M210" s="280" t="n"/>
      <c r="N210" s="345" t="n"/>
      <c r="O210" s="280" t="n"/>
      <c r="P210" s="332">
        <f>IFERROR(VLOOKUP(TEXT(O210,"0"),CONDUCTORES!$A$3:$G$54,2,0),"")</f>
        <v/>
      </c>
      <c r="Q210" s="332">
        <f>IFERROR(VLOOKUP(TEXT(O210,"0"),CONDUCTORES!$A$3:$H$54,6,0),"")</f>
        <v/>
      </c>
      <c r="R210" s="280" t="n"/>
      <c r="S210" s="280" t="n"/>
      <c r="T210" s="280" t="n"/>
      <c r="U210" s="280" t="n"/>
      <c r="V210" s="280" t="n"/>
      <c r="W210" s="280" t="n"/>
      <c r="X210" s="280" t="n"/>
      <c r="Y210" s="280" t="n"/>
      <c r="Z210" s="350" t="n"/>
      <c r="AA210" s="198" t="n"/>
      <c r="AB210" s="198" t="n"/>
      <c r="AC210" s="198" t="n"/>
    </row>
    <row r="211" ht="15" customHeight="1" s="195">
      <c r="A211" s="280" t="n"/>
      <c r="B211" s="280" t="n"/>
      <c r="C211" s="280" t="n"/>
      <c r="D211" s="280" t="n"/>
      <c r="E211" s="280" t="n"/>
      <c r="F211" s="280" t="n"/>
      <c r="G211" s="280" t="n"/>
      <c r="H211" s="280" t="n"/>
      <c r="I211" s="332">
        <f>IFERROR(VLOOKUP(TEXT(H211,"0"),IPRESS!$A$3:$B$212,2,0),"")</f>
        <v/>
      </c>
      <c r="J211" s="280" t="n"/>
      <c r="K211" s="343" t="n"/>
      <c r="L211" s="280" t="n"/>
      <c r="M211" s="280" t="n"/>
      <c r="N211" s="345" t="n"/>
      <c r="O211" s="280" t="n"/>
      <c r="P211" s="332">
        <f>IFERROR(VLOOKUP(TEXT(O211,"0"),CONDUCTORES!$A$3:$G$54,2,0),"")</f>
        <v/>
      </c>
      <c r="Q211" s="332">
        <f>IFERROR(VLOOKUP(TEXT(O211,"0"),CONDUCTORES!$A$3:$H$54,6,0),"")</f>
        <v/>
      </c>
      <c r="R211" s="280" t="n"/>
      <c r="S211" s="280" t="n"/>
      <c r="T211" s="280" t="n"/>
      <c r="U211" s="280" t="n"/>
      <c r="V211" s="280" t="n"/>
      <c r="W211" s="280" t="n"/>
      <c r="X211" s="280" t="n"/>
      <c r="Y211" s="280" t="n"/>
      <c r="Z211" s="350" t="n"/>
      <c r="AA211" s="198" t="n"/>
      <c r="AB211" s="198" t="n"/>
      <c r="AC211" s="198" t="n"/>
    </row>
    <row r="212" ht="15" customHeight="1" s="195">
      <c r="A212" s="280" t="n"/>
      <c r="B212" s="280" t="n"/>
      <c r="C212" s="280" t="n"/>
      <c r="D212" s="280" t="n"/>
      <c r="E212" s="280" t="n"/>
      <c r="F212" s="280" t="n"/>
      <c r="G212" s="280" t="n"/>
      <c r="H212" s="280" t="n"/>
      <c r="I212" s="332">
        <f>IFERROR(VLOOKUP(TEXT(H212,"0"),IPRESS!$A$3:$B$212,2,0),"")</f>
        <v/>
      </c>
      <c r="J212" s="280" t="n"/>
      <c r="K212" s="343" t="n"/>
      <c r="L212" s="280" t="n"/>
      <c r="M212" s="280" t="n"/>
      <c r="N212" s="345" t="n"/>
      <c r="O212" s="280" t="n"/>
      <c r="P212" s="332">
        <f>IFERROR(VLOOKUP(TEXT(O212,"0"),CONDUCTORES!$A$3:$G$54,2,0),"")</f>
        <v/>
      </c>
      <c r="Q212" s="332">
        <f>IFERROR(VLOOKUP(TEXT(O212,"0"),CONDUCTORES!$A$3:$H$54,6,0),"")</f>
        <v/>
      </c>
      <c r="R212" s="280" t="n"/>
      <c r="S212" s="280" t="n"/>
      <c r="T212" s="280" t="n"/>
      <c r="U212" s="280" t="n"/>
      <c r="V212" s="280" t="n"/>
      <c r="W212" s="280" t="n"/>
      <c r="X212" s="280" t="n"/>
      <c r="Y212" s="280" t="n"/>
      <c r="Z212" s="350" t="n"/>
      <c r="AA212" s="198" t="n"/>
      <c r="AB212" s="198" t="n"/>
      <c r="AC212" s="198" t="n"/>
    </row>
    <row r="213" ht="15" customHeight="1" s="195">
      <c r="A213" s="280" t="n"/>
      <c r="B213" s="280" t="n"/>
      <c r="C213" s="280" t="n"/>
      <c r="D213" s="280" t="n"/>
      <c r="E213" s="280" t="n"/>
      <c r="F213" s="280" t="n"/>
      <c r="G213" s="280" t="n"/>
      <c r="H213" s="280" t="n"/>
      <c r="I213" s="332">
        <f>IFERROR(VLOOKUP(TEXT(H213,"0"),IPRESS!$A$3:$B$212,2,0),"")</f>
        <v/>
      </c>
      <c r="J213" s="280" t="n"/>
      <c r="K213" s="343" t="n"/>
      <c r="L213" s="280" t="n"/>
      <c r="M213" s="280" t="n"/>
      <c r="N213" s="345" t="n"/>
      <c r="O213" s="280" t="n"/>
      <c r="P213" s="332">
        <f>IFERROR(VLOOKUP(TEXT(O213,"0"),CONDUCTORES!$A$3:$G$54,2,0),"")</f>
        <v/>
      </c>
      <c r="Q213" s="332">
        <f>IFERROR(VLOOKUP(TEXT(O213,"0"),CONDUCTORES!$A$3:$H$54,6,0),"")</f>
        <v/>
      </c>
      <c r="R213" s="280" t="n"/>
      <c r="S213" s="280" t="n"/>
      <c r="T213" s="280" t="n"/>
      <c r="U213" s="280" t="n"/>
      <c r="V213" s="280" t="n"/>
      <c r="W213" s="280" t="n"/>
      <c r="X213" s="280" t="n"/>
      <c r="Y213" s="280" t="n"/>
      <c r="Z213" s="350" t="n"/>
      <c r="AA213" s="198" t="n"/>
      <c r="AB213" s="198" t="n"/>
      <c r="AC213" s="198" t="n"/>
    </row>
    <row r="214" ht="15" customHeight="1" s="195">
      <c r="A214" s="280" t="n"/>
      <c r="B214" s="280" t="n"/>
      <c r="C214" s="280" t="n"/>
      <c r="D214" s="280" t="n"/>
      <c r="E214" s="280" t="n"/>
      <c r="F214" s="280" t="n"/>
      <c r="G214" s="280" t="n"/>
      <c r="H214" s="280" t="n"/>
      <c r="I214" s="332">
        <f>IFERROR(VLOOKUP(TEXT(H214,"0"),IPRESS!$A$3:$B$212,2,0),"")</f>
        <v/>
      </c>
      <c r="J214" s="280" t="n"/>
      <c r="K214" s="343" t="n"/>
      <c r="L214" s="280" t="n"/>
      <c r="M214" s="280" t="n"/>
      <c r="N214" s="345" t="n"/>
      <c r="O214" s="280" t="n"/>
      <c r="P214" s="332">
        <f>IFERROR(VLOOKUP(TEXT(O214,"0"),CONDUCTORES!$A$3:$G$54,2,0),"")</f>
        <v/>
      </c>
      <c r="Q214" s="332">
        <f>IFERROR(VLOOKUP(TEXT(O214,"0"),CONDUCTORES!$A$3:$H$54,6,0),"")</f>
        <v/>
      </c>
      <c r="R214" s="280" t="n"/>
      <c r="S214" s="280" t="n"/>
      <c r="T214" s="280" t="n"/>
      <c r="U214" s="280" t="n"/>
      <c r="V214" s="280" t="n"/>
      <c r="W214" s="280" t="n"/>
      <c r="X214" s="280" t="n"/>
      <c r="Y214" s="280" t="n"/>
      <c r="Z214" s="350" t="n"/>
      <c r="AA214" s="198" t="n"/>
      <c r="AB214" s="198" t="n"/>
      <c r="AC214" s="198" t="n"/>
    </row>
    <row r="215" ht="15" customHeight="1" s="195">
      <c r="A215" s="280" t="n"/>
      <c r="B215" s="280" t="n"/>
      <c r="C215" s="280" t="n"/>
      <c r="D215" s="280" t="n"/>
      <c r="E215" s="280" t="n"/>
      <c r="F215" s="280" t="n"/>
      <c r="G215" s="280" t="n"/>
      <c r="H215" s="280" t="n"/>
      <c r="I215" s="332">
        <f>IFERROR(VLOOKUP(TEXT(H215,"0"),IPRESS!$A$3:$B$212,2,0),"")</f>
        <v/>
      </c>
      <c r="J215" s="280" t="n"/>
      <c r="K215" s="343" t="n"/>
      <c r="L215" s="280" t="n"/>
      <c r="M215" s="280" t="n"/>
      <c r="N215" s="345" t="n"/>
      <c r="O215" s="280" t="n"/>
      <c r="P215" s="332">
        <f>IFERROR(VLOOKUP(TEXT(O215,"0"),CONDUCTORES!$A$3:$G$54,2,0),"")</f>
        <v/>
      </c>
      <c r="Q215" s="332">
        <f>IFERROR(VLOOKUP(TEXT(O215,"0"),CONDUCTORES!$A$3:$H$54,6,0),"")</f>
        <v/>
      </c>
      <c r="R215" s="280" t="n"/>
      <c r="S215" s="280" t="n"/>
      <c r="T215" s="280" t="n"/>
      <c r="U215" s="280" t="n"/>
      <c r="V215" s="280" t="n"/>
      <c r="W215" s="280" t="n"/>
      <c r="X215" s="280" t="n"/>
      <c r="Y215" s="280" t="n"/>
      <c r="Z215" s="350" t="n"/>
      <c r="AA215" s="198" t="n"/>
      <c r="AB215" s="198" t="n"/>
      <c r="AC215" s="198" t="n"/>
    </row>
    <row r="216" ht="15" customHeight="1" s="195">
      <c r="A216" s="280" t="n"/>
      <c r="B216" s="280" t="n"/>
      <c r="C216" s="280" t="n"/>
      <c r="D216" s="280" t="n"/>
      <c r="E216" s="280" t="n"/>
      <c r="F216" s="280" t="n"/>
      <c r="G216" s="280" t="n"/>
      <c r="H216" s="280" t="n"/>
      <c r="I216" s="332">
        <f>IFERROR(VLOOKUP(TEXT(H216,"0"),IPRESS!$A$3:$B$212,2,0),"")</f>
        <v/>
      </c>
      <c r="J216" s="280" t="n"/>
      <c r="K216" s="343" t="n"/>
      <c r="L216" s="280" t="n"/>
      <c r="M216" s="280" t="n"/>
      <c r="N216" s="345" t="n"/>
      <c r="O216" s="280" t="n"/>
      <c r="P216" s="332">
        <f>IFERROR(VLOOKUP(TEXT(O216,"0"),CONDUCTORES!$A$3:$G$54,2,0),"")</f>
        <v/>
      </c>
      <c r="Q216" s="332">
        <f>IFERROR(VLOOKUP(TEXT(O216,"0"),CONDUCTORES!$A$3:$H$54,6,0),"")</f>
        <v/>
      </c>
      <c r="R216" s="280" t="n"/>
      <c r="S216" s="280" t="n"/>
      <c r="T216" s="280" t="n"/>
      <c r="U216" s="280" t="n"/>
      <c r="V216" s="280" t="n"/>
      <c r="W216" s="280" t="n"/>
      <c r="X216" s="280" t="n"/>
      <c r="Y216" s="280" t="n"/>
      <c r="Z216" s="350" t="n"/>
      <c r="AA216" s="198" t="n"/>
      <c r="AB216" s="198" t="n"/>
      <c r="AC216" s="198" t="n"/>
    </row>
    <row r="217" ht="15" customHeight="1" s="195">
      <c r="A217" s="280" t="n"/>
      <c r="B217" s="280" t="n"/>
      <c r="C217" s="280" t="n"/>
      <c r="D217" s="280" t="n"/>
      <c r="E217" s="280" t="n"/>
      <c r="F217" s="280" t="n"/>
      <c r="G217" s="280" t="n"/>
      <c r="H217" s="280" t="n"/>
      <c r="I217" s="332">
        <f>IFERROR(VLOOKUP(TEXT(H217,"0"),IPRESS!$A$3:$B$212,2,0),"")</f>
        <v/>
      </c>
      <c r="J217" s="280" t="n"/>
      <c r="K217" s="343" t="n"/>
      <c r="L217" s="280" t="n"/>
      <c r="M217" s="280" t="n"/>
      <c r="N217" s="345" t="n"/>
      <c r="O217" s="280" t="n"/>
      <c r="P217" s="332">
        <f>IFERROR(VLOOKUP(TEXT(O217,"0"),CONDUCTORES!$A$3:$G$54,2,0),"")</f>
        <v/>
      </c>
      <c r="Q217" s="332">
        <f>IFERROR(VLOOKUP(TEXT(O217,"0"),CONDUCTORES!$A$3:$H$54,6,0),"")</f>
        <v/>
      </c>
      <c r="R217" s="280" t="n"/>
      <c r="S217" s="280" t="n"/>
      <c r="T217" s="280" t="n"/>
      <c r="U217" s="280" t="n"/>
      <c r="V217" s="280" t="n"/>
      <c r="W217" s="280" t="n"/>
      <c r="X217" s="280" t="n"/>
      <c r="Y217" s="280" t="n"/>
      <c r="Z217" s="350" t="n"/>
      <c r="AA217" s="198" t="n"/>
      <c r="AB217" s="198" t="n"/>
      <c r="AC217" s="198" t="n"/>
    </row>
    <row r="218" ht="15" customHeight="1" s="195">
      <c r="A218" s="280" t="n"/>
      <c r="B218" s="280" t="n"/>
      <c r="C218" s="280" t="n"/>
      <c r="D218" s="280" t="n"/>
      <c r="E218" s="280" t="n"/>
      <c r="F218" s="280" t="n"/>
      <c r="G218" s="280" t="n"/>
      <c r="H218" s="280" t="n"/>
      <c r="I218" s="332">
        <f>IFERROR(VLOOKUP(TEXT(H218,"0"),IPRESS!$A$3:$B$212,2,0),"")</f>
        <v/>
      </c>
      <c r="J218" s="280" t="n"/>
      <c r="K218" s="343" t="n"/>
      <c r="L218" s="280" t="n"/>
      <c r="M218" s="280" t="n"/>
      <c r="N218" s="345" t="n"/>
      <c r="O218" s="280" t="n"/>
      <c r="P218" s="332">
        <f>IFERROR(VLOOKUP(TEXT(O218,"0"),CONDUCTORES!$A$3:$G$54,2,0),"")</f>
        <v/>
      </c>
      <c r="Q218" s="332">
        <f>IFERROR(VLOOKUP(TEXT(O218,"0"),CONDUCTORES!$A$3:$H$54,6,0),"")</f>
        <v/>
      </c>
      <c r="R218" s="280" t="n"/>
      <c r="S218" s="280" t="n"/>
      <c r="T218" s="280" t="n"/>
      <c r="U218" s="280" t="n"/>
      <c r="V218" s="280" t="n"/>
      <c r="W218" s="280" t="n"/>
      <c r="X218" s="280" t="n"/>
      <c r="Y218" s="280" t="n"/>
      <c r="Z218" s="350" t="n"/>
      <c r="AA218" s="198" t="n"/>
      <c r="AB218" s="198" t="n"/>
      <c r="AC218" s="198" t="n"/>
    </row>
    <row r="219" ht="15" customHeight="1" s="195">
      <c r="A219" s="280" t="n"/>
      <c r="B219" s="280" t="n"/>
      <c r="C219" s="280" t="n"/>
      <c r="D219" s="280" t="n"/>
      <c r="E219" s="280" t="n"/>
      <c r="F219" s="280" t="n"/>
      <c r="G219" s="280" t="n"/>
      <c r="H219" s="280" t="n"/>
      <c r="I219" s="332">
        <f>IFERROR(VLOOKUP(TEXT(H219,"0"),IPRESS!$A$3:$B$212,2,0),"")</f>
        <v/>
      </c>
      <c r="J219" s="280" t="n"/>
      <c r="K219" s="343" t="n"/>
      <c r="L219" s="280" t="n"/>
      <c r="M219" s="280" t="n"/>
      <c r="N219" s="345" t="n"/>
      <c r="O219" s="280" t="n"/>
      <c r="P219" s="332">
        <f>IFERROR(VLOOKUP(TEXT(O219,"0"),CONDUCTORES!$A$3:$G$54,2,0),"")</f>
        <v/>
      </c>
      <c r="Q219" s="332">
        <f>IFERROR(VLOOKUP(TEXT(O219,"0"),CONDUCTORES!$A$3:$H$54,6,0),"")</f>
        <v/>
      </c>
      <c r="R219" s="280" t="n"/>
      <c r="S219" s="280" t="n"/>
      <c r="T219" s="280" t="n"/>
      <c r="U219" s="280" t="n"/>
      <c r="V219" s="280" t="n"/>
      <c r="W219" s="280" t="n"/>
      <c r="X219" s="280" t="n"/>
      <c r="Y219" s="280" t="n"/>
      <c r="Z219" s="350" t="n"/>
      <c r="AA219" s="198" t="n"/>
      <c r="AB219" s="198" t="n"/>
      <c r="AC219" s="198" t="n"/>
    </row>
    <row r="220" ht="15" customHeight="1" s="195">
      <c r="A220" s="280" t="n"/>
      <c r="B220" s="280" t="n"/>
      <c r="C220" s="280" t="n"/>
      <c r="D220" s="280" t="n"/>
      <c r="E220" s="280" t="n"/>
      <c r="F220" s="280" t="n"/>
      <c r="G220" s="280" t="n"/>
      <c r="H220" s="280" t="n"/>
      <c r="I220" s="332">
        <f>IFERROR(VLOOKUP(TEXT(H220,"0"),IPRESS!$A$3:$B$212,2,0),"")</f>
        <v/>
      </c>
      <c r="J220" s="280" t="n"/>
      <c r="K220" s="343" t="n"/>
      <c r="L220" s="280" t="n"/>
      <c r="M220" s="280" t="n"/>
      <c r="N220" s="345" t="n"/>
      <c r="O220" s="280" t="n"/>
      <c r="P220" s="332">
        <f>IFERROR(VLOOKUP(TEXT(O220,"0"),CONDUCTORES!$A$3:$G$54,2,0),"")</f>
        <v/>
      </c>
      <c r="Q220" s="332">
        <f>IFERROR(VLOOKUP(TEXT(O220,"0"),CONDUCTORES!$A$3:$H$54,6,0),"")</f>
        <v/>
      </c>
      <c r="R220" s="280" t="n"/>
      <c r="S220" s="280" t="n"/>
      <c r="T220" s="280" t="n"/>
      <c r="U220" s="280" t="n"/>
      <c r="V220" s="280" t="n"/>
      <c r="W220" s="280" t="n"/>
      <c r="X220" s="280" t="n"/>
      <c r="Y220" s="280" t="n"/>
      <c r="Z220" s="350" t="n"/>
      <c r="AA220" s="198" t="n"/>
      <c r="AB220" s="198" t="n"/>
      <c r="AC220" s="198" t="n"/>
    </row>
    <row r="221" ht="15" customHeight="1" s="195">
      <c r="A221" s="280" t="n"/>
      <c r="B221" s="280" t="n"/>
      <c r="C221" s="280" t="n"/>
      <c r="D221" s="280" t="n"/>
      <c r="E221" s="280" t="n"/>
      <c r="F221" s="280" t="n"/>
      <c r="G221" s="280" t="n"/>
      <c r="H221" s="280" t="n"/>
      <c r="I221" s="332">
        <f>IFERROR(VLOOKUP(TEXT(H221,"0"),IPRESS!$A$3:$B$212,2,0),"")</f>
        <v/>
      </c>
      <c r="J221" s="280" t="n"/>
      <c r="K221" s="343" t="n"/>
      <c r="L221" s="280" t="n"/>
      <c r="M221" s="280" t="n"/>
      <c r="N221" s="345" t="n"/>
      <c r="O221" s="280" t="n"/>
      <c r="P221" s="332">
        <f>IFERROR(VLOOKUP(TEXT(O221,"0"),CONDUCTORES!$A$3:$G$54,2,0),"")</f>
        <v/>
      </c>
      <c r="Q221" s="332">
        <f>IFERROR(VLOOKUP(TEXT(O221,"0"),CONDUCTORES!$A$3:$H$54,6,0),"")</f>
        <v/>
      </c>
      <c r="R221" s="280" t="n"/>
      <c r="S221" s="280" t="n"/>
      <c r="T221" s="280" t="n"/>
      <c r="U221" s="280" t="n"/>
      <c r="V221" s="280" t="n"/>
      <c r="W221" s="280" t="n"/>
      <c r="X221" s="280" t="n"/>
      <c r="Y221" s="280" t="n"/>
      <c r="Z221" s="350" t="n"/>
      <c r="AA221" s="198" t="n"/>
      <c r="AB221" s="198" t="n"/>
      <c r="AC221" s="198" t="n"/>
    </row>
    <row r="222" ht="15" customHeight="1" s="195">
      <c r="A222" s="280" t="n"/>
      <c r="B222" s="280" t="n"/>
      <c r="C222" s="280" t="n"/>
      <c r="D222" s="280" t="n"/>
      <c r="E222" s="280" t="n"/>
      <c r="F222" s="280" t="n"/>
      <c r="G222" s="280" t="n"/>
      <c r="H222" s="280" t="n"/>
      <c r="I222" s="332">
        <f>IFERROR(VLOOKUP(TEXT(H222,"0"),IPRESS!$A$3:$B$212,2,0),"")</f>
        <v/>
      </c>
      <c r="J222" s="280" t="n"/>
      <c r="K222" s="343" t="n"/>
      <c r="L222" s="280" t="n"/>
      <c r="M222" s="280" t="n"/>
      <c r="N222" s="345" t="n"/>
      <c r="O222" s="280" t="n"/>
      <c r="P222" s="332">
        <f>IFERROR(VLOOKUP(TEXT(O222,"0"),CONDUCTORES!$A$3:$G$54,2,0),"")</f>
        <v/>
      </c>
      <c r="Q222" s="332">
        <f>IFERROR(VLOOKUP(TEXT(O222,"0"),CONDUCTORES!$A$3:$H$54,6,0),"")</f>
        <v/>
      </c>
      <c r="R222" s="280" t="n"/>
      <c r="S222" s="280" t="n"/>
      <c r="T222" s="280" t="n"/>
      <c r="U222" s="280" t="n"/>
      <c r="V222" s="280" t="n"/>
      <c r="W222" s="280" t="n"/>
      <c r="X222" s="280" t="n"/>
      <c r="Y222" s="280" t="n"/>
      <c r="Z222" s="350" t="n"/>
      <c r="AA222" s="198" t="n"/>
      <c r="AB222" s="198" t="n"/>
      <c r="AC222" s="198" t="n"/>
    </row>
    <row r="223" ht="15" customHeight="1" s="195">
      <c r="A223" s="280" t="n"/>
      <c r="B223" s="280" t="n"/>
      <c r="C223" s="280" t="n"/>
      <c r="D223" s="280" t="n"/>
      <c r="E223" s="280" t="n"/>
      <c r="F223" s="280" t="n"/>
      <c r="G223" s="280" t="n"/>
      <c r="H223" s="280" t="n"/>
      <c r="I223" s="332">
        <f>IFERROR(VLOOKUP(TEXT(H223,"0"),IPRESS!$A$3:$B$212,2,0),"")</f>
        <v/>
      </c>
      <c r="J223" s="280" t="n"/>
      <c r="K223" s="343" t="n"/>
      <c r="L223" s="280" t="n"/>
      <c r="M223" s="280" t="n"/>
      <c r="N223" s="345" t="n"/>
      <c r="O223" s="280" t="n"/>
      <c r="P223" s="332">
        <f>IFERROR(VLOOKUP(TEXT(O223,"0"),CONDUCTORES!$A$3:$G$54,2,0),"")</f>
        <v/>
      </c>
      <c r="Q223" s="332">
        <f>IFERROR(VLOOKUP(TEXT(O223,"0"),CONDUCTORES!$A$3:$H$54,6,0),"")</f>
        <v/>
      </c>
      <c r="R223" s="280" t="n"/>
      <c r="S223" s="280" t="n"/>
      <c r="T223" s="280" t="n"/>
      <c r="U223" s="280" t="n"/>
      <c r="V223" s="280" t="n"/>
      <c r="W223" s="280" t="n"/>
      <c r="X223" s="280" t="n"/>
      <c r="Y223" s="280" t="n"/>
      <c r="Z223" s="350" t="n"/>
      <c r="AA223" s="198" t="n"/>
      <c r="AB223" s="198" t="n"/>
      <c r="AC223" s="198" t="n"/>
    </row>
    <row r="224" ht="15" customHeight="1" s="195">
      <c r="A224" s="280" t="n"/>
      <c r="B224" s="280" t="n"/>
      <c r="C224" s="280" t="n"/>
      <c r="D224" s="280" t="n"/>
      <c r="E224" s="280" t="n"/>
      <c r="F224" s="280" t="n"/>
      <c r="G224" s="280" t="n"/>
      <c r="H224" s="280" t="n"/>
      <c r="I224" s="332">
        <f>IFERROR(VLOOKUP(TEXT(H224,"0"),IPRESS!$A$3:$B$212,2,0),"")</f>
        <v/>
      </c>
      <c r="J224" s="280" t="n"/>
      <c r="K224" s="343" t="n"/>
      <c r="L224" s="280" t="n"/>
      <c r="M224" s="280" t="n"/>
      <c r="N224" s="345" t="n"/>
      <c r="O224" s="280" t="n"/>
      <c r="P224" s="332">
        <f>IFERROR(VLOOKUP(TEXT(O224,"0"),CONDUCTORES!$A$3:$G$54,2,0),"")</f>
        <v/>
      </c>
      <c r="Q224" s="332">
        <f>IFERROR(VLOOKUP(TEXT(O224,"0"),CONDUCTORES!$A$3:$H$54,6,0),"")</f>
        <v/>
      </c>
      <c r="R224" s="280" t="n"/>
      <c r="S224" s="280" t="n"/>
      <c r="T224" s="280" t="n"/>
      <c r="U224" s="280" t="n"/>
      <c r="V224" s="280" t="n"/>
      <c r="W224" s="280" t="n"/>
      <c r="X224" s="280" t="n"/>
      <c r="Y224" s="280" t="n"/>
      <c r="Z224" s="350" t="n"/>
      <c r="AA224" s="198" t="n"/>
      <c r="AB224" s="198" t="n"/>
      <c r="AC224" s="198" t="n"/>
    </row>
    <row r="225" ht="15" customHeight="1" s="195">
      <c r="A225" s="280" t="n"/>
      <c r="B225" s="280" t="n"/>
      <c r="C225" s="280" t="n"/>
      <c r="D225" s="280" t="n"/>
      <c r="E225" s="280" t="n"/>
      <c r="F225" s="280" t="n"/>
      <c r="G225" s="280" t="n"/>
      <c r="H225" s="280" t="n"/>
      <c r="I225" s="332">
        <f>IFERROR(VLOOKUP(TEXT(H225,"0"),IPRESS!$A$3:$B$212,2,0),"")</f>
        <v/>
      </c>
      <c r="J225" s="280" t="n"/>
      <c r="K225" s="343" t="n"/>
      <c r="L225" s="280" t="n"/>
      <c r="M225" s="280" t="n"/>
      <c r="N225" s="345" t="n"/>
      <c r="O225" s="280" t="n"/>
      <c r="P225" s="332">
        <f>IFERROR(VLOOKUP(TEXT(O225,"0"),CONDUCTORES!$A$3:$G$54,2,0),"")</f>
        <v/>
      </c>
      <c r="Q225" s="332">
        <f>IFERROR(VLOOKUP(TEXT(O225,"0"),CONDUCTORES!$A$3:$H$54,6,0),"")</f>
        <v/>
      </c>
      <c r="R225" s="280" t="n"/>
      <c r="S225" s="280" t="n"/>
      <c r="T225" s="280" t="n"/>
      <c r="U225" s="280" t="n"/>
      <c r="V225" s="280" t="n"/>
      <c r="W225" s="280" t="n"/>
      <c r="X225" s="280" t="n"/>
      <c r="Y225" s="280" t="n"/>
      <c r="Z225" s="350" t="n"/>
      <c r="AA225" s="198" t="n"/>
      <c r="AB225" s="198" t="n"/>
      <c r="AC225" s="198" t="n"/>
    </row>
    <row r="226" ht="15" customHeight="1" s="195">
      <c r="A226" s="280" t="n"/>
      <c r="B226" s="280" t="n"/>
      <c r="C226" s="280" t="n"/>
      <c r="D226" s="280" t="n"/>
      <c r="E226" s="280" t="n"/>
      <c r="F226" s="280" t="n"/>
      <c r="G226" s="280" t="n"/>
      <c r="H226" s="280" t="n"/>
      <c r="I226" s="332">
        <f>IFERROR(VLOOKUP(TEXT(H226,"0"),IPRESS!$A$3:$B$212,2,0),"")</f>
        <v/>
      </c>
      <c r="J226" s="280" t="n"/>
      <c r="K226" s="343" t="n"/>
      <c r="L226" s="280" t="n"/>
      <c r="M226" s="280" t="n"/>
      <c r="N226" s="345" t="n"/>
      <c r="O226" s="280" t="n"/>
      <c r="P226" s="332">
        <f>IFERROR(VLOOKUP(TEXT(O226,"0"),CONDUCTORES!$A$3:$G$54,2,0),"")</f>
        <v/>
      </c>
      <c r="Q226" s="332">
        <f>IFERROR(VLOOKUP(TEXT(O226,"0"),CONDUCTORES!$A$3:$H$54,6,0),"")</f>
        <v/>
      </c>
      <c r="R226" s="280" t="n"/>
      <c r="S226" s="280" t="n"/>
      <c r="T226" s="280" t="n"/>
      <c r="U226" s="280" t="n"/>
      <c r="V226" s="280" t="n"/>
      <c r="W226" s="280" t="n"/>
      <c r="X226" s="280" t="n"/>
      <c r="Y226" s="280" t="n"/>
      <c r="Z226" s="350" t="n"/>
      <c r="AA226" s="198" t="n"/>
      <c r="AB226" s="198" t="n"/>
      <c r="AC226" s="198" t="n"/>
    </row>
    <row r="227" ht="15" customHeight="1" s="195">
      <c r="A227" s="280" t="n"/>
      <c r="B227" s="280" t="n"/>
      <c r="C227" s="280" t="n"/>
      <c r="D227" s="280" t="n"/>
      <c r="E227" s="280" t="n"/>
      <c r="F227" s="280" t="n"/>
      <c r="G227" s="280" t="n"/>
      <c r="H227" s="280" t="n"/>
      <c r="I227" s="332">
        <f>IFERROR(VLOOKUP(TEXT(H227,"0"),IPRESS!$A$3:$B$212,2,0),"")</f>
        <v/>
      </c>
      <c r="J227" s="280" t="n"/>
      <c r="K227" s="343" t="n"/>
      <c r="L227" s="280" t="n"/>
      <c r="M227" s="280" t="n"/>
      <c r="N227" s="345" t="n"/>
      <c r="O227" s="280" t="n"/>
      <c r="P227" s="332">
        <f>IFERROR(VLOOKUP(TEXT(O227,"0"),CONDUCTORES!$A$3:$G$54,2,0),"")</f>
        <v/>
      </c>
      <c r="Q227" s="332">
        <f>IFERROR(VLOOKUP(TEXT(O227,"0"),CONDUCTORES!$A$3:$H$54,6,0),"")</f>
        <v/>
      </c>
      <c r="R227" s="280" t="n"/>
      <c r="S227" s="280" t="n"/>
      <c r="T227" s="280" t="n"/>
      <c r="U227" s="280" t="n"/>
      <c r="V227" s="280" t="n"/>
      <c r="W227" s="280" t="n"/>
      <c r="X227" s="280" t="n"/>
      <c r="Y227" s="280" t="n"/>
      <c r="Z227" s="350" t="n"/>
      <c r="AA227" s="198" t="n"/>
      <c r="AB227" s="198" t="n"/>
      <c r="AC227" s="198" t="n"/>
    </row>
    <row r="228" ht="15" customHeight="1" s="195">
      <c r="A228" s="280" t="n"/>
      <c r="B228" s="280" t="n"/>
      <c r="C228" s="280" t="n"/>
      <c r="D228" s="280" t="n"/>
      <c r="E228" s="280" t="n"/>
      <c r="F228" s="280" t="n"/>
      <c r="G228" s="280" t="n"/>
      <c r="H228" s="280" t="n"/>
      <c r="I228" s="332">
        <f>IFERROR(VLOOKUP(TEXT(H228,"0"),IPRESS!$A$3:$B$212,2,0),"")</f>
        <v/>
      </c>
      <c r="J228" s="280" t="n"/>
      <c r="K228" s="343" t="n"/>
      <c r="L228" s="280" t="n"/>
      <c r="M228" s="280" t="n"/>
      <c r="N228" s="345" t="n"/>
      <c r="O228" s="280" t="n"/>
      <c r="P228" s="332">
        <f>IFERROR(VLOOKUP(TEXT(O228,"0"),CONDUCTORES!$A$3:$G$54,2,0),"")</f>
        <v/>
      </c>
      <c r="Q228" s="332">
        <f>IFERROR(VLOOKUP(TEXT(O228,"0"),CONDUCTORES!$A$3:$H$54,6,0),"")</f>
        <v/>
      </c>
      <c r="R228" s="280" t="n"/>
      <c r="S228" s="280" t="n"/>
      <c r="T228" s="280" t="n"/>
      <c r="U228" s="280" t="n"/>
      <c r="V228" s="280" t="n"/>
      <c r="W228" s="280" t="n"/>
      <c r="X228" s="280" t="n"/>
      <c r="Y228" s="280" t="n"/>
      <c r="Z228" s="350" t="n"/>
      <c r="AA228" s="198" t="n"/>
      <c r="AB228" s="198" t="n"/>
      <c r="AC228" s="198" t="n"/>
    </row>
    <row r="229" ht="15" customHeight="1" s="195">
      <c r="A229" s="280" t="n"/>
      <c r="B229" s="280" t="n"/>
      <c r="C229" s="280" t="n"/>
      <c r="D229" s="280" t="n"/>
      <c r="E229" s="280" t="n"/>
      <c r="F229" s="280" t="n"/>
      <c r="G229" s="280" t="n"/>
      <c r="H229" s="280" t="n"/>
      <c r="I229" s="332">
        <f>IFERROR(VLOOKUP(TEXT(H229,"0"),IPRESS!$A$3:$B$212,2,0),"")</f>
        <v/>
      </c>
      <c r="J229" s="280" t="n"/>
      <c r="K229" s="343" t="n"/>
      <c r="L229" s="280" t="n"/>
      <c r="M229" s="280" t="n"/>
      <c r="N229" s="345" t="n"/>
      <c r="O229" s="280" t="n"/>
      <c r="P229" s="332">
        <f>IFERROR(VLOOKUP(TEXT(O229,"0"),CONDUCTORES!$A$3:$G$54,2,0),"")</f>
        <v/>
      </c>
      <c r="Q229" s="332">
        <f>IFERROR(VLOOKUP(TEXT(O229,"0"),CONDUCTORES!$A$3:$H$54,6,0),"")</f>
        <v/>
      </c>
      <c r="R229" s="280" t="n"/>
      <c r="S229" s="280" t="n"/>
      <c r="T229" s="280" t="n"/>
      <c r="U229" s="280" t="n"/>
      <c r="V229" s="280" t="n"/>
      <c r="W229" s="280" t="n"/>
      <c r="X229" s="280" t="n"/>
      <c r="Y229" s="280" t="n"/>
      <c r="Z229" s="350" t="n"/>
      <c r="AA229" s="198" t="n"/>
      <c r="AB229" s="198" t="n"/>
      <c r="AC229" s="198" t="n"/>
    </row>
    <row r="230" ht="15" customHeight="1" s="195">
      <c r="A230" s="280" t="n"/>
      <c r="B230" s="280" t="n"/>
      <c r="C230" s="280" t="n"/>
      <c r="D230" s="280" t="n"/>
      <c r="E230" s="280" t="n"/>
      <c r="F230" s="280" t="n"/>
      <c r="G230" s="280" t="n"/>
      <c r="H230" s="280" t="n"/>
      <c r="I230" s="332">
        <f>IFERROR(VLOOKUP(TEXT(H230,"0"),IPRESS!$A$3:$B$212,2,0),"")</f>
        <v/>
      </c>
      <c r="J230" s="280" t="n"/>
      <c r="K230" s="343" t="n"/>
      <c r="L230" s="280" t="n"/>
      <c r="M230" s="280" t="n"/>
      <c r="N230" s="345" t="n"/>
      <c r="O230" s="280" t="n"/>
      <c r="P230" s="332">
        <f>IFERROR(VLOOKUP(TEXT(O230,"0"),CONDUCTORES!$A$3:$G$54,2,0),"")</f>
        <v/>
      </c>
      <c r="Q230" s="332">
        <f>IFERROR(VLOOKUP(TEXT(O230,"0"),CONDUCTORES!$A$3:$H$54,6,0),"")</f>
        <v/>
      </c>
      <c r="R230" s="280" t="n"/>
      <c r="S230" s="280" t="n"/>
      <c r="T230" s="280" t="n"/>
      <c r="U230" s="280" t="n"/>
      <c r="V230" s="280" t="n"/>
      <c r="W230" s="280" t="n"/>
      <c r="X230" s="280" t="n"/>
      <c r="Y230" s="280" t="n"/>
      <c r="Z230" s="350" t="n"/>
      <c r="AA230" s="198" t="n"/>
      <c r="AB230" s="198" t="n"/>
      <c r="AC230" s="198" t="n"/>
    </row>
    <row r="231" ht="15" customHeight="1" s="195">
      <c r="A231" s="280" t="n"/>
      <c r="B231" s="280" t="n"/>
      <c r="C231" s="280" t="n"/>
      <c r="D231" s="280" t="n"/>
      <c r="E231" s="280" t="n"/>
      <c r="F231" s="280" t="n"/>
      <c r="G231" s="280" t="n"/>
      <c r="H231" s="280" t="n"/>
      <c r="I231" s="332">
        <f>IFERROR(VLOOKUP(TEXT(H231,"0"),IPRESS!$A$3:$B$212,2,0),"")</f>
        <v/>
      </c>
      <c r="J231" s="280" t="n"/>
      <c r="K231" s="343" t="n"/>
      <c r="L231" s="280" t="n"/>
      <c r="M231" s="280" t="n"/>
      <c r="N231" s="345" t="n"/>
      <c r="O231" s="280" t="n"/>
      <c r="P231" s="332">
        <f>IFERROR(VLOOKUP(TEXT(O231,"0"),CONDUCTORES!$A$3:$G$54,2,0),"")</f>
        <v/>
      </c>
      <c r="Q231" s="332">
        <f>IFERROR(VLOOKUP(TEXT(O231,"0"),CONDUCTORES!$A$3:$H$54,6,0),"")</f>
        <v/>
      </c>
      <c r="R231" s="280" t="n"/>
      <c r="S231" s="280" t="n"/>
      <c r="T231" s="280" t="n"/>
      <c r="U231" s="280" t="n"/>
      <c r="V231" s="280" t="n"/>
      <c r="W231" s="280" t="n"/>
      <c r="X231" s="280" t="n"/>
      <c r="Y231" s="280" t="n"/>
      <c r="Z231" s="350" t="n"/>
      <c r="AA231" s="198" t="n"/>
      <c r="AB231" s="198" t="n"/>
      <c r="AC231" s="198" t="n"/>
    </row>
    <row r="232" ht="15" customHeight="1" s="195">
      <c r="A232" s="280" t="n"/>
      <c r="B232" s="280" t="n"/>
      <c r="C232" s="280" t="n"/>
      <c r="D232" s="280" t="n"/>
      <c r="E232" s="280" t="n"/>
      <c r="F232" s="280" t="n"/>
      <c r="G232" s="280" t="n"/>
      <c r="H232" s="280" t="n"/>
      <c r="I232" s="332">
        <f>IFERROR(VLOOKUP(TEXT(H232,"0"),IPRESS!$A$3:$B$212,2,0),"")</f>
        <v/>
      </c>
      <c r="J232" s="280" t="n"/>
      <c r="K232" s="343" t="n"/>
      <c r="L232" s="280" t="n"/>
      <c r="M232" s="280" t="n"/>
      <c r="N232" s="345" t="n"/>
      <c r="O232" s="280" t="n"/>
      <c r="P232" s="332">
        <f>IFERROR(VLOOKUP(TEXT(O232,"0"),CONDUCTORES!$A$3:$G$54,2,0),"")</f>
        <v/>
      </c>
      <c r="Q232" s="332">
        <f>IFERROR(VLOOKUP(TEXT(O232,"0"),CONDUCTORES!$A$3:$H$54,6,0),"")</f>
        <v/>
      </c>
      <c r="R232" s="280" t="n"/>
      <c r="S232" s="280" t="n"/>
      <c r="T232" s="280" t="n"/>
      <c r="U232" s="280" t="n"/>
      <c r="V232" s="280" t="n"/>
      <c r="W232" s="280" t="n"/>
      <c r="X232" s="280" t="n"/>
      <c r="Y232" s="280" t="n"/>
      <c r="Z232" s="350" t="n"/>
      <c r="AA232" s="198" t="n"/>
      <c r="AB232" s="198" t="n"/>
      <c r="AC232" s="198" t="n"/>
    </row>
    <row r="233" ht="15" customHeight="1" s="195">
      <c r="A233" s="280" t="n"/>
      <c r="B233" s="280" t="n"/>
      <c r="C233" s="280" t="n"/>
      <c r="D233" s="280" t="n"/>
      <c r="E233" s="280" t="n"/>
      <c r="F233" s="280" t="n"/>
      <c r="G233" s="280" t="n"/>
      <c r="H233" s="280" t="n"/>
      <c r="I233" s="332">
        <f>IFERROR(VLOOKUP(TEXT(H233,"0"),IPRESS!$A$3:$B$212,2,0),"")</f>
        <v/>
      </c>
      <c r="J233" s="280" t="n"/>
      <c r="K233" s="343" t="n"/>
      <c r="L233" s="280" t="n"/>
      <c r="M233" s="280" t="n"/>
      <c r="N233" s="345" t="n"/>
      <c r="O233" s="280" t="n"/>
      <c r="P233" s="332">
        <f>IFERROR(VLOOKUP(TEXT(O233,"0"),CONDUCTORES!$A$3:$G$54,2,0),"")</f>
        <v/>
      </c>
      <c r="Q233" s="332">
        <f>IFERROR(VLOOKUP(TEXT(O233,"0"),CONDUCTORES!$A$3:$H$54,6,0),"")</f>
        <v/>
      </c>
      <c r="R233" s="280" t="n"/>
      <c r="S233" s="280" t="n"/>
      <c r="T233" s="280" t="n"/>
      <c r="U233" s="280" t="n"/>
      <c r="V233" s="280" t="n"/>
      <c r="W233" s="280" t="n"/>
      <c r="X233" s="280" t="n"/>
      <c r="Y233" s="280" t="n"/>
      <c r="Z233" s="350" t="n"/>
      <c r="AA233" s="198" t="n"/>
      <c r="AB233" s="198" t="n"/>
      <c r="AC233" s="198" t="n"/>
    </row>
    <row r="234" ht="15" customHeight="1" s="195">
      <c r="A234" s="280" t="n"/>
      <c r="B234" s="280" t="n"/>
      <c r="C234" s="280" t="n"/>
      <c r="D234" s="280" t="n"/>
      <c r="E234" s="280" t="n"/>
      <c r="F234" s="280" t="n"/>
      <c r="G234" s="280" t="n"/>
      <c r="H234" s="280" t="n"/>
      <c r="I234" s="332">
        <f>IFERROR(VLOOKUP(TEXT(H234,"0"),IPRESS!$A$3:$B$212,2,0),"")</f>
        <v/>
      </c>
      <c r="J234" s="280" t="n"/>
      <c r="K234" s="343" t="n"/>
      <c r="L234" s="280" t="n"/>
      <c r="M234" s="280" t="n"/>
      <c r="N234" s="345" t="n"/>
      <c r="O234" s="280" t="n"/>
      <c r="P234" s="332">
        <f>IFERROR(VLOOKUP(TEXT(O234,"0"),CONDUCTORES!$A$3:$G$54,2,0),"")</f>
        <v/>
      </c>
      <c r="Q234" s="332">
        <f>IFERROR(VLOOKUP(TEXT(O234,"0"),CONDUCTORES!$A$3:$H$54,6,0),"")</f>
        <v/>
      </c>
      <c r="R234" s="280" t="n"/>
      <c r="S234" s="280" t="n"/>
      <c r="T234" s="280" t="n"/>
      <c r="U234" s="280" t="n"/>
      <c r="V234" s="280" t="n"/>
      <c r="W234" s="280" t="n"/>
      <c r="X234" s="280" t="n"/>
      <c r="Y234" s="280" t="n"/>
      <c r="Z234" s="350" t="n"/>
      <c r="AA234" s="198" t="n"/>
      <c r="AB234" s="198" t="n"/>
      <c r="AC234" s="198" t="n"/>
    </row>
    <row r="235" ht="15" customHeight="1" s="195">
      <c r="A235" s="280" t="n"/>
      <c r="B235" s="280" t="n"/>
      <c r="C235" s="280" t="n"/>
      <c r="D235" s="280" t="n"/>
      <c r="E235" s="280" t="n"/>
      <c r="F235" s="280" t="n"/>
      <c r="G235" s="280" t="n"/>
      <c r="H235" s="280" t="n"/>
      <c r="I235" s="332">
        <f>IFERROR(VLOOKUP(TEXT(H235,"0"),IPRESS!$A$3:$B$212,2,0),"")</f>
        <v/>
      </c>
      <c r="J235" s="280" t="n"/>
      <c r="K235" s="343" t="n"/>
      <c r="L235" s="280" t="n"/>
      <c r="M235" s="280" t="n"/>
      <c r="N235" s="345" t="n"/>
      <c r="O235" s="280" t="n"/>
      <c r="P235" s="332">
        <f>IFERROR(VLOOKUP(TEXT(O235,"0"),CONDUCTORES!$A$3:$G$54,2,0),"")</f>
        <v/>
      </c>
      <c r="Q235" s="332">
        <f>IFERROR(VLOOKUP(TEXT(O235,"0"),CONDUCTORES!$A$3:$H$54,6,0),"")</f>
        <v/>
      </c>
      <c r="R235" s="280" t="n"/>
      <c r="S235" s="280" t="n"/>
      <c r="T235" s="280" t="n"/>
      <c r="U235" s="280" t="n"/>
      <c r="V235" s="280" t="n"/>
      <c r="W235" s="280" t="n"/>
      <c r="X235" s="280" t="n"/>
      <c r="Y235" s="280" t="n"/>
      <c r="Z235" s="350" t="n"/>
      <c r="AA235" s="198" t="n"/>
      <c r="AB235" s="198" t="n"/>
      <c r="AC235" s="198" t="n"/>
    </row>
    <row r="236" ht="15" customHeight="1" s="195">
      <c r="A236" s="280" t="n"/>
      <c r="B236" s="280" t="n"/>
      <c r="C236" s="280" t="n"/>
      <c r="D236" s="280" t="n"/>
      <c r="E236" s="280" t="n"/>
      <c r="F236" s="280" t="n"/>
      <c r="G236" s="280" t="n"/>
      <c r="H236" s="280" t="n"/>
      <c r="I236" s="332">
        <f>IFERROR(VLOOKUP(TEXT(H236,"0"),IPRESS!$A$3:$B$212,2,0),"")</f>
        <v/>
      </c>
      <c r="J236" s="280" t="n"/>
      <c r="K236" s="343" t="n"/>
      <c r="L236" s="280" t="n"/>
      <c r="M236" s="280" t="n"/>
      <c r="N236" s="345" t="n"/>
      <c r="O236" s="280" t="n"/>
      <c r="P236" s="332">
        <f>IFERROR(VLOOKUP(TEXT(O236,"0"),CONDUCTORES!$A$3:$G$54,2,0),"")</f>
        <v/>
      </c>
      <c r="Q236" s="332">
        <f>IFERROR(VLOOKUP(TEXT(O236,"0"),CONDUCTORES!$A$3:$H$54,6,0),"")</f>
        <v/>
      </c>
      <c r="R236" s="280" t="n"/>
      <c r="S236" s="280" t="n"/>
      <c r="T236" s="280" t="n"/>
      <c r="U236" s="280" t="n"/>
      <c r="V236" s="280" t="n"/>
      <c r="W236" s="280" t="n"/>
      <c r="X236" s="280" t="n"/>
      <c r="Y236" s="280" t="n"/>
      <c r="Z236" s="350" t="n"/>
      <c r="AA236" s="198" t="n"/>
      <c r="AB236" s="198" t="n"/>
      <c r="AC236" s="198" t="n"/>
    </row>
    <row r="237" ht="15" customHeight="1" s="195">
      <c r="A237" s="280" t="n"/>
      <c r="B237" s="280" t="n"/>
      <c r="C237" s="280" t="n"/>
      <c r="D237" s="280" t="n"/>
      <c r="E237" s="280" t="n"/>
      <c r="F237" s="280" t="n"/>
      <c r="G237" s="280" t="n"/>
      <c r="H237" s="280" t="n"/>
      <c r="I237" s="332">
        <f>IFERROR(VLOOKUP(TEXT(H237,"0"),IPRESS!$A$3:$B$212,2,0),"")</f>
        <v/>
      </c>
      <c r="J237" s="280" t="n"/>
      <c r="K237" s="343" t="n"/>
      <c r="L237" s="280" t="n"/>
      <c r="M237" s="280" t="n"/>
      <c r="N237" s="345" t="n"/>
      <c r="O237" s="280" t="n"/>
      <c r="P237" s="332">
        <f>IFERROR(VLOOKUP(TEXT(O237,"0"),CONDUCTORES!$A$3:$G$54,2,0),"")</f>
        <v/>
      </c>
      <c r="Q237" s="332">
        <f>IFERROR(VLOOKUP(TEXT(O237,"0"),CONDUCTORES!$A$3:$H$54,6,0),"")</f>
        <v/>
      </c>
      <c r="R237" s="280" t="n"/>
      <c r="S237" s="280" t="n"/>
      <c r="T237" s="280" t="n"/>
      <c r="U237" s="280" t="n"/>
      <c r="V237" s="280" t="n"/>
      <c r="W237" s="280" t="n"/>
      <c r="X237" s="280" t="n"/>
      <c r="Y237" s="280" t="n"/>
      <c r="Z237" s="350" t="n"/>
      <c r="AA237" s="198" t="n"/>
      <c r="AB237" s="198" t="n"/>
      <c r="AC237" s="198" t="n"/>
    </row>
    <row r="238" ht="15" customHeight="1" s="195">
      <c r="A238" s="280" t="n"/>
      <c r="B238" s="280" t="n"/>
      <c r="C238" s="280" t="n"/>
      <c r="D238" s="280" t="n"/>
      <c r="E238" s="280" t="n"/>
      <c r="F238" s="280" t="n"/>
      <c r="G238" s="280" t="n"/>
      <c r="H238" s="280" t="n"/>
      <c r="I238" s="332">
        <f>IFERROR(VLOOKUP(TEXT(H238,"0"),IPRESS!$A$3:$B$212,2,0),"")</f>
        <v/>
      </c>
      <c r="J238" s="280" t="n"/>
      <c r="K238" s="343" t="n"/>
      <c r="L238" s="280" t="n"/>
      <c r="M238" s="280" t="n"/>
      <c r="N238" s="345" t="n"/>
      <c r="O238" s="280" t="n"/>
      <c r="P238" s="332">
        <f>IFERROR(VLOOKUP(TEXT(O238,"0"),CONDUCTORES!$A$3:$G$54,2,0),"")</f>
        <v/>
      </c>
      <c r="Q238" s="332">
        <f>IFERROR(VLOOKUP(TEXT(O238,"0"),CONDUCTORES!$A$3:$H$54,6,0),"")</f>
        <v/>
      </c>
      <c r="R238" s="280" t="n"/>
      <c r="S238" s="280" t="n"/>
      <c r="T238" s="280" t="n"/>
      <c r="U238" s="280" t="n"/>
      <c r="V238" s="280" t="n"/>
      <c r="W238" s="280" t="n"/>
      <c r="X238" s="280" t="n"/>
      <c r="Y238" s="280" t="n"/>
      <c r="Z238" s="350" t="n"/>
      <c r="AA238" s="198" t="n"/>
      <c r="AB238" s="198" t="n"/>
      <c r="AC238" s="198" t="n"/>
    </row>
    <row r="239" ht="15" customHeight="1" s="195">
      <c r="A239" s="280" t="n"/>
      <c r="B239" s="280" t="n"/>
      <c r="C239" s="280" t="n"/>
      <c r="D239" s="280" t="n"/>
      <c r="E239" s="280" t="n"/>
      <c r="F239" s="280" t="n"/>
      <c r="G239" s="280" t="n"/>
      <c r="H239" s="280" t="n"/>
      <c r="I239" s="332">
        <f>IFERROR(VLOOKUP(TEXT(H239,"0"),IPRESS!$A$3:$B$212,2,0),"")</f>
        <v/>
      </c>
      <c r="J239" s="280" t="n"/>
      <c r="K239" s="343" t="n"/>
      <c r="L239" s="280" t="n"/>
      <c r="M239" s="280" t="n"/>
      <c r="N239" s="345" t="n"/>
      <c r="O239" s="280" t="n"/>
      <c r="P239" s="332">
        <f>IFERROR(VLOOKUP(TEXT(O239,"0"),CONDUCTORES!$A$3:$G$54,2,0),"")</f>
        <v/>
      </c>
      <c r="Q239" s="332">
        <f>IFERROR(VLOOKUP(TEXT(O239,"0"),CONDUCTORES!$A$3:$H$54,6,0),"")</f>
        <v/>
      </c>
      <c r="R239" s="280" t="n"/>
      <c r="S239" s="280" t="n"/>
      <c r="T239" s="280" t="n"/>
      <c r="U239" s="280" t="n"/>
      <c r="V239" s="280" t="n"/>
      <c r="W239" s="280" t="n"/>
      <c r="X239" s="280" t="n"/>
      <c r="Y239" s="280" t="n"/>
      <c r="Z239" s="350" t="n"/>
      <c r="AA239" s="198" t="n"/>
      <c r="AB239" s="198" t="n"/>
      <c r="AC239" s="198" t="n"/>
    </row>
    <row r="240" ht="15" customHeight="1" s="195">
      <c r="A240" s="280" t="n"/>
      <c r="B240" s="280" t="n"/>
      <c r="C240" s="280" t="n"/>
      <c r="D240" s="280" t="n"/>
      <c r="E240" s="280" t="n"/>
      <c r="F240" s="280" t="n"/>
      <c r="G240" s="280" t="n"/>
      <c r="H240" s="280" t="n"/>
      <c r="I240" s="332">
        <f>IFERROR(VLOOKUP(TEXT(H240,"0"),IPRESS!$A$3:$B$212,2,0),"")</f>
        <v/>
      </c>
      <c r="J240" s="280" t="n"/>
      <c r="K240" s="343" t="n"/>
      <c r="L240" s="280" t="n"/>
      <c r="M240" s="280" t="n"/>
      <c r="N240" s="345" t="n"/>
      <c r="O240" s="280" t="n"/>
      <c r="P240" s="332">
        <f>IFERROR(VLOOKUP(TEXT(O240,"0"),CONDUCTORES!$A$3:$G$54,2,0),"")</f>
        <v/>
      </c>
      <c r="Q240" s="332">
        <f>IFERROR(VLOOKUP(TEXT(O240,"0"),CONDUCTORES!$A$3:$H$54,6,0),"")</f>
        <v/>
      </c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350" t="n"/>
      <c r="AA240" s="198" t="n"/>
      <c r="AB240" s="198" t="n"/>
      <c r="AC240" s="198" t="n"/>
    </row>
    <row r="241" ht="15" customHeight="1" s="195">
      <c r="A241" s="280" t="n"/>
      <c r="B241" s="280" t="n"/>
      <c r="C241" s="280" t="n"/>
      <c r="D241" s="280" t="n"/>
      <c r="E241" s="280" t="n"/>
      <c r="F241" s="280" t="n"/>
      <c r="G241" s="280" t="n"/>
      <c r="H241" s="280" t="n"/>
      <c r="I241" s="332">
        <f>IFERROR(VLOOKUP(TEXT(H241,"0"),IPRESS!$A$3:$B$212,2,0),"")</f>
        <v/>
      </c>
      <c r="J241" s="280" t="n"/>
      <c r="K241" s="343" t="n"/>
      <c r="L241" s="280" t="n"/>
      <c r="M241" s="280" t="n"/>
      <c r="N241" s="345" t="n"/>
      <c r="O241" s="280" t="n"/>
      <c r="P241" s="332">
        <f>IFERROR(VLOOKUP(TEXT(O241,"0"),CONDUCTORES!$A$3:$G$54,2,0),"")</f>
        <v/>
      </c>
      <c r="Q241" s="332">
        <f>IFERROR(VLOOKUP(TEXT(O241,"0"),CONDUCTORES!$A$3:$H$54,6,0),"")</f>
        <v/>
      </c>
      <c r="R241" s="280" t="n"/>
      <c r="S241" s="280" t="n"/>
      <c r="T241" s="280" t="n"/>
      <c r="U241" s="280" t="n"/>
      <c r="V241" s="280" t="n"/>
      <c r="W241" s="280" t="n"/>
      <c r="X241" s="280" t="n"/>
      <c r="Y241" s="280" t="n"/>
      <c r="Z241" s="350" t="n"/>
      <c r="AA241" s="198" t="n"/>
      <c r="AB241" s="198" t="n"/>
      <c r="AC241" s="198" t="n"/>
    </row>
    <row r="242" ht="15" customHeight="1" s="195">
      <c r="A242" s="280" t="n"/>
      <c r="B242" s="280" t="n"/>
      <c r="C242" s="280" t="n"/>
      <c r="D242" s="280" t="n"/>
      <c r="E242" s="280" t="n"/>
      <c r="F242" s="280" t="n"/>
      <c r="G242" s="280" t="n"/>
      <c r="H242" s="280" t="n"/>
      <c r="I242" s="332">
        <f>IFERROR(VLOOKUP(TEXT(H242,"0"),IPRESS!$A$3:$B$212,2,0),"")</f>
        <v/>
      </c>
      <c r="J242" s="280" t="n"/>
      <c r="K242" s="343" t="n"/>
      <c r="L242" s="280" t="n"/>
      <c r="M242" s="280" t="n"/>
      <c r="N242" s="345" t="n"/>
      <c r="O242" s="280" t="n"/>
      <c r="P242" s="332">
        <f>IFERROR(VLOOKUP(TEXT(O242,"0"),CONDUCTORES!$A$3:$G$54,2,0),"")</f>
        <v/>
      </c>
      <c r="Q242" s="332">
        <f>IFERROR(VLOOKUP(TEXT(O242,"0"),CONDUCTORES!$A$3:$H$54,6,0),"")</f>
        <v/>
      </c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350" t="n"/>
      <c r="AA242" s="198" t="n"/>
      <c r="AB242" s="198" t="n"/>
      <c r="AC242" s="198" t="n"/>
    </row>
    <row r="243" ht="15" customHeight="1" s="195">
      <c r="A243" s="280" t="n"/>
      <c r="B243" s="280" t="n"/>
      <c r="C243" s="280" t="n"/>
      <c r="D243" s="280" t="n"/>
      <c r="E243" s="280" t="n"/>
      <c r="F243" s="280" t="n"/>
      <c r="G243" s="280" t="n"/>
      <c r="H243" s="280" t="n"/>
      <c r="I243" s="332">
        <f>IFERROR(VLOOKUP(TEXT(H243,"0"),IPRESS!$A$3:$B$212,2,0),"")</f>
        <v/>
      </c>
      <c r="J243" s="280" t="n"/>
      <c r="K243" s="343" t="n"/>
      <c r="L243" s="280" t="n"/>
      <c r="M243" s="280" t="n"/>
      <c r="N243" s="345" t="n"/>
      <c r="O243" s="280" t="n"/>
      <c r="P243" s="332">
        <f>IFERROR(VLOOKUP(TEXT(O243,"0"),CONDUCTORES!$A$3:$G$54,2,0),"")</f>
        <v/>
      </c>
      <c r="Q243" s="332">
        <f>IFERROR(VLOOKUP(TEXT(O243,"0"),CONDUCTORES!$A$3:$H$54,6,0),"")</f>
        <v/>
      </c>
      <c r="R243" s="280" t="n"/>
      <c r="S243" s="280" t="n"/>
      <c r="T243" s="280" t="n"/>
      <c r="U243" s="280" t="n"/>
      <c r="V243" s="280" t="n"/>
      <c r="W243" s="280" t="n"/>
      <c r="X243" s="280" t="n"/>
      <c r="Y243" s="280" t="n"/>
      <c r="Z243" s="350" t="n"/>
      <c r="AA243" s="198" t="n"/>
      <c r="AB243" s="198" t="n"/>
      <c r="AC243" s="198" t="n"/>
    </row>
    <row r="244" ht="15" customHeight="1" s="195">
      <c r="A244" s="280" t="n"/>
      <c r="B244" s="280" t="n"/>
      <c r="C244" s="280" t="n"/>
      <c r="D244" s="280" t="n"/>
      <c r="E244" s="280" t="n"/>
      <c r="F244" s="280" t="n"/>
      <c r="G244" s="280" t="n"/>
      <c r="H244" s="280" t="n"/>
      <c r="I244" s="332">
        <f>IFERROR(VLOOKUP(TEXT(H244,"0"),IPRESS!$A$3:$B$212,2,0),"")</f>
        <v/>
      </c>
      <c r="J244" s="280" t="n"/>
      <c r="K244" s="343" t="n"/>
      <c r="L244" s="280" t="n"/>
      <c r="M244" s="280" t="n"/>
      <c r="N244" s="345" t="n"/>
      <c r="O244" s="280" t="n"/>
      <c r="P244" s="332">
        <f>IFERROR(VLOOKUP(TEXT(O244,"0"),CONDUCTORES!$A$3:$G$54,2,0),"")</f>
        <v/>
      </c>
      <c r="Q244" s="332">
        <f>IFERROR(VLOOKUP(TEXT(O244,"0"),CONDUCTORES!$A$3:$H$54,6,0),"")</f>
        <v/>
      </c>
      <c r="R244" s="280" t="n"/>
      <c r="S244" s="280" t="n"/>
      <c r="T244" s="280" t="n"/>
      <c r="U244" s="280" t="n"/>
      <c r="V244" s="280" t="n"/>
      <c r="W244" s="280" t="n"/>
      <c r="X244" s="280" t="n"/>
      <c r="Y244" s="280" t="n"/>
      <c r="Z244" s="350" t="n"/>
      <c r="AA244" s="198" t="n"/>
      <c r="AB244" s="198" t="n"/>
      <c r="AC244" s="198" t="n"/>
    </row>
    <row r="245" ht="15" customHeight="1" s="195">
      <c r="A245" s="280" t="n"/>
      <c r="B245" s="280" t="n"/>
      <c r="C245" s="280" t="n"/>
      <c r="D245" s="280" t="n"/>
      <c r="E245" s="280" t="n"/>
      <c r="F245" s="280" t="n"/>
      <c r="G245" s="280" t="n"/>
      <c r="H245" s="280" t="n"/>
      <c r="I245" s="332">
        <f>IFERROR(VLOOKUP(TEXT(H245,"0"),IPRESS!$A$3:$B$212,2,0),"")</f>
        <v/>
      </c>
      <c r="J245" s="280" t="n"/>
      <c r="K245" s="343" t="n"/>
      <c r="L245" s="280" t="n"/>
      <c r="M245" s="280" t="n"/>
      <c r="N245" s="345" t="n"/>
      <c r="O245" s="280" t="n"/>
      <c r="P245" s="332">
        <f>IFERROR(VLOOKUP(TEXT(O245,"0"),CONDUCTORES!$A$3:$G$54,2,0),"")</f>
        <v/>
      </c>
      <c r="Q245" s="332">
        <f>IFERROR(VLOOKUP(TEXT(O245,"0"),CONDUCTORES!$A$3:$H$54,6,0),"")</f>
        <v/>
      </c>
      <c r="R245" s="280" t="n"/>
      <c r="S245" s="280" t="n"/>
      <c r="T245" s="280" t="n"/>
      <c r="U245" s="280" t="n"/>
      <c r="V245" s="280" t="n"/>
      <c r="W245" s="280" t="n"/>
      <c r="X245" s="280" t="n"/>
      <c r="Y245" s="280" t="n"/>
      <c r="Z245" s="350" t="n"/>
      <c r="AA245" s="198" t="n"/>
      <c r="AB245" s="198" t="n"/>
      <c r="AC245" s="198" t="n"/>
    </row>
    <row r="246" ht="15" customHeight="1" s="195">
      <c r="A246" s="280" t="n"/>
      <c r="B246" s="280" t="n"/>
      <c r="C246" s="280" t="n"/>
      <c r="D246" s="280" t="n"/>
      <c r="E246" s="280" t="n"/>
      <c r="F246" s="280" t="n"/>
      <c r="G246" s="280" t="n"/>
      <c r="H246" s="280" t="n"/>
      <c r="I246" s="332">
        <f>IFERROR(VLOOKUP(TEXT(H246,"0"),IPRESS!$A$3:$B$212,2,0),"")</f>
        <v/>
      </c>
      <c r="J246" s="280" t="n"/>
      <c r="K246" s="343" t="n"/>
      <c r="L246" s="280" t="n"/>
      <c r="M246" s="280" t="n"/>
      <c r="N246" s="345" t="n"/>
      <c r="O246" s="280" t="n"/>
      <c r="P246" s="332">
        <f>IFERROR(VLOOKUP(TEXT(O246,"0"),CONDUCTORES!$A$3:$G$54,2,0),"")</f>
        <v/>
      </c>
      <c r="Q246" s="332">
        <f>IFERROR(VLOOKUP(TEXT(O246,"0"),CONDUCTORES!$A$3:$H$54,6,0),"")</f>
        <v/>
      </c>
      <c r="R246" s="280" t="n"/>
      <c r="S246" s="280" t="n"/>
      <c r="T246" s="280" t="n"/>
      <c r="U246" s="280" t="n"/>
      <c r="V246" s="280" t="n"/>
      <c r="W246" s="280" t="n"/>
      <c r="X246" s="280" t="n"/>
      <c r="Y246" s="280" t="n"/>
      <c r="Z246" s="350" t="n"/>
      <c r="AA246" s="198" t="n"/>
      <c r="AB246" s="198" t="n"/>
      <c r="AC246" s="198" t="n"/>
    </row>
    <row r="247" ht="15" customHeight="1" s="195">
      <c r="A247" s="280" t="n"/>
      <c r="B247" s="280" t="n"/>
      <c r="C247" s="280" t="n"/>
      <c r="D247" s="280" t="n"/>
      <c r="E247" s="280" t="n"/>
      <c r="F247" s="280" t="n"/>
      <c r="G247" s="280" t="n"/>
      <c r="H247" s="280" t="n"/>
      <c r="I247" s="332">
        <f>IFERROR(VLOOKUP(TEXT(H247,"0"),IPRESS!$A$3:$B$212,2,0),"")</f>
        <v/>
      </c>
      <c r="J247" s="280" t="n"/>
      <c r="K247" s="343" t="n"/>
      <c r="L247" s="280" t="n"/>
      <c r="M247" s="280" t="n"/>
      <c r="N247" s="345" t="n"/>
      <c r="O247" s="280" t="n"/>
      <c r="P247" s="332">
        <f>IFERROR(VLOOKUP(TEXT(O247,"0"),CONDUCTORES!$A$3:$G$54,2,0),"")</f>
        <v/>
      </c>
      <c r="Q247" s="332">
        <f>IFERROR(VLOOKUP(TEXT(O247,"0"),CONDUCTORES!$A$3:$H$54,6,0),"")</f>
        <v/>
      </c>
      <c r="R247" s="280" t="n"/>
      <c r="S247" s="280" t="n"/>
      <c r="T247" s="280" t="n"/>
      <c r="U247" s="280" t="n"/>
      <c r="V247" s="280" t="n"/>
      <c r="W247" s="280" t="n"/>
      <c r="X247" s="280" t="n"/>
      <c r="Y247" s="280" t="n"/>
      <c r="Z247" s="350" t="n"/>
      <c r="AA247" s="198" t="n"/>
      <c r="AB247" s="198" t="n"/>
      <c r="AC247" s="198" t="n"/>
    </row>
    <row r="248" ht="15" customHeight="1" s="195">
      <c r="A248" s="280" t="n"/>
      <c r="B248" s="280" t="n"/>
      <c r="C248" s="280" t="n"/>
      <c r="D248" s="280" t="n"/>
      <c r="E248" s="280" t="n"/>
      <c r="F248" s="280" t="n"/>
      <c r="G248" s="280" t="n"/>
      <c r="H248" s="280" t="n"/>
      <c r="I248" s="332">
        <f>IFERROR(VLOOKUP(TEXT(H248,"0"),IPRESS!$A$3:$B$212,2,0),"")</f>
        <v/>
      </c>
      <c r="J248" s="280" t="n"/>
      <c r="K248" s="343" t="n"/>
      <c r="L248" s="280" t="n"/>
      <c r="M248" s="280" t="n"/>
      <c r="N248" s="345" t="n"/>
      <c r="O248" s="280" t="n"/>
      <c r="P248" s="332">
        <f>IFERROR(VLOOKUP(TEXT(O248,"0"),CONDUCTORES!$A$3:$G$54,2,0),"")</f>
        <v/>
      </c>
      <c r="Q248" s="332">
        <f>IFERROR(VLOOKUP(TEXT(O248,"0"),CONDUCTORES!$A$3:$H$54,6,0),"")</f>
        <v/>
      </c>
      <c r="R248" s="280" t="n"/>
      <c r="S248" s="280" t="n"/>
      <c r="T248" s="280" t="n"/>
      <c r="U248" s="280" t="n"/>
      <c r="V248" s="280" t="n"/>
      <c r="W248" s="280" t="n"/>
      <c r="X248" s="280" t="n"/>
      <c r="Y248" s="280" t="n"/>
      <c r="Z248" s="350" t="n"/>
      <c r="AA248" s="198" t="n"/>
      <c r="AB248" s="198" t="n"/>
      <c r="AC248" s="198" t="n"/>
    </row>
    <row r="249" ht="15" customHeight="1" s="195">
      <c r="A249" s="280" t="n"/>
      <c r="B249" s="280" t="n"/>
      <c r="C249" s="280" t="n"/>
      <c r="D249" s="280" t="n"/>
      <c r="E249" s="280" t="n"/>
      <c r="F249" s="280" t="n"/>
      <c r="G249" s="280" t="n"/>
      <c r="H249" s="280" t="n"/>
      <c r="I249" s="332">
        <f>IFERROR(VLOOKUP(TEXT(H249,"0"),IPRESS!$A$3:$B$212,2,0),"")</f>
        <v/>
      </c>
      <c r="J249" s="280" t="n"/>
      <c r="K249" s="343" t="n"/>
      <c r="L249" s="280" t="n"/>
      <c r="M249" s="280" t="n"/>
      <c r="N249" s="345" t="n"/>
      <c r="O249" s="280" t="n"/>
      <c r="P249" s="332">
        <f>IFERROR(VLOOKUP(TEXT(O249,"0"),CONDUCTORES!$A$3:$G$54,2,0),"")</f>
        <v/>
      </c>
      <c r="Q249" s="332">
        <f>IFERROR(VLOOKUP(TEXT(O249,"0"),CONDUCTORES!$A$3:$H$54,6,0),"")</f>
        <v/>
      </c>
      <c r="R249" s="280" t="n"/>
      <c r="S249" s="280" t="n"/>
      <c r="T249" s="280" t="n"/>
      <c r="U249" s="280" t="n"/>
      <c r="V249" s="280" t="n"/>
      <c r="W249" s="280" t="n"/>
      <c r="X249" s="280" t="n"/>
      <c r="Y249" s="280" t="n"/>
      <c r="Z249" s="350" t="n"/>
      <c r="AA249" s="198" t="n"/>
      <c r="AB249" s="198" t="n"/>
      <c r="AC249" s="198" t="n"/>
    </row>
    <row r="250" ht="15" customHeight="1" s="195">
      <c r="A250" s="280" t="n"/>
      <c r="B250" s="280" t="n"/>
      <c r="C250" s="280" t="n"/>
      <c r="D250" s="280" t="n"/>
      <c r="E250" s="280" t="n"/>
      <c r="F250" s="280" t="n"/>
      <c r="G250" s="280" t="n"/>
      <c r="H250" s="280" t="n"/>
      <c r="I250" s="332">
        <f>IFERROR(VLOOKUP(TEXT(H250,"0"),IPRESS!$A$3:$B$212,2,0),"")</f>
        <v/>
      </c>
      <c r="J250" s="280" t="n"/>
      <c r="K250" s="343" t="n"/>
      <c r="L250" s="280" t="n"/>
      <c r="M250" s="280" t="n"/>
      <c r="N250" s="345" t="n"/>
      <c r="O250" s="280" t="n"/>
      <c r="P250" s="332">
        <f>IFERROR(VLOOKUP(TEXT(O250,"0"),CONDUCTORES!$A$3:$G$54,2,0),"")</f>
        <v/>
      </c>
      <c r="Q250" s="332">
        <f>IFERROR(VLOOKUP(TEXT(O250,"0"),CONDUCTORES!$A$3:$H$54,6,0),"")</f>
        <v/>
      </c>
      <c r="R250" s="280" t="n"/>
      <c r="S250" s="280" t="n"/>
      <c r="T250" s="280" t="n"/>
      <c r="U250" s="280" t="n"/>
      <c r="V250" s="280" t="n"/>
      <c r="W250" s="280" t="n"/>
      <c r="X250" s="280" t="n"/>
      <c r="Y250" s="280" t="n"/>
      <c r="Z250" s="350" t="n"/>
      <c r="AA250" s="198" t="n"/>
      <c r="AB250" s="198" t="n"/>
      <c r="AC250" s="198" t="n"/>
    </row>
    <row r="251" ht="15" customHeight="1" s="195">
      <c r="A251" s="280" t="n"/>
      <c r="B251" s="280" t="n"/>
      <c r="C251" s="280" t="n"/>
      <c r="D251" s="280" t="n"/>
      <c r="E251" s="280" t="n"/>
      <c r="F251" s="280" t="n"/>
      <c r="G251" s="280" t="n"/>
      <c r="H251" s="280" t="n"/>
      <c r="I251" s="332">
        <f>IFERROR(VLOOKUP(TEXT(H251,"0"),IPRESS!$A$3:$B$212,2,0),"")</f>
        <v/>
      </c>
      <c r="J251" s="280" t="n"/>
      <c r="K251" s="343" t="n"/>
      <c r="L251" s="280" t="n"/>
      <c r="M251" s="280" t="n"/>
      <c r="N251" s="345" t="n"/>
      <c r="O251" s="280" t="n"/>
      <c r="P251" s="332">
        <f>IFERROR(VLOOKUP(TEXT(O251,"0"),CONDUCTORES!$A$3:$G$54,2,0),"")</f>
        <v/>
      </c>
      <c r="Q251" s="332">
        <f>IFERROR(VLOOKUP(TEXT(O251,"0"),CONDUCTORES!$A$3:$H$54,6,0),"")</f>
        <v/>
      </c>
      <c r="R251" s="280" t="n"/>
      <c r="S251" s="280" t="n"/>
      <c r="T251" s="280" t="n"/>
      <c r="U251" s="280" t="n"/>
      <c r="V251" s="280" t="n"/>
      <c r="W251" s="280" t="n"/>
      <c r="X251" s="280" t="n"/>
      <c r="Y251" s="280" t="n"/>
      <c r="Z251" s="350" t="n"/>
      <c r="AA251" s="198" t="n"/>
      <c r="AB251" s="198" t="n"/>
      <c r="AC251" s="198" t="n"/>
    </row>
    <row r="252" ht="15" customHeight="1" s="195">
      <c r="A252" s="280" t="n"/>
      <c r="B252" s="280" t="n"/>
      <c r="C252" s="280" t="n"/>
      <c r="D252" s="280" t="n"/>
      <c r="E252" s="280" t="n"/>
      <c r="F252" s="280" t="n"/>
      <c r="G252" s="280" t="n"/>
      <c r="H252" s="280" t="n"/>
      <c r="I252" s="332">
        <f>IFERROR(VLOOKUP(TEXT(H252,"0"),IPRESS!$A$3:$B$212,2,0),"")</f>
        <v/>
      </c>
      <c r="J252" s="280" t="n"/>
      <c r="K252" s="343" t="n"/>
      <c r="L252" s="280" t="n"/>
      <c r="M252" s="280" t="n"/>
      <c r="N252" s="345" t="n"/>
      <c r="O252" s="280" t="n"/>
      <c r="P252" s="332">
        <f>IFERROR(VLOOKUP(TEXT(O252,"0"),CONDUCTORES!$A$3:$G$54,2,0),"")</f>
        <v/>
      </c>
      <c r="Q252" s="332">
        <f>IFERROR(VLOOKUP(TEXT(O252,"0"),CONDUCTORES!$A$3:$H$54,6,0),"")</f>
        <v/>
      </c>
      <c r="R252" s="280" t="n"/>
      <c r="S252" s="280" t="n"/>
      <c r="T252" s="280" t="n"/>
      <c r="U252" s="280" t="n"/>
      <c r="V252" s="280" t="n"/>
      <c r="W252" s="280" t="n"/>
      <c r="X252" s="280" t="n"/>
      <c r="Y252" s="280" t="n"/>
      <c r="Z252" s="350" t="n"/>
      <c r="AA252" s="198" t="n"/>
      <c r="AB252" s="198" t="n"/>
      <c r="AC252" s="198" t="n"/>
    </row>
    <row r="253" ht="15" customHeight="1" s="195">
      <c r="A253" s="280" t="n"/>
      <c r="B253" s="280" t="n"/>
      <c r="C253" s="280" t="n"/>
      <c r="D253" s="280" t="n"/>
      <c r="E253" s="280" t="n"/>
      <c r="F253" s="280" t="n"/>
      <c r="G253" s="280" t="n"/>
      <c r="H253" s="280" t="n"/>
      <c r="I253" s="332">
        <f>IFERROR(VLOOKUP(TEXT(H253,"0"),IPRESS!$A$3:$B$212,2,0),"")</f>
        <v/>
      </c>
      <c r="J253" s="280" t="n"/>
      <c r="K253" s="343" t="n"/>
      <c r="L253" s="280" t="n"/>
      <c r="M253" s="280" t="n"/>
      <c r="N253" s="345" t="n"/>
      <c r="O253" s="280" t="n"/>
      <c r="P253" s="332">
        <f>IFERROR(VLOOKUP(TEXT(O253,"0"),CONDUCTORES!$A$3:$G$54,2,0),"")</f>
        <v/>
      </c>
      <c r="Q253" s="332">
        <f>IFERROR(VLOOKUP(TEXT(O253,"0"),CONDUCTORES!$A$3:$H$54,6,0),"")</f>
        <v/>
      </c>
      <c r="R253" s="280" t="n"/>
      <c r="S253" s="280" t="n"/>
      <c r="T253" s="280" t="n"/>
      <c r="U253" s="280" t="n"/>
      <c r="V253" s="280" t="n"/>
      <c r="W253" s="280" t="n"/>
      <c r="X253" s="280" t="n"/>
      <c r="Y253" s="280" t="n"/>
      <c r="Z253" s="350" t="n"/>
      <c r="AA253" s="198" t="n"/>
      <c r="AB253" s="198" t="n"/>
      <c r="AC253" s="198" t="n"/>
    </row>
    <row r="254" ht="15" customHeight="1" s="195">
      <c r="A254" s="280" t="n"/>
      <c r="B254" s="280" t="n"/>
      <c r="C254" s="280" t="n"/>
      <c r="D254" s="280" t="n"/>
      <c r="E254" s="280" t="n"/>
      <c r="F254" s="280" t="n"/>
      <c r="G254" s="280" t="n"/>
      <c r="H254" s="280" t="n"/>
      <c r="I254" s="332">
        <f>IFERROR(VLOOKUP(TEXT(H254,"0"),IPRESS!$A$3:$B$212,2,0),"")</f>
        <v/>
      </c>
      <c r="J254" s="280" t="n"/>
      <c r="K254" s="343" t="n"/>
      <c r="L254" s="280" t="n"/>
      <c r="M254" s="280" t="n"/>
      <c r="N254" s="345" t="n"/>
      <c r="O254" s="280" t="n"/>
      <c r="P254" s="332">
        <f>IFERROR(VLOOKUP(TEXT(O254,"0"),CONDUCTORES!$A$3:$G$54,2,0),"")</f>
        <v/>
      </c>
      <c r="Q254" s="332">
        <f>IFERROR(VLOOKUP(TEXT(O254,"0"),CONDUCTORES!$A$3:$H$54,6,0),"")</f>
        <v/>
      </c>
      <c r="R254" s="280" t="n"/>
      <c r="S254" s="280" t="n"/>
      <c r="T254" s="280" t="n"/>
      <c r="U254" s="280" t="n"/>
      <c r="V254" s="280" t="n"/>
      <c r="W254" s="280" t="n"/>
      <c r="X254" s="280" t="n"/>
      <c r="Y254" s="280" t="n"/>
      <c r="Z254" s="350" t="n"/>
      <c r="AA254" s="198" t="n"/>
      <c r="AB254" s="198" t="n"/>
      <c r="AC254" s="198" t="n"/>
    </row>
    <row r="255" ht="15" customHeight="1" s="195">
      <c r="A255" s="280" t="n"/>
      <c r="B255" s="280" t="n"/>
      <c r="C255" s="280" t="n"/>
      <c r="D255" s="280" t="n"/>
      <c r="E255" s="280" t="n"/>
      <c r="F255" s="280" t="n"/>
      <c r="G255" s="280" t="n"/>
      <c r="H255" s="280" t="n"/>
      <c r="I255" s="332">
        <f>IFERROR(VLOOKUP(TEXT(H255,"0"),IPRESS!$A$3:$B$212,2,0),"")</f>
        <v/>
      </c>
      <c r="J255" s="280" t="n"/>
      <c r="K255" s="343" t="n"/>
      <c r="L255" s="280" t="n"/>
      <c r="M255" s="280" t="n"/>
      <c r="N255" s="345" t="n"/>
      <c r="O255" s="280" t="n"/>
      <c r="P255" s="332">
        <f>IFERROR(VLOOKUP(TEXT(O255,"0"),CONDUCTORES!$A$3:$G$54,2,0),"")</f>
        <v/>
      </c>
      <c r="Q255" s="332">
        <f>IFERROR(VLOOKUP(TEXT(O255,"0"),CONDUCTORES!$A$3:$H$54,6,0),"")</f>
        <v/>
      </c>
      <c r="R255" s="280" t="n"/>
      <c r="S255" s="280" t="n"/>
      <c r="T255" s="280" t="n"/>
      <c r="U255" s="280" t="n"/>
      <c r="V255" s="280" t="n"/>
      <c r="W255" s="280" t="n"/>
      <c r="X255" s="280" t="n"/>
      <c r="Y255" s="280" t="n"/>
      <c r="Z255" s="350" t="n"/>
      <c r="AA255" s="198" t="n"/>
      <c r="AB255" s="198" t="n"/>
      <c r="AC255" s="198" t="n"/>
    </row>
    <row r="256" ht="15" customHeight="1" s="195">
      <c r="A256" s="280" t="n"/>
      <c r="B256" s="280" t="n"/>
      <c r="C256" s="280" t="n"/>
      <c r="D256" s="280" t="n"/>
      <c r="E256" s="280" t="n"/>
      <c r="F256" s="280" t="n"/>
      <c r="G256" s="280" t="n"/>
      <c r="H256" s="280" t="n"/>
      <c r="I256" s="332">
        <f>IFERROR(VLOOKUP(TEXT(H256,"0"),IPRESS!$A$3:$B$212,2,0),"")</f>
        <v/>
      </c>
      <c r="J256" s="280" t="n"/>
      <c r="K256" s="343" t="n"/>
      <c r="L256" s="280" t="n"/>
      <c r="M256" s="280" t="n"/>
      <c r="N256" s="345" t="n"/>
      <c r="O256" s="280" t="n"/>
      <c r="P256" s="332">
        <f>IFERROR(VLOOKUP(TEXT(O256,"0"),CONDUCTORES!$A$3:$G$54,2,0),"")</f>
        <v/>
      </c>
      <c r="Q256" s="332">
        <f>IFERROR(VLOOKUP(TEXT(O256,"0"),CONDUCTORES!$A$3:$H$54,6,0),"")</f>
        <v/>
      </c>
      <c r="R256" s="280" t="n"/>
      <c r="S256" s="280" t="n"/>
      <c r="T256" s="280" t="n"/>
      <c r="U256" s="280" t="n"/>
      <c r="V256" s="280" t="n"/>
      <c r="W256" s="280" t="n"/>
      <c r="X256" s="280" t="n"/>
      <c r="Y256" s="280" t="n"/>
      <c r="Z256" s="350" t="n"/>
      <c r="AA256" s="198" t="n"/>
      <c r="AB256" s="198" t="n"/>
      <c r="AC256" s="198" t="n"/>
    </row>
    <row r="257" ht="15" customHeight="1" s="195">
      <c r="A257" s="280" t="n"/>
      <c r="B257" s="280" t="n"/>
      <c r="C257" s="280" t="n"/>
      <c r="D257" s="280" t="n"/>
      <c r="E257" s="280" t="n"/>
      <c r="F257" s="280" t="n"/>
      <c r="G257" s="280" t="n"/>
      <c r="H257" s="280" t="n"/>
      <c r="I257" s="332">
        <f>IFERROR(VLOOKUP(TEXT(H257,"0"),IPRESS!$A$3:$B$212,2,0),"")</f>
        <v/>
      </c>
      <c r="J257" s="280" t="n"/>
      <c r="K257" s="343" t="n"/>
      <c r="L257" s="280" t="n"/>
      <c r="M257" s="280" t="n"/>
      <c r="N257" s="345" t="n"/>
      <c r="O257" s="280" t="n"/>
      <c r="P257" s="332">
        <f>IFERROR(VLOOKUP(TEXT(O257,"0"),CONDUCTORES!$A$3:$G$54,2,0),"")</f>
        <v/>
      </c>
      <c r="Q257" s="332">
        <f>IFERROR(VLOOKUP(TEXT(O257,"0"),CONDUCTORES!$A$3:$H$54,6,0),"")</f>
        <v/>
      </c>
      <c r="R257" s="280" t="n"/>
      <c r="S257" s="280" t="n"/>
      <c r="T257" s="280" t="n"/>
      <c r="U257" s="280" t="n"/>
      <c r="V257" s="280" t="n"/>
      <c r="W257" s="280" t="n"/>
      <c r="X257" s="280" t="n"/>
      <c r="Y257" s="280" t="n"/>
      <c r="Z257" s="350" t="n"/>
      <c r="AA257" s="198" t="n"/>
      <c r="AB257" s="198" t="n"/>
      <c r="AC257" s="198" t="n"/>
    </row>
    <row r="258" ht="15" customHeight="1" s="195">
      <c r="A258" s="280" t="n"/>
      <c r="B258" s="280" t="n"/>
      <c r="C258" s="280" t="n"/>
      <c r="D258" s="280" t="n"/>
      <c r="E258" s="280" t="n"/>
      <c r="F258" s="280" t="n"/>
      <c r="G258" s="280" t="n"/>
      <c r="H258" s="280" t="n"/>
      <c r="I258" s="332">
        <f>IFERROR(VLOOKUP(TEXT(H258,"0"),IPRESS!$A$3:$B$212,2,0),"")</f>
        <v/>
      </c>
      <c r="J258" s="280" t="n"/>
      <c r="K258" s="343" t="n"/>
      <c r="L258" s="280" t="n"/>
      <c r="M258" s="280" t="n"/>
      <c r="N258" s="345" t="n"/>
      <c r="O258" s="280" t="n"/>
      <c r="P258" s="332">
        <f>IFERROR(VLOOKUP(TEXT(O258,"0"),CONDUCTORES!$A$3:$G$54,2,0),"")</f>
        <v/>
      </c>
      <c r="Q258" s="332">
        <f>IFERROR(VLOOKUP(TEXT(O258,"0"),CONDUCTORES!$A$3:$H$54,6,0),"")</f>
        <v/>
      </c>
      <c r="R258" s="280" t="n"/>
      <c r="S258" s="280" t="n"/>
      <c r="T258" s="280" t="n"/>
      <c r="U258" s="280" t="n"/>
      <c r="V258" s="280" t="n"/>
      <c r="W258" s="280" t="n"/>
      <c r="X258" s="280" t="n"/>
      <c r="Y258" s="280" t="n"/>
      <c r="Z258" s="350" t="n"/>
      <c r="AA258" s="198" t="n"/>
      <c r="AB258" s="198" t="n"/>
      <c r="AC258" s="198" t="n"/>
    </row>
    <row r="259" ht="15" customHeight="1" s="195">
      <c r="A259" s="280" t="n"/>
      <c r="B259" s="280" t="n"/>
      <c r="C259" s="280" t="n"/>
      <c r="D259" s="280" t="n"/>
      <c r="E259" s="280" t="n"/>
      <c r="F259" s="280" t="n"/>
      <c r="G259" s="280" t="n"/>
      <c r="H259" s="280" t="n"/>
      <c r="I259" s="332">
        <f>IFERROR(VLOOKUP(TEXT(H259,"0"),IPRESS!$A$3:$B$212,2,0),"")</f>
        <v/>
      </c>
      <c r="J259" s="280" t="n"/>
      <c r="K259" s="343" t="n"/>
      <c r="L259" s="280" t="n"/>
      <c r="M259" s="280" t="n"/>
      <c r="N259" s="345" t="n"/>
      <c r="O259" s="280" t="n"/>
      <c r="P259" s="332">
        <f>IFERROR(VLOOKUP(TEXT(O259,"0"),CONDUCTORES!$A$3:$G$54,2,0),"")</f>
        <v/>
      </c>
      <c r="Q259" s="332">
        <f>IFERROR(VLOOKUP(TEXT(O259,"0"),CONDUCTORES!$A$3:$H$54,6,0),"")</f>
        <v/>
      </c>
      <c r="R259" s="280" t="n"/>
      <c r="S259" s="280" t="n"/>
      <c r="T259" s="280" t="n"/>
      <c r="U259" s="280" t="n"/>
      <c r="V259" s="280" t="n"/>
      <c r="W259" s="280" t="n"/>
      <c r="X259" s="280" t="n"/>
      <c r="Y259" s="280" t="n"/>
      <c r="Z259" s="350" t="n"/>
      <c r="AA259" s="198" t="n"/>
      <c r="AB259" s="198" t="n"/>
      <c r="AC259" s="198" t="n"/>
    </row>
    <row r="260" ht="15" customHeight="1" s="195">
      <c r="A260" s="280" t="n"/>
      <c r="B260" s="280" t="n"/>
      <c r="C260" s="280" t="n"/>
      <c r="D260" s="280" t="n"/>
      <c r="E260" s="280" t="n"/>
      <c r="F260" s="280" t="n"/>
      <c r="G260" s="280" t="n"/>
      <c r="H260" s="280" t="n"/>
      <c r="I260" s="332">
        <f>IFERROR(VLOOKUP(TEXT(H260,"0"),IPRESS!$A$3:$B$212,2,0),"")</f>
        <v/>
      </c>
      <c r="J260" s="280" t="n"/>
      <c r="K260" s="343" t="n"/>
      <c r="L260" s="280" t="n"/>
      <c r="M260" s="280" t="n"/>
      <c r="N260" s="345" t="n"/>
      <c r="O260" s="280" t="n"/>
      <c r="P260" s="332">
        <f>IFERROR(VLOOKUP(TEXT(O260,"0"),CONDUCTORES!$A$3:$G$54,2,0),"")</f>
        <v/>
      </c>
      <c r="Q260" s="332">
        <f>IFERROR(VLOOKUP(TEXT(O260,"0"),CONDUCTORES!$A$3:$H$54,6,0),"")</f>
        <v/>
      </c>
      <c r="R260" s="280" t="n"/>
      <c r="S260" s="280" t="n"/>
      <c r="T260" s="280" t="n"/>
      <c r="U260" s="280" t="n"/>
      <c r="V260" s="280" t="n"/>
      <c r="W260" s="280" t="n"/>
      <c r="X260" s="280" t="n"/>
      <c r="Y260" s="280" t="n"/>
      <c r="Z260" s="350" t="n"/>
      <c r="AA260" s="198" t="n"/>
      <c r="AB260" s="198" t="n"/>
      <c r="AC260" s="198" t="n"/>
    </row>
    <row r="261" ht="15" customHeight="1" s="195">
      <c r="A261" s="280" t="n"/>
      <c r="B261" s="280" t="n"/>
      <c r="C261" s="280" t="n"/>
      <c r="D261" s="280" t="n"/>
      <c r="E261" s="280" t="n"/>
      <c r="F261" s="280" t="n"/>
      <c r="G261" s="280" t="n"/>
      <c r="H261" s="280" t="n"/>
      <c r="I261" s="332">
        <f>IFERROR(VLOOKUP(TEXT(H261,"0"),IPRESS!$A$3:$B$212,2,0),"")</f>
        <v/>
      </c>
      <c r="J261" s="280" t="n"/>
      <c r="K261" s="343" t="n"/>
      <c r="L261" s="280" t="n"/>
      <c r="M261" s="280" t="n"/>
      <c r="N261" s="345" t="n"/>
      <c r="O261" s="280" t="n"/>
      <c r="P261" s="332">
        <f>IFERROR(VLOOKUP(TEXT(O261,"0"),CONDUCTORES!$A$3:$G$54,2,0),"")</f>
        <v/>
      </c>
      <c r="Q261" s="332">
        <f>IFERROR(VLOOKUP(TEXT(O261,"0"),CONDUCTORES!$A$3:$H$54,6,0),"")</f>
        <v/>
      </c>
      <c r="R261" s="280" t="n"/>
      <c r="S261" s="280" t="n"/>
      <c r="T261" s="280" t="n"/>
      <c r="U261" s="280" t="n"/>
      <c r="V261" s="280" t="n"/>
      <c r="W261" s="280" t="n"/>
      <c r="X261" s="280" t="n"/>
      <c r="Y261" s="280" t="n"/>
      <c r="Z261" s="350" t="n"/>
      <c r="AA261" s="198" t="n"/>
      <c r="AB261" s="198" t="n"/>
      <c r="AC261" s="198" t="n"/>
    </row>
    <row r="262" ht="15" customHeight="1" s="195">
      <c r="A262" s="280" t="n"/>
      <c r="B262" s="280" t="n"/>
      <c r="C262" s="280" t="n"/>
      <c r="D262" s="280" t="n"/>
      <c r="E262" s="280" t="n"/>
      <c r="F262" s="280" t="n"/>
      <c r="G262" s="280" t="n"/>
      <c r="H262" s="280" t="n"/>
      <c r="I262" s="332">
        <f>IFERROR(VLOOKUP(TEXT(H262,"0"),IPRESS!$A$3:$B$212,2,0),"")</f>
        <v/>
      </c>
      <c r="J262" s="280" t="n"/>
      <c r="K262" s="343" t="n"/>
      <c r="L262" s="280" t="n"/>
      <c r="M262" s="280" t="n"/>
      <c r="N262" s="345" t="n"/>
      <c r="O262" s="280" t="n"/>
      <c r="P262" s="332">
        <f>IFERROR(VLOOKUP(TEXT(O262,"0"),CONDUCTORES!$A$3:$G$54,2,0),"")</f>
        <v/>
      </c>
      <c r="Q262" s="332">
        <f>IFERROR(VLOOKUP(TEXT(O262,"0"),CONDUCTORES!$A$3:$H$54,6,0),"")</f>
        <v/>
      </c>
      <c r="R262" s="280" t="n"/>
      <c r="S262" s="280" t="n"/>
      <c r="T262" s="280" t="n"/>
      <c r="U262" s="280" t="n"/>
      <c r="V262" s="280" t="n"/>
      <c r="W262" s="280" t="n"/>
      <c r="X262" s="280" t="n"/>
      <c r="Y262" s="280" t="n"/>
      <c r="Z262" s="350" t="n"/>
      <c r="AA262" s="198" t="n"/>
      <c r="AB262" s="198" t="n"/>
      <c r="AC262" s="198" t="n"/>
    </row>
    <row r="263" ht="15" customHeight="1" s="195">
      <c r="A263" s="280" t="n"/>
      <c r="B263" s="280" t="n"/>
      <c r="C263" s="280" t="n"/>
      <c r="D263" s="280" t="n"/>
      <c r="E263" s="280" t="n"/>
      <c r="F263" s="280" t="n"/>
      <c r="G263" s="280" t="n"/>
      <c r="H263" s="280" t="n"/>
      <c r="I263" s="332">
        <f>IFERROR(VLOOKUP(TEXT(H263,"0"),IPRESS!$A$3:$B$212,2,0),"")</f>
        <v/>
      </c>
      <c r="J263" s="280" t="n"/>
      <c r="K263" s="343" t="n"/>
      <c r="L263" s="280" t="n"/>
      <c r="M263" s="280" t="n"/>
      <c r="N263" s="345" t="n"/>
      <c r="O263" s="280" t="n"/>
      <c r="P263" s="332">
        <f>IFERROR(VLOOKUP(TEXT(O263,"0"),CONDUCTORES!$A$3:$G$54,2,0),"")</f>
        <v/>
      </c>
      <c r="Q263" s="332">
        <f>IFERROR(VLOOKUP(TEXT(O263,"0"),CONDUCTORES!$A$3:$H$54,6,0),"")</f>
        <v/>
      </c>
      <c r="R263" s="280" t="n"/>
      <c r="S263" s="280" t="n"/>
      <c r="T263" s="280" t="n"/>
      <c r="U263" s="280" t="n"/>
      <c r="V263" s="280" t="n"/>
      <c r="W263" s="280" t="n"/>
      <c r="X263" s="280" t="n"/>
      <c r="Y263" s="280" t="n"/>
      <c r="Z263" s="350" t="n"/>
      <c r="AA263" s="198" t="n"/>
      <c r="AB263" s="198" t="n"/>
      <c r="AC263" s="198" t="n"/>
    </row>
    <row r="264" ht="15" customHeight="1" s="195">
      <c r="A264" s="280" t="n"/>
      <c r="B264" s="280" t="n"/>
      <c r="C264" s="280" t="n"/>
      <c r="D264" s="280" t="n"/>
      <c r="E264" s="280" t="n"/>
      <c r="F264" s="280" t="n"/>
      <c r="G264" s="280" t="n"/>
      <c r="H264" s="280" t="n"/>
      <c r="I264" s="332">
        <f>IFERROR(VLOOKUP(TEXT(H264,"0"),IPRESS!$A$3:$B$212,2,0),"")</f>
        <v/>
      </c>
      <c r="J264" s="280" t="n"/>
      <c r="K264" s="343" t="n"/>
      <c r="L264" s="280" t="n"/>
      <c r="M264" s="280" t="n"/>
      <c r="N264" s="345" t="n"/>
      <c r="O264" s="280" t="n"/>
      <c r="P264" s="332">
        <f>IFERROR(VLOOKUP(TEXT(O264,"0"),CONDUCTORES!$A$3:$G$54,2,0),"")</f>
        <v/>
      </c>
      <c r="Q264" s="332">
        <f>IFERROR(VLOOKUP(TEXT(O264,"0"),CONDUCTORES!$A$3:$H$54,6,0),"")</f>
        <v/>
      </c>
      <c r="R264" s="280" t="n"/>
      <c r="S264" s="280" t="n"/>
      <c r="T264" s="280" t="n"/>
      <c r="U264" s="280" t="n"/>
      <c r="V264" s="280" t="n"/>
      <c r="W264" s="280" t="n"/>
      <c r="X264" s="280" t="n"/>
      <c r="Y264" s="280" t="n"/>
      <c r="Z264" s="350" t="n"/>
      <c r="AA264" s="198" t="n"/>
      <c r="AB264" s="198" t="n"/>
      <c r="AC264" s="198" t="n"/>
    </row>
    <row r="265" ht="15" customHeight="1" s="195">
      <c r="A265" s="280" t="n"/>
      <c r="B265" s="280" t="n"/>
      <c r="C265" s="280" t="n"/>
      <c r="D265" s="280" t="n"/>
      <c r="E265" s="280" t="n"/>
      <c r="F265" s="280" t="n"/>
      <c r="G265" s="280" t="n"/>
      <c r="H265" s="280" t="n"/>
      <c r="I265" s="332">
        <f>IFERROR(VLOOKUP(TEXT(H265,"0"),IPRESS!$A$3:$B$212,2,0),"")</f>
        <v/>
      </c>
      <c r="J265" s="280" t="n"/>
      <c r="K265" s="343" t="n"/>
      <c r="L265" s="280" t="n"/>
      <c r="M265" s="280" t="n"/>
      <c r="N265" s="345" t="n"/>
      <c r="O265" s="280" t="n"/>
      <c r="P265" s="332">
        <f>IFERROR(VLOOKUP(TEXT(O265,"0"),CONDUCTORES!$A$3:$G$54,2,0),"")</f>
        <v/>
      </c>
      <c r="Q265" s="332">
        <f>IFERROR(VLOOKUP(TEXT(O265,"0"),CONDUCTORES!$A$3:$H$54,6,0),"")</f>
        <v/>
      </c>
      <c r="R265" s="280" t="n"/>
      <c r="S265" s="280" t="n"/>
      <c r="T265" s="280" t="n"/>
      <c r="U265" s="280" t="n"/>
      <c r="V265" s="280" t="n"/>
      <c r="W265" s="280" t="n"/>
      <c r="X265" s="280" t="n"/>
      <c r="Y265" s="280" t="n"/>
      <c r="Z265" s="350" t="n"/>
      <c r="AA265" s="198" t="n"/>
      <c r="AB265" s="198" t="n"/>
      <c r="AC265" s="198" t="n"/>
    </row>
    <row r="266" ht="15" customHeight="1" s="195">
      <c r="A266" s="280" t="n"/>
      <c r="B266" s="280" t="n"/>
      <c r="C266" s="280" t="n"/>
      <c r="D266" s="280" t="n"/>
      <c r="E266" s="280" t="n"/>
      <c r="F266" s="280" t="n"/>
      <c r="G266" s="280" t="n"/>
      <c r="H266" s="280" t="n"/>
      <c r="I266" s="332">
        <f>IFERROR(VLOOKUP(TEXT(H266,"0"),IPRESS!$A$3:$B$212,2,0),"")</f>
        <v/>
      </c>
      <c r="J266" s="280" t="n"/>
      <c r="K266" s="343" t="n"/>
      <c r="L266" s="280" t="n"/>
      <c r="M266" s="280" t="n"/>
      <c r="N266" s="345" t="n"/>
      <c r="O266" s="280" t="n"/>
      <c r="P266" s="332">
        <f>IFERROR(VLOOKUP(TEXT(O266,"0"),CONDUCTORES!$A$3:$G$54,2,0),"")</f>
        <v/>
      </c>
      <c r="Q266" s="332">
        <f>IFERROR(VLOOKUP(TEXT(O266,"0"),CONDUCTORES!$A$3:$H$54,6,0),"")</f>
        <v/>
      </c>
      <c r="R266" s="280" t="n"/>
      <c r="S266" s="280" t="n"/>
      <c r="T266" s="280" t="n"/>
      <c r="U266" s="280" t="n"/>
      <c r="V266" s="280" t="n"/>
      <c r="W266" s="280" t="n"/>
      <c r="X266" s="280" t="n"/>
      <c r="Y266" s="280" t="n"/>
      <c r="Z266" s="350" t="n"/>
      <c r="AA266" s="198" t="n"/>
      <c r="AB266" s="198" t="n"/>
      <c r="AC266" s="198" t="n"/>
    </row>
    <row r="267" ht="15" customHeight="1" s="195">
      <c r="A267" s="280" t="n"/>
      <c r="B267" s="280" t="n"/>
      <c r="C267" s="280" t="n"/>
      <c r="D267" s="280" t="n"/>
      <c r="E267" s="280" t="n"/>
      <c r="F267" s="280" t="n"/>
      <c r="G267" s="280" t="n"/>
      <c r="H267" s="280" t="n"/>
      <c r="I267" s="332">
        <f>IFERROR(VLOOKUP(TEXT(H267,"0"),IPRESS!$A$3:$B$212,2,0),"")</f>
        <v/>
      </c>
      <c r="J267" s="280" t="n"/>
      <c r="K267" s="343" t="n"/>
      <c r="L267" s="280" t="n"/>
      <c r="M267" s="280" t="n"/>
      <c r="N267" s="345" t="n"/>
      <c r="O267" s="280" t="n"/>
      <c r="P267" s="332">
        <f>IFERROR(VLOOKUP(TEXT(O267,"0"),CONDUCTORES!$A$3:$G$54,2,0),"")</f>
        <v/>
      </c>
      <c r="Q267" s="332">
        <f>IFERROR(VLOOKUP(TEXT(O267,"0"),CONDUCTORES!$A$3:$H$54,6,0),"")</f>
        <v/>
      </c>
      <c r="R267" s="280" t="n"/>
      <c r="S267" s="280" t="n"/>
      <c r="T267" s="280" t="n"/>
      <c r="U267" s="280" t="n"/>
      <c r="V267" s="280" t="n"/>
      <c r="W267" s="280" t="n"/>
      <c r="X267" s="280" t="n"/>
      <c r="Y267" s="280" t="n"/>
      <c r="Z267" s="350" t="n"/>
      <c r="AA267" s="198" t="n"/>
      <c r="AB267" s="198" t="n"/>
      <c r="AC267" s="198" t="n"/>
    </row>
    <row r="268" ht="15" customHeight="1" s="195">
      <c r="A268" s="280" t="n"/>
      <c r="B268" s="280" t="n"/>
      <c r="C268" s="280" t="n"/>
      <c r="D268" s="280" t="n"/>
      <c r="E268" s="280" t="n"/>
      <c r="F268" s="280" t="n"/>
      <c r="G268" s="280" t="n"/>
      <c r="H268" s="280" t="n"/>
      <c r="I268" s="332">
        <f>IFERROR(VLOOKUP(TEXT(H268,"0"),IPRESS!$A$3:$B$212,2,0),"")</f>
        <v/>
      </c>
      <c r="J268" s="280" t="n"/>
      <c r="K268" s="343" t="n"/>
      <c r="L268" s="280" t="n"/>
      <c r="M268" s="280" t="n"/>
      <c r="N268" s="345" t="n"/>
      <c r="O268" s="280" t="n"/>
      <c r="P268" s="332">
        <f>IFERROR(VLOOKUP(TEXT(O268,"0"),CONDUCTORES!$A$3:$G$54,2,0),"")</f>
        <v/>
      </c>
      <c r="Q268" s="332">
        <f>IFERROR(VLOOKUP(TEXT(O268,"0"),CONDUCTORES!$A$3:$H$54,6,0),"")</f>
        <v/>
      </c>
      <c r="R268" s="280" t="n"/>
      <c r="S268" s="280" t="n"/>
      <c r="T268" s="280" t="n"/>
      <c r="U268" s="280" t="n"/>
      <c r="V268" s="280" t="n"/>
      <c r="W268" s="280" t="n"/>
      <c r="X268" s="280" t="n"/>
      <c r="Y268" s="280" t="n"/>
      <c r="Z268" s="350" t="n"/>
      <c r="AA268" s="198" t="n"/>
      <c r="AB268" s="198" t="n"/>
      <c r="AC268" s="198" t="n"/>
    </row>
    <row r="269" ht="15" customHeight="1" s="195">
      <c r="A269" s="280" t="n"/>
      <c r="B269" s="280" t="n"/>
      <c r="C269" s="280" t="n"/>
      <c r="D269" s="280" t="n"/>
      <c r="E269" s="280" t="n"/>
      <c r="F269" s="280" t="n"/>
      <c r="G269" s="280" t="n"/>
      <c r="H269" s="280" t="n"/>
      <c r="I269" s="332">
        <f>IFERROR(VLOOKUP(TEXT(H269,"0"),IPRESS!$A$3:$B$212,2,0),"")</f>
        <v/>
      </c>
      <c r="J269" s="280" t="n"/>
      <c r="K269" s="343" t="n"/>
      <c r="L269" s="280" t="n"/>
      <c r="M269" s="280" t="n"/>
      <c r="N269" s="345" t="n"/>
      <c r="O269" s="280" t="n"/>
      <c r="P269" s="332">
        <f>IFERROR(VLOOKUP(TEXT(O269,"0"),CONDUCTORES!$A$3:$G$54,2,0),"")</f>
        <v/>
      </c>
      <c r="Q269" s="332">
        <f>IFERROR(VLOOKUP(TEXT(O269,"0"),CONDUCTORES!$A$3:$H$54,6,0),"")</f>
        <v/>
      </c>
      <c r="R269" s="280" t="n"/>
      <c r="S269" s="280" t="n"/>
      <c r="T269" s="280" t="n"/>
      <c r="U269" s="280" t="n"/>
      <c r="V269" s="280" t="n"/>
      <c r="W269" s="280" t="n"/>
      <c r="X269" s="280" t="n"/>
      <c r="Y269" s="280" t="n"/>
      <c r="Z269" s="350" t="n"/>
      <c r="AA269" s="198" t="n"/>
      <c r="AB269" s="198" t="n"/>
      <c r="AC269" s="198" t="n"/>
    </row>
    <row r="270" ht="15" customHeight="1" s="195">
      <c r="A270" s="280" t="n"/>
      <c r="B270" s="280" t="n"/>
      <c r="C270" s="280" t="n"/>
      <c r="D270" s="280" t="n"/>
      <c r="E270" s="280" t="n"/>
      <c r="F270" s="280" t="n"/>
      <c r="G270" s="280" t="n"/>
      <c r="H270" s="280" t="n"/>
      <c r="I270" s="332">
        <f>IFERROR(VLOOKUP(TEXT(H270,"0"),IPRESS!$A$3:$B$212,2,0),"")</f>
        <v/>
      </c>
      <c r="J270" s="280" t="n"/>
      <c r="K270" s="343" t="n"/>
      <c r="L270" s="280" t="n"/>
      <c r="M270" s="280" t="n"/>
      <c r="N270" s="345" t="n"/>
      <c r="O270" s="280" t="n"/>
      <c r="P270" s="332">
        <f>IFERROR(VLOOKUP(TEXT(O270,"0"),CONDUCTORES!$A$3:$G$54,2,0),"")</f>
        <v/>
      </c>
      <c r="Q270" s="332">
        <f>IFERROR(VLOOKUP(TEXT(O270,"0"),CONDUCTORES!$A$3:$H$54,6,0),"")</f>
        <v/>
      </c>
      <c r="R270" s="280" t="n"/>
      <c r="S270" s="280" t="n"/>
      <c r="T270" s="280" t="n"/>
      <c r="U270" s="280" t="n"/>
      <c r="V270" s="280" t="n"/>
      <c r="W270" s="280" t="n"/>
      <c r="X270" s="280" t="n"/>
      <c r="Y270" s="280" t="n"/>
      <c r="Z270" s="350" t="n"/>
      <c r="AA270" s="198" t="n"/>
      <c r="AB270" s="198" t="n"/>
      <c r="AC270" s="198" t="n"/>
    </row>
    <row r="271" ht="15" customHeight="1" s="195">
      <c r="A271" s="280" t="n"/>
      <c r="B271" s="280" t="n"/>
      <c r="C271" s="280" t="n"/>
      <c r="D271" s="280" t="n"/>
      <c r="E271" s="280" t="n"/>
      <c r="F271" s="280" t="n"/>
      <c r="G271" s="280" t="n"/>
      <c r="H271" s="280" t="n"/>
      <c r="I271" s="332">
        <f>IFERROR(VLOOKUP(TEXT(H271,"0"),IPRESS!$A$3:$B$212,2,0),"")</f>
        <v/>
      </c>
      <c r="J271" s="280" t="n"/>
      <c r="K271" s="343" t="n"/>
      <c r="L271" s="280" t="n"/>
      <c r="M271" s="280" t="n"/>
      <c r="N271" s="345" t="n"/>
      <c r="O271" s="280" t="n"/>
      <c r="P271" s="332">
        <f>IFERROR(VLOOKUP(TEXT(O271,"0"),CONDUCTORES!$A$3:$G$54,2,0),"")</f>
        <v/>
      </c>
      <c r="Q271" s="332">
        <f>IFERROR(VLOOKUP(TEXT(O271,"0"),CONDUCTORES!$A$3:$H$54,6,0),"")</f>
        <v/>
      </c>
      <c r="R271" s="280" t="n"/>
      <c r="S271" s="280" t="n"/>
      <c r="T271" s="280" t="n"/>
      <c r="U271" s="280" t="n"/>
      <c r="V271" s="280" t="n"/>
      <c r="W271" s="280" t="n"/>
      <c r="X271" s="280" t="n"/>
      <c r="Y271" s="280" t="n"/>
      <c r="Z271" s="350" t="n"/>
      <c r="AA271" s="198" t="n"/>
      <c r="AB271" s="198" t="n"/>
      <c r="AC271" s="198" t="n"/>
    </row>
    <row r="272" ht="15" customHeight="1" s="195">
      <c r="A272" s="280" t="n"/>
      <c r="B272" s="280" t="n"/>
      <c r="C272" s="280" t="n"/>
      <c r="D272" s="280" t="n"/>
      <c r="E272" s="280" t="n"/>
      <c r="F272" s="280" t="n"/>
      <c r="G272" s="280" t="n"/>
      <c r="H272" s="280" t="n"/>
      <c r="I272" s="332">
        <f>IFERROR(VLOOKUP(TEXT(H272,"0"),IPRESS!$A$3:$B$212,2,0),"")</f>
        <v/>
      </c>
      <c r="J272" s="280" t="n"/>
      <c r="K272" s="343" t="n"/>
      <c r="L272" s="280" t="n"/>
      <c r="M272" s="280" t="n"/>
      <c r="N272" s="345" t="n"/>
      <c r="O272" s="280" t="n"/>
      <c r="P272" s="332">
        <f>IFERROR(VLOOKUP(TEXT(O272,"0"),CONDUCTORES!$A$3:$G$54,2,0),"")</f>
        <v/>
      </c>
      <c r="Q272" s="332">
        <f>IFERROR(VLOOKUP(TEXT(O272,"0"),CONDUCTORES!$A$3:$H$54,6,0),"")</f>
        <v/>
      </c>
      <c r="R272" s="280" t="n"/>
      <c r="S272" s="280" t="n"/>
      <c r="T272" s="280" t="n"/>
      <c r="U272" s="280" t="n"/>
      <c r="V272" s="280" t="n"/>
      <c r="W272" s="280" t="n"/>
      <c r="X272" s="280" t="n"/>
      <c r="Y272" s="280" t="n"/>
      <c r="Z272" s="350" t="n"/>
      <c r="AA272" s="198" t="n"/>
      <c r="AB272" s="198" t="n"/>
      <c r="AC272" s="198" t="n"/>
    </row>
    <row r="273" ht="15" customHeight="1" s="195">
      <c r="A273" s="280" t="n"/>
      <c r="B273" s="280" t="n"/>
      <c r="C273" s="280" t="n"/>
      <c r="D273" s="280" t="n"/>
      <c r="E273" s="280" t="n"/>
      <c r="F273" s="280" t="n"/>
      <c r="G273" s="280" t="n"/>
      <c r="H273" s="280" t="n"/>
      <c r="I273" s="332">
        <f>IFERROR(VLOOKUP(TEXT(H273,"0"),IPRESS!$A$3:$B$212,2,0),"")</f>
        <v/>
      </c>
      <c r="J273" s="280" t="n"/>
      <c r="K273" s="343" t="n"/>
      <c r="L273" s="280" t="n"/>
      <c r="M273" s="280" t="n"/>
      <c r="N273" s="345" t="n"/>
      <c r="O273" s="280" t="n"/>
      <c r="P273" s="332">
        <f>IFERROR(VLOOKUP(TEXT(O273,"0"),CONDUCTORES!$A$3:$G$54,2,0),"")</f>
        <v/>
      </c>
      <c r="Q273" s="332">
        <f>IFERROR(VLOOKUP(TEXT(O273,"0"),CONDUCTORES!$A$3:$H$54,6,0),"")</f>
        <v/>
      </c>
      <c r="R273" s="280" t="n"/>
      <c r="S273" s="280" t="n"/>
      <c r="T273" s="280" t="n"/>
      <c r="U273" s="280" t="n"/>
      <c r="V273" s="280" t="n"/>
      <c r="W273" s="280" t="n"/>
      <c r="X273" s="280" t="n"/>
      <c r="Y273" s="280" t="n"/>
      <c r="Z273" s="350" t="n"/>
      <c r="AA273" s="198" t="n"/>
      <c r="AB273" s="198" t="n"/>
      <c r="AC273" s="198" t="n"/>
    </row>
    <row r="274" ht="15" customHeight="1" s="195">
      <c r="A274" s="280" t="n"/>
      <c r="B274" s="280" t="n"/>
      <c r="C274" s="280" t="n"/>
      <c r="D274" s="280" t="n"/>
      <c r="E274" s="280" t="n"/>
      <c r="F274" s="280" t="n"/>
      <c r="G274" s="280" t="n"/>
      <c r="H274" s="280" t="n"/>
      <c r="I274" s="332">
        <f>IFERROR(VLOOKUP(TEXT(H274,"0"),IPRESS!$A$3:$B$212,2,0),"")</f>
        <v/>
      </c>
      <c r="J274" s="280" t="n"/>
      <c r="K274" s="343" t="n"/>
      <c r="L274" s="280" t="n"/>
      <c r="M274" s="280" t="n"/>
      <c r="N274" s="345" t="n"/>
      <c r="O274" s="280" t="n"/>
      <c r="P274" s="332">
        <f>IFERROR(VLOOKUP(TEXT(O274,"0"),CONDUCTORES!$A$3:$G$54,2,0),"")</f>
        <v/>
      </c>
      <c r="Q274" s="332">
        <f>IFERROR(VLOOKUP(TEXT(O274,"0"),CONDUCTORES!$A$3:$H$54,6,0),"")</f>
        <v/>
      </c>
      <c r="R274" s="280" t="n"/>
      <c r="S274" s="280" t="n"/>
      <c r="T274" s="280" t="n"/>
      <c r="U274" s="280" t="n"/>
      <c r="V274" s="280" t="n"/>
      <c r="W274" s="280" t="n"/>
      <c r="X274" s="280" t="n"/>
      <c r="Y274" s="280" t="n"/>
      <c r="Z274" s="350" t="n"/>
      <c r="AA274" s="198" t="n"/>
      <c r="AB274" s="198" t="n"/>
      <c r="AC274" s="198" t="n"/>
    </row>
    <row r="275" ht="15" customHeight="1" s="195">
      <c r="A275" s="280" t="n"/>
      <c r="B275" s="280" t="n"/>
      <c r="C275" s="280" t="n"/>
      <c r="D275" s="280" t="n"/>
      <c r="E275" s="280" t="n"/>
      <c r="F275" s="280" t="n"/>
      <c r="G275" s="280" t="n"/>
      <c r="H275" s="280" t="n"/>
      <c r="I275" s="332">
        <f>IFERROR(VLOOKUP(TEXT(H275,"0"),IPRESS!$A$3:$B$212,2,0),"")</f>
        <v/>
      </c>
      <c r="J275" s="280" t="n"/>
      <c r="K275" s="343" t="n"/>
      <c r="L275" s="280" t="n"/>
      <c r="M275" s="280" t="n"/>
      <c r="N275" s="345" t="n"/>
      <c r="O275" s="280" t="n"/>
      <c r="P275" s="332">
        <f>IFERROR(VLOOKUP(TEXT(O275,"0"),CONDUCTORES!$A$3:$G$54,2,0),"")</f>
        <v/>
      </c>
      <c r="Q275" s="332">
        <f>IFERROR(VLOOKUP(TEXT(O275,"0"),CONDUCTORES!$A$3:$H$54,6,0),"")</f>
        <v/>
      </c>
      <c r="R275" s="280" t="n"/>
      <c r="S275" s="280" t="n"/>
      <c r="T275" s="280" t="n"/>
      <c r="U275" s="280" t="n"/>
      <c r="V275" s="280" t="n"/>
      <c r="W275" s="280" t="n"/>
      <c r="X275" s="280" t="n"/>
      <c r="Y275" s="280" t="n"/>
      <c r="Z275" s="350" t="n"/>
      <c r="AA275" s="198" t="n"/>
      <c r="AB275" s="198" t="n"/>
      <c r="AC275" s="198" t="n"/>
    </row>
    <row r="276" ht="15" customHeight="1" s="195">
      <c r="A276" s="280" t="n"/>
      <c r="B276" s="280" t="n"/>
      <c r="C276" s="280" t="n"/>
      <c r="D276" s="280" t="n"/>
      <c r="E276" s="280" t="n"/>
      <c r="F276" s="280" t="n"/>
      <c r="G276" s="280" t="n"/>
      <c r="H276" s="280" t="n"/>
      <c r="I276" s="332">
        <f>IFERROR(VLOOKUP(TEXT(H276,"0"),IPRESS!$A$3:$B$212,2,0),"")</f>
        <v/>
      </c>
      <c r="J276" s="280" t="n"/>
      <c r="K276" s="343" t="n"/>
      <c r="L276" s="280" t="n"/>
      <c r="M276" s="280" t="n"/>
      <c r="N276" s="345" t="n"/>
      <c r="O276" s="280" t="n"/>
      <c r="P276" s="332">
        <f>IFERROR(VLOOKUP(TEXT(O276,"0"),CONDUCTORES!$A$3:$G$54,2,0),"")</f>
        <v/>
      </c>
      <c r="Q276" s="332">
        <f>IFERROR(VLOOKUP(TEXT(O276,"0"),CONDUCTORES!$A$3:$H$54,6,0),"")</f>
        <v/>
      </c>
      <c r="R276" s="280" t="n"/>
      <c r="S276" s="280" t="n"/>
      <c r="T276" s="280" t="n"/>
      <c r="U276" s="280" t="n"/>
      <c r="V276" s="280" t="n"/>
      <c r="W276" s="280" t="n"/>
      <c r="X276" s="280" t="n"/>
      <c r="Y276" s="280" t="n"/>
      <c r="Z276" s="350" t="n"/>
      <c r="AA276" s="198" t="n"/>
      <c r="AB276" s="198" t="n"/>
      <c r="AC276" s="198" t="n"/>
    </row>
    <row r="277" ht="15" customHeight="1" s="195">
      <c r="A277" s="280" t="n"/>
      <c r="B277" s="280" t="n"/>
      <c r="C277" s="280" t="n"/>
      <c r="D277" s="280" t="n"/>
      <c r="E277" s="280" t="n"/>
      <c r="F277" s="280" t="n"/>
      <c r="G277" s="280" t="n"/>
      <c r="H277" s="280" t="n"/>
      <c r="I277" s="332">
        <f>IFERROR(VLOOKUP(TEXT(H277,"0"),IPRESS!$A$3:$B$212,2,0),"")</f>
        <v/>
      </c>
      <c r="J277" s="280" t="n"/>
      <c r="K277" s="343" t="n"/>
      <c r="L277" s="280" t="n"/>
      <c r="M277" s="280" t="n"/>
      <c r="N277" s="345" t="n"/>
      <c r="O277" s="280" t="n"/>
      <c r="P277" s="332">
        <f>IFERROR(VLOOKUP(TEXT(O277,"0"),CONDUCTORES!$A$3:$G$54,2,0),"")</f>
        <v/>
      </c>
      <c r="Q277" s="332">
        <f>IFERROR(VLOOKUP(TEXT(O277,"0"),CONDUCTORES!$A$3:$H$54,6,0),"")</f>
        <v/>
      </c>
      <c r="R277" s="280" t="n"/>
      <c r="S277" s="280" t="n"/>
      <c r="T277" s="280" t="n"/>
      <c r="U277" s="280" t="n"/>
      <c r="V277" s="280" t="n"/>
      <c r="W277" s="280" t="n"/>
      <c r="X277" s="280" t="n"/>
      <c r="Y277" s="280" t="n"/>
      <c r="Z277" s="350" t="n"/>
      <c r="AA277" s="198" t="n"/>
      <c r="AB277" s="198" t="n"/>
      <c r="AC277" s="198" t="n"/>
    </row>
    <row r="278" ht="15" customHeight="1" s="195">
      <c r="A278" s="280" t="n"/>
      <c r="B278" s="280" t="n"/>
      <c r="C278" s="280" t="n"/>
      <c r="D278" s="280" t="n"/>
      <c r="E278" s="280" t="n"/>
      <c r="F278" s="280" t="n"/>
      <c r="G278" s="280" t="n"/>
      <c r="H278" s="280" t="n"/>
      <c r="I278" s="332">
        <f>IFERROR(VLOOKUP(TEXT(H278,"0"),IPRESS!$A$3:$B$212,2,0),"")</f>
        <v/>
      </c>
      <c r="J278" s="280" t="n"/>
      <c r="K278" s="343" t="n"/>
      <c r="L278" s="280" t="n"/>
      <c r="M278" s="280" t="n"/>
      <c r="N278" s="345" t="n"/>
      <c r="O278" s="280" t="n"/>
      <c r="P278" s="332">
        <f>IFERROR(VLOOKUP(TEXT(O278,"0"),CONDUCTORES!$A$3:$G$54,2,0),"")</f>
        <v/>
      </c>
      <c r="Q278" s="332">
        <f>IFERROR(VLOOKUP(TEXT(O278,"0"),CONDUCTORES!$A$3:$H$54,6,0),"")</f>
        <v/>
      </c>
      <c r="R278" s="280" t="n"/>
      <c r="S278" s="280" t="n"/>
      <c r="T278" s="280" t="n"/>
      <c r="U278" s="280" t="n"/>
      <c r="V278" s="280" t="n"/>
      <c r="W278" s="280" t="n"/>
      <c r="X278" s="280" t="n"/>
      <c r="Y278" s="280" t="n"/>
      <c r="Z278" s="350" t="n"/>
      <c r="AA278" s="198" t="n"/>
      <c r="AB278" s="198" t="n"/>
      <c r="AC278" s="198" t="n"/>
    </row>
    <row r="279" ht="15" customHeight="1" s="195">
      <c r="A279" s="280" t="n"/>
      <c r="B279" s="280" t="n"/>
      <c r="C279" s="280" t="n"/>
      <c r="D279" s="280" t="n"/>
      <c r="E279" s="280" t="n"/>
      <c r="F279" s="280" t="n"/>
      <c r="G279" s="280" t="n"/>
      <c r="H279" s="280" t="n"/>
      <c r="I279" s="332">
        <f>IFERROR(VLOOKUP(TEXT(H279,"0"),IPRESS!$A$3:$B$212,2,0),"")</f>
        <v/>
      </c>
      <c r="J279" s="280" t="n"/>
      <c r="K279" s="343" t="n"/>
      <c r="L279" s="280" t="n"/>
      <c r="M279" s="280" t="n"/>
      <c r="N279" s="345" t="n"/>
      <c r="O279" s="280" t="n"/>
      <c r="P279" s="332">
        <f>IFERROR(VLOOKUP(TEXT(O279,"0"),CONDUCTORES!$A$3:$G$54,2,0),"")</f>
        <v/>
      </c>
      <c r="Q279" s="332">
        <f>IFERROR(VLOOKUP(TEXT(O279,"0"),CONDUCTORES!$A$3:$H$54,6,0),"")</f>
        <v/>
      </c>
      <c r="R279" s="280" t="n"/>
      <c r="S279" s="280" t="n"/>
      <c r="T279" s="280" t="n"/>
      <c r="U279" s="280" t="n"/>
      <c r="V279" s="280" t="n"/>
      <c r="W279" s="280" t="n"/>
      <c r="X279" s="280" t="n"/>
      <c r="Y279" s="280" t="n"/>
      <c r="Z279" s="350" t="n"/>
      <c r="AA279" s="198" t="n"/>
      <c r="AB279" s="198" t="n"/>
      <c r="AC279" s="198" t="n"/>
    </row>
    <row r="280" ht="15" customHeight="1" s="195">
      <c r="A280" s="280" t="n"/>
      <c r="B280" s="280" t="n"/>
      <c r="C280" s="280" t="n"/>
      <c r="D280" s="280" t="n"/>
      <c r="E280" s="280" t="n"/>
      <c r="F280" s="280" t="n"/>
      <c r="G280" s="280" t="n"/>
      <c r="H280" s="280" t="n"/>
      <c r="I280" s="332">
        <f>IFERROR(VLOOKUP(TEXT(H280,"0"),IPRESS!$A$3:$B$212,2,0),"")</f>
        <v/>
      </c>
      <c r="J280" s="280" t="n"/>
      <c r="K280" s="343" t="n"/>
      <c r="L280" s="280" t="n"/>
      <c r="M280" s="280" t="n"/>
      <c r="N280" s="345" t="n"/>
      <c r="O280" s="280" t="n"/>
      <c r="P280" s="332">
        <f>IFERROR(VLOOKUP(TEXT(O280,"0"),CONDUCTORES!$A$3:$G$54,2,0),"")</f>
        <v/>
      </c>
      <c r="Q280" s="332">
        <f>IFERROR(VLOOKUP(TEXT(O280,"0"),CONDUCTORES!$A$3:$H$54,6,0),"")</f>
        <v/>
      </c>
      <c r="R280" s="280" t="n"/>
      <c r="S280" s="280" t="n"/>
      <c r="T280" s="280" t="n"/>
      <c r="U280" s="280" t="n"/>
      <c r="V280" s="280" t="n"/>
      <c r="W280" s="280" t="n"/>
      <c r="X280" s="280" t="n"/>
      <c r="Y280" s="280" t="n"/>
      <c r="Z280" s="350" t="n"/>
      <c r="AA280" s="198" t="n"/>
      <c r="AB280" s="198" t="n"/>
      <c r="AC280" s="198" t="n"/>
    </row>
    <row r="281" ht="15" customHeight="1" s="195">
      <c r="A281" s="280" t="n"/>
      <c r="B281" s="280" t="n"/>
      <c r="C281" s="280" t="n"/>
      <c r="D281" s="280" t="n"/>
      <c r="E281" s="280" t="n"/>
      <c r="F281" s="280" t="n"/>
      <c r="G281" s="280" t="n"/>
      <c r="H281" s="280" t="n"/>
      <c r="I281" s="332">
        <f>IFERROR(VLOOKUP(TEXT(H281,"0"),IPRESS!$A$3:$B$212,2,0),"")</f>
        <v/>
      </c>
      <c r="J281" s="280" t="n"/>
      <c r="K281" s="343" t="n"/>
      <c r="L281" s="280" t="n"/>
      <c r="M281" s="280" t="n"/>
      <c r="N281" s="345" t="n"/>
      <c r="O281" s="280" t="n"/>
      <c r="P281" s="332">
        <f>IFERROR(VLOOKUP(TEXT(O281,"0"),CONDUCTORES!$A$3:$G$54,2,0),"")</f>
        <v/>
      </c>
      <c r="Q281" s="332">
        <f>IFERROR(VLOOKUP(TEXT(O281,"0"),CONDUCTORES!$A$3:$H$54,6,0),"")</f>
        <v/>
      </c>
      <c r="R281" s="280" t="n"/>
      <c r="S281" s="280" t="n"/>
      <c r="T281" s="280" t="n"/>
      <c r="U281" s="280" t="n"/>
      <c r="V281" s="280" t="n"/>
      <c r="W281" s="280" t="n"/>
      <c r="X281" s="280" t="n"/>
      <c r="Y281" s="280" t="n"/>
      <c r="Z281" s="350" t="n"/>
      <c r="AA281" s="198" t="n"/>
      <c r="AB281" s="198" t="n"/>
      <c r="AC281" s="198" t="n"/>
    </row>
    <row r="282" ht="15" customHeight="1" s="195">
      <c r="A282" s="280" t="n"/>
      <c r="B282" s="280" t="n"/>
      <c r="C282" s="280" t="n"/>
      <c r="D282" s="280" t="n"/>
      <c r="E282" s="280" t="n"/>
      <c r="F282" s="280" t="n"/>
      <c r="G282" s="280" t="n"/>
      <c r="H282" s="280" t="n"/>
      <c r="I282" s="332">
        <f>IFERROR(VLOOKUP(TEXT(H282,"0"),IPRESS!$A$3:$B$212,2,0),"")</f>
        <v/>
      </c>
      <c r="J282" s="280" t="n"/>
      <c r="K282" s="343" t="n"/>
      <c r="L282" s="280" t="n"/>
      <c r="M282" s="280" t="n"/>
      <c r="N282" s="345" t="n"/>
      <c r="O282" s="280" t="n"/>
      <c r="P282" s="332">
        <f>IFERROR(VLOOKUP(TEXT(O282,"0"),CONDUCTORES!$A$3:$G$54,2,0),"")</f>
        <v/>
      </c>
      <c r="Q282" s="332">
        <f>IFERROR(VLOOKUP(TEXT(O282,"0"),CONDUCTORES!$A$3:$H$54,6,0),"")</f>
        <v/>
      </c>
      <c r="R282" s="280" t="n"/>
      <c r="S282" s="280" t="n"/>
      <c r="T282" s="280" t="n"/>
      <c r="U282" s="280" t="n"/>
      <c r="V282" s="280" t="n"/>
      <c r="W282" s="280" t="n"/>
      <c r="X282" s="280" t="n"/>
      <c r="Y282" s="280" t="n"/>
      <c r="Z282" s="350" t="n"/>
      <c r="AA282" s="198" t="n"/>
      <c r="AB282" s="198" t="n"/>
      <c r="AC282" s="198" t="n"/>
    </row>
    <row r="283" ht="15" customHeight="1" s="195">
      <c r="A283" s="280" t="n"/>
      <c r="B283" s="280" t="n"/>
      <c r="C283" s="280" t="n"/>
      <c r="D283" s="280" t="n"/>
      <c r="E283" s="280" t="n"/>
      <c r="F283" s="280" t="n"/>
      <c r="G283" s="280" t="n"/>
      <c r="H283" s="280" t="n"/>
      <c r="I283" s="332">
        <f>IFERROR(VLOOKUP(TEXT(H283,"0"),IPRESS!$A$3:$B$212,2,0),"")</f>
        <v/>
      </c>
      <c r="J283" s="280" t="n"/>
      <c r="K283" s="343" t="n"/>
      <c r="L283" s="280" t="n"/>
      <c r="M283" s="280" t="n"/>
      <c r="N283" s="345" t="n"/>
      <c r="O283" s="280" t="n"/>
      <c r="P283" s="332">
        <f>IFERROR(VLOOKUP(TEXT(O283,"0"),CONDUCTORES!$A$3:$G$54,2,0),"")</f>
        <v/>
      </c>
      <c r="Q283" s="332">
        <f>IFERROR(VLOOKUP(TEXT(O283,"0"),CONDUCTORES!$A$3:$H$54,6,0),"")</f>
        <v/>
      </c>
      <c r="R283" s="280" t="n"/>
      <c r="S283" s="280" t="n"/>
      <c r="T283" s="280" t="n"/>
      <c r="U283" s="280" t="n"/>
      <c r="V283" s="280" t="n"/>
      <c r="W283" s="280" t="n"/>
      <c r="X283" s="280" t="n"/>
      <c r="Y283" s="280" t="n"/>
      <c r="Z283" s="350" t="n"/>
      <c r="AA283" s="198" t="n"/>
      <c r="AB283" s="198" t="n"/>
      <c r="AC283" s="198" t="n"/>
    </row>
    <row r="284" ht="15" customHeight="1" s="195">
      <c r="A284" s="280" t="n"/>
      <c r="B284" s="280" t="n"/>
      <c r="C284" s="280" t="n"/>
      <c r="D284" s="280" t="n"/>
      <c r="E284" s="280" t="n"/>
      <c r="F284" s="280" t="n"/>
      <c r="G284" s="280" t="n"/>
      <c r="H284" s="280" t="n"/>
      <c r="I284" s="332">
        <f>IFERROR(VLOOKUP(TEXT(H284,"0"),IPRESS!$A$3:$B$212,2,0),"")</f>
        <v/>
      </c>
      <c r="J284" s="280" t="n"/>
      <c r="K284" s="343" t="n"/>
      <c r="L284" s="280" t="n"/>
      <c r="M284" s="280" t="n"/>
      <c r="N284" s="345" t="n"/>
      <c r="O284" s="280" t="n"/>
      <c r="P284" s="332">
        <f>IFERROR(VLOOKUP(TEXT(O284,"0"),CONDUCTORES!$A$3:$G$54,2,0),"")</f>
        <v/>
      </c>
      <c r="Q284" s="332">
        <f>IFERROR(VLOOKUP(TEXT(O284,"0"),CONDUCTORES!$A$3:$H$54,6,0),"")</f>
        <v/>
      </c>
      <c r="R284" s="280" t="n"/>
      <c r="S284" s="280" t="n"/>
      <c r="T284" s="280" t="n"/>
      <c r="U284" s="280" t="n"/>
      <c r="V284" s="280" t="n"/>
      <c r="W284" s="280" t="n"/>
      <c r="X284" s="280" t="n"/>
      <c r="Y284" s="280" t="n"/>
      <c r="Z284" s="350" t="n"/>
      <c r="AA284" s="198" t="n"/>
      <c r="AB284" s="198" t="n"/>
      <c r="AC284" s="198" t="n"/>
    </row>
    <row r="285" ht="15" customHeight="1" s="195">
      <c r="A285" s="280" t="n"/>
      <c r="B285" s="280" t="n"/>
      <c r="C285" s="280" t="n"/>
      <c r="D285" s="280" t="n"/>
      <c r="E285" s="280" t="n"/>
      <c r="F285" s="280" t="n"/>
      <c r="G285" s="280" t="n"/>
      <c r="H285" s="280" t="n"/>
      <c r="I285" s="332">
        <f>IFERROR(VLOOKUP(TEXT(H285,"0"),IPRESS!$A$3:$B$212,2,0),"")</f>
        <v/>
      </c>
      <c r="J285" s="280" t="n"/>
      <c r="K285" s="343" t="n"/>
      <c r="L285" s="280" t="n"/>
      <c r="M285" s="280" t="n"/>
      <c r="N285" s="345" t="n"/>
      <c r="O285" s="280" t="n"/>
      <c r="P285" s="332">
        <f>IFERROR(VLOOKUP(TEXT(O285,"0"),CONDUCTORES!$A$3:$G$54,2,0),"")</f>
        <v/>
      </c>
      <c r="Q285" s="332">
        <f>IFERROR(VLOOKUP(TEXT(O285,"0"),CONDUCTORES!$A$3:$H$54,6,0),"")</f>
        <v/>
      </c>
      <c r="R285" s="280" t="n"/>
      <c r="S285" s="280" t="n"/>
      <c r="T285" s="280" t="n"/>
      <c r="U285" s="280" t="n"/>
      <c r="V285" s="280" t="n"/>
      <c r="W285" s="280" t="n"/>
      <c r="X285" s="280" t="n"/>
      <c r="Y285" s="280" t="n"/>
      <c r="Z285" s="350" t="n"/>
      <c r="AA285" s="198" t="n"/>
      <c r="AB285" s="198" t="n"/>
      <c r="AC285" s="198" t="n"/>
    </row>
    <row r="286" ht="15" customHeight="1" s="195">
      <c r="A286" s="280" t="n"/>
      <c r="B286" s="280" t="n"/>
      <c r="C286" s="280" t="n"/>
      <c r="D286" s="280" t="n"/>
      <c r="E286" s="280" t="n"/>
      <c r="F286" s="280" t="n"/>
      <c r="G286" s="280" t="n"/>
      <c r="H286" s="280" t="n"/>
      <c r="I286" s="332">
        <f>IFERROR(VLOOKUP(TEXT(H286,"0"),IPRESS!$A$3:$B$212,2,0),"")</f>
        <v/>
      </c>
      <c r="J286" s="280" t="n"/>
      <c r="K286" s="343" t="n"/>
      <c r="L286" s="280" t="n"/>
      <c r="M286" s="280" t="n"/>
      <c r="N286" s="345" t="n"/>
      <c r="O286" s="280" t="n"/>
      <c r="P286" s="332">
        <f>IFERROR(VLOOKUP(TEXT(O286,"0"),CONDUCTORES!$A$3:$G$54,2,0),"")</f>
        <v/>
      </c>
      <c r="Q286" s="332">
        <f>IFERROR(VLOOKUP(TEXT(O286,"0"),CONDUCTORES!$A$3:$H$54,6,0),"")</f>
        <v/>
      </c>
      <c r="R286" s="280" t="n"/>
      <c r="S286" s="280" t="n"/>
      <c r="T286" s="280" t="n"/>
      <c r="U286" s="280" t="n"/>
      <c r="V286" s="280" t="n"/>
      <c r="W286" s="280" t="n"/>
      <c r="X286" s="280" t="n"/>
      <c r="Y286" s="280" t="n"/>
      <c r="Z286" s="350" t="n"/>
      <c r="AA286" s="198" t="n"/>
      <c r="AB286" s="198" t="n"/>
      <c r="AC286" s="198" t="n"/>
    </row>
    <row r="287" ht="15" customHeight="1" s="195">
      <c r="A287" s="280" t="n"/>
      <c r="B287" s="280" t="n"/>
      <c r="C287" s="280" t="n"/>
      <c r="D287" s="280" t="n"/>
      <c r="E287" s="280" t="n"/>
      <c r="F287" s="280" t="n"/>
      <c r="G287" s="280" t="n"/>
      <c r="H287" s="280" t="n"/>
      <c r="I287" s="332">
        <f>IFERROR(VLOOKUP(TEXT(H287,"0"),IPRESS!$A$3:$B$212,2,0),"")</f>
        <v/>
      </c>
      <c r="J287" s="280" t="n"/>
      <c r="K287" s="343" t="n"/>
      <c r="L287" s="280" t="n"/>
      <c r="M287" s="280" t="n"/>
      <c r="N287" s="345" t="n"/>
      <c r="O287" s="280" t="n"/>
      <c r="P287" s="332">
        <f>IFERROR(VLOOKUP(TEXT(O287,"0"),CONDUCTORES!$A$3:$G$54,2,0),"")</f>
        <v/>
      </c>
      <c r="Q287" s="332">
        <f>IFERROR(VLOOKUP(TEXT(O287,"0"),CONDUCTORES!$A$3:$H$54,6,0),"")</f>
        <v/>
      </c>
      <c r="R287" s="280" t="n"/>
      <c r="S287" s="280" t="n"/>
      <c r="T287" s="280" t="n"/>
      <c r="U287" s="280" t="n"/>
      <c r="V287" s="280" t="n"/>
      <c r="W287" s="280" t="n"/>
      <c r="X287" s="280" t="n"/>
      <c r="Y287" s="280" t="n"/>
      <c r="Z287" s="350" t="n"/>
      <c r="AA287" s="198" t="n"/>
      <c r="AB287" s="198" t="n"/>
      <c r="AC287" s="198" t="n"/>
    </row>
    <row r="288" ht="15" customHeight="1" s="195">
      <c r="A288" s="280" t="n"/>
      <c r="B288" s="280" t="n"/>
      <c r="C288" s="280" t="n"/>
      <c r="D288" s="280" t="n"/>
      <c r="E288" s="280" t="n"/>
      <c r="F288" s="280" t="n"/>
      <c r="G288" s="280" t="n"/>
      <c r="H288" s="280" t="n"/>
      <c r="I288" s="332">
        <f>IFERROR(VLOOKUP(TEXT(H288,"0"),IPRESS!$A$3:$B$212,2,0),"")</f>
        <v/>
      </c>
      <c r="J288" s="280" t="n"/>
      <c r="K288" s="343" t="n"/>
      <c r="L288" s="280" t="n"/>
      <c r="M288" s="280" t="n"/>
      <c r="N288" s="345" t="n"/>
      <c r="O288" s="280" t="n"/>
      <c r="P288" s="332">
        <f>IFERROR(VLOOKUP(TEXT(O288,"0"),CONDUCTORES!$A$3:$G$54,2,0),"")</f>
        <v/>
      </c>
      <c r="Q288" s="332">
        <f>IFERROR(VLOOKUP(TEXT(O288,"0"),CONDUCTORES!$A$3:$H$54,6,0),"")</f>
        <v/>
      </c>
      <c r="R288" s="280" t="n"/>
      <c r="S288" s="280" t="n"/>
      <c r="T288" s="280" t="n"/>
      <c r="U288" s="280" t="n"/>
      <c r="V288" s="280" t="n"/>
      <c r="W288" s="280" t="n"/>
      <c r="X288" s="280" t="n"/>
      <c r="Y288" s="280" t="n"/>
      <c r="Z288" s="350" t="n"/>
      <c r="AA288" s="198" t="n"/>
      <c r="AB288" s="198" t="n"/>
      <c r="AC288" s="198" t="n"/>
    </row>
    <row r="289" ht="15" customHeight="1" s="195">
      <c r="A289" s="280" t="n"/>
      <c r="B289" s="280" t="n"/>
      <c r="C289" s="280" t="n"/>
      <c r="D289" s="280" t="n"/>
      <c r="E289" s="280" t="n"/>
      <c r="F289" s="280" t="n"/>
      <c r="G289" s="280" t="n"/>
      <c r="H289" s="280" t="n"/>
      <c r="I289" s="332">
        <f>IFERROR(VLOOKUP(TEXT(H289,"0"),IPRESS!$A$3:$B$212,2,0),"")</f>
        <v/>
      </c>
      <c r="J289" s="280" t="n"/>
      <c r="K289" s="343" t="n"/>
      <c r="L289" s="280" t="n"/>
      <c r="M289" s="280" t="n"/>
      <c r="N289" s="345" t="n"/>
      <c r="O289" s="280" t="n"/>
      <c r="P289" s="332">
        <f>IFERROR(VLOOKUP(TEXT(O289,"0"),CONDUCTORES!$A$3:$G$54,2,0),"")</f>
        <v/>
      </c>
      <c r="Q289" s="332">
        <f>IFERROR(VLOOKUP(TEXT(O289,"0"),CONDUCTORES!$A$3:$H$54,6,0),"")</f>
        <v/>
      </c>
      <c r="R289" s="280" t="n"/>
      <c r="S289" s="280" t="n"/>
      <c r="T289" s="280" t="n"/>
      <c r="U289" s="280" t="n"/>
      <c r="V289" s="280" t="n"/>
      <c r="W289" s="280" t="n"/>
      <c r="X289" s="280" t="n"/>
      <c r="Y289" s="280" t="n"/>
      <c r="Z289" s="350" t="n"/>
      <c r="AA289" s="198" t="n"/>
      <c r="AB289" s="198" t="n"/>
      <c r="AC289" s="198" t="n"/>
    </row>
    <row r="290" ht="15" customHeight="1" s="195">
      <c r="A290" s="280" t="n"/>
      <c r="B290" s="280" t="n"/>
      <c r="C290" s="280" t="n"/>
      <c r="D290" s="280" t="n"/>
      <c r="E290" s="280" t="n"/>
      <c r="F290" s="280" t="n"/>
      <c r="G290" s="280" t="n"/>
      <c r="H290" s="280" t="n"/>
      <c r="I290" s="332">
        <f>IFERROR(VLOOKUP(TEXT(H290,"0"),IPRESS!$A$3:$B$212,2,0),"")</f>
        <v/>
      </c>
      <c r="J290" s="280" t="n"/>
      <c r="K290" s="343" t="n"/>
      <c r="L290" s="280" t="n"/>
      <c r="M290" s="280" t="n"/>
      <c r="N290" s="345" t="n"/>
      <c r="O290" s="280" t="n"/>
      <c r="P290" s="332">
        <f>IFERROR(VLOOKUP(TEXT(O290,"0"),CONDUCTORES!$A$3:$G$54,2,0),"")</f>
        <v/>
      </c>
      <c r="Q290" s="332">
        <f>IFERROR(VLOOKUP(TEXT(O290,"0"),CONDUCTORES!$A$3:$H$54,6,0),"")</f>
        <v/>
      </c>
      <c r="R290" s="280" t="n"/>
      <c r="S290" s="280" t="n"/>
      <c r="T290" s="280" t="n"/>
      <c r="U290" s="280" t="n"/>
      <c r="V290" s="280" t="n"/>
      <c r="W290" s="280" t="n"/>
      <c r="X290" s="280" t="n"/>
      <c r="Y290" s="280" t="n"/>
      <c r="Z290" s="350" t="n"/>
      <c r="AA290" s="198" t="n"/>
      <c r="AB290" s="198" t="n"/>
      <c r="AC290" s="198" t="n"/>
    </row>
    <row r="291" ht="15" customHeight="1" s="195">
      <c r="A291" s="280" t="n"/>
      <c r="B291" s="280" t="n"/>
      <c r="C291" s="280" t="n"/>
      <c r="D291" s="280" t="n"/>
      <c r="E291" s="280" t="n"/>
      <c r="F291" s="280" t="n"/>
      <c r="G291" s="280" t="n"/>
      <c r="H291" s="280" t="n"/>
      <c r="I291" s="332">
        <f>IFERROR(VLOOKUP(TEXT(H291,"0"),IPRESS!$A$3:$B$212,2,0),"")</f>
        <v/>
      </c>
      <c r="J291" s="280" t="n"/>
      <c r="K291" s="343" t="n"/>
      <c r="L291" s="280" t="n"/>
      <c r="M291" s="280" t="n"/>
      <c r="N291" s="345" t="n"/>
      <c r="O291" s="280" t="n"/>
      <c r="P291" s="332">
        <f>IFERROR(VLOOKUP(TEXT(O291,"0"),CONDUCTORES!$A$3:$G$54,2,0),"")</f>
        <v/>
      </c>
      <c r="Q291" s="332">
        <f>IFERROR(VLOOKUP(TEXT(O291,"0"),CONDUCTORES!$A$3:$H$54,6,0),"")</f>
        <v/>
      </c>
      <c r="R291" s="280" t="n"/>
      <c r="S291" s="280" t="n"/>
      <c r="T291" s="280" t="n"/>
      <c r="U291" s="280" t="n"/>
      <c r="V291" s="280" t="n"/>
      <c r="W291" s="280" t="n"/>
      <c r="X291" s="280" t="n"/>
      <c r="Y291" s="280" t="n"/>
      <c r="Z291" s="350" t="n"/>
      <c r="AA291" s="198" t="n"/>
      <c r="AB291" s="198" t="n"/>
      <c r="AC291" s="198" t="n"/>
    </row>
    <row r="292" ht="15" customHeight="1" s="195">
      <c r="A292" s="280" t="n"/>
      <c r="B292" s="280" t="n"/>
      <c r="C292" s="280" t="n"/>
      <c r="D292" s="280" t="n"/>
      <c r="E292" s="280" t="n"/>
      <c r="F292" s="280" t="n"/>
      <c r="G292" s="280" t="n"/>
      <c r="H292" s="280" t="n"/>
      <c r="I292" s="332">
        <f>IFERROR(VLOOKUP(TEXT(H292,"0"),IPRESS!$A$3:$B$212,2,0),"")</f>
        <v/>
      </c>
      <c r="J292" s="280" t="n"/>
      <c r="K292" s="343" t="n"/>
      <c r="L292" s="280" t="n"/>
      <c r="M292" s="280" t="n"/>
      <c r="N292" s="345" t="n"/>
      <c r="O292" s="280" t="n"/>
      <c r="P292" s="332">
        <f>IFERROR(VLOOKUP(TEXT(O292,"0"),CONDUCTORES!$A$3:$G$54,2,0),"")</f>
        <v/>
      </c>
      <c r="Q292" s="332">
        <f>IFERROR(VLOOKUP(TEXT(O292,"0"),CONDUCTORES!$A$3:$H$54,6,0),"")</f>
        <v/>
      </c>
      <c r="R292" s="280" t="n"/>
      <c r="S292" s="280" t="n"/>
      <c r="T292" s="280" t="n"/>
      <c r="U292" s="280" t="n"/>
      <c r="V292" s="280" t="n"/>
      <c r="W292" s="280" t="n"/>
      <c r="X292" s="280" t="n"/>
      <c r="Y292" s="280" t="n"/>
      <c r="Z292" s="350" t="n"/>
      <c r="AA292" s="198" t="n"/>
      <c r="AB292" s="198" t="n"/>
      <c r="AC292" s="198" t="n"/>
    </row>
    <row r="293" ht="15" customHeight="1" s="195">
      <c r="A293" s="280" t="n"/>
      <c r="B293" s="280" t="n"/>
      <c r="C293" s="280" t="n"/>
      <c r="D293" s="280" t="n"/>
      <c r="E293" s="280" t="n"/>
      <c r="F293" s="280" t="n"/>
      <c r="G293" s="280" t="n"/>
      <c r="H293" s="280" t="n"/>
      <c r="I293" s="332">
        <f>IFERROR(VLOOKUP(TEXT(H293,"0"),IPRESS!$A$3:$B$212,2,0),"")</f>
        <v/>
      </c>
      <c r="J293" s="280" t="n"/>
      <c r="K293" s="343" t="n"/>
      <c r="L293" s="280" t="n"/>
      <c r="M293" s="280" t="n"/>
      <c r="N293" s="345" t="n"/>
      <c r="O293" s="280" t="n"/>
      <c r="P293" s="332">
        <f>IFERROR(VLOOKUP(TEXT(O293,"0"),CONDUCTORES!$A$3:$G$54,2,0),"")</f>
        <v/>
      </c>
      <c r="Q293" s="332">
        <f>IFERROR(VLOOKUP(TEXT(O293,"0"),CONDUCTORES!$A$3:$H$54,6,0),"")</f>
        <v/>
      </c>
      <c r="R293" s="280" t="n"/>
      <c r="S293" s="280" t="n"/>
      <c r="T293" s="280" t="n"/>
      <c r="U293" s="280" t="n"/>
      <c r="V293" s="280" t="n"/>
      <c r="W293" s="280" t="n"/>
      <c r="X293" s="280" t="n"/>
      <c r="Y293" s="280" t="n"/>
      <c r="Z293" s="350" t="n"/>
      <c r="AA293" s="198" t="n"/>
      <c r="AB293" s="198" t="n"/>
      <c r="AC293" s="198" t="n"/>
    </row>
    <row r="294" ht="15" customHeight="1" s="195">
      <c r="A294" s="280" t="n"/>
      <c r="B294" s="280" t="n"/>
      <c r="C294" s="280" t="n"/>
      <c r="D294" s="280" t="n"/>
      <c r="E294" s="280" t="n"/>
      <c r="F294" s="280" t="n"/>
      <c r="G294" s="280" t="n"/>
      <c r="H294" s="280" t="n"/>
      <c r="I294" s="332">
        <f>IFERROR(VLOOKUP(TEXT(H294,"0"),IPRESS!$A$3:$B$212,2,0),"")</f>
        <v/>
      </c>
      <c r="J294" s="280" t="n"/>
      <c r="K294" s="343" t="n"/>
      <c r="L294" s="280" t="n"/>
      <c r="M294" s="280" t="n"/>
      <c r="N294" s="345" t="n"/>
      <c r="O294" s="280" t="n"/>
      <c r="P294" s="332">
        <f>IFERROR(VLOOKUP(TEXT(O294,"0"),CONDUCTORES!$A$3:$G$54,2,0),"")</f>
        <v/>
      </c>
      <c r="Q294" s="332">
        <f>IFERROR(VLOOKUP(TEXT(O294,"0"),CONDUCTORES!$A$3:$H$54,6,0),"")</f>
        <v/>
      </c>
      <c r="R294" s="280" t="n"/>
      <c r="S294" s="280" t="n"/>
      <c r="T294" s="280" t="n"/>
      <c r="U294" s="280" t="n"/>
      <c r="V294" s="280" t="n"/>
      <c r="W294" s="280" t="n"/>
      <c r="X294" s="280" t="n"/>
      <c r="Y294" s="280" t="n"/>
      <c r="Z294" s="350" t="n"/>
      <c r="AA294" s="198" t="n"/>
      <c r="AB294" s="198" t="n"/>
      <c r="AC294" s="198" t="n"/>
    </row>
    <row r="295" ht="15" customHeight="1" s="195">
      <c r="A295" s="280" t="n"/>
      <c r="B295" s="280" t="n"/>
      <c r="C295" s="280" t="n"/>
      <c r="D295" s="280" t="n"/>
      <c r="E295" s="280" t="n"/>
      <c r="F295" s="280" t="n"/>
      <c r="G295" s="280" t="n"/>
      <c r="H295" s="280" t="n"/>
      <c r="I295" s="332">
        <f>IFERROR(VLOOKUP(TEXT(H295,"0"),IPRESS!$A$3:$B$212,2,0),"")</f>
        <v/>
      </c>
      <c r="J295" s="280" t="n"/>
      <c r="K295" s="343" t="n"/>
      <c r="L295" s="280" t="n"/>
      <c r="M295" s="280" t="n"/>
      <c r="N295" s="345" t="n"/>
      <c r="O295" s="280" t="n"/>
      <c r="P295" s="332">
        <f>IFERROR(VLOOKUP(TEXT(O295,"0"),CONDUCTORES!$A$3:$G$54,2,0),"")</f>
        <v/>
      </c>
      <c r="Q295" s="332">
        <f>IFERROR(VLOOKUP(TEXT(O295,"0"),CONDUCTORES!$A$3:$H$54,6,0),"")</f>
        <v/>
      </c>
      <c r="R295" s="280" t="n"/>
      <c r="S295" s="280" t="n"/>
      <c r="T295" s="280" t="n"/>
      <c r="U295" s="280" t="n"/>
      <c r="V295" s="280" t="n"/>
      <c r="W295" s="280" t="n"/>
      <c r="X295" s="280" t="n"/>
      <c r="Y295" s="280" t="n"/>
      <c r="Z295" s="350" t="n"/>
      <c r="AA295" s="198" t="n"/>
      <c r="AB295" s="198" t="n"/>
      <c r="AC295" s="198" t="n"/>
    </row>
    <row r="296" ht="15" customHeight="1" s="195">
      <c r="A296" s="280" t="n"/>
      <c r="B296" s="280" t="n"/>
      <c r="C296" s="280" t="n"/>
      <c r="D296" s="280" t="n"/>
      <c r="E296" s="280" t="n"/>
      <c r="F296" s="280" t="n"/>
      <c r="G296" s="280" t="n"/>
      <c r="H296" s="280" t="n"/>
      <c r="I296" s="332">
        <f>IFERROR(VLOOKUP(TEXT(H296,"0"),IPRESS!$A$3:$B$212,2,0),"")</f>
        <v/>
      </c>
      <c r="J296" s="280" t="n"/>
      <c r="K296" s="343" t="n"/>
      <c r="L296" s="280" t="n"/>
      <c r="M296" s="280" t="n"/>
      <c r="N296" s="345" t="n"/>
      <c r="O296" s="280" t="n"/>
      <c r="P296" s="332">
        <f>IFERROR(VLOOKUP(TEXT(O296,"0"),CONDUCTORES!$A$3:$G$54,2,0),"")</f>
        <v/>
      </c>
      <c r="Q296" s="332">
        <f>IFERROR(VLOOKUP(TEXT(O296,"0"),CONDUCTORES!$A$3:$H$54,6,0),"")</f>
        <v/>
      </c>
      <c r="R296" s="280" t="n"/>
      <c r="S296" s="280" t="n"/>
      <c r="T296" s="280" t="n"/>
      <c r="U296" s="280" t="n"/>
      <c r="V296" s="280" t="n"/>
      <c r="W296" s="280" t="n"/>
      <c r="X296" s="280" t="n"/>
      <c r="Y296" s="280" t="n"/>
      <c r="Z296" s="350" t="n"/>
      <c r="AA296" s="198" t="n"/>
      <c r="AB296" s="198" t="n"/>
      <c r="AC296" s="198" t="n"/>
    </row>
    <row r="297" ht="15" customHeight="1" s="195">
      <c r="A297" s="280" t="n"/>
      <c r="B297" s="280" t="n"/>
      <c r="C297" s="280" t="n"/>
      <c r="D297" s="280" t="n"/>
      <c r="E297" s="280" t="n"/>
      <c r="F297" s="280" t="n"/>
      <c r="G297" s="280" t="n"/>
      <c r="H297" s="280" t="n"/>
      <c r="I297" s="332">
        <f>IFERROR(VLOOKUP(TEXT(H297,"0"),IPRESS!$A$3:$B$212,2,0),"")</f>
        <v/>
      </c>
      <c r="J297" s="280" t="n"/>
      <c r="K297" s="343" t="n"/>
      <c r="L297" s="280" t="n"/>
      <c r="M297" s="280" t="n"/>
      <c r="N297" s="345" t="n"/>
      <c r="O297" s="280" t="n"/>
      <c r="P297" s="332">
        <f>IFERROR(VLOOKUP(TEXT(O297,"0"),CONDUCTORES!$A$3:$G$54,2,0),"")</f>
        <v/>
      </c>
      <c r="Q297" s="332">
        <f>IFERROR(VLOOKUP(TEXT(O297,"0"),CONDUCTORES!$A$3:$H$54,6,0),"")</f>
        <v/>
      </c>
      <c r="R297" s="280" t="n"/>
      <c r="S297" s="280" t="n"/>
      <c r="T297" s="280" t="n"/>
      <c r="U297" s="280" t="n"/>
      <c r="V297" s="280" t="n"/>
      <c r="W297" s="280" t="n"/>
      <c r="X297" s="280" t="n"/>
      <c r="Y297" s="280" t="n"/>
      <c r="Z297" s="350" t="n"/>
      <c r="AA297" s="198" t="n"/>
      <c r="AB297" s="198" t="n"/>
      <c r="AC297" s="198" t="n"/>
    </row>
    <row r="298" ht="15" customHeight="1" s="195">
      <c r="A298" s="280" t="n"/>
      <c r="B298" s="280" t="n"/>
      <c r="C298" s="280" t="n"/>
      <c r="D298" s="280" t="n"/>
      <c r="E298" s="280" t="n"/>
      <c r="F298" s="280" t="n"/>
      <c r="G298" s="280" t="n"/>
      <c r="H298" s="280" t="n"/>
      <c r="I298" s="332">
        <f>IFERROR(VLOOKUP(TEXT(H298,"0"),IPRESS!$A$3:$B$212,2,0),"")</f>
        <v/>
      </c>
      <c r="J298" s="280" t="n"/>
      <c r="K298" s="343" t="n"/>
      <c r="L298" s="280" t="n"/>
      <c r="M298" s="280" t="n"/>
      <c r="N298" s="345" t="n"/>
      <c r="O298" s="280" t="n"/>
      <c r="P298" s="332">
        <f>IFERROR(VLOOKUP(TEXT(O298,"0"),CONDUCTORES!$A$3:$G$54,2,0),"")</f>
        <v/>
      </c>
      <c r="Q298" s="332">
        <f>IFERROR(VLOOKUP(TEXT(O298,"0"),CONDUCTORES!$A$3:$H$54,6,0),"")</f>
        <v/>
      </c>
      <c r="R298" s="280" t="n"/>
      <c r="S298" s="280" t="n"/>
      <c r="T298" s="280" t="n"/>
      <c r="U298" s="280" t="n"/>
      <c r="V298" s="280" t="n"/>
      <c r="W298" s="280" t="n"/>
      <c r="X298" s="280" t="n"/>
      <c r="Y298" s="280" t="n"/>
      <c r="Z298" s="350" t="n"/>
      <c r="AA298" s="198" t="n"/>
      <c r="AB298" s="198" t="n"/>
      <c r="AC298" s="198" t="n"/>
    </row>
    <row r="299" ht="15" customHeight="1" s="195">
      <c r="A299" s="280" t="n"/>
      <c r="B299" s="280" t="n"/>
      <c r="C299" s="280" t="n"/>
      <c r="D299" s="280" t="n"/>
      <c r="E299" s="280" t="n"/>
      <c r="F299" s="280" t="n"/>
      <c r="G299" s="280" t="n"/>
      <c r="H299" s="280" t="n"/>
      <c r="I299" s="332">
        <f>IFERROR(VLOOKUP(TEXT(H299,"0"),IPRESS!$A$3:$B$212,2,0),"")</f>
        <v/>
      </c>
      <c r="J299" s="280" t="n"/>
      <c r="K299" s="343" t="n"/>
      <c r="L299" s="280" t="n"/>
      <c r="M299" s="280" t="n"/>
      <c r="N299" s="345" t="n"/>
      <c r="O299" s="280" t="n"/>
      <c r="P299" s="332">
        <f>IFERROR(VLOOKUP(TEXT(O299,"0"),CONDUCTORES!$A$3:$G$54,2,0),"")</f>
        <v/>
      </c>
      <c r="Q299" s="332">
        <f>IFERROR(VLOOKUP(TEXT(O299,"0"),CONDUCTORES!$A$3:$H$54,6,0),"")</f>
        <v/>
      </c>
      <c r="R299" s="280" t="n"/>
      <c r="S299" s="280" t="n"/>
      <c r="T299" s="280" t="n"/>
      <c r="U299" s="280" t="n"/>
      <c r="V299" s="280" t="n"/>
      <c r="W299" s="280" t="n"/>
      <c r="X299" s="280" t="n"/>
      <c r="Y299" s="280" t="n"/>
      <c r="Z299" s="350" t="n"/>
      <c r="AA299" s="198" t="n"/>
      <c r="AB299" s="198" t="n"/>
      <c r="AC299" s="198" t="n"/>
    </row>
    <row r="300" ht="15" customHeight="1" s="195">
      <c r="A300" s="280" t="n"/>
      <c r="B300" s="280" t="n"/>
      <c r="C300" s="280" t="n"/>
      <c r="D300" s="280" t="n"/>
      <c r="E300" s="280" t="n"/>
      <c r="F300" s="280" t="n"/>
      <c r="G300" s="280" t="n"/>
      <c r="H300" s="280" t="n"/>
      <c r="I300" s="332">
        <f>IFERROR(VLOOKUP(TEXT(H300,"0"),IPRESS!$A$3:$B$212,2,0),"")</f>
        <v/>
      </c>
      <c r="J300" s="280" t="n"/>
      <c r="K300" s="343" t="n"/>
      <c r="L300" s="280" t="n"/>
      <c r="M300" s="280" t="n"/>
      <c r="N300" s="345" t="n"/>
      <c r="O300" s="280" t="n"/>
      <c r="P300" s="332">
        <f>IFERROR(VLOOKUP(TEXT(O300,"0"),CONDUCTORES!$A$3:$G$54,2,0),"")</f>
        <v/>
      </c>
      <c r="Q300" s="332">
        <f>IFERROR(VLOOKUP(TEXT(O300,"0"),CONDUCTORES!$A$3:$H$54,6,0),"")</f>
        <v/>
      </c>
      <c r="R300" s="280" t="n"/>
      <c r="S300" s="280" t="n"/>
      <c r="T300" s="280" t="n"/>
      <c r="U300" s="280" t="n"/>
      <c r="V300" s="280" t="n"/>
      <c r="W300" s="280" t="n"/>
      <c r="X300" s="280" t="n"/>
      <c r="Y300" s="280" t="n"/>
      <c r="Z300" s="350" t="n"/>
      <c r="AA300" s="198" t="n"/>
      <c r="AB300" s="198" t="n"/>
      <c r="AC300" s="198" t="n"/>
    </row>
    <row r="301" ht="15" customHeight="1" s="195">
      <c r="A301" s="280" t="n"/>
      <c r="B301" s="280" t="n"/>
      <c r="C301" s="280" t="n"/>
      <c r="D301" s="280" t="n"/>
      <c r="E301" s="280" t="n"/>
      <c r="F301" s="280" t="n"/>
      <c r="G301" s="280" t="n"/>
      <c r="H301" s="280" t="n"/>
      <c r="I301" s="332">
        <f>IFERROR(VLOOKUP(TEXT(H301,"0"),IPRESS!$A$3:$B$212,2,0),"")</f>
        <v/>
      </c>
      <c r="J301" s="280" t="n"/>
      <c r="K301" s="343" t="n"/>
      <c r="L301" s="280" t="n"/>
      <c r="M301" s="280" t="n"/>
      <c r="N301" s="345" t="n"/>
      <c r="O301" s="280" t="n"/>
      <c r="P301" s="332">
        <f>IFERROR(VLOOKUP(TEXT(O301,"0"),CONDUCTORES!$A$3:$G$54,2,0),"")</f>
        <v/>
      </c>
      <c r="Q301" s="332">
        <f>IFERROR(VLOOKUP(TEXT(O301,"0"),CONDUCTORES!$A$3:$H$54,6,0),"")</f>
        <v/>
      </c>
      <c r="R301" s="280" t="n"/>
      <c r="S301" s="280" t="n"/>
      <c r="T301" s="280" t="n"/>
      <c r="U301" s="280" t="n"/>
      <c r="V301" s="280" t="n"/>
      <c r="W301" s="280" t="n"/>
      <c r="X301" s="280" t="n"/>
      <c r="Y301" s="280" t="n"/>
      <c r="Z301" s="350" t="n"/>
      <c r="AA301" s="198" t="n"/>
      <c r="AB301" s="198" t="n"/>
      <c r="AC301" s="198" t="n"/>
    </row>
    <row r="302" ht="15" customHeight="1" s="195">
      <c r="A302" s="280" t="n"/>
      <c r="B302" s="280" t="n"/>
      <c r="C302" s="280" t="n"/>
      <c r="D302" s="280" t="n"/>
      <c r="E302" s="280" t="n"/>
      <c r="F302" s="280" t="n"/>
      <c r="G302" s="280" t="n"/>
      <c r="H302" s="280" t="n"/>
      <c r="I302" s="332">
        <f>IFERROR(VLOOKUP(TEXT(H302,"0"),IPRESS!$A$3:$B$212,2,0),"")</f>
        <v/>
      </c>
      <c r="J302" s="280" t="n"/>
      <c r="K302" s="343" t="n"/>
      <c r="L302" s="280" t="n"/>
      <c r="M302" s="280" t="n"/>
      <c r="N302" s="345" t="n"/>
      <c r="O302" s="280" t="n"/>
      <c r="P302" s="332">
        <f>IFERROR(VLOOKUP(TEXT(O302,"0"),CONDUCTORES!$A$3:$G$54,2,0),"")</f>
        <v/>
      </c>
      <c r="Q302" s="332">
        <f>IFERROR(VLOOKUP(TEXT(O302,"0"),CONDUCTORES!$A$3:$H$54,6,0),"")</f>
        <v/>
      </c>
      <c r="R302" s="280" t="n"/>
      <c r="S302" s="280" t="n"/>
      <c r="T302" s="280" t="n"/>
      <c r="U302" s="280" t="n"/>
      <c r="V302" s="280" t="n"/>
      <c r="W302" s="280" t="n"/>
      <c r="X302" s="280" t="n"/>
      <c r="Y302" s="280" t="n"/>
      <c r="Z302" s="350" t="n"/>
      <c r="AA302" s="198" t="n"/>
      <c r="AB302" s="198" t="n"/>
      <c r="AC302" s="198" t="n"/>
    </row>
    <row r="303" ht="15" customHeight="1" s="195">
      <c r="A303" s="280" t="n"/>
      <c r="B303" s="280" t="n"/>
      <c r="C303" s="280" t="n"/>
      <c r="D303" s="280" t="n"/>
      <c r="E303" s="280" t="n"/>
      <c r="F303" s="280" t="n"/>
      <c r="G303" s="280" t="n"/>
      <c r="H303" s="280" t="n"/>
      <c r="I303" s="332">
        <f>IFERROR(VLOOKUP(TEXT(H303,"0"),IPRESS!$A$3:$B$212,2,0),"")</f>
        <v/>
      </c>
      <c r="J303" s="280" t="n"/>
      <c r="K303" s="343" t="n"/>
      <c r="L303" s="280" t="n"/>
      <c r="M303" s="280" t="n"/>
      <c r="N303" s="345" t="n"/>
      <c r="O303" s="280" t="n"/>
      <c r="P303" s="332">
        <f>IFERROR(VLOOKUP(TEXT(O303,"0"),CONDUCTORES!$A$3:$G$54,2,0),"")</f>
        <v/>
      </c>
      <c r="Q303" s="332">
        <f>IFERROR(VLOOKUP(TEXT(O303,"0"),CONDUCTORES!$A$3:$H$54,6,0),"")</f>
        <v/>
      </c>
      <c r="R303" s="280" t="n"/>
      <c r="S303" s="280" t="n"/>
      <c r="T303" s="280" t="n"/>
      <c r="U303" s="280" t="n"/>
      <c r="V303" s="280" t="n"/>
      <c r="W303" s="280" t="n"/>
      <c r="X303" s="280" t="n"/>
      <c r="Y303" s="280" t="n"/>
      <c r="Z303" s="350" t="n"/>
      <c r="AA303" s="198" t="n"/>
      <c r="AB303" s="198" t="n"/>
      <c r="AC303" s="198" t="n"/>
    </row>
    <row r="304" ht="15" customHeight="1" s="195">
      <c r="A304" s="280" t="n"/>
      <c r="B304" s="280" t="n"/>
      <c r="C304" s="280" t="n"/>
      <c r="D304" s="280" t="n"/>
      <c r="E304" s="280" t="n"/>
      <c r="F304" s="280" t="n"/>
      <c r="G304" s="280" t="n"/>
      <c r="H304" s="280" t="n"/>
      <c r="I304" s="332">
        <f>IFERROR(VLOOKUP(TEXT(H304,"0"),IPRESS!$A$3:$B$212,2,0),"")</f>
        <v/>
      </c>
      <c r="J304" s="280" t="n"/>
      <c r="K304" s="343" t="n"/>
      <c r="L304" s="280" t="n"/>
      <c r="M304" s="280" t="n"/>
      <c r="N304" s="345" t="n"/>
      <c r="O304" s="280" t="n"/>
      <c r="P304" s="332">
        <f>IFERROR(VLOOKUP(TEXT(O304,"0"),CONDUCTORES!$A$3:$G$54,2,0),"")</f>
        <v/>
      </c>
      <c r="Q304" s="332">
        <f>IFERROR(VLOOKUP(TEXT(O304,"0"),CONDUCTORES!$A$3:$H$54,6,0),"")</f>
        <v/>
      </c>
      <c r="R304" s="280" t="n"/>
      <c r="S304" s="280" t="n"/>
      <c r="T304" s="280" t="n"/>
      <c r="U304" s="280" t="n"/>
      <c r="V304" s="280" t="n"/>
      <c r="W304" s="280" t="n"/>
      <c r="X304" s="280" t="n"/>
      <c r="Y304" s="280" t="n"/>
      <c r="Z304" s="350" t="n"/>
      <c r="AA304" s="198" t="n"/>
      <c r="AB304" s="198" t="n"/>
      <c r="AC304" s="198" t="n"/>
    </row>
    <row r="305" ht="15" customHeight="1" s="195">
      <c r="A305" s="280" t="n"/>
      <c r="B305" s="280" t="n"/>
      <c r="C305" s="280" t="n"/>
      <c r="D305" s="280" t="n"/>
      <c r="E305" s="280" t="n"/>
      <c r="F305" s="280" t="n"/>
      <c r="G305" s="280" t="n"/>
      <c r="H305" s="280" t="n"/>
      <c r="I305" s="332">
        <f>IFERROR(VLOOKUP(TEXT(H305,"0"),IPRESS!$A$3:$B$212,2,0),"")</f>
        <v/>
      </c>
      <c r="J305" s="280" t="n"/>
      <c r="K305" s="343" t="n"/>
      <c r="L305" s="280" t="n"/>
      <c r="M305" s="280" t="n"/>
      <c r="N305" s="345" t="n"/>
      <c r="O305" s="280" t="n"/>
      <c r="P305" s="332">
        <f>IFERROR(VLOOKUP(TEXT(O305,"0"),CONDUCTORES!$A$3:$G$54,2,0),"")</f>
        <v/>
      </c>
      <c r="Q305" s="332">
        <f>IFERROR(VLOOKUP(TEXT(O305,"0"),CONDUCTORES!$A$3:$H$54,6,0),"")</f>
        <v/>
      </c>
      <c r="R305" s="280" t="n"/>
      <c r="S305" s="280" t="n"/>
      <c r="T305" s="280" t="n"/>
      <c r="U305" s="280" t="n"/>
      <c r="V305" s="280" t="n"/>
      <c r="W305" s="280" t="n"/>
      <c r="X305" s="280" t="n"/>
      <c r="Y305" s="280" t="n"/>
      <c r="Z305" s="350" t="n"/>
      <c r="AA305" s="198" t="n"/>
      <c r="AB305" s="198" t="n"/>
      <c r="AC305" s="198" t="n"/>
    </row>
    <row r="306" ht="15" customHeight="1" s="195">
      <c r="A306" s="280" t="n"/>
      <c r="B306" s="280" t="n"/>
      <c r="C306" s="280" t="n"/>
      <c r="D306" s="280" t="n"/>
      <c r="E306" s="280" t="n"/>
      <c r="F306" s="280" t="n"/>
      <c r="G306" s="280" t="n"/>
      <c r="H306" s="280" t="n"/>
      <c r="I306" s="332">
        <f>IFERROR(VLOOKUP(TEXT(H306,"0"),IPRESS!$A$3:$B$212,2,0),"")</f>
        <v/>
      </c>
      <c r="J306" s="280" t="n"/>
      <c r="K306" s="343" t="n"/>
      <c r="L306" s="280" t="n"/>
      <c r="M306" s="280" t="n"/>
      <c r="N306" s="345" t="n"/>
      <c r="O306" s="280" t="n"/>
      <c r="P306" s="332">
        <f>IFERROR(VLOOKUP(TEXT(O306,"0"),CONDUCTORES!$A$3:$G$54,2,0),"")</f>
        <v/>
      </c>
      <c r="Q306" s="332">
        <f>IFERROR(VLOOKUP(TEXT(O306,"0"),CONDUCTORES!$A$3:$H$54,6,0),"")</f>
        <v/>
      </c>
      <c r="R306" s="280" t="n"/>
      <c r="S306" s="280" t="n"/>
      <c r="T306" s="280" t="n"/>
      <c r="U306" s="280" t="n"/>
      <c r="V306" s="280" t="n"/>
      <c r="W306" s="280" t="n"/>
      <c r="X306" s="280" t="n"/>
      <c r="Y306" s="280" t="n"/>
      <c r="Z306" s="350" t="n"/>
      <c r="AA306" s="198" t="n"/>
      <c r="AB306" s="198" t="n"/>
      <c r="AC306" s="198" t="n"/>
    </row>
    <row r="307" ht="15" customHeight="1" s="195">
      <c r="A307" s="280" t="n"/>
      <c r="B307" s="280" t="n"/>
      <c r="C307" s="280" t="n"/>
      <c r="D307" s="280" t="n"/>
      <c r="E307" s="280" t="n"/>
      <c r="F307" s="280" t="n"/>
      <c r="G307" s="280" t="n"/>
      <c r="H307" s="280" t="n"/>
      <c r="I307" s="332">
        <f>IFERROR(VLOOKUP(TEXT(H307,"0"),IPRESS!$A$3:$B$212,2,0),"")</f>
        <v/>
      </c>
      <c r="J307" s="280" t="n"/>
      <c r="K307" s="343" t="n"/>
      <c r="L307" s="280" t="n"/>
      <c r="M307" s="280" t="n"/>
      <c r="N307" s="345" t="n"/>
      <c r="O307" s="280" t="n"/>
      <c r="P307" s="332">
        <f>IFERROR(VLOOKUP(TEXT(O307,"0"),CONDUCTORES!$A$3:$G$54,2,0),"")</f>
        <v/>
      </c>
      <c r="Q307" s="332">
        <f>IFERROR(VLOOKUP(TEXT(O307,"0"),CONDUCTORES!$A$3:$H$54,6,0),"")</f>
        <v/>
      </c>
      <c r="R307" s="280" t="n"/>
      <c r="S307" s="280" t="n"/>
      <c r="T307" s="280" t="n"/>
      <c r="U307" s="280" t="n"/>
      <c r="V307" s="280" t="n"/>
      <c r="W307" s="280" t="n"/>
      <c r="X307" s="280" t="n"/>
      <c r="Y307" s="280" t="n"/>
      <c r="Z307" s="350" t="n"/>
      <c r="AA307" s="198" t="n"/>
      <c r="AB307" s="198" t="n"/>
      <c r="AC307" s="198" t="n"/>
    </row>
    <row r="308" ht="15" customHeight="1" s="195">
      <c r="A308" s="280" t="n"/>
      <c r="B308" s="280" t="n"/>
      <c r="C308" s="280" t="n"/>
      <c r="D308" s="280" t="n"/>
      <c r="E308" s="280" t="n"/>
      <c r="F308" s="280" t="n"/>
      <c r="G308" s="280" t="n"/>
      <c r="H308" s="280" t="n"/>
      <c r="I308" s="332">
        <f>IFERROR(VLOOKUP(TEXT(H308,"0"),IPRESS!$A$3:$B$212,2,0),"")</f>
        <v/>
      </c>
      <c r="J308" s="280" t="n"/>
      <c r="K308" s="343" t="n"/>
      <c r="L308" s="280" t="n"/>
      <c r="M308" s="280" t="n"/>
      <c r="N308" s="345" t="n"/>
      <c r="O308" s="280" t="n"/>
      <c r="P308" s="332">
        <f>IFERROR(VLOOKUP(TEXT(O308,"0"),CONDUCTORES!$A$3:$G$54,2,0),"")</f>
        <v/>
      </c>
      <c r="Q308" s="332">
        <f>IFERROR(VLOOKUP(TEXT(O308,"0"),CONDUCTORES!$A$3:$H$54,6,0),"")</f>
        <v/>
      </c>
      <c r="R308" s="280" t="n"/>
      <c r="S308" s="280" t="n"/>
      <c r="T308" s="280" t="n"/>
      <c r="U308" s="280" t="n"/>
      <c r="V308" s="280" t="n"/>
      <c r="W308" s="280" t="n"/>
      <c r="X308" s="280" t="n"/>
      <c r="Y308" s="280" t="n"/>
      <c r="Z308" s="350" t="n"/>
      <c r="AA308" s="198" t="n"/>
      <c r="AB308" s="198" t="n"/>
      <c r="AC308" s="198" t="n"/>
    </row>
    <row r="309" ht="15" customHeight="1" s="195">
      <c r="A309" s="280" t="n"/>
      <c r="B309" s="280" t="n"/>
      <c r="C309" s="280" t="n"/>
      <c r="D309" s="280" t="n"/>
      <c r="E309" s="280" t="n"/>
      <c r="F309" s="280" t="n"/>
      <c r="G309" s="280" t="n"/>
      <c r="H309" s="280" t="n"/>
      <c r="I309" s="332">
        <f>IFERROR(VLOOKUP(TEXT(H309,"0"),IPRESS!$A$3:$B$212,2,0),"")</f>
        <v/>
      </c>
      <c r="J309" s="280" t="n"/>
      <c r="K309" s="343" t="n"/>
      <c r="L309" s="280" t="n"/>
      <c r="M309" s="280" t="n"/>
      <c r="N309" s="345" t="n"/>
      <c r="O309" s="280" t="n"/>
      <c r="P309" s="332">
        <f>IFERROR(VLOOKUP(TEXT(O309,"0"),CONDUCTORES!$A$3:$G$54,2,0),"")</f>
        <v/>
      </c>
      <c r="Q309" s="332">
        <f>IFERROR(VLOOKUP(TEXT(O309,"0"),CONDUCTORES!$A$3:$H$54,6,0),"")</f>
        <v/>
      </c>
      <c r="R309" s="280" t="n"/>
      <c r="S309" s="280" t="n"/>
      <c r="T309" s="280" t="n"/>
      <c r="U309" s="280" t="n"/>
      <c r="V309" s="280" t="n"/>
      <c r="W309" s="280" t="n"/>
      <c r="X309" s="280" t="n"/>
      <c r="Y309" s="280" t="n"/>
      <c r="Z309" s="350" t="n"/>
      <c r="AA309" s="198" t="n"/>
      <c r="AB309" s="198" t="n"/>
      <c r="AC309" s="198" t="n"/>
    </row>
    <row r="310" ht="15" customHeight="1" s="195">
      <c r="A310" s="280" t="n"/>
      <c r="B310" s="280" t="n"/>
      <c r="C310" s="280" t="n"/>
      <c r="D310" s="280" t="n"/>
      <c r="E310" s="280" t="n"/>
      <c r="F310" s="280" t="n"/>
      <c r="G310" s="280" t="n"/>
      <c r="H310" s="280" t="n"/>
      <c r="I310" s="332">
        <f>IFERROR(VLOOKUP(TEXT(H310,"0"),IPRESS!$A$3:$B$212,2,0),"")</f>
        <v/>
      </c>
      <c r="J310" s="280" t="n"/>
      <c r="K310" s="343" t="n"/>
      <c r="L310" s="280" t="n"/>
      <c r="M310" s="280" t="n"/>
      <c r="N310" s="345" t="n"/>
      <c r="O310" s="280" t="n"/>
      <c r="P310" s="332">
        <f>IFERROR(VLOOKUP(TEXT(O310,"0"),CONDUCTORES!$A$3:$G$54,2,0),"")</f>
        <v/>
      </c>
      <c r="Q310" s="332">
        <f>IFERROR(VLOOKUP(TEXT(O310,"0"),CONDUCTORES!$A$3:$H$54,6,0),"")</f>
        <v/>
      </c>
      <c r="R310" s="280" t="n"/>
      <c r="S310" s="280" t="n"/>
      <c r="T310" s="280" t="n"/>
      <c r="U310" s="280" t="n"/>
      <c r="V310" s="280" t="n"/>
      <c r="W310" s="280" t="n"/>
      <c r="X310" s="280" t="n"/>
      <c r="Y310" s="280" t="n"/>
      <c r="Z310" s="350" t="n"/>
      <c r="AA310" s="198" t="n"/>
      <c r="AB310" s="198" t="n"/>
      <c r="AC310" s="198" t="n"/>
    </row>
    <row r="311" ht="15" customHeight="1" s="195">
      <c r="A311" s="280" t="n"/>
      <c r="B311" s="280" t="n"/>
      <c r="C311" s="280" t="n"/>
      <c r="D311" s="280" t="n"/>
      <c r="E311" s="280" t="n"/>
      <c r="F311" s="280" t="n"/>
      <c r="G311" s="280" t="n"/>
      <c r="H311" s="280" t="n"/>
      <c r="I311" s="332">
        <f>IFERROR(VLOOKUP(TEXT(H311,"0"),IPRESS!$A$3:$B$212,2,0),"")</f>
        <v/>
      </c>
      <c r="J311" s="280" t="n"/>
      <c r="K311" s="343" t="n"/>
      <c r="L311" s="280" t="n"/>
      <c r="M311" s="280" t="n"/>
      <c r="N311" s="345" t="n"/>
      <c r="O311" s="280" t="n"/>
      <c r="P311" s="332">
        <f>IFERROR(VLOOKUP(TEXT(O311,"0"),CONDUCTORES!$A$3:$G$54,2,0),"")</f>
        <v/>
      </c>
      <c r="Q311" s="332">
        <f>IFERROR(VLOOKUP(TEXT(O311,"0"),CONDUCTORES!$A$3:$H$54,6,0),"")</f>
        <v/>
      </c>
      <c r="R311" s="280" t="n"/>
      <c r="S311" s="280" t="n"/>
      <c r="T311" s="280" t="n"/>
      <c r="U311" s="280" t="n"/>
      <c r="V311" s="280" t="n"/>
      <c r="W311" s="280" t="n"/>
      <c r="X311" s="280" t="n"/>
      <c r="Y311" s="280" t="n"/>
      <c r="Z311" s="350" t="n"/>
      <c r="AA311" s="198" t="n"/>
      <c r="AB311" s="198" t="n"/>
      <c r="AC311" s="198" t="n"/>
    </row>
    <row r="312" ht="15" customHeight="1" s="195">
      <c r="A312" s="280" t="n"/>
      <c r="B312" s="280" t="n"/>
      <c r="C312" s="280" t="n"/>
      <c r="D312" s="280" t="n"/>
      <c r="E312" s="280" t="n"/>
      <c r="F312" s="280" t="n"/>
      <c r="G312" s="280" t="n"/>
      <c r="H312" s="280" t="n"/>
      <c r="I312" s="332">
        <f>IFERROR(VLOOKUP(TEXT(H312,"0"),IPRESS!$A$3:$B$212,2,0),"")</f>
        <v/>
      </c>
      <c r="J312" s="280" t="n"/>
      <c r="K312" s="343" t="n"/>
      <c r="L312" s="280" t="n"/>
      <c r="M312" s="280" t="n"/>
      <c r="N312" s="345" t="n"/>
      <c r="O312" s="280" t="n"/>
      <c r="P312" s="332">
        <f>IFERROR(VLOOKUP(TEXT(O312,"0"),CONDUCTORES!$A$3:$G$54,2,0),"")</f>
        <v/>
      </c>
      <c r="Q312" s="332">
        <f>IFERROR(VLOOKUP(TEXT(O312,"0"),CONDUCTORES!$A$3:$H$54,6,0),"")</f>
        <v/>
      </c>
      <c r="R312" s="280" t="n"/>
      <c r="S312" s="280" t="n"/>
      <c r="T312" s="280" t="n"/>
      <c r="U312" s="280" t="n"/>
      <c r="V312" s="280" t="n"/>
      <c r="W312" s="280" t="n"/>
      <c r="X312" s="280" t="n"/>
      <c r="Y312" s="280" t="n"/>
      <c r="Z312" s="350" t="n"/>
      <c r="AA312" s="198" t="n"/>
      <c r="AB312" s="198" t="n"/>
      <c r="AC312" s="198" t="n"/>
    </row>
    <row r="313" ht="15" customHeight="1" s="195">
      <c r="A313" s="280" t="n"/>
      <c r="B313" s="280" t="n"/>
      <c r="C313" s="280" t="n"/>
      <c r="D313" s="280" t="n"/>
      <c r="E313" s="280" t="n"/>
      <c r="F313" s="280" t="n"/>
      <c r="G313" s="280" t="n"/>
      <c r="H313" s="280" t="n"/>
      <c r="I313" s="332">
        <f>IFERROR(VLOOKUP(TEXT(H313,"0"),IPRESS!$A$3:$B$212,2,0),"")</f>
        <v/>
      </c>
      <c r="J313" s="280" t="n"/>
      <c r="K313" s="343" t="n"/>
      <c r="L313" s="280" t="n"/>
      <c r="M313" s="280" t="n"/>
      <c r="N313" s="345" t="n"/>
      <c r="O313" s="280" t="n"/>
      <c r="P313" s="332">
        <f>IFERROR(VLOOKUP(TEXT(O313,"0"),CONDUCTORES!$A$3:$G$54,2,0),"")</f>
        <v/>
      </c>
      <c r="Q313" s="332">
        <f>IFERROR(VLOOKUP(TEXT(O313,"0"),CONDUCTORES!$A$3:$H$54,6,0),"")</f>
        <v/>
      </c>
      <c r="R313" s="280" t="n"/>
      <c r="S313" s="280" t="n"/>
      <c r="T313" s="280" t="n"/>
      <c r="U313" s="280" t="n"/>
      <c r="V313" s="280" t="n"/>
      <c r="W313" s="280" t="n"/>
      <c r="X313" s="280" t="n"/>
      <c r="Y313" s="280" t="n"/>
      <c r="Z313" s="350" t="n"/>
      <c r="AA313" s="198" t="n"/>
      <c r="AB313" s="198" t="n"/>
      <c r="AC313" s="198" t="n"/>
    </row>
    <row r="314" ht="15" customHeight="1" s="195">
      <c r="A314" s="280" t="n"/>
      <c r="B314" s="280" t="n"/>
      <c r="C314" s="280" t="n"/>
      <c r="D314" s="280" t="n"/>
      <c r="E314" s="280" t="n"/>
      <c r="F314" s="280" t="n"/>
      <c r="G314" s="280" t="n"/>
      <c r="H314" s="280" t="n"/>
      <c r="I314" s="332">
        <f>IFERROR(VLOOKUP(TEXT(H314,"0"),IPRESS!$A$3:$B$212,2,0),"")</f>
        <v/>
      </c>
      <c r="J314" s="280" t="n"/>
      <c r="K314" s="343" t="n"/>
      <c r="L314" s="280" t="n"/>
      <c r="M314" s="280" t="n"/>
      <c r="N314" s="345" t="n"/>
      <c r="O314" s="280" t="n"/>
      <c r="P314" s="332">
        <f>IFERROR(VLOOKUP(TEXT(O314,"0"),CONDUCTORES!$A$3:$G$54,2,0),"")</f>
        <v/>
      </c>
      <c r="Q314" s="332">
        <f>IFERROR(VLOOKUP(TEXT(O314,"0"),CONDUCTORES!$A$3:$H$54,6,0),"")</f>
        <v/>
      </c>
      <c r="R314" s="280" t="n"/>
      <c r="S314" s="280" t="n"/>
      <c r="T314" s="280" t="n"/>
      <c r="U314" s="280" t="n"/>
      <c r="V314" s="280" t="n"/>
      <c r="W314" s="280" t="n"/>
      <c r="X314" s="280" t="n"/>
      <c r="Y314" s="280" t="n"/>
      <c r="Z314" s="350" t="n"/>
      <c r="AA314" s="198" t="n"/>
      <c r="AB314" s="198" t="n"/>
      <c r="AC314" s="198" t="n"/>
    </row>
    <row r="315" ht="15" customHeight="1" s="195">
      <c r="A315" s="280" t="n"/>
      <c r="B315" s="280" t="n"/>
      <c r="C315" s="280" t="n"/>
      <c r="D315" s="280" t="n"/>
      <c r="E315" s="280" t="n"/>
      <c r="F315" s="280" t="n"/>
      <c r="G315" s="280" t="n"/>
      <c r="H315" s="280" t="n"/>
      <c r="I315" s="332">
        <f>IFERROR(VLOOKUP(TEXT(H315,"0"),IPRESS!$A$3:$B$212,2,0),"")</f>
        <v/>
      </c>
      <c r="J315" s="280" t="n"/>
      <c r="K315" s="343" t="n"/>
      <c r="L315" s="280" t="n"/>
      <c r="M315" s="280" t="n"/>
      <c r="N315" s="345" t="n"/>
      <c r="O315" s="280" t="n"/>
      <c r="P315" s="332">
        <f>IFERROR(VLOOKUP(TEXT(O315,"0"),CONDUCTORES!$A$3:$G$54,2,0),"")</f>
        <v/>
      </c>
      <c r="Q315" s="332">
        <f>IFERROR(VLOOKUP(TEXT(O315,"0"),CONDUCTORES!$A$3:$H$54,6,0),"")</f>
        <v/>
      </c>
      <c r="R315" s="280" t="n"/>
      <c r="S315" s="280" t="n"/>
      <c r="T315" s="280" t="n"/>
      <c r="U315" s="280" t="n"/>
      <c r="V315" s="280" t="n"/>
      <c r="W315" s="280" t="n"/>
      <c r="X315" s="280" t="n"/>
      <c r="Y315" s="280" t="n"/>
      <c r="Z315" s="350" t="n"/>
      <c r="AA315" s="198" t="n"/>
      <c r="AB315" s="198" t="n"/>
      <c r="AC315" s="198" t="n"/>
    </row>
    <row r="316" ht="15" customHeight="1" s="195">
      <c r="A316" s="280" t="n"/>
      <c r="B316" s="280" t="n"/>
      <c r="C316" s="280" t="n"/>
      <c r="D316" s="280" t="n"/>
      <c r="E316" s="280" t="n"/>
      <c r="F316" s="280" t="n"/>
      <c r="G316" s="280" t="n"/>
      <c r="H316" s="280" t="n"/>
      <c r="I316" s="332">
        <f>IFERROR(VLOOKUP(TEXT(H316,"0"),IPRESS!$A$3:$B$212,2,0),"")</f>
        <v/>
      </c>
      <c r="J316" s="280" t="n"/>
      <c r="K316" s="343" t="n"/>
      <c r="L316" s="280" t="n"/>
      <c r="M316" s="280" t="n"/>
      <c r="N316" s="345" t="n"/>
      <c r="O316" s="280" t="n"/>
      <c r="P316" s="332">
        <f>IFERROR(VLOOKUP(TEXT(O316,"0"),CONDUCTORES!$A$3:$G$54,2,0),"")</f>
        <v/>
      </c>
      <c r="Q316" s="332">
        <f>IFERROR(VLOOKUP(TEXT(O316,"0"),CONDUCTORES!$A$3:$H$54,6,0),"")</f>
        <v/>
      </c>
      <c r="R316" s="280" t="n"/>
      <c r="S316" s="280" t="n"/>
      <c r="T316" s="280" t="n"/>
      <c r="U316" s="280" t="n"/>
      <c r="V316" s="280" t="n"/>
      <c r="W316" s="280" t="n"/>
      <c r="X316" s="280" t="n"/>
      <c r="Y316" s="280" t="n"/>
      <c r="Z316" s="350" t="n"/>
      <c r="AA316" s="198" t="n"/>
      <c r="AB316" s="198" t="n"/>
      <c r="AC316" s="198" t="n"/>
    </row>
    <row r="317" ht="15" customHeight="1" s="195">
      <c r="A317" s="280" t="n"/>
      <c r="B317" s="280" t="n"/>
      <c r="C317" s="280" t="n"/>
      <c r="D317" s="280" t="n"/>
      <c r="E317" s="280" t="n"/>
      <c r="F317" s="280" t="n"/>
      <c r="G317" s="280" t="n"/>
      <c r="H317" s="280" t="n"/>
      <c r="I317" s="332">
        <f>IFERROR(VLOOKUP(TEXT(H317,"0"),IPRESS!$A$3:$B$212,2,0),"")</f>
        <v/>
      </c>
      <c r="J317" s="280" t="n"/>
      <c r="K317" s="343" t="n"/>
      <c r="L317" s="280" t="n"/>
      <c r="M317" s="280" t="n"/>
      <c r="N317" s="345" t="n"/>
      <c r="O317" s="280" t="n"/>
      <c r="P317" s="332">
        <f>IFERROR(VLOOKUP(TEXT(O317,"0"),CONDUCTORES!$A$3:$G$54,2,0),"")</f>
        <v/>
      </c>
      <c r="Q317" s="332">
        <f>IFERROR(VLOOKUP(TEXT(O317,"0"),CONDUCTORES!$A$3:$H$54,6,0),"")</f>
        <v/>
      </c>
      <c r="R317" s="280" t="n"/>
      <c r="S317" s="280" t="n"/>
      <c r="T317" s="280" t="n"/>
      <c r="U317" s="280" t="n"/>
      <c r="V317" s="280" t="n"/>
      <c r="W317" s="280" t="n"/>
      <c r="X317" s="280" t="n"/>
      <c r="Y317" s="280" t="n"/>
      <c r="Z317" s="350" t="n"/>
      <c r="AA317" s="198" t="n"/>
      <c r="AB317" s="198" t="n"/>
      <c r="AC317" s="198" t="n"/>
    </row>
    <row r="318" ht="15" customHeight="1" s="195">
      <c r="A318" s="280" t="n"/>
      <c r="B318" s="280" t="n"/>
      <c r="C318" s="280" t="n"/>
      <c r="D318" s="280" t="n"/>
      <c r="E318" s="280" t="n"/>
      <c r="F318" s="280" t="n"/>
      <c r="G318" s="280" t="n"/>
      <c r="H318" s="280" t="n"/>
      <c r="I318" s="332">
        <f>IFERROR(VLOOKUP(TEXT(H318,"0"),IPRESS!$A$3:$B$212,2,0),"")</f>
        <v/>
      </c>
      <c r="J318" s="280" t="n"/>
      <c r="K318" s="343" t="n"/>
      <c r="L318" s="280" t="n"/>
      <c r="M318" s="280" t="n"/>
      <c r="N318" s="345" t="n"/>
      <c r="O318" s="280" t="n"/>
      <c r="P318" s="332">
        <f>IFERROR(VLOOKUP(TEXT(O318,"0"),CONDUCTORES!$A$3:$G$54,2,0),"")</f>
        <v/>
      </c>
      <c r="Q318" s="332">
        <f>IFERROR(VLOOKUP(TEXT(O318,"0"),CONDUCTORES!$A$3:$H$54,6,0),"")</f>
        <v/>
      </c>
      <c r="R318" s="280" t="n"/>
      <c r="S318" s="280" t="n"/>
      <c r="T318" s="280" t="n"/>
      <c r="U318" s="280" t="n"/>
      <c r="V318" s="280" t="n"/>
      <c r="W318" s="280" t="n"/>
      <c r="X318" s="280" t="n"/>
      <c r="Y318" s="280" t="n"/>
      <c r="Z318" s="350" t="n"/>
      <c r="AA318" s="198" t="n"/>
      <c r="AB318" s="198" t="n"/>
      <c r="AC318" s="198" t="n"/>
    </row>
    <row r="319" ht="15" customHeight="1" s="195">
      <c r="A319" s="280" t="n"/>
      <c r="B319" s="280" t="n"/>
      <c r="C319" s="280" t="n"/>
      <c r="D319" s="280" t="n"/>
      <c r="E319" s="280" t="n"/>
      <c r="F319" s="280" t="n"/>
      <c r="G319" s="280" t="n"/>
      <c r="H319" s="280" t="n"/>
      <c r="I319" s="332">
        <f>IFERROR(VLOOKUP(TEXT(H319,"0"),IPRESS!$A$3:$B$212,2,0),"")</f>
        <v/>
      </c>
      <c r="J319" s="280" t="n"/>
      <c r="K319" s="343" t="n"/>
      <c r="L319" s="280" t="n"/>
      <c r="M319" s="280" t="n"/>
      <c r="N319" s="345" t="n"/>
      <c r="O319" s="280" t="n"/>
      <c r="P319" s="332">
        <f>IFERROR(VLOOKUP(TEXT(O319,"0"),CONDUCTORES!$A$3:$G$54,2,0),"")</f>
        <v/>
      </c>
      <c r="Q319" s="332">
        <f>IFERROR(VLOOKUP(TEXT(O319,"0"),CONDUCTORES!$A$3:$H$54,6,0),"")</f>
        <v/>
      </c>
      <c r="R319" s="280" t="n"/>
      <c r="S319" s="280" t="n"/>
      <c r="T319" s="280" t="n"/>
      <c r="U319" s="280" t="n"/>
      <c r="V319" s="280" t="n"/>
      <c r="W319" s="280" t="n"/>
      <c r="X319" s="280" t="n"/>
      <c r="Y319" s="280" t="n"/>
      <c r="Z319" s="350" t="n"/>
      <c r="AA319" s="198" t="n"/>
      <c r="AB319" s="198" t="n"/>
      <c r="AC319" s="198" t="n"/>
    </row>
    <row r="320" ht="15" customHeight="1" s="195">
      <c r="A320" s="280" t="n"/>
      <c r="B320" s="280" t="n"/>
      <c r="C320" s="280" t="n"/>
      <c r="D320" s="280" t="n"/>
      <c r="E320" s="280" t="n"/>
      <c r="F320" s="280" t="n"/>
      <c r="G320" s="280" t="n"/>
      <c r="H320" s="280" t="n"/>
      <c r="I320" s="332">
        <f>IFERROR(VLOOKUP(TEXT(H320,"0"),IPRESS!$A$3:$B$212,2,0),"")</f>
        <v/>
      </c>
      <c r="J320" s="280" t="n"/>
      <c r="K320" s="343" t="n"/>
      <c r="L320" s="280" t="n"/>
      <c r="M320" s="280" t="n"/>
      <c r="N320" s="345" t="n"/>
      <c r="O320" s="280" t="n"/>
      <c r="P320" s="332">
        <f>IFERROR(VLOOKUP(TEXT(O320,"0"),CONDUCTORES!$A$3:$G$54,2,0),"")</f>
        <v/>
      </c>
      <c r="Q320" s="332">
        <f>IFERROR(VLOOKUP(TEXT(O320,"0"),CONDUCTORES!$A$3:$H$54,6,0),"")</f>
        <v/>
      </c>
      <c r="R320" s="280" t="n"/>
      <c r="S320" s="280" t="n"/>
      <c r="T320" s="280" t="n"/>
      <c r="U320" s="280" t="n"/>
      <c r="V320" s="280" t="n"/>
      <c r="W320" s="280" t="n"/>
      <c r="X320" s="280" t="n"/>
      <c r="Y320" s="280" t="n"/>
      <c r="Z320" s="350" t="n"/>
      <c r="AA320" s="198" t="n"/>
      <c r="AB320" s="198" t="n"/>
      <c r="AC320" s="198" t="n"/>
    </row>
    <row r="321" ht="15" customHeight="1" s="195">
      <c r="A321" s="280" t="n"/>
      <c r="B321" s="280" t="n"/>
      <c r="C321" s="280" t="n"/>
      <c r="D321" s="280" t="n"/>
      <c r="E321" s="280" t="n"/>
      <c r="F321" s="280" t="n"/>
      <c r="G321" s="280" t="n"/>
      <c r="H321" s="280" t="n"/>
      <c r="I321" s="332">
        <f>IFERROR(VLOOKUP(TEXT(H321,"0"),IPRESS!$A$3:$B$212,2,0),"")</f>
        <v/>
      </c>
      <c r="J321" s="280" t="n"/>
      <c r="K321" s="343" t="n"/>
      <c r="L321" s="280" t="n"/>
      <c r="M321" s="280" t="n"/>
      <c r="N321" s="345" t="n"/>
      <c r="O321" s="280" t="n"/>
      <c r="P321" s="332">
        <f>IFERROR(VLOOKUP(TEXT(O321,"0"),CONDUCTORES!$A$3:$G$54,2,0),"")</f>
        <v/>
      </c>
      <c r="Q321" s="332">
        <f>IFERROR(VLOOKUP(TEXT(O321,"0"),CONDUCTORES!$A$3:$H$54,6,0),"")</f>
        <v/>
      </c>
      <c r="R321" s="280" t="n"/>
      <c r="S321" s="280" t="n"/>
      <c r="T321" s="280" t="n"/>
      <c r="U321" s="280" t="n"/>
      <c r="V321" s="280" t="n"/>
      <c r="W321" s="280" t="n"/>
      <c r="X321" s="280" t="n"/>
      <c r="Y321" s="280" t="n"/>
      <c r="Z321" s="350" t="n"/>
      <c r="AA321" s="198" t="n"/>
      <c r="AB321" s="198" t="n"/>
      <c r="AC321" s="198" t="n"/>
    </row>
    <row r="322" ht="15" customHeight="1" s="195">
      <c r="A322" s="280" t="n"/>
      <c r="B322" s="280" t="n"/>
      <c r="C322" s="280" t="n"/>
      <c r="D322" s="280" t="n"/>
      <c r="E322" s="280" t="n"/>
      <c r="F322" s="280" t="n"/>
      <c r="G322" s="280" t="n"/>
      <c r="H322" s="280" t="n"/>
      <c r="I322" s="332">
        <f>IFERROR(VLOOKUP(TEXT(H322,"0"),IPRESS!$A$3:$B$212,2,0),"")</f>
        <v/>
      </c>
      <c r="J322" s="280" t="n"/>
      <c r="K322" s="343" t="n"/>
      <c r="L322" s="280" t="n"/>
      <c r="M322" s="280" t="n"/>
      <c r="N322" s="345" t="n"/>
      <c r="O322" s="280" t="n"/>
      <c r="P322" s="332">
        <f>IFERROR(VLOOKUP(TEXT(O322,"0"),CONDUCTORES!$A$3:$G$54,2,0),"")</f>
        <v/>
      </c>
      <c r="Q322" s="332">
        <f>IFERROR(VLOOKUP(TEXT(O322,"0"),CONDUCTORES!$A$3:$H$54,6,0),"")</f>
        <v/>
      </c>
      <c r="R322" s="280" t="n"/>
      <c r="S322" s="280" t="n"/>
      <c r="T322" s="280" t="n"/>
      <c r="U322" s="280" t="n"/>
      <c r="V322" s="280" t="n"/>
      <c r="W322" s="280" t="n"/>
      <c r="X322" s="280" t="n"/>
      <c r="Y322" s="280" t="n"/>
      <c r="Z322" s="350" t="n"/>
      <c r="AA322" s="198" t="n"/>
      <c r="AB322" s="198" t="n"/>
      <c r="AC322" s="198" t="n"/>
    </row>
    <row r="323" ht="15" customHeight="1" s="195">
      <c r="A323" s="280" t="n"/>
      <c r="B323" s="280" t="n"/>
      <c r="C323" s="280" t="n"/>
      <c r="D323" s="280" t="n"/>
      <c r="E323" s="280" t="n"/>
      <c r="F323" s="280" t="n"/>
      <c r="G323" s="280" t="n"/>
      <c r="H323" s="280" t="n"/>
      <c r="I323" s="332">
        <f>IFERROR(VLOOKUP(TEXT(H323,"0"),IPRESS!$A$3:$B$212,2,0),"")</f>
        <v/>
      </c>
      <c r="J323" s="280" t="n"/>
      <c r="K323" s="343" t="n"/>
      <c r="L323" s="280" t="n"/>
      <c r="M323" s="280" t="n"/>
      <c r="N323" s="345" t="n"/>
      <c r="O323" s="280" t="n"/>
      <c r="P323" s="332">
        <f>IFERROR(VLOOKUP(TEXT(O323,"0"),CONDUCTORES!$A$3:$G$54,2,0),"")</f>
        <v/>
      </c>
      <c r="Q323" s="332">
        <f>IFERROR(VLOOKUP(TEXT(O323,"0"),CONDUCTORES!$A$3:$H$54,6,0),"")</f>
        <v/>
      </c>
      <c r="R323" s="280" t="n"/>
      <c r="S323" s="280" t="n"/>
      <c r="T323" s="280" t="n"/>
      <c r="U323" s="280" t="n"/>
      <c r="V323" s="280" t="n"/>
      <c r="W323" s="280" t="n"/>
      <c r="X323" s="280" t="n"/>
      <c r="Y323" s="280" t="n"/>
      <c r="Z323" s="350" t="n"/>
      <c r="AA323" s="198" t="n"/>
      <c r="AB323" s="198" t="n"/>
      <c r="AC323" s="198" t="n"/>
    </row>
    <row r="324" ht="15" customHeight="1" s="195">
      <c r="A324" s="280" t="n"/>
      <c r="B324" s="280" t="n"/>
      <c r="C324" s="280" t="n"/>
      <c r="D324" s="280" t="n"/>
      <c r="E324" s="280" t="n"/>
      <c r="F324" s="280" t="n"/>
      <c r="G324" s="280" t="n"/>
      <c r="H324" s="280" t="n"/>
      <c r="I324" s="332">
        <f>IFERROR(VLOOKUP(TEXT(H324,"0"),IPRESS!$A$3:$B$212,2,0),"")</f>
        <v/>
      </c>
      <c r="J324" s="280" t="n"/>
      <c r="K324" s="343" t="n"/>
      <c r="L324" s="280" t="n"/>
      <c r="M324" s="280" t="n"/>
      <c r="N324" s="345" t="n"/>
      <c r="O324" s="280" t="n"/>
      <c r="P324" s="332">
        <f>IFERROR(VLOOKUP(TEXT(O324,"0"),CONDUCTORES!$A$3:$G$54,2,0),"")</f>
        <v/>
      </c>
      <c r="Q324" s="332">
        <f>IFERROR(VLOOKUP(TEXT(O324,"0"),CONDUCTORES!$A$3:$H$54,6,0),"")</f>
        <v/>
      </c>
      <c r="R324" s="280" t="n"/>
      <c r="S324" s="280" t="n"/>
      <c r="T324" s="280" t="n"/>
      <c r="U324" s="280" t="n"/>
      <c r="V324" s="280" t="n"/>
      <c r="W324" s="280" t="n"/>
      <c r="X324" s="280" t="n"/>
      <c r="Y324" s="280" t="n"/>
      <c r="Z324" s="350" t="n"/>
      <c r="AA324" s="198" t="n"/>
      <c r="AB324" s="198" t="n"/>
      <c r="AC324" s="198" t="n"/>
    </row>
    <row r="325" ht="15" customHeight="1" s="195">
      <c r="A325" s="280" t="n"/>
      <c r="B325" s="280" t="n"/>
      <c r="C325" s="280" t="n"/>
      <c r="D325" s="280" t="n"/>
      <c r="E325" s="280" t="n"/>
      <c r="F325" s="280" t="n"/>
      <c r="G325" s="280" t="n"/>
      <c r="H325" s="280" t="n"/>
      <c r="I325" s="332">
        <f>IFERROR(VLOOKUP(TEXT(H325,"0"),IPRESS!$A$3:$B$212,2,0),"")</f>
        <v/>
      </c>
      <c r="J325" s="280" t="n"/>
      <c r="K325" s="343" t="n"/>
      <c r="L325" s="280" t="n"/>
      <c r="M325" s="280" t="n"/>
      <c r="N325" s="345" t="n"/>
      <c r="O325" s="280" t="n"/>
      <c r="P325" s="332">
        <f>IFERROR(VLOOKUP(TEXT(O325,"0"),CONDUCTORES!$A$3:$G$54,2,0),"")</f>
        <v/>
      </c>
      <c r="Q325" s="332">
        <f>IFERROR(VLOOKUP(TEXT(O325,"0"),CONDUCTORES!$A$3:$H$54,6,0),"")</f>
        <v/>
      </c>
      <c r="R325" s="280" t="n"/>
      <c r="S325" s="280" t="n"/>
      <c r="T325" s="280" t="n"/>
      <c r="U325" s="280" t="n"/>
      <c r="V325" s="280" t="n"/>
      <c r="W325" s="280" t="n"/>
      <c r="X325" s="280" t="n"/>
      <c r="Y325" s="280" t="n"/>
      <c r="Z325" s="350" t="n"/>
      <c r="AA325" s="198" t="n"/>
      <c r="AB325" s="198" t="n"/>
      <c r="AC325" s="198" t="n"/>
    </row>
    <row r="326" ht="15" customHeight="1" s="195">
      <c r="A326" s="280" t="n"/>
      <c r="B326" s="280" t="n"/>
      <c r="C326" s="280" t="n"/>
      <c r="D326" s="280" t="n"/>
      <c r="E326" s="280" t="n"/>
      <c r="F326" s="280" t="n"/>
      <c r="G326" s="280" t="n"/>
      <c r="H326" s="280" t="n"/>
      <c r="I326" s="332">
        <f>IFERROR(VLOOKUP(TEXT(H326,"0"),IPRESS!$A$3:$B$212,2,0),"")</f>
        <v/>
      </c>
      <c r="J326" s="280" t="n"/>
      <c r="K326" s="343" t="n"/>
      <c r="L326" s="280" t="n"/>
      <c r="M326" s="280" t="n"/>
      <c r="N326" s="345" t="n"/>
      <c r="O326" s="280" t="n"/>
      <c r="P326" s="332">
        <f>IFERROR(VLOOKUP(TEXT(O326,"0"),CONDUCTORES!$A$3:$G$54,2,0),"")</f>
        <v/>
      </c>
      <c r="Q326" s="332">
        <f>IFERROR(VLOOKUP(TEXT(O326,"0"),CONDUCTORES!$A$3:$H$54,6,0),"")</f>
        <v/>
      </c>
      <c r="R326" s="280" t="n"/>
      <c r="S326" s="280" t="n"/>
      <c r="T326" s="280" t="n"/>
      <c r="U326" s="280" t="n"/>
      <c r="V326" s="280" t="n"/>
      <c r="W326" s="280" t="n"/>
      <c r="X326" s="280" t="n"/>
      <c r="Y326" s="280" t="n"/>
      <c r="Z326" s="350" t="n"/>
      <c r="AA326" s="198" t="n"/>
      <c r="AB326" s="198" t="n"/>
      <c r="AC326" s="198" t="n"/>
    </row>
    <row r="327" ht="15" customHeight="1" s="195">
      <c r="A327" s="280" t="n"/>
      <c r="B327" s="280" t="n"/>
      <c r="C327" s="280" t="n"/>
      <c r="D327" s="280" t="n"/>
      <c r="E327" s="280" t="n"/>
      <c r="F327" s="280" t="n"/>
      <c r="G327" s="280" t="n"/>
      <c r="H327" s="280" t="n"/>
      <c r="I327" s="332">
        <f>IFERROR(VLOOKUP(TEXT(H327,"0"),IPRESS!$A$3:$B$212,2,0),"")</f>
        <v/>
      </c>
      <c r="J327" s="280" t="n"/>
      <c r="K327" s="343" t="n"/>
      <c r="L327" s="280" t="n"/>
      <c r="M327" s="280" t="n"/>
      <c r="N327" s="345" t="n"/>
      <c r="O327" s="280" t="n"/>
      <c r="P327" s="332">
        <f>IFERROR(VLOOKUP(TEXT(O327,"0"),CONDUCTORES!$A$3:$G$54,2,0),"")</f>
        <v/>
      </c>
      <c r="Q327" s="332">
        <f>IFERROR(VLOOKUP(TEXT(O327,"0"),CONDUCTORES!$A$3:$H$54,6,0),"")</f>
        <v/>
      </c>
      <c r="R327" s="280" t="n"/>
      <c r="S327" s="280" t="n"/>
      <c r="T327" s="280" t="n"/>
      <c r="U327" s="280" t="n"/>
      <c r="V327" s="280" t="n"/>
      <c r="W327" s="280" t="n"/>
      <c r="X327" s="280" t="n"/>
      <c r="Y327" s="280" t="n"/>
      <c r="Z327" s="350" t="n"/>
      <c r="AA327" s="198" t="n"/>
      <c r="AB327" s="198" t="n"/>
      <c r="AC327" s="198" t="n"/>
    </row>
    <row r="328" ht="15" customHeight="1" s="195">
      <c r="A328" s="280" t="n"/>
      <c r="B328" s="280" t="n"/>
      <c r="C328" s="280" t="n"/>
      <c r="D328" s="280" t="n"/>
      <c r="E328" s="280" t="n"/>
      <c r="F328" s="280" t="n"/>
      <c r="G328" s="280" t="n"/>
      <c r="H328" s="280" t="n"/>
      <c r="I328" s="332">
        <f>IFERROR(VLOOKUP(TEXT(H328,"0"),IPRESS!$A$3:$B$212,2,0),"")</f>
        <v/>
      </c>
      <c r="J328" s="280" t="n"/>
      <c r="K328" s="343" t="n"/>
      <c r="L328" s="280" t="n"/>
      <c r="M328" s="280" t="n"/>
      <c r="N328" s="345" t="n"/>
      <c r="O328" s="280" t="n"/>
      <c r="P328" s="332">
        <f>IFERROR(VLOOKUP(TEXT(O328,"0"),CONDUCTORES!$A$3:$G$54,2,0),"")</f>
        <v/>
      </c>
      <c r="Q328" s="332">
        <f>IFERROR(VLOOKUP(TEXT(O328,"0"),CONDUCTORES!$A$3:$H$54,6,0),"")</f>
        <v/>
      </c>
      <c r="R328" s="280" t="n"/>
      <c r="S328" s="280" t="n"/>
      <c r="T328" s="280" t="n"/>
      <c r="U328" s="280" t="n"/>
      <c r="V328" s="280" t="n"/>
      <c r="W328" s="280" t="n"/>
      <c r="X328" s="280" t="n"/>
      <c r="Y328" s="280" t="n"/>
      <c r="Z328" s="350" t="n"/>
      <c r="AA328" s="198" t="n"/>
      <c r="AB328" s="198" t="n"/>
      <c r="AC328" s="198" t="n"/>
    </row>
    <row r="329" ht="15" customHeight="1" s="195">
      <c r="A329" s="280" t="n"/>
      <c r="B329" s="280" t="n"/>
      <c r="C329" s="280" t="n"/>
      <c r="D329" s="280" t="n"/>
      <c r="E329" s="280" t="n"/>
      <c r="F329" s="280" t="n"/>
      <c r="G329" s="280" t="n"/>
      <c r="H329" s="280" t="n"/>
      <c r="I329" s="332">
        <f>IFERROR(VLOOKUP(TEXT(H329,"0"),IPRESS!$A$3:$B$212,2,0),"")</f>
        <v/>
      </c>
      <c r="J329" s="280" t="n"/>
      <c r="K329" s="343" t="n"/>
      <c r="L329" s="280" t="n"/>
      <c r="M329" s="280" t="n"/>
      <c r="N329" s="345" t="n"/>
      <c r="O329" s="280" t="n"/>
      <c r="P329" s="332">
        <f>IFERROR(VLOOKUP(TEXT(O329,"0"),CONDUCTORES!$A$3:$G$54,2,0),"")</f>
        <v/>
      </c>
      <c r="Q329" s="332">
        <f>IFERROR(VLOOKUP(TEXT(O329,"0"),CONDUCTORES!$A$3:$H$54,6,0),"")</f>
        <v/>
      </c>
      <c r="R329" s="280" t="n"/>
      <c r="S329" s="280" t="n"/>
      <c r="T329" s="280" t="n"/>
      <c r="U329" s="280" t="n"/>
      <c r="V329" s="280" t="n"/>
      <c r="W329" s="280" t="n"/>
      <c r="X329" s="280" t="n"/>
      <c r="Y329" s="280" t="n"/>
      <c r="Z329" s="350" t="n"/>
      <c r="AA329" s="198" t="n"/>
      <c r="AB329" s="198" t="n"/>
      <c r="AC329" s="198" t="n"/>
    </row>
    <row r="330" ht="15" customHeight="1" s="195">
      <c r="A330" s="280" t="n"/>
      <c r="B330" s="280" t="n"/>
      <c r="C330" s="280" t="n"/>
      <c r="D330" s="280" t="n"/>
      <c r="E330" s="280" t="n"/>
      <c r="F330" s="280" t="n"/>
      <c r="G330" s="280" t="n"/>
      <c r="H330" s="280" t="n"/>
      <c r="I330" s="332">
        <f>IFERROR(VLOOKUP(TEXT(H330,"0"),IPRESS!$A$3:$B$212,2,0),"")</f>
        <v/>
      </c>
      <c r="J330" s="280" t="n"/>
      <c r="K330" s="343" t="n"/>
      <c r="L330" s="280" t="n"/>
      <c r="M330" s="280" t="n"/>
      <c r="N330" s="345" t="n"/>
      <c r="O330" s="280" t="n"/>
      <c r="P330" s="332">
        <f>IFERROR(VLOOKUP(TEXT(O330,"0"),CONDUCTORES!$A$3:$G$54,2,0),"")</f>
        <v/>
      </c>
      <c r="Q330" s="332">
        <f>IFERROR(VLOOKUP(TEXT(O330,"0"),CONDUCTORES!$A$3:$H$54,6,0),"")</f>
        <v/>
      </c>
      <c r="R330" s="280" t="n"/>
      <c r="S330" s="280" t="n"/>
      <c r="T330" s="280" t="n"/>
      <c r="U330" s="280" t="n"/>
      <c r="V330" s="280" t="n"/>
      <c r="W330" s="280" t="n"/>
      <c r="X330" s="280" t="n"/>
      <c r="Y330" s="280" t="n"/>
      <c r="Z330" s="350" t="n"/>
      <c r="AA330" s="198" t="n"/>
      <c r="AB330" s="198" t="n"/>
      <c r="AC330" s="198" t="n"/>
    </row>
    <row r="331" ht="15" customHeight="1" s="195">
      <c r="A331" s="280" t="n"/>
      <c r="B331" s="280" t="n"/>
      <c r="C331" s="280" t="n"/>
      <c r="D331" s="280" t="n"/>
      <c r="E331" s="280" t="n"/>
      <c r="F331" s="280" t="n"/>
      <c r="G331" s="280" t="n"/>
      <c r="H331" s="280" t="n"/>
      <c r="I331" s="332">
        <f>IFERROR(VLOOKUP(TEXT(H331,"0"),IPRESS!$A$3:$B$212,2,0),"")</f>
        <v/>
      </c>
      <c r="J331" s="280" t="n"/>
      <c r="K331" s="343" t="n"/>
      <c r="L331" s="280" t="n"/>
      <c r="M331" s="280" t="n"/>
      <c r="N331" s="345" t="n"/>
      <c r="O331" s="280" t="n"/>
      <c r="P331" s="332">
        <f>IFERROR(VLOOKUP(TEXT(O331,"0"),CONDUCTORES!$A$3:$G$54,2,0),"")</f>
        <v/>
      </c>
      <c r="Q331" s="332">
        <f>IFERROR(VLOOKUP(TEXT(O331,"0"),CONDUCTORES!$A$3:$H$54,6,0),"")</f>
        <v/>
      </c>
      <c r="R331" s="280" t="n"/>
      <c r="S331" s="280" t="n"/>
      <c r="T331" s="280" t="n"/>
      <c r="U331" s="280" t="n"/>
      <c r="V331" s="280" t="n"/>
      <c r="W331" s="280" t="n"/>
      <c r="X331" s="280" t="n"/>
      <c r="Y331" s="280" t="n"/>
      <c r="Z331" s="350" t="n"/>
      <c r="AA331" s="198" t="n"/>
      <c r="AB331" s="198" t="n"/>
      <c r="AC331" s="198" t="n"/>
    </row>
    <row r="332" ht="15" customHeight="1" s="195">
      <c r="A332" s="280" t="n"/>
      <c r="B332" s="280" t="n"/>
      <c r="C332" s="280" t="n"/>
      <c r="D332" s="280" t="n"/>
      <c r="E332" s="280" t="n"/>
      <c r="F332" s="280" t="n"/>
      <c r="G332" s="280" t="n"/>
      <c r="H332" s="280" t="n"/>
      <c r="I332" s="332">
        <f>IFERROR(VLOOKUP(TEXT(H332,"0"),IPRESS!$A$3:$B$212,2,0),"")</f>
        <v/>
      </c>
      <c r="J332" s="280" t="n"/>
      <c r="K332" s="343" t="n"/>
      <c r="L332" s="280" t="n"/>
      <c r="M332" s="280" t="n"/>
      <c r="N332" s="345" t="n"/>
      <c r="O332" s="280" t="n"/>
      <c r="P332" s="332">
        <f>IFERROR(VLOOKUP(TEXT(O332,"0"),CONDUCTORES!$A$3:$G$54,2,0),"")</f>
        <v/>
      </c>
      <c r="Q332" s="332">
        <f>IFERROR(VLOOKUP(TEXT(O332,"0"),CONDUCTORES!$A$3:$H$54,6,0),"")</f>
        <v/>
      </c>
      <c r="R332" s="280" t="n"/>
      <c r="S332" s="280" t="n"/>
      <c r="T332" s="280" t="n"/>
      <c r="U332" s="280" t="n"/>
      <c r="V332" s="280" t="n"/>
      <c r="W332" s="280" t="n"/>
      <c r="X332" s="280" t="n"/>
      <c r="Y332" s="280" t="n"/>
      <c r="Z332" s="350" t="n"/>
      <c r="AA332" s="198" t="n"/>
      <c r="AB332" s="198" t="n"/>
      <c r="AC332" s="198" t="n"/>
    </row>
    <row r="333" ht="15" customHeight="1" s="195">
      <c r="A333" s="280" t="n"/>
      <c r="B333" s="280" t="n"/>
      <c r="C333" s="280" t="n"/>
      <c r="D333" s="280" t="n"/>
      <c r="E333" s="280" t="n"/>
      <c r="F333" s="280" t="n"/>
      <c r="G333" s="280" t="n"/>
      <c r="H333" s="280" t="n"/>
      <c r="I333" s="332">
        <f>IFERROR(VLOOKUP(TEXT(H333,"0"),IPRESS!$A$3:$B$212,2,0),"")</f>
        <v/>
      </c>
      <c r="J333" s="280" t="n"/>
      <c r="K333" s="343" t="n"/>
      <c r="L333" s="280" t="n"/>
      <c r="M333" s="280" t="n"/>
      <c r="N333" s="345" t="n"/>
      <c r="O333" s="280" t="n"/>
      <c r="P333" s="332">
        <f>IFERROR(VLOOKUP(TEXT(O333,"0"),CONDUCTORES!$A$3:$G$54,2,0),"")</f>
        <v/>
      </c>
      <c r="Q333" s="332">
        <f>IFERROR(VLOOKUP(TEXT(O333,"0"),CONDUCTORES!$A$3:$H$54,6,0),"")</f>
        <v/>
      </c>
      <c r="R333" s="280" t="n"/>
      <c r="S333" s="280" t="n"/>
      <c r="T333" s="280" t="n"/>
      <c r="U333" s="280" t="n"/>
      <c r="V333" s="280" t="n"/>
      <c r="W333" s="280" t="n"/>
      <c r="X333" s="280" t="n"/>
      <c r="Y333" s="280" t="n"/>
      <c r="Z333" s="350" t="n"/>
      <c r="AA333" s="198" t="n"/>
      <c r="AB333" s="198" t="n"/>
      <c r="AC333" s="198" t="n"/>
    </row>
    <row r="334" ht="15" customHeight="1" s="195">
      <c r="A334" s="280" t="n"/>
      <c r="B334" s="280" t="n"/>
      <c r="C334" s="280" t="n"/>
      <c r="D334" s="280" t="n"/>
      <c r="E334" s="280" t="n"/>
      <c r="F334" s="280" t="n"/>
      <c r="G334" s="280" t="n"/>
      <c r="H334" s="280" t="n"/>
      <c r="I334" s="332">
        <f>IFERROR(VLOOKUP(TEXT(H334,"0"),IPRESS!$A$3:$B$212,2,0),"")</f>
        <v/>
      </c>
      <c r="J334" s="280" t="n"/>
      <c r="K334" s="343" t="n"/>
      <c r="L334" s="280" t="n"/>
      <c r="M334" s="280" t="n"/>
      <c r="N334" s="345" t="n"/>
      <c r="O334" s="280" t="n"/>
      <c r="P334" s="332">
        <f>IFERROR(VLOOKUP(TEXT(O334,"0"),CONDUCTORES!$A$3:$G$54,2,0),"")</f>
        <v/>
      </c>
      <c r="Q334" s="332">
        <f>IFERROR(VLOOKUP(TEXT(O334,"0"),CONDUCTORES!$A$3:$H$54,6,0),"")</f>
        <v/>
      </c>
      <c r="R334" s="280" t="n"/>
      <c r="S334" s="280" t="n"/>
      <c r="T334" s="280" t="n"/>
      <c r="U334" s="280" t="n"/>
      <c r="V334" s="280" t="n"/>
      <c r="W334" s="280" t="n"/>
      <c r="X334" s="280" t="n"/>
      <c r="Y334" s="280" t="n"/>
      <c r="Z334" s="350" t="n"/>
      <c r="AA334" s="198" t="n"/>
      <c r="AB334" s="198" t="n"/>
      <c r="AC334" s="198" t="n"/>
    </row>
    <row r="335" ht="15" customHeight="1" s="195">
      <c r="A335" s="280" t="n"/>
      <c r="B335" s="280" t="n"/>
      <c r="C335" s="280" t="n"/>
      <c r="D335" s="280" t="n"/>
      <c r="E335" s="280" t="n"/>
      <c r="F335" s="280" t="n"/>
      <c r="G335" s="280" t="n"/>
      <c r="H335" s="280" t="n"/>
      <c r="I335" s="332">
        <f>IFERROR(VLOOKUP(TEXT(H335,"0"),IPRESS!$A$3:$B$212,2,0),"")</f>
        <v/>
      </c>
      <c r="J335" s="280" t="n"/>
      <c r="K335" s="343" t="n"/>
      <c r="L335" s="280" t="n"/>
      <c r="M335" s="280" t="n"/>
      <c r="N335" s="345" t="n"/>
      <c r="O335" s="280" t="n"/>
      <c r="P335" s="332">
        <f>IFERROR(VLOOKUP(TEXT(O335,"0"),CONDUCTORES!$A$3:$G$54,2,0),"")</f>
        <v/>
      </c>
      <c r="Q335" s="332">
        <f>IFERROR(VLOOKUP(TEXT(O335,"0"),CONDUCTORES!$A$3:$H$54,6,0),"")</f>
        <v/>
      </c>
      <c r="R335" s="280" t="n"/>
      <c r="S335" s="280" t="n"/>
      <c r="T335" s="280" t="n"/>
      <c r="U335" s="280" t="n"/>
      <c r="V335" s="280" t="n"/>
      <c r="W335" s="280" t="n"/>
      <c r="X335" s="280" t="n"/>
      <c r="Y335" s="280" t="n"/>
      <c r="Z335" s="350" t="n"/>
      <c r="AA335" s="198" t="n"/>
      <c r="AB335" s="198" t="n"/>
      <c r="AC335" s="198" t="n"/>
    </row>
    <row r="336" ht="15" customHeight="1" s="195">
      <c r="A336" s="280" t="n"/>
      <c r="B336" s="280" t="n"/>
      <c r="C336" s="280" t="n"/>
      <c r="D336" s="280" t="n"/>
      <c r="E336" s="280" t="n"/>
      <c r="F336" s="280" t="n"/>
      <c r="G336" s="280" t="n"/>
      <c r="H336" s="280" t="n"/>
      <c r="I336" s="332">
        <f>IFERROR(VLOOKUP(TEXT(H336,"0"),IPRESS!$A$3:$B$212,2,0),"")</f>
        <v/>
      </c>
      <c r="J336" s="280" t="n"/>
      <c r="K336" s="343" t="n"/>
      <c r="L336" s="280" t="n"/>
      <c r="M336" s="280" t="n"/>
      <c r="N336" s="345" t="n"/>
      <c r="O336" s="280" t="n"/>
      <c r="P336" s="332">
        <f>IFERROR(VLOOKUP(TEXT(O336,"0"),CONDUCTORES!$A$3:$G$54,2,0),"")</f>
        <v/>
      </c>
      <c r="Q336" s="332">
        <f>IFERROR(VLOOKUP(TEXT(O336,"0"),CONDUCTORES!$A$3:$H$54,6,0),"")</f>
        <v/>
      </c>
      <c r="R336" s="280" t="n"/>
      <c r="S336" s="280" t="n"/>
      <c r="T336" s="280" t="n"/>
      <c r="U336" s="280" t="n"/>
      <c r="V336" s="280" t="n"/>
      <c r="W336" s="280" t="n"/>
      <c r="X336" s="280" t="n"/>
      <c r="Y336" s="280" t="n"/>
      <c r="Z336" s="350" t="n"/>
      <c r="AA336" s="198" t="n"/>
      <c r="AB336" s="198" t="n"/>
      <c r="AC336" s="198" t="n"/>
    </row>
    <row r="337" ht="15" customHeight="1" s="195">
      <c r="A337" s="280" t="n"/>
      <c r="B337" s="280" t="n"/>
      <c r="C337" s="280" t="n"/>
      <c r="D337" s="280" t="n"/>
      <c r="E337" s="280" t="n"/>
      <c r="F337" s="280" t="n"/>
      <c r="G337" s="280" t="n"/>
      <c r="H337" s="280" t="n"/>
      <c r="I337" s="332">
        <f>IFERROR(VLOOKUP(TEXT(H337,"0"),IPRESS!$A$3:$B$212,2,0),"")</f>
        <v/>
      </c>
      <c r="J337" s="280" t="n"/>
      <c r="K337" s="343" t="n"/>
      <c r="L337" s="280" t="n"/>
      <c r="M337" s="280" t="n"/>
      <c r="N337" s="345" t="n"/>
      <c r="O337" s="280" t="n"/>
      <c r="P337" s="332">
        <f>IFERROR(VLOOKUP(TEXT(O337,"0"),CONDUCTORES!$A$3:$G$54,2,0),"")</f>
        <v/>
      </c>
      <c r="Q337" s="332">
        <f>IFERROR(VLOOKUP(TEXT(O337,"0"),CONDUCTORES!$A$3:$H$54,6,0),"")</f>
        <v/>
      </c>
      <c r="R337" s="280" t="n"/>
      <c r="S337" s="280" t="n"/>
      <c r="T337" s="280" t="n"/>
      <c r="U337" s="280" t="n"/>
      <c r="V337" s="280" t="n"/>
      <c r="W337" s="280" t="n"/>
      <c r="X337" s="280" t="n"/>
      <c r="Y337" s="280" t="n"/>
      <c r="Z337" s="350" t="n"/>
      <c r="AA337" s="198" t="n"/>
      <c r="AB337" s="198" t="n"/>
      <c r="AC337" s="198" t="n"/>
    </row>
    <row r="338" ht="15" customHeight="1" s="195">
      <c r="A338" s="280" t="n"/>
      <c r="B338" s="280" t="n"/>
      <c r="C338" s="280" t="n"/>
      <c r="D338" s="280" t="n"/>
      <c r="E338" s="280" t="n"/>
      <c r="F338" s="280" t="n"/>
      <c r="G338" s="280" t="n"/>
      <c r="H338" s="280" t="n"/>
      <c r="I338" s="332">
        <f>IFERROR(VLOOKUP(TEXT(H338,"0"),IPRESS!$A$3:$B$212,2,0),"")</f>
        <v/>
      </c>
      <c r="J338" s="280" t="n"/>
      <c r="K338" s="343" t="n"/>
      <c r="L338" s="280" t="n"/>
      <c r="M338" s="280" t="n"/>
      <c r="N338" s="345" t="n"/>
      <c r="O338" s="280" t="n"/>
      <c r="P338" s="332">
        <f>IFERROR(VLOOKUP(TEXT(O338,"0"),CONDUCTORES!$A$3:$G$54,2,0),"")</f>
        <v/>
      </c>
      <c r="Q338" s="332">
        <f>IFERROR(VLOOKUP(TEXT(O338,"0"),CONDUCTORES!$A$3:$H$54,6,0),"")</f>
        <v/>
      </c>
      <c r="R338" s="280" t="n"/>
      <c r="S338" s="280" t="n"/>
      <c r="T338" s="280" t="n"/>
      <c r="U338" s="280" t="n"/>
      <c r="V338" s="280" t="n"/>
      <c r="W338" s="280" t="n"/>
      <c r="X338" s="280" t="n"/>
      <c r="Y338" s="280" t="n"/>
      <c r="Z338" s="350" t="n"/>
      <c r="AA338" s="198" t="n"/>
      <c r="AB338" s="198" t="n"/>
      <c r="AC338" s="198" t="n"/>
    </row>
    <row r="339" ht="15" customHeight="1" s="195">
      <c r="A339" s="280" t="n"/>
      <c r="B339" s="280" t="n"/>
      <c r="C339" s="280" t="n"/>
      <c r="D339" s="280" t="n"/>
      <c r="E339" s="280" t="n"/>
      <c r="F339" s="280" t="n"/>
      <c r="G339" s="280" t="n"/>
      <c r="H339" s="280" t="n"/>
      <c r="I339" s="332">
        <f>IFERROR(VLOOKUP(TEXT(H339,"0"),IPRESS!$A$3:$B$212,2,0),"")</f>
        <v/>
      </c>
      <c r="J339" s="280" t="n"/>
      <c r="K339" s="343" t="n"/>
      <c r="L339" s="280" t="n"/>
      <c r="M339" s="280" t="n"/>
      <c r="N339" s="345" t="n"/>
      <c r="O339" s="280" t="n"/>
      <c r="P339" s="332">
        <f>IFERROR(VLOOKUP(TEXT(O339,"0"),CONDUCTORES!$A$3:$G$54,2,0),"")</f>
        <v/>
      </c>
      <c r="Q339" s="332">
        <f>IFERROR(VLOOKUP(TEXT(O339,"0"),CONDUCTORES!$A$3:$H$54,6,0),"")</f>
        <v/>
      </c>
      <c r="R339" s="280" t="n"/>
      <c r="S339" s="280" t="n"/>
      <c r="T339" s="280" t="n"/>
      <c r="U339" s="280" t="n"/>
      <c r="V339" s="280" t="n"/>
      <c r="W339" s="280" t="n"/>
      <c r="X339" s="280" t="n"/>
      <c r="Y339" s="280" t="n"/>
      <c r="Z339" s="350" t="n"/>
      <c r="AA339" s="198" t="n"/>
      <c r="AB339" s="198" t="n"/>
      <c r="AC339" s="198" t="n"/>
    </row>
    <row r="340" ht="15" customHeight="1" s="195">
      <c r="A340" s="280" t="n"/>
      <c r="B340" s="280" t="n"/>
      <c r="C340" s="280" t="n"/>
      <c r="D340" s="280" t="n"/>
      <c r="E340" s="280" t="n"/>
      <c r="F340" s="280" t="n"/>
      <c r="G340" s="280" t="n"/>
      <c r="H340" s="280" t="n"/>
      <c r="I340" s="332">
        <f>IFERROR(VLOOKUP(TEXT(H340,"0"),IPRESS!$A$3:$B$212,2,0),"")</f>
        <v/>
      </c>
      <c r="J340" s="280" t="n"/>
      <c r="K340" s="343" t="n"/>
      <c r="L340" s="280" t="n"/>
      <c r="M340" s="280" t="n"/>
      <c r="N340" s="345" t="n"/>
      <c r="O340" s="280" t="n"/>
      <c r="P340" s="332">
        <f>IFERROR(VLOOKUP(TEXT(O340,"0"),CONDUCTORES!$A$3:$G$54,2,0),"")</f>
        <v/>
      </c>
      <c r="Q340" s="332">
        <f>IFERROR(VLOOKUP(TEXT(O340,"0"),CONDUCTORES!$A$3:$H$54,6,0),"")</f>
        <v/>
      </c>
      <c r="R340" s="280" t="n"/>
      <c r="S340" s="280" t="n"/>
      <c r="T340" s="280" t="n"/>
      <c r="U340" s="280" t="n"/>
      <c r="V340" s="280" t="n"/>
      <c r="W340" s="280" t="n"/>
      <c r="X340" s="280" t="n"/>
      <c r="Y340" s="280" t="n"/>
      <c r="Z340" s="350" t="n"/>
      <c r="AA340" s="198" t="n"/>
      <c r="AB340" s="198" t="n"/>
      <c r="AC340" s="198" t="n"/>
    </row>
    <row r="341" ht="15" customHeight="1" s="195">
      <c r="A341" s="280" t="n"/>
      <c r="B341" s="280" t="n"/>
      <c r="C341" s="280" t="n"/>
      <c r="D341" s="280" t="n"/>
      <c r="E341" s="280" t="n"/>
      <c r="F341" s="280" t="n"/>
      <c r="G341" s="280" t="n"/>
      <c r="H341" s="280" t="n"/>
      <c r="I341" s="332">
        <f>IFERROR(VLOOKUP(TEXT(H341,"0"),IPRESS!$A$3:$B$212,2,0),"")</f>
        <v/>
      </c>
      <c r="J341" s="280" t="n"/>
      <c r="K341" s="343" t="n"/>
      <c r="L341" s="280" t="n"/>
      <c r="M341" s="280" t="n"/>
      <c r="N341" s="345" t="n"/>
      <c r="O341" s="280" t="n"/>
      <c r="P341" s="332">
        <f>IFERROR(VLOOKUP(TEXT(O341,"0"),CONDUCTORES!$A$3:$G$54,2,0),"")</f>
        <v/>
      </c>
      <c r="Q341" s="332">
        <f>IFERROR(VLOOKUP(TEXT(O341,"0"),CONDUCTORES!$A$3:$H$54,6,0),"")</f>
        <v/>
      </c>
      <c r="R341" s="280" t="n"/>
      <c r="S341" s="280" t="n"/>
      <c r="T341" s="280" t="n"/>
      <c r="U341" s="280" t="n"/>
      <c r="V341" s="280" t="n"/>
      <c r="W341" s="280" t="n"/>
      <c r="X341" s="280" t="n"/>
      <c r="Y341" s="280" t="n"/>
      <c r="Z341" s="350" t="n"/>
      <c r="AA341" s="198" t="n"/>
      <c r="AB341" s="198" t="n"/>
      <c r="AC341" s="198" t="n"/>
    </row>
    <row r="342" ht="15" customHeight="1" s="195">
      <c r="A342" s="280" t="n"/>
      <c r="B342" s="280" t="n"/>
      <c r="C342" s="280" t="n"/>
      <c r="D342" s="280" t="n"/>
      <c r="E342" s="280" t="n"/>
      <c r="F342" s="280" t="n"/>
      <c r="G342" s="280" t="n"/>
      <c r="H342" s="280" t="n"/>
      <c r="I342" s="332">
        <f>IFERROR(VLOOKUP(TEXT(H342,"0"),IPRESS!$A$3:$B$212,2,0),"")</f>
        <v/>
      </c>
      <c r="J342" s="280" t="n"/>
      <c r="K342" s="343" t="n"/>
      <c r="L342" s="280" t="n"/>
      <c r="M342" s="280" t="n"/>
      <c r="N342" s="345" t="n"/>
      <c r="O342" s="280" t="n"/>
      <c r="P342" s="332">
        <f>IFERROR(VLOOKUP(TEXT(O342,"0"),CONDUCTORES!$A$3:$G$54,2,0),"")</f>
        <v/>
      </c>
      <c r="Q342" s="332">
        <f>IFERROR(VLOOKUP(TEXT(O342,"0"),CONDUCTORES!$A$3:$H$54,6,0),"")</f>
        <v/>
      </c>
      <c r="R342" s="280" t="n"/>
      <c r="S342" s="280" t="n"/>
      <c r="T342" s="280" t="n"/>
      <c r="U342" s="280" t="n"/>
      <c r="V342" s="280" t="n"/>
      <c r="W342" s="280" t="n"/>
      <c r="X342" s="280" t="n"/>
      <c r="Y342" s="280" t="n"/>
      <c r="Z342" s="350" t="n"/>
      <c r="AA342" s="198" t="n"/>
      <c r="AB342" s="198" t="n"/>
      <c r="AC342" s="198" t="n"/>
    </row>
    <row r="343" ht="15" customHeight="1" s="195">
      <c r="A343" s="280" t="n"/>
      <c r="B343" s="280" t="n"/>
      <c r="C343" s="280" t="n"/>
      <c r="D343" s="280" t="n"/>
      <c r="E343" s="280" t="n"/>
      <c r="F343" s="280" t="n"/>
      <c r="G343" s="280" t="n"/>
      <c r="H343" s="280" t="n"/>
      <c r="I343" s="332">
        <f>IFERROR(VLOOKUP(TEXT(H343,"0"),IPRESS!$A$3:$B$212,2,0),"")</f>
        <v/>
      </c>
      <c r="J343" s="280" t="n"/>
      <c r="K343" s="343" t="n"/>
      <c r="L343" s="280" t="n"/>
      <c r="M343" s="280" t="n"/>
      <c r="N343" s="345" t="n"/>
      <c r="O343" s="280" t="n"/>
      <c r="P343" s="332">
        <f>IFERROR(VLOOKUP(TEXT(O343,"0"),CONDUCTORES!$A$3:$G$54,2,0),"")</f>
        <v/>
      </c>
      <c r="Q343" s="332">
        <f>IFERROR(VLOOKUP(TEXT(O343,"0"),CONDUCTORES!$A$3:$H$54,6,0),"")</f>
        <v/>
      </c>
      <c r="R343" s="280" t="n"/>
      <c r="S343" s="280" t="n"/>
      <c r="T343" s="280" t="n"/>
      <c r="U343" s="280" t="n"/>
      <c r="V343" s="280" t="n"/>
      <c r="W343" s="280" t="n"/>
      <c r="X343" s="280" t="n"/>
      <c r="Y343" s="280" t="n"/>
      <c r="Z343" s="350" t="n"/>
      <c r="AA343" s="198" t="n"/>
      <c r="AB343" s="198" t="n"/>
      <c r="AC343" s="198" t="n"/>
    </row>
    <row r="344" ht="15" customHeight="1" s="195">
      <c r="A344" s="280" t="n"/>
      <c r="B344" s="280" t="n"/>
      <c r="C344" s="280" t="n"/>
      <c r="D344" s="280" t="n"/>
      <c r="E344" s="280" t="n"/>
      <c r="F344" s="280" t="n"/>
      <c r="G344" s="280" t="n"/>
      <c r="H344" s="280" t="n"/>
      <c r="I344" s="332">
        <f>IFERROR(VLOOKUP(TEXT(H344,"0"),IPRESS!$A$3:$B$212,2,0),"")</f>
        <v/>
      </c>
      <c r="J344" s="280" t="n"/>
      <c r="K344" s="343" t="n"/>
      <c r="L344" s="280" t="n"/>
      <c r="M344" s="280" t="n"/>
      <c r="N344" s="345" t="n"/>
      <c r="O344" s="280" t="n"/>
      <c r="P344" s="332">
        <f>IFERROR(VLOOKUP(TEXT(O344,"0"),CONDUCTORES!$A$3:$G$54,2,0),"")</f>
        <v/>
      </c>
      <c r="Q344" s="332">
        <f>IFERROR(VLOOKUP(TEXT(O344,"0"),CONDUCTORES!$A$3:$H$54,6,0),"")</f>
        <v/>
      </c>
      <c r="R344" s="280" t="n"/>
      <c r="S344" s="280" t="n"/>
      <c r="T344" s="280" t="n"/>
      <c r="U344" s="280" t="n"/>
      <c r="V344" s="280" t="n"/>
      <c r="W344" s="280" t="n"/>
      <c r="X344" s="280" t="n"/>
      <c r="Y344" s="280" t="n"/>
      <c r="Z344" s="350" t="n"/>
      <c r="AA344" s="198" t="n"/>
      <c r="AB344" s="198" t="n"/>
      <c r="AC344" s="198" t="n"/>
    </row>
    <row r="345" ht="15" customHeight="1" s="195">
      <c r="A345" s="280" t="n"/>
      <c r="B345" s="280" t="n"/>
      <c r="C345" s="280" t="n"/>
      <c r="D345" s="280" t="n"/>
      <c r="E345" s="280" t="n"/>
      <c r="F345" s="280" t="n"/>
      <c r="G345" s="280" t="n"/>
      <c r="H345" s="280" t="n"/>
      <c r="I345" s="332">
        <f>IFERROR(VLOOKUP(TEXT(H345,"0"),IPRESS!$A$3:$B$212,2,0),"")</f>
        <v/>
      </c>
      <c r="J345" s="280" t="n"/>
      <c r="K345" s="343" t="n"/>
      <c r="L345" s="280" t="n"/>
      <c r="M345" s="280" t="n"/>
      <c r="N345" s="345" t="n"/>
      <c r="O345" s="280" t="n"/>
      <c r="P345" s="332">
        <f>IFERROR(VLOOKUP(TEXT(O345,"0"),CONDUCTORES!$A$3:$G$54,2,0),"")</f>
        <v/>
      </c>
      <c r="Q345" s="332">
        <f>IFERROR(VLOOKUP(TEXT(O345,"0"),CONDUCTORES!$A$3:$H$54,6,0),"")</f>
        <v/>
      </c>
      <c r="R345" s="280" t="n"/>
      <c r="S345" s="280" t="n"/>
      <c r="T345" s="280" t="n"/>
      <c r="U345" s="280" t="n"/>
      <c r="V345" s="280" t="n"/>
      <c r="W345" s="280" t="n"/>
      <c r="X345" s="280" t="n"/>
      <c r="Y345" s="280" t="n"/>
      <c r="Z345" s="350" t="n"/>
      <c r="AA345" s="198" t="n"/>
      <c r="AB345" s="198" t="n"/>
      <c r="AC345" s="198" t="n"/>
    </row>
    <row r="346" ht="15" customHeight="1" s="195">
      <c r="A346" s="280" t="n"/>
      <c r="B346" s="280" t="n"/>
      <c r="C346" s="280" t="n"/>
      <c r="D346" s="280" t="n"/>
      <c r="E346" s="280" t="n"/>
      <c r="F346" s="280" t="n"/>
      <c r="G346" s="280" t="n"/>
      <c r="H346" s="280" t="n"/>
      <c r="I346" s="332">
        <f>IFERROR(VLOOKUP(TEXT(H346,"0"),IPRESS!$A$3:$B$212,2,0),"")</f>
        <v/>
      </c>
      <c r="J346" s="280" t="n"/>
      <c r="K346" s="343" t="n"/>
      <c r="L346" s="280" t="n"/>
      <c r="M346" s="280" t="n"/>
      <c r="N346" s="345" t="n"/>
      <c r="O346" s="280" t="n"/>
      <c r="P346" s="332">
        <f>IFERROR(VLOOKUP(TEXT(O346,"0"),CONDUCTORES!$A$3:$G$54,2,0),"")</f>
        <v/>
      </c>
      <c r="Q346" s="332">
        <f>IFERROR(VLOOKUP(TEXT(O346,"0"),CONDUCTORES!$A$3:$H$54,6,0),"")</f>
        <v/>
      </c>
      <c r="R346" s="280" t="n"/>
      <c r="S346" s="280" t="n"/>
      <c r="T346" s="280" t="n"/>
      <c r="U346" s="280" t="n"/>
      <c r="V346" s="280" t="n"/>
      <c r="W346" s="280" t="n"/>
      <c r="X346" s="280" t="n"/>
      <c r="Y346" s="280" t="n"/>
      <c r="Z346" s="350" t="n"/>
      <c r="AA346" s="198" t="n"/>
      <c r="AB346" s="198" t="n"/>
      <c r="AC346" s="198" t="n"/>
    </row>
    <row r="347" ht="15" customHeight="1" s="195">
      <c r="A347" s="280" t="n"/>
      <c r="B347" s="280" t="n"/>
      <c r="C347" s="280" t="n"/>
      <c r="D347" s="280" t="n"/>
      <c r="E347" s="280" t="n"/>
      <c r="F347" s="280" t="n"/>
      <c r="G347" s="280" t="n"/>
      <c r="H347" s="280" t="n"/>
      <c r="I347" s="332">
        <f>IFERROR(VLOOKUP(TEXT(H347,"0"),IPRESS!$A$3:$B$212,2,0),"")</f>
        <v/>
      </c>
      <c r="J347" s="280" t="n"/>
      <c r="K347" s="343" t="n"/>
      <c r="L347" s="280" t="n"/>
      <c r="M347" s="280" t="n"/>
      <c r="N347" s="345" t="n"/>
      <c r="O347" s="280" t="n"/>
      <c r="P347" s="332">
        <f>IFERROR(VLOOKUP(TEXT(O347,"0"),CONDUCTORES!$A$3:$G$54,2,0),"")</f>
        <v/>
      </c>
      <c r="Q347" s="332">
        <f>IFERROR(VLOOKUP(TEXT(O347,"0"),CONDUCTORES!$A$3:$H$54,6,0),"")</f>
        <v/>
      </c>
      <c r="R347" s="280" t="n"/>
      <c r="S347" s="280" t="n"/>
      <c r="T347" s="280" t="n"/>
      <c r="U347" s="280" t="n"/>
      <c r="V347" s="280" t="n"/>
      <c r="W347" s="280" t="n"/>
      <c r="X347" s="280" t="n"/>
      <c r="Y347" s="280" t="n"/>
      <c r="Z347" s="350" t="n"/>
      <c r="AA347" s="198" t="n"/>
      <c r="AB347" s="198" t="n"/>
      <c r="AC347" s="198" t="n"/>
    </row>
    <row r="348" ht="15" customHeight="1" s="195">
      <c r="A348" s="280" t="n"/>
      <c r="B348" s="280" t="n"/>
      <c r="C348" s="280" t="n"/>
      <c r="D348" s="280" t="n"/>
      <c r="E348" s="280" t="n"/>
      <c r="F348" s="280" t="n"/>
      <c r="G348" s="280" t="n"/>
      <c r="H348" s="280" t="n"/>
      <c r="I348" s="332">
        <f>IFERROR(VLOOKUP(TEXT(H348,"0"),IPRESS!$A$3:$B$212,2,0),"")</f>
        <v/>
      </c>
      <c r="J348" s="280" t="n"/>
      <c r="K348" s="343" t="n"/>
      <c r="L348" s="280" t="n"/>
      <c r="M348" s="280" t="n"/>
      <c r="N348" s="345" t="n"/>
      <c r="O348" s="280" t="n"/>
      <c r="P348" s="332">
        <f>IFERROR(VLOOKUP(TEXT(O348,"0"),CONDUCTORES!$A$3:$G$54,2,0),"")</f>
        <v/>
      </c>
      <c r="Q348" s="332">
        <f>IFERROR(VLOOKUP(TEXT(O348,"0"),CONDUCTORES!$A$3:$H$54,6,0),"")</f>
        <v/>
      </c>
      <c r="R348" s="280" t="n"/>
      <c r="S348" s="280" t="n"/>
      <c r="T348" s="280" t="n"/>
      <c r="U348" s="280" t="n"/>
      <c r="V348" s="280" t="n"/>
      <c r="W348" s="280" t="n"/>
      <c r="X348" s="280" t="n"/>
      <c r="Y348" s="280" t="n"/>
      <c r="Z348" s="350" t="n"/>
      <c r="AA348" s="198" t="n"/>
      <c r="AB348" s="198" t="n"/>
      <c r="AC348" s="198" t="n"/>
    </row>
    <row r="349" ht="15" customHeight="1" s="195">
      <c r="A349" s="280" t="n"/>
      <c r="B349" s="280" t="n"/>
      <c r="C349" s="280" t="n"/>
      <c r="D349" s="280" t="n"/>
      <c r="E349" s="280" t="n"/>
      <c r="F349" s="280" t="n"/>
      <c r="G349" s="280" t="n"/>
      <c r="H349" s="280" t="n"/>
      <c r="I349" s="332">
        <f>IFERROR(VLOOKUP(TEXT(H349,"0"),IPRESS!$A$3:$B$212,2,0),"")</f>
        <v/>
      </c>
      <c r="J349" s="280" t="n"/>
      <c r="K349" s="343" t="n"/>
      <c r="L349" s="280" t="n"/>
      <c r="M349" s="280" t="n"/>
      <c r="N349" s="345" t="n"/>
      <c r="O349" s="280" t="n"/>
      <c r="P349" s="332">
        <f>IFERROR(VLOOKUP(TEXT(O349,"0"),CONDUCTORES!$A$3:$G$54,2,0),"")</f>
        <v/>
      </c>
      <c r="Q349" s="332">
        <f>IFERROR(VLOOKUP(TEXT(O349,"0"),CONDUCTORES!$A$3:$H$54,6,0),"")</f>
        <v/>
      </c>
      <c r="R349" s="280" t="n"/>
      <c r="S349" s="280" t="n"/>
      <c r="T349" s="280" t="n"/>
      <c r="U349" s="280" t="n"/>
      <c r="V349" s="280" t="n"/>
      <c r="W349" s="280" t="n"/>
      <c r="X349" s="280" t="n"/>
      <c r="Y349" s="280" t="n"/>
      <c r="Z349" s="350" t="n"/>
      <c r="AA349" s="198" t="n"/>
      <c r="AB349" s="198" t="n"/>
      <c r="AC349" s="198" t="n"/>
    </row>
    <row r="350" ht="15" customHeight="1" s="195">
      <c r="A350" s="280" t="n"/>
      <c r="B350" s="280" t="n"/>
      <c r="C350" s="280" t="n"/>
      <c r="D350" s="280" t="n"/>
      <c r="E350" s="280" t="n"/>
      <c r="F350" s="280" t="n"/>
      <c r="G350" s="280" t="n"/>
      <c r="H350" s="280" t="n"/>
      <c r="I350" s="332">
        <f>IFERROR(VLOOKUP(TEXT(H350,"0"),IPRESS!$A$3:$B$212,2,0),"")</f>
        <v/>
      </c>
      <c r="J350" s="280" t="n"/>
      <c r="K350" s="343" t="n"/>
      <c r="L350" s="280" t="n"/>
      <c r="M350" s="280" t="n"/>
      <c r="N350" s="345" t="n"/>
      <c r="O350" s="280" t="n"/>
      <c r="P350" s="332">
        <f>IFERROR(VLOOKUP(TEXT(O350,"0"),CONDUCTORES!$A$3:$G$54,2,0),"")</f>
        <v/>
      </c>
      <c r="Q350" s="332">
        <f>IFERROR(VLOOKUP(TEXT(O350,"0"),CONDUCTORES!$A$3:$H$54,6,0),"")</f>
        <v/>
      </c>
      <c r="R350" s="280" t="n"/>
      <c r="S350" s="280" t="n"/>
      <c r="T350" s="280" t="n"/>
      <c r="U350" s="280" t="n"/>
      <c r="V350" s="280" t="n"/>
      <c r="W350" s="280" t="n"/>
      <c r="X350" s="280" t="n"/>
      <c r="Y350" s="280" t="n"/>
      <c r="Z350" s="350" t="n"/>
      <c r="AA350" s="198" t="n"/>
      <c r="AB350" s="198" t="n"/>
      <c r="AC350" s="198" t="n"/>
    </row>
    <row r="351" ht="15" customHeight="1" s="195">
      <c r="A351" s="280" t="n"/>
      <c r="B351" s="280" t="n"/>
      <c r="C351" s="280" t="n"/>
      <c r="D351" s="280" t="n"/>
      <c r="E351" s="280" t="n"/>
      <c r="F351" s="280" t="n"/>
      <c r="G351" s="280" t="n"/>
      <c r="H351" s="280" t="n"/>
      <c r="I351" s="332">
        <f>IFERROR(VLOOKUP(TEXT(H351,"0"),IPRESS!$A$3:$B$212,2,0),"")</f>
        <v/>
      </c>
      <c r="J351" s="280" t="n"/>
      <c r="K351" s="343" t="n"/>
      <c r="L351" s="280" t="n"/>
      <c r="M351" s="280" t="n"/>
      <c r="N351" s="345" t="n"/>
      <c r="O351" s="280" t="n"/>
      <c r="P351" s="332">
        <f>IFERROR(VLOOKUP(TEXT(O351,"0"),CONDUCTORES!$A$3:$G$54,2,0),"")</f>
        <v/>
      </c>
      <c r="Q351" s="332">
        <f>IFERROR(VLOOKUP(TEXT(O351,"0"),CONDUCTORES!$A$3:$H$54,6,0),"")</f>
        <v/>
      </c>
      <c r="R351" s="280" t="n"/>
      <c r="S351" s="280" t="n"/>
      <c r="T351" s="280" t="n"/>
      <c r="U351" s="280" t="n"/>
      <c r="V351" s="280" t="n"/>
      <c r="W351" s="280" t="n"/>
      <c r="X351" s="280" t="n"/>
      <c r="Y351" s="280" t="n"/>
      <c r="Z351" s="350" t="n"/>
      <c r="AA351" s="198" t="n"/>
      <c r="AB351" s="198" t="n"/>
      <c r="AC351" s="198" t="n"/>
    </row>
    <row r="352" ht="15" customHeight="1" s="195">
      <c r="A352" s="280" t="n"/>
      <c r="B352" s="280" t="n"/>
      <c r="C352" s="280" t="n"/>
      <c r="D352" s="280" t="n"/>
      <c r="E352" s="280" t="n"/>
      <c r="F352" s="280" t="n"/>
      <c r="G352" s="280" t="n"/>
      <c r="H352" s="280" t="n"/>
      <c r="I352" s="332">
        <f>IFERROR(VLOOKUP(TEXT(H352,"0"),IPRESS!$A$3:$B$212,2,0),"")</f>
        <v/>
      </c>
      <c r="J352" s="280" t="n"/>
      <c r="K352" s="343" t="n"/>
      <c r="L352" s="280" t="n"/>
      <c r="M352" s="280" t="n"/>
      <c r="N352" s="345" t="n"/>
      <c r="O352" s="280" t="n"/>
      <c r="P352" s="332">
        <f>IFERROR(VLOOKUP(TEXT(O352,"0"),CONDUCTORES!$A$3:$G$54,2,0),"")</f>
        <v/>
      </c>
      <c r="Q352" s="332">
        <f>IFERROR(VLOOKUP(TEXT(O352,"0"),CONDUCTORES!$A$3:$H$54,6,0),"")</f>
        <v/>
      </c>
      <c r="R352" s="280" t="n"/>
      <c r="S352" s="280" t="n"/>
      <c r="T352" s="280" t="n"/>
      <c r="U352" s="280" t="n"/>
      <c r="V352" s="280" t="n"/>
      <c r="W352" s="280" t="n"/>
      <c r="X352" s="280" t="n"/>
      <c r="Y352" s="280" t="n"/>
      <c r="Z352" s="350" t="n"/>
      <c r="AA352" s="198" t="n"/>
      <c r="AB352" s="198" t="n"/>
      <c r="AC352" s="198" t="n"/>
    </row>
    <row r="353" ht="15" customHeight="1" s="195">
      <c r="A353" s="280" t="n"/>
      <c r="B353" s="280" t="n"/>
      <c r="C353" s="280" t="n"/>
      <c r="D353" s="280" t="n"/>
      <c r="E353" s="280" t="n"/>
      <c r="F353" s="280" t="n"/>
      <c r="G353" s="280" t="n"/>
      <c r="H353" s="280" t="n"/>
      <c r="I353" s="332">
        <f>IFERROR(VLOOKUP(TEXT(H353,"0"),IPRESS!$A$3:$B$212,2,0),"")</f>
        <v/>
      </c>
      <c r="J353" s="280" t="n"/>
      <c r="K353" s="343" t="n"/>
      <c r="L353" s="280" t="n"/>
      <c r="M353" s="280" t="n"/>
      <c r="N353" s="345" t="n"/>
      <c r="O353" s="280" t="n"/>
      <c r="P353" s="332">
        <f>IFERROR(VLOOKUP(TEXT(O353,"0"),CONDUCTORES!$A$3:$G$54,2,0),"")</f>
        <v/>
      </c>
      <c r="Q353" s="332">
        <f>IFERROR(VLOOKUP(TEXT(O353,"0"),CONDUCTORES!$A$3:$H$54,6,0),"")</f>
        <v/>
      </c>
      <c r="R353" s="280" t="n"/>
      <c r="S353" s="280" t="n"/>
      <c r="T353" s="280" t="n"/>
      <c r="U353" s="280" t="n"/>
      <c r="V353" s="280" t="n"/>
      <c r="W353" s="280" t="n"/>
      <c r="X353" s="280" t="n"/>
      <c r="Y353" s="280" t="n"/>
      <c r="Z353" s="350" t="n"/>
      <c r="AA353" s="198" t="n"/>
      <c r="AB353" s="198" t="n"/>
      <c r="AC353" s="198" t="n"/>
    </row>
    <row r="354" ht="15" customHeight="1" s="195">
      <c r="A354" s="280" t="n"/>
      <c r="B354" s="280" t="n"/>
      <c r="C354" s="280" t="n"/>
      <c r="D354" s="280" t="n"/>
      <c r="E354" s="280" t="n"/>
      <c r="F354" s="280" t="n"/>
      <c r="G354" s="280" t="n"/>
      <c r="H354" s="280" t="n"/>
      <c r="I354" s="332">
        <f>IFERROR(VLOOKUP(TEXT(H354,"0"),IPRESS!$A$3:$B$212,2,0),"")</f>
        <v/>
      </c>
      <c r="J354" s="280" t="n"/>
      <c r="K354" s="343" t="n"/>
      <c r="L354" s="280" t="n"/>
      <c r="M354" s="280" t="n"/>
      <c r="N354" s="345" t="n"/>
      <c r="O354" s="280" t="n"/>
      <c r="P354" s="332">
        <f>IFERROR(VLOOKUP(TEXT(O354,"0"),CONDUCTORES!$A$3:$G$54,2,0),"")</f>
        <v/>
      </c>
      <c r="Q354" s="332">
        <f>IFERROR(VLOOKUP(TEXT(O354,"0"),CONDUCTORES!$A$3:$H$54,6,0),"")</f>
        <v/>
      </c>
      <c r="R354" s="280" t="n"/>
      <c r="S354" s="280" t="n"/>
      <c r="T354" s="280" t="n"/>
      <c r="U354" s="280" t="n"/>
      <c r="V354" s="280" t="n"/>
      <c r="W354" s="280" t="n"/>
      <c r="X354" s="280" t="n"/>
      <c r="Y354" s="280" t="n"/>
      <c r="Z354" s="350" t="n"/>
      <c r="AA354" s="198" t="n"/>
      <c r="AB354" s="198" t="n"/>
      <c r="AC354" s="198" t="n"/>
    </row>
    <row r="355" ht="15" customHeight="1" s="195">
      <c r="A355" s="280" t="n"/>
      <c r="B355" s="280" t="n"/>
      <c r="C355" s="280" t="n"/>
      <c r="D355" s="280" t="n"/>
      <c r="E355" s="280" t="n"/>
      <c r="F355" s="280" t="n"/>
      <c r="G355" s="280" t="n"/>
      <c r="H355" s="280" t="n"/>
      <c r="I355" s="332">
        <f>IFERROR(VLOOKUP(TEXT(H355,"0"),IPRESS!$A$3:$B$212,2,0),"")</f>
        <v/>
      </c>
      <c r="J355" s="280" t="n"/>
      <c r="K355" s="343" t="n"/>
      <c r="L355" s="280" t="n"/>
      <c r="M355" s="280" t="n"/>
      <c r="N355" s="345" t="n"/>
      <c r="O355" s="280" t="n"/>
      <c r="P355" s="332">
        <f>IFERROR(VLOOKUP(TEXT(O355,"0"),CONDUCTORES!$A$3:$G$54,2,0),"")</f>
        <v/>
      </c>
      <c r="Q355" s="332">
        <f>IFERROR(VLOOKUP(TEXT(O355,"0"),CONDUCTORES!$A$3:$H$54,6,0),"")</f>
        <v/>
      </c>
      <c r="R355" s="280" t="n"/>
      <c r="S355" s="280" t="n"/>
      <c r="T355" s="280" t="n"/>
      <c r="U355" s="280" t="n"/>
      <c r="V355" s="280" t="n"/>
      <c r="W355" s="280" t="n"/>
      <c r="X355" s="280" t="n"/>
      <c r="Y355" s="280" t="n"/>
      <c r="Z355" s="350" t="n"/>
      <c r="AA355" s="198" t="n"/>
      <c r="AB355" s="198" t="n"/>
      <c r="AC355" s="198" t="n"/>
    </row>
    <row r="356" ht="15" customHeight="1" s="195">
      <c r="A356" s="280" t="n"/>
      <c r="B356" s="280" t="n"/>
      <c r="C356" s="280" t="n"/>
      <c r="D356" s="280" t="n"/>
      <c r="E356" s="280" t="n"/>
      <c r="F356" s="280" t="n"/>
      <c r="G356" s="280" t="n"/>
      <c r="H356" s="280" t="n"/>
      <c r="I356" s="332">
        <f>IFERROR(VLOOKUP(TEXT(H356,"0"),IPRESS!$A$3:$B$212,2,0),"")</f>
        <v/>
      </c>
      <c r="J356" s="280" t="n"/>
      <c r="K356" s="343" t="n"/>
      <c r="L356" s="280" t="n"/>
      <c r="M356" s="280" t="n"/>
      <c r="N356" s="345" t="n"/>
      <c r="O356" s="280" t="n"/>
      <c r="P356" s="332">
        <f>IFERROR(VLOOKUP(TEXT(O356,"0"),CONDUCTORES!$A$3:$G$54,2,0),"")</f>
        <v/>
      </c>
      <c r="Q356" s="332">
        <f>IFERROR(VLOOKUP(TEXT(O356,"0"),CONDUCTORES!$A$3:$H$54,6,0),"")</f>
        <v/>
      </c>
      <c r="R356" s="280" t="n"/>
      <c r="S356" s="280" t="n"/>
      <c r="T356" s="280" t="n"/>
      <c r="U356" s="280" t="n"/>
      <c r="V356" s="280" t="n"/>
      <c r="W356" s="280" t="n"/>
      <c r="X356" s="280" t="n"/>
      <c r="Y356" s="280" t="n"/>
      <c r="Z356" s="350" t="n"/>
      <c r="AA356" s="198" t="n"/>
      <c r="AB356" s="198" t="n"/>
      <c r="AC356" s="198" t="n"/>
    </row>
    <row r="357" ht="15" customHeight="1" s="195">
      <c r="A357" s="280" t="n"/>
      <c r="B357" s="280" t="n"/>
      <c r="C357" s="280" t="n"/>
      <c r="D357" s="280" t="n"/>
      <c r="E357" s="280" t="n"/>
      <c r="F357" s="280" t="n"/>
      <c r="G357" s="280" t="n"/>
      <c r="H357" s="280" t="n"/>
      <c r="I357" s="332">
        <f>IFERROR(VLOOKUP(TEXT(H357,"0"),IPRESS!$A$3:$B$212,2,0),"")</f>
        <v/>
      </c>
      <c r="J357" s="280" t="n"/>
      <c r="K357" s="343" t="n"/>
      <c r="L357" s="280" t="n"/>
      <c r="M357" s="280" t="n"/>
      <c r="N357" s="345" t="n"/>
      <c r="O357" s="280" t="n"/>
      <c r="P357" s="332">
        <f>IFERROR(VLOOKUP(TEXT(O357,"0"),CONDUCTORES!$A$3:$G$54,2,0),"")</f>
        <v/>
      </c>
      <c r="Q357" s="332">
        <f>IFERROR(VLOOKUP(TEXT(O357,"0"),CONDUCTORES!$A$3:$H$54,6,0),"")</f>
        <v/>
      </c>
      <c r="R357" s="280" t="n"/>
      <c r="S357" s="280" t="n"/>
      <c r="T357" s="280" t="n"/>
      <c r="U357" s="280" t="n"/>
      <c r="V357" s="280" t="n"/>
      <c r="W357" s="280" t="n"/>
      <c r="X357" s="280" t="n"/>
      <c r="Y357" s="280" t="n"/>
      <c r="Z357" s="350" t="n"/>
      <c r="AA357" s="198" t="n"/>
      <c r="AB357" s="198" t="n"/>
      <c r="AC357" s="198" t="n"/>
    </row>
    <row r="358" ht="15" customHeight="1" s="195">
      <c r="A358" s="280" t="n"/>
      <c r="B358" s="280" t="n"/>
      <c r="C358" s="280" t="n"/>
      <c r="D358" s="280" t="n"/>
      <c r="E358" s="280" t="n"/>
      <c r="F358" s="280" t="n"/>
      <c r="G358" s="280" t="n"/>
      <c r="H358" s="280" t="n"/>
      <c r="I358" s="332">
        <f>IFERROR(VLOOKUP(TEXT(H358,"0"),IPRESS!$A$3:$B$212,2,0),"")</f>
        <v/>
      </c>
      <c r="J358" s="280" t="n"/>
      <c r="K358" s="343" t="n"/>
      <c r="L358" s="280" t="n"/>
      <c r="M358" s="280" t="n"/>
      <c r="N358" s="345" t="n"/>
      <c r="O358" s="280" t="n"/>
      <c r="P358" s="332">
        <f>IFERROR(VLOOKUP(TEXT(O358,"0"),CONDUCTORES!$A$3:$G$54,2,0),"")</f>
        <v/>
      </c>
      <c r="Q358" s="332">
        <f>IFERROR(VLOOKUP(TEXT(O358,"0"),CONDUCTORES!$A$3:$H$54,6,0),"")</f>
        <v/>
      </c>
      <c r="R358" s="280" t="n"/>
      <c r="S358" s="280" t="n"/>
      <c r="T358" s="280" t="n"/>
      <c r="U358" s="280" t="n"/>
      <c r="V358" s="280" t="n"/>
      <c r="W358" s="280" t="n"/>
      <c r="X358" s="280" t="n"/>
      <c r="Y358" s="280" t="n"/>
      <c r="Z358" s="350" t="n"/>
      <c r="AA358" s="198" t="n"/>
      <c r="AB358" s="198" t="n"/>
      <c r="AC358" s="198" t="n"/>
    </row>
    <row r="359" ht="15" customHeight="1" s="195">
      <c r="A359" s="280" t="n"/>
      <c r="B359" s="280" t="n"/>
      <c r="C359" s="280" t="n"/>
      <c r="D359" s="280" t="n"/>
      <c r="E359" s="280" t="n"/>
      <c r="F359" s="280" t="n"/>
      <c r="G359" s="280" t="n"/>
      <c r="H359" s="280" t="n"/>
      <c r="I359" s="332">
        <f>IFERROR(VLOOKUP(TEXT(H359,"0"),IPRESS!$A$3:$B$212,2,0),"")</f>
        <v/>
      </c>
      <c r="J359" s="280" t="n"/>
      <c r="K359" s="343" t="n"/>
      <c r="L359" s="280" t="n"/>
      <c r="M359" s="280" t="n"/>
      <c r="N359" s="345" t="n"/>
      <c r="O359" s="280" t="n"/>
      <c r="P359" s="332">
        <f>IFERROR(VLOOKUP(TEXT(O359,"0"),CONDUCTORES!$A$3:$G$54,2,0),"")</f>
        <v/>
      </c>
      <c r="Q359" s="332">
        <f>IFERROR(VLOOKUP(TEXT(O359,"0"),CONDUCTORES!$A$3:$H$54,6,0),"")</f>
        <v/>
      </c>
      <c r="R359" s="280" t="n"/>
      <c r="S359" s="280" t="n"/>
      <c r="T359" s="280" t="n"/>
      <c r="U359" s="280" t="n"/>
      <c r="V359" s="280" t="n"/>
      <c r="W359" s="280" t="n"/>
      <c r="X359" s="280" t="n"/>
      <c r="Y359" s="280" t="n"/>
      <c r="Z359" s="350" t="n"/>
      <c r="AA359" s="198" t="n"/>
      <c r="AB359" s="198" t="n"/>
      <c r="AC359" s="198" t="n"/>
    </row>
    <row r="360" ht="15" customHeight="1" s="195">
      <c r="A360" s="280" t="n"/>
      <c r="B360" s="280" t="n"/>
      <c r="C360" s="280" t="n"/>
      <c r="D360" s="280" t="n"/>
      <c r="E360" s="280" t="n"/>
      <c r="F360" s="280" t="n"/>
      <c r="G360" s="280" t="n"/>
      <c r="H360" s="280" t="n"/>
      <c r="I360" s="332">
        <f>IFERROR(VLOOKUP(TEXT(H360,"0"),IPRESS!$A$3:$B$212,2,0),"")</f>
        <v/>
      </c>
      <c r="J360" s="280" t="n"/>
      <c r="K360" s="343" t="n"/>
      <c r="L360" s="280" t="n"/>
      <c r="M360" s="280" t="n"/>
      <c r="N360" s="345" t="n"/>
      <c r="O360" s="280" t="n"/>
      <c r="P360" s="332">
        <f>IFERROR(VLOOKUP(TEXT(O360,"0"),CONDUCTORES!$A$3:$G$54,2,0),"")</f>
        <v/>
      </c>
      <c r="Q360" s="332">
        <f>IFERROR(VLOOKUP(TEXT(O360,"0"),CONDUCTORES!$A$3:$H$54,6,0),"")</f>
        <v/>
      </c>
      <c r="R360" s="280" t="n"/>
      <c r="S360" s="280" t="n"/>
      <c r="T360" s="280" t="n"/>
      <c r="U360" s="280" t="n"/>
      <c r="V360" s="280" t="n"/>
      <c r="W360" s="280" t="n"/>
      <c r="X360" s="280" t="n"/>
      <c r="Y360" s="280" t="n"/>
      <c r="Z360" s="350" t="n"/>
      <c r="AA360" s="198" t="n"/>
      <c r="AB360" s="198" t="n"/>
      <c r="AC360" s="198" t="n"/>
    </row>
    <row r="361" ht="15" customHeight="1" s="195">
      <c r="A361" s="280" t="n"/>
      <c r="B361" s="280" t="n"/>
      <c r="C361" s="280" t="n"/>
      <c r="D361" s="280" t="n"/>
      <c r="E361" s="280" t="n"/>
      <c r="F361" s="280" t="n"/>
      <c r="G361" s="280" t="n"/>
      <c r="H361" s="280" t="n"/>
      <c r="I361" s="332">
        <f>IFERROR(VLOOKUP(TEXT(H361,"0"),IPRESS!$A$3:$B$212,2,0),"")</f>
        <v/>
      </c>
      <c r="J361" s="280" t="n"/>
      <c r="K361" s="343" t="n"/>
      <c r="L361" s="280" t="n"/>
      <c r="M361" s="280" t="n"/>
      <c r="N361" s="345" t="n"/>
      <c r="O361" s="280" t="n"/>
      <c r="P361" s="332">
        <f>IFERROR(VLOOKUP(TEXT(O361,"0"),CONDUCTORES!$A$3:$G$54,2,0),"")</f>
        <v/>
      </c>
      <c r="Q361" s="332">
        <f>IFERROR(VLOOKUP(TEXT(O361,"0"),CONDUCTORES!$A$3:$H$54,6,0),"")</f>
        <v/>
      </c>
      <c r="R361" s="280" t="n"/>
      <c r="S361" s="280" t="n"/>
      <c r="T361" s="280" t="n"/>
      <c r="U361" s="280" t="n"/>
      <c r="V361" s="280" t="n"/>
      <c r="W361" s="280" t="n"/>
      <c r="X361" s="280" t="n"/>
      <c r="Y361" s="280" t="n"/>
      <c r="Z361" s="350" t="n"/>
      <c r="AA361" s="198" t="n"/>
      <c r="AB361" s="198" t="n"/>
      <c r="AC361" s="198" t="n"/>
    </row>
    <row r="362" ht="15" customHeight="1" s="195">
      <c r="A362" s="280" t="n"/>
      <c r="B362" s="280" t="n"/>
      <c r="C362" s="280" t="n"/>
      <c r="D362" s="280" t="n"/>
      <c r="E362" s="280" t="n"/>
      <c r="F362" s="280" t="n"/>
      <c r="G362" s="280" t="n"/>
      <c r="H362" s="280" t="n"/>
      <c r="I362" s="332">
        <f>IFERROR(VLOOKUP(TEXT(H362,"0"),IPRESS!$A$3:$B$212,2,0),"")</f>
        <v/>
      </c>
      <c r="J362" s="280" t="n"/>
      <c r="K362" s="343" t="n"/>
      <c r="L362" s="280" t="n"/>
      <c r="M362" s="280" t="n"/>
      <c r="N362" s="345" t="n"/>
      <c r="O362" s="280" t="n"/>
      <c r="P362" s="332">
        <f>IFERROR(VLOOKUP(TEXT(O362,"0"),CONDUCTORES!$A$3:$G$54,2,0),"")</f>
        <v/>
      </c>
      <c r="Q362" s="332">
        <f>IFERROR(VLOOKUP(TEXT(O362,"0"),CONDUCTORES!$A$3:$H$54,6,0),"")</f>
        <v/>
      </c>
      <c r="R362" s="280" t="n"/>
      <c r="S362" s="280" t="n"/>
      <c r="T362" s="280" t="n"/>
      <c r="U362" s="280" t="n"/>
      <c r="V362" s="280" t="n"/>
      <c r="W362" s="280" t="n"/>
      <c r="X362" s="280" t="n"/>
      <c r="Y362" s="280" t="n"/>
      <c r="Z362" s="350" t="n"/>
      <c r="AA362" s="198" t="n"/>
      <c r="AB362" s="198" t="n"/>
      <c r="AC362" s="198" t="n"/>
    </row>
    <row r="363" ht="15" customHeight="1" s="195">
      <c r="A363" s="280" t="n"/>
      <c r="B363" s="280" t="n"/>
      <c r="C363" s="280" t="n"/>
      <c r="D363" s="280" t="n"/>
      <c r="E363" s="280" t="n"/>
      <c r="F363" s="280" t="n"/>
      <c r="G363" s="280" t="n"/>
      <c r="H363" s="280" t="n"/>
      <c r="I363" s="332">
        <f>IFERROR(VLOOKUP(TEXT(H363,"0"),IPRESS!$A$3:$B$212,2,0),"")</f>
        <v/>
      </c>
      <c r="J363" s="280" t="n"/>
      <c r="K363" s="343" t="n"/>
      <c r="L363" s="280" t="n"/>
      <c r="M363" s="280" t="n"/>
      <c r="N363" s="345" t="n"/>
      <c r="O363" s="280" t="n"/>
      <c r="P363" s="332">
        <f>IFERROR(VLOOKUP(TEXT(O363,"0"),CONDUCTORES!$A$3:$G$54,2,0),"")</f>
        <v/>
      </c>
      <c r="Q363" s="332">
        <f>IFERROR(VLOOKUP(TEXT(O363,"0"),CONDUCTORES!$A$3:$H$54,6,0),"")</f>
        <v/>
      </c>
      <c r="R363" s="280" t="n"/>
      <c r="S363" s="280" t="n"/>
      <c r="T363" s="280" t="n"/>
      <c r="U363" s="280" t="n"/>
      <c r="V363" s="280" t="n"/>
      <c r="W363" s="280" t="n"/>
      <c r="X363" s="280" t="n"/>
      <c r="Y363" s="280" t="n"/>
      <c r="Z363" s="350" t="n"/>
      <c r="AA363" s="198" t="n"/>
      <c r="AB363" s="198" t="n"/>
      <c r="AC363" s="198" t="n"/>
    </row>
    <row r="364" ht="15" customHeight="1" s="195">
      <c r="A364" s="280" t="n"/>
      <c r="B364" s="280" t="n"/>
      <c r="C364" s="280" t="n"/>
      <c r="D364" s="280" t="n"/>
      <c r="E364" s="280" t="n"/>
      <c r="F364" s="280" t="n"/>
      <c r="G364" s="280" t="n"/>
      <c r="H364" s="280" t="n"/>
      <c r="I364" s="332">
        <f>IFERROR(VLOOKUP(TEXT(H364,"0"),IPRESS!$A$3:$B$212,2,0),"")</f>
        <v/>
      </c>
      <c r="J364" s="280" t="n"/>
      <c r="K364" s="343" t="n"/>
      <c r="L364" s="280" t="n"/>
      <c r="M364" s="280" t="n"/>
      <c r="N364" s="345" t="n"/>
      <c r="O364" s="280" t="n"/>
      <c r="P364" s="332">
        <f>IFERROR(VLOOKUP(TEXT(O364,"0"),CONDUCTORES!$A$3:$G$54,2,0),"")</f>
        <v/>
      </c>
      <c r="Q364" s="332">
        <f>IFERROR(VLOOKUP(TEXT(O364,"0"),CONDUCTORES!$A$3:$H$54,6,0),"")</f>
        <v/>
      </c>
      <c r="R364" s="280" t="n"/>
      <c r="S364" s="280" t="n"/>
      <c r="T364" s="280" t="n"/>
      <c r="U364" s="280" t="n"/>
      <c r="V364" s="280" t="n"/>
      <c r="W364" s="280" t="n"/>
      <c r="X364" s="280" t="n"/>
      <c r="Y364" s="280" t="n"/>
      <c r="Z364" s="350" t="n"/>
      <c r="AA364" s="198" t="n"/>
      <c r="AB364" s="198" t="n"/>
      <c r="AC364" s="198" t="n"/>
    </row>
    <row r="365" ht="15" customHeight="1" s="195">
      <c r="A365" s="280" t="n"/>
      <c r="B365" s="280" t="n"/>
      <c r="C365" s="280" t="n"/>
      <c r="D365" s="280" t="n"/>
      <c r="E365" s="280" t="n"/>
      <c r="F365" s="280" t="n"/>
      <c r="G365" s="280" t="n"/>
      <c r="H365" s="280" t="n"/>
      <c r="I365" s="332">
        <f>IFERROR(VLOOKUP(TEXT(H365,"0"),IPRESS!$A$3:$B$212,2,0),"")</f>
        <v/>
      </c>
      <c r="J365" s="280" t="n"/>
      <c r="K365" s="343" t="n"/>
      <c r="L365" s="280" t="n"/>
      <c r="M365" s="280" t="n"/>
      <c r="N365" s="345" t="n"/>
      <c r="O365" s="280" t="n"/>
      <c r="P365" s="332">
        <f>IFERROR(VLOOKUP(TEXT(O365,"0"),CONDUCTORES!$A$3:$G$54,2,0),"")</f>
        <v/>
      </c>
      <c r="Q365" s="332">
        <f>IFERROR(VLOOKUP(TEXT(O365,"0"),CONDUCTORES!$A$3:$H$54,6,0),"")</f>
        <v/>
      </c>
      <c r="R365" s="280" t="n"/>
      <c r="S365" s="280" t="n"/>
      <c r="T365" s="280" t="n"/>
      <c r="U365" s="280" t="n"/>
      <c r="V365" s="280" t="n"/>
      <c r="W365" s="280" t="n"/>
      <c r="X365" s="280" t="n"/>
      <c r="Y365" s="280" t="n"/>
      <c r="Z365" s="350" t="n"/>
      <c r="AA365" s="198" t="n"/>
      <c r="AB365" s="198" t="n"/>
      <c r="AC365" s="198" t="n"/>
    </row>
    <row r="366" ht="15" customHeight="1" s="195">
      <c r="A366" s="280" t="n"/>
      <c r="B366" s="280" t="n"/>
      <c r="C366" s="280" t="n"/>
      <c r="D366" s="280" t="n"/>
      <c r="E366" s="280" t="n"/>
      <c r="F366" s="280" t="n"/>
      <c r="G366" s="280" t="n"/>
      <c r="H366" s="280" t="n"/>
      <c r="I366" s="332">
        <f>IFERROR(VLOOKUP(TEXT(H366,"0"),IPRESS!$A$3:$B$212,2,0),"")</f>
        <v/>
      </c>
      <c r="J366" s="280" t="n"/>
      <c r="K366" s="343" t="n"/>
      <c r="L366" s="280" t="n"/>
      <c r="M366" s="280" t="n"/>
      <c r="N366" s="345" t="n"/>
      <c r="O366" s="280" t="n"/>
      <c r="P366" s="332">
        <f>IFERROR(VLOOKUP(TEXT(O366,"0"),CONDUCTORES!$A$3:$G$54,2,0),"")</f>
        <v/>
      </c>
      <c r="Q366" s="332">
        <f>IFERROR(VLOOKUP(TEXT(O366,"0"),CONDUCTORES!$A$3:$H$54,6,0),"")</f>
        <v/>
      </c>
      <c r="R366" s="280" t="n"/>
      <c r="S366" s="280" t="n"/>
      <c r="T366" s="280" t="n"/>
      <c r="U366" s="280" t="n"/>
      <c r="V366" s="280" t="n"/>
      <c r="W366" s="280" t="n"/>
      <c r="X366" s="280" t="n"/>
      <c r="Y366" s="280" t="n"/>
      <c r="Z366" s="350" t="n"/>
      <c r="AA366" s="198" t="n"/>
      <c r="AB366" s="198" t="n"/>
      <c r="AC366" s="198" t="n"/>
    </row>
    <row r="367" ht="15" customHeight="1" s="195">
      <c r="A367" s="280" t="n"/>
      <c r="B367" s="280" t="n"/>
      <c r="C367" s="280" t="n"/>
      <c r="D367" s="280" t="n"/>
      <c r="E367" s="280" t="n"/>
      <c r="F367" s="280" t="n"/>
      <c r="G367" s="280" t="n"/>
      <c r="H367" s="280" t="n"/>
      <c r="I367" s="332">
        <f>IFERROR(VLOOKUP(TEXT(H367,"0"),IPRESS!$A$3:$B$212,2,0),"")</f>
        <v/>
      </c>
      <c r="J367" s="280" t="n"/>
      <c r="K367" s="343" t="n"/>
      <c r="L367" s="280" t="n"/>
      <c r="M367" s="280" t="n"/>
      <c r="N367" s="345" t="n"/>
      <c r="O367" s="280" t="n"/>
      <c r="P367" s="332">
        <f>IFERROR(VLOOKUP(TEXT(O367,"0"),CONDUCTORES!$A$3:$G$54,2,0),"")</f>
        <v/>
      </c>
      <c r="Q367" s="332">
        <f>IFERROR(VLOOKUP(TEXT(O367,"0"),CONDUCTORES!$A$3:$H$54,6,0),"")</f>
        <v/>
      </c>
      <c r="R367" s="280" t="n"/>
      <c r="S367" s="280" t="n"/>
      <c r="T367" s="280" t="n"/>
      <c r="U367" s="280" t="n"/>
      <c r="V367" s="280" t="n"/>
      <c r="W367" s="280" t="n"/>
      <c r="X367" s="280" t="n"/>
      <c r="Y367" s="280" t="n"/>
      <c r="Z367" s="350" t="n"/>
      <c r="AA367" s="198" t="n"/>
      <c r="AB367" s="198" t="n"/>
      <c r="AC367" s="198" t="n"/>
    </row>
    <row r="368" ht="15" customHeight="1" s="195">
      <c r="A368" s="280" t="n"/>
      <c r="B368" s="280" t="n"/>
      <c r="C368" s="280" t="n"/>
      <c r="D368" s="280" t="n"/>
      <c r="E368" s="280" t="n"/>
      <c r="F368" s="280" t="n"/>
      <c r="G368" s="280" t="n"/>
      <c r="H368" s="280" t="n"/>
      <c r="I368" s="332">
        <f>IFERROR(VLOOKUP(TEXT(H368,"0"),IPRESS!$A$3:$B$212,2,0),"")</f>
        <v/>
      </c>
      <c r="J368" s="280" t="n"/>
      <c r="K368" s="343" t="n"/>
      <c r="L368" s="280" t="n"/>
      <c r="M368" s="280" t="n"/>
      <c r="N368" s="345" t="n"/>
      <c r="O368" s="280" t="n"/>
      <c r="P368" s="332">
        <f>IFERROR(VLOOKUP(TEXT(O368,"0"),CONDUCTORES!$A$3:$G$54,2,0),"")</f>
        <v/>
      </c>
      <c r="Q368" s="332">
        <f>IFERROR(VLOOKUP(TEXT(O368,"0"),CONDUCTORES!$A$3:$H$54,6,0),"")</f>
        <v/>
      </c>
      <c r="R368" s="280" t="n"/>
      <c r="S368" s="280" t="n"/>
      <c r="T368" s="280" t="n"/>
      <c r="U368" s="280" t="n"/>
      <c r="V368" s="280" t="n"/>
      <c r="W368" s="280" t="n"/>
      <c r="X368" s="280" t="n"/>
      <c r="Y368" s="280" t="n"/>
      <c r="Z368" s="350" t="n"/>
      <c r="AA368" s="198" t="n"/>
      <c r="AB368" s="198" t="n"/>
      <c r="AC368" s="198" t="n"/>
    </row>
    <row r="369" ht="15" customHeight="1" s="195">
      <c r="A369" s="280" t="n"/>
      <c r="B369" s="280" t="n"/>
      <c r="C369" s="280" t="n"/>
      <c r="D369" s="280" t="n"/>
      <c r="E369" s="280" t="n"/>
      <c r="F369" s="280" t="n"/>
      <c r="G369" s="280" t="n"/>
      <c r="H369" s="280" t="n"/>
      <c r="I369" s="332">
        <f>IFERROR(VLOOKUP(TEXT(H369,"0"),IPRESS!$A$3:$B$212,2,0),"")</f>
        <v/>
      </c>
      <c r="J369" s="280" t="n"/>
      <c r="K369" s="343" t="n"/>
      <c r="L369" s="280" t="n"/>
      <c r="M369" s="280" t="n"/>
      <c r="N369" s="345" t="n"/>
      <c r="O369" s="280" t="n"/>
      <c r="P369" s="332">
        <f>IFERROR(VLOOKUP(TEXT(O369,"0"),CONDUCTORES!$A$3:$G$54,2,0),"")</f>
        <v/>
      </c>
      <c r="Q369" s="332">
        <f>IFERROR(VLOOKUP(TEXT(O369,"0"),CONDUCTORES!$A$3:$H$54,6,0),"")</f>
        <v/>
      </c>
      <c r="R369" s="280" t="n"/>
      <c r="S369" s="280" t="n"/>
      <c r="T369" s="280" t="n"/>
      <c r="U369" s="280" t="n"/>
      <c r="V369" s="280" t="n"/>
      <c r="W369" s="280" t="n"/>
      <c r="X369" s="280" t="n"/>
      <c r="Y369" s="280" t="n"/>
      <c r="Z369" s="350" t="n"/>
      <c r="AA369" s="198" t="n"/>
      <c r="AB369" s="198" t="n"/>
      <c r="AC369" s="198" t="n"/>
    </row>
    <row r="370" ht="15" customHeight="1" s="195">
      <c r="A370" s="280" t="n"/>
      <c r="B370" s="280" t="n"/>
      <c r="C370" s="280" t="n"/>
      <c r="D370" s="280" t="n"/>
      <c r="E370" s="280" t="n"/>
      <c r="F370" s="280" t="n"/>
      <c r="G370" s="280" t="n"/>
      <c r="H370" s="280" t="n"/>
      <c r="I370" s="332">
        <f>IFERROR(VLOOKUP(TEXT(H370,"0"),IPRESS!$A$3:$B$212,2,0),"")</f>
        <v/>
      </c>
      <c r="J370" s="280" t="n"/>
      <c r="K370" s="343" t="n"/>
      <c r="L370" s="280" t="n"/>
      <c r="M370" s="280" t="n"/>
      <c r="N370" s="345" t="n"/>
      <c r="O370" s="280" t="n"/>
      <c r="P370" s="332">
        <f>IFERROR(VLOOKUP(TEXT(O370,"0"),CONDUCTORES!$A$3:$G$54,2,0),"")</f>
        <v/>
      </c>
      <c r="Q370" s="332">
        <f>IFERROR(VLOOKUP(TEXT(O370,"0"),CONDUCTORES!$A$3:$H$54,6,0),"")</f>
        <v/>
      </c>
      <c r="R370" s="280" t="n"/>
      <c r="S370" s="280" t="n"/>
      <c r="T370" s="280" t="n"/>
      <c r="U370" s="280" t="n"/>
      <c r="V370" s="280" t="n"/>
      <c r="W370" s="280" t="n"/>
      <c r="X370" s="280" t="n"/>
      <c r="Y370" s="280" t="n"/>
      <c r="Z370" s="350" t="n"/>
      <c r="AA370" s="198" t="n"/>
      <c r="AB370" s="198" t="n"/>
      <c r="AC370" s="198" t="n"/>
    </row>
    <row r="371" ht="15" customHeight="1" s="195">
      <c r="A371" s="280" t="n"/>
      <c r="B371" s="280" t="n"/>
      <c r="C371" s="280" t="n"/>
      <c r="D371" s="280" t="n"/>
      <c r="E371" s="280" t="n"/>
      <c r="F371" s="280" t="n"/>
      <c r="G371" s="280" t="n"/>
      <c r="H371" s="280" t="n"/>
      <c r="I371" s="332">
        <f>IFERROR(VLOOKUP(TEXT(H371,"0"),IPRESS!$A$3:$B$212,2,0),"")</f>
        <v/>
      </c>
      <c r="J371" s="280" t="n"/>
      <c r="K371" s="343" t="n"/>
      <c r="L371" s="280" t="n"/>
      <c r="M371" s="280" t="n"/>
      <c r="N371" s="345" t="n"/>
      <c r="O371" s="280" t="n"/>
      <c r="P371" s="332">
        <f>IFERROR(VLOOKUP(TEXT(O371,"0"),CONDUCTORES!$A$3:$G$54,2,0),"")</f>
        <v/>
      </c>
      <c r="Q371" s="332">
        <f>IFERROR(VLOOKUP(TEXT(O371,"0"),CONDUCTORES!$A$3:$H$54,6,0),"")</f>
        <v/>
      </c>
      <c r="R371" s="280" t="n"/>
      <c r="S371" s="280" t="n"/>
      <c r="T371" s="280" t="n"/>
      <c r="U371" s="280" t="n"/>
      <c r="V371" s="280" t="n"/>
      <c r="W371" s="280" t="n"/>
      <c r="X371" s="280" t="n"/>
      <c r="Y371" s="280" t="n"/>
      <c r="Z371" s="350" t="n"/>
      <c r="AA371" s="198" t="n"/>
      <c r="AB371" s="198" t="n"/>
      <c r="AC371" s="198" t="n"/>
    </row>
    <row r="372" ht="15" customHeight="1" s="195">
      <c r="A372" s="280" t="n"/>
      <c r="B372" s="280" t="n"/>
      <c r="C372" s="280" t="n"/>
      <c r="D372" s="280" t="n"/>
      <c r="E372" s="280" t="n"/>
      <c r="F372" s="280" t="n"/>
      <c r="G372" s="280" t="n"/>
      <c r="H372" s="280" t="n"/>
      <c r="I372" s="332">
        <f>IFERROR(VLOOKUP(TEXT(H372,"0"),IPRESS!$A$3:$B$212,2,0),"")</f>
        <v/>
      </c>
      <c r="J372" s="280" t="n"/>
      <c r="K372" s="343" t="n"/>
      <c r="L372" s="280" t="n"/>
      <c r="M372" s="280" t="n"/>
      <c r="N372" s="345" t="n"/>
      <c r="O372" s="280" t="n"/>
      <c r="P372" s="332">
        <f>IFERROR(VLOOKUP(TEXT(O372,"0"),CONDUCTORES!$A$3:$G$54,2,0),"")</f>
        <v/>
      </c>
      <c r="Q372" s="332">
        <f>IFERROR(VLOOKUP(TEXT(O372,"0"),CONDUCTORES!$A$3:$H$54,6,0),"")</f>
        <v/>
      </c>
      <c r="R372" s="280" t="n"/>
      <c r="S372" s="280" t="n"/>
      <c r="T372" s="280" t="n"/>
      <c r="U372" s="280" t="n"/>
      <c r="V372" s="280" t="n"/>
      <c r="W372" s="280" t="n"/>
      <c r="X372" s="280" t="n"/>
      <c r="Y372" s="280" t="n"/>
      <c r="Z372" s="350" t="n"/>
      <c r="AA372" s="198" t="n"/>
      <c r="AB372" s="198" t="n"/>
      <c r="AC372" s="198" t="n"/>
    </row>
    <row r="373" ht="15" customHeight="1" s="195">
      <c r="A373" s="280" t="n"/>
      <c r="B373" s="280" t="n"/>
      <c r="C373" s="280" t="n"/>
      <c r="D373" s="280" t="n"/>
      <c r="E373" s="280" t="n"/>
      <c r="F373" s="280" t="n"/>
      <c r="G373" s="280" t="n"/>
      <c r="H373" s="280" t="n"/>
      <c r="I373" s="332">
        <f>IFERROR(VLOOKUP(TEXT(H373,"0"),IPRESS!$A$3:$B$212,2,0),"")</f>
        <v/>
      </c>
      <c r="J373" s="280" t="n"/>
      <c r="K373" s="343" t="n"/>
      <c r="L373" s="280" t="n"/>
      <c r="M373" s="280" t="n"/>
      <c r="N373" s="345" t="n"/>
      <c r="O373" s="280" t="n"/>
      <c r="P373" s="332">
        <f>IFERROR(VLOOKUP(TEXT(O373,"0"),CONDUCTORES!$A$3:$G$54,2,0),"")</f>
        <v/>
      </c>
      <c r="Q373" s="332">
        <f>IFERROR(VLOOKUP(TEXT(O373,"0"),CONDUCTORES!$A$3:$H$54,6,0),"")</f>
        <v/>
      </c>
      <c r="R373" s="280" t="n"/>
      <c r="S373" s="280" t="n"/>
      <c r="T373" s="280" t="n"/>
      <c r="U373" s="280" t="n"/>
      <c r="V373" s="280" t="n"/>
      <c r="W373" s="280" t="n"/>
      <c r="X373" s="280" t="n"/>
      <c r="Y373" s="280" t="n"/>
      <c r="Z373" s="350" t="n"/>
      <c r="AA373" s="198" t="n"/>
      <c r="AB373" s="198" t="n"/>
      <c r="AC373" s="198" t="n"/>
    </row>
    <row r="374" ht="15" customHeight="1" s="195">
      <c r="A374" s="280" t="n"/>
      <c r="B374" s="280" t="n"/>
      <c r="C374" s="280" t="n"/>
      <c r="D374" s="280" t="n"/>
      <c r="E374" s="280" t="n"/>
      <c r="F374" s="280" t="n"/>
      <c r="G374" s="280" t="n"/>
      <c r="H374" s="280" t="n"/>
      <c r="I374" s="332">
        <f>IFERROR(VLOOKUP(TEXT(H374,"0"),IPRESS!$A$3:$B$212,2,0),"")</f>
        <v/>
      </c>
      <c r="J374" s="280" t="n"/>
      <c r="K374" s="343" t="n"/>
      <c r="L374" s="280" t="n"/>
      <c r="M374" s="280" t="n"/>
      <c r="N374" s="345" t="n"/>
      <c r="O374" s="280" t="n"/>
      <c r="P374" s="332">
        <f>IFERROR(VLOOKUP(TEXT(O374,"0"),CONDUCTORES!$A$3:$G$54,2,0),"")</f>
        <v/>
      </c>
      <c r="Q374" s="332">
        <f>IFERROR(VLOOKUP(TEXT(O374,"0"),CONDUCTORES!$A$3:$H$54,6,0),"")</f>
        <v/>
      </c>
      <c r="R374" s="280" t="n"/>
      <c r="S374" s="280" t="n"/>
      <c r="T374" s="280" t="n"/>
      <c r="U374" s="280" t="n"/>
      <c r="V374" s="280" t="n"/>
      <c r="W374" s="280" t="n"/>
      <c r="X374" s="280" t="n"/>
      <c r="Y374" s="280" t="n"/>
      <c r="Z374" s="350" t="n"/>
      <c r="AA374" s="198" t="n"/>
      <c r="AB374" s="198" t="n"/>
      <c r="AC374" s="198" t="n"/>
    </row>
    <row r="375" ht="15" customHeight="1" s="195">
      <c r="A375" s="280" t="n"/>
      <c r="B375" s="280" t="n"/>
      <c r="C375" s="280" t="n"/>
      <c r="D375" s="280" t="n"/>
      <c r="E375" s="280" t="n"/>
      <c r="F375" s="280" t="n"/>
      <c r="G375" s="280" t="n"/>
      <c r="H375" s="280" t="n"/>
      <c r="I375" s="332">
        <f>IFERROR(VLOOKUP(TEXT(H375,"0"),IPRESS!$A$3:$B$212,2,0),"")</f>
        <v/>
      </c>
      <c r="J375" s="280" t="n"/>
      <c r="K375" s="343" t="n"/>
      <c r="L375" s="280" t="n"/>
      <c r="M375" s="280" t="n"/>
      <c r="N375" s="345" t="n"/>
      <c r="O375" s="280" t="n"/>
      <c r="P375" s="332">
        <f>IFERROR(VLOOKUP(TEXT(O375,"0"),CONDUCTORES!$A$3:$G$54,2,0),"")</f>
        <v/>
      </c>
      <c r="Q375" s="332">
        <f>IFERROR(VLOOKUP(TEXT(O375,"0"),CONDUCTORES!$A$3:$H$54,6,0),"")</f>
        <v/>
      </c>
      <c r="R375" s="280" t="n"/>
      <c r="S375" s="280" t="n"/>
      <c r="T375" s="280" t="n"/>
      <c r="U375" s="280" t="n"/>
      <c r="V375" s="280" t="n"/>
      <c r="W375" s="280" t="n"/>
      <c r="X375" s="280" t="n"/>
      <c r="Y375" s="280" t="n"/>
      <c r="Z375" s="350" t="n"/>
      <c r="AA375" s="198" t="n"/>
      <c r="AB375" s="198" t="n"/>
      <c r="AC375" s="198" t="n"/>
    </row>
    <row r="376" ht="15" customHeight="1" s="195">
      <c r="A376" s="280" t="n"/>
      <c r="B376" s="280" t="n"/>
      <c r="C376" s="280" t="n"/>
      <c r="D376" s="280" t="n"/>
      <c r="E376" s="280" t="n"/>
      <c r="F376" s="280" t="n"/>
      <c r="G376" s="280" t="n"/>
      <c r="H376" s="280" t="n"/>
      <c r="I376" s="332">
        <f>IFERROR(VLOOKUP(TEXT(H376,"0"),IPRESS!$A$3:$B$212,2,0),"")</f>
        <v/>
      </c>
      <c r="J376" s="280" t="n"/>
      <c r="K376" s="343" t="n"/>
      <c r="L376" s="280" t="n"/>
      <c r="M376" s="280" t="n"/>
      <c r="N376" s="345" t="n"/>
      <c r="O376" s="280" t="n"/>
      <c r="P376" s="332">
        <f>IFERROR(VLOOKUP(TEXT(O376,"0"),CONDUCTORES!$A$3:$G$54,2,0),"")</f>
        <v/>
      </c>
      <c r="Q376" s="332">
        <f>IFERROR(VLOOKUP(TEXT(O376,"0"),CONDUCTORES!$A$3:$H$54,6,0),"")</f>
        <v/>
      </c>
      <c r="R376" s="280" t="n"/>
      <c r="S376" s="280" t="n"/>
      <c r="T376" s="280" t="n"/>
      <c r="U376" s="280" t="n"/>
      <c r="V376" s="280" t="n"/>
      <c r="W376" s="280" t="n"/>
      <c r="X376" s="280" t="n"/>
      <c r="Y376" s="280" t="n"/>
      <c r="Z376" s="350" t="n"/>
      <c r="AA376" s="198" t="n"/>
      <c r="AB376" s="198" t="n"/>
      <c r="AC376" s="198" t="n"/>
    </row>
    <row r="377" ht="15" customHeight="1" s="195">
      <c r="A377" s="280" t="n"/>
      <c r="B377" s="280" t="n"/>
      <c r="C377" s="280" t="n"/>
      <c r="D377" s="280" t="n"/>
      <c r="E377" s="280" t="n"/>
      <c r="F377" s="280" t="n"/>
      <c r="G377" s="280" t="n"/>
      <c r="H377" s="280" t="n"/>
      <c r="I377" s="332">
        <f>IFERROR(VLOOKUP(TEXT(H377,"0"),IPRESS!$A$3:$B$212,2,0),"")</f>
        <v/>
      </c>
      <c r="J377" s="280" t="n"/>
      <c r="K377" s="343" t="n"/>
      <c r="L377" s="280" t="n"/>
      <c r="M377" s="280" t="n"/>
      <c r="N377" s="345" t="n"/>
      <c r="O377" s="280" t="n"/>
      <c r="P377" s="332">
        <f>IFERROR(VLOOKUP(TEXT(O377,"0"),CONDUCTORES!$A$3:$G$54,2,0),"")</f>
        <v/>
      </c>
      <c r="Q377" s="332">
        <f>IFERROR(VLOOKUP(TEXT(O377,"0"),CONDUCTORES!$A$3:$H$54,6,0),"")</f>
        <v/>
      </c>
      <c r="R377" s="280" t="n"/>
      <c r="S377" s="280" t="n"/>
      <c r="T377" s="280" t="n"/>
      <c r="U377" s="280" t="n"/>
      <c r="V377" s="280" t="n"/>
      <c r="W377" s="280" t="n"/>
      <c r="X377" s="280" t="n"/>
      <c r="Y377" s="280" t="n"/>
      <c r="Z377" s="350" t="n"/>
      <c r="AA377" s="198" t="n"/>
      <c r="AB377" s="198" t="n"/>
      <c r="AC377" s="198" t="n"/>
    </row>
    <row r="378" ht="15" customHeight="1" s="195">
      <c r="A378" s="280" t="n"/>
      <c r="B378" s="280" t="n"/>
      <c r="C378" s="280" t="n"/>
      <c r="D378" s="280" t="n"/>
      <c r="E378" s="280" t="n"/>
      <c r="F378" s="280" t="n"/>
      <c r="G378" s="280" t="n"/>
      <c r="H378" s="280" t="n"/>
      <c r="I378" s="332">
        <f>IFERROR(VLOOKUP(TEXT(H378,"0"),IPRESS!$A$3:$B$212,2,0),"")</f>
        <v/>
      </c>
      <c r="J378" s="280" t="n"/>
      <c r="K378" s="343" t="n"/>
      <c r="L378" s="280" t="n"/>
      <c r="M378" s="280" t="n"/>
      <c r="N378" s="345" t="n"/>
      <c r="O378" s="280" t="n"/>
      <c r="P378" s="332">
        <f>IFERROR(VLOOKUP(TEXT(O378,"0"),CONDUCTORES!$A$3:$G$54,2,0),"")</f>
        <v/>
      </c>
      <c r="Q378" s="332">
        <f>IFERROR(VLOOKUP(TEXT(O378,"0"),CONDUCTORES!$A$3:$H$54,6,0),"")</f>
        <v/>
      </c>
      <c r="R378" s="280" t="n"/>
      <c r="S378" s="280" t="n"/>
      <c r="T378" s="280" t="n"/>
      <c r="U378" s="280" t="n"/>
      <c r="V378" s="280" t="n"/>
      <c r="W378" s="280" t="n"/>
      <c r="X378" s="280" t="n"/>
      <c r="Y378" s="280" t="n"/>
      <c r="Z378" s="350" t="n"/>
      <c r="AA378" s="198" t="n"/>
      <c r="AB378" s="198" t="n"/>
      <c r="AC378" s="198" t="n"/>
    </row>
    <row r="379" ht="15" customHeight="1" s="195">
      <c r="A379" s="280" t="n"/>
      <c r="B379" s="280" t="n"/>
      <c r="C379" s="280" t="n"/>
      <c r="D379" s="280" t="n"/>
      <c r="E379" s="280" t="n"/>
      <c r="F379" s="280" t="n"/>
      <c r="G379" s="280" t="n"/>
      <c r="H379" s="280" t="n"/>
      <c r="I379" s="332">
        <f>IFERROR(VLOOKUP(TEXT(H379,"0"),IPRESS!$A$3:$B$212,2,0),"")</f>
        <v/>
      </c>
      <c r="J379" s="280" t="n"/>
      <c r="K379" s="343" t="n"/>
      <c r="L379" s="280" t="n"/>
      <c r="M379" s="280" t="n"/>
      <c r="N379" s="345" t="n"/>
      <c r="O379" s="280" t="n"/>
      <c r="P379" s="332">
        <f>IFERROR(VLOOKUP(TEXT(O379,"0"),CONDUCTORES!$A$3:$G$54,2,0),"")</f>
        <v/>
      </c>
      <c r="Q379" s="332">
        <f>IFERROR(VLOOKUP(TEXT(O379,"0"),CONDUCTORES!$A$3:$H$54,6,0),"")</f>
        <v/>
      </c>
      <c r="R379" s="280" t="n"/>
      <c r="S379" s="280" t="n"/>
      <c r="T379" s="280" t="n"/>
      <c r="U379" s="280" t="n"/>
      <c r="V379" s="280" t="n"/>
      <c r="W379" s="280" t="n"/>
      <c r="X379" s="280" t="n"/>
      <c r="Y379" s="280" t="n"/>
      <c r="Z379" s="350" t="n"/>
      <c r="AA379" s="198" t="n"/>
      <c r="AB379" s="198" t="n"/>
      <c r="AC379" s="198" t="n"/>
    </row>
    <row r="380" ht="15" customHeight="1" s="195">
      <c r="A380" s="280" t="n"/>
      <c r="B380" s="280" t="n"/>
      <c r="C380" s="280" t="n"/>
      <c r="D380" s="280" t="n"/>
      <c r="E380" s="280" t="n"/>
      <c r="F380" s="280" t="n"/>
      <c r="G380" s="280" t="n"/>
      <c r="H380" s="280" t="n"/>
      <c r="I380" s="332">
        <f>IFERROR(VLOOKUP(TEXT(H380,"0"),IPRESS!$A$3:$B$212,2,0),"")</f>
        <v/>
      </c>
      <c r="J380" s="280" t="n"/>
      <c r="K380" s="343" t="n"/>
      <c r="L380" s="280" t="n"/>
      <c r="M380" s="280" t="n"/>
      <c r="N380" s="345" t="n"/>
      <c r="O380" s="280" t="n"/>
      <c r="P380" s="332">
        <f>IFERROR(VLOOKUP(TEXT(O380,"0"),CONDUCTORES!$A$3:$G$54,2,0),"")</f>
        <v/>
      </c>
      <c r="Q380" s="332">
        <f>IFERROR(VLOOKUP(TEXT(O380,"0"),CONDUCTORES!$A$3:$H$54,6,0),"")</f>
        <v/>
      </c>
      <c r="R380" s="280" t="n"/>
      <c r="S380" s="280" t="n"/>
      <c r="T380" s="280" t="n"/>
      <c r="U380" s="280" t="n"/>
      <c r="V380" s="280" t="n"/>
      <c r="W380" s="280" t="n"/>
      <c r="X380" s="280" t="n"/>
      <c r="Y380" s="280" t="n"/>
      <c r="Z380" s="350" t="n"/>
      <c r="AA380" s="198" t="n"/>
      <c r="AB380" s="198" t="n"/>
      <c r="AC380" s="198" t="n"/>
    </row>
    <row r="381" ht="15" customHeight="1" s="195">
      <c r="A381" s="280" t="n"/>
      <c r="B381" s="280" t="n"/>
      <c r="C381" s="280" t="n"/>
      <c r="D381" s="280" t="n"/>
      <c r="E381" s="280" t="n"/>
      <c r="F381" s="280" t="n"/>
      <c r="G381" s="280" t="n"/>
      <c r="H381" s="280" t="n"/>
      <c r="I381" s="332">
        <f>IFERROR(VLOOKUP(TEXT(H381,"0"),IPRESS!$A$3:$B$212,2,0),"")</f>
        <v/>
      </c>
      <c r="J381" s="280" t="n"/>
      <c r="K381" s="343" t="n"/>
      <c r="L381" s="280" t="n"/>
      <c r="M381" s="280" t="n"/>
      <c r="N381" s="345" t="n"/>
      <c r="O381" s="280" t="n"/>
      <c r="P381" s="332">
        <f>IFERROR(VLOOKUP(TEXT(O381,"0"),CONDUCTORES!$A$3:$G$54,2,0),"")</f>
        <v/>
      </c>
      <c r="Q381" s="332">
        <f>IFERROR(VLOOKUP(TEXT(O381,"0"),CONDUCTORES!$A$3:$H$54,6,0),"")</f>
        <v/>
      </c>
      <c r="R381" s="280" t="n"/>
      <c r="S381" s="280" t="n"/>
      <c r="T381" s="280" t="n"/>
      <c r="U381" s="280" t="n"/>
      <c r="V381" s="280" t="n"/>
      <c r="W381" s="280" t="n"/>
      <c r="X381" s="280" t="n"/>
      <c r="Y381" s="280" t="n"/>
      <c r="Z381" s="350" t="n"/>
      <c r="AA381" s="198" t="n"/>
      <c r="AB381" s="198" t="n"/>
      <c r="AC381" s="198" t="n"/>
    </row>
    <row r="382" ht="15" customHeight="1" s="195">
      <c r="A382" s="280" t="n"/>
      <c r="B382" s="280" t="n"/>
      <c r="C382" s="280" t="n"/>
      <c r="D382" s="280" t="n"/>
      <c r="E382" s="280" t="n"/>
      <c r="F382" s="280" t="n"/>
      <c r="G382" s="280" t="n"/>
      <c r="H382" s="280" t="n"/>
      <c r="I382" s="332">
        <f>IFERROR(VLOOKUP(TEXT(H382,"0"),IPRESS!$A$3:$B$212,2,0),"")</f>
        <v/>
      </c>
      <c r="J382" s="280" t="n"/>
      <c r="K382" s="343" t="n"/>
      <c r="L382" s="280" t="n"/>
      <c r="M382" s="280" t="n"/>
      <c r="N382" s="345" t="n"/>
      <c r="O382" s="280" t="n"/>
      <c r="P382" s="332">
        <f>IFERROR(VLOOKUP(TEXT(O382,"0"),CONDUCTORES!$A$3:$G$54,2,0),"")</f>
        <v/>
      </c>
      <c r="Q382" s="332">
        <f>IFERROR(VLOOKUP(TEXT(O382,"0"),CONDUCTORES!$A$3:$H$54,6,0),"")</f>
        <v/>
      </c>
      <c r="R382" s="280" t="n"/>
      <c r="S382" s="280" t="n"/>
      <c r="T382" s="280" t="n"/>
      <c r="U382" s="280" t="n"/>
      <c r="V382" s="280" t="n"/>
      <c r="W382" s="280" t="n"/>
      <c r="X382" s="280" t="n"/>
      <c r="Y382" s="280" t="n"/>
      <c r="Z382" s="350" t="n"/>
      <c r="AA382" s="198" t="n"/>
      <c r="AB382" s="198" t="n"/>
      <c r="AC382" s="198" t="n"/>
    </row>
    <row r="383" ht="15" customHeight="1" s="195">
      <c r="A383" s="280" t="n"/>
      <c r="B383" s="280" t="n"/>
      <c r="C383" s="280" t="n"/>
      <c r="D383" s="280" t="n"/>
      <c r="E383" s="280" t="n"/>
      <c r="F383" s="280" t="n"/>
      <c r="G383" s="280" t="n"/>
      <c r="H383" s="280" t="n"/>
      <c r="I383" s="332">
        <f>IFERROR(VLOOKUP(TEXT(H383,"0"),IPRESS!$A$3:$B$212,2,0),"")</f>
        <v/>
      </c>
      <c r="J383" s="280" t="n"/>
      <c r="K383" s="343" t="n"/>
      <c r="L383" s="280" t="n"/>
      <c r="M383" s="280" t="n"/>
      <c r="N383" s="345" t="n"/>
      <c r="O383" s="280" t="n"/>
      <c r="P383" s="332">
        <f>IFERROR(VLOOKUP(TEXT(O383,"0"),CONDUCTORES!$A$3:$G$54,2,0),"")</f>
        <v/>
      </c>
      <c r="Q383" s="332">
        <f>IFERROR(VLOOKUP(TEXT(O383,"0"),CONDUCTORES!$A$3:$H$54,6,0),"")</f>
        <v/>
      </c>
      <c r="R383" s="280" t="n"/>
      <c r="S383" s="280" t="n"/>
      <c r="T383" s="280" t="n"/>
      <c r="U383" s="280" t="n"/>
      <c r="V383" s="280" t="n"/>
      <c r="W383" s="280" t="n"/>
      <c r="X383" s="280" t="n"/>
      <c r="Y383" s="280" t="n"/>
      <c r="Z383" s="350" t="n"/>
      <c r="AA383" s="198" t="n"/>
      <c r="AB383" s="198" t="n"/>
      <c r="AC383" s="198" t="n"/>
    </row>
    <row r="384" ht="15" customHeight="1" s="195">
      <c r="A384" s="280" t="n"/>
      <c r="B384" s="280" t="n"/>
      <c r="C384" s="280" t="n"/>
      <c r="D384" s="280" t="n"/>
      <c r="E384" s="280" t="n"/>
      <c r="F384" s="280" t="n"/>
      <c r="G384" s="280" t="n"/>
      <c r="H384" s="280" t="n"/>
      <c r="I384" s="332">
        <f>IFERROR(VLOOKUP(TEXT(H384,"0"),IPRESS!$A$3:$B$212,2,0),"")</f>
        <v/>
      </c>
      <c r="J384" s="280" t="n"/>
      <c r="K384" s="343" t="n"/>
      <c r="L384" s="280" t="n"/>
      <c r="M384" s="280" t="n"/>
      <c r="N384" s="345" t="n"/>
      <c r="O384" s="280" t="n"/>
      <c r="P384" s="332">
        <f>IFERROR(VLOOKUP(TEXT(O384,"0"),CONDUCTORES!$A$3:$G$54,2,0),"")</f>
        <v/>
      </c>
      <c r="Q384" s="332">
        <f>IFERROR(VLOOKUP(TEXT(O384,"0"),CONDUCTORES!$A$3:$H$54,6,0),"")</f>
        <v/>
      </c>
      <c r="R384" s="280" t="n"/>
      <c r="S384" s="280" t="n"/>
      <c r="T384" s="280" t="n"/>
      <c r="U384" s="280" t="n"/>
      <c r="V384" s="280" t="n"/>
      <c r="W384" s="280" t="n"/>
      <c r="X384" s="280" t="n"/>
      <c r="Y384" s="280" t="n"/>
      <c r="Z384" s="350" t="n"/>
      <c r="AA384" s="198" t="n"/>
      <c r="AB384" s="198" t="n"/>
      <c r="AC384" s="198" t="n"/>
    </row>
    <row r="385" ht="15" customHeight="1" s="195">
      <c r="A385" s="280" t="n"/>
      <c r="B385" s="280" t="n"/>
      <c r="C385" s="280" t="n"/>
      <c r="D385" s="280" t="n"/>
      <c r="E385" s="280" t="n"/>
      <c r="F385" s="280" t="n"/>
      <c r="G385" s="280" t="n"/>
      <c r="H385" s="280" t="n"/>
      <c r="I385" s="332">
        <f>IFERROR(VLOOKUP(TEXT(H385,"0"),IPRESS!$A$3:$B$212,2,0),"")</f>
        <v/>
      </c>
      <c r="J385" s="280" t="n"/>
      <c r="K385" s="343" t="n"/>
      <c r="L385" s="280" t="n"/>
      <c r="M385" s="280" t="n"/>
      <c r="N385" s="345" t="n"/>
      <c r="O385" s="280" t="n"/>
      <c r="P385" s="332">
        <f>IFERROR(VLOOKUP(TEXT(O385,"0"),CONDUCTORES!$A$3:$G$54,2,0),"")</f>
        <v/>
      </c>
      <c r="Q385" s="332">
        <f>IFERROR(VLOOKUP(TEXT(O385,"0"),CONDUCTORES!$A$3:$H$54,6,0),"")</f>
        <v/>
      </c>
      <c r="R385" s="280" t="n"/>
      <c r="S385" s="280" t="n"/>
      <c r="T385" s="280" t="n"/>
      <c r="U385" s="280" t="n"/>
      <c r="V385" s="280" t="n"/>
      <c r="W385" s="280" t="n"/>
      <c r="X385" s="280" t="n"/>
      <c r="Y385" s="280" t="n"/>
      <c r="Z385" s="350" t="n"/>
      <c r="AA385" s="198" t="n"/>
      <c r="AB385" s="198" t="n"/>
      <c r="AC385" s="198" t="n"/>
    </row>
    <row r="386" ht="15" customHeight="1" s="195">
      <c r="A386" s="280" t="n"/>
      <c r="B386" s="280" t="n"/>
      <c r="C386" s="280" t="n"/>
      <c r="D386" s="280" t="n"/>
      <c r="E386" s="280" t="n"/>
      <c r="F386" s="280" t="n"/>
      <c r="G386" s="280" t="n"/>
      <c r="H386" s="280" t="n"/>
      <c r="I386" s="332">
        <f>IFERROR(VLOOKUP(TEXT(H386,"0"),IPRESS!$A$3:$B$212,2,0),"")</f>
        <v/>
      </c>
      <c r="J386" s="280" t="n"/>
      <c r="K386" s="343" t="n"/>
      <c r="L386" s="280" t="n"/>
      <c r="M386" s="280" t="n"/>
      <c r="N386" s="345" t="n"/>
      <c r="O386" s="280" t="n"/>
      <c r="P386" s="332">
        <f>IFERROR(VLOOKUP(TEXT(O386,"0"),CONDUCTORES!$A$3:$G$54,2,0),"")</f>
        <v/>
      </c>
      <c r="Q386" s="332">
        <f>IFERROR(VLOOKUP(TEXT(O386,"0"),CONDUCTORES!$A$3:$H$54,6,0),"")</f>
        <v/>
      </c>
      <c r="R386" s="280" t="n"/>
      <c r="S386" s="280" t="n"/>
      <c r="T386" s="280" t="n"/>
      <c r="U386" s="280" t="n"/>
      <c r="V386" s="280" t="n"/>
      <c r="W386" s="280" t="n"/>
      <c r="X386" s="280" t="n"/>
      <c r="Y386" s="280" t="n"/>
      <c r="Z386" s="350" t="n"/>
      <c r="AA386" s="198" t="n"/>
      <c r="AB386" s="198" t="n"/>
      <c r="AC386" s="198" t="n"/>
    </row>
    <row r="387" ht="15" customHeight="1" s="195">
      <c r="A387" s="280" t="n"/>
      <c r="B387" s="280" t="n"/>
      <c r="C387" s="280" t="n"/>
      <c r="D387" s="280" t="n"/>
      <c r="E387" s="280" t="n"/>
      <c r="F387" s="280" t="n"/>
      <c r="G387" s="280" t="n"/>
      <c r="H387" s="280" t="n"/>
      <c r="I387" s="332">
        <f>IFERROR(VLOOKUP(TEXT(H387,"0"),IPRESS!$A$3:$B$212,2,0),"")</f>
        <v/>
      </c>
      <c r="J387" s="280" t="n"/>
      <c r="K387" s="343" t="n"/>
      <c r="L387" s="280" t="n"/>
      <c r="M387" s="280" t="n"/>
      <c r="N387" s="345" t="n"/>
      <c r="O387" s="280" t="n"/>
      <c r="P387" s="332">
        <f>IFERROR(VLOOKUP(TEXT(O387,"0"),CONDUCTORES!$A$3:$G$54,2,0),"")</f>
        <v/>
      </c>
      <c r="Q387" s="332">
        <f>IFERROR(VLOOKUP(TEXT(O387,"0"),CONDUCTORES!$A$3:$H$54,6,0),"")</f>
        <v/>
      </c>
      <c r="R387" s="280" t="n"/>
      <c r="S387" s="280" t="n"/>
      <c r="T387" s="280" t="n"/>
      <c r="U387" s="280" t="n"/>
      <c r="V387" s="280" t="n"/>
      <c r="W387" s="280" t="n"/>
      <c r="X387" s="280" t="n"/>
      <c r="Y387" s="280" t="n"/>
      <c r="Z387" s="350" t="n"/>
      <c r="AA387" s="198" t="n"/>
      <c r="AB387" s="198" t="n"/>
      <c r="AC387" s="198" t="n"/>
    </row>
    <row r="388" ht="15" customHeight="1" s="195">
      <c r="A388" s="280" t="n"/>
      <c r="B388" s="280" t="n"/>
      <c r="C388" s="280" t="n"/>
      <c r="D388" s="280" t="n"/>
      <c r="E388" s="280" t="n"/>
      <c r="F388" s="280" t="n"/>
      <c r="G388" s="280" t="n"/>
      <c r="H388" s="280" t="n"/>
      <c r="I388" s="332">
        <f>IFERROR(VLOOKUP(TEXT(H388,"0"),IPRESS!$A$3:$B$212,2,0),"")</f>
        <v/>
      </c>
      <c r="J388" s="280" t="n"/>
      <c r="K388" s="343" t="n"/>
      <c r="L388" s="280" t="n"/>
      <c r="M388" s="280" t="n"/>
      <c r="N388" s="345" t="n"/>
      <c r="O388" s="280" t="n"/>
      <c r="P388" s="332">
        <f>IFERROR(VLOOKUP(TEXT(O388,"0"),CONDUCTORES!$A$3:$G$54,2,0),"")</f>
        <v/>
      </c>
      <c r="Q388" s="332">
        <f>IFERROR(VLOOKUP(TEXT(O388,"0"),CONDUCTORES!$A$3:$H$54,6,0),"")</f>
        <v/>
      </c>
      <c r="R388" s="280" t="n"/>
      <c r="S388" s="280" t="n"/>
      <c r="T388" s="280" t="n"/>
      <c r="U388" s="280" t="n"/>
      <c r="V388" s="280" t="n"/>
      <c r="W388" s="280" t="n"/>
      <c r="X388" s="280" t="n"/>
      <c r="Y388" s="280" t="n"/>
      <c r="Z388" s="350" t="n"/>
      <c r="AA388" s="198" t="n"/>
      <c r="AB388" s="198" t="n"/>
      <c r="AC388" s="198" t="n"/>
    </row>
    <row r="389" ht="15" customHeight="1" s="195">
      <c r="A389" s="280" t="n"/>
      <c r="B389" s="280" t="n"/>
      <c r="C389" s="280" t="n"/>
      <c r="D389" s="280" t="n"/>
      <c r="E389" s="280" t="n"/>
      <c r="F389" s="280" t="n"/>
      <c r="G389" s="280" t="n"/>
      <c r="H389" s="280" t="n"/>
      <c r="I389" s="332">
        <f>IFERROR(VLOOKUP(TEXT(H389,"0"),IPRESS!$A$3:$B$212,2,0),"")</f>
        <v/>
      </c>
      <c r="J389" s="280" t="n"/>
      <c r="K389" s="343" t="n"/>
      <c r="L389" s="280" t="n"/>
      <c r="M389" s="280" t="n"/>
      <c r="N389" s="345" t="n"/>
      <c r="O389" s="280" t="n"/>
      <c r="P389" s="332">
        <f>IFERROR(VLOOKUP(TEXT(O389,"0"),CONDUCTORES!$A$3:$G$54,2,0),"")</f>
        <v/>
      </c>
      <c r="Q389" s="332">
        <f>IFERROR(VLOOKUP(TEXT(O389,"0"),CONDUCTORES!$A$3:$H$54,6,0),"")</f>
        <v/>
      </c>
      <c r="R389" s="280" t="n"/>
      <c r="S389" s="280" t="n"/>
      <c r="T389" s="280" t="n"/>
      <c r="U389" s="280" t="n"/>
      <c r="V389" s="280" t="n"/>
      <c r="W389" s="280" t="n"/>
      <c r="X389" s="280" t="n"/>
      <c r="Y389" s="280" t="n"/>
      <c r="Z389" s="350" t="n"/>
      <c r="AA389" s="198" t="n"/>
      <c r="AB389" s="198" t="n"/>
      <c r="AC389" s="198" t="n"/>
    </row>
    <row r="390" ht="15" customHeight="1" s="195">
      <c r="A390" s="280" t="n"/>
      <c r="B390" s="280" t="n"/>
      <c r="C390" s="280" t="n"/>
      <c r="D390" s="280" t="n"/>
      <c r="E390" s="280" t="n"/>
      <c r="F390" s="280" t="n"/>
      <c r="G390" s="280" t="n"/>
      <c r="H390" s="280" t="n"/>
      <c r="I390" s="332">
        <f>IFERROR(VLOOKUP(TEXT(H390,"0"),IPRESS!$A$3:$B$212,2,0),"")</f>
        <v/>
      </c>
      <c r="J390" s="280" t="n"/>
      <c r="K390" s="343" t="n"/>
      <c r="L390" s="280" t="n"/>
      <c r="M390" s="280" t="n"/>
      <c r="N390" s="345" t="n"/>
      <c r="O390" s="280" t="n"/>
      <c r="P390" s="332">
        <f>IFERROR(VLOOKUP(TEXT(O390,"0"),CONDUCTORES!$A$3:$G$54,2,0),"")</f>
        <v/>
      </c>
      <c r="Q390" s="332">
        <f>IFERROR(VLOOKUP(TEXT(O390,"0"),CONDUCTORES!$A$3:$H$54,6,0),"")</f>
        <v/>
      </c>
      <c r="R390" s="280" t="n"/>
      <c r="S390" s="280" t="n"/>
      <c r="T390" s="280" t="n"/>
      <c r="U390" s="280" t="n"/>
      <c r="V390" s="280" t="n"/>
      <c r="W390" s="280" t="n"/>
      <c r="X390" s="280" t="n"/>
      <c r="Y390" s="280" t="n"/>
      <c r="Z390" s="350" t="n"/>
      <c r="AA390" s="198" t="n"/>
      <c r="AB390" s="198" t="n"/>
      <c r="AC390" s="198" t="n"/>
    </row>
    <row r="391" ht="15" customHeight="1" s="195">
      <c r="A391" s="280" t="n"/>
      <c r="B391" s="280" t="n"/>
      <c r="C391" s="280" t="n"/>
      <c r="D391" s="280" t="n"/>
      <c r="E391" s="280" t="n"/>
      <c r="F391" s="280" t="n"/>
      <c r="G391" s="280" t="n"/>
      <c r="H391" s="280" t="n"/>
      <c r="I391" s="332">
        <f>IFERROR(VLOOKUP(TEXT(H391,"0"),IPRESS!$A$3:$B$212,2,0),"")</f>
        <v/>
      </c>
      <c r="J391" s="280" t="n"/>
      <c r="K391" s="343" t="n"/>
      <c r="L391" s="280" t="n"/>
      <c r="M391" s="280" t="n"/>
      <c r="N391" s="345" t="n"/>
      <c r="O391" s="280" t="n"/>
      <c r="P391" s="332">
        <f>IFERROR(VLOOKUP(TEXT(O391,"0"),CONDUCTORES!$A$3:$G$54,2,0),"")</f>
        <v/>
      </c>
      <c r="Q391" s="332">
        <f>IFERROR(VLOOKUP(TEXT(O391,"0"),CONDUCTORES!$A$3:$H$54,6,0),"")</f>
        <v/>
      </c>
      <c r="R391" s="280" t="n"/>
      <c r="S391" s="280" t="n"/>
      <c r="T391" s="280" t="n"/>
      <c r="U391" s="280" t="n"/>
      <c r="V391" s="280" t="n"/>
      <c r="W391" s="280" t="n"/>
      <c r="X391" s="280" t="n"/>
      <c r="Y391" s="280" t="n"/>
      <c r="Z391" s="350" t="n"/>
      <c r="AA391" s="198" t="n"/>
      <c r="AB391" s="198" t="n"/>
      <c r="AC391" s="198" t="n"/>
    </row>
    <row r="392" ht="15" customHeight="1" s="195">
      <c r="A392" s="280" t="n"/>
      <c r="B392" s="280" t="n"/>
      <c r="C392" s="280" t="n"/>
      <c r="D392" s="280" t="n"/>
      <c r="E392" s="280" t="n"/>
      <c r="F392" s="280" t="n"/>
      <c r="G392" s="280" t="n"/>
      <c r="H392" s="280" t="n"/>
      <c r="I392" s="332">
        <f>IFERROR(VLOOKUP(TEXT(H392,"0"),IPRESS!$A$3:$B$212,2,0),"")</f>
        <v/>
      </c>
      <c r="J392" s="280" t="n"/>
      <c r="K392" s="343" t="n"/>
      <c r="L392" s="280" t="n"/>
      <c r="M392" s="280" t="n"/>
      <c r="N392" s="345" t="n"/>
      <c r="O392" s="280" t="n"/>
      <c r="P392" s="332">
        <f>IFERROR(VLOOKUP(TEXT(O392,"0"),CONDUCTORES!$A$3:$G$54,2,0),"")</f>
        <v/>
      </c>
      <c r="Q392" s="332">
        <f>IFERROR(VLOOKUP(TEXT(O392,"0"),CONDUCTORES!$A$3:$H$54,6,0),"")</f>
        <v/>
      </c>
      <c r="R392" s="280" t="n"/>
      <c r="S392" s="280" t="n"/>
      <c r="T392" s="280" t="n"/>
      <c r="U392" s="280" t="n"/>
      <c r="V392" s="280" t="n"/>
      <c r="W392" s="280" t="n"/>
      <c r="X392" s="280" t="n"/>
      <c r="Y392" s="280" t="n"/>
      <c r="Z392" s="350" t="n"/>
      <c r="AA392" s="198" t="n"/>
      <c r="AB392" s="198" t="n"/>
      <c r="AC392" s="198" t="n"/>
    </row>
    <row r="393" ht="15" customHeight="1" s="195">
      <c r="A393" s="280" t="n"/>
      <c r="B393" s="280" t="n"/>
      <c r="C393" s="280" t="n"/>
      <c r="D393" s="280" t="n"/>
      <c r="E393" s="280" t="n"/>
      <c r="F393" s="280" t="n"/>
      <c r="G393" s="280" t="n"/>
      <c r="H393" s="280" t="n"/>
      <c r="I393" s="332">
        <f>IFERROR(VLOOKUP(TEXT(H393,"0"),IPRESS!$A$3:$B$212,2,0),"")</f>
        <v/>
      </c>
      <c r="J393" s="280" t="n"/>
      <c r="K393" s="343" t="n"/>
      <c r="L393" s="280" t="n"/>
      <c r="M393" s="280" t="n"/>
      <c r="N393" s="345" t="n"/>
      <c r="O393" s="280" t="n"/>
      <c r="P393" s="332">
        <f>IFERROR(VLOOKUP(TEXT(O393,"0"),CONDUCTORES!$A$3:$G$54,2,0),"")</f>
        <v/>
      </c>
      <c r="Q393" s="332">
        <f>IFERROR(VLOOKUP(TEXT(O393,"0"),CONDUCTORES!$A$3:$H$54,6,0),"")</f>
        <v/>
      </c>
      <c r="R393" s="280" t="n"/>
      <c r="S393" s="280" t="n"/>
      <c r="T393" s="280" t="n"/>
      <c r="U393" s="280" t="n"/>
      <c r="V393" s="280" t="n"/>
      <c r="W393" s="280" t="n"/>
      <c r="X393" s="280" t="n"/>
      <c r="Y393" s="280" t="n"/>
      <c r="Z393" s="350" t="n"/>
      <c r="AA393" s="198" t="n"/>
      <c r="AB393" s="198" t="n"/>
      <c r="AC393" s="198" t="n"/>
    </row>
    <row r="394" ht="15" customHeight="1" s="195">
      <c r="A394" s="280" t="n"/>
      <c r="B394" s="280" t="n"/>
      <c r="C394" s="280" t="n"/>
      <c r="D394" s="280" t="n"/>
      <c r="E394" s="280" t="n"/>
      <c r="F394" s="280" t="n"/>
      <c r="G394" s="280" t="n"/>
      <c r="H394" s="280" t="n"/>
      <c r="I394" s="332">
        <f>IFERROR(VLOOKUP(TEXT(H394,"0"),IPRESS!$A$3:$B$212,2,0),"")</f>
        <v/>
      </c>
      <c r="J394" s="280" t="n"/>
      <c r="K394" s="343" t="n"/>
      <c r="L394" s="280" t="n"/>
      <c r="M394" s="280" t="n"/>
      <c r="N394" s="345" t="n"/>
      <c r="O394" s="280" t="n"/>
      <c r="P394" s="332">
        <f>IFERROR(VLOOKUP(TEXT(O394,"0"),CONDUCTORES!$A$3:$G$54,2,0),"")</f>
        <v/>
      </c>
      <c r="Q394" s="332">
        <f>IFERROR(VLOOKUP(TEXT(O394,"0"),CONDUCTORES!$A$3:$H$54,6,0),"")</f>
        <v/>
      </c>
      <c r="R394" s="280" t="n"/>
      <c r="S394" s="280" t="n"/>
      <c r="T394" s="280" t="n"/>
      <c r="U394" s="280" t="n"/>
      <c r="V394" s="280" t="n"/>
      <c r="W394" s="280" t="n"/>
      <c r="X394" s="280" t="n"/>
      <c r="Y394" s="280" t="n"/>
      <c r="Z394" s="350" t="n"/>
      <c r="AA394" s="198" t="n"/>
      <c r="AB394" s="198" t="n"/>
      <c r="AC394" s="198" t="n"/>
    </row>
    <row r="395" ht="15" customHeight="1" s="195">
      <c r="A395" s="280" t="n"/>
      <c r="B395" s="280" t="n"/>
      <c r="C395" s="280" t="n"/>
      <c r="D395" s="280" t="n"/>
      <c r="E395" s="280" t="n"/>
      <c r="F395" s="280" t="n"/>
      <c r="G395" s="280" t="n"/>
      <c r="H395" s="280" t="n"/>
      <c r="I395" s="332">
        <f>IFERROR(VLOOKUP(TEXT(H395,"0"),IPRESS!$A$3:$B$212,2,0),"")</f>
        <v/>
      </c>
      <c r="J395" s="280" t="n"/>
      <c r="K395" s="343" t="n"/>
      <c r="L395" s="280" t="n"/>
      <c r="M395" s="280" t="n"/>
      <c r="N395" s="345" t="n"/>
      <c r="O395" s="280" t="n"/>
      <c r="P395" s="332">
        <f>IFERROR(VLOOKUP(TEXT(O395,"0"),CONDUCTORES!$A$3:$G$54,2,0),"")</f>
        <v/>
      </c>
      <c r="Q395" s="332">
        <f>IFERROR(VLOOKUP(TEXT(O395,"0"),CONDUCTORES!$A$3:$H$54,6,0),"")</f>
        <v/>
      </c>
      <c r="R395" s="280" t="n"/>
      <c r="S395" s="280" t="n"/>
      <c r="T395" s="280" t="n"/>
      <c r="U395" s="280" t="n"/>
      <c r="V395" s="280" t="n"/>
      <c r="W395" s="280" t="n"/>
      <c r="X395" s="280" t="n"/>
      <c r="Y395" s="280" t="n"/>
      <c r="Z395" s="350" t="n"/>
      <c r="AA395" s="198" t="n"/>
      <c r="AB395" s="198" t="n"/>
      <c r="AC395" s="198" t="n"/>
    </row>
    <row r="396" ht="15" customHeight="1" s="195">
      <c r="A396" s="280" t="n"/>
      <c r="B396" s="280" t="n"/>
      <c r="C396" s="280" t="n"/>
      <c r="D396" s="280" t="n"/>
      <c r="E396" s="280" t="n"/>
      <c r="F396" s="280" t="n"/>
      <c r="G396" s="280" t="n"/>
      <c r="H396" s="280" t="n"/>
      <c r="I396" s="332">
        <f>IFERROR(VLOOKUP(TEXT(H396,"0"),IPRESS!$A$3:$B$212,2,0),"")</f>
        <v/>
      </c>
      <c r="J396" s="280" t="n"/>
      <c r="K396" s="343" t="n"/>
      <c r="L396" s="280" t="n"/>
      <c r="M396" s="280" t="n"/>
      <c r="N396" s="345" t="n"/>
      <c r="O396" s="280" t="n"/>
      <c r="P396" s="332">
        <f>IFERROR(VLOOKUP(TEXT(O396,"0"),CONDUCTORES!$A$3:$G$54,2,0),"")</f>
        <v/>
      </c>
      <c r="Q396" s="332">
        <f>IFERROR(VLOOKUP(TEXT(O396,"0"),CONDUCTORES!$A$3:$H$54,6,0),"")</f>
        <v/>
      </c>
      <c r="R396" s="280" t="n"/>
      <c r="S396" s="280" t="n"/>
      <c r="T396" s="280" t="n"/>
      <c r="U396" s="280" t="n"/>
      <c r="V396" s="280" t="n"/>
      <c r="W396" s="280" t="n"/>
      <c r="X396" s="280" t="n"/>
      <c r="Y396" s="280" t="n"/>
      <c r="Z396" s="350" t="n"/>
      <c r="AA396" s="198" t="n"/>
      <c r="AB396" s="198" t="n"/>
      <c r="AC396" s="198" t="n"/>
    </row>
    <row r="397" ht="15" customHeight="1" s="195">
      <c r="A397" s="280" t="n"/>
      <c r="B397" s="280" t="n"/>
      <c r="C397" s="280" t="n"/>
      <c r="D397" s="280" t="n"/>
      <c r="E397" s="280" t="n"/>
      <c r="F397" s="280" t="n"/>
      <c r="G397" s="280" t="n"/>
      <c r="H397" s="280" t="n"/>
      <c r="I397" s="332">
        <f>IFERROR(VLOOKUP(TEXT(H397,"0"),IPRESS!$A$3:$B$212,2,0),"")</f>
        <v/>
      </c>
      <c r="J397" s="280" t="n"/>
      <c r="K397" s="343" t="n"/>
      <c r="L397" s="280" t="n"/>
      <c r="M397" s="280" t="n"/>
      <c r="N397" s="345" t="n"/>
      <c r="O397" s="280" t="n"/>
      <c r="P397" s="332">
        <f>IFERROR(VLOOKUP(TEXT(O397,"0"),CONDUCTORES!$A$3:$G$54,2,0),"")</f>
        <v/>
      </c>
      <c r="Q397" s="332">
        <f>IFERROR(VLOOKUP(TEXT(O397,"0"),CONDUCTORES!$A$3:$H$54,6,0),"")</f>
        <v/>
      </c>
      <c r="R397" s="280" t="n"/>
      <c r="S397" s="280" t="n"/>
      <c r="T397" s="280" t="n"/>
      <c r="U397" s="280" t="n"/>
      <c r="V397" s="280" t="n"/>
      <c r="W397" s="280" t="n"/>
      <c r="X397" s="280" t="n"/>
      <c r="Y397" s="280" t="n"/>
      <c r="Z397" s="350" t="n"/>
      <c r="AA397" s="198" t="n"/>
      <c r="AB397" s="198" t="n"/>
      <c r="AC397" s="198" t="n"/>
    </row>
    <row r="398" ht="15" customHeight="1" s="195">
      <c r="A398" s="280" t="n"/>
      <c r="B398" s="280" t="n"/>
      <c r="C398" s="280" t="n"/>
      <c r="D398" s="280" t="n"/>
      <c r="E398" s="280" t="n"/>
      <c r="F398" s="280" t="n"/>
      <c r="G398" s="280" t="n"/>
      <c r="H398" s="280" t="n"/>
      <c r="I398" s="332">
        <f>IFERROR(VLOOKUP(TEXT(H398,"0"),IPRESS!$A$3:$B$212,2,0),"")</f>
        <v/>
      </c>
      <c r="J398" s="280" t="n"/>
      <c r="K398" s="343" t="n"/>
      <c r="L398" s="280" t="n"/>
      <c r="M398" s="280" t="n"/>
      <c r="N398" s="345" t="n"/>
      <c r="O398" s="280" t="n"/>
      <c r="P398" s="332">
        <f>IFERROR(VLOOKUP(TEXT(O398,"0"),CONDUCTORES!$A$3:$G$54,2,0),"")</f>
        <v/>
      </c>
      <c r="Q398" s="332">
        <f>IFERROR(VLOOKUP(TEXT(O398,"0"),CONDUCTORES!$A$3:$H$54,6,0),"")</f>
        <v/>
      </c>
      <c r="R398" s="280" t="n"/>
      <c r="S398" s="280" t="n"/>
      <c r="T398" s="280" t="n"/>
      <c r="U398" s="280" t="n"/>
      <c r="V398" s="280" t="n"/>
      <c r="W398" s="280" t="n"/>
      <c r="X398" s="280" t="n"/>
      <c r="Y398" s="280" t="n"/>
      <c r="Z398" s="350" t="n"/>
      <c r="AA398" s="198" t="n"/>
      <c r="AB398" s="198" t="n"/>
      <c r="AC398" s="198" t="n"/>
    </row>
    <row r="399" ht="15" customHeight="1" s="195">
      <c r="A399" s="280" t="n"/>
      <c r="B399" s="280" t="n"/>
      <c r="C399" s="280" t="n"/>
      <c r="D399" s="280" t="n"/>
      <c r="E399" s="280" t="n"/>
      <c r="F399" s="280" t="n"/>
      <c r="G399" s="280" t="n"/>
      <c r="H399" s="280" t="n"/>
      <c r="I399" s="332">
        <f>IFERROR(VLOOKUP(TEXT(H399,"0"),IPRESS!$A$3:$B$212,2,0),"")</f>
        <v/>
      </c>
      <c r="J399" s="280" t="n"/>
      <c r="K399" s="343" t="n"/>
      <c r="L399" s="280" t="n"/>
      <c r="M399" s="280" t="n"/>
      <c r="N399" s="345" t="n"/>
      <c r="O399" s="280" t="n"/>
      <c r="P399" s="332">
        <f>IFERROR(VLOOKUP(TEXT(O399,"0"),CONDUCTORES!$A$3:$G$54,2,0),"")</f>
        <v/>
      </c>
      <c r="Q399" s="332">
        <f>IFERROR(VLOOKUP(TEXT(O399,"0"),CONDUCTORES!$A$3:$H$54,6,0),"")</f>
        <v/>
      </c>
      <c r="R399" s="280" t="n"/>
      <c r="S399" s="280" t="n"/>
      <c r="T399" s="280" t="n"/>
      <c r="U399" s="280" t="n"/>
      <c r="V399" s="280" t="n"/>
      <c r="W399" s="280" t="n"/>
      <c r="X399" s="280" t="n"/>
      <c r="Y399" s="280" t="n"/>
      <c r="Z399" s="350" t="n"/>
      <c r="AA399" s="198" t="n"/>
      <c r="AB399" s="198" t="n"/>
      <c r="AC399" s="198" t="n"/>
    </row>
    <row r="400" ht="15" customHeight="1" s="195">
      <c r="A400" s="280" t="n"/>
      <c r="B400" s="280" t="n"/>
      <c r="C400" s="280" t="n"/>
      <c r="D400" s="280" t="n"/>
      <c r="E400" s="280" t="n"/>
      <c r="F400" s="280" t="n"/>
      <c r="G400" s="280" t="n"/>
      <c r="H400" s="280" t="n"/>
      <c r="I400" s="332">
        <f>IFERROR(VLOOKUP(TEXT(H400,"0"),IPRESS!$A$3:$B$212,2,0),"")</f>
        <v/>
      </c>
      <c r="J400" s="280" t="n"/>
      <c r="K400" s="343" t="n"/>
      <c r="L400" s="280" t="n"/>
      <c r="M400" s="280" t="n"/>
      <c r="N400" s="345" t="n"/>
      <c r="O400" s="280" t="n"/>
      <c r="P400" s="332">
        <f>IFERROR(VLOOKUP(TEXT(O400,"0"),CONDUCTORES!$A$3:$G$54,2,0),"")</f>
        <v/>
      </c>
      <c r="Q400" s="332">
        <f>IFERROR(VLOOKUP(TEXT(O400,"0"),CONDUCTORES!$A$3:$H$54,6,0),"")</f>
        <v/>
      </c>
      <c r="R400" s="280" t="n"/>
      <c r="S400" s="280" t="n"/>
      <c r="T400" s="280" t="n"/>
      <c r="U400" s="280" t="n"/>
      <c r="V400" s="280" t="n"/>
      <c r="W400" s="280" t="n"/>
      <c r="X400" s="280" t="n"/>
      <c r="Y400" s="280" t="n"/>
      <c r="Z400" s="350" t="n"/>
      <c r="AA400" s="198" t="n"/>
      <c r="AB400" s="198" t="n"/>
      <c r="AC400" s="198" t="n"/>
    </row>
    <row r="401" ht="15" customHeight="1" s="195">
      <c r="A401" s="280" t="n"/>
      <c r="B401" s="280" t="n"/>
      <c r="C401" s="280" t="n"/>
      <c r="D401" s="280" t="n"/>
      <c r="E401" s="280" t="n"/>
      <c r="F401" s="280" t="n"/>
      <c r="G401" s="280" t="n"/>
      <c r="H401" s="280" t="n"/>
      <c r="I401" s="332">
        <f>IFERROR(VLOOKUP(TEXT(H401,"0"),IPRESS!$A$3:$B$212,2,0),"")</f>
        <v/>
      </c>
      <c r="J401" s="280" t="n"/>
      <c r="K401" s="343" t="n"/>
      <c r="L401" s="280" t="n"/>
      <c r="M401" s="280" t="n"/>
      <c r="N401" s="345" t="n"/>
      <c r="O401" s="280" t="n"/>
      <c r="P401" s="332">
        <f>IFERROR(VLOOKUP(TEXT(O401,"0"),CONDUCTORES!$A$3:$G$54,2,0),"")</f>
        <v/>
      </c>
      <c r="Q401" s="332">
        <f>IFERROR(VLOOKUP(TEXT(O401,"0"),CONDUCTORES!$A$3:$H$54,6,0),"")</f>
        <v/>
      </c>
      <c r="R401" s="280" t="n"/>
      <c r="S401" s="280" t="n"/>
      <c r="T401" s="280" t="n"/>
      <c r="U401" s="280" t="n"/>
      <c r="V401" s="280" t="n"/>
      <c r="W401" s="280" t="n"/>
      <c r="X401" s="280" t="n"/>
      <c r="Y401" s="280" t="n"/>
      <c r="Z401" s="350" t="n"/>
      <c r="AA401" s="198" t="n"/>
      <c r="AB401" s="198" t="n"/>
      <c r="AC401" s="198" t="n"/>
    </row>
    <row r="402" ht="15" customHeight="1" s="195">
      <c r="A402" s="280" t="n"/>
      <c r="B402" s="280" t="n"/>
      <c r="C402" s="280" t="n"/>
      <c r="D402" s="280" t="n"/>
      <c r="E402" s="280" t="n"/>
      <c r="F402" s="280" t="n"/>
      <c r="G402" s="280" t="n"/>
      <c r="H402" s="280" t="n"/>
      <c r="I402" s="332">
        <f>IFERROR(VLOOKUP(TEXT(H402,"0"),IPRESS!$A$3:$B$212,2,0),"")</f>
        <v/>
      </c>
      <c r="J402" s="280" t="n"/>
      <c r="K402" s="343" t="n"/>
      <c r="L402" s="280" t="n"/>
      <c r="M402" s="280" t="n"/>
      <c r="N402" s="345" t="n"/>
      <c r="O402" s="280" t="n"/>
      <c r="P402" s="332">
        <f>IFERROR(VLOOKUP(TEXT(O402,"0"),CONDUCTORES!$A$3:$G$54,2,0),"")</f>
        <v/>
      </c>
      <c r="Q402" s="332">
        <f>IFERROR(VLOOKUP(TEXT(O402,"0"),CONDUCTORES!$A$3:$H$54,6,0),"")</f>
        <v/>
      </c>
      <c r="R402" s="280" t="n"/>
      <c r="S402" s="280" t="n"/>
      <c r="T402" s="280" t="n"/>
      <c r="U402" s="280" t="n"/>
      <c r="V402" s="280" t="n"/>
      <c r="W402" s="280" t="n"/>
      <c r="X402" s="280" t="n"/>
      <c r="Y402" s="280" t="n"/>
      <c r="Z402" s="350" t="n"/>
      <c r="AA402" s="198" t="n"/>
      <c r="AB402" s="198" t="n"/>
      <c r="AC402" s="198" t="n"/>
    </row>
    <row r="403" ht="15" customHeight="1" s="195">
      <c r="A403" s="280" t="n"/>
      <c r="B403" s="280" t="n"/>
      <c r="C403" s="280" t="n"/>
      <c r="D403" s="280" t="n"/>
      <c r="E403" s="280" t="n"/>
      <c r="F403" s="280" t="n"/>
      <c r="G403" s="280" t="n"/>
      <c r="H403" s="280" t="n"/>
      <c r="I403" s="332">
        <f>IFERROR(VLOOKUP(TEXT(H403,"0"),IPRESS!$A$3:$B$212,2,0),"")</f>
        <v/>
      </c>
      <c r="J403" s="280" t="n"/>
      <c r="K403" s="343" t="n"/>
      <c r="L403" s="280" t="n"/>
      <c r="M403" s="280" t="n"/>
      <c r="N403" s="345" t="n"/>
      <c r="O403" s="280" t="n"/>
      <c r="P403" s="332">
        <f>IFERROR(VLOOKUP(TEXT(O403,"0"),CONDUCTORES!$A$3:$G$54,2,0),"")</f>
        <v/>
      </c>
      <c r="Q403" s="332">
        <f>IFERROR(VLOOKUP(TEXT(O403,"0"),CONDUCTORES!$A$3:$H$54,6,0),"")</f>
        <v/>
      </c>
      <c r="R403" s="280" t="n"/>
      <c r="S403" s="280" t="n"/>
      <c r="T403" s="280" t="n"/>
      <c r="U403" s="280" t="n"/>
      <c r="V403" s="280" t="n"/>
      <c r="W403" s="280" t="n"/>
      <c r="X403" s="280" t="n"/>
      <c r="Y403" s="280" t="n"/>
      <c r="Z403" s="350" t="n"/>
      <c r="AA403" s="198" t="n"/>
      <c r="AB403" s="198" t="n"/>
      <c r="AC403" s="198" t="n"/>
    </row>
    <row r="404" ht="15" customHeight="1" s="195">
      <c r="A404" s="280" t="n"/>
      <c r="B404" s="280" t="n"/>
      <c r="C404" s="280" t="n"/>
      <c r="D404" s="280" t="n"/>
      <c r="E404" s="280" t="n"/>
      <c r="F404" s="280" t="n"/>
      <c r="G404" s="280" t="n"/>
      <c r="H404" s="280" t="n"/>
      <c r="I404" s="332">
        <f>IFERROR(VLOOKUP(TEXT(H404,"0"),IPRESS!$A$3:$B$212,2,0),"")</f>
        <v/>
      </c>
      <c r="J404" s="280" t="n"/>
      <c r="K404" s="343" t="n"/>
      <c r="L404" s="280" t="n"/>
      <c r="M404" s="280" t="n"/>
      <c r="N404" s="345" t="n"/>
      <c r="O404" s="280" t="n"/>
      <c r="P404" s="332">
        <f>IFERROR(VLOOKUP(TEXT(O404,"0"),CONDUCTORES!$A$3:$G$54,2,0),"")</f>
        <v/>
      </c>
      <c r="Q404" s="332">
        <f>IFERROR(VLOOKUP(TEXT(O404,"0"),CONDUCTORES!$A$3:$H$54,6,0),"")</f>
        <v/>
      </c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350" t="n"/>
      <c r="AA404" s="198" t="n"/>
      <c r="AB404" s="198" t="n"/>
      <c r="AC404" s="198" t="n"/>
    </row>
    <row r="405" ht="15" customHeight="1" s="195">
      <c r="A405" s="280" t="n"/>
      <c r="B405" s="280" t="n"/>
      <c r="C405" s="280" t="n"/>
      <c r="D405" s="280" t="n"/>
      <c r="E405" s="280" t="n"/>
      <c r="F405" s="280" t="n"/>
      <c r="G405" s="280" t="n"/>
      <c r="H405" s="280" t="n"/>
      <c r="I405" s="332">
        <f>IFERROR(VLOOKUP(TEXT(H405,"0"),IPRESS!$A$3:$B$212,2,0),"")</f>
        <v/>
      </c>
      <c r="J405" s="280" t="n"/>
      <c r="K405" s="343" t="n"/>
      <c r="L405" s="280" t="n"/>
      <c r="M405" s="280" t="n"/>
      <c r="N405" s="345" t="n"/>
      <c r="O405" s="280" t="n"/>
      <c r="P405" s="332">
        <f>IFERROR(VLOOKUP(TEXT(O405,"0"),CONDUCTORES!$A$3:$G$54,2,0),"")</f>
        <v/>
      </c>
      <c r="Q405" s="332">
        <f>IFERROR(VLOOKUP(TEXT(O405,"0"),CONDUCTORES!$A$3:$H$54,6,0),"")</f>
        <v/>
      </c>
      <c r="R405" s="280" t="n"/>
      <c r="S405" s="280" t="n"/>
      <c r="T405" s="280" t="n"/>
      <c r="U405" s="280" t="n"/>
      <c r="V405" s="280" t="n"/>
      <c r="W405" s="280" t="n"/>
      <c r="X405" s="280" t="n"/>
      <c r="Y405" s="280" t="n"/>
      <c r="Z405" s="350" t="n"/>
      <c r="AA405" s="198" t="n"/>
      <c r="AB405" s="198" t="n"/>
      <c r="AC405" s="198" t="n"/>
    </row>
    <row r="406" ht="15" customHeight="1" s="195">
      <c r="A406" s="280" t="n"/>
      <c r="B406" s="280" t="n"/>
      <c r="C406" s="280" t="n"/>
      <c r="D406" s="280" t="n"/>
      <c r="E406" s="280" t="n"/>
      <c r="F406" s="280" t="n"/>
      <c r="G406" s="280" t="n"/>
      <c r="H406" s="280" t="n"/>
      <c r="I406" s="332">
        <f>IFERROR(VLOOKUP(TEXT(H406,"0"),IPRESS!$A$3:$B$212,2,0),"")</f>
        <v/>
      </c>
      <c r="J406" s="280" t="n"/>
      <c r="K406" s="343" t="n"/>
      <c r="L406" s="280" t="n"/>
      <c r="M406" s="280" t="n"/>
      <c r="N406" s="345" t="n"/>
      <c r="O406" s="280" t="n"/>
      <c r="P406" s="332">
        <f>IFERROR(VLOOKUP(TEXT(O406,"0"),CONDUCTORES!$A$3:$G$54,2,0),"")</f>
        <v/>
      </c>
      <c r="Q406" s="332">
        <f>IFERROR(VLOOKUP(TEXT(O406,"0"),CONDUCTORES!$A$3:$H$54,6,0),"")</f>
        <v/>
      </c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350" t="n"/>
      <c r="AA406" s="198" t="n"/>
      <c r="AB406" s="198" t="n"/>
      <c r="AC406" s="198" t="n"/>
    </row>
    <row r="407" ht="15" customHeight="1" s="195">
      <c r="A407" s="280" t="n"/>
      <c r="B407" s="280" t="n"/>
      <c r="C407" s="280" t="n"/>
      <c r="D407" s="280" t="n"/>
      <c r="E407" s="280" t="n"/>
      <c r="F407" s="280" t="n"/>
      <c r="G407" s="280" t="n"/>
      <c r="H407" s="280" t="n"/>
      <c r="I407" s="332">
        <f>IFERROR(VLOOKUP(TEXT(H407,"0"),IPRESS!$A$3:$B$212,2,0),"")</f>
        <v/>
      </c>
      <c r="J407" s="280" t="n"/>
      <c r="K407" s="343" t="n"/>
      <c r="L407" s="280" t="n"/>
      <c r="M407" s="280" t="n"/>
      <c r="N407" s="345" t="n"/>
      <c r="O407" s="280" t="n"/>
      <c r="P407" s="332">
        <f>IFERROR(VLOOKUP(TEXT(O407,"0"),CONDUCTORES!$A$3:$G$54,2,0),"")</f>
        <v/>
      </c>
      <c r="Q407" s="332">
        <f>IFERROR(VLOOKUP(TEXT(O407,"0"),CONDUCTORES!$A$3:$H$54,6,0),"")</f>
        <v/>
      </c>
      <c r="R407" s="280" t="n"/>
      <c r="S407" s="280" t="n"/>
      <c r="T407" s="280" t="n"/>
      <c r="U407" s="280" t="n"/>
      <c r="V407" s="280" t="n"/>
      <c r="W407" s="280" t="n"/>
      <c r="X407" s="280" t="n"/>
      <c r="Y407" s="280" t="n"/>
      <c r="Z407" s="350" t="n"/>
      <c r="AA407" s="198" t="n"/>
      <c r="AB407" s="198" t="n"/>
      <c r="AC407" s="198" t="n"/>
    </row>
    <row r="408" ht="15" customHeight="1" s="195">
      <c r="A408" s="280" t="n"/>
      <c r="B408" s="280" t="n"/>
      <c r="C408" s="280" t="n"/>
      <c r="D408" s="280" t="n"/>
      <c r="E408" s="280" t="n"/>
      <c r="F408" s="280" t="n"/>
      <c r="G408" s="280" t="n"/>
      <c r="H408" s="280" t="n"/>
      <c r="I408" s="332">
        <f>IFERROR(VLOOKUP(TEXT(H408,"0"),IPRESS!$A$3:$B$212,2,0),"")</f>
        <v/>
      </c>
      <c r="J408" s="280" t="n"/>
      <c r="K408" s="343" t="n"/>
      <c r="L408" s="280" t="n"/>
      <c r="M408" s="280" t="n"/>
      <c r="N408" s="345" t="n"/>
      <c r="O408" s="280" t="n"/>
      <c r="P408" s="332">
        <f>IFERROR(VLOOKUP(TEXT(O408,"0"),CONDUCTORES!$A$3:$G$54,2,0),"")</f>
        <v/>
      </c>
      <c r="Q408" s="332">
        <f>IFERROR(VLOOKUP(TEXT(O408,"0"),CONDUCTORES!$A$3:$H$54,6,0),"")</f>
        <v/>
      </c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350" t="n"/>
      <c r="AA408" s="198" t="n"/>
      <c r="AB408" s="198" t="n"/>
      <c r="AC408" s="198" t="n"/>
    </row>
    <row r="409" ht="15" customHeight="1" s="195">
      <c r="A409" s="280" t="n"/>
      <c r="B409" s="280" t="n"/>
      <c r="C409" s="280" t="n"/>
      <c r="D409" s="280" t="n"/>
      <c r="E409" s="280" t="n"/>
      <c r="F409" s="280" t="n"/>
      <c r="G409" s="280" t="n"/>
      <c r="H409" s="280" t="n"/>
      <c r="I409" s="332">
        <f>IFERROR(VLOOKUP(TEXT(H409,"0"),IPRESS!$A$3:$B$212,2,0),"")</f>
        <v/>
      </c>
      <c r="J409" s="280" t="n"/>
      <c r="K409" s="343" t="n"/>
      <c r="L409" s="280" t="n"/>
      <c r="M409" s="280" t="n"/>
      <c r="N409" s="345" t="n"/>
      <c r="O409" s="280" t="n"/>
      <c r="P409" s="332">
        <f>IFERROR(VLOOKUP(TEXT(O409,"0"),CONDUCTORES!$A$3:$G$54,2,0),"")</f>
        <v/>
      </c>
      <c r="Q409" s="332">
        <f>IFERROR(VLOOKUP(TEXT(O409,"0"),CONDUCTORES!$A$3:$H$54,6,0),"")</f>
        <v/>
      </c>
      <c r="R409" s="280" t="n"/>
      <c r="S409" s="280" t="n"/>
      <c r="T409" s="280" t="n"/>
      <c r="U409" s="280" t="n"/>
      <c r="V409" s="280" t="n"/>
      <c r="W409" s="280" t="n"/>
      <c r="X409" s="280" t="n"/>
      <c r="Y409" s="280" t="n"/>
      <c r="Z409" s="350" t="n"/>
      <c r="AA409" s="198" t="n"/>
      <c r="AB409" s="198" t="n"/>
      <c r="AC409" s="198" t="n"/>
    </row>
    <row r="410" ht="15" customHeight="1" s="195">
      <c r="A410" s="280" t="n"/>
      <c r="B410" s="280" t="n"/>
      <c r="C410" s="280" t="n"/>
      <c r="D410" s="280" t="n"/>
      <c r="E410" s="280" t="n"/>
      <c r="F410" s="280" t="n"/>
      <c r="G410" s="280" t="n"/>
      <c r="H410" s="280" t="n"/>
      <c r="I410" s="332">
        <f>IFERROR(VLOOKUP(TEXT(H410,"0"),IPRESS!$A$3:$B$212,2,0),"")</f>
        <v/>
      </c>
      <c r="J410" s="280" t="n"/>
      <c r="K410" s="343" t="n"/>
      <c r="L410" s="280" t="n"/>
      <c r="M410" s="280" t="n"/>
      <c r="N410" s="345" t="n"/>
      <c r="O410" s="280" t="n"/>
      <c r="P410" s="332">
        <f>IFERROR(VLOOKUP(TEXT(O410,"0"),CONDUCTORES!$A$3:$G$54,2,0),"")</f>
        <v/>
      </c>
      <c r="Q410" s="332">
        <f>IFERROR(VLOOKUP(TEXT(O410,"0"),CONDUCTORES!$A$3:$H$54,6,0),"")</f>
        <v/>
      </c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350" t="n"/>
      <c r="AA410" s="198" t="n"/>
      <c r="AB410" s="198" t="n"/>
      <c r="AC410" s="198" t="n"/>
    </row>
    <row r="411" ht="15" customHeight="1" s="195">
      <c r="A411" s="280" t="n"/>
      <c r="B411" s="280" t="n"/>
      <c r="C411" s="280" t="n"/>
      <c r="D411" s="280" t="n"/>
      <c r="E411" s="280" t="n"/>
      <c r="F411" s="280" t="n"/>
      <c r="G411" s="280" t="n"/>
      <c r="H411" s="280" t="n"/>
      <c r="I411" s="332">
        <f>IFERROR(VLOOKUP(TEXT(H411,"0"),IPRESS!$A$3:$B$212,2,0),"")</f>
        <v/>
      </c>
      <c r="J411" s="280" t="n"/>
      <c r="K411" s="343" t="n"/>
      <c r="L411" s="280" t="n"/>
      <c r="M411" s="280" t="n"/>
      <c r="N411" s="345" t="n"/>
      <c r="O411" s="280" t="n"/>
      <c r="P411" s="332">
        <f>IFERROR(VLOOKUP(TEXT(O411,"0"),CONDUCTORES!$A$3:$G$54,2,0),"")</f>
        <v/>
      </c>
      <c r="Q411" s="332">
        <f>IFERROR(VLOOKUP(TEXT(O411,"0"),CONDUCTORES!$A$3:$H$54,6,0),"")</f>
        <v/>
      </c>
      <c r="R411" s="280" t="n"/>
      <c r="S411" s="280" t="n"/>
      <c r="T411" s="280" t="n"/>
      <c r="U411" s="280" t="n"/>
      <c r="V411" s="280" t="n"/>
      <c r="W411" s="280" t="n"/>
      <c r="X411" s="280" t="n"/>
      <c r="Y411" s="280" t="n"/>
      <c r="Z411" s="350" t="n"/>
      <c r="AA411" s="198" t="n"/>
      <c r="AB411" s="198" t="n"/>
      <c r="AC411" s="198" t="n"/>
    </row>
    <row r="412" ht="15" customHeight="1" s="195">
      <c r="A412" s="280" t="n"/>
      <c r="B412" s="280" t="n"/>
      <c r="C412" s="280" t="n"/>
      <c r="D412" s="280" t="n"/>
      <c r="E412" s="280" t="n"/>
      <c r="F412" s="280" t="n"/>
      <c r="G412" s="280" t="n"/>
      <c r="H412" s="280" t="n"/>
      <c r="I412" s="332">
        <f>IFERROR(VLOOKUP(TEXT(H412,"0"),IPRESS!$A$3:$B$212,2,0),"")</f>
        <v/>
      </c>
      <c r="J412" s="280" t="n"/>
      <c r="K412" s="343" t="n"/>
      <c r="L412" s="280" t="n"/>
      <c r="M412" s="280" t="n"/>
      <c r="N412" s="345" t="n"/>
      <c r="O412" s="280" t="n"/>
      <c r="P412" s="332">
        <f>IFERROR(VLOOKUP(TEXT(O412,"0"),CONDUCTORES!$A$3:$G$54,2,0),"")</f>
        <v/>
      </c>
      <c r="Q412" s="332">
        <f>IFERROR(VLOOKUP(TEXT(O412,"0"),CONDUCTORES!$A$3:$H$54,6,0),"")</f>
        <v/>
      </c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350" t="n"/>
      <c r="AA412" s="198" t="n"/>
      <c r="AB412" s="198" t="n"/>
      <c r="AC412" s="198" t="n"/>
    </row>
    <row r="413" ht="15" customHeight="1" s="195">
      <c r="A413" s="280" t="n"/>
      <c r="B413" s="280" t="n"/>
      <c r="C413" s="280" t="n"/>
      <c r="D413" s="280" t="n"/>
      <c r="E413" s="280" t="n"/>
      <c r="F413" s="280" t="n"/>
      <c r="G413" s="280" t="n"/>
      <c r="H413" s="280" t="n"/>
      <c r="I413" s="332">
        <f>IFERROR(VLOOKUP(TEXT(H413,"0"),IPRESS!$A$3:$B$212,2,0),"")</f>
        <v/>
      </c>
      <c r="J413" s="280" t="n"/>
      <c r="K413" s="343" t="n"/>
      <c r="L413" s="280" t="n"/>
      <c r="M413" s="280" t="n"/>
      <c r="N413" s="345" t="n"/>
      <c r="O413" s="280" t="n"/>
      <c r="P413" s="332">
        <f>IFERROR(VLOOKUP(TEXT(O413,"0"),CONDUCTORES!$A$3:$G$54,2,0),"")</f>
        <v/>
      </c>
      <c r="Q413" s="332">
        <f>IFERROR(VLOOKUP(TEXT(O413,"0"),CONDUCTORES!$A$3:$H$54,6,0),"")</f>
        <v/>
      </c>
      <c r="R413" s="280" t="n"/>
      <c r="S413" s="280" t="n"/>
      <c r="T413" s="280" t="n"/>
      <c r="U413" s="280" t="n"/>
      <c r="V413" s="280" t="n"/>
      <c r="W413" s="280" t="n"/>
      <c r="X413" s="280" t="n"/>
      <c r="Y413" s="280" t="n"/>
      <c r="Z413" s="350" t="n"/>
      <c r="AA413" s="198" t="n"/>
      <c r="AB413" s="198" t="n"/>
      <c r="AC413" s="198" t="n"/>
    </row>
    <row r="414" ht="15" customHeight="1" s="195">
      <c r="A414" s="280" t="n"/>
      <c r="B414" s="280" t="n"/>
      <c r="C414" s="280" t="n"/>
      <c r="D414" s="280" t="n"/>
      <c r="E414" s="280" t="n"/>
      <c r="F414" s="280" t="n"/>
      <c r="G414" s="280" t="n"/>
      <c r="H414" s="280" t="n"/>
      <c r="I414" s="332">
        <f>IFERROR(VLOOKUP(TEXT(H414,"0"),IPRESS!$A$3:$B$212,2,0),"")</f>
        <v/>
      </c>
      <c r="J414" s="280" t="n"/>
      <c r="K414" s="343" t="n"/>
      <c r="L414" s="280" t="n"/>
      <c r="M414" s="280" t="n"/>
      <c r="N414" s="345" t="n"/>
      <c r="O414" s="280" t="n"/>
      <c r="P414" s="332">
        <f>IFERROR(VLOOKUP(TEXT(O414,"0"),CONDUCTORES!$A$3:$G$54,2,0),"")</f>
        <v/>
      </c>
      <c r="Q414" s="332">
        <f>IFERROR(VLOOKUP(TEXT(O414,"0"),CONDUCTORES!$A$3:$H$54,6,0),"")</f>
        <v/>
      </c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350" t="n"/>
      <c r="AA414" s="198" t="n"/>
      <c r="AB414" s="198" t="n"/>
      <c r="AC414" s="198" t="n"/>
    </row>
    <row r="415" ht="15" customHeight="1" s="195">
      <c r="A415" s="280" t="n"/>
      <c r="B415" s="280" t="n"/>
      <c r="C415" s="280" t="n"/>
      <c r="D415" s="280" t="n"/>
      <c r="E415" s="280" t="n"/>
      <c r="F415" s="280" t="n"/>
      <c r="G415" s="280" t="n"/>
      <c r="H415" s="280" t="n"/>
      <c r="I415" s="332">
        <f>IFERROR(VLOOKUP(TEXT(H415,"0"),IPRESS!$A$3:$B$212,2,0),"")</f>
        <v/>
      </c>
      <c r="J415" s="280" t="n"/>
      <c r="K415" s="343" t="n"/>
      <c r="L415" s="280" t="n"/>
      <c r="M415" s="280" t="n"/>
      <c r="N415" s="345" t="n"/>
      <c r="O415" s="280" t="n"/>
      <c r="P415" s="332">
        <f>IFERROR(VLOOKUP(TEXT(O415,"0"),CONDUCTORES!$A$3:$G$54,2,0),"")</f>
        <v/>
      </c>
      <c r="Q415" s="332">
        <f>IFERROR(VLOOKUP(TEXT(O415,"0"),CONDUCTORES!$A$3:$H$54,6,0),"")</f>
        <v/>
      </c>
      <c r="R415" s="280" t="n"/>
      <c r="S415" s="280" t="n"/>
      <c r="T415" s="280" t="n"/>
      <c r="U415" s="280" t="n"/>
      <c r="V415" s="280" t="n"/>
      <c r="W415" s="280" t="n"/>
      <c r="X415" s="280" t="n"/>
      <c r="Y415" s="280" t="n"/>
      <c r="Z415" s="350" t="n"/>
      <c r="AA415" s="198" t="n"/>
      <c r="AB415" s="198" t="n"/>
      <c r="AC415" s="198" t="n"/>
    </row>
    <row r="416" ht="15" customHeight="1" s="195">
      <c r="A416" s="280" t="n"/>
      <c r="B416" s="280" t="n"/>
      <c r="C416" s="280" t="n"/>
      <c r="D416" s="280" t="n"/>
      <c r="E416" s="280" t="n"/>
      <c r="F416" s="280" t="n"/>
      <c r="G416" s="280" t="n"/>
      <c r="H416" s="280" t="n"/>
      <c r="I416" s="332">
        <f>IFERROR(VLOOKUP(TEXT(H416,"0"),IPRESS!$A$3:$B$212,2,0),"")</f>
        <v/>
      </c>
      <c r="J416" s="280" t="n"/>
      <c r="K416" s="343" t="n"/>
      <c r="L416" s="280" t="n"/>
      <c r="M416" s="280" t="n"/>
      <c r="N416" s="345" t="n"/>
      <c r="O416" s="280" t="n"/>
      <c r="P416" s="332">
        <f>IFERROR(VLOOKUP(TEXT(O416,"0"),CONDUCTORES!$A$3:$G$54,2,0),"")</f>
        <v/>
      </c>
      <c r="Q416" s="332">
        <f>IFERROR(VLOOKUP(TEXT(O416,"0"),CONDUCTORES!$A$3:$H$54,6,0),"")</f>
        <v/>
      </c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350" t="n"/>
      <c r="AA416" s="198" t="n"/>
      <c r="AB416" s="198" t="n"/>
      <c r="AC416" s="198" t="n"/>
    </row>
    <row r="417" ht="15" customHeight="1" s="195">
      <c r="A417" s="280" t="n"/>
      <c r="B417" s="280" t="n"/>
      <c r="C417" s="280" t="n"/>
      <c r="D417" s="280" t="n"/>
      <c r="E417" s="280" t="n"/>
      <c r="F417" s="280" t="n"/>
      <c r="G417" s="280" t="n"/>
      <c r="H417" s="280" t="n"/>
      <c r="I417" s="332">
        <f>IFERROR(VLOOKUP(TEXT(H417,"0"),IPRESS!$A$3:$B$212,2,0),"")</f>
        <v/>
      </c>
      <c r="J417" s="280" t="n"/>
      <c r="K417" s="343" t="n"/>
      <c r="L417" s="280" t="n"/>
      <c r="M417" s="280" t="n"/>
      <c r="N417" s="345" t="n"/>
      <c r="O417" s="280" t="n"/>
      <c r="P417" s="332">
        <f>IFERROR(VLOOKUP(TEXT(O417,"0"),CONDUCTORES!$A$3:$G$54,2,0),"")</f>
        <v/>
      </c>
      <c r="Q417" s="332">
        <f>IFERROR(VLOOKUP(TEXT(O417,"0"),CONDUCTORES!$A$3:$H$54,6,0),"")</f>
        <v/>
      </c>
      <c r="R417" s="280" t="n"/>
      <c r="S417" s="280" t="n"/>
      <c r="T417" s="280" t="n"/>
      <c r="U417" s="280" t="n"/>
      <c r="V417" s="280" t="n"/>
      <c r="W417" s="280" t="n"/>
      <c r="X417" s="280" t="n"/>
      <c r="Y417" s="280" t="n"/>
      <c r="Z417" s="350" t="n"/>
      <c r="AA417" s="198" t="n"/>
      <c r="AB417" s="198" t="n"/>
      <c r="AC417" s="198" t="n"/>
    </row>
    <row r="418" ht="15" customHeight="1" s="195">
      <c r="A418" s="280" t="n"/>
      <c r="B418" s="280" t="n"/>
      <c r="C418" s="280" t="n"/>
      <c r="D418" s="280" t="n"/>
      <c r="E418" s="280" t="n"/>
      <c r="F418" s="280" t="n"/>
      <c r="G418" s="280" t="n"/>
      <c r="H418" s="280" t="n"/>
      <c r="I418" s="332">
        <f>IFERROR(VLOOKUP(TEXT(H418,"0"),IPRESS!$A$3:$B$212,2,0),"")</f>
        <v/>
      </c>
      <c r="J418" s="280" t="n"/>
      <c r="K418" s="343" t="n"/>
      <c r="L418" s="280" t="n"/>
      <c r="M418" s="280" t="n"/>
      <c r="N418" s="345" t="n"/>
      <c r="O418" s="280" t="n"/>
      <c r="P418" s="332">
        <f>IFERROR(VLOOKUP(TEXT(O418,"0"),CONDUCTORES!$A$3:$G$54,2,0),"")</f>
        <v/>
      </c>
      <c r="Q418" s="332">
        <f>IFERROR(VLOOKUP(TEXT(O418,"0"),CONDUCTORES!$A$3:$H$54,6,0),"")</f>
        <v/>
      </c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350" t="n"/>
      <c r="AA418" s="198" t="n"/>
      <c r="AB418" s="198" t="n"/>
      <c r="AC418" s="198" t="n"/>
    </row>
    <row r="419" ht="15" customHeight="1" s="195">
      <c r="A419" s="280" t="n"/>
      <c r="B419" s="280" t="n"/>
      <c r="C419" s="280" t="n"/>
      <c r="D419" s="280" t="n"/>
      <c r="E419" s="280" t="n"/>
      <c r="F419" s="280" t="n"/>
      <c r="G419" s="280" t="n"/>
      <c r="H419" s="280" t="n"/>
      <c r="I419" s="332">
        <f>IFERROR(VLOOKUP(TEXT(H419,"0"),IPRESS!$A$3:$B$212,2,0),"")</f>
        <v/>
      </c>
      <c r="J419" s="280" t="n"/>
      <c r="K419" s="343" t="n"/>
      <c r="L419" s="280" t="n"/>
      <c r="M419" s="280" t="n"/>
      <c r="N419" s="345" t="n"/>
      <c r="O419" s="280" t="n"/>
      <c r="P419" s="332">
        <f>IFERROR(VLOOKUP(TEXT(O419,"0"),CONDUCTORES!$A$3:$G$54,2,0),"")</f>
        <v/>
      </c>
      <c r="Q419" s="332">
        <f>IFERROR(VLOOKUP(TEXT(O419,"0"),CONDUCTORES!$A$3:$H$54,6,0),"")</f>
        <v/>
      </c>
      <c r="R419" s="280" t="n"/>
      <c r="S419" s="280" t="n"/>
      <c r="T419" s="280" t="n"/>
      <c r="U419" s="280" t="n"/>
      <c r="V419" s="280" t="n"/>
      <c r="W419" s="280" t="n"/>
      <c r="X419" s="280" t="n"/>
      <c r="Y419" s="280" t="n"/>
      <c r="Z419" s="350" t="n"/>
      <c r="AA419" s="198" t="n"/>
      <c r="AB419" s="198" t="n"/>
      <c r="AC419" s="198" t="n"/>
    </row>
    <row r="420" ht="15" customHeight="1" s="195">
      <c r="A420" s="280" t="n"/>
      <c r="B420" s="280" t="n"/>
      <c r="C420" s="280" t="n"/>
      <c r="D420" s="280" t="n"/>
      <c r="E420" s="280" t="n"/>
      <c r="F420" s="280" t="n"/>
      <c r="G420" s="280" t="n"/>
      <c r="H420" s="280" t="n"/>
      <c r="I420" s="332">
        <f>IFERROR(VLOOKUP(TEXT(H420,"0"),IPRESS!$A$3:$B$212,2,0),"")</f>
        <v/>
      </c>
      <c r="J420" s="280" t="n"/>
      <c r="K420" s="343" t="n"/>
      <c r="L420" s="280" t="n"/>
      <c r="M420" s="280" t="n"/>
      <c r="N420" s="345" t="n"/>
      <c r="O420" s="280" t="n"/>
      <c r="P420" s="332">
        <f>IFERROR(VLOOKUP(TEXT(O420,"0"),CONDUCTORES!$A$3:$G$54,2,0),"")</f>
        <v/>
      </c>
      <c r="Q420" s="332">
        <f>IFERROR(VLOOKUP(TEXT(O420,"0"),CONDUCTORES!$A$3:$H$54,6,0),"")</f>
        <v/>
      </c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350" t="n"/>
      <c r="AA420" s="198" t="n"/>
      <c r="AB420" s="198" t="n"/>
      <c r="AC420" s="198" t="n"/>
    </row>
    <row r="421" ht="15" customHeight="1" s="195">
      <c r="A421" s="280" t="n"/>
      <c r="B421" s="280" t="n"/>
      <c r="C421" s="280" t="n"/>
      <c r="D421" s="280" t="n"/>
      <c r="E421" s="280" t="n"/>
      <c r="F421" s="280" t="n"/>
      <c r="G421" s="280" t="n"/>
      <c r="H421" s="280" t="n"/>
      <c r="I421" s="332">
        <f>IFERROR(VLOOKUP(TEXT(H421,"0"),IPRESS!$A$3:$B$212,2,0),"")</f>
        <v/>
      </c>
      <c r="J421" s="280" t="n"/>
      <c r="K421" s="343" t="n"/>
      <c r="L421" s="280" t="n"/>
      <c r="M421" s="280" t="n"/>
      <c r="N421" s="345" t="n"/>
      <c r="O421" s="280" t="n"/>
      <c r="P421" s="332">
        <f>IFERROR(VLOOKUP(TEXT(O421,"0"),CONDUCTORES!$A$3:$G$54,2,0),"")</f>
        <v/>
      </c>
      <c r="Q421" s="332">
        <f>IFERROR(VLOOKUP(TEXT(O421,"0"),CONDUCTORES!$A$3:$H$54,6,0),"")</f>
        <v/>
      </c>
      <c r="R421" s="280" t="n"/>
      <c r="S421" s="280" t="n"/>
      <c r="T421" s="280" t="n"/>
      <c r="U421" s="280" t="n"/>
      <c r="V421" s="280" t="n"/>
      <c r="W421" s="280" t="n"/>
      <c r="X421" s="280" t="n"/>
      <c r="Y421" s="280" t="n"/>
      <c r="Z421" s="350" t="n"/>
      <c r="AA421" s="198" t="n"/>
      <c r="AB421" s="198" t="n"/>
      <c r="AC421" s="198" t="n"/>
    </row>
    <row r="422" ht="15" customHeight="1" s="195">
      <c r="A422" s="280" t="n"/>
      <c r="B422" s="280" t="n"/>
      <c r="C422" s="280" t="n"/>
      <c r="D422" s="280" t="n"/>
      <c r="E422" s="280" t="n"/>
      <c r="F422" s="280" t="n"/>
      <c r="G422" s="280" t="n"/>
      <c r="H422" s="280" t="n"/>
      <c r="I422" s="332">
        <f>IFERROR(VLOOKUP(TEXT(H422,"0"),IPRESS!$A$3:$B$212,2,0),"")</f>
        <v/>
      </c>
      <c r="J422" s="280" t="n"/>
      <c r="K422" s="343" t="n"/>
      <c r="L422" s="280" t="n"/>
      <c r="M422" s="280" t="n"/>
      <c r="N422" s="345" t="n"/>
      <c r="O422" s="280" t="n"/>
      <c r="P422" s="332">
        <f>IFERROR(VLOOKUP(TEXT(O422,"0"),CONDUCTORES!$A$3:$G$54,2,0),"")</f>
        <v/>
      </c>
      <c r="Q422" s="332">
        <f>IFERROR(VLOOKUP(TEXT(O422,"0"),CONDUCTORES!$A$3:$H$54,6,0),"")</f>
        <v/>
      </c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350" t="n"/>
      <c r="AA422" s="198" t="n"/>
      <c r="AB422" s="198" t="n"/>
      <c r="AC422" s="198" t="n"/>
    </row>
    <row r="423" ht="15" customHeight="1" s="195">
      <c r="A423" s="280" t="n"/>
      <c r="B423" s="280" t="n"/>
      <c r="C423" s="280" t="n"/>
      <c r="D423" s="280" t="n"/>
      <c r="E423" s="280" t="n"/>
      <c r="F423" s="280" t="n"/>
      <c r="G423" s="280" t="n"/>
      <c r="H423" s="280" t="n"/>
      <c r="I423" s="332">
        <f>IFERROR(VLOOKUP(TEXT(H423,"0"),IPRESS!$A$3:$B$212,2,0),"")</f>
        <v/>
      </c>
      <c r="J423" s="280" t="n"/>
      <c r="K423" s="343" t="n"/>
      <c r="L423" s="280" t="n"/>
      <c r="M423" s="280" t="n"/>
      <c r="N423" s="345" t="n"/>
      <c r="O423" s="280" t="n"/>
      <c r="P423" s="332">
        <f>IFERROR(VLOOKUP(TEXT(O423,"0"),CONDUCTORES!$A$3:$G$54,2,0),"")</f>
        <v/>
      </c>
      <c r="Q423" s="332">
        <f>IFERROR(VLOOKUP(TEXT(O423,"0"),CONDUCTORES!$A$3:$H$54,6,0),"")</f>
        <v/>
      </c>
      <c r="R423" s="280" t="n"/>
      <c r="S423" s="280" t="n"/>
      <c r="T423" s="280" t="n"/>
      <c r="U423" s="280" t="n"/>
      <c r="V423" s="280" t="n"/>
      <c r="W423" s="280" t="n"/>
      <c r="X423" s="280" t="n"/>
      <c r="Y423" s="280" t="n"/>
      <c r="Z423" s="350" t="n"/>
      <c r="AA423" s="198" t="n"/>
      <c r="AB423" s="198" t="n"/>
      <c r="AC423" s="198" t="n"/>
    </row>
    <row r="424" ht="15" customHeight="1" s="195">
      <c r="A424" s="280" t="n"/>
      <c r="B424" s="280" t="n"/>
      <c r="C424" s="280" t="n"/>
      <c r="D424" s="280" t="n"/>
      <c r="E424" s="280" t="n"/>
      <c r="F424" s="280" t="n"/>
      <c r="G424" s="280" t="n"/>
      <c r="H424" s="280" t="n"/>
      <c r="I424" s="332">
        <f>IFERROR(VLOOKUP(TEXT(H424,"0"),IPRESS!$A$3:$B$212,2,0),"")</f>
        <v/>
      </c>
      <c r="J424" s="280" t="n"/>
      <c r="K424" s="343" t="n"/>
      <c r="L424" s="280" t="n"/>
      <c r="M424" s="280" t="n"/>
      <c r="N424" s="345" t="n"/>
      <c r="O424" s="280" t="n"/>
      <c r="P424" s="332">
        <f>IFERROR(VLOOKUP(TEXT(O424,"0"),CONDUCTORES!$A$3:$G$54,2,0),"")</f>
        <v/>
      </c>
      <c r="Q424" s="332">
        <f>IFERROR(VLOOKUP(TEXT(O424,"0"),CONDUCTORES!$A$3:$H$54,6,0),"")</f>
        <v/>
      </c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350" t="n"/>
      <c r="AA424" s="198" t="n"/>
      <c r="AB424" s="198" t="n"/>
      <c r="AC424" s="198" t="n"/>
    </row>
    <row r="425" ht="15" customHeight="1" s="195">
      <c r="A425" s="280" t="n"/>
      <c r="B425" s="280" t="n"/>
      <c r="C425" s="280" t="n"/>
      <c r="D425" s="280" t="n"/>
      <c r="E425" s="280" t="n"/>
      <c r="F425" s="280" t="n"/>
      <c r="G425" s="280" t="n"/>
      <c r="H425" s="280" t="n"/>
      <c r="I425" s="332">
        <f>IFERROR(VLOOKUP(TEXT(H425,"0"),IPRESS!$A$3:$B$212,2,0),"")</f>
        <v/>
      </c>
      <c r="J425" s="280" t="n"/>
      <c r="K425" s="343" t="n"/>
      <c r="L425" s="280" t="n"/>
      <c r="M425" s="280" t="n"/>
      <c r="N425" s="345" t="n"/>
      <c r="O425" s="280" t="n"/>
      <c r="P425" s="332">
        <f>IFERROR(VLOOKUP(TEXT(O425,"0"),CONDUCTORES!$A$3:$G$54,2,0),"")</f>
        <v/>
      </c>
      <c r="Q425" s="332">
        <f>IFERROR(VLOOKUP(TEXT(O425,"0"),CONDUCTORES!$A$3:$H$54,6,0),"")</f>
        <v/>
      </c>
      <c r="R425" s="280" t="n"/>
      <c r="S425" s="280" t="n"/>
      <c r="T425" s="280" t="n"/>
      <c r="U425" s="280" t="n"/>
      <c r="V425" s="280" t="n"/>
      <c r="W425" s="280" t="n"/>
      <c r="X425" s="280" t="n"/>
      <c r="Y425" s="280" t="n"/>
      <c r="Z425" s="350" t="n"/>
      <c r="AA425" s="198" t="n"/>
      <c r="AB425" s="198" t="n"/>
      <c r="AC425" s="198" t="n"/>
    </row>
    <row r="426" ht="15" customHeight="1" s="195">
      <c r="A426" s="280" t="n"/>
      <c r="B426" s="280" t="n"/>
      <c r="C426" s="280" t="n"/>
      <c r="D426" s="280" t="n"/>
      <c r="E426" s="280" t="n"/>
      <c r="F426" s="280" t="n"/>
      <c r="G426" s="280" t="n"/>
      <c r="H426" s="280" t="n"/>
      <c r="I426" s="332">
        <f>IFERROR(VLOOKUP(TEXT(H426,"0"),IPRESS!$A$3:$B$212,2,0),"")</f>
        <v/>
      </c>
      <c r="J426" s="280" t="n"/>
      <c r="K426" s="343" t="n"/>
      <c r="L426" s="280" t="n"/>
      <c r="M426" s="280" t="n"/>
      <c r="N426" s="345" t="n"/>
      <c r="O426" s="280" t="n"/>
      <c r="P426" s="332">
        <f>IFERROR(VLOOKUP(TEXT(O426,"0"),CONDUCTORES!$A$3:$G$54,2,0),"")</f>
        <v/>
      </c>
      <c r="Q426" s="332">
        <f>IFERROR(VLOOKUP(TEXT(O426,"0"),CONDUCTORES!$A$3:$H$54,6,0),"")</f>
        <v/>
      </c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350" t="n"/>
      <c r="AA426" s="198" t="n"/>
      <c r="AB426" s="198" t="n"/>
      <c r="AC426" s="198" t="n"/>
    </row>
    <row r="427" ht="15" customHeight="1" s="195">
      <c r="A427" s="280" t="n"/>
      <c r="B427" s="280" t="n"/>
      <c r="C427" s="280" t="n"/>
      <c r="D427" s="280" t="n"/>
      <c r="E427" s="280" t="n"/>
      <c r="F427" s="280" t="n"/>
      <c r="G427" s="280" t="n"/>
      <c r="H427" s="280" t="n"/>
      <c r="I427" s="332">
        <f>IFERROR(VLOOKUP(TEXT(H427,"0"),IPRESS!$A$3:$B$212,2,0),"")</f>
        <v/>
      </c>
      <c r="J427" s="280" t="n"/>
      <c r="K427" s="343" t="n"/>
      <c r="L427" s="280" t="n"/>
      <c r="M427" s="280" t="n"/>
      <c r="N427" s="345" t="n"/>
      <c r="O427" s="280" t="n"/>
      <c r="P427" s="332">
        <f>IFERROR(VLOOKUP(TEXT(O427,"0"),CONDUCTORES!$A$3:$G$54,2,0),"")</f>
        <v/>
      </c>
      <c r="Q427" s="332">
        <f>IFERROR(VLOOKUP(TEXT(O427,"0"),CONDUCTORES!$A$3:$H$54,6,0),"")</f>
        <v/>
      </c>
      <c r="R427" s="280" t="n"/>
      <c r="S427" s="280" t="n"/>
      <c r="T427" s="280" t="n"/>
      <c r="U427" s="280" t="n"/>
      <c r="V427" s="280" t="n"/>
      <c r="W427" s="280" t="n"/>
      <c r="X427" s="280" t="n"/>
      <c r="Y427" s="280" t="n"/>
      <c r="Z427" s="350" t="n"/>
      <c r="AA427" s="198" t="n"/>
      <c r="AB427" s="198" t="n"/>
      <c r="AC427" s="198" t="n"/>
    </row>
    <row r="428" ht="15" customHeight="1" s="195">
      <c r="A428" s="280" t="n"/>
      <c r="B428" s="280" t="n"/>
      <c r="C428" s="280" t="n"/>
      <c r="D428" s="280" t="n"/>
      <c r="E428" s="280" t="n"/>
      <c r="F428" s="280" t="n"/>
      <c r="G428" s="280" t="n"/>
      <c r="H428" s="280" t="n"/>
      <c r="I428" s="332">
        <f>IFERROR(VLOOKUP(TEXT(H428,"0"),IPRESS!$A$3:$B$212,2,0),"")</f>
        <v/>
      </c>
      <c r="J428" s="280" t="n"/>
      <c r="K428" s="343" t="n"/>
      <c r="L428" s="280" t="n"/>
      <c r="M428" s="280" t="n"/>
      <c r="N428" s="345" t="n"/>
      <c r="O428" s="280" t="n"/>
      <c r="P428" s="332">
        <f>IFERROR(VLOOKUP(TEXT(O428,"0"),CONDUCTORES!$A$3:$G$54,2,0),"")</f>
        <v/>
      </c>
      <c r="Q428" s="332">
        <f>IFERROR(VLOOKUP(TEXT(O428,"0"),CONDUCTORES!$A$3:$H$54,6,0),"")</f>
        <v/>
      </c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350" t="n"/>
      <c r="AA428" s="198" t="n"/>
      <c r="AB428" s="198" t="n"/>
      <c r="AC428" s="198" t="n"/>
    </row>
    <row r="429" ht="15" customHeight="1" s="195">
      <c r="A429" s="280" t="n"/>
      <c r="B429" s="280" t="n"/>
      <c r="C429" s="280" t="n"/>
      <c r="D429" s="280" t="n"/>
      <c r="E429" s="280" t="n"/>
      <c r="F429" s="280" t="n"/>
      <c r="G429" s="280" t="n"/>
      <c r="H429" s="280" t="n"/>
      <c r="I429" s="332">
        <f>IFERROR(VLOOKUP(TEXT(H429,"0"),IPRESS!$A$3:$B$212,2,0),"")</f>
        <v/>
      </c>
      <c r="J429" s="280" t="n"/>
      <c r="K429" s="343" t="n"/>
      <c r="L429" s="280" t="n"/>
      <c r="M429" s="280" t="n"/>
      <c r="N429" s="345" t="n"/>
      <c r="O429" s="280" t="n"/>
      <c r="P429" s="332">
        <f>IFERROR(VLOOKUP(TEXT(O429,"0"),CONDUCTORES!$A$3:$G$54,2,0),"")</f>
        <v/>
      </c>
      <c r="Q429" s="332">
        <f>IFERROR(VLOOKUP(TEXT(O429,"0"),CONDUCTORES!$A$3:$H$54,6,0),"")</f>
        <v/>
      </c>
      <c r="R429" s="280" t="n"/>
      <c r="S429" s="280" t="n"/>
      <c r="T429" s="280" t="n"/>
      <c r="U429" s="280" t="n"/>
      <c r="V429" s="280" t="n"/>
      <c r="W429" s="280" t="n"/>
      <c r="X429" s="280" t="n"/>
      <c r="Y429" s="280" t="n"/>
      <c r="Z429" s="350" t="n"/>
      <c r="AA429" s="198" t="n"/>
      <c r="AB429" s="198" t="n"/>
      <c r="AC429" s="198" t="n"/>
    </row>
    <row r="430" ht="15" customHeight="1" s="195">
      <c r="A430" s="280" t="n"/>
      <c r="B430" s="280" t="n"/>
      <c r="C430" s="280" t="n"/>
      <c r="D430" s="280" t="n"/>
      <c r="E430" s="280" t="n"/>
      <c r="F430" s="280" t="n"/>
      <c r="G430" s="280" t="n"/>
      <c r="H430" s="280" t="n"/>
      <c r="I430" s="332">
        <f>IFERROR(VLOOKUP(TEXT(H430,"0"),IPRESS!$A$3:$B$212,2,0),"")</f>
        <v/>
      </c>
      <c r="J430" s="280" t="n"/>
      <c r="K430" s="343" t="n"/>
      <c r="L430" s="280" t="n"/>
      <c r="M430" s="280" t="n"/>
      <c r="N430" s="345" t="n"/>
      <c r="O430" s="280" t="n"/>
      <c r="P430" s="332">
        <f>IFERROR(VLOOKUP(TEXT(O430,"0"),CONDUCTORES!$A$3:$G$54,2,0),"")</f>
        <v/>
      </c>
      <c r="Q430" s="332">
        <f>IFERROR(VLOOKUP(TEXT(O430,"0"),CONDUCTORES!$A$3:$H$54,6,0),"")</f>
        <v/>
      </c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350" t="n"/>
      <c r="AA430" s="198" t="n"/>
      <c r="AB430" s="198" t="n"/>
      <c r="AC430" s="198" t="n"/>
    </row>
    <row r="431" ht="15" customHeight="1" s="195">
      <c r="A431" s="280" t="n"/>
      <c r="B431" s="280" t="n"/>
      <c r="C431" s="280" t="n"/>
      <c r="D431" s="280" t="n"/>
      <c r="E431" s="280" t="n"/>
      <c r="F431" s="280" t="n"/>
      <c r="G431" s="280" t="n"/>
      <c r="H431" s="280" t="n"/>
      <c r="I431" s="332">
        <f>IFERROR(VLOOKUP(TEXT(H431,"0"),IPRESS!$A$3:$B$212,2,0),"")</f>
        <v/>
      </c>
      <c r="J431" s="280" t="n"/>
      <c r="K431" s="343" t="n"/>
      <c r="L431" s="280" t="n"/>
      <c r="M431" s="280" t="n"/>
      <c r="N431" s="345" t="n"/>
      <c r="O431" s="280" t="n"/>
      <c r="P431" s="332">
        <f>IFERROR(VLOOKUP(TEXT(O431,"0"),CONDUCTORES!$A$3:$G$54,2,0),"")</f>
        <v/>
      </c>
      <c r="Q431" s="332">
        <f>IFERROR(VLOOKUP(TEXT(O431,"0"),CONDUCTORES!$A$3:$H$54,6,0),"")</f>
        <v/>
      </c>
      <c r="R431" s="280" t="n"/>
      <c r="S431" s="280" t="n"/>
      <c r="T431" s="280" t="n"/>
      <c r="U431" s="280" t="n"/>
      <c r="V431" s="280" t="n"/>
      <c r="W431" s="280" t="n"/>
      <c r="X431" s="280" t="n"/>
      <c r="Y431" s="280" t="n"/>
      <c r="Z431" s="350" t="n"/>
      <c r="AA431" s="198" t="n"/>
      <c r="AB431" s="198" t="n"/>
      <c r="AC431" s="198" t="n"/>
    </row>
    <row r="432" ht="15" customHeight="1" s="195">
      <c r="A432" s="280" t="n"/>
      <c r="B432" s="280" t="n"/>
      <c r="C432" s="280" t="n"/>
      <c r="D432" s="280" t="n"/>
      <c r="E432" s="280" t="n"/>
      <c r="F432" s="280" t="n"/>
      <c r="G432" s="280" t="n"/>
      <c r="H432" s="280" t="n"/>
      <c r="I432" s="332">
        <f>IFERROR(VLOOKUP(TEXT(H432,"0"),IPRESS!$A$3:$B$212,2,0),"")</f>
        <v/>
      </c>
      <c r="J432" s="280" t="n"/>
      <c r="K432" s="343" t="n"/>
      <c r="L432" s="280" t="n"/>
      <c r="M432" s="280" t="n"/>
      <c r="N432" s="345" t="n"/>
      <c r="O432" s="280" t="n"/>
      <c r="P432" s="332">
        <f>IFERROR(VLOOKUP(TEXT(O432,"0"),CONDUCTORES!$A$3:$G$54,2,0),"")</f>
        <v/>
      </c>
      <c r="Q432" s="332">
        <f>IFERROR(VLOOKUP(TEXT(O432,"0"),CONDUCTORES!$A$3:$H$54,6,0),"")</f>
        <v/>
      </c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350" t="n"/>
      <c r="AA432" s="198" t="n"/>
      <c r="AB432" s="198" t="n"/>
      <c r="AC432" s="198" t="n"/>
    </row>
    <row r="433" ht="15" customHeight="1" s="195">
      <c r="A433" s="280" t="n"/>
      <c r="B433" s="280" t="n"/>
      <c r="C433" s="280" t="n"/>
      <c r="D433" s="280" t="n"/>
      <c r="E433" s="280" t="n"/>
      <c r="F433" s="280" t="n"/>
      <c r="G433" s="280" t="n"/>
      <c r="H433" s="280" t="n"/>
      <c r="I433" s="332">
        <f>IFERROR(VLOOKUP(TEXT(H433,"0"),IPRESS!$A$3:$B$212,2,0),"")</f>
        <v/>
      </c>
      <c r="J433" s="280" t="n"/>
      <c r="K433" s="343" t="n"/>
      <c r="L433" s="280" t="n"/>
      <c r="M433" s="280" t="n"/>
      <c r="N433" s="345" t="n"/>
      <c r="O433" s="280" t="n"/>
      <c r="P433" s="332">
        <f>IFERROR(VLOOKUP(TEXT(O433,"0"),CONDUCTORES!$A$3:$G$54,2,0),"")</f>
        <v/>
      </c>
      <c r="Q433" s="332">
        <f>IFERROR(VLOOKUP(TEXT(O433,"0"),CONDUCTORES!$A$3:$H$54,6,0),"")</f>
        <v/>
      </c>
      <c r="R433" s="280" t="n"/>
      <c r="S433" s="280" t="n"/>
      <c r="T433" s="280" t="n"/>
      <c r="U433" s="280" t="n"/>
      <c r="V433" s="280" t="n"/>
      <c r="W433" s="280" t="n"/>
      <c r="X433" s="280" t="n"/>
      <c r="Y433" s="280" t="n"/>
      <c r="Z433" s="350" t="n"/>
      <c r="AA433" s="198" t="n"/>
      <c r="AB433" s="198" t="n"/>
      <c r="AC433" s="198" t="n"/>
    </row>
    <row r="434" ht="15" customHeight="1" s="195">
      <c r="A434" s="280" t="n"/>
      <c r="B434" s="280" t="n"/>
      <c r="C434" s="280" t="n"/>
      <c r="D434" s="280" t="n"/>
      <c r="E434" s="280" t="n"/>
      <c r="F434" s="280" t="n"/>
      <c r="G434" s="280" t="n"/>
      <c r="H434" s="280" t="n"/>
      <c r="I434" s="332">
        <f>IFERROR(VLOOKUP(TEXT(H434,"0"),IPRESS!$A$3:$B$212,2,0),"")</f>
        <v/>
      </c>
      <c r="J434" s="280" t="n"/>
      <c r="K434" s="343" t="n"/>
      <c r="L434" s="280" t="n"/>
      <c r="M434" s="280" t="n"/>
      <c r="N434" s="345" t="n"/>
      <c r="O434" s="280" t="n"/>
      <c r="P434" s="332">
        <f>IFERROR(VLOOKUP(TEXT(O434,"0"),CONDUCTORES!$A$3:$G$54,2,0),"")</f>
        <v/>
      </c>
      <c r="Q434" s="332">
        <f>IFERROR(VLOOKUP(TEXT(O434,"0"),CONDUCTORES!$A$3:$H$54,6,0),"")</f>
        <v/>
      </c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350" t="n"/>
      <c r="AA434" s="198" t="n"/>
      <c r="AB434" s="198" t="n"/>
      <c r="AC434" s="198" t="n"/>
    </row>
    <row r="435" ht="15" customHeight="1" s="195">
      <c r="A435" s="280" t="n"/>
      <c r="B435" s="280" t="n"/>
      <c r="C435" s="280" t="n"/>
      <c r="D435" s="280" t="n"/>
      <c r="E435" s="280" t="n"/>
      <c r="F435" s="280" t="n"/>
      <c r="G435" s="280" t="n"/>
      <c r="H435" s="280" t="n"/>
      <c r="I435" s="332">
        <f>IFERROR(VLOOKUP(TEXT(H435,"0"),IPRESS!$A$3:$B$212,2,0),"")</f>
        <v/>
      </c>
      <c r="J435" s="280" t="n"/>
      <c r="K435" s="343" t="n"/>
      <c r="L435" s="280" t="n"/>
      <c r="M435" s="280" t="n"/>
      <c r="N435" s="345" t="n"/>
      <c r="O435" s="280" t="n"/>
      <c r="P435" s="332">
        <f>IFERROR(VLOOKUP(TEXT(O435,"0"),CONDUCTORES!$A$3:$G$54,2,0),"")</f>
        <v/>
      </c>
      <c r="Q435" s="332">
        <f>IFERROR(VLOOKUP(TEXT(O435,"0"),CONDUCTORES!$A$3:$H$54,6,0),"")</f>
        <v/>
      </c>
      <c r="R435" s="280" t="n"/>
      <c r="S435" s="280" t="n"/>
      <c r="T435" s="280" t="n"/>
      <c r="U435" s="280" t="n"/>
      <c r="V435" s="280" t="n"/>
      <c r="W435" s="280" t="n"/>
      <c r="X435" s="280" t="n"/>
      <c r="Y435" s="280" t="n"/>
      <c r="Z435" s="350" t="n"/>
      <c r="AA435" s="198" t="n"/>
      <c r="AB435" s="198" t="n"/>
      <c r="AC435" s="198" t="n"/>
    </row>
    <row r="436" ht="15" customHeight="1" s="195">
      <c r="A436" s="280" t="n"/>
      <c r="B436" s="280" t="n"/>
      <c r="C436" s="280" t="n"/>
      <c r="D436" s="280" t="n"/>
      <c r="E436" s="280" t="n"/>
      <c r="F436" s="280" t="n"/>
      <c r="G436" s="280" t="n"/>
      <c r="H436" s="280" t="n"/>
      <c r="I436" s="332">
        <f>IFERROR(VLOOKUP(TEXT(H436,"0"),IPRESS!$A$3:$B$212,2,0),"")</f>
        <v/>
      </c>
      <c r="J436" s="280" t="n"/>
      <c r="K436" s="343" t="n"/>
      <c r="L436" s="280" t="n"/>
      <c r="M436" s="280" t="n"/>
      <c r="N436" s="345" t="n"/>
      <c r="O436" s="280" t="n"/>
      <c r="P436" s="332">
        <f>IFERROR(VLOOKUP(TEXT(O436,"0"),CONDUCTORES!$A$3:$G$54,2,0),"")</f>
        <v/>
      </c>
      <c r="Q436" s="332">
        <f>IFERROR(VLOOKUP(TEXT(O436,"0"),CONDUCTORES!$A$3:$H$54,6,0),"")</f>
        <v/>
      </c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350" t="n"/>
      <c r="AA436" s="198" t="n"/>
      <c r="AB436" s="198" t="n"/>
      <c r="AC436" s="198" t="n"/>
    </row>
    <row r="437" ht="15" customHeight="1" s="195">
      <c r="A437" s="280" t="n"/>
      <c r="B437" s="280" t="n"/>
      <c r="C437" s="280" t="n"/>
      <c r="D437" s="280" t="n"/>
      <c r="E437" s="280" t="n"/>
      <c r="F437" s="280" t="n"/>
      <c r="G437" s="280" t="n"/>
      <c r="H437" s="280" t="n"/>
      <c r="I437" s="332">
        <f>IFERROR(VLOOKUP(TEXT(H437,"0"),IPRESS!$A$3:$B$212,2,0),"")</f>
        <v/>
      </c>
      <c r="J437" s="280" t="n"/>
      <c r="K437" s="343" t="n"/>
      <c r="L437" s="280" t="n"/>
      <c r="M437" s="280" t="n"/>
      <c r="N437" s="345" t="n"/>
      <c r="O437" s="280" t="n"/>
      <c r="P437" s="332">
        <f>IFERROR(VLOOKUP(TEXT(O437,"0"),CONDUCTORES!$A$3:$G$54,2,0),"")</f>
        <v/>
      </c>
      <c r="Q437" s="332">
        <f>IFERROR(VLOOKUP(TEXT(O437,"0"),CONDUCTORES!$A$3:$H$54,6,0),"")</f>
        <v/>
      </c>
      <c r="R437" s="280" t="n"/>
      <c r="S437" s="280" t="n"/>
      <c r="T437" s="280" t="n"/>
      <c r="U437" s="280" t="n"/>
      <c r="V437" s="280" t="n"/>
      <c r="W437" s="280" t="n"/>
      <c r="X437" s="280" t="n"/>
      <c r="Y437" s="280" t="n"/>
      <c r="Z437" s="350" t="n"/>
      <c r="AA437" s="198" t="n"/>
      <c r="AB437" s="198" t="n"/>
      <c r="AC437" s="198" t="n"/>
    </row>
    <row r="438" ht="15" customHeight="1" s="195">
      <c r="A438" s="280" t="n"/>
      <c r="B438" s="280" t="n"/>
      <c r="C438" s="280" t="n"/>
      <c r="D438" s="280" t="n"/>
      <c r="E438" s="280" t="n"/>
      <c r="F438" s="280" t="n"/>
      <c r="G438" s="280" t="n"/>
      <c r="H438" s="280" t="n"/>
      <c r="I438" s="332">
        <f>IFERROR(VLOOKUP(TEXT(H438,"0"),IPRESS!$A$3:$B$212,2,0),"")</f>
        <v/>
      </c>
      <c r="J438" s="280" t="n"/>
      <c r="K438" s="343" t="n"/>
      <c r="L438" s="280" t="n"/>
      <c r="M438" s="280" t="n"/>
      <c r="N438" s="345" t="n"/>
      <c r="O438" s="280" t="n"/>
      <c r="P438" s="332">
        <f>IFERROR(VLOOKUP(TEXT(O438,"0"),CONDUCTORES!$A$3:$G$54,2,0),"")</f>
        <v/>
      </c>
      <c r="Q438" s="332">
        <f>IFERROR(VLOOKUP(TEXT(O438,"0"),CONDUCTORES!$A$3:$H$54,6,0),"")</f>
        <v/>
      </c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350" t="n"/>
      <c r="AA438" s="198" t="n"/>
      <c r="AB438" s="198" t="n"/>
      <c r="AC438" s="198" t="n"/>
    </row>
    <row r="439" ht="15" customHeight="1" s="195">
      <c r="A439" s="280" t="n"/>
      <c r="B439" s="280" t="n"/>
      <c r="C439" s="280" t="n"/>
      <c r="D439" s="280" t="n"/>
      <c r="E439" s="280" t="n"/>
      <c r="F439" s="280" t="n"/>
      <c r="G439" s="280" t="n"/>
      <c r="H439" s="280" t="n"/>
      <c r="I439" s="332">
        <f>IFERROR(VLOOKUP(TEXT(H439,"0"),IPRESS!$A$3:$B$212,2,0),"")</f>
        <v/>
      </c>
      <c r="J439" s="280" t="n"/>
      <c r="K439" s="343" t="n"/>
      <c r="L439" s="280" t="n"/>
      <c r="M439" s="280" t="n"/>
      <c r="N439" s="345" t="n"/>
      <c r="O439" s="280" t="n"/>
      <c r="P439" s="332">
        <f>IFERROR(VLOOKUP(TEXT(O439,"0"),CONDUCTORES!$A$3:$G$54,2,0),"")</f>
        <v/>
      </c>
      <c r="Q439" s="332">
        <f>IFERROR(VLOOKUP(TEXT(O439,"0"),CONDUCTORES!$A$3:$H$54,6,0),"")</f>
        <v/>
      </c>
      <c r="R439" s="280" t="n"/>
      <c r="S439" s="280" t="n"/>
      <c r="T439" s="280" t="n"/>
      <c r="U439" s="280" t="n"/>
      <c r="V439" s="280" t="n"/>
      <c r="W439" s="280" t="n"/>
      <c r="X439" s="280" t="n"/>
      <c r="Y439" s="280" t="n"/>
      <c r="Z439" s="350" t="n"/>
      <c r="AA439" s="198" t="n"/>
      <c r="AB439" s="198" t="n"/>
      <c r="AC439" s="198" t="n"/>
    </row>
    <row r="440" ht="15" customHeight="1" s="195">
      <c r="A440" s="280" t="n"/>
      <c r="B440" s="280" t="n"/>
      <c r="C440" s="280" t="n"/>
      <c r="D440" s="280" t="n"/>
      <c r="E440" s="280" t="n"/>
      <c r="F440" s="280" t="n"/>
      <c r="G440" s="280" t="n"/>
      <c r="H440" s="280" t="n"/>
      <c r="I440" s="332">
        <f>IFERROR(VLOOKUP(TEXT(H440,"0"),IPRESS!$A$3:$B$212,2,0),"")</f>
        <v/>
      </c>
      <c r="J440" s="280" t="n"/>
      <c r="K440" s="343" t="n"/>
      <c r="L440" s="280" t="n"/>
      <c r="M440" s="280" t="n"/>
      <c r="N440" s="345" t="n"/>
      <c r="O440" s="280" t="n"/>
      <c r="P440" s="332">
        <f>IFERROR(VLOOKUP(TEXT(O440,"0"),CONDUCTORES!$A$3:$G$54,2,0),"")</f>
        <v/>
      </c>
      <c r="Q440" s="332">
        <f>IFERROR(VLOOKUP(TEXT(O440,"0"),CONDUCTORES!$A$3:$H$54,6,0),"")</f>
        <v/>
      </c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350" t="n"/>
      <c r="AA440" s="198" t="n"/>
      <c r="AB440" s="198" t="n"/>
      <c r="AC440" s="198" t="n"/>
    </row>
    <row r="441" ht="15" customHeight="1" s="195">
      <c r="A441" s="280" t="n"/>
      <c r="B441" s="280" t="n"/>
      <c r="C441" s="280" t="n"/>
      <c r="D441" s="280" t="n"/>
      <c r="E441" s="280" t="n"/>
      <c r="F441" s="280" t="n"/>
      <c r="G441" s="280" t="n"/>
      <c r="H441" s="280" t="n"/>
      <c r="I441" s="332">
        <f>IFERROR(VLOOKUP(TEXT(H441,"0"),IPRESS!$A$3:$B$212,2,0),"")</f>
        <v/>
      </c>
      <c r="J441" s="280" t="n"/>
      <c r="K441" s="343" t="n"/>
      <c r="L441" s="280" t="n"/>
      <c r="M441" s="280" t="n"/>
      <c r="N441" s="345" t="n"/>
      <c r="O441" s="280" t="n"/>
      <c r="P441" s="332">
        <f>IFERROR(VLOOKUP(TEXT(O441,"0"),CONDUCTORES!$A$3:$G$54,2,0),"")</f>
        <v/>
      </c>
      <c r="Q441" s="332">
        <f>IFERROR(VLOOKUP(TEXT(O441,"0"),CONDUCTORES!$A$3:$H$54,6,0),"")</f>
        <v/>
      </c>
      <c r="R441" s="280" t="n"/>
      <c r="S441" s="280" t="n"/>
      <c r="T441" s="280" t="n"/>
      <c r="U441" s="280" t="n"/>
      <c r="V441" s="280" t="n"/>
      <c r="W441" s="280" t="n"/>
      <c r="X441" s="280" t="n"/>
      <c r="Y441" s="280" t="n"/>
      <c r="Z441" s="350" t="n"/>
      <c r="AA441" s="198" t="n"/>
      <c r="AB441" s="198" t="n"/>
      <c r="AC441" s="198" t="n"/>
    </row>
    <row r="442" ht="15" customHeight="1" s="195">
      <c r="A442" s="280" t="n"/>
      <c r="B442" s="280" t="n"/>
      <c r="C442" s="280" t="n"/>
      <c r="D442" s="280" t="n"/>
      <c r="E442" s="280" t="n"/>
      <c r="F442" s="280" t="n"/>
      <c r="G442" s="280" t="n"/>
      <c r="H442" s="280" t="n"/>
      <c r="I442" s="332">
        <f>IFERROR(VLOOKUP(TEXT(H442,"0"),IPRESS!$A$3:$B$212,2,0),"")</f>
        <v/>
      </c>
      <c r="J442" s="280" t="n"/>
      <c r="K442" s="343" t="n"/>
      <c r="L442" s="280" t="n"/>
      <c r="M442" s="280" t="n"/>
      <c r="N442" s="345" t="n"/>
      <c r="O442" s="280" t="n"/>
      <c r="P442" s="332">
        <f>IFERROR(VLOOKUP(TEXT(O442,"0"),CONDUCTORES!$A$3:$G$54,2,0),"")</f>
        <v/>
      </c>
      <c r="Q442" s="332">
        <f>IFERROR(VLOOKUP(TEXT(O442,"0"),CONDUCTORES!$A$3:$H$54,6,0),"")</f>
        <v/>
      </c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350" t="n"/>
      <c r="AA442" s="198" t="n"/>
      <c r="AB442" s="198" t="n"/>
      <c r="AC442" s="198" t="n"/>
    </row>
    <row r="443" ht="15" customHeight="1" s="195">
      <c r="A443" s="280" t="n"/>
      <c r="B443" s="280" t="n"/>
      <c r="C443" s="280" t="n"/>
      <c r="D443" s="280" t="n"/>
      <c r="E443" s="280" t="n"/>
      <c r="F443" s="280" t="n"/>
      <c r="G443" s="280" t="n"/>
      <c r="H443" s="280" t="n"/>
      <c r="I443" s="332">
        <f>IFERROR(VLOOKUP(TEXT(H443,"0"),IPRESS!$A$3:$B$212,2,0),"")</f>
        <v/>
      </c>
      <c r="J443" s="280" t="n"/>
      <c r="K443" s="343" t="n"/>
      <c r="L443" s="280" t="n"/>
      <c r="M443" s="280" t="n"/>
      <c r="N443" s="345" t="n"/>
      <c r="O443" s="280" t="n"/>
      <c r="P443" s="332">
        <f>IFERROR(VLOOKUP(TEXT(O443,"0"),CONDUCTORES!$A$3:$G$54,2,0),"")</f>
        <v/>
      </c>
      <c r="Q443" s="332">
        <f>IFERROR(VLOOKUP(TEXT(O443,"0"),CONDUCTORES!$A$3:$H$54,6,0),"")</f>
        <v/>
      </c>
      <c r="R443" s="280" t="n"/>
      <c r="S443" s="280" t="n"/>
      <c r="T443" s="280" t="n"/>
      <c r="U443" s="280" t="n"/>
      <c r="V443" s="280" t="n"/>
      <c r="W443" s="280" t="n"/>
      <c r="X443" s="280" t="n"/>
      <c r="Y443" s="280" t="n"/>
      <c r="Z443" s="350" t="n"/>
      <c r="AA443" s="198" t="n"/>
      <c r="AB443" s="198" t="n"/>
      <c r="AC443" s="198" t="n"/>
    </row>
    <row r="444" ht="15" customHeight="1" s="195">
      <c r="A444" s="280" t="n"/>
      <c r="B444" s="280" t="n"/>
      <c r="C444" s="280" t="n"/>
      <c r="D444" s="280" t="n"/>
      <c r="E444" s="280" t="n"/>
      <c r="F444" s="280" t="n"/>
      <c r="G444" s="280" t="n"/>
      <c r="H444" s="280" t="n"/>
      <c r="I444" s="332">
        <f>IFERROR(VLOOKUP(TEXT(H444,"0"),IPRESS!$A$3:$B$212,2,0),"")</f>
        <v/>
      </c>
      <c r="J444" s="280" t="n"/>
      <c r="K444" s="343" t="n"/>
      <c r="L444" s="280" t="n"/>
      <c r="M444" s="280" t="n"/>
      <c r="N444" s="345" t="n"/>
      <c r="O444" s="280" t="n"/>
      <c r="P444" s="332">
        <f>IFERROR(VLOOKUP(TEXT(O444,"0"),CONDUCTORES!$A$3:$G$54,2,0),"")</f>
        <v/>
      </c>
      <c r="Q444" s="332">
        <f>IFERROR(VLOOKUP(TEXT(O444,"0"),CONDUCTORES!$A$3:$H$54,6,0),"")</f>
        <v/>
      </c>
      <c r="R444" s="280" t="n"/>
      <c r="S444" s="280" t="n"/>
      <c r="T444" s="280" t="n"/>
      <c r="U444" s="280" t="n"/>
      <c r="V444" s="280" t="n"/>
      <c r="W444" s="280" t="n"/>
      <c r="X444" s="280" t="n"/>
      <c r="Y444" s="280" t="n"/>
      <c r="Z444" s="350" t="n"/>
      <c r="AA444" s="198" t="n"/>
      <c r="AB444" s="198" t="n"/>
      <c r="AC444" s="198" t="n"/>
    </row>
    <row r="445" ht="15" customHeight="1" s="195">
      <c r="A445" s="280" t="n"/>
      <c r="B445" s="280" t="n"/>
      <c r="C445" s="280" t="n"/>
      <c r="D445" s="280" t="n"/>
      <c r="E445" s="280" t="n"/>
      <c r="F445" s="280" t="n"/>
      <c r="G445" s="280" t="n"/>
      <c r="H445" s="280" t="n"/>
      <c r="I445" s="332">
        <f>IFERROR(VLOOKUP(TEXT(H445,"0"),IPRESS!$A$3:$B$212,2,0),"")</f>
        <v/>
      </c>
      <c r="J445" s="280" t="n"/>
      <c r="K445" s="343" t="n"/>
      <c r="L445" s="280" t="n"/>
      <c r="M445" s="280" t="n"/>
      <c r="N445" s="345" t="n"/>
      <c r="O445" s="280" t="n"/>
      <c r="P445" s="332">
        <f>IFERROR(VLOOKUP(TEXT(O445,"0"),CONDUCTORES!$A$3:$G$54,2,0),"")</f>
        <v/>
      </c>
      <c r="Q445" s="332">
        <f>IFERROR(VLOOKUP(TEXT(O445,"0"),CONDUCTORES!$A$3:$H$54,6,0),"")</f>
        <v/>
      </c>
      <c r="R445" s="280" t="n"/>
      <c r="S445" s="280" t="n"/>
      <c r="T445" s="280" t="n"/>
      <c r="U445" s="280" t="n"/>
      <c r="V445" s="280" t="n"/>
      <c r="W445" s="280" t="n"/>
      <c r="X445" s="280" t="n"/>
      <c r="Y445" s="280" t="n"/>
      <c r="Z445" s="350" t="n"/>
      <c r="AA445" s="198" t="n"/>
      <c r="AB445" s="198" t="n"/>
      <c r="AC445" s="198" t="n"/>
    </row>
    <row r="446" ht="15" customHeight="1" s="195">
      <c r="A446" s="280" t="n"/>
      <c r="B446" s="280" t="n"/>
      <c r="C446" s="280" t="n"/>
      <c r="D446" s="280" t="n"/>
      <c r="E446" s="280" t="n"/>
      <c r="F446" s="280" t="n"/>
      <c r="G446" s="280" t="n"/>
      <c r="H446" s="280" t="n"/>
      <c r="I446" s="332">
        <f>IFERROR(VLOOKUP(TEXT(H446,"0"),IPRESS!$A$3:$B$212,2,0),"")</f>
        <v/>
      </c>
      <c r="J446" s="280" t="n"/>
      <c r="K446" s="343" t="n"/>
      <c r="L446" s="280" t="n"/>
      <c r="M446" s="280" t="n"/>
      <c r="N446" s="345" t="n"/>
      <c r="O446" s="280" t="n"/>
      <c r="P446" s="332">
        <f>IFERROR(VLOOKUP(TEXT(O446,"0"),CONDUCTORES!$A$3:$G$54,2,0),"")</f>
        <v/>
      </c>
      <c r="Q446" s="332">
        <f>IFERROR(VLOOKUP(TEXT(O446,"0"),CONDUCTORES!$A$3:$H$54,6,0),"")</f>
        <v/>
      </c>
      <c r="R446" s="280" t="n"/>
      <c r="S446" s="280" t="n"/>
      <c r="T446" s="280" t="n"/>
      <c r="U446" s="280" t="n"/>
      <c r="V446" s="280" t="n"/>
      <c r="W446" s="280" t="n"/>
      <c r="X446" s="280" t="n"/>
      <c r="Y446" s="280" t="n"/>
      <c r="Z446" s="350" t="n"/>
      <c r="AA446" s="198" t="n"/>
      <c r="AB446" s="198" t="n"/>
      <c r="AC446" s="198" t="n"/>
    </row>
    <row r="447" ht="15" customHeight="1" s="195">
      <c r="A447" s="280" t="n"/>
      <c r="B447" s="280" t="n"/>
      <c r="C447" s="280" t="n"/>
      <c r="D447" s="280" t="n"/>
      <c r="E447" s="280" t="n"/>
      <c r="F447" s="280" t="n"/>
      <c r="G447" s="280" t="n"/>
      <c r="H447" s="280" t="n"/>
      <c r="I447" s="332">
        <f>IFERROR(VLOOKUP(TEXT(H447,"0"),IPRESS!$A$3:$B$212,2,0),"")</f>
        <v/>
      </c>
      <c r="J447" s="280" t="n"/>
      <c r="K447" s="343" t="n"/>
      <c r="L447" s="280" t="n"/>
      <c r="M447" s="280" t="n"/>
      <c r="N447" s="345" t="n"/>
      <c r="O447" s="280" t="n"/>
      <c r="P447" s="332">
        <f>IFERROR(VLOOKUP(TEXT(O447,"0"),CONDUCTORES!$A$3:$G$54,2,0),"")</f>
        <v/>
      </c>
      <c r="Q447" s="332">
        <f>IFERROR(VLOOKUP(TEXT(O447,"0"),CONDUCTORES!$A$3:$H$54,6,0),"")</f>
        <v/>
      </c>
      <c r="R447" s="280" t="n"/>
      <c r="S447" s="280" t="n"/>
      <c r="T447" s="280" t="n"/>
      <c r="U447" s="280" t="n"/>
      <c r="V447" s="280" t="n"/>
      <c r="W447" s="280" t="n"/>
      <c r="X447" s="280" t="n"/>
      <c r="Y447" s="280" t="n"/>
      <c r="Z447" s="350" t="n"/>
      <c r="AA447" s="198" t="n"/>
      <c r="AB447" s="198" t="n"/>
      <c r="AC447" s="198" t="n"/>
    </row>
    <row r="448" ht="15" customHeight="1" s="195">
      <c r="A448" s="280" t="n"/>
      <c r="B448" s="280" t="n"/>
      <c r="C448" s="280" t="n"/>
      <c r="D448" s="280" t="n"/>
      <c r="E448" s="280" t="n"/>
      <c r="F448" s="280" t="n"/>
      <c r="G448" s="280" t="n"/>
      <c r="H448" s="280" t="n"/>
      <c r="I448" s="332">
        <f>IFERROR(VLOOKUP(TEXT(H448,"0"),IPRESS!$A$3:$B$212,2,0),"")</f>
        <v/>
      </c>
      <c r="J448" s="280" t="n"/>
      <c r="K448" s="343" t="n"/>
      <c r="L448" s="280" t="n"/>
      <c r="M448" s="280" t="n"/>
      <c r="N448" s="345" t="n"/>
      <c r="O448" s="280" t="n"/>
      <c r="P448" s="332">
        <f>IFERROR(VLOOKUP(TEXT(O448,"0"),CONDUCTORES!$A$3:$G$54,2,0),"")</f>
        <v/>
      </c>
      <c r="Q448" s="332">
        <f>IFERROR(VLOOKUP(TEXT(O448,"0"),CONDUCTORES!$A$3:$H$54,6,0),"")</f>
        <v/>
      </c>
      <c r="R448" s="280" t="n"/>
      <c r="S448" s="280" t="n"/>
      <c r="T448" s="280" t="n"/>
      <c r="U448" s="280" t="n"/>
      <c r="V448" s="280" t="n"/>
      <c r="W448" s="280" t="n"/>
      <c r="X448" s="280" t="n"/>
      <c r="Y448" s="280" t="n"/>
      <c r="Z448" s="350" t="n"/>
      <c r="AA448" s="198" t="n"/>
      <c r="AB448" s="198" t="n"/>
      <c r="AC448" s="198" t="n"/>
    </row>
    <row r="449" ht="15" customHeight="1" s="195">
      <c r="A449" s="280" t="n"/>
      <c r="B449" s="280" t="n"/>
      <c r="C449" s="280" t="n"/>
      <c r="D449" s="280" t="n"/>
      <c r="E449" s="280" t="n"/>
      <c r="F449" s="280" t="n"/>
      <c r="G449" s="280" t="n"/>
      <c r="H449" s="280" t="n"/>
      <c r="I449" s="332">
        <f>IFERROR(VLOOKUP(TEXT(H449,"0"),IPRESS!$A$3:$B$212,2,0),"")</f>
        <v/>
      </c>
      <c r="J449" s="280" t="n"/>
      <c r="K449" s="343" t="n"/>
      <c r="L449" s="280" t="n"/>
      <c r="M449" s="280" t="n"/>
      <c r="N449" s="345" t="n"/>
      <c r="O449" s="280" t="n"/>
      <c r="P449" s="332">
        <f>IFERROR(VLOOKUP(TEXT(O449,"0"),CONDUCTORES!$A$3:$G$54,2,0),"")</f>
        <v/>
      </c>
      <c r="Q449" s="332">
        <f>IFERROR(VLOOKUP(TEXT(O449,"0"),CONDUCTORES!$A$3:$H$54,6,0),"")</f>
        <v/>
      </c>
      <c r="R449" s="280" t="n"/>
      <c r="S449" s="280" t="n"/>
      <c r="T449" s="280" t="n"/>
      <c r="U449" s="280" t="n"/>
      <c r="V449" s="280" t="n"/>
      <c r="W449" s="280" t="n"/>
      <c r="X449" s="280" t="n"/>
      <c r="Y449" s="280" t="n"/>
      <c r="Z449" s="350" t="n"/>
      <c r="AA449" s="198" t="n"/>
      <c r="AB449" s="198" t="n"/>
      <c r="AC449" s="198" t="n"/>
    </row>
    <row r="450" ht="15" customHeight="1" s="195">
      <c r="A450" s="280" t="n"/>
      <c r="B450" s="280" t="n"/>
      <c r="C450" s="280" t="n"/>
      <c r="D450" s="280" t="n"/>
      <c r="E450" s="280" t="n"/>
      <c r="F450" s="280" t="n"/>
      <c r="G450" s="280" t="n"/>
      <c r="H450" s="280" t="n"/>
      <c r="I450" s="332">
        <f>IFERROR(VLOOKUP(TEXT(H450,"0"),IPRESS!$A$3:$B$212,2,0),"")</f>
        <v/>
      </c>
      <c r="J450" s="280" t="n"/>
      <c r="K450" s="343" t="n"/>
      <c r="L450" s="280" t="n"/>
      <c r="M450" s="280" t="n"/>
      <c r="N450" s="345" t="n"/>
      <c r="O450" s="280" t="n"/>
      <c r="P450" s="332">
        <f>IFERROR(VLOOKUP(TEXT(O450,"0"),CONDUCTORES!$A$3:$G$54,2,0),"")</f>
        <v/>
      </c>
      <c r="Q450" s="332">
        <f>IFERROR(VLOOKUP(TEXT(O450,"0"),CONDUCTORES!$A$3:$H$54,6,0),"")</f>
        <v/>
      </c>
      <c r="R450" s="280" t="n"/>
      <c r="S450" s="280" t="n"/>
      <c r="T450" s="280" t="n"/>
      <c r="U450" s="280" t="n"/>
      <c r="V450" s="280" t="n"/>
      <c r="W450" s="280" t="n"/>
      <c r="X450" s="280" t="n"/>
      <c r="Y450" s="280" t="n"/>
      <c r="Z450" s="350" t="n"/>
      <c r="AA450" s="198" t="n"/>
      <c r="AB450" s="198" t="n"/>
      <c r="AC450" s="198" t="n"/>
    </row>
    <row r="451" ht="15" customHeight="1" s="195">
      <c r="A451" s="280" t="n"/>
      <c r="B451" s="280" t="n"/>
      <c r="C451" s="280" t="n"/>
      <c r="D451" s="280" t="n"/>
      <c r="E451" s="280" t="n"/>
      <c r="F451" s="280" t="n"/>
      <c r="G451" s="280" t="n"/>
      <c r="H451" s="280" t="n"/>
      <c r="I451" s="332">
        <f>IFERROR(VLOOKUP(TEXT(H451,"0"),IPRESS!$A$3:$B$212,2,0),"")</f>
        <v/>
      </c>
      <c r="J451" s="280" t="n"/>
      <c r="K451" s="343" t="n"/>
      <c r="L451" s="280" t="n"/>
      <c r="M451" s="280" t="n"/>
      <c r="N451" s="345" t="n"/>
      <c r="O451" s="280" t="n"/>
      <c r="P451" s="332">
        <f>IFERROR(VLOOKUP(TEXT(O451,"0"),CONDUCTORES!$A$3:$G$54,2,0),"")</f>
        <v/>
      </c>
      <c r="Q451" s="332">
        <f>IFERROR(VLOOKUP(TEXT(O451,"0"),CONDUCTORES!$A$3:$H$54,6,0),"")</f>
        <v/>
      </c>
      <c r="R451" s="280" t="n"/>
      <c r="S451" s="280" t="n"/>
      <c r="T451" s="280" t="n"/>
      <c r="U451" s="280" t="n"/>
      <c r="V451" s="280" t="n"/>
      <c r="W451" s="280" t="n"/>
      <c r="X451" s="280" t="n"/>
      <c r="Y451" s="280" t="n"/>
      <c r="Z451" s="350" t="n"/>
      <c r="AA451" s="198" t="n"/>
      <c r="AB451" s="198" t="n"/>
      <c r="AC451" s="198" t="n"/>
    </row>
    <row r="452" ht="15" customHeight="1" s="195">
      <c r="A452" s="280" t="n"/>
      <c r="B452" s="280" t="n"/>
      <c r="C452" s="280" t="n"/>
      <c r="D452" s="280" t="n"/>
      <c r="E452" s="280" t="n"/>
      <c r="F452" s="280" t="n"/>
      <c r="G452" s="280" t="n"/>
      <c r="H452" s="280" t="n"/>
      <c r="I452" s="332">
        <f>IFERROR(VLOOKUP(TEXT(H452,"0"),IPRESS!$A$3:$B$212,2,0),"")</f>
        <v/>
      </c>
      <c r="J452" s="280" t="n"/>
      <c r="K452" s="343" t="n"/>
      <c r="L452" s="280" t="n"/>
      <c r="M452" s="280" t="n"/>
      <c r="N452" s="345" t="n"/>
      <c r="O452" s="280" t="n"/>
      <c r="P452" s="332">
        <f>IFERROR(VLOOKUP(TEXT(O452,"0"),CONDUCTORES!$A$3:$G$54,2,0),"")</f>
        <v/>
      </c>
      <c r="Q452" s="332">
        <f>IFERROR(VLOOKUP(TEXT(O452,"0"),CONDUCTORES!$A$3:$H$54,6,0),"")</f>
        <v/>
      </c>
      <c r="R452" s="280" t="n"/>
      <c r="S452" s="280" t="n"/>
      <c r="T452" s="280" t="n"/>
      <c r="U452" s="280" t="n"/>
      <c r="V452" s="280" t="n"/>
      <c r="W452" s="280" t="n"/>
      <c r="X452" s="280" t="n"/>
      <c r="Y452" s="280" t="n"/>
      <c r="Z452" s="350" t="n"/>
      <c r="AA452" s="198" t="n"/>
      <c r="AB452" s="198" t="n"/>
      <c r="AC452" s="198" t="n"/>
    </row>
    <row r="453" ht="15" customHeight="1" s="195">
      <c r="A453" s="280" t="n"/>
      <c r="B453" s="280" t="n"/>
      <c r="C453" s="280" t="n"/>
      <c r="D453" s="280" t="n"/>
      <c r="E453" s="280" t="n"/>
      <c r="F453" s="280" t="n"/>
      <c r="G453" s="280" t="n"/>
      <c r="H453" s="280" t="n"/>
      <c r="I453" s="332">
        <f>IFERROR(VLOOKUP(TEXT(H453,"0"),IPRESS!$A$3:$B$212,2,0),"")</f>
        <v/>
      </c>
      <c r="J453" s="280" t="n"/>
      <c r="K453" s="343" t="n"/>
      <c r="L453" s="280" t="n"/>
      <c r="M453" s="280" t="n"/>
      <c r="N453" s="345" t="n"/>
      <c r="O453" s="280" t="n"/>
      <c r="P453" s="332">
        <f>IFERROR(VLOOKUP(TEXT(O453,"0"),CONDUCTORES!$A$3:$G$54,2,0),"")</f>
        <v/>
      </c>
      <c r="Q453" s="332">
        <f>IFERROR(VLOOKUP(TEXT(O453,"0"),CONDUCTORES!$A$3:$H$54,6,0),"")</f>
        <v/>
      </c>
      <c r="R453" s="280" t="n"/>
      <c r="S453" s="280" t="n"/>
      <c r="T453" s="280" t="n"/>
      <c r="U453" s="280" t="n"/>
      <c r="V453" s="280" t="n"/>
      <c r="W453" s="280" t="n"/>
      <c r="X453" s="280" t="n"/>
      <c r="Y453" s="280" t="n"/>
      <c r="Z453" s="350" t="n"/>
      <c r="AA453" s="198" t="n"/>
      <c r="AB453" s="198" t="n"/>
      <c r="AC453" s="198" t="n"/>
    </row>
    <row r="454" ht="15" customHeight="1" s="195">
      <c r="A454" s="280" t="n"/>
      <c r="B454" s="280" t="n"/>
      <c r="C454" s="280" t="n"/>
      <c r="D454" s="280" t="n"/>
      <c r="E454" s="280" t="n"/>
      <c r="F454" s="280" t="n"/>
      <c r="G454" s="280" t="n"/>
      <c r="H454" s="280" t="n"/>
      <c r="I454" s="332">
        <f>IFERROR(VLOOKUP(TEXT(H454,"0"),IPRESS!$A$3:$B$212,2,0),"")</f>
        <v/>
      </c>
      <c r="J454" s="280" t="n"/>
      <c r="K454" s="343" t="n"/>
      <c r="L454" s="280" t="n"/>
      <c r="M454" s="280" t="n"/>
      <c r="N454" s="345" t="n"/>
      <c r="O454" s="280" t="n"/>
      <c r="P454" s="332">
        <f>IFERROR(VLOOKUP(TEXT(O454,"0"),CONDUCTORES!$A$3:$G$54,2,0),"")</f>
        <v/>
      </c>
      <c r="Q454" s="332">
        <f>IFERROR(VLOOKUP(TEXT(O454,"0"),CONDUCTORES!$A$3:$H$54,6,0),"")</f>
        <v/>
      </c>
      <c r="R454" s="280" t="n"/>
      <c r="S454" s="280" t="n"/>
      <c r="T454" s="280" t="n"/>
      <c r="U454" s="280" t="n"/>
      <c r="V454" s="280" t="n"/>
      <c r="W454" s="280" t="n"/>
      <c r="X454" s="280" t="n"/>
      <c r="Y454" s="280" t="n"/>
      <c r="Z454" s="350" t="n"/>
      <c r="AA454" s="198" t="n"/>
      <c r="AB454" s="198" t="n"/>
      <c r="AC454" s="198" t="n"/>
    </row>
    <row r="455" ht="15" customHeight="1" s="195">
      <c r="A455" s="280" t="n"/>
      <c r="B455" s="280" t="n"/>
      <c r="C455" s="280" t="n"/>
      <c r="D455" s="280" t="n"/>
      <c r="E455" s="280" t="n"/>
      <c r="F455" s="280" t="n"/>
      <c r="G455" s="280" t="n"/>
      <c r="H455" s="280" t="n"/>
      <c r="I455" s="332">
        <f>IFERROR(VLOOKUP(TEXT(H455,"0"),IPRESS!$A$3:$B$212,2,0),"")</f>
        <v/>
      </c>
      <c r="J455" s="280" t="n"/>
      <c r="K455" s="343" t="n"/>
      <c r="L455" s="280" t="n"/>
      <c r="M455" s="280" t="n"/>
      <c r="N455" s="345" t="n"/>
      <c r="O455" s="280" t="n"/>
      <c r="P455" s="332">
        <f>IFERROR(VLOOKUP(TEXT(O455,"0"),CONDUCTORES!$A$3:$G$54,2,0),"")</f>
        <v/>
      </c>
      <c r="Q455" s="332">
        <f>IFERROR(VLOOKUP(TEXT(O455,"0"),CONDUCTORES!$A$3:$H$54,6,0),"")</f>
        <v/>
      </c>
      <c r="R455" s="280" t="n"/>
      <c r="S455" s="280" t="n"/>
      <c r="T455" s="280" t="n"/>
      <c r="U455" s="280" t="n"/>
      <c r="V455" s="280" t="n"/>
      <c r="W455" s="280" t="n"/>
      <c r="X455" s="280" t="n"/>
      <c r="Y455" s="280" t="n"/>
      <c r="Z455" s="350" t="n"/>
      <c r="AA455" s="198" t="n"/>
      <c r="AB455" s="198" t="n"/>
      <c r="AC455" s="198" t="n"/>
    </row>
    <row r="456" ht="15" customHeight="1" s="195">
      <c r="A456" s="280" t="n"/>
      <c r="B456" s="280" t="n"/>
      <c r="C456" s="280" t="n"/>
      <c r="D456" s="280" t="n"/>
      <c r="E456" s="280" t="n"/>
      <c r="F456" s="280" t="n"/>
      <c r="G456" s="280" t="n"/>
      <c r="H456" s="280" t="n"/>
      <c r="I456" s="332">
        <f>IFERROR(VLOOKUP(TEXT(H456,"0"),IPRESS!$A$3:$B$212,2,0),"")</f>
        <v/>
      </c>
      <c r="J456" s="280" t="n"/>
      <c r="K456" s="343" t="n"/>
      <c r="L456" s="280" t="n"/>
      <c r="M456" s="280" t="n"/>
      <c r="N456" s="345" t="n"/>
      <c r="O456" s="280" t="n"/>
      <c r="P456" s="332">
        <f>IFERROR(VLOOKUP(TEXT(O456,"0"),CONDUCTORES!$A$3:$G$54,2,0),"")</f>
        <v/>
      </c>
      <c r="Q456" s="332">
        <f>IFERROR(VLOOKUP(TEXT(O456,"0"),CONDUCTORES!$A$3:$H$54,6,0),"")</f>
        <v/>
      </c>
      <c r="R456" s="280" t="n"/>
      <c r="S456" s="280" t="n"/>
      <c r="T456" s="280" t="n"/>
      <c r="U456" s="280" t="n"/>
      <c r="V456" s="280" t="n"/>
      <c r="W456" s="280" t="n"/>
      <c r="X456" s="280" t="n"/>
      <c r="Y456" s="280" t="n"/>
      <c r="Z456" s="350" t="n"/>
      <c r="AA456" s="198" t="n"/>
      <c r="AB456" s="198" t="n"/>
      <c r="AC456" s="198" t="n"/>
    </row>
    <row r="457" ht="15" customHeight="1" s="195">
      <c r="A457" s="280" t="n"/>
      <c r="B457" s="280" t="n"/>
      <c r="C457" s="280" t="n"/>
      <c r="D457" s="280" t="n"/>
      <c r="E457" s="280" t="n"/>
      <c r="F457" s="280" t="n"/>
      <c r="G457" s="280" t="n"/>
      <c r="H457" s="280" t="n"/>
      <c r="I457" s="332">
        <f>IFERROR(VLOOKUP(TEXT(H457,"0"),IPRESS!$A$3:$B$212,2,0),"")</f>
        <v/>
      </c>
      <c r="J457" s="280" t="n"/>
      <c r="K457" s="343" t="n"/>
      <c r="L457" s="280" t="n"/>
      <c r="M457" s="280" t="n"/>
      <c r="N457" s="345" t="n"/>
      <c r="O457" s="280" t="n"/>
      <c r="P457" s="332">
        <f>IFERROR(VLOOKUP(TEXT(O457,"0"),CONDUCTORES!$A$3:$G$54,2,0),"")</f>
        <v/>
      </c>
      <c r="Q457" s="332">
        <f>IFERROR(VLOOKUP(TEXT(O457,"0"),CONDUCTORES!$A$3:$H$54,6,0),"")</f>
        <v/>
      </c>
      <c r="R457" s="280" t="n"/>
      <c r="S457" s="280" t="n"/>
      <c r="T457" s="280" t="n"/>
      <c r="U457" s="280" t="n"/>
      <c r="V457" s="280" t="n"/>
      <c r="W457" s="280" t="n"/>
      <c r="X457" s="280" t="n"/>
      <c r="Y457" s="280" t="n"/>
      <c r="Z457" s="350" t="n"/>
      <c r="AA457" s="198" t="n"/>
      <c r="AB457" s="198" t="n"/>
      <c r="AC457" s="198" t="n"/>
    </row>
    <row r="458" ht="15" customHeight="1" s="195">
      <c r="A458" s="280" t="n"/>
      <c r="B458" s="280" t="n"/>
      <c r="C458" s="280" t="n"/>
      <c r="D458" s="280" t="n"/>
      <c r="E458" s="280" t="n"/>
      <c r="F458" s="280" t="n"/>
      <c r="G458" s="280" t="n"/>
      <c r="H458" s="280" t="n"/>
      <c r="I458" s="332">
        <f>IFERROR(VLOOKUP(TEXT(H458,"0"),IPRESS!$A$3:$B$212,2,0),"")</f>
        <v/>
      </c>
      <c r="J458" s="280" t="n"/>
      <c r="K458" s="343" t="n"/>
      <c r="L458" s="280" t="n"/>
      <c r="M458" s="280" t="n"/>
      <c r="N458" s="345" t="n"/>
      <c r="O458" s="280" t="n"/>
      <c r="P458" s="332">
        <f>IFERROR(VLOOKUP(TEXT(O458,"0"),CONDUCTORES!$A$3:$G$54,2,0),"")</f>
        <v/>
      </c>
      <c r="Q458" s="332">
        <f>IFERROR(VLOOKUP(TEXT(O458,"0"),CONDUCTORES!$A$3:$H$54,6,0),"")</f>
        <v/>
      </c>
      <c r="R458" s="280" t="n"/>
      <c r="S458" s="280" t="n"/>
      <c r="T458" s="280" t="n"/>
      <c r="U458" s="280" t="n"/>
      <c r="V458" s="280" t="n"/>
      <c r="W458" s="280" t="n"/>
      <c r="X458" s="280" t="n"/>
      <c r="Y458" s="280" t="n"/>
      <c r="Z458" s="350" t="n"/>
      <c r="AA458" s="198" t="n"/>
      <c r="AB458" s="198" t="n"/>
      <c r="AC458" s="198" t="n"/>
    </row>
    <row r="459" ht="15" customHeight="1" s="195">
      <c r="A459" s="280" t="n"/>
      <c r="B459" s="280" t="n"/>
      <c r="C459" s="280" t="n"/>
      <c r="D459" s="280" t="n"/>
      <c r="E459" s="280" t="n"/>
      <c r="F459" s="280" t="n"/>
      <c r="G459" s="280" t="n"/>
      <c r="H459" s="280" t="n"/>
      <c r="I459" s="332">
        <f>IFERROR(VLOOKUP(TEXT(H459,"0"),IPRESS!$A$3:$B$212,2,0),"")</f>
        <v/>
      </c>
      <c r="J459" s="280" t="n"/>
      <c r="K459" s="343" t="n"/>
      <c r="L459" s="280" t="n"/>
      <c r="M459" s="280" t="n"/>
      <c r="N459" s="345" t="n"/>
      <c r="O459" s="280" t="n"/>
      <c r="P459" s="332">
        <f>IFERROR(VLOOKUP(TEXT(O459,"0"),CONDUCTORES!$A$3:$G$54,2,0),"")</f>
        <v/>
      </c>
      <c r="Q459" s="332">
        <f>IFERROR(VLOOKUP(TEXT(O459,"0"),CONDUCTORES!$A$3:$H$54,6,0),"")</f>
        <v/>
      </c>
      <c r="R459" s="280" t="n"/>
      <c r="S459" s="280" t="n"/>
      <c r="T459" s="280" t="n"/>
      <c r="U459" s="280" t="n"/>
      <c r="V459" s="280" t="n"/>
      <c r="W459" s="280" t="n"/>
      <c r="X459" s="280" t="n"/>
      <c r="Y459" s="280" t="n"/>
      <c r="Z459" s="350" t="n"/>
      <c r="AA459" s="198" t="n"/>
      <c r="AB459" s="198" t="n"/>
      <c r="AC459" s="198" t="n"/>
    </row>
    <row r="460" ht="15" customHeight="1" s="195">
      <c r="A460" s="280" t="n"/>
      <c r="B460" s="280" t="n"/>
      <c r="C460" s="280" t="n"/>
      <c r="D460" s="280" t="n"/>
      <c r="E460" s="280" t="n"/>
      <c r="F460" s="280" t="n"/>
      <c r="G460" s="280" t="n"/>
      <c r="H460" s="280" t="n"/>
      <c r="I460" s="332">
        <f>IFERROR(VLOOKUP(TEXT(H460,"0"),IPRESS!$A$3:$B$212,2,0),"")</f>
        <v/>
      </c>
      <c r="J460" s="280" t="n"/>
      <c r="K460" s="343" t="n"/>
      <c r="L460" s="280" t="n"/>
      <c r="M460" s="280" t="n"/>
      <c r="N460" s="345" t="n"/>
      <c r="O460" s="280" t="n"/>
      <c r="P460" s="332">
        <f>IFERROR(VLOOKUP(TEXT(O460,"0"),CONDUCTORES!$A$3:$G$54,2,0),"")</f>
        <v/>
      </c>
      <c r="Q460" s="332">
        <f>IFERROR(VLOOKUP(TEXT(O460,"0"),CONDUCTORES!$A$3:$H$54,6,0),"")</f>
        <v/>
      </c>
      <c r="R460" s="280" t="n"/>
      <c r="S460" s="280" t="n"/>
      <c r="T460" s="280" t="n"/>
      <c r="U460" s="280" t="n"/>
      <c r="V460" s="280" t="n"/>
      <c r="W460" s="280" t="n"/>
      <c r="X460" s="280" t="n"/>
      <c r="Y460" s="280" t="n"/>
      <c r="Z460" s="350" t="n"/>
      <c r="AA460" s="198" t="n"/>
      <c r="AB460" s="198" t="n"/>
      <c r="AC460" s="198" t="n"/>
    </row>
    <row r="461" ht="15" customHeight="1" s="195">
      <c r="A461" s="280" t="n"/>
      <c r="B461" s="280" t="n"/>
      <c r="C461" s="280" t="n"/>
      <c r="D461" s="280" t="n"/>
      <c r="E461" s="280" t="n"/>
      <c r="F461" s="280" t="n"/>
      <c r="G461" s="280" t="n"/>
      <c r="H461" s="280" t="n"/>
      <c r="I461" s="332">
        <f>IFERROR(VLOOKUP(TEXT(H461,"0"),IPRESS!$A$3:$B$212,2,0),"")</f>
        <v/>
      </c>
      <c r="J461" s="280" t="n"/>
      <c r="K461" s="343" t="n"/>
      <c r="L461" s="280" t="n"/>
      <c r="M461" s="280" t="n"/>
      <c r="N461" s="345" t="n"/>
      <c r="O461" s="280" t="n"/>
      <c r="P461" s="332">
        <f>IFERROR(VLOOKUP(TEXT(O461,"0"),CONDUCTORES!$A$3:$G$54,2,0),"")</f>
        <v/>
      </c>
      <c r="Q461" s="332">
        <f>IFERROR(VLOOKUP(TEXT(O461,"0"),CONDUCTORES!$A$3:$H$54,6,0),"")</f>
        <v/>
      </c>
      <c r="R461" s="280" t="n"/>
      <c r="S461" s="280" t="n"/>
      <c r="T461" s="280" t="n"/>
      <c r="U461" s="280" t="n"/>
      <c r="V461" s="280" t="n"/>
      <c r="W461" s="280" t="n"/>
      <c r="X461" s="280" t="n"/>
      <c r="Y461" s="280" t="n"/>
      <c r="Z461" s="350" t="n"/>
      <c r="AA461" s="198" t="n"/>
      <c r="AB461" s="198" t="n"/>
      <c r="AC461" s="198" t="n"/>
    </row>
    <row r="462" ht="15" customHeight="1" s="195">
      <c r="A462" s="280" t="n"/>
      <c r="B462" s="280" t="n"/>
      <c r="C462" s="280" t="n"/>
      <c r="D462" s="280" t="n"/>
      <c r="E462" s="280" t="n"/>
      <c r="F462" s="280" t="n"/>
      <c r="G462" s="280" t="n"/>
      <c r="H462" s="280" t="n"/>
      <c r="I462" s="332">
        <f>IFERROR(VLOOKUP(TEXT(H462,"0"),IPRESS!$A$3:$B$212,2,0),"")</f>
        <v/>
      </c>
      <c r="J462" s="280" t="n"/>
      <c r="K462" s="343" t="n"/>
      <c r="L462" s="280" t="n"/>
      <c r="M462" s="280" t="n"/>
      <c r="N462" s="345" t="n"/>
      <c r="O462" s="280" t="n"/>
      <c r="P462" s="332">
        <f>IFERROR(VLOOKUP(TEXT(O462,"0"),CONDUCTORES!$A$3:$G$54,2,0),"")</f>
        <v/>
      </c>
      <c r="Q462" s="332">
        <f>IFERROR(VLOOKUP(TEXT(O462,"0"),CONDUCTORES!$A$3:$H$54,6,0),"")</f>
        <v/>
      </c>
      <c r="R462" s="280" t="n"/>
      <c r="S462" s="280" t="n"/>
      <c r="T462" s="280" t="n"/>
      <c r="U462" s="280" t="n"/>
      <c r="V462" s="280" t="n"/>
      <c r="W462" s="280" t="n"/>
      <c r="X462" s="280" t="n"/>
      <c r="Y462" s="280" t="n"/>
      <c r="Z462" s="350" t="n"/>
      <c r="AA462" s="198" t="n"/>
      <c r="AB462" s="198" t="n"/>
      <c r="AC462" s="198" t="n"/>
    </row>
    <row r="463" ht="15" customHeight="1" s="195">
      <c r="A463" s="280" t="n"/>
      <c r="B463" s="280" t="n"/>
      <c r="C463" s="280" t="n"/>
      <c r="D463" s="280" t="n"/>
      <c r="E463" s="280" t="n"/>
      <c r="F463" s="280" t="n"/>
      <c r="G463" s="280" t="n"/>
      <c r="H463" s="280" t="n"/>
      <c r="I463" s="332">
        <f>IFERROR(VLOOKUP(TEXT(H463,"0"),IPRESS!$A$3:$B$212,2,0),"")</f>
        <v/>
      </c>
      <c r="J463" s="280" t="n"/>
      <c r="K463" s="343" t="n"/>
      <c r="L463" s="280" t="n"/>
      <c r="M463" s="280" t="n"/>
      <c r="N463" s="345" t="n"/>
      <c r="O463" s="280" t="n"/>
      <c r="P463" s="332">
        <f>IFERROR(VLOOKUP(TEXT(O463,"0"),CONDUCTORES!$A$3:$G$54,2,0),"")</f>
        <v/>
      </c>
      <c r="Q463" s="332">
        <f>IFERROR(VLOOKUP(TEXT(O463,"0"),CONDUCTORES!$A$3:$H$54,6,0),"")</f>
        <v/>
      </c>
      <c r="R463" s="280" t="n"/>
      <c r="S463" s="280" t="n"/>
      <c r="T463" s="280" t="n"/>
      <c r="U463" s="280" t="n"/>
      <c r="V463" s="280" t="n"/>
      <c r="W463" s="280" t="n"/>
      <c r="X463" s="280" t="n"/>
      <c r="Y463" s="280" t="n"/>
      <c r="Z463" s="350" t="n"/>
      <c r="AA463" s="198" t="n"/>
      <c r="AB463" s="198" t="n"/>
      <c r="AC463" s="198" t="n"/>
    </row>
    <row r="464" ht="15" customHeight="1" s="195">
      <c r="A464" s="280" t="n"/>
      <c r="B464" s="280" t="n"/>
      <c r="C464" s="280" t="n"/>
      <c r="D464" s="280" t="n"/>
      <c r="E464" s="280" t="n"/>
      <c r="F464" s="280" t="n"/>
      <c r="G464" s="280" t="n"/>
      <c r="H464" s="280" t="n"/>
      <c r="I464" s="332">
        <f>IFERROR(VLOOKUP(TEXT(H464,"0"),IPRESS!$A$3:$B$212,2,0),"")</f>
        <v/>
      </c>
      <c r="J464" s="280" t="n"/>
      <c r="K464" s="343" t="n"/>
      <c r="L464" s="280" t="n"/>
      <c r="M464" s="280" t="n"/>
      <c r="N464" s="345" t="n"/>
      <c r="O464" s="280" t="n"/>
      <c r="P464" s="332">
        <f>IFERROR(VLOOKUP(TEXT(O464,"0"),CONDUCTORES!$A$3:$G$54,2,0),"")</f>
        <v/>
      </c>
      <c r="Q464" s="332">
        <f>IFERROR(VLOOKUP(TEXT(O464,"0"),CONDUCTORES!$A$3:$H$54,6,0),"")</f>
        <v/>
      </c>
      <c r="R464" s="280" t="n"/>
      <c r="S464" s="280" t="n"/>
      <c r="T464" s="280" t="n"/>
      <c r="U464" s="280" t="n"/>
      <c r="V464" s="280" t="n"/>
      <c r="W464" s="280" t="n"/>
      <c r="X464" s="280" t="n"/>
      <c r="Y464" s="280" t="n"/>
      <c r="Z464" s="350" t="n"/>
      <c r="AA464" s="198" t="n"/>
      <c r="AB464" s="198" t="n"/>
      <c r="AC464" s="198" t="n"/>
    </row>
    <row r="465" ht="15" customHeight="1" s="195">
      <c r="A465" s="280" t="n"/>
      <c r="B465" s="280" t="n"/>
      <c r="C465" s="280" t="n"/>
      <c r="D465" s="280" t="n"/>
      <c r="E465" s="280" t="n"/>
      <c r="F465" s="280" t="n"/>
      <c r="G465" s="280" t="n"/>
      <c r="H465" s="280" t="n"/>
      <c r="I465" s="332">
        <f>IFERROR(VLOOKUP(TEXT(H465,"0"),IPRESS!$A$3:$B$212,2,0),"")</f>
        <v/>
      </c>
      <c r="J465" s="280" t="n"/>
      <c r="K465" s="343" t="n"/>
      <c r="L465" s="280" t="n"/>
      <c r="M465" s="280" t="n"/>
      <c r="N465" s="345" t="n"/>
      <c r="O465" s="280" t="n"/>
      <c r="P465" s="332">
        <f>IFERROR(VLOOKUP(TEXT(O465,"0"),CONDUCTORES!$A$3:$G$54,2,0),"")</f>
        <v/>
      </c>
      <c r="Q465" s="332">
        <f>IFERROR(VLOOKUP(TEXT(O465,"0"),CONDUCTORES!$A$3:$H$54,6,0),"")</f>
        <v/>
      </c>
      <c r="R465" s="280" t="n"/>
      <c r="S465" s="280" t="n"/>
      <c r="T465" s="280" t="n"/>
      <c r="U465" s="280" t="n"/>
      <c r="V465" s="280" t="n"/>
      <c r="W465" s="280" t="n"/>
      <c r="X465" s="280" t="n"/>
      <c r="Y465" s="280" t="n"/>
      <c r="Z465" s="350" t="n"/>
      <c r="AA465" s="198" t="n"/>
      <c r="AB465" s="198" t="n"/>
      <c r="AC465" s="198" t="n"/>
    </row>
    <row r="466" ht="15" customHeight="1" s="195">
      <c r="A466" s="280" t="n"/>
      <c r="B466" s="280" t="n"/>
      <c r="C466" s="280" t="n"/>
      <c r="D466" s="280" t="n"/>
      <c r="E466" s="280" t="n"/>
      <c r="F466" s="280" t="n"/>
      <c r="G466" s="280" t="n"/>
      <c r="H466" s="280" t="n"/>
      <c r="I466" s="332">
        <f>IFERROR(VLOOKUP(TEXT(H466,"0"),IPRESS!$A$3:$B$212,2,0),"")</f>
        <v/>
      </c>
      <c r="J466" s="280" t="n"/>
      <c r="K466" s="343" t="n"/>
      <c r="L466" s="280" t="n"/>
      <c r="M466" s="280" t="n"/>
      <c r="N466" s="345" t="n"/>
      <c r="O466" s="280" t="n"/>
      <c r="P466" s="332">
        <f>IFERROR(VLOOKUP(TEXT(O466,"0"),CONDUCTORES!$A$3:$G$54,2,0),"")</f>
        <v/>
      </c>
      <c r="Q466" s="332">
        <f>IFERROR(VLOOKUP(TEXT(O466,"0"),CONDUCTORES!$A$3:$H$54,6,0),"")</f>
        <v/>
      </c>
      <c r="R466" s="280" t="n"/>
      <c r="S466" s="280" t="n"/>
      <c r="T466" s="280" t="n"/>
      <c r="U466" s="280" t="n"/>
      <c r="V466" s="280" t="n"/>
      <c r="W466" s="280" t="n"/>
      <c r="X466" s="280" t="n"/>
      <c r="Y466" s="280" t="n"/>
      <c r="Z466" s="350" t="n"/>
      <c r="AA466" s="198" t="n"/>
      <c r="AB466" s="198" t="n"/>
      <c r="AC466" s="198" t="n"/>
    </row>
    <row r="467" ht="15" customHeight="1" s="195">
      <c r="A467" s="280" t="n"/>
      <c r="B467" s="280" t="n"/>
      <c r="C467" s="280" t="n"/>
      <c r="D467" s="280" t="n"/>
      <c r="E467" s="280" t="n"/>
      <c r="F467" s="280" t="n"/>
      <c r="G467" s="280" t="n"/>
      <c r="H467" s="280" t="n"/>
      <c r="I467" s="332">
        <f>IFERROR(VLOOKUP(TEXT(H467,"0"),IPRESS!$A$3:$B$212,2,0),"")</f>
        <v/>
      </c>
      <c r="J467" s="280" t="n"/>
      <c r="K467" s="343" t="n"/>
      <c r="L467" s="280" t="n"/>
      <c r="M467" s="280" t="n"/>
      <c r="N467" s="345" t="n"/>
      <c r="O467" s="280" t="n"/>
      <c r="P467" s="332">
        <f>IFERROR(VLOOKUP(TEXT(O467,"0"),CONDUCTORES!$A$3:$G$54,2,0),"")</f>
        <v/>
      </c>
      <c r="Q467" s="332">
        <f>IFERROR(VLOOKUP(TEXT(O467,"0"),CONDUCTORES!$A$3:$H$54,6,0),"")</f>
        <v/>
      </c>
      <c r="R467" s="280" t="n"/>
      <c r="S467" s="280" t="n"/>
      <c r="T467" s="280" t="n"/>
      <c r="U467" s="280" t="n"/>
      <c r="V467" s="280" t="n"/>
      <c r="W467" s="280" t="n"/>
      <c r="X467" s="280" t="n"/>
      <c r="Y467" s="280" t="n"/>
      <c r="Z467" s="350" t="n"/>
      <c r="AA467" s="198" t="n"/>
      <c r="AB467" s="198" t="n"/>
      <c r="AC467" s="198" t="n"/>
    </row>
    <row r="468" ht="15" customHeight="1" s="195">
      <c r="A468" s="280" t="n"/>
      <c r="B468" s="280" t="n"/>
      <c r="C468" s="280" t="n"/>
      <c r="D468" s="280" t="n"/>
      <c r="E468" s="280" t="n"/>
      <c r="F468" s="280" t="n"/>
      <c r="G468" s="280" t="n"/>
      <c r="H468" s="280" t="n"/>
      <c r="I468" s="332">
        <f>IFERROR(VLOOKUP(TEXT(H468,"0"),IPRESS!$A$3:$B$212,2,0),"")</f>
        <v/>
      </c>
      <c r="J468" s="280" t="n"/>
      <c r="K468" s="343" t="n"/>
      <c r="L468" s="280" t="n"/>
      <c r="M468" s="280" t="n"/>
      <c r="N468" s="345" t="n"/>
      <c r="O468" s="280" t="n"/>
      <c r="P468" s="332">
        <f>IFERROR(VLOOKUP(TEXT(O468,"0"),CONDUCTORES!$A$3:$G$54,2,0),"")</f>
        <v/>
      </c>
      <c r="Q468" s="332">
        <f>IFERROR(VLOOKUP(TEXT(O468,"0"),CONDUCTORES!$A$3:$H$54,6,0),"")</f>
        <v/>
      </c>
      <c r="R468" s="280" t="n"/>
      <c r="S468" s="280" t="n"/>
      <c r="T468" s="280" t="n"/>
      <c r="U468" s="280" t="n"/>
      <c r="V468" s="280" t="n"/>
      <c r="W468" s="280" t="n"/>
      <c r="X468" s="280" t="n"/>
      <c r="Y468" s="280" t="n"/>
      <c r="Z468" s="350" t="n"/>
      <c r="AA468" s="198" t="n"/>
      <c r="AB468" s="198" t="n"/>
      <c r="AC468" s="198" t="n"/>
    </row>
    <row r="469" ht="15" customHeight="1" s="195">
      <c r="A469" s="280" t="n"/>
      <c r="B469" s="280" t="n"/>
      <c r="C469" s="280" t="n"/>
      <c r="D469" s="280" t="n"/>
      <c r="E469" s="280" t="n"/>
      <c r="F469" s="280" t="n"/>
      <c r="G469" s="280" t="n"/>
      <c r="H469" s="280" t="n"/>
      <c r="I469" s="332">
        <f>IFERROR(VLOOKUP(TEXT(H469,"0"),IPRESS!$A$3:$B$212,2,0),"")</f>
        <v/>
      </c>
      <c r="J469" s="280" t="n"/>
      <c r="K469" s="343" t="n"/>
      <c r="L469" s="280" t="n"/>
      <c r="M469" s="280" t="n"/>
      <c r="N469" s="345" t="n"/>
      <c r="O469" s="280" t="n"/>
      <c r="P469" s="332">
        <f>IFERROR(VLOOKUP(TEXT(O469,"0"),CONDUCTORES!$A$3:$G$54,2,0),"")</f>
        <v/>
      </c>
      <c r="Q469" s="332">
        <f>IFERROR(VLOOKUP(TEXT(O469,"0"),CONDUCTORES!$A$3:$H$54,6,0),"")</f>
        <v/>
      </c>
      <c r="R469" s="280" t="n"/>
      <c r="S469" s="280" t="n"/>
      <c r="T469" s="280" t="n"/>
      <c r="U469" s="280" t="n"/>
      <c r="V469" s="280" t="n"/>
      <c r="W469" s="280" t="n"/>
      <c r="X469" s="280" t="n"/>
      <c r="Y469" s="280" t="n"/>
      <c r="Z469" s="350" t="n"/>
      <c r="AA469" s="198" t="n"/>
      <c r="AB469" s="198" t="n"/>
      <c r="AC469" s="198" t="n"/>
    </row>
    <row r="470" ht="15" customHeight="1" s="195">
      <c r="A470" s="280" t="n"/>
      <c r="B470" s="280" t="n"/>
      <c r="C470" s="280" t="n"/>
      <c r="D470" s="280" t="n"/>
      <c r="E470" s="280" t="n"/>
      <c r="F470" s="280" t="n"/>
      <c r="G470" s="280" t="n"/>
      <c r="H470" s="280" t="n"/>
      <c r="I470" s="332">
        <f>IFERROR(VLOOKUP(TEXT(H470,"0"),IPRESS!$A$3:$B$212,2,0),"")</f>
        <v/>
      </c>
      <c r="J470" s="280" t="n"/>
      <c r="K470" s="343" t="n"/>
      <c r="L470" s="280" t="n"/>
      <c r="M470" s="280" t="n"/>
      <c r="N470" s="345" t="n"/>
      <c r="O470" s="280" t="n"/>
      <c r="P470" s="332">
        <f>IFERROR(VLOOKUP(TEXT(O470,"0"),CONDUCTORES!$A$3:$G$54,2,0),"")</f>
        <v/>
      </c>
      <c r="Q470" s="332">
        <f>IFERROR(VLOOKUP(TEXT(O470,"0"),CONDUCTORES!$A$3:$H$54,6,0),"")</f>
        <v/>
      </c>
      <c r="R470" s="280" t="n"/>
      <c r="S470" s="280" t="n"/>
      <c r="T470" s="280" t="n"/>
      <c r="U470" s="280" t="n"/>
      <c r="V470" s="280" t="n"/>
      <c r="W470" s="280" t="n"/>
      <c r="X470" s="280" t="n"/>
      <c r="Y470" s="280" t="n"/>
      <c r="Z470" s="350" t="n"/>
      <c r="AA470" s="198" t="n"/>
      <c r="AB470" s="198" t="n"/>
      <c r="AC470" s="198" t="n"/>
    </row>
    <row r="471" ht="15" customHeight="1" s="195">
      <c r="A471" s="280" t="n"/>
      <c r="B471" s="280" t="n"/>
      <c r="C471" s="280" t="n"/>
      <c r="D471" s="280" t="n"/>
      <c r="E471" s="280" t="n"/>
      <c r="F471" s="280" t="n"/>
      <c r="G471" s="280" t="n"/>
      <c r="H471" s="280" t="n"/>
      <c r="I471" s="332">
        <f>IFERROR(VLOOKUP(TEXT(H471,"0"),IPRESS!$A$3:$B$212,2,0),"")</f>
        <v/>
      </c>
      <c r="J471" s="280" t="n"/>
      <c r="K471" s="343" t="n"/>
      <c r="L471" s="280" t="n"/>
      <c r="M471" s="280" t="n"/>
      <c r="N471" s="345" t="n"/>
      <c r="O471" s="280" t="n"/>
      <c r="P471" s="332">
        <f>IFERROR(VLOOKUP(TEXT(O471,"0"),CONDUCTORES!$A$3:$G$54,2,0),"")</f>
        <v/>
      </c>
      <c r="Q471" s="332">
        <f>IFERROR(VLOOKUP(TEXT(O471,"0"),CONDUCTORES!$A$3:$H$54,6,0),"")</f>
        <v/>
      </c>
      <c r="R471" s="280" t="n"/>
      <c r="S471" s="280" t="n"/>
      <c r="T471" s="280" t="n"/>
      <c r="U471" s="280" t="n"/>
      <c r="V471" s="280" t="n"/>
      <c r="W471" s="280" t="n"/>
      <c r="X471" s="280" t="n"/>
      <c r="Y471" s="280" t="n"/>
      <c r="Z471" s="350" t="n"/>
      <c r="AA471" s="198" t="n"/>
      <c r="AB471" s="198" t="n"/>
      <c r="AC471" s="198" t="n"/>
    </row>
    <row r="472" ht="15" customHeight="1" s="195">
      <c r="A472" s="280" t="n"/>
      <c r="B472" s="280" t="n"/>
      <c r="C472" s="280" t="n"/>
      <c r="D472" s="280" t="n"/>
      <c r="E472" s="280" t="n"/>
      <c r="F472" s="280" t="n"/>
      <c r="G472" s="280" t="n"/>
      <c r="H472" s="280" t="n"/>
      <c r="I472" s="332">
        <f>IFERROR(VLOOKUP(TEXT(H472,"0"),IPRESS!$A$3:$B$212,2,0),"")</f>
        <v/>
      </c>
      <c r="J472" s="280" t="n"/>
      <c r="K472" s="343" t="n"/>
      <c r="L472" s="280" t="n"/>
      <c r="M472" s="280" t="n"/>
      <c r="N472" s="345" t="n"/>
      <c r="O472" s="280" t="n"/>
      <c r="P472" s="332">
        <f>IFERROR(VLOOKUP(TEXT(O472,"0"),CONDUCTORES!$A$3:$G$54,2,0),"")</f>
        <v/>
      </c>
      <c r="Q472" s="332">
        <f>IFERROR(VLOOKUP(TEXT(O472,"0"),CONDUCTORES!$A$3:$H$54,6,0),"")</f>
        <v/>
      </c>
      <c r="R472" s="280" t="n"/>
      <c r="S472" s="280" t="n"/>
      <c r="T472" s="280" t="n"/>
      <c r="U472" s="280" t="n"/>
      <c r="V472" s="280" t="n"/>
      <c r="W472" s="280" t="n"/>
      <c r="X472" s="280" t="n"/>
      <c r="Y472" s="280" t="n"/>
      <c r="Z472" s="350" t="n"/>
      <c r="AA472" s="198" t="n"/>
      <c r="AB472" s="198" t="n"/>
      <c r="AC472" s="198" t="n"/>
    </row>
    <row r="473" ht="15" customHeight="1" s="195">
      <c r="A473" s="280" t="n"/>
      <c r="B473" s="280" t="n"/>
      <c r="C473" s="280" t="n"/>
      <c r="D473" s="280" t="n"/>
      <c r="E473" s="280" t="n"/>
      <c r="F473" s="280" t="n"/>
      <c r="G473" s="280" t="n"/>
      <c r="H473" s="280" t="n"/>
      <c r="I473" s="332">
        <f>IFERROR(VLOOKUP(TEXT(H473,"0"),IPRESS!$A$3:$B$212,2,0),"")</f>
        <v/>
      </c>
      <c r="J473" s="280" t="n"/>
      <c r="K473" s="343" t="n"/>
      <c r="L473" s="280" t="n"/>
      <c r="M473" s="280" t="n"/>
      <c r="N473" s="345" t="n"/>
      <c r="O473" s="280" t="n"/>
      <c r="P473" s="332">
        <f>IFERROR(VLOOKUP(TEXT(O473,"0"),CONDUCTORES!$A$3:$G$54,2,0),"")</f>
        <v/>
      </c>
      <c r="Q473" s="332">
        <f>IFERROR(VLOOKUP(TEXT(O473,"0"),CONDUCTORES!$A$3:$H$54,6,0),"")</f>
        <v/>
      </c>
      <c r="R473" s="280" t="n"/>
      <c r="S473" s="280" t="n"/>
      <c r="T473" s="280" t="n"/>
      <c r="U473" s="280" t="n"/>
      <c r="V473" s="280" t="n"/>
      <c r="W473" s="280" t="n"/>
      <c r="X473" s="280" t="n"/>
      <c r="Y473" s="280" t="n"/>
      <c r="Z473" s="350" t="n"/>
      <c r="AA473" s="198" t="n"/>
      <c r="AB473" s="198" t="n"/>
      <c r="AC473" s="198" t="n"/>
    </row>
    <row r="474" ht="15" customHeight="1" s="195">
      <c r="A474" s="280" t="n"/>
      <c r="B474" s="280" t="n"/>
      <c r="C474" s="280" t="n"/>
      <c r="D474" s="280" t="n"/>
      <c r="E474" s="280" t="n"/>
      <c r="F474" s="280" t="n"/>
      <c r="G474" s="280" t="n"/>
      <c r="H474" s="280" t="n"/>
      <c r="I474" s="332">
        <f>IFERROR(VLOOKUP(TEXT(H474,"0"),IPRESS!$A$3:$B$212,2,0),"")</f>
        <v/>
      </c>
      <c r="J474" s="280" t="n"/>
      <c r="K474" s="343" t="n"/>
      <c r="L474" s="280" t="n"/>
      <c r="M474" s="280" t="n"/>
      <c r="N474" s="345" t="n"/>
      <c r="O474" s="280" t="n"/>
      <c r="P474" s="332">
        <f>IFERROR(VLOOKUP(TEXT(O474,"0"),CONDUCTORES!$A$3:$G$54,2,0),"")</f>
        <v/>
      </c>
      <c r="Q474" s="332">
        <f>IFERROR(VLOOKUP(TEXT(O474,"0"),CONDUCTORES!$A$3:$H$54,6,0),"")</f>
        <v/>
      </c>
      <c r="R474" s="280" t="n"/>
      <c r="S474" s="280" t="n"/>
      <c r="T474" s="280" t="n"/>
      <c r="U474" s="280" t="n"/>
      <c r="V474" s="280" t="n"/>
      <c r="W474" s="280" t="n"/>
      <c r="X474" s="280" t="n"/>
      <c r="Y474" s="280" t="n"/>
      <c r="Z474" s="350" t="n"/>
      <c r="AA474" s="198" t="n"/>
      <c r="AB474" s="198" t="n"/>
      <c r="AC474" s="198" t="n"/>
    </row>
    <row r="475" ht="15" customHeight="1" s="195">
      <c r="A475" s="280" t="n"/>
      <c r="B475" s="280" t="n"/>
      <c r="C475" s="280" t="n"/>
      <c r="D475" s="280" t="n"/>
      <c r="E475" s="280" t="n"/>
      <c r="F475" s="280" t="n"/>
      <c r="G475" s="280" t="n"/>
      <c r="H475" s="280" t="n"/>
      <c r="I475" s="332">
        <f>IFERROR(VLOOKUP(TEXT(H475,"0"),IPRESS!$A$3:$B$212,2,0),"")</f>
        <v/>
      </c>
      <c r="J475" s="280" t="n"/>
      <c r="K475" s="343" t="n"/>
      <c r="L475" s="280" t="n"/>
      <c r="M475" s="280" t="n"/>
      <c r="N475" s="345" t="n"/>
      <c r="O475" s="280" t="n"/>
      <c r="P475" s="332">
        <f>IFERROR(VLOOKUP(TEXT(O475,"0"),CONDUCTORES!$A$3:$G$54,2,0),"")</f>
        <v/>
      </c>
      <c r="Q475" s="332">
        <f>IFERROR(VLOOKUP(TEXT(O475,"0"),CONDUCTORES!$A$3:$H$54,6,0),"")</f>
        <v/>
      </c>
      <c r="R475" s="280" t="n"/>
      <c r="S475" s="280" t="n"/>
      <c r="T475" s="280" t="n"/>
      <c r="U475" s="280" t="n"/>
      <c r="V475" s="280" t="n"/>
      <c r="W475" s="280" t="n"/>
      <c r="X475" s="280" t="n"/>
      <c r="Y475" s="280" t="n"/>
      <c r="Z475" s="350" t="n"/>
      <c r="AA475" s="198" t="n"/>
      <c r="AB475" s="198" t="n"/>
      <c r="AC475" s="198" t="n"/>
    </row>
    <row r="476" ht="15" customHeight="1" s="195">
      <c r="A476" s="280" t="n"/>
      <c r="B476" s="280" t="n"/>
      <c r="C476" s="280" t="n"/>
      <c r="D476" s="280" t="n"/>
      <c r="E476" s="280" t="n"/>
      <c r="F476" s="280" t="n"/>
      <c r="G476" s="280" t="n"/>
      <c r="H476" s="280" t="n"/>
      <c r="I476" s="332">
        <f>IFERROR(VLOOKUP(TEXT(H476,"0"),IPRESS!$A$3:$B$212,2,0),"")</f>
        <v/>
      </c>
      <c r="J476" s="280" t="n"/>
      <c r="K476" s="343" t="n"/>
      <c r="L476" s="280" t="n"/>
      <c r="M476" s="280" t="n"/>
      <c r="N476" s="345" t="n"/>
      <c r="O476" s="280" t="n"/>
      <c r="P476" s="332">
        <f>IFERROR(VLOOKUP(TEXT(O476,"0"),CONDUCTORES!$A$3:$G$54,2,0),"")</f>
        <v/>
      </c>
      <c r="Q476" s="332">
        <f>IFERROR(VLOOKUP(TEXT(O476,"0"),CONDUCTORES!$A$3:$H$54,6,0),"")</f>
        <v/>
      </c>
      <c r="R476" s="280" t="n"/>
      <c r="S476" s="280" t="n"/>
      <c r="T476" s="280" t="n"/>
      <c r="U476" s="280" t="n"/>
      <c r="V476" s="280" t="n"/>
      <c r="W476" s="280" t="n"/>
      <c r="X476" s="280" t="n"/>
      <c r="Y476" s="280" t="n"/>
      <c r="Z476" s="350" t="n"/>
      <c r="AA476" s="198" t="n"/>
      <c r="AB476" s="198" t="n"/>
      <c r="AC476" s="198" t="n"/>
    </row>
    <row r="477" ht="15" customHeight="1" s="195">
      <c r="A477" s="280" t="n"/>
      <c r="B477" s="280" t="n"/>
      <c r="C477" s="280" t="n"/>
      <c r="D477" s="280" t="n"/>
      <c r="E477" s="280" t="n"/>
      <c r="F477" s="280" t="n"/>
      <c r="G477" s="280" t="n"/>
      <c r="H477" s="280" t="n"/>
      <c r="I477" s="332">
        <f>IFERROR(VLOOKUP(TEXT(H477,"0"),IPRESS!$A$3:$B$212,2,0),"")</f>
        <v/>
      </c>
      <c r="J477" s="280" t="n"/>
      <c r="K477" s="343" t="n"/>
      <c r="L477" s="280" t="n"/>
      <c r="M477" s="280" t="n"/>
      <c r="N477" s="345" t="n"/>
      <c r="O477" s="280" t="n"/>
      <c r="P477" s="332">
        <f>IFERROR(VLOOKUP(TEXT(O477,"0"),CONDUCTORES!$A$3:$G$54,2,0),"")</f>
        <v/>
      </c>
      <c r="Q477" s="332">
        <f>IFERROR(VLOOKUP(TEXT(O477,"0"),CONDUCTORES!$A$3:$H$54,6,0),"")</f>
        <v/>
      </c>
      <c r="R477" s="280" t="n"/>
      <c r="S477" s="280" t="n"/>
      <c r="T477" s="280" t="n"/>
      <c r="U477" s="280" t="n"/>
      <c r="V477" s="280" t="n"/>
      <c r="W477" s="280" t="n"/>
      <c r="X477" s="280" t="n"/>
      <c r="Y477" s="280" t="n"/>
      <c r="Z477" s="350" t="n"/>
      <c r="AA477" s="198" t="n"/>
      <c r="AB477" s="198" t="n"/>
      <c r="AC477" s="198" t="n"/>
    </row>
    <row r="478" ht="15" customHeight="1" s="195">
      <c r="A478" s="280" t="n"/>
      <c r="B478" s="280" t="n"/>
      <c r="C478" s="280" t="n"/>
      <c r="D478" s="280" t="n"/>
      <c r="E478" s="280" t="n"/>
      <c r="F478" s="280" t="n"/>
      <c r="G478" s="280" t="n"/>
      <c r="H478" s="280" t="n"/>
      <c r="I478" s="332">
        <f>IFERROR(VLOOKUP(TEXT(H478,"0"),IPRESS!$A$3:$B$212,2,0),"")</f>
        <v/>
      </c>
      <c r="J478" s="280" t="n"/>
      <c r="K478" s="343" t="n"/>
      <c r="L478" s="280" t="n"/>
      <c r="M478" s="280" t="n"/>
      <c r="N478" s="345" t="n"/>
      <c r="O478" s="280" t="n"/>
      <c r="P478" s="332">
        <f>IFERROR(VLOOKUP(TEXT(O478,"0"),CONDUCTORES!$A$3:$G$54,2,0),"")</f>
        <v/>
      </c>
      <c r="Q478" s="332">
        <f>IFERROR(VLOOKUP(TEXT(O478,"0"),CONDUCTORES!$A$3:$H$54,6,0),"")</f>
        <v/>
      </c>
      <c r="R478" s="280" t="n"/>
      <c r="S478" s="280" t="n"/>
      <c r="T478" s="280" t="n"/>
      <c r="U478" s="280" t="n"/>
      <c r="V478" s="280" t="n"/>
      <c r="W478" s="280" t="n"/>
      <c r="X478" s="280" t="n"/>
      <c r="Y478" s="280" t="n"/>
      <c r="Z478" s="350" t="n"/>
      <c r="AA478" s="198" t="n"/>
      <c r="AB478" s="198" t="n"/>
      <c r="AC478" s="198" t="n"/>
    </row>
    <row r="479" ht="15" customHeight="1" s="195">
      <c r="A479" s="280" t="n"/>
      <c r="B479" s="280" t="n"/>
      <c r="C479" s="280" t="n"/>
      <c r="D479" s="280" t="n"/>
      <c r="E479" s="280" t="n"/>
      <c r="F479" s="280" t="n"/>
      <c r="G479" s="280" t="n"/>
      <c r="H479" s="280" t="n"/>
      <c r="I479" s="332">
        <f>IFERROR(VLOOKUP(TEXT(H479,"0"),IPRESS!$A$3:$B$212,2,0),"")</f>
        <v/>
      </c>
      <c r="J479" s="280" t="n"/>
      <c r="K479" s="343" t="n"/>
      <c r="L479" s="280" t="n"/>
      <c r="M479" s="280" t="n"/>
      <c r="N479" s="345" t="n"/>
      <c r="O479" s="280" t="n"/>
      <c r="P479" s="332">
        <f>IFERROR(VLOOKUP(TEXT(O479,"0"),CONDUCTORES!$A$3:$G$54,2,0),"")</f>
        <v/>
      </c>
      <c r="Q479" s="332">
        <f>IFERROR(VLOOKUP(TEXT(O479,"0"),CONDUCTORES!$A$3:$H$54,6,0),"")</f>
        <v/>
      </c>
      <c r="R479" s="280" t="n"/>
      <c r="S479" s="280" t="n"/>
      <c r="T479" s="280" t="n"/>
      <c r="U479" s="280" t="n"/>
      <c r="V479" s="280" t="n"/>
      <c r="W479" s="280" t="n"/>
      <c r="X479" s="280" t="n"/>
      <c r="Y479" s="280" t="n"/>
      <c r="Z479" s="350" t="n"/>
      <c r="AA479" s="198" t="n"/>
      <c r="AB479" s="198" t="n"/>
      <c r="AC479" s="198" t="n"/>
    </row>
    <row r="480" ht="15" customHeight="1" s="195">
      <c r="A480" s="280" t="n"/>
      <c r="B480" s="280" t="n"/>
      <c r="C480" s="280" t="n"/>
      <c r="D480" s="280" t="n"/>
      <c r="E480" s="280" t="n"/>
      <c r="F480" s="280" t="n"/>
      <c r="G480" s="280" t="n"/>
      <c r="H480" s="280" t="n"/>
      <c r="I480" s="332">
        <f>IFERROR(VLOOKUP(TEXT(H480,"0"),IPRESS!$A$3:$B$212,2,0),"")</f>
        <v/>
      </c>
      <c r="J480" s="280" t="n"/>
      <c r="K480" s="343" t="n"/>
      <c r="L480" s="280" t="n"/>
      <c r="M480" s="280" t="n"/>
      <c r="N480" s="345" t="n"/>
      <c r="O480" s="280" t="n"/>
      <c r="P480" s="332">
        <f>IFERROR(VLOOKUP(TEXT(O480,"0"),CONDUCTORES!$A$3:$G$54,2,0),"")</f>
        <v/>
      </c>
      <c r="Q480" s="332">
        <f>IFERROR(VLOOKUP(TEXT(O480,"0"),CONDUCTORES!$A$3:$H$54,6,0),"")</f>
        <v/>
      </c>
      <c r="R480" s="280" t="n"/>
      <c r="S480" s="280" t="n"/>
      <c r="T480" s="280" t="n"/>
      <c r="U480" s="280" t="n"/>
      <c r="V480" s="280" t="n"/>
      <c r="W480" s="280" t="n"/>
      <c r="X480" s="280" t="n"/>
      <c r="Y480" s="280" t="n"/>
      <c r="Z480" s="350" t="n"/>
      <c r="AA480" s="198" t="n"/>
      <c r="AB480" s="198" t="n"/>
      <c r="AC480" s="198" t="n"/>
    </row>
    <row r="481" ht="15" customHeight="1" s="195">
      <c r="A481" s="280" t="n"/>
      <c r="B481" s="280" t="n"/>
      <c r="C481" s="280" t="n"/>
      <c r="D481" s="280" t="n"/>
      <c r="E481" s="280" t="n"/>
      <c r="F481" s="280" t="n"/>
      <c r="G481" s="280" t="n"/>
      <c r="H481" s="280" t="n"/>
      <c r="I481" s="332">
        <f>IFERROR(VLOOKUP(TEXT(H481,"0"),IPRESS!$A$3:$B$212,2,0),"")</f>
        <v/>
      </c>
      <c r="J481" s="280" t="n"/>
      <c r="K481" s="343" t="n"/>
      <c r="L481" s="280" t="n"/>
      <c r="M481" s="280" t="n"/>
      <c r="N481" s="345" t="n"/>
      <c r="O481" s="280" t="n"/>
      <c r="P481" s="332">
        <f>IFERROR(VLOOKUP(TEXT(O481,"0"),CONDUCTORES!$A$3:$G$54,2,0),"")</f>
        <v/>
      </c>
      <c r="Q481" s="332">
        <f>IFERROR(VLOOKUP(TEXT(O481,"0"),CONDUCTORES!$A$3:$H$54,6,0),"")</f>
        <v/>
      </c>
      <c r="R481" s="280" t="n"/>
      <c r="S481" s="280" t="n"/>
      <c r="T481" s="280" t="n"/>
      <c r="U481" s="280" t="n"/>
      <c r="V481" s="280" t="n"/>
      <c r="W481" s="280" t="n"/>
      <c r="X481" s="280" t="n"/>
      <c r="Y481" s="280" t="n"/>
      <c r="Z481" s="350" t="n"/>
      <c r="AA481" s="198" t="n"/>
      <c r="AB481" s="198" t="n"/>
      <c r="AC481" s="198" t="n"/>
    </row>
    <row r="482" ht="15" customHeight="1" s="195">
      <c r="A482" s="280" t="n"/>
      <c r="B482" s="280" t="n"/>
      <c r="C482" s="280" t="n"/>
      <c r="D482" s="280" t="n"/>
      <c r="E482" s="280" t="n"/>
      <c r="F482" s="280" t="n"/>
      <c r="G482" s="280" t="n"/>
      <c r="H482" s="280" t="n"/>
      <c r="I482" s="332">
        <f>IFERROR(VLOOKUP(TEXT(H482,"0"),IPRESS!$A$3:$B$212,2,0),"")</f>
        <v/>
      </c>
      <c r="J482" s="280" t="n"/>
      <c r="K482" s="343" t="n"/>
      <c r="L482" s="280" t="n"/>
      <c r="M482" s="280" t="n"/>
      <c r="N482" s="345" t="n"/>
      <c r="O482" s="280" t="n"/>
      <c r="P482" s="332">
        <f>IFERROR(VLOOKUP(TEXT(O482,"0"),CONDUCTORES!$A$3:$G$54,2,0),"")</f>
        <v/>
      </c>
      <c r="Q482" s="332">
        <f>IFERROR(VLOOKUP(TEXT(O482,"0"),CONDUCTORES!$A$3:$H$54,6,0),"")</f>
        <v/>
      </c>
      <c r="R482" s="280" t="n"/>
      <c r="S482" s="280" t="n"/>
      <c r="T482" s="280" t="n"/>
      <c r="U482" s="280" t="n"/>
      <c r="V482" s="280" t="n"/>
      <c r="W482" s="280" t="n"/>
      <c r="X482" s="280" t="n"/>
      <c r="Y482" s="280" t="n"/>
      <c r="Z482" s="350" t="n"/>
      <c r="AA482" s="198" t="n"/>
      <c r="AB482" s="198" t="n"/>
      <c r="AC482" s="198" t="n"/>
    </row>
    <row r="483" ht="15" customHeight="1" s="195">
      <c r="A483" s="280" t="n"/>
      <c r="B483" s="280" t="n"/>
      <c r="C483" s="280" t="n"/>
      <c r="D483" s="280" t="n"/>
      <c r="E483" s="280" t="n"/>
      <c r="F483" s="280" t="n"/>
      <c r="G483" s="280" t="n"/>
      <c r="H483" s="280" t="n"/>
      <c r="I483" s="332">
        <f>IFERROR(VLOOKUP(TEXT(H483,"0"),IPRESS!$A$3:$B$212,2,0),"")</f>
        <v/>
      </c>
      <c r="J483" s="280" t="n"/>
      <c r="K483" s="343" t="n"/>
      <c r="L483" s="280" t="n"/>
      <c r="M483" s="280" t="n"/>
      <c r="N483" s="345" t="n"/>
      <c r="O483" s="280" t="n"/>
      <c r="P483" s="332">
        <f>IFERROR(VLOOKUP(TEXT(O483,"0"),CONDUCTORES!$A$3:$G$54,2,0),"")</f>
        <v/>
      </c>
      <c r="Q483" s="332">
        <f>IFERROR(VLOOKUP(TEXT(O483,"0"),CONDUCTORES!$A$3:$H$54,6,0),"")</f>
        <v/>
      </c>
      <c r="R483" s="280" t="n"/>
      <c r="S483" s="280" t="n"/>
      <c r="T483" s="280" t="n"/>
      <c r="U483" s="280" t="n"/>
      <c r="V483" s="280" t="n"/>
      <c r="W483" s="280" t="n"/>
      <c r="X483" s="280" t="n"/>
      <c r="Y483" s="280" t="n"/>
      <c r="Z483" s="350" t="n"/>
      <c r="AA483" s="198" t="n"/>
      <c r="AB483" s="198" t="n"/>
      <c r="AC483" s="198" t="n"/>
    </row>
    <row r="484" ht="15" customHeight="1" s="195">
      <c r="A484" s="280" t="n"/>
      <c r="B484" s="280" t="n"/>
      <c r="C484" s="280" t="n"/>
      <c r="D484" s="280" t="n"/>
      <c r="E484" s="280" t="n"/>
      <c r="F484" s="280" t="n"/>
      <c r="G484" s="280" t="n"/>
      <c r="H484" s="280" t="n"/>
      <c r="I484" s="332">
        <f>IFERROR(VLOOKUP(TEXT(H484,"0"),IPRESS!$A$3:$B$212,2,0),"")</f>
        <v/>
      </c>
      <c r="J484" s="280" t="n"/>
      <c r="K484" s="343" t="n"/>
      <c r="L484" s="280" t="n"/>
      <c r="M484" s="280" t="n"/>
      <c r="N484" s="345" t="n"/>
      <c r="O484" s="280" t="n"/>
      <c r="P484" s="332">
        <f>IFERROR(VLOOKUP(TEXT(O484,"0"),CONDUCTORES!$A$3:$G$54,2,0),"")</f>
        <v/>
      </c>
      <c r="Q484" s="332">
        <f>IFERROR(VLOOKUP(TEXT(O484,"0"),CONDUCTORES!$A$3:$H$54,6,0),"")</f>
        <v/>
      </c>
      <c r="R484" s="280" t="n"/>
      <c r="S484" s="280" t="n"/>
      <c r="T484" s="280" t="n"/>
      <c r="U484" s="280" t="n"/>
      <c r="V484" s="280" t="n"/>
      <c r="W484" s="280" t="n"/>
      <c r="X484" s="280" t="n"/>
      <c r="Y484" s="280" t="n"/>
      <c r="Z484" s="350" t="n"/>
      <c r="AA484" s="198" t="n"/>
      <c r="AB484" s="198" t="n"/>
      <c r="AC484" s="198" t="n"/>
    </row>
    <row r="485" ht="15" customHeight="1" s="195">
      <c r="A485" s="280" t="n"/>
      <c r="B485" s="280" t="n"/>
      <c r="C485" s="280" t="n"/>
      <c r="D485" s="280" t="n"/>
      <c r="E485" s="280" t="n"/>
      <c r="F485" s="280" t="n"/>
      <c r="G485" s="280" t="n"/>
      <c r="H485" s="280" t="n"/>
      <c r="I485" s="332">
        <f>IFERROR(VLOOKUP(TEXT(H485,"0"),IPRESS!$A$3:$B$212,2,0),"")</f>
        <v/>
      </c>
      <c r="J485" s="280" t="n"/>
      <c r="K485" s="343" t="n"/>
      <c r="L485" s="280" t="n"/>
      <c r="M485" s="280" t="n"/>
      <c r="N485" s="345" t="n"/>
      <c r="O485" s="280" t="n"/>
      <c r="P485" s="332">
        <f>IFERROR(VLOOKUP(TEXT(O485,"0"),CONDUCTORES!$A$3:$G$54,2,0),"")</f>
        <v/>
      </c>
      <c r="Q485" s="332">
        <f>IFERROR(VLOOKUP(TEXT(O485,"0"),CONDUCTORES!$A$3:$H$54,6,0),"")</f>
        <v/>
      </c>
      <c r="R485" s="280" t="n"/>
      <c r="S485" s="280" t="n"/>
      <c r="T485" s="280" t="n"/>
      <c r="U485" s="280" t="n"/>
      <c r="V485" s="280" t="n"/>
      <c r="W485" s="280" t="n"/>
      <c r="X485" s="280" t="n"/>
      <c r="Y485" s="280" t="n"/>
      <c r="Z485" s="350" t="n"/>
      <c r="AA485" s="198" t="n"/>
      <c r="AB485" s="198" t="n"/>
      <c r="AC485" s="198" t="n"/>
    </row>
    <row r="486" ht="15" customHeight="1" s="195">
      <c r="A486" s="280" t="n"/>
      <c r="B486" s="280" t="n"/>
      <c r="C486" s="280" t="n"/>
      <c r="D486" s="280" t="n"/>
      <c r="E486" s="280" t="n"/>
      <c r="F486" s="280" t="n"/>
      <c r="G486" s="280" t="n"/>
      <c r="H486" s="280" t="n"/>
      <c r="I486" s="332">
        <f>IFERROR(VLOOKUP(TEXT(H486,"0"),IPRESS!$A$3:$B$212,2,0),"")</f>
        <v/>
      </c>
      <c r="J486" s="280" t="n"/>
      <c r="K486" s="343" t="n"/>
      <c r="L486" s="280" t="n"/>
      <c r="M486" s="280" t="n"/>
      <c r="N486" s="345" t="n"/>
      <c r="O486" s="280" t="n"/>
      <c r="P486" s="332">
        <f>IFERROR(VLOOKUP(TEXT(O486,"0"),CONDUCTORES!$A$3:$G$54,2,0),"")</f>
        <v/>
      </c>
      <c r="Q486" s="332">
        <f>IFERROR(VLOOKUP(TEXT(O486,"0"),CONDUCTORES!$A$3:$H$54,6,0),"")</f>
        <v/>
      </c>
      <c r="R486" s="280" t="n"/>
      <c r="S486" s="280" t="n"/>
      <c r="T486" s="280" t="n"/>
      <c r="U486" s="280" t="n"/>
      <c r="V486" s="280" t="n"/>
      <c r="W486" s="280" t="n"/>
      <c r="X486" s="280" t="n"/>
      <c r="Y486" s="280" t="n"/>
      <c r="Z486" s="350" t="n"/>
      <c r="AA486" s="198" t="n"/>
      <c r="AB486" s="198" t="n"/>
      <c r="AC486" s="198" t="n"/>
    </row>
    <row r="487" ht="15" customHeight="1" s="195">
      <c r="A487" s="280" t="n"/>
      <c r="B487" s="280" t="n"/>
      <c r="C487" s="280" t="n"/>
      <c r="D487" s="280" t="n"/>
      <c r="E487" s="280" t="n"/>
      <c r="F487" s="280" t="n"/>
      <c r="G487" s="280" t="n"/>
      <c r="H487" s="280" t="n"/>
      <c r="I487" s="332">
        <f>IFERROR(VLOOKUP(TEXT(H487,"0"),IPRESS!$A$3:$B$212,2,0),"")</f>
        <v/>
      </c>
      <c r="J487" s="280" t="n"/>
      <c r="K487" s="343" t="n"/>
      <c r="L487" s="280" t="n"/>
      <c r="M487" s="280" t="n"/>
      <c r="N487" s="345" t="n"/>
      <c r="O487" s="280" t="n"/>
      <c r="P487" s="332">
        <f>IFERROR(VLOOKUP(TEXT(O487,"0"),CONDUCTORES!$A$3:$G$54,2,0),"")</f>
        <v/>
      </c>
      <c r="Q487" s="332">
        <f>IFERROR(VLOOKUP(TEXT(O487,"0"),CONDUCTORES!$A$3:$H$54,6,0),"")</f>
        <v/>
      </c>
      <c r="R487" s="280" t="n"/>
      <c r="S487" s="280" t="n"/>
      <c r="T487" s="280" t="n"/>
      <c r="U487" s="280" t="n"/>
      <c r="V487" s="280" t="n"/>
      <c r="W487" s="280" t="n"/>
      <c r="X487" s="280" t="n"/>
      <c r="Y487" s="280" t="n"/>
      <c r="Z487" s="350" t="n"/>
      <c r="AA487" s="198" t="n"/>
      <c r="AB487" s="198" t="n"/>
      <c r="AC487" s="198" t="n"/>
    </row>
    <row r="488" ht="15" customHeight="1" s="195">
      <c r="A488" s="280" t="n"/>
      <c r="B488" s="280" t="n"/>
      <c r="C488" s="280" t="n"/>
      <c r="D488" s="280" t="n"/>
      <c r="E488" s="280" t="n"/>
      <c r="F488" s="280" t="n"/>
      <c r="G488" s="280" t="n"/>
      <c r="H488" s="280" t="n"/>
      <c r="I488" s="332">
        <f>IFERROR(VLOOKUP(TEXT(H488,"0"),IPRESS!$A$3:$B$212,2,0),"")</f>
        <v/>
      </c>
      <c r="J488" s="280" t="n"/>
      <c r="K488" s="343" t="n"/>
      <c r="L488" s="280" t="n"/>
      <c r="M488" s="280" t="n"/>
      <c r="N488" s="345" t="n"/>
      <c r="O488" s="280" t="n"/>
      <c r="P488" s="332">
        <f>IFERROR(VLOOKUP(TEXT(O488,"0"),CONDUCTORES!$A$3:$G$54,2,0),"")</f>
        <v/>
      </c>
      <c r="Q488" s="332">
        <f>IFERROR(VLOOKUP(TEXT(O488,"0"),CONDUCTORES!$A$3:$H$54,6,0),"")</f>
        <v/>
      </c>
      <c r="R488" s="280" t="n"/>
      <c r="S488" s="280" t="n"/>
      <c r="T488" s="280" t="n"/>
      <c r="U488" s="280" t="n"/>
      <c r="V488" s="280" t="n"/>
      <c r="W488" s="280" t="n"/>
      <c r="X488" s="280" t="n"/>
      <c r="Y488" s="280" t="n"/>
      <c r="Z488" s="350" t="n"/>
      <c r="AA488" s="198" t="n"/>
      <c r="AB488" s="198" t="n"/>
      <c r="AC488" s="198" t="n"/>
    </row>
    <row r="489" ht="15" customHeight="1" s="195">
      <c r="A489" s="280" t="n"/>
      <c r="B489" s="280" t="n"/>
      <c r="C489" s="280" t="n"/>
      <c r="D489" s="280" t="n"/>
      <c r="E489" s="280" t="n"/>
      <c r="F489" s="280" t="n"/>
      <c r="G489" s="280" t="n"/>
      <c r="H489" s="280" t="n"/>
      <c r="I489" s="332">
        <f>IFERROR(VLOOKUP(TEXT(H489,"0"),IPRESS!$A$3:$B$212,2,0),"")</f>
        <v/>
      </c>
      <c r="J489" s="280" t="n"/>
      <c r="K489" s="343" t="n"/>
      <c r="L489" s="280" t="n"/>
      <c r="M489" s="280" t="n"/>
      <c r="N489" s="345" t="n"/>
      <c r="O489" s="280" t="n"/>
      <c r="P489" s="332">
        <f>IFERROR(VLOOKUP(TEXT(O489,"0"),CONDUCTORES!$A$3:$G$54,2,0),"")</f>
        <v/>
      </c>
      <c r="Q489" s="332">
        <f>IFERROR(VLOOKUP(TEXT(O489,"0"),CONDUCTORES!$A$3:$H$54,6,0),"")</f>
        <v/>
      </c>
      <c r="R489" s="280" t="n"/>
      <c r="S489" s="280" t="n"/>
      <c r="T489" s="280" t="n"/>
      <c r="U489" s="280" t="n"/>
      <c r="V489" s="280" t="n"/>
      <c r="W489" s="280" t="n"/>
      <c r="X489" s="280" t="n"/>
      <c r="Y489" s="280" t="n"/>
      <c r="Z489" s="350" t="n"/>
      <c r="AA489" s="198" t="n"/>
      <c r="AB489" s="198" t="n"/>
      <c r="AC489" s="198" t="n"/>
    </row>
    <row r="490" ht="15" customHeight="1" s="195">
      <c r="A490" s="280" t="n"/>
      <c r="B490" s="280" t="n"/>
      <c r="C490" s="280" t="n"/>
      <c r="D490" s="280" t="n"/>
      <c r="E490" s="280" t="n"/>
      <c r="F490" s="280" t="n"/>
      <c r="G490" s="280" t="n"/>
      <c r="H490" s="280" t="n"/>
      <c r="I490" s="332">
        <f>IFERROR(VLOOKUP(TEXT(H490,"0"),IPRESS!$A$3:$B$212,2,0),"")</f>
        <v/>
      </c>
      <c r="J490" s="280" t="n"/>
      <c r="K490" s="343" t="n"/>
      <c r="L490" s="280" t="n"/>
      <c r="M490" s="280" t="n"/>
      <c r="N490" s="345" t="n"/>
      <c r="O490" s="280" t="n"/>
      <c r="P490" s="332">
        <f>IFERROR(VLOOKUP(TEXT(O490,"0"),CONDUCTORES!$A$3:$G$54,2,0),"")</f>
        <v/>
      </c>
      <c r="Q490" s="332">
        <f>IFERROR(VLOOKUP(TEXT(O490,"0"),CONDUCTORES!$A$3:$H$54,6,0),"")</f>
        <v/>
      </c>
      <c r="R490" s="280" t="n"/>
      <c r="S490" s="280" t="n"/>
      <c r="T490" s="280" t="n"/>
      <c r="U490" s="280" t="n"/>
      <c r="V490" s="280" t="n"/>
      <c r="W490" s="280" t="n"/>
      <c r="X490" s="280" t="n"/>
      <c r="Y490" s="280" t="n"/>
      <c r="Z490" s="350" t="n"/>
      <c r="AA490" s="198" t="n"/>
      <c r="AB490" s="198" t="n"/>
      <c r="AC490" s="198" t="n"/>
    </row>
    <row r="491" ht="15" customHeight="1" s="195">
      <c r="A491" s="280" t="n"/>
      <c r="B491" s="280" t="n"/>
      <c r="C491" s="280" t="n"/>
      <c r="D491" s="280" t="n"/>
      <c r="E491" s="280" t="n"/>
      <c r="F491" s="280" t="n"/>
      <c r="G491" s="280" t="n"/>
      <c r="H491" s="280" t="n"/>
      <c r="I491" s="332">
        <f>IFERROR(VLOOKUP(TEXT(H491,"0"),IPRESS!$A$3:$B$212,2,0),"")</f>
        <v/>
      </c>
      <c r="J491" s="280" t="n"/>
      <c r="K491" s="343" t="n"/>
      <c r="L491" s="280" t="n"/>
      <c r="M491" s="280" t="n"/>
      <c r="N491" s="345" t="n"/>
      <c r="O491" s="280" t="n"/>
      <c r="P491" s="332">
        <f>IFERROR(VLOOKUP(TEXT(O491,"0"),CONDUCTORES!$A$3:$G$54,2,0),"")</f>
        <v/>
      </c>
      <c r="Q491" s="332">
        <f>IFERROR(VLOOKUP(TEXT(O491,"0"),CONDUCTORES!$A$3:$H$54,6,0),"")</f>
        <v/>
      </c>
      <c r="R491" s="280" t="n"/>
      <c r="S491" s="280" t="n"/>
      <c r="T491" s="280" t="n"/>
      <c r="U491" s="280" t="n"/>
      <c r="V491" s="280" t="n"/>
      <c r="W491" s="280" t="n"/>
      <c r="X491" s="280" t="n"/>
      <c r="Y491" s="280" t="n"/>
      <c r="Z491" s="350" t="n"/>
      <c r="AA491" s="198" t="n"/>
      <c r="AB491" s="198" t="n"/>
      <c r="AC491" s="198" t="n"/>
    </row>
    <row r="492" ht="15" customHeight="1" s="195">
      <c r="A492" s="280" t="n"/>
      <c r="B492" s="280" t="n"/>
      <c r="C492" s="280" t="n"/>
      <c r="D492" s="280" t="n"/>
      <c r="E492" s="280" t="n"/>
      <c r="F492" s="280" t="n"/>
      <c r="G492" s="280" t="n"/>
      <c r="H492" s="280" t="n"/>
      <c r="I492" s="332">
        <f>IFERROR(VLOOKUP(TEXT(H492,"0"),IPRESS!$A$3:$B$212,2,0),"")</f>
        <v/>
      </c>
      <c r="J492" s="280" t="n"/>
      <c r="K492" s="343" t="n"/>
      <c r="L492" s="280" t="n"/>
      <c r="M492" s="280" t="n"/>
      <c r="N492" s="345" t="n"/>
      <c r="O492" s="280" t="n"/>
      <c r="P492" s="332">
        <f>IFERROR(VLOOKUP(TEXT(O492,"0"),CONDUCTORES!$A$3:$G$54,2,0),"")</f>
        <v/>
      </c>
      <c r="Q492" s="332">
        <f>IFERROR(VLOOKUP(TEXT(O492,"0"),CONDUCTORES!$A$3:$H$54,6,0),"")</f>
        <v/>
      </c>
      <c r="R492" s="280" t="n"/>
      <c r="S492" s="280" t="n"/>
      <c r="T492" s="280" t="n"/>
      <c r="U492" s="280" t="n"/>
      <c r="V492" s="280" t="n"/>
      <c r="W492" s="280" t="n"/>
      <c r="X492" s="280" t="n"/>
      <c r="Y492" s="280" t="n"/>
      <c r="Z492" s="350" t="n"/>
      <c r="AA492" s="198" t="n"/>
      <c r="AB492" s="198" t="n"/>
      <c r="AC492" s="198" t="n"/>
    </row>
    <row r="493" ht="15" customHeight="1" s="195">
      <c r="A493" s="280" t="n"/>
      <c r="B493" s="280" t="n"/>
      <c r="C493" s="280" t="n"/>
      <c r="D493" s="280" t="n"/>
      <c r="E493" s="280" t="n"/>
      <c r="F493" s="280" t="n"/>
      <c r="G493" s="280" t="n"/>
      <c r="H493" s="280" t="n"/>
      <c r="I493" s="332">
        <f>IFERROR(VLOOKUP(TEXT(H493,"0"),IPRESS!$A$3:$B$212,2,0),"")</f>
        <v/>
      </c>
      <c r="J493" s="280" t="n"/>
      <c r="K493" s="343" t="n"/>
      <c r="L493" s="280" t="n"/>
      <c r="M493" s="280" t="n"/>
      <c r="N493" s="345" t="n"/>
      <c r="O493" s="280" t="n"/>
      <c r="P493" s="332">
        <f>IFERROR(VLOOKUP(TEXT(O493,"0"),CONDUCTORES!$A$3:$G$54,2,0),"")</f>
        <v/>
      </c>
      <c r="Q493" s="332">
        <f>IFERROR(VLOOKUP(TEXT(O493,"0"),CONDUCTORES!$A$3:$H$54,6,0),"")</f>
        <v/>
      </c>
      <c r="R493" s="280" t="n"/>
      <c r="S493" s="280" t="n"/>
      <c r="T493" s="280" t="n"/>
      <c r="U493" s="280" t="n"/>
      <c r="V493" s="280" t="n"/>
      <c r="W493" s="280" t="n"/>
      <c r="X493" s="280" t="n"/>
      <c r="Y493" s="280" t="n"/>
      <c r="Z493" s="350" t="n"/>
      <c r="AA493" s="198" t="n"/>
      <c r="AB493" s="198" t="n"/>
      <c r="AC493" s="198" t="n"/>
    </row>
    <row r="494" ht="15" customHeight="1" s="195">
      <c r="A494" s="280" t="n"/>
      <c r="B494" s="280" t="n"/>
      <c r="C494" s="280" t="n"/>
      <c r="D494" s="280" t="n"/>
      <c r="E494" s="280" t="n"/>
      <c r="F494" s="280" t="n"/>
      <c r="G494" s="280" t="n"/>
      <c r="H494" s="280" t="n"/>
      <c r="I494" s="332">
        <f>IFERROR(VLOOKUP(TEXT(H494,"0"),IPRESS!$A$3:$B$212,2,0),"")</f>
        <v/>
      </c>
      <c r="J494" s="280" t="n"/>
      <c r="K494" s="343" t="n"/>
      <c r="L494" s="280" t="n"/>
      <c r="M494" s="280" t="n"/>
      <c r="N494" s="345" t="n"/>
      <c r="O494" s="280" t="n"/>
      <c r="P494" s="332">
        <f>IFERROR(VLOOKUP(TEXT(O494,"0"),CONDUCTORES!$A$3:$G$54,2,0),"")</f>
        <v/>
      </c>
      <c r="Q494" s="332">
        <f>IFERROR(VLOOKUP(TEXT(O494,"0"),CONDUCTORES!$A$3:$H$54,6,0),"")</f>
        <v/>
      </c>
      <c r="R494" s="280" t="n"/>
      <c r="S494" s="280" t="n"/>
      <c r="T494" s="280" t="n"/>
      <c r="U494" s="280" t="n"/>
      <c r="V494" s="280" t="n"/>
      <c r="W494" s="280" t="n"/>
      <c r="X494" s="280" t="n"/>
      <c r="Y494" s="280" t="n"/>
      <c r="Z494" s="350" t="n"/>
      <c r="AA494" s="198" t="n"/>
      <c r="AB494" s="198" t="n"/>
      <c r="AC494" s="198" t="n"/>
    </row>
    <row r="495" ht="15" customHeight="1" s="195">
      <c r="A495" s="280" t="n"/>
      <c r="B495" s="280" t="n"/>
      <c r="C495" s="280" t="n"/>
      <c r="D495" s="280" t="n"/>
      <c r="E495" s="280" t="n"/>
      <c r="F495" s="280" t="n"/>
      <c r="G495" s="280" t="n"/>
      <c r="H495" s="280" t="n"/>
      <c r="I495" s="332">
        <f>IFERROR(VLOOKUP(TEXT(H495,"0"),IPRESS!$A$3:$B$212,2,0),"")</f>
        <v/>
      </c>
      <c r="J495" s="280" t="n"/>
      <c r="K495" s="343" t="n"/>
      <c r="L495" s="280" t="n"/>
      <c r="M495" s="280" t="n"/>
      <c r="N495" s="345" t="n"/>
      <c r="O495" s="280" t="n"/>
      <c r="P495" s="332">
        <f>IFERROR(VLOOKUP(TEXT(O495,"0"),CONDUCTORES!$A$3:$G$54,2,0),"")</f>
        <v/>
      </c>
      <c r="Q495" s="332">
        <f>IFERROR(VLOOKUP(TEXT(O495,"0"),CONDUCTORES!$A$3:$H$54,6,0),"")</f>
        <v/>
      </c>
      <c r="R495" s="280" t="n"/>
      <c r="S495" s="280" t="n"/>
      <c r="T495" s="280" t="n"/>
      <c r="U495" s="280" t="n"/>
      <c r="V495" s="280" t="n"/>
      <c r="W495" s="280" t="n"/>
      <c r="X495" s="280" t="n"/>
      <c r="Y495" s="280" t="n"/>
      <c r="Z495" s="350" t="n"/>
      <c r="AA495" s="198" t="n"/>
      <c r="AB495" s="198" t="n"/>
      <c r="AC495" s="198" t="n"/>
    </row>
    <row r="496" ht="15" customHeight="1" s="195">
      <c r="A496" s="280" t="n"/>
      <c r="B496" s="280" t="n"/>
      <c r="C496" s="280" t="n"/>
      <c r="D496" s="280" t="n"/>
      <c r="E496" s="280" t="n"/>
      <c r="F496" s="280" t="n"/>
      <c r="G496" s="280" t="n"/>
      <c r="H496" s="280" t="n"/>
      <c r="I496" s="332">
        <f>IFERROR(VLOOKUP(TEXT(H496,"0"),IPRESS!$A$3:$B$212,2,0),"")</f>
        <v/>
      </c>
      <c r="J496" s="280" t="n"/>
      <c r="K496" s="343" t="n"/>
      <c r="L496" s="280" t="n"/>
      <c r="M496" s="280" t="n"/>
      <c r="N496" s="345" t="n"/>
      <c r="O496" s="280" t="n"/>
      <c r="P496" s="332">
        <f>IFERROR(VLOOKUP(TEXT(O496,"0"),CONDUCTORES!$A$3:$G$54,2,0),"")</f>
        <v/>
      </c>
      <c r="Q496" s="332">
        <f>IFERROR(VLOOKUP(TEXT(O496,"0"),CONDUCTORES!$A$3:$H$54,6,0),"")</f>
        <v/>
      </c>
      <c r="R496" s="280" t="n"/>
      <c r="S496" s="280" t="n"/>
      <c r="T496" s="280" t="n"/>
      <c r="U496" s="280" t="n"/>
      <c r="V496" s="280" t="n"/>
      <c r="W496" s="280" t="n"/>
      <c r="X496" s="280" t="n"/>
      <c r="Y496" s="280" t="n"/>
      <c r="Z496" s="350" t="n"/>
      <c r="AA496" s="198" t="n"/>
      <c r="AB496" s="198" t="n"/>
      <c r="AC496" s="198" t="n"/>
    </row>
    <row r="497" ht="15" customHeight="1" s="195">
      <c r="A497" s="280" t="n"/>
      <c r="B497" s="280" t="n"/>
      <c r="C497" s="280" t="n"/>
      <c r="D497" s="280" t="n"/>
      <c r="E497" s="280" t="n"/>
      <c r="F497" s="280" t="n"/>
      <c r="G497" s="280" t="n"/>
      <c r="H497" s="280" t="n"/>
      <c r="I497" s="332">
        <f>IFERROR(VLOOKUP(TEXT(H497,"0"),IPRESS!$A$3:$B$212,2,0),"")</f>
        <v/>
      </c>
      <c r="J497" s="280" t="n"/>
      <c r="K497" s="343" t="n"/>
      <c r="L497" s="280" t="n"/>
      <c r="M497" s="280" t="n"/>
      <c r="N497" s="345" t="n"/>
      <c r="O497" s="280" t="n"/>
      <c r="P497" s="332">
        <f>IFERROR(VLOOKUP(TEXT(O497,"0"),CONDUCTORES!$A$3:$G$54,2,0),"")</f>
        <v/>
      </c>
      <c r="Q497" s="332">
        <f>IFERROR(VLOOKUP(TEXT(O497,"0"),CONDUCTORES!$A$3:$H$54,6,0),"")</f>
        <v/>
      </c>
      <c r="R497" s="280" t="n"/>
      <c r="S497" s="280" t="n"/>
      <c r="T497" s="280" t="n"/>
      <c r="U497" s="280" t="n"/>
      <c r="V497" s="280" t="n"/>
      <c r="W497" s="280" t="n"/>
      <c r="X497" s="280" t="n"/>
      <c r="Y497" s="280" t="n"/>
      <c r="Z497" s="350" t="n"/>
      <c r="AA497" s="198" t="n"/>
      <c r="AB497" s="198" t="n"/>
      <c r="AC497" s="198" t="n"/>
    </row>
    <row r="498" ht="15" customHeight="1" s="195">
      <c r="A498" s="280" t="n"/>
      <c r="B498" s="280" t="n"/>
      <c r="C498" s="280" t="n"/>
      <c r="D498" s="280" t="n"/>
      <c r="E498" s="280" t="n"/>
      <c r="F498" s="280" t="n"/>
      <c r="G498" s="280" t="n"/>
      <c r="H498" s="280" t="n"/>
      <c r="I498" s="332">
        <f>IFERROR(VLOOKUP(TEXT(H498,"0"),IPRESS!$A$3:$B$212,2,0),"")</f>
        <v/>
      </c>
      <c r="J498" s="280" t="n"/>
      <c r="K498" s="343" t="n"/>
      <c r="L498" s="280" t="n"/>
      <c r="M498" s="280" t="n"/>
      <c r="N498" s="345" t="n"/>
      <c r="O498" s="280" t="n"/>
      <c r="P498" s="332">
        <f>IFERROR(VLOOKUP(TEXT(O498,"0"),CONDUCTORES!$A$3:$G$54,2,0),"")</f>
        <v/>
      </c>
      <c r="Q498" s="332">
        <f>IFERROR(VLOOKUP(TEXT(O498,"0"),CONDUCTORES!$A$3:$H$54,6,0),"")</f>
        <v/>
      </c>
      <c r="R498" s="280" t="n"/>
      <c r="S498" s="280" t="n"/>
      <c r="T498" s="280" t="n"/>
      <c r="U498" s="280" t="n"/>
      <c r="V498" s="280" t="n"/>
      <c r="W498" s="280" t="n"/>
      <c r="X498" s="280" t="n"/>
      <c r="Y498" s="280" t="n"/>
      <c r="Z498" s="350" t="n"/>
      <c r="AA498" s="198" t="n"/>
      <c r="AB498" s="198" t="n"/>
      <c r="AC498" s="198" t="n"/>
    </row>
    <row r="499" ht="15" customHeight="1" s="195">
      <c r="A499" s="280" t="n"/>
      <c r="B499" s="280" t="n"/>
      <c r="C499" s="280" t="n"/>
      <c r="D499" s="280" t="n"/>
      <c r="E499" s="280" t="n"/>
      <c r="F499" s="280" t="n"/>
      <c r="G499" s="280" t="n"/>
      <c r="H499" s="280" t="n"/>
      <c r="I499" s="332">
        <f>IFERROR(VLOOKUP(TEXT(H499,"0"),IPRESS!$A$3:$B$212,2,0),"")</f>
        <v/>
      </c>
      <c r="J499" s="280" t="n"/>
      <c r="K499" s="343" t="n"/>
      <c r="L499" s="280" t="n"/>
      <c r="M499" s="280" t="n"/>
      <c r="N499" s="345" t="n"/>
      <c r="O499" s="280" t="n"/>
      <c r="P499" s="332">
        <f>IFERROR(VLOOKUP(TEXT(O499,"0"),CONDUCTORES!$A$3:$G$54,2,0),"")</f>
        <v/>
      </c>
      <c r="Q499" s="332">
        <f>IFERROR(VLOOKUP(TEXT(O499,"0"),CONDUCTORES!$A$3:$H$54,6,0),"")</f>
        <v/>
      </c>
      <c r="R499" s="280" t="n"/>
      <c r="S499" s="280" t="n"/>
      <c r="T499" s="280" t="n"/>
      <c r="U499" s="280" t="n"/>
      <c r="V499" s="280" t="n"/>
      <c r="W499" s="280" t="n"/>
      <c r="X499" s="280" t="n"/>
      <c r="Y499" s="280" t="n"/>
      <c r="Z499" s="350" t="n"/>
      <c r="AA499" s="198" t="n"/>
      <c r="AB499" s="198" t="n"/>
      <c r="AC499" s="198" t="n"/>
    </row>
    <row r="500" ht="15" customHeight="1" s="195">
      <c r="A500" s="280" t="n"/>
      <c r="B500" s="280" t="n"/>
      <c r="C500" s="280" t="n"/>
      <c r="D500" s="280" t="n"/>
      <c r="E500" s="280" t="n"/>
      <c r="F500" s="280" t="n"/>
      <c r="G500" s="280" t="n"/>
      <c r="H500" s="280" t="n"/>
      <c r="I500" s="332">
        <f>IFERROR(VLOOKUP(TEXT(H500,"0"),IPRESS!$A$3:$B$212,2,0),"")</f>
        <v/>
      </c>
      <c r="J500" s="280" t="n"/>
      <c r="K500" s="343" t="n"/>
      <c r="L500" s="280" t="n"/>
      <c r="M500" s="280" t="n"/>
      <c r="N500" s="345" t="n"/>
      <c r="O500" s="280" t="n"/>
      <c r="P500" s="332">
        <f>IFERROR(VLOOKUP(TEXT(O500,"0"),CONDUCTORES!$A$3:$G$54,2,0),"")</f>
        <v/>
      </c>
      <c r="Q500" s="332">
        <f>IFERROR(VLOOKUP(TEXT(O500,"0"),CONDUCTORES!$A$3:$H$54,6,0),"")</f>
        <v/>
      </c>
      <c r="R500" s="280" t="n"/>
      <c r="S500" s="280" t="n"/>
      <c r="T500" s="280" t="n"/>
      <c r="U500" s="280" t="n"/>
      <c r="V500" s="280" t="n"/>
      <c r="W500" s="280" t="n"/>
      <c r="X500" s="280" t="n"/>
      <c r="Y500" s="280" t="n"/>
      <c r="Z500" s="350" t="n"/>
      <c r="AA500" s="198" t="n"/>
      <c r="AB500" s="198" t="n"/>
      <c r="AC500" s="198" t="n"/>
    </row>
    <row r="501" ht="15" customHeight="1" s="195">
      <c r="A501" s="280" t="n"/>
      <c r="B501" s="280" t="n"/>
      <c r="C501" s="280" t="n"/>
      <c r="D501" s="280" t="n"/>
      <c r="E501" s="280" t="n"/>
      <c r="F501" s="280" t="n"/>
      <c r="G501" s="280" t="n"/>
      <c r="H501" s="280" t="n"/>
      <c r="I501" s="332">
        <f>IFERROR(VLOOKUP(TEXT(H501,"0"),IPRESS!$A$3:$B$212,2,0),"")</f>
        <v/>
      </c>
      <c r="J501" s="280" t="n"/>
      <c r="K501" s="343" t="n"/>
      <c r="L501" s="280" t="n"/>
      <c r="M501" s="280" t="n"/>
      <c r="N501" s="345" t="n"/>
      <c r="O501" s="280" t="n"/>
      <c r="P501" s="332">
        <f>IFERROR(VLOOKUP(TEXT(O501,"0"),CONDUCTORES!$A$3:$G$54,2,0),"")</f>
        <v/>
      </c>
      <c r="Q501" s="332">
        <f>IFERROR(VLOOKUP(TEXT(O501,"0"),CONDUCTORES!$A$3:$H$54,6,0),"")</f>
        <v/>
      </c>
      <c r="R501" s="280" t="n"/>
      <c r="S501" s="280" t="n"/>
      <c r="T501" s="280" t="n"/>
      <c r="U501" s="280" t="n"/>
      <c r="V501" s="280" t="n"/>
      <c r="W501" s="280" t="n"/>
      <c r="X501" s="280" t="n"/>
      <c r="Y501" s="280" t="n"/>
      <c r="Z501" s="350" t="n"/>
      <c r="AA501" s="198" t="n"/>
      <c r="AB501" s="198" t="n"/>
      <c r="AC501" s="198" t="n"/>
    </row>
    <row r="502" ht="15" customHeight="1" s="195">
      <c r="A502" s="280" t="n"/>
      <c r="B502" s="280" t="n"/>
      <c r="C502" s="280" t="n"/>
      <c r="D502" s="280" t="n"/>
      <c r="E502" s="280" t="n"/>
      <c r="F502" s="280" t="n"/>
      <c r="G502" s="280" t="n"/>
      <c r="H502" s="280" t="n"/>
      <c r="I502" s="332">
        <f>IFERROR(VLOOKUP(TEXT(H502,"0"),IPRESS!$A$3:$B$212,2,0),"")</f>
        <v/>
      </c>
      <c r="J502" s="280" t="n"/>
      <c r="K502" s="343" t="n"/>
      <c r="L502" s="280" t="n"/>
      <c r="M502" s="280" t="n"/>
      <c r="N502" s="345" t="n"/>
      <c r="O502" s="280" t="n"/>
      <c r="P502" s="332">
        <f>IFERROR(VLOOKUP(TEXT(O502,"0"),CONDUCTORES!$A$3:$G$54,2,0),"")</f>
        <v/>
      </c>
      <c r="Q502" s="332">
        <f>IFERROR(VLOOKUP(TEXT(O502,"0"),CONDUCTORES!$A$3:$H$54,6,0),"")</f>
        <v/>
      </c>
      <c r="R502" s="280" t="n"/>
      <c r="S502" s="280" t="n"/>
      <c r="T502" s="280" t="n"/>
      <c r="U502" s="280" t="n"/>
      <c r="V502" s="280" t="n"/>
      <c r="W502" s="280" t="n"/>
      <c r="X502" s="280" t="n"/>
      <c r="Y502" s="280" t="n"/>
      <c r="Z502" s="350" t="n"/>
      <c r="AA502" s="198" t="n"/>
      <c r="AB502" s="198" t="n"/>
      <c r="AC502" s="198" t="n"/>
    </row>
    <row r="503" ht="15" customHeight="1" s="195">
      <c r="A503" s="280" t="n"/>
      <c r="B503" s="280" t="n"/>
      <c r="C503" s="280" t="n"/>
      <c r="D503" s="280" t="n"/>
      <c r="E503" s="280" t="n"/>
      <c r="F503" s="280" t="n"/>
      <c r="G503" s="280" t="n"/>
      <c r="H503" s="280" t="n"/>
      <c r="I503" s="332">
        <f>IFERROR(VLOOKUP(TEXT(H503,"0"),IPRESS!$A$3:$B$212,2,0),"")</f>
        <v/>
      </c>
      <c r="J503" s="280" t="n"/>
      <c r="K503" s="343" t="n"/>
      <c r="L503" s="280" t="n"/>
      <c r="M503" s="280" t="n"/>
      <c r="N503" s="345" t="n"/>
      <c r="O503" s="280" t="n"/>
      <c r="P503" s="332">
        <f>IFERROR(VLOOKUP(TEXT(O503,"0"),CONDUCTORES!$A$3:$G$54,2,0),"")</f>
        <v/>
      </c>
      <c r="Q503" s="332">
        <f>IFERROR(VLOOKUP(TEXT(O503,"0"),CONDUCTORES!$A$3:$H$54,6,0),"")</f>
        <v/>
      </c>
      <c r="R503" s="280" t="n"/>
      <c r="S503" s="280" t="n"/>
      <c r="T503" s="280" t="n"/>
      <c r="U503" s="280" t="n"/>
      <c r="V503" s="280" t="n"/>
      <c r="W503" s="280" t="n"/>
      <c r="X503" s="280" t="n"/>
      <c r="Y503" s="280" t="n"/>
      <c r="Z503" s="350" t="n"/>
      <c r="AA503" s="198" t="n"/>
      <c r="AB503" s="198" t="n"/>
      <c r="AC503" s="198" t="n"/>
    </row>
    <row r="504" ht="15" customHeight="1" s="195">
      <c r="A504" s="280" t="n"/>
      <c r="B504" s="280" t="n"/>
      <c r="C504" s="280" t="n"/>
      <c r="D504" s="280" t="n"/>
      <c r="E504" s="280" t="n"/>
      <c r="F504" s="280" t="n"/>
      <c r="G504" s="280" t="n"/>
      <c r="H504" s="280" t="n"/>
      <c r="I504" s="332">
        <f>IFERROR(VLOOKUP(TEXT(H504,"0"),IPRESS!$A$3:$B$212,2,0),"")</f>
        <v/>
      </c>
      <c r="J504" s="280" t="n"/>
      <c r="K504" s="343" t="n"/>
      <c r="L504" s="280" t="n"/>
      <c r="M504" s="280" t="n"/>
      <c r="N504" s="345" t="n"/>
      <c r="O504" s="280" t="n"/>
      <c r="P504" s="332">
        <f>IFERROR(VLOOKUP(TEXT(O504,"0"),CONDUCTORES!$A$3:$G$54,2,0),"")</f>
        <v/>
      </c>
      <c r="Q504" s="332">
        <f>IFERROR(VLOOKUP(TEXT(O504,"0"),CONDUCTORES!$A$3:$H$54,6,0),"")</f>
        <v/>
      </c>
      <c r="R504" s="280" t="n"/>
      <c r="S504" s="280" t="n"/>
      <c r="T504" s="280" t="n"/>
      <c r="U504" s="280" t="n"/>
      <c r="V504" s="280" t="n"/>
      <c r="W504" s="280" t="n"/>
      <c r="X504" s="280" t="n"/>
      <c r="Y504" s="280" t="n"/>
      <c r="Z504" s="350" t="n"/>
      <c r="AA504" s="198" t="n"/>
      <c r="AB504" s="198" t="n"/>
      <c r="AC504" s="198" t="n"/>
    </row>
    <row r="505" ht="15" customHeight="1" s="195">
      <c r="A505" s="280" t="n"/>
      <c r="B505" s="280" t="n"/>
      <c r="C505" s="280" t="n"/>
      <c r="D505" s="280" t="n"/>
      <c r="E505" s="280" t="n"/>
      <c r="F505" s="280" t="n"/>
      <c r="G505" s="280" t="n"/>
      <c r="H505" s="280" t="n"/>
      <c r="I505" s="332">
        <f>IFERROR(VLOOKUP(TEXT(H505,"0"),IPRESS!$A$3:$B$212,2,0),"")</f>
        <v/>
      </c>
      <c r="J505" s="280" t="n"/>
      <c r="K505" s="343" t="n"/>
      <c r="L505" s="280" t="n"/>
      <c r="M505" s="280" t="n"/>
      <c r="N505" s="345" t="n"/>
      <c r="O505" s="280" t="n"/>
      <c r="P505" s="332">
        <f>IFERROR(VLOOKUP(TEXT(O505,"0"),CONDUCTORES!$A$3:$G$54,2,0),"")</f>
        <v/>
      </c>
      <c r="Q505" s="332">
        <f>IFERROR(VLOOKUP(TEXT(O505,"0"),CONDUCTORES!$A$3:$H$54,6,0),"")</f>
        <v/>
      </c>
      <c r="R505" s="280" t="n"/>
      <c r="S505" s="280" t="n"/>
      <c r="T505" s="280" t="n"/>
      <c r="U505" s="280" t="n"/>
      <c r="V505" s="280" t="n"/>
      <c r="W505" s="280" t="n"/>
      <c r="X505" s="280" t="n"/>
      <c r="Y505" s="280" t="n"/>
      <c r="Z505" s="350" t="n"/>
      <c r="AA505" s="198" t="n"/>
      <c r="AB505" s="198" t="n"/>
      <c r="AC505" s="198" t="n"/>
    </row>
    <row r="506" ht="21.75" customHeight="1" s="195">
      <c r="A506" s="360" t="n"/>
      <c r="H506" s="198" t="n"/>
      <c r="J506" s="198" t="n"/>
      <c r="K506" s="198" t="n"/>
      <c r="L506" s="198" t="n"/>
      <c r="M506" s="361" t="n"/>
      <c r="N506" s="361" t="n"/>
      <c r="O506" s="198" t="n"/>
      <c r="R506" s="198" t="n"/>
      <c r="S506" s="198" t="n"/>
      <c r="T506" s="198" t="n"/>
      <c r="U506" s="198" t="n"/>
      <c r="V506" s="198" t="n"/>
      <c r="W506" s="198" t="n"/>
      <c r="X506" s="198" t="n"/>
      <c r="Y506" s="198" t="n"/>
      <c r="Z506" s="198" t="n"/>
      <c r="AA506" s="198" t="n"/>
      <c r="AB506" s="198" t="n"/>
      <c r="AC506" s="198" t="n"/>
    </row>
    <row r="507" ht="15" customHeight="1" s="195">
      <c r="A507" s="198" t="n"/>
      <c r="B507" s="198" t="n"/>
      <c r="C507" s="198" t="n"/>
      <c r="D507" s="198" t="n"/>
      <c r="E507" s="198" t="n"/>
      <c r="F507" s="198" t="n"/>
      <c r="G507" s="198" t="n"/>
      <c r="H507" s="198" t="n"/>
      <c r="J507" s="198" t="n"/>
      <c r="K507" s="198" t="n"/>
      <c r="L507" s="198" t="n"/>
      <c r="M507" s="198" t="n"/>
      <c r="N507" s="198" t="n"/>
      <c r="O507" s="198" t="n"/>
      <c r="R507" s="198" t="n"/>
      <c r="S507" s="198" t="n"/>
      <c r="T507" s="198" t="n"/>
      <c r="U507" s="198" t="n"/>
      <c r="V507" s="198" t="n"/>
      <c r="W507" s="198" t="n"/>
      <c r="X507" s="198" t="n"/>
      <c r="Y507" s="198" t="n"/>
      <c r="Z507" s="198" t="n"/>
      <c r="AA507" s="198" t="n"/>
      <c r="AB507" s="198" t="n"/>
      <c r="AC507" s="198" t="n"/>
    </row>
    <row r="508" ht="15" customHeight="1" s="195">
      <c r="A508" s="198" t="n"/>
      <c r="B508" s="198" t="n"/>
      <c r="C508" s="198" t="n"/>
      <c r="D508" s="198" t="n"/>
      <c r="E508" s="198" t="n"/>
      <c r="F508" s="198" t="n"/>
      <c r="G508" s="198" t="n"/>
      <c r="H508" s="198" t="n"/>
      <c r="J508" s="198" t="n"/>
      <c r="K508" s="198" t="n"/>
      <c r="L508" s="198" t="n"/>
      <c r="M508" s="198" t="n"/>
      <c r="N508" s="198" t="n"/>
      <c r="O508" s="198" t="n"/>
      <c r="R508" s="198" t="n"/>
      <c r="S508" s="198" t="n"/>
      <c r="T508" s="198" t="n"/>
      <c r="U508" s="198" t="n"/>
      <c r="V508" s="198" t="n"/>
      <c r="W508" s="198" t="n"/>
      <c r="X508" s="198" t="n"/>
      <c r="Y508" s="198" t="n"/>
      <c r="Z508" s="198" t="n"/>
      <c r="AA508" s="198" t="n"/>
      <c r="AB508" s="198" t="n"/>
      <c r="AC508" s="198" t="n"/>
    </row>
    <row r="509" ht="15" customHeight="1" s="195">
      <c r="A509" s="198" t="n"/>
      <c r="B509" s="198" t="n"/>
      <c r="C509" s="198" t="n"/>
      <c r="D509" s="198" t="n"/>
      <c r="E509" s="198" t="n"/>
      <c r="F509" s="198" t="n"/>
      <c r="G509" s="198" t="n"/>
      <c r="H509" s="198" t="n"/>
      <c r="J509" s="198" t="n"/>
      <c r="K509" s="198" t="n"/>
      <c r="L509" s="198" t="n"/>
      <c r="M509" s="198" t="n"/>
      <c r="N509" s="198" t="n"/>
      <c r="O509" s="198" t="n"/>
      <c r="R509" s="198" t="n"/>
      <c r="S509" s="198" t="n"/>
      <c r="T509" s="198" t="n"/>
      <c r="U509" s="198" t="n"/>
      <c r="V509" s="198" t="n"/>
      <c r="W509" s="198" t="n"/>
      <c r="X509" s="198" t="n"/>
      <c r="Y509" s="198" t="n"/>
      <c r="Z509" s="198" t="n"/>
      <c r="AA509" s="198" t="n"/>
      <c r="AB509" s="198" t="n"/>
      <c r="AC509" s="198" t="n"/>
    </row>
    <row r="510" ht="15" customHeight="1" s="195">
      <c r="A510" s="198" t="n"/>
      <c r="B510" s="198" t="n"/>
      <c r="C510" s="198" t="n"/>
      <c r="D510" s="198" t="n"/>
      <c r="E510" s="198" t="n"/>
      <c r="F510" s="198" t="n"/>
      <c r="G510" s="198" t="n"/>
      <c r="H510" s="198" t="n"/>
      <c r="J510" s="198" t="n"/>
      <c r="K510" s="198" t="n"/>
      <c r="L510" s="198" t="n"/>
      <c r="M510" s="198" t="n"/>
      <c r="N510" s="198" t="n"/>
      <c r="O510" s="198" t="n"/>
      <c r="R510" s="198" t="n"/>
      <c r="S510" s="198" t="n"/>
      <c r="T510" s="198" t="n"/>
      <c r="U510" s="198" t="n"/>
      <c r="V510" s="198" t="n"/>
      <c r="W510" s="198" t="n"/>
      <c r="X510" s="198" t="n"/>
      <c r="Y510" s="198" t="n"/>
      <c r="Z510" s="198" t="n"/>
      <c r="AA510" s="198" t="n"/>
      <c r="AB510" s="198" t="n"/>
      <c r="AC510" s="198" t="n"/>
    </row>
    <row r="511" ht="15.75" customHeight="1" s="195"/>
    <row r="512" ht="15.75" customHeight="1" s="195"/>
    <row r="513" ht="15.75" customHeight="1" s="195"/>
    <row r="514" ht="15.75" customHeight="1" s="195"/>
    <row r="515" ht="15.75" customHeight="1" s="195"/>
    <row r="516" ht="15.75" customHeight="1" s="195"/>
    <row r="517" ht="15.75" customHeight="1" s="195"/>
    <row r="518" ht="15.75" customHeight="1" s="195"/>
    <row r="519" ht="15.75" customHeight="1" s="195"/>
    <row r="520" ht="15.75" customHeight="1" s="195"/>
    <row r="521" ht="15.75" customHeight="1" s="195"/>
    <row r="522" ht="15.75" customHeight="1" s="195"/>
    <row r="523" ht="15.75" customHeight="1" s="195"/>
    <row r="524" ht="15.75" customHeight="1" s="195"/>
    <row r="525" ht="15.75" customHeight="1" s="195"/>
    <row r="526" ht="15.75" customHeight="1" s="195"/>
    <row r="527" ht="15.75" customHeight="1" s="195"/>
    <row r="528" ht="15.75" customHeight="1" s="195"/>
    <row r="529" ht="15.75" customHeight="1" s="195"/>
    <row r="530" ht="15.75" customHeight="1" s="195"/>
    <row r="531" ht="15.75" customHeight="1" s="195"/>
    <row r="532" ht="15.75" customHeight="1" s="195"/>
    <row r="533" ht="15.75" customHeight="1" s="195"/>
    <row r="534" ht="15.75" customHeight="1" s="195"/>
    <row r="535" ht="15.75" customHeight="1" s="195"/>
    <row r="536" ht="15.75" customHeight="1" s="195"/>
    <row r="537" ht="15.75" customHeight="1" s="195"/>
    <row r="538" ht="15.75" customHeight="1" s="195"/>
    <row r="539" ht="15.75" customHeight="1" s="195"/>
    <row r="540" ht="15.75" customHeight="1" s="195"/>
    <row r="541" ht="15.75" customHeight="1" s="195"/>
    <row r="542" ht="15.75" customHeight="1" s="195"/>
    <row r="543" ht="15.75" customHeight="1" s="195"/>
    <row r="544" ht="15.75" customHeight="1" s="195"/>
    <row r="545" ht="15.75" customHeight="1" s="195"/>
    <row r="546" ht="15.75" customHeight="1" s="195"/>
    <row r="547" ht="15.75" customHeight="1" s="195"/>
    <row r="548" ht="15.75" customHeight="1" s="195"/>
    <row r="549" ht="15.75" customHeight="1" s="195"/>
    <row r="550" ht="15.75" customHeight="1" s="195"/>
    <row r="551" ht="15.75" customHeight="1" s="195"/>
    <row r="552" ht="15.75" customHeight="1" s="195"/>
    <row r="553" ht="15.75" customHeight="1" s="195"/>
    <row r="554" ht="15.75" customHeight="1" s="195"/>
    <row r="555" ht="15.75" customHeight="1" s="195"/>
    <row r="556" ht="15.75" customHeight="1" s="195"/>
    <row r="557" ht="15.75" customHeight="1" s="195"/>
    <row r="558" ht="15.75" customHeight="1" s="195"/>
    <row r="559" ht="15.75" customHeight="1" s="195"/>
    <row r="560" ht="15.75" customHeight="1" s="195"/>
    <row r="561" ht="15.75" customHeight="1" s="195"/>
    <row r="562" ht="15.75" customHeight="1" s="195"/>
    <row r="563" ht="15.75" customHeight="1" s="195"/>
    <row r="564" ht="15.75" customHeight="1" s="195"/>
    <row r="565" ht="15.75" customHeight="1" s="195"/>
    <row r="566" ht="15.75" customHeight="1" s="195"/>
    <row r="567" ht="15.75" customHeight="1" s="195"/>
    <row r="568" ht="15.75" customHeight="1" s="195"/>
    <row r="569" ht="15.75" customHeight="1" s="195"/>
    <row r="570" ht="15.75" customHeight="1" s="195"/>
    <row r="571" ht="15.75" customHeight="1" s="195"/>
    <row r="572" ht="15.75" customHeight="1" s="195"/>
    <row r="573" ht="15.75" customHeight="1" s="195"/>
    <row r="574" ht="15.75" customHeight="1" s="195"/>
    <row r="575" ht="15.75" customHeight="1" s="195"/>
    <row r="576" ht="15.75" customHeight="1" s="195"/>
    <row r="577" ht="15.75" customHeight="1" s="195"/>
    <row r="578" ht="15.75" customHeight="1" s="195"/>
    <row r="579" ht="15.75" customHeight="1" s="195"/>
    <row r="580" ht="15.75" customHeight="1" s="195"/>
    <row r="581" ht="15.75" customHeight="1" s="195"/>
    <row r="582" ht="15.75" customHeight="1" s="195"/>
    <row r="583" ht="15.75" customHeight="1" s="195"/>
    <row r="584" ht="15.75" customHeight="1" s="195"/>
    <row r="585" ht="15.75" customHeight="1" s="195"/>
    <row r="586" ht="15.75" customHeight="1" s="195"/>
    <row r="587" ht="15.75" customHeight="1" s="195"/>
    <row r="588" ht="15.75" customHeight="1" s="195"/>
    <row r="589" ht="15.75" customHeight="1" s="195"/>
    <row r="590" ht="15.75" customHeight="1" s="195"/>
    <row r="591" ht="15.75" customHeight="1" s="195"/>
    <row r="592" ht="15.75" customHeight="1" s="195"/>
    <row r="593" ht="15.75" customHeight="1" s="195"/>
    <row r="594" ht="15.75" customHeight="1" s="195"/>
    <row r="595" ht="15.75" customHeight="1" s="195"/>
    <row r="596" ht="15.75" customHeight="1" s="195"/>
    <row r="597" ht="15.75" customHeight="1" s="195"/>
    <row r="598" ht="15.75" customHeight="1" s="195"/>
    <row r="599" ht="15.75" customHeight="1" s="195"/>
    <row r="600" ht="15.75" customHeight="1" s="195"/>
    <row r="601" ht="15.75" customHeight="1" s="195"/>
    <row r="602" ht="15.75" customHeight="1" s="195"/>
    <row r="603" ht="15.75" customHeight="1" s="195"/>
    <row r="604" ht="15.75" customHeight="1" s="195"/>
    <row r="605" ht="15.75" customHeight="1" s="195"/>
    <row r="606" ht="15.75" customHeight="1" s="195"/>
    <row r="607" ht="15.75" customHeight="1" s="195"/>
    <row r="608" ht="15.75" customHeight="1" s="195"/>
    <row r="609" ht="15.75" customHeight="1" s="195"/>
    <row r="610" ht="15.75" customHeight="1" s="195"/>
    <row r="611" ht="15.75" customHeight="1" s="195"/>
    <row r="612" ht="15.75" customHeight="1" s="195"/>
    <row r="613" ht="15.75" customHeight="1" s="195"/>
    <row r="614" ht="15.75" customHeight="1" s="195"/>
    <row r="615" ht="15.75" customHeight="1" s="195"/>
    <row r="616" ht="15.75" customHeight="1" s="195"/>
    <row r="617" ht="15.75" customHeight="1" s="195"/>
    <row r="618" ht="15.75" customHeight="1" s="195"/>
    <row r="619" ht="15.75" customHeight="1" s="195"/>
    <row r="620" ht="15.75" customHeight="1" s="195"/>
    <row r="621" ht="15.75" customHeight="1" s="195"/>
    <row r="622" ht="15.75" customHeight="1" s="195"/>
    <row r="623" ht="15.75" customHeight="1" s="195"/>
    <row r="624" ht="15.75" customHeight="1" s="195"/>
    <row r="625" ht="15.75" customHeight="1" s="195"/>
    <row r="626" ht="15.75" customHeight="1" s="195"/>
    <row r="627" ht="15.75" customHeight="1" s="195"/>
    <row r="628" ht="15.75" customHeight="1" s="195"/>
    <row r="629" ht="15.75" customHeight="1" s="195"/>
    <row r="630" ht="15.75" customHeight="1" s="195"/>
    <row r="631" ht="15.75" customHeight="1" s="195"/>
    <row r="632" ht="15.75" customHeight="1" s="195"/>
    <row r="633" ht="15.75" customHeight="1" s="195"/>
    <row r="634" ht="15.75" customHeight="1" s="195"/>
    <row r="635" ht="15.75" customHeight="1" s="195"/>
    <row r="636" ht="15.75" customHeight="1" s="195"/>
    <row r="637" ht="15.75" customHeight="1" s="195"/>
    <row r="638" ht="15.75" customHeight="1" s="195"/>
    <row r="639" ht="15.75" customHeight="1" s="195"/>
    <row r="640" ht="15.75" customHeight="1" s="195"/>
    <row r="641" ht="15.75" customHeight="1" s="195"/>
    <row r="642" ht="15.75" customHeight="1" s="195"/>
    <row r="643" ht="15.75" customHeight="1" s="195"/>
    <row r="644" ht="15.75" customHeight="1" s="195"/>
    <row r="645" ht="15.75" customHeight="1" s="195"/>
    <row r="646" ht="15.75" customHeight="1" s="195"/>
    <row r="647" ht="15.75" customHeight="1" s="195"/>
    <row r="648" ht="15.75" customHeight="1" s="195"/>
    <row r="649" ht="15.75" customHeight="1" s="195"/>
    <row r="650" ht="15.75" customHeight="1" s="195"/>
    <row r="651" ht="15.75" customHeight="1" s="195"/>
    <row r="652" ht="15.75" customHeight="1" s="195"/>
    <row r="653" ht="15.75" customHeight="1" s="195"/>
    <row r="654" ht="15.75" customHeight="1" s="195"/>
    <row r="655" ht="15.75" customHeight="1" s="195"/>
    <row r="656" ht="15.75" customHeight="1" s="195"/>
    <row r="657" ht="15.75" customHeight="1" s="195"/>
    <row r="658" ht="15.75" customHeight="1" s="195"/>
    <row r="659" ht="15.75" customHeight="1" s="195"/>
    <row r="660" ht="15.75" customHeight="1" s="195"/>
    <row r="661" ht="15.75" customHeight="1" s="195"/>
    <row r="662" ht="15.75" customHeight="1" s="195"/>
    <row r="663" ht="15.75" customHeight="1" s="195"/>
    <row r="664" ht="15.75" customHeight="1" s="195"/>
    <row r="665" ht="15.75" customHeight="1" s="195"/>
    <row r="666" ht="15.75" customHeight="1" s="195"/>
    <row r="667" ht="15.75" customHeight="1" s="195"/>
    <row r="668" ht="15.75" customHeight="1" s="195"/>
    <row r="669" ht="15.75" customHeight="1" s="195"/>
    <row r="670" ht="15.75" customHeight="1" s="195"/>
    <row r="671" ht="15.75" customHeight="1" s="195"/>
    <row r="672" ht="15.75" customHeight="1" s="195"/>
    <row r="673" ht="15.75" customHeight="1" s="195"/>
    <row r="674" ht="15.75" customHeight="1" s="195"/>
    <row r="675" ht="15.75" customHeight="1" s="195"/>
    <row r="676" ht="15.75" customHeight="1" s="195"/>
    <row r="677" ht="15.75" customHeight="1" s="195"/>
    <row r="678" ht="15.75" customHeight="1" s="195"/>
    <row r="679" ht="15.75" customHeight="1" s="195"/>
    <row r="680" ht="15.75" customHeight="1" s="195"/>
    <row r="681" ht="15.75" customHeight="1" s="195"/>
    <row r="682" ht="15.75" customHeight="1" s="195"/>
    <row r="683" ht="15.75" customHeight="1" s="195"/>
    <row r="684" ht="15.75" customHeight="1" s="195"/>
    <row r="685" ht="15.75" customHeight="1" s="195"/>
    <row r="686" ht="15.75" customHeight="1" s="195"/>
    <row r="687" ht="15.75" customHeight="1" s="195"/>
    <row r="688" ht="15.75" customHeight="1" s="195"/>
    <row r="689" ht="15.75" customHeight="1" s="195"/>
    <row r="690" ht="15.75" customHeight="1" s="195"/>
    <row r="691" ht="15.75" customHeight="1" s="195"/>
    <row r="692" ht="15.75" customHeight="1" s="195"/>
    <row r="693" ht="15.75" customHeight="1" s="195"/>
    <row r="694" ht="15.75" customHeight="1" s="195"/>
    <row r="695" ht="15.75" customHeight="1" s="195"/>
    <row r="696" ht="15.75" customHeight="1" s="195"/>
    <row r="697" ht="15.75" customHeight="1" s="195"/>
    <row r="698" ht="15.75" customHeight="1" s="195"/>
    <row r="699" ht="15.75" customHeight="1" s="195"/>
    <row r="700" ht="15.75" customHeight="1" s="195"/>
    <row r="701" ht="15.75" customHeight="1" s="195"/>
    <row r="702" ht="15.75" customHeight="1" s="195"/>
    <row r="703" ht="15.75" customHeight="1" s="195"/>
    <row r="704" ht="15.75" customHeight="1" s="195"/>
    <row r="705" ht="15.75" customHeight="1" s="195"/>
    <row r="706" ht="15.75" customHeight="1" s="195"/>
    <row r="707" ht="15.75" customHeight="1" s="195"/>
    <row r="708" ht="15.75" customHeight="1" s="195"/>
    <row r="709" ht="15.75" customHeight="1" s="195"/>
    <row r="710" ht="15.75" customHeight="1" s="195"/>
    <row r="711" ht="15.75" customHeight="1" s="195"/>
    <row r="712" ht="15.75" customHeight="1" s="195"/>
    <row r="713" ht="15.75" customHeight="1" s="195"/>
    <row r="714" ht="15.75" customHeight="1" s="195"/>
    <row r="715" ht="15.75" customHeight="1" s="195"/>
    <row r="716" ht="15.75" customHeight="1" s="195"/>
    <row r="717" ht="15.75" customHeight="1" s="195"/>
    <row r="718" ht="15.75" customHeight="1" s="195"/>
    <row r="719" ht="15.75" customHeight="1" s="195"/>
    <row r="720" ht="15.75" customHeight="1" s="195"/>
    <row r="721" ht="15.75" customHeight="1" s="195"/>
    <row r="722" ht="15.75" customHeight="1" s="195"/>
    <row r="723" ht="15.75" customHeight="1" s="195"/>
    <row r="724" ht="15.75" customHeight="1" s="195"/>
    <row r="725" ht="15.75" customHeight="1" s="195"/>
    <row r="726" ht="15.75" customHeight="1" s="195"/>
    <row r="727" ht="15.75" customHeight="1" s="195"/>
    <row r="728" ht="15.75" customHeight="1" s="195"/>
    <row r="729" ht="15.75" customHeight="1" s="195"/>
    <row r="730" ht="15.75" customHeight="1" s="195"/>
    <row r="731" ht="15.75" customHeight="1" s="195"/>
    <row r="732" ht="15.75" customHeight="1" s="195"/>
    <row r="733" ht="15.75" customHeight="1" s="195"/>
    <row r="734" ht="15.75" customHeight="1" s="195"/>
    <row r="735" ht="15.75" customHeight="1" s="195"/>
    <row r="736" ht="15.75" customHeight="1" s="195"/>
    <row r="737" ht="15.75" customHeight="1" s="195"/>
    <row r="738" ht="15.75" customHeight="1" s="195"/>
    <row r="739" ht="15.75" customHeight="1" s="195"/>
    <row r="740" ht="15.75" customHeight="1" s="195"/>
    <row r="741" ht="15.75" customHeight="1" s="195"/>
    <row r="742" ht="15.75" customHeight="1" s="195"/>
    <row r="743" ht="15.75" customHeight="1" s="195"/>
    <row r="744" ht="15.75" customHeight="1" s="195"/>
    <row r="745" ht="15.75" customHeight="1" s="195"/>
    <row r="746" ht="15.75" customHeight="1" s="195"/>
    <row r="747" ht="15.75" customHeight="1" s="195"/>
    <row r="748" ht="15.75" customHeight="1" s="195"/>
    <row r="749" ht="15.75" customHeight="1" s="195"/>
    <row r="750" ht="15.75" customHeight="1" s="195"/>
    <row r="751" ht="15.75" customHeight="1" s="195"/>
    <row r="752" ht="15.75" customHeight="1" s="195"/>
    <row r="753" ht="15.75" customHeight="1" s="195"/>
    <row r="754" ht="15.75" customHeight="1" s="195"/>
    <row r="755" ht="15.75" customHeight="1" s="195"/>
    <row r="756" ht="15.75" customHeight="1" s="195"/>
    <row r="757" ht="15.75" customHeight="1" s="195"/>
    <row r="758" ht="15.75" customHeight="1" s="195"/>
    <row r="759" ht="15.75" customHeight="1" s="195"/>
    <row r="760" ht="15.75" customHeight="1" s="195"/>
    <row r="761" ht="15.75" customHeight="1" s="195"/>
    <row r="762" ht="15.75" customHeight="1" s="195"/>
    <row r="763" ht="15.75" customHeight="1" s="195"/>
    <row r="764" ht="15.75" customHeight="1" s="195"/>
    <row r="765" ht="15.75" customHeight="1" s="195"/>
    <row r="766" ht="15.75" customHeight="1" s="195"/>
    <row r="767" ht="15.75" customHeight="1" s="195"/>
    <row r="768" ht="15.75" customHeight="1" s="195"/>
    <row r="769" ht="15.75" customHeight="1" s="195"/>
    <row r="770" ht="15.75" customHeight="1" s="195"/>
    <row r="771" ht="15.75" customHeight="1" s="195"/>
    <row r="772" ht="15.75" customHeight="1" s="195"/>
    <row r="773" ht="15.75" customHeight="1" s="195"/>
    <row r="774" ht="15.75" customHeight="1" s="195"/>
    <row r="775" ht="15.75" customHeight="1" s="195"/>
    <row r="776" ht="15.75" customHeight="1" s="195"/>
    <row r="777" ht="15.75" customHeight="1" s="195"/>
    <row r="778" ht="15.75" customHeight="1" s="195"/>
    <row r="779" ht="15.75" customHeight="1" s="195"/>
    <row r="780" ht="15.75" customHeight="1" s="195"/>
    <row r="781" ht="15.75" customHeight="1" s="195"/>
    <row r="782" ht="15.75" customHeight="1" s="195"/>
    <row r="783" ht="15.75" customHeight="1" s="195"/>
    <row r="784" ht="15.75" customHeight="1" s="195"/>
    <row r="785" ht="15.75" customHeight="1" s="195"/>
    <row r="786" ht="15.75" customHeight="1" s="195"/>
    <row r="787" ht="15.75" customHeight="1" s="195"/>
    <row r="788" ht="15.75" customHeight="1" s="195"/>
    <row r="789" ht="15.75" customHeight="1" s="195"/>
    <row r="790" ht="15.75" customHeight="1" s="195"/>
    <row r="791" ht="15.75" customHeight="1" s="195"/>
    <row r="792" ht="15.75" customHeight="1" s="195"/>
    <row r="793" ht="15.75" customHeight="1" s="195"/>
    <row r="794" ht="15.75" customHeight="1" s="195"/>
    <row r="795" ht="15.75" customHeight="1" s="195"/>
    <row r="796" ht="15.75" customHeight="1" s="195"/>
    <row r="797" ht="15.75" customHeight="1" s="195"/>
    <row r="798" ht="15.75" customHeight="1" s="195"/>
    <row r="799" ht="15.75" customHeight="1" s="195"/>
    <row r="800" ht="15.75" customHeight="1" s="195"/>
    <row r="801" ht="15.75" customHeight="1" s="195"/>
    <row r="802" ht="15.75" customHeight="1" s="195"/>
    <row r="803" ht="15.75" customHeight="1" s="195"/>
    <row r="804" ht="15.75" customHeight="1" s="195"/>
    <row r="805" ht="15.75" customHeight="1" s="195"/>
    <row r="806" ht="15.75" customHeight="1" s="195"/>
    <row r="807" ht="15.75" customHeight="1" s="195"/>
    <row r="808" ht="15.75" customHeight="1" s="195"/>
    <row r="809" ht="15.75" customHeight="1" s="195"/>
    <row r="810" ht="15.75" customHeight="1" s="195"/>
    <row r="811" ht="15.75" customHeight="1" s="195"/>
    <row r="812" ht="15.75" customHeight="1" s="195"/>
    <row r="813" ht="15.75" customHeight="1" s="195"/>
    <row r="814" ht="15.75" customHeight="1" s="195"/>
    <row r="815" ht="15.75" customHeight="1" s="195"/>
    <row r="816" ht="15.75" customHeight="1" s="195"/>
    <row r="817" ht="15.75" customHeight="1" s="195"/>
    <row r="818" ht="15.75" customHeight="1" s="195"/>
    <row r="819" ht="15.75" customHeight="1" s="195"/>
    <row r="820" ht="15.75" customHeight="1" s="195"/>
    <row r="821" ht="15.75" customHeight="1" s="195"/>
    <row r="822" ht="15.75" customHeight="1" s="195"/>
    <row r="823" ht="15.75" customHeight="1" s="195"/>
    <row r="824" ht="15.75" customHeight="1" s="195"/>
    <row r="825" ht="15.75" customHeight="1" s="195"/>
    <row r="826" ht="15.75" customHeight="1" s="195"/>
    <row r="827" ht="15.75" customHeight="1" s="195"/>
    <row r="828" ht="15.75" customHeight="1" s="195"/>
    <row r="829" ht="15.75" customHeight="1" s="195"/>
    <row r="830" ht="15.75" customHeight="1" s="195"/>
    <row r="831" ht="15.75" customHeight="1" s="195"/>
    <row r="832" ht="15.75" customHeight="1" s="195"/>
    <row r="833" ht="15.75" customHeight="1" s="195"/>
    <row r="834" ht="15.75" customHeight="1" s="195"/>
    <row r="835" ht="15.75" customHeight="1" s="195"/>
    <row r="836" ht="15.75" customHeight="1" s="195"/>
    <row r="837" ht="15.75" customHeight="1" s="195"/>
    <row r="838" ht="15.75" customHeight="1" s="195"/>
    <row r="839" ht="15.75" customHeight="1" s="195"/>
    <row r="840" ht="15.75" customHeight="1" s="195"/>
    <row r="841" ht="15.75" customHeight="1" s="195"/>
    <row r="842" ht="15.75" customHeight="1" s="195"/>
    <row r="843" ht="15.75" customHeight="1" s="195"/>
    <row r="844" ht="15.75" customHeight="1" s="195"/>
    <row r="845" ht="15.75" customHeight="1" s="195"/>
    <row r="846" ht="15.75" customHeight="1" s="195"/>
    <row r="847" ht="15.75" customHeight="1" s="195"/>
    <row r="848" ht="15.75" customHeight="1" s="195"/>
    <row r="849" ht="15.75" customHeight="1" s="195"/>
    <row r="850" ht="15.75" customHeight="1" s="195"/>
    <row r="851" ht="15.75" customHeight="1" s="195"/>
    <row r="852" ht="15.75" customHeight="1" s="195"/>
    <row r="853" ht="15.75" customHeight="1" s="195"/>
    <row r="854" ht="15.75" customHeight="1" s="195"/>
    <row r="855" ht="15.75" customHeight="1" s="195"/>
    <row r="856" ht="15.75" customHeight="1" s="195"/>
    <row r="857" ht="15.75" customHeight="1" s="195"/>
    <row r="858" ht="15.75" customHeight="1" s="195"/>
    <row r="859" ht="15.75" customHeight="1" s="195"/>
    <row r="860" ht="15.75" customHeight="1" s="195"/>
    <row r="861" ht="15.75" customHeight="1" s="195"/>
    <row r="862" ht="15.75" customHeight="1" s="195"/>
    <row r="863" ht="15.75" customHeight="1" s="195"/>
    <row r="864" ht="15.75" customHeight="1" s="195"/>
    <row r="865" ht="15.75" customHeight="1" s="195"/>
    <row r="866" ht="15.75" customHeight="1" s="195"/>
    <row r="867" ht="15.75" customHeight="1" s="195"/>
    <row r="868" ht="15.75" customHeight="1" s="195"/>
    <row r="869" ht="15.75" customHeight="1" s="195"/>
    <row r="870" ht="15.75" customHeight="1" s="195"/>
    <row r="871" ht="15.75" customHeight="1" s="195"/>
    <row r="872" ht="15.75" customHeight="1" s="195"/>
    <row r="873" ht="15.75" customHeight="1" s="195"/>
    <row r="874" ht="15.75" customHeight="1" s="195"/>
    <row r="875" ht="15.75" customHeight="1" s="195"/>
    <row r="876" ht="15.75" customHeight="1" s="195"/>
    <row r="877" ht="15.75" customHeight="1" s="195"/>
    <row r="878" ht="15.75" customHeight="1" s="195"/>
    <row r="879" ht="15.75" customHeight="1" s="195"/>
    <row r="880" ht="15.75" customHeight="1" s="195"/>
    <row r="881" ht="15.75" customHeight="1" s="195"/>
    <row r="882" ht="15.75" customHeight="1" s="195"/>
    <row r="883" ht="15.75" customHeight="1" s="195"/>
    <row r="884" ht="15.75" customHeight="1" s="195"/>
    <row r="885" ht="15.75" customHeight="1" s="195"/>
    <row r="886" ht="15.75" customHeight="1" s="195"/>
    <row r="887" ht="15.75" customHeight="1" s="195"/>
    <row r="888" ht="15.75" customHeight="1" s="195"/>
    <row r="889" ht="15.75" customHeight="1" s="195"/>
    <row r="890" ht="15.75" customHeight="1" s="195"/>
    <row r="891" ht="15.75" customHeight="1" s="195"/>
    <row r="892" ht="15.75" customHeight="1" s="195"/>
    <row r="893" ht="15.75" customHeight="1" s="195"/>
    <row r="894" ht="15.75" customHeight="1" s="195"/>
    <row r="895" ht="15.75" customHeight="1" s="195"/>
    <row r="896" ht="15.75" customHeight="1" s="195"/>
    <row r="897" ht="15.75" customHeight="1" s="195"/>
    <row r="898" ht="15.75" customHeight="1" s="195"/>
    <row r="899" ht="15.75" customHeight="1" s="195"/>
    <row r="900" ht="15.75" customHeight="1" s="195"/>
    <row r="901" ht="15.75" customHeight="1" s="195"/>
    <row r="902" ht="15.75" customHeight="1" s="195"/>
    <row r="903" ht="15.75" customHeight="1" s="195"/>
    <row r="904" ht="15.75" customHeight="1" s="195"/>
    <row r="905" ht="15.75" customHeight="1" s="195"/>
    <row r="906" ht="15.75" customHeight="1" s="195"/>
    <row r="907" ht="15.75" customHeight="1" s="195"/>
    <row r="908" ht="15.75" customHeight="1" s="195"/>
    <row r="909" ht="15.75" customHeight="1" s="195"/>
    <row r="910" ht="15.75" customHeight="1" s="195"/>
    <row r="911" ht="15.75" customHeight="1" s="195"/>
    <row r="912" ht="15.75" customHeight="1" s="195"/>
    <row r="913" ht="15.75" customHeight="1" s="195"/>
    <row r="914" ht="15.75" customHeight="1" s="195"/>
    <row r="915" ht="15.75" customHeight="1" s="195"/>
    <row r="916" ht="15.75" customHeight="1" s="195"/>
    <row r="917" ht="15.75" customHeight="1" s="195"/>
    <row r="918" ht="15.75" customHeight="1" s="195"/>
    <row r="919" ht="15.75" customHeight="1" s="195"/>
    <row r="920" ht="15.75" customHeight="1" s="195"/>
    <row r="921" ht="15.75" customHeight="1" s="195"/>
    <row r="922" ht="15.75" customHeight="1" s="195"/>
    <row r="923" ht="15.75" customHeight="1" s="195"/>
    <row r="924" ht="15.75" customHeight="1" s="195"/>
    <row r="925" ht="15.75" customHeight="1" s="195"/>
    <row r="926" ht="15.75" customHeight="1" s="195"/>
    <row r="927" ht="15.75" customHeight="1" s="195"/>
    <row r="928" ht="15.75" customHeight="1" s="195"/>
    <row r="929" ht="15.75" customHeight="1" s="195"/>
    <row r="930" ht="15.75" customHeight="1" s="195"/>
    <row r="931" ht="15.75" customHeight="1" s="195"/>
    <row r="932" ht="15.75" customHeight="1" s="195"/>
    <row r="933" ht="15.75" customHeight="1" s="195"/>
    <row r="934" ht="15.75" customHeight="1" s="195"/>
    <row r="935" ht="15.75" customHeight="1" s="195"/>
    <row r="936" ht="15.75" customHeight="1" s="195"/>
    <row r="937" ht="15.75" customHeight="1" s="195"/>
    <row r="938" ht="15.75" customHeight="1" s="195"/>
    <row r="939" ht="15.75" customHeight="1" s="195"/>
    <row r="940" ht="15.75" customHeight="1" s="195"/>
    <row r="941" ht="15.75" customHeight="1" s="195"/>
    <row r="942" ht="15.75" customHeight="1" s="195"/>
    <row r="943" ht="15.75" customHeight="1" s="195"/>
    <row r="944" ht="15.75" customHeight="1" s="195"/>
    <row r="945" ht="15.75" customHeight="1" s="195"/>
    <row r="946" ht="15.75" customHeight="1" s="195"/>
    <row r="947" ht="15.75" customHeight="1" s="195"/>
    <row r="948" ht="15.75" customHeight="1" s="195"/>
    <row r="949" ht="15.75" customHeight="1" s="195"/>
    <row r="950" ht="15.75" customHeight="1" s="195"/>
    <row r="951" ht="15.75" customHeight="1" s="195"/>
    <row r="952" ht="15.75" customHeight="1" s="195"/>
    <row r="953" ht="15.75" customHeight="1" s="195"/>
    <row r="954" ht="15.75" customHeight="1" s="195"/>
    <row r="955" ht="15.75" customHeight="1" s="195"/>
    <row r="956" ht="15.75" customHeight="1" s="195"/>
    <row r="957" ht="15.75" customHeight="1" s="195"/>
    <row r="958" ht="15.75" customHeight="1" s="195"/>
    <row r="959" ht="15.75" customHeight="1" s="195"/>
    <row r="960" ht="15.75" customHeight="1" s="195"/>
    <row r="961" ht="15.75" customHeight="1" s="195"/>
    <row r="962" ht="15.75" customHeight="1" s="195"/>
    <row r="963" ht="15.75" customHeight="1" s="195"/>
    <row r="964" ht="15.75" customHeight="1" s="195"/>
    <row r="965" ht="15.75" customHeight="1" s="195"/>
    <row r="966" ht="15.75" customHeight="1" s="195"/>
    <row r="967" ht="15.75" customHeight="1" s="195"/>
    <row r="968" ht="15.75" customHeight="1" s="195"/>
    <row r="969" ht="15.75" customHeight="1" s="195"/>
    <row r="970" ht="15.75" customHeight="1" s="195"/>
    <row r="971" ht="15.75" customHeight="1" s="195"/>
    <row r="972" ht="15.75" customHeight="1" s="195"/>
    <row r="973" ht="15.75" customHeight="1" s="195"/>
    <row r="974" ht="15.75" customHeight="1" s="195"/>
    <row r="975" ht="15.75" customHeight="1" s="195"/>
    <row r="976" ht="15.75" customHeight="1" s="195"/>
    <row r="977" ht="15.75" customHeight="1" s="195"/>
    <row r="978" ht="15.75" customHeight="1" s="195"/>
    <row r="979" ht="15.75" customHeight="1" s="195"/>
    <row r="980" ht="15.75" customHeight="1" s="195"/>
    <row r="981" ht="15.75" customHeight="1" s="195"/>
    <row r="982" ht="15.75" customHeight="1" s="195"/>
    <row r="983" ht="15.75" customHeight="1" s="195"/>
    <row r="984" ht="15.75" customHeight="1" s="195"/>
    <row r="985" ht="15.75" customHeight="1" s="195"/>
    <row r="986" ht="15.75" customHeight="1" s="195"/>
    <row r="987" ht="15.75" customHeight="1" s="195"/>
    <row r="988" ht="15.75" customHeight="1" s="195"/>
    <row r="989" ht="15.75" customHeight="1" s="195"/>
    <row r="990" ht="15.75" customHeight="1" s="195"/>
    <row r="991" ht="15.75" customHeight="1" s="195"/>
    <row r="992" ht="15.75" customHeight="1" s="195"/>
    <row r="993" ht="15.75" customHeight="1" s="195"/>
    <row r="994" ht="15.75" customHeight="1" s="195"/>
    <row r="995" ht="15.75" customHeight="1" s="195"/>
    <row r="996" ht="15.75" customHeight="1" s="195"/>
    <row r="997" ht="15.75" customHeight="1" s="195"/>
    <row r="998" ht="15.75" customHeight="1" s="195"/>
    <row r="999" ht="15.75" customHeight="1" s="195"/>
    <row r="1000" ht="15.75" customHeight="1" s="195"/>
  </sheetData>
  <autoFilter ref="A5:N99">
    <filterColumn colId="10" hiddenButton="0" showButton="1">
      <filters>
        <filter val="GASOLINA"/>
      </filters>
    </filterColumn>
  </autoFilter>
  <mergeCells count="13">
    <mergeCell ref="D2:F2"/>
    <mergeCell ref="G2:I2"/>
    <mergeCell ref="S2:T2"/>
    <mergeCell ref="J2:L2"/>
    <mergeCell ref="A506:G506"/>
    <mergeCell ref="U2:V2"/>
    <mergeCell ref="P2:R2"/>
    <mergeCell ref="A1:Y1"/>
    <mergeCell ref="W2:AC2"/>
    <mergeCell ref="A101:J101"/>
    <mergeCell ref="A4:Y4"/>
    <mergeCell ref="M2:O2"/>
    <mergeCell ref="A2:C2"/>
  </mergeCells>
  <conditionalFormatting sqref="T6:T505">
    <cfRule type="expression" rank="0" priority="2" equalAverage="0" aboveAverage="0" dxfId="0" text="" percent="0" bottom="0">
      <formula>EXACT(T6,"APROBADO")</formula>
    </cfRule>
    <cfRule type="expression" rank="0" priority="3" equalAverage="0" aboveAverage="0" dxfId="7" text="" percent="0" bottom="0">
      <formula>EXACT(T6,"PENDIENTE")</formula>
    </cfRule>
    <cfRule type="expression" rank="0" priority="4" equalAverage="0" aboveAverage="0" dxfId="0" text="" percent="0" bottom="0">
      <formula>EXACT(T6,"APROBADO")</formula>
    </cfRule>
    <cfRule type="expression" rank="0" priority="5" equalAverage="0" aboveAverage="0" dxfId="7" text="" percent="0" bottom="0">
      <formula>EXACT(T6,"OBSERVADO")</formula>
    </cfRule>
  </conditionalFormatting>
  <conditionalFormatting sqref="K6:K505">
    <cfRule type="expression" rank="0" priority="6" equalAverage="0" aboveAverage="0" dxfId="8" text="" percent="0" bottom="0">
      <formula>EXACT(K6,"GASOLINA")</formula>
    </cfRule>
  </conditionalFormatting>
  <conditionalFormatting sqref="Z6:Z505">
    <cfRule type="expression" rank="0" priority="7" equalAverage="0" aboveAverage="0" dxfId="0" text="" percent="0" bottom="0">
      <formula>EXACT(Z6,"COMPLETADO")</formula>
    </cfRule>
    <cfRule type="expression" rank="0" priority="8" equalAverage="0" aboveAverage="0" dxfId="7" text="" percent="0" bottom="0">
      <formula>EXACT(Z6,"OBSERVADO")</formula>
    </cfRule>
  </conditionalFormatting>
  <conditionalFormatting sqref="Y6:Y110">
    <cfRule type="expression" rank="0" priority="9" equalAverage="0" aboveAverage="0" dxfId="9" text="" percent="0" bottom="0">
      <formula>Y6&lt;&gt;""</formula>
    </cfRule>
  </conditionalFormatting>
  <conditionalFormatting sqref="Z6:Z110">
    <cfRule type="expression" rank="0" priority="10" equalAverage="0" aboveAverage="0" dxfId="0" text="" percent="0" bottom="0">
      <formula>Z6="ENTREGADO"</formula>
    </cfRule>
    <cfRule type="expression" rank="0" priority="11" equalAverage="0" aboveAverage="0" dxfId="7" text="" percent="0" bottom="0">
      <formula>Z6="POR RECOGER"</formula>
    </cfRule>
  </conditionalFormatting>
  <dataValidations count="4">
    <dataValidation sqref="K6:K505" showDropDown="0" showInputMessage="0" showErrorMessage="0" allowBlank="1" type="list" errorStyle="stop" operator="between">
      <formula1>"PETROLEO,GASOLINA"</formula1>
      <formula2>0</formula2>
    </dataValidation>
    <dataValidation sqref="E6:E100 E102:E505" showDropDown="0" showInputMessage="0" showErrorMessage="0" allowBlank="1" type="list" errorStyle="stop" operator="between">
      <formula1>"DNI,CE,PASAPORTE"</formula1>
      <formula2>0</formula2>
    </dataValidation>
    <dataValidation sqref="Y6:Y110" showDropDown="0" showInputMessage="0" showErrorMessage="0" allowBlank="1" type="list" errorStyle="stop" operator="between">
      <formula1>CONDUCTORES!$H$3:$H$104</formula1>
      <formula2>0</formula2>
    </dataValidation>
    <dataValidation sqref="T6:T505" showDropDown="0" showInputMessage="1" showErrorMessage="1" allowBlank="1" prompt="Valor no válido - Solo se permite: APROBADO u OBSERVADO" type="list" errorStyle="stop" operator="between">
      <formula1>"APROBADO,OBSERVADO"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C5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14.43359375" defaultRowHeight="15" zeroHeight="0" outlineLevelRow="0"/>
  <cols>
    <col width="5" customWidth="1" style="194" min="1" max="1"/>
    <col width="10.43" customWidth="1" style="194" min="2" max="2"/>
    <col width="8" customWidth="1" style="194" min="3" max="3"/>
    <col width="33" customWidth="1" style="194" min="4" max="4"/>
    <col width="7" customWidth="1" style="194" min="5" max="5"/>
    <col width="14" customWidth="1" style="194" min="6" max="6"/>
    <col width="12" customWidth="1" style="194" min="7" max="7"/>
    <col width="10" customWidth="1" style="194" min="8" max="8"/>
    <col width="30" customWidth="1" style="194" min="9" max="9"/>
    <col width="10" customWidth="1" style="194" min="10" max="10"/>
    <col width="12" customWidth="1" style="194" min="11" max="11"/>
    <col width="10" customWidth="1" style="194" min="12" max="13"/>
    <col width="14" customWidth="1" style="194" min="14" max="15"/>
    <col width="28" customWidth="1" style="194" min="16" max="16"/>
    <col width="12" customWidth="1" style="194" min="17" max="18"/>
    <col width="16" customWidth="1" style="194" min="19" max="19"/>
    <col width="15.85" customWidth="1" style="194" min="20" max="20"/>
    <col width="12" customWidth="1" style="194" min="21" max="21"/>
    <col width="14" customWidth="1" style="194" min="22" max="23"/>
    <col width="8" customWidth="1" style="194" min="24" max="24"/>
    <col width="22" customWidth="1" style="194" min="25" max="25"/>
    <col width="14" customWidth="1" style="194" min="26" max="26"/>
    <col width="8.710000000000001" customWidth="1" style="194" min="27" max="29"/>
  </cols>
  <sheetData>
    <row r="1" ht="27.75" customHeight="1" s="195">
      <c r="A1" s="317" t="inlineStr">
        <is>
          <t>REPORTE DE TRASLADO DE PACIENTES SIS DEL MES DE FEBRERO 2026 PARA REPOSICION DE COMBUSTIBLE</t>
        </is>
      </c>
    </row>
    <row r="2" ht="21.75" customHeight="1" s="195">
      <c r="A2" s="318" t="inlineStr">
        <is>
          <t>TOTAL PETROLEO (gal):</t>
        </is>
      </c>
      <c r="D2" s="319">
        <f>IFERROR(SUMPRODUCT((K6:K104="PETROLEO")*ISNUMBER(M6:M104)*M6:M104),0)</f>
        <v/>
      </c>
      <c r="G2" s="318" t="inlineStr">
        <is>
          <t>TOTAL GASOLINA (gal):</t>
        </is>
      </c>
      <c r="J2" s="319">
        <f>IFERROR(SUMPRODUCT((K6:K104="GASOLINA")*ISNUMBER(M6:M104)*M6:M104),0)</f>
        <v/>
      </c>
      <c r="M2" s="318" t="inlineStr">
        <is>
          <t>TOTAL SOLES S/.:</t>
        </is>
      </c>
      <c r="P2" s="320">
        <f>IFERROR(SUMPRODUCT(ISNUMBER(M6:M104)*L6:L104*M6:M104),0)</f>
        <v/>
      </c>
      <c r="S2" s="318" t="inlineStr">
        <is>
          <t>N TRASLADOS:</t>
        </is>
      </c>
      <c r="U2" s="321">
        <f>SUBTOTAL(2,A6:A104)</f>
        <v/>
      </c>
      <c r="W2" s="322" t="inlineStr">
        <is>
          <t>↑ Al filtrar por EESS los totales cambian automáticamente</t>
        </is>
      </c>
    </row>
    <row r="3" ht="3.75" customHeight="1" s="195">
      <c r="A3" s="323" t="n"/>
      <c r="B3" s="323" t="n"/>
      <c r="C3" s="323" t="n"/>
      <c r="D3" s="323" t="n"/>
      <c r="E3" s="323" t="n"/>
      <c r="F3" s="323" t="n"/>
      <c r="G3" s="323" t="n"/>
      <c r="H3" s="323" t="n"/>
      <c r="I3" s="323" t="n"/>
      <c r="J3" s="323" t="n"/>
      <c r="K3" s="323" t="n"/>
      <c r="L3" s="323" t="n"/>
      <c r="M3" s="323" t="n"/>
      <c r="N3" s="323" t="n"/>
      <c r="O3" s="323" t="n"/>
      <c r="P3" s="323" t="n"/>
      <c r="Q3" s="323" t="n"/>
      <c r="R3" s="323" t="n"/>
      <c r="S3" s="323" t="n"/>
      <c r="T3" s="323" t="n"/>
      <c r="U3" s="323" t="n"/>
      <c r="V3" s="323" t="n"/>
      <c r="W3" s="323" t="n"/>
      <c r="X3" s="323" t="n"/>
      <c r="Y3" s="323" t="n"/>
    </row>
    <row r="4" ht="19.5" customHeight="1" s="195">
      <c r="A4" s="325" t="inlineStr">
        <is>
          <t>COLUMNAS EN AZUL = AUTO (no editar) | Ingrese: N, NRO FORMATO, AFILIADO, TIPO DOC, NRO DOC, FECHA TRASLADO, COD RENAES, COD REFERENCIA, DNI CONDUCTOR, PRECIO GAL, GALONES, FECHA ENTREGA, CIE-10, ESTADO FUA, FECHA DIGITACION, OFICIO, O/C, META, OBSERVACION</t>
        </is>
      </c>
    </row>
    <row r="5" ht="30" customHeight="1" s="195">
      <c r="A5" s="326" t="inlineStr">
        <is>
          <t>N</t>
        </is>
      </c>
      <c r="B5" s="327" t="inlineStr">
        <is>
          <t>NRO FORMATO
ATENCION</t>
        </is>
      </c>
      <c r="C5" s="327" t="inlineStr">
        <is>
          <t>UNIDAD
EJECUTORA</t>
        </is>
      </c>
      <c r="D5" s="327" t="inlineStr">
        <is>
          <t>AFILIADO</t>
        </is>
      </c>
      <c r="E5" s="327" t="inlineStr">
        <is>
          <t>TIPO
DOC</t>
        </is>
      </c>
      <c r="F5" s="327" t="inlineStr">
        <is>
          <t>NRO
DOCUMENTO</t>
        </is>
      </c>
      <c r="G5" s="327" t="inlineStr">
        <is>
          <t>FECHA
TRASLADO</t>
        </is>
      </c>
      <c r="H5" s="327" t="inlineStr">
        <is>
          <t>COD
RENAES</t>
        </is>
      </c>
      <c r="I5" s="328" t="inlineStr">
        <is>
          <t>DESCRIPCION
EESS</t>
        </is>
      </c>
      <c r="J5" s="327" t="inlineStr">
        <is>
          <t>COD EESS
REFERENCIA</t>
        </is>
      </c>
      <c r="K5" s="328" t="inlineStr">
        <is>
          <t>TIPO DE
COMBUSTIBLE</t>
        </is>
      </c>
      <c r="L5" s="327" t="inlineStr">
        <is>
          <t>PRECIO
GAL S/.</t>
        </is>
      </c>
      <c r="M5" s="327" t="inlineStr">
        <is>
          <t>GALONES</t>
        </is>
      </c>
      <c r="N5" s="328" t="inlineStr">
        <is>
          <t>TOTAL
COMBUSTIBLE S/.</t>
        </is>
      </c>
      <c r="O5" s="327" t="inlineStr">
        <is>
          <t>DNI
CONDUCTOR</t>
        </is>
      </c>
      <c r="P5" s="328" t="inlineStr">
        <is>
          <t>NOMBRE
CONDUCTOR</t>
        </is>
      </c>
      <c r="Q5" s="328" t="inlineStr">
        <is>
          <t>PLACA</t>
        </is>
      </c>
      <c r="R5" s="327" t="inlineStr">
        <is>
          <t>FECHA DE
ENTREGA</t>
        </is>
      </c>
      <c r="S5" s="327" t="inlineStr">
        <is>
          <t>CODIGO DE
DIAGNOSTICO</t>
        </is>
      </c>
      <c r="T5" s="327" t="inlineStr">
        <is>
          <t>ESTADO
FUA</t>
        </is>
      </c>
      <c r="U5" s="327" t="inlineStr">
        <is>
          <t>FECHA
DIGITACION</t>
        </is>
      </c>
      <c r="V5" s="327" t="inlineStr">
        <is>
          <t>OFICIO</t>
        </is>
      </c>
      <c r="W5" s="327" t="inlineStr">
        <is>
          <t>O/C</t>
        </is>
      </c>
      <c r="X5" s="327" t="inlineStr">
        <is>
          <t>META</t>
        </is>
      </c>
      <c r="Y5" s="348" t="inlineStr">
        <is>
          <t>DEVOLVER A
(IPRESS DESTINO)</t>
        </is>
      </c>
      <c r="Z5" s="349" t="inlineStr">
        <is>
          <t>ESTADO
COMPLETADO</t>
        </is>
      </c>
    </row>
    <row r="6" ht="15.75" customHeight="1" s="195">
      <c r="A6" s="337" t="n">
        <v>1</v>
      </c>
      <c r="B6" s="338" t="inlineStr">
        <is>
          <t>00000007</t>
        </is>
      </c>
      <c r="C6" s="337" t="inlineStr">
        <is>
          <t>REGION</t>
        </is>
      </c>
      <c r="D6" s="338" t="inlineStr">
        <is>
          <t>CHOCA CHAPPA LIS JHISENIA</t>
        </is>
      </c>
      <c r="E6" s="337" t="inlineStr">
        <is>
          <t>DNI</t>
        </is>
      </c>
      <c r="F6" s="337" t="inlineStr">
        <is>
          <t>77292793</t>
        </is>
      </c>
      <c r="G6" s="339" t="n">
        <v>46054</v>
      </c>
      <c r="H6" s="337" t="inlineStr">
        <is>
          <t>4913</t>
        </is>
      </c>
      <c r="I6" s="332">
        <f>IFERROR(VLOOKUP(TEXT(H6,"0"),IPRESS!$A$3:$B$212,2,0),"")</f>
        <v/>
      </c>
      <c r="J6" s="337" t="inlineStr">
        <is>
          <t>4838</t>
        </is>
      </c>
      <c r="K6" s="357" t="inlineStr">
        <is>
          <t>GASOLINA</t>
        </is>
      </c>
      <c r="L6" s="340" t="n">
        <v>17.95</v>
      </c>
      <c r="M6" s="340" t="n">
        <v>20</v>
      </c>
      <c r="N6" s="333">
        <f>IFERROR(IF(L6*M6=0,"",L6*M6),"")</f>
        <v/>
      </c>
      <c r="O6" s="337" t="inlineStr">
        <is>
          <t>44462598</t>
        </is>
      </c>
      <c r="P6" s="332">
        <f>IFERROR(VLOOKUP(TEXT(O6,"0"),CONDUCTORES!$A$3:$G$100,2,0),"")</f>
        <v/>
      </c>
      <c r="Q6" s="332">
        <f>IFERROR(VLOOKUP(TEXT(O6,"0"),CONDUCTORES!$A$3:$H$100,6,0),"")</f>
        <v/>
      </c>
      <c r="R6" s="341" t="n"/>
      <c r="S6" s="338" t="inlineStr">
        <is>
          <t>O200</t>
        </is>
      </c>
      <c r="T6" s="337" t="inlineStr">
        <is>
          <t>APROBADO</t>
        </is>
      </c>
      <c r="U6" s="341" t="n"/>
      <c r="V6" s="338" t="n"/>
      <c r="W6" s="337" t="n"/>
      <c r="X6" s="337" t="n"/>
      <c r="Y6" s="280" t="n"/>
      <c r="Z6" s="350">
        <f>IF(AND(R6&lt;&gt;"",V6&lt;&gt;"",W6&lt;&gt;""),"ENTREGADO","POR RECOGER")</f>
        <v/>
      </c>
      <c r="AA6" s="198" t="n"/>
      <c r="AB6" s="198" t="n"/>
      <c r="AC6" s="198" t="n"/>
    </row>
    <row r="7" ht="15.75" customHeight="1" s="195">
      <c r="A7" s="241" t="n">
        <v>2</v>
      </c>
      <c r="B7" s="305" t="inlineStr">
        <is>
          <t>00000074</t>
        </is>
      </c>
      <c r="C7" s="241" t="inlineStr">
        <is>
          <t>REGION</t>
        </is>
      </c>
      <c r="D7" s="305" t="inlineStr">
        <is>
          <t>ANGELES BAUTISTA MARIA NATIVIDAD</t>
        </is>
      </c>
      <c r="E7" s="241" t="inlineStr">
        <is>
          <t>DNI</t>
        </is>
      </c>
      <c r="F7" s="241" t="inlineStr">
        <is>
          <t>33780891</t>
        </is>
      </c>
      <c r="G7" s="336" t="n">
        <v>46055</v>
      </c>
      <c r="H7" s="241" t="inlineStr">
        <is>
          <t>4850</t>
        </is>
      </c>
      <c r="I7" s="332">
        <f>IFERROR(VLOOKUP(TEXT(H7,"0"),IPRESS!$A$3:$B$212,2,0),"")</f>
        <v/>
      </c>
      <c r="J7" s="241" t="inlineStr">
        <is>
          <t>4838</t>
        </is>
      </c>
      <c r="K7" s="332" t="inlineStr">
        <is>
          <t>PETROLEO</t>
        </is>
      </c>
      <c r="L7" s="239" t="n">
        <v>18.18</v>
      </c>
      <c r="M7" s="239" t="n">
        <v>4</v>
      </c>
      <c r="N7" s="333">
        <f>IFERROR(IF(L7*M7=0,"",L7*M7),"")</f>
        <v/>
      </c>
      <c r="O7" s="241" t="inlineStr">
        <is>
          <t>45309596</t>
        </is>
      </c>
      <c r="P7" s="332">
        <f>IFERROR(VLOOKUP(TEXT(O7,"0"),CONDUCTORES!$A$3:$G$100,2,0),"")</f>
        <v/>
      </c>
      <c r="Q7" s="332">
        <f>IFERROR(VLOOKUP(TEXT(O7,"0"),CONDUCTORES!$A$3:$H$100,6,0),"")</f>
        <v/>
      </c>
      <c r="R7" s="280" t="n"/>
      <c r="S7" s="305" t="inlineStr">
        <is>
          <t>I500</t>
        </is>
      </c>
      <c r="T7" s="241" t="inlineStr">
        <is>
          <t>APROBADO</t>
        </is>
      </c>
      <c r="U7" s="280" t="n"/>
      <c r="V7" s="305" t="n"/>
      <c r="W7" s="241" t="n"/>
      <c r="X7" s="241" t="n"/>
      <c r="Y7" s="280" t="n"/>
      <c r="Z7" s="350">
        <f>IF(AND(R7&lt;&gt;"",V7&lt;&gt;"",W7&lt;&gt;""),"ENTREGADO","POR RECOGER")</f>
        <v/>
      </c>
      <c r="AA7" s="198" t="n"/>
      <c r="AB7" s="198" t="n"/>
      <c r="AC7" s="198" t="n"/>
    </row>
    <row r="8" ht="15.75" customHeight="1" s="195">
      <c r="A8" s="337" t="n">
        <v>3</v>
      </c>
      <c r="B8" s="338" t="inlineStr">
        <is>
          <t>00000008</t>
        </is>
      </c>
      <c r="C8" s="337" t="inlineStr">
        <is>
          <t>REGION</t>
        </is>
      </c>
      <c r="D8" s="338" t="inlineStr">
        <is>
          <t>ROJAS MENDOZA ESTHER</t>
        </is>
      </c>
      <c r="E8" s="337" t="inlineStr">
        <is>
          <t>DNI</t>
        </is>
      </c>
      <c r="F8" s="337" t="inlineStr">
        <is>
          <t>61751899</t>
        </is>
      </c>
      <c r="G8" s="339" t="n">
        <v>46055</v>
      </c>
      <c r="H8" s="337" t="inlineStr">
        <is>
          <t>4913</t>
        </is>
      </c>
      <c r="I8" s="332">
        <f>IFERROR(VLOOKUP(TEXT(H8,"0"),IPRESS!$A$3:$B$212,2,0),"")</f>
        <v/>
      </c>
      <c r="J8" s="337" t="inlineStr">
        <is>
          <t>5125</t>
        </is>
      </c>
      <c r="K8" s="357" t="inlineStr">
        <is>
          <t>GASOLINA</t>
        </is>
      </c>
      <c r="L8" s="340" t="n">
        <v>17.95</v>
      </c>
      <c r="M8" s="340" t="n">
        <v>12</v>
      </c>
      <c r="N8" s="333">
        <f>IFERROR(IF(L8*M8=0,"",L8*M8),"")</f>
        <v/>
      </c>
      <c r="O8" s="337" t="inlineStr">
        <is>
          <t>44462598</t>
        </is>
      </c>
      <c r="P8" s="332">
        <f>IFERROR(VLOOKUP(TEXT(O8,"0"),CONDUCTORES!$A$3:$G$100,2,0),"")</f>
        <v/>
      </c>
      <c r="Q8" s="332">
        <f>IFERROR(VLOOKUP(TEXT(O8,"0"),CONDUCTORES!$A$3:$H$100,6,0),"")</f>
        <v/>
      </c>
      <c r="R8" s="341" t="n"/>
      <c r="S8" s="338" t="inlineStr">
        <is>
          <t>K359</t>
        </is>
      </c>
      <c r="T8" s="337" t="inlineStr">
        <is>
          <t>APROBADO</t>
        </is>
      </c>
      <c r="U8" s="341" t="n"/>
      <c r="V8" s="338" t="n"/>
      <c r="W8" s="337" t="n"/>
      <c r="X8" s="337" t="n"/>
      <c r="Y8" s="280" t="n"/>
      <c r="Z8" s="350">
        <f>IF(AND(R8&lt;&gt;"",V8&lt;&gt;"",W8&lt;&gt;""),"ENTREGADO","POR RECOGER")</f>
        <v/>
      </c>
      <c r="AA8" s="198" t="n"/>
      <c r="AB8" s="198" t="n"/>
      <c r="AC8" s="198" t="n"/>
    </row>
    <row r="9" ht="15.75" customHeight="1" s="195">
      <c r="A9" s="241" t="n">
        <v>4</v>
      </c>
      <c r="B9" s="305" t="inlineStr">
        <is>
          <t>00000050</t>
        </is>
      </c>
      <c r="C9" s="241" t="inlineStr">
        <is>
          <t>REGION</t>
        </is>
      </c>
      <c r="D9" s="305" t="inlineStr">
        <is>
          <t>LOJA ALVA KEISY BRIGITH</t>
        </is>
      </c>
      <c r="E9" s="241" t="inlineStr">
        <is>
          <t>DNI</t>
        </is>
      </c>
      <c r="F9" s="241" t="inlineStr">
        <is>
          <t>77571420</t>
        </is>
      </c>
      <c r="G9" s="336" t="n">
        <v>46056</v>
      </c>
      <c r="H9" s="241" t="inlineStr">
        <is>
          <t>4904</t>
        </is>
      </c>
      <c r="I9" s="332">
        <f>IFERROR(VLOOKUP(TEXT(H9,"0"),IPRESS!$A$3:$B$212,2,0),"")</f>
        <v/>
      </c>
      <c r="J9" s="241" t="inlineStr">
        <is>
          <t>4838</t>
        </is>
      </c>
      <c r="K9" s="332" t="inlineStr">
        <is>
          <t>PETROLEO</t>
        </is>
      </c>
      <c r="L9" s="239" t="n">
        <v>18.18</v>
      </c>
      <c r="M9" s="239" t="n">
        <v>6</v>
      </c>
      <c r="N9" s="333">
        <f>IFERROR(IF(L9*M9=0,"",L9*M9),"")</f>
        <v/>
      </c>
      <c r="O9" s="241" t="inlineStr">
        <is>
          <t>40051255</t>
        </is>
      </c>
      <c r="P9" s="332">
        <f>IFERROR(VLOOKUP(TEXT(O9,"0"),CONDUCTORES!$A$3:$G$100,2,0),"")</f>
        <v/>
      </c>
      <c r="Q9" s="332">
        <f>IFERROR(VLOOKUP(TEXT(O9,"0"),CONDUCTORES!$A$3:$H$100,6,0),"")</f>
        <v/>
      </c>
      <c r="R9" s="280" t="n"/>
      <c r="S9" s="305" t="inlineStr">
        <is>
          <t>K359</t>
        </is>
      </c>
      <c r="T9" s="241" t="inlineStr">
        <is>
          <t>APROBADO</t>
        </is>
      </c>
      <c r="U9" s="280" t="n"/>
      <c r="V9" s="305" t="n"/>
      <c r="W9" s="241" t="n"/>
      <c r="X9" s="241" t="n"/>
      <c r="Y9" s="280" t="n"/>
      <c r="Z9" s="350">
        <f>IF(AND(R9&lt;&gt;"",V9&lt;&gt;"",W9&lt;&gt;""),"ENTREGADO","POR RECOGER")</f>
        <v/>
      </c>
      <c r="AA9" s="198" t="n"/>
      <c r="AB9" s="198" t="n"/>
      <c r="AC9" s="198" t="n"/>
    </row>
    <row r="10" ht="15.75" customHeight="1" s="195">
      <c r="A10" s="301" t="n">
        <v>5</v>
      </c>
      <c r="B10" s="302" t="inlineStr">
        <is>
          <t>00000006</t>
        </is>
      </c>
      <c r="C10" s="301" t="inlineStr">
        <is>
          <t>REGION</t>
        </is>
      </c>
      <c r="D10" s="302" t="inlineStr">
        <is>
          <t>SAUCEDO RODRIGUEZ ISOLINA</t>
        </is>
      </c>
      <c r="E10" s="301" t="inlineStr">
        <is>
          <t>DNI</t>
        </is>
      </c>
      <c r="F10" s="301" t="inlineStr">
        <is>
          <t>60268271</t>
        </is>
      </c>
      <c r="G10" s="331" t="n">
        <v>46056</v>
      </c>
      <c r="H10" s="301" t="inlineStr">
        <is>
          <t>4916</t>
        </is>
      </c>
      <c r="I10" s="332">
        <f>IFERROR(VLOOKUP(TEXT(H10,"0"),IPRESS!$A$3:$B$212,2,0),"")</f>
        <v/>
      </c>
      <c r="J10" s="301" t="inlineStr">
        <is>
          <t>4932</t>
        </is>
      </c>
      <c r="K10" s="332" t="inlineStr">
        <is>
          <t>PETROLEO</t>
        </is>
      </c>
      <c r="L10" s="245" t="n">
        <v>18.18</v>
      </c>
      <c r="M10" s="245" t="n">
        <v>5</v>
      </c>
      <c r="N10" s="333">
        <f>IFERROR(IF(L10*M10=0,"",L10*M10),"")</f>
        <v/>
      </c>
      <c r="O10" s="301" t="inlineStr">
        <is>
          <t>33734466</t>
        </is>
      </c>
      <c r="P10" s="332">
        <f>IFERROR(VLOOKUP(TEXT(O10,"0"),CONDUCTORES!$A$3:$G$100,2,0),"")</f>
        <v/>
      </c>
      <c r="Q10" s="332">
        <f>IFERROR(VLOOKUP(TEXT(O10,"0"),CONDUCTORES!$A$3:$H$100,6,0),"")</f>
        <v/>
      </c>
      <c r="R10" s="334" t="n"/>
      <c r="S10" s="302" t="inlineStr">
        <is>
          <t>Z359,O10X</t>
        </is>
      </c>
      <c r="T10" s="301" t="inlineStr">
        <is>
          <t>APROBADO</t>
        </is>
      </c>
      <c r="U10" s="334" t="n"/>
      <c r="V10" s="302" t="n"/>
      <c r="W10" s="301" t="n"/>
      <c r="X10" s="301" t="n"/>
      <c r="Y10" s="280" t="inlineStr">
        <is>
          <t>JUMBILLA</t>
        </is>
      </c>
      <c r="Z10" s="350">
        <f>IF(AND(R10&lt;&gt;"",V10&lt;&gt;"",W10&lt;&gt;""),"ENTREGADO","POR RECOGER")</f>
        <v/>
      </c>
      <c r="AA10" s="198" t="n"/>
      <c r="AB10" s="198" t="n"/>
      <c r="AC10" s="198" t="n"/>
    </row>
    <row r="11" ht="15.75" customHeight="1" s="195">
      <c r="A11" s="241" t="n">
        <v>6</v>
      </c>
      <c r="B11" s="305" t="inlineStr">
        <is>
          <t>00000308</t>
        </is>
      </c>
      <c r="C11" s="241" t="inlineStr">
        <is>
          <t>REGION</t>
        </is>
      </c>
      <c r="D11" s="305" t="inlineStr">
        <is>
          <t xml:space="preserve"> MORAN CASTILLO ROSA YOLANDA</t>
        </is>
      </c>
      <c r="E11" s="241" t="inlineStr">
        <is>
          <t>DNI</t>
        </is>
      </c>
      <c r="F11" s="241" t="inlineStr">
        <is>
          <t>16578620</t>
        </is>
      </c>
      <c r="G11" s="336" t="n">
        <v>46056</v>
      </c>
      <c r="H11" s="241" t="inlineStr">
        <is>
          <t>4950</t>
        </is>
      </c>
      <c r="I11" s="332">
        <f>IFERROR(VLOOKUP(TEXT(H11,"0"),IPRESS!$A$3:$B$212,2,0),"")</f>
        <v/>
      </c>
      <c r="J11" s="241" t="inlineStr">
        <is>
          <t>4838</t>
        </is>
      </c>
      <c r="K11" s="332" t="inlineStr">
        <is>
          <t>PETROLEO</t>
        </is>
      </c>
      <c r="L11" s="239" t="n">
        <v>20.25</v>
      </c>
      <c r="M11" s="239" t="n">
        <v>7</v>
      </c>
      <c r="N11" s="333">
        <f>IFERROR(IF(L11*M11=0,"",L11*M11),"")</f>
        <v/>
      </c>
      <c r="O11" s="241" t="inlineStr">
        <is>
          <t>40083507</t>
        </is>
      </c>
      <c r="P11" s="332">
        <f>IFERROR(VLOOKUP(TEXT(O11,"0"),CONDUCTORES!$A$3:$G$100,2,0),"")</f>
        <v/>
      </c>
      <c r="Q11" s="332">
        <f>IFERROR(VLOOKUP(TEXT(O11,"0"),CONDUCTORES!$A$3:$H$100,6,0),"")</f>
        <v/>
      </c>
      <c r="R11" s="280" t="n"/>
      <c r="S11" s="305" t="inlineStr">
        <is>
          <t>A419,E162,E119</t>
        </is>
      </c>
      <c r="T11" s="241" t="inlineStr">
        <is>
          <t>APROBADO</t>
        </is>
      </c>
      <c r="U11" s="280" t="n"/>
      <c r="V11" s="305" t="n"/>
      <c r="W11" s="241" t="n"/>
      <c r="X11" s="241" t="n"/>
      <c r="Y11" s="280" t="n"/>
      <c r="Z11" s="350">
        <f>IF(AND(R11&lt;&gt;"",V11&lt;&gt;"",W11&lt;&gt;""),"ENTREGADO","POR RECOGER")</f>
        <v/>
      </c>
      <c r="AA11" s="198" t="n"/>
      <c r="AB11" s="198" t="n"/>
      <c r="AC11" s="198" t="n"/>
    </row>
    <row r="12" ht="15.75" customHeight="1" s="195">
      <c r="A12" s="301" t="n">
        <v>7</v>
      </c>
      <c r="B12" s="302" t="inlineStr">
        <is>
          <t>00000087</t>
        </is>
      </c>
      <c r="C12" s="301" t="inlineStr">
        <is>
          <t>REGION</t>
        </is>
      </c>
      <c r="D12" s="302" t="inlineStr">
        <is>
          <t>PEREZ BERNILLA GERSON JHAIMIR</t>
        </is>
      </c>
      <c r="E12" s="301" t="inlineStr">
        <is>
          <t>DNI</t>
        </is>
      </c>
      <c r="F12" s="301" t="inlineStr">
        <is>
          <t>60302054</t>
        </is>
      </c>
      <c r="G12" s="331" t="n">
        <v>46056</v>
      </c>
      <c r="H12" s="301" t="inlineStr">
        <is>
          <t>4866</t>
        </is>
      </c>
      <c r="I12" s="332">
        <f>IFERROR(VLOOKUP(TEXT(H12,"0"),IPRESS!$A$3:$B$212,2,0),"")</f>
        <v/>
      </c>
      <c r="J12" s="301" t="inlineStr">
        <is>
          <t>4838</t>
        </is>
      </c>
      <c r="K12" s="332" t="inlineStr">
        <is>
          <t>PETROLEO</t>
        </is>
      </c>
      <c r="L12" s="245" t="n">
        <v>18.18</v>
      </c>
      <c r="M12" s="245" t="n">
        <v>4</v>
      </c>
      <c r="N12" s="333">
        <f>IFERROR(IF(L12*M12=0,"",L12*M12),"")</f>
        <v/>
      </c>
      <c r="O12" s="301" t="inlineStr">
        <is>
          <t>45309596</t>
        </is>
      </c>
      <c r="P12" s="332">
        <f>IFERROR(VLOOKUP(TEXT(O12,"0"),CONDUCTORES!$A$3:$G$100,2,0),"")</f>
        <v/>
      </c>
      <c r="Q12" s="332">
        <f>IFERROR(VLOOKUP(TEXT(O12,"0"),CONDUCTORES!$A$3:$H$100,6,0),"")</f>
        <v/>
      </c>
      <c r="R12" s="334" t="n"/>
      <c r="S12" s="302" t="inlineStr">
        <is>
          <t>S300,S320</t>
        </is>
      </c>
      <c r="T12" s="301" t="inlineStr">
        <is>
          <t>APROBADO</t>
        </is>
      </c>
      <c r="U12" s="334" t="n"/>
      <c r="V12" s="302" t="n"/>
      <c r="W12" s="301" t="n"/>
      <c r="X12" s="301" t="n"/>
      <c r="Y12" s="280" t="n"/>
      <c r="Z12" s="350">
        <f>IF(AND(R12&lt;&gt;"",V12&lt;&gt;"",W12&lt;&gt;""),"ENTREGADO","POR RECOGER")</f>
        <v/>
      </c>
      <c r="AA12" s="198" t="n"/>
      <c r="AB12" s="198" t="n"/>
      <c r="AC12" s="198" t="n"/>
    </row>
    <row r="13" ht="15.75" customHeight="1" s="195">
      <c r="A13" s="241" t="n">
        <v>8</v>
      </c>
      <c r="B13" s="305" t="inlineStr">
        <is>
          <t>00000032</t>
        </is>
      </c>
      <c r="C13" s="241" t="inlineStr">
        <is>
          <t>REGION</t>
        </is>
      </c>
      <c r="D13" s="305" t="inlineStr">
        <is>
          <t>HUAMAN PUERTA EIMY LUCIANA</t>
        </is>
      </c>
      <c r="E13" s="241" t="inlineStr">
        <is>
          <t>DNI</t>
        </is>
      </c>
      <c r="F13" s="241" t="inlineStr">
        <is>
          <t>94533673</t>
        </is>
      </c>
      <c r="G13" s="336" t="n">
        <v>46056</v>
      </c>
      <c r="H13" s="241" t="inlineStr">
        <is>
          <t>4905</t>
        </is>
      </c>
      <c r="I13" s="332">
        <f>IFERROR(VLOOKUP(TEXT(H13,"0"),IPRESS!$A$3:$B$212,2,0),"")</f>
        <v/>
      </c>
      <c r="J13" s="241" t="inlineStr">
        <is>
          <t>4838</t>
        </is>
      </c>
      <c r="K13" s="332" t="inlineStr">
        <is>
          <t>PETROLEO</t>
        </is>
      </c>
      <c r="L13" s="239" t="n">
        <v>18.18</v>
      </c>
      <c r="M13" s="239" t="n">
        <v>7</v>
      </c>
      <c r="N13" s="333">
        <f>IFERROR(IF(L13*M13=0,"",L13*M13),"")</f>
        <v/>
      </c>
      <c r="O13" s="241" t="inlineStr">
        <is>
          <t>44894499</t>
        </is>
      </c>
      <c r="P13" s="332">
        <f>IFERROR(VLOOKUP(TEXT(O13,"0"),CONDUCTORES!$A$3:$G$100,2,0),"")</f>
        <v/>
      </c>
      <c r="Q13" s="332">
        <f>IFERROR(VLOOKUP(TEXT(O13,"0"),CONDUCTORES!$A$3:$H$100,6,0),"")</f>
        <v/>
      </c>
      <c r="R13" s="280" t="n"/>
      <c r="S13" s="305" t="inlineStr">
        <is>
          <t>P704</t>
        </is>
      </c>
      <c r="T13" s="241" t="inlineStr">
        <is>
          <t>APROBADO</t>
        </is>
      </c>
      <c r="U13" s="280" t="n"/>
      <c r="V13" s="305" t="n"/>
      <c r="W13" s="241" t="n"/>
      <c r="X13" s="241" t="n"/>
      <c r="Y13" s="280" t="n"/>
      <c r="Z13" s="350">
        <f>IF(AND(R13&lt;&gt;"",V13&lt;&gt;"",W13&lt;&gt;""),"ENTREGADO","POR RECOGER")</f>
        <v/>
      </c>
      <c r="AA13" s="198" t="n"/>
      <c r="AB13" s="198" t="n"/>
      <c r="AC13" s="198" t="n"/>
    </row>
    <row r="14" ht="15.75" customHeight="1" s="195">
      <c r="A14" s="301" t="n">
        <v>9</v>
      </c>
      <c r="B14" s="302" t="inlineStr">
        <is>
          <t>00000056</t>
        </is>
      </c>
      <c r="C14" s="301" t="inlineStr">
        <is>
          <t>REGION</t>
        </is>
      </c>
      <c r="D14" s="302" t="inlineStr">
        <is>
          <t>GUEVARA FUENTES NAJAT</t>
        </is>
      </c>
      <c r="E14" s="301" t="inlineStr">
        <is>
          <t>DNI</t>
        </is>
      </c>
      <c r="F14" s="301" t="inlineStr">
        <is>
          <t>90945709</t>
        </is>
      </c>
      <c r="G14" s="331" t="n">
        <v>46057</v>
      </c>
      <c r="H14" s="301" t="inlineStr">
        <is>
          <t>4876</t>
        </is>
      </c>
      <c r="I14" s="332">
        <f>IFERROR(VLOOKUP(TEXT(H14,"0"),IPRESS!$A$3:$B$212,2,0),"")</f>
        <v/>
      </c>
      <c r="J14" s="301" t="inlineStr">
        <is>
          <t>4838</t>
        </is>
      </c>
      <c r="K14" s="332" t="inlineStr">
        <is>
          <t>PETROLEO</t>
        </is>
      </c>
      <c r="L14" s="245" t="n">
        <v>18.18</v>
      </c>
      <c r="M14" s="245" t="n">
        <v>20</v>
      </c>
      <c r="N14" s="333">
        <f>IFERROR(IF(L14*M14=0,"",L14*M14),"")</f>
        <v/>
      </c>
      <c r="O14" s="241" t="n">
        <v>16712192</v>
      </c>
      <c r="P14" s="332">
        <f>IFERROR(VLOOKUP(TEXT(O14,"0"),CONDUCTORES!$A$3:$G$100,2,0),"")</f>
        <v/>
      </c>
      <c r="Q14" s="332">
        <f>IFERROR(VLOOKUP(TEXT(O14,"0"),CONDUCTORES!$A$3:$H$100,6,0),"")</f>
        <v/>
      </c>
      <c r="R14" s="334" t="n"/>
      <c r="S14" s="302" t="inlineStr">
        <is>
          <t>K359</t>
        </is>
      </c>
      <c r="T14" s="301" t="inlineStr">
        <is>
          <t>APROBADO</t>
        </is>
      </c>
      <c r="U14" s="334" t="n"/>
      <c r="V14" s="302" t="n"/>
      <c r="W14" s="301" t="n"/>
      <c r="X14" s="301" t="n"/>
      <c r="Y14" s="280" t="n"/>
      <c r="Z14" s="350">
        <f>IF(AND(R14&lt;&gt;"",V14&lt;&gt;"",W14&lt;&gt;""),"ENTREGADO","POR RECOGER")</f>
        <v/>
      </c>
      <c r="AA14" s="198" t="n"/>
      <c r="AB14" s="198" t="n"/>
      <c r="AC14" s="198" t="n"/>
    </row>
    <row r="15" ht="15.75" customHeight="1" s="195">
      <c r="A15" s="241" t="n">
        <v>10</v>
      </c>
      <c r="B15" s="305" t="inlineStr">
        <is>
          <t>00000075</t>
        </is>
      </c>
      <c r="C15" s="241" t="inlineStr">
        <is>
          <t>REGION</t>
        </is>
      </c>
      <c r="D15" s="305" t="inlineStr">
        <is>
          <t>TUESTA AÑASCO MATEO SMITH</t>
        </is>
      </c>
      <c r="E15" s="241" t="inlineStr">
        <is>
          <t>DNI</t>
        </is>
      </c>
      <c r="F15" s="241" t="inlineStr">
        <is>
          <t>93920953</t>
        </is>
      </c>
      <c r="G15" s="336" t="n">
        <v>46057</v>
      </c>
      <c r="H15" s="241" t="inlineStr">
        <is>
          <t>4850</t>
        </is>
      </c>
      <c r="I15" s="332">
        <f>IFERROR(VLOOKUP(TEXT(H15,"0"),IPRESS!$A$3:$B$212,2,0),"")</f>
        <v/>
      </c>
      <c r="J15" s="241" t="inlineStr">
        <is>
          <t>4838</t>
        </is>
      </c>
      <c r="K15" s="332" t="inlineStr">
        <is>
          <t>PETROLEO</t>
        </is>
      </c>
      <c r="L15" s="239" t="n">
        <v>18.18</v>
      </c>
      <c r="M15" s="239" t="n">
        <v>4</v>
      </c>
      <c r="N15" s="333">
        <f>IFERROR(IF(L15*M15=0,"",L15*M15),"")</f>
        <v/>
      </c>
      <c r="O15" s="241" t="inlineStr">
        <is>
          <t>45309596</t>
        </is>
      </c>
      <c r="P15" s="332">
        <f>IFERROR(VLOOKUP(TEXT(O15,"0"),CONDUCTORES!$A$3:$G$100,2,0),"")</f>
        <v/>
      </c>
      <c r="Q15" s="332">
        <f>IFERROR(VLOOKUP(TEXT(O15,"0"),CONDUCTORES!$A$3:$H$100,6,0),"")</f>
        <v/>
      </c>
      <c r="R15" s="280" t="n"/>
      <c r="S15" s="305" t="inlineStr">
        <is>
          <t>J960,J189</t>
        </is>
      </c>
      <c r="T15" s="241" t="inlineStr">
        <is>
          <t>APROBADO</t>
        </is>
      </c>
      <c r="U15" s="280" t="n"/>
      <c r="V15" s="305" t="n"/>
      <c r="W15" s="241" t="n"/>
      <c r="X15" s="241" t="n"/>
      <c r="Y15" s="280" t="n"/>
      <c r="Z15" s="350">
        <f>IF(AND(R15&lt;&gt;"",V15&lt;&gt;"",W15&lt;&gt;""),"ENTREGADO","POR RECOGER")</f>
        <v/>
      </c>
      <c r="AA15" s="198" t="n"/>
      <c r="AB15" s="198" t="n"/>
      <c r="AC15" s="198" t="n"/>
    </row>
    <row r="16" ht="15.75" customHeight="1" s="195">
      <c r="A16" s="301" t="n">
        <v>11</v>
      </c>
      <c r="B16" s="302" t="inlineStr">
        <is>
          <t>00000119</t>
        </is>
      </c>
      <c r="C16" s="301" t="inlineStr">
        <is>
          <t>REGION</t>
        </is>
      </c>
      <c r="D16" s="302" t="inlineStr">
        <is>
          <t>SAUCEDO RODRIGUEZ ISOLINA</t>
        </is>
      </c>
      <c r="E16" s="301" t="inlineStr">
        <is>
          <t>DNI</t>
        </is>
      </c>
      <c r="F16" s="301" t="inlineStr">
        <is>
          <t>60368271</t>
        </is>
      </c>
      <c r="G16" s="331" t="n">
        <v>46057</v>
      </c>
      <c r="H16" s="301" t="inlineStr">
        <is>
          <t>4932</t>
        </is>
      </c>
      <c r="I16" s="332">
        <f>IFERROR(VLOOKUP(TEXT(H16,"0"),IPRESS!$A$3:$B$212,2,0),"")</f>
        <v/>
      </c>
      <c r="J16" s="301" t="inlineStr">
        <is>
          <t>4838</t>
        </is>
      </c>
      <c r="K16" s="332" t="inlineStr">
        <is>
          <t>PETROLEO</t>
        </is>
      </c>
      <c r="L16" s="245" t="n">
        <v>18.18</v>
      </c>
      <c r="M16" s="245" t="n">
        <v>6</v>
      </c>
      <c r="N16" s="333">
        <f>IFERROR(IF(L16*M16=0,"",L16*M16),"")</f>
        <v/>
      </c>
      <c r="O16" s="301" t="inlineStr">
        <is>
          <t>33727119</t>
        </is>
      </c>
      <c r="P16" s="332">
        <f>IFERROR(VLOOKUP(TEXT(O16,"0"),CONDUCTORES!$A$3:$G$100,2,0),"")</f>
        <v/>
      </c>
      <c r="Q16" s="332">
        <f>IFERROR(VLOOKUP(TEXT(O16,"0"),CONDUCTORES!$A$3:$H$100,6,0),"")</f>
        <v/>
      </c>
      <c r="R16" s="334" t="n"/>
      <c r="S16" s="302" t="inlineStr">
        <is>
          <t>Z359,O149,O688</t>
        </is>
      </c>
      <c r="T16" s="301" t="inlineStr">
        <is>
          <t>APROBADO</t>
        </is>
      </c>
      <c r="U16" s="334" t="n"/>
      <c r="V16" s="302" t="n"/>
      <c r="W16" s="301" t="n"/>
      <c r="X16" s="301" t="n"/>
      <c r="Y16" s="280" t="n"/>
      <c r="Z16" s="350">
        <f>IF(AND(R16&lt;&gt;"",V16&lt;&gt;"",W16&lt;&gt;""),"ENTREGADO","POR RECOGER")</f>
        <v/>
      </c>
      <c r="AA16" s="198" t="n"/>
      <c r="AB16" s="198" t="n"/>
      <c r="AC16" s="198" t="n"/>
    </row>
    <row r="17" ht="15.75" customHeight="1" s="195">
      <c r="A17" s="241" t="n">
        <v>12</v>
      </c>
      <c r="B17" s="305" t="inlineStr">
        <is>
          <t>00000124</t>
        </is>
      </c>
      <c r="C17" s="241" t="inlineStr">
        <is>
          <t>REGION</t>
        </is>
      </c>
      <c r="D17" s="305" t="inlineStr">
        <is>
          <t>VASQUEZ FASABI AILANY DANITZA</t>
        </is>
      </c>
      <c r="E17" s="241" t="inlineStr">
        <is>
          <t>DNI</t>
        </is>
      </c>
      <c r="F17" s="241" t="inlineStr">
        <is>
          <t>94484594</t>
        </is>
      </c>
      <c r="G17" s="336" t="n">
        <v>46058</v>
      </c>
      <c r="H17" s="241" t="inlineStr">
        <is>
          <t>4922</t>
        </is>
      </c>
      <c r="I17" s="332">
        <f>IFERROR(VLOOKUP(TEXT(H17,"0"),IPRESS!$A$3:$B$212,2,0),"")</f>
        <v/>
      </c>
      <c r="J17" s="241" t="inlineStr">
        <is>
          <t>4838</t>
        </is>
      </c>
      <c r="K17" s="332" t="inlineStr">
        <is>
          <t>PETROLEO</t>
        </is>
      </c>
      <c r="L17" s="239" t="n">
        <v>18.18</v>
      </c>
      <c r="M17" s="239" t="n">
        <v>5</v>
      </c>
      <c r="N17" s="333">
        <f>IFERROR(IF(L17*M17=0,"",L17*M17),"")</f>
        <v/>
      </c>
      <c r="O17" s="241" t="inlineStr">
        <is>
          <t>71640877</t>
        </is>
      </c>
      <c r="P17" s="332">
        <f>IFERROR(VLOOKUP(TEXT(O17,"0"),CONDUCTORES!$A$3:$G$100,2,0),"")</f>
        <v/>
      </c>
      <c r="Q17" s="332">
        <f>IFERROR(VLOOKUP(TEXT(O17,"0"),CONDUCTORES!$A$3:$H$100,6,0),"")</f>
        <v/>
      </c>
      <c r="R17" s="280" t="n"/>
      <c r="S17" s="305" t="inlineStr">
        <is>
          <t>L500,N390</t>
        </is>
      </c>
      <c r="T17" s="241" t="inlineStr">
        <is>
          <t>APROBADO</t>
        </is>
      </c>
      <c r="U17" s="280" t="n"/>
      <c r="V17" s="305" t="n"/>
      <c r="W17" s="241" t="n"/>
      <c r="X17" s="241" t="n"/>
      <c r="Y17" s="280" t="n"/>
      <c r="Z17" s="350">
        <f>IF(AND(R17&lt;&gt;"",V17&lt;&gt;"",W17&lt;&gt;""),"ENTREGADO","POR RECOGER")</f>
        <v/>
      </c>
      <c r="AA17" s="198" t="n"/>
      <c r="AB17" s="198" t="n"/>
      <c r="AC17" s="198" t="n"/>
    </row>
    <row r="18" ht="15.75" customHeight="1" s="195">
      <c r="A18" s="301" t="n">
        <v>13</v>
      </c>
      <c r="B18" s="302" t="inlineStr">
        <is>
          <t>00000014</t>
        </is>
      </c>
      <c r="C18" s="301" t="inlineStr">
        <is>
          <t>REGION</t>
        </is>
      </c>
      <c r="D18" s="302" t="inlineStr">
        <is>
          <t>JULCA RAMOS ERLIN ALEXANDER</t>
        </is>
      </c>
      <c r="E18" s="301" t="inlineStr">
        <is>
          <t>DNI</t>
        </is>
      </c>
      <c r="F18" s="301" t="inlineStr">
        <is>
          <t>62198629</t>
        </is>
      </c>
      <c r="G18" s="331" t="n">
        <v>46058</v>
      </c>
      <c r="H18" s="301" t="inlineStr">
        <is>
          <t>4899</t>
        </is>
      </c>
      <c r="I18" s="332">
        <f>IFERROR(VLOOKUP(TEXT(H18,"0"),IPRESS!$A$3:$B$212,2,0),"")</f>
        <v/>
      </c>
      <c r="J18" s="301" t="inlineStr">
        <is>
          <t>4838</t>
        </is>
      </c>
      <c r="K18" s="332" t="inlineStr">
        <is>
          <t>PETROLEO</t>
        </is>
      </c>
      <c r="L18" s="245" t="n">
        <v>18.18</v>
      </c>
      <c r="M18" s="245" t="n">
        <v>12</v>
      </c>
      <c r="N18" s="333">
        <f>IFERROR(IF(L18*M18=0,"",L18*M18),"")</f>
        <v/>
      </c>
      <c r="O18" s="301" t="inlineStr">
        <is>
          <t>47438258</t>
        </is>
      </c>
      <c r="P18" s="332">
        <f>IFERROR(VLOOKUP(TEXT(O18,"0"),CONDUCTORES!$A$3:$G$100,2,0),"")</f>
        <v/>
      </c>
      <c r="Q18" s="332">
        <f>IFERROR(VLOOKUP(TEXT(O18,"0"),CONDUCTORES!$A$3:$H$100,6,0),"")</f>
        <v/>
      </c>
      <c r="R18" s="334" t="n"/>
      <c r="S18" s="302" t="inlineStr">
        <is>
          <t>K359</t>
        </is>
      </c>
      <c r="T18" s="301" t="inlineStr">
        <is>
          <t>APROBADO</t>
        </is>
      </c>
      <c r="U18" s="334" t="n"/>
      <c r="V18" s="302" t="n"/>
      <c r="W18" s="301" t="n"/>
      <c r="X18" s="301" t="n"/>
      <c r="Y18" s="280" t="n"/>
      <c r="Z18" s="350">
        <f>IF(AND(R18&lt;&gt;"",V18&lt;&gt;"",W18&lt;&gt;""),"ENTREGADO","POR RECOGER")</f>
        <v/>
      </c>
      <c r="AA18" s="198" t="n"/>
      <c r="AB18" s="198" t="n"/>
      <c r="AC18" s="198" t="n"/>
    </row>
    <row r="19" ht="15.75" customHeight="1" s="195">
      <c r="A19" s="241" t="n">
        <v>14</v>
      </c>
      <c r="B19" s="305" t="inlineStr">
        <is>
          <t>00000309</t>
        </is>
      </c>
      <c r="C19" s="241" t="inlineStr">
        <is>
          <t>REGION</t>
        </is>
      </c>
      <c r="D19" s="305" t="inlineStr">
        <is>
          <t>TORRES ALFREDO</t>
        </is>
      </c>
      <c r="E19" s="241" t="inlineStr">
        <is>
          <t>DNI</t>
        </is>
      </c>
      <c r="F19" s="241" t="inlineStr">
        <is>
          <t>49022631</t>
        </is>
      </c>
      <c r="G19" s="336" t="n">
        <v>46058</v>
      </c>
      <c r="H19" s="241" t="inlineStr">
        <is>
          <t>4950</t>
        </is>
      </c>
      <c r="I19" s="332">
        <f>IFERROR(VLOOKUP(TEXT(H19,"0"),IPRESS!$A$3:$B$212,2,0),"")</f>
        <v/>
      </c>
      <c r="J19" s="241" t="inlineStr">
        <is>
          <t>4838</t>
        </is>
      </c>
      <c r="K19" s="332" t="inlineStr">
        <is>
          <t>PETROLEO</t>
        </is>
      </c>
      <c r="L19" s="239" t="n">
        <v>20.25</v>
      </c>
      <c r="M19" s="239" t="n">
        <v>10</v>
      </c>
      <c r="N19" s="333">
        <f>IFERROR(IF(L19*M19=0,"",L19*M19),"")</f>
        <v/>
      </c>
      <c r="O19" s="241" t="inlineStr">
        <is>
          <t>33962415</t>
        </is>
      </c>
      <c r="P19" s="332">
        <f>IFERROR(VLOOKUP(TEXT(O19,"0"),CONDUCTORES!$A$3:$G$100,2,0),"")</f>
        <v/>
      </c>
      <c r="Q19" s="332">
        <f>IFERROR(VLOOKUP(TEXT(O19,"0"),CONDUCTORES!$A$3:$H$100,6,0),"")</f>
        <v/>
      </c>
      <c r="R19" s="280" t="n"/>
      <c r="S19" s="305" t="inlineStr">
        <is>
          <t>S720</t>
        </is>
      </c>
      <c r="T19" s="241" t="inlineStr">
        <is>
          <t>APROBADO</t>
        </is>
      </c>
      <c r="U19" s="280" t="n"/>
      <c r="V19" s="305" t="n"/>
      <c r="W19" s="241" t="n"/>
      <c r="X19" s="241" t="n"/>
      <c r="Y19" s="356" t="inlineStr">
        <is>
          <t>OMIA</t>
        </is>
      </c>
      <c r="Z19" s="350">
        <f>IF(AND(R19&lt;&gt;"",V19&lt;&gt;"",W19&lt;&gt;""),"ENTREGADO","POR RECOGER")</f>
        <v/>
      </c>
      <c r="AA19" s="198" t="n"/>
      <c r="AB19" s="198" t="n"/>
      <c r="AC19" s="198" t="n"/>
    </row>
    <row r="20" ht="15.75" customHeight="1" s="195">
      <c r="A20" s="301" t="n">
        <v>15</v>
      </c>
      <c r="B20" s="302" t="inlineStr">
        <is>
          <t>00000088</t>
        </is>
      </c>
      <c r="C20" s="301" t="inlineStr">
        <is>
          <t>REGION</t>
        </is>
      </c>
      <c r="D20" s="302" t="inlineStr">
        <is>
          <t>ROJAS GUELAC ALEXANDRA</t>
        </is>
      </c>
      <c r="E20" s="301" t="inlineStr">
        <is>
          <t>DNI</t>
        </is>
      </c>
      <c r="F20" s="301" t="inlineStr">
        <is>
          <t>60302212</t>
        </is>
      </c>
      <c r="G20" s="331" t="n">
        <v>46058</v>
      </c>
      <c r="H20" s="301" t="inlineStr">
        <is>
          <t>4866</t>
        </is>
      </c>
      <c r="I20" s="332">
        <f>IFERROR(VLOOKUP(TEXT(H20,"0"),IPRESS!$A$3:$B$212,2,0),"")</f>
        <v/>
      </c>
      <c r="J20" s="301" t="inlineStr">
        <is>
          <t>4838</t>
        </is>
      </c>
      <c r="K20" s="332" t="inlineStr">
        <is>
          <t>PETROLEO</t>
        </is>
      </c>
      <c r="L20" s="245" t="n">
        <v>18.18</v>
      </c>
      <c r="M20" s="245" t="n">
        <v>4</v>
      </c>
      <c r="N20" s="333">
        <f>IFERROR(IF(L20*M20=0,"",L20*M20),"")</f>
        <v/>
      </c>
      <c r="O20" s="301" t="inlineStr">
        <is>
          <t>45309596</t>
        </is>
      </c>
      <c r="P20" s="332">
        <f>IFERROR(VLOOKUP(TEXT(O20,"0"),CONDUCTORES!$A$3:$G$100,2,0),"")</f>
        <v/>
      </c>
      <c r="Q20" s="332">
        <f>IFERROR(VLOOKUP(TEXT(O20,"0"),CONDUCTORES!$A$3:$H$100,6,0),"")</f>
        <v/>
      </c>
      <c r="R20" s="334" t="n"/>
      <c r="S20" s="302" t="inlineStr">
        <is>
          <t>O200,O064</t>
        </is>
      </c>
      <c r="T20" s="301" t="inlineStr">
        <is>
          <t>APROBADO</t>
        </is>
      </c>
      <c r="U20" s="334" t="n"/>
      <c r="V20" s="302" t="n"/>
      <c r="W20" s="301" t="n"/>
      <c r="X20" s="301" t="n"/>
      <c r="Y20" s="280" t="n"/>
      <c r="Z20" s="350">
        <f>IF(AND(R20&lt;&gt;"",V20&lt;&gt;"",W20&lt;&gt;""),"ENTREGADO","POR RECOGER")</f>
        <v/>
      </c>
      <c r="AA20" s="198" t="n"/>
      <c r="AB20" s="198" t="n"/>
      <c r="AC20" s="198" t="n"/>
    </row>
    <row r="21" ht="15.75" customHeight="1" s="195">
      <c r="A21" s="241" t="n">
        <v>16</v>
      </c>
      <c r="B21" s="305" t="inlineStr">
        <is>
          <t>00000051</t>
        </is>
      </c>
      <c r="C21" s="241" t="inlineStr">
        <is>
          <t>REGION</t>
        </is>
      </c>
      <c r="D21" s="305" t="inlineStr">
        <is>
          <t>BARDALES RITUAY LUCINDA</t>
        </is>
      </c>
      <c r="E21" s="241" t="inlineStr">
        <is>
          <t>DNI</t>
        </is>
      </c>
      <c r="F21" s="241" t="inlineStr">
        <is>
          <t>33417621</t>
        </is>
      </c>
      <c r="G21" s="336" t="n">
        <v>46058</v>
      </c>
      <c r="H21" s="241" t="inlineStr">
        <is>
          <t>4859</t>
        </is>
      </c>
      <c r="I21" s="332">
        <f>IFERROR(VLOOKUP(TEXT(H21,"0"),IPRESS!$A$3:$B$212,2,0),"")</f>
        <v/>
      </c>
      <c r="J21" s="241" t="inlineStr">
        <is>
          <t>4838</t>
        </is>
      </c>
      <c r="K21" s="332" t="inlineStr">
        <is>
          <t>PETROLEO</t>
        </is>
      </c>
      <c r="L21" s="239" t="n">
        <v>18.18</v>
      </c>
      <c r="M21" s="239" t="n">
        <v>7.5</v>
      </c>
      <c r="N21" s="333">
        <f>IFERROR(IF(L21*M21=0,"",L21*M21),"")</f>
        <v/>
      </c>
      <c r="O21" s="241" t="inlineStr">
        <is>
          <t>33400714</t>
        </is>
      </c>
      <c r="P21" s="332">
        <f>IFERROR(VLOOKUP(TEXT(O21,"0"),CONDUCTORES!$A$3:$G$100,2,0),"")</f>
        <v/>
      </c>
      <c r="Q21" s="332">
        <f>IFERROR(VLOOKUP(TEXT(O21,"0"),CONDUCTORES!$A$3:$H$100,6,0),"")</f>
        <v/>
      </c>
      <c r="R21" s="280" t="n"/>
      <c r="S21" s="305" t="inlineStr">
        <is>
          <t>J90X</t>
        </is>
      </c>
      <c r="T21" s="241" t="inlineStr">
        <is>
          <t>APROBADO</t>
        </is>
      </c>
      <c r="U21" s="280" t="n"/>
      <c r="V21" s="305" t="n"/>
      <c r="W21" s="241" t="n"/>
      <c r="X21" s="241" t="n"/>
      <c r="Y21" s="280" t="n"/>
      <c r="Z21" s="350">
        <f>IF(AND(R21&lt;&gt;"",V21&lt;&gt;"",W21&lt;&gt;""),"ENTREGADO","POR RECOGER")</f>
        <v/>
      </c>
      <c r="AA21" s="198" t="n"/>
      <c r="AB21" s="198" t="n"/>
      <c r="AC21" s="198" t="n"/>
    </row>
    <row r="22" ht="15.75" customHeight="1" s="195">
      <c r="A22" s="351" t="n">
        <v>17</v>
      </c>
      <c r="B22" s="352" t="inlineStr">
        <is>
          <t>00000001</t>
        </is>
      </c>
      <c r="C22" s="351" t="inlineStr">
        <is>
          <t>REGION</t>
        </is>
      </c>
      <c r="D22" s="352" t="inlineStr">
        <is>
          <t>ANGELES DELCRUS JUANA</t>
        </is>
      </c>
      <c r="E22" s="351" t="inlineStr">
        <is>
          <t>DNI</t>
        </is>
      </c>
      <c r="F22" s="351" t="inlineStr">
        <is>
          <t>48671328</t>
        </is>
      </c>
      <c r="G22" s="353" t="n">
        <v>46059</v>
      </c>
      <c r="H22" s="351" t="inlineStr">
        <is>
          <t>4854</t>
        </is>
      </c>
      <c r="I22" s="362">
        <f>IFERROR(VLOOKUP(TEXT(H22,"0"),IPRESS!$A$3:$B$212,2,0),"")</f>
        <v/>
      </c>
      <c r="J22" s="351" t="inlineStr">
        <is>
          <t>4838</t>
        </is>
      </c>
      <c r="K22" s="362" t="inlineStr">
        <is>
          <t>PETROLEO</t>
        </is>
      </c>
      <c r="L22" s="354" t="n">
        <v>18.18</v>
      </c>
      <c r="M22" s="354" t="n">
        <v>8</v>
      </c>
      <c r="N22" s="363">
        <f>IFERROR(IF(L22*M22=0,"",L22*M22),"")</f>
        <v/>
      </c>
      <c r="O22" s="351" t="inlineStr">
        <is>
          <t>45309596</t>
        </is>
      </c>
      <c r="P22" s="332">
        <f>IFERROR(VLOOKUP(TEXT(O22,"0"),CONDUCTORES!$A$3:$G$100,2,0),"")</f>
        <v/>
      </c>
      <c r="Q22" s="332">
        <f>IFERROR(VLOOKUP(TEXT(O22,"0"),CONDUCTORES!$A$3:$H$100,6,0),"")</f>
        <v/>
      </c>
      <c r="R22" s="355" t="n"/>
      <c r="S22" s="352" t="inlineStr">
        <is>
          <t>R100,K37X</t>
        </is>
      </c>
      <c r="T22" s="351" t="inlineStr">
        <is>
          <t>APROBADO</t>
        </is>
      </c>
      <c r="U22" s="355" t="n"/>
      <c r="V22" s="352" t="n"/>
      <c r="W22" s="351" t="n"/>
      <c r="X22" s="351" t="n"/>
      <c r="Y22" s="356" t="inlineStr">
        <is>
          <t>LAMUD</t>
        </is>
      </c>
      <c r="Z22" s="350">
        <f>IF(AND(R22&lt;&gt;"",V22&lt;&gt;"",W22&lt;&gt;""),"ENTREGADO","POR RECOGER")</f>
        <v/>
      </c>
      <c r="AA22" s="198" t="n"/>
      <c r="AB22" s="198" t="n"/>
      <c r="AC22" s="198" t="n"/>
    </row>
    <row r="23" ht="15.75" customHeight="1" s="195">
      <c r="A23" s="241" t="n">
        <v>18</v>
      </c>
      <c r="B23" s="305" t="inlineStr">
        <is>
          <t>00000310</t>
        </is>
      </c>
      <c r="C23" s="241" t="inlineStr">
        <is>
          <t>REGION</t>
        </is>
      </c>
      <c r="D23" s="305" t="inlineStr">
        <is>
          <t>ESPICHAN VARGAS PEDRO PABLO</t>
        </is>
      </c>
      <c r="E23" s="241" t="inlineStr">
        <is>
          <t>DNI</t>
        </is>
      </c>
      <c r="F23" s="241" t="inlineStr">
        <is>
          <t>46532820</t>
        </is>
      </c>
      <c r="G23" s="336" t="n">
        <v>46059</v>
      </c>
      <c r="H23" s="241" t="inlineStr">
        <is>
          <t>4950</t>
        </is>
      </c>
      <c r="I23" s="332">
        <f>IFERROR(VLOOKUP(TEXT(H23,"0"),IPRESS!$A$3:$B$212,2,0),"")</f>
        <v/>
      </c>
      <c r="J23" s="241" t="inlineStr">
        <is>
          <t>4838</t>
        </is>
      </c>
      <c r="K23" s="332" t="inlineStr">
        <is>
          <t>PETROLEO</t>
        </is>
      </c>
      <c r="L23" s="239" t="n">
        <v>20.25</v>
      </c>
      <c r="M23" s="239" t="n">
        <v>7</v>
      </c>
      <c r="N23" s="333">
        <f>IFERROR(IF(L23*M23=0,"",L23*M23),"")</f>
        <v/>
      </c>
      <c r="O23" s="241" t="inlineStr">
        <is>
          <t>9990954</t>
        </is>
      </c>
      <c r="P23" s="332">
        <f>IFERROR(VLOOKUP(TEXT(O23,"0"),CONDUCTORES!$A$3:$G$100,2,0),"")</f>
        <v/>
      </c>
      <c r="Q23" s="332">
        <f>IFERROR(VLOOKUP(TEXT(O23,"0"),CONDUCTORES!$A$3:$H$100,6,0),"")</f>
        <v/>
      </c>
      <c r="R23" s="280" t="n"/>
      <c r="S23" s="305" t="inlineStr">
        <is>
          <t>K359,N390</t>
        </is>
      </c>
      <c r="T23" s="241" t="inlineStr">
        <is>
          <t>APROBADO</t>
        </is>
      </c>
      <c r="U23" s="280" t="n"/>
      <c r="V23" s="305" t="n"/>
      <c r="W23" s="241" t="n"/>
      <c r="X23" s="241" t="n"/>
      <c r="Y23" s="280" t="n"/>
      <c r="Z23" s="350">
        <f>IF(AND(R23&lt;&gt;"",V23&lt;&gt;"",W23&lt;&gt;""),"ENTREGADO","POR RECOGER")</f>
        <v/>
      </c>
      <c r="AA23" s="198" t="n"/>
      <c r="AB23" s="198" t="n"/>
      <c r="AC23" s="198" t="n"/>
    </row>
    <row r="24" ht="15.75" customHeight="1" s="195">
      <c r="A24" s="301" t="n">
        <v>19</v>
      </c>
      <c r="B24" s="302" t="inlineStr">
        <is>
          <t>00000015</t>
        </is>
      </c>
      <c r="C24" s="301" t="inlineStr">
        <is>
          <t>REGION</t>
        </is>
      </c>
      <c r="D24" s="302" t="inlineStr">
        <is>
          <t>CARUAJULCA LEYVA LUSDINA</t>
        </is>
      </c>
      <c r="E24" s="301" t="inlineStr">
        <is>
          <t>DNI</t>
        </is>
      </c>
      <c r="F24" s="301" t="inlineStr">
        <is>
          <t>42474105</t>
        </is>
      </c>
      <c r="G24" s="331" t="n">
        <v>46059</v>
      </c>
      <c r="H24" s="301" t="inlineStr">
        <is>
          <t>4899</t>
        </is>
      </c>
      <c r="I24" s="332">
        <f>IFERROR(VLOOKUP(TEXT(H24,"0"),IPRESS!$A$3:$B$212,2,0),"")</f>
        <v/>
      </c>
      <c r="J24" s="301" t="inlineStr">
        <is>
          <t>4838</t>
        </is>
      </c>
      <c r="K24" s="332" t="inlineStr">
        <is>
          <t>PETROLEO</t>
        </is>
      </c>
      <c r="L24" s="245" t="n">
        <v>18.18</v>
      </c>
      <c r="M24" s="245" t="n">
        <v>12</v>
      </c>
      <c r="N24" s="333">
        <f>IFERROR(IF(L24*M24=0,"",L24*M24),"")</f>
        <v/>
      </c>
      <c r="O24" s="301" t="inlineStr">
        <is>
          <t>47438258</t>
        </is>
      </c>
      <c r="P24" s="332">
        <f>IFERROR(VLOOKUP(TEXT(O24,"0"),CONDUCTORES!$A$3:$G$100,2,0),"")</f>
        <v/>
      </c>
      <c r="Q24" s="332">
        <f>IFERROR(VLOOKUP(TEXT(O24,"0"),CONDUCTORES!$A$3:$H$100,6,0),"")</f>
        <v/>
      </c>
      <c r="R24" s="334" t="n"/>
      <c r="S24" s="302" t="inlineStr">
        <is>
          <t>N938</t>
        </is>
      </c>
      <c r="T24" s="301" t="inlineStr">
        <is>
          <t>APROBADO</t>
        </is>
      </c>
      <c r="U24" s="334" t="n"/>
      <c r="V24" s="302" t="n"/>
      <c r="W24" s="301" t="n"/>
      <c r="X24" s="301" t="n"/>
      <c r="Y24" s="280" t="n"/>
      <c r="Z24" s="350">
        <f>IF(AND(R24&lt;&gt;"",V24&lt;&gt;"",W24&lt;&gt;""),"ENTREGADO","POR RECOGER")</f>
        <v/>
      </c>
      <c r="AA24" s="198" t="n"/>
      <c r="AB24" s="198" t="n"/>
      <c r="AC24" s="198" t="n"/>
    </row>
    <row r="25" ht="15.75" customHeight="1" s="195">
      <c r="A25" s="241" t="n">
        <v>20</v>
      </c>
      <c r="B25" s="305" t="inlineStr">
        <is>
          <t>00000311</t>
        </is>
      </c>
      <c r="C25" s="241" t="inlineStr">
        <is>
          <t>REGION</t>
        </is>
      </c>
      <c r="D25" s="305" t="inlineStr">
        <is>
          <t>LOZANO ARCE EVA</t>
        </is>
      </c>
      <c r="E25" s="241" t="inlineStr">
        <is>
          <t>DNI</t>
        </is>
      </c>
      <c r="F25" s="241" t="inlineStr">
        <is>
          <t>44739103</t>
        </is>
      </c>
      <c r="G25" s="336" t="n">
        <v>46059</v>
      </c>
      <c r="H25" s="241" t="inlineStr">
        <is>
          <t>4950</t>
        </is>
      </c>
      <c r="I25" s="332">
        <f>IFERROR(VLOOKUP(TEXT(H25,"0"),IPRESS!$A$3:$B$212,2,0),"")</f>
        <v/>
      </c>
      <c r="J25" s="241" t="inlineStr">
        <is>
          <t>4838</t>
        </is>
      </c>
      <c r="K25" s="332" t="inlineStr">
        <is>
          <t>PETROLEO</t>
        </is>
      </c>
      <c r="L25" s="239" t="n">
        <v>20.25</v>
      </c>
      <c r="M25" s="239" t="n">
        <v>10</v>
      </c>
      <c r="N25" s="333">
        <f>IFERROR(IF(L25*M25=0,"",L25*M25),"")</f>
        <v/>
      </c>
      <c r="O25" s="241" t="inlineStr">
        <is>
          <t>40083507</t>
        </is>
      </c>
      <c r="P25" s="332">
        <f>IFERROR(VLOOKUP(TEXT(O25,"0"),CONDUCTORES!$A$3:$G$100,2,0),"")</f>
        <v/>
      </c>
      <c r="Q25" s="332">
        <f>IFERROR(VLOOKUP(TEXT(O25,"0"),CONDUCTORES!$A$3:$H$100,6,0),"")</f>
        <v/>
      </c>
      <c r="R25" s="280" t="n"/>
      <c r="S25" s="305" t="inlineStr">
        <is>
          <t>O141</t>
        </is>
      </c>
      <c r="T25" s="241" t="inlineStr">
        <is>
          <t>APROBADO</t>
        </is>
      </c>
      <c r="U25" s="280" t="n"/>
      <c r="V25" s="305" t="n"/>
      <c r="W25" s="241" t="n"/>
      <c r="X25" s="241" t="n"/>
      <c r="Y25" s="356" t="inlineStr">
        <is>
          <t>HUAMBO</t>
        </is>
      </c>
      <c r="Z25" s="350">
        <f>IF(AND(R25&lt;&gt;"",V25&lt;&gt;"",W25&lt;&gt;""),"ENTREGADO","POR RECOGER")</f>
        <v/>
      </c>
      <c r="AA25" s="198" t="n"/>
      <c r="AB25" s="198" t="n"/>
      <c r="AC25" s="198" t="n"/>
    </row>
    <row r="26" ht="15.75" customHeight="1" s="195">
      <c r="A26" s="301" t="n">
        <v>21</v>
      </c>
      <c r="B26" s="302" t="inlineStr">
        <is>
          <t>00000009</t>
        </is>
      </c>
      <c r="C26" s="301" t="inlineStr">
        <is>
          <t>REGION</t>
        </is>
      </c>
      <c r="D26" s="302" t="inlineStr">
        <is>
          <t>TUESTA VALQUI NELIDA ASUNTA</t>
        </is>
      </c>
      <c r="E26" s="301" t="inlineStr">
        <is>
          <t>DNI</t>
        </is>
      </c>
      <c r="F26" s="301" t="inlineStr">
        <is>
          <t>43352386</t>
        </is>
      </c>
      <c r="G26" s="331" t="n">
        <v>46060</v>
      </c>
      <c r="H26" s="301" t="inlineStr">
        <is>
          <t>4844</t>
        </is>
      </c>
      <c r="I26" s="332">
        <f>IFERROR(VLOOKUP(TEXT(H26,"0"),IPRESS!$A$3:$B$212,2,0),"")</f>
        <v/>
      </c>
      <c r="J26" s="301" t="inlineStr">
        <is>
          <t>4838</t>
        </is>
      </c>
      <c r="K26" s="332" t="inlineStr">
        <is>
          <t>PETROLEO</t>
        </is>
      </c>
      <c r="L26" s="245" t="n">
        <v>18.18</v>
      </c>
      <c r="M26" s="245" t="n">
        <v>20</v>
      </c>
      <c r="N26" s="333">
        <f>IFERROR(IF(L26*M26=0,"",L26*M26),"")</f>
        <v/>
      </c>
      <c r="O26" s="301" t="inlineStr">
        <is>
          <t>73602628</t>
        </is>
      </c>
      <c r="P26" s="332">
        <f>IFERROR(VLOOKUP(TEXT(O26,"0"),CONDUCTORES!$A$3:$G$100,2,0),"")</f>
        <v/>
      </c>
      <c r="Q26" s="332">
        <f>IFERROR(VLOOKUP(TEXT(O26,"0"),CONDUCTORES!$A$3:$H$100,6,0),"")</f>
        <v/>
      </c>
      <c r="R26" s="334" t="n"/>
      <c r="S26" s="302" t="inlineStr">
        <is>
          <t>I10X,G419</t>
        </is>
      </c>
      <c r="T26" s="301" t="inlineStr">
        <is>
          <t>APROBADO</t>
        </is>
      </c>
      <c r="U26" s="334" t="n"/>
      <c r="V26" s="302" t="n"/>
      <c r="W26" s="301" t="n"/>
      <c r="X26" s="301" t="n"/>
      <c r="Y26" s="280" t="n"/>
      <c r="Z26" s="350">
        <f>IF(AND(R26&lt;&gt;"",V26&lt;&gt;"",W26&lt;&gt;""),"ENTREGADO","POR RECOGER")</f>
        <v/>
      </c>
      <c r="AA26" s="198" t="n"/>
      <c r="AB26" s="198" t="n"/>
      <c r="AC26" s="198" t="n"/>
    </row>
    <row r="27" ht="15.75" customHeight="1" s="195">
      <c r="A27" s="241" t="n">
        <v>22</v>
      </c>
      <c r="B27" s="305" t="inlineStr">
        <is>
          <t>00000066</t>
        </is>
      </c>
      <c r="C27" s="241" t="inlineStr">
        <is>
          <t>REGION</t>
        </is>
      </c>
      <c r="D27" s="305" t="inlineStr">
        <is>
          <t>MENDOZA GARRO ESTEFANY DAYANA</t>
        </is>
      </c>
      <c r="E27" s="241" t="inlineStr">
        <is>
          <t>DNI</t>
        </is>
      </c>
      <c r="F27" s="241" t="inlineStr">
        <is>
          <t>62692323</t>
        </is>
      </c>
      <c r="G27" s="336" t="n">
        <v>46060</v>
      </c>
      <c r="H27" s="241" t="inlineStr">
        <is>
          <t>4903</t>
        </is>
      </c>
      <c r="I27" s="332">
        <f>IFERROR(VLOOKUP(TEXT(H27,"0"),IPRESS!$A$3:$B$212,2,0),"")</f>
        <v/>
      </c>
      <c r="J27" s="241" t="inlineStr">
        <is>
          <t>4838</t>
        </is>
      </c>
      <c r="K27" s="332" t="inlineStr">
        <is>
          <t>PETROLEO</t>
        </is>
      </c>
      <c r="L27" s="239" t="n">
        <v>18.18</v>
      </c>
      <c r="M27" s="239" t="n">
        <v>5</v>
      </c>
      <c r="N27" s="333">
        <f>IFERROR(IF(L27*M27=0,"",L27*M27),"")</f>
        <v/>
      </c>
      <c r="O27" s="241" t="inlineStr">
        <is>
          <t>33816046</t>
        </is>
      </c>
      <c r="P27" s="332">
        <f>IFERROR(VLOOKUP(TEXT(O27,"0"),CONDUCTORES!$A$3:$G$100,2,0),"")</f>
        <v/>
      </c>
      <c r="Q27" s="332">
        <f>IFERROR(VLOOKUP(TEXT(O27,"0"),CONDUCTORES!$A$3:$H$100,6,0),"")</f>
        <v/>
      </c>
      <c r="R27" s="280" t="n"/>
      <c r="S27" s="305" t="inlineStr">
        <is>
          <t>F449</t>
        </is>
      </c>
      <c r="T27" s="241" t="inlineStr">
        <is>
          <t>APROBADO</t>
        </is>
      </c>
      <c r="U27" s="280" t="n"/>
      <c r="V27" s="305" t="n"/>
      <c r="W27" s="241" t="n"/>
      <c r="X27" s="241" t="n"/>
      <c r="Y27" s="280" t="n"/>
      <c r="Z27" s="350">
        <f>IF(AND(R27&lt;&gt;"",V27&lt;&gt;"",W27&lt;&gt;""),"ENTREGADO","POR RECOGER")</f>
        <v/>
      </c>
      <c r="AA27" s="198" t="n"/>
      <c r="AB27" s="198" t="n"/>
      <c r="AC27" s="198" t="n"/>
    </row>
    <row r="28" ht="15.75" customHeight="1" s="195">
      <c r="A28" s="301" t="n">
        <v>23</v>
      </c>
      <c r="B28" s="302" t="inlineStr">
        <is>
          <t>00000125</t>
        </is>
      </c>
      <c r="C28" s="301" t="inlineStr">
        <is>
          <t>REGION</t>
        </is>
      </c>
      <c r="D28" s="302" t="inlineStr">
        <is>
          <t>CASTAÑEDA POQUIOMA MIRTA</t>
        </is>
      </c>
      <c r="E28" s="301" t="inlineStr">
        <is>
          <t>DNI</t>
        </is>
      </c>
      <c r="F28" s="301" t="inlineStr">
        <is>
          <t>70318112</t>
        </is>
      </c>
      <c r="G28" s="331" t="n">
        <v>46060</v>
      </c>
      <c r="H28" s="301" t="inlineStr">
        <is>
          <t>4922</t>
        </is>
      </c>
      <c r="I28" s="332">
        <f>IFERROR(VLOOKUP(TEXT(H28,"0"),IPRESS!$A$3:$B$212,2,0),"")</f>
        <v/>
      </c>
      <c r="J28" s="301" t="inlineStr">
        <is>
          <t>4838</t>
        </is>
      </c>
      <c r="K28" s="332" t="inlineStr">
        <is>
          <t>PETROLEO</t>
        </is>
      </c>
      <c r="L28" s="245" t="n">
        <v>18.18</v>
      </c>
      <c r="M28" s="245" t="n">
        <v>5</v>
      </c>
      <c r="N28" s="333">
        <f>IFERROR(IF(L28*M28=0,"",L28*M28),"")</f>
        <v/>
      </c>
      <c r="O28" s="301" t="inlineStr">
        <is>
          <t>33401502</t>
        </is>
      </c>
      <c r="P28" s="332">
        <f>IFERROR(VLOOKUP(TEXT(O28,"0"),CONDUCTORES!$A$3:$G$100,2,0),"")</f>
        <v/>
      </c>
      <c r="Q28" s="332">
        <f>IFERROR(VLOOKUP(TEXT(O28,"0"),CONDUCTORES!$A$3:$H$100,6,0),"")</f>
        <v/>
      </c>
      <c r="R28" s="334" t="n"/>
      <c r="S28" s="302" t="inlineStr">
        <is>
          <t>O141,O221</t>
        </is>
      </c>
      <c r="T28" s="301" t="inlineStr">
        <is>
          <t>APROBADO</t>
        </is>
      </c>
      <c r="U28" s="334" t="n"/>
      <c r="V28" s="302" t="n"/>
      <c r="W28" s="301" t="n"/>
      <c r="X28" s="301" t="n"/>
      <c r="Y28" s="280" t="n"/>
      <c r="Z28" s="350">
        <f>IF(AND(R28&lt;&gt;"",V28&lt;&gt;"",W28&lt;&gt;""),"ENTREGADO","POR RECOGER")</f>
        <v/>
      </c>
      <c r="AA28" s="198" t="n"/>
      <c r="AB28" s="198" t="n"/>
      <c r="AC28" s="198" t="n"/>
    </row>
    <row r="29" ht="15.75" customHeight="1" s="195">
      <c r="A29" s="241" t="n">
        <v>24</v>
      </c>
      <c r="B29" s="305" t="inlineStr">
        <is>
          <t>00000024</t>
        </is>
      </c>
      <c r="C29" s="241" t="inlineStr">
        <is>
          <t>REGION</t>
        </is>
      </c>
      <c r="D29" s="305" t="inlineStr">
        <is>
          <t>RAMOS BARRERA LUZ DELINDA</t>
        </is>
      </c>
      <c r="E29" s="241" t="inlineStr">
        <is>
          <t>DNI</t>
        </is>
      </c>
      <c r="F29" s="241" t="inlineStr">
        <is>
          <t>62219395</t>
        </is>
      </c>
      <c r="G29" s="336" t="n">
        <v>46060</v>
      </c>
      <c r="H29" s="241" t="inlineStr">
        <is>
          <t>4873</t>
        </is>
      </c>
      <c r="I29" s="332">
        <f>IFERROR(VLOOKUP(TEXT(H29,"0"),IPRESS!$A$3:$B$212,2,0),"")</f>
        <v/>
      </c>
      <c r="J29" s="241" t="inlineStr">
        <is>
          <t>4838</t>
        </is>
      </c>
      <c r="K29" s="332" t="inlineStr">
        <is>
          <t>PETROLEO</t>
        </is>
      </c>
      <c r="L29" s="239" t="n">
        <v>18.18</v>
      </c>
      <c r="M29" s="239" t="n">
        <v>20</v>
      </c>
      <c r="N29" s="333">
        <f>IFERROR(IF(L29*M29=0,"",L29*M29),"")</f>
        <v/>
      </c>
      <c r="O29" s="241" t="inlineStr">
        <is>
          <t>44333747</t>
        </is>
      </c>
      <c r="P29" s="332">
        <f>IFERROR(VLOOKUP(TEXT(O29,"0"),CONDUCTORES!$A$3:$G$100,2,0),"")</f>
        <v/>
      </c>
      <c r="Q29" s="332">
        <f>IFERROR(VLOOKUP(TEXT(O29,"0"),CONDUCTORES!$A$3:$H$100,6,0),"")</f>
        <v/>
      </c>
      <c r="R29" s="280" t="n"/>
      <c r="S29" s="305" t="inlineStr">
        <is>
          <t>Z359,O759</t>
        </is>
      </c>
      <c r="T29" s="241" t="inlineStr">
        <is>
          <t>APROBADO</t>
        </is>
      </c>
      <c r="U29" s="280" t="n"/>
      <c r="V29" s="305" t="n"/>
      <c r="W29" s="241" t="n"/>
      <c r="X29" s="241" t="n"/>
      <c r="Y29" s="280" t="n"/>
      <c r="Z29" s="350">
        <f>IF(AND(R29&lt;&gt;"",V29&lt;&gt;"",W29&lt;&gt;""),"ENTREGADO","POR RECOGER")</f>
        <v/>
      </c>
      <c r="AA29" s="198" t="n"/>
      <c r="AB29" s="198" t="n"/>
      <c r="AC29" s="198" t="n"/>
    </row>
    <row r="30" ht="15.75" customHeight="1" s="195">
      <c r="A30" s="301" t="n">
        <v>25</v>
      </c>
      <c r="B30" s="302" t="inlineStr">
        <is>
          <t>00000089</t>
        </is>
      </c>
      <c r="C30" s="301" t="inlineStr">
        <is>
          <t>REGION</t>
        </is>
      </c>
      <c r="D30" s="302" t="inlineStr">
        <is>
          <t>NUÑEZ VILCA DALIA NOEMI</t>
        </is>
      </c>
      <c r="E30" s="301" t="inlineStr">
        <is>
          <t>DNI</t>
        </is>
      </c>
      <c r="F30" s="301" t="inlineStr">
        <is>
          <t>74419174</t>
        </is>
      </c>
      <c r="G30" s="331" t="n">
        <v>46062</v>
      </c>
      <c r="H30" s="301" t="inlineStr">
        <is>
          <t>4866</t>
        </is>
      </c>
      <c r="I30" s="332">
        <f>IFERROR(VLOOKUP(TEXT(H30,"0"),IPRESS!$A$3:$B$212,2,0),"")</f>
        <v/>
      </c>
      <c r="J30" s="301" t="inlineStr">
        <is>
          <t>4838</t>
        </is>
      </c>
      <c r="K30" s="332" t="inlineStr">
        <is>
          <t>PETROLEO</t>
        </is>
      </c>
      <c r="L30" s="245" t="n">
        <v>18.18</v>
      </c>
      <c r="M30" s="245" t="n">
        <v>4</v>
      </c>
      <c r="N30" s="333">
        <f>IFERROR(IF(L30*M30=0,"",L30*M30),"")</f>
        <v/>
      </c>
      <c r="O30" s="301" t="inlineStr">
        <is>
          <t>33431688</t>
        </is>
      </c>
      <c r="P30" s="332">
        <f>IFERROR(VLOOKUP(TEXT(O30,"0"),CONDUCTORES!$A$3:$G$100,2,0),"")</f>
        <v/>
      </c>
      <c r="Q30" s="332">
        <f>IFERROR(VLOOKUP(TEXT(O30,"0"),CONDUCTORES!$A$3:$H$100,6,0),"")</f>
        <v/>
      </c>
      <c r="R30" s="334" t="n"/>
      <c r="S30" s="302" t="inlineStr">
        <is>
          <t>O064,D509</t>
        </is>
      </c>
      <c r="T30" s="301" t="inlineStr">
        <is>
          <t>APROBADO</t>
        </is>
      </c>
      <c r="U30" s="334" t="n"/>
      <c r="V30" s="302" t="n"/>
      <c r="W30" s="301" t="n"/>
      <c r="X30" s="301" t="n"/>
      <c r="Y30" s="280" t="n"/>
      <c r="Z30" s="350">
        <f>IF(AND(R30&lt;&gt;"",V30&lt;&gt;"",W30&lt;&gt;""),"ENTREGADO","POR RECOGER")</f>
        <v/>
      </c>
      <c r="AA30" s="198" t="n"/>
      <c r="AB30" s="198" t="n"/>
      <c r="AC30" s="198" t="n"/>
    </row>
    <row r="31" ht="15.75" customHeight="1" s="195">
      <c r="A31" s="241" t="n">
        <v>26</v>
      </c>
      <c r="B31" s="305" t="inlineStr">
        <is>
          <t>00000312</t>
        </is>
      </c>
      <c r="C31" s="241" t="inlineStr">
        <is>
          <t>REGION</t>
        </is>
      </c>
      <c r="D31" s="305" t="inlineStr">
        <is>
          <t>VARGAS AGUILAR JOSE EULER</t>
        </is>
      </c>
      <c r="E31" s="241" t="inlineStr">
        <is>
          <t>DNI</t>
        </is>
      </c>
      <c r="F31" s="241" t="inlineStr">
        <is>
          <t>40472594</t>
        </is>
      </c>
      <c r="G31" s="336" t="n">
        <v>46062</v>
      </c>
      <c r="H31" s="241" t="inlineStr">
        <is>
          <t>4950</t>
        </is>
      </c>
      <c r="I31" s="332">
        <f>IFERROR(VLOOKUP(TEXT(H31,"0"),IPRESS!$A$3:$B$212,2,0),"")</f>
        <v/>
      </c>
      <c r="J31" s="241" t="inlineStr">
        <is>
          <t>4838</t>
        </is>
      </c>
      <c r="K31" s="332" t="inlineStr">
        <is>
          <t>PETROLEO</t>
        </is>
      </c>
      <c r="L31" s="239" t="n">
        <v>20.25</v>
      </c>
      <c r="M31" s="239" t="n">
        <v>10</v>
      </c>
      <c r="N31" s="333">
        <f>IFERROR(IF(L31*M31=0,"",L31*M31),"")</f>
        <v/>
      </c>
      <c r="O31" s="241" t="inlineStr">
        <is>
          <t>40083507</t>
        </is>
      </c>
      <c r="P31" s="332">
        <f>IFERROR(VLOOKUP(TEXT(O31,"0"),CONDUCTORES!$A$3:$G$100,2,0),"")</f>
        <v/>
      </c>
      <c r="Q31" s="332">
        <f>IFERROR(VLOOKUP(TEXT(O31,"0"),CONDUCTORES!$A$3:$H$100,6,0),"")</f>
        <v/>
      </c>
      <c r="R31" s="280" t="n"/>
      <c r="S31" s="305" t="inlineStr">
        <is>
          <t>I10X,I499,I500</t>
        </is>
      </c>
      <c r="T31" s="241" t="inlineStr">
        <is>
          <t>APROBADO</t>
        </is>
      </c>
      <c r="U31" s="280" t="n"/>
      <c r="V31" s="305" t="n"/>
      <c r="W31" s="241" t="n"/>
      <c r="X31" s="241" t="n"/>
      <c r="Y31" s="356" t="inlineStr">
        <is>
          <t>HUAMBO</t>
        </is>
      </c>
      <c r="Z31" s="350">
        <f>IF(AND(R31&lt;&gt;"",V31&lt;&gt;"",W31&lt;&gt;""),"ENTREGADO","POR RECOGER")</f>
        <v/>
      </c>
      <c r="AA31" s="198" t="n"/>
      <c r="AB31" s="198" t="n"/>
      <c r="AC31" s="198" t="n"/>
    </row>
    <row r="32" ht="15.75" customHeight="1" s="195">
      <c r="A32" s="301" t="n">
        <v>27</v>
      </c>
      <c r="B32" s="302" t="inlineStr">
        <is>
          <t>00000025</t>
        </is>
      </c>
      <c r="C32" s="301" t="inlineStr">
        <is>
          <t>REGION</t>
        </is>
      </c>
      <c r="D32" s="302" t="inlineStr">
        <is>
          <t>LOPEZ GUADALUPE NARDY FIORELA</t>
        </is>
      </c>
      <c r="E32" s="301" t="inlineStr">
        <is>
          <t>DNI</t>
        </is>
      </c>
      <c r="F32" s="301" t="inlineStr">
        <is>
          <t>79521364</t>
        </is>
      </c>
      <c r="G32" s="331" t="n">
        <v>46062</v>
      </c>
      <c r="H32" s="301" t="inlineStr">
        <is>
          <t>4843</t>
        </is>
      </c>
      <c r="I32" s="332">
        <f>IFERROR(VLOOKUP(TEXT(H32,"0"),IPRESS!$A$3:$B$212,2,0),"")</f>
        <v/>
      </c>
      <c r="J32" s="301" t="inlineStr">
        <is>
          <t>4838</t>
        </is>
      </c>
      <c r="K32" s="332" t="inlineStr">
        <is>
          <t>PETROLEO</t>
        </is>
      </c>
      <c r="L32" s="245" t="n">
        <v>18.18</v>
      </c>
      <c r="M32" s="245" t="n">
        <v>20</v>
      </c>
      <c r="N32" s="333">
        <f>IFERROR(IF(L32*M32=0,"",L32*M32),"")</f>
        <v/>
      </c>
      <c r="O32" s="301" t="inlineStr">
        <is>
          <t>73602628</t>
        </is>
      </c>
      <c r="P32" s="332">
        <f>IFERROR(VLOOKUP(TEXT(O32,"0"),CONDUCTORES!$A$3:$G$100,2,0),"")</f>
        <v/>
      </c>
      <c r="Q32" s="332">
        <f>IFERROR(VLOOKUP(TEXT(O32,"0"),CONDUCTORES!$A$3:$H$100,6,0),"")</f>
        <v/>
      </c>
      <c r="R32" s="334" t="n"/>
      <c r="S32" s="302" t="inlineStr">
        <is>
          <t>D610</t>
        </is>
      </c>
      <c r="T32" s="301" t="inlineStr">
        <is>
          <t>APROBADO</t>
        </is>
      </c>
      <c r="U32" s="334" t="n"/>
      <c r="V32" s="302" t="n"/>
      <c r="W32" s="301" t="n"/>
      <c r="X32" s="301" t="n"/>
      <c r="Y32" s="280" t="n"/>
      <c r="Z32" s="350">
        <f>IF(AND(R32&lt;&gt;"",V32&lt;&gt;"",W32&lt;&gt;""),"ENTREGADO","POR RECOGER")</f>
        <v/>
      </c>
      <c r="AA32" s="198" t="n"/>
      <c r="AB32" s="198" t="n"/>
      <c r="AC32" s="198" t="n"/>
    </row>
    <row r="33" ht="15.75" customHeight="1" s="195">
      <c r="A33" s="241" t="n">
        <v>28</v>
      </c>
      <c r="B33" s="305" t="inlineStr">
        <is>
          <t>00000090</t>
        </is>
      </c>
      <c r="C33" s="241" t="inlineStr">
        <is>
          <t>REGION</t>
        </is>
      </c>
      <c r="D33" s="305" t="inlineStr">
        <is>
          <t>HUAMAN CHUQUIZUTA EDWARS</t>
        </is>
      </c>
      <c r="E33" s="241" t="inlineStr">
        <is>
          <t>DNI</t>
        </is>
      </c>
      <c r="F33" s="241" t="inlineStr">
        <is>
          <t>63397123</t>
        </is>
      </c>
      <c r="G33" s="336" t="n">
        <v>46063</v>
      </c>
      <c r="H33" s="241" t="inlineStr">
        <is>
          <t>4866</t>
        </is>
      </c>
      <c r="I33" s="332">
        <f>IFERROR(VLOOKUP(TEXT(H33,"0"),IPRESS!$A$3:$B$212,2,0),"")</f>
        <v/>
      </c>
      <c r="J33" s="241" t="inlineStr">
        <is>
          <t>4838</t>
        </is>
      </c>
      <c r="K33" s="332" t="inlineStr">
        <is>
          <t>PETROLEO</t>
        </is>
      </c>
      <c r="L33" s="239" t="n">
        <v>18.18</v>
      </c>
      <c r="M33" s="239" t="n">
        <v>4</v>
      </c>
      <c r="N33" s="333">
        <f>IFERROR(IF(L33*M33=0,"",L33*M33),"")</f>
        <v/>
      </c>
      <c r="O33" s="241" t="inlineStr">
        <is>
          <t>41055990</t>
        </is>
      </c>
      <c r="P33" s="332">
        <f>IFERROR(VLOOKUP(TEXT(O33,"0"),CONDUCTORES!$A$3:$G$100,2,0),"")</f>
        <v/>
      </c>
      <c r="Q33" s="332">
        <f>IFERROR(VLOOKUP(TEXT(O33,"0"),CONDUCTORES!$A$3:$H$100,6,0),"")</f>
        <v/>
      </c>
      <c r="R33" s="280" t="n"/>
      <c r="S33" s="305" t="inlineStr">
        <is>
          <t>S611,S625</t>
        </is>
      </c>
      <c r="T33" s="241" t="inlineStr">
        <is>
          <t>APROBADO</t>
        </is>
      </c>
      <c r="U33" s="280" t="n"/>
      <c r="V33" s="305" t="n"/>
      <c r="W33" s="241" t="n"/>
      <c r="X33" s="241" t="n"/>
      <c r="Y33" s="280" t="n"/>
      <c r="Z33" s="350">
        <f>IF(AND(R33&lt;&gt;"",V33&lt;&gt;"",W33&lt;&gt;""),"ENTREGADO","POR RECOGER")</f>
        <v/>
      </c>
      <c r="AA33" s="198" t="n"/>
      <c r="AB33" s="198" t="n"/>
      <c r="AC33" s="198" t="n"/>
    </row>
    <row r="34" ht="15.75" customHeight="1" s="195">
      <c r="A34" s="301" t="n">
        <v>29</v>
      </c>
      <c r="B34" s="302" t="inlineStr">
        <is>
          <t>00000027</t>
        </is>
      </c>
      <c r="C34" s="301" t="inlineStr">
        <is>
          <t>REGION</t>
        </is>
      </c>
      <c r="D34" s="302" t="inlineStr">
        <is>
          <t>VALLE MONTENEGRO JHEYCO</t>
        </is>
      </c>
      <c r="E34" s="301" t="inlineStr">
        <is>
          <t>DNI</t>
        </is>
      </c>
      <c r="F34" s="301" t="inlineStr">
        <is>
          <t>72807396</t>
        </is>
      </c>
      <c r="G34" s="331" t="n">
        <v>46063</v>
      </c>
      <c r="H34" s="301" t="inlineStr">
        <is>
          <t>4917</t>
        </is>
      </c>
      <c r="I34" s="332">
        <f>IFERROR(VLOOKUP(TEXT(H34,"0"),IPRESS!$A$3:$B$212,2,0),"")</f>
        <v/>
      </c>
      <c r="J34" s="301" t="inlineStr">
        <is>
          <t>4838</t>
        </is>
      </c>
      <c r="K34" s="332" t="inlineStr">
        <is>
          <t>PETROLEO</t>
        </is>
      </c>
      <c r="L34" s="245" t="n">
        <v>18.18</v>
      </c>
      <c r="M34" s="245" t="n">
        <v>12</v>
      </c>
      <c r="N34" s="333">
        <f>IFERROR(IF(L34*M34=0,"",L34*M34),"")</f>
        <v/>
      </c>
      <c r="O34" s="301" t="inlineStr">
        <is>
          <t>33734466</t>
        </is>
      </c>
      <c r="P34" s="332">
        <f>IFERROR(VLOOKUP(TEXT(O34,"0"),CONDUCTORES!$A$3:$G$100,2,0),"")</f>
        <v/>
      </c>
      <c r="Q34" s="332">
        <f>IFERROR(VLOOKUP(TEXT(O34,"0"),CONDUCTORES!$A$3:$H$100,6,0),"")</f>
        <v/>
      </c>
      <c r="R34" s="334" t="n"/>
      <c r="S34" s="302" t="inlineStr">
        <is>
          <t>K358,N390</t>
        </is>
      </c>
      <c r="T34" s="301" t="inlineStr">
        <is>
          <t>APROBADO</t>
        </is>
      </c>
      <c r="U34" s="334" t="n"/>
      <c r="V34" s="302" t="n"/>
      <c r="W34" s="301" t="n"/>
      <c r="X34" s="301" t="n"/>
      <c r="Y34" s="280" t="n"/>
      <c r="Z34" s="350">
        <f>IF(AND(R34&lt;&gt;"",V34&lt;&gt;"",W34&lt;&gt;""),"ENTREGADO","POR RECOGER")</f>
        <v/>
      </c>
      <c r="AA34" s="198" t="n"/>
      <c r="AB34" s="198" t="n"/>
      <c r="AC34" s="198" t="n"/>
    </row>
    <row r="35" ht="15.75" customHeight="1" s="195">
      <c r="A35" s="241" t="n">
        <v>30</v>
      </c>
      <c r="B35" s="305" t="inlineStr">
        <is>
          <t>00000313</t>
        </is>
      </c>
      <c r="C35" s="241" t="inlineStr">
        <is>
          <t>REGION</t>
        </is>
      </c>
      <c r="D35" s="305" t="inlineStr">
        <is>
          <t>NOVOA TAFUR EDIHTA CONSUELO</t>
        </is>
      </c>
      <c r="E35" s="241" t="inlineStr">
        <is>
          <t>DNI</t>
        </is>
      </c>
      <c r="F35" s="241" t="inlineStr">
        <is>
          <t>33951427</t>
        </is>
      </c>
      <c r="G35" s="336" t="n">
        <v>46063</v>
      </c>
      <c r="H35" s="241" t="inlineStr">
        <is>
          <t>4950</t>
        </is>
      </c>
      <c r="I35" s="332">
        <f>IFERROR(VLOOKUP(TEXT(H35,"0"),IPRESS!$A$3:$B$212,2,0),"")</f>
        <v/>
      </c>
      <c r="J35" s="241" t="inlineStr">
        <is>
          <t>4838</t>
        </is>
      </c>
      <c r="K35" s="332" t="inlineStr">
        <is>
          <t>PETROLEO</t>
        </is>
      </c>
      <c r="L35" s="239" t="n">
        <v>20.25</v>
      </c>
      <c r="M35" s="239" t="n">
        <v>7</v>
      </c>
      <c r="N35" s="333">
        <f>IFERROR(IF(L35*M35=0,"",L35*M35),"")</f>
        <v/>
      </c>
      <c r="O35" s="241" t="inlineStr">
        <is>
          <t>9990954</t>
        </is>
      </c>
      <c r="P35" s="332">
        <f>IFERROR(VLOOKUP(TEXT(O35,"0"),CONDUCTORES!$A$3:$G$100,2,0),"")</f>
        <v/>
      </c>
      <c r="Q35" s="332">
        <f>IFERROR(VLOOKUP(TEXT(O35,"0"),CONDUCTORES!$A$3:$H$100,6,0),"")</f>
        <v/>
      </c>
      <c r="R35" s="280" t="n"/>
      <c r="S35" s="305" t="inlineStr">
        <is>
          <t>J441,I500</t>
        </is>
      </c>
      <c r="T35" s="241" t="inlineStr">
        <is>
          <t>APROBADO</t>
        </is>
      </c>
      <c r="U35" s="280" t="n"/>
      <c r="V35" s="305" t="n"/>
      <c r="W35" s="241" t="n"/>
      <c r="X35" s="241" t="n"/>
      <c r="Y35" s="280" t="n"/>
      <c r="Z35" s="350">
        <f>IF(AND(R35&lt;&gt;"",V35&lt;&gt;"",W35&lt;&gt;""),"ENTREGADO","POR RECOGER")</f>
        <v/>
      </c>
      <c r="AA35" s="198" t="n"/>
      <c r="AB35" s="198" t="n"/>
      <c r="AC35" s="198" t="n"/>
    </row>
    <row r="36" ht="15.75" customHeight="1" s="195">
      <c r="A36" s="301" t="n">
        <v>31</v>
      </c>
      <c r="B36" s="302" t="inlineStr">
        <is>
          <t>00000126</t>
        </is>
      </c>
      <c r="C36" s="301" t="inlineStr">
        <is>
          <t>REGION</t>
        </is>
      </c>
      <c r="D36" s="302" t="inlineStr">
        <is>
          <t>CRUZ PIZAN KEIKO MAGALY</t>
        </is>
      </c>
      <c r="E36" s="301" t="inlineStr">
        <is>
          <t>DNI</t>
        </is>
      </c>
      <c r="F36" s="301" t="inlineStr">
        <is>
          <t>73309506</t>
        </is>
      </c>
      <c r="G36" s="331" t="n">
        <v>46063</v>
      </c>
      <c r="H36" s="301" t="inlineStr">
        <is>
          <t>4922</t>
        </is>
      </c>
      <c r="I36" s="332">
        <f>IFERROR(VLOOKUP(TEXT(H36,"0"),IPRESS!$A$3:$B$212,2,0),"")</f>
        <v/>
      </c>
      <c r="J36" s="301" t="inlineStr">
        <is>
          <t>4838</t>
        </is>
      </c>
      <c r="K36" s="332" t="inlineStr">
        <is>
          <t>PETROLEO</t>
        </is>
      </c>
      <c r="L36" s="245" t="n">
        <v>18.18</v>
      </c>
      <c r="M36" s="245" t="n">
        <v>5</v>
      </c>
      <c r="N36" s="333">
        <f>IFERROR(IF(L36*M36=0,"",L36*M36),"")</f>
        <v/>
      </c>
      <c r="O36" s="301" t="inlineStr">
        <is>
          <t>71640877</t>
        </is>
      </c>
      <c r="P36" s="332">
        <f>IFERROR(VLOOKUP(TEXT(O36,"0"),CONDUCTORES!$A$3:$G$100,2,0),"")</f>
        <v/>
      </c>
      <c r="Q36" s="332">
        <f>IFERROR(VLOOKUP(TEXT(O36,"0"),CONDUCTORES!$A$3:$H$100,6,0),"")</f>
        <v/>
      </c>
      <c r="R36" s="334" t="n"/>
      <c r="S36" s="302" t="inlineStr">
        <is>
          <t>O021</t>
        </is>
      </c>
      <c r="T36" s="301" t="inlineStr">
        <is>
          <t>APROBADO</t>
        </is>
      </c>
      <c r="U36" s="334" t="n"/>
      <c r="V36" s="302" t="n"/>
      <c r="W36" s="301" t="n"/>
      <c r="X36" s="301" t="n"/>
      <c r="Y36" s="280" t="n"/>
      <c r="Z36" s="350">
        <f>IF(AND(R36&lt;&gt;"",V36&lt;&gt;"",W36&lt;&gt;""),"ENTREGADO","POR RECOGER")</f>
        <v/>
      </c>
      <c r="AA36" s="198" t="n"/>
      <c r="AB36" s="198" t="n"/>
      <c r="AC36" s="198" t="n"/>
    </row>
    <row r="37" ht="15.75" customHeight="1" s="195">
      <c r="A37" s="241" t="n">
        <v>32</v>
      </c>
      <c r="B37" s="305" t="inlineStr">
        <is>
          <t>00000010</t>
        </is>
      </c>
      <c r="C37" s="241" t="inlineStr">
        <is>
          <t>REGION</t>
        </is>
      </c>
      <c r="D37" s="305" t="inlineStr">
        <is>
          <t>SIFUENTES MENDOZA JULIANA NAOMI</t>
        </is>
      </c>
      <c r="E37" s="241" t="inlineStr">
        <is>
          <t>DNI</t>
        </is>
      </c>
      <c r="F37" s="241" t="inlineStr">
        <is>
          <t>70700554</t>
        </is>
      </c>
      <c r="G37" s="336" t="n">
        <v>46063</v>
      </c>
      <c r="H37" s="241" t="inlineStr">
        <is>
          <t>7060</t>
        </is>
      </c>
      <c r="I37" s="332">
        <f>IFERROR(VLOOKUP(TEXT(H37,"0"),IPRESS!$A$3:$B$212,2,0),"")</f>
        <v/>
      </c>
      <c r="J37" s="241" t="inlineStr">
        <is>
          <t>4838</t>
        </is>
      </c>
      <c r="K37" s="332" t="inlineStr">
        <is>
          <t>PETROLEO</t>
        </is>
      </c>
      <c r="L37" s="239" t="n">
        <v>18.18</v>
      </c>
      <c r="M37" s="239" t="n">
        <v>20</v>
      </c>
      <c r="N37" s="333">
        <f>IFERROR(IF(L37*M37=0,"",L37*M37),"")</f>
        <v/>
      </c>
      <c r="O37" s="241" t="inlineStr">
        <is>
          <t>73602628</t>
        </is>
      </c>
      <c r="P37" s="332">
        <f>IFERROR(VLOOKUP(TEXT(O37,"0"),CONDUCTORES!$A$3:$G$100,2,0),"")</f>
        <v/>
      </c>
      <c r="Q37" s="332">
        <f>IFERROR(VLOOKUP(TEXT(O37,"0"),CONDUCTORES!$A$3:$H$100,6,0),"")</f>
        <v/>
      </c>
      <c r="R37" s="280" t="n"/>
      <c r="S37" s="305" t="inlineStr">
        <is>
          <t>O150</t>
        </is>
      </c>
      <c r="T37" s="241" t="inlineStr">
        <is>
          <t>APROBADO</t>
        </is>
      </c>
      <c r="U37" s="280" t="n"/>
      <c r="V37" s="305" t="n"/>
      <c r="W37" s="241" t="n"/>
      <c r="X37" s="241" t="n"/>
      <c r="Y37" s="280" t="n"/>
      <c r="Z37" s="350">
        <f>IF(AND(R37&lt;&gt;"",V37&lt;&gt;"",W37&lt;&gt;""),"ENTREGADO","POR RECOGER")</f>
        <v/>
      </c>
      <c r="AA37" s="198" t="n"/>
      <c r="AB37" s="198" t="n"/>
      <c r="AC37" s="198" t="n"/>
    </row>
    <row r="38" ht="15.75" customHeight="1" s="195">
      <c r="A38" s="301" t="n">
        <v>33</v>
      </c>
      <c r="B38" s="302" t="inlineStr">
        <is>
          <t>00000052</t>
        </is>
      </c>
      <c r="C38" s="301" t="inlineStr">
        <is>
          <t>REGION</t>
        </is>
      </c>
      <c r="D38" s="302" t="inlineStr">
        <is>
          <t>FLORINDEZ ROJAS GHERAL</t>
        </is>
      </c>
      <c r="E38" s="301" t="inlineStr">
        <is>
          <t>DNI</t>
        </is>
      </c>
      <c r="F38" s="301" t="inlineStr">
        <is>
          <t>90033095</t>
        </is>
      </c>
      <c r="G38" s="331" t="n">
        <v>46064</v>
      </c>
      <c r="H38" s="301" t="inlineStr">
        <is>
          <t>4859</t>
        </is>
      </c>
      <c r="I38" s="332">
        <f>IFERROR(VLOOKUP(TEXT(H38,"0"),IPRESS!$A$3:$B$212,2,0),"")</f>
        <v/>
      </c>
      <c r="J38" s="301" t="inlineStr">
        <is>
          <t>4838</t>
        </is>
      </c>
      <c r="K38" s="332" t="inlineStr">
        <is>
          <t>PETROLEO</t>
        </is>
      </c>
      <c r="L38" s="245" t="n">
        <v>18.18</v>
      </c>
      <c r="M38" s="245" t="n">
        <v>7.5</v>
      </c>
      <c r="N38" s="333">
        <f>IFERROR(IF(L38*M38=0,"",L38*M38),"")</f>
        <v/>
      </c>
      <c r="O38" s="301" t="inlineStr">
        <is>
          <t>33400714</t>
        </is>
      </c>
      <c r="P38" s="332">
        <f>IFERROR(VLOOKUP(TEXT(O38,"0"),CONDUCTORES!$A$3:$G$100,2,0),"")</f>
        <v/>
      </c>
      <c r="Q38" s="332">
        <f>IFERROR(VLOOKUP(TEXT(O38,"0"),CONDUCTORES!$A$3:$H$100,6,0),"")</f>
        <v/>
      </c>
      <c r="R38" s="334" t="n"/>
      <c r="S38" s="302" t="inlineStr">
        <is>
          <t>K359</t>
        </is>
      </c>
      <c r="T38" s="301" t="inlineStr">
        <is>
          <t>APROBADO</t>
        </is>
      </c>
      <c r="U38" s="334" t="n"/>
      <c r="V38" s="302" t="n"/>
      <c r="W38" s="301" t="n"/>
      <c r="X38" s="301" t="n"/>
      <c r="Y38" s="280" t="n"/>
      <c r="Z38" s="350">
        <f>IF(AND(R38&lt;&gt;"",V38&lt;&gt;"",W38&lt;&gt;""),"ENTREGADO","POR RECOGER")</f>
        <v/>
      </c>
      <c r="AA38" s="198" t="n"/>
      <c r="AB38" s="198" t="n"/>
      <c r="AC38" s="198" t="n"/>
    </row>
    <row r="39" ht="15.75" customHeight="1" s="195">
      <c r="A39" s="241" t="n">
        <v>34</v>
      </c>
      <c r="B39" s="305" t="inlineStr">
        <is>
          <t>00000028</t>
        </is>
      </c>
      <c r="C39" s="241" t="inlineStr">
        <is>
          <t>REGION</t>
        </is>
      </c>
      <c r="D39" s="305" t="inlineStr">
        <is>
          <t>NUNCEVAY ORDOÑEZ LALLY AMPARO</t>
        </is>
      </c>
      <c r="E39" s="241" t="inlineStr">
        <is>
          <t>DNI</t>
        </is>
      </c>
      <c r="F39" s="241" t="inlineStr">
        <is>
          <t>75658490</t>
        </is>
      </c>
      <c r="G39" s="336" t="n">
        <v>46064</v>
      </c>
      <c r="H39" s="241" t="inlineStr">
        <is>
          <t>4917</t>
        </is>
      </c>
      <c r="I39" s="332">
        <f>IFERROR(VLOOKUP(TEXT(H39,"0"),IPRESS!$A$3:$B$212,2,0),"")</f>
        <v/>
      </c>
      <c r="J39" s="241" t="inlineStr">
        <is>
          <t>4838</t>
        </is>
      </c>
      <c r="K39" s="332" t="inlineStr">
        <is>
          <t>PETROLEO</t>
        </is>
      </c>
      <c r="L39" s="239" t="n">
        <v>18.18</v>
      </c>
      <c r="M39" s="239" t="n">
        <v>12</v>
      </c>
      <c r="N39" s="333">
        <f>IFERROR(IF(L39*M39=0,"",L39*M39),"")</f>
        <v/>
      </c>
      <c r="O39" s="241" t="inlineStr">
        <is>
          <t>33734466</t>
        </is>
      </c>
      <c r="P39" s="332">
        <f>IFERROR(VLOOKUP(TEXT(O39,"0"),CONDUCTORES!$A$3:$G$100,2,0),"")</f>
        <v/>
      </c>
      <c r="Q39" s="332">
        <f>IFERROR(VLOOKUP(TEXT(O39,"0"),CONDUCTORES!$A$3:$H$100,6,0),"")</f>
        <v/>
      </c>
      <c r="R39" s="280" t="n"/>
      <c r="S39" s="305" t="inlineStr">
        <is>
          <t>K358,N390</t>
        </is>
      </c>
      <c r="T39" s="241" t="inlineStr">
        <is>
          <t>APROBADO</t>
        </is>
      </c>
      <c r="U39" s="280" t="n"/>
      <c r="V39" s="305" t="n"/>
      <c r="W39" s="241" t="n"/>
      <c r="X39" s="241" t="n"/>
      <c r="Y39" s="280" t="n"/>
      <c r="Z39" s="350">
        <f>IF(AND(R39&lt;&gt;"",V39&lt;&gt;"",W39&lt;&gt;""),"ENTREGADO","POR RECOGER")</f>
        <v/>
      </c>
      <c r="AA39" s="198" t="n"/>
      <c r="AB39" s="198" t="n"/>
      <c r="AC39" s="198" t="n"/>
    </row>
    <row r="40" ht="15.75" customHeight="1" s="195">
      <c r="A40" s="301" t="n">
        <v>35</v>
      </c>
      <c r="B40" s="302" t="inlineStr">
        <is>
          <t>00000314</t>
        </is>
      </c>
      <c r="C40" s="301" t="inlineStr">
        <is>
          <t>REGION</t>
        </is>
      </c>
      <c r="D40" s="302" t="inlineStr">
        <is>
          <t>HUAMAN HUAMAN JUAN JOSE</t>
        </is>
      </c>
      <c r="E40" s="301" t="inlineStr">
        <is>
          <t>DNI</t>
        </is>
      </c>
      <c r="F40" s="301" t="inlineStr">
        <is>
          <t>33960724</t>
        </is>
      </c>
      <c r="G40" s="331" t="n">
        <v>46064</v>
      </c>
      <c r="H40" s="301" t="inlineStr">
        <is>
          <t>4950</t>
        </is>
      </c>
      <c r="I40" s="332">
        <f>IFERROR(VLOOKUP(TEXT(H40,"0"),IPRESS!$A$3:$B$212,2,0),"")</f>
        <v/>
      </c>
      <c r="J40" s="301" t="inlineStr">
        <is>
          <t>4838</t>
        </is>
      </c>
      <c r="K40" s="332" t="inlineStr">
        <is>
          <t>PETROLEO</t>
        </is>
      </c>
      <c r="L40" s="245" t="n">
        <v>20.25</v>
      </c>
      <c r="M40" s="245" t="n">
        <v>9.09</v>
      </c>
      <c r="N40" s="333">
        <f>IFERROR(IF(L40*M40=0,"",L40*M40),"")</f>
        <v/>
      </c>
      <c r="O40" s="301" t="inlineStr">
        <is>
          <t>41785950</t>
        </is>
      </c>
      <c r="P40" s="332">
        <f>IFERROR(VLOOKUP(TEXT(O40,"0"),CONDUCTORES!$A$3:$G$100,2,0),"")</f>
        <v/>
      </c>
      <c r="Q40" s="332">
        <f>IFERROR(VLOOKUP(TEXT(O40,"0"),CONDUCTORES!$A$3:$H$100,6,0),"")</f>
        <v/>
      </c>
      <c r="R40" s="334" t="n"/>
      <c r="S40" s="302" t="inlineStr">
        <is>
          <t>J960,J441,I509</t>
        </is>
      </c>
      <c r="T40" s="301" t="inlineStr">
        <is>
          <t>APROBADO</t>
        </is>
      </c>
      <c r="U40" s="334" t="n"/>
      <c r="V40" s="302" t="n"/>
      <c r="W40" s="301" t="n"/>
      <c r="X40" s="301" t="n"/>
      <c r="Y40" s="280" t="n"/>
      <c r="Z40" s="350">
        <f>IF(AND(R40&lt;&gt;"",V40&lt;&gt;"",W40&lt;&gt;""),"ENTREGADO","POR RECOGER")</f>
        <v/>
      </c>
      <c r="AA40" s="198" t="n"/>
      <c r="AB40" s="198" t="n"/>
      <c r="AC40" s="198" t="n"/>
    </row>
    <row r="41" ht="15.75" customHeight="1" s="195">
      <c r="A41" s="241" t="n">
        <v>36</v>
      </c>
      <c r="B41" s="305" t="inlineStr">
        <is>
          <t>00000067</t>
        </is>
      </c>
      <c r="C41" s="241" t="inlineStr">
        <is>
          <t>REGION</t>
        </is>
      </c>
      <c r="D41" s="305" t="inlineStr">
        <is>
          <t>CHAVEZ ZABALETA EULOGIA</t>
        </is>
      </c>
      <c r="E41" s="241" t="inlineStr">
        <is>
          <t>DNI</t>
        </is>
      </c>
      <c r="F41" s="241" t="inlineStr">
        <is>
          <t>33789829</t>
        </is>
      </c>
      <c r="G41" s="336" t="n">
        <v>46064</v>
      </c>
      <c r="H41" s="241" t="inlineStr">
        <is>
          <t>4903</t>
        </is>
      </c>
      <c r="I41" s="332">
        <f>IFERROR(VLOOKUP(TEXT(H41,"0"),IPRESS!$A$3:$B$212,2,0),"")</f>
        <v/>
      </c>
      <c r="J41" s="241" t="inlineStr">
        <is>
          <t>4838</t>
        </is>
      </c>
      <c r="K41" s="332" t="inlineStr">
        <is>
          <t>PETROLEO</t>
        </is>
      </c>
      <c r="L41" s="239" t="n">
        <v>18.18</v>
      </c>
      <c r="M41" s="239" t="n">
        <v>5</v>
      </c>
      <c r="N41" s="333">
        <f>IFERROR(IF(L41*M41=0,"",L41*M41),"")</f>
        <v/>
      </c>
      <c r="O41" s="241" t="inlineStr">
        <is>
          <t>33816046</t>
        </is>
      </c>
      <c r="P41" s="332">
        <f>IFERROR(VLOOKUP(TEXT(O41,"0"),CONDUCTORES!$A$3:$G$100,2,0),"")</f>
        <v/>
      </c>
      <c r="Q41" s="332">
        <f>IFERROR(VLOOKUP(TEXT(O41,"0"),CONDUCTORES!$A$3:$H$100,6,0),"")</f>
        <v/>
      </c>
      <c r="R41" s="280" t="n"/>
      <c r="S41" s="305" t="inlineStr">
        <is>
          <t>I509,N390</t>
        </is>
      </c>
      <c r="T41" s="241" t="inlineStr">
        <is>
          <t>APROBADO</t>
        </is>
      </c>
      <c r="U41" s="280" t="n"/>
      <c r="V41" s="305" t="n"/>
      <c r="W41" s="241" t="n"/>
      <c r="X41" s="241" t="n"/>
      <c r="Y41" s="280" t="n"/>
      <c r="Z41" s="350">
        <f>IF(AND(R41&lt;&gt;"",V41&lt;&gt;"",W41&lt;&gt;""),"ENTREGADO","POR RECOGER")</f>
        <v/>
      </c>
      <c r="AA41" s="198" t="n"/>
      <c r="AB41" s="198" t="n"/>
      <c r="AC41" s="198" t="n"/>
    </row>
    <row r="42" ht="15.75" customHeight="1" s="195">
      <c r="A42" s="301" t="n">
        <v>37</v>
      </c>
      <c r="B42" s="302" t="inlineStr">
        <is>
          <t>00000127</t>
        </is>
      </c>
      <c r="C42" s="301" t="inlineStr">
        <is>
          <t>REGION</t>
        </is>
      </c>
      <c r="D42" s="302" t="inlineStr">
        <is>
          <t>FLORES DE OLIVARES MAGNOLIA</t>
        </is>
      </c>
      <c r="E42" s="301" t="inlineStr">
        <is>
          <t>DNI</t>
        </is>
      </c>
      <c r="F42" s="301" t="inlineStr">
        <is>
          <t>33802091</t>
        </is>
      </c>
      <c r="G42" s="331" t="n">
        <v>46064</v>
      </c>
      <c r="H42" s="301" t="inlineStr">
        <is>
          <t>4922</t>
        </is>
      </c>
      <c r="I42" s="332">
        <f>IFERROR(VLOOKUP(TEXT(H42,"0"),IPRESS!$A$3:$B$212,2,0),"")</f>
        <v/>
      </c>
      <c r="J42" s="301" t="inlineStr">
        <is>
          <t>4838</t>
        </is>
      </c>
      <c r="K42" s="332" t="inlineStr">
        <is>
          <t>PETROLEO</t>
        </is>
      </c>
      <c r="L42" s="245" t="n">
        <v>18.18</v>
      </c>
      <c r="M42" s="245" t="n">
        <v>5</v>
      </c>
      <c r="N42" s="333">
        <f>IFERROR(IF(L42*M42=0,"",L42*M42),"")</f>
        <v/>
      </c>
      <c r="O42" s="301" t="inlineStr">
        <is>
          <t>71640877</t>
        </is>
      </c>
      <c r="P42" s="332">
        <f>IFERROR(VLOOKUP(TEXT(O42,"0"),CONDUCTORES!$A$3:$G$100,2,0),"")</f>
        <v/>
      </c>
      <c r="Q42" s="332">
        <f>IFERROR(VLOOKUP(TEXT(O42,"0"),CONDUCTORES!$A$3:$H$100,6,0),"")</f>
        <v/>
      </c>
      <c r="R42" s="334" t="n"/>
      <c r="S42" s="302" t="inlineStr">
        <is>
          <t>R104,N390,K729,N179,J960</t>
        </is>
      </c>
      <c r="T42" s="301" t="inlineStr">
        <is>
          <t>APROBADO</t>
        </is>
      </c>
      <c r="U42" s="334" t="n"/>
      <c r="V42" s="302" t="n"/>
      <c r="W42" s="301" t="n"/>
      <c r="X42" s="301" t="n"/>
      <c r="Y42" s="280" t="n"/>
      <c r="Z42" s="350">
        <f>IF(AND(R42&lt;&gt;"",V42&lt;&gt;"",W42&lt;&gt;""),"ENTREGADO","POR RECOGER")</f>
        <v/>
      </c>
      <c r="AA42" s="198" t="n"/>
      <c r="AB42" s="198" t="n"/>
      <c r="AC42" s="198" t="n"/>
    </row>
    <row r="43" ht="15.75" customHeight="1" s="195">
      <c r="A43" s="241" t="n">
        <v>38</v>
      </c>
      <c r="B43" s="305" t="inlineStr">
        <is>
          <t>00000033</t>
        </is>
      </c>
      <c r="C43" s="241" t="inlineStr">
        <is>
          <t>REGION</t>
        </is>
      </c>
      <c r="D43" s="305" t="inlineStr">
        <is>
          <t>PUSCAN HUAMAN NORIT IRAKCE</t>
        </is>
      </c>
      <c r="E43" s="241" t="inlineStr">
        <is>
          <t>DNI</t>
        </is>
      </c>
      <c r="F43" s="241" t="inlineStr">
        <is>
          <t>60708321</t>
        </is>
      </c>
      <c r="G43" s="336" t="n">
        <v>46064</v>
      </c>
      <c r="H43" s="241" t="inlineStr">
        <is>
          <t>4905</t>
        </is>
      </c>
      <c r="I43" s="332">
        <f>IFERROR(VLOOKUP(TEXT(H43,"0"),IPRESS!$A$3:$B$212,2,0),"")</f>
        <v/>
      </c>
      <c r="J43" s="241" t="inlineStr">
        <is>
          <t>4838</t>
        </is>
      </c>
      <c r="K43" s="332" t="inlineStr">
        <is>
          <t>PETROLEO</t>
        </is>
      </c>
      <c r="L43" s="239" t="n">
        <v>18.18</v>
      </c>
      <c r="M43" s="239" t="n">
        <v>7</v>
      </c>
      <c r="N43" s="333">
        <f>IFERROR(IF(L43*M43=0,"",L43*M43),"")</f>
        <v/>
      </c>
      <c r="O43" s="241" t="inlineStr">
        <is>
          <t>44894499</t>
        </is>
      </c>
      <c r="P43" s="332">
        <f>IFERROR(VLOOKUP(TEXT(O43,"0"),CONDUCTORES!$A$3:$G$100,2,0),"")</f>
        <v/>
      </c>
      <c r="Q43" s="332">
        <f>IFERROR(VLOOKUP(TEXT(O43,"0"),CONDUCTORES!$A$3:$H$100,6,0),"")</f>
        <v/>
      </c>
      <c r="R43" s="280" t="n"/>
      <c r="S43" s="305" t="inlineStr">
        <is>
          <t>I609</t>
        </is>
      </c>
      <c r="T43" s="241" t="inlineStr">
        <is>
          <t>APROBADO</t>
        </is>
      </c>
      <c r="U43" s="280" t="n"/>
      <c r="V43" s="305" t="n"/>
      <c r="W43" s="241" t="n"/>
      <c r="X43" s="241" t="n"/>
      <c r="Y43" s="280" t="n"/>
      <c r="Z43" s="350">
        <f>IF(AND(R43&lt;&gt;"",V43&lt;&gt;"",W43&lt;&gt;""),"ENTREGADO","POR RECOGER")</f>
        <v/>
      </c>
      <c r="AA43" s="198" t="n"/>
      <c r="AB43" s="198" t="n"/>
      <c r="AC43" s="198" t="n"/>
    </row>
    <row r="44" ht="15.75" customHeight="1" s="195">
      <c r="A44" s="301" t="n">
        <v>39</v>
      </c>
      <c r="B44" s="302" t="inlineStr">
        <is>
          <t>00000120</t>
        </is>
      </c>
      <c r="C44" s="301" t="inlineStr">
        <is>
          <t>REGION</t>
        </is>
      </c>
      <c r="D44" s="302" t="inlineStr">
        <is>
          <t>VIGIL CUBAS MARTHA RENE</t>
        </is>
      </c>
      <c r="E44" s="301" t="inlineStr">
        <is>
          <t>DNI</t>
        </is>
      </c>
      <c r="F44" s="301" t="inlineStr">
        <is>
          <t>72708806</t>
        </is>
      </c>
      <c r="G44" s="331" t="n">
        <v>46064</v>
      </c>
      <c r="H44" s="301" t="inlineStr">
        <is>
          <t>4932</t>
        </is>
      </c>
      <c r="I44" s="332">
        <f>IFERROR(VLOOKUP(TEXT(H44,"0"),IPRESS!$A$3:$B$212,2,0),"")</f>
        <v/>
      </c>
      <c r="J44" s="301" t="inlineStr">
        <is>
          <t>4838</t>
        </is>
      </c>
      <c r="K44" s="332" t="inlineStr">
        <is>
          <t>PETROLEO</t>
        </is>
      </c>
      <c r="L44" s="245" t="n">
        <v>18.18</v>
      </c>
      <c r="M44" s="245" t="n">
        <v>6</v>
      </c>
      <c r="N44" s="333">
        <f>IFERROR(IF(L44*M44=0,"",L44*M44),"")</f>
        <v/>
      </c>
      <c r="O44" s="301" t="inlineStr">
        <is>
          <t>33726013</t>
        </is>
      </c>
      <c r="P44" s="332">
        <f>IFERROR(VLOOKUP(TEXT(O44,"0"),CONDUCTORES!$A$3:$G$100,2,0),"")</f>
        <v/>
      </c>
      <c r="Q44" s="332">
        <f>IFERROR(VLOOKUP(TEXT(O44,"0"),CONDUCTORES!$A$3:$H$100,6,0),"")</f>
        <v/>
      </c>
      <c r="R44" s="334" t="n"/>
      <c r="S44" s="302" t="inlineStr">
        <is>
          <t>Z359,O691</t>
        </is>
      </c>
      <c r="T44" s="301" t="inlineStr">
        <is>
          <t>APROBADO</t>
        </is>
      </c>
      <c r="U44" s="334" t="n"/>
      <c r="V44" s="302" t="n"/>
      <c r="W44" s="301" t="n"/>
      <c r="X44" s="301" t="n"/>
      <c r="Y44" s="280" t="n"/>
      <c r="Z44" s="350">
        <f>IF(AND(R44&lt;&gt;"",V44&lt;&gt;"",W44&lt;&gt;""),"ENTREGADO","POR RECOGER")</f>
        <v/>
      </c>
      <c r="AA44" s="198" t="n"/>
      <c r="AB44" s="198" t="n"/>
      <c r="AC44" s="198" t="n"/>
    </row>
    <row r="45" ht="15.75" customHeight="1" s="195">
      <c r="A45" s="337" t="n">
        <v>40</v>
      </c>
      <c r="B45" s="338" t="inlineStr">
        <is>
          <t>00000029</t>
        </is>
      </c>
      <c r="C45" s="337" t="inlineStr">
        <is>
          <t>REGION</t>
        </is>
      </c>
      <c r="D45" s="338" t="inlineStr">
        <is>
          <t>LEIVA MARRUFO ELVA MAYANI</t>
        </is>
      </c>
      <c r="E45" s="337" t="inlineStr">
        <is>
          <t>DNI</t>
        </is>
      </c>
      <c r="F45" s="337" t="inlineStr">
        <is>
          <t>48313315</t>
        </is>
      </c>
      <c r="G45" s="339" t="n">
        <v>46065</v>
      </c>
      <c r="H45" s="337" t="inlineStr">
        <is>
          <t>4937</t>
        </is>
      </c>
      <c r="I45" s="332">
        <f>IFERROR(VLOOKUP(TEXT(H45,"0"),IPRESS!$A$3:$B$212,2,0),"")</f>
        <v/>
      </c>
      <c r="J45" s="337" t="inlineStr">
        <is>
          <t>4932</t>
        </is>
      </c>
      <c r="K45" s="357" t="inlineStr">
        <is>
          <t>GASOLINA</t>
        </is>
      </c>
      <c r="L45" s="340" t="n">
        <v>17.95</v>
      </c>
      <c r="M45" s="340" t="n">
        <v>5</v>
      </c>
      <c r="N45" s="333">
        <f>IFERROR(IF(L45*M45=0,"",L45*M45),"")</f>
        <v/>
      </c>
      <c r="O45" s="272" t="inlineStr">
        <is>
          <t>44703306</t>
        </is>
      </c>
      <c r="P45" s="332">
        <f>IFERROR(VLOOKUP(TEXT(O45,"0"),CONDUCTORES!$A$3:$G$100,2,0),"")</f>
        <v/>
      </c>
      <c r="Q45" s="332">
        <f>IFERROR(VLOOKUP(TEXT(O45,"0"),CONDUCTORES!$A$3:$H$100,6,0),"")</f>
        <v/>
      </c>
      <c r="R45" s="341" t="n"/>
      <c r="S45" s="338" t="inlineStr">
        <is>
          <t>Z349,O200</t>
        </is>
      </c>
      <c r="T45" s="337" t="inlineStr">
        <is>
          <t>APROBADO</t>
        </is>
      </c>
      <c r="U45" s="341" t="n"/>
      <c r="V45" s="338" t="n"/>
      <c r="W45" s="337" t="n"/>
      <c r="X45" s="337" t="n"/>
      <c r="Y45" s="280" t="n"/>
      <c r="Z45" s="350">
        <f>IF(AND(R45&lt;&gt;"",V45&lt;&gt;"",W45&lt;&gt;""),"ENTREGADO","POR RECOGER")</f>
        <v/>
      </c>
      <c r="AA45" s="198" t="n"/>
      <c r="AB45" s="198" t="n"/>
      <c r="AC45" s="198" t="n"/>
    </row>
    <row r="46" ht="15.75" customHeight="1" s="195">
      <c r="A46" s="301" t="n">
        <v>41</v>
      </c>
      <c r="B46" s="302" t="inlineStr">
        <is>
          <t>00000315</t>
        </is>
      </c>
      <c r="C46" s="301" t="inlineStr">
        <is>
          <t>REGION</t>
        </is>
      </c>
      <c r="D46" s="302" t="inlineStr">
        <is>
          <t>LOPEZ TORRES YURI KATERIN</t>
        </is>
      </c>
      <c r="E46" s="301" t="inlineStr">
        <is>
          <t>DNI</t>
        </is>
      </c>
      <c r="F46" s="301" t="inlineStr">
        <is>
          <t>71962443</t>
        </is>
      </c>
      <c r="G46" s="331" t="n">
        <v>46066</v>
      </c>
      <c r="H46" s="301" t="inlineStr">
        <is>
          <t>4950</t>
        </is>
      </c>
      <c r="I46" s="332">
        <f>IFERROR(VLOOKUP(TEXT(H46,"0"),IPRESS!$A$3:$B$212,2,0),"")</f>
        <v/>
      </c>
      <c r="J46" s="301" t="inlineStr">
        <is>
          <t>4838</t>
        </is>
      </c>
      <c r="K46" s="332" t="inlineStr">
        <is>
          <t>PETROLEO</t>
        </is>
      </c>
      <c r="L46" s="245" t="n">
        <v>20.25</v>
      </c>
      <c r="M46" s="245" t="n">
        <v>7</v>
      </c>
      <c r="N46" s="333">
        <f>IFERROR(IF(L46*M46=0,"",L46*M46),"")</f>
        <v/>
      </c>
      <c r="O46" s="301" t="inlineStr">
        <is>
          <t>42333513</t>
        </is>
      </c>
      <c r="P46" s="332">
        <f>IFERROR(VLOOKUP(TEXT(O46,"0"),CONDUCTORES!$A$3:$G$100,2,0),"")</f>
        <v/>
      </c>
      <c r="Q46" s="332">
        <f>IFERROR(VLOOKUP(TEXT(O46,"0"),CONDUCTORES!$A$3:$H$100,6,0),"")</f>
        <v/>
      </c>
      <c r="R46" s="334" t="n"/>
      <c r="S46" s="302" t="inlineStr">
        <is>
          <t>F232</t>
        </is>
      </c>
      <c r="T46" s="301" t="inlineStr">
        <is>
          <t>APROBADO</t>
        </is>
      </c>
      <c r="U46" s="334" t="n"/>
      <c r="V46" s="302" t="n"/>
      <c r="W46" s="301" t="n"/>
      <c r="X46" s="301" t="n"/>
      <c r="Y46" s="280" t="n"/>
      <c r="Z46" s="350">
        <f>IF(AND(R46&lt;&gt;"",V46&lt;&gt;"",W46&lt;&gt;""),"ENTREGADO","POR RECOGER")</f>
        <v/>
      </c>
      <c r="AA46" s="198" t="n"/>
      <c r="AB46" s="198" t="n"/>
      <c r="AC46" s="198" t="n"/>
    </row>
    <row r="47" ht="15.75" customHeight="1" s="195">
      <c r="A47" s="241" t="n">
        <v>42</v>
      </c>
      <c r="B47" s="305" t="inlineStr">
        <is>
          <t>00000016</t>
        </is>
      </c>
      <c r="C47" s="241" t="inlineStr">
        <is>
          <t>REGION</t>
        </is>
      </c>
      <c r="D47" s="305" t="inlineStr">
        <is>
          <t>SILVA VASQUEZ ESTER</t>
        </is>
      </c>
      <c r="E47" s="241" t="inlineStr">
        <is>
          <t>DNI</t>
        </is>
      </c>
      <c r="F47" s="241" t="inlineStr">
        <is>
          <t>62174169</t>
        </is>
      </c>
      <c r="G47" s="336" t="n">
        <v>46066</v>
      </c>
      <c r="H47" s="241" t="inlineStr">
        <is>
          <t>4946</t>
        </is>
      </c>
      <c r="I47" s="332">
        <f>IFERROR(VLOOKUP(TEXT(H47,"0"),IPRESS!$A$3:$B$212,2,0),"")</f>
        <v/>
      </c>
      <c r="J47" s="241" t="inlineStr">
        <is>
          <t>4950</t>
        </is>
      </c>
      <c r="K47" s="332" t="inlineStr">
        <is>
          <t>PETROLEO</t>
        </is>
      </c>
      <c r="L47" s="239" t="n">
        <v>20.25</v>
      </c>
      <c r="M47" s="239" t="n">
        <v>3</v>
      </c>
      <c r="N47" s="333">
        <f>IFERROR(IF(L47*M47=0,"",L47*M47),"")</f>
        <v/>
      </c>
      <c r="O47" s="241" t="inlineStr">
        <is>
          <t>33962415</t>
        </is>
      </c>
      <c r="P47" s="332">
        <f>IFERROR(VLOOKUP(TEXT(O47,"0"),CONDUCTORES!$A$3:$G$100,2,0),"")</f>
        <v/>
      </c>
      <c r="Q47" s="332">
        <f>IFERROR(VLOOKUP(TEXT(O47,"0"),CONDUCTORES!$A$3:$H$100,6,0),"")</f>
        <v/>
      </c>
      <c r="R47" s="280" t="n"/>
      <c r="S47" s="305" t="inlineStr">
        <is>
          <t>O368</t>
        </is>
      </c>
      <c r="T47" s="241" t="inlineStr">
        <is>
          <t>APROBADO</t>
        </is>
      </c>
      <c r="U47" s="280" t="n"/>
      <c r="V47" s="305" t="n"/>
      <c r="W47" s="241" t="n"/>
      <c r="X47" s="241" t="n"/>
      <c r="Y47" s="280" t="n"/>
      <c r="Z47" s="350">
        <f>IF(AND(R47&lt;&gt;"",V47&lt;&gt;"",W47&lt;&gt;""),"ENTREGADO","POR RECOGER")</f>
        <v/>
      </c>
      <c r="AA47" s="198" t="n"/>
      <c r="AB47" s="198" t="n"/>
      <c r="AC47" s="198" t="n"/>
    </row>
    <row r="48" ht="15.75" customHeight="1" s="195">
      <c r="A48" s="301" t="n">
        <v>43</v>
      </c>
      <c r="B48" s="302" t="inlineStr">
        <is>
          <t>00000051</t>
        </is>
      </c>
      <c r="C48" s="301" t="inlineStr">
        <is>
          <t>REGION</t>
        </is>
      </c>
      <c r="D48" s="302" t="inlineStr">
        <is>
          <t>CHAVEZ LEIVA ROMULO</t>
        </is>
      </c>
      <c r="E48" s="301" t="inlineStr">
        <is>
          <t>DNI</t>
        </is>
      </c>
      <c r="F48" s="301" t="inlineStr">
        <is>
          <t>48503466</t>
        </is>
      </c>
      <c r="G48" s="331" t="n">
        <v>46066</v>
      </c>
      <c r="H48" s="301" t="inlineStr">
        <is>
          <t>4904</t>
        </is>
      </c>
      <c r="I48" s="332">
        <f>IFERROR(VLOOKUP(TEXT(H48,"0"),IPRESS!$A$3:$B$212,2,0),"")</f>
        <v/>
      </c>
      <c r="J48" s="301" t="inlineStr">
        <is>
          <t>4838</t>
        </is>
      </c>
      <c r="K48" s="332" t="inlineStr">
        <is>
          <t>PETROLEO</t>
        </is>
      </c>
      <c r="L48" s="245" t="n">
        <v>18.18</v>
      </c>
      <c r="M48" s="245" t="n">
        <v>6</v>
      </c>
      <c r="N48" s="333">
        <f>IFERROR(IF(L48*M48=0,"",L48*M48),"")</f>
        <v/>
      </c>
      <c r="O48" s="301" t="inlineStr">
        <is>
          <t>40051255</t>
        </is>
      </c>
      <c r="P48" s="332">
        <f>IFERROR(VLOOKUP(TEXT(O48,"0"),CONDUCTORES!$A$3:$G$100,2,0),"")</f>
        <v/>
      </c>
      <c r="Q48" s="332">
        <f>IFERROR(VLOOKUP(TEXT(O48,"0"),CONDUCTORES!$A$3:$H$100,6,0),"")</f>
        <v/>
      </c>
      <c r="R48" s="334" t="n"/>
      <c r="S48" s="302" t="inlineStr">
        <is>
          <t>I110</t>
        </is>
      </c>
      <c r="T48" s="301" t="inlineStr">
        <is>
          <t>APROBADO</t>
        </is>
      </c>
      <c r="U48" s="334" t="n"/>
      <c r="V48" s="302" t="n"/>
      <c r="W48" s="301" t="n"/>
      <c r="X48" s="301" t="n"/>
      <c r="Y48" s="280" t="n"/>
      <c r="Z48" s="350">
        <f>IF(AND(R48&lt;&gt;"",V48&lt;&gt;"",W48&lt;&gt;""),"ENTREGADO","POR RECOGER")</f>
        <v/>
      </c>
      <c r="AA48" s="198" t="n"/>
      <c r="AB48" s="198" t="n"/>
      <c r="AC48" s="198" t="n"/>
    </row>
    <row r="49" ht="15.75" customHeight="1" s="195">
      <c r="A49" s="351" t="n">
        <v>44</v>
      </c>
      <c r="B49" s="352" t="inlineStr">
        <is>
          <t>00000001</t>
        </is>
      </c>
      <c r="C49" s="351" t="inlineStr">
        <is>
          <t>REGION</t>
        </is>
      </c>
      <c r="D49" s="352" t="inlineStr">
        <is>
          <t>HERRERA CULLAMPE DINA</t>
        </is>
      </c>
      <c r="E49" s="351" t="inlineStr">
        <is>
          <t>DNI</t>
        </is>
      </c>
      <c r="F49" s="351" t="inlineStr">
        <is>
          <t>60349371</t>
        </is>
      </c>
      <c r="G49" s="353" t="n">
        <v>46066</v>
      </c>
      <c r="H49" s="351" t="inlineStr">
        <is>
          <t>9844</t>
        </is>
      </c>
      <c r="I49" s="332">
        <f>IFERROR(VLOOKUP(TEXT(H49,"0"),IPRESS!$A$3:$B$212,2,0),"")</f>
        <v/>
      </c>
      <c r="J49" s="351" t="inlineStr">
        <is>
          <t>4922</t>
        </is>
      </c>
      <c r="K49" s="357" t="inlineStr">
        <is>
          <t>GASOLINA</t>
        </is>
      </c>
      <c r="L49" s="354" t="n">
        <v>17.95</v>
      </c>
      <c r="M49" s="354" t="n">
        <v>16</v>
      </c>
      <c r="N49" s="333">
        <f>IFERROR(IF(L49*M49=0,"",L49*M49),"")</f>
        <v/>
      </c>
      <c r="O49" s="351" t="inlineStr">
        <is>
          <t>44462598</t>
        </is>
      </c>
      <c r="P49" s="332">
        <f>IFERROR(VLOOKUP(TEXT(O49,"0"),CONDUCTORES!$A$3:$G$100,2,0),"")</f>
        <v/>
      </c>
      <c r="Q49" s="332">
        <f>IFERROR(VLOOKUP(TEXT(O49,"0"),CONDUCTORES!$A$3:$H$100,6,0),"")</f>
        <v/>
      </c>
      <c r="R49" s="355" t="n"/>
      <c r="S49" s="352" t="inlineStr">
        <is>
          <t>O639</t>
        </is>
      </c>
      <c r="T49" s="351" t="inlineStr">
        <is>
          <t>APROBADO</t>
        </is>
      </c>
      <c r="U49" s="355" t="n"/>
      <c r="V49" s="352" t="n"/>
      <c r="W49" s="351" t="n"/>
      <c r="X49" s="351" t="n"/>
      <c r="Y49" s="356" t="inlineStr">
        <is>
          <t>SALAZAR</t>
        </is>
      </c>
      <c r="Z49" s="350">
        <f>IF(AND(R49&lt;&gt;"",V49&lt;&gt;"",W49&lt;&gt;""),"ENTREGADO","POR RECOGER")</f>
        <v/>
      </c>
      <c r="AA49" s="198" t="n"/>
      <c r="AB49" s="198" t="n"/>
      <c r="AC49" s="198" t="n"/>
    </row>
    <row r="50" ht="15.75" customHeight="1" s="195">
      <c r="A50" s="351" t="n">
        <v>45</v>
      </c>
      <c r="B50" s="352" t="inlineStr">
        <is>
          <t>00000002</t>
        </is>
      </c>
      <c r="C50" s="351" t="inlineStr">
        <is>
          <t>REGION</t>
        </is>
      </c>
      <c r="D50" s="352" t="inlineStr">
        <is>
          <t>YOPLAC TRUJILLO VILMA</t>
        </is>
      </c>
      <c r="E50" s="351" t="inlineStr">
        <is>
          <t>DNI</t>
        </is>
      </c>
      <c r="F50" s="351" t="inlineStr">
        <is>
          <t>48771580</t>
        </is>
      </c>
      <c r="G50" s="353" t="n">
        <v>46066</v>
      </c>
      <c r="H50" s="351" t="inlineStr">
        <is>
          <t>7381</t>
        </is>
      </c>
      <c r="I50" s="332">
        <f>IFERROR(VLOOKUP(TEXT(H50,"0"),IPRESS!$A$3:$B$212,2,0),"")</f>
        <v/>
      </c>
      <c r="J50" s="351" t="inlineStr">
        <is>
          <t>4838</t>
        </is>
      </c>
      <c r="K50" s="332" t="inlineStr">
        <is>
          <t>PETROLEO</t>
        </is>
      </c>
      <c r="L50" s="354" t="n">
        <v>18.18</v>
      </c>
      <c r="M50" s="354" t="n">
        <v>10</v>
      </c>
      <c r="N50" s="333">
        <f>IFERROR(IF(L50*M50=0,"",L50*M50),"")</f>
        <v/>
      </c>
      <c r="O50" s="351" t="inlineStr">
        <is>
          <t>42473516</t>
        </is>
      </c>
      <c r="P50" s="332">
        <f>IFERROR(VLOOKUP(TEXT(O50,"0"),CONDUCTORES!$A$3:$G$100,2,0),"")</f>
        <v/>
      </c>
      <c r="Q50" s="332">
        <f>IFERROR(VLOOKUP(TEXT(O50,"0"),CONDUCTORES!$A$3:$H$100,6,0),"")</f>
        <v/>
      </c>
      <c r="R50" s="355" t="n"/>
      <c r="S50" s="352" t="inlineStr">
        <is>
          <t>O429,Z359</t>
        </is>
      </c>
      <c r="T50" s="351" t="inlineStr">
        <is>
          <t>APROBADO</t>
        </is>
      </c>
      <c r="U50" s="355" t="n"/>
      <c r="V50" s="352" t="n"/>
      <c r="W50" s="351" t="n"/>
      <c r="X50" s="351" t="n"/>
      <c r="Y50" s="356" t="inlineStr">
        <is>
          <t>SANTO TOMAS</t>
        </is>
      </c>
      <c r="Z50" s="350">
        <f>IF(AND(R50&lt;&gt;"",V50&lt;&gt;"",W50&lt;&gt;""),"ENTREGADO","POR RECOGER")</f>
        <v/>
      </c>
      <c r="AA50" s="198" t="n"/>
      <c r="AB50" s="198" t="n"/>
      <c r="AC50" s="198" t="n"/>
    </row>
    <row r="51" ht="15.75" customHeight="1" s="195">
      <c r="A51" s="241" t="n">
        <v>46</v>
      </c>
      <c r="B51" s="305" t="inlineStr">
        <is>
          <t>00000316</t>
        </is>
      </c>
      <c r="C51" s="241" t="inlineStr">
        <is>
          <t>REGION</t>
        </is>
      </c>
      <c r="D51" s="305" t="inlineStr">
        <is>
          <t>ROMAN MORETO DANY MARLITH</t>
        </is>
      </c>
      <c r="E51" s="241" t="inlineStr">
        <is>
          <t>DNI</t>
        </is>
      </c>
      <c r="F51" s="241" t="inlineStr">
        <is>
          <t>74938552</t>
        </is>
      </c>
      <c r="G51" s="336" t="n">
        <v>46066</v>
      </c>
      <c r="H51" s="241" t="inlineStr">
        <is>
          <t>4950</t>
        </is>
      </c>
      <c r="I51" s="332">
        <f>IFERROR(VLOOKUP(TEXT(H51,"0"),IPRESS!$A$3:$B$212,2,0),"")</f>
        <v/>
      </c>
      <c r="J51" s="241" t="inlineStr">
        <is>
          <t>4838</t>
        </is>
      </c>
      <c r="K51" s="332" t="inlineStr">
        <is>
          <t>PETROLEO</t>
        </is>
      </c>
      <c r="L51" s="239" t="n">
        <v>20.25</v>
      </c>
      <c r="M51" s="239" t="n">
        <v>7</v>
      </c>
      <c r="N51" s="333">
        <f>IFERROR(IF(L51*M51=0,"",L51*M51),"")</f>
        <v/>
      </c>
      <c r="O51" s="241" t="inlineStr">
        <is>
          <t>41785950</t>
        </is>
      </c>
      <c r="P51" s="332">
        <f>IFERROR(VLOOKUP(TEXT(O51,"0"),CONDUCTORES!$A$3:$G$100,2,0),"")</f>
        <v/>
      </c>
      <c r="Q51" s="332">
        <f>IFERROR(VLOOKUP(TEXT(O51,"0"),CONDUCTORES!$A$3:$H$100,6,0),"")</f>
        <v/>
      </c>
      <c r="R51" s="280" t="n"/>
      <c r="S51" s="305" t="inlineStr">
        <is>
          <t>O600,O234</t>
        </is>
      </c>
      <c r="T51" s="241" t="inlineStr">
        <is>
          <t>APROBADO</t>
        </is>
      </c>
      <c r="U51" s="280" t="n"/>
      <c r="V51" s="305" t="n"/>
      <c r="W51" s="241" t="n"/>
      <c r="X51" s="241" t="n"/>
      <c r="Y51" s="280" t="n"/>
      <c r="Z51" s="350">
        <f>IF(AND(R51&lt;&gt;"",V51&lt;&gt;"",W51&lt;&gt;""),"ENTREGADO","POR RECOGER")</f>
        <v/>
      </c>
      <c r="AA51" s="198" t="n"/>
      <c r="AB51" s="198" t="n"/>
      <c r="AC51" s="198" t="n"/>
    </row>
    <row r="52" ht="15.75" customHeight="1" s="195">
      <c r="A52" s="337" t="n">
        <v>47</v>
      </c>
      <c r="B52" s="338" t="inlineStr">
        <is>
          <t>00000009</t>
        </is>
      </c>
      <c r="C52" s="337" t="inlineStr">
        <is>
          <t>REGION</t>
        </is>
      </c>
      <c r="D52" s="338" t="inlineStr">
        <is>
          <t>HERRERA GUELAC ABIGAIL</t>
        </is>
      </c>
      <c r="E52" s="337" t="inlineStr">
        <is>
          <t>DNI</t>
        </is>
      </c>
      <c r="F52" s="337" t="inlineStr">
        <is>
          <t>60229616</t>
        </is>
      </c>
      <c r="G52" s="339" t="n">
        <v>46067</v>
      </c>
      <c r="H52" s="337" t="inlineStr">
        <is>
          <t>4913</t>
        </is>
      </c>
      <c r="I52" s="332">
        <f>IFERROR(VLOOKUP(TEXT(H52,"0"),IPRESS!$A$3:$B$212,2,0),"")</f>
        <v/>
      </c>
      <c r="J52" s="337" t="inlineStr">
        <is>
          <t>4922</t>
        </is>
      </c>
      <c r="K52" s="357" t="inlineStr">
        <is>
          <t>GASOLINA</t>
        </is>
      </c>
      <c r="L52" s="340" t="n">
        <v>17.95</v>
      </c>
      <c r="M52" s="340" t="n">
        <v>16</v>
      </c>
      <c r="N52" s="333">
        <f>IFERROR(IF(L52*M52=0,"",L52*M52),"")</f>
        <v/>
      </c>
      <c r="O52" s="337" t="inlineStr">
        <is>
          <t>44462598</t>
        </is>
      </c>
      <c r="P52" s="332">
        <f>IFERROR(VLOOKUP(TEXT(O52,"0"),CONDUCTORES!$A$3:$G$100,2,0),"")</f>
        <v/>
      </c>
      <c r="Q52" s="332">
        <f>IFERROR(VLOOKUP(TEXT(O52,"0"),CONDUCTORES!$A$3:$H$100,6,0),"")</f>
        <v/>
      </c>
      <c r="R52" s="341" t="n"/>
      <c r="S52" s="338" t="inlineStr">
        <is>
          <t>O639,O234</t>
        </is>
      </c>
      <c r="T52" s="337" t="inlineStr">
        <is>
          <t>APROBADO</t>
        </is>
      </c>
      <c r="U52" s="341" t="n"/>
      <c r="V52" s="338" t="n"/>
      <c r="W52" s="337" t="n"/>
      <c r="X52" s="337" t="n"/>
      <c r="Y52" s="280" t="n"/>
      <c r="Z52" s="350">
        <f>IF(AND(R52&lt;&gt;"",V52&lt;&gt;"",W52&lt;&gt;""),"ENTREGADO","POR RECOGER")</f>
        <v/>
      </c>
      <c r="AA52" s="198" t="n"/>
      <c r="AB52" s="198" t="n"/>
      <c r="AC52" s="198" t="n"/>
    </row>
    <row r="53" ht="15.75" customHeight="1" s="195">
      <c r="A53" s="241" t="n">
        <v>48</v>
      </c>
      <c r="B53" s="305" t="inlineStr">
        <is>
          <t>00000130</t>
        </is>
      </c>
      <c r="C53" s="241" t="inlineStr">
        <is>
          <t>REGION</t>
        </is>
      </c>
      <c r="D53" s="305" t="inlineStr">
        <is>
          <t>MASLUCAN FIGUEROA LISBETH MILENE</t>
        </is>
      </c>
      <c r="E53" s="241" t="inlineStr">
        <is>
          <t>DNI</t>
        </is>
      </c>
      <c r="F53" s="241" t="inlineStr">
        <is>
          <t>75958106</t>
        </is>
      </c>
      <c r="G53" s="336" t="n">
        <v>46067</v>
      </c>
      <c r="H53" s="241" t="inlineStr">
        <is>
          <t>4922</t>
        </is>
      </c>
      <c r="I53" s="332">
        <f>IFERROR(VLOOKUP(TEXT(H53,"0"),IPRESS!$A$3:$B$212,2,0),"")</f>
        <v/>
      </c>
      <c r="J53" s="241" t="inlineStr">
        <is>
          <t>4838</t>
        </is>
      </c>
      <c r="K53" s="332" t="inlineStr">
        <is>
          <t>PETROLEO</t>
        </is>
      </c>
      <c r="L53" s="239" t="n">
        <v>18.18</v>
      </c>
      <c r="M53" s="239" t="n">
        <v>5</v>
      </c>
      <c r="N53" s="333">
        <f>IFERROR(IF(L53*M53=0,"",L53*M53),"")</f>
        <v/>
      </c>
      <c r="O53" s="241" t="inlineStr">
        <is>
          <t>71640877</t>
        </is>
      </c>
      <c r="P53" s="332">
        <f>IFERROR(VLOOKUP(TEXT(O53,"0"),CONDUCTORES!$A$3:$G$100,2,0),"")</f>
        <v/>
      </c>
      <c r="Q53" s="332">
        <f>IFERROR(VLOOKUP(TEXT(O53,"0"),CONDUCTORES!$A$3:$H$100,6,0),"")</f>
        <v/>
      </c>
      <c r="R53" s="280" t="n"/>
      <c r="S53" s="305" t="inlineStr">
        <is>
          <t>R571,O031,S019</t>
        </is>
      </c>
      <c r="T53" s="241" t="inlineStr">
        <is>
          <t>APROBADO</t>
        </is>
      </c>
      <c r="U53" s="280" t="n"/>
      <c r="V53" s="305" t="n"/>
      <c r="W53" s="241" t="n"/>
      <c r="X53" s="241" t="n"/>
      <c r="Y53" s="280" t="n"/>
      <c r="Z53" s="350">
        <f>IF(AND(R53&lt;&gt;"",V53&lt;&gt;"",W53&lt;&gt;""),"ENTREGADO","POR RECOGER")</f>
        <v/>
      </c>
      <c r="AA53" s="198" t="n"/>
      <c r="AB53" s="198" t="n"/>
      <c r="AC53" s="198" t="n"/>
    </row>
    <row r="54" ht="15.75" customHeight="1" s="195">
      <c r="A54" s="301" t="n">
        <v>49</v>
      </c>
      <c r="B54" s="302" t="inlineStr">
        <is>
          <t>00000128</t>
        </is>
      </c>
      <c r="C54" s="301" t="inlineStr">
        <is>
          <t>REGION</t>
        </is>
      </c>
      <c r="D54" s="302" t="inlineStr">
        <is>
          <t>HERRERA GUELAC ABIGAIL</t>
        </is>
      </c>
      <c r="E54" s="301" t="inlineStr">
        <is>
          <t>DNI</t>
        </is>
      </c>
      <c r="F54" s="301" t="inlineStr">
        <is>
          <t>60229616</t>
        </is>
      </c>
      <c r="G54" s="331" t="n">
        <v>46067</v>
      </c>
      <c r="H54" s="301" t="inlineStr">
        <is>
          <t>4922</t>
        </is>
      </c>
      <c r="I54" s="332">
        <f>IFERROR(VLOOKUP(TEXT(H54,"0"),IPRESS!$A$3:$B$212,2,0),"")</f>
        <v/>
      </c>
      <c r="J54" s="301" t="inlineStr">
        <is>
          <t>4838</t>
        </is>
      </c>
      <c r="K54" s="332" t="inlineStr">
        <is>
          <t>PETROLEO</t>
        </is>
      </c>
      <c r="L54" s="245" t="n">
        <v>18.18</v>
      </c>
      <c r="M54" s="245" t="n">
        <v>5</v>
      </c>
      <c r="N54" s="333">
        <f>IFERROR(IF(L54*M54=0,"",L54*M54),"")</f>
        <v/>
      </c>
      <c r="O54" s="301" t="inlineStr">
        <is>
          <t>71640877</t>
        </is>
      </c>
      <c r="P54" s="332">
        <f>IFERROR(VLOOKUP(TEXT(O54,"0"),CONDUCTORES!$A$3:$G$100,2,0),"")</f>
        <v/>
      </c>
      <c r="Q54" s="332">
        <f>IFERROR(VLOOKUP(TEXT(O54,"0"),CONDUCTORES!$A$3:$H$100,6,0),"")</f>
        <v/>
      </c>
      <c r="R54" s="334" t="n"/>
      <c r="S54" s="302" t="inlineStr">
        <is>
          <t>O368,O234</t>
        </is>
      </c>
      <c r="T54" s="301" t="inlineStr">
        <is>
          <t>APROBADO</t>
        </is>
      </c>
      <c r="U54" s="334" t="n"/>
      <c r="V54" s="302" t="n"/>
      <c r="W54" s="301" t="n"/>
      <c r="X54" s="301" t="n"/>
      <c r="Y54" s="280" t="n"/>
      <c r="Z54" s="350">
        <f>IF(AND(R54&lt;&gt;"",V54&lt;&gt;"",W54&lt;&gt;""),"ENTREGADO","POR RECOGER")</f>
        <v/>
      </c>
      <c r="AA54" s="198" t="n"/>
      <c r="AB54" s="198" t="n"/>
      <c r="AC54" s="198" t="n"/>
    </row>
    <row r="55" ht="15.75" customHeight="1" s="195">
      <c r="A55" s="337" t="n">
        <v>50</v>
      </c>
      <c r="B55" s="338" t="inlineStr">
        <is>
          <t>00000129</t>
        </is>
      </c>
      <c r="C55" s="337" t="inlineStr">
        <is>
          <t>REGION</t>
        </is>
      </c>
      <c r="D55" s="338" t="inlineStr">
        <is>
          <t>INGA FLORES ZULEMA</t>
        </is>
      </c>
      <c r="E55" s="337" t="inlineStr">
        <is>
          <t>DNI</t>
        </is>
      </c>
      <c r="F55" s="337" t="inlineStr">
        <is>
          <t>75257960</t>
        </is>
      </c>
      <c r="G55" s="339" t="n">
        <v>46067</v>
      </c>
      <c r="H55" s="337" t="inlineStr">
        <is>
          <t>4922</t>
        </is>
      </c>
      <c r="I55" s="332">
        <f>IFERROR(VLOOKUP(TEXT(H55,"0"),IPRESS!$A$3:$B$212,2,0),"")</f>
        <v/>
      </c>
      <c r="J55" s="337" t="inlineStr">
        <is>
          <t>4838</t>
        </is>
      </c>
      <c r="K55" s="357" t="inlineStr">
        <is>
          <t>GASOLINA</t>
        </is>
      </c>
      <c r="L55" s="340" t="n">
        <v>17.95</v>
      </c>
      <c r="M55" s="340" t="n">
        <v>6</v>
      </c>
      <c r="N55" s="333">
        <f>IFERROR(IF(L55*M55=0,"",L55*M55),"")</f>
        <v/>
      </c>
      <c r="O55" s="337" t="inlineStr">
        <is>
          <t>33401502</t>
        </is>
      </c>
      <c r="P55" s="332">
        <f>IFERROR(VLOOKUP(TEXT(O55,"0"),CONDUCTORES!$A$3:$G$100,2,0),"")</f>
        <v/>
      </c>
      <c r="Q55" s="332">
        <f>IFERROR(VLOOKUP(TEXT(O55,"0"),CONDUCTORES!$A$3:$H$100,6,0),"")</f>
        <v/>
      </c>
      <c r="R55" s="341" t="n"/>
      <c r="S55" s="338" t="inlineStr">
        <is>
          <t>O439,O48X</t>
        </is>
      </c>
      <c r="T55" s="337" t="inlineStr">
        <is>
          <t>APROBADO</t>
        </is>
      </c>
      <c r="U55" s="341" t="n"/>
      <c r="V55" s="338" t="n"/>
      <c r="W55" s="337" t="n"/>
      <c r="X55" s="337" t="n"/>
      <c r="Y55" s="280" t="n"/>
      <c r="Z55" s="350">
        <f>IF(AND(R55&lt;&gt;"",V55&lt;&gt;"",W55&lt;&gt;""),"ENTREGADO","POR RECOGER")</f>
        <v/>
      </c>
      <c r="AA55" s="198" t="n"/>
      <c r="AB55" s="198" t="n"/>
      <c r="AC55" s="198" t="n"/>
    </row>
    <row r="56" ht="15.75" customHeight="1" s="195">
      <c r="A56" s="337" t="n">
        <v>51</v>
      </c>
      <c r="B56" s="338" t="inlineStr">
        <is>
          <t>00000010</t>
        </is>
      </c>
      <c r="C56" s="337" t="inlineStr">
        <is>
          <t>REGION</t>
        </is>
      </c>
      <c r="D56" s="338" t="inlineStr">
        <is>
          <t>HUAMAN GUELAC MARBELIT</t>
        </is>
      </c>
      <c r="E56" s="337" t="inlineStr">
        <is>
          <t>DNI</t>
        </is>
      </c>
      <c r="F56" s="337" t="inlineStr">
        <is>
          <t>72110655</t>
        </is>
      </c>
      <c r="G56" s="339" t="n">
        <v>46068</v>
      </c>
      <c r="H56" s="337" t="inlineStr">
        <is>
          <t>4913</t>
        </is>
      </c>
      <c r="I56" s="332">
        <f>IFERROR(VLOOKUP(TEXT(H56,"0"),IPRESS!$A$3:$B$212,2,0),"")</f>
        <v/>
      </c>
      <c r="J56" s="337" t="inlineStr">
        <is>
          <t>4838</t>
        </is>
      </c>
      <c r="K56" s="357" t="inlineStr">
        <is>
          <t>GASOLINA</t>
        </is>
      </c>
      <c r="L56" s="340" t="n">
        <v>17.95</v>
      </c>
      <c r="M56" s="340" t="n">
        <v>20</v>
      </c>
      <c r="N56" s="333">
        <f>IFERROR(IF(L56*M56=0,"",L56*M56),"")</f>
        <v/>
      </c>
      <c r="O56" s="337" t="inlineStr">
        <is>
          <t>44462598</t>
        </is>
      </c>
      <c r="P56" s="332">
        <f>IFERROR(VLOOKUP(TEXT(O56,"0"),CONDUCTORES!$A$3:$G$100,2,0),"")</f>
        <v/>
      </c>
      <c r="Q56" s="332">
        <f>IFERROR(VLOOKUP(TEXT(O56,"0"),CONDUCTORES!$A$3:$H$100,6,0),"")</f>
        <v/>
      </c>
      <c r="R56" s="341" t="n"/>
      <c r="S56" s="338" t="inlineStr">
        <is>
          <t>O033</t>
        </is>
      </c>
      <c r="T56" s="337" t="inlineStr">
        <is>
          <t>APROBADO</t>
        </is>
      </c>
      <c r="U56" s="341" t="n"/>
      <c r="V56" s="338" t="n"/>
      <c r="W56" s="337" t="n"/>
      <c r="X56" s="337" t="n"/>
      <c r="Y56" s="280" t="n"/>
      <c r="Z56" s="350">
        <f>IF(AND(R56&lt;&gt;"",V56&lt;&gt;"",W56&lt;&gt;""),"ENTREGADO","POR RECOGER")</f>
        <v/>
      </c>
      <c r="AA56" s="198" t="n"/>
      <c r="AB56" s="198" t="n"/>
      <c r="AC56" s="198" t="n"/>
    </row>
    <row r="57" ht="15.75" customHeight="1" s="195">
      <c r="A57" s="241" t="n">
        <v>52</v>
      </c>
      <c r="B57" s="305" t="n"/>
      <c r="C57" s="241" t="inlineStr">
        <is>
          <t>REGION</t>
        </is>
      </c>
      <c r="D57" s="305" t="inlineStr">
        <is>
          <t>CHAVEZ HUAYAMIS MERCEDES</t>
        </is>
      </c>
      <c r="E57" s="241" t="inlineStr">
        <is>
          <t>DNI</t>
        </is>
      </c>
      <c r="F57" s="241" t="inlineStr">
        <is>
          <t>63296418</t>
        </is>
      </c>
      <c r="G57" s="336" t="n">
        <v>46068</v>
      </c>
      <c r="H57" s="241" t="inlineStr">
        <is>
          <t>4922</t>
        </is>
      </c>
      <c r="I57" s="332">
        <f>IFERROR(VLOOKUP(TEXT(H57,"0"),IPRESS!$A$3:$B$212,2,0),"")</f>
        <v/>
      </c>
      <c r="J57" s="241" t="inlineStr">
        <is>
          <t>4838</t>
        </is>
      </c>
      <c r="K57" s="332" t="inlineStr">
        <is>
          <t>PETROLEO</t>
        </is>
      </c>
      <c r="L57" s="239" t="n">
        <v>18.18</v>
      </c>
      <c r="M57" s="239" t="n">
        <v>5</v>
      </c>
      <c r="N57" s="333">
        <f>IFERROR(IF(L57*M57=0,"",L57*M57),"")</f>
        <v/>
      </c>
      <c r="O57" s="241" t="inlineStr">
        <is>
          <t>71640877</t>
        </is>
      </c>
      <c r="P57" s="332">
        <f>IFERROR(VLOOKUP(TEXT(O57,"0"),CONDUCTORES!$A$3:$G$100,2,0),"")</f>
        <v/>
      </c>
      <c r="Q57" s="332">
        <f>IFERROR(VLOOKUP(TEXT(O57,"0"),CONDUCTORES!$A$3:$H$100,6,0),"")</f>
        <v/>
      </c>
      <c r="R57" s="280" t="n"/>
      <c r="S57" s="305" t="inlineStr">
        <is>
          <t>R100,K359</t>
        </is>
      </c>
      <c r="T57" s="241" t="inlineStr">
        <is>
          <t>APROBADO</t>
        </is>
      </c>
      <c r="U57" s="280" t="n"/>
      <c r="V57" s="305" t="n"/>
      <c r="W57" s="241" t="n"/>
      <c r="X57" s="241" t="n"/>
      <c r="Y57" s="280" t="n"/>
      <c r="Z57" s="350">
        <f>IF(AND(R57&lt;&gt;"",V57&lt;&gt;"",W57&lt;&gt;""),"ENTREGADO","POR RECOGER")</f>
        <v/>
      </c>
      <c r="AA57" s="198" t="n"/>
      <c r="AB57" s="198" t="n"/>
      <c r="AC57" s="198" t="n"/>
    </row>
    <row r="58" ht="15.75" customHeight="1" s="195">
      <c r="A58" s="301" t="n">
        <v>53</v>
      </c>
      <c r="B58" s="302" t="n"/>
      <c r="C58" s="301" t="inlineStr">
        <is>
          <t>REGION</t>
        </is>
      </c>
      <c r="D58" s="302" t="inlineStr">
        <is>
          <t>BARBOZA VASQUEZ SEGUNDO LEONIDAS</t>
        </is>
      </c>
      <c r="E58" s="301" t="inlineStr">
        <is>
          <t>DNI</t>
        </is>
      </c>
      <c r="F58" s="301" t="inlineStr">
        <is>
          <t>33741567</t>
        </is>
      </c>
      <c r="G58" s="331" t="n">
        <v>46068</v>
      </c>
      <c r="H58" s="301" t="inlineStr">
        <is>
          <t>4932</t>
        </is>
      </c>
      <c r="I58" s="332">
        <f>IFERROR(VLOOKUP(TEXT(H58,"0"),IPRESS!$A$3:$B$212,2,0),"")</f>
        <v/>
      </c>
      <c r="J58" s="301" t="inlineStr">
        <is>
          <t>4838</t>
        </is>
      </c>
      <c r="K58" s="332" t="inlineStr">
        <is>
          <t>PETROLEO</t>
        </is>
      </c>
      <c r="L58" s="245" t="n">
        <v>18.18</v>
      </c>
      <c r="M58" s="245" t="n">
        <v>6</v>
      </c>
      <c r="N58" s="333">
        <f>IFERROR(IF(L58*M58=0,"",L58*M58),"")</f>
        <v/>
      </c>
      <c r="O58" s="301" t="inlineStr">
        <is>
          <t>33727119</t>
        </is>
      </c>
      <c r="P58" s="332">
        <f>IFERROR(VLOOKUP(TEXT(O58,"0"),CONDUCTORES!$A$3:$G$100,2,0),"")</f>
        <v/>
      </c>
      <c r="Q58" s="332">
        <f>IFERROR(VLOOKUP(TEXT(O58,"0"),CONDUCTORES!$A$3:$H$100,6,0),"")</f>
        <v/>
      </c>
      <c r="R58" s="334" t="n"/>
      <c r="S58" s="302" t="inlineStr">
        <is>
          <t>R104,K358</t>
        </is>
      </c>
      <c r="T58" s="301" t="inlineStr">
        <is>
          <t>APROBADO</t>
        </is>
      </c>
      <c r="U58" s="334" t="n"/>
      <c r="V58" s="302" t="n"/>
      <c r="W58" s="301" t="n"/>
      <c r="X58" s="301" t="n"/>
      <c r="Y58" s="280" t="n"/>
      <c r="Z58" s="350">
        <f>IF(AND(R58&lt;&gt;"",V58&lt;&gt;"",W58&lt;&gt;""),"ENTREGADO","POR RECOGER")</f>
        <v/>
      </c>
      <c r="AA58" s="198" t="n"/>
      <c r="AB58" s="198" t="n"/>
      <c r="AC58" s="198" t="n"/>
    </row>
    <row r="59" ht="15.75" customHeight="1" s="195">
      <c r="A59" s="241" t="n">
        <v>54</v>
      </c>
      <c r="B59" s="305" t="n"/>
      <c r="C59" s="241" t="inlineStr">
        <is>
          <t>REGION</t>
        </is>
      </c>
      <c r="D59" s="305" t="inlineStr">
        <is>
          <t>LOPEZ CORONEL RN</t>
        </is>
      </c>
      <c r="E59" s="241" t="inlineStr">
        <is>
          <t>DNI</t>
        </is>
      </c>
      <c r="F59" s="241" t="inlineStr">
        <is>
          <t>11281148</t>
        </is>
      </c>
      <c r="G59" s="336" t="n">
        <v>46068</v>
      </c>
      <c r="H59" s="241" t="inlineStr">
        <is>
          <t>4932</t>
        </is>
      </c>
      <c r="I59" s="332">
        <f>IFERROR(VLOOKUP(TEXT(H59,"0"),IPRESS!$A$3:$B$212,2,0),"")</f>
        <v/>
      </c>
      <c r="J59" s="241" t="inlineStr">
        <is>
          <t>4838</t>
        </is>
      </c>
      <c r="K59" s="332" t="inlineStr">
        <is>
          <t>PETROLEO</t>
        </is>
      </c>
      <c r="L59" s="239" t="n">
        <v>18.18</v>
      </c>
      <c r="M59" s="239" t="n">
        <v>6</v>
      </c>
      <c r="N59" s="333">
        <f>IFERROR(IF(L59*M59=0,"",L59*M59),"")</f>
        <v/>
      </c>
      <c r="O59" s="241" t="inlineStr">
        <is>
          <t>33726013</t>
        </is>
      </c>
      <c r="P59" s="332">
        <f>IFERROR(VLOOKUP(TEXT(O59,"0"),CONDUCTORES!$A$3:$G$100,2,0),"")</f>
        <v/>
      </c>
      <c r="Q59" s="332">
        <f>IFERROR(VLOOKUP(TEXT(O59,"0"),CONDUCTORES!$A$3:$H$100,6,0),"")</f>
        <v/>
      </c>
      <c r="R59" s="280" t="n"/>
      <c r="S59" s="305" t="inlineStr">
        <is>
          <t>P073,Q792</t>
        </is>
      </c>
      <c r="T59" s="241" t="inlineStr">
        <is>
          <t>APROBADO</t>
        </is>
      </c>
      <c r="U59" s="280" t="n"/>
      <c r="V59" s="305" t="n"/>
      <c r="W59" s="241" t="n"/>
      <c r="X59" s="241" t="n"/>
      <c r="Y59" s="280" t="n"/>
      <c r="Z59" s="350">
        <f>IF(AND(R59&lt;&gt;"",V59&lt;&gt;"",W59&lt;&gt;""),"ENTREGADO","POR RECOGER")</f>
        <v/>
      </c>
      <c r="AA59" s="198" t="n"/>
      <c r="AB59" s="198" t="n"/>
      <c r="AC59" s="198" t="n"/>
    </row>
    <row r="60" ht="15.75" customHeight="1" s="195">
      <c r="A60" s="301" t="n">
        <v>55</v>
      </c>
      <c r="B60" s="302" t="n"/>
      <c r="C60" s="301" t="inlineStr">
        <is>
          <t>REGION</t>
        </is>
      </c>
      <c r="D60" s="302" t="inlineStr">
        <is>
          <t>VARGAS DE VALQUI ANGELINA</t>
        </is>
      </c>
      <c r="E60" s="301" t="inlineStr">
        <is>
          <t>DNI</t>
        </is>
      </c>
      <c r="F60" s="301" t="inlineStr">
        <is>
          <t>33800656</t>
        </is>
      </c>
      <c r="G60" s="331" t="n">
        <v>46069</v>
      </c>
      <c r="H60" s="301" t="inlineStr">
        <is>
          <t>4850</t>
        </is>
      </c>
      <c r="I60" s="332">
        <f>IFERROR(VLOOKUP(TEXT(H60,"0"),IPRESS!$A$3:$B$212,2,0),"")</f>
        <v/>
      </c>
      <c r="J60" s="301" t="inlineStr">
        <is>
          <t>4838</t>
        </is>
      </c>
      <c r="K60" s="332" t="inlineStr">
        <is>
          <t>PETROLEO</t>
        </is>
      </c>
      <c r="L60" s="245" t="n">
        <v>18.18</v>
      </c>
      <c r="M60" s="245" t="n">
        <v>4</v>
      </c>
      <c r="N60" s="333">
        <f>IFERROR(IF(L60*M60=0,"",L60*M60),"")</f>
        <v/>
      </c>
      <c r="O60" s="301" t="inlineStr">
        <is>
          <t>45309596</t>
        </is>
      </c>
      <c r="P60" s="332">
        <f>IFERROR(VLOOKUP(TEXT(O60,"0"),CONDUCTORES!$A$3:$G$100,2,0),"")</f>
        <v/>
      </c>
      <c r="Q60" s="332">
        <f>IFERROR(VLOOKUP(TEXT(O60,"0"),CONDUCTORES!$A$3:$H$100,6,0),"")</f>
        <v/>
      </c>
      <c r="R60" s="334" t="n"/>
      <c r="S60" s="302" t="inlineStr">
        <is>
          <t>I64X</t>
        </is>
      </c>
      <c r="T60" s="301" t="inlineStr">
        <is>
          <t>APROBADO</t>
        </is>
      </c>
      <c r="U60" s="334" t="n"/>
      <c r="V60" s="302" t="n"/>
      <c r="W60" s="301" t="n"/>
      <c r="X60" s="301" t="n"/>
      <c r="Y60" s="280" t="n"/>
      <c r="Z60" s="350">
        <f>IF(AND(R60&lt;&gt;"",V60&lt;&gt;"",W60&lt;&gt;""),"ENTREGADO","POR RECOGER")</f>
        <v/>
      </c>
      <c r="AA60" s="198" t="n"/>
      <c r="AB60" s="198" t="n"/>
      <c r="AC60" s="198" t="n"/>
    </row>
    <row r="61" ht="15.75" customHeight="1" s="195">
      <c r="A61" s="241" t="n">
        <v>56</v>
      </c>
      <c r="B61" s="305" t="n"/>
      <c r="C61" s="241" t="inlineStr">
        <is>
          <t>REGION</t>
        </is>
      </c>
      <c r="D61" s="305" t="inlineStr">
        <is>
          <t>SILVA RODRIGUEZ CORY</t>
        </is>
      </c>
      <c r="E61" s="241" t="inlineStr">
        <is>
          <t>DNI</t>
        </is>
      </c>
      <c r="F61" s="241" t="inlineStr">
        <is>
          <t>44358617</t>
        </is>
      </c>
      <c r="G61" s="336" t="n">
        <v>46069</v>
      </c>
      <c r="H61" s="241" t="inlineStr">
        <is>
          <t>4899</t>
        </is>
      </c>
      <c r="I61" s="332">
        <f>IFERROR(VLOOKUP(TEXT(H61,"0"),IPRESS!$A$3:$B$212,2,0),"")</f>
        <v/>
      </c>
      <c r="J61" s="241" t="inlineStr">
        <is>
          <t>4838</t>
        </is>
      </c>
      <c r="K61" s="332" t="inlineStr">
        <is>
          <t>PETROLEO</t>
        </is>
      </c>
      <c r="L61" s="239" t="n">
        <v>18.18</v>
      </c>
      <c r="M61" s="239" t="n">
        <v>12</v>
      </c>
      <c r="N61" s="333">
        <f>IFERROR(IF(L61*M61=0,"",L61*M61),"")</f>
        <v/>
      </c>
      <c r="O61" s="241" t="inlineStr">
        <is>
          <t>47438258</t>
        </is>
      </c>
      <c r="P61" s="332">
        <f>IFERROR(VLOOKUP(TEXT(O61,"0"),CONDUCTORES!$A$3:$G$100,2,0),"")</f>
        <v/>
      </c>
      <c r="Q61" s="332">
        <f>IFERROR(VLOOKUP(TEXT(O61,"0"),CONDUCTORES!$A$3:$H$100,6,0),"")</f>
        <v/>
      </c>
      <c r="R61" s="280" t="n"/>
      <c r="S61" s="305" t="inlineStr">
        <is>
          <t>O440</t>
        </is>
      </c>
      <c r="T61" s="241" t="inlineStr">
        <is>
          <t>APROBADO</t>
        </is>
      </c>
      <c r="U61" s="280" t="n"/>
      <c r="V61" s="305" t="n"/>
      <c r="W61" s="241" t="n"/>
      <c r="X61" s="241" t="n"/>
      <c r="Y61" s="280" t="n"/>
      <c r="Z61" s="350">
        <f>IF(AND(R61&lt;&gt;"",V61&lt;&gt;"",W61&lt;&gt;""),"ENTREGADO","POR RECOGER")</f>
        <v/>
      </c>
      <c r="AA61" s="198" t="n"/>
      <c r="AB61" s="198" t="n"/>
      <c r="AC61" s="198" t="n"/>
    </row>
    <row r="62" ht="15.75" customHeight="1" s="195">
      <c r="A62" s="301" t="n">
        <v>57</v>
      </c>
      <c r="B62" s="302" t="n"/>
      <c r="C62" s="301" t="inlineStr">
        <is>
          <t>REGION</t>
        </is>
      </c>
      <c r="D62" s="302" t="inlineStr">
        <is>
          <t>YNGA YARANGA FELICITA</t>
        </is>
      </c>
      <c r="E62" s="301" t="inlineStr">
        <is>
          <t>DNI</t>
        </is>
      </c>
      <c r="F62" s="301" t="inlineStr">
        <is>
          <t>19872702</t>
        </is>
      </c>
      <c r="G62" s="331" t="n">
        <v>46069</v>
      </c>
      <c r="H62" s="301" t="inlineStr">
        <is>
          <t>4950</t>
        </is>
      </c>
      <c r="I62" s="332">
        <f>IFERROR(VLOOKUP(TEXT(H62,"0"),IPRESS!$A$3:$B$212,2,0),"")</f>
        <v/>
      </c>
      <c r="J62" s="301" t="inlineStr">
        <is>
          <t>4838</t>
        </is>
      </c>
      <c r="K62" s="332" t="inlineStr">
        <is>
          <t>PETROLEO</t>
        </is>
      </c>
      <c r="L62" s="245" t="n">
        <v>20.25</v>
      </c>
      <c r="M62" s="245" t="n">
        <v>7</v>
      </c>
      <c r="N62" s="333">
        <f>IFERROR(IF(L62*M62=0,"",L62*M62),"")</f>
        <v/>
      </c>
      <c r="O62" s="301" t="n"/>
      <c r="P62" s="332">
        <f>IFERROR(VLOOKUP(TEXT(O62,"0"),CONDUCTORES!$A$3:$G$100,2,0),"")</f>
        <v/>
      </c>
      <c r="Q62" s="332">
        <f>IFERROR(VLOOKUP(TEXT(O62,"0"),CONDUCTORES!$A$3:$H$100,6,0),"")</f>
        <v/>
      </c>
      <c r="R62" s="334" t="n"/>
      <c r="S62" s="302" t="inlineStr">
        <is>
          <t>A010,K85X,R100</t>
        </is>
      </c>
      <c r="T62" s="301" t="inlineStr">
        <is>
          <t>APROBADO</t>
        </is>
      </c>
      <c r="U62" s="334" t="n"/>
      <c r="V62" s="302" t="n"/>
      <c r="W62" s="301" t="n"/>
      <c r="X62" s="301" t="n"/>
      <c r="Y62" s="280" t="n"/>
      <c r="Z62" s="350">
        <f>IF(AND(R62&lt;&gt;"",V62&lt;&gt;"",W62&lt;&gt;""),"ENTREGADO","POR RECOGER")</f>
        <v/>
      </c>
      <c r="AA62" s="198" t="n"/>
      <c r="AB62" s="198" t="n"/>
      <c r="AC62" s="198" t="n"/>
    </row>
    <row r="63" ht="15.75" customHeight="1" s="195">
      <c r="A63" s="241" t="n">
        <v>58</v>
      </c>
      <c r="B63" s="305" t="n"/>
      <c r="C63" s="241" t="inlineStr">
        <is>
          <t>REGION</t>
        </is>
      </c>
      <c r="D63" s="305" t="inlineStr">
        <is>
          <t>VALLE DE PILCO AMANDA</t>
        </is>
      </c>
      <c r="E63" s="241" t="inlineStr">
        <is>
          <t>DNI</t>
        </is>
      </c>
      <c r="F63" s="241" t="inlineStr">
        <is>
          <t>33731681</t>
        </is>
      </c>
      <c r="G63" s="336" t="n">
        <v>46069</v>
      </c>
      <c r="H63" s="241" t="inlineStr">
        <is>
          <t>4932</t>
        </is>
      </c>
      <c r="I63" s="332">
        <f>IFERROR(VLOOKUP(TEXT(H63,"0"),IPRESS!$A$3:$B$212,2,0),"")</f>
        <v/>
      </c>
      <c r="J63" s="241" t="inlineStr">
        <is>
          <t>4838</t>
        </is>
      </c>
      <c r="K63" s="332" t="inlineStr">
        <is>
          <t>PETROLEO</t>
        </is>
      </c>
      <c r="L63" s="239" t="n">
        <v>18.18</v>
      </c>
      <c r="M63" s="239" t="n">
        <v>6</v>
      </c>
      <c r="N63" s="333">
        <f>IFERROR(IF(L63*M63=0,"",L63*M63),"")</f>
        <v/>
      </c>
      <c r="O63" s="241" t="inlineStr">
        <is>
          <t>33726013</t>
        </is>
      </c>
      <c r="P63" s="332">
        <f>IFERROR(VLOOKUP(TEXT(O63,"0"),CONDUCTORES!$A$3:$G$100,2,0),"")</f>
        <v/>
      </c>
      <c r="Q63" s="332">
        <f>IFERROR(VLOOKUP(TEXT(O63,"0"),CONDUCTORES!$A$3:$H$100,6,0),"")</f>
        <v/>
      </c>
      <c r="R63" s="280" t="n"/>
      <c r="S63" s="305" t="inlineStr">
        <is>
          <t>I509,I742</t>
        </is>
      </c>
      <c r="T63" s="241" t="inlineStr">
        <is>
          <t>APROBADO</t>
        </is>
      </c>
      <c r="U63" s="280" t="n"/>
      <c r="V63" s="305" t="n"/>
      <c r="W63" s="241" t="n"/>
      <c r="X63" s="241" t="n"/>
      <c r="Y63" s="280" t="n"/>
      <c r="Z63" s="350">
        <f>IF(AND(R63&lt;&gt;"",V63&lt;&gt;"",W63&lt;&gt;""),"ENTREGADO","POR RECOGER")</f>
        <v/>
      </c>
      <c r="AA63" s="198" t="n"/>
      <c r="AB63" s="198" t="n"/>
      <c r="AC63" s="198" t="n"/>
    </row>
    <row r="64" ht="15.75" customHeight="1" s="195">
      <c r="A64" s="301" t="n">
        <v>59</v>
      </c>
      <c r="B64" s="302" t="n"/>
      <c r="C64" s="301" t="inlineStr">
        <is>
          <t>REGION</t>
        </is>
      </c>
      <c r="D64" s="302" t="inlineStr">
        <is>
          <t>TRUJILLO LLANOS ROSALIA</t>
        </is>
      </c>
      <c r="E64" s="301" t="inlineStr">
        <is>
          <t>DNI</t>
        </is>
      </c>
      <c r="F64" s="301" t="inlineStr">
        <is>
          <t>48280579</t>
        </is>
      </c>
      <c r="G64" s="331" t="n">
        <v>46069</v>
      </c>
      <c r="H64" s="301" t="inlineStr">
        <is>
          <t>4888</t>
        </is>
      </c>
      <c r="I64" s="332">
        <f>IFERROR(VLOOKUP(TEXT(H64,"0"),IPRESS!$A$3:$B$212,2,0),"")</f>
        <v/>
      </c>
      <c r="J64" s="301" t="inlineStr">
        <is>
          <t>4838</t>
        </is>
      </c>
      <c r="K64" s="332" t="inlineStr">
        <is>
          <t>PETROLEO</t>
        </is>
      </c>
      <c r="L64" s="245" t="n">
        <v>18.18</v>
      </c>
      <c r="M64" s="245" t="n">
        <v>10</v>
      </c>
      <c r="N64" s="333">
        <f>IFERROR(IF(L64*M64=0,"",L64*M64),"")</f>
        <v/>
      </c>
      <c r="O64" s="301" t="inlineStr">
        <is>
          <t>42473516</t>
        </is>
      </c>
      <c r="P64" s="332">
        <f>IFERROR(VLOOKUP(TEXT(O64,"0"),CONDUCTORES!$A$3:$G$100,2,0),"")</f>
        <v/>
      </c>
      <c r="Q64" s="332">
        <f>IFERROR(VLOOKUP(TEXT(O64,"0"),CONDUCTORES!$A$3:$H$100,6,0),"")</f>
        <v/>
      </c>
      <c r="R64" s="334" t="n"/>
      <c r="S64" s="302" t="inlineStr">
        <is>
          <t>O200</t>
        </is>
      </c>
      <c r="T64" s="301" t="inlineStr">
        <is>
          <t>APROBADO</t>
        </is>
      </c>
      <c r="U64" s="334" t="n"/>
      <c r="V64" s="302" t="n"/>
      <c r="W64" s="301" t="n"/>
      <c r="X64" s="301" t="n"/>
      <c r="Y64" s="364" t="inlineStr">
        <is>
          <t>SANTO TOMAS</t>
        </is>
      </c>
      <c r="Z64" s="350">
        <f>IF(AND(R64&lt;&gt;"",V64&lt;&gt;"",W64&lt;&gt;""),"ENTREGADO","POR RECOGER")</f>
        <v/>
      </c>
      <c r="AA64" s="198" t="n"/>
      <c r="AB64" s="198" t="n"/>
      <c r="AC64" s="198" t="n"/>
    </row>
    <row r="65" ht="15.75" customHeight="1" s="195">
      <c r="A65" s="241" t="n">
        <v>60</v>
      </c>
      <c r="B65" s="305" t="n"/>
      <c r="C65" s="241" t="inlineStr">
        <is>
          <t>REGION</t>
        </is>
      </c>
      <c r="D65" s="305" t="inlineStr">
        <is>
          <t>HERRERA MARIÑO INGRID CRISTINA</t>
        </is>
      </c>
      <c r="E65" s="241" t="inlineStr">
        <is>
          <t>DNI</t>
        </is>
      </c>
      <c r="F65" s="241" t="inlineStr">
        <is>
          <t>77216339</t>
        </is>
      </c>
      <c r="G65" s="336" t="n">
        <v>46070</v>
      </c>
      <c r="H65" s="241" t="inlineStr">
        <is>
          <t>4904</t>
        </is>
      </c>
      <c r="I65" s="332">
        <f>IFERROR(VLOOKUP(TEXT(H65,"0"),IPRESS!$A$3:$B$212,2,0),"")</f>
        <v/>
      </c>
      <c r="J65" s="241" t="inlineStr">
        <is>
          <t>4838</t>
        </is>
      </c>
      <c r="K65" s="332" t="inlineStr">
        <is>
          <t>PETROLEO</t>
        </is>
      </c>
      <c r="L65" s="239" t="n">
        <v>18.18</v>
      </c>
      <c r="M65" s="239" t="n">
        <v>6</v>
      </c>
      <c r="N65" s="333">
        <f>IFERROR(IF(L65*M65=0,"",L65*M65),"")</f>
        <v/>
      </c>
      <c r="O65" s="241" t="inlineStr">
        <is>
          <t>40051255</t>
        </is>
      </c>
      <c r="P65" s="332">
        <f>IFERROR(VLOOKUP(TEXT(O65,"0"),CONDUCTORES!$A$3:$G$100,2,0),"")</f>
        <v/>
      </c>
      <c r="Q65" s="332">
        <f>IFERROR(VLOOKUP(TEXT(O65,"0"),CONDUCTORES!$A$3:$H$100,6,0),"")</f>
        <v/>
      </c>
      <c r="R65" s="280" t="n"/>
      <c r="S65" s="305" t="inlineStr">
        <is>
          <t>O034</t>
        </is>
      </c>
      <c r="T65" s="241" t="inlineStr">
        <is>
          <t>APROBADO</t>
        </is>
      </c>
      <c r="U65" s="280" t="n"/>
      <c r="V65" s="305" t="n"/>
      <c r="W65" s="241" t="n"/>
      <c r="X65" s="241" t="n"/>
      <c r="Y65" s="280" t="n"/>
      <c r="Z65" s="350">
        <f>IF(AND(R65&lt;&gt;"",V65&lt;&gt;"",W65&lt;&gt;""),"ENTREGADO","POR RECOGER")</f>
        <v/>
      </c>
      <c r="AA65" s="198" t="n"/>
      <c r="AB65" s="198" t="n"/>
      <c r="AC65" s="198" t="n"/>
    </row>
    <row r="66" ht="15.75" customHeight="1" s="195">
      <c r="A66" s="301" t="n">
        <v>61</v>
      </c>
      <c r="B66" s="302" t="n"/>
      <c r="C66" s="301" t="inlineStr">
        <is>
          <t>REGION</t>
        </is>
      </c>
      <c r="D66" s="302" t="inlineStr">
        <is>
          <t>QUISPE CHUQUICUSMA ROXANA</t>
        </is>
      </c>
      <c r="E66" s="301" t="inlineStr">
        <is>
          <t>DNI</t>
        </is>
      </c>
      <c r="F66" s="301" t="inlineStr">
        <is>
          <t>61811745</t>
        </is>
      </c>
      <c r="G66" s="331" t="n">
        <v>46070</v>
      </c>
      <c r="H66" s="301" t="inlineStr">
        <is>
          <t>4950</t>
        </is>
      </c>
      <c r="I66" s="332">
        <f>IFERROR(VLOOKUP(TEXT(H66,"0"),IPRESS!$A$3:$B$212,2,0),"")</f>
        <v/>
      </c>
      <c r="J66" s="301" t="inlineStr">
        <is>
          <t>4838</t>
        </is>
      </c>
      <c r="K66" s="332" t="inlineStr">
        <is>
          <t>PETROLEO</t>
        </is>
      </c>
      <c r="L66" s="245" t="n">
        <v>20.25</v>
      </c>
      <c r="M66" s="245" t="n">
        <v>7</v>
      </c>
      <c r="N66" s="333">
        <f>IFERROR(IF(L66*M66=0,"",L66*M66),"")</f>
        <v/>
      </c>
      <c r="O66" s="301" t="n"/>
      <c r="P66" s="332">
        <f>IFERROR(VLOOKUP(TEXT(O66,"0"),CONDUCTORES!$A$3:$G$100,2,0),"")</f>
        <v/>
      </c>
      <c r="Q66" s="332">
        <f>IFERROR(VLOOKUP(TEXT(O66,"0"),CONDUCTORES!$A$3:$H$100,6,0),"")</f>
        <v/>
      </c>
      <c r="R66" s="334" t="n"/>
      <c r="S66" s="302" t="inlineStr">
        <is>
          <t>O364</t>
        </is>
      </c>
      <c r="T66" s="301" t="inlineStr">
        <is>
          <t>APROBADO</t>
        </is>
      </c>
      <c r="U66" s="334" t="n"/>
      <c r="V66" s="302" t="n"/>
      <c r="W66" s="301" t="n"/>
      <c r="X66" s="301" t="n"/>
      <c r="Y66" s="280" t="n"/>
      <c r="Z66" s="350">
        <f>IF(AND(R66&lt;&gt;"",V66&lt;&gt;"",W66&lt;&gt;""),"ENTREGADO","POR RECOGER")</f>
        <v/>
      </c>
      <c r="AA66" s="198" t="n"/>
      <c r="AB66" s="198" t="n"/>
      <c r="AC66" s="198" t="n"/>
    </row>
    <row r="67" ht="15.75" customHeight="1" s="195">
      <c r="A67" s="241" t="n">
        <v>62</v>
      </c>
      <c r="B67" s="305" t="n"/>
      <c r="C67" s="241" t="inlineStr">
        <is>
          <t>REGION</t>
        </is>
      </c>
      <c r="D67" s="305" t="inlineStr">
        <is>
          <t>AVILA SANCHEZ LUIS GIANFRANCO</t>
        </is>
      </c>
      <c r="E67" s="241" t="inlineStr">
        <is>
          <t>DNI</t>
        </is>
      </c>
      <c r="F67" s="241" t="inlineStr">
        <is>
          <t>79865822</t>
        </is>
      </c>
      <c r="G67" s="336" t="n">
        <v>46070</v>
      </c>
      <c r="H67" s="241" t="inlineStr">
        <is>
          <t>4932</t>
        </is>
      </c>
      <c r="I67" s="332">
        <f>IFERROR(VLOOKUP(TEXT(H67,"0"),IPRESS!$A$3:$B$212,2,0),"")</f>
        <v/>
      </c>
      <c r="J67" s="241" t="inlineStr">
        <is>
          <t>4838</t>
        </is>
      </c>
      <c r="K67" s="332" t="inlineStr">
        <is>
          <t>PETROLEO</t>
        </is>
      </c>
      <c r="L67" s="239" t="n">
        <v>18.18</v>
      </c>
      <c r="M67" s="239" t="n">
        <v>6</v>
      </c>
      <c r="N67" s="333">
        <f>IFERROR(IF(L67*M67=0,"",L67*M67),"")</f>
        <v/>
      </c>
      <c r="O67" s="241" t="inlineStr">
        <is>
          <t>33726013</t>
        </is>
      </c>
      <c r="P67" s="332">
        <f>IFERROR(VLOOKUP(TEXT(O67,"0"),CONDUCTORES!$A$3:$G$100,2,0),"")</f>
        <v/>
      </c>
      <c r="Q67" s="332">
        <f>IFERROR(VLOOKUP(TEXT(O67,"0"),CONDUCTORES!$A$3:$H$100,6,0),"")</f>
        <v/>
      </c>
      <c r="R67" s="280" t="n"/>
      <c r="S67" s="305" t="inlineStr">
        <is>
          <t>R101,K359</t>
        </is>
      </c>
      <c r="T67" s="241" t="inlineStr">
        <is>
          <t>APROBADO</t>
        </is>
      </c>
      <c r="U67" s="280" t="n"/>
      <c r="V67" s="305" t="n"/>
      <c r="W67" s="241" t="n"/>
      <c r="X67" s="241" t="n"/>
      <c r="Y67" s="280" t="n"/>
      <c r="Z67" s="350">
        <f>IF(AND(R67&lt;&gt;"",V67&lt;&gt;"",W67&lt;&gt;""),"ENTREGADO","POR RECOGER")</f>
        <v/>
      </c>
      <c r="AA67" s="198" t="n"/>
      <c r="AB67" s="198" t="n"/>
      <c r="AC67" s="198" t="n"/>
    </row>
    <row r="68" ht="15.75" customHeight="1" s="195">
      <c r="A68" s="301" t="n">
        <v>63</v>
      </c>
      <c r="B68" s="302" t="n"/>
      <c r="C68" s="301" t="inlineStr">
        <is>
          <t>REGION</t>
        </is>
      </c>
      <c r="D68" s="302" t="inlineStr">
        <is>
          <t>VILCA VALQUI AGUIDA</t>
        </is>
      </c>
      <c r="E68" s="301" t="inlineStr">
        <is>
          <t>DNI</t>
        </is>
      </c>
      <c r="F68" s="301" t="inlineStr">
        <is>
          <t>33800782</t>
        </is>
      </c>
      <c r="G68" s="331" t="n">
        <v>46070</v>
      </c>
      <c r="H68" s="301" t="inlineStr">
        <is>
          <t>4850</t>
        </is>
      </c>
      <c r="I68" s="332">
        <f>IFERROR(VLOOKUP(TEXT(H68,"0"),IPRESS!$A$3:$B$212,2,0),"")</f>
        <v/>
      </c>
      <c r="J68" s="301" t="inlineStr">
        <is>
          <t>4838</t>
        </is>
      </c>
      <c r="K68" s="332" t="inlineStr">
        <is>
          <t>PETROLEO</t>
        </is>
      </c>
      <c r="L68" s="245" t="n">
        <v>18.18</v>
      </c>
      <c r="M68" s="245" t="n">
        <v>4</v>
      </c>
      <c r="N68" s="333">
        <f>IFERROR(IF(L68*M68=0,"",L68*M68),"")</f>
        <v/>
      </c>
      <c r="O68" s="301" t="inlineStr">
        <is>
          <t>45309596</t>
        </is>
      </c>
      <c r="P68" s="332">
        <f>IFERROR(VLOOKUP(TEXT(O68,"0"),CONDUCTORES!$A$3:$G$100,2,0),"")</f>
        <v/>
      </c>
      <c r="Q68" s="332">
        <f>IFERROR(VLOOKUP(TEXT(O68,"0"),CONDUCTORES!$A$3:$H$100,6,0),"")</f>
        <v/>
      </c>
      <c r="R68" s="334" t="n"/>
      <c r="S68" s="302" t="inlineStr">
        <is>
          <t>S529</t>
        </is>
      </c>
      <c r="T68" s="301" t="inlineStr">
        <is>
          <t>APROBADO</t>
        </is>
      </c>
      <c r="U68" s="334" t="n"/>
      <c r="V68" s="302" t="n"/>
      <c r="W68" s="301" t="n"/>
      <c r="X68" s="301" t="n"/>
      <c r="Y68" s="280" t="n"/>
      <c r="Z68" s="350">
        <f>IF(AND(R68&lt;&gt;"",V68&lt;&gt;"",W68&lt;&gt;""),"ENTREGADO","POR RECOGER")</f>
        <v/>
      </c>
      <c r="AA68" s="198" t="n"/>
      <c r="AB68" s="198" t="n"/>
      <c r="AC68" s="198" t="n"/>
    </row>
    <row r="69" ht="15.75" customHeight="1" s="195">
      <c r="A69" s="241" t="n">
        <v>64</v>
      </c>
      <c r="B69" s="305" t="n"/>
      <c r="C69" s="241" t="inlineStr">
        <is>
          <t>REGION</t>
        </is>
      </c>
      <c r="D69" s="305" t="inlineStr">
        <is>
          <t>JULON CAMPOS DEISI MIRELA</t>
        </is>
      </c>
      <c r="E69" s="241" t="inlineStr">
        <is>
          <t>DNI</t>
        </is>
      </c>
      <c r="F69" s="241" t="inlineStr">
        <is>
          <t>72458211</t>
        </is>
      </c>
      <c r="G69" s="336" t="n">
        <v>46070</v>
      </c>
      <c r="H69" s="241" t="inlineStr">
        <is>
          <t>4932</t>
        </is>
      </c>
      <c r="I69" s="332">
        <f>IFERROR(VLOOKUP(TEXT(H69,"0"),IPRESS!$A$3:$B$212,2,0),"")</f>
        <v/>
      </c>
      <c r="J69" s="241" t="inlineStr">
        <is>
          <t>4838</t>
        </is>
      </c>
      <c r="K69" s="332" t="inlineStr">
        <is>
          <t>PETROLEO</t>
        </is>
      </c>
      <c r="L69" s="239" t="n">
        <v>18.18</v>
      </c>
      <c r="M69" s="239" t="n">
        <v>6</v>
      </c>
      <c r="N69" s="333">
        <f>IFERROR(IF(L69*M69=0,"",L69*M69),"")</f>
        <v/>
      </c>
      <c r="O69" s="241" t="inlineStr">
        <is>
          <t>33726013</t>
        </is>
      </c>
      <c r="P69" s="332">
        <f>IFERROR(VLOOKUP(TEXT(O69,"0"),CONDUCTORES!$A$3:$G$100,2,0),"")</f>
        <v/>
      </c>
      <c r="Q69" s="332">
        <f>IFERROR(VLOOKUP(TEXT(O69,"0"),CONDUCTORES!$A$3:$H$100,6,0),"")</f>
        <v/>
      </c>
      <c r="R69" s="280" t="n"/>
      <c r="S69" s="305" t="inlineStr">
        <is>
          <t>Z359,O480</t>
        </is>
      </c>
      <c r="T69" s="241" t="inlineStr">
        <is>
          <t>APROBADO</t>
        </is>
      </c>
      <c r="U69" s="280" t="n"/>
      <c r="V69" s="305" t="n"/>
      <c r="W69" s="241" t="n"/>
      <c r="X69" s="241" t="n"/>
      <c r="Y69" s="280" t="n"/>
      <c r="Z69" s="350">
        <f>IF(AND(R69&lt;&gt;"",V69&lt;&gt;"",W69&lt;&gt;""),"ENTREGADO","POR RECOGER")</f>
        <v/>
      </c>
      <c r="AA69" s="198" t="n"/>
      <c r="AB69" s="198" t="n"/>
      <c r="AC69" s="198" t="n"/>
    </row>
    <row r="70" ht="15.75" customHeight="1" s="195">
      <c r="A70" s="301" t="n">
        <v>65</v>
      </c>
      <c r="B70" s="302" t="n"/>
      <c r="C70" s="301" t="inlineStr">
        <is>
          <t>REGION</t>
        </is>
      </c>
      <c r="D70" s="302" t="inlineStr">
        <is>
          <t>VALQUI DE HUAMAN ELISA</t>
        </is>
      </c>
      <c r="E70" s="301" t="inlineStr">
        <is>
          <t>DNI</t>
        </is>
      </c>
      <c r="F70" s="301" t="inlineStr">
        <is>
          <t>33800690</t>
        </is>
      </c>
      <c r="G70" s="331" t="n">
        <v>46071</v>
      </c>
      <c r="H70" s="301" t="inlineStr">
        <is>
          <t>4850</t>
        </is>
      </c>
      <c r="I70" s="332">
        <f>IFERROR(VLOOKUP(TEXT(H70,"0"),IPRESS!$A$3:$B$212,2,0),"")</f>
        <v/>
      </c>
      <c r="J70" s="301" t="inlineStr">
        <is>
          <t>4838</t>
        </is>
      </c>
      <c r="K70" s="332" t="inlineStr">
        <is>
          <t>PETROLEO</t>
        </is>
      </c>
      <c r="L70" s="245" t="n">
        <v>18.18</v>
      </c>
      <c r="M70" s="245" t="n">
        <v>4</v>
      </c>
      <c r="N70" s="333">
        <f>IFERROR(IF(L70*M70=0,"",L70*M70),"")</f>
        <v/>
      </c>
      <c r="O70" s="301" t="inlineStr">
        <is>
          <t>45309596</t>
        </is>
      </c>
      <c r="P70" s="332">
        <f>IFERROR(VLOOKUP(TEXT(O70,"0"),CONDUCTORES!$A$3:$G$100,2,0),"")</f>
        <v/>
      </c>
      <c r="Q70" s="332">
        <f>IFERROR(VLOOKUP(TEXT(O70,"0"),CONDUCTORES!$A$3:$H$100,6,0),"")</f>
        <v/>
      </c>
      <c r="R70" s="334" t="n"/>
      <c r="S70" s="302" t="inlineStr">
        <is>
          <t>S729</t>
        </is>
      </c>
      <c r="T70" s="301" t="inlineStr">
        <is>
          <t>APROBADO</t>
        </is>
      </c>
      <c r="U70" s="334" t="n"/>
      <c r="V70" s="302" t="n"/>
      <c r="W70" s="301" t="n"/>
      <c r="X70" s="301" t="n"/>
      <c r="Y70" s="280" t="n"/>
      <c r="Z70" s="350">
        <f>IF(AND(R70&lt;&gt;"",V70&lt;&gt;"",W70&lt;&gt;""),"ENTREGADO","POR RECOGER")</f>
        <v/>
      </c>
      <c r="AA70" s="198" t="n"/>
      <c r="AB70" s="198" t="n"/>
      <c r="AC70" s="198" t="n"/>
    </row>
    <row r="71" ht="15.75" customHeight="1" s="195">
      <c r="A71" s="241" t="n">
        <v>66</v>
      </c>
      <c r="B71" s="305" t="n"/>
      <c r="C71" s="241" t="inlineStr">
        <is>
          <t>REGION</t>
        </is>
      </c>
      <c r="D71" s="305" t="inlineStr">
        <is>
          <t>SANCHEZ SILVA MARIA IVON</t>
        </is>
      </c>
      <c r="E71" s="241" t="inlineStr">
        <is>
          <t>DNI</t>
        </is>
      </c>
      <c r="F71" s="241" t="inlineStr">
        <is>
          <t>74700539</t>
        </is>
      </c>
      <c r="G71" s="336" t="n">
        <v>46071</v>
      </c>
      <c r="H71" s="241" t="inlineStr">
        <is>
          <t>4922</t>
        </is>
      </c>
      <c r="I71" s="332">
        <f>IFERROR(VLOOKUP(TEXT(H71,"0"),IPRESS!$A$3:$B$212,2,0),"")</f>
        <v/>
      </c>
      <c r="J71" s="241" t="inlineStr">
        <is>
          <t>4838</t>
        </is>
      </c>
      <c r="K71" s="332" t="inlineStr">
        <is>
          <t>PETROLEO</t>
        </is>
      </c>
      <c r="L71" s="239" t="n">
        <v>18.18</v>
      </c>
      <c r="M71" s="239" t="n">
        <v>5</v>
      </c>
      <c r="N71" s="333">
        <f>IFERROR(IF(L71*M71=0,"",L71*M71),"")</f>
        <v/>
      </c>
      <c r="O71" s="241" t="inlineStr">
        <is>
          <t>33401502</t>
        </is>
      </c>
      <c r="P71" s="332">
        <f>IFERROR(VLOOKUP(TEXT(O71,"0"),CONDUCTORES!$A$3:$G$100,2,0),"")</f>
        <v/>
      </c>
      <c r="Q71" s="332">
        <f>IFERROR(VLOOKUP(TEXT(O71,"0"),CONDUCTORES!$A$3:$H$100,6,0),"")</f>
        <v/>
      </c>
      <c r="R71" s="280" t="n"/>
      <c r="S71" s="305" t="inlineStr">
        <is>
          <t>O234,O429</t>
        </is>
      </c>
      <c r="T71" s="241" t="inlineStr">
        <is>
          <t>APROBADO</t>
        </is>
      </c>
      <c r="U71" s="280" t="n"/>
      <c r="V71" s="305" t="n"/>
      <c r="W71" s="241" t="n"/>
      <c r="X71" s="241" t="n"/>
      <c r="Y71" s="280" t="n"/>
      <c r="Z71" s="350">
        <f>IF(AND(R71&lt;&gt;"",V71&lt;&gt;"",W71&lt;&gt;""),"ENTREGADO","POR RECOGER")</f>
        <v/>
      </c>
      <c r="AA71" s="198" t="n"/>
      <c r="AB71" s="198" t="n"/>
      <c r="AC71" s="198" t="n"/>
    </row>
    <row r="72" ht="15.75" customHeight="1" s="195">
      <c r="A72" s="301" t="n">
        <v>67</v>
      </c>
      <c r="B72" s="302" t="n"/>
      <c r="C72" s="301" t="inlineStr">
        <is>
          <t>REGION</t>
        </is>
      </c>
      <c r="D72" s="302" t="inlineStr">
        <is>
          <t>RODRIGUEZ FERNANDEZ MARIA ESTHER</t>
        </is>
      </c>
      <c r="E72" s="301" t="inlineStr">
        <is>
          <t>DNI</t>
        </is>
      </c>
      <c r="F72" s="301" t="inlineStr">
        <is>
          <t>43963947</t>
        </is>
      </c>
      <c r="G72" s="331" t="n">
        <v>46071</v>
      </c>
      <c r="H72" s="301" t="inlineStr">
        <is>
          <t>4932</t>
        </is>
      </c>
      <c r="I72" s="332">
        <f>IFERROR(VLOOKUP(TEXT(H72,"0"),IPRESS!$A$3:$B$212,2,0),"")</f>
        <v/>
      </c>
      <c r="J72" s="301" t="inlineStr">
        <is>
          <t>4838</t>
        </is>
      </c>
      <c r="K72" s="332" t="inlineStr">
        <is>
          <t>PETROLEO</t>
        </is>
      </c>
      <c r="L72" s="245" t="n">
        <v>18.18</v>
      </c>
      <c r="M72" s="245" t="n">
        <v>6</v>
      </c>
      <c r="N72" s="333">
        <f>IFERROR(IF(L72*M72=0,"",L72*M72),"")</f>
        <v/>
      </c>
      <c r="O72" s="301" t="inlineStr">
        <is>
          <t>33726013</t>
        </is>
      </c>
      <c r="P72" s="332">
        <f>IFERROR(VLOOKUP(TEXT(O72,"0"),CONDUCTORES!$A$3:$G$100,2,0),"")</f>
        <v/>
      </c>
      <c r="Q72" s="332">
        <f>IFERROR(VLOOKUP(TEXT(O72,"0"),CONDUCTORES!$A$3:$H$100,6,0),"")</f>
        <v/>
      </c>
      <c r="R72" s="334" t="n"/>
      <c r="S72" s="302" t="inlineStr">
        <is>
          <t>Z359</t>
        </is>
      </c>
      <c r="T72" s="301" t="inlineStr">
        <is>
          <t>APROBADO</t>
        </is>
      </c>
      <c r="U72" s="334" t="n"/>
      <c r="V72" s="302" t="n"/>
      <c r="W72" s="301" t="n"/>
      <c r="X72" s="301" t="n"/>
      <c r="Y72" s="280" t="n"/>
      <c r="Z72" s="350">
        <f>IF(AND(R72&lt;&gt;"",V72&lt;&gt;"",W72&lt;&gt;""),"ENTREGADO","POR RECOGER")</f>
        <v/>
      </c>
      <c r="AA72" s="198" t="n"/>
      <c r="AB72" s="198" t="n"/>
      <c r="AC72" s="198" t="n"/>
    </row>
    <row r="73" ht="15.75" customHeight="1" s="195">
      <c r="A73" s="337" t="n">
        <v>68</v>
      </c>
      <c r="B73" s="338" t="n"/>
      <c r="C73" s="337" t="inlineStr">
        <is>
          <t>REGION</t>
        </is>
      </c>
      <c r="D73" s="338" t="inlineStr">
        <is>
          <t>RODRIGUEZ FERNANDEZ MARIA ESTHER</t>
        </is>
      </c>
      <c r="E73" s="337" t="inlineStr">
        <is>
          <t>DNI</t>
        </is>
      </c>
      <c r="F73" s="337" t="inlineStr">
        <is>
          <t>43963947</t>
        </is>
      </c>
      <c r="G73" s="339" t="n">
        <v>46071</v>
      </c>
      <c r="H73" s="337" t="inlineStr">
        <is>
          <t>4937</t>
        </is>
      </c>
      <c r="I73" s="332">
        <f>IFERROR(VLOOKUP(TEXT(H73,"0"),IPRESS!$A$3:$B$212,2,0),"")</f>
        <v/>
      </c>
      <c r="J73" s="337" t="inlineStr">
        <is>
          <t>4838</t>
        </is>
      </c>
      <c r="K73" s="357" t="inlineStr">
        <is>
          <t>GASOLINA</t>
        </is>
      </c>
      <c r="L73" s="340" t="n">
        <v>17.95</v>
      </c>
      <c r="M73" s="340" t="n">
        <v>5</v>
      </c>
      <c r="N73" s="333">
        <f>IFERROR(IF(L73*M73=0,"",L73*M73),"")</f>
        <v/>
      </c>
      <c r="O73" s="272" t="inlineStr">
        <is>
          <t>44703306</t>
        </is>
      </c>
      <c r="P73" s="332">
        <f>IFERROR(VLOOKUP(TEXT(O73,"0"),CONDUCTORES!$A$3:$G$100,2,0),"")</f>
        <v/>
      </c>
      <c r="Q73" s="332">
        <f>IFERROR(VLOOKUP(TEXT(O73,"0"),CONDUCTORES!$A$3:$H$100,6,0),"")</f>
        <v/>
      </c>
      <c r="R73" s="341" t="n"/>
      <c r="S73" s="338" t="inlineStr">
        <is>
          <t>R104,K859,K802</t>
        </is>
      </c>
      <c r="T73" s="337" t="inlineStr">
        <is>
          <t>APROBADO</t>
        </is>
      </c>
      <c r="U73" s="341" t="n"/>
      <c r="V73" s="338" t="n"/>
      <c r="W73" s="337" t="n"/>
      <c r="X73" s="337" t="n"/>
      <c r="Y73" s="280" t="n"/>
      <c r="Z73" s="350">
        <f>IF(AND(R73&lt;&gt;"",V73&lt;&gt;"",W73&lt;&gt;""),"ENTREGADO","POR RECOGER")</f>
        <v/>
      </c>
      <c r="AA73" s="198" t="n"/>
      <c r="AB73" s="198" t="n"/>
      <c r="AC73" s="198" t="n"/>
    </row>
    <row r="74" ht="15.75" customHeight="1" s="195">
      <c r="A74" s="301" t="n">
        <v>69</v>
      </c>
      <c r="B74" s="302" t="n"/>
      <c r="C74" s="301" t="inlineStr">
        <is>
          <t>REGION</t>
        </is>
      </c>
      <c r="D74" s="302" t="inlineStr">
        <is>
          <t>LOPEZ PORTOCARRERO LEOVIGILDO</t>
        </is>
      </c>
      <c r="E74" s="301" t="inlineStr">
        <is>
          <t>DNI</t>
        </is>
      </c>
      <c r="F74" s="301" t="inlineStr">
        <is>
          <t>33944247</t>
        </is>
      </c>
      <c r="G74" s="331" t="n">
        <v>46072</v>
      </c>
      <c r="H74" s="301" t="inlineStr">
        <is>
          <t>4950</t>
        </is>
      </c>
      <c r="I74" s="332">
        <f>IFERROR(VLOOKUP(TEXT(H74,"0"),IPRESS!$A$3:$B$212,2,0),"")</f>
        <v/>
      </c>
      <c r="J74" s="301" t="inlineStr">
        <is>
          <t>4838</t>
        </is>
      </c>
      <c r="K74" s="332" t="inlineStr">
        <is>
          <t>PETROLEO</t>
        </is>
      </c>
      <c r="L74" s="245" t="n">
        <v>20.25</v>
      </c>
      <c r="M74" s="245" t="n">
        <v>7</v>
      </c>
      <c r="N74" s="333">
        <f>IFERROR(IF(L74*M74=0,"",L74*M74),"")</f>
        <v/>
      </c>
      <c r="O74" s="301" t="inlineStr">
        <is>
          <t>9990954</t>
        </is>
      </c>
      <c r="P74" s="332">
        <f>IFERROR(VLOOKUP(TEXT(O74,"0"),CONDUCTORES!$A$3:$G$100,2,0),"")</f>
        <v/>
      </c>
      <c r="Q74" s="332">
        <f>IFERROR(VLOOKUP(TEXT(O74,"0"),CONDUCTORES!$A$3:$H$100,6,0),"")</f>
        <v/>
      </c>
      <c r="R74" s="334" t="n"/>
      <c r="S74" s="302" t="inlineStr">
        <is>
          <t>I10X,S098</t>
        </is>
      </c>
      <c r="T74" s="301" t="inlineStr">
        <is>
          <t>APROBADO</t>
        </is>
      </c>
      <c r="U74" s="334" t="n"/>
      <c r="V74" s="302" t="n"/>
      <c r="W74" s="301" t="n"/>
      <c r="X74" s="301" t="n"/>
      <c r="Y74" s="280" t="n"/>
      <c r="Z74" s="350">
        <f>IF(AND(R74&lt;&gt;"",V74&lt;&gt;"",W74&lt;&gt;""),"ENTREGADO","POR RECOGER")</f>
        <v/>
      </c>
      <c r="AA74" s="198" t="n"/>
      <c r="AB74" s="198" t="n"/>
      <c r="AC74" s="198" t="n"/>
    </row>
    <row r="75" ht="15.75" customHeight="1" s="195">
      <c r="A75" s="241" t="n">
        <v>70</v>
      </c>
      <c r="B75" s="305" t="n"/>
      <c r="C75" s="241" t="inlineStr">
        <is>
          <t>REGION</t>
        </is>
      </c>
      <c r="D75" s="305" t="inlineStr">
        <is>
          <t>TAFUR LOPEZ JOSE GIL</t>
        </is>
      </c>
      <c r="E75" s="241" t="inlineStr">
        <is>
          <t>DNI</t>
        </is>
      </c>
      <c r="F75" s="241" t="inlineStr">
        <is>
          <t>33945002</t>
        </is>
      </c>
      <c r="G75" s="336" t="n">
        <v>46072</v>
      </c>
      <c r="H75" s="241" t="inlineStr">
        <is>
          <t>4943</t>
        </is>
      </c>
      <c r="I75" s="332">
        <f>IFERROR(VLOOKUP(TEXT(H75,"0"),IPRESS!$A$3:$B$212,2,0),"")</f>
        <v/>
      </c>
      <c r="J75" s="241" t="inlineStr">
        <is>
          <t>4950</t>
        </is>
      </c>
      <c r="K75" s="332" t="inlineStr">
        <is>
          <t>PETROLEO</t>
        </is>
      </c>
      <c r="L75" s="239" t="n">
        <v>20.25</v>
      </c>
      <c r="M75" s="239" t="n">
        <v>3</v>
      </c>
      <c r="N75" s="333">
        <f>IFERROR(IF(L75*M75=0,"",L75*M75),"")</f>
        <v/>
      </c>
      <c r="O75" s="241" t="inlineStr">
        <is>
          <t>40083507</t>
        </is>
      </c>
      <c r="P75" s="332">
        <f>IFERROR(VLOOKUP(TEXT(O75,"0"),CONDUCTORES!$A$3:$G$100,2,0),"")</f>
        <v/>
      </c>
      <c r="Q75" s="332">
        <f>IFERROR(VLOOKUP(TEXT(O75,"0"),CONDUCTORES!$A$3:$H$100,6,0),"")</f>
        <v/>
      </c>
      <c r="R75" s="280" t="n"/>
      <c r="S75" s="305" t="inlineStr">
        <is>
          <t>S681</t>
        </is>
      </c>
      <c r="T75" s="241" t="inlineStr">
        <is>
          <t>APROBADO</t>
        </is>
      </c>
      <c r="U75" s="280" t="n"/>
      <c r="V75" s="305" t="n"/>
      <c r="W75" s="241" t="n"/>
      <c r="X75" s="241" t="n"/>
      <c r="Y75" s="280" t="n"/>
      <c r="Z75" s="350">
        <f>IF(AND(R75&lt;&gt;"",V75&lt;&gt;"",W75&lt;&gt;""),"ENTREGADO","POR RECOGER")</f>
        <v/>
      </c>
      <c r="AA75" s="198" t="n"/>
      <c r="AB75" s="198" t="n"/>
      <c r="AC75" s="198" t="n"/>
    </row>
    <row r="76" ht="15.75" customHeight="1" s="195">
      <c r="A76" s="337" t="n">
        <v>71</v>
      </c>
      <c r="B76" s="338" t="n"/>
      <c r="C76" s="337" t="inlineStr">
        <is>
          <t>REGION</t>
        </is>
      </c>
      <c r="D76" s="338" t="inlineStr">
        <is>
          <t>JULCA BARRERA LILIANA</t>
        </is>
      </c>
      <c r="E76" s="337" t="inlineStr">
        <is>
          <t>DNI</t>
        </is>
      </c>
      <c r="F76" s="337" t="inlineStr">
        <is>
          <t>47467877</t>
        </is>
      </c>
      <c r="G76" s="339" t="n">
        <v>46072</v>
      </c>
      <c r="H76" s="337" t="inlineStr">
        <is>
          <t>4885</t>
        </is>
      </c>
      <c r="I76" s="332">
        <f>IFERROR(VLOOKUP(TEXT(H76,"0"),IPRESS!$A$3:$B$212,2,0),"")</f>
        <v/>
      </c>
      <c r="J76" s="337" t="inlineStr">
        <is>
          <t>4838</t>
        </is>
      </c>
      <c r="K76" s="357" t="inlineStr">
        <is>
          <t>GASOLINA</t>
        </is>
      </c>
      <c r="L76" s="340" t="n">
        <v>17.95</v>
      </c>
      <c r="M76" s="340" t="n">
        <v>26</v>
      </c>
      <c r="N76" s="333">
        <f>IFERROR(IF(L76*M76=0,"",L76*M76),"")</f>
        <v/>
      </c>
      <c r="O76" s="337" t="n"/>
      <c r="P76" s="332">
        <f>IFERROR(VLOOKUP(TEXT(O76,"0"),CONDUCTORES!$A$3:$G$100,2,0),"")</f>
        <v/>
      </c>
      <c r="Q76" s="332">
        <f>IFERROR(VLOOKUP(TEXT(O76,"0"),CONDUCTORES!$A$3:$H$100,6,0),"")</f>
        <v/>
      </c>
      <c r="R76" s="341" t="n"/>
      <c r="S76" s="338" t="inlineStr">
        <is>
          <t>O409</t>
        </is>
      </c>
      <c r="T76" s="337" t="inlineStr">
        <is>
          <t>APROBADO</t>
        </is>
      </c>
      <c r="U76" s="341" t="n"/>
      <c r="V76" s="338" t="n"/>
      <c r="W76" s="337" t="n"/>
      <c r="X76" s="337" t="n"/>
      <c r="Y76" s="280" t="n"/>
      <c r="Z76" s="350">
        <f>IF(AND(R76&lt;&gt;"",V76&lt;&gt;"",W76&lt;&gt;""),"ENTREGADO","POR RECOGER")</f>
        <v/>
      </c>
      <c r="AA76" s="198" t="n"/>
      <c r="AB76" s="198" t="n"/>
      <c r="AC76" s="198" t="n"/>
    </row>
    <row r="77" ht="15.75" customHeight="1" s="195">
      <c r="A77" s="241" t="n">
        <v>72</v>
      </c>
      <c r="B77" s="305" t="n"/>
      <c r="C77" s="241" t="inlineStr">
        <is>
          <t>REGION</t>
        </is>
      </c>
      <c r="D77" s="305" t="inlineStr">
        <is>
          <t>CAMPOVERDE RIVERA TEMISTO</t>
        </is>
      </c>
      <c r="E77" s="241" t="inlineStr">
        <is>
          <t>DNI</t>
        </is>
      </c>
      <c r="F77" s="241" t="inlineStr">
        <is>
          <t>23170863</t>
        </is>
      </c>
      <c r="G77" s="336" t="n">
        <v>46073</v>
      </c>
      <c r="H77" s="241" t="inlineStr">
        <is>
          <t>4950</t>
        </is>
      </c>
      <c r="I77" s="332">
        <f>IFERROR(VLOOKUP(TEXT(H77,"0"),IPRESS!$A$3:$B$212,2,0),"")</f>
        <v/>
      </c>
      <c r="J77" s="241" t="inlineStr">
        <is>
          <t>4838</t>
        </is>
      </c>
      <c r="K77" s="332" t="inlineStr">
        <is>
          <t>PETROLEO</t>
        </is>
      </c>
      <c r="L77" s="239" t="n">
        <v>20.25</v>
      </c>
      <c r="M77" s="239" t="n">
        <v>7</v>
      </c>
      <c r="N77" s="333">
        <f>IFERROR(IF(L77*M77=0,"",L77*M77),"")</f>
        <v/>
      </c>
      <c r="O77" s="241" t="n"/>
      <c r="P77" s="332">
        <f>IFERROR(VLOOKUP(TEXT(O77,"0"),CONDUCTORES!$A$3:$G$100,2,0),"")</f>
        <v/>
      </c>
      <c r="Q77" s="332">
        <f>IFERROR(VLOOKUP(TEXT(O77,"0"),CONDUCTORES!$A$3:$H$100,6,0),"")</f>
        <v/>
      </c>
      <c r="R77" s="280" t="n"/>
      <c r="S77" s="305" t="inlineStr">
        <is>
          <t>S682</t>
        </is>
      </c>
      <c r="T77" s="241" t="inlineStr">
        <is>
          <t>APROBADO</t>
        </is>
      </c>
      <c r="U77" s="280" t="n"/>
      <c r="V77" s="305" t="n"/>
      <c r="W77" s="241" t="n"/>
      <c r="X77" s="241" t="n"/>
      <c r="Y77" s="280" t="n"/>
      <c r="Z77" s="350">
        <f>IF(AND(R77&lt;&gt;"",V77&lt;&gt;"",W77&lt;&gt;""),"ENTREGADO","POR RECOGER")</f>
        <v/>
      </c>
      <c r="AA77" s="198" t="n"/>
      <c r="AB77" s="198" t="n"/>
      <c r="AC77" s="198" t="n"/>
    </row>
    <row r="78" ht="15.75" customHeight="1" s="195">
      <c r="A78" s="301" t="n">
        <v>73</v>
      </c>
      <c r="B78" s="302" t="n"/>
      <c r="C78" s="301" t="inlineStr">
        <is>
          <t>REGION</t>
        </is>
      </c>
      <c r="D78" s="302" t="inlineStr">
        <is>
          <t>PORTOCARRERO PORTOCARRERO MARIA CRUZ</t>
        </is>
      </c>
      <c r="E78" s="301" t="inlineStr">
        <is>
          <t>DNI</t>
        </is>
      </c>
      <c r="F78" s="301" t="inlineStr">
        <is>
          <t>46109691</t>
        </is>
      </c>
      <c r="G78" s="331" t="n">
        <v>46073</v>
      </c>
      <c r="H78" s="301" t="inlineStr">
        <is>
          <t>4943</t>
        </is>
      </c>
      <c r="I78" s="332">
        <f>IFERROR(VLOOKUP(TEXT(H78,"0"),IPRESS!$A$3:$B$212,2,0),"")</f>
        <v/>
      </c>
      <c r="J78" s="301" t="inlineStr">
        <is>
          <t>4950</t>
        </is>
      </c>
      <c r="K78" s="332" t="inlineStr">
        <is>
          <t>PETROLEO</t>
        </is>
      </c>
      <c r="L78" s="245" t="n">
        <v>20.25</v>
      </c>
      <c r="M78" s="245" t="n">
        <v>3</v>
      </c>
      <c r="N78" s="333">
        <f>IFERROR(IF(L78*M78=0,"",L78*M78),"")</f>
        <v/>
      </c>
      <c r="O78" s="301" t="inlineStr">
        <is>
          <t>40083507</t>
        </is>
      </c>
      <c r="P78" s="332">
        <f>IFERROR(VLOOKUP(TEXT(O78,"0"),CONDUCTORES!$A$3:$G$100,2,0),"")</f>
        <v/>
      </c>
      <c r="Q78" s="332">
        <f>IFERROR(VLOOKUP(TEXT(O78,"0"),CONDUCTORES!$A$3:$H$100,6,0),"")</f>
        <v/>
      </c>
      <c r="R78" s="334" t="n"/>
      <c r="S78" s="302" t="inlineStr">
        <is>
          <t>N719</t>
        </is>
      </c>
      <c r="T78" s="301" t="inlineStr">
        <is>
          <t>APROBADO</t>
        </is>
      </c>
      <c r="U78" s="334" t="n"/>
      <c r="V78" s="302" t="n"/>
      <c r="W78" s="301" t="n"/>
      <c r="X78" s="301" t="n"/>
      <c r="Y78" s="280" t="n"/>
      <c r="Z78" s="350">
        <f>IF(AND(R78&lt;&gt;"",V78&lt;&gt;"",W78&lt;&gt;""),"ENTREGADO","POR RECOGER")</f>
        <v/>
      </c>
      <c r="AA78" s="198" t="n"/>
      <c r="AB78" s="198" t="n"/>
      <c r="AC78" s="198" t="n"/>
    </row>
    <row r="79" ht="15.75" customHeight="1" s="195">
      <c r="A79" s="351" t="n">
        <v>74</v>
      </c>
      <c r="B79" s="352" t="n"/>
      <c r="C79" s="351" t="inlineStr">
        <is>
          <t>REGION</t>
        </is>
      </c>
      <c r="D79" s="352" t="inlineStr">
        <is>
          <t>HERRERA IBERICO THALIA</t>
        </is>
      </c>
      <c r="E79" s="351" t="inlineStr">
        <is>
          <t>DNI</t>
        </is>
      </c>
      <c r="F79" s="351" t="inlineStr">
        <is>
          <t>72304779</t>
        </is>
      </c>
      <c r="G79" s="353" t="n">
        <v>46073</v>
      </c>
      <c r="H79" s="351" t="inlineStr">
        <is>
          <t>4950</t>
        </is>
      </c>
      <c r="I79" s="332">
        <f>IFERROR(VLOOKUP(TEXT(H79,"0"),IPRESS!$A$3:$B$212,2,0),"")</f>
        <v/>
      </c>
      <c r="J79" s="351" t="inlineStr">
        <is>
          <t>4838</t>
        </is>
      </c>
      <c r="K79" s="332" t="inlineStr">
        <is>
          <t>PETROLEO</t>
        </is>
      </c>
      <c r="L79" s="354" t="n">
        <v>20.25</v>
      </c>
      <c r="M79" s="354" t="n">
        <v>10</v>
      </c>
      <c r="N79" s="333">
        <f>IFERROR(IF(L79*M79=0,"",L79*M79),"")</f>
        <v/>
      </c>
      <c r="O79" s="351" t="inlineStr">
        <is>
          <t>33962415</t>
        </is>
      </c>
      <c r="P79" s="332">
        <f>IFERROR(VLOOKUP(TEXT(O79,"0"),CONDUCTORES!$A$3:$G$100,2,0),"")</f>
        <v/>
      </c>
      <c r="Q79" s="332">
        <f>IFERROR(VLOOKUP(TEXT(O79,"0"),CONDUCTORES!$A$3:$H$100,6,0),"")</f>
        <v/>
      </c>
      <c r="R79" s="355" t="n"/>
      <c r="S79" s="352" t="inlineStr">
        <is>
          <t>O034</t>
        </is>
      </c>
      <c r="T79" s="351" t="inlineStr">
        <is>
          <t>APROBADO</t>
        </is>
      </c>
      <c r="U79" s="355" t="n"/>
      <c r="V79" s="352" t="n"/>
      <c r="W79" s="351" t="n"/>
      <c r="X79" s="351" t="n"/>
      <c r="Y79" s="356" t="inlineStr">
        <is>
          <t>OMIA</t>
        </is>
      </c>
      <c r="Z79" s="350">
        <f>IF(AND(R79&lt;&gt;"",V79&lt;&gt;"",W79&lt;&gt;""),"ENTREGADO","POR RECOGER")</f>
        <v/>
      </c>
      <c r="AA79" s="198" t="n"/>
      <c r="AB79" s="198" t="n"/>
      <c r="AC79" s="198" t="n"/>
    </row>
    <row r="80" ht="15.75" customHeight="1" s="195">
      <c r="A80" s="301" t="n">
        <v>75</v>
      </c>
      <c r="B80" s="302" t="n"/>
      <c r="C80" s="301" t="inlineStr">
        <is>
          <t>REGION</t>
        </is>
      </c>
      <c r="D80" s="302" t="inlineStr">
        <is>
          <t>MARIÑAS FERNENDEZ MARITSA</t>
        </is>
      </c>
      <c r="E80" s="301" t="inlineStr">
        <is>
          <t>DNI</t>
        </is>
      </c>
      <c r="F80" s="301" t="inlineStr">
        <is>
          <t>47444684</t>
        </is>
      </c>
      <c r="G80" s="331" t="n">
        <v>46074</v>
      </c>
      <c r="H80" s="301" t="inlineStr">
        <is>
          <t>4904</t>
        </is>
      </c>
      <c r="I80" s="332">
        <f>IFERROR(VLOOKUP(TEXT(H80,"0"),IPRESS!$A$3:$B$212,2,0),"")</f>
        <v/>
      </c>
      <c r="J80" s="301" t="inlineStr">
        <is>
          <t>4838</t>
        </is>
      </c>
      <c r="K80" s="332" t="inlineStr">
        <is>
          <t>PETROLEO</t>
        </is>
      </c>
      <c r="L80" s="245" t="n">
        <v>18.18</v>
      </c>
      <c r="M80" s="245" t="n">
        <v>6</v>
      </c>
      <c r="N80" s="333">
        <f>IFERROR(IF(L80*M80=0,"",L80*M80),"")</f>
        <v/>
      </c>
      <c r="O80" s="301" t="inlineStr">
        <is>
          <t>40051255</t>
        </is>
      </c>
      <c r="P80" s="332">
        <f>IFERROR(VLOOKUP(TEXT(O80,"0"),CONDUCTORES!$A$3:$G$100,2,0),"")</f>
        <v/>
      </c>
      <c r="Q80" s="332">
        <f>IFERROR(VLOOKUP(TEXT(O80,"0"),CONDUCTORES!$A$3:$H$100,6,0),"")</f>
        <v/>
      </c>
      <c r="R80" s="334" t="n"/>
      <c r="S80" s="302" t="inlineStr">
        <is>
          <t>S823</t>
        </is>
      </c>
      <c r="T80" s="301" t="inlineStr">
        <is>
          <t>APROBADO</t>
        </is>
      </c>
      <c r="U80" s="334" t="n"/>
      <c r="V80" s="302" t="n"/>
      <c r="W80" s="301" t="n"/>
      <c r="X80" s="301" t="n"/>
      <c r="Y80" s="280" t="n"/>
      <c r="Z80" s="350">
        <f>IF(AND(R80&lt;&gt;"",V80&lt;&gt;"",W80&lt;&gt;""),"ENTREGADO","POR RECOGER")</f>
        <v/>
      </c>
      <c r="AA80" s="198" t="n"/>
      <c r="AB80" s="198" t="n"/>
      <c r="AC80" s="198" t="n"/>
    </row>
    <row r="81" ht="15.75" customHeight="1" s="195">
      <c r="A81" s="241" t="n">
        <v>76</v>
      </c>
      <c r="B81" s="305" t="n"/>
      <c r="C81" s="241" t="inlineStr">
        <is>
          <t>REGION</t>
        </is>
      </c>
      <c r="D81" s="305" t="inlineStr">
        <is>
          <t>LOPEZ SANTILLAN AYSEL AMARA</t>
        </is>
      </c>
      <c r="E81" s="241" t="inlineStr">
        <is>
          <t>DNI</t>
        </is>
      </c>
      <c r="F81" s="241" t="inlineStr">
        <is>
          <t>94185790</t>
        </is>
      </c>
      <c r="G81" s="336" t="n">
        <v>46074</v>
      </c>
      <c r="H81" s="241" t="inlineStr">
        <is>
          <t>4950</t>
        </is>
      </c>
      <c r="I81" s="332">
        <f>IFERROR(VLOOKUP(TEXT(H81,"0"),IPRESS!$A$3:$B$212,2,0),"")</f>
        <v/>
      </c>
      <c r="J81" s="241" t="inlineStr">
        <is>
          <t>4838</t>
        </is>
      </c>
      <c r="K81" s="332" t="inlineStr">
        <is>
          <t>PETROLEO</t>
        </is>
      </c>
      <c r="L81" s="239" t="n">
        <v>20.25</v>
      </c>
      <c r="M81" s="239" t="n">
        <v>7</v>
      </c>
      <c r="N81" s="333">
        <f>IFERROR(IF(L81*M81=0,"",L81*M81),"")</f>
        <v/>
      </c>
      <c r="O81" s="241" t="inlineStr">
        <is>
          <t>42333513</t>
        </is>
      </c>
      <c r="P81" s="332">
        <f>IFERROR(VLOOKUP(TEXT(O81,"0"),CONDUCTORES!$A$3:$G$100,2,0),"")</f>
        <v/>
      </c>
      <c r="Q81" s="332">
        <f>IFERROR(VLOOKUP(TEXT(O81,"0"),CONDUCTORES!$A$3:$H$100,6,0),"")</f>
        <v/>
      </c>
      <c r="R81" s="280" t="n"/>
      <c r="S81" s="305" t="inlineStr">
        <is>
          <t>J159</t>
        </is>
      </c>
      <c r="T81" s="241" t="inlineStr">
        <is>
          <t>APROBADO</t>
        </is>
      </c>
      <c r="U81" s="280" t="n"/>
      <c r="V81" s="305" t="n"/>
      <c r="W81" s="241" t="n"/>
      <c r="X81" s="241" t="n"/>
      <c r="Y81" s="280" t="n"/>
      <c r="Z81" s="350">
        <f>IF(AND(R81&lt;&gt;"",V81&lt;&gt;"",W81&lt;&gt;""),"ENTREGADO","POR RECOGER")</f>
        <v/>
      </c>
      <c r="AA81" s="198" t="n"/>
      <c r="AB81" s="198" t="n"/>
      <c r="AC81" s="198" t="n"/>
    </row>
    <row r="82" ht="15.75" customHeight="1" s="195">
      <c r="A82" s="337" t="n">
        <v>77</v>
      </c>
      <c r="B82" s="338" t="n"/>
      <c r="C82" s="337" t="inlineStr">
        <is>
          <t>REGION</t>
        </is>
      </c>
      <c r="D82" s="338" t="inlineStr">
        <is>
          <t>PEREZ AGUILAR WILSON</t>
        </is>
      </c>
      <c r="E82" s="337" t="inlineStr">
        <is>
          <t>DNI</t>
        </is>
      </c>
      <c r="F82" s="337" t="inlineStr">
        <is>
          <t>33783927</t>
        </is>
      </c>
      <c r="G82" s="339" t="n">
        <v>46074</v>
      </c>
      <c r="H82" s="337" t="inlineStr">
        <is>
          <t>4922</t>
        </is>
      </c>
      <c r="I82" s="332">
        <f>IFERROR(VLOOKUP(TEXT(H82,"0"),IPRESS!$A$3:$B$212,2,0),"")</f>
        <v/>
      </c>
      <c r="J82" s="337" t="inlineStr">
        <is>
          <t>4838</t>
        </is>
      </c>
      <c r="K82" s="357" t="inlineStr">
        <is>
          <t>GASOLINA</t>
        </is>
      </c>
      <c r="L82" s="340" t="n">
        <v>17.95</v>
      </c>
      <c r="M82" s="340" t="n">
        <v>6</v>
      </c>
      <c r="N82" s="333">
        <f>IFERROR(IF(L82*M82=0,"",L82*M82),"")</f>
        <v/>
      </c>
      <c r="O82" s="337" t="inlineStr">
        <is>
          <t>71640877</t>
        </is>
      </c>
      <c r="P82" s="332">
        <f>IFERROR(VLOOKUP(TEXT(O82,"0"),CONDUCTORES!$A$3:$G$100,2,0),"")</f>
        <v/>
      </c>
      <c r="Q82" s="332">
        <f>IFERROR(VLOOKUP(TEXT(O82,"0"),CONDUCTORES!$A$3:$H$100,6,0),"")</f>
        <v/>
      </c>
      <c r="R82" s="341" t="n"/>
      <c r="S82" s="338" t="inlineStr">
        <is>
          <t>R072,I219,I10X</t>
        </is>
      </c>
      <c r="T82" s="337" t="inlineStr">
        <is>
          <t>APROBADO</t>
        </is>
      </c>
      <c r="U82" s="341" t="n"/>
      <c r="V82" s="338" t="n"/>
      <c r="W82" s="337" t="n"/>
      <c r="X82" s="337" t="n"/>
      <c r="Y82" s="280" t="n"/>
      <c r="Z82" s="350">
        <f>IF(AND(R82&lt;&gt;"",V82&lt;&gt;"",W82&lt;&gt;""),"ENTREGADO","POR RECOGER")</f>
        <v/>
      </c>
      <c r="AA82" s="198" t="n"/>
      <c r="AB82" s="198" t="n"/>
      <c r="AC82" s="198" t="n"/>
    </row>
    <row r="83" ht="15.75" customHeight="1" s="195">
      <c r="A83" s="241" t="n">
        <v>78</v>
      </c>
      <c r="B83" s="305" t="n"/>
      <c r="C83" s="241" t="inlineStr">
        <is>
          <t>REGION</t>
        </is>
      </c>
      <c r="D83" s="305" t="inlineStr">
        <is>
          <t>VILLANUEVA SAYAVERDE CARMELITA</t>
        </is>
      </c>
      <c r="E83" s="241" t="inlineStr">
        <is>
          <t>DNI</t>
        </is>
      </c>
      <c r="F83" s="241" t="inlineStr">
        <is>
          <t>73693426</t>
        </is>
      </c>
      <c r="G83" s="336" t="n">
        <v>46074</v>
      </c>
      <c r="H83" s="241" t="inlineStr">
        <is>
          <t>4950</t>
        </is>
      </c>
      <c r="I83" s="332">
        <f>IFERROR(VLOOKUP(TEXT(H83,"0"),IPRESS!$A$3:$B$212,2,0),"")</f>
        <v/>
      </c>
      <c r="J83" s="241" t="inlineStr">
        <is>
          <t>4838</t>
        </is>
      </c>
      <c r="K83" s="332" t="inlineStr">
        <is>
          <t>PETROLEO</t>
        </is>
      </c>
      <c r="L83" s="239" t="n">
        <v>20.25</v>
      </c>
      <c r="M83" s="239" t="n">
        <v>7</v>
      </c>
      <c r="N83" s="333">
        <f>IFERROR(IF(L83*M83=0,"",L83*M83),"")</f>
        <v/>
      </c>
      <c r="O83" s="241" t="n"/>
      <c r="P83" s="332">
        <f>IFERROR(VLOOKUP(TEXT(O83,"0"),CONDUCTORES!$A$3:$G$100,2,0),"")</f>
        <v/>
      </c>
      <c r="Q83" s="332">
        <f>IFERROR(VLOOKUP(TEXT(O83,"0"),CONDUCTORES!$A$3:$H$100,6,0),"")</f>
        <v/>
      </c>
      <c r="R83" s="280" t="n"/>
      <c r="S83" s="305" t="inlineStr">
        <is>
          <t>R104,K359</t>
        </is>
      </c>
      <c r="T83" s="241" t="inlineStr">
        <is>
          <t>APROBADO</t>
        </is>
      </c>
      <c r="U83" s="280" t="n"/>
      <c r="V83" s="305" t="n"/>
      <c r="W83" s="241" t="n"/>
      <c r="X83" s="241" t="n"/>
      <c r="Y83" s="280" t="n"/>
      <c r="Z83" s="350">
        <f>IF(AND(R83&lt;&gt;"",V83&lt;&gt;"",W83&lt;&gt;""),"ENTREGADO","POR RECOGER")</f>
        <v/>
      </c>
      <c r="AA83" s="198" t="n"/>
      <c r="AB83" s="198" t="n"/>
      <c r="AC83" s="198" t="n"/>
    </row>
    <row r="84" ht="15.75" customHeight="1" s="195">
      <c r="A84" s="301" t="n">
        <v>79</v>
      </c>
      <c r="B84" s="302" t="n"/>
      <c r="C84" s="301" t="inlineStr">
        <is>
          <t>REGION</t>
        </is>
      </c>
      <c r="D84" s="302" t="inlineStr">
        <is>
          <t>CHUQUIMANGO GOICOCHEA JHONER LUGO</t>
        </is>
      </c>
      <c r="E84" s="301" t="inlineStr">
        <is>
          <t>DNI</t>
        </is>
      </c>
      <c r="F84" s="301" t="inlineStr">
        <is>
          <t>63289165</t>
        </is>
      </c>
      <c r="G84" s="331" t="n">
        <v>46075</v>
      </c>
      <c r="H84" s="301" t="inlineStr">
        <is>
          <t>4874</t>
        </is>
      </c>
      <c r="I84" s="332">
        <f>IFERROR(VLOOKUP(TEXT(H84,"0"),IPRESS!$A$3:$B$212,2,0),"")</f>
        <v/>
      </c>
      <c r="J84" s="301" t="inlineStr">
        <is>
          <t>5125</t>
        </is>
      </c>
      <c r="K84" s="332" t="inlineStr">
        <is>
          <t>PETROLEO</t>
        </is>
      </c>
      <c r="L84" s="245" t="n">
        <v>18.18</v>
      </c>
      <c r="M84" s="245" t="n">
        <v>20</v>
      </c>
      <c r="N84" s="333">
        <f>IFERROR(IF(L84*M84=0,"",L84*M84),"")</f>
        <v/>
      </c>
      <c r="O84" s="276" t="inlineStr">
        <is>
          <t>75492112</t>
        </is>
      </c>
      <c r="P84" s="332">
        <f>IFERROR(VLOOKUP(TEXT(O84,"0"),CONDUCTORES!$A$3:$G$100,2,0),"")</f>
        <v/>
      </c>
      <c r="Q84" s="332">
        <f>IFERROR(VLOOKUP(TEXT(O84,"0"),CONDUCTORES!$A$3:$H$100,6,0),"")</f>
        <v/>
      </c>
      <c r="R84" s="334" t="n"/>
      <c r="S84" s="302" t="inlineStr">
        <is>
          <t>K359</t>
        </is>
      </c>
      <c r="T84" s="301" t="inlineStr">
        <is>
          <t>APROBADO</t>
        </is>
      </c>
      <c r="U84" s="334" t="n"/>
      <c r="V84" s="302" t="n"/>
      <c r="W84" s="301" t="n"/>
      <c r="X84" s="301" t="n"/>
      <c r="Y84" s="280" t="n"/>
      <c r="Z84" s="350">
        <f>IF(AND(R84&lt;&gt;"",V84&lt;&gt;"",W84&lt;&gt;""),"ENTREGADO","POR RECOGER")</f>
        <v/>
      </c>
      <c r="AA84" s="198" t="n"/>
      <c r="AB84" s="198" t="n"/>
      <c r="AC84" s="198" t="n"/>
    </row>
    <row r="85" ht="15.75" customHeight="1" s="195">
      <c r="A85" s="241" t="n">
        <v>80</v>
      </c>
      <c r="B85" s="305" t="n"/>
      <c r="C85" s="241" t="inlineStr">
        <is>
          <t>REGION</t>
        </is>
      </c>
      <c r="D85" s="305" t="inlineStr">
        <is>
          <t>CULQUE CAMAN APOLINAR</t>
        </is>
      </c>
      <c r="E85" s="241" t="inlineStr">
        <is>
          <t>DNI</t>
        </is>
      </c>
      <c r="F85" s="241" t="inlineStr">
        <is>
          <t>48968517</t>
        </is>
      </c>
      <c r="G85" s="336" t="n">
        <v>46076</v>
      </c>
      <c r="H85" s="241" t="inlineStr">
        <is>
          <t>4904</t>
        </is>
      </c>
      <c r="I85" s="332">
        <f>IFERROR(VLOOKUP(TEXT(H85,"0"),IPRESS!$A$3:$B$212,2,0),"")</f>
        <v/>
      </c>
      <c r="J85" s="241" t="inlineStr">
        <is>
          <t>4838</t>
        </is>
      </c>
      <c r="K85" s="332" t="inlineStr">
        <is>
          <t>PETROLEO</t>
        </is>
      </c>
      <c r="L85" s="239" t="n">
        <v>18.18</v>
      </c>
      <c r="M85" s="239" t="n">
        <v>6</v>
      </c>
      <c r="N85" s="333">
        <f>IFERROR(IF(L85*M85=0,"",L85*M85),"")</f>
        <v/>
      </c>
      <c r="O85" s="241" t="inlineStr">
        <is>
          <t>40051255</t>
        </is>
      </c>
      <c r="P85" s="332">
        <f>IFERROR(VLOOKUP(TEXT(O85,"0"),CONDUCTORES!$A$3:$G$100,2,0),"")</f>
        <v/>
      </c>
      <c r="Q85" s="332">
        <f>IFERROR(VLOOKUP(TEXT(O85,"0"),CONDUCTORES!$A$3:$H$100,6,0),"")</f>
        <v/>
      </c>
      <c r="R85" s="280" t="n"/>
      <c r="S85" s="305" t="inlineStr">
        <is>
          <t>N179</t>
        </is>
      </c>
      <c r="T85" s="241" t="inlineStr">
        <is>
          <t>APROBADO</t>
        </is>
      </c>
      <c r="U85" s="280" t="n"/>
      <c r="V85" s="305" t="n"/>
      <c r="W85" s="241" t="n"/>
      <c r="X85" s="241" t="n"/>
      <c r="Y85" s="280" t="n"/>
      <c r="Z85" s="350">
        <f>IF(AND(R85&lt;&gt;"",V85&lt;&gt;"",W85&lt;&gt;""),"ENTREGADO","POR RECOGER")</f>
        <v/>
      </c>
      <c r="AA85" s="198" t="n"/>
      <c r="AB85" s="198" t="n"/>
      <c r="AC85" s="198" t="n"/>
    </row>
    <row r="86" ht="15.75" customHeight="1" s="195">
      <c r="A86" s="301" t="n">
        <v>81</v>
      </c>
      <c r="B86" s="302" t="n"/>
      <c r="C86" s="301" t="inlineStr">
        <is>
          <t>REGION</t>
        </is>
      </c>
      <c r="D86" s="302" t="inlineStr">
        <is>
          <t>ROCHA PORTOCARRERO JHONER</t>
        </is>
      </c>
      <c r="E86" s="301" t="inlineStr">
        <is>
          <t>DNI</t>
        </is>
      </c>
      <c r="F86" s="301" t="inlineStr">
        <is>
          <t>62461300</t>
        </is>
      </c>
      <c r="G86" s="331" t="n">
        <v>46076</v>
      </c>
      <c r="H86" s="301" t="inlineStr">
        <is>
          <t>4950</t>
        </is>
      </c>
      <c r="I86" s="332">
        <f>IFERROR(VLOOKUP(TEXT(H86,"0"),IPRESS!$A$3:$B$212,2,0),"")</f>
        <v/>
      </c>
      <c r="J86" s="301" t="inlineStr">
        <is>
          <t>4838</t>
        </is>
      </c>
      <c r="K86" s="332" t="inlineStr">
        <is>
          <t>PETROLEO</t>
        </is>
      </c>
      <c r="L86" s="245" t="n">
        <v>20.25</v>
      </c>
      <c r="M86" s="245" t="n">
        <v>7</v>
      </c>
      <c r="N86" s="333">
        <f>IFERROR(IF(L86*M86=0,"",L86*M86),"")</f>
        <v/>
      </c>
      <c r="O86" s="301" t="inlineStr">
        <is>
          <t>9990954</t>
        </is>
      </c>
      <c r="P86" s="332">
        <f>IFERROR(VLOOKUP(TEXT(O86,"0"),CONDUCTORES!$A$3:$G$100,2,0),"")</f>
        <v/>
      </c>
      <c r="Q86" s="332">
        <f>IFERROR(VLOOKUP(TEXT(O86,"0"),CONDUCTORES!$A$3:$H$100,6,0),"")</f>
        <v/>
      </c>
      <c r="R86" s="334" t="n"/>
      <c r="S86" s="302" t="inlineStr">
        <is>
          <t>S913</t>
        </is>
      </c>
      <c r="T86" s="301" t="inlineStr">
        <is>
          <t>APROBADO</t>
        </is>
      </c>
      <c r="U86" s="334" t="n"/>
      <c r="V86" s="302" t="n"/>
      <c r="W86" s="301" t="n"/>
      <c r="X86" s="301" t="n"/>
      <c r="Y86" s="280" t="n"/>
      <c r="Z86" s="350">
        <f>IF(AND(R86&lt;&gt;"",V86&lt;&gt;"",W86&lt;&gt;""),"ENTREGADO","POR RECOGER")</f>
        <v/>
      </c>
      <c r="AA86" s="198" t="n"/>
      <c r="AB86" s="198" t="n"/>
      <c r="AC86" s="198" t="n"/>
    </row>
    <row r="87" ht="15.75" customHeight="1" s="195">
      <c r="A87" s="241" t="n">
        <v>82</v>
      </c>
      <c r="B87" s="305" t="n"/>
      <c r="C87" s="241" t="inlineStr">
        <is>
          <t>REGION</t>
        </is>
      </c>
      <c r="D87" s="305" t="inlineStr">
        <is>
          <t>SANCHEZ DE GONGORA ZOILA FRANCISCA</t>
        </is>
      </c>
      <c r="E87" s="241" t="inlineStr">
        <is>
          <t>DNI</t>
        </is>
      </c>
      <c r="F87" s="241" t="inlineStr">
        <is>
          <t>33940132</t>
        </is>
      </c>
      <c r="G87" s="336" t="n">
        <v>46077</v>
      </c>
      <c r="H87" s="241" t="inlineStr">
        <is>
          <t>4950</t>
        </is>
      </c>
      <c r="I87" s="332">
        <f>IFERROR(VLOOKUP(TEXT(H87,"0"),IPRESS!$A$3:$B$212,2,0),"")</f>
        <v/>
      </c>
      <c r="J87" s="241" t="inlineStr">
        <is>
          <t>4838</t>
        </is>
      </c>
      <c r="K87" s="332" t="inlineStr">
        <is>
          <t>PETROLEO</t>
        </is>
      </c>
      <c r="L87" s="239" t="n">
        <v>20.25</v>
      </c>
      <c r="M87" s="239" t="n">
        <v>7</v>
      </c>
      <c r="N87" s="333">
        <f>IFERROR(IF(L87*M87=0,"",L87*M87),"")</f>
        <v/>
      </c>
      <c r="O87" s="241" t="n"/>
      <c r="P87" s="332">
        <f>IFERROR(VLOOKUP(TEXT(O87,"0"),CONDUCTORES!$A$3:$G$100,2,0),"")</f>
        <v/>
      </c>
      <c r="Q87" s="332">
        <f>IFERROR(VLOOKUP(TEXT(O87,"0"),CONDUCTORES!$A$3:$H$100,6,0),"")</f>
        <v/>
      </c>
      <c r="R87" s="280" t="n"/>
      <c r="S87" s="305" t="inlineStr">
        <is>
          <t>K566,I10X,E119</t>
        </is>
      </c>
      <c r="T87" s="241" t="inlineStr">
        <is>
          <t>APROBADO</t>
        </is>
      </c>
      <c r="U87" s="280" t="n"/>
      <c r="V87" s="305" t="n"/>
      <c r="W87" s="241" t="n"/>
      <c r="X87" s="241" t="n"/>
      <c r="Y87" s="280" t="n"/>
      <c r="Z87" s="350">
        <f>IF(AND(R87&lt;&gt;"",V87&lt;&gt;"",W87&lt;&gt;""),"ENTREGADO","POR RECOGER")</f>
        <v/>
      </c>
      <c r="AA87" s="198" t="n"/>
      <c r="AB87" s="198" t="n"/>
      <c r="AC87" s="198" t="n"/>
    </row>
    <row r="88" ht="15.75" customHeight="1" s="195">
      <c r="A88" s="337" t="n">
        <v>83</v>
      </c>
      <c r="B88" s="338" t="n"/>
      <c r="C88" s="337" t="inlineStr">
        <is>
          <t>REGION</t>
        </is>
      </c>
      <c r="D88" s="338" t="inlineStr">
        <is>
          <t>MONTOYA DETT ANDY ROMAIN</t>
        </is>
      </c>
      <c r="E88" s="337" t="inlineStr">
        <is>
          <t>DNI</t>
        </is>
      </c>
      <c r="F88" s="337" t="inlineStr">
        <is>
          <t>77022003</t>
        </is>
      </c>
      <c r="G88" s="339" t="n">
        <v>46077</v>
      </c>
      <c r="H88" s="337" t="inlineStr">
        <is>
          <t>4922</t>
        </is>
      </c>
      <c r="I88" s="332">
        <f>IFERROR(VLOOKUP(TEXT(H88,"0"),IPRESS!$A$3:$B$212,2,0),"")</f>
        <v/>
      </c>
      <c r="J88" s="337" t="inlineStr">
        <is>
          <t>4838</t>
        </is>
      </c>
      <c r="K88" s="357" t="inlineStr">
        <is>
          <t>GASOLINA</t>
        </is>
      </c>
      <c r="L88" s="340" t="n">
        <v>17.95</v>
      </c>
      <c r="M88" s="340" t="n">
        <v>6</v>
      </c>
      <c r="N88" s="333">
        <f>IFERROR(IF(L88*M88=0,"",L88*M88),"")</f>
        <v/>
      </c>
      <c r="O88" s="337" t="inlineStr">
        <is>
          <t>33401502</t>
        </is>
      </c>
      <c r="P88" s="332">
        <f>IFERROR(VLOOKUP(TEXT(O88,"0"),CONDUCTORES!$A$3:$G$100,2,0),"")</f>
        <v/>
      </c>
      <c r="Q88" s="332">
        <f>IFERROR(VLOOKUP(TEXT(O88,"0"),CONDUCTORES!$A$3:$H$100,6,0),"")</f>
        <v/>
      </c>
      <c r="R88" s="341" t="n"/>
      <c r="S88" s="338" t="inlineStr">
        <is>
          <t>R104,K359</t>
        </is>
      </c>
      <c r="T88" s="337" t="inlineStr">
        <is>
          <t>APROBADO</t>
        </is>
      </c>
      <c r="U88" s="341" t="n"/>
      <c r="V88" s="338" t="n"/>
      <c r="W88" s="337" t="n"/>
      <c r="X88" s="337" t="n"/>
      <c r="Y88" s="280" t="n"/>
      <c r="Z88" s="350">
        <f>IF(AND(R88&lt;&gt;"",V88&lt;&gt;"",W88&lt;&gt;""),"ENTREGADO","POR RECOGER")</f>
        <v/>
      </c>
      <c r="AA88" s="198" t="n"/>
      <c r="AB88" s="198" t="n"/>
      <c r="AC88" s="198" t="n"/>
    </row>
    <row r="89" ht="15.75" customHeight="1" s="195">
      <c r="A89" s="241" t="n">
        <v>84</v>
      </c>
      <c r="B89" s="305" t="n"/>
      <c r="C89" s="241" t="inlineStr">
        <is>
          <t>REGION</t>
        </is>
      </c>
      <c r="D89" s="305" t="inlineStr">
        <is>
          <t>GOSGOT DAZA ELODY STEISY</t>
        </is>
      </c>
      <c r="E89" s="241" t="inlineStr">
        <is>
          <t>DNI</t>
        </is>
      </c>
      <c r="F89" s="241" t="inlineStr">
        <is>
          <t>94527453</t>
        </is>
      </c>
      <c r="G89" s="336" t="n">
        <v>46077</v>
      </c>
      <c r="H89" s="241" t="inlineStr">
        <is>
          <t>4922</t>
        </is>
      </c>
      <c r="I89" s="332">
        <f>IFERROR(VLOOKUP(TEXT(H89,"0"),IPRESS!$A$3:$B$212,2,0),"")</f>
        <v/>
      </c>
      <c r="J89" s="241" t="inlineStr">
        <is>
          <t>4838</t>
        </is>
      </c>
      <c r="K89" s="332" t="inlineStr">
        <is>
          <t>PETROLEO</t>
        </is>
      </c>
      <c r="L89" s="239" t="n">
        <v>18.18</v>
      </c>
      <c r="M89" s="239" t="n">
        <v>5</v>
      </c>
      <c r="N89" s="333">
        <f>IFERROR(IF(L89*M89=0,"",L89*M89),"")</f>
        <v/>
      </c>
      <c r="O89" s="241" t="inlineStr">
        <is>
          <t>71640877</t>
        </is>
      </c>
      <c r="P89" s="332">
        <f>IFERROR(VLOOKUP(TEXT(O89,"0"),CONDUCTORES!$A$3:$G$100,2,0),"")</f>
        <v/>
      </c>
      <c r="Q89" s="332">
        <f>IFERROR(VLOOKUP(TEXT(O89,"0"),CONDUCTORES!$A$3:$H$100,6,0),"")</f>
        <v/>
      </c>
      <c r="R89" s="280" t="n"/>
      <c r="S89" s="305" t="inlineStr">
        <is>
          <t>A09X,P073</t>
        </is>
      </c>
      <c r="T89" s="241" t="inlineStr">
        <is>
          <t>APROBADO</t>
        </is>
      </c>
      <c r="U89" s="280" t="n"/>
      <c r="V89" s="305" t="n"/>
      <c r="W89" s="241" t="n"/>
      <c r="X89" s="241" t="n"/>
      <c r="Y89" s="280" t="n"/>
      <c r="Z89" s="350">
        <f>IF(AND(R89&lt;&gt;"",V89&lt;&gt;"",W89&lt;&gt;""),"ENTREGADO","POR RECOGER")</f>
        <v/>
      </c>
      <c r="AA89" s="198" t="n"/>
      <c r="AB89" s="198" t="n"/>
      <c r="AC89" s="198" t="n"/>
    </row>
    <row r="90" ht="15.75" customHeight="1" s="195">
      <c r="A90" s="301" t="n">
        <v>85</v>
      </c>
      <c r="B90" s="302" t="n"/>
      <c r="C90" s="301" t="inlineStr">
        <is>
          <t>REGION</t>
        </is>
      </c>
      <c r="D90" s="302" t="inlineStr">
        <is>
          <t>IRURETA QUINDE CLEYDI ELIZABETH</t>
        </is>
      </c>
      <c r="E90" s="301" t="inlineStr">
        <is>
          <t>DNI</t>
        </is>
      </c>
      <c r="F90" s="301" t="inlineStr">
        <is>
          <t>73497114</t>
        </is>
      </c>
      <c r="G90" s="331" t="n">
        <v>46077</v>
      </c>
      <c r="H90" s="301" t="inlineStr">
        <is>
          <t>4932</t>
        </is>
      </c>
      <c r="I90" s="332">
        <f>IFERROR(VLOOKUP(TEXT(H90,"0"),IPRESS!$A$3:$B$212,2,0),"")</f>
        <v/>
      </c>
      <c r="J90" s="301" t="inlineStr">
        <is>
          <t>4838</t>
        </is>
      </c>
      <c r="K90" s="332" t="inlineStr">
        <is>
          <t>PETROLEO</t>
        </is>
      </c>
      <c r="L90" s="245" t="n">
        <v>18.18</v>
      </c>
      <c r="M90" s="245" t="n">
        <v>6</v>
      </c>
      <c r="N90" s="333">
        <f>IFERROR(IF(L90*M90=0,"",L90*M90),"")</f>
        <v/>
      </c>
      <c r="O90" s="301" t="inlineStr">
        <is>
          <t>33726013</t>
        </is>
      </c>
      <c r="P90" s="332">
        <f>IFERROR(VLOOKUP(TEXT(O90,"0"),CONDUCTORES!$A$3:$G$100,2,0),"")</f>
        <v/>
      </c>
      <c r="Q90" s="332">
        <f>IFERROR(VLOOKUP(TEXT(O90,"0"),CONDUCTORES!$A$3:$H$100,6,0),"")</f>
        <v/>
      </c>
      <c r="R90" s="334" t="n"/>
      <c r="S90" s="302" t="inlineStr">
        <is>
          <t>Z359,S822</t>
        </is>
      </c>
      <c r="T90" s="301" t="inlineStr">
        <is>
          <t>APROBADO</t>
        </is>
      </c>
      <c r="U90" s="334" t="n"/>
      <c r="V90" s="302" t="n"/>
      <c r="W90" s="301" t="n"/>
      <c r="X90" s="301" t="n"/>
      <c r="Y90" s="280" t="n"/>
      <c r="Z90" s="350">
        <f>IF(AND(R90&lt;&gt;"",V90&lt;&gt;"",W90&lt;&gt;""),"ENTREGADO","POR RECOGER")</f>
        <v/>
      </c>
      <c r="AA90" s="198" t="n"/>
      <c r="AB90" s="198" t="n"/>
      <c r="AC90" s="198" t="n"/>
    </row>
    <row r="91" ht="15.75" customHeight="1" s="195">
      <c r="A91" s="241" t="n">
        <v>86</v>
      </c>
      <c r="B91" s="305" t="n"/>
      <c r="C91" s="241" t="inlineStr">
        <is>
          <t>REGION</t>
        </is>
      </c>
      <c r="D91" s="305" t="inlineStr">
        <is>
          <t>GRANDEZ RODRIGUEZ JOSE JOVITO</t>
        </is>
      </c>
      <c r="E91" s="241" t="inlineStr">
        <is>
          <t>DNI</t>
        </is>
      </c>
      <c r="F91" s="241" t="inlineStr">
        <is>
          <t>33942395</t>
        </is>
      </c>
      <c r="G91" s="336" t="n">
        <v>46077</v>
      </c>
      <c r="H91" s="241" t="inlineStr">
        <is>
          <t>4950</t>
        </is>
      </c>
      <c r="I91" s="332">
        <f>IFERROR(VLOOKUP(TEXT(H91,"0"),IPRESS!$A$3:$B$212,2,0),"")</f>
        <v/>
      </c>
      <c r="J91" s="241" t="inlineStr">
        <is>
          <t>4838</t>
        </is>
      </c>
      <c r="K91" s="332" t="inlineStr">
        <is>
          <t>PETROLEO</t>
        </is>
      </c>
      <c r="L91" s="239" t="n">
        <v>18.18</v>
      </c>
      <c r="M91" s="239" t="n">
        <v>10</v>
      </c>
      <c r="N91" s="333">
        <f>IFERROR(IF(L91*M91=0,"",L91*M91),"")</f>
        <v/>
      </c>
      <c r="O91" s="241" t="inlineStr">
        <is>
          <t>40083507</t>
        </is>
      </c>
      <c r="P91" s="332">
        <f>IFERROR(VLOOKUP(TEXT(O91,"0"),CONDUCTORES!$A$3:$G$100,2,0),"")</f>
        <v/>
      </c>
      <c r="Q91" s="332">
        <f>IFERROR(VLOOKUP(TEXT(O91,"0"),CONDUCTORES!$A$3:$H$100,6,0),"")</f>
        <v/>
      </c>
      <c r="R91" s="280" t="n"/>
      <c r="S91" s="305" t="inlineStr">
        <is>
          <t>S069,S021,I10X</t>
        </is>
      </c>
      <c r="T91" s="241" t="inlineStr">
        <is>
          <t>APROBADO</t>
        </is>
      </c>
      <c r="U91" s="280" t="n"/>
      <c r="V91" s="305" t="n"/>
      <c r="W91" s="241" t="n"/>
      <c r="X91" s="241" t="n"/>
      <c r="Y91" s="280" t="n"/>
      <c r="Z91" s="350">
        <f>IF(AND(R91&lt;&gt;"",V91&lt;&gt;"",W91&lt;&gt;""),"ENTREGADO","POR RECOGER")</f>
        <v/>
      </c>
      <c r="AA91" s="198" t="n"/>
      <c r="AB91" s="198" t="n"/>
      <c r="AC91" s="198" t="n"/>
    </row>
    <row r="92" ht="15.75" customHeight="1" s="195">
      <c r="A92" s="301" t="n">
        <v>87</v>
      </c>
      <c r="B92" s="302" t="n"/>
      <c r="C92" s="301" t="inlineStr">
        <is>
          <t>REGION</t>
        </is>
      </c>
      <c r="D92" s="302" t="inlineStr">
        <is>
          <t>PUSCAN PUERTA DANITZA</t>
        </is>
      </c>
      <c r="E92" s="301" t="inlineStr">
        <is>
          <t>DNI</t>
        </is>
      </c>
      <c r="F92" s="301" t="inlineStr">
        <is>
          <t>75050753</t>
        </is>
      </c>
      <c r="G92" s="331" t="n">
        <v>46077</v>
      </c>
      <c r="H92" s="301" t="inlineStr">
        <is>
          <t>4905</t>
        </is>
      </c>
      <c r="I92" s="332">
        <f>IFERROR(VLOOKUP(TEXT(H92,"0"),IPRESS!$A$3:$B$212,2,0),"")</f>
        <v/>
      </c>
      <c r="J92" s="301" t="inlineStr">
        <is>
          <t>4838</t>
        </is>
      </c>
      <c r="K92" s="332" t="inlineStr">
        <is>
          <t>PETROLEO</t>
        </is>
      </c>
      <c r="L92" s="245" t="n">
        <v>18.18</v>
      </c>
      <c r="M92" s="245" t="n">
        <v>7</v>
      </c>
      <c r="N92" s="333">
        <f>IFERROR(IF(L92*M92=0,"",L92*M92),"")</f>
        <v/>
      </c>
      <c r="O92" s="301" t="inlineStr">
        <is>
          <t>44894499</t>
        </is>
      </c>
      <c r="P92" s="332">
        <f>IFERROR(VLOOKUP(TEXT(O92,"0"),CONDUCTORES!$A$3:$G$100,2,0),"")</f>
        <v/>
      </c>
      <c r="Q92" s="332">
        <f>IFERROR(VLOOKUP(TEXT(O92,"0"),CONDUCTORES!$A$3:$H$100,6,0),"")</f>
        <v/>
      </c>
      <c r="R92" s="334" t="n"/>
      <c r="S92" s="302" t="inlineStr">
        <is>
          <t>R102,N939</t>
        </is>
      </c>
      <c r="T92" s="301" t="inlineStr">
        <is>
          <t>APROBADO</t>
        </is>
      </c>
      <c r="U92" s="334" t="n"/>
      <c r="V92" s="302" t="n"/>
      <c r="W92" s="301" t="n"/>
      <c r="X92" s="301" t="n"/>
      <c r="Y92" s="280" t="n"/>
      <c r="Z92" s="350">
        <f>IF(AND(R92&lt;&gt;"",V92&lt;&gt;"",W92&lt;&gt;""),"ENTREGADO","POR RECOGER")</f>
        <v/>
      </c>
      <c r="AA92" s="198" t="n"/>
      <c r="AB92" s="198" t="n"/>
      <c r="AC92" s="198" t="n"/>
    </row>
    <row r="93" ht="15.75" customHeight="1" s="195">
      <c r="A93" s="241" t="n">
        <v>88</v>
      </c>
      <c r="B93" s="305" t="n"/>
      <c r="C93" s="241" t="inlineStr">
        <is>
          <t>REGION</t>
        </is>
      </c>
      <c r="D93" s="305" t="inlineStr">
        <is>
          <t>CRUZ DE CORTEGANA FLORINDA</t>
        </is>
      </c>
      <c r="E93" s="241" t="inlineStr">
        <is>
          <t>DNI</t>
        </is>
      </c>
      <c r="F93" s="241" t="inlineStr">
        <is>
          <t>33426858</t>
        </is>
      </c>
      <c r="G93" s="336" t="n">
        <v>46078</v>
      </c>
      <c r="H93" s="241" t="inlineStr">
        <is>
          <t>4922</t>
        </is>
      </c>
      <c r="I93" s="332">
        <f>IFERROR(VLOOKUP(TEXT(H93,"0"),IPRESS!$A$3:$B$212,2,0),"")</f>
        <v/>
      </c>
      <c r="J93" s="241" t="inlineStr">
        <is>
          <t>4838</t>
        </is>
      </c>
      <c r="K93" s="332" t="inlineStr">
        <is>
          <t>PETROLEO</t>
        </is>
      </c>
      <c r="L93" s="239" t="n">
        <v>18.18</v>
      </c>
      <c r="M93" s="239" t="n">
        <v>5</v>
      </c>
      <c r="N93" s="333">
        <f>IFERROR(IF(L93*M93=0,"",L93*M93),"")</f>
        <v/>
      </c>
      <c r="O93" s="241" t="n"/>
      <c r="P93" s="332">
        <f>IFERROR(VLOOKUP(TEXT(O93,"0"),CONDUCTORES!$A$3:$G$100,2,0),"")</f>
        <v/>
      </c>
      <c r="Q93" s="332">
        <f>IFERROR(VLOOKUP(TEXT(O93,"0"),CONDUCTORES!$A$3:$H$100,6,0),"")</f>
        <v/>
      </c>
      <c r="R93" s="280" t="n"/>
      <c r="S93" s="305" t="inlineStr">
        <is>
          <t>K85X,K803</t>
        </is>
      </c>
      <c r="T93" s="241" t="inlineStr">
        <is>
          <t>APROBADO</t>
        </is>
      </c>
      <c r="U93" s="280" t="n"/>
      <c r="V93" s="305" t="n"/>
      <c r="W93" s="241" t="n"/>
      <c r="X93" s="241" t="n"/>
      <c r="Y93" s="280" t="n"/>
      <c r="Z93" s="350">
        <f>IF(AND(R93&lt;&gt;"",V93&lt;&gt;"",W93&lt;&gt;""),"ENTREGADO","POR RECOGER")</f>
        <v/>
      </c>
      <c r="AA93" s="198" t="n"/>
      <c r="AB93" s="198" t="n"/>
      <c r="AC93" s="198" t="n"/>
    </row>
    <row r="94" ht="15.75" customHeight="1" s="195">
      <c r="A94" s="301" t="n">
        <v>89</v>
      </c>
      <c r="B94" s="302" t="n"/>
      <c r="C94" s="301" t="inlineStr">
        <is>
          <t>REGION</t>
        </is>
      </c>
      <c r="D94" s="302" t="inlineStr">
        <is>
          <t>TRUJILLO VIERA EDISA</t>
        </is>
      </c>
      <c r="E94" s="301" t="inlineStr">
        <is>
          <t>DNI</t>
        </is>
      </c>
      <c r="F94" s="301" t="inlineStr">
        <is>
          <t>44027111</t>
        </is>
      </c>
      <c r="G94" s="331" t="n">
        <v>46078</v>
      </c>
      <c r="H94" s="301" t="inlineStr">
        <is>
          <t>4922</t>
        </is>
      </c>
      <c r="I94" s="332">
        <f>IFERROR(VLOOKUP(TEXT(H94,"0"),IPRESS!$A$3:$B$212,2,0),"")</f>
        <v/>
      </c>
      <c r="J94" s="301" t="inlineStr">
        <is>
          <t>4838</t>
        </is>
      </c>
      <c r="K94" s="332" t="inlineStr">
        <is>
          <t>PETROLEO</t>
        </is>
      </c>
      <c r="L94" s="245" t="n">
        <v>18.18</v>
      </c>
      <c r="M94" s="245" t="n">
        <v>5</v>
      </c>
      <c r="N94" s="333">
        <f>IFERROR(IF(L94*M94=0,"",L94*M94),"")</f>
        <v/>
      </c>
      <c r="O94" s="301" t="inlineStr">
        <is>
          <t>33401502</t>
        </is>
      </c>
      <c r="P94" s="332">
        <f>IFERROR(VLOOKUP(TEXT(O94,"0"),CONDUCTORES!$A$3:$G$100,2,0),"")</f>
        <v/>
      </c>
      <c r="Q94" s="332">
        <f>IFERROR(VLOOKUP(TEXT(O94,"0"),CONDUCTORES!$A$3:$H$100,6,0),"")</f>
        <v/>
      </c>
      <c r="R94" s="334" t="n"/>
      <c r="S94" s="302" t="inlineStr">
        <is>
          <t>R702,I200</t>
        </is>
      </c>
      <c r="T94" s="301" t="inlineStr">
        <is>
          <t>APROBADO</t>
        </is>
      </c>
      <c r="U94" s="334" t="n"/>
      <c r="V94" s="302" t="n"/>
      <c r="W94" s="301" t="n"/>
      <c r="X94" s="301" t="n"/>
      <c r="Y94" s="280" t="n"/>
      <c r="Z94" s="350">
        <f>IF(AND(R94&lt;&gt;"",V94&lt;&gt;"",W94&lt;&gt;""),"ENTREGADO","POR RECOGER")</f>
        <v/>
      </c>
      <c r="AA94" s="198" t="n"/>
      <c r="AB94" s="198" t="n"/>
      <c r="AC94" s="198" t="n"/>
    </row>
    <row r="95" ht="15.75" customHeight="1" s="195">
      <c r="A95" s="241" t="n">
        <v>90</v>
      </c>
      <c r="B95" s="305" t="n"/>
      <c r="C95" s="241" t="inlineStr">
        <is>
          <t>REGION</t>
        </is>
      </c>
      <c r="D95" s="305" t="inlineStr">
        <is>
          <t>ROJAS RIMARACHIN JAYDEN GADIEL</t>
        </is>
      </c>
      <c r="E95" s="241" t="inlineStr">
        <is>
          <t>DNI</t>
        </is>
      </c>
      <c r="F95" s="241" t="inlineStr">
        <is>
          <t>94267570</t>
        </is>
      </c>
      <c r="G95" s="336" t="n">
        <v>46078</v>
      </c>
      <c r="H95" s="241" t="inlineStr">
        <is>
          <t>4932</t>
        </is>
      </c>
      <c r="I95" s="332">
        <f>IFERROR(VLOOKUP(TEXT(H95,"0"),IPRESS!$A$3:$B$212,2,0),"")</f>
        <v/>
      </c>
      <c r="J95" s="241" t="inlineStr">
        <is>
          <t>4838</t>
        </is>
      </c>
      <c r="K95" s="332" t="inlineStr">
        <is>
          <t>PETROLEO</t>
        </is>
      </c>
      <c r="L95" s="239" t="n">
        <v>18.18</v>
      </c>
      <c r="M95" s="239" t="n">
        <v>6</v>
      </c>
      <c r="N95" s="333">
        <f>IFERROR(IF(L95*M95=0,"",L95*M95),"")</f>
        <v/>
      </c>
      <c r="O95" s="241" t="inlineStr">
        <is>
          <t>33727119</t>
        </is>
      </c>
      <c r="P95" s="332">
        <f>IFERROR(VLOOKUP(TEXT(O95,"0"),CONDUCTORES!$A$3:$G$100,2,0),"")</f>
        <v/>
      </c>
      <c r="Q95" s="332">
        <f>IFERROR(VLOOKUP(TEXT(O95,"0"),CONDUCTORES!$A$3:$H$100,6,0),"")</f>
        <v/>
      </c>
      <c r="R95" s="280" t="n"/>
      <c r="S95" s="305" t="inlineStr">
        <is>
          <t>R560,J020</t>
        </is>
      </c>
      <c r="T95" s="241" t="inlineStr">
        <is>
          <t>APROBADO</t>
        </is>
      </c>
      <c r="U95" s="280" t="n"/>
      <c r="V95" s="305" t="n"/>
      <c r="W95" s="241" t="n"/>
      <c r="X95" s="241" t="n"/>
      <c r="Y95" s="280" t="n"/>
      <c r="Z95" s="350">
        <f>IF(AND(R95&lt;&gt;"",V95&lt;&gt;"",W95&lt;&gt;""),"ENTREGADO","POR RECOGER")</f>
        <v/>
      </c>
      <c r="AA95" s="198" t="n"/>
      <c r="AB95" s="198" t="n"/>
      <c r="AC95" s="198" t="n"/>
    </row>
    <row r="96" ht="15.75" customHeight="1" s="195">
      <c r="A96" s="301" t="n">
        <v>91</v>
      </c>
      <c r="B96" s="302" t="n"/>
      <c r="C96" s="301" t="inlineStr">
        <is>
          <t>REGION</t>
        </is>
      </c>
      <c r="D96" s="302" t="inlineStr">
        <is>
          <t>ARBILDO VILLA JOSE PORFIRIO</t>
        </is>
      </c>
      <c r="E96" s="301" t="inlineStr">
        <is>
          <t>DNI</t>
        </is>
      </c>
      <c r="F96" s="301" t="inlineStr">
        <is>
          <t>33952707</t>
        </is>
      </c>
      <c r="G96" s="331" t="n">
        <v>46079</v>
      </c>
      <c r="H96" s="301" t="inlineStr">
        <is>
          <t>4950</t>
        </is>
      </c>
      <c r="I96" s="332">
        <f>IFERROR(VLOOKUP(TEXT(H96,"0"),IPRESS!$A$3:$B$212,2,0),"")</f>
        <v/>
      </c>
      <c r="J96" s="301" t="inlineStr">
        <is>
          <t>4838</t>
        </is>
      </c>
      <c r="K96" s="332" t="inlineStr">
        <is>
          <t>PETROLEO</t>
        </is>
      </c>
      <c r="L96" s="245" t="n">
        <v>20.25</v>
      </c>
      <c r="M96" s="245" t="n">
        <v>7</v>
      </c>
      <c r="N96" s="333">
        <f>IFERROR(IF(L96*M96=0,"",L96*M96),"")</f>
        <v/>
      </c>
      <c r="O96" s="301" t="inlineStr">
        <is>
          <t>42333513</t>
        </is>
      </c>
      <c r="P96" s="332">
        <f>IFERROR(VLOOKUP(TEXT(O96,"0"),CONDUCTORES!$A$3:$G$100,2,0),"")</f>
        <v/>
      </c>
      <c r="Q96" s="332">
        <f>IFERROR(VLOOKUP(TEXT(O96,"0"),CONDUCTORES!$A$3:$H$100,6,0),"")</f>
        <v/>
      </c>
      <c r="R96" s="334" t="n"/>
      <c r="S96" s="302" t="inlineStr">
        <is>
          <t>S069,S223,T07X</t>
        </is>
      </c>
      <c r="T96" s="301" t="inlineStr">
        <is>
          <t>APROBADO</t>
        </is>
      </c>
      <c r="U96" s="334" t="n"/>
      <c r="V96" s="302" t="n"/>
      <c r="W96" s="301" t="n"/>
      <c r="X96" s="301" t="n"/>
      <c r="Y96" s="280" t="n"/>
      <c r="Z96" s="350">
        <f>IF(AND(R96&lt;&gt;"",V96&lt;&gt;"",W96&lt;&gt;""),"ENTREGADO","POR RECOGER")</f>
        <v/>
      </c>
      <c r="AA96" s="198" t="n"/>
      <c r="AB96" s="198" t="n"/>
      <c r="AC96" s="198" t="n"/>
    </row>
    <row r="97" ht="15.75" customHeight="1" s="195">
      <c r="A97" s="351" t="n">
        <v>92</v>
      </c>
      <c r="B97" s="352" t="n"/>
      <c r="C97" s="351" t="inlineStr">
        <is>
          <t>REGION</t>
        </is>
      </c>
      <c r="D97" s="352" t="inlineStr">
        <is>
          <t xml:space="preserve">LOPEZ MONTOYA JOSE ALCIDES </t>
        </is>
      </c>
      <c r="E97" s="351" t="inlineStr">
        <is>
          <t>DNI</t>
        </is>
      </c>
      <c r="F97" s="351" t="inlineStr">
        <is>
          <t>33952489</t>
        </is>
      </c>
      <c r="G97" s="353" t="n">
        <v>46079</v>
      </c>
      <c r="H97" s="351" t="inlineStr">
        <is>
          <t>4950</t>
        </is>
      </c>
      <c r="I97" s="332">
        <f>IFERROR(VLOOKUP(TEXT(H97,"0"),IPRESS!$A$3:$B$212,2,0),"")</f>
        <v/>
      </c>
      <c r="J97" s="351" t="inlineStr">
        <is>
          <t>4838</t>
        </is>
      </c>
      <c r="K97" s="332" t="inlineStr">
        <is>
          <t>PETROLEO</t>
        </is>
      </c>
      <c r="L97" s="354" t="n">
        <v>20.25</v>
      </c>
      <c r="M97" s="354" t="n">
        <v>10</v>
      </c>
      <c r="N97" s="333">
        <f>IFERROR(IF(L97*M97=0,"",L97*M97),"")</f>
        <v/>
      </c>
      <c r="O97" s="351" t="inlineStr">
        <is>
          <t>33962415</t>
        </is>
      </c>
      <c r="P97" s="332">
        <f>IFERROR(VLOOKUP(TEXT(O97,"0"),CONDUCTORES!$A$3:$G$100,2,0),"")</f>
        <v/>
      </c>
      <c r="Q97" s="332">
        <f>IFERROR(VLOOKUP(TEXT(O97,"0"),CONDUCTORES!$A$3:$H$100,6,0),"")</f>
        <v/>
      </c>
      <c r="R97" s="355" t="n"/>
      <c r="S97" s="352" t="inlineStr">
        <is>
          <t>I64X</t>
        </is>
      </c>
      <c r="T97" s="351" t="inlineStr">
        <is>
          <t>APROBADO</t>
        </is>
      </c>
      <c r="U97" s="355" t="n"/>
      <c r="V97" s="352" t="n"/>
      <c r="W97" s="351" t="n"/>
      <c r="X97" s="351" t="n"/>
      <c r="Y97" s="356" t="inlineStr">
        <is>
          <t>OMIA</t>
        </is>
      </c>
      <c r="Z97" s="350">
        <f>IF(AND(R97&lt;&gt;"",V97&lt;&gt;"",W97&lt;&gt;""),"ENTREGADO","POR RECOGER")</f>
        <v/>
      </c>
      <c r="AA97" s="198" t="n"/>
      <c r="AB97" s="198" t="n"/>
      <c r="AC97" s="198" t="n"/>
    </row>
    <row r="98" ht="15.75" customHeight="1" s="195">
      <c r="A98" s="301" t="n">
        <v>93</v>
      </c>
      <c r="B98" s="302" t="n"/>
      <c r="C98" s="301" t="inlineStr">
        <is>
          <t>REGION</t>
        </is>
      </c>
      <c r="D98" s="302" t="inlineStr">
        <is>
          <t>SALAZAR SALAZAR YSIDORO</t>
        </is>
      </c>
      <c r="E98" s="301" t="inlineStr">
        <is>
          <t>DNI</t>
        </is>
      </c>
      <c r="F98" s="301" t="inlineStr">
        <is>
          <t>33940526</t>
        </is>
      </c>
      <c r="G98" s="331" t="n">
        <v>46080</v>
      </c>
      <c r="H98" s="301" t="inlineStr">
        <is>
          <t>4950</t>
        </is>
      </c>
      <c r="I98" s="332">
        <f>IFERROR(VLOOKUP(TEXT(H98,"0"),IPRESS!$A$3:$B$212,2,0),"")</f>
        <v/>
      </c>
      <c r="J98" s="301" t="inlineStr">
        <is>
          <t>4838</t>
        </is>
      </c>
      <c r="K98" s="332" t="inlineStr">
        <is>
          <t>PETROLEO</t>
        </is>
      </c>
      <c r="L98" s="245" t="n">
        <v>20.25</v>
      </c>
      <c r="M98" s="245" t="n">
        <v>7</v>
      </c>
      <c r="N98" s="333">
        <f>IFERROR(IF(L98*M98=0,"",L98*M98),"")</f>
        <v/>
      </c>
      <c r="O98" s="301" t="inlineStr">
        <is>
          <t>42333513</t>
        </is>
      </c>
      <c r="P98" s="332">
        <f>IFERROR(VLOOKUP(TEXT(O98,"0"),CONDUCTORES!$A$3:$G$100,2,0),"")</f>
        <v/>
      </c>
      <c r="Q98" s="332">
        <f>IFERROR(VLOOKUP(TEXT(O98,"0"),CONDUCTORES!$A$3:$H$100,6,0),"")</f>
        <v/>
      </c>
      <c r="R98" s="334" t="n"/>
      <c r="S98" s="302" t="inlineStr">
        <is>
          <t>J960</t>
        </is>
      </c>
      <c r="T98" s="301" t="inlineStr">
        <is>
          <t>APROBADO</t>
        </is>
      </c>
      <c r="U98" s="334" t="n"/>
      <c r="V98" s="302" t="n"/>
      <c r="W98" s="301" t="n"/>
      <c r="X98" s="301" t="n"/>
      <c r="Y98" s="280" t="n"/>
      <c r="Z98" s="350">
        <f>IF(AND(R98&lt;&gt;"",V98&lt;&gt;"",W98&lt;&gt;""),"ENTREGADO","POR RECOGER")</f>
        <v/>
      </c>
      <c r="AA98" s="198" t="n"/>
      <c r="AB98" s="198" t="n"/>
      <c r="AC98" s="198" t="n"/>
    </row>
    <row r="99" ht="15.75" customHeight="1" s="195">
      <c r="A99" s="241" t="n">
        <v>94</v>
      </c>
      <c r="B99" s="305" t="n"/>
      <c r="C99" s="241" t="inlineStr">
        <is>
          <t>REGION</t>
        </is>
      </c>
      <c r="D99" s="305" t="inlineStr">
        <is>
          <t>MORAN CASERES DORA BEATRIZ</t>
        </is>
      </c>
      <c r="E99" s="241" t="inlineStr">
        <is>
          <t>DNI</t>
        </is>
      </c>
      <c r="F99" s="241" t="inlineStr">
        <is>
          <t>46693174</t>
        </is>
      </c>
      <c r="G99" s="336" t="n">
        <v>46080</v>
      </c>
      <c r="H99" s="241" t="inlineStr">
        <is>
          <t>4922</t>
        </is>
      </c>
      <c r="I99" s="332">
        <f>IFERROR(VLOOKUP(TEXT(H99,"0"),IPRESS!$A$3:$B$212,2,0),"")</f>
        <v/>
      </c>
      <c r="J99" s="241" t="inlineStr">
        <is>
          <t>4838</t>
        </is>
      </c>
      <c r="K99" s="332" t="inlineStr">
        <is>
          <t>PETROLEO</t>
        </is>
      </c>
      <c r="L99" s="239" t="n">
        <v>17.95</v>
      </c>
      <c r="M99" s="239" t="n">
        <v>6</v>
      </c>
      <c r="N99" s="333">
        <f>IFERROR(IF(L99*M99=0,"",L99*M99),"")</f>
        <v/>
      </c>
      <c r="O99" s="241" t="inlineStr">
        <is>
          <t>71640877</t>
        </is>
      </c>
      <c r="P99" s="332">
        <f>IFERROR(VLOOKUP(TEXT(O99,"0"),CONDUCTORES!$A$3:$G$100,2,0),"")</f>
        <v/>
      </c>
      <c r="Q99" s="332">
        <f>IFERROR(VLOOKUP(TEXT(O99,"0"),CONDUCTORES!$A$3:$H$100,6,0),"")</f>
        <v/>
      </c>
      <c r="R99" s="280" t="n"/>
      <c r="S99" s="305" t="inlineStr">
        <is>
          <t>O60X,O235,O234</t>
        </is>
      </c>
      <c r="T99" s="241" t="inlineStr">
        <is>
          <t>APROBADO</t>
        </is>
      </c>
      <c r="U99" s="280" t="n"/>
      <c r="V99" s="305" t="n"/>
      <c r="W99" s="241" t="n"/>
      <c r="X99" s="241" t="n"/>
      <c r="Y99" s="280" t="n"/>
      <c r="Z99" s="350">
        <f>IF(AND(R99&lt;&gt;"",V99&lt;&gt;"",W99&lt;&gt;""),"ENTREGADO","POR RECOGER")</f>
        <v/>
      </c>
      <c r="AA99" s="198" t="n"/>
      <c r="AB99" s="198" t="n"/>
      <c r="AC99" s="198" t="n"/>
    </row>
    <row r="100" ht="15.75" customHeight="1" s="195">
      <c r="A100" s="301" t="n">
        <v>95</v>
      </c>
      <c r="B100" s="302" t="n"/>
      <c r="C100" s="301" t="inlineStr">
        <is>
          <t>REGION</t>
        </is>
      </c>
      <c r="D100" s="302" t="inlineStr">
        <is>
          <t>HUAMAN SALON ELIFIA</t>
        </is>
      </c>
      <c r="E100" s="301" t="inlineStr">
        <is>
          <t>DNI</t>
        </is>
      </c>
      <c r="F100" s="301" t="inlineStr">
        <is>
          <t>72732503</t>
        </is>
      </c>
      <c r="G100" s="331" t="n">
        <v>46080</v>
      </c>
      <c r="H100" s="301" t="inlineStr">
        <is>
          <t>4905</t>
        </is>
      </c>
      <c r="I100" s="332">
        <f>IFERROR(VLOOKUP(TEXT(H100,"0"),IPRESS!$A$3:$B$212,2,0),"")</f>
        <v/>
      </c>
      <c r="J100" s="301" t="inlineStr">
        <is>
          <t>4838</t>
        </is>
      </c>
      <c r="K100" s="332" t="inlineStr">
        <is>
          <t>PETROLEO</t>
        </is>
      </c>
      <c r="L100" s="245" t="n">
        <v>18.18</v>
      </c>
      <c r="M100" s="245" t="n">
        <v>7</v>
      </c>
      <c r="N100" s="333">
        <f>IFERROR(IF(L100*M100=0,"",L100*M100),"")</f>
        <v/>
      </c>
      <c r="O100" s="301" t="inlineStr">
        <is>
          <t>44894499</t>
        </is>
      </c>
      <c r="P100" s="332">
        <f>IFERROR(VLOOKUP(TEXT(O100,"0"),CONDUCTORES!$A$3:$G$100,2,0),"")</f>
        <v/>
      </c>
      <c r="Q100" s="332">
        <f>IFERROR(VLOOKUP(TEXT(O100,"0"),CONDUCTORES!$A$3:$H$100,6,0),"")</f>
        <v/>
      </c>
      <c r="R100" s="334" t="n"/>
      <c r="S100" s="302" t="inlineStr">
        <is>
          <t>O629</t>
        </is>
      </c>
      <c r="T100" s="301" t="inlineStr">
        <is>
          <t>APROBADO</t>
        </is>
      </c>
      <c r="U100" s="334" t="n"/>
      <c r="V100" s="302" t="n"/>
      <c r="W100" s="301" t="n"/>
      <c r="X100" s="301" t="n"/>
      <c r="Y100" s="280" t="n"/>
      <c r="Z100" s="350">
        <f>IF(AND(R100&lt;&gt;"",V100&lt;&gt;"",W100&lt;&gt;""),"ENTREGADO","POR RECOGER")</f>
        <v/>
      </c>
      <c r="AA100" s="198" t="n"/>
      <c r="AB100" s="198" t="n"/>
      <c r="AC100" s="198" t="n"/>
    </row>
    <row r="101" ht="15.75" customHeight="1" s="195">
      <c r="A101" s="241" t="n">
        <v>96</v>
      </c>
      <c r="B101" s="305" t="n"/>
      <c r="C101" s="241" t="inlineStr">
        <is>
          <t>REGION</t>
        </is>
      </c>
      <c r="D101" s="305" t="inlineStr">
        <is>
          <t>MONTENEGRO VARGAS SHARON MAITE</t>
        </is>
      </c>
      <c r="E101" s="241" t="inlineStr">
        <is>
          <t>DNI</t>
        </is>
      </c>
      <c r="F101" s="241" t="inlineStr">
        <is>
          <t>80810803</t>
        </is>
      </c>
      <c r="G101" s="336" t="n">
        <v>46080</v>
      </c>
      <c r="H101" s="241" t="inlineStr">
        <is>
          <t>4932</t>
        </is>
      </c>
      <c r="I101" s="332">
        <f>IFERROR(VLOOKUP(TEXT(H101,"0"),IPRESS!$A$3:$B$212,2,0),"")</f>
        <v/>
      </c>
      <c r="J101" s="241" t="inlineStr">
        <is>
          <t>4838</t>
        </is>
      </c>
      <c r="K101" s="332" t="inlineStr">
        <is>
          <t>PETROLEO</t>
        </is>
      </c>
      <c r="L101" s="239" t="n">
        <v>18.18</v>
      </c>
      <c r="M101" s="239" t="n">
        <v>6</v>
      </c>
      <c r="N101" s="333">
        <f>IFERROR(IF(L101*M101=0,"",L101*M101),"")</f>
        <v/>
      </c>
      <c r="O101" s="241" t="inlineStr">
        <is>
          <t>33726013</t>
        </is>
      </c>
      <c r="P101" s="332">
        <f>IFERROR(VLOOKUP(TEXT(O101,"0"),CONDUCTORES!$A$3:$G$100,2,0),"")</f>
        <v/>
      </c>
      <c r="Q101" s="332">
        <f>IFERROR(VLOOKUP(TEXT(O101,"0"),CONDUCTORES!$A$3:$H$100,6,0),"")</f>
        <v/>
      </c>
      <c r="R101" s="280" t="n"/>
      <c r="S101" s="305" t="inlineStr">
        <is>
          <t>R103,K358</t>
        </is>
      </c>
      <c r="T101" s="241" t="inlineStr">
        <is>
          <t>APROBADO</t>
        </is>
      </c>
      <c r="U101" s="280" t="n"/>
      <c r="V101" s="305" t="n"/>
      <c r="W101" s="241" t="n"/>
      <c r="X101" s="241" t="n"/>
      <c r="Y101" s="280" t="n"/>
      <c r="Z101" s="350">
        <f>IF(AND(R101&lt;&gt;"",V101&lt;&gt;"",W101&lt;&gt;""),"ENTREGADO","POR RECOGER")</f>
        <v/>
      </c>
      <c r="AA101" s="198" t="n"/>
      <c r="AB101" s="198" t="n"/>
      <c r="AC101" s="198" t="n"/>
    </row>
    <row r="102" ht="15.75" customHeight="1" s="195">
      <c r="A102" s="301" t="n">
        <v>97</v>
      </c>
      <c r="B102" s="302" t="n"/>
      <c r="C102" s="301" t="inlineStr">
        <is>
          <t>REGION</t>
        </is>
      </c>
      <c r="D102" s="302" t="inlineStr">
        <is>
          <t>VELA TAFUR HAMERLY</t>
        </is>
      </c>
      <c r="E102" s="301" t="inlineStr">
        <is>
          <t>DNI</t>
        </is>
      </c>
      <c r="F102" s="301" t="inlineStr">
        <is>
          <t>63380142</t>
        </is>
      </c>
      <c r="G102" s="331" t="n">
        <v>46080</v>
      </c>
      <c r="H102" s="301" t="inlineStr">
        <is>
          <t>4876</t>
        </is>
      </c>
      <c r="I102" s="332">
        <f>IFERROR(VLOOKUP(TEXT(H102,"0"),IPRESS!$A$3:$B$212,2,0),"")</f>
        <v/>
      </c>
      <c r="J102" s="301" t="inlineStr">
        <is>
          <t>5125</t>
        </is>
      </c>
      <c r="K102" s="332" t="inlineStr">
        <is>
          <t>PETROLEO</t>
        </is>
      </c>
      <c r="L102" s="245" t="n">
        <v>18.18</v>
      </c>
      <c r="M102" s="245" t="n">
        <v>26</v>
      </c>
      <c r="N102" s="333">
        <f>IFERROR(IF(L102*M102=0,"",L102*M102),"")</f>
        <v/>
      </c>
      <c r="O102" s="272" t="inlineStr">
        <is>
          <t>16712192</t>
        </is>
      </c>
      <c r="P102" s="332">
        <f>IFERROR(VLOOKUP(TEXT(O102,"0"),CONDUCTORES!$A$3:$G$100,2,0),"")</f>
        <v/>
      </c>
      <c r="Q102" s="332">
        <f>IFERROR(VLOOKUP(TEXT(O102,"0"),CONDUCTORES!$A$3:$H$100,6,0),"")</f>
        <v/>
      </c>
      <c r="R102" s="334" t="n"/>
      <c r="S102" s="302" t="inlineStr">
        <is>
          <t>K358</t>
        </is>
      </c>
      <c r="T102" s="301" t="inlineStr">
        <is>
          <t>APROBADO</t>
        </is>
      </c>
      <c r="U102" s="334" t="n"/>
      <c r="V102" s="302" t="n"/>
      <c r="W102" s="301" t="n"/>
      <c r="X102" s="301" t="n"/>
      <c r="Y102" s="280" t="n"/>
      <c r="Z102" s="350">
        <f>IF(AND(R102&lt;&gt;"",V102&lt;&gt;"",W102&lt;&gt;""),"ENTREGADO","POR RECOGER")</f>
        <v/>
      </c>
      <c r="AA102" s="198" t="n"/>
      <c r="AB102" s="198" t="n"/>
      <c r="AC102" s="198" t="n"/>
    </row>
    <row r="103" ht="15.75" customHeight="1" s="195">
      <c r="A103" s="241" t="n">
        <v>98</v>
      </c>
      <c r="B103" s="305" t="n"/>
      <c r="C103" s="241" t="inlineStr">
        <is>
          <t>REGION</t>
        </is>
      </c>
      <c r="D103" s="305" t="inlineStr">
        <is>
          <t>MILLA QUINTANA JORGE</t>
        </is>
      </c>
      <c r="E103" s="241" t="inlineStr">
        <is>
          <t>DNI</t>
        </is>
      </c>
      <c r="F103" s="241" t="inlineStr">
        <is>
          <t>9514524</t>
        </is>
      </c>
      <c r="G103" s="336" t="n">
        <v>46079</v>
      </c>
      <c r="H103" s="241" t="inlineStr">
        <is>
          <t>4866</t>
        </is>
      </c>
      <c r="I103" s="332">
        <f>IFERROR(VLOOKUP(TEXT(H103,"0"),IPRESS!$A$3:$B$212,2,0),"")</f>
        <v/>
      </c>
      <c r="J103" s="241" t="inlineStr">
        <is>
          <t>4838</t>
        </is>
      </c>
      <c r="K103" s="332" t="inlineStr">
        <is>
          <t>PETROLEO</t>
        </is>
      </c>
      <c r="L103" s="239" t="n">
        <v>18.18</v>
      </c>
      <c r="M103" s="239" t="n">
        <v>4</v>
      </c>
      <c r="N103" s="333">
        <f>IFERROR(IF(L103*M103=0,"",L103*M103),"")</f>
        <v/>
      </c>
      <c r="O103" s="241" t="inlineStr">
        <is>
          <t>41614368</t>
        </is>
      </c>
      <c r="P103" s="332">
        <f>IFERROR(VLOOKUP(TEXT(O103,"0"),CONDUCTORES!$A$3:$G$100,2,0),"")</f>
        <v/>
      </c>
      <c r="Q103" s="332">
        <f>IFERROR(VLOOKUP(TEXT(O103,"0"),CONDUCTORES!$A$3:$H$100,6,0),"")</f>
        <v/>
      </c>
      <c r="R103" s="280" t="n"/>
      <c r="S103" s="305" t="inlineStr">
        <is>
          <t>E111</t>
        </is>
      </c>
      <c r="T103" s="241" t="inlineStr">
        <is>
          <t>APROBADO</t>
        </is>
      </c>
      <c r="U103" s="280" t="n"/>
      <c r="V103" s="305" t="n"/>
      <c r="W103" s="241" t="n"/>
      <c r="X103" s="241" t="n"/>
      <c r="Y103" s="280" t="n"/>
      <c r="Z103" s="350">
        <f>IF(AND(R103&lt;&gt;"",V103&lt;&gt;"",W103&lt;&gt;""),"ENTREGADO","POR RECOGER")</f>
        <v/>
      </c>
      <c r="AA103" s="198" t="n"/>
      <c r="AB103" s="198" t="n"/>
      <c r="AC103" s="198" t="n"/>
    </row>
    <row r="104" ht="15.75" customHeight="1" s="195">
      <c r="A104" s="301" t="n">
        <v>99</v>
      </c>
      <c r="B104" s="302" t="n"/>
      <c r="C104" s="301" t="inlineStr">
        <is>
          <t>REGION</t>
        </is>
      </c>
      <c r="D104" s="302" t="inlineStr">
        <is>
          <t>DIPIZ ROJAS DANNA ANTONELA</t>
        </is>
      </c>
      <c r="E104" s="301" t="inlineStr">
        <is>
          <t>DNI</t>
        </is>
      </c>
      <c r="F104" s="301" t="inlineStr">
        <is>
          <t>33787219</t>
        </is>
      </c>
      <c r="G104" s="331" t="n">
        <v>46081</v>
      </c>
      <c r="H104" s="301" t="inlineStr">
        <is>
          <t>4866</t>
        </is>
      </c>
      <c r="I104" s="332">
        <f>IFERROR(VLOOKUP(TEXT(H104,"0"),IPRESS!$A$3:$B$212,2,0),"")</f>
        <v/>
      </c>
      <c r="J104" s="301" t="inlineStr">
        <is>
          <t>4838</t>
        </is>
      </c>
      <c r="K104" s="332" t="inlineStr">
        <is>
          <t>PETROLEO</t>
        </is>
      </c>
      <c r="L104" s="245" t="n">
        <v>18.18</v>
      </c>
      <c r="M104" s="245" t="n">
        <v>4</v>
      </c>
      <c r="N104" s="333">
        <f>IFERROR(IF(L104*M104=0,"",L104*M104),"")</f>
        <v/>
      </c>
      <c r="O104" s="301" t="inlineStr">
        <is>
          <t>41614368</t>
        </is>
      </c>
      <c r="P104" s="332">
        <f>IFERROR(VLOOKUP(TEXT(O104,"0"),CONDUCTORES!$A$3:$G$100,2,0),"")</f>
        <v/>
      </c>
      <c r="Q104" s="332">
        <f>IFERROR(VLOOKUP(TEXT(O104,"0"),CONDUCTORES!$A$3:$H$100,6,0),"")</f>
        <v/>
      </c>
      <c r="R104" s="334" t="n"/>
      <c r="S104" s="302" t="inlineStr">
        <is>
          <t>J10X</t>
        </is>
      </c>
      <c r="T104" s="301" t="inlineStr">
        <is>
          <t>APROBADO</t>
        </is>
      </c>
      <c r="U104" s="334" t="n"/>
      <c r="V104" s="302" t="n"/>
      <c r="W104" s="301" t="n"/>
      <c r="X104" s="301" t="n"/>
      <c r="Y104" s="280" t="n"/>
      <c r="Z104" s="350">
        <f>IF(AND(R104&lt;&gt;"",V104&lt;&gt;"",W104&lt;&gt;""),"ENTREGADO","POR RECOGER")</f>
        <v/>
      </c>
      <c r="AA104" s="198" t="n"/>
      <c r="AB104" s="198" t="n"/>
      <c r="AC104" s="198" t="n"/>
    </row>
    <row r="105" ht="15" customHeight="1" s="195">
      <c r="A105" s="280" t="n"/>
      <c r="B105" s="280" t="n"/>
      <c r="C105" s="280" t="n"/>
      <c r="D105" s="280" t="n"/>
      <c r="E105" s="280" t="n"/>
      <c r="F105" s="280" t="n"/>
      <c r="G105" s="280" t="n"/>
      <c r="H105" s="280" t="n"/>
      <c r="I105" s="343" t="n"/>
      <c r="J105" s="280" t="n"/>
      <c r="K105" s="343" t="n"/>
      <c r="L105" s="280" t="n"/>
      <c r="M105" s="280" t="n"/>
      <c r="N105" s="345" t="n"/>
      <c r="O105" s="280" t="n"/>
      <c r="P105" s="343" t="n"/>
      <c r="Q105" s="343" t="n"/>
      <c r="R105" s="280" t="n"/>
      <c r="S105" s="280" t="n"/>
      <c r="T105" s="280" t="n"/>
      <c r="U105" s="280" t="n"/>
      <c r="V105" s="280" t="n"/>
      <c r="W105" s="280" t="n"/>
      <c r="X105" s="280" t="n"/>
      <c r="Y105" s="280" t="n"/>
      <c r="Z105" s="350" t="n"/>
      <c r="AA105" s="198" t="n"/>
      <c r="AB105" s="198" t="n"/>
      <c r="AC105" s="198" t="n"/>
    </row>
    <row r="106" ht="24" customHeight="1" s="195">
      <c r="A106" s="358" t="n"/>
      <c r="K106" s="343" t="n"/>
      <c r="L106" s="280" t="n"/>
      <c r="M106" s="359" t="n"/>
      <c r="N106" s="359" t="n"/>
      <c r="O106" s="280" t="n"/>
      <c r="P106" s="343" t="n"/>
      <c r="Q106" s="343" t="n"/>
      <c r="R106" s="280" t="n"/>
      <c r="S106" s="280" t="n"/>
      <c r="T106" s="280" t="n"/>
      <c r="U106" s="280" t="n"/>
      <c r="V106" s="280" t="n"/>
      <c r="W106" s="280" t="n"/>
      <c r="X106" s="280" t="n"/>
      <c r="Y106" s="280" t="n"/>
      <c r="Z106" s="350" t="n"/>
      <c r="AA106" s="198" t="n"/>
      <c r="AB106" s="198" t="n"/>
      <c r="AC106" s="198" t="n"/>
    </row>
    <row r="107" ht="15" customHeight="1" s="195">
      <c r="A107" s="280" t="n"/>
      <c r="B107" s="280" t="n"/>
      <c r="C107" s="280" t="n"/>
      <c r="D107" s="280" t="n"/>
      <c r="E107" s="280" t="n"/>
      <c r="F107" s="280" t="n"/>
      <c r="G107" s="280" t="n"/>
      <c r="H107" s="280" t="n"/>
      <c r="I107" s="343" t="n"/>
      <c r="J107" s="280" t="n"/>
      <c r="K107" s="343" t="n"/>
      <c r="L107" s="280" t="n"/>
      <c r="M107" s="280" t="n"/>
      <c r="N107" s="345" t="n"/>
      <c r="O107" s="280" t="n"/>
      <c r="P107" s="343" t="n"/>
      <c r="Q107" s="343" t="n"/>
      <c r="R107" s="280" t="n"/>
      <c r="S107" s="280" t="n"/>
      <c r="T107" s="280" t="n"/>
      <c r="U107" s="280" t="n"/>
      <c r="V107" s="280" t="n"/>
      <c r="W107" s="280" t="n"/>
      <c r="X107" s="280" t="n"/>
      <c r="Y107" s="280" t="n"/>
      <c r="Z107" s="350" t="n"/>
      <c r="AA107" s="198" t="n"/>
      <c r="AB107" s="198" t="n"/>
      <c r="AC107" s="198" t="n"/>
    </row>
    <row r="108" ht="15" customHeight="1" s="195">
      <c r="A108" s="280" t="n"/>
      <c r="B108" s="280" t="n"/>
      <c r="C108" s="280" t="n"/>
      <c r="D108" s="280" t="n"/>
      <c r="E108" s="280" t="n"/>
      <c r="F108" s="280" t="n"/>
      <c r="G108" s="280" t="n"/>
      <c r="H108" s="280" t="n"/>
      <c r="I108" s="343" t="n"/>
      <c r="J108" s="280" t="n"/>
      <c r="K108" s="343" t="n"/>
      <c r="L108" s="280" t="n"/>
      <c r="M108" s="280" t="n"/>
      <c r="N108" s="345" t="n"/>
      <c r="O108" s="280" t="n"/>
      <c r="P108" s="343" t="n"/>
      <c r="Q108" s="343" t="n"/>
      <c r="R108" s="280" t="n"/>
      <c r="S108" s="280" t="n"/>
      <c r="T108" s="280" t="n"/>
      <c r="U108" s="280" t="n"/>
      <c r="V108" s="280" t="n"/>
      <c r="W108" s="280" t="n"/>
      <c r="X108" s="280" t="n"/>
      <c r="Y108" s="280" t="n"/>
      <c r="Z108" s="350" t="n"/>
      <c r="AA108" s="198" t="n"/>
      <c r="AB108" s="198" t="n"/>
      <c r="AC108" s="198" t="n"/>
    </row>
    <row r="109" ht="15" customHeight="1" s="195">
      <c r="A109" s="280" t="n"/>
      <c r="B109" s="280" t="n"/>
      <c r="C109" s="280" t="n"/>
      <c r="D109" s="280" t="n"/>
      <c r="E109" s="280" t="n"/>
      <c r="F109" s="280" t="n"/>
      <c r="G109" s="280" t="n"/>
      <c r="H109" s="280" t="n"/>
      <c r="I109" s="332">
        <f>IFERROR(VLOOKUP(TEXT(H109,"0"),IPRESS!$A$3:$B$212,2,0),"")</f>
        <v/>
      </c>
      <c r="J109" s="280" t="n"/>
      <c r="K109" s="343" t="n"/>
      <c r="L109" s="280" t="n"/>
      <c r="M109" s="280" t="n"/>
      <c r="N109" s="345" t="n"/>
      <c r="O109" s="280" t="n"/>
      <c r="P109" s="332">
        <f>IFERROR(VLOOKUP(TEXT(O109,"0"),CONDUCTORES!$A$3:$G$54,2,0),"")</f>
        <v/>
      </c>
      <c r="Q109" s="332">
        <f>IFERROR(VLOOKUP(TEXT(O109,"0"),CONDUCTORES!$A$3:$H$54,6,0),"")</f>
        <v/>
      </c>
      <c r="R109" s="280" t="n"/>
      <c r="S109" s="280" t="n"/>
      <c r="T109" s="280" t="n"/>
      <c r="U109" s="280" t="n"/>
      <c r="V109" s="280" t="n"/>
      <c r="W109" s="280" t="n"/>
      <c r="X109" s="280" t="n"/>
      <c r="Y109" s="280" t="n"/>
      <c r="Z109" s="350" t="n"/>
      <c r="AA109" s="198" t="n"/>
      <c r="AB109" s="198" t="n"/>
      <c r="AC109" s="198" t="n"/>
    </row>
    <row r="110" ht="15" customHeight="1" s="195">
      <c r="A110" s="280" t="n"/>
      <c r="B110" s="280" t="n"/>
      <c r="C110" s="280" t="n"/>
      <c r="D110" s="280" t="n"/>
      <c r="E110" s="280" t="n"/>
      <c r="F110" s="280" t="n"/>
      <c r="G110" s="280" t="n"/>
      <c r="H110" s="280" t="n"/>
      <c r="I110" s="332">
        <f>IFERROR(VLOOKUP(TEXT(H110,"0"),IPRESS!$A$3:$B$212,2,0),"")</f>
        <v/>
      </c>
      <c r="J110" s="280" t="n"/>
      <c r="K110" s="343" t="n"/>
      <c r="L110" s="280" t="n"/>
      <c r="M110" s="280" t="n"/>
      <c r="N110" s="345" t="n"/>
      <c r="O110" s="280" t="n"/>
      <c r="P110" s="332">
        <f>IFERROR(VLOOKUP(TEXT(O110,"0"),CONDUCTORES!$A$3:$G$54,2,0),"")</f>
        <v/>
      </c>
      <c r="Q110" s="332">
        <f>IFERROR(VLOOKUP(TEXT(O110,"0"),CONDUCTORES!$A$3:$H$54,6,0),"")</f>
        <v/>
      </c>
      <c r="R110" s="280" t="n"/>
      <c r="S110" s="280" t="n"/>
      <c r="T110" s="280" t="n"/>
      <c r="U110" s="280" t="n"/>
      <c r="V110" s="280" t="n"/>
      <c r="W110" s="280" t="n"/>
      <c r="X110" s="280" t="n"/>
      <c r="Y110" s="280" t="n"/>
      <c r="Z110" s="350" t="n"/>
      <c r="AA110" s="198" t="n"/>
      <c r="AB110" s="198" t="n"/>
      <c r="AC110" s="198" t="n"/>
    </row>
    <row r="111" ht="15" customHeight="1" s="195">
      <c r="A111" s="280" t="n"/>
      <c r="B111" s="280" t="n"/>
      <c r="C111" s="280" t="n"/>
      <c r="D111" s="280" t="n"/>
      <c r="E111" s="280" t="n"/>
      <c r="F111" s="280" t="n"/>
      <c r="G111" s="280" t="n"/>
      <c r="H111" s="280" t="n"/>
      <c r="I111" s="332">
        <f>IFERROR(VLOOKUP(TEXT(H111,"0"),IPRESS!$A$3:$B$212,2,0),"")</f>
        <v/>
      </c>
      <c r="J111" s="280" t="n"/>
      <c r="K111" s="343" t="n"/>
      <c r="L111" s="280" t="n"/>
      <c r="M111" s="280" t="n"/>
      <c r="N111" s="345" t="n"/>
      <c r="O111" s="280" t="n"/>
      <c r="P111" s="332">
        <f>IFERROR(VLOOKUP(TEXT(O111,"0"),CONDUCTORES!$A$3:$G$54,2,0),"")</f>
        <v/>
      </c>
      <c r="Q111" s="332">
        <f>IFERROR(VLOOKUP(TEXT(O111,"0"),CONDUCTORES!$A$3:$H$54,6,0),"")</f>
        <v/>
      </c>
      <c r="R111" s="280" t="n"/>
      <c r="S111" s="280" t="n"/>
      <c r="T111" s="280" t="n"/>
      <c r="U111" s="280" t="n"/>
      <c r="V111" s="280" t="n"/>
      <c r="W111" s="280" t="n"/>
      <c r="X111" s="280" t="n"/>
      <c r="Y111" s="280" t="n"/>
      <c r="Z111" s="350" t="n"/>
      <c r="AA111" s="198" t="n"/>
      <c r="AB111" s="198" t="n"/>
      <c r="AC111" s="198" t="n"/>
    </row>
    <row r="112" ht="15" customHeight="1" s="195">
      <c r="A112" s="280" t="n"/>
      <c r="B112" s="280" t="n"/>
      <c r="C112" s="280" t="n"/>
      <c r="D112" s="280" t="n"/>
      <c r="E112" s="280" t="n"/>
      <c r="F112" s="280" t="n"/>
      <c r="G112" s="280" t="n"/>
      <c r="H112" s="280" t="n"/>
      <c r="I112" s="332">
        <f>IFERROR(VLOOKUP(TEXT(H112,"0"),IPRESS!$A$3:$B$212,2,0),"")</f>
        <v/>
      </c>
      <c r="J112" s="280" t="n"/>
      <c r="K112" s="343" t="n"/>
      <c r="L112" s="280" t="n"/>
      <c r="M112" s="280" t="n"/>
      <c r="N112" s="345" t="n"/>
      <c r="O112" s="280" t="n"/>
      <c r="P112" s="332">
        <f>IFERROR(VLOOKUP(TEXT(O112,"0"),CONDUCTORES!$A$3:$G$54,2,0),"")</f>
        <v/>
      </c>
      <c r="Q112" s="332">
        <f>IFERROR(VLOOKUP(TEXT(O112,"0"),CONDUCTORES!$A$3:$H$54,6,0),"")</f>
        <v/>
      </c>
      <c r="R112" s="280" t="n"/>
      <c r="S112" s="280" t="n"/>
      <c r="T112" s="280" t="n"/>
      <c r="U112" s="280" t="n"/>
      <c r="V112" s="280" t="n"/>
      <c r="W112" s="280" t="n"/>
      <c r="X112" s="280" t="n"/>
      <c r="Y112" s="280" t="n"/>
      <c r="Z112" s="350" t="n"/>
      <c r="AA112" s="198" t="n"/>
      <c r="AB112" s="198" t="n"/>
      <c r="AC112" s="198" t="n"/>
    </row>
    <row r="113" ht="15" customHeight="1" s="195">
      <c r="A113" s="280" t="n"/>
      <c r="B113" s="280" t="n"/>
      <c r="C113" s="280" t="n"/>
      <c r="D113" s="280" t="n"/>
      <c r="E113" s="280" t="n"/>
      <c r="F113" s="280" t="n"/>
      <c r="G113" s="280" t="n"/>
      <c r="H113" s="280" t="n"/>
      <c r="I113" s="332">
        <f>IFERROR(VLOOKUP(TEXT(H113,"0"),IPRESS!$A$3:$B$212,2,0),"")</f>
        <v/>
      </c>
      <c r="J113" s="280" t="n"/>
      <c r="K113" s="343" t="n"/>
      <c r="L113" s="280" t="n"/>
      <c r="M113" s="280" t="n"/>
      <c r="N113" s="345" t="n"/>
      <c r="O113" s="280" t="n"/>
      <c r="P113" s="332">
        <f>IFERROR(VLOOKUP(TEXT(O113,"0"),CONDUCTORES!$A$3:$G$54,2,0),"")</f>
        <v/>
      </c>
      <c r="Q113" s="332">
        <f>IFERROR(VLOOKUP(TEXT(O113,"0"),CONDUCTORES!$A$3:$H$54,6,0),"")</f>
        <v/>
      </c>
      <c r="R113" s="280" t="n"/>
      <c r="S113" s="280" t="n"/>
      <c r="T113" s="280" t="n"/>
      <c r="U113" s="280" t="n"/>
      <c r="V113" s="280" t="n"/>
      <c r="W113" s="280" t="n"/>
      <c r="X113" s="280" t="n"/>
      <c r="Y113" s="280" t="n"/>
      <c r="Z113" s="350" t="n"/>
      <c r="AA113" s="198" t="n"/>
      <c r="AB113" s="198" t="n"/>
      <c r="AC113" s="198" t="n"/>
    </row>
    <row r="114" ht="15" customHeight="1" s="195">
      <c r="A114" s="280" t="n"/>
      <c r="B114" s="280" t="n"/>
      <c r="C114" s="280" t="n"/>
      <c r="D114" s="280" t="n"/>
      <c r="E114" s="280" t="n"/>
      <c r="F114" s="280" t="n"/>
      <c r="G114" s="280" t="n"/>
      <c r="H114" s="280" t="n"/>
      <c r="I114" s="332">
        <f>IFERROR(VLOOKUP(TEXT(H114,"0"),IPRESS!$A$3:$B$212,2,0),"")</f>
        <v/>
      </c>
      <c r="J114" s="280" t="n"/>
      <c r="K114" s="343" t="n"/>
      <c r="L114" s="280" t="n"/>
      <c r="M114" s="280" t="n"/>
      <c r="N114" s="345" t="n"/>
      <c r="O114" s="280" t="n"/>
      <c r="P114" s="332">
        <f>IFERROR(VLOOKUP(TEXT(O114,"0"),CONDUCTORES!$A$3:$G$54,2,0),"")</f>
        <v/>
      </c>
      <c r="Q114" s="332">
        <f>IFERROR(VLOOKUP(TEXT(O114,"0"),CONDUCTORES!$A$3:$H$54,6,0),"")</f>
        <v/>
      </c>
      <c r="R114" s="280" t="n"/>
      <c r="S114" s="280" t="n"/>
      <c r="T114" s="280" t="n"/>
      <c r="U114" s="280" t="n"/>
      <c r="V114" s="280" t="n"/>
      <c r="W114" s="280" t="n"/>
      <c r="X114" s="280" t="n"/>
      <c r="Y114" s="280" t="n"/>
      <c r="Z114" s="350" t="n"/>
      <c r="AA114" s="198" t="n"/>
      <c r="AB114" s="198" t="n"/>
      <c r="AC114" s="198" t="n"/>
    </row>
    <row r="115" ht="15" customHeight="1" s="195">
      <c r="A115" s="280" t="n"/>
      <c r="B115" s="280" t="n"/>
      <c r="C115" s="280" t="n"/>
      <c r="D115" s="280" t="n"/>
      <c r="E115" s="280" t="n"/>
      <c r="F115" s="280" t="n"/>
      <c r="G115" s="280" t="n"/>
      <c r="H115" s="280" t="n"/>
      <c r="I115" s="332">
        <f>IFERROR(VLOOKUP(TEXT(H115,"0"),IPRESS!$A$3:$B$212,2,0),"")</f>
        <v/>
      </c>
      <c r="J115" s="280" t="n"/>
      <c r="K115" s="343" t="n"/>
      <c r="L115" s="280" t="n"/>
      <c r="M115" s="280" t="n"/>
      <c r="N115" s="345" t="n"/>
      <c r="O115" s="280" t="n"/>
      <c r="P115" s="332">
        <f>IFERROR(VLOOKUP(TEXT(O115,"0"),CONDUCTORES!$A$3:$G$54,2,0),"")</f>
        <v/>
      </c>
      <c r="Q115" s="332">
        <f>IFERROR(VLOOKUP(TEXT(O115,"0"),CONDUCTORES!$A$3:$H$54,6,0),"")</f>
        <v/>
      </c>
      <c r="R115" s="280" t="n"/>
      <c r="S115" s="280" t="n"/>
      <c r="T115" s="280" t="n"/>
      <c r="U115" s="280" t="n"/>
      <c r="V115" s="280" t="n"/>
      <c r="W115" s="280" t="n"/>
      <c r="X115" s="280" t="n"/>
      <c r="Y115" s="280" t="n"/>
      <c r="Z115" s="350" t="n"/>
      <c r="AA115" s="198" t="n"/>
      <c r="AB115" s="198" t="n"/>
      <c r="AC115" s="198" t="n"/>
    </row>
    <row r="116" ht="15" customHeight="1" s="195">
      <c r="A116" s="280" t="n"/>
      <c r="B116" s="280" t="n"/>
      <c r="C116" s="280" t="n"/>
      <c r="D116" s="280" t="n"/>
      <c r="E116" s="280" t="n"/>
      <c r="F116" s="280" t="n"/>
      <c r="G116" s="280" t="n"/>
      <c r="H116" s="280" t="n"/>
      <c r="I116" s="332">
        <f>IFERROR(VLOOKUP(TEXT(H116,"0"),IPRESS!$A$3:$B$212,2,0),"")</f>
        <v/>
      </c>
      <c r="J116" s="280" t="n"/>
      <c r="K116" s="343" t="n"/>
      <c r="L116" s="280" t="n"/>
      <c r="M116" s="280" t="n"/>
      <c r="N116" s="345" t="n"/>
      <c r="O116" s="280" t="n"/>
      <c r="P116" s="332">
        <f>IFERROR(VLOOKUP(TEXT(O116,"0"),CONDUCTORES!$A$3:$G$54,2,0),"")</f>
        <v/>
      </c>
      <c r="Q116" s="332">
        <f>IFERROR(VLOOKUP(TEXT(O116,"0"),CONDUCTORES!$A$3:$H$54,6,0),"")</f>
        <v/>
      </c>
      <c r="R116" s="280" t="n"/>
      <c r="S116" s="280" t="n"/>
      <c r="T116" s="280" t="n"/>
      <c r="U116" s="280" t="n"/>
      <c r="V116" s="280" t="n"/>
      <c r="W116" s="280" t="n"/>
      <c r="X116" s="280" t="n"/>
      <c r="Y116" s="280" t="n"/>
      <c r="Z116" s="350" t="n"/>
      <c r="AA116" s="198" t="n"/>
      <c r="AB116" s="198" t="n"/>
      <c r="AC116" s="198" t="n"/>
    </row>
    <row r="117" ht="15" customHeight="1" s="195">
      <c r="A117" s="280" t="n"/>
      <c r="B117" s="280" t="n"/>
      <c r="C117" s="280" t="n"/>
      <c r="D117" s="280" t="n"/>
      <c r="E117" s="280" t="n"/>
      <c r="F117" s="280" t="n"/>
      <c r="G117" s="280" t="n"/>
      <c r="H117" s="280" t="n"/>
      <c r="I117" s="332">
        <f>IFERROR(VLOOKUP(TEXT(H117,"0"),IPRESS!$A$3:$B$212,2,0),"")</f>
        <v/>
      </c>
      <c r="J117" s="280" t="n"/>
      <c r="K117" s="343" t="n"/>
      <c r="L117" s="280" t="n"/>
      <c r="M117" s="280" t="n"/>
      <c r="N117" s="345" t="n"/>
      <c r="O117" s="280" t="n"/>
      <c r="P117" s="332">
        <f>IFERROR(VLOOKUP(TEXT(O117,"0"),CONDUCTORES!$A$3:$G$54,2,0),"")</f>
        <v/>
      </c>
      <c r="Q117" s="332">
        <f>IFERROR(VLOOKUP(TEXT(O117,"0"),CONDUCTORES!$A$3:$H$54,6,0),"")</f>
        <v/>
      </c>
      <c r="R117" s="280" t="n"/>
      <c r="S117" s="280" t="n"/>
      <c r="T117" s="280" t="n"/>
      <c r="U117" s="280" t="n"/>
      <c r="V117" s="280" t="n"/>
      <c r="W117" s="280" t="n"/>
      <c r="X117" s="280" t="n"/>
      <c r="Y117" s="280" t="n"/>
      <c r="Z117" s="350" t="n"/>
      <c r="AA117" s="198" t="n"/>
      <c r="AB117" s="198" t="n"/>
      <c r="AC117" s="198" t="n"/>
    </row>
    <row r="118" ht="15" customHeight="1" s="195">
      <c r="A118" s="280" t="n"/>
      <c r="B118" s="280" t="n"/>
      <c r="C118" s="280" t="n"/>
      <c r="D118" s="280" t="n"/>
      <c r="E118" s="280" t="n"/>
      <c r="F118" s="280" t="n"/>
      <c r="G118" s="280" t="n"/>
      <c r="H118" s="280" t="n"/>
      <c r="I118" s="332">
        <f>IFERROR(VLOOKUP(TEXT(H118,"0"),IPRESS!$A$3:$B$212,2,0),"")</f>
        <v/>
      </c>
      <c r="J118" s="280" t="n"/>
      <c r="K118" s="343" t="n"/>
      <c r="L118" s="280" t="n"/>
      <c r="M118" s="280" t="n"/>
      <c r="N118" s="345" t="n"/>
      <c r="O118" s="280" t="n"/>
      <c r="P118" s="332">
        <f>IFERROR(VLOOKUP(TEXT(O118,"0"),CONDUCTORES!$A$3:$G$54,2,0),"")</f>
        <v/>
      </c>
      <c r="Q118" s="332">
        <f>IFERROR(VLOOKUP(TEXT(O118,"0"),CONDUCTORES!$A$3:$H$54,6,0),"")</f>
        <v/>
      </c>
      <c r="R118" s="280" t="n"/>
      <c r="S118" s="280" t="n"/>
      <c r="T118" s="280" t="n"/>
      <c r="U118" s="280" t="n"/>
      <c r="V118" s="280" t="n"/>
      <c r="W118" s="280" t="n"/>
      <c r="X118" s="280" t="n"/>
      <c r="Y118" s="280" t="n"/>
      <c r="Z118" s="350" t="n"/>
      <c r="AA118" s="198" t="n"/>
      <c r="AB118" s="198" t="n"/>
      <c r="AC118" s="198" t="n"/>
    </row>
    <row r="119" ht="15" customHeight="1" s="195">
      <c r="A119" s="280" t="n"/>
      <c r="B119" s="280" t="n"/>
      <c r="C119" s="280" t="n"/>
      <c r="D119" s="280" t="n"/>
      <c r="E119" s="280" t="n"/>
      <c r="F119" s="280" t="n"/>
      <c r="G119" s="280" t="n"/>
      <c r="H119" s="280" t="n"/>
      <c r="I119" s="332">
        <f>IFERROR(VLOOKUP(TEXT(H119,"0"),IPRESS!$A$3:$B$212,2,0),"")</f>
        <v/>
      </c>
      <c r="J119" s="280" t="n"/>
      <c r="K119" s="343" t="n"/>
      <c r="L119" s="280" t="n"/>
      <c r="M119" s="280" t="n"/>
      <c r="N119" s="345" t="n"/>
      <c r="O119" s="280" t="n"/>
      <c r="P119" s="332">
        <f>IFERROR(VLOOKUP(TEXT(O119,"0"),CONDUCTORES!$A$3:$G$54,2,0),"")</f>
        <v/>
      </c>
      <c r="Q119" s="332">
        <f>IFERROR(VLOOKUP(TEXT(O119,"0"),CONDUCTORES!$A$3:$H$54,6,0),"")</f>
        <v/>
      </c>
      <c r="R119" s="280" t="n"/>
      <c r="S119" s="280" t="n"/>
      <c r="T119" s="280" t="n"/>
      <c r="U119" s="280" t="n"/>
      <c r="V119" s="280" t="n"/>
      <c r="W119" s="280" t="n"/>
      <c r="X119" s="280" t="n"/>
      <c r="Y119" s="280" t="n"/>
      <c r="Z119" s="350" t="n"/>
      <c r="AA119" s="198" t="n"/>
      <c r="AB119" s="198" t="n"/>
      <c r="AC119" s="198" t="n"/>
    </row>
    <row r="120" ht="15" customHeight="1" s="195">
      <c r="A120" s="280" t="n"/>
      <c r="B120" s="280" t="n"/>
      <c r="C120" s="280" t="n"/>
      <c r="D120" s="280" t="n"/>
      <c r="E120" s="280" t="n"/>
      <c r="F120" s="280" t="n"/>
      <c r="G120" s="280" t="n"/>
      <c r="H120" s="280" t="n"/>
      <c r="I120" s="332">
        <f>IFERROR(VLOOKUP(TEXT(H120,"0"),IPRESS!$A$3:$B$212,2,0),"")</f>
        <v/>
      </c>
      <c r="J120" s="280" t="n"/>
      <c r="K120" s="343" t="n"/>
      <c r="L120" s="280" t="n"/>
      <c r="M120" s="280" t="n"/>
      <c r="N120" s="345" t="n"/>
      <c r="O120" s="280" t="n"/>
      <c r="P120" s="332">
        <f>IFERROR(VLOOKUP(TEXT(O120,"0"),CONDUCTORES!$A$3:$G$54,2,0),"")</f>
        <v/>
      </c>
      <c r="Q120" s="332">
        <f>IFERROR(VLOOKUP(TEXT(O120,"0"),CONDUCTORES!$A$3:$H$54,6,0),"")</f>
        <v/>
      </c>
      <c r="R120" s="280" t="n"/>
      <c r="S120" s="280" t="n"/>
      <c r="T120" s="280" t="n"/>
      <c r="U120" s="280" t="n"/>
      <c r="V120" s="280" t="n"/>
      <c r="W120" s="280" t="n"/>
      <c r="X120" s="280" t="n"/>
      <c r="Y120" s="280" t="n"/>
      <c r="Z120" s="350" t="n"/>
      <c r="AA120" s="198" t="n"/>
      <c r="AB120" s="198" t="n"/>
      <c r="AC120" s="198" t="n"/>
    </row>
    <row r="121" ht="15" customHeight="1" s="195">
      <c r="A121" s="280" t="n"/>
      <c r="B121" s="280" t="n"/>
      <c r="C121" s="280" t="n"/>
      <c r="D121" s="280" t="n"/>
      <c r="E121" s="280" t="n"/>
      <c r="F121" s="280" t="n"/>
      <c r="G121" s="280" t="n"/>
      <c r="H121" s="280" t="n"/>
      <c r="I121" s="332">
        <f>IFERROR(VLOOKUP(TEXT(H121,"0"),IPRESS!$A$3:$B$212,2,0),"")</f>
        <v/>
      </c>
      <c r="J121" s="280" t="n"/>
      <c r="K121" s="343" t="n"/>
      <c r="L121" s="280" t="n"/>
      <c r="M121" s="280" t="n"/>
      <c r="N121" s="345" t="n"/>
      <c r="O121" s="280" t="n"/>
      <c r="P121" s="332">
        <f>IFERROR(VLOOKUP(TEXT(O121,"0"),CONDUCTORES!$A$3:$G$54,2,0),"")</f>
        <v/>
      </c>
      <c r="Q121" s="332">
        <f>IFERROR(VLOOKUP(TEXT(O121,"0"),CONDUCTORES!$A$3:$H$54,6,0),"")</f>
        <v/>
      </c>
      <c r="R121" s="280" t="n"/>
      <c r="S121" s="280" t="n"/>
      <c r="T121" s="280" t="n"/>
      <c r="U121" s="280" t="n"/>
      <c r="V121" s="280" t="n"/>
      <c r="W121" s="280" t="n"/>
      <c r="X121" s="280" t="n"/>
      <c r="Y121" s="280" t="n"/>
      <c r="Z121" s="350" t="n"/>
      <c r="AA121" s="198" t="n"/>
      <c r="AB121" s="198" t="n"/>
      <c r="AC121" s="198" t="n"/>
    </row>
    <row r="122" ht="15" customHeight="1" s="195">
      <c r="A122" s="280" t="n"/>
      <c r="B122" s="280" t="n"/>
      <c r="C122" s="280" t="n"/>
      <c r="D122" s="280" t="n"/>
      <c r="E122" s="280" t="n"/>
      <c r="F122" s="280" t="n"/>
      <c r="G122" s="280" t="n"/>
      <c r="H122" s="280" t="n"/>
      <c r="I122" s="332">
        <f>IFERROR(VLOOKUP(TEXT(H122,"0"),IPRESS!$A$3:$B$212,2,0),"")</f>
        <v/>
      </c>
      <c r="J122" s="280" t="n"/>
      <c r="K122" s="343" t="n"/>
      <c r="L122" s="280" t="n"/>
      <c r="M122" s="280" t="n"/>
      <c r="N122" s="345" t="n"/>
      <c r="O122" s="280" t="n"/>
      <c r="P122" s="332">
        <f>IFERROR(VLOOKUP(TEXT(O122,"0"),CONDUCTORES!$A$3:$G$54,2,0),"")</f>
        <v/>
      </c>
      <c r="Q122" s="332">
        <f>IFERROR(VLOOKUP(TEXT(O122,"0"),CONDUCTORES!$A$3:$H$54,6,0),"")</f>
        <v/>
      </c>
      <c r="R122" s="280" t="n"/>
      <c r="S122" s="280" t="n"/>
      <c r="T122" s="280" t="n"/>
      <c r="U122" s="280" t="n"/>
      <c r="V122" s="280" t="n"/>
      <c r="W122" s="280" t="n"/>
      <c r="X122" s="280" t="n"/>
      <c r="Y122" s="280" t="n"/>
      <c r="Z122" s="350" t="n"/>
      <c r="AA122" s="198" t="n"/>
      <c r="AB122" s="198" t="n"/>
      <c r="AC122" s="198" t="n"/>
    </row>
    <row r="123" ht="15" customHeight="1" s="195">
      <c r="A123" s="280" t="n"/>
      <c r="B123" s="280" t="n"/>
      <c r="C123" s="280" t="n"/>
      <c r="D123" s="280" t="n"/>
      <c r="E123" s="280" t="n"/>
      <c r="F123" s="280" t="n"/>
      <c r="G123" s="280" t="n"/>
      <c r="H123" s="280" t="n"/>
      <c r="I123" s="332">
        <f>IFERROR(VLOOKUP(TEXT(H123,"0"),IPRESS!$A$3:$B$212,2,0),"")</f>
        <v/>
      </c>
      <c r="J123" s="280" t="n"/>
      <c r="K123" s="343" t="n"/>
      <c r="L123" s="280" t="n"/>
      <c r="M123" s="280" t="n"/>
      <c r="N123" s="345" t="n"/>
      <c r="O123" s="280" t="n"/>
      <c r="P123" s="332">
        <f>IFERROR(VLOOKUP(TEXT(O123,"0"),CONDUCTORES!$A$3:$G$54,2,0),"")</f>
        <v/>
      </c>
      <c r="Q123" s="332">
        <f>IFERROR(VLOOKUP(TEXT(O123,"0"),CONDUCTORES!$A$3:$H$54,6,0),"")</f>
        <v/>
      </c>
      <c r="R123" s="280" t="n"/>
      <c r="S123" s="280" t="n"/>
      <c r="T123" s="280" t="n"/>
      <c r="U123" s="280" t="n"/>
      <c r="V123" s="280" t="n"/>
      <c r="W123" s="280" t="n"/>
      <c r="X123" s="280" t="n"/>
      <c r="Y123" s="280" t="n"/>
      <c r="Z123" s="350" t="n"/>
      <c r="AA123" s="198" t="n"/>
      <c r="AB123" s="198" t="n"/>
      <c r="AC123" s="198" t="n"/>
    </row>
    <row r="124" ht="15" customHeight="1" s="195">
      <c r="A124" s="280" t="n"/>
      <c r="B124" s="280" t="n"/>
      <c r="C124" s="280" t="n"/>
      <c r="D124" s="280" t="n"/>
      <c r="E124" s="280" t="n"/>
      <c r="F124" s="280" t="n"/>
      <c r="G124" s="280" t="n"/>
      <c r="H124" s="280" t="n"/>
      <c r="I124" s="332">
        <f>IFERROR(VLOOKUP(TEXT(H124,"0"),IPRESS!$A$3:$B$212,2,0),"")</f>
        <v/>
      </c>
      <c r="J124" s="280" t="n"/>
      <c r="K124" s="343" t="n"/>
      <c r="L124" s="280" t="n"/>
      <c r="M124" s="280" t="n"/>
      <c r="N124" s="345" t="n"/>
      <c r="O124" s="280" t="n"/>
      <c r="P124" s="332">
        <f>IFERROR(VLOOKUP(TEXT(O124,"0"),CONDUCTORES!$A$3:$G$54,2,0),"")</f>
        <v/>
      </c>
      <c r="Q124" s="332">
        <f>IFERROR(VLOOKUP(TEXT(O124,"0"),CONDUCTORES!$A$3:$H$54,6,0),"")</f>
        <v/>
      </c>
      <c r="R124" s="280" t="n"/>
      <c r="S124" s="280" t="n"/>
      <c r="T124" s="280" t="n"/>
      <c r="U124" s="280" t="n"/>
      <c r="V124" s="280" t="n"/>
      <c r="W124" s="280" t="n"/>
      <c r="X124" s="280" t="n"/>
      <c r="Y124" s="280" t="n"/>
      <c r="Z124" s="350" t="n"/>
      <c r="AA124" s="198" t="n"/>
      <c r="AB124" s="198" t="n"/>
      <c r="AC124" s="198" t="n"/>
    </row>
    <row r="125" ht="15" customHeight="1" s="195">
      <c r="A125" s="280" t="n"/>
      <c r="B125" s="280" t="n"/>
      <c r="C125" s="280" t="n"/>
      <c r="D125" s="280" t="n"/>
      <c r="E125" s="280" t="n"/>
      <c r="F125" s="280" t="n"/>
      <c r="G125" s="280" t="n"/>
      <c r="H125" s="280" t="n"/>
      <c r="I125" s="332">
        <f>IFERROR(VLOOKUP(TEXT(H125,"0"),IPRESS!$A$3:$B$212,2,0),"")</f>
        <v/>
      </c>
      <c r="J125" s="280" t="n"/>
      <c r="K125" s="343" t="n"/>
      <c r="L125" s="280" t="n"/>
      <c r="M125" s="280" t="n"/>
      <c r="N125" s="345" t="n"/>
      <c r="O125" s="280" t="n"/>
      <c r="P125" s="332">
        <f>IFERROR(VLOOKUP(TEXT(O125,"0"),CONDUCTORES!$A$3:$G$54,2,0),"")</f>
        <v/>
      </c>
      <c r="Q125" s="332">
        <f>IFERROR(VLOOKUP(TEXT(O125,"0"),CONDUCTORES!$A$3:$H$54,6,0),"")</f>
        <v/>
      </c>
      <c r="R125" s="280" t="n"/>
      <c r="S125" s="280" t="n"/>
      <c r="T125" s="280" t="n"/>
      <c r="U125" s="280" t="n"/>
      <c r="V125" s="280" t="n"/>
      <c r="W125" s="280" t="n"/>
      <c r="X125" s="280" t="n"/>
      <c r="Y125" s="280" t="n"/>
      <c r="Z125" s="350" t="n"/>
      <c r="AA125" s="198" t="n"/>
      <c r="AB125" s="198" t="n"/>
      <c r="AC125" s="198" t="n"/>
    </row>
    <row r="126" ht="15" customHeight="1" s="195">
      <c r="A126" s="280" t="n"/>
      <c r="B126" s="280" t="n"/>
      <c r="C126" s="280" t="n"/>
      <c r="D126" s="280" t="n"/>
      <c r="E126" s="280" t="n"/>
      <c r="F126" s="280" t="n"/>
      <c r="G126" s="280" t="n"/>
      <c r="H126" s="280" t="n"/>
      <c r="I126" s="332">
        <f>IFERROR(VLOOKUP(TEXT(H126,"0"),IPRESS!$A$3:$B$212,2,0),"")</f>
        <v/>
      </c>
      <c r="J126" s="280" t="n"/>
      <c r="K126" s="343" t="n"/>
      <c r="L126" s="280" t="n"/>
      <c r="M126" s="280" t="n"/>
      <c r="N126" s="345" t="n"/>
      <c r="O126" s="280" t="n"/>
      <c r="P126" s="332">
        <f>IFERROR(VLOOKUP(TEXT(O126,"0"),CONDUCTORES!$A$3:$G$54,2,0),"")</f>
        <v/>
      </c>
      <c r="Q126" s="332">
        <f>IFERROR(VLOOKUP(TEXT(O126,"0"),CONDUCTORES!$A$3:$H$54,6,0),"")</f>
        <v/>
      </c>
      <c r="R126" s="280" t="n"/>
      <c r="S126" s="280" t="n"/>
      <c r="T126" s="280" t="n"/>
      <c r="U126" s="280" t="n"/>
      <c r="V126" s="280" t="n"/>
      <c r="W126" s="280" t="n"/>
      <c r="X126" s="280" t="n"/>
      <c r="Y126" s="280" t="n"/>
      <c r="Z126" s="350" t="n"/>
      <c r="AA126" s="198" t="n"/>
      <c r="AB126" s="198" t="n"/>
      <c r="AC126" s="198" t="n"/>
    </row>
    <row r="127" ht="15" customHeight="1" s="195">
      <c r="A127" s="280" t="n"/>
      <c r="B127" s="280" t="n"/>
      <c r="C127" s="280" t="n"/>
      <c r="D127" s="280" t="n"/>
      <c r="E127" s="280" t="n"/>
      <c r="F127" s="280" t="n"/>
      <c r="G127" s="280" t="n"/>
      <c r="H127" s="280" t="n"/>
      <c r="I127" s="332">
        <f>IFERROR(VLOOKUP(TEXT(H127,"0"),IPRESS!$A$3:$B$212,2,0),"")</f>
        <v/>
      </c>
      <c r="J127" s="280" t="n"/>
      <c r="K127" s="343" t="n"/>
      <c r="L127" s="280" t="n"/>
      <c r="M127" s="280" t="n"/>
      <c r="N127" s="345" t="n"/>
      <c r="O127" s="280" t="n"/>
      <c r="P127" s="332">
        <f>IFERROR(VLOOKUP(TEXT(O127,"0"),CONDUCTORES!$A$3:$G$54,2,0),"")</f>
        <v/>
      </c>
      <c r="Q127" s="332">
        <f>IFERROR(VLOOKUP(TEXT(O127,"0"),CONDUCTORES!$A$3:$H$54,6,0),"")</f>
        <v/>
      </c>
      <c r="R127" s="280" t="n"/>
      <c r="S127" s="280" t="n"/>
      <c r="T127" s="280" t="n"/>
      <c r="U127" s="280" t="n"/>
      <c r="V127" s="280" t="n"/>
      <c r="W127" s="280" t="n"/>
      <c r="X127" s="280" t="n"/>
      <c r="Y127" s="280" t="n"/>
      <c r="Z127" s="350" t="n"/>
      <c r="AA127" s="198" t="n"/>
      <c r="AB127" s="198" t="n"/>
      <c r="AC127" s="198" t="n"/>
    </row>
    <row r="128" ht="15" customHeight="1" s="195">
      <c r="A128" s="280" t="n"/>
      <c r="B128" s="280" t="n"/>
      <c r="C128" s="280" t="n"/>
      <c r="D128" s="280" t="n"/>
      <c r="E128" s="280" t="n"/>
      <c r="F128" s="280" t="n"/>
      <c r="G128" s="280" t="n"/>
      <c r="H128" s="280" t="n"/>
      <c r="I128" s="332">
        <f>IFERROR(VLOOKUP(TEXT(H128,"0"),IPRESS!$A$3:$B$212,2,0),"")</f>
        <v/>
      </c>
      <c r="J128" s="280" t="n"/>
      <c r="K128" s="343" t="n"/>
      <c r="L128" s="280" t="n"/>
      <c r="M128" s="280" t="n"/>
      <c r="N128" s="345" t="n"/>
      <c r="O128" s="280" t="n"/>
      <c r="P128" s="332">
        <f>IFERROR(VLOOKUP(TEXT(O128,"0"),CONDUCTORES!$A$3:$G$54,2,0),"")</f>
        <v/>
      </c>
      <c r="Q128" s="332">
        <f>IFERROR(VLOOKUP(TEXT(O128,"0"),CONDUCTORES!$A$3:$H$54,6,0),"")</f>
        <v/>
      </c>
      <c r="R128" s="280" t="n"/>
      <c r="S128" s="280" t="n"/>
      <c r="T128" s="280" t="n"/>
      <c r="U128" s="280" t="n"/>
      <c r="V128" s="280" t="n"/>
      <c r="W128" s="280" t="n"/>
      <c r="X128" s="280" t="n"/>
      <c r="Y128" s="280" t="n"/>
      <c r="Z128" s="350" t="n"/>
      <c r="AA128" s="198" t="n"/>
      <c r="AB128" s="198" t="n"/>
      <c r="AC128" s="198" t="n"/>
    </row>
    <row r="129" ht="15" customHeight="1" s="195">
      <c r="A129" s="280" t="n"/>
      <c r="B129" s="280" t="n"/>
      <c r="C129" s="280" t="n"/>
      <c r="D129" s="280" t="n"/>
      <c r="E129" s="280" t="n"/>
      <c r="F129" s="280" t="n"/>
      <c r="G129" s="280" t="n"/>
      <c r="H129" s="280" t="n"/>
      <c r="I129" s="332">
        <f>IFERROR(VLOOKUP(TEXT(H129,"0"),IPRESS!$A$3:$B$212,2,0),"")</f>
        <v/>
      </c>
      <c r="J129" s="280" t="n"/>
      <c r="K129" s="343" t="n"/>
      <c r="L129" s="280" t="n"/>
      <c r="M129" s="280" t="n"/>
      <c r="N129" s="345" t="n"/>
      <c r="O129" s="280" t="n"/>
      <c r="P129" s="332">
        <f>IFERROR(VLOOKUP(TEXT(O129,"0"),CONDUCTORES!$A$3:$G$54,2,0),"")</f>
        <v/>
      </c>
      <c r="Q129" s="332">
        <f>IFERROR(VLOOKUP(TEXT(O129,"0"),CONDUCTORES!$A$3:$H$54,6,0),"")</f>
        <v/>
      </c>
      <c r="R129" s="280" t="n"/>
      <c r="S129" s="280" t="n"/>
      <c r="T129" s="280" t="n"/>
      <c r="U129" s="280" t="n"/>
      <c r="V129" s="280" t="n"/>
      <c r="W129" s="280" t="n"/>
      <c r="X129" s="280" t="n"/>
      <c r="Y129" s="280" t="n"/>
      <c r="Z129" s="350" t="n"/>
      <c r="AA129" s="198" t="n"/>
      <c r="AB129" s="198" t="n"/>
      <c r="AC129" s="198" t="n"/>
    </row>
    <row r="130" ht="15" customHeight="1" s="195">
      <c r="A130" s="280" t="n"/>
      <c r="B130" s="280" t="n"/>
      <c r="C130" s="280" t="n"/>
      <c r="D130" s="280" t="n"/>
      <c r="E130" s="280" t="n"/>
      <c r="F130" s="280" t="n"/>
      <c r="G130" s="280" t="n"/>
      <c r="H130" s="280" t="n"/>
      <c r="I130" s="332">
        <f>IFERROR(VLOOKUP(TEXT(H130,"0"),IPRESS!$A$3:$B$212,2,0),"")</f>
        <v/>
      </c>
      <c r="J130" s="280" t="n"/>
      <c r="K130" s="343" t="n"/>
      <c r="L130" s="280" t="n"/>
      <c r="M130" s="280" t="n"/>
      <c r="N130" s="345" t="n"/>
      <c r="O130" s="280" t="n"/>
      <c r="P130" s="332">
        <f>IFERROR(VLOOKUP(TEXT(O130,"0"),CONDUCTORES!$A$3:$G$54,2,0),"")</f>
        <v/>
      </c>
      <c r="Q130" s="332">
        <f>IFERROR(VLOOKUP(TEXT(O130,"0"),CONDUCTORES!$A$3:$H$54,6,0),"")</f>
        <v/>
      </c>
      <c r="R130" s="280" t="n"/>
      <c r="S130" s="280" t="n"/>
      <c r="T130" s="280" t="n"/>
      <c r="U130" s="280" t="n"/>
      <c r="V130" s="280" t="n"/>
      <c r="W130" s="280" t="n"/>
      <c r="X130" s="280" t="n"/>
      <c r="Y130" s="280" t="n"/>
      <c r="Z130" s="350" t="n"/>
      <c r="AA130" s="198" t="n"/>
      <c r="AB130" s="198" t="n"/>
      <c r="AC130" s="198" t="n"/>
    </row>
    <row r="131" ht="15" customHeight="1" s="195">
      <c r="A131" s="280" t="n"/>
      <c r="B131" s="280" t="n"/>
      <c r="C131" s="280" t="n"/>
      <c r="D131" s="280" t="n"/>
      <c r="E131" s="280" t="n"/>
      <c r="F131" s="280" t="n"/>
      <c r="G131" s="280" t="n"/>
      <c r="H131" s="280" t="n"/>
      <c r="I131" s="332">
        <f>IFERROR(VLOOKUP(TEXT(H131,"0"),IPRESS!$A$3:$B$212,2,0),"")</f>
        <v/>
      </c>
      <c r="J131" s="280" t="n"/>
      <c r="K131" s="343" t="n"/>
      <c r="L131" s="280" t="n"/>
      <c r="M131" s="280" t="n"/>
      <c r="N131" s="345" t="n"/>
      <c r="O131" s="280" t="n"/>
      <c r="P131" s="332">
        <f>IFERROR(VLOOKUP(TEXT(O131,"0"),CONDUCTORES!$A$3:$G$54,2,0),"")</f>
        <v/>
      </c>
      <c r="Q131" s="332">
        <f>IFERROR(VLOOKUP(TEXT(O131,"0"),CONDUCTORES!$A$3:$H$54,6,0),"")</f>
        <v/>
      </c>
      <c r="R131" s="280" t="n"/>
      <c r="S131" s="280" t="n"/>
      <c r="T131" s="280" t="n"/>
      <c r="U131" s="280" t="n"/>
      <c r="V131" s="280" t="n"/>
      <c r="W131" s="280" t="n"/>
      <c r="X131" s="280" t="n"/>
      <c r="Y131" s="280" t="n"/>
      <c r="Z131" s="350" t="n"/>
      <c r="AA131" s="198" t="n"/>
      <c r="AB131" s="198" t="n"/>
      <c r="AC131" s="198" t="n"/>
    </row>
    <row r="132" ht="15" customHeight="1" s="195">
      <c r="A132" s="280" t="n"/>
      <c r="B132" s="280" t="n"/>
      <c r="C132" s="280" t="n"/>
      <c r="D132" s="280" t="n"/>
      <c r="E132" s="280" t="n"/>
      <c r="F132" s="280" t="n"/>
      <c r="G132" s="280" t="n"/>
      <c r="H132" s="280" t="n"/>
      <c r="I132" s="332">
        <f>IFERROR(VLOOKUP(TEXT(H132,"0"),IPRESS!$A$3:$B$212,2,0),"")</f>
        <v/>
      </c>
      <c r="J132" s="280" t="n"/>
      <c r="K132" s="343" t="n"/>
      <c r="L132" s="280" t="n"/>
      <c r="M132" s="280" t="n"/>
      <c r="N132" s="345" t="n"/>
      <c r="O132" s="280" t="n"/>
      <c r="P132" s="332">
        <f>IFERROR(VLOOKUP(TEXT(O132,"0"),CONDUCTORES!$A$3:$G$54,2,0),"")</f>
        <v/>
      </c>
      <c r="Q132" s="332">
        <f>IFERROR(VLOOKUP(TEXT(O132,"0"),CONDUCTORES!$A$3:$H$54,6,0),"")</f>
        <v/>
      </c>
      <c r="R132" s="280" t="n"/>
      <c r="S132" s="280" t="n"/>
      <c r="T132" s="280" t="n"/>
      <c r="U132" s="280" t="n"/>
      <c r="V132" s="280" t="n"/>
      <c r="W132" s="280" t="n"/>
      <c r="X132" s="280" t="n"/>
      <c r="Y132" s="280" t="n"/>
      <c r="Z132" s="350" t="n"/>
      <c r="AA132" s="198" t="n"/>
      <c r="AB132" s="198" t="n"/>
      <c r="AC132" s="198" t="n"/>
    </row>
    <row r="133" ht="15" customHeight="1" s="195">
      <c r="A133" s="280" t="n"/>
      <c r="B133" s="280" t="n"/>
      <c r="C133" s="280" t="n"/>
      <c r="D133" s="280" t="n"/>
      <c r="E133" s="280" t="n"/>
      <c r="F133" s="280" t="n"/>
      <c r="G133" s="280" t="n"/>
      <c r="H133" s="280" t="n"/>
      <c r="I133" s="332">
        <f>IFERROR(VLOOKUP(TEXT(H133,"0"),IPRESS!$A$3:$B$212,2,0),"")</f>
        <v/>
      </c>
      <c r="J133" s="280" t="n"/>
      <c r="K133" s="343" t="n"/>
      <c r="L133" s="280" t="n"/>
      <c r="M133" s="280" t="n"/>
      <c r="N133" s="345" t="n"/>
      <c r="O133" s="280" t="n"/>
      <c r="P133" s="332">
        <f>IFERROR(VLOOKUP(TEXT(O133,"0"),CONDUCTORES!$A$3:$G$54,2,0),"")</f>
        <v/>
      </c>
      <c r="Q133" s="332">
        <f>IFERROR(VLOOKUP(TEXT(O133,"0"),CONDUCTORES!$A$3:$H$54,6,0),"")</f>
        <v/>
      </c>
      <c r="R133" s="280" t="n"/>
      <c r="S133" s="280" t="n"/>
      <c r="T133" s="280" t="n"/>
      <c r="U133" s="280" t="n"/>
      <c r="V133" s="280" t="n"/>
      <c r="W133" s="280" t="n"/>
      <c r="X133" s="280" t="n"/>
      <c r="Y133" s="280" t="n"/>
      <c r="Z133" s="350" t="n"/>
      <c r="AA133" s="198" t="n"/>
      <c r="AB133" s="198" t="n"/>
      <c r="AC133" s="198" t="n"/>
    </row>
    <row r="134" ht="15" customHeight="1" s="195">
      <c r="A134" s="280" t="n"/>
      <c r="B134" s="280" t="n"/>
      <c r="C134" s="280" t="n"/>
      <c r="D134" s="280" t="n"/>
      <c r="E134" s="280" t="n"/>
      <c r="F134" s="280" t="n"/>
      <c r="G134" s="280" t="n"/>
      <c r="H134" s="280" t="n"/>
      <c r="I134" s="332">
        <f>IFERROR(VLOOKUP(TEXT(H134,"0"),IPRESS!$A$3:$B$212,2,0),"")</f>
        <v/>
      </c>
      <c r="J134" s="280" t="n"/>
      <c r="K134" s="343" t="n"/>
      <c r="L134" s="280" t="n"/>
      <c r="M134" s="280" t="n"/>
      <c r="N134" s="345" t="n"/>
      <c r="O134" s="280" t="n"/>
      <c r="P134" s="332">
        <f>IFERROR(VLOOKUP(TEXT(O134,"0"),CONDUCTORES!$A$3:$G$54,2,0),"")</f>
        <v/>
      </c>
      <c r="Q134" s="332">
        <f>IFERROR(VLOOKUP(TEXT(O134,"0"),CONDUCTORES!$A$3:$H$54,6,0),"")</f>
        <v/>
      </c>
      <c r="R134" s="280" t="n"/>
      <c r="S134" s="280" t="n"/>
      <c r="T134" s="280" t="n"/>
      <c r="U134" s="280" t="n"/>
      <c r="V134" s="280" t="n"/>
      <c r="W134" s="280" t="n"/>
      <c r="X134" s="280" t="n"/>
      <c r="Y134" s="280" t="n"/>
      <c r="Z134" s="350" t="n"/>
      <c r="AA134" s="198" t="n"/>
      <c r="AB134" s="198" t="n"/>
      <c r="AC134" s="198" t="n"/>
    </row>
    <row r="135" ht="15" customHeight="1" s="195">
      <c r="A135" s="280" t="n"/>
      <c r="B135" s="280" t="n"/>
      <c r="C135" s="280" t="n"/>
      <c r="D135" s="280" t="n"/>
      <c r="E135" s="280" t="n"/>
      <c r="F135" s="280" t="n"/>
      <c r="G135" s="280" t="n"/>
      <c r="H135" s="280" t="n"/>
      <c r="I135" s="332">
        <f>IFERROR(VLOOKUP(TEXT(H135,"0"),IPRESS!$A$3:$B$212,2,0),"")</f>
        <v/>
      </c>
      <c r="J135" s="280" t="n"/>
      <c r="K135" s="343" t="n"/>
      <c r="L135" s="280" t="n"/>
      <c r="M135" s="280" t="n"/>
      <c r="N135" s="345" t="n"/>
      <c r="O135" s="280" t="n"/>
      <c r="P135" s="332">
        <f>IFERROR(VLOOKUP(TEXT(O135,"0"),CONDUCTORES!$A$3:$G$54,2,0),"")</f>
        <v/>
      </c>
      <c r="Q135" s="332">
        <f>IFERROR(VLOOKUP(TEXT(O135,"0"),CONDUCTORES!$A$3:$H$54,6,0),"")</f>
        <v/>
      </c>
      <c r="R135" s="280" t="n"/>
      <c r="S135" s="280" t="n"/>
      <c r="T135" s="280" t="n"/>
      <c r="U135" s="280" t="n"/>
      <c r="V135" s="280" t="n"/>
      <c r="W135" s="280" t="n"/>
      <c r="X135" s="280" t="n"/>
      <c r="Y135" s="280" t="n"/>
      <c r="Z135" s="350" t="n"/>
      <c r="AA135" s="198" t="n"/>
      <c r="AB135" s="198" t="n"/>
      <c r="AC135" s="198" t="n"/>
    </row>
    <row r="136" ht="15" customHeight="1" s="195">
      <c r="A136" s="280" t="n"/>
      <c r="B136" s="280" t="n"/>
      <c r="C136" s="280" t="n"/>
      <c r="D136" s="280" t="n"/>
      <c r="E136" s="280" t="n"/>
      <c r="F136" s="280" t="n"/>
      <c r="G136" s="280" t="n"/>
      <c r="H136" s="280" t="n"/>
      <c r="I136" s="332">
        <f>IFERROR(VLOOKUP(TEXT(H136,"0"),IPRESS!$A$3:$B$212,2,0),"")</f>
        <v/>
      </c>
      <c r="J136" s="280" t="n"/>
      <c r="K136" s="343" t="n"/>
      <c r="L136" s="280" t="n"/>
      <c r="M136" s="280" t="n"/>
      <c r="N136" s="345" t="n"/>
      <c r="O136" s="280" t="n"/>
      <c r="P136" s="332">
        <f>IFERROR(VLOOKUP(TEXT(O136,"0"),CONDUCTORES!$A$3:$G$54,2,0),"")</f>
        <v/>
      </c>
      <c r="Q136" s="332">
        <f>IFERROR(VLOOKUP(TEXT(O136,"0"),CONDUCTORES!$A$3:$H$54,6,0),"")</f>
        <v/>
      </c>
      <c r="R136" s="280" t="n"/>
      <c r="S136" s="280" t="n"/>
      <c r="T136" s="280" t="n"/>
      <c r="U136" s="280" t="n"/>
      <c r="V136" s="280" t="n"/>
      <c r="W136" s="280" t="n"/>
      <c r="X136" s="280" t="n"/>
      <c r="Y136" s="280" t="n"/>
      <c r="Z136" s="350" t="n"/>
      <c r="AA136" s="198" t="n"/>
      <c r="AB136" s="198" t="n"/>
      <c r="AC136" s="198" t="n"/>
    </row>
    <row r="137" ht="15" customHeight="1" s="195">
      <c r="A137" s="280" t="n"/>
      <c r="B137" s="280" t="n"/>
      <c r="C137" s="280" t="n"/>
      <c r="D137" s="280" t="n"/>
      <c r="E137" s="280" t="n"/>
      <c r="F137" s="280" t="n"/>
      <c r="G137" s="280" t="n"/>
      <c r="H137" s="280" t="n"/>
      <c r="I137" s="332">
        <f>IFERROR(VLOOKUP(TEXT(H137,"0"),IPRESS!$A$3:$B$212,2,0),"")</f>
        <v/>
      </c>
      <c r="J137" s="280" t="n"/>
      <c r="K137" s="343" t="n"/>
      <c r="L137" s="280" t="n"/>
      <c r="M137" s="280" t="n"/>
      <c r="N137" s="345" t="n"/>
      <c r="O137" s="280" t="n"/>
      <c r="P137" s="332">
        <f>IFERROR(VLOOKUP(TEXT(O137,"0"),CONDUCTORES!$A$3:$G$54,2,0),"")</f>
        <v/>
      </c>
      <c r="Q137" s="332">
        <f>IFERROR(VLOOKUP(TEXT(O137,"0"),CONDUCTORES!$A$3:$H$54,6,0),"")</f>
        <v/>
      </c>
      <c r="R137" s="280" t="n"/>
      <c r="S137" s="280" t="n"/>
      <c r="T137" s="280" t="n"/>
      <c r="U137" s="280" t="n"/>
      <c r="V137" s="280" t="n"/>
      <c r="W137" s="280" t="n"/>
      <c r="X137" s="280" t="n"/>
      <c r="Y137" s="280" t="n"/>
      <c r="Z137" s="350" t="n"/>
      <c r="AA137" s="198" t="n"/>
      <c r="AB137" s="198" t="n"/>
      <c r="AC137" s="198" t="n"/>
    </row>
    <row r="138" ht="15" customHeight="1" s="195">
      <c r="A138" s="280" t="n"/>
      <c r="B138" s="280" t="n"/>
      <c r="C138" s="280" t="n"/>
      <c r="D138" s="280" t="n"/>
      <c r="E138" s="280" t="n"/>
      <c r="F138" s="280" t="n"/>
      <c r="G138" s="280" t="n"/>
      <c r="H138" s="280" t="n"/>
      <c r="I138" s="332">
        <f>IFERROR(VLOOKUP(TEXT(H138,"0"),IPRESS!$A$3:$B$212,2,0),"")</f>
        <v/>
      </c>
      <c r="J138" s="280" t="n"/>
      <c r="K138" s="343" t="n"/>
      <c r="L138" s="280" t="n"/>
      <c r="M138" s="280" t="n"/>
      <c r="N138" s="345" t="n"/>
      <c r="O138" s="280" t="n"/>
      <c r="P138" s="332">
        <f>IFERROR(VLOOKUP(TEXT(O138,"0"),CONDUCTORES!$A$3:$G$54,2,0),"")</f>
        <v/>
      </c>
      <c r="Q138" s="332">
        <f>IFERROR(VLOOKUP(TEXT(O138,"0"),CONDUCTORES!$A$3:$H$54,6,0),"")</f>
        <v/>
      </c>
      <c r="R138" s="280" t="n"/>
      <c r="S138" s="280" t="n"/>
      <c r="T138" s="280" t="n"/>
      <c r="U138" s="280" t="n"/>
      <c r="V138" s="280" t="n"/>
      <c r="W138" s="280" t="n"/>
      <c r="X138" s="280" t="n"/>
      <c r="Y138" s="280" t="n"/>
      <c r="Z138" s="350" t="n"/>
      <c r="AA138" s="198" t="n"/>
      <c r="AB138" s="198" t="n"/>
      <c r="AC138" s="198" t="n"/>
    </row>
    <row r="139" ht="15" customHeight="1" s="195">
      <c r="A139" s="280" t="n"/>
      <c r="B139" s="280" t="n"/>
      <c r="C139" s="280" t="n"/>
      <c r="D139" s="280" t="n"/>
      <c r="E139" s="280" t="n"/>
      <c r="F139" s="280" t="n"/>
      <c r="G139" s="280" t="n"/>
      <c r="H139" s="280" t="n"/>
      <c r="I139" s="332">
        <f>IFERROR(VLOOKUP(TEXT(H139,"0"),IPRESS!$A$3:$B$212,2,0),"")</f>
        <v/>
      </c>
      <c r="J139" s="280" t="n"/>
      <c r="K139" s="343" t="n"/>
      <c r="L139" s="280" t="n"/>
      <c r="M139" s="280" t="n"/>
      <c r="N139" s="345" t="n"/>
      <c r="O139" s="280" t="n"/>
      <c r="P139" s="332">
        <f>IFERROR(VLOOKUP(TEXT(O139,"0"),CONDUCTORES!$A$3:$G$54,2,0),"")</f>
        <v/>
      </c>
      <c r="Q139" s="332">
        <f>IFERROR(VLOOKUP(TEXT(O139,"0"),CONDUCTORES!$A$3:$H$54,6,0),"")</f>
        <v/>
      </c>
      <c r="R139" s="280" t="n"/>
      <c r="S139" s="280" t="n"/>
      <c r="T139" s="280" t="n"/>
      <c r="U139" s="280" t="n"/>
      <c r="V139" s="280" t="n"/>
      <c r="W139" s="280" t="n"/>
      <c r="X139" s="280" t="n"/>
      <c r="Y139" s="280" t="n"/>
      <c r="Z139" s="350" t="n"/>
      <c r="AA139" s="198" t="n"/>
      <c r="AB139" s="198" t="n"/>
      <c r="AC139" s="198" t="n"/>
    </row>
    <row r="140" ht="15" customHeight="1" s="195">
      <c r="A140" s="280" t="n"/>
      <c r="B140" s="280" t="n"/>
      <c r="C140" s="280" t="n"/>
      <c r="D140" s="280" t="n"/>
      <c r="E140" s="280" t="n"/>
      <c r="F140" s="280" t="n"/>
      <c r="G140" s="280" t="n"/>
      <c r="H140" s="280" t="n"/>
      <c r="I140" s="332">
        <f>IFERROR(VLOOKUP(TEXT(H140,"0"),IPRESS!$A$3:$B$212,2,0),"")</f>
        <v/>
      </c>
      <c r="J140" s="280" t="n"/>
      <c r="K140" s="343" t="n"/>
      <c r="L140" s="280" t="n"/>
      <c r="M140" s="280" t="n"/>
      <c r="N140" s="345" t="n"/>
      <c r="O140" s="280" t="n"/>
      <c r="P140" s="332">
        <f>IFERROR(VLOOKUP(TEXT(O140,"0"),CONDUCTORES!$A$3:$G$54,2,0),"")</f>
        <v/>
      </c>
      <c r="Q140" s="332">
        <f>IFERROR(VLOOKUP(TEXT(O140,"0"),CONDUCTORES!$A$3:$H$54,6,0),"")</f>
        <v/>
      </c>
      <c r="R140" s="280" t="n"/>
      <c r="S140" s="280" t="n"/>
      <c r="T140" s="280" t="n"/>
      <c r="U140" s="280" t="n"/>
      <c r="V140" s="280" t="n"/>
      <c r="W140" s="280" t="n"/>
      <c r="X140" s="280" t="n"/>
      <c r="Y140" s="280" t="n"/>
      <c r="Z140" s="350" t="n"/>
      <c r="AA140" s="198" t="n"/>
      <c r="AB140" s="198" t="n"/>
      <c r="AC140" s="198" t="n"/>
    </row>
    <row r="141" ht="15" customHeight="1" s="195">
      <c r="A141" s="280" t="n"/>
      <c r="B141" s="280" t="n"/>
      <c r="C141" s="280" t="n"/>
      <c r="D141" s="280" t="n"/>
      <c r="E141" s="280" t="n"/>
      <c r="F141" s="280" t="n"/>
      <c r="G141" s="280" t="n"/>
      <c r="H141" s="280" t="n"/>
      <c r="I141" s="332">
        <f>IFERROR(VLOOKUP(TEXT(H141,"0"),IPRESS!$A$3:$B$212,2,0),"")</f>
        <v/>
      </c>
      <c r="J141" s="280" t="n"/>
      <c r="K141" s="343" t="n"/>
      <c r="L141" s="280" t="n"/>
      <c r="M141" s="280" t="n"/>
      <c r="N141" s="345" t="n"/>
      <c r="O141" s="280" t="n"/>
      <c r="P141" s="332">
        <f>IFERROR(VLOOKUP(TEXT(O141,"0"),CONDUCTORES!$A$3:$G$54,2,0),"")</f>
        <v/>
      </c>
      <c r="Q141" s="332">
        <f>IFERROR(VLOOKUP(TEXT(O141,"0"),CONDUCTORES!$A$3:$H$54,6,0),"")</f>
        <v/>
      </c>
      <c r="R141" s="280" t="n"/>
      <c r="S141" s="280" t="n"/>
      <c r="T141" s="280" t="n"/>
      <c r="U141" s="280" t="n"/>
      <c r="V141" s="280" t="n"/>
      <c r="W141" s="280" t="n"/>
      <c r="X141" s="280" t="n"/>
      <c r="Y141" s="280" t="n"/>
      <c r="Z141" s="350" t="n"/>
      <c r="AA141" s="198" t="n"/>
      <c r="AB141" s="198" t="n"/>
      <c r="AC141" s="198" t="n"/>
    </row>
    <row r="142" ht="15" customHeight="1" s="195">
      <c r="A142" s="280" t="n"/>
      <c r="B142" s="280" t="n"/>
      <c r="C142" s="280" t="n"/>
      <c r="D142" s="280" t="n"/>
      <c r="E142" s="280" t="n"/>
      <c r="F142" s="280" t="n"/>
      <c r="G142" s="280" t="n"/>
      <c r="H142" s="280" t="n"/>
      <c r="I142" s="332">
        <f>IFERROR(VLOOKUP(TEXT(H142,"0"),IPRESS!$A$3:$B$212,2,0),"")</f>
        <v/>
      </c>
      <c r="J142" s="280" t="n"/>
      <c r="K142" s="343" t="n"/>
      <c r="L142" s="280" t="n"/>
      <c r="M142" s="280" t="n"/>
      <c r="N142" s="345" t="n"/>
      <c r="O142" s="280" t="n"/>
      <c r="P142" s="332">
        <f>IFERROR(VLOOKUP(TEXT(O142,"0"),CONDUCTORES!$A$3:$G$54,2,0),"")</f>
        <v/>
      </c>
      <c r="Q142" s="332">
        <f>IFERROR(VLOOKUP(TEXT(O142,"0"),CONDUCTORES!$A$3:$H$54,6,0),"")</f>
        <v/>
      </c>
      <c r="R142" s="280" t="n"/>
      <c r="S142" s="280" t="n"/>
      <c r="T142" s="280" t="n"/>
      <c r="U142" s="280" t="n"/>
      <c r="V142" s="280" t="n"/>
      <c r="W142" s="280" t="n"/>
      <c r="X142" s="280" t="n"/>
      <c r="Y142" s="280" t="n"/>
      <c r="Z142" s="350" t="n"/>
      <c r="AA142" s="198" t="n"/>
      <c r="AB142" s="198" t="n"/>
      <c r="AC142" s="198" t="n"/>
    </row>
    <row r="143" ht="15" customHeight="1" s="195">
      <c r="A143" s="280" t="n"/>
      <c r="B143" s="280" t="n"/>
      <c r="C143" s="280" t="n"/>
      <c r="D143" s="280" t="n"/>
      <c r="E143" s="280" t="n"/>
      <c r="F143" s="280" t="n"/>
      <c r="G143" s="280" t="n"/>
      <c r="H143" s="280" t="n"/>
      <c r="I143" s="332">
        <f>IFERROR(VLOOKUP(TEXT(H143,"0"),IPRESS!$A$3:$B$212,2,0),"")</f>
        <v/>
      </c>
      <c r="J143" s="280" t="n"/>
      <c r="K143" s="343" t="n"/>
      <c r="L143" s="280" t="n"/>
      <c r="M143" s="280" t="n"/>
      <c r="N143" s="345" t="n"/>
      <c r="O143" s="280" t="n"/>
      <c r="P143" s="332">
        <f>IFERROR(VLOOKUP(TEXT(O143,"0"),CONDUCTORES!$A$3:$G$54,2,0),"")</f>
        <v/>
      </c>
      <c r="Q143" s="332">
        <f>IFERROR(VLOOKUP(TEXT(O143,"0"),CONDUCTORES!$A$3:$H$54,6,0),"")</f>
        <v/>
      </c>
      <c r="R143" s="280" t="n"/>
      <c r="S143" s="280" t="n"/>
      <c r="T143" s="280" t="n"/>
      <c r="U143" s="280" t="n"/>
      <c r="V143" s="280" t="n"/>
      <c r="W143" s="280" t="n"/>
      <c r="X143" s="280" t="n"/>
      <c r="Y143" s="280" t="n"/>
      <c r="Z143" s="350" t="n"/>
      <c r="AA143" s="198" t="n"/>
      <c r="AB143" s="198" t="n"/>
      <c r="AC143" s="198" t="n"/>
    </row>
    <row r="144" ht="15" customHeight="1" s="195">
      <c r="A144" s="280" t="n"/>
      <c r="B144" s="280" t="n"/>
      <c r="C144" s="280" t="n"/>
      <c r="D144" s="280" t="n"/>
      <c r="E144" s="280" t="n"/>
      <c r="F144" s="280" t="n"/>
      <c r="G144" s="280" t="n"/>
      <c r="H144" s="280" t="n"/>
      <c r="I144" s="332">
        <f>IFERROR(VLOOKUP(TEXT(H144,"0"),IPRESS!$A$3:$B$212,2,0),"")</f>
        <v/>
      </c>
      <c r="J144" s="280" t="n"/>
      <c r="K144" s="343" t="n"/>
      <c r="L144" s="280" t="n"/>
      <c r="M144" s="280" t="n"/>
      <c r="N144" s="345" t="n"/>
      <c r="O144" s="280" t="n"/>
      <c r="P144" s="332">
        <f>IFERROR(VLOOKUP(TEXT(O144,"0"),CONDUCTORES!$A$3:$G$54,2,0),"")</f>
        <v/>
      </c>
      <c r="Q144" s="332">
        <f>IFERROR(VLOOKUP(TEXT(O144,"0"),CONDUCTORES!$A$3:$H$54,6,0),"")</f>
        <v/>
      </c>
      <c r="R144" s="280" t="n"/>
      <c r="S144" s="280" t="n"/>
      <c r="T144" s="280" t="n"/>
      <c r="U144" s="280" t="n"/>
      <c r="V144" s="280" t="n"/>
      <c r="W144" s="280" t="n"/>
      <c r="X144" s="280" t="n"/>
      <c r="Y144" s="280" t="n"/>
      <c r="Z144" s="350" t="n"/>
      <c r="AA144" s="198" t="n"/>
      <c r="AB144" s="198" t="n"/>
      <c r="AC144" s="198" t="n"/>
    </row>
    <row r="145" ht="15" customHeight="1" s="195">
      <c r="A145" s="280" t="n"/>
      <c r="B145" s="280" t="n"/>
      <c r="C145" s="280" t="n"/>
      <c r="D145" s="280" t="n"/>
      <c r="E145" s="280" t="n"/>
      <c r="F145" s="280" t="n"/>
      <c r="G145" s="280" t="n"/>
      <c r="H145" s="280" t="n"/>
      <c r="I145" s="332">
        <f>IFERROR(VLOOKUP(TEXT(H145,"0"),IPRESS!$A$3:$B$212,2,0),"")</f>
        <v/>
      </c>
      <c r="J145" s="280" t="n"/>
      <c r="K145" s="343" t="n"/>
      <c r="L145" s="280" t="n"/>
      <c r="M145" s="280" t="n"/>
      <c r="N145" s="345" t="n"/>
      <c r="O145" s="280" t="n"/>
      <c r="P145" s="332">
        <f>IFERROR(VLOOKUP(TEXT(O145,"0"),CONDUCTORES!$A$3:$G$54,2,0),"")</f>
        <v/>
      </c>
      <c r="Q145" s="332">
        <f>IFERROR(VLOOKUP(TEXT(O145,"0"),CONDUCTORES!$A$3:$H$54,6,0),"")</f>
        <v/>
      </c>
      <c r="R145" s="280" t="n"/>
      <c r="S145" s="280" t="n"/>
      <c r="T145" s="280" t="n"/>
      <c r="U145" s="280" t="n"/>
      <c r="V145" s="280" t="n"/>
      <c r="W145" s="280" t="n"/>
      <c r="X145" s="280" t="n"/>
      <c r="Y145" s="280" t="n"/>
      <c r="Z145" s="350" t="n"/>
      <c r="AA145" s="198" t="n"/>
      <c r="AB145" s="198" t="n"/>
      <c r="AC145" s="198" t="n"/>
    </row>
    <row r="146" ht="15" customHeight="1" s="195">
      <c r="A146" s="280" t="n"/>
      <c r="B146" s="280" t="n"/>
      <c r="C146" s="280" t="n"/>
      <c r="D146" s="280" t="n"/>
      <c r="E146" s="280" t="n"/>
      <c r="F146" s="280" t="n"/>
      <c r="G146" s="280" t="n"/>
      <c r="H146" s="280" t="n"/>
      <c r="I146" s="332">
        <f>IFERROR(VLOOKUP(TEXT(H146,"0"),IPRESS!$A$3:$B$212,2,0),"")</f>
        <v/>
      </c>
      <c r="J146" s="280" t="n"/>
      <c r="K146" s="343" t="n"/>
      <c r="L146" s="280" t="n"/>
      <c r="M146" s="280" t="n"/>
      <c r="N146" s="345" t="n"/>
      <c r="O146" s="280" t="n"/>
      <c r="P146" s="332">
        <f>IFERROR(VLOOKUP(TEXT(O146,"0"),CONDUCTORES!$A$3:$G$54,2,0),"")</f>
        <v/>
      </c>
      <c r="Q146" s="332">
        <f>IFERROR(VLOOKUP(TEXT(O146,"0"),CONDUCTORES!$A$3:$H$54,6,0),"")</f>
        <v/>
      </c>
      <c r="R146" s="280" t="n"/>
      <c r="S146" s="280" t="n"/>
      <c r="T146" s="280" t="n"/>
      <c r="U146" s="280" t="n"/>
      <c r="V146" s="280" t="n"/>
      <c r="W146" s="280" t="n"/>
      <c r="X146" s="280" t="n"/>
      <c r="Y146" s="280" t="n"/>
      <c r="Z146" s="350" t="n"/>
      <c r="AA146" s="198" t="n"/>
      <c r="AB146" s="198" t="n"/>
      <c r="AC146" s="198" t="n"/>
    </row>
    <row r="147" ht="15" customHeight="1" s="195">
      <c r="A147" s="280" t="n"/>
      <c r="B147" s="280" t="n"/>
      <c r="C147" s="280" t="n"/>
      <c r="D147" s="280" t="n"/>
      <c r="E147" s="280" t="n"/>
      <c r="F147" s="280" t="n"/>
      <c r="G147" s="280" t="n"/>
      <c r="H147" s="280" t="n"/>
      <c r="I147" s="332">
        <f>IFERROR(VLOOKUP(TEXT(H147,"0"),IPRESS!$A$3:$B$212,2,0),"")</f>
        <v/>
      </c>
      <c r="J147" s="280" t="n"/>
      <c r="K147" s="343" t="n"/>
      <c r="L147" s="280" t="n"/>
      <c r="M147" s="280" t="n"/>
      <c r="N147" s="345" t="n"/>
      <c r="O147" s="280" t="n"/>
      <c r="P147" s="332">
        <f>IFERROR(VLOOKUP(TEXT(O147,"0"),CONDUCTORES!$A$3:$G$54,2,0),"")</f>
        <v/>
      </c>
      <c r="Q147" s="332">
        <f>IFERROR(VLOOKUP(TEXT(O147,"0"),CONDUCTORES!$A$3:$H$54,6,0),"")</f>
        <v/>
      </c>
      <c r="R147" s="280" t="n"/>
      <c r="S147" s="280" t="n"/>
      <c r="T147" s="280" t="n"/>
      <c r="U147" s="280" t="n"/>
      <c r="V147" s="280" t="n"/>
      <c r="W147" s="280" t="n"/>
      <c r="X147" s="280" t="n"/>
      <c r="Y147" s="280" t="n"/>
      <c r="Z147" s="350" t="n"/>
      <c r="AA147" s="198" t="n"/>
      <c r="AB147" s="198" t="n"/>
      <c r="AC147" s="198" t="n"/>
    </row>
    <row r="148" ht="15" customHeight="1" s="195">
      <c r="A148" s="280" t="n"/>
      <c r="B148" s="280" t="n"/>
      <c r="C148" s="280" t="n"/>
      <c r="D148" s="280" t="n"/>
      <c r="E148" s="280" t="n"/>
      <c r="F148" s="280" t="n"/>
      <c r="G148" s="280" t="n"/>
      <c r="H148" s="280" t="n"/>
      <c r="I148" s="332">
        <f>IFERROR(VLOOKUP(TEXT(H148,"0"),IPRESS!$A$3:$B$212,2,0),"")</f>
        <v/>
      </c>
      <c r="J148" s="280" t="n"/>
      <c r="K148" s="343" t="n"/>
      <c r="L148" s="280" t="n"/>
      <c r="M148" s="280" t="n"/>
      <c r="N148" s="345" t="n"/>
      <c r="O148" s="280" t="n"/>
      <c r="P148" s="332">
        <f>IFERROR(VLOOKUP(TEXT(O148,"0"),CONDUCTORES!$A$3:$G$54,2,0),"")</f>
        <v/>
      </c>
      <c r="Q148" s="332">
        <f>IFERROR(VLOOKUP(TEXT(O148,"0"),CONDUCTORES!$A$3:$H$54,6,0),"")</f>
        <v/>
      </c>
      <c r="R148" s="280" t="n"/>
      <c r="S148" s="280" t="n"/>
      <c r="T148" s="280" t="n"/>
      <c r="U148" s="280" t="n"/>
      <c r="V148" s="280" t="n"/>
      <c r="W148" s="280" t="n"/>
      <c r="X148" s="280" t="n"/>
      <c r="Y148" s="280" t="n"/>
      <c r="Z148" s="350" t="n"/>
      <c r="AA148" s="198" t="n"/>
      <c r="AB148" s="198" t="n"/>
      <c r="AC148" s="198" t="n"/>
    </row>
    <row r="149" ht="15" customHeight="1" s="195">
      <c r="A149" s="280" t="n"/>
      <c r="B149" s="280" t="n"/>
      <c r="C149" s="280" t="n"/>
      <c r="D149" s="280" t="n"/>
      <c r="E149" s="280" t="n"/>
      <c r="F149" s="280" t="n"/>
      <c r="G149" s="280" t="n"/>
      <c r="H149" s="280" t="n"/>
      <c r="I149" s="332">
        <f>IFERROR(VLOOKUP(TEXT(H149,"0"),IPRESS!$A$3:$B$212,2,0),"")</f>
        <v/>
      </c>
      <c r="J149" s="280" t="n"/>
      <c r="K149" s="343" t="n"/>
      <c r="L149" s="280" t="n"/>
      <c r="M149" s="280" t="n"/>
      <c r="N149" s="345" t="n"/>
      <c r="O149" s="280" t="n"/>
      <c r="P149" s="332">
        <f>IFERROR(VLOOKUP(TEXT(O149,"0"),CONDUCTORES!$A$3:$G$54,2,0),"")</f>
        <v/>
      </c>
      <c r="Q149" s="332">
        <f>IFERROR(VLOOKUP(TEXT(O149,"0"),CONDUCTORES!$A$3:$H$54,6,0),"")</f>
        <v/>
      </c>
      <c r="R149" s="280" t="n"/>
      <c r="S149" s="280" t="n"/>
      <c r="T149" s="280" t="n"/>
      <c r="U149" s="280" t="n"/>
      <c r="V149" s="280" t="n"/>
      <c r="W149" s="280" t="n"/>
      <c r="X149" s="280" t="n"/>
      <c r="Y149" s="280" t="n"/>
      <c r="Z149" s="350" t="n"/>
      <c r="AA149" s="198" t="n"/>
      <c r="AB149" s="198" t="n"/>
      <c r="AC149" s="198" t="n"/>
    </row>
    <row r="150" ht="15" customHeight="1" s="195">
      <c r="A150" s="280" t="n"/>
      <c r="B150" s="280" t="n"/>
      <c r="C150" s="280" t="n"/>
      <c r="D150" s="280" t="n"/>
      <c r="E150" s="280" t="n"/>
      <c r="F150" s="280" t="n"/>
      <c r="G150" s="280" t="n"/>
      <c r="H150" s="280" t="n"/>
      <c r="I150" s="332">
        <f>IFERROR(VLOOKUP(TEXT(H150,"0"),IPRESS!$A$3:$B$212,2,0),"")</f>
        <v/>
      </c>
      <c r="J150" s="280" t="n"/>
      <c r="K150" s="343" t="n"/>
      <c r="L150" s="280" t="n"/>
      <c r="M150" s="280" t="n"/>
      <c r="N150" s="345" t="n"/>
      <c r="O150" s="280" t="n"/>
      <c r="P150" s="332">
        <f>IFERROR(VLOOKUP(TEXT(O150,"0"),CONDUCTORES!$A$3:$G$54,2,0),"")</f>
        <v/>
      </c>
      <c r="Q150" s="332">
        <f>IFERROR(VLOOKUP(TEXT(O150,"0"),CONDUCTORES!$A$3:$H$54,6,0),"")</f>
        <v/>
      </c>
      <c r="R150" s="280" t="n"/>
      <c r="S150" s="280" t="n"/>
      <c r="T150" s="280" t="n"/>
      <c r="U150" s="280" t="n"/>
      <c r="V150" s="280" t="n"/>
      <c r="W150" s="280" t="n"/>
      <c r="X150" s="280" t="n"/>
      <c r="Y150" s="280" t="n"/>
      <c r="Z150" s="350" t="n"/>
      <c r="AA150" s="198" t="n"/>
      <c r="AB150" s="198" t="n"/>
      <c r="AC150" s="198" t="n"/>
    </row>
    <row r="151" ht="15" customHeight="1" s="195">
      <c r="A151" s="280" t="n"/>
      <c r="B151" s="280" t="n"/>
      <c r="C151" s="280" t="n"/>
      <c r="D151" s="280" t="n"/>
      <c r="E151" s="280" t="n"/>
      <c r="F151" s="280" t="n"/>
      <c r="G151" s="280" t="n"/>
      <c r="H151" s="280" t="n"/>
      <c r="I151" s="332">
        <f>IFERROR(VLOOKUP(TEXT(H151,"0"),IPRESS!$A$3:$B$212,2,0),"")</f>
        <v/>
      </c>
      <c r="J151" s="280" t="n"/>
      <c r="K151" s="343" t="n"/>
      <c r="L151" s="280" t="n"/>
      <c r="M151" s="280" t="n"/>
      <c r="N151" s="345" t="n"/>
      <c r="O151" s="280" t="n"/>
      <c r="P151" s="332">
        <f>IFERROR(VLOOKUP(TEXT(O151,"0"),CONDUCTORES!$A$3:$G$54,2,0),"")</f>
        <v/>
      </c>
      <c r="Q151" s="332">
        <f>IFERROR(VLOOKUP(TEXT(O151,"0"),CONDUCTORES!$A$3:$H$54,6,0),"")</f>
        <v/>
      </c>
      <c r="R151" s="280" t="n"/>
      <c r="S151" s="280" t="n"/>
      <c r="T151" s="280" t="n"/>
      <c r="U151" s="280" t="n"/>
      <c r="V151" s="280" t="n"/>
      <c r="W151" s="280" t="n"/>
      <c r="X151" s="280" t="n"/>
      <c r="Y151" s="280" t="n"/>
      <c r="Z151" s="350" t="n"/>
      <c r="AA151" s="198" t="n"/>
      <c r="AB151" s="198" t="n"/>
      <c r="AC151" s="198" t="n"/>
    </row>
    <row r="152" ht="15" customHeight="1" s="195">
      <c r="A152" s="280" t="n"/>
      <c r="B152" s="280" t="n"/>
      <c r="C152" s="280" t="n"/>
      <c r="D152" s="280" t="n"/>
      <c r="E152" s="280" t="n"/>
      <c r="F152" s="280" t="n"/>
      <c r="G152" s="280" t="n"/>
      <c r="H152" s="280" t="n"/>
      <c r="I152" s="332">
        <f>IFERROR(VLOOKUP(TEXT(H152,"0"),IPRESS!$A$3:$B$212,2,0),"")</f>
        <v/>
      </c>
      <c r="J152" s="280" t="n"/>
      <c r="K152" s="343" t="n"/>
      <c r="L152" s="280" t="n"/>
      <c r="M152" s="280" t="n"/>
      <c r="N152" s="345" t="n"/>
      <c r="O152" s="280" t="n"/>
      <c r="P152" s="332">
        <f>IFERROR(VLOOKUP(TEXT(O152,"0"),CONDUCTORES!$A$3:$G$54,2,0),"")</f>
        <v/>
      </c>
      <c r="Q152" s="332">
        <f>IFERROR(VLOOKUP(TEXT(O152,"0"),CONDUCTORES!$A$3:$H$54,6,0),"")</f>
        <v/>
      </c>
      <c r="R152" s="280" t="n"/>
      <c r="S152" s="280" t="n"/>
      <c r="T152" s="280" t="n"/>
      <c r="U152" s="280" t="n"/>
      <c r="V152" s="280" t="n"/>
      <c r="W152" s="280" t="n"/>
      <c r="X152" s="280" t="n"/>
      <c r="Y152" s="280" t="n"/>
      <c r="Z152" s="350" t="n"/>
      <c r="AA152" s="198" t="n"/>
      <c r="AB152" s="198" t="n"/>
      <c r="AC152" s="198" t="n"/>
    </row>
    <row r="153" ht="15" customHeight="1" s="195">
      <c r="A153" s="280" t="n"/>
      <c r="B153" s="280" t="n"/>
      <c r="C153" s="280" t="n"/>
      <c r="D153" s="280" t="n"/>
      <c r="E153" s="280" t="n"/>
      <c r="F153" s="280" t="n"/>
      <c r="G153" s="280" t="n"/>
      <c r="H153" s="280" t="n"/>
      <c r="I153" s="332">
        <f>IFERROR(VLOOKUP(TEXT(H153,"0"),IPRESS!$A$3:$B$212,2,0),"")</f>
        <v/>
      </c>
      <c r="J153" s="280" t="n"/>
      <c r="K153" s="343" t="n"/>
      <c r="L153" s="280" t="n"/>
      <c r="M153" s="280" t="n"/>
      <c r="N153" s="345" t="n"/>
      <c r="O153" s="280" t="n"/>
      <c r="P153" s="332">
        <f>IFERROR(VLOOKUP(TEXT(O153,"0"),CONDUCTORES!$A$3:$G$54,2,0),"")</f>
        <v/>
      </c>
      <c r="Q153" s="332">
        <f>IFERROR(VLOOKUP(TEXT(O153,"0"),CONDUCTORES!$A$3:$H$54,6,0),"")</f>
        <v/>
      </c>
      <c r="R153" s="280" t="n"/>
      <c r="S153" s="280" t="n"/>
      <c r="T153" s="280" t="n"/>
      <c r="U153" s="280" t="n"/>
      <c r="V153" s="280" t="n"/>
      <c r="W153" s="280" t="n"/>
      <c r="X153" s="280" t="n"/>
      <c r="Y153" s="280" t="n"/>
      <c r="Z153" s="350" t="n"/>
      <c r="AA153" s="198" t="n"/>
      <c r="AB153" s="198" t="n"/>
      <c r="AC153" s="198" t="n"/>
    </row>
    <row r="154" ht="15" customHeight="1" s="195">
      <c r="A154" s="280" t="n"/>
      <c r="B154" s="280" t="n"/>
      <c r="C154" s="280" t="n"/>
      <c r="D154" s="280" t="n"/>
      <c r="E154" s="280" t="n"/>
      <c r="F154" s="280" t="n"/>
      <c r="G154" s="280" t="n"/>
      <c r="H154" s="280" t="n"/>
      <c r="I154" s="332">
        <f>IFERROR(VLOOKUP(TEXT(H154,"0"),IPRESS!$A$3:$B$212,2,0),"")</f>
        <v/>
      </c>
      <c r="J154" s="280" t="n"/>
      <c r="K154" s="343" t="n"/>
      <c r="L154" s="280" t="n"/>
      <c r="M154" s="280" t="n"/>
      <c r="N154" s="345" t="n"/>
      <c r="O154" s="280" t="n"/>
      <c r="P154" s="332">
        <f>IFERROR(VLOOKUP(TEXT(O154,"0"),CONDUCTORES!$A$3:$G$54,2,0),"")</f>
        <v/>
      </c>
      <c r="Q154" s="332">
        <f>IFERROR(VLOOKUP(TEXT(O154,"0"),CONDUCTORES!$A$3:$H$54,6,0),"")</f>
        <v/>
      </c>
      <c r="R154" s="280" t="n"/>
      <c r="S154" s="280" t="n"/>
      <c r="T154" s="280" t="n"/>
      <c r="U154" s="280" t="n"/>
      <c r="V154" s="280" t="n"/>
      <c r="W154" s="280" t="n"/>
      <c r="X154" s="280" t="n"/>
      <c r="Y154" s="280" t="n"/>
      <c r="Z154" s="350" t="n"/>
      <c r="AA154" s="198" t="n"/>
      <c r="AB154" s="198" t="n"/>
      <c r="AC154" s="198" t="n"/>
    </row>
    <row r="155" ht="15" customHeight="1" s="195">
      <c r="A155" s="280" t="n"/>
      <c r="B155" s="280" t="n"/>
      <c r="C155" s="280" t="n"/>
      <c r="D155" s="280" t="n"/>
      <c r="E155" s="280" t="n"/>
      <c r="F155" s="280" t="n"/>
      <c r="G155" s="280" t="n"/>
      <c r="H155" s="280" t="n"/>
      <c r="I155" s="332">
        <f>IFERROR(VLOOKUP(TEXT(H155,"0"),IPRESS!$A$3:$B$212,2,0),"")</f>
        <v/>
      </c>
      <c r="J155" s="280" t="n"/>
      <c r="K155" s="343" t="n"/>
      <c r="L155" s="280" t="n"/>
      <c r="M155" s="280" t="n"/>
      <c r="N155" s="345" t="n"/>
      <c r="O155" s="280" t="n"/>
      <c r="P155" s="332">
        <f>IFERROR(VLOOKUP(TEXT(O155,"0"),CONDUCTORES!$A$3:$G$54,2,0),"")</f>
        <v/>
      </c>
      <c r="Q155" s="332">
        <f>IFERROR(VLOOKUP(TEXT(O155,"0"),CONDUCTORES!$A$3:$H$54,6,0),"")</f>
        <v/>
      </c>
      <c r="R155" s="280" t="n"/>
      <c r="S155" s="280" t="n"/>
      <c r="T155" s="280" t="n"/>
      <c r="U155" s="280" t="n"/>
      <c r="V155" s="280" t="n"/>
      <c r="W155" s="280" t="n"/>
      <c r="X155" s="280" t="n"/>
      <c r="Y155" s="280" t="n"/>
      <c r="Z155" s="350" t="n"/>
      <c r="AA155" s="198" t="n"/>
      <c r="AB155" s="198" t="n"/>
      <c r="AC155" s="198" t="n"/>
    </row>
    <row r="156" ht="15" customHeight="1" s="195">
      <c r="A156" s="280" t="n"/>
      <c r="B156" s="280" t="n"/>
      <c r="C156" s="280" t="n"/>
      <c r="D156" s="280" t="n"/>
      <c r="E156" s="280" t="n"/>
      <c r="F156" s="280" t="n"/>
      <c r="G156" s="280" t="n"/>
      <c r="H156" s="280" t="n"/>
      <c r="I156" s="332">
        <f>IFERROR(VLOOKUP(TEXT(H156,"0"),IPRESS!$A$3:$B$212,2,0),"")</f>
        <v/>
      </c>
      <c r="J156" s="280" t="n"/>
      <c r="K156" s="343" t="n"/>
      <c r="L156" s="280" t="n"/>
      <c r="M156" s="280" t="n"/>
      <c r="N156" s="345" t="n"/>
      <c r="O156" s="280" t="n"/>
      <c r="P156" s="332">
        <f>IFERROR(VLOOKUP(TEXT(O156,"0"),CONDUCTORES!$A$3:$G$54,2,0),"")</f>
        <v/>
      </c>
      <c r="Q156" s="332">
        <f>IFERROR(VLOOKUP(TEXT(O156,"0"),CONDUCTORES!$A$3:$H$54,6,0),"")</f>
        <v/>
      </c>
      <c r="R156" s="280" t="n"/>
      <c r="S156" s="280" t="n"/>
      <c r="T156" s="280" t="n"/>
      <c r="U156" s="280" t="n"/>
      <c r="V156" s="280" t="n"/>
      <c r="W156" s="280" t="n"/>
      <c r="X156" s="280" t="n"/>
      <c r="Y156" s="280" t="n"/>
      <c r="Z156" s="350" t="n"/>
      <c r="AA156" s="198" t="n"/>
      <c r="AB156" s="198" t="n"/>
      <c r="AC156" s="198" t="n"/>
    </row>
    <row r="157" ht="15" customHeight="1" s="195">
      <c r="A157" s="280" t="n"/>
      <c r="B157" s="280" t="n"/>
      <c r="C157" s="280" t="n"/>
      <c r="D157" s="280" t="n"/>
      <c r="E157" s="280" t="n"/>
      <c r="F157" s="280" t="n"/>
      <c r="G157" s="280" t="n"/>
      <c r="H157" s="280" t="n"/>
      <c r="I157" s="332">
        <f>IFERROR(VLOOKUP(TEXT(H157,"0"),IPRESS!$A$3:$B$212,2,0),"")</f>
        <v/>
      </c>
      <c r="J157" s="280" t="n"/>
      <c r="K157" s="343" t="n"/>
      <c r="L157" s="280" t="n"/>
      <c r="M157" s="280" t="n"/>
      <c r="N157" s="345" t="n"/>
      <c r="O157" s="280" t="n"/>
      <c r="P157" s="332">
        <f>IFERROR(VLOOKUP(TEXT(O157,"0"),CONDUCTORES!$A$3:$G$54,2,0),"")</f>
        <v/>
      </c>
      <c r="Q157" s="332">
        <f>IFERROR(VLOOKUP(TEXT(O157,"0"),CONDUCTORES!$A$3:$H$54,6,0),"")</f>
        <v/>
      </c>
      <c r="R157" s="280" t="n"/>
      <c r="S157" s="280" t="n"/>
      <c r="T157" s="280" t="n"/>
      <c r="U157" s="280" t="n"/>
      <c r="V157" s="280" t="n"/>
      <c r="W157" s="280" t="n"/>
      <c r="X157" s="280" t="n"/>
      <c r="Y157" s="280" t="n"/>
      <c r="Z157" s="350" t="n"/>
      <c r="AA157" s="198" t="n"/>
      <c r="AB157" s="198" t="n"/>
      <c r="AC157" s="198" t="n"/>
    </row>
    <row r="158" ht="15" customHeight="1" s="195">
      <c r="A158" s="280" t="n"/>
      <c r="B158" s="280" t="n"/>
      <c r="C158" s="280" t="n"/>
      <c r="D158" s="280" t="n"/>
      <c r="E158" s="280" t="n"/>
      <c r="F158" s="280" t="n"/>
      <c r="G158" s="280" t="n"/>
      <c r="H158" s="280" t="n"/>
      <c r="I158" s="332">
        <f>IFERROR(VLOOKUP(TEXT(H158,"0"),IPRESS!$A$3:$B$212,2,0),"")</f>
        <v/>
      </c>
      <c r="J158" s="280" t="n"/>
      <c r="K158" s="343" t="n"/>
      <c r="L158" s="280" t="n"/>
      <c r="M158" s="280" t="n"/>
      <c r="N158" s="345" t="n"/>
      <c r="O158" s="280" t="n"/>
      <c r="P158" s="332">
        <f>IFERROR(VLOOKUP(TEXT(O158,"0"),CONDUCTORES!$A$3:$G$54,2,0),"")</f>
        <v/>
      </c>
      <c r="Q158" s="332">
        <f>IFERROR(VLOOKUP(TEXT(O158,"0"),CONDUCTORES!$A$3:$H$54,6,0),"")</f>
        <v/>
      </c>
      <c r="R158" s="280" t="n"/>
      <c r="S158" s="280" t="n"/>
      <c r="T158" s="280" t="n"/>
      <c r="U158" s="280" t="n"/>
      <c r="V158" s="280" t="n"/>
      <c r="W158" s="280" t="n"/>
      <c r="X158" s="280" t="n"/>
      <c r="Y158" s="280" t="n"/>
      <c r="Z158" s="350" t="n"/>
      <c r="AA158" s="198" t="n"/>
      <c r="AB158" s="198" t="n"/>
      <c r="AC158" s="198" t="n"/>
    </row>
    <row r="159" ht="15" customHeight="1" s="195">
      <c r="A159" s="280" t="n"/>
      <c r="B159" s="280" t="n"/>
      <c r="C159" s="280" t="n"/>
      <c r="D159" s="280" t="n"/>
      <c r="E159" s="280" t="n"/>
      <c r="F159" s="280" t="n"/>
      <c r="G159" s="280" t="n"/>
      <c r="H159" s="280" t="n"/>
      <c r="I159" s="332">
        <f>IFERROR(VLOOKUP(TEXT(H159,"0"),IPRESS!$A$3:$B$212,2,0),"")</f>
        <v/>
      </c>
      <c r="J159" s="280" t="n"/>
      <c r="K159" s="343" t="n"/>
      <c r="L159" s="280" t="n"/>
      <c r="M159" s="280" t="n"/>
      <c r="N159" s="345" t="n"/>
      <c r="O159" s="280" t="n"/>
      <c r="P159" s="332">
        <f>IFERROR(VLOOKUP(TEXT(O159,"0"),CONDUCTORES!$A$3:$G$54,2,0),"")</f>
        <v/>
      </c>
      <c r="Q159" s="332">
        <f>IFERROR(VLOOKUP(TEXT(O159,"0"),CONDUCTORES!$A$3:$H$54,6,0),"")</f>
        <v/>
      </c>
      <c r="R159" s="280" t="n"/>
      <c r="S159" s="280" t="n"/>
      <c r="T159" s="280" t="n"/>
      <c r="U159" s="280" t="n"/>
      <c r="V159" s="280" t="n"/>
      <c r="W159" s="280" t="n"/>
      <c r="X159" s="280" t="n"/>
      <c r="Y159" s="280" t="n"/>
      <c r="Z159" s="350" t="n"/>
      <c r="AA159" s="198" t="n"/>
      <c r="AB159" s="198" t="n"/>
      <c r="AC159" s="198" t="n"/>
    </row>
    <row r="160" ht="15" customHeight="1" s="195">
      <c r="A160" s="280" t="n"/>
      <c r="B160" s="280" t="n"/>
      <c r="C160" s="280" t="n"/>
      <c r="D160" s="280" t="n"/>
      <c r="E160" s="280" t="n"/>
      <c r="F160" s="280" t="n"/>
      <c r="G160" s="280" t="n"/>
      <c r="H160" s="280" t="n"/>
      <c r="I160" s="332">
        <f>IFERROR(VLOOKUP(TEXT(H160,"0"),IPRESS!$A$3:$B$212,2,0),"")</f>
        <v/>
      </c>
      <c r="J160" s="280" t="n"/>
      <c r="K160" s="343" t="n"/>
      <c r="L160" s="280" t="n"/>
      <c r="M160" s="280" t="n"/>
      <c r="N160" s="345" t="n"/>
      <c r="O160" s="280" t="n"/>
      <c r="P160" s="332">
        <f>IFERROR(VLOOKUP(TEXT(O160,"0"),CONDUCTORES!$A$3:$G$54,2,0),"")</f>
        <v/>
      </c>
      <c r="Q160" s="332">
        <f>IFERROR(VLOOKUP(TEXT(O160,"0"),CONDUCTORES!$A$3:$H$54,6,0),"")</f>
        <v/>
      </c>
      <c r="R160" s="280" t="n"/>
      <c r="S160" s="280" t="n"/>
      <c r="T160" s="280" t="n"/>
      <c r="U160" s="280" t="n"/>
      <c r="V160" s="280" t="n"/>
      <c r="W160" s="280" t="n"/>
      <c r="X160" s="280" t="n"/>
      <c r="Y160" s="280" t="n"/>
      <c r="Z160" s="350" t="n"/>
      <c r="AA160" s="198" t="n"/>
      <c r="AB160" s="198" t="n"/>
      <c r="AC160" s="198" t="n"/>
    </row>
    <row r="161" ht="15" customHeight="1" s="195">
      <c r="A161" s="280" t="n"/>
      <c r="B161" s="280" t="n"/>
      <c r="C161" s="280" t="n"/>
      <c r="D161" s="280" t="n"/>
      <c r="E161" s="280" t="n"/>
      <c r="F161" s="280" t="n"/>
      <c r="G161" s="280" t="n"/>
      <c r="H161" s="280" t="n"/>
      <c r="I161" s="332">
        <f>IFERROR(VLOOKUP(TEXT(H161,"0"),IPRESS!$A$3:$B$212,2,0),"")</f>
        <v/>
      </c>
      <c r="J161" s="280" t="n"/>
      <c r="K161" s="343" t="n"/>
      <c r="L161" s="280" t="n"/>
      <c r="M161" s="280" t="n"/>
      <c r="N161" s="345" t="n"/>
      <c r="O161" s="280" t="n"/>
      <c r="P161" s="332">
        <f>IFERROR(VLOOKUP(TEXT(O161,"0"),CONDUCTORES!$A$3:$G$54,2,0),"")</f>
        <v/>
      </c>
      <c r="Q161" s="332">
        <f>IFERROR(VLOOKUP(TEXT(O161,"0"),CONDUCTORES!$A$3:$H$54,6,0),"")</f>
        <v/>
      </c>
      <c r="R161" s="280" t="n"/>
      <c r="S161" s="280" t="n"/>
      <c r="T161" s="280" t="n"/>
      <c r="U161" s="280" t="n"/>
      <c r="V161" s="280" t="n"/>
      <c r="W161" s="280" t="n"/>
      <c r="X161" s="280" t="n"/>
      <c r="Y161" s="280" t="n"/>
      <c r="Z161" s="350" t="n"/>
      <c r="AA161" s="198" t="n"/>
      <c r="AB161" s="198" t="n"/>
      <c r="AC161" s="198" t="n"/>
    </row>
    <row r="162" ht="15" customHeight="1" s="195">
      <c r="A162" s="280" t="n"/>
      <c r="B162" s="280" t="n"/>
      <c r="C162" s="280" t="n"/>
      <c r="D162" s="280" t="n"/>
      <c r="E162" s="280" t="n"/>
      <c r="F162" s="280" t="n"/>
      <c r="G162" s="280" t="n"/>
      <c r="H162" s="280" t="n"/>
      <c r="I162" s="332">
        <f>IFERROR(VLOOKUP(TEXT(H162,"0"),IPRESS!$A$3:$B$212,2,0),"")</f>
        <v/>
      </c>
      <c r="J162" s="280" t="n"/>
      <c r="K162" s="343" t="n"/>
      <c r="L162" s="280" t="n"/>
      <c r="M162" s="280" t="n"/>
      <c r="N162" s="345" t="n"/>
      <c r="O162" s="280" t="n"/>
      <c r="P162" s="332">
        <f>IFERROR(VLOOKUP(TEXT(O162,"0"),CONDUCTORES!$A$3:$G$54,2,0),"")</f>
        <v/>
      </c>
      <c r="Q162" s="332">
        <f>IFERROR(VLOOKUP(TEXT(O162,"0"),CONDUCTORES!$A$3:$H$54,6,0),"")</f>
        <v/>
      </c>
      <c r="R162" s="280" t="n"/>
      <c r="S162" s="280" t="n"/>
      <c r="T162" s="280" t="n"/>
      <c r="U162" s="280" t="n"/>
      <c r="V162" s="280" t="n"/>
      <c r="W162" s="280" t="n"/>
      <c r="X162" s="280" t="n"/>
      <c r="Y162" s="280" t="n"/>
      <c r="Z162" s="350" t="n"/>
      <c r="AA162" s="198" t="n"/>
      <c r="AB162" s="198" t="n"/>
      <c r="AC162" s="198" t="n"/>
    </row>
    <row r="163" ht="15" customHeight="1" s="195">
      <c r="A163" s="280" t="n"/>
      <c r="B163" s="280" t="n"/>
      <c r="C163" s="280" t="n"/>
      <c r="D163" s="280" t="n"/>
      <c r="E163" s="280" t="n"/>
      <c r="F163" s="280" t="n"/>
      <c r="G163" s="280" t="n"/>
      <c r="H163" s="280" t="n"/>
      <c r="I163" s="332">
        <f>IFERROR(VLOOKUP(TEXT(H163,"0"),IPRESS!$A$3:$B$212,2,0),"")</f>
        <v/>
      </c>
      <c r="J163" s="280" t="n"/>
      <c r="K163" s="343" t="n"/>
      <c r="L163" s="280" t="n"/>
      <c r="M163" s="280" t="n"/>
      <c r="N163" s="345" t="n"/>
      <c r="O163" s="280" t="n"/>
      <c r="P163" s="332">
        <f>IFERROR(VLOOKUP(TEXT(O163,"0"),CONDUCTORES!$A$3:$G$54,2,0),"")</f>
        <v/>
      </c>
      <c r="Q163" s="332">
        <f>IFERROR(VLOOKUP(TEXT(O163,"0"),CONDUCTORES!$A$3:$H$54,6,0),"")</f>
        <v/>
      </c>
      <c r="R163" s="280" t="n"/>
      <c r="S163" s="280" t="n"/>
      <c r="T163" s="280" t="n"/>
      <c r="U163" s="280" t="n"/>
      <c r="V163" s="280" t="n"/>
      <c r="W163" s="280" t="n"/>
      <c r="X163" s="280" t="n"/>
      <c r="Y163" s="280" t="n"/>
      <c r="Z163" s="350" t="n"/>
      <c r="AA163" s="198" t="n"/>
      <c r="AB163" s="198" t="n"/>
      <c r="AC163" s="198" t="n"/>
    </row>
    <row r="164" ht="15" customHeight="1" s="195">
      <c r="A164" s="280" t="n"/>
      <c r="B164" s="280" t="n"/>
      <c r="C164" s="280" t="n"/>
      <c r="D164" s="280" t="n"/>
      <c r="E164" s="280" t="n"/>
      <c r="F164" s="280" t="n"/>
      <c r="G164" s="280" t="n"/>
      <c r="H164" s="280" t="n"/>
      <c r="I164" s="332">
        <f>IFERROR(VLOOKUP(TEXT(H164,"0"),IPRESS!$A$3:$B$212,2,0),"")</f>
        <v/>
      </c>
      <c r="J164" s="280" t="n"/>
      <c r="K164" s="343" t="n"/>
      <c r="L164" s="280" t="n"/>
      <c r="M164" s="280" t="n"/>
      <c r="N164" s="345" t="n"/>
      <c r="O164" s="280" t="n"/>
      <c r="P164" s="332">
        <f>IFERROR(VLOOKUP(TEXT(O164,"0"),CONDUCTORES!$A$3:$G$54,2,0),"")</f>
        <v/>
      </c>
      <c r="Q164" s="332">
        <f>IFERROR(VLOOKUP(TEXT(O164,"0"),CONDUCTORES!$A$3:$H$54,6,0),"")</f>
        <v/>
      </c>
      <c r="R164" s="280" t="n"/>
      <c r="S164" s="280" t="n"/>
      <c r="T164" s="280" t="n"/>
      <c r="U164" s="280" t="n"/>
      <c r="V164" s="280" t="n"/>
      <c r="W164" s="280" t="n"/>
      <c r="X164" s="280" t="n"/>
      <c r="Y164" s="280" t="n"/>
      <c r="Z164" s="350" t="n"/>
      <c r="AA164" s="198" t="n"/>
      <c r="AB164" s="198" t="n"/>
      <c r="AC164" s="198" t="n"/>
    </row>
    <row r="165" ht="15" customHeight="1" s="195">
      <c r="A165" s="280" t="n"/>
      <c r="B165" s="280" t="n"/>
      <c r="C165" s="280" t="n"/>
      <c r="D165" s="280" t="n"/>
      <c r="E165" s="280" t="n"/>
      <c r="F165" s="280" t="n"/>
      <c r="G165" s="280" t="n"/>
      <c r="H165" s="280" t="n"/>
      <c r="I165" s="332">
        <f>IFERROR(VLOOKUP(TEXT(H165,"0"),IPRESS!$A$3:$B$212,2,0),"")</f>
        <v/>
      </c>
      <c r="J165" s="280" t="n"/>
      <c r="K165" s="343" t="n"/>
      <c r="L165" s="280" t="n"/>
      <c r="M165" s="280" t="n"/>
      <c r="N165" s="345" t="n"/>
      <c r="O165" s="280" t="n"/>
      <c r="P165" s="332">
        <f>IFERROR(VLOOKUP(TEXT(O165,"0"),CONDUCTORES!$A$3:$G$54,2,0),"")</f>
        <v/>
      </c>
      <c r="Q165" s="332">
        <f>IFERROR(VLOOKUP(TEXT(O165,"0"),CONDUCTORES!$A$3:$H$54,6,0),"")</f>
        <v/>
      </c>
      <c r="R165" s="280" t="n"/>
      <c r="S165" s="280" t="n"/>
      <c r="T165" s="280" t="n"/>
      <c r="U165" s="280" t="n"/>
      <c r="V165" s="280" t="n"/>
      <c r="W165" s="280" t="n"/>
      <c r="X165" s="280" t="n"/>
      <c r="Y165" s="280" t="n"/>
      <c r="Z165" s="350" t="n"/>
      <c r="AA165" s="198" t="n"/>
      <c r="AB165" s="198" t="n"/>
      <c r="AC165" s="198" t="n"/>
    </row>
    <row r="166" ht="15" customHeight="1" s="195">
      <c r="A166" s="280" t="n"/>
      <c r="B166" s="280" t="n"/>
      <c r="C166" s="280" t="n"/>
      <c r="D166" s="280" t="n"/>
      <c r="E166" s="280" t="n"/>
      <c r="F166" s="280" t="n"/>
      <c r="G166" s="280" t="n"/>
      <c r="H166" s="280" t="n"/>
      <c r="I166" s="332">
        <f>IFERROR(VLOOKUP(TEXT(H166,"0"),IPRESS!$A$3:$B$212,2,0),"")</f>
        <v/>
      </c>
      <c r="J166" s="280" t="n"/>
      <c r="K166" s="343" t="n"/>
      <c r="L166" s="280" t="n"/>
      <c r="M166" s="280" t="n"/>
      <c r="N166" s="345" t="n"/>
      <c r="O166" s="280" t="n"/>
      <c r="P166" s="332">
        <f>IFERROR(VLOOKUP(TEXT(O166,"0"),CONDUCTORES!$A$3:$G$54,2,0),"")</f>
        <v/>
      </c>
      <c r="Q166" s="332">
        <f>IFERROR(VLOOKUP(TEXT(O166,"0"),CONDUCTORES!$A$3:$H$54,6,0),"")</f>
        <v/>
      </c>
      <c r="R166" s="280" t="n"/>
      <c r="S166" s="280" t="n"/>
      <c r="T166" s="280" t="n"/>
      <c r="U166" s="280" t="n"/>
      <c r="V166" s="280" t="n"/>
      <c r="W166" s="280" t="n"/>
      <c r="X166" s="280" t="n"/>
      <c r="Y166" s="280" t="n"/>
      <c r="Z166" s="350" t="n"/>
      <c r="AA166" s="198" t="n"/>
      <c r="AB166" s="198" t="n"/>
      <c r="AC166" s="198" t="n"/>
    </row>
    <row r="167" ht="15" customHeight="1" s="195">
      <c r="A167" s="280" t="n"/>
      <c r="B167" s="280" t="n"/>
      <c r="C167" s="280" t="n"/>
      <c r="D167" s="280" t="n"/>
      <c r="E167" s="280" t="n"/>
      <c r="F167" s="280" t="n"/>
      <c r="G167" s="280" t="n"/>
      <c r="H167" s="280" t="n"/>
      <c r="I167" s="332">
        <f>IFERROR(VLOOKUP(TEXT(H167,"0"),IPRESS!$A$3:$B$212,2,0),"")</f>
        <v/>
      </c>
      <c r="J167" s="280" t="n"/>
      <c r="K167" s="343" t="n"/>
      <c r="L167" s="280" t="n"/>
      <c r="M167" s="280" t="n"/>
      <c r="N167" s="345" t="n"/>
      <c r="O167" s="280" t="n"/>
      <c r="P167" s="332">
        <f>IFERROR(VLOOKUP(TEXT(O167,"0"),CONDUCTORES!$A$3:$G$54,2,0),"")</f>
        <v/>
      </c>
      <c r="Q167" s="332">
        <f>IFERROR(VLOOKUP(TEXT(O167,"0"),CONDUCTORES!$A$3:$H$54,6,0),"")</f>
        <v/>
      </c>
      <c r="R167" s="280" t="n"/>
      <c r="S167" s="280" t="n"/>
      <c r="T167" s="280" t="n"/>
      <c r="U167" s="280" t="n"/>
      <c r="V167" s="280" t="n"/>
      <c r="W167" s="280" t="n"/>
      <c r="X167" s="280" t="n"/>
      <c r="Y167" s="280" t="n"/>
      <c r="Z167" s="350" t="n"/>
      <c r="AA167" s="198" t="n"/>
      <c r="AB167" s="198" t="n"/>
      <c r="AC167" s="198" t="n"/>
    </row>
    <row r="168" ht="15" customHeight="1" s="195">
      <c r="A168" s="280" t="n"/>
      <c r="B168" s="280" t="n"/>
      <c r="C168" s="280" t="n"/>
      <c r="D168" s="280" t="n"/>
      <c r="E168" s="280" t="n"/>
      <c r="F168" s="280" t="n"/>
      <c r="G168" s="280" t="n"/>
      <c r="H168" s="280" t="n"/>
      <c r="I168" s="332">
        <f>IFERROR(VLOOKUP(TEXT(H168,"0"),IPRESS!$A$3:$B$212,2,0),"")</f>
        <v/>
      </c>
      <c r="J168" s="280" t="n"/>
      <c r="K168" s="343" t="n"/>
      <c r="L168" s="280" t="n"/>
      <c r="M168" s="280" t="n"/>
      <c r="N168" s="345" t="n"/>
      <c r="O168" s="280" t="n"/>
      <c r="P168" s="332">
        <f>IFERROR(VLOOKUP(TEXT(O168,"0"),CONDUCTORES!$A$3:$G$54,2,0),"")</f>
        <v/>
      </c>
      <c r="Q168" s="332">
        <f>IFERROR(VLOOKUP(TEXT(O168,"0"),CONDUCTORES!$A$3:$H$54,6,0),"")</f>
        <v/>
      </c>
      <c r="R168" s="280" t="n"/>
      <c r="S168" s="280" t="n"/>
      <c r="T168" s="280" t="n"/>
      <c r="U168" s="280" t="n"/>
      <c r="V168" s="280" t="n"/>
      <c r="W168" s="280" t="n"/>
      <c r="X168" s="280" t="n"/>
      <c r="Y168" s="280" t="n"/>
      <c r="Z168" s="350" t="n"/>
      <c r="AA168" s="198" t="n"/>
      <c r="AB168" s="198" t="n"/>
      <c r="AC168" s="198" t="n"/>
    </row>
    <row r="169" ht="15" customHeight="1" s="195">
      <c r="A169" s="280" t="n"/>
      <c r="B169" s="280" t="n"/>
      <c r="C169" s="280" t="n"/>
      <c r="D169" s="280" t="n"/>
      <c r="E169" s="280" t="n"/>
      <c r="F169" s="280" t="n"/>
      <c r="G169" s="280" t="n"/>
      <c r="H169" s="280" t="n"/>
      <c r="I169" s="332">
        <f>IFERROR(VLOOKUP(TEXT(H169,"0"),IPRESS!$A$3:$B$212,2,0),"")</f>
        <v/>
      </c>
      <c r="J169" s="280" t="n"/>
      <c r="K169" s="343" t="n"/>
      <c r="L169" s="280" t="n"/>
      <c r="M169" s="280" t="n"/>
      <c r="N169" s="345" t="n"/>
      <c r="O169" s="280" t="n"/>
      <c r="P169" s="332">
        <f>IFERROR(VLOOKUP(TEXT(O169,"0"),CONDUCTORES!$A$3:$G$54,2,0),"")</f>
        <v/>
      </c>
      <c r="Q169" s="332">
        <f>IFERROR(VLOOKUP(TEXT(O169,"0"),CONDUCTORES!$A$3:$H$54,6,0),"")</f>
        <v/>
      </c>
      <c r="R169" s="280" t="n"/>
      <c r="S169" s="280" t="n"/>
      <c r="T169" s="280" t="n"/>
      <c r="U169" s="280" t="n"/>
      <c r="V169" s="280" t="n"/>
      <c r="W169" s="280" t="n"/>
      <c r="X169" s="280" t="n"/>
      <c r="Y169" s="280" t="n"/>
      <c r="Z169" s="350" t="n"/>
      <c r="AA169" s="198" t="n"/>
      <c r="AB169" s="198" t="n"/>
      <c r="AC169" s="198" t="n"/>
    </row>
    <row r="170" ht="15" customHeight="1" s="195">
      <c r="A170" s="280" t="n"/>
      <c r="B170" s="280" t="n"/>
      <c r="C170" s="280" t="n"/>
      <c r="D170" s="280" t="n"/>
      <c r="E170" s="280" t="n"/>
      <c r="F170" s="280" t="n"/>
      <c r="G170" s="280" t="n"/>
      <c r="H170" s="280" t="n"/>
      <c r="I170" s="332">
        <f>IFERROR(VLOOKUP(TEXT(H170,"0"),IPRESS!$A$3:$B$212,2,0),"")</f>
        <v/>
      </c>
      <c r="J170" s="280" t="n"/>
      <c r="K170" s="343" t="n"/>
      <c r="L170" s="280" t="n"/>
      <c r="M170" s="280" t="n"/>
      <c r="N170" s="345" t="n"/>
      <c r="O170" s="280" t="n"/>
      <c r="P170" s="332">
        <f>IFERROR(VLOOKUP(TEXT(O170,"0"),CONDUCTORES!$A$3:$G$54,2,0),"")</f>
        <v/>
      </c>
      <c r="Q170" s="332">
        <f>IFERROR(VLOOKUP(TEXT(O170,"0"),CONDUCTORES!$A$3:$H$54,6,0),"")</f>
        <v/>
      </c>
      <c r="R170" s="280" t="n"/>
      <c r="S170" s="280" t="n"/>
      <c r="T170" s="280" t="n"/>
      <c r="U170" s="280" t="n"/>
      <c r="V170" s="280" t="n"/>
      <c r="W170" s="280" t="n"/>
      <c r="X170" s="280" t="n"/>
      <c r="Y170" s="280" t="n"/>
      <c r="Z170" s="350" t="n"/>
      <c r="AA170" s="198" t="n"/>
      <c r="AB170" s="198" t="n"/>
      <c r="AC170" s="198" t="n"/>
    </row>
    <row r="171" ht="15" customHeight="1" s="195">
      <c r="A171" s="280" t="n"/>
      <c r="B171" s="280" t="n"/>
      <c r="C171" s="280" t="n"/>
      <c r="D171" s="280" t="n"/>
      <c r="E171" s="280" t="n"/>
      <c r="F171" s="280" t="n"/>
      <c r="G171" s="280" t="n"/>
      <c r="H171" s="280" t="n"/>
      <c r="I171" s="332">
        <f>IFERROR(VLOOKUP(TEXT(H171,"0"),IPRESS!$A$3:$B$212,2,0),"")</f>
        <v/>
      </c>
      <c r="J171" s="280" t="n"/>
      <c r="K171" s="343" t="n"/>
      <c r="L171" s="280" t="n"/>
      <c r="M171" s="280" t="n"/>
      <c r="N171" s="345" t="n"/>
      <c r="O171" s="280" t="n"/>
      <c r="P171" s="332">
        <f>IFERROR(VLOOKUP(TEXT(O171,"0"),CONDUCTORES!$A$3:$G$54,2,0),"")</f>
        <v/>
      </c>
      <c r="Q171" s="332">
        <f>IFERROR(VLOOKUP(TEXT(O171,"0"),CONDUCTORES!$A$3:$H$54,6,0),"")</f>
        <v/>
      </c>
      <c r="R171" s="280" t="n"/>
      <c r="S171" s="280" t="n"/>
      <c r="T171" s="280" t="n"/>
      <c r="U171" s="280" t="n"/>
      <c r="V171" s="280" t="n"/>
      <c r="W171" s="280" t="n"/>
      <c r="X171" s="280" t="n"/>
      <c r="Y171" s="280" t="n"/>
      <c r="Z171" s="350" t="n"/>
      <c r="AA171" s="198" t="n"/>
      <c r="AB171" s="198" t="n"/>
      <c r="AC171" s="198" t="n"/>
    </row>
    <row r="172" ht="15" customHeight="1" s="195">
      <c r="A172" s="280" t="n"/>
      <c r="B172" s="280" t="n"/>
      <c r="C172" s="280" t="n"/>
      <c r="D172" s="280" t="n"/>
      <c r="E172" s="280" t="n"/>
      <c r="F172" s="280" t="n"/>
      <c r="G172" s="280" t="n"/>
      <c r="H172" s="280" t="n"/>
      <c r="I172" s="332">
        <f>IFERROR(VLOOKUP(TEXT(H172,"0"),IPRESS!$A$3:$B$212,2,0),"")</f>
        <v/>
      </c>
      <c r="J172" s="280" t="n"/>
      <c r="K172" s="343" t="n"/>
      <c r="L172" s="280" t="n"/>
      <c r="M172" s="280" t="n"/>
      <c r="N172" s="345" t="n"/>
      <c r="O172" s="280" t="n"/>
      <c r="P172" s="332">
        <f>IFERROR(VLOOKUP(TEXT(O172,"0"),CONDUCTORES!$A$3:$G$54,2,0),"")</f>
        <v/>
      </c>
      <c r="Q172" s="332">
        <f>IFERROR(VLOOKUP(TEXT(O172,"0"),CONDUCTORES!$A$3:$H$54,6,0),"")</f>
        <v/>
      </c>
      <c r="R172" s="280" t="n"/>
      <c r="S172" s="280" t="n"/>
      <c r="T172" s="280" t="n"/>
      <c r="U172" s="280" t="n"/>
      <c r="V172" s="280" t="n"/>
      <c r="W172" s="280" t="n"/>
      <c r="X172" s="280" t="n"/>
      <c r="Y172" s="280" t="n"/>
      <c r="Z172" s="350" t="n"/>
      <c r="AA172" s="198" t="n"/>
      <c r="AB172" s="198" t="n"/>
      <c r="AC172" s="198" t="n"/>
    </row>
    <row r="173" ht="15" customHeight="1" s="195">
      <c r="A173" s="280" t="n"/>
      <c r="B173" s="280" t="n"/>
      <c r="C173" s="280" t="n"/>
      <c r="D173" s="280" t="n"/>
      <c r="E173" s="280" t="n"/>
      <c r="F173" s="280" t="n"/>
      <c r="G173" s="280" t="n"/>
      <c r="H173" s="280" t="n"/>
      <c r="I173" s="332">
        <f>IFERROR(VLOOKUP(TEXT(H173,"0"),IPRESS!$A$3:$B$212,2,0),"")</f>
        <v/>
      </c>
      <c r="J173" s="280" t="n"/>
      <c r="K173" s="343" t="n"/>
      <c r="L173" s="280" t="n"/>
      <c r="M173" s="280" t="n"/>
      <c r="N173" s="345" t="n"/>
      <c r="O173" s="280" t="n"/>
      <c r="P173" s="332">
        <f>IFERROR(VLOOKUP(TEXT(O173,"0"),CONDUCTORES!$A$3:$G$54,2,0),"")</f>
        <v/>
      </c>
      <c r="Q173" s="332">
        <f>IFERROR(VLOOKUP(TEXT(O173,"0"),CONDUCTORES!$A$3:$H$54,6,0),"")</f>
        <v/>
      </c>
      <c r="R173" s="280" t="n"/>
      <c r="S173" s="280" t="n"/>
      <c r="T173" s="280" t="n"/>
      <c r="U173" s="280" t="n"/>
      <c r="V173" s="280" t="n"/>
      <c r="W173" s="280" t="n"/>
      <c r="X173" s="280" t="n"/>
      <c r="Y173" s="280" t="n"/>
      <c r="Z173" s="350" t="n"/>
      <c r="AA173" s="198" t="n"/>
      <c r="AB173" s="198" t="n"/>
      <c r="AC173" s="198" t="n"/>
    </row>
    <row r="174" ht="15" customHeight="1" s="195">
      <c r="A174" s="280" t="n"/>
      <c r="B174" s="280" t="n"/>
      <c r="C174" s="280" t="n"/>
      <c r="D174" s="280" t="n"/>
      <c r="E174" s="280" t="n"/>
      <c r="F174" s="280" t="n"/>
      <c r="G174" s="280" t="n"/>
      <c r="H174" s="280" t="n"/>
      <c r="I174" s="332">
        <f>IFERROR(VLOOKUP(TEXT(H174,"0"),IPRESS!$A$3:$B$212,2,0),"")</f>
        <v/>
      </c>
      <c r="J174" s="280" t="n"/>
      <c r="K174" s="343" t="n"/>
      <c r="L174" s="280" t="n"/>
      <c r="M174" s="280" t="n"/>
      <c r="N174" s="345" t="n"/>
      <c r="O174" s="280" t="n"/>
      <c r="P174" s="332">
        <f>IFERROR(VLOOKUP(TEXT(O174,"0"),CONDUCTORES!$A$3:$G$54,2,0),"")</f>
        <v/>
      </c>
      <c r="Q174" s="332">
        <f>IFERROR(VLOOKUP(TEXT(O174,"0"),CONDUCTORES!$A$3:$H$54,6,0),"")</f>
        <v/>
      </c>
      <c r="R174" s="280" t="n"/>
      <c r="S174" s="280" t="n"/>
      <c r="T174" s="280" t="n"/>
      <c r="U174" s="280" t="n"/>
      <c r="V174" s="280" t="n"/>
      <c r="W174" s="280" t="n"/>
      <c r="X174" s="280" t="n"/>
      <c r="Y174" s="280" t="n"/>
      <c r="Z174" s="350" t="n"/>
      <c r="AA174" s="198" t="n"/>
      <c r="AB174" s="198" t="n"/>
      <c r="AC174" s="198" t="n"/>
    </row>
    <row r="175" ht="15" customHeight="1" s="195">
      <c r="A175" s="280" t="n"/>
      <c r="B175" s="280" t="n"/>
      <c r="C175" s="280" t="n"/>
      <c r="D175" s="280" t="n"/>
      <c r="E175" s="280" t="n"/>
      <c r="F175" s="280" t="n"/>
      <c r="G175" s="280" t="n"/>
      <c r="H175" s="280" t="n"/>
      <c r="I175" s="332">
        <f>IFERROR(VLOOKUP(TEXT(H175,"0"),IPRESS!$A$3:$B$212,2,0),"")</f>
        <v/>
      </c>
      <c r="J175" s="280" t="n"/>
      <c r="K175" s="343" t="n"/>
      <c r="L175" s="280" t="n"/>
      <c r="M175" s="280" t="n"/>
      <c r="N175" s="345" t="n"/>
      <c r="O175" s="280" t="n"/>
      <c r="P175" s="332">
        <f>IFERROR(VLOOKUP(TEXT(O175,"0"),CONDUCTORES!$A$3:$G$54,2,0),"")</f>
        <v/>
      </c>
      <c r="Q175" s="332">
        <f>IFERROR(VLOOKUP(TEXT(O175,"0"),CONDUCTORES!$A$3:$H$54,6,0),"")</f>
        <v/>
      </c>
      <c r="R175" s="280" t="n"/>
      <c r="S175" s="280" t="n"/>
      <c r="T175" s="280" t="n"/>
      <c r="U175" s="280" t="n"/>
      <c r="V175" s="280" t="n"/>
      <c r="W175" s="280" t="n"/>
      <c r="X175" s="280" t="n"/>
      <c r="Y175" s="280" t="n"/>
      <c r="Z175" s="350" t="n"/>
      <c r="AA175" s="198" t="n"/>
      <c r="AB175" s="198" t="n"/>
      <c r="AC175" s="198" t="n"/>
    </row>
    <row r="176" ht="15" customHeight="1" s="195">
      <c r="A176" s="280" t="n"/>
      <c r="B176" s="280" t="n"/>
      <c r="C176" s="280" t="n"/>
      <c r="D176" s="280" t="n"/>
      <c r="E176" s="280" t="n"/>
      <c r="F176" s="280" t="n"/>
      <c r="G176" s="280" t="n"/>
      <c r="H176" s="280" t="n"/>
      <c r="I176" s="332">
        <f>IFERROR(VLOOKUP(TEXT(H176,"0"),IPRESS!$A$3:$B$212,2,0),"")</f>
        <v/>
      </c>
      <c r="J176" s="280" t="n"/>
      <c r="K176" s="343" t="n"/>
      <c r="L176" s="280" t="n"/>
      <c r="M176" s="280" t="n"/>
      <c r="N176" s="345" t="n"/>
      <c r="O176" s="280" t="n"/>
      <c r="P176" s="332">
        <f>IFERROR(VLOOKUP(TEXT(O176,"0"),CONDUCTORES!$A$3:$G$54,2,0),"")</f>
        <v/>
      </c>
      <c r="Q176" s="332">
        <f>IFERROR(VLOOKUP(TEXT(O176,"0"),CONDUCTORES!$A$3:$H$54,6,0),"")</f>
        <v/>
      </c>
      <c r="R176" s="280" t="n"/>
      <c r="S176" s="280" t="n"/>
      <c r="T176" s="280" t="n"/>
      <c r="U176" s="280" t="n"/>
      <c r="V176" s="280" t="n"/>
      <c r="W176" s="280" t="n"/>
      <c r="X176" s="280" t="n"/>
      <c r="Y176" s="280" t="n"/>
      <c r="Z176" s="350" t="n"/>
      <c r="AA176" s="198" t="n"/>
      <c r="AB176" s="198" t="n"/>
      <c r="AC176" s="198" t="n"/>
    </row>
    <row r="177" ht="15" customHeight="1" s="195">
      <c r="A177" s="280" t="n"/>
      <c r="B177" s="280" t="n"/>
      <c r="C177" s="280" t="n"/>
      <c r="D177" s="280" t="n"/>
      <c r="E177" s="280" t="n"/>
      <c r="F177" s="280" t="n"/>
      <c r="G177" s="280" t="n"/>
      <c r="H177" s="280" t="n"/>
      <c r="I177" s="332">
        <f>IFERROR(VLOOKUP(TEXT(H177,"0"),IPRESS!$A$3:$B$212,2,0),"")</f>
        <v/>
      </c>
      <c r="J177" s="280" t="n"/>
      <c r="K177" s="343" t="n"/>
      <c r="L177" s="280" t="n"/>
      <c r="M177" s="280" t="n"/>
      <c r="N177" s="345" t="n"/>
      <c r="O177" s="280" t="n"/>
      <c r="P177" s="332">
        <f>IFERROR(VLOOKUP(TEXT(O177,"0"),CONDUCTORES!$A$3:$G$54,2,0),"")</f>
        <v/>
      </c>
      <c r="Q177" s="332">
        <f>IFERROR(VLOOKUP(TEXT(O177,"0"),CONDUCTORES!$A$3:$H$54,6,0),"")</f>
        <v/>
      </c>
      <c r="R177" s="280" t="n"/>
      <c r="S177" s="280" t="n"/>
      <c r="T177" s="280" t="n"/>
      <c r="U177" s="280" t="n"/>
      <c r="V177" s="280" t="n"/>
      <c r="W177" s="280" t="n"/>
      <c r="X177" s="280" t="n"/>
      <c r="Y177" s="280" t="n"/>
      <c r="Z177" s="350" t="n"/>
      <c r="AA177" s="198" t="n"/>
      <c r="AB177" s="198" t="n"/>
      <c r="AC177" s="198" t="n"/>
    </row>
    <row r="178" ht="15" customHeight="1" s="195">
      <c r="A178" s="280" t="n"/>
      <c r="B178" s="280" t="n"/>
      <c r="C178" s="280" t="n"/>
      <c r="D178" s="280" t="n"/>
      <c r="E178" s="280" t="n"/>
      <c r="F178" s="280" t="n"/>
      <c r="G178" s="280" t="n"/>
      <c r="H178" s="280" t="n"/>
      <c r="I178" s="332">
        <f>IFERROR(VLOOKUP(TEXT(H178,"0"),IPRESS!$A$3:$B$212,2,0),"")</f>
        <v/>
      </c>
      <c r="J178" s="280" t="n"/>
      <c r="K178" s="343" t="n"/>
      <c r="L178" s="280" t="n"/>
      <c r="M178" s="280" t="n"/>
      <c r="N178" s="345" t="n"/>
      <c r="O178" s="280" t="n"/>
      <c r="P178" s="332">
        <f>IFERROR(VLOOKUP(TEXT(O178,"0"),CONDUCTORES!$A$3:$G$54,2,0),"")</f>
        <v/>
      </c>
      <c r="Q178" s="332">
        <f>IFERROR(VLOOKUP(TEXT(O178,"0"),CONDUCTORES!$A$3:$H$54,6,0),"")</f>
        <v/>
      </c>
      <c r="R178" s="280" t="n"/>
      <c r="S178" s="280" t="n"/>
      <c r="T178" s="280" t="n"/>
      <c r="U178" s="280" t="n"/>
      <c r="V178" s="280" t="n"/>
      <c r="W178" s="280" t="n"/>
      <c r="X178" s="280" t="n"/>
      <c r="Y178" s="280" t="n"/>
      <c r="Z178" s="350" t="n"/>
      <c r="AA178" s="198" t="n"/>
      <c r="AB178" s="198" t="n"/>
      <c r="AC178" s="198" t="n"/>
    </row>
    <row r="179" ht="15" customHeight="1" s="195">
      <c r="A179" s="280" t="n"/>
      <c r="B179" s="280" t="n"/>
      <c r="C179" s="280" t="n"/>
      <c r="D179" s="280" t="n"/>
      <c r="E179" s="280" t="n"/>
      <c r="F179" s="280" t="n"/>
      <c r="G179" s="280" t="n"/>
      <c r="H179" s="280" t="n"/>
      <c r="I179" s="332">
        <f>IFERROR(VLOOKUP(TEXT(H179,"0"),IPRESS!$A$3:$B$212,2,0),"")</f>
        <v/>
      </c>
      <c r="J179" s="280" t="n"/>
      <c r="K179" s="343" t="n"/>
      <c r="L179" s="280" t="n"/>
      <c r="M179" s="280" t="n"/>
      <c r="N179" s="345" t="n"/>
      <c r="O179" s="280" t="n"/>
      <c r="P179" s="332">
        <f>IFERROR(VLOOKUP(TEXT(O179,"0"),CONDUCTORES!$A$3:$G$54,2,0),"")</f>
        <v/>
      </c>
      <c r="Q179" s="332">
        <f>IFERROR(VLOOKUP(TEXT(O179,"0"),CONDUCTORES!$A$3:$H$54,6,0),"")</f>
        <v/>
      </c>
      <c r="R179" s="280" t="n"/>
      <c r="S179" s="280" t="n"/>
      <c r="T179" s="280" t="n"/>
      <c r="U179" s="280" t="n"/>
      <c r="V179" s="280" t="n"/>
      <c r="W179" s="280" t="n"/>
      <c r="X179" s="280" t="n"/>
      <c r="Y179" s="280" t="n"/>
      <c r="Z179" s="350" t="n"/>
      <c r="AA179" s="198" t="n"/>
      <c r="AB179" s="198" t="n"/>
      <c r="AC179" s="198" t="n"/>
    </row>
    <row r="180" ht="15" customHeight="1" s="195">
      <c r="A180" s="280" t="n"/>
      <c r="B180" s="280" t="n"/>
      <c r="C180" s="280" t="n"/>
      <c r="D180" s="280" t="n"/>
      <c r="E180" s="280" t="n"/>
      <c r="F180" s="280" t="n"/>
      <c r="G180" s="280" t="n"/>
      <c r="H180" s="280" t="n"/>
      <c r="I180" s="332">
        <f>IFERROR(VLOOKUP(TEXT(H180,"0"),IPRESS!$A$3:$B$212,2,0),"")</f>
        <v/>
      </c>
      <c r="J180" s="280" t="n"/>
      <c r="K180" s="343" t="n"/>
      <c r="L180" s="280" t="n"/>
      <c r="M180" s="280" t="n"/>
      <c r="N180" s="345" t="n"/>
      <c r="O180" s="280" t="n"/>
      <c r="P180" s="332">
        <f>IFERROR(VLOOKUP(TEXT(O180,"0"),CONDUCTORES!$A$3:$G$54,2,0),"")</f>
        <v/>
      </c>
      <c r="Q180" s="332">
        <f>IFERROR(VLOOKUP(TEXT(O180,"0"),CONDUCTORES!$A$3:$H$54,6,0),"")</f>
        <v/>
      </c>
      <c r="R180" s="280" t="n"/>
      <c r="S180" s="280" t="n"/>
      <c r="T180" s="280" t="n"/>
      <c r="U180" s="280" t="n"/>
      <c r="V180" s="280" t="n"/>
      <c r="W180" s="280" t="n"/>
      <c r="X180" s="280" t="n"/>
      <c r="Y180" s="280" t="n"/>
      <c r="Z180" s="350" t="n"/>
      <c r="AA180" s="198" t="n"/>
      <c r="AB180" s="198" t="n"/>
      <c r="AC180" s="198" t="n"/>
    </row>
    <row r="181" ht="15" customHeight="1" s="195">
      <c r="A181" s="280" t="n"/>
      <c r="B181" s="280" t="n"/>
      <c r="C181" s="280" t="n"/>
      <c r="D181" s="280" t="n"/>
      <c r="E181" s="280" t="n"/>
      <c r="F181" s="280" t="n"/>
      <c r="G181" s="280" t="n"/>
      <c r="H181" s="280" t="n"/>
      <c r="I181" s="332">
        <f>IFERROR(VLOOKUP(TEXT(H181,"0"),IPRESS!$A$3:$B$212,2,0),"")</f>
        <v/>
      </c>
      <c r="J181" s="280" t="n"/>
      <c r="K181" s="343" t="n"/>
      <c r="L181" s="280" t="n"/>
      <c r="M181" s="280" t="n"/>
      <c r="N181" s="345" t="n"/>
      <c r="O181" s="280" t="n"/>
      <c r="P181" s="332">
        <f>IFERROR(VLOOKUP(TEXT(O181,"0"),CONDUCTORES!$A$3:$G$54,2,0),"")</f>
        <v/>
      </c>
      <c r="Q181" s="332">
        <f>IFERROR(VLOOKUP(TEXT(O181,"0"),CONDUCTORES!$A$3:$H$54,6,0),"")</f>
        <v/>
      </c>
      <c r="R181" s="280" t="n"/>
      <c r="S181" s="280" t="n"/>
      <c r="T181" s="280" t="n"/>
      <c r="U181" s="280" t="n"/>
      <c r="V181" s="280" t="n"/>
      <c r="W181" s="280" t="n"/>
      <c r="X181" s="280" t="n"/>
      <c r="Y181" s="280" t="n"/>
      <c r="Z181" s="350" t="n"/>
      <c r="AA181" s="198" t="n"/>
      <c r="AB181" s="198" t="n"/>
      <c r="AC181" s="198" t="n"/>
    </row>
    <row r="182" ht="15" customHeight="1" s="195">
      <c r="A182" s="280" t="n"/>
      <c r="B182" s="280" t="n"/>
      <c r="C182" s="280" t="n"/>
      <c r="D182" s="280" t="n"/>
      <c r="E182" s="280" t="n"/>
      <c r="F182" s="280" t="n"/>
      <c r="G182" s="280" t="n"/>
      <c r="H182" s="280" t="n"/>
      <c r="I182" s="332">
        <f>IFERROR(VLOOKUP(TEXT(H182,"0"),IPRESS!$A$3:$B$212,2,0),"")</f>
        <v/>
      </c>
      <c r="J182" s="280" t="n"/>
      <c r="K182" s="343" t="n"/>
      <c r="L182" s="280" t="n"/>
      <c r="M182" s="280" t="n"/>
      <c r="N182" s="345" t="n"/>
      <c r="O182" s="280" t="n"/>
      <c r="P182" s="332">
        <f>IFERROR(VLOOKUP(TEXT(O182,"0"),CONDUCTORES!$A$3:$G$54,2,0),"")</f>
        <v/>
      </c>
      <c r="Q182" s="332">
        <f>IFERROR(VLOOKUP(TEXT(O182,"0"),CONDUCTORES!$A$3:$H$54,6,0),"")</f>
        <v/>
      </c>
      <c r="R182" s="280" t="n"/>
      <c r="S182" s="280" t="n"/>
      <c r="T182" s="280" t="n"/>
      <c r="U182" s="280" t="n"/>
      <c r="V182" s="280" t="n"/>
      <c r="W182" s="280" t="n"/>
      <c r="X182" s="280" t="n"/>
      <c r="Y182" s="280" t="n"/>
      <c r="Z182" s="350" t="n"/>
      <c r="AA182" s="198" t="n"/>
      <c r="AB182" s="198" t="n"/>
      <c r="AC182" s="198" t="n"/>
    </row>
    <row r="183" ht="15" customHeight="1" s="195">
      <c r="A183" s="280" t="n"/>
      <c r="B183" s="280" t="n"/>
      <c r="C183" s="280" t="n"/>
      <c r="D183" s="280" t="n"/>
      <c r="E183" s="280" t="n"/>
      <c r="F183" s="280" t="n"/>
      <c r="G183" s="280" t="n"/>
      <c r="H183" s="280" t="n"/>
      <c r="I183" s="332">
        <f>IFERROR(VLOOKUP(TEXT(H183,"0"),IPRESS!$A$3:$B$212,2,0),"")</f>
        <v/>
      </c>
      <c r="J183" s="280" t="n"/>
      <c r="K183" s="343" t="n"/>
      <c r="L183" s="280" t="n"/>
      <c r="M183" s="280" t="n"/>
      <c r="N183" s="345" t="n"/>
      <c r="O183" s="280" t="n"/>
      <c r="P183" s="332">
        <f>IFERROR(VLOOKUP(TEXT(O183,"0"),CONDUCTORES!$A$3:$G$54,2,0),"")</f>
        <v/>
      </c>
      <c r="Q183" s="332">
        <f>IFERROR(VLOOKUP(TEXT(O183,"0"),CONDUCTORES!$A$3:$H$54,6,0),"")</f>
        <v/>
      </c>
      <c r="R183" s="280" t="n"/>
      <c r="S183" s="280" t="n"/>
      <c r="T183" s="280" t="n"/>
      <c r="U183" s="280" t="n"/>
      <c r="V183" s="280" t="n"/>
      <c r="W183" s="280" t="n"/>
      <c r="X183" s="280" t="n"/>
      <c r="Y183" s="280" t="n"/>
      <c r="Z183" s="350" t="n"/>
      <c r="AA183" s="198" t="n"/>
      <c r="AB183" s="198" t="n"/>
      <c r="AC183" s="198" t="n"/>
    </row>
    <row r="184" ht="15" customHeight="1" s="195">
      <c r="A184" s="280" t="n"/>
      <c r="B184" s="280" t="n"/>
      <c r="C184" s="280" t="n"/>
      <c r="D184" s="280" t="n"/>
      <c r="E184" s="280" t="n"/>
      <c r="F184" s="280" t="n"/>
      <c r="G184" s="280" t="n"/>
      <c r="H184" s="280" t="n"/>
      <c r="I184" s="332">
        <f>IFERROR(VLOOKUP(TEXT(H184,"0"),IPRESS!$A$3:$B$212,2,0),"")</f>
        <v/>
      </c>
      <c r="J184" s="280" t="n"/>
      <c r="K184" s="343" t="n"/>
      <c r="L184" s="280" t="n"/>
      <c r="M184" s="280" t="n"/>
      <c r="N184" s="345" t="n"/>
      <c r="O184" s="280" t="n"/>
      <c r="P184" s="332">
        <f>IFERROR(VLOOKUP(TEXT(O184,"0"),CONDUCTORES!$A$3:$G$54,2,0),"")</f>
        <v/>
      </c>
      <c r="Q184" s="332">
        <f>IFERROR(VLOOKUP(TEXT(O184,"0"),CONDUCTORES!$A$3:$H$54,6,0),"")</f>
        <v/>
      </c>
      <c r="R184" s="280" t="n"/>
      <c r="S184" s="280" t="n"/>
      <c r="T184" s="280" t="n"/>
      <c r="U184" s="280" t="n"/>
      <c r="V184" s="280" t="n"/>
      <c r="W184" s="280" t="n"/>
      <c r="X184" s="280" t="n"/>
      <c r="Y184" s="280" t="n"/>
      <c r="Z184" s="350" t="n"/>
      <c r="AA184" s="198" t="n"/>
      <c r="AB184" s="198" t="n"/>
      <c r="AC184" s="198" t="n"/>
    </row>
    <row r="185" ht="15" customHeight="1" s="195">
      <c r="A185" s="280" t="n"/>
      <c r="B185" s="280" t="n"/>
      <c r="C185" s="280" t="n"/>
      <c r="D185" s="280" t="n"/>
      <c r="E185" s="280" t="n"/>
      <c r="F185" s="280" t="n"/>
      <c r="G185" s="280" t="n"/>
      <c r="H185" s="280" t="n"/>
      <c r="I185" s="332">
        <f>IFERROR(VLOOKUP(TEXT(H185,"0"),IPRESS!$A$3:$B$212,2,0),"")</f>
        <v/>
      </c>
      <c r="J185" s="280" t="n"/>
      <c r="K185" s="343" t="n"/>
      <c r="L185" s="280" t="n"/>
      <c r="M185" s="280" t="n"/>
      <c r="N185" s="345" t="n"/>
      <c r="O185" s="280" t="n"/>
      <c r="P185" s="332">
        <f>IFERROR(VLOOKUP(TEXT(O185,"0"),CONDUCTORES!$A$3:$G$54,2,0),"")</f>
        <v/>
      </c>
      <c r="Q185" s="332">
        <f>IFERROR(VLOOKUP(TEXT(O185,"0"),CONDUCTORES!$A$3:$H$54,6,0),"")</f>
        <v/>
      </c>
      <c r="R185" s="280" t="n"/>
      <c r="S185" s="280" t="n"/>
      <c r="T185" s="280" t="n"/>
      <c r="U185" s="280" t="n"/>
      <c r="V185" s="280" t="n"/>
      <c r="W185" s="280" t="n"/>
      <c r="X185" s="280" t="n"/>
      <c r="Y185" s="280" t="n"/>
      <c r="Z185" s="350" t="n"/>
      <c r="AA185" s="198" t="n"/>
      <c r="AB185" s="198" t="n"/>
      <c r="AC185" s="198" t="n"/>
    </row>
    <row r="186" ht="15" customHeight="1" s="195">
      <c r="A186" s="280" t="n"/>
      <c r="B186" s="280" t="n"/>
      <c r="C186" s="280" t="n"/>
      <c r="D186" s="280" t="n"/>
      <c r="E186" s="280" t="n"/>
      <c r="F186" s="280" t="n"/>
      <c r="G186" s="280" t="n"/>
      <c r="H186" s="280" t="n"/>
      <c r="I186" s="332">
        <f>IFERROR(VLOOKUP(TEXT(H186,"0"),IPRESS!$A$3:$B$212,2,0),"")</f>
        <v/>
      </c>
      <c r="J186" s="280" t="n"/>
      <c r="K186" s="343" t="n"/>
      <c r="L186" s="280" t="n"/>
      <c r="M186" s="280" t="n"/>
      <c r="N186" s="345" t="n"/>
      <c r="O186" s="280" t="n"/>
      <c r="P186" s="332">
        <f>IFERROR(VLOOKUP(TEXT(O186,"0"),CONDUCTORES!$A$3:$G$54,2,0),"")</f>
        <v/>
      </c>
      <c r="Q186" s="332">
        <f>IFERROR(VLOOKUP(TEXT(O186,"0"),CONDUCTORES!$A$3:$H$54,6,0),"")</f>
        <v/>
      </c>
      <c r="R186" s="280" t="n"/>
      <c r="S186" s="280" t="n"/>
      <c r="T186" s="280" t="n"/>
      <c r="U186" s="280" t="n"/>
      <c r="V186" s="280" t="n"/>
      <c r="W186" s="280" t="n"/>
      <c r="X186" s="280" t="n"/>
      <c r="Y186" s="280" t="n"/>
      <c r="Z186" s="350" t="n"/>
      <c r="AA186" s="198" t="n"/>
      <c r="AB186" s="198" t="n"/>
      <c r="AC186" s="198" t="n"/>
    </row>
    <row r="187" ht="15" customHeight="1" s="195">
      <c r="A187" s="280" t="n"/>
      <c r="B187" s="280" t="n"/>
      <c r="C187" s="280" t="n"/>
      <c r="D187" s="280" t="n"/>
      <c r="E187" s="280" t="n"/>
      <c r="F187" s="280" t="n"/>
      <c r="G187" s="280" t="n"/>
      <c r="H187" s="280" t="n"/>
      <c r="I187" s="332">
        <f>IFERROR(VLOOKUP(TEXT(H187,"0"),IPRESS!$A$3:$B$212,2,0),"")</f>
        <v/>
      </c>
      <c r="J187" s="280" t="n"/>
      <c r="K187" s="343" t="n"/>
      <c r="L187" s="280" t="n"/>
      <c r="M187" s="280" t="n"/>
      <c r="N187" s="345" t="n"/>
      <c r="O187" s="280" t="n"/>
      <c r="P187" s="332">
        <f>IFERROR(VLOOKUP(TEXT(O187,"0"),CONDUCTORES!$A$3:$G$54,2,0),"")</f>
        <v/>
      </c>
      <c r="Q187" s="332">
        <f>IFERROR(VLOOKUP(TEXT(O187,"0"),CONDUCTORES!$A$3:$H$54,6,0),"")</f>
        <v/>
      </c>
      <c r="R187" s="280" t="n"/>
      <c r="S187" s="280" t="n"/>
      <c r="T187" s="280" t="n"/>
      <c r="U187" s="280" t="n"/>
      <c r="V187" s="280" t="n"/>
      <c r="W187" s="280" t="n"/>
      <c r="X187" s="280" t="n"/>
      <c r="Y187" s="280" t="n"/>
      <c r="Z187" s="350" t="n"/>
      <c r="AA187" s="198" t="n"/>
      <c r="AB187" s="198" t="n"/>
      <c r="AC187" s="198" t="n"/>
    </row>
    <row r="188" ht="15" customHeight="1" s="195">
      <c r="A188" s="280" t="n"/>
      <c r="B188" s="280" t="n"/>
      <c r="C188" s="280" t="n"/>
      <c r="D188" s="280" t="n"/>
      <c r="E188" s="280" t="n"/>
      <c r="F188" s="280" t="n"/>
      <c r="G188" s="280" t="n"/>
      <c r="H188" s="280" t="n"/>
      <c r="I188" s="332">
        <f>IFERROR(VLOOKUP(TEXT(H188,"0"),IPRESS!$A$3:$B$212,2,0),"")</f>
        <v/>
      </c>
      <c r="J188" s="280" t="n"/>
      <c r="K188" s="343" t="n"/>
      <c r="L188" s="280" t="n"/>
      <c r="M188" s="280" t="n"/>
      <c r="N188" s="345" t="n"/>
      <c r="O188" s="280" t="n"/>
      <c r="P188" s="332">
        <f>IFERROR(VLOOKUP(TEXT(O188,"0"),CONDUCTORES!$A$3:$G$54,2,0),"")</f>
        <v/>
      </c>
      <c r="Q188" s="332">
        <f>IFERROR(VLOOKUP(TEXT(O188,"0"),CONDUCTORES!$A$3:$H$54,6,0),"")</f>
        <v/>
      </c>
      <c r="R188" s="280" t="n"/>
      <c r="S188" s="280" t="n"/>
      <c r="T188" s="280" t="n"/>
      <c r="U188" s="280" t="n"/>
      <c r="V188" s="280" t="n"/>
      <c r="W188" s="280" t="n"/>
      <c r="X188" s="280" t="n"/>
      <c r="Y188" s="280" t="n"/>
      <c r="Z188" s="350" t="n"/>
      <c r="AA188" s="198" t="n"/>
      <c r="AB188" s="198" t="n"/>
      <c r="AC188" s="198" t="n"/>
    </row>
    <row r="189" ht="15" customHeight="1" s="195">
      <c r="A189" s="280" t="n"/>
      <c r="B189" s="280" t="n"/>
      <c r="C189" s="280" t="n"/>
      <c r="D189" s="280" t="n"/>
      <c r="E189" s="280" t="n"/>
      <c r="F189" s="280" t="n"/>
      <c r="G189" s="280" t="n"/>
      <c r="H189" s="280" t="n"/>
      <c r="I189" s="332">
        <f>IFERROR(VLOOKUP(TEXT(H189,"0"),IPRESS!$A$3:$B$212,2,0),"")</f>
        <v/>
      </c>
      <c r="J189" s="280" t="n"/>
      <c r="K189" s="343" t="n"/>
      <c r="L189" s="280" t="n"/>
      <c r="M189" s="280" t="n"/>
      <c r="N189" s="345" t="n"/>
      <c r="O189" s="280" t="n"/>
      <c r="P189" s="332">
        <f>IFERROR(VLOOKUP(TEXT(O189,"0"),CONDUCTORES!$A$3:$G$54,2,0),"")</f>
        <v/>
      </c>
      <c r="Q189" s="332">
        <f>IFERROR(VLOOKUP(TEXT(O189,"0"),CONDUCTORES!$A$3:$H$54,6,0),"")</f>
        <v/>
      </c>
      <c r="R189" s="280" t="n"/>
      <c r="S189" s="280" t="n"/>
      <c r="T189" s="280" t="n"/>
      <c r="U189" s="280" t="n"/>
      <c r="V189" s="280" t="n"/>
      <c r="W189" s="280" t="n"/>
      <c r="X189" s="280" t="n"/>
      <c r="Y189" s="280" t="n"/>
      <c r="Z189" s="350" t="n"/>
      <c r="AA189" s="198" t="n"/>
      <c r="AB189" s="198" t="n"/>
      <c r="AC189" s="198" t="n"/>
    </row>
    <row r="190" ht="15" customHeight="1" s="195">
      <c r="A190" s="280" t="n"/>
      <c r="B190" s="280" t="n"/>
      <c r="C190" s="280" t="n"/>
      <c r="D190" s="280" t="n"/>
      <c r="E190" s="280" t="n"/>
      <c r="F190" s="280" t="n"/>
      <c r="G190" s="280" t="n"/>
      <c r="H190" s="280" t="n"/>
      <c r="I190" s="332">
        <f>IFERROR(VLOOKUP(TEXT(H190,"0"),IPRESS!$A$3:$B$212,2,0),"")</f>
        <v/>
      </c>
      <c r="J190" s="280" t="n"/>
      <c r="K190" s="343" t="n"/>
      <c r="L190" s="280" t="n"/>
      <c r="M190" s="280" t="n"/>
      <c r="N190" s="345" t="n"/>
      <c r="O190" s="280" t="n"/>
      <c r="P190" s="332">
        <f>IFERROR(VLOOKUP(TEXT(O190,"0"),CONDUCTORES!$A$3:$G$54,2,0),"")</f>
        <v/>
      </c>
      <c r="Q190" s="332">
        <f>IFERROR(VLOOKUP(TEXT(O190,"0"),CONDUCTORES!$A$3:$H$54,6,0),"")</f>
        <v/>
      </c>
      <c r="R190" s="280" t="n"/>
      <c r="S190" s="280" t="n"/>
      <c r="T190" s="280" t="n"/>
      <c r="U190" s="280" t="n"/>
      <c r="V190" s="280" t="n"/>
      <c r="W190" s="280" t="n"/>
      <c r="X190" s="280" t="n"/>
      <c r="Y190" s="280" t="n"/>
      <c r="Z190" s="350" t="n"/>
      <c r="AA190" s="198" t="n"/>
      <c r="AB190" s="198" t="n"/>
      <c r="AC190" s="198" t="n"/>
    </row>
    <row r="191" ht="15" customHeight="1" s="195">
      <c r="A191" s="280" t="n"/>
      <c r="B191" s="280" t="n"/>
      <c r="C191" s="280" t="n"/>
      <c r="D191" s="280" t="n"/>
      <c r="E191" s="280" t="n"/>
      <c r="F191" s="280" t="n"/>
      <c r="G191" s="280" t="n"/>
      <c r="H191" s="280" t="n"/>
      <c r="I191" s="332">
        <f>IFERROR(VLOOKUP(TEXT(H191,"0"),IPRESS!$A$3:$B$212,2,0),"")</f>
        <v/>
      </c>
      <c r="J191" s="280" t="n"/>
      <c r="K191" s="343" t="n"/>
      <c r="L191" s="280" t="n"/>
      <c r="M191" s="280" t="n"/>
      <c r="N191" s="345" t="n"/>
      <c r="O191" s="280" t="n"/>
      <c r="P191" s="332">
        <f>IFERROR(VLOOKUP(TEXT(O191,"0"),CONDUCTORES!$A$3:$G$54,2,0),"")</f>
        <v/>
      </c>
      <c r="Q191" s="332">
        <f>IFERROR(VLOOKUP(TEXT(O191,"0"),CONDUCTORES!$A$3:$H$54,6,0),"")</f>
        <v/>
      </c>
      <c r="R191" s="280" t="n"/>
      <c r="S191" s="280" t="n"/>
      <c r="T191" s="280" t="n"/>
      <c r="U191" s="280" t="n"/>
      <c r="V191" s="280" t="n"/>
      <c r="W191" s="280" t="n"/>
      <c r="X191" s="280" t="n"/>
      <c r="Y191" s="280" t="n"/>
      <c r="Z191" s="350" t="n"/>
      <c r="AA191" s="198" t="n"/>
      <c r="AB191" s="198" t="n"/>
      <c r="AC191" s="198" t="n"/>
    </row>
    <row r="192" ht="15" customHeight="1" s="195">
      <c r="A192" s="280" t="n"/>
      <c r="B192" s="280" t="n"/>
      <c r="C192" s="280" t="n"/>
      <c r="D192" s="280" t="n"/>
      <c r="E192" s="280" t="n"/>
      <c r="F192" s="280" t="n"/>
      <c r="G192" s="280" t="n"/>
      <c r="H192" s="280" t="n"/>
      <c r="I192" s="332">
        <f>IFERROR(VLOOKUP(TEXT(H192,"0"),IPRESS!$A$3:$B$212,2,0),"")</f>
        <v/>
      </c>
      <c r="J192" s="280" t="n"/>
      <c r="K192" s="343" t="n"/>
      <c r="L192" s="280" t="n"/>
      <c r="M192" s="280" t="n"/>
      <c r="N192" s="345" t="n"/>
      <c r="O192" s="280" t="n"/>
      <c r="P192" s="332">
        <f>IFERROR(VLOOKUP(TEXT(O192,"0"),CONDUCTORES!$A$3:$G$54,2,0),"")</f>
        <v/>
      </c>
      <c r="Q192" s="332">
        <f>IFERROR(VLOOKUP(TEXT(O192,"0"),CONDUCTORES!$A$3:$H$54,6,0),"")</f>
        <v/>
      </c>
      <c r="R192" s="280" t="n"/>
      <c r="S192" s="280" t="n"/>
      <c r="T192" s="280" t="n"/>
      <c r="U192" s="280" t="n"/>
      <c r="V192" s="280" t="n"/>
      <c r="W192" s="280" t="n"/>
      <c r="X192" s="280" t="n"/>
      <c r="Y192" s="280" t="n"/>
      <c r="Z192" s="350" t="n"/>
      <c r="AA192" s="198" t="n"/>
      <c r="AB192" s="198" t="n"/>
      <c r="AC192" s="198" t="n"/>
    </row>
    <row r="193" ht="15" customHeight="1" s="195">
      <c r="A193" s="280" t="n"/>
      <c r="B193" s="280" t="n"/>
      <c r="C193" s="280" t="n"/>
      <c r="D193" s="280" t="n"/>
      <c r="E193" s="280" t="n"/>
      <c r="F193" s="280" t="n"/>
      <c r="G193" s="280" t="n"/>
      <c r="H193" s="280" t="n"/>
      <c r="I193" s="332">
        <f>IFERROR(VLOOKUP(TEXT(H193,"0"),IPRESS!$A$3:$B$212,2,0),"")</f>
        <v/>
      </c>
      <c r="J193" s="280" t="n"/>
      <c r="K193" s="343" t="n"/>
      <c r="L193" s="280" t="n"/>
      <c r="M193" s="280" t="n"/>
      <c r="N193" s="345" t="n"/>
      <c r="O193" s="280" t="n"/>
      <c r="P193" s="332">
        <f>IFERROR(VLOOKUP(TEXT(O193,"0"),CONDUCTORES!$A$3:$G$54,2,0),"")</f>
        <v/>
      </c>
      <c r="Q193" s="332">
        <f>IFERROR(VLOOKUP(TEXT(O193,"0"),CONDUCTORES!$A$3:$H$54,6,0),"")</f>
        <v/>
      </c>
      <c r="R193" s="280" t="n"/>
      <c r="S193" s="280" t="n"/>
      <c r="T193" s="280" t="n"/>
      <c r="U193" s="280" t="n"/>
      <c r="V193" s="280" t="n"/>
      <c r="W193" s="280" t="n"/>
      <c r="X193" s="280" t="n"/>
      <c r="Y193" s="280" t="n"/>
      <c r="Z193" s="350" t="n"/>
      <c r="AA193" s="198" t="n"/>
      <c r="AB193" s="198" t="n"/>
      <c r="AC193" s="198" t="n"/>
    </row>
    <row r="194" ht="15" customHeight="1" s="195">
      <c r="A194" s="280" t="n"/>
      <c r="B194" s="280" t="n"/>
      <c r="C194" s="280" t="n"/>
      <c r="D194" s="280" t="n"/>
      <c r="E194" s="280" t="n"/>
      <c r="F194" s="280" t="n"/>
      <c r="G194" s="280" t="n"/>
      <c r="H194" s="280" t="n"/>
      <c r="I194" s="332">
        <f>IFERROR(VLOOKUP(TEXT(H194,"0"),IPRESS!$A$3:$B$212,2,0),"")</f>
        <v/>
      </c>
      <c r="J194" s="280" t="n"/>
      <c r="K194" s="343" t="n"/>
      <c r="L194" s="280" t="n"/>
      <c r="M194" s="280" t="n"/>
      <c r="N194" s="345" t="n"/>
      <c r="O194" s="280" t="n"/>
      <c r="P194" s="332">
        <f>IFERROR(VLOOKUP(TEXT(O194,"0"),CONDUCTORES!$A$3:$G$54,2,0),"")</f>
        <v/>
      </c>
      <c r="Q194" s="332">
        <f>IFERROR(VLOOKUP(TEXT(O194,"0"),CONDUCTORES!$A$3:$H$54,6,0),"")</f>
        <v/>
      </c>
      <c r="R194" s="280" t="n"/>
      <c r="S194" s="280" t="n"/>
      <c r="T194" s="280" t="n"/>
      <c r="U194" s="280" t="n"/>
      <c r="V194" s="280" t="n"/>
      <c r="W194" s="280" t="n"/>
      <c r="X194" s="280" t="n"/>
      <c r="Y194" s="280" t="n"/>
      <c r="Z194" s="350" t="n"/>
      <c r="AA194" s="198" t="n"/>
      <c r="AB194" s="198" t="n"/>
      <c r="AC194" s="198" t="n"/>
    </row>
    <row r="195" ht="15" customHeight="1" s="195">
      <c r="A195" s="280" t="n"/>
      <c r="B195" s="280" t="n"/>
      <c r="C195" s="280" t="n"/>
      <c r="D195" s="280" t="n"/>
      <c r="E195" s="280" t="n"/>
      <c r="F195" s="280" t="n"/>
      <c r="G195" s="280" t="n"/>
      <c r="H195" s="280" t="n"/>
      <c r="I195" s="332">
        <f>IFERROR(VLOOKUP(TEXT(H195,"0"),IPRESS!$A$3:$B$212,2,0),"")</f>
        <v/>
      </c>
      <c r="J195" s="280" t="n"/>
      <c r="K195" s="343" t="n"/>
      <c r="L195" s="280" t="n"/>
      <c r="M195" s="280" t="n"/>
      <c r="N195" s="345" t="n"/>
      <c r="O195" s="280" t="n"/>
      <c r="P195" s="332">
        <f>IFERROR(VLOOKUP(TEXT(O195,"0"),CONDUCTORES!$A$3:$G$54,2,0),"")</f>
        <v/>
      </c>
      <c r="Q195" s="332">
        <f>IFERROR(VLOOKUP(TEXT(O195,"0"),CONDUCTORES!$A$3:$H$54,6,0),"")</f>
        <v/>
      </c>
      <c r="R195" s="280" t="n"/>
      <c r="S195" s="280" t="n"/>
      <c r="T195" s="280" t="n"/>
      <c r="U195" s="280" t="n"/>
      <c r="V195" s="280" t="n"/>
      <c r="W195" s="280" t="n"/>
      <c r="X195" s="280" t="n"/>
      <c r="Y195" s="280" t="n"/>
      <c r="Z195" s="350" t="n"/>
      <c r="AA195" s="198" t="n"/>
      <c r="AB195" s="198" t="n"/>
      <c r="AC195" s="198" t="n"/>
    </row>
    <row r="196" ht="15" customHeight="1" s="195">
      <c r="A196" s="280" t="n"/>
      <c r="B196" s="280" t="n"/>
      <c r="C196" s="280" t="n"/>
      <c r="D196" s="280" t="n"/>
      <c r="E196" s="280" t="n"/>
      <c r="F196" s="280" t="n"/>
      <c r="G196" s="280" t="n"/>
      <c r="H196" s="280" t="n"/>
      <c r="I196" s="332">
        <f>IFERROR(VLOOKUP(TEXT(H196,"0"),IPRESS!$A$3:$B$212,2,0),"")</f>
        <v/>
      </c>
      <c r="J196" s="280" t="n"/>
      <c r="K196" s="343" t="n"/>
      <c r="L196" s="280" t="n"/>
      <c r="M196" s="280" t="n"/>
      <c r="N196" s="345" t="n"/>
      <c r="O196" s="280" t="n"/>
      <c r="P196" s="332">
        <f>IFERROR(VLOOKUP(TEXT(O196,"0"),CONDUCTORES!$A$3:$G$54,2,0),"")</f>
        <v/>
      </c>
      <c r="Q196" s="332">
        <f>IFERROR(VLOOKUP(TEXT(O196,"0"),CONDUCTORES!$A$3:$H$54,6,0),"")</f>
        <v/>
      </c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350" t="n"/>
      <c r="AA196" s="198" t="n"/>
      <c r="AB196" s="198" t="n"/>
      <c r="AC196" s="198" t="n"/>
    </row>
    <row r="197" ht="15" customHeight="1" s="195">
      <c r="A197" s="280" t="n"/>
      <c r="B197" s="280" t="n"/>
      <c r="C197" s="280" t="n"/>
      <c r="D197" s="280" t="n"/>
      <c r="E197" s="280" t="n"/>
      <c r="F197" s="280" t="n"/>
      <c r="G197" s="280" t="n"/>
      <c r="H197" s="280" t="n"/>
      <c r="I197" s="332">
        <f>IFERROR(VLOOKUP(TEXT(H197,"0"),IPRESS!$A$3:$B$212,2,0),"")</f>
        <v/>
      </c>
      <c r="J197" s="280" t="n"/>
      <c r="K197" s="343" t="n"/>
      <c r="L197" s="280" t="n"/>
      <c r="M197" s="280" t="n"/>
      <c r="N197" s="345" t="n"/>
      <c r="O197" s="280" t="n"/>
      <c r="P197" s="332">
        <f>IFERROR(VLOOKUP(TEXT(O197,"0"),CONDUCTORES!$A$3:$G$54,2,0),"")</f>
        <v/>
      </c>
      <c r="Q197" s="332">
        <f>IFERROR(VLOOKUP(TEXT(O197,"0"),CONDUCTORES!$A$3:$H$54,6,0),"")</f>
        <v/>
      </c>
      <c r="R197" s="280" t="n"/>
      <c r="S197" s="280" t="n"/>
      <c r="T197" s="280" t="n"/>
      <c r="U197" s="280" t="n"/>
      <c r="V197" s="280" t="n"/>
      <c r="W197" s="280" t="n"/>
      <c r="X197" s="280" t="n"/>
      <c r="Y197" s="280" t="n"/>
      <c r="Z197" s="350" t="n"/>
      <c r="AA197" s="198" t="n"/>
      <c r="AB197" s="198" t="n"/>
      <c r="AC197" s="198" t="n"/>
    </row>
    <row r="198" ht="15" customHeight="1" s="195">
      <c r="A198" s="280" t="n"/>
      <c r="B198" s="280" t="n"/>
      <c r="C198" s="280" t="n"/>
      <c r="D198" s="280" t="n"/>
      <c r="E198" s="280" t="n"/>
      <c r="F198" s="280" t="n"/>
      <c r="G198" s="280" t="n"/>
      <c r="H198" s="280" t="n"/>
      <c r="I198" s="332">
        <f>IFERROR(VLOOKUP(TEXT(H198,"0"),IPRESS!$A$3:$B$212,2,0),"")</f>
        <v/>
      </c>
      <c r="J198" s="280" t="n"/>
      <c r="K198" s="343" t="n"/>
      <c r="L198" s="280" t="n"/>
      <c r="M198" s="280" t="n"/>
      <c r="N198" s="345" t="n"/>
      <c r="O198" s="280" t="n"/>
      <c r="P198" s="332">
        <f>IFERROR(VLOOKUP(TEXT(O198,"0"),CONDUCTORES!$A$3:$G$54,2,0),"")</f>
        <v/>
      </c>
      <c r="Q198" s="332">
        <f>IFERROR(VLOOKUP(TEXT(O198,"0"),CONDUCTORES!$A$3:$H$54,6,0),"")</f>
        <v/>
      </c>
      <c r="R198" s="280" t="n"/>
      <c r="S198" s="280" t="n"/>
      <c r="T198" s="280" t="n"/>
      <c r="U198" s="280" t="n"/>
      <c r="V198" s="280" t="n"/>
      <c r="W198" s="280" t="n"/>
      <c r="X198" s="280" t="n"/>
      <c r="Y198" s="280" t="n"/>
      <c r="Z198" s="350" t="n"/>
      <c r="AA198" s="198" t="n"/>
      <c r="AB198" s="198" t="n"/>
      <c r="AC198" s="198" t="n"/>
    </row>
    <row r="199" ht="15" customHeight="1" s="195">
      <c r="A199" s="280" t="n"/>
      <c r="B199" s="280" t="n"/>
      <c r="C199" s="280" t="n"/>
      <c r="D199" s="280" t="n"/>
      <c r="E199" s="280" t="n"/>
      <c r="F199" s="280" t="n"/>
      <c r="G199" s="280" t="n"/>
      <c r="H199" s="280" t="n"/>
      <c r="I199" s="332">
        <f>IFERROR(VLOOKUP(TEXT(H199,"0"),IPRESS!$A$3:$B$212,2,0),"")</f>
        <v/>
      </c>
      <c r="J199" s="280" t="n"/>
      <c r="K199" s="343" t="n"/>
      <c r="L199" s="280" t="n"/>
      <c r="M199" s="280" t="n"/>
      <c r="N199" s="345" t="n"/>
      <c r="O199" s="280" t="n"/>
      <c r="P199" s="332">
        <f>IFERROR(VLOOKUP(TEXT(O199,"0"),CONDUCTORES!$A$3:$G$54,2,0),"")</f>
        <v/>
      </c>
      <c r="Q199" s="332">
        <f>IFERROR(VLOOKUP(TEXT(O199,"0"),CONDUCTORES!$A$3:$H$54,6,0),"")</f>
        <v/>
      </c>
      <c r="R199" s="280" t="n"/>
      <c r="S199" s="280" t="n"/>
      <c r="T199" s="280" t="n"/>
      <c r="U199" s="280" t="n"/>
      <c r="V199" s="280" t="n"/>
      <c r="W199" s="280" t="n"/>
      <c r="X199" s="280" t="n"/>
      <c r="Y199" s="280" t="n"/>
      <c r="Z199" s="350" t="n"/>
      <c r="AA199" s="198" t="n"/>
      <c r="AB199" s="198" t="n"/>
      <c r="AC199" s="198" t="n"/>
    </row>
    <row r="200" ht="15" customHeight="1" s="195">
      <c r="A200" s="280" t="n"/>
      <c r="B200" s="280" t="n"/>
      <c r="C200" s="280" t="n"/>
      <c r="D200" s="280" t="n"/>
      <c r="E200" s="280" t="n"/>
      <c r="F200" s="280" t="n"/>
      <c r="G200" s="280" t="n"/>
      <c r="H200" s="280" t="n"/>
      <c r="I200" s="332">
        <f>IFERROR(VLOOKUP(TEXT(H200,"0"),IPRESS!$A$3:$B$212,2,0),"")</f>
        <v/>
      </c>
      <c r="J200" s="280" t="n"/>
      <c r="K200" s="343" t="n"/>
      <c r="L200" s="280" t="n"/>
      <c r="M200" s="280" t="n"/>
      <c r="N200" s="345" t="n"/>
      <c r="O200" s="280" t="n"/>
      <c r="P200" s="332">
        <f>IFERROR(VLOOKUP(TEXT(O200,"0"),CONDUCTORES!$A$3:$G$54,2,0),"")</f>
        <v/>
      </c>
      <c r="Q200" s="332">
        <f>IFERROR(VLOOKUP(TEXT(O200,"0"),CONDUCTORES!$A$3:$H$54,6,0),"")</f>
        <v/>
      </c>
      <c r="R200" s="280" t="n"/>
      <c r="S200" s="280" t="n"/>
      <c r="T200" s="280" t="n"/>
      <c r="U200" s="280" t="n"/>
      <c r="V200" s="280" t="n"/>
      <c r="W200" s="280" t="n"/>
      <c r="X200" s="280" t="n"/>
      <c r="Y200" s="280" t="n"/>
      <c r="Z200" s="350" t="n"/>
      <c r="AA200" s="198" t="n"/>
      <c r="AB200" s="198" t="n"/>
      <c r="AC200" s="198" t="n"/>
    </row>
    <row r="201" ht="15" customHeight="1" s="195">
      <c r="A201" s="280" t="n"/>
      <c r="B201" s="280" t="n"/>
      <c r="C201" s="280" t="n"/>
      <c r="D201" s="280" t="n"/>
      <c r="E201" s="280" t="n"/>
      <c r="F201" s="280" t="n"/>
      <c r="G201" s="280" t="n"/>
      <c r="H201" s="280" t="n"/>
      <c r="I201" s="332">
        <f>IFERROR(VLOOKUP(TEXT(H201,"0"),IPRESS!$A$3:$B$212,2,0),"")</f>
        <v/>
      </c>
      <c r="J201" s="280" t="n"/>
      <c r="K201" s="343" t="n"/>
      <c r="L201" s="280" t="n"/>
      <c r="M201" s="280" t="n"/>
      <c r="N201" s="345" t="n"/>
      <c r="O201" s="280" t="n"/>
      <c r="P201" s="332">
        <f>IFERROR(VLOOKUP(TEXT(O201,"0"),CONDUCTORES!$A$3:$G$54,2,0),"")</f>
        <v/>
      </c>
      <c r="Q201" s="332">
        <f>IFERROR(VLOOKUP(TEXT(O201,"0"),CONDUCTORES!$A$3:$H$54,6,0),"")</f>
        <v/>
      </c>
      <c r="R201" s="280" t="n"/>
      <c r="S201" s="280" t="n"/>
      <c r="T201" s="280" t="n"/>
      <c r="U201" s="280" t="n"/>
      <c r="V201" s="280" t="n"/>
      <c r="W201" s="280" t="n"/>
      <c r="X201" s="280" t="n"/>
      <c r="Y201" s="280" t="n"/>
      <c r="Z201" s="350" t="n"/>
      <c r="AA201" s="198" t="n"/>
      <c r="AB201" s="198" t="n"/>
      <c r="AC201" s="198" t="n"/>
    </row>
    <row r="202" ht="15" customHeight="1" s="195">
      <c r="A202" s="280" t="n"/>
      <c r="B202" s="280" t="n"/>
      <c r="C202" s="280" t="n"/>
      <c r="D202" s="280" t="n"/>
      <c r="E202" s="280" t="n"/>
      <c r="F202" s="280" t="n"/>
      <c r="G202" s="280" t="n"/>
      <c r="H202" s="280" t="n"/>
      <c r="I202" s="332">
        <f>IFERROR(VLOOKUP(TEXT(H202,"0"),IPRESS!$A$3:$B$212,2,0),"")</f>
        <v/>
      </c>
      <c r="J202" s="280" t="n"/>
      <c r="K202" s="343" t="n"/>
      <c r="L202" s="280" t="n"/>
      <c r="M202" s="280" t="n"/>
      <c r="N202" s="345" t="n"/>
      <c r="O202" s="280" t="n"/>
      <c r="P202" s="332">
        <f>IFERROR(VLOOKUP(TEXT(O202,"0"),CONDUCTORES!$A$3:$G$54,2,0),"")</f>
        <v/>
      </c>
      <c r="Q202" s="332">
        <f>IFERROR(VLOOKUP(TEXT(O202,"0"),CONDUCTORES!$A$3:$H$54,6,0),"")</f>
        <v/>
      </c>
      <c r="R202" s="280" t="n"/>
      <c r="S202" s="280" t="n"/>
      <c r="T202" s="280" t="n"/>
      <c r="U202" s="280" t="n"/>
      <c r="V202" s="280" t="n"/>
      <c r="W202" s="280" t="n"/>
      <c r="X202" s="280" t="n"/>
      <c r="Y202" s="280" t="n"/>
      <c r="Z202" s="350" t="n"/>
      <c r="AA202" s="198" t="n"/>
      <c r="AB202" s="198" t="n"/>
      <c r="AC202" s="198" t="n"/>
    </row>
    <row r="203" ht="15" customHeight="1" s="195">
      <c r="A203" s="280" t="n"/>
      <c r="B203" s="280" t="n"/>
      <c r="C203" s="280" t="n"/>
      <c r="D203" s="280" t="n"/>
      <c r="E203" s="280" t="n"/>
      <c r="F203" s="280" t="n"/>
      <c r="G203" s="280" t="n"/>
      <c r="H203" s="280" t="n"/>
      <c r="I203" s="332">
        <f>IFERROR(VLOOKUP(TEXT(H203,"0"),IPRESS!$A$3:$B$212,2,0),"")</f>
        <v/>
      </c>
      <c r="J203" s="280" t="n"/>
      <c r="K203" s="343" t="n"/>
      <c r="L203" s="280" t="n"/>
      <c r="M203" s="280" t="n"/>
      <c r="N203" s="345" t="n"/>
      <c r="O203" s="280" t="n"/>
      <c r="P203" s="332">
        <f>IFERROR(VLOOKUP(TEXT(O203,"0"),CONDUCTORES!$A$3:$G$54,2,0),"")</f>
        <v/>
      </c>
      <c r="Q203" s="332">
        <f>IFERROR(VLOOKUP(TEXT(O203,"0"),CONDUCTORES!$A$3:$H$54,6,0),"")</f>
        <v/>
      </c>
      <c r="R203" s="280" t="n"/>
      <c r="S203" s="280" t="n"/>
      <c r="T203" s="280" t="n"/>
      <c r="U203" s="280" t="n"/>
      <c r="V203" s="280" t="n"/>
      <c r="W203" s="280" t="n"/>
      <c r="X203" s="280" t="n"/>
      <c r="Y203" s="280" t="n"/>
      <c r="Z203" s="350" t="n"/>
      <c r="AA203" s="198" t="n"/>
      <c r="AB203" s="198" t="n"/>
      <c r="AC203" s="198" t="n"/>
    </row>
    <row r="204" ht="15" customHeight="1" s="195">
      <c r="A204" s="280" t="n"/>
      <c r="B204" s="280" t="n"/>
      <c r="C204" s="280" t="n"/>
      <c r="D204" s="280" t="n"/>
      <c r="E204" s="280" t="n"/>
      <c r="F204" s="280" t="n"/>
      <c r="G204" s="280" t="n"/>
      <c r="H204" s="280" t="n"/>
      <c r="I204" s="332">
        <f>IFERROR(VLOOKUP(TEXT(H204,"0"),IPRESS!$A$3:$B$212,2,0),"")</f>
        <v/>
      </c>
      <c r="J204" s="280" t="n"/>
      <c r="K204" s="343" t="n"/>
      <c r="L204" s="280" t="n"/>
      <c r="M204" s="280" t="n"/>
      <c r="N204" s="345" t="n"/>
      <c r="O204" s="280" t="n"/>
      <c r="P204" s="332">
        <f>IFERROR(VLOOKUP(TEXT(O204,"0"),CONDUCTORES!$A$3:$G$54,2,0),"")</f>
        <v/>
      </c>
      <c r="Q204" s="332">
        <f>IFERROR(VLOOKUP(TEXT(O204,"0"),CONDUCTORES!$A$3:$H$54,6,0),"")</f>
        <v/>
      </c>
      <c r="R204" s="280" t="n"/>
      <c r="S204" s="280" t="n"/>
      <c r="T204" s="280" t="n"/>
      <c r="U204" s="280" t="n"/>
      <c r="V204" s="280" t="n"/>
      <c r="W204" s="280" t="n"/>
      <c r="X204" s="280" t="n"/>
      <c r="Y204" s="280" t="n"/>
      <c r="Z204" s="350" t="n"/>
      <c r="AA204" s="198" t="n"/>
      <c r="AB204" s="198" t="n"/>
      <c r="AC204" s="198" t="n"/>
    </row>
    <row r="205" ht="15" customHeight="1" s="195">
      <c r="A205" s="280" t="n"/>
      <c r="B205" s="280" t="n"/>
      <c r="C205" s="280" t="n"/>
      <c r="D205" s="280" t="n"/>
      <c r="E205" s="280" t="n"/>
      <c r="F205" s="280" t="n"/>
      <c r="G205" s="280" t="n"/>
      <c r="H205" s="280" t="n"/>
      <c r="I205" s="332">
        <f>IFERROR(VLOOKUP(TEXT(H205,"0"),IPRESS!$A$3:$B$212,2,0),"")</f>
        <v/>
      </c>
      <c r="J205" s="280" t="n"/>
      <c r="K205" s="343" t="n"/>
      <c r="L205" s="280" t="n"/>
      <c r="M205" s="280" t="n"/>
      <c r="N205" s="345" t="n"/>
      <c r="O205" s="280" t="n"/>
      <c r="P205" s="332">
        <f>IFERROR(VLOOKUP(TEXT(O205,"0"),CONDUCTORES!$A$3:$G$54,2,0),"")</f>
        <v/>
      </c>
      <c r="Q205" s="332">
        <f>IFERROR(VLOOKUP(TEXT(O205,"0"),CONDUCTORES!$A$3:$H$54,6,0),"")</f>
        <v/>
      </c>
      <c r="R205" s="280" t="n"/>
      <c r="S205" s="280" t="n"/>
      <c r="T205" s="280" t="n"/>
      <c r="U205" s="280" t="n"/>
      <c r="V205" s="280" t="n"/>
      <c r="W205" s="280" t="n"/>
      <c r="X205" s="280" t="n"/>
      <c r="Y205" s="280" t="n"/>
      <c r="Z205" s="350" t="n"/>
      <c r="AA205" s="198" t="n"/>
      <c r="AB205" s="198" t="n"/>
      <c r="AC205" s="198" t="n"/>
    </row>
    <row r="206" ht="15" customHeight="1" s="195">
      <c r="A206" s="280" t="n"/>
      <c r="B206" s="280" t="n"/>
      <c r="C206" s="280" t="n"/>
      <c r="D206" s="280" t="n"/>
      <c r="E206" s="280" t="n"/>
      <c r="F206" s="280" t="n"/>
      <c r="G206" s="280" t="n"/>
      <c r="H206" s="280" t="n"/>
      <c r="I206" s="332">
        <f>IFERROR(VLOOKUP(TEXT(H206,"0"),IPRESS!$A$3:$B$212,2,0),"")</f>
        <v/>
      </c>
      <c r="J206" s="280" t="n"/>
      <c r="K206" s="343" t="n"/>
      <c r="L206" s="280" t="n"/>
      <c r="M206" s="280" t="n"/>
      <c r="N206" s="345" t="n"/>
      <c r="O206" s="280" t="n"/>
      <c r="P206" s="332">
        <f>IFERROR(VLOOKUP(TEXT(O206,"0"),CONDUCTORES!$A$3:$G$54,2,0),"")</f>
        <v/>
      </c>
      <c r="Q206" s="332">
        <f>IFERROR(VLOOKUP(TEXT(O206,"0"),CONDUCTORES!$A$3:$H$54,6,0),"")</f>
        <v/>
      </c>
      <c r="R206" s="280" t="n"/>
      <c r="S206" s="280" t="n"/>
      <c r="T206" s="280" t="n"/>
      <c r="U206" s="280" t="n"/>
      <c r="V206" s="280" t="n"/>
      <c r="W206" s="280" t="n"/>
      <c r="X206" s="280" t="n"/>
      <c r="Y206" s="280" t="n"/>
      <c r="Z206" s="350" t="n"/>
      <c r="AA206" s="198" t="n"/>
      <c r="AB206" s="198" t="n"/>
      <c r="AC206" s="198" t="n"/>
    </row>
    <row r="207" ht="15" customHeight="1" s="195">
      <c r="A207" s="280" t="n"/>
      <c r="B207" s="280" t="n"/>
      <c r="C207" s="280" t="n"/>
      <c r="D207" s="280" t="n"/>
      <c r="E207" s="280" t="n"/>
      <c r="F207" s="280" t="n"/>
      <c r="G207" s="280" t="n"/>
      <c r="H207" s="280" t="n"/>
      <c r="I207" s="332">
        <f>IFERROR(VLOOKUP(TEXT(H207,"0"),IPRESS!$A$3:$B$212,2,0),"")</f>
        <v/>
      </c>
      <c r="J207" s="280" t="n"/>
      <c r="K207" s="343" t="n"/>
      <c r="L207" s="280" t="n"/>
      <c r="M207" s="280" t="n"/>
      <c r="N207" s="345" t="n"/>
      <c r="O207" s="280" t="n"/>
      <c r="P207" s="332">
        <f>IFERROR(VLOOKUP(TEXT(O207,"0"),CONDUCTORES!$A$3:$G$54,2,0),"")</f>
        <v/>
      </c>
      <c r="Q207" s="332">
        <f>IFERROR(VLOOKUP(TEXT(O207,"0"),CONDUCTORES!$A$3:$H$54,6,0),"")</f>
        <v/>
      </c>
      <c r="R207" s="280" t="n"/>
      <c r="S207" s="280" t="n"/>
      <c r="T207" s="280" t="n"/>
      <c r="U207" s="280" t="n"/>
      <c r="V207" s="280" t="n"/>
      <c r="W207" s="280" t="n"/>
      <c r="X207" s="280" t="n"/>
      <c r="Y207" s="280" t="n"/>
      <c r="Z207" s="350" t="n"/>
      <c r="AA207" s="198" t="n"/>
      <c r="AB207" s="198" t="n"/>
      <c r="AC207" s="198" t="n"/>
    </row>
    <row r="208" ht="15" customHeight="1" s="195">
      <c r="A208" s="280" t="n"/>
      <c r="B208" s="280" t="n"/>
      <c r="C208" s="280" t="n"/>
      <c r="D208" s="280" t="n"/>
      <c r="E208" s="280" t="n"/>
      <c r="F208" s="280" t="n"/>
      <c r="G208" s="280" t="n"/>
      <c r="H208" s="280" t="n"/>
      <c r="I208" s="332">
        <f>IFERROR(VLOOKUP(TEXT(H208,"0"),IPRESS!$A$3:$B$212,2,0),"")</f>
        <v/>
      </c>
      <c r="J208" s="280" t="n"/>
      <c r="K208" s="343" t="n"/>
      <c r="L208" s="280" t="n"/>
      <c r="M208" s="280" t="n"/>
      <c r="N208" s="345" t="n"/>
      <c r="O208" s="280" t="n"/>
      <c r="P208" s="332">
        <f>IFERROR(VLOOKUP(TEXT(O208,"0"),CONDUCTORES!$A$3:$G$54,2,0),"")</f>
        <v/>
      </c>
      <c r="Q208" s="332">
        <f>IFERROR(VLOOKUP(TEXT(O208,"0"),CONDUCTORES!$A$3:$H$54,6,0),"")</f>
        <v/>
      </c>
      <c r="R208" s="280" t="n"/>
      <c r="S208" s="280" t="n"/>
      <c r="T208" s="280" t="n"/>
      <c r="U208" s="280" t="n"/>
      <c r="V208" s="280" t="n"/>
      <c r="W208" s="280" t="n"/>
      <c r="X208" s="280" t="n"/>
      <c r="Y208" s="280" t="n"/>
      <c r="Z208" s="350" t="n"/>
      <c r="AA208" s="198" t="n"/>
      <c r="AB208" s="198" t="n"/>
      <c r="AC208" s="198" t="n"/>
    </row>
    <row r="209" ht="15" customHeight="1" s="195">
      <c r="A209" s="280" t="n"/>
      <c r="B209" s="280" t="n"/>
      <c r="C209" s="280" t="n"/>
      <c r="D209" s="280" t="n"/>
      <c r="E209" s="280" t="n"/>
      <c r="F209" s="280" t="n"/>
      <c r="G209" s="280" t="n"/>
      <c r="H209" s="280" t="n"/>
      <c r="I209" s="332">
        <f>IFERROR(VLOOKUP(TEXT(H209,"0"),IPRESS!$A$3:$B$212,2,0),"")</f>
        <v/>
      </c>
      <c r="J209" s="280" t="n"/>
      <c r="K209" s="343" t="n"/>
      <c r="L209" s="280" t="n"/>
      <c r="M209" s="280" t="n"/>
      <c r="N209" s="345" t="n"/>
      <c r="O209" s="280" t="n"/>
      <c r="P209" s="332">
        <f>IFERROR(VLOOKUP(TEXT(O209,"0"),CONDUCTORES!$A$3:$G$54,2,0),"")</f>
        <v/>
      </c>
      <c r="Q209" s="332">
        <f>IFERROR(VLOOKUP(TEXT(O209,"0"),CONDUCTORES!$A$3:$H$54,6,0),"")</f>
        <v/>
      </c>
      <c r="R209" s="280" t="n"/>
      <c r="S209" s="280" t="n"/>
      <c r="T209" s="280" t="n"/>
      <c r="U209" s="280" t="n"/>
      <c r="V209" s="280" t="n"/>
      <c r="W209" s="280" t="n"/>
      <c r="X209" s="280" t="n"/>
      <c r="Y209" s="280" t="n"/>
      <c r="Z209" s="350" t="n"/>
      <c r="AA209" s="198" t="n"/>
      <c r="AB209" s="198" t="n"/>
      <c r="AC209" s="198" t="n"/>
    </row>
    <row r="210" ht="15" customHeight="1" s="195">
      <c r="A210" s="280" t="n"/>
      <c r="B210" s="280" t="n"/>
      <c r="C210" s="280" t="n"/>
      <c r="D210" s="280" t="n"/>
      <c r="E210" s="280" t="n"/>
      <c r="F210" s="280" t="n"/>
      <c r="G210" s="280" t="n"/>
      <c r="H210" s="280" t="n"/>
      <c r="I210" s="332">
        <f>IFERROR(VLOOKUP(TEXT(H210,"0"),IPRESS!$A$3:$B$212,2,0),"")</f>
        <v/>
      </c>
      <c r="J210" s="280" t="n"/>
      <c r="K210" s="343" t="n"/>
      <c r="L210" s="280" t="n"/>
      <c r="M210" s="280" t="n"/>
      <c r="N210" s="345" t="n"/>
      <c r="O210" s="280" t="n"/>
      <c r="P210" s="332">
        <f>IFERROR(VLOOKUP(TEXT(O210,"0"),CONDUCTORES!$A$3:$G$54,2,0),"")</f>
        <v/>
      </c>
      <c r="Q210" s="332">
        <f>IFERROR(VLOOKUP(TEXT(O210,"0"),CONDUCTORES!$A$3:$H$54,6,0),"")</f>
        <v/>
      </c>
      <c r="R210" s="280" t="n"/>
      <c r="S210" s="280" t="n"/>
      <c r="T210" s="280" t="n"/>
      <c r="U210" s="280" t="n"/>
      <c r="V210" s="280" t="n"/>
      <c r="W210" s="280" t="n"/>
      <c r="X210" s="280" t="n"/>
      <c r="Y210" s="280" t="n"/>
      <c r="Z210" s="350" t="n"/>
      <c r="AA210" s="198" t="n"/>
      <c r="AB210" s="198" t="n"/>
      <c r="AC210" s="198" t="n"/>
    </row>
    <row r="211" ht="15" customHeight="1" s="195">
      <c r="A211" s="280" t="n"/>
      <c r="B211" s="280" t="n"/>
      <c r="C211" s="280" t="n"/>
      <c r="D211" s="280" t="n"/>
      <c r="E211" s="280" t="n"/>
      <c r="F211" s="280" t="n"/>
      <c r="G211" s="280" t="n"/>
      <c r="H211" s="280" t="n"/>
      <c r="I211" s="332">
        <f>IFERROR(VLOOKUP(TEXT(H211,"0"),IPRESS!$A$3:$B$212,2,0),"")</f>
        <v/>
      </c>
      <c r="J211" s="280" t="n"/>
      <c r="K211" s="343" t="n"/>
      <c r="L211" s="280" t="n"/>
      <c r="M211" s="280" t="n"/>
      <c r="N211" s="345" t="n"/>
      <c r="O211" s="280" t="n"/>
      <c r="P211" s="332">
        <f>IFERROR(VLOOKUP(TEXT(O211,"0"),CONDUCTORES!$A$3:$G$54,2,0),"")</f>
        <v/>
      </c>
      <c r="Q211" s="332">
        <f>IFERROR(VLOOKUP(TEXT(O211,"0"),CONDUCTORES!$A$3:$H$54,6,0),"")</f>
        <v/>
      </c>
      <c r="R211" s="280" t="n"/>
      <c r="S211" s="280" t="n"/>
      <c r="T211" s="280" t="n"/>
      <c r="U211" s="280" t="n"/>
      <c r="V211" s="280" t="n"/>
      <c r="W211" s="280" t="n"/>
      <c r="X211" s="280" t="n"/>
      <c r="Y211" s="280" t="n"/>
      <c r="Z211" s="350" t="n"/>
      <c r="AA211" s="198" t="n"/>
      <c r="AB211" s="198" t="n"/>
      <c r="AC211" s="198" t="n"/>
    </row>
    <row r="212" ht="15" customHeight="1" s="195">
      <c r="A212" s="280" t="n"/>
      <c r="B212" s="280" t="n"/>
      <c r="C212" s="280" t="n"/>
      <c r="D212" s="280" t="n"/>
      <c r="E212" s="280" t="n"/>
      <c r="F212" s="280" t="n"/>
      <c r="G212" s="280" t="n"/>
      <c r="H212" s="280" t="n"/>
      <c r="I212" s="332">
        <f>IFERROR(VLOOKUP(TEXT(H212,"0"),IPRESS!$A$3:$B$212,2,0),"")</f>
        <v/>
      </c>
      <c r="J212" s="280" t="n"/>
      <c r="K212" s="343" t="n"/>
      <c r="L212" s="280" t="n"/>
      <c r="M212" s="280" t="n"/>
      <c r="N212" s="345" t="n"/>
      <c r="O212" s="280" t="n"/>
      <c r="P212" s="332">
        <f>IFERROR(VLOOKUP(TEXT(O212,"0"),CONDUCTORES!$A$3:$G$54,2,0),"")</f>
        <v/>
      </c>
      <c r="Q212" s="332">
        <f>IFERROR(VLOOKUP(TEXT(O212,"0"),CONDUCTORES!$A$3:$H$54,6,0),"")</f>
        <v/>
      </c>
      <c r="R212" s="280" t="n"/>
      <c r="S212" s="280" t="n"/>
      <c r="T212" s="280" t="n"/>
      <c r="U212" s="280" t="n"/>
      <c r="V212" s="280" t="n"/>
      <c r="W212" s="280" t="n"/>
      <c r="X212" s="280" t="n"/>
      <c r="Y212" s="280" t="n"/>
      <c r="Z212" s="350" t="n"/>
      <c r="AA212" s="198" t="n"/>
      <c r="AB212" s="198" t="n"/>
      <c r="AC212" s="198" t="n"/>
    </row>
    <row r="213" ht="15" customHeight="1" s="195">
      <c r="A213" s="280" t="n"/>
      <c r="B213" s="280" t="n"/>
      <c r="C213" s="280" t="n"/>
      <c r="D213" s="280" t="n"/>
      <c r="E213" s="280" t="n"/>
      <c r="F213" s="280" t="n"/>
      <c r="G213" s="280" t="n"/>
      <c r="H213" s="280" t="n"/>
      <c r="I213" s="332">
        <f>IFERROR(VLOOKUP(TEXT(H213,"0"),IPRESS!$A$3:$B$212,2,0),"")</f>
        <v/>
      </c>
      <c r="J213" s="280" t="n"/>
      <c r="K213" s="343" t="n"/>
      <c r="L213" s="280" t="n"/>
      <c r="M213" s="280" t="n"/>
      <c r="N213" s="345" t="n"/>
      <c r="O213" s="280" t="n"/>
      <c r="P213" s="332">
        <f>IFERROR(VLOOKUP(TEXT(O213,"0"),CONDUCTORES!$A$3:$G$54,2,0),"")</f>
        <v/>
      </c>
      <c r="Q213" s="332">
        <f>IFERROR(VLOOKUP(TEXT(O213,"0"),CONDUCTORES!$A$3:$H$54,6,0),"")</f>
        <v/>
      </c>
      <c r="R213" s="280" t="n"/>
      <c r="S213" s="280" t="n"/>
      <c r="T213" s="280" t="n"/>
      <c r="U213" s="280" t="n"/>
      <c r="V213" s="280" t="n"/>
      <c r="W213" s="280" t="n"/>
      <c r="X213" s="280" t="n"/>
      <c r="Y213" s="280" t="n"/>
      <c r="Z213" s="350" t="n"/>
      <c r="AA213" s="198" t="n"/>
      <c r="AB213" s="198" t="n"/>
      <c r="AC213" s="198" t="n"/>
    </row>
    <row r="214" ht="15" customHeight="1" s="195">
      <c r="A214" s="280" t="n"/>
      <c r="B214" s="280" t="n"/>
      <c r="C214" s="280" t="n"/>
      <c r="D214" s="280" t="n"/>
      <c r="E214" s="280" t="n"/>
      <c r="F214" s="280" t="n"/>
      <c r="G214" s="280" t="n"/>
      <c r="H214" s="280" t="n"/>
      <c r="I214" s="332">
        <f>IFERROR(VLOOKUP(TEXT(H214,"0"),IPRESS!$A$3:$B$212,2,0),"")</f>
        <v/>
      </c>
      <c r="J214" s="280" t="n"/>
      <c r="K214" s="343" t="n"/>
      <c r="L214" s="280" t="n"/>
      <c r="M214" s="280" t="n"/>
      <c r="N214" s="345" t="n"/>
      <c r="O214" s="280" t="n"/>
      <c r="P214" s="332">
        <f>IFERROR(VLOOKUP(TEXT(O214,"0"),CONDUCTORES!$A$3:$G$54,2,0),"")</f>
        <v/>
      </c>
      <c r="Q214" s="332">
        <f>IFERROR(VLOOKUP(TEXT(O214,"0"),CONDUCTORES!$A$3:$H$54,6,0),"")</f>
        <v/>
      </c>
      <c r="R214" s="280" t="n"/>
      <c r="S214" s="280" t="n"/>
      <c r="T214" s="280" t="n"/>
      <c r="U214" s="280" t="n"/>
      <c r="V214" s="280" t="n"/>
      <c r="W214" s="280" t="n"/>
      <c r="X214" s="280" t="n"/>
      <c r="Y214" s="280" t="n"/>
      <c r="Z214" s="350" t="n"/>
      <c r="AA214" s="198" t="n"/>
      <c r="AB214" s="198" t="n"/>
      <c r="AC214" s="198" t="n"/>
    </row>
    <row r="215" ht="15" customHeight="1" s="195">
      <c r="A215" s="280" t="n"/>
      <c r="B215" s="280" t="n"/>
      <c r="C215" s="280" t="n"/>
      <c r="D215" s="280" t="n"/>
      <c r="E215" s="280" t="n"/>
      <c r="F215" s="280" t="n"/>
      <c r="G215" s="280" t="n"/>
      <c r="H215" s="280" t="n"/>
      <c r="I215" s="332">
        <f>IFERROR(VLOOKUP(TEXT(H215,"0"),IPRESS!$A$3:$B$212,2,0),"")</f>
        <v/>
      </c>
      <c r="J215" s="280" t="n"/>
      <c r="K215" s="343" t="n"/>
      <c r="L215" s="280" t="n"/>
      <c r="M215" s="280" t="n"/>
      <c r="N215" s="345" t="n"/>
      <c r="O215" s="280" t="n"/>
      <c r="P215" s="332">
        <f>IFERROR(VLOOKUP(TEXT(O215,"0"),CONDUCTORES!$A$3:$G$54,2,0),"")</f>
        <v/>
      </c>
      <c r="Q215" s="332">
        <f>IFERROR(VLOOKUP(TEXT(O215,"0"),CONDUCTORES!$A$3:$H$54,6,0),"")</f>
        <v/>
      </c>
      <c r="R215" s="280" t="n"/>
      <c r="S215" s="280" t="n"/>
      <c r="T215" s="280" t="n"/>
      <c r="U215" s="280" t="n"/>
      <c r="V215" s="280" t="n"/>
      <c r="W215" s="280" t="n"/>
      <c r="X215" s="280" t="n"/>
      <c r="Y215" s="280" t="n"/>
      <c r="Z215" s="350" t="n"/>
      <c r="AA215" s="198" t="n"/>
      <c r="AB215" s="198" t="n"/>
      <c r="AC215" s="198" t="n"/>
    </row>
    <row r="216" ht="15" customHeight="1" s="195">
      <c r="A216" s="280" t="n"/>
      <c r="B216" s="280" t="n"/>
      <c r="C216" s="280" t="n"/>
      <c r="D216" s="280" t="n"/>
      <c r="E216" s="280" t="n"/>
      <c r="F216" s="280" t="n"/>
      <c r="G216" s="280" t="n"/>
      <c r="H216" s="280" t="n"/>
      <c r="I216" s="332">
        <f>IFERROR(VLOOKUP(TEXT(H216,"0"),IPRESS!$A$3:$B$212,2,0),"")</f>
        <v/>
      </c>
      <c r="J216" s="280" t="n"/>
      <c r="K216" s="343" t="n"/>
      <c r="L216" s="280" t="n"/>
      <c r="M216" s="280" t="n"/>
      <c r="N216" s="345" t="n"/>
      <c r="O216" s="280" t="n"/>
      <c r="P216" s="332">
        <f>IFERROR(VLOOKUP(TEXT(O216,"0"),CONDUCTORES!$A$3:$G$54,2,0),"")</f>
        <v/>
      </c>
      <c r="Q216" s="332">
        <f>IFERROR(VLOOKUP(TEXT(O216,"0"),CONDUCTORES!$A$3:$H$54,6,0),"")</f>
        <v/>
      </c>
      <c r="R216" s="280" t="n"/>
      <c r="S216" s="280" t="n"/>
      <c r="T216" s="280" t="n"/>
      <c r="U216" s="280" t="n"/>
      <c r="V216" s="280" t="n"/>
      <c r="W216" s="280" t="n"/>
      <c r="X216" s="280" t="n"/>
      <c r="Y216" s="280" t="n"/>
      <c r="Z216" s="350" t="n"/>
      <c r="AA216" s="198" t="n"/>
      <c r="AB216" s="198" t="n"/>
      <c r="AC216" s="198" t="n"/>
    </row>
    <row r="217" ht="15" customHeight="1" s="195">
      <c r="A217" s="280" t="n"/>
      <c r="B217" s="280" t="n"/>
      <c r="C217" s="280" t="n"/>
      <c r="D217" s="280" t="n"/>
      <c r="E217" s="280" t="n"/>
      <c r="F217" s="280" t="n"/>
      <c r="G217" s="280" t="n"/>
      <c r="H217" s="280" t="n"/>
      <c r="I217" s="332">
        <f>IFERROR(VLOOKUP(TEXT(H217,"0"),IPRESS!$A$3:$B$212,2,0),"")</f>
        <v/>
      </c>
      <c r="J217" s="280" t="n"/>
      <c r="K217" s="343" t="n"/>
      <c r="L217" s="280" t="n"/>
      <c r="M217" s="280" t="n"/>
      <c r="N217" s="345" t="n"/>
      <c r="O217" s="280" t="n"/>
      <c r="P217" s="332">
        <f>IFERROR(VLOOKUP(TEXT(O217,"0"),CONDUCTORES!$A$3:$G$54,2,0),"")</f>
        <v/>
      </c>
      <c r="Q217" s="332">
        <f>IFERROR(VLOOKUP(TEXT(O217,"0"),CONDUCTORES!$A$3:$H$54,6,0),"")</f>
        <v/>
      </c>
      <c r="R217" s="280" t="n"/>
      <c r="S217" s="280" t="n"/>
      <c r="T217" s="280" t="n"/>
      <c r="U217" s="280" t="n"/>
      <c r="V217" s="280" t="n"/>
      <c r="W217" s="280" t="n"/>
      <c r="X217" s="280" t="n"/>
      <c r="Y217" s="280" t="n"/>
      <c r="Z217" s="350" t="n"/>
      <c r="AA217" s="198" t="n"/>
      <c r="AB217" s="198" t="n"/>
      <c r="AC217" s="198" t="n"/>
    </row>
    <row r="218" ht="15" customHeight="1" s="195">
      <c r="A218" s="280" t="n"/>
      <c r="B218" s="280" t="n"/>
      <c r="C218" s="280" t="n"/>
      <c r="D218" s="280" t="n"/>
      <c r="E218" s="280" t="n"/>
      <c r="F218" s="280" t="n"/>
      <c r="G218" s="280" t="n"/>
      <c r="H218" s="280" t="n"/>
      <c r="I218" s="332">
        <f>IFERROR(VLOOKUP(TEXT(H218,"0"),IPRESS!$A$3:$B$212,2,0),"")</f>
        <v/>
      </c>
      <c r="J218" s="280" t="n"/>
      <c r="K218" s="343" t="n"/>
      <c r="L218" s="280" t="n"/>
      <c r="M218" s="280" t="n"/>
      <c r="N218" s="345" t="n"/>
      <c r="O218" s="280" t="n"/>
      <c r="P218" s="332">
        <f>IFERROR(VLOOKUP(TEXT(O218,"0"),CONDUCTORES!$A$3:$G$54,2,0),"")</f>
        <v/>
      </c>
      <c r="Q218" s="332">
        <f>IFERROR(VLOOKUP(TEXT(O218,"0"),CONDUCTORES!$A$3:$H$54,6,0),"")</f>
        <v/>
      </c>
      <c r="R218" s="280" t="n"/>
      <c r="S218" s="280" t="n"/>
      <c r="T218" s="280" t="n"/>
      <c r="U218" s="280" t="n"/>
      <c r="V218" s="280" t="n"/>
      <c r="W218" s="280" t="n"/>
      <c r="X218" s="280" t="n"/>
      <c r="Y218" s="280" t="n"/>
      <c r="Z218" s="350" t="n"/>
      <c r="AA218" s="198" t="n"/>
      <c r="AB218" s="198" t="n"/>
      <c r="AC218" s="198" t="n"/>
    </row>
    <row r="219" ht="15" customHeight="1" s="195">
      <c r="A219" s="280" t="n"/>
      <c r="B219" s="280" t="n"/>
      <c r="C219" s="280" t="n"/>
      <c r="D219" s="280" t="n"/>
      <c r="E219" s="280" t="n"/>
      <c r="F219" s="280" t="n"/>
      <c r="G219" s="280" t="n"/>
      <c r="H219" s="280" t="n"/>
      <c r="I219" s="332">
        <f>IFERROR(VLOOKUP(TEXT(H219,"0"),IPRESS!$A$3:$B$212,2,0),"")</f>
        <v/>
      </c>
      <c r="J219" s="280" t="n"/>
      <c r="K219" s="343" t="n"/>
      <c r="L219" s="280" t="n"/>
      <c r="M219" s="280" t="n"/>
      <c r="N219" s="345" t="n"/>
      <c r="O219" s="280" t="n"/>
      <c r="P219" s="332">
        <f>IFERROR(VLOOKUP(TEXT(O219,"0"),CONDUCTORES!$A$3:$G$54,2,0),"")</f>
        <v/>
      </c>
      <c r="Q219" s="332">
        <f>IFERROR(VLOOKUP(TEXT(O219,"0"),CONDUCTORES!$A$3:$H$54,6,0),"")</f>
        <v/>
      </c>
      <c r="R219" s="280" t="n"/>
      <c r="S219" s="280" t="n"/>
      <c r="T219" s="280" t="n"/>
      <c r="U219" s="280" t="n"/>
      <c r="V219" s="280" t="n"/>
      <c r="W219" s="280" t="n"/>
      <c r="X219" s="280" t="n"/>
      <c r="Y219" s="280" t="n"/>
      <c r="Z219" s="350" t="n"/>
      <c r="AA219" s="198" t="n"/>
      <c r="AB219" s="198" t="n"/>
      <c r="AC219" s="198" t="n"/>
    </row>
    <row r="220" ht="15" customHeight="1" s="195">
      <c r="A220" s="280" t="n"/>
      <c r="B220" s="280" t="n"/>
      <c r="C220" s="280" t="n"/>
      <c r="D220" s="280" t="n"/>
      <c r="E220" s="280" t="n"/>
      <c r="F220" s="280" t="n"/>
      <c r="G220" s="280" t="n"/>
      <c r="H220" s="280" t="n"/>
      <c r="I220" s="332">
        <f>IFERROR(VLOOKUP(TEXT(H220,"0"),IPRESS!$A$3:$B$212,2,0),"")</f>
        <v/>
      </c>
      <c r="J220" s="280" t="n"/>
      <c r="K220" s="343" t="n"/>
      <c r="L220" s="280" t="n"/>
      <c r="M220" s="280" t="n"/>
      <c r="N220" s="345" t="n"/>
      <c r="O220" s="280" t="n"/>
      <c r="P220" s="332">
        <f>IFERROR(VLOOKUP(TEXT(O220,"0"),CONDUCTORES!$A$3:$G$54,2,0),"")</f>
        <v/>
      </c>
      <c r="Q220" s="332">
        <f>IFERROR(VLOOKUP(TEXT(O220,"0"),CONDUCTORES!$A$3:$H$54,6,0),"")</f>
        <v/>
      </c>
      <c r="R220" s="280" t="n"/>
      <c r="S220" s="280" t="n"/>
      <c r="T220" s="280" t="n"/>
      <c r="U220" s="280" t="n"/>
      <c r="V220" s="280" t="n"/>
      <c r="W220" s="280" t="n"/>
      <c r="X220" s="280" t="n"/>
      <c r="Y220" s="280" t="n"/>
      <c r="Z220" s="350" t="n"/>
      <c r="AA220" s="198" t="n"/>
      <c r="AB220" s="198" t="n"/>
      <c r="AC220" s="198" t="n"/>
    </row>
    <row r="221" ht="15" customHeight="1" s="195">
      <c r="A221" s="280" t="n"/>
      <c r="B221" s="280" t="n"/>
      <c r="C221" s="280" t="n"/>
      <c r="D221" s="280" t="n"/>
      <c r="E221" s="280" t="n"/>
      <c r="F221" s="280" t="n"/>
      <c r="G221" s="280" t="n"/>
      <c r="H221" s="280" t="n"/>
      <c r="I221" s="332">
        <f>IFERROR(VLOOKUP(TEXT(H221,"0"),IPRESS!$A$3:$B$212,2,0),"")</f>
        <v/>
      </c>
      <c r="J221" s="280" t="n"/>
      <c r="K221" s="343" t="n"/>
      <c r="L221" s="280" t="n"/>
      <c r="M221" s="280" t="n"/>
      <c r="N221" s="345" t="n"/>
      <c r="O221" s="280" t="n"/>
      <c r="P221" s="332">
        <f>IFERROR(VLOOKUP(TEXT(O221,"0"),CONDUCTORES!$A$3:$G$54,2,0),"")</f>
        <v/>
      </c>
      <c r="Q221" s="332">
        <f>IFERROR(VLOOKUP(TEXT(O221,"0"),CONDUCTORES!$A$3:$H$54,6,0),"")</f>
        <v/>
      </c>
      <c r="R221" s="280" t="n"/>
      <c r="S221" s="280" t="n"/>
      <c r="T221" s="280" t="n"/>
      <c r="U221" s="280" t="n"/>
      <c r="V221" s="280" t="n"/>
      <c r="W221" s="280" t="n"/>
      <c r="X221" s="280" t="n"/>
      <c r="Y221" s="280" t="n"/>
      <c r="Z221" s="350" t="n"/>
      <c r="AA221" s="198" t="n"/>
      <c r="AB221" s="198" t="n"/>
      <c r="AC221" s="198" t="n"/>
    </row>
    <row r="222" ht="15" customHeight="1" s="195">
      <c r="A222" s="280" t="n"/>
      <c r="B222" s="280" t="n"/>
      <c r="C222" s="280" t="n"/>
      <c r="D222" s="280" t="n"/>
      <c r="E222" s="280" t="n"/>
      <c r="F222" s="280" t="n"/>
      <c r="G222" s="280" t="n"/>
      <c r="H222" s="280" t="n"/>
      <c r="I222" s="332">
        <f>IFERROR(VLOOKUP(TEXT(H222,"0"),IPRESS!$A$3:$B$212,2,0),"")</f>
        <v/>
      </c>
      <c r="J222" s="280" t="n"/>
      <c r="K222" s="343" t="n"/>
      <c r="L222" s="280" t="n"/>
      <c r="M222" s="280" t="n"/>
      <c r="N222" s="345" t="n"/>
      <c r="O222" s="280" t="n"/>
      <c r="P222" s="332">
        <f>IFERROR(VLOOKUP(TEXT(O222,"0"),CONDUCTORES!$A$3:$G$54,2,0),"")</f>
        <v/>
      </c>
      <c r="Q222" s="332">
        <f>IFERROR(VLOOKUP(TEXT(O222,"0"),CONDUCTORES!$A$3:$H$54,6,0),"")</f>
        <v/>
      </c>
      <c r="R222" s="280" t="n"/>
      <c r="S222" s="280" t="n"/>
      <c r="T222" s="280" t="n"/>
      <c r="U222" s="280" t="n"/>
      <c r="V222" s="280" t="n"/>
      <c r="W222" s="280" t="n"/>
      <c r="X222" s="280" t="n"/>
      <c r="Y222" s="280" t="n"/>
      <c r="Z222" s="350" t="n"/>
      <c r="AA222" s="198" t="n"/>
      <c r="AB222" s="198" t="n"/>
      <c r="AC222" s="198" t="n"/>
    </row>
    <row r="223" ht="15" customHeight="1" s="195">
      <c r="A223" s="280" t="n"/>
      <c r="B223" s="280" t="n"/>
      <c r="C223" s="280" t="n"/>
      <c r="D223" s="280" t="n"/>
      <c r="E223" s="280" t="n"/>
      <c r="F223" s="280" t="n"/>
      <c r="G223" s="280" t="n"/>
      <c r="H223" s="280" t="n"/>
      <c r="I223" s="332">
        <f>IFERROR(VLOOKUP(TEXT(H223,"0"),IPRESS!$A$3:$B$212,2,0),"")</f>
        <v/>
      </c>
      <c r="J223" s="280" t="n"/>
      <c r="K223" s="343" t="n"/>
      <c r="L223" s="280" t="n"/>
      <c r="M223" s="280" t="n"/>
      <c r="N223" s="345" t="n"/>
      <c r="O223" s="280" t="n"/>
      <c r="P223" s="332">
        <f>IFERROR(VLOOKUP(TEXT(O223,"0"),CONDUCTORES!$A$3:$G$54,2,0),"")</f>
        <v/>
      </c>
      <c r="Q223" s="332">
        <f>IFERROR(VLOOKUP(TEXT(O223,"0"),CONDUCTORES!$A$3:$H$54,6,0),"")</f>
        <v/>
      </c>
      <c r="R223" s="280" t="n"/>
      <c r="S223" s="280" t="n"/>
      <c r="T223" s="280" t="n"/>
      <c r="U223" s="280" t="n"/>
      <c r="V223" s="280" t="n"/>
      <c r="W223" s="280" t="n"/>
      <c r="X223" s="280" t="n"/>
      <c r="Y223" s="280" t="n"/>
      <c r="Z223" s="350" t="n"/>
      <c r="AA223" s="198" t="n"/>
      <c r="AB223" s="198" t="n"/>
      <c r="AC223" s="198" t="n"/>
    </row>
    <row r="224" ht="15" customHeight="1" s="195">
      <c r="A224" s="280" t="n"/>
      <c r="B224" s="280" t="n"/>
      <c r="C224" s="280" t="n"/>
      <c r="D224" s="280" t="n"/>
      <c r="E224" s="280" t="n"/>
      <c r="F224" s="280" t="n"/>
      <c r="G224" s="280" t="n"/>
      <c r="H224" s="280" t="n"/>
      <c r="I224" s="332">
        <f>IFERROR(VLOOKUP(TEXT(H224,"0"),IPRESS!$A$3:$B$212,2,0),"")</f>
        <v/>
      </c>
      <c r="J224" s="280" t="n"/>
      <c r="K224" s="343" t="n"/>
      <c r="L224" s="280" t="n"/>
      <c r="M224" s="280" t="n"/>
      <c r="N224" s="345" t="n"/>
      <c r="O224" s="280" t="n"/>
      <c r="P224" s="332">
        <f>IFERROR(VLOOKUP(TEXT(O224,"0"),CONDUCTORES!$A$3:$G$54,2,0),"")</f>
        <v/>
      </c>
      <c r="Q224" s="332">
        <f>IFERROR(VLOOKUP(TEXT(O224,"0"),CONDUCTORES!$A$3:$H$54,6,0),"")</f>
        <v/>
      </c>
      <c r="R224" s="280" t="n"/>
      <c r="S224" s="280" t="n"/>
      <c r="T224" s="280" t="n"/>
      <c r="U224" s="280" t="n"/>
      <c r="V224" s="280" t="n"/>
      <c r="W224" s="280" t="n"/>
      <c r="X224" s="280" t="n"/>
      <c r="Y224" s="280" t="n"/>
      <c r="Z224" s="350" t="n"/>
      <c r="AA224" s="198" t="n"/>
      <c r="AB224" s="198" t="n"/>
      <c r="AC224" s="198" t="n"/>
    </row>
    <row r="225" ht="15" customHeight="1" s="195">
      <c r="A225" s="280" t="n"/>
      <c r="B225" s="280" t="n"/>
      <c r="C225" s="280" t="n"/>
      <c r="D225" s="280" t="n"/>
      <c r="E225" s="280" t="n"/>
      <c r="F225" s="280" t="n"/>
      <c r="G225" s="280" t="n"/>
      <c r="H225" s="280" t="n"/>
      <c r="I225" s="332">
        <f>IFERROR(VLOOKUP(TEXT(H225,"0"),IPRESS!$A$3:$B$212,2,0),"")</f>
        <v/>
      </c>
      <c r="J225" s="280" t="n"/>
      <c r="K225" s="343" t="n"/>
      <c r="L225" s="280" t="n"/>
      <c r="M225" s="280" t="n"/>
      <c r="N225" s="345" t="n"/>
      <c r="O225" s="280" t="n"/>
      <c r="P225" s="332">
        <f>IFERROR(VLOOKUP(TEXT(O225,"0"),CONDUCTORES!$A$3:$G$54,2,0),"")</f>
        <v/>
      </c>
      <c r="Q225" s="332">
        <f>IFERROR(VLOOKUP(TEXT(O225,"0"),CONDUCTORES!$A$3:$H$54,6,0),"")</f>
        <v/>
      </c>
      <c r="R225" s="280" t="n"/>
      <c r="S225" s="280" t="n"/>
      <c r="T225" s="280" t="n"/>
      <c r="U225" s="280" t="n"/>
      <c r="V225" s="280" t="n"/>
      <c r="W225" s="280" t="n"/>
      <c r="X225" s="280" t="n"/>
      <c r="Y225" s="280" t="n"/>
      <c r="Z225" s="350" t="n"/>
      <c r="AA225" s="198" t="n"/>
      <c r="AB225" s="198" t="n"/>
      <c r="AC225" s="198" t="n"/>
    </row>
    <row r="226" ht="15" customHeight="1" s="195">
      <c r="A226" s="280" t="n"/>
      <c r="B226" s="280" t="n"/>
      <c r="C226" s="280" t="n"/>
      <c r="D226" s="280" t="n"/>
      <c r="E226" s="280" t="n"/>
      <c r="F226" s="280" t="n"/>
      <c r="G226" s="280" t="n"/>
      <c r="H226" s="280" t="n"/>
      <c r="I226" s="332">
        <f>IFERROR(VLOOKUP(TEXT(H226,"0"),IPRESS!$A$3:$B$212,2,0),"")</f>
        <v/>
      </c>
      <c r="J226" s="280" t="n"/>
      <c r="K226" s="343" t="n"/>
      <c r="L226" s="280" t="n"/>
      <c r="M226" s="280" t="n"/>
      <c r="N226" s="345" t="n"/>
      <c r="O226" s="280" t="n"/>
      <c r="P226" s="332">
        <f>IFERROR(VLOOKUP(TEXT(O226,"0"),CONDUCTORES!$A$3:$G$54,2,0),"")</f>
        <v/>
      </c>
      <c r="Q226" s="332">
        <f>IFERROR(VLOOKUP(TEXT(O226,"0"),CONDUCTORES!$A$3:$H$54,6,0),"")</f>
        <v/>
      </c>
      <c r="R226" s="280" t="n"/>
      <c r="S226" s="280" t="n"/>
      <c r="T226" s="280" t="n"/>
      <c r="U226" s="280" t="n"/>
      <c r="V226" s="280" t="n"/>
      <c r="W226" s="280" t="n"/>
      <c r="X226" s="280" t="n"/>
      <c r="Y226" s="280" t="n"/>
      <c r="Z226" s="350" t="n"/>
      <c r="AA226" s="198" t="n"/>
      <c r="AB226" s="198" t="n"/>
      <c r="AC226" s="198" t="n"/>
    </row>
    <row r="227" ht="15" customHeight="1" s="195">
      <c r="A227" s="280" t="n"/>
      <c r="B227" s="280" t="n"/>
      <c r="C227" s="280" t="n"/>
      <c r="D227" s="280" t="n"/>
      <c r="E227" s="280" t="n"/>
      <c r="F227" s="280" t="n"/>
      <c r="G227" s="280" t="n"/>
      <c r="H227" s="280" t="n"/>
      <c r="I227" s="332">
        <f>IFERROR(VLOOKUP(TEXT(H227,"0"),IPRESS!$A$3:$B$212,2,0),"")</f>
        <v/>
      </c>
      <c r="J227" s="280" t="n"/>
      <c r="K227" s="343" t="n"/>
      <c r="L227" s="280" t="n"/>
      <c r="M227" s="280" t="n"/>
      <c r="N227" s="345" t="n"/>
      <c r="O227" s="280" t="n"/>
      <c r="P227" s="332">
        <f>IFERROR(VLOOKUP(TEXT(O227,"0"),CONDUCTORES!$A$3:$G$54,2,0),"")</f>
        <v/>
      </c>
      <c r="Q227" s="332">
        <f>IFERROR(VLOOKUP(TEXT(O227,"0"),CONDUCTORES!$A$3:$H$54,6,0),"")</f>
        <v/>
      </c>
      <c r="R227" s="280" t="n"/>
      <c r="S227" s="280" t="n"/>
      <c r="T227" s="280" t="n"/>
      <c r="U227" s="280" t="n"/>
      <c r="V227" s="280" t="n"/>
      <c r="W227" s="280" t="n"/>
      <c r="X227" s="280" t="n"/>
      <c r="Y227" s="280" t="n"/>
      <c r="Z227" s="350" t="n"/>
      <c r="AA227" s="198" t="n"/>
      <c r="AB227" s="198" t="n"/>
      <c r="AC227" s="198" t="n"/>
    </row>
    <row r="228" ht="15" customHeight="1" s="195">
      <c r="A228" s="280" t="n"/>
      <c r="B228" s="280" t="n"/>
      <c r="C228" s="280" t="n"/>
      <c r="D228" s="280" t="n"/>
      <c r="E228" s="280" t="n"/>
      <c r="F228" s="280" t="n"/>
      <c r="G228" s="280" t="n"/>
      <c r="H228" s="280" t="n"/>
      <c r="I228" s="332">
        <f>IFERROR(VLOOKUP(TEXT(H228,"0"),IPRESS!$A$3:$B$212,2,0),"")</f>
        <v/>
      </c>
      <c r="J228" s="280" t="n"/>
      <c r="K228" s="343" t="n"/>
      <c r="L228" s="280" t="n"/>
      <c r="M228" s="280" t="n"/>
      <c r="N228" s="345" t="n"/>
      <c r="O228" s="280" t="n"/>
      <c r="P228" s="332">
        <f>IFERROR(VLOOKUP(TEXT(O228,"0"),CONDUCTORES!$A$3:$G$54,2,0),"")</f>
        <v/>
      </c>
      <c r="Q228" s="332">
        <f>IFERROR(VLOOKUP(TEXT(O228,"0"),CONDUCTORES!$A$3:$H$54,6,0),"")</f>
        <v/>
      </c>
      <c r="R228" s="280" t="n"/>
      <c r="S228" s="280" t="n"/>
      <c r="T228" s="280" t="n"/>
      <c r="U228" s="280" t="n"/>
      <c r="V228" s="280" t="n"/>
      <c r="W228" s="280" t="n"/>
      <c r="X228" s="280" t="n"/>
      <c r="Y228" s="280" t="n"/>
      <c r="Z228" s="350" t="n"/>
      <c r="AA228" s="198" t="n"/>
      <c r="AB228" s="198" t="n"/>
      <c r="AC228" s="198" t="n"/>
    </row>
    <row r="229" ht="15" customHeight="1" s="195">
      <c r="A229" s="280" t="n"/>
      <c r="B229" s="280" t="n"/>
      <c r="C229" s="280" t="n"/>
      <c r="D229" s="280" t="n"/>
      <c r="E229" s="280" t="n"/>
      <c r="F229" s="280" t="n"/>
      <c r="G229" s="280" t="n"/>
      <c r="H229" s="280" t="n"/>
      <c r="I229" s="332">
        <f>IFERROR(VLOOKUP(TEXT(H229,"0"),IPRESS!$A$3:$B$212,2,0),"")</f>
        <v/>
      </c>
      <c r="J229" s="280" t="n"/>
      <c r="K229" s="343" t="n"/>
      <c r="L229" s="280" t="n"/>
      <c r="M229" s="280" t="n"/>
      <c r="N229" s="345" t="n"/>
      <c r="O229" s="280" t="n"/>
      <c r="P229" s="332">
        <f>IFERROR(VLOOKUP(TEXT(O229,"0"),CONDUCTORES!$A$3:$G$54,2,0),"")</f>
        <v/>
      </c>
      <c r="Q229" s="332">
        <f>IFERROR(VLOOKUP(TEXT(O229,"0"),CONDUCTORES!$A$3:$H$54,6,0),"")</f>
        <v/>
      </c>
      <c r="R229" s="280" t="n"/>
      <c r="S229" s="280" t="n"/>
      <c r="T229" s="280" t="n"/>
      <c r="U229" s="280" t="n"/>
      <c r="V229" s="280" t="n"/>
      <c r="W229" s="280" t="n"/>
      <c r="X229" s="280" t="n"/>
      <c r="Y229" s="280" t="n"/>
      <c r="Z229" s="350" t="n"/>
      <c r="AA229" s="198" t="n"/>
      <c r="AB229" s="198" t="n"/>
      <c r="AC229" s="198" t="n"/>
    </row>
    <row r="230" ht="15" customHeight="1" s="195">
      <c r="A230" s="280" t="n"/>
      <c r="B230" s="280" t="n"/>
      <c r="C230" s="280" t="n"/>
      <c r="D230" s="280" t="n"/>
      <c r="E230" s="280" t="n"/>
      <c r="F230" s="280" t="n"/>
      <c r="G230" s="280" t="n"/>
      <c r="H230" s="280" t="n"/>
      <c r="I230" s="332">
        <f>IFERROR(VLOOKUP(TEXT(H230,"0"),IPRESS!$A$3:$B$212,2,0),"")</f>
        <v/>
      </c>
      <c r="J230" s="280" t="n"/>
      <c r="K230" s="343" t="n"/>
      <c r="L230" s="280" t="n"/>
      <c r="M230" s="280" t="n"/>
      <c r="N230" s="345" t="n"/>
      <c r="O230" s="280" t="n"/>
      <c r="P230" s="332">
        <f>IFERROR(VLOOKUP(TEXT(O230,"0"),CONDUCTORES!$A$3:$G$54,2,0),"")</f>
        <v/>
      </c>
      <c r="Q230" s="332">
        <f>IFERROR(VLOOKUP(TEXT(O230,"0"),CONDUCTORES!$A$3:$H$54,6,0),"")</f>
        <v/>
      </c>
      <c r="R230" s="280" t="n"/>
      <c r="S230" s="280" t="n"/>
      <c r="T230" s="280" t="n"/>
      <c r="U230" s="280" t="n"/>
      <c r="V230" s="280" t="n"/>
      <c r="W230" s="280" t="n"/>
      <c r="X230" s="280" t="n"/>
      <c r="Y230" s="280" t="n"/>
      <c r="Z230" s="350" t="n"/>
      <c r="AA230" s="198" t="n"/>
      <c r="AB230" s="198" t="n"/>
      <c r="AC230" s="198" t="n"/>
    </row>
    <row r="231" ht="15" customHeight="1" s="195">
      <c r="A231" s="280" t="n"/>
      <c r="B231" s="280" t="n"/>
      <c r="C231" s="280" t="n"/>
      <c r="D231" s="280" t="n"/>
      <c r="E231" s="280" t="n"/>
      <c r="F231" s="280" t="n"/>
      <c r="G231" s="280" t="n"/>
      <c r="H231" s="280" t="n"/>
      <c r="I231" s="332">
        <f>IFERROR(VLOOKUP(TEXT(H231,"0"),IPRESS!$A$3:$B$212,2,0),"")</f>
        <v/>
      </c>
      <c r="J231" s="280" t="n"/>
      <c r="K231" s="343" t="n"/>
      <c r="L231" s="280" t="n"/>
      <c r="M231" s="280" t="n"/>
      <c r="N231" s="345" t="n"/>
      <c r="O231" s="280" t="n"/>
      <c r="P231" s="332">
        <f>IFERROR(VLOOKUP(TEXT(O231,"0"),CONDUCTORES!$A$3:$G$54,2,0),"")</f>
        <v/>
      </c>
      <c r="Q231" s="332">
        <f>IFERROR(VLOOKUP(TEXT(O231,"0"),CONDUCTORES!$A$3:$H$54,6,0),"")</f>
        <v/>
      </c>
      <c r="R231" s="280" t="n"/>
      <c r="S231" s="280" t="n"/>
      <c r="T231" s="280" t="n"/>
      <c r="U231" s="280" t="n"/>
      <c r="V231" s="280" t="n"/>
      <c r="W231" s="280" t="n"/>
      <c r="X231" s="280" t="n"/>
      <c r="Y231" s="280" t="n"/>
      <c r="Z231" s="350" t="n"/>
      <c r="AA231" s="198" t="n"/>
      <c r="AB231" s="198" t="n"/>
      <c r="AC231" s="198" t="n"/>
    </row>
    <row r="232" ht="15" customHeight="1" s="195">
      <c r="A232" s="280" t="n"/>
      <c r="B232" s="280" t="n"/>
      <c r="C232" s="280" t="n"/>
      <c r="D232" s="280" t="n"/>
      <c r="E232" s="280" t="n"/>
      <c r="F232" s="280" t="n"/>
      <c r="G232" s="280" t="n"/>
      <c r="H232" s="280" t="n"/>
      <c r="I232" s="332">
        <f>IFERROR(VLOOKUP(TEXT(H232,"0"),IPRESS!$A$3:$B$212,2,0),"")</f>
        <v/>
      </c>
      <c r="J232" s="280" t="n"/>
      <c r="K232" s="343" t="n"/>
      <c r="L232" s="280" t="n"/>
      <c r="M232" s="280" t="n"/>
      <c r="N232" s="345" t="n"/>
      <c r="O232" s="280" t="n"/>
      <c r="P232" s="332">
        <f>IFERROR(VLOOKUP(TEXT(O232,"0"),CONDUCTORES!$A$3:$G$54,2,0),"")</f>
        <v/>
      </c>
      <c r="Q232" s="332">
        <f>IFERROR(VLOOKUP(TEXT(O232,"0"),CONDUCTORES!$A$3:$H$54,6,0),"")</f>
        <v/>
      </c>
      <c r="R232" s="280" t="n"/>
      <c r="S232" s="280" t="n"/>
      <c r="T232" s="280" t="n"/>
      <c r="U232" s="280" t="n"/>
      <c r="V232" s="280" t="n"/>
      <c r="W232" s="280" t="n"/>
      <c r="X232" s="280" t="n"/>
      <c r="Y232" s="280" t="n"/>
      <c r="Z232" s="350" t="n"/>
      <c r="AA232" s="198" t="n"/>
      <c r="AB232" s="198" t="n"/>
      <c r="AC232" s="198" t="n"/>
    </row>
    <row r="233" ht="15" customHeight="1" s="195">
      <c r="A233" s="280" t="n"/>
      <c r="B233" s="280" t="n"/>
      <c r="C233" s="280" t="n"/>
      <c r="D233" s="280" t="n"/>
      <c r="E233" s="280" t="n"/>
      <c r="F233" s="280" t="n"/>
      <c r="G233" s="280" t="n"/>
      <c r="H233" s="280" t="n"/>
      <c r="I233" s="332">
        <f>IFERROR(VLOOKUP(TEXT(H233,"0"),IPRESS!$A$3:$B$212,2,0),"")</f>
        <v/>
      </c>
      <c r="J233" s="280" t="n"/>
      <c r="K233" s="343" t="n"/>
      <c r="L233" s="280" t="n"/>
      <c r="M233" s="280" t="n"/>
      <c r="N233" s="345" t="n"/>
      <c r="O233" s="280" t="n"/>
      <c r="P233" s="332">
        <f>IFERROR(VLOOKUP(TEXT(O233,"0"),CONDUCTORES!$A$3:$G$54,2,0),"")</f>
        <v/>
      </c>
      <c r="Q233" s="332">
        <f>IFERROR(VLOOKUP(TEXT(O233,"0"),CONDUCTORES!$A$3:$H$54,6,0),"")</f>
        <v/>
      </c>
      <c r="R233" s="280" t="n"/>
      <c r="S233" s="280" t="n"/>
      <c r="T233" s="280" t="n"/>
      <c r="U233" s="280" t="n"/>
      <c r="V233" s="280" t="n"/>
      <c r="W233" s="280" t="n"/>
      <c r="X233" s="280" t="n"/>
      <c r="Y233" s="280" t="n"/>
      <c r="Z233" s="350" t="n"/>
      <c r="AA233" s="198" t="n"/>
      <c r="AB233" s="198" t="n"/>
      <c r="AC233" s="198" t="n"/>
    </row>
    <row r="234" ht="15" customHeight="1" s="195">
      <c r="A234" s="280" t="n"/>
      <c r="B234" s="280" t="n"/>
      <c r="C234" s="280" t="n"/>
      <c r="D234" s="280" t="n"/>
      <c r="E234" s="280" t="n"/>
      <c r="F234" s="280" t="n"/>
      <c r="G234" s="280" t="n"/>
      <c r="H234" s="280" t="n"/>
      <c r="I234" s="332">
        <f>IFERROR(VLOOKUP(TEXT(H234,"0"),IPRESS!$A$3:$B$212,2,0),"")</f>
        <v/>
      </c>
      <c r="J234" s="280" t="n"/>
      <c r="K234" s="343" t="n"/>
      <c r="L234" s="280" t="n"/>
      <c r="M234" s="280" t="n"/>
      <c r="N234" s="345" t="n"/>
      <c r="O234" s="280" t="n"/>
      <c r="P234" s="332">
        <f>IFERROR(VLOOKUP(TEXT(O234,"0"),CONDUCTORES!$A$3:$G$54,2,0),"")</f>
        <v/>
      </c>
      <c r="Q234" s="332">
        <f>IFERROR(VLOOKUP(TEXT(O234,"0"),CONDUCTORES!$A$3:$H$54,6,0),"")</f>
        <v/>
      </c>
      <c r="R234" s="280" t="n"/>
      <c r="S234" s="280" t="n"/>
      <c r="T234" s="280" t="n"/>
      <c r="U234" s="280" t="n"/>
      <c r="V234" s="280" t="n"/>
      <c r="W234" s="280" t="n"/>
      <c r="X234" s="280" t="n"/>
      <c r="Y234" s="280" t="n"/>
      <c r="Z234" s="350" t="n"/>
      <c r="AA234" s="198" t="n"/>
      <c r="AB234" s="198" t="n"/>
      <c r="AC234" s="198" t="n"/>
    </row>
    <row r="235" ht="15" customHeight="1" s="195">
      <c r="A235" s="280" t="n"/>
      <c r="B235" s="280" t="n"/>
      <c r="C235" s="280" t="n"/>
      <c r="D235" s="280" t="n"/>
      <c r="E235" s="280" t="n"/>
      <c r="F235" s="280" t="n"/>
      <c r="G235" s="280" t="n"/>
      <c r="H235" s="280" t="n"/>
      <c r="I235" s="332">
        <f>IFERROR(VLOOKUP(TEXT(H235,"0"),IPRESS!$A$3:$B$212,2,0),"")</f>
        <v/>
      </c>
      <c r="J235" s="280" t="n"/>
      <c r="K235" s="343" t="n"/>
      <c r="L235" s="280" t="n"/>
      <c r="M235" s="280" t="n"/>
      <c r="N235" s="345" t="n"/>
      <c r="O235" s="280" t="n"/>
      <c r="P235" s="332">
        <f>IFERROR(VLOOKUP(TEXT(O235,"0"),CONDUCTORES!$A$3:$G$54,2,0),"")</f>
        <v/>
      </c>
      <c r="Q235" s="332">
        <f>IFERROR(VLOOKUP(TEXT(O235,"0"),CONDUCTORES!$A$3:$H$54,6,0),"")</f>
        <v/>
      </c>
      <c r="R235" s="280" t="n"/>
      <c r="S235" s="280" t="n"/>
      <c r="T235" s="280" t="n"/>
      <c r="U235" s="280" t="n"/>
      <c r="V235" s="280" t="n"/>
      <c r="W235" s="280" t="n"/>
      <c r="X235" s="280" t="n"/>
      <c r="Y235" s="280" t="n"/>
      <c r="Z235" s="350" t="n"/>
      <c r="AA235" s="198" t="n"/>
      <c r="AB235" s="198" t="n"/>
      <c r="AC235" s="198" t="n"/>
    </row>
    <row r="236" ht="15" customHeight="1" s="195">
      <c r="A236" s="280" t="n"/>
      <c r="B236" s="280" t="n"/>
      <c r="C236" s="280" t="n"/>
      <c r="D236" s="280" t="n"/>
      <c r="E236" s="280" t="n"/>
      <c r="F236" s="280" t="n"/>
      <c r="G236" s="280" t="n"/>
      <c r="H236" s="280" t="n"/>
      <c r="I236" s="332">
        <f>IFERROR(VLOOKUP(TEXT(H236,"0"),IPRESS!$A$3:$B$212,2,0),"")</f>
        <v/>
      </c>
      <c r="J236" s="280" t="n"/>
      <c r="K236" s="343" t="n"/>
      <c r="L236" s="280" t="n"/>
      <c r="M236" s="280" t="n"/>
      <c r="N236" s="345" t="n"/>
      <c r="O236" s="280" t="n"/>
      <c r="P236" s="332">
        <f>IFERROR(VLOOKUP(TEXT(O236,"0"),CONDUCTORES!$A$3:$G$54,2,0),"")</f>
        <v/>
      </c>
      <c r="Q236" s="332">
        <f>IFERROR(VLOOKUP(TEXT(O236,"0"),CONDUCTORES!$A$3:$H$54,6,0),"")</f>
        <v/>
      </c>
      <c r="R236" s="280" t="n"/>
      <c r="S236" s="280" t="n"/>
      <c r="T236" s="280" t="n"/>
      <c r="U236" s="280" t="n"/>
      <c r="V236" s="280" t="n"/>
      <c r="W236" s="280" t="n"/>
      <c r="X236" s="280" t="n"/>
      <c r="Y236" s="280" t="n"/>
      <c r="Z236" s="350" t="n"/>
      <c r="AA236" s="198" t="n"/>
      <c r="AB236" s="198" t="n"/>
      <c r="AC236" s="198" t="n"/>
    </row>
    <row r="237" ht="15" customHeight="1" s="195">
      <c r="A237" s="280" t="n"/>
      <c r="B237" s="280" t="n"/>
      <c r="C237" s="280" t="n"/>
      <c r="D237" s="280" t="n"/>
      <c r="E237" s="280" t="n"/>
      <c r="F237" s="280" t="n"/>
      <c r="G237" s="280" t="n"/>
      <c r="H237" s="280" t="n"/>
      <c r="I237" s="332">
        <f>IFERROR(VLOOKUP(TEXT(H237,"0"),IPRESS!$A$3:$B$212,2,0),"")</f>
        <v/>
      </c>
      <c r="J237" s="280" t="n"/>
      <c r="K237" s="343" t="n"/>
      <c r="L237" s="280" t="n"/>
      <c r="M237" s="280" t="n"/>
      <c r="N237" s="345" t="n"/>
      <c r="O237" s="280" t="n"/>
      <c r="P237" s="332">
        <f>IFERROR(VLOOKUP(TEXT(O237,"0"),CONDUCTORES!$A$3:$G$54,2,0),"")</f>
        <v/>
      </c>
      <c r="Q237" s="332">
        <f>IFERROR(VLOOKUP(TEXT(O237,"0"),CONDUCTORES!$A$3:$H$54,6,0),"")</f>
        <v/>
      </c>
      <c r="R237" s="280" t="n"/>
      <c r="S237" s="280" t="n"/>
      <c r="T237" s="280" t="n"/>
      <c r="U237" s="280" t="n"/>
      <c r="V237" s="280" t="n"/>
      <c r="W237" s="280" t="n"/>
      <c r="X237" s="280" t="n"/>
      <c r="Y237" s="280" t="n"/>
      <c r="Z237" s="350" t="n"/>
      <c r="AA237" s="198" t="n"/>
      <c r="AB237" s="198" t="n"/>
      <c r="AC237" s="198" t="n"/>
    </row>
    <row r="238" ht="15" customHeight="1" s="195">
      <c r="A238" s="280" t="n"/>
      <c r="B238" s="280" t="n"/>
      <c r="C238" s="280" t="n"/>
      <c r="D238" s="280" t="n"/>
      <c r="E238" s="280" t="n"/>
      <c r="F238" s="280" t="n"/>
      <c r="G238" s="280" t="n"/>
      <c r="H238" s="280" t="n"/>
      <c r="I238" s="332">
        <f>IFERROR(VLOOKUP(TEXT(H238,"0"),IPRESS!$A$3:$B$212,2,0),"")</f>
        <v/>
      </c>
      <c r="J238" s="280" t="n"/>
      <c r="K238" s="343" t="n"/>
      <c r="L238" s="280" t="n"/>
      <c r="M238" s="280" t="n"/>
      <c r="N238" s="345" t="n"/>
      <c r="O238" s="280" t="n"/>
      <c r="P238" s="332">
        <f>IFERROR(VLOOKUP(TEXT(O238,"0"),CONDUCTORES!$A$3:$G$54,2,0),"")</f>
        <v/>
      </c>
      <c r="Q238" s="332">
        <f>IFERROR(VLOOKUP(TEXT(O238,"0"),CONDUCTORES!$A$3:$H$54,6,0),"")</f>
        <v/>
      </c>
      <c r="R238" s="280" t="n"/>
      <c r="S238" s="280" t="n"/>
      <c r="T238" s="280" t="n"/>
      <c r="U238" s="280" t="n"/>
      <c r="V238" s="280" t="n"/>
      <c r="W238" s="280" t="n"/>
      <c r="X238" s="280" t="n"/>
      <c r="Y238" s="280" t="n"/>
      <c r="Z238" s="350" t="n"/>
      <c r="AA238" s="198" t="n"/>
      <c r="AB238" s="198" t="n"/>
      <c r="AC238" s="198" t="n"/>
    </row>
    <row r="239" ht="15" customHeight="1" s="195">
      <c r="A239" s="280" t="n"/>
      <c r="B239" s="280" t="n"/>
      <c r="C239" s="280" t="n"/>
      <c r="D239" s="280" t="n"/>
      <c r="E239" s="280" t="n"/>
      <c r="F239" s="280" t="n"/>
      <c r="G239" s="280" t="n"/>
      <c r="H239" s="280" t="n"/>
      <c r="I239" s="332">
        <f>IFERROR(VLOOKUP(TEXT(H239,"0"),IPRESS!$A$3:$B$212,2,0),"")</f>
        <v/>
      </c>
      <c r="J239" s="280" t="n"/>
      <c r="K239" s="343" t="n"/>
      <c r="L239" s="280" t="n"/>
      <c r="M239" s="280" t="n"/>
      <c r="N239" s="345" t="n"/>
      <c r="O239" s="280" t="n"/>
      <c r="P239" s="332">
        <f>IFERROR(VLOOKUP(TEXT(O239,"0"),CONDUCTORES!$A$3:$G$54,2,0),"")</f>
        <v/>
      </c>
      <c r="Q239" s="332">
        <f>IFERROR(VLOOKUP(TEXT(O239,"0"),CONDUCTORES!$A$3:$H$54,6,0),"")</f>
        <v/>
      </c>
      <c r="R239" s="280" t="n"/>
      <c r="S239" s="280" t="n"/>
      <c r="T239" s="280" t="n"/>
      <c r="U239" s="280" t="n"/>
      <c r="V239" s="280" t="n"/>
      <c r="W239" s="280" t="n"/>
      <c r="X239" s="280" t="n"/>
      <c r="Y239" s="280" t="n"/>
      <c r="Z239" s="350" t="n"/>
      <c r="AA239" s="198" t="n"/>
      <c r="AB239" s="198" t="n"/>
      <c r="AC239" s="198" t="n"/>
    </row>
    <row r="240" ht="15" customHeight="1" s="195">
      <c r="A240" s="280" t="n"/>
      <c r="B240" s="280" t="n"/>
      <c r="C240" s="280" t="n"/>
      <c r="D240" s="280" t="n"/>
      <c r="E240" s="280" t="n"/>
      <c r="F240" s="280" t="n"/>
      <c r="G240" s="280" t="n"/>
      <c r="H240" s="280" t="n"/>
      <c r="I240" s="332">
        <f>IFERROR(VLOOKUP(TEXT(H240,"0"),IPRESS!$A$3:$B$212,2,0),"")</f>
        <v/>
      </c>
      <c r="J240" s="280" t="n"/>
      <c r="K240" s="343" t="n"/>
      <c r="L240" s="280" t="n"/>
      <c r="M240" s="280" t="n"/>
      <c r="N240" s="345" t="n"/>
      <c r="O240" s="280" t="n"/>
      <c r="P240" s="332">
        <f>IFERROR(VLOOKUP(TEXT(O240,"0"),CONDUCTORES!$A$3:$G$54,2,0),"")</f>
        <v/>
      </c>
      <c r="Q240" s="332">
        <f>IFERROR(VLOOKUP(TEXT(O240,"0"),CONDUCTORES!$A$3:$H$54,6,0),"")</f>
        <v/>
      </c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350" t="n"/>
      <c r="AA240" s="198" t="n"/>
      <c r="AB240" s="198" t="n"/>
      <c r="AC240" s="198" t="n"/>
    </row>
    <row r="241" ht="15" customHeight="1" s="195">
      <c r="A241" s="280" t="n"/>
      <c r="B241" s="280" t="n"/>
      <c r="C241" s="280" t="n"/>
      <c r="D241" s="280" t="n"/>
      <c r="E241" s="280" t="n"/>
      <c r="F241" s="280" t="n"/>
      <c r="G241" s="280" t="n"/>
      <c r="H241" s="280" t="n"/>
      <c r="I241" s="332">
        <f>IFERROR(VLOOKUP(TEXT(H241,"0"),IPRESS!$A$3:$B$212,2,0),"")</f>
        <v/>
      </c>
      <c r="J241" s="280" t="n"/>
      <c r="K241" s="343" t="n"/>
      <c r="L241" s="280" t="n"/>
      <c r="M241" s="280" t="n"/>
      <c r="N241" s="345" t="n"/>
      <c r="O241" s="280" t="n"/>
      <c r="P241" s="332">
        <f>IFERROR(VLOOKUP(TEXT(O241,"0"),CONDUCTORES!$A$3:$G$54,2,0),"")</f>
        <v/>
      </c>
      <c r="Q241" s="332">
        <f>IFERROR(VLOOKUP(TEXT(O241,"0"),CONDUCTORES!$A$3:$H$54,6,0),"")</f>
        <v/>
      </c>
      <c r="R241" s="280" t="n"/>
      <c r="S241" s="280" t="n"/>
      <c r="T241" s="280" t="n"/>
      <c r="U241" s="280" t="n"/>
      <c r="V241" s="280" t="n"/>
      <c r="W241" s="280" t="n"/>
      <c r="X241" s="280" t="n"/>
      <c r="Y241" s="280" t="n"/>
      <c r="Z241" s="350" t="n"/>
      <c r="AA241" s="198" t="n"/>
      <c r="AB241" s="198" t="n"/>
      <c r="AC241" s="198" t="n"/>
    </row>
    <row r="242" ht="15" customHeight="1" s="195">
      <c r="A242" s="280" t="n"/>
      <c r="B242" s="280" t="n"/>
      <c r="C242" s="280" t="n"/>
      <c r="D242" s="280" t="n"/>
      <c r="E242" s="280" t="n"/>
      <c r="F242" s="280" t="n"/>
      <c r="G242" s="280" t="n"/>
      <c r="H242" s="280" t="n"/>
      <c r="I242" s="332">
        <f>IFERROR(VLOOKUP(TEXT(H242,"0"),IPRESS!$A$3:$B$212,2,0),"")</f>
        <v/>
      </c>
      <c r="J242" s="280" t="n"/>
      <c r="K242" s="343" t="n"/>
      <c r="L242" s="280" t="n"/>
      <c r="M242" s="280" t="n"/>
      <c r="N242" s="345" t="n"/>
      <c r="O242" s="280" t="n"/>
      <c r="P242" s="332">
        <f>IFERROR(VLOOKUP(TEXT(O242,"0"),CONDUCTORES!$A$3:$G$54,2,0),"")</f>
        <v/>
      </c>
      <c r="Q242" s="332">
        <f>IFERROR(VLOOKUP(TEXT(O242,"0"),CONDUCTORES!$A$3:$H$54,6,0),"")</f>
        <v/>
      </c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350" t="n"/>
      <c r="AA242" s="198" t="n"/>
      <c r="AB242" s="198" t="n"/>
      <c r="AC242" s="198" t="n"/>
    </row>
    <row r="243" ht="15" customHeight="1" s="195">
      <c r="A243" s="280" t="n"/>
      <c r="B243" s="280" t="n"/>
      <c r="C243" s="280" t="n"/>
      <c r="D243" s="280" t="n"/>
      <c r="E243" s="280" t="n"/>
      <c r="F243" s="280" t="n"/>
      <c r="G243" s="280" t="n"/>
      <c r="H243" s="280" t="n"/>
      <c r="I243" s="332">
        <f>IFERROR(VLOOKUP(TEXT(H243,"0"),IPRESS!$A$3:$B$212,2,0),"")</f>
        <v/>
      </c>
      <c r="J243" s="280" t="n"/>
      <c r="K243" s="343" t="n"/>
      <c r="L243" s="280" t="n"/>
      <c r="M243" s="280" t="n"/>
      <c r="N243" s="345" t="n"/>
      <c r="O243" s="280" t="n"/>
      <c r="P243" s="332">
        <f>IFERROR(VLOOKUP(TEXT(O243,"0"),CONDUCTORES!$A$3:$G$54,2,0),"")</f>
        <v/>
      </c>
      <c r="Q243" s="332">
        <f>IFERROR(VLOOKUP(TEXT(O243,"0"),CONDUCTORES!$A$3:$H$54,6,0),"")</f>
        <v/>
      </c>
      <c r="R243" s="280" t="n"/>
      <c r="S243" s="280" t="n"/>
      <c r="T243" s="280" t="n"/>
      <c r="U243" s="280" t="n"/>
      <c r="V243" s="280" t="n"/>
      <c r="W243" s="280" t="n"/>
      <c r="X243" s="280" t="n"/>
      <c r="Y243" s="280" t="n"/>
      <c r="Z243" s="350" t="n"/>
      <c r="AA243" s="198" t="n"/>
      <c r="AB243" s="198" t="n"/>
      <c r="AC243" s="198" t="n"/>
    </row>
    <row r="244" ht="15" customHeight="1" s="195">
      <c r="A244" s="280" t="n"/>
      <c r="B244" s="280" t="n"/>
      <c r="C244" s="280" t="n"/>
      <c r="D244" s="280" t="n"/>
      <c r="E244" s="280" t="n"/>
      <c r="F244" s="280" t="n"/>
      <c r="G244" s="280" t="n"/>
      <c r="H244" s="280" t="n"/>
      <c r="I244" s="332">
        <f>IFERROR(VLOOKUP(TEXT(H244,"0"),IPRESS!$A$3:$B$212,2,0),"")</f>
        <v/>
      </c>
      <c r="J244" s="280" t="n"/>
      <c r="K244" s="343" t="n"/>
      <c r="L244" s="280" t="n"/>
      <c r="M244" s="280" t="n"/>
      <c r="N244" s="345" t="n"/>
      <c r="O244" s="280" t="n"/>
      <c r="P244" s="332">
        <f>IFERROR(VLOOKUP(TEXT(O244,"0"),CONDUCTORES!$A$3:$G$54,2,0),"")</f>
        <v/>
      </c>
      <c r="Q244" s="332">
        <f>IFERROR(VLOOKUP(TEXT(O244,"0"),CONDUCTORES!$A$3:$H$54,6,0),"")</f>
        <v/>
      </c>
      <c r="R244" s="280" t="n"/>
      <c r="S244" s="280" t="n"/>
      <c r="T244" s="280" t="n"/>
      <c r="U244" s="280" t="n"/>
      <c r="V244" s="280" t="n"/>
      <c r="W244" s="280" t="n"/>
      <c r="X244" s="280" t="n"/>
      <c r="Y244" s="280" t="n"/>
      <c r="Z244" s="350" t="n"/>
      <c r="AA244" s="198" t="n"/>
      <c r="AB244" s="198" t="n"/>
      <c r="AC244" s="198" t="n"/>
    </row>
    <row r="245" ht="15" customHeight="1" s="195">
      <c r="A245" s="280" t="n"/>
      <c r="B245" s="280" t="n"/>
      <c r="C245" s="280" t="n"/>
      <c r="D245" s="280" t="n"/>
      <c r="E245" s="280" t="n"/>
      <c r="F245" s="280" t="n"/>
      <c r="G245" s="280" t="n"/>
      <c r="H245" s="280" t="n"/>
      <c r="I245" s="332">
        <f>IFERROR(VLOOKUP(TEXT(H245,"0"),IPRESS!$A$3:$B$212,2,0),"")</f>
        <v/>
      </c>
      <c r="J245" s="280" t="n"/>
      <c r="K245" s="343" t="n"/>
      <c r="L245" s="280" t="n"/>
      <c r="M245" s="280" t="n"/>
      <c r="N245" s="345" t="n"/>
      <c r="O245" s="280" t="n"/>
      <c r="P245" s="332">
        <f>IFERROR(VLOOKUP(TEXT(O245,"0"),CONDUCTORES!$A$3:$G$54,2,0),"")</f>
        <v/>
      </c>
      <c r="Q245" s="332">
        <f>IFERROR(VLOOKUP(TEXT(O245,"0"),CONDUCTORES!$A$3:$H$54,6,0),"")</f>
        <v/>
      </c>
      <c r="R245" s="280" t="n"/>
      <c r="S245" s="280" t="n"/>
      <c r="T245" s="280" t="n"/>
      <c r="U245" s="280" t="n"/>
      <c r="V245" s="280" t="n"/>
      <c r="W245" s="280" t="n"/>
      <c r="X245" s="280" t="n"/>
      <c r="Y245" s="280" t="n"/>
      <c r="Z245" s="350" t="n"/>
      <c r="AA245" s="198" t="n"/>
      <c r="AB245" s="198" t="n"/>
      <c r="AC245" s="198" t="n"/>
    </row>
    <row r="246" ht="15" customHeight="1" s="195">
      <c r="A246" s="280" t="n"/>
      <c r="B246" s="280" t="n"/>
      <c r="C246" s="280" t="n"/>
      <c r="D246" s="280" t="n"/>
      <c r="E246" s="280" t="n"/>
      <c r="F246" s="280" t="n"/>
      <c r="G246" s="280" t="n"/>
      <c r="H246" s="280" t="n"/>
      <c r="I246" s="332">
        <f>IFERROR(VLOOKUP(TEXT(H246,"0"),IPRESS!$A$3:$B$212,2,0),"")</f>
        <v/>
      </c>
      <c r="J246" s="280" t="n"/>
      <c r="K246" s="343" t="n"/>
      <c r="L246" s="280" t="n"/>
      <c r="M246" s="280" t="n"/>
      <c r="N246" s="345" t="n"/>
      <c r="O246" s="280" t="n"/>
      <c r="P246" s="332">
        <f>IFERROR(VLOOKUP(TEXT(O246,"0"),CONDUCTORES!$A$3:$G$54,2,0),"")</f>
        <v/>
      </c>
      <c r="Q246" s="332">
        <f>IFERROR(VLOOKUP(TEXT(O246,"0"),CONDUCTORES!$A$3:$H$54,6,0),"")</f>
        <v/>
      </c>
      <c r="R246" s="280" t="n"/>
      <c r="S246" s="280" t="n"/>
      <c r="T246" s="280" t="n"/>
      <c r="U246" s="280" t="n"/>
      <c r="V246" s="280" t="n"/>
      <c r="W246" s="280" t="n"/>
      <c r="X246" s="280" t="n"/>
      <c r="Y246" s="280" t="n"/>
      <c r="Z246" s="350" t="n"/>
      <c r="AA246" s="198" t="n"/>
      <c r="AB246" s="198" t="n"/>
      <c r="AC246" s="198" t="n"/>
    </row>
    <row r="247" ht="15" customHeight="1" s="195">
      <c r="A247" s="280" t="n"/>
      <c r="B247" s="280" t="n"/>
      <c r="C247" s="280" t="n"/>
      <c r="D247" s="280" t="n"/>
      <c r="E247" s="280" t="n"/>
      <c r="F247" s="280" t="n"/>
      <c r="G247" s="280" t="n"/>
      <c r="H247" s="280" t="n"/>
      <c r="I247" s="332">
        <f>IFERROR(VLOOKUP(TEXT(H247,"0"),IPRESS!$A$3:$B$212,2,0),"")</f>
        <v/>
      </c>
      <c r="J247" s="280" t="n"/>
      <c r="K247" s="343" t="n"/>
      <c r="L247" s="280" t="n"/>
      <c r="M247" s="280" t="n"/>
      <c r="N247" s="345" t="n"/>
      <c r="O247" s="280" t="n"/>
      <c r="P247" s="332">
        <f>IFERROR(VLOOKUP(TEXT(O247,"0"),CONDUCTORES!$A$3:$G$54,2,0),"")</f>
        <v/>
      </c>
      <c r="Q247" s="332">
        <f>IFERROR(VLOOKUP(TEXT(O247,"0"),CONDUCTORES!$A$3:$H$54,6,0),"")</f>
        <v/>
      </c>
      <c r="R247" s="280" t="n"/>
      <c r="S247" s="280" t="n"/>
      <c r="T247" s="280" t="n"/>
      <c r="U247" s="280" t="n"/>
      <c r="V247" s="280" t="n"/>
      <c r="W247" s="280" t="n"/>
      <c r="X247" s="280" t="n"/>
      <c r="Y247" s="280" t="n"/>
      <c r="Z247" s="350" t="n"/>
      <c r="AA247" s="198" t="n"/>
      <c r="AB247" s="198" t="n"/>
      <c r="AC247" s="198" t="n"/>
    </row>
    <row r="248" ht="15" customHeight="1" s="195">
      <c r="A248" s="280" t="n"/>
      <c r="B248" s="280" t="n"/>
      <c r="C248" s="280" t="n"/>
      <c r="D248" s="280" t="n"/>
      <c r="E248" s="280" t="n"/>
      <c r="F248" s="280" t="n"/>
      <c r="G248" s="280" t="n"/>
      <c r="H248" s="280" t="n"/>
      <c r="I248" s="332">
        <f>IFERROR(VLOOKUP(TEXT(H248,"0"),IPRESS!$A$3:$B$212,2,0),"")</f>
        <v/>
      </c>
      <c r="J248" s="280" t="n"/>
      <c r="K248" s="343" t="n"/>
      <c r="L248" s="280" t="n"/>
      <c r="M248" s="280" t="n"/>
      <c r="N248" s="345" t="n"/>
      <c r="O248" s="280" t="n"/>
      <c r="P248" s="332">
        <f>IFERROR(VLOOKUP(TEXT(O248,"0"),CONDUCTORES!$A$3:$G$54,2,0),"")</f>
        <v/>
      </c>
      <c r="Q248" s="332">
        <f>IFERROR(VLOOKUP(TEXT(O248,"0"),CONDUCTORES!$A$3:$H$54,6,0),"")</f>
        <v/>
      </c>
      <c r="R248" s="280" t="n"/>
      <c r="S248" s="280" t="n"/>
      <c r="T248" s="280" t="n"/>
      <c r="U248" s="280" t="n"/>
      <c r="V248" s="280" t="n"/>
      <c r="W248" s="280" t="n"/>
      <c r="X248" s="280" t="n"/>
      <c r="Y248" s="280" t="n"/>
      <c r="Z248" s="350" t="n"/>
      <c r="AA248" s="198" t="n"/>
      <c r="AB248" s="198" t="n"/>
      <c r="AC248" s="198" t="n"/>
    </row>
    <row r="249" ht="15" customHeight="1" s="195">
      <c r="A249" s="280" t="n"/>
      <c r="B249" s="280" t="n"/>
      <c r="C249" s="280" t="n"/>
      <c r="D249" s="280" t="n"/>
      <c r="E249" s="280" t="n"/>
      <c r="F249" s="280" t="n"/>
      <c r="G249" s="280" t="n"/>
      <c r="H249" s="280" t="n"/>
      <c r="I249" s="332">
        <f>IFERROR(VLOOKUP(TEXT(H249,"0"),IPRESS!$A$3:$B$212,2,0),"")</f>
        <v/>
      </c>
      <c r="J249" s="280" t="n"/>
      <c r="K249" s="343" t="n"/>
      <c r="L249" s="280" t="n"/>
      <c r="M249" s="280" t="n"/>
      <c r="N249" s="345" t="n"/>
      <c r="O249" s="280" t="n"/>
      <c r="P249" s="332">
        <f>IFERROR(VLOOKUP(TEXT(O249,"0"),CONDUCTORES!$A$3:$G$54,2,0),"")</f>
        <v/>
      </c>
      <c r="Q249" s="332">
        <f>IFERROR(VLOOKUP(TEXT(O249,"0"),CONDUCTORES!$A$3:$H$54,6,0),"")</f>
        <v/>
      </c>
      <c r="R249" s="280" t="n"/>
      <c r="S249" s="280" t="n"/>
      <c r="T249" s="280" t="n"/>
      <c r="U249" s="280" t="n"/>
      <c r="V249" s="280" t="n"/>
      <c r="W249" s="280" t="n"/>
      <c r="X249" s="280" t="n"/>
      <c r="Y249" s="280" t="n"/>
      <c r="Z249" s="350" t="n"/>
      <c r="AA249" s="198" t="n"/>
      <c r="AB249" s="198" t="n"/>
      <c r="AC249" s="198" t="n"/>
    </row>
    <row r="250" ht="15" customHeight="1" s="195">
      <c r="A250" s="280" t="n"/>
      <c r="B250" s="280" t="n"/>
      <c r="C250" s="280" t="n"/>
      <c r="D250" s="280" t="n"/>
      <c r="E250" s="280" t="n"/>
      <c r="F250" s="280" t="n"/>
      <c r="G250" s="280" t="n"/>
      <c r="H250" s="280" t="n"/>
      <c r="I250" s="332">
        <f>IFERROR(VLOOKUP(TEXT(H250,"0"),IPRESS!$A$3:$B$212,2,0),"")</f>
        <v/>
      </c>
      <c r="J250" s="280" t="n"/>
      <c r="K250" s="343" t="n"/>
      <c r="L250" s="280" t="n"/>
      <c r="M250" s="280" t="n"/>
      <c r="N250" s="345" t="n"/>
      <c r="O250" s="280" t="n"/>
      <c r="P250" s="332">
        <f>IFERROR(VLOOKUP(TEXT(O250,"0"),CONDUCTORES!$A$3:$G$54,2,0),"")</f>
        <v/>
      </c>
      <c r="Q250" s="332">
        <f>IFERROR(VLOOKUP(TEXT(O250,"0"),CONDUCTORES!$A$3:$H$54,6,0),"")</f>
        <v/>
      </c>
      <c r="R250" s="280" t="n"/>
      <c r="S250" s="280" t="n"/>
      <c r="T250" s="280" t="n"/>
      <c r="U250" s="280" t="n"/>
      <c r="V250" s="280" t="n"/>
      <c r="W250" s="280" t="n"/>
      <c r="X250" s="280" t="n"/>
      <c r="Y250" s="280" t="n"/>
      <c r="Z250" s="350" t="n"/>
      <c r="AA250" s="198" t="n"/>
      <c r="AB250" s="198" t="n"/>
      <c r="AC250" s="198" t="n"/>
    </row>
    <row r="251" ht="15" customHeight="1" s="195">
      <c r="A251" s="280" t="n"/>
      <c r="B251" s="280" t="n"/>
      <c r="C251" s="280" t="n"/>
      <c r="D251" s="280" t="n"/>
      <c r="E251" s="280" t="n"/>
      <c r="F251" s="280" t="n"/>
      <c r="G251" s="280" t="n"/>
      <c r="H251" s="280" t="n"/>
      <c r="I251" s="332">
        <f>IFERROR(VLOOKUP(TEXT(H251,"0"),IPRESS!$A$3:$B$212,2,0),"")</f>
        <v/>
      </c>
      <c r="J251" s="280" t="n"/>
      <c r="K251" s="343" t="n"/>
      <c r="L251" s="280" t="n"/>
      <c r="M251" s="280" t="n"/>
      <c r="N251" s="345" t="n"/>
      <c r="O251" s="280" t="n"/>
      <c r="P251" s="332">
        <f>IFERROR(VLOOKUP(TEXT(O251,"0"),CONDUCTORES!$A$3:$G$54,2,0),"")</f>
        <v/>
      </c>
      <c r="Q251" s="332">
        <f>IFERROR(VLOOKUP(TEXT(O251,"0"),CONDUCTORES!$A$3:$H$54,6,0),"")</f>
        <v/>
      </c>
      <c r="R251" s="280" t="n"/>
      <c r="S251" s="280" t="n"/>
      <c r="T251" s="280" t="n"/>
      <c r="U251" s="280" t="n"/>
      <c r="V251" s="280" t="n"/>
      <c r="W251" s="280" t="n"/>
      <c r="X251" s="280" t="n"/>
      <c r="Y251" s="280" t="n"/>
      <c r="Z251" s="350" t="n"/>
      <c r="AA251" s="198" t="n"/>
      <c r="AB251" s="198" t="n"/>
      <c r="AC251" s="198" t="n"/>
    </row>
    <row r="252" ht="15" customHeight="1" s="195">
      <c r="A252" s="280" t="n"/>
      <c r="B252" s="280" t="n"/>
      <c r="C252" s="280" t="n"/>
      <c r="D252" s="280" t="n"/>
      <c r="E252" s="280" t="n"/>
      <c r="F252" s="280" t="n"/>
      <c r="G252" s="280" t="n"/>
      <c r="H252" s="280" t="n"/>
      <c r="I252" s="332">
        <f>IFERROR(VLOOKUP(TEXT(H252,"0"),IPRESS!$A$3:$B$212,2,0),"")</f>
        <v/>
      </c>
      <c r="J252" s="280" t="n"/>
      <c r="K252" s="343" t="n"/>
      <c r="L252" s="280" t="n"/>
      <c r="M252" s="280" t="n"/>
      <c r="N252" s="345" t="n"/>
      <c r="O252" s="280" t="n"/>
      <c r="P252" s="332">
        <f>IFERROR(VLOOKUP(TEXT(O252,"0"),CONDUCTORES!$A$3:$G$54,2,0),"")</f>
        <v/>
      </c>
      <c r="Q252" s="332">
        <f>IFERROR(VLOOKUP(TEXT(O252,"0"),CONDUCTORES!$A$3:$H$54,6,0),"")</f>
        <v/>
      </c>
      <c r="R252" s="280" t="n"/>
      <c r="S252" s="280" t="n"/>
      <c r="T252" s="280" t="n"/>
      <c r="U252" s="280" t="n"/>
      <c r="V252" s="280" t="n"/>
      <c r="W252" s="280" t="n"/>
      <c r="X252" s="280" t="n"/>
      <c r="Y252" s="280" t="n"/>
      <c r="Z252" s="350" t="n"/>
      <c r="AA252" s="198" t="n"/>
      <c r="AB252" s="198" t="n"/>
      <c r="AC252" s="198" t="n"/>
    </row>
    <row r="253" ht="15" customHeight="1" s="195">
      <c r="A253" s="280" t="n"/>
      <c r="B253" s="280" t="n"/>
      <c r="C253" s="280" t="n"/>
      <c r="D253" s="280" t="n"/>
      <c r="E253" s="280" t="n"/>
      <c r="F253" s="280" t="n"/>
      <c r="G253" s="280" t="n"/>
      <c r="H253" s="280" t="n"/>
      <c r="I253" s="332">
        <f>IFERROR(VLOOKUP(TEXT(H253,"0"),IPRESS!$A$3:$B$212,2,0),"")</f>
        <v/>
      </c>
      <c r="J253" s="280" t="n"/>
      <c r="K253" s="343" t="n"/>
      <c r="L253" s="280" t="n"/>
      <c r="M253" s="280" t="n"/>
      <c r="N253" s="345" t="n"/>
      <c r="O253" s="280" t="n"/>
      <c r="P253" s="332">
        <f>IFERROR(VLOOKUP(TEXT(O253,"0"),CONDUCTORES!$A$3:$G$54,2,0),"")</f>
        <v/>
      </c>
      <c r="Q253" s="332">
        <f>IFERROR(VLOOKUP(TEXT(O253,"0"),CONDUCTORES!$A$3:$H$54,6,0),"")</f>
        <v/>
      </c>
      <c r="R253" s="280" t="n"/>
      <c r="S253" s="280" t="n"/>
      <c r="T253" s="280" t="n"/>
      <c r="U253" s="280" t="n"/>
      <c r="V253" s="280" t="n"/>
      <c r="W253" s="280" t="n"/>
      <c r="X253" s="280" t="n"/>
      <c r="Y253" s="280" t="n"/>
      <c r="Z253" s="350" t="n"/>
      <c r="AA253" s="198" t="n"/>
      <c r="AB253" s="198" t="n"/>
      <c r="AC253" s="198" t="n"/>
    </row>
    <row r="254" ht="15" customHeight="1" s="195">
      <c r="A254" s="280" t="n"/>
      <c r="B254" s="280" t="n"/>
      <c r="C254" s="280" t="n"/>
      <c r="D254" s="280" t="n"/>
      <c r="E254" s="280" t="n"/>
      <c r="F254" s="280" t="n"/>
      <c r="G254" s="280" t="n"/>
      <c r="H254" s="280" t="n"/>
      <c r="I254" s="332">
        <f>IFERROR(VLOOKUP(TEXT(H254,"0"),IPRESS!$A$3:$B$212,2,0),"")</f>
        <v/>
      </c>
      <c r="J254" s="280" t="n"/>
      <c r="K254" s="343" t="n"/>
      <c r="L254" s="280" t="n"/>
      <c r="M254" s="280" t="n"/>
      <c r="N254" s="345" t="n"/>
      <c r="O254" s="280" t="n"/>
      <c r="P254" s="332">
        <f>IFERROR(VLOOKUP(TEXT(O254,"0"),CONDUCTORES!$A$3:$G$54,2,0),"")</f>
        <v/>
      </c>
      <c r="Q254" s="332">
        <f>IFERROR(VLOOKUP(TEXT(O254,"0"),CONDUCTORES!$A$3:$H$54,6,0),"")</f>
        <v/>
      </c>
      <c r="R254" s="280" t="n"/>
      <c r="S254" s="280" t="n"/>
      <c r="T254" s="280" t="n"/>
      <c r="U254" s="280" t="n"/>
      <c r="V254" s="280" t="n"/>
      <c r="W254" s="280" t="n"/>
      <c r="X254" s="280" t="n"/>
      <c r="Y254" s="280" t="n"/>
      <c r="Z254" s="350" t="n"/>
      <c r="AA254" s="198" t="n"/>
      <c r="AB254" s="198" t="n"/>
      <c r="AC254" s="198" t="n"/>
    </row>
    <row r="255" ht="15" customHeight="1" s="195">
      <c r="A255" s="280" t="n"/>
      <c r="B255" s="280" t="n"/>
      <c r="C255" s="280" t="n"/>
      <c r="D255" s="280" t="n"/>
      <c r="E255" s="280" t="n"/>
      <c r="F255" s="280" t="n"/>
      <c r="G255" s="280" t="n"/>
      <c r="H255" s="280" t="n"/>
      <c r="I255" s="332">
        <f>IFERROR(VLOOKUP(TEXT(H255,"0"),IPRESS!$A$3:$B$212,2,0),"")</f>
        <v/>
      </c>
      <c r="J255" s="280" t="n"/>
      <c r="K255" s="343" t="n"/>
      <c r="L255" s="280" t="n"/>
      <c r="M255" s="280" t="n"/>
      <c r="N255" s="345" t="n"/>
      <c r="O255" s="280" t="n"/>
      <c r="P255" s="332">
        <f>IFERROR(VLOOKUP(TEXT(O255,"0"),CONDUCTORES!$A$3:$G$54,2,0),"")</f>
        <v/>
      </c>
      <c r="Q255" s="332">
        <f>IFERROR(VLOOKUP(TEXT(O255,"0"),CONDUCTORES!$A$3:$H$54,6,0),"")</f>
        <v/>
      </c>
      <c r="R255" s="280" t="n"/>
      <c r="S255" s="280" t="n"/>
      <c r="T255" s="280" t="n"/>
      <c r="U255" s="280" t="n"/>
      <c r="V255" s="280" t="n"/>
      <c r="W255" s="280" t="n"/>
      <c r="X255" s="280" t="n"/>
      <c r="Y255" s="280" t="n"/>
      <c r="Z255" s="350" t="n"/>
      <c r="AA255" s="198" t="n"/>
      <c r="AB255" s="198" t="n"/>
      <c r="AC255" s="198" t="n"/>
    </row>
    <row r="256" ht="15" customHeight="1" s="195">
      <c r="A256" s="280" t="n"/>
      <c r="B256" s="280" t="n"/>
      <c r="C256" s="280" t="n"/>
      <c r="D256" s="280" t="n"/>
      <c r="E256" s="280" t="n"/>
      <c r="F256" s="280" t="n"/>
      <c r="G256" s="280" t="n"/>
      <c r="H256" s="280" t="n"/>
      <c r="I256" s="332">
        <f>IFERROR(VLOOKUP(TEXT(H256,"0"),IPRESS!$A$3:$B$212,2,0),"")</f>
        <v/>
      </c>
      <c r="J256" s="280" t="n"/>
      <c r="K256" s="343" t="n"/>
      <c r="L256" s="280" t="n"/>
      <c r="M256" s="280" t="n"/>
      <c r="N256" s="345" t="n"/>
      <c r="O256" s="280" t="n"/>
      <c r="P256" s="332">
        <f>IFERROR(VLOOKUP(TEXT(O256,"0"),CONDUCTORES!$A$3:$G$54,2,0),"")</f>
        <v/>
      </c>
      <c r="Q256" s="332">
        <f>IFERROR(VLOOKUP(TEXT(O256,"0"),CONDUCTORES!$A$3:$H$54,6,0),"")</f>
        <v/>
      </c>
      <c r="R256" s="280" t="n"/>
      <c r="S256" s="280" t="n"/>
      <c r="T256" s="280" t="n"/>
      <c r="U256" s="280" t="n"/>
      <c r="V256" s="280" t="n"/>
      <c r="W256" s="280" t="n"/>
      <c r="X256" s="280" t="n"/>
      <c r="Y256" s="280" t="n"/>
      <c r="Z256" s="350" t="n"/>
      <c r="AA256" s="198" t="n"/>
      <c r="AB256" s="198" t="n"/>
      <c r="AC256" s="198" t="n"/>
    </row>
    <row r="257" ht="15" customHeight="1" s="195">
      <c r="A257" s="280" t="n"/>
      <c r="B257" s="280" t="n"/>
      <c r="C257" s="280" t="n"/>
      <c r="D257" s="280" t="n"/>
      <c r="E257" s="280" t="n"/>
      <c r="F257" s="280" t="n"/>
      <c r="G257" s="280" t="n"/>
      <c r="H257" s="280" t="n"/>
      <c r="I257" s="332">
        <f>IFERROR(VLOOKUP(TEXT(H257,"0"),IPRESS!$A$3:$B$212,2,0),"")</f>
        <v/>
      </c>
      <c r="J257" s="280" t="n"/>
      <c r="K257" s="343" t="n"/>
      <c r="L257" s="280" t="n"/>
      <c r="M257" s="280" t="n"/>
      <c r="N257" s="345" t="n"/>
      <c r="O257" s="280" t="n"/>
      <c r="P257" s="332">
        <f>IFERROR(VLOOKUP(TEXT(O257,"0"),CONDUCTORES!$A$3:$G$54,2,0),"")</f>
        <v/>
      </c>
      <c r="Q257" s="332">
        <f>IFERROR(VLOOKUP(TEXT(O257,"0"),CONDUCTORES!$A$3:$H$54,6,0),"")</f>
        <v/>
      </c>
      <c r="R257" s="280" t="n"/>
      <c r="S257" s="280" t="n"/>
      <c r="T257" s="280" t="n"/>
      <c r="U257" s="280" t="n"/>
      <c r="V257" s="280" t="n"/>
      <c r="W257" s="280" t="n"/>
      <c r="X257" s="280" t="n"/>
      <c r="Y257" s="280" t="n"/>
      <c r="Z257" s="350" t="n"/>
      <c r="AA257" s="198" t="n"/>
      <c r="AB257" s="198" t="n"/>
      <c r="AC257" s="198" t="n"/>
    </row>
    <row r="258" ht="15" customHeight="1" s="195">
      <c r="A258" s="280" t="n"/>
      <c r="B258" s="280" t="n"/>
      <c r="C258" s="280" t="n"/>
      <c r="D258" s="280" t="n"/>
      <c r="E258" s="280" t="n"/>
      <c r="F258" s="280" t="n"/>
      <c r="G258" s="280" t="n"/>
      <c r="H258" s="280" t="n"/>
      <c r="I258" s="332">
        <f>IFERROR(VLOOKUP(TEXT(H258,"0"),IPRESS!$A$3:$B$212,2,0),"")</f>
        <v/>
      </c>
      <c r="J258" s="280" t="n"/>
      <c r="K258" s="343" t="n"/>
      <c r="L258" s="280" t="n"/>
      <c r="M258" s="280" t="n"/>
      <c r="N258" s="345" t="n"/>
      <c r="O258" s="280" t="n"/>
      <c r="P258" s="332">
        <f>IFERROR(VLOOKUP(TEXT(O258,"0"),CONDUCTORES!$A$3:$G$54,2,0),"")</f>
        <v/>
      </c>
      <c r="Q258" s="332">
        <f>IFERROR(VLOOKUP(TEXT(O258,"0"),CONDUCTORES!$A$3:$H$54,6,0),"")</f>
        <v/>
      </c>
      <c r="R258" s="280" t="n"/>
      <c r="S258" s="280" t="n"/>
      <c r="T258" s="280" t="n"/>
      <c r="U258" s="280" t="n"/>
      <c r="V258" s="280" t="n"/>
      <c r="W258" s="280" t="n"/>
      <c r="X258" s="280" t="n"/>
      <c r="Y258" s="280" t="n"/>
      <c r="Z258" s="350" t="n"/>
      <c r="AA258" s="198" t="n"/>
      <c r="AB258" s="198" t="n"/>
      <c r="AC258" s="198" t="n"/>
    </row>
    <row r="259" ht="15" customHeight="1" s="195">
      <c r="A259" s="280" t="n"/>
      <c r="B259" s="280" t="n"/>
      <c r="C259" s="280" t="n"/>
      <c r="D259" s="280" t="n"/>
      <c r="E259" s="280" t="n"/>
      <c r="F259" s="280" t="n"/>
      <c r="G259" s="280" t="n"/>
      <c r="H259" s="280" t="n"/>
      <c r="I259" s="332">
        <f>IFERROR(VLOOKUP(TEXT(H259,"0"),IPRESS!$A$3:$B$212,2,0),"")</f>
        <v/>
      </c>
      <c r="J259" s="280" t="n"/>
      <c r="K259" s="343" t="n"/>
      <c r="L259" s="280" t="n"/>
      <c r="M259" s="280" t="n"/>
      <c r="N259" s="345" t="n"/>
      <c r="O259" s="280" t="n"/>
      <c r="P259" s="332">
        <f>IFERROR(VLOOKUP(TEXT(O259,"0"),CONDUCTORES!$A$3:$G$54,2,0),"")</f>
        <v/>
      </c>
      <c r="Q259" s="332">
        <f>IFERROR(VLOOKUP(TEXT(O259,"0"),CONDUCTORES!$A$3:$H$54,6,0),"")</f>
        <v/>
      </c>
      <c r="R259" s="280" t="n"/>
      <c r="S259" s="280" t="n"/>
      <c r="T259" s="280" t="n"/>
      <c r="U259" s="280" t="n"/>
      <c r="V259" s="280" t="n"/>
      <c r="W259" s="280" t="n"/>
      <c r="X259" s="280" t="n"/>
      <c r="Y259" s="280" t="n"/>
      <c r="Z259" s="350" t="n"/>
      <c r="AA259" s="198" t="n"/>
      <c r="AB259" s="198" t="n"/>
      <c r="AC259" s="198" t="n"/>
    </row>
    <row r="260" ht="15" customHeight="1" s="195">
      <c r="A260" s="280" t="n"/>
      <c r="B260" s="280" t="n"/>
      <c r="C260" s="280" t="n"/>
      <c r="D260" s="280" t="n"/>
      <c r="E260" s="280" t="n"/>
      <c r="F260" s="280" t="n"/>
      <c r="G260" s="280" t="n"/>
      <c r="H260" s="280" t="n"/>
      <c r="I260" s="332">
        <f>IFERROR(VLOOKUP(TEXT(H260,"0"),IPRESS!$A$3:$B$212,2,0),"")</f>
        <v/>
      </c>
      <c r="J260" s="280" t="n"/>
      <c r="K260" s="343" t="n"/>
      <c r="L260" s="280" t="n"/>
      <c r="M260" s="280" t="n"/>
      <c r="N260" s="345" t="n"/>
      <c r="O260" s="280" t="n"/>
      <c r="P260" s="332">
        <f>IFERROR(VLOOKUP(TEXT(O260,"0"),CONDUCTORES!$A$3:$G$54,2,0),"")</f>
        <v/>
      </c>
      <c r="Q260" s="332">
        <f>IFERROR(VLOOKUP(TEXT(O260,"0"),CONDUCTORES!$A$3:$H$54,6,0),"")</f>
        <v/>
      </c>
      <c r="R260" s="280" t="n"/>
      <c r="S260" s="280" t="n"/>
      <c r="T260" s="280" t="n"/>
      <c r="U260" s="280" t="n"/>
      <c r="V260" s="280" t="n"/>
      <c r="W260" s="280" t="n"/>
      <c r="X260" s="280" t="n"/>
      <c r="Y260" s="280" t="n"/>
      <c r="Z260" s="350" t="n"/>
      <c r="AA260" s="198" t="n"/>
      <c r="AB260" s="198" t="n"/>
      <c r="AC260" s="198" t="n"/>
    </row>
    <row r="261" ht="15" customHeight="1" s="195">
      <c r="A261" s="280" t="n"/>
      <c r="B261" s="280" t="n"/>
      <c r="C261" s="280" t="n"/>
      <c r="D261" s="280" t="n"/>
      <c r="E261" s="280" t="n"/>
      <c r="F261" s="280" t="n"/>
      <c r="G261" s="280" t="n"/>
      <c r="H261" s="280" t="n"/>
      <c r="I261" s="332">
        <f>IFERROR(VLOOKUP(TEXT(H261,"0"),IPRESS!$A$3:$B$212,2,0),"")</f>
        <v/>
      </c>
      <c r="J261" s="280" t="n"/>
      <c r="K261" s="343" t="n"/>
      <c r="L261" s="280" t="n"/>
      <c r="M261" s="280" t="n"/>
      <c r="N261" s="345" t="n"/>
      <c r="O261" s="280" t="n"/>
      <c r="P261" s="332">
        <f>IFERROR(VLOOKUP(TEXT(O261,"0"),CONDUCTORES!$A$3:$G$54,2,0),"")</f>
        <v/>
      </c>
      <c r="Q261" s="332">
        <f>IFERROR(VLOOKUP(TEXT(O261,"0"),CONDUCTORES!$A$3:$H$54,6,0),"")</f>
        <v/>
      </c>
      <c r="R261" s="280" t="n"/>
      <c r="S261" s="280" t="n"/>
      <c r="T261" s="280" t="n"/>
      <c r="U261" s="280" t="n"/>
      <c r="V261" s="280" t="n"/>
      <c r="W261" s="280" t="n"/>
      <c r="X261" s="280" t="n"/>
      <c r="Y261" s="280" t="n"/>
      <c r="Z261" s="350" t="n"/>
      <c r="AA261" s="198" t="n"/>
      <c r="AB261" s="198" t="n"/>
      <c r="AC261" s="198" t="n"/>
    </row>
    <row r="262" ht="15" customHeight="1" s="195">
      <c r="A262" s="280" t="n"/>
      <c r="B262" s="280" t="n"/>
      <c r="C262" s="280" t="n"/>
      <c r="D262" s="280" t="n"/>
      <c r="E262" s="280" t="n"/>
      <c r="F262" s="280" t="n"/>
      <c r="G262" s="280" t="n"/>
      <c r="H262" s="280" t="n"/>
      <c r="I262" s="332">
        <f>IFERROR(VLOOKUP(TEXT(H262,"0"),IPRESS!$A$3:$B$212,2,0),"")</f>
        <v/>
      </c>
      <c r="J262" s="280" t="n"/>
      <c r="K262" s="343" t="n"/>
      <c r="L262" s="280" t="n"/>
      <c r="M262" s="280" t="n"/>
      <c r="N262" s="345" t="n"/>
      <c r="O262" s="280" t="n"/>
      <c r="P262" s="332">
        <f>IFERROR(VLOOKUP(TEXT(O262,"0"),CONDUCTORES!$A$3:$G$54,2,0),"")</f>
        <v/>
      </c>
      <c r="Q262" s="332">
        <f>IFERROR(VLOOKUP(TEXT(O262,"0"),CONDUCTORES!$A$3:$H$54,6,0),"")</f>
        <v/>
      </c>
      <c r="R262" s="280" t="n"/>
      <c r="S262" s="280" t="n"/>
      <c r="T262" s="280" t="n"/>
      <c r="U262" s="280" t="n"/>
      <c r="V262" s="280" t="n"/>
      <c r="W262" s="280" t="n"/>
      <c r="X262" s="280" t="n"/>
      <c r="Y262" s="280" t="n"/>
      <c r="Z262" s="350" t="n"/>
      <c r="AA262" s="198" t="n"/>
      <c r="AB262" s="198" t="n"/>
      <c r="AC262" s="198" t="n"/>
    </row>
    <row r="263" ht="15" customHeight="1" s="195">
      <c r="A263" s="280" t="n"/>
      <c r="B263" s="280" t="n"/>
      <c r="C263" s="280" t="n"/>
      <c r="D263" s="280" t="n"/>
      <c r="E263" s="280" t="n"/>
      <c r="F263" s="280" t="n"/>
      <c r="G263" s="280" t="n"/>
      <c r="H263" s="280" t="n"/>
      <c r="I263" s="332">
        <f>IFERROR(VLOOKUP(TEXT(H263,"0"),IPRESS!$A$3:$B$212,2,0),"")</f>
        <v/>
      </c>
      <c r="J263" s="280" t="n"/>
      <c r="K263" s="343" t="n"/>
      <c r="L263" s="280" t="n"/>
      <c r="M263" s="280" t="n"/>
      <c r="N263" s="345" t="n"/>
      <c r="O263" s="280" t="n"/>
      <c r="P263" s="332">
        <f>IFERROR(VLOOKUP(TEXT(O263,"0"),CONDUCTORES!$A$3:$G$54,2,0),"")</f>
        <v/>
      </c>
      <c r="Q263" s="332">
        <f>IFERROR(VLOOKUP(TEXT(O263,"0"),CONDUCTORES!$A$3:$H$54,6,0),"")</f>
        <v/>
      </c>
      <c r="R263" s="280" t="n"/>
      <c r="S263" s="280" t="n"/>
      <c r="T263" s="280" t="n"/>
      <c r="U263" s="280" t="n"/>
      <c r="V263" s="280" t="n"/>
      <c r="W263" s="280" t="n"/>
      <c r="X263" s="280" t="n"/>
      <c r="Y263" s="280" t="n"/>
      <c r="Z263" s="350" t="n"/>
      <c r="AA263" s="198" t="n"/>
      <c r="AB263" s="198" t="n"/>
      <c r="AC263" s="198" t="n"/>
    </row>
    <row r="264" ht="15" customHeight="1" s="195">
      <c r="A264" s="280" t="n"/>
      <c r="B264" s="280" t="n"/>
      <c r="C264" s="280" t="n"/>
      <c r="D264" s="280" t="n"/>
      <c r="E264" s="280" t="n"/>
      <c r="F264" s="280" t="n"/>
      <c r="G264" s="280" t="n"/>
      <c r="H264" s="280" t="n"/>
      <c r="I264" s="332">
        <f>IFERROR(VLOOKUP(TEXT(H264,"0"),IPRESS!$A$3:$B$212,2,0),"")</f>
        <v/>
      </c>
      <c r="J264" s="280" t="n"/>
      <c r="K264" s="343" t="n"/>
      <c r="L264" s="280" t="n"/>
      <c r="M264" s="280" t="n"/>
      <c r="N264" s="345" t="n"/>
      <c r="O264" s="280" t="n"/>
      <c r="P264" s="332">
        <f>IFERROR(VLOOKUP(TEXT(O264,"0"),CONDUCTORES!$A$3:$G$54,2,0),"")</f>
        <v/>
      </c>
      <c r="Q264" s="332">
        <f>IFERROR(VLOOKUP(TEXT(O264,"0"),CONDUCTORES!$A$3:$H$54,6,0),"")</f>
        <v/>
      </c>
      <c r="R264" s="280" t="n"/>
      <c r="S264" s="280" t="n"/>
      <c r="T264" s="280" t="n"/>
      <c r="U264" s="280" t="n"/>
      <c r="V264" s="280" t="n"/>
      <c r="W264" s="280" t="n"/>
      <c r="X264" s="280" t="n"/>
      <c r="Y264" s="280" t="n"/>
      <c r="Z264" s="350" t="n"/>
      <c r="AA264" s="198" t="n"/>
      <c r="AB264" s="198" t="n"/>
      <c r="AC264" s="198" t="n"/>
    </row>
    <row r="265" ht="15" customHeight="1" s="195">
      <c r="A265" s="280" t="n"/>
      <c r="B265" s="280" t="n"/>
      <c r="C265" s="280" t="n"/>
      <c r="D265" s="280" t="n"/>
      <c r="E265" s="280" t="n"/>
      <c r="F265" s="280" t="n"/>
      <c r="G265" s="280" t="n"/>
      <c r="H265" s="280" t="n"/>
      <c r="I265" s="332">
        <f>IFERROR(VLOOKUP(TEXT(H265,"0"),IPRESS!$A$3:$B$212,2,0),"")</f>
        <v/>
      </c>
      <c r="J265" s="280" t="n"/>
      <c r="K265" s="343" t="n"/>
      <c r="L265" s="280" t="n"/>
      <c r="M265" s="280" t="n"/>
      <c r="N265" s="345" t="n"/>
      <c r="O265" s="280" t="n"/>
      <c r="P265" s="332">
        <f>IFERROR(VLOOKUP(TEXT(O265,"0"),CONDUCTORES!$A$3:$G$54,2,0),"")</f>
        <v/>
      </c>
      <c r="Q265" s="332">
        <f>IFERROR(VLOOKUP(TEXT(O265,"0"),CONDUCTORES!$A$3:$H$54,6,0),"")</f>
        <v/>
      </c>
      <c r="R265" s="280" t="n"/>
      <c r="S265" s="280" t="n"/>
      <c r="T265" s="280" t="n"/>
      <c r="U265" s="280" t="n"/>
      <c r="V265" s="280" t="n"/>
      <c r="W265" s="280" t="n"/>
      <c r="X265" s="280" t="n"/>
      <c r="Y265" s="280" t="n"/>
      <c r="Z265" s="350" t="n"/>
      <c r="AA265" s="198" t="n"/>
      <c r="AB265" s="198" t="n"/>
      <c r="AC265" s="198" t="n"/>
    </row>
    <row r="266" ht="15" customHeight="1" s="195">
      <c r="A266" s="280" t="n"/>
      <c r="B266" s="280" t="n"/>
      <c r="C266" s="280" t="n"/>
      <c r="D266" s="280" t="n"/>
      <c r="E266" s="280" t="n"/>
      <c r="F266" s="280" t="n"/>
      <c r="G266" s="280" t="n"/>
      <c r="H266" s="280" t="n"/>
      <c r="I266" s="332">
        <f>IFERROR(VLOOKUP(TEXT(H266,"0"),IPRESS!$A$3:$B$212,2,0),"")</f>
        <v/>
      </c>
      <c r="J266" s="280" t="n"/>
      <c r="K266" s="343" t="n"/>
      <c r="L266" s="280" t="n"/>
      <c r="M266" s="280" t="n"/>
      <c r="N266" s="345" t="n"/>
      <c r="O266" s="280" t="n"/>
      <c r="P266" s="332">
        <f>IFERROR(VLOOKUP(TEXT(O266,"0"),CONDUCTORES!$A$3:$G$54,2,0),"")</f>
        <v/>
      </c>
      <c r="Q266" s="332">
        <f>IFERROR(VLOOKUP(TEXT(O266,"0"),CONDUCTORES!$A$3:$H$54,6,0),"")</f>
        <v/>
      </c>
      <c r="R266" s="280" t="n"/>
      <c r="S266" s="280" t="n"/>
      <c r="T266" s="280" t="n"/>
      <c r="U266" s="280" t="n"/>
      <c r="V266" s="280" t="n"/>
      <c r="W266" s="280" t="n"/>
      <c r="X266" s="280" t="n"/>
      <c r="Y266" s="280" t="n"/>
      <c r="Z266" s="350" t="n"/>
      <c r="AA266" s="198" t="n"/>
      <c r="AB266" s="198" t="n"/>
      <c r="AC266" s="198" t="n"/>
    </row>
    <row r="267" ht="15" customHeight="1" s="195">
      <c r="A267" s="280" t="n"/>
      <c r="B267" s="280" t="n"/>
      <c r="C267" s="280" t="n"/>
      <c r="D267" s="280" t="n"/>
      <c r="E267" s="280" t="n"/>
      <c r="F267" s="280" t="n"/>
      <c r="G267" s="280" t="n"/>
      <c r="H267" s="280" t="n"/>
      <c r="I267" s="332">
        <f>IFERROR(VLOOKUP(TEXT(H267,"0"),IPRESS!$A$3:$B$212,2,0),"")</f>
        <v/>
      </c>
      <c r="J267" s="280" t="n"/>
      <c r="K267" s="343" t="n"/>
      <c r="L267" s="280" t="n"/>
      <c r="M267" s="280" t="n"/>
      <c r="N267" s="345" t="n"/>
      <c r="O267" s="280" t="n"/>
      <c r="P267" s="332">
        <f>IFERROR(VLOOKUP(TEXT(O267,"0"),CONDUCTORES!$A$3:$G$54,2,0),"")</f>
        <v/>
      </c>
      <c r="Q267" s="332">
        <f>IFERROR(VLOOKUP(TEXT(O267,"0"),CONDUCTORES!$A$3:$H$54,6,0),"")</f>
        <v/>
      </c>
      <c r="R267" s="280" t="n"/>
      <c r="S267" s="280" t="n"/>
      <c r="T267" s="280" t="n"/>
      <c r="U267" s="280" t="n"/>
      <c r="V267" s="280" t="n"/>
      <c r="W267" s="280" t="n"/>
      <c r="X267" s="280" t="n"/>
      <c r="Y267" s="280" t="n"/>
      <c r="Z267" s="350" t="n"/>
      <c r="AA267" s="198" t="n"/>
      <c r="AB267" s="198" t="n"/>
      <c r="AC267" s="198" t="n"/>
    </row>
    <row r="268" ht="15" customHeight="1" s="195">
      <c r="A268" s="280" t="n"/>
      <c r="B268" s="280" t="n"/>
      <c r="C268" s="280" t="n"/>
      <c r="D268" s="280" t="n"/>
      <c r="E268" s="280" t="n"/>
      <c r="F268" s="280" t="n"/>
      <c r="G268" s="280" t="n"/>
      <c r="H268" s="280" t="n"/>
      <c r="I268" s="332">
        <f>IFERROR(VLOOKUP(TEXT(H268,"0"),IPRESS!$A$3:$B$212,2,0),"")</f>
        <v/>
      </c>
      <c r="J268" s="280" t="n"/>
      <c r="K268" s="343" t="n"/>
      <c r="L268" s="280" t="n"/>
      <c r="M268" s="280" t="n"/>
      <c r="N268" s="345" t="n"/>
      <c r="O268" s="280" t="n"/>
      <c r="P268" s="332">
        <f>IFERROR(VLOOKUP(TEXT(O268,"0"),CONDUCTORES!$A$3:$G$54,2,0),"")</f>
        <v/>
      </c>
      <c r="Q268" s="332">
        <f>IFERROR(VLOOKUP(TEXT(O268,"0"),CONDUCTORES!$A$3:$H$54,6,0),"")</f>
        <v/>
      </c>
      <c r="R268" s="280" t="n"/>
      <c r="S268" s="280" t="n"/>
      <c r="T268" s="280" t="n"/>
      <c r="U268" s="280" t="n"/>
      <c r="V268" s="280" t="n"/>
      <c r="W268" s="280" t="n"/>
      <c r="X268" s="280" t="n"/>
      <c r="Y268" s="280" t="n"/>
      <c r="Z268" s="350" t="n"/>
      <c r="AA268" s="198" t="n"/>
      <c r="AB268" s="198" t="n"/>
      <c r="AC268" s="198" t="n"/>
    </row>
    <row r="269" ht="15" customHeight="1" s="195">
      <c r="A269" s="280" t="n"/>
      <c r="B269" s="280" t="n"/>
      <c r="C269" s="280" t="n"/>
      <c r="D269" s="280" t="n"/>
      <c r="E269" s="280" t="n"/>
      <c r="F269" s="280" t="n"/>
      <c r="G269" s="280" t="n"/>
      <c r="H269" s="280" t="n"/>
      <c r="I269" s="332">
        <f>IFERROR(VLOOKUP(TEXT(H269,"0"),IPRESS!$A$3:$B$212,2,0),"")</f>
        <v/>
      </c>
      <c r="J269" s="280" t="n"/>
      <c r="K269" s="343" t="n"/>
      <c r="L269" s="280" t="n"/>
      <c r="M269" s="280" t="n"/>
      <c r="N269" s="345" t="n"/>
      <c r="O269" s="280" t="n"/>
      <c r="P269" s="332">
        <f>IFERROR(VLOOKUP(TEXT(O269,"0"),CONDUCTORES!$A$3:$G$54,2,0),"")</f>
        <v/>
      </c>
      <c r="Q269" s="332">
        <f>IFERROR(VLOOKUP(TEXT(O269,"0"),CONDUCTORES!$A$3:$H$54,6,0),"")</f>
        <v/>
      </c>
      <c r="R269" s="280" t="n"/>
      <c r="S269" s="280" t="n"/>
      <c r="T269" s="280" t="n"/>
      <c r="U269" s="280" t="n"/>
      <c r="V269" s="280" t="n"/>
      <c r="W269" s="280" t="n"/>
      <c r="X269" s="280" t="n"/>
      <c r="Y269" s="280" t="n"/>
      <c r="Z269" s="350" t="n"/>
      <c r="AA269" s="198" t="n"/>
      <c r="AB269" s="198" t="n"/>
      <c r="AC269" s="198" t="n"/>
    </row>
    <row r="270" ht="15" customHeight="1" s="195">
      <c r="A270" s="280" t="n"/>
      <c r="B270" s="280" t="n"/>
      <c r="C270" s="280" t="n"/>
      <c r="D270" s="280" t="n"/>
      <c r="E270" s="280" t="n"/>
      <c r="F270" s="280" t="n"/>
      <c r="G270" s="280" t="n"/>
      <c r="H270" s="280" t="n"/>
      <c r="I270" s="332">
        <f>IFERROR(VLOOKUP(TEXT(H270,"0"),IPRESS!$A$3:$B$212,2,0),"")</f>
        <v/>
      </c>
      <c r="J270" s="280" t="n"/>
      <c r="K270" s="343" t="n"/>
      <c r="L270" s="280" t="n"/>
      <c r="M270" s="280" t="n"/>
      <c r="N270" s="345" t="n"/>
      <c r="O270" s="280" t="n"/>
      <c r="P270" s="332">
        <f>IFERROR(VLOOKUP(TEXT(O270,"0"),CONDUCTORES!$A$3:$G$54,2,0),"")</f>
        <v/>
      </c>
      <c r="Q270" s="332">
        <f>IFERROR(VLOOKUP(TEXT(O270,"0"),CONDUCTORES!$A$3:$H$54,6,0),"")</f>
        <v/>
      </c>
      <c r="R270" s="280" t="n"/>
      <c r="S270" s="280" t="n"/>
      <c r="T270" s="280" t="n"/>
      <c r="U270" s="280" t="n"/>
      <c r="V270" s="280" t="n"/>
      <c r="W270" s="280" t="n"/>
      <c r="X270" s="280" t="n"/>
      <c r="Y270" s="280" t="n"/>
      <c r="Z270" s="350" t="n"/>
      <c r="AA270" s="198" t="n"/>
      <c r="AB270" s="198" t="n"/>
      <c r="AC270" s="198" t="n"/>
    </row>
    <row r="271" ht="15" customHeight="1" s="195">
      <c r="A271" s="280" t="n"/>
      <c r="B271" s="280" t="n"/>
      <c r="C271" s="280" t="n"/>
      <c r="D271" s="280" t="n"/>
      <c r="E271" s="280" t="n"/>
      <c r="F271" s="280" t="n"/>
      <c r="G271" s="280" t="n"/>
      <c r="H271" s="280" t="n"/>
      <c r="I271" s="332">
        <f>IFERROR(VLOOKUP(TEXT(H271,"0"),IPRESS!$A$3:$B$212,2,0),"")</f>
        <v/>
      </c>
      <c r="J271" s="280" t="n"/>
      <c r="K271" s="343" t="n"/>
      <c r="L271" s="280" t="n"/>
      <c r="M271" s="280" t="n"/>
      <c r="N271" s="345" t="n"/>
      <c r="O271" s="280" t="n"/>
      <c r="P271" s="332">
        <f>IFERROR(VLOOKUP(TEXT(O271,"0"),CONDUCTORES!$A$3:$G$54,2,0),"")</f>
        <v/>
      </c>
      <c r="Q271" s="332">
        <f>IFERROR(VLOOKUP(TEXT(O271,"0"),CONDUCTORES!$A$3:$H$54,6,0),"")</f>
        <v/>
      </c>
      <c r="R271" s="280" t="n"/>
      <c r="S271" s="280" t="n"/>
      <c r="T271" s="280" t="n"/>
      <c r="U271" s="280" t="n"/>
      <c r="V271" s="280" t="n"/>
      <c r="W271" s="280" t="n"/>
      <c r="X271" s="280" t="n"/>
      <c r="Y271" s="280" t="n"/>
      <c r="Z271" s="350" t="n"/>
      <c r="AA271" s="198" t="n"/>
      <c r="AB271" s="198" t="n"/>
      <c r="AC271" s="198" t="n"/>
    </row>
    <row r="272" ht="15" customHeight="1" s="195">
      <c r="A272" s="280" t="n"/>
      <c r="B272" s="280" t="n"/>
      <c r="C272" s="280" t="n"/>
      <c r="D272" s="280" t="n"/>
      <c r="E272" s="280" t="n"/>
      <c r="F272" s="280" t="n"/>
      <c r="G272" s="280" t="n"/>
      <c r="H272" s="280" t="n"/>
      <c r="I272" s="332">
        <f>IFERROR(VLOOKUP(TEXT(H272,"0"),IPRESS!$A$3:$B$212,2,0),"")</f>
        <v/>
      </c>
      <c r="J272" s="280" t="n"/>
      <c r="K272" s="343" t="n"/>
      <c r="L272" s="280" t="n"/>
      <c r="M272" s="280" t="n"/>
      <c r="N272" s="345" t="n"/>
      <c r="O272" s="280" t="n"/>
      <c r="P272" s="332">
        <f>IFERROR(VLOOKUP(TEXT(O272,"0"),CONDUCTORES!$A$3:$G$54,2,0),"")</f>
        <v/>
      </c>
      <c r="Q272" s="332">
        <f>IFERROR(VLOOKUP(TEXT(O272,"0"),CONDUCTORES!$A$3:$H$54,6,0),"")</f>
        <v/>
      </c>
      <c r="R272" s="280" t="n"/>
      <c r="S272" s="280" t="n"/>
      <c r="T272" s="280" t="n"/>
      <c r="U272" s="280" t="n"/>
      <c r="V272" s="280" t="n"/>
      <c r="W272" s="280" t="n"/>
      <c r="X272" s="280" t="n"/>
      <c r="Y272" s="280" t="n"/>
      <c r="Z272" s="350" t="n"/>
      <c r="AA272" s="198" t="n"/>
      <c r="AB272" s="198" t="n"/>
      <c r="AC272" s="198" t="n"/>
    </row>
    <row r="273" ht="15" customHeight="1" s="195">
      <c r="A273" s="280" t="n"/>
      <c r="B273" s="280" t="n"/>
      <c r="C273" s="280" t="n"/>
      <c r="D273" s="280" t="n"/>
      <c r="E273" s="280" t="n"/>
      <c r="F273" s="280" t="n"/>
      <c r="G273" s="280" t="n"/>
      <c r="H273" s="280" t="n"/>
      <c r="I273" s="332">
        <f>IFERROR(VLOOKUP(TEXT(H273,"0"),IPRESS!$A$3:$B$212,2,0),"")</f>
        <v/>
      </c>
      <c r="J273" s="280" t="n"/>
      <c r="K273" s="343" t="n"/>
      <c r="L273" s="280" t="n"/>
      <c r="M273" s="280" t="n"/>
      <c r="N273" s="345" t="n"/>
      <c r="O273" s="280" t="n"/>
      <c r="P273" s="332">
        <f>IFERROR(VLOOKUP(TEXT(O273,"0"),CONDUCTORES!$A$3:$G$54,2,0),"")</f>
        <v/>
      </c>
      <c r="Q273" s="332">
        <f>IFERROR(VLOOKUP(TEXT(O273,"0"),CONDUCTORES!$A$3:$H$54,6,0),"")</f>
        <v/>
      </c>
      <c r="R273" s="280" t="n"/>
      <c r="S273" s="280" t="n"/>
      <c r="T273" s="280" t="n"/>
      <c r="U273" s="280" t="n"/>
      <c r="V273" s="280" t="n"/>
      <c r="W273" s="280" t="n"/>
      <c r="X273" s="280" t="n"/>
      <c r="Y273" s="280" t="n"/>
      <c r="Z273" s="350" t="n"/>
      <c r="AA273" s="198" t="n"/>
      <c r="AB273" s="198" t="n"/>
      <c r="AC273" s="198" t="n"/>
    </row>
    <row r="274" ht="15" customHeight="1" s="195">
      <c r="A274" s="280" t="n"/>
      <c r="B274" s="280" t="n"/>
      <c r="C274" s="280" t="n"/>
      <c r="D274" s="280" t="n"/>
      <c r="E274" s="280" t="n"/>
      <c r="F274" s="280" t="n"/>
      <c r="G274" s="280" t="n"/>
      <c r="H274" s="280" t="n"/>
      <c r="I274" s="332">
        <f>IFERROR(VLOOKUP(TEXT(H274,"0"),IPRESS!$A$3:$B$212,2,0),"")</f>
        <v/>
      </c>
      <c r="J274" s="280" t="n"/>
      <c r="K274" s="343" t="n"/>
      <c r="L274" s="280" t="n"/>
      <c r="M274" s="280" t="n"/>
      <c r="N274" s="345" t="n"/>
      <c r="O274" s="280" t="n"/>
      <c r="P274" s="332">
        <f>IFERROR(VLOOKUP(TEXT(O274,"0"),CONDUCTORES!$A$3:$G$54,2,0),"")</f>
        <v/>
      </c>
      <c r="Q274" s="332">
        <f>IFERROR(VLOOKUP(TEXT(O274,"0"),CONDUCTORES!$A$3:$H$54,6,0),"")</f>
        <v/>
      </c>
      <c r="R274" s="280" t="n"/>
      <c r="S274" s="280" t="n"/>
      <c r="T274" s="280" t="n"/>
      <c r="U274" s="280" t="n"/>
      <c r="V274" s="280" t="n"/>
      <c r="W274" s="280" t="n"/>
      <c r="X274" s="280" t="n"/>
      <c r="Y274" s="280" t="n"/>
      <c r="Z274" s="350" t="n"/>
      <c r="AA274" s="198" t="n"/>
      <c r="AB274" s="198" t="n"/>
      <c r="AC274" s="198" t="n"/>
    </row>
    <row r="275" ht="15" customHeight="1" s="195">
      <c r="A275" s="280" t="n"/>
      <c r="B275" s="280" t="n"/>
      <c r="C275" s="280" t="n"/>
      <c r="D275" s="280" t="n"/>
      <c r="E275" s="280" t="n"/>
      <c r="F275" s="280" t="n"/>
      <c r="G275" s="280" t="n"/>
      <c r="H275" s="280" t="n"/>
      <c r="I275" s="332">
        <f>IFERROR(VLOOKUP(TEXT(H275,"0"),IPRESS!$A$3:$B$212,2,0),"")</f>
        <v/>
      </c>
      <c r="J275" s="280" t="n"/>
      <c r="K275" s="343" t="n"/>
      <c r="L275" s="280" t="n"/>
      <c r="M275" s="280" t="n"/>
      <c r="N275" s="345" t="n"/>
      <c r="O275" s="280" t="n"/>
      <c r="P275" s="332">
        <f>IFERROR(VLOOKUP(TEXT(O275,"0"),CONDUCTORES!$A$3:$G$54,2,0),"")</f>
        <v/>
      </c>
      <c r="Q275" s="332">
        <f>IFERROR(VLOOKUP(TEXT(O275,"0"),CONDUCTORES!$A$3:$H$54,6,0),"")</f>
        <v/>
      </c>
      <c r="R275" s="280" t="n"/>
      <c r="S275" s="280" t="n"/>
      <c r="T275" s="280" t="n"/>
      <c r="U275" s="280" t="n"/>
      <c r="V275" s="280" t="n"/>
      <c r="W275" s="280" t="n"/>
      <c r="X275" s="280" t="n"/>
      <c r="Y275" s="280" t="n"/>
      <c r="Z275" s="350" t="n"/>
      <c r="AA275" s="198" t="n"/>
      <c r="AB275" s="198" t="n"/>
      <c r="AC275" s="198" t="n"/>
    </row>
    <row r="276" ht="15" customHeight="1" s="195">
      <c r="A276" s="280" t="n"/>
      <c r="B276" s="280" t="n"/>
      <c r="C276" s="280" t="n"/>
      <c r="D276" s="280" t="n"/>
      <c r="E276" s="280" t="n"/>
      <c r="F276" s="280" t="n"/>
      <c r="G276" s="280" t="n"/>
      <c r="H276" s="280" t="n"/>
      <c r="I276" s="332">
        <f>IFERROR(VLOOKUP(TEXT(H276,"0"),IPRESS!$A$3:$B$212,2,0),"")</f>
        <v/>
      </c>
      <c r="J276" s="280" t="n"/>
      <c r="K276" s="343" t="n"/>
      <c r="L276" s="280" t="n"/>
      <c r="M276" s="280" t="n"/>
      <c r="N276" s="345" t="n"/>
      <c r="O276" s="280" t="n"/>
      <c r="P276" s="332">
        <f>IFERROR(VLOOKUP(TEXT(O276,"0"),CONDUCTORES!$A$3:$G$54,2,0),"")</f>
        <v/>
      </c>
      <c r="Q276" s="332">
        <f>IFERROR(VLOOKUP(TEXT(O276,"0"),CONDUCTORES!$A$3:$H$54,6,0),"")</f>
        <v/>
      </c>
      <c r="R276" s="280" t="n"/>
      <c r="S276" s="280" t="n"/>
      <c r="T276" s="280" t="n"/>
      <c r="U276" s="280" t="n"/>
      <c r="V276" s="280" t="n"/>
      <c r="W276" s="280" t="n"/>
      <c r="X276" s="280" t="n"/>
      <c r="Y276" s="280" t="n"/>
      <c r="Z276" s="350" t="n"/>
      <c r="AA276" s="198" t="n"/>
      <c r="AB276" s="198" t="n"/>
      <c r="AC276" s="198" t="n"/>
    </row>
    <row r="277" ht="15" customHeight="1" s="195">
      <c r="A277" s="280" t="n"/>
      <c r="B277" s="280" t="n"/>
      <c r="C277" s="280" t="n"/>
      <c r="D277" s="280" t="n"/>
      <c r="E277" s="280" t="n"/>
      <c r="F277" s="280" t="n"/>
      <c r="G277" s="280" t="n"/>
      <c r="H277" s="280" t="n"/>
      <c r="I277" s="332">
        <f>IFERROR(VLOOKUP(TEXT(H277,"0"),IPRESS!$A$3:$B$212,2,0),"")</f>
        <v/>
      </c>
      <c r="J277" s="280" t="n"/>
      <c r="K277" s="343" t="n"/>
      <c r="L277" s="280" t="n"/>
      <c r="M277" s="280" t="n"/>
      <c r="N277" s="345" t="n"/>
      <c r="O277" s="280" t="n"/>
      <c r="P277" s="332">
        <f>IFERROR(VLOOKUP(TEXT(O277,"0"),CONDUCTORES!$A$3:$G$54,2,0),"")</f>
        <v/>
      </c>
      <c r="Q277" s="332">
        <f>IFERROR(VLOOKUP(TEXT(O277,"0"),CONDUCTORES!$A$3:$H$54,6,0),"")</f>
        <v/>
      </c>
      <c r="R277" s="280" t="n"/>
      <c r="S277" s="280" t="n"/>
      <c r="T277" s="280" t="n"/>
      <c r="U277" s="280" t="n"/>
      <c r="V277" s="280" t="n"/>
      <c r="W277" s="280" t="n"/>
      <c r="X277" s="280" t="n"/>
      <c r="Y277" s="280" t="n"/>
      <c r="Z277" s="350" t="n"/>
      <c r="AA277" s="198" t="n"/>
      <c r="AB277" s="198" t="n"/>
      <c r="AC277" s="198" t="n"/>
    </row>
    <row r="278" ht="15" customHeight="1" s="195">
      <c r="A278" s="280" t="n"/>
      <c r="B278" s="280" t="n"/>
      <c r="C278" s="280" t="n"/>
      <c r="D278" s="280" t="n"/>
      <c r="E278" s="280" t="n"/>
      <c r="F278" s="280" t="n"/>
      <c r="G278" s="280" t="n"/>
      <c r="H278" s="280" t="n"/>
      <c r="I278" s="332">
        <f>IFERROR(VLOOKUP(TEXT(H278,"0"),IPRESS!$A$3:$B$212,2,0),"")</f>
        <v/>
      </c>
      <c r="J278" s="280" t="n"/>
      <c r="K278" s="343" t="n"/>
      <c r="L278" s="280" t="n"/>
      <c r="M278" s="280" t="n"/>
      <c r="N278" s="345" t="n"/>
      <c r="O278" s="280" t="n"/>
      <c r="P278" s="332">
        <f>IFERROR(VLOOKUP(TEXT(O278,"0"),CONDUCTORES!$A$3:$G$54,2,0),"")</f>
        <v/>
      </c>
      <c r="Q278" s="332">
        <f>IFERROR(VLOOKUP(TEXT(O278,"0"),CONDUCTORES!$A$3:$H$54,6,0),"")</f>
        <v/>
      </c>
      <c r="R278" s="280" t="n"/>
      <c r="S278" s="280" t="n"/>
      <c r="T278" s="280" t="n"/>
      <c r="U278" s="280" t="n"/>
      <c r="V278" s="280" t="n"/>
      <c r="W278" s="280" t="n"/>
      <c r="X278" s="280" t="n"/>
      <c r="Y278" s="280" t="n"/>
      <c r="Z278" s="350" t="n"/>
      <c r="AA278" s="198" t="n"/>
      <c r="AB278" s="198" t="n"/>
      <c r="AC278" s="198" t="n"/>
    </row>
    <row r="279" ht="15" customHeight="1" s="195">
      <c r="A279" s="280" t="n"/>
      <c r="B279" s="280" t="n"/>
      <c r="C279" s="280" t="n"/>
      <c r="D279" s="280" t="n"/>
      <c r="E279" s="280" t="n"/>
      <c r="F279" s="280" t="n"/>
      <c r="G279" s="280" t="n"/>
      <c r="H279" s="280" t="n"/>
      <c r="I279" s="332">
        <f>IFERROR(VLOOKUP(TEXT(H279,"0"),IPRESS!$A$3:$B$212,2,0),"")</f>
        <v/>
      </c>
      <c r="J279" s="280" t="n"/>
      <c r="K279" s="343" t="n"/>
      <c r="L279" s="280" t="n"/>
      <c r="M279" s="280" t="n"/>
      <c r="N279" s="345" t="n"/>
      <c r="O279" s="280" t="n"/>
      <c r="P279" s="332">
        <f>IFERROR(VLOOKUP(TEXT(O279,"0"),CONDUCTORES!$A$3:$G$54,2,0),"")</f>
        <v/>
      </c>
      <c r="Q279" s="332">
        <f>IFERROR(VLOOKUP(TEXT(O279,"0"),CONDUCTORES!$A$3:$H$54,6,0),"")</f>
        <v/>
      </c>
      <c r="R279" s="280" t="n"/>
      <c r="S279" s="280" t="n"/>
      <c r="T279" s="280" t="n"/>
      <c r="U279" s="280" t="n"/>
      <c r="V279" s="280" t="n"/>
      <c r="W279" s="280" t="n"/>
      <c r="X279" s="280" t="n"/>
      <c r="Y279" s="280" t="n"/>
      <c r="Z279" s="350" t="n"/>
      <c r="AA279" s="198" t="n"/>
      <c r="AB279" s="198" t="n"/>
      <c r="AC279" s="198" t="n"/>
    </row>
    <row r="280" ht="15" customHeight="1" s="195">
      <c r="A280" s="280" t="n"/>
      <c r="B280" s="280" t="n"/>
      <c r="C280" s="280" t="n"/>
      <c r="D280" s="280" t="n"/>
      <c r="E280" s="280" t="n"/>
      <c r="F280" s="280" t="n"/>
      <c r="G280" s="280" t="n"/>
      <c r="H280" s="280" t="n"/>
      <c r="I280" s="332">
        <f>IFERROR(VLOOKUP(TEXT(H280,"0"),IPRESS!$A$3:$B$212,2,0),"")</f>
        <v/>
      </c>
      <c r="J280" s="280" t="n"/>
      <c r="K280" s="343" t="n"/>
      <c r="L280" s="280" t="n"/>
      <c r="M280" s="280" t="n"/>
      <c r="N280" s="345" t="n"/>
      <c r="O280" s="280" t="n"/>
      <c r="P280" s="332">
        <f>IFERROR(VLOOKUP(TEXT(O280,"0"),CONDUCTORES!$A$3:$G$54,2,0),"")</f>
        <v/>
      </c>
      <c r="Q280" s="332">
        <f>IFERROR(VLOOKUP(TEXT(O280,"0"),CONDUCTORES!$A$3:$H$54,6,0),"")</f>
        <v/>
      </c>
      <c r="R280" s="280" t="n"/>
      <c r="S280" s="280" t="n"/>
      <c r="T280" s="280" t="n"/>
      <c r="U280" s="280" t="n"/>
      <c r="V280" s="280" t="n"/>
      <c r="W280" s="280" t="n"/>
      <c r="X280" s="280" t="n"/>
      <c r="Y280" s="280" t="n"/>
      <c r="Z280" s="350" t="n"/>
      <c r="AA280" s="198" t="n"/>
      <c r="AB280" s="198" t="n"/>
      <c r="AC280" s="198" t="n"/>
    </row>
    <row r="281" ht="15" customHeight="1" s="195">
      <c r="A281" s="280" t="n"/>
      <c r="B281" s="280" t="n"/>
      <c r="C281" s="280" t="n"/>
      <c r="D281" s="280" t="n"/>
      <c r="E281" s="280" t="n"/>
      <c r="F281" s="280" t="n"/>
      <c r="G281" s="280" t="n"/>
      <c r="H281" s="280" t="n"/>
      <c r="I281" s="332">
        <f>IFERROR(VLOOKUP(TEXT(H281,"0"),IPRESS!$A$3:$B$212,2,0),"")</f>
        <v/>
      </c>
      <c r="J281" s="280" t="n"/>
      <c r="K281" s="343" t="n"/>
      <c r="L281" s="280" t="n"/>
      <c r="M281" s="280" t="n"/>
      <c r="N281" s="345" t="n"/>
      <c r="O281" s="280" t="n"/>
      <c r="P281" s="332">
        <f>IFERROR(VLOOKUP(TEXT(O281,"0"),CONDUCTORES!$A$3:$G$54,2,0),"")</f>
        <v/>
      </c>
      <c r="Q281" s="332">
        <f>IFERROR(VLOOKUP(TEXT(O281,"0"),CONDUCTORES!$A$3:$H$54,6,0),"")</f>
        <v/>
      </c>
      <c r="R281" s="280" t="n"/>
      <c r="S281" s="280" t="n"/>
      <c r="T281" s="280" t="n"/>
      <c r="U281" s="280" t="n"/>
      <c r="V281" s="280" t="n"/>
      <c r="W281" s="280" t="n"/>
      <c r="X281" s="280" t="n"/>
      <c r="Y281" s="280" t="n"/>
      <c r="Z281" s="350" t="n"/>
      <c r="AA281" s="198" t="n"/>
      <c r="AB281" s="198" t="n"/>
      <c r="AC281" s="198" t="n"/>
    </row>
    <row r="282" ht="15" customHeight="1" s="195">
      <c r="A282" s="280" t="n"/>
      <c r="B282" s="280" t="n"/>
      <c r="C282" s="280" t="n"/>
      <c r="D282" s="280" t="n"/>
      <c r="E282" s="280" t="n"/>
      <c r="F282" s="280" t="n"/>
      <c r="G282" s="280" t="n"/>
      <c r="H282" s="280" t="n"/>
      <c r="I282" s="332">
        <f>IFERROR(VLOOKUP(TEXT(H282,"0"),IPRESS!$A$3:$B$212,2,0),"")</f>
        <v/>
      </c>
      <c r="J282" s="280" t="n"/>
      <c r="K282" s="343" t="n"/>
      <c r="L282" s="280" t="n"/>
      <c r="M282" s="280" t="n"/>
      <c r="N282" s="345" t="n"/>
      <c r="O282" s="280" t="n"/>
      <c r="P282" s="332">
        <f>IFERROR(VLOOKUP(TEXT(O282,"0"),CONDUCTORES!$A$3:$G$54,2,0),"")</f>
        <v/>
      </c>
      <c r="Q282" s="332">
        <f>IFERROR(VLOOKUP(TEXT(O282,"0"),CONDUCTORES!$A$3:$H$54,6,0),"")</f>
        <v/>
      </c>
      <c r="R282" s="280" t="n"/>
      <c r="S282" s="280" t="n"/>
      <c r="T282" s="280" t="n"/>
      <c r="U282" s="280" t="n"/>
      <c r="V282" s="280" t="n"/>
      <c r="W282" s="280" t="n"/>
      <c r="X282" s="280" t="n"/>
      <c r="Y282" s="280" t="n"/>
      <c r="Z282" s="350" t="n"/>
      <c r="AA282" s="198" t="n"/>
      <c r="AB282" s="198" t="n"/>
      <c r="AC282" s="198" t="n"/>
    </row>
    <row r="283" ht="15" customHeight="1" s="195">
      <c r="A283" s="280" t="n"/>
      <c r="B283" s="280" t="n"/>
      <c r="C283" s="280" t="n"/>
      <c r="D283" s="280" t="n"/>
      <c r="E283" s="280" t="n"/>
      <c r="F283" s="280" t="n"/>
      <c r="G283" s="280" t="n"/>
      <c r="H283" s="280" t="n"/>
      <c r="I283" s="332">
        <f>IFERROR(VLOOKUP(TEXT(H283,"0"),IPRESS!$A$3:$B$212,2,0),"")</f>
        <v/>
      </c>
      <c r="J283" s="280" t="n"/>
      <c r="K283" s="343" t="n"/>
      <c r="L283" s="280" t="n"/>
      <c r="M283" s="280" t="n"/>
      <c r="N283" s="345" t="n"/>
      <c r="O283" s="280" t="n"/>
      <c r="P283" s="332">
        <f>IFERROR(VLOOKUP(TEXT(O283,"0"),CONDUCTORES!$A$3:$G$54,2,0),"")</f>
        <v/>
      </c>
      <c r="Q283" s="332">
        <f>IFERROR(VLOOKUP(TEXT(O283,"0"),CONDUCTORES!$A$3:$H$54,6,0),"")</f>
        <v/>
      </c>
      <c r="R283" s="280" t="n"/>
      <c r="S283" s="280" t="n"/>
      <c r="T283" s="280" t="n"/>
      <c r="U283" s="280" t="n"/>
      <c r="V283" s="280" t="n"/>
      <c r="W283" s="280" t="n"/>
      <c r="X283" s="280" t="n"/>
      <c r="Y283" s="280" t="n"/>
      <c r="Z283" s="350" t="n"/>
      <c r="AA283" s="198" t="n"/>
      <c r="AB283" s="198" t="n"/>
      <c r="AC283" s="198" t="n"/>
    </row>
    <row r="284" ht="15" customHeight="1" s="195">
      <c r="A284" s="280" t="n"/>
      <c r="B284" s="280" t="n"/>
      <c r="C284" s="280" t="n"/>
      <c r="D284" s="280" t="n"/>
      <c r="E284" s="280" t="n"/>
      <c r="F284" s="280" t="n"/>
      <c r="G284" s="280" t="n"/>
      <c r="H284" s="280" t="n"/>
      <c r="I284" s="332">
        <f>IFERROR(VLOOKUP(TEXT(H284,"0"),IPRESS!$A$3:$B$212,2,0),"")</f>
        <v/>
      </c>
      <c r="J284" s="280" t="n"/>
      <c r="K284" s="343" t="n"/>
      <c r="L284" s="280" t="n"/>
      <c r="M284" s="280" t="n"/>
      <c r="N284" s="345" t="n"/>
      <c r="O284" s="280" t="n"/>
      <c r="P284" s="332">
        <f>IFERROR(VLOOKUP(TEXT(O284,"0"),CONDUCTORES!$A$3:$G$54,2,0),"")</f>
        <v/>
      </c>
      <c r="Q284" s="332">
        <f>IFERROR(VLOOKUP(TEXT(O284,"0"),CONDUCTORES!$A$3:$H$54,6,0),"")</f>
        <v/>
      </c>
      <c r="R284" s="280" t="n"/>
      <c r="S284" s="280" t="n"/>
      <c r="T284" s="280" t="n"/>
      <c r="U284" s="280" t="n"/>
      <c r="V284" s="280" t="n"/>
      <c r="W284" s="280" t="n"/>
      <c r="X284" s="280" t="n"/>
      <c r="Y284" s="280" t="n"/>
      <c r="Z284" s="350" t="n"/>
      <c r="AA284" s="198" t="n"/>
      <c r="AB284" s="198" t="n"/>
      <c r="AC284" s="198" t="n"/>
    </row>
    <row r="285" ht="15" customHeight="1" s="195">
      <c r="A285" s="280" t="n"/>
      <c r="B285" s="280" t="n"/>
      <c r="C285" s="280" t="n"/>
      <c r="D285" s="280" t="n"/>
      <c r="E285" s="280" t="n"/>
      <c r="F285" s="280" t="n"/>
      <c r="G285" s="280" t="n"/>
      <c r="H285" s="280" t="n"/>
      <c r="I285" s="332">
        <f>IFERROR(VLOOKUP(TEXT(H285,"0"),IPRESS!$A$3:$B$212,2,0),"")</f>
        <v/>
      </c>
      <c r="J285" s="280" t="n"/>
      <c r="K285" s="343" t="n"/>
      <c r="L285" s="280" t="n"/>
      <c r="M285" s="280" t="n"/>
      <c r="N285" s="345" t="n"/>
      <c r="O285" s="280" t="n"/>
      <c r="P285" s="332">
        <f>IFERROR(VLOOKUP(TEXT(O285,"0"),CONDUCTORES!$A$3:$G$54,2,0),"")</f>
        <v/>
      </c>
      <c r="Q285" s="332">
        <f>IFERROR(VLOOKUP(TEXT(O285,"0"),CONDUCTORES!$A$3:$H$54,6,0),"")</f>
        <v/>
      </c>
      <c r="R285" s="280" t="n"/>
      <c r="S285" s="280" t="n"/>
      <c r="T285" s="280" t="n"/>
      <c r="U285" s="280" t="n"/>
      <c r="V285" s="280" t="n"/>
      <c r="W285" s="280" t="n"/>
      <c r="X285" s="280" t="n"/>
      <c r="Y285" s="280" t="n"/>
      <c r="Z285" s="350" t="n"/>
      <c r="AA285" s="198" t="n"/>
      <c r="AB285" s="198" t="n"/>
      <c r="AC285" s="198" t="n"/>
    </row>
    <row r="286" ht="15" customHeight="1" s="195">
      <c r="A286" s="280" t="n"/>
      <c r="B286" s="280" t="n"/>
      <c r="C286" s="280" t="n"/>
      <c r="D286" s="280" t="n"/>
      <c r="E286" s="280" t="n"/>
      <c r="F286" s="280" t="n"/>
      <c r="G286" s="280" t="n"/>
      <c r="H286" s="280" t="n"/>
      <c r="I286" s="332">
        <f>IFERROR(VLOOKUP(TEXT(H286,"0"),IPRESS!$A$3:$B$212,2,0),"")</f>
        <v/>
      </c>
      <c r="J286" s="280" t="n"/>
      <c r="K286" s="343" t="n"/>
      <c r="L286" s="280" t="n"/>
      <c r="M286" s="280" t="n"/>
      <c r="N286" s="345" t="n"/>
      <c r="O286" s="280" t="n"/>
      <c r="P286" s="332">
        <f>IFERROR(VLOOKUP(TEXT(O286,"0"),CONDUCTORES!$A$3:$G$54,2,0),"")</f>
        <v/>
      </c>
      <c r="Q286" s="332">
        <f>IFERROR(VLOOKUP(TEXT(O286,"0"),CONDUCTORES!$A$3:$H$54,6,0),"")</f>
        <v/>
      </c>
      <c r="R286" s="280" t="n"/>
      <c r="S286" s="280" t="n"/>
      <c r="T286" s="280" t="n"/>
      <c r="U286" s="280" t="n"/>
      <c r="V286" s="280" t="n"/>
      <c r="W286" s="280" t="n"/>
      <c r="X286" s="280" t="n"/>
      <c r="Y286" s="280" t="n"/>
      <c r="Z286" s="350" t="n"/>
      <c r="AA286" s="198" t="n"/>
      <c r="AB286" s="198" t="n"/>
      <c r="AC286" s="198" t="n"/>
    </row>
    <row r="287" ht="15" customHeight="1" s="195">
      <c r="A287" s="280" t="n"/>
      <c r="B287" s="280" t="n"/>
      <c r="C287" s="280" t="n"/>
      <c r="D287" s="280" t="n"/>
      <c r="E287" s="280" t="n"/>
      <c r="F287" s="280" t="n"/>
      <c r="G287" s="280" t="n"/>
      <c r="H287" s="280" t="n"/>
      <c r="I287" s="332">
        <f>IFERROR(VLOOKUP(TEXT(H287,"0"),IPRESS!$A$3:$B$212,2,0),"")</f>
        <v/>
      </c>
      <c r="J287" s="280" t="n"/>
      <c r="K287" s="343" t="n"/>
      <c r="L287" s="280" t="n"/>
      <c r="M287" s="280" t="n"/>
      <c r="N287" s="345" t="n"/>
      <c r="O287" s="280" t="n"/>
      <c r="P287" s="332">
        <f>IFERROR(VLOOKUP(TEXT(O287,"0"),CONDUCTORES!$A$3:$G$54,2,0),"")</f>
        <v/>
      </c>
      <c r="Q287" s="332">
        <f>IFERROR(VLOOKUP(TEXT(O287,"0"),CONDUCTORES!$A$3:$H$54,6,0),"")</f>
        <v/>
      </c>
      <c r="R287" s="280" t="n"/>
      <c r="S287" s="280" t="n"/>
      <c r="T287" s="280" t="n"/>
      <c r="U287" s="280" t="n"/>
      <c r="V287" s="280" t="n"/>
      <c r="W287" s="280" t="n"/>
      <c r="X287" s="280" t="n"/>
      <c r="Y287" s="280" t="n"/>
      <c r="Z287" s="350" t="n"/>
      <c r="AA287" s="198" t="n"/>
      <c r="AB287" s="198" t="n"/>
      <c r="AC287" s="198" t="n"/>
    </row>
    <row r="288" ht="15" customHeight="1" s="195">
      <c r="A288" s="280" t="n"/>
      <c r="B288" s="280" t="n"/>
      <c r="C288" s="280" t="n"/>
      <c r="D288" s="280" t="n"/>
      <c r="E288" s="280" t="n"/>
      <c r="F288" s="280" t="n"/>
      <c r="G288" s="280" t="n"/>
      <c r="H288" s="280" t="n"/>
      <c r="I288" s="332">
        <f>IFERROR(VLOOKUP(TEXT(H288,"0"),IPRESS!$A$3:$B$212,2,0),"")</f>
        <v/>
      </c>
      <c r="J288" s="280" t="n"/>
      <c r="K288" s="343" t="n"/>
      <c r="L288" s="280" t="n"/>
      <c r="M288" s="280" t="n"/>
      <c r="N288" s="345" t="n"/>
      <c r="O288" s="280" t="n"/>
      <c r="P288" s="332">
        <f>IFERROR(VLOOKUP(TEXT(O288,"0"),CONDUCTORES!$A$3:$G$54,2,0),"")</f>
        <v/>
      </c>
      <c r="Q288" s="332">
        <f>IFERROR(VLOOKUP(TEXT(O288,"0"),CONDUCTORES!$A$3:$H$54,6,0),"")</f>
        <v/>
      </c>
      <c r="R288" s="280" t="n"/>
      <c r="S288" s="280" t="n"/>
      <c r="T288" s="280" t="n"/>
      <c r="U288" s="280" t="n"/>
      <c r="V288" s="280" t="n"/>
      <c r="W288" s="280" t="n"/>
      <c r="X288" s="280" t="n"/>
      <c r="Y288" s="280" t="n"/>
      <c r="Z288" s="350" t="n"/>
      <c r="AA288" s="198" t="n"/>
      <c r="AB288" s="198" t="n"/>
      <c r="AC288" s="198" t="n"/>
    </row>
    <row r="289" ht="15" customHeight="1" s="195">
      <c r="A289" s="280" t="n"/>
      <c r="B289" s="280" t="n"/>
      <c r="C289" s="280" t="n"/>
      <c r="D289" s="280" t="n"/>
      <c r="E289" s="280" t="n"/>
      <c r="F289" s="280" t="n"/>
      <c r="G289" s="280" t="n"/>
      <c r="H289" s="280" t="n"/>
      <c r="I289" s="332">
        <f>IFERROR(VLOOKUP(TEXT(H289,"0"),IPRESS!$A$3:$B$212,2,0),"")</f>
        <v/>
      </c>
      <c r="J289" s="280" t="n"/>
      <c r="K289" s="343" t="n"/>
      <c r="L289" s="280" t="n"/>
      <c r="M289" s="280" t="n"/>
      <c r="N289" s="345" t="n"/>
      <c r="O289" s="280" t="n"/>
      <c r="P289" s="332">
        <f>IFERROR(VLOOKUP(TEXT(O289,"0"),CONDUCTORES!$A$3:$G$54,2,0),"")</f>
        <v/>
      </c>
      <c r="Q289" s="332">
        <f>IFERROR(VLOOKUP(TEXT(O289,"0"),CONDUCTORES!$A$3:$H$54,6,0),"")</f>
        <v/>
      </c>
      <c r="R289" s="280" t="n"/>
      <c r="S289" s="280" t="n"/>
      <c r="T289" s="280" t="n"/>
      <c r="U289" s="280" t="n"/>
      <c r="V289" s="280" t="n"/>
      <c r="W289" s="280" t="n"/>
      <c r="X289" s="280" t="n"/>
      <c r="Y289" s="280" t="n"/>
      <c r="Z289" s="350" t="n"/>
      <c r="AA289" s="198" t="n"/>
      <c r="AB289" s="198" t="n"/>
      <c r="AC289" s="198" t="n"/>
    </row>
    <row r="290" ht="15" customHeight="1" s="195">
      <c r="A290" s="280" t="n"/>
      <c r="B290" s="280" t="n"/>
      <c r="C290" s="280" t="n"/>
      <c r="D290" s="280" t="n"/>
      <c r="E290" s="280" t="n"/>
      <c r="F290" s="280" t="n"/>
      <c r="G290" s="280" t="n"/>
      <c r="H290" s="280" t="n"/>
      <c r="I290" s="332">
        <f>IFERROR(VLOOKUP(TEXT(H290,"0"),IPRESS!$A$3:$B$212,2,0),"")</f>
        <v/>
      </c>
      <c r="J290" s="280" t="n"/>
      <c r="K290" s="343" t="n"/>
      <c r="L290" s="280" t="n"/>
      <c r="M290" s="280" t="n"/>
      <c r="N290" s="345" t="n"/>
      <c r="O290" s="280" t="n"/>
      <c r="P290" s="332">
        <f>IFERROR(VLOOKUP(TEXT(O290,"0"),CONDUCTORES!$A$3:$G$54,2,0),"")</f>
        <v/>
      </c>
      <c r="Q290" s="332">
        <f>IFERROR(VLOOKUP(TEXT(O290,"0"),CONDUCTORES!$A$3:$H$54,6,0),"")</f>
        <v/>
      </c>
      <c r="R290" s="280" t="n"/>
      <c r="S290" s="280" t="n"/>
      <c r="T290" s="280" t="n"/>
      <c r="U290" s="280" t="n"/>
      <c r="V290" s="280" t="n"/>
      <c r="W290" s="280" t="n"/>
      <c r="X290" s="280" t="n"/>
      <c r="Y290" s="280" t="n"/>
      <c r="Z290" s="350" t="n"/>
      <c r="AA290" s="198" t="n"/>
      <c r="AB290" s="198" t="n"/>
      <c r="AC290" s="198" t="n"/>
    </row>
    <row r="291" ht="15" customHeight="1" s="195">
      <c r="A291" s="280" t="n"/>
      <c r="B291" s="280" t="n"/>
      <c r="C291" s="280" t="n"/>
      <c r="D291" s="280" t="n"/>
      <c r="E291" s="280" t="n"/>
      <c r="F291" s="280" t="n"/>
      <c r="G291" s="280" t="n"/>
      <c r="H291" s="280" t="n"/>
      <c r="I291" s="332">
        <f>IFERROR(VLOOKUP(TEXT(H291,"0"),IPRESS!$A$3:$B$212,2,0),"")</f>
        <v/>
      </c>
      <c r="J291" s="280" t="n"/>
      <c r="K291" s="343" t="n"/>
      <c r="L291" s="280" t="n"/>
      <c r="M291" s="280" t="n"/>
      <c r="N291" s="345" t="n"/>
      <c r="O291" s="280" t="n"/>
      <c r="P291" s="332">
        <f>IFERROR(VLOOKUP(TEXT(O291,"0"),CONDUCTORES!$A$3:$G$54,2,0),"")</f>
        <v/>
      </c>
      <c r="Q291" s="332">
        <f>IFERROR(VLOOKUP(TEXT(O291,"0"),CONDUCTORES!$A$3:$H$54,6,0),"")</f>
        <v/>
      </c>
      <c r="R291" s="280" t="n"/>
      <c r="S291" s="280" t="n"/>
      <c r="T291" s="280" t="n"/>
      <c r="U291" s="280" t="n"/>
      <c r="V291" s="280" t="n"/>
      <c r="W291" s="280" t="n"/>
      <c r="X291" s="280" t="n"/>
      <c r="Y291" s="280" t="n"/>
      <c r="Z291" s="350" t="n"/>
      <c r="AA291" s="198" t="n"/>
      <c r="AB291" s="198" t="n"/>
      <c r="AC291" s="198" t="n"/>
    </row>
    <row r="292" ht="15" customHeight="1" s="195">
      <c r="A292" s="280" t="n"/>
      <c r="B292" s="280" t="n"/>
      <c r="C292" s="280" t="n"/>
      <c r="D292" s="280" t="n"/>
      <c r="E292" s="280" t="n"/>
      <c r="F292" s="280" t="n"/>
      <c r="G292" s="280" t="n"/>
      <c r="H292" s="280" t="n"/>
      <c r="I292" s="332">
        <f>IFERROR(VLOOKUP(TEXT(H292,"0"),IPRESS!$A$3:$B$212,2,0),"")</f>
        <v/>
      </c>
      <c r="J292" s="280" t="n"/>
      <c r="K292" s="343" t="n"/>
      <c r="L292" s="280" t="n"/>
      <c r="M292" s="280" t="n"/>
      <c r="N292" s="345" t="n"/>
      <c r="O292" s="280" t="n"/>
      <c r="P292" s="332">
        <f>IFERROR(VLOOKUP(TEXT(O292,"0"),CONDUCTORES!$A$3:$G$54,2,0),"")</f>
        <v/>
      </c>
      <c r="Q292" s="332">
        <f>IFERROR(VLOOKUP(TEXT(O292,"0"),CONDUCTORES!$A$3:$H$54,6,0),"")</f>
        <v/>
      </c>
      <c r="R292" s="280" t="n"/>
      <c r="S292" s="280" t="n"/>
      <c r="T292" s="280" t="n"/>
      <c r="U292" s="280" t="n"/>
      <c r="V292" s="280" t="n"/>
      <c r="W292" s="280" t="n"/>
      <c r="X292" s="280" t="n"/>
      <c r="Y292" s="280" t="n"/>
      <c r="Z292" s="350" t="n"/>
      <c r="AA292" s="198" t="n"/>
      <c r="AB292" s="198" t="n"/>
      <c r="AC292" s="198" t="n"/>
    </row>
    <row r="293" ht="15" customHeight="1" s="195">
      <c r="A293" s="280" t="n"/>
      <c r="B293" s="280" t="n"/>
      <c r="C293" s="280" t="n"/>
      <c r="D293" s="280" t="n"/>
      <c r="E293" s="280" t="n"/>
      <c r="F293" s="280" t="n"/>
      <c r="G293" s="280" t="n"/>
      <c r="H293" s="280" t="n"/>
      <c r="I293" s="332">
        <f>IFERROR(VLOOKUP(TEXT(H293,"0"),IPRESS!$A$3:$B$212,2,0),"")</f>
        <v/>
      </c>
      <c r="J293" s="280" t="n"/>
      <c r="K293" s="343" t="n"/>
      <c r="L293" s="280" t="n"/>
      <c r="M293" s="280" t="n"/>
      <c r="N293" s="345" t="n"/>
      <c r="O293" s="280" t="n"/>
      <c r="P293" s="332">
        <f>IFERROR(VLOOKUP(TEXT(O293,"0"),CONDUCTORES!$A$3:$G$54,2,0),"")</f>
        <v/>
      </c>
      <c r="Q293" s="332">
        <f>IFERROR(VLOOKUP(TEXT(O293,"0"),CONDUCTORES!$A$3:$H$54,6,0),"")</f>
        <v/>
      </c>
      <c r="R293" s="280" t="n"/>
      <c r="S293" s="280" t="n"/>
      <c r="T293" s="280" t="n"/>
      <c r="U293" s="280" t="n"/>
      <c r="V293" s="280" t="n"/>
      <c r="W293" s="280" t="n"/>
      <c r="X293" s="280" t="n"/>
      <c r="Y293" s="280" t="n"/>
      <c r="Z293" s="350" t="n"/>
      <c r="AA293" s="198" t="n"/>
      <c r="AB293" s="198" t="n"/>
      <c r="AC293" s="198" t="n"/>
    </row>
    <row r="294" ht="15" customHeight="1" s="195">
      <c r="A294" s="280" t="n"/>
      <c r="B294" s="280" t="n"/>
      <c r="C294" s="280" t="n"/>
      <c r="D294" s="280" t="n"/>
      <c r="E294" s="280" t="n"/>
      <c r="F294" s="280" t="n"/>
      <c r="G294" s="280" t="n"/>
      <c r="H294" s="280" t="n"/>
      <c r="I294" s="332">
        <f>IFERROR(VLOOKUP(TEXT(H294,"0"),IPRESS!$A$3:$B$212,2,0),"")</f>
        <v/>
      </c>
      <c r="J294" s="280" t="n"/>
      <c r="K294" s="343" t="n"/>
      <c r="L294" s="280" t="n"/>
      <c r="M294" s="280" t="n"/>
      <c r="N294" s="345" t="n"/>
      <c r="O294" s="280" t="n"/>
      <c r="P294" s="332">
        <f>IFERROR(VLOOKUP(TEXT(O294,"0"),CONDUCTORES!$A$3:$G$54,2,0),"")</f>
        <v/>
      </c>
      <c r="Q294" s="332">
        <f>IFERROR(VLOOKUP(TEXT(O294,"0"),CONDUCTORES!$A$3:$H$54,6,0),"")</f>
        <v/>
      </c>
      <c r="R294" s="280" t="n"/>
      <c r="S294" s="280" t="n"/>
      <c r="T294" s="280" t="n"/>
      <c r="U294" s="280" t="n"/>
      <c r="V294" s="280" t="n"/>
      <c r="W294" s="280" t="n"/>
      <c r="X294" s="280" t="n"/>
      <c r="Y294" s="280" t="n"/>
      <c r="Z294" s="350" t="n"/>
      <c r="AA294" s="198" t="n"/>
      <c r="AB294" s="198" t="n"/>
      <c r="AC294" s="198" t="n"/>
    </row>
    <row r="295" ht="15" customHeight="1" s="195">
      <c r="A295" s="280" t="n"/>
      <c r="B295" s="280" t="n"/>
      <c r="C295" s="280" t="n"/>
      <c r="D295" s="280" t="n"/>
      <c r="E295" s="280" t="n"/>
      <c r="F295" s="280" t="n"/>
      <c r="G295" s="280" t="n"/>
      <c r="H295" s="280" t="n"/>
      <c r="I295" s="332">
        <f>IFERROR(VLOOKUP(TEXT(H295,"0"),IPRESS!$A$3:$B$212,2,0),"")</f>
        <v/>
      </c>
      <c r="J295" s="280" t="n"/>
      <c r="K295" s="343" t="n"/>
      <c r="L295" s="280" t="n"/>
      <c r="M295" s="280" t="n"/>
      <c r="N295" s="345" t="n"/>
      <c r="O295" s="280" t="n"/>
      <c r="P295" s="332">
        <f>IFERROR(VLOOKUP(TEXT(O295,"0"),CONDUCTORES!$A$3:$G$54,2,0),"")</f>
        <v/>
      </c>
      <c r="Q295" s="332">
        <f>IFERROR(VLOOKUP(TEXT(O295,"0"),CONDUCTORES!$A$3:$H$54,6,0),"")</f>
        <v/>
      </c>
      <c r="R295" s="280" t="n"/>
      <c r="S295" s="280" t="n"/>
      <c r="T295" s="280" t="n"/>
      <c r="U295" s="280" t="n"/>
      <c r="V295" s="280" t="n"/>
      <c r="W295" s="280" t="n"/>
      <c r="X295" s="280" t="n"/>
      <c r="Y295" s="280" t="n"/>
      <c r="Z295" s="350" t="n"/>
      <c r="AA295" s="198" t="n"/>
      <c r="AB295" s="198" t="n"/>
      <c r="AC295" s="198" t="n"/>
    </row>
    <row r="296" ht="15" customHeight="1" s="195">
      <c r="A296" s="280" t="n"/>
      <c r="B296" s="280" t="n"/>
      <c r="C296" s="280" t="n"/>
      <c r="D296" s="280" t="n"/>
      <c r="E296" s="280" t="n"/>
      <c r="F296" s="280" t="n"/>
      <c r="G296" s="280" t="n"/>
      <c r="H296" s="280" t="n"/>
      <c r="I296" s="332">
        <f>IFERROR(VLOOKUP(TEXT(H296,"0"),IPRESS!$A$3:$B$212,2,0),"")</f>
        <v/>
      </c>
      <c r="J296" s="280" t="n"/>
      <c r="K296" s="343" t="n"/>
      <c r="L296" s="280" t="n"/>
      <c r="M296" s="280" t="n"/>
      <c r="N296" s="345" t="n"/>
      <c r="O296" s="280" t="n"/>
      <c r="P296" s="332">
        <f>IFERROR(VLOOKUP(TEXT(O296,"0"),CONDUCTORES!$A$3:$G$54,2,0),"")</f>
        <v/>
      </c>
      <c r="Q296" s="332">
        <f>IFERROR(VLOOKUP(TEXT(O296,"0"),CONDUCTORES!$A$3:$H$54,6,0),"")</f>
        <v/>
      </c>
      <c r="R296" s="280" t="n"/>
      <c r="S296" s="280" t="n"/>
      <c r="T296" s="280" t="n"/>
      <c r="U296" s="280" t="n"/>
      <c r="V296" s="280" t="n"/>
      <c r="W296" s="280" t="n"/>
      <c r="X296" s="280" t="n"/>
      <c r="Y296" s="280" t="n"/>
      <c r="Z296" s="350" t="n"/>
      <c r="AA296" s="198" t="n"/>
      <c r="AB296" s="198" t="n"/>
      <c r="AC296" s="198" t="n"/>
    </row>
    <row r="297" ht="15" customHeight="1" s="195">
      <c r="A297" s="280" t="n"/>
      <c r="B297" s="280" t="n"/>
      <c r="C297" s="280" t="n"/>
      <c r="D297" s="280" t="n"/>
      <c r="E297" s="280" t="n"/>
      <c r="F297" s="280" t="n"/>
      <c r="G297" s="280" t="n"/>
      <c r="H297" s="280" t="n"/>
      <c r="I297" s="332">
        <f>IFERROR(VLOOKUP(TEXT(H297,"0"),IPRESS!$A$3:$B$212,2,0),"")</f>
        <v/>
      </c>
      <c r="J297" s="280" t="n"/>
      <c r="K297" s="343" t="n"/>
      <c r="L297" s="280" t="n"/>
      <c r="M297" s="280" t="n"/>
      <c r="N297" s="345" t="n"/>
      <c r="O297" s="280" t="n"/>
      <c r="P297" s="332">
        <f>IFERROR(VLOOKUP(TEXT(O297,"0"),CONDUCTORES!$A$3:$G$54,2,0),"")</f>
        <v/>
      </c>
      <c r="Q297" s="332">
        <f>IFERROR(VLOOKUP(TEXT(O297,"0"),CONDUCTORES!$A$3:$H$54,6,0),"")</f>
        <v/>
      </c>
      <c r="R297" s="280" t="n"/>
      <c r="S297" s="280" t="n"/>
      <c r="T297" s="280" t="n"/>
      <c r="U297" s="280" t="n"/>
      <c r="V297" s="280" t="n"/>
      <c r="W297" s="280" t="n"/>
      <c r="X297" s="280" t="n"/>
      <c r="Y297" s="280" t="n"/>
      <c r="Z297" s="350" t="n"/>
      <c r="AA297" s="198" t="n"/>
      <c r="AB297" s="198" t="n"/>
      <c r="AC297" s="198" t="n"/>
    </row>
    <row r="298" ht="15" customHeight="1" s="195">
      <c r="A298" s="280" t="n"/>
      <c r="B298" s="280" t="n"/>
      <c r="C298" s="280" t="n"/>
      <c r="D298" s="280" t="n"/>
      <c r="E298" s="280" t="n"/>
      <c r="F298" s="280" t="n"/>
      <c r="G298" s="280" t="n"/>
      <c r="H298" s="280" t="n"/>
      <c r="I298" s="332">
        <f>IFERROR(VLOOKUP(TEXT(H298,"0"),IPRESS!$A$3:$B$212,2,0),"")</f>
        <v/>
      </c>
      <c r="J298" s="280" t="n"/>
      <c r="K298" s="343" t="n"/>
      <c r="L298" s="280" t="n"/>
      <c r="M298" s="280" t="n"/>
      <c r="N298" s="345" t="n"/>
      <c r="O298" s="280" t="n"/>
      <c r="P298" s="332">
        <f>IFERROR(VLOOKUP(TEXT(O298,"0"),CONDUCTORES!$A$3:$G$54,2,0),"")</f>
        <v/>
      </c>
      <c r="Q298" s="332">
        <f>IFERROR(VLOOKUP(TEXT(O298,"0"),CONDUCTORES!$A$3:$H$54,6,0),"")</f>
        <v/>
      </c>
      <c r="R298" s="280" t="n"/>
      <c r="S298" s="280" t="n"/>
      <c r="T298" s="280" t="n"/>
      <c r="U298" s="280" t="n"/>
      <c r="V298" s="280" t="n"/>
      <c r="W298" s="280" t="n"/>
      <c r="X298" s="280" t="n"/>
      <c r="Y298" s="280" t="n"/>
      <c r="Z298" s="350" t="n"/>
      <c r="AA298" s="198" t="n"/>
      <c r="AB298" s="198" t="n"/>
      <c r="AC298" s="198" t="n"/>
    </row>
    <row r="299" ht="15" customHeight="1" s="195">
      <c r="A299" s="280" t="n"/>
      <c r="B299" s="280" t="n"/>
      <c r="C299" s="280" t="n"/>
      <c r="D299" s="280" t="n"/>
      <c r="E299" s="280" t="n"/>
      <c r="F299" s="280" t="n"/>
      <c r="G299" s="280" t="n"/>
      <c r="H299" s="280" t="n"/>
      <c r="I299" s="332">
        <f>IFERROR(VLOOKUP(TEXT(H299,"0"),IPRESS!$A$3:$B$212,2,0),"")</f>
        <v/>
      </c>
      <c r="J299" s="280" t="n"/>
      <c r="K299" s="343" t="n"/>
      <c r="L299" s="280" t="n"/>
      <c r="M299" s="280" t="n"/>
      <c r="N299" s="345" t="n"/>
      <c r="O299" s="280" t="n"/>
      <c r="P299" s="332">
        <f>IFERROR(VLOOKUP(TEXT(O299,"0"),CONDUCTORES!$A$3:$G$54,2,0),"")</f>
        <v/>
      </c>
      <c r="Q299" s="332">
        <f>IFERROR(VLOOKUP(TEXT(O299,"0"),CONDUCTORES!$A$3:$H$54,6,0),"")</f>
        <v/>
      </c>
      <c r="R299" s="280" t="n"/>
      <c r="S299" s="280" t="n"/>
      <c r="T299" s="280" t="n"/>
      <c r="U299" s="280" t="n"/>
      <c r="V299" s="280" t="n"/>
      <c r="W299" s="280" t="n"/>
      <c r="X299" s="280" t="n"/>
      <c r="Y299" s="280" t="n"/>
      <c r="Z299" s="350" t="n"/>
      <c r="AA299" s="198" t="n"/>
      <c r="AB299" s="198" t="n"/>
      <c r="AC299" s="198" t="n"/>
    </row>
    <row r="300" ht="15" customHeight="1" s="195">
      <c r="A300" s="280" t="n"/>
      <c r="B300" s="280" t="n"/>
      <c r="C300" s="280" t="n"/>
      <c r="D300" s="280" t="n"/>
      <c r="E300" s="280" t="n"/>
      <c r="F300" s="280" t="n"/>
      <c r="G300" s="280" t="n"/>
      <c r="H300" s="280" t="n"/>
      <c r="I300" s="332">
        <f>IFERROR(VLOOKUP(TEXT(H300,"0"),IPRESS!$A$3:$B$212,2,0),"")</f>
        <v/>
      </c>
      <c r="J300" s="280" t="n"/>
      <c r="K300" s="343" t="n"/>
      <c r="L300" s="280" t="n"/>
      <c r="M300" s="280" t="n"/>
      <c r="N300" s="345" t="n"/>
      <c r="O300" s="280" t="n"/>
      <c r="P300" s="332">
        <f>IFERROR(VLOOKUP(TEXT(O300,"0"),CONDUCTORES!$A$3:$G$54,2,0),"")</f>
        <v/>
      </c>
      <c r="Q300" s="332">
        <f>IFERROR(VLOOKUP(TEXT(O300,"0"),CONDUCTORES!$A$3:$H$54,6,0),"")</f>
        <v/>
      </c>
      <c r="R300" s="280" t="n"/>
      <c r="S300" s="280" t="n"/>
      <c r="T300" s="280" t="n"/>
      <c r="U300" s="280" t="n"/>
      <c r="V300" s="280" t="n"/>
      <c r="W300" s="280" t="n"/>
      <c r="X300" s="280" t="n"/>
      <c r="Y300" s="280" t="n"/>
      <c r="Z300" s="350" t="n"/>
      <c r="AA300" s="198" t="n"/>
      <c r="AB300" s="198" t="n"/>
      <c r="AC300" s="198" t="n"/>
    </row>
    <row r="301" ht="15" customHeight="1" s="195">
      <c r="A301" s="280" t="n"/>
      <c r="B301" s="280" t="n"/>
      <c r="C301" s="280" t="n"/>
      <c r="D301" s="280" t="n"/>
      <c r="E301" s="280" t="n"/>
      <c r="F301" s="280" t="n"/>
      <c r="G301" s="280" t="n"/>
      <c r="H301" s="280" t="n"/>
      <c r="I301" s="332">
        <f>IFERROR(VLOOKUP(TEXT(H301,"0"),IPRESS!$A$3:$B$212,2,0),"")</f>
        <v/>
      </c>
      <c r="J301" s="280" t="n"/>
      <c r="K301" s="343" t="n"/>
      <c r="L301" s="280" t="n"/>
      <c r="M301" s="280" t="n"/>
      <c r="N301" s="345" t="n"/>
      <c r="O301" s="280" t="n"/>
      <c r="P301" s="332">
        <f>IFERROR(VLOOKUP(TEXT(O301,"0"),CONDUCTORES!$A$3:$G$54,2,0),"")</f>
        <v/>
      </c>
      <c r="Q301" s="332">
        <f>IFERROR(VLOOKUP(TEXT(O301,"0"),CONDUCTORES!$A$3:$H$54,6,0),"")</f>
        <v/>
      </c>
      <c r="R301" s="280" t="n"/>
      <c r="S301" s="280" t="n"/>
      <c r="T301" s="280" t="n"/>
      <c r="U301" s="280" t="n"/>
      <c r="V301" s="280" t="n"/>
      <c r="W301" s="280" t="n"/>
      <c r="X301" s="280" t="n"/>
      <c r="Y301" s="280" t="n"/>
      <c r="Z301" s="350" t="n"/>
      <c r="AA301" s="198" t="n"/>
      <c r="AB301" s="198" t="n"/>
      <c r="AC301" s="198" t="n"/>
    </row>
    <row r="302" ht="15" customHeight="1" s="195">
      <c r="A302" s="280" t="n"/>
      <c r="B302" s="280" t="n"/>
      <c r="C302" s="280" t="n"/>
      <c r="D302" s="280" t="n"/>
      <c r="E302" s="280" t="n"/>
      <c r="F302" s="280" t="n"/>
      <c r="G302" s="280" t="n"/>
      <c r="H302" s="280" t="n"/>
      <c r="I302" s="332">
        <f>IFERROR(VLOOKUP(TEXT(H302,"0"),IPRESS!$A$3:$B$212,2,0),"")</f>
        <v/>
      </c>
      <c r="J302" s="280" t="n"/>
      <c r="K302" s="343" t="n"/>
      <c r="L302" s="280" t="n"/>
      <c r="M302" s="280" t="n"/>
      <c r="N302" s="345" t="n"/>
      <c r="O302" s="280" t="n"/>
      <c r="P302" s="332">
        <f>IFERROR(VLOOKUP(TEXT(O302,"0"),CONDUCTORES!$A$3:$G$54,2,0),"")</f>
        <v/>
      </c>
      <c r="Q302" s="332">
        <f>IFERROR(VLOOKUP(TEXT(O302,"0"),CONDUCTORES!$A$3:$H$54,6,0),"")</f>
        <v/>
      </c>
      <c r="R302" s="280" t="n"/>
      <c r="S302" s="280" t="n"/>
      <c r="T302" s="280" t="n"/>
      <c r="U302" s="280" t="n"/>
      <c r="V302" s="280" t="n"/>
      <c r="W302" s="280" t="n"/>
      <c r="X302" s="280" t="n"/>
      <c r="Y302" s="280" t="n"/>
      <c r="Z302" s="350" t="n"/>
      <c r="AA302" s="198" t="n"/>
      <c r="AB302" s="198" t="n"/>
      <c r="AC302" s="198" t="n"/>
    </row>
    <row r="303" ht="15" customHeight="1" s="195">
      <c r="A303" s="280" t="n"/>
      <c r="B303" s="280" t="n"/>
      <c r="C303" s="280" t="n"/>
      <c r="D303" s="280" t="n"/>
      <c r="E303" s="280" t="n"/>
      <c r="F303" s="280" t="n"/>
      <c r="G303" s="280" t="n"/>
      <c r="H303" s="280" t="n"/>
      <c r="I303" s="332">
        <f>IFERROR(VLOOKUP(TEXT(H303,"0"),IPRESS!$A$3:$B$212,2,0),"")</f>
        <v/>
      </c>
      <c r="J303" s="280" t="n"/>
      <c r="K303" s="343" t="n"/>
      <c r="L303" s="280" t="n"/>
      <c r="M303" s="280" t="n"/>
      <c r="N303" s="345" t="n"/>
      <c r="O303" s="280" t="n"/>
      <c r="P303" s="332">
        <f>IFERROR(VLOOKUP(TEXT(O303,"0"),CONDUCTORES!$A$3:$G$54,2,0),"")</f>
        <v/>
      </c>
      <c r="Q303" s="332">
        <f>IFERROR(VLOOKUP(TEXT(O303,"0"),CONDUCTORES!$A$3:$H$54,6,0),"")</f>
        <v/>
      </c>
      <c r="R303" s="280" t="n"/>
      <c r="S303" s="280" t="n"/>
      <c r="T303" s="280" t="n"/>
      <c r="U303" s="280" t="n"/>
      <c r="V303" s="280" t="n"/>
      <c r="W303" s="280" t="n"/>
      <c r="X303" s="280" t="n"/>
      <c r="Y303" s="280" t="n"/>
      <c r="Z303" s="350" t="n"/>
      <c r="AA303" s="198" t="n"/>
      <c r="AB303" s="198" t="n"/>
      <c r="AC303" s="198" t="n"/>
    </row>
    <row r="304" ht="15" customHeight="1" s="195">
      <c r="A304" s="280" t="n"/>
      <c r="B304" s="280" t="n"/>
      <c r="C304" s="280" t="n"/>
      <c r="D304" s="280" t="n"/>
      <c r="E304" s="280" t="n"/>
      <c r="F304" s="280" t="n"/>
      <c r="G304" s="280" t="n"/>
      <c r="H304" s="280" t="n"/>
      <c r="I304" s="332">
        <f>IFERROR(VLOOKUP(TEXT(H304,"0"),IPRESS!$A$3:$B$212,2,0),"")</f>
        <v/>
      </c>
      <c r="J304" s="280" t="n"/>
      <c r="K304" s="343" t="n"/>
      <c r="L304" s="280" t="n"/>
      <c r="M304" s="280" t="n"/>
      <c r="N304" s="345" t="n"/>
      <c r="O304" s="280" t="n"/>
      <c r="P304" s="332">
        <f>IFERROR(VLOOKUP(TEXT(O304,"0"),CONDUCTORES!$A$3:$G$54,2,0),"")</f>
        <v/>
      </c>
      <c r="Q304" s="332">
        <f>IFERROR(VLOOKUP(TEXT(O304,"0"),CONDUCTORES!$A$3:$H$54,6,0),"")</f>
        <v/>
      </c>
      <c r="R304" s="280" t="n"/>
      <c r="S304" s="280" t="n"/>
      <c r="T304" s="280" t="n"/>
      <c r="U304" s="280" t="n"/>
      <c r="V304" s="280" t="n"/>
      <c r="W304" s="280" t="n"/>
      <c r="X304" s="280" t="n"/>
      <c r="Y304" s="280" t="n"/>
      <c r="Z304" s="350" t="n"/>
      <c r="AA304" s="198" t="n"/>
      <c r="AB304" s="198" t="n"/>
      <c r="AC304" s="198" t="n"/>
    </row>
    <row r="305" ht="15" customHeight="1" s="195">
      <c r="A305" s="280" t="n"/>
      <c r="B305" s="280" t="n"/>
      <c r="C305" s="280" t="n"/>
      <c r="D305" s="280" t="n"/>
      <c r="E305" s="280" t="n"/>
      <c r="F305" s="280" t="n"/>
      <c r="G305" s="280" t="n"/>
      <c r="H305" s="280" t="n"/>
      <c r="I305" s="332">
        <f>IFERROR(VLOOKUP(TEXT(H305,"0"),IPRESS!$A$3:$B$212,2,0),"")</f>
        <v/>
      </c>
      <c r="J305" s="280" t="n"/>
      <c r="K305" s="343" t="n"/>
      <c r="L305" s="280" t="n"/>
      <c r="M305" s="280" t="n"/>
      <c r="N305" s="345" t="n"/>
      <c r="O305" s="280" t="n"/>
      <c r="P305" s="332">
        <f>IFERROR(VLOOKUP(TEXT(O305,"0"),CONDUCTORES!$A$3:$G$54,2,0),"")</f>
        <v/>
      </c>
      <c r="Q305" s="332">
        <f>IFERROR(VLOOKUP(TEXT(O305,"0"),CONDUCTORES!$A$3:$H$54,6,0),"")</f>
        <v/>
      </c>
      <c r="R305" s="280" t="n"/>
      <c r="S305" s="280" t="n"/>
      <c r="T305" s="280" t="n"/>
      <c r="U305" s="280" t="n"/>
      <c r="V305" s="280" t="n"/>
      <c r="W305" s="280" t="n"/>
      <c r="X305" s="280" t="n"/>
      <c r="Y305" s="280" t="n"/>
      <c r="Z305" s="350" t="n"/>
      <c r="AA305" s="198" t="n"/>
      <c r="AB305" s="198" t="n"/>
      <c r="AC305" s="198" t="n"/>
    </row>
    <row r="306" ht="15" customHeight="1" s="195">
      <c r="A306" s="280" t="n"/>
      <c r="B306" s="280" t="n"/>
      <c r="C306" s="280" t="n"/>
      <c r="D306" s="280" t="n"/>
      <c r="E306" s="280" t="n"/>
      <c r="F306" s="280" t="n"/>
      <c r="G306" s="280" t="n"/>
      <c r="H306" s="280" t="n"/>
      <c r="I306" s="332">
        <f>IFERROR(VLOOKUP(TEXT(H306,"0"),IPRESS!$A$3:$B$212,2,0),"")</f>
        <v/>
      </c>
      <c r="J306" s="280" t="n"/>
      <c r="K306" s="343" t="n"/>
      <c r="L306" s="280" t="n"/>
      <c r="M306" s="280" t="n"/>
      <c r="N306" s="345" t="n"/>
      <c r="O306" s="280" t="n"/>
      <c r="P306" s="332">
        <f>IFERROR(VLOOKUP(TEXT(O306,"0"),CONDUCTORES!$A$3:$G$54,2,0),"")</f>
        <v/>
      </c>
      <c r="Q306" s="332">
        <f>IFERROR(VLOOKUP(TEXT(O306,"0"),CONDUCTORES!$A$3:$H$54,6,0),"")</f>
        <v/>
      </c>
      <c r="R306" s="280" t="n"/>
      <c r="S306" s="280" t="n"/>
      <c r="T306" s="280" t="n"/>
      <c r="U306" s="280" t="n"/>
      <c r="V306" s="280" t="n"/>
      <c r="W306" s="280" t="n"/>
      <c r="X306" s="280" t="n"/>
      <c r="Y306" s="280" t="n"/>
      <c r="Z306" s="350" t="n"/>
      <c r="AA306" s="198" t="n"/>
      <c r="AB306" s="198" t="n"/>
      <c r="AC306" s="198" t="n"/>
    </row>
    <row r="307" ht="15" customHeight="1" s="195">
      <c r="A307" s="280" t="n"/>
      <c r="B307" s="280" t="n"/>
      <c r="C307" s="280" t="n"/>
      <c r="D307" s="280" t="n"/>
      <c r="E307" s="280" t="n"/>
      <c r="F307" s="280" t="n"/>
      <c r="G307" s="280" t="n"/>
      <c r="H307" s="280" t="n"/>
      <c r="I307" s="332">
        <f>IFERROR(VLOOKUP(TEXT(H307,"0"),IPRESS!$A$3:$B$212,2,0),"")</f>
        <v/>
      </c>
      <c r="J307" s="280" t="n"/>
      <c r="K307" s="343" t="n"/>
      <c r="L307" s="280" t="n"/>
      <c r="M307" s="280" t="n"/>
      <c r="N307" s="345" t="n"/>
      <c r="O307" s="280" t="n"/>
      <c r="P307" s="332">
        <f>IFERROR(VLOOKUP(TEXT(O307,"0"),CONDUCTORES!$A$3:$G$54,2,0),"")</f>
        <v/>
      </c>
      <c r="Q307" s="332">
        <f>IFERROR(VLOOKUP(TEXT(O307,"0"),CONDUCTORES!$A$3:$H$54,6,0),"")</f>
        <v/>
      </c>
      <c r="R307" s="280" t="n"/>
      <c r="S307" s="280" t="n"/>
      <c r="T307" s="280" t="n"/>
      <c r="U307" s="280" t="n"/>
      <c r="V307" s="280" t="n"/>
      <c r="W307" s="280" t="n"/>
      <c r="X307" s="280" t="n"/>
      <c r="Y307" s="280" t="n"/>
      <c r="Z307" s="350" t="n"/>
      <c r="AA307" s="198" t="n"/>
      <c r="AB307" s="198" t="n"/>
      <c r="AC307" s="198" t="n"/>
    </row>
    <row r="308" ht="15" customHeight="1" s="195">
      <c r="A308" s="280" t="n"/>
      <c r="B308" s="280" t="n"/>
      <c r="C308" s="280" t="n"/>
      <c r="D308" s="280" t="n"/>
      <c r="E308" s="280" t="n"/>
      <c r="F308" s="280" t="n"/>
      <c r="G308" s="280" t="n"/>
      <c r="H308" s="280" t="n"/>
      <c r="I308" s="332">
        <f>IFERROR(VLOOKUP(TEXT(H308,"0"),IPRESS!$A$3:$B$212,2,0),"")</f>
        <v/>
      </c>
      <c r="J308" s="280" t="n"/>
      <c r="K308" s="343" t="n"/>
      <c r="L308" s="280" t="n"/>
      <c r="M308" s="280" t="n"/>
      <c r="N308" s="345" t="n"/>
      <c r="O308" s="280" t="n"/>
      <c r="P308" s="332">
        <f>IFERROR(VLOOKUP(TEXT(O308,"0"),CONDUCTORES!$A$3:$G$54,2,0),"")</f>
        <v/>
      </c>
      <c r="Q308" s="332">
        <f>IFERROR(VLOOKUP(TEXT(O308,"0"),CONDUCTORES!$A$3:$H$54,6,0),"")</f>
        <v/>
      </c>
      <c r="R308" s="280" t="n"/>
      <c r="S308" s="280" t="n"/>
      <c r="T308" s="280" t="n"/>
      <c r="U308" s="280" t="n"/>
      <c r="V308" s="280" t="n"/>
      <c r="W308" s="280" t="n"/>
      <c r="X308" s="280" t="n"/>
      <c r="Y308" s="280" t="n"/>
      <c r="Z308" s="350" t="n"/>
      <c r="AA308" s="198" t="n"/>
      <c r="AB308" s="198" t="n"/>
      <c r="AC308" s="198" t="n"/>
    </row>
    <row r="309" ht="15" customHeight="1" s="195">
      <c r="A309" s="280" t="n"/>
      <c r="B309" s="280" t="n"/>
      <c r="C309" s="280" t="n"/>
      <c r="D309" s="280" t="n"/>
      <c r="E309" s="280" t="n"/>
      <c r="F309" s="280" t="n"/>
      <c r="G309" s="280" t="n"/>
      <c r="H309" s="280" t="n"/>
      <c r="I309" s="332">
        <f>IFERROR(VLOOKUP(TEXT(H309,"0"),IPRESS!$A$3:$B$212,2,0),"")</f>
        <v/>
      </c>
      <c r="J309" s="280" t="n"/>
      <c r="K309" s="343" t="n"/>
      <c r="L309" s="280" t="n"/>
      <c r="M309" s="280" t="n"/>
      <c r="N309" s="345" t="n"/>
      <c r="O309" s="280" t="n"/>
      <c r="P309" s="332">
        <f>IFERROR(VLOOKUP(TEXT(O309,"0"),CONDUCTORES!$A$3:$G$54,2,0),"")</f>
        <v/>
      </c>
      <c r="Q309" s="332">
        <f>IFERROR(VLOOKUP(TEXT(O309,"0"),CONDUCTORES!$A$3:$H$54,6,0),"")</f>
        <v/>
      </c>
      <c r="R309" s="280" t="n"/>
      <c r="S309" s="280" t="n"/>
      <c r="T309" s="280" t="n"/>
      <c r="U309" s="280" t="n"/>
      <c r="V309" s="280" t="n"/>
      <c r="W309" s="280" t="n"/>
      <c r="X309" s="280" t="n"/>
      <c r="Y309" s="280" t="n"/>
      <c r="Z309" s="350" t="n"/>
      <c r="AA309" s="198" t="n"/>
      <c r="AB309" s="198" t="n"/>
      <c r="AC309" s="198" t="n"/>
    </row>
    <row r="310" ht="15" customHeight="1" s="195">
      <c r="A310" s="280" t="n"/>
      <c r="B310" s="280" t="n"/>
      <c r="C310" s="280" t="n"/>
      <c r="D310" s="280" t="n"/>
      <c r="E310" s="280" t="n"/>
      <c r="F310" s="280" t="n"/>
      <c r="G310" s="280" t="n"/>
      <c r="H310" s="280" t="n"/>
      <c r="I310" s="332">
        <f>IFERROR(VLOOKUP(TEXT(H310,"0"),IPRESS!$A$3:$B$212,2,0),"")</f>
        <v/>
      </c>
      <c r="J310" s="280" t="n"/>
      <c r="K310" s="343" t="n"/>
      <c r="L310" s="280" t="n"/>
      <c r="M310" s="280" t="n"/>
      <c r="N310" s="345" t="n"/>
      <c r="O310" s="280" t="n"/>
      <c r="P310" s="332">
        <f>IFERROR(VLOOKUP(TEXT(O310,"0"),CONDUCTORES!$A$3:$G$54,2,0),"")</f>
        <v/>
      </c>
      <c r="Q310" s="332">
        <f>IFERROR(VLOOKUP(TEXT(O310,"0"),CONDUCTORES!$A$3:$H$54,6,0),"")</f>
        <v/>
      </c>
      <c r="R310" s="280" t="n"/>
      <c r="S310" s="280" t="n"/>
      <c r="T310" s="280" t="n"/>
      <c r="U310" s="280" t="n"/>
      <c r="V310" s="280" t="n"/>
      <c r="W310" s="280" t="n"/>
      <c r="X310" s="280" t="n"/>
      <c r="Y310" s="280" t="n"/>
      <c r="Z310" s="350" t="n"/>
      <c r="AA310" s="198" t="n"/>
      <c r="AB310" s="198" t="n"/>
      <c r="AC310" s="198" t="n"/>
    </row>
    <row r="311" ht="15" customHeight="1" s="195">
      <c r="A311" s="280" t="n"/>
      <c r="B311" s="280" t="n"/>
      <c r="C311" s="280" t="n"/>
      <c r="D311" s="280" t="n"/>
      <c r="E311" s="280" t="n"/>
      <c r="F311" s="280" t="n"/>
      <c r="G311" s="280" t="n"/>
      <c r="H311" s="280" t="n"/>
      <c r="I311" s="332">
        <f>IFERROR(VLOOKUP(TEXT(H311,"0"),IPRESS!$A$3:$B$212,2,0),"")</f>
        <v/>
      </c>
      <c r="J311" s="280" t="n"/>
      <c r="K311" s="343" t="n"/>
      <c r="L311" s="280" t="n"/>
      <c r="M311" s="280" t="n"/>
      <c r="N311" s="345" t="n"/>
      <c r="O311" s="280" t="n"/>
      <c r="P311" s="332">
        <f>IFERROR(VLOOKUP(TEXT(O311,"0"),CONDUCTORES!$A$3:$G$54,2,0),"")</f>
        <v/>
      </c>
      <c r="Q311" s="332">
        <f>IFERROR(VLOOKUP(TEXT(O311,"0"),CONDUCTORES!$A$3:$H$54,6,0),"")</f>
        <v/>
      </c>
      <c r="R311" s="280" t="n"/>
      <c r="S311" s="280" t="n"/>
      <c r="T311" s="280" t="n"/>
      <c r="U311" s="280" t="n"/>
      <c r="V311" s="280" t="n"/>
      <c r="W311" s="280" t="n"/>
      <c r="X311" s="280" t="n"/>
      <c r="Y311" s="280" t="n"/>
      <c r="Z311" s="350" t="n"/>
      <c r="AA311" s="198" t="n"/>
      <c r="AB311" s="198" t="n"/>
      <c r="AC311" s="198" t="n"/>
    </row>
    <row r="312" ht="15" customHeight="1" s="195">
      <c r="A312" s="280" t="n"/>
      <c r="B312" s="280" t="n"/>
      <c r="C312" s="280" t="n"/>
      <c r="D312" s="280" t="n"/>
      <c r="E312" s="280" t="n"/>
      <c r="F312" s="280" t="n"/>
      <c r="G312" s="280" t="n"/>
      <c r="H312" s="280" t="n"/>
      <c r="I312" s="332">
        <f>IFERROR(VLOOKUP(TEXT(H312,"0"),IPRESS!$A$3:$B$212,2,0),"")</f>
        <v/>
      </c>
      <c r="J312" s="280" t="n"/>
      <c r="K312" s="343" t="n"/>
      <c r="L312" s="280" t="n"/>
      <c r="M312" s="280" t="n"/>
      <c r="N312" s="345" t="n"/>
      <c r="O312" s="280" t="n"/>
      <c r="P312" s="332">
        <f>IFERROR(VLOOKUP(TEXT(O312,"0"),CONDUCTORES!$A$3:$G$54,2,0),"")</f>
        <v/>
      </c>
      <c r="Q312" s="332">
        <f>IFERROR(VLOOKUP(TEXT(O312,"0"),CONDUCTORES!$A$3:$H$54,6,0),"")</f>
        <v/>
      </c>
      <c r="R312" s="280" t="n"/>
      <c r="S312" s="280" t="n"/>
      <c r="T312" s="280" t="n"/>
      <c r="U312" s="280" t="n"/>
      <c r="V312" s="280" t="n"/>
      <c r="W312" s="280" t="n"/>
      <c r="X312" s="280" t="n"/>
      <c r="Y312" s="280" t="n"/>
      <c r="Z312" s="350" t="n"/>
      <c r="AA312" s="198" t="n"/>
      <c r="AB312" s="198" t="n"/>
      <c r="AC312" s="198" t="n"/>
    </row>
    <row r="313" ht="15" customHeight="1" s="195">
      <c r="A313" s="280" t="n"/>
      <c r="B313" s="280" t="n"/>
      <c r="C313" s="280" t="n"/>
      <c r="D313" s="280" t="n"/>
      <c r="E313" s="280" t="n"/>
      <c r="F313" s="280" t="n"/>
      <c r="G313" s="280" t="n"/>
      <c r="H313" s="280" t="n"/>
      <c r="I313" s="332">
        <f>IFERROR(VLOOKUP(TEXT(H313,"0"),IPRESS!$A$3:$B$212,2,0),"")</f>
        <v/>
      </c>
      <c r="J313" s="280" t="n"/>
      <c r="K313" s="343" t="n"/>
      <c r="L313" s="280" t="n"/>
      <c r="M313" s="280" t="n"/>
      <c r="N313" s="345" t="n"/>
      <c r="O313" s="280" t="n"/>
      <c r="P313" s="332">
        <f>IFERROR(VLOOKUP(TEXT(O313,"0"),CONDUCTORES!$A$3:$G$54,2,0),"")</f>
        <v/>
      </c>
      <c r="Q313" s="332">
        <f>IFERROR(VLOOKUP(TEXT(O313,"0"),CONDUCTORES!$A$3:$H$54,6,0),"")</f>
        <v/>
      </c>
      <c r="R313" s="280" t="n"/>
      <c r="S313" s="280" t="n"/>
      <c r="T313" s="280" t="n"/>
      <c r="U313" s="280" t="n"/>
      <c r="V313" s="280" t="n"/>
      <c r="W313" s="280" t="n"/>
      <c r="X313" s="280" t="n"/>
      <c r="Y313" s="280" t="n"/>
      <c r="Z313" s="350" t="n"/>
      <c r="AA313" s="198" t="n"/>
      <c r="AB313" s="198" t="n"/>
      <c r="AC313" s="198" t="n"/>
    </row>
    <row r="314" ht="15" customHeight="1" s="195">
      <c r="A314" s="280" t="n"/>
      <c r="B314" s="280" t="n"/>
      <c r="C314" s="280" t="n"/>
      <c r="D314" s="280" t="n"/>
      <c r="E314" s="280" t="n"/>
      <c r="F314" s="280" t="n"/>
      <c r="G314" s="280" t="n"/>
      <c r="H314" s="280" t="n"/>
      <c r="I314" s="332">
        <f>IFERROR(VLOOKUP(TEXT(H314,"0"),IPRESS!$A$3:$B$212,2,0),"")</f>
        <v/>
      </c>
      <c r="J314" s="280" t="n"/>
      <c r="K314" s="343" t="n"/>
      <c r="L314" s="280" t="n"/>
      <c r="M314" s="280" t="n"/>
      <c r="N314" s="345" t="n"/>
      <c r="O314" s="280" t="n"/>
      <c r="P314" s="332">
        <f>IFERROR(VLOOKUP(TEXT(O314,"0"),CONDUCTORES!$A$3:$G$54,2,0),"")</f>
        <v/>
      </c>
      <c r="Q314" s="332">
        <f>IFERROR(VLOOKUP(TEXT(O314,"0"),CONDUCTORES!$A$3:$H$54,6,0),"")</f>
        <v/>
      </c>
      <c r="R314" s="280" t="n"/>
      <c r="S314" s="280" t="n"/>
      <c r="T314" s="280" t="n"/>
      <c r="U314" s="280" t="n"/>
      <c r="V314" s="280" t="n"/>
      <c r="W314" s="280" t="n"/>
      <c r="X314" s="280" t="n"/>
      <c r="Y314" s="280" t="n"/>
      <c r="Z314" s="350" t="n"/>
      <c r="AA314" s="198" t="n"/>
      <c r="AB314" s="198" t="n"/>
      <c r="AC314" s="198" t="n"/>
    </row>
    <row r="315" ht="15" customHeight="1" s="195">
      <c r="A315" s="280" t="n"/>
      <c r="B315" s="280" t="n"/>
      <c r="C315" s="280" t="n"/>
      <c r="D315" s="280" t="n"/>
      <c r="E315" s="280" t="n"/>
      <c r="F315" s="280" t="n"/>
      <c r="G315" s="280" t="n"/>
      <c r="H315" s="280" t="n"/>
      <c r="I315" s="332">
        <f>IFERROR(VLOOKUP(TEXT(H315,"0"),IPRESS!$A$3:$B$212,2,0),"")</f>
        <v/>
      </c>
      <c r="J315" s="280" t="n"/>
      <c r="K315" s="343" t="n"/>
      <c r="L315" s="280" t="n"/>
      <c r="M315" s="280" t="n"/>
      <c r="N315" s="345" t="n"/>
      <c r="O315" s="280" t="n"/>
      <c r="P315" s="332">
        <f>IFERROR(VLOOKUP(TEXT(O315,"0"),CONDUCTORES!$A$3:$G$54,2,0),"")</f>
        <v/>
      </c>
      <c r="Q315" s="332">
        <f>IFERROR(VLOOKUP(TEXT(O315,"0"),CONDUCTORES!$A$3:$H$54,6,0),"")</f>
        <v/>
      </c>
      <c r="R315" s="280" t="n"/>
      <c r="S315" s="280" t="n"/>
      <c r="T315" s="280" t="n"/>
      <c r="U315" s="280" t="n"/>
      <c r="V315" s="280" t="n"/>
      <c r="W315" s="280" t="n"/>
      <c r="X315" s="280" t="n"/>
      <c r="Y315" s="280" t="n"/>
      <c r="Z315" s="350" t="n"/>
      <c r="AA315" s="198" t="n"/>
      <c r="AB315" s="198" t="n"/>
      <c r="AC315" s="198" t="n"/>
    </row>
    <row r="316" ht="15" customHeight="1" s="195">
      <c r="A316" s="280" t="n"/>
      <c r="B316" s="280" t="n"/>
      <c r="C316" s="280" t="n"/>
      <c r="D316" s="280" t="n"/>
      <c r="E316" s="280" t="n"/>
      <c r="F316" s="280" t="n"/>
      <c r="G316" s="280" t="n"/>
      <c r="H316" s="280" t="n"/>
      <c r="I316" s="332">
        <f>IFERROR(VLOOKUP(TEXT(H316,"0"),IPRESS!$A$3:$B$212,2,0),"")</f>
        <v/>
      </c>
      <c r="J316" s="280" t="n"/>
      <c r="K316" s="343" t="n"/>
      <c r="L316" s="280" t="n"/>
      <c r="M316" s="280" t="n"/>
      <c r="N316" s="345" t="n"/>
      <c r="O316" s="280" t="n"/>
      <c r="P316" s="332">
        <f>IFERROR(VLOOKUP(TEXT(O316,"0"),CONDUCTORES!$A$3:$G$54,2,0),"")</f>
        <v/>
      </c>
      <c r="Q316" s="332">
        <f>IFERROR(VLOOKUP(TEXT(O316,"0"),CONDUCTORES!$A$3:$H$54,6,0),"")</f>
        <v/>
      </c>
      <c r="R316" s="280" t="n"/>
      <c r="S316" s="280" t="n"/>
      <c r="T316" s="280" t="n"/>
      <c r="U316" s="280" t="n"/>
      <c r="V316" s="280" t="n"/>
      <c r="W316" s="280" t="n"/>
      <c r="X316" s="280" t="n"/>
      <c r="Y316" s="280" t="n"/>
      <c r="Z316" s="350" t="n"/>
      <c r="AA316" s="198" t="n"/>
      <c r="AB316" s="198" t="n"/>
      <c r="AC316" s="198" t="n"/>
    </row>
    <row r="317" ht="15" customHeight="1" s="195">
      <c r="A317" s="280" t="n"/>
      <c r="B317" s="280" t="n"/>
      <c r="C317" s="280" t="n"/>
      <c r="D317" s="280" t="n"/>
      <c r="E317" s="280" t="n"/>
      <c r="F317" s="280" t="n"/>
      <c r="G317" s="280" t="n"/>
      <c r="H317" s="280" t="n"/>
      <c r="I317" s="332">
        <f>IFERROR(VLOOKUP(TEXT(H317,"0"),IPRESS!$A$3:$B$212,2,0),"")</f>
        <v/>
      </c>
      <c r="J317" s="280" t="n"/>
      <c r="K317" s="343" t="n"/>
      <c r="L317" s="280" t="n"/>
      <c r="M317" s="280" t="n"/>
      <c r="N317" s="345" t="n"/>
      <c r="O317" s="280" t="n"/>
      <c r="P317" s="332">
        <f>IFERROR(VLOOKUP(TEXT(O317,"0"),CONDUCTORES!$A$3:$G$54,2,0),"")</f>
        <v/>
      </c>
      <c r="Q317" s="332">
        <f>IFERROR(VLOOKUP(TEXT(O317,"0"),CONDUCTORES!$A$3:$H$54,6,0),"")</f>
        <v/>
      </c>
      <c r="R317" s="280" t="n"/>
      <c r="S317" s="280" t="n"/>
      <c r="T317" s="280" t="n"/>
      <c r="U317" s="280" t="n"/>
      <c r="V317" s="280" t="n"/>
      <c r="W317" s="280" t="n"/>
      <c r="X317" s="280" t="n"/>
      <c r="Y317" s="280" t="n"/>
      <c r="Z317" s="350" t="n"/>
      <c r="AA317" s="198" t="n"/>
      <c r="AB317" s="198" t="n"/>
      <c r="AC317" s="198" t="n"/>
    </row>
    <row r="318" ht="15" customHeight="1" s="195">
      <c r="A318" s="280" t="n"/>
      <c r="B318" s="280" t="n"/>
      <c r="C318" s="280" t="n"/>
      <c r="D318" s="280" t="n"/>
      <c r="E318" s="280" t="n"/>
      <c r="F318" s="280" t="n"/>
      <c r="G318" s="280" t="n"/>
      <c r="H318" s="280" t="n"/>
      <c r="I318" s="332">
        <f>IFERROR(VLOOKUP(TEXT(H318,"0"),IPRESS!$A$3:$B$212,2,0),"")</f>
        <v/>
      </c>
      <c r="J318" s="280" t="n"/>
      <c r="K318" s="343" t="n"/>
      <c r="L318" s="280" t="n"/>
      <c r="M318" s="280" t="n"/>
      <c r="N318" s="345" t="n"/>
      <c r="O318" s="280" t="n"/>
      <c r="P318" s="332">
        <f>IFERROR(VLOOKUP(TEXT(O318,"0"),CONDUCTORES!$A$3:$G$54,2,0),"")</f>
        <v/>
      </c>
      <c r="Q318" s="332">
        <f>IFERROR(VLOOKUP(TEXT(O318,"0"),CONDUCTORES!$A$3:$H$54,6,0),"")</f>
        <v/>
      </c>
      <c r="R318" s="280" t="n"/>
      <c r="S318" s="280" t="n"/>
      <c r="T318" s="280" t="n"/>
      <c r="U318" s="280" t="n"/>
      <c r="V318" s="280" t="n"/>
      <c r="W318" s="280" t="n"/>
      <c r="X318" s="280" t="n"/>
      <c r="Y318" s="280" t="n"/>
      <c r="Z318" s="350" t="n"/>
      <c r="AA318" s="198" t="n"/>
      <c r="AB318" s="198" t="n"/>
      <c r="AC318" s="198" t="n"/>
    </row>
    <row r="319" ht="15" customHeight="1" s="195">
      <c r="A319" s="280" t="n"/>
      <c r="B319" s="280" t="n"/>
      <c r="C319" s="280" t="n"/>
      <c r="D319" s="280" t="n"/>
      <c r="E319" s="280" t="n"/>
      <c r="F319" s="280" t="n"/>
      <c r="G319" s="280" t="n"/>
      <c r="H319" s="280" t="n"/>
      <c r="I319" s="332">
        <f>IFERROR(VLOOKUP(TEXT(H319,"0"),IPRESS!$A$3:$B$212,2,0),"")</f>
        <v/>
      </c>
      <c r="J319" s="280" t="n"/>
      <c r="K319" s="343" t="n"/>
      <c r="L319" s="280" t="n"/>
      <c r="M319" s="280" t="n"/>
      <c r="N319" s="345" t="n"/>
      <c r="O319" s="280" t="n"/>
      <c r="P319" s="332">
        <f>IFERROR(VLOOKUP(TEXT(O319,"0"),CONDUCTORES!$A$3:$G$54,2,0),"")</f>
        <v/>
      </c>
      <c r="Q319" s="332">
        <f>IFERROR(VLOOKUP(TEXT(O319,"0"),CONDUCTORES!$A$3:$H$54,6,0),"")</f>
        <v/>
      </c>
      <c r="R319" s="280" t="n"/>
      <c r="S319" s="280" t="n"/>
      <c r="T319" s="280" t="n"/>
      <c r="U319" s="280" t="n"/>
      <c r="V319" s="280" t="n"/>
      <c r="W319" s="280" t="n"/>
      <c r="X319" s="280" t="n"/>
      <c r="Y319" s="280" t="n"/>
      <c r="Z319" s="350" t="n"/>
      <c r="AA319" s="198" t="n"/>
      <c r="AB319" s="198" t="n"/>
      <c r="AC319" s="198" t="n"/>
    </row>
    <row r="320" ht="15" customHeight="1" s="195">
      <c r="A320" s="280" t="n"/>
      <c r="B320" s="280" t="n"/>
      <c r="C320" s="280" t="n"/>
      <c r="D320" s="280" t="n"/>
      <c r="E320" s="280" t="n"/>
      <c r="F320" s="280" t="n"/>
      <c r="G320" s="280" t="n"/>
      <c r="H320" s="280" t="n"/>
      <c r="I320" s="332">
        <f>IFERROR(VLOOKUP(TEXT(H320,"0"),IPRESS!$A$3:$B$212,2,0),"")</f>
        <v/>
      </c>
      <c r="J320" s="280" t="n"/>
      <c r="K320" s="343" t="n"/>
      <c r="L320" s="280" t="n"/>
      <c r="M320" s="280" t="n"/>
      <c r="N320" s="345" t="n"/>
      <c r="O320" s="280" t="n"/>
      <c r="P320" s="332">
        <f>IFERROR(VLOOKUP(TEXT(O320,"0"),CONDUCTORES!$A$3:$G$54,2,0),"")</f>
        <v/>
      </c>
      <c r="Q320" s="332">
        <f>IFERROR(VLOOKUP(TEXT(O320,"0"),CONDUCTORES!$A$3:$H$54,6,0),"")</f>
        <v/>
      </c>
      <c r="R320" s="280" t="n"/>
      <c r="S320" s="280" t="n"/>
      <c r="T320" s="280" t="n"/>
      <c r="U320" s="280" t="n"/>
      <c r="V320" s="280" t="n"/>
      <c r="W320" s="280" t="n"/>
      <c r="X320" s="280" t="n"/>
      <c r="Y320" s="280" t="n"/>
      <c r="Z320" s="350" t="n"/>
      <c r="AA320" s="198" t="n"/>
      <c r="AB320" s="198" t="n"/>
      <c r="AC320" s="198" t="n"/>
    </row>
    <row r="321" ht="15" customHeight="1" s="195">
      <c r="A321" s="280" t="n"/>
      <c r="B321" s="280" t="n"/>
      <c r="C321" s="280" t="n"/>
      <c r="D321" s="280" t="n"/>
      <c r="E321" s="280" t="n"/>
      <c r="F321" s="280" t="n"/>
      <c r="G321" s="280" t="n"/>
      <c r="H321" s="280" t="n"/>
      <c r="I321" s="332">
        <f>IFERROR(VLOOKUP(TEXT(H321,"0"),IPRESS!$A$3:$B$212,2,0),"")</f>
        <v/>
      </c>
      <c r="J321" s="280" t="n"/>
      <c r="K321" s="343" t="n"/>
      <c r="L321" s="280" t="n"/>
      <c r="M321" s="280" t="n"/>
      <c r="N321" s="345" t="n"/>
      <c r="O321" s="280" t="n"/>
      <c r="P321" s="332">
        <f>IFERROR(VLOOKUP(TEXT(O321,"0"),CONDUCTORES!$A$3:$G$54,2,0),"")</f>
        <v/>
      </c>
      <c r="Q321" s="332">
        <f>IFERROR(VLOOKUP(TEXT(O321,"0"),CONDUCTORES!$A$3:$H$54,6,0),"")</f>
        <v/>
      </c>
      <c r="R321" s="280" t="n"/>
      <c r="S321" s="280" t="n"/>
      <c r="T321" s="280" t="n"/>
      <c r="U321" s="280" t="n"/>
      <c r="V321" s="280" t="n"/>
      <c r="W321" s="280" t="n"/>
      <c r="X321" s="280" t="n"/>
      <c r="Y321" s="280" t="n"/>
      <c r="Z321" s="350" t="n"/>
      <c r="AA321" s="198" t="n"/>
      <c r="AB321" s="198" t="n"/>
      <c r="AC321" s="198" t="n"/>
    </row>
    <row r="322" ht="15" customHeight="1" s="195">
      <c r="A322" s="280" t="n"/>
      <c r="B322" s="280" t="n"/>
      <c r="C322" s="280" t="n"/>
      <c r="D322" s="280" t="n"/>
      <c r="E322" s="280" t="n"/>
      <c r="F322" s="280" t="n"/>
      <c r="G322" s="280" t="n"/>
      <c r="H322" s="280" t="n"/>
      <c r="I322" s="332">
        <f>IFERROR(VLOOKUP(TEXT(H322,"0"),IPRESS!$A$3:$B$212,2,0),"")</f>
        <v/>
      </c>
      <c r="J322" s="280" t="n"/>
      <c r="K322" s="343" t="n"/>
      <c r="L322" s="280" t="n"/>
      <c r="M322" s="280" t="n"/>
      <c r="N322" s="345" t="n"/>
      <c r="O322" s="280" t="n"/>
      <c r="P322" s="332">
        <f>IFERROR(VLOOKUP(TEXT(O322,"0"),CONDUCTORES!$A$3:$G$54,2,0),"")</f>
        <v/>
      </c>
      <c r="Q322" s="332">
        <f>IFERROR(VLOOKUP(TEXT(O322,"0"),CONDUCTORES!$A$3:$H$54,6,0),"")</f>
        <v/>
      </c>
      <c r="R322" s="280" t="n"/>
      <c r="S322" s="280" t="n"/>
      <c r="T322" s="280" t="n"/>
      <c r="U322" s="280" t="n"/>
      <c r="V322" s="280" t="n"/>
      <c r="W322" s="280" t="n"/>
      <c r="X322" s="280" t="n"/>
      <c r="Y322" s="280" t="n"/>
      <c r="Z322" s="350" t="n"/>
      <c r="AA322" s="198" t="n"/>
      <c r="AB322" s="198" t="n"/>
      <c r="AC322" s="198" t="n"/>
    </row>
    <row r="323" ht="15" customHeight="1" s="195">
      <c r="A323" s="280" t="n"/>
      <c r="B323" s="280" t="n"/>
      <c r="C323" s="280" t="n"/>
      <c r="D323" s="280" t="n"/>
      <c r="E323" s="280" t="n"/>
      <c r="F323" s="280" t="n"/>
      <c r="G323" s="280" t="n"/>
      <c r="H323" s="280" t="n"/>
      <c r="I323" s="332">
        <f>IFERROR(VLOOKUP(TEXT(H323,"0"),IPRESS!$A$3:$B$212,2,0),"")</f>
        <v/>
      </c>
      <c r="J323" s="280" t="n"/>
      <c r="K323" s="343" t="n"/>
      <c r="L323" s="280" t="n"/>
      <c r="M323" s="280" t="n"/>
      <c r="N323" s="345" t="n"/>
      <c r="O323" s="280" t="n"/>
      <c r="P323" s="332">
        <f>IFERROR(VLOOKUP(TEXT(O323,"0"),CONDUCTORES!$A$3:$G$54,2,0),"")</f>
        <v/>
      </c>
      <c r="Q323" s="332">
        <f>IFERROR(VLOOKUP(TEXT(O323,"0"),CONDUCTORES!$A$3:$H$54,6,0),"")</f>
        <v/>
      </c>
      <c r="R323" s="280" t="n"/>
      <c r="S323" s="280" t="n"/>
      <c r="T323" s="280" t="n"/>
      <c r="U323" s="280" t="n"/>
      <c r="V323" s="280" t="n"/>
      <c r="W323" s="280" t="n"/>
      <c r="X323" s="280" t="n"/>
      <c r="Y323" s="280" t="n"/>
      <c r="Z323" s="350" t="n"/>
      <c r="AA323" s="198" t="n"/>
      <c r="AB323" s="198" t="n"/>
      <c r="AC323" s="198" t="n"/>
    </row>
    <row r="324" ht="15" customHeight="1" s="195">
      <c r="A324" s="280" t="n"/>
      <c r="B324" s="280" t="n"/>
      <c r="C324" s="280" t="n"/>
      <c r="D324" s="280" t="n"/>
      <c r="E324" s="280" t="n"/>
      <c r="F324" s="280" t="n"/>
      <c r="G324" s="280" t="n"/>
      <c r="H324" s="280" t="n"/>
      <c r="I324" s="332">
        <f>IFERROR(VLOOKUP(TEXT(H324,"0"),IPRESS!$A$3:$B$212,2,0),"")</f>
        <v/>
      </c>
      <c r="J324" s="280" t="n"/>
      <c r="K324" s="343" t="n"/>
      <c r="L324" s="280" t="n"/>
      <c r="M324" s="280" t="n"/>
      <c r="N324" s="345" t="n"/>
      <c r="O324" s="280" t="n"/>
      <c r="P324" s="332">
        <f>IFERROR(VLOOKUP(TEXT(O324,"0"),CONDUCTORES!$A$3:$G$54,2,0),"")</f>
        <v/>
      </c>
      <c r="Q324" s="332">
        <f>IFERROR(VLOOKUP(TEXT(O324,"0"),CONDUCTORES!$A$3:$H$54,6,0),"")</f>
        <v/>
      </c>
      <c r="R324" s="280" t="n"/>
      <c r="S324" s="280" t="n"/>
      <c r="T324" s="280" t="n"/>
      <c r="U324" s="280" t="n"/>
      <c r="V324" s="280" t="n"/>
      <c r="W324" s="280" t="n"/>
      <c r="X324" s="280" t="n"/>
      <c r="Y324" s="280" t="n"/>
      <c r="Z324" s="350" t="n"/>
      <c r="AA324" s="198" t="n"/>
      <c r="AB324" s="198" t="n"/>
      <c r="AC324" s="198" t="n"/>
    </row>
    <row r="325" ht="15" customHeight="1" s="195">
      <c r="A325" s="280" t="n"/>
      <c r="B325" s="280" t="n"/>
      <c r="C325" s="280" t="n"/>
      <c r="D325" s="280" t="n"/>
      <c r="E325" s="280" t="n"/>
      <c r="F325" s="280" t="n"/>
      <c r="G325" s="280" t="n"/>
      <c r="H325" s="280" t="n"/>
      <c r="I325" s="332">
        <f>IFERROR(VLOOKUP(TEXT(H325,"0"),IPRESS!$A$3:$B$212,2,0),"")</f>
        <v/>
      </c>
      <c r="J325" s="280" t="n"/>
      <c r="K325" s="343" t="n"/>
      <c r="L325" s="280" t="n"/>
      <c r="M325" s="280" t="n"/>
      <c r="N325" s="345" t="n"/>
      <c r="O325" s="280" t="n"/>
      <c r="P325" s="332">
        <f>IFERROR(VLOOKUP(TEXT(O325,"0"),CONDUCTORES!$A$3:$G$54,2,0),"")</f>
        <v/>
      </c>
      <c r="Q325" s="332">
        <f>IFERROR(VLOOKUP(TEXT(O325,"0"),CONDUCTORES!$A$3:$H$54,6,0),"")</f>
        <v/>
      </c>
      <c r="R325" s="280" t="n"/>
      <c r="S325" s="280" t="n"/>
      <c r="T325" s="280" t="n"/>
      <c r="U325" s="280" t="n"/>
      <c r="V325" s="280" t="n"/>
      <c r="W325" s="280" t="n"/>
      <c r="X325" s="280" t="n"/>
      <c r="Y325" s="280" t="n"/>
      <c r="Z325" s="350" t="n"/>
      <c r="AA325" s="198" t="n"/>
      <c r="AB325" s="198" t="n"/>
      <c r="AC325" s="198" t="n"/>
    </row>
    <row r="326" ht="15" customHeight="1" s="195">
      <c r="A326" s="280" t="n"/>
      <c r="B326" s="280" t="n"/>
      <c r="C326" s="280" t="n"/>
      <c r="D326" s="280" t="n"/>
      <c r="E326" s="280" t="n"/>
      <c r="F326" s="280" t="n"/>
      <c r="G326" s="280" t="n"/>
      <c r="H326" s="280" t="n"/>
      <c r="I326" s="332">
        <f>IFERROR(VLOOKUP(TEXT(H326,"0"),IPRESS!$A$3:$B$212,2,0),"")</f>
        <v/>
      </c>
      <c r="J326" s="280" t="n"/>
      <c r="K326" s="343" t="n"/>
      <c r="L326" s="280" t="n"/>
      <c r="M326" s="280" t="n"/>
      <c r="N326" s="345" t="n"/>
      <c r="O326" s="280" t="n"/>
      <c r="P326" s="332">
        <f>IFERROR(VLOOKUP(TEXT(O326,"0"),CONDUCTORES!$A$3:$G$54,2,0),"")</f>
        <v/>
      </c>
      <c r="Q326" s="332">
        <f>IFERROR(VLOOKUP(TEXT(O326,"0"),CONDUCTORES!$A$3:$H$54,6,0),"")</f>
        <v/>
      </c>
      <c r="R326" s="280" t="n"/>
      <c r="S326" s="280" t="n"/>
      <c r="T326" s="280" t="n"/>
      <c r="U326" s="280" t="n"/>
      <c r="V326" s="280" t="n"/>
      <c r="W326" s="280" t="n"/>
      <c r="X326" s="280" t="n"/>
      <c r="Y326" s="280" t="n"/>
      <c r="Z326" s="350" t="n"/>
      <c r="AA326" s="198" t="n"/>
      <c r="AB326" s="198" t="n"/>
      <c r="AC326" s="198" t="n"/>
    </row>
    <row r="327" ht="15" customHeight="1" s="195">
      <c r="A327" s="280" t="n"/>
      <c r="B327" s="280" t="n"/>
      <c r="C327" s="280" t="n"/>
      <c r="D327" s="280" t="n"/>
      <c r="E327" s="280" t="n"/>
      <c r="F327" s="280" t="n"/>
      <c r="G327" s="280" t="n"/>
      <c r="H327" s="280" t="n"/>
      <c r="I327" s="332">
        <f>IFERROR(VLOOKUP(TEXT(H327,"0"),IPRESS!$A$3:$B$212,2,0),"")</f>
        <v/>
      </c>
      <c r="J327" s="280" t="n"/>
      <c r="K327" s="343" t="n"/>
      <c r="L327" s="280" t="n"/>
      <c r="M327" s="280" t="n"/>
      <c r="N327" s="345" t="n"/>
      <c r="O327" s="280" t="n"/>
      <c r="P327" s="332">
        <f>IFERROR(VLOOKUP(TEXT(O327,"0"),CONDUCTORES!$A$3:$G$54,2,0),"")</f>
        <v/>
      </c>
      <c r="Q327" s="332">
        <f>IFERROR(VLOOKUP(TEXT(O327,"0"),CONDUCTORES!$A$3:$H$54,6,0),"")</f>
        <v/>
      </c>
      <c r="R327" s="280" t="n"/>
      <c r="S327" s="280" t="n"/>
      <c r="T327" s="280" t="n"/>
      <c r="U327" s="280" t="n"/>
      <c r="V327" s="280" t="n"/>
      <c r="W327" s="280" t="n"/>
      <c r="X327" s="280" t="n"/>
      <c r="Y327" s="280" t="n"/>
      <c r="Z327" s="350" t="n"/>
      <c r="AA327" s="198" t="n"/>
      <c r="AB327" s="198" t="n"/>
      <c r="AC327" s="198" t="n"/>
    </row>
    <row r="328" ht="15" customHeight="1" s="195">
      <c r="A328" s="280" t="n"/>
      <c r="B328" s="280" t="n"/>
      <c r="C328" s="280" t="n"/>
      <c r="D328" s="280" t="n"/>
      <c r="E328" s="280" t="n"/>
      <c r="F328" s="280" t="n"/>
      <c r="G328" s="280" t="n"/>
      <c r="H328" s="280" t="n"/>
      <c r="I328" s="332">
        <f>IFERROR(VLOOKUP(TEXT(H328,"0"),IPRESS!$A$3:$B$212,2,0),"")</f>
        <v/>
      </c>
      <c r="J328" s="280" t="n"/>
      <c r="K328" s="343" t="n"/>
      <c r="L328" s="280" t="n"/>
      <c r="M328" s="280" t="n"/>
      <c r="N328" s="345" t="n"/>
      <c r="O328" s="280" t="n"/>
      <c r="P328" s="332">
        <f>IFERROR(VLOOKUP(TEXT(O328,"0"),CONDUCTORES!$A$3:$G$54,2,0),"")</f>
        <v/>
      </c>
      <c r="Q328" s="332">
        <f>IFERROR(VLOOKUP(TEXT(O328,"0"),CONDUCTORES!$A$3:$H$54,6,0),"")</f>
        <v/>
      </c>
      <c r="R328" s="280" t="n"/>
      <c r="S328" s="280" t="n"/>
      <c r="T328" s="280" t="n"/>
      <c r="U328" s="280" t="n"/>
      <c r="V328" s="280" t="n"/>
      <c r="W328" s="280" t="n"/>
      <c r="X328" s="280" t="n"/>
      <c r="Y328" s="280" t="n"/>
      <c r="Z328" s="350" t="n"/>
      <c r="AA328" s="198" t="n"/>
      <c r="AB328" s="198" t="n"/>
      <c r="AC328" s="198" t="n"/>
    </row>
    <row r="329" ht="15" customHeight="1" s="195">
      <c r="A329" s="280" t="n"/>
      <c r="B329" s="280" t="n"/>
      <c r="C329" s="280" t="n"/>
      <c r="D329" s="280" t="n"/>
      <c r="E329" s="280" t="n"/>
      <c r="F329" s="280" t="n"/>
      <c r="G329" s="280" t="n"/>
      <c r="H329" s="280" t="n"/>
      <c r="I329" s="332">
        <f>IFERROR(VLOOKUP(TEXT(H329,"0"),IPRESS!$A$3:$B$212,2,0),"")</f>
        <v/>
      </c>
      <c r="J329" s="280" t="n"/>
      <c r="K329" s="343" t="n"/>
      <c r="L329" s="280" t="n"/>
      <c r="M329" s="280" t="n"/>
      <c r="N329" s="345" t="n"/>
      <c r="O329" s="280" t="n"/>
      <c r="P329" s="332">
        <f>IFERROR(VLOOKUP(TEXT(O329,"0"),CONDUCTORES!$A$3:$G$54,2,0),"")</f>
        <v/>
      </c>
      <c r="Q329" s="332">
        <f>IFERROR(VLOOKUP(TEXT(O329,"0"),CONDUCTORES!$A$3:$H$54,6,0),"")</f>
        <v/>
      </c>
      <c r="R329" s="280" t="n"/>
      <c r="S329" s="280" t="n"/>
      <c r="T329" s="280" t="n"/>
      <c r="U329" s="280" t="n"/>
      <c r="V329" s="280" t="n"/>
      <c r="W329" s="280" t="n"/>
      <c r="X329" s="280" t="n"/>
      <c r="Y329" s="280" t="n"/>
      <c r="Z329" s="350" t="n"/>
      <c r="AA329" s="198" t="n"/>
      <c r="AB329" s="198" t="n"/>
      <c r="AC329" s="198" t="n"/>
    </row>
    <row r="330" ht="15" customHeight="1" s="195">
      <c r="A330" s="280" t="n"/>
      <c r="B330" s="280" t="n"/>
      <c r="C330" s="280" t="n"/>
      <c r="D330" s="280" t="n"/>
      <c r="E330" s="280" t="n"/>
      <c r="F330" s="280" t="n"/>
      <c r="G330" s="280" t="n"/>
      <c r="H330" s="280" t="n"/>
      <c r="I330" s="332">
        <f>IFERROR(VLOOKUP(TEXT(H330,"0"),IPRESS!$A$3:$B$212,2,0),"")</f>
        <v/>
      </c>
      <c r="J330" s="280" t="n"/>
      <c r="K330" s="343" t="n"/>
      <c r="L330" s="280" t="n"/>
      <c r="M330" s="280" t="n"/>
      <c r="N330" s="345" t="n"/>
      <c r="O330" s="280" t="n"/>
      <c r="P330" s="332">
        <f>IFERROR(VLOOKUP(TEXT(O330,"0"),CONDUCTORES!$A$3:$G$54,2,0),"")</f>
        <v/>
      </c>
      <c r="Q330" s="332">
        <f>IFERROR(VLOOKUP(TEXT(O330,"0"),CONDUCTORES!$A$3:$H$54,6,0),"")</f>
        <v/>
      </c>
      <c r="R330" s="280" t="n"/>
      <c r="S330" s="280" t="n"/>
      <c r="T330" s="280" t="n"/>
      <c r="U330" s="280" t="n"/>
      <c r="V330" s="280" t="n"/>
      <c r="W330" s="280" t="n"/>
      <c r="X330" s="280" t="n"/>
      <c r="Y330" s="280" t="n"/>
      <c r="Z330" s="350" t="n"/>
      <c r="AA330" s="198" t="n"/>
      <c r="AB330" s="198" t="n"/>
      <c r="AC330" s="198" t="n"/>
    </row>
    <row r="331" ht="15" customHeight="1" s="195">
      <c r="A331" s="280" t="n"/>
      <c r="B331" s="280" t="n"/>
      <c r="C331" s="280" t="n"/>
      <c r="D331" s="280" t="n"/>
      <c r="E331" s="280" t="n"/>
      <c r="F331" s="280" t="n"/>
      <c r="G331" s="280" t="n"/>
      <c r="H331" s="280" t="n"/>
      <c r="I331" s="332">
        <f>IFERROR(VLOOKUP(TEXT(H331,"0"),IPRESS!$A$3:$B$212,2,0),"")</f>
        <v/>
      </c>
      <c r="J331" s="280" t="n"/>
      <c r="K331" s="343" t="n"/>
      <c r="L331" s="280" t="n"/>
      <c r="M331" s="280" t="n"/>
      <c r="N331" s="345" t="n"/>
      <c r="O331" s="280" t="n"/>
      <c r="P331" s="332">
        <f>IFERROR(VLOOKUP(TEXT(O331,"0"),CONDUCTORES!$A$3:$G$54,2,0),"")</f>
        <v/>
      </c>
      <c r="Q331" s="332">
        <f>IFERROR(VLOOKUP(TEXT(O331,"0"),CONDUCTORES!$A$3:$H$54,6,0),"")</f>
        <v/>
      </c>
      <c r="R331" s="280" t="n"/>
      <c r="S331" s="280" t="n"/>
      <c r="T331" s="280" t="n"/>
      <c r="U331" s="280" t="n"/>
      <c r="V331" s="280" t="n"/>
      <c r="W331" s="280" t="n"/>
      <c r="X331" s="280" t="n"/>
      <c r="Y331" s="280" t="n"/>
      <c r="Z331" s="350" t="n"/>
      <c r="AA331" s="198" t="n"/>
      <c r="AB331" s="198" t="n"/>
      <c r="AC331" s="198" t="n"/>
    </row>
    <row r="332" ht="15" customHeight="1" s="195">
      <c r="A332" s="280" t="n"/>
      <c r="B332" s="280" t="n"/>
      <c r="C332" s="280" t="n"/>
      <c r="D332" s="280" t="n"/>
      <c r="E332" s="280" t="n"/>
      <c r="F332" s="280" t="n"/>
      <c r="G332" s="280" t="n"/>
      <c r="H332" s="280" t="n"/>
      <c r="I332" s="332">
        <f>IFERROR(VLOOKUP(TEXT(H332,"0"),IPRESS!$A$3:$B$212,2,0),"")</f>
        <v/>
      </c>
      <c r="J332" s="280" t="n"/>
      <c r="K332" s="343" t="n"/>
      <c r="L332" s="280" t="n"/>
      <c r="M332" s="280" t="n"/>
      <c r="N332" s="345" t="n"/>
      <c r="O332" s="280" t="n"/>
      <c r="P332" s="332">
        <f>IFERROR(VLOOKUP(TEXT(O332,"0"),CONDUCTORES!$A$3:$G$54,2,0),"")</f>
        <v/>
      </c>
      <c r="Q332" s="332">
        <f>IFERROR(VLOOKUP(TEXT(O332,"0"),CONDUCTORES!$A$3:$H$54,6,0),"")</f>
        <v/>
      </c>
      <c r="R332" s="280" t="n"/>
      <c r="S332" s="280" t="n"/>
      <c r="T332" s="280" t="n"/>
      <c r="U332" s="280" t="n"/>
      <c r="V332" s="280" t="n"/>
      <c r="W332" s="280" t="n"/>
      <c r="X332" s="280" t="n"/>
      <c r="Y332" s="280" t="n"/>
      <c r="Z332" s="350" t="n"/>
      <c r="AA332" s="198" t="n"/>
      <c r="AB332" s="198" t="n"/>
      <c r="AC332" s="198" t="n"/>
    </row>
    <row r="333" ht="15" customHeight="1" s="195">
      <c r="A333" s="280" t="n"/>
      <c r="B333" s="280" t="n"/>
      <c r="C333" s="280" t="n"/>
      <c r="D333" s="280" t="n"/>
      <c r="E333" s="280" t="n"/>
      <c r="F333" s="280" t="n"/>
      <c r="G333" s="280" t="n"/>
      <c r="H333" s="280" t="n"/>
      <c r="I333" s="332">
        <f>IFERROR(VLOOKUP(TEXT(H333,"0"),IPRESS!$A$3:$B$212,2,0),"")</f>
        <v/>
      </c>
      <c r="J333" s="280" t="n"/>
      <c r="K333" s="343" t="n"/>
      <c r="L333" s="280" t="n"/>
      <c r="M333" s="280" t="n"/>
      <c r="N333" s="345" t="n"/>
      <c r="O333" s="280" t="n"/>
      <c r="P333" s="332">
        <f>IFERROR(VLOOKUP(TEXT(O333,"0"),CONDUCTORES!$A$3:$G$54,2,0),"")</f>
        <v/>
      </c>
      <c r="Q333" s="332">
        <f>IFERROR(VLOOKUP(TEXT(O333,"0"),CONDUCTORES!$A$3:$H$54,6,0),"")</f>
        <v/>
      </c>
      <c r="R333" s="280" t="n"/>
      <c r="S333" s="280" t="n"/>
      <c r="T333" s="280" t="n"/>
      <c r="U333" s="280" t="n"/>
      <c r="V333" s="280" t="n"/>
      <c r="W333" s="280" t="n"/>
      <c r="X333" s="280" t="n"/>
      <c r="Y333" s="280" t="n"/>
      <c r="Z333" s="350" t="n"/>
      <c r="AA333" s="198" t="n"/>
      <c r="AB333" s="198" t="n"/>
      <c r="AC333" s="198" t="n"/>
    </row>
    <row r="334" ht="15" customHeight="1" s="195">
      <c r="A334" s="280" t="n"/>
      <c r="B334" s="280" t="n"/>
      <c r="C334" s="280" t="n"/>
      <c r="D334" s="280" t="n"/>
      <c r="E334" s="280" t="n"/>
      <c r="F334" s="280" t="n"/>
      <c r="G334" s="280" t="n"/>
      <c r="H334" s="280" t="n"/>
      <c r="I334" s="332">
        <f>IFERROR(VLOOKUP(TEXT(H334,"0"),IPRESS!$A$3:$B$212,2,0),"")</f>
        <v/>
      </c>
      <c r="J334" s="280" t="n"/>
      <c r="K334" s="343" t="n"/>
      <c r="L334" s="280" t="n"/>
      <c r="M334" s="280" t="n"/>
      <c r="N334" s="345" t="n"/>
      <c r="O334" s="280" t="n"/>
      <c r="P334" s="332">
        <f>IFERROR(VLOOKUP(TEXT(O334,"0"),CONDUCTORES!$A$3:$G$54,2,0),"")</f>
        <v/>
      </c>
      <c r="Q334" s="332">
        <f>IFERROR(VLOOKUP(TEXT(O334,"0"),CONDUCTORES!$A$3:$H$54,6,0),"")</f>
        <v/>
      </c>
      <c r="R334" s="280" t="n"/>
      <c r="S334" s="280" t="n"/>
      <c r="T334" s="280" t="n"/>
      <c r="U334" s="280" t="n"/>
      <c r="V334" s="280" t="n"/>
      <c r="W334" s="280" t="n"/>
      <c r="X334" s="280" t="n"/>
      <c r="Y334" s="280" t="n"/>
      <c r="Z334" s="350" t="n"/>
      <c r="AA334" s="198" t="n"/>
      <c r="AB334" s="198" t="n"/>
      <c r="AC334" s="198" t="n"/>
    </row>
    <row r="335" ht="15" customHeight="1" s="195">
      <c r="A335" s="280" t="n"/>
      <c r="B335" s="280" t="n"/>
      <c r="C335" s="280" t="n"/>
      <c r="D335" s="280" t="n"/>
      <c r="E335" s="280" t="n"/>
      <c r="F335" s="280" t="n"/>
      <c r="G335" s="280" t="n"/>
      <c r="H335" s="280" t="n"/>
      <c r="I335" s="332">
        <f>IFERROR(VLOOKUP(TEXT(H335,"0"),IPRESS!$A$3:$B$212,2,0),"")</f>
        <v/>
      </c>
      <c r="J335" s="280" t="n"/>
      <c r="K335" s="343" t="n"/>
      <c r="L335" s="280" t="n"/>
      <c r="M335" s="280" t="n"/>
      <c r="N335" s="345" t="n"/>
      <c r="O335" s="280" t="n"/>
      <c r="P335" s="332">
        <f>IFERROR(VLOOKUP(TEXT(O335,"0"),CONDUCTORES!$A$3:$G$54,2,0),"")</f>
        <v/>
      </c>
      <c r="Q335" s="332">
        <f>IFERROR(VLOOKUP(TEXT(O335,"0"),CONDUCTORES!$A$3:$H$54,6,0),"")</f>
        <v/>
      </c>
      <c r="R335" s="280" t="n"/>
      <c r="S335" s="280" t="n"/>
      <c r="T335" s="280" t="n"/>
      <c r="U335" s="280" t="n"/>
      <c r="V335" s="280" t="n"/>
      <c r="W335" s="280" t="n"/>
      <c r="X335" s="280" t="n"/>
      <c r="Y335" s="280" t="n"/>
      <c r="Z335" s="350" t="n"/>
      <c r="AA335" s="198" t="n"/>
      <c r="AB335" s="198" t="n"/>
      <c r="AC335" s="198" t="n"/>
    </row>
    <row r="336" ht="15" customHeight="1" s="195">
      <c r="A336" s="280" t="n"/>
      <c r="B336" s="280" t="n"/>
      <c r="C336" s="280" t="n"/>
      <c r="D336" s="280" t="n"/>
      <c r="E336" s="280" t="n"/>
      <c r="F336" s="280" t="n"/>
      <c r="G336" s="280" t="n"/>
      <c r="H336" s="280" t="n"/>
      <c r="I336" s="332">
        <f>IFERROR(VLOOKUP(TEXT(H336,"0"),IPRESS!$A$3:$B$212,2,0),"")</f>
        <v/>
      </c>
      <c r="J336" s="280" t="n"/>
      <c r="K336" s="343" t="n"/>
      <c r="L336" s="280" t="n"/>
      <c r="M336" s="280" t="n"/>
      <c r="N336" s="345" t="n"/>
      <c r="O336" s="280" t="n"/>
      <c r="P336" s="332">
        <f>IFERROR(VLOOKUP(TEXT(O336,"0"),CONDUCTORES!$A$3:$G$54,2,0),"")</f>
        <v/>
      </c>
      <c r="Q336" s="332">
        <f>IFERROR(VLOOKUP(TEXT(O336,"0"),CONDUCTORES!$A$3:$H$54,6,0),"")</f>
        <v/>
      </c>
      <c r="R336" s="280" t="n"/>
      <c r="S336" s="280" t="n"/>
      <c r="T336" s="280" t="n"/>
      <c r="U336" s="280" t="n"/>
      <c r="V336" s="280" t="n"/>
      <c r="W336" s="280" t="n"/>
      <c r="X336" s="280" t="n"/>
      <c r="Y336" s="280" t="n"/>
      <c r="Z336" s="350" t="n"/>
      <c r="AA336" s="198" t="n"/>
      <c r="AB336" s="198" t="n"/>
      <c r="AC336" s="198" t="n"/>
    </row>
    <row r="337" ht="15" customHeight="1" s="195">
      <c r="A337" s="280" t="n"/>
      <c r="B337" s="280" t="n"/>
      <c r="C337" s="280" t="n"/>
      <c r="D337" s="280" t="n"/>
      <c r="E337" s="280" t="n"/>
      <c r="F337" s="280" t="n"/>
      <c r="G337" s="280" t="n"/>
      <c r="H337" s="280" t="n"/>
      <c r="I337" s="332">
        <f>IFERROR(VLOOKUP(TEXT(H337,"0"),IPRESS!$A$3:$B$212,2,0),"")</f>
        <v/>
      </c>
      <c r="J337" s="280" t="n"/>
      <c r="K337" s="343" t="n"/>
      <c r="L337" s="280" t="n"/>
      <c r="M337" s="280" t="n"/>
      <c r="N337" s="345" t="n"/>
      <c r="O337" s="280" t="n"/>
      <c r="P337" s="332">
        <f>IFERROR(VLOOKUP(TEXT(O337,"0"),CONDUCTORES!$A$3:$G$54,2,0),"")</f>
        <v/>
      </c>
      <c r="Q337" s="332">
        <f>IFERROR(VLOOKUP(TEXT(O337,"0"),CONDUCTORES!$A$3:$H$54,6,0),"")</f>
        <v/>
      </c>
      <c r="R337" s="280" t="n"/>
      <c r="S337" s="280" t="n"/>
      <c r="T337" s="280" t="n"/>
      <c r="U337" s="280" t="n"/>
      <c r="V337" s="280" t="n"/>
      <c r="W337" s="280" t="n"/>
      <c r="X337" s="280" t="n"/>
      <c r="Y337" s="280" t="n"/>
      <c r="Z337" s="350" t="n"/>
      <c r="AA337" s="198" t="n"/>
      <c r="AB337" s="198" t="n"/>
      <c r="AC337" s="198" t="n"/>
    </row>
    <row r="338" ht="15" customHeight="1" s="195">
      <c r="A338" s="280" t="n"/>
      <c r="B338" s="280" t="n"/>
      <c r="C338" s="280" t="n"/>
      <c r="D338" s="280" t="n"/>
      <c r="E338" s="280" t="n"/>
      <c r="F338" s="280" t="n"/>
      <c r="G338" s="280" t="n"/>
      <c r="H338" s="280" t="n"/>
      <c r="I338" s="332">
        <f>IFERROR(VLOOKUP(TEXT(H338,"0"),IPRESS!$A$3:$B$212,2,0),"")</f>
        <v/>
      </c>
      <c r="J338" s="280" t="n"/>
      <c r="K338" s="343" t="n"/>
      <c r="L338" s="280" t="n"/>
      <c r="M338" s="280" t="n"/>
      <c r="N338" s="345" t="n"/>
      <c r="O338" s="280" t="n"/>
      <c r="P338" s="332">
        <f>IFERROR(VLOOKUP(TEXT(O338,"0"),CONDUCTORES!$A$3:$G$54,2,0),"")</f>
        <v/>
      </c>
      <c r="Q338" s="332">
        <f>IFERROR(VLOOKUP(TEXT(O338,"0"),CONDUCTORES!$A$3:$H$54,6,0),"")</f>
        <v/>
      </c>
      <c r="R338" s="280" t="n"/>
      <c r="S338" s="280" t="n"/>
      <c r="T338" s="280" t="n"/>
      <c r="U338" s="280" t="n"/>
      <c r="V338" s="280" t="n"/>
      <c r="W338" s="280" t="n"/>
      <c r="X338" s="280" t="n"/>
      <c r="Y338" s="280" t="n"/>
      <c r="Z338" s="350" t="n"/>
      <c r="AA338" s="198" t="n"/>
      <c r="AB338" s="198" t="n"/>
      <c r="AC338" s="198" t="n"/>
    </row>
    <row r="339" ht="15" customHeight="1" s="195">
      <c r="A339" s="280" t="n"/>
      <c r="B339" s="280" t="n"/>
      <c r="C339" s="280" t="n"/>
      <c r="D339" s="280" t="n"/>
      <c r="E339" s="280" t="n"/>
      <c r="F339" s="280" t="n"/>
      <c r="G339" s="280" t="n"/>
      <c r="H339" s="280" t="n"/>
      <c r="I339" s="332">
        <f>IFERROR(VLOOKUP(TEXT(H339,"0"),IPRESS!$A$3:$B$212,2,0),"")</f>
        <v/>
      </c>
      <c r="J339" s="280" t="n"/>
      <c r="K339" s="343" t="n"/>
      <c r="L339" s="280" t="n"/>
      <c r="M339" s="280" t="n"/>
      <c r="N339" s="345" t="n"/>
      <c r="O339" s="280" t="n"/>
      <c r="P339" s="332">
        <f>IFERROR(VLOOKUP(TEXT(O339,"0"),CONDUCTORES!$A$3:$G$54,2,0),"")</f>
        <v/>
      </c>
      <c r="Q339" s="332">
        <f>IFERROR(VLOOKUP(TEXT(O339,"0"),CONDUCTORES!$A$3:$H$54,6,0),"")</f>
        <v/>
      </c>
      <c r="R339" s="280" t="n"/>
      <c r="S339" s="280" t="n"/>
      <c r="T339" s="280" t="n"/>
      <c r="U339" s="280" t="n"/>
      <c r="V339" s="280" t="n"/>
      <c r="W339" s="280" t="n"/>
      <c r="X339" s="280" t="n"/>
      <c r="Y339" s="280" t="n"/>
      <c r="Z339" s="350" t="n"/>
      <c r="AA339" s="198" t="n"/>
      <c r="AB339" s="198" t="n"/>
      <c r="AC339" s="198" t="n"/>
    </row>
    <row r="340" ht="15" customHeight="1" s="195">
      <c r="A340" s="280" t="n"/>
      <c r="B340" s="280" t="n"/>
      <c r="C340" s="280" t="n"/>
      <c r="D340" s="280" t="n"/>
      <c r="E340" s="280" t="n"/>
      <c r="F340" s="280" t="n"/>
      <c r="G340" s="280" t="n"/>
      <c r="H340" s="280" t="n"/>
      <c r="I340" s="332">
        <f>IFERROR(VLOOKUP(TEXT(H340,"0"),IPRESS!$A$3:$B$212,2,0),"")</f>
        <v/>
      </c>
      <c r="J340" s="280" t="n"/>
      <c r="K340" s="343" t="n"/>
      <c r="L340" s="280" t="n"/>
      <c r="M340" s="280" t="n"/>
      <c r="N340" s="345" t="n"/>
      <c r="O340" s="280" t="n"/>
      <c r="P340" s="332">
        <f>IFERROR(VLOOKUP(TEXT(O340,"0"),CONDUCTORES!$A$3:$G$54,2,0),"")</f>
        <v/>
      </c>
      <c r="Q340" s="332">
        <f>IFERROR(VLOOKUP(TEXT(O340,"0"),CONDUCTORES!$A$3:$H$54,6,0),"")</f>
        <v/>
      </c>
      <c r="R340" s="280" t="n"/>
      <c r="S340" s="280" t="n"/>
      <c r="T340" s="280" t="n"/>
      <c r="U340" s="280" t="n"/>
      <c r="V340" s="280" t="n"/>
      <c r="W340" s="280" t="n"/>
      <c r="X340" s="280" t="n"/>
      <c r="Y340" s="280" t="n"/>
      <c r="Z340" s="350" t="n"/>
      <c r="AA340" s="198" t="n"/>
      <c r="AB340" s="198" t="n"/>
      <c r="AC340" s="198" t="n"/>
    </row>
    <row r="341" ht="15" customHeight="1" s="195">
      <c r="A341" s="280" t="n"/>
      <c r="B341" s="280" t="n"/>
      <c r="C341" s="280" t="n"/>
      <c r="D341" s="280" t="n"/>
      <c r="E341" s="280" t="n"/>
      <c r="F341" s="280" t="n"/>
      <c r="G341" s="280" t="n"/>
      <c r="H341" s="280" t="n"/>
      <c r="I341" s="332">
        <f>IFERROR(VLOOKUP(TEXT(H341,"0"),IPRESS!$A$3:$B$212,2,0),"")</f>
        <v/>
      </c>
      <c r="J341" s="280" t="n"/>
      <c r="K341" s="343" t="n"/>
      <c r="L341" s="280" t="n"/>
      <c r="M341" s="280" t="n"/>
      <c r="N341" s="345" t="n"/>
      <c r="O341" s="280" t="n"/>
      <c r="P341" s="332">
        <f>IFERROR(VLOOKUP(TEXT(O341,"0"),CONDUCTORES!$A$3:$G$54,2,0),"")</f>
        <v/>
      </c>
      <c r="Q341" s="332">
        <f>IFERROR(VLOOKUP(TEXT(O341,"0"),CONDUCTORES!$A$3:$H$54,6,0),"")</f>
        <v/>
      </c>
      <c r="R341" s="280" t="n"/>
      <c r="S341" s="280" t="n"/>
      <c r="T341" s="280" t="n"/>
      <c r="U341" s="280" t="n"/>
      <c r="V341" s="280" t="n"/>
      <c r="W341" s="280" t="n"/>
      <c r="X341" s="280" t="n"/>
      <c r="Y341" s="280" t="n"/>
      <c r="Z341" s="350" t="n"/>
      <c r="AA341" s="198" t="n"/>
      <c r="AB341" s="198" t="n"/>
      <c r="AC341" s="198" t="n"/>
    </row>
    <row r="342" ht="15" customHeight="1" s="195">
      <c r="A342" s="280" t="n"/>
      <c r="B342" s="280" t="n"/>
      <c r="C342" s="280" t="n"/>
      <c r="D342" s="280" t="n"/>
      <c r="E342" s="280" t="n"/>
      <c r="F342" s="280" t="n"/>
      <c r="G342" s="280" t="n"/>
      <c r="H342" s="280" t="n"/>
      <c r="I342" s="332">
        <f>IFERROR(VLOOKUP(TEXT(H342,"0"),IPRESS!$A$3:$B$212,2,0),"")</f>
        <v/>
      </c>
      <c r="J342" s="280" t="n"/>
      <c r="K342" s="343" t="n"/>
      <c r="L342" s="280" t="n"/>
      <c r="M342" s="280" t="n"/>
      <c r="N342" s="345" t="n"/>
      <c r="O342" s="280" t="n"/>
      <c r="P342" s="332">
        <f>IFERROR(VLOOKUP(TEXT(O342,"0"),CONDUCTORES!$A$3:$G$54,2,0),"")</f>
        <v/>
      </c>
      <c r="Q342" s="332">
        <f>IFERROR(VLOOKUP(TEXT(O342,"0"),CONDUCTORES!$A$3:$H$54,6,0),"")</f>
        <v/>
      </c>
      <c r="R342" s="280" t="n"/>
      <c r="S342" s="280" t="n"/>
      <c r="T342" s="280" t="n"/>
      <c r="U342" s="280" t="n"/>
      <c r="V342" s="280" t="n"/>
      <c r="W342" s="280" t="n"/>
      <c r="X342" s="280" t="n"/>
      <c r="Y342" s="280" t="n"/>
      <c r="Z342" s="350" t="n"/>
      <c r="AA342" s="198" t="n"/>
      <c r="AB342" s="198" t="n"/>
      <c r="AC342" s="198" t="n"/>
    </row>
    <row r="343" ht="15" customHeight="1" s="195">
      <c r="A343" s="280" t="n"/>
      <c r="B343" s="280" t="n"/>
      <c r="C343" s="280" t="n"/>
      <c r="D343" s="280" t="n"/>
      <c r="E343" s="280" t="n"/>
      <c r="F343" s="280" t="n"/>
      <c r="G343" s="280" t="n"/>
      <c r="H343" s="280" t="n"/>
      <c r="I343" s="332">
        <f>IFERROR(VLOOKUP(TEXT(H343,"0"),IPRESS!$A$3:$B$212,2,0),"")</f>
        <v/>
      </c>
      <c r="J343" s="280" t="n"/>
      <c r="K343" s="343" t="n"/>
      <c r="L343" s="280" t="n"/>
      <c r="M343" s="280" t="n"/>
      <c r="N343" s="345" t="n"/>
      <c r="O343" s="280" t="n"/>
      <c r="P343" s="332">
        <f>IFERROR(VLOOKUP(TEXT(O343,"0"),CONDUCTORES!$A$3:$G$54,2,0),"")</f>
        <v/>
      </c>
      <c r="Q343" s="332">
        <f>IFERROR(VLOOKUP(TEXT(O343,"0"),CONDUCTORES!$A$3:$H$54,6,0),"")</f>
        <v/>
      </c>
      <c r="R343" s="280" t="n"/>
      <c r="S343" s="280" t="n"/>
      <c r="T343" s="280" t="n"/>
      <c r="U343" s="280" t="n"/>
      <c r="V343" s="280" t="n"/>
      <c r="W343" s="280" t="n"/>
      <c r="X343" s="280" t="n"/>
      <c r="Y343" s="280" t="n"/>
      <c r="Z343" s="350" t="n"/>
      <c r="AA343" s="198" t="n"/>
      <c r="AB343" s="198" t="n"/>
      <c r="AC343" s="198" t="n"/>
    </row>
    <row r="344" ht="15" customHeight="1" s="195">
      <c r="A344" s="280" t="n"/>
      <c r="B344" s="280" t="n"/>
      <c r="C344" s="280" t="n"/>
      <c r="D344" s="280" t="n"/>
      <c r="E344" s="280" t="n"/>
      <c r="F344" s="280" t="n"/>
      <c r="G344" s="280" t="n"/>
      <c r="H344" s="280" t="n"/>
      <c r="I344" s="332">
        <f>IFERROR(VLOOKUP(TEXT(H344,"0"),IPRESS!$A$3:$B$212,2,0),"")</f>
        <v/>
      </c>
      <c r="J344" s="280" t="n"/>
      <c r="K344" s="343" t="n"/>
      <c r="L344" s="280" t="n"/>
      <c r="M344" s="280" t="n"/>
      <c r="N344" s="345" t="n"/>
      <c r="O344" s="280" t="n"/>
      <c r="P344" s="332">
        <f>IFERROR(VLOOKUP(TEXT(O344,"0"),CONDUCTORES!$A$3:$G$54,2,0),"")</f>
        <v/>
      </c>
      <c r="Q344" s="332">
        <f>IFERROR(VLOOKUP(TEXT(O344,"0"),CONDUCTORES!$A$3:$H$54,6,0),"")</f>
        <v/>
      </c>
      <c r="R344" s="280" t="n"/>
      <c r="S344" s="280" t="n"/>
      <c r="T344" s="280" t="n"/>
      <c r="U344" s="280" t="n"/>
      <c r="V344" s="280" t="n"/>
      <c r="W344" s="280" t="n"/>
      <c r="X344" s="280" t="n"/>
      <c r="Y344" s="280" t="n"/>
      <c r="Z344" s="350" t="n"/>
      <c r="AA344" s="198" t="n"/>
      <c r="AB344" s="198" t="n"/>
      <c r="AC344" s="198" t="n"/>
    </row>
    <row r="345" ht="15" customHeight="1" s="195">
      <c r="A345" s="280" t="n"/>
      <c r="B345" s="280" t="n"/>
      <c r="C345" s="280" t="n"/>
      <c r="D345" s="280" t="n"/>
      <c r="E345" s="280" t="n"/>
      <c r="F345" s="280" t="n"/>
      <c r="G345" s="280" t="n"/>
      <c r="H345" s="280" t="n"/>
      <c r="I345" s="332">
        <f>IFERROR(VLOOKUP(TEXT(H345,"0"),IPRESS!$A$3:$B$212,2,0),"")</f>
        <v/>
      </c>
      <c r="J345" s="280" t="n"/>
      <c r="K345" s="343" t="n"/>
      <c r="L345" s="280" t="n"/>
      <c r="M345" s="280" t="n"/>
      <c r="N345" s="345" t="n"/>
      <c r="O345" s="280" t="n"/>
      <c r="P345" s="332">
        <f>IFERROR(VLOOKUP(TEXT(O345,"0"),CONDUCTORES!$A$3:$G$54,2,0),"")</f>
        <v/>
      </c>
      <c r="Q345" s="332">
        <f>IFERROR(VLOOKUP(TEXT(O345,"0"),CONDUCTORES!$A$3:$H$54,6,0),"")</f>
        <v/>
      </c>
      <c r="R345" s="280" t="n"/>
      <c r="S345" s="280" t="n"/>
      <c r="T345" s="280" t="n"/>
      <c r="U345" s="280" t="n"/>
      <c r="V345" s="280" t="n"/>
      <c r="W345" s="280" t="n"/>
      <c r="X345" s="280" t="n"/>
      <c r="Y345" s="280" t="n"/>
      <c r="Z345" s="350" t="n"/>
      <c r="AA345" s="198" t="n"/>
      <c r="AB345" s="198" t="n"/>
      <c r="AC345" s="198" t="n"/>
    </row>
    <row r="346" ht="15" customHeight="1" s="195">
      <c r="A346" s="280" t="n"/>
      <c r="B346" s="280" t="n"/>
      <c r="C346" s="280" t="n"/>
      <c r="D346" s="280" t="n"/>
      <c r="E346" s="280" t="n"/>
      <c r="F346" s="280" t="n"/>
      <c r="G346" s="280" t="n"/>
      <c r="H346" s="280" t="n"/>
      <c r="I346" s="332">
        <f>IFERROR(VLOOKUP(TEXT(H346,"0"),IPRESS!$A$3:$B$212,2,0),"")</f>
        <v/>
      </c>
      <c r="J346" s="280" t="n"/>
      <c r="K346" s="343" t="n"/>
      <c r="L346" s="280" t="n"/>
      <c r="M346" s="280" t="n"/>
      <c r="N346" s="345" t="n"/>
      <c r="O346" s="280" t="n"/>
      <c r="P346" s="332">
        <f>IFERROR(VLOOKUP(TEXT(O346,"0"),CONDUCTORES!$A$3:$G$54,2,0),"")</f>
        <v/>
      </c>
      <c r="Q346" s="332">
        <f>IFERROR(VLOOKUP(TEXT(O346,"0"),CONDUCTORES!$A$3:$H$54,6,0),"")</f>
        <v/>
      </c>
      <c r="R346" s="280" t="n"/>
      <c r="S346" s="280" t="n"/>
      <c r="T346" s="280" t="n"/>
      <c r="U346" s="280" t="n"/>
      <c r="V346" s="280" t="n"/>
      <c r="W346" s="280" t="n"/>
      <c r="X346" s="280" t="n"/>
      <c r="Y346" s="280" t="n"/>
      <c r="Z346" s="350" t="n"/>
      <c r="AA346" s="198" t="n"/>
      <c r="AB346" s="198" t="n"/>
      <c r="AC346" s="198" t="n"/>
    </row>
    <row r="347" ht="15" customHeight="1" s="195">
      <c r="A347" s="280" t="n"/>
      <c r="B347" s="280" t="n"/>
      <c r="C347" s="280" t="n"/>
      <c r="D347" s="280" t="n"/>
      <c r="E347" s="280" t="n"/>
      <c r="F347" s="280" t="n"/>
      <c r="G347" s="280" t="n"/>
      <c r="H347" s="280" t="n"/>
      <c r="I347" s="332">
        <f>IFERROR(VLOOKUP(TEXT(H347,"0"),IPRESS!$A$3:$B$212,2,0),"")</f>
        <v/>
      </c>
      <c r="J347" s="280" t="n"/>
      <c r="K347" s="343" t="n"/>
      <c r="L347" s="280" t="n"/>
      <c r="M347" s="280" t="n"/>
      <c r="N347" s="345" t="n"/>
      <c r="O347" s="280" t="n"/>
      <c r="P347" s="332">
        <f>IFERROR(VLOOKUP(TEXT(O347,"0"),CONDUCTORES!$A$3:$G$54,2,0),"")</f>
        <v/>
      </c>
      <c r="Q347" s="332">
        <f>IFERROR(VLOOKUP(TEXT(O347,"0"),CONDUCTORES!$A$3:$H$54,6,0),"")</f>
        <v/>
      </c>
      <c r="R347" s="280" t="n"/>
      <c r="S347" s="280" t="n"/>
      <c r="T347" s="280" t="n"/>
      <c r="U347" s="280" t="n"/>
      <c r="V347" s="280" t="n"/>
      <c r="W347" s="280" t="n"/>
      <c r="X347" s="280" t="n"/>
      <c r="Y347" s="280" t="n"/>
      <c r="Z347" s="350" t="n"/>
      <c r="AA347" s="198" t="n"/>
      <c r="AB347" s="198" t="n"/>
      <c r="AC347" s="198" t="n"/>
    </row>
    <row r="348" ht="15" customHeight="1" s="195">
      <c r="A348" s="280" t="n"/>
      <c r="B348" s="280" t="n"/>
      <c r="C348" s="280" t="n"/>
      <c r="D348" s="280" t="n"/>
      <c r="E348" s="280" t="n"/>
      <c r="F348" s="280" t="n"/>
      <c r="G348" s="280" t="n"/>
      <c r="H348" s="280" t="n"/>
      <c r="I348" s="332">
        <f>IFERROR(VLOOKUP(TEXT(H348,"0"),IPRESS!$A$3:$B$212,2,0),"")</f>
        <v/>
      </c>
      <c r="J348" s="280" t="n"/>
      <c r="K348" s="343" t="n"/>
      <c r="L348" s="280" t="n"/>
      <c r="M348" s="280" t="n"/>
      <c r="N348" s="345" t="n"/>
      <c r="O348" s="280" t="n"/>
      <c r="P348" s="332">
        <f>IFERROR(VLOOKUP(TEXT(O348,"0"),CONDUCTORES!$A$3:$G$54,2,0),"")</f>
        <v/>
      </c>
      <c r="Q348" s="332">
        <f>IFERROR(VLOOKUP(TEXT(O348,"0"),CONDUCTORES!$A$3:$H$54,6,0),"")</f>
        <v/>
      </c>
      <c r="R348" s="280" t="n"/>
      <c r="S348" s="280" t="n"/>
      <c r="T348" s="280" t="n"/>
      <c r="U348" s="280" t="n"/>
      <c r="V348" s="280" t="n"/>
      <c r="W348" s="280" t="n"/>
      <c r="X348" s="280" t="n"/>
      <c r="Y348" s="280" t="n"/>
      <c r="Z348" s="350" t="n"/>
      <c r="AA348" s="198" t="n"/>
      <c r="AB348" s="198" t="n"/>
      <c r="AC348" s="198" t="n"/>
    </row>
    <row r="349" ht="15" customHeight="1" s="195">
      <c r="A349" s="280" t="n"/>
      <c r="B349" s="280" t="n"/>
      <c r="C349" s="280" t="n"/>
      <c r="D349" s="280" t="n"/>
      <c r="E349" s="280" t="n"/>
      <c r="F349" s="280" t="n"/>
      <c r="G349" s="280" t="n"/>
      <c r="H349" s="280" t="n"/>
      <c r="I349" s="332">
        <f>IFERROR(VLOOKUP(TEXT(H349,"0"),IPRESS!$A$3:$B$212,2,0),"")</f>
        <v/>
      </c>
      <c r="J349" s="280" t="n"/>
      <c r="K349" s="343" t="n"/>
      <c r="L349" s="280" t="n"/>
      <c r="M349" s="280" t="n"/>
      <c r="N349" s="345" t="n"/>
      <c r="O349" s="280" t="n"/>
      <c r="P349" s="332">
        <f>IFERROR(VLOOKUP(TEXT(O349,"0"),CONDUCTORES!$A$3:$G$54,2,0),"")</f>
        <v/>
      </c>
      <c r="Q349" s="332">
        <f>IFERROR(VLOOKUP(TEXT(O349,"0"),CONDUCTORES!$A$3:$H$54,6,0),"")</f>
        <v/>
      </c>
      <c r="R349" s="280" t="n"/>
      <c r="S349" s="280" t="n"/>
      <c r="T349" s="280" t="n"/>
      <c r="U349" s="280" t="n"/>
      <c r="V349" s="280" t="n"/>
      <c r="W349" s="280" t="n"/>
      <c r="X349" s="280" t="n"/>
      <c r="Y349" s="280" t="n"/>
      <c r="Z349" s="350" t="n"/>
      <c r="AA349" s="198" t="n"/>
      <c r="AB349" s="198" t="n"/>
      <c r="AC349" s="198" t="n"/>
    </row>
    <row r="350" ht="15" customHeight="1" s="195">
      <c r="A350" s="280" t="n"/>
      <c r="B350" s="280" t="n"/>
      <c r="C350" s="280" t="n"/>
      <c r="D350" s="280" t="n"/>
      <c r="E350" s="280" t="n"/>
      <c r="F350" s="280" t="n"/>
      <c r="G350" s="280" t="n"/>
      <c r="H350" s="280" t="n"/>
      <c r="I350" s="332">
        <f>IFERROR(VLOOKUP(TEXT(H350,"0"),IPRESS!$A$3:$B$212,2,0),"")</f>
        <v/>
      </c>
      <c r="J350" s="280" t="n"/>
      <c r="K350" s="343" t="n"/>
      <c r="L350" s="280" t="n"/>
      <c r="M350" s="280" t="n"/>
      <c r="N350" s="345" t="n"/>
      <c r="O350" s="280" t="n"/>
      <c r="P350" s="332">
        <f>IFERROR(VLOOKUP(TEXT(O350,"0"),CONDUCTORES!$A$3:$G$54,2,0),"")</f>
        <v/>
      </c>
      <c r="Q350" s="332">
        <f>IFERROR(VLOOKUP(TEXT(O350,"0"),CONDUCTORES!$A$3:$H$54,6,0),"")</f>
        <v/>
      </c>
      <c r="R350" s="280" t="n"/>
      <c r="S350" s="280" t="n"/>
      <c r="T350" s="280" t="n"/>
      <c r="U350" s="280" t="n"/>
      <c r="V350" s="280" t="n"/>
      <c r="W350" s="280" t="n"/>
      <c r="X350" s="280" t="n"/>
      <c r="Y350" s="280" t="n"/>
      <c r="Z350" s="350" t="n"/>
      <c r="AA350" s="198" t="n"/>
      <c r="AB350" s="198" t="n"/>
      <c r="AC350" s="198" t="n"/>
    </row>
    <row r="351" ht="15" customHeight="1" s="195">
      <c r="A351" s="280" t="n"/>
      <c r="B351" s="280" t="n"/>
      <c r="C351" s="280" t="n"/>
      <c r="D351" s="280" t="n"/>
      <c r="E351" s="280" t="n"/>
      <c r="F351" s="280" t="n"/>
      <c r="G351" s="280" t="n"/>
      <c r="H351" s="280" t="n"/>
      <c r="I351" s="332">
        <f>IFERROR(VLOOKUP(TEXT(H351,"0"),IPRESS!$A$3:$B$212,2,0),"")</f>
        <v/>
      </c>
      <c r="J351" s="280" t="n"/>
      <c r="K351" s="343" t="n"/>
      <c r="L351" s="280" t="n"/>
      <c r="M351" s="280" t="n"/>
      <c r="N351" s="345" t="n"/>
      <c r="O351" s="280" t="n"/>
      <c r="P351" s="332">
        <f>IFERROR(VLOOKUP(TEXT(O351,"0"),CONDUCTORES!$A$3:$G$54,2,0),"")</f>
        <v/>
      </c>
      <c r="Q351" s="332">
        <f>IFERROR(VLOOKUP(TEXT(O351,"0"),CONDUCTORES!$A$3:$H$54,6,0),"")</f>
        <v/>
      </c>
      <c r="R351" s="280" t="n"/>
      <c r="S351" s="280" t="n"/>
      <c r="T351" s="280" t="n"/>
      <c r="U351" s="280" t="n"/>
      <c r="V351" s="280" t="n"/>
      <c r="W351" s="280" t="n"/>
      <c r="X351" s="280" t="n"/>
      <c r="Y351" s="280" t="n"/>
      <c r="Z351" s="350" t="n"/>
      <c r="AA351" s="198" t="n"/>
      <c r="AB351" s="198" t="n"/>
      <c r="AC351" s="198" t="n"/>
    </row>
    <row r="352" ht="15" customHeight="1" s="195">
      <c r="A352" s="280" t="n"/>
      <c r="B352" s="280" t="n"/>
      <c r="C352" s="280" t="n"/>
      <c r="D352" s="280" t="n"/>
      <c r="E352" s="280" t="n"/>
      <c r="F352" s="280" t="n"/>
      <c r="G352" s="280" t="n"/>
      <c r="H352" s="280" t="n"/>
      <c r="I352" s="332">
        <f>IFERROR(VLOOKUP(TEXT(H352,"0"),IPRESS!$A$3:$B$212,2,0),"")</f>
        <v/>
      </c>
      <c r="J352" s="280" t="n"/>
      <c r="K352" s="343" t="n"/>
      <c r="L352" s="280" t="n"/>
      <c r="M352" s="280" t="n"/>
      <c r="N352" s="345" t="n"/>
      <c r="O352" s="280" t="n"/>
      <c r="P352" s="332">
        <f>IFERROR(VLOOKUP(TEXT(O352,"0"),CONDUCTORES!$A$3:$G$54,2,0),"")</f>
        <v/>
      </c>
      <c r="Q352" s="332">
        <f>IFERROR(VLOOKUP(TEXT(O352,"0"),CONDUCTORES!$A$3:$H$54,6,0),"")</f>
        <v/>
      </c>
      <c r="R352" s="280" t="n"/>
      <c r="S352" s="280" t="n"/>
      <c r="T352" s="280" t="n"/>
      <c r="U352" s="280" t="n"/>
      <c r="V352" s="280" t="n"/>
      <c r="W352" s="280" t="n"/>
      <c r="X352" s="280" t="n"/>
      <c r="Y352" s="280" t="n"/>
      <c r="Z352" s="350" t="n"/>
      <c r="AA352" s="198" t="n"/>
      <c r="AB352" s="198" t="n"/>
      <c r="AC352" s="198" t="n"/>
    </row>
    <row r="353" ht="15" customHeight="1" s="195">
      <c r="A353" s="280" t="n"/>
      <c r="B353" s="280" t="n"/>
      <c r="C353" s="280" t="n"/>
      <c r="D353" s="280" t="n"/>
      <c r="E353" s="280" t="n"/>
      <c r="F353" s="280" t="n"/>
      <c r="G353" s="280" t="n"/>
      <c r="H353" s="280" t="n"/>
      <c r="I353" s="332">
        <f>IFERROR(VLOOKUP(TEXT(H353,"0"),IPRESS!$A$3:$B$212,2,0),"")</f>
        <v/>
      </c>
      <c r="J353" s="280" t="n"/>
      <c r="K353" s="343" t="n"/>
      <c r="L353" s="280" t="n"/>
      <c r="M353" s="280" t="n"/>
      <c r="N353" s="345" t="n"/>
      <c r="O353" s="280" t="n"/>
      <c r="P353" s="332">
        <f>IFERROR(VLOOKUP(TEXT(O353,"0"),CONDUCTORES!$A$3:$G$54,2,0),"")</f>
        <v/>
      </c>
      <c r="Q353" s="332">
        <f>IFERROR(VLOOKUP(TEXT(O353,"0"),CONDUCTORES!$A$3:$H$54,6,0),"")</f>
        <v/>
      </c>
      <c r="R353" s="280" t="n"/>
      <c r="S353" s="280" t="n"/>
      <c r="T353" s="280" t="n"/>
      <c r="U353" s="280" t="n"/>
      <c r="V353" s="280" t="n"/>
      <c r="W353" s="280" t="n"/>
      <c r="X353" s="280" t="n"/>
      <c r="Y353" s="280" t="n"/>
      <c r="Z353" s="350" t="n"/>
      <c r="AA353" s="198" t="n"/>
      <c r="AB353" s="198" t="n"/>
      <c r="AC353" s="198" t="n"/>
    </row>
    <row r="354" ht="15" customHeight="1" s="195">
      <c r="A354" s="280" t="n"/>
      <c r="B354" s="280" t="n"/>
      <c r="C354" s="280" t="n"/>
      <c r="D354" s="280" t="n"/>
      <c r="E354" s="280" t="n"/>
      <c r="F354" s="280" t="n"/>
      <c r="G354" s="280" t="n"/>
      <c r="H354" s="280" t="n"/>
      <c r="I354" s="332">
        <f>IFERROR(VLOOKUP(TEXT(H354,"0"),IPRESS!$A$3:$B$212,2,0),"")</f>
        <v/>
      </c>
      <c r="J354" s="280" t="n"/>
      <c r="K354" s="343" t="n"/>
      <c r="L354" s="280" t="n"/>
      <c r="M354" s="280" t="n"/>
      <c r="N354" s="345" t="n"/>
      <c r="O354" s="280" t="n"/>
      <c r="P354" s="332">
        <f>IFERROR(VLOOKUP(TEXT(O354,"0"),CONDUCTORES!$A$3:$G$54,2,0),"")</f>
        <v/>
      </c>
      <c r="Q354" s="332">
        <f>IFERROR(VLOOKUP(TEXT(O354,"0"),CONDUCTORES!$A$3:$H$54,6,0),"")</f>
        <v/>
      </c>
      <c r="R354" s="280" t="n"/>
      <c r="S354" s="280" t="n"/>
      <c r="T354" s="280" t="n"/>
      <c r="U354" s="280" t="n"/>
      <c r="V354" s="280" t="n"/>
      <c r="W354" s="280" t="n"/>
      <c r="X354" s="280" t="n"/>
      <c r="Y354" s="280" t="n"/>
      <c r="Z354" s="350" t="n"/>
      <c r="AA354" s="198" t="n"/>
      <c r="AB354" s="198" t="n"/>
      <c r="AC354" s="198" t="n"/>
    </row>
    <row r="355" ht="15" customHeight="1" s="195">
      <c r="A355" s="280" t="n"/>
      <c r="B355" s="280" t="n"/>
      <c r="C355" s="280" t="n"/>
      <c r="D355" s="280" t="n"/>
      <c r="E355" s="280" t="n"/>
      <c r="F355" s="280" t="n"/>
      <c r="G355" s="280" t="n"/>
      <c r="H355" s="280" t="n"/>
      <c r="I355" s="332">
        <f>IFERROR(VLOOKUP(TEXT(H355,"0"),IPRESS!$A$3:$B$212,2,0),"")</f>
        <v/>
      </c>
      <c r="J355" s="280" t="n"/>
      <c r="K355" s="343" t="n"/>
      <c r="L355" s="280" t="n"/>
      <c r="M355" s="280" t="n"/>
      <c r="N355" s="345" t="n"/>
      <c r="O355" s="280" t="n"/>
      <c r="P355" s="332">
        <f>IFERROR(VLOOKUP(TEXT(O355,"0"),CONDUCTORES!$A$3:$G$54,2,0),"")</f>
        <v/>
      </c>
      <c r="Q355" s="332">
        <f>IFERROR(VLOOKUP(TEXT(O355,"0"),CONDUCTORES!$A$3:$H$54,6,0),"")</f>
        <v/>
      </c>
      <c r="R355" s="280" t="n"/>
      <c r="S355" s="280" t="n"/>
      <c r="T355" s="280" t="n"/>
      <c r="U355" s="280" t="n"/>
      <c r="V355" s="280" t="n"/>
      <c r="W355" s="280" t="n"/>
      <c r="X355" s="280" t="n"/>
      <c r="Y355" s="280" t="n"/>
      <c r="Z355" s="350" t="n"/>
      <c r="AA355" s="198" t="n"/>
      <c r="AB355" s="198" t="n"/>
      <c r="AC355" s="198" t="n"/>
    </row>
    <row r="356" ht="15" customHeight="1" s="195">
      <c r="A356" s="280" t="n"/>
      <c r="B356" s="280" t="n"/>
      <c r="C356" s="280" t="n"/>
      <c r="D356" s="280" t="n"/>
      <c r="E356" s="280" t="n"/>
      <c r="F356" s="280" t="n"/>
      <c r="G356" s="280" t="n"/>
      <c r="H356" s="280" t="n"/>
      <c r="I356" s="332">
        <f>IFERROR(VLOOKUP(TEXT(H356,"0"),IPRESS!$A$3:$B$212,2,0),"")</f>
        <v/>
      </c>
      <c r="J356" s="280" t="n"/>
      <c r="K356" s="343" t="n"/>
      <c r="L356" s="280" t="n"/>
      <c r="M356" s="280" t="n"/>
      <c r="N356" s="345" t="n"/>
      <c r="O356" s="280" t="n"/>
      <c r="P356" s="332">
        <f>IFERROR(VLOOKUP(TEXT(O356,"0"),CONDUCTORES!$A$3:$G$54,2,0),"")</f>
        <v/>
      </c>
      <c r="Q356" s="332">
        <f>IFERROR(VLOOKUP(TEXT(O356,"0"),CONDUCTORES!$A$3:$H$54,6,0),"")</f>
        <v/>
      </c>
      <c r="R356" s="280" t="n"/>
      <c r="S356" s="280" t="n"/>
      <c r="T356" s="280" t="n"/>
      <c r="U356" s="280" t="n"/>
      <c r="V356" s="280" t="n"/>
      <c r="W356" s="280" t="n"/>
      <c r="X356" s="280" t="n"/>
      <c r="Y356" s="280" t="n"/>
      <c r="Z356" s="350" t="n"/>
      <c r="AA356" s="198" t="n"/>
      <c r="AB356" s="198" t="n"/>
      <c r="AC356" s="198" t="n"/>
    </row>
    <row r="357" ht="15" customHeight="1" s="195">
      <c r="A357" s="280" t="n"/>
      <c r="B357" s="280" t="n"/>
      <c r="C357" s="280" t="n"/>
      <c r="D357" s="280" t="n"/>
      <c r="E357" s="280" t="n"/>
      <c r="F357" s="280" t="n"/>
      <c r="G357" s="280" t="n"/>
      <c r="H357" s="280" t="n"/>
      <c r="I357" s="332">
        <f>IFERROR(VLOOKUP(TEXT(H357,"0"),IPRESS!$A$3:$B$212,2,0),"")</f>
        <v/>
      </c>
      <c r="J357" s="280" t="n"/>
      <c r="K357" s="343" t="n"/>
      <c r="L357" s="280" t="n"/>
      <c r="M357" s="280" t="n"/>
      <c r="N357" s="345" t="n"/>
      <c r="O357" s="280" t="n"/>
      <c r="P357" s="332">
        <f>IFERROR(VLOOKUP(TEXT(O357,"0"),CONDUCTORES!$A$3:$G$54,2,0),"")</f>
        <v/>
      </c>
      <c r="Q357" s="332">
        <f>IFERROR(VLOOKUP(TEXT(O357,"0"),CONDUCTORES!$A$3:$H$54,6,0),"")</f>
        <v/>
      </c>
      <c r="R357" s="280" t="n"/>
      <c r="S357" s="280" t="n"/>
      <c r="T357" s="280" t="n"/>
      <c r="U357" s="280" t="n"/>
      <c r="V357" s="280" t="n"/>
      <c r="W357" s="280" t="n"/>
      <c r="X357" s="280" t="n"/>
      <c r="Y357" s="280" t="n"/>
      <c r="Z357" s="350" t="n"/>
      <c r="AA357" s="198" t="n"/>
      <c r="AB357" s="198" t="n"/>
      <c r="AC357" s="198" t="n"/>
    </row>
    <row r="358" ht="15" customHeight="1" s="195">
      <c r="A358" s="280" t="n"/>
      <c r="B358" s="280" t="n"/>
      <c r="C358" s="280" t="n"/>
      <c r="D358" s="280" t="n"/>
      <c r="E358" s="280" t="n"/>
      <c r="F358" s="280" t="n"/>
      <c r="G358" s="280" t="n"/>
      <c r="H358" s="280" t="n"/>
      <c r="I358" s="332">
        <f>IFERROR(VLOOKUP(TEXT(H358,"0"),IPRESS!$A$3:$B$212,2,0),"")</f>
        <v/>
      </c>
      <c r="J358" s="280" t="n"/>
      <c r="K358" s="343" t="n"/>
      <c r="L358" s="280" t="n"/>
      <c r="M358" s="280" t="n"/>
      <c r="N358" s="345" t="n"/>
      <c r="O358" s="280" t="n"/>
      <c r="P358" s="332">
        <f>IFERROR(VLOOKUP(TEXT(O358,"0"),CONDUCTORES!$A$3:$G$54,2,0),"")</f>
        <v/>
      </c>
      <c r="Q358" s="332">
        <f>IFERROR(VLOOKUP(TEXT(O358,"0"),CONDUCTORES!$A$3:$H$54,6,0),"")</f>
        <v/>
      </c>
      <c r="R358" s="280" t="n"/>
      <c r="S358" s="280" t="n"/>
      <c r="T358" s="280" t="n"/>
      <c r="U358" s="280" t="n"/>
      <c r="V358" s="280" t="n"/>
      <c r="W358" s="280" t="n"/>
      <c r="X358" s="280" t="n"/>
      <c r="Y358" s="280" t="n"/>
      <c r="Z358" s="350" t="n"/>
      <c r="AA358" s="198" t="n"/>
      <c r="AB358" s="198" t="n"/>
      <c r="AC358" s="198" t="n"/>
    </row>
    <row r="359" ht="15" customHeight="1" s="195">
      <c r="A359" s="280" t="n"/>
      <c r="B359" s="280" t="n"/>
      <c r="C359" s="280" t="n"/>
      <c r="D359" s="280" t="n"/>
      <c r="E359" s="280" t="n"/>
      <c r="F359" s="280" t="n"/>
      <c r="G359" s="280" t="n"/>
      <c r="H359" s="280" t="n"/>
      <c r="I359" s="332">
        <f>IFERROR(VLOOKUP(TEXT(H359,"0"),IPRESS!$A$3:$B$212,2,0),"")</f>
        <v/>
      </c>
      <c r="J359" s="280" t="n"/>
      <c r="K359" s="343" t="n"/>
      <c r="L359" s="280" t="n"/>
      <c r="M359" s="280" t="n"/>
      <c r="N359" s="345" t="n"/>
      <c r="O359" s="280" t="n"/>
      <c r="P359" s="332">
        <f>IFERROR(VLOOKUP(TEXT(O359,"0"),CONDUCTORES!$A$3:$G$54,2,0),"")</f>
        <v/>
      </c>
      <c r="Q359" s="332">
        <f>IFERROR(VLOOKUP(TEXT(O359,"0"),CONDUCTORES!$A$3:$H$54,6,0),"")</f>
        <v/>
      </c>
      <c r="R359" s="280" t="n"/>
      <c r="S359" s="280" t="n"/>
      <c r="T359" s="280" t="n"/>
      <c r="U359" s="280" t="n"/>
      <c r="V359" s="280" t="n"/>
      <c r="W359" s="280" t="n"/>
      <c r="X359" s="280" t="n"/>
      <c r="Y359" s="280" t="n"/>
      <c r="Z359" s="350" t="n"/>
      <c r="AA359" s="198" t="n"/>
      <c r="AB359" s="198" t="n"/>
      <c r="AC359" s="198" t="n"/>
    </row>
    <row r="360" ht="15" customHeight="1" s="195">
      <c r="A360" s="280" t="n"/>
      <c r="B360" s="280" t="n"/>
      <c r="C360" s="280" t="n"/>
      <c r="D360" s="280" t="n"/>
      <c r="E360" s="280" t="n"/>
      <c r="F360" s="280" t="n"/>
      <c r="G360" s="280" t="n"/>
      <c r="H360" s="280" t="n"/>
      <c r="I360" s="332">
        <f>IFERROR(VLOOKUP(TEXT(H360,"0"),IPRESS!$A$3:$B$212,2,0),"")</f>
        <v/>
      </c>
      <c r="J360" s="280" t="n"/>
      <c r="K360" s="343" t="n"/>
      <c r="L360" s="280" t="n"/>
      <c r="M360" s="280" t="n"/>
      <c r="N360" s="345" t="n"/>
      <c r="O360" s="280" t="n"/>
      <c r="P360" s="332">
        <f>IFERROR(VLOOKUP(TEXT(O360,"0"),CONDUCTORES!$A$3:$G$54,2,0),"")</f>
        <v/>
      </c>
      <c r="Q360" s="332">
        <f>IFERROR(VLOOKUP(TEXT(O360,"0"),CONDUCTORES!$A$3:$H$54,6,0),"")</f>
        <v/>
      </c>
      <c r="R360" s="280" t="n"/>
      <c r="S360" s="280" t="n"/>
      <c r="T360" s="280" t="n"/>
      <c r="U360" s="280" t="n"/>
      <c r="V360" s="280" t="n"/>
      <c r="W360" s="280" t="n"/>
      <c r="X360" s="280" t="n"/>
      <c r="Y360" s="280" t="n"/>
      <c r="Z360" s="350" t="n"/>
      <c r="AA360" s="198" t="n"/>
      <c r="AB360" s="198" t="n"/>
      <c r="AC360" s="198" t="n"/>
    </row>
    <row r="361" ht="15" customHeight="1" s="195">
      <c r="A361" s="280" t="n"/>
      <c r="B361" s="280" t="n"/>
      <c r="C361" s="280" t="n"/>
      <c r="D361" s="280" t="n"/>
      <c r="E361" s="280" t="n"/>
      <c r="F361" s="280" t="n"/>
      <c r="G361" s="280" t="n"/>
      <c r="H361" s="280" t="n"/>
      <c r="I361" s="332">
        <f>IFERROR(VLOOKUP(TEXT(H361,"0"),IPRESS!$A$3:$B$212,2,0),"")</f>
        <v/>
      </c>
      <c r="J361" s="280" t="n"/>
      <c r="K361" s="343" t="n"/>
      <c r="L361" s="280" t="n"/>
      <c r="M361" s="280" t="n"/>
      <c r="N361" s="345" t="n"/>
      <c r="O361" s="280" t="n"/>
      <c r="P361" s="332">
        <f>IFERROR(VLOOKUP(TEXT(O361,"0"),CONDUCTORES!$A$3:$G$54,2,0),"")</f>
        <v/>
      </c>
      <c r="Q361" s="332">
        <f>IFERROR(VLOOKUP(TEXT(O361,"0"),CONDUCTORES!$A$3:$H$54,6,0),"")</f>
        <v/>
      </c>
      <c r="R361" s="280" t="n"/>
      <c r="S361" s="280" t="n"/>
      <c r="T361" s="280" t="n"/>
      <c r="U361" s="280" t="n"/>
      <c r="V361" s="280" t="n"/>
      <c r="W361" s="280" t="n"/>
      <c r="X361" s="280" t="n"/>
      <c r="Y361" s="280" t="n"/>
      <c r="Z361" s="350" t="n"/>
      <c r="AA361" s="198" t="n"/>
      <c r="AB361" s="198" t="n"/>
      <c r="AC361" s="198" t="n"/>
    </row>
    <row r="362" ht="15" customHeight="1" s="195">
      <c r="A362" s="280" t="n"/>
      <c r="B362" s="280" t="n"/>
      <c r="C362" s="280" t="n"/>
      <c r="D362" s="280" t="n"/>
      <c r="E362" s="280" t="n"/>
      <c r="F362" s="280" t="n"/>
      <c r="G362" s="280" t="n"/>
      <c r="H362" s="280" t="n"/>
      <c r="I362" s="332">
        <f>IFERROR(VLOOKUP(TEXT(H362,"0"),IPRESS!$A$3:$B$212,2,0),"")</f>
        <v/>
      </c>
      <c r="J362" s="280" t="n"/>
      <c r="K362" s="343" t="n"/>
      <c r="L362" s="280" t="n"/>
      <c r="M362" s="280" t="n"/>
      <c r="N362" s="345" t="n"/>
      <c r="O362" s="280" t="n"/>
      <c r="P362" s="332">
        <f>IFERROR(VLOOKUP(TEXT(O362,"0"),CONDUCTORES!$A$3:$G$54,2,0),"")</f>
        <v/>
      </c>
      <c r="Q362" s="332">
        <f>IFERROR(VLOOKUP(TEXT(O362,"0"),CONDUCTORES!$A$3:$H$54,6,0),"")</f>
        <v/>
      </c>
      <c r="R362" s="280" t="n"/>
      <c r="S362" s="280" t="n"/>
      <c r="T362" s="280" t="n"/>
      <c r="U362" s="280" t="n"/>
      <c r="V362" s="280" t="n"/>
      <c r="W362" s="280" t="n"/>
      <c r="X362" s="280" t="n"/>
      <c r="Y362" s="280" t="n"/>
      <c r="Z362" s="350" t="n"/>
      <c r="AA362" s="198" t="n"/>
      <c r="AB362" s="198" t="n"/>
      <c r="AC362" s="198" t="n"/>
    </row>
    <row r="363" ht="15" customHeight="1" s="195">
      <c r="A363" s="280" t="n"/>
      <c r="B363" s="280" t="n"/>
      <c r="C363" s="280" t="n"/>
      <c r="D363" s="280" t="n"/>
      <c r="E363" s="280" t="n"/>
      <c r="F363" s="280" t="n"/>
      <c r="G363" s="280" t="n"/>
      <c r="H363" s="280" t="n"/>
      <c r="I363" s="332">
        <f>IFERROR(VLOOKUP(TEXT(H363,"0"),IPRESS!$A$3:$B$212,2,0),"")</f>
        <v/>
      </c>
      <c r="J363" s="280" t="n"/>
      <c r="K363" s="343" t="n"/>
      <c r="L363" s="280" t="n"/>
      <c r="M363" s="280" t="n"/>
      <c r="N363" s="345" t="n"/>
      <c r="O363" s="280" t="n"/>
      <c r="P363" s="332">
        <f>IFERROR(VLOOKUP(TEXT(O363,"0"),CONDUCTORES!$A$3:$G$54,2,0),"")</f>
        <v/>
      </c>
      <c r="Q363" s="332">
        <f>IFERROR(VLOOKUP(TEXT(O363,"0"),CONDUCTORES!$A$3:$H$54,6,0),"")</f>
        <v/>
      </c>
      <c r="R363" s="280" t="n"/>
      <c r="S363" s="280" t="n"/>
      <c r="T363" s="280" t="n"/>
      <c r="U363" s="280" t="n"/>
      <c r="V363" s="280" t="n"/>
      <c r="W363" s="280" t="n"/>
      <c r="X363" s="280" t="n"/>
      <c r="Y363" s="280" t="n"/>
      <c r="Z363" s="350" t="n"/>
      <c r="AA363" s="198" t="n"/>
      <c r="AB363" s="198" t="n"/>
      <c r="AC363" s="198" t="n"/>
    </row>
    <row r="364" ht="15" customHeight="1" s="195">
      <c r="A364" s="280" t="n"/>
      <c r="B364" s="280" t="n"/>
      <c r="C364" s="280" t="n"/>
      <c r="D364" s="280" t="n"/>
      <c r="E364" s="280" t="n"/>
      <c r="F364" s="280" t="n"/>
      <c r="G364" s="280" t="n"/>
      <c r="H364" s="280" t="n"/>
      <c r="I364" s="332">
        <f>IFERROR(VLOOKUP(TEXT(H364,"0"),IPRESS!$A$3:$B$212,2,0),"")</f>
        <v/>
      </c>
      <c r="J364" s="280" t="n"/>
      <c r="K364" s="343" t="n"/>
      <c r="L364" s="280" t="n"/>
      <c r="M364" s="280" t="n"/>
      <c r="N364" s="345" t="n"/>
      <c r="O364" s="280" t="n"/>
      <c r="P364" s="332">
        <f>IFERROR(VLOOKUP(TEXT(O364,"0"),CONDUCTORES!$A$3:$G$54,2,0),"")</f>
        <v/>
      </c>
      <c r="Q364" s="332">
        <f>IFERROR(VLOOKUP(TEXT(O364,"0"),CONDUCTORES!$A$3:$H$54,6,0),"")</f>
        <v/>
      </c>
      <c r="R364" s="280" t="n"/>
      <c r="S364" s="280" t="n"/>
      <c r="T364" s="280" t="n"/>
      <c r="U364" s="280" t="n"/>
      <c r="V364" s="280" t="n"/>
      <c r="W364" s="280" t="n"/>
      <c r="X364" s="280" t="n"/>
      <c r="Y364" s="280" t="n"/>
      <c r="Z364" s="350" t="n"/>
      <c r="AA364" s="198" t="n"/>
      <c r="AB364" s="198" t="n"/>
      <c r="AC364" s="198" t="n"/>
    </row>
    <row r="365" ht="15" customHeight="1" s="195">
      <c r="A365" s="280" t="n"/>
      <c r="B365" s="280" t="n"/>
      <c r="C365" s="280" t="n"/>
      <c r="D365" s="280" t="n"/>
      <c r="E365" s="280" t="n"/>
      <c r="F365" s="280" t="n"/>
      <c r="G365" s="280" t="n"/>
      <c r="H365" s="280" t="n"/>
      <c r="I365" s="332">
        <f>IFERROR(VLOOKUP(TEXT(H365,"0"),IPRESS!$A$3:$B$212,2,0),"")</f>
        <v/>
      </c>
      <c r="J365" s="280" t="n"/>
      <c r="K365" s="343" t="n"/>
      <c r="L365" s="280" t="n"/>
      <c r="M365" s="280" t="n"/>
      <c r="N365" s="345" t="n"/>
      <c r="O365" s="280" t="n"/>
      <c r="P365" s="332">
        <f>IFERROR(VLOOKUP(TEXT(O365,"0"),CONDUCTORES!$A$3:$G$54,2,0),"")</f>
        <v/>
      </c>
      <c r="Q365" s="332">
        <f>IFERROR(VLOOKUP(TEXT(O365,"0"),CONDUCTORES!$A$3:$H$54,6,0),"")</f>
        <v/>
      </c>
      <c r="R365" s="280" t="n"/>
      <c r="S365" s="280" t="n"/>
      <c r="T365" s="280" t="n"/>
      <c r="U365" s="280" t="n"/>
      <c r="V365" s="280" t="n"/>
      <c r="W365" s="280" t="n"/>
      <c r="X365" s="280" t="n"/>
      <c r="Y365" s="280" t="n"/>
      <c r="Z365" s="350" t="n"/>
      <c r="AA365" s="198" t="n"/>
      <c r="AB365" s="198" t="n"/>
      <c r="AC365" s="198" t="n"/>
    </row>
    <row r="366" ht="15" customHeight="1" s="195">
      <c r="A366" s="280" t="n"/>
      <c r="B366" s="280" t="n"/>
      <c r="C366" s="280" t="n"/>
      <c r="D366" s="280" t="n"/>
      <c r="E366" s="280" t="n"/>
      <c r="F366" s="280" t="n"/>
      <c r="G366" s="280" t="n"/>
      <c r="H366" s="280" t="n"/>
      <c r="I366" s="332">
        <f>IFERROR(VLOOKUP(TEXT(H366,"0"),IPRESS!$A$3:$B$212,2,0),"")</f>
        <v/>
      </c>
      <c r="J366" s="280" t="n"/>
      <c r="K366" s="343" t="n"/>
      <c r="L366" s="280" t="n"/>
      <c r="M366" s="280" t="n"/>
      <c r="N366" s="345" t="n"/>
      <c r="O366" s="280" t="n"/>
      <c r="P366" s="332">
        <f>IFERROR(VLOOKUP(TEXT(O366,"0"),CONDUCTORES!$A$3:$G$54,2,0),"")</f>
        <v/>
      </c>
      <c r="Q366" s="332">
        <f>IFERROR(VLOOKUP(TEXT(O366,"0"),CONDUCTORES!$A$3:$H$54,6,0),"")</f>
        <v/>
      </c>
      <c r="R366" s="280" t="n"/>
      <c r="S366" s="280" t="n"/>
      <c r="T366" s="280" t="n"/>
      <c r="U366" s="280" t="n"/>
      <c r="V366" s="280" t="n"/>
      <c r="W366" s="280" t="n"/>
      <c r="X366" s="280" t="n"/>
      <c r="Y366" s="280" t="n"/>
      <c r="Z366" s="350" t="n"/>
      <c r="AA366" s="198" t="n"/>
      <c r="AB366" s="198" t="n"/>
      <c r="AC366" s="198" t="n"/>
    </row>
    <row r="367" ht="15" customHeight="1" s="195">
      <c r="A367" s="280" t="n"/>
      <c r="B367" s="280" t="n"/>
      <c r="C367" s="280" t="n"/>
      <c r="D367" s="280" t="n"/>
      <c r="E367" s="280" t="n"/>
      <c r="F367" s="280" t="n"/>
      <c r="G367" s="280" t="n"/>
      <c r="H367" s="280" t="n"/>
      <c r="I367" s="332">
        <f>IFERROR(VLOOKUP(TEXT(H367,"0"),IPRESS!$A$3:$B$212,2,0),"")</f>
        <v/>
      </c>
      <c r="J367" s="280" t="n"/>
      <c r="K367" s="343" t="n"/>
      <c r="L367" s="280" t="n"/>
      <c r="M367" s="280" t="n"/>
      <c r="N367" s="345" t="n"/>
      <c r="O367" s="280" t="n"/>
      <c r="P367" s="332">
        <f>IFERROR(VLOOKUP(TEXT(O367,"0"),CONDUCTORES!$A$3:$G$54,2,0),"")</f>
        <v/>
      </c>
      <c r="Q367" s="332">
        <f>IFERROR(VLOOKUP(TEXT(O367,"0"),CONDUCTORES!$A$3:$H$54,6,0),"")</f>
        <v/>
      </c>
      <c r="R367" s="280" t="n"/>
      <c r="S367" s="280" t="n"/>
      <c r="T367" s="280" t="n"/>
      <c r="U367" s="280" t="n"/>
      <c r="V367" s="280" t="n"/>
      <c r="W367" s="280" t="n"/>
      <c r="X367" s="280" t="n"/>
      <c r="Y367" s="280" t="n"/>
      <c r="Z367" s="350" t="n"/>
      <c r="AA367" s="198" t="n"/>
      <c r="AB367" s="198" t="n"/>
      <c r="AC367" s="198" t="n"/>
    </row>
    <row r="368" ht="15" customHeight="1" s="195">
      <c r="A368" s="280" t="n"/>
      <c r="B368" s="280" t="n"/>
      <c r="C368" s="280" t="n"/>
      <c r="D368" s="280" t="n"/>
      <c r="E368" s="280" t="n"/>
      <c r="F368" s="280" t="n"/>
      <c r="G368" s="280" t="n"/>
      <c r="H368" s="280" t="n"/>
      <c r="I368" s="332">
        <f>IFERROR(VLOOKUP(TEXT(H368,"0"),IPRESS!$A$3:$B$212,2,0),"")</f>
        <v/>
      </c>
      <c r="J368" s="280" t="n"/>
      <c r="K368" s="343" t="n"/>
      <c r="L368" s="280" t="n"/>
      <c r="M368" s="280" t="n"/>
      <c r="N368" s="345" t="n"/>
      <c r="O368" s="280" t="n"/>
      <c r="P368" s="332">
        <f>IFERROR(VLOOKUP(TEXT(O368,"0"),CONDUCTORES!$A$3:$G$54,2,0),"")</f>
        <v/>
      </c>
      <c r="Q368" s="332">
        <f>IFERROR(VLOOKUP(TEXT(O368,"0"),CONDUCTORES!$A$3:$H$54,6,0),"")</f>
        <v/>
      </c>
      <c r="R368" s="280" t="n"/>
      <c r="S368" s="280" t="n"/>
      <c r="T368" s="280" t="n"/>
      <c r="U368" s="280" t="n"/>
      <c r="V368" s="280" t="n"/>
      <c r="W368" s="280" t="n"/>
      <c r="X368" s="280" t="n"/>
      <c r="Y368" s="280" t="n"/>
      <c r="Z368" s="350" t="n"/>
      <c r="AA368" s="198" t="n"/>
      <c r="AB368" s="198" t="n"/>
      <c r="AC368" s="198" t="n"/>
    </row>
    <row r="369" ht="15" customHeight="1" s="195">
      <c r="A369" s="280" t="n"/>
      <c r="B369" s="280" t="n"/>
      <c r="C369" s="280" t="n"/>
      <c r="D369" s="280" t="n"/>
      <c r="E369" s="280" t="n"/>
      <c r="F369" s="280" t="n"/>
      <c r="G369" s="280" t="n"/>
      <c r="H369" s="280" t="n"/>
      <c r="I369" s="332">
        <f>IFERROR(VLOOKUP(TEXT(H369,"0"),IPRESS!$A$3:$B$212,2,0),"")</f>
        <v/>
      </c>
      <c r="J369" s="280" t="n"/>
      <c r="K369" s="343" t="n"/>
      <c r="L369" s="280" t="n"/>
      <c r="M369" s="280" t="n"/>
      <c r="N369" s="345" t="n"/>
      <c r="O369" s="280" t="n"/>
      <c r="P369" s="332">
        <f>IFERROR(VLOOKUP(TEXT(O369,"0"),CONDUCTORES!$A$3:$G$54,2,0),"")</f>
        <v/>
      </c>
      <c r="Q369" s="332">
        <f>IFERROR(VLOOKUP(TEXT(O369,"0"),CONDUCTORES!$A$3:$H$54,6,0),"")</f>
        <v/>
      </c>
      <c r="R369" s="280" t="n"/>
      <c r="S369" s="280" t="n"/>
      <c r="T369" s="280" t="n"/>
      <c r="U369" s="280" t="n"/>
      <c r="V369" s="280" t="n"/>
      <c r="W369" s="280" t="n"/>
      <c r="X369" s="280" t="n"/>
      <c r="Y369" s="280" t="n"/>
      <c r="Z369" s="350" t="n"/>
      <c r="AA369" s="198" t="n"/>
      <c r="AB369" s="198" t="n"/>
      <c r="AC369" s="198" t="n"/>
    </row>
    <row r="370" ht="15" customHeight="1" s="195">
      <c r="A370" s="280" t="n"/>
      <c r="B370" s="280" t="n"/>
      <c r="C370" s="280" t="n"/>
      <c r="D370" s="280" t="n"/>
      <c r="E370" s="280" t="n"/>
      <c r="F370" s="280" t="n"/>
      <c r="G370" s="280" t="n"/>
      <c r="H370" s="280" t="n"/>
      <c r="I370" s="332">
        <f>IFERROR(VLOOKUP(TEXT(H370,"0"),IPRESS!$A$3:$B$212,2,0),"")</f>
        <v/>
      </c>
      <c r="J370" s="280" t="n"/>
      <c r="K370" s="343" t="n"/>
      <c r="L370" s="280" t="n"/>
      <c r="M370" s="280" t="n"/>
      <c r="N370" s="345" t="n"/>
      <c r="O370" s="280" t="n"/>
      <c r="P370" s="332">
        <f>IFERROR(VLOOKUP(TEXT(O370,"0"),CONDUCTORES!$A$3:$G$54,2,0),"")</f>
        <v/>
      </c>
      <c r="Q370" s="332">
        <f>IFERROR(VLOOKUP(TEXT(O370,"0"),CONDUCTORES!$A$3:$H$54,6,0),"")</f>
        <v/>
      </c>
      <c r="R370" s="280" t="n"/>
      <c r="S370" s="280" t="n"/>
      <c r="T370" s="280" t="n"/>
      <c r="U370" s="280" t="n"/>
      <c r="V370" s="280" t="n"/>
      <c r="W370" s="280" t="n"/>
      <c r="X370" s="280" t="n"/>
      <c r="Y370" s="280" t="n"/>
      <c r="Z370" s="350" t="n"/>
      <c r="AA370" s="198" t="n"/>
      <c r="AB370" s="198" t="n"/>
      <c r="AC370" s="198" t="n"/>
    </row>
    <row r="371" ht="15" customHeight="1" s="195">
      <c r="A371" s="280" t="n"/>
      <c r="B371" s="280" t="n"/>
      <c r="C371" s="280" t="n"/>
      <c r="D371" s="280" t="n"/>
      <c r="E371" s="280" t="n"/>
      <c r="F371" s="280" t="n"/>
      <c r="G371" s="280" t="n"/>
      <c r="H371" s="280" t="n"/>
      <c r="I371" s="332">
        <f>IFERROR(VLOOKUP(TEXT(H371,"0"),IPRESS!$A$3:$B$212,2,0),"")</f>
        <v/>
      </c>
      <c r="J371" s="280" t="n"/>
      <c r="K371" s="343" t="n"/>
      <c r="L371" s="280" t="n"/>
      <c r="M371" s="280" t="n"/>
      <c r="N371" s="345" t="n"/>
      <c r="O371" s="280" t="n"/>
      <c r="P371" s="332">
        <f>IFERROR(VLOOKUP(TEXT(O371,"0"),CONDUCTORES!$A$3:$G$54,2,0),"")</f>
        <v/>
      </c>
      <c r="Q371" s="332">
        <f>IFERROR(VLOOKUP(TEXT(O371,"0"),CONDUCTORES!$A$3:$H$54,6,0),"")</f>
        <v/>
      </c>
      <c r="R371" s="280" t="n"/>
      <c r="S371" s="280" t="n"/>
      <c r="T371" s="280" t="n"/>
      <c r="U371" s="280" t="n"/>
      <c r="V371" s="280" t="n"/>
      <c r="W371" s="280" t="n"/>
      <c r="X371" s="280" t="n"/>
      <c r="Y371" s="280" t="n"/>
      <c r="Z371" s="350" t="n"/>
      <c r="AA371" s="198" t="n"/>
      <c r="AB371" s="198" t="n"/>
      <c r="AC371" s="198" t="n"/>
    </row>
    <row r="372" ht="15" customHeight="1" s="195">
      <c r="A372" s="280" t="n"/>
      <c r="B372" s="280" t="n"/>
      <c r="C372" s="280" t="n"/>
      <c r="D372" s="280" t="n"/>
      <c r="E372" s="280" t="n"/>
      <c r="F372" s="280" t="n"/>
      <c r="G372" s="280" t="n"/>
      <c r="H372" s="280" t="n"/>
      <c r="I372" s="332">
        <f>IFERROR(VLOOKUP(TEXT(H372,"0"),IPRESS!$A$3:$B$212,2,0),"")</f>
        <v/>
      </c>
      <c r="J372" s="280" t="n"/>
      <c r="K372" s="343" t="n"/>
      <c r="L372" s="280" t="n"/>
      <c r="M372" s="280" t="n"/>
      <c r="N372" s="345" t="n"/>
      <c r="O372" s="280" t="n"/>
      <c r="P372" s="332">
        <f>IFERROR(VLOOKUP(TEXT(O372,"0"),CONDUCTORES!$A$3:$G$54,2,0),"")</f>
        <v/>
      </c>
      <c r="Q372" s="332">
        <f>IFERROR(VLOOKUP(TEXT(O372,"0"),CONDUCTORES!$A$3:$H$54,6,0),"")</f>
        <v/>
      </c>
      <c r="R372" s="280" t="n"/>
      <c r="S372" s="280" t="n"/>
      <c r="T372" s="280" t="n"/>
      <c r="U372" s="280" t="n"/>
      <c r="V372" s="280" t="n"/>
      <c r="W372" s="280" t="n"/>
      <c r="X372" s="280" t="n"/>
      <c r="Y372" s="280" t="n"/>
      <c r="Z372" s="350" t="n"/>
      <c r="AA372" s="198" t="n"/>
      <c r="AB372" s="198" t="n"/>
      <c r="AC372" s="198" t="n"/>
    </row>
    <row r="373" ht="15" customHeight="1" s="195">
      <c r="A373" s="280" t="n"/>
      <c r="B373" s="280" t="n"/>
      <c r="C373" s="280" t="n"/>
      <c r="D373" s="280" t="n"/>
      <c r="E373" s="280" t="n"/>
      <c r="F373" s="280" t="n"/>
      <c r="G373" s="280" t="n"/>
      <c r="H373" s="280" t="n"/>
      <c r="I373" s="332">
        <f>IFERROR(VLOOKUP(TEXT(H373,"0"),IPRESS!$A$3:$B$212,2,0),"")</f>
        <v/>
      </c>
      <c r="J373" s="280" t="n"/>
      <c r="K373" s="343" t="n"/>
      <c r="L373" s="280" t="n"/>
      <c r="M373" s="280" t="n"/>
      <c r="N373" s="345" t="n"/>
      <c r="O373" s="280" t="n"/>
      <c r="P373" s="332">
        <f>IFERROR(VLOOKUP(TEXT(O373,"0"),CONDUCTORES!$A$3:$G$54,2,0),"")</f>
        <v/>
      </c>
      <c r="Q373" s="332">
        <f>IFERROR(VLOOKUP(TEXT(O373,"0"),CONDUCTORES!$A$3:$H$54,6,0),"")</f>
        <v/>
      </c>
      <c r="R373" s="280" t="n"/>
      <c r="S373" s="280" t="n"/>
      <c r="T373" s="280" t="n"/>
      <c r="U373" s="280" t="n"/>
      <c r="V373" s="280" t="n"/>
      <c r="W373" s="280" t="n"/>
      <c r="X373" s="280" t="n"/>
      <c r="Y373" s="280" t="n"/>
      <c r="Z373" s="350" t="n"/>
      <c r="AA373" s="198" t="n"/>
      <c r="AB373" s="198" t="n"/>
      <c r="AC373" s="198" t="n"/>
    </row>
    <row r="374" ht="15" customHeight="1" s="195">
      <c r="A374" s="280" t="n"/>
      <c r="B374" s="280" t="n"/>
      <c r="C374" s="280" t="n"/>
      <c r="D374" s="280" t="n"/>
      <c r="E374" s="280" t="n"/>
      <c r="F374" s="280" t="n"/>
      <c r="G374" s="280" t="n"/>
      <c r="H374" s="280" t="n"/>
      <c r="I374" s="332">
        <f>IFERROR(VLOOKUP(TEXT(H374,"0"),IPRESS!$A$3:$B$212,2,0),"")</f>
        <v/>
      </c>
      <c r="J374" s="280" t="n"/>
      <c r="K374" s="343" t="n"/>
      <c r="L374" s="280" t="n"/>
      <c r="M374" s="280" t="n"/>
      <c r="N374" s="345" t="n"/>
      <c r="O374" s="280" t="n"/>
      <c r="P374" s="332">
        <f>IFERROR(VLOOKUP(TEXT(O374,"0"),CONDUCTORES!$A$3:$G$54,2,0),"")</f>
        <v/>
      </c>
      <c r="Q374" s="332">
        <f>IFERROR(VLOOKUP(TEXT(O374,"0"),CONDUCTORES!$A$3:$H$54,6,0),"")</f>
        <v/>
      </c>
      <c r="R374" s="280" t="n"/>
      <c r="S374" s="280" t="n"/>
      <c r="T374" s="280" t="n"/>
      <c r="U374" s="280" t="n"/>
      <c r="V374" s="280" t="n"/>
      <c r="W374" s="280" t="n"/>
      <c r="X374" s="280" t="n"/>
      <c r="Y374" s="280" t="n"/>
      <c r="Z374" s="350" t="n"/>
      <c r="AA374" s="198" t="n"/>
      <c r="AB374" s="198" t="n"/>
      <c r="AC374" s="198" t="n"/>
    </row>
    <row r="375" ht="15" customHeight="1" s="195">
      <c r="A375" s="280" t="n"/>
      <c r="B375" s="280" t="n"/>
      <c r="C375" s="280" t="n"/>
      <c r="D375" s="280" t="n"/>
      <c r="E375" s="280" t="n"/>
      <c r="F375" s="280" t="n"/>
      <c r="G375" s="280" t="n"/>
      <c r="H375" s="280" t="n"/>
      <c r="I375" s="332">
        <f>IFERROR(VLOOKUP(TEXT(H375,"0"),IPRESS!$A$3:$B$212,2,0),"")</f>
        <v/>
      </c>
      <c r="J375" s="280" t="n"/>
      <c r="K375" s="343" t="n"/>
      <c r="L375" s="280" t="n"/>
      <c r="M375" s="280" t="n"/>
      <c r="N375" s="345" t="n"/>
      <c r="O375" s="280" t="n"/>
      <c r="P375" s="332">
        <f>IFERROR(VLOOKUP(TEXT(O375,"0"),CONDUCTORES!$A$3:$G$54,2,0),"")</f>
        <v/>
      </c>
      <c r="Q375" s="332">
        <f>IFERROR(VLOOKUP(TEXT(O375,"0"),CONDUCTORES!$A$3:$H$54,6,0),"")</f>
        <v/>
      </c>
      <c r="R375" s="280" t="n"/>
      <c r="S375" s="280" t="n"/>
      <c r="T375" s="280" t="n"/>
      <c r="U375" s="280" t="n"/>
      <c r="V375" s="280" t="n"/>
      <c r="W375" s="280" t="n"/>
      <c r="X375" s="280" t="n"/>
      <c r="Y375" s="280" t="n"/>
      <c r="Z375" s="350" t="n"/>
      <c r="AA375" s="198" t="n"/>
      <c r="AB375" s="198" t="n"/>
      <c r="AC375" s="198" t="n"/>
    </row>
    <row r="376" ht="15" customHeight="1" s="195">
      <c r="A376" s="280" t="n"/>
      <c r="B376" s="280" t="n"/>
      <c r="C376" s="280" t="n"/>
      <c r="D376" s="280" t="n"/>
      <c r="E376" s="280" t="n"/>
      <c r="F376" s="280" t="n"/>
      <c r="G376" s="280" t="n"/>
      <c r="H376" s="280" t="n"/>
      <c r="I376" s="332">
        <f>IFERROR(VLOOKUP(TEXT(H376,"0"),IPRESS!$A$3:$B$212,2,0),"")</f>
        <v/>
      </c>
      <c r="J376" s="280" t="n"/>
      <c r="K376" s="343" t="n"/>
      <c r="L376" s="280" t="n"/>
      <c r="M376" s="280" t="n"/>
      <c r="N376" s="345" t="n"/>
      <c r="O376" s="280" t="n"/>
      <c r="P376" s="332">
        <f>IFERROR(VLOOKUP(TEXT(O376,"0"),CONDUCTORES!$A$3:$G$54,2,0),"")</f>
        <v/>
      </c>
      <c r="Q376" s="332">
        <f>IFERROR(VLOOKUP(TEXT(O376,"0"),CONDUCTORES!$A$3:$H$54,6,0),"")</f>
        <v/>
      </c>
      <c r="R376" s="280" t="n"/>
      <c r="S376" s="280" t="n"/>
      <c r="T376" s="280" t="n"/>
      <c r="U376" s="280" t="n"/>
      <c r="V376" s="280" t="n"/>
      <c r="W376" s="280" t="n"/>
      <c r="X376" s="280" t="n"/>
      <c r="Y376" s="280" t="n"/>
      <c r="Z376" s="350" t="n"/>
      <c r="AA376" s="198" t="n"/>
      <c r="AB376" s="198" t="n"/>
      <c r="AC376" s="198" t="n"/>
    </row>
    <row r="377" ht="15" customHeight="1" s="195">
      <c r="A377" s="280" t="n"/>
      <c r="B377" s="280" t="n"/>
      <c r="C377" s="280" t="n"/>
      <c r="D377" s="280" t="n"/>
      <c r="E377" s="280" t="n"/>
      <c r="F377" s="280" t="n"/>
      <c r="G377" s="280" t="n"/>
      <c r="H377" s="280" t="n"/>
      <c r="I377" s="332">
        <f>IFERROR(VLOOKUP(TEXT(H377,"0"),IPRESS!$A$3:$B$212,2,0),"")</f>
        <v/>
      </c>
      <c r="J377" s="280" t="n"/>
      <c r="K377" s="343" t="n"/>
      <c r="L377" s="280" t="n"/>
      <c r="M377" s="280" t="n"/>
      <c r="N377" s="345" t="n"/>
      <c r="O377" s="280" t="n"/>
      <c r="P377" s="332">
        <f>IFERROR(VLOOKUP(TEXT(O377,"0"),CONDUCTORES!$A$3:$G$54,2,0),"")</f>
        <v/>
      </c>
      <c r="Q377" s="332">
        <f>IFERROR(VLOOKUP(TEXT(O377,"0"),CONDUCTORES!$A$3:$H$54,6,0),"")</f>
        <v/>
      </c>
      <c r="R377" s="280" t="n"/>
      <c r="S377" s="280" t="n"/>
      <c r="T377" s="280" t="n"/>
      <c r="U377" s="280" t="n"/>
      <c r="V377" s="280" t="n"/>
      <c r="W377" s="280" t="n"/>
      <c r="X377" s="280" t="n"/>
      <c r="Y377" s="280" t="n"/>
      <c r="Z377" s="350" t="n"/>
      <c r="AA377" s="198" t="n"/>
      <c r="AB377" s="198" t="n"/>
      <c r="AC377" s="198" t="n"/>
    </row>
    <row r="378" ht="15" customHeight="1" s="195">
      <c r="A378" s="280" t="n"/>
      <c r="B378" s="280" t="n"/>
      <c r="C378" s="280" t="n"/>
      <c r="D378" s="280" t="n"/>
      <c r="E378" s="280" t="n"/>
      <c r="F378" s="280" t="n"/>
      <c r="G378" s="280" t="n"/>
      <c r="H378" s="280" t="n"/>
      <c r="I378" s="332">
        <f>IFERROR(VLOOKUP(TEXT(H378,"0"),IPRESS!$A$3:$B$212,2,0),"")</f>
        <v/>
      </c>
      <c r="J378" s="280" t="n"/>
      <c r="K378" s="343" t="n"/>
      <c r="L378" s="280" t="n"/>
      <c r="M378" s="280" t="n"/>
      <c r="N378" s="345" t="n"/>
      <c r="O378" s="280" t="n"/>
      <c r="P378" s="332">
        <f>IFERROR(VLOOKUP(TEXT(O378,"0"),CONDUCTORES!$A$3:$G$54,2,0),"")</f>
        <v/>
      </c>
      <c r="Q378" s="332">
        <f>IFERROR(VLOOKUP(TEXT(O378,"0"),CONDUCTORES!$A$3:$H$54,6,0),"")</f>
        <v/>
      </c>
      <c r="R378" s="280" t="n"/>
      <c r="S378" s="280" t="n"/>
      <c r="T378" s="280" t="n"/>
      <c r="U378" s="280" t="n"/>
      <c r="V378" s="280" t="n"/>
      <c r="W378" s="280" t="n"/>
      <c r="X378" s="280" t="n"/>
      <c r="Y378" s="280" t="n"/>
      <c r="Z378" s="350" t="n"/>
      <c r="AA378" s="198" t="n"/>
      <c r="AB378" s="198" t="n"/>
      <c r="AC378" s="198" t="n"/>
    </row>
    <row r="379" ht="15" customHeight="1" s="195">
      <c r="A379" s="280" t="n"/>
      <c r="B379" s="280" t="n"/>
      <c r="C379" s="280" t="n"/>
      <c r="D379" s="280" t="n"/>
      <c r="E379" s="280" t="n"/>
      <c r="F379" s="280" t="n"/>
      <c r="G379" s="280" t="n"/>
      <c r="H379" s="280" t="n"/>
      <c r="I379" s="332">
        <f>IFERROR(VLOOKUP(TEXT(H379,"0"),IPRESS!$A$3:$B$212,2,0),"")</f>
        <v/>
      </c>
      <c r="J379" s="280" t="n"/>
      <c r="K379" s="343" t="n"/>
      <c r="L379" s="280" t="n"/>
      <c r="M379" s="280" t="n"/>
      <c r="N379" s="345" t="n"/>
      <c r="O379" s="280" t="n"/>
      <c r="P379" s="332">
        <f>IFERROR(VLOOKUP(TEXT(O379,"0"),CONDUCTORES!$A$3:$G$54,2,0),"")</f>
        <v/>
      </c>
      <c r="Q379" s="332">
        <f>IFERROR(VLOOKUP(TEXT(O379,"0"),CONDUCTORES!$A$3:$H$54,6,0),"")</f>
        <v/>
      </c>
      <c r="R379" s="280" t="n"/>
      <c r="S379" s="280" t="n"/>
      <c r="T379" s="280" t="n"/>
      <c r="U379" s="280" t="n"/>
      <c r="V379" s="280" t="n"/>
      <c r="W379" s="280" t="n"/>
      <c r="X379" s="280" t="n"/>
      <c r="Y379" s="280" t="n"/>
      <c r="Z379" s="350" t="n"/>
      <c r="AA379" s="198" t="n"/>
      <c r="AB379" s="198" t="n"/>
      <c r="AC379" s="198" t="n"/>
    </row>
    <row r="380" ht="15" customHeight="1" s="195">
      <c r="A380" s="280" t="n"/>
      <c r="B380" s="280" t="n"/>
      <c r="C380" s="280" t="n"/>
      <c r="D380" s="280" t="n"/>
      <c r="E380" s="280" t="n"/>
      <c r="F380" s="280" t="n"/>
      <c r="G380" s="280" t="n"/>
      <c r="H380" s="280" t="n"/>
      <c r="I380" s="332">
        <f>IFERROR(VLOOKUP(TEXT(H380,"0"),IPRESS!$A$3:$B$212,2,0),"")</f>
        <v/>
      </c>
      <c r="J380" s="280" t="n"/>
      <c r="K380" s="343" t="n"/>
      <c r="L380" s="280" t="n"/>
      <c r="M380" s="280" t="n"/>
      <c r="N380" s="345" t="n"/>
      <c r="O380" s="280" t="n"/>
      <c r="P380" s="332">
        <f>IFERROR(VLOOKUP(TEXT(O380,"0"),CONDUCTORES!$A$3:$G$54,2,0),"")</f>
        <v/>
      </c>
      <c r="Q380" s="332">
        <f>IFERROR(VLOOKUP(TEXT(O380,"0"),CONDUCTORES!$A$3:$H$54,6,0),"")</f>
        <v/>
      </c>
      <c r="R380" s="280" t="n"/>
      <c r="S380" s="280" t="n"/>
      <c r="T380" s="280" t="n"/>
      <c r="U380" s="280" t="n"/>
      <c r="V380" s="280" t="n"/>
      <c r="W380" s="280" t="n"/>
      <c r="X380" s="280" t="n"/>
      <c r="Y380" s="280" t="n"/>
      <c r="Z380" s="350" t="n"/>
      <c r="AA380" s="198" t="n"/>
      <c r="AB380" s="198" t="n"/>
      <c r="AC380" s="198" t="n"/>
    </row>
    <row r="381" ht="15" customHeight="1" s="195">
      <c r="A381" s="280" t="n"/>
      <c r="B381" s="280" t="n"/>
      <c r="C381" s="280" t="n"/>
      <c r="D381" s="280" t="n"/>
      <c r="E381" s="280" t="n"/>
      <c r="F381" s="280" t="n"/>
      <c r="G381" s="280" t="n"/>
      <c r="H381" s="280" t="n"/>
      <c r="I381" s="332">
        <f>IFERROR(VLOOKUP(TEXT(H381,"0"),IPRESS!$A$3:$B$212,2,0),"")</f>
        <v/>
      </c>
      <c r="J381" s="280" t="n"/>
      <c r="K381" s="343" t="n"/>
      <c r="L381" s="280" t="n"/>
      <c r="M381" s="280" t="n"/>
      <c r="N381" s="345" t="n"/>
      <c r="O381" s="280" t="n"/>
      <c r="P381" s="332">
        <f>IFERROR(VLOOKUP(TEXT(O381,"0"),CONDUCTORES!$A$3:$G$54,2,0),"")</f>
        <v/>
      </c>
      <c r="Q381" s="332">
        <f>IFERROR(VLOOKUP(TEXT(O381,"0"),CONDUCTORES!$A$3:$H$54,6,0),"")</f>
        <v/>
      </c>
      <c r="R381" s="280" t="n"/>
      <c r="S381" s="280" t="n"/>
      <c r="T381" s="280" t="n"/>
      <c r="U381" s="280" t="n"/>
      <c r="V381" s="280" t="n"/>
      <c r="W381" s="280" t="n"/>
      <c r="X381" s="280" t="n"/>
      <c r="Y381" s="280" t="n"/>
      <c r="Z381" s="350" t="n"/>
      <c r="AA381" s="198" t="n"/>
      <c r="AB381" s="198" t="n"/>
      <c r="AC381" s="198" t="n"/>
    </row>
    <row r="382" ht="15" customHeight="1" s="195">
      <c r="A382" s="280" t="n"/>
      <c r="B382" s="280" t="n"/>
      <c r="C382" s="280" t="n"/>
      <c r="D382" s="280" t="n"/>
      <c r="E382" s="280" t="n"/>
      <c r="F382" s="280" t="n"/>
      <c r="G382" s="280" t="n"/>
      <c r="H382" s="280" t="n"/>
      <c r="I382" s="332">
        <f>IFERROR(VLOOKUP(TEXT(H382,"0"),IPRESS!$A$3:$B$212,2,0),"")</f>
        <v/>
      </c>
      <c r="J382" s="280" t="n"/>
      <c r="K382" s="343" t="n"/>
      <c r="L382" s="280" t="n"/>
      <c r="M382" s="280" t="n"/>
      <c r="N382" s="345" t="n"/>
      <c r="O382" s="280" t="n"/>
      <c r="P382" s="332">
        <f>IFERROR(VLOOKUP(TEXT(O382,"0"),CONDUCTORES!$A$3:$G$54,2,0),"")</f>
        <v/>
      </c>
      <c r="Q382" s="332">
        <f>IFERROR(VLOOKUP(TEXT(O382,"0"),CONDUCTORES!$A$3:$H$54,6,0),"")</f>
        <v/>
      </c>
      <c r="R382" s="280" t="n"/>
      <c r="S382" s="280" t="n"/>
      <c r="T382" s="280" t="n"/>
      <c r="U382" s="280" t="n"/>
      <c r="V382" s="280" t="n"/>
      <c r="W382" s="280" t="n"/>
      <c r="X382" s="280" t="n"/>
      <c r="Y382" s="280" t="n"/>
      <c r="Z382" s="350" t="n"/>
      <c r="AA382" s="198" t="n"/>
      <c r="AB382" s="198" t="n"/>
      <c r="AC382" s="198" t="n"/>
    </row>
    <row r="383" ht="15" customHeight="1" s="195">
      <c r="A383" s="280" t="n"/>
      <c r="B383" s="280" t="n"/>
      <c r="C383" s="280" t="n"/>
      <c r="D383" s="280" t="n"/>
      <c r="E383" s="280" t="n"/>
      <c r="F383" s="280" t="n"/>
      <c r="G383" s="280" t="n"/>
      <c r="H383" s="280" t="n"/>
      <c r="I383" s="332">
        <f>IFERROR(VLOOKUP(TEXT(H383,"0"),IPRESS!$A$3:$B$212,2,0),"")</f>
        <v/>
      </c>
      <c r="J383" s="280" t="n"/>
      <c r="K383" s="343" t="n"/>
      <c r="L383" s="280" t="n"/>
      <c r="M383" s="280" t="n"/>
      <c r="N383" s="345" t="n"/>
      <c r="O383" s="280" t="n"/>
      <c r="P383" s="332">
        <f>IFERROR(VLOOKUP(TEXT(O383,"0"),CONDUCTORES!$A$3:$G$54,2,0),"")</f>
        <v/>
      </c>
      <c r="Q383" s="332">
        <f>IFERROR(VLOOKUP(TEXT(O383,"0"),CONDUCTORES!$A$3:$H$54,6,0),"")</f>
        <v/>
      </c>
      <c r="R383" s="280" t="n"/>
      <c r="S383" s="280" t="n"/>
      <c r="T383" s="280" t="n"/>
      <c r="U383" s="280" t="n"/>
      <c r="V383" s="280" t="n"/>
      <c r="W383" s="280" t="n"/>
      <c r="X383" s="280" t="n"/>
      <c r="Y383" s="280" t="n"/>
      <c r="Z383" s="350" t="n"/>
      <c r="AA383" s="198" t="n"/>
      <c r="AB383" s="198" t="n"/>
      <c r="AC383" s="198" t="n"/>
    </row>
    <row r="384" ht="15" customHeight="1" s="195">
      <c r="A384" s="280" t="n"/>
      <c r="B384" s="280" t="n"/>
      <c r="C384" s="280" t="n"/>
      <c r="D384" s="280" t="n"/>
      <c r="E384" s="280" t="n"/>
      <c r="F384" s="280" t="n"/>
      <c r="G384" s="280" t="n"/>
      <c r="H384" s="280" t="n"/>
      <c r="I384" s="332">
        <f>IFERROR(VLOOKUP(TEXT(H384,"0"),IPRESS!$A$3:$B$212,2,0),"")</f>
        <v/>
      </c>
      <c r="J384" s="280" t="n"/>
      <c r="K384" s="343" t="n"/>
      <c r="L384" s="280" t="n"/>
      <c r="M384" s="280" t="n"/>
      <c r="N384" s="345" t="n"/>
      <c r="O384" s="280" t="n"/>
      <c r="P384" s="332">
        <f>IFERROR(VLOOKUP(TEXT(O384,"0"),CONDUCTORES!$A$3:$G$54,2,0),"")</f>
        <v/>
      </c>
      <c r="Q384" s="332">
        <f>IFERROR(VLOOKUP(TEXT(O384,"0"),CONDUCTORES!$A$3:$H$54,6,0),"")</f>
        <v/>
      </c>
      <c r="R384" s="280" t="n"/>
      <c r="S384" s="280" t="n"/>
      <c r="T384" s="280" t="n"/>
      <c r="U384" s="280" t="n"/>
      <c r="V384" s="280" t="n"/>
      <c r="W384" s="280" t="n"/>
      <c r="X384" s="280" t="n"/>
      <c r="Y384" s="280" t="n"/>
      <c r="Z384" s="350" t="n"/>
      <c r="AA384" s="198" t="n"/>
      <c r="AB384" s="198" t="n"/>
      <c r="AC384" s="198" t="n"/>
    </row>
    <row r="385" ht="15" customHeight="1" s="195">
      <c r="A385" s="280" t="n"/>
      <c r="B385" s="280" t="n"/>
      <c r="C385" s="280" t="n"/>
      <c r="D385" s="280" t="n"/>
      <c r="E385" s="280" t="n"/>
      <c r="F385" s="280" t="n"/>
      <c r="G385" s="280" t="n"/>
      <c r="H385" s="280" t="n"/>
      <c r="I385" s="332">
        <f>IFERROR(VLOOKUP(TEXT(H385,"0"),IPRESS!$A$3:$B$212,2,0),"")</f>
        <v/>
      </c>
      <c r="J385" s="280" t="n"/>
      <c r="K385" s="343" t="n"/>
      <c r="L385" s="280" t="n"/>
      <c r="M385" s="280" t="n"/>
      <c r="N385" s="345" t="n"/>
      <c r="O385" s="280" t="n"/>
      <c r="P385" s="332">
        <f>IFERROR(VLOOKUP(TEXT(O385,"0"),CONDUCTORES!$A$3:$G$54,2,0),"")</f>
        <v/>
      </c>
      <c r="Q385" s="332">
        <f>IFERROR(VLOOKUP(TEXT(O385,"0"),CONDUCTORES!$A$3:$H$54,6,0),"")</f>
        <v/>
      </c>
      <c r="R385" s="280" t="n"/>
      <c r="S385" s="280" t="n"/>
      <c r="T385" s="280" t="n"/>
      <c r="U385" s="280" t="n"/>
      <c r="V385" s="280" t="n"/>
      <c r="W385" s="280" t="n"/>
      <c r="X385" s="280" t="n"/>
      <c r="Y385" s="280" t="n"/>
      <c r="Z385" s="350" t="n"/>
      <c r="AA385" s="198" t="n"/>
      <c r="AB385" s="198" t="n"/>
      <c r="AC385" s="198" t="n"/>
    </row>
    <row r="386" ht="15" customHeight="1" s="195">
      <c r="A386" s="280" t="n"/>
      <c r="B386" s="280" t="n"/>
      <c r="C386" s="280" t="n"/>
      <c r="D386" s="280" t="n"/>
      <c r="E386" s="280" t="n"/>
      <c r="F386" s="280" t="n"/>
      <c r="G386" s="280" t="n"/>
      <c r="H386" s="280" t="n"/>
      <c r="I386" s="332">
        <f>IFERROR(VLOOKUP(TEXT(H386,"0"),IPRESS!$A$3:$B$212,2,0),"")</f>
        <v/>
      </c>
      <c r="J386" s="280" t="n"/>
      <c r="K386" s="343" t="n"/>
      <c r="L386" s="280" t="n"/>
      <c r="M386" s="280" t="n"/>
      <c r="N386" s="345" t="n"/>
      <c r="O386" s="280" t="n"/>
      <c r="P386" s="332">
        <f>IFERROR(VLOOKUP(TEXT(O386,"0"),CONDUCTORES!$A$3:$G$54,2,0),"")</f>
        <v/>
      </c>
      <c r="Q386" s="332">
        <f>IFERROR(VLOOKUP(TEXT(O386,"0"),CONDUCTORES!$A$3:$H$54,6,0),"")</f>
        <v/>
      </c>
      <c r="R386" s="280" t="n"/>
      <c r="S386" s="280" t="n"/>
      <c r="T386" s="280" t="n"/>
      <c r="U386" s="280" t="n"/>
      <c r="V386" s="280" t="n"/>
      <c r="W386" s="280" t="n"/>
      <c r="X386" s="280" t="n"/>
      <c r="Y386" s="280" t="n"/>
      <c r="Z386" s="350" t="n"/>
      <c r="AA386" s="198" t="n"/>
      <c r="AB386" s="198" t="n"/>
      <c r="AC386" s="198" t="n"/>
    </row>
    <row r="387" ht="15" customHeight="1" s="195">
      <c r="A387" s="280" t="n"/>
      <c r="B387" s="280" t="n"/>
      <c r="C387" s="280" t="n"/>
      <c r="D387" s="280" t="n"/>
      <c r="E387" s="280" t="n"/>
      <c r="F387" s="280" t="n"/>
      <c r="G387" s="280" t="n"/>
      <c r="H387" s="280" t="n"/>
      <c r="I387" s="332">
        <f>IFERROR(VLOOKUP(TEXT(H387,"0"),IPRESS!$A$3:$B$212,2,0),"")</f>
        <v/>
      </c>
      <c r="J387" s="280" t="n"/>
      <c r="K387" s="343" t="n"/>
      <c r="L387" s="280" t="n"/>
      <c r="M387" s="280" t="n"/>
      <c r="N387" s="345" t="n"/>
      <c r="O387" s="280" t="n"/>
      <c r="P387" s="332">
        <f>IFERROR(VLOOKUP(TEXT(O387,"0"),CONDUCTORES!$A$3:$G$54,2,0),"")</f>
        <v/>
      </c>
      <c r="Q387" s="332">
        <f>IFERROR(VLOOKUP(TEXT(O387,"0"),CONDUCTORES!$A$3:$H$54,6,0),"")</f>
        <v/>
      </c>
      <c r="R387" s="280" t="n"/>
      <c r="S387" s="280" t="n"/>
      <c r="T387" s="280" t="n"/>
      <c r="U387" s="280" t="n"/>
      <c r="V387" s="280" t="n"/>
      <c r="W387" s="280" t="n"/>
      <c r="X387" s="280" t="n"/>
      <c r="Y387" s="280" t="n"/>
      <c r="Z387" s="350" t="n"/>
      <c r="AA387" s="198" t="n"/>
      <c r="AB387" s="198" t="n"/>
      <c r="AC387" s="198" t="n"/>
    </row>
    <row r="388" ht="15" customHeight="1" s="195">
      <c r="A388" s="280" t="n"/>
      <c r="B388" s="280" t="n"/>
      <c r="C388" s="280" t="n"/>
      <c r="D388" s="280" t="n"/>
      <c r="E388" s="280" t="n"/>
      <c r="F388" s="280" t="n"/>
      <c r="G388" s="280" t="n"/>
      <c r="H388" s="280" t="n"/>
      <c r="I388" s="332">
        <f>IFERROR(VLOOKUP(TEXT(H388,"0"),IPRESS!$A$3:$B$212,2,0),"")</f>
        <v/>
      </c>
      <c r="J388" s="280" t="n"/>
      <c r="K388" s="343" t="n"/>
      <c r="L388" s="280" t="n"/>
      <c r="M388" s="280" t="n"/>
      <c r="N388" s="345" t="n"/>
      <c r="O388" s="280" t="n"/>
      <c r="P388" s="332">
        <f>IFERROR(VLOOKUP(TEXT(O388,"0"),CONDUCTORES!$A$3:$G$54,2,0),"")</f>
        <v/>
      </c>
      <c r="Q388" s="332">
        <f>IFERROR(VLOOKUP(TEXT(O388,"0"),CONDUCTORES!$A$3:$H$54,6,0),"")</f>
        <v/>
      </c>
      <c r="R388" s="280" t="n"/>
      <c r="S388" s="280" t="n"/>
      <c r="T388" s="280" t="n"/>
      <c r="U388" s="280" t="n"/>
      <c r="V388" s="280" t="n"/>
      <c r="W388" s="280" t="n"/>
      <c r="X388" s="280" t="n"/>
      <c r="Y388" s="280" t="n"/>
      <c r="Z388" s="350" t="n"/>
      <c r="AA388" s="198" t="n"/>
      <c r="AB388" s="198" t="n"/>
      <c r="AC388" s="198" t="n"/>
    </row>
    <row r="389" ht="15" customHeight="1" s="195">
      <c r="A389" s="280" t="n"/>
      <c r="B389" s="280" t="n"/>
      <c r="C389" s="280" t="n"/>
      <c r="D389" s="280" t="n"/>
      <c r="E389" s="280" t="n"/>
      <c r="F389" s="280" t="n"/>
      <c r="G389" s="280" t="n"/>
      <c r="H389" s="280" t="n"/>
      <c r="I389" s="332">
        <f>IFERROR(VLOOKUP(TEXT(H389,"0"),IPRESS!$A$3:$B$212,2,0),"")</f>
        <v/>
      </c>
      <c r="J389" s="280" t="n"/>
      <c r="K389" s="343" t="n"/>
      <c r="L389" s="280" t="n"/>
      <c r="M389" s="280" t="n"/>
      <c r="N389" s="345" t="n"/>
      <c r="O389" s="280" t="n"/>
      <c r="P389" s="332">
        <f>IFERROR(VLOOKUP(TEXT(O389,"0"),CONDUCTORES!$A$3:$G$54,2,0),"")</f>
        <v/>
      </c>
      <c r="Q389" s="332">
        <f>IFERROR(VLOOKUP(TEXT(O389,"0"),CONDUCTORES!$A$3:$H$54,6,0),"")</f>
        <v/>
      </c>
      <c r="R389" s="280" t="n"/>
      <c r="S389" s="280" t="n"/>
      <c r="T389" s="280" t="n"/>
      <c r="U389" s="280" t="n"/>
      <c r="V389" s="280" t="n"/>
      <c r="W389" s="280" t="n"/>
      <c r="X389" s="280" t="n"/>
      <c r="Y389" s="280" t="n"/>
      <c r="Z389" s="350" t="n"/>
      <c r="AA389" s="198" t="n"/>
      <c r="AB389" s="198" t="n"/>
      <c r="AC389" s="198" t="n"/>
    </row>
    <row r="390" ht="15" customHeight="1" s="195">
      <c r="A390" s="280" t="n"/>
      <c r="B390" s="280" t="n"/>
      <c r="C390" s="280" t="n"/>
      <c r="D390" s="280" t="n"/>
      <c r="E390" s="280" t="n"/>
      <c r="F390" s="280" t="n"/>
      <c r="G390" s="280" t="n"/>
      <c r="H390" s="280" t="n"/>
      <c r="I390" s="332">
        <f>IFERROR(VLOOKUP(TEXT(H390,"0"),IPRESS!$A$3:$B$212,2,0),"")</f>
        <v/>
      </c>
      <c r="J390" s="280" t="n"/>
      <c r="K390" s="343" t="n"/>
      <c r="L390" s="280" t="n"/>
      <c r="M390" s="280" t="n"/>
      <c r="N390" s="345" t="n"/>
      <c r="O390" s="280" t="n"/>
      <c r="P390" s="332">
        <f>IFERROR(VLOOKUP(TEXT(O390,"0"),CONDUCTORES!$A$3:$G$54,2,0),"")</f>
        <v/>
      </c>
      <c r="Q390" s="332">
        <f>IFERROR(VLOOKUP(TEXT(O390,"0"),CONDUCTORES!$A$3:$H$54,6,0),"")</f>
        <v/>
      </c>
      <c r="R390" s="280" t="n"/>
      <c r="S390" s="280" t="n"/>
      <c r="T390" s="280" t="n"/>
      <c r="U390" s="280" t="n"/>
      <c r="V390" s="280" t="n"/>
      <c r="W390" s="280" t="n"/>
      <c r="X390" s="280" t="n"/>
      <c r="Y390" s="280" t="n"/>
      <c r="Z390" s="350" t="n"/>
      <c r="AA390" s="198" t="n"/>
      <c r="AB390" s="198" t="n"/>
      <c r="AC390" s="198" t="n"/>
    </row>
    <row r="391" ht="15" customHeight="1" s="195">
      <c r="A391" s="280" t="n"/>
      <c r="B391" s="280" t="n"/>
      <c r="C391" s="280" t="n"/>
      <c r="D391" s="280" t="n"/>
      <c r="E391" s="280" t="n"/>
      <c r="F391" s="280" t="n"/>
      <c r="G391" s="280" t="n"/>
      <c r="H391" s="280" t="n"/>
      <c r="I391" s="332">
        <f>IFERROR(VLOOKUP(TEXT(H391,"0"),IPRESS!$A$3:$B$212,2,0),"")</f>
        <v/>
      </c>
      <c r="J391" s="280" t="n"/>
      <c r="K391" s="343" t="n"/>
      <c r="L391" s="280" t="n"/>
      <c r="M391" s="280" t="n"/>
      <c r="N391" s="345" t="n"/>
      <c r="O391" s="280" t="n"/>
      <c r="P391" s="332">
        <f>IFERROR(VLOOKUP(TEXT(O391,"0"),CONDUCTORES!$A$3:$G$54,2,0),"")</f>
        <v/>
      </c>
      <c r="Q391" s="332">
        <f>IFERROR(VLOOKUP(TEXT(O391,"0"),CONDUCTORES!$A$3:$H$54,6,0),"")</f>
        <v/>
      </c>
      <c r="R391" s="280" t="n"/>
      <c r="S391" s="280" t="n"/>
      <c r="T391" s="280" t="n"/>
      <c r="U391" s="280" t="n"/>
      <c r="V391" s="280" t="n"/>
      <c r="W391" s="280" t="n"/>
      <c r="X391" s="280" t="n"/>
      <c r="Y391" s="280" t="n"/>
      <c r="Z391" s="350" t="n"/>
      <c r="AA391" s="198" t="n"/>
      <c r="AB391" s="198" t="n"/>
      <c r="AC391" s="198" t="n"/>
    </row>
    <row r="392" ht="15" customHeight="1" s="195">
      <c r="A392" s="280" t="n"/>
      <c r="B392" s="280" t="n"/>
      <c r="C392" s="280" t="n"/>
      <c r="D392" s="280" t="n"/>
      <c r="E392" s="280" t="n"/>
      <c r="F392" s="280" t="n"/>
      <c r="G392" s="280" t="n"/>
      <c r="H392" s="280" t="n"/>
      <c r="I392" s="332">
        <f>IFERROR(VLOOKUP(TEXT(H392,"0"),IPRESS!$A$3:$B$212,2,0),"")</f>
        <v/>
      </c>
      <c r="J392" s="280" t="n"/>
      <c r="K392" s="343" t="n"/>
      <c r="L392" s="280" t="n"/>
      <c r="M392" s="280" t="n"/>
      <c r="N392" s="345" t="n"/>
      <c r="O392" s="280" t="n"/>
      <c r="P392" s="332">
        <f>IFERROR(VLOOKUP(TEXT(O392,"0"),CONDUCTORES!$A$3:$G$54,2,0),"")</f>
        <v/>
      </c>
      <c r="Q392" s="332">
        <f>IFERROR(VLOOKUP(TEXT(O392,"0"),CONDUCTORES!$A$3:$H$54,6,0),"")</f>
        <v/>
      </c>
      <c r="R392" s="280" t="n"/>
      <c r="S392" s="280" t="n"/>
      <c r="T392" s="280" t="n"/>
      <c r="U392" s="280" t="n"/>
      <c r="V392" s="280" t="n"/>
      <c r="W392" s="280" t="n"/>
      <c r="X392" s="280" t="n"/>
      <c r="Y392" s="280" t="n"/>
      <c r="Z392" s="350" t="n"/>
      <c r="AA392" s="198" t="n"/>
      <c r="AB392" s="198" t="n"/>
      <c r="AC392" s="198" t="n"/>
    </row>
    <row r="393" ht="15" customHeight="1" s="195">
      <c r="A393" s="280" t="n"/>
      <c r="B393" s="280" t="n"/>
      <c r="C393" s="280" t="n"/>
      <c r="D393" s="280" t="n"/>
      <c r="E393" s="280" t="n"/>
      <c r="F393" s="280" t="n"/>
      <c r="G393" s="280" t="n"/>
      <c r="H393" s="280" t="n"/>
      <c r="I393" s="332">
        <f>IFERROR(VLOOKUP(TEXT(H393,"0"),IPRESS!$A$3:$B$212,2,0),"")</f>
        <v/>
      </c>
      <c r="J393" s="280" t="n"/>
      <c r="K393" s="343" t="n"/>
      <c r="L393" s="280" t="n"/>
      <c r="M393" s="280" t="n"/>
      <c r="N393" s="345" t="n"/>
      <c r="O393" s="280" t="n"/>
      <c r="P393" s="332">
        <f>IFERROR(VLOOKUP(TEXT(O393,"0"),CONDUCTORES!$A$3:$G$54,2,0),"")</f>
        <v/>
      </c>
      <c r="Q393" s="332">
        <f>IFERROR(VLOOKUP(TEXT(O393,"0"),CONDUCTORES!$A$3:$H$54,6,0),"")</f>
        <v/>
      </c>
      <c r="R393" s="280" t="n"/>
      <c r="S393" s="280" t="n"/>
      <c r="T393" s="280" t="n"/>
      <c r="U393" s="280" t="n"/>
      <c r="V393" s="280" t="n"/>
      <c r="W393" s="280" t="n"/>
      <c r="X393" s="280" t="n"/>
      <c r="Y393" s="280" t="n"/>
      <c r="Z393" s="350" t="n"/>
      <c r="AA393" s="198" t="n"/>
      <c r="AB393" s="198" t="n"/>
      <c r="AC393" s="198" t="n"/>
    </row>
    <row r="394" ht="15" customHeight="1" s="195">
      <c r="A394" s="280" t="n"/>
      <c r="B394" s="280" t="n"/>
      <c r="C394" s="280" t="n"/>
      <c r="D394" s="280" t="n"/>
      <c r="E394" s="280" t="n"/>
      <c r="F394" s="280" t="n"/>
      <c r="G394" s="280" t="n"/>
      <c r="H394" s="280" t="n"/>
      <c r="I394" s="332">
        <f>IFERROR(VLOOKUP(TEXT(H394,"0"),IPRESS!$A$3:$B$212,2,0),"")</f>
        <v/>
      </c>
      <c r="J394" s="280" t="n"/>
      <c r="K394" s="343" t="n"/>
      <c r="L394" s="280" t="n"/>
      <c r="M394" s="280" t="n"/>
      <c r="N394" s="345" t="n"/>
      <c r="O394" s="280" t="n"/>
      <c r="P394" s="332">
        <f>IFERROR(VLOOKUP(TEXT(O394,"0"),CONDUCTORES!$A$3:$G$54,2,0),"")</f>
        <v/>
      </c>
      <c r="Q394" s="332">
        <f>IFERROR(VLOOKUP(TEXT(O394,"0"),CONDUCTORES!$A$3:$H$54,6,0),"")</f>
        <v/>
      </c>
      <c r="R394" s="280" t="n"/>
      <c r="S394" s="280" t="n"/>
      <c r="T394" s="280" t="n"/>
      <c r="U394" s="280" t="n"/>
      <c r="V394" s="280" t="n"/>
      <c r="W394" s="280" t="n"/>
      <c r="X394" s="280" t="n"/>
      <c r="Y394" s="280" t="n"/>
      <c r="Z394" s="350" t="n"/>
      <c r="AA394" s="198" t="n"/>
      <c r="AB394" s="198" t="n"/>
      <c r="AC394" s="198" t="n"/>
    </row>
    <row r="395" ht="15" customHeight="1" s="195">
      <c r="A395" s="280" t="n"/>
      <c r="B395" s="280" t="n"/>
      <c r="C395" s="280" t="n"/>
      <c r="D395" s="280" t="n"/>
      <c r="E395" s="280" t="n"/>
      <c r="F395" s="280" t="n"/>
      <c r="G395" s="280" t="n"/>
      <c r="H395" s="280" t="n"/>
      <c r="I395" s="332">
        <f>IFERROR(VLOOKUP(TEXT(H395,"0"),IPRESS!$A$3:$B$212,2,0),"")</f>
        <v/>
      </c>
      <c r="J395" s="280" t="n"/>
      <c r="K395" s="343" t="n"/>
      <c r="L395" s="280" t="n"/>
      <c r="M395" s="280" t="n"/>
      <c r="N395" s="345" t="n"/>
      <c r="O395" s="280" t="n"/>
      <c r="P395" s="332">
        <f>IFERROR(VLOOKUP(TEXT(O395,"0"),CONDUCTORES!$A$3:$G$54,2,0),"")</f>
        <v/>
      </c>
      <c r="Q395" s="332">
        <f>IFERROR(VLOOKUP(TEXT(O395,"0"),CONDUCTORES!$A$3:$H$54,6,0),"")</f>
        <v/>
      </c>
      <c r="R395" s="280" t="n"/>
      <c r="S395" s="280" t="n"/>
      <c r="T395" s="280" t="n"/>
      <c r="U395" s="280" t="n"/>
      <c r="V395" s="280" t="n"/>
      <c r="W395" s="280" t="n"/>
      <c r="X395" s="280" t="n"/>
      <c r="Y395" s="280" t="n"/>
      <c r="Z395" s="350" t="n"/>
      <c r="AA395" s="198" t="n"/>
      <c r="AB395" s="198" t="n"/>
      <c r="AC395" s="198" t="n"/>
    </row>
    <row r="396" ht="15" customHeight="1" s="195">
      <c r="A396" s="280" t="n"/>
      <c r="B396" s="280" t="n"/>
      <c r="C396" s="280" t="n"/>
      <c r="D396" s="280" t="n"/>
      <c r="E396" s="280" t="n"/>
      <c r="F396" s="280" t="n"/>
      <c r="G396" s="280" t="n"/>
      <c r="H396" s="280" t="n"/>
      <c r="I396" s="332">
        <f>IFERROR(VLOOKUP(TEXT(H396,"0"),IPRESS!$A$3:$B$212,2,0),"")</f>
        <v/>
      </c>
      <c r="J396" s="280" t="n"/>
      <c r="K396" s="343" t="n"/>
      <c r="L396" s="280" t="n"/>
      <c r="M396" s="280" t="n"/>
      <c r="N396" s="345" t="n"/>
      <c r="O396" s="280" t="n"/>
      <c r="P396" s="332">
        <f>IFERROR(VLOOKUP(TEXT(O396,"0"),CONDUCTORES!$A$3:$G$54,2,0),"")</f>
        <v/>
      </c>
      <c r="Q396" s="332">
        <f>IFERROR(VLOOKUP(TEXT(O396,"0"),CONDUCTORES!$A$3:$H$54,6,0),"")</f>
        <v/>
      </c>
      <c r="R396" s="280" t="n"/>
      <c r="S396" s="280" t="n"/>
      <c r="T396" s="280" t="n"/>
      <c r="U396" s="280" t="n"/>
      <c r="V396" s="280" t="n"/>
      <c r="W396" s="280" t="n"/>
      <c r="X396" s="280" t="n"/>
      <c r="Y396" s="280" t="n"/>
      <c r="Z396" s="350" t="n"/>
      <c r="AA396" s="198" t="n"/>
      <c r="AB396" s="198" t="n"/>
      <c r="AC396" s="198" t="n"/>
    </row>
    <row r="397" ht="15" customHeight="1" s="195">
      <c r="A397" s="280" t="n"/>
      <c r="B397" s="280" t="n"/>
      <c r="C397" s="280" t="n"/>
      <c r="D397" s="280" t="n"/>
      <c r="E397" s="280" t="n"/>
      <c r="F397" s="280" t="n"/>
      <c r="G397" s="280" t="n"/>
      <c r="H397" s="280" t="n"/>
      <c r="I397" s="332">
        <f>IFERROR(VLOOKUP(TEXT(H397,"0"),IPRESS!$A$3:$B$212,2,0),"")</f>
        <v/>
      </c>
      <c r="J397" s="280" t="n"/>
      <c r="K397" s="343" t="n"/>
      <c r="L397" s="280" t="n"/>
      <c r="M397" s="280" t="n"/>
      <c r="N397" s="345" t="n"/>
      <c r="O397" s="280" t="n"/>
      <c r="P397" s="332">
        <f>IFERROR(VLOOKUP(TEXT(O397,"0"),CONDUCTORES!$A$3:$G$54,2,0),"")</f>
        <v/>
      </c>
      <c r="Q397" s="332">
        <f>IFERROR(VLOOKUP(TEXT(O397,"0"),CONDUCTORES!$A$3:$H$54,6,0),"")</f>
        <v/>
      </c>
      <c r="R397" s="280" t="n"/>
      <c r="S397" s="280" t="n"/>
      <c r="T397" s="280" t="n"/>
      <c r="U397" s="280" t="n"/>
      <c r="V397" s="280" t="n"/>
      <c r="W397" s="280" t="n"/>
      <c r="X397" s="280" t="n"/>
      <c r="Y397" s="280" t="n"/>
      <c r="Z397" s="350" t="n"/>
      <c r="AA397" s="198" t="n"/>
      <c r="AB397" s="198" t="n"/>
      <c r="AC397" s="198" t="n"/>
    </row>
    <row r="398" ht="15" customHeight="1" s="195">
      <c r="A398" s="280" t="n"/>
      <c r="B398" s="280" t="n"/>
      <c r="C398" s="280" t="n"/>
      <c r="D398" s="280" t="n"/>
      <c r="E398" s="280" t="n"/>
      <c r="F398" s="280" t="n"/>
      <c r="G398" s="280" t="n"/>
      <c r="H398" s="280" t="n"/>
      <c r="I398" s="332">
        <f>IFERROR(VLOOKUP(TEXT(H398,"0"),IPRESS!$A$3:$B$212,2,0),"")</f>
        <v/>
      </c>
      <c r="J398" s="280" t="n"/>
      <c r="K398" s="343" t="n"/>
      <c r="L398" s="280" t="n"/>
      <c r="M398" s="280" t="n"/>
      <c r="N398" s="345" t="n"/>
      <c r="O398" s="280" t="n"/>
      <c r="P398" s="332">
        <f>IFERROR(VLOOKUP(TEXT(O398,"0"),CONDUCTORES!$A$3:$G$54,2,0),"")</f>
        <v/>
      </c>
      <c r="Q398" s="332">
        <f>IFERROR(VLOOKUP(TEXT(O398,"0"),CONDUCTORES!$A$3:$H$54,6,0),"")</f>
        <v/>
      </c>
      <c r="R398" s="280" t="n"/>
      <c r="S398" s="280" t="n"/>
      <c r="T398" s="280" t="n"/>
      <c r="U398" s="280" t="n"/>
      <c r="V398" s="280" t="n"/>
      <c r="W398" s="280" t="n"/>
      <c r="X398" s="280" t="n"/>
      <c r="Y398" s="280" t="n"/>
      <c r="Z398" s="350" t="n"/>
      <c r="AA398" s="198" t="n"/>
      <c r="AB398" s="198" t="n"/>
      <c r="AC398" s="198" t="n"/>
    </row>
    <row r="399" ht="15" customHeight="1" s="195">
      <c r="A399" s="280" t="n"/>
      <c r="B399" s="280" t="n"/>
      <c r="C399" s="280" t="n"/>
      <c r="D399" s="280" t="n"/>
      <c r="E399" s="280" t="n"/>
      <c r="F399" s="280" t="n"/>
      <c r="G399" s="280" t="n"/>
      <c r="H399" s="280" t="n"/>
      <c r="I399" s="332">
        <f>IFERROR(VLOOKUP(TEXT(H399,"0"),IPRESS!$A$3:$B$212,2,0),"")</f>
        <v/>
      </c>
      <c r="J399" s="280" t="n"/>
      <c r="K399" s="343" t="n"/>
      <c r="L399" s="280" t="n"/>
      <c r="M399" s="280" t="n"/>
      <c r="N399" s="345" t="n"/>
      <c r="O399" s="280" t="n"/>
      <c r="P399" s="332">
        <f>IFERROR(VLOOKUP(TEXT(O399,"0"),CONDUCTORES!$A$3:$G$54,2,0),"")</f>
        <v/>
      </c>
      <c r="Q399" s="332">
        <f>IFERROR(VLOOKUP(TEXT(O399,"0"),CONDUCTORES!$A$3:$H$54,6,0),"")</f>
        <v/>
      </c>
      <c r="R399" s="280" t="n"/>
      <c r="S399" s="280" t="n"/>
      <c r="T399" s="280" t="n"/>
      <c r="U399" s="280" t="n"/>
      <c r="V399" s="280" t="n"/>
      <c r="W399" s="280" t="n"/>
      <c r="X399" s="280" t="n"/>
      <c r="Y399" s="280" t="n"/>
      <c r="Z399" s="350" t="n"/>
      <c r="AA399" s="198" t="n"/>
      <c r="AB399" s="198" t="n"/>
      <c r="AC399" s="198" t="n"/>
    </row>
    <row r="400" ht="15" customHeight="1" s="195">
      <c r="A400" s="280" t="n"/>
      <c r="B400" s="280" t="n"/>
      <c r="C400" s="280" t="n"/>
      <c r="D400" s="280" t="n"/>
      <c r="E400" s="280" t="n"/>
      <c r="F400" s="280" t="n"/>
      <c r="G400" s="280" t="n"/>
      <c r="H400" s="280" t="n"/>
      <c r="I400" s="332">
        <f>IFERROR(VLOOKUP(TEXT(H400,"0"),IPRESS!$A$3:$B$212,2,0),"")</f>
        <v/>
      </c>
      <c r="J400" s="280" t="n"/>
      <c r="K400" s="343" t="n"/>
      <c r="L400" s="280" t="n"/>
      <c r="M400" s="280" t="n"/>
      <c r="N400" s="345" t="n"/>
      <c r="O400" s="280" t="n"/>
      <c r="P400" s="332">
        <f>IFERROR(VLOOKUP(TEXT(O400,"0"),CONDUCTORES!$A$3:$G$54,2,0),"")</f>
        <v/>
      </c>
      <c r="Q400" s="332">
        <f>IFERROR(VLOOKUP(TEXT(O400,"0"),CONDUCTORES!$A$3:$H$54,6,0),"")</f>
        <v/>
      </c>
      <c r="R400" s="280" t="n"/>
      <c r="S400" s="280" t="n"/>
      <c r="T400" s="280" t="n"/>
      <c r="U400" s="280" t="n"/>
      <c r="V400" s="280" t="n"/>
      <c r="W400" s="280" t="n"/>
      <c r="X400" s="280" t="n"/>
      <c r="Y400" s="280" t="n"/>
      <c r="Z400" s="350" t="n"/>
      <c r="AA400" s="198" t="n"/>
      <c r="AB400" s="198" t="n"/>
      <c r="AC400" s="198" t="n"/>
    </row>
    <row r="401" ht="15" customHeight="1" s="195">
      <c r="A401" s="280" t="n"/>
      <c r="B401" s="280" t="n"/>
      <c r="C401" s="280" t="n"/>
      <c r="D401" s="280" t="n"/>
      <c r="E401" s="280" t="n"/>
      <c r="F401" s="280" t="n"/>
      <c r="G401" s="280" t="n"/>
      <c r="H401" s="280" t="n"/>
      <c r="I401" s="332">
        <f>IFERROR(VLOOKUP(TEXT(H401,"0"),IPRESS!$A$3:$B$212,2,0),"")</f>
        <v/>
      </c>
      <c r="J401" s="280" t="n"/>
      <c r="K401" s="343" t="n"/>
      <c r="L401" s="280" t="n"/>
      <c r="M401" s="280" t="n"/>
      <c r="N401" s="345" t="n"/>
      <c r="O401" s="280" t="n"/>
      <c r="P401" s="332">
        <f>IFERROR(VLOOKUP(TEXT(O401,"0"),CONDUCTORES!$A$3:$G$54,2,0),"")</f>
        <v/>
      </c>
      <c r="Q401" s="332">
        <f>IFERROR(VLOOKUP(TEXT(O401,"0"),CONDUCTORES!$A$3:$H$54,6,0),"")</f>
        <v/>
      </c>
      <c r="R401" s="280" t="n"/>
      <c r="S401" s="280" t="n"/>
      <c r="T401" s="280" t="n"/>
      <c r="U401" s="280" t="n"/>
      <c r="V401" s="280" t="n"/>
      <c r="W401" s="280" t="n"/>
      <c r="X401" s="280" t="n"/>
      <c r="Y401" s="280" t="n"/>
      <c r="Z401" s="350" t="n"/>
      <c r="AA401" s="198" t="n"/>
      <c r="AB401" s="198" t="n"/>
      <c r="AC401" s="198" t="n"/>
    </row>
    <row r="402" ht="15" customHeight="1" s="195">
      <c r="A402" s="280" t="n"/>
      <c r="B402" s="280" t="n"/>
      <c r="C402" s="280" t="n"/>
      <c r="D402" s="280" t="n"/>
      <c r="E402" s="280" t="n"/>
      <c r="F402" s="280" t="n"/>
      <c r="G402" s="280" t="n"/>
      <c r="H402" s="280" t="n"/>
      <c r="I402" s="332">
        <f>IFERROR(VLOOKUP(TEXT(H402,"0"),IPRESS!$A$3:$B$212,2,0),"")</f>
        <v/>
      </c>
      <c r="J402" s="280" t="n"/>
      <c r="K402" s="343" t="n"/>
      <c r="L402" s="280" t="n"/>
      <c r="M402" s="280" t="n"/>
      <c r="N402" s="345" t="n"/>
      <c r="O402" s="280" t="n"/>
      <c r="P402" s="332">
        <f>IFERROR(VLOOKUP(TEXT(O402,"0"),CONDUCTORES!$A$3:$G$54,2,0),"")</f>
        <v/>
      </c>
      <c r="Q402" s="332">
        <f>IFERROR(VLOOKUP(TEXT(O402,"0"),CONDUCTORES!$A$3:$H$54,6,0),"")</f>
        <v/>
      </c>
      <c r="R402" s="280" t="n"/>
      <c r="S402" s="280" t="n"/>
      <c r="T402" s="280" t="n"/>
      <c r="U402" s="280" t="n"/>
      <c r="V402" s="280" t="n"/>
      <c r="W402" s="280" t="n"/>
      <c r="X402" s="280" t="n"/>
      <c r="Y402" s="280" t="n"/>
      <c r="Z402" s="350" t="n"/>
      <c r="AA402" s="198" t="n"/>
      <c r="AB402" s="198" t="n"/>
      <c r="AC402" s="198" t="n"/>
    </row>
    <row r="403" ht="15" customHeight="1" s="195">
      <c r="A403" s="280" t="n"/>
      <c r="B403" s="280" t="n"/>
      <c r="C403" s="280" t="n"/>
      <c r="D403" s="280" t="n"/>
      <c r="E403" s="280" t="n"/>
      <c r="F403" s="280" t="n"/>
      <c r="G403" s="280" t="n"/>
      <c r="H403" s="280" t="n"/>
      <c r="I403" s="332">
        <f>IFERROR(VLOOKUP(TEXT(H403,"0"),IPRESS!$A$3:$B$212,2,0),"")</f>
        <v/>
      </c>
      <c r="J403" s="280" t="n"/>
      <c r="K403" s="343" t="n"/>
      <c r="L403" s="280" t="n"/>
      <c r="M403" s="280" t="n"/>
      <c r="N403" s="345" t="n"/>
      <c r="O403" s="280" t="n"/>
      <c r="P403" s="332">
        <f>IFERROR(VLOOKUP(TEXT(O403,"0"),CONDUCTORES!$A$3:$G$54,2,0),"")</f>
        <v/>
      </c>
      <c r="Q403" s="332">
        <f>IFERROR(VLOOKUP(TEXT(O403,"0"),CONDUCTORES!$A$3:$H$54,6,0),"")</f>
        <v/>
      </c>
      <c r="R403" s="280" t="n"/>
      <c r="S403" s="280" t="n"/>
      <c r="T403" s="280" t="n"/>
      <c r="U403" s="280" t="n"/>
      <c r="V403" s="280" t="n"/>
      <c r="W403" s="280" t="n"/>
      <c r="X403" s="280" t="n"/>
      <c r="Y403" s="280" t="n"/>
      <c r="Z403" s="350" t="n"/>
      <c r="AA403" s="198" t="n"/>
      <c r="AB403" s="198" t="n"/>
      <c r="AC403" s="198" t="n"/>
    </row>
    <row r="404" ht="15" customHeight="1" s="195">
      <c r="A404" s="280" t="n"/>
      <c r="B404" s="280" t="n"/>
      <c r="C404" s="280" t="n"/>
      <c r="D404" s="280" t="n"/>
      <c r="E404" s="280" t="n"/>
      <c r="F404" s="280" t="n"/>
      <c r="G404" s="280" t="n"/>
      <c r="H404" s="280" t="n"/>
      <c r="I404" s="332">
        <f>IFERROR(VLOOKUP(TEXT(H404,"0"),IPRESS!$A$3:$B$212,2,0),"")</f>
        <v/>
      </c>
      <c r="J404" s="280" t="n"/>
      <c r="K404" s="343" t="n"/>
      <c r="L404" s="280" t="n"/>
      <c r="M404" s="280" t="n"/>
      <c r="N404" s="345" t="n"/>
      <c r="O404" s="280" t="n"/>
      <c r="P404" s="332">
        <f>IFERROR(VLOOKUP(TEXT(O404,"0"),CONDUCTORES!$A$3:$G$54,2,0),"")</f>
        <v/>
      </c>
      <c r="Q404" s="332">
        <f>IFERROR(VLOOKUP(TEXT(O404,"0"),CONDUCTORES!$A$3:$H$54,6,0),"")</f>
        <v/>
      </c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350" t="n"/>
      <c r="AA404" s="198" t="n"/>
      <c r="AB404" s="198" t="n"/>
      <c r="AC404" s="198" t="n"/>
    </row>
    <row r="405" ht="15" customHeight="1" s="195">
      <c r="A405" s="280" t="n"/>
      <c r="B405" s="280" t="n"/>
      <c r="C405" s="280" t="n"/>
      <c r="D405" s="280" t="n"/>
      <c r="E405" s="280" t="n"/>
      <c r="F405" s="280" t="n"/>
      <c r="G405" s="280" t="n"/>
      <c r="H405" s="280" t="n"/>
      <c r="I405" s="332">
        <f>IFERROR(VLOOKUP(TEXT(H405,"0"),IPRESS!$A$3:$B$212,2,0),"")</f>
        <v/>
      </c>
      <c r="J405" s="280" t="n"/>
      <c r="K405" s="343" t="n"/>
      <c r="L405" s="280" t="n"/>
      <c r="M405" s="280" t="n"/>
      <c r="N405" s="345" t="n"/>
      <c r="O405" s="280" t="n"/>
      <c r="P405" s="332">
        <f>IFERROR(VLOOKUP(TEXT(O405,"0"),CONDUCTORES!$A$3:$G$54,2,0),"")</f>
        <v/>
      </c>
      <c r="Q405" s="332">
        <f>IFERROR(VLOOKUP(TEXT(O405,"0"),CONDUCTORES!$A$3:$H$54,6,0),"")</f>
        <v/>
      </c>
      <c r="R405" s="280" t="n"/>
      <c r="S405" s="280" t="n"/>
      <c r="T405" s="280" t="n"/>
      <c r="U405" s="280" t="n"/>
      <c r="V405" s="280" t="n"/>
      <c r="W405" s="280" t="n"/>
      <c r="X405" s="280" t="n"/>
      <c r="Y405" s="280" t="n"/>
      <c r="Z405" s="350" t="n"/>
      <c r="AA405" s="198" t="n"/>
      <c r="AB405" s="198" t="n"/>
      <c r="AC405" s="198" t="n"/>
    </row>
    <row r="406" ht="15" customHeight="1" s="195">
      <c r="A406" s="280" t="n"/>
      <c r="B406" s="280" t="n"/>
      <c r="C406" s="280" t="n"/>
      <c r="D406" s="280" t="n"/>
      <c r="E406" s="280" t="n"/>
      <c r="F406" s="280" t="n"/>
      <c r="G406" s="280" t="n"/>
      <c r="H406" s="280" t="n"/>
      <c r="I406" s="332">
        <f>IFERROR(VLOOKUP(TEXT(H406,"0"),IPRESS!$A$3:$B$212,2,0),"")</f>
        <v/>
      </c>
      <c r="J406" s="280" t="n"/>
      <c r="K406" s="343" t="n"/>
      <c r="L406" s="280" t="n"/>
      <c r="M406" s="280" t="n"/>
      <c r="N406" s="345" t="n"/>
      <c r="O406" s="280" t="n"/>
      <c r="P406" s="332">
        <f>IFERROR(VLOOKUP(TEXT(O406,"0"),CONDUCTORES!$A$3:$G$54,2,0),"")</f>
        <v/>
      </c>
      <c r="Q406" s="332">
        <f>IFERROR(VLOOKUP(TEXT(O406,"0"),CONDUCTORES!$A$3:$H$54,6,0),"")</f>
        <v/>
      </c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350" t="n"/>
      <c r="AA406" s="198" t="n"/>
      <c r="AB406" s="198" t="n"/>
      <c r="AC406" s="198" t="n"/>
    </row>
    <row r="407" ht="15" customHeight="1" s="195">
      <c r="A407" s="280" t="n"/>
      <c r="B407" s="280" t="n"/>
      <c r="C407" s="280" t="n"/>
      <c r="D407" s="280" t="n"/>
      <c r="E407" s="280" t="n"/>
      <c r="F407" s="280" t="n"/>
      <c r="G407" s="280" t="n"/>
      <c r="H407" s="280" t="n"/>
      <c r="I407" s="332">
        <f>IFERROR(VLOOKUP(TEXT(H407,"0"),IPRESS!$A$3:$B$212,2,0),"")</f>
        <v/>
      </c>
      <c r="J407" s="280" t="n"/>
      <c r="K407" s="343" t="n"/>
      <c r="L407" s="280" t="n"/>
      <c r="M407" s="280" t="n"/>
      <c r="N407" s="345" t="n"/>
      <c r="O407" s="280" t="n"/>
      <c r="P407" s="332">
        <f>IFERROR(VLOOKUP(TEXT(O407,"0"),CONDUCTORES!$A$3:$G$54,2,0),"")</f>
        <v/>
      </c>
      <c r="Q407" s="332">
        <f>IFERROR(VLOOKUP(TEXT(O407,"0"),CONDUCTORES!$A$3:$H$54,6,0),"")</f>
        <v/>
      </c>
      <c r="R407" s="280" t="n"/>
      <c r="S407" s="280" t="n"/>
      <c r="T407" s="280" t="n"/>
      <c r="U407" s="280" t="n"/>
      <c r="V407" s="280" t="n"/>
      <c r="W407" s="280" t="n"/>
      <c r="X407" s="280" t="n"/>
      <c r="Y407" s="280" t="n"/>
      <c r="Z407" s="350" t="n"/>
      <c r="AA407" s="198" t="n"/>
      <c r="AB407" s="198" t="n"/>
      <c r="AC407" s="198" t="n"/>
    </row>
    <row r="408" ht="15" customHeight="1" s="195">
      <c r="A408" s="280" t="n"/>
      <c r="B408" s="280" t="n"/>
      <c r="C408" s="280" t="n"/>
      <c r="D408" s="280" t="n"/>
      <c r="E408" s="280" t="n"/>
      <c r="F408" s="280" t="n"/>
      <c r="G408" s="280" t="n"/>
      <c r="H408" s="280" t="n"/>
      <c r="I408" s="332">
        <f>IFERROR(VLOOKUP(TEXT(H408,"0"),IPRESS!$A$3:$B$212,2,0),"")</f>
        <v/>
      </c>
      <c r="J408" s="280" t="n"/>
      <c r="K408" s="343" t="n"/>
      <c r="L408" s="280" t="n"/>
      <c r="M408" s="280" t="n"/>
      <c r="N408" s="345" t="n"/>
      <c r="O408" s="280" t="n"/>
      <c r="P408" s="332">
        <f>IFERROR(VLOOKUP(TEXT(O408,"0"),CONDUCTORES!$A$3:$G$54,2,0),"")</f>
        <v/>
      </c>
      <c r="Q408" s="332">
        <f>IFERROR(VLOOKUP(TEXT(O408,"0"),CONDUCTORES!$A$3:$H$54,6,0),"")</f>
        <v/>
      </c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350" t="n"/>
      <c r="AA408" s="198" t="n"/>
      <c r="AB408" s="198" t="n"/>
      <c r="AC408" s="198" t="n"/>
    </row>
    <row r="409" ht="15" customHeight="1" s="195">
      <c r="A409" s="280" t="n"/>
      <c r="B409" s="280" t="n"/>
      <c r="C409" s="280" t="n"/>
      <c r="D409" s="280" t="n"/>
      <c r="E409" s="280" t="n"/>
      <c r="F409" s="280" t="n"/>
      <c r="G409" s="280" t="n"/>
      <c r="H409" s="280" t="n"/>
      <c r="I409" s="332">
        <f>IFERROR(VLOOKUP(TEXT(H409,"0"),IPRESS!$A$3:$B$212,2,0),"")</f>
        <v/>
      </c>
      <c r="J409" s="280" t="n"/>
      <c r="K409" s="343" t="n"/>
      <c r="L409" s="280" t="n"/>
      <c r="M409" s="280" t="n"/>
      <c r="N409" s="345" t="n"/>
      <c r="O409" s="280" t="n"/>
      <c r="P409" s="332">
        <f>IFERROR(VLOOKUP(TEXT(O409,"0"),CONDUCTORES!$A$3:$G$54,2,0),"")</f>
        <v/>
      </c>
      <c r="Q409" s="332">
        <f>IFERROR(VLOOKUP(TEXT(O409,"0"),CONDUCTORES!$A$3:$H$54,6,0),"")</f>
        <v/>
      </c>
      <c r="R409" s="280" t="n"/>
      <c r="S409" s="280" t="n"/>
      <c r="T409" s="280" t="n"/>
      <c r="U409" s="280" t="n"/>
      <c r="V409" s="280" t="n"/>
      <c r="W409" s="280" t="n"/>
      <c r="X409" s="280" t="n"/>
      <c r="Y409" s="280" t="n"/>
      <c r="Z409" s="350" t="n"/>
      <c r="AA409" s="198" t="n"/>
      <c r="AB409" s="198" t="n"/>
      <c r="AC409" s="198" t="n"/>
    </row>
    <row r="410" ht="15" customHeight="1" s="195">
      <c r="A410" s="280" t="n"/>
      <c r="B410" s="280" t="n"/>
      <c r="C410" s="280" t="n"/>
      <c r="D410" s="280" t="n"/>
      <c r="E410" s="280" t="n"/>
      <c r="F410" s="280" t="n"/>
      <c r="G410" s="280" t="n"/>
      <c r="H410" s="280" t="n"/>
      <c r="I410" s="332">
        <f>IFERROR(VLOOKUP(TEXT(H410,"0"),IPRESS!$A$3:$B$212,2,0),"")</f>
        <v/>
      </c>
      <c r="J410" s="280" t="n"/>
      <c r="K410" s="343" t="n"/>
      <c r="L410" s="280" t="n"/>
      <c r="M410" s="280" t="n"/>
      <c r="N410" s="345" t="n"/>
      <c r="O410" s="280" t="n"/>
      <c r="P410" s="332">
        <f>IFERROR(VLOOKUP(TEXT(O410,"0"),CONDUCTORES!$A$3:$G$54,2,0),"")</f>
        <v/>
      </c>
      <c r="Q410" s="332">
        <f>IFERROR(VLOOKUP(TEXT(O410,"0"),CONDUCTORES!$A$3:$H$54,6,0),"")</f>
        <v/>
      </c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350" t="n"/>
      <c r="AA410" s="198" t="n"/>
      <c r="AB410" s="198" t="n"/>
      <c r="AC410" s="198" t="n"/>
    </row>
    <row r="411" ht="15" customHeight="1" s="195">
      <c r="A411" s="280" t="n"/>
      <c r="B411" s="280" t="n"/>
      <c r="C411" s="280" t="n"/>
      <c r="D411" s="280" t="n"/>
      <c r="E411" s="280" t="n"/>
      <c r="F411" s="280" t="n"/>
      <c r="G411" s="280" t="n"/>
      <c r="H411" s="280" t="n"/>
      <c r="I411" s="332">
        <f>IFERROR(VLOOKUP(TEXT(H411,"0"),IPRESS!$A$3:$B$212,2,0),"")</f>
        <v/>
      </c>
      <c r="J411" s="280" t="n"/>
      <c r="K411" s="343" t="n"/>
      <c r="L411" s="280" t="n"/>
      <c r="M411" s="280" t="n"/>
      <c r="N411" s="345" t="n"/>
      <c r="O411" s="280" t="n"/>
      <c r="P411" s="332">
        <f>IFERROR(VLOOKUP(TEXT(O411,"0"),CONDUCTORES!$A$3:$G$54,2,0),"")</f>
        <v/>
      </c>
      <c r="Q411" s="332">
        <f>IFERROR(VLOOKUP(TEXT(O411,"0"),CONDUCTORES!$A$3:$H$54,6,0),"")</f>
        <v/>
      </c>
      <c r="R411" s="280" t="n"/>
      <c r="S411" s="280" t="n"/>
      <c r="T411" s="280" t="n"/>
      <c r="U411" s="280" t="n"/>
      <c r="V411" s="280" t="n"/>
      <c r="W411" s="280" t="n"/>
      <c r="X411" s="280" t="n"/>
      <c r="Y411" s="280" t="n"/>
      <c r="Z411" s="350" t="n"/>
      <c r="AA411" s="198" t="n"/>
      <c r="AB411" s="198" t="n"/>
      <c r="AC411" s="198" t="n"/>
    </row>
    <row r="412" ht="15" customHeight="1" s="195">
      <c r="A412" s="280" t="n"/>
      <c r="B412" s="280" t="n"/>
      <c r="C412" s="280" t="n"/>
      <c r="D412" s="280" t="n"/>
      <c r="E412" s="280" t="n"/>
      <c r="F412" s="280" t="n"/>
      <c r="G412" s="280" t="n"/>
      <c r="H412" s="280" t="n"/>
      <c r="I412" s="332">
        <f>IFERROR(VLOOKUP(TEXT(H412,"0"),IPRESS!$A$3:$B$212,2,0),"")</f>
        <v/>
      </c>
      <c r="J412" s="280" t="n"/>
      <c r="K412" s="343" t="n"/>
      <c r="L412" s="280" t="n"/>
      <c r="M412" s="280" t="n"/>
      <c r="N412" s="345" t="n"/>
      <c r="O412" s="280" t="n"/>
      <c r="P412" s="332">
        <f>IFERROR(VLOOKUP(TEXT(O412,"0"),CONDUCTORES!$A$3:$G$54,2,0),"")</f>
        <v/>
      </c>
      <c r="Q412" s="332">
        <f>IFERROR(VLOOKUP(TEXT(O412,"0"),CONDUCTORES!$A$3:$H$54,6,0),"")</f>
        <v/>
      </c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350" t="n"/>
      <c r="AA412" s="198" t="n"/>
      <c r="AB412" s="198" t="n"/>
      <c r="AC412" s="198" t="n"/>
    </row>
    <row r="413" ht="15" customHeight="1" s="195">
      <c r="A413" s="280" t="n"/>
      <c r="B413" s="280" t="n"/>
      <c r="C413" s="280" t="n"/>
      <c r="D413" s="280" t="n"/>
      <c r="E413" s="280" t="n"/>
      <c r="F413" s="280" t="n"/>
      <c r="G413" s="280" t="n"/>
      <c r="H413" s="280" t="n"/>
      <c r="I413" s="332">
        <f>IFERROR(VLOOKUP(TEXT(H413,"0"),IPRESS!$A$3:$B$212,2,0),"")</f>
        <v/>
      </c>
      <c r="J413" s="280" t="n"/>
      <c r="K413" s="343" t="n"/>
      <c r="L413" s="280" t="n"/>
      <c r="M413" s="280" t="n"/>
      <c r="N413" s="345" t="n"/>
      <c r="O413" s="280" t="n"/>
      <c r="P413" s="332">
        <f>IFERROR(VLOOKUP(TEXT(O413,"0"),CONDUCTORES!$A$3:$G$54,2,0),"")</f>
        <v/>
      </c>
      <c r="Q413" s="332">
        <f>IFERROR(VLOOKUP(TEXT(O413,"0"),CONDUCTORES!$A$3:$H$54,6,0),"")</f>
        <v/>
      </c>
      <c r="R413" s="280" t="n"/>
      <c r="S413" s="280" t="n"/>
      <c r="T413" s="280" t="n"/>
      <c r="U413" s="280" t="n"/>
      <c r="V413" s="280" t="n"/>
      <c r="W413" s="280" t="n"/>
      <c r="X413" s="280" t="n"/>
      <c r="Y413" s="280" t="n"/>
      <c r="Z413" s="350" t="n"/>
      <c r="AA413" s="198" t="n"/>
      <c r="AB413" s="198" t="n"/>
      <c r="AC413" s="198" t="n"/>
    </row>
    <row r="414" ht="15" customHeight="1" s="195">
      <c r="A414" s="280" t="n"/>
      <c r="B414" s="280" t="n"/>
      <c r="C414" s="280" t="n"/>
      <c r="D414" s="280" t="n"/>
      <c r="E414" s="280" t="n"/>
      <c r="F414" s="280" t="n"/>
      <c r="G414" s="280" t="n"/>
      <c r="H414" s="280" t="n"/>
      <c r="I414" s="332">
        <f>IFERROR(VLOOKUP(TEXT(H414,"0"),IPRESS!$A$3:$B$212,2,0),"")</f>
        <v/>
      </c>
      <c r="J414" s="280" t="n"/>
      <c r="K414" s="343" t="n"/>
      <c r="L414" s="280" t="n"/>
      <c r="M414" s="280" t="n"/>
      <c r="N414" s="345" t="n"/>
      <c r="O414" s="280" t="n"/>
      <c r="P414" s="332">
        <f>IFERROR(VLOOKUP(TEXT(O414,"0"),CONDUCTORES!$A$3:$G$54,2,0),"")</f>
        <v/>
      </c>
      <c r="Q414" s="332">
        <f>IFERROR(VLOOKUP(TEXT(O414,"0"),CONDUCTORES!$A$3:$H$54,6,0),"")</f>
        <v/>
      </c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350" t="n"/>
      <c r="AA414" s="198" t="n"/>
      <c r="AB414" s="198" t="n"/>
      <c r="AC414" s="198" t="n"/>
    </row>
    <row r="415" ht="15" customHeight="1" s="195">
      <c r="A415" s="280" t="n"/>
      <c r="B415" s="280" t="n"/>
      <c r="C415" s="280" t="n"/>
      <c r="D415" s="280" t="n"/>
      <c r="E415" s="280" t="n"/>
      <c r="F415" s="280" t="n"/>
      <c r="G415" s="280" t="n"/>
      <c r="H415" s="280" t="n"/>
      <c r="I415" s="332">
        <f>IFERROR(VLOOKUP(TEXT(H415,"0"),IPRESS!$A$3:$B$212,2,0),"")</f>
        <v/>
      </c>
      <c r="J415" s="280" t="n"/>
      <c r="K415" s="343" t="n"/>
      <c r="L415" s="280" t="n"/>
      <c r="M415" s="280" t="n"/>
      <c r="N415" s="345" t="n"/>
      <c r="O415" s="280" t="n"/>
      <c r="P415" s="332">
        <f>IFERROR(VLOOKUP(TEXT(O415,"0"),CONDUCTORES!$A$3:$G$54,2,0),"")</f>
        <v/>
      </c>
      <c r="Q415" s="332">
        <f>IFERROR(VLOOKUP(TEXT(O415,"0"),CONDUCTORES!$A$3:$H$54,6,0),"")</f>
        <v/>
      </c>
      <c r="R415" s="280" t="n"/>
      <c r="S415" s="280" t="n"/>
      <c r="T415" s="280" t="n"/>
      <c r="U415" s="280" t="n"/>
      <c r="V415" s="280" t="n"/>
      <c r="W415" s="280" t="n"/>
      <c r="X415" s="280" t="n"/>
      <c r="Y415" s="280" t="n"/>
      <c r="Z415" s="350" t="n"/>
      <c r="AA415" s="198" t="n"/>
      <c r="AB415" s="198" t="n"/>
      <c r="AC415" s="198" t="n"/>
    </row>
    <row r="416" ht="15" customHeight="1" s="195">
      <c r="A416" s="280" t="n"/>
      <c r="B416" s="280" t="n"/>
      <c r="C416" s="280" t="n"/>
      <c r="D416" s="280" t="n"/>
      <c r="E416" s="280" t="n"/>
      <c r="F416" s="280" t="n"/>
      <c r="G416" s="280" t="n"/>
      <c r="H416" s="280" t="n"/>
      <c r="I416" s="332">
        <f>IFERROR(VLOOKUP(TEXT(H416,"0"),IPRESS!$A$3:$B$212,2,0),"")</f>
        <v/>
      </c>
      <c r="J416" s="280" t="n"/>
      <c r="K416" s="343" t="n"/>
      <c r="L416" s="280" t="n"/>
      <c r="M416" s="280" t="n"/>
      <c r="N416" s="345" t="n"/>
      <c r="O416" s="280" t="n"/>
      <c r="P416" s="332">
        <f>IFERROR(VLOOKUP(TEXT(O416,"0"),CONDUCTORES!$A$3:$G$54,2,0),"")</f>
        <v/>
      </c>
      <c r="Q416" s="332">
        <f>IFERROR(VLOOKUP(TEXT(O416,"0"),CONDUCTORES!$A$3:$H$54,6,0),"")</f>
        <v/>
      </c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350" t="n"/>
      <c r="AA416" s="198" t="n"/>
      <c r="AB416" s="198" t="n"/>
      <c r="AC416" s="198" t="n"/>
    </row>
    <row r="417" ht="15" customHeight="1" s="195">
      <c r="A417" s="280" t="n"/>
      <c r="B417" s="280" t="n"/>
      <c r="C417" s="280" t="n"/>
      <c r="D417" s="280" t="n"/>
      <c r="E417" s="280" t="n"/>
      <c r="F417" s="280" t="n"/>
      <c r="G417" s="280" t="n"/>
      <c r="H417" s="280" t="n"/>
      <c r="I417" s="332">
        <f>IFERROR(VLOOKUP(TEXT(H417,"0"),IPRESS!$A$3:$B$212,2,0),"")</f>
        <v/>
      </c>
      <c r="J417" s="280" t="n"/>
      <c r="K417" s="343" t="n"/>
      <c r="L417" s="280" t="n"/>
      <c r="M417" s="280" t="n"/>
      <c r="N417" s="345" t="n"/>
      <c r="O417" s="280" t="n"/>
      <c r="P417" s="332">
        <f>IFERROR(VLOOKUP(TEXT(O417,"0"),CONDUCTORES!$A$3:$G$54,2,0),"")</f>
        <v/>
      </c>
      <c r="Q417" s="332">
        <f>IFERROR(VLOOKUP(TEXT(O417,"0"),CONDUCTORES!$A$3:$H$54,6,0),"")</f>
        <v/>
      </c>
      <c r="R417" s="280" t="n"/>
      <c r="S417" s="280" t="n"/>
      <c r="T417" s="280" t="n"/>
      <c r="U417" s="280" t="n"/>
      <c r="V417" s="280" t="n"/>
      <c r="W417" s="280" t="n"/>
      <c r="X417" s="280" t="n"/>
      <c r="Y417" s="280" t="n"/>
      <c r="Z417" s="350" t="n"/>
      <c r="AA417" s="198" t="n"/>
      <c r="AB417" s="198" t="n"/>
      <c r="AC417" s="198" t="n"/>
    </row>
    <row r="418" ht="15" customHeight="1" s="195">
      <c r="A418" s="280" t="n"/>
      <c r="B418" s="280" t="n"/>
      <c r="C418" s="280" t="n"/>
      <c r="D418" s="280" t="n"/>
      <c r="E418" s="280" t="n"/>
      <c r="F418" s="280" t="n"/>
      <c r="G418" s="280" t="n"/>
      <c r="H418" s="280" t="n"/>
      <c r="I418" s="332">
        <f>IFERROR(VLOOKUP(TEXT(H418,"0"),IPRESS!$A$3:$B$212,2,0),"")</f>
        <v/>
      </c>
      <c r="J418" s="280" t="n"/>
      <c r="K418" s="343" t="n"/>
      <c r="L418" s="280" t="n"/>
      <c r="M418" s="280" t="n"/>
      <c r="N418" s="345" t="n"/>
      <c r="O418" s="280" t="n"/>
      <c r="P418" s="332">
        <f>IFERROR(VLOOKUP(TEXT(O418,"0"),CONDUCTORES!$A$3:$G$54,2,0),"")</f>
        <v/>
      </c>
      <c r="Q418" s="332">
        <f>IFERROR(VLOOKUP(TEXT(O418,"0"),CONDUCTORES!$A$3:$H$54,6,0),"")</f>
        <v/>
      </c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350" t="n"/>
      <c r="AA418" s="198" t="n"/>
      <c r="AB418" s="198" t="n"/>
      <c r="AC418" s="198" t="n"/>
    </row>
    <row r="419" ht="15" customHeight="1" s="195">
      <c r="A419" s="280" t="n"/>
      <c r="B419" s="280" t="n"/>
      <c r="C419" s="280" t="n"/>
      <c r="D419" s="280" t="n"/>
      <c r="E419" s="280" t="n"/>
      <c r="F419" s="280" t="n"/>
      <c r="G419" s="280" t="n"/>
      <c r="H419" s="280" t="n"/>
      <c r="I419" s="332">
        <f>IFERROR(VLOOKUP(TEXT(H419,"0"),IPRESS!$A$3:$B$212,2,0),"")</f>
        <v/>
      </c>
      <c r="J419" s="280" t="n"/>
      <c r="K419" s="343" t="n"/>
      <c r="L419" s="280" t="n"/>
      <c r="M419" s="280" t="n"/>
      <c r="N419" s="345" t="n"/>
      <c r="O419" s="280" t="n"/>
      <c r="P419" s="332">
        <f>IFERROR(VLOOKUP(TEXT(O419,"0"),CONDUCTORES!$A$3:$G$54,2,0),"")</f>
        <v/>
      </c>
      <c r="Q419" s="332">
        <f>IFERROR(VLOOKUP(TEXT(O419,"0"),CONDUCTORES!$A$3:$H$54,6,0),"")</f>
        <v/>
      </c>
      <c r="R419" s="280" t="n"/>
      <c r="S419" s="280" t="n"/>
      <c r="T419" s="280" t="n"/>
      <c r="U419" s="280" t="n"/>
      <c r="V419" s="280" t="n"/>
      <c r="W419" s="280" t="n"/>
      <c r="X419" s="280" t="n"/>
      <c r="Y419" s="280" t="n"/>
      <c r="Z419" s="350" t="n"/>
      <c r="AA419" s="198" t="n"/>
      <c r="AB419" s="198" t="n"/>
      <c r="AC419" s="198" t="n"/>
    </row>
    <row r="420" ht="15" customHeight="1" s="195">
      <c r="A420" s="280" t="n"/>
      <c r="B420" s="280" t="n"/>
      <c r="C420" s="280" t="n"/>
      <c r="D420" s="280" t="n"/>
      <c r="E420" s="280" t="n"/>
      <c r="F420" s="280" t="n"/>
      <c r="G420" s="280" t="n"/>
      <c r="H420" s="280" t="n"/>
      <c r="I420" s="332">
        <f>IFERROR(VLOOKUP(TEXT(H420,"0"),IPRESS!$A$3:$B$212,2,0),"")</f>
        <v/>
      </c>
      <c r="J420" s="280" t="n"/>
      <c r="K420" s="343" t="n"/>
      <c r="L420" s="280" t="n"/>
      <c r="M420" s="280" t="n"/>
      <c r="N420" s="345" t="n"/>
      <c r="O420" s="280" t="n"/>
      <c r="P420" s="332">
        <f>IFERROR(VLOOKUP(TEXT(O420,"0"),CONDUCTORES!$A$3:$G$54,2,0),"")</f>
        <v/>
      </c>
      <c r="Q420" s="332">
        <f>IFERROR(VLOOKUP(TEXT(O420,"0"),CONDUCTORES!$A$3:$H$54,6,0),"")</f>
        <v/>
      </c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350" t="n"/>
      <c r="AA420" s="198" t="n"/>
      <c r="AB420" s="198" t="n"/>
      <c r="AC420" s="198" t="n"/>
    </row>
    <row r="421" ht="15" customHeight="1" s="195">
      <c r="A421" s="280" t="n"/>
      <c r="B421" s="280" t="n"/>
      <c r="C421" s="280" t="n"/>
      <c r="D421" s="280" t="n"/>
      <c r="E421" s="280" t="n"/>
      <c r="F421" s="280" t="n"/>
      <c r="G421" s="280" t="n"/>
      <c r="H421" s="280" t="n"/>
      <c r="I421" s="332">
        <f>IFERROR(VLOOKUP(TEXT(H421,"0"),IPRESS!$A$3:$B$212,2,0),"")</f>
        <v/>
      </c>
      <c r="J421" s="280" t="n"/>
      <c r="K421" s="343" t="n"/>
      <c r="L421" s="280" t="n"/>
      <c r="M421" s="280" t="n"/>
      <c r="N421" s="345" t="n"/>
      <c r="O421" s="280" t="n"/>
      <c r="P421" s="332">
        <f>IFERROR(VLOOKUP(TEXT(O421,"0"),CONDUCTORES!$A$3:$G$54,2,0),"")</f>
        <v/>
      </c>
      <c r="Q421" s="332">
        <f>IFERROR(VLOOKUP(TEXT(O421,"0"),CONDUCTORES!$A$3:$H$54,6,0),"")</f>
        <v/>
      </c>
      <c r="R421" s="280" t="n"/>
      <c r="S421" s="280" t="n"/>
      <c r="T421" s="280" t="n"/>
      <c r="U421" s="280" t="n"/>
      <c r="V421" s="280" t="n"/>
      <c r="W421" s="280" t="n"/>
      <c r="X421" s="280" t="n"/>
      <c r="Y421" s="280" t="n"/>
      <c r="Z421" s="350" t="n"/>
      <c r="AA421" s="198" t="n"/>
      <c r="AB421" s="198" t="n"/>
      <c r="AC421" s="198" t="n"/>
    </row>
    <row r="422" ht="15" customHeight="1" s="195">
      <c r="A422" s="280" t="n"/>
      <c r="B422" s="280" t="n"/>
      <c r="C422" s="280" t="n"/>
      <c r="D422" s="280" t="n"/>
      <c r="E422" s="280" t="n"/>
      <c r="F422" s="280" t="n"/>
      <c r="G422" s="280" t="n"/>
      <c r="H422" s="280" t="n"/>
      <c r="I422" s="332">
        <f>IFERROR(VLOOKUP(TEXT(H422,"0"),IPRESS!$A$3:$B$212,2,0),"")</f>
        <v/>
      </c>
      <c r="J422" s="280" t="n"/>
      <c r="K422" s="343" t="n"/>
      <c r="L422" s="280" t="n"/>
      <c r="M422" s="280" t="n"/>
      <c r="N422" s="345" t="n"/>
      <c r="O422" s="280" t="n"/>
      <c r="P422" s="332">
        <f>IFERROR(VLOOKUP(TEXT(O422,"0"),CONDUCTORES!$A$3:$G$54,2,0),"")</f>
        <v/>
      </c>
      <c r="Q422" s="332">
        <f>IFERROR(VLOOKUP(TEXT(O422,"0"),CONDUCTORES!$A$3:$H$54,6,0),"")</f>
        <v/>
      </c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350" t="n"/>
      <c r="AA422" s="198" t="n"/>
      <c r="AB422" s="198" t="n"/>
      <c r="AC422" s="198" t="n"/>
    </row>
    <row r="423" ht="15" customHeight="1" s="195">
      <c r="A423" s="280" t="n"/>
      <c r="B423" s="280" t="n"/>
      <c r="C423" s="280" t="n"/>
      <c r="D423" s="280" t="n"/>
      <c r="E423" s="280" t="n"/>
      <c r="F423" s="280" t="n"/>
      <c r="G423" s="280" t="n"/>
      <c r="H423" s="280" t="n"/>
      <c r="I423" s="332">
        <f>IFERROR(VLOOKUP(TEXT(H423,"0"),IPRESS!$A$3:$B$212,2,0),"")</f>
        <v/>
      </c>
      <c r="J423" s="280" t="n"/>
      <c r="K423" s="343" t="n"/>
      <c r="L423" s="280" t="n"/>
      <c r="M423" s="280" t="n"/>
      <c r="N423" s="345" t="n"/>
      <c r="O423" s="280" t="n"/>
      <c r="P423" s="332">
        <f>IFERROR(VLOOKUP(TEXT(O423,"0"),CONDUCTORES!$A$3:$G$54,2,0),"")</f>
        <v/>
      </c>
      <c r="Q423" s="332">
        <f>IFERROR(VLOOKUP(TEXT(O423,"0"),CONDUCTORES!$A$3:$H$54,6,0),"")</f>
        <v/>
      </c>
      <c r="R423" s="280" t="n"/>
      <c r="S423" s="280" t="n"/>
      <c r="T423" s="280" t="n"/>
      <c r="U423" s="280" t="n"/>
      <c r="V423" s="280" t="n"/>
      <c r="W423" s="280" t="n"/>
      <c r="X423" s="280" t="n"/>
      <c r="Y423" s="280" t="n"/>
      <c r="Z423" s="350" t="n"/>
      <c r="AA423" s="198" t="n"/>
      <c r="AB423" s="198" t="n"/>
      <c r="AC423" s="198" t="n"/>
    </row>
    <row r="424" ht="15" customHeight="1" s="195">
      <c r="A424" s="280" t="n"/>
      <c r="B424" s="280" t="n"/>
      <c r="C424" s="280" t="n"/>
      <c r="D424" s="280" t="n"/>
      <c r="E424" s="280" t="n"/>
      <c r="F424" s="280" t="n"/>
      <c r="G424" s="280" t="n"/>
      <c r="H424" s="280" t="n"/>
      <c r="I424" s="332">
        <f>IFERROR(VLOOKUP(TEXT(H424,"0"),IPRESS!$A$3:$B$212,2,0),"")</f>
        <v/>
      </c>
      <c r="J424" s="280" t="n"/>
      <c r="K424" s="343" t="n"/>
      <c r="L424" s="280" t="n"/>
      <c r="M424" s="280" t="n"/>
      <c r="N424" s="345" t="n"/>
      <c r="O424" s="280" t="n"/>
      <c r="P424" s="332">
        <f>IFERROR(VLOOKUP(TEXT(O424,"0"),CONDUCTORES!$A$3:$G$54,2,0),"")</f>
        <v/>
      </c>
      <c r="Q424" s="332">
        <f>IFERROR(VLOOKUP(TEXT(O424,"0"),CONDUCTORES!$A$3:$H$54,6,0),"")</f>
        <v/>
      </c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350" t="n"/>
      <c r="AA424" s="198" t="n"/>
      <c r="AB424" s="198" t="n"/>
      <c r="AC424" s="198" t="n"/>
    </row>
    <row r="425" ht="15" customHeight="1" s="195">
      <c r="A425" s="280" t="n"/>
      <c r="B425" s="280" t="n"/>
      <c r="C425" s="280" t="n"/>
      <c r="D425" s="280" t="n"/>
      <c r="E425" s="280" t="n"/>
      <c r="F425" s="280" t="n"/>
      <c r="G425" s="280" t="n"/>
      <c r="H425" s="280" t="n"/>
      <c r="I425" s="332">
        <f>IFERROR(VLOOKUP(TEXT(H425,"0"),IPRESS!$A$3:$B$212,2,0),"")</f>
        <v/>
      </c>
      <c r="J425" s="280" t="n"/>
      <c r="K425" s="343" t="n"/>
      <c r="L425" s="280" t="n"/>
      <c r="M425" s="280" t="n"/>
      <c r="N425" s="345" t="n"/>
      <c r="O425" s="280" t="n"/>
      <c r="P425" s="332">
        <f>IFERROR(VLOOKUP(TEXT(O425,"0"),CONDUCTORES!$A$3:$G$54,2,0),"")</f>
        <v/>
      </c>
      <c r="Q425" s="332">
        <f>IFERROR(VLOOKUP(TEXT(O425,"0"),CONDUCTORES!$A$3:$H$54,6,0),"")</f>
        <v/>
      </c>
      <c r="R425" s="280" t="n"/>
      <c r="S425" s="280" t="n"/>
      <c r="T425" s="280" t="n"/>
      <c r="U425" s="280" t="n"/>
      <c r="V425" s="280" t="n"/>
      <c r="W425" s="280" t="n"/>
      <c r="X425" s="280" t="n"/>
      <c r="Y425" s="280" t="n"/>
      <c r="Z425" s="350" t="n"/>
      <c r="AA425" s="198" t="n"/>
      <c r="AB425" s="198" t="n"/>
      <c r="AC425" s="198" t="n"/>
    </row>
    <row r="426" ht="15" customHeight="1" s="195">
      <c r="A426" s="280" t="n"/>
      <c r="B426" s="280" t="n"/>
      <c r="C426" s="280" t="n"/>
      <c r="D426" s="280" t="n"/>
      <c r="E426" s="280" t="n"/>
      <c r="F426" s="280" t="n"/>
      <c r="G426" s="280" t="n"/>
      <c r="H426" s="280" t="n"/>
      <c r="I426" s="332">
        <f>IFERROR(VLOOKUP(TEXT(H426,"0"),IPRESS!$A$3:$B$212,2,0),"")</f>
        <v/>
      </c>
      <c r="J426" s="280" t="n"/>
      <c r="K426" s="343" t="n"/>
      <c r="L426" s="280" t="n"/>
      <c r="M426" s="280" t="n"/>
      <c r="N426" s="345" t="n"/>
      <c r="O426" s="280" t="n"/>
      <c r="P426" s="332">
        <f>IFERROR(VLOOKUP(TEXT(O426,"0"),CONDUCTORES!$A$3:$G$54,2,0),"")</f>
        <v/>
      </c>
      <c r="Q426" s="332">
        <f>IFERROR(VLOOKUP(TEXT(O426,"0"),CONDUCTORES!$A$3:$H$54,6,0),"")</f>
        <v/>
      </c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350" t="n"/>
      <c r="AA426" s="198" t="n"/>
      <c r="AB426" s="198" t="n"/>
      <c r="AC426" s="198" t="n"/>
    </row>
    <row r="427" ht="15" customHeight="1" s="195">
      <c r="A427" s="280" t="n"/>
      <c r="B427" s="280" t="n"/>
      <c r="C427" s="280" t="n"/>
      <c r="D427" s="280" t="n"/>
      <c r="E427" s="280" t="n"/>
      <c r="F427" s="280" t="n"/>
      <c r="G427" s="280" t="n"/>
      <c r="H427" s="280" t="n"/>
      <c r="I427" s="332">
        <f>IFERROR(VLOOKUP(TEXT(H427,"0"),IPRESS!$A$3:$B$212,2,0),"")</f>
        <v/>
      </c>
      <c r="J427" s="280" t="n"/>
      <c r="K427" s="343" t="n"/>
      <c r="L427" s="280" t="n"/>
      <c r="M427" s="280" t="n"/>
      <c r="N427" s="345" t="n"/>
      <c r="O427" s="280" t="n"/>
      <c r="P427" s="332">
        <f>IFERROR(VLOOKUP(TEXT(O427,"0"),CONDUCTORES!$A$3:$G$54,2,0),"")</f>
        <v/>
      </c>
      <c r="Q427" s="332">
        <f>IFERROR(VLOOKUP(TEXT(O427,"0"),CONDUCTORES!$A$3:$H$54,6,0),"")</f>
        <v/>
      </c>
      <c r="R427" s="280" t="n"/>
      <c r="S427" s="280" t="n"/>
      <c r="T427" s="280" t="n"/>
      <c r="U427" s="280" t="n"/>
      <c r="V427" s="280" t="n"/>
      <c r="W427" s="280" t="n"/>
      <c r="X427" s="280" t="n"/>
      <c r="Y427" s="280" t="n"/>
      <c r="Z427" s="350" t="n"/>
      <c r="AA427" s="198" t="n"/>
      <c r="AB427" s="198" t="n"/>
      <c r="AC427" s="198" t="n"/>
    </row>
    <row r="428" ht="15" customHeight="1" s="195">
      <c r="A428" s="280" t="n"/>
      <c r="B428" s="280" t="n"/>
      <c r="C428" s="280" t="n"/>
      <c r="D428" s="280" t="n"/>
      <c r="E428" s="280" t="n"/>
      <c r="F428" s="280" t="n"/>
      <c r="G428" s="280" t="n"/>
      <c r="H428" s="280" t="n"/>
      <c r="I428" s="332">
        <f>IFERROR(VLOOKUP(TEXT(H428,"0"),IPRESS!$A$3:$B$212,2,0),"")</f>
        <v/>
      </c>
      <c r="J428" s="280" t="n"/>
      <c r="K428" s="343" t="n"/>
      <c r="L428" s="280" t="n"/>
      <c r="M428" s="280" t="n"/>
      <c r="N428" s="345" t="n"/>
      <c r="O428" s="280" t="n"/>
      <c r="P428" s="332">
        <f>IFERROR(VLOOKUP(TEXT(O428,"0"),CONDUCTORES!$A$3:$G$54,2,0),"")</f>
        <v/>
      </c>
      <c r="Q428" s="332">
        <f>IFERROR(VLOOKUP(TEXT(O428,"0"),CONDUCTORES!$A$3:$H$54,6,0),"")</f>
        <v/>
      </c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350" t="n"/>
      <c r="AA428" s="198" t="n"/>
      <c r="AB428" s="198" t="n"/>
      <c r="AC428" s="198" t="n"/>
    </row>
    <row r="429" ht="15" customHeight="1" s="195">
      <c r="A429" s="280" t="n"/>
      <c r="B429" s="280" t="n"/>
      <c r="C429" s="280" t="n"/>
      <c r="D429" s="280" t="n"/>
      <c r="E429" s="280" t="n"/>
      <c r="F429" s="280" t="n"/>
      <c r="G429" s="280" t="n"/>
      <c r="H429" s="280" t="n"/>
      <c r="I429" s="332">
        <f>IFERROR(VLOOKUP(TEXT(H429,"0"),IPRESS!$A$3:$B$212,2,0),"")</f>
        <v/>
      </c>
      <c r="J429" s="280" t="n"/>
      <c r="K429" s="343" t="n"/>
      <c r="L429" s="280" t="n"/>
      <c r="M429" s="280" t="n"/>
      <c r="N429" s="345" t="n"/>
      <c r="O429" s="280" t="n"/>
      <c r="P429" s="332">
        <f>IFERROR(VLOOKUP(TEXT(O429,"0"),CONDUCTORES!$A$3:$G$54,2,0),"")</f>
        <v/>
      </c>
      <c r="Q429" s="332">
        <f>IFERROR(VLOOKUP(TEXT(O429,"0"),CONDUCTORES!$A$3:$H$54,6,0),"")</f>
        <v/>
      </c>
      <c r="R429" s="280" t="n"/>
      <c r="S429" s="280" t="n"/>
      <c r="T429" s="280" t="n"/>
      <c r="U429" s="280" t="n"/>
      <c r="V429" s="280" t="n"/>
      <c r="W429" s="280" t="n"/>
      <c r="X429" s="280" t="n"/>
      <c r="Y429" s="280" t="n"/>
      <c r="Z429" s="350" t="n"/>
      <c r="AA429" s="198" t="n"/>
      <c r="AB429" s="198" t="n"/>
      <c r="AC429" s="198" t="n"/>
    </row>
    <row r="430" ht="15" customHeight="1" s="195">
      <c r="A430" s="280" t="n"/>
      <c r="B430" s="280" t="n"/>
      <c r="C430" s="280" t="n"/>
      <c r="D430" s="280" t="n"/>
      <c r="E430" s="280" t="n"/>
      <c r="F430" s="280" t="n"/>
      <c r="G430" s="280" t="n"/>
      <c r="H430" s="280" t="n"/>
      <c r="I430" s="332">
        <f>IFERROR(VLOOKUP(TEXT(H430,"0"),IPRESS!$A$3:$B$212,2,0),"")</f>
        <v/>
      </c>
      <c r="J430" s="280" t="n"/>
      <c r="K430" s="343" t="n"/>
      <c r="L430" s="280" t="n"/>
      <c r="M430" s="280" t="n"/>
      <c r="N430" s="345" t="n"/>
      <c r="O430" s="280" t="n"/>
      <c r="P430" s="332">
        <f>IFERROR(VLOOKUP(TEXT(O430,"0"),CONDUCTORES!$A$3:$G$54,2,0),"")</f>
        <v/>
      </c>
      <c r="Q430" s="332">
        <f>IFERROR(VLOOKUP(TEXT(O430,"0"),CONDUCTORES!$A$3:$H$54,6,0),"")</f>
        <v/>
      </c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350" t="n"/>
      <c r="AA430" s="198" t="n"/>
      <c r="AB430" s="198" t="n"/>
      <c r="AC430" s="198" t="n"/>
    </row>
    <row r="431" ht="15" customHeight="1" s="195">
      <c r="A431" s="280" t="n"/>
      <c r="B431" s="280" t="n"/>
      <c r="C431" s="280" t="n"/>
      <c r="D431" s="280" t="n"/>
      <c r="E431" s="280" t="n"/>
      <c r="F431" s="280" t="n"/>
      <c r="G431" s="280" t="n"/>
      <c r="H431" s="280" t="n"/>
      <c r="I431" s="332">
        <f>IFERROR(VLOOKUP(TEXT(H431,"0"),IPRESS!$A$3:$B$212,2,0),"")</f>
        <v/>
      </c>
      <c r="J431" s="280" t="n"/>
      <c r="K431" s="343" t="n"/>
      <c r="L431" s="280" t="n"/>
      <c r="M431" s="280" t="n"/>
      <c r="N431" s="345" t="n"/>
      <c r="O431" s="280" t="n"/>
      <c r="P431" s="332">
        <f>IFERROR(VLOOKUP(TEXT(O431,"0"),CONDUCTORES!$A$3:$G$54,2,0),"")</f>
        <v/>
      </c>
      <c r="Q431" s="332">
        <f>IFERROR(VLOOKUP(TEXT(O431,"0"),CONDUCTORES!$A$3:$H$54,6,0),"")</f>
        <v/>
      </c>
      <c r="R431" s="280" t="n"/>
      <c r="S431" s="280" t="n"/>
      <c r="T431" s="280" t="n"/>
      <c r="U431" s="280" t="n"/>
      <c r="V431" s="280" t="n"/>
      <c r="W431" s="280" t="n"/>
      <c r="X431" s="280" t="n"/>
      <c r="Y431" s="280" t="n"/>
      <c r="Z431" s="350" t="n"/>
      <c r="AA431" s="198" t="n"/>
      <c r="AB431" s="198" t="n"/>
      <c r="AC431" s="198" t="n"/>
    </row>
    <row r="432" ht="15" customHeight="1" s="195">
      <c r="A432" s="280" t="n"/>
      <c r="B432" s="280" t="n"/>
      <c r="C432" s="280" t="n"/>
      <c r="D432" s="280" t="n"/>
      <c r="E432" s="280" t="n"/>
      <c r="F432" s="280" t="n"/>
      <c r="G432" s="280" t="n"/>
      <c r="H432" s="280" t="n"/>
      <c r="I432" s="332">
        <f>IFERROR(VLOOKUP(TEXT(H432,"0"),IPRESS!$A$3:$B$212,2,0),"")</f>
        <v/>
      </c>
      <c r="J432" s="280" t="n"/>
      <c r="K432" s="343" t="n"/>
      <c r="L432" s="280" t="n"/>
      <c r="M432" s="280" t="n"/>
      <c r="N432" s="345" t="n"/>
      <c r="O432" s="280" t="n"/>
      <c r="P432" s="332">
        <f>IFERROR(VLOOKUP(TEXT(O432,"0"),CONDUCTORES!$A$3:$G$54,2,0),"")</f>
        <v/>
      </c>
      <c r="Q432" s="332">
        <f>IFERROR(VLOOKUP(TEXT(O432,"0"),CONDUCTORES!$A$3:$H$54,6,0),"")</f>
        <v/>
      </c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350" t="n"/>
      <c r="AA432" s="198" t="n"/>
      <c r="AB432" s="198" t="n"/>
      <c r="AC432" s="198" t="n"/>
    </row>
    <row r="433" ht="15" customHeight="1" s="195">
      <c r="A433" s="280" t="n"/>
      <c r="B433" s="280" t="n"/>
      <c r="C433" s="280" t="n"/>
      <c r="D433" s="280" t="n"/>
      <c r="E433" s="280" t="n"/>
      <c r="F433" s="280" t="n"/>
      <c r="G433" s="280" t="n"/>
      <c r="H433" s="280" t="n"/>
      <c r="I433" s="332">
        <f>IFERROR(VLOOKUP(TEXT(H433,"0"),IPRESS!$A$3:$B$212,2,0),"")</f>
        <v/>
      </c>
      <c r="J433" s="280" t="n"/>
      <c r="K433" s="343" t="n"/>
      <c r="L433" s="280" t="n"/>
      <c r="M433" s="280" t="n"/>
      <c r="N433" s="345" t="n"/>
      <c r="O433" s="280" t="n"/>
      <c r="P433" s="332">
        <f>IFERROR(VLOOKUP(TEXT(O433,"0"),CONDUCTORES!$A$3:$G$54,2,0),"")</f>
        <v/>
      </c>
      <c r="Q433" s="332">
        <f>IFERROR(VLOOKUP(TEXT(O433,"0"),CONDUCTORES!$A$3:$H$54,6,0),"")</f>
        <v/>
      </c>
      <c r="R433" s="280" t="n"/>
      <c r="S433" s="280" t="n"/>
      <c r="T433" s="280" t="n"/>
      <c r="U433" s="280" t="n"/>
      <c r="V433" s="280" t="n"/>
      <c r="W433" s="280" t="n"/>
      <c r="X433" s="280" t="n"/>
      <c r="Y433" s="280" t="n"/>
      <c r="Z433" s="350" t="n"/>
      <c r="AA433" s="198" t="n"/>
      <c r="AB433" s="198" t="n"/>
      <c r="AC433" s="198" t="n"/>
    </row>
    <row r="434" ht="15" customHeight="1" s="195">
      <c r="A434" s="280" t="n"/>
      <c r="B434" s="280" t="n"/>
      <c r="C434" s="280" t="n"/>
      <c r="D434" s="280" t="n"/>
      <c r="E434" s="280" t="n"/>
      <c r="F434" s="280" t="n"/>
      <c r="G434" s="280" t="n"/>
      <c r="H434" s="280" t="n"/>
      <c r="I434" s="332">
        <f>IFERROR(VLOOKUP(TEXT(H434,"0"),IPRESS!$A$3:$B$212,2,0),"")</f>
        <v/>
      </c>
      <c r="J434" s="280" t="n"/>
      <c r="K434" s="343" t="n"/>
      <c r="L434" s="280" t="n"/>
      <c r="M434" s="280" t="n"/>
      <c r="N434" s="345" t="n"/>
      <c r="O434" s="280" t="n"/>
      <c r="P434" s="332">
        <f>IFERROR(VLOOKUP(TEXT(O434,"0"),CONDUCTORES!$A$3:$G$54,2,0),"")</f>
        <v/>
      </c>
      <c r="Q434" s="332">
        <f>IFERROR(VLOOKUP(TEXT(O434,"0"),CONDUCTORES!$A$3:$H$54,6,0),"")</f>
        <v/>
      </c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350" t="n"/>
      <c r="AA434" s="198" t="n"/>
      <c r="AB434" s="198" t="n"/>
      <c r="AC434" s="198" t="n"/>
    </row>
    <row r="435" ht="15" customHeight="1" s="195">
      <c r="A435" s="280" t="n"/>
      <c r="B435" s="280" t="n"/>
      <c r="C435" s="280" t="n"/>
      <c r="D435" s="280" t="n"/>
      <c r="E435" s="280" t="n"/>
      <c r="F435" s="280" t="n"/>
      <c r="G435" s="280" t="n"/>
      <c r="H435" s="280" t="n"/>
      <c r="I435" s="332">
        <f>IFERROR(VLOOKUP(TEXT(H435,"0"),IPRESS!$A$3:$B$212,2,0),"")</f>
        <v/>
      </c>
      <c r="J435" s="280" t="n"/>
      <c r="K435" s="343" t="n"/>
      <c r="L435" s="280" t="n"/>
      <c r="M435" s="280" t="n"/>
      <c r="N435" s="345" t="n"/>
      <c r="O435" s="280" t="n"/>
      <c r="P435" s="332">
        <f>IFERROR(VLOOKUP(TEXT(O435,"0"),CONDUCTORES!$A$3:$G$54,2,0),"")</f>
        <v/>
      </c>
      <c r="Q435" s="332">
        <f>IFERROR(VLOOKUP(TEXT(O435,"0"),CONDUCTORES!$A$3:$H$54,6,0),"")</f>
        <v/>
      </c>
      <c r="R435" s="280" t="n"/>
      <c r="S435" s="280" t="n"/>
      <c r="T435" s="280" t="n"/>
      <c r="U435" s="280" t="n"/>
      <c r="V435" s="280" t="n"/>
      <c r="W435" s="280" t="n"/>
      <c r="X435" s="280" t="n"/>
      <c r="Y435" s="280" t="n"/>
      <c r="Z435" s="350" t="n"/>
      <c r="AA435" s="198" t="n"/>
      <c r="AB435" s="198" t="n"/>
      <c r="AC435" s="198" t="n"/>
    </row>
    <row r="436" ht="15" customHeight="1" s="195">
      <c r="A436" s="280" t="n"/>
      <c r="B436" s="280" t="n"/>
      <c r="C436" s="280" t="n"/>
      <c r="D436" s="280" t="n"/>
      <c r="E436" s="280" t="n"/>
      <c r="F436" s="280" t="n"/>
      <c r="G436" s="280" t="n"/>
      <c r="H436" s="280" t="n"/>
      <c r="I436" s="332">
        <f>IFERROR(VLOOKUP(TEXT(H436,"0"),IPRESS!$A$3:$B$212,2,0),"")</f>
        <v/>
      </c>
      <c r="J436" s="280" t="n"/>
      <c r="K436" s="343" t="n"/>
      <c r="L436" s="280" t="n"/>
      <c r="M436" s="280" t="n"/>
      <c r="N436" s="345" t="n"/>
      <c r="O436" s="280" t="n"/>
      <c r="P436" s="332">
        <f>IFERROR(VLOOKUP(TEXT(O436,"0"),CONDUCTORES!$A$3:$G$54,2,0),"")</f>
        <v/>
      </c>
      <c r="Q436" s="332">
        <f>IFERROR(VLOOKUP(TEXT(O436,"0"),CONDUCTORES!$A$3:$H$54,6,0),"")</f>
        <v/>
      </c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350" t="n"/>
      <c r="AA436" s="198" t="n"/>
      <c r="AB436" s="198" t="n"/>
      <c r="AC436" s="198" t="n"/>
    </row>
    <row r="437" ht="15" customHeight="1" s="195">
      <c r="A437" s="280" t="n"/>
      <c r="B437" s="280" t="n"/>
      <c r="C437" s="280" t="n"/>
      <c r="D437" s="280" t="n"/>
      <c r="E437" s="280" t="n"/>
      <c r="F437" s="280" t="n"/>
      <c r="G437" s="280" t="n"/>
      <c r="H437" s="280" t="n"/>
      <c r="I437" s="332">
        <f>IFERROR(VLOOKUP(TEXT(H437,"0"),IPRESS!$A$3:$B$212,2,0),"")</f>
        <v/>
      </c>
      <c r="J437" s="280" t="n"/>
      <c r="K437" s="343" t="n"/>
      <c r="L437" s="280" t="n"/>
      <c r="M437" s="280" t="n"/>
      <c r="N437" s="345" t="n"/>
      <c r="O437" s="280" t="n"/>
      <c r="P437" s="332">
        <f>IFERROR(VLOOKUP(TEXT(O437,"0"),CONDUCTORES!$A$3:$G$54,2,0),"")</f>
        <v/>
      </c>
      <c r="Q437" s="332">
        <f>IFERROR(VLOOKUP(TEXT(O437,"0"),CONDUCTORES!$A$3:$H$54,6,0),"")</f>
        <v/>
      </c>
      <c r="R437" s="280" t="n"/>
      <c r="S437" s="280" t="n"/>
      <c r="T437" s="280" t="n"/>
      <c r="U437" s="280" t="n"/>
      <c r="V437" s="280" t="n"/>
      <c r="W437" s="280" t="n"/>
      <c r="X437" s="280" t="n"/>
      <c r="Y437" s="280" t="n"/>
      <c r="Z437" s="350" t="n"/>
      <c r="AA437" s="198" t="n"/>
      <c r="AB437" s="198" t="n"/>
      <c r="AC437" s="198" t="n"/>
    </row>
    <row r="438" ht="15" customHeight="1" s="195">
      <c r="A438" s="280" t="n"/>
      <c r="B438" s="280" t="n"/>
      <c r="C438" s="280" t="n"/>
      <c r="D438" s="280" t="n"/>
      <c r="E438" s="280" t="n"/>
      <c r="F438" s="280" t="n"/>
      <c r="G438" s="280" t="n"/>
      <c r="H438" s="280" t="n"/>
      <c r="I438" s="332">
        <f>IFERROR(VLOOKUP(TEXT(H438,"0"),IPRESS!$A$3:$B$212,2,0),"")</f>
        <v/>
      </c>
      <c r="J438" s="280" t="n"/>
      <c r="K438" s="343" t="n"/>
      <c r="L438" s="280" t="n"/>
      <c r="M438" s="280" t="n"/>
      <c r="N438" s="345" t="n"/>
      <c r="O438" s="280" t="n"/>
      <c r="P438" s="332">
        <f>IFERROR(VLOOKUP(TEXT(O438,"0"),CONDUCTORES!$A$3:$G$54,2,0),"")</f>
        <v/>
      </c>
      <c r="Q438" s="332">
        <f>IFERROR(VLOOKUP(TEXT(O438,"0"),CONDUCTORES!$A$3:$H$54,6,0),"")</f>
        <v/>
      </c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350" t="n"/>
      <c r="AA438" s="198" t="n"/>
      <c r="AB438" s="198" t="n"/>
      <c r="AC438" s="198" t="n"/>
    </row>
    <row r="439" ht="15" customHeight="1" s="195">
      <c r="A439" s="280" t="n"/>
      <c r="B439" s="280" t="n"/>
      <c r="C439" s="280" t="n"/>
      <c r="D439" s="280" t="n"/>
      <c r="E439" s="280" t="n"/>
      <c r="F439" s="280" t="n"/>
      <c r="G439" s="280" t="n"/>
      <c r="H439" s="280" t="n"/>
      <c r="I439" s="332">
        <f>IFERROR(VLOOKUP(TEXT(H439,"0"),IPRESS!$A$3:$B$212,2,0),"")</f>
        <v/>
      </c>
      <c r="J439" s="280" t="n"/>
      <c r="K439" s="343" t="n"/>
      <c r="L439" s="280" t="n"/>
      <c r="M439" s="280" t="n"/>
      <c r="N439" s="345" t="n"/>
      <c r="O439" s="280" t="n"/>
      <c r="P439" s="332">
        <f>IFERROR(VLOOKUP(TEXT(O439,"0"),CONDUCTORES!$A$3:$G$54,2,0),"")</f>
        <v/>
      </c>
      <c r="Q439" s="332">
        <f>IFERROR(VLOOKUP(TEXT(O439,"0"),CONDUCTORES!$A$3:$H$54,6,0),"")</f>
        <v/>
      </c>
      <c r="R439" s="280" t="n"/>
      <c r="S439" s="280" t="n"/>
      <c r="T439" s="280" t="n"/>
      <c r="U439" s="280" t="n"/>
      <c r="V439" s="280" t="n"/>
      <c r="W439" s="280" t="n"/>
      <c r="X439" s="280" t="n"/>
      <c r="Y439" s="280" t="n"/>
      <c r="Z439" s="350" t="n"/>
      <c r="AA439" s="198" t="n"/>
      <c r="AB439" s="198" t="n"/>
      <c r="AC439" s="198" t="n"/>
    </row>
    <row r="440" ht="15" customHeight="1" s="195">
      <c r="A440" s="280" t="n"/>
      <c r="B440" s="280" t="n"/>
      <c r="C440" s="280" t="n"/>
      <c r="D440" s="280" t="n"/>
      <c r="E440" s="280" t="n"/>
      <c r="F440" s="280" t="n"/>
      <c r="G440" s="280" t="n"/>
      <c r="H440" s="280" t="n"/>
      <c r="I440" s="332">
        <f>IFERROR(VLOOKUP(TEXT(H440,"0"),IPRESS!$A$3:$B$212,2,0),"")</f>
        <v/>
      </c>
      <c r="J440" s="280" t="n"/>
      <c r="K440" s="343" t="n"/>
      <c r="L440" s="280" t="n"/>
      <c r="M440" s="280" t="n"/>
      <c r="N440" s="345" t="n"/>
      <c r="O440" s="280" t="n"/>
      <c r="P440" s="332">
        <f>IFERROR(VLOOKUP(TEXT(O440,"0"),CONDUCTORES!$A$3:$G$54,2,0),"")</f>
        <v/>
      </c>
      <c r="Q440" s="332">
        <f>IFERROR(VLOOKUP(TEXT(O440,"0"),CONDUCTORES!$A$3:$H$54,6,0),"")</f>
        <v/>
      </c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350" t="n"/>
      <c r="AA440" s="198" t="n"/>
      <c r="AB440" s="198" t="n"/>
      <c r="AC440" s="198" t="n"/>
    </row>
    <row r="441" ht="15" customHeight="1" s="195">
      <c r="A441" s="280" t="n"/>
      <c r="B441" s="280" t="n"/>
      <c r="C441" s="280" t="n"/>
      <c r="D441" s="280" t="n"/>
      <c r="E441" s="280" t="n"/>
      <c r="F441" s="280" t="n"/>
      <c r="G441" s="280" t="n"/>
      <c r="H441" s="280" t="n"/>
      <c r="I441" s="332">
        <f>IFERROR(VLOOKUP(TEXT(H441,"0"),IPRESS!$A$3:$B$212,2,0),"")</f>
        <v/>
      </c>
      <c r="J441" s="280" t="n"/>
      <c r="K441" s="343" t="n"/>
      <c r="L441" s="280" t="n"/>
      <c r="M441" s="280" t="n"/>
      <c r="N441" s="345" t="n"/>
      <c r="O441" s="280" t="n"/>
      <c r="P441" s="332">
        <f>IFERROR(VLOOKUP(TEXT(O441,"0"),CONDUCTORES!$A$3:$G$54,2,0),"")</f>
        <v/>
      </c>
      <c r="Q441" s="332">
        <f>IFERROR(VLOOKUP(TEXT(O441,"0"),CONDUCTORES!$A$3:$H$54,6,0),"")</f>
        <v/>
      </c>
      <c r="R441" s="280" t="n"/>
      <c r="S441" s="280" t="n"/>
      <c r="T441" s="280" t="n"/>
      <c r="U441" s="280" t="n"/>
      <c r="V441" s="280" t="n"/>
      <c r="W441" s="280" t="n"/>
      <c r="X441" s="280" t="n"/>
      <c r="Y441" s="280" t="n"/>
      <c r="Z441" s="350" t="n"/>
      <c r="AA441" s="198" t="n"/>
      <c r="AB441" s="198" t="n"/>
      <c r="AC441" s="198" t="n"/>
    </row>
    <row r="442" ht="15" customHeight="1" s="195">
      <c r="A442" s="280" t="n"/>
      <c r="B442" s="280" t="n"/>
      <c r="C442" s="280" t="n"/>
      <c r="D442" s="280" t="n"/>
      <c r="E442" s="280" t="n"/>
      <c r="F442" s="280" t="n"/>
      <c r="G442" s="280" t="n"/>
      <c r="H442" s="280" t="n"/>
      <c r="I442" s="332">
        <f>IFERROR(VLOOKUP(TEXT(H442,"0"),IPRESS!$A$3:$B$212,2,0),"")</f>
        <v/>
      </c>
      <c r="J442" s="280" t="n"/>
      <c r="K442" s="343" t="n"/>
      <c r="L442" s="280" t="n"/>
      <c r="M442" s="280" t="n"/>
      <c r="N442" s="345" t="n"/>
      <c r="O442" s="280" t="n"/>
      <c r="P442" s="332">
        <f>IFERROR(VLOOKUP(TEXT(O442,"0"),CONDUCTORES!$A$3:$G$54,2,0),"")</f>
        <v/>
      </c>
      <c r="Q442" s="332">
        <f>IFERROR(VLOOKUP(TEXT(O442,"0"),CONDUCTORES!$A$3:$H$54,6,0),"")</f>
        <v/>
      </c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350" t="n"/>
      <c r="AA442" s="198" t="n"/>
      <c r="AB442" s="198" t="n"/>
      <c r="AC442" s="198" t="n"/>
    </row>
    <row r="443" ht="15" customHeight="1" s="195">
      <c r="A443" s="280" t="n"/>
      <c r="B443" s="280" t="n"/>
      <c r="C443" s="280" t="n"/>
      <c r="D443" s="280" t="n"/>
      <c r="E443" s="280" t="n"/>
      <c r="F443" s="280" t="n"/>
      <c r="G443" s="280" t="n"/>
      <c r="H443" s="280" t="n"/>
      <c r="I443" s="332">
        <f>IFERROR(VLOOKUP(TEXT(H443,"0"),IPRESS!$A$3:$B$212,2,0),"")</f>
        <v/>
      </c>
      <c r="J443" s="280" t="n"/>
      <c r="K443" s="343" t="n"/>
      <c r="L443" s="280" t="n"/>
      <c r="M443" s="280" t="n"/>
      <c r="N443" s="345" t="n"/>
      <c r="O443" s="280" t="n"/>
      <c r="P443" s="332">
        <f>IFERROR(VLOOKUP(TEXT(O443,"0"),CONDUCTORES!$A$3:$G$54,2,0),"")</f>
        <v/>
      </c>
      <c r="Q443" s="332">
        <f>IFERROR(VLOOKUP(TEXT(O443,"0"),CONDUCTORES!$A$3:$H$54,6,0),"")</f>
        <v/>
      </c>
      <c r="R443" s="280" t="n"/>
      <c r="S443" s="280" t="n"/>
      <c r="T443" s="280" t="n"/>
      <c r="U443" s="280" t="n"/>
      <c r="V443" s="280" t="n"/>
      <c r="W443" s="280" t="n"/>
      <c r="X443" s="280" t="n"/>
      <c r="Y443" s="280" t="n"/>
      <c r="Z443" s="350" t="n"/>
      <c r="AA443" s="198" t="n"/>
      <c r="AB443" s="198" t="n"/>
      <c r="AC443" s="198" t="n"/>
    </row>
    <row r="444" ht="15" customHeight="1" s="195">
      <c r="A444" s="280" t="n"/>
      <c r="B444" s="280" t="n"/>
      <c r="C444" s="280" t="n"/>
      <c r="D444" s="280" t="n"/>
      <c r="E444" s="280" t="n"/>
      <c r="F444" s="280" t="n"/>
      <c r="G444" s="280" t="n"/>
      <c r="H444" s="280" t="n"/>
      <c r="I444" s="332">
        <f>IFERROR(VLOOKUP(TEXT(H444,"0"),IPRESS!$A$3:$B$212,2,0),"")</f>
        <v/>
      </c>
      <c r="J444" s="280" t="n"/>
      <c r="K444" s="343" t="n"/>
      <c r="L444" s="280" t="n"/>
      <c r="M444" s="280" t="n"/>
      <c r="N444" s="345" t="n"/>
      <c r="O444" s="280" t="n"/>
      <c r="P444" s="332">
        <f>IFERROR(VLOOKUP(TEXT(O444,"0"),CONDUCTORES!$A$3:$G$54,2,0),"")</f>
        <v/>
      </c>
      <c r="Q444" s="332">
        <f>IFERROR(VLOOKUP(TEXT(O444,"0"),CONDUCTORES!$A$3:$H$54,6,0),"")</f>
        <v/>
      </c>
      <c r="R444" s="280" t="n"/>
      <c r="S444" s="280" t="n"/>
      <c r="T444" s="280" t="n"/>
      <c r="U444" s="280" t="n"/>
      <c r="V444" s="280" t="n"/>
      <c r="W444" s="280" t="n"/>
      <c r="X444" s="280" t="n"/>
      <c r="Y444" s="280" t="n"/>
      <c r="Z444" s="350" t="n"/>
      <c r="AA444" s="198" t="n"/>
      <c r="AB444" s="198" t="n"/>
      <c r="AC444" s="198" t="n"/>
    </row>
    <row r="445" ht="15" customHeight="1" s="195">
      <c r="A445" s="280" t="n"/>
      <c r="B445" s="280" t="n"/>
      <c r="C445" s="280" t="n"/>
      <c r="D445" s="280" t="n"/>
      <c r="E445" s="280" t="n"/>
      <c r="F445" s="280" t="n"/>
      <c r="G445" s="280" t="n"/>
      <c r="H445" s="280" t="n"/>
      <c r="I445" s="332">
        <f>IFERROR(VLOOKUP(TEXT(H445,"0"),IPRESS!$A$3:$B$212,2,0),"")</f>
        <v/>
      </c>
      <c r="J445" s="280" t="n"/>
      <c r="K445" s="343" t="n"/>
      <c r="L445" s="280" t="n"/>
      <c r="M445" s="280" t="n"/>
      <c r="N445" s="345" t="n"/>
      <c r="O445" s="280" t="n"/>
      <c r="P445" s="332">
        <f>IFERROR(VLOOKUP(TEXT(O445,"0"),CONDUCTORES!$A$3:$G$54,2,0),"")</f>
        <v/>
      </c>
      <c r="Q445" s="332">
        <f>IFERROR(VLOOKUP(TEXT(O445,"0"),CONDUCTORES!$A$3:$H$54,6,0),"")</f>
        <v/>
      </c>
      <c r="R445" s="280" t="n"/>
      <c r="S445" s="280" t="n"/>
      <c r="T445" s="280" t="n"/>
      <c r="U445" s="280" t="n"/>
      <c r="V445" s="280" t="n"/>
      <c r="W445" s="280" t="n"/>
      <c r="X445" s="280" t="n"/>
      <c r="Y445" s="280" t="n"/>
      <c r="Z445" s="350" t="n"/>
      <c r="AA445" s="198" t="n"/>
      <c r="AB445" s="198" t="n"/>
      <c r="AC445" s="198" t="n"/>
    </row>
    <row r="446" ht="15" customHeight="1" s="195">
      <c r="A446" s="280" t="n"/>
      <c r="B446" s="280" t="n"/>
      <c r="C446" s="280" t="n"/>
      <c r="D446" s="280" t="n"/>
      <c r="E446" s="280" t="n"/>
      <c r="F446" s="280" t="n"/>
      <c r="G446" s="280" t="n"/>
      <c r="H446" s="280" t="n"/>
      <c r="I446" s="332">
        <f>IFERROR(VLOOKUP(TEXT(H446,"0"),IPRESS!$A$3:$B$212,2,0),"")</f>
        <v/>
      </c>
      <c r="J446" s="280" t="n"/>
      <c r="K446" s="343" t="n"/>
      <c r="L446" s="280" t="n"/>
      <c r="M446" s="280" t="n"/>
      <c r="N446" s="345" t="n"/>
      <c r="O446" s="280" t="n"/>
      <c r="P446" s="332">
        <f>IFERROR(VLOOKUP(TEXT(O446,"0"),CONDUCTORES!$A$3:$G$54,2,0),"")</f>
        <v/>
      </c>
      <c r="Q446" s="332">
        <f>IFERROR(VLOOKUP(TEXT(O446,"0"),CONDUCTORES!$A$3:$H$54,6,0),"")</f>
        <v/>
      </c>
      <c r="R446" s="280" t="n"/>
      <c r="S446" s="280" t="n"/>
      <c r="T446" s="280" t="n"/>
      <c r="U446" s="280" t="n"/>
      <c r="V446" s="280" t="n"/>
      <c r="W446" s="280" t="n"/>
      <c r="X446" s="280" t="n"/>
      <c r="Y446" s="280" t="n"/>
      <c r="Z446" s="350" t="n"/>
      <c r="AA446" s="198" t="n"/>
      <c r="AB446" s="198" t="n"/>
      <c r="AC446" s="198" t="n"/>
    </row>
    <row r="447" ht="15" customHeight="1" s="195">
      <c r="A447" s="280" t="n"/>
      <c r="B447" s="280" t="n"/>
      <c r="C447" s="280" t="n"/>
      <c r="D447" s="280" t="n"/>
      <c r="E447" s="280" t="n"/>
      <c r="F447" s="280" t="n"/>
      <c r="G447" s="280" t="n"/>
      <c r="H447" s="280" t="n"/>
      <c r="I447" s="332">
        <f>IFERROR(VLOOKUP(TEXT(H447,"0"),IPRESS!$A$3:$B$212,2,0),"")</f>
        <v/>
      </c>
      <c r="J447" s="280" t="n"/>
      <c r="K447" s="343" t="n"/>
      <c r="L447" s="280" t="n"/>
      <c r="M447" s="280" t="n"/>
      <c r="N447" s="345" t="n"/>
      <c r="O447" s="280" t="n"/>
      <c r="P447" s="332">
        <f>IFERROR(VLOOKUP(TEXT(O447,"0"),CONDUCTORES!$A$3:$G$54,2,0),"")</f>
        <v/>
      </c>
      <c r="Q447" s="332">
        <f>IFERROR(VLOOKUP(TEXT(O447,"0"),CONDUCTORES!$A$3:$H$54,6,0),"")</f>
        <v/>
      </c>
      <c r="R447" s="280" t="n"/>
      <c r="S447" s="280" t="n"/>
      <c r="T447" s="280" t="n"/>
      <c r="U447" s="280" t="n"/>
      <c r="V447" s="280" t="n"/>
      <c r="W447" s="280" t="n"/>
      <c r="X447" s="280" t="n"/>
      <c r="Y447" s="280" t="n"/>
      <c r="Z447" s="350" t="n"/>
      <c r="AA447" s="198" t="n"/>
      <c r="AB447" s="198" t="n"/>
      <c r="AC447" s="198" t="n"/>
    </row>
    <row r="448" ht="15" customHeight="1" s="195">
      <c r="A448" s="280" t="n"/>
      <c r="B448" s="280" t="n"/>
      <c r="C448" s="280" t="n"/>
      <c r="D448" s="280" t="n"/>
      <c r="E448" s="280" t="n"/>
      <c r="F448" s="280" t="n"/>
      <c r="G448" s="280" t="n"/>
      <c r="H448" s="280" t="n"/>
      <c r="I448" s="332">
        <f>IFERROR(VLOOKUP(TEXT(H448,"0"),IPRESS!$A$3:$B$212,2,0),"")</f>
        <v/>
      </c>
      <c r="J448" s="280" t="n"/>
      <c r="K448" s="343" t="n"/>
      <c r="L448" s="280" t="n"/>
      <c r="M448" s="280" t="n"/>
      <c r="N448" s="345" t="n"/>
      <c r="O448" s="280" t="n"/>
      <c r="P448" s="332">
        <f>IFERROR(VLOOKUP(TEXT(O448,"0"),CONDUCTORES!$A$3:$G$54,2,0),"")</f>
        <v/>
      </c>
      <c r="Q448" s="332">
        <f>IFERROR(VLOOKUP(TEXT(O448,"0"),CONDUCTORES!$A$3:$H$54,6,0),"")</f>
        <v/>
      </c>
      <c r="R448" s="280" t="n"/>
      <c r="S448" s="280" t="n"/>
      <c r="T448" s="280" t="n"/>
      <c r="U448" s="280" t="n"/>
      <c r="V448" s="280" t="n"/>
      <c r="W448" s="280" t="n"/>
      <c r="X448" s="280" t="n"/>
      <c r="Y448" s="280" t="n"/>
      <c r="Z448" s="350" t="n"/>
      <c r="AA448" s="198" t="n"/>
      <c r="AB448" s="198" t="n"/>
      <c r="AC448" s="198" t="n"/>
    </row>
    <row r="449" ht="15" customHeight="1" s="195">
      <c r="A449" s="280" t="n"/>
      <c r="B449" s="280" t="n"/>
      <c r="C449" s="280" t="n"/>
      <c r="D449" s="280" t="n"/>
      <c r="E449" s="280" t="n"/>
      <c r="F449" s="280" t="n"/>
      <c r="G449" s="280" t="n"/>
      <c r="H449" s="280" t="n"/>
      <c r="I449" s="332">
        <f>IFERROR(VLOOKUP(TEXT(H449,"0"),IPRESS!$A$3:$B$212,2,0),"")</f>
        <v/>
      </c>
      <c r="J449" s="280" t="n"/>
      <c r="K449" s="343" t="n"/>
      <c r="L449" s="280" t="n"/>
      <c r="M449" s="280" t="n"/>
      <c r="N449" s="345" t="n"/>
      <c r="O449" s="280" t="n"/>
      <c r="P449" s="332">
        <f>IFERROR(VLOOKUP(TEXT(O449,"0"),CONDUCTORES!$A$3:$G$54,2,0),"")</f>
        <v/>
      </c>
      <c r="Q449" s="332">
        <f>IFERROR(VLOOKUP(TEXT(O449,"0"),CONDUCTORES!$A$3:$H$54,6,0),"")</f>
        <v/>
      </c>
      <c r="R449" s="280" t="n"/>
      <c r="S449" s="280" t="n"/>
      <c r="T449" s="280" t="n"/>
      <c r="U449" s="280" t="n"/>
      <c r="V449" s="280" t="n"/>
      <c r="W449" s="280" t="n"/>
      <c r="X449" s="280" t="n"/>
      <c r="Y449" s="280" t="n"/>
      <c r="Z449" s="350" t="n"/>
      <c r="AA449" s="198" t="n"/>
      <c r="AB449" s="198" t="n"/>
      <c r="AC449" s="198" t="n"/>
    </row>
    <row r="450" ht="15" customHeight="1" s="195">
      <c r="A450" s="280" t="n"/>
      <c r="B450" s="280" t="n"/>
      <c r="C450" s="280" t="n"/>
      <c r="D450" s="280" t="n"/>
      <c r="E450" s="280" t="n"/>
      <c r="F450" s="280" t="n"/>
      <c r="G450" s="280" t="n"/>
      <c r="H450" s="280" t="n"/>
      <c r="I450" s="332">
        <f>IFERROR(VLOOKUP(TEXT(H450,"0"),IPRESS!$A$3:$B$212,2,0),"")</f>
        <v/>
      </c>
      <c r="J450" s="280" t="n"/>
      <c r="K450" s="343" t="n"/>
      <c r="L450" s="280" t="n"/>
      <c r="M450" s="280" t="n"/>
      <c r="N450" s="345" t="n"/>
      <c r="O450" s="280" t="n"/>
      <c r="P450" s="332">
        <f>IFERROR(VLOOKUP(TEXT(O450,"0"),CONDUCTORES!$A$3:$G$54,2,0),"")</f>
        <v/>
      </c>
      <c r="Q450" s="332">
        <f>IFERROR(VLOOKUP(TEXT(O450,"0"),CONDUCTORES!$A$3:$H$54,6,0),"")</f>
        <v/>
      </c>
      <c r="R450" s="280" t="n"/>
      <c r="S450" s="280" t="n"/>
      <c r="T450" s="280" t="n"/>
      <c r="U450" s="280" t="n"/>
      <c r="V450" s="280" t="n"/>
      <c r="W450" s="280" t="n"/>
      <c r="X450" s="280" t="n"/>
      <c r="Y450" s="280" t="n"/>
      <c r="Z450" s="350" t="n"/>
      <c r="AA450" s="198" t="n"/>
      <c r="AB450" s="198" t="n"/>
      <c r="AC450" s="198" t="n"/>
    </row>
    <row r="451" ht="15" customHeight="1" s="195">
      <c r="A451" s="280" t="n"/>
      <c r="B451" s="280" t="n"/>
      <c r="C451" s="280" t="n"/>
      <c r="D451" s="280" t="n"/>
      <c r="E451" s="280" t="n"/>
      <c r="F451" s="280" t="n"/>
      <c r="G451" s="280" t="n"/>
      <c r="H451" s="280" t="n"/>
      <c r="I451" s="332">
        <f>IFERROR(VLOOKUP(TEXT(H451,"0"),IPRESS!$A$3:$B$212,2,0),"")</f>
        <v/>
      </c>
      <c r="J451" s="280" t="n"/>
      <c r="K451" s="343" t="n"/>
      <c r="L451" s="280" t="n"/>
      <c r="M451" s="280" t="n"/>
      <c r="N451" s="345" t="n"/>
      <c r="O451" s="280" t="n"/>
      <c r="P451" s="332">
        <f>IFERROR(VLOOKUP(TEXT(O451,"0"),CONDUCTORES!$A$3:$G$54,2,0),"")</f>
        <v/>
      </c>
      <c r="Q451" s="332">
        <f>IFERROR(VLOOKUP(TEXT(O451,"0"),CONDUCTORES!$A$3:$H$54,6,0),"")</f>
        <v/>
      </c>
      <c r="R451" s="280" t="n"/>
      <c r="S451" s="280" t="n"/>
      <c r="T451" s="280" t="n"/>
      <c r="U451" s="280" t="n"/>
      <c r="V451" s="280" t="n"/>
      <c r="W451" s="280" t="n"/>
      <c r="X451" s="280" t="n"/>
      <c r="Y451" s="280" t="n"/>
      <c r="Z451" s="350" t="n"/>
      <c r="AA451" s="198" t="n"/>
      <c r="AB451" s="198" t="n"/>
      <c r="AC451" s="198" t="n"/>
    </row>
    <row r="452" ht="15" customHeight="1" s="195">
      <c r="A452" s="280" t="n"/>
      <c r="B452" s="280" t="n"/>
      <c r="C452" s="280" t="n"/>
      <c r="D452" s="280" t="n"/>
      <c r="E452" s="280" t="n"/>
      <c r="F452" s="280" t="n"/>
      <c r="G452" s="280" t="n"/>
      <c r="H452" s="280" t="n"/>
      <c r="I452" s="332">
        <f>IFERROR(VLOOKUP(TEXT(H452,"0"),IPRESS!$A$3:$B$212,2,0),"")</f>
        <v/>
      </c>
      <c r="J452" s="280" t="n"/>
      <c r="K452" s="343" t="n"/>
      <c r="L452" s="280" t="n"/>
      <c r="M452" s="280" t="n"/>
      <c r="N452" s="345" t="n"/>
      <c r="O452" s="280" t="n"/>
      <c r="P452" s="332">
        <f>IFERROR(VLOOKUP(TEXT(O452,"0"),CONDUCTORES!$A$3:$G$54,2,0),"")</f>
        <v/>
      </c>
      <c r="Q452" s="332">
        <f>IFERROR(VLOOKUP(TEXT(O452,"0"),CONDUCTORES!$A$3:$H$54,6,0),"")</f>
        <v/>
      </c>
      <c r="R452" s="280" t="n"/>
      <c r="S452" s="280" t="n"/>
      <c r="T452" s="280" t="n"/>
      <c r="U452" s="280" t="n"/>
      <c r="V452" s="280" t="n"/>
      <c r="W452" s="280" t="n"/>
      <c r="X452" s="280" t="n"/>
      <c r="Y452" s="280" t="n"/>
      <c r="Z452" s="350" t="n"/>
      <c r="AA452" s="198" t="n"/>
      <c r="AB452" s="198" t="n"/>
      <c r="AC452" s="198" t="n"/>
    </row>
    <row r="453" ht="15" customHeight="1" s="195">
      <c r="A453" s="280" t="n"/>
      <c r="B453" s="280" t="n"/>
      <c r="C453" s="280" t="n"/>
      <c r="D453" s="280" t="n"/>
      <c r="E453" s="280" t="n"/>
      <c r="F453" s="280" t="n"/>
      <c r="G453" s="280" t="n"/>
      <c r="H453" s="280" t="n"/>
      <c r="I453" s="332">
        <f>IFERROR(VLOOKUP(TEXT(H453,"0"),IPRESS!$A$3:$B$212,2,0),"")</f>
        <v/>
      </c>
      <c r="J453" s="280" t="n"/>
      <c r="K453" s="343" t="n"/>
      <c r="L453" s="280" t="n"/>
      <c r="M453" s="280" t="n"/>
      <c r="N453" s="345" t="n"/>
      <c r="O453" s="280" t="n"/>
      <c r="P453" s="332">
        <f>IFERROR(VLOOKUP(TEXT(O453,"0"),CONDUCTORES!$A$3:$G$54,2,0),"")</f>
        <v/>
      </c>
      <c r="Q453" s="332">
        <f>IFERROR(VLOOKUP(TEXT(O453,"0"),CONDUCTORES!$A$3:$H$54,6,0),"")</f>
        <v/>
      </c>
      <c r="R453" s="280" t="n"/>
      <c r="S453" s="280" t="n"/>
      <c r="T453" s="280" t="n"/>
      <c r="U453" s="280" t="n"/>
      <c r="V453" s="280" t="n"/>
      <c r="W453" s="280" t="n"/>
      <c r="X453" s="280" t="n"/>
      <c r="Y453" s="280" t="n"/>
      <c r="Z453" s="350" t="n"/>
      <c r="AA453" s="198" t="n"/>
      <c r="AB453" s="198" t="n"/>
      <c r="AC453" s="198" t="n"/>
    </row>
    <row r="454" ht="15" customHeight="1" s="195">
      <c r="A454" s="280" t="n"/>
      <c r="B454" s="280" t="n"/>
      <c r="C454" s="280" t="n"/>
      <c r="D454" s="280" t="n"/>
      <c r="E454" s="280" t="n"/>
      <c r="F454" s="280" t="n"/>
      <c r="G454" s="280" t="n"/>
      <c r="H454" s="280" t="n"/>
      <c r="I454" s="332">
        <f>IFERROR(VLOOKUP(TEXT(H454,"0"),IPRESS!$A$3:$B$212,2,0),"")</f>
        <v/>
      </c>
      <c r="J454" s="280" t="n"/>
      <c r="K454" s="343" t="n"/>
      <c r="L454" s="280" t="n"/>
      <c r="M454" s="280" t="n"/>
      <c r="N454" s="345" t="n"/>
      <c r="O454" s="280" t="n"/>
      <c r="P454" s="332">
        <f>IFERROR(VLOOKUP(TEXT(O454,"0"),CONDUCTORES!$A$3:$G$54,2,0),"")</f>
        <v/>
      </c>
      <c r="Q454" s="332">
        <f>IFERROR(VLOOKUP(TEXT(O454,"0"),CONDUCTORES!$A$3:$H$54,6,0),"")</f>
        <v/>
      </c>
      <c r="R454" s="280" t="n"/>
      <c r="S454" s="280" t="n"/>
      <c r="T454" s="280" t="n"/>
      <c r="U454" s="280" t="n"/>
      <c r="V454" s="280" t="n"/>
      <c r="W454" s="280" t="n"/>
      <c r="X454" s="280" t="n"/>
      <c r="Y454" s="280" t="n"/>
      <c r="Z454" s="350" t="n"/>
      <c r="AA454" s="198" t="n"/>
      <c r="AB454" s="198" t="n"/>
      <c r="AC454" s="198" t="n"/>
    </row>
    <row r="455" ht="15" customHeight="1" s="195">
      <c r="A455" s="280" t="n"/>
      <c r="B455" s="280" t="n"/>
      <c r="C455" s="280" t="n"/>
      <c r="D455" s="280" t="n"/>
      <c r="E455" s="280" t="n"/>
      <c r="F455" s="280" t="n"/>
      <c r="G455" s="280" t="n"/>
      <c r="H455" s="280" t="n"/>
      <c r="I455" s="332">
        <f>IFERROR(VLOOKUP(TEXT(H455,"0"),IPRESS!$A$3:$B$212,2,0),"")</f>
        <v/>
      </c>
      <c r="J455" s="280" t="n"/>
      <c r="K455" s="343" t="n"/>
      <c r="L455" s="280" t="n"/>
      <c r="M455" s="280" t="n"/>
      <c r="N455" s="345" t="n"/>
      <c r="O455" s="280" t="n"/>
      <c r="P455" s="332">
        <f>IFERROR(VLOOKUP(TEXT(O455,"0"),CONDUCTORES!$A$3:$G$54,2,0),"")</f>
        <v/>
      </c>
      <c r="Q455" s="332">
        <f>IFERROR(VLOOKUP(TEXT(O455,"0"),CONDUCTORES!$A$3:$H$54,6,0),"")</f>
        <v/>
      </c>
      <c r="R455" s="280" t="n"/>
      <c r="S455" s="280" t="n"/>
      <c r="T455" s="280" t="n"/>
      <c r="U455" s="280" t="n"/>
      <c r="V455" s="280" t="n"/>
      <c r="W455" s="280" t="n"/>
      <c r="X455" s="280" t="n"/>
      <c r="Y455" s="280" t="n"/>
      <c r="Z455" s="350" t="n"/>
      <c r="AA455" s="198" t="n"/>
      <c r="AB455" s="198" t="n"/>
      <c r="AC455" s="198" t="n"/>
    </row>
    <row r="456" ht="15" customHeight="1" s="195">
      <c r="A456" s="280" t="n"/>
      <c r="B456" s="280" t="n"/>
      <c r="C456" s="280" t="n"/>
      <c r="D456" s="280" t="n"/>
      <c r="E456" s="280" t="n"/>
      <c r="F456" s="280" t="n"/>
      <c r="G456" s="280" t="n"/>
      <c r="H456" s="280" t="n"/>
      <c r="I456" s="332">
        <f>IFERROR(VLOOKUP(TEXT(H456,"0"),IPRESS!$A$3:$B$212,2,0),"")</f>
        <v/>
      </c>
      <c r="J456" s="280" t="n"/>
      <c r="K456" s="343" t="n"/>
      <c r="L456" s="280" t="n"/>
      <c r="M456" s="280" t="n"/>
      <c r="N456" s="345" t="n"/>
      <c r="O456" s="280" t="n"/>
      <c r="P456" s="332">
        <f>IFERROR(VLOOKUP(TEXT(O456,"0"),CONDUCTORES!$A$3:$G$54,2,0),"")</f>
        <v/>
      </c>
      <c r="Q456" s="332">
        <f>IFERROR(VLOOKUP(TEXT(O456,"0"),CONDUCTORES!$A$3:$H$54,6,0),"")</f>
        <v/>
      </c>
      <c r="R456" s="280" t="n"/>
      <c r="S456" s="280" t="n"/>
      <c r="T456" s="280" t="n"/>
      <c r="U456" s="280" t="n"/>
      <c r="V456" s="280" t="n"/>
      <c r="W456" s="280" t="n"/>
      <c r="X456" s="280" t="n"/>
      <c r="Y456" s="280" t="n"/>
      <c r="Z456" s="350" t="n"/>
      <c r="AA456" s="198" t="n"/>
      <c r="AB456" s="198" t="n"/>
      <c r="AC456" s="198" t="n"/>
    </row>
    <row r="457" ht="15" customHeight="1" s="195">
      <c r="A457" s="280" t="n"/>
      <c r="B457" s="280" t="n"/>
      <c r="C457" s="280" t="n"/>
      <c r="D457" s="280" t="n"/>
      <c r="E457" s="280" t="n"/>
      <c r="F457" s="280" t="n"/>
      <c r="G457" s="280" t="n"/>
      <c r="H457" s="280" t="n"/>
      <c r="I457" s="332">
        <f>IFERROR(VLOOKUP(TEXT(H457,"0"),IPRESS!$A$3:$B$212,2,0),"")</f>
        <v/>
      </c>
      <c r="J457" s="280" t="n"/>
      <c r="K457" s="343" t="n"/>
      <c r="L457" s="280" t="n"/>
      <c r="M457" s="280" t="n"/>
      <c r="N457" s="345" t="n"/>
      <c r="O457" s="280" t="n"/>
      <c r="P457" s="332">
        <f>IFERROR(VLOOKUP(TEXT(O457,"0"),CONDUCTORES!$A$3:$G$54,2,0),"")</f>
        <v/>
      </c>
      <c r="Q457" s="332">
        <f>IFERROR(VLOOKUP(TEXT(O457,"0"),CONDUCTORES!$A$3:$H$54,6,0),"")</f>
        <v/>
      </c>
      <c r="R457" s="280" t="n"/>
      <c r="S457" s="280" t="n"/>
      <c r="T457" s="280" t="n"/>
      <c r="U457" s="280" t="n"/>
      <c r="V457" s="280" t="n"/>
      <c r="W457" s="280" t="n"/>
      <c r="X457" s="280" t="n"/>
      <c r="Y457" s="280" t="n"/>
      <c r="Z457" s="350" t="n"/>
      <c r="AA457" s="198" t="n"/>
      <c r="AB457" s="198" t="n"/>
      <c r="AC457" s="198" t="n"/>
    </row>
    <row r="458" ht="15" customHeight="1" s="195">
      <c r="A458" s="280" t="n"/>
      <c r="B458" s="280" t="n"/>
      <c r="C458" s="280" t="n"/>
      <c r="D458" s="280" t="n"/>
      <c r="E458" s="280" t="n"/>
      <c r="F458" s="280" t="n"/>
      <c r="G458" s="280" t="n"/>
      <c r="H458" s="280" t="n"/>
      <c r="I458" s="332">
        <f>IFERROR(VLOOKUP(TEXT(H458,"0"),IPRESS!$A$3:$B$212,2,0),"")</f>
        <v/>
      </c>
      <c r="J458" s="280" t="n"/>
      <c r="K458" s="343" t="n"/>
      <c r="L458" s="280" t="n"/>
      <c r="M458" s="280" t="n"/>
      <c r="N458" s="345" t="n"/>
      <c r="O458" s="280" t="n"/>
      <c r="P458" s="332">
        <f>IFERROR(VLOOKUP(TEXT(O458,"0"),CONDUCTORES!$A$3:$G$54,2,0),"")</f>
        <v/>
      </c>
      <c r="Q458" s="332">
        <f>IFERROR(VLOOKUP(TEXT(O458,"0"),CONDUCTORES!$A$3:$H$54,6,0),"")</f>
        <v/>
      </c>
      <c r="R458" s="280" t="n"/>
      <c r="S458" s="280" t="n"/>
      <c r="T458" s="280" t="n"/>
      <c r="U458" s="280" t="n"/>
      <c r="V458" s="280" t="n"/>
      <c r="W458" s="280" t="n"/>
      <c r="X458" s="280" t="n"/>
      <c r="Y458" s="280" t="n"/>
      <c r="Z458" s="350" t="n"/>
      <c r="AA458" s="198" t="n"/>
      <c r="AB458" s="198" t="n"/>
      <c r="AC458" s="198" t="n"/>
    </row>
    <row r="459" ht="15" customHeight="1" s="195">
      <c r="A459" s="280" t="n"/>
      <c r="B459" s="280" t="n"/>
      <c r="C459" s="280" t="n"/>
      <c r="D459" s="280" t="n"/>
      <c r="E459" s="280" t="n"/>
      <c r="F459" s="280" t="n"/>
      <c r="G459" s="280" t="n"/>
      <c r="H459" s="280" t="n"/>
      <c r="I459" s="332">
        <f>IFERROR(VLOOKUP(TEXT(H459,"0"),IPRESS!$A$3:$B$212,2,0),"")</f>
        <v/>
      </c>
      <c r="J459" s="280" t="n"/>
      <c r="K459" s="343" t="n"/>
      <c r="L459" s="280" t="n"/>
      <c r="M459" s="280" t="n"/>
      <c r="N459" s="345" t="n"/>
      <c r="O459" s="280" t="n"/>
      <c r="P459" s="332">
        <f>IFERROR(VLOOKUP(TEXT(O459,"0"),CONDUCTORES!$A$3:$G$54,2,0),"")</f>
        <v/>
      </c>
      <c r="Q459" s="332">
        <f>IFERROR(VLOOKUP(TEXT(O459,"0"),CONDUCTORES!$A$3:$H$54,6,0),"")</f>
        <v/>
      </c>
      <c r="R459" s="280" t="n"/>
      <c r="S459" s="280" t="n"/>
      <c r="T459" s="280" t="n"/>
      <c r="U459" s="280" t="n"/>
      <c r="V459" s="280" t="n"/>
      <c r="W459" s="280" t="n"/>
      <c r="X459" s="280" t="n"/>
      <c r="Y459" s="280" t="n"/>
      <c r="Z459" s="350" t="n"/>
      <c r="AA459" s="198" t="n"/>
      <c r="AB459" s="198" t="n"/>
      <c r="AC459" s="198" t="n"/>
    </row>
    <row r="460" ht="15" customHeight="1" s="195">
      <c r="A460" s="280" t="n"/>
      <c r="B460" s="280" t="n"/>
      <c r="C460" s="280" t="n"/>
      <c r="D460" s="280" t="n"/>
      <c r="E460" s="280" t="n"/>
      <c r="F460" s="280" t="n"/>
      <c r="G460" s="280" t="n"/>
      <c r="H460" s="280" t="n"/>
      <c r="I460" s="332">
        <f>IFERROR(VLOOKUP(TEXT(H460,"0"),IPRESS!$A$3:$B$212,2,0),"")</f>
        <v/>
      </c>
      <c r="J460" s="280" t="n"/>
      <c r="K460" s="343" t="n"/>
      <c r="L460" s="280" t="n"/>
      <c r="M460" s="280" t="n"/>
      <c r="N460" s="345" t="n"/>
      <c r="O460" s="280" t="n"/>
      <c r="P460" s="332">
        <f>IFERROR(VLOOKUP(TEXT(O460,"0"),CONDUCTORES!$A$3:$G$54,2,0),"")</f>
        <v/>
      </c>
      <c r="Q460" s="332">
        <f>IFERROR(VLOOKUP(TEXT(O460,"0"),CONDUCTORES!$A$3:$H$54,6,0),"")</f>
        <v/>
      </c>
      <c r="R460" s="280" t="n"/>
      <c r="S460" s="280" t="n"/>
      <c r="T460" s="280" t="n"/>
      <c r="U460" s="280" t="n"/>
      <c r="V460" s="280" t="n"/>
      <c r="W460" s="280" t="n"/>
      <c r="X460" s="280" t="n"/>
      <c r="Y460" s="280" t="n"/>
      <c r="Z460" s="350" t="n"/>
      <c r="AA460" s="198" t="n"/>
      <c r="AB460" s="198" t="n"/>
      <c r="AC460" s="198" t="n"/>
    </row>
    <row r="461" ht="15" customHeight="1" s="195">
      <c r="A461" s="280" t="n"/>
      <c r="B461" s="280" t="n"/>
      <c r="C461" s="280" t="n"/>
      <c r="D461" s="280" t="n"/>
      <c r="E461" s="280" t="n"/>
      <c r="F461" s="280" t="n"/>
      <c r="G461" s="280" t="n"/>
      <c r="H461" s="280" t="n"/>
      <c r="I461" s="332">
        <f>IFERROR(VLOOKUP(TEXT(H461,"0"),IPRESS!$A$3:$B$212,2,0),"")</f>
        <v/>
      </c>
      <c r="J461" s="280" t="n"/>
      <c r="K461" s="343" t="n"/>
      <c r="L461" s="280" t="n"/>
      <c r="M461" s="280" t="n"/>
      <c r="N461" s="345" t="n"/>
      <c r="O461" s="280" t="n"/>
      <c r="P461" s="332">
        <f>IFERROR(VLOOKUP(TEXT(O461,"0"),CONDUCTORES!$A$3:$G$54,2,0),"")</f>
        <v/>
      </c>
      <c r="Q461" s="332">
        <f>IFERROR(VLOOKUP(TEXT(O461,"0"),CONDUCTORES!$A$3:$H$54,6,0),"")</f>
        <v/>
      </c>
      <c r="R461" s="280" t="n"/>
      <c r="S461" s="280" t="n"/>
      <c r="T461" s="280" t="n"/>
      <c r="U461" s="280" t="n"/>
      <c r="V461" s="280" t="n"/>
      <c r="W461" s="280" t="n"/>
      <c r="X461" s="280" t="n"/>
      <c r="Y461" s="280" t="n"/>
      <c r="Z461" s="350" t="n"/>
      <c r="AA461" s="198" t="n"/>
      <c r="AB461" s="198" t="n"/>
      <c r="AC461" s="198" t="n"/>
    </row>
    <row r="462" ht="15" customHeight="1" s="195">
      <c r="A462" s="280" t="n"/>
      <c r="B462" s="280" t="n"/>
      <c r="C462" s="280" t="n"/>
      <c r="D462" s="280" t="n"/>
      <c r="E462" s="280" t="n"/>
      <c r="F462" s="280" t="n"/>
      <c r="G462" s="280" t="n"/>
      <c r="H462" s="280" t="n"/>
      <c r="I462" s="332">
        <f>IFERROR(VLOOKUP(TEXT(H462,"0"),IPRESS!$A$3:$B$212,2,0),"")</f>
        <v/>
      </c>
      <c r="J462" s="280" t="n"/>
      <c r="K462" s="343" t="n"/>
      <c r="L462" s="280" t="n"/>
      <c r="M462" s="280" t="n"/>
      <c r="N462" s="345" t="n"/>
      <c r="O462" s="280" t="n"/>
      <c r="P462" s="332">
        <f>IFERROR(VLOOKUP(TEXT(O462,"0"),CONDUCTORES!$A$3:$G$54,2,0),"")</f>
        <v/>
      </c>
      <c r="Q462" s="332">
        <f>IFERROR(VLOOKUP(TEXT(O462,"0"),CONDUCTORES!$A$3:$H$54,6,0),"")</f>
        <v/>
      </c>
      <c r="R462" s="280" t="n"/>
      <c r="S462" s="280" t="n"/>
      <c r="T462" s="280" t="n"/>
      <c r="U462" s="280" t="n"/>
      <c r="V462" s="280" t="n"/>
      <c r="W462" s="280" t="n"/>
      <c r="X462" s="280" t="n"/>
      <c r="Y462" s="280" t="n"/>
      <c r="Z462" s="350" t="n"/>
      <c r="AA462" s="198" t="n"/>
      <c r="AB462" s="198" t="n"/>
      <c r="AC462" s="198" t="n"/>
    </row>
    <row r="463" ht="15" customHeight="1" s="195">
      <c r="A463" s="280" t="n"/>
      <c r="B463" s="280" t="n"/>
      <c r="C463" s="280" t="n"/>
      <c r="D463" s="280" t="n"/>
      <c r="E463" s="280" t="n"/>
      <c r="F463" s="280" t="n"/>
      <c r="G463" s="280" t="n"/>
      <c r="H463" s="280" t="n"/>
      <c r="I463" s="332">
        <f>IFERROR(VLOOKUP(TEXT(H463,"0"),IPRESS!$A$3:$B$212,2,0),"")</f>
        <v/>
      </c>
      <c r="J463" s="280" t="n"/>
      <c r="K463" s="343" t="n"/>
      <c r="L463" s="280" t="n"/>
      <c r="M463" s="280" t="n"/>
      <c r="N463" s="345" t="n"/>
      <c r="O463" s="280" t="n"/>
      <c r="P463" s="332">
        <f>IFERROR(VLOOKUP(TEXT(O463,"0"),CONDUCTORES!$A$3:$G$54,2,0),"")</f>
        <v/>
      </c>
      <c r="Q463" s="332">
        <f>IFERROR(VLOOKUP(TEXT(O463,"0"),CONDUCTORES!$A$3:$H$54,6,0),"")</f>
        <v/>
      </c>
      <c r="R463" s="280" t="n"/>
      <c r="S463" s="280" t="n"/>
      <c r="T463" s="280" t="n"/>
      <c r="U463" s="280" t="n"/>
      <c r="V463" s="280" t="n"/>
      <c r="W463" s="280" t="n"/>
      <c r="X463" s="280" t="n"/>
      <c r="Y463" s="280" t="n"/>
      <c r="Z463" s="350" t="n"/>
      <c r="AA463" s="198" t="n"/>
      <c r="AB463" s="198" t="n"/>
      <c r="AC463" s="198" t="n"/>
    </row>
    <row r="464" ht="15" customHeight="1" s="195">
      <c r="A464" s="280" t="n"/>
      <c r="B464" s="280" t="n"/>
      <c r="C464" s="280" t="n"/>
      <c r="D464" s="280" t="n"/>
      <c r="E464" s="280" t="n"/>
      <c r="F464" s="280" t="n"/>
      <c r="G464" s="280" t="n"/>
      <c r="H464" s="280" t="n"/>
      <c r="I464" s="332">
        <f>IFERROR(VLOOKUP(TEXT(H464,"0"),IPRESS!$A$3:$B$212,2,0),"")</f>
        <v/>
      </c>
      <c r="J464" s="280" t="n"/>
      <c r="K464" s="343" t="n"/>
      <c r="L464" s="280" t="n"/>
      <c r="M464" s="280" t="n"/>
      <c r="N464" s="345" t="n"/>
      <c r="O464" s="280" t="n"/>
      <c r="P464" s="332">
        <f>IFERROR(VLOOKUP(TEXT(O464,"0"),CONDUCTORES!$A$3:$G$54,2,0),"")</f>
        <v/>
      </c>
      <c r="Q464" s="332">
        <f>IFERROR(VLOOKUP(TEXT(O464,"0"),CONDUCTORES!$A$3:$H$54,6,0),"")</f>
        <v/>
      </c>
      <c r="R464" s="280" t="n"/>
      <c r="S464" s="280" t="n"/>
      <c r="T464" s="280" t="n"/>
      <c r="U464" s="280" t="n"/>
      <c r="V464" s="280" t="n"/>
      <c r="W464" s="280" t="n"/>
      <c r="X464" s="280" t="n"/>
      <c r="Y464" s="280" t="n"/>
      <c r="Z464" s="350" t="n"/>
      <c r="AA464" s="198" t="n"/>
      <c r="AB464" s="198" t="n"/>
      <c r="AC464" s="198" t="n"/>
    </row>
    <row r="465" ht="15" customHeight="1" s="195">
      <c r="A465" s="280" t="n"/>
      <c r="B465" s="280" t="n"/>
      <c r="C465" s="280" t="n"/>
      <c r="D465" s="280" t="n"/>
      <c r="E465" s="280" t="n"/>
      <c r="F465" s="280" t="n"/>
      <c r="G465" s="280" t="n"/>
      <c r="H465" s="280" t="n"/>
      <c r="I465" s="332">
        <f>IFERROR(VLOOKUP(TEXT(H465,"0"),IPRESS!$A$3:$B$212,2,0),"")</f>
        <v/>
      </c>
      <c r="J465" s="280" t="n"/>
      <c r="K465" s="343" t="n"/>
      <c r="L465" s="280" t="n"/>
      <c r="M465" s="280" t="n"/>
      <c r="N465" s="345" t="n"/>
      <c r="O465" s="280" t="n"/>
      <c r="P465" s="332">
        <f>IFERROR(VLOOKUP(TEXT(O465,"0"),CONDUCTORES!$A$3:$G$54,2,0),"")</f>
        <v/>
      </c>
      <c r="Q465" s="332">
        <f>IFERROR(VLOOKUP(TEXT(O465,"0"),CONDUCTORES!$A$3:$H$54,6,0),"")</f>
        <v/>
      </c>
      <c r="R465" s="280" t="n"/>
      <c r="S465" s="280" t="n"/>
      <c r="T465" s="280" t="n"/>
      <c r="U465" s="280" t="n"/>
      <c r="V465" s="280" t="n"/>
      <c r="W465" s="280" t="n"/>
      <c r="X465" s="280" t="n"/>
      <c r="Y465" s="280" t="n"/>
      <c r="Z465" s="350" t="n"/>
      <c r="AA465" s="198" t="n"/>
      <c r="AB465" s="198" t="n"/>
      <c r="AC465" s="198" t="n"/>
    </row>
    <row r="466" ht="15" customHeight="1" s="195">
      <c r="A466" s="280" t="n"/>
      <c r="B466" s="280" t="n"/>
      <c r="C466" s="280" t="n"/>
      <c r="D466" s="280" t="n"/>
      <c r="E466" s="280" t="n"/>
      <c r="F466" s="280" t="n"/>
      <c r="G466" s="280" t="n"/>
      <c r="H466" s="280" t="n"/>
      <c r="I466" s="332">
        <f>IFERROR(VLOOKUP(TEXT(H466,"0"),IPRESS!$A$3:$B$212,2,0),"")</f>
        <v/>
      </c>
      <c r="J466" s="280" t="n"/>
      <c r="K466" s="343" t="n"/>
      <c r="L466" s="280" t="n"/>
      <c r="M466" s="280" t="n"/>
      <c r="N466" s="345" t="n"/>
      <c r="O466" s="280" t="n"/>
      <c r="P466" s="332">
        <f>IFERROR(VLOOKUP(TEXT(O466,"0"),CONDUCTORES!$A$3:$G$54,2,0),"")</f>
        <v/>
      </c>
      <c r="Q466" s="332">
        <f>IFERROR(VLOOKUP(TEXT(O466,"0"),CONDUCTORES!$A$3:$H$54,6,0),"")</f>
        <v/>
      </c>
      <c r="R466" s="280" t="n"/>
      <c r="S466" s="280" t="n"/>
      <c r="T466" s="280" t="n"/>
      <c r="U466" s="280" t="n"/>
      <c r="V466" s="280" t="n"/>
      <c r="W466" s="280" t="n"/>
      <c r="X466" s="280" t="n"/>
      <c r="Y466" s="280" t="n"/>
      <c r="Z466" s="350" t="n"/>
      <c r="AA466" s="198" t="n"/>
      <c r="AB466" s="198" t="n"/>
      <c r="AC466" s="198" t="n"/>
    </row>
    <row r="467" ht="15" customHeight="1" s="195">
      <c r="A467" s="280" t="n"/>
      <c r="B467" s="280" t="n"/>
      <c r="C467" s="280" t="n"/>
      <c r="D467" s="280" t="n"/>
      <c r="E467" s="280" t="n"/>
      <c r="F467" s="280" t="n"/>
      <c r="G467" s="280" t="n"/>
      <c r="H467" s="280" t="n"/>
      <c r="I467" s="332">
        <f>IFERROR(VLOOKUP(TEXT(H467,"0"),IPRESS!$A$3:$B$212,2,0),"")</f>
        <v/>
      </c>
      <c r="J467" s="280" t="n"/>
      <c r="K467" s="343" t="n"/>
      <c r="L467" s="280" t="n"/>
      <c r="M467" s="280" t="n"/>
      <c r="N467" s="345" t="n"/>
      <c r="O467" s="280" t="n"/>
      <c r="P467" s="332">
        <f>IFERROR(VLOOKUP(TEXT(O467,"0"),CONDUCTORES!$A$3:$G$54,2,0),"")</f>
        <v/>
      </c>
      <c r="Q467" s="332">
        <f>IFERROR(VLOOKUP(TEXT(O467,"0"),CONDUCTORES!$A$3:$H$54,6,0),"")</f>
        <v/>
      </c>
      <c r="R467" s="280" t="n"/>
      <c r="S467" s="280" t="n"/>
      <c r="T467" s="280" t="n"/>
      <c r="U467" s="280" t="n"/>
      <c r="V467" s="280" t="n"/>
      <c r="W467" s="280" t="n"/>
      <c r="X467" s="280" t="n"/>
      <c r="Y467" s="280" t="n"/>
      <c r="Z467" s="350" t="n"/>
      <c r="AA467" s="198" t="n"/>
      <c r="AB467" s="198" t="n"/>
      <c r="AC467" s="198" t="n"/>
    </row>
    <row r="468" ht="15" customHeight="1" s="195">
      <c r="A468" s="280" t="n"/>
      <c r="B468" s="280" t="n"/>
      <c r="C468" s="280" t="n"/>
      <c r="D468" s="280" t="n"/>
      <c r="E468" s="280" t="n"/>
      <c r="F468" s="280" t="n"/>
      <c r="G468" s="280" t="n"/>
      <c r="H468" s="280" t="n"/>
      <c r="I468" s="332">
        <f>IFERROR(VLOOKUP(TEXT(H468,"0"),IPRESS!$A$3:$B$212,2,0),"")</f>
        <v/>
      </c>
      <c r="J468" s="280" t="n"/>
      <c r="K468" s="343" t="n"/>
      <c r="L468" s="280" t="n"/>
      <c r="M468" s="280" t="n"/>
      <c r="N468" s="345" t="n"/>
      <c r="O468" s="280" t="n"/>
      <c r="P468" s="332">
        <f>IFERROR(VLOOKUP(TEXT(O468,"0"),CONDUCTORES!$A$3:$G$54,2,0),"")</f>
        <v/>
      </c>
      <c r="Q468" s="332">
        <f>IFERROR(VLOOKUP(TEXT(O468,"0"),CONDUCTORES!$A$3:$H$54,6,0),"")</f>
        <v/>
      </c>
      <c r="R468" s="280" t="n"/>
      <c r="S468" s="280" t="n"/>
      <c r="T468" s="280" t="n"/>
      <c r="U468" s="280" t="n"/>
      <c r="V468" s="280" t="n"/>
      <c r="W468" s="280" t="n"/>
      <c r="X468" s="280" t="n"/>
      <c r="Y468" s="280" t="n"/>
      <c r="Z468" s="350" t="n"/>
      <c r="AA468" s="198" t="n"/>
      <c r="AB468" s="198" t="n"/>
      <c r="AC468" s="198" t="n"/>
    </row>
    <row r="469" ht="15" customHeight="1" s="195">
      <c r="A469" s="280" t="n"/>
      <c r="B469" s="280" t="n"/>
      <c r="C469" s="280" t="n"/>
      <c r="D469" s="280" t="n"/>
      <c r="E469" s="280" t="n"/>
      <c r="F469" s="280" t="n"/>
      <c r="G469" s="280" t="n"/>
      <c r="H469" s="280" t="n"/>
      <c r="I469" s="332">
        <f>IFERROR(VLOOKUP(TEXT(H469,"0"),IPRESS!$A$3:$B$212,2,0),"")</f>
        <v/>
      </c>
      <c r="J469" s="280" t="n"/>
      <c r="K469" s="343" t="n"/>
      <c r="L469" s="280" t="n"/>
      <c r="M469" s="280" t="n"/>
      <c r="N469" s="345" t="n"/>
      <c r="O469" s="280" t="n"/>
      <c r="P469" s="332">
        <f>IFERROR(VLOOKUP(TEXT(O469,"0"),CONDUCTORES!$A$3:$G$54,2,0),"")</f>
        <v/>
      </c>
      <c r="Q469" s="332">
        <f>IFERROR(VLOOKUP(TEXT(O469,"0"),CONDUCTORES!$A$3:$H$54,6,0),"")</f>
        <v/>
      </c>
      <c r="R469" s="280" t="n"/>
      <c r="S469" s="280" t="n"/>
      <c r="T469" s="280" t="n"/>
      <c r="U469" s="280" t="n"/>
      <c r="V469" s="280" t="n"/>
      <c r="W469" s="280" t="n"/>
      <c r="X469" s="280" t="n"/>
      <c r="Y469" s="280" t="n"/>
      <c r="Z469" s="350" t="n"/>
      <c r="AA469" s="198" t="n"/>
      <c r="AB469" s="198" t="n"/>
      <c r="AC469" s="198" t="n"/>
    </row>
    <row r="470" ht="15" customHeight="1" s="195">
      <c r="A470" s="280" t="n"/>
      <c r="B470" s="280" t="n"/>
      <c r="C470" s="280" t="n"/>
      <c r="D470" s="280" t="n"/>
      <c r="E470" s="280" t="n"/>
      <c r="F470" s="280" t="n"/>
      <c r="G470" s="280" t="n"/>
      <c r="H470" s="280" t="n"/>
      <c r="I470" s="332">
        <f>IFERROR(VLOOKUP(TEXT(H470,"0"),IPRESS!$A$3:$B$212,2,0),"")</f>
        <v/>
      </c>
      <c r="J470" s="280" t="n"/>
      <c r="K470" s="343" t="n"/>
      <c r="L470" s="280" t="n"/>
      <c r="M470" s="280" t="n"/>
      <c r="N470" s="345" t="n"/>
      <c r="O470" s="280" t="n"/>
      <c r="P470" s="332">
        <f>IFERROR(VLOOKUP(TEXT(O470,"0"),CONDUCTORES!$A$3:$G$54,2,0),"")</f>
        <v/>
      </c>
      <c r="Q470" s="332">
        <f>IFERROR(VLOOKUP(TEXT(O470,"0"),CONDUCTORES!$A$3:$H$54,6,0),"")</f>
        <v/>
      </c>
      <c r="R470" s="280" t="n"/>
      <c r="S470" s="280" t="n"/>
      <c r="T470" s="280" t="n"/>
      <c r="U470" s="280" t="n"/>
      <c r="V470" s="280" t="n"/>
      <c r="W470" s="280" t="n"/>
      <c r="X470" s="280" t="n"/>
      <c r="Y470" s="280" t="n"/>
      <c r="Z470" s="350" t="n"/>
      <c r="AA470" s="198" t="n"/>
      <c r="AB470" s="198" t="n"/>
      <c r="AC470" s="198" t="n"/>
    </row>
    <row r="471" ht="15" customHeight="1" s="195">
      <c r="A471" s="280" t="n"/>
      <c r="B471" s="280" t="n"/>
      <c r="C471" s="280" t="n"/>
      <c r="D471" s="280" t="n"/>
      <c r="E471" s="280" t="n"/>
      <c r="F471" s="280" t="n"/>
      <c r="G471" s="280" t="n"/>
      <c r="H471" s="280" t="n"/>
      <c r="I471" s="332">
        <f>IFERROR(VLOOKUP(TEXT(H471,"0"),IPRESS!$A$3:$B$212,2,0),"")</f>
        <v/>
      </c>
      <c r="J471" s="280" t="n"/>
      <c r="K471" s="343" t="n"/>
      <c r="L471" s="280" t="n"/>
      <c r="M471" s="280" t="n"/>
      <c r="N471" s="345" t="n"/>
      <c r="O471" s="280" t="n"/>
      <c r="P471" s="332">
        <f>IFERROR(VLOOKUP(TEXT(O471,"0"),CONDUCTORES!$A$3:$G$54,2,0),"")</f>
        <v/>
      </c>
      <c r="Q471" s="332">
        <f>IFERROR(VLOOKUP(TEXT(O471,"0"),CONDUCTORES!$A$3:$H$54,6,0),"")</f>
        <v/>
      </c>
      <c r="R471" s="280" t="n"/>
      <c r="S471" s="280" t="n"/>
      <c r="T471" s="280" t="n"/>
      <c r="U471" s="280" t="n"/>
      <c r="V471" s="280" t="n"/>
      <c r="W471" s="280" t="n"/>
      <c r="X471" s="280" t="n"/>
      <c r="Y471" s="280" t="n"/>
      <c r="Z471" s="350" t="n"/>
      <c r="AA471" s="198" t="n"/>
      <c r="AB471" s="198" t="n"/>
      <c r="AC471" s="198" t="n"/>
    </row>
    <row r="472" ht="15" customHeight="1" s="195">
      <c r="A472" s="280" t="n"/>
      <c r="B472" s="280" t="n"/>
      <c r="C472" s="280" t="n"/>
      <c r="D472" s="280" t="n"/>
      <c r="E472" s="280" t="n"/>
      <c r="F472" s="280" t="n"/>
      <c r="G472" s="280" t="n"/>
      <c r="H472" s="280" t="n"/>
      <c r="I472" s="332">
        <f>IFERROR(VLOOKUP(TEXT(H472,"0"),IPRESS!$A$3:$B$212,2,0),"")</f>
        <v/>
      </c>
      <c r="J472" s="280" t="n"/>
      <c r="K472" s="343" t="n"/>
      <c r="L472" s="280" t="n"/>
      <c r="M472" s="280" t="n"/>
      <c r="N472" s="345" t="n"/>
      <c r="O472" s="280" t="n"/>
      <c r="P472" s="332">
        <f>IFERROR(VLOOKUP(TEXT(O472,"0"),CONDUCTORES!$A$3:$G$54,2,0),"")</f>
        <v/>
      </c>
      <c r="Q472" s="332">
        <f>IFERROR(VLOOKUP(TEXT(O472,"0"),CONDUCTORES!$A$3:$H$54,6,0),"")</f>
        <v/>
      </c>
      <c r="R472" s="280" t="n"/>
      <c r="S472" s="280" t="n"/>
      <c r="T472" s="280" t="n"/>
      <c r="U472" s="280" t="n"/>
      <c r="V472" s="280" t="n"/>
      <c r="W472" s="280" t="n"/>
      <c r="X472" s="280" t="n"/>
      <c r="Y472" s="280" t="n"/>
      <c r="Z472" s="350" t="n"/>
      <c r="AA472" s="198" t="n"/>
      <c r="AB472" s="198" t="n"/>
      <c r="AC472" s="198" t="n"/>
    </row>
    <row r="473" ht="15" customHeight="1" s="195">
      <c r="A473" s="280" t="n"/>
      <c r="B473" s="280" t="n"/>
      <c r="C473" s="280" t="n"/>
      <c r="D473" s="280" t="n"/>
      <c r="E473" s="280" t="n"/>
      <c r="F473" s="280" t="n"/>
      <c r="G473" s="280" t="n"/>
      <c r="H473" s="280" t="n"/>
      <c r="I473" s="332">
        <f>IFERROR(VLOOKUP(TEXT(H473,"0"),IPRESS!$A$3:$B$212,2,0),"")</f>
        <v/>
      </c>
      <c r="J473" s="280" t="n"/>
      <c r="K473" s="343" t="n"/>
      <c r="L473" s="280" t="n"/>
      <c r="M473" s="280" t="n"/>
      <c r="N473" s="345" t="n"/>
      <c r="O473" s="280" t="n"/>
      <c r="P473" s="332">
        <f>IFERROR(VLOOKUP(TEXT(O473,"0"),CONDUCTORES!$A$3:$G$54,2,0),"")</f>
        <v/>
      </c>
      <c r="Q473" s="332">
        <f>IFERROR(VLOOKUP(TEXT(O473,"0"),CONDUCTORES!$A$3:$H$54,6,0),"")</f>
        <v/>
      </c>
      <c r="R473" s="280" t="n"/>
      <c r="S473" s="280" t="n"/>
      <c r="T473" s="280" t="n"/>
      <c r="U473" s="280" t="n"/>
      <c r="V473" s="280" t="n"/>
      <c r="W473" s="280" t="n"/>
      <c r="X473" s="280" t="n"/>
      <c r="Y473" s="280" t="n"/>
      <c r="Z473" s="350" t="n"/>
      <c r="AA473" s="198" t="n"/>
      <c r="AB473" s="198" t="n"/>
      <c r="AC473" s="198" t="n"/>
    </row>
    <row r="474" ht="15" customHeight="1" s="195">
      <c r="A474" s="280" t="n"/>
      <c r="B474" s="280" t="n"/>
      <c r="C474" s="280" t="n"/>
      <c r="D474" s="280" t="n"/>
      <c r="E474" s="280" t="n"/>
      <c r="F474" s="280" t="n"/>
      <c r="G474" s="280" t="n"/>
      <c r="H474" s="280" t="n"/>
      <c r="I474" s="332">
        <f>IFERROR(VLOOKUP(TEXT(H474,"0"),IPRESS!$A$3:$B$212,2,0),"")</f>
        <v/>
      </c>
      <c r="J474" s="280" t="n"/>
      <c r="K474" s="343" t="n"/>
      <c r="L474" s="280" t="n"/>
      <c r="M474" s="280" t="n"/>
      <c r="N474" s="345" t="n"/>
      <c r="O474" s="280" t="n"/>
      <c r="P474" s="332">
        <f>IFERROR(VLOOKUP(TEXT(O474,"0"),CONDUCTORES!$A$3:$G$54,2,0),"")</f>
        <v/>
      </c>
      <c r="Q474" s="332">
        <f>IFERROR(VLOOKUP(TEXT(O474,"0"),CONDUCTORES!$A$3:$H$54,6,0),"")</f>
        <v/>
      </c>
      <c r="R474" s="280" t="n"/>
      <c r="S474" s="280" t="n"/>
      <c r="T474" s="280" t="n"/>
      <c r="U474" s="280" t="n"/>
      <c r="V474" s="280" t="n"/>
      <c r="W474" s="280" t="n"/>
      <c r="X474" s="280" t="n"/>
      <c r="Y474" s="280" t="n"/>
      <c r="Z474" s="350" t="n"/>
      <c r="AA474" s="198" t="n"/>
      <c r="AB474" s="198" t="n"/>
      <c r="AC474" s="198" t="n"/>
    </row>
    <row r="475" ht="15" customHeight="1" s="195">
      <c r="A475" s="280" t="n"/>
      <c r="B475" s="280" t="n"/>
      <c r="C475" s="280" t="n"/>
      <c r="D475" s="280" t="n"/>
      <c r="E475" s="280" t="n"/>
      <c r="F475" s="280" t="n"/>
      <c r="G475" s="280" t="n"/>
      <c r="H475" s="280" t="n"/>
      <c r="I475" s="332">
        <f>IFERROR(VLOOKUP(TEXT(H475,"0"),IPRESS!$A$3:$B$212,2,0),"")</f>
        <v/>
      </c>
      <c r="J475" s="280" t="n"/>
      <c r="K475" s="343" t="n"/>
      <c r="L475" s="280" t="n"/>
      <c r="M475" s="280" t="n"/>
      <c r="N475" s="345" t="n"/>
      <c r="O475" s="280" t="n"/>
      <c r="P475" s="332">
        <f>IFERROR(VLOOKUP(TEXT(O475,"0"),CONDUCTORES!$A$3:$G$54,2,0),"")</f>
        <v/>
      </c>
      <c r="Q475" s="332">
        <f>IFERROR(VLOOKUP(TEXT(O475,"0"),CONDUCTORES!$A$3:$H$54,6,0),"")</f>
        <v/>
      </c>
      <c r="R475" s="280" t="n"/>
      <c r="S475" s="280" t="n"/>
      <c r="T475" s="280" t="n"/>
      <c r="U475" s="280" t="n"/>
      <c r="V475" s="280" t="n"/>
      <c r="W475" s="280" t="n"/>
      <c r="X475" s="280" t="n"/>
      <c r="Y475" s="280" t="n"/>
      <c r="Z475" s="350" t="n"/>
      <c r="AA475" s="198" t="n"/>
      <c r="AB475" s="198" t="n"/>
      <c r="AC475" s="198" t="n"/>
    </row>
    <row r="476" ht="15" customHeight="1" s="195">
      <c r="A476" s="280" t="n"/>
      <c r="B476" s="280" t="n"/>
      <c r="C476" s="280" t="n"/>
      <c r="D476" s="280" t="n"/>
      <c r="E476" s="280" t="n"/>
      <c r="F476" s="280" t="n"/>
      <c r="G476" s="280" t="n"/>
      <c r="H476" s="280" t="n"/>
      <c r="I476" s="332">
        <f>IFERROR(VLOOKUP(TEXT(H476,"0"),IPRESS!$A$3:$B$212,2,0),"")</f>
        <v/>
      </c>
      <c r="J476" s="280" t="n"/>
      <c r="K476" s="343" t="n"/>
      <c r="L476" s="280" t="n"/>
      <c r="M476" s="280" t="n"/>
      <c r="N476" s="345" t="n"/>
      <c r="O476" s="280" t="n"/>
      <c r="P476" s="332">
        <f>IFERROR(VLOOKUP(TEXT(O476,"0"),CONDUCTORES!$A$3:$G$54,2,0),"")</f>
        <v/>
      </c>
      <c r="Q476" s="332">
        <f>IFERROR(VLOOKUP(TEXT(O476,"0"),CONDUCTORES!$A$3:$H$54,6,0),"")</f>
        <v/>
      </c>
      <c r="R476" s="280" t="n"/>
      <c r="S476" s="280" t="n"/>
      <c r="T476" s="280" t="n"/>
      <c r="U476" s="280" t="n"/>
      <c r="V476" s="280" t="n"/>
      <c r="W476" s="280" t="n"/>
      <c r="X476" s="280" t="n"/>
      <c r="Y476" s="280" t="n"/>
      <c r="Z476" s="350" t="n"/>
      <c r="AA476" s="198" t="n"/>
      <c r="AB476" s="198" t="n"/>
      <c r="AC476" s="198" t="n"/>
    </row>
    <row r="477" ht="15" customHeight="1" s="195">
      <c r="A477" s="280" t="n"/>
      <c r="B477" s="280" t="n"/>
      <c r="C477" s="280" t="n"/>
      <c r="D477" s="280" t="n"/>
      <c r="E477" s="280" t="n"/>
      <c r="F477" s="280" t="n"/>
      <c r="G477" s="280" t="n"/>
      <c r="H477" s="280" t="n"/>
      <c r="I477" s="332">
        <f>IFERROR(VLOOKUP(TEXT(H477,"0"),IPRESS!$A$3:$B$212,2,0),"")</f>
        <v/>
      </c>
      <c r="J477" s="280" t="n"/>
      <c r="K477" s="343" t="n"/>
      <c r="L477" s="280" t="n"/>
      <c r="M477" s="280" t="n"/>
      <c r="N477" s="345" t="n"/>
      <c r="O477" s="280" t="n"/>
      <c r="P477" s="332">
        <f>IFERROR(VLOOKUP(TEXT(O477,"0"),CONDUCTORES!$A$3:$G$54,2,0),"")</f>
        <v/>
      </c>
      <c r="Q477" s="332">
        <f>IFERROR(VLOOKUP(TEXT(O477,"0"),CONDUCTORES!$A$3:$H$54,6,0),"")</f>
        <v/>
      </c>
      <c r="R477" s="280" t="n"/>
      <c r="S477" s="280" t="n"/>
      <c r="T477" s="280" t="n"/>
      <c r="U477" s="280" t="n"/>
      <c r="V477" s="280" t="n"/>
      <c r="W477" s="280" t="n"/>
      <c r="X477" s="280" t="n"/>
      <c r="Y477" s="280" t="n"/>
      <c r="Z477" s="350" t="n"/>
      <c r="AA477" s="198" t="n"/>
      <c r="AB477" s="198" t="n"/>
      <c r="AC477" s="198" t="n"/>
    </row>
    <row r="478" ht="15" customHeight="1" s="195">
      <c r="A478" s="280" t="n"/>
      <c r="B478" s="280" t="n"/>
      <c r="C478" s="280" t="n"/>
      <c r="D478" s="280" t="n"/>
      <c r="E478" s="280" t="n"/>
      <c r="F478" s="280" t="n"/>
      <c r="G478" s="280" t="n"/>
      <c r="H478" s="280" t="n"/>
      <c r="I478" s="332">
        <f>IFERROR(VLOOKUP(TEXT(H478,"0"),IPRESS!$A$3:$B$212,2,0),"")</f>
        <v/>
      </c>
      <c r="J478" s="280" t="n"/>
      <c r="K478" s="343" t="n"/>
      <c r="L478" s="280" t="n"/>
      <c r="M478" s="280" t="n"/>
      <c r="N478" s="345" t="n"/>
      <c r="O478" s="280" t="n"/>
      <c r="P478" s="332">
        <f>IFERROR(VLOOKUP(TEXT(O478,"0"),CONDUCTORES!$A$3:$G$54,2,0),"")</f>
        <v/>
      </c>
      <c r="Q478" s="332">
        <f>IFERROR(VLOOKUP(TEXT(O478,"0"),CONDUCTORES!$A$3:$H$54,6,0),"")</f>
        <v/>
      </c>
      <c r="R478" s="280" t="n"/>
      <c r="S478" s="280" t="n"/>
      <c r="T478" s="280" t="n"/>
      <c r="U478" s="280" t="n"/>
      <c r="V478" s="280" t="n"/>
      <c r="W478" s="280" t="n"/>
      <c r="X478" s="280" t="n"/>
      <c r="Y478" s="280" t="n"/>
      <c r="Z478" s="350" t="n"/>
      <c r="AA478" s="198" t="n"/>
      <c r="AB478" s="198" t="n"/>
      <c r="AC478" s="198" t="n"/>
    </row>
    <row r="479" ht="15" customHeight="1" s="195">
      <c r="A479" s="280" t="n"/>
      <c r="B479" s="280" t="n"/>
      <c r="C479" s="280" t="n"/>
      <c r="D479" s="280" t="n"/>
      <c r="E479" s="280" t="n"/>
      <c r="F479" s="280" t="n"/>
      <c r="G479" s="280" t="n"/>
      <c r="H479" s="280" t="n"/>
      <c r="I479" s="332">
        <f>IFERROR(VLOOKUP(TEXT(H479,"0"),IPRESS!$A$3:$B$212,2,0),"")</f>
        <v/>
      </c>
      <c r="J479" s="280" t="n"/>
      <c r="K479" s="343" t="n"/>
      <c r="L479" s="280" t="n"/>
      <c r="M479" s="280" t="n"/>
      <c r="N479" s="345" t="n"/>
      <c r="O479" s="280" t="n"/>
      <c r="P479" s="332">
        <f>IFERROR(VLOOKUP(TEXT(O479,"0"),CONDUCTORES!$A$3:$G$54,2,0),"")</f>
        <v/>
      </c>
      <c r="Q479" s="332">
        <f>IFERROR(VLOOKUP(TEXT(O479,"0"),CONDUCTORES!$A$3:$H$54,6,0),"")</f>
        <v/>
      </c>
      <c r="R479" s="280" t="n"/>
      <c r="S479" s="280" t="n"/>
      <c r="T479" s="280" t="n"/>
      <c r="U479" s="280" t="n"/>
      <c r="V479" s="280" t="n"/>
      <c r="W479" s="280" t="n"/>
      <c r="X479" s="280" t="n"/>
      <c r="Y479" s="280" t="n"/>
      <c r="Z479" s="350" t="n"/>
      <c r="AA479" s="198" t="n"/>
      <c r="AB479" s="198" t="n"/>
      <c r="AC479" s="198" t="n"/>
    </row>
    <row r="480" ht="15" customHeight="1" s="195">
      <c r="A480" s="280" t="n"/>
      <c r="B480" s="280" t="n"/>
      <c r="C480" s="280" t="n"/>
      <c r="D480" s="280" t="n"/>
      <c r="E480" s="280" t="n"/>
      <c r="F480" s="280" t="n"/>
      <c r="G480" s="280" t="n"/>
      <c r="H480" s="280" t="n"/>
      <c r="I480" s="332">
        <f>IFERROR(VLOOKUP(TEXT(H480,"0"),IPRESS!$A$3:$B$212,2,0),"")</f>
        <v/>
      </c>
      <c r="J480" s="280" t="n"/>
      <c r="K480" s="343" t="n"/>
      <c r="L480" s="280" t="n"/>
      <c r="M480" s="280" t="n"/>
      <c r="N480" s="345" t="n"/>
      <c r="O480" s="280" t="n"/>
      <c r="P480" s="332">
        <f>IFERROR(VLOOKUP(TEXT(O480,"0"),CONDUCTORES!$A$3:$G$54,2,0),"")</f>
        <v/>
      </c>
      <c r="Q480" s="332">
        <f>IFERROR(VLOOKUP(TEXT(O480,"0"),CONDUCTORES!$A$3:$H$54,6,0),"")</f>
        <v/>
      </c>
      <c r="R480" s="280" t="n"/>
      <c r="S480" s="280" t="n"/>
      <c r="T480" s="280" t="n"/>
      <c r="U480" s="280" t="n"/>
      <c r="V480" s="280" t="n"/>
      <c r="W480" s="280" t="n"/>
      <c r="X480" s="280" t="n"/>
      <c r="Y480" s="280" t="n"/>
      <c r="Z480" s="350" t="n"/>
      <c r="AA480" s="198" t="n"/>
      <c r="AB480" s="198" t="n"/>
      <c r="AC480" s="198" t="n"/>
    </row>
    <row r="481" ht="15" customHeight="1" s="195">
      <c r="A481" s="280" t="n"/>
      <c r="B481" s="280" t="n"/>
      <c r="C481" s="280" t="n"/>
      <c r="D481" s="280" t="n"/>
      <c r="E481" s="280" t="n"/>
      <c r="F481" s="280" t="n"/>
      <c r="G481" s="280" t="n"/>
      <c r="H481" s="280" t="n"/>
      <c r="I481" s="332">
        <f>IFERROR(VLOOKUP(TEXT(H481,"0"),IPRESS!$A$3:$B$212,2,0),"")</f>
        <v/>
      </c>
      <c r="J481" s="280" t="n"/>
      <c r="K481" s="343" t="n"/>
      <c r="L481" s="280" t="n"/>
      <c r="M481" s="280" t="n"/>
      <c r="N481" s="345" t="n"/>
      <c r="O481" s="280" t="n"/>
      <c r="P481" s="332">
        <f>IFERROR(VLOOKUP(TEXT(O481,"0"),CONDUCTORES!$A$3:$G$54,2,0),"")</f>
        <v/>
      </c>
      <c r="Q481" s="332">
        <f>IFERROR(VLOOKUP(TEXT(O481,"0"),CONDUCTORES!$A$3:$H$54,6,0),"")</f>
        <v/>
      </c>
      <c r="R481" s="280" t="n"/>
      <c r="S481" s="280" t="n"/>
      <c r="T481" s="280" t="n"/>
      <c r="U481" s="280" t="n"/>
      <c r="V481" s="280" t="n"/>
      <c r="W481" s="280" t="n"/>
      <c r="X481" s="280" t="n"/>
      <c r="Y481" s="280" t="n"/>
      <c r="Z481" s="350" t="n"/>
      <c r="AA481" s="198" t="n"/>
      <c r="AB481" s="198" t="n"/>
      <c r="AC481" s="198" t="n"/>
    </row>
    <row r="482" ht="15" customHeight="1" s="195">
      <c r="A482" s="280" t="n"/>
      <c r="B482" s="280" t="n"/>
      <c r="C482" s="280" t="n"/>
      <c r="D482" s="280" t="n"/>
      <c r="E482" s="280" t="n"/>
      <c r="F482" s="280" t="n"/>
      <c r="G482" s="280" t="n"/>
      <c r="H482" s="280" t="n"/>
      <c r="I482" s="332">
        <f>IFERROR(VLOOKUP(TEXT(H482,"0"),IPRESS!$A$3:$B$212,2,0),"")</f>
        <v/>
      </c>
      <c r="J482" s="280" t="n"/>
      <c r="K482" s="343" t="n"/>
      <c r="L482" s="280" t="n"/>
      <c r="M482" s="280" t="n"/>
      <c r="N482" s="345" t="n"/>
      <c r="O482" s="280" t="n"/>
      <c r="P482" s="332">
        <f>IFERROR(VLOOKUP(TEXT(O482,"0"),CONDUCTORES!$A$3:$G$54,2,0),"")</f>
        <v/>
      </c>
      <c r="Q482" s="332">
        <f>IFERROR(VLOOKUP(TEXT(O482,"0"),CONDUCTORES!$A$3:$H$54,6,0),"")</f>
        <v/>
      </c>
      <c r="R482" s="280" t="n"/>
      <c r="S482" s="280" t="n"/>
      <c r="T482" s="280" t="n"/>
      <c r="U482" s="280" t="n"/>
      <c r="V482" s="280" t="n"/>
      <c r="W482" s="280" t="n"/>
      <c r="X482" s="280" t="n"/>
      <c r="Y482" s="280" t="n"/>
      <c r="Z482" s="350" t="n"/>
      <c r="AA482" s="198" t="n"/>
      <c r="AB482" s="198" t="n"/>
      <c r="AC482" s="198" t="n"/>
    </row>
    <row r="483" ht="15" customHeight="1" s="195">
      <c r="A483" s="280" t="n"/>
      <c r="B483" s="280" t="n"/>
      <c r="C483" s="280" t="n"/>
      <c r="D483" s="280" t="n"/>
      <c r="E483" s="280" t="n"/>
      <c r="F483" s="280" t="n"/>
      <c r="G483" s="280" t="n"/>
      <c r="H483" s="280" t="n"/>
      <c r="I483" s="332">
        <f>IFERROR(VLOOKUP(TEXT(H483,"0"),IPRESS!$A$3:$B$212,2,0),"")</f>
        <v/>
      </c>
      <c r="J483" s="280" t="n"/>
      <c r="K483" s="343" t="n"/>
      <c r="L483" s="280" t="n"/>
      <c r="M483" s="280" t="n"/>
      <c r="N483" s="345" t="n"/>
      <c r="O483" s="280" t="n"/>
      <c r="P483" s="332">
        <f>IFERROR(VLOOKUP(TEXT(O483,"0"),CONDUCTORES!$A$3:$G$54,2,0),"")</f>
        <v/>
      </c>
      <c r="Q483" s="332">
        <f>IFERROR(VLOOKUP(TEXT(O483,"0"),CONDUCTORES!$A$3:$H$54,6,0),"")</f>
        <v/>
      </c>
      <c r="R483" s="280" t="n"/>
      <c r="S483" s="280" t="n"/>
      <c r="T483" s="280" t="n"/>
      <c r="U483" s="280" t="n"/>
      <c r="V483" s="280" t="n"/>
      <c r="W483" s="280" t="n"/>
      <c r="X483" s="280" t="n"/>
      <c r="Y483" s="280" t="n"/>
      <c r="Z483" s="350" t="n"/>
      <c r="AA483" s="198" t="n"/>
      <c r="AB483" s="198" t="n"/>
      <c r="AC483" s="198" t="n"/>
    </row>
    <row r="484" ht="15" customHeight="1" s="195">
      <c r="A484" s="280" t="n"/>
      <c r="B484" s="280" t="n"/>
      <c r="C484" s="280" t="n"/>
      <c r="D484" s="280" t="n"/>
      <c r="E484" s="280" t="n"/>
      <c r="F484" s="280" t="n"/>
      <c r="G484" s="280" t="n"/>
      <c r="H484" s="280" t="n"/>
      <c r="I484" s="332">
        <f>IFERROR(VLOOKUP(TEXT(H484,"0"),IPRESS!$A$3:$B$212,2,0),"")</f>
        <v/>
      </c>
      <c r="J484" s="280" t="n"/>
      <c r="K484" s="343" t="n"/>
      <c r="L484" s="280" t="n"/>
      <c r="M484" s="280" t="n"/>
      <c r="N484" s="345" t="n"/>
      <c r="O484" s="280" t="n"/>
      <c r="P484" s="332">
        <f>IFERROR(VLOOKUP(TEXT(O484,"0"),CONDUCTORES!$A$3:$G$54,2,0),"")</f>
        <v/>
      </c>
      <c r="Q484" s="332">
        <f>IFERROR(VLOOKUP(TEXT(O484,"0"),CONDUCTORES!$A$3:$H$54,6,0),"")</f>
        <v/>
      </c>
      <c r="R484" s="280" t="n"/>
      <c r="S484" s="280" t="n"/>
      <c r="T484" s="280" t="n"/>
      <c r="U484" s="280" t="n"/>
      <c r="V484" s="280" t="n"/>
      <c r="W484" s="280" t="n"/>
      <c r="X484" s="280" t="n"/>
      <c r="Y484" s="280" t="n"/>
      <c r="Z484" s="350" t="n"/>
      <c r="AA484" s="198" t="n"/>
      <c r="AB484" s="198" t="n"/>
      <c r="AC484" s="198" t="n"/>
    </row>
    <row r="485" ht="15" customHeight="1" s="195">
      <c r="A485" s="280" t="n"/>
      <c r="B485" s="280" t="n"/>
      <c r="C485" s="280" t="n"/>
      <c r="D485" s="280" t="n"/>
      <c r="E485" s="280" t="n"/>
      <c r="F485" s="280" t="n"/>
      <c r="G485" s="280" t="n"/>
      <c r="H485" s="280" t="n"/>
      <c r="I485" s="332">
        <f>IFERROR(VLOOKUP(TEXT(H485,"0"),IPRESS!$A$3:$B$212,2,0),"")</f>
        <v/>
      </c>
      <c r="J485" s="280" t="n"/>
      <c r="K485" s="343" t="n"/>
      <c r="L485" s="280" t="n"/>
      <c r="M485" s="280" t="n"/>
      <c r="N485" s="345" t="n"/>
      <c r="O485" s="280" t="n"/>
      <c r="P485" s="332">
        <f>IFERROR(VLOOKUP(TEXT(O485,"0"),CONDUCTORES!$A$3:$G$54,2,0),"")</f>
        <v/>
      </c>
      <c r="Q485" s="332">
        <f>IFERROR(VLOOKUP(TEXT(O485,"0"),CONDUCTORES!$A$3:$H$54,6,0),"")</f>
        <v/>
      </c>
      <c r="R485" s="280" t="n"/>
      <c r="S485" s="280" t="n"/>
      <c r="T485" s="280" t="n"/>
      <c r="U485" s="280" t="n"/>
      <c r="V485" s="280" t="n"/>
      <c r="W485" s="280" t="n"/>
      <c r="X485" s="280" t="n"/>
      <c r="Y485" s="280" t="n"/>
      <c r="Z485" s="350" t="n"/>
      <c r="AA485" s="198" t="n"/>
      <c r="AB485" s="198" t="n"/>
      <c r="AC485" s="198" t="n"/>
    </row>
    <row r="486" ht="15" customHeight="1" s="195">
      <c r="A486" s="280" t="n"/>
      <c r="B486" s="280" t="n"/>
      <c r="C486" s="280" t="n"/>
      <c r="D486" s="280" t="n"/>
      <c r="E486" s="280" t="n"/>
      <c r="F486" s="280" t="n"/>
      <c r="G486" s="280" t="n"/>
      <c r="H486" s="280" t="n"/>
      <c r="I486" s="332">
        <f>IFERROR(VLOOKUP(TEXT(H486,"0"),IPRESS!$A$3:$B$212,2,0),"")</f>
        <v/>
      </c>
      <c r="J486" s="280" t="n"/>
      <c r="K486" s="343" t="n"/>
      <c r="L486" s="280" t="n"/>
      <c r="M486" s="280" t="n"/>
      <c r="N486" s="345" t="n"/>
      <c r="O486" s="280" t="n"/>
      <c r="P486" s="332">
        <f>IFERROR(VLOOKUP(TEXT(O486,"0"),CONDUCTORES!$A$3:$G$54,2,0),"")</f>
        <v/>
      </c>
      <c r="Q486" s="332">
        <f>IFERROR(VLOOKUP(TEXT(O486,"0"),CONDUCTORES!$A$3:$H$54,6,0),"")</f>
        <v/>
      </c>
      <c r="R486" s="280" t="n"/>
      <c r="S486" s="280" t="n"/>
      <c r="T486" s="280" t="n"/>
      <c r="U486" s="280" t="n"/>
      <c r="V486" s="280" t="n"/>
      <c r="W486" s="280" t="n"/>
      <c r="X486" s="280" t="n"/>
      <c r="Y486" s="280" t="n"/>
      <c r="Z486" s="350" t="n"/>
      <c r="AA486" s="198" t="n"/>
      <c r="AB486" s="198" t="n"/>
      <c r="AC486" s="198" t="n"/>
    </row>
    <row r="487" ht="15" customHeight="1" s="195">
      <c r="A487" s="280" t="n"/>
      <c r="B487" s="280" t="n"/>
      <c r="C487" s="280" t="n"/>
      <c r="D487" s="280" t="n"/>
      <c r="E487" s="280" t="n"/>
      <c r="F487" s="280" t="n"/>
      <c r="G487" s="280" t="n"/>
      <c r="H487" s="280" t="n"/>
      <c r="I487" s="332">
        <f>IFERROR(VLOOKUP(TEXT(H487,"0"),IPRESS!$A$3:$B$212,2,0),"")</f>
        <v/>
      </c>
      <c r="J487" s="280" t="n"/>
      <c r="K487" s="343" t="n"/>
      <c r="L487" s="280" t="n"/>
      <c r="M487" s="280" t="n"/>
      <c r="N487" s="345" t="n"/>
      <c r="O487" s="280" t="n"/>
      <c r="P487" s="332">
        <f>IFERROR(VLOOKUP(TEXT(O487,"0"),CONDUCTORES!$A$3:$G$54,2,0),"")</f>
        <v/>
      </c>
      <c r="Q487" s="332">
        <f>IFERROR(VLOOKUP(TEXT(O487,"0"),CONDUCTORES!$A$3:$H$54,6,0),"")</f>
        <v/>
      </c>
      <c r="R487" s="280" t="n"/>
      <c r="S487" s="280" t="n"/>
      <c r="T487" s="280" t="n"/>
      <c r="U487" s="280" t="n"/>
      <c r="V487" s="280" t="n"/>
      <c r="W487" s="280" t="n"/>
      <c r="X487" s="280" t="n"/>
      <c r="Y487" s="280" t="n"/>
      <c r="Z487" s="350" t="n"/>
      <c r="AA487" s="198" t="n"/>
      <c r="AB487" s="198" t="n"/>
      <c r="AC487" s="198" t="n"/>
    </row>
    <row r="488" ht="15" customHeight="1" s="195">
      <c r="A488" s="280" t="n"/>
      <c r="B488" s="280" t="n"/>
      <c r="C488" s="280" t="n"/>
      <c r="D488" s="280" t="n"/>
      <c r="E488" s="280" t="n"/>
      <c r="F488" s="280" t="n"/>
      <c r="G488" s="280" t="n"/>
      <c r="H488" s="280" t="n"/>
      <c r="I488" s="332">
        <f>IFERROR(VLOOKUP(TEXT(H488,"0"),IPRESS!$A$3:$B$212,2,0),"")</f>
        <v/>
      </c>
      <c r="J488" s="280" t="n"/>
      <c r="K488" s="343" t="n"/>
      <c r="L488" s="280" t="n"/>
      <c r="M488" s="280" t="n"/>
      <c r="N488" s="345" t="n"/>
      <c r="O488" s="280" t="n"/>
      <c r="P488" s="332">
        <f>IFERROR(VLOOKUP(TEXT(O488,"0"),CONDUCTORES!$A$3:$G$54,2,0),"")</f>
        <v/>
      </c>
      <c r="Q488" s="332">
        <f>IFERROR(VLOOKUP(TEXT(O488,"0"),CONDUCTORES!$A$3:$H$54,6,0),"")</f>
        <v/>
      </c>
      <c r="R488" s="280" t="n"/>
      <c r="S488" s="280" t="n"/>
      <c r="T488" s="280" t="n"/>
      <c r="U488" s="280" t="n"/>
      <c r="V488" s="280" t="n"/>
      <c r="W488" s="280" t="n"/>
      <c r="X488" s="280" t="n"/>
      <c r="Y488" s="280" t="n"/>
      <c r="Z488" s="350" t="n"/>
      <c r="AA488" s="198" t="n"/>
      <c r="AB488" s="198" t="n"/>
      <c r="AC488" s="198" t="n"/>
    </row>
    <row r="489" ht="15" customHeight="1" s="195">
      <c r="A489" s="280" t="n"/>
      <c r="B489" s="280" t="n"/>
      <c r="C489" s="280" t="n"/>
      <c r="D489" s="280" t="n"/>
      <c r="E489" s="280" t="n"/>
      <c r="F489" s="280" t="n"/>
      <c r="G489" s="280" t="n"/>
      <c r="H489" s="280" t="n"/>
      <c r="I489" s="332">
        <f>IFERROR(VLOOKUP(TEXT(H489,"0"),IPRESS!$A$3:$B$212,2,0),"")</f>
        <v/>
      </c>
      <c r="J489" s="280" t="n"/>
      <c r="K489" s="343" t="n"/>
      <c r="L489" s="280" t="n"/>
      <c r="M489" s="280" t="n"/>
      <c r="N489" s="345" t="n"/>
      <c r="O489" s="280" t="n"/>
      <c r="P489" s="332">
        <f>IFERROR(VLOOKUP(TEXT(O489,"0"),CONDUCTORES!$A$3:$G$54,2,0),"")</f>
        <v/>
      </c>
      <c r="Q489" s="332">
        <f>IFERROR(VLOOKUP(TEXT(O489,"0"),CONDUCTORES!$A$3:$H$54,6,0),"")</f>
        <v/>
      </c>
      <c r="R489" s="280" t="n"/>
      <c r="S489" s="280" t="n"/>
      <c r="T489" s="280" t="n"/>
      <c r="U489" s="280" t="n"/>
      <c r="V489" s="280" t="n"/>
      <c r="W489" s="280" t="n"/>
      <c r="X489" s="280" t="n"/>
      <c r="Y489" s="280" t="n"/>
      <c r="Z489" s="350" t="n"/>
      <c r="AA489" s="198" t="n"/>
      <c r="AB489" s="198" t="n"/>
      <c r="AC489" s="198" t="n"/>
    </row>
    <row r="490" ht="15" customHeight="1" s="195">
      <c r="A490" s="280" t="n"/>
      <c r="B490" s="280" t="n"/>
      <c r="C490" s="280" t="n"/>
      <c r="D490" s="280" t="n"/>
      <c r="E490" s="280" t="n"/>
      <c r="F490" s="280" t="n"/>
      <c r="G490" s="280" t="n"/>
      <c r="H490" s="280" t="n"/>
      <c r="I490" s="332">
        <f>IFERROR(VLOOKUP(TEXT(H490,"0"),IPRESS!$A$3:$B$212,2,0),"")</f>
        <v/>
      </c>
      <c r="J490" s="280" t="n"/>
      <c r="K490" s="343" t="n"/>
      <c r="L490" s="280" t="n"/>
      <c r="M490" s="280" t="n"/>
      <c r="N490" s="345" t="n"/>
      <c r="O490" s="280" t="n"/>
      <c r="P490" s="332">
        <f>IFERROR(VLOOKUP(TEXT(O490,"0"),CONDUCTORES!$A$3:$G$54,2,0),"")</f>
        <v/>
      </c>
      <c r="Q490" s="332">
        <f>IFERROR(VLOOKUP(TEXT(O490,"0"),CONDUCTORES!$A$3:$H$54,6,0),"")</f>
        <v/>
      </c>
      <c r="R490" s="280" t="n"/>
      <c r="S490" s="280" t="n"/>
      <c r="T490" s="280" t="n"/>
      <c r="U490" s="280" t="n"/>
      <c r="V490" s="280" t="n"/>
      <c r="W490" s="280" t="n"/>
      <c r="X490" s="280" t="n"/>
      <c r="Y490" s="280" t="n"/>
      <c r="Z490" s="350" t="n"/>
      <c r="AA490" s="198" t="n"/>
      <c r="AB490" s="198" t="n"/>
      <c r="AC490" s="198" t="n"/>
    </row>
    <row r="491" ht="15" customHeight="1" s="195">
      <c r="A491" s="280" t="n"/>
      <c r="B491" s="280" t="n"/>
      <c r="C491" s="280" t="n"/>
      <c r="D491" s="280" t="n"/>
      <c r="E491" s="280" t="n"/>
      <c r="F491" s="280" t="n"/>
      <c r="G491" s="280" t="n"/>
      <c r="H491" s="280" t="n"/>
      <c r="I491" s="332">
        <f>IFERROR(VLOOKUP(TEXT(H491,"0"),IPRESS!$A$3:$B$212,2,0),"")</f>
        <v/>
      </c>
      <c r="J491" s="280" t="n"/>
      <c r="K491" s="343" t="n"/>
      <c r="L491" s="280" t="n"/>
      <c r="M491" s="280" t="n"/>
      <c r="N491" s="345" t="n"/>
      <c r="O491" s="280" t="n"/>
      <c r="P491" s="332">
        <f>IFERROR(VLOOKUP(TEXT(O491,"0"),CONDUCTORES!$A$3:$G$54,2,0),"")</f>
        <v/>
      </c>
      <c r="Q491" s="332">
        <f>IFERROR(VLOOKUP(TEXT(O491,"0"),CONDUCTORES!$A$3:$H$54,6,0),"")</f>
        <v/>
      </c>
      <c r="R491" s="280" t="n"/>
      <c r="S491" s="280" t="n"/>
      <c r="T491" s="280" t="n"/>
      <c r="U491" s="280" t="n"/>
      <c r="V491" s="280" t="n"/>
      <c r="W491" s="280" t="n"/>
      <c r="X491" s="280" t="n"/>
      <c r="Y491" s="280" t="n"/>
      <c r="Z491" s="350" t="n"/>
      <c r="AA491" s="198" t="n"/>
      <c r="AB491" s="198" t="n"/>
      <c r="AC491" s="198" t="n"/>
    </row>
    <row r="492" ht="15" customHeight="1" s="195">
      <c r="A492" s="280" t="n"/>
      <c r="B492" s="280" t="n"/>
      <c r="C492" s="280" t="n"/>
      <c r="D492" s="280" t="n"/>
      <c r="E492" s="280" t="n"/>
      <c r="F492" s="280" t="n"/>
      <c r="G492" s="280" t="n"/>
      <c r="H492" s="280" t="n"/>
      <c r="I492" s="332">
        <f>IFERROR(VLOOKUP(TEXT(H492,"0"),IPRESS!$A$3:$B$212,2,0),"")</f>
        <v/>
      </c>
      <c r="J492" s="280" t="n"/>
      <c r="K492" s="343" t="n"/>
      <c r="L492" s="280" t="n"/>
      <c r="M492" s="280" t="n"/>
      <c r="N492" s="345" t="n"/>
      <c r="O492" s="280" t="n"/>
      <c r="P492" s="332">
        <f>IFERROR(VLOOKUP(TEXT(O492,"0"),CONDUCTORES!$A$3:$G$54,2,0),"")</f>
        <v/>
      </c>
      <c r="Q492" s="332">
        <f>IFERROR(VLOOKUP(TEXT(O492,"0"),CONDUCTORES!$A$3:$H$54,6,0),"")</f>
        <v/>
      </c>
      <c r="R492" s="280" t="n"/>
      <c r="S492" s="280" t="n"/>
      <c r="T492" s="280" t="n"/>
      <c r="U492" s="280" t="n"/>
      <c r="V492" s="280" t="n"/>
      <c r="W492" s="280" t="n"/>
      <c r="X492" s="280" t="n"/>
      <c r="Y492" s="280" t="n"/>
      <c r="Z492" s="350" t="n"/>
      <c r="AA492" s="198" t="n"/>
      <c r="AB492" s="198" t="n"/>
      <c r="AC492" s="198" t="n"/>
    </row>
    <row r="493" ht="15" customHeight="1" s="195">
      <c r="A493" s="280" t="n"/>
      <c r="B493" s="280" t="n"/>
      <c r="C493" s="280" t="n"/>
      <c r="D493" s="280" t="n"/>
      <c r="E493" s="280" t="n"/>
      <c r="F493" s="280" t="n"/>
      <c r="G493" s="280" t="n"/>
      <c r="H493" s="280" t="n"/>
      <c r="I493" s="332">
        <f>IFERROR(VLOOKUP(TEXT(H493,"0"),IPRESS!$A$3:$B$212,2,0),"")</f>
        <v/>
      </c>
      <c r="J493" s="280" t="n"/>
      <c r="K493" s="343" t="n"/>
      <c r="L493" s="280" t="n"/>
      <c r="M493" s="280" t="n"/>
      <c r="N493" s="345" t="n"/>
      <c r="O493" s="280" t="n"/>
      <c r="P493" s="332">
        <f>IFERROR(VLOOKUP(TEXT(O493,"0"),CONDUCTORES!$A$3:$G$54,2,0),"")</f>
        <v/>
      </c>
      <c r="Q493" s="332">
        <f>IFERROR(VLOOKUP(TEXT(O493,"0"),CONDUCTORES!$A$3:$H$54,6,0),"")</f>
        <v/>
      </c>
      <c r="R493" s="280" t="n"/>
      <c r="S493" s="280" t="n"/>
      <c r="T493" s="280" t="n"/>
      <c r="U493" s="280" t="n"/>
      <c r="V493" s="280" t="n"/>
      <c r="W493" s="280" t="n"/>
      <c r="X493" s="280" t="n"/>
      <c r="Y493" s="280" t="n"/>
      <c r="Z493" s="350" t="n"/>
      <c r="AA493" s="198" t="n"/>
      <c r="AB493" s="198" t="n"/>
      <c r="AC493" s="198" t="n"/>
    </row>
    <row r="494" ht="15" customHeight="1" s="195">
      <c r="A494" s="280" t="n"/>
      <c r="B494" s="280" t="n"/>
      <c r="C494" s="280" t="n"/>
      <c r="D494" s="280" t="n"/>
      <c r="E494" s="280" t="n"/>
      <c r="F494" s="280" t="n"/>
      <c r="G494" s="280" t="n"/>
      <c r="H494" s="280" t="n"/>
      <c r="I494" s="332">
        <f>IFERROR(VLOOKUP(TEXT(H494,"0"),IPRESS!$A$3:$B$212,2,0),"")</f>
        <v/>
      </c>
      <c r="J494" s="280" t="n"/>
      <c r="K494" s="343" t="n"/>
      <c r="L494" s="280" t="n"/>
      <c r="M494" s="280" t="n"/>
      <c r="N494" s="345" t="n"/>
      <c r="O494" s="280" t="n"/>
      <c r="P494" s="332">
        <f>IFERROR(VLOOKUP(TEXT(O494,"0"),CONDUCTORES!$A$3:$G$54,2,0),"")</f>
        <v/>
      </c>
      <c r="Q494" s="332">
        <f>IFERROR(VLOOKUP(TEXT(O494,"0"),CONDUCTORES!$A$3:$H$54,6,0),"")</f>
        <v/>
      </c>
      <c r="R494" s="280" t="n"/>
      <c r="S494" s="280" t="n"/>
      <c r="T494" s="280" t="n"/>
      <c r="U494" s="280" t="n"/>
      <c r="V494" s="280" t="n"/>
      <c r="W494" s="280" t="n"/>
      <c r="X494" s="280" t="n"/>
      <c r="Y494" s="280" t="n"/>
      <c r="Z494" s="350" t="n"/>
      <c r="AA494" s="198" t="n"/>
      <c r="AB494" s="198" t="n"/>
      <c r="AC494" s="198" t="n"/>
    </row>
    <row r="495" ht="15" customHeight="1" s="195">
      <c r="A495" s="280" t="n"/>
      <c r="B495" s="280" t="n"/>
      <c r="C495" s="280" t="n"/>
      <c r="D495" s="280" t="n"/>
      <c r="E495" s="280" t="n"/>
      <c r="F495" s="280" t="n"/>
      <c r="G495" s="280" t="n"/>
      <c r="H495" s="280" t="n"/>
      <c r="I495" s="332">
        <f>IFERROR(VLOOKUP(TEXT(H495,"0"),IPRESS!$A$3:$B$212,2,0),"")</f>
        <v/>
      </c>
      <c r="J495" s="280" t="n"/>
      <c r="K495" s="343" t="n"/>
      <c r="L495" s="280" t="n"/>
      <c r="M495" s="280" t="n"/>
      <c r="N495" s="345" t="n"/>
      <c r="O495" s="280" t="n"/>
      <c r="P495" s="332">
        <f>IFERROR(VLOOKUP(TEXT(O495,"0"),CONDUCTORES!$A$3:$G$54,2,0),"")</f>
        <v/>
      </c>
      <c r="Q495" s="332">
        <f>IFERROR(VLOOKUP(TEXT(O495,"0"),CONDUCTORES!$A$3:$H$54,6,0),"")</f>
        <v/>
      </c>
      <c r="R495" s="280" t="n"/>
      <c r="S495" s="280" t="n"/>
      <c r="T495" s="280" t="n"/>
      <c r="U495" s="280" t="n"/>
      <c r="V495" s="280" t="n"/>
      <c r="W495" s="280" t="n"/>
      <c r="X495" s="280" t="n"/>
      <c r="Y495" s="280" t="n"/>
      <c r="Z495" s="350" t="n"/>
      <c r="AA495" s="198" t="n"/>
      <c r="AB495" s="198" t="n"/>
      <c r="AC495" s="198" t="n"/>
    </row>
    <row r="496" ht="15" customHeight="1" s="195">
      <c r="A496" s="280" t="n"/>
      <c r="B496" s="280" t="n"/>
      <c r="C496" s="280" t="n"/>
      <c r="D496" s="280" t="n"/>
      <c r="E496" s="280" t="n"/>
      <c r="F496" s="280" t="n"/>
      <c r="G496" s="280" t="n"/>
      <c r="H496" s="280" t="n"/>
      <c r="I496" s="332">
        <f>IFERROR(VLOOKUP(TEXT(H496,"0"),IPRESS!$A$3:$B$212,2,0),"")</f>
        <v/>
      </c>
      <c r="J496" s="280" t="n"/>
      <c r="K496" s="343" t="n"/>
      <c r="L496" s="280" t="n"/>
      <c r="M496" s="280" t="n"/>
      <c r="N496" s="345" t="n"/>
      <c r="O496" s="280" t="n"/>
      <c r="P496" s="332">
        <f>IFERROR(VLOOKUP(TEXT(O496,"0"),CONDUCTORES!$A$3:$G$54,2,0),"")</f>
        <v/>
      </c>
      <c r="Q496" s="332">
        <f>IFERROR(VLOOKUP(TEXT(O496,"0"),CONDUCTORES!$A$3:$H$54,6,0),"")</f>
        <v/>
      </c>
      <c r="R496" s="280" t="n"/>
      <c r="S496" s="280" t="n"/>
      <c r="T496" s="280" t="n"/>
      <c r="U496" s="280" t="n"/>
      <c r="V496" s="280" t="n"/>
      <c r="W496" s="280" t="n"/>
      <c r="X496" s="280" t="n"/>
      <c r="Y496" s="280" t="n"/>
      <c r="Z496" s="350" t="n"/>
      <c r="AA496" s="198" t="n"/>
      <c r="AB496" s="198" t="n"/>
      <c r="AC496" s="198" t="n"/>
    </row>
    <row r="497" ht="15" customHeight="1" s="195">
      <c r="A497" s="280" t="n"/>
      <c r="B497" s="280" t="n"/>
      <c r="C497" s="280" t="n"/>
      <c r="D497" s="280" t="n"/>
      <c r="E497" s="280" t="n"/>
      <c r="F497" s="280" t="n"/>
      <c r="G497" s="280" t="n"/>
      <c r="H497" s="280" t="n"/>
      <c r="I497" s="332">
        <f>IFERROR(VLOOKUP(TEXT(H497,"0"),IPRESS!$A$3:$B$212,2,0),"")</f>
        <v/>
      </c>
      <c r="J497" s="280" t="n"/>
      <c r="K497" s="343" t="n"/>
      <c r="L497" s="280" t="n"/>
      <c r="M497" s="280" t="n"/>
      <c r="N497" s="345" t="n"/>
      <c r="O497" s="280" t="n"/>
      <c r="P497" s="332">
        <f>IFERROR(VLOOKUP(TEXT(O497,"0"),CONDUCTORES!$A$3:$G$54,2,0),"")</f>
        <v/>
      </c>
      <c r="Q497" s="332">
        <f>IFERROR(VLOOKUP(TEXT(O497,"0"),CONDUCTORES!$A$3:$H$54,6,0),"")</f>
        <v/>
      </c>
      <c r="R497" s="280" t="n"/>
      <c r="S497" s="280" t="n"/>
      <c r="T497" s="280" t="n"/>
      <c r="U497" s="280" t="n"/>
      <c r="V497" s="280" t="n"/>
      <c r="W497" s="280" t="n"/>
      <c r="X497" s="280" t="n"/>
      <c r="Y497" s="280" t="n"/>
      <c r="Z497" s="350" t="n"/>
      <c r="AA497" s="198" t="n"/>
      <c r="AB497" s="198" t="n"/>
      <c r="AC497" s="198" t="n"/>
    </row>
    <row r="498" ht="15" customHeight="1" s="195">
      <c r="A498" s="280" t="n"/>
      <c r="B498" s="280" t="n"/>
      <c r="C498" s="280" t="n"/>
      <c r="D498" s="280" t="n"/>
      <c r="E498" s="280" t="n"/>
      <c r="F498" s="280" t="n"/>
      <c r="G498" s="280" t="n"/>
      <c r="H498" s="280" t="n"/>
      <c r="I498" s="332">
        <f>IFERROR(VLOOKUP(TEXT(H498,"0"),IPRESS!$A$3:$B$212,2,0),"")</f>
        <v/>
      </c>
      <c r="J498" s="280" t="n"/>
      <c r="K498" s="343" t="n"/>
      <c r="L498" s="280" t="n"/>
      <c r="M498" s="280" t="n"/>
      <c r="N498" s="345" t="n"/>
      <c r="O498" s="280" t="n"/>
      <c r="P498" s="332">
        <f>IFERROR(VLOOKUP(TEXT(O498,"0"),CONDUCTORES!$A$3:$G$54,2,0),"")</f>
        <v/>
      </c>
      <c r="Q498" s="332">
        <f>IFERROR(VLOOKUP(TEXT(O498,"0"),CONDUCTORES!$A$3:$H$54,6,0),"")</f>
        <v/>
      </c>
      <c r="R498" s="280" t="n"/>
      <c r="S498" s="280" t="n"/>
      <c r="T498" s="280" t="n"/>
      <c r="U498" s="280" t="n"/>
      <c r="V498" s="280" t="n"/>
      <c r="W498" s="280" t="n"/>
      <c r="X498" s="280" t="n"/>
      <c r="Y498" s="280" t="n"/>
      <c r="Z498" s="350" t="n"/>
      <c r="AA498" s="198" t="n"/>
      <c r="AB498" s="198" t="n"/>
      <c r="AC498" s="198" t="n"/>
    </row>
    <row r="499" ht="15" customHeight="1" s="195">
      <c r="A499" s="280" t="n"/>
      <c r="B499" s="280" t="n"/>
      <c r="C499" s="280" t="n"/>
      <c r="D499" s="280" t="n"/>
      <c r="E499" s="280" t="n"/>
      <c r="F499" s="280" t="n"/>
      <c r="G499" s="280" t="n"/>
      <c r="H499" s="280" t="n"/>
      <c r="I499" s="332">
        <f>IFERROR(VLOOKUP(TEXT(H499,"0"),IPRESS!$A$3:$B$212,2,0),"")</f>
        <v/>
      </c>
      <c r="J499" s="280" t="n"/>
      <c r="K499" s="343" t="n"/>
      <c r="L499" s="280" t="n"/>
      <c r="M499" s="280" t="n"/>
      <c r="N499" s="345" t="n"/>
      <c r="O499" s="280" t="n"/>
      <c r="P499" s="332">
        <f>IFERROR(VLOOKUP(TEXT(O499,"0"),CONDUCTORES!$A$3:$G$54,2,0),"")</f>
        <v/>
      </c>
      <c r="Q499" s="332">
        <f>IFERROR(VLOOKUP(TEXT(O499,"0"),CONDUCTORES!$A$3:$H$54,6,0),"")</f>
        <v/>
      </c>
      <c r="R499" s="280" t="n"/>
      <c r="S499" s="280" t="n"/>
      <c r="T499" s="280" t="n"/>
      <c r="U499" s="280" t="n"/>
      <c r="V499" s="280" t="n"/>
      <c r="W499" s="280" t="n"/>
      <c r="X499" s="280" t="n"/>
      <c r="Y499" s="280" t="n"/>
      <c r="Z499" s="350" t="n"/>
      <c r="AA499" s="198" t="n"/>
      <c r="AB499" s="198" t="n"/>
      <c r="AC499" s="198" t="n"/>
    </row>
    <row r="500" ht="15" customHeight="1" s="195">
      <c r="A500" s="280" t="n"/>
      <c r="B500" s="280" t="n"/>
      <c r="C500" s="280" t="n"/>
      <c r="D500" s="280" t="n"/>
      <c r="E500" s="280" t="n"/>
      <c r="F500" s="280" t="n"/>
      <c r="G500" s="280" t="n"/>
      <c r="H500" s="280" t="n"/>
      <c r="I500" s="332">
        <f>IFERROR(VLOOKUP(TEXT(H500,"0"),IPRESS!$A$3:$B$212,2,0),"")</f>
        <v/>
      </c>
      <c r="J500" s="280" t="n"/>
      <c r="K500" s="343" t="n"/>
      <c r="L500" s="280" t="n"/>
      <c r="M500" s="280" t="n"/>
      <c r="N500" s="345" t="n"/>
      <c r="O500" s="280" t="n"/>
      <c r="P500" s="332">
        <f>IFERROR(VLOOKUP(TEXT(O500,"0"),CONDUCTORES!$A$3:$G$54,2,0),"")</f>
        <v/>
      </c>
      <c r="Q500" s="332">
        <f>IFERROR(VLOOKUP(TEXT(O500,"0"),CONDUCTORES!$A$3:$H$54,6,0),"")</f>
        <v/>
      </c>
      <c r="R500" s="280" t="n"/>
      <c r="S500" s="280" t="n"/>
      <c r="T500" s="280" t="n"/>
      <c r="U500" s="280" t="n"/>
      <c r="V500" s="280" t="n"/>
      <c r="W500" s="280" t="n"/>
      <c r="X500" s="280" t="n"/>
      <c r="Y500" s="280" t="n"/>
      <c r="Z500" s="350" t="n"/>
      <c r="AA500" s="198" t="n"/>
      <c r="AB500" s="198" t="n"/>
      <c r="AC500" s="198" t="n"/>
    </row>
    <row r="501" ht="15" customHeight="1" s="195">
      <c r="A501" s="280" t="n"/>
      <c r="B501" s="280" t="n"/>
      <c r="C501" s="280" t="n"/>
      <c r="D501" s="280" t="n"/>
      <c r="E501" s="280" t="n"/>
      <c r="F501" s="280" t="n"/>
      <c r="G501" s="280" t="n"/>
      <c r="H501" s="280" t="n"/>
      <c r="I501" s="332">
        <f>IFERROR(VLOOKUP(TEXT(H501,"0"),IPRESS!$A$3:$B$212,2,0),"")</f>
        <v/>
      </c>
      <c r="J501" s="280" t="n"/>
      <c r="K501" s="343" t="n"/>
      <c r="L501" s="280" t="n"/>
      <c r="M501" s="280" t="n"/>
      <c r="N501" s="345" t="n"/>
      <c r="O501" s="280" t="n"/>
      <c r="P501" s="332">
        <f>IFERROR(VLOOKUP(TEXT(O501,"0"),CONDUCTORES!$A$3:$G$54,2,0),"")</f>
        <v/>
      </c>
      <c r="Q501" s="332">
        <f>IFERROR(VLOOKUP(TEXT(O501,"0"),CONDUCTORES!$A$3:$H$54,6,0),"")</f>
        <v/>
      </c>
      <c r="R501" s="280" t="n"/>
      <c r="S501" s="280" t="n"/>
      <c r="T501" s="280" t="n"/>
      <c r="U501" s="280" t="n"/>
      <c r="V501" s="280" t="n"/>
      <c r="W501" s="280" t="n"/>
      <c r="X501" s="280" t="n"/>
      <c r="Y501" s="280" t="n"/>
      <c r="Z501" s="350" t="n"/>
      <c r="AA501" s="198" t="n"/>
      <c r="AB501" s="198" t="n"/>
      <c r="AC501" s="198" t="n"/>
    </row>
    <row r="502" ht="15" customHeight="1" s="195">
      <c r="A502" s="280" t="n"/>
      <c r="B502" s="280" t="n"/>
      <c r="C502" s="280" t="n"/>
      <c r="D502" s="280" t="n"/>
      <c r="E502" s="280" t="n"/>
      <c r="F502" s="280" t="n"/>
      <c r="G502" s="280" t="n"/>
      <c r="H502" s="280" t="n"/>
      <c r="I502" s="332">
        <f>IFERROR(VLOOKUP(TEXT(H502,"0"),IPRESS!$A$3:$B$212,2,0),"")</f>
        <v/>
      </c>
      <c r="J502" s="280" t="n"/>
      <c r="K502" s="343" t="n"/>
      <c r="L502" s="280" t="n"/>
      <c r="M502" s="280" t="n"/>
      <c r="N502" s="345" t="n"/>
      <c r="O502" s="280" t="n"/>
      <c r="P502" s="332">
        <f>IFERROR(VLOOKUP(TEXT(O502,"0"),CONDUCTORES!$A$3:$G$54,2,0),"")</f>
        <v/>
      </c>
      <c r="Q502" s="332">
        <f>IFERROR(VLOOKUP(TEXT(O502,"0"),CONDUCTORES!$A$3:$H$54,6,0),"")</f>
        <v/>
      </c>
      <c r="R502" s="280" t="n"/>
      <c r="S502" s="280" t="n"/>
      <c r="T502" s="280" t="n"/>
      <c r="U502" s="280" t="n"/>
      <c r="V502" s="280" t="n"/>
      <c r="W502" s="280" t="n"/>
      <c r="X502" s="280" t="n"/>
      <c r="Y502" s="280" t="n"/>
      <c r="Z502" s="350" t="n"/>
      <c r="AA502" s="198" t="n"/>
      <c r="AB502" s="198" t="n"/>
      <c r="AC502" s="198" t="n"/>
    </row>
    <row r="503" ht="15" customHeight="1" s="195">
      <c r="A503" s="280" t="n"/>
      <c r="B503" s="280" t="n"/>
      <c r="C503" s="280" t="n"/>
      <c r="D503" s="280" t="n"/>
      <c r="E503" s="280" t="n"/>
      <c r="F503" s="280" t="n"/>
      <c r="G503" s="280" t="n"/>
      <c r="H503" s="280" t="n"/>
      <c r="I503" s="332">
        <f>IFERROR(VLOOKUP(TEXT(H503,"0"),IPRESS!$A$3:$B$212,2,0),"")</f>
        <v/>
      </c>
      <c r="J503" s="280" t="n"/>
      <c r="K503" s="343" t="n"/>
      <c r="L503" s="280" t="n"/>
      <c r="M503" s="280" t="n"/>
      <c r="N503" s="345" t="n"/>
      <c r="O503" s="280" t="n"/>
      <c r="P503" s="332">
        <f>IFERROR(VLOOKUP(TEXT(O503,"0"),CONDUCTORES!$A$3:$G$54,2,0),"")</f>
        <v/>
      </c>
      <c r="Q503" s="332">
        <f>IFERROR(VLOOKUP(TEXT(O503,"0"),CONDUCTORES!$A$3:$H$54,6,0),"")</f>
        <v/>
      </c>
      <c r="R503" s="280" t="n"/>
      <c r="S503" s="280" t="n"/>
      <c r="T503" s="280" t="n"/>
      <c r="U503" s="280" t="n"/>
      <c r="V503" s="280" t="n"/>
      <c r="W503" s="280" t="n"/>
      <c r="X503" s="280" t="n"/>
      <c r="Y503" s="280" t="n"/>
      <c r="Z503" s="350" t="n"/>
      <c r="AA503" s="198" t="n"/>
      <c r="AB503" s="198" t="n"/>
      <c r="AC503" s="198" t="n"/>
    </row>
    <row r="504" ht="15" customHeight="1" s="195">
      <c r="A504" s="280" t="n"/>
      <c r="B504" s="280" t="n"/>
      <c r="C504" s="280" t="n"/>
      <c r="D504" s="280" t="n"/>
      <c r="E504" s="280" t="n"/>
      <c r="F504" s="280" t="n"/>
      <c r="G504" s="280" t="n"/>
      <c r="H504" s="280" t="n"/>
      <c r="I504" s="332">
        <f>IFERROR(VLOOKUP(TEXT(H504,"0"),IPRESS!$A$3:$B$212,2,0),"")</f>
        <v/>
      </c>
      <c r="J504" s="280" t="n"/>
      <c r="K504" s="343" t="n"/>
      <c r="L504" s="280" t="n"/>
      <c r="M504" s="280" t="n"/>
      <c r="N504" s="345" t="n"/>
      <c r="O504" s="280" t="n"/>
      <c r="P504" s="332">
        <f>IFERROR(VLOOKUP(TEXT(O504,"0"),CONDUCTORES!$A$3:$G$54,2,0),"")</f>
        <v/>
      </c>
      <c r="Q504" s="332">
        <f>IFERROR(VLOOKUP(TEXT(O504,"0"),CONDUCTORES!$A$3:$H$54,6,0),"")</f>
        <v/>
      </c>
      <c r="R504" s="280" t="n"/>
      <c r="S504" s="280" t="n"/>
      <c r="T504" s="280" t="n"/>
      <c r="U504" s="280" t="n"/>
      <c r="V504" s="280" t="n"/>
      <c r="W504" s="280" t="n"/>
      <c r="X504" s="280" t="n"/>
      <c r="Y504" s="280" t="n"/>
      <c r="Z504" s="350" t="n"/>
      <c r="AA504" s="198" t="n"/>
      <c r="AB504" s="198" t="n"/>
      <c r="AC504" s="198" t="n"/>
    </row>
    <row r="505" ht="15" customHeight="1" s="195">
      <c r="A505" s="280" t="n"/>
      <c r="B505" s="280" t="n"/>
      <c r="C505" s="280" t="n"/>
      <c r="D505" s="280" t="n"/>
      <c r="E505" s="280" t="n"/>
      <c r="F505" s="280" t="n"/>
      <c r="G505" s="280" t="n"/>
      <c r="H505" s="280" t="n"/>
      <c r="I505" s="332">
        <f>IFERROR(VLOOKUP(TEXT(H505,"0"),IPRESS!$A$3:$B$212,2,0),"")</f>
        <v/>
      </c>
      <c r="J505" s="280" t="n"/>
      <c r="K505" s="343" t="n"/>
      <c r="L505" s="280" t="n"/>
      <c r="M505" s="280" t="n"/>
      <c r="N505" s="345" t="n"/>
      <c r="O505" s="280" t="n"/>
      <c r="P505" s="332">
        <f>IFERROR(VLOOKUP(TEXT(O505,"0"),CONDUCTORES!$A$3:$G$54,2,0),"")</f>
        <v/>
      </c>
      <c r="Q505" s="332">
        <f>IFERROR(VLOOKUP(TEXT(O505,"0"),CONDUCTORES!$A$3:$H$54,6,0),"")</f>
        <v/>
      </c>
      <c r="R505" s="280" t="n"/>
      <c r="S505" s="280" t="n"/>
      <c r="T505" s="280" t="n"/>
      <c r="U505" s="280" t="n"/>
      <c r="V505" s="280" t="n"/>
      <c r="W505" s="280" t="n"/>
      <c r="X505" s="280" t="n"/>
      <c r="Y505" s="280" t="n"/>
      <c r="Z505" s="350" t="n"/>
      <c r="AA505" s="198" t="n"/>
      <c r="AB505" s="198" t="n"/>
      <c r="AC505" s="198" t="n"/>
    </row>
    <row r="506" ht="21.75" customHeight="1" s="195">
      <c r="A506" s="360" t="n"/>
      <c r="H506" s="198" t="n"/>
      <c r="J506" s="198" t="n"/>
      <c r="K506" s="198" t="n"/>
      <c r="L506" s="198" t="n"/>
      <c r="M506" s="361" t="n"/>
      <c r="N506" s="361" t="n"/>
      <c r="O506" s="198" t="n"/>
      <c r="R506" s="198" t="n"/>
      <c r="S506" s="198" t="n"/>
      <c r="T506" s="198" t="n"/>
      <c r="U506" s="198" t="n"/>
      <c r="V506" s="198" t="n"/>
      <c r="W506" s="198" t="n"/>
      <c r="X506" s="198" t="n"/>
      <c r="Y506" s="198" t="n"/>
      <c r="Z506" s="198" t="n"/>
      <c r="AA506" s="198" t="n"/>
      <c r="AB506" s="198" t="n"/>
      <c r="AC506" s="198" t="n"/>
    </row>
    <row r="507" ht="15" customHeight="1" s="195">
      <c r="A507" s="198" t="n"/>
      <c r="B507" s="198" t="n"/>
      <c r="C507" s="198" t="n"/>
      <c r="D507" s="198" t="n"/>
      <c r="E507" s="198" t="n"/>
      <c r="F507" s="198" t="n"/>
      <c r="G507" s="198" t="n"/>
      <c r="H507" s="198" t="n"/>
      <c r="J507" s="198" t="n"/>
      <c r="K507" s="198" t="n"/>
      <c r="L507" s="198" t="n"/>
      <c r="M507" s="198" t="n"/>
      <c r="N507" s="198" t="n"/>
      <c r="O507" s="198" t="n"/>
      <c r="R507" s="198" t="n"/>
      <c r="S507" s="198" t="n"/>
      <c r="T507" s="198" t="n"/>
      <c r="U507" s="198" t="n"/>
      <c r="V507" s="198" t="n"/>
      <c r="W507" s="198" t="n"/>
      <c r="X507" s="198" t="n"/>
      <c r="Y507" s="198" t="n"/>
      <c r="Z507" s="198" t="n"/>
      <c r="AA507" s="198" t="n"/>
      <c r="AB507" s="198" t="n"/>
      <c r="AC507" s="198" t="n"/>
    </row>
    <row r="508" ht="15" customHeight="1" s="195">
      <c r="A508" s="198" t="n"/>
      <c r="B508" s="198" t="n"/>
      <c r="C508" s="198" t="n"/>
      <c r="D508" s="198" t="n"/>
      <c r="E508" s="198" t="n"/>
      <c r="F508" s="198" t="n"/>
      <c r="G508" s="198" t="n"/>
      <c r="H508" s="198" t="n"/>
      <c r="J508" s="198" t="n"/>
      <c r="K508" s="198" t="n"/>
      <c r="L508" s="198" t="n"/>
      <c r="M508" s="198" t="n"/>
      <c r="N508" s="198" t="n"/>
      <c r="O508" s="198" t="n"/>
      <c r="R508" s="198" t="n"/>
      <c r="S508" s="198" t="n"/>
      <c r="T508" s="198" t="n"/>
      <c r="U508" s="198" t="n"/>
      <c r="V508" s="198" t="n"/>
      <c r="W508" s="198" t="n"/>
      <c r="X508" s="198" t="n"/>
      <c r="Y508" s="198" t="n"/>
      <c r="Z508" s="198" t="n"/>
      <c r="AA508" s="198" t="n"/>
      <c r="AB508" s="198" t="n"/>
      <c r="AC508" s="198" t="n"/>
    </row>
    <row r="509" ht="15" customHeight="1" s="195">
      <c r="A509" s="198" t="n"/>
      <c r="B509" s="198" t="n"/>
      <c r="C509" s="198" t="n"/>
      <c r="D509" s="198" t="n"/>
      <c r="E509" s="198" t="n"/>
      <c r="F509" s="198" t="n"/>
      <c r="G509" s="198" t="n"/>
      <c r="H509" s="198" t="n"/>
      <c r="J509" s="198" t="n"/>
      <c r="K509" s="198" t="n"/>
      <c r="L509" s="198" t="n"/>
      <c r="M509" s="198" t="n"/>
      <c r="N509" s="198" t="n"/>
      <c r="O509" s="198" t="n"/>
      <c r="R509" s="198" t="n"/>
      <c r="S509" s="198" t="n"/>
      <c r="T509" s="198" t="n"/>
      <c r="U509" s="198" t="n"/>
      <c r="V509" s="198" t="n"/>
      <c r="W509" s="198" t="n"/>
      <c r="X509" s="198" t="n"/>
      <c r="Y509" s="198" t="n"/>
      <c r="Z509" s="198" t="n"/>
      <c r="AA509" s="198" t="n"/>
      <c r="AB509" s="198" t="n"/>
      <c r="AC509" s="198" t="n"/>
    </row>
    <row r="510" ht="15" customHeight="1" s="195">
      <c r="A510" s="198" t="n"/>
      <c r="B510" s="198" t="n"/>
      <c r="C510" s="198" t="n"/>
      <c r="D510" s="198" t="n"/>
      <c r="E510" s="198" t="n"/>
      <c r="F510" s="198" t="n"/>
      <c r="G510" s="198" t="n"/>
      <c r="H510" s="198" t="n"/>
      <c r="J510" s="198" t="n"/>
      <c r="K510" s="198" t="n"/>
      <c r="L510" s="198" t="n"/>
      <c r="M510" s="198" t="n"/>
      <c r="N510" s="198" t="n"/>
      <c r="O510" s="198" t="n"/>
      <c r="R510" s="198" t="n"/>
      <c r="S510" s="198" t="n"/>
      <c r="T510" s="198" t="n"/>
      <c r="U510" s="198" t="n"/>
      <c r="V510" s="198" t="n"/>
      <c r="W510" s="198" t="n"/>
      <c r="X510" s="198" t="n"/>
      <c r="Y510" s="198" t="n"/>
      <c r="Z510" s="198" t="n"/>
      <c r="AA510" s="198" t="n"/>
      <c r="AB510" s="198" t="n"/>
      <c r="AC510" s="198" t="n"/>
    </row>
    <row r="511" ht="15.75" customHeight="1" s="195"/>
    <row r="512" ht="15.75" customHeight="1" s="195"/>
    <row r="513" ht="15.75" customHeight="1" s="195"/>
    <row r="514" ht="15.75" customHeight="1" s="195"/>
    <row r="515" ht="15.75" customHeight="1" s="195"/>
    <row r="516" ht="15.75" customHeight="1" s="195"/>
    <row r="517" ht="15.75" customHeight="1" s="195"/>
    <row r="518" ht="15.75" customHeight="1" s="195"/>
    <row r="519" ht="15.75" customHeight="1" s="195"/>
    <row r="520" ht="15.75" customHeight="1" s="195"/>
    <row r="521" ht="15.75" customHeight="1" s="195"/>
    <row r="522" ht="15.75" customHeight="1" s="195"/>
    <row r="523" ht="15.75" customHeight="1" s="195"/>
    <row r="524" ht="15.75" customHeight="1" s="195"/>
    <row r="525" ht="15.75" customHeight="1" s="195"/>
    <row r="526" ht="15.75" customHeight="1" s="195"/>
    <row r="527" ht="15.75" customHeight="1" s="195"/>
    <row r="528" ht="15.75" customHeight="1" s="195"/>
    <row r="529" ht="15.75" customHeight="1" s="195"/>
    <row r="530" ht="15.75" customHeight="1" s="195"/>
    <row r="531" ht="15.75" customHeight="1" s="195"/>
    <row r="532" ht="15.75" customHeight="1" s="195"/>
    <row r="533" ht="15.75" customHeight="1" s="195"/>
    <row r="534" ht="15.75" customHeight="1" s="195"/>
    <row r="535" ht="15.75" customHeight="1" s="195"/>
    <row r="536" ht="15.75" customHeight="1" s="195"/>
    <row r="537" ht="15.75" customHeight="1" s="195"/>
    <row r="538" ht="15.75" customHeight="1" s="195"/>
    <row r="539" ht="15.75" customHeight="1" s="195"/>
    <row r="540" ht="15.75" customHeight="1" s="195"/>
    <row r="541" ht="15.75" customHeight="1" s="195"/>
    <row r="542" ht="15.75" customHeight="1" s="195"/>
    <row r="543" ht="15.75" customHeight="1" s="195"/>
    <row r="544" ht="15.75" customHeight="1" s="195"/>
    <row r="545" ht="15.75" customHeight="1" s="195"/>
    <row r="546" ht="15.75" customHeight="1" s="195"/>
    <row r="547" ht="15.75" customHeight="1" s="195"/>
    <row r="548" ht="15.75" customHeight="1" s="195"/>
    <row r="549" ht="15.75" customHeight="1" s="195"/>
    <row r="550" ht="15.75" customHeight="1" s="195"/>
    <row r="551" ht="15.75" customHeight="1" s="195"/>
    <row r="552" ht="15.75" customHeight="1" s="195"/>
    <row r="553" ht="15.75" customHeight="1" s="195"/>
    <row r="554" ht="15.75" customHeight="1" s="195"/>
    <row r="555" ht="15.75" customHeight="1" s="195"/>
    <row r="556" ht="15.75" customHeight="1" s="195"/>
    <row r="557" ht="15.75" customHeight="1" s="195"/>
    <row r="558" ht="15.75" customHeight="1" s="195"/>
    <row r="559" ht="15.75" customHeight="1" s="195"/>
    <row r="560" ht="15.75" customHeight="1" s="195"/>
    <row r="561" ht="15.75" customHeight="1" s="195"/>
    <row r="562" ht="15.75" customHeight="1" s="195"/>
    <row r="563" ht="15.75" customHeight="1" s="195"/>
    <row r="564" ht="15.75" customHeight="1" s="195"/>
    <row r="565" ht="15.75" customHeight="1" s="195"/>
    <row r="566" ht="15.75" customHeight="1" s="195"/>
    <row r="567" ht="15.75" customHeight="1" s="195"/>
    <row r="568" ht="15.75" customHeight="1" s="195"/>
    <row r="569" ht="15.75" customHeight="1" s="195"/>
    <row r="570" ht="15.75" customHeight="1" s="195"/>
    <row r="571" ht="15.75" customHeight="1" s="195"/>
    <row r="572" ht="15.75" customHeight="1" s="195"/>
    <row r="573" ht="15.75" customHeight="1" s="195"/>
    <row r="574" ht="15.75" customHeight="1" s="195"/>
    <row r="575" ht="15.75" customHeight="1" s="195"/>
    <row r="576" ht="15.75" customHeight="1" s="195"/>
    <row r="577" ht="15.75" customHeight="1" s="195"/>
    <row r="578" ht="15.75" customHeight="1" s="195"/>
    <row r="579" ht="15.75" customHeight="1" s="195"/>
    <row r="580" ht="15.75" customHeight="1" s="195"/>
    <row r="581" ht="15.75" customHeight="1" s="195"/>
    <row r="582" ht="15.75" customHeight="1" s="195"/>
    <row r="583" ht="15.75" customHeight="1" s="195"/>
    <row r="584" ht="15.75" customHeight="1" s="195"/>
    <row r="585" ht="15.75" customHeight="1" s="195"/>
    <row r="586" ht="15.75" customHeight="1" s="195"/>
    <row r="587" ht="15.75" customHeight="1" s="195"/>
    <row r="588" ht="15.75" customHeight="1" s="195"/>
    <row r="589" ht="15.75" customHeight="1" s="195"/>
    <row r="590" ht="15.75" customHeight="1" s="195"/>
    <row r="591" ht="15.75" customHeight="1" s="195"/>
    <row r="592" ht="15.75" customHeight="1" s="195"/>
    <row r="593" ht="15.75" customHeight="1" s="195"/>
    <row r="594" ht="15.75" customHeight="1" s="195"/>
    <row r="595" ht="15.75" customHeight="1" s="195"/>
    <row r="596" ht="15.75" customHeight="1" s="195"/>
    <row r="597" ht="15.75" customHeight="1" s="195"/>
    <row r="598" ht="15.75" customHeight="1" s="195"/>
    <row r="599" ht="15.75" customHeight="1" s="195"/>
    <row r="600" ht="15.75" customHeight="1" s="195"/>
    <row r="601" ht="15.75" customHeight="1" s="195"/>
    <row r="602" ht="15.75" customHeight="1" s="195"/>
    <row r="603" ht="15.75" customHeight="1" s="195"/>
    <row r="604" ht="15.75" customHeight="1" s="195"/>
    <row r="605" ht="15.75" customHeight="1" s="195"/>
    <row r="606" ht="15.75" customHeight="1" s="195"/>
    <row r="607" ht="15.75" customHeight="1" s="195"/>
    <row r="608" ht="15.75" customHeight="1" s="195"/>
    <row r="609" ht="15.75" customHeight="1" s="195"/>
    <row r="610" ht="15.75" customHeight="1" s="195"/>
    <row r="611" ht="15.75" customHeight="1" s="195"/>
    <row r="612" ht="15.75" customHeight="1" s="195"/>
    <row r="613" ht="15.75" customHeight="1" s="195"/>
    <row r="614" ht="15.75" customHeight="1" s="195"/>
    <row r="615" ht="15.75" customHeight="1" s="195"/>
    <row r="616" ht="15.75" customHeight="1" s="195"/>
    <row r="617" ht="15.75" customHeight="1" s="195"/>
    <row r="618" ht="15.75" customHeight="1" s="195"/>
    <row r="619" ht="15.75" customHeight="1" s="195"/>
    <row r="620" ht="15.75" customHeight="1" s="195"/>
    <row r="621" ht="15.75" customHeight="1" s="195"/>
    <row r="622" ht="15.75" customHeight="1" s="195"/>
    <row r="623" ht="15.75" customHeight="1" s="195"/>
    <row r="624" ht="15.75" customHeight="1" s="195"/>
    <row r="625" ht="15.75" customHeight="1" s="195"/>
    <row r="626" ht="15.75" customHeight="1" s="195"/>
    <row r="627" ht="15.75" customHeight="1" s="195"/>
    <row r="628" ht="15.75" customHeight="1" s="195"/>
    <row r="629" ht="15.75" customHeight="1" s="195"/>
    <row r="630" ht="15.75" customHeight="1" s="195"/>
    <row r="631" ht="15.75" customHeight="1" s="195"/>
    <row r="632" ht="15.75" customHeight="1" s="195"/>
    <row r="633" ht="15.75" customHeight="1" s="195"/>
    <row r="634" ht="15.75" customHeight="1" s="195"/>
    <row r="635" ht="15.75" customHeight="1" s="195"/>
    <row r="636" ht="15.75" customHeight="1" s="195"/>
    <row r="637" ht="15.75" customHeight="1" s="195"/>
    <row r="638" ht="15.75" customHeight="1" s="195"/>
    <row r="639" ht="15.75" customHeight="1" s="195"/>
    <row r="640" ht="15.75" customHeight="1" s="195"/>
    <row r="641" ht="15.75" customHeight="1" s="195"/>
    <row r="642" ht="15.75" customHeight="1" s="195"/>
    <row r="643" ht="15.75" customHeight="1" s="195"/>
    <row r="644" ht="15.75" customHeight="1" s="195"/>
    <row r="645" ht="15.75" customHeight="1" s="195"/>
    <row r="646" ht="15.75" customHeight="1" s="195"/>
    <row r="647" ht="15.75" customHeight="1" s="195"/>
    <row r="648" ht="15.75" customHeight="1" s="195"/>
    <row r="649" ht="15.75" customHeight="1" s="195"/>
    <row r="650" ht="15.75" customHeight="1" s="195"/>
    <row r="651" ht="15.75" customHeight="1" s="195"/>
    <row r="652" ht="15.75" customHeight="1" s="195"/>
    <row r="653" ht="15.75" customHeight="1" s="195"/>
    <row r="654" ht="15.75" customHeight="1" s="195"/>
    <row r="655" ht="15.75" customHeight="1" s="195"/>
    <row r="656" ht="15.75" customHeight="1" s="195"/>
    <row r="657" ht="15.75" customHeight="1" s="195"/>
    <row r="658" ht="15.75" customHeight="1" s="195"/>
    <row r="659" ht="15.75" customHeight="1" s="195"/>
    <row r="660" ht="15.75" customHeight="1" s="195"/>
    <row r="661" ht="15.75" customHeight="1" s="195"/>
    <row r="662" ht="15.75" customHeight="1" s="195"/>
    <row r="663" ht="15.75" customHeight="1" s="195"/>
    <row r="664" ht="15.75" customHeight="1" s="195"/>
    <row r="665" ht="15.75" customHeight="1" s="195"/>
    <row r="666" ht="15.75" customHeight="1" s="195"/>
    <row r="667" ht="15.75" customHeight="1" s="195"/>
    <row r="668" ht="15.75" customHeight="1" s="195"/>
    <row r="669" ht="15.75" customHeight="1" s="195"/>
    <row r="670" ht="15.75" customHeight="1" s="195"/>
    <row r="671" ht="15.75" customHeight="1" s="195"/>
    <row r="672" ht="15.75" customHeight="1" s="195"/>
    <row r="673" ht="15.75" customHeight="1" s="195"/>
    <row r="674" ht="15.75" customHeight="1" s="195"/>
    <row r="675" ht="15.75" customHeight="1" s="195"/>
    <row r="676" ht="15.75" customHeight="1" s="195"/>
    <row r="677" ht="15.75" customHeight="1" s="195"/>
    <row r="678" ht="15.75" customHeight="1" s="195"/>
    <row r="679" ht="15.75" customHeight="1" s="195"/>
    <row r="680" ht="15.75" customHeight="1" s="195"/>
    <row r="681" ht="15.75" customHeight="1" s="195"/>
    <row r="682" ht="15.75" customHeight="1" s="195"/>
    <row r="683" ht="15.75" customHeight="1" s="195"/>
    <row r="684" ht="15.75" customHeight="1" s="195"/>
    <row r="685" ht="15.75" customHeight="1" s="195"/>
    <row r="686" ht="15.75" customHeight="1" s="195"/>
    <row r="687" ht="15.75" customHeight="1" s="195"/>
    <row r="688" ht="15.75" customHeight="1" s="195"/>
    <row r="689" ht="15.75" customHeight="1" s="195"/>
    <row r="690" ht="15.75" customHeight="1" s="195"/>
    <row r="691" ht="15.75" customHeight="1" s="195"/>
    <row r="692" ht="15.75" customHeight="1" s="195"/>
    <row r="693" ht="15.75" customHeight="1" s="195"/>
    <row r="694" ht="15.75" customHeight="1" s="195"/>
    <row r="695" ht="15.75" customHeight="1" s="195"/>
    <row r="696" ht="15.75" customHeight="1" s="195"/>
    <row r="697" ht="15.75" customHeight="1" s="195"/>
    <row r="698" ht="15.75" customHeight="1" s="195"/>
    <row r="699" ht="15.75" customHeight="1" s="195"/>
    <row r="700" ht="15.75" customHeight="1" s="195"/>
    <row r="701" ht="15.75" customHeight="1" s="195"/>
    <row r="702" ht="15.75" customHeight="1" s="195"/>
    <row r="703" ht="15.75" customHeight="1" s="195"/>
    <row r="704" ht="15.75" customHeight="1" s="195"/>
    <row r="705" ht="15.75" customHeight="1" s="195"/>
    <row r="706" ht="15.75" customHeight="1" s="195"/>
    <row r="707" ht="15.75" customHeight="1" s="195"/>
    <row r="708" ht="15.75" customHeight="1" s="195"/>
    <row r="709" ht="15.75" customHeight="1" s="195"/>
    <row r="710" ht="15.75" customHeight="1" s="195"/>
    <row r="711" ht="15.75" customHeight="1" s="195"/>
    <row r="712" ht="15.75" customHeight="1" s="195"/>
    <row r="713" ht="15.75" customHeight="1" s="195"/>
    <row r="714" ht="15.75" customHeight="1" s="195"/>
    <row r="715" ht="15.75" customHeight="1" s="195"/>
    <row r="716" ht="15.75" customHeight="1" s="195"/>
    <row r="717" ht="15.75" customHeight="1" s="195"/>
    <row r="718" ht="15.75" customHeight="1" s="195"/>
    <row r="719" ht="15.75" customHeight="1" s="195"/>
    <row r="720" ht="15.75" customHeight="1" s="195"/>
    <row r="721" ht="15.75" customHeight="1" s="195"/>
    <row r="722" ht="15.75" customHeight="1" s="195"/>
    <row r="723" ht="15.75" customHeight="1" s="195"/>
    <row r="724" ht="15.75" customHeight="1" s="195"/>
    <row r="725" ht="15.75" customHeight="1" s="195"/>
    <row r="726" ht="15.75" customHeight="1" s="195"/>
    <row r="727" ht="15.75" customHeight="1" s="195"/>
    <row r="728" ht="15.75" customHeight="1" s="195"/>
    <row r="729" ht="15.75" customHeight="1" s="195"/>
    <row r="730" ht="15.75" customHeight="1" s="195"/>
    <row r="731" ht="15.75" customHeight="1" s="195"/>
    <row r="732" ht="15.75" customHeight="1" s="195"/>
    <row r="733" ht="15.75" customHeight="1" s="195"/>
    <row r="734" ht="15.75" customHeight="1" s="195"/>
    <row r="735" ht="15.75" customHeight="1" s="195"/>
    <row r="736" ht="15.75" customHeight="1" s="195"/>
    <row r="737" ht="15.75" customHeight="1" s="195"/>
    <row r="738" ht="15.75" customHeight="1" s="195"/>
    <row r="739" ht="15.75" customHeight="1" s="195"/>
    <row r="740" ht="15.75" customHeight="1" s="195"/>
    <row r="741" ht="15.75" customHeight="1" s="195"/>
    <row r="742" ht="15.75" customHeight="1" s="195"/>
    <row r="743" ht="15.75" customHeight="1" s="195"/>
    <row r="744" ht="15.75" customHeight="1" s="195"/>
    <row r="745" ht="15.75" customHeight="1" s="195"/>
    <row r="746" ht="15.75" customHeight="1" s="195"/>
    <row r="747" ht="15.75" customHeight="1" s="195"/>
    <row r="748" ht="15.75" customHeight="1" s="195"/>
    <row r="749" ht="15.75" customHeight="1" s="195"/>
    <row r="750" ht="15.75" customHeight="1" s="195"/>
    <row r="751" ht="15.75" customHeight="1" s="195"/>
    <row r="752" ht="15.75" customHeight="1" s="195"/>
    <row r="753" ht="15.75" customHeight="1" s="195"/>
    <row r="754" ht="15.75" customHeight="1" s="195"/>
    <row r="755" ht="15.75" customHeight="1" s="195"/>
    <row r="756" ht="15.75" customHeight="1" s="195"/>
    <row r="757" ht="15.75" customHeight="1" s="195"/>
    <row r="758" ht="15.75" customHeight="1" s="195"/>
    <row r="759" ht="15.75" customHeight="1" s="195"/>
    <row r="760" ht="15.75" customHeight="1" s="195"/>
    <row r="761" ht="15.75" customHeight="1" s="195"/>
    <row r="762" ht="15.75" customHeight="1" s="195"/>
    <row r="763" ht="15.75" customHeight="1" s="195"/>
    <row r="764" ht="15.75" customHeight="1" s="195"/>
    <row r="765" ht="15.75" customHeight="1" s="195"/>
    <row r="766" ht="15.75" customHeight="1" s="195"/>
    <row r="767" ht="15.75" customHeight="1" s="195"/>
    <row r="768" ht="15.75" customHeight="1" s="195"/>
    <row r="769" ht="15.75" customHeight="1" s="195"/>
    <row r="770" ht="15.75" customHeight="1" s="195"/>
    <row r="771" ht="15.75" customHeight="1" s="195"/>
    <row r="772" ht="15.75" customHeight="1" s="195"/>
    <row r="773" ht="15.75" customHeight="1" s="195"/>
    <row r="774" ht="15.75" customHeight="1" s="195"/>
    <row r="775" ht="15.75" customHeight="1" s="195"/>
    <row r="776" ht="15.75" customHeight="1" s="195"/>
    <row r="777" ht="15.75" customHeight="1" s="195"/>
    <row r="778" ht="15.75" customHeight="1" s="195"/>
    <row r="779" ht="15.75" customHeight="1" s="195"/>
    <row r="780" ht="15.75" customHeight="1" s="195"/>
    <row r="781" ht="15.75" customHeight="1" s="195"/>
    <row r="782" ht="15.75" customHeight="1" s="195"/>
    <row r="783" ht="15.75" customHeight="1" s="195"/>
    <row r="784" ht="15.75" customHeight="1" s="195"/>
    <row r="785" ht="15.75" customHeight="1" s="195"/>
    <row r="786" ht="15.75" customHeight="1" s="195"/>
    <row r="787" ht="15.75" customHeight="1" s="195"/>
    <row r="788" ht="15.75" customHeight="1" s="195"/>
    <row r="789" ht="15.75" customHeight="1" s="195"/>
    <row r="790" ht="15.75" customHeight="1" s="195"/>
    <row r="791" ht="15.75" customHeight="1" s="195"/>
    <row r="792" ht="15.75" customHeight="1" s="195"/>
    <row r="793" ht="15.75" customHeight="1" s="195"/>
    <row r="794" ht="15.75" customHeight="1" s="195"/>
    <row r="795" ht="15.75" customHeight="1" s="195"/>
    <row r="796" ht="15.75" customHeight="1" s="195"/>
    <row r="797" ht="15.75" customHeight="1" s="195"/>
    <row r="798" ht="15.75" customHeight="1" s="195"/>
    <row r="799" ht="15.75" customHeight="1" s="195"/>
    <row r="800" ht="15.75" customHeight="1" s="195"/>
    <row r="801" ht="15.75" customHeight="1" s="195"/>
    <row r="802" ht="15.75" customHeight="1" s="195"/>
    <row r="803" ht="15.75" customHeight="1" s="195"/>
    <row r="804" ht="15.75" customHeight="1" s="195"/>
    <row r="805" ht="15.75" customHeight="1" s="195"/>
    <row r="806" ht="15.75" customHeight="1" s="195"/>
    <row r="807" ht="15.75" customHeight="1" s="195"/>
    <row r="808" ht="15.75" customHeight="1" s="195"/>
    <row r="809" ht="15.75" customHeight="1" s="195"/>
    <row r="810" ht="15.75" customHeight="1" s="195"/>
    <row r="811" ht="15.75" customHeight="1" s="195"/>
    <row r="812" ht="15.75" customHeight="1" s="195"/>
    <row r="813" ht="15.75" customHeight="1" s="195"/>
    <row r="814" ht="15.75" customHeight="1" s="195"/>
    <row r="815" ht="15.75" customHeight="1" s="195"/>
    <row r="816" ht="15.75" customHeight="1" s="195"/>
    <row r="817" ht="15.75" customHeight="1" s="195"/>
    <row r="818" ht="15.75" customHeight="1" s="195"/>
    <row r="819" ht="15.75" customHeight="1" s="195"/>
    <row r="820" ht="15.75" customHeight="1" s="195"/>
    <row r="821" ht="15.75" customHeight="1" s="195"/>
    <row r="822" ht="15.75" customHeight="1" s="195"/>
    <row r="823" ht="15.75" customHeight="1" s="195"/>
    <row r="824" ht="15.75" customHeight="1" s="195"/>
    <row r="825" ht="15.75" customHeight="1" s="195"/>
    <row r="826" ht="15.75" customHeight="1" s="195"/>
    <row r="827" ht="15.75" customHeight="1" s="195"/>
    <row r="828" ht="15.75" customHeight="1" s="195"/>
    <row r="829" ht="15.75" customHeight="1" s="195"/>
    <row r="830" ht="15.75" customHeight="1" s="195"/>
    <row r="831" ht="15.75" customHeight="1" s="195"/>
    <row r="832" ht="15.75" customHeight="1" s="195"/>
    <row r="833" ht="15.75" customHeight="1" s="195"/>
    <row r="834" ht="15.75" customHeight="1" s="195"/>
    <row r="835" ht="15.75" customHeight="1" s="195"/>
    <row r="836" ht="15.75" customHeight="1" s="195"/>
    <row r="837" ht="15.75" customHeight="1" s="195"/>
    <row r="838" ht="15.75" customHeight="1" s="195"/>
    <row r="839" ht="15.75" customHeight="1" s="195"/>
    <row r="840" ht="15.75" customHeight="1" s="195"/>
    <row r="841" ht="15.75" customHeight="1" s="195"/>
    <row r="842" ht="15.75" customHeight="1" s="195"/>
    <row r="843" ht="15.75" customHeight="1" s="195"/>
    <row r="844" ht="15.75" customHeight="1" s="195"/>
    <row r="845" ht="15.75" customHeight="1" s="195"/>
    <row r="846" ht="15.75" customHeight="1" s="195"/>
    <row r="847" ht="15.75" customHeight="1" s="195"/>
    <row r="848" ht="15.75" customHeight="1" s="195"/>
    <row r="849" ht="15.75" customHeight="1" s="195"/>
    <row r="850" ht="15.75" customHeight="1" s="195"/>
    <row r="851" ht="15.75" customHeight="1" s="195"/>
    <row r="852" ht="15.75" customHeight="1" s="195"/>
    <row r="853" ht="15.75" customHeight="1" s="195"/>
    <row r="854" ht="15.75" customHeight="1" s="195"/>
    <row r="855" ht="15.75" customHeight="1" s="195"/>
    <row r="856" ht="15.75" customHeight="1" s="195"/>
    <row r="857" ht="15.75" customHeight="1" s="195"/>
    <row r="858" ht="15.75" customHeight="1" s="195"/>
    <row r="859" ht="15.75" customHeight="1" s="195"/>
    <row r="860" ht="15.75" customHeight="1" s="195"/>
    <row r="861" ht="15.75" customHeight="1" s="195"/>
    <row r="862" ht="15.75" customHeight="1" s="195"/>
    <row r="863" ht="15.75" customHeight="1" s="195"/>
    <row r="864" ht="15.75" customHeight="1" s="195"/>
    <row r="865" ht="15.75" customHeight="1" s="195"/>
    <row r="866" ht="15.75" customHeight="1" s="195"/>
    <row r="867" ht="15.75" customHeight="1" s="195"/>
    <row r="868" ht="15.75" customHeight="1" s="195"/>
    <row r="869" ht="15.75" customHeight="1" s="195"/>
    <row r="870" ht="15.75" customHeight="1" s="195"/>
    <row r="871" ht="15.75" customHeight="1" s="195"/>
    <row r="872" ht="15.75" customHeight="1" s="195"/>
    <row r="873" ht="15.75" customHeight="1" s="195"/>
    <row r="874" ht="15.75" customHeight="1" s="195"/>
    <row r="875" ht="15.75" customHeight="1" s="195"/>
    <row r="876" ht="15.75" customHeight="1" s="195"/>
    <row r="877" ht="15.75" customHeight="1" s="195"/>
    <row r="878" ht="15.75" customHeight="1" s="195"/>
    <row r="879" ht="15.75" customHeight="1" s="195"/>
    <row r="880" ht="15.75" customHeight="1" s="195"/>
    <row r="881" ht="15.75" customHeight="1" s="195"/>
    <row r="882" ht="15.75" customHeight="1" s="195"/>
    <row r="883" ht="15.75" customHeight="1" s="195"/>
    <row r="884" ht="15.75" customHeight="1" s="195"/>
    <row r="885" ht="15.75" customHeight="1" s="195"/>
    <row r="886" ht="15.75" customHeight="1" s="195"/>
    <row r="887" ht="15.75" customHeight="1" s="195"/>
    <row r="888" ht="15.75" customHeight="1" s="195"/>
    <row r="889" ht="15.75" customHeight="1" s="195"/>
    <row r="890" ht="15.75" customHeight="1" s="195"/>
    <row r="891" ht="15.75" customHeight="1" s="195"/>
    <row r="892" ht="15.75" customHeight="1" s="195"/>
    <row r="893" ht="15.75" customHeight="1" s="195"/>
    <row r="894" ht="15.75" customHeight="1" s="195"/>
    <row r="895" ht="15.75" customHeight="1" s="195"/>
    <row r="896" ht="15.75" customHeight="1" s="195"/>
    <row r="897" ht="15.75" customHeight="1" s="195"/>
    <row r="898" ht="15.75" customHeight="1" s="195"/>
    <row r="899" ht="15.75" customHeight="1" s="195"/>
    <row r="900" ht="15.75" customHeight="1" s="195"/>
    <row r="901" ht="15.75" customHeight="1" s="195"/>
    <row r="902" ht="15.75" customHeight="1" s="195"/>
    <row r="903" ht="15.75" customHeight="1" s="195"/>
    <row r="904" ht="15.75" customHeight="1" s="195"/>
    <row r="905" ht="15.75" customHeight="1" s="195"/>
    <row r="906" ht="15.75" customHeight="1" s="195"/>
    <row r="907" ht="15.75" customHeight="1" s="195"/>
    <row r="908" ht="15.75" customHeight="1" s="195"/>
    <row r="909" ht="15.75" customHeight="1" s="195"/>
    <row r="910" ht="15.75" customHeight="1" s="195"/>
    <row r="911" ht="15.75" customHeight="1" s="195"/>
    <row r="912" ht="15.75" customHeight="1" s="195"/>
    <row r="913" ht="15.75" customHeight="1" s="195"/>
    <row r="914" ht="15.75" customHeight="1" s="195"/>
    <row r="915" ht="15.75" customHeight="1" s="195"/>
    <row r="916" ht="15.75" customHeight="1" s="195"/>
    <row r="917" ht="15.75" customHeight="1" s="195"/>
    <row r="918" ht="15.75" customHeight="1" s="195"/>
    <row r="919" ht="15.75" customHeight="1" s="195"/>
    <row r="920" ht="15.75" customHeight="1" s="195"/>
    <row r="921" ht="15.75" customHeight="1" s="195"/>
    <row r="922" ht="15.75" customHeight="1" s="195"/>
    <row r="923" ht="15.75" customHeight="1" s="195"/>
    <row r="924" ht="15.75" customHeight="1" s="195"/>
    <row r="925" ht="15.75" customHeight="1" s="195"/>
    <row r="926" ht="15.75" customHeight="1" s="195"/>
    <row r="927" ht="15.75" customHeight="1" s="195"/>
    <row r="928" ht="15.75" customHeight="1" s="195"/>
    <row r="929" ht="15.75" customHeight="1" s="195"/>
    <row r="930" ht="15.75" customHeight="1" s="195"/>
    <row r="931" ht="15.75" customHeight="1" s="195"/>
    <row r="932" ht="15.75" customHeight="1" s="195"/>
    <row r="933" ht="15.75" customHeight="1" s="195"/>
    <row r="934" ht="15.75" customHeight="1" s="195"/>
    <row r="935" ht="15.75" customHeight="1" s="195"/>
    <row r="936" ht="15.75" customHeight="1" s="195"/>
    <row r="937" ht="15.75" customHeight="1" s="195"/>
    <row r="938" ht="15.75" customHeight="1" s="195"/>
    <row r="939" ht="15.75" customHeight="1" s="195"/>
    <row r="940" ht="15.75" customHeight="1" s="195"/>
    <row r="941" ht="15.75" customHeight="1" s="195"/>
    <row r="942" ht="15.75" customHeight="1" s="195"/>
    <row r="943" ht="15.75" customHeight="1" s="195"/>
    <row r="944" ht="15.75" customHeight="1" s="195"/>
    <row r="945" ht="15.75" customHeight="1" s="195"/>
    <row r="946" ht="15.75" customHeight="1" s="195"/>
    <row r="947" ht="15.75" customHeight="1" s="195"/>
    <row r="948" ht="15.75" customHeight="1" s="195"/>
    <row r="949" ht="15.75" customHeight="1" s="195"/>
    <row r="950" ht="15.75" customHeight="1" s="195"/>
    <row r="951" ht="15.75" customHeight="1" s="195"/>
    <row r="952" ht="15.75" customHeight="1" s="195"/>
    <row r="953" ht="15.75" customHeight="1" s="195"/>
    <row r="954" ht="15.75" customHeight="1" s="195"/>
    <row r="955" ht="15.75" customHeight="1" s="195"/>
    <row r="956" ht="15.75" customHeight="1" s="195"/>
    <row r="957" ht="15.75" customHeight="1" s="195"/>
    <row r="958" ht="15.75" customHeight="1" s="195"/>
    <row r="959" ht="15.75" customHeight="1" s="195"/>
    <row r="960" ht="15.75" customHeight="1" s="195"/>
    <row r="961" ht="15.75" customHeight="1" s="195"/>
    <row r="962" ht="15.75" customHeight="1" s="195"/>
    <row r="963" ht="15.75" customHeight="1" s="195"/>
    <row r="964" ht="15.75" customHeight="1" s="195"/>
    <row r="965" ht="15.75" customHeight="1" s="195"/>
    <row r="966" ht="15.75" customHeight="1" s="195"/>
    <row r="967" ht="15.75" customHeight="1" s="195"/>
    <row r="968" ht="15.75" customHeight="1" s="195"/>
    <row r="969" ht="15.75" customHeight="1" s="195"/>
    <row r="970" ht="15.75" customHeight="1" s="195"/>
    <row r="971" ht="15.75" customHeight="1" s="195"/>
    <row r="972" ht="15.75" customHeight="1" s="195"/>
    <row r="973" ht="15.75" customHeight="1" s="195"/>
    <row r="974" ht="15.75" customHeight="1" s="195"/>
    <row r="975" ht="15.75" customHeight="1" s="195"/>
    <row r="976" ht="15.75" customHeight="1" s="195"/>
    <row r="977" ht="15.75" customHeight="1" s="195"/>
    <row r="978" ht="15.75" customHeight="1" s="195"/>
    <row r="979" ht="15.75" customHeight="1" s="195"/>
    <row r="980" ht="15.75" customHeight="1" s="195"/>
    <row r="981" ht="15.75" customHeight="1" s="195"/>
    <row r="982" ht="15.75" customHeight="1" s="195"/>
    <row r="983" ht="15.75" customHeight="1" s="195"/>
    <row r="984" ht="15.75" customHeight="1" s="195"/>
    <row r="985" ht="15.75" customHeight="1" s="195"/>
    <row r="986" ht="15.75" customHeight="1" s="195"/>
    <row r="987" ht="15.75" customHeight="1" s="195"/>
    <row r="988" ht="15.75" customHeight="1" s="195"/>
    <row r="989" ht="15.75" customHeight="1" s="195"/>
    <row r="990" ht="15.75" customHeight="1" s="195"/>
    <row r="991" ht="15.75" customHeight="1" s="195"/>
    <row r="992" ht="15.75" customHeight="1" s="195"/>
    <row r="993" ht="15.75" customHeight="1" s="195"/>
    <row r="994" ht="15.75" customHeight="1" s="195"/>
    <row r="995" ht="15.75" customHeight="1" s="195"/>
    <row r="996" ht="15.75" customHeight="1" s="195"/>
    <row r="997" ht="15.75" customHeight="1" s="195"/>
    <row r="998" ht="15.75" customHeight="1" s="195"/>
    <row r="999" ht="15.75" customHeight="1" s="195"/>
    <row r="1000" ht="15.75" customHeight="1" s="195"/>
  </sheetData>
  <mergeCells count="13">
    <mergeCell ref="D2:F2"/>
    <mergeCell ref="G2:I2"/>
    <mergeCell ref="S2:T2"/>
    <mergeCell ref="J2:L2"/>
    <mergeCell ref="A506:G506"/>
    <mergeCell ref="U2:V2"/>
    <mergeCell ref="P2:R2"/>
    <mergeCell ref="A106:J106"/>
    <mergeCell ref="A1:Y1"/>
    <mergeCell ref="W2:AC2"/>
    <mergeCell ref="A4:Y4"/>
    <mergeCell ref="M2:O2"/>
    <mergeCell ref="A2:C2"/>
  </mergeCells>
  <conditionalFormatting sqref="T6:T505">
    <cfRule type="expression" rank="0" priority="2" equalAverage="0" aboveAverage="0" dxfId="0" text="" percent="0" bottom="0">
      <formula>EXACT(T6,"APROBADO")</formula>
    </cfRule>
    <cfRule type="expression" rank="0" priority="3" equalAverage="0" aboveAverage="0" dxfId="7" text="" percent="0" bottom="0">
      <formula>EXACT(T6,"PENDIENTE")</formula>
    </cfRule>
    <cfRule type="expression" rank="0" priority="4" equalAverage="0" aboveAverage="0" dxfId="0" text="" percent="0" bottom="0">
      <formula>EXACT(T6,"APROBADO")</formula>
    </cfRule>
    <cfRule type="expression" rank="0" priority="5" equalAverage="0" aboveAverage="0" dxfId="7" text="" percent="0" bottom="0">
      <formula>EXACT(T6,"OBSERVADO")</formula>
    </cfRule>
  </conditionalFormatting>
  <conditionalFormatting sqref="K6:K505">
    <cfRule type="expression" rank="0" priority="6" equalAverage="0" aboveAverage="0" dxfId="8" text="" percent="0" bottom="0">
      <formula>EXACT(K6,"GASOLINA")</formula>
    </cfRule>
  </conditionalFormatting>
  <conditionalFormatting sqref="Z6:Z505">
    <cfRule type="expression" rank="0" priority="7" equalAverage="0" aboveAverage="0" dxfId="0" text="" percent="0" bottom="0">
      <formula>EXACT(Z6,"COMPLETADO")</formula>
    </cfRule>
    <cfRule type="expression" rank="0" priority="8" equalAverage="0" aboveAverage="0" dxfId="7" text="" percent="0" bottom="0">
      <formula>EXACT(Z6,"OBSERVADO")</formula>
    </cfRule>
  </conditionalFormatting>
  <conditionalFormatting sqref="Y6:Y110">
    <cfRule type="expression" rank="0" priority="9" equalAverage="0" aboveAverage="0" dxfId="9" text="" percent="0" bottom="0">
      <formula>Y6&lt;&gt;""</formula>
    </cfRule>
  </conditionalFormatting>
  <conditionalFormatting sqref="Z6:Z110">
    <cfRule type="expression" rank="0" priority="10" equalAverage="0" aboveAverage="0" dxfId="0" text="" percent="0" bottom="0">
      <formula>Z6="ENTREGADO"</formula>
    </cfRule>
    <cfRule type="expression" rank="0" priority="11" equalAverage="0" aboveAverage="0" dxfId="7" text="" percent="0" bottom="0">
      <formula>Z6="POR RECOGER"</formula>
    </cfRule>
  </conditionalFormatting>
  <dataValidations count="4">
    <dataValidation sqref="Y6:Y110" showDropDown="0" showInputMessage="0" showErrorMessage="0" allowBlank="1" type="list" errorStyle="stop" operator="between">
      <formula1>CONDUCTORES!$H$3:$H$104</formula1>
      <formula2>0</formula2>
    </dataValidation>
    <dataValidation sqref="K6:K505" showDropDown="0" showInputMessage="0" showErrorMessage="0" allowBlank="1" type="list" errorStyle="stop" operator="between">
      <formula1>"PETROLEO,GASOLINA"</formula1>
      <formula2>0</formula2>
    </dataValidation>
    <dataValidation sqref="E6:E105 E107:E505" showDropDown="0" showInputMessage="0" showErrorMessage="0" allowBlank="1" type="list" errorStyle="stop" operator="between">
      <formula1>"DNI,CE,PASAPORTE"</formula1>
      <formula2>0</formula2>
    </dataValidation>
    <dataValidation sqref="T6:T505" showDropDown="0" showInputMessage="1" showErrorMessage="1" allowBlank="1" prompt="Valor no válido - Solo se permite: APROBADO u OBSERVADO" type="list" errorStyle="stop" operator="between">
      <formula1>"APROBADO,OBSERVADO"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C5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14.43359375" defaultRowHeight="15" zeroHeight="0" outlineLevelRow="0"/>
  <cols>
    <col width="5" customWidth="1" style="194" min="1" max="1"/>
    <col width="14" customWidth="1" style="194" min="2" max="2"/>
    <col width="8" customWidth="1" style="194" min="3" max="3"/>
    <col width="28" customWidth="1" style="194" min="4" max="4"/>
    <col width="7" customWidth="1" style="194" min="5" max="5"/>
    <col width="14" customWidth="1" style="194" min="6" max="6"/>
    <col width="12" customWidth="1" style="194" min="7" max="7"/>
    <col width="10" customWidth="1" style="194" min="8" max="8"/>
    <col width="30" customWidth="1" style="194" min="9" max="9"/>
    <col width="10" customWidth="1" style="194" min="10" max="10"/>
    <col width="12" customWidth="1" style="194" min="11" max="11"/>
    <col width="10" customWidth="1" style="194" min="12" max="13"/>
    <col width="14" customWidth="1" style="194" min="14" max="15"/>
    <col width="28" customWidth="1" style="194" min="16" max="16"/>
    <col width="12" customWidth="1" style="194" min="17" max="18"/>
    <col width="16" customWidth="1" style="194" min="19" max="19"/>
    <col width="12" customWidth="1" style="194" min="20" max="21"/>
    <col width="14" customWidth="1" style="194" min="22" max="23"/>
    <col width="8" customWidth="1" style="194" min="24" max="24"/>
    <col width="22" customWidth="1" style="194" min="25" max="25"/>
    <col width="14" customWidth="1" style="194" min="26" max="26"/>
    <col width="8.710000000000001" customWidth="1" style="194" min="27" max="29"/>
  </cols>
  <sheetData>
    <row r="1" ht="27.75" customHeight="1" s="195">
      <c r="A1" s="317" t="inlineStr">
        <is>
          <t>REPORTE DE TRASLADO DE PACIENTES SIS DEL MES DE MARZO 2026 PARA REPOSICION DE COMBUSTIBLE</t>
        </is>
      </c>
    </row>
    <row r="2" ht="21.75" customHeight="1" s="195">
      <c r="A2" s="318" t="inlineStr">
        <is>
          <t>TOTAL PETROLEO (gal):</t>
        </is>
      </c>
      <c r="D2" s="319">
        <f>IFERROR(SUMPRODUCT((K6:K99="PETROLEO")*ISNUMBER(M6:M99)*M6:M99),0)</f>
        <v/>
      </c>
      <c r="G2" s="318" t="inlineStr">
        <is>
          <t>TOTAL GASOLINA (gal):</t>
        </is>
      </c>
      <c r="J2" s="319">
        <f>IFERROR(SUMPRODUCT((K6:K99="GASOLINA")*ISNUMBER(M6:M99)*M6:M99),0)</f>
        <v/>
      </c>
      <c r="M2" s="318" t="inlineStr">
        <is>
          <t>TOTAL SOLES S/.:</t>
        </is>
      </c>
      <c r="P2" s="320">
        <f>IFERROR(SUMPRODUCT(ISNUMBER(M6:M99)*L6:L99*M6:M99),0)</f>
        <v/>
      </c>
      <c r="S2" s="318" t="inlineStr">
        <is>
          <t>N TRASLADOS:</t>
        </is>
      </c>
      <c r="U2" s="321">
        <f>SUBTOTAL(2,A6:A99)</f>
        <v/>
      </c>
      <c r="W2" s="322" t="inlineStr">
        <is>
          <t>↑ Al filtrar por EESS los totales cambian automáticamente</t>
        </is>
      </c>
    </row>
    <row r="3" ht="3.75" customHeight="1" s="195">
      <c r="A3" s="323" t="n"/>
      <c r="B3" s="323" t="n"/>
      <c r="C3" s="323" t="n"/>
      <c r="D3" s="323" t="n"/>
      <c r="E3" s="323" t="n"/>
      <c r="F3" s="323" t="n"/>
      <c r="G3" s="323" t="n"/>
      <c r="H3" s="323" t="n"/>
      <c r="I3" s="323" t="n"/>
      <c r="J3" s="323" t="n"/>
      <c r="K3" s="323" t="n"/>
      <c r="L3" s="323" t="n"/>
      <c r="M3" s="323" t="n"/>
      <c r="N3" s="323" t="n"/>
      <c r="O3" s="323" t="n"/>
      <c r="P3" s="323" t="n"/>
      <c r="Q3" s="323" t="n"/>
      <c r="R3" s="323" t="n"/>
      <c r="S3" s="323" t="n"/>
      <c r="T3" s="323" t="n"/>
      <c r="U3" s="323" t="n"/>
      <c r="V3" s="323" t="n"/>
      <c r="W3" s="323" t="n"/>
      <c r="X3" s="323" t="n"/>
      <c r="Y3" s="323" t="n"/>
    </row>
    <row r="4" ht="19.5" customHeight="1" s="195">
      <c r="A4" s="325" t="inlineStr">
        <is>
          <t>COLUMNAS EN AZUL = AUTO (no editar) | Ingrese: N, NRO FORMATO, AFILIADO, TIPO DOC, NRO DOC, FECHA TRASLADO, COD RENAES, COD REFERENCIA, DNI CONDUCTOR, PRECIO GAL, GALONES, FECHA ENTREGA, CIE-10, ESTADO FUA, FECHA DIGITACION, OFICIO, O/C, META, OBSERVACION</t>
        </is>
      </c>
    </row>
    <row r="5" ht="30" customHeight="1" s="195">
      <c r="A5" s="326" t="inlineStr">
        <is>
          <t>N</t>
        </is>
      </c>
      <c r="B5" s="327" t="inlineStr">
        <is>
          <t>NRO FORMATO
ATENCION</t>
        </is>
      </c>
      <c r="C5" s="327" t="inlineStr">
        <is>
          <t>UNIDAD
EJECUTORA</t>
        </is>
      </c>
      <c r="D5" s="327" t="inlineStr">
        <is>
          <t>AFILIADO</t>
        </is>
      </c>
      <c r="E5" s="327" t="inlineStr">
        <is>
          <t>TIPO
DOC</t>
        </is>
      </c>
      <c r="F5" s="327" t="inlineStr">
        <is>
          <t>NRO
DOCUMENTO</t>
        </is>
      </c>
      <c r="G5" s="327" t="inlineStr">
        <is>
          <t>FECHA
TRASLADO</t>
        </is>
      </c>
      <c r="H5" s="327" t="inlineStr">
        <is>
          <t>COD
RENAES</t>
        </is>
      </c>
      <c r="I5" s="328" t="inlineStr">
        <is>
          <t>DESCRIPCION
EESS</t>
        </is>
      </c>
      <c r="J5" s="327" t="inlineStr">
        <is>
          <t>COD EESS
REFERENCIA</t>
        </is>
      </c>
      <c r="K5" s="328" t="inlineStr">
        <is>
          <t>TIPO DE
COMBUSTIBLE</t>
        </is>
      </c>
      <c r="L5" s="327" t="inlineStr">
        <is>
          <t>PRECIO
GAL S/.</t>
        </is>
      </c>
      <c r="M5" s="327" t="inlineStr">
        <is>
          <t>GALONES</t>
        </is>
      </c>
      <c r="N5" s="328" t="inlineStr">
        <is>
          <t>TOTAL
COMBUSTIBLE S/.</t>
        </is>
      </c>
      <c r="O5" s="327" t="inlineStr">
        <is>
          <t>DNI
CONDUCTOR</t>
        </is>
      </c>
      <c r="P5" s="328" t="inlineStr">
        <is>
          <t>NOMBRE
CONDUCTOR</t>
        </is>
      </c>
      <c r="Q5" s="328" t="inlineStr">
        <is>
          <t>PLACA</t>
        </is>
      </c>
      <c r="R5" s="327" t="inlineStr">
        <is>
          <t>FECHA DE
ENTREGA</t>
        </is>
      </c>
      <c r="S5" s="327" t="inlineStr">
        <is>
          <t>CODIGO DE
DIAGNOSTICO</t>
        </is>
      </c>
      <c r="T5" s="327" t="inlineStr">
        <is>
          <t>ESTADO
FUA</t>
        </is>
      </c>
      <c r="U5" s="327" t="inlineStr">
        <is>
          <t>FECHA
DIGITACION</t>
        </is>
      </c>
      <c r="V5" s="327" t="inlineStr">
        <is>
          <t>OFICIO</t>
        </is>
      </c>
      <c r="W5" s="327" t="inlineStr">
        <is>
          <t>O/C</t>
        </is>
      </c>
      <c r="X5" s="327" t="inlineStr">
        <is>
          <t>META</t>
        </is>
      </c>
      <c r="Y5" s="348" t="inlineStr">
        <is>
          <t>DEVOLVER A
(IPRESS DESTINO)</t>
        </is>
      </c>
      <c r="Z5" s="349" t="inlineStr">
        <is>
          <t>ESTADO
COMPLETADO</t>
        </is>
      </c>
    </row>
    <row r="6" ht="15.75" customHeight="1" s="195">
      <c r="A6" s="301" t="n">
        <v>1</v>
      </c>
      <c r="B6" s="302" t="n"/>
      <c r="C6" s="301" t="inlineStr">
        <is>
          <t>REGION</t>
        </is>
      </c>
      <c r="D6" s="302" t="inlineStr">
        <is>
          <t>LOJA ACOSTA LEILY ADRIANA</t>
        </is>
      </c>
      <c r="E6" s="301" t="inlineStr">
        <is>
          <t>DNI</t>
        </is>
      </c>
      <c r="F6" s="301" t="inlineStr">
        <is>
          <t>61642771</t>
        </is>
      </c>
      <c r="G6" s="331" t="n">
        <v>46082</v>
      </c>
      <c r="H6" s="301" t="inlineStr">
        <is>
          <t>4950</t>
        </is>
      </c>
      <c r="I6" s="332">
        <f>IFERROR(VLOOKUP(TEXT(H6,"0"),IPRESS!$A$3:$B$212,2,0),"")</f>
        <v/>
      </c>
      <c r="J6" s="301" t="inlineStr">
        <is>
          <t>4838</t>
        </is>
      </c>
      <c r="K6" s="332" t="inlineStr">
        <is>
          <t>PETROLEO</t>
        </is>
      </c>
      <c r="L6" s="245" t="n">
        <v>20.25</v>
      </c>
      <c r="M6" s="245" t="n">
        <v>7</v>
      </c>
      <c r="N6" s="333">
        <f>IFERROR(IF(L6*M6=0,"",L6*M6),"")</f>
        <v/>
      </c>
      <c r="O6" s="301" t="inlineStr">
        <is>
          <t>42333513</t>
        </is>
      </c>
      <c r="P6" s="332">
        <f>IFERROR(VLOOKUP(TEXT(O6,"0"),CONDUCTORES!$A$3:$G$100,2,0),"")</f>
        <v/>
      </c>
      <c r="Q6" s="332">
        <f>IFERROR(VLOOKUP(TEXT(O6,"0"),CONDUCTORES!$A$3:$H$100,6,0),"")</f>
        <v/>
      </c>
      <c r="R6" s="334" t="n"/>
      <c r="S6" s="302" t="inlineStr">
        <is>
          <t>O149,O234</t>
        </is>
      </c>
      <c r="T6" s="301" t="n"/>
      <c r="U6" s="334" t="n"/>
      <c r="V6" s="302" t="n"/>
      <c r="W6" s="301" t="n"/>
      <c r="X6" s="301" t="n"/>
      <c r="Y6" s="280" t="n"/>
      <c r="Z6" s="350">
        <f>IF(AND(R6&lt;&gt;"",V6&lt;&gt;"",W6&lt;&gt;""),"ENTREGADO","POR RECOGER")</f>
        <v/>
      </c>
      <c r="AA6" s="198" t="n"/>
      <c r="AB6" s="198" t="n"/>
      <c r="AC6" s="198" t="n"/>
    </row>
    <row r="7" ht="15.75" customHeight="1" s="195">
      <c r="A7" s="241" t="n">
        <v>2</v>
      </c>
      <c r="B7" s="305" t="n"/>
      <c r="C7" s="241" t="inlineStr">
        <is>
          <t>REGION</t>
        </is>
      </c>
      <c r="D7" s="305" t="inlineStr">
        <is>
          <t>ALTAMIRANO AYAY SALATIEL</t>
        </is>
      </c>
      <c r="E7" s="241" t="inlineStr">
        <is>
          <t>DNI</t>
        </is>
      </c>
      <c r="F7" s="241" t="inlineStr">
        <is>
          <t>71734120</t>
        </is>
      </c>
      <c r="G7" s="336" t="n">
        <v>46082</v>
      </c>
      <c r="H7" s="241" t="inlineStr">
        <is>
          <t>4950</t>
        </is>
      </c>
      <c r="I7" s="332">
        <f>IFERROR(VLOOKUP(TEXT(H7,"0"),IPRESS!$A$3:$B$212,2,0),"")</f>
        <v/>
      </c>
      <c r="J7" s="241" t="inlineStr">
        <is>
          <t>4838</t>
        </is>
      </c>
      <c r="K7" s="332" t="inlineStr">
        <is>
          <t>PETROLEO</t>
        </is>
      </c>
      <c r="L7" s="239" t="n">
        <v>20.25</v>
      </c>
      <c r="M7" s="239" t="n">
        <v>7</v>
      </c>
      <c r="N7" s="333">
        <f>IFERROR(IF(L7*M7=0,"",L7*M7),"")</f>
        <v/>
      </c>
      <c r="O7" s="241" t="n"/>
      <c r="P7" s="332">
        <f>IFERROR(VLOOKUP(TEXT(O7,"0"),CONDUCTORES!$A$3:$G$100,2,0),"")</f>
        <v/>
      </c>
      <c r="Q7" s="332">
        <f>IFERROR(VLOOKUP(TEXT(O7,"0"),CONDUCTORES!$A$3:$H$100,6,0),"")</f>
        <v/>
      </c>
      <c r="R7" s="280" t="n"/>
      <c r="S7" s="305" t="inlineStr">
        <is>
          <t>G409</t>
        </is>
      </c>
      <c r="T7" s="241" t="n"/>
      <c r="U7" s="280" t="n"/>
      <c r="V7" s="305" t="n"/>
      <c r="W7" s="241" t="n"/>
      <c r="X7" s="241" t="n"/>
      <c r="Y7" s="280" t="n"/>
      <c r="Z7" s="350">
        <f>IF(AND(R7&lt;&gt;"",V7&lt;&gt;"",W7&lt;&gt;""),"ENTREGADO","POR RECOGER")</f>
        <v/>
      </c>
      <c r="AA7" s="198" t="n"/>
      <c r="AB7" s="198" t="n"/>
      <c r="AC7" s="198" t="n"/>
    </row>
    <row r="8" ht="15.75" customHeight="1" s="195">
      <c r="A8" s="301" t="n">
        <v>3</v>
      </c>
      <c r="B8" s="302" t="n"/>
      <c r="C8" s="301" t="inlineStr">
        <is>
          <t>REGION</t>
        </is>
      </c>
      <c r="D8" s="302" t="inlineStr">
        <is>
          <t>HORNA GUIOP ANA VICTORIA</t>
        </is>
      </c>
      <c r="E8" s="301" t="inlineStr">
        <is>
          <t>DNI</t>
        </is>
      </c>
      <c r="F8" s="301" t="inlineStr">
        <is>
          <t>33416390</t>
        </is>
      </c>
      <c r="G8" s="331" t="n">
        <v>46082</v>
      </c>
      <c r="H8" s="301" t="inlineStr">
        <is>
          <t>4905</t>
        </is>
      </c>
      <c r="I8" s="332">
        <f>IFERROR(VLOOKUP(TEXT(H8,"0"),IPRESS!$A$3:$B$212,2,0),"")</f>
        <v/>
      </c>
      <c r="J8" s="301" t="inlineStr">
        <is>
          <t>4838</t>
        </is>
      </c>
      <c r="K8" s="332" t="inlineStr">
        <is>
          <t>PETROLEO</t>
        </is>
      </c>
      <c r="L8" s="245" t="n">
        <v>18.18</v>
      </c>
      <c r="M8" s="245" t="n">
        <v>7</v>
      </c>
      <c r="N8" s="333">
        <f>IFERROR(IF(L8*M8=0,"",L8*M8),"")</f>
        <v/>
      </c>
      <c r="O8" s="301" t="inlineStr">
        <is>
          <t>44894499</t>
        </is>
      </c>
      <c r="P8" s="332">
        <f>IFERROR(VLOOKUP(TEXT(O8,"0"),CONDUCTORES!$A$3:$G$100,2,0),"")</f>
        <v/>
      </c>
      <c r="Q8" s="332">
        <f>IFERROR(VLOOKUP(TEXT(O8,"0"),CONDUCTORES!$A$3:$H$100,6,0),"")</f>
        <v/>
      </c>
      <c r="R8" s="334" t="n"/>
      <c r="S8" s="302" t="inlineStr">
        <is>
          <t>E15X,E162,J189</t>
        </is>
      </c>
      <c r="T8" s="301" t="n"/>
      <c r="U8" s="334" t="n"/>
      <c r="V8" s="302" t="n"/>
      <c r="W8" s="301" t="n"/>
      <c r="X8" s="301" t="n"/>
      <c r="Y8" s="280" t="n"/>
      <c r="Z8" s="350">
        <f>IF(AND(R8&lt;&gt;"",V8&lt;&gt;"",W8&lt;&gt;""),"ENTREGADO","POR RECOGER")</f>
        <v/>
      </c>
      <c r="AA8" s="198" t="n"/>
      <c r="AB8" s="198" t="n"/>
      <c r="AC8" s="198" t="n"/>
    </row>
    <row r="9" ht="15.75" customHeight="1" s="195">
      <c r="A9" s="241" t="n">
        <v>4</v>
      </c>
      <c r="B9" s="305" t="n"/>
      <c r="C9" s="241" t="inlineStr">
        <is>
          <t>REGION</t>
        </is>
      </c>
      <c r="D9" s="305" t="inlineStr">
        <is>
          <t>GUEVARA CUBAS ORLANDO JESUS</t>
        </is>
      </c>
      <c r="E9" s="241" t="inlineStr">
        <is>
          <t>DNI</t>
        </is>
      </c>
      <c r="F9" s="241" t="inlineStr">
        <is>
          <t>80251775</t>
        </is>
      </c>
      <c r="G9" s="336" t="n">
        <v>46082</v>
      </c>
      <c r="H9" s="241" t="inlineStr">
        <is>
          <t>4932</t>
        </is>
      </c>
      <c r="I9" s="332">
        <f>IFERROR(VLOOKUP(TEXT(H9,"0"),IPRESS!$A$3:$B$212,2,0),"")</f>
        <v/>
      </c>
      <c r="J9" s="241" t="inlineStr">
        <is>
          <t>4838</t>
        </is>
      </c>
      <c r="K9" s="332" t="inlineStr">
        <is>
          <t>PETROLEO</t>
        </is>
      </c>
      <c r="L9" s="239" t="n">
        <v>18.18</v>
      </c>
      <c r="M9" s="239" t="n">
        <v>6</v>
      </c>
      <c r="N9" s="333">
        <f>IFERROR(IF(L9*M9=0,"",L9*M9),"")</f>
        <v/>
      </c>
      <c r="O9" s="241" t="inlineStr">
        <is>
          <t>33726013</t>
        </is>
      </c>
      <c r="P9" s="332">
        <f>IFERROR(VLOOKUP(TEXT(O9,"0"),CONDUCTORES!$A$3:$G$100,2,0),"")</f>
        <v/>
      </c>
      <c r="Q9" s="332">
        <f>IFERROR(VLOOKUP(TEXT(O9,"0"),CONDUCTORES!$A$3:$H$100,6,0),"")</f>
        <v/>
      </c>
      <c r="R9" s="280" t="n"/>
      <c r="S9" s="305" t="inlineStr">
        <is>
          <t>F104</t>
        </is>
      </c>
      <c r="T9" s="241" t="n"/>
      <c r="U9" s="280" t="n"/>
      <c r="V9" s="305" t="n"/>
      <c r="W9" s="241" t="n"/>
      <c r="X9" s="241" t="n"/>
      <c r="Y9" s="280" t="n"/>
      <c r="Z9" s="350">
        <f>IF(AND(R9&lt;&gt;"",V9&lt;&gt;"",W9&lt;&gt;""),"ENTREGADO","POR RECOGER")</f>
        <v/>
      </c>
      <c r="AA9" s="198" t="n"/>
      <c r="AB9" s="198" t="n"/>
      <c r="AC9" s="198" t="n"/>
    </row>
    <row r="10" ht="15.75" customHeight="1" s="195">
      <c r="A10" s="337" t="n">
        <v>5</v>
      </c>
      <c r="B10" s="338" t="n"/>
      <c r="C10" s="337" t="inlineStr">
        <is>
          <t>REGION</t>
        </is>
      </c>
      <c r="D10" s="338" t="inlineStr">
        <is>
          <t>SEGURA BUSTAMANTE AIDEE</t>
        </is>
      </c>
      <c r="E10" s="337" t="inlineStr">
        <is>
          <t>DNI</t>
        </is>
      </c>
      <c r="F10" s="337" t="inlineStr">
        <is>
          <t>47664874</t>
        </is>
      </c>
      <c r="G10" s="339" t="n">
        <v>46082</v>
      </c>
      <c r="H10" s="337" t="inlineStr">
        <is>
          <t>4937</t>
        </is>
      </c>
      <c r="I10" s="332">
        <f>IFERROR(VLOOKUP(TEXT(H10,"0"),IPRESS!$A$3:$B$212,2,0),"")</f>
        <v/>
      </c>
      <c r="J10" s="337" t="inlineStr">
        <is>
          <t>4838</t>
        </is>
      </c>
      <c r="K10" s="357" t="inlineStr">
        <is>
          <t>GASOLINA</t>
        </is>
      </c>
      <c r="L10" s="340" t="n">
        <v>17.95</v>
      </c>
      <c r="M10" s="340" t="n">
        <v>15</v>
      </c>
      <c r="N10" s="333">
        <f>IFERROR(IF(L10*M10=0,"",L10*M10),"")</f>
        <v/>
      </c>
      <c r="O10" s="272" t="inlineStr">
        <is>
          <t>44703306</t>
        </is>
      </c>
      <c r="P10" s="332">
        <f>IFERROR(VLOOKUP(TEXT(O10,"0"),CONDUCTORES!$A$3:$G$100,2,0),"")</f>
        <v/>
      </c>
      <c r="Q10" s="332">
        <f>IFERROR(VLOOKUP(TEXT(O10,"0"),CONDUCTORES!$A$3:$H$100,6,0),"")</f>
        <v/>
      </c>
      <c r="R10" s="341" t="n"/>
      <c r="S10" s="338" t="inlineStr">
        <is>
          <t>Z349,O200</t>
        </is>
      </c>
      <c r="T10" s="337" t="n"/>
      <c r="U10" s="341" t="n"/>
      <c r="V10" s="338" t="n"/>
      <c r="W10" s="337" t="n"/>
      <c r="X10" s="337" t="n"/>
      <c r="Y10" s="280" t="n"/>
      <c r="Z10" s="350">
        <f>IF(AND(R10&lt;&gt;"",V10&lt;&gt;"",W10&lt;&gt;""),"ENTREGADO","POR RECOGER")</f>
        <v/>
      </c>
      <c r="AA10" s="198" t="n"/>
      <c r="AB10" s="198" t="n"/>
      <c r="AC10" s="198" t="n"/>
    </row>
    <row r="11" ht="15.75" customHeight="1" s="195">
      <c r="A11" s="241" t="n">
        <v>6</v>
      </c>
      <c r="B11" s="305" t="n"/>
      <c r="C11" s="241" t="inlineStr">
        <is>
          <t>REGION</t>
        </is>
      </c>
      <c r="D11" s="305" t="inlineStr">
        <is>
          <t>DIAPIZ ROJAS DANNA ANTONELA</t>
        </is>
      </c>
      <c r="E11" s="241" t="inlineStr">
        <is>
          <t>DNI</t>
        </is>
      </c>
      <c r="F11" s="241" t="inlineStr">
        <is>
          <t>93906119</t>
        </is>
      </c>
      <c r="G11" s="336" t="n">
        <v>46082</v>
      </c>
      <c r="H11" s="241" t="inlineStr">
        <is>
          <t>4866</t>
        </is>
      </c>
      <c r="I11" s="332">
        <f>IFERROR(VLOOKUP(TEXT(H11,"0"),IPRESS!$A$3:$B$212,2,0),"")</f>
        <v/>
      </c>
      <c r="J11" s="241" t="inlineStr">
        <is>
          <t>4838</t>
        </is>
      </c>
      <c r="K11" s="332" t="inlineStr">
        <is>
          <t>PETROLEO</t>
        </is>
      </c>
      <c r="L11" s="239" t="n">
        <v>18.18</v>
      </c>
      <c r="M11" s="239" t="n">
        <v>4</v>
      </c>
      <c r="N11" s="333">
        <f>IFERROR(IF(L11*M11=0,"",L11*M11),"")</f>
        <v/>
      </c>
      <c r="O11" s="241" t="inlineStr">
        <is>
          <t>41055990</t>
        </is>
      </c>
      <c r="P11" s="332">
        <f>IFERROR(VLOOKUP(TEXT(O11,"0"),CONDUCTORES!$A$3:$G$100,2,0),"")</f>
        <v/>
      </c>
      <c r="Q11" s="332">
        <f>IFERROR(VLOOKUP(TEXT(O11,"0"),CONDUCTORES!$A$3:$H$100,6,0),"")</f>
        <v/>
      </c>
      <c r="R11" s="280" t="n"/>
      <c r="S11" s="305" t="inlineStr">
        <is>
          <t>T202</t>
        </is>
      </c>
      <c r="T11" s="241" t="n"/>
      <c r="U11" s="280" t="n"/>
      <c r="V11" s="305" t="n"/>
      <c r="W11" s="241" t="n"/>
      <c r="X11" s="241" t="n"/>
      <c r="Y11" s="280" t="n"/>
      <c r="Z11" s="350">
        <f>IF(AND(R11&lt;&gt;"",V11&lt;&gt;"",W11&lt;&gt;""),"ENTREGADO","POR RECOGER")</f>
        <v/>
      </c>
      <c r="AA11" s="198" t="n"/>
      <c r="AB11" s="198" t="n"/>
      <c r="AC11" s="198" t="n"/>
    </row>
    <row r="12" ht="15.75" customHeight="1" s="195">
      <c r="A12" s="301" t="n">
        <v>7</v>
      </c>
      <c r="B12" s="302" t="n"/>
      <c r="C12" s="301" t="inlineStr">
        <is>
          <t>REGION</t>
        </is>
      </c>
      <c r="D12" s="302" t="inlineStr">
        <is>
          <t>MUÑOZ LLANOS JUANA</t>
        </is>
      </c>
      <c r="E12" s="301" t="inlineStr">
        <is>
          <t>DNI</t>
        </is>
      </c>
      <c r="F12" s="301" t="inlineStr">
        <is>
          <t>49071793</t>
        </is>
      </c>
      <c r="G12" s="331" t="n">
        <v>46083</v>
      </c>
      <c r="H12" s="301" t="inlineStr">
        <is>
          <t>4950</t>
        </is>
      </c>
      <c r="I12" s="332">
        <f>IFERROR(VLOOKUP(TEXT(H12,"0"),IPRESS!$A$3:$B$212,2,0),"")</f>
        <v/>
      </c>
      <c r="J12" s="301" t="inlineStr">
        <is>
          <t>4838</t>
        </is>
      </c>
      <c r="K12" s="332" t="inlineStr">
        <is>
          <t>PETROLEO</t>
        </is>
      </c>
      <c r="L12" s="245" t="n">
        <v>20.25</v>
      </c>
      <c r="M12" s="245" t="n">
        <v>7.1</v>
      </c>
      <c r="N12" s="333">
        <f>IFERROR(IF(L12*M12=0,"",L12*M12),"")</f>
        <v/>
      </c>
      <c r="O12" s="301" t="inlineStr">
        <is>
          <t>41785950</t>
        </is>
      </c>
      <c r="P12" s="332">
        <f>IFERROR(VLOOKUP(TEXT(O12,"0"),CONDUCTORES!$A$3:$G$100,2,0),"")</f>
        <v/>
      </c>
      <c r="Q12" s="332">
        <f>IFERROR(VLOOKUP(TEXT(O12,"0"),CONDUCTORES!$A$3:$H$100,6,0),"")</f>
        <v/>
      </c>
      <c r="R12" s="334" t="n"/>
      <c r="S12" s="302" t="inlineStr">
        <is>
          <t>K922,D649,N390</t>
        </is>
      </c>
      <c r="T12" s="301" t="n"/>
      <c r="U12" s="334" t="n"/>
      <c r="V12" s="302" t="n"/>
      <c r="W12" s="301" t="n"/>
      <c r="X12" s="301" t="n"/>
      <c r="Y12" s="280" t="n"/>
      <c r="Z12" s="350">
        <f>IF(AND(R12&lt;&gt;"",V12&lt;&gt;"",W12&lt;&gt;""),"ENTREGADO","POR RECOGER")</f>
        <v/>
      </c>
      <c r="AA12" s="198" t="n"/>
      <c r="AB12" s="198" t="n"/>
      <c r="AC12" s="198" t="n"/>
    </row>
    <row r="13" ht="15.75" customHeight="1" s="195">
      <c r="A13" s="241" t="n">
        <v>8</v>
      </c>
      <c r="B13" s="305" t="n"/>
      <c r="C13" s="241" t="inlineStr">
        <is>
          <t>REGION</t>
        </is>
      </c>
      <c r="D13" s="305" t="inlineStr">
        <is>
          <t>VASQUEZ BENAVIDES FRANCISCO</t>
        </is>
      </c>
      <c r="E13" s="241" t="inlineStr">
        <is>
          <t>DNI</t>
        </is>
      </c>
      <c r="F13" s="241" t="inlineStr">
        <is>
          <t>27547313</t>
        </is>
      </c>
      <c r="G13" s="336" t="n">
        <v>46083</v>
      </c>
      <c r="H13" s="241" t="inlineStr">
        <is>
          <t>4932</t>
        </is>
      </c>
      <c r="I13" s="332">
        <f>IFERROR(VLOOKUP(TEXT(H13,"0"),IPRESS!$A$3:$B$212,2,0),"")</f>
        <v/>
      </c>
      <c r="J13" s="241" t="inlineStr">
        <is>
          <t>4838</t>
        </is>
      </c>
      <c r="K13" s="332" t="inlineStr">
        <is>
          <t>PETROLEO</t>
        </is>
      </c>
      <c r="L13" s="239" t="n">
        <v>18.18</v>
      </c>
      <c r="M13" s="239" t="n">
        <v>6</v>
      </c>
      <c r="N13" s="333">
        <f>IFERROR(IF(L13*M13=0,"",L13*M13),"")</f>
        <v/>
      </c>
      <c r="O13" s="241" t="inlineStr">
        <is>
          <t>33726013</t>
        </is>
      </c>
      <c r="P13" s="332">
        <f>IFERROR(VLOOKUP(TEXT(O13,"0"),CONDUCTORES!$A$3:$G$100,2,0),"")</f>
        <v/>
      </c>
      <c r="Q13" s="332">
        <f>IFERROR(VLOOKUP(TEXT(O13,"0"),CONDUCTORES!$A$3:$H$100,6,0),"")</f>
        <v/>
      </c>
      <c r="R13" s="280" t="n"/>
      <c r="S13" s="305" t="inlineStr">
        <is>
          <t>I219</t>
        </is>
      </c>
      <c r="T13" s="241" t="n"/>
      <c r="U13" s="280" t="n"/>
      <c r="V13" s="305" t="n"/>
      <c r="W13" s="241" t="n"/>
      <c r="X13" s="241" t="n"/>
      <c r="Y13" s="280" t="n"/>
      <c r="Z13" s="350">
        <f>IF(AND(R13&lt;&gt;"",V13&lt;&gt;"",W13&lt;&gt;""),"ENTREGADO","POR RECOGER")</f>
        <v/>
      </c>
      <c r="AA13" s="198" t="n"/>
      <c r="AB13" s="198" t="n"/>
      <c r="AC13" s="198" t="n"/>
    </row>
    <row r="14" ht="15.75" customHeight="1" s="195">
      <c r="A14" s="301" t="n">
        <v>9</v>
      </c>
      <c r="B14" s="302" t="n"/>
      <c r="C14" s="301" t="inlineStr">
        <is>
          <t>REGION</t>
        </is>
      </c>
      <c r="D14" s="302" t="inlineStr">
        <is>
          <t>TEJADA TUESTA JUANA</t>
        </is>
      </c>
      <c r="E14" s="301" t="inlineStr">
        <is>
          <t>DNI</t>
        </is>
      </c>
      <c r="F14" s="301" t="inlineStr">
        <is>
          <t>33945273</t>
        </is>
      </c>
      <c r="G14" s="331" t="n">
        <v>46084</v>
      </c>
      <c r="H14" s="301" t="inlineStr">
        <is>
          <t>4950</t>
        </is>
      </c>
      <c r="I14" s="332">
        <f>IFERROR(VLOOKUP(TEXT(H14,"0"),IPRESS!$A$3:$B$212,2,0),"")</f>
        <v/>
      </c>
      <c r="J14" s="301" t="inlineStr">
        <is>
          <t>4838</t>
        </is>
      </c>
      <c r="K14" s="332" t="inlineStr">
        <is>
          <t>PETROLEO</t>
        </is>
      </c>
      <c r="L14" s="245" t="n">
        <v>20.25</v>
      </c>
      <c r="M14" s="245" t="n">
        <v>7</v>
      </c>
      <c r="N14" s="333">
        <f>IFERROR(IF(L14*M14=0,"",L14*M14),"")</f>
        <v/>
      </c>
      <c r="O14" s="301" t="inlineStr">
        <is>
          <t>41785950</t>
        </is>
      </c>
      <c r="P14" s="332">
        <f>IFERROR(VLOOKUP(TEXT(O14,"0"),CONDUCTORES!$A$3:$G$100,2,0),"")</f>
        <v/>
      </c>
      <c r="Q14" s="332">
        <f>IFERROR(VLOOKUP(TEXT(O14,"0"),CONDUCTORES!$A$3:$H$100,6,0),"")</f>
        <v/>
      </c>
      <c r="R14" s="334" t="n"/>
      <c r="S14" s="302" t="inlineStr">
        <is>
          <t>S628,S619</t>
        </is>
      </c>
      <c r="T14" s="301" t="n"/>
      <c r="U14" s="334" t="n"/>
      <c r="V14" s="302" t="n"/>
      <c r="W14" s="301" t="n"/>
      <c r="X14" s="301" t="n"/>
      <c r="Y14" s="280" t="n"/>
      <c r="Z14" s="350">
        <f>IF(AND(R14&lt;&gt;"",V14&lt;&gt;"",W14&lt;&gt;""),"ENTREGADO","POR RECOGER")</f>
        <v/>
      </c>
      <c r="AA14" s="198" t="n"/>
      <c r="AB14" s="198" t="n"/>
      <c r="AC14" s="198" t="n"/>
    </row>
    <row r="15" ht="15.75" customHeight="1" s="195">
      <c r="A15" s="241" t="n">
        <v>10</v>
      </c>
      <c r="B15" s="305" t="n"/>
      <c r="C15" s="241" t="inlineStr">
        <is>
          <t>REGION</t>
        </is>
      </c>
      <c r="D15" s="305" t="inlineStr">
        <is>
          <t>REYNALDO HUAMAN CULQUI</t>
        </is>
      </c>
      <c r="E15" s="241" t="inlineStr">
        <is>
          <t>DNI</t>
        </is>
      </c>
      <c r="F15" s="241" t="inlineStr">
        <is>
          <t>80538348</t>
        </is>
      </c>
      <c r="G15" s="336" t="n">
        <v>46084</v>
      </c>
      <c r="H15" s="241" t="inlineStr">
        <is>
          <t>4950</t>
        </is>
      </c>
      <c r="I15" s="332">
        <f>IFERROR(VLOOKUP(TEXT(H15,"0"),IPRESS!$A$3:$B$212,2,0),"")</f>
        <v/>
      </c>
      <c r="J15" s="241" t="inlineStr">
        <is>
          <t>4838</t>
        </is>
      </c>
      <c r="K15" s="332" t="inlineStr">
        <is>
          <t>PETROLEO</t>
        </is>
      </c>
      <c r="L15" s="239" t="n">
        <v>20.25</v>
      </c>
      <c r="M15" s="239" t="n">
        <v>7</v>
      </c>
      <c r="N15" s="333">
        <f>IFERROR(IF(L15*M15=0,"",L15*M15),"")</f>
        <v/>
      </c>
      <c r="O15" s="241" t="inlineStr">
        <is>
          <t>33402316</t>
        </is>
      </c>
      <c r="P15" s="332">
        <f>IFERROR(VLOOKUP(TEXT(O15,"0"),CONDUCTORES!$A$3:$G$100,2,0),"")</f>
        <v/>
      </c>
      <c r="Q15" s="332">
        <f>IFERROR(VLOOKUP(TEXT(O15,"0"),CONDUCTORES!$A$3:$H$100,6,0),"")</f>
        <v/>
      </c>
      <c r="R15" s="280" t="n"/>
      <c r="S15" s="305" t="inlineStr">
        <is>
          <t>K704,K766,K746</t>
        </is>
      </c>
      <c r="T15" s="241" t="n"/>
      <c r="U15" s="280" t="n"/>
      <c r="V15" s="305" t="n"/>
      <c r="W15" s="241" t="n"/>
      <c r="X15" s="241" t="n"/>
      <c r="Y15" s="280" t="n"/>
      <c r="Z15" s="350">
        <f>IF(AND(R15&lt;&gt;"",V15&lt;&gt;"",W15&lt;&gt;""),"ENTREGADO","POR RECOGER")</f>
        <v/>
      </c>
      <c r="AA15" s="198" t="n"/>
      <c r="AB15" s="198" t="n"/>
      <c r="AC15" s="198" t="n"/>
    </row>
    <row r="16" ht="15.75" customHeight="1" s="195">
      <c r="A16" s="301" t="n">
        <v>11</v>
      </c>
      <c r="B16" s="302" t="n"/>
      <c r="C16" s="301" t="inlineStr">
        <is>
          <t>REGION</t>
        </is>
      </c>
      <c r="D16" s="302" t="inlineStr">
        <is>
          <t>PEREZ DIAZ MARIA NELLY</t>
        </is>
      </c>
      <c r="E16" s="301" t="inlineStr">
        <is>
          <t>DNI</t>
        </is>
      </c>
      <c r="F16" s="301" t="inlineStr">
        <is>
          <t>76236830</t>
        </is>
      </c>
      <c r="G16" s="331" t="n">
        <v>46084</v>
      </c>
      <c r="H16" s="301" t="inlineStr">
        <is>
          <t>4922</t>
        </is>
      </c>
      <c r="I16" s="332">
        <f>IFERROR(VLOOKUP(TEXT(H16,"0"),IPRESS!$A$3:$B$212,2,0),"")</f>
        <v/>
      </c>
      <c r="J16" s="301" t="inlineStr">
        <is>
          <t>4838</t>
        </is>
      </c>
      <c r="K16" s="332" t="inlineStr">
        <is>
          <t>PETROLEO</t>
        </is>
      </c>
      <c r="L16" s="245" t="n">
        <v>18.18</v>
      </c>
      <c r="M16" s="245" t="n">
        <v>5</v>
      </c>
      <c r="N16" s="333">
        <f>IFERROR(IF(L16*M16=0,"",L16*M16),"")</f>
        <v/>
      </c>
      <c r="O16" s="301" t="inlineStr">
        <is>
          <t>42494083</t>
        </is>
      </c>
      <c r="P16" s="332">
        <f>IFERROR(VLOOKUP(TEXT(O16,"0"),CONDUCTORES!$A$3:$G$100,2,0),"")</f>
        <v/>
      </c>
      <c r="Q16" s="332">
        <f>IFERROR(VLOOKUP(TEXT(O16,"0"),CONDUCTORES!$A$3:$H$100,6,0),"")</f>
        <v/>
      </c>
      <c r="R16" s="334" t="n"/>
      <c r="S16" s="302" t="inlineStr">
        <is>
          <t>O429</t>
        </is>
      </c>
      <c r="T16" s="301" t="n"/>
      <c r="U16" s="334" t="n"/>
      <c r="V16" s="302" t="n"/>
      <c r="W16" s="301" t="n"/>
      <c r="X16" s="301" t="n"/>
      <c r="Y16" s="280" t="n"/>
      <c r="Z16" s="350">
        <f>IF(AND(R16&lt;&gt;"",V16&lt;&gt;"",W16&lt;&gt;""),"ENTREGADO","POR RECOGER")</f>
        <v/>
      </c>
      <c r="AA16" s="198" t="n"/>
      <c r="AB16" s="198" t="n"/>
      <c r="AC16" s="198" t="n"/>
    </row>
    <row r="17" ht="15.75" customHeight="1" s="195">
      <c r="A17" s="241" t="n">
        <v>12</v>
      </c>
      <c r="B17" s="305" t="n"/>
      <c r="C17" s="241" t="inlineStr">
        <is>
          <t>REGION</t>
        </is>
      </c>
      <c r="D17" s="305" t="inlineStr">
        <is>
          <t>HUERTA ORIHUELA FIORELA ISABEL</t>
        </is>
      </c>
      <c r="E17" s="241" t="inlineStr">
        <is>
          <t>DNI</t>
        </is>
      </c>
      <c r="F17" s="241" t="inlineStr">
        <is>
          <t>47598878</t>
        </is>
      </c>
      <c r="G17" s="336" t="n">
        <v>46085</v>
      </c>
      <c r="H17" s="241" t="inlineStr">
        <is>
          <t>4904</t>
        </is>
      </c>
      <c r="I17" s="332">
        <f>IFERROR(VLOOKUP(TEXT(H17,"0"),IPRESS!$A$3:$B$212,2,0),"")</f>
        <v/>
      </c>
      <c r="J17" s="241" t="inlineStr">
        <is>
          <t>4838</t>
        </is>
      </c>
      <c r="K17" s="332" t="inlineStr">
        <is>
          <t>PETROLEO</t>
        </is>
      </c>
      <c r="L17" s="239" t="n">
        <v>18.18</v>
      </c>
      <c r="M17" s="239" t="n">
        <v>6</v>
      </c>
      <c r="N17" s="333">
        <f>IFERROR(IF(L17*M17=0,"",L17*M17),"")</f>
        <v/>
      </c>
      <c r="O17" s="241" t="inlineStr">
        <is>
          <t>40051255</t>
        </is>
      </c>
      <c r="P17" s="332">
        <f>IFERROR(VLOOKUP(TEXT(O17,"0"),CONDUCTORES!$A$3:$G$100,2,0),"")</f>
        <v/>
      </c>
      <c r="Q17" s="332">
        <f>IFERROR(VLOOKUP(TEXT(O17,"0"),CONDUCTORES!$A$3:$H$100,6,0),"")</f>
        <v/>
      </c>
      <c r="R17" s="280" t="n"/>
      <c r="S17" s="305" t="inlineStr">
        <is>
          <t>O200</t>
        </is>
      </c>
      <c r="T17" s="241" t="n"/>
      <c r="U17" s="280" t="n"/>
      <c r="V17" s="305" t="n"/>
      <c r="W17" s="241" t="n"/>
      <c r="X17" s="241" t="n"/>
      <c r="Y17" s="280" t="n"/>
      <c r="Z17" s="350">
        <f>IF(AND(R17&lt;&gt;"",V17&lt;&gt;"",W17&lt;&gt;""),"ENTREGADO","POR RECOGER")</f>
        <v/>
      </c>
      <c r="AA17" s="198" t="n"/>
      <c r="AB17" s="198" t="n"/>
      <c r="AC17" s="198" t="n"/>
    </row>
    <row r="18" ht="15.75" customHeight="1" s="195">
      <c r="A18" s="337" t="n">
        <v>13</v>
      </c>
      <c r="B18" s="338" t="n"/>
      <c r="C18" s="337" t="inlineStr">
        <is>
          <t>REGION</t>
        </is>
      </c>
      <c r="D18" s="338" t="inlineStr">
        <is>
          <t>BARRANTES TAFUR SEBASTIAN</t>
        </is>
      </c>
      <c r="E18" s="337" t="inlineStr">
        <is>
          <t>DNI</t>
        </is>
      </c>
      <c r="F18" s="337" t="inlineStr">
        <is>
          <t>91328245</t>
        </is>
      </c>
      <c r="G18" s="339" t="n">
        <v>46085</v>
      </c>
      <c r="H18" s="337" t="inlineStr">
        <is>
          <t>4922</t>
        </is>
      </c>
      <c r="I18" s="332">
        <f>IFERROR(VLOOKUP(TEXT(H18,"0"),IPRESS!$A$3:$B$212,2,0),"")</f>
        <v/>
      </c>
      <c r="J18" s="337" t="inlineStr">
        <is>
          <t>4838</t>
        </is>
      </c>
      <c r="K18" s="357" t="inlineStr">
        <is>
          <t>GASOLINA</t>
        </is>
      </c>
      <c r="L18" s="340" t="n">
        <v>17.95</v>
      </c>
      <c r="M18" s="340" t="n">
        <v>6</v>
      </c>
      <c r="N18" s="333">
        <f>IFERROR(IF(L18*M18=0,"",L18*M18),"")</f>
        <v/>
      </c>
      <c r="O18" s="337" t="inlineStr">
        <is>
          <t>71640877</t>
        </is>
      </c>
      <c r="P18" s="332">
        <f>IFERROR(VLOOKUP(TEXT(O18,"0"),CONDUCTORES!$A$3:$G$100,2,0),"")</f>
        <v/>
      </c>
      <c r="Q18" s="332">
        <f>IFERROR(VLOOKUP(TEXT(O18,"0"),CONDUCTORES!$A$3:$H$100,6,0),"")</f>
        <v/>
      </c>
      <c r="R18" s="341" t="n"/>
      <c r="S18" s="338" t="inlineStr">
        <is>
          <t>R509,R11X,A419</t>
        </is>
      </c>
      <c r="T18" s="337" t="n"/>
      <c r="U18" s="341" t="n"/>
      <c r="V18" s="338" t="n"/>
      <c r="W18" s="337" t="n"/>
      <c r="X18" s="337" t="n"/>
      <c r="Y18" s="280" t="n"/>
      <c r="Z18" s="350">
        <f>IF(AND(R18&lt;&gt;"",V18&lt;&gt;"",W18&lt;&gt;""),"ENTREGADO","POR RECOGER")</f>
        <v/>
      </c>
      <c r="AA18" s="198" t="n"/>
      <c r="AB18" s="198" t="n"/>
      <c r="AC18" s="198" t="n"/>
    </row>
    <row r="19" ht="15.75" customHeight="1" s="195">
      <c r="A19" s="241" t="n">
        <v>14</v>
      </c>
      <c r="B19" s="305" t="n"/>
      <c r="C19" s="241" t="inlineStr">
        <is>
          <t>REGION</t>
        </is>
      </c>
      <c r="D19" s="305" t="inlineStr">
        <is>
          <t>GUZMAN LLANOS GLORIELA</t>
        </is>
      </c>
      <c r="E19" s="241" t="inlineStr">
        <is>
          <t>DNI</t>
        </is>
      </c>
      <c r="F19" s="241" t="inlineStr">
        <is>
          <t>48615157</t>
        </is>
      </c>
      <c r="G19" s="336" t="n">
        <v>46086</v>
      </c>
      <c r="H19" s="241" t="inlineStr">
        <is>
          <t>4950</t>
        </is>
      </c>
      <c r="I19" s="332">
        <f>IFERROR(VLOOKUP(TEXT(H19,"0"),IPRESS!$A$3:$B$212,2,0),"")</f>
        <v/>
      </c>
      <c r="J19" s="241" t="inlineStr">
        <is>
          <t>4838</t>
        </is>
      </c>
      <c r="K19" s="332" t="inlineStr">
        <is>
          <t>PETROLEO</t>
        </is>
      </c>
      <c r="L19" s="239" t="n">
        <v>20.25</v>
      </c>
      <c r="M19" s="239" t="n">
        <v>7</v>
      </c>
      <c r="N19" s="333">
        <f>IFERROR(IF(L19*M19=0,"",L19*M19),"")</f>
        <v/>
      </c>
      <c r="O19" s="241" t="inlineStr">
        <is>
          <t>42333513</t>
        </is>
      </c>
      <c r="P19" s="332">
        <f>IFERROR(VLOOKUP(TEXT(O19,"0"),CONDUCTORES!$A$3:$G$100,2,0),"")</f>
        <v/>
      </c>
      <c r="Q19" s="332">
        <f>IFERROR(VLOOKUP(TEXT(O19,"0"),CONDUCTORES!$A$3:$H$100,6,0),"")</f>
        <v/>
      </c>
      <c r="R19" s="280" t="n"/>
      <c r="S19" s="305" t="inlineStr">
        <is>
          <t>S069</t>
        </is>
      </c>
      <c r="T19" s="241" t="n"/>
      <c r="U19" s="280" t="n"/>
      <c r="V19" s="305" t="n"/>
      <c r="W19" s="241" t="n"/>
      <c r="X19" s="241" t="n"/>
      <c r="Y19" s="280" t="n"/>
      <c r="Z19" s="350">
        <f>IF(AND(R19&lt;&gt;"",V19&lt;&gt;"",W19&lt;&gt;""),"ENTREGADO","POR RECOGER")</f>
        <v/>
      </c>
      <c r="AA19" s="198" t="n"/>
      <c r="AB19" s="198" t="n"/>
      <c r="AC19" s="198" t="n"/>
    </row>
    <row r="20" ht="15.75" customHeight="1" s="195">
      <c r="A20" s="301" t="n">
        <v>15</v>
      </c>
      <c r="B20" s="302" t="n"/>
      <c r="C20" s="301" t="inlineStr">
        <is>
          <t>REGION</t>
        </is>
      </c>
      <c r="D20" s="302" t="inlineStr">
        <is>
          <t>SALAZAR RUIZ SAMUEL</t>
        </is>
      </c>
      <c r="E20" s="301" t="inlineStr">
        <is>
          <t>DNI</t>
        </is>
      </c>
      <c r="F20" s="301" t="inlineStr">
        <is>
          <t>33436255</t>
        </is>
      </c>
      <c r="G20" s="331" t="n">
        <v>46086</v>
      </c>
      <c r="H20" s="301" t="inlineStr">
        <is>
          <t>4904</t>
        </is>
      </c>
      <c r="I20" s="332">
        <f>IFERROR(VLOOKUP(TEXT(H20,"0"),IPRESS!$A$3:$B$212,2,0),"")</f>
        <v/>
      </c>
      <c r="J20" s="301" t="inlineStr">
        <is>
          <t>4838</t>
        </is>
      </c>
      <c r="K20" s="332" t="inlineStr">
        <is>
          <t>PETROLEO</t>
        </is>
      </c>
      <c r="L20" s="245" t="n">
        <v>18.18</v>
      </c>
      <c r="M20" s="245" t="n">
        <v>6</v>
      </c>
      <c r="N20" s="333">
        <f>IFERROR(IF(L20*M20=0,"",L20*M20),"")</f>
        <v/>
      </c>
      <c r="O20" s="301" t="inlineStr">
        <is>
          <t>40051255</t>
        </is>
      </c>
      <c r="P20" s="332">
        <f>IFERROR(VLOOKUP(TEXT(O20,"0"),CONDUCTORES!$A$3:$G$100,2,0),"")</f>
        <v/>
      </c>
      <c r="Q20" s="332">
        <f>IFERROR(VLOOKUP(TEXT(O20,"0"),CONDUCTORES!$A$3:$H$100,6,0),"")</f>
        <v/>
      </c>
      <c r="R20" s="334" t="n"/>
      <c r="S20" s="302" t="inlineStr">
        <is>
          <t>R652</t>
        </is>
      </c>
      <c r="T20" s="301" t="n"/>
      <c r="U20" s="334" t="n"/>
      <c r="V20" s="302" t="n"/>
      <c r="W20" s="301" t="n"/>
      <c r="X20" s="301" t="n"/>
      <c r="Y20" s="280" t="n"/>
      <c r="Z20" s="350">
        <f>IF(AND(R20&lt;&gt;"",V20&lt;&gt;"",W20&lt;&gt;""),"ENTREGADO","POR RECOGER")</f>
        <v/>
      </c>
      <c r="AA20" s="198" t="n"/>
      <c r="AB20" s="198" t="n"/>
      <c r="AC20" s="198" t="n"/>
    </row>
    <row r="21" ht="15.75" customHeight="1" s="195">
      <c r="A21" s="337" t="n">
        <v>16</v>
      </c>
      <c r="B21" s="338" t="n"/>
      <c r="C21" s="337" t="inlineStr">
        <is>
          <t>REGION</t>
        </is>
      </c>
      <c r="D21" s="338" t="inlineStr">
        <is>
          <t>CHUQUIZUTA VALQUI ANTONIA</t>
        </is>
      </c>
      <c r="E21" s="337" t="inlineStr">
        <is>
          <t>DNI</t>
        </is>
      </c>
      <c r="F21" s="337" t="inlineStr">
        <is>
          <t>72106519</t>
        </is>
      </c>
      <c r="G21" s="339" t="n">
        <v>46087</v>
      </c>
      <c r="H21" s="337" t="inlineStr">
        <is>
          <t>4922</t>
        </is>
      </c>
      <c r="I21" s="332">
        <f>IFERROR(VLOOKUP(TEXT(H21,"0"),IPRESS!$A$3:$B$212,2,0),"")</f>
        <v/>
      </c>
      <c r="J21" s="337" t="inlineStr">
        <is>
          <t>4838</t>
        </is>
      </c>
      <c r="K21" s="357" t="inlineStr">
        <is>
          <t>GASOLINA</t>
        </is>
      </c>
      <c r="L21" s="340" t="n">
        <v>17.95</v>
      </c>
      <c r="M21" s="340" t="n">
        <v>6</v>
      </c>
      <c r="N21" s="333">
        <f>IFERROR(IF(L21*M21=0,"",L21*M21),"")</f>
        <v/>
      </c>
      <c r="O21" s="337" t="inlineStr">
        <is>
          <t>71640877</t>
        </is>
      </c>
      <c r="P21" s="332">
        <f>IFERROR(VLOOKUP(TEXT(O21,"0"),CONDUCTORES!$A$3:$G$100,2,0),"")</f>
        <v/>
      </c>
      <c r="Q21" s="332">
        <f>IFERROR(VLOOKUP(TEXT(O21,"0"),CONDUCTORES!$A$3:$H$100,6,0),"")</f>
        <v/>
      </c>
      <c r="R21" s="341" t="n"/>
      <c r="S21" s="338" t="inlineStr">
        <is>
          <t>O034</t>
        </is>
      </c>
      <c r="T21" s="337" t="n"/>
      <c r="U21" s="341" t="n"/>
      <c r="V21" s="338" t="n"/>
      <c r="W21" s="337" t="n"/>
      <c r="X21" s="337" t="n"/>
      <c r="Y21" s="280" t="n"/>
      <c r="Z21" s="350">
        <f>IF(AND(R21&lt;&gt;"",V21&lt;&gt;"",W21&lt;&gt;""),"ENTREGADO","POR RECOGER")</f>
        <v/>
      </c>
      <c r="AA21" s="198" t="n"/>
      <c r="AB21" s="198" t="n"/>
      <c r="AC21" s="198" t="n"/>
    </row>
    <row r="22" ht="15.75" customHeight="1" s="195">
      <c r="A22" s="337" t="n">
        <v>17</v>
      </c>
      <c r="B22" s="338" t="n"/>
      <c r="C22" s="337" t="inlineStr">
        <is>
          <t>REGION</t>
        </is>
      </c>
      <c r="D22" s="338" t="inlineStr">
        <is>
          <t>PORTAL AÑASCO DENISE IBONE</t>
        </is>
      </c>
      <c r="E22" s="337" t="inlineStr">
        <is>
          <t>DNI</t>
        </is>
      </c>
      <c r="F22" s="337" t="inlineStr">
        <is>
          <t>33733965</t>
        </is>
      </c>
      <c r="G22" s="339" t="n">
        <v>46087</v>
      </c>
      <c r="H22" s="337" t="inlineStr">
        <is>
          <t>4922</t>
        </is>
      </c>
      <c r="I22" s="332">
        <f>IFERROR(VLOOKUP(TEXT(H22,"0"),IPRESS!$A$3:$B$212,2,0),"")</f>
        <v/>
      </c>
      <c r="J22" s="337" t="inlineStr">
        <is>
          <t>4838</t>
        </is>
      </c>
      <c r="K22" s="357" t="inlineStr">
        <is>
          <t>GASOLINA</t>
        </is>
      </c>
      <c r="L22" s="340" t="n">
        <v>17.95</v>
      </c>
      <c r="M22" s="340" t="n">
        <v>6</v>
      </c>
      <c r="N22" s="333">
        <f>IFERROR(IF(L22*M22=0,"",L22*M22),"")</f>
        <v/>
      </c>
      <c r="O22" s="337" t="inlineStr">
        <is>
          <t>42494083</t>
        </is>
      </c>
      <c r="P22" s="332">
        <f>IFERROR(VLOOKUP(TEXT(O22,"0"),CONDUCTORES!$A$3:$G$100,2,0),"")</f>
        <v/>
      </c>
      <c r="Q22" s="332">
        <f>IFERROR(VLOOKUP(TEXT(O22,"0"),CONDUCTORES!$A$3:$H$100,6,0),"")</f>
        <v/>
      </c>
      <c r="R22" s="341" t="n"/>
      <c r="S22" s="338" t="inlineStr">
        <is>
          <t>L032,L020</t>
        </is>
      </c>
      <c r="T22" s="337" t="n"/>
      <c r="U22" s="341" t="n"/>
      <c r="V22" s="338" t="n"/>
      <c r="W22" s="337" t="n"/>
      <c r="X22" s="337" t="n"/>
      <c r="Y22" s="280" t="n"/>
      <c r="Z22" s="350">
        <f>IF(AND(R22&lt;&gt;"",V22&lt;&gt;"",W22&lt;&gt;""),"ENTREGADO","POR RECOGER")</f>
        <v/>
      </c>
      <c r="AA22" s="198" t="n"/>
      <c r="AB22" s="198" t="n"/>
      <c r="AC22" s="198" t="n"/>
    </row>
    <row r="23" ht="15.75" customHeight="1" s="195">
      <c r="A23" s="241" t="n">
        <v>18</v>
      </c>
      <c r="B23" s="305" t="n"/>
      <c r="C23" s="241" t="inlineStr">
        <is>
          <t>REGION</t>
        </is>
      </c>
      <c r="D23" s="305" t="inlineStr">
        <is>
          <t>TAFUR LOPEZ RITA TRINIDAD</t>
        </is>
      </c>
      <c r="E23" s="241" t="inlineStr">
        <is>
          <t>DNI</t>
        </is>
      </c>
      <c r="F23" s="241" t="inlineStr">
        <is>
          <t>33949640</t>
        </is>
      </c>
      <c r="G23" s="336" t="n">
        <v>46087</v>
      </c>
      <c r="H23" s="241" t="inlineStr">
        <is>
          <t>4950</t>
        </is>
      </c>
      <c r="I23" s="332">
        <f>IFERROR(VLOOKUP(TEXT(H23,"0"),IPRESS!$A$3:$B$212,2,0),"")</f>
        <v/>
      </c>
      <c r="J23" s="241" t="inlineStr">
        <is>
          <t>4838</t>
        </is>
      </c>
      <c r="K23" s="332" t="inlineStr">
        <is>
          <t>PETROLEO</t>
        </is>
      </c>
      <c r="L23" s="239" t="n">
        <v>20.25</v>
      </c>
      <c r="M23" s="239" t="n">
        <v>7</v>
      </c>
      <c r="N23" s="333">
        <f>IFERROR(IF(L23*M23=0,"",L23*M23),"")</f>
        <v/>
      </c>
      <c r="O23" s="241" t="inlineStr">
        <is>
          <t>41785950</t>
        </is>
      </c>
      <c r="P23" s="332">
        <f>IFERROR(VLOOKUP(TEXT(O23,"0"),CONDUCTORES!$A$3:$G$100,2,0),"")</f>
        <v/>
      </c>
      <c r="Q23" s="332">
        <f>IFERROR(VLOOKUP(TEXT(O23,"0"),CONDUCTORES!$A$3:$H$100,6,0),"")</f>
        <v/>
      </c>
      <c r="R23" s="280" t="n"/>
      <c r="S23" s="305" t="inlineStr">
        <is>
          <t>K922,D509</t>
        </is>
      </c>
      <c r="T23" s="241" t="n"/>
      <c r="U23" s="280" t="n"/>
      <c r="V23" s="305" t="n"/>
      <c r="W23" s="241" t="n"/>
      <c r="X23" s="241" t="n"/>
      <c r="Y23" s="280" t="n"/>
      <c r="Z23" s="350">
        <f>IF(AND(R23&lt;&gt;"",V23&lt;&gt;"",W23&lt;&gt;""),"ENTREGADO","POR RECOGER")</f>
        <v/>
      </c>
      <c r="AA23" s="198" t="n"/>
      <c r="AB23" s="198" t="n"/>
      <c r="AC23" s="198" t="n"/>
    </row>
    <row r="24" ht="15.75" customHeight="1" s="195">
      <c r="A24" s="301" t="n">
        <v>19</v>
      </c>
      <c r="B24" s="302" t="n"/>
      <c r="C24" s="301" t="inlineStr">
        <is>
          <t>REGION</t>
        </is>
      </c>
      <c r="D24" s="302" t="inlineStr">
        <is>
          <t>ARENAS HERNANDEZ NATALY</t>
        </is>
      </c>
      <c r="E24" s="301" t="inlineStr">
        <is>
          <t>DNI</t>
        </is>
      </c>
      <c r="F24" s="301" t="inlineStr">
        <is>
          <t>43793289</t>
        </is>
      </c>
      <c r="G24" s="331" t="n">
        <v>46088</v>
      </c>
      <c r="H24" s="301" t="inlineStr">
        <is>
          <t>4946</t>
        </is>
      </c>
      <c r="I24" s="332">
        <f>IFERROR(VLOOKUP(TEXT(H24,"0"),IPRESS!$A$3:$B$212,2,0),"")</f>
        <v/>
      </c>
      <c r="J24" s="301" t="inlineStr">
        <is>
          <t>4950</t>
        </is>
      </c>
      <c r="K24" s="332" t="inlineStr">
        <is>
          <t>PETROLEO</t>
        </is>
      </c>
      <c r="L24" s="245" t="n">
        <v>20.25</v>
      </c>
      <c r="M24" s="245" t="n">
        <v>3</v>
      </c>
      <c r="N24" s="333">
        <f>IFERROR(IF(L24*M24=0,"",L24*M24),"")</f>
        <v/>
      </c>
      <c r="O24" s="301" t="inlineStr">
        <is>
          <t>33962415</t>
        </is>
      </c>
      <c r="P24" s="332">
        <f>IFERROR(VLOOKUP(TEXT(O24,"0"),CONDUCTORES!$A$3:$G$100,2,0),"")</f>
        <v/>
      </c>
      <c r="Q24" s="332">
        <f>IFERROR(VLOOKUP(TEXT(O24,"0"),CONDUCTORES!$A$3:$H$100,6,0),"")</f>
        <v/>
      </c>
      <c r="R24" s="334" t="n"/>
      <c r="S24" s="302" t="inlineStr">
        <is>
          <t>O620</t>
        </is>
      </c>
      <c r="T24" s="301" t="n"/>
      <c r="U24" s="334" t="n"/>
      <c r="V24" s="302" t="n"/>
      <c r="W24" s="301" t="n"/>
      <c r="X24" s="301" t="n"/>
      <c r="Y24" s="280" t="n"/>
      <c r="Z24" s="350">
        <f>IF(AND(R24&lt;&gt;"",V24&lt;&gt;"",W24&lt;&gt;""),"ENTREGADO","POR RECOGER")</f>
        <v/>
      </c>
      <c r="AA24" s="198" t="n"/>
      <c r="AB24" s="198" t="n"/>
      <c r="AC24" s="198" t="n"/>
    </row>
    <row r="25" ht="15.75" customHeight="1" s="195">
      <c r="A25" s="241" t="n">
        <v>20</v>
      </c>
      <c r="B25" s="305" t="n"/>
      <c r="C25" s="241" t="inlineStr">
        <is>
          <t>REGION</t>
        </is>
      </c>
      <c r="D25" s="305" t="inlineStr">
        <is>
          <t>CHAVEZ PELAEZ MARINA</t>
        </is>
      </c>
      <c r="E25" s="241" t="inlineStr">
        <is>
          <t>DNI</t>
        </is>
      </c>
      <c r="F25" s="241" t="inlineStr">
        <is>
          <t>49019221</t>
        </is>
      </c>
      <c r="G25" s="336" t="n">
        <v>46088</v>
      </c>
      <c r="H25" s="241" t="inlineStr">
        <is>
          <t>4950</t>
        </is>
      </c>
      <c r="I25" s="332">
        <f>IFERROR(VLOOKUP(TEXT(H25,"0"),IPRESS!$A$3:$B$212,2,0),"")</f>
        <v/>
      </c>
      <c r="J25" s="241" t="inlineStr">
        <is>
          <t>4838</t>
        </is>
      </c>
      <c r="K25" s="332" t="inlineStr">
        <is>
          <t>PETROLEO</t>
        </is>
      </c>
      <c r="L25" s="239" t="n">
        <v>20.25</v>
      </c>
      <c r="M25" s="239" t="n">
        <v>7</v>
      </c>
      <c r="N25" s="333">
        <f>IFERROR(IF(L25*M25=0,"",L25*M25),"")</f>
        <v/>
      </c>
      <c r="O25" s="241" t="inlineStr">
        <is>
          <t>41785950</t>
        </is>
      </c>
      <c r="P25" s="332">
        <f>IFERROR(VLOOKUP(TEXT(O25,"0"),CONDUCTORES!$A$3:$G$100,2,0),"")</f>
        <v/>
      </c>
      <c r="Q25" s="332">
        <f>IFERROR(VLOOKUP(TEXT(O25,"0"),CONDUCTORES!$A$3:$H$100,6,0),"")</f>
        <v/>
      </c>
      <c r="R25" s="280" t="n"/>
      <c r="S25" s="305" t="inlineStr">
        <is>
          <t>I480,I219,I500</t>
        </is>
      </c>
      <c r="T25" s="241" t="n"/>
      <c r="U25" s="280" t="n"/>
      <c r="V25" s="305" t="n"/>
      <c r="W25" s="241" t="n"/>
      <c r="X25" s="241" t="n"/>
      <c r="Y25" s="280" t="n"/>
      <c r="Z25" s="350">
        <f>IF(AND(R25&lt;&gt;"",V25&lt;&gt;"",W25&lt;&gt;""),"ENTREGADO","POR RECOGER")</f>
        <v/>
      </c>
      <c r="AA25" s="198" t="n"/>
      <c r="AB25" s="198" t="n"/>
      <c r="AC25" s="198" t="n"/>
    </row>
    <row r="26" ht="15.75" customHeight="1" s="195">
      <c r="A26" s="351" t="n">
        <v>21</v>
      </c>
      <c r="B26" s="352" t="n"/>
      <c r="C26" s="351" t="inlineStr">
        <is>
          <t>REGION</t>
        </is>
      </c>
      <c r="D26" s="352" t="inlineStr">
        <is>
          <t>FONSECA MARTINEZ JHIANINA</t>
        </is>
      </c>
      <c r="E26" s="351" t="inlineStr">
        <is>
          <t>DNI</t>
        </is>
      </c>
      <c r="F26" s="351" t="inlineStr">
        <is>
          <t>75524926</t>
        </is>
      </c>
      <c r="G26" s="353" t="n">
        <v>46088</v>
      </c>
      <c r="H26" s="351" t="inlineStr">
        <is>
          <t>4875</t>
        </is>
      </c>
      <c r="I26" s="332">
        <f>IFERROR(VLOOKUP(TEXT(H26,"0"),IPRESS!$A$3:$B$212,2,0),"")</f>
        <v/>
      </c>
      <c r="J26" s="351" t="inlineStr">
        <is>
          <t>5125</t>
        </is>
      </c>
      <c r="K26" s="332" t="inlineStr">
        <is>
          <t>PETROLEO</t>
        </is>
      </c>
      <c r="L26" s="354" t="n">
        <v>18.18</v>
      </c>
      <c r="M26" s="354" t="n">
        <v>20</v>
      </c>
      <c r="N26" s="333">
        <f>IFERROR(IF(L26*M26=0,"",L26*M26),"")</f>
        <v/>
      </c>
      <c r="O26" s="276" t="inlineStr">
        <is>
          <t>75492112</t>
        </is>
      </c>
      <c r="P26" s="332">
        <f>IFERROR(VLOOKUP(TEXT(O26,"0"),CONDUCTORES!$A$3:$G$100,2,0),"")</f>
        <v/>
      </c>
      <c r="Q26" s="332">
        <f>IFERROR(VLOOKUP(TEXT(O26,"0"),CONDUCTORES!$A$3:$H$100,6,0),"")</f>
        <v/>
      </c>
      <c r="R26" s="355" t="n"/>
      <c r="S26" s="352" t="inlineStr">
        <is>
          <t>K359</t>
        </is>
      </c>
      <c r="T26" s="351" t="n"/>
      <c r="U26" s="355" t="n"/>
      <c r="V26" s="352" t="n"/>
      <c r="W26" s="351" t="n"/>
      <c r="X26" s="351" t="n"/>
      <c r="Y26" s="356" t="inlineStr">
        <is>
          <t>COCOCHO</t>
        </is>
      </c>
      <c r="Z26" s="350">
        <f>IF(AND(R26&lt;&gt;"",V26&lt;&gt;"",W26&lt;&gt;""),"ENTREGADO","POR RECOGER")</f>
        <v/>
      </c>
      <c r="AA26" s="198" t="n"/>
      <c r="AB26" s="198" t="n"/>
      <c r="AC26" s="198" t="n"/>
    </row>
    <row r="27" ht="15.75" customHeight="1" s="195">
      <c r="A27" s="241" t="n">
        <v>22</v>
      </c>
      <c r="B27" s="305" t="n"/>
      <c r="C27" s="241" t="inlineStr">
        <is>
          <t>REGION</t>
        </is>
      </c>
      <c r="D27" s="305" t="inlineStr">
        <is>
          <t>MUÑOZ VILLALOVOS JUAN</t>
        </is>
      </c>
      <c r="E27" s="241" t="inlineStr">
        <is>
          <t>DNI</t>
        </is>
      </c>
      <c r="F27" s="241" t="inlineStr">
        <is>
          <t>3686526</t>
        </is>
      </c>
      <c r="G27" s="336" t="n">
        <v>46089</v>
      </c>
      <c r="H27" s="241" t="inlineStr">
        <is>
          <t>4950</t>
        </is>
      </c>
      <c r="I27" s="332">
        <f>IFERROR(VLOOKUP(TEXT(H27,"0"),IPRESS!$A$3:$B$212,2,0),"")</f>
        <v/>
      </c>
      <c r="J27" s="241" t="inlineStr">
        <is>
          <t>4838</t>
        </is>
      </c>
      <c r="K27" s="332" t="inlineStr">
        <is>
          <t>PETROLEO</t>
        </is>
      </c>
      <c r="L27" s="239" t="n">
        <v>20.25</v>
      </c>
      <c r="M27" s="239" t="n">
        <v>7</v>
      </c>
      <c r="N27" s="333">
        <f>IFERROR(IF(L27*M27=0,"",L27*M27),"")</f>
        <v/>
      </c>
      <c r="O27" s="241" t="inlineStr">
        <is>
          <t>42333513</t>
        </is>
      </c>
      <c r="P27" s="332">
        <f>IFERROR(VLOOKUP(TEXT(O27,"0"),CONDUCTORES!$A$3:$G$100,2,0),"")</f>
        <v/>
      </c>
      <c r="Q27" s="332">
        <f>IFERROR(VLOOKUP(TEXT(O27,"0"),CONDUCTORES!$A$3:$H$100,6,0),"")</f>
        <v/>
      </c>
      <c r="R27" s="280" t="n"/>
      <c r="S27" s="305" t="inlineStr">
        <is>
          <t>S320,T07X</t>
        </is>
      </c>
      <c r="T27" s="241" t="n"/>
      <c r="U27" s="280" t="n"/>
      <c r="V27" s="305" t="n"/>
      <c r="W27" s="241" t="n"/>
      <c r="X27" s="241" t="n"/>
      <c r="Y27" s="280" t="n"/>
      <c r="Z27" s="350">
        <f>IF(AND(R27&lt;&gt;"",V27&lt;&gt;"",W27&lt;&gt;""),"ENTREGADO","POR RECOGER")</f>
        <v/>
      </c>
      <c r="AA27" s="198" t="n"/>
      <c r="AB27" s="198" t="n"/>
      <c r="AC27" s="198" t="n"/>
    </row>
    <row r="28" ht="15.75" customHeight="1" s="195">
      <c r="A28" s="301" t="n">
        <v>23</v>
      </c>
      <c r="B28" s="302" t="n"/>
      <c r="C28" s="301" t="inlineStr">
        <is>
          <t>REGION</t>
        </is>
      </c>
      <c r="D28" s="302" t="inlineStr">
        <is>
          <t>EDQUEN IDROGO MAXIMILIANO</t>
        </is>
      </c>
      <c r="E28" s="301" t="inlineStr">
        <is>
          <t>DNI</t>
        </is>
      </c>
      <c r="F28" s="301" t="inlineStr">
        <is>
          <t>33431626</t>
        </is>
      </c>
      <c r="G28" s="331" t="n">
        <v>46089</v>
      </c>
      <c r="H28" s="301" t="inlineStr">
        <is>
          <t>4904</t>
        </is>
      </c>
      <c r="I28" s="332">
        <f>IFERROR(VLOOKUP(TEXT(H28,"0"),IPRESS!$A$3:$B$212,2,0),"")</f>
        <v/>
      </c>
      <c r="J28" s="301" t="inlineStr">
        <is>
          <t>4838</t>
        </is>
      </c>
      <c r="K28" s="332" t="inlineStr">
        <is>
          <t>PETROLEO</t>
        </is>
      </c>
      <c r="L28" s="245" t="n">
        <v>18.18</v>
      </c>
      <c r="M28" s="245" t="n">
        <v>6</v>
      </c>
      <c r="N28" s="333">
        <f>IFERROR(IF(L28*M28=0,"",L28*M28),"")</f>
        <v/>
      </c>
      <c r="O28" s="301" t="inlineStr">
        <is>
          <t>40051255</t>
        </is>
      </c>
      <c r="P28" s="332">
        <f>IFERROR(VLOOKUP(TEXT(O28,"0"),CONDUCTORES!$A$3:$G$100,2,0),"")</f>
        <v/>
      </c>
      <c r="Q28" s="332">
        <f>IFERROR(VLOOKUP(TEXT(O28,"0"),CONDUCTORES!$A$3:$H$100,6,0),"")</f>
        <v/>
      </c>
      <c r="R28" s="334" t="n"/>
      <c r="S28" s="302" t="inlineStr">
        <is>
          <t>K800,J158</t>
        </is>
      </c>
      <c r="T28" s="301" t="n"/>
      <c r="U28" s="334" t="n"/>
      <c r="V28" s="302" t="n"/>
      <c r="W28" s="301" t="n"/>
      <c r="X28" s="301" t="n"/>
      <c r="Y28" s="280" t="n"/>
      <c r="Z28" s="350">
        <f>IF(AND(R28&lt;&gt;"",V28&lt;&gt;"",W28&lt;&gt;""),"ENTREGADO","POR RECOGER")</f>
        <v/>
      </c>
      <c r="AA28" s="198" t="n"/>
      <c r="AB28" s="198" t="n"/>
      <c r="AC28" s="198" t="n"/>
    </row>
    <row r="29" ht="15.75" customHeight="1" s="195">
      <c r="A29" s="241" t="n">
        <v>24</v>
      </c>
      <c r="B29" s="305" t="n"/>
      <c r="C29" s="241" t="inlineStr">
        <is>
          <t>REGION</t>
        </is>
      </c>
      <c r="D29" s="305" t="inlineStr">
        <is>
          <t>CHALAS TISNADO NANCY RAQUEL</t>
        </is>
      </c>
      <c r="E29" s="241" t="inlineStr">
        <is>
          <t>DNI</t>
        </is>
      </c>
      <c r="F29" s="241" t="inlineStr">
        <is>
          <t>44592948</t>
        </is>
      </c>
      <c r="G29" s="336" t="n">
        <v>46089</v>
      </c>
      <c r="H29" s="241" t="inlineStr">
        <is>
          <t>4876</t>
        </is>
      </c>
      <c r="I29" s="332">
        <f>IFERROR(VLOOKUP(TEXT(H29,"0"),IPRESS!$A$3:$B$212,2,0),"")</f>
        <v/>
      </c>
      <c r="J29" s="241" t="inlineStr">
        <is>
          <t>5125</t>
        </is>
      </c>
      <c r="K29" s="332" t="inlineStr">
        <is>
          <t>PETROLEO</t>
        </is>
      </c>
      <c r="L29" s="239" t="n">
        <v>18.18</v>
      </c>
      <c r="M29" s="239" t="n">
        <v>22</v>
      </c>
      <c r="N29" s="333">
        <f>IFERROR(IF(L29*M29=0,"",L29*M29),"")</f>
        <v/>
      </c>
      <c r="O29" s="272" t="inlineStr">
        <is>
          <t>16712192</t>
        </is>
      </c>
      <c r="P29" s="332">
        <f>IFERROR(VLOOKUP(TEXT(O29,"0"),CONDUCTORES!$A$3:$G$100,2,0),"")</f>
        <v/>
      </c>
      <c r="Q29" s="332">
        <f>IFERROR(VLOOKUP(TEXT(O29,"0"),CONDUCTORES!$A$3:$H$100,6,0),"")</f>
        <v/>
      </c>
      <c r="R29" s="280" t="n"/>
      <c r="S29" s="305" t="inlineStr">
        <is>
          <t>O031</t>
        </is>
      </c>
      <c r="T29" s="241" t="n"/>
      <c r="U29" s="280" t="n"/>
      <c r="V29" s="305" t="n"/>
      <c r="W29" s="241" t="n"/>
      <c r="X29" s="241" t="n"/>
      <c r="Y29" s="280" t="n"/>
      <c r="Z29" s="350">
        <f>IF(AND(R29&lt;&gt;"",V29&lt;&gt;"",W29&lt;&gt;""),"ENTREGADO","POR RECOGER")</f>
        <v/>
      </c>
      <c r="AA29" s="198" t="n"/>
      <c r="AB29" s="198" t="n"/>
      <c r="AC29" s="198" t="n"/>
    </row>
    <row r="30" ht="15.75" customHeight="1" s="195">
      <c r="A30" s="301" t="n">
        <v>25</v>
      </c>
      <c r="B30" s="302" t="n"/>
      <c r="C30" s="301" t="inlineStr">
        <is>
          <t>REGION</t>
        </is>
      </c>
      <c r="D30" s="302" t="inlineStr">
        <is>
          <t>TAFUR HOYOS ROSA LIDIA</t>
        </is>
      </c>
      <c r="E30" s="301" t="inlineStr">
        <is>
          <t>DNI</t>
        </is>
      </c>
      <c r="F30" s="301" t="inlineStr">
        <is>
          <t>33739130</t>
        </is>
      </c>
      <c r="G30" s="331" t="n">
        <v>46090</v>
      </c>
      <c r="H30" s="301" t="inlineStr">
        <is>
          <t>4922</t>
        </is>
      </c>
      <c r="I30" s="332">
        <f>IFERROR(VLOOKUP(TEXT(H30,"0"),IPRESS!$A$3:$B$212,2,0),"")</f>
        <v/>
      </c>
      <c r="J30" s="301" t="inlineStr">
        <is>
          <t>4838</t>
        </is>
      </c>
      <c r="K30" s="332" t="inlineStr">
        <is>
          <t>PETROLEO</t>
        </is>
      </c>
      <c r="L30" s="245" t="n">
        <v>18.18</v>
      </c>
      <c r="M30" s="245" t="n">
        <v>5</v>
      </c>
      <c r="N30" s="333">
        <f>IFERROR(IF(L30*M30=0,"",L30*M30),"")</f>
        <v/>
      </c>
      <c r="O30" s="301" t="inlineStr">
        <is>
          <t>71640877</t>
        </is>
      </c>
      <c r="P30" s="332">
        <f>IFERROR(VLOOKUP(TEXT(O30,"0"),CONDUCTORES!$A$3:$G$100,2,0),"")</f>
        <v/>
      </c>
      <c r="Q30" s="332">
        <f>IFERROR(VLOOKUP(TEXT(O30,"0"),CONDUCTORES!$A$3:$H$100,6,0),"")</f>
        <v/>
      </c>
      <c r="R30" s="334" t="n"/>
      <c r="S30" s="302" t="inlineStr">
        <is>
          <t>I64X,I10X</t>
        </is>
      </c>
      <c r="T30" s="301" t="n"/>
      <c r="U30" s="334" t="n"/>
      <c r="V30" s="302" t="n"/>
      <c r="W30" s="301" t="n"/>
      <c r="X30" s="301" t="n"/>
      <c r="Y30" s="280" t="n"/>
      <c r="Z30" s="350">
        <f>IF(AND(R30&lt;&gt;"",V30&lt;&gt;"",W30&lt;&gt;""),"ENTREGADO","POR RECOGER")</f>
        <v/>
      </c>
      <c r="AA30" s="198" t="n"/>
      <c r="AB30" s="198" t="n"/>
      <c r="AC30" s="198" t="n"/>
    </row>
    <row r="31" ht="15.75" customHeight="1" s="195">
      <c r="A31" s="241" t="n">
        <v>26</v>
      </c>
      <c r="B31" s="305" t="n"/>
      <c r="C31" s="241" t="inlineStr">
        <is>
          <t>REGION</t>
        </is>
      </c>
      <c r="D31" s="305" t="inlineStr">
        <is>
          <t>CASAS RAMOS FLORECINDA</t>
        </is>
      </c>
      <c r="E31" s="241" t="inlineStr">
        <is>
          <t>DNI</t>
        </is>
      </c>
      <c r="F31" s="241" t="inlineStr">
        <is>
          <t>48437939</t>
        </is>
      </c>
      <c r="G31" s="336" t="n">
        <v>46090</v>
      </c>
      <c r="H31" s="241" t="inlineStr">
        <is>
          <t>4874</t>
        </is>
      </c>
      <c r="I31" s="332">
        <f>IFERROR(VLOOKUP(TEXT(H31,"0"),IPRESS!$A$3:$B$212,2,0),"")</f>
        <v/>
      </c>
      <c r="J31" s="241" t="inlineStr">
        <is>
          <t>5125</t>
        </is>
      </c>
      <c r="K31" s="332" t="inlineStr">
        <is>
          <t>PETROLEO</t>
        </is>
      </c>
      <c r="L31" s="239" t="n">
        <v>18.18</v>
      </c>
      <c r="M31" s="239" t="n">
        <v>22</v>
      </c>
      <c r="N31" s="333">
        <f>IFERROR(IF(L31*M31=0,"",L31*M31),"")</f>
        <v/>
      </c>
      <c r="O31" s="276" t="inlineStr">
        <is>
          <t>75492112</t>
        </is>
      </c>
      <c r="P31" s="332">
        <f>IFERROR(VLOOKUP(TEXT(O31,"0"),CONDUCTORES!$A$3:$G$100,2,0),"")</f>
        <v/>
      </c>
      <c r="Q31" s="332">
        <f>IFERROR(VLOOKUP(TEXT(O31,"0"),CONDUCTORES!$A$3:$H$100,6,0),"")</f>
        <v/>
      </c>
      <c r="R31" s="280" t="n"/>
      <c r="S31" s="305" t="inlineStr">
        <is>
          <t>R100,K359</t>
        </is>
      </c>
      <c r="T31" s="241" t="n"/>
      <c r="U31" s="280" t="n"/>
      <c r="V31" s="305" t="n"/>
      <c r="W31" s="241" t="n"/>
      <c r="X31" s="241" t="n"/>
      <c r="Y31" s="280" t="n"/>
      <c r="Z31" s="350">
        <f>IF(AND(R31&lt;&gt;"",V31&lt;&gt;"",W31&lt;&gt;""),"ENTREGADO","POR RECOGER")</f>
        <v/>
      </c>
      <c r="AA31" s="198" t="n"/>
      <c r="AB31" s="198" t="n"/>
      <c r="AC31" s="198" t="n"/>
    </row>
    <row r="32" ht="15.75" customHeight="1" s="195">
      <c r="A32" s="301" t="n">
        <v>27</v>
      </c>
      <c r="B32" s="302" t="n"/>
      <c r="C32" s="301" t="inlineStr">
        <is>
          <t>REGION</t>
        </is>
      </c>
      <c r="D32" s="302" t="inlineStr">
        <is>
          <t>JARA ALIAGA ALDAIR ANTENOR</t>
        </is>
      </c>
      <c r="E32" s="301" t="inlineStr">
        <is>
          <t>DNI</t>
        </is>
      </c>
      <c r="F32" s="301" t="inlineStr">
        <is>
          <t>63721070</t>
        </is>
      </c>
      <c r="G32" s="331" t="n">
        <v>46091</v>
      </c>
      <c r="H32" s="301" t="inlineStr">
        <is>
          <t>4950</t>
        </is>
      </c>
      <c r="I32" s="332">
        <f>IFERROR(VLOOKUP(TEXT(H32,"0"),IPRESS!$A$3:$B$212,2,0),"")</f>
        <v/>
      </c>
      <c r="J32" s="301" t="inlineStr">
        <is>
          <t>4838</t>
        </is>
      </c>
      <c r="K32" s="332" t="inlineStr">
        <is>
          <t>PETROLEO</t>
        </is>
      </c>
      <c r="L32" s="245" t="n">
        <v>20.25</v>
      </c>
      <c r="M32" s="245" t="n">
        <v>7</v>
      </c>
      <c r="N32" s="333">
        <f>IFERROR(IF(L32*M32=0,"",L32*M32),"")</f>
        <v/>
      </c>
      <c r="O32" s="301" t="inlineStr">
        <is>
          <t>42333513</t>
        </is>
      </c>
      <c r="P32" s="332">
        <f>IFERROR(VLOOKUP(TEXT(O32,"0"),CONDUCTORES!$A$3:$G$100,2,0),"")</f>
        <v/>
      </c>
      <c r="Q32" s="332">
        <f>IFERROR(VLOOKUP(TEXT(O32,"0"),CONDUCTORES!$A$3:$H$100,6,0),"")</f>
        <v/>
      </c>
      <c r="R32" s="334" t="n"/>
      <c r="S32" s="302" t="inlineStr">
        <is>
          <t>K359</t>
        </is>
      </c>
      <c r="T32" s="301" t="n"/>
      <c r="U32" s="334" t="n"/>
      <c r="V32" s="302" t="n"/>
      <c r="W32" s="301" t="n"/>
      <c r="X32" s="301" t="n"/>
      <c r="Y32" s="280" t="n"/>
      <c r="Z32" s="350">
        <f>IF(AND(R32&lt;&gt;"",V32&lt;&gt;"",W32&lt;&gt;""),"ENTREGADO","POR RECOGER")</f>
        <v/>
      </c>
      <c r="AA32" s="198" t="n"/>
      <c r="AB32" s="198" t="n"/>
      <c r="AC32" s="198" t="n"/>
    </row>
    <row r="33" ht="15.75" customHeight="1" s="195">
      <c r="A33" s="337" t="n">
        <v>28</v>
      </c>
      <c r="B33" s="338" t="n"/>
      <c r="C33" s="337" t="inlineStr">
        <is>
          <t>REGION</t>
        </is>
      </c>
      <c r="D33" s="338" t="inlineStr">
        <is>
          <t>MENDOZA ZUTA VICTOR</t>
        </is>
      </c>
      <c r="E33" s="337" t="inlineStr">
        <is>
          <t>DNI</t>
        </is>
      </c>
      <c r="F33" s="337" t="inlineStr">
        <is>
          <t>33725852</t>
        </is>
      </c>
      <c r="G33" s="339" t="n">
        <v>46091</v>
      </c>
      <c r="H33" s="337" t="inlineStr">
        <is>
          <t>4932</t>
        </is>
      </c>
      <c r="I33" s="332">
        <f>IFERROR(VLOOKUP(TEXT(H33,"0"),IPRESS!$A$3:$B$212,2,0),"")</f>
        <v/>
      </c>
      <c r="J33" s="337" t="inlineStr">
        <is>
          <t>4838</t>
        </is>
      </c>
      <c r="K33" s="357" t="inlineStr">
        <is>
          <t>GASOLINA</t>
        </is>
      </c>
      <c r="L33" s="340" t="n">
        <v>17.95</v>
      </c>
      <c r="M33" s="340" t="n">
        <v>11</v>
      </c>
      <c r="N33" s="333">
        <f>IFERROR(IF(L33*M33=0,"",L33*M33),"")</f>
        <v/>
      </c>
      <c r="O33" s="337" t="inlineStr">
        <is>
          <t>33727119</t>
        </is>
      </c>
      <c r="P33" s="332">
        <f>IFERROR(VLOOKUP(TEXT(O33,"0"),CONDUCTORES!$A$3:$G$100,2,0),"")</f>
        <v/>
      </c>
      <c r="Q33" s="332">
        <f>IFERROR(VLOOKUP(TEXT(O33,"0"),CONDUCTORES!$A$3:$H$100,6,0),"")</f>
        <v/>
      </c>
      <c r="R33" s="341" t="n"/>
      <c r="S33" s="338" t="inlineStr">
        <is>
          <t>D509,J960,C629</t>
        </is>
      </c>
      <c r="T33" s="337" t="n"/>
      <c r="U33" s="341" t="n"/>
      <c r="V33" s="338" t="n"/>
      <c r="W33" s="337" t="n"/>
      <c r="X33" s="337" t="n"/>
      <c r="Y33" s="280" t="n"/>
      <c r="Z33" s="350">
        <f>IF(AND(R33&lt;&gt;"",V33&lt;&gt;"",W33&lt;&gt;""),"ENTREGADO","POR RECOGER")</f>
        <v/>
      </c>
      <c r="AA33" s="198" t="n"/>
      <c r="AB33" s="198" t="n"/>
      <c r="AC33" s="198" t="n"/>
    </row>
    <row r="34" ht="15.75" customHeight="1" s="195">
      <c r="A34" s="301" t="n">
        <v>29</v>
      </c>
      <c r="B34" s="302" t="n"/>
      <c r="C34" s="301" t="inlineStr">
        <is>
          <t>REGION</t>
        </is>
      </c>
      <c r="D34" s="302" t="inlineStr">
        <is>
          <t>MEJIA DOMINGUEZ LILI LLOVANI</t>
        </is>
      </c>
      <c r="E34" s="301" t="inlineStr">
        <is>
          <t>DNI</t>
        </is>
      </c>
      <c r="F34" s="301" t="inlineStr">
        <is>
          <t>74448692</t>
        </is>
      </c>
      <c r="G34" s="331" t="n">
        <v>46091</v>
      </c>
      <c r="H34" s="301" t="inlineStr">
        <is>
          <t>4950</t>
        </is>
      </c>
      <c r="I34" s="332">
        <f>IFERROR(VLOOKUP(TEXT(H34,"0"),IPRESS!$A$3:$B$212,2,0),"")</f>
        <v/>
      </c>
      <c r="J34" s="301" t="inlineStr">
        <is>
          <t>4838</t>
        </is>
      </c>
      <c r="K34" s="332" t="inlineStr">
        <is>
          <t>PETROLEO</t>
        </is>
      </c>
      <c r="L34" s="245" t="n">
        <v>20.25</v>
      </c>
      <c r="M34" s="245" t="n">
        <v>7</v>
      </c>
      <c r="N34" s="333">
        <f>IFERROR(IF(L34*M34=0,"",L34*M34),"")</f>
        <v/>
      </c>
      <c r="O34" s="301" t="inlineStr">
        <is>
          <t>42333513</t>
        </is>
      </c>
      <c r="P34" s="332">
        <f>IFERROR(VLOOKUP(TEXT(O34,"0"),CONDUCTORES!$A$3:$G$100,2,0),"")</f>
        <v/>
      </c>
      <c r="Q34" s="332">
        <f>IFERROR(VLOOKUP(TEXT(O34,"0"),CONDUCTORES!$A$3:$H$100,6,0),"")</f>
        <v/>
      </c>
      <c r="R34" s="334" t="n"/>
      <c r="S34" s="302" t="inlineStr">
        <is>
          <t>O429,O339</t>
        </is>
      </c>
      <c r="T34" s="301" t="n"/>
      <c r="U34" s="334" t="n"/>
      <c r="V34" s="302" t="n"/>
      <c r="W34" s="301" t="n"/>
      <c r="X34" s="301" t="n"/>
      <c r="Y34" s="280" t="n"/>
      <c r="Z34" s="350">
        <f>IF(AND(R34&lt;&gt;"",V34&lt;&gt;"",W34&lt;&gt;""),"ENTREGADO","POR RECOGER")</f>
        <v/>
      </c>
      <c r="AA34" s="198" t="n"/>
      <c r="AB34" s="198" t="n"/>
      <c r="AC34" s="198" t="n"/>
    </row>
    <row r="35" ht="15.75" customHeight="1" s="195">
      <c r="A35" s="351" t="n">
        <v>30</v>
      </c>
      <c r="B35" s="352" t="n"/>
      <c r="C35" s="351" t="inlineStr">
        <is>
          <t>REGION</t>
        </is>
      </c>
      <c r="D35" s="352" t="inlineStr">
        <is>
          <t>MUÑOZ NAYERLY CARLOS</t>
        </is>
      </c>
      <c r="E35" s="351" t="inlineStr">
        <is>
          <t>DNI</t>
        </is>
      </c>
      <c r="F35" s="351" t="inlineStr">
        <is>
          <t>78203690</t>
        </is>
      </c>
      <c r="G35" s="353" t="n">
        <v>46091</v>
      </c>
      <c r="H35" s="351" t="inlineStr">
        <is>
          <t>4844</t>
        </is>
      </c>
      <c r="I35" s="332">
        <f>IFERROR(VLOOKUP(TEXT(H35,"0"),IPRESS!$A$3:$B$212,2,0),"")</f>
        <v/>
      </c>
      <c r="J35" s="351" t="inlineStr">
        <is>
          <t>4838</t>
        </is>
      </c>
      <c r="K35" s="332" t="inlineStr">
        <is>
          <t>PETROLEO</t>
        </is>
      </c>
      <c r="L35" s="354" t="n">
        <v>18.18</v>
      </c>
      <c r="M35" s="354" t="n">
        <v>20</v>
      </c>
      <c r="N35" s="333">
        <f>IFERROR(IF(L35*M35=0,"",L35*M35),"")</f>
        <v/>
      </c>
      <c r="O35" s="272" t="inlineStr">
        <is>
          <t>16712192</t>
        </is>
      </c>
      <c r="P35" s="332">
        <f>IFERROR(VLOOKUP(TEXT(O35,"0"),CONDUCTORES!$A$3:$G$100,2,0),"")</f>
        <v/>
      </c>
      <c r="Q35" s="332">
        <f>IFERROR(VLOOKUP(TEXT(O35,"0"),CONDUCTORES!$A$3:$H$100,6,0),"")</f>
        <v/>
      </c>
      <c r="R35" s="355" t="n"/>
      <c r="S35" s="352" t="inlineStr">
        <is>
          <t>O363</t>
        </is>
      </c>
      <c r="T35" s="351" t="n"/>
      <c r="U35" s="355" t="n"/>
      <c r="V35" s="352" t="n"/>
      <c r="W35" s="351" t="n"/>
      <c r="X35" s="351" t="n"/>
      <c r="Y35" s="356" t="inlineStr">
        <is>
          <t>OCALLI</t>
        </is>
      </c>
      <c r="Z35" s="350">
        <f>IF(AND(R35&lt;&gt;"",V35&lt;&gt;"",W35&lt;&gt;""),"ENTREGADO","POR RECOGER")</f>
        <v/>
      </c>
      <c r="AA35" s="198" t="n"/>
      <c r="AB35" s="198" t="n"/>
      <c r="AC35" s="198" t="n"/>
    </row>
    <row r="36" ht="15.75" customHeight="1" s="195">
      <c r="A36" s="301" t="n">
        <v>31</v>
      </c>
      <c r="B36" s="302" t="n"/>
      <c r="C36" s="301" t="inlineStr">
        <is>
          <t>REGION</t>
        </is>
      </c>
      <c r="D36" s="302" t="inlineStr">
        <is>
          <t>VALDEZ MORI HERMILA</t>
        </is>
      </c>
      <c r="E36" s="301" t="inlineStr">
        <is>
          <t>DNI</t>
        </is>
      </c>
      <c r="F36" s="301" t="inlineStr">
        <is>
          <t>33804235</t>
        </is>
      </c>
      <c r="G36" s="331" t="n">
        <v>46092</v>
      </c>
      <c r="H36" s="301" t="inlineStr">
        <is>
          <t>4904</t>
        </is>
      </c>
      <c r="I36" s="332">
        <f>IFERROR(VLOOKUP(TEXT(H36,"0"),IPRESS!$A$3:$B$212,2,0),"")</f>
        <v/>
      </c>
      <c r="J36" s="301" t="inlineStr">
        <is>
          <t>4838</t>
        </is>
      </c>
      <c r="K36" s="332" t="inlineStr">
        <is>
          <t>PETROLEO</t>
        </is>
      </c>
      <c r="L36" s="245" t="n">
        <v>18.18</v>
      </c>
      <c r="M36" s="245" t="n">
        <v>8</v>
      </c>
      <c r="N36" s="333">
        <f>IFERROR(IF(L36*M36=0,"",L36*M36),"")</f>
        <v/>
      </c>
      <c r="O36" s="301" t="inlineStr">
        <is>
          <t>44894499</t>
        </is>
      </c>
      <c r="P36" s="332">
        <f>IFERROR(VLOOKUP(TEXT(O36,"0"),CONDUCTORES!$A$3:$G$100,2,0),"")</f>
        <v/>
      </c>
      <c r="Q36" s="332">
        <f>IFERROR(VLOOKUP(TEXT(O36,"0"),CONDUCTORES!$A$3:$H$100,6,0),"")</f>
        <v/>
      </c>
      <c r="R36" s="334" t="n"/>
      <c r="S36" s="302" t="inlineStr">
        <is>
          <t>S720</t>
        </is>
      </c>
      <c r="T36" s="301" t="n"/>
      <c r="U36" s="334" t="n"/>
      <c r="V36" s="302" t="n"/>
      <c r="W36" s="301" t="n"/>
      <c r="X36" s="301" t="n"/>
      <c r="Y36" s="280" t="n"/>
      <c r="Z36" s="350">
        <f>IF(AND(R36&lt;&gt;"",V36&lt;&gt;"",W36&lt;&gt;""),"ENTREGADO","POR RECOGER")</f>
        <v/>
      </c>
      <c r="AA36" s="198" t="n"/>
      <c r="AB36" s="198" t="n"/>
      <c r="AC36" s="198" t="n"/>
    </row>
    <row r="37" ht="15.75" customHeight="1" s="195">
      <c r="A37" s="241" t="n">
        <v>32</v>
      </c>
      <c r="B37" s="305" t="n"/>
      <c r="C37" s="241" t="inlineStr">
        <is>
          <t>REGION</t>
        </is>
      </c>
      <c r="D37" s="305" t="inlineStr">
        <is>
          <t>PORTOCARRERO ARISTA ROSA SOFIA</t>
        </is>
      </c>
      <c r="E37" s="241" t="inlineStr">
        <is>
          <t>DNI</t>
        </is>
      </c>
      <c r="F37" s="241" t="inlineStr">
        <is>
          <t>33944625</t>
        </is>
      </c>
      <c r="G37" s="336" t="n">
        <v>46092</v>
      </c>
      <c r="H37" s="241" t="inlineStr">
        <is>
          <t>4950</t>
        </is>
      </c>
      <c r="I37" s="332">
        <f>IFERROR(VLOOKUP(TEXT(H37,"0"),IPRESS!$A$3:$B$212,2,0),"")</f>
        <v/>
      </c>
      <c r="J37" s="241" t="inlineStr">
        <is>
          <t>4838</t>
        </is>
      </c>
      <c r="K37" s="332" t="inlineStr">
        <is>
          <t>PETROLEO</t>
        </is>
      </c>
      <c r="L37" s="239" t="n">
        <v>20.25</v>
      </c>
      <c r="M37" s="239" t="n">
        <v>7</v>
      </c>
      <c r="N37" s="333">
        <f>IFERROR(IF(L37*M37=0,"",L37*M37),"")</f>
        <v/>
      </c>
      <c r="O37" s="241" t="inlineStr">
        <is>
          <t>33402316</t>
        </is>
      </c>
      <c r="P37" s="332">
        <f>IFERROR(VLOOKUP(TEXT(O37,"0"),CONDUCTORES!$A$3:$G$100,2,0),"")</f>
        <v/>
      </c>
      <c r="Q37" s="332">
        <f>IFERROR(VLOOKUP(TEXT(O37,"0"),CONDUCTORES!$A$3:$H$100,6,0),"")</f>
        <v/>
      </c>
      <c r="R37" s="280" t="n"/>
      <c r="S37" s="305" t="inlineStr">
        <is>
          <t>S829</t>
        </is>
      </c>
      <c r="T37" s="241" t="n"/>
      <c r="U37" s="280" t="n"/>
      <c r="V37" s="305" t="n"/>
      <c r="W37" s="241" t="n"/>
      <c r="X37" s="241" t="n"/>
      <c r="Y37" s="280" t="n"/>
      <c r="Z37" s="350">
        <f>IF(AND(R37&lt;&gt;"",V37&lt;&gt;"",W37&lt;&gt;""),"ENTREGADO","POR RECOGER")</f>
        <v/>
      </c>
      <c r="AA37" s="198" t="n"/>
      <c r="AB37" s="198" t="n"/>
      <c r="AC37" s="198" t="n"/>
    </row>
    <row r="38" ht="15.75" customHeight="1" s="195">
      <c r="A38" s="301" t="n">
        <v>33</v>
      </c>
      <c r="B38" s="302" t="n"/>
      <c r="C38" s="301" t="inlineStr">
        <is>
          <t>REGION</t>
        </is>
      </c>
      <c r="D38" s="302" t="inlineStr">
        <is>
          <t>LLATANCE HERRERA DYLAN MOISES</t>
        </is>
      </c>
      <c r="E38" s="301" t="inlineStr">
        <is>
          <t>DNI</t>
        </is>
      </c>
      <c r="F38" s="301" t="inlineStr">
        <is>
          <t>93419545</t>
        </is>
      </c>
      <c r="G38" s="331" t="n">
        <v>46092</v>
      </c>
      <c r="H38" s="301" t="inlineStr">
        <is>
          <t>4922</t>
        </is>
      </c>
      <c r="I38" s="332">
        <f>IFERROR(VLOOKUP(TEXT(H38,"0"),IPRESS!$A$3:$B$212,2,0),"")</f>
        <v/>
      </c>
      <c r="J38" s="301" t="inlineStr">
        <is>
          <t>4838</t>
        </is>
      </c>
      <c r="K38" s="332" t="inlineStr">
        <is>
          <t>PETROLEO</t>
        </is>
      </c>
      <c r="L38" s="245" t="n">
        <v>18.18</v>
      </c>
      <c r="M38" s="245" t="n">
        <v>5</v>
      </c>
      <c r="N38" s="333">
        <f>IFERROR(IF(L38*M38=0,"",L38*M38),"")</f>
        <v/>
      </c>
      <c r="O38" s="301" t="inlineStr">
        <is>
          <t>42494083</t>
        </is>
      </c>
      <c r="P38" s="332">
        <f>IFERROR(VLOOKUP(TEXT(O38,"0"),CONDUCTORES!$A$3:$G$100,2,0),"")</f>
        <v/>
      </c>
      <c r="Q38" s="332">
        <f>IFERROR(VLOOKUP(TEXT(O38,"0"),CONDUCTORES!$A$3:$H$100,6,0),"")</f>
        <v/>
      </c>
      <c r="R38" s="334" t="n"/>
      <c r="S38" s="302" t="inlineStr">
        <is>
          <t>A419</t>
        </is>
      </c>
      <c r="T38" s="301" t="n"/>
      <c r="U38" s="334" t="n"/>
      <c r="V38" s="302" t="n"/>
      <c r="W38" s="301" t="n"/>
      <c r="X38" s="301" t="n"/>
      <c r="Y38" s="280" t="n"/>
      <c r="Z38" s="350">
        <f>IF(AND(R38&lt;&gt;"",V38&lt;&gt;"",W38&lt;&gt;""),"ENTREGADO","POR RECOGER")</f>
        <v/>
      </c>
      <c r="AA38" s="198" t="n"/>
      <c r="AB38" s="198" t="n"/>
      <c r="AC38" s="198" t="n"/>
    </row>
    <row r="39" ht="15.75" customHeight="1" s="195">
      <c r="A39" s="241" t="n">
        <v>34</v>
      </c>
      <c r="B39" s="305" t="n"/>
      <c r="C39" s="241" t="inlineStr">
        <is>
          <t>REGION</t>
        </is>
      </c>
      <c r="D39" s="305" t="inlineStr">
        <is>
          <t>MORI VALQUI YOHAN FABIAN</t>
        </is>
      </c>
      <c r="E39" s="241" t="inlineStr">
        <is>
          <t>DNI</t>
        </is>
      </c>
      <c r="F39" s="241" t="inlineStr">
        <is>
          <t>80813086</t>
        </is>
      </c>
      <c r="G39" s="336" t="n">
        <v>46092</v>
      </c>
      <c r="H39" s="241" t="inlineStr">
        <is>
          <t>4903</t>
        </is>
      </c>
      <c r="I39" s="332">
        <f>IFERROR(VLOOKUP(TEXT(H39,"0"),IPRESS!$A$3:$B$212,2,0),"")</f>
        <v/>
      </c>
      <c r="J39" s="241" t="inlineStr">
        <is>
          <t>4838</t>
        </is>
      </c>
      <c r="K39" s="332" t="inlineStr">
        <is>
          <t>PETROLEO</t>
        </is>
      </c>
      <c r="L39" s="239" t="n">
        <v>18.18</v>
      </c>
      <c r="M39" s="239" t="n">
        <v>5</v>
      </c>
      <c r="N39" s="333">
        <f>IFERROR(IF(L39*M39=0,"",L39*M39),"")</f>
        <v/>
      </c>
      <c r="O39" s="241" t="inlineStr">
        <is>
          <t>33816046</t>
        </is>
      </c>
      <c r="P39" s="332">
        <f>IFERROR(VLOOKUP(TEXT(O39,"0"),CONDUCTORES!$A$3:$G$100,2,0),"")</f>
        <v/>
      </c>
      <c r="Q39" s="332">
        <f>IFERROR(VLOOKUP(TEXT(O39,"0"),CONDUCTORES!$A$3:$H$100,6,0),"")</f>
        <v/>
      </c>
      <c r="R39" s="280" t="n"/>
      <c r="S39" s="305" t="inlineStr">
        <is>
          <t>K359,R100</t>
        </is>
      </c>
      <c r="T39" s="241" t="n"/>
      <c r="U39" s="280" t="n"/>
      <c r="V39" s="305" t="n"/>
      <c r="W39" s="241" t="n"/>
      <c r="X39" s="241" t="n"/>
      <c r="Y39" s="280" t="n"/>
      <c r="Z39" s="350">
        <f>IF(AND(R39&lt;&gt;"",V39&lt;&gt;"",W39&lt;&gt;""),"ENTREGADO","POR RECOGER")</f>
        <v/>
      </c>
      <c r="AA39" s="198" t="n"/>
      <c r="AB39" s="198" t="n"/>
      <c r="AC39" s="198" t="n"/>
    </row>
    <row r="40" ht="15.75" customHeight="1" s="195">
      <c r="A40" s="301" t="n">
        <v>35</v>
      </c>
      <c r="B40" s="302" t="n"/>
      <c r="C40" s="301" t="inlineStr">
        <is>
          <t>REGION</t>
        </is>
      </c>
      <c r="D40" s="302" t="inlineStr">
        <is>
          <t>OLANO YLATOLA BARBARITA</t>
        </is>
      </c>
      <c r="E40" s="301" t="inlineStr">
        <is>
          <t>DNI</t>
        </is>
      </c>
      <c r="F40" s="301" t="inlineStr">
        <is>
          <t>48983008</t>
        </is>
      </c>
      <c r="G40" s="331" t="n">
        <v>46093</v>
      </c>
      <c r="H40" s="301" t="inlineStr">
        <is>
          <t>4932</t>
        </is>
      </c>
      <c r="I40" s="332">
        <f>IFERROR(VLOOKUP(TEXT(H40,"0"),IPRESS!$A$3:$B$212,2,0),"")</f>
        <v/>
      </c>
      <c r="J40" s="301" t="inlineStr">
        <is>
          <t>4838</t>
        </is>
      </c>
      <c r="K40" s="332" t="inlineStr">
        <is>
          <t>PETROLEO</t>
        </is>
      </c>
      <c r="L40" s="245" t="n">
        <v>18.18</v>
      </c>
      <c r="M40" s="245" t="n">
        <v>6</v>
      </c>
      <c r="N40" s="333">
        <f>IFERROR(IF(L40*M40=0,"",L40*M40),"")</f>
        <v/>
      </c>
      <c r="O40" s="301" t="inlineStr">
        <is>
          <t>33727119</t>
        </is>
      </c>
      <c r="P40" s="332">
        <f>IFERROR(VLOOKUP(TEXT(O40,"0"),CONDUCTORES!$A$3:$G$100,2,0),"")</f>
        <v/>
      </c>
      <c r="Q40" s="332">
        <f>IFERROR(VLOOKUP(TEXT(O40,"0"),CONDUCTORES!$A$3:$H$100,6,0),"")</f>
        <v/>
      </c>
      <c r="R40" s="334" t="n"/>
      <c r="S40" s="302" t="inlineStr">
        <is>
          <t>R072,I489,I219</t>
        </is>
      </c>
      <c r="T40" s="301" t="n"/>
      <c r="U40" s="334" t="n"/>
      <c r="V40" s="302" t="n"/>
      <c r="W40" s="301" t="n"/>
      <c r="X40" s="301" t="n"/>
      <c r="Y40" s="280" t="n"/>
      <c r="Z40" s="350">
        <f>IF(AND(R40&lt;&gt;"",V40&lt;&gt;"",W40&lt;&gt;""),"ENTREGADO","POR RECOGER")</f>
        <v/>
      </c>
      <c r="AA40" s="198" t="n"/>
      <c r="AB40" s="198" t="n"/>
      <c r="AC40" s="198" t="n"/>
    </row>
    <row r="41" ht="15.75" customHeight="1" s="195">
      <c r="A41" s="351" t="n">
        <v>36</v>
      </c>
      <c r="B41" s="352" t="n"/>
      <c r="C41" s="351" t="inlineStr">
        <is>
          <t>REGION</t>
        </is>
      </c>
      <c r="D41" s="352" t="inlineStr">
        <is>
          <t>VILLA HUAMAN VILMA</t>
        </is>
      </c>
      <c r="E41" s="351" t="inlineStr">
        <is>
          <t>DNI</t>
        </is>
      </c>
      <c r="F41" s="351" t="inlineStr">
        <is>
          <t>47363507</t>
        </is>
      </c>
      <c r="G41" s="353" t="n">
        <v>46093</v>
      </c>
      <c r="H41" s="351" t="inlineStr">
        <is>
          <t>4950</t>
        </is>
      </c>
      <c r="I41" s="332">
        <f>IFERROR(VLOOKUP(TEXT(H41,"0"),IPRESS!$A$3:$B$212,2,0),"")</f>
        <v/>
      </c>
      <c r="J41" s="351" t="inlineStr">
        <is>
          <t>4838</t>
        </is>
      </c>
      <c r="K41" s="332" t="inlineStr">
        <is>
          <t>PETROLEO</t>
        </is>
      </c>
      <c r="L41" s="354" t="n">
        <v>20.25</v>
      </c>
      <c r="M41" s="354" t="n">
        <v>10</v>
      </c>
      <c r="N41" s="333">
        <f>IFERROR(IF(L41*M41=0,"",L41*M41),"")</f>
        <v/>
      </c>
      <c r="O41" s="351" t="inlineStr">
        <is>
          <t>33962415</t>
        </is>
      </c>
      <c r="P41" s="332">
        <f>IFERROR(VLOOKUP(TEXT(O41,"0"),CONDUCTORES!$A$3:$G$100,2,0),"")</f>
        <v/>
      </c>
      <c r="Q41" s="332">
        <f>IFERROR(VLOOKUP(TEXT(O41,"0"),CONDUCTORES!$A$3:$H$100,6,0),"")</f>
        <v/>
      </c>
      <c r="R41" s="355" t="n"/>
      <c r="S41" s="352" t="inlineStr">
        <is>
          <t>N939</t>
        </is>
      </c>
      <c r="T41" s="351" t="n"/>
      <c r="U41" s="355" t="n"/>
      <c r="V41" s="352" t="n"/>
      <c r="W41" s="351" t="n"/>
      <c r="X41" s="351" t="n"/>
      <c r="Y41" s="356" t="inlineStr">
        <is>
          <t>OMIA</t>
        </is>
      </c>
      <c r="Z41" s="350">
        <f>IF(AND(R41&lt;&gt;"",V41&lt;&gt;"",W41&lt;&gt;""),"ENTREGADO","POR RECOGER")</f>
        <v/>
      </c>
      <c r="AA41" s="198" t="n"/>
      <c r="AB41" s="198" t="n"/>
      <c r="AC41" s="198" t="n"/>
    </row>
    <row r="42" ht="15.75" customHeight="1" s="195">
      <c r="A42" s="301" t="n">
        <v>37</v>
      </c>
      <c r="B42" s="302" t="n"/>
      <c r="C42" s="301" t="inlineStr">
        <is>
          <t>REGION</t>
        </is>
      </c>
      <c r="D42" s="302" t="inlineStr">
        <is>
          <t>PUSCAN HUAMAN AGUSTINA</t>
        </is>
      </c>
      <c r="E42" s="301" t="inlineStr">
        <is>
          <t>DNI</t>
        </is>
      </c>
      <c r="F42" s="301" t="inlineStr">
        <is>
          <t>44706561</t>
        </is>
      </c>
      <c r="G42" s="331" t="n">
        <v>46094</v>
      </c>
      <c r="H42" s="301" t="inlineStr">
        <is>
          <t>4907</t>
        </is>
      </c>
      <c r="I42" s="332">
        <f>IFERROR(VLOOKUP(TEXT(H42,"0"),IPRESS!$A$3:$B$212,2,0),"")</f>
        <v/>
      </c>
      <c r="J42" s="301" t="inlineStr">
        <is>
          <t>4838</t>
        </is>
      </c>
      <c r="K42" s="332" t="inlineStr">
        <is>
          <t>PETROLEO</t>
        </is>
      </c>
      <c r="L42" s="245" t="n">
        <v>18.18</v>
      </c>
      <c r="M42" s="245" t="n">
        <v>7</v>
      </c>
      <c r="N42" s="333">
        <f>IFERROR(IF(L42*M42=0,"",L42*M42),"")</f>
        <v/>
      </c>
      <c r="O42" s="301" t="inlineStr">
        <is>
          <t>40051255</t>
        </is>
      </c>
      <c r="P42" s="332">
        <f>IFERROR(VLOOKUP(TEXT(O42,"0"),CONDUCTORES!$A$3:$G$100,2,0),"")</f>
        <v/>
      </c>
      <c r="Q42" s="332">
        <f>IFERROR(VLOOKUP(TEXT(O42,"0"),CONDUCTORES!$A$3:$H$100,6,0),"")</f>
        <v/>
      </c>
      <c r="R42" s="334" t="n"/>
      <c r="S42" s="302" t="inlineStr">
        <is>
          <t>K359</t>
        </is>
      </c>
      <c r="T42" s="301" t="n"/>
      <c r="U42" s="334" t="n"/>
      <c r="V42" s="302" t="n"/>
      <c r="W42" s="301" t="n"/>
      <c r="X42" s="301" t="n"/>
      <c r="Y42" s="280" t="n"/>
      <c r="Z42" s="350">
        <f>IF(AND(R42&lt;&gt;"",V42&lt;&gt;"",W42&lt;&gt;""),"ENTREGADO","POR RECOGER")</f>
        <v/>
      </c>
      <c r="AA42" s="198" t="n"/>
      <c r="AB42" s="198" t="n"/>
      <c r="AC42" s="198" t="n"/>
    </row>
    <row r="43" ht="15.75" customHeight="1" s="195">
      <c r="A43" s="241" t="n">
        <v>38</v>
      </c>
      <c r="B43" s="305" t="n"/>
      <c r="C43" s="241" t="inlineStr">
        <is>
          <t>REGION</t>
        </is>
      </c>
      <c r="D43" s="305" t="inlineStr">
        <is>
          <t>GUEVARA ALTAMIRANO JHOANA</t>
        </is>
      </c>
      <c r="E43" s="241" t="inlineStr">
        <is>
          <t>DNI</t>
        </is>
      </c>
      <c r="F43" s="241" t="inlineStr">
        <is>
          <t>10819</t>
        </is>
      </c>
      <c r="G43" s="336" t="n">
        <v>46094</v>
      </c>
      <c r="H43" s="241" t="inlineStr">
        <is>
          <t>4932</t>
        </is>
      </c>
      <c r="I43" s="332">
        <f>IFERROR(VLOOKUP(TEXT(H43,"0"),IPRESS!$A$3:$B$212,2,0),"")</f>
        <v/>
      </c>
      <c r="J43" s="241" t="inlineStr">
        <is>
          <t>4838</t>
        </is>
      </c>
      <c r="K43" s="332" t="inlineStr">
        <is>
          <t>PETROLEO</t>
        </is>
      </c>
      <c r="L43" s="239" t="n">
        <v>18.18</v>
      </c>
      <c r="M43" s="239" t="n">
        <v>6</v>
      </c>
      <c r="N43" s="333">
        <f>IFERROR(IF(L43*M43=0,"",L43*M43),"")</f>
        <v/>
      </c>
      <c r="O43" s="241" t="inlineStr">
        <is>
          <t>33727119</t>
        </is>
      </c>
      <c r="P43" s="332">
        <f>IFERROR(VLOOKUP(TEXT(O43,"0"),CONDUCTORES!$A$3:$G$100,2,0),"")</f>
        <v/>
      </c>
      <c r="Q43" s="332">
        <f>IFERROR(VLOOKUP(TEXT(O43,"0"),CONDUCTORES!$A$3:$H$100,6,0),"")</f>
        <v/>
      </c>
      <c r="R43" s="280" t="n"/>
      <c r="S43" s="305" t="inlineStr">
        <is>
          <t>O429,O349</t>
        </is>
      </c>
      <c r="T43" s="241" t="n"/>
      <c r="U43" s="280" t="n"/>
      <c r="V43" s="305" t="n"/>
      <c r="W43" s="241" t="n"/>
      <c r="X43" s="241" t="n"/>
      <c r="Y43" s="280" t="n"/>
      <c r="Z43" s="350">
        <f>IF(AND(R43&lt;&gt;"",V43&lt;&gt;"",W43&lt;&gt;""),"ENTREGADO","POR RECOGER")</f>
        <v/>
      </c>
      <c r="AA43" s="198" t="n"/>
      <c r="AB43" s="198" t="n"/>
      <c r="AC43" s="198" t="n"/>
    </row>
    <row r="44" ht="15.75" customHeight="1" s="195">
      <c r="A44" s="301" t="n">
        <v>39</v>
      </c>
      <c r="B44" s="302" t="n"/>
      <c r="C44" s="301" t="inlineStr">
        <is>
          <t>REGION</t>
        </is>
      </c>
      <c r="D44" s="302" t="inlineStr">
        <is>
          <t>RABANAL MELENDEZ LENYN EDUARDO</t>
        </is>
      </c>
      <c r="E44" s="301" t="inlineStr">
        <is>
          <t>DNI</t>
        </is>
      </c>
      <c r="F44" s="301" t="inlineStr">
        <is>
          <t>63245633</t>
        </is>
      </c>
      <c r="G44" s="331" t="n">
        <v>46094</v>
      </c>
      <c r="H44" s="301" t="inlineStr">
        <is>
          <t>4950</t>
        </is>
      </c>
      <c r="I44" s="332">
        <f>IFERROR(VLOOKUP(TEXT(H44,"0"),IPRESS!$A$3:$B$212,2,0),"")</f>
        <v/>
      </c>
      <c r="J44" s="301" t="inlineStr">
        <is>
          <t>4838</t>
        </is>
      </c>
      <c r="K44" s="332" t="inlineStr">
        <is>
          <t>PETROLEO</t>
        </is>
      </c>
      <c r="L44" s="245" t="n">
        <v>20.25</v>
      </c>
      <c r="M44" s="245" t="n">
        <v>7</v>
      </c>
      <c r="N44" s="333">
        <f>IFERROR(IF(L44*M44=0,"",L44*M44),"")</f>
        <v/>
      </c>
      <c r="O44" s="301" t="inlineStr">
        <is>
          <t>41785950</t>
        </is>
      </c>
      <c r="P44" s="332">
        <f>IFERROR(VLOOKUP(TEXT(O44,"0"),CONDUCTORES!$A$3:$G$100,2,0),"")</f>
        <v/>
      </c>
      <c r="Q44" s="332">
        <f>IFERROR(VLOOKUP(TEXT(O44,"0"),CONDUCTORES!$A$3:$H$100,6,0),"")</f>
        <v/>
      </c>
      <c r="R44" s="334" t="n"/>
      <c r="S44" s="302" t="inlineStr">
        <is>
          <t>K359,N390</t>
        </is>
      </c>
      <c r="T44" s="301" t="n"/>
      <c r="U44" s="334" t="n"/>
      <c r="V44" s="302" t="n"/>
      <c r="W44" s="301" t="n"/>
      <c r="X44" s="301" t="n"/>
      <c r="Y44" s="280" t="n"/>
      <c r="Z44" s="350">
        <f>IF(AND(R44&lt;&gt;"",V44&lt;&gt;"",W44&lt;&gt;""),"ENTREGADO","POR RECOGER")</f>
        <v/>
      </c>
      <c r="AA44" s="198" t="n"/>
      <c r="AB44" s="198" t="n"/>
      <c r="AC44" s="198" t="n"/>
    </row>
    <row r="45" ht="15.75" customHeight="1" s="195">
      <c r="A45" s="241" t="n">
        <v>40</v>
      </c>
      <c r="B45" s="305" t="n"/>
      <c r="C45" s="241" t="inlineStr">
        <is>
          <t>REGION</t>
        </is>
      </c>
      <c r="D45" s="305" t="inlineStr">
        <is>
          <t>MASLUCAN GUALAMBO NATIVIDAD</t>
        </is>
      </c>
      <c r="E45" s="241" t="inlineStr">
        <is>
          <t>DNI</t>
        </is>
      </c>
      <c r="F45" s="241" t="inlineStr">
        <is>
          <t>33732915</t>
        </is>
      </c>
      <c r="G45" s="336" t="n">
        <v>46094</v>
      </c>
      <c r="H45" s="241" t="inlineStr">
        <is>
          <t>4922</t>
        </is>
      </c>
      <c r="I45" s="332">
        <f>IFERROR(VLOOKUP(TEXT(H45,"0"),IPRESS!$A$3:$B$212,2,0),"")</f>
        <v/>
      </c>
      <c r="J45" s="241" t="inlineStr">
        <is>
          <t>4838</t>
        </is>
      </c>
      <c r="K45" s="332" t="inlineStr">
        <is>
          <t>PETROLEO</t>
        </is>
      </c>
      <c r="L45" s="239" t="n">
        <v>18.18</v>
      </c>
      <c r="M45" s="239" t="n">
        <v>5</v>
      </c>
      <c r="N45" s="333">
        <f>IFERROR(IF(L45*M45=0,"",L45*M45),"")</f>
        <v/>
      </c>
      <c r="O45" s="241" t="inlineStr">
        <is>
          <t>33401502</t>
        </is>
      </c>
      <c r="P45" s="332">
        <f>IFERROR(VLOOKUP(TEXT(O45,"0"),CONDUCTORES!$A$3:$G$100,2,0),"")</f>
        <v/>
      </c>
      <c r="Q45" s="332">
        <f>IFERROR(VLOOKUP(TEXT(O45,"0"),CONDUCTORES!$A$3:$H$100,6,0),"")</f>
        <v/>
      </c>
      <c r="R45" s="280" t="n"/>
      <c r="S45" s="305" t="inlineStr">
        <is>
          <t>R104,R11X,K358,K810</t>
        </is>
      </c>
      <c r="T45" s="241" t="n"/>
      <c r="U45" s="280" t="n"/>
      <c r="V45" s="305" t="n"/>
      <c r="W45" s="241" t="n"/>
      <c r="X45" s="241" t="n"/>
      <c r="Y45" s="280" t="n"/>
      <c r="Z45" s="350">
        <f>IF(AND(R45&lt;&gt;"",V45&lt;&gt;"",W45&lt;&gt;""),"ENTREGADO","POR RECOGER")</f>
        <v/>
      </c>
      <c r="AA45" s="198" t="n"/>
      <c r="AB45" s="198" t="n"/>
      <c r="AC45" s="198" t="n"/>
    </row>
    <row r="46" ht="15.75" customHeight="1" s="195">
      <c r="A46" s="301" t="n">
        <v>41</v>
      </c>
      <c r="B46" s="302" t="n"/>
      <c r="C46" s="301" t="inlineStr">
        <is>
          <t>REGION</t>
        </is>
      </c>
      <c r="D46" s="302" t="inlineStr">
        <is>
          <t>CULQUI SOROE IRMA JESUS</t>
        </is>
      </c>
      <c r="E46" s="301" t="inlineStr">
        <is>
          <t>DNI</t>
        </is>
      </c>
      <c r="F46" s="301" t="inlineStr">
        <is>
          <t>77230784</t>
        </is>
      </c>
      <c r="G46" s="331" t="n">
        <v>46095</v>
      </c>
      <c r="H46" s="301" t="inlineStr">
        <is>
          <t>4904</t>
        </is>
      </c>
      <c r="I46" s="332">
        <f>IFERROR(VLOOKUP(TEXT(H46,"0"),IPRESS!$A$3:$B$212,2,0),"")</f>
        <v/>
      </c>
      <c r="J46" s="301" t="inlineStr">
        <is>
          <t>4838</t>
        </is>
      </c>
      <c r="K46" s="332" t="inlineStr">
        <is>
          <t>PETROLEO</t>
        </is>
      </c>
      <c r="L46" s="245" t="n">
        <v>18.18</v>
      </c>
      <c r="M46" s="245" t="n">
        <v>6</v>
      </c>
      <c r="N46" s="333">
        <f>IFERROR(IF(L46*M46=0,"",L46*M46),"")</f>
        <v/>
      </c>
      <c r="O46" s="301" t="inlineStr">
        <is>
          <t>40051255</t>
        </is>
      </c>
      <c r="P46" s="332">
        <f>IFERROR(VLOOKUP(TEXT(O46,"0"),CONDUCTORES!$A$3:$G$100,2,0),"")</f>
        <v/>
      </c>
      <c r="Q46" s="332">
        <f>IFERROR(VLOOKUP(TEXT(O46,"0"),CONDUCTORES!$A$3:$H$100,6,0),"")</f>
        <v/>
      </c>
      <c r="R46" s="334" t="n"/>
      <c r="S46" s="302" t="inlineStr">
        <is>
          <t>O368</t>
        </is>
      </c>
      <c r="T46" s="301" t="n"/>
      <c r="U46" s="334" t="n"/>
      <c r="V46" s="302" t="n"/>
      <c r="W46" s="301" t="n"/>
      <c r="X46" s="301" t="n"/>
      <c r="Y46" s="280" t="n"/>
      <c r="Z46" s="350">
        <f>IF(AND(R46&lt;&gt;"",V46&lt;&gt;"",W46&lt;&gt;""),"ENTREGADO","POR RECOGER")</f>
        <v/>
      </c>
      <c r="AA46" s="198" t="n"/>
      <c r="AB46" s="198" t="n"/>
      <c r="AC46" s="198" t="n"/>
    </row>
    <row r="47" ht="15.75" customHeight="1" s="195">
      <c r="A47" s="241" t="n">
        <v>42</v>
      </c>
      <c r="B47" s="305" t="n"/>
      <c r="C47" s="241" t="inlineStr">
        <is>
          <t>REGION</t>
        </is>
      </c>
      <c r="D47" s="305" t="inlineStr">
        <is>
          <t>VASQUEZ MEGO MAGNO</t>
        </is>
      </c>
      <c r="E47" s="241" t="inlineStr">
        <is>
          <t>DNI</t>
        </is>
      </c>
      <c r="F47" s="241" t="inlineStr">
        <is>
          <t>27433717</t>
        </is>
      </c>
      <c r="G47" s="336" t="n">
        <v>46095</v>
      </c>
      <c r="H47" s="241" t="inlineStr">
        <is>
          <t>4932</t>
        </is>
      </c>
      <c r="I47" s="332">
        <f>IFERROR(VLOOKUP(TEXT(H47,"0"),IPRESS!$A$3:$B$212,2,0),"")</f>
        <v/>
      </c>
      <c r="J47" s="241" t="inlineStr">
        <is>
          <t>4838</t>
        </is>
      </c>
      <c r="K47" s="332" t="inlineStr">
        <is>
          <t>PETROLEO</t>
        </is>
      </c>
      <c r="L47" s="239" t="n">
        <v>18.18</v>
      </c>
      <c r="M47" s="239" t="n">
        <v>6</v>
      </c>
      <c r="N47" s="333">
        <f>IFERROR(IF(L47*M47=0,"",L47*M47),"")</f>
        <v/>
      </c>
      <c r="O47" s="241" t="inlineStr">
        <is>
          <t>33727119</t>
        </is>
      </c>
      <c r="P47" s="332">
        <f>IFERROR(VLOOKUP(TEXT(O47,"0"),CONDUCTORES!$A$3:$G$100,2,0),"")</f>
        <v/>
      </c>
      <c r="Q47" s="332">
        <f>IFERROR(VLOOKUP(TEXT(O47,"0"),CONDUCTORES!$A$3:$H$100,6,0),"")</f>
        <v/>
      </c>
      <c r="R47" s="280" t="n"/>
      <c r="S47" s="305" t="inlineStr">
        <is>
          <t>K703,K922</t>
        </is>
      </c>
      <c r="T47" s="241" t="n"/>
      <c r="U47" s="280" t="n"/>
      <c r="V47" s="305" t="n"/>
      <c r="W47" s="241" t="n"/>
      <c r="X47" s="241" t="n"/>
      <c r="Y47" s="280" t="n"/>
      <c r="Z47" s="350">
        <f>IF(AND(R47&lt;&gt;"",V47&lt;&gt;"",W47&lt;&gt;""),"ENTREGADO","POR RECOGER")</f>
        <v/>
      </c>
      <c r="AA47" s="198" t="n"/>
      <c r="AB47" s="198" t="n"/>
      <c r="AC47" s="198" t="n"/>
    </row>
    <row r="48" ht="15.75" customHeight="1" s="195">
      <c r="A48" s="301" t="n">
        <v>43</v>
      </c>
      <c r="B48" s="302" t="n"/>
      <c r="C48" s="301" t="inlineStr">
        <is>
          <t>REGION</t>
        </is>
      </c>
      <c r="D48" s="302" t="inlineStr">
        <is>
          <t>PORTOCARRERO PORTOCARRERO ANGEL RICARDO</t>
        </is>
      </c>
      <c r="E48" s="301" t="inlineStr">
        <is>
          <t>DNI</t>
        </is>
      </c>
      <c r="F48" s="301" t="inlineStr">
        <is>
          <t>63391882</t>
        </is>
      </c>
      <c r="G48" s="331" t="n">
        <v>46096</v>
      </c>
      <c r="H48" s="301" t="inlineStr">
        <is>
          <t>4950</t>
        </is>
      </c>
      <c r="I48" s="332">
        <f>IFERROR(VLOOKUP(TEXT(H48,"0"),IPRESS!$A$3:$B$212,2,0),"")</f>
        <v/>
      </c>
      <c r="J48" s="301" t="inlineStr">
        <is>
          <t>4838</t>
        </is>
      </c>
      <c r="K48" s="332" t="inlineStr">
        <is>
          <t>PETROLEO</t>
        </is>
      </c>
      <c r="L48" s="245" t="n">
        <v>20.25</v>
      </c>
      <c r="M48" s="245" t="n">
        <v>8.06</v>
      </c>
      <c r="N48" s="333">
        <f>IFERROR(IF(L48*M48=0,"",L48*M48),"")</f>
        <v/>
      </c>
      <c r="O48" s="301" t="inlineStr">
        <is>
          <t>41785950</t>
        </is>
      </c>
      <c r="P48" s="332">
        <f>IFERROR(VLOOKUP(TEXT(O48,"0"),CONDUCTORES!$A$3:$G$100,2,0),"")</f>
        <v/>
      </c>
      <c r="Q48" s="332">
        <f>IFERROR(VLOOKUP(TEXT(O48,"0"),CONDUCTORES!$A$3:$H$100,6,0),"")</f>
        <v/>
      </c>
      <c r="R48" s="334" t="n"/>
      <c r="S48" s="302" t="inlineStr">
        <is>
          <t>K359</t>
        </is>
      </c>
      <c r="T48" s="301" t="n"/>
      <c r="U48" s="334" t="n"/>
      <c r="V48" s="302" t="n"/>
      <c r="W48" s="301" t="n"/>
      <c r="X48" s="301" t="n"/>
      <c r="Y48" s="280" t="n"/>
      <c r="Z48" s="350">
        <f>IF(AND(R48&lt;&gt;"",V48&lt;&gt;"",W48&lt;&gt;""),"ENTREGADO","POR RECOGER")</f>
        <v/>
      </c>
      <c r="AA48" s="198" t="n"/>
      <c r="AB48" s="198" t="n"/>
      <c r="AC48" s="198" t="n"/>
    </row>
    <row r="49" ht="15.75" customHeight="1" s="195">
      <c r="A49" s="337" t="n">
        <v>44</v>
      </c>
      <c r="B49" s="338" t="n"/>
      <c r="C49" s="337" t="inlineStr">
        <is>
          <t>REGION</t>
        </is>
      </c>
      <c r="D49" s="338" t="inlineStr">
        <is>
          <t>TORREJON ARCE VICTOR GERARDO</t>
        </is>
      </c>
      <c r="E49" s="337" t="inlineStr">
        <is>
          <t>DNI</t>
        </is>
      </c>
      <c r="F49" s="337" t="inlineStr">
        <is>
          <t>33739096</t>
        </is>
      </c>
      <c r="G49" s="339" t="n">
        <v>46096</v>
      </c>
      <c r="H49" s="337" t="inlineStr">
        <is>
          <t>4922</t>
        </is>
      </c>
      <c r="I49" s="332">
        <f>IFERROR(VLOOKUP(TEXT(H49,"0"),IPRESS!$A$3:$B$212,2,0),"")</f>
        <v/>
      </c>
      <c r="J49" s="337" t="inlineStr">
        <is>
          <t>4838</t>
        </is>
      </c>
      <c r="K49" s="357" t="inlineStr">
        <is>
          <t>GASOLINA</t>
        </is>
      </c>
      <c r="L49" s="340" t="n">
        <v>17.95</v>
      </c>
      <c r="M49" s="340" t="n">
        <v>6</v>
      </c>
      <c r="N49" s="333">
        <f>IFERROR(IF(L49*M49=0,"",L49*M49),"")</f>
        <v/>
      </c>
      <c r="O49" s="337" t="inlineStr">
        <is>
          <t>33401502</t>
        </is>
      </c>
      <c r="P49" s="332">
        <f>IFERROR(VLOOKUP(TEXT(O49,"0"),CONDUCTORES!$A$3:$G$100,2,0),"")</f>
        <v/>
      </c>
      <c r="Q49" s="332">
        <f>IFERROR(VLOOKUP(TEXT(O49,"0"),CONDUCTORES!$A$3:$H$100,6,0),"")</f>
        <v/>
      </c>
      <c r="R49" s="341" t="n"/>
      <c r="S49" s="338" t="inlineStr">
        <is>
          <t>J960,J189,E860,N390,A971</t>
        </is>
      </c>
      <c r="T49" s="337" t="n"/>
      <c r="U49" s="341" t="n"/>
      <c r="V49" s="338" t="n"/>
      <c r="W49" s="337" t="n"/>
      <c r="X49" s="337" t="n"/>
      <c r="Y49" s="280" t="n"/>
      <c r="Z49" s="350">
        <f>IF(AND(R49&lt;&gt;"",V49&lt;&gt;"",W49&lt;&gt;""),"ENTREGADO","POR RECOGER")</f>
        <v/>
      </c>
      <c r="AA49" s="198" t="n"/>
      <c r="AB49" s="198" t="n"/>
      <c r="AC49" s="198" t="n"/>
    </row>
    <row r="50" ht="15.75" customHeight="1" s="195">
      <c r="A50" s="301" t="n">
        <v>45</v>
      </c>
      <c r="B50" s="302" t="n"/>
      <c r="C50" s="301" t="inlineStr">
        <is>
          <t>REGION</t>
        </is>
      </c>
      <c r="D50" s="302" t="inlineStr">
        <is>
          <t>INGA PEREZ ELMER</t>
        </is>
      </c>
      <c r="E50" s="301" t="inlineStr">
        <is>
          <t>DNI</t>
        </is>
      </c>
      <c r="F50" s="301" t="inlineStr">
        <is>
          <t>46744861</t>
        </is>
      </c>
      <c r="G50" s="331" t="n">
        <v>46097</v>
      </c>
      <c r="H50" s="301" t="inlineStr">
        <is>
          <t>4903</t>
        </is>
      </c>
      <c r="I50" s="332">
        <f>IFERROR(VLOOKUP(TEXT(H50,"0"),IPRESS!$A$3:$B$212,2,0),"")</f>
        <v/>
      </c>
      <c r="J50" s="301" t="inlineStr">
        <is>
          <t>4838</t>
        </is>
      </c>
      <c r="K50" s="332" t="inlineStr">
        <is>
          <t>PETROLEO</t>
        </is>
      </c>
      <c r="L50" s="245" t="n">
        <v>18.18</v>
      </c>
      <c r="M50" s="245" t="n">
        <v>5</v>
      </c>
      <c r="N50" s="333">
        <f>IFERROR(IF(L50*M50=0,"",L50*M50),"")</f>
        <v/>
      </c>
      <c r="O50" s="301" t="inlineStr">
        <is>
          <t>33816046</t>
        </is>
      </c>
      <c r="P50" s="332">
        <f>IFERROR(VLOOKUP(TEXT(O50,"0"),CONDUCTORES!$A$3:$G$100,2,0),"")</f>
        <v/>
      </c>
      <c r="Q50" s="332">
        <f>IFERROR(VLOOKUP(TEXT(O50,"0"),CONDUCTORES!$A$3:$H$100,6,0),"")</f>
        <v/>
      </c>
      <c r="R50" s="334" t="n"/>
      <c r="S50" s="302" t="inlineStr">
        <is>
          <t>S611,S626</t>
        </is>
      </c>
      <c r="T50" s="301" t="n"/>
      <c r="U50" s="334" t="n"/>
      <c r="V50" s="302" t="n"/>
      <c r="W50" s="301" t="n"/>
      <c r="X50" s="301" t="n"/>
      <c r="Y50" s="280" t="n"/>
      <c r="Z50" s="350">
        <f>IF(AND(R50&lt;&gt;"",V50&lt;&gt;"",W50&lt;&gt;""),"ENTREGADO","POR RECOGER")</f>
        <v/>
      </c>
      <c r="AA50" s="198" t="n"/>
      <c r="AB50" s="198" t="n"/>
      <c r="AC50" s="198" t="n"/>
    </row>
    <row r="51" ht="15.75" customHeight="1" s="195">
      <c r="A51" s="337" t="n">
        <v>46</v>
      </c>
      <c r="B51" s="338" t="n"/>
      <c r="C51" s="337" t="inlineStr">
        <is>
          <t>REGION</t>
        </is>
      </c>
      <c r="D51" s="338" t="inlineStr">
        <is>
          <t>TARRILLO SANCHEZ MARIA CELIDA</t>
        </is>
      </c>
      <c r="E51" s="337" t="inlineStr">
        <is>
          <t>DNI</t>
        </is>
      </c>
      <c r="F51" s="337" t="inlineStr">
        <is>
          <t>44198440</t>
        </is>
      </c>
      <c r="G51" s="339" t="n">
        <v>46098</v>
      </c>
      <c r="H51" s="337" t="inlineStr">
        <is>
          <t>4937</t>
        </is>
      </c>
      <c r="I51" s="332">
        <f>IFERROR(VLOOKUP(TEXT(H51,"0"),IPRESS!$A$3:$B$212,2,0),"")</f>
        <v/>
      </c>
      <c r="J51" s="337" t="inlineStr">
        <is>
          <t>4932</t>
        </is>
      </c>
      <c r="K51" s="357" t="inlineStr">
        <is>
          <t>GASOLINA</t>
        </is>
      </c>
      <c r="L51" s="340" t="n">
        <v>17.95</v>
      </c>
      <c r="M51" s="340" t="n">
        <v>5</v>
      </c>
      <c r="N51" s="333">
        <f>IFERROR(IF(L51*M51=0,"",L51*M51),"")</f>
        <v/>
      </c>
      <c r="O51" s="272" t="inlineStr">
        <is>
          <t>44703306</t>
        </is>
      </c>
      <c r="P51" s="332">
        <f>IFERROR(VLOOKUP(TEXT(O51,"0"),CONDUCTORES!$A$3:$G$100,2,0),"")</f>
        <v/>
      </c>
      <c r="Q51" s="332">
        <f>IFERROR(VLOOKUP(TEXT(O51,"0"),CONDUCTORES!$A$3:$H$100,6,0),"")</f>
        <v/>
      </c>
      <c r="R51" s="341" t="n"/>
      <c r="S51" s="338" t="inlineStr">
        <is>
          <t>Z374,O420,O600</t>
        </is>
      </c>
      <c r="T51" s="337" t="n"/>
      <c r="U51" s="341" t="n"/>
      <c r="V51" s="338" t="n"/>
      <c r="W51" s="337" t="n"/>
      <c r="X51" s="337" t="n"/>
      <c r="Y51" s="280" t="n"/>
      <c r="Z51" s="350">
        <f>IF(AND(R51&lt;&gt;"",V51&lt;&gt;"",W51&lt;&gt;""),"ENTREGADO","POR RECOGER")</f>
        <v/>
      </c>
      <c r="AA51" s="198" t="n"/>
      <c r="AB51" s="198" t="n"/>
      <c r="AC51" s="198" t="n"/>
    </row>
    <row r="52" ht="15.75" customHeight="1" s="195">
      <c r="A52" s="301" t="n">
        <v>47</v>
      </c>
      <c r="B52" s="302" t="n"/>
      <c r="C52" s="301" t="inlineStr">
        <is>
          <t>REGION</t>
        </is>
      </c>
      <c r="D52" s="302" t="inlineStr">
        <is>
          <t>DIAZ CHAVEZ WILSON ANTONIO</t>
        </is>
      </c>
      <c r="E52" s="301" t="inlineStr">
        <is>
          <t>DNI</t>
        </is>
      </c>
      <c r="F52" s="301" t="inlineStr">
        <is>
          <t>33800223</t>
        </is>
      </c>
      <c r="G52" s="331" t="n">
        <v>46098</v>
      </c>
      <c r="H52" s="301" t="inlineStr">
        <is>
          <t>4903</t>
        </is>
      </c>
      <c r="I52" s="332">
        <f>IFERROR(VLOOKUP(TEXT(H52,"0"),IPRESS!$A$3:$B$212,2,0),"")</f>
        <v/>
      </c>
      <c r="J52" s="301" t="inlineStr">
        <is>
          <t>4838</t>
        </is>
      </c>
      <c r="K52" s="332" t="inlineStr">
        <is>
          <t>PETROLEO</t>
        </is>
      </c>
      <c r="L52" s="245" t="n">
        <v>18.18</v>
      </c>
      <c r="M52" s="245" t="n">
        <v>5</v>
      </c>
      <c r="N52" s="333">
        <f>IFERROR(IF(L52*M52=0,"",L52*M52),"")</f>
        <v/>
      </c>
      <c r="O52" s="301" t="inlineStr">
        <is>
          <t>33816046</t>
        </is>
      </c>
      <c r="P52" s="332">
        <f>IFERROR(VLOOKUP(TEXT(O52,"0"),CONDUCTORES!$A$3:$G$100,2,0),"")</f>
        <v/>
      </c>
      <c r="Q52" s="332">
        <f>IFERROR(VLOOKUP(TEXT(O52,"0"),CONDUCTORES!$A$3:$H$100,6,0),"")</f>
        <v/>
      </c>
      <c r="R52" s="334" t="n"/>
      <c r="S52" s="302" t="inlineStr">
        <is>
          <t>I743,Y442</t>
        </is>
      </c>
      <c r="T52" s="301" t="n"/>
      <c r="U52" s="334" t="n"/>
      <c r="V52" s="302" t="n"/>
      <c r="W52" s="301" t="n"/>
      <c r="X52" s="301" t="n"/>
      <c r="Y52" s="280" t="n"/>
      <c r="Z52" s="350">
        <f>IF(AND(R52&lt;&gt;"",V52&lt;&gt;"",W52&lt;&gt;""),"ENTREGADO","POR RECOGER")</f>
        <v/>
      </c>
      <c r="AA52" s="198" t="n"/>
      <c r="AB52" s="198" t="n"/>
      <c r="AC52" s="198" t="n"/>
    </row>
    <row r="53" ht="15.75" customHeight="1" s="195">
      <c r="A53" s="241" t="n">
        <v>48</v>
      </c>
      <c r="B53" s="305" t="n"/>
      <c r="C53" s="241" t="inlineStr">
        <is>
          <t>REGION</t>
        </is>
      </c>
      <c r="D53" s="305" t="inlineStr">
        <is>
          <t>HUAMAN VELAYSOSA DAYRON YAMIL</t>
        </is>
      </c>
      <c r="E53" s="241" t="inlineStr">
        <is>
          <t>DNI</t>
        </is>
      </c>
      <c r="F53" s="241" t="inlineStr">
        <is>
          <t>91555177</t>
        </is>
      </c>
      <c r="G53" s="336" t="n">
        <v>46099</v>
      </c>
      <c r="H53" s="241" t="inlineStr">
        <is>
          <t>4903</t>
        </is>
      </c>
      <c r="I53" s="332">
        <f>IFERROR(VLOOKUP(TEXT(H53,"0"),IPRESS!$A$3:$B$212,2,0),"")</f>
        <v/>
      </c>
      <c r="J53" s="241" t="inlineStr">
        <is>
          <t>4838</t>
        </is>
      </c>
      <c r="K53" s="332" t="inlineStr">
        <is>
          <t>PETROLEO</t>
        </is>
      </c>
      <c r="L53" s="239" t="n">
        <v>18.18</v>
      </c>
      <c r="M53" s="239" t="n">
        <v>5</v>
      </c>
      <c r="N53" s="333">
        <f>IFERROR(IF(L53*M53=0,"",L53*M53),"")</f>
        <v/>
      </c>
      <c r="O53" s="241" t="inlineStr">
        <is>
          <t>33816046</t>
        </is>
      </c>
      <c r="P53" s="332">
        <f>IFERROR(VLOOKUP(TEXT(O53,"0"),CONDUCTORES!$A$3:$G$100,2,0),"")</f>
        <v/>
      </c>
      <c r="Q53" s="332">
        <f>IFERROR(VLOOKUP(TEXT(O53,"0"),CONDUCTORES!$A$3:$H$100,6,0),"")</f>
        <v/>
      </c>
      <c r="R53" s="280" t="n"/>
      <c r="S53" s="305" t="inlineStr">
        <is>
          <t>S423</t>
        </is>
      </c>
      <c r="T53" s="241" t="n"/>
      <c r="U53" s="280" t="n"/>
      <c r="V53" s="305" t="n"/>
      <c r="W53" s="241" t="n"/>
      <c r="X53" s="241" t="n"/>
      <c r="Y53" s="280" t="n"/>
      <c r="Z53" s="350">
        <f>IF(AND(R53&lt;&gt;"",V53&lt;&gt;"",W53&lt;&gt;""),"ENTREGADO","POR RECOGER")</f>
        <v/>
      </c>
      <c r="AA53" s="198" t="n"/>
      <c r="AB53" s="198" t="n"/>
      <c r="AC53" s="198" t="n"/>
    </row>
    <row r="54" ht="15.75" customHeight="1" s="195">
      <c r="A54" s="301" t="n">
        <v>49</v>
      </c>
      <c r="B54" s="302" t="n"/>
      <c r="C54" s="301" t="inlineStr">
        <is>
          <t>REGION</t>
        </is>
      </c>
      <c r="D54" s="302" t="inlineStr">
        <is>
          <t>PORTOCARRERO OLIVA DAYRON ZAGUIR</t>
        </is>
      </c>
      <c r="E54" s="301" t="inlineStr">
        <is>
          <t>DNI</t>
        </is>
      </c>
      <c r="F54" s="301" t="inlineStr">
        <is>
          <t>78862771</t>
        </is>
      </c>
      <c r="G54" s="331" t="n">
        <v>46100</v>
      </c>
      <c r="H54" s="301" t="inlineStr">
        <is>
          <t>4950</t>
        </is>
      </c>
      <c r="I54" s="332">
        <f>IFERROR(VLOOKUP(TEXT(H54,"0"),IPRESS!$A$3:$B$212,2,0),"")</f>
        <v/>
      </c>
      <c r="J54" s="301" t="inlineStr">
        <is>
          <t>4838</t>
        </is>
      </c>
      <c r="K54" s="332" t="inlineStr">
        <is>
          <t>PETROLEO</t>
        </is>
      </c>
      <c r="L54" s="245" t="n">
        <v>20.25</v>
      </c>
      <c r="M54" s="245" t="n">
        <v>7</v>
      </c>
      <c r="N54" s="333">
        <f>IFERROR(IF(L54*M54=0,"",L54*M54),"")</f>
        <v/>
      </c>
      <c r="O54" s="301" t="inlineStr">
        <is>
          <t>42333513</t>
        </is>
      </c>
      <c r="P54" s="332">
        <f>IFERROR(VLOOKUP(TEXT(O54,"0"),CONDUCTORES!$A$3:$G$100,2,0),"")</f>
        <v/>
      </c>
      <c r="Q54" s="332">
        <f>IFERROR(VLOOKUP(TEXT(O54,"0"),CONDUCTORES!$A$3:$H$100,6,0),"")</f>
        <v/>
      </c>
      <c r="R54" s="334" t="n"/>
      <c r="S54" s="302" t="inlineStr">
        <is>
          <t>K359,R104,R11X</t>
        </is>
      </c>
      <c r="T54" s="301" t="n"/>
      <c r="U54" s="334" t="n"/>
      <c r="V54" s="302" t="n"/>
      <c r="W54" s="301" t="n"/>
      <c r="X54" s="301" t="n"/>
      <c r="Y54" s="280" t="n"/>
      <c r="Z54" s="350">
        <f>IF(AND(R54&lt;&gt;"",V54&lt;&gt;"",W54&lt;&gt;""),"ENTREGADO","POR RECOGER")</f>
        <v/>
      </c>
      <c r="AA54" s="198" t="n"/>
      <c r="AB54" s="198" t="n"/>
      <c r="AC54" s="198" t="n"/>
    </row>
    <row r="55" ht="15.75" customHeight="1" s="195">
      <c r="A55" s="241" t="n">
        <v>50</v>
      </c>
      <c r="B55" s="305" t="n"/>
      <c r="C55" s="241" t="inlineStr">
        <is>
          <t>REGION</t>
        </is>
      </c>
      <c r="D55" s="305" t="inlineStr">
        <is>
          <t>ARISTA DE ARISTA MARIA OTLIA</t>
        </is>
      </c>
      <c r="E55" s="241" t="inlineStr">
        <is>
          <t>DNI</t>
        </is>
      </c>
      <c r="F55" s="241" t="inlineStr">
        <is>
          <t>33944792</t>
        </is>
      </c>
      <c r="G55" s="336" t="n">
        <v>46100</v>
      </c>
      <c r="H55" s="241" t="inlineStr">
        <is>
          <t>4950</t>
        </is>
      </c>
      <c r="I55" s="332">
        <f>IFERROR(VLOOKUP(TEXT(H55,"0"),IPRESS!$A$3:$B$212,2,0),"")</f>
        <v/>
      </c>
      <c r="J55" s="241" t="inlineStr">
        <is>
          <t>4838</t>
        </is>
      </c>
      <c r="K55" s="332" t="inlineStr">
        <is>
          <t>PETROLEO</t>
        </is>
      </c>
      <c r="L55" s="239" t="n">
        <v>20.25</v>
      </c>
      <c r="M55" s="239" t="n">
        <v>7</v>
      </c>
      <c r="N55" s="333">
        <f>IFERROR(IF(L55*M55=0,"",L55*M55),"")</f>
        <v/>
      </c>
      <c r="O55" s="241" t="inlineStr">
        <is>
          <t>33402316</t>
        </is>
      </c>
      <c r="P55" s="332">
        <f>IFERROR(VLOOKUP(TEXT(O55,"0"),CONDUCTORES!$A$3:$G$100,2,0),"")</f>
        <v/>
      </c>
      <c r="Q55" s="332">
        <f>IFERROR(VLOOKUP(TEXT(O55,"0"),CONDUCTORES!$A$3:$H$100,6,0),"")</f>
        <v/>
      </c>
      <c r="R55" s="280" t="n"/>
      <c r="S55" s="305" t="inlineStr">
        <is>
          <t>J960,J441,I679</t>
        </is>
      </c>
      <c r="T55" s="241" t="n"/>
      <c r="U55" s="280" t="n"/>
      <c r="V55" s="305" t="n"/>
      <c r="W55" s="241" t="n"/>
      <c r="X55" s="241" t="n"/>
      <c r="Y55" s="280" t="n"/>
      <c r="Z55" s="350">
        <f>IF(AND(R55&lt;&gt;"",V55&lt;&gt;"",W55&lt;&gt;""),"ENTREGADO","POR RECOGER")</f>
        <v/>
      </c>
      <c r="AA55" s="198" t="n"/>
      <c r="AB55" s="198" t="n"/>
      <c r="AC55" s="198" t="n"/>
    </row>
    <row r="56" ht="15.75" customHeight="1" s="195">
      <c r="A56" s="301" t="n">
        <v>51</v>
      </c>
      <c r="B56" s="302" t="n"/>
      <c r="C56" s="301" t="inlineStr">
        <is>
          <t>REGION</t>
        </is>
      </c>
      <c r="D56" s="302" t="n"/>
      <c r="E56" s="301" t="inlineStr">
        <is>
          <t>DNI</t>
        </is>
      </c>
      <c r="F56" s="301" t="n"/>
      <c r="G56" s="334" t="n"/>
      <c r="H56" s="301" t="n"/>
      <c r="I56" s="332">
        <f>IFERROR(VLOOKUP(TEXT(H56,"0"),IPRESS!$A$3:$B$212,2,0),"")</f>
        <v/>
      </c>
      <c r="J56" s="301" t="n"/>
      <c r="K56" s="332" t="n"/>
      <c r="L56" s="245" t="n">
        <v>20.25</v>
      </c>
      <c r="M56" s="245" t="n"/>
      <c r="N56" s="333">
        <f>IFERROR(IF(L56*M56=0,"",L56*M56),"")</f>
        <v/>
      </c>
      <c r="O56" s="301" t="n"/>
      <c r="P56" s="332">
        <f>IFERROR(VLOOKUP(TEXT(O56,"0"),CONDUCTORES!$A$3:$G$100,2,0),"")</f>
        <v/>
      </c>
      <c r="Q56" s="332">
        <f>IFERROR(VLOOKUP(TEXT(O56,"0"),CONDUCTORES!$A$3:$H$100,6,0),"")</f>
        <v/>
      </c>
      <c r="R56" s="334" t="n"/>
      <c r="S56" s="302" t="n"/>
      <c r="T56" s="301" t="n"/>
      <c r="U56" s="334" t="n"/>
      <c r="V56" s="302" t="n"/>
      <c r="W56" s="301" t="n"/>
      <c r="X56" s="301" t="n"/>
      <c r="Y56" s="280" t="n"/>
      <c r="Z56" s="350">
        <f>IF(AND(R56&lt;&gt;"",V56&lt;&gt;"",W56&lt;&gt;""),"ENTREGADO","POR RECOGER")</f>
        <v/>
      </c>
      <c r="AA56" s="198" t="n"/>
      <c r="AB56" s="198" t="n"/>
      <c r="AC56" s="198" t="n"/>
    </row>
    <row r="57" ht="15.75" customHeight="1" s="195">
      <c r="A57" s="241" t="n">
        <v>52</v>
      </c>
      <c r="B57" s="305" t="n"/>
      <c r="C57" s="241" t="inlineStr">
        <is>
          <t>REGION</t>
        </is>
      </c>
      <c r="D57" s="305" t="n"/>
      <c r="E57" s="241" t="inlineStr">
        <is>
          <t>DNI</t>
        </is>
      </c>
      <c r="F57" s="241" t="n"/>
      <c r="G57" s="280" t="n"/>
      <c r="H57" s="241" t="n"/>
      <c r="I57" s="332">
        <f>IFERROR(VLOOKUP(TEXT(H57,"0"),IPRESS!$A$3:$B$212,2,0),"")</f>
        <v/>
      </c>
      <c r="J57" s="241" t="n"/>
      <c r="K57" s="332" t="n"/>
      <c r="L57" s="239" t="n">
        <v>20.25</v>
      </c>
      <c r="M57" s="239" t="n"/>
      <c r="N57" s="333">
        <f>IFERROR(IF(L57*M57=0,"",L57*M57),"")</f>
        <v/>
      </c>
      <c r="O57" s="241" t="n"/>
      <c r="P57" s="332">
        <f>IFERROR(VLOOKUP(TEXT(O57,"0"),CONDUCTORES!$A$3:$G$100,2,0),"")</f>
        <v/>
      </c>
      <c r="Q57" s="332">
        <f>IFERROR(VLOOKUP(TEXT(O57,"0"),CONDUCTORES!$A$3:$H$100,6,0),"")</f>
        <v/>
      </c>
      <c r="R57" s="280" t="n"/>
      <c r="S57" s="305" t="n"/>
      <c r="T57" s="241" t="n"/>
      <c r="U57" s="280" t="n"/>
      <c r="V57" s="305" t="n"/>
      <c r="W57" s="241" t="n"/>
      <c r="X57" s="241" t="n"/>
      <c r="Y57" s="280" t="n"/>
      <c r="Z57" s="350">
        <f>IF(AND(R57&lt;&gt;"",V57&lt;&gt;"",W57&lt;&gt;""),"ENTREGADO","POR RECOGER")</f>
        <v/>
      </c>
      <c r="AA57" s="198" t="n"/>
      <c r="AB57" s="198" t="n"/>
      <c r="AC57" s="198" t="n"/>
    </row>
    <row r="58" ht="15.75" customHeight="1" s="195">
      <c r="A58" s="301" t="n">
        <v>53</v>
      </c>
      <c r="B58" s="302" t="n"/>
      <c r="C58" s="301" t="inlineStr">
        <is>
          <t>REGION</t>
        </is>
      </c>
      <c r="D58" s="302" t="n"/>
      <c r="E58" s="301" t="inlineStr">
        <is>
          <t>DNI</t>
        </is>
      </c>
      <c r="F58" s="301" t="n"/>
      <c r="G58" s="334" t="n"/>
      <c r="H58" s="301" t="n"/>
      <c r="I58" s="332">
        <f>IFERROR(VLOOKUP(TEXT(H58,"0"),IPRESS!$A$3:$B$212,2,0),"")</f>
        <v/>
      </c>
      <c r="J58" s="301" t="n"/>
      <c r="K58" s="332" t="n"/>
      <c r="L58" s="245" t="n">
        <v>20.25</v>
      </c>
      <c r="M58" s="245" t="n"/>
      <c r="N58" s="333">
        <f>IFERROR(IF(L58*M58=0,"",L58*M58),"")</f>
        <v/>
      </c>
      <c r="O58" s="301" t="n"/>
      <c r="P58" s="332">
        <f>IFERROR(VLOOKUP(TEXT(O58,"0"),CONDUCTORES!$A$3:$G$100,2,0),"")</f>
        <v/>
      </c>
      <c r="Q58" s="332">
        <f>IFERROR(VLOOKUP(TEXT(O58,"0"),CONDUCTORES!$A$3:$H$100,6,0),"")</f>
        <v/>
      </c>
      <c r="R58" s="334" t="n"/>
      <c r="S58" s="302" t="n"/>
      <c r="T58" s="301" t="n"/>
      <c r="U58" s="334" t="n"/>
      <c r="V58" s="302" t="n"/>
      <c r="W58" s="301" t="n"/>
      <c r="X58" s="301" t="n"/>
      <c r="Y58" s="280" t="n"/>
      <c r="Z58" s="350">
        <f>IF(AND(R58&lt;&gt;"",V58&lt;&gt;"",W58&lt;&gt;""),"ENTREGADO","POR RECOGER")</f>
        <v/>
      </c>
      <c r="AA58" s="198" t="n"/>
      <c r="AB58" s="198" t="n"/>
      <c r="AC58" s="198" t="n"/>
    </row>
    <row r="59" ht="15.75" customHeight="1" s="195">
      <c r="A59" s="241" t="n">
        <v>54</v>
      </c>
      <c r="B59" s="305" t="n"/>
      <c r="C59" s="241" t="inlineStr">
        <is>
          <t>REGION</t>
        </is>
      </c>
      <c r="D59" s="305" t="n"/>
      <c r="E59" s="241" t="inlineStr">
        <is>
          <t>DNI</t>
        </is>
      </c>
      <c r="F59" s="241" t="n"/>
      <c r="G59" s="280" t="n"/>
      <c r="H59" s="241" t="n"/>
      <c r="I59" s="332">
        <f>IFERROR(VLOOKUP(TEXT(H59,"0"),IPRESS!$A$3:$B$212,2,0),"")</f>
        <v/>
      </c>
      <c r="J59" s="241" t="n"/>
      <c r="K59" s="332" t="n"/>
      <c r="L59" s="239" t="n">
        <v>20.25</v>
      </c>
      <c r="M59" s="239" t="n"/>
      <c r="N59" s="333">
        <f>IFERROR(IF(L59*M59=0,"",L59*M59),"")</f>
        <v/>
      </c>
      <c r="O59" s="241" t="n"/>
      <c r="P59" s="332">
        <f>IFERROR(VLOOKUP(TEXT(O59,"0"),CONDUCTORES!$A$3:$G$100,2,0),"")</f>
        <v/>
      </c>
      <c r="Q59" s="332">
        <f>IFERROR(VLOOKUP(TEXT(O59,"0"),CONDUCTORES!$A$3:$H$100,6,0),"")</f>
        <v/>
      </c>
      <c r="R59" s="280" t="n"/>
      <c r="S59" s="305" t="n"/>
      <c r="T59" s="241" t="n"/>
      <c r="U59" s="280" t="n"/>
      <c r="V59" s="305" t="n"/>
      <c r="W59" s="241" t="n"/>
      <c r="X59" s="241" t="n"/>
      <c r="Y59" s="280" t="n"/>
      <c r="Z59" s="350">
        <f>IF(AND(R59&lt;&gt;"",V59&lt;&gt;"",W59&lt;&gt;""),"ENTREGADO","POR RECOGER")</f>
        <v/>
      </c>
      <c r="AA59" s="198" t="n"/>
      <c r="AB59" s="198" t="n"/>
      <c r="AC59" s="198" t="n"/>
    </row>
    <row r="60" ht="15.75" customHeight="1" s="195">
      <c r="A60" s="301" t="n">
        <v>55</v>
      </c>
      <c r="B60" s="302" t="n"/>
      <c r="C60" s="301" t="inlineStr">
        <is>
          <t>REGION</t>
        </is>
      </c>
      <c r="D60" s="302" t="n"/>
      <c r="E60" s="301" t="inlineStr">
        <is>
          <t>DNI</t>
        </is>
      </c>
      <c r="F60" s="301" t="n"/>
      <c r="G60" s="334" t="n"/>
      <c r="H60" s="301" t="n"/>
      <c r="I60" s="332">
        <f>IFERROR(VLOOKUP(TEXT(H60,"0"),IPRESS!$A$3:$B$212,2,0),"")</f>
        <v/>
      </c>
      <c r="J60" s="301" t="n"/>
      <c r="K60" s="332" t="n"/>
      <c r="L60" s="245" t="n">
        <v>20.25</v>
      </c>
      <c r="M60" s="245" t="n"/>
      <c r="N60" s="333">
        <f>IFERROR(IF(L60*M60=0,"",L60*M60),"")</f>
        <v/>
      </c>
      <c r="O60" s="301" t="n"/>
      <c r="P60" s="332">
        <f>IFERROR(VLOOKUP(TEXT(O60,"0"),CONDUCTORES!$A$3:$G$100,2,0),"")</f>
        <v/>
      </c>
      <c r="Q60" s="332">
        <f>IFERROR(VLOOKUP(TEXT(O60,"0"),CONDUCTORES!$A$3:$H$100,6,0),"")</f>
        <v/>
      </c>
      <c r="R60" s="334" t="n"/>
      <c r="S60" s="302" t="n"/>
      <c r="T60" s="301" t="n"/>
      <c r="U60" s="334" t="n"/>
      <c r="V60" s="302" t="n"/>
      <c r="W60" s="301" t="n"/>
      <c r="X60" s="301" t="n"/>
      <c r="Y60" s="280" t="n"/>
      <c r="Z60" s="350">
        <f>IF(AND(R60&lt;&gt;"",V60&lt;&gt;"",W60&lt;&gt;""),"ENTREGADO","POR RECOGER")</f>
        <v/>
      </c>
      <c r="AA60" s="198" t="n"/>
      <c r="AB60" s="198" t="n"/>
      <c r="AC60" s="198" t="n"/>
    </row>
    <row r="61" ht="15.75" customHeight="1" s="195">
      <c r="A61" s="241" t="n">
        <v>56</v>
      </c>
      <c r="B61" s="305" t="n"/>
      <c r="C61" s="241" t="inlineStr">
        <is>
          <t>REGION</t>
        </is>
      </c>
      <c r="D61" s="305" t="n"/>
      <c r="E61" s="241" t="inlineStr">
        <is>
          <t>DNI</t>
        </is>
      </c>
      <c r="F61" s="241" t="n"/>
      <c r="G61" s="280" t="n"/>
      <c r="H61" s="241" t="n"/>
      <c r="I61" s="332">
        <f>IFERROR(VLOOKUP(TEXT(H61,"0"),IPRESS!$A$3:$B$212,2,0),"")</f>
        <v/>
      </c>
      <c r="J61" s="241" t="n"/>
      <c r="K61" s="332" t="n"/>
      <c r="L61" s="239" t="n">
        <v>18.18</v>
      </c>
      <c r="M61" s="239" t="n"/>
      <c r="N61" s="333">
        <f>IFERROR(IF(L61*M61=0,"",L61*M61),"")</f>
        <v/>
      </c>
      <c r="O61" s="241" t="n"/>
      <c r="P61" s="332">
        <f>IFERROR(VLOOKUP(TEXT(O61,"0"),CONDUCTORES!$A$3:$G$100,2,0),"")</f>
        <v/>
      </c>
      <c r="Q61" s="332">
        <f>IFERROR(VLOOKUP(TEXT(O61,"0"),CONDUCTORES!$A$3:$H$100,6,0),"")</f>
        <v/>
      </c>
      <c r="R61" s="280" t="n"/>
      <c r="S61" s="305" t="n"/>
      <c r="T61" s="241" t="n"/>
      <c r="U61" s="280" t="n"/>
      <c r="V61" s="305" t="n"/>
      <c r="W61" s="241" t="n"/>
      <c r="X61" s="241" t="n"/>
      <c r="Y61" s="280" t="n"/>
      <c r="Z61" s="350">
        <f>IF(AND(R61&lt;&gt;"",V61&lt;&gt;"",W61&lt;&gt;""),"ENTREGADO","POR RECOGER")</f>
        <v/>
      </c>
      <c r="AA61" s="198" t="n"/>
      <c r="AB61" s="198" t="n"/>
      <c r="AC61" s="198" t="n"/>
    </row>
    <row r="62" ht="15.75" customHeight="1" s="195">
      <c r="A62" s="301" t="n">
        <v>57</v>
      </c>
      <c r="B62" s="302" t="n"/>
      <c r="C62" s="301" t="inlineStr">
        <is>
          <t>REGION</t>
        </is>
      </c>
      <c r="D62" s="302" t="n"/>
      <c r="E62" s="301" t="inlineStr">
        <is>
          <t>DNI</t>
        </is>
      </c>
      <c r="F62" s="301" t="n"/>
      <c r="G62" s="334" t="n"/>
      <c r="H62" s="301" t="n"/>
      <c r="I62" s="332">
        <f>IFERROR(VLOOKUP(TEXT(H62,"0"),IPRESS!$A$3:$B$212,2,0),"")</f>
        <v/>
      </c>
      <c r="J62" s="301" t="n"/>
      <c r="K62" s="332" t="n"/>
      <c r="L62" s="245" t="n">
        <v>18.18</v>
      </c>
      <c r="M62" s="245" t="n"/>
      <c r="N62" s="333">
        <f>IFERROR(IF(L62*M62=0,"",L62*M62),"")</f>
        <v/>
      </c>
      <c r="O62" s="301" t="n"/>
      <c r="P62" s="332">
        <f>IFERROR(VLOOKUP(TEXT(O62,"0"),CONDUCTORES!$A$3:$G$100,2,0),"")</f>
        <v/>
      </c>
      <c r="Q62" s="332">
        <f>IFERROR(VLOOKUP(TEXT(O62,"0"),CONDUCTORES!$A$3:$H$100,6,0),"")</f>
        <v/>
      </c>
      <c r="R62" s="334" t="n"/>
      <c r="S62" s="302" t="n"/>
      <c r="T62" s="301" t="n"/>
      <c r="U62" s="334" t="n"/>
      <c r="V62" s="302" t="n"/>
      <c r="W62" s="301" t="n"/>
      <c r="X62" s="301" t="n"/>
      <c r="Y62" s="280" t="n"/>
      <c r="Z62" s="350">
        <f>IF(AND(R62&lt;&gt;"",V62&lt;&gt;"",W62&lt;&gt;""),"ENTREGADO","POR RECOGER")</f>
        <v/>
      </c>
      <c r="AA62" s="198" t="n"/>
      <c r="AB62" s="198" t="n"/>
      <c r="AC62" s="198" t="n"/>
    </row>
    <row r="63" ht="15.75" customHeight="1" s="195">
      <c r="A63" s="241" t="n">
        <v>58</v>
      </c>
      <c r="B63" s="305" t="n"/>
      <c r="C63" s="241" t="inlineStr">
        <is>
          <t>REGION</t>
        </is>
      </c>
      <c r="D63" s="305" t="n"/>
      <c r="E63" s="241" t="inlineStr">
        <is>
          <t>DNI</t>
        </is>
      </c>
      <c r="F63" s="241" t="n"/>
      <c r="G63" s="280" t="n"/>
      <c r="H63" s="241" t="n"/>
      <c r="I63" s="332">
        <f>IFERROR(VLOOKUP(TEXT(H63,"0"),IPRESS!$A$3:$B$212,2,0),"")</f>
        <v/>
      </c>
      <c r="J63" s="241" t="n"/>
      <c r="K63" s="332" t="n"/>
      <c r="L63" s="239" t="n">
        <v>18.18</v>
      </c>
      <c r="M63" s="239" t="n"/>
      <c r="N63" s="333">
        <f>IFERROR(IF(L63*M63=0,"",L63*M63),"")</f>
        <v/>
      </c>
      <c r="O63" s="241" t="n"/>
      <c r="P63" s="332">
        <f>IFERROR(VLOOKUP(TEXT(O63,"0"),CONDUCTORES!$A$3:$G$100,2,0),"")</f>
        <v/>
      </c>
      <c r="Q63" s="332">
        <f>IFERROR(VLOOKUP(TEXT(O63,"0"),CONDUCTORES!$A$3:$H$100,6,0),"")</f>
        <v/>
      </c>
      <c r="R63" s="280" t="n"/>
      <c r="S63" s="305" t="n"/>
      <c r="T63" s="241" t="n"/>
      <c r="U63" s="280" t="n"/>
      <c r="V63" s="305" t="n"/>
      <c r="W63" s="241" t="n"/>
      <c r="X63" s="241" t="n"/>
      <c r="Y63" s="280" t="n"/>
      <c r="Z63" s="350">
        <f>IF(AND(R63&lt;&gt;"",V63&lt;&gt;"",W63&lt;&gt;""),"ENTREGADO","POR RECOGER")</f>
        <v/>
      </c>
      <c r="AA63" s="198" t="n"/>
      <c r="AB63" s="198" t="n"/>
      <c r="AC63" s="198" t="n"/>
    </row>
    <row r="64" ht="15.75" customHeight="1" s="195">
      <c r="A64" s="301" t="n">
        <v>59</v>
      </c>
      <c r="B64" s="302" t="n"/>
      <c r="C64" s="301" t="inlineStr">
        <is>
          <t>REGION</t>
        </is>
      </c>
      <c r="D64" s="302" t="n"/>
      <c r="E64" s="301" t="inlineStr">
        <is>
          <t>DNI</t>
        </is>
      </c>
      <c r="F64" s="301" t="n"/>
      <c r="G64" s="334" t="n"/>
      <c r="H64" s="301" t="n"/>
      <c r="I64" s="332">
        <f>IFERROR(VLOOKUP(TEXT(H64,"0"),IPRESS!$A$3:$B$212,2,0),"")</f>
        <v/>
      </c>
      <c r="J64" s="301" t="n"/>
      <c r="K64" s="332" t="n"/>
      <c r="L64" s="245" t="n">
        <v>18.18</v>
      </c>
      <c r="M64" s="245" t="n"/>
      <c r="N64" s="333">
        <f>IFERROR(IF(L64*M64=0,"",L64*M64),"")</f>
        <v/>
      </c>
      <c r="O64" s="301" t="n"/>
      <c r="P64" s="332">
        <f>IFERROR(VLOOKUP(TEXT(O64,"0"),CONDUCTORES!$A$3:$G$100,2,0),"")</f>
        <v/>
      </c>
      <c r="Q64" s="332">
        <f>IFERROR(VLOOKUP(TEXT(O64,"0"),CONDUCTORES!$A$3:$H$100,6,0),"")</f>
        <v/>
      </c>
      <c r="R64" s="334" t="n"/>
      <c r="S64" s="302" t="n"/>
      <c r="T64" s="301" t="n"/>
      <c r="U64" s="334" t="n"/>
      <c r="V64" s="302" t="n"/>
      <c r="W64" s="301" t="n"/>
      <c r="X64" s="301" t="n"/>
      <c r="Y64" s="280" t="n"/>
      <c r="Z64" s="350">
        <f>IF(AND(R64&lt;&gt;"",V64&lt;&gt;"",W64&lt;&gt;""),"ENTREGADO","POR RECOGER")</f>
        <v/>
      </c>
      <c r="AA64" s="198" t="n"/>
      <c r="AB64" s="198" t="n"/>
      <c r="AC64" s="198" t="n"/>
    </row>
    <row r="65" ht="15.75" customHeight="1" s="195">
      <c r="A65" s="241" t="n">
        <v>60</v>
      </c>
      <c r="B65" s="305" t="n"/>
      <c r="C65" s="241" t="inlineStr">
        <is>
          <t>REGION</t>
        </is>
      </c>
      <c r="D65" s="305" t="n"/>
      <c r="E65" s="241" t="inlineStr">
        <is>
          <t>DNI</t>
        </is>
      </c>
      <c r="F65" s="241" t="n"/>
      <c r="G65" s="280" t="n"/>
      <c r="H65" s="241" t="n"/>
      <c r="I65" s="332">
        <f>IFERROR(VLOOKUP(TEXT(H65,"0"),IPRESS!$A$3:$B$212,2,0),"")</f>
        <v/>
      </c>
      <c r="J65" s="241" t="n"/>
      <c r="K65" s="332" t="n"/>
      <c r="L65" s="239" t="n">
        <v>18.18</v>
      </c>
      <c r="M65" s="239" t="n"/>
      <c r="N65" s="333">
        <f>IFERROR(IF(L65*M65=0,"",L65*M65),"")</f>
        <v/>
      </c>
      <c r="O65" s="241" t="n"/>
      <c r="P65" s="332">
        <f>IFERROR(VLOOKUP(TEXT(O65,"0"),CONDUCTORES!$A$3:$G$100,2,0),"")</f>
        <v/>
      </c>
      <c r="Q65" s="332">
        <f>IFERROR(VLOOKUP(TEXT(O65,"0"),CONDUCTORES!$A$3:$H$100,6,0),"")</f>
        <v/>
      </c>
      <c r="R65" s="280" t="n"/>
      <c r="S65" s="305" t="n"/>
      <c r="T65" s="241" t="n"/>
      <c r="U65" s="280" t="n"/>
      <c r="V65" s="305" t="n"/>
      <c r="W65" s="241" t="n"/>
      <c r="X65" s="241" t="n"/>
      <c r="Y65" s="280" t="n"/>
      <c r="Z65" s="350">
        <f>IF(AND(R65&lt;&gt;"",V65&lt;&gt;"",W65&lt;&gt;""),"ENTREGADO","POR RECOGER")</f>
        <v/>
      </c>
      <c r="AA65" s="198" t="n"/>
      <c r="AB65" s="198" t="n"/>
      <c r="AC65" s="198" t="n"/>
    </row>
    <row r="66" ht="15.75" customHeight="1" s="195">
      <c r="A66" s="301" t="n">
        <v>61</v>
      </c>
      <c r="B66" s="302" t="n"/>
      <c r="C66" s="301" t="inlineStr">
        <is>
          <t>REGION</t>
        </is>
      </c>
      <c r="D66" s="302" t="n"/>
      <c r="E66" s="301" t="inlineStr">
        <is>
          <t>DNI</t>
        </is>
      </c>
      <c r="F66" s="301" t="n"/>
      <c r="G66" s="334" t="n"/>
      <c r="H66" s="301" t="n"/>
      <c r="I66" s="332">
        <f>IFERROR(VLOOKUP(TEXT(H66,"0"),IPRESS!$A$3:$B$212,2,0),"")</f>
        <v/>
      </c>
      <c r="J66" s="301" t="n"/>
      <c r="K66" s="332" t="n"/>
      <c r="L66" s="245" t="n">
        <v>20.25</v>
      </c>
      <c r="M66" s="245" t="n"/>
      <c r="N66" s="333">
        <f>IFERROR(IF(L66*M66=0,"",L66*M66),"")</f>
        <v/>
      </c>
      <c r="O66" s="301" t="n"/>
      <c r="P66" s="332">
        <f>IFERROR(VLOOKUP(TEXT(O66,"0"),CONDUCTORES!$A$3:$G$100,2,0),"")</f>
        <v/>
      </c>
      <c r="Q66" s="332">
        <f>IFERROR(VLOOKUP(TEXT(O66,"0"),CONDUCTORES!$A$3:$H$100,6,0),"")</f>
        <v/>
      </c>
      <c r="R66" s="334" t="n"/>
      <c r="S66" s="302" t="n"/>
      <c r="T66" s="301" t="n"/>
      <c r="U66" s="334" t="n"/>
      <c r="V66" s="302" t="n"/>
      <c r="W66" s="301" t="n"/>
      <c r="X66" s="301" t="n"/>
      <c r="Y66" s="280" t="n"/>
      <c r="Z66" s="350">
        <f>IF(AND(R66&lt;&gt;"",V66&lt;&gt;"",W66&lt;&gt;""),"ENTREGADO","POR RECOGER")</f>
        <v/>
      </c>
      <c r="AA66" s="198" t="n"/>
      <c r="AB66" s="198" t="n"/>
      <c r="AC66" s="198" t="n"/>
    </row>
    <row r="67" ht="15.75" customHeight="1" s="195">
      <c r="A67" s="241" t="n">
        <v>62</v>
      </c>
      <c r="B67" s="305" t="n"/>
      <c r="C67" s="241" t="inlineStr">
        <is>
          <t>REGION</t>
        </is>
      </c>
      <c r="D67" s="305" t="n"/>
      <c r="E67" s="241" t="inlineStr">
        <is>
          <t>DNI</t>
        </is>
      </c>
      <c r="F67" s="241" t="n"/>
      <c r="G67" s="280" t="n"/>
      <c r="H67" s="241" t="n"/>
      <c r="I67" s="332">
        <f>IFERROR(VLOOKUP(TEXT(H67,"0"),IPRESS!$A$3:$B$212,2,0),"")</f>
        <v/>
      </c>
      <c r="J67" s="241" t="n"/>
      <c r="K67" s="332" t="n"/>
      <c r="L67" s="239" t="n">
        <v>20.25</v>
      </c>
      <c r="M67" s="239" t="n"/>
      <c r="N67" s="333">
        <f>IFERROR(IF(L67*M67=0,"",L67*M67),"")</f>
        <v/>
      </c>
      <c r="O67" s="241" t="n"/>
      <c r="P67" s="332">
        <f>IFERROR(VLOOKUP(TEXT(O67,"0"),CONDUCTORES!$A$3:$G$100,2,0),"")</f>
        <v/>
      </c>
      <c r="Q67" s="332">
        <f>IFERROR(VLOOKUP(TEXT(O67,"0"),CONDUCTORES!$A$3:$H$100,6,0),"")</f>
        <v/>
      </c>
      <c r="R67" s="280" t="n"/>
      <c r="S67" s="305" t="n"/>
      <c r="T67" s="241" t="n"/>
      <c r="U67" s="280" t="n"/>
      <c r="V67" s="305" t="n"/>
      <c r="W67" s="241" t="n"/>
      <c r="X67" s="241" t="n"/>
      <c r="Y67" s="280" t="n"/>
      <c r="Z67" s="350">
        <f>IF(AND(R67&lt;&gt;"",V67&lt;&gt;"",W67&lt;&gt;""),"ENTREGADO","POR RECOGER")</f>
        <v/>
      </c>
      <c r="AA67" s="198" t="n"/>
      <c r="AB67" s="198" t="n"/>
      <c r="AC67" s="198" t="n"/>
    </row>
    <row r="68" ht="15.75" customHeight="1" s="195">
      <c r="A68" s="301" t="n">
        <v>63</v>
      </c>
      <c r="B68" s="302" t="n"/>
      <c r="C68" s="301" t="inlineStr">
        <is>
          <t>REGION</t>
        </is>
      </c>
      <c r="D68" s="302" t="n"/>
      <c r="E68" s="301" t="inlineStr">
        <is>
          <t>DNI</t>
        </is>
      </c>
      <c r="F68" s="301" t="n"/>
      <c r="G68" s="334" t="n"/>
      <c r="H68" s="301" t="n"/>
      <c r="I68" s="332">
        <f>IFERROR(VLOOKUP(TEXT(H68,"0"),IPRESS!$A$3:$B$212,2,0),"")</f>
        <v/>
      </c>
      <c r="J68" s="301" t="n"/>
      <c r="K68" s="332" t="n"/>
      <c r="L68" s="245" t="n">
        <v>18.18</v>
      </c>
      <c r="M68" s="245" t="n"/>
      <c r="N68" s="333">
        <f>IFERROR(IF(L68*M68=0,"",L68*M68),"")</f>
        <v/>
      </c>
      <c r="O68" s="301" t="n"/>
      <c r="P68" s="332">
        <f>IFERROR(VLOOKUP(TEXT(O68,"0"),CONDUCTORES!$A$3:$G$100,2,0),"")</f>
        <v/>
      </c>
      <c r="Q68" s="332">
        <f>IFERROR(VLOOKUP(TEXT(O68,"0"),CONDUCTORES!$A$3:$H$100,6,0),"")</f>
        <v/>
      </c>
      <c r="R68" s="334" t="n"/>
      <c r="S68" s="302" t="n"/>
      <c r="T68" s="301" t="n"/>
      <c r="U68" s="334" t="n"/>
      <c r="V68" s="302" t="n"/>
      <c r="W68" s="301" t="n"/>
      <c r="X68" s="301" t="n"/>
      <c r="Y68" s="280" t="n"/>
      <c r="Z68" s="350">
        <f>IF(AND(R68&lt;&gt;"",V68&lt;&gt;"",W68&lt;&gt;""),"ENTREGADO","POR RECOGER")</f>
        <v/>
      </c>
      <c r="AA68" s="198" t="n"/>
      <c r="AB68" s="198" t="n"/>
      <c r="AC68" s="198" t="n"/>
    </row>
    <row r="69" ht="15.75" customHeight="1" s="195">
      <c r="A69" s="241" t="n">
        <v>64</v>
      </c>
      <c r="B69" s="305" t="n"/>
      <c r="C69" s="241" t="inlineStr">
        <is>
          <t>REGION</t>
        </is>
      </c>
      <c r="D69" s="305" t="n"/>
      <c r="E69" s="241" t="inlineStr">
        <is>
          <t>DNI</t>
        </is>
      </c>
      <c r="F69" s="241" t="n"/>
      <c r="G69" s="280" t="n"/>
      <c r="H69" s="241" t="n"/>
      <c r="I69" s="332">
        <f>IFERROR(VLOOKUP(TEXT(H69,"0"),IPRESS!$A$3:$B$212,2,0),"")</f>
        <v/>
      </c>
      <c r="J69" s="241" t="n"/>
      <c r="K69" s="332" t="n"/>
      <c r="L69" s="239" t="n">
        <v>18.18</v>
      </c>
      <c r="M69" s="239" t="n"/>
      <c r="N69" s="333">
        <f>IFERROR(IF(L69*M69=0,"",L69*M69),"")</f>
        <v/>
      </c>
      <c r="O69" s="241" t="n"/>
      <c r="P69" s="332">
        <f>IFERROR(VLOOKUP(TEXT(O69,"0"),CONDUCTORES!$A$3:$G$100,2,0),"")</f>
        <v/>
      </c>
      <c r="Q69" s="332">
        <f>IFERROR(VLOOKUP(TEXT(O69,"0"),CONDUCTORES!$A$3:$H$100,6,0),"")</f>
        <v/>
      </c>
      <c r="R69" s="280" t="n"/>
      <c r="S69" s="305" t="n"/>
      <c r="T69" s="241" t="n"/>
      <c r="U69" s="280" t="n"/>
      <c r="V69" s="305" t="n"/>
      <c r="W69" s="241" t="n"/>
      <c r="X69" s="241" t="n"/>
      <c r="Y69" s="280" t="n"/>
      <c r="Z69" s="350">
        <f>IF(AND(R69&lt;&gt;"",V69&lt;&gt;"",W69&lt;&gt;""),"ENTREGADO","POR RECOGER")</f>
        <v/>
      </c>
      <c r="AA69" s="198" t="n"/>
      <c r="AB69" s="198" t="n"/>
      <c r="AC69" s="198" t="n"/>
    </row>
    <row r="70" ht="15.75" customHeight="1" s="195">
      <c r="A70" s="301" t="n">
        <v>65</v>
      </c>
      <c r="B70" s="302" t="n"/>
      <c r="C70" s="301" t="inlineStr">
        <is>
          <t>REGION</t>
        </is>
      </c>
      <c r="D70" s="302" t="n"/>
      <c r="E70" s="301" t="inlineStr">
        <is>
          <t>DNI</t>
        </is>
      </c>
      <c r="F70" s="301" t="n"/>
      <c r="G70" s="334" t="n"/>
      <c r="H70" s="301" t="n"/>
      <c r="I70" s="332">
        <f>IFERROR(VLOOKUP(TEXT(H70,"0"),IPRESS!$A$3:$B$212,2,0),"")</f>
        <v/>
      </c>
      <c r="J70" s="301" t="n"/>
      <c r="K70" s="332" t="n"/>
      <c r="L70" s="245" t="n">
        <v>18.18</v>
      </c>
      <c r="M70" s="245" t="n"/>
      <c r="N70" s="333">
        <f>IFERROR(IF(L70*M70=0,"",L70*M70),"")</f>
        <v/>
      </c>
      <c r="O70" s="301" t="n"/>
      <c r="P70" s="332">
        <f>IFERROR(VLOOKUP(TEXT(O70,"0"),CONDUCTORES!$A$3:$G$100,2,0),"")</f>
        <v/>
      </c>
      <c r="Q70" s="332">
        <f>IFERROR(VLOOKUP(TEXT(O70,"0"),CONDUCTORES!$A$3:$H$100,6,0),"")</f>
        <v/>
      </c>
      <c r="R70" s="334" t="n"/>
      <c r="S70" s="302" t="n"/>
      <c r="T70" s="301" t="n"/>
      <c r="U70" s="334" t="n"/>
      <c r="V70" s="302" t="n"/>
      <c r="W70" s="301" t="n"/>
      <c r="X70" s="301" t="n"/>
      <c r="Y70" s="280" t="n"/>
      <c r="Z70" s="350">
        <f>IF(AND(R70&lt;&gt;"",V70&lt;&gt;"",W70&lt;&gt;""),"ENTREGADO","POR RECOGER")</f>
        <v/>
      </c>
      <c r="AA70" s="198" t="n"/>
      <c r="AB70" s="198" t="n"/>
      <c r="AC70" s="198" t="n"/>
    </row>
    <row r="71" ht="15.75" customHeight="1" s="195">
      <c r="A71" s="241" t="n">
        <v>66</v>
      </c>
      <c r="B71" s="305" t="n"/>
      <c r="C71" s="241" t="inlineStr">
        <is>
          <t>REGION</t>
        </is>
      </c>
      <c r="D71" s="305" t="n"/>
      <c r="E71" s="241" t="inlineStr">
        <is>
          <t>DNI</t>
        </is>
      </c>
      <c r="F71" s="241" t="n"/>
      <c r="G71" s="280" t="n"/>
      <c r="H71" s="241" t="n"/>
      <c r="I71" s="332">
        <f>IFERROR(VLOOKUP(TEXT(H71,"0"),IPRESS!$A$3:$B$212,2,0),"")</f>
        <v/>
      </c>
      <c r="J71" s="241" t="n"/>
      <c r="K71" s="332" t="n"/>
      <c r="L71" s="239" t="n">
        <v>18.18</v>
      </c>
      <c r="M71" s="239" t="n"/>
      <c r="N71" s="333">
        <f>IFERROR(IF(L71*M71=0,"",L71*M71),"")</f>
        <v/>
      </c>
      <c r="O71" s="241" t="n"/>
      <c r="P71" s="332">
        <f>IFERROR(VLOOKUP(TEXT(O71,"0"),CONDUCTORES!$A$3:$G$100,2,0),"")</f>
        <v/>
      </c>
      <c r="Q71" s="332">
        <f>IFERROR(VLOOKUP(TEXT(O71,"0"),CONDUCTORES!$A$3:$H$100,6,0),"")</f>
        <v/>
      </c>
      <c r="R71" s="280" t="n"/>
      <c r="S71" s="305" t="n"/>
      <c r="T71" s="241" t="n"/>
      <c r="U71" s="280" t="n"/>
      <c r="V71" s="305" t="n"/>
      <c r="W71" s="241" t="n"/>
      <c r="X71" s="241" t="n"/>
      <c r="Y71" s="280" t="n"/>
      <c r="Z71" s="350">
        <f>IF(AND(R71&lt;&gt;"",V71&lt;&gt;"",W71&lt;&gt;""),"ENTREGADO","POR RECOGER")</f>
        <v/>
      </c>
      <c r="AA71" s="198" t="n"/>
      <c r="AB71" s="198" t="n"/>
      <c r="AC71" s="198" t="n"/>
    </row>
    <row r="72" ht="15.75" customHeight="1" s="195">
      <c r="A72" s="301" t="n">
        <v>67</v>
      </c>
      <c r="B72" s="302" t="n"/>
      <c r="C72" s="301" t="inlineStr">
        <is>
          <t>REGION</t>
        </is>
      </c>
      <c r="D72" s="302" t="n"/>
      <c r="E72" s="301" t="inlineStr">
        <is>
          <t>DNI</t>
        </is>
      </c>
      <c r="F72" s="301" t="n"/>
      <c r="G72" s="334" t="n"/>
      <c r="H72" s="301" t="n"/>
      <c r="I72" s="332">
        <f>IFERROR(VLOOKUP(TEXT(H72,"0"),IPRESS!$A$3:$B$212,2,0),"")</f>
        <v/>
      </c>
      <c r="J72" s="301" t="n"/>
      <c r="K72" s="332" t="n"/>
      <c r="L72" s="245" t="n">
        <v>18.18</v>
      </c>
      <c r="M72" s="245" t="n"/>
      <c r="N72" s="333">
        <f>IFERROR(IF(L72*M72=0,"",L72*M72),"")</f>
        <v/>
      </c>
      <c r="O72" s="301" t="n"/>
      <c r="P72" s="332">
        <f>IFERROR(VLOOKUP(TEXT(O72,"0"),CONDUCTORES!$A$3:$G$100,2,0),"")</f>
        <v/>
      </c>
      <c r="Q72" s="332">
        <f>IFERROR(VLOOKUP(TEXT(O72,"0"),CONDUCTORES!$A$3:$H$100,6,0),"")</f>
        <v/>
      </c>
      <c r="R72" s="334" t="n"/>
      <c r="S72" s="302" t="n"/>
      <c r="T72" s="301" t="n"/>
      <c r="U72" s="334" t="n"/>
      <c r="V72" s="302" t="n"/>
      <c r="W72" s="301" t="n"/>
      <c r="X72" s="301" t="n"/>
      <c r="Y72" s="280" t="n"/>
      <c r="Z72" s="350">
        <f>IF(AND(R72&lt;&gt;"",V72&lt;&gt;"",W72&lt;&gt;""),"ENTREGADO","POR RECOGER")</f>
        <v/>
      </c>
      <c r="AA72" s="198" t="n"/>
      <c r="AB72" s="198" t="n"/>
      <c r="AC72" s="198" t="n"/>
    </row>
    <row r="73" ht="15.75" customHeight="1" s="195">
      <c r="A73" s="241" t="n">
        <v>68</v>
      </c>
      <c r="B73" s="305" t="n"/>
      <c r="C73" s="241" t="inlineStr">
        <is>
          <t>REGION</t>
        </is>
      </c>
      <c r="D73" s="305" t="n"/>
      <c r="E73" s="241" t="inlineStr">
        <is>
          <t>DNI</t>
        </is>
      </c>
      <c r="F73" s="241" t="n"/>
      <c r="G73" s="280" t="n"/>
      <c r="H73" s="241" t="n"/>
      <c r="I73" s="332">
        <f>IFERROR(VLOOKUP(TEXT(H73,"0"),IPRESS!$A$3:$B$212,2,0),"")</f>
        <v/>
      </c>
      <c r="J73" s="241" t="n"/>
      <c r="K73" s="332" t="n"/>
      <c r="L73" s="239" t="n">
        <v>18.18</v>
      </c>
      <c r="M73" s="239" t="n"/>
      <c r="N73" s="333">
        <f>IFERROR(IF(L73*M73=0,"",L73*M73),"")</f>
        <v/>
      </c>
      <c r="O73" s="241" t="n"/>
      <c r="P73" s="332">
        <f>IFERROR(VLOOKUP(TEXT(O73,"0"),CONDUCTORES!$A$3:$G$100,2,0),"")</f>
        <v/>
      </c>
      <c r="Q73" s="332">
        <f>IFERROR(VLOOKUP(TEXT(O73,"0"),CONDUCTORES!$A$3:$H$100,6,0),"")</f>
        <v/>
      </c>
      <c r="R73" s="280" t="n"/>
      <c r="S73" s="305" t="n"/>
      <c r="T73" s="241" t="n"/>
      <c r="U73" s="280" t="n"/>
      <c r="V73" s="305" t="n"/>
      <c r="W73" s="241" t="n"/>
      <c r="X73" s="241" t="n"/>
      <c r="Y73" s="280" t="n"/>
      <c r="Z73" s="350">
        <f>IF(AND(R73&lt;&gt;"",V73&lt;&gt;"",W73&lt;&gt;""),"ENTREGADO","POR RECOGER")</f>
        <v/>
      </c>
      <c r="AA73" s="198" t="n"/>
      <c r="AB73" s="198" t="n"/>
      <c r="AC73" s="198" t="n"/>
    </row>
    <row r="74" ht="15.75" customHeight="1" s="195">
      <c r="A74" s="301" t="n">
        <v>69</v>
      </c>
      <c r="B74" s="302" t="n"/>
      <c r="C74" s="301" t="inlineStr">
        <is>
          <t>REGION</t>
        </is>
      </c>
      <c r="D74" s="302" t="n"/>
      <c r="E74" s="301" t="inlineStr">
        <is>
          <t>DNI</t>
        </is>
      </c>
      <c r="F74" s="301" t="n"/>
      <c r="G74" s="334" t="n"/>
      <c r="H74" s="301" t="n"/>
      <c r="I74" s="332">
        <f>IFERROR(VLOOKUP(TEXT(H74,"0"),IPRESS!$A$3:$B$212,2,0),"")</f>
        <v/>
      </c>
      <c r="J74" s="301" t="n"/>
      <c r="K74" s="332" t="n"/>
      <c r="L74" s="245" t="n">
        <v>18.18</v>
      </c>
      <c r="M74" s="245" t="n"/>
      <c r="N74" s="333">
        <f>IFERROR(IF(L74*M74=0,"",L74*M74),"")</f>
        <v/>
      </c>
      <c r="O74" s="301" t="n"/>
      <c r="P74" s="332">
        <f>IFERROR(VLOOKUP(TEXT(O74,"0"),CONDUCTORES!$A$3:$G$100,2,0),"")</f>
        <v/>
      </c>
      <c r="Q74" s="332">
        <f>IFERROR(VLOOKUP(TEXT(O74,"0"),CONDUCTORES!$A$3:$H$100,6,0),"")</f>
        <v/>
      </c>
      <c r="R74" s="334" t="n"/>
      <c r="S74" s="302" t="n"/>
      <c r="T74" s="301" t="n"/>
      <c r="U74" s="334" t="n"/>
      <c r="V74" s="302" t="n"/>
      <c r="W74" s="301" t="n"/>
      <c r="X74" s="301" t="n"/>
      <c r="Y74" s="280" t="n"/>
      <c r="Z74" s="350">
        <f>IF(AND(R74&lt;&gt;"",V74&lt;&gt;"",W74&lt;&gt;""),"ENTREGADO","POR RECOGER")</f>
        <v/>
      </c>
      <c r="AA74" s="198" t="n"/>
      <c r="AB74" s="198" t="n"/>
      <c r="AC74" s="198" t="n"/>
    </row>
    <row r="75" ht="15.75" customHeight="1" s="195">
      <c r="A75" s="241" t="n">
        <v>70</v>
      </c>
      <c r="B75" s="305" t="n"/>
      <c r="C75" s="241" t="inlineStr">
        <is>
          <t>REGION</t>
        </is>
      </c>
      <c r="D75" s="305" t="n"/>
      <c r="E75" s="241" t="inlineStr">
        <is>
          <t>DNI</t>
        </is>
      </c>
      <c r="F75" s="241" t="n"/>
      <c r="G75" s="280" t="n"/>
      <c r="H75" s="241" t="n"/>
      <c r="I75" s="332">
        <f>IFERROR(VLOOKUP(TEXT(H75,"0"),IPRESS!$A$3:$B$212,2,0),"")</f>
        <v/>
      </c>
      <c r="J75" s="241" t="n"/>
      <c r="K75" s="332" t="n"/>
      <c r="L75" s="239" t="n">
        <v>18.18</v>
      </c>
      <c r="M75" s="239" t="n"/>
      <c r="N75" s="333">
        <f>IFERROR(IF(L75*M75=0,"",L75*M75),"")</f>
        <v/>
      </c>
      <c r="O75" s="241" t="n"/>
      <c r="P75" s="332">
        <f>IFERROR(VLOOKUP(TEXT(O75,"0"),CONDUCTORES!$A$3:$G$100,2,0),"")</f>
        <v/>
      </c>
      <c r="Q75" s="332">
        <f>IFERROR(VLOOKUP(TEXT(O75,"0"),CONDUCTORES!$A$3:$H$100,6,0),"")</f>
        <v/>
      </c>
      <c r="R75" s="280" t="n"/>
      <c r="S75" s="305" t="n"/>
      <c r="T75" s="241" t="n"/>
      <c r="U75" s="280" t="n"/>
      <c r="V75" s="305" t="n"/>
      <c r="W75" s="241" t="n"/>
      <c r="X75" s="241" t="n"/>
      <c r="Y75" s="280" t="n"/>
      <c r="Z75" s="350">
        <f>IF(AND(R75&lt;&gt;"",V75&lt;&gt;"",W75&lt;&gt;""),"ENTREGADO","POR RECOGER")</f>
        <v/>
      </c>
      <c r="AA75" s="198" t="n"/>
      <c r="AB75" s="198" t="n"/>
      <c r="AC75" s="198" t="n"/>
    </row>
    <row r="76" ht="15.75" customHeight="1" s="195">
      <c r="A76" s="301" t="n">
        <v>71</v>
      </c>
      <c r="B76" s="302" t="n"/>
      <c r="C76" s="301" t="inlineStr">
        <is>
          <t>REGION</t>
        </is>
      </c>
      <c r="D76" s="302" t="n"/>
      <c r="E76" s="301" t="inlineStr">
        <is>
          <t>DNI</t>
        </is>
      </c>
      <c r="F76" s="301" t="n"/>
      <c r="G76" s="334" t="n"/>
      <c r="H76" s="301" t="n"/>
      <c r="I76" s="332">
        <f>IFERROR(VLOOKUP(TEXT(H76,"0"),IPRESS!$A$3:$B$212,2,0),"")</f>
        <v/>
      </c>
      <c r="J76" s="301" t="n"/>
      <c r="K76" s="332" t="n"/>
      <c r="L76" s="245" t="n">
        <v>18.18</v>
      </c>
      <c r="M76" s="245" t="n"/>
      <c r="N76" s="333">
        <f>IFERROR(IF(L76*M76=0,"",L76*M76),"")</f>
        <v/>
      </c>
      <c r="O76" s="301" t="n"/>
      <c r="P76" s="332">
        <f>IFERROR(VLOOKUP(TEXT(O76,"0"),CONDUCTORES!$A$3:$G$100,2,0),"")</f>
        <v/>
      </c>
      <c r="Q76" s="332">
        <f>IFERROR(VLOOKUP(TEXT(O76,"0"),CONDUCTORES!$A$3:$H$100,6,0),"")</f>
        <v/>
      </c>
      <c r="R76" s="334" t="n"/>
      <c r="S76" s="302" t="n"/>
      <c r="T76" s="301" t="n"/>
      <c r="U76" s="334" t="n"/>
      <c r="V76" s="302" t="n"/>
      <c r="W76" s="301" t="n"/>
      <c r="X76" s="301" t="n"/>
      <c r="Y76" s="280" t="n"/>
      <c r="Z76" s="350">
        <f>IF(AND(R76&lt;&gt;"",V76&lt;&gt;"",W76&lt;&gt;""),"ENTREGADO","POR RECOGER")</f>
        <v/>
      </c>
      <c r="AA76" s="198" t="n"/>
      <c r="AB76" s="198" t="n"/>
      <c r="AC76" s="198" t="n"/>
    </row>
    <row r="77" ht="15.75" customHeight="1" s="195">
      <c r="A77" s="241" t="n">
        <v>72</v>
      </c>
      <c r="B77" s="305" t="n"/>
      <c r="C77" s="241" t="inlineStr">
        <is>
          <t>REGION</t>
        </is>
      </c>
      <c r="D77" s="305" t="n"/>
      <c r="E77" s="241" t="inlineStr">
        <is>
          <t>DNI</t>
        </is>
      </c>
      <c r="F77" s="241" t="n"/>
      <c r="G77" s="280" t="n"/>
      <c r="H77" s="241" t="n"/>
      <c r="I77" s="332">
        <f>IFERROR(VLOOKUP(TEXT(H77,"0"),IPRESS!$A$3:$B$212,2,0),"")</f>
        <v/>
      </c>
      <c r="J77" s="241" t="n"/>
      <c r="K77" s="332" t="n"/>
      <c r="L77" s="239" t="n">
        <v>18.18</v>
      </c>
      <c r="M77" s="239" t="n"/>
      <c r="N77" s="333">
        <f>IFERROR(IF(L77*M77=0,"",L77*M77),"")</f>
        <v/>
      </c>
      <c r="O77" s="241" t="n"/>
      <c r="P77" s="332">
        <f>IFERROR(VLOOKUP(TEXT(O77,"0"),CONDUCTORES!$A$3:$G$100,2,0),"")</f>
        <v/>
      </c>
      <c r="Q77" s="332">
        <f>IFERROR(VLOOKUP(TEXT(O77,"0"),CONDUCTORES!$A$3:$H$100,6,0),"")</f>
        <v/>
      </c>
      <c r="R77" s="280" t="n"/>
      <c r="S77" s="305" t="n"/>
      <c r="T77" s="241" t="n"/>
      <c r="U77" s="280" t="n"/>
      <c r="V77" s="305" t="n"/>
      <c r="W77" s="241" t="n"/>
      <c r="X77" s="241" t="n"/>
      <c r="Y77" s="280" t="n"/>
      <c r="Z77" s="350">
        <f>IF(AND(R77&lt;&gt;"",V77&lt;&gt;"",W77&lt;&gt;""),"ENTREGADO","POR RECOGER")</f>
        <v/>
      </c>
      <c r="AA77" s="198" t="n"/>
      <c r="AB77" s="198" t="n"/>
      <c r="AC77" s="198" t="n"/>
    </row>
    <row r="78" ht="15.75" customHeight="1" s="195">
      <c r="A78" s="301" t="n">
        <v>73</v>
      </c>
      <c r="B78" s="302" t="n"/>
      <c r="C78" s="301" t="inlineStr">
        <is>
          <t>REGION</t>
        </is>
      </c>
      <c r="D78" s="302" t="n"/>
      <c r="E78" s="301" t="inlineStr">
        <is>
          <t>DNI</t>
        </is>
      </c>
      <c r="F78" s="301" t="n"/>
      <c r="G78" s="334" t="n"/>
      <c r="H78" s="301" t="n"/>
      <c r="I78" s="332">
        <f>IFERROR(VLOOKUP(TEXT(H78,"0"),IPRESS!$A$3:$B$212,2,0),"")</f>
        <v/>
      </c>
      <c r="J78" s="301" t="n"/>
      <c r="K78" s="332" t="n"/>
      <c r="L78" s="245" t="n"/>
      <c r="M78" s="245" t="n"/>
      <c r="N78" s="333">
        <f>IFERROR(IF(L78*M78=0,"",L78*M78),"")</f>
        <v/>
      </c>
      <c r="O78" s="301" t="n"/>
      <c r="P78" s="332">
        <f>IFERROR(VLOOKUP(TEXT(O78,"0"),CONDUCTORES!$A$3:$G$100,2,0),"")</f>
        <v/>
      </c>
      <c r="Q78" s="332">
        <f>IFERROR(VLOOKUP(TEXT(O78,"0"),CONDUCTORES!$A$3:$H$100,6,0),"")</f>
        <v/>
      </c>
      <c r="R78" s="334" t="n"/>
      <c r="S78" s="302" t="n"/>
      <c r="T78" s="301" t="n"/>
      <c r="U78" s="334" t="n"/>
      <c r="V78" s="302" t="n"/>
      <c r="W78" s="301" t="n"/>
      <c r="X78" s="301" t="n"/>
      <c r="Y78" s="280" t="n"/>
      <c r="Z78" s="350">
        <f>IF(AND(R78&lt;&gt;"",V78&lt;&gt;"",W78&lt;&gt;""),"ENTREGADO","POR RECOGER")</f>
        <v/>
      </c>
      <c r="AA78" s="198" t="n"/>
      <c r="AB78" s="198" t="n"/>
      <c r="AC78" s="198" t="n"/>
    </row>
    <row r="79" ht="15.75" customHeight="1" s="195">
      <c r="A79" s="241" t="n">
        <v>74</v>
      </c>
      <c r="B79" s="305" t="n"/>
      <c r="C79" s="241" t="inlineStr">
        <is>
          <t>REGION</t>
        </is>
      </c>
      <c r="D79" s="305" t="n"/>
      <c r="E79" s="241" t="inlineStr">
        <is>
          <t>DNI</t>
        </is>
      </c>
      <c r="F79" s="241" t="n"/>
      <c r="G79" s="280" t="n"/>
      <c r="H79" s="241" t="n"/>
      <c r="I79" s="332">
        <f>IFERROR(VLOOKUP(TEXT(H79,"0"),IPRESS!$A$3:$B$212,2,0),"")</f>
        <v/>
      </c>
      <c r="J79" s="241" t="n"/>
      <c r="K79" s="332" t="n"/>
      <c r="L79" s="239" t="n"/>
      <c r="M79" s="239" t="n"/>
      <c r="N79" s="333">
        <f>IFERROR(IF(L79*M79=0,"",L79*M79),"")</f>
        <v/>
      </c>
      <c r="O79" s="241" t="n"/>
      <c r="P79" s="332">
        <f>IFERROR(VLOOKUP(TEXT(O79,"0"),CONDUCTORES!$A$3:$G$100,2,0),"")</f>
        <v/>
      </c>
      <c r="Q79" s="332">
        <f>IFERROR(VLOOKUP(TEXT(O79,"0"),CONDUCTORES!$A$3:$H$100,6,0),"")</f>
        <v/>
      </c>
      <c r="R79" s="280" t="n"/>
      <c r="S79" s="305" t="n"/>
      <c r="T79" s="241" t="n"/>
      <c r="U79" s="280" t="n"/>
      <c r="V79" s="305" t="n"/>
      <c r="W79" s="241" t="n"/>
      <c r="X79" s="241" t="n"/>
      <c r="Y79" s="280" t="n"/>
      <c r="Z79" s="350">
        <f>IF(AND(R79&lt;&gt;"",V79&lt;&gt;"",W79&lt;&gt;""),"ENTREGADO","POR RECOGER")</f>
        <v/>
      </c>
      <c r="AA79" s="198" t="n"/>
      <c r="AB79" s="198" t="n"/>
      <c r="AC79" s="198" t="n"/>
    </row>
    <row r="80" ht="15.75" customHeight="1" s="195">
      <c r="A80" s="301" t="n">
        <v>75</v>
      </c>
      <c r="B80" s="302" t="n"/>
      <c r="C80" s="301" t="inlineStr">
        <is>
          <t>REGION</t>
        </is>
      </c>
      <c r="D80" s="302" t="n"/>
      <c r="E80" s="301" t="inlineStr">
        <is>
          <t>DNI</t>
        </is>
      </c>
      <c r="F80" s="301" t="n"/>
      <c r="G80" s="334" t="n"/>
      <c r="H80" s="301" t="n"/>
      <c r="I80" s="332">
        <f>IFERROR(VLOOKUP(TEXT(H80,"0"),IPRESS!$A$3:$B$212,2,0),"")</f>
        <v/>
      </c>
      <c r="J80" s="301" t="n"/>
      <c r="K80" s="332" t="n"/>
      <c r="L80" s="245" t="n"/>
      <c r="M80" s="245" t="n"/>
      <c r="N80" s="333">
        <f>IFERROR(IF(L80*M80=0,"",L80*M80),"")</f>
        <v/>
      </c>
      <c r="O80" s="301" t="n"/>
      <c r="P80" s="332">
        <f>IFERROR(VLOOKUP(TEXT(O80,"0"),CONDUCTORES!$A$3:$G$100,2,0),"")</f>
        <v/>
      </c>
      <c r="Q80" s="332">
        <f>IFERROR(VLOOKUP(TEXT(O80,"0"),CONDUCTORES!$A$3:$H$100,6,0),"")</f>
        <v/>
      </c>
      <c r="R80" s="334" t="n"/>
      <c r="S80" s="302" t="n"/>
      <c r="T80" s="301" t="n"/>
      <c r="U80" s="334" t="n"/>
      <c r="V80" s="302" t="n"/>
      <c r="W80" s="301" t="n"/>
      <c r="X80" s="301" t="n"/>
      <c r="Y80" s="280" t="n"/>
      <c r="Z80" s="350">
        <f>IF(AND(R80&lt;&gt;"",V80&lt;&gt;"",W80&lt;&gt;""),"ENTREGADO","POR RECOGER")</f>
        <v/>
      </c>
      <c r="AA80" s="198" t="n"/>
      <c r="AB80" s="198" t="n"/>
      <c r="AC80" s="198" t="n"/>
    </row>
    <row r="81" ht="15.75" customHeight="1" s="195">
      <c r="A81" s="241" t="n">
        <v>76</v>
      </c>
      <c r="B81" s="305" t="n"/>
      <c r="C81" s="241" t="inlineStr">
        <is>
          <t>REGION</t>
        </is>
      </c>
      <c r="D81" s="305" t="n"/>
      <c r="E81" s="241" t="inlineStr">
        <is>
          <t>DNI</t>
        </is>
      </c>
      <c r="F81" s="241" t="n"/>
      <c r="G81" s="280" t="n"/>
      <c r="H81" s="241" t="n"/>
      <c r="I81" s="332">
        <f>IFERROR(VLOOKUP(TEXT(H81,"0"),IPRESS!$A$3:$B$212,2,0),"")</f>
        <v/>
      </c>
      <c r="J81" s="241" t="n"/>
      <c r="K81" s="332" t="n"/>
      <c r="L81" s="239" t="n"/>
      <c r="M81" s="239" t="n"/>
      <c r="N81" s="333">
        <f>IFERROR(IF(L81*M81=0,"",L81*M81),"")</f>
        <v/>
      </c>
      <c r="O81" s="241" t="n"/>
      <c r="P81" s="332">
        <f>IFERROR(VLOOKUP(TEXT(O81,"0"),CONDUCTORES!$A$3:$G$100,2,0),"")</f>
        <v/>
      </c>
      <c r="Q81" s="332">
        <f>IFERROR(VLOOKUP(TEXT(O81,"0"),CONDUCTORES!$A$3:$H$100,6,0),"")</f>
        <v/>
      </c>
      <c r="R81" s="280" t="n"/>
      <c r="S81" s="305" t="n"/>
      <c r="T81" s="241" t="n"/>
      <c r="U81" s="280" t="n"/>
      <c r="V81" s="305" t="n"/>
      <c r="W81" s="241" t="n"/>
      <c r="X81" s="241" t="n"/>
      <c r="Y81" s="280" t="n"/>
      <c r="Z81" s="350">
        <f>IF(AND(R81&lt;&gt;"",V81&lt;&gt;"",W81&lt;&gt;""),"ENTREGADO","POR RECOGER")</f>
        <v/>
      </c>
      <c r="AA81" s="198" t="n"/>
      <c r="AB81" s="198" t="n"/>
      <c r="AC81" s="198" t="n"/>
    </row>
    <row r="82" ht="15.75" customHeight="1" s="195">
      <c r="A82" s="301" t="n">
        <v>77</v>
      </c>
      <c r="B82" s="302" t="n"/>
      <c r="C82" s="301" t="inlineStr">
        <is>
          <t>REGION</t>
        </is>
      </c>
      <c r="D82" s="302" t="n"/>
      <c r="E82" s="301" t="inlineStr">
        <is>
          <t>DNI</t>
        </is>
      </c>
      <c r="F82" s="301" t="n"/>
      <c r="G82" s="334" t="n"/>
      <c r="H82" s="301" t="n"/>
      <c r="I82" s="332">
        <f>IFERROR(VLOOKUP(TEXT(H82,"0"),IPRESS!$A$3:$B$212,2,0),"")</f>
        <v/>
      </c>
      <c r="J82" s="301" t="n"/>
      <c r="K82" s="332" t="n"/>
      <c r="L82" s="245" t="n"/>
      <c r="M82" s="245" t="n"/>
      <c r="N82" s="333">
        <f>IFERROR(IF(L82*M82=0,"",L82*M82),"")</f>
        <v/>
      </c>
      <c r="O82" s="301" t="n"/>
      <c r="P82" s="332">
        <f>IFERROR(VLOOKUP(TEXT(O82,"0"),CONDUCTORES!$A$3:$G$100,2,0),"")</f>
        <v/>
      </c>
      <c r="Q82" s="332">
        <f>IFERROR(VLOOKUP(TEXT(O82,"0"),CONDUCTORES!$A$3:$H$100,6,0),"")</f>
        <v/>
      </c>
      <c r="R82" s="334" t="n"/>
      <c r="S82" s="302" t="n"/>
      <c r="T82" s="301" t="n"/>
      <c r="U82" s="334" t="n"/>
      <c r="V82" s="302" t="n"/>
      <c r="W82" s="301" t="n"/>
      <c r="X82" s="301" t="n"/>
      <c r="Y82" s="280" t="n"/>
      <c r="Z82" s="350">
        <f>IF(AND(R82&lt;&gt;"",V82&lt;&gt;"",W82&lt;&gt;""),"ENTREGADO","POR RECOGER")</f>
        <v/>
      </c>
      <c r="AA82" s="198" t="n"/>
      <c r="AB82" s="198" t="n"/>
      <c r="AC82" s="198" t="n"/>
    </row>
    <row r="83" ht="15.75" customHeight="1" s="195">
      <c r="A83" s="241" t="n">
        <v>78</v>
      </c>
      <c r="B83" s="305" t="n"/>
      <c r="C83" s="241" t="inlineStr">
        <is>
          <t>REGION</t>
        </is>
      </c>
      <c r="D83" s="305" t="n"/>
      <c r="E83" s="241" t="inlineStr">
        <is>
          <t>DNI</t>
        </is>
      </c>
      <c r="F83" s="241" t="n"/>
      <c r="G83" s="280" t="n"/>
      <c r="H83" s="241" t="n"/>
      <c r="I83" s="332">
        <f>IFERROR(VLOOKUP(TEXT(H83,"0"),IPRESS!$A$3:$B$212,2,0),"")</f>
        <v/>
      </c>
      <c r="J83" s="241" t="n"/>
      <c r="K83" s="332" t="n"/>
      <c r="L83" s="239" t="n"/>
      <c r="M83" s="239" t="n"/>
      <c r="N83" s="333">
        <f>IFERROR(IF(L83*M83=0,"",L83*M83),"")</f>
        <v/>
      </c>
      <c r="O83" s="241" t="n"/>
      <c r="P83" s="332">
        <f>IFERROR(VLOOKUP(TEXT(O83,"0"),CONDUCTORES!$A$3:$G$100,2,0),"")</f>
        <v/>
      </c>
      <c r="Q83" s="332">
        <f>IFERROR(VLOOKUP(TEXT(O83,"0"),CONDUCTORES!$A$3:$H$100,6,0),"")</f>
        <v/>
      </c>
      <c r="R83" s="280" t="n"/>
      <c r="S83" s="305" t="n"/>
      <c r="T83" s="241" t="n"/>
      <c r="U83" s="280" t="n"/>
      <c r="V83" s="305" t="n"/>
      <c r="W83" s="241" t="n"/>
      <c r="X83" s="241" t="n"/>
      <c r="Y83" s="280" t="n"/>
      <c r="Z83" s="350">
        <f>IF(AND(R83&lt;&gt;"",V83&lt;&gt;"",W83&lt;&gt;""),"ENTREGADO","POR RECOGER")</f>
        <v/>
      </c>
      <c r="AA83" s="198" t="n"/>
      <c r="AB83" s="198" t="n"/>
      <c r="AC83" s="198" t="n"/>
    </row>
    <row r="84" ht="15.75" customHeight="1" s="195">
      <c r="A84" s="301" t="n">
        <v>79</v>
      </c>
      <c r="B84" s="302" t="n"/>
      <c r="C84" s="301" t="inlineStr">
        <is>
          <t>REGION</t>
        </is>
      </c>
      <c r="D84" s="302" t="n"/>
      <c r="E84" s="301" t="inlineStr">
        <is>
          <t>DNI</t>
        </is>
      </c>
      <c r="F84" s="301" t="n"/>
      <c r="G84" s="334" t="n"/>
      <c r="H84" s="301" t="n"/>
      <c r="I84" s="332">
        <f>IFERROR(VLOOKUP(TEXT(H84,"0"),IPRESS!$A$3:$B$212,2,0),"")</f>
        <v/>
      </c>
      <c r="J84" s="301" t="n"/>
      <c r="K84" s="332" t="n"/>
      <c r="L84" s="245" t="n"/>
      <c r="M84" s="245" t="n"/>
      <c r="N84" s="333">
        <f>IFERROR(IF(L84*M84=0,"",L84*M84),"")</f>
        <v/>
      </c>
      <c r="O84" s="301" t="n"/>
      <c r="P84" s="332">
        <f>IFERROR(VLOOKUP(TEXT(O84,"0"),CONDUCTORES!$A$3:$G$100,2,0),"")</f>
        <v/>
      </c>
      <c r="Q84" s="332">
        <f>IFERROR(VLOOKUP(TEXT(O84,"0"),CONDUCTORES!$A$3:$H$100,6,0),"")</f>
        <v/>
      </c>
      <c r="R84" s="334" t="n"/>
      <c r="S84" s="302" t="n"/>
      <c r="T84" s="301" t="n"/>
      <c r="U84" s="334" t="n"/>
      <c r="V84" s="302" t="n"/>
      <c r="W84" s="301" t="n"/>
      <c r="X84" s="301" t="n"/>
      <c r="Y84" s="280" t="n"/>
      <c r="Z84" s="350">
        <f>IF(AND(R84&lt;&gt;"",V84&lt;&gt;"",W84&lt;&gt;""),"ENTREGADO","POR RECOGER")</f>
        <v/>
      </c>
      <c r="AA84" s="198" t="n"/>
      <c r="AB84" s="198" t="n"/>
      <c r="AC84" s="198" t="n"/>
    </row>
    <row r="85" ht="15.75" customHeight="1" s="195">
      <c r="A85" s="241" t="n">
        <v>80</v>
      </c>
      <c r="B85" s="305" t="n"/>
      <c r="C85" s="241" t="inlineStr">
        <is>
          <t>REGION</t>
        </is>
      </c>
      <c r="D85" s="305" t="n"/>
      <c r="E85" s="241" t="inlineStr">
        <is>
          <t>DNI</t>
        </is>
      </c>
      <c r="F85" s="241" t="n"/>
      <c r="G85" s="280" t="n"/>
      <c r="H85" s="241" t="n"/>
      <c r="I85" s="332">
        <f>IFERROR(VLOOKUP(TEXT(H85,"0"),IPRESS!$A$3:$B$212,2,0),"")</f>
        <v/>
      </c>
      <c r="J85" s="241" t="n"/>
      <c r="K85" s="332" t="n"/>
      <c r="L85" s="239" t="n"/>
      <c r="M85" s="239" t="n"/>
      <c r="N85" s="333">
        <f>IFERROR(IF(L85*M85=0,"",L85*M85),"")</f>
        <v/>
      </c>
      <c r="O85" s="241" t="n"/>
      <c r="P85" s="332">
        <f>IFERROR(VLOOKUP(TEXT(O85,"0"),CONDUCTORES!$A$3:$G$100,2,0),"")</f>
        <v/>
      </c>
      <c r="Q85" s="332">
        <f>IFERROR(VLOOKUP(TEXT(O85,"0"),CONDUCTORES!$A$3:$H$100,6,0),"")</f>
        <v/>
      </c>
      <c r="R85" s="280" t="n"/>
      <c r="S85" s="305" t="n"/>
      <c r="T85" s="241" t="n"/>
      <c r="U85" s="280" t="n"/>
      <c r="V85" s="305" t="n"/>
      <c r="W85" s="241" t="n"/>
      <c r="X85" s="241" t="n"/>
      <c r="Y85" s="280" t="n"/>
      <c r="Z85" s="350">
        <f>IF(AND(R85&lt;&gt;"",V85&lt;&gt;"",W85&lt;&gt;""),"ENTREGADO","POR RECOGER")</f>
        <v/>
      </c>
      <c r="AA85" s="198" t="n"/>
      <c r="AB85" s="198" t="n"/>
      <c r="AC85" s="198" t="n"/>
    </row>
    <row r="86" ht="15.75" customHeight="1" s="195">
      <c r="A86" s="301" t="n">
        <v>81</v>
      </c>
      <c r="B86" s="302" t="n"/>
      <c r="C86" s="301" t="inlineStr">
        <is>
          <t>REGION</t>
        </is>
      </c>
      <c r="D86" s="302" t="n"/>
      <c r="E86" s="301" t="inlineStr">
        <is>
          <t>DNI</t>
        </is>
      </c>
      <c r="F86" s="301" t="n"/>
      <c r="G86" s="334" t="n"/>
      <c r="H86" s="301" t="n"/>
      <c r="I86" s="332">
        <f>IFERROR(VLOOKUP(TEXT(H86,"0"),IPRESS!$A$3:$B$212,2,0),"")</f>
        <v/>
      </c>
      <c r="J86" s="301" t="n"/>
      <c r="K86" s="332" t="n"/>
      <c r="L86" s="245" t="n"/>
      <c r="M86" s="245" t="n"/>
      <c r="N86" s="333">
        <f>IFERROR(IF(L86*M86=0,"",L86*M86),"")</f>
        <v/>
      </c>
      <c r="O86" s="301" t="n"/>
      <c r="P86" s="332">
        <f>IFERROR(VLOOKUP(TEXT(O86,"0"),CONDUCTORES!$A$3:$G$100,2,0),"")</f>
        <v/>
      </c>
      <c r="Q86" s="332">
        <f>IFERROR(VLOOKUP(TEXT(O86,"0"),CONDUCTORES!$A$3:$H$100,6,0),"")</f>
        <v/>
      </c>
      <c r="R86" s="334" t="n"/>
      <c r="S86" s="302" t="n"/>
      <c r="T86" s="301" t="n"/>
      <c r="U86" s="334" t="n"/>
      <c r="V86" s="302" t="n"/>
      <c r="W86" s="301" t="n"/>
      <c r="X86" s="301" t="n"/>
      <c r="Y86" s="280" t="n"/>
      <c r="Z86" s="350">
        <f>IF(AND(R86&lt;&gt;"",V86&lt;&gt;"",W86&lt;&gt;""),"ENTREGADO","POR RECOGER")</f>
        <v/>
      </c>
      <c r="AA86" s="198" t="n"/>
      <c r="AB86" s="198" t="n"/>
      <c r="AC86" s="198" t="n"/>
    </row>
    <row r="87" ht="15.75" customHeight="1" s="195">
      <c r="A87" s="241" t="n">
        <v>82</v>
      </c>
      <c r="B87" s="305" t="n"/>
      <c r="C87" s="241" t="inlineStr">
        <is>
          <t>REGION</t>
        </is>
      </c>
      <c r="D87" s="305" t="n"/>
      <c r="E87" s="241" t="inlineStr">
        <is>
          <t>DNI</t>
        </is>
      </c>
      <c r="F87" s="241" t="n"/>
      <c r="G87" s="280" t="n"/>
      <c r="H87" s="241" t="n"/>
      <c r="I87" s="332">
        <f>IFERROR(VLOOKUP(TEXT(H87,"0"),IPRESS!$A$3:$B$212,2,0),"")</f>
        <v/>
      </c>
      <c r="J87" s="241" t="n"/>
      <c r="K87" s="332" t="n"/>
      <c r="L87" s="239" t="n"/>
      <c r="M87" s="239" t="n"/>
      <c r="N87" s="333">
        <f>IFERROR(IF(L87*M87=0,"",L87*M87),"")</f>
        <v/>
      </c>
      <c r="O87" s="241" t="n"/>
      <c r="P87" s="332">
        <f>IFERROR(VLOOKUP(TEXT(O87,"0"),CONDUCTORES!$A$3:$G$100,2,0),"")</f>
        <v/>
      </c>
      <c r="Q87" s="332">
        <f>IFERROR(VLOOKUP(TEXT(O87,"0"),CONDUCTORES!$A$3:$H$100,6,0),"")</f>
        <v/>
      </c>
      <c r="R87" s="280" t="n"/>
      <c r="S87" s="305" t="n"/>
      <c r="T87" s="241" t="n"/>
      <c r="U87" s="280" t="n"/>
      <c r="V87" s="305" t="n"/>
      <c r="W87" s="241" t="n"/>
      <c r="X87" s="241" t="n"/>
      <c r="Y87" s="280" t="n"/>
      <c r="Z87" s="350">
        <f>IF(AND(R87&lt;&gt;"",V87&lt;&gt;"",W87&lt;&gt;""),"ENTREGADO","POR RECOGER")</f>
        <v/>
      </c>
      <c r="AA87" s="198" t="n"/>
      <c r="AB87" s="198" t="n"/>
      <c r="AC87" s="198" t="n"/>
    </row>
    <row r="88" ht="15.75" customHeight="1" s="195">
      <c r="A88" s="301" t="n">
        <v>83</v>
      </c>
      <c r="B88" s="302" t="n"/>
      <c r="C88" s="301" t="inlineStr">
        <is>
          <t>REGION</t>
        </is>
      </c>
      <c r="D88" s="302" t="n"/>
      <c r="E88" s="301" t="inlineStr">
        <is>
          <t>DNI</t>
        </is>
      </c>
      <c r="F88" s="301" t="n"/>
      <c r="G88" s="334" t="n"/>
      <c r="H88" s="301" t="n"/>
      <c r="I88" s="332">
        <f>IFERROR(VLOOKUP(TEXT(H88,"0"),IPRESS!$A$3:$B$212,2,0),"")</f>
        <v/>
      </c>
      <c r="J88" s="301" t="n"/>
      <c r="K88" s="332" t="n"/>
      <c r="L88" s="245" t="n"/>
      <c r="M88" s="245" t="n"/>
      <c r="N88" s="333">
        <f>IFERROR(IF(L88*M88=0,"",L88*M88),"")</f>
        <v/>
      </c>
      <c r="O88" s="301" t="n"/>
      <c r="P88" s="332">
        <f>IFERROR(VLOOKUP(TEXT(O88,"0"),CONDUCTORES!$A$3:$G$100,2,0),"")</f>
        <v/>
      </c>
      <c r="Q88" s="332">
        <f>IFERROR(VLOOKUP(TEXT(O88,"0"),CONDUCTORES!$A$3:$H$100,6,0),"")</f>
        <v/>
      </c>
      <c r="R88" s="334" t="n"/>
      <c r="S88" s="302" t="n"/>
      <c r="T88" s="301" t="n"/>
      <c r="U88" s="334" t="n"/>
      <c r="V88" s="302" t="n"/>
      <c r="W88" s="301" t="n"/>
      <c r="X88" s="301" t="n"/>
      <c r="Y88" s="280" t="n"/>
      <c r="Z88" s="350">
        <f>IF(AND(R88&lt;&gt;"",V88&lt;&gt;"",W88&lt;&gt;""),"ENTREGADO","POR RECOGER")</f>
        <v/>
      </c>
      <c r="AA88" s="198" t="n"/>
      <c r="AB88" s="198" t="n"/>
      <c r="AC88" s="198" t="n"/>
    </row>
    <row r="89" ht="15.75" customHeight="1" s="195">
      <c r="A89" s="241" t="n">
        <v>84</v>
      </c>
      <c r="B89" s="305" t="n"/>
      <c r="C89" s="241" t="inlineStr">
        <is>
          <t>REGION</t>
        </is>
      </c>
      <c r="D89" s="305" t="n"/>
      <c r="E89" s="241" t="inlineStr">
        <is>
          <t>DNI</t>
        </is>
      </c>
      <c r="F89" s="241" t="n"/>
      <c r="G89" s="280" t="n"/>
      <c r="H89" s="241" t="n"/>
      <c r="I89" s="332">
        <f>IFERROR(VLOOKUP(TEXT(H89,"0"),IPRESS!$A$3:$B$212,2,0),"")</f>
        <v/>
      </c>
      <c r="J89" s="241" t="n"/>
      <c r="K89" s="332" t="n"/>
      <c r="L89" s="239" t="n"/>
      <c r="M89" s="239" t="n"/>
      <c r="N89" s="333">
        <f>IFERROR(IF(L89*M89=0,"",L89*M89),"")</f>
        <v/>
      </c>
      <c r="O89" s="241" t="n"/>
      <c r="P89" s="332">
        <f>IFERROR(VLOOKUP(TEXT(O89,"0"),CONDUCTORES!$A$3:$G$100,2,0),"")</f>
        <v/>
      </c>
      <c r="Q89" s="332">
        <f>IFERROR(VLOOKUP(TEXT(O89,"0"),CONDUCTORES!$A$3:$H$100,6,0),"")</f>
        <v/>
      </c>
      <c r="R89" s="280" t="n"/>
      <c r="S89" s="305" t="n"/>
      <c r="T89" s="241" t="n"/>
      <c r="U89" s="280" t="n"/>
      <c r="V89" s="305" t="n"/>
      <c r="W89" s="241" t="n"/>
      <c r="X89" s="241" t="n"/>
      <c r="Y89" s="280" t="n"/>
      <c r="Z89" s="350">
        <f>IF(AND(R89&lt;&gt;"",V89&lt;&gt;"",W89&lt;&gt;""),"ENTREGADO","POR RECOGER")</f>
        <v/>
      </c>
      <c r="AA89" s="198" t="n"/>
      <c r="AB89" s="198" t="n"/>
      <c r="AC89" s="198" t="n"/>
    </row>
    <row r="90" ht="15.75" customHeight="1" s="195">
      <c r="A90" s="301" t="n">
        <v>85</v>
      </c>
      <c r="B90" s="302" t="n"/>
      <c r="C90" s="301" t="inlineStr">
        <is>
          <t>REGION</t>
        </is>
      </c>
      <c r="D90" s="302" t="n"/>
      <c r="E90" s="301" t="inlineStr">
        <is>
          <t>DNI</t>
        </is>
      </c>
      <c r="F90" s="301" t="n"/>
      <c r="G90" s="334" t="n"/>
      <c r="H90" s="301" t="n"/>
      <c r="I90" s="332">
        <f>IFERROR(VLOOKUP(TEXT(H90,"0"),IPRESS!$A$3:$B$212,2,0),"")</f>
        <v/>
      </c>
      <c r="J90" s="301" t="n"/>
      <c r="K90" s="332" t="n"/>
      <c r="L90" s="245" t="n"/>
      <c r="M90" s="245" t="n"/>
      <c r="N90" s="333">
        <f>IFERROR(IF(L90*M90=0,"",L90*M90),"")</f>
        <v/>
      </c>
      <c r="O90" s="301" t="n"/>
      <c r="P90" s="332">
        <f>IFERROR(VLOOKUP(TEXT(O90,"0"),CONDUCTORES!$A$3:$G$100,2,0),"")</f>
        <v/>
      </c>
      <c r="Q90" s="332">
        <f>IFERROR(VLOOKUP(TEXT(O90,"0"),CONDUCTORES!$A$3:$H$100,6,0),"")</f>
        <v/>
      </c>
      <c r="R90" s="334" t="n"/>
      <c r="S90" s="302" t="n"/>
      <c r="T90" s="301" t="n"/>
      <c r="U90" s="334" t="n"/>
      <c r="V90" s="302" t="n"/>
      <c r="W90" s="301" t="n"/>
      <c r="X90" s="301" t="n"/>
      <c r="Y90" s="280" t="n"/>
      <c r="Z90" s="350">
        <f>IF(AND(R90&lt;&gt;"",V90&lt;&gt;"",W90&lt;&gt;""),"ENTREGADO","POR RECOGER")</f>
        <v/>
      </c>
      <c r="AA90" s="198" t="n"/>
      <c r="AB90" s="198" t="n"/>
      <c r="AC90" s="198" t="n"/>
    </row>
    <row r="91" ht="15.75" customHeight="1" s="195">
      <c r="A91" s="241" t="n">
        <v>86</v>
      </c>
      <c r="B91" s="305" t="n"/>
      <c r="C91" s="241" t="inlineStr">
        <is>
          <t>REGION</t>
        </is>
      </c>
      <c r="D91" s="305" t="n"/>
      <c r="E91" s="241" t="inlineStr">
        <is>
          <t>DNI</t>
        </is>
      </c>
      <c r="F91" s="241" t="n"/>
      <c r="G91" s="280" t="n"/>
      <c r="H91" s="241" t="n"/>
      <c r="I91" s="332">
        <f>IFERROR(VLOOKUP(TEXT(H91,"0"),IPRESS!$A$3:$B$212,2,0),"")</f>
        <v/>
      </c>
      <c r="J91" s="241" t="n"/>
      <c r="K91" s="332" t="n"/>
      <c r="L91" s="239" t="n"/>
      <c r="M91" s="239" t="n"/>
      <c r="N91" s="333">
        <f>IFERROR(IF(L91*M91=0,"",L91*M91),"")</f>
        <v/>
      </c>
      <c r="O91" s="241" t="n"/>
      <c r="P91" s="332">
        <f>IFERROR(VLOOKUP(TEXT(O91,"0"),CONDUCTORES!$A$3:$G$100,2,0),"")</f>
        <v/>
      </c>
      <c r="Q91" s="332">
        <f>IFERROR(VLOOKUP(TEXT(O91,"0"),CONDUCTORES!$A$3:$H$100,6,0),"")</f>
        <v/>
      </c>
      <c r="R91" s="280" t="n"/>
      <c r="S91" s="305" t="n"/>
      <c r="T91" s="241" t="n"/>
      <c r="U91" s="280" t="n"/>
      <c r="V91" s="305" t="n"/>
      <c r="W91" s="241" t="n"/>
      <c r="X91" s="241" t="n"/>
      <c r="Y91" s="280" t="n"/>
      <c r="Z91" s="350">
        <f>IF(AND(R91&lt;&gt;"",V91&lt;&gt;"",W91&lt;&gt;""),"ENTREGADO","POR RECOGER")</f>
        <v/>
      </c>
      <c r="AA91" s="198" t="n"/>
      <c r="AB91" s="198" t="n"/>
      <c r="AC91" s="198" t="n"/>
    </row>
    <row r="92" ht="15.75" customHeight="1" s="195">
      <c r="A92" s="301" t="n">
        <v>87</v>
      </c>
      <c r="B92" s="302" t="n"/>
      <c r="C92" s="301" t="inlineStr">
        <is>
          <t>REGION</t>
        </is>
      </c>
      <c r="D92" s="302" t="n"/>
      <c r="E92" s="301" t="inlineStr">
        <is>
          <t>DNI</t>
        </is>
      </c>
      <c r="F92" s="301" t="n"/>
      <c r="G92" s="334" t="n"/>
      <c r="H92" s="301" t="n"/>
      <c r="I92" s="332">
        <f>IFERROR(VLOOKUP(TEXT(H92,"0"),IPRESS!$A$3:$B$212,2,0),"")</f>
        <v/>
      </c>
      <c r="J92" s="301" t="n"/>
      <c r="K92" s="332" t="n"/>
      <c r="L92" s="245" t="n"/>
      <c r="M92" s="245" t="n"/>
      <c r="N92" s="333">
        <f>IFERROR(IF(L92*M92=0,"",L92*M92),"")</f>
        <v/>
      </c>
      <c r="O92" s="301" t="n"/>
      <c r="P92" s="332">
        <f>IFERROR(VLOOKUP(TEXT(O92,"0"),CONDUCTORES!$A$3:$G$100,2,0),"")</f>
        <v/>
      </c>
      <c r="Q92" s="332">
        <f>IFERROR(VLOOKUP(TEXT(O92,"0"),CONDUCTORES!$A$3:$H$100,6,0),"")</f>
        <v/>
      </c>
      <c r="R92" s="334" t="n"/>
      <c r="S92" s="302" t="n"/>
      <c r="T92" s="301" t="n"/>
      <c r="U92" s="334" t="n"/>
      <c r="V92" s="302" t="n"/>
      <c r="W92" s="301" t="n"/>
      <c r="X92" s="301" t="n"/>
      <c r="Y92" s="280" t="n"/>
      <c r="Z92" s="350">
        <f>IF(AND(R92&lt;&gt;"",V92&lt;&gt;"",W92&lt;&gt;""),"ENTREGADO","POR RECOGER")</f>
        <v/>
      </c>
      <c r="AA92" s="198" t="n"/>
      <c r="AB92" s="198" t="n"/>
      <c r="AC92" s="198" t="n"/>
    </row>
    <row r="93" ht="15.75" customHeight="1" s="195">
      <c r="A93" s="241" t="n">
        <v>88</v>
      </c>
      <c r="B93" s="305" t="n"/>
      <c r="C93" s="241" t="inlineStr">
        <is>
          <t>REGION</t>
        </is>
      </c>
      <c r="D93" s="305" t="n"/>
      <c r="E93" s="241" t="inlineStr">
        <is>
          <t>DNI</t>
        </is>
      </c>
      <c r="F93" s="241" t="n"/>
      <c r="G93" s="280" t="n"/>
      <c r="H93" s="241" t="n"/>
      <c r="I93" s="332">
        <f>IFERROR(VLOOKUP(TEXT(H93,"0"),IPRESS!$A$3:$B$212,2,0),"")</f>
        <v/>
      </c>
      <c r="J93" s="241" t="n"/>
      <c r="K93" s="332" t="n"/>
      <c r="L93" s="239" t="n"/>
      <c r="M93" s="239" t="n"/>
      <c r="N93" s="333">
        <f>IFERROR(IF(L93*M93=0,"",L93*M93),"")</f>
        <v/>
      </c>
      <c r="O93" s="241" t="n"/>
      <c r="P93" s="332">
        <f>IFERROR(VLOOKUP(TEXT(O93,"0"),CONDUCTORES!$A$3:$G$100,2,0),"")</f>
        <v/>
      </c>
      <c r="Q93" s="332">
        <f>IFERROR(VLOOKUP(TEXT(O93,"0"),CONDUCTORES!$A$3:$H$100,6,0),"")</f>
        <v/>
      </c>
      <c r="R93" s="280" t="n"/>
      <c r="S93" s="305" t="n"/>
      <c r="T93" s="241" t="n"/>
      <c r="U93" s="280" t="n"/>
      <c r="V93" s="305" t="n"/>
      <c r="W93" s="241" t="n"/>
      <c r="X93" s="241" t="n"/>
      <c r="Y93" s="280" t="n"/>
      <c r="Z93" s="350">
        <f>IF(AND(R93&lt;&gt;"",V93&lt;&gt;"",W93&lt;&gt;""),"ENTREGADO","POR RECOGER")</f>
        <v/>
      </c>
      <c r="AA93" s="198" t="n"/>
      <c r="AB93" s="198" t="n"/>
      <c r="AC93" s="198" t="n"/>
    </row>
    <row r="94" ht="15.75" customHeight="1" s="195">
      <c r="A94" s="301" t="n">
        <v>89</v>
      </c>
      <c r="B94" s="302" t="n"/>
      <c r="C94" s="301" t="inlineStr">
        <is>
          <t>REGION</t>
        </is>
      </c>
      <c r="D94" s="302" t="n"/>
      <c r="E94" s="301" t="inlineStr">
        <is>
          <t>DNI</t>
        </is>
      </c>
      <c r="F94" s="301" t="n"/>
      <c r="G94" s="334" t="n"/>
      <c r="H94" s="301" t="n"/>
      <c r="I94" s="332">
        <f>IFERROR(VLOOKUP(TEXT(H94,"0"),IPRESS!$A$3:$B$212,2,0),"")</f>
        <v/>
      </c>
      <c r="J94" s="301" t="n"/>
      <c r="K94" s="332" t="n"/>
      <c r="L94" s="245" t="n"/>
      <c r="M94" s="245" t="n"/>
      <c r="N94" s="333">
        <f>IFERROR(IF(L94*M94=0,"",L94*M94),"")</f>
        <v/>
      </c>
      <c r="O94" s="301" t="n"/>
      <c r="P94" s="332">
        <f>IFERROR(VLOOKUP(TEXT(O94,"0"),CONDUCTORES!$A$3:$G$100,2,0),"")</f>
        <v/>
      </c>
      <c r="Q94" s="332">
        <f>IFERROR(VLOOKUP(TEXT(O94,"0"),CONDUCTORES!$A$3:$H$100,6,0),"")</f>
        <v/>
      </c>
      <c r="R94" s="334" t="n"/>
      <c r="S94" s="302" t="n"/>
      <c r="T94" s="301" t="n"/>
      <c r="U94" s="334" t="n"/>
      <c r="V94" s="302" t="n"/>
      <c r="W94" s="301" t="n"/>
      <c r="X94" s="301" t="n"/>
      <c r="Y94" s="280" t="n"/>
      <c r="Z94" s="350">
        <f>IF(AND(R94&lt;&gt;"",V94&lt;&gt;"",W94&lt;&gt;""),"ENTREGADO","POR RECOGER")</f>
        <v/>
      </c>
      <c r="AA94" s="198" t="n"/>
      <c r="AB94" s="198" t="n"/>
      <c r="AC94" s="198" t="n"/>
    </row>
    <row r="95" ht="15.75" customHeight="1" s="195">
      <c r="A95" s="241" t="n">
        <v>90</v>
      </c>
      <c r="B95" s="305" t="n"/>
      <c r="C95" s="241" t="inlineStr">
        <is>
          <t>REGION</t>
        </is>
      </c>
      <c r="D95" s="305" t="n"/>
      <c r="E95" s="241" t="inlineStr">
        <is>
          <t>DNI</t>
        </is>
      </c>
      <c r="F95" s="241" t="n"/>
      <c r="G95" s="280" t="n"/>
      <c r="H95" s="241" t="n"/>
      <c r="I95" s="332">
        <f>IFERROR(VLOOKUP(TEXT(H95,"0"),IPRESS!$A$3:$B$212,2,0),"")</f>
        <v/>
      </c>
      <c r="J95" s="241" t="n"/>
      <c r="K95" s="332" t="n"/>
      <c r="L95" s="239" t="n"/>
      <c r="M95" s="239" t="n"/>
      <c r="N95" s="333">
        <f>IFERROR(IF(L95*M95=0,"",L95*M95),"")</f>
        <v/>
      </c>
      <c r="O95" s="241" t="n"/>
      <c r="P95" s="332">
        <f>IFERROR(VLOOKUP(TEXT(O95,"0"),CONDUCTORES!$A$3:$G$100,2,0),"")</f>
        <v/>
      </c>
      <c r="Q95" s="332">
        <f>IFERROR(VLOOKUP(TEXT(O95,"0"),CONDUCTORES!$A$3:$H$100,6,0),"")</f>
        <v/>
      </c>
      <c r="R95" s="280" t="n"/>
      <c r="S95" s="305" t="n"/>
      <c r="T95" s="241" t="n"/>
      <c r="U95" s="280" t="n"/>
      <c r="V95" s="305" t="n"/>
      <c r="W95" s="241" t="n"/>
      <c r="X95" s="241" t="n"/>
      <c r="Y95" s="280" t="n"/>
      <c r="Z95" s="350">
        <f>IF(AND(R95&lt;&gt;"",V95&lt;&gt;"",W95&lt;&gt;""),"ENTREGADO","POR RECOGER")</f>
        <v/>
      </c>
      <c r="AA95" s="198" t="n"/>
      <c r="AB95" s="198" t="n"/>
      <c r="AC95" s="198" t="n"/>
    </row>
    <row r="96" ht="15.75" customHeight="1" s="195">
      <c r="A96" s="301" t="n">
        <v>91</v>
      </c>
      <c r="B96" s="302" t="n"/>
      <c r="C96" s="301" t="inlineStr">
        <is>
          <t>REGION</t>
        </is>
      </c>
      <c r="D96" s="302" t="n"/>
      <c r="E96" s="301" t="inlineStr">
        <is>
          <t>DNI</t>
        </is>
      </c>
      <c r="F96" s="301" t="n"/>
      <c r="G96" s="334" t="n"/>
      <c r="H96" s="301" t="n"/>
      <c r="I96" s="332">
        <f>IFERROR(VLOOKUP(TEXT(H96,"0"),IPRESS!$A$3:$B$212,2,0),"")</f>
        <v/>
      </c>
      <c r="J96" s="301" t="n"/>
      <c r="K96" s="332" t="n"/>
      <c r="L96" s="245" t="n"/>
      <c r="M96" s="245" t="n"/>
      <c r="N96" s="333">
        <f>IFERROR(IF(L96*M96=0,"",L96*M96),"")</f>
        <v/>
      </c>
      <c r="O96" s="301" t="n"/>
      <c r="P96" s="332">
        <f>IFERROR(VLOOKUP(TEXT(O96,"0"),CONDUCTORES!$A$3:$G$100,2,0),"")</f>
        <v/>
      </c>
      <c r="Q96" s="332">
        <f>IFERROR(VLOOKUP(TEXT(O96,"0"),CONDUCTORES!$A$3:$H$100,6,0),"")</f>
        <v/>
      </c>
      <c r="R96" s="334" t="n"/>
      <c r="S96" s="302" t="n"/>
      <c r="T96" s="301" t="n"/>
      <c r="U96" s="334" t="n"/>
      <c r="V96" s="302" t="n"/>
      <c r="W96" s="301" t="n"/>
      <c r="X96" s="301" t="n"/>
      <c r="Y96" s="280" t="n"/>
      <c r="Z96" s="350">
        <f>IF(AND(R96&lt;&gt;"",V96&lt;&gt;"",W96&lt;&gt;""),"ENTREGADO","POR RECOGER")</f>
        <v/>
      </c>
      <c r="AA96" s="198" t="n"/>
      <c r="AB96" s="198" t="n"/>
      <c r="AC96" s="198" t="n"/>
    </row>
    <row r="97" ht="15.75" customHeight="1" s="195">
      <c r="A97" s="241" t="n">
        <v>92</v>
      </c>
      <c r="B97" s="305" t="n"/>
      <c r="C97" s="241" t="inlineStr">
        <is>
          <t>REGION</t>
        </is>
      </c>
      <c r="D97" s="305" t="n"/>
      <c r="E97" s="241" t="inlineStr">
        <is>
          <t>DNI</t>
        </is>
      </c>
      <c r="F97" s="241" t="n"/>
      <c r="G97" s="280" t="n"/>
      <c r="H97" s="241" t="n"/>
      <c r="I97" s="332">
        <f>IFERROR(VLOOKUP(TEXT(H97,"0"),IPRESS!$A$3:$B$212,2,0),"")</f>
        <v/>
      </c>
      <c r="J97" s="241" t="n"/>
      <c r="K97" s="332" t="n"/>
      <c r="L97" s="239" t="n"/>
      <c r="M97" s="239" t="n"/>
      <c r="N97" s="333">
        <f>IFERROR(IF(L97*M97=0,"",L97*M97),"")</f>
        <v/>
      </c>
      <c r="O97" s="241" t="n"/>
      <c r="P97" s="332">
        <f>IFERROR(VLOOKUP(TEXT(O97,"0"),CONDUCTORES!$A$3:$G$100,2,0),"")</f>
        <v/>
      </c>
      <c r="Q97" s="332">
        <f>IFERROR(VLOOKUP(TEXT(O97,"0"),CONDUCTORES!$A$3:$H$100,6,0),"")</f>
        <v/>
      </c>
      <c r="R97" s="280" t="n"/>
      <c r="S97" s="305" t="n"/>
      <c r="T97" s="241" t="n"/>
      <c r="U97" s="280" t="n"/>
      <c r="V97" s="305" t="n"/>
      <c r="W97" s="241" t="n"/>
      <c r="X97" s="241" t="n"/>
      <c r="Y97" s="280" t="n"/>
      <c r="Z97" s="350">
        <f>IF(AND(R97&lt;&gt;"",V97&lt;&gt;"",W97&lt;&gt;""),"ENTREGADO","POR RECOGER")</f>
        <v/>
      </c>
      <c r="AA97" s="198" t="n"/>
      <c r="AB97" s="198" t="n"/>
      <c r="AC97" s="198" t="n"/>
    </row>
    <row r="98" ht="15.75" customHeight="1" s="195">
      <c r="A98" s="301" t="n">
        <v>93</v>
      </c>
      <c r="B98" s="302" t="n"/>
      <c r="C98" s="301" t="inlineStr">
        <is>
          <t>REGION</t>
        </is>
      </c>
      <c r="D98" s="302" t="n"/>
      <c r="E98" s="301" t="inlineStr">
        <is>
          <t>DNI</t>
        </is>
      </c>
      <c r="F98" s="301" t="n"/>
      <c r="G98" s="334" t="n"/>
      <c r="H98" s="301" t="n"/>
      <c r="I98" s="332">
        <f>IFERROR(VLOOKUP(TEXT(H98,"0"),IPRESS!$A$3:$B$212,2,0),"")</f>
        <v/>
      </c>
      <c r="J98" s="301" t="n"/>
      <c r="K98" s="332" t="n"/>
      <c r="L98" s="245" t="n"/>
      <c r="M98" s="245" t="n"/>
      <c r="N98" s="333">
        <f>IFERROR(IF(L98*M98=0,"",L98*M98),"")</f>
        <v/>
      </c>
      <c r="O98" s="301" t="n"/>
      <c r="P98" s="332">
        <f>IFERROR(VLOOKUP(TEXT(O98,"0"),CONDUCTORES!$A$3:$G$100,2,0),"")</f>
        <v/>
      </c>
      <c r="Q98" s="332">
        <f>IFERROR(VLOOKUP(TEXT(O98,"0"),CONDUCTORES!$A$3:$H$100,6,0),"")</f>
        <v/>
      </c>
      <c r="R98" s="334" t="n"/>
      <c r="S98" s="302" t="n"/>
      <c r="T98" s="301" t="n"/>
      <c r="U98" s="334" t="n"/>
      <c r="V98" s="302" t="n"/>
      <c r="W98" s="301" t="n"/>
      <c r="X98" s="301" t="n"/>
      <c r="Y98" s="280" t="n"/>
      <c r="Z98" s="350">
        <f>IF(AND(R98&lt;&gt;"",V98&lt;&gt;"",W98&lt;&gt;""),"ENTREGADO","POR RECOGER")</f>
        <v/>
      </c>
      <c r="AA98" s="198" t="n"/>
      <c r="AB98" s="198" t="n"/>
      <c r="AC98" s="198" t="n"/>
    </row>
    <row r="99" ht="15.75" customHeight="1" s="195">
      <c r="A99" s="241" t="n">
        <v>94</v>
      </c>
      <c r="B99" s="305" t="n"/>
      <c r="C99" s="241" t="inlineStr">
        <is>
          <t>REGION</t>
        </is>
      </c>
      <c r="D99" s="305" t="n"/>
      <c r="E99" s="241" t="inlineStr">
        <is>
          <t>DNI</t>
        </is>
      </c>
      <c r="F99" s="241" t="n"/>
      <c r="G99" s="280" t="n"/>
      <c r="H99" s="241" t="n"/>
      <c r="I99" s="332">
        <f>IFERROR(VLOOKUP(TEXT(H99,"0"),IPRESS!$A$3:$B$212,2,0),"")</f>
        <v/>
      </c>
      <c r="J99" s="241" t="n"/>
      <c r="K99" s="332" t="n"/>
      <c r="L99" s="239" t="n"/>
      <c r="M99" s="239" t="n"/>
      <c r="N99" s="333">
        <f>IFERROR(IF(L99*M99=0,"",L99*M99),"")</f>
        <v/>
      </c>
      <c r="O99" s="241" t="n"/>
      <c r="P99" s="332">
        <f>IFERROR(VLOOKUP(TEXT(O99,"0"),CONDUCTORES!$A$3:$G$100,2,0),"")</f>
        <v/>
      </c>
      <c r="Q99" s="332">
        <f>IFERROR(VLOOKUP(TEXT(O99,"0"),CONDUCTORES!$A$3:$H$100,6,0),"")</f>
        <v/>
      </c>
      <c r="R99" s="280" t="n"/>
      <c r="S99" s="305" t="n"/>
      <c r="T99" s="241" t="n"/>
      <c r="U99" s="280" t="n"/>
      <c r="V99" s="305" t="n"/>
      <c r="W99" s="241" t="n"/>
      <c r="X99" s="241" t="n"/>
      <c r="Y99" s="280" t="n"/>
      <c r="Z99" s="350">
        <f>IF(AND(R99&lt;&gt;"",V99&lt;&gt;"",W99&lt;&gt;""),"ENTREGADO","POR RECOGER")</f>
        <v/>
      </c>
      <c r="AA99" s="198" t="n"/>
      <c r="AB99" s="198" t="n"/>
      <c r="AC99" s="198" t="n"/>
    </row>
    <row r="100" ht="15" customHeight="1" s="195">
      <c r="A100" s="280" t="n"/>
      <c r="B100" s="280" t="n"/>
      <c r="C100" s="280" t="n"/>
      <c r="D100" s="280" t="n"/>
      <c r="E100" s="280" t="n"/>
      <c r="F100" s="280" t="n"/>
      <c r="G100" s="280" t="n"/>
      <c r="H100" s="280" t="n"/>
      <c r="I100" s="343" t="n"/>
      <c r="J100" s="280" t="n"/>
      <c r="K100" s="343" t="n"/>
      <c r="L100" s="280" t="n"/>
      <c r="M100" s="280" t="n"/>
      <c r="N100" s="345" t="n"/>
      <c r="O100" s="280" t="n"/>
      <c r="P100" s="343" t="n"/>
      <c r="Q100" s="343" t="n"/>
      <c r="R100" s="280" t="n"/>
      <c r="S100" s="280" t="n"/>
      <c r="T100" s="280" t="n"/>
      <c r="U100" s="280" t="n"/>
      <c r="V100" s="280" t="n"/>
      <c r="W100" s="280" t="n"/>
      <c r="X100" s="280" t="n"/>
      <c r="Y100" s="280" t="n"/>
      <c r="Z100" s="350" t="n"/>
      <c r="AA100" s="198" t="n"/>
      <c r="AB100" s="198" t="n"/>
      <c r="AC100" s="198" t="n"/>
    </row>
    <row r="101" ht="24" customHeight="1" s="195">
      <c r="A101" s="358" t="n"/>
      <c r="K101" s="343" t="n"/>
      <c r="L101" s="280" t="n"/>
      <c r="M101" s="359" t="n"/>
      <c r="N101" s="359" t="n"/>
      <c r="O101" s="280" t="n"/>
      <c r="P101" s="343" t="n"/>
      <c r="Q101" s="343" t="n"/>
      <c r="R101" s="280" t="n"/>
      <c r="S101" s="280" t="n"/>
      <c r="T101" s="280" t="n"/>
      <c r="U101" s="280" t="n"/>
      <c r="V101" s="280" t="n"/>
      <c r="W101" s="280" t="n"/>
      <c r="X101" s="280" t="n"/>
      <c r="Y101" s="280" t="n"/>
      <c r="Z101" s="350" t="n"/>
      <c r="AA101" s="198" t="n"/>
      <c r="AB101" s="198" t="n"/>
      <c r="AC101" s="198" t="n"/>
    </row>
    <row r="102" ht="15" customHeight="1" s="195">
      <c r="A102" s="280" t="n"/>
      <c r="B102" s="280" t="n"/>
      <c r="C102" s="280" t="n"/>
      <c r="D102" s="280" t="n"/>
      <c r="E102" s="280" t="n"/>
      <c r="F102" s="280" t="n"/>
      <c r="G102" s="280" t="n"/>
      <c r="H102" s="280" t="n"/>
      <c r="I102" s="343" t="n"/>
      <c r="J102" s="280" t="n"/>
      <c r="K102" s="343" t="n"/>
      <c r="L102" s="280" t="n"/>
      <c r="M102" s="280" t="n"/>
      <c r="N102" s="345" t="n"/>
      <c r="O102" s="280" t="n"/>
      <c r="P102" s="343" t="n"/>
      <c r="Q102" s="343" t="n"/>
      <c r="R102" s="280" t="n"/>
      <c r="S102" s="280" t="n"/>
      <c r="T102" s="280" t="n"/>
      <c r="U102" s="280" t="n"/>
      <c r="V102" s="280" t="n"/>
      <c r="W102" s="280" t="n"/>
      <c r="X102" s="280" t="n"/>
      <c r="Y102" s="280" t="n"/>
      <c r="Z102" s="350" t="n"/>
      <c r="AA102" s="198" t="n"/>
      <c r="AB102" s="198" t="n"/>
      <c r="AC102" s="198" t="n"/>
    </row>
    <row r="103" ht="15" customHeight="1" s="195">
      <c r="A103" s="280" t="n"/>
      <c r="B103" s="280" t="n"/>
      <c r="C103" s="280" t="n"/>
      <c r="D103" s="280" t="n"/>
      <c r="E103" s="280" t="n"/>
      <c r="F103" s="280" t="n"/>
      <c r="G103" s="280" t="n"/>
      <c r="H103" s="280" t="n"/>
      <c r="I103" s="343" t="n"/>
      <c r="J103" s="280" t="n"/>
      <c r="K103" s="343" t="n"/>
      <c r="L103" s="280" t="n"/>
      <c r="M103" s="280" t="n"/>
      <c r="N103" s="345" t="n"/>
      <c r="O103" s="280" t="n"/>
      <c r="P103" s="343" t="n"/>
      <c r="Q103" s="343" t="n"/>
      <c r="R103" s="280" t="n"/>
      <c r="S103" s="280" t="n"/>
      <c r="T103" s="280" t="n"/>
      <c r="U103" s="280" t="n"/>
      <c r="V103" s="280" t="n"/>
      <c r="W103" s="280" t="n"/>
      <c r="X103" s="280" t="n"/>
      <c r="Y103" s="280" t="n"/>
      <c r="Z103" s="350" t="n"/>
      <c r="AA103" s="198" t="n"/>
      <c r="AB103" s="198" t="n"/>
      <c r="AC103" s="198" t="n"/>
    </row>
    <row r="104" ht="15" customHeight="1" s="195">
      <c r="A104" s="280" t="n"/>
      <c r="B104" s="280" t="n"/>
      <c r="C104" s="280" t="n"/>
      <c r="D104" s="280" t="n"/>
      <c r="E104" s="280" t="n"/>
      <c r="F104" s="280" t="n"/>
      <c r="G104" s="280" t="n"/>
      <c r="H104" s="280" t="n"/>
      <c r="I104" s="332">
        <f>IFERROR(VLOOKUP(TEXT(H104,"0"),IPRESS!$A$3:$B$212,2,0),"")</f>
        <v/>
      </c>
      <c r="J104" s="280" t="n"/>
      <c r="K104" s="343" t="n"/>
      <c r="L104" s="280" t="n"/>
      <c r="M104" s="280" t="n"/>
      <c r="N104" s="345" t="n"/>
      <c r="O104" s="280" t="n"/>
      <c r="P104" s="332">
        <f>IFERROR(VLOOKUP(TEXT(O104,"0"),CONDUCTORES!$A$3:$G$54,2,0),"")</f>
        <v/>
      </c>
      <c r="Q104" s="332">
        <f>IFERROR(VLOOKUP(TEXT(O104,"0"),CONDUCTORES!$A$3:$H$54,6,0),"")</f>
        <v/>
      </c>
      <c r="R104" s="280" t="n"/>
      <c r="S104" s="280" t="n"/>
      <c r="T104" s="280" t="n"/>
      <c r="U104" s="280" t="n"/>
      <c r="V104" s="280" t="n"/>
      <c r="W104" s="280" t="n"/>
      <c r="X104" s="280" t="n"/>
      <c r="Y104" s="280" t="n"/>
      <c r="Z104" s="350" t="n"/>
      <c r="AA104" s="198" t="n"/>
      <c r="AB104" s="198" t="n"/>
      <c r="AC104" s="198" t="n"/>
    </row>
    <row r="105" ht="15" customHeight="1" s="195">
      <c r="A105" s="280" t="n"/>
      <c r="B105" s="280" t="n"/>
      <c r="C105" s="280" t="n"/>
      <c r="D105" s="280" t="n"/>
      <c r="E105" s="280" t="n"/>
      <c r="F105" s="280" t="n"/>
      <c r="G105" s="280" t="n"/>
      <c r="H105" s="280" t="n"/>
      <c r="I105" s="332">
        <f>IFERROR(VLOOKUP(TEXT(H105,"0"),IPRESS!$A$3:$B$212,2,0),"")</f>
        <v/>
      </c>
      <c r="J105" s="280" t="n"/>
      <c r="K105" s="343" t="n"/>
      <c r="L105" s="280" t="n"/>
      <c r="M105" s="280" t="n"/>
      <c r="N105" s="345" t="n"/>
      <c r="O105" s="280" t="n"/>
      <c r="P105" s="332">
        <f>IFERROR(VLOOKUP(TEXT(O105,"0"),CONDUCTORES!$A$3:$G$54,2,0),"")</f>
        <v/>
      </c>
      <c r="Q105" s="332">
        <f>IFERROR(VLOOKUP(TEXT(O105,"0"),CONDUCTORES!$A$3:$H$54,6,0),"")</f>
        <v/>
      </c>
      <c r="R105" s="280" t="n"/>
      <c r="S105" s="280" t="n"/>
      <c r="T105" s="280" t="n"/>
      <c r="U105" s="280" t="n"/>
      <c r="V105" s="280" t="n"/>
      <c r="W105" s="280" t="n"/>
      <c r="X105" s="280" t="n"/>
      <c r="Y105" s="280" t="n"/>
      <c r="Z105" s="350" t="n"/>
      <c r="AA105" s="198" t="n"/>
      <c r="AB105" s="198" t="n"/>
      <c r="AC105" s="198" t="n"/>
    </row>
    <row r="106" ht="15" customHeight="1" s="195">
      <c r="A106" s="280" t="n"/>
      <c r="B106" s="280" t="n"/>
      <c r="C106" s="280" t="n"/>
      <c r="D106" s="280" t="n"/>
      <c r="E106" s="280" t="n"/>
      <c r="F106" s="280" t="n"/>
      <c r="G106" s="280" t="n"/>
      <c r="H106" s="280" t="n"/>
      <c r="I106" s="332">
        <f>IFERROR(VLOOKUP(TEXT(H106,"0"),IPRESS!$A$3:$B$212,2,0),"")</f>
        <v/>
      </c>
      <c r="J106" s="280" t="n"/>
      <c r="K106" s="343" t="n"/>
      <c r="L106" s="280" t="n"/>
      <c r="M106" s="280" t="n"/>
      <c r="N106" s="345" t="n"/>
      <c r="O106" s="280" t="n"/>
      <c r="P106" s="332">
        <f>IFERROR(VLOOKUP(TEXT(O106,"0"),CONDUCTORES!$A$3:$G$54,2,0),"")</f>
        <v/>
      </c>
      <c r="Q106" s="332">
        <f>IFERROR(VLOOKUP(TEXT(O106,"0"),CONDUCTORES!$A$3:$H$54,6,0),"")</f>
        <v/>
      </c>
      <c r="R106" s="280" t="n"/>
      <c r="S106" s="280" t="n"/>
      <c r="T106" s="280" t="n"/>
      <c r="U106" s="280" t="n"/>
      <c r="V106" s="280" t="n"/>
      <c r="W106" s="280" t="n"/>
      <c r="X106" s="280" t="n"/>
      <c r="Y106" s="280" t="n"/>
      <c r="Z106" s="350" t="n"/>
      <c r="AA106" s="198" t="n"/>
      <c r="AB106" s="198" t="n"/>
      <c r="AC106" s="198" t="n"/>
    </row>
    <row r="107" ht="15" customHeight="1" s="195">
      <c r="A107" s="280" t="n"/>
      <c r="B107" s="280" t="n"/>
      <c r="C107" s="280" t="n"/>
      <c r="D107" s="280" t="n"/>
      <c r="E107" s="280" t="n"/>
      <c r="F107" s="280" t="n"/>
      <c r="G107" s="280" t="n"/>
      <c r="H107" s="280" t="n"/>
      <c r="I107" s="332">
        <f>IFERROR(VLOOKUP(TEXT(H107,"0"),IPRESS!$A$3:$B$212,2,0),"")</f>
        <v/>
      </c>
      <c r="J107" s="280" t="n"/>
      <c r="K107" s="343" t="n"/>
      <c r="L107" s="280" t="n"/>
      <c r="M107" s="280" t="n"/>
      <c r="N107" s="345" t="n"/>
      <c r="O107" s="280" t="n"/>
      <c r="P107" s="332">
        <f>IFERROR(VLOOKUP(TEXT(O107,"0"),CONDUCTORES!$A$3:$G$54,2,0),"")</f>
        <v/>
      </c>
      <c r="Q107" s="332">
        <f>IFERROR(VLOOKUP(TEXT(O107,"0"),CONDUCTORES!$A$3:$H$54,6,0),"")</f>
        <v/>
      </c>
      <c r="R107" s="280" t="n"/>
      <c r="S107" s="280" t="n"/>
      <c r="T107" s="280" t="n"/>
      <c r="U107" s="280" t="n"/>
      <c r="V107" s="280" t="n"/>
      <c r="W107" s="280" t="n"/>
      <c r="X107" s="280" t="n"/>
      <c r="Y107" s="280" t="n"/>
      <c r="Z107" s="350" t="n"/>
      <c r="AA107" s="198" t="n"/>
      <c r="AB107" s="198" t="n"/>
      <c r="AC107" s="198" t="n"/>
    </row>
    <row r="108" ht="15" customHeight="1" s="195">
      <c r="A108" s="280" t="n"/>
      <c r="B108" s="280" t="n"/>
      <c r="C108" s="280" t="n"/>
      <c r="D108" s="280" t="n"/>
      <c r="E108" s="280" t="n"/>
      <c r="F108" s="280" t="n"/>
      <c r="G108" s="280" t="n"/>
      <c r="H108" s="280" t="n"/>
      <c r="I108" s="332">
        <f>IFERROR(VLOOKUP(TEXT(H108,"0"),IPRESS!$A$3:$B$212,2,0),"")</f>
        <v/>
      </c>
      <c r="J108" s="280" t="n"/>
      <c r="K108" s="343" t="n"/>
      <c r="L108" s="280" t="n"/>
      <c r="M108" s="280" t="n"/>
      <c r="N108" s="345" t="n"/>
      <c r="O108" s="280" t="n"/>
      <c r="P108" s="332">
        <f>IFERROR(VLOOKUP(TEXT(O108,"0"),CONDUCTORES!$A$3:$G$54,2,0),"")</f>
        <v/>
      </c>
      <c r="Q108" s="332">
        <f>IFERROR(VLOOKUP(TEXT(O108,"0"),CONDUCTORES!$A$3:$H$54,6,0),"")</f>
        <v/>
      </c>
      <c r="R108" s="280" t="n"/>
      <c r="S108" s="280" t="n"/>
      <c r="T108" s="280" t="n"/>
      <c r="U108" s="280" t="n"/>
      <c r="V108" s="280" t="n"/>
      <c r="W108" s="280" t="n"/>
      <c r="X108" s="280" t="n"/>
      <c r="Y108" s="280" t="n"/>
      <c r="Z108" s="350" t="n"/>
      <c r="AA108" s="198" t="n"/>
      <c r="AB108" s="198" t="n"/>
      <c r="AC108" s="198" t="n"/>
    </row>
    <row r="109" ht="15" customHeight="1" s="195">
      <c r="A109" s="280" t="n"/>
      <c r="B109" s="280" t="n"/>
      <c r="C109" s="280" t="n"/>
      <c r="D109" s="280" t="n"/>
      <c r="E109" s="280" t="n"/>
      <c r="F109" s="280" t="n"/>
      <c r="G109" s="280" t="n"/>
      <c r="H109" s="280" t="n"/>
      <c r="I109" s="332">
        <f>IFERROR(VLOOKUP(TEXT(H109,"0"),IPRESS!$A$3:$B$212,2,0),"")</f>
        <v/>
      </c>
      <c r="J109" s="280" t="n"/>
      <c r="K109" s="343" t="n"/>
      <c r="L109" s="280" t="n"/>
      <c r="M109" s="280" t="n"/>
      <c r="N109" s="345" t="n"/>
      <c r="O109" s="280" t="n"/>
      <c r="P109" s="332">
        <f>IFERROR(VLOOKUP(TEXT(O109,"0"),CONDUCTORES!$A$3:$G$54,2,0),"")</f>
        <v/>
      </c>
      <c r="Q109" s="332">
        <f>IFERROR(VLOOKUP(TEXT(O109,"0"),CONDUCTORES!$A$3:$H$54,6,0),"")</f>
        <v/>
      </c>
      <c r="R109" s="280" t="n"/>
      <c r="S109" s="280" t="n"/>
      <c r="T109" s="280" t="n"/>
      <c r="U109" s="280" t="n"/>
      <c r="V109" s="280" t="n"/>
      <c r="W109" s="280" t="n"/>
      <c r="X109" s="280" t="n"/>
      <c r="Y109" s="280" t="n"/>
      <c r="Z109" s="350" t="n"/>
      <c r="AA109" s="198" t="n"/>
      <c r="AB109" s="198" t="n"/>
      <c r="AC109" s="198" t="n"/>
    </row>
    <row r="110" ht="15" customHeight="1" s="195">
      <c r="A110" s="280" t="n"/>
      <c r="B110" s="280" t="n"/>
      <c r="C110" s="280" t="n"/>
      <c r="D110" s="280" t="n"/>
      <c r="E110" s="280" t="n"/>
      <c r="F110" s="280" t="n"/>
      <c r="G110" s="280" t="n"/>
      <c r="H110" s="280" t="n"/>
      <c r="I110" s="332">
        <f>IFERROR(VLOOKUP(TEXT(H110,"0"),IPRESS!$A$3:$B$212,2,0),"")</f>
        <v/>
      </c>
      <c r="J110" s="280" t="n"/>
      <c r="K110" s="343" t="n"/>
      <c r="L110" s="280" t="n"/>
      <c r="M110" s="280" t="n"/>
      <c r="N110" s="345" t="n"/>
      <c r="O110" s="280" t="n"/>
      <c r="P110" s="332">
        <f>IFERROR(VLOOKUP(TEXT(O110,"0"),CONDUCTORES!$A$3:$G$54,2,0),"")</f>
        <v/>
      </c>
      <c r="Q110" s="332">
        <f>IFERROR(VLOOKUP(TEXT(O110,"0"),CONDUCTORES!$A$3:$H$54,6,0),"")</f>
        <v/>
      </c>
      <c r="R110" s="280" t="n"/>
      <c r="S110" s="280" t="n"/>
      <c r="T110" s="280" t="n"/>
      <c r="U110" s="280" t="n"/>
      <c r="V110" s="280" t="n"/>
      <c r="W110" s="280" t="n"/>
      <c r="X110" s="280" t="n"/>
      <c r="Y110" s="280" t="n"/>
      <c r="Z110" s="350" t="n"/>
      <c r="AA110" s="198" t="n"/>
      <c r="AB110" s="198" t="n"/>
      <c r="AC110" s="198" t="n"/>
    </row>
    <row r="111" ht="15" customHeight="1" s="195">
      <c r="A111" s="280" t="n"/>
      <c r="B111" s="280" t="n"/>
      <c r="C111" s="280" t="n"/>
      <c r="D111" s="280" t="n"/>
      <c r="E111" s="280" t="n"/>
      <c r="F111" s="280" t="n"/>
      <c r="G111" s="280" t="n"/>
      <c r="H111" s="280" t="n"/>
      <c r="I111" s="332">
        <f>IFERROR(VLOOKUP(TEXT(H111,"0"),IPRESS!$A$3:$B$212,2,0),"")</f>
        <v/>
      </c>
      <c r="J111" s="280" t="n"/>
      <c r="K111" s="343" t="n"/>
      <c r="L111" s="280" t="n"/>
      <c r="M111" s="280" t="n"/>
      <c r="N111" s="345" t="n"/>
      <c r="O111" s="280" t="n"/>
      <c r="P111" s="332">
        <f>IFERROR(VLOOKUP(TEXT(O111,"0"),CONDUCTORES!$A$3:$G$54,2,0),"")</f>
        <v/>
      </c>
      <c r="Q111" s="332">
        <f>IFERROR(VLOOKUP(TEXT(O111,"0"),CONDUCTORES!$A$3:$H$54,6,0),"")</f>
        <v/>
      </c>
      <c r="R111" s="280" t="n"/>
      <c r="S111" s="280" t="n"/>
      <c r="T111" s="280" t="n"/>
      <c r="U111" s="280" t="n"/>
      <c r="V111" s="280" t="n"/>
      <c r="W111" s="280" t="n"/>
      <c r="X111" s="280" t="n"/>
      <c r="Y111" s="280" t="n"/>
      <c r="Z111" s="350" t="n"/>
      <c r="AA111" s="198" t="n"/>
      <c r="AB111" s="198" t="n"/>
      <c r="AC111" s="198" t="n"/>
    </row>
    <row r="112" ht="15" customHeight="1" s="195">
      <c r="A112" s="280" t="n"/>
      <c r="B112" s="280" t="n"/>
      <c r="C112" s="280" t="n"/>
      <c r="D112" s="280" t="n"/>
      <c r="E112" s="280" t="n"/>
      <c r="F112" s="280" t="n"/>
      <c r="G112" s="280" t="n"/>
      <c r="H112" s="280" t="n"/>
      <c r="I112" s="332">
        <f>IFERROR(VLOOKUP(TEXT(H112,"0"),IPRESS!$A$3:$B$212,2,0),"")</f>
        <v/>
      </c>
      <c r="J112" s="280" t="n"/>
      <c r="K112" s="343" t="n"/>
      <c r="L112" s="280" t="n"/>
      <c r="M112" s="280" t="n"/>
      <c r="N112" s="345" t="n"/>
      <c r="O112" s="280" t="n"/>
      <c r="P112" s="332">
        <f>IFERROR(VLOOKUP(TEXT(O112,"0"),CONDUCTORES!$A$3:$G$54,2,0),"")</f>
        <v/>
      </c>
      <c r="Q112" s="332">
        <f>IFERROR(VLOOKUP(TEXT(O112,"0"),CONDUCTORES!$A$3:$H$54,6,0),"")</f>
        <v/>
      </c>
      <c r="R112" s="280" t="n"/>
      <c r="S112" s="280" t="n"/>
      <c r="T112" s="280" t="n"/>
      <c r="U112" s="280" t="n"/>
      <c r="V112" s="280" t="n"/>
      <c r="W112" s="280" t="n"/>
      <c r="X112" s="280" t="n"/>
      <c r="Y112" s="280" t="n"/>
      <c r="Z112" s="350" t="n"/>
      <c r="AA112" s="198" t="n"/>
      <c r="AB112" s="198" t="n"/>
      <c r="AC112" s="198" t="n"/>
    </row>
    <row r="113" ht="15" customHeight="1" s="195">
      <c r="A113" s="280" t="n"/>
      <c r="B113" s="280" t="n"/>
      <c r="C113" s="280" t="n"/>
      <c r="D113" s="280" t="n"/>
      <c r="E113" s="280" t="n"/>
      <c r="F113" s="280" t="n"/>
      <c r="G113" s="280" t="n"/>
      <c r="H113" s="280" t="n"/>
      <c r="I113" s="332">
        <f>IFERROR(VLOOKUP(TEXT(H113,"0"),IPRESS!$A$3:$B$212,2,0),"")</f>
        <v/>
      </c>
      <c r="J113" s="280" t="n"/>
      <c r="K113" s="343" t="n"/>
      <c r="L113" s="280" t="n"/>
      <c r="M113" s="280" t="n"/>
      <c r="N113" s="345" t="n"/>
      <c r="O113" s="280" t="n"/>
      <c r="P113" s="332">
        <f>IFERROR(VLOOKUP(TEXT(O113,"0"),CONDUCTORES!$A$3:$G$54,2,0),"")</f>
        <v/>
      </c>
      <c r="Q113" s="332">
        <f>IFERROR(VLOOKUP(TEXT(O113,"0"),CONDUCTORES!$A$3:$H$54,6,0),"")</f>
        <v/>
      </c>
      <c r="R113" s="280" t="n"/>
      <c r="S113" s="280" t="n"/>
      <c r="T113" s="280" t="n"/>
      <c r="U113" s="280" t="n"/>
      <c r="V113" s="280" t="n"/>
      <c r="W113" s="280" t="n"/>
      <c r="X113" s="280" t="n"/>
      <c r="Y113" s="280" t="n"/>
      <c r="Z113" s="350" t="n"/>
      <c r="AA113" s="198" t="n"/>
      <c r="AB113" s="198" t="n"/>
      <c r="AC113" s="198" t="n"/>
    </row>
    <row r="114" ht="15" customHeight="1" s="195">
      <c r="A114" s="280" t="n"/>
      <c r="B114" s="280" t="n"/>
      <c r="C114" s="280" t="n"/>
      <c r="D114" s="280" t="n"/>
      <c r="E114" s="280" t="n"/>
      <c r="F114" s="280" t="n"/>
      <c r="G114" s="280" t="n"/>
      <c r="H114" s="280" t="n"/>
      <c r="I114" s="332">
        <f>IFERROR(VLOOKUP(TEXT(H114,"0"),IPRESS!$A$3:$B$212,2,0),"")</f>
        <v/>
      </c>
      <c r="J114" s="280" t="n"/>
      <c r="K114" s="343" t="n"/>
      <c r="L114" s="280" t="n"/>
      <c r="M114" s="280" t="n"/>
      <c r="N114" s="345" t="n"/>
      <c r="O114" s="280" t="n"/>
      <c r="P114" s="332">
        <f>IFERROR(VLOOKUP(TEXT(O114,"0"),CONDUCTORES!$A$3:$G$54,2,0),"")</f>
        <v/>
      </c>
      <c r="Q114" s="332">
        <f>IFERROR(VLOOKUP(TEXT(O114,"0"),CONDUCTORES!$A$3:$H$54,6,0),"")</f>
        <v/>
      </c>
      <c r="R114" s="280" t="n"/>
      <c r="S114" s="280" t="n"/>
      <c r="T114" s="280" t="n"/>
      <c r="U114" s="280" t="n"/>
      <c r="V114" s="280" t="n"/>
      <c r="W114" s="280" t="n"/>
      <c r="X114" s="280" t="n"/>
      <c r="Y114" s="280" t="n"/>
      <c r="Z114" s="350" t="n"/>
      <c r="AA114" s="198" t="n"/>
      <c r="AB114" s="198" t="n"/>
      <c r="AC114" s="198" t="n"/>
    </row>
    <row r="115" ht="15" customHeight="1" s="195">
      <c r="A115" s="280" t="n"/>
      <c r="B115" s="280" t="n"/>
      <c r="C115" s="280" t="n"/>
      <c r="D115" s="280" t="n"/>
      <c r="E115" s="280" t="n"/>
      <c r="F115" s="280" t="n"/>
      <c r="G115" s="280" t="n"/>
      <c r="H115" s="280" t="n"/>
      <c r="I115" s="332">
        <f>IFERROR(VLOOKUP(TEXT(H115,"0"),IPRESS!$A$3:$B$212,2,0),"")</f>
        <v/>
      </c>
      <c r="J115" s="280" t="n"/>
      <c r="K115" s="343" t="n"/>
      <c r="L115" s="280" t="n"/>
      <c r="M115" s="280" t="n"/>
      <c r="N115" s="345" t="n"/>
      <c r="O115" s="280" t="n"/>
      <c r="P115" s="332">
        <f>IFERROR(VLOOKUP(TEXT(O115,"0"),CONDUCTORES!$A$3:$G$54,2,0),"")</f>
        <v/>
      </c>
      <c r="Q115" s="332">
        <f>IFERROR(VLOOKUP(TEXT(O115,"0"),CONDUCTORES!$A$3:$H$54,6,0),"")</f>
        <v/>
      </c>
      <c r="R115" s="280" t="n"/>
      <c r="S115" s="280" t="n"/>
      <c r="T115" s="280" t="n"/>
      <c r="U115" s="280" t="n"/>
      <c r="V115" s="280" t="n"/>
      <c r="W115" s="280" t="n"/>
      <c r="X115" s="280" t="n"/>
      <c r="Y115" s="280" t="n"/>
      <c r="Z115" s="350" t="n"/>
      <c r="AA115" s="198" t="n"/>
      <c r="AB115" s="198" t="n"/>
      <c r="AC115" s="198" t="n"/>
    </row>
    <row r="116" ht="15" customHeight="1" s="195">
      <c r="A116" s="280" t="n"/>
      <c r="B116" s="280" t="n"/>
      <c r="C116" s="280" t="n"/>
      <c r="D116" s="280" t="n"/>
      <c r="E116" s="280" t="n"/>
      <c r="F116" s="280" t="n"/>
      <c r="G116" s="280" t="n"/>
      <c r="H116" s="280" t="n"/>
      <c r="I116" s="332">
        <f>IFERROR(VLOOKUP(TEXT(H116,"0"),IPRESS!$A$3:$B$212,2,0),"")</f>
        <v/>
      </c>
      <c r="J116" s="280" t="n"/>
      <c r="K116" s="343" t="n"/>
      <c r="L116" s="280" t="n"/>
      <c r="M116" s="280" t="n"/>
      <c r="N116" s="345" t="n"/>
      <c r="O116" s="280" t="n"/>
      <c r="P116" s="332">
        <f>IFERROR(VLOOKUP(TEXT(O116,"0"),CONDUCTORES!$A$3:$G$54,2,0),"")</f>
        <v/>
      </c>
      <c r="Q116" s="332">
        <f>IFERROR(VLOOKUP(TEXT(O116,"0"),CONDUCTORES!$A$3:$H$54,6,0),"")</f>
        <v/>
      </c>
      <c r="R116" s="280" t="n"/>
      <c r="S116" s="280" t="n"/>
      <c r="T116" s="280" t="n"/>
      <c r="U116" s="280" t="n"/>
      <c r="V116" s="280" t="n"/>
      <c r="W116" s="280" t="n"/>
      <c r="X116" s="280" t="n"/>
      <c r="Y116" s="280" t="n"/>
      <c r="Z116" s="350" t="n"/>
      <c r="AA116" s="198" t="n"/>
      <c r="AB116" s="198" t="n"/>
      <c r="AC116" s="198" t="n"/>
    </row>
    <row r="117" ht="15" customHeight="1" s="195">
      <c r="A117" s="280" t="n"/>
      <c r="B117" s="280" t="n"/>
      <c r="C117" s="280" t="n"/>
      <c r="D117" s="280" t="n"/>
      <c r="E117" s="280" t="n"/>
      <c r="F117" s="280" t="n"/>
      <c r="G117" s="280" t="n"/>
      <c r="H117" s="280" t="n"/>
      <c r="I117" s="332">
        <f>IFERROR(VLOOKUP(TEXT(H117,"0"),IPRESS!$A$3:$B$212,2,0),"")</f>
        <v/>
      </c>
      <c r="J117" s="280" t="n"/>
      <c r="K117" s="343" t="n"/>
      <c r="L117" s="280" t="n"/>
      <c r="M117" s="280" t="n"/>
      <c r="N117" s="345" t="n"/>
      <c r="O117" s="280" t="n"/>
      <c r="P117" s="332">
        <f>IFERROR(VLOOKUP(TEXT(O117,"0"),CONDUCTORES!$A$3:$G$54,2,0),"")</f>
        <v/>
      </c>
      <c r="Q117" s="332">
        <f>IFERROR(VLOOKUP(TEXT(O117,"0"),CONDUCTORES!$A$3:$H$54,6,0),"")</f>
        <v/>
      </c>
      <c r="R117" s="280" t="n"/>
      <c r="S117" s="280" t="n"/>
      <c r="T117" s="280" t="n"/>
      <c r="U117" s="280" t="n"/>
      <c r="V117" s="280" t="n"/>
      <c r="W117" s="280" t="n"/>
      <c r="X117" s="280" t="n"/>
      <c r="Y117" s="280" t="n"/>
      <c r="Z117" s="350" t="n"/>
      <c r="AA117" s="198" t="n"/>
      <c r="AB117" s="198" t="n"/>
      <c r="AC117" s="198" t="n"/>
    </row>
    <row r="118" ht="15" customHeight="1" s="195">
      <c r="A118" s="280" t="n"/>
      <c r="B118" s="280" t="n"/>
      <c r="C118" s="280" t="n"/>
      <c r="D118" s="280" t="n"/>
      <c r="E118" s="280" t="n"/>
      <c r="F118" s="280" t="n"/>
      <c r="G118" s="280" t="n"/>
      <c r="H118" s="280" t="n"/>
      <c r="I118" s="332">
        <f>IFERROR(VLOOKUP(TEXT(H118,"0"),IPRESS!$A$3:$B$212,2,0),"")</f>
        <v/>
      </c>
      <c r="J118" s="280" t="n"/>
      <c r="K118" s="343" t="n"/>
      <c r="L118" s="280" t="n"/>
      <c r="M118" s="280" t="n"/>
      <c r="N118" s="345" t="n"/>
      <c r="O118" s="280" t="n"/>
      <c r="P118" s="332">
        <f>IFERROR(VLOOKUP(TEXT(O118,"0"),CONDUCTORES!$A$3:$G$54,2,0),"")</f>
        <v/>
      </c>
      <c r="Q118" s="332">
        <f>IFERROR(VLOOKUP(TEXT(O118,"0"),CONDUCTORES!$A$3:$H$54,6,0),"")</f>
        <v/>
      </c>
      <c r="R118" s="280" t="n"/>
      <c r="S118" s="280" t="n"/>
      <c r="T118" s="280" t="n"/>
      <c r="U118" s="280" t="n"/>
      <c r="V118" s="280" t="n"/>
      <c r="W118" s="280" t="n"/>
      <c r="X118" s="280" t="n"/>
      <c r="Y118" s="280" t="n"/>
      <c r="Z118" s="350" t="n"/>
      <c r="AA118" s="198" t="n"/>
      <c r="AB118" s="198" t="n"/>
      <c r="AC118" s="198" t="n"/>
    </row>
    <row r="119" ht="15" customHeight="1" s="195">
      <c r="A119" s="280" t="n"/>
      <c r="B119" s="280" t="n"/>
      <c r="C119" s="280" t="n"/>
      <c r="D119" s="280" t="n"/>
      <c r="E119" s="280" t="n"/>
      <c r="F119" s="280" t="n"/>
      <c r="G119" s="280" t="n"/>
      <c r="H119" s="280" t="n"/>
      <c r="I119" s="332">
        <f>IFERROR(VLOOKUP(TEXT(H119,"0"),IPRESS!$A$3:$B$212,2,0),"")</f>
        <v/>
      </c>
      <c r="J119" s="280" t="n"/>
      <c r="K119" s="343" t="n"/>
      <c r="L119" s="280" t="n"/>
      <c r="M119" s="280" t="n"/>
      <c r="N119" s="345" t="n"/>
      <c r="O119" s="280" t="n"/>
      <c r="P119" s="332">
        <f>IFERROR(VLOOKUP(TEXT(O119,"0"),CONDUCTORES!$A$3:$G$54,2,0),"")</f>
        <v/>
      </c>
      <c r="Q119" s="332">
        <f>IFERROR(VLOOKUP(TEXT(O119,"0"),CONDUCTORES!$A$3:$H$54,6,0),"")</f>
        <v/>
      </c>
      <c r="R119" s="280" t="n"/>
      <c r="S119" s="280" t="n"/>
      <c r="T119" s="280" t="n"/>
      <c r="U119" s="280" t="n"/>
      <c r="V119" s="280" t="n"/>
      <c r="W119" s="280" t="n"/>
      <c r="X119" s="280" t="n"/>
      <c r="Y119" s="280" t="n"/>
      <c r="Z119" s="350" t="n"/>
      <c r="AA119" s="198" t="n"/>
      <c r="AB119" s="198" t="n"/>
      <c r="AC119" s="198" t="n"/>
    </row>
    <row r="120" ht="15" customHeight="1" s="195">
      <c r="A120" s="280" t="n"/>
      <c r="B120" s="280" t="n"/>
      <c r="C120" s="280" t="n"/>
      <c r="D120" s="280" t="n"/>
      <c r="E120" s="280" t="n"/>
      <c r="F120" s="280" t="n"/>
      <c r="G120" s="280" t="n"/>
      <c r="H120" s="280" t="n"/>
      <c r="I120" s="332">
        <f>IFERROR(VLOOKUP(TEXT(H120,"0"),IPRESS!$A$3:$B$212,2,0),"")</f>
        <v/>
      </c>
      <c r="J120" s="280" t="n"/>
      <c r="K120" s="343" t="n"/>
      <c r="L120" s="280" t="n"/>
      <c r="M120" s="280" t="n"/>
      <c r="N120" s="345" t="n"/>
      <c r="O120" s="280" t="n"/>
      <c r="P120" s="332">
        <f>IFERROR(VLOOKUP(TEXT(O120,"0"),CONDUCTORES!$A$3:$G$54,2,0),"")</f>
        <v/>
      </c>
      <c r="Q120" s="332">
        <f>IFERROR(VLOOKUP(TEXT(O120,"0"),CONDUCTORES!$A$3:$H$54,6,0),"")</f>
        <v/>
      </c>
      <c r="R120" s="280" t="n"/>
      <c r="S120" s="280" t="n"/>
      <c r="T120" s="280" t="n"/>
      <c r="U120" s="280" t="n"/>
      <c r="V120" s="280" t="n"/>
      <c r="W120" s="280" t="n"/>
      <c r="X120" s="280" t="n"/>
      <c r="Y120" s="280" t="n"/>
      <c r="Z120" s="350" t="n"/>
      <c r="AA120" s="198" t="n"/>
      <c r="AB120" s="198" t="n"/>
      <c r="AC120" s="198" t="n"/>
    </row>
    <row r="121" ht="15" customHeight="1" s="195">
      <c r="A121" s="280" t="n"/>
      <c r="B121" s="280" t="n"/>
      <c r="C121" s="280" t="n"/>
      <c r="D121" s="280" t="n"/>
      <c r="E121" s="280" t="n"/>
      <c r="F121" s="280" t="n"/>
      <c r="G121" s="280" t="n"/>
      <c r="H121" s="280" t="n"/>
      <c r="I121" s="332">
        <f>IFERROR(VLOOKUP(TEXT(H121,"0"),IPRESS!$A$3:$B$212,2,0),"")</f>
        <v/>
      </c>
      <c r="J121" s="280" t="n"/>
      <c r="K121" s="343" t="n"/>
      <c r="L121" s="280" t="n"/>
      <c r="M121" s="280" t="n"/>
      <c r="N121" s="345" t="n"/>
      <c r="O121" s="280" t="n"/>
      <c r="P121" s="332">
        <f>IFERROR(VLOOKUP(TEXT(O121,"0"),CONDUCTORES!$A$3:$G$54,2,0),"")</f>
        <v/>
      </c>
      <c r="Q121" s="332">
        <f>IFERROR(VLOOKUP(TEXT(O121,"0"),CONDUCTORES!$A$3:$H$54,6,0),"")</f>
        <v/>
      </c>
      <c r="R121" s="280" t="n"/>
      <c r="S121" s="280" t="n"/>
      <c r="T121" s="280" t="n"/>
      <c r="U121" s="280" t="n"/>
      <c r="V121" s="280" t="n"/>
      <c r="W121" s="280" t="n"/>
      <c r="X121" s="280" t="n"/>
      <c r="Y121" s="280" t="n"/>
      <c r="Z121" s="350" t="n"/>
      <c r="AA121" s="198" t="n"/>
      <c r="AB121" s="198" t="n"/>
      <c r="AC121" s="198" t="n"/>
    </row>
    <row r="122" ht="15" customHeight="1" s="195">
      <c r="A122" s="280" t="n"/>
      <c r="B122" s="280" t="n"/>
      <c r="C122" s="280" t="n"/>
      <c r="D122" s="280" t="n"/>
      <c r="E122" s="280" t="n"/>
      <c r="F122" s="280" t="n"/>
      <c r="G122" s="280" t="n"/>
      <c r="H122" s="280" t="n"/>
      <c r="I122" s="332">
        <f>IFERROR(VLOOKUP(TEXT(H122,"0"),IPRESS!$A$3:$B$212,2,0),"")</f>
        <v/>
      </c>
      <c r="J122" s="280" t="n"/>
      <c r="K122" s="343" t="n"/>
      <c r="L122" s="280" t="n"/>
      <c r="M122" s="280" t="n"/>
      <c r="N122" s="345" t="n"/>
      <c r="O122" s="280" t="n"/>
      <c r="P122" s="332">
        <f>IFERROR(VLOOKUP(TEXT(O122,"0"),CONDUCTORES!$A$3:$G$54,2,0),"")</f>
        <v/>
      </c>
      <c r="Q122" s="332">
        <f>IFERROR(VLOOKUP(TEXT(O122,"0"),CONDUCTORES!$A$3:$H$54,6,0),"")</f>
        <v/>
      </c>
      <c r="R122" s="280" t="n"/>
      <c r="S122" s="280" t="n"/>
      <c r="T122" s="280" t="n"/>
      <c r="U122" s="280" t="n"/>
      <c r="V122" s="280" t="n"/>
      <c r="W122" s="280" t="n"/>
      <c r="X122" s="280" t="n"/>
      <c r="Y122" s="280" t="n"/>
      <c r="Z122" s="350" t="n"/>
      <c r="AA122" s="198" t="n"/>
      <c r="AB122" s="198" t="n"/>
      <c r="AC122" s="198" t="n"/>
    </row>
    <row r="123" ht="15" customHeight="1" s="195">
      <c r="A123" s="280" t="n"/>
      <c r="B123" s="280" t="n"/>
      <c r="C123" s="280" t="n"/>
      <c r="D123" s="280" t="n"/>
      <c r="E123" s="280" t="n"/>
      <c r="F123" s="280" t="n"/>
      <c r="G123" s="280" t="n"/>
      <c r="H123" s="280" t="n"/>
      <c r="I123" s="332">
        <f>IFERROR(VLOOKUP(TEXT(H123,"0"),IPRESS!$A$3:$B$212,2,0),"")</f>
        <v/>
      </c>
      <c r="J123" s="280" t="n"/>
      <c r="K123" s="343" t="n"/>
      <c r="L123" s="280" t="n"/>
      <c r="M123" s="280" t="n"/>
      <c r="N123" s="345" t="n"/>
      <c r="O123" s="280" t="n"/>
      <c r="P123" s="332">
        <f>IFERROR(VLOOKUP(TEXT(O123,"0"),CONDUCTORES!$A$3:$G$54,2,0),"")</f>
        <v/>
      </c>
      <c r="Q123" s="332">
        <f>IFERROR(VLOOKUP(TEXT(O123,"0"),CONDUCTORES!$A$3:$H$54,6,0),"")</f>
        <v/>
      </c>
      <c r="R123" s="280" t="n"/>
      <c r="S123" s="280" t="n"/>
      <c r="T123" s="280" t="n"/>
      <c r="U123" s="280" t="n"/>
      <c r="V123" s="280" t="n"/>
      <c r="W123" s="280" t="n"/>
      <c r="X123" s="280" t="n"/>
      <c r="Y123" s="280" t="n"/>
      <c r="Z123" s="350" t="n"/>
      <c r="AA123" s="198" t="n"/>
      <c r="AB123" s="198" t="n"/>
      <c r="AC123" s="198" t="n"/>
    </row>
    <row r="124" ht="15" customHeight="1" s="195">
      <c r="A124" s="280" t="n"/>
      <c r="B124" s="280" t="n"/>
      <c r="C124" s="280" t="n"/>
      <c r="D124" s="280" t="n"/>
      <c r="E124" s="280" t="n"/>
      <c r="F124" s="280" t="n"/>
      <c r="G124" s="280" t="n"/>
      <c r="H124" s="280" t="n"/>
      <c r="I124" s="332">
        <f>IFERROR(VLOOKUP(TEXT(H124,"0"),IPRESS!$A$3:$B$212,2,0),"")</f>
        <v/>
      </c>
      <c r="J124" s="280" t="n"/>
      <c r="K124" s="343" t="n"/>
      <c r="L124" s="280" t="n"/>
      <c r="M124" s="280" t="n"/>
      <c r="N124" s="345" t="n"/>
      <c r="O124" s="280" t="n"/>
      <c r="P124" s="332">
        <f>IFERROR(VLOOKUP(TEXT(O124,"0"),CONDUCTORES!$A$3:$G$54,2,0),"")</f>
        <v/>
      </c>
      <c r="Q124" s="332">
        <f>IFERROR(VLOOKUP(TEXT(O124,"0"),CONDUCTORES!$A$3:$H$54,6,0),"")</f>
        <v/>
      </c>
      <c r="R124" s="280" t="n"/>
      <c r="S124" s="280" t="n"/>
      <c r="T124" s="280" t="n"/>
      <c r="U124" s="280" t="n"/>
      <c r="V124" s="280" t="n"/>
      <c r="W124" s="280" t="n"/>
      <c r="X124" s="280" t="n"/>
      <c r="Y124" s="280" t="n"/>
      <c r="Z124" s="350" t="n"/>
      <c r="AA124" s="198" t="n"/>
      <c r="AB124" s="198" t="n"/>
      <c r="AC124" s="198" t="n"/>
    </row>
    <row r="125" ht="15" customHeight="1" s="195">
      <c r="A125" s="280" t="n"/>
      <c r="B125" s="280" t="n"/>
      <c r="C125" s="280" t="n"/>
      <c r="D125" s="280" t="n"/>
      <c r="E125" s="280" t="n"/>
      <c r="F125" s="280" t="n"/>
      <c r="G125" s="280" t="n"/>
      <c r="H125" s="280" t="n"/>
      <c r="I125" s="332">
        <f>IFERROR(VLOOKUP(TEXT(H125,"0"),IPRESS!$A$3:$B$212,2,0),"")</f>
        <v/>
      </c>
      <c r="J125" s="280" t="n"/>
      <c r="K125" s="343" t="n"/>
      <c r="L125" s="280" t="n"/>
      <c r="M125" s="280" t="n"/>
      <c r="N125" s="345" t="n"/>
      <c r="O125" s="280" t="n"/>
      <c r="P125" s="332">
        <f>IFERROR(VLOOKUP(TEXT(O125,"0"),CONDUCTORES!$A$3:$G$54,2,0),"")</f>
        <v/>
      </c>
      <c r="Q125" s="332">
        <f>IFERROR(VLOOKUP(TEXT(O125,"0"),CONDUCTORES!$A$3:$H$54,6,0),"")</f>
        <v/>
      </c>
      <c r="R125" s="280" t="n"/>
      <c r="S125" s="280" t="n"/>
      <c r="T125" s="280" t="n"/>
      <c r="U125" s="280" t="n"/>
      <c r="V125" s="280" t="n"/>
      <c r="W125" s="280" t="n"/>
      <c r="X125" s="280" t="n"/>
      <c r="Y125" s="280" t="n"/>
      <c r="Z125" s="350" t="n"/>
      <c r="AA125" s="198" t="n"/>
      <c r="AB125" s="198" t="n"/>
      <c r="AC125" s="198" t="n"/>
    </row>
    <row r="126" ht="15" customHeight="1" s="195">
      <c r="A126" s="280" t="n"/>
      <c r="B126" s="280" t="n"/>
      <c r="C126" s="280" t="n"/>
      <c r="D126" s="280" t="n"/>
      <c r="E126" s="280" t="n"/>
      <c r="F126" s="280" t="n"/>
      <c r="G126" s="280" t="n"/>
      <c r="H126" s="280" t="n"/>
      <c r="I126" s="332">
        <f>IFERROR(VLOOKUP(TEXT(H126,"0"),IPRESS!$A$3:$B$212,2,0),"")</f>
        <v/>
      </c>
      <c r="J126" s="280" t="n"/>
      <c r="K126" s="343" t="n"/>
      <c r="L126" s="280" t="n"/>
      <c r="M126" s="280" t="n"/>
      <c r="N126" s="345" t="n"/>
      <c r="O126" s="280" t="n"/>
      <c r="P126" s="332">
        <f>IFERROR(VLOOKUP(TEXT(O126,"0"),CONDUCTORES!$A$3:$G$54,2,0),"")</f>
        <v/>
      </c>
      <c r="Q126" s="332">
        <f>IFERROR(VLOOKUP(TEXT(O126,"0"),CONDUCTORES!$A$3:$H$54,6,0),"")</f>
        <v/>
      </c>
      <c r="R126" s="280" t="n"/>
      <c r="S126" s="280" t="n"/>
      <c r="T126" s="280" t="n"/>
      <c r="U126" s="280" t="n"/>
      <c r="V126" s="280" t="n"/>
      <c r="W126" s="280" t="n"/>
      <c r="X126" s="280" t="n"/>
      <c r="Y126" s="280" t="n"/>
      <c r="Z126" s="350" t="n"/>
      <c r="AA126" s="198" t="n"/>
      <c r="AB126" s="198" t="n"/>
      <c r="AC126" s="198" t="n"/>
    </row>
    <row r="127" ht="15" customHeight="1" s="195">
      <c r="A127" s="280" t="n"/>
      <c r="B127" s="280" t="n"/>
      <c r="C127" s="280" t="n"/>
      <c r="D127" s="280" t="n"/>
      <c r="E127" s="280" t="n"/>
      <c r="F127" s="280" t="n"/>
      <c r="G127" s="280" t="n"/>
      <c r="H127" s="280" t="n"/>
      <c r="I127" s="332">
        <f>IFERROR(VLOOKUP(TEXT(H127,"0"),IPRESS!$A$3:$B$212,2,0),"")</f>
        <v/>
      </c>
      <c r="J127" s="280" t="n"/>
      <c r="K127" s="343" t="n"/>
      <c r="L127" s="280" t="n"/>
      <c r="M127" s="280" t="n"/>
      <c r="N127" s="345" t="n"/>
      <c r="O127" s="280" t="n"/>
      <c r="P127" s="332">
        <f>IFERROR(VLOOKUP(TEXT(O127,"0"),CONDUCTORES!$A$3:$G$54,2,0),"")</f>
        <v/>
      </c>
      <c r="Q127" s="332">
        <f>IFERROR(VLOOKUP(TEXT(O127,"0"),CONDUCTORES!$A$3:$H$54,6,0),"")</f>
        <v/>
      </c>
      <c r="R127" s="280" t="n"/>
      <c r="S127" s="280" t="n"/>
      <c r="T127" s="280" t="n"/>
      <c r="U127" s="280" t="n"/>
      <c r="V127" s="280" t="n"/>
      <c r="W127" s="280" t="n"/>
      <c r="X127" s="280" t="n"/>
      <c r="Y127" s="280" t="n"/>
      <c r="Z127" s="350" t="n"/>
      <c r="AA127" s="198" t="n"/>
      <c r="AB127" s="198" t="n"/>
      <c r="AC127" s="198" t="n"/>
    </row>
    <row r="128" ht="15" customHeight="1" s="195">
      <c r="A128" s="280" t="n"/>
      <c r="B128" s="280" t="n"/>
      <c r="C128" s="280" t="n"/>
      <c r="D128" s="280" t="n"/>
      <c r="E128" s="280" t="n"/>
      <c r="F128" s="280" t="n"/>
      <c r="G128" s="280" t="n"/>
      <c r="H128" s="280" t="n"/>
      <c r="I128" s="332">
        <f>IFERROR(VLOOKUP(TEXT(H128,"0"),IPRESS!$A$3:$B$212,2,0),"")</f>
        <v/>
      </c>
      <c r="J128" s="280" t="n"/>
      <c r="K128" s="343" t="n"/>
      <c r="L128" s="280" t="n"/>
      <c r="M128" s="280" t="n"/>
      <c r="N128" s="345" t="n"/>
      <c r="O128" s="280" t="n"/>
      <c r="P128" s="332">
        <f>IFERROR(VLOOKUP(TEXT(O128,"0"),CONDUCTORES!$A$3:$G$54,2,0),"")</f>
        <v/>
      </c>
      <c r="Q128" s="332">
        <f>IFERROR(VLOOKUP(TEXT(O128,"0"),CONDUCTORES!$A$3:$H$54,6,0),"")</f>
        <v/>
      </c>
      <c r="R128" s="280" t="n"/>
      <c r="S128" s="280" t="n"/>
      <c r="T128" s="280" t="n"/>
      <c r="U128" s="280" t="n"/>
      <c r="V128" s="280" t="n"/>
      <c r="W128" s="280" t="n"/>
      <c r="X128" s="280" t="n"/>
      <c r="Y128" s="280" t="n"/>
      <c r="Z128" s="350" t="n"/>
      <c r="AA128" s="198" t="n"/>
      <c r="AB128" s="198" t="n"/>
      <c r="AC128" s="198" t="n"/>
    </row>
    <row r="129" ht="15" customHeight="1" s="195">
      <c r="A129" s="280" t="n"/>
      <c r="B129" s="280" t="n"/>
      <c r="C129" s="280" t="n"/>
      <c r="D129" s="280" t="n"/>
      <c r="E129" s="280" t="n"/>
      <c r="F129" s="280" t="n"/>
      <c r="G129" s="280" t="n"/>
      <c r="H129" s="280" t="n"/>
      <c r="I129" s="332">
        <f>IFERROR(VLOOKUP(TEXT(H129,"0"),IPRESS!$A$3:$B$212,2,0),"")</f>
        <v/>
      </c>
      <c r="J129" s="280" t="n"/>
      <c r="K129" s="343" t="n"/>
      <c r="L129" s="280" t="n"/>
      <c r="M129" s="280" t="n"/>
      <c r="N129" s="345" t="n"/>
      <c r="O129" s="280" t="n"/>
      <c r="P129" s="332">
        <f>IFERROR(VLOOKUP(TEXT(O129,"0"),CONDUCTORES!$A$3:$G$54,2,0),"")</f>
        <v/>
      </c>
      <c r="Q129" s="332">
        <f>IFERROR(VLOOKUP(TEXT(O129,"0"),CONDUCTORES!$A$3:$H$54,6,0),"")</f>
        <v/>
      </c>
      <c r="R129" s="280" t="n"/>
      <c r="S129" s="280" t="n"/>
      <c r="T129" s="280" t="n"/>
      <c r="U129" s="280" t="n"/>
      <c r="V129" s="280" t="n"/>
      <c r="W129" s="280" t="n"/>
      <c r="X129" s="280" t="n"/>
      <c r="Y129" s="280" t="n"/>
      <c r="Z129" s="350" t="n"/>
      <c r="AA129" s="198" t="n"/>
      <c r="AB129" s="198" t="n"/>
      <c r="AC129" s="198" t="n"/>
    </row>
    <row r="130" ht="15" customHeight="1" s="195">
      <c r="A130" s="280" t="n"/>
      <c r="B130" s="280" t="n"/>
      <c r="C130" s="280" t="n"/>
      <c r="D130" s="280" t="n"/>
      <c r="E130" s="280" t="n"/>
      <c r="F130" s="280" t="n"/>
      <c r="G130" s="280" t="n"/>
      <c r="H130" s="280" t="n"/>
      <c r="I130" s="332">
        <f>IFERROR(VLOOKUP(TEXT(H130,"0"),IPRESS!$A$3:$B$212,2,0),"")</f>
        <v/>
      </c>
      <c r="J130" s="280" t="n"/>
      <c r="K130" s="343" t="n"/>
      <c r="L130" s="280" t="n"/>
      <c r="M130" s="280" t="n"/>
      <c r="N130" s="345" t="n"/>
      <c r="O130" s="280" t="n"/>
      <c r="P130" s="332">
        <f>IFERROR(VLOOKUP(TEXT(O130,"0"),CONDUCTORES!$A$3:$G$54,2,0),"")</f>
        <v/>
      </c>
      <c r="Q130" s="332">
        <f>IFERROR(VLOOKUP(TEXT(O130,"0"),CONDUCTORES!$A$3:$H$54,6,0),"")</f>
        <v/>
      </c>
      <c r="R130" s="280" t="n"/>
      <c r="S130" s="280" t="n"/>
      <c r="T130" s="280" t="n"/>
      <c r="U130" s="280" t="n"/>
      <c r="V130" s="280" t="n"/>
      <c r="W130" s="280" t="n"/>
      <c r="X130" s="280" t="n"/>
      <c r="Y130" s="280" t="n"/>
      <c r="Z130" s="350" t="n"/>
      <c r="AA130" s="198" t="n"/>
      <c r="AB130" s="198" t="n"/>
      <c r="AC130" s="198" t="n"/>
    </row>
    <row r="131" ht="15" customHeight="1" s="195">
      <c r="A131" s="280" t="n"/>
      <c r="B131" s="280" t="n"/>
      <c r="C131" s="280" t="n"/>
      <c r="D131" s="280" t="n"/>
      <c r="E131" s="280" t="n"/>
      <c r="F131" s="280" t="n"/>
      <c r="G131" s="280" t="n"/>
      <c r="H131" s="280" t="n"/>
      <c r="I131" s="332">
        <f>IFERROR(VLOOKUP(TEXT(H131,"0"),IPRESS!$A$3:$B$212,2,0),"")</f>
        <v/>
      </c>
      <c r="J131" s="280" t="n"/>
      <c r="K131" s="343" t="n"/>
      <c r="L131" s="280" t="n"/>
      <c r="M131" s="280" t="n"/>
      <c r="N131" s="345" t="n"/>
      <c r="O131" s="280" t="n"/>
      <c r="P131" s="332">
        <f>IFERROR(VLOOKUP(TEXT(O131,"0"),CONDUCTORES!$A$3:$G$54,2,0),"")</f>
        <v/>
      </c>
      <c r="Q131" s="332">
        <f>IFERROR(VLOOKUP(TEXT(O131,"0"),CONDUCTORES!$A$3:$H$54,6,0),"")</f>
        <v/>
      </c>
      <c r="R131" s="280" t="n"/>
      <c r="S131" s="280" t="n"/>
      <c r="T131" s="280" t="n"/>
      <c r="U131" s="280" t="n"/>
      <c r="V131" s="280" t="n"/>
      <c r="W131" s="280" t="n"/>
      <c r="X131" s="280" t="n"/>
      <c r="Y131" s="280" t="n"/>
      <c r="Z131" s="350" t="n"/>
      <c r="AA131" s="198" t="n"/>
      <c r="AB131" s="198" t="n"/>
      <c r="AC131" s="198" t="n"/>
    </row>
    <row r="132" ht="15" customHeight="1" s="195">
      <c r="A132" s="280" t="n"/>
      <c r="B132" s="280" t="n"/>
      <c r="C132" s="280" t="n"/>
      <c r="D132" s="280" t="n"/>
      <c r="E132" s="280" t="n"/>
      <c r="F132" s="280" t="n"/>
      <c r="G132" s="280" t="n"/>
      <c r="H132" s="280" t="n"/>
      <c r="I132" s="332">
        <f>IFERROR(VLOOKUP(TEXT(H132,"0"),IPRESS!$A$3:$B$212,2,0),"")</f>
        <v/>
      </c>
      <c r="J132" s="280" t="n"/>
      <c r="K132" s="343" t="n"/>
      <c r="L132" s="280" t="n"/>
      <c r="M132" s="280" t="n"/>
      <c r="N132" s="345" t="n"/>
      <c r="O132" s="280" t="n"/>
      <c r="P132" s="332">
        <f>IFERROR(VLOOKUP(TEXT(O132,"0"),CONDUCTORES!$A$3:$G$54,2,0),"")</f>
        <v/>
      </c>
      <c r="Q132" s="332">
        <f>IFERROR(VLOOKUP(TEXT(O132,"0"),CONDUCTORES!$A$3:$H$54,6,0),"")</f>
        <v/>
      </c>
      <c r="R132" s="280" t="n"/>
      <c r="S132" s="280" t="n"/>
      <c r="T132" s="280" t="n"/>
      <c r="U132" s="280" t="n"/>
      <c r="V132" s="280" t="n"/>
      <c r="W132" s="280" t="n"/>
      <c r="X132" s="280" t="n"/>
      <c r="Y132" s="280" t="n"/>
      <c r="Z132" s="350" t="n"/>
      <c r="AA132" s="198" t="n"/>
      <c r="AB132" s="198" t="n"/>
      <c r="AC132" s="198" t="n"/>
    </row>
    <row r="133" ht="15" customHeight="1" s="195">
      <c r="A133" s="280" t="n"/>
      <c r="B133" s="280" t="n"/>
      <c r="C133" s="280" t="n"/>
      <c r="D133" s="280" t="n"/>
      <c r="E133" s="280" t="n"/>
      <c r="F133" s="280" t="n"/>
      <c r="G133" s="280" t="n"/>
      <c r="H133" s="280" t="n"/>
      <c r="I133" s="332">
        <f>IFERROR(VLOOKUP(TEXT(H133,"0"),IPRESS!$A$3:$B$212,2,0),"")</f>
        <v/>
      </c>
      <c r="J133" s="280" t="n"/>
      <c r="K133" s="343" t="n"/>
      <c r="L133" s="280" t="n"/>
      <c r="M133" s="280" t="n"/>
      <c r="N133" s="345" t="n"/>
      <c r="O133" s="280" t="n"/>
      <c r="P133" s="332">
        <f>IFERROR(VLOOKUP(TEXT(O133,"0"),CONDUCTORES!$A$3:$G$54,2,0),"")</f>
        <v/>
      </c>
      <c r="Q133" s="332">
        <f>IFERROR(VLOOKUP(TEXT(O133,"0"),CONDUCTORES!$A$3:$H$54,6,0),"")</f>
        <v/>
      </c>
      <c r="R133" s="280" t="n"/>
      <c r="S133" s="280" t="n"/>
      <c r="T133" s="280" t="n"/>
      <c r="U133" s="280" t="n"/>
      <c r="V133" s="280" t="n"/>
      <c r="W133" s="280" t="n"/>
      <c r="X133" s="280" t="n"/>
      <c r="Y133" s="280" t="n"/>
      <c r="Z133" s="350" t="n"/>
      <c r="AA133" s="198" t="n"/>
      <c r="AB133" s="198" t="n"/>
      <c r="AC133" s="198" t="n"/>
    </row>
    <row r="134" ht="15" customHeight="1" s="195">
      <c r="A134" s="280" t="n"/>
      <c r="B134" s="280" t="n"/>
      <c r="C134" s="280" t="n"/>
      <c r="D134" s="280" t="n"/>
      <c r="E134" s="280" t="n"/>
      <c r="F134" s="280" t="n"/>
      <c r="G134" s="280" t="n"/>
      <c r="H134" s="280" t="n"/>
      <c r="I134" s="332">
        <f>IFERROR(VLOOKUP(TEXT(H134,"0"),IPRESS!$A$3:$B$212,2,0),"")</f>
        <v/>
      </c>
      <c r="J134" s="280" t="n"/>
      <c r="K134" s="343" t="n"/>
      <c r="L134" s="280" t="n"/>
      <c r="M134" s="280" t="n"/>
      <c r="N134" s="345" t="n"/>
      <c r="O134" s="280" t="n"/>
      <c r="P134" s="332">
        <f>IFERROR(VLOOKUP(TEXT(O134,"0"),CONDUCTORES!$A$3:$G$54,2,0),"")</f>
        <v/>
      </c>
      <c r="Q134" s="332">
        <f>IFERROR(VLOOKUP(TEXT(O134,"0"),CONDUCTORES!$A$3:$H$54,6,0),"")</f>
        <v/>
      </c>
      <c r="R134" s="280" t="n"/>
      <c r="S134" s="280" t="n"/>
      <c r="T134" s="280" t="n"/>
      <c r="U134" s="280" t="n"/>
      <c r="V134" s="280" t="n"/>
      <c r="W134" s="280" t="n"/>
      <c r="X134" s="280" t="n"/>
      <c r="Y134" s="280" t="n"/>
      <c r="Z134" s="350" t="n"/>
      <c r="AA134" s="198" t="n"/>
      <c r="AB134" s="198" t="n"/>
      <c r="AC134" s="198" t="n"/>
    </row>
    <row r="135" ht="15" customHeight="1" s="195">
      <c r="A135" s="280" t="n"/>
      <c r="B135" s="280" t="n"/>
      <c r="C135" s="280" t="n"/>
      <c r="D135" s="280" t="n"/>
      <c r="E135" s="280" t="n"/>
      <c r="F135" s="280" t="n"/>
      <c r="G135" s="280" t="n"/>
      <c r="H135" s="280" t="n"/>
      <c r="I135" s="332">
        <f>IFERROR(VLOOKUP(TEXT(H135,"0"),IPRESS!$A$3:$B$212,2,0),"")</f>
        <v/>
      </c>
      <c r="J135" s="280" t="n"/>
      <c r="K135" s="343" t="n"/>
      <c r="L135" s="280" t="n"/>
      <c r="M135" s="280" t="n"/>
      <c r="N135" s="345" t="n"/>
      <c r="O135" s="280" t="n"/>
      <c r="P135" s="332">
        <f>IFERROR(VLOOKUP(TEXT(O135,"0"),CONDUCTORES!$A$3:$G$54,2,0),"")</f>
        <v/>
      </c>
      <c r="Q135" s="332">
        <f>IFERROR(VLOOKUP(TEXT(O135,"0"),CONDUCTORES!$A$3:$H$54,6,0),"")</f>
        <v/>
      </c>
      <c r="R135" s="280" t="n"/>
      <c r="S135" s="280" t="n"/>
      <c r="T135" s="280" t="n"/>
      <c r="U135" s="280" t="n"/>
      <c r="V135" s="280" t="n"/>
      <c r="W135" s="280" t="n"/>
      <c r="X135" s="280" t="n"/>
      <c r="Y135" s="280" t="n"/>
      <c r="Z135" s="350" t="n"/>
      <c r="AA135" s="198" t="n"/>
      <c r="AB135" s="198" t="n"/>
      <c r="AC135" s="198" t="n"/>
    </row>
    <row r="136" ht="15" customHeight="1" s="195">
      <c r="A136" s="280" t="n"/>
      <c r="B136" s="280" t="n"/>
      <c r="C136" s="280" t="n"/>
      <c r="D136" s="280" t="n"/>
      <c r="E136" s="280" t="n"/>
      <c r="F136" s="280" t="n"/>
      <c r="G136" s="280" t="n"/>
      <c r="H136" s="280" t="n"/>
      <c r="I136" s="332">
        <f>IFERROR(VLOOKUP(TEXT(H136,"0"),IPRESS!$A$3:$B$212,2,0),"")</f>
        <v/>
      </c>
      <c r="J136" s="280" t="n"/>
      <c r="K136" s="343" t="n"/>
      <c r="L136" s="280" t="n"/>
      <c r="M136" s="280" t="n"/>
      <c r="N136" s="345" t="n"/>
      <c r="O136" s="280" t="n"/>
      <c r="P136" s="332">
        <f>IFERROR(VLOOKUP(TEXT(O136,"0"),CONDUCTORES!$A$3:$G$54,2,0),"")</f>
        <v/>
      </c>
      <c r="Q136" s="332">
        <f>IFERROR(VLOOKUP(TEXT(O136,"0"),CONDUCTORES!$A$3:$H$54,6,0),"")</f>
        <v/>
      </c>
      <c r="R136" s="280" t="n"/>
      <c r="S136" s="280" t="n"/>
      <c r="T136" s="280" t="n"/>
      <c r="U136" s="280" t="n"/>
      <c r="V136" s="280" t="n"/>
      <c r="W136" s="280" t="n"/>
      <c r="X136" s="280" t="n"/>
      <c r="Y136" s="280" t="n"/>
      <c r="Z136" s="350" t="n"/>
      <c r="AA136" s="198" t="n"/>
      <c r="AB136" s="198" t="n"/>
      <c r="AC136" s="198" t="n"/>
    </row>
    <row r="137" ht="15" customHeight="1" s="195">
      <c r="A137" s="280" t="n"/>
      <c r="B137" s="280" t="n"/>
      <c r="C137" s="280" t="n"/>
      <c r="D137" s="280" t="n"/>
      <c r="E137" s="280" t="n"/>
      <c r="F137" s="280" t="n"/>
      <c r="G137" s="280" t="n"/>
      <c r="H137" s="280" t="n"/>
      <c r="I137" s="332">
        <f>IFERROR(VLOOKUP(TEXT(H137,"0"),IPRESS!$A$3:$B$212,2,0),"")</f>
        <v/>
      </c>
      <c r="J137" s="280" t="n"/>
      <c r="K137" s="343" t="n"/>
      <c r="L137" s="280" t="n"/>
      <c r="M137" s="280" t="n"/>
      <c r="N137" s="345" t="n"/>
      <c r="O137" s="280" t="n"/>
      <c r="P137" s="332">
        <f>IFERROR(VLOOKUP(TEXT(O137,"0"),CONDUCTORES!$A$3:$G$54,2,0),"")</f>
        <v/>
      </c>
      <c r="Q137" s="332">
        <f>IFERROR(VLOOKUP(TEXT(O137,"0"),CONDUCTORES!$A$3:$H$54,6,0),"")</f>
        <v/>
      </c>
      <c r="R137" s="280" t="n"/>
      <c r="S137" s="280" t="n"/>
      <c r="T137" s="280" t="n"/>
      <c r="U137" s="280" t="n"/>
      <c r="V137" s="280" t="n"/>
      <c r="W137" s="280" t="n"/>
      <c r="X137" s="280" t="n"/>
      <c r="Y137" s="280" t="n"/>
      <c r="Z137" s="350" t="n"/>
      <c r="AA137" s="198" t="n"/>
      <c r="AB137" s="198" t="n"/>
      <c r="AC137" s="198" t="n"/>
    </row>
    <row r="138" ht="15" customHeight="1" s="195">
      <c r="A138" s="280" t="n"/>
      <c r="B138" s="280" t="n"/>
      <c r="C138" s="280" t="n"/>
      <c r="D138" s="280" t="n"/>
      <c r="E138" s="280" t="n"/>
      <c r="F138" s="280" t="n"/>
      <c r="G138" s="280" t="n"/>
      <c r="H138" s="280" t="n"/>
      <c r="I138" s="332">
        <f>IFERROR(VLOOKUP(TEXT(H138,"0"),IPRESS!$A$3:$B$212,2,0),"")</f>
        <v/>
      </c>
      <c r="J138" s="280" t="n"/>
      <c r="K138" s="343" t="n"/>
      <c r="L138" s="280" t="n"/>
      <c r="M138" s="280" t="n"/>
      <c r="N138" s="345" t="n"/>
      <c r="O138" s="280" t="n"/>
      <c r="P138" s="332">
        <f>IFERROR(VLOOKUP(TEXT(O138,"0"),CONDUCTORES!$A$3:$G$54,2,0),"")</f>
        <v/>
      </c>
      <c r="Q138" s="332">
        <f>IFERROR(VLOOKUP(TEXT(O138,"0"),CONDUCTORES!$A$3:$H$54,6,0),"")</f>
        <v/>
      </c>
      <c r="R138" s="280" t="n"/>
      <c r="S138" s="280" t="n"/>
      <c r="T138" s="280" t="n"/>
      <c r="U138" s="280" t="n"/>
      <c r="V138" s="280" t="n"/>
      <c r="W138" s="280" t="n"/>
      <c r="X138" s="280" t="n"/>
      <c r="Y138" s="280" t="n"/>
      <c r="Z138" s="350" t="n"/>
      <c r="AA138" s="198" t="n"/>
      <c r="AB138" s="198" t="n"/>
      <c r="AC138" s="198" t="n"/>
    </row>
    <row r="139" ht="15" customHeight="1" s="195">
      <c r="A139" s="280" t="n"/>
      <c r="B139" s="280" t="n"/>
      <c r="C139" s="280" t="n"/>
      <c r="D139" s="280" t="n"/>
      <c r="E139" s="280" t="n"/>
      <c r="F139" s="280" t="n"/>
      <c r="G139" s="280" t="n"/>
      <c r="H139" s="280" t="n"/>
      <c r="I139" s="332">
        <f>IFERROR(VLOOKUP(TEXT(H139,"0"),IPRESS!$A$3:$B$212,2,0),"")</f>
        <v/>
      </c>
      <c r="J139" s="280" t="n"/>
      <c r="K139" s="343" t="n"/>
      <c r="L139" s="280" t="n"/>
      <c r="M139" s="280" t="n"/>
      <c r="N139" s="345" t="n"/>
      <c r="O139" s="280" t="n"/>
      <c r="P139" s="332">
        <f>IFERROR(VLOOKUP(TEXT(O139,"0"),CONDUCTORES!$A$3:$G$54,2,0),"")</f>
        <v/>
      </c>
      <c r="Q139" s="332">
        <f>IFERROR(VLOOKUP(TEXT(O139,"0"),CONDUCTORES!$A$3:$H$54,6,0),"")</f>
        <v/>
      </c>
      <c r="R139" s="280" t="n"/>
      <c r="S139" s="280" t="n"/>
      <c r="T139" s="280" t="n"/>
      <c r="U139" s="280" t="n"/>
      <c r="V139" s="280" t="n"/>
      <c r="W139" s="280" t="n"/>
      <c r="X139" s="280" t="n"/>
      <c r="Y139" s="280" t="n"/>
      <c r="Z139" s="350" t="n"/>
      <c r="AA139" s="198" t="n"/>
      <c r="AB139" s="198" t="n"/>
      <c r="AC139" s="198" t="n"/>
    </row>
    <row r="140" ht="15" customHeight="1" s="195">
      <c r="A140" s="280" t="n"/>
      <c r="B140" s="280" t="n"/>
      <c r="C140" s="280" t="n"/>
      <c r="D140" s="280" t="n"/>
      <c r="E140" s="280" t="n"/>
      <c r="F140" s="280" t="n"/>
      <c r="G140" s="280" t="n"/>
      <c r="H140" s="280" t="n"/>
      <c r="I140" s="332">
        <f>IFERROR(VLOOKUP(TEXT(H140,"0"),IPRESS!$A$3:$B$212,2,0),"")</f>
        <v/>
      </c>
      <c r="J140" s="280" t="n"/>
      <c r="K140" s="343" t="n"/>
      <c r="L140" s="280" t="n"/>
      <c r="M140" s="280" t="n"/>
      <c r="N140" s="345" t="n"/>
      <c r="O140" s="280" t="n"/>
      <c r="P140" s="332">
        <f>IFERROR(VLOOKUP(TEXT(O140,"0"),CONDUCTORES!$A$3:$G$54,2,0),"")</f>
        <v/>
      </c>
      <c r="Q140" s="332">
        <f>IFERROR(VLOOKUP(TEXT(O140,"0"),CONDUCTORES!$A$3:$H$54,6,0),"")</f>
        <v/>
      </c>
      <c r="R140" s="280" t="n"/>
      <c r="S140" s="280" t="n"/>
      <c r="T140" s="280" t="n"/>
      <c r="U140" s="280" t="n"/>
      <c r="V140" s="280" t="n"/>
      <c r="W140" s="280" t="n"/>
      <c r="X140" s="280" t="n"/>
      <c r="Y140" s="280" t="n"/>
      <c r="Z140" s="350" t="n"/>
      <c r="AA140" s="198" t="n"/>
      <c r="AB140" s="198" t="n"/>
      <c r="AC140" s="198" t="n"/>
    </row>
    <row r="141" ht="15" customHeight="1" s="195">
      <c r="A141" s="280" t="n"/>
      <c r="B141" s="280" t="n"/>
      <c r="C141" s="280" t="n"/>
      <c r="D141" s="280" t="n"/>
      <c r="E141" s="280" t="n"/>
      <c r="F141" s="280" t="n"/>
      <c r="G141" s="280" t="n"/>
      <c r="H141" s="280" t="n"/>
      <c r="I141" s="332">
        <f>IFERROR(VLOOKUP(TEXT(H141,"0"),IPRESS!$A$3:$B$212,2,0),"")</f>
        <v/>
      </c>
      <c r="J141" s="280" t="n"/>
      <c r="K141" s="343" t="n"/>
      <c r="L141" s="280" t="n"/>
      <c r="M141" s="280" t="n"/>
      <c r="N141" s="345" t="n"/>
      <c r="O141" s="280" t="n"/>
      <c r="P141" s="332">
        <f>IFERROR(VLOOKUP(TEXT(O141,"0"),CONDUCTORES!$A$3:$G$54,2,0),"")</f>
        <v/>
      </c>
      <c r="Q141" s="332">
        <f>IFERROR(VLOOKUP(TEXT(O141,"0"),CONDUCTORES!$A$3:$H$54,6,0),"")</f>
        <v/>
      </c>
      <c r="R141" s="280" t="n"/>
      <c r="S141" s="280" t="n"/>
      <c r="T141" s="280" t="n"/>
      <c r="U141" s="280" t="n"/>
      <c r="V141" s="280" t="n"/>
      <c r="W141" s="280" t="n"/>
      <c r="X141" s="280" t="n"/>
      <c r="Y141" s="280" t="n"/>
      <c r="Z141" s="350" t="n"/>
      <c r="AA141" s="198" t="n"/>
      <c r="AB141" s="198" t="n"/>
      <c r="AC141" s="198" t="n"/>
    </row>
    <row r="142" ht="15" customHeight="1" s="195">
      <c r="A142" s="280" t="n"/>
      <c r="B142" s="280" t="n"/>
      <c r="C142" s="280" t="n"/>
      <c r="D142" s="280" t="n"/>
      <c r="E142" s="280" t="n"/>
      <c r="F142" s="280" t="n"/>
      <c r="G142" s="280" t="n"/>
      <c r="H142" s="280" t="n"/>
      <c r="I142" s="332">
        <f>IFERROR(VLOOKUP(TEXT(H142,"0"),IPRESS!$A$3:$B$212,2,0),"")</f>
        <v/>
      </c>
      <c r="J142" s="280" t="n"/>
      <c r="K142" s="343" t="n"/>
      <c r="L142" s="280" t="n"/>
      <c r="M142" s="280" t="n"/>
      <c r="N142" s="345" t="n"/>
      <c r="O142" s="280" t="n"/>
      <c r="P142" s="332">
        <f>IFERROR(VLOOKUP(TEXT(O142,"0"),CONDUCTORES!$A$3:$G$54,2,0),"")</f>
        <v/>
      </c>
      <c r="Q142" s="332">
        <f>IFERROR(VLOOKUP(TEXT(O142,"0"),CONDUCTORES!$A$3:$H$54,6,0),"")</f>
        <v/>
      </c>
      <c r="R142" s="280" t="n"/>
      <c r="S142" s="280" t="n"/>
      <c r="T142" s="280" t="n"/>
      <c r="U142" s="280" t="n"/>
      <c r="V142" s="280" t="n"/>
      <c r="W142" s="280" t="n"/>
      <c r="X142" s="280" t="n"/>
      <c r="Y142" s="280" t="n"/>
      <c r="Z142" s="350" t="n"/>
      <c r="AA142" s="198" t="n"/>
      <c r="AB142" s="198" t="n"/>
      <c r="AC142" s="198" t="n"/>
    </row>
    <row r="143" ht="15" customHeight="1" s="195">
      <c r="A143" s="280" t="n"/>
      <c r="B143" s="280" t="n"/>
      <c r="C143" s="280" t="n"/>
      <c r="D143" s="280" t="n"/>
      <c r="E143" s="280" t="n"/>
      <c r="F143" s="280" t="n"/>
      <c r="G143" s="280" t="n"/>
      <c r="H143" s="280" t="n"/>
      <c r="I143" s="332">
        <f>IFERROR(VLOOKUP(TEXT(H143,"0"),IPRESS!$A$3:$B$212,2,0),"")</f>
        <v/>
      </c>
      <c r="J143" s="280" t="n"/>
      <c r="K143" s="343" t="n"/>
      <c r="L143" s="280" t="n"/>
      <c r="M143" s="280" t="n"/>
      <c r="N143" s="345" t="n"/>
      <c r="O143" s="280" t="n"/>
      <c r="P143" s="332">
        <f>IFERROR(VLOOKUP(TEXT(O143,"0"),CONDUCTORES!$A$3:$G$54,2,0),"")</f>
        <v/>
      </c>
      <c r="Q143" s="332">
        <f>IFERROR(VLOOKUP(TEXT(O143,"0"),CONDUCTORES!$A$3:$H$54,6,0),"")</f>
        <v/>
      </c>
      <c r="R143" s="280" t="n"/>
      <c r="S143" s="280" t="n"/>
      <c r="T143" s="280" t="n"/>
      <c r="U143" s="280" t="n"/>
      <c r="V143" s="280" t="n"/>
      <c r="W143" s="280" t="n"/>
      <c r="X143" s="280" t="n"/>
      <c r="Y143" s="280" t="n"/>
      <c r="Z143" s="350" t="n"/>
      <c r="AA143" s="198" t="n"/>
      <c r="AB143" s="198" t="n"/>
      <c r="AC143" s="198" t="n"/>
    </row>
    <row r="144" ht="15" customHeight="1" s="195">
      <c r="A144" s="280" t="n"/>
      <c r="B144" s="280" t="n"/>
      <c r="C144" s="280" t="n"/>
      <c r="D144" s="280" t="n"/>
      <c r="E144" s="280" t="n"/>
      <c r="F144" s="280" t="n"/>
      <c r="G144" s="280" t="n"/>
      <c r="H144" s="280" t="n"/>
      <c r="I144" s="332">
        <f>IFERROR(VLOOKUP(TEXT(H144,"0"),IPRESS!$A$3:$B$212,2,0),"")</f>
        <v/>
      </c>
      <c r="J144" s="280" t="n"/>
      <c r="K144" s="343" t="n"/>
      <c r="L144" s="280" t="n"/>
      <c r="M144" s="280" t="n"/>
      <c r="N144" s="345" t="n"/>
      <c r="O144" s="280" t="n"/>
      <c r="P144" s="332">
        <f>IFERROR(VLOOKUP(TEXT(O144,"0"),CONDUCTORES!$A$3:$G$54,2,0),"")</f>
        <v/>
      </c>
      <c r="Q144" s="332">
        <f>IFERROR(VLOOKUP(TEXT(O144,"0"),CONDUCTORES!$A$3:$H$54,6,0),"")</f>
        <v/>
      </c>
      <c r="R144" s="280" t="n"/>
      <c r="S144" s="280" t="n"/>
      <c r="T144" s="280" t="n"/>
      <c r="U144" s="280" t="n"/>
      <c r="V144" s="280" t="n"/>
      <c r="W144" s="280" t="n"/>
      <c r="X144" s="280" t="n"/>
      <c r="Y144" s="280" t="n"/>
      <c r="Z144" s="350" t="n"/>
      <c r="AA144" s="198" t="n"/>
      <c r="AB144" s="198" t="n"/>
      <c r="AC144" s="198" t="n"/>
    </row>
    <row r="145" ht="15" customHeight="1" s="195">
      <c r="A145" s="280" t="n"/>
      <c r="B145" s="280" t="n"/>
      <c r="C145" s="280" t="n"/>
      <c r="D145" s="280" t="n"/>
      <c r="E145" s="280" t="n"/>
      <c r="F145" s="280" t="n"/>
      <c r="G145" s="280" t="n"/>
      <c r="H145" s="280" t="n"/>
      <c r="I145" s="332">
        <f>IFERROR(VLOOKUP(TEXT(H145,"0"),IPRESS!$A$3:$B$212,2,0),"")</f>
        <v/>
      </c>
      <c r="J145" s="280" t="n"/>
      <c r="K145" s="343" t="n"/>
      <c r="L145" s="280" t="n"/>
      <c r="M145" s="280" t="n"/>
      <c r="N145" s="345" t="n"/>
      <c r="O145" s="280" t="n"/>
      <c r="P145" s="332">
        <f>IFERROR(VLOOKUP(TEXT(O145,"0"),CONDUCTORES!$A$3:$G$54,2,0),"")</f>
        <v/>
      </c>
      <c r="Q145" s="332">
        <f>IFERROR(VLOOKUP(TEXT(O145,"0"),CONDUCTORES!$A$3:$H$54,6,0),"")</f>
        <v/>
      </c>
      <c r="R145" s="280" t="n"/>
      <c r="S145" s="280" t="n"/>
      <c r="T145" s="280" t="n"/>
      <c r="U145" s="280" t="n"/>
      <c r="V145" s="280" t="n"/>
      <c r="W145" s="280" t="n"/>
      <c r="X145" s="280" t="n"/>
      <c r="Y145" s="280" t="n"/>
      <c r="Z145" s="350" t="n"/>
      <c r="AA145" s="198" t="n"/>
      <c r="AB145" s="198" t="n"/>
      <c r="AC145" s="198" t="n"/>
    </row>
    <row r="146" ht="15" customHeight="1" s="195">
      <c r="A146" s="280" t="n"/>
      <c r="B146" s="280" t="n"/>
      <c r="C146" s="280" t="n"/>
      <c r="D146" s="280" t="n"/>
      <c r="E146" s="280" t="n"/>
      <c r="F146" s="280" t="n"/>
      <c r="G146" s="280" t="n"/>
      <c r="H146" s="280" t="n"/>
      <c r="I146" s="332">
        <f>IFERROR(VLOOKUP(TEXT(H146,"0"),IPRESS!$A$3:$B$212,2,0),"")</f>
        <v/>
      </c>
      <c r="J146" s="280" t="n"/>
      <c r="K146" s="343" t="n"/>
      <c r="L146" s="280" t="n"/>
      <c r="M146" s="280" t="n"/>
      <c r="N146" s="345" t="n"/>
      <c r="O146" s="280" t="n"/>
      <c r="P146" s="332">
        <f>IFERROR(VLOOKUP(TEXT(O146,"0"),CONDUCTORES!$A$3:$G$54,2,0),"")</f>
        <v/>
      </c>
      <c r="Q146" s="332">
        <f>IFERROR(VLOOKUP(TEXT(O146,"0"),CONDUCTORES!$A$3:$H$54,6,0),"")</f>
        <v/>
      </c>
      <c r="R146" s="280" t="n"/>
      <c r="S146" s="280" t="n"/>
      <c r="T146" s="280" t="n"/>
      <c r="U146" s="280" t="n"/>
      <c r="V146" s="280" t="n"/>
      <c r="W146" s="280" t="n"/>
      <c r="X146" s="280" t="n"/>
      <c r="Y146" s="280" t="n"/>
      <c r="Z146" s="350" t="n"/>
      <c r="AA146" s="198" t="n"/>
      <c r="AB146" s="198" t="n"/>
      <c r="AC146" s="198" t="n"/>
    </row>
    <row r="147" ht="15" customHeight="1" s="195">
      <c r="A147" s="280" t="n"/>
      <c r="B147" s="280" t="n"/>
      <c r="C147" s="280" t="n"/>
      <c r="D147" s="280" t="n"/>
      <c r="E147" s="280" t="n"/>
      <c r="F147" s="280" t="n"/>
      <c r="G147" s="280" t="n"/>
      <c r="H147" s="280" t="n"/>
      <c r="I147" s="332">
        <f>IFERROR(VLOOKUP(TEXT(H147,"0"),IPRESS!$A$3:$B$212,2,0),"")</f>
        <v/>
      </c>
      <c r="J147" s="280" t="n"/>
      <c r="K147" s="343" t="n"/>
      <c r="L147" s="280" t="n"/>
      <c r="M147" s="280" t="n"/>
      <c r="N147" s="345" t="n"/>
      <c r="O147" s="280" t="n"/>
      <c r="P147" s="332">
        <f>IFERROR(VLOOKUP(TEXT(O147,"0"),CONDUCTORES!$A$3:$G$54,2,0),"")</f>
        <v/>
      </c>
      <c r="Q147" s="332">
        <f>IFERROR(VLOOKUP(TEXT(O147,"0"),CONDUCTORES!$A$3:$H$54,6,0),"")</f>
        <v/>
      </c>
      <c r="R147" s="280" t="n"/>
      <c r="S147" s="280" t="n"/>
      <c r="T147" s="280" t="n"/>
      <c r="U147" s="280" t="n"/>
      <c r="V147" s="280" t="n"/>
      <c r="W147" s="280" t="n"/>
      <c r="X147" s="280" t="n"/>
      <c r="Y147" s="280" t="n"/>
      <c r="Z147" s="350" t="n"/>
      <c r="AA147" s="198" t="n"/>
      <c r="AB147" s="198" t="n"/>
      <c r="AC147" s="198" t="n"/>
    </row>
    <row r="148" ht="15" customHeight="1" s="195">
      <c r="A148" s="280" t="n"/>
      <c r="B148" s="280" t="n"/>
      <c r="C148" s="280" t="n"/>
      <c r="D148" s="280" t="n"/>
      <c r="E148" s="280" t="n"/>
      <c r="F148" s="280" t="n"/>
      <c r="G148" s="280" t="n"/>
      <c r="H148" s="280" t="n"/>
      <c r="I148" s="332">
        <f>IFERROR(VLOOKUP(TEXT(H148,"0"),IPRESS!$A$3:$B$212,2,0),"")</f>
        <v/>
      </c>
      <c r="J148" s="280" t="n"/>
      <c r="K148" s="343" t="n"/>
      <c r="L148" s="280" t="n"/>
      <c r="M148" s="280" t="n"/>
      <c r="N148" s="345" t="n"/>
      <c r="O148" s="280" t="n"/>
      <c r="P148" s="332">
        <f>IFERROR(VLOOKUP(TEXT(O148,"0"),CONDUCTORES!$A$3:$G$54,2,0),"")</f>
        <v/>
      </c>
      <c r="Q148" s="332">
        <f>IFERROR(VLOOKUP(TEXT(O148,"0"),CONDUCTORES!$A$3:$H$54,6,0),"")</f>
        <v/>
      </c>
      <c r="R148" s="280" t="n"/>
      <c r="S148" s="280" t="n"/>
      <c r="T148" s="280" t="n"/>
      <c r="U148" s="280" t="n"/>
      <c r="V148" s="280" t="n"/>
      <c r="W148" s="280" t="n"/>
      <c r="X148" s="280" t="n"/>
      <c r="Y148" s="280" t="n"/>
      <c r="Z148" s="350" t="n"/>
      <c r="AA148" s="198" t="n"/>
      <c r="AB148" s="198" t="n"/>
      <c r="AC148" s="198" t="n"/>
    </row>
    <row r="149" ht="15" customHeight="1" s="195">
      <c r="A149" s="280" t="n"/>
      <c r="B149" s="280" t="n"/>
      <c r="C149" s="280" t="n"/>
      <c r="D149" s="280" t="n"/>
      <c r="E149" s="280" t="n"/>
      <c r="F149" s="280" t="n"/>
      <c r="G149" s="280" t="n"/>
      <c r="H149" s="280" t="n"/>
      <c r="I149" s="332">
        <f>IFERROR(VLOOKUP(TEXT(H149,"0"),IPRESS!$A$3:$B$212,2,0),"")</f>
        <v/>
      </c>
      <c r="J149" s="280" t="n"/>
      <c r="K149" s="343" t="n"/>
      <c r="L149" s="280" t="n"/>
      <c r="M149" s="280" t="n"/>
      <c r="N149" s="345" t="n"/>
      <c r="O149" s="280" t="n"/>
      <c r="P149" s="332">
        <f>IFERROR(VLOOKUP(TEXT(O149,"0"),CONDUCTORES!$A$3:$G$54,2,0),"")</f>
        <v/>
      </c>
      <c r="Q149" s="332">
        <f>IFERROR(VLOOKUP(TEXT(O149,"0"),CONDUCTORES!$A$3:$H$54,6,0),"")</f>
        <v/>
      </c>
      <c r="R149" s="280" t="n"/>
      <c r="S149" s="280" t="n"/>
      <c r="T149" s="280" t="n"/>
      <c r="U149" s="280" t="n"/>
      <c r="V149" s="280" t="n"/>
      <c r="W149" s="280" t="n"/>
      <c r="X149" s="280" t="n"/>
      <c r="Y149" s="280" t="n"/>
      <c r="Z149" s="350" t="n"/>
      <c r="AA149" s="198" t="n"/>
      <c r="AB149" s="198" t="n"/>
      <c r="AC149" s="198" t="n"/>
    </row>
    <row r="150" ht="15" customHeight="1" s="195">
      <c r="A150" s="280" t="n"/>
      <c r="B150" s="280" t="n"/>
      <c r="C150" s="280" t="n"/>
      <c r="D150" s="280" t="n"/>
      <c r="E150" s="280" t="n"/>
      <c r="F150" s="280" t="n"/>
      <c r="G150" s="280" t="n"/>
      <c r="H150" s="280" t="n"/>
      <c r="I150" s="332">
        <f>IFERROR(VLOOKUP(TEXT(H150,"0"),IPRESS!$A$3:$B$212,2,0),"")</f>
        <v/>
      </c>
      <c r="J150" s="280" t="n"/>
      <c r="K150" s="343" t="n"/>
      <c r="L150" s="280" t="n"/>
      <c r="M150" s="280" t="n"/>
      <c r="N150" s="345" t="n"/>
      <c r="O150" s="280" t="n"/>
      <c r="P150" s="332">
        <f>IFERROR(VLOOKUP(TEXT(O150,"0"),CONDUCTORES!$A$3:$G$54,2,0),"")</f>
        <v/>
      </c>
      <c r="Q150" s="332">
        <f>IFERROR(VLOOKUP(TEXT(O150,"0"),CONDUCTORES!$A$3:$H$54,6,0),"")</f>
        <v/>
      </c>
      <c r="R150" s="280" t="n"/>
      <c r="S150" s="280" t="n"/>
      <c r="T150" s="280" t="n"/>
      <c r="U150" s="280" t="n"/>
      <c r="V150" s="280" t="n"/>
      <c r="W150" s="280" t="n"/>
      <c r="X150" s="280" t="n"/>
      <c r="Y150" s="280" t="n"/>
      <c r="Z150" s="350" t="n"/>
      <c r="AA150" s="198" t="n"/>
      <c r="AB150" s="198" t="n"/>
      <c r="AC150" s="198" t="n"/>
    </row>
    <row r="151" ht="15" customHeight="1" s="195">
      <c r="A151" s="280" t="n"/>
      <c r="B151" s="280" t="n"/>
      <c r="C151" s="280" t="n"/>
      <c r="D151" s="280" t="n"/>
      <c r="E151" s="280" t="n"/>
      <c r="F151" s="280" t="n"/>
      <c r="G151" s="280" t="n"/>
      <c r="H151" s="280" t="n"/>
      <c r="I151" s="332">
        <f>IFERROR(VLOOKUP(TEXT(H151,"0"),IPRESS!$A$3:$B$212,2,0),"")</f>
        <v/>
      </c>
      <c r="J151" s="280" t="n"/>
      <c r="K151" s="343" t="n"/>
      <c r="L151" s="280" t="n"/>
      <c r="M151" s="280" t="n"/>
      <c r="N151" s="345" t="n"/>
      <c r="O151" s="280" t="n"/>
      <c r="P151" s="332">
        <f>IFERROR(VLOOKUP(TEXT(O151,"0"),CONDUCTORES!$A$3:$G$54,2,0),"")</f>
        <v/>
      </c>
      <c r="Q151" s="332">
        <f>IFERROR(VLOOKUP(TEXT(O151,"0"),CONDUCTORES!$A$3:$H$54,6,0),"")</f>
        <v/>
      </c>
      <c r="R151" s="280" t="n"/>
      <c r="S151" s="280" t="n"/>
      <c r="T151" s="280" t="n"/>
      <c r="U151" s="280" t="n"/>
      <c r="V151" s="280" t="n"/>
      <c r="W151" s="280" t="n"/>
      <c r="X151" s="280" t="n"/>
      <c r="Y151" s="280" t="n"/>
      <c r="Z151" s="350" t="n"/>
      <c r="AA151" s="198" t="n"/>
      <c r="AB151" s="198" t="n"/>
      <c r="AC151" s="198" t="n"/>
    </row>
    <row r="152" ht="15" customHeight="1" s="195">
      <c r="A152" s="280" t="n"/>
      <c r="B152" s="280" t="n"/>
      <c r="C152" s="280" t="n"/>
      <c r="D152" s="280" t="n"/>
      <c r="E152" s="280" t="n"/>
      <c r="F152" s="280" t="n"/>
      <c r="G152" s="280" t="n"/>
      <c r="H152" s="280" t="n"/>
      <c r="I152" s="332">
        <f>IFERROR(VLOOKUP(TEXT(H152,"0"),IPRESS!$A$3:$B$212,2,0),"")</f>
        <v/>
      </c>
      <c r="J152" s="280" t="n"/>
      <c r="K152" s="343" t="n"/>
      <c r="L152" s="280" t="n"/>
      <c r="M152" s="280" t="n"/>
      <c r="N152" s="345" t="n"/>
      <c r="O152" s="280" t="n"/>
      <c r="P152" s="332">
        <f>IFERROR(VLOOKUP(TEXT(O152,"0"),CONDUCTORES!$A$3:$G$54,2,0),"")</f>
        <v/>
      </c>
      <c r="Q152" s="332">
        <f>IFERROR(VLOOKUP(TEXT(O152,"0"),CONDUCTORES!$A$3:$H$54,6,0),"")</f>
        <v/>
      </c>
      <c r="R152" s="280" t="n"/>
      <c r="S152" s="280" t="n"/>
      <c r="T152" s="280" t="n"/>
      <c r="U152" s="280" t="n"/>
      <c r="V152" s="280" t="n"/>
      <c r="W152" s="280" t="n"/>
      <c r="X152" s="280" t="n"/>
      <c r="Y152" s="280" t="n"/>
      <c r="Z152" s="350" t="n"/>
      <c r="AA152" s="198" t="n"/>
      <c r="AB152" s="198" t="n"/>
      <c r="AC152" s="198" t="n"/>
    </row>
    <row r="153" ht="15" customHeight="1" s="195">
      <c r="A153" s="280" t="n"/>
      <c r="B153" s="280" t="n"/>
      <c r="C153" s="280" t="n"/>
      <c r="D153" s="280" t="n"/>
      <c r="E153" s="280" t="n"/>
      <c r="F153" s="280" t="n"/>
      <c r="G153" s="280" t="n"/>
      <c r="H153" s="280" t="n"/>
      <c r="I153" s="332">
        <f>IFERROR(VLOOKUP(TEXT(H153,"0"),IPRESS!$A$3:$B$212,2,0),"")</f>
        <v/>
      </c>
      <c r="J153" s="280" t="n"/>
      <c r="K153" s="343" t="n"/>
      <c r="L153" s="280" t="n"/>
      <c r="M153" s="280" t="n"/>
      <c r="N153" s="345" t="n"/>
      <c r="O153" s="280" t="n"/>
      <c r="P153" s="332">
        <f>IFERROR(VLOOKUP(TEXT(O153,"0"),CONDUCTORES!$A$3:$G$54,2,0),"")</f>
        <v/>
      </c>
      <c r="Q153" s="332">
        <f>IFERROR(VLOOKUP(TEXT(O153,"0"),CONDUCTORES!$A$3:$H$54,6,0),"")</f>
        <v/>
      </c>
      <c r="R153" s="280" t="n"/>
      <c r="S153" s="280" t="n"/>
      <c r="T153" s="280" t="n"/>
      <c r="U153" s="280" t="n"/>
      <c r="V153" s="280" t="n"/>
      <c r="W153" s="280" t="n"/>
      <c r="X153" s="280" t="n"/>
      <c r="Y153" s="280" t="n"/>
      <c r="Z153" s="350" t="n"/>
      <c r="AA153" s="198" t="n"/>
      <c r="AB153" s="198" t="n"/>
      <c r="AC153" s="198" t="n"/>
    </row>
    <row r="154" ht="15" customHeight="1" s="195">
      <c r="A154" s="280" t="n"/>
      <c r="B154" s="280" t="n"/>
      <c r="C154" s="280" t="n"/>
      <c r="D154" s="280" t="n"/>
      <c r="E154" s="280" t="n"/>
      <c r="F154" s="280" t="n"/>
      <c r="G154" s="280" t="n"/>
      <c r="H154" s="280" t="n"/>
      <c r="I154" s="332">
        <f>IFERROR(VLOOKUP(TEXT(H154,"0"),IPRESS!$A$3:$B$212,2,0),"")</f>
        <v/>
      </c>
      <c r="J154" s="280" t="n"/>
      <c r="K154" s="343" t="n"/>
      <c r="L154" s="280" t="n"/>
      <c r="M154" s="280" t="n"/>
      <c r="N154" s="345" t="n"/>
      <c r="O154" s="280" t="n"/>
      <c r="P154" s="332">
        <f>IFERROR(VLOOKUP(TEXT(O154,"0"),CONDUCTORES!$A$3:$G$54,2,0),"")</f>
        <v/>
      </c>
      <c r="Q154" s="332">
        <f>IFERROR(VLOOKUP(TEXT(O154,"0"),CONDUCTORES!$A$3:$H$54,6,0),"")</f>
        <v/>
      </c>
      <c r="R154" s="280" t="n"/>
      <c r="S154" s="280" t="n"/>
      <c r="T154" s="280" t="n"/>
      <c r="U154" s="280" t="n"/>
      <c r="V154" s="280" t="n"/>
      <c r="W154" s="280" t="n"/>
      <c r="X154" s="280" t="n"/>
      <c r="Y154" s="280" t="n"/>
      <c r="Z154" s="350" t="n"/>
      <c r="AA154" s="198" t="n"/>
      <c r="AB154" s="198" t="n"/>
      <c r="AC154" s="198" t="n"/>
    </row>
    <row r="155" ht="15" customHeight="1" s="195">
      <c r="A155" s="280" t="n"/>
      <c r="B155" s="280" t="n"/>
      <c r="C155" s="280" t="n"/>
      <c r="D155" s="280" t="n"/>
      <c r="E155" s="280" t="n"/>
      <c r="F155" s="280" t="n"/>
      <c r="G155" s="280" t="n"/>
      <c r="H155" s="280" t="n"/>
      <c r="I155" s="332">
        <f>IFERROR(VLOOKUP(TEXT(H155,"0"),IPRESS!$A$3:$B$212,2,0),"")</f>
        <v/>
      </c>
      <c r="J155" s="280" t="n"/>
      <c r="K155" s="343" t="n"/>
      <c r="L155" s="280" t="n"/>
      <c r="M155" s="280" t="n"/>
      <c r="N155" s="345" t="n"/>
      <c r="O155" s="280" t="n"/>
      <c r="P155" s="332">
        <f>IFERROR(VLOOKUP(TEXT(O155,"0"),CONDUCTORES!$A$3:$G$54,2,0),"")</f>
        <v/>
      </c>
      <c r="Q155" s="332">
        <f>IFERROR(VLOOKUP(TEXT(O155,"0"),CONDUCTORES!$A$3:$H$54,6,0),"")</f>
        <v/>
      </c>
      <c r="R155" s="280" t="n"/>
      <c r="S155" s="280" t="n"/>
      <c r="T155" s="280" t="n"/>
      <c r="U155" s="280" t="n"/>
      <c r="V155" s="280" t="n"/>
      <c r="W155" s="280" t="n"/>
      <c r="X155" s="280" t="n"/>
      <c r="Y155" s="280" t="n"/>
      <c r="Z155" s="350" t="n"/>
      <c r="AA155" s="198" t="n"/>
      <c r="AB155" s="198" t="n"/>
      <c r="AC155" s="198" t="n"/>
    </row>
    <row r="156" ht="15" customHeight="1" s="195">
      <c r="A156" s="280" t="n"/>
      <c r="B156" s="280" t="n"/>
      <c r="C156" s="280" t="n"/>
      <c r="D156" s="280" t="n"/>
      <c r="E156" s="280" t="n"/>
      <c r="F156" s="280" t="n"/>
      <c r="G156" s="280" t="n"/>
      <c r="H156" s="280" t="n"/>
      <c r="I156" s="332">
        <f>IFERROR(VLOOKUP(TEXT(H156,"0"),IPRESS!$A$3:$B$212,2,0),"")</f>
        <v/>
      </c>
      <c r="J156" s="280" t="n"/>
      <c r="K156" s="343" t="n"/>
      <c r="L156" s="280" t="n"/>
      <c r="M156" s="280" t="n"/>
      <c r="N156" s="345" t="n"/>
      <c r="O156" s="280" t="n"/>
      <c r="P156" s="332">
        <f>IFERROR(VLOOKUP(TEXT(O156,"0"),CONDUCTORES!$A$3:$G$54,2,0),"")</f>
        <v/>
      </c>
      <c r="Q156" s="332">
        <f>IFERROR(VLOOKUP(TEXT(O156,"0"),CONDUCTORES!$A$3:$H$54,6,0),"")</f>
        <v/>
      </c>
      <c r="R156" s="280" t="n"/>
      <c r="S156" s="280" t="n"/>
      <c r="T156" s="280" t="n"/>
      <c r="U156" s="280" t="n"/>
      <c r="V156" s="280" t="n"/>
      <c r="W156" s="280" t="n"/>
      <c r="X156" s="280" t="n"/>
      <c r="Y156" s="280" t="n"/>
      <c r="Z156" s="350" t="n"/>
      <c r="AA156" s="198" t="n"/>
      <c r="AB156" s="198" t="n"/>
      <c r="AC156" s="198" t="n"/>
    </row>
    <row r="157" ht="15" customHeight="1" s="195">
      <c r="A157" s="280" t="n"/>
      <c r="B157" s="280" t="n"/>
      <c r="C157" s="280" t="n"/>
      <c r="D157" s="280" t="n"/>
      <c r="E157" s="280" t="n"/>
      <c r="F157" s="280" t="n"/>
      <c r="G157" s="280" t="n"/>
      <c r="H157" s="280" t="n"/>
      <c r="I157" s="332">
        <f>IFERROR(VLOOKUP(TEXT(H157,"0"),IPRESS!$A$3:$B$212,2,0),"")</f>
        <v/>
      </c>
      <c r="J157" s="280" t="n"/>
      <c r="K157" s="343" t="n"/>
      <c r="L157" s="280" t="n"/>
      <c r="M157" s="280" t="n"/>
      <c r="N157" s="345" t="n"/>
      <c r="O157" s="280" t="n"/>
      <c r="P157" s="332">
        <f>IFERROR(VLOOKUP(TEXT(O157,"0"),CONDUCTORES!$A$3:$G$54,2,0),"")</f>
        <v/>
      </c>
      <c r="Q157" s="332">
        <f>IFERROR(VLOOKUP(TEXT(O157,"0"),CONDUCTORES!$A$3:$H$54,6,0),"")</f>
        <v/>
      </c>
      <c r="R157" s="280" t="n"/>
      <c r="S157" s="280" t="n"/>
      <c r="T157" s="280" t="n"/>
      <c r="U157" s="280" t="n"/>
      <c r="V157" s="280" t="n"/>
      <c r="W157" s="280" t="n"/>
      <c r="X157" s="280" t="n"/>
      <c r="Y157" s="280" t="n"/>
      <c r="Z157" s="350" t="n"/>
      <c r="AA157" s="198" t="n"/>
      <c r="AB157" s="198" t="n"/>
      <c r="AC157" s="198" t="n"/>
    </row>
    <row r="158" ht="15" customHeight="1" s="195">
      <c r="A158" s="280" t="n"/>
      <c r="B158" s="280" t="n"/>
      <c r="C158" s="280" t="n"/>
      <c r="D158" s="280" t="n"/>
      <c r="E158" s="280" t="n"/>
      <c r="F158" s="280" t="n"/>
      <c r="G158" s="280" t="n"/>
      <c r="H158" s="280" t="n"/>
      <c r="I158" s="332">
        <f>IFERROR(VLOOKUP(TEXT(H158,"0"),IPRESS!$A$3:$B$212,2,0),"")</f>
        <v/>
      </c>
      <c r="J158" s="280" t="n"/>
      <c r="K158" s="343" t="n"/>
      <c r="L158" s="280" t="n"/>
      <c r="M158" s="280" t="n"/>
      <c r="N158" s="345" t="n"/>
      <c r="O158" s="280" t="n"/>
      <c r="P158" s="332">
        <f>IFERROR(VLOOKUP(TEXT(O158,"0"),CONDUCTORES!$A$3:$G$54,2,0),"")</f>
        <v/>
      </c>
      <c r="Q158" s="332">
        <f>IFERROR(VLOOKUP(TEXT(O158,"0"),CONDUCTORES!$A$3:$H$54,6,0),"")</f>
        <v/>
      </c>
      <c r="R158" s="280" t="n"/>
      <c r="S158" s="280" t="n"/>
      <c r="T158" s="280" t="n"/>
      <c r="U158" s="280" t="n"/>
      <c r="V158" s="280" t="n"/>
      <c r="W158" s="280" t="n"/>
      <c r="X158" s="280" t="n"/>
      <c r="Y158" s="280" t="n"/>
      <c r="Z158" s="350" t="n"/>
      <c r="AA158" s="198" t="n"/>
      <c r="AB158" s="198" t="n"/>
      <c r="AC158" s="198" t="n"/>
    </row>
    <row r="159" ht="15" customHeight="1" s="195">
      <c r="A159" s="280" t="n"/>
      <c r="B159" s="280" t="n"/>
      <c r="C159" s="280" t="n"/>
      <c r="D159" s="280" t="n"/>
      <c r="E159" s="280" t="n"/>
      <c r="F159" s="280" t="n"/>
      <c r="G159" s="280" t="n"/>
      <c r="H159" s="280" t="n"/>
      <c r="I159" s="332">
        <f>IFERROR(VLOOKUP(TEXT(H159,"0"),IPRESS!$A$3:$B$212,2,0),"")</f>
        <v/>
      </c>
      <c r="J159" s="280" t="n"/>
      <c r="K159" s="343" t="n"/>
      <c r="L159" s="280" t="n"/>
      <c r="M159" s="280" t="n"/>
      <c r="N159" s="345" t="n"/>
      <c r="O159" s="280" t="n"/>
      <c r="P159" s="332">
        <f>IFERROR(VLOOKUP(TEXT(O159,"0"),CONDUCTORES!$A$3:$G$54,2,0),"")</f>
        <v/>
      </c>
      <c r="Q159" s="332">
        <f>IFERROR(VLOOKUP(TEXT(O159,"0"),CONDUCTORES!$A$3:$H$54,6,0),"")</f>
        <v/>
      </c>
      <c r="R159" s="280" t="n"/>
      <c r="S159" s="280" t="n"/>
      <c r="T159" s="280" t="n"/>
      <c r="U159" s="280" t="n"/>
      <c r="V159" s="280" t="n"/>
      <c r="W159" s="280" t="n"/>
      <c r="X159" s="280" t="n"/>
      <c r="Y159" s="280" t="n"/>
      <c r="Z159" s="350" t="n"/>
      <c r="AA159" s="198" t="n"/>
      <c r="AB159" s="198" t="n"/>
      <c r="AC159" s="198" t="n"/>
    </row>
    <row r="160" ht="15" customHeight="1" s="195">
      <c r="A160" s="280" t="n"/>
      <c r="B160" s="280" t="n"/>
      <c r="C160" s="280" t="n"/>
      <c r="D160" s="280" t="n"/>
      <c r="E160" s="280" t="n"/>
      <c r="F160" s="280" t="n"/>
      <c r="G160" s="280" t="n"/>
      <c r="H160" s="280" t="n"/>
      <c r="I160" s="332">
        <f>IFERROR(VLOOKUP(TEXT(H160,"0"),IPRESS!$A$3:$B$212,2,0),"")</f>
        <v/>
      </c>
      <c r="J160" s="280" t="n"/>
      <c r="K160" s="343" t="n"/>
      <c r="L160" s="280" t="n"/>
      <c r="M160" s="280" t="n"/>
      <c r="N160" s="345" t="n"/>
      <c r="O160" s="280" t="n"/>
      <c r="P160" s="332">
        <f>IFERROR(VLOOKUP(TEXT(O160,"0"),CONDUCTORES!$A$3:$G$54,2,0),"")</f>
        <v/>
      </c>
      <c r="Q160" s="332">
        <f>IFERROR(VLOOKUP(TEXT(O160,"0"),CONDUCTORES!$A$3:$H$54,6,0),"")</f>
        <v/>
      </c>
      <c r="R160" s="280" t="n"/>
      <c r="S160" s="280" t="n"/>
      <c r="T160" s="280" t="n"/>
      <c r="U160" s="280" t="n"/>
      <c r="V160" s="280" t="n"/>
      <c r="W160" s="280" t="n"/>
      <c r="X160" s="280" t="n"/>
      <c r="Y160" s="280" t="n"/>
      <c r="Z160" s="350" t="n"/>
      <c r="AA160" s="198" t="n"/>
      <c r="AB160" s="198" t="n"/>
      <c r="AC160" s="198" t="n"/>
    </row>
    <row r="161" ht="15" customHeight="1" s="195">
      <c r="A161" s="280" t="n"/>
      <c r="B161" s="280" t="n"/>
      <c r="C161" s="280" t="n"/>
      <c r="D161" s="280" t="n"/>
      <c r="E161" s="280" t="n"/>
      <c r="F161" s="280" t="n"/>
      <c r="G161" s="280" t="n"/>
      <c r="H161" s="280" t="n"/>
      <c r="I161" s="332">
        <f>IFERROR(VLOOKUP(TEXT(H161,"0"),IPRESS!$A$3:$B$212,2,0),"")</f>
        <v/>
      </c>
      <c r="J161" s="280" t="n"/>
      <c r="K161" s="343" t="n"/>
      <c r="L161" s="280" t="n"/>
      <c r="M161" s="280" t="n"/>
      <c r="N161" s="345" t="n"/>
      <c r="O161" s="280" t="n"/>
      <c r="P161" s="332">
        <f>IFERROR(VLOOKUP(TEXT(O161,"0"),CONDUCTORES!$A$3:$G$54,2,0),"")</f>
        <v/>
      </c>
      <c r="Q161" s="332">
        <f>IFERROR(VLOOKUP(TEXT(O161,"0"),CONDUCTORES!$A$3:$H$54,6,0),"")</f>
        <v/>
      </c>
      <c r="R161" s="280" t="n"/>
      <c r="S161" s="280" t="n"/>
      <c r="T161" s="280" t="n"/>
      <c r="U161" s="280" t="n"/>
      <c r="V161" s="280" t="n"/>
      <c r="W161" s="280" t="n"/>
      <c r="X161" s="280" t="n"/>
      <c r="Y161" s="280" t="n"/>
      <c r="Z161" s="350" t="n"/>
      <c r="AA161" s="198" t="n"/>
      <c r="AB161" s="198" t="n"/>
      <c r="AC161" s="198" t="n"/>
    </row>
    <row r="162" ht="15" customHeight="1" s="195">
      <c r="A162" s="280" t="n"/>
      <c r="B162" s="280" t="n"/>
      <c r="C162" s="280" t="n"/>
      <c r="D162" s="280" t="n"/>
      <c r="E162" s="280" t="n"/>
      <c r="F162" s="280" t="n"/>
      <c r="G162" s="280" t="n"/>
      <c r="H162" s="280" t="n"/>
      <c r="I162" s="332">
        <f>IFERROR(VLOOKUP(TEXT(H162,"0"),IPRESS!$A$3:$B$212,2,0),"")</f>
        <v/>
      </c>
      <c r="J162" s="280" t="n"/>
      <c r="K162" s="343" t="n"/>
      <c r="L162" s="280" t="n"/>
      <c r="M162" s="280" t="n"/>
      <c r="N162" s="345" t="n"/>
      <c r="O162" s="280" t="n"/>
      <c r="P162" s="332">
        <f>IFERROR(VLOOKUP(TEXT(O162,"0"),CONDUCTORES!$A$3:$G$54,2,0),"")</f>
        <v/>
      </c>
      <c r="Q162" s="332">
        <f>IFERROR(VLOOKUP(TEXT(O162,"0"),CONDUCTORES!$A$3:$H$54,6,0),"")</f>
        <v/>
      </c>
      <c r="R162" s="280" t="n"/>
      <c r="S162" s="280" t="n"/>
      <c r="T162" s="280" t="n"/>
      <c r="U162" s="280" t="n"/>
      <c r="V162" s="280" t="n"/>
      <c r="W162" s="280" t="n"/>
      <c r="X162" s="280" t="n"/>
      <c r="Y162" s="280" t="n"/>
      <c r="Z162" s="350" t="n"/>
      <c r="AA162" s="198" t="n"/>
      <c r="AB162" s="198" t="n"/>
      <c r="AC162" s="198" t="n"/>
    </row>
    <row r="163" ht="15" customHeight="1" s="195">
      <c r="A163" s="280" t="n"/>
      <c r="B163" s="280" t="n"/>
      <c r="C163" s="280" t="n"/>
      <c r="D163" s="280" t="n"/>
      <c r="E163" s="280" t="n"/>
      <c r="F163" s="280" t="n"/>
      <c r="G163" s="280" t="n"/>
      <c r="H163" s="280" t="n"/>
      <c r="I163" s="332">
        <f>IFERROR(VLOOKUP(TEXT(H163,"0"),IPRESS!$A$3:$B$212,2,0),"")</f>
        <v/>
      </c>
      <c r="J163" s="280" t="n"/>
      <c r="K163" s="343" t="n"/>
      <c r="L163" s="280" t="n"/>
      <c r="M163" s="280" t="n"/>
      <c r="N163" s="345" t="n"/>
      <c r="O163" s="280" t="n"/>
      <c r="P163" s="332">
        <f>IFERROR(VLOOKUP(TEXT(O163,"0"),CONDUCTORES!$A$3:$G$54,2,0),"")</f>
        <v/>
      </c>
      <c r="Q163" s="332">
        <f>IFERROR(VLOOKUP(TEXT(O163,"0"),CONDUCTORES!$A$3:$H$54,6,0),"")</f>
        <v/>
      </c>
      <c r="R163" s="280" t="n"/>
      <c r="S163" s="280" t="n"/>
      <c r="T163" s="280" t="n"/>
      <c r="U163" s="280" t="n"/>
      <c r="V163" s="280" t="n"/>
      <c r="W163" s="280" t="n"/>
      <c r="X163" s="280" t="n"/>
      <c r="Y163" s="280" t="n"/>
      <c r="Z163" s="350" t="n"/>
      <c r="AA163" s="198" t="n"/>
      <c r="AB163" s="198" t="n"/>
      <c r="AC163" s="198" t="n"/>
    </row>
    <row r="164" ht="15" customHeight="1" s="195">
      <c r="A164" s="280" t="n"/>
      <c r="B164" s="280" t="n"/>
      <c r="C164" s="280" t="n"/>
      <c r="D164" s="280" t="n"/>
      <c r="E164" s="280" t="n"/>
      <c r="F164" s="280" t="n"/>
      <c r="G164" s="280" t="n"/>
      <c r="H164" s="280" t="n"/>
      <c r="I164" s="332">
        <f>IFERROR(VLOOKUP(TEXT(H164,"0"),IPRESS!$A$3:$B$212,2,0),"")</f>
        <v/>
      </c>
      <c r="J164" s="280" t="n"/>
      <c r="K164" s="343" t="n"/>
      <c r="L164" s="280" t="n"/>
      <c r="M164" s="280" t="n"/>
      <c r="N164" s="345" t="n"/>
      <c r="O164" s="280" t="n"/>
      <c r="P164" s="332">
        <f>IFERROR(VLOOKUP(TEXT(O164,"0"),CONDUCTORES!$A$3:$G$54,2,0),"")</f>
        <v/>
      </c>
      <c r="Q164" s="332">
        <f>IFERROR(VLOOKUP(TEXT(O164,"0"),CONDUCTORES!$A$3:$H$54,6,0),"")</f>
        <v/>
      </c>
      <c r="R164" s="280" t="n"/>
      <c r="S164" s="280" t="n"/>
      <c r="T164" s="280" t="n"/>
      <c r="U164" s="280" t="n"/>
      <c r="V164" s="280" t="n"/>
      <c r="W164" s="280" t="n"/>
      <c r="X164" s="280" t="n"/>
      <c r="Y164" s="280" t="n"/>
      <c r="Z164" s="350" t="n"/>
      <c r="AA164" s="198" t="n"/>
      <c r="AB164" s="198" t="n"/>
      <c r="AC164" s="198" t="n"/>
    </row>
    <row r="165" ht="15" customHeight="1" s="195">
      <c r="A165" s="280" t="n"/>
      <c r="B165" s="280" t="n"/>
      <c r="C165" s="280" t="n"/>
      <c r="D165" s="280" t="n"/>
      <c r="E165" s="280" t="n"/>
      <c r="F165" s="280" t="n"/>
      <c r="G165" s="280" t="n"/>
      <c r="H165" s="280" t="n"/>
      <c r="I165" s="332">
        <f>IFERROR(VLOOKUP(TEXT(H165,"0"),IPRESS!$A$3:$B$212,2,0),"")</f>
        <v/>
      </c>
      <c r="J165" s="280" t="n"/>
      <c r="K165" s="343" t="n"/>
      <c r="L165" s="280" t="n"/>
      <c r="M165" s="280" t="n"/>
      <c r="N165" s="345" t="n"/>
      <c r="O165" s="280" t="n"/>
      <c r="P165" s="332">
        <f>IFERROR(VLOOKUP(TEXT(O165,"0"),CONDUCTORES!$A$3:$G$54,2,0),"")</f>
        <v/>
      </c>
      <c r="Q165" s="332">
        <f>IFERROR(VLOOKUP(TEXT(O165,"0"),CONDUCTORES!$A$3:$H$54,6,0),"")</f>
        <v/>
      </c>
      <c r="R165" s="280" t="n"/>
      <c r="S165" s="280" t="n"/>
      <c r="T165" s="280" t="n"/>
      <c r="U165" s="280" t="n"/>
      <c r="V165" s="280" t="n"/>
      <c r="W165" s="280" t="n"/>
      <c r="X165" s="280" t="n"/>
      <c r="Y165" s="280" t="n"/>
      <c r="Z165" s="350" t="n"/>
      <c r="AA165" s="198" t="n"/>
      <c r="AB165" s="198" t="n"/>
      <c r="AC165" s="198" t="n"/>
    </row>
    <row r="166" ht="15" customHeight="1" s="195">
      <c r="A166" s="280" t="n"/>
      <c r="B166" s="280" t="n"/>
      <c r="C166" s="280" t="n"/>
      <c r="D166" s="280" t="n"/>
      <c r="E166" s="280" t="n"/>
      <c r="F166" s="280" t="n"/>
      <c r="G166" s="280" t="n"/>
      <c r="H166" s="280" t="n"/>
      <c r="I166" s="332">
        <f>IFERROR(VLOOKUP(TEXT(H166,"0"),IPRESS!$A$3:$B$212,2,0),"")</f>
        <v/>
      </c>
      <c r="J166" s="280" t="n"/>
      <c r="K166" s="343" t="n"/>
      <c r="L166" s="280" t="n"/>
      <c r="M166" s="280" t="n"/>
      <c r="N166" s="345" t="n"/>
      <c r="O166" s="280" t="n"/>
      <c r="P166" s="332">
        <f>IFERROR(VLOOKUP(TEXT(O166,"0"),CONDUCTORES!$A$3:$G$54,2,0),"")</f>
        <v/>
      </c>
      <c r="Q166" s="332">
        <f>IFERROR(VLOOKUP(TEXT(O166,"0"),CONDUCTORES!$A$3:$H$54,6,0),"")</f>
        <v/>
      </c>
      <c r="R166" s="280" t="n"/>
      <c r="S166" s="280" t="n"/>
      <c r="T166" s="280" t="n"/>
      <c r="U166" s="280" t="n"/>
      <c r="V166" s="280" t="n"/>
      <c r="W166" s="280" t="n"/>
      <c r="X166" s="280" t="n"/>
      <c r="Y166" s="280" t="n"/>
      <c r="Z166" s="350" t="n"/>
      <c r="AA166" s="198" t="n"/>
      <c r="AB166" s="198" t="n"/>
      <c r="AC166" s="198" t="n"/>
    </row>
    <row r="167" ht="15" customHeight="1" s="195">
      <c r="A167" s="280" t="n"/>
      <c r="B167" s="280" t="n"/>
      <c r="C167" s="280" t="n"/>
      <c r="D167" s="280" t="n"/>
      <c r="E167" s="280" t="n"/>
      <c r="F167" s="280" t="n"/>
      <c r="G167" s="280" t="n"/>
      <c r="H167" s="280" t="n"/>
      <c r="I167" s="332">
        <f>IFERROR(VLOOKUP(TEXT(H167,"0"),IPRESS!$A$3:$B$212,2,0),"")</f>
        <v/>
      </c>
      <c r="J167" s="280" t="n"/>
      <c r="K167" s="343" t="n"/>
      <c r="L167" s="280" t="n"/>
      <c r="M167" s="280" t="n"/>
      <c r="N167" s="345" t="n"/>
      <c r="O167" s="280" t="n"/>
      <c r="P167" s="332">
        <f>IFERROR(VLOOKUP(TEXT(O167,"0"),CONDUCTORES!$A$3:$G$54,2,0),"")</f>
        <v/>
      </c>
      <c r="Q167" s="332">
        <f>IFERROR(VLOOKUP(TEXT(O167,"0"),CONDUCTORES!$A$3:$H$54,6,0),"")</f>
        <v/>
      </c>
      <c r="R167" s="280" t="n"/>
      <c r="S167" s="280" t="n"/>
      <c r="T167" s="280" t="n"/>
      <c r="U167" s="280" t="n"/>
      <c r="V167" s="280" t="n"/>
      <c r="W167" s="280" t="n"/>
      <c r="X167" s="280" t="n"/>
      <c r="Y167" s="280" t="n"/>
      <c r="Z167" s="350" t="n"/>
      <c r="AA167" s="198" t="n"/>
      <c r="AB167" s="198" t="n"/>
      <c r="AC167" s="198" t="n"/>
    </row>
    <row r="168" ht="15" customHeight="1" s="195">
      <c r="A168" s="280" t="n"/>
      <c r="B168" s="280" t="n"/>
      <c r="C168" s="280" t="n"/>
      <c r="D168" s="280" t="n"/>
      <c r="E168" s="280" t="n"/>
      <c r="F168" s="280" t="n"/>
      <c r="G168" s="280" t="n"/>
      <c r="H168" s="280" t="n"/>
      <c r="I168" s="332">
        <f>IFERROR(VLOOKUP(TEXT(H168,"0"),IPRESS!$A$3:$B$212,2,0),"")</f>
        <v/>
      </c>
      <c r="J168" s="280" t="n"/>
      <c r="K168" s="343" t="n"/>
      <c r="L168" s="280" t="n"/>
      <c r="M168" s="280" t="n"/>
      <c r="N168" s="345" t="n"/>
      <c r="O168" s="280" t="n"/>
      <c r="P168" s="332">
        <f>IFERROR(VLOOKUP(TEXT(O168,"0"),CONDUCTORES!$A$3:$G$54,2,0),"")</f>
        <v/>
      </c>
      <c r="Q168" s="332">
        <f>IFERROR(VLOOKUP(TEXT(O168,"0"),CONDUCTORES!$A$3:$H$54,6,0),"")</f>
        <v/>
      </c>
      <c r="R168" s="280" t="n"/>
      <c r="S168" s="280" t="n"/>
      <c r="T168" s="280" t="n"/>
      <c r="U168" s="280" t="n"/>
      <c r="V168" s="280" t="n"/>
      <c r="W168" s="280" t="n"/>
      <c r="X168" s="280" t="n"/>
      <c r="Y168" s="280" t="n"/>
      <c r="Z168" s="350" t="n"/>
      <c r="AA168" s="198" t="n"/>
      <c r="AB168" s="198" t="n"/>
      <c r="AC168" s="198" t="n"/>
    </row>
    <row r="169" ht="15" customHeight="1" s="195">
      <c r="A169" s="280" t="n"/>
      <c r="B169" s="280" t="n"/>
      <c r="C169" s="280" t="n"/>
      <c r="D169" s="280" t="n"/>
      <c r="E169" s="280" t="n"/>
      <c r="F169" s="280" t="n"/>
      <c r="G169" s="280" t="n"/>
      <c r="H169" s="280" t="n"/>
      <c r="I169" s="332">
        <f>IFERROR(VLOOKUP(TEXT(H169,"0"),IPRESS!$A$3:$B$212,2,0),"")</f>
        <v/>
      </c>
      <c r="J169" s="280" t="n"/>
      <c r="K169" s="343" t="n"/>
      <c r="L169" s="280" t="n"/>
      <c r="M169" s="280" t="n"/>
      <c r="N169" s="345" t="n"/>
      <c r="O169" s="280" t="n"/>
      <c r="P169" s="332">
        <f>IFERROR(VLOOKUP(TEXT(O169,"0"),CONDUCTORES!$A$3:$G$54,2,0),"")</f>
        <v/>
      </c>
      <c r="Q169" s="332">
        <f>IFERROR(VLOOKUP(TEXT(O169,"0"),CONDUCTORES!$A$3:$H$54,6,0),"")</f>
        <v/>
      </c>
      <c r="R169" s="280" t="n"/>
      <c r="S169" s="280" t="n"/>
      <c r="T169" s="280" t="n"/>
      <c r="U169" s="280" t="n"/>
      <c r="V169" s="280" t="n"/>
      <c r="W169" s="280" t="n"/>
      <c r="X169" s="280" t="n"/>
      <c r="Y169" s="280" t="n"/>
      <c r="Z169" s="350" t="n"/>
      <c r="AA169" s="198" t="n"/>
      <c r="AB169" s="198" t="n"/>
      <c r="AC169" s="198" t="n"/>
    </row>
    <row r="170" ht="15" customHeight="1" s="195">
      <c r="A170" s="280" t="n"/>
      <c r="B170" s="280" t="n"/>
      <c r="C170" s="280" t="n"/>
      <c r="D170" s="280" t="n"/>
      <c r="E170" s="280" t="n"/>
      <c r="F170" s="280" t="n"/>
      <c r="G170" s="280" t="n"/>
      <c r="H170" s="280" t="n"/>
      <c r="I170" s="332">
        <f>IFERROR(VLOOKUP(TEXT(H170,"0"),IPRESS!$A$3:$B$212,2,0),"")</f>
        <v/>
      </c>
      <c r="J170" s="280" t="n"/>
      <c r="K170" s="343" t="n"/>
      <c r="L170" s="280" t="n"/>
      <c r="M170" s="280" t="n"/>
      <c r="N170" s="345" t="n"/>
      <c r="O170" s="280" t="n"/>
      <c r="P170" s="332">
        <f>IFERROR(VLOOKUP(TEXT(O170,"0"),CONDUCTORES!$A$3:$G$54,2,0),"")</f>
        <v/>
      </c>
      <c r="Q170" s="332">
        <f>IFERROR(VLOOKUP(TEXT(O170,"0"),CONDUCTORES!$A$3:$H$54,6,0),"")</f>
        <v/>
      </c>
      <c r="R170" s="280" t="n"/>
      <c r="S170" s="280" t="n"/>
      <c r="T170" s="280" t="n"/>
      <c r="U170" s="280" t="n"/>
      <c r="V170" s="280" t="n"/>
      <c r="W170" s="280" t="n"/>
      <c r="X170" s="280" t="n"/>
      <c r="Y170" s="280" t="n"/>
      <c r="Z170" s="350" t="n"/>
      <c r="AA170" s="198" t="n"/>
      <c r="AB170" s="198" t="n"/>
      <c r="AC170" s="198" t="n"/>
    </row>
    <row r="171" ht="15" customHeight="1" s="195">
      <c r="A171" s="280" t="n"/>
      <c r="B171" s="280" t="n"/>
      <c r="C171" s="280" t="n"/>
      <c r="D171" s="280" t="n"/>
      <c r="E171" s="280" t="n"/>
      <c r="F171" s="280" t="n"/>
      <c r="G171" s="280" t="n"/>
      <c r="H171" s="280" t="n"/>
      <c r="I171" s="332">
        <f>IFERROR(VLOOKUP(TEXT(H171,"0"),IPRESS!$A$3:$B$212,2,0),"")</f>
        <v/>
      </c>
      <c r="J171" s="280" t="n"/>
      <c r="K171" s="343" t="n"/>
      <c r="L171" s="280" t="n"/>
      <c r="M171" s="280" t="n"/>
      <c r="N171" s="345" t="n"/>
      <c r="O171" s="280" t="n"/>
      <c r="P171" s="332">
        <f>IFERROR(VLOOKUP(TEXT(O171,"0"),CONDUCTORES!$A$3:$G$54,2,0),"")</f>
        <v/>
      </c>
      <c r="Q171" s="332">
        <f>IFERROR(VLOOKUP(TEXT(O171,"0"),CONDUCTORES!$A$3:$H$54,6,0),"")</f>
        <v/>
      </c>
      <c r="R171" s="280" t="n"/>
      <c r="S171" s="280" t="n"/>
      <c r="T171" s="280" t="n"/>
      <c r="U171" s="280" t="n"/>
      <c r="V171" s="280" t="n"/>
      <c r="W171" s="280" t="n"/>
      <c r="X171" s="280" t="n"/>
      <c r="Y171" s="280" t="n"/>
      <c r="Z171" s="350" t="n"/>
      <c r="AA171" s="198" t="n"/>
      <c r="AB171" s="198" t="n"/>
      <c r="AC171" s="198" t="n"/>
    </row>
    <row r="172" ht="15" customHeight="1" s="195">
      <c r="A172" s="280" t="n"/>
      <c r="B172" s="280" t="n"/>
      <c r="C172" s="280" t="n"/>
      <c r="D172" s="280" t="n"/>
      <c r="E172" s="280" t="n"/>
      <c r="F172" s="280" t="n"/>
      <c r="G172" s="280" t="n"/>
      <c r="H172" s="280" t="n"/>
      <c r="I172" s="332">
        <f>IFERROR(VLOOKUP(TEXT(H172,"0"),IPRESS!$A$3:$B$212,2,0),"")</f>
        <v/>
      </c>
      <c r="J172" s="280" t="n"/>
      <c r="K172" s="343" t="n"/>
      <c r="L172" s="280" t="n"/>
      <c r="M172" s="280" t="n"/>
      <c r="N172" s="345" t="n"/>
      <c r="O172" s="280" t="n"/>
      <c r="P172" s="332">
        <f>IFERROR(VLOOKUP(TEXT(O172,"0"),CONDUCTORES!$A$3:$G$54,2,0),"")</f>
        <v/>
      </c>
      <c r="Q172" s="332">
        <f>IFERROR(VLOOKUP(TEXT(O172,"0"),CONDUCTORES!$A$3:$H$54,6,0),"")</f>
        <v/>
      </c>
      <c r="R172" s="280" t="n"/>
      <c r="S172" s="280" t="n"/>
      <c r="T172" s="280" t="n"/>
      <c r="U172" s="280" t="n"/>
      <c r="V172" s="280" t="n"/>
      <c r="W172" s="280" t="n"/>
      <c r="X172" s="280" t="n"/>
      <c r="Y172" s="280" t="n"/>
      <c r="Z172" s="350" t="n"/>
      <c r="AA172" s="198" t="n"/>
      <c r="AB172" s="198" t="n"/>
      <c r="AC172" s="198" t="n"/>
    </row>
    <row r="173" ht="15" customHeight="1" s="195">
      <c r="A173" s="280" t="n"/>
      <c r="B173" s="280" t="n"/>
      <c r="C173" s="280" t="n"/>
      <c r="D173" s="280" t="n"/>
      <c r="E173" s="280" t="n"/>
      <c r="F173" s="280" t="n"/>
      <c r="G173" s="280" t="n"/>
      <c r="H173" s="280" t="n"/>
      <c r="I173" s="332">
        <f>IFERROR(VLOOKUP(TEXT(H173,"0"),IPRESS!$A$3:$B$212,2,0),"")</f>
        <v/>
      </c>
      <c r="J173" s="280" t="n"/>
      <c r="K173" s="343" t="n"/>
      <c r="L173" s="280" t="n"/>
      <c r="M173" s="280" t="n"/>
      <c r="N173" s="345" t="n"/>
      <c r="O173" s="280" t="n"/>
      <c r="P173" s="332">
        <f>IFERROR(VLOOKUP(TEXT(O173,"0"),CONDUCTORES!$A$3:$G$54,2,0),"")</f>
        <v/>
      </c>
      <c r="Q173" s="332">
        <f>IFERROR(VLOOKUP(TEXT(O173,"0"),CONDUCTORES!$A$3:$H$54,6,0),"")</f>
        <v/>
      </c>
      <c r="R173" s="280" t="n"/>
      <c r="S173" s="280" t="n"/>
      <c r="T173" s="280" t="n"/>
      <c r="U173" s="280" t="n"/>
      <c r="V173" s="280" t="n"/>
      <c r="W173" s="280" t="n"/>
      <c r="X173" s="280" t="n"/>
      <c r="Y173" s="280" t="n"/>
      <c r="Z173" s="350" t="n"/>
      <c r="AA173" s="198" t="n"/>
      <c r="AB173" s="198" t="n"/>
      <c r="AC173" s="198" t="n"/>
    </row>
    <row r="174" ht="15" customHeight="1" s="195">
      <c r="A174" s="280" t="n"/>
      <c r="B174" s="280" t="n"/>
      <c r="C174" s="280" t="n"/>
      <c r="D174" s="280" t="n"/>
      <c r="E174" s="280" t="n"/>
      <c r="F174" s="280" t="n"/>
      <c r="G174" s="280" t="n"/>
      <c r="H174" s="280" t="n"/>
      <c r="I174" s="332">
        <f>IFERROR(VLOOKUP(TEXT(H174,"0"),IPRESS!$A$3:$B$212,2,0),"")</f>
        <v/>
      </c>
      <c r="J174" s="280" t="n"/>
      <c r="K174" s="343" t="n"/>
      <c r="L174" s="280" t="n"/>
      <c r="M174" s="280" t="n"/>
      <c r="N174" s="345" t="n"/>
      <c r="O174" s="280" t="n"/>
      <c r="P174" s="332">
        <f>IFERROR(VLOOKUP(TEXT(O174,"0"),CONDUCTORES!$A$3:$G$54,2,0),"")</f>
        <v/>
      </c>
      <c r="Q174" s="332">
        <f>IFERROR(VLOOKUP(TEXT(O174,"0"),CONDUCTORES!$A$3:$H$54,6,0),"")</f>
        <v/>
      </c>
      <c r="R174" s="280" t="n"/>
      <c r="S174" s="280" t="n"/>
      <c r="T174" s="280" t="n"/>
      <c r="U174" s="280" t="n"/>
      <c r="V174" s="280" t="n"/>
      <c r="W174" s="280" t="n"/>
      <c r="X174" s="280" t="n"/>
      <c r="Y174" s="280" t="n"/>
      <c r="Z174" s="350" t="n"/>
      <c r="AA174" s="198" t="n"/>
      <c r="AB174" s="198" t="n"/>
      <c r="AC174" s="198" t="n"/>
    </row>
    <row r="175" ht="15" customHeight="1" s="195">
      <c r="A175" s="280" t="n"/>
      <c r="B175" s="280" t="n"/>
      <c r="C175" s="280" t="n"/>
      <c r="D175" s="280" t="n"/>
      <c r="E175" s="280" t="n"/>
      <c r="F175" s="280" t="n"/>
      <c r="G175" s="280" t="n"/>
      <c r="H175" s="280" t="n"/>
      <c r="I175" s="332">
        <f>IFERROR(VLOOKUP(TEXT(H175,"0"),IPRESS!$A$3:$B$212,2,0),"")</f>
        <v/>
      </c>
      <c r="J175" s="280" t="n"/>
      <c r="K175" s="343" t="n"/>
      <c r="L175" s="280" t="n"/>
      <c r="M175" s="280" t="n"/>
      <c r="N175" s="345" t="n"/>
      <c r="O175" s="280" t="n"/>
      <c r="P175" s="332">
        <f>IFERROR(VLOOKUP(TEXT(O175,"0"),CONDUCTORES!$A$3:$G$54,2,0),"")</f>
        <v/>
      </c>
      <c r="Q175" s="332">
        <f>IFERROR(VLOOKUP(TEXT(O175,"0"),CONDUCTORES!$A$3:$H$54,6,0),"")</f>
        <v/>
      </c>
      <c r="R175" s="280" t="n"/>
      <c r="S175" s="280" t="n"/>
      <c r="T175" s="280" t="n"/>
      <c r="U175" s="280" t="n"/>
      <c r="V175" s="280" t="n"/>
      <c r="W175" s="280" t="n"/>
      <c r="X175" s="280" t="n"/>
      <c r="Y175" s="280" t="n"/>
      <c r="Z175" s="350" t="n"/>
      <c r="AA175" s="198" t="n"/>
      <c r="AB175" s="198" t="n"/>
      <c r="AC175" s="198" t="n"/>
    </row>
    <row r="176" ht="15" customHeight="1" s="195">
      <c r="A176" s="280" t="n"/>
      <c r="B176" s="280" t="n"/>
      <c r="C176" s="280" t="n"/>
      <c r="D176" s="280" t="n"/>
      <c r="E176" s="280" t="n"/>
      <c r="F176" s="280" t="n"/>
      <c r="G176" s="280" t="n"/>
      <c r="H176" s="280" t="n"/>
      <c r="I176" s="332">
        <f>IFERROR(VLOOKUP(TEXT(H176,"0"),IPRESS!$A$3:$B$212,2,0),"")</f>
        <v/>
      </c>
      <c r="J176" s="280" t="n"/>
      <c r="K176" s="343" t="n"/>
      <c r="L176" s="280" t="n"/>
      <c r="M176" s="280" t="n"/>
      <c r="N176" s="345" t="n"/>
      <c r="O176" s="280" t="n"/>
      <c r="P176" s="332">
        <f>IFERROR(VLOOKUP(TEXT(O176,"0"),CONDUCTORES!$A$3:$G$54,2,0),"")</f>
        <v/>
      </c>
      <c r="Q176" s="332">
        <f>IFERROR(VLOOKUP(TEXT(O176,"0"),CONDUCTORES!$A$3:$H$54,6,0),"")</f>
        <v/>
      </c>
      <c r="R176" s="280" t="n"/>
      <c r="S176" s="280" t="n"/>
      <c r="T176" s="280" t="n"/>
      <c r="U176" s="280" t="n"/>
      <c r="V176" s="280" t="n"/>
      <c r="W176" s="280" t="n"/>
      <c r="X176" s="280" t="n"/>
      <c r="Y176" s="280" t="n"/>
      <c r="Z176" s="350" t="n"/>
      <c r="AA176" s="198" t="n"/>
      <c r="AB176" s="198" t="n"/>
      <c r="AC176" s="198" t="n"/>
    </row>
    <row r="177" ht="15" customHeight="1" s="195">
      <c r="A177" s="280" t="n"/>
      <c r="B177" s="280" t="n"/>
      <c r="C177" s="280" t="n"/>
      <c r="D177" s="280" t="n"/>
      <c r="E177" s="280" t="n"/>
      <c r="F177" s="280" t="n"/>
      <c r="G177" s="280" t="n"/>
      <c r="H177" s="280" t="n"/>
      <c r="I177" s="332">
        <f>IFERROR(VLOOKUP(TEXT(H177,"0"),IPRESS!$A$3:$B$212,2,0),"")</f>
        <v/>
      </c>
      <c r="J177" s="280" t="n"/>
      <c r="K177" s="343" t="n"/>
      <c r="L177" s="280" t="n"/>
      <c r="M177" s="280" t="n"/>
      <c r="N177" s="345" t="n"/>
      <c r="O177" s="280" t="n"/>
      <c r="P177" s="332">
        <f>IFERROR(VLOOKUP(TEXT(O177,"0"),CONDUCTORES!$A$3:$G$54,2,0),"")</f>
        <v/>
      </c>
      <c r="Q177" s="332">
        <f>IFERROR(VLOOKUP(TEXT(O177,"0"),CONDUCTORES!$A$3:$H$54,6,0),"")</f>
        <v/>
      </c>
      <c r="R177" s="280" t="n"/>
      <c r="S177" s="280" t="n"/>
      <c r="T177" s="280" t="n"/>
      <c r="U177" s="280" t="n"/>
      <c r="V177" s="280" t="n"/>
      <c r="W177" s="280" t="n"/>
      <c r="X177" s="280" t="n"/>
      <c r="Y177" s="280" t="n"/>
      <c r="Z177" s="350" t="n"/>
      <c r="AA177" s="198" t="n"/>
      <c r="AB177" s="198" t="n"/>
      <c r="AC177" s="198" t="n"/>
    </row>
    <row r="178" ht="15" customHeight="1" s="195">
      <c r="A178" s="280" t="n"/>
      <c r="B178" s="280" t="n"/>
      <c r="C178" s="280" t="n"/>
      <c r="D178" s="280" t="n"/>
      <c r="E178" s="280" t="n"/>
      <c r="F178" s="280" t="n"/>
      <c r="G178" s="280" t="n"/>
      <c r="H178" s="280" t="n"/>
      <c r="I178" s="332">
        <f>IFERROR(VLOOKUP(TEXT(H178,"0"),IPRESS!$A$3:$B$212,2,0),"")</f>
        <v/>
      </c>
      <c r="J178" s="280" t="n"/>
      <c r="K178" s="343" t="n"/>
      <c r="L178" s="280" t="n"/>
      <c r="M178" s="280" t="n"/>
      <c r="N178" s="345" t="n"/>
      <c r="O178" s="280" t="n"/>
      <c r="P178" s="332">
        <f>IFERROR(VLOOKUP(TEXT(O178,"0"),CONDUCTORES!$A$3:$G$54,2,0),"")</f>
        <v/>
      </c>
      <c r="Q178" s="332">
        <f>IFERROR(VLOOKUP(TEXT(O178,"0"),CONDUCTORES!$A$3:$H$54,6,0),"")</f>
        <v/>
      </c>
      <c r="R178" s="280" t="n"/>
      <c r="S178" s="280" t="n"/>
      <c r="T178" s="280" t="n"/>
      <c r="U178" s="280" t="n"/>
      <c r="V178" s="280" t="n"/>
      <c r="W178" s="280" t="n"/>
      <c r="X178" s="280" t="n"/>
      <c r="Y178" s="280" t="n"/>
      <c r="Z178" s="350" t="n"/>
      <c r="AA178" s="198" t="n"/>
      <c r="AB178" s="198" t="n"/>
      <c r="AC178" s="198" t="n"/>
    </row>
    <row r="179" ht="15" customHeight="1" s="195">
      <c r="A179" s="280" t="n"/>
      <c r="B179" s="280" t="n"/>
      <c r="C179" s="280" t="n"/>
      <c r="D179" s="280" t="n"/>
      <c r="E179" s="280" t="n"/>
      <c r="F179" s="280" t="n"/>
      <c r="G179" s="280" t="n"/>
      <c r="H179" s="280" t="n"/>
      <c r="I179" s="332">
        <f>IFERROR(VLOOKUP(TEXT(H179,"0"),IPRESS!$A$3:$B$212,2,0),"")</f>
        <v/>
      </c>
      <c r="J179" s="280" t="n"/>
      <c r="K179" s="343" t="n"/>
      <c r="L179" s="280" t="n"/>
      <c r="M179" s="280" t="n"/>
      <c r="N179" s="345" t="n"/>
      <c r="O179" s="280" t="n"/>
      <c r="P179" s="332">
        <f>IFERROR(VLOOKUP(TEXT(O179,"0"),CONDUCTORES!$A$3:$G$54,2,0),"")</f>
        <v/>
      </c>
      <c r="Q179" s="332">
        <f>IFERROR(VLOOKUP(TEXT(O179,"0"),CONDUCTORES!$A$3:$H$54,6,0),"")</f>
        <v/>
      </c>
      <c r="R179" s="280" t="n"/>
      <c r="S179" s="280" t="n"/>
      <c r="T179" s="280" t="n"/>
      <c r="U179" s="280" t="n"/>
      <c r="V179" s="280" t="n"/>
      <c r="W179" s="280" t="n"/>
      <c r="X179" s="280" t="n"/>
      <c r="Y179" s="280" t="n"/>
      <c r="Z179" s="350" t="n"/>
      <c r="AA179" s="198" t="n"/>
      <c r="AB179" s="198" t="n"/>
      <c r="AC179" s="198" t="n"/>
    </row>
    <row r="180" ht="15" customHeight="1" s="195">
      <c r="A180" s="280" t="n"/>
      <c r="B180" s="280" t="n"/>
      <c r="C180" s="280" t="n"/>
      <c r="D180" s="280" t="n"/>
      <c r="E180" s="280" t="n"/>
      <c r="F180" s="280" t="n"/>
      <c r="G180" s="280" t="n"/>
      <c r="H180" s="280" t="n"/>
      <c r="I180" s="332">
        <f>IFERROR(VLOOKUP(TEXT(H180,"0"),IPRESS!$A$3:$B$212,2,0),"")</f>
        <v/>
      </c>
      <c r="J180" s="280" t="n"/>
      <c r="K180" s="343" t="n"/>
      <c r="L180" s="280" t="n"/>
      <c r="M180" s="280" t="n"/>
      <c r="N180" s="345" t="n"/>
      <c r="O180" s="280" t="n"/>
      <c r="P180" s="332">
        <f>IFERROR(VLOOKUP(TEXT(O180,"0"),CONDUCTORES!$A$3:$G$54,2,0),"")</f>
        <v/>
      </c>
      <c r="Q180" s="332">
        <f>IFERROR(VLOOKUP(TEXT(O180,"0"),CONDUCTORES!$A$3:$H$54,6,0),"")</f>
        <v/>
      </c>
      <c r="R180" s="280" t="n"/>
      <c r="S180" s="280" t="n"/>
      <c r="T180" s="280" t="n"/>
      <c r="U180" s="280" t="n"/>
      <c r="V180" s="280" t="n"/>
      <c r="W180" s="280" t="n"/>
      <c r="X180" s="280" t="n"/>
      <c r="Y180" s="280" t="n"/>
      <c r="Z180" s="350" t="n"/>
      <c r="AA180" s="198" t="n"/>
      <c r="AB180" s="198" t="n"/>
      <c r="AC180" s="198" t="n"/>
    </row>
    <row r="181" ht="15" customHeight="1" s="195">
      <c r="A181" s="280" t="n"/>
      <c r="B181" s="280" t="n"/>
      <c r="C181" s="280" t="n"/>
      <c r="D181" s="280" t="n"/>
      <c r="E181" s="280" t="n"/>
      <c r="F181" s="280" t="n"/>
      <c r="G181" s="280" t="n"/>
      <c r="H181" s="280" t="n"/>
      <c r="I181" s="332">
        <f>IFERROR(VLOOKUP(TEXT(H181,"0"),IPRESS!$A$3:$B$212,2,0),"")</f>
        <v/>
      </c>
      <c r="J181" s="280" t="n"/>
      <c r="K181" s="343" t="n"/>
      <c r="L181" s="280" t="n"/>
      <c r="M181" s="280" t="n"/>
      <c r="N181" s="345" t="n"/>
      <c r="O181" s="280" t="n"/>
      <c r="P181" s="332">
        <f>IFERROR(VLOOKUP(TEXT(O181,"0"),CONDUCTORES!$A$3:$G$54,2,0),"")</f>
        <v/>
      </c>
      <c r="Q181" s="332">
        <f>IFERROR(VLOOKUP(TEXT(O181,"0"),CONDUCTORES!$A$3:$H$54,6,0),"")</f>
        <v/>
      </c>
      <c r="R181" s="280" t="n"/>
      <c r="S181" s="280" t="n"/>
      <c r="T181" s="280" t="n"/>
      <c r="U181" s="280" t="n"/>
      <c r="V181" s="280" t="n"/>
      <c r="W181" s="280" t="n"/>
      <c r="X181" s="280" t="n"/>
      <c r="Y181" s="280" t="n"/>
      <c r="Z181" s="350" t="n"/>
      <c r="AA181" s="198" t="n"/>
      <c r="AB181" s="198" t="n"/>
      <c r="AC181" s="198" t="n"/>
    </row>
    <row r="182" ht="15" customHeight="1" s="195">
      <c r="A182" s="280" t="n"/>
      <c r="B182" s="280" t="n"/>
      <c r="C182" s="280" t="n"/>
      <c r="D182" s="280" t="n"/>
      <c r="E182" s="280" t="n"/>
      <c r="F182" s="280" t="n"/>
      <c r="G182" s="280" t="n"/>
      <c r="H182" s="280" t="n"/>
      <c r="I182" s="332">
        <f>IFERROR(VLOOKUP(TEXT(H182,"0"),IPRESS!$A$3:$B$212,2,0),"")</f>
        <v/>
      </c>
      <c r="J182" s="280" t="n"/>
      <c r="K182" s="343" t="n"/>
      <c r="L182" s="280" t="n"/>
      <c r="M182" s="280" t="n"/>
      <c r="N182" s="345" t="n"/>
      <c r="O182" s="280" t="n"/>
      <c r="P182" s="332">
        <f>IFERROR(VLOOKUP(TEXT(O182,"0"),CONDUCTORES!$A$3:$G$54,2,0),"")</f>
        <v/>
      </c>
      <c r="Q182" s="332">
        <f>IFERROR(VLOOKUP(TEXT(O182,"0"),CONDUCTORES!$A$3:$H$54,6,0),"")</f>
        <v/>
      </c>
      <c r="R182" s="280" t="n"/>
      <c r="S182" s="280" t="n"/>
      <c r="T182" s="280" t="n"/>
      <c r="U182" s="280" t="n"/>
      <c r="V182" s="280" t="n"/>
      <c r="W182" s="280" t="n"/>
      <c r="X182" s="280" t="n"/>
      <c r="Y182" s="280" t="n"/>
      <c r="Z182" s="350" t="n"/>
      <c r="AA182" s="198" t="n"/>
      <c r="AB182" s="198" t="n"/>
      <c r="AC182" s="198" t="n"/>
    </row>
    <row r="183" ht="15" customHeight="1" s="195">
      <c r="A183" s="280" t="n"/>
      <c r="B183" s="280" t="n"/>
      <c r="C183" s="280" t="n"/>
      <c r="D183" s="280" t="n"/>
      <c r="E183" s="280" t="n"/>
      <c r="F183" s="280" t="n"/>
      <c r="G183" s="280" t="n"/>
      <c r="H183" s="280" t="n"/>
      <c r="I183" s="332">
        <f>IFERROR(VLOOKUP(TEXT(H183,"0"),IPRESS!$A$3:$B$212,2,0),"")</f>
        <v/>
      </c>
      <c r="J183" s="280" t="n"/>
      <c r="K183" s="343" t="n"/>
      <c r="L183" s="280" t="n"/>
      <c r="M183" s="280" t="n"/>
      <c r="N183" s="345" t="n"/>
      <c r="O183" s="280" t="n"/>
      <c r="P183" s="332">
        <f>IFERROR(VLOOKUP(TEXT(O183,"0"),CONDUCTORES!$A$3:$G$54,2,0),"")</f>
        <v/>
      </c>
      <c r="Q183" s="332">
        <f>IFERROR(VLOOKUP(TEXT(O183,"0"),CONDUCTORES!$A$3:$H$54,6,0),"")</f>
        <v/>
      </c>
      <c r="R183" s="280" t="n"/>
      <c r="S183" s="280" t="n"/>
      <c r="T183" s="280" t="n"/>
      <c r="U183" s="280" t="n"/>
      <c r="V183" s="280" t="n"/>
      <c r="W183" s="280" t="n"/>
      <c r="X183" s="280" t="n"/>
      <c r="Y183" s="280" t="n"/>
      <c r="Z183" s="350" t="n"/>
      <c r="AA183" s="198" t="n"/>
      <c r="AB183" s="198" t="n"/>
      <c r="AC183" s="198" t="n"/>
    </row>
    <row r="184" ht="15" customHeight="1" s="195">
      <c r="A184" s="280" t="n"/>
      <c r="B184" s="280" t="n"/>
      <c r="C184" s="280" t="n"/>
      <c r="D184" s="280" t="n"/>
      <c r="E184" s="280" t="n"/>
      <c r="F184" s="280" t="n"/>
      <c r="G184" s="280" t="n"/>
      <c r="H184" s="280" t="n"/>
      <c r="I184" s="332">
        <f>IFERROR(VLOOKUP(TEXT(H184,"0"),IPRESS!$A$3:$B$212,2,0),"")</f>
        <v/>
      </c>
      <c r="J184" s="280" t="n"/>
      <c r="K184" s="343" t="n"/>
      <c r="L184" s="280" t="n"/>
      <c r="M184" s="280" t="n"/>
      <c r="N184" s="345" t="n"/>
      <c r="O184" s="280" t="n"/>
      <c r="P184" s="332">
        <f>IFERROR(VLOOKUP(TEXT(O184,"0"),CONDUCTORES!$A$3:$G$54,2,0),"")</f>
        <v/>
      </c>
      <c r="Q184" s="332">
        <f>IFERROR(VLOOKUP(TEXT(O184,"0"),CONDUCTORES!$A$3:$H$54,6,0),"")</f>
        <v/>
      </c>
      <c r="R184" s="280" t="n"/>
      <c r="S184" s="280" t="n"/>
      <c r="T184" s="280" t="n"/>
      <c r="U184" s="280" t="n"/>
      <c r="V184" s="280" t="n"/>
      <c r="W184" s="280" t="n"/>
      <c r="X184" s="280" t="n"/>
      <c r="Y184" s="280" t="n"/>
      <c r="Z184" s="350" t="n"/>
      <c r="AA184" s="198" t="n"/>
      <c r="AB184" s="198" t="n"/>
      <c r="AC184" s="198" t="n"/>
    </row>
    <row r="185" ht="15" customHeight="1" s="195">
      <c r="A185" s="280" t="n"/>
      <c r="B185" s="280" t="n"/>
      <c r="C185" s="280" t="n"/>
      <c r="D185" s="280" t="n"/>
      <c r="E185" s="280" t="n"/>
      <c r="F185" s="280" t="n"/>
      <c r="G185" s="280" t="n"/>
      <c r="H185" s="280" t="n"/>
      <c r="I185" s="332">
        <f>IFERROR(VLOOKUP(TEXT(H185,"0"),IPRESS!$A$3:$B$212,2,0),"")</f>
        <v/>
      </c>
      <c r="J185" s="280" t="n"/>
      <c r="K185" s="343" t="n"/>
      <c r="L185" s="280" t="n"/>
      <c r="M185" s="280" t="n"/>
      <c r="N185" s="345" t="n"/>
      <c r="O185" s="280" t="n"/>
      <c r="P185" s="332">
        <f>IFERROR(VLOOKUP(TEXT(O185,"0"),CONDUCTORES!$A$3:$G$54,2,0),"")</f>
        <v/>
      </c>
      <c r="Q185" s="332">
        <f>IFERROR(VLOOKUP(TEXT(O185,"0"),CONDUCTORES!$A$3:$H$54,6,0),"")</f>
        <v/>
      </c>
      <c r="R185" s="280" t="n"/>
      <c r="S185" s="280" t="n"/>
      <c r="T185" s="280" t="n"/>
      <c r="U185" s="280" t="n"/>
      <c r="V185" s="280" t="n"/>
      <c r="W185" s="280" t="n"/>
      <c r="X185" s="280" t="n"/>
      <c r="Y185" s="280" t="n"/>
      <c r="Z185" s="350" t="n"/>
      <c r="AA185" s="198" t="n"/>
      <c r="AB185" s="198" t="n"/>
      <c r="AC185" s="198" t="n"/>
    </row>
    <row r="186" ht="15" customHeight="1" s="195">
      <c r="A186" s="280" t="n"/>
      <c r="B186" s="280" t="n"/>
      <c r="C186" s="280" t="n"/>
      <c r="D186" s="280" t="n"/>
      <c r="E186" s="280" t="n"/>
      <c r="F186" s="280" t="n"/>
      <c r="G186" s="280" t="n"/>
      <c r="H186" s="280" t="n"/>
      <c r="I186" s="332">
        <f>IFERROR(VLOOKUP(TEXT(H186,"0"),IPRESS!$A$3:$B$212,2,0),"")</f>
        <v/>
      </c>
      <c r="J186" s="280" t="n"/>
      <c r="K186" s="343" t="n"/>
      <c r="L186" s="280" t="n"/>
      <c r="M186" s="280" t="n"/>
      <c r="N186" s="345" t="n"/>
      <c r="O186" s="280" t="n"/>
      <c r="P186" s="332">
        <f>IFERROR(VLOOKUP(TEXT(O186,"0"),CONDUCTORES!$A$3:$G$54,2,0),"")</f>
        <v/>
      </c>
      <c r="Q186" s="332">
        <f>IFERROR(VLOOKUP(TEXT(O186,"0"),CONDUCTORES!$A$3:$H$54,6,0),"")</f>
        <v/>
      </c>
      <c r="R186" s="280" t="n"/>
      <c r="S186" s="280" t="n"/>
      <c r="T186" s="280" t="n"/>
      <c r="U186" s="280" t="n"/>
      <c r="V186" s="280" t="n"/>
      <c r="W186" s="280" t="n"/>
      <c r="X186" s="280" t="n"/>
      <c r="Y186" s="280" t="n"/>
      <c r="Z186" s="350" t="n"/>
      <c r="AA186" s="198" t="n"/>
      <c r="AB186" s="198" t="n"/>
      <c r="AC186" s="198" t="n"/>
    </row>
    <row r="187" ht="15" customHeight="1" s="195">
      <c r="A187" s="280" t="n"/>
      <c r="B187" s="280" t="n"/>
      <c r="C187" s="280" t="n"/>
      <c r="D187" s="280" t="n"/>
      <c r="E187" s="280" t="n"/>
      <c r="F187" s="280" t="n"/>
      <c r="G187" s="280" t="n"/>
      <c r="H187" s="280" t="n"/>
      <c r="I187" s="332">
        <f>IFERROR(VLOOKUP(TEXT(H187,"0"),IPRESS!$A$3:$B$212,2,0),"")</f>
        <v/>
      </c>
      <c r="J187" s="280" t="n"/>
      <c r="K187" s="343" t="n"/>
      <c r="L187" s="280" t="n"/>
      <c r="M187" s="280" t="n"/>
      <c r="N187" s="345" t="n"/>
      <c r="O187" s="280" t="n"/>
      <c r="P187" s="332">
        <f>IFERROR(VLOOKUP(TEXT(O187,"0"),CONDUCTORES!$A$3:$G$54,2,0),"")</f>
        <v/>
      </c>
      <c r="Q187" s="332">
        <f>IFERROR(VLOOKUP(TEXT(O187,"0"),CONDUCTORES!$A$3:$H$54,6,0),"")</f>
        <v/>
      </c>
      <c r="R187" s="280" t="n"/>
      <c r="S187" s="280" t="n"/>
      <c r="T187" s="280" t="n"/>
      <c r="U187" s="280" t="n"/>
      <c r="V187" s="280" t="n"/>
      <c r="W187" s="280" t="n"/>
      <c r="X187" s="280" t="n"/>
      <c r="Y187" s="280" t="n"/>
      <c r="Z187" s="350" t="n"/>
      <c r="AA187" s="198" t="n"/>
      <c r="AB187" s="198" t="n"/>
      <c r="AC187" s="198" t="n"/>
    </row>
    <row r="188" ht="15" customHeight="1" s="195">
      <c r="A188" s="280" t="n"/>
      <c r="B188" s="280" t="n"/>
      <c r="C188" s="280" t="n"/>
      <c r="D188" s="280" t="n"/>
      <c r="E188" s="280" t="n"/>
      <c r="F188" s="280" t="n"/>
      <c r="G188" s="280" t="n"/>
      <c r="H188" s="280" t="n"/>
      <c r="I188" s="332">
        <f>IFERROR(VLOOKUP(TEXT(H188,"0"),IPRESS!$A$3:$B$212,2,0),"")</f>
        <v/>
      </c>
      <c r="J188" s="280" t="n"/>
      <c r="K188" s="343" t="n"/>
      <c r="L188" s="280" t="n"/>
      <c r="M188" s="280" t="n"/>
      <c r="N188" s="345" t="n"/>
      <c r="O188" s="280" t="n"/>
      <c r="P188" s="332">
        <f>IFERROR(VLOOKUP(TEXT(O188,"0"),CONDUCTORES!$A$3:$G$54,2,0),"")</f>
        <v/>
      </c>
      <c r="Q188" s="332">
        <f>IFERROR(VLOOKUP(TEXT(O188,"0"),CONDUCTORES!$A$3:$H$54,6,0),"")</f>
        <v/>
      </c>
      <c r="R188" s="280" t="n"/>
      <c r="S188" s="280" t="n"/>
      <c r="T188" s="280" t="n"/>
      <c r="U188" s="280" t="n"/>
      <c r="V188" s="280" t="n"/>
      <c r="W188" s="280" t="n"/>
      <c r="X188" s="280" t="n"/>
      <c r="Y188" s="280" t="n"/>
      <c r="Z188" s="350" t="n"/>
      <c r="AA188" s="198" t="n"/>
      <c r="AB188" s="198" t="n"/>
      <c r="AC188" s="198" t="n"/>
    </row>
    <row r="189" ht="15" customHeight="1" s="195">
      <c r="A189" s="280" t="n"/>
      <c r="B189" s="280" t="n"/>
      <c r="C189" s="280" t="n"/>
      <c r="D189" s="280" t="n"/>
      <c r="E189" s="280" t="n"/>
      <c r="F189" s="280" t="n"/>
      <c r="G189" s="280" t="n"/>
      <c r="H189" s="280" t="n"/>
      <c r="I189" s="332">
        <f>IFERROR(VLOOKUP(TEXT(H189,"0"),IPRESS!$A$3:$B$212,2,0),"")</f>
        <v/>
      </c>
      <c r="J189" s="280" t="n"/>
      <c r="K189" s="343" t="n"/>
      <c r="L189" s="280" t="n"/>
      <c r="M189" s="280" t="n"/>
      <c r="N189" s="345" t="n"/>
      <c r="O189" s="280" t="n"/>
      <c r="P189" s="332">
        <f>IFERROR(VLOOKUP(TEXT(O189,"0"),CONDUCTORES!$A$3:$G$54,2,0),"")</f>
        <v/>
      </c>
      <c r="Q189" s="332">
        <f>IFERROR(VLOOKUP(TEXT(O189,"0"),CONDUCTORES!$A$3:$H$54,6,0),"")</f>
        <v/>
      </c>
      <c r="R189" s="280" t="n"/>
      <c r="S189" s="280" t="n"/>
      <c r="T189" s="280" t="n"/>
      <c r="U189" s="280" t="n"/>
      <c r="V189" s="280" t="n"/>
      <c r="W189" s="280" t="n"/>
      <c r="X189" s="280" t="n"/>
      <c r="Y189" s="280" t="n"/>
      <c r="Z189" s="350" t="n"/>
      <c r="AA189" s="198" t="n"/>
      <c r="AB189" s="198" t="n"/>
      <c r="AC189" s="198" t="n"/>
    </row>
    <row r="190" ht="15" customHeight="1" s="195">
      <c r="A190" s="280" t="n"/>
      <c r="B190" s="280" t="n"/>
      <c r="C190" s="280" t="n"/>
      <c r="D190" s="280" t="n"/>
      <c r="E190" s="280" t="n"/>
      <c r="F190" s="280" t="n"/>
      <c r="G190" s="280" t="n"/>
      <c r="H190" s="280" t="n"/>
      <c r="I190" s="332">
        <f>IFERROR(VLOOKUP(TEXT(H190,"0"),IPRESS!$A$3:$B$212,2,0),"")</f>
        <v/>
      </c>
      <c r="J190" s="280" t="n"/>
      <c r="K190" s="343" t="n"/>
      <c r="L190" s="280" t="n"/>
      <c r="M190" s="280" t="n"/>
      <c r="N190" s="345" t="n"/>
      <c r="O190" s="280" t="n"/>
      <c r="P190" s="332">
        <f>IFERROR(VLOOKUP(TEXT(O190,"0"),CONDUCTORES!$A$3:$G$54,2,0),"")</f>
        <v/>
      </c>
      <c r="Q190" s="332">
        <f>IFERROR(VLOOKUP(TEXT(O190,"0"),CONDUCTORES!$A$3:$H$54,6,0),"")</f>
        <v/>
      </c>
      <c r="R190" s="280" t="n"/>
      <c r="S190" s="280" t="n"/>
      <c r="T190" s="280" t="n"/>
      <c r="U190" s="280" t="n"/>
      <c r="V190" s="280" t="n"/>
      <c r="W190" s="280" t="n"/>
      <c r="X190" s="280" t="n"/>
      <c r="Y190" s="280" t="n"/>
      <c r="Z190" s="350" t="n"/>
      <c r="AA190" s="198" t="n"/>
      <c r="AB190" s="198" t="n"/>
      <c r="AC190" s="198" t="n"/>
    </row>
    <row r="191" ht="15" customHeight="1" s="195">
      <c r="A191" s="280" t="n"/>
      <c r="B191" s="280" t="n"/>
      <c r="C191" s="280" t="n"/>
      <c r="D191" s="280" t="n"/>
      <c r="E191" s="280" t="n"/>
      <c r="F191" s="280" t="n"/>
      <c r="G191" s="280" t="n"/>
      <c r="H191" s="280" t="n"/>
      <c r="I191" s="332">
        <f>IFERROR(VLOOKUP(TEXT(H191,"0"),IPRESS!$A$3:$B$212,2,0),"")</f>
        <v/>
      </c>
      <c r="J191" s="280" t="n"/>
      <c r="K191" s="343" t="n"/>
      <c r="L191" s="280" t="n"/>
      <c r="M191" s="280" t="n"/>
      <c r="N191" s="345" t="n"/>
      <c r="O191" s="280" t="n"/>
      <c r="P191" s="332">
        <f>IFERROR(VLOOKUP(TEXT(O191,"0"),CONDUCTORES!$A$3:$G$54,2,0),"")</f>
        <v/>
      </c>
      <c r="Q191" s="332">
        <f>IFERROR(VLOOKUP(TEXT(O191,"0"),CONDUCTORES!$A$3:$H$54,6,0),"")</f>
        <v/>
      </c>
      <c r="R191" s="280" t="n"/>
      <c r="S191" s="280" t="n"/>
      <c r="T191" s="280" t="n"/>
      <c r="U191" s="280" t="n"/>
      <c r="V191" s="280" t="n"/>
      <c r="W191" s="280" t="n"/>
      <c r="X191" s="280" t="n"/>
      <c r="Y191" s="280" t="n"/>
      <c r="Z191" s="350" t="n"/>
      <c r="AA191" s="198" t="n"/>
      <c r="AB191" s="198" t="n"/>
      <c r="AC191" s="198" t="n"/>
    </row>
    <row r="192" ht="15" customHeight="1" s="195">
      <c r="A192" s="280" t="n"/>
      <c r="B192" s="280" t="n"/>
      <c r="C192" s="280" t="n"/>
      <c r="D192" s="280" t="n"/>
      <c r="E192" s="280" t="n"/>
      <c r="F192" s="280" t="n"/>
      <c r="G192" s="280" t="n"/>
      <c r="H192" s="280" t="n"/>
      <c r="I192" s="332">
        <f>IFERROR(VLOOKUP(TEXT(H192,"0"),IPRESS!$A$3:$B$212,2,0),"")</f>
        <v/>
      </c>
      <c r="J192" s="280" t="n"/>
      <c r="K192" s="343" t="n"/>
      <c r="L192" s="280" t="n"/>
      <c r="M192" s="280" t="n"/>
      <c r="N192" s="345" t="n"/>
      <c r="O192" s="280" t="n"/>
      <c r="P192" s="332">
        <f>IFERROR(VLOOKUP(TEXT(O192,"0"),CONDUCTORES!$A$3:$G$54,2,0),"")</f>
        <v/>
      </c>
      <c r="Q192" s="332">
        <f>IFERROR(VLOOKUP(TEXT(O192,"0"),CONDUCTORES!$A$3:$H$54,6,0),"")</f>
        <v/>
      </c>
      <c r="R192" s="280" t="n"/>
      <c r="S192" s="280" t="n"/>
      <c r="T192" s="280" t="n"/>
      <c r="U192" s="280" t="n"/>
      <c r="V192" s="280" t="n"/>
      <c r="W192" s="280" t="n"/>
      <c r="X192" s="280" t="n"/>
      <c r="Y192" s="280" t="n"/>
      <c r="Z192" s="350" t="n"/>
      <c r="AA192" s="198" t="n"/>
      <c r="AB192" s="198" t="n"/>
      <c r="AC192" s="198" t="n"/>
    </row>
    <row r="193" ht="15" customHeight="1" s="195">
      <c r="A193" s="280" t="n"/>
      <c r="B193" s="280" t="n"/>
      <c r="C193" s="280" t="n"/>
      <c r="D193" s="280" t="n"/>
      <c r="E193" s="280" t="n"/>
      <c r="F193" s="280" t="n"/>
      <c r="G193" s="280" t="n"/>
      <c r="H193" s="280" t="n"/>
      <c r="I193" s="332">
        <f>IFERROR(VLOOKUP(TEXT(H193,"0"),IPRESS!$A$3:$B$212,2,0),"")</f>
        <v/>
      </c>
      <c r="J193" s="280" t="n"/>
      <c r="K193" s="343" t="n"/>
      <c r="L193" s="280" t="n"/>
      <c r="M193" s="280" t="n"/>
      <c r="N193" s="345" t="n"/>
      <c r="O193" s="280" t="n"/>
      <c r="P193" s="332">
        <f>IFERROR(VLOOKUP(TEXT(O193,"0"),CONDUCTORES!$A$3:$G$54,2,0),"")</f>
        <v/>
      </c>
      <c r="Q193" s="332">
        <f>IFERROR(VLOOKUP(TEXT(O193,"0"),CONDUCTORES!$A$3:$H$54,6,0),"")</f>
        <v/>
      </c>
      <c r="R193" s="280" t="n"/>
      <c r="S193" s="280" t="n"/>
      <c r="T193" s="280" t="n"/>
      <c r="U193" s="280" t="n"/>
      <c r="V193" s="280" t="n"/>
      <c r="W193" s="280" t="n"/>
      <c r="X193" s="280" t="n"/>
      <c r="Y193" s="280" t="n"/>
      <c r="Z193" s="350" t="n"/>
      <c r="AA193" s="198" t="n"/>
      <c r="AB193" s="198" t="n"/>
      <c r="AC193" s="198" t="n"/>
    </row>
    <row r="194" ht="15" customHeight="1" s="195">
      <c r="A194" s="280" t="n"/>
      <c r="B194" s="280" t="n"/>
      <c r="C194" s="280" t="n"/>
      <c r="D194" s="280" t="n"/>
      <c r="E194" s="280" t="n"/>
      <c r="F194" s="280" t="n"/>
      <c r="G194" s="280" t="n"/>
      <c r="H194" s="280" t="n"/>
      <c r="I194" s="332">
        <f>IFERROR(VLOOKUP(TEXT(H194,"0"),IPRESS!$A$3:$B$212,2,0),"")</f>
        <v/>
      </c>
      <c r="J194" s="280" t="n"/>
      <c r="K194" s="343" t="n"/>
      <c r="L194" s="280" t="n"/>
      <c r="M194" s="280" t="n"/>
      <c r="N194" s="345" t="n"/>
      <c r="O194" s="280" t="n"/>
      <c r="P194" s="332">
        <f>IFERROR(VLOOKUP(TEXT(O194,"0"),CONDUCTORES!$A$3:$G$54,2,0),"")</f>
        <v/>
      </c>
      <c r="Q194" s="332">
        <f>IFERROR(VLOOKUP(TEXT(O194,"0"),CONDUCTORES!$A$3:$H$54,6,0),"")</f>
        <v/>
      </c>
      <c r="R194" s="280" t="n"/>
      <c r="S194" s="280" t="n"/>
      <c r="T194" s="280" t="n"/>
      <c r="U194" s="280" t="n"/>
      <c r="V194" s="280" t="n"/>
      <c r="W194" s="280" t="n"/>
      <c r="X194" s="280" t="n"/>
      <c r="Y194" s="280" t="n"/>
      <c r="Z194" s="350" t="n"/>
      <c r="AA194" s="198" t="n"/>
      <c r="AB194" s="198" t="n"/>
      <c r="AC194" s="198" t="n"/>
    </row>
    <row r="195" ht="15" customHeight="1" s="195">
      <c r="A195" s="280" t="n"/>
      <c r="B195" s="280" t="n"/>
      <c r="C195" s="280" t="n"/>
      <c r="D195" s="280" t="n"/>
      <c r="E195" s="280" t="n"/>
      <c r="F195" s="280" t="n"/>
      <c r="G195" s="280" t="n"/>
      <c r="H195" s="280" t="n"/>
      <c r="I195" s="332">
        <f>IFERROR(VLOOKUP(TEXT(H195,"0"),IPRESS!$A$3:$B$212,2,0),"")</f>
        <v/>
      </c>
      <c r="J195" s="280" t="n"/>
      <c r="K195" s="343" t="n"/>
      <c r="L195" s="280" t="n"/>
      <c r="M195" s="280" t="n"/>
      <c r="N195" s="345" t="n"/>
      <c r="O195" s="280" t="n"/>
      <c r="P195" s="332">
        <f>IFERROR(VLOOKUP(TEXT(O195,"0"),CONDUCTORES!$A$3:$G$54,2,0),"")</f>
        <v/>
      </c>
      <c r="Q195" s="332">
        <f>IFERROR(VLOOKUP(TEXT(O195,"0"),CONDUCTORES!$A$3:$H$54,6,0),"")</f>
        <v/>
      </c>
      <c r="R195" s="280" t="n"/>
      <c r="S195" s="280" t="n"/>
      <c r="T195" s="280" t="n"/>
      <c r="U195" s="280" t="n"/>
      <c r="V195" s="280" t="n"/>
      <c r="W195" s="280" t="n"/>
      <c r="X195" s="280" t="n"/>
      <c r="Y195" s="280" t="n"/>
      <c r="Z195" s="350" t="n"/>
      <c r="AA195" s="198" t="n"/>
      <c r="AB195" s="198" t="n"/>
      <c r="AC195" s="198" t="n"/>
    </row>
    <row r="196" ht="15" customHeight="1" s="195">
      <c r="A196" s="280" t="n"/>
      <c r="B196" s="280" t="n"/>
      <c r="C196" s="280" t="n"/>
      <c r="D196" s="280" t="n"/>
      <c r="E196" s="280" t="n"/>
      <c r="F196" s="280" t="n"/>
      <c r="G196" s="280" t="n"/>
      <c r="H196" s="280" t="n"/>
      <c r="I196" s="332">
        <f>IFERROR(VLOOKUP(TEXT(H196,"0"),IPRESS!$A$3:$B$212,2,0),"")</f>
        <v/>
      </c>
      <c r="J196" s="280" t="n"/>
      <c r="K196" s="343" t="n"/>
      <c r="L196" s="280" t="n"/>
      <c r="M196" s="280" t="n"/>
      <c r="N196" s="345" t="n"/>
      <c r="O196" s="280" t="n"/>
      <c r="P196" s="332">
        <f>IFERROR(VLOOKUP(TEXT(O196,"0"),CONDUCTORES!$A$3:$G$54,2,0),"")</f>
        <v/>
      </c>
      <c r="Q196" s="332">
        <f>IFERROR(VLOOKUP(TEXT(O196,"0"),CONDUCTORES!$A$3:$H$54,6,0),"")</f>
        <v/>
      </c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350" t="n"/>
      <c r="AA196" s="198" t="n"/>
      <c r="AB196" s="198" t="n"/>
      <c r="AC196" s="198" t="n"/>
    </row>
    <row r="197" ht="15" customHeight="1" s="195">
      <c r="A197" s="280" t="n"/>
      <c r="B197" s="280" t="n"/>
      <c r="C197" s="280" t="n"/>
      <c r="D197" s="280" t="n"/>
      <c r="E197" s="280" t="n"/>
      <c r="F197" s="280" t="n"/>
      <c r="G197" s="280" t="n"/>
      <c r="H197" s="280" t="n"/>
      <c r="I197" s="332">
        <f>IFERROR(VLOOKUP(TEXT(H197,"0"),IPRESS!$A$3:$B$212,2,0),"")</f>
        <v/>
      </c>
      <c r="J197" s="280" t="n"/>
      <c r="K197" s="343" t="n"/>
      <c r="L197" s="280" t="n"/>
      <c r="M197" s="280" t="n"/>
      <c r="N197" s="345" t="n"/>
      <c r="O197" s="280" t="n"/>
      <c r="P197" s="332">
        <f>IFERROR(VLOOKUP(TEXT(O197,"0"),CONDUCTORES!$A$3:$G$54,2,0),"")</f>
        <v/>
      </c>
      <c r="Q197" s="332">
        <f>IFERROR(VLOOKUP(TEXT(O197,"0"),CONDUCTORES!$A$3:$H$54,6,0),"")</f>
        <v/>
      </c>
      <c r="R197" s="280" t="n"/>
      <c r="S197" s="280" t="n"/>
      <c r="T197" s="280" t="n"/>
      <c r="U197" s="280" t="n"/>
      <c r="V197" s="280" t="n"/>
      <c r="W197" s="280" t="n"/>
      <c r="X197" s="280" t="n"/>
      <c r="Y197" s="280" t="n"/>
      <c r="Z197" s="350" t="n"/>
      <c r="AA197" s="198" t="n"/>
      <c r="AB197" s="198" t="n"/>
      <c r="AC197" s="198" t="n"/>
    </row>
    <row r="198" ht="15" customHeight="1" s="195">
      <c r="A198" s="280" t="n"/>
      <c r="B198" s="280" t="n"/>
      <c r="C198" s="280" t="n"/>
      <c r="D198" s="280" t="n"/>
      <c r="E198" s="280" t="n"/>
      <c r="F198" s="280" t="n"/>
      <c r="G198" s="280" t="n"/>
      <c r="H198" s="280" t="n"/>
      <c r="I198" s="332">
        <f>IFERROR(VLOOKUP(TEXT(H198,"0"),IPRESS!$A$3:$B$212,2,0),"")</f>
        <v/>
      </c>
      <c r="J198" s="280" t="n"/>
      <c r="K198" s="343" t="n"/>
      <c r="L198" s="280" t="n"/>
      <c r="M198" s="280" t="n"/>
      <c r="N198" s="345" t="n"/>
      <c r="O198" s="280" t="n"/>
      <c r="P198" s="332">
        <f>IFERROR(VLOOKUP(TEXT(O198,"0"),CONDUCTORES!$A$3:$G$54,2,0),"")</f>
        <v/>
      </c>
      <c r="Q198" s="332">
        <f>IFERROR(VLOOKUP(TEXT(O198,"0"),CONDUCTORES!$A$3:$H$54,6,0),"")</f>
        <v/>
      </c>
      <c r="R198" s="280" t="n"/>
      <c r="S198" s="280" t="n"/>
      <c r="T198" s="280" t="n"/>
      <c r="U198" s="280" t="n"/>
      <c r="V198" s="280" t="n"/>
      <c r="W198" s="280" t="n"/>
      <c r="X198" s="280" t="n"/>
      <c r="Y198" s="280" t="n"/>
      <c r="Z198" s="350" t="n"/>
      <c r="AA198" s="198" t="n"/>
      <c r="AB198" s="198" t="n"/>
      <c r="AC198" s="198" t="n"/>
    </row>
    <row r="199" ht="15" customHeight="1" s="195">
      <c r="A199" s="280" t="n"/>
      <c r="B199" s="280" t="n"/>
      <c r="C199" s="280" t="n"/>
      <c r="D199" s="280" t="n"/>
      <c r="E199" s="280" t="n"/>
      <c r="F199" s="280" t="n"/>
      <c r="G199" s="280" t="n"/>
      <c r="H199" s="280" t="n"/>
      <c r="I199" s="332">
        <f>IFERROR(VLOOKUP(TEXT(H199,"0"),IPRESS!$A$3:$B$212,2,0),"")</f>
        <v/>
      </c>
      <c r="J199" s="280" t="n"/>
      <c r="K199" s="343" t="n"/>
      <c r="L199" s="280" t="n"/>
      <c r="M199" s="280" t="n"/>
      <c r="N199" s="345" t="n"/>
      <c r="O199" s="280" t="n"/>
      <c r="P199" s="332">
        <f>IFERROR(VLOOKUP(TEXT(O199,"0"),CONDUCTORES!$A$3:$G$54,2,0),"")</f>
        <v/>
      </c>
      <c r="Q199" s="332">
        <f>IFERROR(VLOOKUP(TEXT(O199,"0"),CONDUCTORES!$A$3:$H$54,6,0),"")</f>
        <v/>
      </c>
      <c r="R199" s="280" t="n"/>
      <c r="S199" s="280" t="n"/>
      <c r="T199" s="280" t="n"/>
      <c r="U199" s="280" t="n"/>
      <c r="V199" s="280" t="n"/>
      <c r="W199" s="280" t="n"/>
      <c r="X199" s="280" t="n"/>
      <c r="Y199" s="280" t="n"/>
      <c r="Z199" s="350" t="n"/>
      <c r="AA199" s="198" t="n"/>
      <c r="AB199" s="198" t="n"/>
      <c r="AC199" s="198" t="n"/>
    </row>
    <row r="200" ht="15" customHeight="1" s="195">
      <c r="A200" s="280" t="n"/>
      <c r="B200" s="280" t="n"/>
      <c r="C200" s="280" t="n"/>
      <c r="D200" s="280" t="n"/>
      <c r="E200" s="280" t="n"/>
      <c r="F200" s="280" t="n"/>
      <c r="G200" s="280" t="n"/>
      <c r="H200" s="280" t="n"/>
      <c r="I200" s="332">
        <f>IFERROR(VLOOKUP(TEXT(H200,"0"),IPRESS!$A$3:$B$212,2,0),"")</f>
        <v/>
      </c>
      <c r="J200" s="280" t="n"/>
      <c r="K200" s="343" t="n"/>
      <c r="L200" s="280" t="n"/>
      <c r="M200" s="280" t="n"/>
      <c r="N200" s="345" t="n"/>
      <c r="O200" s="280" t="n"/>
      <c r="P200" s="332">
        <f>IFERROR(VLOOKUP(TEXT(O200,"0"),CONDUCTORES!$A$3:$G$54,2,0),"")</f>
        <v/>
      </c>
      <c r="Q200" s="332">
        <f>IFERROR(VLOOKUP(TEXT(O200,"0"),CONDUCTORES!$A$3:$H$54,6,0),"")</f>
        <v/>
      </c>
      <c r="R200" s="280" t="n"/>
      <c r="S200" s="280" t="n"/>
      <c r="T200" s="280" t="n"/>
      <c r="U200" s="280" t="n"/>
      <c r="V200" s="280" t="n"/>
      <c r="W200" s="280" t="n"/>
      <c r="X200" s="280" t="n"/>
      <c r="Y200" s="280" t="n"/>
      <c r="Z200" s="350" t="n"/>
      <c r="AA200" s="198" t="n"/>
      <c r="AB200" s="198" t="n"/>
      <c r="AC200" s="198" t="n"/>
    </row>
    <row r="201" ht="15" customHeight="1" s="195">
      <c r="A201" s="280" t="n"/>
      <c r="B201" s="280" t="n"/>
      <c r="C201" s="280" t="n"/>
      <c r="D201" s="280" t="n"/>
      <c r="E201" s="280" t="n"/>
      <c r="F201" s="280" t="n"/>
      <c r="G201" s="280" t="n"/>
      <c r="H201" s="280" t="n"/>
      <c r="I201" s="332">
        <f>IFERROR(VLOOKUP(TEXT(H201,"0"),IPRESS!$A$3:$B$212,2,0),"")</f>
        <v/>
      </c>
      <c r="J201" s="280" t="n"/>
      <c r="K201" s="343" t="n"/>
      <c r="L201" s="280" t="n"/>
      <c r="M201" s="280" t="n"/>
      <c r="N201" s="345" t="n"/>
      <c r="O201" s="280" t="n"/>
      <c r="P201" s="332">
        <f>IFERROR(VLOOKUP(TEXT(O201,"0"),CONDUCTORES!$A$3:$G$54,2,0),"")</f>
        <v/>
      </c>
      <c r="Q201" s="332">
        <f>IFERROR(VLOOKUP(TEXT(O201,"0"),CONDUCTORES!$A$3:$H$54,6,0),"")</f>
        <v/>
      </c>
      <c r="R201" s="280" t="n"/>
      <c r="S201" s="280" t="n"/>
      <c r="T201" s="280" t="n"/>
      <c r="U201" s="280" t="n"/>
      <c r="V201" s="280" t="n"/>
      <c r="W201" s="280" t="n"/>
      <c r="X201" s="280" t="n"/>
      <c r="Y201" s="280" t="n"/>
      <c r="Z201" s="350" t="n"/>
      <c r="AA201" s="198" t="n"/>
      <c r="AB201" s="198" t="n"/>
      <c r="AC201" s="198" t="n"/>
    </row>
    <row r="202" ht="15" customHeight="1" s="195">
      <c r="A202" s="280" t="n"/>
      <c r="B202" s="280" t="n"/>
      <c r="C202" s="280" t="n"/>
      <c r="D202" s="280" t="n"/>
      <c r="E202" s="280" t="n"/>
      <c r="F202" s="280" t="n"/>
      <c r="G202" s="280" t="n"/>
      <c r="H202" s="280" t="n"/>
      <c r="I202" s="332">
        <f>IFERROR(VLOOKUP(TEXT(H202,"0"),IPRESS!$A$3:$B$212,2,0),"")</f>
        <v/>
      </c>
      <c r="J202" s="280" t="n"/>
      <c r="K202" s="343" t="n"/>
      <c r="L202" s="280" t="n"/>
      <c r="M202" s="280" t="n"/>
      <c r="N202" s="345" t="n"/>
      <c r="O202" s="280" t="n"/>
      <c r="P202" s="332">
        <f>IFERROR(VLOOKUP(TEXT(O202,"0"),CONDUCTORES!$A$3:$G$54,2,0),"")</f>
        <v/>
      </c>
      <c r="Q202" s="332">
        <f>IFERROR(VLOOKUP(TEXT(O202,"0"),CONDUCTORES!$A$3:$H$54,6,0),"")</f>
        <v/>
      </c>
      <c r="R202" s="280" t="n"/>
      <c r="S202" s="280" t="n"/>
      <c r="T202" s="280" t="n"/>
      <c r="U202" s="280" t="n"/>
      <c r="V202" s="280" t="n"/>
      <c r="W202" s="280" t="n"/>
      <c r="X202" s="280" t="n"/>
      <c r="Y202" s="280" t="n"/>
      <c r="Z202" s="350" t="n"/>
      <c r="AA202" s="198" t="n"/>
      <c r="AB202" s="198" t="n"/>
      <c r="AC202" s="198" t="n"/>
    </row>
    <row r="203" ht="15" customHeight="1" s="195">
      <c r="A203" s="280" t="n"/>
      <c r="B203" s="280" t="n"/>
      <c r="C203" s="280" t="n"/>
      <c r="D203" s="280" t="n"/>
      <c r="E203" s="280" t="n"/>
      <c r="F203" s="280" t="n"/>
      <c r="G203" s="280" t="n"/>
      <c r="H203" s="280" t="n"/>
      <c r="I203" s="332">
        <f>IFERROR(VLOOKUP(TEXT(H203,"0"),IPRESS!$A$3:$B$212,2,0),"")</f>
        <v/>
      </c>
      <c r="J203" s="280" t="n"/>
      <c r="K203" s="343" t="n"/>
      <c r="L203" s="280" t="n"/>
      <c r="M203" s="280" t="n"/>
      <c r="N203" s="345" t="n"/>
      <c r="O203" s="280" t="n"/>
      <c r="P203" s="332">
        <f>IFERROR(VLOOKUP(TEXT(O203,"0"),CONDUCTORES!$A$3:$G$54,2,0),"")</f>
        <v/>
      </c>
      <c r="Q203" s="332">
        <f>IFERROR(VLOOKUP(TEXT(O203,"0"),CONDUCTORES!$A$3:$H$54,6,0),"")</f>
        <v/>
      </c>
      <c r="R203" s="280" t="n"/>
      <c r="S203" s="280" t="n"/>
      <c r="T203" s="280" t="n"/>
      <c r="U203" s="280" t="n"/>
      <c r="V203" s="280" t="n"/>
      <c r="W203" s="280" t="n"/>
      <c r="X203" s="280" t="n"/>
      <c r="Y203" s="280" t="n"/>
      <c r="Z203" s="350" t="n"/>
      <c r="AA203" s="198" t="n"/>
      <c r="AB203" s="198" t="n"/>
      <c r="AC203" s="198" t="n"/>
    </row>
    <row r="204" ht="15" customHeight="1" s="195">
      <c r="A204" s="280" t="n"/>
      <c r="B204" s="280" t="n"/>
      <c r="C204" s="280" t="n"/>
      <c r="D204" s="280" t="n"/>
      <c r="E204" s="280" t="n"/>
      <c r="F204" s="280" t="n"/>
      <c r="G204" s="280" t="n"/>
      <c r="H204" s="280" t="n"/>
      <c r="I204" s="332">
        <f>IFERROR(VLOOKUP(TEXT(H204,"0"),IPRESS!$A$3:$B$212,2,0),"")</f>
        <v/>
      </c>
      <c r="J204" s="280" t="n"/>
      <c r="K204" s="343" t="n"/>
      <c r="L204" s="280" t="n"/>
      <c r="M204" s="280" t="n"/>
      <c r="N204" s="345" t="n"/>
      <c r="O204" s="280" t="n"/>
      <c r="P204" s="332">
        <f>IFERROR(VLOOKUP(TEXT(O204,"0"),CONDUCTORES!$A$3:$G$54,2,0),"")</f>
        <v/>
      </c>
      <c r="Q204" s="332">
        <f>IFERROR(VLOOKUP(TEXT(O204,"0"),CONDUCTORES!$A$3:$H$54,6,0),"")</f>
        <v/>
      </c>
      <c r="R204" s="280" t="n"/>
      <c r="S204" s="280" t="n"/>
      <c r="T204" s="280" t="n"/>
      <c r="U204" s="280" t="n"/>
      <c r="V204" s="280" t="n"/>
      <c r="W204" s="280" t="n"/>
      <c r="X204" s="280" t="n"/>
      <c r="Y204" s="280" t="n"/>
      <c r="Z204" s="350" t="n"/>
      <c r="AA204" s="198" t="n"/>
      <c r="AB204" s="198" t="n"/>
      <c r="AC204" s="198" t="n"/>
    </row>
    <row r="205" ht="15" customHeight="1" s="195">
      <c r="A205" s="280" t="n"/>
      <c r="B205" s="280" t="n"/>
      <c r="C205" s="280" t="n"/>
      <c r="D205" s="280" t="n"/>
      <c r="E205" s="280" t="n"/>
      <c r="F205" s="280" t="n"/>
      <c r="G205" s="280" t="n"/>
      <c r="H205" s="280" t="n"/>
      <c r="I205" s="332">
        <f>IFERROR(VLOOKUP(TEXT(H205,"0"),IPRESS!$A$3:$B$212,2,0),"")</f>
        <v/>
      </c>
      <c r="J205" s="280" t="n"/>
      <c r="K205" s="343" t="n"/>
      <c r="L205" s="280" t="n"/>
      <c r="M205" s="280" t="n"/>
      <c r="N205" s="345" t="n"/>
      <c r="O205" s="280" t="n"/>
      <c r="P205" s="332">
        <f>IFERROR(VLOOKUP(TEXT(O205,"0"),CONDUCTORES!$A$3:$G$54,2,0),"")</f>
        <v/>
      </c>
      <c r="Q205" s="332">
        <f>IFERROR(VLOOKUP(TEXT(O205,"0"),CONDUCTORES!$A$3:$H$54,6,0),"")</f>
        <v/>
      </c>
      <c r="R205" s="280" t="n"/>
      <c r="S205" s="280" t="n"/>
      <c r="T205" s="280" t="n"/>
      <c r="U205" s="280" t="n"/>
      <c r="V205" s="280" t="n"/>
      <c r="W205" s="280" t="n"/>
      <c r="X205" s="280" t="n"/>
      <c r="Y205" s="280" t="n"/>
      <c r="Z205" s="350" t="n"/>
      <c r="AA205" s="198" t="n"/>
      <c r="AB205" s="198" t="n"/>
      <c r="AC205" s="198" t="n"/>
    </row>
    <row r="206" ht="15" customHeight="1" s="195">
      <c r="A206" s="280" t="n"/>
      <c r="B206" s="280" t="n"/>
      <c r="C206" s="280" t="n"/>
      <c r="D206" s="280" t="n"/>
      <c r="E206" s="280" t="n"/>
      <c r="F206" s="280" t="n"/>
      <c r="G206" s="280" t="n"/>
      <c r="H206" s="280" t="n"/>
      <c r="I206" s="332">
        <f>IFERROR(VLOOKUP(TEXT(H206,"0"),IPRESS!$A$3:$B$212,2,0),"")</f>
        <v/>
      </c>
      <c r="J206" s="280" t="n"/>
      <c r="K206" s="343" t="n"/>
      <c r="L206" s="280" t="n"/>
      <c r="M206" s="280" t="n"/>
      <c r="N206" s="345" t="n"/>
      <c r="O206" s="280" t="n"/>
      <c r="P206" s="332">
        <f>IFERROR(VLOOKUP(TEXT(O206,"0"),CONDUCTORES!$A$3:$G$54,2,0),"")</f>
        <v/>
      </c>
      <c r="Q206" s="332">
        <f>IFERROR(VLOOKUP(TEXT(O206,"0"),CONDUCTORES!$A$3:$H$54,6,0),"")</f>
        <v/>
      </c>
      <c r="R206" s="280" t="n"/>
      <c r="S206" s="280" t="n"/>
      <c r="T206" s="280" t="n"/>
      <c r="U206" s="280" t="n"/>
      <c r="V206" s="280" t="n"/>
      <c r="W206" s="280" t="n"/>
      <c r="X206" s="280" t="n"/>
      <c r="Y206" s="280" t="n"/>
      <c r="Z206" s="350" t="n"/>
      <c r="AA206" s="198" t="n"/>
      <c r="AB206" s="198" t="n"/>
      <c r="AC206" s="198" t="n"/>
    </row>
    <row r="207" ht="15" customHeight="1" s="195">
      <c r="A207" s="280" t="n"/>
      <c r="B207" s="280" t="n"/>
      <c r="C207" s="280" t="n"/>
      <c r="D207" s="280" t="n"/>
      <c r="E207" s="280" t="n"/>
      <c r="F207" s="280" t="n"/>
      <c r="G207" s="280" t="n"/>
      <c r="H207" s="280" t="n"/>
      <c r="I207" s="332">
        <f>IFERROR(VLOOKUP(TEXT(H207,"0"),IPRESS!$A$3:$B$212,2,0),"")</f>
        <v/>
      </c>
      <c r="J207" s="280" t="n"/>
      <c r="K207" s="343" t="n"/>
      <c r="L207" s="280" t="n"/>
      <c r="M207" s="280" t="n"/>
      <c r="N207" s="345" t="n"/>
      <c r="O207" s="280" t="n"/>
      <c r="P207" s="332">
        <f>IFERROR(VLOOKUP(TEXT(O207,"0"),CONDUCTORES!$A$3:$G$54,2,0),"")</f>
        <v/>
      </c>
      <c r="Q207" s="332">
        <f>IFERROR(VLOOKUP(TEXT(O207,"0"),CONDUCTORES!$A$3:$H$54,6,0),"")</f>
        <v/>
      </c>
      <c r="R207" s="280" t="n"/>
      <c r="S207" s="280" t="n"/>
      <c r="T207" s="280" t="n"/>
      <c r="U207" s="280" t="n"/>
      <c r="V207" s="280" t="n"/>
      <c r="W207" s="280" t="n"/>
      <c r="X207" s="280" t="n"/>
      <c r="Y207" s="280" t="n"/>
      <c r="Z207" s="350" t="n"/>
      <c r="AA207" s="198" t="n"/>
      <c r="AB207" s="198" t="n"/>
      <c r="AC207" s="198" t="n"/>
    </row>
    <row r="208" ht="15" customHeight="1" s="195">
      <c r="A208" s="280" t="n"/>
      <c r="B208" s="280" t="n"/>
      <c r="C208" s="280" t="n"/>
      <c r="D208" s="280" t="n"/>
      <c r="E208" s="280" t="n"/>
      <c r="F208" s="280" t="n"/>
      <c r="G208" s="280" t="n"/>
      <c r="H208" s="280" t="n"/>
      <c r="I208" s="332">
        <f>IFERROR(VLOOKUP(TEXT(H208,"0"),IPRESS!$A$3:$B$212,2,0),"")</f>
        <v/>
      </c>
      <c r="J208" s="280" t="n"/>
      <c r="K208" s="343" t="n"/>
      <c r="L208" s="280" t="n"/>
      <c r="M208" s="280" t="n"/>
      <c r="N208" s="345" t="n"/>
      <c r="O208" s="280" t="n"/>
      <c r="P208" s="332">
        <f>IFERROR(VLOOKUP(TEXT(O208,"0"),CONDUCTORES!$A$3:$G$54,2,0),"")</f>
        <v/>
      </c>
      <c r="Q208" s="332">
        <f>IFERROR(VLOOKUP(TEXT(O208,"0"),CONDUCTORES!$A$3:$H$54,6,0),"")</f>
        <v/>
      </c>
      <c r="R208" s="280" t="n"/>
      <c r="S208" s="280" t="n"/>
      <c r="T208" s="280" t="n"/>
      <c r="U208" s="280" t="n"/>
      <c r="V208" s="280" t="n"/>
      <c r="W208" s="280" t="n"/>
      <c r="X208" s="280" t="n"/>
      <c r="Y208" s="280" t="n"/>
      <c r="Z208" s="350" t="n"/>
      <c r="AA208" s="198" t="n"/>
      <c r="AB208" s="198" t="n"/>
      <c r="AC208" s="198" t="n"/>
    </row>
    <row r="209" ht="15" customHeight="1" s="195">
      <c r="A209" s="280" t="n"/>
      <c r="B209" s="280" t="n"/>
      <c r="C209" s="280" t="n"/>
      <c r="D209" s="280" t="n"/>
      <c r="E209" s="280" t="n"/>
      <c r="F209" s="280" t="n"/>
      <c r="G209" s="280" t="n"/>
      <c r="H209" s="280" t="n"/>
      <c r="I209" s="332">
        <f>IFERROR(VLOOKUP(TEXT(H209,"0"),IPRESS!$A$3:$B$212,2,0),"")</f>
        <v/>
      </c>
      <c r="J209" s="280" t="n"/>
      <c r="K209" s="343" t="n"/>
      <c r="L209" s="280" t="n"/>
      <c r="M209" s="280" t="n"/>
      <c r="N209" s="345" t="n"/>
      <c r="O209" s="280" t="n"/>
      <c r="P209" s="332">
        <f>IFERROR(VLOOKUP(TEXT(O209,"0"),CONDUCTORES!$A$3:$G$54,2,0),"")</f>
        <v/>
      </c>
      <c r="Q209" s="332">
        <f>IFERROR(VLOOKUP(TEXT(O209,"0"),CONDUCTORES!$A$3:$H$54,6,0),"")</f>
        <v/>
      </c>
      <c r="R209" s="280" t="n"/>
      <c r="S209" s="280" t="n"/>
      <c r="T209" s="280" t="n"/>
      <c r="U209" s="280" t="n"/>
      <c r="V209" s="280" t="n"/>
      <c r="W209" s="280" t="n"/>
      <c r="X209" s="280" t="n"/>
      <c r="Y209" s="280" t="n"/>
      <c r="Z209" s="350" t="n"/>
      <c r="AA209" s="198" t="n"/>
      <c r="AB209" s="198" t="n"/>
      <c r="AC209" s="198" t="n"/>
    </row>
    <row r="210" ht="15" customHeight="1" s="195">
      <c r="A210" s="280" t="n"/>
      <c r="B210" s="280" t="n"/>
      <c r="C210" s="280" t="n"/>
      <c r="D210" s="280" t="n"/>
      <c r="E210" s="280" t="n"/>
      <c r="F210" s="280" t="n"/>
      <c r="G210" s="280" t="n"/>
      <c r="H210" s="280" t="n"/>
      <c r="I210" s="332">
        <f>IFERROR(VLOOKUP(TEXT(H210,"0"),IPRESS!$A$3:$B$212,2,0),"")</f>
        <v/>
      </c>
      <c r="J210" s="280" t="n"/>
      <c r="K210" s="343" t="n"/>
      <c r="L210" s="280" t="n"/>
      <c r="M210" s="280" t="n"/>
      <c r="N210" s="345" t="n"/>
      <c r="O210" s="280" t="n"/>
      <c r="P210" s="332">
        <f>IFERROR(VLOOKUP(TEXT(O210,"0"),CONDUCTORES!$A$3:$G$54,2,0),"")</f>
        <v/>
      </c>
      <c r="Q210" s="332">
        <f>IFERROR(VLOOKUP(TEXT(O210,"0"),CONDUCTORES!$A$3:$H$54,6,0),"")</f>
        <v/>
      </c>
      <c r="R210" s="280" t="n"/>
      <c r="S210" s="280" t="n"/>
      <c r="T210" s="280" t="n"/>
      <c r="U210" s="280" t="n"/>
      <c r="V210" s="280" t="n"/>
      <c r="W210" s="280" t="n"/>
      <c r="X210" s="280" t="n"/>
      <c r="Y210" s="280" t="n"/>
      <c r="Z210" s="350" t="n"/>
      <c r="AA210" s="198" t="n"/>
      <c r="AB210" s="198" t="n"/>
      <c r="AC210" s="198" t="n"/>
    </row>
    <row r="211" ht="15" customHeight="1" s="195">
      <c r="A211" s="280" t="n"/>
      <c r="B211" s="280" t="n"/>
      <c r="C211" s="280" t="n"/>
      <c r="D211" s="280" t="n"/>
      <c r="E211" s="280" t="n"/>
      <c r="F211" s="280" t="n"/>
      <c r="G211" s="280" t="n"/>
      <c r="H211" s="280" t="n"/>
      <c r="I211" s="332">
        <f>IFERROR(VLOOKUP(TEXT(H211,"0"),IPRESS!$A$3:$B$212,2,0),"")</f>
        <v/>
      </c>
      <c r="J211" s="280" t="n"/>
      <c r="K211" s="343" t="n"/>
      <c r="L211" s="280" t="n"/>
      <c r="M211" s="280" t="n"/>
      <c r="N211" s="345" t="n"/>
      <c r="O211" s="280" t="n"/>
      <c r="P211" s="332">
        <f>IFERROR(VLOOKUP(TEXT(O211,"0"),CONDUCTORES!$A$3:$G$54,2,0),"")</f>
        <v/>
      </c>
      <c r="Q211" s="332">
        <f>IFERROR(VLOOKUP(TEXT(O211,"0"),CONDUCTORES!$A$3:$H$54,6,0),"")</f>
        <v/>
      </c>
      <c r="R211" s="280" t="n"/>
      <c r="S211" s="280" t="n"/>
      <c r="T211" s="280" t="n"/>
      <c r="U211" s="280" t="n"/>
      <c r="V211" s="280" t="n"/>
      <c r="W211" s="280" t="n"/>
      <c r="X211" s="280" t="n"/>
      <c r="Y211" s="280" t="n"/>
      <c r="Z211" s="350" t="n"/>
      <c r="AA211" s="198" t="n"/>
      <c r="AB211" s="198" t="n"/>
      <c r="AC211" s="198" t="n"/>
    </row>
    <row r="212" ht="15" customHeight="1" s="195">
      <c r="A212" s="280" t="n"/>
      <c r="B212" s="280" t="n"/>
      <c r="C212" s="280" t="n"/>
      <c r="D212" s="280" t="n"/>
      <c r="E212" s="280" t="n"/>
      <c r="F212" s="280" t="n"/>
      <c r="G212" s="280" t="n"/>
      <c r="H212" s="280" t="n"/>
      <c r="I212" s="332">
        <f>IFERROR(VLOOKUP(TEXT(H212,"0"),IPRESS!$A$3:$B$212,2,0),"")</f>
        <v/>
      </c>
      <c r="J212" s="280" t="n"/>
      <c r="K212" s="343" t="n"/>
      <c r="L212" s="280" t="n"/>
      <c r="M212" s="280" t="n"/>
      <c r="N212" s="345" t="n"/>
      <c r="O212" s="280" t="n"/>
      <c r="P212" s="332">
        <f>IFERROR(VLOOKUP(TEXT(O212,"0"),CONDUCTORES!$A$3:$G$54,2,0),"")</f>
        <v/>
      </c>
      <c r="Q212" s="332">
        <f>IFERROR(VLOOKUP(TEXT(O212,"0"),CONDUCTORES!$A$3:$H$54,6,0),"")</f>
        <v/>
      </c>
      <c r="R212" s="280" t="n"/>
      <c r="S212" s="280" t="n"/>
      <c r="T212" s="280" t="n"/>
      <c r="U212" s="280" t="n"/>
      <c r="V212" s="280" t="n"/>
      <c r="W212" s="280" t="n"/>
      <c r="X212" s="280" t="n"/>
      <c r="Y212" s="280" t="n"/>
      <c r="Z212" s="350" t="n"/>
      <c r="AA212" s="198" t="n"/>
      <c r="AB212" s="198" t="n"/>
      <c r="AC212" s="198" t="n"/>
    </row>
    <row r="213" ht="15" customHeight="1" s="195">
      <c r="A213" s="280" t="n"/>
      <c r="B213" s="280" t="n"/>
      <c r="C213" s="280" t="n"/>
      <c r="D213" s="280" t="n"/>
      <c r="E213" s="280" t="n"/>
      <c r="F213" s="280" t="n"/>
      <c r="G213" s="280" t="n"/>
      <c r="H213" s="280" t="n"/>
      <c r="I213" s="332">
        <f>IFERROR(VLOOKUP(TEXT(H213,"0"),IPRESS!$A$3:$B$212,2,0),"")</f>
        <v/>
      </c>
      <c r="J213" s="280" t="n"/>
      <c r="K213" s="343" t="n"/>
      <c r="L213" s="280" t="n"/>
      <c r="M213" s="280" t="n"/>
      <c r="N213" s="345" t="n"/>
      <c r="O213" s="280" t="n"/>
      <c r="P213" s="332">
        <f>IFERROR(VLOOKUP(TEXT(O213,"0"),CONDUCTORES!$A$3:$G$54,2,0),"")</f>
        <v/>
      </c>
      <c r="Q213" s="332">
        <f>IFERROR(VLOOKUP(TEXT(O213,"0"),CONDUCTORES!$A$3:$H$54,6,0),"")</f>
        <v/>
      </c>
      <c r="R213" s="280" t="n"/>
      <c r="S213" s="280" t="n"/>
      <c r="T213" s="280" t="n"/>
      <c r="U213" s="280" t="n"/>
      <c r="V213" s="280" t="n"/>
      <c r="W213" s="280" t="n"/>
      <c r="X213" s="280" t="n"/>
      <c r="Y213" s="280" t="n"/>
      <c r="Z213" s="350" t="n"/>
      <c r="AA213" s="198" t="n"/>
      <c r="AB213" s="198" t="n"/>
      <c r="AC213" s="198" t="n"/>
    </row>
    <row r="214" ht="15" customHeight="1" s="195">
      <c r="A214" s="280" t="n"/>
      <c r="B214" s="280" t="n"/>
      <c r="C214" s="280" t="n"/>
      <c r="D214" s="280" t="n"/>
      <c r="E214" s="280" t="n"/>
      <c r="F214" s="280" t="n"/>
      <c r="G214" s="280" t="n"/>
      <c r="H214" s="280" t="n"/>
      <c r="I214" s="332">
        <f>IFERROR(VLOOKUP(TEXT(H214,"0"),IPRESS!$A$3:$B$212,2,0),"")</f>
        <v/>
      </c>
      <c r="J214" s="280" t="n"/>
      <c r="K214" s="343" t="n"/>
      <c r="L214" s="280" t="n"/>
      <c r="M214" s="280" t="n"/>
      <c r="N214" s="345" t="n"/>
      <c r="O214" s="280" t="n"/>
      <c r="P214" s="332">
        <f>IFERROR(VLOOKUP(TEXT(O214,"0"),CONDUCTORES!$A$3:$G$54,2,0),"")</f>
        <v/>
      </c>
      <c r="Q214" s="332">
        <f>IFERROR(VLOOKUP(TEXT(O214,"0"),CONDUCTORES!$A$3:$H$54,6,0),"")</f>
        <v/>
      </c>
      <c r="R214" s="280" t="n"/>
      <c r="S214" s="280" t="n"/>
      <c r="T214" s="280" t="n"/>
      <c r="U214" s="280" t="n"/>
      <c r="V214" s="280" t="n"/>
      <c r="W214" s="280" t="n"/>
      <c r="X214" s="280" t="n"/>
      <c r="Y214" s="280" t="n"/>
      <c r="Z214" s="350" t="n"/>
      <c r="AA214" s="198" t="n"/>
      <c r="AB214" s="198" t="n"/>
      <c r="AC214" s="198" t="n"/>
    </row>
    <row r="215" ht="15" customHeight="1" s="195">
      <c r="A215" s="280" t="n"/>
      <c r="B215" s="280" t="n"/>
      <c r="C215" s="280" t="n"/>
      <c r="D215" s="280" t="n"/>
      <c r="E215" s="280" t="n"/>
      <c r="F215" s="280" t="n"/>
      <c r="G215" s="280" t="n"/>
      <c r="H215" s="280" t="n"/>
      <c r="I215" s="332">
        <f>IFERROR(VLOOKUP(TEXT(H215,"0"),IPRESS!$A$3:$B$212,2,0),"")</f>
        <v/>
      </c>
      <c r="J215" s="280" t="n"/>
      <c r="K215" s="343" t="n"/>
      <c r="L215" s="280" t="n"/>
      <c r="M215" s="280" t="n"/>
      <c r="N215" s="345" t="n"/>
      <c r="O215" s="280" t="n"/>
      <c r="P215" s="332">
        <f>IFERROR(VLOOKUP(TEXT(O215,"0"),CONDUCTORES!$A$3:$G$54,2,0),"")</f>
        <v/>
      </c>
      <c r="Q215" s="332">
        <f>IFERROR(VLOOKUP(TEXT(O215,"0"),CONDUCTORES!$A$3:$H$54,6,0),"")</f>
        <v/>
      </c>
      <c r="R215" s="280" t="n"/>
      <c r="S215" s="280" t="n"/>
      <c r="T215" s="280" t="n"/>
      <c r="U215" s="280" t="n"/>
      <c r="V215" s="280" t="n"/>
      <c r="W215" s="280" t="n"/>
      <c r="X215" s="280" t="n"/>
      <c r="Y215" s="280" t="n"/>
      <c r="Z215" s="350" t="n"/>
      <c r="AA215" s="198" t="n"/>
      <c r="AB215" s="198" t="n"/>
      <c r="AC215" s="198" t="n"/>
    </row>
    <row r="216" ht="15" customHeight="1" s="195">
      <c r="A216" s="280" t="n"/>
      <c r="B216" s="280" t="n"/>
      <c r="C216" s="280" t="n"/>
      <c r="D216" s="280" t="n"/>
      <c r="E216" s="280" t="n"/>
      <c r="F216" s="280" t="n"/>
      <c r="G216" s="280" t="n"/>
      <c r="H216" s="280" t="n"/>
      <c r="I216" s="332">
        <f>IFERROR(VLOOKUP(TEXT(H216,"0"),IPRESS!$A$3:$B$212,2,0),"")</f>
        <v/>
      </c>
      <c r="J216" s="280" t="n"/>
      <c r="K216" s="343" t="n"/>
      <c r="L216" s="280" t="n"/>
      <c r="M216" s="280" t="n"/>
      <c r="N216" s="345" t="n"/>
      <c r="O216" s="280" t="n"/>
      <c r="P216" s="332">
        <f>IFERROR(VLOOKUP(TEXT(O216,"0"),CONDUCTORES!$A$3:$G$54,2,0),"")</f>
        <v/>
      </c>
      <c r="Q216" s="332">
        <f>IFERROR(VLOOKUP(TEXT(O216,"0"),CONDUCTORES!$A$3:$H$54,6,0),"")</f>
        <v/>
      </c>
      <c r="R216" s="280" t="n"/>
      <c r="S216" s="280" t="n"/>
      <c r="T216" s="280" t="n"/>
      <c r="U216" s="280" t="n"/>
      <c r="V216" s="280" t="n"/>
      <c r="W216" s="280" t="n"/>
      <c r="X216" s="280" t="n"/>
      <c r="Y216" s="280" t="n"/>
      <c r="Z216" s="350" t="n"/>
      <c r="AA216" s="198" t="n"/>
      <c r="AB216" s="198" t="n"/>
      <c r="AC216" s="198" t="n"/>
    </row>
    <row r="217" ht="15" customHeight="1" s="195">
      <c r="A217" s="280" t="n"/>
      <c r="B217" s="280" t="n"/>
      <c r="C217" s="280" t="n"/>
      <c r="D217" s="280" t="n"/>
      <c r="E217" s="280" t="n"/>
      <c r="F217" s="280" t="n"/>
      <c r="G217" s="280" t="n"/>
      <c r="H217" s="280" t="n"/>
      <c r="I217" s="332">
        <f>IFERROR(VLOOKUP(TEXT(H217,"0"),IPRESS!$A$3:$B$212,2,0),"")</f>
        <v/>
      </c>
      <c r="J217" s="280" t="n"/>
      <c r="K217" s="343" t="n"/>
      <c r="L217" s="280" t="n"/>
      <c r="M217" s="280" t="n"/>
      <c r="N217" s="345" t="n"/>
      <c r="O217" s="280" t="n"/>
      <c r="P217" s="332">
        <f>IFERROR(VLOOKUP(TEXT(O217,"0"),CONDUCTORES!$A$3:$G$54,2,0),"")</f>
        <v/>
      </c>
      <c r="Q217" s="332">
        <f>IFERROR(VLOOKUP(TEXT(O217,"0"),CONDUCTORES!$A$3:$H$54,6,0),"")</f>
        <v/>
      </c>
      <c r="R217" s="280" t="n"/>
      <c r="S217" s="280" t="n"/>
      <c r="T217" s="280" t="n"/>
      <c r="U217" s="280" t="n"/>
      <c r="V217" s="280" t="n"/>
      <c r="W217" s="280" t="n"/>
      <c r="X217" s="280" t="n"/>
      <c r="Y217" s="280" t="n"/>
      <c r="Z217" s="350" t="n"/>
      <c r="AA217" s="198" t="n"/>
      <c r="AB217" s="198" t="n"/>
      <c r="AC217" s="198" t="n"/>
    </row>
    <row r="218" ht="15" customHeight="1" s="195">
      <c r="A218" s="280" t="n"/>
      <c r="B218" s="280" t="n"/>
      <c r="C218" s="280" t="n"/>
      <c r="D218" s="280" t="n"/>
      <c r="E218" s="280" t="n"/>
      <c r="F218" s="280" t="n"/>
      <c r="G218" s="280" t="n"/>
      <c r="H218" s="280" t="n"/>
      <c r="I218" s="332">
        <f>IFERROR(VLOOKUP(TEXT(H218,"0"),IPRESS!$A$3:$B$212,2,0),"")</f>
        <v/>
      </c>
      <c r="J218" s="280" t="n"/>
      <c r="K218" s="343" t="n"/>
      <c r="L218" s="280" t="n"/>
      <c r="M218" s="280" t="n"/>
      <c r="N218" s="345" t="n"/>
      <c r="O218" s="280" t="n"/>
      <c r="P218" s="332">
        <f>IFERROR(VLOOKUP(TEXT(O218,"0"),CONDUCTORES!$A$3:$G$54,2,0),"")</f>
        <v/>
      </c>
      <c r="Q218" s="332">
        <f>IFERROR(VLOOKUP(TEXT(O218,"0"),CONDUCTORES!$A$3:$H$54,6,0),"")</f>
        <v/>
      </c>
      <c r="R218" s="280" t="n"/>
      <c r="S218" s="280" t="n"/>
      <c r="T218" s="280" t="n"/>
      <c r="U218" s="280" t="n"/>
      <c r="V218" s="280" t="n"/>
      <c r="W218" s="280" t="n"/>
      <c r="X218" s="280" t="n"/>
      <c r="Y218" s="280" t="n"/>
      <c r="Z218" s="350" t="n"/>
      <c r="AA218" s="198" t="n"/>
      <c r="AB218" s="198" t="n"/>
      <c r="AC218" s="198" t="n"/>
    </row>
    <row r="219" ht="15" customHeight="1" s="195">
      <c r="A219" s="280" t="n"/>
      <c r="B219" s="280" t="n"/>
      <c r="C219" s="280" t="n"/>
      <c r="D219" s="280" t="n"/>
      <c r="E219" s="280" t="n"/>
      <c r="F219" s="280" t="n"/>
      <c r="G219" s="280" t="n"/>
      <c r="H219" s="280" t="n"/>
      <c r="I219" s="332">
        <f>IFERROR(VLOOKUP(TEXT(H219,"0"),IPRESS!$A$3:$B$212,2,0),"")</f>
        <v/>
      </c>
      <c r="J219" s="280" t="n"/>
      <c r="K219" s="343" t="n"/>
      <c r="L219" s="280" t="n"/>
      <c r="M219" s="280" t="n"/>
      <c r="N219" s="345" t="n"/>
      <c r="O219" s="280" t="n"/>
      <c r="P219" s="332">
        <f>IFERROR(VLOOKUP(TEXT(O219,"0"),CONDUCTORES!$A$3:$G$54,2,0),"")</f>
        <v/>
      </c>
      <c r="Q219" s="332">
        <f>IFERROR(VLOOKUP(TEXT(O219,"0"),CONDUCTORES!$A$3:$H$54,6,0),"")</f>
        <v/>
      </c>
      <c r="R219" s="280" t="n"/>
      <c r="S219" s="280" t="n"/>
      <c r="T219" s="280" t="n"/>
      <c r="U219" s="280" t="n"/>
      <c r="V219" s="280" t="n"/>
      <c r="W219" s="280" t="n"/>
      <c r="X219" s="280" t="n"/>
      <c r="Y219" s="280" t="n"/>
      <c r="Z219" s="350" t="n"/>
      <c r="AA219" s="198" t="n"/>
      <c r="AB219" s="198" t="n"/>
      <c r="AC219" s="198" t="n"/>
    </row>
    <row r="220" ht="15" customHeight="1" s="195">
      <c r="A220" s="280" t="n"/>
      <c r="B220" s="280" t="n"/>
      <c r="C220" s="280" t="n"/>
      <c r="D220" s="280" t="n"/>
      <c r="E220" s="280" t="n"/>
      <c r="F220" s="280" t="n"/>
      <c r="G220" s="280" t="n"/>
      <c r="H220" s="280" t="n"/>
      <c r="I220" s="332">
        <f>IFERROR(VLOOKUP(TEXT(H220,"0"),IPRESS!$A$3:$B$212,2,0),"")</f>
        <v/>
      </c>
      <c r="J220" s="280" t="n"/>
      <c r="K220" s="343" t="n"/>
      <c r="L220" s="280" t="n"/>
      <c r="M220" s="280" t="n"/>
      <c r="N220" s="345" t="n"/>
      <c r="O220" s="280" t="n"/>
      <c r="P220" s="332">
        <f>IFERROR(VLOOKUP(TEXT(O220,"0"),CONDUCTORES!$A$3:$G$54,2,0),"")</f>
        <v/>
      </c>
      <c r="Q220" s="332">
        <f>IFERROR(VLOOKUP(TEXT(O220,"0"),CONDUCTORES!$A$3:$H$54,6,0),"")</f>
        <v/>
      </c>
      <c r="R220" s="280" t="n"/>
      <c r="S220" s="280" t="n"/>
      <c r="T220" s="280" t="n"/>
      <c r="U220" s="280" t="n"/>
      <c r="V220" s="280" t="n"/>
      <c r="W220" s="280" t="n"/>
      <c r="X220" s="280" t="n"/>
      <c r="Y220" s="280" t="n"/>
      <c r="Z220" s="350" t="n"/>
      <c r="AA220" s="198" t="n"/>
      <c r="AB220" s="198" t="n"/>
      <c r="AC220" s="198" t="n"/>
    </row>
    <row r="221" ht="15" customHeight="1" s="195">
      <c r="A221" s="280" t="n"/>
      <c r="B221" s="280" t="n"/>
      <c r="C221" s="280" t="n"/>
      <c r="D221" s="280" t="n"/>
      <c r="E221" s="280" t="n"/>
      <c r="F221" s="280" t="n"/>
      <c r="G221" s="280" t="n"/>
      <c r="H221" s="280" t="n"/>
      <c r="I221" s="332">
        <f>IFERROR(VLOOKUP(TEXT(H221,"0"),IPRESS!$A$3:$B$212,2,0),"")</f>
        <v/>
      </c>
      <c r="J221" s="280" t="n"/>
      <c r="K221" s="343" t="n"/>
      <c r="L221" s="280" t="n"/>
      <c r="M221" s="280" t="n"/>
      <c r="N221" s="345" t="n"/>
      <c r="O221" s="280" t="n"/>
      <c r="P221" s="332">
        <f>IFERROR(VLOOKUP(TEXT(O221,"0"),CONDUCTORES!$A$3:$G$54,2,0),"")</f>
        <v/>
      </c>
      <c r="Q221" s="332">
        <f>IFERROR(VLOOKUP(TEXT(O221,"0"),CONDUCTORES!$A$3:$H$54,6,0),"")</f>
        <v/>
      </c>
      <c r="R221" s="280" t="n"/>
      <c r="S221" s="280" t="n"/>
      <c r="T221" s="280" t="n"/>
      <c r="U221" s="280" t="n"/>
      <c r="V221" s="280" t="n"/>
      <c r="W221" s="280" t="n"/>
      <c r="X221" s="280" t="n"/>
      <c r="Y221" s="280" t="n"/>
      <c r="Z221" s="350" t="n"/>
      <c r="AA221" s="198" t="n"/>
      <c r="AB221" s="198" t="n"/>
      <c r="AC221" s="198" t="n"/>
    </row>
    <row r="222" ht="15" customHeight="1" s="195">
      <c r="A222" s="280" t="n"/>
      <c r="B222" s="280" t="n"/>
      <c r="C222" s="280" t="n"/>
      <c r="D222" s="280" t="n"/>
      <c r="E222" s="280" t="n"/>
      <c r="F222" s="280" t="n"/>
      <c r="G222" s="280" t="n"/>
      <c r="H222" s="280" t="n"/>
      <c r="I222" s="332">
        <f>IFERROR(VLOOKUP(TEXT(H222,"0"),IPRESS!$A$3:$B$212,2,0),"")</f>
        <v/>
      </c>
      <c r="J222" s="280" t="n"/>
      <c r="K222" s="343" t="n"/>
      <c r="L222" s="280" t="n"/>
      <c r="M222" s="280" t="n"/>
      <c r="N222" s="345" t="n"/>
      <c r="O222" s="280" t="n"/>
      <c r="P222" s="332">
        <f>IFERROR(VLOOKUP(TEXT(O222,"0"),CONDUCTORES!$A$3:$G$54,2,0),"")</f>
        <v/>
      </c>
      <c r="Q222" s="332">
        <f>IFERROR(VLOOKUP(TEXT(O222,"0"),CONDUCTORES!$A$3:$H$54,6,0),"")</f>
        <v/>
      </c>
      <c r="R222" s="280" t="n"/>
      <c r="S222" s="280" t="n"/>
      <c r="T222" s="280" t="n"/>
      <c r="U222" s="280" t="n"/>
      <c r="V222" s="280" t="n"/>
      <c r="W222" s="280" t="n"/>
      <c r="X222" s="280" t="n"/>
      <c r="Y222" s="280" t="n"/>
      <c r="Z222" s="350" t="n"/>
      <c r="AA222" s="198" t="n"/>
      <c r="AB222" s="198" t="n"/>
      <c r="AC222" s="198" t="n"/>
    </row>
    <row r="223" ht="15" customHeight="1" s="195">
      <c r="A223" s="280" t="n"/>
      <c r="B223" s="280" t="n"/>
      <c r="C223" s="280" t="n"/>
      <c r="D223" s="280" t="n"/>
      <c r="E223" s="280" t="n"/>
      <c r="F223" s="280" t="n"/>
      <c r="G223" s="280" t="n"/>
      <c r="H223" s="280" t="n"/>
      <c r="I223" s="332">
        <f>IFERROR(VLOOKUP(TEXT(H223,"0"),IPRESS!$A$3:$B$212,2,0),"")</f>
        <v/>
      </c>
      <c r="J223" s="280" t="n"/>
      <c r="K223" s="343" t="n"/>
      <c r="L223" s="280" t="n"/>
      <c r="M223" s="280" t="n"/>
      <c r="N223" s="345" t="n"/>
      <c r="O223" s="280" t="n"/>
      <c r="P223" s="332">
        <f>IFERROR(VLOOKUP(TEXT(O223,"0"),CONDUCTORES!$A$3:$G$54,2,0),"")</f>
        <v/>
      </c>
      <c r="Q223" s="332">
        <f>IFERROR(VLOOKUP(TEXT(O223,"0"),CONDUCTORES!$A$3:$H$54,6,0),"")</f>
        <v/>
      </c>
      <c r="R223" s="280" t="n"/>
      <c r="S223" s="280" t="n"/>
      <c r="T223" s="280" t="n"/>
      <c r="U223" s="280" t="n"/>
      <c r="V223" s="280" t="n"/>
      <c r="W223" s="280" t="n"/>
      <c r="X223" s="280" t="n"/>
      <c r="Y223" s="280" t="n"/>
      <c r="Z223" s="350" t="n"/>
      <c r="AA223" s="198" t="n"/>
      <c r="AB223" s="198" t="n"/>
      <c r="AC223" s="198" t="n"/>
    </row>
    <row r="224" ht="15" customHeight="1" s="195">
      <c r="A224" s="280" t="n"/>
      <c r="B224" s="280" t="n"/>
      <c r="C224" s="280" t="n"/>
      <c r="D224" s="280" t="n"/>
      <c r="E224" s="280" t="n"/>
      <c r="F224" s="280" t="n"/>
      <c r="G224" s="280" t="n"/>
      <c r="H224" s="280" t="n"/>
      <c r="I224" s="332">
        <f>IFERROR(VLOOKUP(TEXT(H224,"0"),IPRESS!$A$3:$B$212,2,0),"")</f>
        <v/>
      </c>
      <c r="J224" s="280" t="n"/>
      <c r="K224" s="343" t="n"/>
      <c r="L224" s="280" t="n"/>
      <c r="M224" s="280" t="n"/>
      <c r="N224" s="345" t="n"/>
      <c r="O224" s="280" t="n"/>
      <c r="P224" s="332">
        <f>IFERROR(VLOOKUP(TEXT(O224,"0"),CONDUCTORES!$A$3:$G$54,2,0),"")</f>
        <v/>
      </c>
      <c r="Q224" s="332">
        <f>IFERROR(VLOOKUP(TEXT(O224,"0"),CONDUCTORES!$A$3:$H$54,6,0),"")</f>
        <v/>
      </c>
      <c r="R224" s="280" t="n"/>
      <c r="S224" s="280" t="n"/>
      <c r="T224" s="280" t="n"/>
      <c r="U224" s="280" t="n"/>
      <c r="V224" s="280" t="n"/>
      <c r="W224" s="280" t="n"/>
      <c r="X224" s="280" t="n"/>
      <c r="Y224" s="280" t="n"/>
      <c r="Z224" s="350" t="n"/>
      <c r="AA224" s="198" t="n"/>
      <c r="AB224" s="198" t="n"/>
      <c r="AC224" s="198" t="n"/>
    </row>
    <row r="225" ht="15" customHeight="1" s="195">
      <c r="A225" s="280" t="n"/>
      <c r="B225" s="280" t="n"/>
      <c r="C225" s="280" t="n"/>
      <c r="D225" s="280" t="n"/>
      <c r="E225" s="280" t="n"/>
      <c r="F225" s="280" t="n"/>
      <c r="G225" s="280" t="n"/>
      <c r="H225" s="280" t="n"/>
      <c r="I225" s="332">
        <f>IFERROR(VLOOKUP(TEXT(H225,"0"),IPRESS!$A$3:$B$212,2,0),"")</f>
        <v/>
      </c>
      <c r="J225" s="280" t="n"/>
      <c r="K225" s="343" t="n"/>
      <c r="L225" s="280" t="n"/>
      <c r="M225" s="280" t="n"/>
      <c r="N225" s="345" t="n"/>
      <c r="O225" s="280" t="n"/>
      <c r="P225" s="332">
        <f>IFERROR(VLOOKUP(TEXT(O225,"0"),CONDUCTORES!$A$3:$G$54,2,0),"")</f>
        <v/>
      </c>
      <c r="Q225" s="332">
        <f>IFERROR(VLOOKUP(TEXT(O225,"0"),CONDUCTORES!$A$3:$H$54,6,0),"")</f>
        <v/>
      </c>
      <c r="R225" s="280" t="n"/>
      <c r="S225" s="280" t="n"/>
      <c r="T225" s="280" t="n"/>
      <c r="U225" s="280" t="n"/>
      <c r="V225" s="280" t="n"/>
      <c r="W225" s="280" t="n"/>
      <c r="X225" s="280" t="n"/>
      <c r="Y225" s="280" t="n"/>
      <c r="Z225" s="350" t="n"/>
      <c r="AA225" s="198" t="n"/>
      <c r="AB225" s="198" t="n"/>
      <c r="AC225" s="198" t="n"/>
    </row>
    <row r="226" ht="15" customHeight="1" s="195">
      <c r="A226" s="280" t="n"/>
      <c r="B226" s="280" t="n"/>
      <c r="C226" s="280" t="n"/>
      <c r="D226" s="280" t="n"/>
      <c r="E226" s="280" t="n"/>
      <c r="F226" s="280" t="n"/>
      <c r="G226" s="280" t="n"/>
      <c r="H226" s="280" t="n"/>
      <c r="I226" s="332">
        <f>IFERROR(VLOOKUP(TEXT(H226,"0"),IPRESS!$A$3:$B$212,2,0),"")</f>
        <v/>
      </c>
      <c r="J226" s="280" t="n"/>
      <c r="K226" s="343" t="n"/>
      <c r="L226" s="280" t="n"/>
      <c r="M226" s="280" t="n"/>
      <c r="N226" s="345" t="n"/>
      <c r="O226" s="280" t="n"/>
      <c r="P226" s="332">
        <f>IFERROR(VLOOKUP(TEXT(O226,"0"),CONDUCTORES!$A$3:$G$54,2,0),"")</f>
        <v/>
      </c>
      <c r="Q226" s="332">
        <f>IFERROR(VLOOKUP(TEXT(O226,"0"),CONDUCTORES!$A$3:$H$54,6,0),"")</f>
        <v/>
      </c>
      <c r="R226" s="280" t="n"/>
      <c r="S226" s="280" t="n"/>
      <c r="T226" s="280" t="n"/>
      <c r="U226" s="280" t="n"/>
      <c r="V226" s="280" t="n"/>
      <c r="W226" s="280" t="n"/>
      <c r="X226" s="280" t="n"/>
      <c r="Y226" s="280" t="n"/>
      <c r="Z226" s="350" t="n"/>
      <c r="AA226" s="198" t="n"/>
      <c r="AB226" s="198" t="n"/>
      <c r="AC226" s="198" t="n"/>
    </row>
    <row r="227" ht="15" customHeight="1" s="195">
      <c r="A227" s="280" t="n"/>
      <c r="B227" s="280" t="n"/>
      <c r="C227" s="280" t="n"/>
      <c r="D227" s="280" t="n"/>
      <c r="E227" s="280" t="n"/>
      <c r="F227" s="280" t="n"/>
      <c r="G227" s="280" t="n"/>
      <c r="H227" s="280" t="n"/>
      <c r="I227" s="332">
        <f>IFERROR(VLOOKUP(TEXT(H227,"0"),IPRESS!$A$3:$B$212,2,0),"")</f>
        <v/>
      </c>
      <c r="J227" s="280" t="n"/>
      <c r="K227" s="343" t="n"/>
      <c r="L227" s="280" t="n"/>
      <c r="M227" s="280" t="n"/>
      <c r="N227" s="345" t="n"/>
      <c r="O227" s="280" t="n"/>
      <c r="P227" s="332">
        <f>IFERROR(VLOOKUP(TEXT(O227,"0"),CONDUCTORES!$A$3:$G$54,2,0),"")</f>
        <v/>
      </c>
      <c r="Q227" s="332">
        <f>IFERROR(VLOOKUP(TEXT(O227,"0"),CONDUCTORES!$A$3:$H$54,6,0),"")</f>
        <v/>
      </c>
      <c r="R227" s="280" t="n"/>
      <c r="S227" s="280" t="n"/>
      <c r="T227" s="280" t="n"/>
      <c r="U227" s="280" t="n"/>
      <c r="V227" s="280" t="n"/>
      <c r="W227" s="280" t="n"/>
      <c r="X227" s="280" t="n"/>
      <c r="Y227" s="280" t="n"/>
      <c r="Z227" s="350" t="n"/>
      <c r="AA227" s="198" t="n"/>
      <c r="AB227" s="198" t="n"/>
      <c r="AC227" s="198" t="n"/>
    </row>
    <row r="228" ht="15" customHeight="1" s="195">
      <c r="A228" s="280" t="n"/>
      <c r="B228" s="280" t="n"/>
      <c r="C228" s="280" t="n"/>
      <c r="D228" s="280" t="n"/>
      <c r="E228" s="280" t="n"/>
      <c r="F228" s="280" t="n"/>
      <c r="G228" s="280" t="n"/>
      <c r="H228" s="280" t="n"/>
      <c r="I228" s="332">
        <f>IFERROR(VLOOKUP(TEXT(H228,"0"),IPRESS!$A$3:$B$212,2,0),"")</f>
        <v/>
      </c>
      <c r="J228" s="280" t="n"/>
      <c r="K228" s="343" t="n"/>
      <c r="L228" s="280" t="n"/>
      <c r="M228" s="280" t="n"/>
      <c r="N228" s="345" t="n"/>
      <c r="O228" s="280" t="n"/>
      <c r="P228" s="332">
        <f>IFERROR(VLOOKUP(TEXT(O228,"0"),CONDUCTORES!$A$3:$G$54,2,0),"")</f>
        <v/>
      </c>
      <c r="Q228" s="332">
        <f>IFERROR(VLOOKUP(TEXT(O228,"0"),CONDUCTORES!$A$3:$H$54,6,0),"")</f>
        <v/>
      </c>
      <c r="R228" s="280" t="n"/>
      <c r="S228" s="280" t="n"/>
      <c r="T228" s="280" t="n"/>
      <c r="U228" s="280" t="n"/>
      <c r="V228" s="280" t="n"/>
      <c r="W228" s="280" t="n"/>
      <c r="X228" s="280" t="n"/>
      <c r="Y228" s="280" t="n"/>
      <c r="Z228" s="350" t="n"/>
      <c r="AA228" s="198" t="n"/>
      <c r="AB228" s="198" t="n"/>
      <c r="AC228" s="198" t="n"/>
    </row>
    <row r="229" ht="15" customHeight="1" s="195">
      <c r="A229" s="280" t="n"/>
      <c r="B229" s="280" t="n"/>
      <c r="C229" s="280" t="n"/>
      <c r="D229" s="280" t="n"/>
      <c r="E229" s="280" t="n"/>
      <c r="F229" s="280" t="n"/>
      <c r="G229" s="280" t="n"/>
      <c r="H229" s="280" t="n"/>
      <c r="I229" s="332">
        <f>IFERROR(VLOOKUP(TEXT(H229,"0"),IPRESS!$A$3:$B$212,2,0),"")</f>
        <v/>
      </c>
      <c r="J229" s="280" t="n"/>
      <c r="K229" s="343" t="n"/>
      <c r="L229" s="280" t="n"/>
      <c r="M229" s="280" t="n"/>
      <c r="N229" s="345" t="n"/>
      <c r="O229" s="280" t="n"/>
      <c r="P229" s="332">
        <f>IFERROR(VLOOKUP(TEXT(O229,"0"),CONDUCTORES!$A$3:$G$54,2,0),"")</f>
        <v/>
      </c>
      <c r="Q229" s="332">
        <f>IFERROR(VLOOKUP(TEXT(O229,"0"),CONDUCTORES!$A$3:$H$54,6,0),"")</f>
        <v/>
      </c>
      <c r="R229" s="280" t="n"/>
      <c r="S229" s="280" t="n"/>
      <c r="T229" s="280" t="n"/>
      <c r="U229" s="280" t="n"/>
      <c r="V229" s="280" t="n"/>
      <c r="W229" s="280" t="n"/>
      <c r="X229" s="280" t="n"/>
      <c r="Y229" s="280" t="n"/>
      <c r="Z229" s="350" t="n"/>
      <c r="AA229" s="198" t="n"/>
      <c r="AB229" s="198" t="n"/>
      <c r="AC229" s="198" t="n"/>
    </row>
    <row r="230" ht="15" customHeight="1" s="195">
      <c r="A230" s="280" t="n"/>
      <c r="B230" s="280" t="n"/>
      <c r="C230" s="280" t="n"/>
      <c r="D230" s="280" t="n"/>
      <c r="E230" s="280" t="n"/>
      <c r="F230" s="280" t="n"/>
      <c r="G230" s="280" t="n"/>
      <c r="H230" s="280" t="n"/>
      <c r="I230" s="332">
        <f>IFERROR(VLOOKUP(TEXT(H230,"0"),IPRESS!$A$3:$B$212,2,0),"")</f>
        <v/>
      </c>
      <c r="J230" s="280" t="n"/>
      <c r="K230" s="343" t="n"/>
      <c r="L230" s="280" t="n"/>
      <c r="M230" s="280" t="n"/>
      <c r="N230" s="345" t="n"/>
      <c r="O230" s="280" t="n"/>
      <c r="P230" s="332">
        <f>IFERROR(VLOOKUP(TEXT(O230,"0"),CONDUCTORES!$A$3:$G$54,2,0),"")</f>
        <v/>
      </c>
      <c r="Q230" s="332">
        <f>IFERROR(VLOOKUP(TEXT(O230,"0"),CONDUCTORES!$A$3:$H$54,6,0),"")</f>
        <v/>
      </c>
      <c r="R230" s="280" t="n"/>
      <c r="S230" s="280" t="n"/>
      <c r="T230" s="280" t="n"/>
      <c r="U230" s="280" t="n"/>
      <c r="V230" s="280" t="n"/>
      <c r="W230" s="280" t="n"/>
      <c r="X230" s="280" t="n"/>
      <c r="Y230" s="280" t="n"/>
      <c r="Z230" s="350" t="n"/>
      <c r="AA230" s="198" t="n"/>
      <c r="AB230" s="198" t="n"/>
      <c r="AC230" s="198" t="n"/>
    </row>
    <row r="231" ht="15" customHeight="1" s="195">
      <c r="A231" s="280" t="n"/>
      <c r="B231" s="280" t="n"/>
      <c r="C231" s="280" t="n"/>
      <c r="D231" s="280" t="n"/>
      <c r="E231" s="280" t="n"/>
      <c r="F231" s="280" t="n"/>
      <c r="G231" s="280" t="n"/>
      <c r="H231" s="280" t="n"/>
      <c r="I231" s="332">
        <f>IFERROR(VLOOKUP(TEXT(H231,"0"),IPRESS!$A$3:$B$212,2,0),"")</f>
        <v/>
      </c>
      <c r="J231" s="280" t="n"/>
      <c r="K231" s="343" t="n"/>
      <c r="L231" s="280" t="n"/>
      <c r="M231" s="280" t="n"/>
      <c r="N231" s="345" t="n"/>
      <c r="O231" s="280" t="n"/>
      <c r="P231" s="332">
        <f>IFERROR(VLOOKUP(TEXT(O231,"0"),CONDUCTORES!$A$3:$G$54,2,0),"")</f>
        <v/>
      </c>
      <c r="Q231" s="332">
        <f>IFERROR(VLOOKUP(TEXT(O231,"0"),CONDUCTORES!$A$3:$H$54,6,0),"")</f>
        <v/>
      </c>
      <c r="R231" s="280" t="n"/>
      <c r="S231" s="280" t="n"/>
      <c r="T231" s="280" t="n"/>
      <c r="U231" s="280" t="n"/>
      <c r="V231" s="280" t="n"/>
      <c r="W231" s="280" t="n"/>
      <c r="X231" s="280" t="n"/>
      <c r="Y231" s="280" t="n"/>
      <c r="Z231" s="350" t="n"/>
      <c r="AA231" s="198" t="n"/>
      <c r="AB231" s="198" t="n"/>
      <c r="AC231" s="198" t="n"/>
    </row>
    <row r="232" ht="15" customHeight="1" s="195">
      <c r="A232" s="280" t="n"/>
      <c r="B232" s="280" t="n"/>
      <c r="C232" s="280" t="n"/>
      <c r="D232" s="280" t="n"/>
      <c r="E232" s="280" t="n"/>
      <c r="F232" s="280" t="n"/>
      <c r="G232" s="280" t="n"/>
      <c r="H232" s="280" t="n"/>
      <c r="I232" s="332">
        <f>IFERROR(VLOOKUP(TEXT(H232,"0"),IPRESS!$A$3:$B$212,2,0),"")</f>
        <v/>
      </c>
      <c r="J232" s="280" t="n"/>
      <c r="K232" s="343" t="n"/>
      <c r="L232" s="280" t="n"/>
      <c r="M232" s="280" t="n"/>
      <c r="N232" s="345" t="n"/>
      <c r="O232" s="280" t="n"/>
      <c r="P232" s="332">
        <f>IFERROR(VLOOKUP(TEXT(O232,"0"),CONDUCTORES!$A$3:$G$54,2,0),"")</f>
        <v/>
      </c>
      <c r="Q232" s="332">
        <f>IFERROR(VLOOKUP(TEXT(O232,"0"),CONDUCTORES!$A$3:$H$54,6,0),"")</f>
        <v/>
      </c>
      <c r="R232" s="280" t="n"/>
      <c r="S232" s="280" t="n"/>
      <c r="T232" s="280" t="n"/>
      <c r="U232" s="280" t="n"/>
      <c r="V232" s="280" t="n"/>
      <c r="W232" s="280" t="n"/>
      <c r="X232" s="280" t="n"/>
      <c r="Y232" s="280" t="n"/>
      <c r="Z232" s="350" t="n"/>
      <c r="AA232" s="198" t="n"/>
      <c r="AB232" s="198" t="n"/>
      <c r="AC232" s="198" t="n"/>
    </row>
    <row r="233" ht="15" customHeight="1" s="195">
      <c r="A233" s="280" t="n"/>
      <c r="B233" s="280" t="n"/>
      <c r="C233" s="280" t="n"/>
      <c r="D233" s="280" t="n"/>
      <c r="E233" s="280" t="n"/>
      <c r="F233" s="280" t="n"/>
      <c r="G233" s="280" t="n"/>
      <c r="H233" s="280" t="n"/>
      <c r="I233" s="332">
        <f>IFERROR(VLOOKUP(TEXT(H233,"0"),IPRESS!$A$3:$B$212,2,0),"")</f>
        <v/>
      </c>
      <c r="J233" s="280" t="n"/>
      <c r="K233" s="343" t="n"/>
      <c r="L233" s="280" t="n"/>
      <c r="M233" s="280" t="n"/>
      <c r="N233" s="345" t="n"/>
      <c r="O233" s="280" t="n"/>
      <c r="P233" s="332">
        <f>IFERROR(VLOOKUP(TEXT(O233,"0"),CONDUCTORES!$A$3:$G$54,2,0),"")</f>
        <v/>
      </c>
      <c r="Q233" s="332">
        <f>IFERROR(VLOOKUP(TEXT(O233,"0"),CONDUCTORES!$A$3:$H$54,6,0),"")</f>
        <v/>
      </c>
      <c r="R233" s="280" t="n"/>
      <c r="S233" s="280" t="n"/>
      <c r="T233" s="280" t="n"/>
      <c r="U233" s="280" t="n"/>
      <c r="V233" s="280" t="n"/>
      <c r="W233" s="280" t="n"/>
      <c r="X233" s="280" t="n"/>
      <c r="Y233" s="280" t="n"/>
      <c r="Z233" s="350" t="n"/>
      <c r="AA233" s="198" t="n"/>
      <c r="AB233" s="198" t="n"/>
      <c r="AC233" s="198" t="n"/>
    </row>
    <row r="234" ht="15" customHeight="1" s="195">
      <c r="A234" s="280" t="n"/>
      <c r="B234" s="280" t="n"/>
      <c r="C234" s="280" t="n"/>
      <c r="D234" s="280" t="n"/>
      <c r="E234" s="280" t="n"/>
      <c r="F234" s="280" t="n"/>
      <c r="G234" s="280" t="n"/>
      <c r="H234" s="280" t="n"/>
      <c r="I234" s="332">
        <f>IFERROR(VLOOKUP(TEXT(H234,"0"),IPRESS!$A$3:$B$212,2,0),"")</f>
        <v/>
      </c>
      <c r="J234" s="280" t="n"/>
      <c r="K234" s="343" t="n"/>
      <c r="L234" s="280" t="n"/>
      <c r="M234" s="280" t="n"/>
      <c r="N234" s="345" t="n"/>
      <c r="O234" s="280" t="n"/>
      <c r="P234" s="332">
        <f>IFERROR(VLOOKUP(TEXT(O234,"0"),CONDUCTORES!$A$3:$G$54,2,0),"")</f>
        <v/>
      </c>
      <c r="Q234" s="332">
        <f>IFERROR(VLOOKUP(TEXT(O234,"0"),CONDUCTORES!$A$3:$H$54,6,0),"")</f>
        <v/>
      </c>
      <c r="R234" s="280" t="n"/>
      <c r="S234" s="280" t="n"/>
      <c r="T234" s="280" t="n"/>
      <c r="U234" s="280" t="n"/>
      <c r="V234" s="280" t="n"/>
      <c r="W234" s="280" t="n"/>
      <c r="X234" s="280" t="n"/>
      <c r="Y234" s="280" t="n"/>
      <c r="Z234" s="350" t="n"/>
      <c r="AA234" s="198" t="n"/>
      <c r="AB234" s="198" t="n"/>
      <c r="AC234" s="198" t="n"/>
    </row>
    <row r="235" ht="15" customHeight="1" s="195">
      <c r="A235" s="280" t="n"/>
      <c r="B235" s="280" t="n"/>
      <c r="C235" s="280" t="n"/>
      <c r="D235" s="280" t="n"/>
      <c r="E235" s="280" t="n"/>
      <c r="F235" s="280" t="n"/>
      <c r="G235" s="280" t="n"/>
      <c r="H235" s="280" t="n"/>
      <c r="I235" s="332">
        <f>IFERROR(VLOOKUP(TEXT(H235,"0"),IPRESS!$A$3:$B$212,2,0),"")</f>
        <v/>
      </c>
      <c r="J235" s="280" t="n"/>
      <c r="K235" s="343" t="n"/>
      <c r="L235" s="280" t="n"/>
      <c r="M235" s="280" t="n"/>
      <c r="N235" s="345" t="n"/>
      <c r="O235" s="280" t="n"/>
      <c r="P235" s="332">
        <f>IFERROR(VLOOKUP(TEXT(O235,"0"),CONDUCTORES!$A$3:$G$54,2,0),"")</f>
        <v/>
      </c>
      <c r="Q235" s="332">
        <f>IFERROR(VLOOKUP(TEXT(O235,"0"),CONDUCTORES!$A$3:$H$54,6,0),"")</f>
        <v/>
      </c>
      <c r="R235" s="280" t="n"/>
      <c r="S235" s="280" t="n"/>
      <c r="T235" s="280" t="n"/>
      <c r="U235" s="280" t="n"/>
      <c r="V235" s="280" t="n"/>
      <c r="W235" s="280" t="n"/>
      <c r="X235" s="280" t="n"/>
      <c r="Y235" s="280" t="n"/>
      <c r="Z235" s="350" t="n"/>
      <c r="AA235" s="198" t="n"/>
      <c r="AB235" s="198" t="n"/>
      <c r="AC235" s="198" t="n"/>
    </row>
    <row r="236" ht="15" customHeight="1" s="195">
      <c r="A236" s="280" t="n"/>
      <c r="B236" s="280" t="n"/>
      <c r="C236" s="280" t="n"/>
      <c r="D236" s="280" t="n"/>
      <c r="E236" s="280" t="n"/>
      <c r="F236" s="280" t="n"/>
      <c r="G236" s="280" t="n"/>
      <c r="H236" s="280" t="n"/>
      <c r="I236" s="332">
        <f>IFERROR(VLOOKUP(TEXT(H236,"0"),IPRESS!$A$3:$B$212,2,0),"")</f>
        <v/>
      </c>
      <c r="J236" s="280" t="n"/>
      <c r="K236" s="343" t="n"/>
      <c r="L236" s="280" t="n"/>
      <c r="M236" s="280" t="n"/>
      <c r="N236" s="345" t="n"/>
      <c r="O236" s="280" t="n"/>
      <c r="P236" s="332">
        <f>IFERROR(VLOOKUP(TEXT(O236,"0"),CONDUCTORES!$A$3:$G$54,2,0),"")</f>
        <v/>
      </c>
      <c r="Q236" s="332">
        <f>IFERROR(VLOOKUP(TEXT(O236,"0"),CONDUCTORES!$A$3:$H$54,6,0),"")</f>
        <v/>
      </c>
      <c r="R236" s="280" t="n"/>
      <c r="S236" s="280" t="n"/>
      <c r="T236" s="280" t="n"/>
      <c r="U236" s="280" t="n"/>
      <c r="V236" s="280" t="n"/>
      <c r="W236" s="280" t="n"/>
      <c r="X236" s="280" t="n"/>
      <c r="Y236" s="280" t="n"/>
      <c r="Z236" s="350" t="n"/>
      <c r="AA236" s="198" t="n"/>
      <c r="AB236" s="198" t="n"/>
      <c r="AC236" s="198" t="n"/>
    </row>
    <row r="237" ht="15" customHeight="1" s="195">
      <c r="A237" s="280" t="n"/>
      <c r="B237" s="280" t="n"/>
      <c r="C237" s="280" t="n"/>
      <c r="D237" s="280" t="n"/>
      <c r="E237" s="280" t="n"/>
      <c r="F237" s="280" t="n"/>
      <c r="G237" s="280" t="n"/>
      <c r="H237" s="280" t="n"/>
      <c r="I237" s="332">
        <f>IFERROR(VLOOKUP(TEXT(H237,"0"),IPRESS!$A$3:$B$212,2,0),"")</f>
        <v/>
      </c>
      <c r="J237" s="280" t="n"/>
      <c r="K237" s="343" t="n"/>
      <c r="L237" s="280" t="n"/>
      <c r="M237" s="280" t="n"/>
      <c r="N237" s="345" t="n"/>
      <c r="O237" s="280" t="n"/>
      <c r="P237" s="332">
        <f>IFERROR(VLOOKUP(TEXT(O237,"0"),CONDUCTORES!$A$3:$G$54,2,0),"")</f>
        <v/>
      </c>
      <c r="Q237" s="332">
        <f>IFERROR(VLOOKUP(TEXT(O237,"0"),CONDUCTORES!$A$3:$H$54,6,0),"")</f>
        <v/>
      </c>
      <c r="R237" s="280" t="n"/>
      <c r="S237" s="280" t="n"/>
      <c r="T237" s="280" t="n"/>
      <c r="U237" s="280" t="n"/>
      <c r="V237" s="280" t="n"/>
      <c r="W237" s="280" t="n"/>
      <c r="X237" s="280" t="n"/>
      <c r="Y237" s="280" t="n"/>
      <c r="Z237" s="350" t="n"/>
      <c r="AA237" s="198" t="n"/>
      <c r="AB237" s="198" t="n"/>
      <c r="AC237" s="198" t="n"/>
    </row>
    <row r="238" ht="15" customHeight="1" s="195">
      <c r="A238" s="280" t="n"/>
      <c r="B238" s="280" t="n"/>
      <c r="C238" s="280" t="n"/>
      <c r="D238" s="280" t="n"/>
      <c r="E238" s="280" t="n"/>
      <c r="F238" s="280" t="n"/>
      <c r="G238" s="280" t="n"/>
      <c r="H238" s="280" t="n"/>
      <c r="I238" s="332">
        <f>IFERROR(VLOOKUP(TEXT(H238,"0"),IPRESS!$A$3:$B$212,2,0),"")</f>
        <v/>
      </c>
      <c r="J238" s="280" t="n"/>
      <c r="K238" s="343" t="n"/>
      <c r="L238" s="280" t="n"/>
      <c r="M238" s="280" t="n"/>
      <c r="N238" s="345" t="n"/>
      <c r="O238" s="280" t="n"/>
      <c r="P238" s="332">
        <f>IFERROR(VLOOKUP(TEXT(O238,"0"),CONDUCTORES!$A$3:$G$54,2,0),"")</f>
        <v/>
      </c>
      <c r="Q238" s="332">
        <f>IFERROR(VLOOKUP(TEXT(O238,"0"),CONDUCTORES!$A$3:$H$54,6,0),"")</f>
        <v/>
      </c>
      <c r="R238" s="280" t="n"/>
      <c r="S238" s="280" t="n"/>
      <c r="T238" s="280" t="n"/>
      <c r="U238" s="280" t="n"/>
      <c r="V238" s="280" t="n"/>
      <c r="W238" s="280" t="n"/>
      <c r="X238" s="280" t="n"/>
      <c r="Y238" s="280" t="n"/>
      <c r="Z238" s="350" t="n"/>
      <c r="AA238" s="198" t="n"/>
      <c r="AB238" s="198" t="n"/>
      <c r="AC238" s="198" t="n"/>
    </row>
    <row r="239" ht="15" customHeight="1" s="195">
      <c r="A239" s="280" t="n"/>
      <c r="B239" s="280" t="n"/>
      <c r="C239" s="280" t="n"/>
      <c r="D239" s="280" t="n"/>
      <c r="E239" s="280" t="n"/>
      <c r="F239" s="280" t="n"/>
      <c r="G239" s="280" t="n"/>
      <c r="H239" s="280" t="n"/>
      <c r="I239" s="332">
        <f>IFERROR(VLOOKUP(TEXT(H239,"0"),IPRESS!$A$3:$B$212,2,0),"")</f>
        <v/>
      </c>
      <c r="J239" s="280" t="n"/>
      <c r="K239" s="343" t="n"/>
      <c r="L239" s="280" t="n"/>
      <c r="M239" s="280" t="n"/>
      <c r="N239" s="345" t="n"/>
      <c r="O239" s="280" t="n"/>
      <c r="P239" s="332">
        <f>IFERROR(VLOOKUP(TEXT(O239,"0"),CONDUCTORES!$A$3:$G$54,2,0),"")</f>
        <v/>
      </c>
      <c r="Q239" s="332">
        <f>IFERROR(VLOOKUP(TEXT(O239,"0"),CONDUCTORES!$A$3:$H$54,6,0),"")</f>
        <v/>
      </c>
      <c r="R239" s="280" t="n"/>
      <c r="S239" s="280" t="n"/>
      <c r="T239" s="280" t="n"/>
      <c r="U239" s="280" t="n"/>
      <c r="V239" s="280" t="n"/>
      <c r="W239" s="280" t="n"/>
      <c r="X239" s="280" t="n"/>
      <c r="Y239" s="280" t="n"/>
      <c r="Z239" s="350" t="n"/>
      <c r="AA239" s="198" t="n"/>
      <c r="AB239" s="198" t="n"/>
      <c r="AC239" s="198" t="n"/>
    </row>
    <row r="240" ht="15" customHeight="1" s="195">
      <c r="A240" s="280" t="n"/>
      <c r="B240" s="280" t="n"/>
      <c r="C240" s="280" t="n"/>
      <c r="D240" s="280" t="n"/>
      <c r="E240" s="280" t="n"/>
      <c r="F240" s="280" t="n"/>
      <c r="G240" s="280" t="n"/>
      <c r="H240" s="280" t="n"/>
      <c r="I240" s="332">
        <f>IFERROR(VLOOKUP(TEXT(H240,"0"),IPRESS!$A$3:$B$212,2,0),"")</f>
        <v/>
      </c>
      <c r="J240" s="280" t="n"/>
      <c r="K240" s="343" t="n"/>
      <c r="L240" s="280" t="n"/>
      <c r="M240" s="280" t="n"/>
      <c r="N240" s="345" t="n"/>
      <c r="O240" s="280" t="n"/>
      <c r="P240" s="332">
        <f>IFERROR(VLOOKUP(TEXT(O240,"0"),CONDUCTORES!$A$3:$G$54,2,0),"")</f>
        <v/>
      </c>
      <c r="Q240" s="332">
        <f>IFERROR(VLOOKUP(TEXT(O240,"0"),CONDUCTORES!$A$3:$H$54,6,0),"")</f>
        <v/>
      </c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350" t="n"/>
      <c r="AA240" s="198" t="n"/>
      <c r="AB240" s="198" t="n"/>
      <c r="AC240" s="198" t="n"/>
    </row>
    <row r="241" ht="15" customHeight="1" s="195">
      <c r="A241" s="280" t="n"/>
      <c r="B241" s="280" t="n"/>
      <c r="C241" s="280" t="n"/>
      <c r="D241" s="280" t="n"/>
      <c r="E241" s="280" t="n"/>
      <c r="F241" s="280" t="n"/>
      <c r="G241" s="280" t="n"/>
      <c r="H241" s="280" t="n"/>
      <c r="I241" s="332">
        <f>IFERROR(VLOOKUP(TEXT(H241,"0"),IPRESS!$A$3:$B$212,2,0),"")</f>
        <v/>
      </c>
      <c r="J241" s="280" t="n"/>
      <c r="K241" s="343" t="n"/>
      <c r="L241" s="280" t="n"/>
      <c r="M241" s="280" t="n"/>
      <c r="N241" s="345" t="n"/>
      <c r="O241" s="280" t="n"/>
      <c r="P241" s="332">
        <f>IFERROR(VLOOKUP(TEXT(O241,"0"),CONDUCTORES!$A$3:$G$54,2,0),"")</f>
        <v/>
      </c>
      <c r="Q241" s="332">
        <f>IFERROR(VLOOKUP(TEXT(O241,"0"),CONDUCTORES!$A$3:$H$54,6,0),"")</f>
        <v/>
      </c>
      <c r="R241" s="280" t="n"/>
      <c r="S241" s="280" t="n"/>
      <c r="T241" s="280" t="n"/>
      <c r="U241" s="280" t="n"/>
      <c r="V241" s="280" t="n"/>
      <c r="W241" s="280" t="n"/>
      <c r="X241" s="280" t="n"/>
      <c r="Y241" s="280" t="n"/>
      <c r="Z241" s="350" t="n"/>
      <c r="AA241" s="198" t="n"/>
      <c r="AB241" s="198" t="n"/>
      <c r="AC241" s="198" t="n"/>
    </row>
    <row r="242" ht="15" customHeight="1" s="195">
      <c r="A242" s="280" t="n"/>
      <c r="B242" s="280" t="n"/>
      <c r="C242" s="280" t="n"/>
      <c r="D242" s="280" t="n"/>
      <c r="E242" s="280" t="n"/>
      <c r="F242" s="280" t="n"/>
      <c r="G242" s="280" t="n"/>
      <c r="H242" s="280" t="n"/>
      <c r="I242" s="332">
        <f>IFERROR(VLOOKUP(TEXT(H242,"0"),IPRESS!$A$3:$B$212,2,0),"")</f>
        <v/>
      </c>
      <c r="J242" s="280" t="n"/>
      <c r="K242" s="343" t="n"/>
      <c r="L242" s="280" t="n"/>
      <c r="M242" s="280" t="n"/>
      <c r="N242" s="345" t="n"/>
      <c r="O242" s="280" t="n"/>
      <c r="P242" s="332">
        <f>IFERROR(VLOOKUP(TEXT(O242,"0"),CONDUCTORES!$A$3:$G$54,2,0),"")</f>
        <v/>
      </c>
      <c r="Q242" s="332">
        <f>IFERROR(VLOOKUP(TEXT(O242,"0"),CONDUCTORES!$A$3:$H$54,6,0),"")</f>
        <v/>
      </c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350" t="n"/>
      <c r="AA242" s="198" t="n"/>
      <c r="AB242" s="198" t="n"/>
      <c r="AC242" s="198" t="n"/>
    </row>
    <row r="243" ht="15" customHeight="1" s="195">
      <c r="A243" s="280" t="n"/>
      <c r="B243" s="280" t="n"/>
      <c r="C243" s="280" t="n"/>
      <c r="D243" s="280" t="n"/>
      <c r="E243" s="280" t="n"/>
      <c r="F243" s="280" t="n"/>
      <c r="G243" s="280" t="n"/>
      <c r="H243" s="280" t="n"/>
      <c r="I243" s="332">
        <f>IFERROR(VLOOKUP(TEXT(H243,"0"),IPRESS!$A$3:$B$212,2,0),"")</f>
        <v/>
      </c>
      <c r="J243" s="280" t="n"/>
      <c r="K243" s="343" t="n"/>
      <c r="L243" s="280" t="n"/>
      <c r="M243" s="280" t="n"/>
      <c r="N243" s="345" t="n"/>
      <c r="O243" s="280" t="n"/>
      <c r="P243" s="332">
        <f>IFERROR(VLOOKUP(TEXT(O243,"0"),CONDUCTORES!$A$3:$G$54,2,0),"")</f>
        <v/>
      </c>
      <c r="Q243" s="332">
        <f>IFERROR(VLOOKUP(TEXT(O243,"0"),CONDUCTORES!$A$3:$H$54,6,0),"")</f>
        <v/>
      </c>
      <c r="R243" s="280" t="n"/>
      <c r="S243" s="280" t="n"/>
      <c r="T243" s="280" t="n"/>
      <c r="U243" s="280" t="n"/>
      <c r="V243" s="280" t="n"/>
      <c r="W243" s="280" t="n"/>
      <c r="X243" s="280" t="n"/>
      <c r="Y243" s="280" t="n"/>
      <c r="Z243" s="350" t="n"/>
      <c r="AA243" s="198" t="n"/>
      <c r="AB243" s="198" t="n"/>
      <c r="AC243" s="198" t="n"/>
    </row>
    <row r="244" ht="15" customHeight="1" s="195">
      <c r="A244" s="280" t="n"/>
      <c r="B244" s="280" t="n"/>
      <c r="C244" s="280" t="n"/>
      <c r="D244" s="280" t="n"/>
      <c r="E244" s="280" t="n"/>
      <c r="F244" s="280" t="n"/>
      <c r="G244" s="280" t="n"/>
      <c r="H244" s="280" t="n"/>
      <c r="I244" s="332">
        <f>IFERROR(VLOOKUP(TEXT(H244,"0"),IPRESS!$A$3:$B$212,2,0),"")</f>
        <v/>
      </c>
      <c r="J244" s="280" t="n"/>
      <c r="K244" s="343" t="n"/>
      <c r="L244" s="280" t="n"/>
      <c r="M244" s="280" t="n"/>
      <c r="N244" s="345" t="n"/>
      <c r="O244" s="280" t="n"/>
      <c r="P244" s="332">
        <f>IFERROR(VLOOKUP(TEXT(O244,"0"),CONDUCTORES!$A$3:$G$54,2,0),"")</f>
        <v/>
      </c>
      <c r="Q244" s="332">
        <f>IFERROR(VLOOKUP(TEXT(O244,"0"),CONDUCTORES!$A$3:$H$54,6,0),"")</f>
        <v/>
      </c>
      <c r="R244" s="280" t="n"/>
      <c r="S244" s="280" t="n"/>
      <c r="T244" s="280" t="n"/>
      <c r="U244" s="280" t="n"/>
      <c r="V244" s="280" t="n"/>
      <c r="W244" s="280" t="n"/>
      <c r="X244" s="280" t="n"/>
      <c r="Y244" s="280" t="n"/>
      <c r="Z244" s="350" t="n"/>
      <c r="AA244" s="198" t="n"/>
      <c r="AB244" s="198" t="n"/>
      <c r="AC244" s="198" t="n"/>
    </row>
    <row r="245" ht="15" customHeight="1" s="195">
      <c r="A245" s="280" t="n"/>
      <c r="B245" s="280" t="n"/>
      <c r="C245" s="280" t="n"/>
      <c r="D245" s="280" t="n"/>
      <c r="E245" s="280" t="n"/>
      <c r="F245" s="280" t="n"/>
      <c r="G245" s="280" t="n"/>
      <c r="H245" s="280" t="n"/>
      <c r="I245" s="332">
        <f>IFERROR(VLOOKUP(TEXT(H245,"0"),IPRESS!$A$3:$B$212,2,0),"")</f>
        <v/>
      </c>
      <c r="J245" s="280" t="n"/>
      <c r="K245" s="343" t="n"/>
      <c r="L245" s="280" t="n"/>
      <c r="M245" s="280" t="n"/>
      <c r="N245" s="345" t="n"/>
      <c r="O245" s="280" t="n"/>
      <c r="P245" s="332">
        <f>IFERROR(VLOOKUP(TEXT(O245,"0"),CONDUCTORES!$A$3:$G$54,2,0),"")</f>
        <v/>
      </c>
      <c r="Q245" s="332">
        <f>IFERROR(VLOOKUP(TEXT(O245,"0"),CONDUCTORES!$A$3:$H$54,6,0),"")</f>
        <v/>
      </c>
      <c r="R245" s="280" t="n"/>
      <c r="S245" s="280" t="n"/>
      <c r="T245" s="280" t="n"/>
      <c r="U245" s="280" t="n"/>
      <c r="V245" s="280" t="n"/>
      <c r="W245" s="280" t="n"/>
      <c r="X245" s="280" t="n"/>
      <c r="Y245" s="280" t="n"/>
      <c r="Z245" s="350" t="n"/>
      <c r="AA245" s="198" t="n"/>
      <c r="AB245" s="198" t="n"/>
      <c r="AC245" s="198" t="n"/>
    </row>
    <row r="246" ht="15" customHeight="1" s="195">
      <c r="A246" s="280" t="n"/>
      <c r="B246" s="280" t="n"/>
      <c r="C246" s="280" t="n"/>
      <c r="D246" s="280" t="n"/>
      <c r="E246" s="280" t="n"/>
      <c r="F246" s="280" t="n"/>
      <c r="G246" s="280" t="n"/>
      <c r="H246" s="280" t="n"/>
      <c r="I246" s="332">
        <f>IFERROR(VLOOKUP(TEXT(H246,"0"),IPRESS!$A$3:$B$212,2,0),"")</f>
        <v/>
      </c>
      <c r="J246" s="280" t="n"/>
      <c r="K246" s="343" t="n"/>
      <c r="L246" s="280" t="n"/>
      <c r="M246" s="280" t="n"/>
      <c r="N246" s="345" t="n"/>
      <c r="O246" s="280" t="n"/>
      <c r="P246" s="332">
        <f>IFERROR(VLOOKUP(TEXT(O246,"0"),CONDUCTORES!$A$3:$G$54,2,0),"")</f>
        <v/>
      </c>
      <c r="Q246" s="332">
        <f>IFERROR(VLOOKUP(TEXT(O246,"0"),CONDUCTORES!$A$3:$H$54,6,0),"")</f>
        <v/>
      </c>
      <c r="R246" s="280" t="n"/>
      <c r="S246" s="280" t="n"/>
      <c r="T246" s="280" t="n"/>
      <c r="U246" s="280" t="n"/>
      <c r="V246" s="280" t="n"/>
      <c r="W246" s="280" t="n"/>
      <c r="X246" s="280" t="n"/>
      <c r="Y246" s="280" t="n"/>
      <c r="Z246" s="350" t="n"/>
      <c r="AA246" s="198" t="n"/>
      <c r="AB246" s="198" t="n"/>
      <c r="AC246" s="198" t="n"/>
    </row>
    <row r="247" ht="15" customHeight="1" s="195">
      <c r="A247" s="280" t="n"/>
      <c r="B247" s="280" t="n"/>
      <c r="C247" s="280" t="n"/>
      <c r="D247" s="280" t="n"/>
      <c r="E247" s="280" t="n"/>
      <c r="F247" s="280" t="n"/>
      <c r="G247" s="280" t="n"/>
      <c r="H247" s="280" t="n"/>
      <c r="I247" s="332">
        <f>IFERROR(VLOOKUP(TEXT(H247,"0"),IPRESS!$A$3:$B$212,2,0),"")</f>
        <v/>
      </c>
      <c r="J247" s="280" t="n"/>
      <c r="K247" s="343" t="n"/>
      <c r="L247" s="280" t="n"/>
      <c r="M247" s="280" t="n"/>
      <c r="N247" s="345" t="n"/>
      <c r="O247" s="280" t="n"/>
      <c r="P247" s="332">
        <f>IFERROR(VLOOKUP(TEXT(O247,"0"),CONDUCTORES!$A$3:$G$54,2,0),"")</f>
        <v/>
      </c>
      <c r="Q247" s="332">
        <f>IFERROR(VLOOKUP(TEXT(O247,"0"),CONDUCTORES!$A$3:$H$54,6,0),"")</f>
        <v/>
      </c>
      <c r="R247" s="280" t="n"/>
      <c r="S247" s="280" t="n"/>
      <c r="T247" s="280" t="n"/>
      <c r="U247" s="280" t="n"/>
      <c r="V247" s="280" t="n"/>
      <c r="W247" s="280" t="n"/>
      <c r="X247" s="280" t="n"/>
      <c r="Y247" s="280" t="n"/>
      <c r="Z247" s="350" t="n"/>
      <c r="AA247" s="198" t="n"/>
      <c r="AB247" s="198" t="n"/>
      <c r="AC247" s="198" t="n"/>
    </row>
    <row r="248" ht="15" customHeight="1" s="195">
      <c r="A248" s="280" t="n"/>
      <c r="B248" s="280" t="n"/>
      <c r="C248" s="280" t="n"/>
      <c r="D248" s="280" t="n"/>
      <c r="E248" s="280" t="n"/>
      <c r="F248" s="280" t="n"/>
      <c r="G248" s="280" t="n"/>
      <c r="H248" s="280" t="n"/>
      <c r="I248" s="332">
        <f>IFERROR(VLOOKUP(TEXT(H248,"0"),IPRESS!$A$3:$B$212,2,0),"")</f>
        <v/>
      </c>
      <c r="J248" s="280" t="n"/>
      <c r="K248" s="343" t="n"/>
      <c r="L248" s="280" t="n"/>
      <c r="M248" s="280" t="n"/>
      <c r="N248" s="345" t="n"/>
      <c r="O248" s="280" t="n"/>
      <c r="P248" s="332">
        <f>IFERROR(VLOOKUP(TEXT(O248,"0"),CONDUCTORES!$A$3:$G$54,2,0),"")</f>
        <v/>
      </c>
      <c r="Q248" s="332">
        <f>IFERROR(VLOOKUP(TEXT(O248,"0"),CONDUCTORES!$A$3:$H$54,6,0),"")</f>
        <v/>
      </c>
      <c r="R248" s="280" t="n"/>
      <c r="S248" s="280" t="n"/>
      <c r="T248" s="280" t="n"/>
      <c r="U248" s="280" t="n"/>
      <c r="V248" s="280" t="n"/>
      <c r="W248" s="280" t="n"/>
      <c r="X248" s="280" t="n"/>
      <c r="Y248" s="280" t="n"/>
      <c r="Z248" s="350" t="n"/>
      <c r="AA248" s="198" t="n"/>
      <c r="AB248" s="198" t="n"/>
      <c r="AC248" s="198" t="n"/>
    </row>
    <row r="249" ht="15" customHeight="1" s="195">
      <c r="A249" s="280" t="n"/>
      <c r="B249" s="280" t="n"/>
      <c r="C249" s="280" t="n"/>
      <c r="D249" s="280" t="n"/>
      <c r="E249" s="280" t="n"/>
      <c r="F249" s="280" t="n"/>
      <c r="G249" s="280" t="n"/>
      <c r="H249" s="280" t="n"/>
      <c r="I249" s="332">
        <f>IFERROR(VLOOKUP(TEXT(H249,"0"),IPRESS!$A$3:$B$212,2,0),"")</f>
        <v/>
      </c>
      <c r="J249" s="280" t="n"/>
      <c r="K249" s="343" t="n"/>
      <c r="L249" s="280" t="n"/>
      <c r="M249" s="280" t="n"/>
      <c r="N249" s="345" t="n"/>
      <c r="O249" s="280" t="n"/>
      <c r="P249" s="332">
        <f>IFERROR(VLOOKUP(TEXT(O249,"0"),CONDUCTORES!$A$3:$G$54,2,0),"")</f>
        <v/>
      </c>
      <c r="Q249" s="332">
        <f>IFERROR(VLOOKUP(TEXT(O249,"0"),CONDUCTORES!$A$3:$H$54,6,0),"")</f>
        <v/>
      </c>
      <c r="R249" s="280" t="n"/>
      <c r="S249" s="280" t="n"/>
      <c r="T249" s="280" t="n"/>
      <c r="U249" s="280" t="n"/>
      <c r="V249" s="280" t="n"/>
      <c r="W249" s="280" t="n"/>
      <c r="X249" s="280" t="n"/>
      <c r="Y249" s="280" t="n"/>
      <c r="Z249" s="350" t="n"/>
      <c r="AA249" s="198" t="n"/>
      <c r="AB249" s="198" t="n"/>
      <c r="AC249" s="198" t="n"/>
    </row>
    <row r="250" ht="15" customHeight="1" s="195">
      <c r="A250" s="280" t="n"/>
      <c r="B250" s="280" t="n"/>
      <c r="C250" s="280" t="n"/>
      <c r="D250" s="280" t="n"/>
      <c r="E250" s="280" t="n"/>
      <c r="F250" s="280" t="n"/>
      <c r="G250" s="280" t="n"/>
      <c r="H250" s="280" t="n"/>
      <c r="I250" s="332">
        <f>IFERROR(VLOOKUP(TEXT(H250,"0"),IPRESS!$A$3:$B$212,2,0),"")</f>
        <v/>
      </c>
      <c r="J250" s="280" t="n"/>
      <c r="K250" s="343" t="n"/>
      <c r="L250" s="280" t="n"/>
      <c r="M250" s="280" t="n"/>
      <c r="N250" s="345" t="n"/>
      <c r="O250" s="280" t="n"/>
      <c r="P250" s="332">
        <f>IFERROR(VLOOKUP(TEXT(O250,"0"),CONDUCTORES!$A$3:$G$54,2,0),"")</f>
        <v/>
      </c>
      <c r="Q250" s="332">
        <f>IFERROR(VLOOKUP(TEXT(O250,"0"),CONDUCTORES!$A$3:$H$54,6,0),"")</f>
        <v/>
      </c>
      <c r="R250" s="280" t="n"/>
      <c r="S250" s="280" t="n"/>
      <c r="T250" s="280" t="n"/>
      <c r="U250" s="280" t="n"/>
      <c r="V250" s="280" t="n"/>
      <c r="W250" s="280" t="n"/>
      <c r="X250" s="280" t="n"/>
      <c r="Y250" s="280" t="n"/>
      <c r="Z250" s="350" t="n"/>
      <c r="AA250" s="198" t="n"/>
      <c r="AB250" s="198" t="n"/>
      <c r="AC250" s="198" t="n"/>
    </row>
    <row r="251" ht="15" customHeight="1" s="195">
      <c r="A251" s="280" t="n"/>
      <c r="B251" s="280" t="n"/>
      <c r="C251" s="280" t="n"/>
      <c r="D251" s="280" t="n"/>
      <c r="E251" s="280" t="n"/>
      <c r="F251" s="280" t="n"/>
      <c r="G251" s="280" t="n"/>
      <c r="H251" s="280" t="n"/>
      <c r="I251" s="332">
        <f>IFERROR(VLOOKUP(TEXT(H251,"0"),IPRESS!$A$3:$B$212,2,0),"")</f>
        <v/>
      </c>
      <c r="J251" s="280" t="n"/>
      <c r="K251" s="343" t="n"/>
      <c r="L251" s="280" t="n"/>
      <c r="M251" s="280" t="n"/>
      <c r="N251" s="345" t="n"/>
      <c r="O251" s="280" t="n"/>
      <c r="P251" s="332">
        <f>IFERROR(VLOOKUP(TEXT(O251,"0"),CONDUCTORES!$A$3:$G$54,2,0),"")</f>
        <v/>
      </c>
      <c r="Q251" s="332">
        <f>IFERROR(VLOOKUP(TEXT(O251,"0"),CONDUCTORES!$A$3:$H$54,6,0),"")</f>
        <v/>
      </c>
      <c r="R251" s="280" t="n"/>
      <c r="S251" s="280" t="n"/>
      <c r="T251" s="280" t="n"/>
      <c r="U251" s="280" t="n"/>
      <c r="V251" s="280" t="n"/>
      <c r="W251" s="280" t="n"/>
      <c r="X251" s="280" t="n"/>
      <c r="Y251" s="280" t="n"/>
      <c r="Z251" s="350" t="n"/>
      <c r="AA251" s="198" t="n"/>
      <c r="AB251" s="198" t="n"/>
      <c r="AC251" s="198" t="n"/>
    </row>
    <row r="252" ht="15" customHeight="1" s="195">
      <c r="A252" s="280" t="n"/>
      <c r="B252" s="280" t="n"/>
      <c r="C252" s="280" t="n"/>
      <c r="D252" s="280" t="n"/>
      <c r="E252" s="280" t="n"/>
      <c r="F252" s="280" t="n"/>
      <c r="G252" s="280" t="n"/>
      <c r="H252" s="280" t="n"/>
      <c r="I252" s="332">
        <f>IFERROR(VLOOKUP(TEXT(H252,"0"),IPRESS!$A$3:$B$212,2,0),"")</f>
        <v/>
      </c>
      <c r="J252" s="280" t="n"/>
      <c r="K252" s="343" t="n"/>
      <c r="L252" s="280" t="n"/>
      <c r="M252" s="280" t="n"/>
      <c r="N252" s="345" t="n"/>
      <c r="O252" s="280" t="n"/>
      <c r="P252" s="332">
        <f>IFERROR(VLOOKUP(TEXT(O252,"0"),CONDUCTORES!$A$3:$G$54,2,0),"")</f>
        <v/>
      </c>
      <c r="Q252" s="332">
        <f>IFERROR(VLOOKUP(TEXT(O252,"0"),CONDUCTORES!$A$3:$H$54,6,0),"")</f>
        <v/>
      </c>
      <c r="R252" s="280" t="n"/>
      <c r="S252" s="280" t="n"/>
      <c r="T252" s="280" t="n"/>
      <c r="U252" s="280" t="n"/>
      <c r="V252" s="280" t="n"/>
      <c r="W252" s="280" t="n"/>
      <c r="X252" s="280" t="n"/>
      <c r="Y252" s="280" t="n"/>
      <c r="Z252" s="350" t="n"/>
      <c r="AA252" s="198" t="n"/>
      <c r="AB252" s="198" t="n"/>
      <c r="AC252" s="198" t="n"/>
    </row>
    <row r="253" ht="15" customHeight="1" s="195">
      <c r="A253" s="280" t="n"/>
      <c r="B253" s="280" t="n"/>
      <c r="C253" s="280" t="n"/>
      <c r="D253" s="280" t="n"/>
      <c r="E253" s="280" t="n"/>
      <c r="F253" s="280" t="n"/>
      <c r="G253" s="280" t="n"/>
      <c r="H253" s="280" t="n"/>
      <c r="I253" s="332">
        <f>IFERROR(VLOOKUP(TEXT(H253,"0"),IPRESS!$A$3:$B$212,2,0),"")</f>
        <v/>
      </c>
      <c r="J253" s="280" t="n"/>
      <c r="K253" s="343" t="n"/>
      <c r="L253" s="280" t="n"/>
      <c r="M253" s="280" t="n"/>
      <c r="N253" s="345" t="n"/>
      <c r="O253" s="280" t="n"/>
      <c r="P253" s="332">
        <f>IFERROR(VLOOKUP(TEXT(O253,"0"),CONDUCTORES!$A$3:$G$54,2,0),"")</f>
        <v/>
      </c>
      <c r="Q253" s="332">
        <f>IFERROR(VLOOKUP(TEXT(O253,"0"),CONDUCTORES!$A$3:$H$54,6,0),"")</f>
        <v/>
      </c>
      <c r="R253" s="280" t="n"/>
      <c r="S253" s="280" t="n"/>
      <c r="T253" s="280" t="n"/>
      <c r="U253" s="280" t="n"/>
      <c r="V253" s="280" t="n"/>
      <c r="W253" s="280" t="n"/>
      <c r="X253" s="280" t="n"/>
      <c r="Y253" s="280" t="n"/>
      <c r="Z253" s="350" t="n"/>
      <c r="AA253" s="198" t="n"/>
      <c r="AB253" s="198" t="n"/>
      <c r="AC253" s="198" t="n"/>
    </row>
    <row r="254" ht="15" customHeight="1" s="195">
      <c r="A254" s="280" t="n"/>
      <c r="B254" s="280" t="n"/>
      <c r="C254" s="280" t="n"/>
      <c r="D254" s="280" t="n"/>
      <c r="E254" s="280" t="n"/>
      <c r="F254" s="280" t="n"/>
      <c r="G254" s="280" t="n"/>
      <c r="H254" s="280" t="n"/>
      <c r="I254" s="332">
        <f>IFERROR(VLOOKUP(TEXT(H254,"0"),IPRESS!$A$3:$B$212,2,0),"")</f>
        <v/>
      </c>
      <c r="J254" s="280" t="n"/>
      <c r="K254" s="343" t="n"/>
      <c r="L254" s="280" t="n"/>
      <c r="M254" s="280" t="n"/>
      <c r="N254" s="345" t="n"/>
      <c r="O254" s="280" t="n"/>
      <c r="P254" s="332">
        <f>IFERROR(VLOOKUP(TEXT(O254,"0"),CONDUCTORES!$A$3:$G$54,2,0),"")</f>
        <v/>
      </c>
      <c r="Q254" s="332">
        <f>IFERROR(VLOOKUP(TEXT(O254,"0"),CONDUCTORES!$A$3:$H$54,6,0),"")</f>
        <v/>
      </c>
      <c r="R254" s="280" t="n"/>
      <c r="S254" s="280" t="n"/>
      <c r="T254" s="280" t="n"/>
      <c r="U254" s="280" t="n"/>
      <c r="V254" s="280" t="n"/>
      <c r="W254" s="280" t="n"/>
      <c r="X254" s="280" t="n"/>
      <c r="Y254" s="280" t="n"/>
      <c r="Z254" s="350" t="n"/>
      <c r="AA254" s="198" t="n"/>
      <c r="AB254" s="198" t="n"/>
      <c r="AC254" s="198" t="n"/>
    </row>
    <row r="255" ht="15" customHeight="1" s="195">
      <c r="A255" s="280" t="n"/>
      <c r="B255" s="280" t="n"/>
      <c r="C255" s="280" t="n"/>
      <c r="D255" s="280" t="n"/>
      <c r="E255" s="280" t="n"/>
      <c r="F255" s="280" t="n"/>
      <c r="G255" s="280" t="n"/>
      <c r="H255" s="280" t="n"/>
      <c r="I255" s="332">
        <f>IFERROR(VLOOKUP(TEXT(H255,"0"),IPRESS!$A$3:$B$212,2,0),"")</f>
        <v/>
      </c>
      <c r="J255" s="280" t="n"/>
      <c r="K255" s="343" t="n"/>
      <c r="L255" s="280" t="n"/>
      <c r="M255" s="280" t="n"/>
      <c r="N255" s="345" t="n"/>
      <c r="O255" s="280" t="n"/>
      <c r="P255" s="332">
        <f>IFERROR(VLOOKUP(TEXT(O255,"0"),CONDUCTORES!$A$3:$G$54,2,0),"")</f>
        <v/>
      </c>
      <c r="Q255" s="332">
        <f>IFERROR(VLOOKUP(TEXT(O255,"0"),CONDUCTORES!$A$3:$H$54,6,0),"")</f>
        <v/>
      </c>
      <c r="R255" s="280" t="n"/>
      <c r="S255" s="280" t="n"/>
      <c r="T255" s="280" t="n"/>
      <c r="U255" s="280" t="n"/>
      <c r="V255" s="280" t="n"/>
      <c r="W255" s="280" t="n"/>
      <c r="X255" s="280" t="n"/>
      <c r="Y255" s="280" t="n"/>
      <c r="Z255" s="350" t="n"/>
      <c r="AA255" s="198" t="n"/>
      <c r="AB255" s="198" t="n"/>
      <c r="AC255" s="198" t="n"/>
    </row>
    <row r="256" ht="15" customHeight="1" s="195">
      <c r="A256" s="280" t="n"/>
      <c r="B256" s="280" t="n"/>
      <c r="C256" s="280" t="n"/>
      <c r="D256" s="280" t="n"/>
      <c r="E256" s="280" t="n"/>
      <c r="F256" s="280" t="n"/>
      <c r="G256" s="280" t="n"/>
      <c r="H256" s="280" t="n"/>
      <c r="I256" s="332">
        <f>IFERROR(VLOOKUP(TEXT(H256,"0"),IPRESS!$A$3:$B$212,2,0),"")</f>
        <v/>
      </c>
      <c r="J256" s="280" t="n"/>
      <c r="K256" s="343" t="n"/>
      <c r="L256" s="280" t="n"/>
      <c r="M256" s="280" t="n"/>
      <c r="N256" s="345" t="n"/>
      <c r="O256" s="280" t="n"/>
      <c r="P256" s="332">
        <f>IFERROR(VLOOKUP(TEXT(O256,"0"),CONDUCTORES!$A$3:$G$54,2,0),"")</f>
        <v/>
      </c>
      <c r="Q256" s="332">
        <f>IFERROR(VLOOKUP(TEXT(O256,"0"),CONDUCTORES!$A$3:$H$54,6,0),"")</f>
        <v/>
      </c>
      <c r="R256" s="280" t="n"/>
      <c r="S256" s="280" t="n"/>
      <c r="T256" s="280" t="n"/>
      <c r="U256" s="280" t="n"/>
      <c r="V256" s="280" t="n"/>
      <c r="W256" s="280" t="n"/>
      <c r="X256" s="280" t="n"/>
      <c r="Y256" s="280" t="n"/>
      <c r="Z256" s="350" t="n"/>
      <c r="AA256" s="198" t="n"/>
      <c r="AB256" s="198" t="n"/>
      <c r="AC256" s="198" t="n"/>
    </row>
    <row r="257" ht="15" customHeight="1" s="195">
      <c r="A257" s="280" t="n"/>
      <c r="B257" s="280" t="n"/>
      <c r="C257" s="280" t="n"/>
      <c r="D257" s="280" t="n"/>
      <c r="E257" s="280" t="n"/>
      <c r="F257" s="280" t="n"/>
      <c r="G257" s="280" t="n"/>
      <c r="H257" s="280" t="n"/>
      <c r="I257" s="332">
        <f>IFERROR(VLOOKUP(TEXT(H257,"0"),IPRESS!$A$3:$B$212,2,0),"")</f>
        <v/>
      </c>
      <c r="J257" s="280" t="n"/>
      <c r="K257" s="343" t="n"/>
      <c r="L257" s="280" t="n"/>
      <c r="M257" s="280" t="n"/>
      <c r="N257" s="345" t="n"/>
      <c r="O257" s="280" t="n"/>
      <c r="P257" s="332">
        <f>IFERROR(VLOOKUP(TEXT(O257,"0"),CONDUCTORES!$A$3:$G$54,2,0),"")</f>
        <v/>
      </c>
      <c r="Q257" s="332">
        <f>IFERROR(VLOOKUP(TEXT(O257,"0"),CONDUCTORES!$A$3:$H$54,6,0),"")</f>
        <v/>
      </c>
      <c r="R257" s="280" t="n"/>
      <c r="S257" s="280" t="n"/>
      <c r="T257" s="280" t="n"/>
      <c r="U257" s="280" t="n"/>
      <c r="V257" s="280" t="n"/>
      <c r="W257" s="280" t="n"/>
      <c r="X257" s="280" t="n"/>
      <c r="Y257" s="280" t="n"/>
      <c r="Z257" s="350" t="n"/>
      <c r="AA257" s="198" t="n"/>
      <c r="AB257" s="198" t="n"/>
      <c r="AC257" s="198" t="n"/>
    </row>
    <row r="258" ht="15" customHeight="1" s="195">
      <c r="A258" s="280" t="n"/>
      <c r="B258" s="280" t="n"/>
      <c r="C258" s="280" t="n"/>
      <c r="D258" s="280" t="n"/>
      <c r="E258" s="280" t="n"/>
      <c r="F258" s="280" t="n"/>
      <c r="G258" s="280" t="n"/>
      <c r="H258" s="280" t="n"/>
      <c r="I258" s="332">
        <f>IFERROR(VLOOKUP(TEXT(H258,"0"),IPRESS!$A$3:$B$212,2,0),"")</f>
        <v/>
      </c>
      <c r="J258" s="280" t="n"/>
      <c r="K258" s="343" t="n"/>
      <c r="L258" s="280" t="n"/>
      <c r="M258" s="280" t="n"/>
      <c r="N258" s="345" t="n"/>
      <c r="O258" s="280" t="n"/>
      <c r="P258" s="332">
        <f>IFERROR(VLOOKUP(TEXT(O258,"0"),CONDUCTORES!$A$3:$G$54,2,0),"")</f>
        <v/>
      </c>
      <c r="Q258" s="332">
        <f>IFERROR(VLOOKUP(TEXT(O258,"0"),CONDUCTORES!$A$3:$H$54,6,0),"")</f>
        <v/>
      </c>
      <c r="R258" s="280" t="n"/>
      <c r="S258" s="280" t="n"/>
      <c r="T258" s="280" t="n"/>
      <c r="U258" s="280" t="n"/>
      <c r="V258" s="280" t="n"/>
      <c r="W258" s="280" t="n"/>
      <c r="X258" s="280" t="n"/>
      <c r="Y258" s="280" t="n"/>
      <c r="Z258" s="350" t="n"/>
      <c r="AA258" s="198" t="n"/>
      <c r="AB258" s="198" t="n"/>
      <c r="AC258" s="198" t="n"/>
    </row>
    <row r="259" ht="15" customHeight="1" s="195">
      <c r="A259" s="280" t="n"/>
      <c r="B259" s="280" t="n"/>
      <c r="C259" s="280" t="n"/>
      <c r="D259" s="280" t="n"/>
      <c r="E259" s="280" t="n"/>
      <c r="F259" s="280" t="n"/>
      <c r="G259" s="280" t="n"/>
      <c r="H259" s="280" t="n"/>
      <c r="I259" s="332">
        <f>IFERROR(VLOOKUP(TEXT(H259,"0"),IPRESS!$A$3:$B$212,2,0),"")</f>
        <v/>
      </c>
      <c r="J259" s="280" t="n"/>
      <c r="K259" s="343" t="n"/>
      <c r="L259" s="280" t="n"/>
      <c r="M259" s="280" t="n"/>
      <c r="N259" s="345" t="n"/>
      <c r="O259" s="280" t="n"/>
      <c r="P259" s="332">
        <f>IFERROR(VLOOKUP(TEXT(O259,"0"),CONDUCTORES!$A$3:$G$54,2,0),"")</f>
        <v/>
      </c>
      <c r="Q259" s="332">
        <f>IFERROR(VLOOKUP(TEXT(O259,"0"),CONDUCTORES!$A$3:$H$54,6,0),"")</f>
        <v/>
      </c>
      <c r="R259" s="280" t="n"/>
      <c r="S259" s="280" t="n"/>
      <c r="T259" s="280" t="n"/>
      <c r="U259" s="280" t="n"/>
      <c r="V259" s="280" t="n"/>
      <c r="W259" s="280" t="n"/>
      <c r="X259" s="280" t="n"/>
      <c r="Y259" s="280" t="n"/>
      <c r="Z259" s="350" t="n"/>
      <c r="AA259" s="198" t="n"/>
      <c r="AB259" s="198" t="n"/>
      <c r="AC259" s="198" t="n"/>
    </row>
    <row r="260" ht="15" customHeight="1" s="195">
      <c r="A260" s="280" t="n"/>
      <c r="B260" s="280" t="n"/>
      <c r="C260" s="280" t="n"/>
      <c r="D260" s="280" t="n"/>
      <c r="E260" s="280" t="n"/>
      <c r="F260" s="280" t="n"/>
      <c r="G260" s="280" t="n"/>
      <c r="H260" s="280" t="n"/>
      <c r="I260" s="332">
        <f>IFERROR(VLOOKUP(TEXT(H260,"0"),IPRESS!$A$3:$B$212,2,0),"")</f>
        <v/>
      </c>
      <c r="J260" s="280" t="n"/>
      <c r="K260" s="343" t="n"/>
      <c r="L260" s="280" t="n"/>
      <c r="M260" s="280" t="n"/>
      <c r="N260" s="345" t="n"/>
      <c r="O260" s="280" t="n"/>
      <c r="P260" s="332">
        <f>IFERROR(VLOOKUP(TEXT(O260,"0"),CONDUCTORES!$A$3:$G$54,2,0),"")</f>
        <v/>
      </c>
      <c r="Q260" s="332">
        <f>IFERROR(VLOOKUP(TEXT(O260,"0"),CONDUCTORES!$A$3:$H$54,6,0),"")</f>
        <v/>
      </c>
      <c r="R260" s="280" t="n"/>
      <c r="S260" s="280" t="n"/>
      <c r="T260" s="280" t="n"/>
      <c r="U260" s="280" t="n"/>
      <c r="V260" s="280" t="n"/>
      <c r="W260" s="280" t="n"/>
      <c r="X260" s="280" t="n"/>
      <c r="Y260" s="280" t="n"/>
      <c r="Z260" s="350" t="n"/>
      <c r="AA260" s="198" t="n"/>
      <c r="AB260" s="198" t="n"/>
      <c r="AC260" s="198" t="n"/>
    </row>
    <row r="261" ht="15" customHeight="1" s="195">
      <c r="A261" s="280" t="n"/>
      <c r="B261" s="280" t="n"/>
      <c r="C261" s="280" t="n"/>
      <c r="D261" s="280" t="n"/>
      <c r="E261" s="280" t="n"/>
      <c r="F261" s="280" t="n"/>
      <c r="G261" s="280" t="n"/>
      <c r="H261" s="280" t="n"/>
      <c r="I261" s="332">
        <f>IFERROR(VLOOKUP(TEXT(H261,"0"),IPRESS!$A$3:$B$212,2,0),"")</f>
        <v/>
      </c>
      <c r="J261" s="280" t="n"/>
      <c r="K261" s="343" t="n"/>
      <c r="L261" s="280" t="n"/>
      <c r="M261" s="280" t="n"/>
      <c r="N261" s="345" t="n"/>
      <c r="O261" s="280" t="n"/>
      <c r="P261" s="332">
        <f>IFERROR(VLOOKUP(TEXT(O261,"0"),CONDUCTORES!$A$3:$G$54,2,0),"")</f>
        <v/>
      </c>
      <c r="Q261" s="332">
        <f>IFERROR(VLOOKUP(TEXT(O261,"0"),CONDUCTORES!$A$3:$H$54,6,0),"")</f>
        <v/>
      </c>
      <c r="R261" s="280" t="n"/>
      <c r="S261" s="280" t="n"/>
      <c r="T261" s="280" t="n"/>
      <c r="U261" s="280" t="n"/>
      <c r="V261" s="280" t="n"/>
      <c r="W261" s="280" t="n"/>
      <c r="X261" s="280" t="n"/>
      <c r="Y261" s="280" t="n"/>
      <c r="Z261" s="350" t="n"/>
      <c r="AA261" s="198" t="n"/>
      <c r="AB261" s="198" t="n"/>
      <c r="AC261" s="198" t="n"/>
    </row>
    <row r="262" ht="15" customHeight="1" s="195">
      <c r="A262" s="280" t="n"/>
      <c r="B262" s="280" t="n"/>
      <c r="C262" s="280" t="n"/>
      <c r="D262" s="280" t="n"/>
      <c r="E262" s="280" t="n"/>
      <c r="F262" s="280" t="n"/>
      <c r="G262" s="280" t="n"/>
      <c r="H262" s="280" t="n"/>
      <c r="I262" s="332">
        <f>IFERROR(VLOOKUP(TEXT(H262,"0"),IPRESS!$A$3:$B$212,2,0),"")</f>
        <v/>
      </c>
      <c r="J262" s="280" t="n"/>
      <c r="K262" s="343" t="n"/>
      <c r="L262" s="280" t="n"/>
      <c r="M262" s="280" t="n"/>
      <c r="N262" s="345" t="n"/>
      <c r="O262" s="280" t="n"/>
      <c r="P262" s="332">
        <f>IFERROR(VLOOKUP(TEXT(O262,"0"),CONDUCTORES!$A$3:$G$54,2,0),"")</f>
        <v/>
      </c>
      <c r="Q262" s="332">
        <f>IFERROR(VLOOKUP(TEXT(O262,"0"),CONDUCTORES!$A$3:$H$54,6,0),"")</f>
        <v/>
      </c>
      <c r="R262" s="280" t="n"/>
      <c r="S262" s="280" t="n"/>
      <c r="T262" s="280" t="n"/>
      <c r="U262" s="280" t="n"/>
      <c r="V262" s="280" t="n"/>
      <c r="W262" s="280" t="n"/>
      <c r="X262" s="280" t="n"/>
      <c r="Y262" s="280" t="n"/>
      <c r="Z262" s="350" t="n"/>
      <c r="AA262" s="198" t="n"/>
      <c r="AB262" s="198" t="n"/>
      <c r="AC262" s="198" t="n"/>
    </row>
    <row r="263" ht="15" customHeight="1" s="195">
      <c r="A263" s="280" t="n"/>
      <c r="B263" s="280" t="n"/>
      <c r="C263" s="280" t="n"/>
      <c r="D263" s="280" t="n"/>
      <c r="E263" s="280" t="n"/>
      <c r="F263" s="280" t="n"/>
      <c r="G263" s="280" t="n"/>
      <c r="H263" s="280" t="n"/>
      <c r="I263" s="332">
        <f>IFERROR(VLOOKUP(TEXT(H263,"0"),IPRESS!$A$3:$B$212,2,0),"")</f>
        <v/>
      </c>
      <c r="J263" s="280" t="n"/>
      <c r="K263" s="343" t="n"/>
      <c r="L263" s="280" t="n"/>
      <c r="M263" s="280" t="n"/>
      <c r="N263" s="345" t="n"/>
      <c r="O263" s="280" t="n"/>
      <c r="P263" s="332">
        <f>IFERROR(VLOOKUP(TEXT(O263,"0"),CONDUCTORES!$A$3:$G$54,2,0),"")</f>
        <v/>
      </c>
      <c r="Q263" s="332">
        <f>IFERROR(VLOOKUP(TEXT(O263,"0"),CONDUCTORES!$A$3:$H$54,6,0),"")</f>
        <v/>
      </c>
      <c r="R263" s="280" t="n"/>
      <c r="S263" s="280" t="n"/>
      <c r="T263" s="280" t="n"/>
      <c r="U263" s="280" t="n"/>
      <c r="V263" s="280" t="n"/>
      <c r="W263" s="280" t="n"/>
      <c r="X263" s="280" t="n"/>
      <c r="Y263" s="280" t="n"/>
      <c r="Z263" s="350" t="n"/>
      <c r="AA263" s="198" t="n"/>
      <c r="AB263" s="198" t="n"/>
      <c r="AC263" s="198" t="n"/>
    </row>
    <row r="264" ht="15" customHeight="1" s="195">
      <c r="A264" s="280" t="n"/>
      <c r="B264" s="280" t="n"/>
      <c r="C264" s="280" t="n"/>
      <c r="D264" s="280" t="n"/>
      <c r="E264" s="280" t="n"/>
      <c r="F264" s="280" t="n"/>
      <c r="G264" s="280" t="n"/>
      <c r="H264" s="280" t="n"/>
      <c r="I264" s="332">
        <f>IFERROR(VLOOKUP(TEXT(H264,"0"),IPRESS!$A$3:$B$212,2,0),"")</f>
        <v/>
      </c>
      <c r="J264" s="280" t="n"/>
      <c r="K264" s="343" t="n"/>
      <c r="L264" s="280" t="n"/>
      <c r="M264" s="280" t="n"/>
      <c r="N264" s="345" t="n"/>
      <c r="O264" s="280" t="n"/>
      <c r="P264" s="332">
        <f>IFERROR(VLOOKUP(TEXT(O264,"0"),CONDUCTORES!$A$3:$G$54,2,0),"")</f>
        <v/>
      </c>
      <c r="Q264" s="332">
        <f>IFERROR(VLOOKUP(TEXT(O264,"0"),CONDUCTORES!$A$3:$H$54,6,0),"")</f>
        <v/>
      </c>
      <c r="R264" s="280" t="n"/>
      <c r="S264" s="280" t="n"/>
      <c r="T264" s="280" t="n"/>
      <c r="U264" s="280" t="n"/>
      <c r="V264" s="280" t="n"/>
      <c r="W264" s="280" t="n"/>
      <c r="X264" s="280" t="n"/>
      <c r="Y264" s="280" t="n"/>
      <c r="Z264" s="350" t="n"/>
      <c r="AA264" s="198" t="n"/>
      <c r="AB264" s="198" t="n"/>
      <c r="AC264" s="198" t="n"/>
    </row>
    <row r="265" ht="15" customHeight="1" s="195">
      <c r="A265" s="280" t="n"/>
      <c r="B265" s="280" t="n"/>
      <c r="C265" s="280" t="n"/>
      <c r="D265" s="280" t="n"/>
      <c r="E265" s="280" t="n"/>
      <c r="F265" s="280" t="n"/>
      <c r="G265" s="280" t="n"/>
      <c r="H265" s="280" t="n"/>
      <c r="I265" s="332">
        <f>IFERROR(VLOOKUP(TEXT(H265,"0"),IPRESS!$A$3:$B$212,2,0),"")</f>
        <v/>
      </c>
      <c r="J265" s="280" t="n"/>
      <c r="K265" s="343" t="n"/>
      <c r="L265" s="280" t="n"/>
      <c r="M265" s="280" t="n"/>
      <c r="N265" s="345" t="n"/>
      <c r="O265" s="280" t="n"/>
      <c r="P265" s="332">
        <f>IFERROR(VLOOKUP(TEXT(O265,"0"),CONDUCTORES!$A$3:$G$54,2,0),"")</f>
        <v/>
      </c>
      <c r="Q265" s="332">
        <f>IFERROR(VLOOKUP(TEXT(O265,"0"),CONDUCTORES!$A$3:$H$54,6,0),"")</f>
        <v/>
      </c>
      <c r="R265" s="280" t="n"/>
      <c r="S265" s="280" t="n"/>
      <c r="T265" s="280" t="n"/>
      <c r="U265" s="280" t="n"/>
      <c r="V265" s="280" t="n"/>
      <c r="W265" s="280" t="n"/>
      <c r="X265" s="280" t="n"/>
      <c r="Y265" s="280" t="n"/>
      <c r="Z265" s="350" t="n"/>
      <c r="AA265" s="198" t="n"/>
      <c r="AB265" s="198" t="n"/>
      <c r="AC265" s="198" t="n"/>
    </row>
    <row r="266" ht="15" customHeight="1" s="195">
      <c r="A266" s="280" t="n"/>
      <c r="B266" s="280" t="n"/>
      <c r="C266" s="280" t="n"/>
      <c r="D266" s="280" t="n"/>
      <c r="E266" s="280" t="n"/>
      <c r="F266" s="280" t="n"/>
      <c r="G266" s="280" t="n"/>
      <c r="H266" s="280" t="n"/>
      <c r="I266" s="332">
        <f>IFERROR(VLOOKUP(TEXT(H266,"0"),IPRESS!$A$3:$B$212,2,0),"")</f>
        <v/>
      </c>
      <c r="J266" s="280" t="n"/>
      <c r="K266" s="343" t="n"/>
      <c r="L266" s="280" t="n"/>
      <c r="M266" s="280" t="n"/>
      <c r="N266" s="345" t="n"/>
      <c r="O266" s="280" t="n"/>
      <c r="P266" s="332">
        <f>IFERROR(VLOOKUP(TEXT(O266,"0"),CONDUCTORES!$A$3:$G$54,2,0),"")</f>
        <v/>
      </c>
      <c r="Q266" s="332">
        <f>IFERROR(VLOOKUP(TEXT(O266,"0"),CONDUCTORES!$A$3:$H$54,6,0),"")</f>
        <v/>
      </c>
      <c r="R266" s="280" t="n"/>
      <c r="S266" s="280" t="n"/>
      <c r="T266" s="280" t="n"/>
      <c r="U266" s="280" t="n"/>
      <c r="V266" s="280" t="n"/>
      <c r="W266" s="280" t="n"/>
      <c r="X266" s="280" t="n"/>
      <c r="Y266" s="280" t="n"/>
      <c r="Z266" s="350" t="n"/>
      <c r="AA266" s="198" t="n"/>
      <c r="AB266" s="198" t="n"/>
      <c r="AC266" s="198" t="n"/>
    </row>
    <row r="267" ht="15" customHeight="1" s="195">
      <c r="A267" s="280" t="n"/>
      <c r="B267" s="280" t="n"/>
      <c r="C267" s="280" t="n"/>
      <c r="D267" s="280" t="n"/>
      <c r="E267" s="280" t="n"/>
      <c r="F267" s="280" t="n"/>
      <c r="G267" s="280" t="n"/>
      <c r="H267" s="280" t="n"/>
      <c r="I267" s="332">
        <f>IFERROR(VLOOKUP(TEXT(H267,"0"),IPRESS!$A$3:$B$212,2,0),"")</f>
        <v/>
      </c>
      <c r="J267" s="280" t="n"/>
      <c r="K267" s="343" t="n"/>
      <c r="L267" s="280" t="n"/>
      <c r="M267" s="280" t="n"/>
      <c r="N267" s="345" t="n"/>
      <c r="O267" s="280" t="n"/>
      <c r="P267" s="332">
        <f>IFERROR(VLOOKUP(TEXT(O267,"0"),CONDUCTORES!$A$3:$G$54,2,0),"")</f>
        <v/>
      </c>
      <c r="Q267" s="332">
        <f>IFERROR(VLOOKUP(TEXT(O267,"0"),CONDUCTORES!$A$3:$H$54,6,0),"")</f>
        <v/>
      </c>
      <c r="R267" s="280" t="n"/>
      <c r="S267" s="280" t="n"/>
      <c r="T267" s="280" t="n"/>
      <c r="U267" s="280" t="n"/>
      <c r="V267" s="280" t="n"/>
      <c r="W267" s="280" t="n"/>
      <c r="X267" s="280" t="n"/>
      <c r="Y267" s="280" t="n"/>
      <c r="Z267" s="350" t="n"/>
      <c r="AA267" s="198" t="n"/>
      <c r="AB267" s="198" t="n"/>
      <c r="AC267" s="198" t="n"/>
    </row>
    <row r="268" ht="15" customHeight="1" s="195">
      <c r="A268" s="280" t="n"/>
      <c r="B268" s="280" t="n"/>
      <c r="C268" s="280" t="n"/>
      <c r="D268" s="280" t="n"/>
      <c r="E268" s="280" t="n"/>
      <c r="F268" s="280" t="n"/>
      <c r="G268" s="280" t="n"/>
      <c r="H268" s="280" t="n"/>
      <c r="I268" s="332">
        <f>IFERROR(VLOOKUP(TEXT(H268,"0"),IPRESS!$A$3:$B$212,2,0),"")</f>
        <v/>
      </c>
      <c r="J268" s="280" t="n"/>
      <c r="K268" s="343" t="n"/>
      <c r="L268" s="280" t="n"/>
      <c r="M268" s="280" t="n"/>
      <c r="N268" s="345" t="n"/>
      <c r="O268" s="280" t="n"/>
      <c r="P268" s="332">
        <f>IFERROR(VLOOKUP(TEXT(O268,"0"),CONDUCTORES!$A$3:$G$54,2,0),"")</f>
        <v/>
      </c>
      <c r="Q268" s="332">
        <f>IFERROR(VLOOKUP(TEXT(O268,"0"),CONDUCTORES!$A$3:$H$54,6,0),"")</f>
        <v/>
      </c>
      <c r="R268" s="280" t="n"/>
      <c r="S268" s="280" t="n"/>
      <c r="T268" s="280" t="n"/>
      <c r="U268" s="280" t="n"/>
      <c r="V268" s="280" t="n"/>
      <c r="W268" s="280" t="n"/>
      <c r="X268" s="280" t="n"/>
      <c r="Y268" s="280" t="n"/>
      <c r="Z268" s="350" t="n"/>
      <c r="AA268" s="198" t="n"/>
      <c r="AB268" s="198" t="n"/>
      <c r="AC268" s="198" t="n"/>
    </row>
    <row r="269" ht="15" customHeight="1" s="195">
      <c r="A269" s="280" t="n"/>
      <c r="B269" s="280" t="n"/>
      <c r="C269" s="280" t="n"/>
      <c r="D269" s="280" t="n"/>
      <c r="E269" s="280" t="n"/>
      <c r="F269" s="280" t="n"/>
      <c r="G269" s="280" t="n"/>
      <c r="H269" s="280" t="n"/>
      <c r="I269" s="332">
        <f>IFERROR(VLOOKUP(TEXT(H269,"0"),IPRESS!$A$3:$B$212,2,0),"")</f>
        <v/>
      </c>
      <c r="J269" s="280" t="n"/>
      <c r="K269" s="343" t="n"/>
      <c r="L269" s="280" t="n"/>
      <c r="M269" s="280" t="n"/>
      <c r="N269" s="345" t="n"/>
      <c r="O269" s="280" t="n"/>
      <c r="P269" s="332">
        <f>IFERROR(VLOOKUP(TEXT(O269,"0"),CONDUCTORES!$A$3:$G$54,2,0),"")</f>
        <v/>
      </c>
      <c r="Q269" s="332">
        <f>IFERROR(VLOOKUP(TEXT(O269,"0"),CONDUCTORES!$A$3:$H$54,6,0),"")</f>
        <v/>
      </c>
      <c r="R269" s="280" t="n"/>
      <c r="S269" s="280" t="n"/>
      <c r="T269" s="280" t="n"/>
      <c r="U269" s="280" t="n"/>
      <c r="V269" s="280" t="n"/>
      <c r="W269" s="280" t="n"/>
      <c r="X269" s="280" t="n"/>
      <c r="Y269" s="280" t="n"/>
      <c r="Z269" s="350" t="n"/>
      <c r="AA269" s="198" t="n"/>
      <c r="AB269" s="198" t="n"/>
      <c r="AC269" s="198" t="n"/>
    </row>
    <row r="270" ht="15" customHeight="1" s="195">
      <c r="A270" s="280" t="n"/>
      <c r="B270" s="280" t="n"/>
      <c r="C270" s="280" t="n"/>
      <c r="D270" s="280" t="n"/>
      <c r="E270" s="280" t="n"/>
      <c r="F270" s="280" t="n"/>
      <c r="G270" s="280" t="n"/>
      <c r="H270" s="280" t="n"/>
      <c r="I270" s="332">
        <f>IFERROR(VLOOKUP(TEXT(H270,"0"),IPRESS!$A$3:$B$212,2,0),"")</f>
        <v/>
      </c>
      <c r="J270" s="280" t="n"/>
      <c r="K270" s="343" t="n"/>
      <c r="L270" s="280" t="n"/>
      <c r="M270" s="280" t="n"/>
      <c r="N270" s="345" t="n"/>
      <c r="O270" s="280" t="n"/>
      <c r="P270" s="332">
        <f>IFERROR(VLOOKUP(TEXT(O270,"0"),CONDUCTORES!$A$3:$G$54,2,0),"")</f>
        <v/>
      </c>
      <c r="Q270" s="332">
        <f>IFERROR(VLOOKUP(TEXT(O270,"0"),CONDUCTORES!$A$3:$H$54,6,0),"")</f>
        <v/>
      </c>
      <c r="R270" s="280" t="n"/>
      <c r="S270" s="280" t="n"/>
      <c r="T270" s="280" t="n"/>
      <c r="U270" s="280" t="n"/>
      <c r="V270" s="280" t="n"/>
      <c r="W270" s="280" t="n"/>
      <c r="X270" s="280" t="n"/>
      <c r="Y270" s="280" t="n"/>
      <c r="Z270" s="350" t="n"/>
      <c r="AA270" s="198" t="n"/>
      <c r="AB270" s="198" t="n"/>
      <c r="AC270" s="198" t="n"/>
    </row>
    <row r="271" ht="15" customHeight="1" s="195">
      <c r="A271" s="280" t="n"/>
      <c r="B271" s="280" t="n"/>
      <c r="C271" s="280" t="n"/>
      <c r="D271" s="280" t="n"/>
      <c r="E271" s="280" t="n"/>
      <c r="F271" s="280" t="n"/>
      <c r="G271" s="280" t="n"/>
      <c r="H271" s="280" t="n"/>
      <c r="I271" s="332">
        <f>IFERROR(VLOOKUP(TEXT(H271,"0"),IPRESS!$A$3:$B$212,2,0),"")</f>
        <v/>
      </c>
      <c r="J271" s="280" t="n"/>
      <c r="K271" s="343" t="n"/>
      <c r="L271" s="280" t="n"/>
      <c r="M271" s="280" t="n"/>
      <c r="N271" s="345" t="n"/>
      <c r="O271" s="280" t="n"/>
      <c r="P271" s="332">
        <f>IFERROR(VLOOKUP(TEXT(O271,"0"),CONDUCTORES!$A$3:$G$54,2,0),"")</f>
        <v/>
      </c>
      <c r="Q271" s="332">
        <f>IFERROR(VLOOKUP(TEXT(O271,"0"),CONDUCTORES!$A$3:$H$54,6,0),"")</f>
        <v/>
      </c>
      <c r="R271" s="280" t="n"/>
      <c r="S271" s="280" t="n"/>
      <c r="T271" s="280" t="n"/>
      <c r="U271" s="280" t="n"/>
      <c r="V271" s="280" t="n"/>
      <c r="W271" s="280" t="n"/>
      <c r="X271" s="280" t="n"/>
      <c r="Y271" s="280" t="n"/>
      <c r="Z271" s="350" t="n"/>
      <c r="AA271" s="198" t="n"/>
      <c r="AB271" s="198" t="n"/>
      <c r="AC271" s="198" t="n"/>
    </row>
    <row r="272" ht="15" customHeight="1" s="195">
      <c r="A272" s="280" t="n"/>
      <c r="B272" s="280" t="n"/>
      <c r="C272" s="280" t="n"/>
      <c r="D272" s="280" t="n"/>
      <c r="E272" s="280" t="n"/>
      <c r="F272" s="280" t="n"/>
      <c r="G272" s="280" t="n"/>
      <c r="H272" s="280" t="n"/>
      <c r="I272" s="332">
        <f>IFERROR(VLOOKUP(TEXT(H272,"0"),IPRESS!$A$3:$B$212,2,0),"")</f>
        <v/>
      </c>
      <c r="J272" s="280" t="n"/>
      <c r="K272" s="343" t="n"/>
      <c r="L272" s="280" t="n"/>
      <c r="M272" s="280" t="n"/>
      <c r="N272" s="345" t="n"/>
      <c r="O272" s="280" t="n"/>
      <c r="P272" s="332">
        <f>IFERROR(VLOOKUP(TEXT(O272,"0"),CONDUCTORES!$A$3:$G$54,2,0),"")</f>
        <v/>
      </c>
      <c r="Q272" s="332">
        <f>IFERROR(VLOOKUP(TEXT(O272,"0"),CONDUCTORES!$A$3:$H$54,6,0),"")</f>
        <v/>
      </c>
      <c r="R272" s="280" t="n"/>
      <c r="S272" s="280" t="n"/>
      <c r="T272" s="280" t="n"/>
      <c r="U272" s="280" t="n"/>
      <c r="V272" s="280" t="n"/>
      <c r="W272" s="280" t="n"/>
      <c r="X272" s="280" t="n"/>
      <c r="Y272" s="280" t="n"/>
      <c r="Z272" s="350" t="n"/>
      <c r="AA272" s="198" t="n"/>
      <c r="AB272" s="198" t="n"/>
      <c r="AC272" s="198" t="n"/>
    </row>
    <row r="273" ht="15" customHeight="1" s="195">
      <c r="A273" s="280" t="n"/>
      <c r="B273" s="280" t="n"/>
      <c r="C273" s="280" t="n"/>
      <c r="D273" s="280" t="n"/>
      <c r="E273" s="280" t="n"/>
      <c r="F273" s="280" t="n"/>
      <c r="G273" s="280" t="n"/>
      <c r="H273" s="280" t="n"/>
      <c r="I273" s="332">
        <f>IFERROR(VLOOKUP(TEXT(H273,"0"),IPRESS!$A$3:$B$212,2,0),"")</f>
        <v/>
      </c>
      <c r="J273" s="280" t="n"/>
      <c r="K273" s="343" t="n"/>
      <c r="L273" s="280" t="n"/>
      <c r="M273" s="280" t="n"/>
      <c r="N273" s="345" t="n"/>
      <c r="O273" s="280" t="n"/>
      <c r="P273" s="332">
        <f>IFERROR(VLOOKUP(TEXT(O273,"0"),CONDUCTORES!$A$3:$G$54,2,0),"")</f>
        <v/>
      </c>
      <c r="Q273" s="332">
        <f>IFERROR(VLOOKUP(TEXT(O273,"0"),CONDUCTORES!$A$3:$H$54,6,0),"")</f>
        <v/>
      </c>
      <c r="R273" s="280" t="n"/>
      <c r="S273" s="280" t="n"/>
      <c r="T273" s="280" t="n"/>
      <c r="U273" s="280" t="n"/>
      <c r="V273" s="280" t="n"/>
      <c r="W273" s="280" t="n"/>
      <c r="X273" s="280" t="n"/>
      <c r="Y273" s="280" t="n"/>
      <c r="Z273" s="350" t="n"/>
      <c r="AA273" s="198" t="n"/>
      <c r="AB273" s="198" t="n"/>
      <c r="AC273" s="198" t="n"/>
    </row>
    <row r="274" ht="15" customHeight="1" s="195">
      <c r="A274" s="280" t="n"/>
      <c r="B274" s="280" t="n"/>
      <c r="C274" s="280" t="n"/>
      <c r="D274" s="280" t="n"/>
      <c r="E274" s="280" t="n"/>
      <c r="F274" s="280" t="n"/>
      <c r="G274" s="280" t="n"/>
      <c r="H274" s="280" t="n"/>
      <c r="I274" s="332">
        <f>IFERROR(VLOOKUP(TEXT(H274,"0"),IPRESS!$A$3:$B$212,2,0),"")</f>
        <v/>
      </c>
      <c r="J274" s="280" t="n"/>
      <c r="K274" s="343" t="n"/>
      <c r="L274" s="280" t="n"/>
      <c r="M274" s="280" t="n"/>
      <c r="N274" s="345" t="n"/>
      <c r="O274" s="280" t="n"/>
      <c r="P274" s="332">
        <f>IFERROR(VLOOKUP(TEXT(O274,"0"),CONDUCTORES!$A$3:$G$54,2,0),"")</f>
        <v/>
      </c>
      <c r="Q274" s="332">
        <f>IFERROR(VLOOKUP(TEXT(O274,"0"),CONDUCTORES!$A$3:$H$54,6,0),"")</f>
        <v/>
      </c>
      <c r="R274" s="280" t="n"/>
      <c r="S274" s="280" t="n"/>
      <c r="T274" s="280" t="n"/>
      <c r="U274" s="280" t="n"/>
      <c r="V274" s="280" t="n"/>
      <c r="W274" s="280" t="n"/>
      <c r="X274" s="280" t="n"/>
      <c r="Y274" s="280" t="n"/>
      <c r="Z274" s="350" t="n"/>
      <c r="AA274" s="198" t="n"/>
      <c r="AB274" s="198" t="n"/>
      <c r="AC274" s="198" t="n"/>
    </row>
    <row r="275" ht="15" customHeight="1" s="195">
      <c r="A275" s="280" t="n"/>
      <c r="B275" s="280" t="n"/>
      <c r="C275" s="280" t="n"/>
      <c r="D275" s="280" t="n"/>
      <c r="E275" s="280" t="n"/>
      <c r="F275" s="280" t="n"/>
      <c r="G275" s="280" t="n"/>
      <c r="H275" s="280" t="n"/>
      <c r="I275" s="332">
        <f>IFERROR(VLOOKUP(TEXT(H275,"0"),IPRESS!$A$3:$B$212,2,0),"")</f>
        <v/>
      </c>
      <c r="J275" s="280" t="n"/>
      <c r="K275" s="343" t="n"/>
      <c r="L275" s="280" t="n"/>
      <c r="M275" s="280" t="n"/>
      <c r="N275" s="345" t="n"/>
      <c r="O275" s="280" t="n"/>
      <c r="P275" s="332">
        <f>IFERROR(VLOOKUP(TEXT(O275,"0"),CONDUCTORES!$A$3:$G$54,2,0),"")</f>
        <v/>
      </c>
      <c r="Q275" s="332">
        <f>IFERROR(VLOOKUP(TEXT(O275,"0"),CONDUCTORES!$A$3:$H$54,6,0),"")</f>
        <v/>
      </c>
      <c r="R275" s="280" t="n"/>
      <c r="S275" s="280" t="n"/>
      <c r="T275" s="280" t="n"/>
      <c r="U275" s="280" t="n"/>
      <c r="V275" s="280" t="n"/>
      <c r="W275" s="280" t="n"/>
      <c r="X275" s="280" t="n"/>
      <c r="Y275" s="280" t="n"/>
      <c r="Z275" s="350" t="n"/>
      <c r="AA275" s="198" t="n"/>
      <c r="AB275" s="198" t="n"/>
      <c r="AC275" s="198" t="n"/>
    </row>
    <row r="276" ht="15" customHeight="1" s="195">
      <c r="A276" s="280" t="n"/>
      <c r="B276" s="280" t="n"/>
      <c r="C276" s="280" t="n"/>
      <c r="D276" s="280" t="n"/>
      <c r="E276" s="280" t="n"/>
      <c r="F276" s="280" t="n"/>
      <c r="G276" s="280" t="n"/>
      <c r="H276" s="280" t="n"/>
      <c r="I276" s="332">
        <f>IFERROR(VLOOKUP(TEXT(H276,"0"),IPRESS!$A$3:$B$212,2,0),"")</f>
        <v/>
      </c>
      <c r="J276" s="280" t="n"/>
      <c r="K276" s="343" t="n"/>
      <c r="L276" s="280" t="n"/>
      <c r="M276" s="280" t="n"/>
      <c r="N276" s="345" t="n"/>
      <c r="O276" s="280" t="n"/>
      <c r="P276" s="332">
        <f>IFERROR(VLOOKUP(TEXT(O276,"0"),CONDUCTORES!$A$3:$G$54,2,0),"")</f>
        <v/>
      </c>
      <c r="Q276" s="332">
        <f>IFERROR(VLOOKUP(TEXT(O276,"0"),CONDUCTORES!$A$3:$H$54,6,0),"")</f>
        <v/>
      </c>
      <c r="R276" s="280" t="n"/>
      <c r="S276" s="280" t="n"/>
      <c r="T276" s="280" t="n"/>
      <c r="U276" s="280" t="n"/>
      <c r="V276" s="280" t="n"/>
      <c r="W276" s="280" t="n"/>
      <c r="X276" s="280" t="n"/>
      <c r="Y276" s="280" t="n"/>
      <c r="Z276" s="350" t="n"/>
      <c r="AA276" s="198" t="n"/>
      <c r="AB276" s="198" t="n"/>
      <c r="AC276" s="198" t="n"/>
    </row>
    <row r="277" ht="15" customHeight="1" s="195">
      <c r="A277" s="280" t="n"/>
      <c r="B277" s="280" t="n"/>
      <c r="C277" s="280" t="n"/>
      <c r="D277" s="280" t="n"/>
      <c r="E277" s="280" t="n"/>
      <c r="F277" s="280" t="n"/>
      <c r="G277" s="280" t="n"/>
      <c r="H277" s="280" t="n"/>
      <c r="I277" s="332">
        <f>IFERROR(VLOOKUP(TEXT(H277,"0"),IPRESS!$A$3:$B$212,2,0),"")</f>
        <v/>
      </c>
      <c r="J277" s="280" t="n"/>
      <c r="K277" s="343" t="n"/>
      <c r="L277" s="280" t="n"/>
      <c r="M277" s="280" t="n"/>
      <c r="N277" s="345" t="n"/>
      <c r="O277" s="280" t="n"/>
      <c r="P277" s="332">
        <f>IFERROR(VLOOKUP(TEXT(O277,"0"),CONDUCTORES!$A$3:$G$54,2,0),"")</f>
        <v/>
      </c>
      <c r="Q277" s="332">
        <f>IFERROR(VLOOKUP(TEXT(O277,"0"),CONDUCTORES!$A$3:$H$54,6,0),"")</f>
        <v/>
      </c>
      <c r="R277" s="280" t="n"/>
      <c r="S277" s="280" t="n"/>
      <c r="T277" s="280" t="n"/>
      <c r="U277" s="280" t="n"/>
      <c r="V277" s="280" t="n"/>
      <c r="W277" s="280" t="n"/>
      <c r="X277" s="280" t="n"/>
      <c r="Y277" s="280" t="n"/>
      <c r="Z277" s="350" t="n"/>
      <c r="AA277" s="198" t="n"/>
      <c r="AB277" s="198" t="n"/>
      <c r="AC277" s="198" t="n"/>
    </row>
    <row r="278" ht="15" customHeight="1" s="195">
      <c r="A278" s="280" t="n"/>
      <c r="B278" s="280" t="n"/>
      <c r="C278" s="280" t="n"/>
      <c r="D278" s="280" t="n"/>
      <c r="E278" s="280" t="n"/>
      <c r="F278" s="280" t="n"/>
      <c r="G278" s="280" t="n"/>
      <c r="H278" s="280" t="n"/>
      <c r="I278" s="332">
        <f>IFERROR(VLOOKUP(TEXT(H278,"0"),IPRESS!$A$3:$B$212,2,0),"")</f>
        <v/>
      </c>
      <c r="J278" s="280" t="n"/>
      <c r="K278" s="343" t="n"/>
      <c r="L278" s="280" t="n"/>
      <c r="M278" s="280" t="n"/>
      <c r="N278" s="345" t="n"/>
      <c r="O278" s="280" t="n"/>
      <c r="P278" s="332">
        <f>IFERROR(VLOOKUP(TEXT(O278,"0"),CONDUCTORES!$A$3:$G$54,2,0),"")</f>
        <v/>
      </c>
      <c r="Q278" s="332">
        <f>IFERROR(VLOOKUP(TEXT(O278,"0"),CONDUCTORES!$A$3:$H$54,6,0),"")</f>
        <v/>
      </c>
      <c r="R278" s="280" t="n"/>
      <c r="S278" s="280" t="n"/>
      <c r="T278" s="280" t="n"/>
      <c r="U278" s="280" t="n"/>
      <c r="V278" s="280" t="n"/>
      <c r="W278" s="280" t="n"/>
      <c r="X278" s="280" t="n"/>
      <c r="Y278" s="280" t="n"/>
      <c r="Z278" s="350" t="n"/>
      <c r="AA278" s="198" t="n"/>
      <c r="AB278" s="198" t="n"/>
      <c r="AC278" s="198" t="n"/>
    </row>
    <row r="279" ht="15" customHeight="1" s="195">
      <c r="A279" s="280" t="n"/>
      <c r="B279" s="280" t="n"/>
      <c r="C279" s="280" t="n"/>
      <c r="D279" s="280" t="n"/>
      <c r="E279" s="280" t="n"/>
      <c r="F279" s="280" t="n"/>
      <c r="G279" s="280" t="n"/>
      <c r="H279" s="280" t="n"/>
      <c r="I279" s="332">
        <f>IFERROR(VLOOKUP(TEXT(H279,"0"),IPRESS!$A$3:$B$212,2,0),"")</f>
        <v/>
      </c>
      <c r="J279" s="280" t="n"/>
      <c r="K279" s="343" t="n"/>
      <c r="L279" s="280" t="n"/>
      <c r="M279" s="280" t="n"/>
      <c r="N279" s="345" t="n"/>
      <c r="O279" s="280" t="n"/>
      <c r="P279" s="332">
        <f>IFERROR(VLOOKUP(TEXT(O279,"0"),CONDUCTORES!$A$3:$G$54,2,0),"")</f>
        <v/>
      </c>
      <c r="Q279" s="332">
        <f>IFERROR(VLOOKUP(TEXT(O279,"0"),CONDUCTORES!$A$3:$H$54,6,0),"")</f>
        <v/>
      </c>
      <c r="R279" s="280" t="n"/>
      <c r="S279" s="280" t="n"/>
      <c r="T279" s="280" t="n"/>
      <c r="U279" s="280" t="n"/>
      <c r="V279" s="280" t="n"/>
      <c r="W279" s="280" t="n"/>
      <c r="X279" s="280" t="n"/>
      <c r="Y279" s="280" t="n"/>
      <c r="Z279" s="350" t="n"/>
      <c r="AA279" s="198" t="n"/>
      <c r="AB279" s="198" t="n"/>
      <c r="AC279" s="198" t="n"/>
    </row>
    <row r="280" ht="15" customHeight="1" s="195">
      <c r="A280" s="280" t="n"/>
      <c r="B280" s="280" t="n"/>
      <c r="C280" s="280" t="n"/>
      <c r="D280" s="280" t="n"/>
      <c r="E280" s="280" t="n"/>
      <c r="F280" s="280" t="n"/>
      <c r="G280" s="280" t="n"/>
      <c r="H280" s="280" t="n"/>
      <c r="I280" s="332">
        <f>IFERROR(VLOOKUP(TEXT(H280,"0"),IPRESS!$A$3:$B$212,2,0),"")</f>
        <v/>
      </c>
      <c r="J280" s="280" t="n"/>
      <c r="K280" s="343" t="n"/>
      <c r="L280" s="280" t="n"/>
      <c r="M280" s="280" t="n"/>
      <c r="N280" s="345" t="n"/>
      <c r="O280" s="280" t="n"/>
      <c r="P280" s="332">
        <f>IFERROR(VLOOKUP(TEXT(O280,"0"),CONDUCTORES!$A$3:$G$54,2,0),"")</f>
        <v/>
      </c>
      <c r="Q280" s="332">
        <f>IFERROR(VLOOKUP(TEXT(O280,"0"),CONDUCTORES!$A$3:$H$54,6,0),"")</f>
        <v/>
      </c>
      <c r="R280" s="280" t="n"/>
      <c r="S280" s="280" t="n"/>
      <c r="T280" s="280" t="n"/>
      <c r="U280" s="280" t="n"/>
      <c r="V280" s="280" t="n"/>
      <c r="W280" s="280" t="n"/>
      <c r="X280" s="280" t="n"/>
      <c r="Y280" s="280" t="n"/>
      <c r="Z280" s="350" t="n"/>
      <c r="AA280" s="198" t="n"/>
      <c r="AB280" s="198" t="n"/>
      <c r="AC280" s="198" t="n"/>
    </row>
    <row r="281" ht="15" customHeight="1" s="195">
      <c r="A281" s="280" t="n"/>
      <c r="B281" s="280" t="n"/>
      <c r="C281" s="280" t="n"/>
      <c r="D281" s="280" t="n"/>
      <c r="E281" s="280" t="n"/>
      <c r="F281" s="280" t="n"/>
      <c r="G281" s="280" t="n"/>
      <c r="H281" s="280" t="n"/>
      <c r="I281" s="332">
        <f>IFERROR(VLOOKUP(TEXT(H281,"0"),IPRESS!$A$3:$B$212,2,0),"")</f>
        <v/>
      </c>
      <c r="J281" s="280" t="n"/>
      <c r="K281" s="343" t="n"/>
      <c r="L281" s="280" t="n"/>
      <c r="M281" s="280" t="n"/>
      <c r="N281" s="345" t="n"/>
      <c r="O281" s="280" t="n"/>
      <c r="P281" s="332">
        <f>IFERROR(VLOOKUP(TEXT(O281,"0"),CONDUCTORES!$A$3:$G$54,2,0),"")</f>
        <v/>
      </c>
      <c r="Q281" s="332">
        <f>IFERROR(VLOOKUP(TEXT(O281,"0"),CONDUCTORES!$A$3:$H$54,6,0),"")</f>
        <v/>
      </c>
      <c r="R281" s="280" t="n"/>
      <c r="S281" s="280" t="n"/>
      <c r="T281" s="280" t="n"/>
      <c r="U281" s="280" t="n"/>
      <c r="V281" s="280" t="n"/>
      <c r="W281" s="280" t="n"/>
      <c r="X281" s="280" t="n"/>
      <c r="Y281" s="280" t="n"/>
      <c r="Z281" s="350" t="n"/>
      <c r="AA281" s="198" t="n"/>
      <c r="AB281" s="198" t="n"/>
      <c r="AC281" s="198" t="n"/>
    </row>
    <row r="282" ht="15" customHeight="1" s="195">
      <c r="A282" s="280" t="n"/>
      <c r="B282" s="280" t="n"/>
      <c r="C282" s="280" t="n"/>
      <c r="D282" s="280" t="n"/>
      <c r="E282" s="280" t="n"/>
      <c r="F282" s="280" t="n"/>
      <c r="G282" s="280" t="n"/>
      <c r="H282" s="280" t="n"/>
      <c r="I282" s="332">
        <f>IFERROR(VLOOKUP(TEXT(H282,"0"),IPRESS!$A$3:$B$212,2,0),"")</f>
        <v/>
      </c>
      <c r="J282" s="280" t="n"/>
      <c r="K282" s="343" t="n"/>
      <c r="L282" s="280" t="n"/>
      <c r="M282" s="280" t="n"/>
      <c r="N282" s="345" t="n"/>
      <c r="O282" s="280" t="n"/>
      <c r="P282" s="332">
        <f>IFERROR(VLOOKUP(TEXT(O282,"0"),CONDUCTORES!$A$3:$G$54,2,0),"")</f>
        <v/>
      </c>
      <c r="Q282" s="332">
        <f>IFERROR(VLOOKUP(TEXT(O282,"0"),CONDUCTORES!$A$3:$H$54,6,0),"")</f>
        <v/>
      </c>
      <c r="R282" s="280" t="n"/>
      <c r="S282" s="280" t="n"/>
      <c r="T282" s="280" t="n"/>
      <c r="U282" s="280" t="n"/>
      <c r="V282" s="280" t="n"/>
      <c r="W282" s="280" t="n"/>
      <c r="X282" s="280" t="n"/>
      <c r="Y282" s="280" t="n"/>
      <c r="Z282" s="350" t="n"/>
      <c r="AA282" s="198" t="n"/>
      <c r="AB282" s="198" t="n"/>
      <c r="AC282" s="198" t="n"/>
    </row>
    <row r="283" ht="15" customHeight="1" s="195">
      <c r="A283" s="280" t="n"/>
      <c r="B283" s="280" t="n"/>
      <c r="C283" s="280" t="n"/>
      <c r="D283" s="280" t="n"/>
      <c r="E283" s="280" t="n"/>
      <c r="F283" s="280" t="n"/>
      <c r="G283" s="280" t="n"/>
      <c r="H283" s="280" t="n"/>
      <c r="I283" s="332">
        <f>IFERROR(VLOOKUP(TEXT(H283,"0"),IPRESS!$A$3:$B$212,2,0),"")</f>
        <v/>
      </c>
      <c r="J283" s="280" t="n"/>
      <c r="K283" s="343" t="n"/>
      <c r="L283" s="280" t="n"/>
      <c r="M283" s="280" t="n"/>
      <c r="N283" s="345" t="n"/>
      <c r="O283" s="280" t="n"/>
      <c r="P283" s="332">
        <f>IFERROR(VLOOKUP(TEXT(O283,"0"),CONDUCTORES!$A$3:$G$54,2,0),"")</f>
        <v/>
      </c>
      <c r="Q283" s="332">
        <f>IFERROR(VLOOKUP(TEXT(O283,"0"),CONDUCTORES!$A$3:$H$54,6,0),"")</f>
        <v/>
      </c>
      <c r="R283" s="280" t="n"/>
      <c r="S283" s="280" t="n"/>
      <c r="T283" s="280" t="n"/>
      <c r="U283" s="280" t="n"/>
      <c r="V283" s="280" t="n"/>
      <c r="W283" s="280" t="n"/>
      <c r="X283" s="280" t="n"/>
      <c r="Y283" s="280" t="n"/>
      <c r="Z283" s="350" t="n"/>
      <c r="AA283" s="198" t="n"/>
      <c r="AB283" s="198" t="n"/>
      <c r="AC283" s="198" t="n"/>
    </row>
    <row r="284" ht="15" customHeight="1" s="195">
      <c r="A284" s="280" t="n"/>
      <c r="B284" s="280" t="n"/>
      <c r="C284" s="280" t="n"/>
      <c r="D284" s="280" t="n"/>
      <c r="E284" s="280" t="n"/>
      <c r="F284" s="280" t="n"/>
      <c r="G284" s="280" t="n"/>
      <c r="H284" s="280" t="n"/>
      <c r="I284" s="332">
        <f>IFERROR(VLOOKUP(TEXT(H284,"0"),IPRESS!$A$3:$B$212,2,0),"")</f>
        <v/>
      </c>
      <c r="J284" s="280" t="n"/>
      <c r="K284" s="343" t="n"/>
      <c r="L284" s="280" t="n"/>
      <c r="M284" s="280" t="n"/>
      <c r="N284" s="345" t="n"/>
      <c r="O284" s="280" t="n"/>
      <c r="P284" s="332">
        <f>IFERROR(VLOOKUP(TEXT(O284,"0"),CONDUCTORES!$A$3:$G$54,2,0),"")</f>
        <v/>
      </c>
      <c r="Q284" s="332">
        <f>IFERROR(VLOOKUP(TEXT(O284,"0"),CONDUCTORES!$A$3:$H$54,6,0),"")</f>
        <v/>
      </c>
      <c r="R284" s="280" t="n"/>
      <c r="S284" s="280" t="n"/>
      <c r="T284" s="280" t="n"/>
      <c r="U284" s="280" t="n"/>
      <c r="V284" s="280" t="n"/>
      <c r="W284" s="280" t="n"/>
      <c r="X284" s="280" t="n"/>
      <c r="Y284" s="280" t="n"/>
      <c r="Z284" s="350" t="n"/>
      <c r="AA284" s="198" t="n"/>
      <c r="AB284" s="198" t="n"/>
      <c r="AC284" s="198" t="n"/>
    </row>
    <row r="285" ht="15" customHeight="1" s="195">
      <c r="A285" s="280" t="n"/>
      <c r="B285" s="280" t="n"/>
      <c r="C285" s="280" t="n"/>
      <c r="D285" s="280" t="n"/>
      <c r="E285" s="280" t="n"/>
      <c r="F285" s="280" t="n"/>
      <c r="G285" s="280" t="n"/>
      <c r="H285" s="280" t="n"/>
      <c r="I285" s="332">
        <f>IFERROR(VLOOKUP(TEXT(H285,"0"),IPRESS!$A$3:$B$212,2,0),"")</f>
        <v/>
      </c>
      <c r="J285" s="280" t="n"/>
      <c r="K285" s="343" t="n"/>
      <c r="L285" s="280" t="n"/>
      <c r="M285" s="280" t="n"/>
      <c r="N285" s="345" t="n"/>
      <c r="O285" s="280" t="n"/>
      <c r="P285" s="332">
        <f>IFERROR(VLOOKUP(TEXT(O285,"0"),CONDUCTORES!$A$3:$G$54,2,0),"")</f>
        <v/>
      </c>
      <c r="Q285" s="332">
        <f>IFERROR(VLOOKUP(TEXT(O285,"0"),CONDUCTORES!$A$3:$H$54,6,0),"")</f>
        <v/>
      </c>
      <c r="R285" s="280" t="n"/>
      <c r="S285" s="280" t="n"/>
      <c r="T285" s="280" t="n"/>
      <c r="U285" s="280" t="n"/>
      <c r="V285" s="280" t="n"/>
      <c r="W285" s="280" t="n"/>
      <c r="X285" s="280" t="n"/>
      <c r="Y285" s="280" t="n"/>
      <c r="Z285" s="350" t="n"/>
      <c r="AA285" s="198" t="n"/>
      <c r="AB285" s="198" t="n"/>
      <c r="AC285" s="198" t="n"/>
    </row>
    <row r="286" ht="15" customHeight="1" s="195">
      <c r="A286" s="280" t="n"/>
      <c r="B286" s="280" t="n"/>
      <c r="C286" s="280" t="n"/>
      <c r="D286" s="280" t="n"/>
      <c r="E286" s="280" t="n"/>
      <c r="F286" s="280" t="n"/>
      <c r="G286" s="280" t="n"/>
      <c r="H286" s="280" t="n"/>
      <c r="I286" s="332">
        <f>IFERROR(VLOOKUP(TEXT(H286,"0"),IPRESS!$A$3:$B$212,2,0),"")</f>
        <v/>
      </c>
      <c r="J286" s="280" t="n"/>
      <c r="K286" s="343" t="n"/>
      <c r="L286" s="280" t="n"/>
      <c r="M286" s="280" t="n"/>
      <c r="N286" s="345" t="n"/>
      <c r="O286" s="280" t="n"/>
      <c r="P286" s="332">
        <f>IFERROR(VLOOKUP(TEXT(O286,"0"),CONDUCTORES!$A$3:$G$54,2,0),"")</f>
        <v/>
      </c>
      <c r="Q286" s="332">
        <f>IFERROR(VLOOKUP(TEXT(O286,"0"),CONDUCTORES!$A$3:$H$54,6,0),"")</f>
        <v/>
      </c>
      <c r="R286" s="280" t="n"/>
      <c r="S286" s="280" t="n"/>
      <c r="T286" s="280" t="n"/>
      <c r="U286" s="280" t="n"/>
      <c r="V286" s="280" t="n"/>
      <c r="W286" s="280" t="n"/>
      <c r="X286" s="280" t="n"/>
      <c r="Y286" s="280" t="n"/>
      <c r="Z286" s="350" t="n"/>
      <c r="AA286" s="198" t="n"/>
      <c r="AB286" s="198" t="n"/>
      <c r="AC286" s="198" t="n"/>
    </row>
    <row r="287" ht="15" customHeight="1" s="195">
      <c r="A287" s="280" t="n"/>
      <c r="B287" s="280" t="n"/>
      <c r="C287" s="280" t="n"/>
      <c r="D287" s="280" t="n"/>
      <c r="E287" s="280" t="n"/>
      <c r="F287" s="280" t="n"/>
      <c r="G287" s="280" t="n"/>
      <c r="H287" s="280" t="n"/>
      <c r="I287" s="332">
        <f>IFERROR(VLOOKUP(TEXT(H287,"0"),IPRESS!$A$3:$B$212,2,0),"")</f>
        <v/>
      </c>
      <c r="J287" s="280" t="n"/>
      <c r="K287" s="343" t="n"/>
      <c r="L287" s="280" t="n"/>
      <c r="M287" s="280" t="n"/>
      <c r="N287" s="345" t="n"/>
      <c r="O287" s="280" t="n"/>
      <c r="P287" s="332">
        <f>IFERROR(VLOOKUP(TEXT(O287,"0"),CONDUCTORES!$A$3:$G$54,2,0),"")</f>
        <v/>
      </c>
      <c r="Q287" s="332">
        <f>IFERROR(VLOOKUP(TEXT(O287,"0"),CONDUCTORES!$A$3:$H$54,6,0),"")</f>
        <v/>
      </c>
      <c r="R287" s="280" t="n"/>
      <c r="S287" s="280" t="n"/>
      <c r="T287" s="280" t="n"/>
      <c r="U287" s="280" t="n"/>
      <c r="V287" s="280" t="n"/>
      <c r="W287" s="280" t="n"/>
      <c r="X287" s="280" t="n"/>
      <c r="Y287" s="280" t="n"/>
      <c r="Z287" s="350" t="n"/>
      <c r="AA287" s="198" t="n"/>
      <c r="AB287" s="198" t="n"/>
      <c r="AC287" s="198" t="n"/>
    </row>
    <row r="288" ht="15" customHeight="1" s="195">
      <c r="A288" s="280" t="n"/>
      <c r="B288" s="280" t="n"/>
      <c r="C288" s="280" t="n"/>
      <c r="D288" s="280" t="n"/>
      <c r="E288" s="280" t="n"/>
      <c r="F288" s="280" t="n"/>
      <c r="G288" s="280" t="n"/>
      <c r="H288" s="280" t="n"/>
      <c r="I288" s="332">
        <f>IFERROR(VLOOKUP(TEXT(H288,"0"),IPRESS!$A$3:$B$212,2,0),"")</f>
        <v/>
      </c>
      <c r="J288" s="280" t="n"/>
      <c r="K288" s="343" t="n"/>
      <c r="L288" s="280" t="n"/>
      <c r="M288" s="280" t="n"/>
      <c r="N288" s="345" t="n"/>
      <c r="O288" s="280" t="n"/>
      <c r="P288" s="332">
        <f>IFERROR(VLOOKUP(TEXT(O288,"0"),CONDUCTORES!$A$3:$G$54,2,0),"")</f>
        <v/>
      </c>
      <c r="Q288" s="332">
        <f>IFERROR(VLOOKUP(TEXT(O288,"0"),CONDUCTORES!$A$3:$H$54,6,0),"")</f>
        <v/>
      </c>
      <c r="R288" s="280" t="n"/>
      <c r="S288" s="280" t="n"/>
      <c r="T288" s="280" t="n"/>
      <c r="U288" s="280" t="n"/>
      <c r="V288" s="280" t="n"/>
      <c r="W288" s="280" t="n"/>
      <c r="X288" s="280" t="n"/>
      <c r="Y288" s="280" t="n"/>
      <c r="Z288" s="350" t="n"/>
      <c r="AA288" s="198" t="n"/>
      <c r="AB288" s="198" t="n"/>
      <c r="AC288" s="198" t="n"/>
    </row>
    <row r="289" ht="15" customHeight="1" s="195">
      <c r="A289" s="280" t="n"/>
      <c r="B289" s="280" t="n"/>
      <c r="C289" s="280" t="n"/>
      <c r="D289" s="280" t="n"/>
      <c r="E289" s="280" t="n"/>
      <c r="F289" s="280" t="n"/>
      <c r="G289" s="280" t="n"/>
      <c r="H289" s="280" t="n"/>
      <c r="I289" s="332">
        <f>IFERROR(VLOOKUP(TEXT(H289,"0"),IPRESS!$A$3:$B$212,2,0),"")</f>
        <v/>
      </c>
      <c r="J289" s="280" t="n"/>
      <c r="K289" s="343" t="n"/>
      <c r="L289" s="280" t="n"/>
      <c r="M289" s="280" t="n"/>
      <c r="N289" s="345" t="n"/>
      <c r="O289" s="280" t="n"/>
      <c r="P289" s="332">
        <f>IFERROR(VLOOKUP(TEXT(O289,"0"),CONDUCTORES!$A$3:$G$54,2,0),"")</f>
        <v/>
      </c>
      <c r="Q289" s="332">
        <f>IFERROR(VLOOKUP(TEXT(O289,"0"),CONDUCTORES!$A$3:$H$54,6,0),"")</f>
        <v/>
      </c>
      <c r="R289" s="280" t="n"/>
      <c r="S289" s="280" t="n"/>
      <c r="T289" s="280" t="n"/>
      <c r="U289" s="280" t="n"/>
      <c r="V289" s="280" t="n"/>
      <c r="W289" s="280" t="n"/>
      <c r="X289" s="280" t="n"/>
      <c r="Y289" s="280" t="n"/>
      <c r="Z289" s="350" t="n"/>
      <c r="AA289" s="198" t="n"/>
      <c r="AB289" s="198" t="n"/>
      <c r="AC289" s="198" t="n"/>
    </row>
    <row r="290" ht="15" customHeight="1" s="195">
      <c r="A290" s="280" t="n"/>
      <c r="B290" s="280" t="n"/>
      <c r="C290" s="280" t="n"/>
      <c r="D290" s="280" t="n"/>
      <c r="E290" s="280" t="n"/>
      <c r="F290" s="280" t="n"/>
      <c r="G290" s="280" t="n"/>
      <c r="H290" s="280" t="n"/>
      <c r="I290" s="332">
        <f>IFERROR(VLOOKUP(TEXT(H290,"0"),IPRESS!$A$3:$B$212,2,0),"")</f>
        <v/>
      </c>
      <c r="J290" s="280" t="n"/>
      <c r="K290" s="343" t="n"/>
      <c r="L290" s="280" t="n"/>
      <c r="M290" s="280" t="n"/>
      <c r="N290" s="345" t="n"/>
      <c r="O290" s="280" t="n"/>
      <c r="P290" s="332">
        <f>IFERROR(VLOOKUP(TEXT(O290,"0"),CONDUCTORES!$A$3:$G$54,2,0),"")</f>
        <v/>
      </c>
      <c r="Q290" s="332">
        <f>IFERROR(VLOOKUP(TEXT(O290,"0"),CONDUCTORES!$A$3:$H$54,6,0),"")</f>
        <v/>
      </c>
      <c r="R290" s="280" t="n"/>
      <c r="S290" s="280" t="n"/>
      <c r="T290" s="280" t="n"/>
      <c r="U290" s="280" t="n"/>
      <c r="V290" s="280" t="n"/>
      <c r="W290" s="280" t="n"/>
      <c r="X290" s="280" t="n"/>
      <c r="Y290" s="280" t="n"/>
      <c r="Z290" s="350" t="n"/>
      <c r="AA290" s="198" t="n"/>
      <c r="AB290" s="198" t="n"/>
      <c r="AC290" s="198" t="n"/>
    </row>
    <row r="291" ht="15" customHeight="1" s="195">
      <c r="A291" s="280" t="n"/>
      <c r="B291" s="280" t="n"/>
      <c r="C291" s="280" t="n"/>
      <c r="D291" s="280" t="n"/>
      <c r="E291" s="280" t="n"/>
      <c r="F291" s="280" t="n"/>
      <c r="G291" s="280" t="n"/>
      <c r="H291" s="280" t="n"/>
      <c r="I291" s="332">
        <f>IFERROR(VLOOKUP(TEXT(H291,"0"),IPRESS!$A$3:$B$212,2,0),"")</f>
        <v/>
      </c>
      <c r="J291" s="280" t="n"/>
      <c r="K291" s="343" t="n"/>
      <c r="L291" s="280" t="n"/>
      <c r="M291" s="280" t="n"/>
      <c r="N291" s="345" t="n"/>
      <c r="O291" s="280" t="n"/>
      <c r="P291" s="332">
        <f>IFERROR(VLOOKUP(TEXT(O291,"0"),CONDUCTORES!$A$3:$G$54,2,0),"")</f>
        <v/>
      </c>
      <c r="Q291" s="332">
        <f>IFERROR(VLOOKUP(TEXT(O291,"0"),CONDUCTORES!$A$3:$H$54,6,0),"")</f>
        <v/>
      </c>
      <c r="R291" s="280" t="n"/>
      <c r="S291" s="280" t="n"/>
      <c r="T291" s="280" t="n"/>
      <c r="U291" s="280" t="n"/>
      <c r="V291" s="280" t="n"/>
      <c r="W291" s="280" t="n"/>
      <c r="X291" s="280" t="n"/>
      <c r="Y291" s="280" t="n"/>
      <c r="Z291" s="350" t="n"/>
      <c r="AA291" s="198" t="n"/>
      <c r="AB291" s="198" t="n"/>
      <c r="AC291" s="198" t="n"/>
    </row>
    <row r="292" ht="15" customHeight="1" s="195">
      <c r="A292" s="280" t="n"/>
      <c r="B292" s="280" t="n"/>
      <c r="C292" s="280" t="n"/>
      <c r="D292" s="280" t="n"/>
      <c r="E292" s="280" t="n"/>
      <c r="F292" s="280" t="n"/>
      <c r="G292" s="280" t="n"/>
      <c r="H292" s="280" t="n"/>
      <c r="I292" s="332">
        <f>IFERROR(VLOOKUP(TEXT(H292,"0"),IPRESS!$A$3:$B$212,2,0),"")</f>
        <v/>
      </c>
      <c r="J292" s="280" t="n"/>
      <c r="K292" s="343" t="n"/>
      <c r="L292" s="280" t="n"/>
      <c r="M292" s="280" t="n"/>
      <c r="N292" s="345" t="n"/>
      <c r="O292" s="280" t="n"/>
      <c r="P292" s="332">
        <f>IFERROR(VLOOKUP(TEXT(O292,"0"),CONDUCTORES!$A$3:$G$54,2,0),"")</f>
        <v/>
      </c>
      <c r="Q292" s="332">
        <f>IFERROR(VLOOKUP(TEXT(O292,"0"),CONDUCTORES!$A$3:$H$54,6,0),"")</f>
        <v/>
      </c>
      <c r="R292" s="280" t="n"/>
      <c r="S292" s="280" t="n"/>
      <c r="T292" s="280" t="n"/>
      <c r="U292" s="280" t="n"/>
      <c r="V292" s="280" t="n"/>
      <c r="W292" s="280" t="n"/>
      <c r="X292" s="280" t="n"/>
      <c r="Y292" s="280" t="n"/>
      <c r="Z292" s="350" t="n"/>
      <c r="AA292" s="198" t="n"/>
      <c r="AB292" s="198" t="n"/>
      <c r="AC292" s="198" t="n"/>
    </row>
    <row r="293" ht="15" customHeight="1" s="195">
      <c r="A293" s="280" t="n"/>
      <c r="B293" s="280" t="n"/>
      <c r="C293" s="280" t="n"/>
      <c r="D293" s="280" t="n"/>
      <c r="E293" s="280" t="n"/>
      <c r="F293" s="280" t="n"/>
      <c r="G293" s="280" t="n"/>
      <c r="H293" s="280" t="n"/>
      <c r="I293" s="332">
        <f>IFERROR(VLOOKUP(TEXT(H293,"0"),IPRESS!$A$3:$B$212,2,0),"")</f>
        <v/>
      </c>
      <c r="J293" s="280" t="n"/>
      <c r="K293" s="343" t="n"/>
      <c r="L293" s="280" t="n"/>
      <c r="M293" s="280" t="n"/>
      <c r="N293" s="345" t="n"/>
      <c r="O293" s="280" t="n"/>
      <c r="P293" s="332">
        <f>IFERROR(VLOOKUP(TEXT(O293,"0"),CONDUCTORES!$A$3:$G$54,2,0),"")</f>
        <v/>
      </c>
      <c r="Q293" s="332">
        <f>IFERROR(VLOOKUP(TEXT(O293,"0"),CONDUCTORES!$A$3:$H$54,6,0),"")</f>
        <v/>
      </c>
      <c r="R293" s="280" t="n"/>
      <c r="S293" s="280" t="n"/>
      <c r="T293" s="280" t="n"/>
      <c r="U293" s="280" t="n"/>
      <c r="V293" s="280" t="n"/>
      <c r="W293" s="280" t="n"/>
      <c r="X293" s="280" t="n"/>
      <c r="Y293" s="280" t="n"/>
      <c r="Z293" s="350" t="n"/>
      <c r="AA293" s="198" t="n"/>
      <c r="AB293" s="198" t="n"/>
      <c r="AC293" s="198" t="n"/>
    </row>
    <row r="294" ht="15" customHeight="1" s="195">
      <c r="A294" s="280" t="n"/>
      <c r="B294" s="280" t="n"/>
      <c r="C294" s="280" t="n"/>
      <c r="D294" s="280" t="n"/>
      <c r="E294" s="280" t="n"/>
      <c r="F294" s="280" t="n"/>
      <c r="G294" s="280" t="n"/>
      <c r="H294" s="280" t="n"/>
      <c r="I294" s="332">
        <f>IFERROR(VLOOKUP(TEXT(H294,"0"),IPRESS!$A$3:$B$212,2,0),"")</f>
        <v/>
      </c>
      <c r="J294" s="280" t="n"/>
      <c r="K294" s="343" t="n"/>
      <c r="L294" s="280" t="n"/>
      <c r="M294" s="280" t="n"/>
      <c r="N294" s="345" t="n"/>
      <c r="O294" s="280" t="n"/>
      <c r="P294" s="332">
        <f>IFERROR(VLOOKUP(TEXT(O294,"0"),CONDUCTORES!$A$3:$G$54,2,0),"")</f>
        <v/>
      </c>
      <c r="Q294" s="332">
        <f>IFERROR(VLOOKUP(TEXT(O294,"0"),CONDUCTORES!$A$3:$H$54,6,0),"")</f>
        <v/>
      </c>
      <c r="R294" s="280" t="n"/>
      <c r="S294" s="280" t="n"/>
      <c r="T294" s="280" t="n"/>
      <c r="U294" s="280" t="n"/>
      <c r="V294" s="280" t="n"/>
      <c r="W294" s="280" t="n"/>
      <c r="X294" s="280" t="n"/>
      <c r="Y294" s="280" t="n"/>
      <c r="Z294" s="350" t="n"/>
      <c r="AA294" s="198" t="n"/>
      <c r="AB294" s="198" t="n"/>
      <c r="AC294" s="198" t="n"/>
    </row>
    <row r="295" ht="15" customHeight="1" s="195">
      <c r="A295" s="280" t="n"/>
      <c r="B295" s="280" t="n"/>
      <c r="C295" s="280" t="n"/>
      <c r="D295" s="280" t="n"/>
      <c r="E295" s="280" t="n"/>
      <c r="F295" s="280" t="n"/>
      <c r="G295" s="280" t="n"/>
      <c r="H295" s="280" t="n"/>
      <c r="I295" s="332">
        <f>IFERROR(VLOOKUP(TEXT(H295,"0"),IPRESS!$A$3:$B$212,2,0),"")</f>
        <v/>
      </c>
      <c r="J295" s="280" t="n"/>
      <c r="K295" s="343" t="n"/>
      <c r="L295" s="280" t="n"/>
      <c r="M295" s="280" t="n"/>
      <c r="N295" s="345" t="n"/>
      <c r="O295" s="280" t="n"/>
      <c r="P295" s="332">
        <f>IFERROR(VLOOKUP(TEXT(O295,"0"),CONDUCTORES!$A$3:$G$54,2,0),"")</f>
        <v/>
      </c>
      <c r="Q295" s="332">
        <f>IFERROR(VLOOKUP(TEXT(O295,"0"),CONDUCTORES!$A$3:$H$54,6,0),"")</f>
        <v/>
      </c>
      <c r="R295" s="280" t="n"/>
      <c r="S295" s="280" t="n"/>
      <c r="T295" s="280" t="n"/>
      <c r="U295" s="280" t="n"/>
      <c r="V295" s="280" t="n"/>
      <c r="W295" s="280" t="n"/>
      <c r="X295" s="280" t="n"/>
      <c r="Y295" s="280" t="n"/>
      <c r="Z295" s="350" t="n"/>
      <c r="AA295" s="198" t="n"/>
      <c r="AB295" s="198" t="n"/>
      <c r="AC295" s="198" t="n"/>
    </row>
    <row r="296" ht="15" customHeight="1" s="195">
      <c r="A296" s="280" t="n"/>
      <c r="B296" s="280" t="n"/>
      <c r="C296" s="280" t="n"/>
      <c r="D296" s="280" t="n"/>
      <c r="E296" s="280" t="n"/>
      <c r="F296" s="280" t="n"/>
      <c r="G296" s="280" t="n"/>
      <c r="H296" s="280" t="n"/>
      <c r="I296" s="332">
        <f>IFERROR(VLOOKUP(TEXT(H296,"0"),IPRESS!$A$3:$B$212,2,0),"")</f>
        <v/>
      </c>
      <c r="J296" s="280" t="n"/>
      <c r="K296" s="343" t="n"/>
      <c r="L296" s="280" t="n"/>
      <c r="M296" s="280" t="n"/>
      <c r="N296" s="345" t="n"/>
      <c r="O296" s="280" t="n"/>
      <c r="P296" s="332">
        <f>IFERROR(VLOOKUP(TEXT(O296,"0"),CONDUCTORES!$A$3:$G$54,2,0),"")</f>
        <v/>
      </c>
      <c r="Q296" s="332">
        <f>IFERROR(VLOOKUP(TEXT(O296,"0"),CONDUCTORES!$A$3:$H$54,6,0),"")</f>
        <v/>
      </c>
      <c r="R296" s="280" t="n"/>
      <c r="S296" s="280" t="n"/>
      <c r="T296" s="280" t="n"/>
      <c r="U296" s="280" t="n"/>
      <c r="V296" s="280" t="n"/>
      <c r="W296" s="280" t="n"/>
      <c r="X296" s="280" t="n"/>
      <c r="Y296" s="280" t="n"/>
      <c r="Z296" s="350" t="n"/>
      <c r="AA296" s="198" t="n"/>
      <c r="AB296" s="198" t="n"/>
      <c r="AC296" s="198" t="n"/>
    </row>
    <row r="297" ht="15" customHeight="1" s="195">
      <c r="A297" s="280" t="n"/>
      <c r="B297" s="280" t="n"/>
      <c r="C297" s="280" t="n"/>
      <c r="D297" s="280" t="n"/>
      <c r="E297" s="280" t="n"/>
      <c r="F297" s="280" t="n"/>
      <c r="G297" s="280" t="n"/>
      <c r="H297" s="280" t="n"/>
      <c r="I297" s="332">
        <f>IFERROR(VLOOKUP(TEXT(H297,"0"),IPRESS!$A$3:$B$212,2,0),"")</f>
        <v/>
      </c>
      <c r="J297" s="280" t="n"/>
      <c r="K297" s="343" t="n"/>
      <c r="L297" s="280" t="n"/>
      <c r="M297" s="280" t="n"/>
      <c r="N297" s="345" t="n"/>
      <c r="O297" s="280" t="n"/>
      <c r="P297" s="332">
        <f>IFERROR(VLOOKUP(TEXT(O297,"0"),CONDUCTORES!$A$3:$G$54,2,0),"")</f>
        <v/>
      </c>
      <c r="Q297" s="332">
        <f>IFERROR(VLOOKUP(TEXT(O297,"0"),CONDUCTORES!$A$3:$H$54,6,0),"")</f>
        <v/>
      </c>
      <c r="R297" s="280" t="n"/>
      <c r="S297" s="280" t="n"/>
      <c r="T297" s="280" t="n"/>
      <c r="U297" s="280" t="n"/>
      <c r="V297" s="280" t="n"/>
      <c r="W297" s="280" t="n"/>
      <c r="X297" s="280" t="n"/>
      <c r="Y297" s="280" t="n"/>
      <c r="Z297" s="350" t="n"/>
      <c r="AA297" s="198" t="n"/>
      <c r="AB297" s="198" t="n"/>
      <c r="AC297" s="198" t="n"/>
    </row>
    <row r="298" ht="15" customHeight="1" s="195">
      <c r="A298" s="280" t="n"/>
      <c r="B298" s="280" t="n"/>
      <c r="C298" s="280" t="n"/>
      <c r="D298" s="280" t="n"/>
      <c r="E298" s="280" t="n"/>
      <c r="F298" s="280" t="n"/>
      <c r="G298" s="280" t="n"/>
      <c r="H298" s="280" t="n"/>
      <c r="I298" s="332">
        <f>IFERROR(VLOOKUP(TEXT(H298,"0"),IPRESS!$A$3:$B$212,2,0),"")</f>
        <v/>
      </c>
      <c r="J298" s="280" t="n"/>
      <c r="K298" s="343" t="n"/>
      <c r="L298" s="280" t="n"/>
      <c r="M298" s="280" t="n"/>
      <c r="N298" s="345" t="n"/>
      <c r="O298" s="280" t="n"/>
      <c r="P298" s="332">
        <f>IFERROR(VLOOKUP(TEXT(O298,"0"),CONDUCTORES!$A$3:$G$54,2,0),"")</f>
        <v/>
      </c>
      <c r="Q298" s="332">
        <f>IFERROR(VLOOKUP(TEXT(O298,"0"),CONDUCTORES!$A$3:$H$54,6,0),"")</f>
        <v/>
      </c>
      <c r="R298" s="280" t="n"/>
      <c r="S298" s="280" t="n"/>
      <c r="T298" s="280" t="n"/>
      <c r="U298" s="280" t="n"/>
      <c r="V298" s="280" t="n"/>
      <c r="W298" s="280" t="n"/>
      <c r="X298" s="280" t="n"/>
      <c r="Y298" s="280" t="n"/>
      <c r="Z298" s="350" t="n"/>
      <c r="AA298" s="198" t="n"/>
      <c r="AB298" s="198" t="n"/>
      <c r="AC298" s="198" t="n"/>
    </row>
    <row r="299" ht="15" customHeight="1" s="195">
      <c r="A299" s="280" t="n"/>
      <c r="B299" s="280" t="n"/>
      <c r="C299" s="280" t="n"/>
      <c r="D299" s="280" t="n"/>
      <c r="E299" s="280" t="n"/>
      <c r="F299" s="280" t="n"/>
      <c r="G299" s="280" t="n"/>
      <c r="H299" s="280" t="n"/>
      <c r="I299" s="332">
        <f>IFERROR(VLOOKUP(TEXT(H299,"0"),IPRESS!$A$3:$B$212,2,0),"")</f>
        <v/>
      </c>
      <c r="J299" s="280" t="n"/>
      <c r="K299" s="343" t="n"/>
      <c r="L299" s="280" t="n"/>
      <c r="M299" s="280" t="n"/>
      <c r="N299" s="345" t="n"/>
      <c r="O299" s="280" t="n"/>
      <c r="P299" s="332">
        <f>IFERROR(VLOOKUP(TEXT(O299,"0"),CONDUCTORES!$A$3:$G$54,2,0),"")</f>
        <v/>
      </c>
      <c r="Q299" s="332">
        <f>IFERROR(VLOOKUP(TEXT(O299,"0"),CONDUCTORES!$A$3:$H$54,6,0),"")</f>
        <v/>
      </c>
      <c r="R299" s="280" t="n"/>
      <c r="S299" s="280" t="n"/>
      <c r="T299" s="280" t="n"/>
      <c r="U299" s="280" t="n"/>
      <c r="V299" s="280" t="n"/>
      <c r="W299" s="280" t="n"/>
      <c r="X299" s="280" t="n"/>
      <c r="Y299" s="280" t="n"/>
      <c r="Z299" s="350" t="n"/>
      <c r="AA299" s="198" t="n"/>
      <c r="AB299" s="198" t="n"/>
      <c r="AC299" s="198" t="n"/>
    </row>
    <row r="300" ht="15" customHeight="1" s="195">
      <c r="A300" s="280" t="n"/>
      <c r="B300" s="280" t="n"/>
      <c r="C300" s="280" t="n"/>
      <c r="D300" s="280" t="n"/>
      <c r="E300" s="280" t="n"/>
      <c r="F300" s="280" t="n"/>
      <c r="G300" s="280" t="n"/>
      <c r="H300" s="280" t="n"/>
      <c r="I300" s="332">
        <f>IFERROR(VLOOKUP(TEXT(H300,"0"),IPRESS!$A$3:$B$212,2,0),"")</f>
        <v/>
      </c>
      <c r="J300" s="280" t="n"/>
      <c r="K300" s="343" t="n"/>
      <c r="L300" s="280" t="n"/>
      <c r="M300" s="280" t="n"/>
      <c r="N300" s="345" t="n"/>
      <c r="O300" s="280" t="n"/>
      <c r="P300" s="332">
        <f>IFERROR(VLOOKUP(TEXT(O300,"0"),CONDUCTORES!$A$3:$G$54,2,0),"")</f>
        <v/>
      </c>
      <c r="Q300" s="332">
        <f>IFERROR(VLOOKUP(TEXT(O300,"0"),CONDUCTORES!$A$3:$H$54,6,0),"")</f>
        <v/>
      </c>
      <c r="R300" s="280" t="n"/>
      <c r="S300" s="280" t="n"/>
      <c r="T300" s="280" t="n"/>
      <c r="U300" s="280" t="n"/>
      <c r="V300" s="280" t="n"/>
      <c r="W300" s="280" t="n"/>
      <c r="X300" s="280" t="n"/>
      <c r="Y300" s="280" t="n"/>
      <c r="Z300" s="350" t="n"/>
      <c r="AA300" s="198" t="n"/>
      <c r="AB300" s="198" t="n"/>
      <c r="AC300" s="198" t="n"/>
    </row>
    <row r="301" ht="15" customHeight="1" s="195">
      <c r="A301" s="280" t="n"/>
      <c r="B301" s="280" t="n"/>
      <c r="C301" s="280" t="n"/>
      <c r="D301" s="280" t="n"/>
      <c r="E301" s="280" t="n"/>
      <c r="F301" s="280" t="n"/>
      <c r="G301" s="280" t="n"/>
      <c r="H301" s="280" t="n"/>
      <c r="I301" s="332">
        <f>IFERROR(VLOOKUP(TEXT(H301,"0"),IPRESS!$A$3:$B$212,2,0),"")</f>
        <v/>
      </c>
      <c r="J301" s="280" t="n"/>
      <c r="K301" s="343" t="n"/>
      <c r="L301" s="280" t="n"/>
      <c r="M301" s="280" t="n"/>
      <c r="N301" s="345" t="n"/>
      <c r="O301" s="280" t="n"/>
      <c r="P301" s="332">
        <f>IFERROR(VLOOKUP(TEXT(O301,"0"),CONDUCTORES!$A$3:$G$54,2,0),"")</f>
        <v/>
      </c>
      <c r="Q301" s="332">
        <f>IFERROR(VLOOKUP(TEXT(O301,"0"),CONDUCTORES!$A$3:$H$54,6,0),"")</f>
        <v/>
      </c>
      <c r="R301" s="280" t="n"/>
      <c r="S301" s="280" t="n"/>
      <c r="T301" s="280" t="n"/>
      <c r="U301" s="280" t="n"/>
      <c r="V301" s="280" t="n"/>
      <c r="W301" s="280" t="n"/>
      <c r="X301" s="280" t="n"/>
      <c r="Y301" s="280" t="n"/>
      <c r="Z301" s="350" t="n"/>
      <c r="AA301" s="198" t="n"/>
      <c r="AB301" s="198" t="n"/>
      <c r="AC301" s="198" t="n"/>
    </row>
    <row r="302" ht="15" customHeight="1" s="195">
      <c r="A302" s="280" t="n"/>
      <c r="B302" s="280" t="n"/>
      <c r="C302" s="280" t="n"/>
      <c r="D302" s="280" t="n"/>
      <c r="E302" s="280" t="n"/>
      <c r="F302" s="280" t="n"/>
      <c r="G302" s="280" t="n"/>
      <c r="H302" s="280" t="n"/>
      <c r="I302" s="332">
        <f>IFERROR(VLOOKUP(TEXT(H302,"0"),IPRESS!$A$3:$B$212,2,0),"")</f>
        <v/>
      </c>
      <c r="J302" s="280" t="n"/>
      <c r="K302" s="343" t="n"/>
      <c r="L302" s="280" t="n"/>
      <c r="M302" s="280" t="n"/>
      <c r="N302" s="345" t="n"/>
      <c r="O302" s="280" t="n"/>
      <c r="P302" s="332">
        <f>IFERROR(VLOOKUP(TEXT(O302,"0"),CONDUCTORES!$A$3:$G$54,2,0),"")</f>
        <v/>
      </c>
      <c r="Q302" s="332">
        <f>IFERROR(VLOOKUP(TEXT(O302,"0"),CONDUCTORES!$A$3:$H$54,6,0),"")</f>
        <v/>
      </c>
      <c r="R302" s="280" t="n"/>
      <c r="S302" s="280" t="n"/>
      <c r="T302" s="280" t="n"/>
      <c r="U302" s="280" t="n"/>
      <c r="V302" s="280" t="n"/>
      <c r="W302" s="280" t="n"/>
      <c r="X302" s="280" t="n"/>
      <c r="Y302" s="280" t="n"/>
      <c r="Z302" s="350" t="n"/>
      <c r="AA302" s="198" t="n"/>
      <c r="AB302" s="198" t="n"/>
      <c r="AC302" s="198" t="n"/>
    </row>
    <row r="303" ht="15" customHeight="1" s="195">
      <c r="A303" s="280" t="n"/>
      <c r="B303" s="280" t="n"/>
      <c r="C303" s="280" t="n"/>
      <c r="D303" s="280" t="n"/>
      <c r="E303" s="280" t="n"/>
      <c r="F303" s="280" t="n"/>
      <c r="G303" s="280" t="n"/>
      <c r="H303" s="280" t="n"/>
      <c r="I303" s="332">
        <f>IFERROR(VLOOKUP(TEXT(H303,"0"),IPRESS!$A$3:$B$212,2,0),"")</f>
        <v/>
      </c>
      <c r="J303" s="280" t="n"/>
      <c r="K303" s="343" t="n"/>
      <c r="L303" s="280" t="n"/>
      <c r="M303" s="280" t="n"/>
      <c r="N303" s="345" t="n"/>
      <c r="O303" s="280" t="n"/>
      <c r="P303" s="332">
        <f>IFERROR(VLOOKUP(TEXT(O303,"0"),CONDUCTORES!$A$3:$G$54,2,0),"")</f>
        <v/>
      </c>
      <c r="Q303" s="332">
        <f>IFERROR(VLOOKUP(TEXT(O303,"0"),CONDUCTORES!$A$3:$H$54,6,0),"")</f>
        <v/>
      </c>
      <c r="R303" s="280" t="n"/>
      <c r="S303" s="280" t="n"/>
      <c r="T303" s="280" t="n"/>
      <c r="U303" s="280" t="n"/>
      <c r="V303" s="280" t="n"/>
      <c r="W303" s="280" t="n"/>
      <c r="X303" s="280" t="n"/>
      <c r="Y303" s="280" t="n"/>
      <c r="Z303" s="350" t="n"/>
      <c r="AA303" s="198" t="n"/>
      <c r="AB303" s="198" t="n"/>
      <c r="AC303" s="198" t="n"/>
    </row>
    <row r="304" ht="15" customHeight="1" s="195">
      <c r="A304" s="280" t="n"/>
      <c r="B304" s="280" t="n"/>
      <c r="C304" s="280" t="n"/>
      <c r="D304" s="280" t="n"/>
      <c r="E304" s="280" t="n"/>
      <c r="F304" s="280" t="n"/>
      <c r="G304" s="280" t="n"/>
      <c r="H304" s="280" t="n"/>
      <c r="I304" s="332">
        <f>IFERROR(VLOOKUP(TEXT(H304,"0"),IPRESS!$A$3:$B$212,2,0),"")</f>
        <v/>
      </c>
      <c r="J304" s="280" t="n"/>
      <c r="K304" s="343" t="n"/>
      <c r="L304" s="280" t="n"/>
      <c r="M304" s="280" t="n"/>
      <c r="N304" s="345" t="n"/>
      <c r="O304" s="280" t="n"/>
      <c r="P304" s="332">
        <f>IFERROR(VLOOKUP(TEXT(O304,"0"),CONDUCTORES!$A$3:$G$54,2,0),"")</f>
        <v/>
      </c>
      <c r="Q304" s="332">
        <f>IFERROR(VLOOKUP(TEXT(O304,"0"),CONDUCTORES!$A$3:$H$54,6,0),"")</f>
        <v/>
      </c>
      <c r="R304" s="280" t="n"/>
      <c r="S304" s="280" t="n"/>
      <c r="T304" s="280" t="n"/>
      <c r="U304" s="280" t="n"/>
      <c r="V304" s="280" t="n"/>
      <c r="W304" s="280" t="n"/>
      <c r="X304" s="280" t="n"/>
      <c r="Y304" s="280" t="n"/>
      <c r="Z304" s="350" t="n"/>
      <c r="AA304" s="198" t="n"/>
      <c r="AB304" s="198" t="n"/>
      <c r="AC304" s="198" t="n"/>
    </row>
    <row r="305" ht="15" customHeight="1" s="195">
      <c r="A305" s="280" t="n"/>
      <c r="B305" s="280" t="n"/>
      <c r="C305" s="280" t="n"/>
      <c r="D305" s="280" t="n"/>
      <c r="E305" s="280" t="n"/>
      <c r="F305" s="280" t="n"/>
      <c r="G305" s="280" t="n"/>
      <c r="H305" s="280" t="n"/>
      <c r="I305" s="332">
        <f>IFERROR(VLOOKUP(TEXT(H305,"0"),IPRESS!$A$3:$B$212,2,0),"")</f>
        <v/>
      </c>
      <c r="J305" s="280" t="n"/>
      <c r="K305" s="343" t="n"/>
      <c r="L305" s="280" t="n"/>
      <c r="M305" s="280" t="n"/>
      <c r="N305" s="345" t="n"/>
      <c r="O305" s="280" t="n"/>
      <c r="P305" s="332">
        <f>IFERROR(VLOOKUP(TEXT(O305,"0"),CONDUCTORES!$A$3:$G$54,2,0),"")</f>
        <v/>
      </c>
      <c r="Q305" s="332">
        <f>IFERROR(VLOOKUP(TEXT(O305,"0"),CONDUCTORES!$A$3:$H$54,6,0),"")</f>
        <v/>
      </c>
      <c r="R305" s="280" t="n"/>
      <c r="S305" s="280" t="n"/>
      <c r="T305" s="280" t="n"/>
      <c r="U305" s="280" t="n"/>
      <c r="V305" s="280" t="n"/>
      <c r="W305" s="280" t="n"/>
      <c r="X305" s="280" t="n"/>
      <c r="Y305" s="280" t="n"/>
      <c r="Z305" s="350" t="n"/>
      <c r="AA305" s="198" t="n"/>
      <c r="AB305" s="198" t="n"/>
      <c r="AC305" s="198" t="n"/>
    </row>
    <row r="306" ht="15" customHeight="1" s="195">
      <c r="A306" s="280" t="n"/>
      <c r="B306" s="280" t="n"/>
      <c r="C306" s="280" t="n"/>
      <c r="D306" s="280" t="n"/>
      <c r="E306" s="280" t="n"/>
      <c r="F306" s="280" t="n"/>
      <c r="G306" s="280" t="n"/>
      <c r="H306" s="280" t="n"/>
      <c r="I306" s="332">
        <f>IFERROR(VLOOKUP(TEXT(H306,"0"),IPRESS!$A$3:$B$212,2,0),"")</f>
        <v/>
      </c>
      <c r="J306" s="280" t="n"/>
      <c r="K306" s="343" t="n"/>
      <c r="L306" s="280" t="n"/>
      <c r="M306" s="280" t="n"/>
      <c r="N306" s="345" t="n"/>
      <c r="O306" s="280" t="n"/>
      <c r="P306" s="332">
        <f>IFERROR(VLOOKUP(TEXT(O306,"0"),CONDUCTORES!$A$3:$G$54,2,0),"")</f>
        <v/>
      </c>
      <c r="Q306" s="332">
        <f>IFERROR(VLOOKUP(TEXT(O306,"0"),CONDUCTORES!$A$3:$H$54,6,0),"")</f>
        <v/>
      </c>
      <c r="R306" s="280" t="n"/>
      <c r="S306" s="280" t="n"/>
      <c r="T306" s="280" t="n"/>
      <c r="U306" s="280" t="n"/>
      <c r="V306" s="280" t="n"/>
      <c r="W306" s="280" t="n"/>
      <c r="X306" s="280" t="n"/>
      <c r="Y306" s="280" t="n"/>
      <c r="Z306" s="350" t="n"/>
      <c r="AA306" s="198" t="n"/>
      <c r="AB306" s="198" t="n"/>
      <c r="AC306" s="198" t="n"/>
    </row>
    <row r="307" ht="15" customHeight="1" s="195">
      <c r="A307" s="280" t="n"/>
      <c r="B307" s="280" t="n"/>
      <c r="C307" s="280" t="n"/>
      <c r="D307" s="280" t="n"/>
      <c r="E307" s="280" t="n"/>
      <c r="F307" s="280" t="n"/>
      <c r="G307" s="280" t="n"/>
      <c r="H307" s="280" t="n"/>
      <c r="I307" s="332">
        <f>IFERROR(VLOOKUP(TEXT(H307,"0"),IPRESS!$A$3:$B$212,2,0),"")</f>
        <v/>
      </c>
      <c r="J307" s="280" t="n"/>
      <c r="K307" s="343" t="n"/>
      <c r="L307" s="280" t="n"/>
      <c r="M307" s="280" t="n"/>
      <c r="N307" s="345" t="n"/>
      <c r="O307" s="280" t="n"/>
      <c r="P307" s="332">
        <f>IFERROR(VLOOKUP(TEXT(O307,"0"),CONDUCTORES!$A$3:$G$54,2,0),"")</f>
        <v/>
      </c>
      <c r="Q307" s="332">
        <f>IFERROR(VLOOKUP(TEXT(O307,"0"),CONDUCTORES!$A$3:$H$54,6,0),"")</f>
        <v/>
      </c>
      <c r="R307" s="280" t="n"/>
      <c r="S307" s="280" t="n"/>
      <c r="T307" s="280" t="n"/>
      <c r="U307" s="280" t="n"/>
      <c r="V307" s="280" t="n"/>
      <c r="W307" s="280" t="n"/>
      <c r="X307" s="280" t="n"/>
      <c r="Y307" s="280" t="n"/>
      <c r="Z307" s="350" t="n"/>
      <c r="AA307" s="198" t="n"/>
      <c r="AB307" s="198" t="n"/>
      <c r="AC307" s="198" t="n"/>
    </row>
    <row r="308" ht="15" customHeight="1" s="195">
      <c r="A308" s="280" t="n"/>
      <c r="B308" s="280" t="n"/>
      <c r="C308" s="280" t="n"/>
      <c r="D308" s="280" t="n"/>
      <c r="E308" s="280" t="n"/>
      <c r="F308" s="280" t="n"/>
      <c r="G308" s="280" t="n"/>
      <c r="H308" s="280" t="n"/>
      <c r="I308" s="332">
        <f>IFERROR(VLOOKUP(TEXT(H308,"0"),IPRESS!$A$3:$B$212,2,0),"")</f>
        <v/>
      </c>
      <c r="J308" s="280" t="n"/>
      <c r="K308" s="343" t="n"/>
      <c r="L308" s="280" t="n"/>
      <c r="M308" s="280" t="n"/>
      <c r="N308" s="345" t="n"/>
      <c r="O308" s="280" t="n"/>
      <c r="P308" s="332">
        <f>IFERROR(VLOOKUP(TEXT(O308,"0"),CONDUCTORES!$A$3:$G$54,2,0),"")</f>
        <v/>
      </c>
      <c r="Q308" s="332">
        <f>IFERROR(VLOOKUP(TEXT(O308,"0"),CONDUCTORES!$A$3:$H$54,6,0),"")</f>
        <v/>
      </c>
      <c r="R308" s="280" t="n"/>
      <c r="S308" s="280" t="n"/>
      <c r="T308" s="280" t="n"/>
      <c r="U308" s="280" t="n"/>
      <c r="V308" s="280" t="n"/>
      <c r="W308" s="280" t="n"/>
      <c r="X308" s="280" t="n"/>
      <c r="Y308" s="280" t="n"/>
      <c r="Z308" s="350" t="n"/>
      <c r="AA308" s="198" t="n"/>
      <c r="AB308" s="198" t="n"/>
      <c r="AC308" s="198" t="n"/>
    </row>
    <row r="309" ht="15" customHeight="1" s="195">
      <c r="A309" s="280" t="n"/>
      <c r="B309" s="280" t="n"/>
      <c r="C309" s="280" t="n"/>
      <c r="D309" s="280" t="n"/>
      <c r="E309" s="280" t="n"/>
      <c r="F309" s="280" t="n"/>
      <c r="G309" s="280" t="n"/>
      <c r="H309" s="280" t="n"/>
      <c r="I309" s="332">
        <f>IFERROR(VLOOKUP(TEXT(H309,"0"),IPRESS!$A$3:$B$212,2,0),"")</f>
        <v/>
      </c>
      <c r="J309" s="280" t="n"/>
      <c r="K309" s="343" t="n"/>
      <c r="L309" s="280" t="n"/>
      <c r="M309" s="280" t="n"/>
      <c r="N309" s="345" t="n"/>
      <c r="O309" s="280" t="n"/>
      <c r="P309" s="332">
        <f>IFERROR(VLOOKUP(TEXT(O309,"0"),CONDUCTORES!$A$3:$G$54,2,0),"")</f>
        <v/>
      </c>
      <c r="Q309" s="332">
        <f>IFERROR(VLOOKUP(TEXT(O309,"0"),CONDUCTORES!$A$3:$H$54,6,0),"")</f>
        <v/>
      </c>
      <c r="R309" s="280" t="n"/>
      <c r="S309" s="280" t="n"/>
      <c r="T309" s="280" t="n"/>
      <c r="U309" s="280" t="n"/>
      <c r="V309" s="280" t="n"/>
      <c r="W309" s="280" t="n"/>
      <c r="X309" s="280" t="n"/>
      <c r="Y309" s="280" t="n"/>
      <c r="Z309" s="350" t="n"/>
      <c r="AA309" s="198" t="n"/>
      <c r="AB309" s="198" t="n"/>
      <c r="AC309" s="198" t="n"/>
    </row>
    <row r="310" ht="15" customHeight="1" s="195">
      <c r="A310" s="280" t="n"/>
      <c r="B310" s="280" t="n"/>
      <c r="C310" s="280" t="n"/>
      <c r="D310" s="280" t="n"/>
      <c r="E310" s="280" t="n"/>
      <c r="F310" s="280" t="n"/>
      <c r="G310" s="280" t="n"/>
      <c r="H310" s="280" t="n"/>
      <c r="I310" s="332">
        <f>IFERROR(VLOOKUP(TEXT(H310,"0"),IPRESS!$A$3:$B$212,2,0),"")</f>
        <v/>
      </c>
      <c r="J310" s="280" t="n"/>
      <c r="K310" s="343" t="n"/>
      <c r="L310" s="280" t="n"/>
      <c r="M310" s="280" t="n"/>
      <c r="N310" s="345" t="n"/>
      <c r="O310" s="280" t="n"/>
      <c r="P310" s="332">
        <f>IFERROR(VLOOKUP(TEXT(O310,"0"),CONDUCTORES!$A$3:$G$54,2,0),"")</f>
        <v/>
      </c>
      <c r="Q310" s="332">
        <f>IFERROR(VLOOKUP(TEXT(O310,"0"),CONDUCTORES!$A$3:$H$54,6,0),"")</f>
        <v/>
      </c>
      <c r="R310" s="280" t="n"/>
      <c r="S310" s="280" t="n"/>
      <c r="T310" s="280" t="n"/>
      <c r="U310" s="280" t="n"/>
      <c r="V310" s="280" t="n"/>
      <c r="W310" s="280" t="n"/>
      <c r="X310" s="280" t="n"/>
      <c r="Y310" s="280" t="n"/>
      <c r="Z310" s="350" t="n"/>
      <c r="AA310" s="198" t="n"/>
      <c r="AB310" s="198" t="n"/>
      <c r="AC310" s="198" t="n"/>
    </row>
    <row r="311" ht="15" customHeight="1" s="195">
      <c r="A311" s="280" t="n"/>
      <c r="B311" s="280" t="n"/>
      <c r="C311" s="280" t="n"/>
      <c r="D311" s="280" t="n"/>
      <c r="E311" s="280" t="n"/>
      <c r="F311" s="280" t="n"/>
      <c r="G311" s="280" t="n"/>
      <c r="H311" s="280" t="n"/>
      <c r="I311" s="332">
        <f>IFERROR(VLOOKUP(TEXT(H311,"0"),IPRESS!$A$3:$B$212,2,0),"")</f>
        <v/>
      </c>
      <c r="J311" s="280" t="n"/>
      <c r="K311" s="343" t="n"/>
      <c r="L311" s="280" t="n"/>
      <c r="M311" s="280" t="n"/>
      <c r="N311" s="345" t="n"/>
      <c r="O311" s="280" t="n"/>
      <c r="P311" s="332">
        <f>IFERROR(VLOOKUP(TEXT(O311,"0"),CONDUCTORES!$A$3:$G$54,2,0),"")</f>
        <v/>
      </c>
      <c r="Q311" s="332">
        <f>IFERROR(VLOOKUP(TEXT(O311,"0"),CONDUCTORES!$A$3:$H$54,6,0),"")</f>
        <v/>
      </c>
      <c r="R311" s="280" t="n"/>
      <c r="S311" s="280" t="n"/>
      <c r="T311" s="280" t="n"/>
      <c r="U311" s="280" t="n"/>
      <c r="V311" s="280" t="n"/>
      <c r="W311" s="280" t="n"/>
      <c r="X311" s="280" t="n"/>
      <c r="Y311" s="280" t="n"/>
      <c r="Z311" s="350" t="n"/>
      <c r="AA311" s="198" t="n"/>
      <c r="AB311" s="198" t="n"/>
      <c r="AC311" s="198" t="n"/>
    </row>
    <row r="312" ht="15" customHeight="1" s="195">
      <c r="A312" s="280" t="n"/>
      <c r="B312" s="280" t="n"/>
      <c r="C312" s="280" t="n"/>
      <c r="D312" s="280" t="n"/>
      <c r="E312" s="280" t="n"/>
      <c r="F312" s="280" t="n"/>
      <c r="G312" s="280" t="n"/>
      <c r="H312" s="280" t="n"/>
      <c r="I312" s="332">
        <f>IFERROR(VLOOKUP(TEXT(H312,"0"),IPRESS!$A$3:$B$212,2,0),"")</f>
        <v/>
      </c>
      <c r="J312" s="280" t="n"/>
      <c r="K312" s="343" t="n"/>
      <c r="L312" s="280" t="n"/>
      <c r="M312" s="280" t="n"/>
      <c r="N312" s="345" t="n"/>
      <c r="O312" s="280" t="n"/>
      <c r="P312" s="332">
        <f>IFERROR(VLOOKUP(TEXT(O312,"0"),CONDUCTORES!$A$3:$G$54,2,0),"")</f>
        <v/>
      </c>
      <c r="Q312" s="332">
        <f>IFERROR(VLOOKUP(TEXT(O312,"0"),CONDUCTORES!$A$3:$H$54,6,0),"")</f>
        <v/>
      </c>
      <c r="R312" s="280" t="n"/>
      <c r="S312" s="280" t="n"/>
      <c r="T312" s="280" t="n"/>
      <c r="U312" s="280" t="n"/>
      <c r="V312" s="280" t="n"/>
      <c r="W312" s="280" t="n"/>
      <c r="X312" s="280" t="n"/>
      <c r="Y312" s="280" t="n"/>
      <c r="Z312" s="350" t="n"/>
      <c r="AA312" s="198" t="n"/>
      <c r="AB312" s="198" t="n"/>
      <c r="AC312" s="198" t="n"/>
    </row>
    <row r="313" ht="15" customHeight="1" s="195">
      <c r="A313" s="280" t="n"/>
      <c r="B313" s="280" t="n"/>
      <c r="C313" s="280" t="n"/>
      <c r="D313" s="280" t="n"/>
      <c r="E313" s="280" t="n"/>
      <c r="F313" s="280" t="n"/>
      <c r="G313" s="280" t="n"/>
      <c r="H313" s="280" t="n"/>
      <c r="I313" s="332">
        <f>IFERROR(VLOOKUP(TEXT(H313,"0"),IPRESS!$A$3:$B$212,2,0),"")</f>
        <v/>
      </c>
      <c r="J313" s="280" t="n"/>
      <c r="K313" s="343" t="n"/>
      <c r="L313" s="280" t="n"/>
      <c r="M313" s="280" t="n"/>
      <c r="N313" s="345" t="n"/>
      <c r="O313" s="280" t="n"/>
      <c r="P313" s="332">
        <f>IFERROR(VLOOKUP(TEXT(O313,"0"),CONDUCTORES!$A$3:$G$54,2,0),"")</f>
        <v/>
      </c>
      <c r="Q313" s="332">
        <f>IFERROR(VLOOKUP(TEXT(O313,"0"),CONDUCTORES!$A$3:$H$54,6,0),"")</f>
        <v/>
      </c>
      <c r="R313" s="280" t="n"/>
      <c r="S313" s="280" t="n"/>
      <c r="T313" s="280" t="n"/>
      <c r="U313" s="280" t="n"/>
      <c r="V313" s="280" t="n"/>
      <c r="W313" s="280" t="n"/>
      <c r="X313" s="280" t="n"/>
      <c r="Y313" s="280" t="n"/>
      <c r="Z313" s="350" t="n"/>
      <c r="AA313" s="198" t="n"/>
      <c r="AB313" s="198" t="n"/>
      <c r="AC313" s="198" t="n"/>
    </row>
    <row r="314" ht="15" customHeight="1" s="195">
      <c r="A314" s="280" t="n"/>
      <c r="B314" s="280" t="n"/>
      <c r="C314" s="280" t="n"/>
      <c r="D314" s="280" t="n"/>
      <c r="E314" s="280" t="n"/>
      <c r="F314" s="280" t="n"/>
      <c r="G314" s="280" t="n"/>
      <c r="H314" s="280" t="n"/>
      <c r="I314" s="332">
        <f>IFERROR(VLOOKUP(TEXT(H314,"0"),IPRESS!$A$3:$B$212,2,0),"")</f>
        <v/>
      </c>
      <c r="J314" s="280" t="n"/>
      <c r="K314" s="343" t="n"/>
      <c r="L314" s="280" t="n"/>
      <c r="M314" s="280" t="n"/>
      <c r="N314" s="345" t="n"/>
      <c r="O314" s="280" t="n"/>
      <c r="P314" s="332">
        <f>IFERROR(VLOOKUP(TEXT(O314,"0"),CONDUCTORES!$A$3:$G$54,2,0),"")</f>
        <v/>
      </c>
      <c r="Q314" s="332">
        <f>IFERROR(VLOOKUP(TEXT(O314,"0"),CONDUCTORES!$A$3:$H$54,6,0),"")</f>
        <v/>
      </c>
      <c r="R314" s="280" t="n"/>
      <c r="S314" s="280" t="n"/>
      <c r="T314" s="280" t="n"/>
      <c r="U314" s="280" t="n"/>
      <c r="V314" s="280" t="n"/>
      <c r="W314" s="280" t="n"/>
      <c r="X314" s="280" t="n"/>
      <c r="Y314" s="280" t="n"/>
      <c r="Z314" s="350" t="n"/>
      <c r="AA314" s="198" t="n"/>
      <c r="AB314" s="198" t="n"/>
      <c r="AC314" s="198" t="n"/>
    </row>
    <row r="315" ht="15" customHeight="1" s="195">
      <c r="A315" s="280" t="n"/>
      <c r="B315" s="280" t="n"/>
      <c r="C315" s="280" t="n"/>
      <c r="D315" s="280" t="n"/>
      <c r="E315" s="280" t="n"/>
      <c r="F315" s="280" t="n"/>
      <c r="G315" s="280" t="n"/>
      <c r="H315" s="280" t="n"/>
      <c r="I315" s="332">
        <f>IFERROR(VLOOKUP(TEXT(H315,"0"),IPRESS!$A$3:$B$212,2,0),"")</f>
        <v/>
      </c>
      <c r="J315" s="280" t="n"/>
      <c r="K315" s="343" t="n"/>
      <c r="L315" s="280" t="n"/>
      <c r="M315" s="280" t="n"/>
      <c r="N315" s="345" t="n"/>
      <c r="O315" s="280" t="n"/>
      <c r="P315" s="332">
        <f>IFERROR(VLOOKUP(TEXT(O315,"0"),CONDUCTORES!$A$3:$G$54,2,0),"")</f>
        <v/>
      </c>
      <c r="Q315" s="332">
        <f>IFERROR(VLOOKUP(TEXT(O315,"0"),CONDUCTORES!$A$3:$H$54,6,0),"")</f>
        <v/>
      </c>
      <c r="R315" s="280" t="n"/>
      <c r="S315" s="280" t="n"/>
      <c r="T315" s="280" t="n"/>
      <c r="U315" s="280" t="n"/>
      <c r="V315" s="280" t="n"/>
      <c r="W315" s="280" t="n"/>
      <c r="X315" s="280" t="n"/>
      <c r="Y315" s="280" t="n"/>
      <c r="Z315" s="350" t="n"/>
      <c r="AA315" s="198" t="n"/>
      <c r="AB315" s="198" t="n"/>
      <c r="AC315" s="198" t="n"/>
    </row>
    <row r="316" ht="15" customHeight="1" s="195">
      <c r="A316" s="280" t="n"/>
      <c r="B316" s="280" t="n"/>
      <c r="C316" s="280" t="n"/>
      <c r="D316" s="280" t="n"/>
      <c r="E316" s="280" t="n"/>
      <c r="F316" s="280" t="n"/>
      <c r="G316" s="280" t="n"/>
      <c r="H316" s="280" t="n"/>
      <c r="I316" s="332">
        <f>IFERROR(VLOOKUP(TEXT(H316,"0"),IPRESS!$A$3:$B$212,2,0),"")</f>
        <v/>
      </c>
      <c r="J316" s="280" t="n"/>
      <c r="K316" s="343" t="n"/>
      <c r="L316" s="280" t="n"/>
      <c r="M316" s="280" t="n"/>
      <c r="N316" s="345" t="n"/>
      <c r="O316" s="280" t="n"/>
      <c r="P316" s="332">
        <f>IFERROR(VLOOKUP(TEXT(O316,"0"),CONDUCTORES!$A$3:$G$54,2,0),"")</f>
        <v/>
      </c>
      <c r="Q316" s="332">
        <f>IFERROR(VLOOKUP(TEXT(O316,"0"),CONDUCTORES!$A$3:$H$54,6,0),"")</f>
        <v/>
      </c>
      <c r="R316" s="280" t="n"/>
      <c r="S316" s="280" t="n"/>
      <c r="T316" s="280" t="n"/>
      <c r="U316" s="280" t="n"/>
      <c r="V316" s="280" t="n"/>
      <c r="W316" s="280" t="n"/>
      <c r="X316" s="280" t="n"/>
      <c r="Y316" s="280" t="n"/>
      <c r="Z316" s="350" t="n"/>
      <c r="AA316" s="198" t="n"/>
      <c r="AB316" s="198" t="n"/>
      <c r="AC316" s="198" t="n"/>
    </row>
    <row r="317" ht="15" customHeight="1" s="195">
      <c r="A317" s="280" t="n"/>
      <c r="B317" s="280" t="n"/>
      <c r="C317" s="280" t="n"/>
      <c r="D317" s="280" t="n"/>
      <c r="E317" s="280" t="n"/>
      <c r="F317" s="280" t="n"/>
      <c r="G317" s="280" t="n"/>
      <c r="H317" s="280" t="n"/>
      <c r="I317" s="332">
        <f>IFERROR(VLOOKUP(TEXT(H317,"0"),IPRESS!$A$3:$B$212,2,0),"")</f>
        <v/>
      </c>
      <c r="J317" s="280" t="n"/>
      <c r="K317" s="343" t="n"/>
      <c r="L317" s="280" t="n"/>
      <c r="M317" s="280" t="n"/>
      <c r="N317" s="345" t="n"/>
      <c r="O317" s="280" t="n"/>
      <c r="P317" s="332">
        <f>IFERROR(VLOOKUP(TEXT(O317,"0"),CONDUCTORES!$A$3:$G$54,2,0),"")</f>
        <v/>
      </c>
      <c r="Q317" s="332">
        <f>IFERROR(VLOOKUP(TEXT(O317,"0"),CONDUCTORES!$A$3:$H$54,6,0),"")</f>
        <v/>
      </c>
      <c r="R317" s="280" t="n"/>
      <c r="S317" s="280" t="n"/>
      <c r="T317" s="280" t="n"/>
      <c r="U317" s="280" t="n"/>
      <c r="V317" s="280" t="n"/>
      <c r="W317" s="280" t="n"/>
      <c r="X317" s="280" t="n"/>
      <c r="Y317" s="280" t="n"/>
      <c r="Z317" s="350" t="n"/>
      <c r="AA317" s="198" t="n"/>
      <c r="AB317" s="198" t="n"/>
      <c r="AC317" s="198" t="n"/>
    </row>
    <row r="318" ht="15" customHeight="1" s="195">
      <c r="A318" s="280" t="n"/>
      <c r="B318" s="280" t="n"/>
      <c r="C318" s="280" t="n"/>
      <c r="D318" s="280" t="n"/>
      <c r="E318" s="280" t="n"/>
      <c r="F318" s="280" t="n"/>
      <c r="G318" s="280" t="n"/>
      <c r="H318" s="280" t="n"/>
      <c r="I318" s="332">
        <f>IFERROR(VLOOKUP(TEXT(H318,"0"),IPRESS!$A$3:$B$212,2,0),"")</f>
        <v/>
      </c>
      <c r="J318" s="280" t="n"/>
      <c r="K318" s="343" t="n"/>
      <c r="L318" s="280" t="n"/>
      <c r="M318" s="280" t="n"/>
      <c r="N318" s="345" t="n"/>
      <c r="O318" s="280" t="n"/>
      <c r="P318" s="332">
        <f>IFERROR(VLOOKUP(TEXT(O318,"0"),CONDUCTORES!$A$3:$G$54,2,0),"")</f>
        <v/>
      </c>
      <c r="Q318" s="332">
        <f>IFERROR(VLOOKUP(TEXT(O318,"0"),CONDUCTORES!$A$3:$H$54,6,0),"")</f>
        <v/>
      </c>
      <c r="R318" s="280" t="n"/>
      <c r="S318" s="280" t="n"/>
      <c r="T318" s="280" t="n"/>
      <c r="U318" s="280" t="n"/>
      <c r="V318" s="280" t="n"/>
      <c r="W318" s="280" t="n"/>
      <c r="X318" s="280" t="n"/>
      <c r="Y318" s="280" t="n"/>
      <c r="Z318" s="350" t="n"/>
      <c r="AA318" s="198" t="n"/>
      <c r="AB318" s="198" t="n"/>
      <c r="AC318" s="198" t="n"/>
    </row>
    <row r="319" ht="15" customHeight="1" s="195">
      <c r="A319" s="280" t="n"/>
      <c r="B319" s="280" t="n"/>
      <c r="C319" s="280" t="n"/>
      <c r="D319" s="280" t="n"/>
      <c r="E319" s="280" t="n"/>
      <c r="F319" s="280" t="n"/>
      <c r="G319" s="280" t="n"/>
      <c r="H319" s="280" t="n"/>
      <c r="I319" s="332">
        <f>IFERROR(VLOOKUP(TEXT(H319,"0"),IPRESS!$A$3:$B$212,2,0),"")</f>
        <v/>
      </c>
      <c r="J319" s="280" t="n"/>
      <c r="K319" s="343" t="n"/>
      <c r="L319" s="280" t="n"/>
      <c r="M319" s="280" t="n"/>
      <c r="N319" s="345" t="n"/>
      <c r="O319" s="280" t="n"/>
      <c r="P319" s="332">
        <f>IFERROR(VLOOKUP(TEXT(O319,"0"),CONDUCTORES!$A$3:$G$54,2,0),"")</f>
        <v/>
      </c>
      <c r="Q319" s="332">
        <f>IFERROR(VLOOKUP(TEXT(O319,"0"),CONDUCTORES!$A$3:$H$54,6,0),"")</f>
        <v/>
      </c>
      <c r="R319" s="280" t="n"/>
      <c r="S319" s="280" t="n"/>
      <c r="T319" s="280" t="n"/>
      <c r="U319" s="280" t="n"/>
      <c r="V319" s="280" t="n"/>
      <c r="W319" s="280" t="n"/>
      <c r="X319" s="280" t="n"/>
      <c r="Y319" s="280" t="n"/>
      <c r="Z319" s="350" t="n"/>
      <c r="AA319" s="198" t="n"/>
      <c r="AB319" s="198" t="n"/>
      <c r="AC319" s="198" t="n"/>
    </row>
    <row r="320" ht="15" customHeight="1" s="195">
      <c r="A320" s="280" t="n"/>
      <c r="B320" s="280" t="n"/>
      <c r="C320" s="280" t="n"/>
      <c r="D320" s="280" t="n"/>
      <c r="E320" s="280" t="n"/>
      <c r="F320" s="280" t="n"/>
      <c r="G320" s="280" t="n"/>
      <c r="H320" s="280" t="n"/>
      <c r="I320" s="332">
        <f>IFERROR(VLOOKUP(TEXT(H320,"0"),IPRESS!$A$3:$B$212,2,0),"")</f>
        <v/>
      </c>
      <c r="J320" s="280" t="n"/>
      <c r="K320" s="343" t="n"/>
      <c r="L320" s="280" t="n"/>
      <c r="M320" s="280" t="n"/>
      <c r="N320" s="345" t="n"/>
      <c r="O320" s="280" t="n"/>
      <c r="P320" s="332">
        <f>IFERROR(VLOOKUP(TEXT(O320,"0"),CONDUCTORES!$A$3:$G$54,2,0),"")</f>
        <v/>
      </c>
      <c r="Q320" s="332">
        <f>IFERROR(VLOOKUP(TEXT(O320,"0"),CONDUCTORES!$A$3:$H$54,6,0),"")</f>
        <v/>
      </c>
      <c r="R320" s="280" t="n"/>
      <c r="S320" s="280" t="n"/>
      <c r="T320" s="280" t="n"/>
      <c r="U320" s="280" t="n"/>
      <c r="V320" s="280" t="n"/>
      <c r="W320" s="280" t="n"/>
      <c r="X320" s="280" t="n"/>
      <c r="Y320" s="280" t="n"/>
      <c r="Z320" s="350" t="n"/>
      <c r="AA320" s="198" t="n"/>
      <c r="AB320" s="198" t="n"/>
      <c r="AC320" s="198" t="n"/>
    </row>
    <row r="321" ht="15" customHeight="1" s="195">
      <c r="A321" s="280" t="n"/>
      <c r="B321" s="280" t="n"/>
      <c r="C321" s="280" t="n"/>
      <c r="D321" s="280" t="n"/>
      <c r="E321" s="280" t="n"/>
      <c r="F321" s="280" t="n"/>
      <c r="G321" s="280" t="n"/>
      <c r="H321" s="280" t="n"/>
      <c r="I321" s="332">
        <f>IFERROR(VLOOKUP(TEXT(H321,"0"),IPRESS!$A$3:$B$212,2,0),"")</f>
        <v/>
      </c>
      <c r="J321" s="280" t="n"/>
      <c r="K321" s="343" t="n"/>
      <c r="L321" s="280" t="n"/>
      <c r="M321" s="280" t="n"/>
      <c r="N321" s="345" t="n"/>
      <c r="O321" s="280" t="n"/>
      <c r="P321" s="332">
        <f>IFERROR(VLOOKUP(TEXT(O321,"0"),CONDUCTORES!$A$3:$G$54,2,0),"")</f>
        <v/>
      </c>
      <c r="Q321" s="332">
        <f>IFERROR(VLOOKUP(TEXT(O321,"0"),CONDUCTORES!$A$3:$H$54,6,0),"")</f>
        <v/>
      </c>
      <c r="R321" s="280" t="n"/>
      <c r="S321" s="280" t="n"/>
      <c r="T321" s="280" t="n"/>
      <c r="U321" s="280" t="n"/>
      <c r="V321" s="280" t="n"/>
      <c r="W321" s="280" t="n"/>
      <c r="X321" s="280" t="n"/>
      <c r="Y321" s="280" t="n"/>
      <c r="Z321" s="350" t="n"/>
      <c r="AA321" s="198" t="n"/>
      <c r="AB321" s="198" t="n"/>
      <c r="AC321" s="198" t="n"/>
    </row>
    <row r="322" ht="15" customHeight="1" s="195">
      <c r="A322" s="280" t="n"/>
      <c r="B322" s="280" t="n"/>
      <c r="C322" s="280" t="n"/>
      <c r="D322" s="280" t="n"/>
      <c r="E322" s="280" t="n"/>
      <c r="F322" s="280" t="n"/>
      <c r="G322" s="280" t="n"/>
      <c r="H322" s="280" t="n"/>
      <c r="I322" s="332">
        <f>IFERROR(VLOOKUP(TEXT(H322,"0"),IPRESS!$A$3:$B$212,2,0),"")</f>
        <v/>
      </c>
      <c r="J322" s="280" t="n"/>
      <c r="K322" s="343" t="n"/>
      <c r="L322" s="280" t="n"/>
      <c r="M322" s="280" t="n"/>
      <c r="N322" s="345" t="n"/>
      <c r="O322" s="280" t="n"/>
      <c r="P322" s="332">
        <f>IFERROR(VLOOKUP(TEXT(O322,"0"),CONDUCTORES!$A$3:$G$54,2,0),"")</f>
        <v/>
      </c>
      <c r="Q322" s="332">
        <f>IFERROR(VLOOKUP(TEXT(O322,"0"),CONDUCTORES!$A$3:$H$54,6,0),"")</f>
        <v/>
      </c>
      <c r="R322" s="280" t="n"/>
      <c r="S322" s="280" t="n"/>
      <c r="T322" s="280" t="n"/>
      <c r="U322" s="280" t="n"/>
      <c r="V322" s="280" t="n"/>
      <c r="W322" s="280" t="n"/>
      <c r="X322" s="280" t="n"/>
      <c r="Y322" s="280" t="n"/>
      <c r="Z322" s="350" t="n"/>
      <c r="AA322" s="198" t="n"/>
      <c r="AB322" s="198" t="n"/>
      <c r="AC322" s="198" t="n"/>
    </row>
    <row r="323" ht="15" customHeight="1" s="195">
      <c r="A323" s="280" t="n"/>
      <c r="B323" s="280" t="n"/>
      <c r="C323" s="280" t="n"/>
      <c r="D323" s="280" t="n"/>
      <c r="E323" s="280" t="n"/>
      <c r="F323" s="280" t="n"/>
      <c r="G323" s="280" t="n"/>
      <c r="H323" s="280" t="n"/>
      <c r="I323" s="332">
        <f>IFERROR(VLOOKUP(TEXT(H323,"0"),IPRESS!$A$3:$B$212,2,0),"")</f>
        <v/>
      </c>
      <c r="J323" s="280" t="n"/>
      <c r="K323" s="343" t="n"/>
      <c r="L323" s="280" t="n"/>
      <c r="M323" s="280" t="n"/>
      <c r="N323" s="345" t="n"/>
      <c r="O323" s="280" t="n"/>
      <c r="P323" s="332">
        <f>IFERROR(VLOOKUP(TEXT(O323,"0"),CONDUCTORES!$A$3:$G$54,2,0),"")</f>
        <v/>
      </c>
      <c r="Q323" s="332">
        <f>IFERROR(VLOOKUP(TEXT(O323,"0"),CONDUCTORES!$A$3:$H$54,6,0),"")</f>
        <v/>
      </c>
      <c r="R323" s="280" t="n"/>
      <c r="S323" s="280" t="n"/>
      <c r="T323" s="280" t="n"/>
      <c r="U323" s="280" t="n"/>
      <c r="V323" s="280" t="n"/>
      <c r="W323" s="280" t="n"/>
      <c r="X323" s="280" t="n"/>
      <c r="Y323" s="280" t="n"/>
      <c r="Z323" s="350" t="n"/>
      <c r="AA323" s="198" t="n"/>
      <c r="AB323" s="198" t="n"/>
      <c r="AC323" s="198" t="n"/>
    </row>
    <row r="324" ht="15" customHeight="1" s="195">
      <c r="A324" s="280" t="n"/>
      <c r="B324" s="280" t="n"/>
      <c r="C324" s="280" t="n"/>
      <c r="D324" s="280" t="n"/>
      <c r="E324" s="280" t="n"/>
      <c r="F324" s="280" t="n"/>
      <c r="G324" s="280" t="n"/>
      <c r="H324" s="280" t="n"/>
      <c r="I324" s="332">
        <f>IFERROR(VLOOKUP(TEXT(H324,"0"),IPRESS!$A$3:$B$212,2,0),"")</f>
        <v/>
      </c>
      <c r="J324" s="280" t="n"/>
      <c r="K324" s="343" t="n"/>
      <c r="L324" s="280" t="n"/>
      <c r="M324" s="280" t="n"/>
      <c r="N324" s="345" t="n"/>
      <c r="O324" s="280" t="n"/>
      <c r="P324" s="332">
        <f>IFERROR(VLOOKUP(TEXT(O324,"0"),CONDUCTORES!$A$3:$G$54,2,0),"")</f>
        <v/>
      </c>
      <c r="Q324" s="332">
        <f>IFERROR(VLOOKUP(TEXT(O324,"0"),CONDUCTORES!$A$3:$H$54,6,0),"")</f>
        <v/>
      </c>
      <c r="R324" s="280" t="n"/>
      <c r="S324" s="280" t="n"/>
      <c r="T324" s="280" t="n"/>
      <c r="U324" s="280" t="n"/>
      <c r="V324" s="280" t="n"/>
      <c r="W324" s="280" t="n"/>
      <c r="X324" s="280" t="n"/>
      <c r="Y324" s="280" t="n"/>
      <c r="Z324" s="350" t="n"/>
      <c r="AA324" s="198" t="n"/>
      <c r="AB324" s="198" t="n"/>
      <c r="AC324" s="198" t="n"/>
    </row>
    <row r="325" ht="15" customHeight="1" s="195">
      <c r="A325" s="280" t="n"/>
      <c r="B325" s="280" t="n"/>
      <c r="C325" s="280" t="n"/>
      <c r="D325" s="280" t="n"/>
      <c r="E325" s="280" t="n"/>
      <c r="F325" s="280" t="n"/>
      <c r="G325" s="280" t="n"/>
      <c r="H325" s="280" t="n"/>
      <c r="I325" s="332">
        <f>IFERROR(VLOOKUP(TEXT(H325,"0"),IPRESS!$A$3:$B$212,2,0),"")</f>
        <v/>
      </c>
      <c r="J325" s="280" t="n"/>
      <c r="K325" s="343" t="n"/>
      <c r="L325" s="280" t="n"/>
      <c r="M325" s="280" t="n"/>
      <c r="N325" s="345" t="n"/>
      <c r="O325" s="280" t="n"/>
      <c r="P325" s="332">
        <f>IFERROR(VLOOKUP(TEXT(O325,"0"),CONDUCTORES!$A$3:$G$54,2,0),"")</f>
        <v/>
      </c>
      <c r="Q325" s="332">
        <f>IFERROR(VLOOKUP(TEXT(O325,"0"),CONDUCTORES!$A$3:$H$54,6,0),"")</f>
        <v/>
      </c>
      <c r="R325" s="280" t="n"/>
      <c r="S325" s="280" t="n"/>
      <c r="T325" s="280" t="n"/>
      <c r="U325" s="280" t="n"/>
      <c r="V325" s="280" t="n"/>
      <c r="W325" s="280" t="n"/>
      <c r="X325" s="280" t="n"/>
      <c r="Y325" s="280" t="n"/>
      <c r="Z325" s="350" t="n"/>
      <c r="AA325" s="198" t="n"/>
      <c r="AB325" s="198" t="n"/>
      <c r="AC325" s="198" t="n"/>
    </row>
    <row r="326" ht="15" customHeight="1" s="195">
      <c r="A326" s="280" t="n"/>
      <c r="B326" s="280" t="n"/>
      <c r="C326" s="280" t="n"/>
      <c r="D326" s="280" t="n"/>
      <c r="E326" s="280" t="n"/>
      <c r="F326" s="280" t="n"/>
      <c r="G326" s="280" t="n"/>
      <c r="H326" s="280" t="n"/>
      <c r="I326" s="332">
        <f>IFERROR(VLOOKUP(TEXT(H326,"0"),IPRESS!$A$3:$B$212,2,0),"")</f>
        <v/>
      </c>
      <c r="J326" s="280" t="n"/>
      <c r="K326" s="343" t="n"/>
      <c r="L326" s="280" t="n"/>
      <c r="M326" s="280" t="n"/>
      <c r="N326" s="345" t="n"/>
      <c r="O326" s="280" t="n"/>
      <c r="P326" s="332">
        <f>IFERROR(VLOOKUP(TEXT(O326,"0"),CONDUCTORES!$A$3:$G$54,2,0),"")</f>
        <v/>
      </c>
      <c r="Q326" s="332">
        <f>IFERROR(VLOOKUP(TEXT(O326,"0"),CONDUCTORES!$A$3:$H$54,6,0),"")</f>
        <v/>
      </c>
      <c r="R326" s="280" t="n"/>
      <c r="S326" s="280" t="n"/>
      <c r="T326" s="280" t="n"/>
      <c r="U326" s="280" t="n"/>
      <c r="V326" s="280" t="n"/>
      <c r="W326" s="280" t="n"/>
      <c r="X326" s="280" t="n"/>
      <c r="Y326" s="280" t="n"/>
      <c r="Z326" s="350" t="n"/>
      <c r="AA326" s="198" t="n"/>
      <c r="AB326" s="198" t="n"/>
      <c r="AC326" s="198" t="n"/>
    </row>
    <row r="327" ht="15" customHeight="1" s="195">
      <c r="A327" s="280" t="n"/>
      <c r="B327" s="280" t="n"/>
      <c r="C327" s="280" t="n"/>
      <c r="D327" s="280" t="n"/>
      <c r="E327" s="280" t="n"/>
      <c r="F327" s="280" t="n"/>
      <c r="G327" s="280" t="n"/>
      <c r="H327" s="280" t="n"/>
      <c r="I327" s="332">
        <f>IFERROR(VLOOKUP(TEXT(H327,"0"),IPRESS!$A$3:$B$212,2,0),"")</f>
        <v/>
      </c>
      <c r="J327" s="280" t="n"/>
      <c r="K327" s="343" t="n"/>
      <c r="L327" s="280" t="n"/>
      <c r="M327" s="280" t="n"/>
      <c r="N327" s="345" t="n"/>
      <c r="O327" s="280" t="n"/>
      <c r="P327" s="332">
        <f>IFERROR(VLOOKUP(TEXT(O327,"0"),CONDUCTORES!$A$3:$G$54,2,0),"")</f>
        <v/>
      </c>
      <c r="Q327" s="332">
        <f>IFERROR(VLOOKUP(TEXT(O327,"0"),CONDUCTORES!$A$3:$H$54,6,0),"")</f>
        <v/>
      </c>
      <c r="R327" s="280" t="n"/>
      <c r="S327" s="280" t="n"/>
      <c r="T327" s="280" t="n"/>
      <c r="U327" s="280" t="n"/>
      <c r="V327" s="280" t="n"/>
      <c r="W327" s="280" t="n"/>
      <c r="X327" s="280" t="n"/>
      <c r="Y327" s="280" t="n"/>
      <c r="Z327" s="350" t="n"/>
      <c r="AA327" s="198" t="n"/>
      <c r="AB327" s="198" t="n"/>
      <c r="AC327" s="198" t="n"/>
    </row>
    <row r="328" ht="15" customHeight="1" s="195">
      <c r="A328" s="280" t="n"/>
      <c r="B328" s="280" t="n"/>
      <c r="C328" s="280" t="n"/>
      <c r="D328" s="280" t="n"/>
      <c r="E328" s="280" t="n"/>
      <c r="F328" s="280" t="n"/>
      <c r="G328" s="280" t="n"/>
      <c r="H328" s="280" t="n"/>
      <c r="I328" s="332">
        <f>IFERROR(VLOOKUP(TEXT(H328,"0"),IPRESS!$A$3:$B$212,2,0),"")</f>
        <v/>
      </c>
      <c r="J328" s="280" t="n"/>
      <c r="K328" s="343" t="n"/>
      <c r="L328" s="280" t="n"/>
      <c r="M328" s="280" t="n"/>
      <c r="N328" s="345" t="n"/>
      <c r="O328" s="280" t="n"/>
      <c r="P328" s="332">
        <f>IFERROR(VLOOKUP(TEXT(O328,"0"),CONDUCTORES!$A$3:$G$54,2,0),"")</f>
        <v/>
      </c>
      <c r="Q328" s="332">
        <f>IFERROR(VLOOKUP(TEXT(O328,"0"),CONDUCTORES!$A$3:$H$54,6,0),"")</f>
        <v/>
      </c>
      <c r="R328" s="280" t="n"/>
      <c r="S328" s="280" t="n"/>
      <c r="T328" s="280" t="n"/>
      <c r="U328" s="280" t="n"/>
      <c r="V328" s="280" t="n"/>
      <c r="W328" s="280" t="n"/>
      <c r="X328" s="280" t="n"/>
      <c r="Y328" s="280" t="n"/>
      <c r="Z328" s="350" t="n"/>
      <c r="AA328" s="198" t="n"/>
      <c r="AB328" s="198" t="n"/>
      <c r="AC328" s="198" t="n"/>
    </row>
    <row r="329" ht="15" customHeight="1" s="195">
      <c r="A329" s="280" t="n"/>
      <c r="B329" s="280" t="n"/>
      <c r="C329" s="280" t="n"/>
      <c r="D329" s="280" t="n"/>
      <c r="E329" s="280" t="n"/>
      <c r="F329" s="280" t="n"/>
      <c r="G329" s="280" t="n"/>
      <c r="H329" s="280" t="n"/>
      <c r="I329" s="332">
        <f>IFERROR(VLOOKUP(TEXT(H329,"0"),IPRESS!$A$3:$B$212,2,0),"")</f>
        <v/>
      </c>
      <c r="J329" s="280" t="n"/>
      <c r="K329" s="343" t="n"/>
      <c r="L329" s="280" t="n"/>
      <c r="M329" s="280" t="n"/>
      <c r="N329" s="345" t="n"/>
      <c r="O329" s="280" t="n"/>
      <c r="P329" s="332">
        <f>IFERROR(VLOOKUP(TEXT(O329,"0"),CONDUCTORES!$A$3:$G$54,2,0),"")</f>
        <v/>
      </c>
      <c r="Q329" s="332">
        <f>IFERROR(VLOOKUP(TEXT(O329,"0"),CONDUCTORES!$A$3:$H$54,6,0),"")</f>
        <v/>
      </c>
      <c r="R329" s="280" t="n"/>
      <c r="S329" s="280" t="n"/>
      <c r="T329" s="280" t="n"/>
      <c r="U329" s="280" t="n"/>
      <c r="V329" s="280" t="n"/>
      <c r="W329" s="280" t="n"/>
      <c r="X329" s="280" t="n"/>
      <c r="Y329" s="280" t="n"/>
      <c r="Z329" s="350" t="n"/>
      <c r="AA329" s="198" t="n"/>
      <c r="AB329" s="198" t="n"/>
      <c r="AC329" s="198" t="n"/>
    </row>
    <row r="330" ht="15" customHeight="1" s="195">
      <c r="A330" s="280" t="n"/>
      <c r="B330" s="280" t="n"/>
      <c r="C330" s="280" t="n"/>
      <c r="D330" s="280" t="n"/>
      <c r="E330" s="280" t="n"/>
      <c r="F330" s="280" t="n"/>
      <c r="G330" s="280" t="n"/>
      <c r="H330" s="280" t="n"/>
      <c r="I330" s="332">
        <f>IFERROR(VLOOKUP(TEXT(H330,"0"),IPRESS!$A$3:$B$212,2,0),"")</f>
        <v/>
      </c>
      <c r="J330" s="280" t="n"/>
      <c r="K330" s="343" t="n"/>
      <c r="L330" s="280" t="n"/>
      <c r="M330" s="280" t="n"/>
      <c r="N330" s="345" t="n"/>
      <c r="O330" s="280" t="n"/>
      <c r="P330" s="332">
        <f>IFERROR(VLOOKUP(TEXT(O330,"0"),CONDUCTORES!$A$3:$G$54,2,0),"")</f>
        <v/>
      </c>
      <c r="Q330" s="332">
        <f>IFERROR(VLOOKUP(TEXT(O330,"0"),CONDUCTORES!$A$3:$H$54,6,0),"")</f>
        <v/>
      </c>
      <c r="R330" s="280" t="n"/>
      <c r="S330" s="280" t="n"/>
      <c r="T330" s="280" t="n"/>
      <c r="U330" s="280" t="n"/>
      <c r="V330" s="280" t="n"/>
      <c r="W330" s="280" t="n"/>
      <c r="X330" s="280" t="n"/>
      <c r="Y330" s="280" t="n"/>
      <c r="Z330" s="350" t="n"/>
      <c r="AA330" s="198" t="n"/>
      <c r="AB330" s="198" t="n"/>
      <c r="AC330" s="198" t="n"/>
    </row>
    <row r="331" ht="15" customHeight="1" s="195">
      <c r="A331" s="280" t="n"/>
      <c r="B331" s="280" t="n"/>
      <c r="C331" s="280" t="n"/>
      <c r="D331" s="280" t="n"/>
      <c r="E331" s="280" t="n"/>
      <c r="F331" s="280" t="n"/>
      <c r="G331" s="280" t="n"/>
      <c r="H331" s="280" t="n"/>
      <c r="I331" s="332">
        <f>IFERROR(VLOOKUP(TEXT(H331,"0"),IPRESS!$A$3:$B$212,2,0),"")</f>
        <v/>
      </c>
      <c r="J331" s="280" t="n"/>
      <c r="K331" s="343" t="n"/>
      <c r="L331" s="280" t="n"/>
      <c r="M331" s="280" t="n"/>
      <c r="N331" s="345" t="n"/>
      <c r="O331" s="280" t="n"/>
      <c r="P331" s="332">
        <f>IFERROR(VLOOKUP(TEXT(O331,"0"),CONDUCTORES!$A$3:$G$54,2,0),"")</f>
        <v/>
      </c>
      <c r="Q331" s="332">
        <f>IFERROR(VLOOKUP(TEXT(O331,"0"),CONDUCTORES!$A$3:$H$54,6,0),"")</f>
        <v/>
      </c>
      <c r="R331" s="280" t="n"/>
      <c r="S331" s="280" t="n"/>
      <c r="T331" s="280" t="n"/>
      <c r="U331" s="280" t="n"/>
      <c r="V331" s="280" t="n"/>
      <c r="W331" s="280" t="n"/>
      <c r="X331" s="280" t="n"/>
      <c r="Y331" s="280" t="n"/>
      <c r="Z331" s="350" t="n"/>
      <c r="AA331" s="198" t="n"/>
      <c r="AB331" s="198" t="n"/>
      <c r="AC331" s="198" t="n"/>
    </row>
    <row r="332" ht="15" customHeight="1" s="195">
      <c r="A332" s="280" t="n"/>
      <c r="B332" s="280" t="n"/>
      <c r="C332" s="280" t="n"/>
      <c r="D332" s="280" t="n"/>
      <c r="E332" s="280" t="n"/>
      <c r="F332" s="280" t="n"/>
      <c r="G332" s="280" t="n"/>
      <c r="H332" s="280" t="n"/>
      <c r="I332" s="332">
        <f>IFERROR(VLOOKUP(TEXT(H332,"0"),IPRESS!$A$3:$B$212,2,0),"")</f>
        <v/>
      </c>
      <c r="J332" s="280" t="n"/>
      <c r="K332" s="343" t="n"/>
      <c r="L332" s="280" t="n"/>
      <c r="M332" s="280" t="n"/>
      <c r="N332" s="345" t="n"/>
      <c r="O332" s="280" t="n"/>
      <c r="P332" s="332">
        <f>IFERROR(VLOOKUP(TEXT(O332,"0"),CONDUCTORES!$A$3:$G$54,2,0),"")</f>
        <v/>
      </c>
      <c r="Q332" s="332">
        <f>IFERROR(VLOOKUP(TEXT(O332,"0"),CONDUCTORES!$A$3:$H$54,6,0),"")</f>
        <v/>
      </c>
      <c r="R332" s="280" t="n"/>
      <c r="S332" s="280" t="n"/>
      <c r="T332" s="280" t="n"/>
      <c r="U332" s="280" t="n"/>
      <c r="V332" s="280" t="n"/>
      <c r="W332" s="280" t="n"/>
      <c r="X332" s="280" t="n"/>
      <c r="Y332" s="280" t="n"/>
      <c r="Z332" s="350" t="n"/>
      <c r="AA332" s="198" t="n"/>
      <c r="AB332" s="198" t="n"/>
      <c r="AC332" s="198" t="n"/>
    </row>
    <row r="333" ht="15" customHeight="1" s="195">
      <c r="A333" s="280" t="n"/>
      <c r="B333" s="280" t="n"/>
      <c r="C333" s="280" t="n"/>
      <c r="D333" s="280" t="n"/>
      <c r="E333" s="280" t="n"/>
      <c r="F333" s="280" t="n"/>
      <c r="G333" s="280" t="n"/>
      <c r="H333" s="280" t="n"/>
      <c r="I333" s="332">
        <f>IFERROR(VLOOKUP(TEXT(H333,"0"),IPRESS!$A$3:$B$212,2,0),"")</f>
        <v/>
      </c>
      <c r="J333" s="280" t="n"/>
      <c r="K333" s="343" t="n"/>
      <c r="L333" s="280" t="n"/>
      <c r="M333" s="280" t="n"/>
      <c r="N333" s="345" t="n"/>
      <c r="O333" s="280" t="n"/>
      <c r="P333" s="332">
        <f>IFERROR(VLOOKUP(TEXT(O333,"0"),CONDUCTORES!$A$3:$G$54,2,0),"")</f>
        <v/>
      </c>
      <c r="Q333" s="332">
        <f>IFERROR(VLOOKUP(TEXT(O333,"0"),CONDUCTORES!$A$3:$H$54,6,0),"")</f>
        <v/>
      </c>
      <c r="R333" s="280" t="n"/>
      <c r="S333" s="280" t="n"/>
      <c r="T333" s="280" t="n"/>
      <c r="U333" s="280" t="n"/>
      <c r="V333" s="280" t="n"/>
      <c r="W333" s="280" t="n"/>
      <c r="X333" s="280" t="n"/>
      <c r="Y333" s="280" t="n"/>
      <c r="Z333" s="350" t="n"/>
      <c r="AA333" s="198" t="n"/>
      <c r="AB333" s="198" t="n"/>
      <c r="AC333" s="198" t="n"/>
    </row>
    <row r="334" ht="15" customHeight="1" s="195">
      <c r="A334" s="280" t="n"/>
      <c r="B334" s="280" t="n"/>
      <c r="C334" s="280" t="n"/>
      <c r="D334" s="280" t="n"/>
      <c r="E334" s="280" t="n"/>
      <c r="F334" s="280" t="n"/>
      <c r="G334" s="280" t="n"/>
      <c r="H334" s="280" t="n"/>
      <c r="I334" s="332">
        <f>IFERROR(VLOOKUP(TEXT(H334,"0"),IPRESS!$A$3:$B$212,2,0),"")</f>
        <v/>
      </c>
      <c r="J334" s="280" t="n"/>
      <c r="K334" s="343" t="n"/>
      <c r="L334" s="280" t="n"/>
      <c r="M334" s="280" t="n"/>
      <c r="N334" s="345" t="n"/>
      <c r="O334" s="280" t="n"/>
      <c r="P334" s="332">
        <f>IFERROR(VLOOKUP(TEXT(O334,"0"),CONDUCTORES!$A$3:$G$54,2,0),"")</f>
        <v/>
      </c>
      <c r="Q334" s="332">
        <f>IFERROR(VLOOKUP(TEXT(O334,"0"),CONDUCTORES!$A$3:$H$54,6,0),"")</f>
        <v/>
      </c>
      <c r="R334" s="280" t="n"/>
      <c r="S334" s="280" t="n"/>
      <c r="T334" s="280" t="n"/>
      <c r="U334" s="280" t="n"/>
      <c r="V334" s="280" t="n"/>
      <c r="W334" s="280" t="n"/>
      <c r="X334" s="280" t="n"/>
      <c r="Y334" s="280" t="n"/>
      <c r="Z334" s="350" t="n"/>
      <c r="AA334" s="198" t="n"/>
      <c r="AB334" s="198" t="n"/>
      <c r="AC334" s="198" t="n"/>
    </row>
    <row r="335" ht="15" customHeight="1" s="195">
      <c r="A335" s="280" t="n"/>
      <c r="B335" s="280" t="n"/>
      <c r="C335" s="280" t="n"/>
      <c r="D335" s="280" t="n"/>
      <c r="E335" s="280" t="n"/>
      <c r="F335" s="280" t="n"/>
      <c r="G335" s="280" t="n"/>
      <c r="H335" s="280" t="n"/>
      <c r="I335" s="332">
        <f>IFERROR(VLOOKUP(TEXT(H335,"0"),IPRESS!$A$3:$B$212,2,0),"")</f>
        <v/>
      </c>
      <c r="J335" s="280" t="n"/>
      <c r="K335" s="343" t="n"/>
      <c r="L335" s="280" t="n"/>
      <c r="M335" s="280" t="n"/>
      <c r="N335" s="345" t="n"/>
      <c r="O335" s="280" t="n"/>
      <c r="P335" s="332">
        <f>IFERROR(VLOOKUP(TEXT(O335,"0"),CONDUCTORES!$A$3:$G$54,2,0),"")</f>
        <v/>
      </c>
      <c r="Q335" s="332">
        <f>IFERROR(VLOOKUP(TEXT(O335,"0"),CONDUCTORES!$A$3:$H$54,6,0),"")</f>
        <v/>
      </c>
      <c r="R335" s="280" t="n"/>
      <c r="S335" s="280" t="n"/>
      <c r="T335" s="280" t="n"/>
      <c r="U335" s="280" t="n"/>
      <c r="V335" s="280" t="n"/>
      <c r="W335" s="280" t="n"/>
      <c r="X335" s="280" t="n"/>
      <c r="Y335" s="280" t="n"/>
      <c r="Z335" s="350" t="n"/>
      <c r="AA335" s="198" t="n"/>
      <c r="AB335" s="198" t="n"/>
      <c r="AC335" s="198" t="n"/>
    </row>
    <row r="336" ht="15" customHeight="1" s="195">
      <c r="A336" s="280" t="n"/>
      <c r="B336" s="280" t="n"/>
      <c r="C336" s="280" t="n"/>
      <c r="D336" s="280" t="n"/>
      <c r="E336" s="280" t="n"/>
      <c r="F336" s="280" t="n"/>
      <c r="G336" s="280" t="n"/>
      <c r="H336" s="280" t="n"/>
      <c r="I336" s="332">
        <f>IFERROR(VLOOKUP(TEXT(H336,"0"),IPRESS!$A$3:$B$212,2,0),"")</f>
        <v/>
      </c>
      <c r="J336" s="280" t="n"/>
      <c r="K336" s="343" t="n"/>
      <c r="L336" s="280" t="n"/>
      <c r="M336" s="280" t="n"/>
      <c r="N336" s="345" t="n"/>
      <c r="O336" s="280" t="n"/>
      <c r="P336" s="332">
        <f>IFERROR(VLOOKUP(TEXT(O336,"0"),CONDUCTORES!$A$3:$G$54,2,0),"")</f>
        <v/>
      </c>
      <c r="Q336" s="332">
        <f>IFERROR(VLOOKUP(TEXT(O336,"0"),CONDUCTORES!$A$3:$H$54,6,0),"")</f>
        <v/>
      </c>
      <c r="R336" s="280" t="n"/>
      <c r="S336" s="280" t="n"/>
      <c r="T336" s="280" t="n"/>
      <c r="U336" s="280" t="n"/>
      <c r="V336" s="280" t="n"/>
      <c r="W336" s="280" t="n"/>
      <c r="X336" s="280" t="n"/>
      <c r="Y336" s="280" t="n"/>
      <c r="Z336" s="350" t="n"/>
      <c r="AA336" s="198" t="n"/>
      <c r="AB336" s="198" t="n"/>
      <c r="AC336" s="198" t="n"/>
    </row>
    <row r="337" ht="15" customHeight="1" s="195">
      <c r="A337" s="280" t="n"/>
      <c r="B337" s="280" t="n"/>
      <c r="C337" s="280" t="n"/>
      <c r="D337" s="280" t="n"/>
      <c r="E337" s="280" t="n"/>
      <c r="F337" s="280" t="n"/>
      <c r="G337" s="280" t="n"/>
      <c r="H337" s="280" t="n"/>
      <c r="I337" s="332">
        <f>IFERROR(VLOOKUP(TEXT(H337,"0"),IPRESS!$A$3:$B$212,2,0),"")</f>
        <v/>
      </c>
      <c r="J337" s="280" t="n"/>
      <c r="K337" s="343" t="n"/>
      <c r="L337" s="280" t="n"/>
      <c r="M337" s="280" t="n"/>
      <c r="N337" s="345" t="n"/>
      <c r="O337" s="280" t="n"/>
      <c r="P337" s="332">
        <f>IFERROR(VLOOKUP(TEXT(O337,"0"),CONDUCTORES!$A$3:$G$54,2,0),"")</f>
        <v/>
      </c>
      <c r="Q337" s="332">
        <f>IFERROR(VLOOKUP(TEXT(O337,"0"),CONDUCTORES!$A$3:$H$54,6,0),"")</f>
        <v/>
      </c>
      <c r="R337" s="280" t="n"/>
      <c r="S337" s="280" t="n"/>
      <c r="T337" s="280" t="n"/>
      <c r="U337" s="280" t="n"/>
      <c r="V337" s="280" t="n"/>
      <c r="W337" s="280" t="n"/>
      <c r="X337" s="280" t="n"/>
      <c r="Y337" s="280" t="n"/>
      <c r="Z337" s="350" t="n"/>
      <c r="AA337" s="198" t="n"/>
      <c r="AB337" s="198" t="n"/>
      <c r="AC337" s="198" t="n"/>
    </row>
    <row r="338" ht="15" customHeight="1" s="195">
      <c r="A338" s="280" t="n"/>
      <c r="B338" s="280" t="n"/>
      <c r="C338" s="280" t="n"/>
      <c r="D338" s="280" t="n"/>
      <c r="E338" s="280" t="n"/>
      <c r="F338" s="280" t="n"/>
      <c r="G338" s="280" t="n"/>
      <c r="H338" s="280" t="n"/>
      <c r="I338" s="332">
        <f>IFERROR(VLOOKUP(TEXT(H338,"0"),IPRESS!$A$3:$B$212,2,0),"")</f>
        <v/>
      </c>
      <c r="J338" s="280" t="n"/>
      <c r="K338" s="343" t="n"/>
      <c r="L338" s="280" t="n"/>
      <c r="M338" s="280" t="n"/>
      <c r="N338" s="345" t="n"/>
      <c r="O338" s="280" t="n"/>
      <c r="P338" s="332">
        <f>IFERROR(VLOOKUP(TEXT(O338,"0"),CONDUCTORES!$A$3:$G$54,2,0),"")</f>
        <v/>
      </c>
      <c r="Q338" s="332">
        <f>IFERROR(VLOOKUP(TEXT(O338,"0"),CONDUCTORES!$A$3:$H$54,6,0),"")</f>
        <v/>
      </c>
      <c r="R338" s="280" t="n"/>
      <c r="S338" s="280" t="n"/>
      <c r="T338" s="280" t="n"/>
      <c r="U338" s="280" t="n"/>
      <c r="V338" s="280" t="n"/>
      <c r="W338" s="280" t="n"/>
      <c r="X338" s="280" t="n"/>
      <c r="Y338" s="280" t="n"/>
      <c r="Z338" s="350" t="n"/>
      <c r="AA338" s="198" t="n"/>
      <c r="AB338" s="198" t="n"/>
      <c r="AC338" s="198" t="n"/>
    </row>
    <row r="339" ht="15" customHeight="1" s="195">
      <c r="A339" s="280" t="n"/>
      <c r="B339" s="280" t="n"/>
      <c r="C339" s="280" t="n"/>
      <c r="D339" s="280" t="n"/>
      <c r="E339" s="280" t="n"/>
      <c r="F339" s="280" t="n"/>
      <c r="G339" s="280" t="n"/>
      <c r="H339" s="280" t="n"/>
      <c r="I339" s="332">
        <f>IFERROR(VLOOKUP(TEXT(H339,"0"),IPRESS!$A$3:$B$212,2,0),"")</f>
        <v/>
      </c>
      <c r="J339" s="280" t="n"/>
      <c r="K339" s="343" t="n"/>
      <c r="L339" s="280" t="n"/>
      <c r="M339" s="280" t="n"/>
      <c r="N339" s="345" t="n"/>
      <c r="O339" s="280" t="n"/>
      <c r="P339" s="332">
        <f>IFERROR(VLOOKUP(TEXT(O339,"0"),CONDUCTORES!$A$3:$G$54,2,0),"")</f>
        <v/>
      </c>
      <c r="Q339" s="332">
        <f>IFERROR(VLOOKUP(TEXT(O339,"0"),CONDUCTORES!$A$3:$H$54,6,0),"")</f>
        <v/>
      </c>
      <c r="R339" s="280" t="n"/>
      <c r="S339" s="280" t="n"/>
      <c r="T339" s="280" t="n"/>
      <c r="U339" s="280" t="n"/>
      <c r="V339" s="280" t="n"/>
      <c r="W339" s="280" t="n"/>
      <c r="X339" s="280" t="n"/>
      <c r="Y339" s="280" t="n"/>
      <c r="Z339" s="350" t="n"/>
      <c r="AA339" s="198" t="n"/>
      <c r="AB339" s="198" t="n"/>
      <c r="AC339" s="198" t="n"/>
    </row>
    <row r="340" ht="15" customHeight="1" s="195">
      <c r="A340" s="280" t="n"/>
      <c r="B340" s="280" t="n"/>
      <c r="C340" s="280" t="n"/>
      <c r="D340" s="280" t="n"/>
      <c r="E340" s="280" t="n"/>
      <c r="F340" s="280" t="n"/>
      <c r="G340" s="280" t="n"/>
      <c r="H340" s="280" t="n"/>
      <c r="I340" s="332">
        <f>IFERROR(VLOOKUP(TEXT(H340,"0"),IPRESS!$A$3:$B$212,2,0),"")</f>
        <v/>
      </c>
      <c r="J340" s="280" t="n"/>
      <c r="K340" s="343" t="n"/>
      <c r="L340" s="280" t="n"/>
      <c r="M340" s="280" t="n"/>
      <c r="N340" s="345" t="n"/>
      <c r="O340" s="280" t="n"/>
      <c r="P340" s="332">
        <f>IFERROR(VLOOKUP(TEXT(O340,"0"),CONDUCTORES!$A$3:$G$54,2,0),"")</f>
        <v/>
      </c>
      <c r="Q340" s="332">
        <f>IFERROR(VLOOKUP(TEXT(O340,"0"),CONDUCTORES!$A$3:$H$54,6,0),"")</f>
        <v/>
      </c>
      <c r="R340" s="280" t="n"/>
      <c r="S340" s="280" t="n"/>
      <c r="T340" s="280" t="n"/>
      <c r="U340" s="280" t="n"/>
      <c r="V340" s="280" t="n"/>
      <c r="W340" s="280" t="n"/>
      <c r="X340" s="280" t="n"/>
      <c r="Y340" s="280" t="n"/>
      <c r="Z340" s="350" t="n"/>
      <c r="AA340" s="198" t="n"/>
      <c r="AB340" s="198" t="n"/>
      <c r="AC340" s="198" t="n"/>
    </row>
    <row r="341" ht="15" customHeight="1" s="195">
      <c r="A341" s="280" t="n"/>
      <c r="B341" s="280" t="n"/>
      <c r="C341" s="280" t="n"/>
      <c r="D341" s="280" t="n"/>
      <c r="E341" s="280" t="n"/>
      <c r="F341" s="280" t="n"/>
      <c r="G341" s="280" t="n"/>
      <c r="H341" s="280" t="n"/>
      <c r="I341" s="332">
        <f>IFERROR(VLOOKUP(TEXT(H341,"0"),IPRESS!$A$3:$B$212,2,0),"")</f>
        <v/>
      </c>
      <c r="J341" s="280" t="n"/>
      <c r="K341" s="343" t="n"/>
      <c r="L341" s="280" t="n"/>
      <c r="M341" s="280" t="n"/>
      <c r="N341" s="345" t="n"/>
      <c r="O341" s="280" t="n"/>
      <c r="P341" s="332">
        <f>IFERROR(VLOOKUP(TEXT(O341,"0"),CONDUCTORES!$A$3:$G$54,2,0),"")</f>
        <v/>
      </c>
      <c r="Q341" s="332">
        <f>IFERROR(VLOOKUP(TEXT(O341,"0"),CONDUCTORES!$A$3:$H$54,6,0),"")</f>
        <v/>
      </c>
      <c r="R341" s="280" t="n"/>
      <c r="S341" s="280" t="n"/>
      <c r="T341" s="280" t="n"/>
      <c r="U341" s="280" t="n"/>
      <c r="V341" s="280" t="n"/>
      <c r="W341" s="280" t="n"/>
      <c r="X341" s="280" t="n"/>
      <c r="Y341" s="280" t="n"/>
      <c r="Z341" s="350" t="n"/>
      <c r="AA341" s="198" t="n"/>
      <c r="AB341" s="198" t="n"/>
      <c r="AC341" s="198" t="n"/>
    </row>
    <row r="342" ht="15" customHeight="1" s="195">
      <c r="A342" s="280" t="n"/>
      <c r="B342" s="280" t="n"/>
      <c r="C342" s="280" t="n"/>
      <c r="D342" s="280" t="n"/>
      <c r="E342" s="280" t="n"/>
      <c r="F342" s="280" t="n"/>
      <c r="G342" s="280" t="n"/>
      <c r="H342" s="280" t="n"/>
      <c r="I342" s="332">
        <f>IFERROR(VLOOKUP(TEXT(H342,"0"),IPRESS!$A$3:$B$212,2,0),"")</f>
        <v/>
      </c>
      <c r="J342" s="280" t="n"/>
      <c r="K342" s="343" t="n"/>
      <c r="L342" s="280" t="n"/>
      <c r="M342" s="280" t="n"/>
      <c r="N342" s="345" t="n"/>
      <c r="O342" s="280" t="n"/>
      <c r="P342" s="332">
        <f>IFERROR(VLOOKUP(TEXT(O342,"0"),CONDUCTORES!$A$3:$G$54,2,0),"")</f>
        <v/>
      </c>
      <c r="Q342" s="332">
        <f>IFERROR(VLOOKUP(TEXT(O342,"0"),CONDUCTORES!$A$3:$H$54,6,0),"")</f>
        <v/>
      </c>
      <c r="R342" s="280" t="n"/>
      <c r="S342" s="280" t="n"/>
      <c r="T342" s="280" t="n"/>
      <c r="U342" s="280" t="n"/>
      <c r="V342" s="280" t="n"/>
      <c r="W342" s="280" t="n"/>
      <c r="X342" s="280" t="n"/>
      <c r="Y342" s="280" t="n"/>
      <c r="Z342" s="350" t="n"/>
      <c r="AA342" s="198" t="n"/>
      <c r="AB342" s="198" t="n"/>
      <c r="AC342" s="198" t="n"/>
    </row>
    <row r="343" ht="15" customHeight="1" s="195">
      <c r="A343" s="280" t="n"/>
      <c r="B343" s="280" t="n"/>
      <c r="C343" s="280" t="n"/>
      <c r="D343" s="280" t="n"/>
      <c r="E343" s="280" t="n"/>
      <c r="F343" s="280" t="n"/>
      <c r="G343" s="280" t="n"/>
      <c r="H343" s="280" t="n"/>
      <c r="I343" s="332">
        <f>IFERROR(VLOOKUP(TEXT(H343,"0"),IPRESS!$A$3:$B$212,2,0),"")</f>
        <v/>
      </c>
      <c r="J343" s="280" t="n"/>
      <c r="K343" s="343" t="n"/>
      <c r="L343" s="280" t="n"/>
      <c r="M343" s="280" t="n"/>
      <c r="N343" s="345" t="n"/>
      <c r="O343" s="280" t="n"/>
      <c r="P343" s="332">
        <f>IFERROR(VLOOKUP(TEXT(O343,"0"),CONDUCTORES!$A$3:$G$54,2,0),"")</f>
        <v/>
      </c>
      <c r="Q343" s="332">
        <f>IFERROR(VLOOKUP(TEXT(O343,"0"),CONDUCTORES!$A$3:$H$54,6,0),"")</f>
        <v/>
      </c>
      <c r="R343" s="280" t="n"/>
      <c r="S343" s="280" t="n"/>
      <c r="T343" s="280" t="n"/>
      <c r="U343" s="280" t="n"/>
      <c r="V343" s="280" t="n"/>
      <c r="W343" s="280" t="n"/>
      <c r="X343" s="280" t="n"/>
      <c r="Y343" s="280" t="n"/>
      <c r="Z343" s="350" t="n"/>
      <c r="AA343" s="198" t="n"/>
      <c r="AB343" s="198" t="n"/>
      <c r="AC343" s="198" t="n"/>
    </row>
    <row r="344" ht="15" customHeight="1" s="195">
      <c r="A344" s="280" t="n"/>
      <c r="B344" s="280" t="n"/>
      <c r="C344" s="280" t="n"/>
      <c r="D344" s="280" t="n"/>
      <c r="E344" s="280" t="n"/>
      <c r="F344" s="280" t="n"/>
      <c r="G344" s="280" t="n"/>
      <c r="H344" s="280" t="n"/>
      <c r="I344" s="332">
        <f>IFERROR(VLOOKUP(TEXT(H344,"0"),IPRESS!$A$3:$B$212,2,0),"")</f>
        <v/>
      </c>
      <c r="J344" s="280" t="n"/>
      <c r="K344" s="343" t="n"/>
      <c r="L344" s="280" t="n"/>
      <c r="M344" s="280" t="n"/>
      <c r="N344" s="345" t="n"/>
      <c r="O344" s="280" t="n"/>
      <c r="P344" s="332">
        <f>IFERROR(VLOOKUP(TEXT(O344,"0"),CONDUCTORES!$A$3:$G$54,2,0),"")</f>
        <v/>
      </c>
      <c r="Q344" s="332">
        <f>IFERROR(VLOOKUP(TEXT(O344,"0"),CONDUCTORES!$A$3:$H$54,6,0),"")</f>
        <v/>
      </c>
      <c r="R344" s="280" t="n"/>
      <c r="S344" s="280" t="n"/>
      <c r="T344" s="280" t="n"/>
      <c r="U344" s="280" t="n"/>
      <c r="V344" s="280" t="n"/>
      <c r="W344" s="280" t="n"/>
      <c r="X344" s="280" t="n"/>
      <c r="Y344" s="280" t="n"/>
      <c r="Z344" s="350" t="n"/>
      <c r="AA344" s="198" t="n"/>
      <c r="AB344" s="198" t="n"/>
      <c r="AC344" s="198" t="n"/>
    </row>
    <row r="345" ht="15" customHeight="1" s="195">
      <c r="A345" s="280" t="n"/>
      <c r="B345" s="280" t="n"/>
      <c r="C345" s="280" t="n"/>
      <c r="D345" s="280" t="n"/>
      <c r="E345" s="280" t="n"/>
      <c r="F345" s="280" t="n"/>
      <c r="G345" s="280" t="n"/>
      <c r="H345" s="280" t="n"/>
      <c r="I345" s="332">
        <f>IFERROR(VLOOKUP(TEXT(H345,"0"),IPRESS!$A$3:$B$212,2,0),"")</f>
        <v/>
      </c>
      <c r="J345" s="280" t="n"/>
      <c r="K345" s="343" t="n"/>
      <c r="L345" s="280" t="n"/>
      <c r="M345" s="280" t="n"/>
      <c r="N345" s="345" t="n"/>
      <c r="O345" s="280" t="n"/>
      <c r="P345" s="332">
        <f>IFERROR(VLOOKUP(TEXT(O345,"0"),CONDUCTORES!$A$3:$G$54,2,0),"")</f>
        <v/>
      </c>
      <c r="Q345" s="332">
        <f>IFERROR(VLOOKUP(TEXT(O345,"0"),CONDUCTORES!$A$3:$H$54,6,0),"")</f>
        <v/>
      </c>
      <c r="R345" s="280" t="n"/>
      <c r="S345" s="280" t="n"/>
      <c r="T345" s="280" t="n"/>
      <c r="U345" s="280" t="n"/>
      <c r="V345" s="280" t="n"/>
      <c r="W345" s="280" t="n"/>
      <c r="X345" s="280" t="n"/>
      <c r="Y345" s="280" t="n"/>
      <c r="Z345" s="350" t="n"/>
      <c r="AA345" s="198" t="n"/>
      <c r="AB345" s="198" t="n"/>
      <c r="AC345" s="198" t="n"/>
    </row>
    <row r="346" ht="15" customHeight="1" s="195">
      <c r="A346" s="280" t="n"/>
      <c r="B346" s="280" t="n"/>
      <c r="C346" s="280" t="n"/>
      <c r="D346" s="280" t="n"/>
      <c r="E346" s="280" t="n"/>
      <c r="F346" s="280" t="n"/>
      <c r="G346" s="280" t="n"/>
      <c r="H346" s="280" t="n"/>
      <c r="I346" s="332">
        <f>IFERROR(VLOOKUP(TEXT(H346,"0"),IPRESS!$A$3:$B$212,2,0),"")</f>
        <v/>
      </c>
      <c r="J346" s="280" t="n"/>
      <c r="K346" s="343" t="n"/>
      <c r="L346" s="280" t="n"/>
      <c r="M346" s="280" t="n"/>
      <c r="N346" s="345" t="n"/>
      <c r="O346" s="280" t="n"/>
      <c r="P346" s="332">
        <f>IFERROR(VLOOKUP(TEXT(O346,"0"),CONDUCTORES!$A$3:$G$54,2,0),"")</f>
        <v/>
      </c>
      <c r="Q346" s="332">
        <f>IFERROR(VLOOKUP(TEXT(O346,"0"),CONDUCTORES!$A$3:$H$54,6,0),"")</f>
        <v/>
      </c>
      <c r="R346" s="280" t="n"/>
      <c r="S346" s="280" t="n"/>
      <c r="T346" s="280" t="n"/>
      <c r="U346" s="280" t="n"/>
      <c r="V346" s="280" t="n"/>
      <c r="W346" s="280" t="n"/>
      <c r="X346" s="280" t="n"/>
      <c r="Y346" s="280" t="n"/>
      <c r="Z346" s="350" t="n"/>
      <c r="AA346" s="198" t="n"/>
      <c r="AB346" s="198" t="n"/>
      <c r="AC346" s="198" t="n"/>
    </row>
    <row r="347" ht="15" customHeight="1" s="195">
      <c r="A347" s="280" t="n"/>
      <c r="B347" s="280" t="n"/>
      <c r="C347" s="280" t="n"/>
      <c r="D347" s="280" t="n"/>
      <c r="E347" s="280" t="n"/>
      <c r="F347" s="280" t="n"/>
      <c r="G347" s="280" t="n"/>
      <c r="H347" s="280" t="n"/>
      <c r="I347" s="332">
        <f>IFERROR(VLOOKUP(TEXT(H347,"0"),IPRESS!$A$3:$B$212,2,0),"")</f>
        <v/>
      </c>
      <c r="J347" s="280" t="n"/>
      <c r="K347" s="343" t="n"/>
      <c r="L347" s="280" t="n"/>
      <c r="M347" s="280" t="n"/>
      <c r="N347" s="345" t="n"/>
      <c r="O347" s="280" t="n"/>
      <c r="P347" s="332">
        <f>IFERROR(VLOOKUP(TEXT(O347,"0"),CONDUCTORES!$A$3:$G$54,2,0),"")</f>
        <v/>
      </c>
      <c r="Q347" s="332">
        <f>IFERROR(VLOOKUP(TEXT(O347,"0"),CONDUCTORES!$A$3:$H$54,6,0),"")</f>
        <v/>
      </c>
      <c r="R347" s="280" t="n"/>
      <c r="S347" s="280" t="n"/>
      <c r="T347" s="280" t="n"/>
      <c r="U347" s="280" t="n"/>
      <c r="V347" s="280" t="n"/>
      <c r="W347" s="280" t="n"/>
      <c r="X347" s="280" t="n"/>
      <c r="Y347" s="280" t="n"/>
      <c r="Z347" s="350" t="n"/>
      <c r="AA347" s="198" t="n"/>
      <c r="AB347" s="198" t="n"/>
      <c r="AC347" s="198" t="n"/>
    </row>
    <row r="348" ht="15" customHeight="1" s="195">
      <c r="A348" s="280" t="n"/>
      <c r="B348" s="280" t="n"/>
      <c r="C348" s="280" t="n"/>
      <c r="D348" s="280" t="n"/>
      <c r="E348" s="280" t="n"/>
      <c r="F348" s="280" t="n"/>
      <c r="G348" s="280" t="n"/>
      <c r="H348" s="280" t="n"/>
      <c r="I348" s="332">
        <f>IFERROR(VLOOKUP(TEXT(H348,"0"),IPRESS!$A$3:$B$212,2,0),"")</f>
        <v/>
      </c>
      <c r="J348" s="280" t="n"/>
      <c r="K348" s="343" t="n"/>
      <c r="L348" s="280" t="n"/>
      <c r="M348" s="280" t="n"/>
      <c r="N348" s="345" t="n"/>
      <c r="O348" s="280" t="n"/>
      <c r="P348" s="332">
        <f>IFERROR(VLOOKUP(TEXT(O348,"0"),CONDUCTORES!$A$3:$G$54,2,0),"")</f>
        <v/>
      </c>
      <c r="Q348" s="332">
        <f>IFERROR(VLOOKUP(TEXT(O348,"0"),CONDUCTORES!$A$3:$H$54,6,0),"")</f>
        <v/>
      </c>
      <c r="R348" s="280" t="n"/>
      <c r="S348" s="280" t="n"/>
      <c r="T348" s="280" t="n"/>
      <c r="U348" s="280" t="n"/>
      <c r="V348" s="280" t="n"/>
      <c r="W348" s="280" t="n"/>
      <c r="X348" s="280" t="n"/>
      <c r="Y348" s="280" t="n"/>
      <c r="Z348" s="350" t="n"/>
      <c r="AA348" s="198" t="n"/>
      <c r="AB348" s="198" t="n"/>
      <c r="AC348" s="198" t="n"/>
    </row>
    <row r="349" ht="15" customHeight="1" s="195">
      <c r="A349" s="280" t="n"/>
      <c r="B349" s="280" t="n"/>
      <c r="C349" s="280" t="n"/>
      <c r="D349" s="280" t="n"/>
      <c r="E349" s="280" t="n"/>
      <c r="F349" s="280" t="n"/>
      <c r="G349" s="280" t="n"/>
      <c r="H349" s="280" t="n"/>
      <c r="I349" s="332">
        <f>IFERROR(VLOOKUP(TEXT(H349,"0"),IPRESS!$A$3:$B$212,2,0),"")</f>
        <v/>
      </c>
      <c r="J349" s="280" t="n"/>
      <c r="K349" s="343" t="n"/>
      <c r="L349" s="280" t="n"/>
      <c r="M349" s="280" t="n"/>
      <c r="N349" s="345" t="n"/>
      <c r="O349" s="280" t="n"/>
      <c r="P349" s="332">
        <f>IFERROR(VLOOKUP(TEXT(O349,"0"),CONDUCTORES!$A$3:$G$54,2,0),"")</f>
        <v/>
      </c>
      <c r="Q349" s="332">
        <f>IFERROR(VLOOKUP(TEXT(O349,"0"),CONDUCTORES!$A$3:$H$54,6,0),"")</f>
        <v/>
      </c>
      <c r="R349" s="280" t="n"/>
      <c r="S349" s="280" t="n"/>
      <c r="T349" s="280" t="n"/>
      <c r="U349" s="280" t="n"/>
      <c r="V349" s="280" t="n"/>
      <c r="W349" s="280" t="n"/>
      <c r="X349" s="280" t="n"/>
      <c r="Y349" s="280" t="n"/>
      <c r="Z349" s="350" t="n"/>
      <c r="AA349" s="198" t="n"/>
      <c r="AB349" s="198" t="n"/>
      <c r="AC349" s="198" t="n"/>
    </row>
    <row r="350" ht="15" customHeight="1" s="195">
      <c r="A350" s="280" t="n"/>
      <c r="B350" s="280" t="n"/>
      <c r="C350" s="280" t="n"/>
      <c r="D350" s="280" t="n"/>
      <c r="E350" s="280" t="n"/>
      <c r="F350" s="280" t="n"/>
      <c r="G350" s="280" t="n"/>
      <c r="H350" s="280" t="n"/>
      <c r="I350" s="332">
        <f>IFERROR(VLOOKUP(TEXT(H350,"0"),IPRESS!$A$3:$B$212,2,0),"")</f>
        <v/>
      </c>
      <c r="J350" s="280" t="n"/>
      <c r="K350" s="343" t="n"/>
      <c r="L350" s="280" t="n"/>
      <c r="M350" s="280" t="n"/>
      <c r="N350" s="345" t="n"/>
      <c r="O350" s="280" t="n"/>
      <c r="P350" s="332">
        <f>IFERROR(VLOOKUP(TEXT(O350,"0"),CONDUCTORES!$A$3:$G$54,2,0),"")</f>
        <v/>
      </c>
      <c r="Q350" s="332">
        <f>IFERROR(VLOOKUP(TEXT(O350,"0"),CONDUCTORES!$A$3:$H$54,6,0),"")</f>
        <v/>
      </c>
      <c r="R350" s="280" t="n"/>
      <c r="S350" s="280" t="n"/>
      <c r="T350" s="280" t="n"/>
      <c r="U350" s="280" t="n"/>
      <c r="V350" s="280" t="n"/>
      <c r="W350" s="280" t="n"/>
      <c r="X350" s="280" t="n"/>
      <c r="Y350" s="280" t="n"/>
      <c r="Z350" s="350" t="n"/>
      <c r="AA350" s="198" t="n"/>
      <c r="AB350" s="198" t="n"/>
      <c r="AC350" s="198" t="n"/>
    </row>
    <row r="351" ht="15" customHeight="1" s="195">
      <c r="A351" s="280" t="n"/>
      <c r="B351" s="280" t="n"/>
      <c r="C351" s="280" t="n"/>
      <c r="D351" s="280" t="n"/>
      <c r="E351" s="280" t="n"/>
      <c r="F351" s="280" t="n"/>
      <c r="G351" s="280" t="n"/>
      <c r="H351" s="280" t="n"/>
      <c r="I351" s="332">
        <f>IFERROR(VLOOKUP(TEXT(H351,"0"),IPRESS!$A$3:$B$212,2,0),"")</f>
        <v/>
      </c>
      <c r="J351" s="280" t="n"/>
      <c r="K351" s="343" t="n"/>
      <c r="L351" s="280" t="n"/>
      <c r="M351" s="280" t="n"/>
      <c r="N351" s="345" t="n"/>
      <c r="O351" s="280" t="n"/>
      <c r="P351" s="332">
        <f>IFERROR(VLOOKUP(TEXT(O351,"0"),CONDUCTORES!$A$3:$G$54,2,0),"")</f>
        <v/>
      </c>
      <c r="Q351" s="332">
        <f>IFERROR(VLOOKUP(TEXT(O351,"0"),CONDUCTORES!$A$3:$H$54,6,0),"")</f>
        <v/>
      </c>
      <c r="R351" s="280" t="n"/>
      <c r="S351" s="280" t="n"/>
      <c r="T351" s="280" t="n"/>
      <c r="U351" s="280" t="n"/>
      <c r="V351" s="280" t="n"/>
      <c r="W351" s="280" t="n"/>
      <c r="X351" s="280" t="n"/>
      <c r="Y351" s="280" t="n"/>
      <c r="Z351" s="350" t="n"/>
      <c r="AA351" s="198" t="n"/>
      <c r="AB351" s="198" t="n"/>
      <c r="AC351" s="198" t="n"/>
    </row>
    <row r="352" ht="15" customHeight="1" s="195">
      <c r="A352" s="280" t="n"/>
      <c r="B352" s="280" t="n"/>
      <c r="C352" s="280" t="n"/>
      <c r="D352" s="280" t="n"/>
      <c r="E352" s="280" t="n"/>
      <c r="F352" s="280" t="n"/>
      <c r="G352" s="280" t="n"/>
      <c r="H352" s="280" t="n"/>
      <c r="I352" s="332">
        <f>IFERROR(VLOOKUP(TEXT(H352,"0"),IPRESS!$A$3:$B$212,2,0),"")</f>
        <v/>
      </c>
      <c r="J352" s="280" t="n"/>
      <c r="K352" s="343" t="n"/>
      <c r="L352" s="280" t="n"/>
      <c r="M352" s="280" t="n"/>
      <c r="N352" s="345" t="n"/>
      <c r="O352" s="280" t="n"/>
      <c r="P352" s="332">
        <f>IFERROR(VLOOKUP(TEXT(O352,"0"),CONDUCTORES!$A$3:$G$54,2,0),"")</f>
        <v/>
      </c>
      <c r="Q352" s="332">
        <f>IFERROR(VLOOKUP(TEXT(O352,"0"),CONDUCTORES!$A$3:$H$54,6,0),"")</f>
        <v/>
      </c>
      <c r="R352" s="280" t="n"/>
      <c r="S352" s="280" t="n"/>
      <c r="T352" s="280" t="n"/>
      <c r="U352" s="280" t="n"/>
      <c r="V352" s="280" t="n"/>
      <c r="W352" s="280" t="n"/>
      <c r="X352" s="280" t="n"/>
      <c r="Y352" s="280" t="n"/>
      <c r="Z352" s="350" t="n"/>
      <c r="AA352" s="198" t="n"/>
      <c r="AB352" s="198" t="n"/>
      <c r="AC352" s="198" t="n"/>
    </row>
    <row r="353" ht="15" customHeight="1" s="195">
      <c r="A353" s="280" t="n"/>
      <c r="B353" s="280" t="n"/>
      <c r="C353" s="280" t="n"/>
      <c r="D353" s="280" t="n"/>
      <c r="E353" s="280" t="n"/>
      <c r="F353" s="280" t="n"/>
      <c r="G353" s="280" t="n"/>
      <c r="H353" s="280" t="n"/>
      <c r="I353" s="332">
        <f>IFERROR(VLOOKUP(TEXT(H353,"0"),IPRESS!$A$3:$B$212,2,0),"")</f>
        <v/>
      </c>
      <c r="J353" s="280" t="n"/>
      <c r="K353" s="343" t="n"/>
      <c r="L353" s="280" t="n"/>
      <c r="M353" s="280" t="n"/>
      <c r="N353" s="345" t="n"/>
      <c r="O353" s="280" t="n"/>
      <c r="P353" s="332">
        <f>IFERROR(VLOOKUP(TEXT(O353,"0"),CONDUCTORES!$A$3:$G$54,2,0),"")</f>
        <v/>
      </c>
      <c r="Q353" s="332">
        <f>IFERROR(VLOOKUP(TEXT(O353,"0"),CONDUCTORES!$A$3:$H$54,6,0),"")</f>
        <v/>
      </c>
      <c r="R353" s="280" t="n"/>
      <c r="S353" s="280" t="n"/>
      <c r="T353" s="280" t="n"/>
      <c r="U353" s="280" t="n"/>
      <c r="V353" s="280" t="n"/>
      <c r="W353" s="280" t="n"/>
      <c r="X353" s="280" t="n"/>
      <c r="Y353" s="280" t="n"/>
      <c r="Z353" s="350" t="n"/>
      <c r="AA353" s="198" t="n"/>
      <c r="AB353" s="198" t="n"/>
      <c r="AC353" s="198" t="n"/>
    </row>
    <row r="354" ht="15" customHeight="1" s="195">
      <c r="A354" s="280" t="n"/>
      <c r="B354" s="280" t="n"/>
      <c r="C354" s="280" t="n"/>
      <c r="D354" s="280" t="n"/>
      <c r="E354" s="280" t="n"/>
      <c r="F354" s="280" t="n"/>
      <c r="G354" s="280" t="n"/>
      <c r="H354" s="280" t="n"/>
      <c r="I354" s="332">
        <f>IFERROR(VLOOKUP(TEXT(H354,"0"),IPRESS!$A$3:$B$212,2,0),"")</f>
        <v/>
      </c>
      <c r="J354" s="280" t="n"/>
      <c r="K354" s="343" t="n"/>
      <c r="L354" s="280" t="n"/>
      <c r="M354" s="280" t="n"/>
      <c r="N354" s="345" t="n"/>
      <c r="O354" s="280" t="n"/>
      <c r="P354" s="332">
        <f>IFERROR(VLOOKUP(TEXT(O354,"0"),CONDUCTORES!$A$3:$G$54,2,0),"")</f>
        <v/>
      </c>
      <c r="Q354" s="332">
        <f>IFERROR(VLOOKUP(TEXT(O354,"0"),CONDUCTORES!$A$3:$H$54,6,0),"")</f>
        <v/>
      </c>
      <c r="R354" s="280" t="n"/>
      <c r="S354" s="280" t="n"/>
      <c r="T354" s="280" t="n"/>
      <c r="U354" s="280" t="n"/>
      <c r="V354" s="280" t="n"/>
      <c r="W354" s="280" t="n"/>
      <c r="X354" s="280" t="n"/>
      <c r="Y354" s="280" t="n"/>
      <c r="Z354" s="350" t="n"/>
      <c r="AA354" s="198" t="n"/>
      <c r="AB354" s="198" t="n"/>
      <c r="AC354" s="198" t="n"/>
    </row>
    <row r="355" ht="15" customHeight="1" s="195">
      <c r="A355" s="280" t="n"/>
      <c r="B355" s="280" t="n"/>
      <c r="C355" s="280" t="n"/>
      <c r="D355" s="280" t="n"/>
      <c r="E355" s="280" t="n"/>
      <c r="F355" s="280" t="n"/>
      <c r="G355" s="280" t="n"/>
      <c r="H355" s="280" t="n"/>
      <c r="I355" s="332">
        <f>IFERROR(VLOOKUP(TEXT(H355,"0"),IPRESS!$A$3:$B$212,2,0),"")</f>
        <v/>
      </c>
      <c r="J355" s="280" t="n"/>
      <c r="K355" s="343" t="n"/>
      <c r="L355" s="280" t="n"/>
      <c r="M355" s="280" t="n"/>
      <c r="N355" s="345" t="n"/>
      <c r="O355" s="280" t="n"/>
      <c r="P355" s="332">
        <f>IFERROR(VLOOKUP(TEXT(O355,"0"),CONDUCTORES!$A$3:$G$54,2,0),"")</f>
        <v/>
      </c>
      <c r="Q355" s="332">
        <f>IFERROR(VLOOKUP(TEXT(O355,"0"),CONDUCTORES!$A$3:$H$54,6,0),"")</f>
        <v/>
      </c>
      <c r="R355" s="280" t="n"/>
      <c r="S355" s="280" t="n"/>
      <c r="T355" s="280" t="n"/>
      <c r="U355" s="280" t="n"/>
      <c r="V355" s="280" t="n"/>
      <c r="W355" s="280" t="n"/>
      <c r="X355" s="280" t="n"/>
      <c r="Y355" s="280" t="n"/>
      <c r="Z355" s="350" t="n"/>
      <c r="AA355" s="198" t="n"/>
      <c r="AB355" s="198" t="n"/>
      <c r="AC355" s="198" t="n"/>
    </row>
    <row r="356" ht="15" customHeight="1" s="195">
      <c r="A356" s="280" t="n"/>
      <c r="B356" s="280" t="n"/>
      <c r="C356" s="280" t="n"/>
      <c r="D356" s="280" t="n"/>
      <c r="E356" s="280" t="n"/>
      <c r="F356" s="280" t="n"/>
      <c r="G356" s="280" t="n"/>
      <c r="H356" s="280" t="n"/>
      <c r="I356" s="332">
        <f>IFERROR(VLOOKUP(TEXT(H356,"0"),IPRESS!$A$3:$B$212,2,0),"")</f>
        <v/>
      </c>
      <c r="J356" s="280" t="n"/>
      <c r="K356" s="343" t="n"/>
      <c r="L356" s="280" t="n"/>
      <c r="M356" s="280" t="n"/>
      <c r="N356" s="345" t="n"/>
      <c r="O356" s="280" t="n"/>
      <c r="P356" s="332">
        <f>IFERROR(VLOOKUP(TEXT(O356,"0"),CONDUCTORES!$A$3:$G$54,2,0),"")</f>
        <v/>
      </c>
      <c r="Q356" s="332">
        <f>IFERROR(VLOOKUP(TEXT(O356,"0"),CONDUCTORES!$A$3:$H$54,6,0),"")</f>
        <v/>
      </c>
      <c r="R356" s="280" t="n"/>
      <c r="S356" s="280" t="n"/>
      <c r="T356" s="280" t="n"/>
      <c r="U356" s="280" t="n"/>
      <c r="V356" s="280" t="n"/>
      <c r="W356" s="280" t="n"/>
      <c r="X356" s="280" t="n"/>
      <c r="Y356" s="280" t="n"/>
      <c r="Z356" s="350" t="n"/>
      <c r="AA356" s="198" t="n"/>
      <c r="AB356" s="198" t="n"/>
      <c r="AC356" s="198" t="n"/>
    </row>
    <row r="357" ht="15" customHeight="1" s="195">
      <c r="A357" s="280" t="n"/>
      <c r="B357" s="280" t="n"/>
      <c r="C357" s="280" t="n"/>
      <c r="D357" s="280" t="n"/>
      <c r="E357" s="280" t="n"/>
      <c r="F357" s="280" t="n"/>
      <c r="G357" s="280" t="n"/>
      <c r="H357" s="280" t="n"/>
      <c r="I357" s="332">
        <f>IFERROR(VLOOKUP(TEXT(H357,"0"),IPRESS!$A$3:$B$212,2,0),"")</f>
        <v/>
      </c>
      <c r="J357" s="280" t="n"/>
      <c r="K357" s="343" t="n"/>
      <c r="L357" s="280" t="n"/>
      <c r="M357" s="280" t="n"/>
      <c r="N357" s="345" t="n"/>
      <c r="O357" s="280" t="n"/>
      <c r="P357" s="332">
        <f>IFERROR(VLOOKUP(TEXT(O357,"0"),CONDUCTORES!$A$3:$G$54,2,0),"")</f>
        <v/>
      </c>
      <c r="Q357" s="332">
        <f>IFERROR(VLOOKUP(TEXT(O357,"0"),CONDUCTORES!$A$3:$H$54,6,0),"")</f>
        <v/>
      </c>
      <c r="R357" s="280" t="n"/>
      <c r="S357" s="280" t="n"/>
      <c r="T357" s="280" t="n"/>
      <c r="U357" s="280" t="n"/>
      <c r="V357" s="280" t="n"/>
      <c r="W357" s="280" t="n"/>
      <c r="X357" s="280" t="n"/>
      <c r="Y357" s="280" t="n"/>
      <c r="Z357" s="350" t="n"/>
      <c r="AA357" s="198" t="n"/>
      <c r="AB357" s="198" t="n"/>
      <c r="AC357" s="198" t="n"/>
    </row>
    <row r="358" ht="15" customHeight="1" s="195">
      <c r="A358" s="280" t="n"/>
      <c r="B358" s="280" t="n"/>
      <c r="C358" s="280" t="n"/>
      <c r="D358" s="280" t="n"/>
      <c r="E358" s="280" t="n"/>
      <c r="F358" s="280" t="n"/>
      <c r="G358" s="280" t="n"/>
      <c r="H358" s="280" t="n"/>
      <c r="I358" s="332">
        <f>IFERROR(VLOOKUP(TEXT(H358,"0"),IPRESS!$A$3:$B$212,2,0),"")</f>
        <v/>
      </c>
      <c r="J358" s="280" t="n"/>
      <c r="K358" s="343" t="n"/>
      <c r="L358" s="280" t="n"/>
      <c r="M358" s="280" t="n"/>
      <c r="N358" s="345" t="n"/>
      <c r="O358" s="280" t="n"/>
      <c r="P358" s="332">
        <f>IFERROR(VLOOKUP(TEXT(O358,"0"),CONDUCTORES!$A$3:$G$54,2,0),"")</f>
        <v/>
      </c>
      <c r="Q358" s="332">
        <f>IFERROR(VLOOKUP(TEXT(O358,"0"),CONDUCTORES!$A$3:$H$54,6,0),"")</f>
        <v/>
      </c>
      <c r="R358" s="280" t="n"/>
      <c r="S358" s="280" t="n"/>
      <c r="T358" s="280" t="n"/>
      <c r="U358" s="280" t="n"/>
      <c r="V358" s="280" t="n"/>
      <c r="W358" s="280" t="n"/>
      <c r="X358" s="280" t="n"/>
      <c r="Y358" s="280" t="n"/>
      <c r="Z358" s="350" t="n"/>
      <c r="AA358" s="198" t="n"/>
      <c r="AB358" s="198" t="n"/>
      <c r="AC358" s="198" t="n"/>
    </row>
    <row r="359" ht="15" customHeight="1" s="195">
      <c r="A359" s="280" t="n"/>
      <c r="B359" s="280" t="n"/>
      <c r="C359" s="280" t="n"/>
      <c r="D359" s="280" t="n"/>
      <c r="E359" s="280" t="n"/>
      <c r="F359" s="280" t="n"/>
      <c r="G359" s="280" t="n"/>
      <c r="H359" s="280" t="n"/>
      <c r="I359" s="332">
        <f>IFERROR(VLOOKUP(TEXT(H359,"0"),IPRESS!$A$3:$B$212,2,0),"")</f>
        <v/>
      </c>
      <c r="J359" s="280" t="n"/>
      <c r="K359" s="343" t="n"/>
      <c r="L359" s="280" t="n"/>
      <c r="M359" s="280" t="n"/>
      <c r="N359" s="345" t="n"/>
      <c r="O359" s="280" t="n"/>
      <c r="P359" s="332">
        <f>IFERROR(VLOOKUP(TEXT(O359,"0"),CONDUCTORES!$A$3:$G$54,2,0),"")</f>
        <v/>
      </c>
      <c r="Q359" s="332">
        <f>IFERROR(VLOOKUP(TEXT(O359,"0"),CONDUCTORES!$A$3:$H$54,6,0),"")</f>
        <v/>
      </c>
      <c r="R359" s="280" t="n"/>
      <c r="S359" s="280" t="n"/>
      <c r="T359" s="280" t="n"/>
      <c r="U359" s="280" t="n"/>
      <c r="V359" s="280" t="n"/>
      <c r="W359" s="280" t="n"/>
      <c r="X359" s="280" t="n"/>
      <c r="Y359" s="280" t="n"/>
      <c r="Z359" s="350" t="n"/>
      <c r="AA359" s="198" t="n"/>
      <c r="AB359" s="198" t="n"/>
      <c r="AC359" s="198" t="n"/>
    </row>
    <row r="360" ht="15" customHeight="1" s="195">
      <c r="A360" s="280" t="n"/>
      <c r="B360" s="280" t="n"/>
      <c r="C360" s="280" t="n"/>
      <c r="D360" s="280" t="n"/>
      <c r="E360" s="280" t="n"/>
      <c r="F360" s="280" t="n"/>
      <c r="G360" s="280" t="n"/>
      <c r="H360" s="280" t="n"/>
      <c r="I360" s="332">
        <f>IFERROR(VLOOKUP(TEXT(H360,"0"),IPRESS!$A$3:$B$212,2,0),"")</f>
        <v/>
      </c>
      <c r="J360" s="280" t="n"/>
      <c r="K360" s="343" t="n"/>
      <c r="L360" s="280" t="n"/>
      <c r="M360" s="280" t="n"/>
      <c r="N360" s="345" t="n"/>
      <c r="O360" s="280" t="n"/>
      <c r="P360" s="332">
        <f>IFERROR(VLOOKUP(TEXT(O360,"0"),CONDUCTORES!$A$3:$G$54,2,0),"")</f>
        <v/>
      </c>
      <c r="Q360" s="332">
        <f>IFERROR(VLOOKUP(TEXT(O360,"0"),CONDUCTORES!$A$3:$H$54,6,0),"")</f>
        <v/>
      </c>
      <c r="R360" s="280" t="n"/>
      <c r="S360" s="280" t="n"/>
      <c r="T360" s="280" t="n"/>
      <c r="U360" s="280" t="n"/>
      <c r="V360" s="280" t="n"/>
      <c r="W360" s="280" t="n"/>
      <c r="X360" s="280" t="n"/>
      <c r="Y360" s="280" t="n"/>
      <c r="Z360" s="350" t="n"/>
      <c r="AA360" s="198" t="n"/>
      <c r="AB360" s="198" t="n"/>
      <c r="AC360" s="198" t="n"/>
    </row>
    <row r="361" ht="15" customHeight="1" s="195">
      <c r="A361" s="280" t="n"/>
      <c r="B361" s="280" t="n"/>
      <c r="C361" s="280" t="n"/>
      <c r="D361" s="280" t="n"/>
      <c r="E361" s="280" t="n"/>
      <c r="F361" s="280" t="n"/>
      <c r="G361" s="280" t="n"/>
      <c r="H361" s="280" t="n"/>
      <c r="I361" s="332">
        <f>IFERROR(VLOOKUP(TEXT(H361,"0"),IPRESS!$A$3:$B$212,2,0),"")</f>
        <v/>
      </c>
      <c r="J361" s="280" t="n"/>
      <c r="K361" s="343" t="n"/>
      <c r="L361" s="280" t="n"/>
      <c r="M361" s="280" t="n"/>
      <c r="N361" s="345" t="n"/>
      <c r="O361" s="280" t="n"/>
      <c r="P361" s="332">
        <f>IFERROR(VLOOKUP(TEXT(O361,"0"),CONDUCTORES!$A$3:$G$54,2,0),"")</f>
        <v/>
      </c>
      <c r="Q361" s="332">
        <f>IFERROR(VLOOKUP(TEXT(O361,"0"),CONDUCTORES!$A$3:$H$54,6,0),"")</f>
        <v/>
      </c>
      <c r="R361" s="280" t="n"/>
      <c r="S361" s="280" t="n"/>
      <c r="T361" s="280" t="n"/>
      <c r="U361" s="280" t="n"/>
      <c r="V361" s="280" t="n"/>
      <c r="W361" s="280" t="n"/>
      <c r="X361" s="280" t="n"/>
      <c r="Y361" s="280" t="n"/>
      <c r="Z361" s="350" t="n"/>
      <c r="AA361" s="198" t="n"/>
      <c r="AB361" s="198" t="n"/>
      <c r="AC361" s="198" t="n"/>
    </row>
    <row r="362" ht="15" customHeight="1" s="195">
      <c r="A362" s="280" t="n"/>
      <c r="B362" s="280" t="n"/>
      <c r="C362" s="280" t="n"/>
      <c r="D362" s="280" t="n"/>
      <c r="E362" s="280" t="n"/>
      <c r="F362" s="280" t="n"/>
      <c r="G362" s="280" t="n"/>
      <c r="H362" s="280" t="n"/>
      <c r="I362" s="332">
        <f>IFERROR(VLOOKUP(TEXT(H362,"0"),IPRESS!$A$3:$B$212,2,0),"")</f>
        <v/>
      </c>
      <c r="J362" s="280" t="n"/>
      <c r="K362" s="343" t="n"/>
      <c r="L362" s="280" t="n"/>
      <c r="M362" s="280" t="n"/>
      <c r="N362" s="345" t="n"/>
      <c r="O362" s="280" t="n"/>
      <c r="P362" s="332">
        <f>IFERROR(VLOOKUP(TEXT(O362,"0"),CONDUCTORES!$A$3:$G$54,2,0),"")</f>
        <v/>
      </c>
      <c r="Q362" s="332">
        <f>IFERROR(VLOOKUP(TEXT(O362,"0"),CONDUCTORES!$A$3:$H$54,6,0),"")</f>
        <v/>
      </c>
      <c r="R362" s="280" t="n"/>
      <c r="S362" s="280" t="n"/>
      <c r="T362" s="280" t="n"/>
      <c r="U362" s="280" t="n"/>
      <c r="V362" s="280" t="n"/>
      <c r="W362" s="280" t="n"/>
      <c r="X362" s="280" t="n"/>
      <c r="Y362" s="280" t="n"/>
      <c r="Z362" s="350" t="n"/>
      <c r="AA362" s="198" t="n"/>
      <c r="AB362" s="198" t="n"/>
      <c r="AC362" s="198" t="n"/>
    </row>
    <row r="363" ht="15" customHeight="1" s="195">
      <c r="A363" s="280" t="n"/>
      <c r="B363" s="280" t="n"/>
      <c r="C363" s="280" t="n"/>
      <c r="D363" s="280" t="n"/>
      <c r="E363" s="280" t="n"/>
      <c r="F363" s="280" t="n"/>
      <c r="G363" s="280" t="n"/>
      <c r="H363" s="280" t="n"/>
      <c r="I363" s="332">
        <f>IFERROR(VLOOKUP(TEXT(H363,"0"),IPRESS!$A$3:$B$212,2,0),"")</f>
        <v/>
      </c>
      <c r="J363" s="280" t="n"/>
      <c r="K363" s="343" t="n"/>
      <c r="L363" s="280" t="n"/>
      <c r="M363" s="280" t="n"/>
      <c r="N363" s="345" t="n"/>
      <c r="O363" s="280" t="n"/>
      <c r="P363" s="332">
        <f>IFERROR(VLOOKUP(TEXT(O363,"0"),CONDUCTORES!$A$3:$G$54,2,0),"")</f>
        <v/>
      </c>
      <c r="Q363" s="332">
        <f>IFERROR(VLOOKUP(TEXT(O363,"0"),CONDUCTORES!$A$3:$H$54,6,0),"")</f>
        <v/>
      </c>
      <c r="R363" s="280" t="n"/>
      <c r="S363" s="280" t="n"/>
      <c r="T363" s="280" t="n"/>
      <c r="U363" s="280" t="n"/>
      <c r="V363" s="280" t="n"/>
      <c r="W363" s="280" t="n"/>
      <c r="X363" s="280" t="n"/>
      <c r="Y363" s="280" t="n"/>
      <c r="Z363" s="350" t="n"/>
      <c r="AA363" s="198" t="n"/>
      <c r="AB363" s="198" t="n"/>
      <c r="AC363" s="198" t="n"/>
    </row>
    <row r="364" ht="15" customHeight="1" s="195">
      <c r="A364" s="280" t="n"/>
      <c r="B364" s="280" t="n"/>
      <c r="C364" s="280" t="n"/>
      <c r="D364" s="280" t="n"/>
      <c r="E364" s="280" t="n"/>
      <c r="F364" s="280" t="n"/>
      <c r="G364" s="280" t="n"/>
      <c r="H364" s="280" t="n"/>
      <c r="I364" s="332">
        <f>IFERROR(VLOOKUP(TEXT(H364,"0"),IPRESS!$A$3:$B$212,2,0),"")</f>
        <v/>
      </c>
      <c r="J364" s="280" t="n"/>
      <c r="K364" s="343" t="n"/>
      <c r="L364" s="280" t="n"/>
      <c r="M364" s="280" t="n"/>
      <c r="N364" s="345" t="n"/>
      <c r="O364" s="280" t="n"/>
      <c r="P364" s="332">
        <f>IFERROR(VLOOKUP(TEXT(O364,"0"),CONDUCTORES!$A$3:$G$54,2,0),"")</f>
        <v/>
      </c>
      <c r="Q364" s="332">
        <f>IFERROR(VLOOKUP(TEXT(O364,"0"),CONDUCTORES!$A$3:$H$54,6,0),"")</f>
        <v/>
      </c>
      <c r="R364" s="280" t="n"/>
      <c r="S364" s="280" t="n"/>
      <c r="T364" s="280" t="n"/>
      <c r="U364" s="280" t="n"/>
      <c r="V364" s="280" t="n"/>
      <c r="W364" s="280" t="n"/>
      <c r="X364" s="280" t="n"/>
      <c r="Y364" s="280" t="n"/>
      <c r="Z364" s="350" t="n"/>
      <c r="AA364" s="198" t="n"/>
      <c r="AB364" s="198" t="n"/>
      <c r="AC364" s="198" t="n"/>
    </row>
    <row r="365" ht="15" customHeight="1" s="195">
      <c r="A365" s="280" t="n"/>
      <c r="B365" s="280" t="n"/>
      <c r="C365" s="280" t="n"/>
      <c r="D365" s="280" t="n"/>
      <c r="E365" s="280" t="n"/>
      <c r="F365" s="280" t="n"/>
      <c r="G365" s="280" t="n"/>
      <c r="H365" s="280" t="n"/>
      <c r="I365" s="332">
        <f>IFERROR(VLOOKUP(TEXT(H365,"0"),IPRESS!$A$3:$B$212,2,0),"")</f>
        <v/>
      </c>
      <c r="J365" s="280" t="n"/>
      <c r="K365" s="343" t="n"/>
      <c r="L365" s="280" t="n"/>
      <c r="M365" s="280" t="n"/>
      <c r="N365" s="345" t="n"/>
      <c r="O365" s="280" t="n"/>
      <c r="P365" s="332">
        <f>IFERROR(VLOOKUP(TEXT(O365,"0"),CONDUCTORES!$A$3:$G$54,2,0),"")</f>
        <v/>
      </c>
      <c r="Q365" s="332">
        <f>IFERROR(VLOOKUP(TEXT(O365,"0"),CONDUCTORES!$A$3:$H$54,6,0),"")</f>
        <v/>
      </c>
      <c r="R365" s="280" t="n"/>
      <c r="S365" s="280" t="n"/>
      <c r="T365" s="280" t="n"/>
      <c r="U365" s="280" t="n"/>
      <c r="V365" s="280" t="n"/>
      <c r="W365" s="280" t="n"/>
      <c r="X365" s="280" t="n"/>
      <c r="Y365" s="280" t="n"/>
      <c r="Z365" s="350" t="n"/>
      <c r="AA365" s="198" t="n"/>
      <c r="AB365" s="198" t="n"/>
      <c r="AC365" s="198" t="n"/>
    </row>
    <row r="366" ht="15" customHeight="1" s="195">
      <c r="A366" s="280" t="n"/>
      <c r="B366" s="280" t="n"/>
      <c r="C366" s="280" t="n"/>
      <c r="D366" s="280" t="n"/>
      <c r="E366" s="280" t="n"/>
      <c r="F366" s="280" t="n"/>
      <c r="G366" s="280" t="n"/>
      <c r="H366" s="280" t="n"/>
      <c r="I366" s="332">
        <f>IFERROR(VLOOKUP(TEXT(H366,"0"),IPRESS!$A$3:$B$212,2,0),"")</f>
        <v/>
      </c>
      <c r="J366" s="280" t="n"/>
      <c r="K366" s="343" t="n"/>
      <c r="L366" s="280" t="n"/>
      <c r="M366" s="280" t="n"/>
      <c r="N366" s="345" t="n"/>
      <c r="O366" s="280" t="n"/>
      <c r="P366" s="332">
        <f>IFERROR(VLOOKUP(TEXT(O366,"0"),CONDUCTORES!$A$3:$G$54,2,0),"")</f>
        <v/>
      </c>
      <c r="Q366" s="332">
        <f>IFERROR(VLOOKUP(TEXT(O366,"0"),CONDUCTORES!$A$3:$H$54,6,0),"")</f>
        <v/>
      </c>
      <c r="R366" s="280" t="n"/>
      <c r="S366" s="280" t="n"/>
      <c r="T366" s="280" t="n"/>
      <c r="U366" s="280" t="n"/>
      <c r="V366" s="280" t="n"/>
      <c r="W366" s="280" t="n"/>
      <c r="X366" s="280" t="n"/>
      <c r="Y366" s="280" t="n"/>
      <c r="Z366" s="350" t="n"/>
      <c r="AA366" s="198" t="n"/>
      <c r="AB366" s="198" t="n"/>
      <c r="AC366" s="198" t="n"/>
    </row>
    <row r="367" ht="15" customHeight="1" s="195">
      <c r="A367" s="280" t="n"/>
      <c r="B367" s="280" t="n"/>
      <c r="C367" s="280" t="n"/>
      <c r="D367" s="280" t="n"/>
      <c r="E367" s="280" t="n"/>
      <c r="F367" s="280" t="n"/>
      <c r="G367" s="280" t="n"/>
      <c r="H367" s="280" t="n"/>
      <c r="I367" s="332">
        <f>IFERROR(VLOOKUP(TEXT(H367,"0"),IPRESS!$A$3:$B$212,2,0),"")</f>
        <v/>
      </c>
      <c r="J367" s="280" t="n"/>
      <c r="K367" s="343" t="n"/>
      <c r="L367" s="280" t="n"/>
      <c r="M367" s="280" t="n"/>
      <c r="N367" s="345" t="n"/>
      <c r="O367" s="280" t="n"/>
      <c r="P367" s="332">
        <f>IFERROR(VLOOKUP(TEXT(O367,"0"),CONDUCTORES!$A$3:$G$54,2,0),"")</f>
        <v/>
      </c>
      <c r="Q367" s="332">
        <f>IFERROR(VLOOKUP(TEXT(O367,"0"),CONDUCTORES!$A$3:$H$54,6,0),"")</f>
        <v/>
      </c>
      <c r="R367" s="280" t="n"/>
      <c r="S367" s="280" t="n"/>
      <c r="T367" s="280" t="n"/>
      <c r="U367" s="280" t="n"/>
      <c r="V367" s="280" t="n"/>
      <c r="W367" s="280" t="n"/>
      <c r="X367" s="280" t="n"/>
      <c r="Y367" s="280" t="n"/>
      <c r="Z367" s="350" t="n"/>
      <c r="AA367" s="198" t="n"/>
      <c r="AB367" s="198" t="n"/>
      <c r="AC367" s="198" t="n"/>
    </row>
    <row r="368" ht="15" customHeight="1" s="195">
      <c r="A368" s="280" t="n"/>
      <c r="B368" s="280" t="n"/>
      <c r="C368" s="280" t="n"/>
      <c r="D368" s="280" t="n"/>
      <c r="E368" s="280" t="n"/>
      <c r="F368" s="280" t="n"/>
      <c r="G368" s="280" t="n"/>
      <c r="H368" s="280" t="n"/>
      <c r="I368" s="332">
        <f>IFERROR(VLOOKUP(TEXT(H368,"0"),IPRESS!$A$3:$B$212,2,0),"")</f>
        <v/>
      </c>
      <c r="J368" s="280" t="n"/>
      <c r="K368" s="343" t="n"/>
      <c r="L368" s="280" t="n"/>
      <c r="M368" s="280" t="n"/>
      <c r="N368" s="345" t="n"/>
      <c r="O368" s="280" t="n"/>
      <c r="P368" s="332">
        <f>IFERROR(VLOOKUP(TEXT(O368,"0"),CONDUCTORES!$A$3:$G$54,2,0),"")</f>
        <v/>
      </c>
      <c r="Q368" s="332">
        <f>IFERROR(VLOOKUP(TEXT(O368,"0"),CONDUCTORES!$A$3:$H$54,6,0),"")</f>
        <v/>
      </c>
      <c r="R368" s="280" t="n"/>
      <c r="S368" s="280" t="n"/>
      <c r="T368" s="280" t="n"/>
      <c r="U368" s="280" t="n"/>
      <c r="V368" s="280" t="n"/>
      <c r="W368" s="280" t="n"/>
      <c r="X368" s="280" t="n"/>
      <c r="Y368" s="280" t="n"/>
      <c r="Z368" s="350" t="n"/>
      <c r="AA368" s="198" t="n"/>
      <c r="AB368" s="198" t="n"/>
      <c r="AC368" s="198" t="n"/>
    </row>
    <row r="369" ht="15" customHeight="1" s="195">
      <c r="A369" s="280" t="n"/>
      <c r="B369" s="280" t="n"/>
      <c r="C369" s="280" t="n"/>
      <c r="D369" s="280" t="n"/>
      <c r="E369" s="280" t="n"/>
      <c r="F369" s="280" t="n"/>
      <c r="G369" s="280" t="n"/>
      <c r="H369" s="280" t="n"/>
      <c r="I369" s="332">
        <f>IFERROR(VLOOKUP(TEXT(H369,"0"),IPRESS!$A$3:$B$212,2,0),"")</f>
        <v/>
      </c>
      <c r="J369" s="280" t="n"/>
      <c r="K369" s="343" t="n"/>
      <c r="L369" s="280" t="n"/>
      <c r="M369" s="280" t="n"/>
      <c r="N369" s="345" t="n"/>
      <c r="O369" s="280" t="n"/>
      <c r="P369" s="332">
        <f>IFERROR(VLOOKUP(TEXT(O369,"0"),CONDUCTORES!$A$3:$G$54,2,0),"")</f>
        <v/>
      </c>
      <c r="Q369" s="332">
        <f>IFERROR(VLOOKUP(TEXT(O369,"0"),CONDUCTORES!$A$3:$H$54,6,0),"")</f>
        <v/>
      </c>
      <c r="R369" s="280" t="n"/>
      <c r="S369" s="280" t="n"/>
      <c r="T369" s="280" t="n"/>
      <c r="U369" s="280" t="n"/>
      <c r="V369" s="280" t="n"/>
      <c r="W369" s="280" t="n"/>
      <c r="X369" s="280" t="n"/>
      <c r="Y369" s="280" t="n"/>
      <c r="Z369" s="350" t="n"/>
      <c r="AA369" s="198" t="n"/>
      <c r="AB369" s="198" t="n"/>
      <c r="AC369" s="198" t="n"/>
    </row>
    <row r="370" ht="15" customHeight="1" s="195">
      <c r="A370" s="280" t="n"/>
      <c r="B370" s="280" t="n"/>
      <c r="C370" s="280" t="n"/>
      <c r="D370" s="280" t="n"/>
      <c r="E370" s="280" t="n"/>
      <c r="F370" s="280" t="n"/>
      <c r="G370" s="280" t="n"/>
      <c r="H370" s="280" t="n"/>
      <c r="I370" s="332">
        <f>IFERROR(VLOOKUP(TEXT(H370,"0"),IPRESS!$A$3:$B$212,2,0),"")</f>
        <v/>
      </c>
      <c r="J370" s="280" t="n"/>
      <c r="K370" s="343" t="n"/>
      <c r="L370" s="280" t="n"/>
      <c r="M370" s="280" t="n"/>
      <c r="N370" s="345" t="n"/>
      <c r="O370" s="280" t="n"/>
      <c r="P370" s="332">
        <f>IFERROR(VLOOKUP(TEXT(O370,"0"),CONDUCTORES!$A$3:$G$54,2,0),"")</f>
        <v/>
      </c>
      <c r="Q370" s="332">
        <f>IFERROR(VLOOKUP(TEXT(O370,"0"),CONDUCTORES!$A$3:$H$54,6,0),"")</f>
        <v/>
      </c>
      <c r="R370" s="280" t="n"/>
      <c r="S370" s="280" t="n"/>
      <c r="T370" s="280" t="n"/>
      <c r="U370" s="280" t="n"/>
      <c r="V370" s="280" t="n"/>
      <c r="W370" s="280" t="n"/>
      <c r="X370" s="280" t="n"/>
      <c r="Y370" s="280" t="n"/>
      <c r="Z370" s="350" t="n"/>
      <c r="AA370" s="198" t="n"/>
      <c r="AB370" s="198" t="n"/>
      <c r="AC370" s="198" t="n"/>
    </row>
    <row r="371" ht="15" customHeight="1" s="195">
      <c r="A371" s="280" t="n"/>
      <c r="B371" s="280" t="n"/>
      <c r="C371" s="280" t="n"/>
      <c r="D371" s="280" t="n"/>
      <c r="E371" s="280" t="n"/>
      <c r="F371" s="280" t="n"/>
      <c r="G371" s="280" t="n"/>
      <c r="H371" s="280" t="n"/>
      <c r="I371" s="332">
        <f>IFERROR(VLOOKUP(TEXT(H371,"0"),IPRESS!$A$3:$B$212,2,0),"")</f>
        <v/>
      </c>
      <c r="J371" s="280" t="n"/>
      <c r="K371" s="343" t="n"/>
      <c r="L371" s="280" t="n"/>
      <c r="M371" s="280" t="n"/>
      <c r="N371" s="345" t="n"/>
      <c r="O371" s="280" t="n"/>
      <c r="P371" s="332">
        <f>IFERROR(VLOOKUP(TEXT(O371,"0"),CONDUCTORES!$A$3:$G$54,2,0),"")</f>
        <v/>
      </c>
      <c r="Q371" s="332">
        <f>IFERROR(VLOOKUP(TEXT(O371,"0"),CONDUCTORES!$A$3:$H$54,6,0),"")</f>
        <v/>
      </c>
      <c r="R371" s="280" t="n"/>
      <c r="S371" s="280" t="n"/>
      <c r="T371" s="280" t="n"/>
      <c r="U371" s="280" t="n"/>
      <c r="V371" s="280" t="n"/>
      <c r="W371" s="280" t="n"/>
      <c r="X371" s="280" t="n"/>
      <c r="Y371" s="280" t="n"/>
      <c r="Z371" s="350" t="n"/>
      <c r="AA371" s="198" t="n"/>
      <c r="AB371" s="198" t="n"/>
      <c r="AC371" s="198" t="n"/>
    </row>
    <row r="372" ht="15" customHeight="1" s="195">
      <c r="A372" s="280" t="n"/>
      <c r="B372" s="280" t="n"/>
      <c r="C372" s="280" t="n"/>
      <c r="D372" s="280" t="n"/>
      <c r="E372" s="280" t="n"/>
      <c r="F372" s="280" t="n"/>
      <c r="G372" s="280" t="n"/>
      <c r="H372" s="280" t="n"/>
      <c r="I372" s="332">
        <f>IFERROR(VLOOKUP(TEXT(H372,"0"),IPRESS!$A$3:$B$212,2,0),"")</f>
        <v/>
      </c>
      <c r="J372" s="280" t="n"/>
      <c r="K372" s="343" t="n"/>
      <c r="L372" s="280" t="n"/>
      <c r="M372" s="280" t="n"/>
      <c r="N372" s="345" t="n"/>
      <c r="O372" s="280" t="n"/>
      <c r="P372" s="332">
        <f>IFERROR(VLOOKUP(TEXT(O372,"0"),CONDUCTORES!$A$3:$G$54,2,0),"")</f>
        <v/>
      </c>
      <c r="Q372" s="332">
        <f>IFERROR(VLOOKUP(TEXT(O372,"0"),CONDUCTORES!$A$3:$H$54,6,0),"")</f>
        <v/>
      </c>
      <c r="R372" s="280" t="n"/>
      <c r="S372" s="280" t="n"/>
      <c r="T372" s="280" t="n"/>
      <c r="U372" s="280" t="n"/>
      <c r="V372" s="280" t="n"/>
      <c r="W372" s="280" t="n"/>
      <c r="X372" s="280" t="n"/>
      <c r="Y372" s="280" t="n"/>
      <c r="Z372" s="350" t="n"/>
      <c r="AA372" s="198" t="n"/>
      <c r="AB372" s="198" t="n"/>
      <c r="AC372" s="198" t="n"/>
    </row>
    <row r="373" ht="15" customHeight="1" s="195">
      <c r="A373" s="280" t="n"/>
      <c r="B373" s="280" t="n"/>
      <c r="C373" s="280" t="n"/>
      <c r="D373" s="280" t="n"/>
      <c r="E373" s="280" t="n"/>
      <c r="F373" s="280" t="n"/>
      <c r="G373" s="280" t="n"/>
      <c r="H373" s="280" t="n"/>
      <c r="I373" s="332">
        <f>IFERROR(VLOOKUP(TEXT(H373,"0"),IPRESS!$A$3:$B$212,2,0),"")</f>
        <v/>
      </c>
      <c r="J373" s="280" t="n"/>
      <c r="K373" s="343" t="n"/>
      <c r="L373" s="280" t="n"/>
      <c r="M373" s="280" t="n"/>
      <c r="N373" s="345" t="n"/>
      <c r="O373" s="280" t="n"/>
      <c r="P373" s="332">
        <f>IFERROR(VLOOKUP(TEXT(O373,"0"),CONDUCTORES!$A$3:$G$54,2,0),"")</f>
        <v/>
      </c>
      <c r="Q373" s="332">
        <f>IFERROR(VLOOKUP(TEXT(O373,"0"),CONDUCTORES!$A$3:$H$54,6,0),"")</f>
        <v/>
      </c>
      <c r="R373" s="280" t="n"/>
      <c r="S373" s="280" t="n"/>
      <c r="T373" s="280" t="n"/>
      <c r="U373" s="280" t="n"/>
      <c r="V373" s="280" t="n"/>
      <c r="W373" s="280" t="n"/>
      <c r="X373" s="280" t="n"/>
      <c r="Y373" s="280" t="n"/>
      <c r="Z373" s="350" t="n"/>
      <c r="AA373" s="198" t="n"/>
      <c r="AB373" s="198" t="n"/>
      <c r="AC373" s="198" t="n"/>
    </row>
    <row r="374" ht="15" customHeight="1" s="195">
      <c r="A374" s="280" t="n"/>
      <c r="B374" s="280" t="n"/>
      <c r="C374" s="280" t="n"/>
      <c r="D374" s="280" t="n"/>
      <c r="E374" s="280" t="n"/>
      <c r="F374" s="280" t="n"/>
      <c r="G374" s="280" t="n"/>
      <c r="H374" s="280" t="n"/>
      <c r="I374" s="332">
        <f>IFERROR(VLOOKUP(TEXT(H374,"0"),IPRESS!$A$3:$B$212,2,0),"")</f>
        <v/>
      </c>
      <c r="J374" s="280" t="n"/>
      <c r="K374" s="343" t="n"/>
      <c r="L374" s="280" t="n"/>
      <c r="M374" s="280" t="n"/>
      <c r="N374" s="345" t="n"/>
      <c r="O374" s="280" t="n"/>
      <c r="P374" s="332">
        <f>IFERROR(VLOOKUP(TEXT(O374,"0"),CONDUCTORES!$A$3:$G$54,2,0),"")</f>
        <v/>
      </c>
      <c r="Q374" s="332">
        <f>IFERROR(VLOOKUP(TEXT(O374,"0"),CONDUCTORES!$A$3:$H$54,6,0),"")</f>
        <v/>
      </c>
      <c r="R374" s="280" t="n"/>
      <c r="S374" s="280" t="n"/>
      <c r="T374" s="280" t="n"/>
      <c r="U374" s="280" t="n"/>
      <c r="V374" s="280" t="n"/>
      <c r="W374" s="280" t="n"/>
      <c r="X374" s="280" t="n"/>
      <c r="Y374" s="280" t="n"/>
      <c r="Z374" s="350" t="n"/>
      <c r="AA374" s="198" t="n"/>
      <c r="AB374" s="198" t="n"/>
      <c r="AC374" s="198" t="n"/>
    </row>
    <row r="375" ht="15" customHeight="1" s="195">
      <c r="A375" s="280" t="n"/>
      <c r="B375" s="280" t="n"/>
      <c r="C375" s="280" t="n"/>
      <c r="D375" s="280" t="n"/>
      <c r="E375" s="280" t="n"/>
      <c r="F375" s="280" t="n"/>
      <c r="G375" s="280" t="n"/>
      <c r="H375" s="280" t="n"/>
      <c r="I375" s="332">
        <f>IFERROR(VLOOKUP(TEXT(H375,"0"),IPRESS!$A$3:$B$212,2,0),"")</f>
        <v/>
      </c>
      <c r="J375" s="280" t="n"/>
      <c r="K375" s="343" t="n"/>
      <c r="L375" s="280" t="n"/>
      <c r="M375" s="280" t="n"/>
      <c r="N375" s="345" t="n"/>
      <c r="O375" s="280" t="n"/>
      <c r="P375" s="332">
        <f>IFERROR(VLOOKUP(TEXT(O375,"0"),CONDUCTORES!$A$3:$G$54,2,0),"")</f>
        <v/>
      </c>
      <c r="Q375" s="332">
        <f>IFERROR(VLOOKUP(TEXT(O375,"0"),CONDUCTORES!$A$3:$H$54,6,0),"")</f>
        <v/>
      </c>
      <c r="R375" s="280" t="n"/>
      <c r="S375" s="280" t="n"/>
      <c r="T375" s="280" t="n"/>
      <c r="U375" s="280" t="n"/>
      <c r="V375" s="280" t="n"/>
      <c r="W375" s="280" t="n"/>
      <c r="X375" s="280" t="n"/>
      <c r="Y375" s="280" t="n"/>
      <c r="Z375" s="350" t="n"/>
      <c r="AA375" s="198" t="n"/>
      <c r="AB375" s="198" t="n"/>
      <c r="AC375" s="198" t="n"/>
    </row>
    <row r="376" ht="15" customHeight="1" s="195">
      <c r="A376" s="280" t="n"/>
      <c r="B376" s="280" t="n"/>
      <c r="C376" s="280" t="n"/>
      <c r="D376" s="280" t="n"/>
      <c r="E376" s="280" t="n"/>
      <c r="F376" s="280" t="n"/>
      <c r="G376" s="280" t="n"/>
      <c r="H376" s="280" t="n"/>
      <c r="I376" s="332">
        <f>IFERROR(VLOOKUP(TEXT(H376,"0"),IPRESS!$A$3:$B$212,2,0),"")</f>
        <v/>
      </c>
      <c r="J376" s="280" t="n"/>
      <c r="K376" s="343" t="n"/>
      <c r="L376" s="280" t="n"/>
      <c r="M376" s="280" t="n"/>
      <c r="N376" s="345" t="n"/>
      <c r="O376" s="280" t="n"/>
      <c r="P376" s="332">
        <f>IFERROR(VLOOKUP(TEXT(O376,"0"),CONDUCTORES!$A$3:$G$54,2,0),"")</f>
        <v/>
      </c>
      <c r="Q376" s="332">
        <f>IFERROR(VLOOKUP(TEXT(O376,"0"),CONDUCTORES!$A$3:$H$54,6,0),"")</f>
        <v/>
      </c>
      <c r="R376" s="280" t="n"/>
      <c r="S376" s="280" t="n"/>
      <c r="T376" s="280" t="n"/>
      <c r="U376" s="280" t="n"/>
      <c r="V376" s="280" t="n"/>
      <c r="W376" s="280" t="n"/>
      <c r="X376" s="280" t="n"/>
      <c r="Y376" s="280" t="n"/>
      <c r="Z376" s="350" t="n"/>
      <c r="AA376" s="198" t="n"/>
      <c r="AB376" s="198" t="n"/>
      <c r="AC376" s="198" t="n"/>
    </row>
    <row r="377" ht="15" customHeight="1" s="195">
      <c r="A377" s="280" t="n"/>
      <c r="B377" s="280" t="n"/>
      <c r="C377" s="280" t="n"/>
      <c r="D377" s="280" t="n"/>
      <c r="E377" s="280" t="n"/>
      <c r="F377" s="280" t="n"/>
      <c r="G377" s="280" t="n"/>
      <c r="H377" s="280" t="n"/>
      <c r="I377" s="332">
        <f>IFERROR(VLOOKUP(TEXT(H377,"0"),IPRESS!$A$3:$B$212,2,0),"")</f>
        <v/>
      </c>
      <c r="J377" s="280" t="n"/>
      <c r="K377" s="343" t="n"/>
      <c r="L377" s="280" t="n"/>
      <c r="M377" s="280" t="n"/>
      <c r="N377" s="345" t="n"/>
      <c r="O377" s="280" t="n"/>
      <c r="P377" s="332">
        <f>IFERROR(VLOOKUP(TEXT(O377,"0"),CONDUCTORES!$A$3:$G$54,2,0),"")</f>
        <v/>
      </c>
      <c r="Q377" s="332">
        <f>IFERROR(VLOOKUP(TEXT(O377,"0"),CONDUCTORES!$A$3:$H$54,6,0),"")</f>
        <v/>
      </c>
      <c r="R377" s="280" t="n"/>
      <c r="S377" s="280" t="n"/>
      <c r="T377" s="280" t="n"/>
      <c r="U377" s="280" t="n"/>
      <c r="V377" s="280" t="n"/>
      <c r="W377" s="280" t="n"/>
      <c r="X377" s="280" t="n"/>
      <c r="Y377" s="280" t="n"/>
      <c r="Z377" s="350" t="n"/>
      <c r="AA377" s="198" t="n"/>
      <c r="AB377" s="198" t="n"/>
      <c r="AC377" s="198" t="n"/>
    </row>
    <row r="378" ht="15" customHeight="1" s="195">
      <c r="A378" s="280" t="n"/>
      <c r="B378" s="280" t="n"/>
      <c r="C378" s="280" t="n"/>
      <c r="D378" s="280" t="n"/>
      <c r="E378" s="280" t="n"/>
      <c r="F378" s="280" t="n"/>
      <c r="G378" s="280" t="n"/>
      <c r="H378" s="280" t="n"/>
      <c r="I378" s="332">
        <f>IFERROR(VLOOKUP(TEXT(H378,"0"),IPRESS!$A$3:$B$212,2,0),"")</f>
        <v/>
      </c>
      <c r="J378" s="280" t="n"/>
      <c r="K378" s="343" t="n"/>
      <c r="L378" s="280" t="n"/>
      <c r="M378" s="280" t="n"/>
      <c r="N378" s="345" t="n"/>
      <c r="O378" s="280" t="n"/>
      <c r="P378" s="332">
        <f>IFERROR(VLOOKUP(TEXT(O378,"0"),CONDUCTORES!$A$3:$G$54,2,0),"")</f>
        <v/>
      </c>
      <c r="Q378" s="332">
        <f>IFERROR(VLOOKUP(TEXT(O378,"0"),CONDUCTORES!$A$3:$H$54,6,0),"")</f>
        <v/>
      </c>
      <c r="R378" s="280" t="n"/>
      <c r="S378" s="280" t="n"/>
      <c r="T378" s="280" t="n"/>
      <c r="U378" s="280" t="n"/>
      <c r="V378" s="280" t="n"/>
      <c r="W378" s="280" t="n"/>
      <c r="X378" s="280" t="n"/>
      <c r="Y378" s="280" t="n"/>
      <c r="Z378" s="350" t="n"/>
      <c r="AA378" s="198" t="n"/>
      <c r="AB378" s="198" t="n"/>
      <c r="AC378" s="198" t="n"/>
    </row>
    <row r="379" ht="15" customHeight="1" s="195">
      <c r="A379" s="280" t="n"/>
      <c r="B379" s="280" t="n"/>
      <c r="C379" s="280" t="n"/>
      <c r="D379" s="280" t="n"/>
      <c r="E379" s="280" t="n"/>
      <c r="F379" s="280" t="n"/>
      <c r="G379" s="280" t="n"/>
      <c r="H379" s="280" t="n"/>
      <c r="I379" s="332">
        <f>IFERROR(VLOOKUP(TEXT(H379,"0"),IPRESS!$A$3:$B$212,2,0),"")</f>
        <v/>
      </c>
      <c r="J379" s="280" t="n"/>
      <c r="K379" s="343" t="n"/>
      <c r="L379" s="280" t="n"/>
      <c r="M379" s="280" t="n"/>
      <c r="N379" s="345" t="n"/>
      <c r="O379" s="280" t="n"/>
      <c r="P379" s="332">
        <f>IFERROR(VLOOKUP(TEXT(O379,"0"),CONDUCTORES!$A$3:$G$54,2,0),"")</f>
        <v/>
      </c>
      <c r="Q379" s="332">
        <f>IFERROR(VLOOKUP(TEXT(O379,"0"),CONDUCTORES!$A$3:$H$54,6,0),"")</f>
        <v/>
      </c>
      <c r="R379" s="280" t="n"/>
      <c r="S379" s="280" t="n"/>
      <c r="T379" s="280" t="n"/>
      <c r="U379" s="280" t="n"/>
      <c r="V379" s="280" t="n"/>
      <c r="W379" s="280" t="n"/>
      <c r="X379" s="280" t="n"/>
      <c r="Y379" s="280" t="n"/>
      <c r="Z379" s="350" t="n"/>
      <c r="AA379" s="198" t="n"/>
      <c r="AB379" s="198" t="n"/>
      <c r="AC379" s="198" t="n"/>
    </row>
    <row r="380" ht="15" customHeight="1" s="195">
      <c r="A380" s="280" t="n"/>
      <c r="B380" s="280" t="n"/>
      <c r="C380" s="280" t="n"/>
      <c r="D380" s="280" t="n"/>
      <c r="E380" s="280" t="n"/>
      <c r="F380" s="280" t="n"/>
      <c r="G380" s="280" t="n"/>
      <c r="H380" s="280" t="n"/>
      <c r="I380" s="332">
        <f>IFERROR(VLOOKUP(TEXT(H380,"0"),IPRESS!$A$3:$B$212,2,0),"")</f>
        <v/>
      </c>
      <c r="J380" s="280" t="n"/>
      <c r="K380" s="343" t="n"/>
      <c r="L380" s="280" t="n"/>
      <c r="M380" s="280" t="n"/>
      <c r="N380" s="345" t="n"/>
      <c r="O380" s="280" t="n"/>
      <c r="P380" s="332">
        <f>IFERROR(VLOOKUP(TEXT(O380,"0"),CONDUCTORES!$A$3:$G$54,2,0),"")</f>
        <v/>
      </c>
      <c r="Q380" s="332">
        <f>IFERROR(VLOOKUP(TEXT(O380,"0"),CONDUCTORES!$A$3:$H$54,6,0),"")</f>
        <v/>
      </c>
      <c r="R380" s="280" t="n"/>
      <c r="S380" s="280" t="n"/>
      <c r="T380" s="280" t="n"/>
      <c r="U380" s="280" t="n"/>
      <c r="V380" s="280" t="n"/>
      <c r="W380" s="280" t="n"/>
      <c r="X380" s="280" t="n"/>
      <c r="Y380" s="280" t="n"/>
      <c r="Z380" s="350" t="n"/>
      <c r="AA380" s="198" t="n"/>
      <c r="AB380" s="198" t="n"/>
      <c r="AC380" s="198" t="n"/>
    </row>
    <row r="381" ht="15" customHeight="1" s="195">
      <c r="A381" s="280" t="n"/>
      <c r="B381" s="280" t="n"/>
      <c r="C381" s="280" t="n"/>
      <c r="D381" s="280" t="n"/>
      <c r="E381" s="280" t="n"/>
      <c r="F381" s="280" t="n"/>
      <c r="G381" s="280" t="n"/>
      <c r="H381" s="280" t="n"/>
      <c r="I381" s="332">
        <f>IFERROR(VLOOKUP(TEXT(H381,"0"),IPRESS!$A$3:$B$212,2,0),"")</f>
        <v/>
      </c>
      <c r="J381" s="280" t="n"/>
      <c r="K381" s="343" t="n"/>
      <c r="L381" s="280" t="n"/>
      <c r="M381" s="280" t="n"/>
      <c r="N381" s="345" t="n"/>
      <c r="O381" s="280" t="n"/>
      <c r="P381" s="332">
        <f>IFERROR(VLOOKUP(TEXT(O381,"0"),CONDUCTORES!$A$3:$G$54,2,0),"")</f>
        <v/>
      </c>
      <c r="Q381" s="332">
        <f>IFERROR(VLOOKUP(TEXT(O381,"0"),CONDUCTORES!$A$3:$H$54,6,0),"")</f>
        <v/>
      </c>
      <c r="R381" s="280" t="n"/>
      <c r="S381" s="280" t="n"/>
      <c r="T381" s="280" t="n"/>
      <c r="U381" s="280" t="n"/>
      <c r="V381" s="280" t="n"/>
      <c r="W381" s="280" t="n"/>
      <c r="X381" s="280" t="n"/>
      <c r="Y381" s="280" t="n"/>
      <c r="Z381" s="350" t="n"/>
      <c r="AA381" s="198" t="n"/>
      <c r="AB381" s="198" t="n"/>
      <c r="AC381" s="198" t="n"/>
    </row>
    <row r="382" ht="15" customHeight="1" s="195">
      <c r="A382" s="280" t="n"/>
      <c r="B382" s="280" t="n"/>
      <c r="C382" s="280" t="n"/>
      <c r="D382" s="280" t="n"/>
      <c r="E382" s="280" t="n"/>
      <c r="F382" s="280" t="n"/>
      <c r="G382" s="280" t="n"/>
      <c r="H382" s="280" t="n"/>
      <c r="I382" s="332">
        <f>IFERROR(VLOOKUP(TEXT(H382,"0"),IPRESS!$A$3:$B$212,2,0),"")</f>
        <v/>
      </c>
      <c r="J382" s="280" t="n"/>
      <c r="K382" s="343" t="n"/>
      <c r="L382" s="280" t="n"/>
      <c r="M382" s="280" t="n"/>
      <c r="N382" s="345" t="n"/>
      <c r="O382" s="280" t="n"/>
      <c r="P382" s="332">
        <f>IFERROR(VLOOKUP(TEXT(O382,"0"),CONDUCTORES!$A$3:$G$54,2,0),"")</f>
        <v/>
      </c>
      <c r="Q382" s="332">
        <f>IFERROR(VLOOKUP(TEXT(O382,"0"),CONDUCTORES!$A$3:$H$54,6,0),"")</f>
        <v/>
      </c>
      <c r="R382" s="280" t="n"/>
      <c r="S382" s="280" t="n"/>
      <c r="T382" s="280" t="n"/>
      <c r="U382" s="280" t="n"/>
      <c r="V382" s="280" t="n"/>
      <c r="W382" s="280" t="n"/>
      <c r="X382" s="280" t="n"/>
      <c r="Y382" s="280" t="n"/>
      <c r="Z382" s="350" t="n"/>
      <c r="AA382" s="198" t="n"/>
      <c r="AB382" s="198" t="n"/>
      <c r="AC382" s="198" t="n"/>
    </row>
    <row r="383" ht="15" customHeight="1" s="195">
      <c r="A383" s="280" t="n"/>
      <c r="B383" s="280" t="n"/>
      <c r="C383" s="280" t="n"/>
      <c r="D383" s="280" t="n"/>
      <c r="E383" s="280" t="n"/>
      <c r="F383" s="280" t="n"/>
      <c r="G383" s="280" t="n"/>
      <c r="H383" s="280" t="n"/>
      <c r="I383" s="332">
        <f>IFERROR(VLOOKUP(TEXT(H383,"0"),IPRESS!$A$3:$B$212,2,0),"")</f>
        <v/>
      </c>
      <c r="J383" s="280" t="n"/>
      <c r="K383" s="343" t="n"/>
      <c r="L383" s="280" t="n"/>
      <c r="M383" s="280" t="n"/>
      <c r="N383" s="345" t="n"/>
      <c r="O383" s="280" t="n"/>
      <c r="P383" s="332">
        <f>IFERROR(VLOOKUP(TEXT(O383,"0"),CONDUCTORES!$A$3:$G$54,2,0),"")</f>
        <v/>
      </c>
      <c r="Q383" s="332">
        <f>IFERROR(VLOOKUP(TEXT(O383,"0"),CONDUCTORES!$A$3:$H$54,6,0),"")</f>
        <v/>
      </c>
      <c r="R383" s="280" t="n"/>
      <c r="S383" s="280" t="n"/>
      <c r="T383" s="280" t="n"/>
      <c r="U383" s="280" t="n"/>
      <c r="V383" s="280" t="n"/>
      <c r="W383" s="280" t="n"/>
      <c r="X383" s="280" t="n"/>
      <c r="Y383" s="280" t="n"/>
      <c r="Z383" s="350" t="n"/>
      <c r="AA383" s="198" t="n"/>
      <c r="AB383" s="198" t="n"/>
      <c r="AC383" s="198" t="n"/>
    </row>
    <row r="384" ht="15" customHeight="1" s="195">
      <c r="A384" s="280" t="n"/>
      <c r="B384" s="280" t="n"/>
      <c r="C384" s="280" t="n"/>
      <c r="D384" s="280" t="n"/>
      <c r="E384" s="280" t="n"/>
      <c r="F384" s="280" t="n"/>
      <c r="G384" s="280" t="n"/>
      <c r="H384" s="280" t="n"/>
      <c r="I384" s="332">
        <f>IFERROR(VLOOKUP(TEXT(H384,"0"),IPRESS!$A$3:$B$212,2,0),"")</f>
        <v/>
      </c>
      <c r="J384" s="280" t="n"/>
      <c r="K384" s="343" t="n"/>
      <c r="L384" s="280" t="n"/>
      <c r="M384" s="280" t="n"/>
      <c r="N384" s="345" t="n"/>
      <c r="O384" s="280" t="n"/>
      <c r="P384" s="332">
        <f>IFERROR(VLOOKUP(TEXT(O384,"0"),CONDUCTORES!$A$3:$G$54,2,0),"")</f>
        <v/>
      </c>
      <c r="Q384" s="332">
        <f>IFERROR(VLOOKUP(TEXT(O384,"0"),CONDUCTORES!$A$3:$H$54,6,0),"")</f>
        <v/>
      </c>
      <c r="R384" s="280" t="n"/>
      <c r="S384" s="280" t="n"/>
      <c r="T384" s="280" t="n"/>
      <c r="U384" s="280" t="n"/>
      <c r="V384" s="280" t="n"/>
      <c r="W384" s="280" t="n"/>
      <c r="X384" s="280" t="n"/>
      <c r="Y384" s="280" t="n"/>
      <c r="Z384" s="350" t="n"/>
      <c r="AA384" s="198" t="n"/>
      <c r="AB384" s="198" t="n"/>
      <c r="AC384" s="198" t="n"/>
    </row>
    <row r="385" ht="15" customHeight="1" s="195">
      <c r="A385" s="280" t="n"/>
      <c r="B385" s="280" t="n"/>
      <c r="C385" s="280" t="n"/>
      <c r="D385" s="280" t="n"/>
      <c r="E385" s="280" t="n"/>
      <c r="F385" s="280" t="n"/>
      <c r="G385" s="280" t="n"/>
      <c r="H385" s="280" t="n"/>
      <c r="I385" s="332">
        <f>IFERROR(VLOOKUP(TEXT(H385,"0"),IPRESS!$A$3:$B$212,2,0),"")</f>
        <v/>
      </c>
      <c r="J385" s="280" t="n"/>
      <c r="K385" s="343" t="n"/>
      <c r="L385" s="280" t="n"/>
      <c r="M385" s="280" t="n"/>
      <c r="N385" s="345" t="n"/>
      <c r="O385" s="280" t="n"/>
      <c r="P385" s="332">
        <f>IFERROR(VLOOKUP(TEXT(O385,"0"),CONDUCTORES!$A$3:$G$54,2,0),"")</f>
        <v/>
      </c>
      <c r="Q385" s="332">
        <f>IFERROR(VLOOKUP(TEXT(O385,"0"),CONDUCTORES!$A$3:$H$54,6,0),"")</f>
        <v/>
      </c>
      <c r="R385" s="280" t="n"/>
      <c r="S385" s="280" t="n"/>
      <c r="T385" s="280" t="n"/>
      <c r="U385" s="280" t="n"/>
      <c r="V385" s="280" t="n"/>
      <c r="W385" s="280" t="n"/>
      <c r="X385" s="280" t="n"/>
      <c r="Y385" s="280" t="n"/>
      <c r="Z385" s="350" t="n"/>
      <c r="AA385" s="198" t="n"/>
      <c r="AB385" s="198" t="n"/>
      <c r="AC385" s="198" t="n"/>
    </row>
    <row r="386" ht="15" customHeight="1" s="195">
      <c r="A386" s="280" t="n"/>
      <c r="B386" s="280" t="n"/>
      <c r="C386" s="280" t="n"/>
      <c r="D386" s="280" t="n"/>
      <c r="E386" s="280" t="n"/>
      <c r="F386" s="280" t="n"/>
      <c r="G386" s="280" t="n"/>
      <c r="H386" s="280" t="n"/>
      <c r="I386" s="332">
        <f>IFERROR(VLOOKUP(TEXT(H386,"0"),IPRESS!$A$3:$B$212,2,0),"")</f>
        <v/>
      </c>
      <c r="J386" s="280" t="n"/>
      <c r="K386" s="343" t="n"/>
      <c r="L386" s="280" t="n"/>
      <c r="M386" s="280" t="n"/>
      <c r="N386" s="345" t="n"/>
      <c r="O386" s="280" t="n"/>
      <c r="P386" s="332">
        <f>IFERROR(VLOOKUP(TEXT(O386,"0"),CONDUCTORES!$A$3:$G$54,2,0),"")</f>
        <v/>
      </c>
      <c r="Q386" s="332">
        <f>IFERROR(VLOOKUP(TEXT(O386,"0"),CONDUCTORES!$A$3:$H$54,6,0),"")</f>
        <v/>
      </c>
      <c r="R386" s="280" t="n"/>
      <c r="S386" s="280" t="n"/>
      <c r="T386" s="280" t="n"/>
      <c r="U386" s="280" t="n"/>
      <c r="V386" s="280" t="n"/>
      <c r="W386" s="280" t="n"/>
      <c r="X386" s="280" t="n"/>
      <c r="Y386" s="280" t="n"/>
      <c r="Z386" s="350" t="n"/>
      <c r="AA386" s="198" t="n"/>
      <c r="AB386" s="198" t="n"/>
      <c r="AC386" s="198" t="n"/>
    </row>
    <row r="387" ht="15" customHeight="1" s="195">
      <c r="A387" s="280" t="n"/>
      <c r="B387" s="280" t="n"/>
      <c r="C387" s="280" t="n"/>
      <c r="D387" s="280" t="n"/>
      <c r="E387" s="280" t="n"/>
      <c r="F387" s="280" t="n"/>
      <c r="G387" s="280" t="n"/>
      <c r="H387" s="280" t="n"/>
      <c r="I387" s="332">
        <f>IFERROR(VLOOKUP(TEXT(H387,"0"),IPRESS!$A$3:$B$212,2,0),"")</f>
        <v/>
      </c>
      <c r="J387" s="280" t="n"/>
      <c r="K387" s="343" t="n"/>
      <c r="L387" s="280" t="n"/>
      <c r="M387" s="280" t="n"/>
      <c r="N387" s="345" t="n"/>
      <c r="O387" s="280" t="n"/>
      <c r="P387" s="332">
        <f>IFERROR(VLOOKUP(TEXT(O387,"0"),CONDUCTORES!$A$3:$G$54,2,0),"")</f>
        <v/>
      </c>
      <c r="Q387" s="332">
        <f>IFERROR(VLOOKUP(TEXT(O387,"0"),CONDUCTORES!$A$3:$H$54,6,0),"")</f>
        <v/>
      </c>
      <c r="R387" s="280" t="n"/>
      <c r="S387" s="280" t="n"/>
      <c r="T387" s="280" t="n"/>
      <c r="U387" s="280" t="n"/>
      <c r="V387" s="280" t="n"/>
      <c r="W387" s="280" t="n"/>
      <c r="X387" s="280" t="n"/>
      <c r="Y387" s="280" t="n"/>
      <c r="Z387" s="350" t="n"/>
      <c r="AA387" s="198" t="n"/>
      <c r="AB387" s="198" t="n"/>
      <c r="AC387" s="198" t="n"/>
    </row>
    <row r="388" ht="15" customHeight="1" s="195">
      <c r="A388" s="280" t="n"/>
      <c r="B388" s="280" t="n"/>
      <c r="C388" s="280" t="n"/>
      <c r="D388" s="280" t="n"/>
      <c r="E388" s="280" t="n"/>
      <c r="F388" s="280" t="n"/>
      <c r="G388" s="280" t="n"/>
      <c r="H388" s="280" t="n"/>
      <c r="I388" s="332">
        <f>IFERROR(VLOOKUP(TEXT(H388,"0"),IPRESS!$A$3:$B$212,2,0),"")</f>
        <v/>
      </c>
      <c r="J388" s="280" t="n"/>
      <c r="K388" s="343" t="n"/>
      <c r="L388" s="280" t="n"/>
      <c r="M388" s="280" t="n"/>
      <c r="N388" s="345" t="n"/>
      <c r="O388" s="280" t="n"/>
      <c r="P388" s="332">
        <f>IFERROR(VLOOKUP(TEXT(O388,"0"),CONDUCTORES!$A$3:$G$54,2,0),"")</f>
        <v/>
      </c>
      <c r="Q388" s="332">
        <f>IFERROR(VLOOKUP(TEXT(O388,"0"),CONDUCTORES!$A$3:$H$54,6,0),"")</f>
        <v/>
      </c>
      <c r="R388" s="280" t="n"/>
      <c r="S388" s="280" t="n"/>
      <c r="T388" s="280" t="n"/>
      <c r="U388" s="280" t="n"/>
      <c r="V388" s="280" t="n"/>
      <c r="W388" s="280" t="n"/>
      <c r="X388" s="280" t="n"/>
      <c r="Y388" s="280" t="n"/>
      <c r="Z388" s="350" t="n"/>
      <c r="AA388" s="198" t="n"/>
      <c r="AB388" s="198" t="n"/>
      <c r="AC388" s="198" t="n"/>
    </row>
    <row r="389" ht="15" customHeight="1" s="195">
      <c r="A389" s="280" t="n"/>
      <c r="B389" s="280" t="n"/>
      <c r="C389" s="280" t="n"/>
      <c r="D389" s="280" t="n"/>
      <c r="E389" s="280" t="n"/>
      <c r="F389" s="280" t="n"/>
      <c r="G389" s="280" t="n"/>
      <c r="H389" s="280" t="n"/>
      <c r="I389" s="332">
        <f>IFERROR(VLOOKUP(TEXT(H389,"0"),IPRESS!$A$3:$B$212,2,0),"")</f>
        <v/>
      </c>
      <c r="J389" s="280" t="n"/>
      <c r="K389" s="343" t="n"/>
      <c r="L389" s="280" t="n"/>
      <c r="M389" s="280" t="n"/>
      <c r="N389" s="345" t="n"/>
      <c r="O389" s="280" t="n"/>
      <c r="P389" s="332">
        <f>IFERROR(VLOOKUP(TEXT(O389,"0"),CONDUCTORES!$A$3:$G$54,2,0),"")</f>
        <v/>
      </c>
      <c r="Q389" s="332">
        <f>IFERROR(VLOOKUP(TEXT(O389,"0"),CONDUCTORES!$A$3:$H$54,6,0),"")</f>
        <v/>
      </c>
      <c r="R389" s="280" t="n"/>
      <c r="S389" s="280" t="n"/>
      <c r="T389" s="280" t="n"/>
      <c r="U389" s="280" t="n"/>
      <c r="V389" s="280" t="n"/>
      <c r="W389" s="280" t="n"/>
      <c r="X389" s="280" t="n"/>
      <c r="Y389" s="280" t="n"/>
      <c r="Z389" s="350" t="n"/>
      <c r="AA389" s="198" t="n"/>
      <c r="AB389" s="198" t="n"/>
      <c r="AC389" s="198" t="n"/>
    </row>
    <row r="390" ht="15" customHeight="1" s="195">
      <c r="A390" s="280" t="n"/>
      <c r="B390" s="280" t="n"/>
      <c r="C390" s="280" t="n"/>
      <c r="D390" s="280" t="n"/>
      <c r="E390" s="280" t="n"/>
      <c r="F390" s="280" t="n"/>
      <c r="G390" s="280" t="n"/>
      <c r="H390" s="280" t="n"/>
      <c r="I390" s="332">
        <f>IFERROR(VLOOKUP(TEXT(H390,"0"),IPRESS!$A$3:$B$212,2,0),"")</f>
        <v/>
      </c>
      <c r="J390" s="280" t="n"/>
      <c r="K390" s="343" t="n"/>
      <c r="L390" s="280" t="n"/>
      <c r="M390" s="280" t="n"/>
      <c r="N390" s="345" t="n"/>
      <c r="O390" s="280" t="n"/>
      <c r="P390" s="332">
        <f>IFERROR(VLOOKUP(TEXT(O390,"0"),CONDUCTORES!$A$3:$G$54,2,0),"")</f>
        <v/>
      </c>
      <c r="Q390" s="332">
        <f>IFERROR(VLOOKUP(TEXT(O390,"0"),CONDUCTORES!$A$3:$H$54,6,0),"")</f>
        <v/>
      </c>
      <c r="R390" s="280" t="n"/>
      <c r="S390" s="280" t="n"/>
      <c r="T390" s="280" t="n"/>
      <c r="U390" s="280" t="n"/>
      <c r="V390" s="280" t="n"/>
      <c r="W390" s="280" t="n"/>
      <c r="X390" s="280" t="n"/>
      <c r="Y390" s="280" t="n"/>
      <c r="Z390" s="350" t="n"/>
      <c r="AA390" s="198" t="n"/>
      <c r="AB390" s="198" t="n"/>
      <c r="AC390" s="198" t="n"/>
    </row>
    <row r="391" ht="15" customHeight="1" s="195">
      <c r="A391" s="280" t="n"/>
      <c r="B391" s="280" t="n"/>
      <c r="C391" s="280" t="n"/>
      <c r="D391" s="280" t="n"/>
      <c r="E391" s="280" t="n"/>
      <c r="F391" s="280" t="n"/>
      <c r="G391" s="280" t="n"/>
      <c r="H391" s="280" t="n"/>
      <c r="I391" s="332">
        <f>IFERROR(VLOOKUP(TEXT(H391,"0"),IPRESS!$A$3:$B$212,2,0),"")</f>
        <v/>
      </c>
      <c r="J391" s="280" t="n"/>
      <c r="K391" s="343" t="n"/>
      <c r="L391" s="280" t="n"/>
      <c r="M391" s="280" t="n"/>
      <c r="N391" s="345" t="n"/>
      <c r="O391" s="280" t="n"/>
      <c r="P391" s="332">
        <f>IFERROR(VLOOKUP(TEXT(O391,"0"),CONDUCTORES!$A$3:$G$54,2,0),"")</f>
        <v/>
      </c>
      <c r="Q391" s="332">
        <f>IFERROR(VLOOKUP(TEXT(O391,"0"),CONDUCTORES!$A$3:$H$54,6,0),"")</f>
        <v/>
      </c>
      <c r="R391" s="280" t="n"/>
      <c r="S391" s="280" t="n"/>
      <c r="T391" s="280" t="n"/>
      <c r="U391" s="280" t="n"/>
      <c r="V391" s="280" t="n"/>
      <c r="W391" s="280" t="n"/>
      <c r="X391" s="280" t="n"/>
      <c r="Y391" s="280" t="n"/>
      <c r="Z391" s="350" t="n"/>
      <c r="AA391" s="198" t="n"/>
      <c r="AB391" s="198" t="n"/>
      <c r="AC391" s="198" t="n"/>
    </row>
    <row r="392" ht="15" customHeight="1" s="195">
      <c r="A392" s="280" t="n"/>
      <c r="B392" s="280" t="n"/>
      <c r="C392" s="280" t="n"/>
      <c r="D392" s="280" t="n"/>
      <c r="E392" s="280" t="n"/>
      <c r="F392" s="280" t="n"/>
      <c r="G392" s="280" t="n"/>
      <c r="H392" s="280" t="n"/>
      <c r="I392" s="332">
        <f>IFERROR(VLOOKUP(TEXT(H392,"0"),IPRESS!$A$3:$B$212,2,0),"")</f>
        <v/>
      </c>
      <c r="J392" s="280" t="n"/>
      <c r="K392" s="343" t="n"/>
      <c r="L392" s="280" t="n"/>
      <c r="M392" s="280" t="n"/>
      <c r="N392" s="345" t="n"/>
      <c r="O392" s="280" t="n"/>
      <c r="P392" s="332">
        <f>IFERROR(VLOOKUP(TEXT(O392,"0"),CONDUCTORES!$A$3:$G$54,2,0),"")</f>
        <v/>
      </c>
      <c r="Q392" s="332">
        <f>IFERROR(VLOOKUP(TEXT(O392,"0"),CONDUCTORES!$A$3:$H$54,6,0),"")</f>
        <v/>
      </c>
      <c r="R392" s="280" t="n"/>
      <c r="S392" s="280" t="n"/>
      <c r="T392" s="280" t="n"/>
      <c r="U392" s="280" t="n"/>
      <c r="V392" s="280" t="n"/>
      <c r="W392" s="280" t="n"/>
      <c r="X392" s="280" t="n"/>
      <c r="Y392" s="280" t="n"/>
      <c r="Z392" s="350" t="n"/>
      <c r="AA392" s="198" t="n"/>
      <c r="AB392" s="198" t="n"/>
      <c r="AC392" s="198" t="n"/>
    </row>
    <row r="393" ht="15" customHeight="1" s="195">
      <c r="A393" s="280" t="n"/>
      <c r="B393" s="280" t="n"/>
      <c r="C393" s="280" t="n"/>
      <c r="D393" s="280" t="n"/>
      <c r="E393" s="280" t="n"/>
      <c r="F393" s="280" t="n"/>
      <c r="G393" s="280" t="n"/>
      <c r="H393" s="280" t="n"/>
      <c r="I393" s="332">
        <f>IFERROR(VLOOKUP(TEXT(H393,"0"),IPRESS!$A$3:$B$212,2,0),"")</f>
        <v/>
      </c>
      <c r="J393" s="280" t="n"/>
      <c r="K393" s="343" t="n"/>
      <c r="L393" s="280" t="n"/>
      <c r="M393" s="280" t="n"/>
      <c r="N393" s="345" t="n"/>
      <c r="O393" s="280" t="n"/>
      <c r="P393" s="332">
        <f>IFERROR(VLOOKUP(TEXT(O393,"0"),CONDUCTORES!$A$3:$G$54,2,0),"")</f>
        <v/>
      </c>
      <c r="Q393" s="332">
        <f>IFERROR(VLOOKUP(TEXT(O393,"0"),CONDUCTORES!$A$3:$H$54,6,0),"")</f>
        <v/>
      </c>
      <c r="R393" s="280" t="n"/>
      <c r="S393" s="280" t="n"/>
      <c r="T393" s="280" t="n"/>
      <c r="U393" s="280" t="n"/>
      <c r="V393" s="280" t="n"/>
      <c r="W393" s="280" t="n"/>
      <c r="X393" s="280" t="n"/>
      <c r="Y393" s="280" t="n"/>
      <c r="Z393" s="350" t="n"/>
      <c r="AA393" s="198" t="n"/>
      <c r="AB393" s="198" t="n"/>
      <c r="AC393" s="198" t="n"/>
    </row>
    <row r="394" ht="15" customHeight="1" s="195">
      <c r="A394" s="280" t="n"/>
      <c r="B394" s="280" t="n"/>
      <c r="C394" s="280" t="n"/>
      <c r="D394" s="280" t="n"/>
      <c r="E394" s="280" t="n"/>
      <c r="F394" s="280" t="n"/>
      <c r="G394" s="280" t="n"/>
      <c r="H394" s="280" t="n"/>
      <c r="I394" s="332">
        <f>IFERROR(VLOOKUP(TEXT(H394,"0"),IPRESS!$A$3:$B$212,2,0),"")</f>
        <v/>
      </c>
      <c r="J394" s="280" t="n"/>
      <c r="K394" s="343" t="n"/>
      <c r="L394" s="280" t="n"/>
      <c r="M394" s="280" t="n"/>
      <c r="N394" s="345" t="n"/>
      <c r="O394" s="280" t="n"/>
      <c r="P394" s="332">
        <f>IFERROR(VLOOKUP(TEXT(O394,"0"),CONDUCTORES!$A$3:$G$54,2,0),"")</f>
        <v/>
      </c>
      <c r="Q394" s="332">
        <f>IFERROR(VLOOKUP(TEXT(O394,"0"),CONDUCTORES!$A$3:$H$54,6,0),"")</f>
        <v/>
      </c>
      <c r="R394" s="280" t="n"/>
      <c r="S394" s="280" t="n"/>
      <c r="T394" s="280" t="n"/>
      <c r="U394" s="280" t="n"/>
      <c r="V394" s="280" t="n"/>
      <c r="W394" s="280" t="n"/>
      <c r="X394" s="280" t="n"/>
      <c r="Y394" s="280" t="n"/>
      <c r="Z394" s="350" t="n"/>
      <c r="AA394" s="198" t="n"/>
      <c r="AB394" s="198" t="n"/>
      <c r="AC394" s="198" t="n"/>
    </row>
    <row r="395" ht="15" customHeight="1" s="195">
      <c r="A395" s="280" t="n"/>
      <c r="B395" s="280" t="n"/>
      <c r="C395" s="280" t="n"/>
      <c r="D395" s="280" t="n"/>
      <c r="E395" s="280" t="n"/>
      <c r="F395" s="280" t="n"/>
      <c r="G395" s="280" t="n"/>
      <c r="H395" s="280" t="n"/>
      <c r="I395" s="332">
        <f>IFERROR(VLOOKUP(TEXT(H395,"0"),IPRESS!$A$3:$B$212,2,0),"")</f>
        <v/>
      </c>
      <c r="J395" s="280" t="n"/>
      <c r="K395" s="343" t="n"/>
      <c r="L395" s="280" t="n"/>
      <c r="M395" s="280" t="n"/>
      <c r="N395" s="345" t="n"/>
      <c r="O395" s="280" t="n"/>
      <c r="P395" s="332">
        <f>IFERROR(VLOOKUP(TEXT(O395,"0"),CONDUCTORES!$A$3:$G$54,2,0),"")</f>
        <v/>
      </c>
      <c r="Q395" s="332">
        <f>IFERROR(VLOOKUP(TEXT(O395,"0"),CONDUCTORES!$A$3:$H$54,6,0),"")</f>
        <v/>
      </c>
      <c r="R395" s="280" t="n"/>
      <c r="S395" s="280" t="n"/>
      <c r="T395" s="280" t="n"/>
      <c r="U395" s="280" t="n"/>
      <c r="V395" s="280" t="n"/>
      <c r="W395" s="280" t="n"/>
      <c r="X395" s="280" t="n"/>
      <c r="Y395" s="280" t="n"/>
      <c r="Z395" s="350" t="n"/>
      <c r="AA395" s="198" t="n"/>
      <c r="AB395" s="198" t="n"/>
      <c r="AC395" s="198" t="n"/>
    </row>
    <row r="396" ht="15" customHeight="1" s="195">
      <c r="A396" s="280" t="n"/>
      <c r="B396" s="280" t="n"/>
      <c r="C396" s="280" t="n"/>
      <c r="D396" s="280" t="n"/>
      <c r="E396" s="280" t="n"/>
      <c r="F396" s="280" t="n"/>
      <c r="G396" s="280" t="n"/>
      <c r="H396" s="280" t="n"/>
      <c r="I396" s="332">
        <f>IFERROR(VLOOKUP(TEXT(H396,"0"),IPRESS!$A$3:$B$212,2,0),"")</f>
        <v/>
      </c>
      <c r="J396" s="280" t="n"/>
      <c r="K396" s="343" t="n"/>
      <c r="L396" s="280" t="n"/>
      <c r="M396" s="280" t="n"/>
      <c r="N396" s="345" t="n"/>
      <c r="O396" s="280" t="n"/>
      <c r="P396" s="332">
        <f>IFERROR(VLOOKUP(TEXT(O396,"0"),CONDUCTORES!$A$3:$G$54,2,0),"")</f>
        <v/>
      </c>
      <c r="Q396" s="332">
        <f>IFERROR(VLOOKUP(TEXT(O396,"0"),CONDUCTORES!$A$3:$H$54,6,0),"")</f>
        <v/>
      </c>
      <c r="R396" s="280" t="n"/>
      <c r="S396" s="280" t="n"/>
      <c r="T396" s="280" t="n"/>
      <c r="U396" s="280" t="n"/>
      <c r="V396" s="280" t="n"/>
      <c r="W396" s="280" t="n"/>
      <c r="X396" s="280" t="n"/>
      <c r="Y396" s="280" t="n"/>
      <c r="Z396" s="350" t="n"/>
      <c r="AA396" s="198" t="n"/>
      <c r="AB396" s="198" t="n"/>
      <c r="AC396" s="198" t="n"/>
    </row>
    <row r="397" ht="15" customHeight="1" s="195">
      <c r="A397" s="280" t="n"/>
      <c r="B397" s="280" t="n"/>
      <c r="C397" s="280" t="n"/>
      <c r="D397" s="280" t="n"/>
      <c r="E397" s="280" t="n"/>
      <c r="F397" s="280" t="n"/>
      <c r="G397" s="280" t="n"/>
      <c r="H397" s="280" t="n"/>
      <c r="I397" s="332">
        <f>IFERROR(VLOOKUP(TEXT(H397,"0"),IPRESS!$A$3:$B$212,2,0),"")</f>
        <v/>
      </c>
      <c r="J397" s="280" t="n"/>
      <c r="K397" s="343" t="n"/>
      <c r="L397" s="280" t="n"/>
      <c r="M397" s="280" t="n"/>
      <c r="N397" s="345" t="n"/>
      <c r="O397" s="280" t="n"/>
      <c r="P397" s="332">
        <f>IFERROR(VLOOKUP(TEXT(O397,"0"),CONDUCTORES!$A$3:$G$54,2,0),"")</f>
        <v/>
      </c>
      <c r="Q397" s="332">
        <f>IFERROR(VLOOKUP(TEXT(O397,"0"),CONDUCTORES!$A$3:$H$54,6,0),"")</f>
        <v/>
      </c>
      <c r="R397" s="280" t="n"/>
      <c r="S397" s="280" t="n"/>
      <c r="T397" s="280" t="n"/>
      <c r="U397" s="280" t="n"/>
      <c r="V397" s="280" t="n"/>
      <c r="W397" s="280" t="n"/>
      <c r="X397" s="280" t="n"/>
      <c r="Y397" s="280" t="n"/>
      <c r="Z397" s="350" t="n"/>
      <c r="AA397" s="198" t="n"/>
      <c r="AB397" s="198" t="n"/>
      <c r="AC397" s="198" t="n"/>
    </row>
    <row r="398" ht="15" customHeight="1" s="195">
      <c r="A398" s="280" t="n"/>
      <c r="B398" s="280" t="n"/>
      <c r="C398" s="280" t="n"/>
      <c r="D398" s="280" t="n"/>
      <c r="E398" s="280" t="n"/>
      <c r="F398" s="280" t="n"/>
      <c r="G398" s="280" t="n"/>
      <c r="H398" s="280" t="n"/>
      <c r="I398" s="332">
        <f>IFERROR(VLOOKUP(TEXT(H398,"0"),IPRESS!$A$3:$B$212,2,0),"")</f>
        <v/>
      </c>
      <c r="J398" s="280" t="n"/>
      <c r="K398" s="343" t="n"/>
      <c r="L398" s="280" t="n"/>
      <c r="M398" s="280" t="n"/>
      <c r="N398" s="345" t="n"/>
      <c r="O398" s="280" t="n"/>
      <c r="P398" s="332">
        <f>IFERROR(VLOOKUP(TEXT(O398,"0"),CONDUCTORES!$A$3:$G$54,2,0),"")</f>
        <v/>
      </c>
      <c r="Q398" s="332">
        <f>IFERROR(VLOOKUP(TEXT(O398,"0"),CONDUCTORES!$A$3:$H$54,6,0),"")</f>
        <v/>
      </c>
      <c r="R398" s="280" t="n"/>
      <c r="S398" s="280" t="n"/>
      <c r="T398" s="280" t="n"/>
      <c r="U398" s="280" t="n"/>
      <c r="V398" s="280" t="n"/>
      <c r="W398" s="280" t="n"/>
      <c r="X398" s="280" t="n"/>
      <c r="Y398" s="280" t="n"/>
      <c r="Z398" s="350" t="n"/>
      <c r="AA398" s="198" t="n"/>
      <c r="AB398" s="198" t="n"/>
      <c r="AC398" s="198" t="n"/>
    </row>
    <row r="399" ht="15" customHeight="1" s="195">
      <c r="A399" s="280" t="n"/>
      <c r="B399" s="280" t="n"/>
      <c r="C399" s="280" t="n"/>
      <c r="D399" s="280" t="n"/>
      <c r="E399" s="280" t="n"/>
      <c r="F399" s="280" t="n"/>
      <c r="G399" s="280" t="n"/>
      <c r="H399" s="280" t="n"/>
      <c r="I399" s="332">
        <f>IFERROR(VLOOKUP(TEXT(H399,"0"),IPRESS!$A$3:$B$212,2,0),"")</f>
        <v/>
      </c>
      <c r="J399" s="280" t="n"/>
      <c r="K399" s="343" t="n"/>
      <c r="L399" s="280" t="n"/>
      <c r="M399" s="280" t="n"/>
      <c r="N399" s="345" t="n"/>
      <c r="O399" s="280" t="n"/>
      <c r="P399" s="332">
        <f>IFERROR(VLOOKUP(TEXT(O399,"0"),CONDUCTORES!$A$3:$G$54,2,0),"")</f>
        <v/>
      </c>
      <c r="Q399" s="332">
        <f>IFERROR(VLOOKUP(TEXT(O399,"0"),CONDUCTORES!$A$3:$H$54,6,0),"")</f>
        <v/>
      </c>
      <c r="R399" s="280" t="n"/>
      <c r="S399" s="280" t="n"/>
      <c r="T399" s="280" t="n"/>
      <c r="U399" s="280" t="n"/>
      <c r="V399" s="280" t="n"/>
      <c r="W399" s="280" t="n"/>
      <c r="X399" s="280" t="n"/>
      <c r="Y399" s="280" t="n"/>
      <c r="Z399" s="350" t="n"/>
      <c r="AA399" s="198" t="n"/>
      <c r="AB399" s="198" t="n"/>
      <c r="AC399" s="198" t="n"/>
    </row>
    <row r="400" ht="15" customHeight="1" s="195">
      <c r="A400" s="280" t="n"/>
      <c r="B400" s="280" t="n"/>
      <c r="C400" s="280" t="n"/>
      <c r="D400" s="280" t="n"/>
      <c r="E400" s="280" t="n"/>
      <c r="F400" s="280" t="n"/>
      <c r="G400" s="280" t="n"/>
      <c r="H400" s="280" t="n"/>
      <c r="I400" s="332">
        <f>IFERROR(VLOOKUP(TEXT(H400,"0"),IPRESS!$A$3:$B$212,2,0),"")</f>
        <v/>
      </c>
      <c r="J400" s="280" t="n"/>
      <c r="K400" s="343" t="n"/>
      <c r="L400" s="280" t="n"/>
      <c r="M400" s="280" t="n"/>
      <c r="N400" s="345" t="n"/>
      <c r="O400" s="280" t="n"/>
      <c r="P400" s="332">
        <f>IFERROR(VLOOKUP(TEXT(O400,"0"),CONDUCTORES!$A$3:$G$54,2,0),"")</f>
        <v/>
      </c>
      <c r="Q400" s="332">
        <f>IFERROR(VLOOKUP(TEXT(O400,"0"),CONDUCTORES!$A$3:$H$54,6,0),"")</f>
        <v/>
      </c>
      <c r="R400" s="280" t="n"/>
      <c r="S400" s="280" t="n"/>
      <c r="T400" s="280" t="n"/>
      <c r="U400" s="280" t="n"/>
      <c r="V400" s="280" t="n"/>
      <c r="W400" s="280" t="n"/>
      <c r="X400" s="280" t="n"/>
      <c r="Y400" s="280" t="n"/>
      <c r="Z400" s="350" t="n"/>
      <c r="AA400" s="198" t="n"/>
      <c r="AB400" s="198" t="n"/>
      <c r="AC400" s="198" t="n"/>
    </row>
    <row r="401" ht="15" customHeight="1" s="195">
      <c r="A401" s="280" t="n"/>
      <c r="B401" s="280" t="n"/>
      <c r="C401" s="280" t="n"/>
      <c r="D401" s="280" t="n"/>
      <c r="E401" s="280" t="n"/>
      <c r="F401" s="280" t="n"/>
      <c r="G401" s="280" t="n"/>
      <c r="H401" s="280" t="n"/>
      <c r="I401" s="332">
        <f>IFERROR(VLOOKUP(TEXT(H401,"0"),IPRESS!$A$3:$B$212,2,0),"")</f>
        <v/>
      </c>
      <c r="J401" s="280" t="n"/>
      <c r="K401" s="343" t="n"/>
      <c r="L401" s="280" t="n"/>
      <c r="M401" s="280" t="n"/>
      <c r="N401" s="345" t="n"/>
      <c r="O401" s="280" t="n"/>
      <c r="P401" s="332">
        <f>IFERROR(VLOOKUP(TEXT(O401,"0"),CONDUCTORES!$A$3:$G$54,2,0),"")</f>
        <v/>
      </c>
      <c r="Q401" s="332">
        <f>IFERROR(VLOOKUP(TEXT(O401,"0"),CONDUCTORES!$A$3:$H$54,6,0),"")</f>
        <v/>
      </c>
      <c r="R401" s="280" t="n"/>
      <c r="S401" s="280" t="n"/>
      <c r="T401" s="280" t="n"/>
      <c r="U401" s="280" t="n"/>
      <c r="V401" s="280" t="n"/>
      <c r="W401" s="280" t="n"/>
      <c r="X401" s="280" t="n"/>
      <c r="Y401" s="280" t="n"/>
      <c r="Z401" s="350" t="n"/>
      <c r="AA401" s="198" t="n"/>
      <c r="AB401" s="198" t="n"/>
      <c r="AC401" s="198" t="n"/>
    </row>
    <row r="402" ht="15" customHeight="1" s="195">
      <c r="A402" s="280" t="n"/>
      <c r="B402" s="280" t="n"/>
      <c r="C402" s="280" t="n"/>
      <c r="D402" s="280" t="n"/>
      <c r="E402" s="280" t="n"/>
      <c r="F402" s="280" t="n"/>
      <c r="G402" s="280" t="n"/>
      <c r="H402" s="280" t="n"/>
      <c r="I402" s="332">
        <f>IFERROR(VLOOKUP(TEXT(H402,"0"),IPRESS!$A$3:$B$212,2,0),"")</f>
        <v/>
      </c>
      <c r="J402" s="280" t="n"/>
      <c r="K402" s="343" t="n"/>
      <c r="L402" s="280" t="n"/>
      <c r="M402" s="280" t="n"/>
      <c r="N402" s="345" t="n"/>
      <c r="O402" s="280" t="n"/>
      <c r="P402" s="332">
        <f>IFERROR(VLOOKUP(TEXT(O402,"0"),CONDUCTORES!$A$3:$G$54,2,0),"")</f>
        <v/>
      </c>
      <c r="Q402" s="332">
        <f>IFERROR(VLOOKUP(TEXT(O402,"0"),CONDUCTORES!$A$3:$H$54,6,0),"")</f>
        <v/>
      </c>
      <c r="R402" s="280" t="n"/>
      <c r="S402" s="280" t="n"/>
      <c r="T402" s="280" t="n"/>
      <c r="U402" s="280" t="n"/>
      <c r="V402" s="280" t="n"/>
      <c r="W402" s="280" t="n"/>
      <c r="X402" s="280" t="n"/>
      <c r="Y402" s="280" t="n"/>
      <c r="Z402" s="350" t="n"/>
      <c r="AA402" s="198" t="n"/>
      <c r="AB402" s="198" t="n"/>
      <c r="AC402" s="198" t="n"/>
    </row>
    <row r="403" ht="15" customHeight="1" s="195">
      <c r="A403" s="280" t="n"/>
      <c r="B403" s="280" t="n"/>
      <c r="C403" s="280" t="n"/>
      <c r="D403" s="280" t="n"/>
      <c r="E403" s="280" t="n"/>
      <c r="F403" s="280" t="n"/>
      <c r="G403" s="280" t="n"/>
      <c r="H403" s="280" t="n"/>
      <c r="I403" s="332">
        <f>IFERROR(VLOOKUP(TEXT(H403,"0"),IPRESS!$A$3:$B$212,2,0),"")</f>
        <v/>
      </c>
      <c r="J403" s="280" t="n"/>
      <c r="K403" s="343" t="n"/>
      <c r="L403" s="280" t="n"/>
      <c r="M403" s="280" t="n"/>
      <c r="N403" s="345" t="n"/>
      <c r="O403" s="280" t="n"/>
      <c r="P403" s="332">
        <f>IFERROR(VLOOKUP(TEXT(O403,"0"),CONDUCTORES!$A$3:$G$54,2,0),"")</f>
        <v/>
      </c>
      <c r="Q403" s="332">
        <f>IFERROR(VLOOKUP(TEXT(O403,"0"),CONDUCTORES!$A$3:$H$54,6,0),"")</f>
        <v/>
      </c>
      <c r="R403" s="280" t="n"/>
      <c r="S403" s="280" t="n"/>
      <c r="T403" s="280" t="n"/>
      <c r="U403" s="280" t="n"/>
      <c r="V403" s="280" t="n"/>
      <c r="W403" s="280" t="n"/>
      <c r="X403" s="280" t="n"/>
      <c r="Y403" s="280" t="n"/>
      <c r="Z403" s="350" t="n"/>
      <c r="AA403" s="198" t="n"/>
      <c r="AB403" s="198" t="n"/>
      <c r="AC403" s="198" t="n"/>
    </row>
    <row r="404" ht="15" customHeight="1" s="195">
      <c r="A404" s="280" t="n"/>
      <c r="B404" s="280" t="n"/>
      <c r="C404" s="280" t="n"/>
      <c r="D404" s="280" t="n"/>
      <c r="E404" s="280" t="n"/>
      <c r="F404" s="280" t="n"/>
      <c r="G404" s="280" t="n"/>
      <c r="H404" s="280" t="n"/>
      <c r="I404" s="332">
        <f>IFERROR(VLOOKUP(TEXT(H404,"0"),IPRESS!$A$3:$B$212,2,0),"")</f>
        <v/>
      </c>
      <c r="J404" s="280" t="n"/>
      <c r="K404" s="343" t="n"/>
      <c r="L404" s="280" t="n"/>
      <c r="M404" s="280" t="n"/>
      <c r="N404" s="345" t="n"/>
      <c r="O404" s="280" t="n"/>
      <c r="P404" s="332">
        <f>IFERROR(VLOOKUP(TEXT(O404,"0"),CONDUCTORES!$A$3:$G$54,2,0),"")</f>
        <v/>
      </c>
      <c r="Q404" s="332">
        <f>IFERROR(VLOOKUP(TEXT(O404,"0"),CONDUCTORES!$A$3:$H$54,6,0),"")</f>
        <v/>
      </c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350" t="n"/>
      <c r="AA404" s="198" t="n"/>
      <c r="AB404" s="198" t="n"/>
      <c r="AC404" s="198" t="n"/>
    </row>
    <row r="405" ht="15" customHeight="1" s="195">
      <c r="A405" s="280" t="n"/>
      <c r="B405" s="280" t="n"/>
      <c r="C405" s="280" t="n"/>
      <c r="D405" s="280" t="n"/>
      <c r="E405" s="280" t="n"/>
      <c r="F405" s="280" t="n"/>
      <c r="G405" s="280" t="n"/>
      <c r="H405" s="280" t="n"/>
      <c r="I405" s="332">
        <f>IFERROR(VLOOKUP(TEXT(H405,"0"),IPRESS!$A$3:$B$212,2,0),"")</f>
        <v/>
      </c>
      <c r="J405" s="280" t="n"/>
      <c r="K405" s="343" t="n"/>
      <c r="L405" s="280" t="n"/>
      <c r="M405" s="280" t="n"/>
      <c r="N405" s="345" t="n"/>
      <c r="O405" s="280" t="n"/>
      <c r="P405" s="332">
        <f>IFERROR(VLOOKUP(TEXT(O405,"0"),CONDUCTORES!$A$3:$G$54,2,0),"")</f>
        <v/>
      </c>
      <c r="Q405" s="332">
        <f>IFERROR(VLOOKUP(TEXT(O405,"0"),CONDUCTORES!$A$3:$H$54,6,0),"")</f>
        <v/>
      </c>
      <c r="R405" s="280" t="n"/>
      <c r="S405" s="280" t="n"/>
      <c r="T405" s="280" t="n"/>
      <c r="U405" s="280" t="n"/>
      <c r="V405" s="280" t="n"/>
      <c r="W405" s="280" t="n"/>
      <c r="X405" s="280" t="n"/>
      <c r="Y405" s="280" t="n"/>
      <c r="Z405" s="350" t="n"/>
      <c r="AA405" s="198" t="n"/>
      <c r="AB405" s="198" t="n"/>
      <c r="AC405" s="198" t="n"/>
    </row>
    <row r="406" ht="15" customHeight="1" s="195">
      <c r="A406" s="280" t="n"/>
      <c r="B406" s="280" t="n"/>
      <c r="C406" s="280" t="n"/>
      <c r="D406" s="280" t="n"/>
      <c r="E406" s="280" t="n"/>
      <c r="F406" s="280" t="n"/>
      <c r="G406" s="280" t="n"/>
      <c r="H406" s="280" t="n"/>
      <c r="I406" s="332">
        <f>IFERROR(VLOOKUP(TEXT(H406,"0"),IPRESS!$A$3:$B$212,2,0),"")</f>
        <v/>
      </c>
      <c r="J406" s="280" t="n"/>
      <c r="K406" s="343" t="n"/>
      <c r="L406" s="280" t="n"/>
      <c r="M406" s="280" t="n"/>
      <c r="N406" s="345" t="n"/>
      <c r="O406" s="280" t="n"/>
      <c r="P406" s="332">
        <f>IFERROR(VLOOKUP(TEXT(O406,"0"),CONDUCTORES!$A$3:$G$54,2,0),"")</f>
        <v/>
      </c>
      <c r="Q406" s="332">
        <f>IFERROR(VLOOKUP(TEXT(O406,"0"),CONDUCTORES!$A$3:$H$54,6,0),"")</f>
        <v/>
      </c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350" t="n"/>
      <c r="AA406" s="198" t="n"/>
      <c r="AB406" s="198" t="n"/>
      <c r="AC406" s="198" t="n"/>
    </row>
    <row r="407" ht="15" customHeight="1" s="195">
      <c r="A407" s="280" t="n"/>
      <c r="B407" s="280" t="n"/>
      <c r="C407" s="280" t="n"/>
      <c r="D407" s="280" t="n"/>
      <c r="E407" s="280" t="n"/>
      <c r="F407" s="280" t="n"/>
      <c r="G407" s="280" t="n"/>
      <c r="H407" s="280" t="n"/>
      <c r="I407" s="332">
        <f>IFERROR(VLOOKUP(TEXT(H407,"0"),IPRESS!$A$3:$B$212,2,0),"")</f>
        <v/>
      </c>
      <c r="J407" s="280" t="n"/>
      <c r="K407" s="343" t="n"/>
      <c r="L407" s="280" t="n"/>
      <c r="M407" s="280" t="n"/>
      <c r="N407" s="345" t="n"/>
      <c r="O407" s="280" t="n"/>
      <c r="P407" s="332">
        <f>IFERROR(VLOOKUP(TEXT(O407,"0"),CONDUCTORES!$A$3:$G$54,2,0),"")</f>
        <v/>
      </c>
      <c r="Q407" s="332">
        <f>IFERROR(VLOOKUP(TEXT(O407,"0"),CONDUCTORES!$A$3:$H$54,6,0),"")</f>
        <v/>
      </c>
      <c r="R407" s="280" t="n"/>
      <c r="S407" s="280" t="n"/>
      <c r="T407" s="280" t="n"/>
      <c r="U407" s="280" t="n"/>
      <c r="V407" s="280" t="n"/>
      <c r="W407" s="280" t="n"/>
      <c r="X407" s="280" t="n"/>
      <c r="Y407" s="280" t="n"/>
      <c r="Z407" s="350" t="n"/>
      <c r="AA407" s="198" t="n"/>
      <c r="AB407" s="198" t="n"/>
      <c r="AC407" s="198" t="n"/>
    </row>
    <row r="408" ht="15" customHeight="1" s="195">
      <c r="A408" s="280" t="n"/>
      <c r="B408" s="280" t="n"/>
      <c r="C408" s="280" t="n"/>
      <c r="D408" s="280" t="n"/>
      <c r="E408" s="280" t="n"/>
      <c r="F408" s="280" t="n"/>
      <c r="G408" s="280" t="n"/>
      <c r="H408" s="280" t="n"/>
      <c r="I408" s="332">
        <f>IFERROR(VLOOKUP(TEXT(H408,"0"),IPRESS!$A$3:$B$212,2,0),"")</f>
        <v/>
      </c>
      <c r="J408" s="280" t="n"/>
      <c r="K408" s="343" t="n"/>
      <c r="L408" s="280" t="n"/>
      <c r="M408" s="280" t="n"/>
      <c r="N408" s="345" t="n"/>
      <c r="O408" s="280" t="n"/>
      <c r="P408" s="332">
        <f>IFERROR(VLOOKUP(TEXT(O408,"0"),CONDUCTORES!$A$3:$G$54,2,0),"")</f>
        <v/>
      </c>
      <c r="Q408" s="332">
        <f>IFERROR(VLOOKUP(TEXT(O408,"0"),CONDUCTORES!$A$3:$H$54,6,0),"")</f>
        <v/>
      </c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350" t="n"/>
      <c r="AA408" s="198" t="n"/>
      <c r="AB408" s="198" t="n"/>
      <c r="AC408" s="198" t="n"/>
    </row>
    <row r="409" ht="15" customHeight="1" s="195">
      <c r="A409" s="280" t="n"/>
      <c r="B409" s="280" t="n"/>
      <c r="C409" s="280" t="n"/>
      <c r="D409" s="280" t="n"/>
      <c r="E409" s="280" t="n"/>
      <c r="F409" s="280" t="n"/>
      <c r="G409" s="280" t="n"/>
      <c r="H409" s="280" t="n"/>
      <c r="I409" s="332">
        <f>IFERROR(VLOOKUP(TEXT(H409,"0"),IPRESS!$A$3:$B$212,2,0),"")</f>
        <v/>
      </c>
      <c r="J409" s="280" t="n"/>
      <c r="K409" s="343" t="n"/>
      <c r="L409" s="280" t="n"/>
      <c r="M409" s="280" t="n"/>
      <c r="N409" s="345" t="n"/>
      <c r="O409" s="280" t="n"/>
      <c r="P409" s="332">
        <f>IFERROR(VLOOKUP(TEXT(O409,"0"),CONDUCTORES!$A$3:$G$54,2,0),"")</f>
        <v/>
      </c>
      <c r="Q409" s="332">
        <f>IFERROR(VLOOKUP(TEXT(O409,"0"),CONDUCTORES!$A$3:$H$54,6,0),"")</f>
        <v/>
      </c>
      <c r="R409" s="280" t="n"/>
      <c r="S409" s="280" t="n"/>
      <c r="T409" s="280" t="n"/>
      <c r="U409" s="280" t="n"/>
      <c r="V409" s="280" t="n"/>
      <c r="W409" s="280" t="n"/>
      <c r="X409" s="280" t="n"/>
      <c r="Y409" s="280" t="n"/>
      <c r="Z409" s="350" t="n"/>
      <c r="AA409" s="198" t="n"/>
      <c r="AB409" s="198" t="n"/>
      <c r="AC409" s="198" t="n"/>
    </row>
    <row r="410" ht="15" customHeight="1" s="195">
      <c r="A410" s="280" t="n"/>
      <c r="B410" s="280" t="n"/>
      <c r="C410" s="280" t="n"/>
      <c r="D410" s="280" t="n"/>
      <c r="E410" s="280" t="n"/>
      <c r="F410" s="280" t="n"/>
      <c r="G410" s="280" t="n"/>
      <c r="H410" s="280" t="n"/>
      <c r="I410" s="332">
        <f>IFERROR(VLOOKUP(TEXT(H410,"0"),IPRESS!$A$3:$B$212,2,0),"")</f>
        <v/>
      </c>
      <c r="J410" s="280" t="n"/>
      <c r="K410" s="343" t="n"/>
      <c r="L410" s="280" t="n"/>
      <c r="M410" s="280" t="n"/>
      <c r="N410" s="345" t="n"/>
      <c r="O410" s="280" t="n"/>
      <c r="P410" s="332">
        <f>IFERROR(VLOOKUP(TEXT(O410,"0"),CONDUCTORES!$A$3:$G$54,2,0),"")</f>
        <v/>
      </c>
      <c r="Q410" s="332">
        <f>IFERROR(VLOOKUP(TEXT(O410,"0"),CONDUCTORES!$A$3:$H$54,6,0),"")</f>
        <v/>
      </c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350" t="n"/>
      <c r="AA410" s="198" t="n"/>
      <c r="AB410" s="198" t="n"/>
      <c r="AC410" s="198" t="n"/>
    </row>
    <row r="411" ht="15" customHeight="1" s="195">
      <c r="A411" s="280" t="n"/>
      <c r="B411" s="280" t="n"/>
      <c r="C411" s="280" t="n"/>
      <c r="D411" s="280" t="n"/>
      <c r="E411" s="280" t="n"/>
      <c r="F411" s="280" t="n"/>
      <c r="G411" s="280" t="n"/>
      <c r="H411" s="280" t="n"/>
      <c r="I411" s="332">
        <f>IFERROR(VLOOKUP(TEXT(H411,"0"),IPRESS!$A$3:$B$212,2,0),"")</f>
        <v/>
      </c>
      <c r="J411" s="280" t="n"/>
      <c r="K411" s="343" t="n"/>
      <c r="L411" s="280" t="n"/>
      <c r="M411" s="280" t="n"/>
      <c r="N411" s="345" t="n"/>
      <c r="O411" s="280" t="n"/>
      <c r="P411" s="332">
        <f>IFERROR(VLOOKUP(TEXT(O411,"0"),CONDUCTORES!$A$3:$G$54,2,0),"")</f>
        <v/>
      </c>
      <c r="Q411" s="332">
        <f>IFERROR(VLOOKUP(TEXT(O411,"0"),CONDUCTORES!$A$3:$H$54,6,0),"")</f>
        <v/>
      </c>
      <c r="R411" s="280" t="n"/>
      <c r="S411" s="280" t="n"/>
      <c r="T411" s="280" t="n"/>
      <c r="U411" s="280" t="n"/>
      <c r="V411" s="280" t="n"/>
      <c r="W411" s="280" t="n"/>
      <c r="X411" s="280" t="n"/>
      <c r="Y411" s="280" t="n"/>
      <c r="Z411" s="350" t="n"/>
      <c r="AA411" s="198" t="n"/>
      <c r="AB411" s="198" t="n"/>
      <c r="AC411" s="198" t="n"/>
    </row>
    <row r="412" ht="15" customHeight="1" s="195">
      <c r="A412" s="280" t="n"/>
      <c r="B412" s="280" t="n"/>
      <c r="C412" s="280" t="n"/>
      <c r="D412" s="280" t="n"/>
      <c r="E412" s="280" t="n"/>
      <c r="F412" s="280" t="n"/>
      <c r="G412" s="280" t="n"/>
      <c r="H412" s="280" t="n"/>
      <c r="I412" s="332">
        <f>IFERROR(VLOOKUP(TEXT(H412,"0"),IPRESS!$A$3:$B$212,2,0),"")</f>
        <v/>
      </c>
      <c r="J412" s="280" t="n"/>
      <c r="K412" s="343" t="n"/>
      <c r="L412" s="280" t="n"/>
      <c r="M412" s="280" t="n"/>
      <c r="N412" s="345" t="n"/>
      <c r="O412" s="280" t="n"/>
      <c r="P412" s="332">
        <f>IFERROR(VLOOKUP(TEXT(O412,"0"),CONDUCTORES!$A$3:$G$54,2,0),"")</f>
        <v/>
      </c>
      <c r="Q412" s="332">
        <f>IFERROR(VLOOKUP(TEXT(O412,"0"),CONDUCTORES!$A$3:$H$54,6,0),"")</f>
        <v/>
      </c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350" t="n"/>
      <c r="AA412" s="198" t="n"/>
      <c r="AB412" s="198" t="n"/>
      <c r="AC412" s="198" t="n"/>
    </row>
    <row r="413" ht="15" customHeight="1" s="195">
      <c r="A413" s="280" t="n"/>
      <c r="B413" s="280" t="n"/>
      <c r="C413" s="280" t="n"/>
      <c r="D413" s="280" t="n"/>
      <c r="E413" s="280" t="n"/>
      <c r="F413" s="280" t="n"/>
      <c r="G413" s="280" t="n"/>
      <c r="H413" s="280" t="n"/>
      <c r="I413" s="332">
        <f>IFERROR(VLOOKUP(TEXT(H413,"0"),IPRESS!$A$3:$B$212,2,0),"")</f>
        <v/>
      </c>
      <c r="J413" s="280" t="n"/>
      <c r="K413" s="343" t="n"/>
      <c r="L413" s="280" t="n"/>
      <c r="M413" s="280" t="n"/>
      <c r="N413" s="345" t="n"/>
      <c r="O413" s="280" t="n"/>
      <c r="P413" s="332">
        <f>IFERROR(VLOOKUP(TEXT(O413,"0"),CONDUCTORES!$A$3:$G$54,2,0),"")</f>
        <v/>
      </c>
      <c r="Q413" s="332">
        <f>IFERROR(VLOOKUP(TEXT(O413,"0"),CONDUCTORES!$A$3:$H$54,6,0),"")</f>
        <v/>
      </c>
      <c r="R413" s="280" t="n"/>
      <c r="S413" s="280" t="n"/>
      <c r="T413" s="280" t="n"/>
      <c r="U413" s="280" t="n"/>
      <c r="V413" s="280" t="n"/>
      <c r="W413" s="280" t="n"/>
      <c r="X413" s="280" t="n"/>
      <c r="Y413" s="280" t="n"/>
      <c r="Z413" s="350" t="n"/>
      <c r="AA413" s="198" t="n"/>
      <c r="AB413" s="198" t="n"/>
      <c r="AC413" s="198" t="n"/>
    </row>
    <row r="414" ht="15" customHeight="1" s="195">
      <c r="A414" s="280" t="n"/>
      <c r="B414" s="280" t="n"/>
      <c r="C414" s="280" t="n"/>
      <c r="D414" s="280" t="n"/>
      <c r="E414" s="280" t="n"/>
      <c r="F414" s="280" t="n"/>
      <c r="G414" s="280" t="n"/>
      <c r="H414" s="280" t="n"/>
      <c r="I414" s="332">
        <f>IFERROR(VLOOKUP(TEXT(H414,"0"),IPRESS!$A$3:$B$212,2,0),"")</f>
        <v/>
      </c>
      <c r="J414" s="280" t="n"/>
      <c r="K414" s="343" t="n"/>
      <c r="L414" s="280" t="n"/>
      <c r="M414" s="280" t="n"/>
      <c r="N414" s="345" t="n"/>
      <c r="O414" s="280" t="n"/>
      <c r="P414" s="332">
        <f>IFERROR(VLOOKUP(TEXT(O414,"0"),CONDUCTORES!$A$3:$G$54,2,0),"")</f>
        <v/>
      </c>
      <c r="Q414" s="332">
        <f>IFERROR(VLOOKUP(TEXT(O414,"0"),CONDUCTORES!$A$3:$H$54,6,0),"")</f>
        <v/>
      </c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350" t="n"/>
      <c r="AA414" s="198" t="n"/>
      <c r="AB414" s="198" t="n"/>
      <c r="AC414" s="198" t="n"/>
    </row>
    <row r="415" ht="15" customHeight="1" s="195">
      <c r="A415" s="280" t="n"/>
      <c r="B415" s="280" t="n"/>
      <c r="C415" s="280" t="n"/>
      <c r="D415" s="280" t="n"/>
      <c r="E415" s="280" t="n"/>
      <c r="F415" s="280" t="n"/>
      <c r="G415" s="280" t="n"/>
      <c r="H415" s="280" t="n"/>
      <c r="I415" s="332">
        <f>IFERROR(VLOOKUP(TEXT(H415,"0"),IPRESS!$A$3:$B$212,2,0),"")</f>
        <v/>
      </c>
      <c r="J415" s="280" t="n"/>
      <c r="K415" s="343" t="n"/>
      <c r="L415" s="280" t="n"/>
      <c r="M415" s="280" t="n"/>
      <c r="N415" s="345" t="n"/>
      <c r="O415" s="280" t="n"/>
      <c r="P415" s="332">
        <f>IFERROR(VLOOKUP(TEXT(O415,"0"),CONDUCTORES!$A$3:$G$54,2,0),"")</f>
        <v/>
      </c>
      <c r="Q415" s="332">
        <f>IFERROR(VLOOKUP(TEXT(O415,"0"),CONDUCTORES!$A$3:$H$54,6,0),"")</f>
        <v/>
      </c>
      <c r="R415" s="280" t="n"/>
      <c r="S415" s="280" t="n"/>
      <c r="T415" s="280" t="n"/>
      <c r="U415" s="280" t="n"/>
      <c r="V415" s="280" t="n"/>
      <c r="W415" s="280" t="n"/>
      <c r="X415" s="280" t="n"/>
      <c r="Y415" s="280" t="n"/>
      <c r="Z415" s="350" t="n"/>
      <c r="AA415" s="198" t="n"/>
      <c r="AB415" s="198" t="n"/>
      <c r="AC415" s="198" t="n"/>
    </row>
    <row r="416" ht="15" customHeight="1" s="195">
      <c r="A416" s="280" t="n"/>
      <c r="B416" s="280" t="n"/>
      <c r="C416" s="280" t="n"/>
      <c r="D416" s="280" t="n"/>
      <c r="E416" s="280" t="n"/>
      <c r="F416" s="280" t="n"/>
      <c r="G416" s="280" t="n"/>
      <c r="H416" s="280" t="n"/>
      <c r="I416" s="332">
        <f>IFERROR(VLOOKUP(TEXT(H416,"0"),IPRESS!$A$3:$B$212,2,0),"")</f>
        <v/>
      </c>
      <c r="J416" s="280" t="n"/>
      <c r="K416" s="343" t="n"/>
      <c r="L416" s="280" t="n"/>
      <c r="M416" s="280" t="n"/>
      <c r="N416" s="345" t="n"/>
      <c r="O416" s="280" t="n"/>
      <c r="P416" s="332">
        <f>IFERROR(VLOOKUP(TEXT(O416,"0"),CONDUCTORES!$A$3:$G$54,2,0),"")</f>
        <v/>
      </c>
      <c r="Q416" s="332">
        <f>IFERROR(VLOOKUP(TEXT(O416,"0"),CONDUCTORES!$A$3:$H$54,6,0),"")</f>
        <v/>
      </c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350" t="n"/>
      <c r="AA416" s="198" t="n"/>
      <c r="AB416" s="198" t="n"/>
      <c r="AC416" s="198" t="n"/>
    </row>
    <row r="417" ht="15" customHeight="1" s="195">
      <c r="A417" s="280" t="n"/>
      <c r="B417" s="280" t="n"/>
      <c r="C417" s="280" t="n"/>
      <c r="D417" s="280" t="n"/>
      <c r="E417" s="280" t="n"/>
      <c r="F417" s="280" t="n"/>
      <c r="G417" s="280" t="n"/>
      <c r="H417" s="280" t="n"/>
      <c r="I417" s="332">
        <f>IFERROR(VLOOKUP(TEXT(H417,"0"),IPRESS!$A$3:$B$212,2,0),"")</f>
        <v/>
      </c>
      <c r="J417" s="280" t="n"/>
      <c r="K417" s="343" t="n"/>
      <c r="L417" s="280" t="n"/>
      <c r="M417" s="280" t="n"/>
      <c r="N417" s="345" t="n"/>
      <c r="O417" s="280" t="n"/>
      <c r="P417" s="332">
        <f>IFERROR(VLOOKUP(TEXT(O417,"0"),CONDUCTORES!$A$3:$G$54,2,0),"")</f>
        <v/>
      </c>
      <c r="Q417" s="332">
        <f>IFERROR(VLOOKUP(TEXT(O417,"0"),CONDUCTORES!$A$3:$H$54,6,0),"")</f>
        <v/>
      </c>
      <c r="R417" s="280" t="n"/>
      <c r="S417" s="280" t="n"/>
      <c r="T417" s="280" t="n"/>
      <c r="U417" s="280" t="n"/>
      <c r="V417" s="280" t="n"/>
      <c r="W417" s="280" t="n"/>
      <c r="X417" s="280" t="n"/>
      <c r="Y417" s="280" t="n"/>
      <c r="Z417" s="350" t="n"/>
      <c r="AA417" s="198" t="n"/>
      <c r="AB417" s="198" t="n"/>
      <c r="AC417" s="198" t="n"/>
    </row>
    <row r="418" ht="15" customHeight="1" s="195">
      <c r="A418" s="280" t="n"/>
      <c r="B418" s="280" t="n"/>
      <c r="C418" s="280" t="n"/>
      <c r="D418" s="280" t="n"/>
      <c r="E418" s="280" t="n"/>
      <c r="F418" s="280" t="n"/>
      <c r="G418" s="280" t="n"/>
      <c r="H418" s="280" t="n"/>
      <c r="I418" s="332">
        <f>IFERROR(VLOOKUP(TEXT(H418,"0"),IPRESS!$A$3:$B$212,2,0),"")</f>
        <v/>
      </c>
      <c r="J418" s="280" t="n"/>
      <c r="K418" s="343" t="n"/>
      <c r="L418" s="280" t="n"/>
      <c r="M418" s="280" t="n"/>
      <c r="N418" s="345" t="n"/>
      <c r="O418" s="280" t="n"/>
      <c r="P418" s="332">
        <f>IFERROR(VLOOKUP(TEXT(O418,"0"),CONDUCTORES!$A$3:$G$54,2,0),"")</f>
        <v/>
      </c>
      <c r="Q418" s="332">
        <f>IFERROR(VLOOKUP(TEXT(O418,"0"),CONDUCTORES!$A$3:$H$54,6,0),"")</f>
        <v/>
      </c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350" t="n"/>
      <c r="AA418" s="198" t="n"/>
      <c r="AB418" s="198" t="n"/>
      <c r="AC418" s="198" t="n"/>
    </row>
    <row r="419" ht="15" customHeight="1" s="195">
      <c r="A419" s="280" t="n"/>
      <c r="B419" s="280" t="n"/>
      <c r="C419" s="280" t="n"/>
      <c r="D419" s="280" t="n"/>
      <c r="E419" s="280" t="n"/>
      <c r="F419" s="280" t="n"/>
      <c r="G419" s="280" t="n"/>
      <c r="H419" s="280" t="n"/>
      <c r="I419" s="332">
        <f>IFERROR(VLOOKUP(TEXT(H419,"0"),IPRESS!$A$3:$B$212,2,0),"")</f>
        <v/>
      </c>
      <c r="J419" s="280" t="n"/>
      <c r="K419" s="343" t="n"/>
      <c r="L419" s="280" t="n"/>
      <c r="M419" s="280" t="n"/>
      <c r="N419" s="345" t="n"/>
      <c r="O419" s="280" t="n"/>
      <c r="P419" s="332">
        <f>IFERROR(VLOOKUP(TEXT(O419,"0"),CONDUCTORES!$A$3:$G$54,2,0),"")</f>
        <v/>
      </c>
      <c r="Q419" s="332">
        <f>IFERROR(VLOOKUP(TEXT(O419,"0"),CONDUCTORES!$A$3:$H$54,6,0),"")</f>
        <v/>
      </c>
      <c r="R419" s="280" t="n"/>
      <c r="S419" s="280" t="n"/>
      <c r="T419" s="280" t="n"/>
      <c r="U419" s="280" t="n"/>
      <c r="V419" s="280" t="n"/>
      <c r="W419" s="280" t="n"/>
      <c r="X419" s="280" t="n"/>
      <c r="Y419" s="280" t="n"/>
      <c r="Z419" s="350" t="n"/>
      <c r="AA419" s="198" t="n"/>
      <c r="AB419" s="198" t="n"/>
      <c r="AC419" s="198" t="n"/>
    </row>
    <row r="420" ht="15" customHeight="1" s="195">
      <c r="A420" s="280" t="n"/>
      <c r="B420" s="280" t="n"/>
      <c r="C420" s="280" t="n"/>
      <c r="D420" s="280" t="n"/>
      <c r="E420" s="280" t="n"/>
      <c r="F420" s="280" t="n"/>
      <c r="G420" s="280" t="n"/>
      <c r="H420" s="280" t="n"/>
      <c r="I420" s="332">
        <f>IFERROR(VLOOKUP(TEXT(H420,"0"),IPRESS!$A$3:$B$212,2,0),"")</f>
        <v/>
      </c>
      <c r="J420" s="280" t="n"/>
      <c r="K420" s="343" t="n"/>
      <c r="L420" s="280" t="n"/>
      <c r="M420" s="280" t="n"/>
      <c r="N420" s="345" t="n"/>
      <c r="O420" s="280" t="n"/>
      <c r="P420" s="332">
        <f>IFERROR(VLOOKUP(TEXT(O420,"0"),CONDUCTORES!$A$3:$G$54,2,0),"")</f>
        <v/>
      </c>
      <c r="Q420" s="332">
        <f>IFERROR(VLOOKUP(TEXT(O420,"0"),CONDUCTORES!$A$3:$H$54,6,0),"")</f>
        <v/>
      </c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350" t="n"/>
      <c r="AA420" s="198" t="n"/>
      <c r="AB420" s="198" t="n"/>
      <c r="AC420" s="198" t="n"/>
    </row>
    <row r="421" ht="15" customHeight="1" s="195">
      <c r="A421" s="280" t="n"/>
      <c r="B421" s="280" t="n"/>
      <c r="C421" s="280" t="n"/>
      <c r="D421" s="280" t="n"/>
      <c r="E421" s="280" t="n"/>
      <c r="F421" s="280" t="n"/>
      <c r="G421" s="280" t="n"/>
      <c r="H421" s="280" t="n"/>
      <c r="I421" s="332">
        <f>IFERROR(VLOOKUP(TEXT(H421,"0"),IPRESS!$A$3:$B$212,2,0),"")</f>
        <v/>
      </c>
      <c r="J421" s="280" t="n"/>
      <c r="K421" s="343" t="n"/>
      <c r="L421" s="280" t="n"/>
      <c r="M421" s="280" t="n"/>
      <c r="N421" s="345" t="n"/>
      <c r="O421" s="280" t="n"/>
      <c r="P421" s="332">
        <f>IFERROR(VLOOKUP(TEXT(O421,"0"),CONDUCTORES!$A$3:$G$54,2,0),"")</f>
        <v/>
      </c>
      <c r="Q421" s="332">
        <f>IFERROR(VLOOKUP(TEXT(O421,"0"),CONDUCTORES!$A$3:$H$54,6,0),"")</f>
        <v/>
      </c>
      <c r="R421" s="280" t="n"/>
      <c r="S421" s="280" t="n"/>
      <c r="T421" s="280" t="n"/>
      <c r="U421" s="280" t="n"/>
      <c r="V421" s="280" t="n"/>
      <c r="W421" s="280" t="n"/>
      <c r="X421" s="280" t="n"/>
      <c r="Y421" s="280" t="n"/>
      <c r="Z421" s="350" t="n"/>
      <c r="AA421" s="198" t="n"/>
      <c r="AB421" s="198" t="n"/>
      <c r="AC421" s="198" t="n"/>
    </row>
    <row r="422" ht="15" customHeight="1" s="195">
      <c r="A422" s="280" t="n"/>
      <c r="B422" s="280" t="n"/>
      <c r="C422" s="280" t="n"/>
      <c r="D422" s="280" t="n"/>
      <c r="E422" s="280" t="n"/>
      <c r="F422" s="280" t="n"/>
      <c r="G422" s="280" t="n"/>
      <c r="H422" s="280" t="n"/>
      <c r="I422" s="332">
        <f>IFERROR(VLOOKUP(TEXT(H422,"0"),IPRESS!$A$3:$B$212,2,0),"")</f>
        <v/>
      </c>
      <c r="J422" s="280" t="n"/>
      <c r="K422" s="343" t="n"/>
      <c r="L422" s="280" t="n"/>
      <c r="M422" s="280" t="n"/>
      <c r="N422" s="345" t="n"/>
      <c r="O422" s="280" t="n"/>
      <c r="P422" s="332">
        <f>IFERROR(VLOOKUP(TEXT(O422,"0"),CONDUCTORES!$A$3:$G$54,2,0),"")</f>
        <v/>
      </c>
      <c r="Q422" s="332">
        <f>IFERROR(VLOOKUP(TEXT(O422,"0"),CONDUCTORES!$A$3:$H$54,6,0),"")</f>
        <v/>
      </c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350" t="n"/>
      <c r="AA422" s="198" t="n"/>
      <c r="AB422" s="198" t="n"/>
      <c r="AC422" s="198" t="n"/>
    </row>
    <row r="423" ht="15" customHeight="1" s="195">
      <c r="A423" s="280" t="n"/>
      <c r="B423" s="280" t="n"/>
      <c r="C423" s="280" t="n"/>
      <c r="D423" s="280" t="n"/>
      <c r="E423" s="280" t="n"/>
      <c r="F423" s="280" t="n"/>
      <c r="G423" s="280" t="n"/>
      <c r="H423" s="280" t="n"/>
      <c r="I423" s="332">
        <f>IFERROR(VLOOKUP(TEXT(H423,"0"),IPRESS!$A$3:$B$212,2,0),"")</f>
        <v/>
      </c>
      <c r="J423" s="280" t="n"/>
      <c r="K423" s="343" t="n"/>
      <c r="L423" s="280" t="n"/>
      <c r="M423" s="280" t="n"/>
      <c r="N423" s="345" t="n"/>
      <c r="O423" s="280" t="n"/>
      <c r="P423" s="332">
        <f>IFERROR(VLOOKUP(TEXT(O423,"0"),CONDUCTORES!$A$3:$G$54,2,0),"")</f>
        <v/>
      </c>
      <c r="Q423" s="332">
        <f>IFERROR(VLOOKUP(TEXT(O423,"0"),CONDUCTORES!$A$3:$H$54,6,0),"")</f>
        <v/>
      </c>
      <c r="R423" s="280" t="n"/>
      <c r="S423" s="280" t="n"/>
      <c r="T423" s="280" t="n"/>
      <c r="U423" s="280" t="n"/>
      <c r="V423" s="280" t="n"/>
      <c r="W423" s="280" t="n"/>
      <c r="X423" s="280" t="n"/>
      <c r="Y423" s="280" t="n"/>
      <c r="Z423" s="350" t="n"/>
      <c r="AA423" s="198" t="n"/>
      <c r="AB423" s="198" t="n"/>
      <c r="AC423" s="198" t="n"/>
    </row>
    <row r="424" ht="15" customHeight="1" s="195">
      <c r="A424" s="280" t="n"/>
      <c r="B424" s="280" t="n"/>
      <c r="C424" s="280" t="n"/>
      <c r="D424" s="280" t="n"/>
      <c r="E424" s="280" t="n"/>
      <c r="F424" s="280" t="n"/>
      <c r="G424" s="280" t="n"/>
      <c r="H424" s="280" t="n"/>
      <c r="I424" s="332">
        <f>IFERROR(VLOOKUP(TEXT(H424,"0"),IPRESS!$A$3:$B$212,2,0),"")</f>
        <v/>
      </c>
      <c r="J424" s="280" t="n"/>
      <c r="K424" s="343" t="n"/>
      <c r="L424" s="280" t="n"/>
      <c r="M424" s="280" t="n"/>
      <c r="N424" s="345" t="n"/>
      <c r="O424" s="280" t="n"/>
      <c r="P424" s="332">
        <f>IFERROR(VLOOKUP(TEXT(O424,"0"),CONDUCTORES!$A$3:$G$54,2,0),"")</f>
        <v/>
      </c>
      <c r="Q424" s="332">
        <f>IFERROR(VLOOKUP(TEXT(O424,"0"),CONDUCTORES!$A$3:$H$54,6,0),"")</f>
        <v/>
      </c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350" t="n"/>
      <c r="AA424" s="198" t="n"/>
      <c r="AB424" s="198" t="n"/>
      <c r="AC424" s="198" t="n"/>
    </row>
    <row r="425" ht="15" customHeight="1" s="195">
      <c r="A425" s="280" t="n"/>
      <c r="B425" s="280" t="n"/>
      <c r="C425" s="280" t="n"/>
      <c r="D425" s="280" t="n"/>
      <c r="E425" s="280" t="n"/>
      <c r="F425" s="280" t="n"/>
      <c r="G425" s="280" t="n"/>
      <c r="H425" s="280" t="n"/>
      <c r="I425" s="332">
        <f>IFERROR(VLOOKUP(TEXT(H425,"0"),IPRESS!$A$3:$B$212,2,0),"")</f>
        <v/>
      </c>
      <c r="J425" s="280" t="n"/>
      <c r="K425" s="343" t="n"/>
      <c r="L425" s="280" t="n"/>
      <c r="M425" s="280" t="n"/>
      <c r="N425" s="345" t="n"/>
      <c r="O425" s="280" t="n"/>
      <c r="P425" s="332">
        <f>IFERROR(VLOOKUP(TEXT(O425,"0"),CONDUCTORES!$A$3:$G$54,2,0),"")</f>
        <v/>
      </c>
      <c r="Q425" s="332">
        <f>IFERROR(VLOOKUP(TEXT(O425,"0"),CONDUCTORES!$A$3:$H$54,6,0),"")</f>
        <v/>
      </c>
      <c r="R425" s="280" t="n"/>
      <c r="S425" s="280" t="n"/>
      <c r="T425" s="280" t="n"/>
      <c r="U425" s="280" t="n"/>
      <c r="V425" s="280" t="n"/>
      <c r="W425" s="280" t="n"/>
      <c r="X425" s="280" t="n"/>
      <c r="Y425" s="280" t="n"/>
      <c r="Z425" s="350" t="n"/>
      <c r="AA425" s="198" t="n"/>
      <c r="AB425" s="198" t="n"/>
      <c r="AC425" s="198" t="n"/>
    </row>
    <row r="426" ht="15" customHeight="1" s="195">
      <c r="A426" s="280" t="n"/>
      <c r="B426" s="280" t="n"/>
      <c r="C426" s="280" t="n"/>
      <c r="D426" s="280" t="n"/>
      <c r="E426" s="280" t="n"/>
      <c r="F426" s="280" t="n"/>
      <c r="G426" s="280" t="n"/>
      <c r="H426" s="280" t="n"/>
      <c r="I426" s="332">
        <f>IFERROR(VLOOKUP(TEXT(H426,"0"),IPRESS!$A$3:$B$212,2,0),"")</f>
        <v/>
      </c>
      <c r="J426" s="280" t="n"/>
      <c r="K426" s="343" t="n"/>
      <c r="L426" s="280" t="n"/>
      <c r="M426" s="280" t="n"/>
      <c r="N426" s="345" t="n"/>
      <c r="O426" s="280" t="n"/>
      <c r="P426" s="332">
        <f>IFERROR(VLOOKUP(TEXT(O426,"0"),CONDUCTORES!$A$3:$G$54,2,0),"")</f>
        <v/>
      </c>
      <c r="Q426" s="332">
        <f>IFERROR(VLOOKUP(TEXT(O426,"0"),CONDUCTORES!$A$3:$H$54,6,0),"")</f>
        <v/>
      </c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350" t="n"/>
      <c r="AA426" s="198" t="n"/>
      <c r="AB426" s="198" t="n"/>
      <c r="AC426" s="198" t="n"/>
    </row>
    <row r="427" ht="15" customHeight="1" s="195">
      <c r="A427" s="280" t="n"/>
      <c r="B427" s="280" t="n"/>
      <c r="C427" s="280" t="n"/>
      <c r="D427" s="280" t="n"/>
      <c r="E427" s="280" t="n"/>
      <c r="F427" s="280" t="n"/>
      <c r="G427" s="280" t="n"/>
      <c r="H427" s="280" t="n"/>
      <c r="I427" s="332">
        <f>IFERROR(VLOOKUP(TEXT(H427,"0"),IPRESS!$A$3:$B$212,2,0),"")</f>
        <v/>
      </c>
      <c r="J427" s="280" t="n"/>
      <c r="K427" s="343" t="n"/>
      <c r="L427" s="280" t="n"/>
      <c r="M427" s="280" t="n"/>
      <c r="N427" s="345" t="n"/>
      <c r="O427" s="280" t="n"/>
      <c r="P427" s="332">
        <f>IFERROR(VLOOKUP(TEXT(O427,"0"),CONDUCTORES!$A$3:$G$54,2,0),"")</f>
        <v/>
      </c>
      <c r="Q427" s="332">
        <f>IFERROR(VLOOKUP(TEXT(O427,"0"),CONDUCTORES!$A$3:$H$54,6,0),"")</f>
        <v/>
      </c>
      <c r="R427" s="280" t="n"/>
      <c r="S427" s="280" t="n"/>
      <c r="T427" s="280" t="n"/>
      <c r="U427" s="280" t="n"/>
      <c r="V427" s="280" t="n"/>
      <c r="W427" s="280" t="n"/>
      <c r="X427" s="280" t="n"/>
      <c r="Y427" s="280" t="n"/>
      <c r="Z427" s="350" t="n"/>
      <c r="AA427" s="198" t="n"/>
      <c r="AB427" s="198" t="n"/>
      <c r="AC427" s="198" t="n"/>
    </row>
    <row r="428" ht="15" customHeight="1" s="195">
      <c r="A428" s="280" t="n"/>
      <c r="B428" s="280" t="n"/>
      <c r="C428" s="280" t="n"/>
      <c r="D428" s="280" t="n"/>
      <c r="E428" s="280" t="n"/>
      <c r="F428" s="280" t="n"/>
      <c r="G428" s="280" t="n"/>
      <c r="H428" s="280" t="n"/>
      <c r="I428" s="332">
        <f>IFERROR(VLOOKUP(TEXT(H428,"0"),IPRESS!$A$3:$B$212,2,0),"")</f>
        <v/>
      </c>
      <c r="J428" s="280" t="n"/>
      <c r="K428" s="343" t="n"/>
      <c r="L428" s="280" t="n"/>
      <c r="M428" s="280" t="n"/>
      <c r="N428" s="345" t="n"/>
      <c r="O428" s="280" t="n"/>
      <c r="P428" s="332">
        <f>IFERROR(VLOOKUP(TEXT(O428,"0"),CONDUCTORES!$A$3:$G$54,2,0),"")</f>
        <v/>
      </c>
      <c r="Q428" s="332">
        <f>IFERROR(VLOOKUP(TEXT(O428,"0"),CONDUCTORES!$A$3:$H$54,6,0),"")</f>
        <v/>
      </c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350" t="n"/>
      <c r="AA428" s="198" t="n"/>
      <c r="AB428" s="198" t="n"/>
      <c r="AC428" s="198" t="n"/>
    </row>
    <row r="429" ht="15" customHeight="1" s="195">
      <c r="A429" s="280" t="n"/>
      <c r="B429" s="280" t="n"/>
      <c r="C429" s="280" t="n"/>
      <c r="D429" s="280" t="n"/>
      <c r="E429" s="280" t="n"/>
      <c r="F429" s="280" t="n"/>
      <c r="G429" s="280" t="n"/>
      <c r="H429" s="280" t="n"/>
      <c r="I429" s="332">
        <f>IFERROR(VLOOKUP(TEXT(H429,"0"),IPRESS!$A$3:$B$212,2,0),"")</f>
        <v/>
      </c>
      <c r="J429" s="280" t="n"/>
      <c r="K429" s="343" t="n"/>
      <c r="L429" s="280" t="n"/>
      <c r="M429" s="280" t="n"/>
      <c r="N429" s="345" t="n"/>
      <c r="O429" s="280" t="n"/>
      <c r="P429" s="332">
        <f>IFERROR(VLOOKUP(TEXT(O429,"0"),CONDUCTORES!$A$3:$G$54,2,0),"")</f>
        <v/>
      </c>
      <c r="Q429" s="332">
        <f>IFERROR(VLOOKUP(TEXT(O429,"0"),CONDUCTORES!$A$3:$H$54,6,0),"")</f>
        <v/>
      </c>
      <c r="R429" s="280" t="n"/>
      <c r="S429" s="280" t="n"/>
      <c r="T429" s="280" t="n"/>
      <c r="U429" s="280" t="n"/>
      <c r="V429" s="280" t="n"/>
      <c r="W429" s="280" t="n"/>
      <c r="X429" s="280" t="n"/>
      <c r="Y429" s="280" t="n"/>
      <c r="Z429" s="350" t="n"/>
      <c r="AA429" s="198" t="n"/>
      <c r="AB429" s="198" t="n"/>
      <c r="AC429" s="198" t="n"/>
    </row>
    <row r="430" ht="15" customHeight="1" s="195">
      <c r="A430" s="280" t="n"/>
      <c r="B430" s="280" t="n"/>
      <c r="C430" s="280" t="n"/>
      <c r="D430" s="280" t="n"/>
      <c r="E430" s="280" t="n"/>
      <c r="F430" s="280" t="n"/>
      <c r="G430" s="280" t="n"/>
      <c r="H430" s="280" t="n"/>
      <c r="I430" s="332">
        <f>IFERROR(VLOOKUP(TEXT(H430,"0"),IPRESS!$A$3:$B$212,2,0),"")</f>
        <v/>
      </c>
      <c r="J430" s="280" t="n"/>
      <c r="K430" s="343" t="n"/>
      <c r="L430" s="280" t="n"/>
      <c r="M430" s="280" t="n"/>
      <c r="N430" s="345" t="n"/>
      <c r="O430" s="280" t="n"/>
      <c r="P430" s="332">
        <f>IFERROR(VLOOKUP(TEXT(O430,"0"),CONDUCTORES!$A$3:$G$54,2,0),"")</f>
        <v/>
      </c>
      <c r="Q430" s="332">
        <f>IFERROR(VLOOKUP(TEXT(O430,"0"),CONDUCTORES!$A$3:$H$54,6,0),"")</f>
        <v/>
      </c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350" t="n"/>
      <c r="AA430" s="198" t="n"/>
      <c r="AB430" s="198" t="n"/>
      <c r="AC430" s="198" t="n"/>
    </row>
    <row r="431" ht="15" customHeight="1" s="195">
      <c r="A431" s="280" t="n"/>
      <c r="B431" s="280" t="n"/>
      <c r="C431" s="280" t="n"/>
      <c r="D431" s="280" t="n"/>
      <c r="E431" s="280" t="n"/>
      <c r="F431" s="280" t="n"/>
      <c r="G431" s="280" t="n"/>
      <c r="H431" s="280" t="n"/>
      <c r="I431" s="332">
        <f>IFERROR(VLOOKUP(TEXT(H431,"0"),IPRESS!$A$3:$B$212,2,0),"")</f>
        <v/>
      </c>
      <c r="J431" s="280" t="n"/>
      <c r="K431" s="343" t="n"/>
      <c r="L431" s="280" t="n"/>
      <c r="M431" s="280" t="n"/>
      <c r="N431" s="345" t="n"/>
      <c r="O431" s="280" t="n"/>
      <c r="P431" s="332">
        <f>IFERROR(VLOOKUP(TEXT(O431,"0"),CONDUCTORES!$A$3:$G$54,2,0),"")</f>
        <v/>
      </c>
      <c r="Q431" s="332">
        <f>IFERROR(VLOOKUP(TEXT(O431,"0"),CONDUCTORES!$A$3:$H$54,6,0),"")</f>
        <v/>
      </c>
      <c r="R431" s="280" t="n"/>
      <c r="S431" s="280" t="n"/>
      <c r="T431" s="280" t="n"/>
      <c r="U431" s="280" t="n"/>
      <c r="V431" s="280" t="n"/>
      <c r="W431" s="280" t="n"/>
      <c r="X431" s="280" t="n"/>
      <c r="Y431" s="280" t="n"/>
      <c r="Z431" s="350" t="n"/>
      <c r="AA431" s="198" t="n"/>
      <c r="AB431" s="198" t="n"/>
      <c r="AC431" s="198" t="n"/>
    </row>
    <row r="432" ht="15" customHeight="1" s="195">
      <c r="A432" s="280" t="n"/>
      <c r="B432" s="280" t="n"/>
      <c r="C432" s="280" t="n"/>
      <c r="D432" s="280" t="n"/>
      <c r="E432" s="280" t="n"/>
      <c r="F432" s="280" t="n"/>
      <c r="G432" s="280" t="n"/>
      <c r="H432" s="280" t="n"/>
      <c r="I432" s="332">
        <f>IFERROR(VLOOKUP(TEXT(H432,"0"),IPRESS!$A$3:$B$212,2,0),"")</f>
        <v/>
      </c>
      <c r="J432" s="280" t="n"/>
      <c r="K432" s="343" t="n"/>
      <c r="L432" s="280" t="n"/>
      <c r="M432" s="280" t="n"/>
      <c r="N432" s="345" t="n"/>
      <c r="O432" s="280" t="n"/>
      <c r="P432" s="332">
        <f>IFERROR(VLOOKUP(TEXT(O432,"0"),CONDUCTORES!$A$3:$G$54,2,0),"")</f>
        <v/>
      </c>
      <c r="Q432" s="332">
        <f>IFERROR(VLOOKUP(TEXT(O432,"0"),CONDUCTORES!$A$3:$H$54,6,0),"")</f>
        <v/>
      </c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350" t="n"/>
      <c r="AA432" s="198" t="n"/>
      <c r="AB432" s="198" t="n"/>
      <c r="AC432" s="198" t="n"/>
    </row>
    <row r="433" ht="15" customHeight="1" s="195">
      <c r="A433" s="280" t="n"/>
      <c r="B433" s="280" t="n"/>
      <c r="C433" s="280" t="n"/>
      <c r="D433" s="280" t="n"/>
      <c r="E433" s="280" t="n"/>
      <c r="F433" s="280" t="n"/>
      <c r="G433" s="280" t="n"/>
      <c r="H433" s="280" t="n"/>
      <c r="I433" s="332">
        <f>IFERROR(VLOOKUP(TEXT(H433,"0"),IPRESS!$A$3:$B$212,2,0),"")</f>
        <v/>
      </c>
      <c r="J433" s="280" t="n"/>
      <c r="K433" s="343" t="n"/>
      <c r="L433" s="280" t="n"/>
      <c r="M433" s="280" t="n"/>
      <c r="N433" s="345" t="n"/>
      <c r="O433" s="280" t="n"/>
      <c r="P433" s="332">
        <f>IFERROR(VLOOKUP(TEXT(O433,"0"),CONDUCTORES!$A$3:$G$54,2,0),"")</f>
        <v/>
      </c>
      <c r="Q433" s="332">
        <f>IFERROR(VLOOKUP(TEXT(O433,"0"),CONDUCTORES!$A$3:$H$54,6,0),"")</f>
        <v/>
      </c>
      <c r="R433" s="280" t="n"/>
      <c r="S433" s="280" t="n"/>
      <c r="T433" s="280" t="n"/>
      <c r="U433" s="280" t="n"/>
      <c r="V433" s="280" t="n"/>
      <c r="W433" s="280" t="n"/>
      <c r="X433" s="280" t="n"/>
      <c r="Y433" s="280" t="n"/>
      <c r="Z433" s="350" t="n"/>
      <c r="AA433" s="198" t="n"/>
      <c r="AB433" s="198" t="n"/>
      <c r="AC433" s="198" t="n"/>
    </row>
    <row r="434" ht="15" customHeight="1" s="195">
      <c r="A434" s="280" t="n"/>
      <c r="B434" s="280" t="n"/>
      <c r="C434" s="280" t="n"/>
      <c r="D434" s="280" t="n"/>
      <c r="E434" s="280" t="n"/>
      <c r="F434" s="280" t="n"/>
      <c r="G434" s="280" t="n"/>
      <c r="H434" s="280" t="n"/>
      <c r="I434" s="332">
        <f>IFERROR(VLOOKUP(TEXT(H434,"0"),IPRESS!$A$3:$B$212,2,0),"")</f>
        <v/>
      </c>
      <c r="J434" s="280" t="n"/>
      <c r="K434" s="343" t="n"/>
      <c r="L434" s="280" t="n"/>
      <c r="M434" s="280" t="n"/>
      <c r="N434" s="345" t="n"/>
      <c r="O434" s="280" t="n"/>
      <c r="P434" s="332">
        <f>IFERROR(VLOOKUP(TEXT(O434,"0"),CONDUCTORES!$A$3:$G$54,2,0),"")</f>
        <v/>
      </c>
      <c r="Q434" s="332">
        <f>IFERROR(VLOOKUP(TEXT(O434,"0"),CONDUCTORES!$A$3:$H$54,6,0),"")</f>
        <v/>
      </c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350" t="n"/>
      <c r="AA434" s="198" t="n"/>
      <c r="AB434" s="198" t="n"/>
      <c r="AC434" s="198" t="n"/>
    </row>
    <row r="435" ht="15" customHeight="1" s="195">
      <c r="A435" s="280" t="n"/>
      <c r="B435" s="280" t="n"/>
      <c r="C435" s="280" t="n"/>
      <c r="D435" s="280" t="n"/>
      <c r="E435" s="280" t="n"/>
      <c r="F435" s="280" t="n"/>
      <c r="G435" s="280" t="n"/>
      <c r="H435" s="280" t="n"/>
      <c r="I435" s="332">
        <f>IFERROR(VLOOKUP(TEXT(H435,"0"),IPRESS!$A$3:$B$212,2,0),"")</f>
        <v/>
      </c>
      <c r="J435" s="280" t="n"/>
      <c r="K435" s="343" t="n"/>
      <c r="L435" s="280" t="n"/>
      <c r="M435" s="280" t="n"/>
      <c r="N435" s="345" t="n"/>
      <c r="O435" s="280" t="n"/>
      <c r="P435" s="332">
        <f>IFERROR(VLOOKUP(TEXT(O435,"0"),CONDUCTORES!$A$3:$G$54,2,0),"")</f>
        <v/>
      </c>
      <c r="Q435" s="332">
        <f>IFERROR(VLOOKUP(TEXT(O435,"0"),CONDUCTORES!$A$3:$H$54,6,0),"")</f>
        <v/>
      </c>
      <c r="R435" s="280" t="n"/>
      <c r="S435" s="280" t="n"/>
      <c r="T435" s="280" t="n"/>
      <c r="U435" s="280" t="n"/>
      <c r="V435" s="280" t="n"/>
      <c r="W435" s="280" t="n"/>
      <c r="X435" s="280" t="n"/>
      <c r="Y435" s="280" t="n"/>
      <c r="Z435" s="350" t="n"/>
      <c r="AA435" s="198" t="n"/>
      <c r="AB435" s="198" t="n"/>
      <c r="AC435" s="198" t="n"/>
    </row>
    <row r="436" ht="15" customHeight="1" s="195">
      <c r="A436" s="280" t="n"/>
      <c r="B436" s="280" t="n"/>
      <c r="C436" s="280" t="n"/>
      <c r="D436" s="280" t="n"/>
      <c r="E436" s="280" t="n"/>
      <c r="F436" s="280" t="n"/>
      <c r="G436" s="280" t="n"/>
      <c r="H436" s="280" t="n"/>
      <c r="I436" s="332">
        <f>IFERROR(VLOOKUP(TEXT(H436,"0"),IPRESS!$A$3:$B$212,2,0),"")</f>
        <v/>
      </c>
      <c r="J436" s="280" t="n"/>
      <c r="K436" s="343" t="n"/>
      <c r="L436" s="280" t="n"/>
      <c r="M436" s="280" t="n"/>
      <c r="N436" s="345" t="n"/>
      <c r="O436" s="280" t="n"/>
      <c r="P436" s="332">
        <f>IFERROR(VLOOKUP(TEXT(O436,"0"),CONDUCTORES!$A$3:$G$54,2,0),"")</f>
        <v/>
      </c>
      <c r="Q436" s="332">
        <f>IFERROR(VLOOKUP(TEXT(O436,"0"),CONDUCTORES!$A$3:$H$54,6,0),"")</f>
        <v/>
      </c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350" t="n"/>
      <c r="AA436" s="198" t="n"/>
      <c r="AB436" s="198" t="n"/>
      <c r="AC436" s="198" t="n"/>
    </row>
    <row r="437" ht="15" customHeight="1" s="195">
      <c r="A437" s="280" t="n"/>
      <c r="B437" s="280" t="n"/>
      <c r="C437" s="280" t="n"/>
      <c r="D437" s="280" t="n"/>
      <c r="E437" s="280" t="n"/>
      <c r="F437" s="280" t="n"/>
      <c r="G437" s="280" t="n"/>
      <c r="H437" s="280" t="n"/>
      <c r="I437" s="332">
        <f>IFERROR(VLOOKUP(TEXT(H437,"0"),IPRESS!$A$3:$B$212,2,0),"")</f>
        <v/>
      </c>
      <c r="J437" s="280" t="n"/>
      <c r="K437" s="343" t="n"/>
      <c r="L437" s="280" t="n"/>
      <c r="M437" s="280" t="n"/>
      <c r="N437" s="345" t="n"/>
      <c r="O437" s="280" t="n"/>
      <c r="P437" s="332">
        <f>IFERROR(VLOOKUP(TEXT(O437,"0"),CONDUCTORES!$A$3:$G$54,2,0),"")</f>
        <v/>
      </c>
      <c r="Q437" s="332">
        <f>IFERROR(VLOOKUP(TEXT(O437,"0"),CONDUCTORES!$A$3:$H$54,6,0),"")</f>
        <v/>
      </c>
      <c r="R437" s="280" t="n"/>
      <c r="S437" s="280" t="n"/>
      <c r="T437" s="280" t="n"/>
      <c r="U437" s="280" t="n"/>
      <c r="V437" s="280" t="n"/>
      <c r="W437" s="280" t="n"/>
      <c r="X437" s="280" t="n"/>
      <c r="Y437" s="280" t="n"/>
      <c r="Z437" s="350" t="n"/>
      <c r="AA437" s="198" t="n"/>
      <c r="AB437" s="198" t="n"/>
      <c r="AC437" s="198" t="n"/>
    </row>
    <row r="438" ht="15" customHeight="1" s="195">
      <c r="A438" s="280" t="n"/>
      <c r="B438" s="280" t="n"/>
      <c r="C438" s="280" t="n"/>
      <c r="D438" s="280" t="n"/>
      <c r="E438" s="280" t="n"/>
      <c r="F438" s="280" t="n"/>
      <c r="G438" s="280" t="n"/>
      <c r="H438" s="280" t="n"/>
      <c r="I438" s="332">
        <f>IFERROR(VLOOKUP(TEXT(H438,"0"),IPRESS!$A$3:$B$212,2,0),"")</f>
        <v/>
      </c>
      <c r="J438" s="280" t="n"/>
      <c r="K438" s="343" t="n"/>
      <c r="L438" s="280" t="n"/>
      <c r="M438" s="280" t="n"/>
      <c r="N438" s="345" t="n"/>
      <c r="O438" s="280" t="n"/>
      <c r="P438" s="332">
        <f>IFERROR(VLOOKUP(TEXT(O438,"0"),CONDUCTORES!$A$3:$G$54,2,0),"")</f>
        <v/>
      </c>
      <c r="Q438" s="332">
        <f>IFERROR(VLOOKUP(TEXT(O438,"0"),CONDUCTORES!$A$3:$H$54,6,0),"")</f>
        <v/>
      </c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350" t="n"/>
      <c r="AA438" s="198" t="n"/>
      <c r="AB438" s="198" t="n"/>
      <c r="AC438" s="198" t="n"/>
    </row>
    <row r="439" ht="15" customHeight="1" s="195">
      <c r="A439" s="280" t="n"/>
      <c r="B439" s="280" t="n"/>
      <c r="C439" s="280" t="n"/>
      <c r="D439" s="280" t="n"/>
      <c r="E439" s="280" t="n"/>
      <c r="F439" s="280" t="n"/>
      <c r="G439" s="280" t="n"/>
      <c r="H439" s="280" t="n"/>
      <c r="I439" s="332">
        <f>IFERROR(VLOOKUP(TEXT(H439,"0"),IPRESS!$A$3:$B$212,2,0),"")</f>
        <v/>
      </c>
      <c r="J439" s="280" t="n"/>
      <c r="K439" s="343" t="n"/>
      <c r="L439" s="280" t="n"/>
      <c r="M439" s="280" t="n"/>
      <c r="N439" s="345" t="n"/>
      <c r="O439" s="280" t="n"/>
      <c r="P439" s="332">
        <f>IFERROR(VLOOKUP(TEXT(O439,"0"),CONDUCTORES!$A$3:$G$54,2,0),"")</f>
        <v/>
      </c>
      <c r="Q439" s="332">
        <f>IFERROR(VLOOKUP(TEXT(O439,"0"),CONDUCTORES!$A$3:$H$54,6,0),"")</f>
        <v/>
      </c>
      <c r="R439" s="280" t="n"/>
      <c r="S439" s="280" t="n"/>
      <c r="T439" s="280" t="n"/>
      <c r="U439" s="280" t="n"/>
      <c r="V439" s="280" t="n"/>
      <c r="W439" s="280" t="n"/>
      <c r="X439" s="280" t="n"/>
      <c r="Y439" s="280" t="n"/>
      <c r="Z439" s="350" t="n"/>
      <c r="AA439" s="198" t="n"/>
      <c r="AB439" s="198" t="n"/>
      <c r="AC439" s="198" t="n"/>
    </row>
    <row r="440" ht="15" customHeight="1" s="195">
      <c r="A440" s="280" t="n"/>
      <c r="B440" s="280" t="n"/>
      <c r="C440" s="280" t="n"/>
      <c r="D440" s="280" t="n"/>
      <c r="E440" s="280" t="n"/>
      <c r="F440" s="280" t="n"/>
      <c r="G440" s="280" t="n"/>
      <c r="H440" s="280" t="n"/>
      <c r="I440" s="332">
        <f>IFERROR(VLOOKUP(TEXT(H440,"0"),IPRESS!$A$3:$B$212,2,0),"")</f>
        <v/>
      </c>
      <c r="J440" s="280" t="n"/>
      <c r="K440" s="343" t="n"/>
      <c r="L440" s="280" t="n"/>
      <c r="M440" s="280" t="n"/>
      <c r="N440" s="345" t="n"/>
      <c r="O440" s="280" t="n"/>
      <c r="P440" s="332">
        <f>IFERROR(VLOOKUP(TEXT(O440,"0"),CONDUCTORES!$A$3:$G$54,2,0),"")</f>
        <v/>
      </c>
      <c r="Q440" s="332">
        <f>IFERROR(VLOOKUP(TEXT(O440,"0"),CONDUCTORES!$A$3:$H$54,6,0),"")</f>
        <v/>
      </c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350" t="n"/>
      <c r="AA440" s="198" t="n"/>
      <c r="AB440" s="198" t="n"/>
      <c r="AC440" s="198" t="n"/>
    </row>
    <row r="441" ht="15" customHeight="1" s="195">
      <c r="A441" s="280" t="n"/>
      <c r="B441" s="280" t="n"/>
      <c r="C441" s="280" t="n"/>
      <c r="D441" s="280" t="n"/>
      <c r="E441" s="280" t="n"/>
      <c r="F441" s="280" t="n"/>
      <c r="G441" s="280" t="n"/>
      <c r="H441" s="280" t="n"/>
      <c r="I441" s="332">
        <f>IFERROR(VLOOKUP(TEXT(H441,"0"),IPRESS!$A$3:$B$212,2,0),"")</f>
        <v/>
      </c>
      <c r="J441" s="280" t="n"/>
      <c r="K441" s="343" t="n"/>
      <c r="L441" s="280" t="n"/>
      <c r="M441" s="280" t="n"/>
      <c r="N441" s="345" t="n"/>
      <c r="O441" s="280" t="n"/>
      <c r="P441" s="332">
        <f>IFERROR(VLOOKUP(TEXT(O441,"0"),CONDUCTORES!$A$3:$G$54,2,0),"")</f>
        <v/>
      </c>
      <c r="Q441" s="332">
        <f>IFERROR(VLOOKUP(TEXT(O441,"0"),CONDUCTORES!$A$3:$H$54,6,0),"")</f>
        <v/>
      </c>
      <c r="R441" s="280" t="n"/>
      <c r="S441" s="280" t="n"/>
      <c r="T441" s="280" t="n"/>
      <c r="U441" s="280" t="n"/>
      <c r="V441" s="280" t="n"/>
      <c r="W441" s="280" t="n"/>
      <c r="X441" s="280" t="n"/>
      <c r="Y441" s="280" t="n"/>
      <c r="Z441" s="350" t="n"/>
      <c r="AA441" s="198" t="n"/>
      <c r="AB441" s="198" t="n"/>
      <c r="AC441" s="198" t="n"/>
    </row>
    <row r="442" ht="15" customHeight="1" s="195">
      <c r="A442" s="280" t="n"/>
      <c r="B442" s="280" t="n"/>
      <c r="C442" s="280" t="n"/>
      <c r="D442" s="280" t="n"/>
      <c r="E442" s="280" t="n"/>
      <c r="F442" s="280" t="n"/>
      <c r="G442" s="280" t="n"/>
      <c r="H442" s="280" t="n"/>
      <c r="I442" s="332">
        <f>IFERROR(VLOOKUP(TEXT(H442,"0"),IPRESS!$A$3:$B$212,2,0),"")</f>
        <v/>
      </c>
      <c r="J442" s="280" t="n"/>
      <c r="K442" s="343" t="n"/>
      <c r="L442" s="280" t="n"/>
      <c r="M442" s="280" t="n"/>
      <c r="N442" s="345" t="n"/>
      <c r="O442" s="280" t="n"/>
      <c r="P442" s="332">
        <f>IFERROR(VLOOKUP(TEXT(O442,"0"),CONDUCTORES!$A$3:$G$54,2,0),"")</f>
        <v/>
      </c>
      <c r="Q442" s="332">
        <f>IFERROR(VLOOKUP(TEXT(O442,"0"),CONDUCTORES!$A$3:$H$54,6,0),"")</f>
        <v/>
      </c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350" t="n"/>
      <c r="AA442" s="198" t="n"/>
      <c r="AB442" s="198" t="n"/>
      <c r="AC442" s="198" t="n"/>
    </row>
    <row r="443" ht="15" customHeight="1" s="195">
      <c r="A443" s="280" t="n"/>
      <c r="B443" s="280" t="n"/>
      <c r="C443" s="280" t="n"/>
      <c r="D443" s="280" t="n"/>
      <c r="E443" s="280" t="n"/>
      <c r="F443" s="280" t="n"/>
      <c r="G443" s="280" t="n"/>
      <c r="H443" s="280" t="n"/>
      <c r="I443" s="332">
        <f>IFERROR(VLOOKUP(TEXT(H443,"0"),IPRESS!$A$3:$B$212,2,0),"")</f>
        <v/>
      </c>
      <c r="J443" s="280" t="n"/>
      <c r="K443" s="343" t="n"/>
      <c r="L443" s="280" t="n"/>
      <c r="M443" s="280" t="n"/>
      <c r="N443" s="345" t="n"/>
      <c r="O443" s="280" t="n"/>
      <c r="P443" s="332">
        <f>IFERROR(VLOOKUP(TEXT(O443,"0"),CONDUCTORES!$A$3:$G$54,2,0),"")</f>
        <v/>
      </c>
      <c r="Q443" s="332">
        <f>IFERROR(VLOOKUP(TEXT(O443,"0"),CONDUCTORES!$A$3:$H$54,6,0),"")</f>
        <v/>
      </c>
      <c r="R443" s="280" t="n"/>
      <c r="S443" s="280" t="n"/>
      <c r="T443" s="280" t="n"/>
      <c r="U443" s="280" t="n"/>
      <c r="V443" s="280" t="n"/>
      <c r="W443" s="280" t="n"/>
      <c r="X443" s="280" t="n"/>
      <c r="Y443" s="280" t="n"/>
      <c r="Z443" s="350" t="n"/>
      <c r="AA443" s="198" t="n"/>
      <c r="AB443" s="198" t="n"/>
      <c r="AC443" s="198" t="n"/>
    </row>
    <row r="444" ht="15" customHeight="1" s="195">
      <c r="A444" s="280" t="n"/>
      <c r="B444" s="280" t="n"/>
      <c r="C444" s="280" t="n"/>
      <c r="D444" s="280" t="n"/>
      <c r="E444" s="280" t="n"/>
      <c r="F444" s="280" t="n"/>
      <c r="G444" s="280" t="n"/>
      <c r="H444" s="280" t="n"/>
      <c r="I444" s="332">
        <f>IFERROR(VLOOKUP(TEXT(H444,"0"),IPRESS!$A$3:$B$212,2,0),"")</f>
        <v/>
      </c>
      <c r="J444" s="280" t="n"/>
      <c r="K444" s="343" t="n"/>
      <c r="L444" s="280" t="n"/>
      <c r="M444" s="280" t="n"/>
      <c r="N444" s="345" t="n"/>
      <c r="O444" s="280" t="n"/>
      <c r="P444" s="332">
        <f>IFERROR(VLOOKUP(TEXT(O444,"0"),CONDUCTORES!$A$3:$G$54,2,0),"")</f>
        <v/>
      </c>
      <c r="Q444" s="332">
        <f>IFERROR(VLOOKUP(TEXT(O444,"0"),CONDUCTORES!$A$3:$H$54,6,0),"")</f>
        <v/>
      </c>
      <c r="R444" s="280" t="n"/>
      <c r="S444" s="280" t="n"/>
      <c r="T444" s="280" t="n"/>
      <c r="U444" s="280" t="n"/>
      <c r="V444" s="280" t="n"/>
      <c r="W444" s="280" t="n"/>
      <c r="X444" s="280" t="n"/>
      <c r="Y444" s="280" t="n"/>
      <c r="Z444" s="350" t="n"/>
      <c r="AA444" s="198" t="n"/>
      <c r="AB444" s="198" t="n"/>
      <c r="AC444" s="198" t="n"/>
    </row>
    <row r="445" ht="15" customHeight="1" s="195">
      <c r="A445" s="280" t="n"/>
      <c r="B445" s="280" t="n"/>
      <c r="C445" s="280" t="n"/>
      <c r="D445" s="280" t="n"/>
      <c r="E445" s="280" t="n"/>
      <c r="F445" s="280" t="n"/>
      <c r="G445" s="280" t="n"/>
      <c r="H445" s="280" t="n"/>
      <c r="I445" s="332">
        <f>IFERROR(VLOOKUP(TEXT(H445,"0"),IPRESS!$A$3:$B$212,2,0),"")</f>
        <v/>
      </c>
      <c r="J445" s="280" t="n"/>
      <c r="K445" s="343" t="n"/>
      <c r="L445" s="280" t="n"/>
      <c r="M445" s="280" t="n"/>
      <c r="N445" s="345" t="n"/>
      <c r="O445" s="280" t="n"/>
      <c r="P445" s="332">
        <f>IFERROR(VLOOKUP(TEXT(O445,"0"),CONDUCTORES!$A$3:$G$54,2,0),"")</f>
        <v/>
      </c>
      <c r="Q445" s="332">
        <f>IFERROR(VLOOKUP(TEXT(O445,"0"),CONDUCTORES!$A$3:$H$54,6,0),"")</f>
        <v/>
      </c>
      <c r="R445" s="280" t="n"/>
      <c r="S445" s="280" t="n"/>
      <c r="T445" s="280" t="n"/>
      <c r="U445" s="280" t="n"/>
      <c r="V445" s="280" t="n"/>
      <c r="W445" s="280" t="n"/>
      <c r="X445" s="280" t="n"/>
      <c r="Y445" s="280" t="n"/>
      <c r="Z445" s="350" t="n"/>
      <c r="AA445" s="198" t="n"/>
      <c r="AB445" s="198" t="n"/>
      <c r="AC445" s="198" t="n"/>
    </row>
    <row r="446" ht="15" customHeight="1" s="195">
      <c r="A446" s="280" t="n"/>
      <c r="B446" s="280" t="n"/>
      <c r="C446" s="280" t="n"/>
      <c r="D446" s="280" t="n"/>
      <c r="E446" s="280" t="n"/>
      <c r="F446" s="280" t="n"/>
      <c r="G446" s="280" t="n"/>
      <c r="H446" s="280" t="n"/>
      <c r="I446" s="332">
        <f>IFERROR(VLOOKUP(TEXT(H446,"0"),IPRESS!$A$3:$B$212,2,0),"")</f>
        <v/>
      </c>
      <c r="J446" s="280" t="n"/>
      <c r="K446" s="343" t="n"/>
      <c r="L446" s="280" t="n"/>
      <c r="M446" s="280" t="n"/>
      <c r="N446" s="345" t="n"/>
      <c r="O446" s="280" t="n"/>
      <c r="P446" s="332">
        <f>IFERROR(VLOOKUP(TEXT(O446,"0"),CONDUCTORES!$A$3:$G$54,2,0),"")</f>
        <v/>
      </c>
      <c r="Q446" s="332">
        <f>IFERROR(VLOOKUP(TEXT(O446,"0"),CONDUCTORES!$A$3:$H$54,6,0),"")</f>
        <v/>
      </c>
      <c r="R446" s="280" t="n"/>
      <c r="S446" s="280" t="n"/>
      <c r="T446" s="280" t="n"/>
      <c r="U446" s="280" t="n"/>
      <c r="V446" s="280" t="n"/>
      <c r="W446" s="280" t="n"/>
      <c r="X446" s="280" t="n"/>
      <c r="Y446" s="280" t="n"/>
      <c r="Z446" s="350" t="n"/>
      <c r="AA446" s="198" t="n"/>
      <c r="AB446" s="198" t="n"/>
      <c r="AC446" s="198" t="n"/>
    </row>
    <row r="447" ht="15" customHeight="1" s="195">
      <c r="A447" s="280" t="n"/>
      <c r="B447" s="280" t="n"/>
      <c r="C447" s="280" t="n"/>
      <c r="D447" s="280" t="n"/>
      <c r="E447" s="280" t="n"/>
      <c r="F447" s="280" t="n"/>
      <c r="G447" s="280" t="n"/>
      <c r="H447" s="280" t="n"/>
      <c r="I447" s="332">
        <f>IFERROR(VLOOKUP(TEXT(H447,"0"),IPRESS!$A$3:$B$212,2,0),"")</f>
        <v/>
      </c>
      <c r="J447" s="280" t="n"/>
      <c r="K447" s="343" t="n"/>
      <c r="L447" s="280" t="n"/>
      <c r="M447" s="280" t="n"/>
      <c r="N447" s="345" t="n"/>
      <c r="O447" s="280" t="n"/>
      <c r="P447" s="332">
        <f>IFERROR(VLOOKUP(TEXT(O447,"0"),CONDUCTORES!$A$3:$G$54,2,0),"")</f>
        <v/>
      </c>
      <c r="Q447" s="332">
        <f>IFERROR(VLOOKUP(TEXT(O447,"0"),CONDUCTORES!$A$3:$H$54,6,0),"")</f>
        <v/>
      </c>
      <c r="R447" s="280" t="n"/>
      <c r="S447" s="280" t="n"/>
      <c r="T447" s="280" t="n"/>
      <c r="U447" s="280" t="n"/>
      <c r="V447" s="280" t="n"/>
      <c r="W447" s="280" t="n"/>
      <c r="X447" s="280" t="n"/>
      <c r="Y447" s="280" t="n"/>
      <c r="Z447" s="350" t="n"/>
      <c r="AA447" s="198" t="n"/>
      <c r="AB447" s="198" t="n"/>
      <c r="AC447" s="198" t="n"/>
    </row>
    <row r="448" ht="15" customHeight="1" s="195">
      <c r="A448" s="280" t="n"/>
      <c r="B448" s="280" t="n"/>
      <c r="C448" s="280" t="n"/>
      <c r="D448" s="280" t="n"/>
      <c r="E448" s="280" t="n"/>
      <c r="F448" s="280" t="n"/>
      <c r="G448" s="280" t="n"/>
      <c r="H448" s="280" t="n"/>
      <c r="I448" s="332">
        <f>IFERROR(VLOOKUP(TEXT(H448,"0"),IPRESS!$A$3:$B$212,2,0),"")</f>
        <v/>
      </c>
      <c r="J448" s="280" t="n"/>
      <c r="K448" s="343" t="n"/>
      <c r="L448" s="280" t="n"/>
      <c r="M448" s="280" t="n"/>
      <c r="N448" s="345" t="n"/>
      <c r="O448" s="280" t="n"/>
      <c r="P448" s="332">
        <f>IFERROR(VLOOKUP(TEXT(O448,"0"),CONDUCTORES!$A$3:$G$54,2,0),"")</f>
        <v/>
      </c>
      <c r="Q448" s="332">
        <f>IFERROR(VLOOKUP(TEXT(O448,"0"),CONDUCTORES!$A$3:$H$54,6,0),"")</f>
        <v/>
      </c>
      <c r="R448" s="280" t="n"/>
      <c r="S448" s="280" t="n"/>
      <c r="T448" s="280" t="n"/>
      <c r="U448" s="280" t="n"/>
      <c r="V448" s="280" t="n"/>
      <c r="W448" s="280" t="n"/>
      <c r="X448" s="280" t="n"/>
      <c r="Y448" s="280" t="n"/>
      <c r="Z448" s="350" t="n"/>
      <c r="AA448" s="198" t="n"/>
      <c r="AB448" s="198" t="n"/>
      <c r="AC448" s="198" t="n"/>
    </row>
    <row r="449" ht="15" customHeight="1" s="195">
      <c r="A449" s="280" t="n"/>
      <c r="B449" s="280" t="n"/>
      <c r="C449" s="280" t="n"/>
      <c r="D449" s="280" t="n"/>
      <c r="E449" s="280" t="n"/>
      <c r="F449" s="280" t="n"/>
      <c r="G449" s="280" t="n"/>
      <c r="H449" s="280" t="n"/>
      <c r="I449" s="332">
        <f>IFERROR(VLOOKUP(TEXT(H449,"0"),IPRESS!$A$3:$B$212,2,0),"")</f>
        <v/>
      </c>
      <c r="J449" s="280" t="n"/>
      <c r="K449" s="343" t="n"/>
      <c r="L449" s="280" t="n"/>
      <c r="M449" s="280" t="n"/>
      <c r="N449" s="345" t="n"/>
      <c r="O449" s="280" t="n"/>
      <c r="P449" s="332">
        <f>IFERROR(VLOOKUP(TEXT(O449,"0"),CONDUCTORES!$A$3:$G$54,2,0),"")</f>
        <v/>
      </c>
      <c r="Q449" s="332">
        <f>IFERROR(VLOOKUP(TEXT(O449,"0"),CONDUCTORES!$A$3:$H$54,6,0),"")</f>
        <v/>
      </c>
      <c r="R449" s="280" t="n"/>
      <c r="S449" s="280" t="n"/>
      <c r="T449" s="280" t="n"/>
      <c r="U449" s="280" t="n"/>
      <c r="V449" s="280" t="n"/>
      <c r="W449" s="280" t="n"/>
      <c r="X449" s="280" t="n"/>
      <c r="Y449" s="280" t="n"/>
      <c r="Z449" s="350" t="n"/>
      <c r="AA449" s="198" t="n"/>
      <c r="AB449" s="198" t="n"/>
      <c r="AC449" s="198" t="n"/>
    </row>
    <row r="450" ht="15" customHeight="1" s="195">
      <c r="A450" s="280" t="n"/>
      <c r="B450" s="280" t="n"/>
      <c r="C450" s="280" t="n"/>
      <c r="D450" s="280" t="n"/>
      <c r="E450" s="280" t="n"/>
      <c r="F450" s="280" t="n"/>
      <c r="G450" s="280" t="n"/>
      <c r="H450" s="280" t="n"/>
      <c r="I450" s="332">
        <f>IFERROR(VLOOKUP(TEXT(H450,"0"),IPRESS!$A$3:$B$212,2,0),"")</f>
        <v/>
      </c>
      <c r="J450" s="280" t="n"/>
      <c r="K450" s="343" t="n"/>
      <c r="L450" s="280" t="n"/>
      <c r="M450" s="280" t="n"/>
      <c r="N450" s="345" t="n"/>
      <c r="O450" s="280" t="n"/>
      <c r="P450" s="332">
        <f>IFERROR(VLOOKUP(TEXT(O450,"0"),CONDUCTORES!$A$3:$G$54,2,0),"")</f>
        <v/>
      </c>
      <c r="Q450" s="332">
        <f>IFERROR(VLOOKUP(TEXT(O450,"0"),CONDUCTORES!$A$3:$H$54,6,0),"")</f>
        <v/>
      </c>
      <c r="R450" s="280" t="n"/>
      <c r="S450" s="280" t="n"/>
      <c r="T450" s="280" t="n"/>
      <c r="U450" s="280" t="n"/>
      <c r="V450" s="280" t="n"/>
      <c r="W450" s="280" t="n"/>
      <c r="X450" s="280" t="n"/>
      <c r="Y450" s="280" t="n"/>
      <c r="Z450" s="350" t="n"/>
      <c r="AA450" s="198" t="n"/>
      <c r="AB450" s="198" t="n"/>
      <c r="AC450" s="198" t="n"/>
    </row>
    <row r="451" ht="15" customHeight="1" s="195">
      <c r="A451" s="280" t="n"/>
      <c r="B451" s="280" t="n"/>
      <c r="C451" s="280" t="n"/>
      <c r="D451" s="280" t="n"/>
      <c r="E451" s="280" t="n"/>
      <c r="F451" s="280" t="n"/>
      <c r="G451" s="280" t="n"/>
      <c r="H451" s="280" t="n"/>
      <c r="I451" s="332">
        <f>IFERROR(VLOOKUP(TEXT(H451,"0"),IPRESS!$A$3:$B$212,2,0),"")</f>
        <v/>
      </c>
      <c r="J451" s="280" t="n"/>
      <c r="K451" s="343" t="n"/>
      <c r="L451" s="280" t="n"/>
      <c r="M451" s="280" t="n"/>
      <c r="N451" s="345" t="n"/>
      <c r="O451" s="280" t="n"/>
      <c r="P451" s="332">
        <f>IFERROR(VLOOKUP(TEXT(O451,"0"),CONDUCTORES!$A$3:$G$54,2,0),"")</f>
        <v/>
      </c>
      <c r="Q451" s="332">
        <f>IFERROR(VLOOKUP(TEXT(O451,"0"),CONDUCTORES!$A$3:$H$54,6,0),"")</f>
        <v/>
      </c>
      <c r="R451" s="280" t="n"/>
      <c r="S451" s="280" t="n"/>
      <c r="T451" s="280" t="n"/>
      <c r="U451" s="280" t="n"/>
      <c r="V451" s="280" t="n"/>
      <c r="W451" s="280" t="n"/>
      <c r="X451" s="280" t="n"/>
      <c r="Y451" s="280" t="n"/>
      <c r="Z451" s="350" t="n"/>
      <c r="AA451" s="198" t="n"/>
      <c r="AB451" s="198" t="n"/>
      <c r="AC451" s="198" t="n"/>
    </row>
    <row r="452" ht="15" customHeight="1" s="195">
      <c r="A452" s="280" t="n"/>
      <c r="B452" s="280" t="n"/>
      <c r="C452" s="280" t="n"/>
      <c r="D452" s="280" t="n"/>
      <c r="E452" s="280" t="n"/>
      <c r="F452" s="280" t="n"/>
      <c r="G452" s="280" t="n"/>
      <c r="H452" s="280" t="n"/>
      <c r="I452" s="332">
        <f>IFERROR(VLOOKUP(TEXT(H452,"0"),IPRESS!$A$3:$B$212,2,0),"")</f>
        <v/>
      </c>
      <c r="J452" s="280" t="n"/>
      <c r="K452" s="343" t="n"/>
      <c r="L452" s="280" t="n"/>
      <c r="M452" s="280" t="n"/>
      <c r="N452" s="345" t="n"/>
      <c r="O452" s="280" t="n"/>
      <c r="P452" s="332">
        <f>IFERROR(VLOOKUP(TEXT(O452,"0"),CONDUCTORES!$A$3:$G$54,2,0),"")</f>
        <v/>
      </c>
      <c r="Q452" s="332">
        <f>IFERROR(VLOOKUP(TEXT(O452,"0"),CONDUCTORES!$A$3:$H$54,6,0),"")</f>
        <v/>
      </c>
      <c r="R452" s="280" t="n"/>
      <c r="S452" s="280" t="n"/>
      <c r="T452" s="280" t="n"/>
      <c r="U452" s="280" t="n"/>
      <c r="V452" s="280" t="n"/>
      <c r="W452" s="280" t="n"/>
      <c r="X452" s="280" t="n"/>
      <c r="Y452" s="280" t="n"/>
      <c r="Z452" s="350" t="n"/>
      <c r="AA452" s="198" t="n"/>
      <c r="AB452" s="198" t="n"/>
      <c r="AC452" s="198" t="n"/>
    </row>
    <row r="453" ht="15" customHeight="1" s="195">
      <c r="A453" s="280" t="n"/>
      <c r="B453" s="280" t="n"/>
      <c r="C453" s="280" t="n"/>
      <c r="D453" s="280" t="n"/>
      <c r="E453" s="280" t="n"/>
      <c r="F453" s="280" t="n"/>
      <c r="G453" s="280" t="n"/>
      <c r="H453" s="280" t="n"/>
      <c r="I453" s="332">
        <f>IFERROR(VLOOKUP(TEXT(H453,"0"),IPRESS!$A$3:$B$212,2,0),"")</f>
        <v/>
      </c>
      <c r="J453" s="280" t="n"/>
      <c r="K453" s="343" t="n"/>
      <c r="L453" s="280" t="n"/>
      <c r="M453" s="280" t="n"/>
      <c r="N453" s="345" t="n"/>
      <c r="O453" s="280" t="n"/>
      <c r="P453" s="332">
        <f>IFERROR(VLOOKUP(TEXT(O453,"0"),CONDUCTORES!$A$3:$G$54,2,0),"")</f>
        <v/>
      </c>
      <c r="Q453" s="332">
        <f>IFERROR(VLOOKUP(TEXT(O453,"0"),CONDUCTORES!$A$3:$H$54,6,0),"")</f>
        <v/>
      </c>
      <c r="R453" s="280" t="n"/>
      <c r="S453" s="280" t="n"/>
      <c r="T453" s="280" t="n"/>
      <c r="U453" s="280" t="n"/>
      <c r="V453" s="280" t="n"/>
      <c r="W453" s="280" t="n"/>
      <c r="X453" s="280" t="n"/>
      <c r="Y453" s="280" t="n"/>
      <c r="Z453" s="350" t="n"/>
      <c r="AA453" s="198" t="n"/>
      <c r="AB453" s="198" t="n"/>
      <c r="AC453" s="198" t="n"/>
    </row>
    <row r="454" ht="15" customHeight="1" s="195">
      <c r="A454" s="280" t="n"/>
      <c r="B454" s="280" t="n"/>
      <c r="C454" s="280" t="n"/>
      <c r="D454" s="280" t="n"/>
      <c r="E454" s="280" t="n"/>
      <c r="F454" s="280" t="n"/>
      <c r="G454" s="280" t="n"/>
      <c r="H454" s="280" t="n"/>
      <c r="I454" s="332">
        <f>IFERROR(VLOOKUP(TEXT(H454,"0"),IPRESS!$A$3:$B$212,2,0),"")</f>
        <v/>
      </c>
      <c r="J454" s="280" t="n"/>
      <c r="K454" s="343" t="n"/>
      <c r="L454" s="280" t="n"/>
      <c r="M454" s="280" t="n"/>
      <c r="N454" s="345" t="n"/>
      <c r="O454" s="280" t="n"/>
      <c r="P454" s="332">
        <f>IFERROR(VLOOKUP(TEXT(O454,"0"),CONDUCTORES!$A$3:$G$54,2,0),"")</f>
        <v/>
      </c>
      <c r="Q454" s="332">
        <f>IFERROR(VLOOKUP(TEXT(O454,"0"),CONDUCTORES!$A$3:$H$54,6,0),"")</f>
        <v/>
      </c>
      <c r="R454" s="280" t="n"/>
      <c r="S454" s="280" t="n"/>
      <c r="T454" s="280" t="n"/>
      <c r="U454" s="280" t="n"/>
      <c r="V454" s="280" t="n"/>
      <c r="W454" s="280" t="n"/>
      <c r="X454" s="280" t="n"/>
      <c r="Y454" s="280" t="n"/>
      <c r="Z454" s="350" t="n"/>
      <c r="AA454" s="198" t="n"/>
      <c r="AB454" s="198" t="n"/>
      <c r="AC454" s="198" t="n"/>
    </row>
    <row r="455" ht="15" customHeight="1" s="195">
      <c r="A455" s="280" t="n"/>
      <c r="B455" s="280" t="n"/>
      <c r="C455" s="280" t="n"/>
      <c r="D455" s="280" t="n"/>
      <c r="E455" s="280" t="n"/>
      <c r="F455" s="280" t="n"/>
      <c r="G455" s="280" t="n"/>
      <c r="H455" s="280" t="n"/>
      <c r="I455" s="332">
        <f>IFERROR(VLOOKUP(TEXT(H455,"0"),IPRESS!$A$3:$B$212,2,0),"")</f>
        <v/>
      </c>
      <c r="J455" s="280" t="n"/>
      <c r="K455" s="343" t="n"/>
      <c r="L455" s="280" t="n"/>
      <c r="M455" s="280" t="n"/>
      <c r="N455" s="345" t="n"/>
      <c r="O455" s="280" t="n"/>
      <c r="P455" s="332">
        <f>IFERROR(VLOOKUP(TEXT(O455,"0"),CONDUCTORES!$A$3:$G$54,2,0),"")</f>
        <v/>
      </c>
      <c r="Q455" s="332">
        <f>IFERROR(VLOOKUP(TEXT(O455,"0"),CONDUCTORES!$A$3:$H$54,6,0),"")</f>
        <v/>
      </c>
      <c r="R455" s="280" t="n"/>
      <c r="S455" s="280" t="n"/>
      <c r="T455" s="280" t="n"/>
      <c r="U455" s="280" t="n"/>
      <c r="V455" s="280" t="n"/>
      <c r="W455" s="280" t="n"/>
      <c r="X455" s="280" t="n"/>
      <c r="Y455" s="280" t="n"/>
      <c r="Z455" s="350" t="n"/>
      <c r="AA455" s="198" t="n"/>
      <c r="AB455" s="198" t="n"/>
      <c r="AC455" s="198" t="n"/>
    </row>
    <row r="456" ht="15" customHeight="1" s="195">
      <c r="A456" s="280" t="n"/>
      <c r="B456" s="280" t="n"/>
      <c r="C456" s="280" t="n"/>
      <c r="D456" s="280" t="n"/>
      <c r="E456" s="280" t="n"/>
      <c r="F456" s="280" t="n"/>
      <c r="G456" s="280" t="n"/>
      <c r="H456" s="280" t="n"/>
      <c r="I456" s="332">
        <f>IFERROR(VLOOKUP(TEXT(H456,"0"),IPRESS!$A$3:$B$212,2,0),"")</f>
        <v/>
      </c>
      <c r="J456" s="280" t="n"/>
      <c r="K456" s="343" t="n"/>
      <c r="L456" s="280" t="n"/>
      <c r="M456" s="280" t="n"/>
      <c r="N456" s="345" t="n"/>
      <c r="O456" s="280" t="n"/>
      <c r="P456" s="332">
        <f>IFERROR(VLOOKUP(TEXT(O456,"0"),CONDUCTORES!$A$3:$G$54,2,0),"")</f>
        <v/>
      </c>
      <c r="Q456" s="332">
        <f>IFERROR(VLOOKUP(TEXT(O456,"0"),CONDUCTORES!$A$3:$H$54,6,0),"")</f>
        <v/>
      </c>
      <c r="R456" s="280" t="n"/>
      <c r="S456" s="280" t="n"/>
      <c r="T456" s="280" t="n"/>
      <c r="U456" s="280" t="n"/>
      <c r="V456" s="280" t="n"/>
      <c r="W456" s="280" t="n"/>
      <c r="X456" s="280" t="n"/>
      <c r="Y456" s="280" t="n"/>
      <c r="Z456" s="350" t="n"/>
      <c r="AA456" s="198" t="n"/>
      <c r="AB456" s="198" t="n"/>
      <c r="AC456" s="198" t="n"/>
    </row>
    <row r="457" ht="15" customHeight="1" s="195">
      <c r="A457" s="280" t="n"/>
      <c r="B457" s="280" t="n"/>
      <c r="C457" s="280" t="n"/>
      <c r="D457" s="280" t="n"/>
      <c r="E457" s="280" t="n"/>
      <c r="F457" s="280" t="n"/>
      <c r="G457" s="280" t="n"/>
      <c r="H457" s="280" t="n"/>
      <c r="I457" s="332">
        <f>IFERROR(VLOOKUP(TEXT(H457,"0"),IPRESS!$A$3:$B$212,2,0),"")</f>
        <v/>
      </c>
      <c r="J457" s="280" t="n"/>
      <c r="K457" s="343" t="n"/>
      <c r="L457" s="280" t="n"/>
      <c r="M457" s="280" t="n"/>
      <c r="N457" s="345" t="n"/>
      <c r="O457" s="280" t="n"/>
      <c r="P457" s="332">
        <f>IFERROR(VLOOKUP(TEXT(O457,"0"),CONDUCTORES!$A$3:$G$54,2,0),"")</f>
        <v/>
      </c>
      <c r="Q457" s="332">
        <f>IFERROR(VLOOKUP(TEXT(O457,"0"),CONDUCTORES!$A$3:$H$54,6,0),"")</f>
        <v/>
      </c>
      <c r="R457" s="280" t="n"/>
      <c r="S457" s="280" t="n"/>
      <c r="T457" s="280" t="n"/>
      <c r="U457" s="280" t="n"/>
      <c r="V457" s="280" t="n"/>
      <c r="W457" s="280" t="n"/>
      <c r="X457" s="280" t="n"/>
      <c r="Y457" s="280" t="n"/>
      <c r="Z457" s="350" t="n"/>
      <c r="AA457" s="198" t="n"/>
      <c r="AB457" s="198" t="n"/>
      <c r="AC457" s="198" t="n"/>
    </row>
    <row r="458" ht="15" customHeight="1" s="195">
      <c r="A458" s="280" t="n"/>
      <c r="B458" s="280" t="n"/>
      <c r="C458" s="280" t="n"/>
      <c r="D458" s="280" t="n"/>
      <c r="E458" s="280" t="n"/>
      <c r="F458" s="280" t="n"/>
      <c r="G458" s="280" t="n"/>
      <c r="H458" s="280" t="n"/>
      <c r="I458" s="332">
        <f>IFERROR(VLOOKUP(TEXT(H458,"0"),IPRESS!$A$3:$B$212,2,0),"")</f>
        <v/>
      </c>
      <c r="J458" s="280" t="n"/>
      <c r="K458" s="343" t="n"/>
      <c r="L458" s="280" t="n"/>
      <c r="M458" s="280" t="n"/>
      <c r="N458" s="345" t="n"/>
      <c r="O458" s="280" t="n"/>
      <c r="P458" s="332">
        <f>IFERROR(VLOOKUP(TEXT(O458,"0"),CONDUCTORES!$A$3:$G$54,2,0),"")</f>
        <v/>
      </c>
      <c r="Q458" s="332">
        <f>IFERROR(VLOOKUP(TEXT(O458,"0"),CONDUCTORES!$A$3:$H$54,6,0),"")</f>
        <v/>
      </c>
      <c r="R458" s="280" t="n"/>
      <c r="S458" s="280" t="n"/>
      <c r="T458" s="280" t="n"/>
      <c r="U458" s="280" t="n"/>
      <c r="V458" s="280" t="n"/>
      <c r="W458" s="280" t="n"/>
      <c r="X458" s="280" t="n"/>
      <c r="Y458" s="280" t="n"/>
      <c r="Z458" s="350" t="n"/>
      <c r="AA458" s="198" t="n"/>
      <c r="AB458" s="198" t="n"/>
      <c r="AC458" s="198" t="n"/>
    </row>
    <row r="459" ht="15" customHeight="1" s="195">
      <c r="A459" s="280" t="n"/>
      <c r="B459" s="280" t="n"/>
      <c r="C459" s="280" t="n"/>
      <c r="D459" s="280" t="n"/>
      <c r="E459" s="280" t="n"/>
      <c r="F459" s="280" t="n"/>
      <c r="G459" s="280" t="n"/>
      <c r="H459" s="280" t="n"/>
      <c r="I459" s="332">
        <f>IFERROR(VLOOKUP(TEXT(H459,"0"),IPRESS!$A$3:$B$212,2,0),"")</f>
        <v/>
      </c>
      <c r="J459" s="280" t="n"/>
      <c r="K459" s="343" t="n"/>
      <c r="L459" s="280" t="n"/>
      <c r="M459" s="280" t="n"/>
      <c r="N459" s="345" t="n"/>
      <c r="O459" s="280" t="n"/>
      <c r="P459" s="332">
        <f>IFERROR(VLOOKUP(TEXT(O459,"0"),CONDUCTORES!$A$3:$G$54,2,0),"")</f>
        <v/>
      </c>
      <c r="Q459" s="332">
        <f>IFERROR(VLOOKUP(TEXT(O459,"0"),CONDUCTORES!$A$3:$H$54,6,0),"")</f>
        <v/>
      </c>
      <c r="R459" s="280" t="n"/>
      <c r="S459" s="280" t="n"/>
      <c r="T459" s="280" t="n"/>
      <c r="U459" s="280" t="n"/>
      <c r="V459" s="280" t="n"/>
      <c r="W459" s="280" t="n"/>
      <c r="X459" s="280" t="n"/>
      <c r="Y459" s="280" t="n"/>
      <c r="Z459" s="350" t="n"/>
      <c r="AA459" s="198" t="n"/>
      <c r="AB459" s="198" t="n"/>
      <c r="AC459" s="198" t="n"/>
    </row>
    <row r="460" ht="15" customHeight="1" s="195">
      <c r="A460" s="280" t="n"/>
      <c r="B460" s="280" t="n"/>
      <c r="C460" s="280" t="n"/>
      <c r="D460" s="280" t="n"/>
      <c r="E460" s="280" t="n"/>
      <c r="F460" s="280" t="n"/>
      <c r="G460" s="280" t="n"/>
      <c r="H460" s="280" t="n"/>
      <c r="I460" s="332">
        <f>IFERROR(VLOOKUP(TEXT(H460,"0"),IPRESS!$A$3:$B$212,2,0),"")</f>
        <v/>
      </c>
      <c r="J460" s="280" t="n"/>
      <c r="K460" s="343" t="n"/>
      <c r="L460" s="280" t="n"/>
      <c r="M460" s="280" t="n"/>
      <c r="N460" s="345" t="n"/>
      <c r="O460" s="280" t="n"/>
      <c r="P460" s="332">
        <f>IFERROR(VLOOKUP(TEXT(O460,"0"),CONDUCTORES!$A$3:$G$54,2,0),"")</f>
        <v/>
      </c>
      <c r="Q460" s="332">
        <f>IFERROR(VLOOKUP(TEXT(O460,"0"),CONDUCTORES!$A$3:$H$54,6,0),"")</f>
        <v/>
      </c>
      <c r="R460" s="280" t="n"/>
      <c r="S460" s="280" t="n"/>
      <c r="T460" s="280" t="n"/>
      <c r="U460" s="280" t="n"/>
      <c r="V460" s="280" t="n"/>
      <c r="W460" s="280" t="n"/>
      <c r="X460" s="280" t="n"/>
      <c r="Y460" s="280" t="n"/>
      <c r="Z460" s="350" t="n"/>
      <c r="AA460" s="198" t="n"/>
      <c r="AB460" s="198" t="n"/>
      <c r="AC460" s="198" t="n"/>
    </row>
    <row r="461" ht="15" customHeight="1" s="195">
      <c r="A461" s="280" t="n"/>
      <c r="B461" s="280" t="n"/>
      <c r="C461" s="280" t="n"/>
      <c r="D461" s="280" t="n"/>
      <c r="E461" s="280" t="n"/>
      <c r="F461" s="280" t="n"/>
      <c r="G461" s="280" t="n"/>
      <c r="H461" s="280" t="n"/>
      <c r="I461" s="332">
        <f>IFERROR(VLOOKUP(TEXT(H461,"0"),IPRESS!$A$3:$B$212,2,0),"")</f>
        <v/>
      </c>
      <c r="J461" s="280" t="n"/>
      <c r="K461" s="343" t="n"/>
      <c r="L461" s="280" t="n"/>
      <c r="M461" s="280" t="n"/>
      <c r="N461" s="345" t="n"/>
      <c r="O461" s="280" t="n"/>
      <c r="P461" s="332">
        <f>IFERROR(VLOOKUP(TEXT(O461,"0"),CONDUCTORES!$A$3:$G$54,2,0),"")</f>
        <v/>
      </c>
      <c r="Q461" s="332">
        <f>IFERROR(VLOOKUP(TEXT(O461,"0"),CONDUCTORES!$A$3:$H$54,6,0),"")</f>
        <v/>
      </c>
      <c r="R461" s="280" t="n"/>
      <c r="S461" s="280" t="n"/>
      <c r="T461" s="280" t="n"/>
      <c r="U461" s="280" t="n"/>
      <c r="V461" s="280" t="n"/>
      <c r="W461" s="280" t="n"/>
      <c r="X461" s="280" t="n"/>
      <c r="Y461" s="280" t="n"/>
      <c r="Z461" s="350" t="n"/>
      <c r="AA461" s="198" t="n"/>
      <c r="AB461" s="198" t="n"/>
      <c r="AC461" s="198" t="n"/>
    </row>
    <row r="462" ht="15" customHeight="1" s="195">
      <c r="A462" s="280" t="n"/>
      <c r="B462" s="280" t="n"/>
      <c r="C462" s="280" t="n"/>
      <c r="D462" s="280" t="n"/>
      <c r="E462" s="280" t="n"/>
      <c r="F462" s="280" t="n"/>
      <c r="G462" s="280" t="n"/>
      <c r="H462" s="280" t="n"/>
      <c r="I462" s="332">
        <f>IFERROR(VLOOKUP(TEXT(H462,"0"),IPRESS!$A$3:$B$212,2,0),"")</f>
        <v/>
      </c>
      <c r="J462" s="280" t="n"/>
      <c r="K462" s="343" t="n"/>
      <c r="L462" s="280" t="n"/>
      <c r="M462" s="280" t="n"/>
      <c r="N462" s="345" t="n"/>
      <c r="O462" s="280" t="n"/>
      <c r="P462" s="332">
        <f>IFERROR(VLOOKUP(TEXT(O462,"0"),CONDUCTORES!$A$3:$G$54,2,0),"")</f>
        <v/>
      </c>
      <c r="Q462" s="332">
        <f>IFERROR(VLOOKUP(TEXT(O462,"0"),CONDUCTORES!$A$3:$H$54,6,0),"")</f>
        <v/>
      </c>
      <c r="R462" s="280" t="n"/>
      <c r="S462" s="280" t="n"/>
      <c r="T462" s="280" t="n"/>
      <c r="U462" s="280" t="n"/>
      <c r="V462" s="280" t="n"/>
      <c r="W462" s="280" t="n"/>
      <c r="X462" s="280" t="n"/>
      <c r="Y462" s="280" t="n"/>
      <c r="Z462" s="350" t="n"/>
      <c r="AA462" s="198" t="n"/>
      <c r="AB462" s="198" t="n"/>
      <c r="AC462" s="198" t="n"/>
    </row>
    <row r="463" ht="15" customHeight="1" s="195">
      <c r="A463" s="280" t="n"/>
      <c r="B463" s="280" t="n"/>
      <c r="C463" s="280" t="n"/>
      <c r="D463" s="280" t="n"/>
      <c r="E463" s="280" t="n"/>
      <c r="F463" s="280" t="n"/>
      <c r="G463" s="280" t="n"/>
      <c r="H463" s="280" t="n"/>
      <c r="I463" s="332">
        <f>IFERROR(VLOOKUP(TEXT(H463,"0"),IPRESS!$A$3:$B$212,2,0),"")</f>
        <v/>
      </c>
      <c r="J463" s="280" t="n"/>
      <c r="K463" s="343" t="n"/>
      <c r="L463" s="280" t="n"/>
      <c r="M463" s="280" t="n"/>
      <c r="N463" s="345" t="n"/>
      <c r="O463" s="280" t="n"/>
      <c r="P463" s="332">
        <f>IFERROR(VLOOKUP(TEXT(O463,"0"),CONDUCTORES!$A$3:$G$54,2,0),"")</f>
        <v/>
      </c>
      <c r="Q463" s="332">
        <f>IFERROR(VLOOKUP(TEXT(O463,"0"),CONDUCTORES!$A$3:$H$54,6,0),"")</f>
        <v/>
      </c>
      <c r="R463" s="280" t="n"/>
      <c r="S463" s="280" t="n"/>
      <c r="T463" s="280" t="n"/>
      <c r="U463" s="280" t="n"/>
      <c r="V463" s="280" t="n"/>
      <c r="W463" s="280" t="n"/>
      <c r="X463" s="280" t="n"/>
      <c r="Y463" s="280" t="n"/>
      <c r="Z463" s="350" t="n"/>
      <c r="AA463" s="198" t="n"/>
      <c r="AB463" s="198" t="n"/>
      <c r="AC463" s="198" t="n"/>
    </row>
    <row r="464" ht="15" customHeight="1" s="195">
      <c r="A464" s="280" t="n"/>
      <c r="B464" s="280" t="n"/>
      <c r="C464" s="280" t="n"/>
      <c r="D464" s="280" t="n"/>
      <c r="E464" s="280" t="n"/>
      <c r="F464" s="280" t="n"/>
      <c r="G464" s="280" t="n"/>
      <c r="H464" s="280" t="n"/>
      <c r="I464" s="332">
        <f>IFERROR(VLOOKUP(TEXT(H464,"0"),IPRESS!$A$3:$B$212,2,0),"")</f>
        <v/>
      </c>
      <c r="J464" s="280" t="n"/>
      <c r="K464" s="343" t="n"/>
      <c r="L464" s="280" t="n"/>
      <c r="M464" s="280" t="n"/>
      <c r="N464" s="345" t="n"/>
      <c r="O464" s="280" t="n"/>
      <c r="P464" s="332">
        <f>IFERROR(VLOOKUP(TEXT(O464,"0"),CONDUCTORES!$A$3:$G$54,2,0),"")</f>
        <v/>
      </c>
      <c r="Q464" s="332">
        <f>IFERROR(VLOOKUP(TEXT(O464,"0"),CONDUCTORES!$A$3:$H$54,6,0),"")</f>
        <v/>
      </c>
      <c r="R464" s="280" t="n"/>
      <c r="S464" s="280" t="n"/>
      <c r="T464" s="280" t="n"/>
      <c r="U464" s="280" t="n"/>
      <c r="V464" s="280" t="n"/>
      <c r="W464" s="280" t="n"/>
      <c r="X464" s="280" t="n"/>
      <c r="Y464" s="280" t="n"/>
      <c r="Z464" s="350" t="n"/>
      <c r="AA464" s="198" t="n"/>
      <c r="AB464" s="198" t="n"/>
      <c r="AC464" s="198" t="n"/>
    </row>
    <row r="465" ht="15" customHeight="1" s="195">
      <c r="A465" s="280" t="n"/>
      <c r="B465" s="280" t="n"/>
      <c r="C465" s="280" t="n"/>
      <c r="D465" s="280" t="n"/>
      <c r="E465" s="280" t="n"/>
      <c r="F465" s="280" t="n"/>
      <c r="G465" s="280" t="n"/>
      <c r="H465" s="280" t="n"/>
      <c r="I465" s="332">
        <f>IFERROR(VLOOKUP(TEXT(H465,"0"),IPRESS!$A$3:$B$212,2,0),"")</f>
        <v/>
      </c>
      <c r="J465" s="280" t="n"/>
      <c r="K465" s="343" t="n"/>
      <c r="L465" s="280" t="n"/>
      <c r="M465" s="280" t="n"/>
      <c r="N465" s="345" t="n"/>
      <c r="O465" s="280" t="n"/>
      <c r="P465" s="332">
        <f>IFERROR(VLOOKUP(TEXT(O465,"0"),CONDUCTORES!$A$3:$G$54,2,0),"")</f>
        <v/>
      </c>
      <c r="Q465" s="332">
        <f>IFERROR(VLOOKUP(TEXT(O465,"0"),CONDUCTORES!$A$3:$H$54,6,0),"")</f>
        <v/>
      </c>
      <c r="R465" s="280" t="n"/>
      <c r="S465" s="280" t="n"/>
      <c r="T465" s="280" t="n"/>
      <c r="U465" s="280" t="n"/>
      <c r="V465" s="280" t="n"/>
      <c r="W465" s="280" t="n"/>
      <c r="X465" s="280" t="n"/>
      <c r="Y465" s="280" t="n"/>
      <c r="Z465" s="350" t="n"/>
      <c r="AA465" s="198" t="n"/>
      <c r="AB465" s="198" t="n"/>
      <c r="AC465" s="198" t="n"/>
    </row>
    <row r="466" ht="15" customHeight="1" s="195">
      <c r="A466" s="280" t="n"/>
      <c r="B466" s="280" t="n"/>
      <c r="C466" s="280" t="n"/>
      <c r="D466" s="280" t="n"/>
      <c r="E466" s="280" t="n"/>
      <c r="F466" s="280" t="n"/>
      <c r="G466" s="280" t="n"/>
      <c r="H466" s="280" t="n"/>
      <c r="I466" s="332">
        <f>IFERROR(VLOOKUP(TEXT(H466,"0"),IPRESS!$A$3:$B$212,2,0),"")</f>
        <v/>
      </c>
      <c r="J466" s="280" t="n"/>
      <c r="K466" s="343" t="n"/>
      <c r="L466" s="280" t="n"/>
      <c r="M466" s="280" t="n"/>
      <c r="N466" s="345" t="n"/>
      <c r="O466" s="280" t="n"/>
      <c r="P466" s="332">
        <f>IFERROR(VLOOKUP(TEXT(O466,"0"),CONDUCTORES!$A$3:$G$54,2,0),"")</f>
        <v/>
      </c>
      <c r="Q466" s="332">
        <f>IFERROR(VLOOKUP(TEXT(O466,"0"),CONDUCTORES!$A$3:$H$54,6,0),"")</f>
        <v/>
      </c>
      <c r="R466" s="280" t="n"/>
      <c r="S466" s="280" t="n"/>
      <c r="T466" s="280" t="n"/>
      <c r="U466" s="280" t="n"/>
      <c r="V466" s="280" t="n"/>
      <c r="W466" s="280" t="n"/>
      <c r="X466" s="280" t="n"/>
      <c r="Y466" s="280" t="n"/>
      <c r="Z466" s="350" t="n"/>
      <c r="AA466" s="198" t="n"/>
      <c r="AB466" s="198" t="n"/>
      <c r="AC466" s="198" t="n"/>
    </row>
    <row r="467" ht="15" customHeight="1" s="195">
      <c r="A467" s="280" t="n"/>
      <c r="B467" s="280" t="n"/>
      <c r="C467" s="280" t="n"/>
      <c r="D467" s="280" t="n"/>
      <c r="E467" s="280" t="n"/>
      <c r="F467" s="280" t="n"/>
      <c r="G467" s="280" t="n"/>
      <c r="H467" s="280" t="n"/>
      <c r="I467" s="332">
        <f>IFERROR(VLOOKUP(TEXT(H467,"0"),IPRESS!$A$3:$B$212,2,0),"")</f>
        <v/>
      </c>
      <c r="J467" s="280" t="n"/>
      <c r="K467" s="343" t="n"/>
      <c r="L467" s="280" t="n"/>
      <c r="M467" s="280" t="n"/>
      <c r="N467" s="345" t="n"/>
      <c r="O467" s="280" t="n"/>
      <c r="P467" s="332">
        <f>IFERROR(VLOOKUP(TEXT(O467,"0"),CONDUCTORES!$A$3:$G$54,2,0),"")</f>
        <v/>
      </c>
      <c r="Q467" s="332">
        <f>IFERROR(VLOOKUP(TEXT(O467,"0"),CONDUCTORES!$A$3:$H$54,6,0),"")</f>
        <v/>
      </c>
      <c r="R467" s="280" t="n"/>
      <c r="S467" s="280" t="n"/>
      <c r="T467" s="280" t="n"/>
      <c r="U467" s="280" t="n"/>
      <c r="V467" s="280" t="n"/>
      <c r="W467" s="280" t="n"/>
      <c r="X467" s="280" t="n"/>
      <c r="Y467" s="280" t="n"/>
      <c r="Z467" s="350" t="n"/>
      <c r="AA467" s="198" t="n"/>
      <c r="AB467" s="198" t="n"/>
      <c r="AC467" s="198" t="n"/>
    </row>
    <row r="468" ht="15" customHeight="1" s="195">
      <c r="A468" s="280" t="n"/>
      <c r="B468" s="280" t="n"/>
      <c r="C468" s="280" t="n"/>
      <c r="D468" s="280" t="n"/>
      <c r="E468" s="280" t="n"/>
      <c r="F468" s="280" t="n"/>
      <c r="G468" s="280" t="n"/>
      <c r="H468" s="280" t="n"/>
      <c r="I468" s="332">
        <f>IFERROR(VLOOKUP(TEXT(H468,"0"),IPRESS!$A$3:$B$212,2,0),"")</f>
        <v/>
      </c>
      <c r="J468" s="280" t="n"/>
      <c r="K468" s="343" t="n"/>
      <c r="L468" s="280" t="n"/>
      <c r="M468" s="280" t="n"/>
      <c r="N468" s="345" t="n"/>
      <c r="O468" s="280" t="n"/>
      <c r="P468" s="332">
        <f>IFERROR(VLOOKUP(TEXT(O468,"0"),CONDUCTORES!$A$3:$G$54,2,0),"")</f>
        <v/>
      </c>
      <c r="Q468" s="332">
        <f>IFERROR(VLOOKUP(TEXT(O468,"0"),CONDUCTORES!$A$3:$H$54,6,0),"")</f>
        <v/>
      </c>
      <c r="R468" s="280" t="n"/>
      <c r="S468" s="280" t="n"/>
      <c r="T468" s="280" t="n"/>
      <c r="U468" s="280" t="n"/>
      <c r="V468" s="280" t="n"/>
      <c r="W468" s="280" t="n"/>
      <c r="X468" s="280" t="n"/>
      <c r="Y468" s="280" t="n"/>
      <c r="Z468" s="350" t="n"/>
      <c r="AA468" s="198" t="n"/>
      <c r="AB468" s="198" t="n"/>
      <c r="AC468" s="198" t="n"/>
    </row>
    <row r="469" ht="15" customHeight="1" s="195">
      <c r="A469" s="280" t="n"/>
      <c r="B469" s="280" t="n"/>
      <c r="C469" s="280" t="n"/>
      <c r="D469" s="280" t="n"/>
      <c r="E469" s="280" t="n"/>
      <c r="F469" s="280" t="n"/>
      <c r="G469" s="280" t="n"/>
      <c r="H469" s="280" t="n"/>
      <c r="I469" s="332">
        <f>IFERROR(VLOOKUP(TEXT(H469,"0"),IPRESS!$A$3:$B$212,2,0),"")</f>
        <v/>
      </c>
      <c r="J469" s="280" t="n"/>
      <c r="K469" s="343" t="n"/>
      <c r="L469" s="280" t="n"/>
      <c r="M469" s="280" t="n"/>
      <c r="N469" s="345" t="n"/>
      <c r="O469" s="280" t="n"/>
      <c r="P469" s="332">
        <f>IFERROR(VLOOKUP(TEXT(O469,"0"),CONDUCTORES!$A$3:$G$54,2,0),"")</f>
        <v/>
      </c>
      <c r="Q469" s="332">
        <f>IFERROR(VLOOKUP(TEXT(O469,"0"),CONDUCTORES!$A$3:$H$54,6,0),"")</f>
        <v/>
      </c>
      <c r="R469" s="280" t="n"/>
      <c r="S469" s="280" t="n"/>
      <c r="T469" s="280" t="n"/>
      <c r="U469" s="280" t="n"/>
      <c r="V469" s="280" t="n"/>
      <c r="W469" s="280" t="n"/>
      <c r="X469" s="280" t="n"/>
      <c r="Y469" s="280" t="n"/>
      <c r="Z469" s="350" t="n"/>
      <c r="AA469" s="198" t="n"/>
      <c r="AB469" s="198" t="n"/>
      <c r="AC469" s="198" t="n"/>
    </row>
    <row r="470" ht="15" customHeight="1" s="195">
      <c r="A470" s="280" t="n"/>
      <c r="B470" s="280" t="n"/>
      <c r="C470" s="280" t="n"/>
      <c r="D470" s="280" t="n"/>
      <c r="E470" s="280" t="n"/>
      <c r="F470" s="280" t="n"/>
      <c r="G470" s="280" t="n"/>
      <c r="H470" s="280" t="n"/>
      <c r="I470" s="332">
        <f>IFERROR(VLOOKUP(TEXT(H470,"0"),IPRESS!$A$3:$B$212,2,0),"")</f>
        <v/>
      </c>
      <c r="J470" s="280" t="n"/>
      <c r="K470" s="343" t="n"/>
      <c r="L470" s="280" t="n"/>
      <c r="M470" s="280" t="n"/>
      <c r="N470" s="345" t="n"/>
      <c r="O470" s="280" t="n"/>
      <c r="P470" s="332">
        <f>IFERROR(VLOOKUP(TEXT(O470,"0"),CONDUCTORES!$A$3:$G$54,2,0),"")</f>
        <v/>
      </c>
      <c r="Q470" s="332">
        <f>IFERROR(VLOOKUP(TEXT(O470,"0"),CONDUCTORES!$A$3:$H$54,6,0),"")</f>
        <v/>
      </c>
      <c r="R470" s="280" t="n"/>
      <c r="S470" s="280" t="n"/>
      <c r="T470" s="280" t="n"/>
      <c r="U470" s="280" t="n"/>
      <c r="V470" s="280" t="n"/>
      <c r="W470" s="280" t="n"/>
      <c r="X470" s="280" t="n"/>
      <c r="Y470" s="280" t="n"/>
      <c r="Z470" s="350" t="n"/>
      <c r="AA470" s="198" t="n"/>
      <c r="AB470" s="198" t="n"/>
      <c r="AC470" s="198" t="n"/>
    </row>
    <row r="471" ht="15" customHeight="1" s="195">
      <c r="A471" s="280" t="n"/>
      <c r="B471" s="280" t="n"/>
      <c r="C471" s="280" t="n"/>
      <c r="D471" s="280" t="n"/>
      <c r="E471" s="280" t="n"/>
      <c r="F471" s="280" t="n"/>
      <c r="G471" s="280" t="n"/>
      <c r="H471" s="280" t="n"/>
      <c r="I471" s="332">
        <f>IFERROR(VLOOKUP(TEXT(H471,"0"),IPRESS!$A$3:$B$212,2,0),"")</f>
        <v/>
      </c>
      <c r="J471" s="280" t="n"/>
      <c r="K471" s="343" t="n"/>
      <c r="L471" s="280" t="n"/>
      <c r="M471" s="280" t="n"/>
      <c r="N471" s="345" t="n"/>
      <c r="O471" s="280" t="n"/>
      <c r="P471" s="332">
        <f>IFERROR(VLOOKUP(TEXT(O471,"0"),CONDUCTORES!$A$3:$G$54,2,0),"")</f>
        <v/>
      </c>
      <c r="Q471" s="332">
        <f>IFERROR(VLOOKUP(TEXT(O471,"0"),CONDUCTORES!$A$3:$H$54,6,0),"")</f>
        <v/>
      </c>
      <c r="R471" s="280" t="n"/>
      <c r="S471" s="280" t="n"/>
      <c r="T471" s="280" t="n"/>
      <c r="U471" s="280" t="n"/>
      <c r="V471" s="280" t="n"/>
      <c r="W471" s="280" t="n"/>
      <c r="X471" s="280" t="n"/>
      <c r="Y471" s="280" t="n"/>
      <c r="Z471" s="350" t="n"/>
      <c r="AA471" s="198" t="n"/>
      <c r="AB471" s="198" t="n"/>
      <c r="AC471" s="198" t="n"/>
    </row>
    <row r="472" ht="15" customHeight="1" s="195">
      <c r="A472" s="280" t="n"/>
      <c r="B472" s="280" t="n"/>
      <c r="C472" s="280" t="n"/>
      <c r="D472" s="280" t="n"/>
      <c r="E472" s="280" t="n"/>
      <c r="F472" s="280" t="n"/>
      <c r="G472" s="280" t="n"/>
      <c r="H472" s="280" t="n"/>
      <c r="I472" s="332">
        <f>IFERROR(VLOOKUP(TEXT(H472,"0"),IPRESS!$A$3:$B$212,2,0),"")</f>
        <v/>
      </c>
      <c r="J472" s="280" t="n"/>
      <c r="K472" s="343" t="n"/>
      <c r="L472" s="280" t="n"/>
      <c r="M472" s="280" t="n"/>
      <c r="N472" s="345" t="n"/>
      <c r="O472" s="280" t="n"/>
      <c r="P472" s="332">
        <f>IFERROR(VLOOKUP(TEXT(O472,"0"),CONDUCTORES!$A$3:$G$54,2,0),"")</f>
        <v/>
      </c>
      <c r="Q472" s="332">
        <f>IFERROR(VLOOKUP(TEXT(O472,"0"),CONDUCTORES!$A$3:$H$54,6,0),"")</f>
        <v/>
      </c>
      <c r="R472" s="280" t="n"/>
      <c r="S472" s="280" t="n"/>
      <c r="T472" s="280" t="n"/>
      <c r="U472" s="280" t="n"/>
      <c r="V472" s="280" t="n"/>
      <c r="W472" s="280" t="n"/>
      <c r="X472" s="280" t="n"/>
      <c r="Y472" s="280" t="n"/>
      <c r="Z472" s="350" t="n"/>
      <c r="AA472" s="198" t="n"/>
      <c r="AB472" s="198" t="n"/>
      <c r="AC472" s="198" t="n"/>
    </row>
    <row r="473" ht="15" customHeight="1" s="195">
      <c r="A473" s="280" t="n"/>
      <c r="B473" s="280" t="n"/>
      <c r="C473" s="280" t="n"/>
      <c r="D473" s="280" t="n"/>
      <c r="E473" s="280" t="n"/>
      <c r="F473" s="280" t="n"/>
      <c r="G473" s="280" t="n"/>
      <c r="H473" s="280" t="n"/>
      <c r="I473" s="332">
        <f>IFERROR(VLOOKUP(TEXT(H473,"0"),IPRESS!$A$3:$B$212,2,0),"")</f>
        <v/>
      </c>
      <c r="J473" s="280" t="n"/>
      <c r="K473" s="343" t="n"/>
      <c r="L473" s="280" t="n"/>
      <c r="M473" s="280" t="n"/>
      <c r="N473" s="345" t="n"/>
      <c r="O473" s="280" t="n"/>
      <c r="P473" s="332">
        <f>IFERROR(VLOOKUP(TEXT(O473,"0"),CONDUCTORES!$A$3:$G$54,2,0),"")</f>
        <v/>
      </c>
      <c r="Q473" s="332">
        <f>IFERROR(VLOOKUP(TEXT(O473,"0"),CONDUCTORES!$A$3:$H$54,6,0),"")</f>
        <v/>
      </c>
      <c r="R473" s="280" t="n"/>
      <c r="S473" s="280" t="n"/>
      <c r="T473" s="280" t="n"/>
      <c r="U473" s="280" t="n"/>
      <c r="V473" s="280" t="n"/>
      <c r="W473" s="280" t="n"/>
      <c r="X473" s="280" t="n"/>
      <c r="Y473" s="280" t="n"/>
      <c r="Z473" s="350" t="n"/>
      <c r="AA473" s="198" t="n"/>
      <c r="AB473" s="198" t="n"/>
      <c r="AC473" s="198" t="n"/>
    </row>
    <row r="474" ht="15" customHeight="1" s="195">
      <c r="A474" s="280" t="n"/>
      <c r="B474" s="280" t="n"/>
      <c r="C474" s="280" t="n"/>
      <c r="D474" s="280" t="n"/>
      <c r="E474" s="280" t="n"/>
      <c r="F474" s="280" t="n"/>
      <c r="G474" s="280" t="n"/>
      <c r="H474" s="280" t="n"/>
      <c r="I474" s="332">
        <f>IFERROR(VLOOKUP(TEXT(H474,"0"),IPRESS!$A$3:$B$212,2,0),"")</f>
        <v/>
      </c>
      <c r="J474" s="280" t="n"/>
      <c r="K474" s="343" t="n"/>
      <c r="L474" s="280" t="n"/>
      <c r="M474" s="280" t="n"/>
      <c r="N474" s="345" t="n"/>
      <c r="O474" s="280" t="n"/>
      <c r="P474" s="332">
        <f>IFERROR(VLOOKUP(TEXT(O474,"0"),CONDUCTORES!$A$3:$G$54,2,0),"")</f>
        <v/>
      </c>
      <c r="Q474" s="332">
        <f>IFERROR(VLOOKUP(TEXT(O474,"0"),CONDUCTORES!$A$3:$H$54,6,0),"")</f>
        <v/>
      </c>
      <c r="R474" s="280" t="n"/>
      <c r="S474" s="280" t="n"/>
      <c r="T474" s="280" t="n"/>
      <c r="U474" s="280" t="n"/>
      <c r="V474" s="280" t="n"/>
      <c r="W474" s="280" t="n"/>
      <c r="X474" s="280" t="n"/>
      <c r="Y474" s="280" t="n"/>
      <c r="Z474" s="350" t="n"/>
      <c r="AA474" s="198" t="n"/>
      <c r="AB474" s="198" t="n"/>
      <c r="AC474" s="198" t="n"/>
    </row>
    <row r="475" ht="15" customHeight="1" s="195">
      <c r="A475" s="280" t="n"/>
      <c r="B475" s="280" t="n"/>
      <c r="C475" s="280" t="n"/>
      <c r="D475" s="280" t="n"/>
      <c r="E475" s="280" t="n"/>
      <c r="F475" s="280" t="n"/>
      <c r="G475" s="280" t="n"/>
      <c r="H475" s="280" t="n"/>
      <c r="I475" s="332">
        <f>IFERROR(VLOOKUP(TEXT(H475,"0"),IPRESS!$A$3:$B$212,2,0),"")</f>
        <v/>
      </c>
      <c r="J475" s="280" t="n"/>
      <c r="K475" s="343" t="n"/>
      <c r="L475" s="280" t="n"/>
      <c r="M475" s="280" t="n"/>
      <c r="N475" s="345" t="n"/>
      <c r="O475" s="280" t="n"/>
      <c r="P475" s="332">
        <f>IFERROR(VLOOKUP(TEXT(O475,"0"),CONDUCTORES!$A$3:$G$54,2,0),"")</f>
        <v/>
      </c>
      <c r="Q475" s="332">
        <f>IFERROR(VLOOKUP(TEXT(O475,"0"),CONDUCTORES!$A$3:$H$54,6,0),"")</f>
        <v/>
      </c>
      <c r="R475" s="280" t="n"/>
      <c r="S475" s="280" t="n"/>
      <c r="T475" s="280" t="n"/>
      <c r="U475" s="280" t="n"/>
      <c r="V475" s="280" t="n"/>
      <c r="W475" s="280" t="n"/>
      <c r="X475" s="280" t="n"/>
      <c r="Y475" s="280" t="n"/>
      <c r="Z475" s="350" t="n"/>
      <c r="AA475" s="198" t="n"/>
      <c r="AB475" s="198" t="n"/>
      <c r="AC475" s="198" t="n"/>
    </row>
    <row r="476" ht="15" customHeight="1" s="195">
      <c r="A476" s="280" t="n"/>
      <c r="B476" s="280" t="n"/>
      <c r="C476" s="280" t="n"/>
      <c r="D476" s="280" t="n"/>
      <c r="E476" s="280" t="n"/>
      <c r="F476" s="280" t="n"/>
      <c r="G476" s="280" t="n"/>
      <c r="H476" s="280" t="n"/>
      <c r="I476" s="332">
        <f>IFERROR(VLOOKUP(TEXT(H476,"0"),IPRESS!$A$3:$B$212,2,0),"")</f>
        <v/>
      </c>
      <c r="J476" s="280" t="n"/>
      <c r="K476" s="343" t="n"/>
      <c r="L476" s="280" t="n"/>
      <c r="M476" s="280" t="n"/>
      <c r="N476" s="345" t="n"/>
      <c r="O476" s="280" t="n"/>
      <c r="P476" s="332">
        <f>IFERROR(VLOOKUP(TEXT(O476,"0"),CONDUCTORES!$A$3:$G$54,2,0),"")</f>
        <v/>
      </c>
      <c r="Q476" s="332">
        <f>IFERROR(VLOOKUP(TEXT(O476,"0"),CONDUCTORES!$A$3:$H$54,6,0),"")</f>
        <v/>
      </c>
      <c r="R476" s="280" t="n"/>
      <c r="S476" s="280" t="n"/>
      <c r="T476" s="280" t="n"/>
      <c r="U476" s="280" t="n"/>
      <c r="V476" s="280" t="n"/>
      <c r="W476" s="280" t="n"/>
      <c r="X476" s="280" t="n"/>
      <c r="Y476" s="280" t="n"/>
      <c r="Z476" s="350" t="n"/>
      <c r="AA476" s="198" t="n"/>
      <c r="AB476" s="198" t="n"/>
      <c r="AC476" s="198" t="n"/>
    </row>
    <row r="477" ht="15" customHeight="1" s="195">
      <c r="A477" s="280" t="n"/>
      <c r="B477" s="280" t="n"/>
      <c r="C477" s="280" t="n"/>
      <c r="D477" s="280" t="n"/>
      <c r="E477" s="280" t="n"/>
      <c r="F477" s="280" t="n"/>
      <c r="G477" s="280" t="n"/>
      <c r="H477" s="280" t="n"/>
      <c r="I477" s="332">
        <f>IFERROR(VLOOKUP(TEXT(H477,"0"),IPRESS!$A$3:$B$212,2,0),"")</f>
        <v/>
      </c>
      <c r="J477" s="280" t="n"/>
      <c r="K477" s="343" t="n"/>
      <c r="L477" s="280" t="n"/>
      <c r="M477" s="280" t="n"/>
      <c r="N477" s="345" t="n"/>
      <c r="O477" s="280" t="n"/>
      <c r="P477" s="332">
        <f>IFERROR(VLOOKUP(TEXT(O477,"0"),CONDUCTORES!$A$3:$G$54,2,0),"")</f>
        <v/>
      </c>
      <c r="Q477" s="332">
        <f>IFERROR(VLOOKUP(TEXT(O477,"0"),CONDUCTORES!$A$3:$H$54,6,0),"")</f>
        <v/>
      </c>
      <c r="R477" s="280" t="n"/>
      <c r="S477" s="280" t="n"/>
      <c r="T477" s="280" t="n"/>
      <c r="U477" s="280" t="n"/>
      <c r="V477" s="280" t="n"/>
      <c r="W477" s="280" t="n"/>
      <c r="X477" s="280" t="n"/>
      <c r="Y477" s="280" t="n"/>
      <c r="Z477" s="350" t="n"/>
      <c r="AA477" s="198" t="n"/>
      <c r="AB477" s="198" t="n"/>
      <c r="AC477" s="198" t="n"/>
    </row>
    <row r="478" ht="15" customHeight="1" s="195">
      <c r="A478" s="280" t="n"/>
      <c r="B478" s="280" t="n"/>
      <c r="C478" s="280" t="n"/>
      <c r="D478" s="280" t="n"/>
      <c r="E478" s="280" t="n"/>
      <c r="F478" s="280" t="n"/>
      <c r="G478" s="280" t="n"/>
      <c r="H478" s="280" t="n"/>
      <c r="I478" s="332">
        <f>IFERROR(VLOOKUP(TEXT(H478,"0"),IPRESS!$A$3:$B$212,2,0),"")</f>
        <v/>
      </c>
      <c r="J478" s="280" t="n"/>
      <c r="K478" s="343" t="n"/>
      <c r="L478" s="280" t="n"/>
      <c r="M478" s="280" t="n"/>
      <c r="N478" s="345" t="n"/>
      <c r="O478" s="280" t="n"/>
      <c r="P478" s="332">
        <f>IFERROR(VLOOKUP(TEXT(O478,"0"),CONDUCTORES!$A$3:$G$54,2,0),"")</f>
        <v/>
      </c>
      <c r="Q478" s="332">
        <f>IFERROR(VLOOKUP(TEXT(O478,"0"),CONDUCTORES!$A$3:$H$54,6,0),"")</f>
        <v/>
      </c>
      <c r="R478" s="280" t="n"/>
      <c r="S478" s="280" t="n"/>
      <c r="T478" s="280" t="n"/>
      <c r="U478" s="280" t="n"/>
      <c r="V478" s="280" t="n"/>
      <c r="W478" s="280" t="n"/>
      <c r="X478" s="280" t="n"/>
      <c r="Y478" s="280" t="n"/>
      <c r="Z478" s="350" t="n"/>
      <c r="AA478" s="198" t="n"/>
      <c r="AB478" s="198" t="n"/>
      <c r="AC478" s="198" t="n"/>
    </row>
    <row r="479" ht="15" customHeight="1" s="195">
      <c r="A479" s="280" t="n"/>
      <c r="B479" s="280" t="n"/>
      <c r="C479" s="280" t="n"/>
      <c r="D479" s="280" t="n"/>
      <c r="E479" s="280" t="n"/>
      <c r="F479" s="280" t="n"/>
      <c r="G479" s="280" t="n"/>
      <c r="H479" s="280" t="n"/>
      <c r="I479" s="332">
        <f>IFERROR(VLOOKUP(TEXT(H479,"0"),IPRESS!$A$3:$B$212,2,0),"")</f>
        <v/>
      </c>
      <c r="J479" s="280" t="n"/>
      <c r="K479" s="343" t="n"/>
      <c r="L479" s="280" t="n"/>
      <c r="M479" s="280" t="n"/>
      <c r="N479" s="345" t="n"/>
      <c r="O479" s="280" t="n"/>
      <c r="P479" s="332">
        <f>IFERROR(VLOOKUP(TEXT(O479,"0"),CONDUCTORES!$A$3:$G$54,2,0),"")</f>
        <v/>
      </c>
      <c r="Q479" s="332">
        <f>IFERROR(VLOOKUP(TEXT(O479,"0"),CONDUCTORES!$A$3:$H$54,6,0),"")</f>
        <v/>
      </c>
      <c r="R479" s="280" t="n"/>
      <c r="S479" s="280" t="n"/>
      <c r="T479" s="280" t="n"/>
      <c r="U479" s="280" t="n"/>
      <c r="V479" s="280" t="n"/>
      <c r="W479" s="280" t="n"/>
      <c r="X479" s="280" t="n"/>
      <c r="Y479" s="280" t="n"/>
      <c r="Z479" s="350" t="n"/>
      <c r="AA479" s="198" t="n"/>
      <c r="AB479" s="198" t="n"/>
      <c r="AC479" s="198" t="n"/>
    </row>
    <row r="480" ht="15" customHeight="1" s="195">
      <c r="A480" s="280" t="n"/>
      <c r="B480" s="280" t="n"/>
      <c r="C480" s="280" t="n"/>
      <c r="D480" s="280" t="n"/>
      <c r="E480" s="280" t="n"/>
      <c r="F480" s="280" t="n"/>
      <c r="G480" s="280" t="n"/>
      <c r="H480" s="280" t="n"/>
      <c r="I480" s="332">
        <f>IFERROR(VLOOKUP(TEXT(H480,"0"),IPRESS!$A$3:$B$212,2,0),"")</f>
        <v/>
      </c>
      <c r="J480" s="280" t="n"/>
      <c r="K480" s="343" t="n"/>
      <c r="L480" s="280" t="n"/>
      <c r="M480" s="280" t="n"/>
      <c r="N480" s="345" t="n"/>
      <c r="O480" s="280" t="n"/>
      <c r="P480" s="332">
        <f>IFERROR(VLOOKUP(TEXT(O480,"0"),CONDUCTORES!$A$3:$G$54,2,0),"")</f>
        <v/>
      </c>
      <c r="Q480" s="332">
        <f>IFERROR(VLOOKUP(TEXT(O480,"0"),CONDUCTORES!$A$3:$H$54,6,0),"")</f>
        <v/>
      </c>
      <c r="R480" s="280" t="n"/>
      <c r="S480" s="280" t="n"/>
      <c r="T480" s="280" t="n"/>
      <c r="U480" s="280" t="n"/>
      <c r="V480" s="280" t="n"/>
      <c r="W480" s="280" t="n"/>
      <c r="X480" s="280" t="n"/>
      <c r="Y480" s="280" t="n"/>
      <c r="Z480" s="350" t="n"/>
      <c r="AA480" s="198" t="n"/>
      <c r="AB480" s="198" t="n"/>
      <c r="AC480" s="198" t="n"/>
    </row>
    <row r="481" ht="15" customHeight="1" s="195">
      <c r="A481" s="280" t="n"/>
      <c r="B481" s="280" t="n"/>
      <c r="C481" s="280" t="n"/>
      <c r="D481" s="280" t="n"/>
      <c r="E481" s="280" t="n"/>
      <c r="F481" s="280" t="n"/>
      <c r="G481" s="280" t="n"/>
      <c r="H481" s="280" t="n"/>
      <c r="I481" s="332">
        <f>IFERROR(VLOOKUP(TEXT(H481,"0"),IPRESS!$A$3:$B$212,2,0),"")</f>
        <v/>
      </c>
      <c r="J481" s="280" t="n"/>
      <c r="K481" s="343" t="n"/>
      <c r="L481" s="280" t="n"/>
      <c r="M481" s="280" t="n"/>
      <c r="N481" s="345" t="n"/>
      <c r="O481" s="280" t="n"/>
      <c r="P481" s="332">
        <f>IFERROR(VLOOKUP(TEXT(O481,"0"),CONDUCTORES!$A$3:$G$54,2,0),"")</f>
        <v/>
      </c>
      <c r="Q481" s="332">
        <f>IFERROR(VLOOKUP(TEXT(O481,"0"),CONDUCTORES!$A$3:$H$54,6,0),"")</f>
        <v/>
      </c>
      <c r="R481" s="280" t="n"/>
      <c r="S481" s="280" t="n"/>
      <c r="T481" s="280" t="n"/>
      <c r="U481" s="280" t="n"/>
      <c r="V481" s="280" t="n"/>
      <c r="W481" s="280" t="n"/>
      <c r="X481" s="280" t="n"/>
      <c r="Y481" s="280" t="n"/>
      <c r="Z481" s="350" t="n"/>
      <c r="AA481" s="198" t="n"/>
      <c r="AB481" s="198" t="n"/>
      <c r="AC481" s="198" t="n"/>
    </row>
    <row r="482" ht="15" customHeight="1" s="195">
      <c r="A482" s="280" t="n"/>
      <c r="B482" s="280" t="n"/>
      <c r="C482" s="280" t="n"/>
      <c r="D482" s="280" t="n"/>
      <c r="E482" s="280" t="n"/>
      <c r="F482" s="280" t="n"/>
      <c r="G482" s="280" t="n"/>
      <c r="H482" s="280" t="n"/>
      <c r="I482" s="332">
        <f>IFERROR(VLOOKUP(TEXT(H482,"0"),IPRESS!$A$3:$B$212,2,0),"")</f>
        <v/>
      </c>
      <c r="J482" s="280" t="n"/>
      <c r="K482" s="343" t="n"/>
      <c r="L482" s="280" t="n"/>
      <c r="M482" s="280" t="n"/>
      <c r="N482" s="345" t="n"/>
      <c r="O482" s="280" t="n"/>
      <c r="P482" s="332">
        <f>IFERROR(VLOOKUP(TEXT(O482,"0"),CONDUCTORES!$A$3:$G$54,2,0),"")</f>
        <v/>
      </c>
      <c r="Q482" s="332">
        <f>IFERROR(VLOOKUP(TEXT(O482,"0"),CONDUCTORES!$A$3:$H$54,6,0),"")</f>
        <v/>
      </c>
      <c r="R482" s="280" t="n"/>
      <c r="S482" s="280" t="n"/>
      <c r="T482" s="280" t="n"/>
      <c r="U482" s="280" t="n"/>
      <c r="V482" s="280" t="n"/>
      <c r="W482" s="280" t="n"/>
      <c r="X482" s="280" t="n"/>
      <c r="Y482" s="280" t="n"/>
      <c r="Z482" s="350" t="n"/>
      <c r="AA482" s="198" t="n"/>
      <c r="AB482" s="198" t="n"/>
      <c r="AC482" s="198" t="n"/>
    </row>
    <row r="483" ht="15" customHeight="1" s="195">
      <c r="A483" s="280" t="n"/>
      <c r="B483" s="280" t="n"/>
      <c r="C483" s="280" t="n"/>
      <c r="D483" s="280" t="n"/>
      <c r="E483" s="280" t="n"/>
      <c r="F483" s="280" t="n"/>
      <c r="G483" s="280" t="n"/>
      <c r="H483" s="280" t="n"/>
      <c r="I483" s="332">
        <f>IFERROR(VLOOKUP(TEXT(H483,"0"),IPRESS!$A$3:$B$212,2,0),"")</f>
        <v/>
      </c>
      <c r="J483" s="280" t="n"/>
      <c r="K483" s="343" t="n"/>
      <c r="L483" s="280" t="n"/>
      <c r="M483" s="280" t="n"/>
      <c r="N483" s="345" t="n"/>
      <c r="O483" s="280" t="n"/>
      <c r="P483" s="332">
        <f>IFERROR(VLOOKUP(TEXT(O483,"0"),CONDUCTORES!$A$3:$G$54,2,0),"")</f>
        <v/>
      </c>
      <c r="Q483" s="332">
        <f>IFERROR(VLOOKUP(TEXT(O483,"0"),CONDUCTORES!$A$3:$H$54,6,0),"")</f>
        <v/>
      </c>
      <c r="R483" s="280" t="n"/>
      <c r="S483" s="280" t="n"/>
      <c r="T483" s="280" t="n"/>
      <c r="U483" s="280" t="n"/>
      <c r="V483" s="280" t="n"/>
      <c r="W483" s="280" t="n"/>
      <c r="X483" s="280" t="n"/>
      <c r="Y483" s="280" t="n"/>
      <c r="Z483" s="350" t="n"/>
      <c r="AA483" s="198" t="n"/>
      <c r="AB483" s="198" t="n"/>
      <c r="AC483" s="198" t="n"/>
    </row>
    <row r="484" ht="15" customHeight="1" s="195">
      <c r="A484" s="280" t="n"/>
      <c r="B484" s="280" t="n"/>
      <c r="C484" s="280" t="n"/>
      <c r="D484" s="280" t="n"/>
      <c r="E484" s="280" t="n"/>
      <c r="F484" s="280" t="n"/>
      <c r="G484" s="280" t="n"/>
      <c r="H484" s="280" t="n"/>
      <c r="I484" s="332">
        <f>IFERROR(VLOOKUP(TEXT(H484,"0"),IPRESS!$A$3:$B$212,2,0),"")</f>
        <v/>
      </c>
      <c r="J484" s="280" t="n"/>
      <c r="K484" s="343" t="n"/>
      <c r="L484" s="280" t="n"/>
      <c r="M484" s="280" t="n"/>
      <c r="N484" s="345" t="n"/>
      <c r="O484" s="280" t="n"/>
      <c r="P484" s="332">
        <f>IFERROR(VLOOKUP(TEXT(O484,"0"),CONDUCTORES!$A$3:$G$54,2,0),"")</f>
        <v/>
      </c>
      <c r="Q484" s="332">
        <f>IFERROR(VLOOKUP(TEXT(O484,"0"),CONDUCTORES!$A$3:$H$54,6,0),"")</f>
        <v/>
      </c>
      <c r="R484" s="280" t="n"/>
      <c r="S484" s="280" t="n"/>
      <c r="T484" s="280" t="n"/>
      <c r="U484" s="280" t="n"/>
      <c r="V484" s="280" t="n"/>
      <c r="W484" s="280" t="n"/>
      <c r="X484" s="280" t="n"/>
      <c r="Y484" s="280" t="n"/>
      <c r="Z484" s="350" t="n"/>
      <c r="AA484" s="198" t="n"/>
      <c r="AB484" s="198" t="n"/>
      <c r="AC484" s="198" t="n"/>
    </row>
    <row r="485" ht="15" customHeight="1" s="195">
      <c r="A485" s="280" t="n"/>
      <c r="B485" s="280" t="n"/>
      <c r="C485" s="280" t="n"/>
      <c r="D485" s="280" t="n"/>
      <c r="E485" s="280" t="n"/>
      <c r="F485" s="280" t="n"/>
      <c r="G485" s="280" t="n"/>
      <c r="H485" s="280" t="n"/>
      <c r="I485" s="332">
        <f>IFERROR(VLOOKUP(TEXT(H485,"0"),IPRESS!$A$3:$B$212,2,0),"")</f>
        <v/>
      </c>
      <c r="J485" s="280" t="n"/>
      <c r="K485" s="343" t="n"/>
      <c r="L485" s="280" t="n"/>
      <c r="M485" s="280" t="n"/>
      <c r="N485" s="345" t="n"/>
      <c r="O485" s="280" t="n"/>
      <c r="P485" s="332">
        <f>IFERROR(VLOOKUP(TEXT(O485,"0"),CONDUCTORES!$A$3:$G$54,2,0),"")</f>
        <v/>
      </c>
      <c r="Q485" s="332">
        <f>IFERROR(VLOOKUP(TEXT(O485,"0"),CONDUCTORES!$A$3:$H$54,6,0),"")</f>
        <v/>
      </c>
      <c r="R485" s="280" t="n"/>
      <c r="S485" s="280" t="n"/>
      <c r="T485" s="280" t="n"/>
      <c r="U485" s="280" t="n"/>
      <c r="V485" s="280" t="n"/>
      <c r="W485" s="280" t="n"/>
      <c r="X485" s="280" t="n"/>
      <c r="Y485" s="280" t="n"/>
      <c r="Z485" s="350" t="n"/>
      <c r="AA485" s="198" t="n"/>
      <c r="AB485" s="198" t="n"/>
      <c r="AC485" s="198" t="n"/>
    </row>
    <row r="486" ht="15" customHeight="1" s="195">
      <c r="A486" s="280" t="n"/>
      <c r="B486" s="280" t="n"/>
      <c r="C486" s="280" t="n"/>
      <c r="D486" s="280" t="n"/>
      <c r="E486" s="280" t="n"/>
      <c r="F486" s="280" t="n"/>
      <c r="G486" s="280" t="n"/>
      <c r="H486" s="280" t="n"/>
      <c r="I486" s="332">
        <f>IFERROR(VLOOKUP(TEXT(H486,"0"),IPRESS!$A$3:$B$212,2,0),"")</f>
        <v/>
      </c>
      <c r="J486" s="280" t="n"/>
      <c r="K486" s="343" t="n"/>
      <c r="L486" s="280" t="n"/>
      <c r="M486" s="280" t="n"/>
      <c r="N486" s="345" t="n"/>
      <c r="O486" s="280" t="n"/>
      <c r="P486" s="332">
        <f>IFERROR(VLOOKUP(TEXT(O486,"0"),CONDUCTORES!$A$3:$G$54,2,0),"")</f>
        <v/>
      </c>
      <c r="Q486" s="332">
        <f>IFERROR(VLOOKUP(TEXT(O486,"0"),CONDUCTORES!$A$3:$H$54,6,0),"")</f>
        <v/>
      </c>
      <c r="R486" s="280" t="n"/>
      <c r="S486" s="280" t="n"/>
      <c r="T486" s="280" t="n"/>
      <c r="U486" s="280" t="n"/>
      <c r="V486" s="280" t="n"/>
      <c r="W486" s="280" t="n"/>
      <c r="X486" s="280" t="n"/>
      <c r="Y486" s="280" t="n"/>
      <c r="Z486" s="350" t="n"/>
      <c r="AA486" s="198" t="n"/>
      <c r="AB486" s="198" t="n"/>
      <c r="AC486" s="198" t="n"/>
    </row>
    <row r="487" ht="15" customHeight="1" s="195">
      <c r="A487" s="280" t="n"/>
      <c r="B487" s="280" t="n"/>
      <c r="C487" s="280" t="n"/>
      <c r="D487" s="280" t="n"/>
      <c r="E487" s="280" t="n"/>
      <c r="F487" s="280" t="n"/>
      <c r="G487" s="280" t="n"/>
      <c r="H487" s="280" t="n"/>
      <c r="I487" s="332">
        <f>IFERROR(VLOOKUP(TEXT(H487,"0"),IPRESS!$A$3:$B$212,2,0),"")</f>
        <v/>
      </c>
      <c r="J487" s="280" t="n"/>
      <c r="K487" s="343" t="n"/>
      <c r="L487" s="280" t="n"/>
      <c r="M487" s="280" t="n"/>
      <c r="N487" s="345" t="n"/>
      <c r="O487" s="280" t="n"/>
      <c r="P487" s="332">
        <f>IFERROR(VLOOKUP(TEXT(O487,"0"),CONDUCTORES!$A$3:$G$54,2,0),"")</f>
        <v/>
      </c>
      <c r="Q487" s="332">
        <f>IFERROR(VLOOKUP(TEXT(O487,"0"),CONDUCTORES!$A$3:$H$54,6,0),"")</f>
        <v/>
      </c>
      <c r="R487" s="280" t="n"/>
      <c r="S487" s="280" t="n"/>
      <c r="T487" s="280" t="n"/>
      <c r="U487" s="280" t="n"/>
      <c r="V487" s="280" t="n"/>
      <c r="W487" s="280" t="n"/>
      <c r="X487" s="280" t="n"/>
      <c r="Y487" s="280" t="n"/>
      <c r="Z487" s="350" t="n"/>
      <c r="AA487" s="198" t="n"/>
      <c r="AB487" s="198" t="n"/>
      <c r="AC487" s="198" t="n"/>
    </row>
    <row r="488" ht="15" customHeight="1" s="195">
      <c r="A488" s="280" t="n"/>
      <c r="B488" s="280" t="n"/>
      <c r="C488" s="280" t="n"/>
      <c r="D488" s="280" t="n"/>
      <c r="E488" s="280" t="n"/>
      <c r="F488" s="280" t="n"/>
      <c r="G488" s="280" t="n"/>
      <c r="H488" s="280" t="n"/>
      <c r="I488" s="332">
        <f>IFERROR(VLOOKUP(TEXT(H488,"0"),IPRESS!$A$3:$B$212,2,0),"")</f>
        <v/>
      </c>
      <c r="J488" s="280" t="n"/>
      <c r="K488" s="343" t="n"/>
      <c r="L488" s="280" t="n"/>
      <c r="M488" s="280" t="n"/>
      <c r="N488" s="345" t="n"/>
      <c r="O488" s="280" t="n"/>
      <c r="P488" s="332">
        <f>IFERROR(VLOOKUP(TEXT(O488,"0"),CONDUCTORES!$A$3:$G$54,2,0),"")</f>
        <v/>
      </c>
      <c r="Q488" s="332">
        <f>IFERROR(VLOOKUP(TEXT(O488,"0"),CONDUCTORES!$A$3:$H$54,6,0),"")</f>
        <v/>
      </c>
      <c r="R488" s="280" t="n"/>
      <c r="S488" s="280" t="n"/>
      <c r="T488" s="280" t="n"/>
      <c r="U488" s="280" t="n"/>
      <c r="V488" s="280" t="n"/>
      <c r="W488" s="280" t="n"/>
      <c r="X488" s="280" t="n"/>
      <c r="Y488" s="280" t="n"/>
      <c r="Z488" s="350" t="n"/>
      <c r="AA488" s="198" t="n"/>
      <c r="AB488" s="198" t="n"/>
      <c r="AC488" s="198" t="n"/>
    </row>
    <row r="489" ht="15" customHeight="1" s="195">
      <c r="A489" s="280" t="n"/>
      <c r="B489" s="280" t="n"/>
      <c r="C489" s="280" t="n"/>
      <c r="D489" s="280" t="n"/>
      <c r="E489" s="280" t="n"/>
      <c r="F489" s="280" t="n"/>
      <c r="G489" s="280" t="n"/>
      <c r="H489" s="280" t="n"/>
      <c r="I489" s="332">
        <f>IFERROR(VLOOKUP(TEXT(H489,"0"),IPRESS!$A$3:$B$212,2,0),"")</f>
        <v/>
      </c>
      <c r="J489" s="280" t="n"/>
      <c r="K489" s="343" t="n"/>
      <c r="L489" s="280" t="n"/>
      <c r="M489" s="280" t="n"/>
      <c r="N489" s="345" t="n"/>
      <c r="O489" s="280" t="n"/>
      <c r="P489" s="332">
        <f>IFERROR(VLOOKUP(TEXT(O489,"0"),CONDUCTORES!$A$3:$G$54,2,0),"")</f>
        <v/>
      </c>
      <c r="Q489" s="332">
        <f>IFERROR(VLOOKUP(TEXT(O489,"0"),CONDUCTORES!$A$3:$H$54,6,0),"")</f>
        <v/>
      </c>
      <c r="R489" s="280" t="n"/>
      <c r="S489" s="280" t="n"/>
      <c r="T489" s="280" t="n"/>
      <c r="U489" s="280" t="n"/>
      <c r="V489" s="280" t="n"/>
      <c r="W489" s="280" t="n"/>
      <c r="X489" s="280" t="n"/>
      <c r="Y489" s="280" t="n"/>
      <c r="Z489" s="350" t="n"/>
      <c r="AA489" s="198" t="n"/>
      <c r="AB489" s="198" t="n"/>
      <c r="AC489" s="198" t="n"/>
    </row>
    <row r="490" ht="15" customHeight="1" s="195">
      <c r="A490" s="280" t="n"/>
      <c r="B490" s="280" t="n"/>
      <c r="C490" s="280" t="n"/>
      <c r="D490" s="280" t="n"/>
      <c r="E490" s="280" t="n"/>
      <c r="F490" s="280" t="n"/>
      <c r="G490" s="280" t="n"/>
      <c r="H490" s="280" t="n"/>
      <c r="I490" s="332">
        <f>IFERROR(VLOOKUP(TEXT(H490,"0"),IPRESS!$A$3:$B$212,2,0),"")</f>
        <v/>
      </c>
      <c r="J490" s="280" t="n"/>
      <c r="K490" s="343" t="n"/>
      <c r="L490" s="280" t="n"/>
      <c r="M490" s="280" t="n"/>
      <c r="N490" s="345" t="n"/>
      <c r="O490" s="280" t="n"/>
      <c r="P490" s="332">
        <f>IFERROR(VLOOKUP(TEXT(O490,"0"),CONDUCTORES!$A$3:$G$54,2,0),"")</f>
        <v/>
      </c>
      <c r="Q490" s="332">
        <f>IFERROR(VLOOKUP(TEXT(O490,"0"),CONDUCTORES!$A$3:$H$54,6,0),"")</f>
        <v/>
      </c>
      <c r="R490" s="280" t="n"/>
      <c r="S490" s="280" t="n"/>
      <c r="T490" s="280" t="n"/>
      <c r="U490" s="280" t="n"/>
      <c r="V490" s="280" t="n"/>
      <c r="W490" s="280" t="n"/>
      <c r="X490" s="280" t="n"/>
      <c r="Y490" s="280" t="n"/>
      <c r="Z490" s="350" t="n"/>
      <c r="AA490" s="198" t="n"/>
      <c r="AB490" s="198" t="n"/>
      <c r="AC490" s="198" t="n"/>
    </row>
    <row r="491" ht="15" customHeight="1" s="195">
      <c r="A491" s="280" t="n"/>
      <c r="B491" s="280" t="n"/>
      <c r="C491" s="280" t="n"/>
      <c r="D491" s="280" t="n"/>
      <c r="E491" s="280" t="n"/>
      <c r="F491" s="280" t="n"/>
      <c r="G491" s="280" t="n"/>
      <c r="H491" s="280" t="n"/>
      <c r="I491" s="332">
        <f>IFERROR(VLOOKUP(TEXT(H491,"0"),IPRESS!$A$3:$B$212,2,0),"")</f>
        <v/>
      </c>
      <c r="J491" s="280" t="n"/>
      <c r="K491" s="343" t="n"/>
      <c r="L491" s="280" t="n"/>
      <c r="M491" s="280" t="n"/>
      <c r="N491" s="345" t="n"/>
      <c r="O491" s="280" t="n"/>
      <c r="P491" s="332">
        <f>IFERROR(VLOOKUP(TEXT(O491,"0"),CONDUCTORES!$A$3:$G$54,2,0),"")</f>
        <v/>
      </c>
      <c r="Q491" s="332">
        <f>IFERROR(VLOOKUP(TEXT(O491,"0"),CONDUCTORES!$A$3:$H$54,6,0),"")</f>
        <v/>
      </c>
      <c r="R491" s="280" t="n"/>
      <c r="S491" s="280" t="n"/>
      <c r="T491" s="280" t="n"/>
      <c r="U491" s="280" t="n"/>
      <c r="V491" s="280" t="n"/>
      <c r="W491" s="280" t="n"/>
      <c r="X491" s="280" t="n"/>
      <c r="Y491" s="280" t="n"/>
      <c r="Z491" s="350" t="n"/>
      <c r="AA491" s="198" t="n"/>
      <c r="AB491" s="198" t="n"/>
      <c r="AC491" s="198" t="n"/>
    </row>
    <row r="492" ht="15" customHeight="1" s="195">
      <c r="A492" s="280" t="n"/>
      <c r="B492" s="280" t="n"/>
      <c r="C492" s="280" t="n"/>
      <c r="D492" s="280" t="n"/>
      <c r="E492" s="280" t="n"/>
      <c r="F492" s="280" t="n"/>
      <c r="G492" s="280" t="n"/>
      <c r="H492" s="280" t="n"/>
      <c r="I492" s="332">
        <f>IFERROR(VLOOKUP(TEXT(H492,"0"),IPRESS!$A$3:$B$212,2,0),"")</f>
        <v/>
      </c>
      <c r="J492" s="280" t="n"/>
      <c r="K492" s="343" t="n"/>
      <c r="L492" s="280" t="n"/>
      <c r="M492" s="280" t="n"/>
      <c r="N492" s="345" t="n"/>
      <c r="O492" s="280" t="n"/>
      <c r="P492" s="332">
        <f>IFERROR(VLOOKUP(TEXT(O492,"0"),CONDUCTORES!$A$3:$G$54,2,0),"")</f>
        <v/>
      </c>
      <c r="Q492" s="332">
        <f>IFERROR(VLOOKUP(TEXT(O492,"0"),CONDUCTORES!$A$3:$H$54,6,0),"")</f>
        <v/>
      </c>
      <c r="R492" s="280" t="n"/>
      <c r="S492" s="280" t="n"/>
      <c r="T492" s="280" t="n"/>
      <c r="U492" s="280" t="n"/>
      <c r="V492" s="280" t="n"/>
      <c r="W492" s="280" t="n"/>
      <c r="X492" s="280" t="n"/>
      <c r="Y492" s="280" t="n"/>
      <c r="Z492" s="350" t="n"/>
      <c r="AA492" s="198" t="n"/>
      <c r="AB492" s="198" t="n"/>
      <c r="AC492" s="198" t="n"/>
    </row>
    <row r="493" ht="15" customHeight="1" s="195">
      <c r="A493" s="280" t="n"/>
      <c r="B493" s="280" t="n"/>
      <c r="C493" s="280" t="n"/>
      <c r="D493" s="280" t="n"/>
      <c r="E493" s="280" t="n"/>
      <c r="F493" s="280" t="n"/>
      <c r="G493" s="280" t="n"/>
      <c r="H493" s="280" t="n"/>
      <c r="I493" s="332">
        <f>IFERROR(VLOOKUP(TEXT(H493,"0"),IPRESS!$A$3:$B$212,2,0),"")</f>
        <v/>
      </c>
      <c r="J493" s="280" t="n"/>
      <c r="K493" s="343" t="n"/>
      <c r="L493" s="280" t="n"/>
      <c r="M493" s="280" t="n"/>
      <c r="N493" s="345" t="n"/>
      <c r="O493" s="280" t="n"/>
      <c r="P493" s="332">
        <f>IFERROR(VLOOKUP(TEXT(O493,"0"),CONDUCTORES!$A$3:$G$54,2,0),"")</f>
        <v/>
      </c>
      <c r="Q493" s="332">
        <f>IFERROR(VLOOKUP(TEXT(O493,"0"),CONDUCTORES!$A$3:$H$54,6,0),"")</f>
        <v/>
      </c>
      <c r="R493" s="280" t="n"/>
      <c r="S493" s="280" t="n"/>
      <c r="T493" s="280" t="n"/>
      <c r="U493" s="280" t="n"/>
      <c r="V493" s="280" t="n"/>
      <c r="W493" s="280" t="n"/>
      <c r="X493" s="280" t="n"/>
      <c r="Y493" s="280" t="n"/>
      <c r="Z493" s="350" t="n"/>
      <c r="AA493" s="198" t="n"/>
      <c r="AB493" s="198" t="n"/>
      <c r="AC493" s="198" t="n"/>
    </row>
    <row r="494" ht="15" customHeight="1" s="195">
      <c r="A494" s="280" t="n"/>
      <c r="B494" s="280" t="n"/>
      <c r="C494" s="280" t="n"/>
      <c r="D494" s="280" t="n"/>
      <c r="E494" s="280" t="n"/>
      <c r="F494" s="280" t="n"/>
      <c r="G494" s="280" t="n"/>
      <c r="H494" s="280" t="n"/>
      <c r="I494" s="332">
        <f>IFERROR(VLOOKUP(TEXT(H494,"0"),IPRESS!$A$3:$B$212,2,0),"")</f>
        <v/>
      </c>
      <c r="J494" s="280" t="n"/>
      <c r="K494" s="343" t="n"/>
      <c r="L494" s="280" t="n"/>
      <c r="M494" s="280" t="n"/>
      <c r="N494" s="345" t="n"/>
      <c r="O494" s="280" t="n"/>
      <c r="P494" s="332">
        <f>IFERROR(VLOOKUP(TEXT(O494,"0"),CONDUCTORES!$A$3:$G$54,2,0),"")</f>
        <v/>
      </c>
      <c r="Q494" s="332">
        <f>IFERROR(VLOOKUP(TEXT(O494,"0"),CONDUCTORES!$A$3:$H$54,6,0),"")</f>
        <v/>
      </c>
      <c r="R494" s="280" t="n"/>
      <c r="S494" s="280" t="n"/>
      <c r="T494" s="280" t="n"/>
      <c r="U494" s="280" t="n"/>
      <c r="V494" s="280" t="n"/>
      <c r="W494" s="280" t="n"/>
      <c r="X494" s="280" t="n"/>
      <c r="Y494" s="280" t="n"/>
      <c r="Z494" s="350" t="n"/>
      <c r="AA494" s="198" t="n"/>
      <c r="AB494" s="198" t="n"/>
      <c r="AC494" s="198" t="n"/>
    </row>
    <row r="495" ht="15" customHeight="1" s="195">
      <c r="A495" s="280" t="n"/>
      <c r="B495" s="280" t="n"/>
      <c r="C495" s="280" t="n"/>
      <c r="D495" s="280" t="n"/>
      <c r="E495" s="280" t="n"/>
      <c r="F495" s="280" t="n"/>
      <c r="G495" s="280" t="n"/>
      <c r="H495" s="280" t="n"/>
      <c r="I495" s="332">
        <f>IFERROR(VLOOKUP(TEXT(H495,"0"),IPRESS!$A$3:$B$212,2,0),"")</f>
        <v/>
      </c>
      <c r="J495" s="280" t="n"/>
      <c r="K495" s="343" t="n"/>
      <c r="L495" s="280" t="n"/>
      <c r="M495" s="280" t="n"/>
      <c r="N495" s="345" t="n"/>
      <c r="O495" s="280" t="n"/>
      <c r="P495" s="332">
        <f>IFERROR(VLOOKUP(TEXT(O495,"0"),CONDUCTORES!$A$3:$G$54,2,0),"")</f>
        <v/>
      </c>
      <c r="Q495" s="332">
        <f>IFERROR(VLOOKUP(TEXT(O495,"0"),CONDUCTORES!$A$3:$H$54,6,0),"")</f>
        <v/>
      </c>
      <c r="R495" s="280" t="n"/>
      <c r="S495" s="280" t="n"/>
      <c r="T495" s="280" t="n"/>
      <c r="U495" s="280" t="n"/>
      <c r="V495" s="280" t="n"/>
      <c r="W495" s="280" t="n"/>
      <c r="X495" s="280" t="n"/>
      <c r="Y495" s="280" t="n"/>
      <c r="Z495" s="350" t="n"/>
      <c r="AA495" s="198" t="n"/>
      <c r="AB495" s="198" t="n"/>
      <c r="AC495" s="198" t="n"/>
    </row>
    <row r="496" ht="15" customHeight="1" s="195">
      <c r="A496" s="280" t="n"/>
      <c r="B496" s="280" t="n"/>
      <c r="C496" s="280" t="n"/>
      <c r="D496" s="280" t="n"/>
      <c r="E496" s="280" t="n"/>
      <c r="F496" s="280" t="n"/>
      <c r="G496" s="280" t="n"/>
      <c r="H496" s="280" t="n"/>
      <c r="I496" s="332">
        <f>IFERROR(VLOOKUP(TEXT(H496,"0"),IPRESS!$A$3:$B$212,2,0),"")</f>
        <v/>
      </c>
      <c r="J496" s="280" t="n"/>
      <c r="K496" s="343" t="n"/>
      <c r="L496" s="280" t="n"/>
      <c r="M496" s="280" t="n"/>
      <c r="N496" s="345" t="n"/>
      <c r="O496" s="280" t="n"/>
      <c r="P496" s="332">
        <f>IFERROR(VLOOKUP(TEXT(O496,"0"),CONDUCTORES!$A$3:$G$54,2,0),"")</f>
        <v/>
      </c>
      <c r="Q496" s="332">
        <f>IFERROR(VLOOKUP(TEXT(O496,"0"),CONDUCTORES!$A$3:$H$54,6,0),"")</f>
        <v/>
      </c>
      <c r="R496" s="280" t="n"/>
      <c r="S496" s="280" t="n"/>
      <c r="T496" s="280" t="n"/>
      <c r="U496" s="280" t="n"/>
      <c r="V496" s="280" t="n"/>
      <c r="W496" s="280" t="n"/>
      <c r="X496" s="280" t="n"/>
      <c r="Y496" s="280" t="n"/>
      <c r="Z496" s="350" t="n"/>
      <c r="AA496" s="198" t="n"/>
      <c r="AB496" s="198" t="n"/>
      <c r="AC496" s="198" t="n"/>
    </row>
    <row r="497" ht="15" customHeight="1" s="195">
      <c r="A497" s="280" t="n"/>
      <c r="B497" s="280" t="n"/>
      <c r="C497" s="280" t="n"/>
      <c r="D497" s="280" t="n"/>
      <c r="E497" s="280" t="n"/>
      <c r="F497" s="280" t="n"/>
      <c r="G497" s="280" t="n"/>
      <c r="H497" s="280" t="n"/>
      <c r="I497" s="332">
        <f>IFERROR(VLOOKUP(TEXT(H497,"0"),IPRESS!$A$3:$B$212,2,0),"")</f>
        <v/>
      </c>
      <c r="J497" s="280" t="n"/>
      <c r="K497" s="343" t="n"/>
      <c r="L497" s="280" t="n"/>
      <c r="M497" s="280" t="n"/>
      <c r="N497" s="345" t="n"/>
      <c r="O497" s="280" t="n"/>
      <c r="P497" s="332">
        <f>IFERROR(VLOOKUP(TEXT(O497,"0"),CONDUCTORES!$A$3:$G$54,2,0),"")</f>
        <v/>
      </c>
      <c r="Q497" s="332">
        <f>IFERROR(VLOOKUP(TEXT(O497,"0"),CONDUCTORES!$A$3:$H$54,6,0),"")</f>
        <v/>
      </c>
      <c r="R497" s="280" t="n"/>
      <c r="S497" s="280" t="n"/>
      <c r="T497" s="280" t="n"/>
      <c r="U497" s="280" t="n"/>
      <c r="V497" s="280" t="n"/>
      <c r="W497" s="280" t="n"/>
      <c r="X497" s="280" t="n"/>
      <c r="Y497" s="280" t="n"/>
      <c r="Z497" s="350" t="n"/>
      <c r="AA497" s="198" t="n"/>
      <c r="AB497" s="198" t="n"/>
      <c r="AC497" s="198" t="n"/>
    </row>
    <row r="498" ht="15" customHeight="1" s="195">
      <c r="A498" s="280" t="n"/>
      <c r="B498" s="280" t="n"/>
      <c r="C498" s="280" t="n"/>
      <c r="D498" s="280" t="n"/>
      <c r="E498" s="280" t="n"/>
      <c r="F498" s="280" t="n"/>
      <c r="G498" s="280" t="n"/>
      <c r="H498" s="280" t="n"/>
      <c r="I498" s="332">
        <f>IFERROR(VLOOKUP(TEXT(H498,"0"),IPRESS!$A$3:$B$212,2,0),"")</f>
        <v/>
      </c>
      <c r="J498" s="280" t="n"/>
      <c r="K498" s="343" t="n"/>
      <c r="L498" s="280" t="n"/>
      <c r="M498" s="280" t="n"/>
      <c r="N498" s="345" t="n"/>
      <c r="O498" s="280" t="n"/>
      <c r="P498" s="332">
        <f>IFERROR(VLOOKUP(TEXT(O498,"0"),CONDUCTORES!$A$3:$G$54,2,0),"")</f>
        <v/>
      </c>
      <c r="Q498" s="332">
        <f>IFERROR(VLOOKUP(TEXT(O498,"0"),CONDUCTORES!$A$3:$H$54,6,0),"")</f>
        <v/>
      </c>
      <c r="R498" s="280" t="n"/>
      <c r="S498" s="280" t="n"/>
      <c r="T498" s="280" t="n"/>
      <c r="U498" s="280" t="n"/>
      <c r="V498" s="280" t="n"/>
      <c r="W498" s="280" t="n"/>
      <c r="X498" s="280" t="n"/>
      <c r="Y498" s="280" t="n"/>
      <c r="Z498" s="350" t="n"/>
      <c r="AA498" s="198" t="n"/>
      <c r="AB498" s="198" t="n"/>
      <c r="AC498" s="198" t="n"/>
    </row>
    <row r="499" ht="15" customHeight="1" s="195">
      <c r="A499" s="280" t="n"/>
      <c r="B499" s="280" t="n"/>
      <c r="C499" s="280" t="n"/>
      <c r="D499" s="280" t="n"/>
      <c r="E499" s="280" t="n"/>
      <c r="F499" s="280" t="n"/>
      <c r="G499" s="280" t="n"/>
      <c r="H499" s="280" t="n"/>
      <c r="I499" s="332">
        <f>IFERROR(VLOOKUP(TEXT(H499,"0"),IPRESS!$A$3:$B$212,2,0),"")</f>
        <v/>
      </c>
      <c r="J499" s="280" t="n"/>
      <c r="K499" s="343" t="n"/>
      <c r="L499" s="280" t="n"/>
      <c r="M499" s="280" t="n"/>
      <c r="N499" s="345" t="n"/>
      <c r="O499" s="280" t="n"/>
      <c r="P499" s="332">
        <f>IFERROR(VLOOKUP(TEXT(O499,"0"),CONDUCTORES!$A$3:$G$54,2,0),"")</f>
        <v/>
      </c>
      <c r="Q499" s="332">
        <f>IFERROR(VLOOKUP(TEXT(O499,"0"),CONDUCTORES!$A$3:$H$54,6,0),"")</f>
        <v/>
      </c>
      <c r="R499" s="280" t="n"/>
      <c r="S499" s="280" t="n"/>
      <c r="T499" s="280" t="n"/>
      <c r="U499" s="280" t="n"/>
      <c r="V499" s="280" t="n"/>
      <c r="W499" s="280" t="n"/>
      <c r="X499" s="280" t="n"/>
      <c r="Y499" s="280" t="n"/>
      <c r="Z499" s="350" t="n"/>
      <c r="AA499" s="198" t="n"/>
      <c r="AB499" s="198" t="n"/>
      <c r="AC499" s="198" t="n"/>
    </row>
    <row r="500" ht="15" customHeight="1" s="195">
      <c r="A500" s="280" t="n"/>
      <c r="B500" s="280" t="n"/>
      <c r="C500" s="280" t="n"/>
      <c r="D500" s="280" t="n"/>
      <c r="E500" s="280" t="n"/>
      <c r="F500" s="280" t="n"/>
      <c r="G500" s="280" t="n"/>
      <c r="H500" s="280" t="n"/>
      <c r="I500" s="332">
        <f>IFERROR(VLOOKUP(TEXT(H500,"0"),IPRESS!$A$3:$B$212,2,0),"")</f>
        <v/>
      </c>
      <c r="J500" s="280" t="n"/>
      <c r="K500" s="343" t="n"/>
      <c r="L500" s="280" t="n"/>
      <c r="M500" s="280" t="n"/>
      <c r="N500" s="345" t="n"/>
      <c r="O500" s="280" t="n"/>
      <c r="P500" s="332">
        <f>IFERROR(VLOOKUP(TEXT(O500,"0"),CONDUCTORES!$A$3:$G$54,2,0),"")</f>
        <v/>
      </c>
      <c r="Q500" s="332">
        <f>IFERROR(VLOOKUP(TEXT(O500,"0"),CONDUCTORES!$A$3:$H$54,6,0),"")</f>
        <v/>
      </c>
      <c r="R500" s="280" t="n"/>
      <c r="S500" s="280" t="n"/>
      <c r="T500" s="280" t="n"/>
      <c r="U500" s="280" t="n"/>
      <c r="V500" s="280" t="n"/>
      <c r="W500" s="280" t="n"/>
      <c r="X500" s="280" t="n"/>
      <c r="Y500" s="280" t="n"/>
      <c r="Z500" s="350" t="n"/>
      <c r="AA500" s="198" t="n"/>
      <c r="AB500" s="198" t="n"/>
      <c r="AC500" s="198" t="n"/>
    </row>
    <row r="501" ht="15" customHeight="1" s="195">
      <c r="A501" s="280" t="n"/>
      <c r="B501" s="280" t="n"/>
      <c r="C501" s="280" t="n"/>
      <c r="D501" s="280" t="n"/>
      <c r="E501" s="280" t="n"/>
      <c r="F501" s="280" t="n"/>
      <c r="G501" s="280" t="n"/>
      <c r="H501" s="280" t="n"/>
      <c r="I501" s="332">
        <f>IFERROR(VLOOKUP(TEXT(H501,"0"),IPRESS!$A$3:$B$212,2,0),"")</f>
        <v/>
      </c>
      <c r="J501" s="280" t="n"/>
      <c r="K501" s="343" t="n"/>
      <c r="L501" s="280" t="n"/>
      <c r="M501" s="280" t="n"/>
      <c r="N501" s="345" t="n"/>
      <c r="O501" s="280" t="n"/>
      <c r="P501" s="332">
        <f>IFERROR(VLOOKUP(TEXT(O501,"0"),CONDUCTORES!$A$3:$G$54,2,0),"")</f>
        <v/>
      </c>
      <c r="Q501" s="332">
        <f>IFERROR(VLOOKUP(TEXT(O501,"0"),CONDUCTORES!$A$3:$H$54,6,0),"")</f>
        <v/>
      </c>
      <c r="R501" s="280" t="n"/>
      <c r="S501" s="280" t="n"/>
      <c r="T501" s="280" t="n"/>
      <c r="U501" s="280" t="n"/>
      <c r="V501" s="280" t="n"/>
      <c r="W501" s="280" t="n"/>
      <c r="X501" s="280" t="n"/>
      <c r="Y501" s="280" t="n"/>
      <c r="Z501" s="350" t="n"/>
      <c r="AA501" s="198" t="n"/>
      <c r="AB501" s="198" t="n"/>
      <c r="AC501" s="198" t="n"/>
    </row>
    <row r="502" ht="15" customHeight="1" s="195">
      <c r="A502" s="280" t="n"/>
      <c r="B502" s="280" t="n"/>
      <c r="C502" s="280" t="n"/>
      <c r="D502" s="280" t="n"/>
      <c r="E502" s="280" t="n"/>
      <c r="F502" s="280" t="n"/>
      <c r="G502" s="280" t="n"/>
      <c r="H502" s="280" t="n"/>
      <c r="I502" s="332">
        <f>IFERROR(VLOOKUP(TEXT(H502,"0"),IPRESS!$A$3:$B$212,2,0),"")</f>
        <v/>
      </c>
      <c r="J502" s="280" t="n"/>
      <c r="K502" s="343" t="n"/>
      <c r="L502" s="280" t="n"/>
      <c r="M502" s="280" t="n"/>
      <c r="N502" s="345" t="n"/>
      <c r="O502" s="280" t="n"/>
      <c r="P502" s="332">
        <f>IFERROR(VLOOKUP(TEXT(O502,"0"),CONDUCTORES!$A$3:$G$54,2,0),"")</f>
        <v/>
      </c>
      <c r="Q502" s="332">
        <f>IFERROR(VLOOKUP(TEXT(O502,"0"),CONDUCTORES!$A$3:$H$54,6,0),"")</f>
        <v/>
      </c>
      <c r="R502" s="280" t="n"/>
      <c r="S502" s="280" t="n"/>
      <c r="T502" s="280" t="n"/>
      <c r="U502" s="280" t="n"/>
      <c r="V502" s="280" t="n"/>
      <c r="W502" s="280" t="n"/>
      <c r="X502" s="280" t="n"/>
      <c r="Y502" s="280" t="n"/>
      <c r="Z502" s="350" t="n"/>
      <c r="AA502" s="198" t="n"/>
      <c r="AB502" s="198" t="n"/>
      <c r="AC502" s="198" t="n"/>
    </row>
    <row r="503" ht="15" customHeight="1" s="195">
      <c r="A503" s="280" t="n"/>
      <c r="B503" s="280" t="n"/>
      <c r="C503" s="280" t="n"/>
      <c r="D503" s="280" t="n"/>
      <c r="E503" s="280" t="n"/>
      <c r="F503" s="280" t="n"/>
      <c r="G503" s="280" t="n"/>
      <c r="H503" s="280" t="n"/>
      <c r="I503" s="332">
        <f>IFERROR(VLOOKUP(TEXT(H503,"0"),IPRESS!$A$3:$B$212,2,0),"")</f>
        <v/>
      </c>
      <c r="J503" s="280" t="n"/>
      <c r="K503" s="343" t="n"/>
      <c r="L503" s="280" t="n"/>
      <c r="M503" s="280" t="n"/>
      <c r="N503" s="345" t="n"/>
      <c r="O503" s="280" t="n"/>
      <c r="P503" s="332">
        <f>IFERROR(VLOOKUP(TEXT(O503,"0"),CONDUCTORES!$A$3:$G$54,2,0),"")</f>
        <v/>
      </c>
      <c r="Q503" s="332">
        <f>IFERROR(VLOOKUP(TEXT(O503,"0"),CONDUCTORES!$A$3:$H$54,6,0),"")</f>
        <v/>
      </c>
      <c r="R503" s="280" t="n"/>
      <c r="S503" s="280" t="n"/>
      <c r="T503" s="280" t="n"/>
      <c r="U503" s="280" t="n"/>
      <c r="V503" s="280" t="n"/>
      <c r="W503" s="280" t="n"/>
      <c r="X503" s="280" t="n"/>
      <c r="Y503" s="280" t="n"/>
      <c r="Z503" s="350" t="n"/>
      <c r="AA503" s="198" t="n"/>
      <c r="AB503" s="198" t="n"/>
      <c r="AC503" s="198" t="n"/>
    </row>
    <row r="504" ht="15" customHeight="1" s="195">
      <c r="A504" s="280" t="n"/>
      <c r="B504" s="280" t="n"/>
      <c r="C504" s="280" t="n"/>
      <c r="D504" s="280" t="n"/>
      <c r="E504" s="280" t="n"/>
      <c r="F504" s="280" t="n"/>
      <c r="G504" s="280" t="n"/>
      <c r="H504" s="280" t="n"/>
      <c r="I504" s="332">
        <f>IFERROR(VLOOKUP(TEXT(H504,"0"),IPRESS!$A$3:$B$212,2,0),"")</f>
        <v/>
      </c>
      <c r="J504" s="280" t="n"/>
      <c r="K504" s="343" t="n"/>
      <c r="L504" s="280" t="n"/>
      <c r="M504" s="280" t="n"/>
      <c r="N504" s="345" t="n"/>
      <c r="O504" s="280" t="n"/>
      <c r="P504" s="332">
        <f>IFERROR(VLOOKUP(TEXT(O504,"0"),CONDUCTORES!$A$3:$G$54,2,0),"")</f>
        <v/>
      </c>
      <c r="Q504" s="332">
        <f>IFERROR(VLOOKUP(TEXT(O504,"0"),CONDUCTORES!$A$3:$H$54,6,0),"")</f>
        <v/>
      </c>
      <c r="R504" s="280" t="n"/>
      <c r="S504" s="280" t="n"/>
      <c r="T504" s="280" t="n"/>
      <c r="U504" s="280" t="n"/>
      <c r="V504" s="280" t="n"/>
      <c r="W504" s="280" t="n"/>
      <c r="X504" s="280" t="n"/>
      <c r="Y504" s="280" t="n"/>
      <c r="Z504" s="350" t="n"/>
      <c r="AA504" s="198" t="n"/>
      <c r="AB504" s="198" t="n"/>
      <c r="AC504" s="198" t="n"/>
    </row>
    <row r="505" ht="15" customHeight="1" s="195">
      <c r="A505" s="280" t="n"/>
      <c r="B505" s="280" t="n"/>
      <c r="C505" s="280" t="n"/>
      <c r="D505" s="280" t="n"/>
      <c r="E505" s="280" t="n"/>
      <c r="F505" s="280" t="n"/>
      <c r="G505" s="280" t="n"/>
      <c r="H505" s="280" t="n"/>
      <c r="I505" s="332">
        <f>IFERROR(VLOOKUP(TEXT(H505,"0"),IPRESS!$A$3:$B$212,2,0),"")</f>
        <v/>
      </c>
      <c r="J505" s="280" t="n"/>
      <c r="K505" s="343" t="n"/>
      <c r="L505" s="280" t="n"/>
      <c r="M505" s="280" t="n"/>
      <c r="N505" s="345" t="n"/>
      <c r="O505" s="280" t="n"/>
      <c r="P505" s="332">
        <f>IFERROR(VLOOKUP(TEXT(O505,"0"),CONDUCTORES!$A$3:$G$54,2,0),"")</f>
        <v/>
      </c>
      <c r="Q505" s="332">
        <f>IFERROR(VLOOKUP(TEXT(O505,"0"),CONDUCTORES!$A$3:$H$54,6,0),"")</f>
        <v/>
      </c>
      <c r="R505" s="280" t="n"/>
      <c r="S505" s="280" t="n"/>
      <c r="T505" s="280" t="n"/>
      <c r="U505" s="280" t="n"/>
      <c r="V505" s="280" t="n"/>
      <c r="W505" s="280" t="n"/>
      <c r="X505" s="280" t="n"/>
      <c r="Y505" s="280" t="n"/>
      <c r="Z505" s="350" t="n"/>
      <c r="AA505" s="198" t="n"/>
      <c r="AB505" s="198" t="n"/>
      <c r="AC505" s="198" t="n"/>
    </row>
    <row r="506" ht="21.75" customHeight="1" s="195">
      <c r="A506" s="360" t="n"/>
      <c r="H506" s="198" t="n"/>
      <c r="J506" s="198" t="n"/>
      <c r="K506" s="198" t="n"/>
      <c r="L506" s="198" t="n"/>
      <c r="M506" s="361" t="n"/>
      <c r="N506" s="361" t="n"/>
      <c r="O506" s="198" t="n"/>
      <c r="R506" s="198" t="n"/>
      <c r="S506" s="198" t="n"/>
      <c r="T506" s="198" t="n"/>
      <c r="U506" s="198" t="n"/>
      <c r="V506" s="198" t="n"/>
      <c r="W506" s="198" t="n"/>
      <c r="X506" s="198" t="n"/>
      <c r="Y506" s="198" t="n"/>
      <c r="Z506" s="198" t="n"/>
      <c r="AA506" s="198" t="n"/>
      <c r="AB506" s="198" t="n"/>
      <c r="AC506" s="198" t="n"/>
    </row>
    <row r="507" ht="15" customHeight="1" s="195">
      <c r="A507" s="198" t="n"/>
      <c r="B507" s="198" t="n"/>
      <c r="C507" s="198" t="n"/>
      <c r="D507" s="198" t="n"/>
      <c r="E507" s="198" t="n"/>
      <c r="F507" s="198" t="n"/>
      <c r="G507" s="198" t="n"/>
      <c r="H507" s="198" t="n"/>
      <c r="J507" s="198" t="n"/>
      <c r="K507" s="198" t="n"/>
      <c r="L507" s="198" t="n"/>
      <c r="M507" s="198" t="n"/>
      <c r="N507" s="198" t="n"/>
      <c r="O507" s="198" t="n"/>
      <c r="R507" s="198" t="n"/>
      <c r="S507" s="198" t="n"/>
      <c r="T507" s="198" t="n"/>
      <c r="U507" s="198" t="n"/>
      <c r="V507" s="198" t="n"/>
      <c r="W507" s="198" t="n"/>
      <c r="X507" s="198" t="n"/>
      <c r="Y507" s="198" t="n"/>
      <c r="Z507" s="198" t="n"/>
      <c r="AA507" s="198" t="n"/>
      <c r="AB507" s="198" t="n"/>
      <c r="AC507" s="198" t="n"/>
    </row>
    <row r="508" ht="15" customHeight="1" s="195">
      <c r="A508" s="198" t="n"/>
      <c r="B508" s="198" t="n"/>
      <c r="C508" s="198" t="n"/>
      <c r="D508" s="198" t="n"/>
      <c r="E508" s="198" t="n"/>
      <c r="F508" s="198" t="n"/>
      <c r="G508" s="198" t="n"/>
      <c r="H508" s="198" t="n"/>
      <c r="J508" s="198" t="n"/>
      <c r="K508" s="198" t="n"/>
      <c r="L508" s="198" t="n"/>
      <c r="M508" s="198" t="n"/>
      <c r="N508" s="198" t="n"/>
      <c r="O508" s="198" t="n"/>
      <c r="R508" s="198" t="n"/>
      <c r="S508" s="198" t="n"/>
      <c r="T508" s="198" t="n"/>
      <c r="U508" s="198" t="n"/>
      <c r="V508" s="198" t="n"/>
      <c r="W508" s="198" t="n"/>
      <c r="X508" s="198" t="n"/>
      <c r="Y508" s="198" t="n"/>
      <c r="Z508" s="198" t="n"/>
      <c r="AA508" s="198" t="n"/>
      <c r="AB508" s="198" t="n"/>
      <c r="AC508" s="198" t="n"/>
    </row>
    <row r="509" ht="15" customHeight="1" s="195">
      <c r="A509" s="198" t="n"/>
      <c r="B509" s="198" t="n"/>
      <c r="C509" s="198" t="n"/>
      <c r="D509" s="198" t="n"/>
      <c r="E509" s="198" t="n"/>
      <c r="F509" s="198" t="n"/>
      <c r="G509" s="198" t="n"/>
      <c r="H509" s="198" t="n"/>
      <c r="J509" s="198" t="n"/>
      <c r="K509" s="198" t="n"/>
      <c r="L509" s="198" t="n"/>
      <c r="M509" s="198" t="n"/>
      <c r="N509" s="198" t="n"/>
      <c r="O509" s="198" t="n"/>
      <c r="R509" s="198" t="n"/>
      <c r="S509" s="198" t="n"/>
      <c r="T509" s="198" t="n"/>
      <c r="U509" s="198" t="n"/>
      <c r="V509" s="198" t="n"/>
      <c r="W509" s="198" t="n"/>
      <c r="X509" s="198" t="n"/>
      <c r="Y509" s="198" t="n"/>
      <c r="Z509" s="198" t="n"/>
      <c r="AA509" s="198" t="n"/>
      <c r="AB509" s="198" t="n"/>
      <c r="AC509" s="198" t="n"/>
    </row>
    <row r="510" ht="15" customHeight="1" s="195">
      <c r="A510" s="198" t="n"/>
      <c r="B510" s="198" t="n"/>
      <c r="C510" s="198" t="n"/>
      <c r="D510" s="198" t="n"/>
      <c r="E510" s="198" t="n"/>
      <c r="F510" s="198" t="n"/>
      <c r="G510" s="198" t="n"/>
      <c r="H510" s="198" t="n"/>
      <c r="J510" s="198" t="n"/>
      <c r="K510" s="198" t="n"/>
      <c r="L510" s="198" t="n"/>
      <c r="M510" s="198" t="n"/>
      <c r="N510" s="198" t="n"/>
      <c r="O510" s="198" t="n"/>
      <c r="R510" s="198" t="n"/>
      <c r="S510" s="198" t="n"/>
      <c r="T510" s="198" t="n"/>
      <c r="U510" s="198" t="n"/>
      <c r="V510" s="198" t="n"/>
      <c r="W510" s="198" t="n"/>
      <c r="X510" s="198" t="n"/>
      <c r="Y510" s="198" t="n"/>
      <c r="Z510" s="198" t="n"/>
      <c r="AA510" s="198" t="n"/>
      <c r="AB510" s="198" t="n"/>
      <c r="AC510" s="198" t="n"/>
    </row>
    <row r="511" ht="15.75" customHeight="1" s="195"/>
    <row r="512" ht="15.75" customHeight="1" s="195"/>
    <row r="513" ht="15.75" customHeight="1" s="195"/>
    <row r="514" ht="15.75" customHeight="1" s="195"/>
    <row r="515" ht="15.75" customHeight="1" s="195"/>
    <row r="516" ht="15.75" customHeight="1" s="195"/>
    <row r="517" ht="15.75" customHeight="1" s="195"/>
    <row r="518" ht="15.75" customHeight="1" s="195"/>
    <row r="519" ht="15.75" customHeight="1" s="195"/>
    <row r="520" ht="15.75" customHeight="1" s="195"/>
    <row r="521" ht="15.75" customHeight="1" s="195"/>
    <row r="522" ht="15.75" customHeight="1" s="195"/>
    <row r="523" ht="15.75" customHeight="1" s="195"/>
    <row r="524" ht="15.75" customHeight="1" s="195"/>
    <row r="525" ht="15.75" customHeight="1" s="195"/>
    <row r="526" ht="15.75" customHeight="1" s="195"/>
    <row r="527" ht="15.75" customHeight="1" s="195"/>
    <row r="528" ht="15.75" customHeight="1" s="195"/>
    <row r="529" ht="15.75" customHeight="1" s="195"/>
    <row r="530" ht="15.75" customHeight="1" s="195"/>
    <row r="531" ht="15.75" customHeight="1" s="195"/>
    <row r="532" ht="15.75" customHeight="1" s="195"/>
    <row r="533" ht="15.75" customHeight="1" s="195"/>
    <row r="534" ht="15.75" customHeight="1" s="195"/>
    <row r="535" ht="15.75" customHeight="1" s="195"/>
    <row r="536" ht="15.75" customHeight="1" s="195"/>
    <row r="537" ht="15.75" customHeight="1" s="195"/>
    <row r="538" ht="15.75" customHeight="1" s="195"/>
    <row r="539" ht="15.75" customHeight="1" s="195"/>
    <row r="540" ht="15.75" customHeight="1" s="195"/>
    <row r="541" ht="15.75" customHeight="1" s="195"/>
    <row r="542" ht="15.75" customHeight="1" s="195"/>
    <row r="543" ht="15.75" customHeight="1" s="195"/>
    <row r="544" ht="15.75" customHeight="1" s="195"/>
    <row r="545" ht="15.75" customHeight="1" s="195"/>
    <row r="546" ht="15.75" customHeight="1" s="195"/>
    <row r="547" ht="15.75" customHeight="1" s="195"/>
    <row r="548" ht="15.75" customHeight="1" s="195"/>
    <row r="549" ht="15.75" customHeight="1" s="195"/>
    <row r="550" ht="15.75" customHeight="1" s="195"/>
    <row r="551" ht="15.75" customHeight="1" s="195"/>
    <row r="552" ht="15.75" customHeight="1" s="195"/>
    <row r="553" ht="15.75" customHeight="1" s="195"/>
    <row r="554" ht="15.75" customHeight="1" s="195"/>
    <row r="555" ht="15.75" customHeight="1" s="195"/>
    <row r="556" ht="15.75" customHeight="1" s="195"/>
    <row r="557" ht="15.75" customHeight="1" s="195"/>
    <row r="558" ht="15.75" customHeight="1" s="195"/>
    <row r="559" ht="15.75" customHeight="1" s="195"/>
    <row r="560" ht="15.75" customHeight="1" s="195"/>
    <row r="561" ht="15.75" customHeight="1" s="195"/>
    <row r="562" ht="15.75" customHeight="1" s="195"/>
    <row r="563" ht="15.75" customHeight="1" s="195"/>
    <row r="564" ht="15.75" customHeight="1" s="195"/>
    <row r="565" ht="15.75" customHeight="1" s="195"/>
    <row r="566" ht="15.75" customHeight="1" s="195"/>
    <row r="567" ht="15.75" customHeight="1" s="195"/>
    <row r="568" ht="15.75" customHeight="1" s="195"/>
    <row r="569" ht="15.75" customHeight="1" s="195"/>
    <row r="570" ht="15.75" customHeight="1" s="195"/>
    <row r="571" ht="15.75" customHeight="1" s="195"/>
    <row r="572" ht="15.75" customHeight="1" s="195"/>
    <row r="573" ht="15.75" customHeight="1" s="195"/>
    <row r="574" ht="15.75" customHeight="1" s="195"/>
    <row r="575" ht="15.75" customHeight="1" s="195"/>
    <row r="576" ht="15.75" customHeight="1" s="195"/>
    <row r="577" ht="15.75" customHeight="1" s="195"/>
    <row r="578" ht="15.75" customHeight="1" s="195"/>
    <row r="579" ht="15.75" customHeight="1" s="195"/>
    <row r="580" ht="15.75" customHeight="1" s="195"/>
    <row r="581" ht="15.75" customHeight="1" s="195"/>
    <row r="582" ht="15.75" customHeight="1" s="195"/>
    <row r="583" ht="15.75" customHeight="1" s="195"/>
    <row r="584" ht="15.75" customHeight="1" s="195"/>
    <row r="585" ht="15.75" customHeight="1" s="195"/>
    <row r="586" ht="15.75" customHeight="1" s="195"/>
    <row r="587" ht="15.75" customHeight="1" s="195"/>
    <row r="588" ht="15.75" customHeight="1" s="195"/>
    <row r="589" ht="15.75" customHeight="1" s="195"/>
    <row r="590" ht="15.75" customHeight="1" s="195"/>
    <row r="591" ht="15.75" customHeight="1" s="195"/>
    <row r="592" ht="15.75" customHeight="1" s="195"/>
    <row r="593" ht="15.75" customHeight="1" s="195"/>
    <row r="594" ht="15.75" customHeight="1" s="195"/>
    <row r="595" ht="15.75" customHeight="1" s="195"/>
    <row r="596" ht="15.75" customHeight="1" s="195"/>
    <row r="597" ht="15.75" customHeight="1" s="195"/>
    <row r="598" ht="15.75" customHeight="1" s="195"/>
    <row r="599" ht="15.75" customHeight="1" s="195"/>
    <row r="600" ht="15.75" customHeight="1" s="195"/>
    <row r="601" ht="15.75" customHeight="1" s="195"/>
    <row r="602" ht="15.75" customHeight="1" s="195"/>
    <row r="603" ht="15.75" customHeight="1" s="195"/>
    <row r="604" ht="15.75" customHeight="1" s="195"/>
    <row r="605" ht="15.75" customHeight="1" s="195"/>
    <row r="606" ht="15.75" customHeight="1" s="195"/>
    <row r="607" ht="15.75" customHeight="1" s="195"/>
    <row r="608" ht="15.75" customHeight="1" s="195"/>
    <row r="609" ht="15.75" customHeight="1" s="195"/>
    <row r="610" ht="15.75" customHeight="1" s="195"/>
    <row r="611" ht="15.75" customHeight="1" s="195"/>
    <row r="612" ht="15.75" customHeight="1" s="195"/>
    <row r="613" ht="15.75" customHeight="1" s="195"/>
    <row r="614" ht="15.75" customHeight="1" s="195"/>
    <row r="615" ht="15.75" customHeight="1" s="195"/>
    <row r="616" ht="15.75" customHeight="1" s="195"/>
    <row r="617" ht="15.75" customHeight="1" s="195"/>
    <row r="618" ht="15.75" customHeight="1" s="195"/>
    <row r="619" ht="15.75" customHeight="1" s="195"/>
    <row r="620" ht="15.75" customHeight="1" s="195"/>
    <row r="621" ht="15.75" customHeight="1" s="195"/>
    <row r="622" ht="15.75" customHeight="1" s="195"/>
    <row r="623" ht="15.75" customHeight="1" s="195"/>
    <row r="624" ht="15.75" customHeight="1" s="195"/>
    <row r="625" ht="15.75" customHeight="1" s="195"/>
    <row r="626" ht="15.75" customHeight="1" s="195"/>
    <row r="627" ht="15.75" customHeight="1" s="195"/>
    <row r="628" ht="15.75" customHeight="1" s="195"/>
    <row r="629" ht="15.75" customHeight="1" s="195"/>
    <row r="630" ht="15.75" customHeight="1" s="195"/>
    <row r="631" ht="15.75" customHeight="1" s="195"/>
    <row r="632" ht="15.75" customHeight="1" s="195"/>
    <row r="633" ht="15.75" customHeight="1" s="195"/>
    <row r="634" ht="15.75" customHeight="1" s="195"/>
    <row r="635" ht="15.75" customHeight="1" s="195"/>
    <row r="636" ht="15.75" customHeight="1" s="195"/>
    <row r="637" ht="15.75" customHeight="1" s="195"/>
    <row r="638" ht="15.75" customHeight="1" s="195"/>
    <row r="639" ht="15.75" customHeight="1" s="195"/>
    <row r="640" ht="15.75" customHeight="1" s="195"/>
    <row r="641" ht="15.75" customHeight="1" s="195"/>
    <row r="642" ht="15.75" customHeight="1" s="195"/>
    <row r="643" ht="15.75" customHeight="1" s="195"/>
    <row r="644" ht="15.75" customHeight="1" s="195"/>
    <row r="645" ht="15.75" customHeight="1" s="195"/>
    <row r="646" ht="15.75" customHeight="1" s="195"/>
    <row r="647" ht="15.75" customHeight="1" s="195"/>
    <row r="648" ht="15.75" customHeight="1" s="195"/>
    <row r="649" ht="15.75" customHeight="1" s="195"/>
    <row r="650" ht="15.75" customHeight="1" s="195"/>
    <row r="651" ht="15.75" customHeight="1" s="195"/>
    <row r="652" ht="15.75" customHeight="1" s="195"/>
    <row r="653" ht="15.75" customHeight="1" s="195"/>
    <row r="654" ht="15.75" customHeight="1" s="195"/>
    <row r="655" ht="15.75" customHeight="1" s="195"/>
    <row r="656" ht="15.75" customHeight="1" s="195"/>
    <row r="657" ht="15.75" customHeight="1" s="195"/>
    <row r="658" ht="15.75" customHeight="1" s="195"/>
    <row r="659" ht="15.75" customHeight="1" s="195"/>
    <row r="660" ht="15.75" customHeight="1" s="195"/>
    <row r="661" ht="15.75" customHeight="1" s="195"/>
    <row r="662" ht="15.75" customHeight="1" s="195"/>
    <row r="663" ht="15.75" customHeight="1" s="195"/>
    <row r="664" ht="15.75" customHeight="1" s="195"/>
    <row r="665" ht="15.75" customHeight="1" s="195"/>
    <row r="666" ht="15.75" customHeight="1" s="195"/>
    <row r="667" ht="15.75" customHeight="1" s="195"/>
    <row r="668" ht="15.75" customHeight="1" s="195"/>
    <row r="669" ht="15.75" customHeight="1" s="195"/>
    <row r="670" ht="15.75" customHeight="1" s="195"/>
    <row r="671" ht="15.75" customHeight="1" s="195"/>
    <row r="672" ht="15.75" customHeight="1" s="195"/>
    <row r="673" ht="15.75" customHeight="1" s="195"/>
    <row r="674" ht="15.75" customHeight="1" s="195"/>
    <row r="675" ht="15.75" customHeight="1" s="195"/>
    <row r="676" ht="15.75" customHeight="1" s="195"/>
    <row r="677" ht="15.75" customHeight="1" s="195"/>
    <row r="678" ht="15.75" customHeight="1" s="195"/>
    <row r="679" ht="15.75" customHeight="1" s="195"/>
    <row r="680" ht="15.75" customHeight="1" s="195"/>
    <row r="681" ht="15.75" customHeight="1" s="195"/>
    <row r="682" ht="15.75" customHeight="1" s="195"/>
    <row r="683" ht="15.75" customHeight="1" s="195"/>
    <row r="684" ht="15.75" customHeight="1" s="195"/>
    <row r="685" ht="15.75" customHeight="1" s="195"/>
    <row r="686" ht="15.75" customHeight="1" s="195"/>
    <row r="687" ht="15.75" customHeight="1" s="195"/>
    <row r="688" ht="15.75" customHeight="1" s="195"/>
    <row r="689" ht="15.75" customHeight="1" s="195"/>
    <row r="690" ht="15.75" customHeight="1" s="195"/>
    <row r="691" ht="15.75" customHeight="1" s="195"/>
    <row r="692" ht="15.75" customHeight="1" s="195"/>
    <row r="693" ht="15.75" customHeight="1" s="195"/>
    <row r="694" ht="15.75" customHeight="1" s="195"/>
    <row r="695" ht="15.75" customHeight="1" s="195"/>
    <row r="696" ht="15.75" customHeight="1" s="195"/>
    <row r="697" ht="15.75" customHeight="1" s="195"/>
    <row r="698" ht="15.75" customHeight="1" s="195"/>
    <row r="699" ht="15.75" customHeight="1" s="195"/>
    <row r="700" ht="15.75" customHeight="1" s="195"/>
    <row r="701" ht="15.75" customHeight="1" s="195"/>
    <row r="702" ht="15.75" customHeight="1" s="195"/>
    <row r="703" ht="15.75" customHeight="1" s="195"/>
    <row r="704" ht="15.75" customHeight="1" s="195"/>
    <row r="705" ht="15.75" customHeight="1" s="195"/>
    <row r="706" ht="15.75" customHeight="1" s="195"/>
    <row r="707" ht="15.75" customHeight="1" s="195"/>
    <row r="708" ht="15.75" customHeight="1" s="195"/>
    <row r="709" ht="15.75" customHeight="1" s="195"/>
    <row r="710" ht="15.75" customHeight="1" s="195"/>
    <row r="711" ht="15.75" customHeight="1" s="195"/>
    <row r="712" ht="15.75" customHeight="1" s="195"/>
    <row r="713" ht="15.75" customHeight="1" s="195"/>
    <row r="714" ht="15.75" customHeight="1" s="195"/>
    <row r="715" ht="15.75" customHeight="1" s="195"/>
    <row r="716" ht="15.75" customHeight="1" s="195"/>
    <row r="717" ht="15.75" customHeight="1" s="195"/>
    <row r="718" ht="15.75" customHeight="1" s="195"/>
    <row r="719" ht="15.75" customHeight="1" s="195"/>
    <row r="720" ht="15.75" customHeight="1" s="195"/>
    <row r="721" ht="15.75" customHeight="1" s="195"/>
    <row r="722" ht="15.75" customHeight="1" s="195"/>
    <row r="723" ht="15.75" customHeight="1" s="195"/>
    <row r="724" ht="15.75" customHeight="1" s="195"/>
    <row r="725" ht="15.75" customHeight="1" s="195"/>
    <row r="726" ht="15.75" customHeight="1" s="195"/>
    <row r="727" ht="15.75" customHeight="1" s="195"/>
    <row r="728" ht="15.75" customHeight="1" s="195"/>
    <row r="729" ht="15.75" customHeight="1" s="195"/>
    <row r="730" ht="15.75" customHeight="1" s="195"/>
    <row r="731" ht="15.75" customHeight="1" s="195"/>
    <row r="732" ht="15.75" customHeight="1" s="195"/>
    <row r="733" ht="15.75" customHeight="1" s="195"/>
    <row r="734" ht="15.75" customHeight="1" s="195"/>
    <row r="735" ht="15.75" customHeight="1" s="195"/>
    <row r="736" ht="15.75" customHeight="1" s="195"/>
    <row r="737" ht="15.75" customHeight="1" s="195"/>
    <row r="738" ht="15.75" customHeight="1" s="195"/>
    <row r="739" ht="15.75" customHeight="1" s="195"/>
    <row r="740" ht="15.75" customHeight="1" s="195"/>
    <row r="741" ht="15.75" customHeight="1" s="195"/>
    <row r="742" ht="15.75" customHeight="1" s="195"/>
    <row r="743" ht="15.75" customHeight="1" s="195"/>
    <row r="744" ht="15.75" customHeight="1" s="195"/>
    <row r="745" ht="15.75" customHeight="1" s="195"/>
    <row r="746" ht="15.75" customHeight="1" s="195"/>
    <row r="747" ht="15.75" customHeight="1" s="195"/>
    <row r="748" ht="15.75" customHeight="1" s="195"/>
    <row r="749" ht="15.75" customHeight="1" s="195"/>
    <row r="750" ht="15.75" customHeight="1" s="195"/>
    <row r="751" ht="15.75" customHeight="1" s="195"/>
    <row r="752" ht="15.75" customHeight="1" s="195"/>
    <row r="753" ht="15.75" customHeight="1" s="195"/>
    <row r="754" ht="15.75" customHeight="1" s="195"/>
    <row r="755" ht="15.75" customHeight="1" s="195"/>
    <row r="756" ht="15.75" customHeight="1" s="195"/>
    <row r="757" ht="15.75" customHeight="1" s="195"/>
    <row r="758" ht="15.75" customHeight="1" s="195"/>
    <row r="759" ht="15.75" customHeight="1" s="195"/>
    <row r="760" ht="15.75" customHeight="1" s="195"/>
    <row r="761" ht="15.75" customHeight="1" s="195"/>
    <row r="762" ht="15.75" customHeight="1" s="195"/>
    <row r="763" ht="15.75" customHeight="1" s="195"/>
    <row r="764" ht="15.75" customHeight="1" s="195"/>
    <row r="765" ht="15.75" customHeight="1" s="195"/>
    <row r="766" ht="15.75" customHeight="1" s="195"/>
    <row r="767" ht="15.75" customHeight="1" s="195"/>
    <row r="768" ht="15.75" customHeight="1" s="195"/>
    <row r="769" ht="15.75" customHeight="1" s="195"/>
    <row r="770" ht="15.75" customHeight="1" s="195"/>
    <row r="771" ht="15.75" customHeight="1" s="195"/>
    <row r="772" ht="15.75" customHeight="1" s="195"/>
    <row r="773" ht="15.75" customHeight="1" s="195"/>
    <row r="774" ht="15.75" customHeight="1" s="195"/>
    <row r="775" ht="15.75" customHeight="1" s="195"/>
    <row r="776" ht="15.75" customHeight="1" s="195"/>
    <row r="777" ht="15.75" customHeight="1" s="195"/>
    <row r="778" ht="15.75" customHeight="1" s="195"/>
    <row r="779" ht="15.75" customHeight="1" s="195"/>
    <row r="780" ht="15.75" customHeight="1" s="195"/>
    <row r="781" ht="15.75" customHeight="1" s="195"/>
    <row r="782" ht="15.75" customHeight="1" s="195"/>
    <row r="783" ht="15.75" customHeight="1" s="195"/>
    <row r="784" ht="15.75" customHeight="1" s="195"/>
    <row r="785" ht="15.75" customHeight="1" s="195"/>
    <row r="786" ht="15.75" customHeight="1" s="195"/>
    <row r="787" ht="15.75" customHeight="1" s="195"/>
    <row r="788" ht="15.75" customHeight="1" s="195"/>
    <row r="789" ht="15.75" customHeight="1" s="195"/>
    <row r="790" ht="15.75" customHeight="1" s="195"/>
    <row r="791" ht="15.75" customHeight="1" s="195"/>
    <row r="792" ht="15.75" customHeight="1" s="195"/>
    <row r="793" ht="15.75" customHeight="1" s="195"/>
    <row r="794" ht="15.75" customHeight="1" s="195"/>
    <row r="795" ht="15.75" customHeight="1" s="195"/>
    <row r="796" ht="15.75" customHeight="1" s="195"/>
    <row r="797" ht="15.75" customHeight="1" s="195"/>
    <row r="798" ht="15.75" customHeight="1" s="195"/>
    <row r="799" ht="15.75" customHeight="1" s="195"/>
    <row r="800" ht="15.75" customHeight="1" s="195"/>
    <row r="801" ht="15.75" customHeight="1" s="195"/>
    <row r="802" ht="15.75" customHeight="1" s="195"/>
    <row r="803" ht="15.75" customHeight="1" s="195"/>
    <row r="804" ht="15.75" customHeight="1" s="195"/>
    <row r="805" ht="15.75" customHeight="1" s="195"/>
    <row r="806" ht="15.75" customHeight="1" s="195"/>
    <row r="807" ht="15.75" customHeight="1" s="195"/>
    <row r="808" ht="15.75" customHeight="1" s="195"/>
    <row r="809" ht="15.75" customHeight="1" s="195"/>
    <row r="810" ht="15.75" customHeight="1" s="195"/>
    <row r="811" ht="15.75" customHeight="1" s="195"/>
    <row r="812" ht="15.75" customHeight="1" s="195"/>
    <row r="813" ht="15.75" customHeight="1" s="195"/>
    <row r="814" ht="15.75" customHeight="1" s="195"/>
    <row r="815" ht="15.75" customHeight="1" s="195"/>
    <row r="816" ht="15.75" customHeight="1" s="195"/>
    <row r="817" ht="15.75" customHeight="1" s="195"/>
    <row r="818" ht="15.75" customHeight="1" s="195"/>
    <row r="819" ht="15.75" customHeight="1" s="195"/>
    <row r="820" ht="15.75" customHeight="1" s="195"/>
    <row r="821" ht="15.75" customHeight="1" s="195"/>
    <row r="822" ht="15.75" customHeight="1" s="195"/>
    <row r="823" ht="15.75" customHeight="1" s="195"/>
    <row r="824" ht="15.75" customHeight="1" s="195"/>
    <row r="825" ht="15.75" customHeight="1" s="195"/>
    <row r="826" ht="15.75" customHeight="1" s="195"/>
    <row r="827" ht="15.75" customHeight="1" s="195"/>
    <row r="828" ht="15.75" customHeight="1" s="195"/>
    <row r="829" ht="15.75" customHeight="1" s="195"/>
    <row r="830" ht="15.75" customHeight="1" s="195"/>
    <row r="831" ht="15.75" customHeight="1" s="195"/>
    <row r="832" ht="15.75" customHeight="1" s="195"/>
    <row r="833" ht="15.75" customHeight="1" s="195"/>
    <row r="834" ht="15.75" customHeight="1" s="195"/>
    <row r="835" ht="15.75" customHeight="1" s="195"/>
    <row r="836" ht="15.75" customHeight="1" s="195"/>
    <row r="837" ht="15.75" customHeight="1" s="195"/>
    <row r="838" ht="15.75" customHeight="1" s="195"/>
    <row r="839" ht="15.75" customHeight="1" s="195"/>
    <row r="840" ht="15.75" customHeight="1" s="195"/>
    <row r="841" ht="15.75" customHeight="1" s="195"/>
    <row r="842" ht="15.75" customHeight="1" s="195"/>
    <row r="843" ht="15.75" customHeight="1" s="195"/>
    <row r="844" ht="15.75" customHeight="1" s="195"/>
    <row r="845" ht="15.75" customHeight="1" s="195"/>
    <row r="846" ht="15.75" customHeight="1" s="195"/>
    <row r="847" ht="15.75" customHeight="1" s="195"/>
    <row r="848" ht="15.75" customHeight="1" s="195"/>
    <row r="849" ht="15.75" customHeight="1" s="195"/>
    <row r="850" ht="15.75" customHeight="1" s="195"/>
    <row r="851" ht="15.75" customHeight="1" s="195"/>
    <row r="852" ht="15.75" customHeight="1" s="195"/>
    <row r="853" ht="15.75" customHeight="1" s="195"/>
    <row r="854" ht="15.75" customHeight="1" s="195"/>
    <row r="855" ht="15.75" customHeight="1" s="195"/>
    <row r="856" ht="15.75" customHeight="1" s="195"/>
    <row r="857" ht="15.75" customHeight="1" s="195"/>
    <row r="858" ht="15.75" customHeight="1" s="195"/>
    <row r="859" ht="15.75" customHeight="1" s="195"/>
    <row r="860" ht="15.75" customHeight="1" s="195"/>
    <row r="861" ht="15.75" customHeight="1" s="195"/>
    <row r="862" ht="15.75" customHeight="1" s="195"/>
    <row r="863" ht="15.75" customHeight="1" s="195"/>
    <row r="864" ht="15.75" customHeight="1" s="195"/>
    <row r="865" ht="15.75" customHeight="1" s="195"/>
    <row r="866" ht="15.75" customHeight="1" s="195"/>
    <row r="867" ht="15.75" customHeight="1" s="195"/>
    <row r="868" ht="15.75" customHeight="1" s="195"/>
    <row r="869" ht="15.75" customHeight="1" s="195"/>
    <row r="870" ht="15.75" customHeight="1" s="195"/>
    <row r="871" ht="15.75" customHeight="1" s="195"/>
    <row r="872" ht="15.75" customHeight="1" s="195"/>
    <row r="873" ht="15.75" customHeight="1" s="195"/>
    <row r="874" ht="15.75" customHeight="1" s="195"/>
    <row r="875" ht="15.75" customHeight="1" s="195"/>
    <row r="876" ht="15.75" customHeight="1" s="195"/>
    <row r="877" ht="15.75" customHeight="1" s="195"/>
    <row r="878" ht="15.75" customHeight="1" s="195"/>
    <row r="879" ht="15.75" customHeight="1" s="195"/>
    <row r="880" ht="15.75" customHeight="1" s="195"/>
    <row r="881" ht="15.75" customHeight="1" s="195"/>
    <row r="882" ht="15.75" customHeight="1" s="195"/>
    <row r="883" ht="15.75" customHeight="1" s="195"/>
    <row r="884" ht="15.75" customHeight="1" s="195"/>
    <row r="885" ht="15.75" customHeight="1" s="195"/>
    <row r="886" ht="15.75" customHeight="1" s="195"/>
    <row r="887" ht="15.75" customHeight="1" s="195"/>
    <row r="888" ht="15.75" customHeight="1" s="195"/>
    <row r="889" ht="15.75" customHeight="1" s="195"/>
    <row r="890" ht="15.75" customHeight="1" s="195"/>
    <row r="891" ht="15.75" customHeight="1" s="195"/>
    <row r="892" ht="15.75" customHeight="1" s="195"/>
    <row r="893" ht="15.75" customHeight="1" s="195"/>
    <row r="894" ht="15.75" customHeight="1" s="195"/>
    <row r="895" ht="15.75" customHeight="1" s="195"/>
    <row r="896" ht="15.75" customHeight="1" s="195"/>
    <row r="897" ht="15.75" customHeight="1" s="195"/>
    <row r="898" ht="15.75" customHeight="1" s="195"/>
    <row r="899" ht="15.75" customHeight="1" s="195"/>
    <row r="900" ht="15.75" customHeight="1" s="195"/>
    <row r="901" ht="15.75" customHeight="1" s="195"/>
    <row r="902" ht="15.75" customHeight="1" s="195"/>
    <row r="903" ht="15.75" customHeight="1" s="195"/>
    <row r="904" ht="15.75" customHeight="1" s="195"/>
    <row r="905" ht="15.75" customHeight="1" s="195"/>
    <row r="906" ht="15.75" customHeight="1" s="195"/>
    <row r="907" ht="15.75" customHeight="1" s="195"/>
    <row r="908" ht="15.75" customHeight="1" s="195"/>
    <row r="909" ht="15.75" customHeight="1" s="195"/>
    <row r="910" ht="15.75" customHeight="1" s="195"/>
    <row r="911" ht="15.75" customHeight="1" s="195"/>
    <row r="912" ht="15.75" customHeight="1" s="195"/>
    <row r="913" ht="15.75" customHeight="1" s="195"/>
    <row r="914" ht="15.75" customHeight="1" s="195"/>
    <row r="915" ht="15.75" customHeight="1" s="195"/>
    <row r="916" ht="15.75" customHeight="1" s="195"/>
    <row r="917" ht="15.75" customHeight="1" s="195"/>
    <row r="918" ht="15.75" customHeight="1" s="195"/>
    <row r="919" ht="15.75" customHeight="1" s="195"/>
    <row r="920" ht="15.75" customHeight="1" s="195"/>
    <row r="921" ht="15.75" customHeight="1" s="195"/>
    <row r="922" ht="15.75" customHeight="1" s="195"/>
    <row r="923" ht="15.75" customHeight="1" s="195"/>
    <row r="924" ht="15.75" customHeight="1" s="195"/>
    <row r="925" ht="15.75" customHeight="1" s="195"/>
    <row r="926" ht="15.75" customHeight="1" s="195"/>
    <row r="927" ht="15.75" customHeight="1" s="195"/>
    <row r="928" ht="15.75" customHeight="1" s="195"/>
    <row r="929" ht="15.75" customHeight="1" s="195"/>
    <row r="930" ht="15.75" customHeight="1" s="195"/>
    <row r="931" ht="15.75" customHeight="1" s="195"/>
    <row r="932" ht="15.75" customHeight="1" s="195"/>
    <row r="933" ht="15.75" customHeight="1" s="195"/>
    <row r="934" ht="15.75" customHeight="1" s="195"/>
    <row r="935" ht="15.75" customHeight="1" s="195"/>
    <row r="936" ht="15.75" customHeight="1" s="195"/>
    <row r="937" ht="15.75" customHeight="1" s="195"/>
    <row r="938" ht="15.75" customHeight="1" s="195"/>
    <row r="939" ht="15.75" customHeight="1" s="195"/>
    <row r="940" ht="15.75" customHeight="1" s="195"/>
    <row r="941" ht="15.75" customHeight="1" s="195"/>
    <row r="942" ht="15.75" customHeight="1" s="195"/>
    <row r="943" ht="15.75" customHeight="1" s="195"/>
    <row r="944" ht="15.75" customHeight="1" s="195"/>
    <row r="945" ht="15.75" customHeight="1" s="195"/>
    <row r="946" ht="15.75" customHeight="1" s="195"/>
    <row r="947" ht="15.75" customHeight="1" s="195"/>
    <row r="948" ht="15.75" customHeight="1" s="195"/>
    <row r="949" ht="15.75" customHeight="1" s="195"/>
    <row r="950" ht="15.75" customHeight="1" s="195"/>
    <row r="951" ht="15.75" customHeight="1" s="195"/>
    <row r="952" ht="15.75" customHeight="1" s="195"/>
    <row r="953" ht="15.75" customHeight="1" s="195"/>
    <row r="954" ht="15.75" customHeight="1" s="195"/>
    <row r="955" ht="15.75" customHeight="1" s="195"/>
    <row r="956" ht="15.75" customHeight="1" s="195"/>
    <row r="957" ht="15.75" customHeight="1" s="195"/>
    <row r="958" ht="15.75" customHeight="1" s="195"/>
    <row r="959" ht="15.75" customHeight="1" s="195"/>
    <row r="960" ht="15.75" customHeight="1" s="195"/>
    <row r="961" ht="15.75" customHeight="1" s="195"/>
    <row r="962" ht="15.75" customHeight="1" s="195"/>
    <row r="963" ht="15.75" customHeight="1" s="195"/>
    <row r="964" ht="15.75" customHeight="1" s="195"/>
    <row r="965" ht="15.75" customHeight="1" s="195"/>
    <row r="966" ht="15.75" customHeight="1" s="195"/>
    <row r="967" ht="15.75" customHeight="1" s="195"/>
    <row r="968" ht="15.75" customHeight="1" s="195"/>
    <row r="969" ht="15.75" customHeight="1" s="195"/>
    <row r="970" ht="15.75" customHeight="1" s="195"/>
    <row r="971" ht="15.75" customHeight="1" s="195"/>
    <row r="972" ht="15.75" customHeight="1" s="195"/>
    <row r="973" ht="15.75" customHeight="1" s="195"/>
    <row r="974" ht="15.75" customHeight="1" s="195"/>
    <row r="975" ht="15.75" customHeight="1" s="195"/>
    <row r="976" ht="15.75" customHeight="1" s="195"/>
    <row r="977" ht="15.75" customHeight="1" s="195"/>
    <row r="978" ht="15.75" customHeight="1" s="195"/>
    <row r="979" ht="15.75" customHeight="1" s="195"/>
    <row r="980" ht="15.75" customHeight="1" s="195"/>
    <row r="981" ht="15.75" customHeight="1" s="195"/>
    <row r="982" ht="15.75" customHeight="1" s="195"/>
    <row r="983" ht="15.75" customHeight="1" s="195"/>
    <row r="984" ht="15.75" customHeight="1" s="195"/>
    <row r="985" ht="15.75" customHeight="1" s="195"/>
    <row r="986" ht="15.75" customHeight="1" s="195"/>
    <row r="987" ht="15.75" customHeight="1" s="195"/>
    <row r="988" ht="15.75" customHeight="1" s="195"/>
    <row r="989" ht="15.75" customHeight="1" s="195"/>
    <row r="990" ht="15.75" customHeight="1" s="195"/>
    <row r="991" ht="15.75" customHeight="1" s="195"/>
    <row r="992" ht="15.75" customHeight="1" s="195"/>
    <row r="993" ht="15.75" customHeight="1" s="195"/>
    <row r="994" ht="15.75" customHeight="1" s="195"/>
    <row r="995" ht="15.75" customHeight="1" s="195"/>
    <row r="996" ht="15.75" customHeight="1" s="195"/>
    <row r="997" ht="15.75" customHeight="1" s="195"/>
    <row r="998" ht="15.75" customHeight="1" s="195"/>
    <row r="999" ht="15.75" customHeight="1" s="195"/>
    <row r="1000" ht="15.75" customHeight="1" s="195"/>
  </sheetData>
  <mergeCells count="13">
    <mergeCell ref="D2:F2"/>
    <mergeCell ref="G2:I2"/>
    <mergeCell ref="S2:T2"/>
    <mergeCell ref="J2:L2"/>
    <mergeCell ref="A506:G506"/>
    <mergeCell ref="U2:V2"/>
    <mergeCell ref="P2:R2"/>
    <mergeCell ref="A1:Y1"/>
    <mergeCell ref="W2:AC2"/>
    <mergeCell ref="A101:J101"/>
    <mergeCell ref="A4:Y4"/>
    <mergeCell ref="M2:O2"/>
    <mergeCell ref="A2:C2"/>
  </mergeCells>
  <conditionalFormatting sqref="T6:T505">
    <cfRule type="expression" rank="0" priority="2" equalAverage="0" aboveAverage="0" dxfId="0" text="" percent="0" bottom="0">
      <formula>EXACT(T6,"APROBADO")</formula>
    </cfRule>
    <cfRule type="expression" rank="0" priority="3" equalAverage="0" aboveAverage="0" dxfId="7" text="" percent="0" bottom="0">
      <formula>EXACT(T6,"PENDIENTE")</formula>
    </cfRule>
    <cfRule type="expression" rank="0" priority="4" equalAverage="0" aboveAverage="0" dxfId="0" text="" percent="0" bottom="0">
      <formula>EXACT(T6,"APROBADO")</formula>
    </cfRule>
    <cfRule type="expression" rank="0" priority="5" equalAverage="0" aboveAverage="0" dxfId="7" text="" percent="0" bottom="0">
      <formula>EXACT(T6,"OBSERVADO")</formula>
    </cfRule>
  </conditionalFormatting>
  <conditionalFormatting sqref="K6:K505">
    <cfRule type="expression" rank="0" priority="6" equalAverage="0" aboveAverage="0" dxfId="8" text="" percent="0" bottom="0">
      <formula>EXACT(K6,"GASOLINA")</formula>
    </cfRule>
  </conditionalFormatting>
  <conditionalFormatting sqref="Z6:Z505">
    <cfRule type="expression" rank="0" priority="7" equalAverage="0" aboveAverage="0" dxfId="0" text="" percent="0" bottom="0">
      <formula>EXACT(Z6,"COMPLETADO")</formula>
    </cfRule>
    <cfRule type="expression" rank="0" priority="8" equalAverage="0" aboveAverage="0" dxfId="7" text="" percent="0" bottom="0">
      <formula>EXACT(Z6,"OBSERVADO")</formula>
    </cfRule>
  </conditionalFormatting>
  <conditionalFormatting sqref="Y6:Y110">
    <cfRule type="expression" rank="0" priority="9" equalAverage="0" aboveAverage="0" dxfId="9" text="" percent="0" bottom="0">
      <formula>Y6&lt;&gt;""</formula>
    </cfRule>
  </conditionalFormatting>
  <conditionalFormatting sqref="Z6:Z110">
    <cfRule type="expression" rank="0" priority="10" equalAverage="0" aboveAverage="0" dxfId="0" text="" percent="0" bottom="0">
      <formula>Z6="ENTREGADO"</formula>
    </cfRule>
    <cfRule type="expression" rank="0" priority="11" equalAverage="0" aboveAverage="0" dxfId="7" text="" percent="0" bottom="0">
      <formula>Z6="POR RECOGER"</formula>
    </cfRule>
  </conditionalFormatting>
  <dataValidations count="4">
    <dataValidation sqref="Y6:Y110" showDropDown="0" showInputMessage="0" showErrorMessage="0" allowBlank="1" type="list" errorStyle="stop" operator="between">
      <formula1>CONDUCTORES!$H$3:$H$104</formula1>
      <formula2>0</formula2>
    </dataValidation>
    <dataValidation sqref="K6:K505" showDropDown="0" showInputMessage="0" showErrorMessage="0" allowBlank="1" type="list" errorStyle="stop" operator="between">
      <formula1>"PETROLEO,GASOLINA"</formula1>
      <formula2>0</formula2>
    </dataValidation>
    <dataValidation sqref="E6:E100 E102:E505" showDropDown="0" showInputMessage="0" showErrorMessage="0" allowBlank="1" type="list" errorStyle="stop" operator="between">
      <formula1>"DNI,CE,PASAPORTE"</formula1>
      <formula2>0</formula2>
    </dataValidation>
    <dataValidation sqref="T6:T505" showDropDown="0" showInputMessage="1" showErrorMessage="1" allowBlank="1" prompt="Valor no válido - Solo se permite: APROBADO u OBSERVADO" type="list" errorStyle="stop" operator="between">
      <formula1>"APROBADO,OBSERVADO"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C5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14.43359375" defaultRowHeight="15" zeroHeight="0" outlineLevelRow="0"/>
  <cols>
    <col width="5" customWidth="1" style="194" min="1" max="1"/>
    <col width="14" customWidth="1" style="194" min="2" max="2"/>
    <col width="8" customWidth="1" style="194" min="3" max="3"/>
    <col width="28" customWidth="1" style="194" min="4" max="4"/>
    <col width="7" customWidth="1" style="194" min="5" max="5"/>
    <col width="14" customWidth="1" style="194" min="6" max="6"/>
    <col width="12" customWidth="1" style="194" min="7" max="7"/>
    <col width="10" customWidth="1" style="194" min="8" max="8"/>
    <col width="30" customWidth="1" style="194" min="9" max="9"/>
    <col width="10" customWidth="1" style="194" min="10" max="10"/>
    <col width="12" customWidth="1" style="194" min="11" max="11"/>
    <col width="10" customWidth="1" style="194" min="12" max="13"/>
    <col width="14" customWidth="1" style="194" min="14" max="15"/>
    <col width="28" customWidth="1" style="194" min="16" max="16"/>
    <col width="12" customWidth="1" style="194" min="17" max="18"/>
    <col width="16" customWidth="1" style="194" min="19" max="19"/>
    <col width="12" customWidth="1" style="194" min="20" max="21"/>
    <col width="14" customWidth="1" style="194" min="22" max="23"/>
    <col width="8" customWidth="1" style="194" min="24" max="24"/>
    <col width="22" customWidth="1" style="194" min="25" max="25"/>
    <col width="14" customWidth="1" style="194" min="26" max="26"/>
    <col width="8.710000000000001" customWidth="1" style="194" min="27" max="29"/>
  </cols>
  <sheetData>
    <row r="1" ht="27.75" customHeight="1" s="195">
      <c r="A1" s="317" t="inlineStr">
        <is>
          <t>REPORTE DE TRASLADO DE PACIENTES SIS DEL MES DE ABRIL 2026 PARA REPOSICION DE COMBUSTIBLE</t>
        </is>
      </c>
    </row>
    <row r="2" ht="21.75" customHeight="1" s="195">
      <c r="A2" s="318" t="inlineStr">
        <is>
          <t>TOTAL PETROLEO (gal):</t>
        </is>
      </c>
      <c r="D2" s="319">
        <f>IFERROR(SUMPRODUCT((K6:K99="PETROLEO")*ISNUMBER(M6:M99)*M6:M99),0)</f>
        <v/>
      </c>
      <c r="G2" s="318" t="inlineStr">
        <is>
          <t>TOTAL GASOLINA (gal):</t>
        </is>
      </c>
      <c r="J2" s="319">
        <f>IFERROR(SUMPRODUCT((K6:K99="GASOLINA")*ISNUMBER(M6:M99)*M6:M99),0)</f>
        <v/>
      </c>
      <c r="M2" s="318" t="inlineStr">
        <is>
          <t>TOTAL SOLES S/.:</t>
        </is>
      </c>
      <c r="P2" s="320">
        <f>IFERROR(SUMPRODUCT(ISNUMBER(M6:M99)*L6:L99*M6:M99),0)</f>
        <v/>
      </c>
      <c r="S2" s="318" t="inlineStr">
        <is>
          <t>N TRASLADOS:</t>
        </is>
      </c>
      <c r="U2" s="321">
        <f>SUBTOTAL(2,A6:A99)</f>
        <v/>
      </c>
      <c r="W2" s="322" t="inlineStr">
        <is>
          <t>↑ Al filtrar por EESS los totales cambian automáticamente</t>
        </is>
      </c>
    </row>
    <row r="3" ht="3.75" customHeight="1" s="195">
      <c r="A3" s="323" t="n"/>
      <c r="B3" s="323" t="n"/>
      <c r="C3" s="323" t="n"/>
      <c r="D3" s="323" t="n"/>
      <c r="E3" s="323" t="n"/>
      <c r="F3" s="323" t="n"/>
      <c r="G3" s="323" t="n"/>
      <c r="H3" s="323" t="n"/>
      <c r="I3" s="323" t="n"/>
      <c r="J3" s="323" t="n"/>
      <c r="K3" s="323" t="n"/>
      <c r="L3" s="323" t="n"/>
      <c r="M3" s="323" t="n"/>
      <c r="N3" s="323" t="n"/>
      <c r="O3" s="323" t="n"/>
      <c r="P3" s="323" t="n"/>
      <c r="Q3" s="323" t="n"/>
      <c r="R3" s="323" t="n"/>
      <c r="S3" s="323" t="n"/>
      <c r="T3" s="323" t="n"/>
      <c r="U3" s="323" t="n"/>
      <c r="V3" s="323" t="n"/>
      <c r="W3" s="323" t="n"/>
      <c r="X3" s="323" t="n"/>
      <c r="Y3" s="323" t="n"/>
    </row>
    <row r="4" ht="19.5" customHeight="1" s="195">
      <c r="A4" s="325" t="inlineStr">
        <is>
          <t>COLUMNAS EN AZUL = AUTO (no editar) | Ingrese: N, NRO FORMATO, AFILIADO, TIPO DOC, NRO DOC, FECHA TRASLADO, COD RENAES, COD REFERENCIA, DNI CONDUCTOR, PRECIO GAL, GALONES, FECHA ENTREGA, CIE-10, ESTADO FUA, FECHA DIGITACION, OFICIO, O/C, META, OBSERVACION</t>
        </is>
      </c>
    </row>
    <row r="5" ht="30" customHeight="1" s="195">
      <c r="A5" s="326" t="inlineStr">
        <is>
          <t>N</t>
        </is>
      </c>
      <c r="B5" s="327" t="inlineStr">
        <is>
          <t>NRO FORMATO
ATENCION</t>
        </is>
      </c>
      <c r="C5" s="327" t="inlineStr">
        <is>
          <t>UNIDAD
EJECUTORA</t>
        </is>
      </c>
      <c r="D5" s="327" t="inlineStr">
        <is>
          <t>AFILIADO</t>
        </is>
      </c>
      <c r="E5" s="327" t="inlineStr">
        <is>
          <t>TIPO
DOC</t>
        </is>
      </c>
      <c r="F5" s="327" t="inlineStr">
        <is>
          <t>NRO
DOCUMENTO</t>
        </is>
      </c>
      <c r="G5" s="327" t="inlineStr">
        <is>
          <t>FECHA
TRASLADO</t>
        </is>
      </c>
      <c r="H5" s="327" t="inlineStr">
        <is>
          <t>COD
RENAES</t>
        </is>
      </c>
      <c r="I5" s="328" t="inlineStr">
        <is>
          <t>DESCRIPCION
EESS</t>
        </is>
      </c>
      <c r="J5" s="327" t="inlineStr">
        <is>
          <t>COD EESS
REFERENCIA</t>
        </is>
      </c>
      <c r="K5" s="328" t="inlineStr">
        <is>
          <t>TIPO DE
COMBUSTIBLE</t>
        </is>
      </c>
      <c r="L5" s="327" t="inlineStr">
        <is>
          <t>PRECIO
GAL S/.</t>
        </is>
      </c>
      <c r="M5" s="327" t="inlineStr">
        <is>
          <t>GALONES</t>
        </is>
      </c>
      <c r="N5" s="328" t="inlineStr">
        <is>
          <t>TOTAL
COMBUSTIBLE S/.</t>
        </is>
      </c>
      <c r="O5" s="327" t="inlineStr">
        <is>
          <t>DNI
CONDUCTOR</t>
        </is>
      </c>
      <c r="P5" s="328" t="inlineStr">
        <is>
          <t>NOMBRE
CONDUCTOR</t>
        </is>
      </c>
      <c r="Q5" s="328" t="inlineStr">
        <is>
          <t>PLACA</t>
        </is>
      </c>
      <c r="R5" s="327" t="inlineStr">
        <is>
          <t>FECHA DE
ENTREGA</t>
        </is>
      </c>
      <c r="S5" s="327" t="inlineStr">
        <is>
          <t>CODIGO DE
DIAGNOSTICO</t>
        </is>
      </c>
      <c r="T5" s="327" t="inlineStr">
        <is>
          <t>ESTADO
FUA</t>
        </is>
      </c>
      <c r="U5" s="327" t="inlineStr">
        <is>
          <t>FECHA
DIGITACION</t>
        </is>
      </c>
      <c r="V5" s="327" t="inlineStr">
        <is>
          <t>OFICIO</t>
        </is>
      </c>
      <c r="W5" s="327" t="inlineStr">
        <is>
          <t>O/C</t>
        </is>
      </c>
      <c r="X5" s="327" t="inlineStr">
        <is>
          <t>META</t>
        </is>
      </c>
      <c r="Y5" s="348" t="inlineStr">
        <is>
          <t>DEVOLVER A
(IPRESS DESTINO)</t>
        </is>
      </c>
      <c r="Z5" s="349" t="inlineStr">
        <is>
          <t>ESTADO
COMPLETADO</t>
        </is>
      </c>
    </row>
    <row r="6" ht="15.75" customHeight="1" s="195">
      <c r="A6" s="301" t="n">
        <v>1</v>
      </c>
      <c r="B6" s="302" t="n"/>
      <c r="C6" s="301" t="inlineStr">
        <is>
          <t>REGION</t>
        </is>
      </c>
      <c r="D6" s="302" t="n"/>
      <c r="E6" s="301" t="inlineStr">
        <is>
          <t>DNI</t>
        </is>
      </c>
      <c r="F6" s="301" t="n"/>
      <c r="G6" s="334" t="n"/>
      <c r="H6" s="301" t="n"/>
      <c r="I6" s="332">
        <f>IFERROR(VLOOKUP(TEXT(H6,"0"),IPRESS!$A$3:$B$212,2,0),"")</f>
        <v/>
      </c>
      <c r="J6" s="301" t="n"/>
      <c r="K6" s="332" t="n"/>
      <c r="L6" s="245" t="n">
        <v>18.18</v>
      </c>
      <c r="M6" s="245" t="n"/>
      <c r="N6" s="333">
        <f>IFERROR(IF(L6*M6=0,"",L6*M6),"")</f>
        <v/>
      </c>
      <c r="O6" s="301" t="n"/>
      <c r="P6" s="332">
        <f>IFERROR(VLOOKUP(TEXT(O6,"0"),CONDUCTORES!$A$3:$G$100,2,0),"")</f>
        <v/>
      </c>
      <c r="Q6" s="332">
        <f>IFERROR(VLOOKUP(TEXT(O6,"0"),CONDUCTORES!$A$3:$H$100,6,0),"")</f>
        <v/>
      </c>
      <c r="R6" s="334" t="n"/>
      <c r="S6" s="302" t="n"/>
      <c r="T6" s="301" t="n"/>
      <c r="U6" s="334" t="n"/>
      <c r="V6" s="302" t="n"/>
      <c r="W6" s="301" t="n"/>
      <c r="X6" s="301" t="n"/>
      <c r="Y6" s="280" t="n"/>
      <c r="Z6" s="350">
        <f>IF(AND(R6&lt;&gt;"",V6&lt;&gt;"",W6&lt;&gt;""),"ENTREGADO","POR RECOGER")</f>
        <v/>
      </c>
      <c r="AA6" s="198" t="n"/>
      <c r="AB6" s="198" t="n"/>
      <c r="AC6" s="198" t="n"/>
    </row>
    <row r="7" ht="15.75" customHeight="1" s="195">
      <c r="A7" s="241" t="n">
        <v>2</v>
      </c>
      <c r="B7" s="305" t="n"/>
      <c r="C7" s="241" t="inlineStr">
        <is>
          <t>REGION</t>
        </is>
      </c>
      <c r="D7" s="305" t="n"/>
      <c r="E7" s="241" t="inlineStr">
        <is>
          <t>DNI</t>
        </is>
      </c>
      <c r="F7" s="241" t="n"/>
      <c r="G7" s="280" t="n"/>
      <c r="H7" s="241" t="n"/>
      <c r="I7" s="332">
        <f>IFERROR(VLOOKUP(TEXT(H7,"0"),IPRESS!$A$3:$B$212,2,0),"")</f>
        <v/>
      </c>
      <c r="J7" s="241" t="n"/>
      <c r="K7" s="332" t="n"/>
      <c r="L7" s="239" t="n">
        <v>18.18</v>
      </c>
      <c r="M7" s="239" t="n"/>
      <c r="N7" s="333">
        <f>IFERROR(IF(L7*M7=0,"",L7*M7),"")</f>
        <v/>
      </c>
      <c r="O7" s="241" t="n"/>
      <c r="P7" s="332">
        <f>IFERROR(VLOOKUP(TEXT(O7,"0"),CONDUCTORES!$A$3:$G$100,2,0),"")</f>
        <v/>
      </c>
      <c r="Q7" s="332">
        <f>IFERROR(VLOOKUP(TEXT(O7,"0"),CONDUCTORES!$A$3:$H$100,6,0),"")</f>
        <v/>
      </c>
      <c r="R7" s="280" t="n"/>
      <c r="S7" s="305" t="n"/>
      <c r="T7" s="241" t="n"/>
      <c r="U7" s="280" t="n"/>
      <c r="V7" s="305" t="n"/>
      <c r="W7" s="241" t="n"/>
      <c r="X7" s="241" t="n"/>
      <c r="Y7" s="280" t="n"/>
      <c r="Z7" s="350">
        <f>IF(AND(R7&lt;&gt;"",V7&lt;&gt;"",W7&lt;&gt;""),"ENTREGADO","POR RECOGER")</f>
        <v/>
      </c>
      <c r="AA7" s="198" t="n"/>
      <c r="AB7" s="198" t="n"/>
      <c r="AC7" s="198" t="n"/>
    </row>
    <row r="8" ht="15.75" customHeight="1" s="195">
      <c r="A8" s="301" t="n">
        <v>3</v>
      </c>
      <c r="B8" s="302" t="n"/>
      <c r="C8" s="301" t="inlineStr">
        <is>
          <t>REGION</t>
        </is>
      </c>
      <c r="D8" s="302" t="n"/>
      <c r="E8" s="301" t="inlineStr">
        <is>
          <t>DNI</t>
        </is>
      </c>
      <c r="F8" s="301" t="n"/>
      <c r="G8" s="334" t="n"/>
      <c r="H8" s="301" t="n"/>
      <c r="I8" s="332">
        <f>IFERROR(VLOOKUP(TEXT(H8,"0"),IPRESS!$A$3:$B$212,2,0),"")</f>
        <v/>
      </c>
      <c r="J8" s="301" t="n"/>
      <c r="K8" s="332" t="n"/>
      <c r="L8" s="245" t="n">
        <v>17.95</v>
      </c>
      <c r="M8" s="245" t="n"/>
      <c r="N8" s="333">
        <f>IFERROR(IF(L8*M8=0,"",L8*M8),"")</f>
        <v/>
      </c>
      <c r="O8" s="301" t="n"/>
      <c r="P8" s="332">
        <f>IFERROR(VLOOKUP(TEXT(O8,"0"),CONDUCTORES!$A$3:$G$100,2,0),"")</f>
        <v/>
      </c>
      <c r="Q8" s="332">
        <f>IFERROR(VLOOKUP(TEXT(O8,"0"),CONDUCTORES!$A$3:$H$100,6,0),"")</f>
        <v/>
      </c>
      <c r="R8" s="334" t="n"/>
      <c r="S8" s="302" t="n"/>
      <c r="T8" s="301" t="n"/>
      <c r="U8" s="334" t="n"/>
      <c r="V8" s="302" t="n"/>
      <c r="W8" s="301" t="n"/>
      <c r="X8" s="301" t="n"/>
      <c r="Y8" s="280" t="n"/>
      <c r="Z8" s="350">
        <f>IF(AND(R8&lt;&gt;"",V8&lt;&gt;"",W8&lt;&gt;""),"ENTREGADO","POR RECOGER")</f>
        <v/>
      </c>
      <c r="AA8" s="198" t="n"/>
      <c r="AB8" s="198" t="n"/>
      <c r="AC8" s="198" t="n"/>
    </row>
    <row r="9" ht="15.75" customHeight="1" s="195">
      <c r="A9" s="241" t="n">
        <v>4</v>
      </c>
      <c r="B9" s="305" t="n"/>
      <c r="C9" s="241" t="inlineStr">
        <is>
          <t>REGION</t>
        </is>
      </c>
      <c r="D9" s="305" t="n"/>
      <c r="E9" s="241" t="inlineStr">
        <is>
          <t>DNI</t>
        </is>
      </c>
      <c r="F9" s="241" t="n"/>
      <c r="G9" s="280" t="n"/>
      <c r="H9" s="241" t="n"/>
      <c r="I9" s="332">
        <f>IFERROR(VLOOKUP(TEXT(H9,"0"),IPRESS!$A$3:$B$212,2,0),"")</f>
        <v/>
      </c>
      <c r="J9" s="241" t="n"/>
      <c r="K9" s="332" t="n"/>
      <c r="L9" s="239" t="n">
        <v>18.18</v>
      </c>
      <c r="M9" s="239" t="n"/>
      <c r="N9" s="333">
        <f>IFERROR(IF(L9*M9=0,"",L9*M9),"")</f>
        <v/>
      </c>
      <c r="O9" s="241" t="n"/>
      <c r="P9" s="332">
        <f>IFERROR(VLOOKUP(TEXT(O9,"0"),CONDUCTORES!$A$3:$G$100,2,0),"")</f>
        <v/>
      </c>
      <c r="Q9" s="332">
        <f>IFERROR(VLOOKUP(TEXT(O9,"0"),CONDUCTORES!$A$3:$H$100,6,0),"")</f>
        <v/>
      </c>
      <c r="R9" s="280" t="n"/>
      <c r="S9" s="305" t="n"/>
      <c r="T9" s="241" t="n"/>
      <c r="U9" s="280" t="n"/>
      <c r="V9" s="305" t="n"/>
      <c r="W9" s="241" t="n"/>
      <c r="X9" s="241" t="n"/>
      <c r="Y9" s="280" t="n"/>
      <c r="Z9" s="350">
        <f>IF(AND(R9&lt;&gt;"",V9&lt;&gt;"",W9&lt;&gt;""),"ENTREGADO","POR RECOGER")</f>
        <v/>
      </c>
      <c r="AA9" s="198" t="n"/>
      <c r="AB9" s="198" t="n"/>
      <c r="AC9" s="198" t="n"/>
    </row>
    <row r="10" ht="15.75" customHeight="1" s="195">
      <c r="A10" s="301" t="n">
        <v>5</v>
      </c>
      <c r="B10" s="302" t="n"/>
      <c r="C10" s="301" t="inlineStr">
        <is>
          <t>REGION</t>
        </is>
      </c>
      <c r="D10" s="302" t="n"/>
      <c r="E10" s="301" t="inlineStr">
        <is>
          <t>DNI</t>
        </is>
      </c>
      <c r="F10" s="301" t="n"/>
      <c r="G10" s="334" t="n"/>
      <c r="H10" s="301" t="n"/>
      <c r="I10" s="332">
        <f>IFERROR(VLOOKUP(TEXT(H10,"0"),IPRESS!$A$3:$B$212,2,0),"")</f>
        <v/>
      </c>
      <c r="J10" s="301" t="n"/>
      <c r="K10" s="332" t="n"/>
      <c r="L10" s="245" t="n">
        <v>18.18</v>
      </c>
      <c r="M10" s="245" t="n"/>
      <c r="N10" s="333">
        <f>IFERROR(IF(L10*M10=0,"",L10*M10),"")</f>
        <v/>
      </c>
      <c r="O10" s="301" t="n"/>
      <c r="P10" s="332">
        <f>IFERROR(VLOOKUP(TEXT(O10,"0"),CONDUCTORES!$A$3:$G$100,2,0),"")</f>
        <v/>
      </c>
      <c r="Q10" s="332">
        <f>IFERROR(VLOOKUP(TEXT(O10,"0"),CONDUCTORES!$A$3:$H$100,6,0),"")</f>
        <v/>
      </c>
      <c r="R10" s="334" t="n"/>
      <c r="S10" s="302" t="n"/>
      <c r="T10" s="301" t="n"/>
      <c r="U10" s="334" t="n"/>
      <c r="V10" s="302" t="n"/>
      <c r="W10" s="301" t="n"/>
      <c r="X10" s="301" t="n"/>
      <c r="Y10" s="280" t="n"/>
      <c r="Z10" s="350">
        <f>IF(AND(R10&lt;&gt;"",V10&lt;&gt;"",W10&lt;&gt;""),"ENTREGADO","POR RECOGER")</f>
        <v/>
      </c>
      <c r="AA10" s="198" t="n"/>
      <c r="AB10" s="198" t="n"/>
      <c r="AC10" s="198" t="n"/>
    </row>
    <row r="11" ht="15.75" customHeight="1" s="195">
      <c r="A11" s="241" t="n">
        <v>6</v>
      </c>
      <c r="B11" s="305" t="n"/>
      <c r="C11" s="241" t="inlineStr">
        <is>
          <t>REGION</t>
        </is>
      </c>
      <c r="D11" s="305" t="n"/>
      <c r="E11" s="241" t="inlineStr">
        <is>
          <t>DNI</t>
        </is>
      </c>
      <c r="F11" s="241" t="n"/>
      <c r="G11" s="280" t="n"/>
      <c r="H11" s="241" t="n"/>
      <c r="I11" s="332">
        <f>IFERROR(VLOOKUP(TEXT(H11,"0"),IPRESS!$A$3:$B$212,2,0),"")</f>
        <v/>
      </c>
      <c r="J11" s="241" t="n"/>
      <c r="K11" s="332" t="n"/>
      <c r="L11" s="239" t="n">
        <v>17.95</v>
      </c>
      <c r="M11" s="239" t="n"/>
      <c r="N11" s="333">
        <f>IFERROR(IF(L11*M11=0,"",L11*M11),"")</f>
        <v/>
      </c>
      <c r="O11" s="241" t="n"/>
      <c r="P11" s="332">
        <f>IFERROR(VLOOKUP(TEXT(O11,"0"),CONDUCTORES!$A$3:$G$100,2,0),"")</f>
        <v/>
      </c>
      <c r="Q11" s="332">
        <f>IFERROR(VLOOKUP(TEXT(O11,"0"),CONDUCTORES!$A$3:$H$100,6,0),"")</f>
        <v/>
      </c>
      <c r="R11" s="280" t="n"/>
      <c r="S11" s="305" t="n"/>
      <c r="T11" s="241" t="n"/>
      <c r="U11" s="280" t="n"/>
      <c r="V11" s="305" t="n"/>
      <c r="W11" s="241" t="n"/>
      <c r="X11" s="241" t="n"/>
      <c r="Y11" s="280" t="n"/>
      <c r="Z11" s="350">
        <f>IF(AND(R11&lt;&gt;"",V11&lt;&gt;"",W11&lt;&gt;""),"ENTREGADO","POR RECOGER")</f>
        <v/>
      </c>
      <c r="AA11" s="198" t="n"/>
      <c r="AB11" s="198" t="n"/>
      <c r="AC11" s="198" t="n"/>
    </row>
    <row r="12" ht="15.75" customHeight="1" s="195">
      <c r="A12" s="301" t="n">
        <v>7</v>
      </c>
      <c r="B12" s="302" t="n"/>
      <c r="C12" s="301" t="inlineStr">
        <is>
          <t>REGION</t>
        </is>
      </c>
      <c r="D12" s="302" t="n"/>
      <c r="E12" s="301" t="inlineStr">
        <is>
          <t>DNI</t>
        </is>
      </c>
      <c r="F12" s="301" t="n"/>
      <c r="G12" s="334" t="n"/>
      <c r="H12" s="301" t="n"/>
      <c r="I12" s="332">
        <f>IFERROR(VLOOKUP(TEXT(H12,"0"),IPRESS!$A$3:$B$212,2,0),"")</f>
        <v/>
      </c>
      <c r="J12" s="301" t="n"/>
      <c r="K12" s="332" t="n"/>
      <c r="L12" s="245" t="n">
        <v>18.18</v>
      </c>
      <c r="M12" s="245" t="n"/>
      <c r="N12" s="333">
        <f>IFERROR(IF(L12*M12=0,"",L12*M12),"")</f>
        <v/>
      </c>
      <c r="O12" s="301" t="n"/>
      <c r="P12" s="332">
        <f>IFERROR(VLOOKUP(TEXT(O12,"0"),CONDUCTORES!$A$3:$G$100,2,0),"")</f>
        <v/>
      </c>
      <c r="Q12" s="332">
        <f>IFERROR(VLOOKUP(TEXT(O12,"0"),CONDUCTORES!$A$3:$H$100,6,0),"")</f>
        <v/>
      </c>
      <c r="R12" s="334" t="n"/>
      <c r="S12" s="302" t="n"/>
      <c r="T12" s="301" t="n"/>
      <c r="U12" s="334" t="n"/>
      <c r="V12" s="302" t="n"/>
      <c r="W12" s="301" t="n"/>
      <c r="X12" s="301" t="n"/>
      <c r="Y12" s="280" t="n"/>
      <c r="Z12" s="350">
        <f>IF(AND(R12&lt;&gt;"",V12&lt;&gt;"",W12&lt;&gt;""),"ENTREGADO","POR RECOGER")</f>
        <v/>
      </c>
      <c r="AA12" s="198" t="n"/>
      <c r="AB12" s="198" t="n"/>
      <c r="AC12" s="198" t="n"/>
    </row>
    <row r="13" ht="15.75" customHeight="1" s="195">
      <c r="A13" s="241" t="n">
        <v>8</v>
      </c>
      <c r="B13" s="305" t="n"/>
      <c r="C13" s="241" t="inlineStr">
        <is>
          <t>REGION</t>
        </is>
      </c>
      <c r="D13" s="305" t="n"/>
      <c r="E13" s="241" t="inlineStr">
        <is>
          <t>DNI</t>
        </is>
      </c>
      <c r="F13" s="241" t="n"/>
      <c r="G13" s="280" t="n"/>
      <c r="H13" s="241" t="n"/>
      <c r="I13" s="332">
        <f>IFERROR(VLOOKUP(TEXT(H13,"0"),IPRESS!$A$3:$B$212,2,0),"")</f>
        <v/>
      </c>
      <c r="J13" s="241" t="n"/>
      <c r="K13" s="332" t="n"/>
      <c r="L13" s="239" t="n">
        <v>18.18</v>
      </c>
      <c r="M13" s="239" t="n"/>
      <c r="N13" s="333">
        <f>IFERROR(IF(L13*M13=0,"",L13*M13),"")</f>
        <v/>
      </c>
      <c r="O13" s="241" t="n"/>
      <c r="P13" s="332">
        <f>IFERROR(VLOOKUP(TEXT(O13,"0"),CONDUCTORES!$A$3:$G$100,2,0),"")</f>
        <v/>
      </c>
      <c r="Q13" s="332">
        <f>IFERROR(VLOOKUP(TEXT(O13,"0"),CONDUCTORES!$A$3:$H$100,6,0),"")</f>
        <v/>
      </c>
      <c r="R13" s="280" t="n"/>
      <c r="S13" s="305" t="n"/>
      <c r="T13" s="241" t="n"/>
      <c r="U13" s="280" t="n"/>
      <c r="V13" s="305" t="n"/>
      <c r="W13" s="241" t="n"/>
      <c r="X13" s="241" t="n"/>
      <c r="Y13" s="280" t="n"/>
      <c r="Z13" s="350">
        <f>IF(AND(R13&lt;&gt;"",V13&lt;&gt;"",W13&lt;&gt;""),"ENTREGADO","POR RECOGER")</f>
        <v/>
      </c>
      <c r="AA13" s="198" t="n"/>
      <c r="AB13" s="198" t="n"/>
      <c r="AC13" s="198" t="n"/>
    </row>
    <row r="14" ht="15.75" customHeight="1" s="195">
      <c r="A14" s="301" t="n">
        <v>9</v>
      </c>
      <c r="B14" s="302" t="n"/>
      <c r="C14" s="301" t="inlineStr">
        <is>
          <t>REGION</t>
        </is>
      </c>
      <c r="D14" s="302" t="n"/>
      <c r="E14" s="301" t="inlineStr">
        <is>
          <t>DNI</t>
        </is>
      </c>
      <c r="F14" s="301" t="n"/>
      <c r="G14" s="334" t="n"/>
      <c r="H14" s="301" t="n"/>
      <c r="I14" s="332">
        <f>IFERROR(VLOOKUP(TEXT(H14,"0"),IPRESS!$A$3:$B$212,2,0),"")</f>
        <v/>
      </c>
      <c r="J14" s="301" t="n"/>
      <c r="K14" s="332" t="n"/>
      <c r="L14" s="245" t="n">
        <v>18.18</v>
      </c>
      <c r="M14" s="245" t="n"/>
      <c r="N14" s="333">
        <f>IFERROR(IF(L14*M14=0,"",L14*M14),"")</f>
        <v/>
      </c>
      <c r="O14" s="301" t="n"/>
      <c r="P14" s="332">
        <f>IFERROR(VLOOKUP(TEXT(O14,"0"),CONDUCTORES!$A$3:$G$100,2,0),"")</f>
        <v/>
      </c>
      <c r="Q14" s="332">
        <f>IFERROR(VLOOKUP(TEXT(O14,"0"),CONDUCTORES!$A$3:$H$100,6,0),"")</f>
        <v/>
      </c>
      <c r="R14" s="334" t="n"/>
      <c r="S14" s="302" t="n"/>
      <c r="T14" s="301" t="n"/>
      <c r="U14" s="334" t="n"/>
      <c r="V14" s="302" t="n"/>
      <c r="W14" s="301" t="n"/>
      <c r="X14" s="301" t="n"/>
      <c r="Y14" s="280" t="n"/>
      <c r="Z14" s="350">
        <f>IF(AND(R14&lt;&gt;"",V14&lt;&gt;"",W14&lt;&gt;""),"ENTREGADO","POR RECOGER")</f>
        <v/>
      </c>
      <c r="AA14" s="198" t="n"/>
      <c r="AB14" s="198" t="n"/>
      <c r="AC14" s="198" t="n"/>
    </row>
    <row r="15" ht="15.75" customHeight="1" s="195">
      <c r="A15" s="241" t="n">
        <v>10</v>
      </c>
      <c r="B15" s="305" t="n"/>
      <c r="C15" s="241" t="inlineStr">
        <is>
          <t>REGION</t>
        </is>
      </c>
      <c r="D15" s="305" t="n"/>
      <c r="E15" s="241" t="inlineStr">
        <is>
          <t>DNI</t>
        </is>
      </c>
      <c r="F15" s="241" t="n"/>
      <c r="G15" s="280" t="n"/>
      <c r="H15" s="241" t="n"/>
      <c r="I15" s="332">
        <f>IFERROR(VLOOKUP(TEXT(H15,"0"),IPRESS!$A$3:$B$212,2,0),"")</f>
        <v/>
      </c>
      <c r="J15" s="241" t="n"/>
      <c r="K15" s="332" t="n"/>
      <c r="L15" s="239" t="n">
        <v>18.18</v>
      </c>
      <c r="M15" s="239" t="n"/>
      <c r="N15" s="333">
        <f>IFERROR(IF(L15*M15=0,"",L15*M15),"")</f>
        <v/>
      </c>
      <c r="O15" s="241" t="n"/>
      <c r="P15" s="332">
        <f>IFERROR(VLOOKUP(TEXT(O15,"0"),CONDUCTORES!$A$3:$G$100,2,0),"")</f>
        <v/>
      </c>
      <c r="Q15" s="332">
        <f>IFERROR(VLOOKUP(TEXT(O15,"0"),CONDUCTORES!$A$3:$H$100,6,0),"")</f>
        <v/>
      </c>
      <c r="R15" s="280" t="n"/>
      <c r="S15" s="305" t="n"/>
      <c r="T15" s="241" t="n"/>
      <c r="U15" s="280" t="n"/>
      <c r="V15" s="305" t="n"/>
      <c r="W15" s="241" t="n"/>
      <c r="X15" s="241" t="n"/>
      <c r="Y15" s="280" t="n"/>
      <c r="Z15" s="350">
        <f>IF(AND(R15&lt;&gt;"",V15&lt;&gt;"",W15&lt;&gt;""),"ENTREGADO","POR RECOGER")</f>
        <v/>
      </c>
      <c r="AA15" s="198" t="n"/>
      <c r="AB15" s="198" t="n"/>
      <c r="AC15" s="198" t="n"/>
    </row>
    <row r="16" ht="15.75" customHeight="1" s="195">
      <c r="A16" s="301" t="n">
        <v>11</v>
      </c>
      <c r="B16" s="302" t="n"/>
      <c r="C16" s="301" t="inlineStr">
        <is>
          <t>REGION</t>
        </is>
      </c>
      <c r="D16" s="302" t="n"/>
      <c r="E16" s="301" t="inlineStr">
        <is>
          <t>DNI</t>
        </is>
      </c>
      <c r="F16" s="301" t="n"/>
      <c r="G16" s="334" t="n"/>
      <c r="H16" s="301" t="n"/>
      <c r="I16" s="332">
        <f>IFERROR(VLOOKUP(TEXT(H16,"0"),IPRESS!$A$3:$B$212,2,0),"")</f>
        <v/>
      </c>
      <c r="J16" s="301" t="n"/>
      <c r="K16" s="332" t="n"/>
      <c r="L16" s="245" t="n">
        <v>17.95</v>
      </c>
      <c r="M16" s="245" t="n"/>
      <c r="N16" s="333">
        <f>IFERROR(IF(L16*M16=0,"",L16*M16),"")</f>
        <v/>
      </c>
      <c r="O16" s="301" t="n"/>
      <c r="P16" s="332">
        <f>IFERROR(VLOOKUP(TEXT(O16,"0"),CONDUCTORES!$A$3:$G$100,2,0),"")</f>
        <v/>
      </c>
      <c r="Q16" s="332">
        <f>IFERROR(VLOOKUP(TEXT(O16,"0"),CONDUCTORES!$A$3:$H$100,6,0),"")</f>
        <v/>
      </c>
      <c r="R16" s="334" t="n"/>
      <c r="S16" s="302" t="n"/>
      <c r="T16" s="301" t="n"/>
      <c r="U16" s="334" t="n"/>
      <c r="V16" s="302" t="n"/>
      <c r="W16" s="301" t="n"/>
      <c r="X16" s="301" t="n"/>
      <c r="Y16" s="280" t="n"/>
      <c r="Z16" s="350">
        <f>IF(AND(R16&lt;&gt;"",V16&lt;&gt;"",W16&lt;&gt;""),"ENTREGADO","POR RECOGER")</f>
        <v/>
      </c>
      <c r="AA16" s="198" t="n"/>
      <c r="AB16" s="198" t="n"/>
      <c r="AC16" s="198" t="n"/>
    </row>
    <row r="17" ht="15.75" customHeight="1" s="195">
      <c r="A17" s="241" t="n">
        <v>12</v>
      </c>
      <c r="B17" s="305" t="n"/>
      <c r="C17" s="241" t="inlineStr">
        <is>
          <t>REGION</t>
        </is>
      </c>
      <c r="D17" s="305" t="n"/>
      <c r="E17" s="241" t="inlineStr">
        <is>
          <t>DNI</t>
        </is>
      </c>
      <c r="F17" s="241" t="n"/>
      <c r="G17" s="280" t="n"/>
      <c r="H17" s="241" t="n"/>
      <c r="I17" s="332">
        <f>IFERROR(VLOOKUP(TEXT(H17,"0"),IPRESS!$A$3:$B$212,2,0),"")</f>
        <v/>
      </c>
      <c r="J17" s="241" t="n"/>
      <c r="K17" s="332" t="n"/>
      <c r="L17" s="239" t="n">
        <v>17.95</v>
      </c>
      <c r="M17" s="239" t="n"/>
      <c r="N17" s="333">
        <f>IFERROR(IF(L17*M17=0,"",L17*M17),"")</f>
        <v/>
      </c>
      <c r="O17" s="241" t="n"/>
      <c r="P17" s="332">
        <f>IFERROR(VLOOKUP(TEXT(O17,"0"),CONDUCTORES!$A$3:$G$100,2,0),"")</f>
        <v/>
      </c>
      <c r="Q17" s="332">
        <f>IFERROR(VLOOKUP(TEXT(O17,"0"),CONDUCTORES!$A$3:$H$100,6,0),"")</f>
        <v/>
      </c>
      <c r="R17" s="280" t="n"/>
      <c r="S17" s="305" t="n"/>
      <c r="T17" s="241" t="n"/>
      <c r="U17" s="280" t="n"/>
      <c r="V17" s="305" t="n"/>
      <c r="W17" s="241" t="n"/>
      <c r="X17" s="241" t="n"/>
      <c r="Y17" s="280" t="n"/>
      <c r="Z17" s="350">
        <f>IF(AND(R17&lt;&gt;"",V17&lt;&gt;"",W17&lt;&gt;""),"ENTREGADO","POR RECOGER")</f>
        <v/>
      </c>
      <c r="AA17" s="198" t="n"/>
      <c r="AB17" s="198" t="n"/>
      <c r="AC17" s="198" t="n"/>
    </row>
    <row r="18" ht="15.75" customHeight="1" s="195">
      <c r="A18" s="301" t="n">
        <v>13</v>
      </c>
      <c r="B18" s="302" t="n"/>
      <c r="C18" s="301" t="inlineStr">
        <is>
          <t>REGION</t>
        </is>
      </c>
      <c r="D18" s="302" t="n"/>
      <c r="E18" s="301" t="inlineStr">
        <is>
          <t>DNI</t>
        </is>
      </c>
      <c r="F18" s="301" t="n"/>
      <c r="G18" s="334" t="n"/>
      <c r="H18" s="301" t="n"/>
      <c r="I18" s="332">
        <f>IFERROR(VLOOKUP(TEXT(H18,"0"),IPRESS!$A$3:$B$212,2,0),"")</f>
        <v/>
      </c>
      <c r="J18" s="301" t="n"/>
      <c r="K18" s="332" t="n"/>
      <c r="L18" s="245" t="n">
        <v>17.95</v>
      </c>
      <c r="M18" s="245" t="n"/>
      <c r="N18" s="333">
        <f>IFERROR(IF(L18*M18=0,"",L18*M18),"")</f>
        <v/>
      </c>
      <c r="O18" s="301" t="n"/>
      <c r="P18" s="332">
        <f>IFERROR(VLOOKUP(TEXT(O18,"0"),CONDUCTORES!$A$3:$G$100,2,0),"")</f>
        <v/>
      </c>
      <c r="Q18" s="332">
        <f>IFERROR(VLOOKUP(TEXT(O18,"0"),CONDUCTORES!$A$3:$H$100,6,0),"")</f>
        <v/>
      </c>
      <c r="R18" s="334" t="n"/>
      <c r="S18" s="302" t="n"/>
      <c r="T18" s="301" t="n"/>
      <c r="U18" s="334" t="n"/>
      <c r="V18" s="302" t="n"/>
      <c r="W18" s="301" t="n"/>
      <c r="X18" s="301" t="n"/>
      <c r="Y18" s="280" t="n"/>
      <c r="Z18" s="350">
        <f>IF(AND(R18&lt;&gt;"",V18&lt;&gt;"",W18&lt;&gt;""),"ENTREGADO","POR RECOGER")</f>
        <v/>
      </c>
      <c r="AA18" s="198" t="n"/>
      <c r="AB18" s="198" t="n"/>
      <c r="AC18" s="198" t="n"/>
    </row>
    <row r="19" ht="15.75" customHeight="1" s="195">
      <c r="A19" s="241" t="n">
        <v>14</v>
      </c>
      <c r="B19" s="305" t="n"/>
      <c r="C19" s="241" t="inlineStr">
        <is>
          <t>REGION</t>
        </is>
      </c>
      <c r="D19" s="305" t="n"/>
      <c r="E19" s="241" t="inlineStr">
        <is>
          <t>DNI</t>
        </is>
      </c>
      <c r="F19" s="241" t="n"/>
      <c r="G19" s="280" t="n"/>
      <c r="H19" s="241" t="n"/>
      <c r="I19" s="332">
        <f>IFERROR(VLOOKUP(TEXT(H19,"0"),IPRESS!$A$3:$B$212,2,0),"")</f>
        <v/>
      </c>
      <c r="J19" s="241" t="n"/>
      <c r="K19" s="332" t="n"/>
      <c r="L19" s="239" t="n">
        <v>20.25</v>
      </c>
      <c r="M19" s="239" t="n"/>
      <c r="N19" s="333">
        <f>IFERROR(IF(L19*M19=0,"",L19*M19),"")</f>
        <v/>
      </c>
      <c r="O19" s="241" t="n"/>
      <c r="P19" s="332">
        <f>IFERROR(VLOOKUP(TEXT(O19,"0"),CONDUCTORES!$A$3:$G$100,2,0),"")</f>
        <v/>
      </c>
      <c r="Q19" s="332">
        <f>IFERROR(VLOOKUP(TEXT(O19,"0"),CONDUCTORES!$A$3:$H$100,6,0),"")</f>
        <v/>
      </c>
      <c r="R19" s="280" t="n"/>
      <c r="S19" s="305" t="n"/>
      <c r="T19" s="241" t="n"/>
      <c r="U19" s="280" t="n"/>
      <c r="V19" s="305" t="n"/>
      <c r="W19" s="241" t="n"/>
      <c r="X19" s="241" t="n"/>
      <c r="Y19" s="280" t="n"/>
      <c r="Z19" s="350">
        <f>IF(AND(R19&lt;&gt;"",V19&lt;&gt;"",W19&lt;&gt;""),"ENTREGADO","POR RECOGER")</f>
        <v/>
      </c>
      <c r="AA19" s="198" t="n"/>
      <c r="AB19" s="198" t="n"/>
      <c r="AC19" s="198" t="n"/>
    </row>
    <row r="20" ht="15.75" customHeight="1" s="195">
      <c r="A20" s="301" t="n">
        <v>15</v>
      </c>
      <c r="B20" s="302" t="n"/>
      <c r="C20" s="301" t="inlineStr">
        <is>
          <t>REGION</t>
        </is>
      </c>
      <c r="D20" s="302" t="n"/>
      <c r="E20" s="301" t="inlineStr">
        <is>
          <t>DNI</t>
        </is>
      </c>
      <c r="F20" s="301" t="n"/>
      <c r="G20" s="334" t="n"/>
      <c r="H20" s="301" t="n"/>
      <c r="I20" s="332">
        <f>IFERROR(VLOOKUP(TEXT(H20,"0"),IPRESS!$A$3:$B$212,2,0),"")</f>
        <v/>
      </c>
      <c r="J20" s="301" t="n"/>
      <c r="K20" s="332" t="n"/>
      <c r="L20" s="245" t="n">
        <v>20.25</v>
      </c>
      <c r="M20" s="245" t="n"/>
      <c r="N20" s="333">
        <f>IFERROR(IF(L20*M20=0,"",L20*M20),"")</f>
        <v/>
      </c>
      <c r="O20" s="301" t="n"/>
      <c r="P20" s="332">
        <f>IFERROR(VLOOKUP(TEXT(O20,"0"),CONDUCTORES!$A$3:$G$100,2,0),"")</f>
        <v/>
      </c>
      <c r="Q20" s="332">
        <f>IFERROR(VLOOKUP(TEXT(O20,"0"),CONDUCTORES!$A$3:$H$100,6,0),"")</f>
        <v/>
      </c>
      <c r="R20" s="334" t="n"/>
      <c r="S20" s="302" t="n"/>
      <c r="T20" s="301" t="n"/>
      <c r="U20" s="334" t="n"/>
      <c r="V20" s="302" t="n"/>
      <c r="W20" s="301" t="n"/>
      <c r="X20" s="301" t="n"/>
      <c r="Y20" s="280" t="n"/>
      <c r="Z20" s="350">
        <f>IF(AND(R20&lt;&gt;"",V20&lt;&gt;"",W20&lt;&gt;""),"ENTREGADO","POR RECOGER")</f>
        <v/>
      </c>
      <c r="AA20" s="198" t="n"/>
      <c r="AB20" s="198" t="n"/>
      <c r="AC20" s="198" t="n"/>
    </row>
    <row r="21" ht="15.75" customHeight="1" s="195">
      <c r="A21" s="241" t="n">
        <v>16</v>
      </c>
      <c r="B21" s="305" t="n"/>
      <c r="C21" s="241" t="inlineStr">
        <is>
          <t>REGION</t>
        </is>
      </c>
      <c r="D21" s="305" t="n"/>
      <c r="E21" s="241" t="inlineStr">
        <is>
          <t>DNI</t>
        </is>
      </c>
      <c r="F21" s="241" t="n"/>
      <c r="G21" s="280" t="n"/>
      <c r="H21" s="241" t="n"/>
      <c r="I21" s="332">
        <f>IFERROR(VLOOKUP(TEXT(H21,"0"),IPRESS!$A$3:$B$212,2,0),"")</f>
        <v/>
      </c>
      <c r="J21" s="241" t="n"/>
      <c r="K21" s="332" t="n"/>
      <c r="L21" s="239" t="n">
        <v>20.25</v>
      </c>
      <c r="M21" s="239" t="n"/>
      <c r="N21" s="333">
        <f>IFERROR(IF(L21*M21=0,"",L21*M21),"")</f>
        <v/>
      </c>
      <c r="O21" s="241" t="n"/>
      <c r="P21" s="332">
        <f>IFERROR(VLOOKUP(TEXT(O21,"0"),CONDUCTORES!$A$3:$G$100,2,0),"")</f>
        <v/>
      </c>
      <c r="Q21" s="332">
        <f>IFERROR(VLOOKUP(TEXT(O21,"0"),CONDUCTORES!$A$3:$H$100,6,0),"")</f>
        <v/>
      </c>
      <c r="R21" s="280" t="n"/>
      <c r="S21" s="305" t="n"/>
      <c r="T21" s="241" t="n"/>
      <c r="U21" s="280" t="n"/>
      <c r="V21" s="305" t="n"/>
      <c r="W21" s="241" t="n"/>
      <c r="X21" s="241" t="n"/>
      <c r="Y21" s="280" t="n"/>
      <c r="Z21" s="350">
        <f>IF(AND(R21&lt;&gt;"",V21&lt;&gt;"",W21&lt;&gt;""),"ENTREGADO","POR RECOGER")</f>
        <v/>
      </c>
      <c r="AA21" s="198" t="n"/>
      <c r="AB21" s="198" t="n"/>
      <c r="AC21" s="198" t="n"/>
    </row>
    <row r="22" ht="15.75" customHeight="1" s="195">
      <c r="A22" s="301" t="n">
        <v>17</v>
      </c>
      <c r="B22" s="302" t="n"/>
      <c r="C22" s="301" t="inlineStr">
        <is>
          <t>REGION</t>
        </is>
      </c>
      <c r="D22" s="302" t="n"/>
      <c r="E22" s="301" t="inlineStr">
        <is>
          <t>DNI</t>
        </is>
      </c>
      <c r="F22" s="301" t="n"/>
      <c r="G22" s="334" t="n"/>
      <c r="H22" s="301" t="n"/>
      <c r="I22" s="332">
        <f>IFERROR(VLOOKUP(TEXT(H22,"0"),IPRESS!$A$3:$B$212,2,0),"")</f>
        <v/>
      </c>
      <c r="J22" s="301" t="n"/>
      <c r="K22" s="332" t="n"/>
      <c r="L22" s="245" t="n">
        <v>20.25</v>
      </c>
      <c r="M22" s="245" t="n"/>
      <c r="N22" s="333">
        <f>IFERROR(IF(L22*M22=0,"",L22*M22),"")</f>
        <v/>
      </c>
      <c r="O22" s="301" t="n"/>
      <c r="P22" s="332">
        <f>IFERROR(VLOOKUP(TEXT(O22,"0"),CONDUCTORES!$A$3:$G$100,2,0),"")</f>
        <v/>
      </c>
      <c r="Q22" s="332">
        <f>IFERROR(VLOOKUP(TEXT(O22,"0"),CONDUCTORES!$A$3:$H$100,6,0),"")</f>
        <v/>
      </c>
      <c r="R22" s="334" t="n"/>
      <c r="S22" s="302" t="n"/>
      <c r="T22" s="301" t="n"/>
      <c r="U22" s="334" t="n"/>
      <c r="V22" s="302" t="n"/>
      <c r="W22" s="301" t="n"/>
      <c r="X22" s="301" t="n"/>
      <c r="Y22" s="280" t="n"/>
      <c r="Z22" s="350">
        <f>IF(AND(R22&lt;&gt;"",V22&lt;&gt;"",W22&lt;&gt;""),"ENTREGADO","POR RECOGER")</f>
        <v/>
      </c>
      <c r="AA22" s="198" t="n"/>
      <c r="AB22" s="198" t="n"/>
      <c r="AC22" s="198" t="n"/>
    </row>
    <row r="23" ht="15.75" customHeight="1" s="195">
      <c r="A23" s="241" t="n">
        <v>18</v>
      </c>
      <c r="B23" s="305" t="n"/>
      <c r="C23" s="241" t="inlineStr">
        <is>
          <t>REGION</t>
        </is>
      </c>
      <c r="D23" s="305" t="n"/>
      <c r="E23" s="241" t="inlineStr">
        <is>
          <t>DNI</t>
        </is>
      </c>
      <c r="F23" s="241" t="n"/>
      <c r="G23" s="280" t="n"/>
      <c r="H23" s="241" t="n"/>
      <c r="I23" s="332">
        <f>IFERROR(VLOOKUP(TEXT(H23,"0"),IPRESS!$A$3:$B$212,2,0),"")</f>
        <v/>
      </c>
      <c r="J23" s="241" t="n"/>
      <c r="K23" s="332" t="n"/>
      <c r="L23" s="239" t="n">
        <v>20.25</v>
      </c>
      <c r="M23" s="239" t="n"/>
      <c r="N23" s="333">
        <f>IFERROR(IF(L23*M23=0,"",L23*M23),"")</f>
        <v/>
      </c>
      <c r="O23" s="241" t="n"/>
      <c r="P23" s="332">
        <f>IFERROR(VLOOKUP(TEXT(O23,"0"),CONDUCTORES!$A$3:$G$100,2,0),"")</f>
        <v/>
      </c>
      <c r="Q23" s="332">
        <f>IFERROR(VLOOKUP(TEXT(O23,"0"),CONDUCTORES!$A$3:$H$100,6,0),"")</f>
        <v/>
      </c>
      <c r="R23" s="280" t="n"/>
      <c r="S23" s="305" t="n"/>
      <c r="T23" s="241" t="n"/>
      <c r="U23" s="280" t="n"/>
      <c r="V23" s="305" t="n"/>
      <c r="W23" s="241" t="n"/>
      <c r="X23" s="241" t="n"/>
      <c r="Y23" s="280" t="n"/>
      <c r="Z23" s="350">
        <f>IF(AND(R23&lt;&gt;"",V23&lt;&gt;"",W23&lt;&gt;""),"ENTREGADO","POR RECOGER")</f>
        <v/>
      </c>
      <c r="AA23" s="198" t="n"/>
      <c r="AB23" s="198" t="n"/>
      <c r="AC23" s="198" t="n"/>
    </row>
    <row r="24" ht="15.75" customHeight="1" s="195">
      <c r="A24" s="301" t="n">
        <v>19</v>
      </c>
      <c r="B24" s="302" t="n"/>
      <c r="C24" s="301" t="inlineStr">
        <is>
          <t>REGION</t>
        </is>
      </c>
      <c r="D24" s="302" t="n"/>
      <c r="E24" s="301" t="inlineStr">
        <is>
          <t>DNI</t>
        </is>
      </c>
      <c r="F24" s="301" t="n"/>
      <c r="G24" s="334" t="n"/>
      <c r="H24" s="301" t="n"/>
      <c r="I24" s="332">
        <f>IFERROR(VLOOKUP(TEXT(H24,"0"),IPRESS!$A$3:$B$212,2,0),"")</f>
        <v/>
      </c>
      <c r="J24" s="301" t="n"/>
      <c r="K24" s="332" t="n"/>
      <c r="L24" s="245" t="n">
        <v>20.25</v>
      </c>
      <c r="M24" s="245" t="n"/>
      <c r="N24" s="333">
        <f>IFERROR(IF(L24*M24=0,"",L24*M24),"")</f>
        <v/>
      </c>
      <c r="O24" s="301" t="n"/>
      <c r="P24" s="332">
        <f>IFERROR(VLOOKUP(TEXT(O24,"0"),CONDUCTORES!$A$3:$G$100,2,0),"")</f>
        <v/>
      </c>
      <c r="Q24" s="332">
        <f>IFERROR(VLOOKUP(TEXT(O24,"0"),CONDUCTORES!$A$3:$H$100,6,0),"")</f>
        <v/>
      </c>
      <c r="R24" s="334" t="n"/>
      <c r="S24" s="302" t="n"/>
      <c r="T24" s="301" t="n"/>
      <c r="U24" s="334" t="n"/>
      <c r="V24" s="302" t="n"/>
      <c r="W24" s="301" t="n"/>
      <c r="X24" s="301" t="n"/>
      <c r="Y24" s="280" t="n"/>
      <c r="Z24" s="350">
        <f>IF(AND(R24&lt;&gt;"",V24&lt;&gt;"",W24&lt;&gt;""),"ENTREGADO","POR RECOGER")</f>
        <v/>
      </c>
      <c r="AA24" s="198" t="n"/>
      <c r="AB24" s="198" t="n"/>
      <c r="AC24" s="198" t="n"/>
    </row>
    <row r="25" ht="15.75" customHeight="1" s="195">
      <c r="A25" s="241" t="n">
        <v>20</v>
      </c>
      <c r="B25" s="305" t="n"/>
      <c r="C25" s="241" t="inlineStr">
        <is>
          <t>REGION</t>
        </is>
      </c>
      <c r="D25" s="305" t="n"/>
      <c r="E25" s="241" t="inlineStr">
        <is>
          <t>DNI</t>
        </is>
      </c>
      <c r="F25" s="241" t="n"/>
      <c r="G25" s="280" t="n"/>
      <c r="H25" s="241" t="n"/>
      <c r="I25" s="332">
        <f>IFERROR(VLOOKUP(TEXT(H25,"0"),IPRESS!$A$3:$B$212,2,0),"")</f>
        <v/>
      </c>
      <c r="J25" s="241" t="n"/>
      <c r="K25" s="332" t="n"/>
      <c r="L25" s="239" t="n">
        <v>20.25</v>
      </c>
      <c r="M25" s="239" t="n"/>
      <c r="N25" s="333">
        <f>IFERROR(IF(L25*M25=0,"",L25*M25),"")</f>
        <v/>
      </c>
      <c r="O25" s="241" t="n"/>
      <c r="P25" s="332">
        <f>IFERROR(VLOOKUP(TEXT(O25,"0"),CONDUCTORES!$A$3:$G$100,2,0),"")</f>
        <v/>
      </c>
      <c r="Q25" s="332">
        <f>IFERROR(VLOOKUP(TEXT(O25,"0"),CONDUCTORES!$A$3:$H$100,6,0),"")</f>
        <v/>
      </c>
      <c r="R25" s="280" t="n"/>
      <c r="S25" s="305" t="n"/>
      <c r="T25" s="241" t="n"/>
      <c r="U25" s="280" t="n"/>
      <c r="V25" s="305" t="n"/>
      <c r="W25" s="241" t="n"/>
      <c r="X25" s="241" t="n"/>
      <c r="Y25" s="280" t="n"/>
      <c r="Z25" s="350">
        <f>IF(AND(R25&lt;&gt;"",V25&lt;&gt;"",W25&lt;&gt;""),"ENTREGADO","POR RECOGER")</f>
        <v/>
      </c>
      <c r="AA25" s="198" t="n"/>
      <c r="AB25" s="198" t="n"/>
      <c r="AC25" s="198" t="n"/>
    </row>
    <row r="26" ht="15.75" customHeight="1" s="195">
      <c r="A26" s="301" t="n">
        <v>21</v>
      </c>
      <c r="B26" s="302" t="n"/>
      <c r="C26" s="301" t="inlineStr">
        <is>
          <t>REGION</t>
        </is>
      </c>
      <c r="D26" s="302" t="n"/>
      <c r="E26" s="301" t="inlineStr">
        <is>
          <t>DNI</t>
        </is>
      </c>
      <c r="F26" s="301" t="n"/>
      <c r="G26" s="334" t="n"/>
      <c r="H26" s="301" t="n"/>
      <c r="I26" s="332">
        <f>IFERROR(VLOOKUP(TEXT(H26,"0"),IPRESS!$A$3:$B$212,2,0),"")</f>
        <v/>
      </c>
      <c r="J26" s="301" t="n"/>
      <c r="K26" s="332" t="n"/>
      <c r="L26" s="245" t="n">
        <v>20.25</v>
      </c>
      <c r="M26" s="245" t="n"/>
      <c r="N26" s="333">
        <f>IFERROR(IF(L26*M26=0,"",L26*M26),"")</f>
        <v/>
      </c>
      <c r="O26" s="301" t="n"/>
      <c r="P26" s="332">
        <f>IFERROR(VLOOKUP(TEXT(O26,"0"),CONDUCTORES!$A$3:$G$100,2,0),"")</f>
        <v/>
      </c>
      <c r="Q26" s="332">
        <f>IFERROR(VLOOKUP(TEXT(O26,"0"),CONDUCTORES!$A$3:$H$100,6,0),"")</f>
        <v/>
      </c>
      <c r="R26" s="334" t="n"/>
      <c r="S26" s="302" t="n"/>
      <c r="T26" s="301" t="n"/>
      <c r="U26" s="334" t="n"/>
      <c r="V26" s="302" t="n"/>
      <c r="W26" s="301" t="n"/>
      <c r="X26" s="301" t="n"/>
      <c r="Y26" s="280" t="n"/>
      <c r="Z26" s="350">
        <f>IF(AND(R26&lt;&gt;"",V26&lt;&gt;"",W26&lt;&gt;""),"ENTREGADO","POR RECOGER")</f>
        <v/>
      </c>
      <c r="AA26" s="198" t="n"/>
      <c r="AB26" s="198" t="n"/>
      <c r="AC26" s="198" t="n"/>
    </row>
    <row r="27" ht="15.75" customHeight="1" s="195">
      <c r="A27" s="241" t="n">
        <v>22</v>
      </c>
      <c r="B27" s="305" t="n"/>
      <c r="C27" s="241" t="inlineStr">
        <is>
          <t>REGION</t>
        </is>
      </c>
      <c r="D27" s="305" t="n"/>
      <c r="E27" s="241" t="inlineStr">
        <is>
          <t>DNI</t>
        </is>
      </c>
      <c r="F27" s="241" t="n"/>
      <c r="G27" s="280" t="n"/>
      <c r="H27" s="241" t="n"/>
      <c r="I27" s="332">
        <f>IFERROR(VLOOKUP(TEXT(H27,"0"),IPRESS!$A$3:$B$212,2,0),"")</f>
        <v/>
      </c>
      <c r="J27" s="241" t="n"/>
      <c r="K27" s="332" t="n"/>
      <c r="L27" s="239" t="n">
        <v>20.25</v>
      </c>
      <c r="M27" s="239" t="n"/>
      <c r="N27" s="333">
        <f>IFERROR(IF(L27*M27=0,"",L27*M27),"")</f>
        <v/>
      </c>
      <c r="O27" s="241" t="n"/>
      <c r="P27" s="332">
        <f>IFERROR(VLOOKUP(TEXT(O27,"0"),CONDUCTORES!$A$3:$G$100,2,0),"")</f>
        <v/>
      </c>
      <c r="Q27" s="332">
        <f>IFERROR(VLOOKUP(TEXT(O27,"0"),CONDUCTORES!$A$3:$H$100,6,0),"")</f>
        <v/>
      </c>
      <c r="R27" s="280" t="n"/>
      <c r="S27" s="305" t="n"/>
      <c r="T27" s="241" t="n"/>
      <c r="U27" s="280" t="n"/>
      <c r="V27" s="305" t="n"/>
      <c r="W27" s="241" t="n"/>
      <c r="X27" s="241" t="n"/>
      <c r="Y27" s="280" t="n"/>
      <c r="Z27" s="350">
        <f>IF(AND(R27&lt;&gt;"",V27&lt;&gt;"",W27&lt;&gt;""),"ENTREGADO","POR RECOGER")</f>
        <v/>
      </c>
      <c r="AA27" s="198" t="n"/>
      <c r="AB27" s="198" t="n"/>
      <c r="AC27" s="198" t="n"/>
    </row>
    <row r="28" ht="15.75" customHeight="1" s="195">
      <c r="A28" s="301" t="n">
        <v>23</v>
      </c>
      <c r="B28" s="302" t="n"/>
      <c r="C28" s="301" t="inlineStr">
        <is>
          <t>REGION</t>
        </is>
      </c>
      <c r="D28" s="302" t="n"/>
      <c r="E28" s="301" t="inlineStr">
        <is>
          <t>DNI</t>
        </is>
      </c>
      <c r="F28" s="301" t="n"/>
      <c r="G28" s="334" t="n"/>
      <c r="H28" s="301" t="n"/>
      <c r="I28" s="332">
        <f>IFERROR(VLOOKUP(TEXT(H28,"0"),IPRESS!$A$3:$B$212,2,0),"")</f>
        <v/>
      </c>
      <c r="J28" s="301" t="n"/>
      <c r="K28" s="332" t="n"/>
      <c r="L28" s="245" t="n">
        <v>18.18</v>
      </c>
      <c r="M28" s="245" t="n"/>
      <c r="N28" s="333">
        <f>IFERROR(IF(L28*M28=0,"",L28*M28),"")</f>
        <v/>
      </c>
      <c r="O28" s="301" t="n"/>
      <c r="P28" s="332">
        <f>IFERROR(VLOOKUP(TEXT(O28,"0"),CONDUCTORES!$A$3:$G$100,2,0),"")</f>
        <v/>
      </c>
      <c r="Q28" s="332">
        <f>IFERROR(VLOOKUP(TEXT(O28,"0"),CONDUCTORES!$A$3:$H$100,6,0),"")</f>
        <v/>
      </c>
      <c r="R28" s="334" t="n"/>
      <c r="S28" s="302" t="n"/>
      <c r="T28" s="301" t="n"/>
      <c r="U28" s="334" t="n"/>
      <c r="V28" s="302" t="n"/>
      <c r="W28" s="301" t="n"/>
      <c r="X28" s="301" t="n"/>
      <c r="Y28" s="280" t="n"/>
      <c r="Z28" s="350">
        <f>IF(AND(R28&lt;&gt;"",V28&lt;&gt;"",W28&lt;&gt;""),"ENTREGADO","POR RECOGER")</f>
        <v/>
      </c>
      <c r="AA28" s="198" t="n"/>
      <c r="AB28" s="198" t="n"/>
      <c r="AC28" s="198" t="n"/>
    </row>
    <row r="29" ht="15.75" customHeight="1" s="195">
      <c r="A29" s="241" t="n">
        <v>24</v>
      </c>
      <c r="B29" s="305" t="n"/>
      <c r="C29" s="241" t="inlineStr">
        <is>
          <t>REGION</t>
        </is>
      </c>
      <c r="D29" s="305" t="n"/>
      <c r="E29" s="241" t="inlineStr">
        <is>
          <t>DNI</t>
        </is>
      </c>
      <c r="F29" s="241" t="n"/>
      <c r="G29" s="280" t="n"/>
      <c r="H29" s="241" t="n"/>
      <c r="I29" s="332">
        <f>IFERROR(VLOOKUP(TEXT(H29,"0"),IPRESS!$A$3:$B$212,2,0),"")</f>
        <v/>
      </c>
      <c r="J29" s="241" t="n"/>
      <c r="K29" s="332" t="n"/>
      <c r="L29" s="239" t="n">
        <v>17.95</v>
      </c>
      <c r="M29" s="239" t="n"/>
      <c r="N29" s="333">
        <f>IFERROR(IF(L29*M29=0,"",L29*M29),"")</f>
        <v/>
      </c>
      <c r="O29" s="241" t="n"/>
      <c r="P29" s="332">
        <f>IFERROR(VLOOKUP(TEXT(O29,"0"),CONDUCTORES!$A$3:$G$100,2,0),"")</f>
        <v/>
      </c>
      <c r="Q29" s="332">
        <f>IFERROR(VLOOKUP(TEXT(O29,"0"),CONDUCTORES!$A$3:$H$100,6,0),"")</f>
        <v/>
      </c>
      <c r="R29" s="280" t="n"/>
      <c r="S29" s="305" t="n"/>
      <c r="T29" s="241" t="n"/>
      <c r="U29" s="280" t="n"/>
      <c r="V29" s="305" t="n"/>
      <c r="W29" s="241" t="n"/>
      <c r="X29" s="241" t="n"/>
      <c r="Y29" s="280" t="n"/>
      <c r="Z29" s="350">
        <f>IF(AND(R29&lt;&gt;"",V29&lt;&gt;"",W29&lt;&gt;""),"ENTREGADO","POR RECOGER")</f>
        <v/>
      </c>
      <c r="AA29" s="198" t="n"/>
      <c r="AB29" s="198" t="n"/>
      <c r="AC29" s="198" t="n"/>
    </row>
    <row r="30" ht="15.75" customHeight="1" s="195">
      <c r="A30" s="301" t="n">
        <v>25</v>
      </c>
      <c r="B30" s="302" t="n"/>
      <c r="C30" s="301" t="inlineStr">
        <is>
          <t>REGION</t>
        </is>
      </c>
      <c r="D30" s="302" t="n"/>
      <c r="E30" s="301" t="inlineStr">
        <is>
          <t>DNI</t>
        </is>
      </c>
      <c r="F30" s="301" t="n"/>
      <c r="G30" s="334" t="n"/>
      <c r="H30" s="301" t="n"/>
      <c r="I30" s="332">
        <f>IFERROR(VLOOKUP(TEXT(H30,"0"),IPRESS!$A$3:$B$212,2,0),"")</f>
        <v/>
      </c>
      <c r="J30" s="301" t="n"/>
      <c r="K30" s="332" t="n"/>
      <c r="L30" s="245" t="n">
        <v>18.18</v>
      </c>
      <c r="M30" s="245" t="n"/>
      <c r="N30" s="333">
        <f>IFERROR(IF(L30*M30=0,"",L30*M30),"")</f>
        <v/>
      </c>
      <c r="O30" s="301" t="n"/>
      <c r="P30" s="332">
        <f>IFERROR(VLOOKUP(TEXT(O30,"0"),CONDUCTORES!$A$3:$G$100,2,0),"")</f>
        <v/>
      </c>
      <c r="Q30" s="332">
        <f>IFERROR(VLOOKUP(TEXT(O30,"0"),CONDUCTORES!$A$3:$H$100,6,0),"")</f>
        <v/>
      </c>
      <c r="R30" s="334" t="n"/>
      <c r="S30" s="302" t="n"/>
      <c r="T30" s="301" t="n"/>
      <c r="U30" s="334" t="n"/>
      <c r="V30" s="302" t="n"/>
      <c r="W30" s="301" t="n"/>
      <c r="X30" s="301" t="n"/>
      <c r="Y30" s="280" t="n"/>
      <c r="Z30" s="350">
        <f>IF(AND(R30&lt;&gt;"",V30&lt;&gt;"",W30&lt;&gt;""),"ENTREGADO","POR RECOGER")</f>
        <v/>
      </c>
      <c r="AA30" s="198" t="n"/>
      <c r="AB30" s="198" t="n"/>
      <c r="AC30" s="198" t="n"/>
    </row>
    <row r="31" ht="15.75" customHeight="1" s="195">
      <c r="A31" s="241" t="n">
        <v>26</v>
      </c>
      <c r="B31" s="305" t="n"/>
      <c r="C31" s="241" t="inlineStr">
        <is>
          <t>REGION</t>
        </is>
      </c>
      <c r="D31" s="305" t="n"/>
      <c r="E31" s="241" t="inlineStr">
        <is>
          <t>DNI</t>
        </is>
      </c>
      <c r="F31" s="241" t="n"/>
      <c r="G31" s="280" t="n"/>
      <c r="H31" s="241" t="n"/>
      <c r="I31" s="332">
        <f>IFERROR(VLOOKUP(TEXT(H31,"0"),IPRESS!$A$3:$B$212,2,0),"")</f>
        <v/>
      </c>
      <c r="J31" s="241" t="n"/>
      <c r="K31" s="332" t="n"/>
      <c r="L31" s="239" t="n">
        <v>18.18</v>
      </c>
      <c r="M31" s="239" t="n"/>
      <c r="N31" s="333">
        <f>IFERROR(IF(L31*M31=0,"",L31*M31),"")</f>
        <v/>
      </c>
      <c r="O31" s="241" t="n"/>
      <c r="P31" s="332">
        <f>IFERROR(VLOOKUP(TEXT(O31,"0"),CONDUCTORES!$A$3:$G$100,2,0),"")</f>
        <v/>
      </c>
      <c r="Q31" s="332">
        <f>IFERROR(VLOOKUP(TEXT(O31,"0"),CONDUCTORES!$A$3:$H$100,6,0),"")</f>
        <v/>
      </c>
      <c r="R31" s="280" t="n"/>
      <c r="S31" s="305" t="n"/>
      <c r="T31" s="241" t="n"/>
      <c r="U31" s="280" t="n"/>
      <c r="V31" s="305" t="n"/>
      <c r="W31" s="241" t="n"/>
      <c r="X31" s="241" t="n"/>
      <c r="Y31" s="280" t="n"/>
      <c r="Z31" s="350">
        <f>IF(AND(R31&lt;&gt;"",V31&lt;&gt;"",W31&lt;&gt;""),"ENTREGADO","POR RECOGER")</f>
        <v/>
      </c>
      <c r="AA31" s="198" t="n"/>
      <c r="AB31" s="198" t="n"/>
      <c r="AC31" s="198" t="n"/>
    </row>
    <row r="32" ht="15.75" customHeight="1" s="195">
      <c r="A32" s="301" t="n">
        <v>27</v>
      </c>
      <c r="B32" s="302" t="n"/>
      <c r="C32" s="301" t="inlineStr">
        <is>
          <t>REGION</t>
        </is>
      </c>
      <c r="D32" s="302" t="n"/>
      <c r="E32" s="301" t="inlineStr">
        <is>
          <t>DNI</t>
        </is>
      </c>
      <c r="F32" s="301" t="n"/>
      <c r="G32" s="334" t="n"/>
      <c r="H32" s="301" t="n"/>
      <c r="I32" s="332">
        <f>IFERROR(VLOOKUP(TEXT(H32,"0"),IPRESS!$A$3:$B$212,2,0),"")</f>
        <v/>
      </c>
      <c r="J32" s="301" t="n"/>
      <c r="K32" s="332" t="n"/>
      <c r="L32" s="245" t="n">
        <v>17.95</v>
      </c>
      <c r="M32" s="245" t="n"/>
      <c r="N32" s="333">
        <f>IFERROR(IF(L32*M32=0,"",L32*M32),"")</f>
        <v/>
      </c>
      <c r="O32" s="301" t="n"/>
      <c r="P32" s="332">
        <f>IFERROR(VLOOKUP(TEXT(O32,"0"),CONDUCTORES!$A$3:$G$100,2,0),"")</f>
        <v/>
      </c>
      <c r="Q32" s="332">
        <f>IFERROR(VLOOKUP(TEXT(O32,"0"),CONDUCTORES!$A$3:$H$100,6,0),"")</f>
        <v/>
      </c>
      <c r="R32" s="334" t="n"/>
      <c r="S32" s="302" t="n"/>
      <c r="T32" s="301" t="n"/>
      <c r="U32" s="334" t="n"/>
      <c r="V32" s="302" t="n"/>
      <c r="W32" s="301" t="n"/>
      <c r="X32" s="301" t="n"/>
      <c r="Y32" s="280" t="n"/>
      <c r="Z32" s="350">
        <f>IF(AND(R32&lt;&gt;"",V32&lt;&gt;"",W32&lt;&gt;""),"ENTREGADO","POR RECOGER")</f>
        <v/>
      </c>
      <c r="AA32" s="198" t="n"/>
      <c r="AB32" s="198" t="n"/>
      <c r="AC32" s="198" t="n"/>
    </row>
    <row r="33" ht="15.75" customHeight="1" s="195">
      <c r="A33" s="241" t="n">
        <v>28</v>
      </c>
      <c r="B33" s="305" t="n"/>
      <c r="C33" s="241" t="inlineStr">
        <is>
          <t>REGION</t>
        </is>
      </c>
      <c r="D33" s="305" t="n"/>
      <c r="E33" s="241" t="inlineStr">
        <is>
          <t>DNI</t>
        </is>
      </c>
      <c r="F33" s="241" t="n"/>
      <c r="G33" s="280" t="n"/>
      <c r="H33" s="241" t="n"/>
      <c r="I33" s="332">
        <f>IFERROR(VLOOKUP(TEXT(H33,"0"),IPRESS!$A$3:$B$212,2,0),"")</f>
        <v/>
      </c>
      <c r="J33" s="241" t="n"/>
      <c r="K33" s="332" t="n"/>
      <c r="L33" s="239" t="n">
        <v>18.18</v>
      </c>
      <c r="M33" s="239" t="n"/>
      <c r="N33" s="333">
        <f>IFERROR(IF(L33*M33=0,"",L33*M33),"")</f>
        <v/>
      </c>
      <c r="O33" s="241" t="n"/>
      <c r="P33" s="332">
        <f>IFERROR(VLOOKUP(TEXT(O33,"0"),CONDUCTORES!$A$3:$G$100,2,0),"")</f>
        <v/>
      </c>
      <c r="Q33" s="332">
        <f>IFERROR(VLOOKUP(TEXT(O33,"0"),CONDUCTORES!$A$3:$H$100,6,0),"")</f>
        <v/>
      </c>
      <c r="R33" s="280" t="n"/>
      <c r="S33" s="305" t="n"/>
      <c r="T33" s="241" t="n"/>
      <c r="U33" s="280" t="n"/>
      <c r="V33" s="305" t="n"/>
      <c r="W33" s="241" t="n"/>
      <c r="X33" s="241" t="n"/>
      <c r="Y33" s="280" t="n"/>
      <c r="Z33" s="350">
        <f>IF(AND(R33&lt;&gt;"",V33&lt;&gt;"",W33&lt;&gt;""),"ENTREGADO","POR RECOGER")</f>
        <v/>
      </c>
      <c r="AA33" s="198" t="n"/>
      <c r="AB33" s="198" t="n"/>
      <c r="AC33" s="198" t="n"/>
    </row>
    <row r="34" ht="15.75" customHeight="1" s="195">
      <c r="A34" s="301" t="n">
        <v>29</v>
      </c>
      <c r="B34" s="302" t="n"/>
      <c r="C34" s="301" t="inlineStr">
        <is>
          <t>REGION</t>
        </is>
      </c>
      <c r="D34" s="302" t="n"/>
      <c r="E34" s="301" t="inlineStr">
        <is>
          <t>DNI</t>
        </is>
      </c>
      <c r="F34" s="301" t="n"/>
      <c r="G34" s="334" t="n"/>
      <c r="H34" s="301" t="n"/>
      <c r="I34" s="332">
        <f>IFERROR(VLOOKUP(TEXT(H34,"0"),IPRESS!$A$3:$B$212,2,0),"")</f>
        <v/>
      </c>
      <c r="J34" s="301" t="n"/>
      <c r="K34" s="332" t="n"/>
      <c r="L34" s="245" t="n">
        <v>18.18</v>
      </c>
      <c r="M34" s="245" t="n"/>
      <c r="N34" s="333">
        <f>IFERROR(IF(L34*M34=0,"",L34*M34),"")</f>
        <v/>
      </c>
      <c r="O34" s="301" t="n"/>
      <c r="P34" s="332">
        <f>IFERROR(VLOOKUP(TEXT(O34,"0"),CONDUCTORES!$A$3:$G$100,2,0),"")</f>
        <v/>
      </c>
      <c r="Q34" s="332">
        <f>IFERROR(VLOOKUP(TEXT(O34,"0"),CONDUCTORES!$A$3:$H$100,6,0),"")</f>
        <v/>
      </c>
      <c r="R34" s="334" t="n"/>
      <c r="S34" s="302" t="n"/>
      <c r="T34" s="301" t="n"/>
      <c r="U34" s="334" t="n"/>
      <c r="V34" s="302" t="n"/>
      <c r="W34" s="301" t="n"/>
      <c r="X34" s="301" t="n"/>
      <c r="Y34" s="280" t="n"/>
      <c r="Z34" s="350">
        <f>IF(AND(R34&lt;&gt;"",V34&lt;&gt;"",W34&lt;&gt;""),"ENTREGADO","POR RECOGER")</f>
        <v/>
      </c>
      <c r="AA34" s="198" t="n"/>
      <c r="AB34" s="198" t="n"/>
      <c r="AC34" s="198" t="n"/>
    </row>
    <row r="35" ht="15.75" customHeight="1" s="195">
      <c r="A35" s="241" t="n">
        <v>30</v>
      </c>
      <c r="B35" s="305" t="n"/>
      <c r="C35" s="241" t="inlineStr">
        <is>
          <t>REGION</t>
        </is>
      </c>
      <c r="D35" s="305" t="n"/>
      <c r="E35" s="241" t="inlineStr">
        <is>
          <t>DNI</t>
        </is>
      </c>
      <c r="F35" s="241" t="n"/>
      <c r="G35" s="280" t="n"/>
      <c r="H35" s="241" t="n"/>
      <c r="I35" s="332">
        <f>IFERROR(VLOOKUP(TEXT(H35,"0"),IPRESS!$A$3:$B$212,2,0),"")</f>
        <v/>
      </c>
      <c r="J35" s="241" t="n"/>
      <c r="K35" s="332" t="n"/>
      <c r="L35" s="239" t="n">
        <v>18.18</v>
      </c>
      <c r="M35" s="239" t="n"/>
      <c r="N35" s="333">
        <f>IFERROR(IF(L35*M35=0,"",L35*M35),"")</f>
        <v/>
      </c>
      <c r="O35" s="241" t="n"/>
      <c r="P35" s="332">
        <f>IFERROR(VLOOKUP(TEXT(O35,"0"),CONDUCTORES!$A$3:$G$100,2,0),"")</f>
        <v/>
      </c>
      <c r="Q35" s="332">
        <f>IFERROR(VLOOKUP(TEXT(O35,"0"),CONDUCTORES!$A$3:$H$100,6,0),"")</f>
        <v/>
      </c>
      <c r="R35" s="280" t="n"/>
      <c r="S35" s="305" t="n"/>
      <c r="T35" s="241" t="n"/>
      <c r="U35" s="280" t="n"/>
      <c r="V35" s="305" t="n"/>
      <c r="W35" s="241" t="n"/>
      <c r="X35" s="241" t="n"/>
      <c r="Y35" s="280" t="n"/>
      <c r="Z35" s="350">
        <f>IF(AND(R35&lt;&gt;"",V35&lt;&gt;"",W35&lt;&gt;""),"ENTREGADO","POR RECOGER")</f>
        <v/>
      </c>
      <c r="AA35" s="198" t="n"/>
      <c r="AB35" s="198" t="n"/>
      <c r="AC35" s="198" t="n"/>
    </row>
    <row r="36" ht="15.75" customHeight="1" s="195">
      <c r="A36" s="301" t="n">
        <v>31</v>
      </c>
      <c r="B36" s="302" t="n"/>
      <c r="C36" s="301" t="inlineStr">
        <is>
          <t>REGION</t>
        </is>
      </c>
      <c r="D36" s="302" t="n"/>
      <c r="E36" s="301" t="inlineStr">
        <is>
          <t>DNI</t>
        </is>
      </c>
      <c r="F36" s="301" t="n"/>
      <c r="G36" s="334" t="n"/>
      <c r="H36" s="301" t="n"/>
      <c r="I36" s="332">
        <f>IFERROR(VLOOKUP(TEXT(H36,"0"),IPRESS!$A$3:$B$212,2,0),"")</f>
        <v/>
      </c>
      <c r="J36" s="301" t="n"/>
      <c r="K36" s="332" t="n"/>
      <c r="L36" s="245" t="n">
        <v>18.18</v>
      </c>
      <c r="M36" s="245" t="n"/>
      <c r="N36" s="333">
        <f>IFERROR(IF(L36*M36=0,"",L36*M36),"")</f>
        <v/>
      </c>
      <c r="O36" s="301" t="n"/>
      <c r="P36" s="332">
        <f>IFERROR(VLOOKUP(TEXT(O36,"0"),CONDUCTORES!$A$3:$G$100,2,0),"")</f>
        <v/>
      </c>
      <c r="Q36" s="332">
        <f>IFERROR(VLOOKUP(TEXT(O36,"0"),CONDUCTORES!$A$3:$H$100,6,0),"")</f>
        <v/>
      </c>
      <c r="R36" s="334" t="n"/>
      <c r="S36" s="302" t="n"/>
      <c r="T36" s="301" t="n"/>
      <c r="U36" s="334" t="n"/>
      <c r="V36" s="302" t="n"/>
      <c r="W36" s="301" t="n"/>
      <c r="X36" s="301" t="n"/>
      <c r="Y36" s="280" t="n"/>
      <c r="Z36" s="350">
        <f>IF(AND(R36&lt;&gt;"",V36&lt;&gt;"",W36&lt;&gt;""),"ENTREGADO","POR RECOGER")</f>
        <v/>
      </c>
      <c r="AA36" s="198" t="n"/>
      <c r="AB36" s="198" t="n"/>
      <c r="AC36" s="198" t="n"/>
    </row>
    <row r="37" ht="15.75" customHeight="1" s="195">
      <c r="A37" s="241" t="n">
        <v>32</v>
      </c>
      <c r="B37" s="305" t="n"/>
      <c r="C37" s="241" t="inlineStr">
        <is>
          <t>REGION</t>
        </is>
      </c>
      <c r="D37" s="305" t="n"/>
      <c r="E37" s="241" t="inlineStr">
        <is>
          <t>DNI</t>
        </is>
      </c>
      <c r="F37" s="241" t="n"/>
      <c r="G37" s="280" t="n"/>
      <c r="H37" s="241" t="n"/>
      <c r="I37" s="332">
        <f>IFERROR(VLOOKUP(TEXT(H37,"0"),IPRESS!$A$3:$B$212,2,0),"")</f>
        <v/>
      </c>
      <c r="J37" s="241" t="n"/>
      <c r="K37" s="332" t="n"/>
      <c r="L37" s="239" t="n">
        <v>18.18</v>
      </c>
      <c r="M37" s="239" t="n"/>
      <c r="N37" s="333">
        <f>IFERROR(IF(L37*M37=0,"",L37*M37),"")</f>
        <v/>
      </c>
      <c r="O37" s="241" t="n"/>
      <c r="P37" s="332">
        <f>IFERROR(VLOOKUP(TEXT(O37,"0"),CONDUCTORES!$A$3:$G$100,2,0),"")</f>
        <v/>
      </c>
      <c r="Q37" s="332">
        <f>IFERROR(VLOOKUP(TEXT(O37,"0"),CONDUCTORES!$A$3:$H$100,6,0),"")</f>
        <v/>
      </c>
      <c r="R37" s="280" t="n"/>
      <c r="S37" s="305" t="n"/>
      <c r="T37" s="241" t="n"/>
      <c r="U37" s="280" t="n"/>
      <c r="V37" s="305" t="n"/>
      <c r="W37" s="241" t="n"/>
      <c r="X37" s="241" t="n"/>
      <c r="Y37" s="280" t="n"/>
      <c r="Z37" s="350">
        <f>IF(AND(R37&lt;&gt;"",V37&lt;&gt;"",W37&lt;&gt;""),"ENTREGADO","POR RECOGER")</f>
        <v/>
      </c>
      <c r="AA37" s="198" t="n"/>
      <c r="AB37" s="198" t="n"/>
      <c r="AC37" s="198" t="n"/>
    </row>
    <row r="38" ht="15.75" customHeight="1" s="195">
      <c r="A38" s="301" t="n">
        <v>33</v>
      </c>
      <c r="B38" s="302" t="n"/>
      <c r="C38" s="301" t="inlineStr">
        <is>
          <t>REGION</t>
        </is>
      </c>
      <c r="D38" s="302" t="n"/>
      <c r="E38" s="301" t="inlineStr">
        <is>
          <t>DNI</t>
        </is>
      </c>
      <c r="F38" s="301" t="n"/>
      <c r="G38" s="334" t="n"/>
      <c r="H38" s="301" t="n"/>
      <c r="I38" s="332">
        <f>IFERROR(VLOOKUP(TEXT(H38,"0"),IPRESS!$A$3:$B$212,2,0),"")</f>
        <v/>
      </c>
      <c r="J38" s="301" t="n"/>
      <c r="K38" s="332" t="n"/>
      <c r="L38" s="245" t="n">
        <v>18.18</v>
      </c>
      <c r="M38" s="245" t="n"/>
      <c r="N38" s="333">
        <f>IFERROR(IF(L38*M38=0,"",L38*M38),"")</f>
        <v/>
      </c>
      <c r="O38" s="301" t="n"/>
      <c r="P38" s="332">
        <f>IFERROR(VLOOKUP(TEXT(O38,"0"),CONDUCTORES!$A$3:$G$100,2,0),"")</f>
        <v/>
      </c>
      <c r="Q38" s="332">
        <f>IFERROR(VLOOKUP(TEXT(O38,"0"),CONDUCTORES!$A$3:$H$100,6,0),"")</f>
        <v/>
      </c>
      <c r="R38" s="334" t="n"/>
      <c r="S38" s="302" t="n"/>
      <c r="T38" s="301" t="n"/>
      <c r="U38" s="334" t="n"/>
      <c r="V38" s="302" t="n"/>
      <c r="W38" s="301" t="n"/>
      <c r="X38" s="301" t="n"/>
      <c r="Y38" s="280" t="n"/>
      <c r="Z38" s="350">
        <f>IF(AND(R38&lt;&gt;"",V38&lt;&gt;"",W38&lt;&gt;""),"ENTREGADO","POR RECOGER")</f>
        <v/>
      </c>
      <c r="AA38" s="198" t="n"/>
      <c r="AB38" s="198" t="n"/>
      <c r="AC38" s="198" t="n"/>
    </row>
    <row r="39" ht="15.75" customHeight="1" s="195">
      <c r="A39" s="241" t="n">
        <v>34</v>
      </c>
      <c r="B39" s="305" t="n"/>
      <c r="C39" s="241" t="inlineStr">
        <is>
          <t>REGION</t>
        </is>
      </c>
      <c r="D39" s="305" t="n"/>
      <c r="E39" s="241" t="inlineStr">
        <is>
          <t>DNI</t>
        </is>
      </c>
      <c r="F39" s="241" t="n"/>
      <c r="G39" s="280" t="n"/>
      <c r="H39" s="241" t="n"/>
      <c r="I39" s="332">
        <f>IFERROR(VLOOKUP(TEXT(H39,"0"),IPRESS!$A$3:$B$212,2,0),"")</f>
        <v/>
      </c>
      <c r="J39" s="241" t="n"/>
      <c r="K39" s="332" t="n"/>
      <c r="L39" s="239" t="n">
        <v>18.18</v>
      </c>
      <c r="M39" s="239" t="n"/>
      <c r="N39" s="333">
        <f>IFERROR(IF(L39*M39=0,"",L39*M39),"")</f>
        <v/>
      </c>
      <c r="O39" s="241" t="n"/>
      <c r="P39" s="332">
        <f>IFERROR(VLOOKUP(TEXT(O39,"0"),CONDUCTORES!$A$3:$G$100,2,0),"")</f>
        <v/>
      </c>
      <c r="Q39" s="332">
        <f>IFERROR(VLOOKUP(TEXT(O39,"0"),CONDUCTORES!$A$3:$H$100,6,0),"")</f>
        <v/>
      </c>
      <c r="R39" s="280" t="n"/>
      <c r="S39" s="305" t="n"/>
      <c r="T39" s="241" t="n"/>
      <c r="U39" s="280" t="n"/>
      <c r="V39" s="305" t="n"/>
      <c r="W39" s="241" t="n"/>
      <c r="X39" s="241" t="n"/>
      <c r="Y39" s="280" t="n"/>
      <c r="Z39" s="350">
        <f>IF(AND(R39&lt;&gt;"",V39&lt;&gt;"",W39&lt;&gt;""),"ENTREGADO","POR RECOGER")</f>
        <v/>
      </c>
      <c r="AA39" s="198" t="n"/>
      <c r="AB39" s="198" t="n"/>
      <c r="AC39" s="198" t="n"/>
    </row>
    <row r="40" ht="15.75" customHeight="1" s="195">
      <c r="A40" s="301" t="n">
        <v>35</v>
      </c>
      <c r="B40" s="302" t="n"/>
      <c r="C40" s="301" t="inlineStr">
        <is>
          <t>REGION</t>
        </is>
      </c>
      <c r="D40" s="302" t="n"/>
      <c r="E40" s="301" t="inlineStr">
        <is>
          <t>DNI</t>
        </is>
      </c>
      <c r="F40" s="301" t="n"/>
      <c r="G40" s="334" t="n"/>
      <c r="H40" s="301" t="n"/>
      <c r="I40" s="332">
        <f>IFERROR(VLOOKUP(TEXT(H40,"0"),IPRESS!$A$3:$B$212,2,0),"")</f>
        <v/>
      </c>
      <c r="J40" s="301" t="n"/>
      <c r="K40" s="332" t="n"/>
      <c r="L40" s="245" t="n">
        <v>18.18</v>
      </c>
      <c r="M40" s="245" t="n"/>
      <c r="N40" s="333">
        <f>IFERROR(IF(L40*M40=0,"",L40*M40),"")</f>
        <v/>
      </c>
      <c r="O40" s="301" t="n"/>
      <c r="P40" s="332">
        <f>IFERROR(VLOOKUP(TEXT(O40,"0"),CONDUCTORES!$A$3:$G$100,2,0),"")</f>
        <v/>
      </c>
      <c r="Q40" s="332">
        <f>IFERROR(VLOOKUP(TEXT(O40,"0"),CONDUCTORES!$A$3:$H$100,6,0),"")</f>
        <v/>
      </c>
      <c r="R40" s="334" t="n"/>
      <c r="S40" s="302" t="n"/>
      <c r="T40" s="301" t="n"/>
      <c r="U40" s="334" t="n"/>
      <c r="V40" s="302" t="n"/>
      <c r="W40" s="301" t="n"/>
      <c r="X40" s="301" t="n"/>
      <c r="Y40" s="280" t="n"/>
      <c r="Z40" s="350">
        <f>IF(AND(R40&lt;&gt;"",V40&lt;&gt;"",W40&lt;&gt;""),"ENTREGADO","POR RECOGER")</f>
        <v/>
      </c>
      <c r="AA40" s="198" t="n"/>
      <c r="AB40" s="198" t="n"/>
      <c r="AC40" s="198" t="n"/>
    </row>
    <row r="41" ht="15.75" customHeight="1" s="195">
      <c r="A41" s="241" t="n">
        <v>36</v>
      </c>
      <c r="B41" s="305" t="n"/>
      <c r="C41" s="241" t="inlineStr">
        <is>
          <t>REGION</t>
        </is>
      </c>
      <c r="D41" s="305" t="n"/>
      <c r="E41" s="241" t="inlineStr">
        <is>
          <t>DNI</t>
        </is>
      </c>
      <c r="F41" s="241" t="n"/>
      <c r="G41" s="280" t="n"/>
      <c r="H41" s="241" t="n"/>
      <c r="I41" s="332">
        <f>IFERROR(VLOOKUP(TEXT(H41,"0"),IPRESS!$A$3:$B$212,2,0),"")</f>
        <v/>
      </c>
      <c r="J41" s="241" t="n"/>
      <c r="K41" s="332" t="n"/>
      <c r="L41" s="239" t="n">
        <v>18.18</v>
      </c>
      <c r="M41" s="239" t="n"/>
      <c r="N41" s="333">
        <f>IFERROR(IF(L41*M41=0,"",L41*M41),"")</f>
        <v/>
      </c>
      <c r="O41" s="241" t="n"/>
      <c r="P41" s="332">
        <f>IFERROR(VLOOKUP(TEXT(O41,"0"),CONDUCTORES!$A$3:$G$100,2,0),"")</f>
        <v/>
      </c>
      <c r="Q41" s="332">
        <f>IFERROR(VLOOKUP(TEXT(O41,"0"),CONDUCTORES!$A$3:$H$100,6,0),"")</f>
        <v/>
      </c>
      <c r="R41" s="280" t="n"/>
      <c r="S41" s="305" t="n"/>
      <c r="T41" s="241" t="n"/>
      <c r="U41" s="280" t="n"/>
      <c r="V41" s="305" t="n"/>
      <c r="W41" s="241" t="n"/>
      <c r="X41" s="241" t="n"/>
      <c r="Y41" s="280" t="n"/>
      <c r="Z41" s="350">
        <f>IF(AND(R41&lt;&gt;"",V41&lt;&gt;"",W41&lt;&gt;""),"ENTREGADO","POR RECOGER")</f>
        <v/>
      </c>
      <c r="AA41" s="198" t="n"/>
      <c r="AB41" s="198" t="n"/>
      <c r="AC41" s="198" t="n"/>
    </row>
    <row r="42" ht="15.75" customHeight="1" s="195">
      <c r="A42" s="301" t="n">
        <v>37</v>
      </c>
      <c r="B42" s="302" t="n"/>
      <c r="C42" s="301" t="inlineStr">
        <is>
          <t>REGION</t>
        </is>
      </c>
      <c r="D42" s="302" t="n"/>
      <c r="E42" s="301" t="inlineStr">
        <is>
          <t>DNI</t>
        </is>
      </c>
      <c r="F42" s="301" t="n"/>
      <c r="G42" s="334" t="n"/>
      <c r="H42" s="301" t="n"/>
      <c r="I42" s="332">
        <f>IFERROR(VLOOKUP(TEXT(H42,"0"),IPRESS!$A$3:$B$212,2,0),"")</f>
        <v/>
      </c>
      <c r="J42" s="301" t="n"/>
      <c r="K42" s="332" t="n"/>
      <c r="L42" s="245" t="n">
        <v>18.18</v>
      </c>
      <c r="M42" s="245" t="n"/>
      <c r="N42" s="333">
        <f>IFERROR(IF(L42*M42=0,"",L42*M42),"")</f>
        <v/>
      </c>
      <c r="O42" s="301" t="n"/>
      <c r="P42" s="332">
        <f>IFERROR(VLOOKUP(TEXT(O42,"0"),CONDUCTORES!$A$3:$G$100,2,0),"")</f>
        <v/>
      </c>
      <c r="Q42" s="332">
        <f>IFERROR(VLOOKUP(TEXT(O42,"0"),CONDUCTORES!$A$3:$H$100,6,0),"")</f>
        <v/>
      </c>
      <c r="R42" s="334" t="n"/>
      <c r="S42" s="302" t="n"/>
      <c r="T42" s="301" t="n"/>
      <c r="U42" s="334" t="n"/>
      <c r="V42" s="302" t="n"/>
      <c r="W42" s="301" t="n"/>
      <c r="X42" s="301" t="n"/>
      <c r="Y42" s="280" t="n"/>
      <c r="Z42" s="350">
        <f>IF(AND(R42&lt;&gt;"",V42&lt;&gt;"",W42&lt;&gt;""),"ENTREGADO","POR RECOGER")</f>
        <v/>
      </c>
      <c r="AA42" s="198" t="n"/>
      <c r="AB42" s="198" t="n"/>
      <c r="AC42" s="198" t="n"/>
    </row>
    <row r="43" ht="15.75" customHeight="1" s="195">
      <c r="A43" s="241" t="n">
        <v>38</v>
      </c>
      <c r="B43" s="305" t="n"/>
      <c r="C43" s="241" t="inlineStr">
        <is>
          <t>REGION</t>
        </is>
      </c>
      <c r="D43" s="305" t="n"/>
      <c r="E43" s="241" t="inlineStr">
        <is>
          <t>DNI</t>
        </is>
      </c>
      <c r="F43" s="241" t="n"/>
      <c r="G43" s="280" t="n"/>
      <c r="H43" s="241" t="n"/>
      <c r="I43" s="332">
        <f>IFERROR(VLOOKUP(TEXT(H43,"0"),IPRESS!$A$3:$B$212,2,0),"")</f>
        <v/>
      </c>
      <c r="J43" s="241" t="n"/>
      <c r="K43" s="332" t="n"/>
      <c r="L43" s="239" t="n">
        <v>18.18</v>
      </c>
      <c r="M43" s="239" t="n"/>
      <c r="N43" s="333">
        <f>IFERROR(IF(L43*M43=0,"",L43*M43),"")</f>
        <v/>
      </c>
      <c r="O43" s="241" t="n"/>
      <c r="P43" s="332">
        <f>IFERROR(VLOOKUP(TEXT(O43,"0"),CONDUCTORES!$A$3:$G$100,2,0),"")</f>
        <v/>
      </c>
      <c r="Q43" s="332">
        <f>IFERROR(VLOOKUP(TEXT(O43,"0"),CONDUCTORES!$A$3:$H$100,6,0),"")</f>
        <v/>
      </c>
      <c r="R43" s="280" t="n"/>
      <c r="S43" s="305" t="n"/>
      <c r="T43" s="241" t="n"/>
      <c r="U43" s="280" t="n"/>
      <c r="V43" s="305" t="n"/>
      <c r="W43" s="241" t="n"/>
      <c r="X43" s="241" t="n"/>
      <c r="Y43" s="280" t="n"/>
      <c r="Z43" s="350">
        <f>IF(AND(R43&lt;&gt;"",V43&lt;&gt;"",W43&lt;&gt;""),"ENTREGADO","POR RECOGER")</f>
        <v/>
      </c>
      <c r="AA43" s="198" t="n"/>
      <c r="AB43" s="198" t="n"/>
      <c r="AC43" s="198" t="n"/>
    </row>
    <row r="44" ht="15.75" customHeight="1" s="195">
      <c r="A44" s="301" t="n">
        <v>39</v>
      </c>
      <c r="B44" s="302" t="n"/>
      <c r="C44" s="301" t="inlineStr">
        <is>
          <t>REGION</t>
        </is>
      </c>
      <c r="D44" s="302" t="n"/>
      <c r="E44" s="301" t="inlineStr">
        <is>
          <t>DNI</t>
        </is>
      </c>
      <c r="F44" s="301" t="n"/>
      <c r="G44" s="334" t="n"/>
      <c r="H44" s="301" t="n"/>
      <c r="I44" s="332">
        <f>IFERROR(VLOOKUP(TEXT(H44,"0"),IPRESS!$A$3:$B$212,2,0),"")</f>
        <v/>
      </c>
      <c r="J44" s="301" t="n"/>
      <c r="K44" s="332" t="n"/>
      <c r="L44" s="245" t="n">
        <v>20.25</v>
      </c>
      <c r="M44" s="245" t="n"/>
      <c r="N44" s="333">
        <f>IFERROR(IF(L44*M44=0,"",L44*M44),"")</f>
        <v/>
      </c>
      <c r="O44" s="301" t="n"/>
      <c r="P44" s="332">
        <f>IFERROR(VLOOKUP(TEXT(O44,"0"),CONDUCTORES!$A$3:$G$100,2,0),"")</f>
        <v/>
      </c>
      <c r="Q44" s="332">
        <f>IFERROR(VLOOKUP(TEXT(O44,"0"),CONDUCTORES!$A$3:$H$100,6,0),"")</f>
        <v/>
      </c>
      <c r="R44" s="334" t="n"/>
      <c r="S44" s="302" t="n"/>
      <c r="T44" s="301" t="n"/>
      <c r="U44" s="334" t="n"/>
      <c r="V44" s="302" t="n"/>
      <c r="W44" s="301" t="n"/>
      <c r="X44" s="301" t="n"/>
      <c r="Y44" s="280" t="n"/>
      <c r="Z44" s="350">
        <f>IF(AND(R44&lt;&gt;"",V44&lt;&gt;"",W44&lt;&gt;""),"ENTREGADO","POR RECOGER")</f>
        <v/>
      </c>
      <c r="AA44" s="198" t="n"/>
      <c r="AB44" s="198" t="n"/>
      <c r="AC44" s="198" t="n"/>
    </row>
    <row r="45" ht="15.75" customHeight="1" s="195">
      <c r="A45" s="241" t="n">
        <v>40</v>
      </c>
      <c r="B45" s="305" t="n"/>
      <c r="C45" s="241" t="inlineStr">
        <is>
          <t>REGION</t>
        </is>
      </c>
      <c r="D45" s="305" t="n"/>
      <c r="E45" s="241" t="inlineStr">
        <is>
          <t>DNI</t>
        </is>
      </c>
      <c r="F45" s="241" t="n"/>
      <c r="G45" s="280" t="n"/>
      <c r="H45" s="241" t="n"/>
      <c r="I45" s="332">
        <f>IFERROR(VLOOKUP(TEXT(H45,"0"),IPRESS!$A$3:$B$212,2,0),"")</f>
        <v/>
      </c>
      <c r="J45" s="241" t="n"/>
      <c r="K45" s="332" t="n"/>
      <c r="L45" s="239" t="n">
        <v>20.25</v>
      </c>
      <c r="M45" s="239" t="n"/>
      <c r="N45" s="333">
        <f>IFERROR(IF(L45*M45=0,"",L45*M45),"")</f>
        <v/>
      </c>
      <c r="O45" s="241" t="n"/>
      <c r="P45" s="332">
        <f>IFERROR(VLOOKUP(TEXT(O45,"0"),CONDUCTORES!$A$3:$G$100,2,0),"")</f>
        <v/>
      </c>
      <c r="Q45" s="332">
        <f>IFERROR(VLOOKUP(TEXT(O45,"0"),CONDUCTORES!$A$3:$H$100,6,0),"")</f>
        <v/>
      </c>
      <c r="R45" s="280" t="n"/>
      <c r="S45" s="305" t="n"/>
      <c r="T45" s="241" t="n"/>
      <c r="U45" s="280" t="n"/>
      <c r="V45" s="305" t="n"/>
      <c r="W45" s="241" t="n"/>
      <c r="X45" s="241" t="n"/>
      <c r="Y45" s="280" t="n"/>
      <c r="Z45" s="350">
        <f>IF(AND(R45&lt;&gt;"",V45&lt;&gt;"",W45&lt;&gt;""),"ENTREGADO","POR RECOGER")</f>
        <v/>
      </c>
      <c r="AA45" s="198" t="n"/>
      <c r="AB45" s="198" t="n"/>
      <c r="AC45" s="198" t="n"/>
    </row>
    <row r="46" ht="15.75" customHeight="1" s="195">
      <c r="A46" s="301" t="n">
        <v>41</v>
      </c>
      <c r="B46" s="302" t="n"/>
      <c r="C46" s="301" t="inlineStr">
        <is>
          <t>REGION</t>
        </is>
      </c>
      <c r="D46" s="302" t="n"/>
      <c r="E46" s="301" t="inlineStr">
        <is>
          <t>DNI</t>
        </is>
      </c>
      <c r="F46" s="301" t="n"/>
      <c r="G46" s="334" t="n"/>
      <c r="H46" s="301" t="n"/>
      <c r="I46" s="332">
        <f>IFERROR(VLOOKUP(TEXT(H46,"0"),IPRESS!$A$3:$B$212,2,0),"")</f>
        <v/>
      </c>
      <c r="J46" s="301" t="n"/>
      <c r="K46" s="332" t="n"/>
      <c r="L46" s="245" t="n">
        <v>20.25</v>
      </c>
      <c r="M46" s="245" t="n"/>
      <c r="N46" s="333">
        <f>IFERROR(IF(L46*M46=0,"",L46*M46),"")</f>
        <v/>
      </c>
      <c r="O46" s="301" t="n"/>
      <c r="P46" s="332">
        <f>IFERROR(VLOOKUP(TEXT(O46,"0"),CONDUCTORES!$A$3:$G$100,2,0),"")</f>
        <v/>
      </c>
      <c r="Q46" s="332">
        <f>IFERROR(VLOOKUP(TEXT(O46,"0"),CONDUCTORES!$A$3:$H$100,6,0),"")</f>
        <v/>
      </c>
      <c r="R46" s="334" t="n"/>
      <c r="S46" s="302" t="n"/>
      <c r="T46" s="301" t="n"/>
      <c r="U46" s="334" t="n"/>
      <c r="V46" s="302" t="n"/>
      <c r="W46" s="301" t="n"/>
      <c r="X46" s="301" t="n"/>
      <c r="Y46" s="280" t="n"/>
      <c r="Z46" s="350">
        <f>IF(AND(R46&lt;&gt;"",V46&lt;&gt;"",W46&lt;&gt;""),"ENTREGADO","POR RECOGER")</f>
        <v/>
      </c>
      <c r="AA46" s="198" t="n"/>
      <c r="AB46" s="198" t="n"/>
      <c r="AC46" s="198" t="n"/>
    </row>
    <row r="47" ht="15.75" customHeight="1" s="195">
      <c r="A47" s="241" t="n">
        <v>42</v>
      </c>
      <c r="B47" s="305" t="n"/>
      <c r="C47" s="241" t="inlineStr">
        <is>
          <t>REGION</t>
        </is>
      </c>
      <c r="D47" s="305" t="n"/>
      <c r="E47" s="241" t="inlineStr">
        <is>
          <t>DNI</t>
        </is>
      </c>
      <c r="F47" s="241" t="n"/>
      <c r="G47" s="280" t="n"/>
      <c r="H47" s="241" t="n"/>
      <c r="I47" s="332">
        <f>IFERROR(VLOOKUP(TEXT(H47,"0"),IPRESS!$A$3:$B$212,2,0),"")</f>
        <v/>
      </c>
      <c r="J47" s="241" t="n"/>
      <c r="K47" s="332" t="n"/>
      <c r="L47" s="239" t="n">
        <v>20.25</v>
      </c>
      <c r="M47" s="239" t="n"/>
      <c r="N47" s="333">
        <f>IFERROR(IF(L47*M47=0,"",L47*M47),"")</f>
        <v/>
      </c>
      <c r="O47" s="241" t="n"/>
      <c r="P47" s="332">
        <f>IFERROR(VLOOKUP(TEXT(O47,"0"),CONDUCTORES!$A$3:$G$100,2,0),"")</f>
        <v/>
      </c>
      <c r="Q47" s="332">
        <f>IFERROR(VLOOKUP(TEXT(O47,"0"),CONDUCTORES!$A$3:$H$100,6,0),"")</f>
        <v/>
      </c>
      <c r="R47" s="280" t="n"/>
      <c r="S47" s="305" t="n"/>
      <c r="T47" s="241" t="n"/>
      <c r="U47" s="280" t="n"/>
      <c r="V47" s="305" t="n"/>
      <c r="W47" s="241" t="n"/>
      <c r="X47" s="241" t="n"/>
      <c r="Y47" s="280" t="n"/>
      <c r="Z47" s="350">
        <f>IF(AND(R47&lt;&gt;"",V47&lt;&gt;"",W47&lt;&gt;""),"ENTREGADO","POR RECOGER")</f>
        <v/>
      </c>
      <c r="AA47" s="198" t="n"/>
      <c r="AB47" s="198" t="n"/>
      <c r="AC47" s="198" t="n"/>
    </row>
    <row r="48" ht="15.75" customHeight="1" s="195">
      <c r="A48" s="301" t="n">
        <v>43</v>
      </c>
      <c r="B48" s="302" t="n"/>
      <c r="C48" s="301" t="inlineStr">
        <is>
          <t>REGION</t>
        </is>
      </c>
      <c r="D48" s="302" t="n"/>
      <c r="E48" s="301" t="inlineStr">
        <is>
          <t>DNI</t>
        </is>
      </c>
      <c r="F48" s="301" t="n"/>
      <c r="G48" s="334" t="n"/>
      <c r="H48" s="301" t="n"/>
      <c r="I48" s="332">
        <f>IFERROR(VLOOKUP(TEXT(H48,"0"),IPRESS!$A$3:$B$212,2,0),"")</f>
        <v/>
      </c>
      <c r="J48" s="301" t="n"/>
      <c r="K48" s="332" t="n"/>
      <c r="L48" s="245" t="n">
        <v>20.25</v>
      </c>
      <c r="M48" s="245" t="n"/>
      <c r="N48" s="333">
        <f>IFERROR(IF(L48*M48=0,"",L48*M48),"")</f>
        <v/>
      </c>
      <c r="O48" s="301" t="n"/>
      <c r="P48" s="332">
        <f>IFERROR(VLOOKUP(TEXT(O48,"0"),CONDUCTORES!$A$3:$G$100,2,0),"")</f>
        <v/>
      </c>
      <c r="Q48" s="332">
        <f>IFERROR(VLOOKUP(TEXT(O48,"0"),CONDUCTORES!$A$3:$H$100,6,0),"")</f>
        <v/>
      </c>
      <c r="R48" s="334" t="n"/>
      <c r="S48" s="302" t="n"/>
      <c r="T48" s="301" t="n"/>
      <c r="U48" s="334" t="n"/>
      <c r="V48" s="302" t="n"/>
      <c r="W48" s="301" t="n"/>
      <c r="X48" s="301" t="n"/>
      <c r="Y48" s="280" t="n"/>
      <c r="Z48" s="350">
        <f>IF(AND(R48&lt;&gt;"",V48&lt;&gt;"",W48&lt;&gt;""),"ENTREGADO","POR RECOGER")</f>
        <v/>
      </c>
      <c r="AA48" s="198" t="n"/>
      <c r="AB48" s="198" t="n"/>
      <c r="AC48" s="198" t="n"/>
    </row>
    <row r="49" ht="15.75" customHeight="1" s="195">
      <c r="A49" s="241" t="n">
        <v>44</v>
      </c>
      <c r="B49" s="305" t="n"/>
      <c r="C49" s="241" t="inlineStr">
        <is>
          <t>REGION</t>
        </is>
      </c>
      <c r="D49" s="305" t="n"/>
      <c r="E49" s="241" t="inlineStr">
        <is>
          <t>DNI</t>
        </is>
      </c>
      <c r="F49" s="241" t="n"/>
      <c r="G49" s="280" t="n"/>
      <c r="H49" s="241" t="n"/>
      <c r="I49" s="332">
        <f>IFERROR(VLOOKUP(TEXT(H49,"0"),IPRESS!$A$3:$B$212,2,0),"")</f>
        <v/>
      </c>
      <c r="J49" s="241" t="n"/>
      <c r="K49" s="332" t="n"/>
      <c r="L49" s="239" t="n">
        <v>18.18</v>
      </c>
      <c r="M49" s="239" t="n"/>
      <c r="N49" s="333">
        <f>IFERROR(IF(L49*M49=0,"",L49*M49),"")</f>
        <v/>
      </c>
      <c r="O49" s="241" t="n"/>
      <c r="P49" s="332">
        <f>IFERROR(VLOOKUP(TEXT(O49,"0"),CONDUCTORES!$A$3:$G$100,2,0),"")</f>
        <v/>
      </c>
      <c r="Q49" s="332">
        <f>IFERROR(VLOOKUP(TEXT(O49,"0"),CONDUCTORES!$A$3:$H$100,6,0),"")</f>
        <v/>
      </c>
      <c r="R49" s="280" t="n"/>
      <c r="S49" s="305" t="n"/>
      <c r="T49" s="241" t="n"/>
      <c r="U49" s="280" t="n"/>
      <c r="V49" s="305" t="n"/>
      <c r="W49" s="241" t="n"/>
      <c r="X49" s="241" t="n"/>
      <c r="Y49" s="280" t="n"/>
      <c r="Z49" s="350">
        <f>IF(AND(R49&lt;&gt;"",V49&lt;&gt;"",W49&lt;&gt;""),"ENTREGADO","POR RECOGER")</f>
        <v/>
      </c>
      <c r="AA49" s="198" t="n"/>
      <c r="AB49" s="198" t="n"/>
      <c r="AC49" s="198" t="n"/>
    </row>
    <row r="50" ht="15.75" customHeight="1" s="195">
      <c r="A50" s="301" t="n">
        <v>45</v>
      </c>
      <c r="B50" s="302" t="n"/>
      <c r="C50" s="301" t="inlineStr">
        <is>
          <t>REGION</t>
        </is>
      </c>
      <c r="D50" s="302" t="n"/>
      <c r="E50" s="301" t="inlineStr">
        <is>
          <t>DNI</t>
        </is>
      </c>
      <c r="F50" s="301" t="n"/>
      <c r="G50" s="334" t="n"/>
      <c r="H50" s="301" t="n"/>
      <c r="I50" s="332">
        <f>IFERROR(VLOOKUP(TEXT(H50,"0"),IPRESS!$A$3:$B$212,2,0),"")</f>
        <v/>
      </c>
      <c r="J50" s="301" t="n"/>
      <c r="K50" s="332" t="n"/>
      <c r="L50" s="245" t="n">
        <v>18.18</v>
      </c>
      <c r="M50" s="245" t="n"/>
      <c r="N50" s="333">
        <f>IFERROR(IF(L50*M50=0,"",L50*M50),"")</f>
        <v/>
      </c>
      <c r="O50" s="301" t="n"/>
      <c r="P50" s="332">
        <f>IFERROR(VLOOKUP(TEXT(O50,"0"),CONDUCTORES!$A$3:$G$100,2,0),"")</f>
        <v/>
      </c>
      <c r="Q50" s="332">
        <f>IFERROR(VLOOKUP(TEXT(O50,"0"),CONDUCTORES!$A$3:$H$100,6,0),"")</f>
        <v/>
      </c>
      <c r="R50" s="334" t="n"/>
      <c r="S50" s="302" t="n"/>
      <c r="T50" s="301" t="n"/>
      <c r="U50" s="334" t="n"/>
      <c r="V50" s="302" t="n"/>
      <c r="W50" s="301" t="n"/>
      <c r="X50" s="301" t="n"/>
      <c r="Y50" s="280" t="n"/>
      <c r="Z50" s="350">
        <f>IF(AND(R50&lt;&gt;"",V50&lt;&gt;"",W50&lt;&gt;""),"ENTREGADO","POR RECOGER")</f>
        <v/>
      </c>
      <c r="AA50" s="198" t="n"/>
      <c r="AB50" s="198" t="n"/>
      <c r="AC50" s="198" t="n"/>
    </row>
    <row r="51" ht="15.75" customHeight="1" s="195">
      <c r="A51" s="241" t="n">
        <v>46</v>
      </c>
      <c r="B51" s="305" t="n"/>
      <c r="C51" s="241" t="inlineStr">
        <is>
          <t>REGION</t>
        </is>
      </c>
      <c r="D51" s="305" t="n"/>
      <c r="E51" s="241" t="inlineStr">
        <is>
          <t>DNI</t>
        </is>
      </c>
      <c r="F51" s="241" t="n"/>
      <c r="G51" s="280" t="n"/>
      <c r="H51" s="241" t="n"/>
      <c r="I51" s="332">
        <f>IFERROR(VLOOKUP(TEXT(H51,"0"),IPRESS!$A$3:$B$212,2,0),"")</f>
        <v/>
      </c>
      <c r="J51" s="241" t="n"/>
      <c r="K51" s="332" t="n"/>
      <c r="L51" s="239" t="n">
        <v>18.18</v>
      </c>
      <c r="M51" s="239" t="n"/>
      <c r="N51" s="333">
        <f>IFERROR(IF(L51*M51=0,"",L51*M51),"")</f>
        <v/>
      </c>
      <c r="O51" s="241" t="n"/>
      <c r="P51" s="332">
        <f>IFERROR(VLOOKUP(TEXT(O51,"0"),CONDUCTORES!$A$3:$G$100,2,0),"")</f>
        <v/>
      </c>
      <c r="Q51" s="332">
        <f>IFERROR(VLOOKUP(TEXT(O51,"0"),CONDUCTORES!$A$3:$H$100,6,0),"")</f>
        <v/>
      </c>
      <c r="R51" s="280" t="n"/>
      <c r="S51" s="305" t="n"/>
      <c r="T51" s="241" t="n"/>
      <c r="U51" s="280" t="n"/>
      <c r="V51" s="305" t="n"/>
      <c r="W51" s="241" t="n"/>
      <c r="X51" s="241" t="n"/>
      <c r="Y51" s="280" t="n"/>
      <c r="Z51" s="350">
        <f>IF(AND(R51&lt;&gt;"",V51&lt;&gt;"",W51&lt;&gt;""),"ENTREGADO","POR RECOGER")</f>
        <v/>
      </c>
      <c r="AA51" s="198" t="n"/>
      <c r="AB51" s="198" t="n"/>
      <c r="AC51" s="198" t="n"/>
    </row>
    <row r="52" ht="15.75" customHeight="1" s="195">
      <c r="A52" s="301" t="n">
        <v>47</v>
      </c>
      <c r="B52" s="302" t="n"/>
      <c r="C52" s="301" t="inlineStr">
        <is>
          <t>REGION</t>
        </is>
      </c>
      <c r="D52" s="302" t="n"/>
      <c r="E52" s="301" t="inlineStr">
        <is>
          <t>DNI</t>
        </is>
      </c>
      <c r="F52" s="301" t="n"/>
      <c r="G52" s="334" t="n"/>
      <c r="H52" s="301" t="n"/>
      <c r="I52" s="332">
        <f>IFERROR(VLOOKUP(TEXT(H52,"0"),IPRESS!$A$3:$B$212,2,0),"")</f>
        <v/>
      </c>
      <c r="J52" s="301" t="n"/>
      <c r="K52" s="332" t="n"/>
      <c r="L52" s="245" t="n">
        <v>18.18</v>
      </c>
      <c r="M52" s="245" t="n"/>
      <c r="N52" s="333">
        <f>IFERROR(IF(L52*M52=0,"",L52*M52),"")</f>
        <v/>
      </c>
      <c r="O52" s="301" t="n"/>
      <c r="P52" s="332">
        <f>IFERROR(VLOOKUP(TEXT(O52,"0"),CONDUCTORES!$A$3:$G$100,2,0),"")</f>
        <v/>
      </c>
      <c r="Q52" s="332">
        <f>IFERROR(VLOOKUP(TEXT(O52,"0"),CONDUCTORES!$A$3:$H$100,6,0),"")</f>
        <v/>
      </c>
      <c r="R52" s="334" t="n"/>
      <c r="S52" s="302" t="n"/>
      <c r="T52" s="301" t="n"/>
      <c r="U52" s="334" t="n"/>
      <c r="V52" s="302" t="n"/>
      <c r="W52" s="301" t="n"/>
      <c r="X52" s="301" t="n"/>
      <c r="Y52" s="280" t="n"/>
      <c r="Z52" s="350">
        <f>IF(AND(R52&lt;&gt;"",V52&lt;&gt;"",W52&lt;&gt;""),"ENTREGADO","POR RECOGER")</f>
        <v/>
      </c>
      <c r="AA52" s="198" t="n"/>
      <c r="AB52" s="198" t="n"/>
      <c r="AC52" s="198" t="n"/>
    </row>
    <row r="53" ht="15.75" customHeight="1" s="195">
      <c r="A53" s="241" t="n">
        <v>48</v>
      </c>
      <c r="B53" s="305" t="n"/>
      <c r="C53" s="241" t="inlineStr">
        <is>
          <t>REGION</t>
        </is>
      </c>
      <c r="D53" s="305" t="n"/>
      <c r="E53" s="241" t="inlineStr">
        <is>
          <t>DNI</t>
        </is>
      </c>
      <c r="F53" s="241" t="n"/>
      <c r="G53" s="280" t="n"/>
      <c r="H53" s="241" t="n"/>
      <c r="I53" s="332">
        <f>IFERROR(VLOOKUP(TEXT(H53,"0"),IPRESS!$A$3:$B$212,2,0),"")</f>
        <v/>
      </c>
      <c r="J53" s="241" t="n"/>
      <c r="K53" s="332" t="n"/>
      <c r="L53" s="239" t="n">
        <v>20.25</v>
      </c>
      <c r="M53" s="239" t="n"/>
      <c r="N53" s="333">
        <f>IFERROR(IF(L53*M53=0,"",L53*M53),"")</f>
        <v/>
      </c>
      <c r="O53" s="241" t="n"/>
      <c r="P53" s="332">
        <f>IFERROR(VLOOKUP(TEXT(O53,"0"),CONDUCTORES!$A$3:$G$100,2,0),"")</f>
        <v/>
      </c>
      <c r="Q53" s="332">
        <f>IFERROR(VLOOKUP(TEXT(O53,"0"),CONDUCTORES!$A$3:$H$100,6,0),"")</f>
        <v/>
      </c>
      <c r="R53" s="280" t="n"/>
      <c r="S53" s="305" t="n"/>
      <c r="T53" s="241" t="n"/>
      <c r="U53" s="280" t="n"/>
      <c r="V53" s="305" t="n"/>
      <c r="W53" s="241" t="n"/>
      <c r="X53" s="241" t="n"/>
      <c r="Y53" s="280" t="n"/>
      <c r="Z53" s="350">
        <f>IF(AND(R53&lt;&gt;"",V53&lt;&gt;"",W53&lt;&gt;""),"ENTREGADO","POR RECOGER")</f>
        <v/>
      </c>
      <c r="AA53" s="198" t="n"/>
      <c r="AB53" s="198" t="n"/>
      <c r="AC53" s="198" t="n"/>
    </row>
    <row r="54" ht="15.75" customHeight="1" s="195">
      <c r="A54" s="301" t="n">
        <v>49</v>
      </c>
      <c r="B54" s="302" t="n"/>
      <c r="C54" s="301" t="inlineStr">
        <is>
          <t>REGION</t>
        </is>
      </c>
      <c r="D54" s="302" t="n"/>
      <c r="E54" s="301" t="inlineStr">
        <is>
          <t>DNI</t>
        </is>
      </c>
      <c r="F54" s="301" t="n"/>
      <c r="G54" s="334" t="n"/>
      <c r="H54" s="301" t="n"/>
      <c r="I54" s="332">
        <f>IFERROR(VLOOKUP(TEXT(H54,"0"),IPRESS!$A$3:$B$212,2,0),"")</f>
        <v/>
      </c>
      <c r="J54" s="301" t="n"/>
      <c r="K54" s="332" t="n"/>
      <c r="L54" s="245" t="n">
        <v>20.25</v>
      </c>
      <c r="M54" s="245" t="n"/>
      <c r="N54" s="333">
        <f>IFERROR(IF(L54*M54=0,"",L54*M54),"")</f>
        <v/>
      </c>
      <c r="O54" s="301" t="n"/>
      <c r="P54" s="332">
        <f>IFERROR(VLOOKUP(TEXT(O54,"0"),CONDUCTORES!$A$3:$G$100,2,0),"")</f>
        <v/>
      </c>
      <c r="Q54" s="332">
        <f>IFERROR(VLOOKUP(TEXT(O54,"0"),CONDUCTORES!$A$3:$H$100,6,0),"")</f>
        <v/>
      </c>
      <c r="R54" s="334" t="n"/>
      <c r="S54" s="302" t="n"/>
      <c r="T54" s="301" t="n"/>
      <c r="U54" s="334" t="n"/>
      <c r="V54" s="302" t="n"/>
      <c r="W54" s="301" t="n"/>
      <c r="X54" s="301" t="n"/>
      <c r="Y54" s="280" t="n"/>
      <c r="Z54" s="350">
        <f>IF(AND(R54&lt;&gt;"",V54&lt;&gt;"",W54&lt;&gt;""),"ENTREGADO","POR RECOGER")</f>
        <v/>
      </c>
      <c r="AA54" s="198" t="n"/>
      <c r="AB54" s="198" t="n"/>
      <c r="AC54" s="198" t="n"/>
    </row>
    <row r="55" ht="15.75" customHeight="1" s="195">
      <c r="A55" s="241" t="n">
        <v>50</v>
      </c>
      <c r="B55" s="305" t="n"/>
      <c r="C55" s="241" t="inlineStr">
        <is>
          <t>REGION</t>
        </is>
      </c>
      <c r="D55" s="305" t="n"/>
      <c r="E55" s="241" t="inlineStr">
        <is>
          <t>DNI</t>
        </is>
      </c>
      <c r="F55" s="241" t="n"/>
      <c r="G55" s="280" t="n"/>
      <c r="H55" s="241" t="n"/>
      <c r="I55" s="332">
        <f>IFERROR(VLOOKUP(TEXT(H55,"0"),IPRESS!$A$3:$B$212,2,0),"")</f>
        <v/>
      </c>
      <c r="J55" s="241" t="n"/>
      <c r="K55" s="332" t="n"/>
      <c r="L55" s="239" t="n">
        <v>20.25</v>
      </c>
      <c r="M55" s="239" t="n"/>
      <c r="N55" s="333">
        <f>IFERROR(IF(L55*M55=0,"",L55*M55),"")</f>
        <v/>
      </c>
      <c r="O55" s="241" t="n"/>
      <c r="P55" s="332">
        <f>IFERROR(VLOOKUP(TEXT(O55,"0"),CONDUCTORES!$A$3:$G$100,2,0),"")</f>
        <v/>
      </c>
      <c r="Q55" s="332">
        <f>IFERROR(VLOOKUP(TEXT(O55,"0"),CONDUCTORES!$A$3:$H$100,6,0),"")</f>
        <v/>
      </c>
      <c r="R55" s="280" t="n"/>
      <c r="S55" s="305" t="n"/>
      <c r="T55" s="241" t="n"/>
      <c r="U55" s="280" t="n"/>
      <c r="V55" s="305" t="n"/>
      <c r="W55" s="241" t="n"/>
      <c r="X55" s="241" t="n"/>
      <c r="Y55" s="280" t="n"/>
      <c r="Z55" s="350">
        <f>IF(AND(R55&lt;&gt;"",V55&lt;&gt;"",W55&lt;&gt;""),"ENTREGADO","POR RECOGER")</f>
        <v/>
      </c>
      <c r="AA55" s="198" t="n"/>
      <c r="AB55" s="198" t="n"/>
      <c r="AC55" s="198" t="n"/>
    </row>
    <row r="56" ht="15.75" customHeight="1" s="195">
      <c r="A56" s="301" t="n">
        <v>51</v>
      </c>
      <c r="B56" s="302" t="n"/>
      <c r="C56" s="301" t="inlineStr">
        <is>
          <t>REGION</t>
        </is>
      </c>
      <c r="D56" s="302" t="n"/>
      <c r="E56" s="301" t="inlineStr">
        <is>
          <t>DNI</t>
        </is>
      </c>
      <c r="F56" s="301" t="n"/>
      <c r="G56" s="334" t="n"/>
      <c r="H56" s="301" t="n"/>
      <c r="I56" s="332">
        <f>IFERROR(VLOOKUP(TEXT(H56,"0"),IPRESS!$A$3:$B$212,2,0),"")</f>
        <v/>
      </c>
      <c r="J56" s="301" t="n"/>
      <c r="K56" s="332" t="n"/>
      <c r="L56" s="245" t="n">
        <v>20.25</v>
      </c>
      <c r="M56" s="245" t="n"/>
      <c r="N56" s="333">
        <f>IFERROR(IF(L56*M56=0,"",L56*M56),"")</f>
        <v/>
      </c>
      <c r="O56" s="301" t="n"/>
      <c r="P56" s="332">
        <f>IFERROR(VLOOKUP(TEXT(O56,"0"),CONDUCTORES!$A$3:$G$100,2,0),"")</f>
        <v/>
      </c>
      <c r="Q56" s="332">
        <f>IFERROR(VLOOKUP(TEXT(O56,"0"),CONDUCTORES!$A$3:$H$100,6,0),"")</f>
        <v/>
      </c>
      <c r="R56" s="334" t="n"/>
      <c r="S56" s="302" t="n"/>
      <c r="T56" s="301" t="n"/>
      <c r="U56" s="334" t="n"/>
      <c r="V56" s="302" t="n"/>
      <c r="W56" s="301" t="n"/>
      <c r="X56" s="301" t="n"/>
      <c r="Y56" s="280" t="n"/>
      <c r="Z56" s="350">
        <f>IF(AND(R56&lt;&gt;"",V56&lt;&gt;"",W56&lt;&gt;""),"ENTREGADO","POR RECOGER")</f>
        <v/>
      </c>
      <c r="AA56" s="198" t="n"/>
      <c r="AB56" s="198" t="n"/>
      <c r="AC56" s="198" t="n"/>
    </row>
    <row r="57" ht="15.75" customHeight="1" s="195">
      <c r="A57" s="241" t="n">
        <v>52</v>
      </c>
      <c r="B57" s="305" t="n"/>
      <c r="C57" s="241" t="inlineStr">
        <is>
          <t>REGION</t>
        </is>
      </c>
      <c r="D57" s="305" t="n"/>
      <c r="E57" s="241" t="inlineStr">
        <is>
          <t>DNI</t>
        </is>
      </c>
      <c r="F57" s="241" t="n"/>
      <c r="G57" s="280" t="n"/>
      <c r="H57" s="241" t="n"/>
      <c r="I57" s="332">
        <f>IFERROR(VLOOKUP(TEXT(H57,"0"),IPRESS!$A$3:$B$212,2,0),"")</f>
        <v/>
      </c>
      <c r="J57" s="241" t="n"/>
      <c r="K57" s="332" t="n"/>
      <c r="L57" s="239" t="n">
        <v>20.25</v>
      </c>
      <c r="M57" s="239" t="n"/>
      <c r="N57" s="333">
        <f>IFERROR(IF(L57*M57=0,"",L57*M57),"")</f>
        <v/>
      </c>
      <c r="O57" s="241" t="n"/>
      <c r="P57" s="332">
        <f>IFERROR(VLOOKUP(TEXT(O57,"0"),CONDUCTORES!$A$3:$G$100,2,0),"")</f>
        <v/>
      </c>
      <c r="Q57" s="332">
        <f>IFERROR(VLOOKUP(TEXT(O57,"0"),CONDUCTORES!$A$3:$H$100,6,0),"")</f>
        <v/>
      </c>
      <c r="R57" s="280" t="n"/>
      <c r="S57" s="305" t="n"/>
      <c r="T57" s="241" t="n"/>
      <c r="U57" s="280" t="n"/>
      <c r="V57" s="305" t="n"/>
      <c r="W57" s="241" t="n"/>
      <c r="X57" s="241" t="n"/>
      <c r="Y57" s="280" t="n"/>
      <c r="Z57" s="350">
        <f>IF(AND(R57&lt;&gt;"",V57&lt;&gt;"",W57&lt;&gt;""),"ENTREGADO","POR RECOGER")</f>
        <v/>
      </c>
      <c r="AA57" s="198" t="n"/>
      <c r="AB57" s="198" t="n"/>
      <c r="AC57" s="198" t="n"/>
    </row>
    <row r="58" ht="15.75" customHeight="1" s="195">
      <c r="A58" s="301" t="n">
        <v>53</v>
      </c>
      <c r="B58" s="302" t="n"/>
      <c r="C58" s="301" t="inlineStr">
        <is>
          <t>REGION</t>
        </is>
      </c>
      <c r="D58" s="302" t="n"/>
      <c r="E58" s="301" t="inlineStr">
        <is>
          <t>DNI</t>
        </is>
      </c>
      <c r="F58" s="301" t="n"/>
      <c r="G58" s="334" t="n"/>
      <c r="H58" s="301" t="n"/>
      <c r="I58" s="332">
        <f>IFERROR(VLOOKUP(TEXT(H58,"0"),IPRESS!$A$3:$B$212,2,0),"")</f>
        <v/>
      </c>
      <c r="J58" s="301" t="n"/>
      <c r="K58" s="332" t="n"/>
      <c r="L58" s="245" t="n">
        <v>20.25</v>
      </c>
      <c r="M58" s="245" t="n"/>
      <c r="N58" s="333">
        <f>IFERROR(IF(L58*M58=0,"",L58*M58),"")</f>
        <v/>
      </c>
      <c r="O58" s="301" t="n"/>
      <c r="P58" s="332">
        <f>IFERROR(VLOOKUP(TEXT(O58,"0"),CONDUCTORES!$A$3:$G$100,2,0),"")</f>
        <v/>
      </c>
      <c r="Q58" s="332">
        <f>IFERROR(VLOOKUP(TEXT(O58,"0"),CONDUCTORES!$A$3:$H$100,6,0),"")</f>
        <v/>
      </c>
      <c r="R58" s="334" t="n"/>
      <c r="S58" s="302" t="n"/>
      <c r="T58" s="301" t="n"/>
      <c r="U58" s="334" t="n"/>
      <c r="V58" s="302" t="n"/>
      <c r="W58" s="301" t="n"/>
      <c r="X58" s="301" t="n"/>
      <c r="Y58" s="280" t="n"/>
      <c r="Z58" s="350">
        <f>IF(AND(R58&lt;&gt;"",V58&lt;&gt;"",W58&lt;&gt;""),"ENTREGADO","POR RECOGER")</f>
        <v/>
      </c>
      <c r="AA58" s="198" t="n"/>
      <c r="AB58" s="198" t="n"/>
      <c r="AC58" s="198" t="n"/>
    </row>
    <row r="59" ht="15.75" customHeight="1" s="195">
      <c r="A59" s="241" t="n">
        <v>54</v>
      </c>
      <c r="B59" s="305" t="n"/>
      <c r="C59" s="241" t="inlineStr">
        <is>
          <t>REGION</t>
        </is>
      </c>
      <c r="D59" s="305" t="n"/>
      <c r="E59" s="241" t="inlineStr">
        <is>
          <t>DNI</t>
        </is>
      </c>
      <c r="F59" s="241" t="n"/>
      <c r="G59" s="280" t="n"/>
      <c r="H59" s="241" t="n"/>
      <c r="I59" s="332">
        <f>IFERROR(VLOOKUP(TEXT(H59,"0"),IPRESS!$A$3:$B$212,2,0),"")</f>
        <v/>
      </c>
      <c r="J59" s="241" t="n"/>
      <c r="K59" s="332" t="n"/>
      <c r="L59" s="239" t="n">
        <v>20.25</v>
      </c>
      <c r="M59" s="239" t="n"/>
      <c r="N59" s="333">
        <f>IFERROR(IF(L59*M59=0,"",L59*M59),"")</f>
        <v/>
      </c>
      <c r="O59" s="241" t="n"/>
      <c r="P59" s="332">
        <f>IFERROR(VLOOKUP(TEXT(O59,"0"),CONDUCTORES!$A$3:$G$100,2,0),"")</f>
        <v/>
      </c>
      <c r="Q59" s="332">
        <f>IFERROR(VLOOKUP(TEXT(O59,"0"),CONDUCTORES!$A$3:$H$100,6,0),"")</f>
        <v/>
      </c>
      <c r="R59" s="280" t="n"/>
      <c r="S59" s="305" t="n"/>
      <c r="T59" s="241" t="n"/>
      <c r="U59" s="280" t="n"/>
      <c r="V59" s="305" t="n"/>
      <c r="W59" s="241" t="n"/>
      <c r="X59" s="241" t="n"/>
      <c r="Y59" s="280" t="n"/>
      <c r="Z59" s="350">
        <f>IF(AND(R59&lt;&gt;"",V59&lt;&gt;"",W59&lt;&gt;""),"ENTREGADO","POR RECOGER")</f>
        <v/>
      </c>
      <c r="AA59" s="198" t="n"/>
      <c r="AB59" s="198" t="n"/>
      <c r="AC59" s="198" t="n"/>
    </row>
    <row r="60" ht="15.75" customHeight="1" s="195">
      <c r="A60" s="301" t="n">
        <v>55</v>
      </c>
      <c r="B60" s="302" t="n"/>
      <c r="C60" s="301" t="inlineStr">
        <is>
          <t>REGION</t>
        </is>
      </c>
      <c r="D60" s="302" t="n"/>
      <c r="E60" s="301" t="inlineStr">
        <is>
          <t>DNI</t>
        </is>
      </c>
      <c r="F60" s="301" t="n"/>
      <c r="G60" s="334" t="n"/>
      <c r="H60" s="301" t="n"/>
      <c r="I60" s="332">
        <f>IFERROR(VLOOKUP(TEXT(H60,"0"),IPRESS!$A$3:$B$212,2,0),"")</f>
        <v/>
      </c>
      <c r="J60" s="301" t="n"/>
      <c r="K60" s="332" t="n"/>
      <c r="L60" s="245" t="n">
        <v>20.25</v>
      </c>
      <c r="M60" s="245" t="n"/>
      <c r="N60" s="333">
        <f>IFERROR(IF(L60*M60=0,"",L60*M60),"")</f>
        <v/>
      </c>
      <c r="O60" s="301" t="n"/>
      <c r="P60" s="332">
        <f>IFERROR(VLOOKUP(TEXT(O60,"0"),CONDUCTORES!$A$3:$G$100,2,0),"")</f>
        <v/>
      </c>
      <c r="Q60" s="332">
        <f>IFERROR(VLOOKUP(TEXT(O60,"0"),CONDUCTORES!$A$3:$H$100,6,0),"")</f>
        <v/>
      </c>
      <c r="R60" s="334" t="n"/>
      <c r="S60" s="302" t="n"/>
      <c r="T60" s="301" t="n"/>
      <c r="U60" s="334" t="n"/>
      <c r="V60" s="302" t="n"/>
      <c r="W60" s="301" t="n"/>
      <c r="X60" s="301" t="n"/>
      <c r="Y60" s="280" t="n"/>
      <c r="Z60" s="350">
        <f>IF(AND(R60&lt;&gt;"",V60&lt;&gt;"",W60&lt;&gt;""),"ENTREGADO","POR RECOGER")</f>
        <v/>
      </c>
      <c r="AA60" s="198" t="n"/>
      <c r="AB60" s="198" t="n"/>
      <c r="AC60" s="198" t="n"/>
    </row>
    <row r="61" ht="15.75" customHeight="1" s="195">
      <c r="A61" s="241" t="n">
        <v>56</v>
      </c>
      <c r="B61" s="305" t="n"/>
      <c r="C61" s="241" t="inlineStr">
        <is>
          <t>REGION</t>
        </is>
      </c>
      <c r="D61" s="305" t="n"/>
      <c r="E61" s="241" t="inlineStr">
        <is>
          <t>DNI</t>
        </is>
      </c>
      <c r="F61" s="241" t="n"/>
      <c r="G61" s="280" t="n"/>
      <c r="H61" s="241" t="n"/>
      <c r="I61" s="332">
        <f>IFERROR(VLOOKUP(TEXT(H61,"0"),IPRESS!$A$3:$B$212,2,0),"")</f>
        <v/>
      </c>
      <c r="J61" s="241" t="n"/>
      <c r="K61" s="332" t="n"/>
      <c r="L61" s="239" t="n">
        <v>18.18</v>
      </c>
      <c r="M61" s="239" t="n"/>
      <c r="N61" s="333">
        <f>IFERROR(IF(L61*M61=0,"",L61*M61),"")</f>
        <v/>
      </c>
      <c r="O61" s="241" t="n"/>
      <c r="P61" s="332">
        <f>IFERROR(VLOOKUP(TEXT(O61,"0"),CONDUCTORES!$A$3:$G$100,2,0),"")</f>
        <v/>
      </c>
      <c r="Q61" s="332">
        <f>IFERROR(VLOOKUP(TEXT(O61,"0"),CONDUCTORES!$A$3:$H$100,6,0),"")</f>
        <v/>
      </c>
      <c r="R61" s="280" t="n"/>
      <c r="S61" s="305" t="n"/>
      <c r="T61" s="241" t="n"/>
      <c r="U61" s="280" t="n"/>
      <c r="V61" s="305" t="n"/>
      <c r="W61" s="241" t="n"/>
      <c r="X61" s="241" t="n"/>
      <c r="Y61" s="280" t="n"/>
      <c r="Z61" s="350">
        <f>IF(AND(R61&lt;&gt;"",V61&lt;&gt;"",W61&lt;&gt;""),"ENTREGADO","POR RECOGER")</f>
        <v/>
      </c>
      <c r="AA61" s="198" t="n"/>
      <c r="AB61" s="198" t="n"/>
      <c r="AC61" s="198" t="n"/>
    </row>
    <row r="62" ht="15.75" customHeight="1" s="195">
      <c r="A62" s="301" t="n">
        <v>57</v>
      </c>
      <c r="B62" s="302" t="n"/>
      <c r="C62" s="301" t="inlineStr">
        <is>
          <t>REGION</t>
        </is>
      </c>
      <c r="D62" s="302" t="n"/>
      <c r="E62" s="301" t="inlineStr">
        <is>
          <t>DNI</t>
        </is>
      </c>
      <c r="F62" s="301" t="n"/>
      <c r="G62" s="334" t="n"/>
      <c r="H62" s="301" t="n"/>
      <c r="I62" s="332">
        <f>IFERROR(VLOOKUP(TEXT(H62,"0"),IPRESS!$A$3:$B$212,2,0),"")</f>
        <v/>
      </c>
      <c r="J62" s="301" t="n"/>
      <c r="K62" s="332" t="n"/>
      <c r="L62" s="245" t="n">
        <v>18.18</v>
      </c>
      <c r="M62" s="245" t="n"/>
      <c r="N62" s="333">
        <f>IFERROR(IF(L62*M62=0,"",L62*M62),"")</f>
        <v/>
      </c>
      <c r="O62" s="301" t="n"/>
      <c r="P62" s="332">
        <f>IFERROR(VLOOKUP(TEXT(O62,"0"),CONDUCTORES!$A$3:$G$100,2,0),"")</f>
        <v/>
      </c>
      <c r="Q62" s="332">
        <f>IFERROR(VLOOKUP(TEXT(O62,"0"),CONDUCTORES!$A$3:$H$100,6,0),"")</f>
        <v/>
      </c>
      <c r="R62" s="334" t="n"/>
      <c r="S62" s="302" t="n"/>
      <c r="T62" s="301" t="n"/>
      <c r="U62" s="334" t="n"/>
      <c r="V62" s="302" t="n"/>
      <c r="W62" s="301" t="n"/>
      <c r="X62" s="301" t="n"/>
      <c r="Y62" s="280" t="n"/>
      <c r="Z62" s="350">
        <f>IF(AND(R62&lt;&gt;"",V62&lt;&gt;"",W62&lt;&gt;""),"ENTREGADO","POR RECOGER")</f>
        <v/>
      </c>
      <c r="AA62" s="198" t="n"/>
      <c r="AB62" s="198" t="n"/>
      <c r="AC62" s="198" t="n"/>
    </row>
    <row r="63" ht="15.75" customHeight="1" s="195">
      <c r="A63" s="241" t="n">
        <v>58</v>
      </c>
      <c r="B63" s="305" t="n"/>
      <c r="C63" s="241" t="inlineStr">
        <is>
          <t>REGION</t>
        </is>
      </c>
      <c r="D63" s="305" t="n"/>
      <c r="E63" s="241" t="inlineStr">
        <is>
          <t>DNI</t>
        </is>
      </c>
      <c r="F63" s="241" t="n"/>
      <c r="G63" s="280" t="n"/>
      <c r="H63" s="241" t="n"/>
      <c r="I63" s="332">
        <f>IFERROR(VLOOKUP(TEXT(H63,"0"),IPRESS!$A$3:$B$212,2,0),"")</f>
        <v/>
      </c>
      <c r="J63" s="241" t="n"/>
      <c r="K63" s="332" t="n"/>
      <c r="L63" s="239" t="n">
        <v>18.18</v>
      </c>
      <c r="M63" s="239" t="n"/>
      <c r="N63" s="333">
        <f>IFERROR(IF(L63*M63=0,"",L63*M63),"")</f>
        <v/>
      </c>
      <c r="O63" s="241" t="n"/>
      <c r="P63" s="332">
        <f>IFERROR(VLOOKUP(TEXT(O63,"0"),CONDUCTORES!$A$3:$G$100,2,0),"")</f>
        <v/>
      </c>
      <c r="Q63" s="332">
        <f>IFERROR(VLOOKUP(TEXT(O63,"0"),CONDUCTORES!$A$3:$H$100,6,0),"")</f>
        <v/>
      </c>
      <c r="R63" s="280" t="n"/>
      <c r="S63" s="305" t="n"/>
      <c r="T63" s="241" t="n"/>
      <c r="U63" s="280" t="n"/>
      <c r="V63" s="305" t="n"/>
      <c r="W63" s="241" t="n"/>
      <c r="X63" s="241" t="n"/>
      <c r="Y63" s="280" t="n"/>
      <c r="Z63" s="350">
        <f>IF(AND(R63&lt;&gt;"",V63&lt;&gt;"",W63&lt;&gt;""),"ENTREGADO","POR RECOGER")</f>
        <v/>
      </c>
      <c r="AA63" s="198" t="n"/>
      <c r="AB63" s="198" t="n"/>
      <c r="AC63" s="198" t="n"/>
    </row>
    <row r="64" ht="15.75" customHeight="1" s="195">
      <c r="A64" s="301" t="n">
        <v>59</v>
      </c>
      <c r="B64" s="302" t="n"/>
      <c r="C64" s="301" t="inlineStr">
        <is>
          <t>REGION</t>
        </is>
      </c>
      <c r="D64" s="302" t="n"/>
      <c r="E64" s="301" t="inlineStr">
        <is>
          <t>DNI</t>
        </is>
      </c>
      <c r="F64" s="301" t="n"/>
      <c r="G64" s="334" t="n"/>
      <c r="H64" s="301" t="n"/>
      <c r="I64" s="332">
        <f>IFERROR(VLOOKUP(TEXT(H64,"0"),IPRESS!$A$3:$B$212,2,0),"")</f>
        <v/>
      </c>
      <c r="J64" s="301" t="n"/>
      <c r="K64" s="332" t="n"/>
      <c r="L64" s="245" t="n">
        <v>18.18</v>
      </c>
      <c r="M64" s="245" t="n"/>
      <c r="N64" s="333">
        <f>IFERROR(IF(L64*M64=0,"",L64*M64),"")</f>
        <v/>
      </c>
      <c r="O64" s="301" t="n"/>
      <c r="P64" s="332">
        <f>IFERROR(VLOOKUP(TEXT(O64,"0"),CONDUCTORES!$A$3:$G$100,2,0),"")</f>
        <v/>
      </c>
      <c r="Q64" s="332">
        <f>IFERROR(VLOOKUP(TEXT(O64,"0"),CONDUCTORES!$A$3:$H$100,6,0),"")</f>
        <v/>
      </c>
      <c r="R64" s="334" t="n"/>
      <c r="S64" s="302" t="n"/>
      <c r="T64" s="301" t="n"/>
      <c r="U64" s="334" t="n"/>
      <c r="V64" s="302" t="n"/>
      <c r="W64" s="301" t="n"/>
      <c r="X64" s="301" t="n"/>
      <c r="Y64" s="280" t="n"/>
      <c r="Z64" s="350">
        <f>IF(AND(R64&lt;&gt;"",V64&lt;&gt;"",W64&lt;&gt;""),"ENTREGADO","POR RECOGER")</f>
        <v/>
      </c>
      <c r="AA64" s="198" t="n"/>
      <c r="AB64" s="198" t="n"/>
      <c r="AC64" s="198" t="n"/>
    </row>
    <row r="65" ht="15.75" customHeight="1" s="195">
      <c r="A65" s="241" t="n">
        <v>60</v>
      </c>
      <c r="B65" s="305" t="n"/>
      <c r="C65" s="241" t="inlineStr">
        <is>
          <t>REGION</t>
        </is>
      </c>
      <c r="D65" s="305" t="n"/>
      <c r="E65" s="241" t="inlineStr">
        <is>
          <t>DNI</t>
        </is>
      </c>
      <c r="F65" s="241" t="n"/>
      <c r="G65" s="280" t="n"/>
      <c r="H65" s="241" t="n"/>
      <c r="I65" s="332">
        <f>IFERROR(VLOOKUP(TEXT(H65,"0"),IPRESS!$A$3:$B$212,2,0),"")</f>
        <v/>
      </c>
      <c r="J65" s="241" t="n"/>
      <c r="K65" s="332" t="n"/>
      <c r="L65" s="239" t="n">
        <v>18.18</v>
      </c>
      <c r="M65" s="239" t="n"/>
      <c r="N65" s="333">
        <f>IFERROR(IF(L65*M65=0,"",L65*M65),"")</f>
        <v/>
      </c>
      <c r="O65" s="241" t="n"/>
      <c r="P65" s="332">
        <f>IFERROR(VLOOKUP(TEXT(O65,"0"),CONDUCTORES!$A$3:$G$100,2,0),"")</f>
        <v/>
      </c>
      <c r="Q65" s="332">
        <f>IFERROR(VLOOKUP(TEXT(O65,"0"),CONDUCTORES!$A$3:$H$100,6,0),"")</f>
        <v/>
      </c>
      <c r="R65" s="280" t="n"/>
      <c r="S65" s="305" t="n"/>
      <c r="T65" s="241" t="n"/>
      <c r="U65" s="280" t="n"/>
      <c r="V65" s="305" t="n"/>
      <c r="W65" s="241" t="n"/>
      <c r="X65" s="241" t="n"/>
      <c r="Y65" s="280" t="n"/>
      <c r="Z65" s="350">
        <f>IF(AND(R65&lt;&gt;"",V65&lt;&gt;"",W65&lt;&gt;""),"ENTREGADO","POR RECOGER")</f>
        <v/>
      </c>
      <c r="AA65" s="198" t="n"/>
      <c r="AB65" s="198" t="n"/>
      <c r="AC65" s="198" t="n"/>
    </row>
    <row r="66" ht="15.75" customHeight="1" s="195">
      <c r="A66" s="301" t="n">
        <v>61</v>
      </c>
      <c r="B66" s="302" t="n"/>
      <c r="C66" s="301" t="inlineStr">
        <is>
          <t>REGION</t>
        </is>
      </c>
      <c r="D66" s="302" t="n"/>
      <c r="E66" s="301" t="inlineStr">
        <is>
          <t>DNI</t>
        </is>
      </c>
      <c r="F66" s="301" t="n"/>
      <c r="G66" s="334" t="n"/>
      <c r="H66" s="301" t="n"/>
      <c r="I66" s="332">
        <f>IFERROR(VLOOKUP(TEXT(H66,"0"),IPRESS!$A$3:$B$212,2,0),"")</f>
        <v/>
      </c>
      <c r="J66" s="301" t="n"/>
      <c r="K66" s="332" t="n"/>
      <c r="L66" s="245" t="n">
        <v>20.25</v>
      </c>
      <c r="M66" s="245" t="n"/>
      <c r="N66" s="333">
        <f>IFERROR(IF(L66*M66=0,"",L66*M66),"")</f>
        <v/>
      </c>
      <c r="O66" s="301" t="n"/>
      <c r="P66" s="332">
        <f>IFERROR(VLOOKUP(TEXT(O66,"0"),CONDUCTORES!$A$3:$G$100,2,0),"")</f>
        <v/>
      </c>
      <c r="Q66" s="332">
        <f>IFERROR(VLOOKUP(TEXT(O66,"0"),CONDUCTORES!$A$3:$H$100,6,0),"")</f>
        <v/>
      </c>
      <c r="R66" s="334" t="n"/>
      <c r="S66" s="302" t="n"/>
      <c r="T66" s="301" t="n"/>
      <c r="U66" s="334" t="n"/>
      <c r="V66" s="302" t="n"/>
      <c r="W66" s="301" t="n"/>
      <c r="X66" s="301" t="n"/>
      <c r="Y66" s="280" t="n"/>
      <c r="Z66" s="350">
        <f>IF(AND(R66&lt;&gt;"",V66&lt;&gt;"",W66&lt;&gt;""),"ENTREGADO","POR RECOGER")</f>
        <v/>
      </c>
      <c r="AA66" s="198" t="n"/>
      <c r="AB66" s="198" t="n"/>
      <c r="AC66" s="198" t="n"/>
    </row>
    <row r="67" ht="15.75" customHeight="1" s="195">
      <c r="A67" s="241" t="n">
        <v>62</v>
      </c>
      <c r="B67" s="305" t="n"/>
      <c r="C67" s="241" t="inlineStr">
        <is>
          <t>REGION</t>
        </is>
      </c>
      <c r="D67" s="305" t="n"/>
      <c r="E67" s="241" t="inlineStr">
        <is>
          <t>DNI</t>
        </is>
      </c>
      <c r="F67" s="241" t="n"/>
      <c r="G67" s="280" t="n"/>
      <c r="H67" s="241" t="n"/>
      <c r="I67" s="332">
        <f>IFERROR(VLOOKUP(TEXT(H67,"0"),IPRESS!$A$3:$B$212,2,0),"")</f>
        <v/>
      </c>
      <c r="J67" s="241" t="n"/>
      <c r="K67" s="332" t="n"/>
      <c r="L67" s="239" t="n">
        <v>20.25</v>
      </c>
      <c r="M67" s="239" t="n"/>
      <c r="N67" s="333">
        <f>IFERROR(IF(L67*M67=0,"",L67*M67),"")</f>
        <v/>
      </c>
      <c r="O67" s="241" t="n"/>
      <c r="P67" s="332">
        <f>IFERROR(VLOOKUP(TEXT(O67,"0"),CONDUCTORES!$A$3:$G$100,2,0),"")</f>
        <v/>
      </c>
      <c r="Q67" s="332">
        <f>IFERROR(VLOOKUP(TEXT(O67,"0"),CONDUCTORES!$A$3:$H$100,6,0),"")</f>
        <v/>
      </c>
      <c r="R67" s="280" t="n"/>
      <c r="S67" s="305" t="n"/>
      <c r="T67" s="241" t="n"/>
      <c r="U67" s="280" t="n"/>
      <c r="V67" s="305" t="n"/>
      <c r="W67" s="241" t="n"/>
      <c r="X67" s="241" t="n"/>
      <c r="Y67" s="280" t="n"/>
      <c r="Z67" s="350">
        <f>IF(AND(R67&lt;&gt;"",V67&lt;&gt;"",W67&lt;&gt;""),"ENTREGADO","POR RECOGER")</f>
        <v/>
      </c>
      <c r="AA67" s="198" t="n"/>
      <c r="AB67" s="198" t="n"/>
      <c r="AC67" s="198" t="n"/>
    </row>
    <row r="68" ht="15.75" customHeight="1" s="195">
      <c r="A68" s="301" t="n">
        <v>63</v>
      </c>
      <c r="B68" s="302" t="n"/>
      <c r="C68" s="301" t="inlineStr">
        <is>
          <t>REGION</t>
        </is>
      </c>
      <c r="D68" s="302" t="n"/>
      <c r="E68" s="301" t="inlineStr">
        <is>
          <t>DNI</t>
        </is>
      </c>
      <c r="F68" s="301" t="n"/>
      <c r="G68" s="334" t="n"/>
      <c r="H68" s="301" t="n"/>
      <c r="I68" s="332">
        <f>IFERROR(VLOOKUP(TEXT(H68,"0"),IPRESS!$A$3:$B$212,2,0),"")</f>
        <v/>
      </c>
      <c r="J68" s="301" t="n"/>
      <c r="K68" s="332" t="n"/>
      <c r="L68" s="245" t="n">
        <v>18.18</v>
      </c>
      <c r="M68" s="245" t="n"/>
      <c r="N68" s="333">
        <f>IFERROR(IF(L68*M68=0,"",L68*M68),"")</f>
        <v/>
      </c>
      <c r="O68" s="301" t="n"/>
      <c r="P68" s="332">
        <f>IFERROR(VLOOKUP(TEXT(O68,"0"),CONDUCTORES!$A$3:$G$100,2,0),"")</f>
        <v/>
      </c>
      <c r="Q68" s="332">
        <f>IFERROR(VLOOKUP(TEXT(O68,"0"),CONDUCTORES!$A$3:$H$100,6,0),"")</f>
        <v/>
      </c>
      <c r="R68" s="334" t="n"/>
      <c r="S68" s="302" t="n"/>
      <c r="T68" s="301" t="n"/>
      <c r="U68" s="334" t="n"/>
      <c r="V68" s="302" t="n"/>
      <c r="W68" s="301" t="n"/>
      <c r="X68" s="301" t="n"/>
      <c r="Y68" s="280" t="n"/>
      <c r="Z68" s="350">
        <f>IF(AND(R68&lt;&gt;"",V68&lt;&gt;"",W68&lt;&gt;""),"ENTREGADO","POR RECOGER")</f>
        <v/>
      </c>
      <c r="AA68" s="198" t="n"/>
      <c r="AB68" s="198" t="n"/>
      <c r="AC68" s="198" t="n"/>
    </row>
    <row r="69" ht="15.75" customHeight="1" s="195">
      <c r="A69" s="241" t="n">
        <v>64</v>
      </c>
      <c r="B69" s="305" t="n"/>
      <c r="C69" s="241" t="inlineStr">
        <is>
          <t>REGION</t>
        </is>
      </c>
      <c r="D69" s="305" t="n"/>
      <c r="E69" s="241" t="inlineStr">
        <is>
          <t>DNI</t>
        </is>
      </c>
      <c r="F69" s="241" t="n"/>
      <c r="G69" s="280" t="n"/>
      <c r="H69" s="241" t="n"/>
      <c r="I69" s="332">
        <f>IFERROR(VLOOKUP(TEXT(H69,"0"),IPRESS!$A$3:$B$212,2,0),"")</f>
        <v/>
      </c>
      <c r="J69" s="241" t="n"/>
      <c r="K69" s="332" t="n"/>
      <c r="L69" s="239" t="n">
        <v>18.18</v>
      </c>
      <c r="M69" s="239" t="n"/>
      <c r="N69" s="333">
        <f>IFERROR(IF(L69*M69=0,"",L69*M69),"")</f>
        <v/>
      </c>
      <c r="O69" s="241" t="n"/>
      <c r="P69" s="332">
        <f>IFERROR(VLOOKUP(TEXT(O69,"0"),CONDUCTORES!$A$3:$G$100,2,0),"")</f>
        <v/>
      </c>
      <c r="Q69" s="332">
        <f>IFERROR(VLOOKUP(TEXT(O69,"0"),CONDUCTORES!$A$3:$H$100,6,0),"")</f>
        <v/>
      </c>
      <c r="R69" s="280" t="n"/>
      <c r="S69" s="305" t="n"/>
      <c r="T69" s="241" t="n"/>
      <c r="U69" s="280" t="n"/>
      <c r="V69" s="305" t="n"/>
      <c r="W69" s="241" t="n"/>
      <c r="X69" s="241" t="n"/>
      <c r="Y69" s="280" t="n"/>
      <c r="Z69" s="350">
        <f>IF(AND(R69&lt;&gt;"",V69&lt;&gt;"",W69&lt;&gt;""),"ENTREGADO","POR RECOGER")</f>
        <v/>
      </c>
      <c r="AA69" s="198" t="n"/>
      <c r="AB69" s="198" t="n"/>
      <c r="AC69" s="198" t="n"/>
    </row>
    <row r="70" ht="15.75" customHeight="1" s="195">
      <c r="A70" s="301" t="n">
        <v>65</v>
      </c>
      <c r="B70" s="302" t="n"/>
      <c r="C70" s="301" t="inlineStr">
        <is>
          <t>REGION</t>
        </is>
      </c>
      <c r="D70" s="302" t="n"/>
      <c r="E70" s="301" t="inlineStr">
        <is>
          <t>DNI</t>
        </is>
      </c>
      <c r="F70" s="301" t="n"/>
      <c r="G70" s="334" t="n"/>
      <c r="H70" s="301" t="n"/>
      <c r="I70" s="332">
        <f>IFERROR(VLOOKUP(TEXT(H70,"0"),IPRESS!$A$3:$B$212,2,0),"")</f>
        <v/>
      </c>
      <c r="J70" s="301" t="n"/>
      <c r="K70" s="332" t="n"/>
      <c r="L70" s="245" t="n">
        <v>18.18</v>
      </c>
      <c r="M70" s="245" t="n"/>
      <c r="N70" s="333">
        <f>IFERROR(IF(L70*M70=0,"",L70*M70),"")</f>
        <v/>
      </c>
      <c r="O70" s="301" t="n"/>
      <c r="P70" s="332">
        <f>IFERROR(VLOOKUP(TEXT(O70,"0"),CONDUCTORES!$A$3:$G$100,2,0),"")</f>
        <v/>
      </c>
      <c r="Q70" s="332">
        <f>IFERROR(VLOOKUP(TEXT(O70,"0"),CONDUCTORES!$A$3:$H$100,6,0),"")</f>
        <v/>
      </c>
      <c r="R70" s="334" t="n"/>
      <c r="S70" s="302" t="n"/>
      <c r="T70" s="301" t="n"/>
      <c r="U70" s="334" t="n"/>
      <c r="V70" s="302" t="n"/>
      <c r="W70" s="301" t="n"/>
      <c r="X70" s="301" t="n"/>
      <c r="Y70" s="280" t="n"/>
      <c r="Z70" s="350">
        <f>IF(AND(R70&lt;&gt;"",V70&lt;&gt;"",W70&lt;&gt;""),"ENTREGADO","POR RECOGER")</f>
        <v/>
      </c>
      <c r="AA70" s="198" t="n"/>
      <c r="AB70" s="198" t="n"/>
      <c r="AC70" s="198" t="n"/>
    </row>
    <row r="71" ht="15.75" customHeight="1" s="195">
      <c r="A71" s="241" t="n">
        <v>66</v>
      </c>
      <c r="B71" s="305" t="n"/>
      <c r="C71" s="241" t="inlineStr">
        <is>
          <t>REGION</t>
        </is>
      </c>
      <c r="D71" s="305" t="n"/>
      <c r="E71" s="241" t="inlineStr">
        <is>
          <t>DNI</t>
        </is>
      </c>
      <c r="F71" s="241" t="n"/>
      <c r="G71" s="280" t="n"/>
      <c r="H71" s="241" t="n"/>
      <c r="I71" s="332">
        <f>IFERROR(VLOOKUP(TEXT(H71,"0"),IPRESS!$A$3:$B$212,2,0),"")</f>
        <v/>
      </c>
      <c r="J71" s="241" t="n"/>
      <c r="K71" s="332" t="n"/>
      <c r="L71" s="239" t="n">
        <v>18.18</v>
      </c>
      <c r="M71" s="239" t="n"/>
      <c r="N71" s="333">
        <f>IFERROR(IF(L71*M71=0,"",L71*M71),"")</f>
        <v/>
      </c>
      <c r="O71" s="241" t="n"/>
      <c r="P71" s="332">
        <f>IFERROR(VLOOKUP(TEXT(O71,"0"),CONDUCTORES!$A$3:$G$100,2,0),"")</f>
        <v/>
      </c>
      <c r="Q71" s="332">
        <f>IFERROR(VLOOKUP(TEXT(O71,"0"),CONDUCTORES!$A$3:$H$100,6,0),"")</f>
        <v/>
      </c>
      <c r="R71" s="280" t="n"/>
      <c r="S71" s="305" t="n"/>
      <c r="T71" s="241" t="n"/>
      <c r="U71" s="280" t="n"/>
      <c r="V71" s="305" t="n"/>
      <c r="W71" s="241" t="n"/>
      <c r="X71" s="241" t="n"/>
      <c r="Y71" s="280" t="n"/>
      <c r="Z71" s="350">
        <f>IF(AND(R71&lt;&gt;"",V71&lt;&gt;"",W71&lt;&gt;""),"ENTREGADO","POR RECOGER")</f>
        <v/>
      </c>
      <c r="AA71" s="198" t="n"/>
      <c r="AB71" s="198" t="n"/>
      <c r="AC71" s="198" t="n"/>
    </row>
    <row r="72" ht="15.75" customHeight="1" s="195">
      <c r="A72" s="301" t="n">
        <v>67</v>
      </c>
      <c r="B72" s="302" t="n"/>
      <c r="C72" s="301" t="inlineStr">
        <is>
          <t>REGION</t>
        </is>
      </c>
      <c r="D72" s="302" t="n"/>
      <c r="E72" s="301" t="inlineStr">
        <is>
          <t>DNI</t>
        </is>
      </c>
      <c r="F72" s="301" t="n"/>
      <c r="G72" s="334" t="n"/>
      <c r="H72" s="301" t="n"/>
      <c r="I72" s="332">
        <f>IFERROR(VLOOKUP(TEXT(H72,"0"),IPRESS!$A$3:$B$212,2,0),"")</f>
        <v/>
      </c>
      <c r="J72" s="301" t="n"/>
      <c r="K72" s="332" t="n"/>
      <c r="L72" s="245" t="n">
        <v>18.18</v>
      </c>
      <c r="M72" s="245" t="n"/>
      <c r="N72" s="333">
        <f>IFERROR(IF(L72*M72=0,"",L72*M72),"")</f>
        <v/>
      </c>
      <c r="O72" s="301" t="n"/>
      <c r="P72" s="332">
        <f>IFERROR(VLOOKUP(TEXT(O72,"0"),CONDUCTORES!$A$3:$G$100,2,0),"")</f>
        <v/>
      </c>
      <c r="Q72" s="332">
        <f>IFERROR(VLOOKUP(TEXT(O72,"0"),CONDUCTORES!$A$3:$H$100,6,0),"")</f>
        <v/>
      </c>
      <c r="R72" s="334" t="n"/>
      <c r="S72" s="302" t="n"/>
      <c r="T72" s="301" t="n"/>
      <c r="U72" s="334" t="n"/>
      <c r="V72" s="302" t="n"/>
      <c r="W72" s="301" t="n"/>
      <c r="X72" s="301" t="n"/>
      <c r="Y72" s="280" t="n"/>
      <c r="Z72" s="350">
        <f>IF(AND(R72&lt;&gt;"",V72&lt;&gt;"",W72&lt;&gt;""),"ENTREGADO","POR RECOGER")</f>
        <v/>
      </c>
      <c r="AA72" s="198" t="n"/>
      <c r="AB72" s="198" t="n"/>
      <c r="AC72" s="198" t="n"/>
    </row>
    <row r="73" ht="15.75" customHeight="1" s="195">
      <c r="A73" s="241" t="n">
        <v>68</v>
      </c>
      <c r="B73" s="305" t="n"/>
      <c r="C73" s="241" t="inlineStr">
        <is>
          <t>REGION</t>
        </is>
      </c>
      <c r="D73" s="305" t="n"/>
      <c r="E73" s="241" t="inlineStr">
        <is>
          <t>DNI</t>
        </is>
      </c>
      <c r="F73" s="241" t="n"/>
      <c r="G73" s="280" t="n"/>
      <c r="H73" s="241" t="n"/>
      <c r="I73" s="332">
        <f>IFERROR(VLOOKUP(TEXT(H73,"0"),IPRESS!$A$3:$B$212,2,0),"")</f>
        <v/>
      </c>
      <c r="J73" s="241" t="n"/>
      <c r="K73" s="332" t="n"/>
      <c r="L73" s="239" t="n">
        <v>18.18</v>
      </c>
      <c r="M73" s="239" t="n"/>
      <c r="N73" s="333">
        <f>IFERROR(IF(L73*M73=0,"",L73*M73),"")</f>
        <v/>
      </c>
      <c r="O73" s="241" t="n"/>
      <c r="P73" s="332">
        <f>IFERROR(VLOOKUP(TEXT(O73,"0"),CONDUCTORES!$A$3:$G$100,2,0),"")</f>
        <v/>
      </c>
      <c r="Q73" s="332">
        <f>IFERROR(VLOOKUP(TEXT(O73,"0"),CONDUCTORES!$A$3:$H$100,6,0),"")</f>
        <v/>
      </c>
      <c r="R73" s="280" t="n"/>
      <c r="S73" s="305" t="n"/>
      <c r="T73" s="241" t="n"/>
      <c r="U73" s="280" t="n"/>
      <c r="V73" s="305" t="n"/>
      <c r="W73" s="241" t="n"/>
      <c r="X73" s="241" t="n"/>
      <c r="Y73" s="280" t="n"/>
      <c r="Z73" s="350">
        <f>IF(AND(R73&lt;&gt;"",V73&lt;&gt;"",W73&lt;&gt;""),"ENTREGADO","POR RECOGER")</f>
        <v/>
      </c>
      <c r="AA73" s="198" t="n"/>
      <c r="AB73" s="198" t="n"/>
      <c r="AC73" s="198" t="n"/>
    </row>
    <row r="74" ht="15.75" customHeight="1" s="195">
      <c r="A74" s="301" t="n">
        <v>69</v>
      </c>
      <c r="B74" s="302" t="n"/>
      <c r="C74" s="301" t="inlineStr">
        <is>
          <t>REGION</t>
        </is>
      </c>
      <c r="D74" s="302" t="n"/>
      <c r="E74" s="301" t="inlineStr">
        <is>
          <t>DNI</t>
        </is>
      </c>
      <c r="F74" s="301" t="n"/>
      <c r="G74" s="334" t="n"/>
      <c r="H74" s="301" t="n"/>
      <c r="I74" s="332">
        <f>IFERROR(VLOOKUP(TEXT(H74,"0"),IPRESS!$A$3:$B$212,2,0),"")</f>
        <v/>
      </c>
      <c r="J74" s="301" t="n"/>
      <c r="K74" s="332" t="n"/>
      <c r="L74" s="245" t="n">
        <v>18.18</v>
      </c>
      <c r="M74" s="245" t="n"/>
      <c r="N74" s="333">
        <f>IFERROR(IF(L74*M74=0,"",L74*M74),"")</f>
        <v/>
      </c>
      <c r="O74" s="301" t="n"/>
      <c r="P74" s="332">
        <f>IFERROR(VLOOKUP(TEXT(O74,"0"),CONDUCTORES!$A$3:$G$100,2,0),"")</f>
        <v/>
      </c>
      <c r="Q74" s="332">
        <f>IFERROR(VLOOKUP(TEXT(O74,"0"),CONDUCTORES!$A$3:$H$100,6,0),"")</f>
        <v/>
      </c>
      <c r="R74" s="334" t="n"/>
      <c r="S74" s="302" t="n"/>
      <c r="T74" s="301" t="n"/>
      <c r="U74" s="334" t="n"/>
      <c r="V74" s="302" t="n"/>
      <c r="W74" s="301" t="n"/>
      <c r="X74" s="301" t="n"/>
      <c r="Y74" s="280" t="n"/>
      <c r="Z74" s="350">
        <f>IF(AND(R74&lt;&gt;"",V74&lt;&gt;"",W74&lt;&gt;""),"ENTREGADO","POR RECOGER")</f>
        <v/>
      </c>
      <c r="AA74" s="198" t="n"/>
      <c r="AB74" s="198" t="n"/>
      <c r="AC74" s="198" t="n"/>
    </row>
    <row r="75" ht="15.75" customHeight="1" s="195">
      <c r="A75" s="241" t="n">
        <v>70</v>
      </c>
      <c r="B75" s="305" t="n"/>
      <c r="C75" s="241" t="inlineStr">
        <is>
          <t>REGION</t>
        </is>
      </c>
      <c r="D75" s="305" t="n"/>
      <c r="E75" s="241" t="inlineStr">
        <is>
          <t>DNI</t>
        </is>
      </c>
      <c r="F75" s="241" t="n"/>
      <c r="G75" s="280" t="n"/>
      <c r="H75" s="241" t="n"/>
      <c r="I75" s="332">
        <f>IFERROR(VLOOKUP(TEXT(H75,"0"),IPRESS!$A$3:$B$212,2,0),"")</f>
        <v/>
      </c>
      <c r="J75" s="241" t="n"/>
      <c r="K75" s="332" t="n"/>
      <c r="L75" s="239" t="n">
        <v>18.18</v>
      </c>
      <c r="M75" s="239" t="n"/>
      <c r="N75" s="333">
        <f>IFERROR(IF(L75*M75=0,"",L75*M75),"")</f>
        <v/>
      </c>
      <c r="O75" s="241" t="n"/>
      <c r="P75" s="332">
        <f>IFERROR(VLOOKUP(TEXT(O75,"0"),CONDUCTORES!$A$3:$G$100,2,0),"")</f>
        <v/>
      </c>
      <c r="Q75" s="332">
        <f>IFERROR(VLOOKUP(TEXT(O75,"0"),CONDUCTORES!$A$3:$H$100,6,0),"")</f>
        <v/>
      </c>
      <c r="R75" s="280" t="n"/>
      <c r="S75" s="305" t="n"/>
      <c r="T75" s="241" t="n"/>
      <c r="U75" s="280" t="n"/>
      <c r="V75" s="305" t="n"/>
      <c r="W75" s="241" t="n"/>
      <c r="X75" s="241" t="n"/>
      <c r="Y75" s="280" t="n"/>
      <c r="Z75" s="350">
        <f>IF(AND(R75&lt;&gt;"",V75&lt;&gt;"",W75&lt;&gt;""),"ENTREGADO","POR RECOGER")</f>
        <v/>
      </c>
      <c r="AA75" s="198" t="n"/>
      <c r="AB75" s="198" t="n"/>
      <c r="AC75" s="198" t="n"/>
    </row>
    <row r="76" ht="15.75" customHeight="1" s="195">
      <c r="A76" s="301" t="n">
        <v>71</v>
      </c>
      <c r="B76" s="302" t="n"/>
      <c r="C76" s="301" t="inlineStr">
        <is>
          <t>REGION</t>
        </is>
      </c>
      <c r="D76" s="302" t="n"/>
      <c r="E76" s="301" t="inlineStr">
        <is>
          <t>DNI</t>
        </is>
      </c>
      <c r="F76" s="301" t="n"/>
      <c r="G76" s="334" t="n"/>
      <c r="H76" s="301" t="n"/>
      <c r="I76" s="332">
        <f>IFERROR(VLOOKUP(TEXT(H76,"0"),IPRESS!$A$3:$B$212,2,0),"")</f>
        <v/>
      </c>
      <c r="J76" s="301" t="n"/>
      <c r="K76" s="332" t="n"/>
      <c r="L76" s="245" t="n">
        <v>18.18</v>
      </c>
      <c r="M76" s="245" t="n"/>
      <c r="N76" s="333">
        <f>IFERROR(IF(L76*M76=0,"",L76*M76),"")</f>
        <v/>
      </c>
      <c r="O76" s="301" t="n"/>
      <c r="P76" s="332">
        <f>IFERROR(VLOOKUP(TEXT(O76,"0"),CONDUCTORES!$A$3:$G$100,2,0),"")</f>
        <v/>
      </c>
      <c r="Q76" s="332">
        <f>IFERROR(VLOOKUP(TEXT(O76,"0"),CONDUCTORES!$A$3:$H$100,6,0),"")</f>
        <v/>
      </c>
      <c r="R76" s="334" t="n"/>
      <c r="S76" s="302" t="n"/>
      <c r="T76" s="301" t="n"/>
      <c r="U76" s="334" t="n"/>
      <c r="V76" s="302" t="n"/>
      <c r="W76" s="301" t="n"/>
      <c r="X76" s="301" t="n"/>
      <c r="Y76" s="280" t="n"/>
      <c r="Z76" s="350">
        <f>IF(AND(R76&lt;&gt;"",V76&lt;&gt;"",W76&lt;&gt;""),"ENTREGADO","POR RECOGER")</f>
        <v/>
      </c>
      <c r="AA76" s="198" t="n"/>
      <c r="AB76" s="198" t="n"/>
      <c r="AC76" s="198" t="n"/>
    </row>
    <row r="77" ht="15.75" customHeight="1" s="195">
      <c r="A77" s="241" t="n">
        <v>72</v>
      </c>
      <c r="B77" s="305" t="n"/>
      <c r="C77" s="241" t="inlineStr">
        <is>
          <t>REGION</t>
        </is>
      </c>
      <c r="D77" s="305" t="n"/>
      <c r="E77" s="241" t="inlineStr">
        <is>
          <t>DNI</t>
        </is>
      </c>
      <c r="F77" s="241" t="n"/>
      <c r="G77" s="280" t="n"/>
      <c r="H77" s="241" t="n"/>
      <c r="I77" s="332">
        <f>IFERROR(VLOOKUP(TEXT(H77,"0"),IPRESS!$A$3:$B$212,2,0),"")</f>
        <v/>
      </c>
      <c r="J77" s="241" t="n"/>
      <c r="K77" s="332" t="n"/>
      <c r="L77" s="239" t="n">
        <v>18.18</v>
      </c>
      <c r="M77" s="239" t="n"/>
      <c r="N77" s="333">
        <f>IFERROR(IF(L77*M77=0,"",L77*M77),"")</f>
        <v/>
      </c>
      <c r="O77" s="241" t="n"/>
      <c r="P77" s="332">
        <f>IFERROR(VLOOKUP(TEXT(O77,"0"),CONDUCTORES!$A$3:$G$100,2,0),"")</f>
        <v/>
      </c>
      <c r="Q77" s="332">
        <f>IFERROR(VLOOKUP(TEXT(O77,"0"),CONDUCTORES!$A$3:$H$100,6,0),"")</f>
        <v/>
      </c>
      <c r="R77" s="280" t="n"/>
      <c r="S77" s="305" t="n"/>
      <c r="T77" s="241" t="n"/>
      <c r="U77" s="280" t="n"/>
      <c r="V77" s="305" t="n"/>
      <c r="W77" s="241" t="n"/>
      <c r="X77" s="241" t="n"/>
      <c r="Y77" s="280" t="n"/>
      <c r="Z77" s="350">
        <f>IF(AND(R77&lt;&gt;"",V77&lt;&gt;"",W77&lt;&gt;""),"ENTREGADO","POR RECOGER")</f>
        <v/>
      </c>
      <c r="AA77" s="198" t="n"/>
      <c r="AB77" s="198" t="n"/>
      <c r="AC77" s="198" t="n"/>
    </row>
    <row r="78" ht="15.75" customHeight="1" s="195">
      <c r="A78" s="301" t="n">
        <v>73</v>
      </c>
      <c r="B78" s="302" t="n"/>
      <c r="C78" s="301" t="inlineStr">
        <is>
          <t>REGION</t>
        </is>
      </c>
      <c r="D78" s="302" t="n"/>
      <c r="E78" s="301" t="inlineStr">
        <is>
          <t>DNI</t>
        </is>
      </c>
      <c r="F78" s="301" t="n"/>
      <c r="G78" s="334" t="n"/>
      <c r="H78" s="301" t="n"/>
      <c r="I78" s="332">
        <f>IFERROR(VLOOKUP(TEXT(H78,"0"),IPRESS!$A$3:$B$212,2,0),"")</f>
        <v/>
      </c>
      <c r="J78" s="301" t="n"/>
      <c r="K78" s="332" t="n"/>
      <c r="L78" s="245" t="n"/>
      <c r="M78" s="245" t="n"/>
      <c r="N78" s="333">
        <f>IFERROR(IF(L78*M78=0,"",L78*M78),"")</f>
        <v/>
      </c>
      <c r="O78" s="301" t="n"/>
      <c r="P78" s="332">
        <f>IFERROR(VLOOKUP(TEXT(O78,"0"),CONDUCTORES!$A$3:$G$100,2,0),"")</f>
        <v/>
      </c>
      <c r="Q78" s="332">
        <f>IFERROR(VLOOKUP(TEXT(O78,"0"),CONDUCTORES!$A$3:$H$100,6,0),"")</f>
        <v/>
      </c>
      <c r="R78" s="334" t="n"/>
      <c r="S78" s="302" t="n"/>
      <c r="T78" s="301" t="n"/>
      <c r="U78" s="334" t="n"/>
      <c r="V78" s="302" t="n"/>
      <c r="W78" s="301" t="n"/>
      <c r="X78" s="301" t="n"/>
      <c r="Y78" s="280" t="n"/>
      <c r="Z78" s="350">
        <f>IF(AND(R78&lt;&gt;"",V78&lt;&gt;"",W78&lt;&gt;""),"ENTREGADO","POR RECOGER")</f>
        <v/>
      </c>
      <c r="AA78" s="198" t="n"/>
      <c r="AB78" s="198" t="n"/>
      <c r="AC78" s="198" t="n"/>
    </row>
    <row r="79" ht="15.75" customHeight="1" s="195">
      <c r="A79" s="241" t="n">
        <v>74</v>
      </c>
      <c r="B79" s="305" t="n"/>
      <c r="C79" s="241" t="inlineStr">
        <is>
          <t>REGION</t>
        </is>
      </c>
      <c r="D79" s="305" t="n"/>
      <c r="E79" s="241" t="inlineStr">
        <is>
          <t>DNI</t>
        </is>
      </c>
      <c r="F79" s="241" t="n"/>
      <c r="G79" s="280" t="n"/>
      <c r="H79" s="241" t="n"/>
      <c r="I79" s="332">
        <f>IFERROR(VLOOKUP(TEXT(H79,"0"),IPRESS!$A$3:$B$212,2,0),"")</f>
        <v/>
      </c>
      <c r="J79" s="241" t="n"/>
      <c r="K79" s="332" t="n"/>
      <c r="L79" s="239" t="n"/>
      <c r="M79" s="239" t="n"/>
      <c r="N79" s="333">
        <f>IFERROR(IF(L79*M79=0,"",L79*M79),"")</f>
        <v/>
      </c>
      <c r="O79" s="241" t="n"/>
      <c r="P79" s="332">
        <f>IFERROR(VLOOKUP(TEXT(O79,"0"),CONDUCTORES!$A$3:$G$100,2,0),"")</f>
        <v/>
      </c>
      <c r="Q79" s="332">
        <f>IFERROR(VLOOKUP(TEXT(O79,"0"),CONDUCTORES!$A$3:$H$100,6,0),"")</f>
        <v/>
      </c>
      <c r="R79" s="280" t="n"/>
      <c r="S79" s="305" t="n"/>
      <c r="T79" s="241" t="n"/>
      <c r="U79" s="280" t="n"/>
      <c r="V79" s="305" t="n"/>
      <c r="W79" s="241" t="n"/>
      <c r="X79" s="241" t="n"/>
      <c r="Y79" s="280" t="n"/>
      <c r="Z79" s="350">
        <f>IF(AND(R79&lt;&gt;"",V79&lt;&gt;"",W79&lt;&gt;""),"ENTREGADO","POR RECOGER")</f>
        <v/>
      </c>
      <c r="AA79" s="198" t="n"/>
      <c r="AB79" s="198" t="n"/>
      <c r="AC79" s="198" t="n"/>
    </row>
    <row r="80" ht="15.75" customHeight="1" s="195">
      <c r="A80" s="301" t="n">
        <v>75</v>
      </c>
      <c r="B80" s="302" t="n"/>
      <c r="C80" s="301" t="inlineStr">
        <is>
          <t>REGION</t>
        </is>
      </c>
      <c r="D80" s="302" t="n"/>
      <c r="E80" s="301" t="inlineStr">
        <is>
          <t>DNI</t>
        </is>
      </c>
      <c r="F80" s="301" t="n"/>
      <c r="G80" s="334" t="n"/>
      <c r="H80" s="301" t="n"/>
      <c r="I80" s="332">
        <f>IFERROR(VLOOKUP(TEXT(H80,"0"),IPRESS!$A$3:$B$212,2,0),"")</f>
        <v/>
      </c>
      <c r="J80" s="301" t="n"/>
      <c r="K80" s="332" t="n"/>
      <c r="L80" s="245" t="n"/>
      <c r="M80" s="245" t="n"/>
      <c r="N80" s="333">
        <f>IFERROR(IF(L80*M80=0,"",L80*M80),"")</f>
        <v/>
      </c>
      <c r="O80" s="301" t="n"/>
      <c r="P80" s="332">
        <f>IFERROR(VLOOKUP(TEXT(O80,"0"),CONDUCTORES!$A$3:$G$100,2,0),"")</f>
        <v/>
      </c>
      <c r="Q80" s="332">
        <f>IFERROR(VLOOKUP(TEXT(O80,"0"),CONDUCTORES!$A$3:$H$100,6,0),"")</f>
        <v/>
      </c>
      <c r="R80" s="334" t="n"/>
      <c r="S80" s="302" t="n"/>
      <c r="T80" s="301" t="n"/>
      <c r="U80" s="334" t="n"/>
      <c r="V80" s="302" t="n"/>
      <c r="W80" s="301" t="n"/>
      <c r="X80" s="301" t="n"/>
      <c r="Y80" s="280" t="n"/>
      <c r="Z80" s="350">
        <f>IF(AND(R80&lt;&gt;"",V80&lt;&gt;"",W80&lt;&gt;""),"ENTREGADO","POR RECOGER")</f>
        <v/>
      </c>
      <c r="AA80" s="198" t="n"/>
      <c r="AB80" s="198" t="n"/>
      <c r="AC80" s="198" t="n"/>
    </row>
    <row r="81" ht="15.75" customHeight="1" s="195">
      <c r="A81" s="241" t="n">
        <v>76</v>
      </c>
      <c r="B81" s="305" t="n"/>
      <c r="C81" s="241" t="inlineStr">
        <is>
          <t>REGION</t>
        </is>
      </c>
      <c r="D81" s="305" t="n"/>
      <c r="E81" s="241" t="inlineStr">
        <is>
          <t>DNI</t>
        </is>
      </c>
      <c r="F81" s="241" t="n"/>
      <c r="G81" s="280" t="n"/>
      <c r="H81" s="241" t="n"/>
      <c r="I81" s="332">
        <f>IFERROR(VLOOKUP(TEXT(H81,"0"),IPRESS!$A$3:$B$212,2,0),"")</f>
        <v/>
      </c>
      <c r="J81" s="241" t="n"/>
      <c r="K81" s="332" t="n"/>
      <c r="L81" s="239" t="n"/>
      <c r="M81" s="239" t="n"/>
      <c r="N81" s="333">
        <f>IFERROR(IF(L81*M81=0,"",L81*M81),"")</f>
        <v/>
      </c>
      <c r="O81" s="241" t="n"/>
      <c r="P81" s="332">
        <f>IFERROR(VLOOKUP(TEXT(O81,"0"),CONDUCTORES!$A$3:$G$100,2,0),"")</f>
        <v/>
      </c>
      <c r="Q81" s="332">
        <f>IFERROR(VLOOKUP(TEXT(O81,"0"),CONDUCTORES!$A$3:$H$100,6,0),"")</f>
        <v/>
      </c>
      <c r="R81" s="280" t="n"/>
      <c r="S81" s="305" t="n"/>
      <c r="T81" s="241" t="n"/>
      <c r="U81" s="280" t="n"/>
      <c r="V81" s="305" t="n"/>
      <c r="W81" s="241" t="n"/>
      <c r="X81" s="241" t="n"/>
      <c r="Y81" s="280" t="n"/>
      <c r="Z81" s="350">
        <f>IF(AND(R81&lt;&gt;"",V81&lt;&gt;"",W81&lt;&gt;""),"ENTREGADO","POR RECOGER")</f>
        <v/>
      </c>
      <c r="AA81" s="198" t="n"/>
      <c r="AB81" s="198" t="n"/>
      <c r="AC81" s="198" t="n"/>
    </row>
    <row r="82" ht="15.75" customHeight="1" s="195">
      <c r="A82" s="301" t="n">
        <v>77</v>
      </c>
      <c r="B82" s="302" t="n"/>
      <c r="C82" s="301" t="inlineStr">
        <is>
          <t>REGION</t>
        </is>
      </c>
      <c r="D82" s="302" t="n"/>
      <c r="E82" s="301" t="inlineStr">
        <is>
          <t>DNI</t>
        </is>
      </c>
      <c r="F82" s="301" t="n"/>
      <c r="G82" s="334" t="n"/>
      <c r="H82" s="301" t="n"/>
      <c r="I82" s="332">
        <f>IFERROR(VLOOKUP(TEXT(H82,"0"),IPRESS!$A$3:$B$212,2,0),"")</f>
        <v/>
      </c>
      <c r="J82" s="301" t="n"/>
      <c r="K82" s="332" t="n"/>
      <c r="L82" s="245" t="n"/>
      <c r="M82" s="245" t="n"/>
      <c r="N82" s="333">
        <f>IFERROR(IF(L82*M82=0,"",L82*M82),"")</f>
        <v/>
      </c>
      <c r="O82" s="301" t="n"/>
      <c r="P82" s="332">
        <f>IFERROR(VLOOKUP(TEXT(O82,"0"),CONDUCTORES!$A$3:$G$100,2,0),"")</f>
        <v/>
      </c>
      <c r="Q82" s="332">
        <f>IFERROR(VLOOKUP(TEXT(O82,"0"),CONDUCTORES!$A$3:$H$100,6,0),"")</f>
        <v/>
      </c>
      <c r="R82" s="334" t="n"/>
      <c r="S82" s="302" t="n"/>
      <c r="T82" s="301" t="n"/>
      <c r="U82" s="334" t="n"/>
      <c r="V82" s="302" t="n"/>
      <c r="W82" s="301" t="n"/>
      <c r="X82" s="301" t="n"/>
      <c r="Y82" s="280" t="n"/>
      <c r="Z82" s="350">
        <f>IF(AND(R82&lt;&gt;"",V82&lt;&gt;"",W82&lt;&gt;""),"ENTREGADO","POR RECOGER")</f>
        <v/>
      </c>
      <c r="AA82" s="198" t="n"/>
      <c r="AB82" s="198" t="n"/>
      <c r="AC82" s="198" t="n"/>
    </row>
    <row r="83" ht="15.75" customHeight="1" s="195">
      <c r="A83" s="241" t="n">
        <v>78</v>
      </c>
      <c r="B83" s="305" t="n"/>
      <c r="C83" s="241" t="inlineStr">
        <is>
          <t>REGION</t>
        </is>
      </c>
      <c r="D83" s="305" t="n"/>
      <c r="E83" s="241" t="inlineStr">
        <is>
          <t>DNI</t>
        </is>
      </c>
      <c r="F83" s="241" t="n"/>
      <c r="G83" s="280" t="n"/>
      <c r="H83" s="241" t="n"/>
      <c r="I83" s="332">
        <f>IFERROR(VLOOKUP(TEXT(H83,"0"),IPRESS!$A$3:$B$212,2,0),"")</f>
        <v/>
      </c>
      <c r="J83" s="241" t="n"/>
      <c r="K83" s="332" t="n"/>
      <c r="L83" s="239" t="n"/>
      <c r="M83" s="239" t="n"/>
      <c r="N83" s="333">
        <f>IFERROR(IF(L83*M83=0,"",L83*M83),"")</f>
        <v/>
      </c>
      <c r="O83" s="241" t="n"/>
      <c r="P83" s="332">
        <f>IFERROR(VLOOKUP(TEXT(O83,"0"),CONDUCTORES!$A$3:$G$100,2,0),"")</f>
        <v/>
      </c>
      <c r="Q83" s="332">
        <f>IFERROR(VLOOKUP(TEXT(O83,"0"),CONDUCTORES!$A$3:$H$100,6,0),"")</f>
        <v/>
      </c>
      <c r="R83" s="280" t="n"/>
      <c r="S83" s="305" t="n"/>
      <c r="T83" s="241" t="n"/>
      <c r="U83" s="280" t="n"/>
      <c r="V83" s="305" t="n"/>
      <c r="W83" s="241" t="n"/>
      <c r="X83" s="241" t="n"/>
      <c r="Y83" s="280" t="n"/>
      <c r="Z83" s="350">
        <f>IF(AND(R83&lt;&gt;"",V83&lt;&gt;"",W83&lt;&gt;""),"ENTREGADO","POR RECOGER")</f>
        <v/>
      </c>
      <c r="AA83" s="198" t="n"/>
      <c r="AB83" s="198" t="n"/>
      <c r="AC83" s="198" t="n"/>
    </row>
    <row r="84" ht="15.75" customHeight="1" s="195">
      <c r="A84" s="301" t="n">
        <v>79</v>
      </c>
      <c r="B84" s="302" t="n"/>
      <c r="C84" s="301" t="inlineStr">
        <is>
          <t>REGION</t>
        </is>
      </c>
      <c r="D84" s="302" t="n"/>
      <c r="E84" s="301" t="inlineStr">
        <is>
          <t>DNI</t>
        </is>
      </c>
      <c r="F84" s="301" t="n"/>
      <c r="G84" s="334" t="n"/>
      <c r="H84" s="301" t="n"/>
      <c r="I84" s="332">
        <f>IFERROR(VLOOKUP(TEXT(H84,"0"),IPRESS!$A$3:$B$212,2,0),"")</f>
        <v/>
      </c>
      <c r="J84" s="301" t="n"/>
      <c r="K84" s="332" t="n"/>
      <c r="L84" s="245" t="n"/>
      <c r="M84" s="245" t="n"/>
      <c r="N84" s="333">
        <f>IFERROR(IF(L84*M84=0,"",L84*M84),"")</f>
        <v/>
      </c>
      <c r="O84" s="301" t="n"/>
      <c r="P84" s="332">
        <f>IFERROR(VLOOKUP(TEXT(O84,"0"),CONDUCTORES!$A$3:$G$100,2,0),"")</f>
        <v/>
      </c>
      <c r="Q84" s="332">
        <f>IFERROR(VLOOKUP(TEXT(O84,"0"),CONDUCTORES!$A$3:$H$100,6,0),"")</f>
        <v/>
      </c>
      <c r="R84" s="334" t="n"/>
      <c r="S84" s="302" t="n"/>
      <c r="T84" s="301" t="n"/>
      <c r="U84" s="334" t="n"/>
      <c r="V84" s="302" t="n"/>
      <c r="W84" s="301" t="n"/>
      <c r="X84" s="301" t="n"/>
      <c r="Y84" s="280" t="n"/>
      <c r="Z84" s="350">
        <f>IF(AND(R84&lt;&gt;"",V84&lt;&gt;"",W84&lt;&gt;""),"ENTREGADO","POR RECOGER")</f>
        <v/>
      </c>
      <c r="AA84" s="198" t="n"/>
      <c r="AB84" s="198" t="n"/>
      <c r="AC84" s="198" t="n"/>
    </row>
    <row r="85" ht="15.75" customHeight="1" s="195">
      <c r="A85" s="241" t="n">
        <v>80</v>
      </c>
      <c r="B85" s="305" t="n"/>
      <c r="C85" s="241" t="inlineStr">
        <is>
          <t>REGION</t>
        </is>
      </c>
      <c r="D85" s="305" t="n"/>
      <c r="E85" s="241" t="inlineStr">
        <is>
          <t>DNI</t>
        </is>
      </c>
      <c r="F85" s="241" t="n"/>
      <c r="G85" s="280" t="n"/>
      <c r="H85" s="241" t="n"/>
      <c r="I85" s="332">
        <f>IFERROR(VLOOKUP(TEXT(H85,"0"),IPRESS!$A$3:$B$212,2,0),"")</f>
        <v/>
      </c>
      <c r="J85" s="241" t="n"/>
      <c r="K85" s="332" t="n"/>
      <c r="L85" s="239" t="n"/>
      <c r="M85" s="239" t="n"/>
      <c r="N85" s="333">
        <f>IFERROR(IF(L85*M85=0,"",L85*M85),"")</f>
        <v/>
      </c>
      <c r="O85" s="241" t="n"/>
      <c r="P85" s="332">
        <f>IFERROR(VLOOKUP(TEXT(O85,"0"),CONDUCTORES!$A$3:$G$100,2,0),"")</f>
        <v/>
      </c>
      <c r="Q85" s="332">
        <f>IFERROR(VLOOKUP(TEXT(O85,"0"),CONDUCTORES!$A$3:$H$100,6,0),"")</f>
        <v/>
      </c>
      <c r="R85" s="280" t="n"/>
      <c r="S85" s="305" t="n"/>
      <c r="T85" s="241" t="n"/>
      <c r="U85" s="280" t="n"/>
      <c r="V85" s="305" t="n"/>
      <c r="W85" s="241" t="n"/>
      <c r="X85" s="241" t="n"/>
      <c r="Y85" s="280" t="n"/>
      <c r="Z85" s="350">
        <f>IF(AND(R85&lt;&gt;"",V85&lt;&gt;"",W85&lt;&gt;""),"ENTREGADO","POR RECOGER")</f>
        <v/>
      </c>
      <c r="AA85" s="198" t="n"/>
      <c r="AB85" s="198" t="n"/>
      <c r="AC85" s="198" t="n"/>
    </row>
    <row r="86" ht="15.75" customHeight="1" s="195">
      <c r="A86" s="301" t="n">
        <v>81</v>
      </c>
      <c r="B86" s="302" t="n"/>
      <c r="C86" s="301" t="inlineStr">
        <is>
          <t>REGION</t>
        </is>
      </c>
      <c r="D86" s="302" t="n"/>
      <c r="E86" s="301" t="inlineStr">
        <is>
          <t>DNI</t>
        </is>
      </c>
      <c r="F86" s="301" t="n"/>
      <c r="G86" s="334" t="n"/>
      <c r="H86" s="301" t="n"/>
      <c r="I86" s="332">
        <f>IFERROR(VLOOKUP(TEXT(H86,"0"),IPRESS!$A$3:$B$212,2,0),"")</f>
        <v/>
      </c>
      <c r="J86" s="301" t="n"/>
      <c r="K86" s="332" t="n"/>
      <c r="L86" s="245" t="n"/>
      <c r="M86" s="245" t="n"/>
      <c r="N86" s="333">
        <f>IFERROR(IF(L86*M86=0,"",L86*M86),"")</f>
        <v/>
      </c>
      <c r="O86" s="301" t="n"/>
      <c r="P86" s="332">
        <f>IFERROR(VLOOKUP(TEXT(O86,"0"),CONDUCTORES!$A$3:$G$100,2,0),"")</f>
        <v/>
      </c>
      <c r="Q86" s="332">
        <f>IFERROR(VLOOKUP(TEXT(O86,"0"),CONDUCTORES!$A$3:$H$100,6,0),"")</f>
        <v/>
      </c>
      <c r="R86" s="334" t="n"/>
      <c r="S86" s="302" t="n"/>
      <c r="T86" s="301" t="n"/>
      <c r="U86" s="334" t="n"/>
      <c r="V86" s="302" t="n"/>
      <c r="W86" s="301" t="n"/>
      <c r="X86" s="301" t="n"/>
      <c r="Y86" s="280" t="n"/>
      <c r="Z86" s="350">
        <f>IF(AND(R86&lt;&gt;"",V86&lt;&gt;"",W86&lt;&gt;""),"ENTREGADO","POR RECOGER")</f>
        <v/>
      </c>
      <c r="AA86" s="198" t="n"/>
      <c r="AB86" s="198" t="n"/>
      <c r="AC86" s="198" t="n"/>
    </row>
    <row r="87" ht="15.75" customHeight="1" s="195">
      <c r="A87" s="241" t="n">
        <v>82</v>
      </c>
      <c r="B87" s="305" t="n"/>
      <c r="C87" s="241" t="inlineStr">
        <is>
          <t>REGION</t>
        </is>
      </c>
      <c r="D87" s="305" t="n"/>
      <c r="E87" s="241" t="inlineStr">
        <is>
          <t>DNI</t>
        </is>
      </c>
      <c r="F87" s="241" t="n"/>
      <c r="G87" s="280" t="n"/>
      <c r="H87" s="241" t="n"/>
      <c r="I87" s="332">
        <f>IFERROR(VLOOKUP(TEXT(H87,"0"),IPRESS!$A$3:$B$212,2,0),"")</f>
        <v/>
      </c>
      <c r="J87" s="241" t="n"/>
      <c r="K87" s="332" t="n"/>
      <c r="L87" s="239" t="n"/>
      <c r="M87" s="239" t="n"/>
      <c r="N87" s="333">
        <f>IFERROR(IF(L87*M87=0,"",L87*M87),"")</f>
        <v/>
      </c>
      <c r="O87" s="241" t="n"/>
      <c r="P87" s="332">
        <f>IFERROR(VLOOKUP(TEXT(O87,"0"),CONDUCTORES!$A$3:$G$100,2,0),"")</f>
        <v/>
      </c>
      <c r="Q87" s="332">
        <f>IFERROR(VLOOKUP(TEXT(O87,"0"),CONDUCTORES!$A$3:$H$100,6,0),"")</f>
        <v/>
      </c>
      <c r="R87" s="280" t="n"/>
      <c r="S87" s="305" t="n"/>
      <c r="T87" s="241" t="n"/>
      <c r="U87" s="280" t="n"/>
      <c r="V87" s="305" t="n"/>
      <c r="W87" s="241" t="n"/>
      <c r="X87" s="241" t="n"/>
      <c r="Y87" s="280" t="n"/>
      <c r="Z87" s="350">
        <f>IF(AND(R87&lt;&gt;"",V87&lt;&gt;"",W87&lt;&gt;""),"ENTREGADO","POR RECOGER")</f>
        <v/>
      </c>
      <c r="AA87" s="198" t="n"/>
      <c r="AB87" s="198" t="n"/>
      <c r="AC87" s="198" t="n"/>
    </row>
    <row r="88" ht="15.75" customHeight="1" s="195">
      <c r="A88" s="301" t="n">
        <v>83</v>
      </c>
      <c r="B88" s="302" t="n"/>
      <c r="C88" s="301" t="inlineStr">
        <is>
          <t>REGION</t>
        </is>
      </c>
      <c r="D88" s="302" t="n"/>
      <c r="E88" s="301" t="inlineStr">
        <is>
          <t>DNI</t>
        </is>
      </c>
      <c r="F88" s="301" t="n"/>
      <c r="G88" s="334" t="n"/>
      <c r="H88" s="301" t="n"/>
      <c r="I88" s="332">
        <f>IFERROR(VLOOKUP(TEXT(H88,"0"),IPRESS!$A$3:$B$212,2,0),"")</f>
        <v/>
      </c>
      <c r="J88" s="301" t="n"/>
      <c r="K88" s="332" t="n"/>
      <c r="L88" s="245" t="n"/>
      <c r="M88" s="245" t="n"/>
      <c r="N88" s="333">
        <f>IFERROR(IF(L88*M88=0,"",L88*M88),"")</f>
        <v/>
      </c>
      <c r="O88" s="301" t="n"/>
      <c r="P88" s="332">
        <f>IFERROR(VLOOKUP(TEXT(O88,"0"),CONDUCTORES!$A$3:$G$100,2,0),"")</f>
        <v/>
      </c>
      <c r="Q88" s="332">
        <f>IFERROR(VLOOKUP(TEXT(O88,"0"),CONDUCTORES!$A$3:$H$100,6,0),"")</f>
        <v/>
      </c>
      <c r="R88" s="334" t="n"/>
      <c r="S88" s="302" t="n"/>
      <c r="T88" s="301" t="n"/>
      <c r="U88" s="334" t="n"/>
      <c r="V88" s="302" t="n"/>
      <c r="W88" s="301" t="n"/>
      <c r="X88" s="301" t="n"/>
      <c r="Y88" s="280" t="n"/>
      <c r="Z88" s="350">
        <f>IF(AND(R88&lt;&gt;"",V88&lt;&gt;"",W88&lt;&gt;""),"ENTREGADO","POR RECOGER")</f>
        <v/>
      </c>
      <c r="AA88" s="198" t="n"/>
      <c r="AB88" s="198" t="n"/>
      <c r="AC88" s="198" t="n"/>
    </row>
    <row r="89" ht="15.75" customHeight="1" s="195">
      <c r="A89" s="241" t="n">
        <v>84</v>
      </c>
      <c r="B89" s="305" t="n"/>
      <c r="C89" s="241" t="inlineStr">
        <is>
          <t>REGION</t>
        </is>
      </c>
      <c r="D89" s="305" t="n"/>
      <c r="E89" s="241" t="inlineStr">
        <is>
          <t>DNI</t>
        </is>
      </c>
      <c r="F89" s="241" t="n"/>
      <c r="G89" s="280" t="n"/>
      <c r="H89" s="241" t="n"/>
      <c r="I89" s="332">
        <f>IFERROR(VLOOKUP(TEXT(H89,"0"),IPRESS!$A$3:$B$212,2,0),"")</f>
        <v/>
      </c>
      <c r="J89" s="241" t="n"/>
      <c r="K89" s="332" t="n"/>
      <c r="L89" s="239" t="n"/>
      <c r="M89" s="239" t="n"/>
      <c r="N89" s="333">
        <f>IFERROR(IF(L89*M89=0,"",L89*M89),"")</f>
        <v/>
      </c>
      <c r="O89" s="241" t="n"/>
      <c r="P89" s="332">
        <f>IFERROR(VLOOKUP(TEXT(O89,"0"),CONDUCTORES!$A$3:$G$100,2,0),"")</f>
        <v/>
      </c>
      <c r="Q89" s="332">
        <f>IFERROR(VLOOKUP(TEXT(O89,"0"),CONDUCTORES!$A$3:$H$100,6,0),"")</f>
        <v/>
      </c>
      <c r="R89" s="280" t="n"/>
      <c r="S89" s="305" t="n"/>
      <c r="T89" s="241" t="n"/>
      <c r="U89" s="280" t="n"/>
      <c r="V89" s="305" t="n"/>
      <c r="W89" s="241" t="n"/>
      <c r="X89" s="241" t="n"/>
      <c r="Y89" s="280" t="n"/>
      <c r="Z89" s="350">
        <f>IF(AND(R89&lt;&gt;"",V89&lt;&gt;"",W89&lt;&gt;""),"ENTREGADO","POR RECOGER")</f>
        <v/>
      </c>
      <c r="AA89" s="198" t="n"/>
      <c r="AB89" s="198" t="n"/>
      <c r="AC89" s="198" t="n"/>
    </row>
    <row r="90" ht="15.75" customHeight="1" s="195">
      <c r="A90" s="301" t="n">
        <v>85</v>
      </c>
      <c r="B90" s="302" t="n"/>
      <c r="C90" s="301" t="inlineStr">
        <is>
          <t>REGION</t>
        </is>
      </c>
      <c r="D90" s="302" t="n"/>
      <c r="E90" s="301" t="inlineStr">
        <is>
          <t>DNI</t>
        </is>
      </c>
      <c r="F90" s="301" t="n"/>
      <c r="G90" s="334" t="n"/>
      <c r="H90" s="301" t="n"/>
      <c r="I90" s="332">
        <f>IFERROR(VLOOKUP(TEXT(H90,"0"),IPRESS!$A$3:$B$212,2,0),"")</f>
        <v/>
      </c>
      <c r="J90" s="301" t="n"/>
      <c r="K90" s="332" t="n"/>
      <c r="L90" s="245" t="n"/>
      <c r="M90" s="245" t="n"/>
      <c r="N90" s="333">
        <f>IFERROR(IF(L90*M90=0,"",L90*M90),"")</f>
        <v/>
      </c>
      <c r="O90" s="301" t="n"/>
      <c r="P90" s="332">
        <f>IFERROR(VLOOKUP(TEXT(O90,"0"),CONDUCTORES!$A$3:$G$100,2,0),"")</f>
        <v/>
      </c>
      <c r="Q90" s="332">
        <f>IFERROR(VLOOKUP(TEXT(O90,"0"),CONDUCTORES!$A$3:$H$100,6,0),"")</f>
        <v/>
      </c>
      <c r="R90" s="334" t="n"/>
      <c r="S90" s="302" t="n"/>
      <c r="T90" s="301" t="n"/>
      <c r="U90" s="334" t="n"/>
      <c r="V90" s="302" t="n"/>
      <c r="W90" s="301" t="n"/>
      <c r="X90" s="301" t="n"/>
      <c r="Y90" s="280" t="n"/>
      <c r="Z90" s="350">
        <f>IF(AND(R90&lt;&gt;"",V90&lt;&gt;"",W90&lt;&gt;""),"ENTREGADO","POR RECOGER")</f>
        <v/>
      </c>
      <c r="AA90" s="198" t="n"/>
      <c r="AB90" s="198" t="n"/>
      <c r="AC90" s="198" t="n"/>
    </row>
    <row r="91" ht="15.75" customHeight="1" s="195">
      <c r="A91" s="241" t="n">
        <v>86</v>
      </c>
      <c r="B91" s="305" t="n"/>
      <c r="C91" s="241" t="inlineStr">
        <is>
          <t>REGION</t>
        </is>
      </c>
      <c r="D91" s="305" t="n"/>
      <c r="E91" s="241" t="inlineStr">
        <is>
          <t>DNI</t>
        </is>
      </c>
      <c r="F91" s="241" t="n"/>
      <c r="G91" s="280" t="n"/>
      <c r="H91" s="241" t="n"/>
      <c r="I91" s="332">
        <f>IFERROR(VLOOKUP(TEXT(H91,"0"),IPRESS!$A$3:$B$212,2,0),"")</f>
        <v/>
      </c>
      <c r="J91" s="241" t="n"/>
      <c r="K91" s="332" t="n"/>
      <c r="L91" s="239" t="n"/>
      <c r="M91" s="239" t="n"/>
      <c r="N91" s="333">
        <f>IFERROR(IF(L91*M91=0,"",L91*M91),"")</f>
        <v/>
      </c>
      <c r="O91" s="241" t="n"/>
      <c r="P91" s="332">
        <f>IFERROR(VLOOKUP(TEXT(O91,"0"),CONDUCTORES!$A$3:$G$100,2,0),"")</f>
        <v/>
      </c>
      <c r="Q91" s="332">
        <f>IFERROR(VLOOKUP(TEXT(O91,"0"),CONDUCTORES!$A$3:$H$100,6,0),"")</f>
        <v/>
      </c>
      <c r="R91" s="280" t="n"/>
      <c r="S91" s="305" t="n"/>
      <c r="T91" s="241" t="n"/>
      <c r="U91" s="280" t="n"/>
      <c r="V91" s="305" t="n"/>
      <c r="W91" s="241" t="n"/>
      <c r="X91" s="241" t="n"/>
      <c r="Y91" s="280" t="n"/>
      <c r="Z91" s="350">
        <f>IF(AND(R91&lt;&gt;"",V91&lt;&gt;"",W91&lt;&gt;""),"ENTREGADO","POR RECOGER")</f>
        <v/>
      </c>
      <c r="AA91" s="198" t="n"/>
      <c r="AB91" s="198" t="n"/>
      <c r="AC91" s="198" t="n"/>
    </row>
    <row r="92" ht="15.75" customHeight="1" s="195">
      <c r="A92" s="301" t="n">
        <v>87</v>
      </c>
      <c r="B92" s="302" t="n"/>
      <c r="C92" s="301" t="inlineStr">
        <is>
          <t>REGION</t>
        </is>
      </c>
      <c r="D92" s="302" t="n"/>
      <c r="E92" s="301" t="inlineStr">
        <is>
          <t>DNI</t>
        </is>
      </c>
      <c r="F92" s="301" t="n"/>
      <c r="G92" s="334" t="n"/>
      <c r="H92" s="301" t="n"/>
      <c r="I92" s="332">
        <f>IFERROR(VLOOKUP(TEXT(H92,"0"),IPRESS!$A$3:$B$212,2,0),"")</f>
        <v/>
      </c>
      <c r="J92" s="301" t="n"/>
      <c r="K92" s="332" t="n"/>
      <c r="L92" s="245" t="n"/>
      <c r="M92" s="245" t="n"/>
      <c r="N92" s="333">
        <f>IFERROR(IF(L92*M92=0,"",L92*M92),"")</f>
        <v/>
      </c>
      <c r="O92" s="301" t="n"/>
      <c r="P92" s="332">
        <f>IFERROR(VLOOKUP(TEXT(O92,"0"),CONDUCTORES!$A$3:$G$100,2,0),"")</f>
        <v/>
      </c>
      <c r="Q92" s="332">
        <f>IFERROR(VLOOKUP(TEXT(O92,"0"),CONDUCTORES!$A$3:$H$100,6,0),"")</f>
        <v/>
      </c>
      <c r="R92" s="334" t="n"/>
      <c r="S92" s="302" t="n"/>
      <c r="T92" s="301" t="n"/>
      <c r="U92" s="334" t="n"/>
      <c r="V92" s="302" t="n"/>
      <c r="W92" s="301" t="n"/>
      <c r="X92" s="301" t="n"/>
      <c r="Y92" s="280" t="n"/>
      <c r="Z92" s="350">
        <f>IF(AND(R92&lt;&gt;"",V92&lt;&gt;"",W92&lt;&gt;""),"ENTREGADO","POR RECOGER")</f>
        <v/>
      </c>
      <c r="AA92" s="198" t="n"/>
      <c r="AB92" s="198" t="n"/>
      <c r="AC92" s="198" t="n"/>
    </row>
    <row r="93" ht="15.75" customHeight="1" s="195">
      <c r="A93" s="241" t="n">
        <v>88</v>
      </c>
      <c r="B93" s="305" t="n"/>
      <c r="C93" s="241" t="inlineStr">
        <is>
          <t>REGION</t>
        </is>
      </c>
      <c r="D93" s="305" t="n"/>
      <c r="E93" s="241" t="inlineStr">
        <is>
          <t>DNI</t>
        </is>
      </c>
      <c r="F93" s="241" t="n"/>
      <c r="G93" s="280" t="n"/>
      <c r="H93" s="241" t="n"/>
      <c r="I93" s="332">
        <f>IFERROR(VLOOKUP(TEXT(H93,"0"),IPRESS!$A$3:$B$212,2,0),"")</f>
        <v/>
      </c>
      <c r="J93" s="241" t="n"/>
      <c r="K93" s="332" t="n"/>
      <c r="L93" s="239" t="n"/>
      <c r="M93" s="239" t="n"/>
      <c r="N93" s="333">
        <f>IFERROR(IF(L93*M93=0,"",L93*M93),"")</f>
        <v/>
      </c>
      <c r="O93" s="241" t="n"/>
      <c r="P93" s="332">
        <f>IFERROR(VLOOKUP(TEXT(O93,"0"),CONDUCTORES!$A$3:$G$100,2,0),"")</f>
        <v/>
      </c>
      <c r="Q93" s="332">
        <f>IFERROR(VLOOKUP(TEXT(O93,"0"),CONDUCTORES!$A$3:$H$100,6,0),"")</f>
        <v/>
      </c>
      <c r="R93" s="280" t="n"/>
      <c r="S93" s="305" t="n"/>
      <c r="T93" s="241" t="n"/>
      <c r="U93" s="280" t="n"/>
      <c r="V93" s="305" t="n"/>
      <c r="W93" s="241" t="n"/>
      <c r="X93" s="241" t="n"/>
      <c r="Y93" s="280" t="n"/>
      <c r="Z93" s="350">
        <f>IF(AND(R93&lt;&gt;"",V93&lt;&gt;"",W93&lt;&gt;""),"ENTREGADO","POR RECOGER")</f>
        <v/>
      </c>
      <c r="AA93" s="198" t="n"/>
      <c r="AB93" s="198" t="n"/>
      <c r="AC93" s="198" t="n"/>
    </row>
    <row r="94" ht="15.75" customHeight="1" s="195">
      <c r="A94" s="301" t="n">
        <v>89</v>
      </c>
      <c r="B94" s="302" t="n"/>
      <c r="C94" s="301" t="inlineStr">
        <is>
          <t>REGION</t>
        </is>
      </c>
      <c r="D94" s="302" t="n"/>
      <c r="E94" s="301" t="inlineStr">
        <is>
          <t>DNI</t>
        </is>
      </c>
      <c r="F94" s="301" t="n"/>
      <c r="G94" s="334" t="n"/>
      <c r="H94" s="301" t="n"/>
      <c r="I94" s="332">
        <f>IFERROR(VLOOKUP(TEXT(H94,"0"),IPRESS!$A$3:$B$212,2,0),"")</f>
        <v/>
      </c>
      <c r="J94" s="301" t="n"/>
      <c r="K94" s="332" t="n"/>
      <c r="L94" s="245" t="n"/>
      <c r="M94" s="245" t="n"/>
      <c r="N94" s="333">
        <f>IFERROR(IF(L94*M94=0,"",L94*M94),"")</f>
        <v/>
      </c>
      <c r="O94" s="301" t="n"/>
      <c r="P94" s="332">
        <f>IFERROR(VLOOKUP(TEXT(O94,"0"),CONDUCTORES!$A$3:$G$100,2,0),"")</f>
        <v/>
      </c>
      <c r="Q94" s="332">
        <f>IFERROR(VLOOKUP(TEXT(O94,"0"),CONDUCTORES!$A$3:$H$100,6,0),"")</f>
        <v/>
      </c>
      <c r="R94" s="334" t="n"/>
      <c r="S94" s="302" t="n"/>
      <c r="T94" s="301" t="n"/>
      <c r="U94" s="334" t="n"/>
      <c r="V94" s="302" t="n"/>
      <c r="W94" s="301" t="n"/>
      <c r="X94" s="301" t="n"/>
      <c r="Y94" s="280" t="n"/>
      <c r="Z94" s="350">
        <f>IF(AND(R94&lt;&gt;"",V94&lt;&gt;"",W94&lt;&gt;""),"ENTREGADO","POR RECOGER")</f>
        <v/>
      </c>
      <c r="AA94" s="198" t="n"/>
      <c r="AB94" s="198" t="n"/>
      <c r="AC94" s="198" t="n"/>
    </row>
    <row r="95" ht="15.75" customHeight="1" s="195">
      <c r="A95" s="241" t="n">
        <v>90</v>
      </c>
      <c r="B95" s="305" t="n"/>
      <c r="C95" s="241" t="inlineStr">
        <is>
          <t>REGION</t>
        </is>
      </c>
      <c r="D95" s="305" t="n"/>
      <c r="E95" s="241" t="inlineStr">
        <is>
          <t>DNI</t>
        </is>
      </c>
      <c r="F95" s="241" t="n"/>
      <c r="G95" s="280" t="n"/>
      <c r="H95" s="241" t="n"/>
      <c r="I95" s="332">
        <f>IFERROR(VLOOKUP(TEXT(H95,"0"),IPRESS!$A$3:$B$212,2,0),"")</f>
        <v/>
      </c>
      <c r="J95" s="241" t="n"/>
      <c r="K95" s="332" t="n"/>
      <c r="L95" s="239" t="n"/>
      <c r="M95" s="239" t="n"/>
      <c r="N95" s="333">
        <f>IFERROR(IF(L95*M95=0,"",L95*M95),"")</f>
        <v/>
      </c>
      <c r="O95" s="241" t="n"/>
      <c r="P95" s="332">
        <f>IFERROR(VLOOKUP(TEXT(O95,"0"),CONDUCTORES!$A$3:$G$100,2,0),"")</f>
        <v/>
      </c>
      <c r="Q95" s="332">
        <f>IFERROR(VLOOKUP(TEXT(O95,"0"),CONDUCTORES!$A$3:$H$100,6,0),"")</f>
        <v/>
      </c>
      <c r="R95" s="280" t="n"/>
      <c r="S95" s="305" t="n"/>
      <c r="T95" s="241" t="n"/>
      <c r="U95" s="280" t="n"/>
      <c r="V95" s="305" t="n"/>
      <c r="W95" s="241" t="n"/>
      <c r="X95" s="241" t="n"/>
      <c r="Y95" s="280" t="n"/>
      <c r="Z95" s="350">
        <f>IF(AND(R95&lt;&gt;"",V95&lt;&gt;"",W95&lt;&gt;""),"ENTREGADO","POR RECOGER")</f>
        <v/>
      </c>
      <c r="AA95" s="198" t="n"/>
      <c r="AB95" s="198" t="n"/>
      <c r="AC95" s="198" t="n"/>
    </row>
    <row r="96" ht="15.75" customHeight="1" s="195">
      <c r="A96" s="301" t="n">
        <v>91</v>
      </c>
      <c r="B96" s="302" t="n"/>
      <c r="C96" s="301" t="inlineStr">
        <is>
          <t>REGION</t>
        </is>
      </c>
      <c r="D96" s="302" t="n"/>
      <c r="E96" s="301" t="inlineStr">
        <is>
          <t>DNI</t>
        </is>
      </c>
      <c r="F96" s="301" t="n"/>
      <c r="G96" s="334" t="n"/>
      <c r="H96" s="301" t="n"/>
      <c r="I96" s="332">
        <f>IFERROR(VLOOKUP(TEXT(H96,"0"),IPRESS!$A$3:$B$212,2,0),"")</f>
        <v/>
      </c>
      <c r="J96" s="301" t="n"/>
      <c r="K96" s="332" t="n"/>
      <c r="L96" s="245" t="n"/>
      <c r="M96" s="245" t="n"/>
      <c r="N96" s="333">
        <f>IFERROR(IF(L96*M96=0,"",L96*M96),"")</f>
        <v/>
      </c>
      <c r="O96" s="301" t="n"/>
      <c r="P96" s="332">
        <f>IFERROR(VLOOKUP(TEXT(O96,"0"),CONDUCTORES!$A$3:$G$100,2,0),"")</f>
        <v/>
      </c>
      <c r="Q96" s="332">
        <f>IFERROR(VLOOKUP(TEXT(O96,"0"),CONDUCTORES!$A$3:$H$100,6,0),"")</f>
        <v/>
      </c>
      <c r="R96" s="334" t="n"/>
      <c r="S96" s="302" t="n"/>
      <c r="T96" s="301" t="n"/>
      <c r="U96" s="334" t="n"/>
      <c r="V96" s="302" t="n"/>
      <c r="W96" s="301" t="n"/>
      <c r="X96" s="301" t="n"/>
      <c r="Y96" s="280" t="n"/>
      <c r="Z96" s="350">
        <f>IF(AND(R96&lt;&gt;"",V96&lt;&gt;"",W96&lt;&gt;""),"ENTREGADO","POR RECOGER")</f>
        <v/>
      </c>
      <c r="AA96" s="198" t="n"/>
      <c r="AB96" s="198" t="n"/>
      <c r="AC96" s="198" t="n"/>
    </row>
    <row r="97" ht="15.75" customHeight="1" s="195">
      <c r="A97" s="241" t="n">
        <v>92</v>
      </c>
      <c r="B97" s="305" t="n"/>
      <c r="C97" s="241" t="inlineStr">
        <is>
          <t>REGION</t>
        </is>
      </c>
      <c r="D97" s="305" t="n"/>
      <c r="E97" s="241" t="inlineStr">
        <is>
          <t>DNI</t>
        </is>
      </c>
      <c r="F97" s="241" t="n"/>
      <c r="G97" s="280" t="n"/>
      <c r="H97" s="241" t="n"/>
      <c r="I97" s="332">
        <f>IFERROR(VLOOKUP(TEXT(H97,"0"),IPRESS!$A$3:$B$212,2,0),"")</f>
        <v/>
      </c>
      <c r="J97" s="241" t="n"/>
      <c r="K97" s="332" t="n"/>
      <c r="L97" s="239" t="n"/>
      <c r="M97" s="239" t="n"/>
      <c r="N97" s="333">
        <f>IFERROR(IF(L97*M97=0,"",L97*M97),"")</f>
        <v/>
      </c>
      <c r="O97" s="241" t="n"/>
      <c r="P97" s="332">
        <f>IFERROR(VLOOKUP(TEXT(O97,"0"),CONDUCTORES!$A$3:$G$100,2,0),"")</f>
        <v/>
      </c>
      <c r="Q97" s="332">
        <f>IFERROR(VLOOKUP(TEXT(O97,"0"),CONDUCTORES!$A$3:$H$100,6,0),"")</f>
        <v/>
      </c>
      <c r="R97" s="280" t="n"/>
      <c r="S97" s="305" t="n"/>
      <c r="T97" s="241" t="n"/>
      <c r="U97" s="280" t="n"/>
      <c r="V97" s="305" t="n"/>
      <c r="W97" s="241" t="n"/>
      <c r="X97" s="241" t="n"/>
      <c r="Y97" s="280" t="n"/>
      <c r="Z97" s="350">
        <f>IF(AND(R97&lt;&gt;"",V97&lt;&gt;"",W97&lt;&gt;""),"ENTREGADO","POR RECOGER")</f>
        <v/>
      </c>
      <c r="AA97" s="198" t="n"/>
      <c r="AB97" s="198" t="n"/>
      <c r="AC97" s="198" t="n"/>
    </row>
    <row r="98" ht="15.75" customHeight="1" s="195">
      <c r="A98" s="301" t="n">
        <v>93</v>
      </c>
      <c r="B98" s="302" t="n"/>
      <c r="C98" s="301" t="inlineStr">
        <is>
          <t>REGION</t>
        </is>
      </c>
      <c r="D98" s="302" t="n"/>
      <c r="E98" s="301" t="inlineStr">
        <is>
          <t>DNI</t>
        </is>
      </c>
      <c r="F98" s="301" t="n"/>
      <c r="G98" s="334" t="n"/>
      <c r="H98" s="301" t="n"/>
      <c r="I98" s="332">
        <f>IFERROR(VLOOKUP(TEXT(H98,"0"),IPRESS!$A$3:$B$212,2,0),"")</f>
        <v/>
      </c>
      <c r="J98" s="301" t="n"/>
      <c r="K98" s="332" t="n"/>
      <c r="L98" s="245" t="n"/>
      <c r="M98" s="245" t="n"/>
      <c r="N98" s="333">
        <f>IFERROR(IF(L98*M98=0,"",L98*M98),"")</f>
        <v/>
      </c>
      <c r="O98" s="301" t="n"/>
      <c r="P98" s="332">
        <f>IFERROR(VLOOKUP(TEXT(O98,"0"),CONDUCTORES!$A$3:$G$100,2,0),"")</f>
        <v/>
      </c>
      <c r="Q98" s="332">
        <f>IFERROR(VLOOKUP(TEXT(O98,"0"),CONDUCTORES!$A$3:$H$100,6,0),"")</f>
        <v/>
      </c>
      <c r="R98" s="334" t="n"/>
      <c r="S98" s="302" t="n"/>
      <c r="T98" s="301" t="n"/>
      <c r="U98" s="334" t="n"/>
      <c r="V98" s="302" t="n"/>
      <c r="W98" s="301" t="n"/>
      <c r="X98" s="301" t="n"/>
      <c r="Y98" s="280" t="n"/>
      <c r="Z98" s="350">
        <f>IF(AND(R98&lt;&gt;"",V98&lt;&gt;"",W98&lt;&gt;""),"ENTREGADO","POR RECOGER")</f>
        <v/>
      </c>
      <c r="AA98" s="198" t="n"/>
      <c r="AB98" s="198" t="n"/>
      <c r="AC98" s="198" t="n"/>
    </row>
    <row r="99" ht="15.75" customHeight="1" s="195">
      <c r="A99" s="241" t="n">
        <v>94</v>
      </c>
      <c r="B99" s="305" t="n"/>
      <c r="C99" s="241" t="inlineStr">
        <is>
          <t>REGION</t>
        </is>
      </c>
      <c r="D99" s="305" t="n"/>
      <c r="E99" s="241" t="inlineStr">
        <is>
          <t>DNI</t>
        </is>
      </c>
      <c r="F99" s="241" t="n"/>
      <c r="G99" s="280" t="n"/>
      <c r="H99" s="241" t="n"/>
      <c r="I99" s="332">
        <f>IFERROR(VLOOKUP(TEXT(H99,"0"),IPRESS!$A$3:$B$212,2,0),"")</f>
        <v/>
      </c>
      <c r="J99" s="241" t="n"/>
      <c r="K99" s="332" t="n"/>
      <c r="L99" s="239" t="n"/>
      <c r="M99" s="239" t="n"/>
      <c r="N99" s="333">
        <f>IFERROR(IF(L99*M99=0,"",L99*M99),"")</f>
        <v/>
      </c>
      <c r="O99" s="241" t="n"/>
      <c r="P99" s="332">
        <f>IFERROR(VLOOKUP(TEXT(O99,"0"),CONDUCTORES!$A$3:$G$100,2,0),"")</f>
        <v/>
      </c>
      <c r="Q99" s="332">
        <f>IFERROR(VLOOKUP(TEXT(O99,"0"),CONDUCTORES!$A$3:$H$100,6,0),"")</f>
        <v/>
      </c>
      <c r="R99" s="280" t="n"/>
      <c r="S99" s="305" t="n"/>
      <c r="T99" s="241" t="n"/>
      <c r="U99" s="280" t="n"/>
      <c r="V99" s="305" t="n"/>
      <c r="W99" s="241" t="n"/>
      <c r="X99" s="241" t="n"/>
      <c r="Y99" s="280" t="n"/>
      <c r="Z99" s="350">
        <f>IF(AND(R99&lt;&gt;"",V99&lt;&gt;"",W99&lt;&gt;""),"ENTREGADO","POR RECOGER")</f>
        <v/>
      </c>
      <c r="AA99" s="198" t="n"/>
      <c r="AB99" s="198" t="n"/>
      <c r="AC99" s="198" t="n"/>
    </row>
    <row r="100" ht="15" customHeight="1" s="195">
      <c r="A100" s="280" t="n"/>
      <c r="B100" s="280" t="n"/>
      <c r="C100" s="280" t="n"/>
      <c r="D100" s="280" t="n"/>
      <c r="E100" s="280" t="n"/>
      <c r="F100" s="280" t="n"/>
      <c r="G100" s="280" t="n"/>
      <c r="H100" s="280" t="n"/>
      <c r="I100" s="343" t="n"/>
      <c r="J100" s="280" t="n"/>
      <c r="K100" s="343" t="n"/>
      <c r="L100" s="280" t="n"/>
      <c r="M100" s="280" t="n"/>
      <c r="N100" s="345" t="n"/>
      <c r="O100" s="280" t="n"/>
      <c r="P100" s="343" t="n"/>
      <c r="Q100" s="343" t="n"/>
      <c r="R100" s="280" t="n"/>
      <c r="S100" s="280" t="n"/>
      <c r="T100" s="280" t="n"/>
      <c r="U100" s="280" t="n"/>
      <c r="V100" s="280" t="n"/>
      <c r="W100" s="280" t="n"/>
      <c r="X100" s="280" t="n"/>
      <c r="Y100" s="280" t="n"/>
      <c r="Z100" s="350" t="n"/>
      <c r="AA100" s="198" t="n"/>
      <c r="AB100" s="198" t="n"/>
      <c r="AC100" s="198" t="n"/>
    </row>
    <row r="101" ht="24" customHeight="1" s="195">
      <c r="A101" s="358" t="n"/>
      <c r="K101" s="343" t="n"/>
      <c r="L101" s="280" t="n"/>
      <c r="M101" s="359" t="n"/>
      <c r="N101" s="359" t="n"/>
      <c r="O101" s="280" t="n"/>
      <c r="P101" s="343" t="n"/>
      <c r="Q101" s="343" t="n"/>
      <c r="R101" s="280" t="n"/>
      <c r="S101" s="280" t="n"/>
      <c r="T101" s="280" t="n"/>
      <c r="U101" s="280" t="n"/>
      <c r="V101" s="280" t="n"/>
      <c r="W101" s="280" t="n"/>
      <c r="X101" s="280" t="n"/>
      <c r="Y101" s="280" t="n"/>
      <c r="Z101" s="350" t="n"/>
      <c r="AA101" s="198" t="n"/>
      <c r="AB101" s="198" t="n"/>
      <c r="AC101" s="198" t="n"/>
    </row>
    <row r="102" ht="15" customHeight="1" s="195">
      <c r="A102" s="280" t="n"/>
      <c r="B102" s="280" t="n"/>
      <c r="C102" s="280" t="n"/>
      <c r="D102" s="280" t="n"/>
      <c r="E102" s="280" t="n"/>
      <c r="F102" s="280" t="n"/>
      <c r="G102" s="280" t="n"/>
      <c r="H102" s="280" t="n"/>
      <c r="I102" s="343" t="n"/>
      <c r="J102" s="280" t="n"/>
      <c r="K102" s="343" t="n"/>
      <c r="L102" s="280" t="n"/>
      <c r="M102" s="280" t="n"/>
      <c r="N102" s="345" t="n"/>
      <c r="O102" s="280" t="n"/>
      <c r="P102" s="343" t="n"/>
      <c r="Q102" s="343" t="n"/>
      <c r="R102" s="280" t="n"/>
      <c r="S102" s="280" t="n"/>
      <c r="T102" s="280" t="n"/>
      <c r="U102" s="280" t="n"/>
      <c r="V102" s="280" t="n"/>
      <c r="W102" s="280" t="n"/>
      <c r="X102" s="280" t="n"/>
      <c r="Y102" s="280" t="n"/>
      <c r="Z102" s="350" t="n"/>
      <c r="AA102" s="198" t="n"/>
      <c r="AB102" s="198" t="n"/>
      <c r="AC102" s="198" t="n"/>
    </row>
    <row r="103" ht="15" customHeight="1" s="195">
      <c r="A103" s="280" t="n"/>
      <c r="B103" s="280" t="n"/>
      <c r="C103" s="280" t="n"/>
      <c r="D103" s="280" t="n"/>
      <c r="E103" s="280" t="n"/>
      <c r="F103" s="280" t="n"/>
      <c r="G103" s="280" t="n"/>
      <c r="H103" s="280" t="n"/>
      <c r="I103" s="343" t="n"/>
      <c r="J103" s="280" t="n"/>
      <c r="K103" s="343" t="n"/>
      <c r="L103" s="280" t="n"/>
      <c r="M103" s="280" t="n"/>
      <c r="N103" s="345" t="n"/>
      <c r="O103" s="280" t="n"/>
      <c r="P103" s="343" t="n"/>
      <c r="Q103" s="343" t="n"/>
      <c r="R103" s="280" t="n"/>
      <c r="S103" s="280" t="n"/>
      <c r="T103" s="280" t="n"/>
      <c r="U103" s="280" t="n"/>
      <c r="V103" s="280" t="n"/>
      <c r="W103" s="280" t="n"/>
      <c r="X103" s="280" t="n"/>
      <c r="Y103" s="280" t="n"/>
      <c r="Z103" s="350" t="n"/>
      <c r="AA103" s="198" t="n"/>
      <c r="AB103" s="198" t="n"/>
      <c r="AC103" s="198" t="n"/>
    </row>
    <row r="104" ht="15" customHeight="1" s="195">
      <c r="A104" s="280" t="n"/>
      <c r="B104" s="280" t="n"/>
      <c r="C104" s="280" t="n"/>
      <c r="D104" s="280" t="n"/>
      <c r="E104" s="280" t="n"/>
      <c r="F104" s="280" t="n"/>
      <c r="G104" s="280" t="n"/>
      <c r="H104" s="280" t="n"/>
      <c r="I104" s="332">
        <f>IFERROR(VLOOKUP(TEXT(H104,"0"),IPRESS!$A$3:$B$212,2,0),"")</f>
        <v/>
      </c>
      <c r="J104" s="280" t="n"/>
      <c r="K104" s="343" t="n"/>
      <c r="L104" s="280" t="n"/>
      <c r="M104" s="280" t="n"/>
      <c r="N104" s="345" t="n"/>
      <c r="O104" s="280" t="n"/>
      <c r="P104" s="332">
        <f>IFERROR(VLOOKUP(TEXT(O104,"0"),CONDUCTORES!$A$3:$G$54,2,0),"")</f>
        <v/>
      </c>
      <c r="Q104" s="332">
        <f>IFERROR(VLOOKUP(TEXT(O104,"0"),CONDUCTORES!$A$3:$H$54,6,0),"")</f>
        <v/>
      </c>
      <c r="R104" s="280" t="n"/>
      <c r="S104" s="280" t="n"/>
      <c r="T104" s="280" t="n"/>
      <c r="U104" s="280" t="n"/>
      <c r="V104" s="280" t="n"/>
      <c r="W104" s="280" t="n"/>
      <c r="X104" s="280" t="n"/>
      <c r="Y104" s="280" t="n"/>
      <c r="Z104" s="350" t="n"/>
      <c r="AA104" s="198" t="n"/>
      <c r="AB104" s="198" t="n"/>
      <c r="AC104" s="198" t="n"/>
    </row>
    <row r="105" ht="15" customHeight="1" s="195">
      <c r="A105" s="280" t="n"/>
      <c r="B105" s="280" t="n"/>
      <c r="C105" s="280" t="n"/>
      <c r="D105" s="280" t="n"/>
      <c r="E105" s="280" t="n"/>
      <c r="F105" s="280" t="n"/>
      <c r="G105" s="280" t="n"/>
      <c r="H105" s="280" t="n"/>
      <c r="I105" s="332">
        <f>IFERROR(VLOOKUP(TEXT(H105,"0"),IPRESS!$A$3:$B$212,2,0),"")</f>
        <v/>
      </c>
      <c r="J105" s="280" t="n"/>
      <c r="K105" s="343" t="n"/>
      <c r="L105" s="280" t="n"/>
      <c r="M105" s="280" t="n"/>
      <c r="N105" s="345" t="n"/>
      <c r="O105" s="280" t="n"/>
      <c r="P105" s="332">
        <f>IFERROR(VLOOKUP(TEXT(O105,"0"),CONDUCTORES!$A$3:$G$54,2,0),"")</f>
        <v/>
      </c>
      <c r="Q105" s="332">
        <f>IFERROR(VLOOKUP(TEXT(O105,"0"),CONDUCTORES!$A$3:$H$54,6,0),"")</f>
        <v/>
      </c>
      <c r="R105" s="280" t="n"/>
      <c r="S105" s="280" t="n"/>
      <c r="T105" s="280" t="n"/>
      <c r="U105" s="280" t="n"/>
      <c r="V105" s="280" t="n"/>
      <c r="W105" s="280" t="n"/>
      <c r="X105" s="280" t="n"/>
      <c r="Y105" s="280" t="n"/>
      <c r="Z105" s="350" t="n"/>
      <c r="AA105" s="198" t="n"/>
      <c r="AB105" s="198" t="n"/>
      <c r="AC105" s="198" t="n"/>
    </row>
    <row r="106" ht="15" customHeight="1" s="195">
      <c r="A106" s="280" t="n"/>
      <c r="B106" s="280" t="n"/>
      <c r="C106" s="280" t="n"/>
      <c r="D106" s="280" t="n"/>
      <c r="E106" s="280" t="n"/>
      <c r="F106" s="280" t="n"/>
      <c r="G106" s="280" t="n"/>
      <c r="H106" s="280" t="n"/>
      <c r="I106" s="332">
        <f>IFERROR(VLOOKUP(TEXT(H106,"0"),IPRESS!$A$3:$B$212,2,0),"")</f>
        <v/>
      </c>
      <c r="J106" s="280" t="n"/>
      <c r="K106" s="343" t="n"/>
      <c r="L106" s="280" t="n"/>
      <c r="M106" s="280" t="n"/>
      <c r="N106" s="345" t="n"/>
      <c r="O106" s="280" t="n"/>
      <c r="P106" s="332">
        <f>IFERROR(VLOOKUP(TEXT(O106,"0"),CONDUCTORES!$A$3:$G$54,2,0),"")</f>
        <v/>
      </c>
      <c r="Q106" s="332">
        <f>IFERROR(VLOOKUP(TEXT(O106,"0"),CONDUCTORES!$A$3:$H$54,6,0),"")</f>
        <v/>
      </c>
      <c r="R106" s="280" t="n"/>
      <c r="S106" s="280" t="n"/>
      <c r="T106" s="280" t="n"/>
      <c r="U106" s="280" t="n"/>
      <c r="V106" s="280" t="n"/>
      <c r="W106" s="280" t="n"/>
      <c r="X106" s="280" t="n"/>
      <c r="Y106" s="280" t="n"/>
      <c r="Z106" s="350" t="n"/>
      <c r="AA106" s="198" t="n"/>
      <c r="AB106" s="198" t="n"/>
      <c r="AC106" s="198" t="n"/>
    </row>
    <row r="107" ht="15" customHeight="1" s="195">
      <c r="A107" s="280" t="n"/>
      <c r="B107" s="280" t="n"/>
      <c r="C107" s="280" t="n"/>
      <c r="D107" s="280" t="n"/>
      <c r="E107" s="280" t="n"/>
      <c r="F107" s="280" t="n"/>
      <c r="G107" s="280" t="n"/>
      <c r="H107" s="280" t="n"/>
      <c r="I107" s="332">
        <f>IFERROR(VLOOKUP(TEXT(H107,"0"),IPRESS!$A$3:$B$212,2,0),"")</f>
        <v/>
      </c>
      <c r="J107" s="280" t="n"/>
      <c r="K107" s="343" t="n"/>
      <c r="L107" s="280" t="n"/>
      <c r="M107" s="280" t="n"/>
      <c r="N107" s="345" t="n"/>
      <c r="O107" s="280" t="n"/>
      <c r="P107" s="332">
        <f>IFERROR(VLOOKUP(TEXT(O107,"0"),CONDUCTORES!$A$3:$G$54,2,0),"")</f>
        <v/>
      </c>
      <c r="Q107" s="332">
        <f>IFERROR(VLOOKUP(TEXT(O107,"0"),CONDUCTORES!$A$3:$H$54,6,0),"")</f>
        <v/>
      </c>
      <c r="R107" s="280" t="n"/>
      <c r="S107" s="280" t="n"/>
      <c r="T107" s="280" t="n"/>
      <c r="U107" s="280" t="n"/>
      <c r="V107" s="280" t="n"/>
      <c r="W107" s="280" t="n"/>
      <c r="X107" s="280" t="n"/>
      <c r="Y107" s="280" t="n"/>
      <c r="Z107" s="350" t="n"/>
      <c r="AA107" s="198" t="n"/>
      <c r="AB107" s="198" t="n"/>
      <c r="AC107" s="198" t="n"/>
    </row>
    <row r="108" ht="15" customHeight="1" s="195">
      <c r="A108" s="280" t="n"/>
      <c r="B108" s="280" t="n"/>
      <c r="C108" s="280" t="n"/>
      <c r="D108" s="280" t="n"/>
      <c r="E108" s="280" t="n"/>
      <c r="F108" s="280" t="n"/>
      <c r="G108" s="280" t="n"/>
      <c r="H108" s="280" t="n"/>
      <c r="I108" s="332">
        <f>IFERROR(VLOOKUP(TEXT(H108,"0"),IPRESS!$A$3:$B$212,2,0),"")</f>
        <v/>
      </c>
      <c r="J108" s="280" t="n"/>
      <c r="K108" s="343" t="n"/>
      <c r="L108" s="280" t="n"/>
      <c r="M108" s="280" t="n"/>
      <c r="N108" s="345" t="n"/>
      <c r="O108" s="280" t="n"/>
      <c r="P108" s="332">
        <f>IFERROR(VLOOKUP(TEXT(O108,"0"),CONDUCTORES!$A$3:$G$54,2,0),"")</f>
        <v/>
      </c>
      <c r="Q108" s="332">
        <f>IFERROR(VLOOKUP(TEXT(O108,"0"),CONDUCTORES!$A$3:$H$54,6,0),"")</f>
        <v/>
      </c>
      <c r="R108" s="280" t="n"/>
      <c r="S108" s="280" t="n"/>
      <c r="T108" s="280" t="n"/>
      <c r="U108" s="280" t="n"/>
      <c r="V108" s="280" t="n"/>
      <c r="W108" s="280" t="n"/>
      <c r="X108" s="280" t="n"/>
      <c r="Y108" s="280" t="n"/>
      <c r="Z108" s="350" t="n"/>
      <c r="AA108" s="198" t="n"/>
      <c r="AB108" s="198" t="n"/>
      <c r="AC108" s="198" t="n"/>
    </row>
    <row r="109" ht="15" customHeight="1" s="195">
      <c r="A109" s="280" t="n"/>
      <c r="B109" s="280" t="n"/>
      <c r="C109" s="280" t="n"/>
      <c r="D109" s="280" t="n"/>
      <c r="E109" s="280" t="n"/>
      <c r="F109" s="280" t="n"/>
      <c r="G109" s="280" t="n"/>
      <c r="H109" s="280" t="n"/>
      <c r="I109" s="332">
        <f>IFERROR(VLOOKUP(TEXT(H109,"0"),IPRESS!$A$3:$B$212,2,0),"")</f>
        <v/>
      </c>
      <c r="J109" s="280" t="n"/>
      <c r="K109" s="343" t="n"/>
      <c r="L109" s="280" t="n"/>
      <c r="M109" s="280" t="n"/>
      <c r="N109" s="345" t="n"/>
      <c r="O109" s="280" t="n"/>
      <c r="P109" s="332">
        <f>IFERROR(VLOOKUP(TEXT(O109,"0"),CONDUCTORES!$A$3:$G$54,2,0),"")</f>
        <v/>
      </c>
      <c r="Q109" s="332">
        <f>IFERROR(VLOOKUP(TEXT(O109,"0"),CONDUCTORES!$A$3:$H$54,6,0),"")</f>
        <v/>
      </c>
      <c r="R109" s="280" t="n"/>
      <c r="S109" s="280" t="n"/>
      <c r="T109" s="280" t="n"/>
      <c r="U109" s="280" t="n"/>
      <c r="V109" s="280" t="n"/>
      <c r="W109" s="280" t="n"/>
      <c r="X109" s="280" t="n"/>
      <c r="Y109" s="280" t="n"/>
      <c r="Z109" s="350" t="n"/>
      <c r="AA109" s="198" t="n"/>
      <c r="AB109" s="198" t="n"/>
      <c r="AC109" s="198" t="n"/>
    </row>
    <row r="110" ht="15" customHeight="1" s="195">
      <c r="A110" s="280" t="n"/>
      <c r="B110" s="280" t="n"/>
      <c r="C110" s="280" t="n"/>
      <c r="D110" s="280" t="n"/>
      <c r="E110" s="280" t="n"/>
      <c r="F110" s="280" t="n"/>
      <c r="G110" s="280" t="n"/>
      <c r="H110" s="280" t="n"/>
      <c r="I110" s="332">
        <f>IFERROR(VLOOKUP(TEXT(H110,"0"),IPRESS!$A$3:$B$212,2,0),"")</f>
        <v/>
      </c>
      <c r="J110" s="280" t="n"/>
      <c r="K110" s="343" t="n"/>
      <c r="L110" s="280" t="n"/>
      <c r="M110" s="280" t="n"/>
      <c r="N110" s="345" t="n"/>
      <c r="O110" s="280" t="n"/>
      <c r="P110" s="332">
        <f>IFERROR(VLOOKUP(TEXT(O110,"0"),CONDUCTORES!$A$3:$G$54,2,0),"")</f>
        <v/>
      </c>
      <c r="Q110" s="332">
        <f>IFERROR(VLOOKUP(TEXT(O110,"0"),CONDUCTORES!$A$3:$H$54,6,0),"")</f>
        <v/>
      </c>
      <c r="R110" s="280" t="n"/>
      <c r="S110" s="280" t="n"/>
      <c r="T110" s="280" t="n"/>
      <c r="U110" s="280" t="n"/>
      <c r="V110" s="280" t="n"/>
      <c r="W110" s="280" t="n"/>
      <c r="X110" s="280" t="n"/>
      <c r="Y110" s="280" t="n"/>
      <c r="Z110" s="350" t="n"/>
      <c r="AA110" s="198" t="n"/>
      <c r="AB110" s="198" t="n"/>
      <c r="AC110" s="198" t="n"/>
    </row>
    <row r="111" ht="15" customHeight="1" s="195">
      <c r="A111" s="280" t="n"/>
      <c r="B111" s="280" t="n"/>
      <c r="C111" s="280" t="n"/>
      <c r="D111" s="280" t="n"/>
      <c r="E111" s="280" t="n"/>
      <c r="F111" s="280" t="n"/>
      <c r="G111" s="280" t="n"/>
      <c r="H111" s="280" t="n"/>
      <c r="I111" s="332">
        <f>IFERROR(VLOOKUP(TEXT(H111,"0"),IPRESS!$A$3:$B$212,2,0),"")</f>
        <v/>
      </c>
      <c r="J111" s="280" t="n"/>
      <c r="K111" s="343" t="n"/>
      <c r="L111" s="280" t="n"/>
      <c r="M111" s="280" t="n"/>
      <c r="N111" s="345" t="n"/>
      <c r="O111" s="280" t="n"/>
      <c r="P111" s="332">
        <f>IFERROR(VLOOKUP(TEXT(O111,"0"),CONDUCTORES!$A$3:$G$54,2,0),"")</f>
        <v/>
      </c>
      <c r="Q111" s="332">
        <f>IFERROR(VLOOKUP(TEXT(O111,"0"),CONDUCTORES!$A$3:$H$54,6,0),"")</f>
        <v/>
      </c>
      <c r="R111" s="280" t="n"/>
      <c r="S111" s="280" t="n"/>
      <c r="T111" s="280" t="n"/>
      <c r="U111" s="280" t="n"/>
      <c r="V111" s="280" t="n"/>
      <c r="W111" s="280" t="n"/>
      <c r="X111" s="280" t="n"/>
      <c r="Y111" s="280" t="n"/>
      <c r="Z111" s="350" t="n"/>
      <c r="AA111" s="198" t="n"/>
      <c r="AB111" s="198" t="n"/>
      <c r="AC111" s="198" t="n"/>
    </row>
    <row r="112" ht="15" customHeight="1" s="195">
      <c r="A112" s="280" t="n"/>
      <c r="B112" s="280" t="n"/>
      <c r="C112" s="280" t="n"/>
      <c r="D112" s="280" t="n"/>
      <c r="E112" s="280" t="n"/>
      <c r="F112" s="280" t="n"/>
      <c r="G112" s="280" t="n"/>
      <c r="H112" s="280" t="n"/>
      <c r="I112" s="332">
        <f>IFERROR(VLOOKUP(TEXT(H112,"0"),IPRESS!$A$3:$B$212,2,0),"")</f>
        <v/>
      </c>
      <c r="J112" s="280" t="n"/>
      <c r="K112" s="343" t="n"/>
      <c r="L112" s="280" t="n"/>
      <c r="M112" s="280" t="n"/>
      <c r="N112" s="345" t="n"/>
      <c r="O112" s="280" t="n"/>
      <c r="P112" s="332">
        <f>IFERROR(VLOOKUP(TEXT(O112,"0"),CONDUCTORES!$A$3:$G$54,2,0),"")</f>
        <v/>
      </c>
      <c r="Q112" s="332">
        <f>IFERROR(VLOOKUP(TEXT(O112,"0"),CONDUCTORES!$A$3:$H$54,6,0),"")</f>
        <v/>
      </c>
      <c r="R112" s="280" t="n"/>
      <c r="S112" s="280" t="n"/>
      <c r="T112" s="280" t="n"/>
      <c r="U112" s="280" t="n"/>
      <c r="V112" s="280" t="n"/>
      <c r="W112" s="280" t="n"/>
      <c r="X112" s="280" t="n"/>
      <c r="Y112" s="280" t="n"/>
      <c r="Z112" s="350" t="n"/>
      <c r="AA112" s="198" t="n"/>
      <c r="AB112" s="198" t="n"/>
      <c r="AC112" s="198" t="n"/>
    </row>
    <row r="113" ht="15" customHeight="1" s="195">
      <c r="A113" s="280" t="n"/>
      <c r="B113" s="280" t="n"/>
      <c r="C113" s="280" t="n"/>
      <c r="D113" s="280" t="n"/>
      <c r="E113" s="280" t="n"/>
      <c r="F113" s="280" t="n"/>
      <c r="G113" s="280" t="n"/>
      <c r="H113" s="280" t="n"/>
      <c r="I113" s="332">
        <f>IFERROR(VLOOKUP(TEXT(H113,"0"),IPRESS!$A$3:$B$212,2,0),"")</f>
        <v/>
      </c>
      <c r="J113" s="280" t="n"/>
      <c r="K113" s="343" t="n"/>
      <c r="L113" s="280" t="n"/>
      <c r="M113" s="280" t="n"/>
      <c r="N113" s="345" t="n"/>
      <c r="O113" s="280" t="n"/>
      <c r="P113" s="332">
        <f>IFERROR(VLOOKUP(TEXT(O113,"0"),CONDUCTORES!$A$3:$G$54,2,0),"")</f>
        <v/>
      </c>
      <c r="Q113" s="332">
        <f>IFERROR(VLOOKUP(TEXT(O113,"0"),CONDUCTORES!$A$3:$H$54,6,0),"")</f>
        <v/>
      </c>
      <c r="R113" s="280" t="n"/>
      <c r="S113" s="280" t="n"/>
      <c r="T113" s="280" t="n"/>
      <c r="U113" s="280" t="n"/>
      <c r="V113" s="280" t="n"/>
      <c r="W113" s="280" t="n"/>
      <c r="X113" s="280" t="n"/>
      <c r="Y113" s="280" t="n"/>
      <c r="Z113" s="350" t="n"/>
      <c r="AA113" s="198" t="n"/>
      <c r="AB113" s="198" t="n"/>
      <c r="AC113" s="198" t="n"/>
    </row>
    <row r="114" ht="15" customHeight="1" s="195">
      <c r="A114" s="280" t="n"/>
      <c r="B114" s="280" t="n"/>
      <c r="C114" s="280" t="n"/>
      <c r="D114" s="280" t="n"/>
      <c r="E114" s="280" t="n"/>
      <c r="F114" s="280" t="n"/>
      <c r="G114" s="280" t="n"/>
      <c r="H114" s="280" t="n"/>
      <c r="I114" s="332">
        <f>IFERROR(VLOOKUP(TEXT(H114,"0"),IPRESS!$A$3:$B$212,2,0),"")</f>
        <v/>
      </c>
      <c r="J114" s="280" t="n"/>
      <c r="K114" s="343" t="n"/>
      <c r="L114" s="280" t="n"/>
      <c r="M114" s="280" t="n"/>
      <c r="N114" s="345" t="n"/>
      <c r="O114" s="280" t="n"/>
      <c r="P114" s="332">
        <f>IFERROR(VLOOKUP(TEXT(O114,"0"),CONDUCTORES!$A$3:$G$54,2,0),"")</f>
        <v/>
      </c>
      <c r="Q114" s="332">
        <f>IFERROR(VLOOKUP(TEXT(O114,"0"),CONDUCTORES!$A$3:$H$54,6,0),"")</f>
        <v/>
      </c>
      <c r="R114" s="280" t="n"/>
      <c r="S114" s="280" t="n"/>
      <c r="T114" s="280" t="n"/>
      <c r="U114" s="280" t="n"/>
      <c r="V114" s="280" t="n"/>
      <c r="W114" s="280" t="n"/>
      <c r="X114" s="280" t="n"/>
      <c r="Y114" s="280" t="n"/>
      <c r="Z114" s="350" t="n"/>
      <c r="AA114" s="198" t="n"/>
      <c r="AB114" s="198" t="n"/>
      <c r="AC114" s="198" t="n"/>
    </row>
    <row r="115" ht="15" customHeight="1" s="195">
      <c r="A115" s="280" t="n"/>
      <c r="B115" s="280" t="n"/>
      <c r="C115" s="280" t="n"/>
      <c r="D115" s="280" t="n"/>
      <c r="E115" s="280" t="n"/>
      <c r="F115" s="280" t="n"/>
      <c r="G115" s="280" t="n"/>
      <c r="H115" s="280" t="n"/>
      <c r="I115" s="332">
        <f>IFERROR(VLOOKUP(TEXT(H115,"0"),IPRESS!$A$3:$B$212,2,0),"")</f>
        <v/>
      </c>
      <c r="J115" s="280" t="n"/>
      <c r="K115" s="343" t="n"/>
      <c r="L115" s="280" t="n"/>
      <c r="M115" s="280" t="n"/>
      <c r="N115" s="345" t="n"/>
      <c r="O115" s="280" t="n"/>
      <c r="P115" s="332">
        <f>IFERROR(VLOOKUP(TEXT(O115,"0"),CONDUCTORES!$A$3:$G$54,2,0),"")</f>
        <v/>
      </c>
      <c r="Q115" s="332">
        <f>IFERROR(VLOOKUP(TEXT(O115,"0"),CONDUCTORES!$A$3:$H$54,6,0),"")</f>
        <v/>
      </c>
      <c r="R115" s="280" t="n"/>
      <c r="S115" s="280" t="n"/>
      <c r="T115" s="280" t="n"/>
      <c r="U115" s="280" t="n"/>
      <c r="V115" s="280" t="n"/>
      <c r="W115" s="280" t="n"/>
      <c r="X115" s="280" t="n"/>
      <c r="Y115" s="280" t="n"/>
      <c r="Z115" s="350" t="n"/>
      <c r="AA115" s="198" t="n"/>
      <c r="AB115" s="198" t="n"/>
      <c r="AC115" s="198" t="n"/>
    </row>
    <row r="116" ht="15" customHeight="1" s="195">
      <c r="A116" s="280" t="n"/>
      <c r="B116" s="280" t="n"/>
      <c r="C116" s="280" t="n"/>
      <c r="D116" s="280" t="n"/>
      <c r="E116" s="280" t="n"/>
      <c r="F116" s="280" t="n"/>
      <c r="G116" s="280" t="n"/>
      <c r="H116" s="280" t="n"/>
      <c r="I116" s="332">
        <f>IFERROR(VLOOKUP(TEXT(H116,"0"),IPRESS!$A$3:$B$212,2,0),"")</f>
        <v/>
      </c>
      <c r="J116" s="280" t="n"/>
      <c r="K116" s="343" t="n"/>
      <c r="L116" s="280" t="n"/>
      <c r="M116" s="280" t="n"/>
      <c r="N116" s="345" t="n"/>
      <c r="O116" s="280" t="n"/>
      <c r="P116" s="332">
        <f>IFERROR(VLOOKUP(TEXT(O116,"0"),CONDUCTORES!$A$3:$G$54,2,0),"")</f>
        <v/>
      </c>
      <c r="Q116" s="332">
        <f>IFERROR(VLOOKUP(TEXT(O116,"0"),CONDUCTORES!$A$3:$H$54,6,0),"")</f>
        <v/>
      </c>
      <c r="R116" s="280" t="n"/>
      <c r="S116" s="280" t="n"/>
      <c r="T116" s="280" t="n"/>
      <c r="U116" s="280" t="n"/>
      <c r="V116" s="280" t="n"/>
      <c r="W116" s="280" t="n"/>
      <c r="X116" s="280" t="n"/>
      <c r="Y116" s="280" t="n"/>
      <c r="Z116" s="350" t="n"/>
      <c r="AA116" s="198" t="n"/>
      <c r="AB116" s="198" t="n"/>
      <c r="AC116" s="198" t="n"/>
    </row>
    <row r="117" ht="15" customHeight="1" s="195">
      <c r="A117" s="280" t="n"/>
      <c r="B117" s="280" t="n"/>
      <c r="C117" s="280" t="n"/>
      <c r="D117" s="280" t="n"/>
      <c r="E117" s="280" t="n"/>
      <c r="F117" s="280" t="n"/>
      <c r="G117" s="280" t="n"/>
      <c r="H117" s="280" t="n"/>
      <c r="I117" s="332">
        <f>IFERROR(VLOOKUP(TEXT(H117,"0"),IPRESS!$A$3:$B$212,2,0),"")</f>
        <v/>
      </c>
      <c r="J117" s="280" t="n"/>
      <c r="K117" s="343" t="n"/>
      <c r="L117" s="280" t="n"/>
      <c r="M117" s="280" t="n"/>
      <c r="N117" s="345" t="n"/>
      <c r="O117" s="280" t="n"/>
      <c r="P117" s="332">
        <f>IFERROR(VLOOKUP(TEXT(O117,"0"),CONDUCTORES!$A$3:$G$54,2,0),"")</f>
        <v/>
      </c>
      <c r="Q117" s="332">
        <f>IFERROR(VLOOKUP(TEXT(O117,"0"),CONDUCTORES!$A$3:$H$54,6,0),"")</f>
        <v/>
      </c>
      <c r="R117" s="280" t="n"/>
      <c r="S117" s="280" t="n"/>
      <c r="T117" s="280" t="n"/>
      <c r="U117" s="280" t="n"/>
      <c r="V117" s="280" t="n"/>
      <c r="W117" s="280" t="n"/>
      <c r="X117" s="280" t="n"/>
      <c r="Y117" s="280" t="n"/>
      <c r="Z117" s="350" t="n"/>
      <c r="AA117" s="198" t="n"/>
      <c r="AB117" s="198" t="n"/>
      <c r="AC117" s="198" t="n"/>
    </row>
    <row r="118" ht="15" customHeight="1" s="195">
      <c r="A118" s="280" t="n"/>
      <c r="B118" s="280" t="n"/>
      <c r="C118" s="280" t="n"/>
      <c r="D118" s="280" t="n"/>
      <c r="E118" s="280" t="n"/>
      <c r="F118" s="280" t="n"/>
      <c r="G118" s="280" t="n"/>
      <c r="H118" s="280" t="n"/>
      <c r="I118" s="332">
        <f>IFERROR(VLOOKUP(TEXT(H118,"0"),IPRESS!$A$3:$B$212,2,0),"")</f>
        <v/>
      </c>
      <c r="J118" s="280" t="n"/>
      <c r="K118" s="343" t="n"/>
      <c r="L118" s="280" t="n"/>
      <c r="M118" s="280" t="n"/>
      <c r="N118" s="345" t="n"/>
      <c r="O118" s="280" t="n"/>
      <c r="P118" s="332">
        <f>IFERROR(VLOOKUP(TEXT(O118,"0"),CONDUCTORES!$A$3:$G$54,2,0),"")</f>
        <v/>
      </c>
      <c r="Q118" s="332">
        <f>IFERROR(VLOOKUP(TEXT(O118,"0"),CONDUCTORES!$A$3:$H$54,6,0),"")</f>
        <v/>
      </c>
      <c r="R118" s="280" t="n"/>
      <c r="S118" s="280" t="n"/>
      <c r="T118" s="280" t="n"/>
      <c r="U118" s="280" t="n"/>
      <c r="V118" s="280" t="n"/>
      <c r="W118" s="280" t="n"/>
      <c r="X118" s="280" t="n"/>
      <c r="Y118" s="280" t="n"/>
      <c r="Z118" s="350" t="n"/>
      <c r="AA118" s="198" t="n"/>
      <c r="AB118" s="198" t="n"/>
      <c r="AC118" s="198" t="n"/>
    </row>
    <row r="119" ht="15" customHeight="1" s="195">
      <c r="A119" s="280" t="n"/>
      <c r="B119" s="280" t="n"/>
      <c r="C119" s="280" t="n"/>
      <c r="D119" s="280" t="n"/>
      <c r="E119" s="280" t="n"/>
      <c r="F119" s="280" t="n"/>
      <c r="G119" s="280" t="n"/>
      <c r="H119" s="280" t="n"/>
      <c r="I119" s="332">
        <f>IFERROR(VLOOKUP(TEXT(H119,"0"),IPRESS!$A$3:$B$212,2,0),"")</f>
        <v/>
      </c>
      <c r="J119" s="280" t="n"/>
      <c r="K119" s="343" t="n"/>
      <c r="L119" s="280" t="n"/>
      <c r="M119" s="280" t="n"/>
      <c r="N119" s="345" t="n"/>
      <c r="O119" s="280" t="n"/>
      <c r="P119" s="332">
        <f>IFERROR(VLOOKUP(TEXT(O119,"0"),CONDUCTORES!$A$3:$G$54,2,0),"")</f>
        <v/>
      </c>
      <c r="Q119" s="332">
        <f>IFERROR(VLOOKUP(TEXT(O119,"0"),CONDUCTORES!$A$3:$H$54,6,0),"")</f>
        <v/>
      </c>
      <c r="R119" s="280" t="n"/>
      <c r="S119" s="280" t="n"/>
      <c r="T119" s="280" t="n"/>
      <c r="U119" s="280" t="n"/>
      <c r="V119" s="280" t="n"/>
      <c r="W119" s="280" t="n"/>
      <c r="X119" s="280" t="n"/>
      <c r="Y119" s="280" t="n"/>
      <c r="Z119" s="350" t="n"/>
      <c r="AA119" s="198" t="n"/>
      <c r="AB119" s="198" t="n"/>
      <c r="AC119" s="198" t="n"/>
    </row>
    <row r="120" ht="15" customHeight="1" s="195">
      <c r="A120" s="280" t="n"/>
      <c r="B120" s="280" t="n"/>
      <c r="C120" s="280" t="n"/>
      <c r="D120" s="280" t="n"/>
      <c r="E120" s="280" t="n"/>
      <c r="F120" s="280" t="n"/>
      <c r="G120" s="280" t="n"/>
      <c r="H120" s="280" t="n"/>
      <c r="I120" s="332">
        <f>IFERROR(VLOOKUP(TEXT(H120,"0"),IPRESS!$A$3:$B$212,2,0),"")</f>
        <v/>
      </c>
      <c r="J120" s="280" t="n"/>
      <c r="K120" s="343" t="n"/>
      <c r="L120" s="280" t="n"/>
      <c r="M120" s="280" t="n"/>
      <c r="N120" s="345" t="n"/>
      <c r="O120" s="280" t="n"/>
      <c r="P120" s="332">
        <f>IFERROR(VLOOKUP(TEXT(O120,"0"),CONDUCTORES!$A$3:$G$54,2,0),"")</f>
        <v/>
      </c>
      <c r="Q120" s="332">
        <f>IFERROR(VLOOKUP(TEXT(O120,"0"),CONDUCTORES!$A$3:$H$54,6,0),"")</f>
        <v/>
      </c>
      <c r="R120" s="280" t="n"/>
      <c r="S120" s="280" t="n"/>
      <c r="T120" s="280" t="n"/>
      <c r="U120" s="280" t="n"/>
      <c r="V120" s="280" t="n"/>
      <c r="W120" s="280" t="n"/>
      <c r="X120" s="280" t="n"/>
      <c r="Y120" s="280" t="n"/>
      <c r="Z120" s="350" t="n"/>
      <c r="AA120" s="198" t="n"/>
      <c r="AB120" s="198" t="n"/>
      <c r="AC120" s="198" t="n"/>
    </row>
    <row r="121" ht="15" customHeight="1" s="195">
      <c r="A121" s="280" t="n"/>
      <c r="B121" s="280" t="n"/>
      <c r="C121" s="280" t="n"/>
      <c r="D121" s="280" t="n"/>
      <c r="E121" s="280" t="n"/>
      <c r="F121" s="280" t="n"/>
      <c r="G121" s="280" t="n"/>
      <c r="H121" s="280" t="n"/>
      <c r="I121" s="332">
        <f>IFERROR(VLOOKUP(TEXT(H121,"0"),IPRESS!$A$3:$B$212,2,0),"")</f>
        <v/>
      </c>
      <c r="J121" s="280" t="n"/>
      <c r="K121" s="343" t="n"/>
      <c r="L121" s="280" t="n"/>
      <c r="M121" s="280" t="n"/>
      <c r="N121" s="345" t="n"/>
      <c r="O121" s="280" t="n"/>
      <c r="P121" s="332">
        <f>IFERROR(VLOOKUP(TEXT(O121,"0"),CONDUCTORES!$A$3:$G$54,2,0),"")</f>
        <v/>
      </c>
      <c r="Q121" s="332">
        <f>IFERROR(VLOOKUP(TEXT(O121,"0"),CONDUCTORES!$A$3:$H$54,6,0),"")</f>
        <v/>
      </c>
      <c r="R121" s="280" t="n"/>
      <c r="S121" s="280" t="n"/>
      <c r="T121" s="280" t="n"/>
      <c r="U121" s="280" t="n"/>
      <c r="V121" s="280" t="n"/>
      <c r="W121" s="280" t="n"/>
      <c r="X121" s="280" t="n"/>
      <c r="Y121" s="280" t="n"/>
      <c r="Z121" s="350" t="n"/>
      <c r="AA121" s="198" t="n"/>
      <c r="AB121" s="198" t="n"/>
      <c r="AC121" s="198" t="n"/>
    </row>
    <row r="122" ht="15" customHeight="1" s="195">
      <c r="A122" s="280" t="n"/>
      <c r="B122" s="280" t="n"/>
      <c r="C122" s="280" t="n"/>
      <c r="D122" s="280" t="n"/>
      <c r="E122" s="280" t="n"/>
      <c r="F122" s="280" t="n"/>
      <c r="G122" s="280" t="n"/>
      <c r="H122" s="280" t="n"/>
      <c r="I122" s="332">
        <f>IFERROR(VLOOKUP(TEXT(H122,"0"),IPRESS!$A$3:$B$212,2,0),"")</f>
        <v/>
      </c>
      <c r="J122" s="280" t="n"/>
      <c r="K122" s="343" t="n"/>
      <c r="L122" s="280" t="n"/>
      <c r="M122" s="280" t="n"/>
      <c r="N122" s="345" t="n"/>
      <c r="O122" s="280" t="n"/>
      <c r="P122" s="332">
        <f>IFERROR(VLOOKUP(TEXT(O122,"0"),CONDUCTORES!$A$3:$G$54,2,0),"")</f>
        <v/>
      </c>
      <c r="Q122" s="332">
        <f>IFERROR(VLOOKUP(TEXT(O122,"0"),CONDUCTORES!$A$3:$H$54,6,0),"")</f>
        <v/>
      </c>
      <c r="R122" s="280" t="n"/>
      <c r="S122" s="280" t="n"/>
      <c r="T122" s="280" t="n"/>
      <c r="U122" s="280" t="n"/>
      <c r="V122" s="280" t="n"/>
      <c r="W122" s="280" t="n"/>
      <c r="X122" s="280" t="n"/>
      <c r="Y122" s="280" t="n"/>
      <c r="Z122" s="350" t="n"/>
      <c r="AA122" s="198" t="n"/>
      <c r="AB122" s="198" t="n"/>
      <c r="AC122" s="198" t="n"/>
    </row>
    <row r="123" ht="15" customHeight="1" s="195">
      <c r="A123" s="280" t="n"/>
      <c r="B123" s="280" t="n"/>
      <c r="C123" s="280" t="n"/>
      <c r="D123" s="280" t="n"/>
      <c r="E123" s="280" t="n"/>
      <c r="F123" s="280" t="n"/>
      <c r="G123" s="280" t="n"/>
      <c r="H123" s="280" t="n"/>
      <c r="I123" s="332">
        <f>IFERROR(VLOOKUP(TEXT(H123,"0"),IPRESS!$A$3:$B$212,2,0),"")</f>
        <v/>
      </c>
      <c r="J123" s="280" t="n"/>
      <c r="K123" s="343" t="n"/>
      <c r="L123" s="280" t="n"/>
      <c r="M123" s="280" t="n"/>
      <c r="N123" s="345" t="n"/>
      <c r="O123" s="280" t="n"/>
      <c r="P123" s="332">
        <f>IFERROR(VLOOKUP(TEXT(O123,"0"),CONDUCTORES!$A$3:$G$54,2,0),"")</f>
        <v/>
      </c>
      <c r="Q123" s="332">
        <f>IFERROR(VLOOKUP(TEXT(O123,"0"),CONDUCTORES!$A$3:$H$54,6,0),"")</f>
        <v/>
      </c>
      <c r="R123" s="280" t="n"/>
      <c r="S123" s="280" t="n"/>
      <c r="T123" s="280" t="n"/>
      <c r="U123" s="280" t="n"/>
      <c r="V123" s="280" t="n"/>
      <c r="W123" s="280" t="n"/>
      <c r="X123" s="280" t="n"/>
      <c r="Y123" s="280" t="n"/>
      <c r="Z123" s="350" t="n"/>
      <c r="AA123" s="198" t="n"/>
      <c r="AB123" s="198" t="n"/>
      <c r="AC123" s="198" t="n"/>
    </row>
    <row r="124" ht="15" customHeight="1" s="195">
      <c r="A124" s="280" t="n"/>
      <c r="B124" s="280" t="n"/>
      <c r="C124" s="280" t="n"/>
      <c r="D124" s="280" t="n"/>
      <c r="E124" s="280" t="n"/>
      <c r="F124" s="280" t="n"/>
      <c r="G124" s="280" t="n"/>
      <c r="H124" s="280" t="n"/>
      <c r="I124" s="332">
        <f>IFERROR(VLOOKUP(TEXT(H124,"0"),IPRESS!$A$3:$B$212,2,0),"")</f>
        <v/>
      </c>
      <c r="J124" s="280" t="n"/>
      <c r="K124" s="343" t="n"/>
      <c r="L124" s="280" t="n"/>
      <c r="M124" s="280" t="n"/>
      <c r="N124" s="345" t="n"/>
      <c r="O124" s="280" t="n"/>
      <c r="P124" s="332">
        <f>IFERROR(VLOOKUP(TEXT(O124,"0"),CONDUCTORES!$A$3:$G$54,2,0),"")</f>
        <v/>
      </c>
      <c r="Q124" s="332">
        <f>IFERROR(VLOOKUP(TEXT(O124,"0"),CONDUCTORES!$A$3:$H$54,6,0),"")</f>
        <v/>
      </c>
      <c r="R124" s="280" t="n"/>
      <c r="S124" s="280" t="n"/>
      <c r="T124" s="280" t="n"/>
      <c r="U124" s="280" t="n"/>
      <c r="V124" s="280" t="n"/>
      <c r="W124" s="280" t="n"/>
      <c r="X124" s="280" t="n"/>
      <c r="Y124" s="280" t="n"/>
      <c r="Z124" s="350" t="n"/>
      <c r="AA124" s="198" t="n"/>
      <c r="AB124" s="198" t="n"/>
      <c r="AC124" s="198" t="n"/>
    </row>
    <row r="125" ht="15" customHeight="1" s="195">
      <c r="A125" s="280" t="n"/>
      <c r="B125" s="280" t="n"/>
      <c r="C125" s="280" t="n"/>
      <c r="D125" s="280" t="n"/>
      <c r="E125" s="280" t="n"/>
      <c r="F125" s="280" t="n"/>
      <c r="G125" s="280" t="n"/>
      <c r="H125" s="280" t="n"/>
      <c r="I125" s="332">
        <f>IFERROR(VLOOKUP(TEXT(H125,"0"),IPRESS!$A$3:$B$212,2,0),"")</f>
        <v/>
      </c>
      <c r="J125" s="280" t="n"/>
      <c r="K125" s="343" t="n"/>
      <c r="L125" s="280" t="n"/>
      <c r="M125" s="280" t="n"/>
      <c r="N125" s="345" t="n"/>
      <c r="O125" s="280" t="n"/>
      <c r="P125" s="332">
        <f>IFERROR(VLOOKUP(TEXT(O125,"0"),CONDUCTORES!$A$3:$G$54,2,0),"")</f>
        <v/>
      </c>
      <c r="Q125" s="332">
        <f>IFERROR(VLOOKUP(TEXT(O125,"0"),CONDUCTORES!$A$3:$H$54,6,0),"")</f>
        <v/>
      </c>
      <c r="R125" s="280" t="n"/>
      <c r="S125" s="280" t="n"/>
      <c r="T125" s="280" t="n"/>
      <c r="U125" s="280" t="n"/>
      <c r="V125" s="280" t="n"/>
      <c r="W125" s="280" t="n"/>
      <c r="X125" s="280" t="n"/>
      <c r="Y125" s="280" t="n"/>
      <c r="Z125" s="350" t="n"/>
      <c r="AA125" s="198" t="n"/>
      <c r="AB125" s="198" t="n"/>
      <c r="AC125" s="198" t="n"/>
    </row>
    <row r="126" ht="15" customHeight="1" s="195">
      <c r="A126" s="280" t="n"/>
      <c r="B126" s="280" t="n"/>
      <c r="C126" s="280" t="n"/>
      <c r="D126" s="280" t="n"/>
      <c r="E126" s="280" t="n"/>
      <c r="F126" s="280" t="n"/>
      <c r="G126" s="280" t="n"/>
      <c r="H126" s="280" t="n"/>
      <c r="I126" s="332">
        <f>IFERROR(VLOOKUP(TEXT(H126,"0"),IPRESS!$A$3:$B$212,2,0),"")</f>
        <v/>
      </c>
      <c r="J126" s="280" t="n"/>
      <c r="K126" s="343" t="n"/>
      <c r="L126" s="280" t="n"/>
      <c r="M126" s="280" t="n"/>
      <c r="N126" s="345" t="n"/>
      <c r="O126" s="280" t="n"/>
      <c r="P126" s="332">
        <f>IFERROR(VLOOKUP(TEXT(O126,"0"),CONDUCTORES!$A$3:$G$54,2,0),"")</f>
        <v/>
      </c>
      <c r="Q126" s="332">
        <f>IFERROR(VLOOKUP(TEXT(O126,"0"),CONDUCTORES!$A$3:$H$54,6,0),"")</f>
        <v/>
      </c>
      <c r="R126" s="280" t="n"/>
      <c r="S126" s="280" t="n"/>
      <c r="T126" s="280" t="n"/>
      <c r="U126" s="280" t="n"/>
      <c r="V126" s="280" t="n"/>
      <c r="W126" s="280" t="n"/>
      <c r="X126" s="280" t="n"/>
      <c r="Y126" s="280" t="n"/>
      <c r="Z126" s="350" t="n"/>
      <c r="AA126" s="198" t="n"/>
      <c r="AB126" s="198" t="n"/>
      <c r="AC126" s="198" t="n"/>
    </row>
    <row r="127" ht="15" customHeight="1" s="195">
      <c r="A127" s="280" t="n"/>
      <c r="B127" s="280" t="n"/>
      <c r="C127" s="280" t="n"/>
      <c r="D127" s="280" t="n"/>
      <c r="E127" s="280" t="n"/>
      <c r="F127" s="280" t="n"/>
      <c r="G127" s="280" t="n"/>
      <c r="H127" s="280" t="n"/>
      <c r="I127" s="332">
        <f>IFERROR(VLOOKUP(TEXT(H127,"0"),IPRESS!$A$3:$B$212,2,0),"")</f>
        <v/>
      </c>
      <c r="J127" s="280" t="n"/>
      <c r="K127" s="343" t="n"/>
      <c r="L127" s="280" t="n"/>
      <c r="M127" s="280" t="n"/>
      <c r="N127" s="345" t="n"/>
      <c r="O127" s="280" t="n"/>
      <c r="P127" s="332">
        <f>IFERROR(VLOOKUP(TEXT(O127,"0"),CONDUCTORES!$A$3:$G$54,2,0),"")</f>
        <v/>
      </c>
      <c r="Q127" s="332">
        <f>IFERROR(VLOOKUP(TEXT(O127,"0"),CONDUCTORES!$A$3:$H$54,6,0),"")</f>
        <v/>
      </c>
      <c r="R127" s="280" t="n"/>
      <c r="S127" s="280" t="n"/>
      <c r="T127" s="280" t="n"/>
      <c r="U127" s="280" t="n"/>
      <c r="V127" s="280" t="n"/>
      <c r="W127" s="280" t="n"/>
      <c r="X127" s="280" t="n"/>
      <c r="Y127" s="280" t="n"/>
      <c r="Z127" s="350" t="n"/>
      <c r="AA127" s="198" t="n"/>
      <c r="AB127" s="198" t="n"/>
      <c r="AC127" s="198" t="n"/>
    </row>
    <row r="128" ht="15" customHeight="1" s="195">
      <c r="A128" s="280" t="n"/>
      <c r="B128" s="280" t="n"/>
      <c r="C128" s="280" t="n"/>
      <c r="D128" s="280" t="n"/>
      <c r="E128" s="280" t="n"/>
      <c r="F128" s="280" t="n"/>
      <c r="G128" s="280" t="n"/>
      <c r="H128" s="280" t="n"/>
      <c r="I128" s="332">
        <f>IFERROR(VLOOKUP(TEXT(H128,"0"),IPRESS!$A$3:$B$212,2,0),"")</f>
        <v/>
      </c>
      <c r="J128" s="280" t="n"/>
      <c r="K128" s="343" t="n"/>
      <c r="L128" s="280" t="n"/>
      <c r="M128" s="280" t="n"/>
      <c r="N128" s="345" t="n"/>
      <c r="O128" s="280" t="n"/>
      <c r="P128" s="332">
        <f>IFERROR(VLOOKUP(TEXT(O128,"0"),CONDUCTORES!$A$3:$G$54,2,0),"")</f>
        <v/>
      </c>
      <c r="Q128" s="332">
        <f>IFERROR(VLOOKUP(TEXT(O128,"0"),CONDUCTORES!$A$3:$H$54,6,0),"")</f>
        <v/>
      </c>
      <c r="R128" s="280" t="n"/>
      <c r="S128" s="280" t="n"/>
      <c r="T128" s="280" t="n"/>
      <c r="U128" s="280" t="n"/>
      <c r="V128" s="280" t="n"/>
      <c r="W128" s="280" t="n"/>
      <c r="X128" s="280" t="n"/>
      <c r="Y128" s="280" t="n"/>
      <c r="Z128" s="350" t="n"/>
      <c r="AA128" s="198" t="n"/>
      <c r="AB128" s="198" t="n"/>
      <c r="AC128" s="198" t="n"/>
    </row>
    <row r="129" ht="15" customHeight="1" s="195">
      <c r="A129" s="280" t="n"/>
      <c r="B129" s="280" t="n"/>
      <c r="C129" s="280" t="n"/>
      <c r="D129" s="280" t="n"/>
      <c r="E129" s="280" t="n"/>
      <c r="F129" s="280" t="n"/>
      <c r="G129" s="280" t="n"/>
      <c r="H129" s="280" t="n"/>
      <c r="I129" s="332">
        <f>IFERROR(VLOOKUP(TEXT(H129,"0"),IPRESS!$A$3:$B$212,2,0),"")</f>
        <v/>
      </c>
      <c r="J129" s="280" t="n"/>
      <c r="K129" s="343" t="n"/>
      <c r="L129" s="280" t="n"/>
      <c r="M129" s="280" t="n"/>
      <c r="N129" s="345" t="n"/>
      <c r="O129" s="280" t="n"/>
      <c r="P129" s="332">
        <f>IFERROR(VLOOKUP(TEXT(O129,"0"),CONDUCTORES!$A$3:$G$54,2,0),"")</f>
        <v/>
      </c>
      <c r="Q129" s="332">
        <f>IFERROR(VLOOKUP(TEXT(O129,"0"),CONDUCTORES!$A$3:$H$54,6,0),"")</f>
        <v/>
      </c>
      <c r="R129" s="280" t="n"/>
      <c r="S129" s="280" t="n"/>
      <c r="T129" s="280" t="n"/>
      <c r="U129" s="280" t="n"/>
      <c r="V129" s="280" t="n"/>
      <c r="W129" s="280" t="n"/>
      <c r="X129" s="280" t="n"/>
      <c r="Y129" s="280" t="n"/>
      <c r="Z129" s="350" t="n"/>
      <c r="AA129" s="198" t="n"/>
      <c r="AB129" s="198" t="n"/>
      <c r="AC129" s="198" t="n"/>
    </row>
    <row r="130" ht="15" customHeight="1" s="195">
      <c r="A130" s="280" t="n"/>
      <c r="B130" s="280" t="n"/>
      <c r="C130" s="280" t="n"/>
      <c r="D130" s="280" t="n"/>
      <c r="E130" s="280" t="n"/>
      <c r="F130" s="280" t="n"/>
      <c r="G130" s="280" t="n"/>
      <c r="H130" s="280" t="n"/>
      <c r="I130" s="332">
        <f>IFERROR(VLOOKUP(TEXT(H130,"0"),IPRESS!$A$3:$B$212,2,0),"")</f>
        <v/>
      </c>
      <c r="J130" s="280" t="n"/>
      <c r="K130" s="343" t="n"/>
      <c r="L130" s="280" t="n"/>
      <c r="M130" s="280" t="n"/>
      <c r="N130" s="345" t="n"/>
      <c r="O130" s="280" t="n"/>
      <c r="P130" s="332">
        <f>IFERROR(VLOOKUP(TEXT(O130,"0"),CONDUCTORES!$A$3:$G$54,2,0),"")</f>
        <v/>
      </c>
      <c r="Q130" s="332">
        <f>IFERROR(VLOOKUP(TEXT(O130,"0"),CONDUCTORES!$A$3:$H$54,6,0),"")</f>
        <v/>
      </c>
      <c r="R130" s="280" t="n"/>
      <c r="S130" s="280" t="n"/>
      <c r="T130" s="280" t="n"/>
      <c r="U130" s="280" t="n"/>
      <c r="V130" s="280" t="n"/>
      <c r="W130" s="280" t="n"/>
      <c r="X130" s="280" t="n"/>
      <c r="Y130" s="280" t="n"/>
      <c r="Z130" s="350" t="n"/>
      <c r="AA130" s="198" t="n"/>
      <c r="AB130" s="198" t="n"/>
      <c r="AC130" s="198" t="n"/>
    </row>
    <row r="131" ht="15" customHeight="1" s="195">
      <c r="A131" s="280" t="n"/>
      <c r="B131" s="280" t="n"/>
      <c r="C131" s="280" t="n"/>
      <c r="D131" s="280" t="n"/>
      <c r="E131" s="280" t="n"/>
      <c r="F131" s="280" t="n"/>
      <c r="G131" s="280" t="n"/>
      <c r="H131" s="280" t="n"/>
      <c r="I131" s="332">
        <f>IFERROR(VLOOKUP(TEXT(H131,"0"),IPRESS!$A$3:$B$212,2,0),"")</f>
        <v/>
      </c>
      <c r="J131" s="280" t="n"/>
      <c r="K131" s="343" t="n"/>
      <c r="L131" s="280" t="n"/>
      <c r="M131" s="280" t="n"/>
      <c r="N131" s="345" t="n"/>
      <c r="O131" s="280" t="n"/>
      <c r="P131" s="332">
        <f>IFERROR(VLOOKUP(TEXT(O131,"0"),CONDUCTORES!$A$3:$G$54,2,0),"")</f>
        <v/>
      </c>
      <c r="Q131" s="332">
        <f>IFERROR(VLOOKUP(TEXT(O131,"0"),CONDUCTORES!$A$3:$H$54,6,0),"")</f>
        <v/>
      </c>
      <c r="R131" s="280" t="n"/>
      <c r="S131" s="280" t="n"/>
      <c r="T131" s="280" t="n"/>
      <c r="U131" s="280" t="n"/>
      <c r="V131" s="280" t="n"/>
      <c r="W131" s="280" t="n"/>
      <c r="X131" s="280" t="n"/>
      <c r="Y131" s="280" t="n"/>
      <c r="Z131" s="350" t="n"/>
      <c r="AA131" s="198" t="n"/>
      <c r="AB131" s="198" t="n"/>
      <c r="AC131" s="198" t="n"/>
    </row>
    <row r="132" ht="15" customHeight="1" s="195">
      <c r="A132" s="280" t="n"/>
      <c r="B132" s="280" t="n"/>
      <c r="C132" s="280" t="n"/>
      <c r="D132" s="280" t="n"/>
      <c r="E132" s="280" t="n"/>
      <c r="F132" s="280" t="n"/>
      <c r="G132" s="280" t="n"/>
      <c r="H132" s="280" t="n"/>
      <c r="I132" s="332">
        <f>IFERROR(VLOOKUP(TEXT(H132,"0"),IPRESS!$A$3:$B$212,2,0),"")</f>
        <v/>
      </c>
      <c r="J132" s="280" t="n"/>
      <c r="K132" s="343" t="n"/>
      <c r="L132" s="280" t="n"/>
      <c r="M132" s="280" t="n"/>
      <c r="N132" s="345" t="n"/>
      <c r="O132" s="280" t="n"/>
      <c r="P132" s="332">
        <f>IFERROR(VLOOKUP(TEXT(O132,"0"),CONDUCTORES!$A$3:$G$54,2,0),"")</f>
        <v/>
      </c>
      <c r="Q132" s="332">
        <f>IFERROR(VLOOKUP(TEXT(O132,"0"),CONDUCTORES!$A$3:$H$54,6,0),"")</f>
        <v/>
      </c>
      <c r="R132" s="280" t="n"/>
      <c r="S132" s="280" t="n"/>
      <c r="T132" s="280" t="n"/>
      <c r="U132" s="280" t="n"/>
      <c r="V132" s="280" t="n"/>
      <c r="W132" s="280" t="n"/>
      <c r="X132" s="280" t="n"/>
      <c r="Y132" s="280" t="n"/>
      <c r="Z132" s="350" t="n"/>
      <c r="AA132" s="198" t="n"/>
      <c r="AB132" s="198" t="n"/>
      <c r="AC132" s="198" t="n"/>
    </row>
    <row r="133" ht="15" customHeight="1" s="195">
      <c r="A133" s="280" t="n"/>
      <c r="B133" s="280" t="n"/>
      <c r="C133" s="280" t="n"/>
      <c r="D133" s="280" t="n"/>
      <c r="E133" s="280" t="n"/>
      <c r="F133" s="280" t="n"/>
      <c r="G133" s="280" t="n"/>
      <c r="H133" s="280" t="n"/>
      <c r="I133" s="332">
        <f>IFERROR(VLOOKUP(TEXT(H133,"0"),IPRESS!$A$3:$B$212,2,0),"")</f>
        <v/>
      </c>
      <c r="J133" s="280" t="n"/>
      <c r="K133" s="343" t="n"/>
      <c r="L133" s="280" t="n"/>
      <c r="M133" s="280" t="n"/>
      <c r="N133" s="345" t="n"/>
      <c r="O133" s="280" t="n"/>
      <c r="P133" s="332">
        <f>IFERROR(VLOOKUP(TEXT(O133,"0"),CONDUCTORES!$A$3:$G$54,2,0),"")</f>
        <v/>
      </c>
      <c r="Q133" s="332">
        <f>IFERROR(VLOOKUP(TEXT(O133,"0"),CONDUCTORES!$A$3:$H$54,6,0),"")</f>
        <v/>
      </c>
      <c r="R133" s="280" t="n"/>
      <c r="S133" s="280" t="n"/>
      <c r="T133" s="280" t="n"/>
      <c r="U133" s="280" t="n"/>
      <c r="V133" s="280" t="n"/>
      <c r="W133" s="280" t="n"/>
      <c r="X133" s="280" t="n"/>
      <c r="Y133" s="280" t="n"/>
      <c r="Z133" s="350" t="n"/>
      <c r="AA133" s="198" t="n"/>
      <c r="AB133" s="198" t="n"/>
      <c r="AC133" s="198" t="n"/>
    </row>
    <row r="134" ht="15" customHeight="1" s="195">
      <c r="A134" s="280" t="n"/>
      <c r="B134" s="280" t="n"/>
      <c r="C134" s="280" t="n"/>
      <c r="D134" s="280" t="n"/>
      <c r="E134" s="280" t="n"/>
      <c r="F134" s="280" t="n"/>
      <c r="G134" s="280" t="n"/>
      <c r="H134" s="280" t="n"/>
      <c r="I134" s="332">
        <f>IFERROR(VLOOKUP(TEXT(H134,"0"),IPRESS!$A$3:$B$212,2,0),"")</f>
        <v/>
      </c>
      <c r="J134" s="280" t="n"/>
      <c r="K134" s="343" t="n"/>
      <c r="L134" s="280" t="n"/>
      <c r="M134" s="280" t="n"/>
      <c r="N134" s="345" t="n"/>
      <c r="O134" s="280" t="n"/>
      <c r="P134" s="332">
        <f>IFERROR(VLOOKUP(TEXT(O134,"0"),CONDUCTORES!$A$3:$G$54,2,0),"")</f>
        <v/>
      </c>
      <c r="Q134" s="332">
        <f>IFERROR(VLOOKUP(TEXT(O134,"0"),CONDUCTORES!$A$3:$H$54,6,0),"")</f>
        <v/>
      </c>
      <c r="R134" s="280" t="n"/>
      <c r="S134" s="280" t="n"/>
      <c r="T134" s="280" t="n"/>
      <c r="U134" s="280" t="n"/>
      <c r="V134" s="280" t="n"/>
      <c r="W134" s="280" t="n"/>
      <c r="X134" s="280" t="n"/>
      <c r="Y134" s="280" t="n"/>
      <c r="Z134" s="350" t="n"/>
      <c r="AA134" s="198" t="n"/>
      <c r="AB134" s="198" t="n"/>
      <c r="AC134" s="198" t="n"/>
    </row>
    <row r="135" ht="15" customHeight="1" s="195">
      <c r="A135" s="280" t="n"/>
      <c r="B135" s="280" t="n"/>
      <c r="C135" s="280" t="n"/>
      <c r="D135" s="280" t="n"/>
      <c r="E135" s="280" t="n"/>
      <c r="F135" s="280" t="n"/>
      <c r="G135" s="280" t="n"/>
      <c r="H135" s="280" t="n"/>
      <c r="I135" s="332">
        <f>IFERROR(VLOOKUP(TEXT(H135,"0"),IPRESS!$A$3:$B$212,2,0),"")</f>
        <v/>
      </c>
      <c r="J135" s="280" t="n"/>
      <c r="K135" s="343" t="n"/>
      <c r="L135" s="280" t="n"/>
      <c r="M135" s="280" t="n"/>
      <c r="N135" s="345" t="n"/>
      <c r="O135" s="280" t="n"/>
      <c r="P135" s="332">
        <f>IFERROR(VLOOKUP(TEXT(O135,"0"),CONDUCTORES!$A$3:$G$54,2,0),"")</f>
        <v/>
      </c>
      <c r="Q135" s="332">
        <f>IFERROR(VLOOKUP(TEXT(O135,"0"),CONDUCTORES!$A$3:$H$54,6,0),"")</f>
        <v/>
      </c>
      <c r="R135" s="280" t="n"/>
      <c r="S135" s="280" t="n"/>
      <c r="T135" s="280" t="n"/>
      <c r="U135" s="280" t="n"/>
      <c r="V135" s="280" t="n"/>
      <c r="W135" s="280" t="n"/>
      <c r="X135" s="280" t="n"/>
      <c r="Y135" s="280" t="n"/>
      <c r="Z135" s="350" t="n"/>
      <c r="AA135" s="198" t="n"/>
      <c r="AB135" s="198" t="n"/>
      <c r="AC135" s="198" t="n"/>
    </row>
    <row r="136" ht="15" customHeight="1" s="195">
      <c r="A136" s="280" t="n"/>
      <c r="B136" s="280" t="n"/>
      <c r="C136" s="280" t="n"/>
      <c r="D136" s="280" t="n"/>
      <c r="E136" s="280" t="n"/>
      <c r="F136" s="280" t="n"/>
      <c r="G136" s="280" t="n"/>
      <c r="H136" s="280" t="n"/>
      <c r="I136" s="332">
        <f>IFERROR(VLOOKUP(TEXT(H136,"0"),IPRESS!$A$3:$B$212,2,0),"")</f>
        <v/>
      </c>
      <c r="J136" s="280" t="n"/>
      <c r="K136" s="343" t="n"/>
      <c r="L136" s="280" t="n"/>
      <c r="M136" s="280" t="n"/>
      <c r="N136" s="345" t="n"/>
      <c r="O136" s="280" t="n"/>
      <c r="P136" s="332">
        <f>IFERROR(VLOOKUP(TEXT(O136,"0"),CONDUCTORES!$A$3:$G$54,2,0),"")</f>
        <v/>
      </c>
      <c r="Q136" s="332">
        <f>IFERROR(VLOOKUP(TEXT(O136,"0"),CONDUCTORES!$A$3:$H$54,6,0),"")</f>
        <v/>
      </c>
      <c r="R136" s="280" t="n"/>
      <c r="S136" s="280" t="n"/>
      <c r="T136" s="280" t="n"/>
      <c r="U136" s="280" t="n"/>
      <c r="V136" s="280" t="n"/>
      <c r="W136" s="280" t="n"/>
      <c r="X136" s="280" t="n"/>
      <c r="Y136" s="280" t="n"/>
      <c r="Z136" s="350" t="n"/>
      <c r="AA136" s="198" t="n"/>
      <c r="AB136" s="198" t="n"/>
      <c r="AC136" s="198" t="n"/>
    </row>
    <row r="137" ht="15" customHeight="1" s="195">
      <c r="A137" s="280" t="n"/>
      <c r="B137" s="280" t="n"/>
      <c r="C137" s="280" t="n"/>
      <c r="D137" s="280" t="n"/>
      <c r="E137" s="280" t="n"/>
      <c r="F137" s="280" t="n"/>
      <c r="G137" s="280" t="n"/>
      <c r="H137" s="280" t="n"/>
      <c r="I137" s="332">
        <f>IFERROR(VLOOKUP(TEXT(H137,"0"),IPRESS!$A$3:$B$212,2,0),"")</f>
        <v/>
      </c>
      <c r="J137" s="280" t="n"/>
      <c r="K137" s="343" t="n"/>
      <c r="L137" s="280" t="n"/>
      <c r="M137" s="280" t="n"/>
      <c r="N137" s="345" t="n"/>
      <c r="O137" s="280" t="n"/>
      <c r="P137" s="332">
        <f>IFERROR(VLOOKUP(TEXT(O137,"0"),CONDUCTORES!$A$3:$G$54,2,0),"")</f>
        <v/>
      </c>
      <c r="Q137" s="332">
        <f>IFERROR(VLOOKUP(TEXT(O137,"0"),CONDUCTORES!$A$3:$H$54,6,0),"")</f>
        <v/>
      </c>
      <c r="R137" s="280" t="n"/>
      <c r="S137" s="280" t="n"/>
      <c r="T137" s="280" t="n"/>
      <c r="U137" s="280" t="n"/>
      <c r="V137" s="280" t="n"/>
      <c r="W137" s="280" t="n"/>
      <c r="X137" s="280" t="n"/>
      <c r="Y137" s="280" t="n"/>
      <c r="Z137" s="350" t="n"/>
      <c r="AA137" s="198" t="n"/>
      <c r="AB137" s="198" t="n"/>
      <c r="AC137" s="198" t="n"/>
    </row>
    <row r="138" ht="15" customHeight="1" s="195">
      <c r="A138" s="280" t="n"/>
      <c r="B138" s="280" t="n"/>
      <c r="C138" s="280" t="n"/>
      <c r="D138" s="280" t="n"/>
      <c r="E138" s="280" t="n"/>
      <c r="F138" s="280" t="n"/>
      <c r="G138" s="280" t="n"/>
      <c r="H138" s="280" t="n"/>
      <c r="I138" s="332">
        <f>IFERROR(VLOOKUP(TEXT(H138,"0"),IPRESS!$A$3:$B$212,2,0),"")</f>
        <v/>
      </c>
      <c r="J138" s="280" t="n"/>
      <c r="K138" s="343" t="n"/>
      <c r="L138" s="280" t="n"/>
      <c r="M138" s="280" t="n"/>
      <c r="N138" s="345" t="n"/>
      <c r="O138" s="280" t="n"/>
      <c r="P138" s="332">
        <f>IFERROR(VLOOKUP(TEXT(O138,"0"),CONDUCTORES!$A$3:$G$54,2,0),"")</f>
        <v/>
      </c>
      <c r="Q138" s="332">
        <f>IFERROR(VLOOKUP(TEXT(O138,"0"),CONDUCTORES!$A$3:$H$54,6,0),"")</f>
        <v/>
      </c>
      <c r="R138" s="280" t="n"/>
      <c r="S138" s="280" t="n"/>
      <c r="T138" s="280" t="n"/>
      <c r="U138" s="280" t="n"/>
      <c r="V138" s="280" t="n"/>
      <c r="W138" s="280" t="n"/>
      <c r="X138" s="280" t="n"/>
      <c r="Y138" s="280" t="n"/>
      <c r="Z138" s="350" t="n"/>
      <c r="AA138" s="198" t="n"/>
      <c r="AB138" s="198" t="n"/>
      <c r="AC138" s="198" t="n"/>
    </row>
    <row r="139" ht="15" customHeight="1" s="195">
      <c r="A139" s="280" t="n"/>
      <c r="B139" s="280" t="n"/>
      <c r="C139" s="280" t="n"/>
      <c r="D139" s="280" t="n"/>
      <c r="E139" s="280" t="n"/>
      <c r="F139" s="280" t="n"/>
      <c r="G139" s="280" t="n"/>
      <c r="H139" s="280" t="n"/>
      <c r="I139" s="332">
        <f>IFERROR(VLOOKUP(TEXT(H139,"0"),IPRESS!$A$3:$B$212,2,0),"")</f>
        <v/>
      </c>
      <c r="J139" s="280" t="n"/>
      <c r="K139" s="343" t="n"/>
      <c r="L139" s="280" t="n"/>
      <c r="M139" s="280" t="n"/>
      <c r="N139" s="345" t="n"/>
      <c r="O139" s="280" t="n"/>
      <c r="P139" s="332">
        <f>IFERROR(VLOOKUP(TEXT(O139,"0"),CONDUCTORES!$A$3:$G$54,2,0),"")</f>
        <v/>
      </c>
      <c r="Q139" s="332">
        <f>IFERROR(VLOOKUP(TEXT(O139,"0"),CONDUCTORES!$A$3:$H$54,6,0),"")</f>
        <v/>
      </c>
      <c r="R139" s="280" t="n"/>
      <c r="S139" s="280" t="n"/>
      <c r="T139" s="280" t="n"/>
      <c r="U139" s="280" t="n"/>
      <c r="V139" s="280" t="n"/>
      <c r="W139" s="280" t="n"/>
      <c r="X139" s="280" t="n"/>
      <c r="Y139" s="280" t="n"/>
      <c r="Z139" s="350" t="n"/>
      <c r="AA139" s="198" t="n"/>
      <c r="AB139" s="198" t="n"/>
      <c r="AC139" s="198" t="n"/>
    </row>
    <row r="140" ht="15" customHeight="1" s="195">
      <c r="A140" s="280" t="n"/>
      <c r="B140" s="280" t="n"/>
      <c r="C140" s="280" t="n"/>
      <c r="D140" s="280" t="n"/>
      <c r="E140" s="280" t="n"/>
      <c r="F140" s="280" t="n"/>
      <c r="G140" s="280" t="n"/>
      <c r="H140" s="280" t="n"/>
      <c r="I140" s="332">
        <f>IFERROR(VLOOKUP(TEXT(H140,"0"),IPRESS!$A$3:$B$212,2,0),"")</f>
        <v/>
      </c>
      <c r="J140" s="280" t="n"/>
      <c r="K140" s="343" t="n"/>
      <c r="L140" s="280" t="n"/>
      <c r="M140" s="280" t="n"/>
      <c r="N140" s="345" t="n"/>
      <c r="O140" s="280" t="n"/>
      <c r="P140" s="332">
        <f>IFERROR(VLOOKUP(TEXT(O140,"0"),CONDUCTORES!$A$3:$G$54,2,0),"")</f>
        <v/>
      </c>
      <c r="Q140" s="332">
        <f>IFERROR(VLOOKUP(TEXT(O140,"0"),CONDUCTORES!$A$3:$H$54,6,0),"")</f>
        <v/>
      </c>
      <c r="R140" s="280" t="n"/>
      <c r="S140" s="280" t="n"/>
      <c r="T140" s="280" t="n"/>
      <c r="U140" s="280" t="n"/>
      <c r="V140" s="280" t="n"/>
      <c r="W140" s="280" t="n"/>
      <c r="X140" s="280" t="n"/>
      <c r="Y140" s="280" t="n"/>
      <c r="Z140" s="350" t="n"/>
      <c r="AA140" s="198" t="n"/>
      <c r="AB140" s="198" t="n"/>
      <c r="AC140" s="198" t="n"/>
    </row>
    <row r="141" ht="15" customHeight="1" s="195">
      <c r="A141" s="280" t="n"/>
      <c r="B141" s="280" t="n"/>
      <c r="C141" s="280" t="n"/>
      <c r="D141" s="280" t="n"/>
      <c r="E141" s="280" t="n"/>
      <c r="F141" s="280" t="n"/>
      <c r="G141" s="280" t="n"/>
      <c r="H141" s="280" t="n"/>
      <c r="I141" s="332">
        <f>IFERROR(VLOOKUP(TEXT(H141,"0"),IPRESS!$A$3:$B$212,2,0),"")</f>
        <v/>
      </c>
      <c r="J141" s="280" t="n"/>
      <c r="K141" s="343" t="n"/>
      <c r="L141" s="280" t="n"/>
      <c r="M141" s="280" t="n"/>
      <c r="N141" s="345" t="n"/>
      <c r="O141" s="280" t="n"/>
      <c r="P141" s="332">
        <f>IFERROR(VLOOKUP(TEXT(O141,"0"),CONDUCTORES!$A$3:$G$54,2,0),"")</f>
        <v/>
      </c>
      <c r="Q141" s="332">
        <f>IFERROR(VLOOKUP(TEXT(O141,"0"),CONDUCTORES!$A$3:$H$54,6,0),"")</f>
        <v/>
      </c>
      <c r="R141" s="280" t="n"/>
      <c r="S141" s="280" t="n"/>
      <c r="T141" s="280" t="n"/>
      <c r="U141" s="280" t="n"/>
      <c r="V141" s="280" t="n"/>
      <c r="W141" s="280" t="n"/>
      <c r="X141" s="280" t="n"/>
      <c r="Y141" s="280" t="n"/>
      <c r="Z141" s="350" t="n"/>
      <c r="AA141" s="198" t="n"/>
      <c r="AB141" s="198" t="n"/>
      <c r="AC141" s="198" t="n"/>
    </row>
    <row r="142" ht="15" customHeight="1" s="195">
      <c r="A142" s="280" t="n"/>
      <c r="B142" s="280" t="n"/>
      <c r="C142" s="280" t="n"/>
      <c r="D142" s="280" t="n"/>
      <c r="E142" s="280" t="n"/>
      <c r="F142" s="280" t="n"/>
      <c r="G142" s="280" t="n"/>
      <c r="H142" s="280" t="n"/>
      <c r="I142" s="332">
        <f>IFERROR(VLOOKUP(TEXT(H142,"0"),IPRESS!$A$3:$B$212,2,0),"")</f>
        <v/>
      </c>
      <c r="J142" s="280" t="n"/>
      <c r="K142" s="343" t="n"/>
      <c r="L142" s="280" t="n"/>
      <c r="M142" s="280" t="n"/>
      <c r="N142" s="345" t="n"/>
      <c r="O142" s="280" t="n"/>
      <c r="P142" s="332">
        <f>IFERROR(VLOOKUP(TEXT(O142,"0"),CONDUCTORES!$A$3:$G$54,2,0),"")</f>
        <v/>
      </c>
      <c r="Q142" s="332">
        <f>IFERROR(VLOOKUP(TEXT(O142,"0"),CONDUCTORES!$A$3:$H$54,6,0),"")</f>
        <v/>
      </c>
      <c r="R142" s="280" t="n"/>
      <c r="S142" s="280" t="n"/>
      <c r="T142" s="280" t="n"/>
      <c r="U142" s="280" t="n"/>
      <c r="V142" s="280" t="n"/>
      <c r="W142" s="280" t="n"/>
      <c r="X142" s="280" t="n"/>
      <c r="Y142" s="280" t="n"/>
      <c r="Z142" s="350" t="n"/>
      <c r="AA142" s="198" t="n"/>
      <c r="AB142" s="198" t="n"/>
      <c r="AC142" s="198" t="n"/>
    </row>
    <row r="143" ht="15" customHeight="1" s="195">
      <c r="A143" s="280" t="n"/>
      <c r="B143" s="280" t="n"/>
      <c r="C143" s="280" t="n"/>
      <c r="D143" s="280" t="n"/>
      <c r="E143" s="280" t="n"/>
      <c r="F143" s="280" t="n"/>
      <c r="G143" s="280" t="n"/>
      <c r="H143" s="280" t="n"/>
      <c r="I143" s="332">
        <f>IFERROR(VLOOKUP(TEXT(H143,"0"),IPRESS!$A$3:$B$212,2,0),"")</f>
        <v/>
      </c>
      <c r="J143" s="280" t="n"/>
      <c r="K143" s="343" t="n"/>
      <c r="L143" s="280" t="n"/>
      <c r="M143" s="280" t="n"/>
      <c r="N143" s="345" t="n"/>
      <c r="O143" s="280" t="n"/>
      <c r="P143" s="332">
        <f>IFERROR(VLOOKUP(TEXT(O143,"0"),CONDUCTORES!$A$3:$G$54,2,0),"")</f>
        <v/>
      </c>
      <c r="Q143" s="332">
        <f>IFERROR(VLOOKUP(TEXT(O143,"0"),CONDUCTORES!$A$3:$H$54,6,0),"")</f>
        <v/>
      </c>
      <c r="R143" s="280" t="n"/>
      <c r="S143" s="280" t="n"/>
      <c r="T143" s="280" t="n"/>
      <c r="U143" s="280" t="n"/>
      <c r="V143" s="280" t="n"/>
      <c r="W143" s="280" t="n"/>
      <c r="X143" s="280" t="n"/>
      <c r="Y143" s="280" t="n"/>
      <c r="Z143" s="350" t="n"/>
      <c r="AA143" s="198" t="n"/>
      <c r="AB143" s="198" t="n"/>
      <c r="AC143" s="198" t="n"/>
    </row>
    <row r="144" ht="15" customHeight="1" s="195">
      <c r="A144" s="280" t="n"/>
      <c r="B144" s="280" t="n"/>
      <c r="C144" s="280" t="n"/>
      <c r="D144" s="280" t="n"/>
      <c r="E144" s="280" t="n"/>
      <c r="F144" s="280" t="n"/>
      <c r="G144" s="280" t="n"/>
      <c r="H144" s="280" t="n"/>
      <c r="I144" s="332">
        <f>IFERROR(VLOOKUP(TEXT(H144,"0"),IPRESS!$A$3:$B$212,2,0),"")</f>
        <v/>
      </c>
      <c r="J144" s="280" t="n"/>
      <c r="K144" s="343" t="n"/>
      <c r="L144" s="280" t="n"/>
      <c r="M144" s="280" t="n"/>
      <c r="N144" s="345" t="n"/>
      <c r="O144" s="280" t="n"/>
      <c r="P144" s="332">
        <f>IFERROR(VLOOKUP(TEXT(O144,"0"),CONDUCTORES!$A$3:$G$54,2,0),"")</f>
        <v/>
      </c>
      <c r="Q144" s="332">
        <f>IFERROR(VLOOKUP(TEXT(O144,"0"),CONDUCTORES!$A$3:$H$54,6,0),"")</f>
        <v/>
      </c>
      <c r="R144" s="280" t="n"/>
      <c r="S144" s="280" t="n"/>
      <c r="T144" s="280" t="n"/>
      <c r="U144" s="280" t="n"/>
      <c r="V144" s="280" t="n"/>
      <c r="W144" s="280" t="n"/>
      <c r="X144" s="280" t="n"/>
      <c r="Y144" s="280" t="n"/>
      <c r="Z144" s="350" t="n"/>
      <c r="AA144" s="198" t="n"/>
      <c r="AB144" s="198" t="n"/>
      <c r="AC144" s="198" t="n"/>
    </row>
    <row r="145" ht="15" customHeight="1" s="195">
      <c r="A145" s="280" t="n"/>
      <c r="B145" s="280" t="n"/>
      <c r="C145" s="280" t="n"/>
      <c r="D145" s="280" t="n"/>
      <c r="E145" s="280" t="n"/>
      <c r="F145" s="280" t="n"/>
      <c r="G145" s="280" t="n"/>
      <c r="H145" s="280" t="n"/>
      <c r="I145" s="332">
        <f>IFERROR(VLOOKUP(TEXT(H145,"0"),IPRESS!$A$3:$B$212,2,0),"")</f>
        <v/>
      </c>
      <c r="J145" s="280" t="n"/>
      <c r="K145" s="343" t="n"/>
      <c r="L145" s="280" t="n"/>
      <c r="M145" s="280" t="n"/>
      <c r="N145" s="345" t="n"/>
      <c r="O145" s="280" t="n"/>
      <c r="P145" s="332">
        <f>IFERROR(VLOOKUP(TEXT(O145,"0"),CONDUCTORES!$A$3:$G$54,2,0),"")</f>
        <v/>
      </c>
      <c r="Q145" s="332">
        <f>IFERROR(VLOOKUP(TEXT(O145,"0"),CONDUCTORES!$A$3:$H$54,6,0),"")</f>
        <v/>
      </c>
      <c r="R145" s="280" t="n"/>
      <c r="S145" s="280" t="n"/>
      <c r="T145" s="280" t="n"/>
      <c r="U145" s="280" t="n"/>
      <c r="V145" s="280" t="n"/>
      <c r="W145" s="280" t="n"/>
      <c r="X145" s="280" t="n"/>
      <c r="Y145" s="280" t="n"/>
      <c r="Z145" s="350" t="n"/>
      <c r="AA145" s="198" t="n"/>
      <c r="AB145" s="198" t="n"/>
      <c r="AC145" s="198" t="n"/>
    </row>
    <row r="146" ht="15" customHeight="1" s="195">
      <c r="A146" s="280" t="n"/>
      <c r="B146" s="280" t="n"/>
      <c r="C146" s="280" t="n"/>
      <c r="D146" s="280" t="n"/>
      <c r="E146" s="280" t="n"/>
      <c r="F146" s="280" t="n"/>
      <c r="G146" s="280" t="n"/>
      <c r="H146" s="280" t="n"/>
      <c r="I146" s="332">
        <f>IFERROR(VLOOKUP(TEXT(H146,"0"),IPRESS!$A$3:$B$212,2,0),"")</f>
        <v/>
      </c>
      <c r="J146" s="280" t="n"/>
      <c r="K146" s="343" t="n"/>
      <c r="L146" s="280" t="n"/>
      <c r="M146" s="280" t="n"/>
      <c r="N146" s="345" t="n"/>
      <c r="O146" s="280" t="n"/>
      <c r="P146" s="332">
        <f>IFERROR(VLOOKUP(TEXT(O146,"0"),CONDUCTORES!$A$3:$G$54,2,0),"")</f>
        <v/>
      </c>
      <c r="Q146" s="332">
        <f>IFERROR(VLOOKUP(TEXT(O146,"0"),CONDUCTORES!$A$3:$H$54,6,0),"")</f>
        <v/>
      </c>
      <c r="R146" s="280" t="n"/>
      <c r="S146" s="280" t="n"/>
      <c r="T146" s="280" t="n"/>
      <c r="U146" s="280" t="n"/>
      <c r="V146" s="280" t="n"/>
      <c r="W146" s="280" t="n"/>
      <c r="X146" s="280" t="n"/>
      <c r="Y146" s="280" t="n"/>
      <c r="Z146" s="350" t="n"/>
      <c r="AA146" s="198" t="n"/>
      <c r="AB146" s="198" t="n"/>
      <c r="AC146" s="198" t="n"/>
    </row>
    <row r="147" ht="15" customHeight="1" s="195">
      <c r="A147" s="280" t="n"/>
      <c r="B147" s="280" t="n"/>
      <c r="C147" s="280" t="n"/>
      <c r="D147" s="280" t="n"/>
      <c r="E147" s="280" t="n"/>
      <c r="F147" s="280" t="n"/>
      <c r="G147" s="280" t="n"/>
      <c r="H147" s="280" t="n"/>
      <c r="I147" s="332">
        <f>IFERROR(VLOOKUP(TEXT(H147,"0"),IPRESS!$A$3:$B$212,2,0),"")</f>
        <v/>
      </c>
      <c r="J147" s="280" t="n"/>
      <c r="K147" s="343" t="n"/>
      <c r="L147" s="280" t="n"/>
      <c r="M147" s="280" t="n"/>
      <c r="N147" s="345" t="n"/>
      <c r="O147" s="280" t="n"/>
      <c r="P147" s="332">
        <f>IFERROR(VLOOKUP(TEXT(O147,"0"),CONDUCTORES!$A$3:$G$54,2,0),"")</f>
        <v/>
      </c>
      <c r="Q147" s="332">
        <f>IFERROR(VLOOKUP(TEXT(O147,"0"),CONDUCTORES!$A$3:$H$54,6,0),"")</f>
        <v/>
      </c>
      <c r="R147" s="280" t="n"/>
      <c r="S147" s="280" t="n"/>
      <c r="T147" s="280" t="n"/>
      <c r="U147" s="280" t="n"/>
      <c r="V147" s="280" t="n"/>
      <c r="W147" s="280" t="n"/>
      <c r="X147" s="280" t="n"/>
      <c r="Y147" s="280" t="n"/>
      <c r="Z147" s="350" t="n"/>
      <c r="AA147" s="198" t="n"/>
      <c r="AB147" s="198" t="n"/>
      <c r="AC147" s="198" t="n"/>
    </row>
    <row r="148" ht="15" customHeight="1" s="195">
      <c r="A148" s="280" t="n"/>
      <c r="B148" s="280" t="n"/>
      <c r="C148" s="280" t="n"/>
      <c r="D148" s="280" t="n"/>
      <c r="E148" s="280" t="n"/>
      <c r="F148" s="280" t="n"/>
      <c r="G148" s="280" t="n"/>
      <c r="H148" s="280" t="n"/>
      <c r="I148" s="332">
        <f>IFERROR(VLOOKUP(TEXT(H148,"0"),IPRESS!$A$3:$B$212,2,0),"")</f>
        <v/>
      </c>
      <c r="J148" s="280" t="n"/>
      <c r="K148" s="343" t="n"/>
      <c r="L148" s="280" t="n"/>
      <c r="M148" s="280" t="n"/>
      <c r="N148" s="345" t="n"/>
      <c r="O148" s="280" t="n"/>
      <c r="P148" s="332">
        <f>IFERROR(VLOOKUP(TEXT(O148,"0"),CONDUCTORES!$A$3:$G$54,2,0),"")</f>
        <v/>
      </c>
      <c r="Q148" s="332">
        <f>IFERROR(VLOOKUP(TEXT(O148,"0"),CONDUCTORES!$A$3:$H$54,6,0),"")</f>
        <v/>
      </c>
      <c r="R148" s="280" t="n"/>
      <c r="S148" s="280" t="n"/>
      <c r="T148" s="280" t="n"/>
      <c r="U148" s="280" t="n"/>
      <c r="V148" s="280" t="n"/>
      <c r="W148" s="280" t="n"/>
      <c r="X148" s="280" t="n"/>
      <c r="Y148" s="280" t="n"/>
      <c r="Z148" s="350" t="n"/>
      <c r="AA148" s="198" t="n"/>
      <c r="AB148" s="198" t="n"/>
      <c r="AC148" s="198" t="n"/>
    </row>
    <row r="149" ht="15" customHeight="1" s="195">
      <c r="A149" s="280" t="n"/>
      <c r="B149" s="280" t="n"/>
      <c r="C149" s="280" t="n"/>
      <c r="D149" s="280" t="n"/>
      <c r="E149" s="280" t="n"/>
      <c r="F149" s="280" t="n"/>
      <c r="G149" s="280" t="n"/>
      <c r="H149" s="280" t="n"/>
      <c r="I149" s="332">
        <f>IFERROR(VLOOKUP(TEXT(H149,"0"),IPRESS!$A$3:$B$212,2,0),"")</f>
        <v/>
      </c>
      <c r="J149" s="280" t="n"/>
      <c r="K149" s="343" t="n"/>
      <c r="L149" s="280" t="n"/>
      <c r="M149" s="280" t="n"/>
      <c r="N149" s="345" t="n"/>
      <c r="O149" s="280" t="n"/>
      <c r="P149" s="332">
        <f>IFERROR(VLOOKUP(TEXT(O149,"0"),CONDUCTORES!$A$3:$G$54,2,0),"")</f>
        <v/>
      </c>
      <c r="Q149" s="332">
        <f>IFERROR(VLOOKUP(TEXT(O149,"0"),CONDUCTORES!$A$3:$H$54,6,0),"")</f>
        <v/>
      </c>
      <c r="R149" s="280" t="n"/>
      <c r="S149" s="280" t="n"/>
      <c r="T149" s="280" t="n"/>
      <c r="U149" s="280" t="n"/>
      <c r="V149" s="280" t="n"/>
      <c r="W149" s="280" t="n"/>
      <c r="X149" s="280" t="n"/>
      <c r="Y149" s="280" t="n"/>
      <c r="Z149" s="350" t="n"/>
      <c r="AA149" s="198" t="n"/>
      <c r="AB149" s="198" t="n"/>
      <c r="AC149" s="198" t="n"/>
    </row>
    <row r="150" ht="15" customHeight="1" s="195">
      <c r="A150" s="280" t="n"/>
      <c r="B150" s="280" t="n"/>
      <c r="C150" s="280" t="n"/>
      <c r="D150" s="280" t="n"/>
      <c r="E150" s="280" t="n"/>
      <c r="F150" s="280" t="n"/>
      <c r="G150" s="280" t="n"/>
      <c r="H150" s="280" t="n"/>
      <c r="I150" s="332">
        <f>IFERROR(VLOOKUP(TEXT(H150,"0"),IPRESS!$A$3:$B$212,2,0),"")</f>
        <v/>
      </c>
      <c r="J150" s="280" t="n"/>
      <c r="K150" s="343" t="n"/>
      <c r="L150" s="280" t="n"/>
      <c r="M150" s="280" t="n"/>
      <c r="N150" s="345" t="n"/>
      <c r="O150" s="280" t="n"/>
      <c r="P150" s="332">
        <f>IFERROR(VLOOKUP(TEXT(O150,"0"),CONDUCTORES!$A$3:$G$54,2,0),"")</f>
        <v/>
      </c>
      <c r="Q150" s="332">
        <f>IFERROR(VLOOKUP(TEXT(O150,"0"),CONDUCTORES!$A$3:$H$54,6,0),"")</f>
        <v/>
      </c>
      <c r="R150" s="280" t="n"/>
      <c r="S150" s="280" t="n"/>
      <c r="T150" s="280" t="n"/>
      <c r="U150" s="280" t="n"/>
      <c r="V150" s="280" t="n"/>
      <c r="W150" s="280" t="n"/>
      <c r="X150" s="280" t="n"/>
      <c r="Y150" s="280" t="n"/>
      <c r="Z150" s="350" t="n"/>
      <c r="AA150" s="198" t="n"/>
      <c r="AB150" s="198" t="n"/>
      <c r="AC150" s="198" t="n"/>
    </row>
    <row r="151" ht="15" customHeight="1" s="195">
      <c r="A151" s="280" t="n"/>
      <c r="B151" s="280" t="n"/>
      <c r="C151" s="280" t="n"/>
      <c r="D151" s="280" t="n"/>
      <c r="E151" s="280" t="n"/>
      <c r="F151" s="280" t="n"/>
      <c r="G151" s="280" t="n"/>
      <c r="H151" s="280" t="n"/>
      <c r="I151" s="332">
        <f>IFERROR(VLOOKUP(TEXT(H151,"0"),IPRESS!$A$3:$B$212,2,0),"")</f>
        <v/>
      </c>
      <c r="J151" s="280" t="n"/>
      <c r="K151" s="343" t="n"/>
      <c r="L151" s="280" t="n"/>
      <c r="M151" s="280" t="n"/>
      <c r="N151" s="345" t="n"/>
      <c r="O151" s="280" t="n"/>
      <c r="P151" s="332">
        <f>IFERROR(VLOOKUP(TEXT(O151,"0"),CONDUCTORES!$A$3:$G$54,2,0),"")</f>
        <v/>
      </c>
      <c r="Q151" s="332">
        <f>IFERROR(VLOOKUP(TEXT(O151,"0"),CONDUCTORES!$A$3:$H$54,6,0),"")</f>
        <v/>
      </c>
      <c r="R151" s="280" t="n"/>
      <c r="S151" s="280" t="n"/>
      <c r="T151" s="280" t="n"/>
      <c r="U151" s="280" t="n"/>
      <c r="V151" s="280" t="n"/>
      <c r="W151" s="280" t="n"/>
      <c r="X151" s="280" t="n"/>
      <c r="Y151" s="280" t="n"/>
      <c r="Z151" s="350" t="n"/>
      <c r="AA151" s="198" t="n"/>
      <c r="AB151" s="198" t="n"/>
      <c r="AC151" s="198" t="n"/>
    </row>
    <row r="152" ht="15" customHeight="1" s="195">
      <c r="A152" s="280" t="n"/>
      <c r="B152" s="280" t="n"/>
      <c r="C152" s="280" t="n"/>
      <c r="D152" s="280" t="n"/>
      <c r="E152" s="280" t="n"/>
      <c r="F152" s="280" t="n"/>
      <c r="G152" s="280" t="n"/>
      <c r="H152" s="280" t="n"/>
      <c r="I152" s="332">
        <f>IFERROR(VLOOKUP(TEXT(H152,"0"),IPRESS!$A$3:$B$212,2,0),"")</f>
        <v/>
      </c>
      <c r="J152" s="280" t="n"/>
      <c r="K152" s="343" t="n"/>
      <c r="L152" s="280" t="n"/>
      <c r="M152" s="280" t="n"/>
      <c r="N152" s="345" t="n"/>
      <c r="O152" s="280" t="n"/>
      <c r="P152" s="332">
        <f>IFERROR(VLOOKUP(TEXT(O152,"0"),CONDUCTORES!$A$3:$G$54,2,0),"")</f>
        <v/>
      </c>
      <c r="Q152" s="332">
        <f>IFERROR(VLOOKUP(TEXT(O152,"0"),CONDUCTORES!$A$3:$H$54,6,0),"")</f>
        <v/>
      </c>
      <c r="R152" s="280" t="n"/>
      <c r="S152" s="280" t="n"/>
      <c r="T152" s="280" t="n"/>
      <c r="U152" s="280" t="n"/>
      <c r="V152" s="280" t="n"/>
      <c r="W152" s="280" t="n"/>
      <c r="X152" s="280" t="n"/>
      <c r="Y152" s="280" t="n"/>
      <c r="Z152" s="350" t="n"/>
      <c r="AA152" s="198" t="n"/>
      <c r="AB152" s="198" t="n"/>
      <c r="AC152" s="198" t="n"/>
    </row>
    <row r="153" ht="15" customHeight="1" s="195">
      <c r="A153" s="280" t="n"/>
      <c r="B153" s="280" t="n"/>
      <c r="C153" s="280" t="n"/>
      <c r="D153" s="280" t="n"/>
      <c r="E153" s="280" t="n"/>
      <c r="F153" s="280" t="n"/>
      <c r="G153" s="280" t="n"/>
      <c r="H153" s="280" t="n"/>
      <c r="I153" s="332">
        <f>IFERROR(VLOOKUP(TEXT(H153,"0"),IPRESS!$A$3:$B$212,2,0),"")</f>
        <v/>
      </c>
      <c r="J153" s="280" t="n"/>
      <c r="K153" s="343" t="n"/>
      <c r="L153" s="280" t="n"/>
      <c r="M153" s="280" t="n"/>
      <c r="N153" s="345" t="n"/>
      <c r="O153" s="280" t="n"/>
      <c r="P153" s="332">
        <f>IFERROR(VLOOKUP(TEXT(O153,"0"),CONDUCTORES!$A$3:$G$54,2,0),"")</f>
        <v/>
      </c>
      <c r="Q153" s="332">
        <f>IFERROR(VLOOKUP(TEXT(O153,"0"),CONDUCTORES!$A$3:$H$54,6,0),"")</f>
        <v/>
      </c>
      <c r="R153" s="280" t="n"/>
      <c r="S153" s="280" t="n"/>
      <c r="T153" s="280" t="n"/>
      <c r="U153" s="280" t="n"/>
      <c r="V153" s="280" t="n"/>
      <c r="W153" s="280" t="n"/>
      <c r="X153" s="280" t="n"/>
      <c r="Y153" s="280" t="n"/>
      <c r="Z153" s="350" t="n"/>
      <c r="AA153" s="198" t="n"/>
      <c r="AB153" s="198" t="n"/>
      <c r="AC153" s="198" t="n"/>
    </row>
    <row r="154" ht="15" customHeight="1" s="195">
      <c r="A154" s="280" t="n"/>
      <c r="B154" s="280" t="n"/>
      <c r="C154" s="280" t="n"/>
      <c r="D154" s="280" t="n"/>
      <c r="E154" s="280" t="n"/>
      <c r="F154" s="280" t="n"/>
      <c r="G154" s="280" t="n"/>
      <c r="H154" s="280" t="n"/>
      <c r="I154" s="332">
        <f>IFERROR(VLOOKUP(TEXT(H154,"0"),IPRESS!$A$3:$B$212,2,0),"")</f>
        <v/>
      </c>
      <c r="J154" s="280" t="n"/>
      <c r="K154" s="343" t="n"/>
      <c r="L154" s="280" t="n"/>
      <c r="M154" s="280" t="n"/>
      <c r="N154" s="345" t="n"/>
      <c r="O154" s="280" t="n"/>
      <c r="P154" s="332">
        <f>IFERROR(VLOOKUP(TEXT(O154,"0"),CONDUCTORES!$A$3:$G$54,2,0),"")</f>
        <v/>
      </c>
      <c r="Q154" s="332">
        <f>IFERROR(VLOOKUP(TEXT(O154,"0"),CONDUCTORES!$A$3:$H$54,6,0),"")</f>
        <v/>
      </c>
      <c r="R154" s="280" t="n"/>
      <c r="S154" s="280" t="n"/>
      <c r="T154" s="280" t="n"/>
      <c r="U154" s="280" t="n"/>
      <c r="V154" s="280" t="n"/>
      <c r="W154" s="280" t="n"/>
      <c r="X154" s="280" t="n"/>
      <c r="Y154" s="280" t="n"/>
      <c r="Z154" s="350" t="n"/>
      <c r="AA154" s="198" t="n"/>
      <c r="AB154" s="198" t="n"/>
      <c r="AC154" s="198" t="n"/>
    </row>
    <row r="155" ht="15" customHeight="1" s="195">
      <c r="A155" s="280" t="n"/>
      <c r="B155" s="280" t="n"/>
      <c r="C155" s="280" t="n"/>
      <c r="D155" s="280" t="n"/>
      <c r="E155" s="280" t="n"/>
      <c r="F155" s="280" t="n"/>
      <c r="G155" s="280" t="n"/>
      <c r="H155" s="280" t="n"/>
      <c r="I155" s="332">
        <f>IFERROR(VLOOKUP(TEXT(H155,"0"),IPRESS!$A$3:$B$212,2,0),"")</f>
        <v/>
      </c>
      <c r="J155" s="280" t="n"/>
      <c r="K155" s="343" t="n"/>
      <c r="L155" s="280" t="n"/>
      <c r="M155" s="280" t="n"/>
      <c r="N155" s="345" t="n"/>
      <c r="O155" s="280" t="n"/>
      <c r="P155" s="332">
        <f>IFERROR(VLOOKUP(TEXT(O155,"0"),CONDUCTORES!$A$3:$G$54,2,0),"")</f>
        <v/>
      </c>
      <c r="Q155" s="332">
        <f>IFERROR(VLOOKUP(TEXT(O155,"0"),CONDUCTORES!$A$3:$H$54,6,0),"")</f>
        <v/>
      </c>
      <c r="R155" s="280" t="n"/>
      <c r="S155" s="280" t="n"/>
      <c r="T155" s="280" t="n"/>
      <c r="U155" s="280" t="n"/>
      <c r="V155" s="280" t="n"/>
      <c r="W155" s="280" t="n"/>
      <c r="X155" s="280" t="n"/>
      <c r="Y155" s="280" t="n"/>
      <c r="Z155" s="350" t="n"/>
      <c r="AA155" s="198" t="n"/>
      <c r="AB155" s="198" t="n"/>
      <c r="AC155" s="198" t="n"/>
    </row>
    <row r="156" ht="15" customHeight="1" s="195">
      <c r="A156" s="280" t="n"/>
      <c r="B156" s="280" t="n"/>
      <c r="C156" s="280" t="n"/>
      <c r="D156" s="280" t="n"/>
      <c r="E156" s="280" t="n"/>
      <c r="F156" s="280" t="n"/>
      <c r="G156" s="280" t="n"/>
      <c r="H156" s="280" t="n"/>
      <c r="I156" s="332">
        <f>IFERROR(VLOOKUP(TEXT(H156,"0"),IPRESS!$A$3:$B$212,2,0),"")</f>
        <v/>
      </c>
      <c r="J156" s="280" t="n"/>
      <c r="K156" s="343" t="n"/>
      <c r="L156" s="280" t="n"/>
      <c r="M156" s="280" t="n"/>
      <c r="N156" s="345" t="n"/>
      <c r="O156" s="280" t="n"/>
      <c r="P156" s="332">
        <f>IFERROR(VLOOKUP(TEXT(O156,"0"),CONDUCTORES!$A$3:$G$54,2,0),"")</f>
        <v/>
      </c>
      <c r="Q156" s="332">
        <f>IFERROR(VLOOKUP(TEXT(O156,"0"),CONDUCTORES!$A$3:$H$54,6,0),"")</f>
        <v/>
      </c>
      <c r="R156" s="280" t="n"/>
      <c r="S156" s="280" t="n"/>
      <c r="T156" s="280" t="n"/>
      <c r="U156" s="280" t="n"/>
      <c r="V156" s="280" t="n"/>
      <c r="W156" s="280" t="n"/>
      <c r="X156" s="280" t="n"/>
      <c r="Y156" s="280" t="n"/>
      <c r="Z156" s="350" t="n"/>
      <c r="AA156" s="198" t="n"/>
      <c r="AB156" s="198" t="n"/>
      <c r="AC156" s="198" t="n"/>
    </row>
    <row r="157" ht="15" customHeight="1" s="195">
      <c r="A157" s="280" t="n"/>
      <c r="B157" s="280" t="n"/>
      <c r="C157" s="280" t="n"/>
      <c r="D157" s="280" t="n"/>
      <c r="E157" s="280" t="n"/>
      <c r="F157" s="280" t="n"/>
      <c r="G157" s="280" t="n"/>
      <c r="H157" s="280" t="n"/>
      <c r="I157" s="332">
        <f>IFERROR(VLOOKUP(TEXT(H157,"0"),IPRESS!$A$3:$B$212,2,0),"")</f>
        <v/>
      </c>
      <c r="J157" s="280" t="n"/>
      <c r="K157" s="343" t="n"/>
      <c r="L157" s="280" t="n"/>
      <c r="M157" s="280" t="n"/>
      <c r="N157" s="345" t="n"/>
      <c r="O157" s="280" t="n"/>
      <c r="P157" s="332">
        <f>IFERROR(VLOOKUP(TEXT(O157,"0"),CONDUCTORES!$A$3:$G$54,2,0),"")</f>
        <v/>
      </c>
      <c r="Q157" s="332">
        <f>IFERROR(VLOOKUP(TEXT(O157,"0"),CONDUCTORES!$A$3:$H$54,6,0),"")</f>
        <v/>
      </c>
      <c r="R157" s="280" t="n"/>
      <c r="S157" s="280" t="n"/>
      <c r="T157" s="280" t="n"/>
      <c r="U157" s="280" t="n"/>
      <c r="V157" s="280" t="n"/>
      <c r="W157" s="280" t="n"/>
      <c r="X157" s="280" t="n"/>
      <c r="Y157" s="280" t="n"/>
      <c r="Z157" s="350" t="n"/>
      <c r="AA157" s="198" t="n"/>
      <c r="AB157" s="198" t="n"/>
      <c r="AC157" s="198" t="n"/>
    </row>
    <row r="158" ht="15" customHeight="1" s="195">
      <c r="A158" s="280" t="n"/>
      <c r="B158" s="280" t="n"/>
      <c r="C158" s="280" t="n"/>
      <c r="D158" s="280" t="n"/>
      <c r="E158" s="280" t="n"/>
      <c r="F158" s="280" t="n"/>
      <c r="G158" s="280" t="n"/>
      <c r="H158" s="280" t="n"/>
      <c r="I158" s="332">
        <f>IFERROR(VLOOKUP(TEXT(H158,"0"),IPRESS!$A$3:$B$212,2,0),"")</f>
        <v/>
      </c>
      <c r="J158" s="280" t="n"/>
      <c r="K158" s="343" t="n"/>
      <c r="L158" s="280" t="n"/>
      <c r="M158" s="280" t="n"/>
      <c r="N158" s="345" t="n"/>
      <c r="O158" s="280" t="n"/>
      <c r="P158" s="332">
        <f>IFERROR(VLOOKUP(TEXT(O158,"0"),CONDUCTORES!$A$3:$G$54,2,0),"")</f>
        <v/>
      </c>
      <c r="Q158" s="332">
        <f>IFERROR(VLOOKUP(TEXT(O158,"0"),CONDUCTORES!$A$3:$H$54,6,0),"")</f>
        <v/>
      </c>
      <c r="R158" s="280" t="n"/>
      <c r="S158" s="280" t="n"/>
      <c r="T158" s="280" t="n"/>
      <c r="U158" s="280" t="n"/>
      <c r="V158" s="280" t="n"/>
      <c r="W158" s="280" t="n"/>
      <c r="X158" s="280" t="n"/>
      <c r="Y158" s="280" t="n"/>
      <c r="Z158" s="350" t="n"/>
      <c r="AA158" s="198" t="n"/>
      <c r="AB158" s="198" t="n"/>
      <c r="AC158" s="198" t="n"/>
    </row>
    <row r="159" ht="15" customHeight="1" s="195">
      <c r="A159" s="280" t="n"/>
      <c r="B159" s="280" t="n"/>
      <c r="C159" s="280" t="n"/>
      <c r="D159" s="280" t="n"/>
      <c r="E159" s="280" t="n"/>
      <c r="F159" s="280" t="n"/>
      <c r="G159" s="280" t="n"/>
      <c r="H159" s="280" t="n"/>
      <c r="I159" s="332">
        <f>IFERROR(VLOOKUP(TEXT(H159,"0"),IPRESS!$A$3:$B$212,2,0),"")</f>
        <v/>
      </c>
      <c r="J159" s="280" t="n"/>
      <c r="K159" s="343" t="n"/>
      <c r="L159" s="280" t="n"/>
      <c r="M159" s="280" t="n"/>
      <c r="N159" s="345" t="n"/>
      <c r="O159" s="280" t="n"/>
      <c r="P159" s="332">
        <f>IFERROR(VLOOKUP(TEXT(O159,"0"),CONDUCTORES!$A$3:$G$54,2,0),"")</f>
        <v/>
      </c>
      <c r="Q159" s="332">
        <f>IFERROR(VLOOKUP(TEXT(O159,"0"),CONDUCTORES!$A$3:$H$54,6,0),"")</f>
        <v/>
      </c>
      <c r="R159" s="280" t="n"/>
      <c r="S159" s="280" t="n"/>
      <c r="T159" s="280" t="n"/>
      <c r="U159" s="280" t="n"/>
      <c r="V159" s="280" t="n"/>
      <c r="W159" s="280" t="n"/>
      <c r="X159" s="280" t="n"/>
      <c r="Y159" s="280" t="n"/>
      <c r="Z159" s="350" t="n"/>
      <c r="AA159" s="198" t="n"/>
      <c r="AB159" s="198" t="n"/>
      <c r="AC159" s="198" t="n"/>
    </row>
    <row r="160" ht="15" customHeight="1" s="195">
      <c r="A160" s="280" t="n"/>
      <c r="B160" s="280" t="n"/>
      <c r="C160" s="280" t="n"/>
      <c r="D160" s="280" t="n"/>
      <c r="E160" s="280" t="n"/>
      <c r="F160" s="280" t="n"/>
      <c r="G160" s="280" t="n"/>
      <c r="H160" s="280" t="n"/>
      <c r="I160" s="332">
        <f>IFERROR(VLOOKUP(TEXT(H160,"0"),IPRESS!$A$3:$B$212,2,0),"")</f>
        <v/>
      </c>
      <c r="J160" s="280" t="n"/>
      <c r="K160" s="343" t="n"/>
      <c r="L160" s="280" t="n"/>
      <c r="M160" s="280" t="n"/>
      <c r="N160" s="345" t="n"/>
      <c r="O160" s="280" t="n"/>
      <c r="P160" s="332">
        <f>IFERROR(VLOOKUP(TEXT(O160,"0"),CONDUCTORES!$A$3:$G$54,2,0),"")</f>
        <v/>
      </c>
      <c r="Q160" s="332">
        <f>IFERROR(VLOOKUP(TEXT(O160,"0"),CONDUCTORES!$A$3:$H$54,6,0),"")</f>
        <v/>
      </c>
      <c r="R160" s="280" t="n"/>
      <c r="S160" s="280" t="n"/>
      <c r="T160" s="280" t="n"/>
      <c r="U160" s="280" t="n"/>
      <c r="V160" s="280" t="n"/>
      <c r="W160" s="280" t="n"/>
      <c r="X160" s="280" t="n"/>
      <c r="Y160" s="280" t="n"/>
      <c r="Z160" s="350" t="n"/>
      <c r="AA160" s="198" t="n"/>
      <c r="AB160" s="198" t="n"/>
      <c r="AC160" s="198" t="n"/>
    </row>
    <row r="161" ht="15" customHeight="1" s="195">
      <c r="A161" s="280" t="n"/>
      <c r="B161" s="280" t="n"/>
      <c r="C161" s="280" t="n"/>
      <c r="D161" s="280" t="n"/>
      <c r="E161" s="280" t="n"/>
      <c r="F161" s="280" t="n"/>
      <c r="G161" s="280" t="n"/>
      <c r="H161" s="280" t="n"/>
      <c r="I161" s="332">
        <f>IFERROR(VLOOKUP(TEXT(H161,"0"),IPRESS!$A$3:$B$212,2,0),"")</f>
        <v/>
      </c>
      <c r="J161" s="280" t="n"/>
      <c r="K161" s="343" t="n"/>
      <c r="L161" s="280" t="n"/>
      <c r="M161" s="280" t="n"/>
      <c r="N161" s="345" t="n"/>
      <c r="O161" s="280" t="n"/>
      <c r="P161" s="332">
        <f>IFERROR(VLOOKUP(TEXT(O161,"0"),CONDUCTORES!$A$3:$G$54,2,0),"")</f>
        <v/>
      </c>
      <c r="Q161" s="332">
        <f>IFERROR(VLOOKUP(TEXT(O161,"0"),CONDUCTORES!$A$3:$H$54,6,0),"")</f>
        <v/>
      </c>
      <c r="R161" s="280" t="n"/>
      <c r="S161" s="280" t="n"/>
      <c r="T161" s="280" t="n"/>
      <c r="U161" s="280" t="n"/>
      <c r="V161" s="280" t="n"/>
      <c r="W161" s="280" t="n"/>
      <c r="X161" s="280" t="n"/>
      <c r="Y161" s="280" t="n"/>
      <c r="Z161" s="350" t="n"/>
      <c r="AA161" s="198" t="n"/>
      <c r="AB161" s="198" t="n"/>
      <c r="AC161" s="198" t="n"/>
    </row>
    <row r="162" ht="15" customHeight="1" s="195">
      <c r="A162" s="280" t="n"/>
      <c r="B162" s="280" t="n"/>
      <c r="C162" s="280" t="n"/>
      <c r="D162" s="280" t="n"/>
      <c r="E162" s="280" t="n"/>
      <c r="F162" s="280" t="n"/>
      <c r="G162" s="280" t="n"/>
      <c r="H162" s="280" t="n"/>
      <c r="I162" s="332">
        <f>IFERROR(VLOOKUP(TEXT(H162,"0"),IPRESS!$A$3:$B$212,2,0),"")</f>
        <v/>
      </c>
      <c r="J162" s="280" t="n"/>
      <c r="K162" s="343" t="n"/>
      <c r="L162" s="280" t="n"/>
      <c r="M162" s="280" t="n"/>
      <c r="N162" s="345" t="n"/>
      <c r="O162" s="280" t="n"/>
      <c r="P162" s="332">
        <f>IFERROR(VLOOKUP(TEXT(O162,"0"),CONDUCTORES!$A$3:$G$54,2,0),"")</f>
        <v/>
      </c>
      <c r="Q162" s="332">
        <f>IFERROR(VLOOKUP(TEXT(O162,"0"),CONDUCTORES!$A$3:$H$54,6,0),"")</f>
        <v/>
      </c>
      <c r="R162" s="280" t="n"/>
      <c r="S162" s="280" t="n"/>
      <c r="T162" s="280" t="n"/>
      <c r="U162" s="280" t="n"/>
      <c r="V162" s="280" t="n"/>
      <c r="W162" s="280" t="n"/>
      <c r="X162" s="280" t="n"/>
      <c r="Y162" s="280" t="n"/>
      <c r="Z162" s="350" t="n"/>
      <c r="AA162" s="198" t="n"/>
      <c r="AB162" s="198" t="n"/>
      <c r="AC162" s="198" t="n"/>
    </row>
    <row r="163" ht="15" customHeight="1" s="195">
      <c r="A163" s="280" t="n"/>
      <c r="B163" s="280" t="n"/>
      <c r="C163" s="280" t="n"/>
      <c r="D163" s="280" t="n"/>
      <c r="E163" s="280" t="n"/>
      <c r="F163" s="280" t="n"/>
      <c r="G163" s="280" t="n"/>
      <c r="H163" s="280" t="n"/>
      <c r="I163" s="332">
        <f>IFERROR(VLOOKUP(TEXT(H163,"0"),IPRESS!$A$3:$B$212,2,0),"")</f>
        <v/>
      </c>
      <c r="J163" s="280" t="n"/>
      <c r="K163" s="343" t="n"/>
      <c r="L163" s="280" t="n"/>
      <c r="M163" s="280" t="n"/>
      <c r="N163" s="345" t="n"/>
      <c r="O163" s="280" t="n"/>
      <c r="P163" s="332">
        <f>IFERROR(VLOOKUP(TEXT(O163,"0"),CONDUCTORES!$A$3:$G$54,2,0),"")</f>
        <v/>
      </c>
      <c r="Q163" s="332">
        <f>IFERROR(VLOOKUP(TEXT(O163,"0"),CONDUCTORES!$A$3:$H$54,6,0),"")</f>
        <v/>
      </c>
      <c r="R163" s="280" t="n"/>
      <c r="S163" s="280" t="n"/>
      <c r="T163" s="280" t="n"/>
      <c r="U163" s="280" t="n"/>
      <c r="V163" s="280" t="n"/>
      <c r="W163" s="280" t="n"/>
      <c r="X163" s="280" t="n"/>
      <c r="Y163" s="280" t="n"/>
      <c r="Z163" s="350" t="n"/>
      <c r="AA163" s="198" t="n"/>
      <c r="AB163" s="198" t="n"/>
      <c r="AC163" s="198" t="n"/>
    </row>
    <row r="164" ht="15" customHeight="1" s="195">
      <c r="A164" s="280" t="n"/>
      <c r="B164" s="280" t="n"/>
      <c r="C164" s="280" t="n"/>
      <c r="D164" s="280" t="n"/>
      <c r="E164" s="280" t="n"/>
      <c r="F164" s="280" t="n"/>
      <c r="G164" s="280" t="n"/>
      <c r="H164" s="280" t="n"/>
      <c r="I164" s="332">
        <f>IFERROR(VLOOKUP(TEXT(H164,"0"),IPRESS!$A$3:$B$212,2,0),"")</f>
        <v/>
      </c>
      <c r="J164" s="280" t="n"/>
      <c r="K164" s="343" t="n"/>
      <c r="L164" s="280" t="n"/>
      <c r="M164" s="280" t="n"/>
      <c r="N164" s="345" t="n"/>
      <c r="O164" s="280" t="n"/>
      <c r="P164" s="332">
        <f>IFERROR(VLOOKUP(TEXT(O164,"0"),CONDUCTORES!$A$3:$G$54,2,0),"")</f>
        <v/>
      </c>
      <c r="Q164" s="332">
        <f>IFERROR(VLOOKUP(TEXT(O164,"0"),CONDUCTORES!$A$3:$H$54,6,0),"")</f>
        <v/>
      </c>
      <c r="R164" s="280" t="n"/>
      <c r="S164" s="280" t="n"/>
      <c r="T164" s="280" t="n"/>
      <c r="U164" s="280" t="n"/>
      <c r="V164" s="280" t="n"/>
      <c r="W164" s="280" t="n"/>
      <c r="X164" s="280" t="n"/>
      <c r="Y164" s="280" t="n"/>
      <c r="Z164" s="350" t="n"/>
      <c r="AA164" s="198" t="n"/>
      <c r="AB164" s="198" t="n"/>
      <c r="AC164" s="198" t="n"/>
    </row>
    <row r="165" ht="15" customHeight="1" s="195">
      <c r="A165" s="280" t="n"/>
      <c r="B165" s="280" t="n"/>
      <c r="C165" s="280" t="n"/>
      <c r="D165" s="280" t="n"/>
      <c r="E165" s="280" t="n"/>
      <c r="F165" s="280" t="n"/>
      <c r="G165" s="280" t="n"/>
      <c r="H165" s="280" t="n"/>
      <c r="I165" s="332">
        <f>IFERROR(VLOOKUP(TEXT(H165,"0"),IPRESS!$A$3:$B$212,2,0),"")</f>
        <v/>
      </c>
      <c r="J165" s="280" t="n"/>
      <c r="K165" s="343" t="n"/>
      <c r="L165" s="280" t="n"/>
      <c r="M165" s="280" t="n"/>
      <c r="N165" s="345" t="n"/>
      <c r="O165" s="280" t="n"/>
      <c r="P165" s="332">
        <f>IFERROR(VLOOKUP(TEXT(O165,"0"),CONDUCTORES!$A$3:$G$54,2,0),"")</f>
        <v/>
      </c>
      <c r="Q165" s="332">
        <f>IFERROR(VLOOKUP(TEXT(O165,"0"),CONDUCTORES!$A$3:$H$54,6,0),"")</f>
        <v/>
      </c>
      <c r="R165" s="280" t="n"/>
      <c r="S165" s="280" t="n"/>
      <c r="T165" s="280" t="n"/>
      <c r="U165" s="280" t="n"/>
      <c r="V165" s="280" t="n"/>
      <c r="W165" s="280" t="n"/>
      <c r="X165" s="280" t="n"/>
      <c r="Y165" s="280" t="n"/>
      <c r="Z165" s="350" t="n"/>
      <c r="AA165" s="198" t="n"/>
      <c r="AB165" s="198" t="n"/>
      <c r="AC165" s="198" t="n"/>
    </row>
    <row r="166" ht="15" customHeight="1" s="195">
      <c r="A166" s="280" t="n"/>
      <c r="B166" s="280" t="n"/>
      <c r="C166" s="280" t="n"/>
      <c r="D166" s="280" t="n"/>
      <c r="E166" s="280" t="n"/>
      <c r="F166" s="280" t="n"/>
      <c r="G166" s="280" t="n"/>
      <c r="H166" s="280" t="n"/>
      <c r="I166" s="332">
        <f>IFERROR(VLOOKUP(TEXT(H166,"0"),IPRESS!$A$3:$B$212,2,0),"")</f>
        <v/>
      </c>
      <c r="J166" s="280" t="n"/>
      <c r="K166" s="343" t="n"/>
      <c r="L166" s="280" t="n"/>
      <c r="M166" s="280" t="n"/>
      <c r="N166" s="345" t="n"/>
      <c r="O166" s="280" t="n"/>
      <c r="P166" s="332">
        <f>IFERROR(VLOOKUP(TEXT(O166,"0"),CONDUCTORES!$A$3:$G$54,2,0),"")</f>
        <v/>
      </c>
      <c r="Q166" s="332">
        <f>IFERROR(VLOOKUP(TEXT(O166,"0"),CONDUCTORES!$A$3:$H$54,6,0),"")</f>
        <v/>
      </c>
      <c r="R166" s="280" t="n"/>
      <c r="S166" s="280" t="n"/>
      <c r="T166" s="280" t="n"/>
      <c r="U166" s="280" t="n"/>
      <c r="V166" s="280" t="n"/>
      <c r="W166" s="280" t="n"/>
      <c r="X166" s="280" t="n"/>
      <c r="Y166" s="280" t="n"/>
      <c r="Z166" s="350" t="n"/>
      <c r="AA166" s="198" t="n"/>
      <c r="AB166" s="198" t="n"/>
      <c r="AC166" s="198" t="n"/>
    </row>
    <row r="167" ht="15" customHeight="1" s="195">
      <c r="A167" s="280" t="n"/>
      <c r="B167" s="280" t="n"/>
      <c r="C167" s="280" t="n"/>
      <c r="D167" s="280" t="n"/>
      <c r="E167" s="280" t="n"/>
      <c r="F167" s="280" t="n"/>
      <c r="G167" s="280" t="n"/>
      <c r="H167" s="280" t="n"/>
      <c r="I167" s="332">
        <f>IFERROR(VLOOKUP(TEXT(H167,"0"),IPRESS!$A$3:$B$212,2,0),"")</f>
        <v/>
      </c>
      <c r="J167" s="280" t="n"/>
      <c r="K167" s="343" t="n"/>
      <c r="L167" s="280" t="n"/>
      <c r="M167" s="280" t="n"/>
      <c r="N167" s="345" t="n"/>
      <c r="O167" s="280" t="n"/>
      <c r="P167" s="332">
        <f>IFERROR(VLOOKUP(TEXT(O167,"0"),CONDUCTORES!$A$3:$G$54,2,0),"")</f>
        <v/>
      </c>
      <c r="Q167" s="332">
        <f>IFERROR(VLOOKUP(TEXT(O167,"0"),CONDUCTORES!$A$3:$H$54,6,0),"")</f>
        <v/>
      </c>
      <c r="R167" s="280" t="n"/>
      <c r="S167" s="280" t="n"/>
      <c r="T167" s="280" t="n"/>
      <c r="U167" s="280" t="n"/>
      <c r="V167" s="280" t="n"/>
      <c r="W167" s="280" t="n"/>
      <c r="X167" s="280" t="n"/>
      <c r="Y167" s="280" t="n"/>
      <c r="Z167" s="350" t="n"/>
      <c r="AA167" s="198" t="n"/>
      <c r="AB167" s="198" t="n"/>
      <c r="AC167" s="198" t="n"/>
    </row>
    <row r="168" ht="15" customHeight="1" s="195">
      <c r="A168" s="280" t="n"/>
      <c r="B168" s="280" t="n"/>
      <c r="C168" s="280" t="n"/>
      <c r="D168" s="280" t="n"/>
      <c r="E168" s="280" t="n"/>
      <c r="F168" s="280" t="n"/>
      <c r="G168" s="280" t="n"/>
      <c r="H168" s="280" t="n"/>
      <c r="I168" s="332">
        <f>IFERROR(VLOOKUP(TEXT(H168,"0"),IPRESS!$A$3:$B$212,2,0),"")</f>
        <v/>
      </c>
      <c r="J168" s="280" t="n"/>
      <c r="K168" s="343" t="n"/>
      <c r="L168" s="280" t="n"/>
      <c r="M168" s="280" t="n"/>
      <c r="N168" s="345" t="n"/>
      <c r="O168" s="280" t="n"/>
      <c r="P168" s="332">
        <f>IFERROR(VLOOKUP(TEXT(O168,"0"),CONDUCTORES!$A$3:$G$54,2,0),"")</f>
        <v/>
      </c>
      <c r="Q168" s="332">
        <f>IFERROR(VLOOKUP(TEXT(O168,"0"),CONDUCTORES!$A$3:$H$54,6,0),"")</f>
        <v/>
      </c>
      <c r="R168" s="280" t="n"/>
      <c r="S168" s="280" t="n"/>
      <c r="T168" s="280" t="n"/>
      <c r="U168" s="280" t="n"/>
      <c r="V168" s="280" t="n"/>
      <c r="W168" s="280" t="n"/>
      <c r="X168" s="280" t="n"/>
      <c r="Y168" s="280" t="n"/>
      <c r="Z168" s="350" t="n"/>
      <c r="AA168" s="198" t="n"/>
      <c r="AB168" s="198" t="n"/>
      <c r="AC168" s="198" t="n"/>
    </row>
    <row r="169" ht="15" customHeight="1" s="195">
      <c r="A169" s="280" t="n"/>
      <c r="B169" s="280" t="n"/>
      <c r="C169" s="280" t="n"/>
      <c r="D169" s="280" t="n"/>
      <c r="E169" s="280" t="n"/>
      <c r="F169" s="280" t="n"/>
      <c r="G169" s="280" t="n"/>
      <c r="H169" s="280" t="n"/>
      <c r="I169" s="332">
        <f>IFERROR(VLOOKUP(TEXT(H169,"0"),IPRESS!$A$3:$B$212,2,0),"")</f>
        <v/>
      </c>
      <c r="J169" s="280" t="n"/>
      <c r="K169" s="343" t="n"/>
      <c r="L169" s="280" t="n"/>
      <c r="M169" s="280" t="n"/>
      <c r="N169" s="345" t="n"/>
      <c r="O169" s="280" t="n"/>
      <c r="P169" s="332">
        <f>IFERROR(VLOOKUP(TEXT(O169,"0"),CONDUCTORES!$A$3:$G$54,2,0),"")</f>
        <v/>
      </c>
      <c r="Q169" s="332">
        <f>IFERROR(VLOOKUP(TEXT(O169,"0"),CONDUCTORES!$A$3:$H$54,6,0),"")</f>
        <v/>
      </c>
      <c r="R169" s="280" t="n"/>
      <c r="S169" s="280" t="n"/>
      <c r="T169" s="280" t="n"/>
      <c r="U169" s="280" t="n"/>
      <c r="V169" s="280" t="n"/>
      <c r="W169" s="280" t="n"/>
      <c r="X169" s="280" t="n"/>
      <c r="Y169" s="280" t="n"/>
      <c r="Z169" s="350" t="n"/>
      <c r="AA169" s="198" t="n"/>
      <c r="AB169" s="198" t="n"/>
      <c r="AC169" s="198" t="n"/>
    </row>
    <row r="170" ht="15" customHeight="1" s="195">
      <c r="A170" s="280" t="n"/>
      <c r="B170" s="280" t="n"/>
      <c r="C170" s="280" t="n"/>
      <c r="D170" s="280" t="n"/>
      <c r="E170" s="280" t="n"/>
      <c r="F170" s="280" t="n"/>
      <c r="G170" s="280" t="n"/>
      <c r="H170" s="280" t="n"/>
      <c r="I170" s="332">
        <f>IFERROR(VLOOKUP(TEXT(H170,"0"),IPRESS!$A$3:$B$212,2,0),"")</f>
        <v/>
      </c>
      <c r="J170" s="280" t="n"/>
      <c r="K170" s="343" t="n"/>
      <c r="L170" s="280" t="n"/>
      <c r="M170" s="280" t="n"/>
      <c r="N170" s="345" t="n"/>
      <c r="O170" s="280" t="n"/>
      <c r="P170" s="332">
        <f>IFERROR(VLOOKUP(TEXT(O170,"0"),CONDUCTORES!$A$3:$G$54,2,0),"")</f>
        <v/>
      </c>
      <c r="Q170" s="332">
        <f>IFERROR(VLOOKUP(TEXT(O170,"0"),CONDUCTORES!$A$3:$H$54,6,0),"")</f>
        <v/>
      </c>
      <c r="R170" s="280" t="n"/>
      <c r="S170" s="280" t="n"/>
      <c r="T170" s="280" t="n"/>
      <c r="U170" s="280" t="n"/>
      <c r="V170" s="280" t="n"/>
      <c r="W170" s="280" t="n"/>
      <c r="X170" s="280" t="n"/>
      <c r="Y170" s="280" t="n"/>
      <c r="Z170" s="350" t="n"/>
      <c r="AA170" s="198" t="n"/>
      <c r="AB170" s="198" t="n"/>
      <c r="AC170" s="198" t="n"/>
    </row>
    <row r="171" ht="15" customHeight="1" s="195">
      <c r="A171" s="280" t="n"/>
      <c r="B171" s="280" t="n"/>
      <c r="C171" s="280" t="n"/>
      <c r="D171" s="280" t="n"/>
      <c r="E171" s="280" t="n"/>
      <c r="F171" s="280" t="n"/>
      <c r="G171" s="280" t="n"/>
      <c r="H171" s="280" t="n"/>
      <c r="I171" s="332">
        <f>IFERROR(VLOOKUP(TEXT(H171,"0"),IPRESS!$A$3:$B$212,2,0),"")</f>
        <v/>
      </c>
      <c r="J171" s="280" t="n"/>
      <c r="K171" s="343" t="n"/>
      <c r="L171" s="280" t="n"/>
      <c r="M171" s="280" t="n"/>
      <c r="N171" s="345" t="n"/>
      <c r="O171" s="280" t="n"/>
      <c r="P171" s="332">
        <f>IFERROR(VLOOKUP(TEXT(O171,"0"),CONDUCTORES!$A$3:$G$54,2,0),"")</f>
        <v/>
      </c>
      <c r="Q171" s="332">
        <f>IFERROR(VLOOKUP(TEXT(O171,"0"),CONDUCTORES!$A$3:$H$54,6,0),"")</f>
        <v/>
      </c>
      <c r="R171" s="280" t="n"/>
      <c r="S171" s="280" t="n"/>
      <c r="T171" s="280" t="n"/>
      <c r="U171" s="280" t="n"/>
      <c r="V171" s="280" t="n"/>
      <c r="W171" s="280" t="n"/>
      <c r="X171" s="280" t="n"/>
      <c r="Y171" s="280" t="n"/>
      <c r="Z171" s="350" t="n"/>
      <c r="AA171" s="198" t="n"/>
      <c r="AB171" s="198" t="n"/>
      <c r="AC171" s="198" t="n"/>
    </row>
    <row r="172" ht="15" customHeight="1" s="195">
      <c r="A172" s="280" t="n"/>
      <c r="B172" s="280" t="n"/>
      <c r="C172" s="280" t="n"/>
      <c r="D172" s="280" t="n"/>
      <c r="E172" s="280" t="n"/>
      <c r="F172" s="280" t="n"/>
      <c r="G172" s="280" t="n"/>
      <c r="H172" s="280" t="n"/>
      <c r="I172" s="332">
        <f>IFERROR(VLOOKUP(TEXT(H172,"0"),IPRESS!$A$3:$B$212,2,0),"")</f>
        <v/>
      </c>
      <c r="J172" s="280" t="n"/>
      <c r="K172" s="343" t="n"/>
      <c r="L172" s="280" t="n"/>
      <c r="M172" s="280" t="n"/>
      <c r="N172" s="345" t="n"/>
      <c r="O172" s="280" t="n"/>
      <c r="P172" s="332">
        <f>IFERROR(VLOOKUP(TEXT(O172,"0"),CONDUCTORES!$A$3:$G$54,2,0),"")</f>
        <v/>
      </c>
      <c r="Q172" s="332">
        <f>IFERROR(VLOOKUP(TEXT(O172,"0"),CONDUCTORES!$A$3:$H$54,6,0),"")</f>
        <v/>
      </c>
      <c r="R172" s="280" t="n"/>
      <c r="S172" s="280" t="n"/>
      <c r="T172" s="280" t="n"/>
      <c r="U172" s="280" t="n"/>
      <c r="V172" s="280" t="n"/>
      <c r="W172" s="280" t="n"/>
      <c r="X172" s="280" t="n"/>
      <c r="Y172" s="280" t="n"/>
      <c r="Z172" s="350" t="n"/>
      <c r="AA172" s="198" t="n"/>
      <c r="AB172" s="198" t="n"/>
      <c r="AC172" s="198" t="n"/>
    </row>
    <row r="173" ht="15" customHeight="1" s="195">
      <c r="A173" s="280" t="n"/>
      <c r="B173" s="280" t="n"/>
      <c r="C173" s="280" t="n"/>
      <c r="D173" s="280" t="n"/>
      <c r="E173" s="280" t="n"/>
      <c r="F173" s="280" t="n"/>
      <c r="G173" s="280" t="n"/>
      <c r="H173" s="280" t="n"/>
      <c r="I173" s="332">
        <f>IFERROR(VLOOKUP(TEXT(H173,"0"),IPRESS!$A$3:$B$212,2,0),"")</f>
        <v/>
      </c>
      <c r="J173" s="280" t="n"/>
      <c r="K173" s="343" t="n"/>
      <c r="L173" s="280" t="n"/>
      <c r="M173" s="280" t="n"/>
      <c r="N173" s="345" t="n"/>
      <c r="O173" s="280" t="n"/>
      <c r="P173" s="332">
        <f>IFERROR(VLOOKUP(TEXT(O173,"0"),CONDUCTORES!$A$3:$G$54,2,0),"")</f>
        <v/>
      </c>
      <c r="Q173" s="332">
        <f>IFERROR(VLOOKUP(TEXT(O173,"0"),CONDUCTORES!$A$3:$H$54,6,0),"")</f>
        <v/>
      </c>
      <c r="R173" s="280" t="n"/>
      <c r="S173" s="280" t="n"/>
      <c r="T173" s="280" t="n"/>
      <c r="U173" s="280" t="n"/>
      <c r="V173" s="280" t="n"/>
      <c r="W173" s="280" t="n"/>
      <c r="X173" s="280" t="n"/>
      <c r="Y173" s="280" t="n"/>
      <c r="Z173" s="350" t="n"/>
      <c r="AA173" s="198" t="n"/>
      <c r="AB173" s="198" t="n"/>
      <c r="AC173" s="198" t="n"/>
    </row>
    <row r="174" ht="15" customHeight="1" s="195">
      <c r="A174" s="280" t="n"/>
      <c r="B174" s="280" t="n"/>
      <c r="C174" s="280" t="n"/>
      <c r="D174" s="280" t="n"/>
      <c r="E174" s="280" t="n"/>
      <c r="F174" s="280" t="n"/>
      <c r="G174" s="280" t="n"/>
      <c r="H174" s="280" t="n"/>
      <c r="I174" s="332">
        <f>IFERROR(VLOOKUP(TEXT(H174,"0"),IPRESS!$A$3:$B$212,2,0),"")</f>
        <v/>
      </c>
      <c r="J174" s="280" t="n"/>
      <c r="K174" s="343" t="n"/>
      <c r="L174" s="280" t="n"/>
      <c r="M174" s="280" t="n"/>
      <c r="N174" s="345" t="n"/>
      <c r="O174" s="280" t="n"/>
      <c r="P174" s="332">
        <f>IFERROR(VLOOKUP(TEXT(O174,"0"),CONDUCTORES!$A$3:$G$54,2,0),"")</f>
        <v/>
      </c>
      <c r="Q174" s="332">
        <f>IFERROR(VLOOKUP(TEXT(O174,"0"),CONDUCTORES!$A$3:$H$54,6,0),"")</f>
        <v/>
      </c>
      <c r="R174" s="280" t="n"/>
      <c r="S174" s="280" t="n"/>
      <c r="T174" s="280" t="n"/>
      <c r="U174" s="280" t="n"/>
      <c r="V174" s="280" t="n"/>
      <c r="W174" s="280" t="n"/>
      <c r="X174" s="280" t="n"/>
      <c r="Y174" s="280" t="n"/>
      <c r="Z174" s="350" t="n"/>
      <c r="AA174" s="198" t="n"/>
      <c r="AB174" s="198" t="n"/>
      <c r="AC174" s="198" t="n"/>
    </row>
    <row r="175" ht="15" customHeight="1" s="195">
      <c r="A175" s="280" t="n"/>
      <c r="B175" s="280" t="n"/>
      <c r="C175" s="280" t="n"/>
      <c r="D175" s="280" t="n"/>
      <c r="E175" s="280" t="n"/>
      <c r="F175" s="280" t="n"/>
      <c r="G175" s="280" t="n"/>
      <c r="H175" s="280" t="n"/>
      <c r="I175" s="332">
        <f>IFERROR(VLOOKUP(TEXT(H175,"0"),IPRESS!$A$3:$B$212,2,0),"")</f>
        <v/>
      </c>
      <c r="J175" s="280" t="n"/>
      <c r="K175" s="343" t="n"/>
      <c r="L175" s="280" t="n"/>
      <c r="M175" s="280" t="n"/>
      <c r="N175" s="345" t="n"/>
      <c r="O175" s="280" t="n"/>
      <c r="P175" s="332">
        <f>IFERROR(VLOOKUP(TEXT(O175,"0"),CONDUCTORES!$A$3:$G$54,2,0),"")</f>
        <v/>
      </c>
      <c r="Q175" s="332">
        <f>IFERROR(VLOOKUP(TEXT(O175,"0"),CONDUCTORES!$A$3:$H$54,6,0),"")</f>
        <v/>
      </c>
      <c r="R175" s="280" t="n"/>
      <c r="S175" s="280" t="n"/>
      <c r="T175" s="280" t="n"/>
      <c r="U175" s="280" t="n"/>
      <c r="V175" s="280" t="n"/>
      <c r="W175" s="280" t="n"/>
      <c r="X175" s="280" t="n"/>
      <c r="Y175" s="280" t="n"/>
      <c r="Z175" s="350" t="n"/>
      <c r="AA175" s="198" t="n"/>
      <c r="AB175" s="198" t="n"/>
      <c r="AC175" s="198" t="n"/>
    </row>
    <row r="176" ht="15" customHeight="1" s="195">
      <c r="A176" s="280" t="n"/>
      <c r="B176" s="280" t="n"/>
      <c r="C176" s="280" t="n"/>
      <c r="D176" s="280" t="n"/>
      <c r="E176" s="280" t="n"/>
      <c r="F176" s="280" t="n"/>
      <c r="G176" s="280" t="n"/>
      <c r="H176" s="280" t="n"/>
      <c r="I176" s="332">
        <f>IFERROR(VLOOKUP(TEXT(H176,"0"),IPRESS!$A$3:$B$212,2,0),"")</f>
        <v/>
      </c>
      <c r="J176" s="280" t="n"/>
      <c r="K176" s="343" t="n"/>
      <c r="L176" s="280" t="n"/>
      <c r="M176" s="280" t="n"/>
      <c r="N176" s="345" t="n"/>
      <c r="O176" s="280" t="n"/>
      <c r="P176" s="332">
        <f>IFERROR(VLOOKUP(TEXT(O176,"0"),CONDUCTORES!$A$3:$G$54,2,0),"")</f>
        <v/>
      </c>
      <c r="Q176" s="332">
        <f>IFERROR(VLOOKUP(TEXT(O176,"0"),CONDUCTORES!$A$3:$H$54,6,0),"")</f>
        <v/>
      </c>
      <c r="R176" s="280" t="n"/>
      <c r="S176" s="280" t="n"/>
      <c r="T176" s="280" t="n"/>
      <c r="U176" s="280" t="n"/>
      <c r="V176" s="280" t="n"/>
      <c r="W176" s="280" t="n"/>
      <c r="X176" s="280" t="n"/>
      <c r="Y176" s="280" t="n"/>
      <c r="Z176" s="350" t="n"/>
      <c r="AA176" s="198" t="n"/>
      <c r="AB176" s="198" t="n"/>
      <c r="AC176" s="198" t="n"/>
    </row>
    <row r="177" ht="15" customHeight="1" s="195">
      <c r="A177" s="280" t="n"/>
      <c r="B177" s="280" t="n"/>
      <c r="C177" s="280" t="n"/>
      <c r="D177" s="280" t="n"/>
      <c r="E177" s="280" t="n"/>
      <c r="F177" s="280" t="n"/>
      <c r="G177" s="280" t="n"/>
      <c r="H177" s="280" t="n"/>
      <c r="I177" s="332">
        <f>IFERROR(VLOOKUP(TEXT(H177,"0"),IPRESS!$A$3:$B$212,2,0),"")</f>
        <v/>
      </c>
      <c r="J177" s="280" t="n"/>
      <c r="K177" s="343" t="n"/>
      <c r="L177" s="280" t="n"/>
      <c r="M177" s="280" t="n"/>
      <c r="N177" s="345" t="n"/>
      <c r="O177" s="280" t="n"/>
      <c r="P177" s="332">
        <f>IFERROR(VLOOKUP(TEXT(O177,"0"),CONDUCTORES!$A$3:$G$54,2,0),"")</f>
        <v/>
      </c>
      <c r="Q177" s="332">
        <f>IFERROR(VLOOKUP(TEXT(O177,"0"),CONDUCTORES!$A$3:$H$54,6,0),"")</f>
        <v/>
      </c>
      <c r="R177" s="280" t="n"/>
      <c r="S177" s="280" t="n"/>
      <c r="T177" s="280" t="n"/>
      <c r="U177" s="280" t="n"/>
      <c r="V177" s="280" t="n"/>
      <c r="W177" s="280" t="n"/>
      <c r="X177" s="280" t="n"/>
      <c r="Y177" s="280" t="n"/>
      <c r="Z177" s="350" t="n"/>
      <c r="AA177" s="198" t="n"/>
      <c r="AB177" s="198" t="n"/>
      <c r="AC177" s="198" t="n"/>
    </row>
    <row r="178" ht="15" customHeight="1" s="195">
      <c r="A178" s="280" t="n"/>
      <c r="B178" s="280" t="n"/>
      <c r="C178" s="280" t="n"/>
      <c r="D178" s="280" t="n"/>
      <c r="E178" s="280" t="n"/>
      <c r="F178" s="280" t="n"/>
      <c r="G178" s="280" t="n"/>
      <c r="H178" s="280" t="n"/>
      <c r="I178" s="332">
        <f>IFERROR(VLOOKUP(TEXT(H178,"0"),IPRESS!$A$3:$B$212,2,0),"")</f>
        <v/>
      </c>
      <c r="J178" s="280" t="n"/>
      <c r="K178" s="343" t="n"/>
      <c r="L178" s="280" t="n"/>
      <c r="M178" s="280" t="n"/>
      <c r="N178" s="345" t="n"/>
      <c r="O178" s="280" t="n"/>
      <c r="P178" s="332">
        <f>IFERROR(VLOOKUP(TEXT(O178,"0"),CONDUCTORES!$A$3:$G$54,2,0),"")</f>
        <v/>
      </c>
      <c r="Q178" s="332">
        <f>IFERROR(VLOOKUP(TEXT(O178,"0"),CONDUCTORES!$A$3:$H$54,6,0),"")</f>
        <v/>
      </c>
      <c r="R178" s="280" t="n"/>
      <c r="S178" s="280" t="n"/>
      <c r="T178" s="280" t="n"/>
      <c r="U178" s="280" t="n"/>
      <c r="V178" s="280" t="n"/>
      <c r="W178" s="280" t="n"/>
      <c r="X178" s="280" t="n"/>
      <c r="Y178" s="280" t="n"/>
      <c r="Z178" s="350" t="n"/>
      <c r="AA178" s="198" t="n"/>
      <c r="AB178" s="198" t="n"/>
      <c r="AC178" s="198" t="n"/>
    </row>
    <row r="179" ht="15" customHeight="1" s="195">
      <c r="A179" s="280" t="n"/>
      <c r="B179" s="280" t="n"/>
      <c r="C179" s="280" t="n"/>
      <c r="D179" s="280" t="n"/>
      <c r="E179" s="280" t="n"/>
      <c r="F179" s="280" t="n"/>
      <c r="G179" s="280" t="n"/>
      <c r="H179" s="280" t="n"/>
      <c r="I179" s="332">
        <f>IFERROR(VLOOKUP(TEXT(H179,"0"),IPRESS!$A$3:$B$212,2,0),"")</f>
        <v/>
      </c>
      <c r="J179" s="280" t="n"/>
      <c r="K179" s="343" t="n"/>
      <c r="L179" s="280" t="n"/>
      <c r="M179" s="280" t="n"/>
      <c r="N179" s="345" t="n"/>
      <c r="O179" s="280" t="n"/>
      <c r="P179" s="332">
        <f>IFERROR(VLOOKUP(TEXT(O179,"0"),CONDUCTORES!$A$3:$G$54,2,0),"")</f>
        <v/>
      </c>
      <c r="Q179" s="332">
        <f>IFERROR(VLOOKUP(TEXT(O179,"0"),CONDUCTORES!$A$3:$H$54,6,0),"")</f>
        <v/>
      </c>
      <c r="R179" s="280" t="n"/>
      <c r="S179" s="280" t="n"/>
      <c r="T179" s="280" t="n"/>
      <c r="U179" s="280" t="n"/>
      <c r="V179" s="280" t="n"/>
      <c r="W179" s="280" t="n"/>
      <c r="X179" s="280" t="n"/>
      <c r="Y179" s="280" t="n"/>
      <c r="Z179" s="350" t="n"/>
      <c r="AA179" s="198" t="n"/>
      <c r="AB179" s="198" t="n"/>
      <c r="AC179" s="198" t="n"/>
    </row>
    <row r="180" ht="15" customHeight="1" s="195">
      <c r="A180" s="280" t="n"/>
      <c r="B180" s="280" t="n"/>
      <c r="C180" s="280" t="n"/>
      <c r="D180" s="280" t="n"/>
      <c r="E180" s="280" t="n"/>
      <c r="F180" s="280" t="n"/>
      <c r="G180" s="280" t="n"/>
      <c r="H180" s="280" t="n"/>
      <c r="I180" s="332">
        <f>IFERROR(VLOOKUP(TEXT(H180,"0"),IPRESS!$A$3:$B$212,2,0),"")</f>
        <v/>
      </c>
      <c r="J180" s="280" t="n"/>
      <c r="K180" s="343" t="n"/>
      <c r="L180" s="280" t="n"/>
      <c r="M180" s="280" t="n"/>
      <c r="N180" s="345" t="n"/>
      <c r="O180" s="280" t="n"/>
      <c r="P180" s="332">
        <f>IFERROR(VLOOKUP(TEXT(O180,"0"),CONDUCTORES!$A$3:$G$54,2,0),"")</f>
        <v/>
      </c>
      <c r="Q180" s="332">
        <f>IFERROR(VLOOKUP(TEXT(O180,"0"),CONDUCTORES!$A$3:$H$54,6,0),"")</f>
        <v/>
      </c>
      <c r="R180" s="280" t="n"/>
      <c r="S180" s="280" t="n"/>
      <c r="T180" s="280" t="n"/>
      <c r="U180" s="280" t="n"/>
      <c r="V180" s="280" t="n"/>
      <c r="W180" s="280" t="n"/>
      <c r="X180" s="280" t="n"/>
      <c r="Y180" s="280" t="n"/>
      <c r="Z180" s="350" t="n"/>
      <c r="AA180" s="198" t="n"/>
      <c r="AB180" s="198" t="n"/>
      <c r="AC180" s="198" t="n"/>
    </row>
    <row r="181" ht="15" customHeight="1" s="195">
      <c r="A181" s="280" t="n"/>
      <c r="B181" s="280" t="n"/>
      <c r="C181" s="280" t="n"/>
      <c r="D181" s="280" t="n"/>
      <c r="E181" s="280" t="n"/>
      <c r="F181" s="280" t="n"/>
      <c r="G181" s="280" t="n"/>
      <c r="H181" s="280" t="n"/>
      <c r="I181" s="332">
        <f>IFERROR(VLOOKUP(TEXT(H181,"0"),IPRESS!$A$3:$B$212,2,0),"")</f>
        <v/>
      </c>
      <c r="J181" s="280" t="n"/>
      <c r="K181" s="343" t="n"/>
      <c r="L181" s="280" t="n"/>
      <c r="M181" s="280" t="n"/>
      <c r="N181" s="345" t="n"/>
      <c r="O181" s="280" t="n"/>
      <c r="P181" s="332">
        <f>IFERROR(VLOOKUP(TEXT(O181,"0"),CONDUCTORES!$A$3:$G$54,2,0),"")</f>
        <v/>
      </c>
      <c r="Q181" s="332">
        <f>IFERROR(VLOOKUP(TEXT(O181,"0"),CONDUCTORES!$A$3:$H$54,6,0),"")</f>
        <v/>
      </c>
      <c r="R181" s="280" t="n"/>
      <c r="S181" s="280" t="n"/>
      <c r="T181" s="280" t="n"/>
      <c r="U181" s="280" t="n"/>
      <c r="V181" s="280" t="n"/>
      <c r="W181" s="280" t="n"/>
      <c r="X181" s="280" t="n"/>
      <c r="Y181" s="280" t="n"/>
      <c r="Z181" s="350" t="n"/>
      <c r="AA181" s="198" t="n"/>
      <c r="AB181" s="198" t="n"/>
      <c r="AC181" s="198" t="n"/>
    </row>
    <row r="182" ht="15" customHeight="1" s="195">
      <c r="A182" s="280" t="n"/>
      <c r="B182" s="280" t="n"/>
      <c r="C182" s="280" t="n"/>
      <c r="D182" s="280" t="n"/>
      <c r="E182" s="280" t="n"/>
      <c r="F182" s="280" t="n"/>
      <c r="G182" s="280" t="n"/>
      <c r="H182" s="280" t="n"/>
      <c r="I182" s="332">
        <f>IFERROR(VLOOKUP(TEXT(H182,"0"),IPRESS!$A$3:$B$212,2,0),"")</f>
        <v/>
      </c>
      <c r="J182" s="280" t="n"/>
      <c r="K182" s="343" t="n"/>
      <c r="L182" s="280" t="n"/>
      <c r="M182" s="280" t="n"/>
      <c r="N182" s="345" t="n"/>
      <c r="O182" s="280" t="n"/>
      <c r="P182" s="332">
        <f>IFERROR(VLOOKUP(TEXT(O182,"0"),CONDUCTORES!$A$3:$G$54,2,0),"")</f>
        <v/>
      </c>
      <c r="Q182" s="332">
        <f>IFERROR(VLOOKUP(TEXT(O182,"0"),CONDUCTORES!$A$3:$H$54,6,0),"")</f>
        <v/>
      </c>
      <c r="R182" s="280" t="n"/>
      <c r="S182" s="280" t="n"/>
      <c r="T182" s="280" t="n"/>
      <c r="U182" s="280" t="n"/>
      <c r="V182" s="280" t="n"/>
      <c r="W182" s="280" t="n"/>
      <c r="X182" s="280" t="n"/>
      <c r="Y182" s="280" t="n"/>
      <c r="Z182" s="350" t="n"/>
      <c r="AA182" s="198" t="n"/>
      <c r="AB182" s="198" t="n"/>
      <c r="AC182" s="198" t="n"/>
    </row>
    <row r="183" ht="15" customHeight="1" s="195">
      <c r="A183" s="280" t="n"/>
      <c r="B183" s="280" t="n"/>
      <c r="C183" s="280" t="n"/>
      <c r="D183" s="280" t="n"/>
      <c r="E183" s="280" t="n"/>
      <c r="F183" s="280" t="n"/>
      <c r="G183" s="280" t="n"/>
      <c r="H183" s="280" t="n"/>
      <c r="I183" s="332">
        <f>IFERROR(VLOOKUP(TEXT(H183,"0"),IPRESS!$A$3:$B$212,2,0),"")</f>
        <v/>
      </c>
      <c r="J183" s="280" t="n"/>
      <c r="K183" s="343" t="n"/>
      <c r="L183" s="280" t="n"/>
      <c r="M183" s="280" t="n"/>
      <c r="N183" s="345" t="n"/>
      <c r="O183" s="280" t="n"/>
      <c r="P183" s="332">
        <f>IFERROR(VLOOKUP(TEXT(O183,"0"),CONDUCTORES!$A$3:$G$54,2,0),"")</f>
        <v/>
      </c>
      <c r="Q183" s="332">
        <f>IFERROR(VLOOKUP(TEXT(O183,"0"),CONDUCTORES!$A$3:$H$54,6,0),"")</f>
        <v/>
      </c>
      <c r="R183" s="280" t="n"/>
      <c r="S183" s="280" t="n"/>
      <c r="T183" s="280" t="n"/>
      <c r="U183" s="280" t="n"/>
      <c r="V183" s="280" t="n"/>
      <c r="W183" s="280" t="n"/>
      <c r="X183" s="280" t="n"/>
      <c r="Y183" s="280" t="n"/>
      <c r="Z183" s="350" t="n"/>
      <c r="AA183" s="198" t="n"/>
      <c r="AB183" s="198" t="n"/>
      <c r="AC183" s="198" t="n"/>
    </row>
    <row r="184" ht="15" customHeight="1" s="195">
      <c r="A184" s="280" t="n"/>
      <c r="B184" s="280" t="n"/>
      <c r="C184" s="280" t="n"/>
      <c r="D184" s="280" t="n"/>
      <c r="E184" s="280" t="n"/>
      <c r="F184" s="280" t="n"/>
      <c r="G184" s="280" t="n"/>
      <c r="H184" s="280" t="n"/>
      <c r="I184" s="332">
        <f>IFERROR(VLOOKUP(TEXT(H184,"0"),IPRESS!$A$3:$B$212,2,0),"")</f>
        <v/>
      </c>
      <c r="J184" s="280" t="n"/>
      <c r="K184" s="343" t="n"/>
      <c r="L184" s="280" t="n"/>
      <c r="M184" s="280" t="n"/>
      <c r="N184" s="345" t="n"/>
      <c r="O184" s="280" t="n"/>
      <c r="P184" s="332">
        <f>IFERROR(VLOOKUP(TEXT(O184,"0"),CONDUCTORES!$A$3:$G$54,2,0),"")</f>
        <v/>
      </c>
      <c r="Q184" s="332">
        <f>IFERROR(VLOOKUP(TEXT(O184,"0"),CONDUCTORES!$A$3:$H$54,6,0),"")</f>
        <v/>
      </c>
      <c r="R184" s="280" t="n"/>
      <c r="S184" s="280" t="n"/>
      <c r="T184" s="280" t="n"/>
      <c r="U184" s="280" t="n"/>
      <c r="V184" s="280" t="n"/>
      <c r="W184" s="280" t="n"/>
      <c r="X184" s="280" t="n"/>
      <c r="Y184" s="280" t="n"/>
      <c r="Z184" s="350" t="n"/>
      <c r="AA184" s="198" t="n"/>
      <c r="AB184" s="198" t="n"/>
      <c r="AC184" s="198" t="n"/>
    </row>
    <row r="185" ht="15" customHeight="1" s="195">
      <c r="A185" s="280" t="n"/>
      <c r="B185" s="280" t="n"/>
      <c r="C185" s="280" t="n"/>
      <c r="D185" s="280" t="n"/>
      <c r="E185" s="280" t="n"/>
      <c r="F185" s="280" t="n"/>
      <c r="G185" s="280" t="n"/>
      <c r="H185" s="280" t="n"/>
      <c r="I185" s="332">
        <f>IFERROR(VLOOKUP(TEXT(H185,"0"),IPRESS!$A$3:$B$212,2,0),"")</f>
        <v/>
      </c>
      <c r="J185" s="280" t="n"/>
      <c r="K185" s="343" t="n"/>
      <c r="L185" s="280" t="n"/>
      <c r="M185" s="280" t="n"/>
      <c r="N185" s="345" t="n"/>
      <c r="O185" s="280" t="n"/>
      <c r="P185" s="332">
        <f>IFERROR(VLOOKUP(TEXT(O185,"0"),CONDUCTORES!$A$3:$G$54,2,0),"")</f>
        <v/>
      </c>
      <c r="Q185" s="332">
        <f>IFERROR(VLOOKUP(TEXT(O185,"0"),CONDUCTORES!$A$3:$H$54,6,0),"")</f>
        <v/>
      </c>
      <c r="R185" s="280" t="n"/>
      <c r="S185" s="280" t="n"/>
      <c r="T185" s="280" t="n"/>
      <c r="U185" s="280" t="n"/>
      <c r="V185" s="280" t="n"/>
      <c r="W185" s="280" t="n"/>
      <c r="X185" s="280" t="n"/>
      <c r="Y185" s="280" t="n"/>
      <c r="Z185" s="350" t="n"/>
      <c r="AA185" s="198" t="n"/>
      <c r="AB185" s="198" t="n"/>
      <c r="AC185" s="198" t="n"/>
    </row>
    <row r="186" ht="15" customHeight="1" s="195">
      <c r="A186" s="280" t="n"/>
      <c r="B186" s="280" t="n"/>
      <c r="C186" s="280" t="n"/>
      <c r="D186" s="280" t="n"/>
      <c r="E186" s="280" t="n"/>
      <c r="F186" s="280" t="n"/>
      <c r="G186" s="280" t="n"/>
      <c r="H186" s="280" t="n"/>
      <c r="I186" s="332">
        <f>IFERROR(VLOOKUP(TEXT(H186,"0"),IPRESS!$A$3:$B$212,2,0),"")</f>
        <v/>
      </c>
      <c r="J186" s="280" t="n"/>
      <c r="K186" s="343" t="n"/>
      <c r="L186" s="280" t="n"/>
      <c r="M186" s="280" t="n"/>
      <c r="N186" s="345" t="n"/>
      <c r="O186" s="280" t="n"/>
      <c r="P186" s="332">
        <f>IFERROR(VLOOKUP(TEXT(O186,"0"),CONDUCTORES!$A$3:$G$54,2,0),"")</f>
        <v/>
      </c>
      <c r="Q186" s="332">
        <f>IFERROR(VLOOKUP(TEXT(O186,"0"),CONDUCTORES!$A$3:$H$54,6,0),"")</f>
        <v/>
      </c>
      <c r="R186" s="280" t="n"/>
      <c r="S186" s="280" t="n"/>
      <c r="T186" s="280" t="n"/>
      <c r="U186" s="280" t="n"/>
      <c r="V186" s="280" t="n"/>
      <c r="W186" s="280" t="n"/>
      <c r="X186" s="280" t="n"/>
      <c r="Y186" s="280" t="n"/>
      <c r="Z186" s="350" t="n"/>
      <c r="AA186" s="198" t="n"/>
      <c r="AB186" s="198" t="n"/>
      <c r="AC186" s="198" t="n"/>
    </row>
    <row r="187" ht="15" customHeight="1" s="195">
      <c r="A187" s="280" t="n"/>
      <c r="B187" s="280" t="n"/>
      <c r="C187" s="280" t="n"/>
      <c r="D187" s="280" t="n"/>
      <c r="E187" s="280" t="n"/>
      <c r="F187" s="280" t="n"/>
      <c r="G187" s="280" t="n"/>
      <c r="H187" s="280" t="n"/>
      <c r="I187" s="332">
        <f>IFERROR(VLOOKUP(TEXT(H187,"0"),IPRESS!$A$3:$B$212,2,0),"")</f>
        <v/>
      </c>
      <c r="J187" s="280" t="n"/>
      <c r="K187" s="343" t="n"/>
      <c r="L187" s="280" t="n"/>
      <c r="M187" s="280" t="n"/>
      <c r="N187" s="345" t="n"/>
      <c r="O187" s="280" t="n"/>
      <c r="P187" s="332">
        <f>IFERROR(VLOOKUP(TEXT(O187,"0"),CONDUCTORES!$A$3:$G$54,2,0),"")</f>
        <v/>
      </c>
      <c r="Q187" s="332">
        <f>IFERROR(VLOOKUP(TEXT(O187,"0"),CONDUCTORES!$A$3:$H$54,6,0),"")</f>
        <v/>
      </c>
      <c r="R187" s="280" t="n"/>
      <c r="S187" s="280" t="n"/>
      <c r="T187" s="280" t="n"/>
      <c r="U187" s="280" t="n"/>
      <c r="V187" s="280" t="n"/>
      <c r="W187" s="280" t="n"/>
      <c r="X187" s="280" t="n"/>
      <c r="Y187" s="280" t="n"/>
      <c r="Z187" s="350" t="n"/>
      <c r="AA187" s="198" t="n"/>
      <c r="AB187" s="198" t="n"/>
      <c r="AC187" s="198" t="n"/>
    </row>
    <row r="188" ht="15" customHeight="1" s="195">
      <c r="A188" s="280" t="n"/>
      <c r="B188" s="280" t="n"/>
      <c r="C188" s="280" t="n"/>
      <c r="D188" s="280" t="n"/>
      <c r="E188" s="280" t="n"/>
      <c r="F188" s="280" t="n"/>
      <c r="G188" s="280" t="n"/>
      <c r="H188" s="280" t="n"/>
      <c r="I188" s="332">
        <f>IFERROR(VLOOKUP(TEXT(H188,"0"),IPRESS!$A$3:$B$212,2,0),"")</f>
        <v/>
      </c>
      <c r="J188" s="280" t="n"/>
      <c r="K188" s="343" t="n"/>
      <c r="L188" s="280" t="n"/>
      <c r="M188" s="280" t="n"/>
      <c r="N188" s="345" t="n"/>
      <c r="O188" s="280" t="n"/>
      <c r="P188" s="332">
        <f>IFERROR(VLOOKUP(TEXT(O188,"0"),CONDUCTORES!$A$3:$G$54,2,0),"")</f>
        <v/>
      </c>
      <c r="Q188" s="332">
        <f>IFERROR(VLOOKUP(TEXT(O188,"0"),CONDUCTORES!$A$3:$H$54,6,0),"")</f>
        <v/>
      </c>
      <c r="R188" s="280" t="n"/>
      <c r="S188" s="280" t="n"/>
      <c r="T188" s="280" t="n"/>
      <c r="U188" s="280" t="n"/>
      <c r="V188" s="280" t="n"/>
      <c r="W188" s="280" t="n"/>
      <c r="X188" s="280" t="n"/>
      <c r="Y188" s="280" t="n"/>
      <c r="Z188" s="350" t="n"/>
      <c r="AA188" s="198" t="n"/>
      <c r="AB188" s="198" t="n"/>
      <c r="AC188" s="198" t="n"/>
    </row>
    <row r="189" ht="15" customHeight="1" s="195">
      <c r="A189" s="280" t="n"/>
      <c r="B189" s="280" t="n"/>
      <c r="C189" s="280" t="n"/>
      <c r="D189" s="280" t="n"/>
      <c r="E189" s="280" t="n"/>
      <c r="F189" s="280" t="n"/>
      <c r="G189" s="280" t="n"/>
      <c r="H189" s="280" t="n"/>
      <c r="I189" s="332">
        <f>IFERROR(VLOOKUP(TEXT(H189,"0"),IPRESS!$A$3:$B$212,2,0),"")</f>
        <v/>
      </c>
      <c r="J189" s="280" t="n"/>
      <c r="K189" s="343" t="n"/>
      <c r="L189" s="280" t="n"/>
      <c r="M189" s="280" t="n"/>
      <c r="N189" s="345" t="n"/>
      <c r="O189" s="280" t="n"/>
      <c r="P189" s="332">
        <f>IFERROR(VLOOKUP(TEXT(O189,"0"),CONDUCTORES!$A$3:$G$54,2,0),"")</f>
        <v/>
      </c>
      <c r="Q189" s="332">
        <f>IFERROR(VLOOKUP(TEXT(O189,"0"),CONDUCTORES!$A$3:$H$54,6,0),"")</f>
        <v/>
      </c>
      <c r="R189" s="280" t="n"/>
      <c r="S189" s="280" t="n"/>
      <c r="T189" s="280" t="n"/>
      <c r="U189" s="280" t="n"/>
      <c r="V189" s="280" t="n"/>
      <c r="W189" s="280" t="n"/>
      <c r="X189" s="280" t="n"/>
      <c r="Y189" s="280" t="n"/>
      <c r="Z189" s="350" t="n"/>
      <c r="AA189" s="198" t="n"/>
      <c r="AB189" s="198" t="n"/>
      <c r="AC189" s="198" t="n"/>
    </row>
    <row r="190" ht="15" customHeight="1" s="195">
      <c r="A190" s="280" t="n"/>
      <c r="B190" s="280" t="n"/>
      <c r="C190" s="280" t="n"/>
      <c r="D190" s="280" t="n"/>
      <c r="E190" s="280" t="n"/>
      <c r="F190" s="280" t="n"/>
      <c r="G190" s="280" t="n"/>
      <c r="H190" s="280" t="n"/>
      <c r="I190" s="332">
        <f>IFERROR(VLOOKUP(TEXT(H190,"0"),IPRESS!$A$3:$B$212,2,0),"")</f>
        <v/>
      </c>
      <c r="J190" s="280" t="n"/>
      <c r="K190" s="343" t="n"/>
      <c r="L190" s="280" t="n"/>
      <c r="M190" s="280" t="n"/>
      <c r="N190" s="345" t="n"/>
      <c r="O190" s="280" t="n"/>
      <c r="P190" s="332">
        <f>IFERROR(VLOOKUP(TEXT(O190,"0"),CONDUCTORES!$A$3:$G$54,2,0),"")</f>
        <v/>
      </c>
      <c r="Q190" s="332">
        <f>IFERROR(VLOOKUP(TEXT(O190,"0"),CONDUCTORES!$A$3:$H$54,6,0),"")</f>
        <v/>
      </c>
      <c r="R190" s="280" t="n"/>
      <c r="S190" s="280" t="n"/>
      <c r="T190" s="280" t="n"/>
      <c r="U190" s="280" t="n"/>
      <c r="V190" s="280" t="n"/>
      <c r="W190" s="280" t="n"/>
      <c r="X190" s="280" t="n"/>
      <c r="Y190" s="280" t="n"/>
      <c r="Z190" s="350" t="n"/>
      <c r="AA190" s="198" t="n"/>
      <c r="AB190" s="198" t="n"/>
      <c r="AC190" s="198" t="n"/>
    </row>
    <row r="191" ht="15" customHeight="1" s="195">
      <c r="A191" s="280" t="n"/>
      <c r="B191" s="280" t="n"/>
      <c r="C191" s="280" t="n"/>
      <c r="D191" s="280" t="n"/>
      <c r="E191" s="280" t="n"/>
      <c r="F191" s="280" t="n"/>
      <c r="G191" s="280" t="n"/>
      <c r="H191" s="280" t="n"/>
      <c r="I191" s="332">
        <f>IFERROR(VLOOKUP(TEXT(H191,"0"),IPRESS!$A$3:$B$212,2,0),"")</f>
        <v/>
      </c>
      <c r="J191" s="280" t="n"/>
      <c r="K191" s="343" t="n"/>
      <c r="L191" s="280" t="n"/>
      <c r="M191" s="280" t="n"/>
      <c r="N191" s="345" t="n"/>
      <c r="O191" s="280" t="n"/>
      <c r="P191" s="332">
        <f>IFERROR(VLOOKUP(TEXT(O191,"0"),CONDUCTORES!$A$3:$G$54,2,0),"")</f>
        <v/>
      </c>
      <c r="Q191" s="332">
        <f>IFERROR(VLOOKUP(TEXT(O191,"0"),CONDUCTORES!$A$3:$H$54,6,0),"")</f>
        <v/>
      </c>
      <c r="R191" s="280" t="n"/>
      <c r="S191" s="280" t="n"/>
      <c r="T191" s="280" t="n"/>
      <c r="U191" s="280" t="n"/>
      <c r="V191" s="280" t="n"/>
      <c r="W191" s="280" t="n"/>
      <c r="X191" s="280" t="n"/>
      <c r="Y191" s="280" t="n"/>
      <c r="Z191" s="350" t="n"/>
      <c r="AA191" s="198" t="n"/>
      <c r="AB191" s="198" t="n"/>
      <c r="AC191" s="198" t="n"/>
    </row>
    <row r="192" ht="15" customHeight="1" s="195">
      <c r="A192" s="280" t="n"/>
      <c r="B192" s="280" t="n"/>
      <c r="C192" s="280" t="n"/>
      <c r="D192" s="280" t="n"/>
      <c r="E192" s="280" t="n"/>
      <c r="F192" s="280" t="n"/>
      <c r="G192" s="280" t="n"/>
      <c r="H192" s="280" t="n"/>
      <c r="I192" s="332">
        <f>IFERROR(VLOOKUP(TEXT(H192,"0"),IPRESS!$A$3:$B$212,2,0),"")</f>
        <v/>
      </c>
      <c r="J192" s="280" t="n"/>
      <c r="K192" s="343" t="n"/>
      <c r="L192" s="280" t="n"/>
      <c r="M192" s="280" t="n"/>
      <c r="N192" s="345" t="n"/>
      <c r="O192" s="280" t="n"/>
      <c r="P192" s="332">
        <f>IFERROR(VLOOKUP(TEXT(O192,"0"),CONDUCTORES!$A$3:$G$54,2,0),"")</f>
        <v/>
      </c>
      <c r="Q192" s="332">
        <f>IFERROR(VLOOKUP(TEXT(O192,"0"),CONDUCTORES!$A$3:$H$54,6,0),"")</f>
        <v/>
      </c>
      <c r="R192" s="280" t="n"/>
      <c r="S192" s="280" t="n"/>
      <c r="T192" s="280" t="n"/>
      <c r="U192" s="280" t="n"/>
      <c r="V192" s="280" t="n"/>
      <c r="W192" s="280" t="n"/>
      <c r="X192" s="280" t="n"/>
      <c r="Y192" s="280" t="n"/>
      <c r="Z192" s="350" t="n"/>
      <c r="AA192" s="198" t="n"/>
      <c r="AB192" s="198" t="n"/>
      <c r="AC192" s="198" t="n"/>
    </row>
    <row r="193" ht="15" customHeight="1" s="195">
      <c r="A193" s="280" t="n"/>
      <c r="B193" s="280" t="n"/>
      <c r="C193" s="280" t="n"/>
      <c r="D193" s="280" t="n"/>
      <c r="E193" s="280" t="n"/>
      <c r="F193" s="280" t="n"/>
      <c r="G193" s="280" t="n"/>
      <c r="H193" s="280" t="n"/>
      <c r="I193" s="332">
        <f>IFERROR(VLOOKUP(TEXT(H193,"0"),IPRESS!$A$3:$B$212,2,0),"")</f>
        <v/>
      </c>
      <c r="J193" s="280" t="n"/>
      <c r="K193" s="343" t="n"/>
      <c r="L193" s="280" t="n"/>
      <c r="M193" s="280" t="n"/>
      <c r="N193" s="345" t="n"/>
      <c r="O193" s="280" t="n"/>
      <c r="P193" s="332">
        <f>IFERROR(VLOOKUP(TEXT(O193,"0"),CONDUCTORES!$A$3:$G$54,2,0),"")</f>
        <v/>
      </c>
      <c r="Q193" s="332">
        <f>IFERROR(VLOOKUP(TEXT(O193,"0"),CONDUCTORES!$A$3:$H$54,6,0),"")</f>
        <v/>
      </c>
      <c r="R193" s="280" t="n"/>
      <c r="S193" s="280" t="n"/>
      <c r="T193" s="280" t="n"/>
      <c r="U193" s="280" t="n"/>
      <c r="V193" s="280" t="n"/>
      <c r="W193" s="280" t="n"/>
      <c r="X193" s="280" t="n"/>
      <c r="Y193" s="280" t="n"/>
      <c r="Z193" s="350" t="n"/>
      <c r="AA193" s="198" t="n"/>
      <c r="AB193" s="198" t="n"/>
      <c r="AC193" s="198" t="n"/>
    </row>
    <row r="194" ht="15" customHeight="1" s="195">
      <c r="A194" s="280" t="n"/>
      <c r="B194" s="280" t="n"/>
      <c r="C194" s="280" t="n"/>
      <c r="D194" s="280" t="n"/>
      <c r="E194" s="280" t="n"/>
      <c r="F194" s="280" t="n"/>
      <c r="G194" s="280" t="n"/>
      <c r="H194" s="280" t="n"/>
      <c r="I194" s="332">
        <f>IFERROR(VLOOKUP(TEXT(H194,"0"),IPRESS!$A$3:$B$212,2,0),"")</f>
        <v/>
      </c>
      <c r="J194" s="280" t="n"/>
      <c r="K194" s="343" t="n"/>
      <c r="L194" s="280" t="n"/>
      <c r="M194" s="280" t="n"/>
      <c r="N194" s="345" t="n"/>
      <c r="O194" s="280" t="n"/>
      <c r="P194" s="332">
        <f>IFERROR(VLOOKUP(TEXT(O194,"0"),CONDUCTORES!$A$3:$G$54,2,0),"")</f>
        <v/>
      </c>
      <c r="Q194" s="332">
        <f>IFERROR(VLOOKUP(TEXT(O194,"0"),CONDUCTORES!$A$3:$H$54,6,0),"")</f>
        <v/>
      </c>
      <c r="R194" s="280" t="n"/>
      <c r="S194" s="280" t="n"/>
      <c r="T194" s="280" t="n"/>
      <c r="U194" s="280" t="n"/>
      <c r="V194" s="280" t="n"/>
      <c r="W194" s="280" t="n"/>
      <c r="X194" s="280" t="n"/>
      <c r="Y194" s="280" t="n"/>
      <c r="Z194" s="350" t="n"/>
      <c r="AA194" s="198" t="n"/>
      <c r="AB194" s="198" t="n"/>
      <c r="AC194" s="198" t="n"/>
    </row>
    <row r="195" ht="15" customHeight="1" s="195">
      <c r="A195" s="280" t="n"/>
      <c r="B195" s="280" t="n"/>
      <c r="C195" s="280" t="n"/>
      <c r="D195" s="280" t="n"/>
      <c r="E195" s="280" t="n"/>
      <c r="F195" s="280" t="n"/>
      <c r="G195" s="280" t="n"/>
      <c r="H195" s="280" t="n"/>
      <c r="I195" s="332">
        <f>IFERROR(VLOOKUP(TEXT(H195,"0"),IPRESS!$A$3:$B$212,2,0),"")</f>
        <v/>
      </c>
      <c r="J195" s="280" t="n"/>
      <c r="K195" s="343" t="n"/>
      <c r="L195" s="280" t="n"/>
      <c r="M195" s="280" t="n"/>
      <c r="N195" s="345" t="n"/>
      <c r="O195" s="280" t="n"/>
      <c r="P195" s="332">
        <f>IFERROR(VLOOKUP(TEXT(O195,"0"),CONDUCTORES!$A$3:$G$54,2,0),"")</f>
        <v/>
      </c>
      <c r="Q195" s="332">
        <f>IFERROR(VLOOKUP(TEXT(O195,"0"),CONDUCTORES!$A$3:$H$54,6,0),"")</f>
        <v/>
      </c>
      <c r="R195" s="280" t="n"/>
      <c r="S195" s="280" t="n"/>
      <c r="T195" s="280" t="n"/>
      <c r="U195" s="280" t="n"/>
      <c r="V195" s="280" t="n"/>
      <c r="W195" s="280" t="n"/>
      <c r="X195" s="280" t="n"/>
      <c r="Y195" s="280" t="n"/>
      <c r="Z195" s="350" t="n"/>
      <c r="AA195" s="198" t="n"/>
      <c r="AB195" s="198" t="n"/>
      <c r="AC195" s="198" t="n"/>
    </row>
    <row r="196" ht="15" customHeight="1" s="195">
      <c r="A196" s="280" t="n"/>
      <c r="B196" s="280" t="n"/>
      <c r="C196" s="280" t="n"/>
      <c r="D196" s="280" t="n"/>
      <c r="E196" s="280" t="n"/>
      <c r="F196" s="280" t="n"/>
      <c r="G196" s="280" t="n"/>
      <c r="H196" s="280" t="n"/>
      <c r="I196" s="332">
        <f>IFERROR(VLOOKUP(TEXT(H196,"0"),IPRESS!$A$3:$B$212,2,0),"")</f>
        <v/>
      </c>
      <c r="J196" s="280" t="n"/>
      <c r="K196" s="343" t="n"/>
      <c r="L196" s="280" t="n"/>
      <c r="M196" s="280" t="n"/>
      <c r="N196" s="345" t="n"/>
      <c r="O196" s="280" t="n"/>
      <c r="P196" s="332">
        <f>IFERROR(VLOOKUP(TEXT(O196,"0"),CONDUCTORES!$A$3:$G$54,2,0),"")</f>
        <v/>
      </c>
      <c r="Q196" s="332">
        <f>IFERROR(VLOOKUP(TEXT(O196,"0"),CONDUCTORES!$A$3:$H$54,6,0),"")</f>
        <v/>
      </c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350" t="n"/>
      <c r="AA196" s="198" t="n"/>
      <c r="AB196" s="198" t="n"/>
      <c r="AC196" s="198" t="n"/>
    </row>
    <row r="197" ht="15" customHeight="1" s="195">
      <c r="A197" s="280" t="n"/>
      <c r="B197" s="280" t="n"/>
      <c r="C197" s="280" t="n"/>
      <c r="D197" s="280" t="n"/>
      <c r="E197" s="280" t="n"/>
      <c r="F197" s="280" t="n"/>
      <c r="G197" s="280" t="n"/>
      <c r="H197" s="280" t="n"/>
      <c r="I197" s="332">
        <f>IFERROR(VLOOKUP(TEXT(H197,"0"),IPRESS!$A$3:$B$212,2,0),"")</f>
        <v/>
      </c>
      <c r="J197" s="280" t="n"/>
      <c r="K197" s="343" t="n"/>
      <c r="L197" s="280" t="n"/>
      <c r="M197" s="280" t="n"/>
      <c r="N197" s="345" t="n"/>
      <c r="O197" s="280" t="n"/>
      <c r="P197" s="332">
        <f>IFERROR(VLOOKUP(TEXT(O197,"0"),CONDUCTORES!$A$3:$G$54,2,0),"")</f>
        <v/>
      </c>
      <c r="Q197" s="332">
        <f>IFERROR(VLOOKUP(TEXT(O197,"0"),CONDUCTORES!$A$3:$H$54,6,0),"")</f>
        <v/>
      </c>
      <c r="R197" s="280" t="n"/>
      <c r="S197" s="280" t="n"/>
      <c r="T197" s="280" t="n"/>
      <c r="U197" s="280" t="n"/>
      <c r="V197" s="280" t="n"/>
      <c r="W197" s="280" t="n"/>
      <c r="X197" s="280" t="n"/>
      <c r="Y197" s="280" t="n"/>
      <c r="Z197" s="350" t="n"/>
      <c r="AA197" s="198" t="n"/>
      <c r="AB197" s="198" t="n"/>
      <c r="AC197" s="198" t="n"/>
    </row>
    <row r="198" ht="15" customHeight="1" s="195">
      <c r="A198" s="280" t="n"/>
      <c r="B198" s="280" t="n"/>
      <c r="C198" s="280" t="n"/>
      <c r="D198" s="280" t="n"/>
      <c r="E198" s="280" t="n"/>
      <c r="F198" s="280" t="n"/>
      <c r="G198" s="280" t="n"/>
      <c r="H198" s="280" t="n"/>
      <c r="I198" s="332">
        <f>IFERROR(VLOOKUP(TEXT(H198,"0"),IPRESS!$A$3:$B$212,2,0),"")</f>
        <v/>
      </c>
      <c r="J198" s="280" t="n"/>
      <c r="K198" s="343" t="n"/>
      <c r="L198" s="280" t="n"/>
      <c r="M198" s="280" t="n"/>
      <c r="N198" s="345" t="n"/>
      <c r="O198" s="280" t="n"/>
      <c r="P198" s="332">
        <f>IFERROR(VLOOKUP(TEXT(O198,"0"),CONDUCTORES!$A$3:$G$54,2,0),"")</f>
        <v/>
      </c>
      <c r="Q198" s="332">
        <f>IFERROR(VLOOKUP(TEXT(O198,"0"),CONDUCTORES!$A$3:$H$54,6,0),"")</f>
        <v/>
      </c>
      <c r="R198" s="280" t="n"/>
      <c r="S198" s="280" t="n"/>
      <c r="T198" s="280" t="n"/>
      <c r="U198" s="280" t="n"/>
      <c r="V198" s="280" t="n"/>
      <c r="W198" s="280" t="n"/>
      <c r="X198" s="280" t="n"/>
      <c r="Y198" s="280" t="n"/>
      <c r="Z198" s="350" t="n"/>
      <c r="AA198" s="198" t="n"/>
      <c r="AB198" s="198" t="n"/>
      <c r="AC198" s="198" t="n"/>
    </row>
    <row r="199" ht="15" customHeight="1" s="195">
      <c r="A199" s="280" t="n"/>
      <c r="B199" s="280" t="n"/>
      <c r="C199" s="280" t="n"/>
      <c r="D199" s="280" t="n"/>
      <c r="E199" s="280" t="n"/>
      <c r="F199" s="280" t="n"/>
      <c r="G199" s="280" t="n"/>
      <c r="H199" s="280" t="n"/>
      <c r="I199" s="332">
        <f>IFERROR(VLOOKUP(TEXT(H199,"0"),IPRESS!$A$3:$B$212,2,0),"")</f>
        <v/>
      </c>
      <c r="J199" s="280" t="n"/>
      <c r="K199" s="343" t="n"/>
      <c r="L199" s="280" t="n"/>
      <c r="M199" s="280" t="n"/>
      <c r="N199" s="345" t="n"/>
      <c r="O199" s="280" t="n"/>
      <c r="P199" s="332">
        <f>IFERROR(VLOOKUP(TEXT(O199,"0"),CONDUCTORES!$A$3:$G$54,2,0),"")</f>
        <v/>
      </c>
      <c r="Q199" s="332">
        <f>IFERROR(VLOOKUP(TEXT(O199,"0"),CONDUCTORES!$A$3:$H$54,6,0),"")</f>
        <v/>
      </c>
      <c r="R199" s="280" t="n"/>
      <c r="S199" s="280" t="n"/>
      <c r="T199" s="280" t="n"/>
      <c r="U199" s="280" t="n"/>
      <c r="V199" s="280" t="n"/>
      <c r="W199" s="280" t="n"/>
      <c r="X199" s="280" t="n"/>
      <c r="Y199" s="280" t="n"/>
      <c r="Z199" s="350" t="n"/>
      <c r="AA199" s="198" t="n"/>
      <c r="AB199" s="198" t="n"/>
      <c r="AC199" s="198" t="n"/>
    </row>
    <row r="200" ht="15" customHeight="1" s="195">
      <c r="A200" s="280" t="n"/>
      <c r="B200" s="280" t="n"/>
      <c r="C200" s="280" t="n"/>
      <c r="D200" s="280" t="n"/>
      <c r="E200" s="280" t="n"/>
      <c r="F200" s="280" t="n"/>
      <c r="G200" s="280" t="n"/>
      <c r="H200" s="280" t="n"/>
      <c r="I200" s="332">
        <f>IFERROR(VLOOKUP(TEXT(H200,"0"),IPRESS!$A$3:$B$212,2,0),"")</f>
        <v/>
      </c>
      <c r="J200" s="280" t="n"/>
      <c r="K200" s="343" t="n"/>
      <c r="L200" s="280" t="n"/>
      <c r="M200" s="280" t="n"/>
      <c r="N200" s="345" t="n"/>
      <c r="O200" s="280" t="n"/>
      <c r="P200" s="332">
        <f>IFERROR(VLOOKUP(TEXT(O200,"0"),CONDUCTORES!$A$3:$G$54,2,0),"")</f>
        <v/>
      </c>
      <c r="Q200" s="332">
        <f>IFERROR(VLOOKUP(TEXT(O200,"0"),CONDUCTORES!$A$3:$H$54,6,0),"")</f>
        <v/>
      </c>
      <c r="R200" s="280" t="n"/>
      <c r="S200" s="280" t="n"/>
      <c r="T200" s="280" t="n"/>
      <c r="U200" s="280" t="n"/>
      <c r="V200" s="280" t="n"/>
      <c r="W200" s="280" t="n"/>
      <c r="X200" s="280" t="n"/>
      <c r="Y200" s="280" t="n"/>
      <c r="Z200" s="350" t="n"/>
      <c r="AA200" s="198" t="n"/>
      <c r="AB200" s="198" t="n"/>
      <c r="AC200" s="198" t="n"/>
    </row>
    <row r="201" ht="15" customHeight="1" s="195">
      <c r="A201" s="280" t="n"/>
      <c r="B201" s="280" t="n"/>
      <c r="C201" s="280" t="n"/>
      <c r="D201" s="280" t="n"/>
      <c r="E201" s="280" t="n"/>
      <c r="F201" s="280" t="n"/>
      <c r="G201" s="280" t="n"/>
      <c r="H201" s="280" t="n"/>
      <c r="I201" s="332">
        <f>IFERROR(VLOOKUP(TEXT(H201,"0"),IPRESS!$A$3:$B$212,2,0),"")</f>
        <v/>
      </c>
      <c r="J201" s="280" t="n"/>
      <c r="K201" s="343" t="n"/>
      <c r="L201" s="280" t="n"/>
      <c r="M201" s="280" t="n"/>
      <c r="N201" s="345" t="n"/>
      <c r="O201" s="280" t="n"/>
      <c r="P201" s="332">
        <f>IFERROR(VLOOKUP(TEXT(O201,"0"),CONDUCTORES!$A$3:$G$54,2,0),"")</f>
        <v/>
      </c>
      <c r="Q201" s="332">
        <f>IFERROR(VLOOKUP(TEXT(O201,"0"),CONDUCTORES!$A$3:$H$54,6,0),"")</f>
        <v/>
      </c>
      <c r="R201" s="280" t="n"/>
      <c r="S201" s="280" t="n"/>
      <c r="T201" s="280" t="n"/>
      <c r="U201" s="280" t="n"/>
      <c r="V201" s="280" t="n"/>
      <c r="W201" s="280" t="n"/>
      <c r="X201" s="280" t="n"/>
      <c r="Y201" s="280" t="n"/>
      <c r="Z201" s="350" t="n"/>
      <c r="AA201" s="198" t="n"/>
      <c r="AB201" s="198" t="n"/>
      <c r="AC201" s="198" t="n"/>
    </row>
    <row r="202" ht="15" customHeight="1" s="195">
      <c r="A202" s="280" t="n"/>
      <c r="B202" s="280" t="n"/>
      <c r="C202" s="280" t="n"/>
      <c r="D202" s="280" t="n"/>
      <c r="E202" s="280" t="n"/>
      <c r="F202" s="280" t="n"/>
      <c r="G202" s="280" t="n"/>
      <c r="H202" s="280" t="n"/>
      <c r="I202" s="332">
        <f>IFERROR(VLOOKUP(TEXT(H202,"0"),IPRESS!$A$3:$B$212,2,0),"")</f>
        <v/>
      </c>
      <c r="J202" s="280" t="n"/>
      <c r="K202" s="343" t="n"/>
      <c r="L202" s="280" t="n"/>
      <c r="M202" s="280" t="n"/>
      <c r="N202" s="345" t="n"/>
      <c r="O202" s="280" t="n"/>
      <c r="P202" s="332">
        <f>IFERROR(VLOOKUP(TEXT(O202,"0"),CONDUCTORES!$A$3:$G$54,2,0),"")</f>
        <v/>
      </c>
      <c r="Q202" s="332">
        <f>IFERROR(VLOOKUP(TEXT(O202,"0"),CONDUCTORES!$A$3:$H$54,6,0),"")</f>
        <v/>
      </c>
      <c r="R202" s="280" t="n"/>
      <c r="S202" s="280" t="n"/>
      <c r="T202" s="280" t="n"/>
      <c r="U202" s="280" t="n"/>
      <c r="V202" s="280" t="n"/>
      <c r="W202" s="280" t="n"/>
      <c r="X202" s="280" t="n"/>
      <c r="Y202" s="280" t="n"/>
      <c r="Z202" s="350" t="n"/>
      <c r="AA202" s="198" t="n"/>
      <c r="AB202" s="198" t="n"/>
      <c r="AC202" s="198" t="n"/>
    </row>
    <row r="203" ht="15" customHeight="1" s="195">
      <c r="A203" s="280" t="n"/>
      <c r="B203" s="280" t="n"/>
      <c r="C203" s="280" t="n"/>
      <c r="D203" s="280" t="n"/>
      <c r="E203" s="280" t="n"/>
      <c r="F203" s="280" t="n"/>
      <c r="G203" s="280" t="n"/>
      <c r="H203" s="280" t="n"/>
      <c r="I203" s="332">
        <f>IFERROR(VLOOKUP(TEXT(H203,"0"),IPRESS!$A$3:$B$212,2,0),"")</f>
        <v/>
      </c>
      <c r="J203" s="280" t="n"/>
      <c r="K203" s="343" t="n"/>
      <c r="L203" s="280" t="n"/>
      <c r="M203" s="280" t="n"/>
      <c r="N203" s="345" t="n"/>
      <c r="O203" s="280" t="n"/>
      <c r="P203" s="332">
        <f>IFERROR(VLOOKUP(TEXT(O203,"0"),CONDUCTORES!$A$3:$G$54,2,0),"")</f>
        <v/>
      </c>
      <c r="Q203" s="332">
        <f>IFERROR(VLOOKUP(TEXT(O203,"0"),CONDUCTORES!$A$3:$H$54,6,0),"")</f>
        <v/>
      </c>
      <c r="R203" s="280" t="n"/>
      <c r="S203" s="280" t="n"/>
      <c r="T203" s="280" t="n"/>
      <c r="U203" s="280" t="n"/>
      <c r="V203" s="280" t="n"/>
      <c r="W203" s="280" t="n"/>
      <c r="X203" s="280" t="n"/>
      <c r="Y203" s="280" t="n"/>
      <c r="Z203" s="350" t="n"/>
      <c r="AA203" s="198" t="n"/>
      <c r="AB203" s="198" t="n"/>
      <c r="AC203" s="198" t="n"/>
    </row>
    <row r="204" ht="15" customHeight="1" s="195">
      <c r="A204" s="280" t="n"/>
      <c r="B204" s="280" t="n"/>
      <c r="C204" s="280" t="n"/>
      <c r="D204" s="280" t="n"/>
      <c r="E204" s="280" t="n"/>
      <c r="F204" s="280" t="n"/>
      <c r="G204" s="280" t="n"/>
      <c r="H204" s="280" t="n"/>
      <c r="I204" s="332">
        <f>IFERROR(VLOOKUP(TEXT(H204,"0"),IPRESS!$A$3:$B$212,2,0),"")</f>
        <v/>
      </c>
      <c r="J204" s="280" t="n"/>
      <c r="K204" s="343" t="n"/>
      <c r="L204" s="280" t="n"/>
      <c r="M204" s="280" t="n"/>
      <c r="N204" s="345" t="n"/>
      <c r="O204" s="280" t="n"/>
      <c r="P204" s="332">
        <f>IFERROR(VLOOKUP(TEXT(O204,"0"),CONDUCTORES!$A$3:$G$54,2,0),"")</f>
        <v/>
      </c>
      <c r="Q204" s="332">
        <f>IFERROR(VLOOKUP(TEXT(O204,"0"),CONDUCTORES!$A$3:$H$54,6,0),"")</f>
        <v/>
      </c>
      <c r="R204" s="280" t="n"/>
      <c r="S204" s="280" t="n"/>
      <c r="T204" s="280" t="n"/>
      <c r="U204" s="280" t="n"/>
      <c r="V204" s="280" t="n"/>
      <c r="W204" s="280" t="n"/>
      <c r="X204" s="280" t="n"/>
      <c r="Y204" s="280" t="n"/>
      <c r="Z204" s="350" t="n"/>
      <c r="AA204" s="198" t="n"/>
      <c r="AB204" s="198" t="n"/>
      <c r="AC204" s="198" t="n"/>
    </row>
    <row r="205" ht="15" customHeight="1" s="195">
      <c r="A205" s="280" t="n"/>
      <c r="B205" s="280" t="n"/>
      <c r="C205" s="280" t="n"/>
      <c r="D205" s="280" t="n"/>
      <c r="E205" s="280" t="n"/>
      <c r="F205" s="280" t="n"/>
      <c r="G205" s="280" t="n"/>
      <c r="H205" s="280" t="n"/>
      <c r="I205" s="332">
        <f>IFERROR(VLOOKUP(TEXT(H205,"0"),IPRESS!$A$3:$B$212,2,0),"")</f>
        <v/>
      </c>
      <c r="J205" s="280" t="n"/>
      <c r="K205" s="343" t="n"/>
      <c r="L205" s="280" t="n"/>
      <c r="M205" s="280" t="n"/>
      <c r="N205" s="345" t="n"/>
      <c r="O205" s="280" t="n"/>
      <c r="P205" s="332">
        <f>IFERROR(VLOOKUP(TEXT(O205,"0"),CONDUCTORES!$A$3:$G$54,2,0),"")</f>
        <v/>
      </c>
      <c r="Q205" s="332">
        <f>IFERROR(VLOOKUP(TEXT(O205,"0"),CONDUCTORES!$A$3:$H$54,6,0),"")</f>
        <v/>
      </c>
      <c r="R205" s="280" t="n"/>
      <c r="S205" s="280" t="n"/>
      <c r="T205" s="280" t="n"/>
      <c r="U205" s="280" t="n"/>
      <c r="V205" s="280" t="n"/>
      <c r="W205" s="280" t="n"/>
      <c r="X205" s="280" t="n"/>
      <c r="Y205" s="280" t="n"/>
      <c r="Z205" s="350" t="n"/>
      <c r="AA205" s="198" t="n"/>
      <c r="AB205" s="198" t="n"/>
      <c r="AC205" s="198" t="n"/>
    </row>
    <row r="206" ht="15" customHeight="1" s="195">
      <c r="A206" s="280" t="n"/>
      <c r="B206" s="280" t="n"/>
      <c r="C206" s="280" t="n"/>
      <c r="D206" s="280" t="n"/>
      <c r="E206" s="280" t="n"/>
      <c r="F206" s="280" t="n"/>
      <c r="G206" s="280" t="n"/>
      <c r="H206" s="280" t="n"/>
      <c r="I206" s="332">
        <f>IFERROR(VLOOKUP(TEXT(H206,"0"),IPRESS!$A$3:$B$212,2,0),"")</f>
        <v/>
      </c>
      <c r="J206" s="280" t="n"/>
      <c r="K206" s="343" t="n"/>
      <c r="L206" s="280" t="n"/>
      <c r="M206" s="280" t="n"/>
      <c r="N206" s="345" t="n"/>
      <c r="O206" s="280" t="n"/>
      <c r="P206" s="332">
        <f>IFERROR(VLOOKUP(TEXT(O206,"0"),CONDUCTORES!$A$3:$G$54,2,0),"")</f>
        <v/>
      </c>
      <c r="Q206" s="332">
        <f>IFERROR(VLOOKUP(TEXT(O206,"0"),CONDUCTORES!$A$3:$H$54,6,0),"")</f>
        <v/>
      </c>
      <c r="R206" s="280" t="n"/>
      <c r="S206" s="280" t="n"/>
      <c r="T206" s="280" t="n"/>
      <c r="U206" s="280" t="n"/>
      <c r="V206" s="280" t="n"/>
      <c r="W206" s="280" t="n"/>
      <c r="X206" s="280" t="n"/>
      <c r="Y206" s="280" t="n"/>
      <c r="Z206" s="350" t="n"/>
      <c r="AA206" s="198" t="n"/>
      <c r="AB206" s="198" t="n"/>
      <c r="AC206" s="198" t="n"/>
    </row>
    <row r="207" ht="15" customHeight="1" s="195">
      <c r="A207" s="280" t="n"/>
      <c r="B207" s="280" t="n"/>
      <c r="C207" s="280" t="n"/>
      <c r="D207" s="280" t="n"/>
      <c r="E207" s="280" t="n"/>
      <c r="F207" s="280" t="n"/>
      <c r="G207" s="280" t="n"/>
      <c r="H207" s="280" t="n"/>
      <c r="I207" s="332">
        <f>IFERROR(VLOOKUP(TEXT(H207,"0"),IPRESS!$A$3:$B$212,2,0),"")</f>
        <v/>
      </c>
      <c r="J207" s="280" t="n"/>
      <c r="K207" s="343" t="n"/>
      <c r="L207" s="280" t="n"/>
      <c r="M207" s="280" t="n"/>
      <c r="N207" s="345" t="n"/>
      <c r="O207" s="280" t="n"/>
      <c r="P207" s="332">
        <f>IFERROR(VLOOKUP(TEXT(O207,"0"),CONDUCTORES!$A$3:$G$54,2,0),"")</f>
        <v/>
      </c>
      <c r="Q207" s="332">
        <f>IFERROR(VLOOKUP(TEXT(O207,"0"),CONDUCTORES!$A$3:$H$54,6,0),"")</f>
        <v/>
      </c>
      <c r="R207" s="280" t="n"/>
      <c r="S207" s="280" t="n"/>
      <c r="T207" s="280" t="n"/>
      <c r="U207" s="280" t="n"/>
      <c r="V207" s="280" t="n"/>
      <c r="W207" s="280" t="n"/>
      <c r="X207" s="280" t="n"/>
      <c r="Y207" s="280" t="n"/>
      <c r="Z207" s="350" t="n"/>
      <c r="AA207" s="198" t="n"/>
      <c r="AB207" s="198" t="n"/>
      <c r="AC207" s="198" t="n"/>
    </row>
    <row r="208" ht="15" customHeight="1" s="195">
      <c r="A208" s="280" t="n"/>
      <c r="B208" s="280" t="n"/>
      <c r="C208" s="280" t="n"/>
      <c r="D208" s="280" t="n"/>
      <c r="E208" s="280" t="n"/>
      <c r="F208" s="280" t="n"/>
      <c r="G208" s="280" t="n"/>
      <c r="H208" s="280" t="n"/>
      <c r="I208" s="332">
        <f>IFERROR(VLOOKUP(TEXT(H208,"0"),IPRESS!$A$3:$B$212,2,0),"")</f>
        <v/>
      </c>
      <c r="J208" s="280" t="n"/>
      <c r="K208" s="343" t="n"/>
      <c r="L208" s="280" t="n"/>
      <c r="M208" s="280" t="n"/>
      <c r="N208" s="345" t="n"/>
      <c r="O208" s="280" t="n"/>
      <c r="P208" s="332">
        <f>IFERROR(VLOOKUP(TEXT(O208,"0"),CONDUCTORES!$A$3:$G$54,2,0),"")</f>
        <v/>
      </c>
      <c r="Q208" s="332">
        <f>IFERROR(VLOOKUP(TEXT(O208,"0"),CONDUCTORES!$A$3:$H$54,6,0),"")</f>
        <v/>
      </c>
      <c r="R208" s="280" t="n"/>
      <c r="S208" s="280" t="n"/>
      <c r="T208" s="280" t="n"/>
      <c r="U208" s="280" t="n"/>
      <c r="V208" s="280" t="n"/>
      <c r="W208" s="280" t="n"/>
      <c r="X208" s="280" t="n"/>
      <c r="Y208" s="280" t="n"/>
      <c r="Z208" s="350" t="n"/>
      <c r="AA208" s="198" t="n"/>
      <c r="AB208" s="198" t="n"/>
      <c r="AC208" s="198" t="n"/>
    </row>
    <row r="209" ht="15" customHeight="1" s="195">
      <c r="A209" s="280" t="n"/>
      <c r="B209" s="280" t="n"/>
      <c r="C209" s="280" t="n"/>
      <c r="D209" s="280" t="n"/>
      <c r="E209" s="280" t="n"/>
      <c r="F209" s="280" t="n"/>
      <c r="G209" s="280" t="n"/>
      <c r="H209" s="280" t="n"/>
      <c r="I209" s="332">
        <f>IFERROR(VLOOKUP(TEXT(H209,"0"),IPRESS!$A$3:$B$212,2,0),"")</f>
        <v/>
      </c>
      <c r="J209" s="280" t="n"/>
      <c r="K209" s="343" t="n"/>
      <c r="L209" s="280" t="n"/>
      <c r="M209" s="280" t="n"/>
      <c r="N209" s="345" t="n"/>
      <c r="O209" s="280" t="n"/>
      <c r="P209" s="332">
        <f>IFERROR(VLOOKUP(TEXT(O209,"0"),CONDUCTORES!$A$3:$G$54,2,0),"")</f>
        <v/>
      </c>
      <c r="Q209" s="332">
        <f>IFERROR(VLOOKUP(TEXT(O209,"0"),CONDUCTORES!$A$3:$H$54,6,0),"")</f>
        <v/>
      </c>
      <c r="R209" s="280" t="n"/>
      <c r="S209" s="280" t="n"/>
      <c r="T209" s="280" t="n"/>
      <c r="U209" s="280" t="n"/>
      <c r="V209" s="280" t="n"/>
      <c r="W209" s="280" t="n"/>
      <c r="X209" s="280" t="n"/>
      <c r="Y209" s="280" t="n"/>
      <c r="Z209" s="350" t="n"/>
      <c r="AA209" s="198" t="n"/>
      <c r="AB209" s="198" t="n"/>
      <c r="AC209" s="198" t="n"/>
    </row>
    <row r="210" ht="15" customHeight="1" s="195">
      <c r="A210" s="280" t="n"/>
      <c r="B210" s="280" t="n"/>
      <c r="C210" s="280" t="n"/>
      <c r="D210" s="280" t="n"/>
      <c r="E210" s="280" t="n"/>
      <c r="F210" s="280" t="n"/>
      <c r="G210" s="280" t="n"/>
      <c r="H210" s="280" t="n"/>
      <c r="I210" s="332">
        <f>IFERROR(VLOOKUP(TEXT(H210,"0"),IPRESS!$A$3:$B$212,2,0),"")</f>
        <v/>
      </c>
      <c r="J210" s="280" t="n"/>
      <c r="K210" s="343" t="n"/>
      <c r="L210" s="280" t="n"/>
      <c r="M210" s="280" t="n"/>
      <c r="N210" s="345" t="n"/>
      <c r="O210" s="280" t="n"/>
      <c r="P210" s="332">
        <f>IFERROR(VLOOKUP(TEXT(O210,"0"),CONDUCTORES!$A$3:$G$54,2,0),"")</f>
        <v/>
      </c>
      <c r="Q210" s="332">
        <f>IFERROR(VLOOKUP(TEXT(O210,"0"),CONDUCTORES!$A$3:$H$54,6,0),"")</f>
        <v/>
      </c>
      <c r="R210" s="280" t="n"/>
      <c r="S210" s="280" t="n"/>
      <c r="T210" s="280" t="n"/>
      <c r="U210" s="280" t="n"/>
      <c r="V210" s="280" t="n"/>
      <c r="W210" s="280" t="n"/>
      <c r="X210" s="280" t="n"/>
      <c r="Y210" s="280" t="n"/>
      <c r="Z210" s="350" t="n"/>
      <c r="AA210" s="198" t="n"/>
      <c r="AB210" s="198" t="n"/>
      <c r="AC210" s="198" t="n"/>
    </row>
    <row r="211" ht="15" customHeight="1" s="195">
      <c r="A211" s="280" t="n"/>
      <c r="B211" s="280" t="n"/>
      <c r="C211" s="280" t="n"/>
      <c r="D211" s="280" t="n"/>
      <c r="E211" s="280" t="n"/>
      <c r="F211" s="280" t="n"/>
      <c r="G211" s="280" t="n"/>
      <c r="H211" s="280" t="n"/>
      <c r="I211" s="332">
        <f>IFERROR(VLOOKUP(TEXT(H211,"0"),IPRESS!$A$3:$B$212,2,0),"")</f>
        <v/>
      </c>
      <c r="J211" s="280" t="n"/>
      <c r="K211" s="343" t="n"/>
      <c r="L211" s="280" t="n"/>
      <c r="M211" s="280" t="n"/>
      <c r="N211" s="345" t="n"/>
      <c r="O211" s="280" t="n"/>
      <c r="P211" s="332">
        <f>IFERROR(VLOOKUP(TEXT(O211,"0"),CONDUCTORES!$A$3:$G$54,2,0),"")</f>
        <v/>
      </c>
      <c r="Q211" s="332">
        <f>IFERROR(VLOOKUP(TEXT(O211,"0"),CONDUCTORES!$A$3:$H$54,6,0),"")</f>
        <v/>
      </c>
      <c r="R211" s="280" t="n"/>
      <c r="S211" s="280" t="n"/>
      <c r="T211" s="280" t="n"/>
      <c r="U211" s="280" t="n"/>
      <c r="V211" s="280" t="n"/>
      <c r="W211" s="280" t="n"/>
      <c r="X211" s="280" t="n"/>
      <c r="Y211" s="280" t="n"/>
      <c r="Z211" s="350" t="n"/>
      <c r="AA211" s="198" t="n"/>
      <c r="AB211" s="198" t="n"/>
      <c r="AC211" s="198" t="n"/>
    </row>
    <row r="212" ht="15" customHeight="1" s="195">
      <c r="A212" s="280" t="n"/>
      <c r="B212" s="280" t="n"/>
      <c r="C212" s="280" t="n"/>
      <c r="D212" s="280" t="n"/>
      <c r="E212" s="280" t="n"/>
      <c r="F212" s="280" t="n"/>
      <c r="G212" s="280" t="n"/>
      <c r="H212" s="280" t="n"/>
      <c r="I212" s="332">
        <f>IFERROR(VLOOKUP(TEXT(H212,"0"),IPRESS!$A$3:$B$212,2,0),"")</f>
        <v/>
      </c>
      <c r="J212" s="280" t="n"/>
      <c r="K212" s="343" t="n"/>
      <c r="L212" s="280" t="n"/>
      <c r="M212" s="280" t="n"/>
      <c r="N212" s="345" t="n"/>
      <c r="O212" s="280" t="n"/>
      <c r="P212" s="332">
        <f>IFERROR(VLOOKUP(TEXT(O212,"0"),CONDUCTORES!$A$3:$G$54,2,0),"")</f>
        <v/>
      </c>
      <c r="Q212" s="332">
        <f>IFERROR(VLOOKUP(TEXT(O212,"0"),CONDUCTORES!$A$3:$H$54,6,0),"")</f>
        <v/>
      </c>
      <c r="R212" s="280" t="n"/>
      <c r="S212" s="280" t="n"/>
      <c r="T212" s="280" t="n"/>
      <c r="U212" s="280" t="n"/>
      <c r="V212" s="280" t="n"/>
      <c r="W212" s="280" t="n"/>
      <c r="X212" s="280" t="n"/>
      <c r="Y212" s="280" t="n"/>
      <c r="Z212" s="350" t="n"/>
      <c r="AA212" s="198" t="n"/>
      <c r="AB212" s="198" t="n"/>
      <c r="AC212" s="198" t="n"/>
    </row>
    <row r="213" ht="15" customHeight="1" s="195">
      <c r="A213" s="280" t="n"/>
      <c r="B213" s="280" t="n"/>
      <c r="C213" s="280" t="n"/>
      <c r="D213" s="280" t="n"/>
      <c r="E213" s="280" t="n"/>
      <c r="F213" s="280" t="n"/>
      <c r="G213" s="280" t="n"/>
      <c r="H213" s="280" t="n"/>
      <c r="I213" s="332">
        <f>IFERROR(VLOOKUP(TEXT(H213,"0"),IPRESS!$A$3:$B$212,2,0),"")</f>
        <v/>
      </c>
      <c r="J213" s="280" t="n"/>
      <c r="K213" s="343" t="n"/>
      <c r="L213" s="280" t="n"/>
      <c r="M213" s="280" t="n"/>
      <c r="N213" s="345" t="n"/>
      <c r="O213" s="280" t="n"/>
      <c r="P213" s="332">
        <f>IFERROR(VLOOKUP(TEXT(O213,"0"),CONDUCTORES!$A$3:$G$54,2,0),"")</f>
        <v/>
      </c>
      <c r="Q213" s="332">
        <f>IFERROR(VLOOKUP(TEXT(O213,"0"),CONDUCTORES!$A$3:$H$54,6,0),"")</f>
        <v/>
      </c>
      <c r="R213" s="280" t="n"/>
      <c r="S213" s="280" t="n"/>
      <c r="T213" s="280" t="n"/>
      <c r="U213" s="280" t="n"/>
      <c r="V213" s="280" t="n"/>
      <c r="W213" s="280" t="n"/>
      <c r="X213" s="280" t="n"/>
      <c r="Y213" s="280" t="n"/>
      <c r="Z213" s="350" t="n"/>
      <c r="AA213" s="198" t="n"/>
      <c r="AB213" s="198" t="n"/>
      <c r="AC213" s="198" t="n"/>
    </row>
    <row r="214" ht="15" customHeight="1" s="195">
      <c r="A214" s="280" t="n"/>
      <c r="B214" s="280" t="n"/>
      <c r="C214" s="280" t="n"/>
      <c r="D214" s="280" t="n"/>
      <c r="E214" s="280" t="n"/>
      <c r="F214" s="280" t="n"/>
      <c r="G214" s="280" t="n"/>
      <c r="H214" s="280" t="n"/>
      <c r="I214" s="332">
        <f>IFERROR(VLOOKUP(TEXT(H214,"0"),IPRESS!$A$3:$B$212,2,0),"")</f>
        <v/>
      </c>
      <c r="J214" s="280" t="n"/>
      <c r="K214" s="343" t="n"/>
      <c r="L214" s="280" t="n"/>
      <c r="M214" s="280" t="n"/>
      <c r="N214" s="345" t="n"/>
      <c r="O214" s="280" t="n"/>
      <c r="P214" s="332">
        <f>IFERROR(VLOOKUP(TEXT(O214,"0"),CONDUCTORES!$A$3:$G$54,2,0),"")</f>
        <v/>
      </c>
      <c r="Q214" s="332">
        <f>IFERROR(VLOOKUP(TEXT(O214,"0"),CONDUCTORES!$A$3:$H$54,6,0),"")</f>
        <v/>
      </c>
      <c r="R214" s="280" t="n"/>
      <c r="S214" s="280" t="n"/>
      <c r="T214" s="280" t="n"/>
      <c r="U214" s="280" t="n"/>
      <c r="V214" s="280" t="n"/>
      <c r="W214" s="280" t="n"/>
      <c r="X214" s="280" t="n"/>
      <c r="Y214" s="280" t="n"/>
      <c r="Z214" s="350" t="n"/>
      <c r="AA214" s="198" t="n"/>
      <c r="AB214" s="198" t="n"/>
      <c r="AC214" s="198" t="n"/>
    </row>
    <row r="215" ht="15" customHeight="1" s="195">
      <c r="A215" s="280" t="n"/>
      <c r="B215" s="280" t="n"/>
      <c r="C215" s="280" t="n"/>
      <c r="D215" s="280" t="n"/>
      <c r="E215" s="280" t="n"/>
      <c r="F215" s="280" t="n"/>
      <c r="G215" s="280" t="n"/>
      <c r="H215" s="280" t="n"/>
      <c r="I215" s="332">
        <f>IFERROR(VLOOKUP(TEXT(H215,"0"),IPRESS!$A$3:$B$212,2,0),"")</f>
        <v/>
      </c>
      <c r="J215" s="280" t="n"/>
      <c r="K215" s="343" t="n"/>
      <c r="L215" s="280" t="n"/>
      <c r="M215" s="280" t="n"/>
      <c r="N215" s="345" t="n"/>
      <c r="O215" s="280" t="n"/>
      <c r="P215" s="332">
        <f>IFERROR(VLOOKUP(TEXT(O215,"0"),CONDUCTORES!$A$3:$G$54,2,0),"")</f>
        <v/>
      </c>
      <c r="Q215" s="332">
        <f>IFERROR(VLOOKUP(TEXT(O215,"0"),CONDUCTORES!$A$3:$H$54,6,0),"")</f>
        <v/>
      </c>
      <c r="R215" s="280" t="n"/>
      <c r="S215" s="280" t="n"/>
      <c r="T215" s="280" t="n"/>
      <c r="U215" s="280" t="n"/>
      <c r="V215" s="280" t="n"/>
      <c r="W215" s="280" t="n"/>
      <c r="X215" s="280" t="n"/>
      <c r="Y215" s="280" t="n"/>
      <c r="Z215" s="350" t="n"/>
      <c r="AA215" s="198" t="n"/>
      <c r="AB215" s="198" t="n"/>
      <c r="AC215" s="198" t="n"/>
    </row>
    <row r="216" ht="15" customHeight="1" s="195">
      <c r="A216" s="280" t="n"/>
      <c r="B216" s="280" t="n"/>
      <c r="C216" s="280" t="n"/>
      <c r="D216" s="280" t="n"/>
      <c r="E216" s="280" t="n"/>
      <c r="F216" s="280" t="n"/>
      <c r="G216" s="280" t="n"/>
      <c r="H216" s="280" t="n"/>
      <c r="I216" s="332">
        <f>IFERROR(VLOOKUP(TEXT(H216,"0"),IPRESS!$A$3:$B$212,2,0),"")</f>
        <v/>
      </c>
      <c r="J216" s="280" t="n"/>
      <c r="K216" s="343" t="n"/>
      <c r="L216" s="280" t="n"/>
      <c r="M216" s="280" t="n"/>
      <c r="N216" s="345" t="n"/>
      <c r="O216" s="280" t="n"/>
      <c r="P216" s="332">
        <f>IFERROR(VLOOKUP(TEXT(O216,"0"),CONDUCTORES!$A$3:$G$54,2,0),"")</f>
        <v/>
      </c>
      <c r="Q216" s="332">
        <f>IFERROR(VLOOKUP(TEXT(O216,"0"),CONDUCTORES!$A$3:$H$54,6,0),"")</f>
        <v/>
      </c>
      <c r="R216" s="280" t="n"/>
      <c r="S216" s="280" t="n"/>
      <c r="T216" s="280" t="n"/>
      <c r="U216" s="280" t="n"/>
      <c r="V216" s="280" t="n"/>
      <c r="W216" s="280" t="n"/>
      <c r="X216" s="280" t="n"/>
      <c r="Y216" s="280" t="n"/>
      <c r="Z216" s="350" t="n"/>
      <c r="AA216" s="198" t="n"/>
      <c r="AB216" s="198" t="n"/>
      <c r="AC216" s="198" t="n"/>
    </row>
    <row r="217" ht="15" customHeight="1" s="195">
      <c r="A217" s="280" t="n"/>
      <c r="B217" s="280" t="n"/>
      <c r="C217" s="280" t="n"/>
      <c r="D217" s="280" t="n"/>
      <c r="E217" s="280" t="n"/>
      <c r="F217" s="280" t="n"/>
      <c r="G217" s="280" t="n"/>
      <c r="H217" s="280" t="n"/>
      <c r="I217" s="332">
        <f>IFERROR(VLOOKUP(TEXT(H217,"0"),IPRESS!$A$3:$B$212,2,0),"")</f>
        <v/>
      </c>
      <c r="J217" s="280" t="n"/>
      <c r="K217" s="343" t="n"/>
      <c r="L217" s="280" t="n"/>
      <c r="M217" s="280" t="n"/>
      <c r="N217" s="345" t="n"/>
      <c r="O217" s="280" t="n"/>
      <c r="P217" s="332">
        <f>IFERROR(VLOOKUP(TEXT(O217,"0"),CONDUCTORES!$A$3:$G$54,2,0),"")</f>
        <v/>
      </c>
      <c r="Q217" s="332">
        <f>IFERROR(VLOOKUP(TEXT(O217,"0"),CONDUCTORES!$A$3:$H$54,6,0),"")</f>
        <v/>
      </c>
      <c r="R217" s="280" t="n"/>
      <c r="S217" s="280" t="n"/>
      <c r="T217" s="280" t="n"/>
      <c r="U217" s="280" t="n"/>
      <c r="V217" s="280" t="n"/>
      <c r="W217" s="280" t="n"/>
      <c r="X217" s="280" t="n"/>
      <c r="Y217" s="280" t="n"/>
      <c r="Z217" s="350" t="n"/>
      <c r="AA217" s="198" t="n"/>
      <c r="AB217" s="198" t="n"/>
      <c r="AC217" s="198" t="n"/>
    </row>
    <row r="218" ht="15" customHeight="1" s="195">
      <c r="A218" s="280" t="n"/>
      <c r="B218" s="280" t="n"/>
      <c r="C218" s="280" t="n"/>
      <c r="D218" s="280" t="n"/>
      <c r="E218" s="280" t="n"/>
      <c r="F218" s="280" t="n"/>
      <c r="G218" s="280" t="n"/>
      <c r="H218" s="280" t="n"/>
      <c r="I218" s="332">
        <f>IFERROR(VLOOKUP(TEXT(H218,"0"),IPRESS!$A$3:$B$212,2,0),"")</f>
        <v/>
      </c>
      <c r="J218" s="280" t="n"/>
      <c r="K218" s="343" t="n"/>
      <c r="L218" s="280" t="n"/>
      <c r="M218" s="280" t="n"/>
      <c r="N218" s="345" t="n"/>
      <c r="O218" s="280" t="n"/>
      <c r="P218" s="332">
        <f>IFERROR(VLOOKUP(TEXT(O218,"0"),CONDUCTORES!$A$3:$G$54,2,0),"")</f>
        <v/>
      </c>
      <c r="Q218" s="332">
        <f>IFERROR(VLOOKUP(TEXT(O218,"0"),CONDUCTORES!$A$3:$H$54,6,0),"")</f>
        <v/>
      </c>
      <c r="R218" s="280" t="n"/>
      <c r="S218" s="280" t="n"/>
      <c r="T218" s="280" t="n"/>
      <c r="U218" s="280" t="n"/>
      <c r="V218" s="280" t="n"/>
      <c r="W218" s="280" t="n"/>
      <c r="X218" s="280" t="n"/>
      <c r="Y218" s="280" t="n"/>
      <c r="Z218" s="350" t="n"/>
      <c r="AA218" s="198" t="n"/>
      <c r="AB218" s="198" t="n"/>
      <c r="AC218" s="198" t="n"/>
    </row>
    <row r="219" ht="15" customHeight="1" s="195">
      <c r="A219" s="280" t="n"/>
      <c r="B219" s="280" t="n"/>
      <c r="C219" s="280" t="n"/>
      <c r="D219" s="280" t="n"/>
      <c r="E219" s="280" t="n"/>
      <c r="F219" s="280" t="n"/>
      <c r="G219" s="280" t="n"/>
      <c r="H219" s="280" t="n"/>
      <c r="I219" s="332">
        <f>IFERROR(VLOOKUP(TEXT(H219,"0"),IPRESS!$A$3:$B$212,2,0),"")</f>
        <v/>
      </c>
      <c r="J219" s="280" t="n"/>
      <c r="K219" s="343" t="n"/>
      <c r="L219" s="280" t="n"/>
      <c r="M219" s="280" t="n"/>
      <c r="N219" s="345" t="n"/>
      <c r="O219" s="280" t="n"/>
      <c r="P219" s="332">
        <f>IFERROR(VLOOKUP(TEXT(O219,"0"),CONDUCTORES!$A$3:$G$54,2,0),"")</f>
        <v/>
      </c>
      <c r="Q219" s="332">
        <f>IFERROR(VLOOKUP(TEXT(O219,"0"),CONDUCTORES!$A$3:$H$54,6,0),"")</f>
        <v/>
      </c>
      <c r="R219" s="280" t="n"/>
      <c r="S219" s="280" t="n"/>
      <c r="T219" s="280" t="n"/>
      <c r="U219" s="280" t="n"/>
      <c r="V219" s="280" t="n"/>
      <c r="W219" s="280" t="n"/>
      <c r="X219" s="280" t="n"/>
      <c r="Y219" s="280" t="n"/>
      <c r="Z219" s="350" t="n"/>
      <c r="AA219" s="198" t="n"/>
      <c r="AB219" s="198" t="n"/>
      <c r="AC219" s="198" t="n"/>
    </row>
    <row r="220" ht="15" customHeight="1" s="195">
      <c r="A220" s="280" t="n"/>
      <c r="B220" s="280" t="n"/>
      <c r="C220" s="280" t="n"/>
      <c r="D220" s="280" t="n"/>
      <c r="E220" s="280" t="n"/>
      <c r="F220" s="280" t="n"/>
      <c r="G220" s="280" t="n"/>
      <c r="H220" s="280" t="n"/>
      <c r="I220" s="332">
        <f>IFERROR(VLOOKUP(TEXT(H220,"0"),IPRESS!$A$3:$B$212,2,0),"")</f>
        <v/>
      </c>
      <c r="J220" s="280" t="n"/>
      <c r="K220" s="343" t="n"/>
      <c r="L220" s="280" t="n"/>
      <c r="M220" s="280" t="n"/>
      <c r="N220" s="345" t="n"/>
      <c r="O220" s="280" t="n"/>
      <c r="P220" s="332">
        <f>IFERROR(VLOOKUP(TEXT(O220,"0"),CONDUCTORES!$A$3:$G$54,2,0),"")</f>
        <v/>
      </c>
      <c r="Q220" s="332">
        <f>IFERROR(VLOOKUP(TEXT(O220,"0"),CONDUCTORES!$A$3:$H$54,6,0),"")</f>
        <v/>
      </c>
      <c r="R220" s="280" t="n"/>
      <c r="S220" s="280" t="n"/>
      <c r="T220" s="280" t="n"/>
      <c r="U220" s="280" t="n"/>
      <c r="V220" s="280" t="n"/>
      <c r="W220" s="280" t="n"/>
      <c r="X220" s="280" t="n"/>
      <c r="Y220" s="280" t="n"/>
      <c r="Z220" s="350" t="n"/>
      <c r="AA220" s="198" t="n"/>
      <c r="AB220" s="198" t="n"/>
      <c r="AC220" s="198" t="n"/>
    </row>
    <row r="221" ht="15" customHeight="1" s="195">
      <c r="A221" s="280" t="n"/>
      <c r="B221" s="280" t="n"/>
      <c r="C221" s="280" t="n"/>
      <c r="D221" s="280" t="n"/>
      <c r="E221" s="280" t="n"/>
      <c r="F221" s="280" t="n"/>
      <c r="G221" s="280" t="n"/>
      <c r="H221" s="280" t="n"/>
      <c r="I221" s="332">
        <f>IFERROR(VLOOKUP(TEXT(H221,"0"),IPRESS!$A$3:$B$212,2,0),"")</f>
        <v/>
      </c>
      <c r="J221" s="280" t="n"/>
      <c r="K221" s="343" t="n"/>
      <c r="L221" s="280" t="n"/>
      <c r="M221" s="280" t="n"/>
      <c r="N221" s="345" t="n"/>
      <c r="O221" s="280" t="n"/>
      <c r="P221" s="332">
        <f>IFERROR(VLOOKUP(TEXT(O221,"0"),CONDUCTORES!$A$3:$G$54,2,0),"")</f>
        <v/>
      </c>
      <c r="Q221" s="332">
        <f>IFERROR(VLOOKUP(TEXT(O221,"0"),CONDUCTORES!$A$3:$H$54,6,0),"")</f>
        <v/>
      </c>
      <c r="R221" s="280" t="n"/>
      <c r="S221" s="280" t="n"/>
      <c r="T221" s="280" t="n"/>
      <c r="U221" s="280" t="n"/>
      <c r="V221" s="280" t="n"/>
      <c r="W221" s="280" t="n"/>
      <c r="X221" s="280" t="n"/>
      <c r="Y221" s="280" t="n"/>
      <c r="Z221" s="350" t="n"/>
      <c r="AA221" s="198" t="n"/>
      <c r="AB221" s="198" t="n"/>
      <c r="AC221" s="198" t="n"/>
    </row>
    <row r="222" ht="15" customHeight="1" s="195">
      <c r="A222" s="280" t="n"/>
      <c r="B222" s="280" t="n"/>
      <c r="C222" s="280" t="n"/>
      <c r="D222" s="280" t="n"/>
      <c r="E222" s="280" t="n"/>
      <c r="F222" s="280" t="n"/>
      <c r="G222" s="280" t="n"/>
      <c r="H222" s="280" t="n"/>
      <c r="I222" s="332">
        <f>IFERROR(VLOOKUP(TEXT(H222,"0"),IPRESS!$A$3:$B$212,2,0),"")</f>
        <v/>
      </c>
      <c r="J222" s="280" t="n"/>
      <c r="K222" s="343" t="n"/>
      <c r="L222" s="280" t="n"/>
      <c r="M222" s="280" t="n"/>
      <c r="N222" s="345" t="n"/>
      <c r="O222" s="280" t="n"/>
      <c r="P222" s="332">
        <f>IFERROR(VLOOKUP(TEXT(O222,"0"),CONDUCTORES!$A$3:$G$54,2,0),"")</f>
        <v/>
      </c>
      <c r="Q222" s="332">
        <f>IFERROR(VLOOKUP(TEXT(O222,"0"),CONDUCTORES!$A$3:$H$54,6,0),"")</f>
        <v/>
      </c>
      <c r="R222" s="280" t="n"/>
      <c r="S222" s="280" t="n"/>
      <c r="T222" s="280" t="n"/>
      <c r="U222" s="280" t="n"/>
      <c r="V222" s="280" t="n"/>
      <c r="W222" s="280" t="n"/>
      <c r="X222" s="280" t="n"/>
      <c r="Y222" s="280" t="n"/>
      <c r="Z222" s="350" t="n"/>
      <c r="AA222" s="198" t="n"/>
      <c r="AB222" s="198" t="n"/>
      <c r="AC222" s="198" t="n"/>
    </row>
    <row r="223" ht="15" customHeight="1" s="195">
      <c r="A223" s="280" t="n"/>
      <c r="B223" s="280" t="n"/>
      <c r="C223" s="280" t="n"/>
      <c r="D223" s="280" t="n"/>
      <c r="E223" s="280" t="n"/>
      <c r="F223" s="280" t="n"/>
      <c r="G223" s="280" t="n"/>
      <c r="H223" s="280" t="n"/>
      <c r="I223" s="332">
        <f>IFERROR(VLOOKUP(TEXT(H223,"0"),IPRESS!$A$3:$B$212,2,0),"")</f>
        <v/>
      </c>
      <c r="J223" s="280" t="n"/>
      <c r="K223" s="343" t="n"/>
      <c r="L223" s="280" t="n"/>
      <c r="M223" s="280" t="n"/>
      <c r="N223" s="345" t="n"/>
      <c r="O223" s="280" t="n"/>
      <c r="P223" s="332">
        <f>IFERROR(VLOOKUP(TEXT(O223,"0"),CONDUCTORES!$A$3:$G$54,2,0),"")</f>
        <v/>
      </c>
      <c r="Q223" s="332">
        <f>IFERROR(VLOOKUP(TEXT(O223,"0"),CONDUCTORES!$A$3:$H$54,6,0),"")</f>
        <v/>
      </c>
      <c r="R223" s="280" t="n"/>
      <c r="S223" s="280" t="n"/>
      <c r="T223" s="280" t="n"/>
      <c r="U223" s="280" t="n"/>
      <c r="V223" s="280" t="n"/>
      <c r="W223" s="280" t="n"/>
      <c r="X223" s="280" t="n"/>
      <c r="Y223" s="280" t="n"/>
      <c r="Z223" s="350" t="n"/>
      <c r="AA223" s="198" t="n"/>
      <c r="AB223" s="198" t="n"/>
      <c r="AC223" s="198" t="n"/>
    </row>
    <row r="224" ht="15" customHeight="1" s="195">
      <c r="A224" s="280" t="n"/>
      <c r="B224" s="280" t="n"/>
      <c r="C224" s="280" t="n"/>
      <c r="D224" s="280" t="n"/>
      <c r="E224" s="280" t="n"/>
      <c r="F224" s="280" t="n"/>
      <c r="G224" s="280" t="n"/>
      <c r="H224" s="280" t="n"/>
      <c r="I224" s="332">
        <f>IFERROR(VLOOKUP(TEXT(H224,"0"),IPRESS!$A$3:$B$212,2,0),"")</f>
        <v/>
      </c>
      <c r="J224" s="280" t="n"/>
      <c r="K224" s="343" t="n"/>
      <c r="L224" s="280" t="n"/>
      <c r="M224" s="280" t="n"/>
      <c r="N224" s="345" t="n"/>
      <c r="O224" s="280" t="n"/>
      <c r="P224" s="332">
        <f>IFERROR(VLOOKUP(TEXT(O224,"0"),CONDUCTORES!$A$3:$G$54,2,0),"")</f>
        <v/>
      </c>
      <c r="Q224" s="332">
        <f>IFERROR(VLOOKUP(TEXT(O224,"0"),CONDUCTORES!$A$3:$H$54,6,0),"")</f>
        <v/>
      </c>
      <c r="R224" s="280" t="n"/>
      <c r="S224" s="280" t="n"/>
      <c r="T224" s="280" t="n"/>
      <c r="U224" s="280" t="n"/>
      <c r="V224" s="280" t="n"/>
      <c r="W224" s="280" t="n"/>
      <c r="X224" s="280" t="n"/>
      <c r="Y224" s="280" t="n"/>
      <c r="Z224" s="350" t="n"/>
      <c r="AA224" s="198" t="n"/>
      <c r="AB224" s="198" t="n"/>
      <c r="AC224" s="198" t="n"/>
    </row>
    <row r="225" ht="15" customHeight="1" s="195">
      <c r="A225" s="280" t="n"/>
      <c r="B225" s="280" t="n"/>
      <c r="C225" s="280" t="n"/>
      <c r="D225" s="280" t="n"/>
      <c r="E225" s="280" t="n"/>
      <c r="F225" s="280" t="n"/>
      <c r="G225" s="280" t="n"/>
      <c r="H225" s="280" t="n"/>
      <c r="I225" s="332">
        <f>IFERROR(VLOOKUP(TEXT(H225,"0"),IPRESS!$A$3:$B$212,2,0),"")</f>
        <v/>
      </c>
      <c r="J225" s="280" t="n"/>
      <c r="K225" s="343" t="n"/>
      <c r="L225" s="280" t="n"/>
      <c r="M225" s="280" t="n"/>
      <c r="N225" s="345" t="n"/>
      <c r="O225" s="280" t="n"/>
      <c r="P225" s="332">
        <f>IFERROR(VLOOKUP(TEXT(O225,"0"),CONDUCTORES!$A$3:$G$54,2,0),"")</f>
        <v/>
      </c>
      <c r="Q225" s="332">
        <f>IFERROR(VLOOKUP(TEXT(O225,"0"),CONDUCTORES!$A$3:$H$54,6,0),"")</f>
        <v/>
      </c>
      <c r="R225" s="280" t="n"/>
      <c r="S225" s="280" t="n"/>
      <c r="T225" s="280" t="n"/>
      <c r="U225" s="280" t="n"/>
      <c r="V225" s="280" t="n"/>
      <c r="W225" s="280" t="n"/>
      <c r="X225" s="280" t="n"/>
      <c r="Y225" s="280" t="n"/>
      <c r="Z225" s="350" t="n"/>
      <c r="AA225" s="198" t="n"/>
      <c r="AB225" s="198" t="n"/>
      <c r="AC225" s="198" t="n"/>
    </row>
    <row r="226" ht="15" customHeight="1" s="195">
      <c r="A226" s="280" t="n"/>
      <c r="B226" s="280" t="n"/>
      <c r="C226" s="280" t="n"/>
      <c r="D226" s="280" t="n"/>
      <c r="E226" s="280" t="n"/>
      <c r="F226" s="280" t="n"/>
      <c r="G226" s="280" t="n"/>
      <c r="H226" s="280" t="n"/>
      <c r="I226" s="332">
        <f>IFERROR(VLOOKUP(TEXT(H226,"0"),IPRESS!$A$3:$B$212,2,0),"")</f>
        <v/>
      </c>
      <c r="J226" s="280" t="n"/>
      <c r="K226" s="343" t="n"/>
      <c r="L226" s="280" t="n"/>
      <c r="M226" s="280" t="n"/>
      <c r="N226" s="345" t="n"/>
      <c r="O226" s="280" t="n"/>
      <c r="P226" s="332">
        <f>IFERROR(VLOOKUP(TEXT(O226,"0"),CONDUCTORES!$A$3:$G$54,2,0),"")</f>
        <v/>
      </c>
      <c r="Q226" s="332">
        <f>IFERROR(VLOOKUP(TEXT(O226,"0"),CONDUCTORES!$A$3:$H$54,6,0),"")</f>
        <v/>
      </c>
      <c r="R226" s="280" t="n"/>
      <c r="S226" s="280" t="n"/>
      <c r="T226" s="280" t="n"/>
      <c r="U226" s="280" t="n"/>
      <c r="V226" s="280" t="n"/>
      <c r="W226" s="280" t="n"/>
      <c r="X226" s="280" t="n"/>
      <c r="Y226" s="280" t="n"/>
      <c r="Z226" s="350" t="n"/>
      <c r="AA226" s="198" t="n"/>
      <c r="AB226" s="198" t="n"/>
      <c r="AC226" s="198" t="n"/>
    </row>
    <row r="227" ht="15" customHeight="1" s="195">
      <c r="A227" s="280" t="n"/>
      <c r="B227" s="280" t="n"/>
      <c r="C227" s="280" t="n"/>
      <c r="D227" s="280" t="n"/>
      <c r="E227" s="280" t="n"/>
      <c r="F227" s="280" t="n"/>
      <c r="G227" s="280" t="n"/>
      <c r="H227" s="280" t="n"/>
      <c r="I227" s="332">
        <f>IFERROR(VLOOKUP(TEXT(H227,"0"),IPRESS!$A$3:$B$212,2,0),"")</f>
        <v/>
      </c>
      <c r="J227" s="280" t="n"/>
      <c r="K227" s="343" t="n"/>
      <c r="L227" s="280" t="n"/>
      <c r="M227" s="280" t="n"/>
      <c r="N227" s="345" t="n"/>
      <c r="O227" s="280" t="n"/>
      <c r="P227" s="332">
        <f>IFERROR(VLOOKUP(TEXT(O227,"0"),CONDUCTORES!$A$3:$G$54,2,0),"")</f>
        <v/>
      </c>
      <c r="Q227" s="332">
        <f>IFERROR(VLOOKUP(TEXT(O227,"0"),CONDUCTORES!$A$3:$H$54,6,0),"")</f>
        <v/>
      </c>
      <c r="R227" s="280" t="n"/>
      <c r="S227" s="280" t="n"/>
      <c r="T227" s="280" t="n"/>
      <c r="U227" s="280" t="n"/>
      <c r="V227" s="280" t="n"/>
      <c r="W227" s="280" t="n"/>
      <c r="X227" s="280" t="n"/>
      <c r="Y227" s="280" t="n"/>
      <c r="Z227" s="350" t="n"/>
      <c r="AA227" s="198" t="n"/>
      <c r="AB227" s="198" t="n"/>
      <c r="AC227" s="198" t="n"/>
    </row>
    <row r="228" ht="15" customHeight="1" s="195">
      <c r="A228" s="280" t="n"/>
      <c r="B228" s="280" t="n"/>
      <c r="C228" s="280" t="n"/>
      <c r="D228" s="280" t="n"/>
      <c r="E228" s="280" t="n"/>
      <c r="F228" s="280" t="n"/>
      <c r="G228" s="280" t="n"/>
      <c r="H228" s="280" t="n"/>
      <c r="I228" s="332">
        <f>IFERROR(VLOOKUP(TEXT(H228,"0"),IPRESS!$A$3:$B$212,2,0),"")</f>
        <v/>
      </c>
      <c r="J228" s="280" t="n"/>
      <c r="K228" s="343" t="n"/>
      <c r="L228" s="280" t="n"/>
      <c r="M228" s="280" t="n"/>
      <c r="N228" s="345" t="n"/>
      <c r="O228" s="280" t="n"/>
      <c r="P228" s="332">
        <f>IFERROR(VLOOKUP(TEXT(O228,"0"),CONDUCTORES!$A$3:$G$54,2,0),"")</f>
        <v/>
      </c>
      <c r="Q228" s="332">
        <f>IFERROR(VLOOKUP(TEXT(O228,"0"),CONDUCTORES!$A$3:$H$54,6,0),"")</f>
        <v/>
      </c>
      <c r="R228" s="280" t="n"/>
      <c r="S228" s="280" t="n"/>
      <c r="T228" s="280" t="n"/>
      <c r="U228" s="280" t="n"/>
      <c r="V228" s="280" t="n"/>
      <c r="W228" s="280" t="n"/>
      <c r="X228" s="280" t="n"/>
      <c r="Y228" s="280" t="n"/>
      <c r="Z228" s="350" t="n"/>
      <c r="AA228" s="198" t="n"/>
      <c r="AB228" s="198" t="n"/>
      <c r="AC228" s="198" t="n"/>
    </row>
    <row r="229" ht="15" customHeight="1" s="195">
      <c r="A229" s="280" t="n"/>
      <c r="B229" s="280" t="n"/>
      <c r="C229" s="280" t="n"/>
      <c r="D229" s="280" t="n"/>
      <c r="E229" s="280" t="n"/>
      <c r="F229" s="280" t="n"/>
      <c r="G229" s="280" t="n"/>
      <c r="H229" s="280" t="n"/>
      <c r="I229" s="332">
        <f>IFERROR(VLOOKUP(TEXT(H229,"0"),IPRESS!$A$3:$B$212,2,0),"")</f>
        <v/>
      </c>
      <c r="J229" s="280" t="n"/>
      <c r="K229" s="343" t="n"/>
      <c r="L229" s="280" t="n"/>
      <c r="M229" s="280" t="n"/>
      <c r="N229" s="345" t="n"/>
      <c r="O229" s="280" t="n"/>
      <c r="P229" s="332">
        <f>IFERROR(VLOOKUP(TEXT(O229,"0"),CONDUCTORES!$A$3:$G$54,2,0),"")</f>
        <v/>
      </c>
      <c r="Q229" s="332">
        <f>IFERROR(VLOOKUP(TEXT(O229,"0"),CONDUCTORES!$A$3:$H$54,6,0),"")</f>
        <v/>
      </c>
      <c r="R229" s="280" t="n"/>
      <c r="S229" s="280" t="n"/>
      <c r="T229" s="280" t="n"/>
      <c r="U229" s="280" t="n"/>
      <c r="V229" s="280" t="n"/>
      <c r="W229" s="280" t="n"/>
      <c r="X229" s="280" t="n"/>
      <c r="Y229" s="280" t="n"/>
      <c r="Z229" s="350" t="n"/>
      <c r="AA229" s="198" t="n"/>
      <c r="AB229" s="198" t="n"/>
      <c r="AC229" s="198" t="n"/>
    </row>
    <row r="230" ht="15" customHeight="1" s="195">
      <c r="A230" s="280" t="n"/>
      <c r="B230" s="280" t="n"/>
      <c r="C230" s="280" t="n"/>
      <c r="D230" s="280" t="n"/>
      <c r="E230" s="280" t="n"/>
      <c r="F230" s="280" t="n"/>
      <c r="G230" s="280" t="n"/>
      <c r="H230" s="280" t="n"/>
      <c r="I230" s="332">
        <f>IFERROR(VLOOKUP(TEXT(H230,"0"),IPRESS!$A$3:$B$212,2,0),"")</f>
        <v/>
      </c>
      <c r="J230" s="280" t="n"/>
      <c r="K230" s="343" t="n"/>
      <c r="L230" s="280" t="n"/>
      <c r="M230" s="280" t="n"/>
      <c r="N230" s="345" t="n"/>
      <c r="O230" s="280" t="n"/>
      <c r="P230" s="332">
        <f>IFERROR(VLOOKUP(TEXT(O230,"0"),CONDUCTORES!$A$3:$G$54,2,0),"")</f>
        <v/>
      </c>
      <c r="Q230" s="332">
        <f>IFERROR(VLOOKUP(TEXT(O230,"0"),CONDUCTORES!$A$3:$H$54,6,0),"")</f>
        <v/>
      </c>
      <c r="R230" s="280" t="n"/>
      <c r="S230" s="280" t="n"/>
      <c r="T230" s="280" t="n"/>
      <c r="U230" s="280" t="n"/>
      <c r="V230" s="280" t="n"/>
      <c r="W230" s="280" t="n"/>
      <c r="X230" s="280" t="n"/>
      <c r="Y230" s="280" t="n"/>
      <c r="Z230" s="350" t="n"/>
      <c r="AA230" s="198" t="n"/>
      <c r="AB230" s="198" t="n"/>
      <c r="AC230" s="198" t="n"/>
    </row>
    <row r="231" ht="15" customHeight="1" s="195">
      <c r="A231" s="280" t="n"/>
      <c r="B231" s="280" t="n"/>
      <c r="C231" s="280" t="n"/>
      <c r="D231" s="280" t="n"/>
      <c r="E231" s="280" t="n"/>
      <c r="F231" s="280" t="n"/>
      <c r="G231" s="280" t="n"/>
      <c r="H231" s="280" t="n"/>
      <c r="I231" s="332">
        <f>IFERROR(VLOOKUP(TEXT(H231,"0"),IPRESS!$A$3:$B$212,2,0),"")</f>
        <v/>
      </c>
      <c r="J231" s="280" t="n"/>
      <c r="K231" s="343" t="n"/>
      <c r="L231" s="280" t="n"/>
      <c r="M231" s="280" t="n"/>
      <c r="N231" s="345" t="n"/>
      <c r="O231" s="280" t="n"/>
      <c r="P231" s="332">
        <f>IFERROR(VLOOKUP(TEXT(O231,"0"),CONDUCTORES!$A$3:$G$54,2,0),"")</f>
        <v/>
      </c>
      <c r="Q231" s="332">
        <f>IFERROR(VLOOKUP(TEXT(O231,"0"),CONDUCTORES!$A$3:$H$54,6,0),"")</f>
        <v/>
      </c>
      <c r="R231" s="280" t="n"/>
      <c r="S231" s="280" t="n"/>
      <c r="T231" s="280" t="n"/>
      <c r="U231" s="280" t="n"/>
      <c r="V231" s="280" t="n"/>
      <c r="W231" s="280" t="n"/>
      <c r="X231" s="280" t="n"/>
      <c r="Y231" s="280" t="n"/>
      <c r="Z231" s="350" t="n"/>
      <c r="AA231" s="198" t="n"/>
      <c r="AB231" s="198" t="n"/>
      <c r="AC231" s="198" t="n"/>
    </row>
    <row r="232" ht="15" customHeight="1" s="195">
      <c r="A232" s="280" t="n"/>
      <c r="B232" s="280" t="n"/>
      <c r="C232" s="280" t="n"/>
      <c r="D232" s="280" t="n"/>
      <c r="E232" s="280" t="n"/>
      <c r="F232" s="280" t="n"/>
      <c r="G232" s="280" t="n"/>
      <c r="H232" s="280" t="n"/>
      <c r="I232" s="332">
        <f>IFERROR(VLOOKUP(TEXT(H232,"0"),IPRESS!$A$3:$B$212,2,0),"")</f>
        <v/>
      </c>
      <c r="J232" s="280" t="n"/>
      <c r="K232" s="343" t="n"/>
      <c r="L232" s="280" t="n"/>
      <c r="M232" s="280" t="n"/>
      <c r="N232" s="345" t="n"/>
      <c r="O232" s="280" t="n"/>
      <c r="P232" s="332">
        <f>IFERROR(VLOOKUP(TEXT(O232,"0"),CONDUCTORES!$A$3:$G$54,2,0),"")</f>
        <v/>
      </c>
      <c r="Q232" s="332">
        <f>IFERROR(VLOOKUP(TEXT(O232,"0"),CONDUCTORES!$A$3:$H$54,6,0),"")</f>
        <v/>
      </c>
      <c r="R232" s="280" t="n"/>
      <c r="S232" s="280" t="n"/>
      <c r="T232" s="280" t="n"/>
      <c r="U232" s="280" t="n"/>
      <c r="V232" s="280" t="n"/>
      <c r="W232" s="280" t="n"/>
      <c r="X232" s="280" t="n"/>
      <c r="Y232" s="280" t="n"/>
      <c r="Z232" s="350" t="n"/>
      <c r="AA232" s="198" t="n"/>
      <c r="AB232" s="198" t="n"/>
      <c r="AC232" s="198" t="n"/>
    </row>
    <row r="233" ht="15" customHeight="1" s="195">
      <c r="A233" s="280" t="n"/>
      <c r="B233" s="280" t="n"/>
      <c r="C233" s="280" t="n"/>
      <c r="D233" s="280" t="n"/>
      <c r="E233" s="280" t="n"/>
      <c r="F233" s="280" t="n"/>
      <c r="G233" s="280" t="n"/>
      <c r="H233" s="280" t="n"/>
      <c r="I233" s="332">
        <f>IFERROR(VLOOKUP(TEXT(H233,"0"),IPRESS!$A$3:$B$212,2,0),"")</f>
        <v/>
      </c>
      <c r="J233" s="280" t="n"/>
      <c r="K233" s="343" t="n"/>
      <c r="L233" s="280" t="n"/>
      <c r="M233" s="280" t="n"/>
      <c r="N233" s="345" t="n"/>
      <c r="O233" s="280" t="n"/>
      <c r="P233" s="332">
        <f>IFERROR(VLOOKUP(TEXT(O233,"0"),CONDUCTORES!$A$3:$G$54,2,0),"")</f>
        <v/>
      </c>
      <c r="Q233" s="332">
        <f>IFERROR(VLOOKUP(TEXT(O233,"0"),CONDUCTORES!$A$3:$H$54,6,0),"")</f>
        <v/>
      </c>
      <c r="R233" s="280" t="n"/>
      <c r="S233" s="280" t="n"/>
      <c r="T233" s="280" t="n"/>
      <c r="U233" s="280" t="n"/>
      <c r="V233" s="280" t="n"/>
      <c r="W233" s="280" t="n"/>
      <c r="X233" s="280" t="n"/>
      <c r="Y233" s="280" t="n"/>
      <c r="Z233" s="350" t="n"/>
      <c r="AA233" s="198" t="n"/>
      <c r="AB233" s="198" t="n"/>
      <c r="AC233" s="198" t="n"/>
    </row>
    <row r="234" ht="15" customHeight="1" s="195">
      <c r="A234" s="280" t="n"/>
      <c r="B234" s="280" t="n"/>
      <c r="C234" s="280" t="n"/>
      <c r="D234" s="280" t="n"/>
      <c r="E234" s="280" t="n"/>
      <c r="F234" s="280" t="n"/>
      <c r="G234" s="280" t="n"/>
      <c r="H234" s="280" t="n"/>
      <c r="I234" s="332">
        <f>IFERROR(VLOOKUP(TEXT(H234,"0"),IPRESS!$A$3:$B$212,2,0),"")</f>
        <v/>
      </c>
      <c r="J234" s="280" t="n"/>
      <c r="K234" s="343" t="n"/>
      <c r="L234" s="280" t="n"/>
      <c r="M234" s="280" t="n"/>
      <c r="N234" s="345" t="n"/>
      <c r="O234" s="280" t="n"/>
      <c r="P234" s="332">
        <f>IFERROR(VLOOKUP(TEXT(O234,"0"),CONDUCTORES!$A$3:$G$54,2,0),"")</f>
        <v/>
      </c>
      <c r="Q234" s="332">
        <f>IFERROR(VLOOKUP(TEXT(O234,"0"),CONDUCTORES!$A$3:$H$54,6,0),"")</f>
        <v/>
      </c>
      <c r="R234" s="280" t="n"/>
      <c r="S234" s="280" t="n"/>
      <c r="T234" s="280" t="n"/>
      <c r="U234" s="280" t="n"/>
      <c r="V234" s="280" t="n"/>
      <c r="W234" s="280" t="n"/>
      <c r="X234" s="280" t="n"/>
      <c r="Y234" s="280" t="n"/>
      <c r="Z234" s="350" t="n"/>
      <c r="AA234" s="198" t="n"/>
      <c r="AB234" s="198" t="n"/>
      <c r="AC234" s="198" t="n"/>
    </row>
    <row r="235" ht="15" customHeight="1" s="195">
      <c r="A235" s="280" t="n"/>
      <c r="B235" s="280" t="n"/>
      <c r="C235" s="280" t="n"/>
      <c r="D235" s="280" t="n"/>
      <c r="E235" s="280" t="n"/>
      <c r="F235" s="280" t="n"/>
      <c r="G235" s="280" t="n"/>
      <c r="H235" s="280" t="n"/>
      <c r="I235" s="332">
        <f>IFERROR(VLOOKUP(TEXT(H235,"0"),IPRESS!$A$3:$B$212,2,0),"")</f>
        <v/>
      </c>
      <c r="J235" s="280" t="n"/>
      <c r="K235" s="343" t="n"/>
      <c r="L235" s="280" t="n"/>
      <c r="M235" s="280" t="n"/>
      <c r="N235" s="345" t="n"/>
      <c r="O235" s="280" t="n"/>
      <c r="P235" s="332">
        <f>IFERROR(VLOOKUP(TEXT(O235,"0"),CONDUCTORES!$A$3:$G$54,2,0),"")</f>
        <v/>
      </c>
      <c r="Q235" s="332">
        <f>IFERROR(VLOOKUP(TEXT(O235,"0"),CONDUCTORES!$A$3:$H$54,6,0),"")</f>
        <v/>
      </c>
      <c r="R235" s="280" t="n"/>
      <c r="S235" s="280" t="n"/>
      <c r="T235" s="280" t="n"/>
      <c r="U235" s="280" t="n"/>
      <c r="V235" s="280" t="n"/>
      <c r="W235" s="280" t="n"/>
      <c r="X235" s="280" t="n"/>
      <c r="Y235" s="280" t="n"/>
      <c r="Z235" s="350" t="n"/>
      <c r="AA235" s="198" t="n"/>
      <c r="AB235" s="198" t="n"/>
      <c r="AC235" s="198" t="n"/>
    </row>
    <row r="236" ht="15" customHeight="1" s="195">
      <c r="A236" s="280" t="n"/>
      <c r="B236" s="280" t="n"/>
      <c r="C236" s="280" t="n"/>
      <c r="D236" s="280" t="n"/>
      <c r="E236" s="280" t="n"/>
      <c r="F236" s="280" t="n"/>
      <c r="G236" s="280" t="n"/>
      <c r="H236" s="280" t="n"/>
      <c r="I236" s="332">
        <f>IFERROR(VLOOKUP(TEXT(H236,"0"),IPRESS!$A$3:$B$212,2,0),"")</f>
        <v/>
      </c>
      <c r="J236" s="280" t="n"/>
      <c r="K236" s="343" t="n"/>
      <c r="L236" s="280" t="n"/>
      <c r="M236" s="280" t="n"/>
      <c r="N236" s="345" t="n"/>
      <c r="O236" s="280" t="n"/>
      <c r="P236" s="332">
        <f>IFERROR(VLOOKUP(TEXT(O236,"0"),CONDUCTORES!$A$3:$G$54,2,0),"")</f>
        <v/>
      </c>
      <c r="Q236" s="332">
        <f>IFERROR(VLOOKUP(TEXT(O236,"0"),CONDUCTORES!$A$3:$H$54,6,0),"")</f>
        <v/>
      </c>
      <c r="R236" s="280" t="n"/>
      <c r="S236" s="280" t="n"/>
      <c r="T236" s="280" t="n"/>
      <c r="U236" s="280" t="n"/>
      <c r="V236" s="280" t="n"/>
      <c r="W236" s="280" t="n"/>
      <c r="X236" s="280" t="n"/>
      <c r="Y236" s="280" t="n"/>
      <c r="Z236" s="350" t="n"/>
      <c r="AA236" s="198" t="n"/>
      <c r="AB236" s="198" t="n"/>
      <c r="AC236" s="198" t="n"/>
    </row>
    <row r="237" ht="15" customHeight="1" s="195">
      <c r="A237" s="280" t="n"/>
      <c r="B237" s="280" t="n"/>
      <c r="C237" s="280" t="n"/>
      <c r="D237" s="280" t="n"/>
      <c r="E237" s="280" t="n"/>
      <c r="F237" s="280" t="n"/>
      <c r="G237" s="280" t="n"/>
      <c r="H237" s="280" t="n"/>
      <c r="I237" s="332">
        <f>IFERROR(VLOOKUP(TEXT(H237,"0"),IPRESS!$A$3:$B$212,2,0),"")</f>
        <v/>
      </c>
      <c r="J237" s="280" t="n"/>
      <c r="K237" s="343" t="n"/>
      <c r="L237" s="280" t="n"/>
      <c r="M237" s="280" t="n"/>
      <c r="N237" s="345" t="n"/>
      <c r="O237" s="280" t="n"/>
      <c r="P237" s="332">
        <f>IFERROR(VLOOKUP(TEXT(O237,"0"),CONDUCTORES!$A$3:$G$54,2,0),"")</f>
        <v/>
      </c>
      <c r="Q237" s="332">
        <f>IFERROR(VLOOKUP(TEXT(O237,"0"),CONDUCTORES!$A$3:$H$54,6,0),"")</f>
        <v/>
      </c>
      <c r="R237" s="280" t="n"/>
      <c r="S237" s="280" t="n"/>
      <c r="T237" s="280" t="n"/>
      <c r="U237" s="280" t="n"/>
      <c r="V237" s="280" t="n"/>
      <c r="W237" s="280" t="n"/>
      <c r="X237" s="280" t="n"/>
      <c r="Y237" s="280" t="n"/>
      <c r="Z237" s="350" t="n"/>
      <c r="AA237" s="198" t="n"/>
      <c r="AB237" s="198" t="n"/>
      <c r="AC237" s="198" t="n"/>
    </row>
    <row r="238" ht="15" customHeight="1" s="195">
      <c r="A238" s="280" t="n"/>
      <c r="B238" s="280" t="n"/>
      <c r="C238" s="280" t="n"/>
      <c r="D238" s="280" t="n"/>
      <c r="E238" s="280" t="n"/>
      <c r="F238" s="280" t="n"/>
      <c r="G238" s="280" t="n"/>
      <c r="H238" s="280" t="n"/>
      <c r="I238" s="332">
        <f>IFERROR(VLOOKUP(TEXT(H238,"0"),IPRESS!$A$3:$B$212,2,0),"")</f>
        <v/>
      </c>
      <c r="J238" s="280" t="n"/>
      <c r="K238" s="343" t="n"/>
      <c r="L238" s="280" t="n"/>
      <c r="M238" s="280" t="n"/>
      <c r="N238" s="345" t="n"/>
      <c r="O238" s="280" t="n"/>
      <c r="P238" s="332">
        <f>IFERROR(VLOOKUP(TEXT(O238,"0"),CONDUCTORES!$A$3:$G$54,2,0),"")</f>
        <v/>
      </c>
      <c r="Q238" s="332">
        <f>IFERROR(VLOOKUP(TEXT(O238,"0"),CONDUCTORES!$A$3:$H$54,6,0),"")</f>
        <v/>
      </c>
      <c r="R238" s="280" t="n"/>
      <c r="S238" s="280" t="n"/>
      <c r="T238" s="280" t="n"/>
      <c r="U238" s="280" t="n"/>
      <c r="V238" s="280" t="n"/>
      <c r="W238" s="280" t="n"/>
      <c r="X238" s="280" t="n"/>
      <c r="Y238" s="280" t="n"/>
      <c r="Z238" s="350" t="n"/>
      <c r="AA238" s="198" t="n"/>
      <c r="AB238" s="198" t="n"/>
      <c r="AC238" s="198" t="n"/>
    </row>
    <row r="239" ht="15" customHeight="1" s="195">
      <c r="A239" s="280" t="n"/>
      <c r="B239" s="280" t="n"/>
      <c r="C239" s="280" t="n"/>
      <c r="D239" s="280" t="n"/>
      <c r="E239" s="280" t="n"/>
      <c r="F239" s="280" t="n"/>
      <c r="G239" s="280" t="n"/>
      <c r="H239" s="280" t="n"/>
      <c r="I239" s="332">
        <f>IFERROR(VLOOKUP(TEXT(H239,"0"),IPRESS!$A$3:$B$212,2,0),"")</f>
        <v/>
      </c>
      <c r="J239" s="280" t="n"/>
      <c r="K239" s="343" t="n"/>
      <c r="L239" s="280" t="n"/>
      <c r="M239" s="280" t="n"/>
      <c r="N239" s="345" t="n"/>
      <c r="O239" s="280" t="n"/>
      <c r="P239" s="332">
        <f>IFERROR(VLOOKUP(TEXT(O239,"0"),CONDUCTORES!$A$3:$G$54,2,0),"")</f>
        <v/>
      </c>
      <c r="Q239" s="332">
        <f>IFERROR(VLOOKUP(TEXT(O239,"0"),CONDUCTORES!$A$3:$H$54,6,0),"")</f>
        <v/>
      </c>
      <c r="R239" s="280" t="n"/>
      <c r="S239" s="280" t="n"/>
      <c r="T239" s="280" t="n"/>
      <c r="U239" s="280" t="n"/>
      <c r="V239" s="280" t="n"/>
      <c r="W239" s="280" t="n"/>
      <c r="X239" s="280" t="n"/>
      <c r="Y239" s="280" t="n"/>
      <c r="Z239" s="350" t="n"/>
      <c r="AA239" s="198" t="n"/>
      <c r="AB239" s="198" t="n"/>
      <c r="AC239" s="198" t="n"/>
    </row>
    <row r="240" ht="15" customHeight="1" s="195">
      <c r="A240" s="280" t="n"/>
      <c r="B240" s="280" t="n"/>
      <c r="C240" s="280" t="n"/>
      <c r="D240" s="280" t="n"/>
      <c r="E240" s="280" t="n"/>
      <c r="F240" s="280" t="n"/>
      <c r="G240" s="280" t="n"/>
      <c r="H240" s="280" t="n"/>
      <c r="I240" s="332">
        <f>IFERROR(VLOOKUP(TEXT(H240,"0"),IPRESS!$A$3:$B$212,2,0),"")</f>
        <v/>
      </c>
      <c r="J240" s="280" t="n"/>
      <c r="K240" s="343" t="n"/>
      <c r="L240" s="280" t="n"/>
      <c r="M240" s="280" t="n"/>
      <c r="N240" s="345" t="n"/>
      <c r="O240" s="280" t="n"/>
      <c r="P240" s="332">
        <f>IFERROR(VLOOKUP(TEXT(O240,"0"),CONDUCTORES!$A$3:$G$54,2,0),"")</f>
        <v/>
      </c>
      <c r="Q240" s="332">
        <f>IFERROR(VLOOKUP(TEXT(O240,"0"),CONDUCTORES!$A$3:$H$54,6,0),"")</f>
        <v/>
      </c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350" t="n"/>
      <c r="AA240" s="198" t="n"/>
      <c r="AB240" s="198" t="n"/>
      <c r="AC240" s="198" t="n"/>
    </row>
    <row r="241" ht="15" customHeight="1" s="195">
      <c r="A241" s="280" t="n"/>
      <c r="B241" s="280" t="n"/>
      <c r="C241" s="280" t="n"/>
      <c r="D241" s="280" t="n"/>
      <c r="E241" s="280" t="n"/>
      <c r="F241" s="280" t="n"/>
      <c r="G241" s="280" t="n"/>
      <c r="H241" s="280" t="n"/>
      <c r="I241" s="332">
        <f>IFERROR(VLOOKUP(TEXT(H241,"0"),IPRESS!$A$3:$B$212,2,0),"")</f>
        <v/>
      </c>
      <c r="J241" s="280" t="n"/>
      <c r="K241" s="343" t="n"/>
      <c r="L241" s="280" t="n"/>
      <c r="M241" s="280" t="n"/>
      <c r="N241" s="345" t="n"/>
      <c r="O241" s="280" t="n"/>
      <c r="P241" s="332">
        <f>IFERROR(VLOOKUP(TEXT(O241,"0"),CONDUCTORES!$A$3:$G$54,2,0),"")</f>
        <v/>
      </c>
      <c r="Q241" s="332">
        <f>IFERROR(VLOOKUP(TEXT(O241,"0"),CONDUCTORES!$A$3:$H$54,6,0),"")</f>
        <v/>
      </c>
      <c r="R241" s="280" t="n"/>
      <c r="S241" s="280" t="n"/>
      <c r="T241" s="280" t="n"/>
      <c r="U241" s="280" t="n"/>
      <c r="V241" s="280" t="n"/>
      <c r="W241" s="280" t="n"/>
      <c r="X241" s="280" t="n"/>
      <c r="Y241" s="280" t="n"/>
      <c r="Z241" s="350" t="n"/>
      <c r="AA241" s="198" t="n"/>
      <c r="AB241" s="198" t="n"/>
      <c r="AC241" s="198" t="n"/>
    </row>
    <row r="242" ht="15" customHeight="1" s="195">
      <c r="A242" s="280" t="n"/>
      <c r="B242" s="280" t="n"/>
      <c r="C242" s="280" t="n"/>
      <c r="D242" s="280" t="n"/>
      <c r="E242" s="280" t="n"/>
      <c r="F242" s="280" t="n"/>
      <c r="G242" s="280" t="n"/>
      <c r="H242" s="280" t="n"/>
      <c r="I242" s="332">
        <f>IFERROR(VLOOKUP(TEXT(H242,"0"),IPRESS!$A$3:$B$212,2,0),"")</f>
        <v/>
      </c>
      <c r="J242" s="280" t="n"/>
      <c r="K242" s="343" t="n"/>
      <c r="L242" s="280" t="n"/>
      <c r="M242" s="280" t="n"/>
      <c r="N242" s="345" t="n"/>
      <c r="O242" s="280" t="n"/>
      <c r="P242" s="332">
        <f>IFERROR(VLOOKUP(TEXT(O242,"0"),CONDUCTORES!$A$3:$G$54,2,0),"")</f>
        <v/>
      </c>
      <c r="Q242" s="332">
        <f>IFERROR(VLOOKUP(TEXT(O242,"0"),CONDUCTORES!$A$3:$H$54,6,0),"")</f>
        <v/>
      </c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350" t="n"/>
      <c r="AA242" s="198" t="n"/>
      <c r="AB242" s="198" t="n"/>
      <c r="AC242" s="198" t="n"/>
    </row>
    <row r="243" ht="15" customHeight="1" s="195">
      <c r="A243" s="280" t="n"/>
      <c r="B243" s="280" t="n"/>
      <c r="C243" s="280" t="n"/>
      <c r="D243" s="280" t="n"/>
      <c r="E243" s="280" t="n"/>
      <c r="F243" s="280" t="n"/>
      <c r="G243" s="280" t="n"/>
      <c r="H243" s="280" t="n"/>
      <c r="I243" s="332">
        <f>IFERROR(VLOOKUP(TEXT(H243,"0"),IPRESS!$A$3:$B$212,2,0),"")</f>
        <v/>
      </c>
      <c r="J243" s="280" t="n"/>
      <c r="K243" s="343" t="n"/>
      <c r="L243" s="280" t="n"/>
      <c r="M243" s="280" t="n"/>
      <c r="N243" s="345" t="n"/>
      <c r="O243" s="280" t="n"/>
      <c r="P243" s="332">
        <f>IFERROR(VLOOKUP(TEXT(O243,"0"),CONDUCTORES!$A$3:$G$54,2,0),"")</f>
        <v/>
      </c>
      <c r="Q243" s="332">
        <f>IFERROR(VLOOKUP(TEXT(O243,"0"),CONDUCTORES!$A$3:$H$54,6,0),"")</f>
        <v/>
      </c>
      <c r="R243" s="280" t="n"/>
      <c r="S243" s="280" t="n"/>
      <c r="T243" s="280" t="n"/>
      <c r="U243" s="280" t="n"/>
      <c r="V243" s="280" t="n"/>
      <c r="W243" s="280" t="n"/>
      <c r="X243" s="280" t="n"/>
      <c r="Y243" s="280" t="n"/>
      <c r="Z243" s="350" t="n"/>
      <c r="AA243" s="198" t="n"/>
      <c r="AB243" s="198" t="n"/>
      <c r="AC243" s="198" t="n"/>
    </row>
    <row r="244" ht="15" customHeight="1" s="195">
      <c r="A244" s="280" t="n"/>
      <c r="B244" s="280" t="n"/>
      <c r="C244" s="280" t="n"/>
      <c r="D244" s="280" t="n"/>
      <c r="E244" s="280" t="n"/>
      <c r="F244" s="280" t="n"/>
      <c r="G244" s="280" t="n"/>
      <c r="H244" s="280" t="n"/>
      <c r="I244" s="332">
        <f>IFERROR(VLOOKUP(TEXT(H244,"0"),IPRESS!$A$3:$B$212,2,0),"")</f>
        <v/>
      </c>
      <c r="J244" s="280" t="n"/>
      <c r="K244" s="343" t="n"/>
      <c r="L244" s="280" t="n"/>
      <c r="M244" s="280" t="n"/>
      <c r="N244" s="345" t="n"/>
      <c r="O244" s="280" t="n"/>
      <c r="P244" s="332">
        <f>IFERROR(VLOOKUP(TEXT(O244,"0"),CONDUCTORES!$A$3:$G$54,2,0),"")</f>
        <v/>
      </c>
      <c r="Q244" s="332">
        <f>IFERROR(VLOOKUP(TEXT(O244,"0"),CONDUCTORES!$A$3:$H$54,6,0),"")</f>
        <v/>
      </c>
      <c r="R244" s="280" t="n"/>
      <c r="S244" s="280" t="n"/>
      <c r="T244" s="280" t="n"/>
      <c r="U244" s="280" t="n"/>
      <c r="V244" s="280" t="n"/>
      <c r="W244" s="280" t="n"/>
      <c r="X244" s="280" t="n"/>
      <c r="Y244" s="280" t="n"/>
      <c r="Z244" s="350" t="n"/>
      <c r="AA244" s="198" t="n"/>
      <c r="AB244" s="198" t="n"/>
      <c r="AC244" s="198" t="n"/>
    </row>
    <row r="245" ht="15" customHeight="1" s="195">
      <c r="A245" s="280" t="n"/>
      <c r="B245" s="280" t="n"/>
      <c r="C245" s="280" t="n"/>
      <c r="D245" s="280" t="n"/>
      <c r="E245" s="280" t="n"/>
      <c r="F245" s="280" t="n"/>
      <c r="G245" s="280" t="n"/>
      <c r="H245" s="280" t="n"/>
      <c r="I245" s="332">
        <f>IFERROR(VLOOKUP(TEXT(H245,"0"),IPRESS!$A$3:$B$212,2,0),"")</f>
        <v/>
      </c>
      <c r="J245" s="280" t="n"/>
      <c r="K245" s="343" t="n"/>
      <c r="L245" s="280" t="n"/>
      <c r="M245" s="280" t="n"/>
      <c r="N245" s="345" t="n"/>
      <c r="O245" s="280" t="n"/>
      <c r="P245" s="332">
        <f>IFERROR(VLOOKUP(TEXT(O245,"0"),CONDUCTORES!$A$3:$G$54,2,0),"")</f>
        <v/>
      </c>
      <c r="Q245" s="332">
        <f>IFERROR(VLOOKUP(TEXT(O245,"0"),CONDUCTORES!$A$3:$H$54,6,0),"")</f>
        <v/>
      </c>
      <c r="R245" s="280" t="n"/>
      <c r="S245" s="280" t="n"/>
      <c r="T245" s="280" t="n"/>
      <c r="U245" s="280" t="n"/>
      <c r="V245" s="280" t="n"/>
      <c r="W245" s="280" t="n"/>
      <c r="X245" s="280" t="n"/>
      <c r="Y245" s="280" t="n"/>
      <c r="Z245" s="350" t="n"/>
      <c r="AA245" s="198" t="n"/>
      <c r="AB245" s="198" t="n"/>
      <c r="AC245" s="198" t="n"/>
    </row>
    <row r="246" ht="15" customHeight="1" s="195">
      <c r="A246" s="280" t="n"/>
      <c r="B246" s="280" t="n"/>
      <c r="C246" s="280" t="n"/>
      <c r="D246" s="280" t="n"/>
      <c r="E246" s="280" t="n"/>
      <c r="F246" s="280" t="n"/>
      <c r="G246" s="280" t="n"/>
      <c r="H246" s="280" t="n"/>
      <c r="I246" s="332">
        <f>IFERROR(VLOOKUP(TEXT(H246,"0"),IPRESS!$A$3:$B$212,2,0),"")</f>
        <v/>
      </c>
      <c r="J246" s="280" t="n"/>
      <c r="K246" s="343" t="n"/>
      <c r="L246" s="280" t="n"/>
      <c r="M246" s="280" t="n"/>
      <c r="N246" s="345" t="n"/>
      <c r="O246" s="280" t="n"/>
      <c r="P246" s="332">
        <f>IFERROR(VLOOKUP(TEXT(O246,"0"),CONDUCTORES!$A$3:$G$54,2,0),"")</f>
        <v/>
      </c>
      <c r="Q246" s="332">
        <f>IFERROR(VLOOKUP(TEXT(O246,"0"),CONDUCTORES!$A$3:$H$54,6,0),"")</f>
        <v/>
      </c>
      <c r="R246" s="280" t="n"/>
      <c r="S246" s="280" t="n"/>
      <c r="T246" s="280" t="n"/>
      <c r="U246" s="280" t="n"/>
      <c r="V246" s="280" t="n"/>
      <c r="W246" s="280" t="n"/>
      <c r="X246" s="280" t="n"/>
      <c r="Y246" s="280" t="n"/>
      <c r="Z246" s="350" t="n"/>
      <c r="AA246" s="198" t="n"/>
      <c r="AB246" s="198" t="n"/>
      <c r="AC246" s="198" t="n"/>
    </row>
    <row r="247" ht="15" customHeight="1" s="195">
      <c r="A247" s="280" t="n"/>
      <c r="B247" s="280" t="n"/>
      <c r="C247" s="280" t="n"/>
      <c r="D247" s="280" t="n"/>
      <c r="E247" s="280" t="n"/>
      <c r="F247" s="280" t="n"/>
      <c r="G247" s="280" t="n"/>
      <c r="H247" s="280" t="n"/>
      <c r="I247" s="332">
        <f>IFERROR(VLOOKUP(TEXT(H247,"0"),IPRESS!$A$3:$B$212,2,0),"")</f>
        <v/>
      </c>
      <c r="J247" s="280" t="n"/>
      <c r="K247" s="343" t="n"/>
      <c r="L247" s="280" t="n"/>
      <c r="M247" s="280" t="n"/>
      <c r="N247" s="345" t="n"/>
      <c r="O247" s="280" t="n"/>
      <c r="P247" s="332">
        <f>IFERROR(VLOOKUP(TEXT(O247,"0"),CONDUCTORES!$A$3:$G$54,2,0),"")</f>
        <v/>
      </c>
      <c r="Q247" s="332">
        <f>IFERROR(VLOOKUP(TEXT(O247,"0"),CONDUCTORES!$A$3:$H$54,6,0),"")</f>
        <v/>
      </c>
      <c r="R247" s="280" t="n"/>
      <c r="S247" s="280" t="n"/>
      <c r="T247" s="280" t="n"/>
      <c r="U247" s="280" t="n"/>
      <c r="V247" s="280" t="n"/>
      <c r="W247" s="280" t="n"/>
      <c r="X247" s="280" t="n"/>
      <c r="Y247" s="280" t="n"/>
      <c r="Z247" s="350" t="n"/>
      <c r="AA247" s="198" t="n"/>
      <c r="AB247" s="198" t="n"/>
      <c r="AC247" s="198" t="n"/>
    </row>
    <row r="248" ht="15" customHeight="1" s="195">
      <c r="A248" s="280" t="n"/>
      <c r="B248" s="280" t="n"/>
      <c r="C248" s="280" t="n"/>
      <c r="D248" s="280" t="n"/>
      <c r="E248" s="280" t="n"/>
      <c r="F248" s="280" t="n"/>
      <c r="G248" s="280" t="n"/>
      <c r="H248" s="280" t="n"/>
      <c r="I248" s="332">
        <f>IFERROR(VLOOKUP(TEXT(H248,"0"),IPRESS!$A$3:$B$212,2,0),"")</f>
        <v/>
      </c>
      <c r="J248" s="280" t="n"/>
      <c r="K248" s="343" t="n"/>
      <c r="L248" s="280" t="n"/>
      <c r="M248" s="280" t="n"/>
      <c r="N248" s="345" t="n"/>
      <c r="O248" s="280" t="n"/>
      <c r="P248" s="332">
        <f>IFERROR(VLOOKUP(TEXT(O248,"0"),CONDUCTORES!$A$3:$G$54,2,0),"")</f>
        <v/>
      </c>
      <c r="Q248" s="332">
        <f>IFERROR(VLOOKUP(TEXT(O248,"0"),CONDUCTORES!$A$3:$H$54,6,0),"")</f>
        <v/>
      </c>
      <c r="R248" s="280" t="n"/>
      <c r="S248" s="280" t="n"/>
      <c r="T248" s="280" t="n"/>
      <c r="U248" s="280" t="n"/>
      <c r="V248" s="280" t="n"/>
      <c r="W248" s="280" t="n"/>
      <c r="X248" s="280" t="n"/>
      <c r="Y248" s="280" t="n"/>
      <c r="Z248" s="350" t="n"/>
      <c r="AA248" s="198" t="n"/>
      <c r="AB248" s="198" t="n"/>
      <c r="AC248" s="198" t="n"/>
    </row>
    <row r="249" ht="15" customHeight="1" s="195">
      <c r="A249" s="280" t="n"/>
      <c r="B249" s="280" t="n"/>
      <c r="C249" s="280" t="n"/>
      <c r="D249" s="280" t="n"/>
      <c r="E249" s="280" t="n"/>
      <c r="F249" s="280" t="n"/>
      <c r="G249" s="280" t="n"/>
      <c r="H249" s="280" t="n"/>
      <c r="I249" s="332">
        <f>IFERROR(VLOOKUP(TEXT(H249,"0"),IPRESS!$A$3:$B$212,2,0),"")</f>
        <v/>
      </c>
      <c r="J249" s="280" t="n"/>
      <c r="K249" s="343" t="n"/>
      <c r="L249" s="280" t="n"/>
      <c r="M249" s="280" t="n"/>
      <c r="N249" s="345" t="n"/>
      <c r="O249" s="280" t="n"/>
      <c r="P249" s="332">
        <f>IFERROR(VLOOKUP(TEXT(O249,"0"),CONDUCTORES!$A$3:$G$54,2,0),"")</f>
        <v/>
      </c>
      <c r="Q249" s="332">
        <f>IFERROR(VLOOKUP(TEXT(O249,"0"),CONDUCTORES!$A$3:$H$54,6,0),"")</f>
        <v/>
      </c>
      <c r="R249" s="280" t="n"/>
      <c r="S249" s="280" t="n"/>
      <c r="T249" s="280" t="n"/>
      <c r="U249" s="280" t="n"/>
      <c r="V249" s="280" t="n"/>
      <c r="W249" s="280" t="n"/>
      <c r="X249" s="280" t="n"/>
      <c r="Y249" s="280" t="n"/>
      <c r="Z249" s="350" t="n"/>
      <c r="AA249" s="198" t="n"/>
      <c r="AB249" s="198" t="n"/>
      <c r="AC249" s="198" t="n"/>
    </row>
    <row r="250" ht="15" customHeight="1" s="195">
      <c r="A250" s="280" t="n"/>
      <c r="B250" s="280" t="n"/>
      <c r="C250" s="280" t="n"/>
      <c r="D250" s="280" t="n"/>
      <c r="E250" s="280" t="n"/>
      <c r="F250" s="280" t="n"/>
      <c r="G250" s="280" t="n"/>
      <c r="H250" s="280" t="n"/>
      <c r="I250" s="332">
        <f>IFERROR(VLOOKUP(TEXT(H250,"0"),IPRESS!$A$3:$B$212,2,0),"")</f>
        <v/>
      </c>
      <c r="J250" s="280" t="n"/>
      <c r="K250" s="343" t="n"/>
      <c r="L250" s="280" t="n"/>
      <c r="M250" s="280" t="n"/>
      <c r="N250" s="345" t="n"/>
      <c r="O250" s="280" t="n"/>
      <c r="P250" s="332">
        <f>IFERROR(VLOOKUP(TEXT(O250,"0"),CONDUCTORES!$A$3:$G$54,2,0),"")</f>
        <v/>
      </c>
      <c r="Q250" s="332">
        <f>IFERROR(VLOOKUP(TEXT(O250,"0"),CONDUCTORES!$A$3:$H$54,6,0),"")</f>
        <v/>
      </c>
      <c r="R250" s="280" t="n"/>
      <c r="S250" s="280" t="n"/>
      <c r="T250" s="280" t="n"/>
      <c r="U250" s="280" t="n"/>
      <c r="V250" s="280" t="n"/>
      <c r="W250" s="280" t="n"/>
      <c r="X250" s="280" t="n"/>
      <c r="Y250" s="280" t="n"/>
      <c r="Z250" s="350" t="n"/>
      <c r="AA250" s="198" t="n"/>
      <c r="AB250" s="198" t="n"/>
      <c r="AC250" s="198" t="n"/>
    </row>
    <row r="251" ht="15" customHeight="1" s="195">
      <c r="A251" s="280" t="n"/>
      <c r="B251" s="280" t="n"/>
      <c r="C251" s="280" t="n"/>
      <c r="D251" s="280" t="n"/>
      <c r="E251" s="280" t="n"/>
      <c r="F251" s="280" t="n"/>
      <c r="G251" s="280" t="n"/>
      <c r="H251" s="280" t="n"/>
      <c r="I251" s="332">
        <f>IFERROR(VLOOKUP(TEXT(H251,"0"),IPRESS!$A$3:$B$212,2,0),"")</f>
        <v/>
      </c>
      <c r="J251" s="280" t="n"/>
      <c r="K251" s="343" t="n"/>
      <c r="L251" s="280" t="n"/>
      <c r="M251" s="280" t="n"/>
      <c r="N251" s="345" t="n"/>
      <c r="O251" s="280" t="n"/>
      <c r="P251" s="332">
        <f>IFERROR(VLOOKUP(TEXT(O251,"0"),CONDUCTORES!$A$3:$G$54,2,0),"")</f>
        <v/>
      </c>
      <c r="Q251" s="332">
        <f>IFERROR(VLOOKUP(TEXT(O251,"0"),CONDUCTORES!$A$3:$H$54,6,0),"")</f>
        <v/>
      </c>
      <c r="R251" s="280" t="n"/>
      <c r="S251" s="280" t="n"/>
      <c r="T251" s="280" t="n"/>
      <c r="U251" s="280" t="n"/>
      <c r="V251" s="280" t="n"/>
      <c r="W251" s="280" t="n"/>
      <c r="X251" s="280" t="n"/>
      <c r="Y251" s="280" t="n"/>
      <c r="Z251" s="350" t="n"/>
      <c r="AA251" s="198" t="n"/>
      <c r="AB251" s="198" t="n"/>
      <c r="AC251" s="198" t="n"/>
    </row>
    <row r="252" ht="15" customHeight="1" s="195">
      <c r="A252" s="280" t="n"/>
      <c r="B252" s="280" t="n"/>
      <c r="C252" s="280" t="n"/>
      <c r="D252" s="280" t="n"/>
      <c r="E252" s="280" t="n"/>
      <c r="F252" s="280" t="n"/>
      <c r="G252" s="280" t="n"/>
      <c r="H252" s="280" t="n"/>
      <c r="I252" s="332">
        <f>IFERROR(VLOOKUP(TEXT(H252,"0"),IPRESS!$A$3:$B$212,2,0),"")</f>
        <v/>
      </c>
      <c r="J252" s="280" t="n"/>
      <c r="K252" s="343" t="n"/>
      <c r="L252" s="280" t="n"/>
      <c r="M252" s="280" t="n"/>
      <c r="N252" s="345" t="n"/>
      <c r="O252" s="280" t="n"/>
      <c r="P252" s="332">
        <f>IFERROR(VLOOKUP(TEXT(O252,"0"),CONDUCTORES!$A$3:$G$54,2,0),"")</f>
        <v/>
      </c>
      <c r="Q252" s="332">
        <f>IFERROR(VLOOKUP(TEXT(O252,"0"),CONDUCTORES!$A$3:$H$54,6,0),"")</f>
        <v/>
      </c>
      <c r="R252" s="280" t="n"/>
      <c r="S252" s="280" t="n"/>
      <c r="T252" s="280" t="n"/>
      <c r="U252" s="280" t="n"/>
      <c r="V252" s="280" t="n"/>
      <c r="W252" s="280" t="n"/>
      <c r="X252" s="280" t="n"/>
      <c r="Y252" s="280" t="n"/>
      <c r="Z252" s="350" t="n"/>
      <c r="AA252" s="198" t="n"/>
      <c r="AB252" s="198" t="n"/>
      <c r="AC252" s="198" t="n"/>
    </row>
    <row r="253" ht="15" customHeight="1" s="195">
      <c r="A253" s="280" t="n"/>
      <c r="B253" s="280" t="n"/>
      <c r="C253" s="280" t="n"/>
      <c r="D253" s="280" t="n"/>
      <c r="E253" s="280" t="n"/>
      <c r="F253" s="280" t="n"/>
      <c r="G253" s="280" t="n"/>
      <c r="H253" s="280" t="n"/>
      <c r="I253" s="332">
        <f>IFERROR(VLOOKUP(TEXT(H253,"0"),IPRESS!$A$3:$B$212,2,0),"")</f>
        <v/>
      </c>
      <c r="J253" s="280" t="n"/>
      <c r="K253" s="343" t="n"/>
      <c r="L253" s="280" t="n"/>
      <c r="M253" s="280" t="n"/>
      <c r="N253" s="345" t="n"/>
      <c r="O253" s="280" t="n"/>
      <c r="P253" s="332">
        <f>IFERROR(VLOOKUP(TEXT(O253,"0"),CONDUCTORES!$A$3:$G$54,2,0),"")</f>
        <v/>
      </c>
      <c r="Q253" s="332">
        <f>IFERROR(VLOOKUP(TEXT(O253,"0"),CONDUCTORES!$A$3:$H$54,6,0),"")</f>
        <v/>
      </c>
      <c r="R253" s="280" t="n"/>
      <c r="S253" s="280" t="n"/>
      <c r="T253" s="280" t="n"/>
      <c r="U253" s="280" t="n"/>
      <c r="V253" s="280" t="n"/>
      <c r="W253" s="280" t="n"/>
      <c r="X253" s="280" t="n"/>
      <c r="Y253" s="280" t="n"/>
      <c r="Z253" s="350" t="n"/>
      <c r="AA253" s="198" t="n"/>
      <c r="AB253" s="198" t="n"/>
      <c r="AC253" s="198" t="n"/>
    </row>
    <row r="254" ht="15" customHeight="1" s="195">
      <c r="A254" s="280" t="n"/>
      <c r="B254" s="280" t="n"/>
      <c r="C254" s="280" t="n"/>
      <c r="D254" s="280" t="n"/>
      <c r="E254" s="280" t="n"/>
      <c r="F254" s="280" t="n"/>
      <c r="G254" s="280" t="n"/>
      <c r="H254" s="280" t="n"/>
      <c r="I254" s="332">
        <f>IFERROR(VLOOKUP(TEXT(H254,"0"),IPRESS!$A$3:$B$212,2,0),"")</f>
        <v/>
      </c>
      <c r="J254" s="280" t="n"/>
      <c r="K254" s="343" t="n"/>
      <c r="L254" s="280" t="n"/>
      <c r="M254" s="280" t="n"/>
      <c r="N254" s="345" t="n"/>
      <c r="O254" s="280" t="n"/>
      <c r="P254" s="332">
        <f>IFERROR(VLOOKUP(TEXT(O254,"0"),CONDUCTORES!$A$3:$G$54,2,0),"")</f>
        <v/>
      </c>
      <c r="Q254" s="332">
        <f>IFERROR(VLOOKUP(TEXT(O254,"0"),CONDUCTORES!$A$3:$H$54,6,0),"")</f>
        <v/>
      </c>
      <c r="R254" s="280" t="n"/>
      <c r="S254" s="280" t="n"/>
      <c r="T254" s="280" t="n"/>
      <c r="U254" s="280" t="n"/>
      <c r="V254" s="280" t="n"/>
      <c r="W254" s="280" t="n"/>
      <c r="X254" s="280" t="n"/>
      <c r="Y254" s="280" t="n"/>
      <c r="Z254" s="350" t="n"/>
      <c r="AA254" s="198" t="n"/>
      <c r="AB254" s="198" t="n"/>
      <c r="AC254" s="198" t="n"/>
    </row>
    <row r="255" ht="15" customHeight="1" s="195">
      <c r="A255" s="280" t="n"/>
      <c r="B255" s="280" t="n"/>
      <c r="C255" s="280" t="n"/>
      <c r="D255" s="280" t="n"/>
      <c r="E255" s="280" t="n"/>
      <c r="F255" s="280" t="n"/>
      <c r="G255" s="280" t="n"/>
      <c r="H255" s="280" t="n"/>
      <c r="I255" s="332">
        <f>IFERROR(VLOOKUP(TEXT(H255,"0"),IPRESS!$A$3:$B$212,2,0),"")</f>
        <v/>
      </c>
      <c r="J255" s="280" t="n"/>
      <c r="K255" s="343" t="n"/>
      <c r="L255" s="280" t="n"/>
      <c r="M255" s="280" t="n"/>
      <c r="N255" s="345" t="n"/>
      <c r="O255" s="280" t="n"/>
      <c r="P255" s="332">
        <f>IFERROR(VLOOKUP(TEXT(O255,"0"),CONDUCTORES!$A$3:$G$54,2,0),"")</f>
        <v/>
      </c>
      <c r="Q255" s="332">
        <f>IFERROR(VLOOKUP(TEXT(O255,"0"),CONDUCTORES!$A$3:$H$54,6,0),"")</f>
        <v/>
      </c>
      <c r="R255" s="280" t="n"/>
      <c r="S255" s="280" t="n"/>
      <c r="T255" s="280" t="n"/>
      <c r="U255" s="280" t="n"/>
      <c r="V255" s="280" t="n"/>
      <c r="W255" s="280" t="n"/>
      <c r="X255" s="280" t="n"/>
      <c r="Y255" s="280" t="n"/>
      <c r="Z255" s="350" t="n"/>
      <c r="AA255" s="198" t="n"/>
      <c r="AB255" s="198" t="n"/>
      <c r="AC255" s="198" t="n"/>
    </row>
    <row r="256" ht="15" customHeight="1" s="195">
      <c r="A256" s="280" t="n"/>
      <c r="B256" s="280" t="n"/>
      <c r="C256" s="280" t="n"/>
      <c r="D256" s="280" t="n"/>
      <c r="E256" s="280" t="n"/>
      <c r="F256" s="280" t="n"/>
      <c r="G256" s="280" t="n"/>
      <c r="H256" s="280" t="n"/>
      <c r="I256" s="332">
        <f>IFERROR(VLOOKUP(TEXT(H256,"0"),IPRESS!$A$3:$B$212,2,0),"")</f>
        <v/>
      </c>
      <c r="J256" s="280" t="n"/>
      <c r="K256" s="343" t="n"/>
      <c r="L256" s="280" t="n"/>
      <c r="M256" s="280" t="n"/>
      <c r="N256" s="345" t="n"/>
      <c r="O256" s="280" t="n"/>
      <c r="P256" s="332">
        <f>IFERROR(VLOOKUP(TEXT(O256,"0"),CONDUCTORES!$A$3:$G$54,2,0),"")</f>
        <v/>
      </c>
      <c r="Q256" s="332">
        <f>IFERROR(VLOOKUP(TEXT(O256,"0"),CONDUCTORES!$A$3:$H$54,6,0),"")</f>
        <v/>
      </c>
      <c r="R256" s="280" t="n"/>
      <c r="S256" s="280" t="n"/>
      <c r="T256" s="280" t="n"/>
      <c r="U256" s="280" t="n"/>
      <c r="V256" s="280" t="n"/>
      <c r="W256" s="280" t="n"/>
      <c r="X256" s="280" t="n"/>
      <c r="Y256" s="280" t="n"/>
      <c r="Z256" s="350" t="n"/>
      <c r="AA256" s="198" t="n"/>
      <c r="AB256" s="198" t="n"/>
      <c r="AC256" s="198" t="n"/>
    </row>
    <row r="257" ht="15" customHeight="1" s="195">
      <c r="A257" s="280" t="n"/>
      <c r="B257" s="280" t="n"/>
      <c r="C257" s="280" t="n"/>
      <c r="D257" s="280" t="n"/>
      <c r="E257" s="280" t="n"/>
      <c r="F257" s="280" t="n"/>
      <c r="G257" s="280" t="n"/>
      <c r="H257" s="280" t="n"/>
      <c r="I257" s="332">
        <f>IFERROR(VLOOKUP(TEXT(H257,"0"),IPRESS!$A$3:$B$212,2,0),"")</f>
        <v/>
      </c>
      <c r="J257" s="280" t="n"/>
      <c r="K257" s="343" t="n"/>
      <c r="L257" s="280" t="n"/>
      <c r="M257" s="280" t="n"/>
      <c r="N257" s="345" t="n"/>
      <c r="O257" s="280" t="n"/>
      <c r="P257" s="332">
        <f>IFERROR(VLOOKUP(TEXT(O257,"0"),CONDUCTORES!$A$3:$G$54,2,0),"")</f>
        <v/>
      </c>
      <c r="Q257" s="332">
        <f>IFERROR(VLOOKUP(TEXT(O257,"0"),CONDUCTORES!$A$3:$H$54,6,0),"")</f>
        <v/>
      </c>
      <c r="R257" s="280" t="n"/>
      <c r="S257" s="280" t="n"/>
      <c r="T257" s="280" t="n"/>
      <c r="U257" s="280" t="n"/>
      <c r="V257" s="280" t="n"/>
      <c r="W257" s="280" t="n"/>
      <c r="X257" s="280" t="n"/>
      <c r="Y257" s="280" t="n"/>
      <c r="Z257" s="350" t="n"/>
      <c r="AA257" s="198" t="n"/>
      <c r="AB257" s="198" t="n"/>
      <c r="AC257" s="198" t="n"/>
    </row>
    <row r="258" ht="15" customHeight="1" s="195">
      <c r="A258" s="280" t="n"/>
      <c r="B258" s="280" t="n"/>
      <c r="C258" s="280" t="n"/>
      <c r="D258" s="280" t="n"/>
      <c r="E258" s="280" t="n"/>
      <c r="F258" s="280" t="n"/>
      <c r="G258" s="280" t="n"/>
      <c r="H258" s="280" t="n"/>
      <c r="I258" s="332">
        <f>IFERROR(VLOOKUP(TEXT(H258,"0"),IPRESS!$A$3:$B$212,2,0),"")</f>
        <v/>
      </c>
      <c r="J258" s="280" t="n"/>
      <c r="K258" s="343" t="n"/>
      <c r="L258" s="280" t="n"/>
      <c r="M258" s="280" t="n"/>
      <c r="N258" s="345" t="n"/>
      <c r="O258" s="280" t="n"/>
      <c r="P258" s="332">
        <f>IFERROR(VLOOKUP(TEXT(O258,"0"),CONDUCTORES!$A$3:$G$54,2,0),"")</f>
        <v/>
      </c>
      <c r="Q258" s="332">
        <f>IFERROR(VLOOKUP(TEXT(O258,"0"),CONDUCTORES!$A$3:$H$54,6,0),"")</f>
        <v/>
      </c>
      <c r="R258" s="280" t="n"/>
      <c r="S258" s="280" t="n"/>
      <c r="T258" s="280" t="n"/>
      <c r="U258" s="280" t="n"/>
      <c r="V258" s="280" t="n"/>
      <c r="W258" s="280" t="n"/>
      <c r="X258" s="280" t="n"/>
      <c r="Y258" s="280" t="n"/>
      <c r="Z258" s="350" t="n"/>
      <c r="AA258" s="198" t="n"/>
      <c r="AB258" s="198" t="n"/>
      <c r="AC258" s="198" t="n"/>
    </row>
    <row r="259" ht="15" customHeight="1" s="195">
      <c r="A259" s="280" t="n"/>
      <c r="B259" s="280" t="n"/>
      <c r="C259" s="280" t="n"/>
      <c r="D259" s="280" t="n"/>
      <c r="E259" s="280" t="n"/>
      <c r="F259" s="280" t="n"/>
      <c r="G259" s="280" t="n"/>
      <c r="H259" s="280" t="n"/>
      <c r="I259" s="332">
        <f>IFERROR(VLOOKUP(TEXT(H259,"0"),IPRESS!$A$3:$B$212,2,0),"")</f>
        <v/>
      </c>
      <c r="J259" s="280" t="n"/>
      <c r="K259" s="343" t="n"/>
      <c r="L259" s="280" t="n"/>
      <c r="M259" s="280" t="n"/>
      <c r="N259" s="345" t="n"/>
      <c r="O259" s="280" t="n"/>
      <c r="P259" s="332">
        <f>IFERROR(VLOOKUP(TEXT(O259,"0"),CONDUCTORES!$A$3:$G$54,2,0),"")</f>
        <v/>
      </c>
      <c r="Q259" s="332">
        <f>IFERROR(VLOOKUP(TEXT(O259,"0"),CONDUCTORES!$A$3:$H$54,6,0),"")</f>
        <v/>
      </c>
      <c r="R259" s="280" t="n"/>
      <c r="S259" s="280" t="n"/>
      <c r="T259" s="280" t="n"/>
      <c r="U259" s="280" t="n"/>
      <c r="V259" s="280" t="n"/>
      <c r="W259" s="280" t="n"/>
      <c r="X259" s="280" t="n"/>
      <c r="Y259" s="280" t="n"/>
      <c r="Z259" s="350" t="n"/>
      <c r="AA259" s="198" t="n"/>
      <c r="AB259" s="198" t="n"/>
      <c r="AC259" s="198" t="n"/>
    </row>
    <row r="260" ht="15" customHeight="1" s="195">
      <c r="A260" s="280" t="n"/>
      <c r="B260" s="280" t="n"/>
      <c r="C260" s="280" t="n"/>
      <c r="D260" s="280" t="n"/>
      <c r="E260" s="280" t="n"/>
      <c r="F260" s="280" t="n"/>
      <c r="G260" s="280" t="n"/>
      <c r="H260" s="280" t="n"/>
      <c r="I260" s="332">
        <f>IFERROR(VLOOKUP(TEXT(H260,"0"),IPRESS!$A$3:$B$212,2,0),"")</f>
        <v/>
      </c>
      <c r="J260" s="280" t="n"/>
      <c r="K260" s="343" t="n"/>
      <c r="L260" s="280" t="n"/>
      <c r="M260" s="280" t="n"/>
      <c r="N260" s="345" t="n"/>
      <c r="O260" s="280" t="n"/>
      <c r="P260" s="332">
        <f>IFERROR(VLOOKUP(TEXT(O260,"0"),CONDUCTORES!$A$3:$G$54,2,0),"")</f>
        <v/>
      </c>
      <c r="Q260" s="332">
        <f>IFERROR(VLOOKUP(TEXT(O260,"0"),CONDUCTORES!$A$3:$H$54,6,0),"")</f>
        <v/>
      </c>
      <c r="R260" s="280" t="n"/>
      <c r="S260" s="280" t="n"/>
      <c r="T260" s="280" t="n"/>
      <c r="U260" s="280" t="n"/>
      <c r="V260" s="280" t="n"/>
      <c r="W260" s="280" t="n"/>
      <c r="X260" s="280" t="n"/>
      <c r="Y260" s="280" t="n"/>
      <c r="Z260" s="350" t="n"/>
      <c r="AA260" s="198" t="n"/>
      <c r="AB260" s="198" t="n"/>
      <c r="AC260" s="198" t="n"/>
    </row>
    <row r="261" ht="15" customHeight="1" s="195">
      <c r="A261" s="280" t="n"/>
      <c r="B261" s="280" t="n"/>
      <c r="C261" s="280" t="n"/>
      <c r="D261" s="280" t="n"/>
      <c r="E261" s="280" t="n"/>
      <c r="F261" s="280" t="n"/>
      <c r="G261" s="280" t="n"/>
      <c r="H261" s="280" t="n"/>
      <c r="I261" s="332">
        <f>IFERROR(VLOOKUP(TEXT(H261,"0"),IPRESS!$A$3:$B$212,2,0),"")</f>
        <v/>
      </c>
      <c r="J261" s="280" t="n"/>
      <c r="K261" s="343" t="n"/>
      <c r="L261" s="280" t="n"/>
      <c r="M261" s="280" t="n"/>
      <c r="N261" s="345" t="n"/>
      <c r="O261" s="280" t="n"/>
      <c r="P261" s="332">
        <f>IFERROR(VLOOKUP(TEXT(O261,"0"),CONDUCTORES!$A$3:$G$54,2,0),"")</f>
        <v/>
      </c>
      <c r="Q261" s="332">
        <f>IFERROR(VLOOKUP(TEXT(O261,"0"),CONDUCTORES!$A$3:$H$54,6,0),"")</f>
        <v/>
      </c>
      <c r="R261" s="280" t="n"/>
      <c r="S261" s="280" t="n"/>
      <c r="T261" s="280" t="n"/>
      <c r="U261" s="280" t="n"/>
      <c r="V261" s="280" t="n"/>
      <c r="W261" s="280" t="n"/>
      <c r="X261" s="280" t="n"/>
      <c r="Y261" s="280" t="n"/>
      <c r="Z261" s="350" t="n"/>
      <c r="AA261" s="198" t="n"/>
      <c r="AB261" s="198" t="n"/>
      <c r="AC261" s="198" t="n"/>
    </row>
    <row r="262" ht="15" customHeight="1" s="195">
      <c r="A262" s="280" t="n"/>
      <c r="B262" s="280" t="n"/>
      <c r="C262" s="280" t="n"/>
      <c r="D262" s="280" t="n"/>
      <c r="E262" s="280" t="n"/>
      <c r="F262" s="280" t="n"/>
      <c r="G262" s="280" t="n"/>
      <c r="H262" s="280" t="n"/>
      <c r="I262" s="332">
        <f>IFERROR(VLOOKUP(TEXT(H262,"0"),IPRESS!$A$3:$B$212,2,0),"")</f>
        <v/>
      </c>
      <c r="J262" s="280" t="n"/>
      <c r="K262" s="343" t="n"/>
      <c r="L262" s="280" t="n"/>
      <c r="M262" s="280" t="n"/>
      <c r="N262" s="345" t="n"/>
      <c r="O262" s="280" t="n"/>
      <c r="P262" s="332">
        <f>IFERROR(VLOOKUP(TEXT(O262,"0"),CONDUCTORES!$A$3:$G$54,2,0),"")</f>
        <v/>
      </c>
      <c r="Q262" s="332">
        <f>IFERROR(VLOOKUP(TEXT(O262,"0"),CONDUCTORES!$A$3:$H$54,6,0),"")</f>
        <v/>
      </c>
      <c r="R262" s="280" t="n"/>
      <c r="S262" s="280" t="n"/>
      <c r="T262" s="280" t="n"/>
      <c r="U262" s="280" t="n"/>
      <c r="V262" s="280" t="n"/>
      <c r="W262" s="280" t="n"/>
      <c r="X262" s="280" t="n"/>
      <c r="Y262" s="280" t="n"/>
      <c r="Z262" s="350" t="n"/>
      <c r="AA262" s="198" t="n"/>
      <c r="AB262" s="198" t="n"/>
      <c r="AC262" s="198" t="n"/>
    </row>
    <row r="263" ht="15" customHeight="1" s="195">
      <c r="A263" s="280" t="n"/>
      <c r="B263" s="280" t="n"/>
      <c r="C263" s="280" t="n"/>
      <c r="D263" s="280" t="n"/>
      <c r="E263" s="280" t="n"/>
      <c r="F263" s="280" t="n"/>
      <c r="G263" s="280" t="n"/>
      <c r="H263" s="280" t="n"/>
      <c r="I263" s="332">
        <f>IFERROR(VLOOKUP(TEXT(H263,"0"),IPRESS!$A$3:$B$212,2,0),"")</f>
        <v/>
      </c>
      <c r="J263" s="280" t="n"/>
      <c r="K263" s="343" t="n"/>
      <c r="L263" s="280" t="n"/>
      <c r="M263" s="280" t="n"/>
      <c r="N263" s="345" t="n"/>
      <c r="O263" s="280" t="n"/>
      <c r="P263" s="332">
        <f>IFERROR(VLOOKUP(TEXT(O263,"0"),CONDUCTORES!$A$3:$G$54,2,0),"")</f>
        <v/>
      </c>
      <c r="Q263" s="332">
        <f>IFERROR(VLOOKUP(TEXT(O263,"0"),CONDUCTORES!$A$3:$H$54,6,0),"")</f>
        <v/>
      </c>
      <c r="R263" s="280" t="n"/>
      <c r="S263" s="280" t="n"/>
      <c r="T263" s="280" t="n"/>
      <c r="U263" s="280" t="n"/>
      <c r="V263" s="280" t="n"/>
      <c r="W263" s="280" t="n"/>
      <c r="X263" s="280" t="n"/>
      <c r="Y263" s="280" t="n"/>
      <c r="Z263" s="350" t="n"/>
      <c r="AA263" s="198" t="n"/>
      <c r="AB263" s="198" t="n"/>
      <c r="AC263" s="198" t="n"/>
    </row>
    <row r="264" ht="15" customHeight="1" s="195">
      <c r="A264" s="280" t="n"/>
      <c r="B264" s="280" t="n"/>
      <c r="C264" s="280" t="n"/>
      <c r="D264" s="280" t="n"/>
      <c r="E264" s="280" t="n"/>
      <c r="F264" s="280" t="n"/>
      <c r="G264" s="280" t="n"/>
      <c r="H264" s="280" t="n"/>
      <c r="I264" s="332">
        <f>IFERROR(VLOOKUP(TEXT(H264,"0"),IPRESS!$A$3:$B$212,2,0),"")</f>
        <v/>
      </c>
      <c r="J264" s="280" t="n"/>
      <c r="K264" s="343" t="n"/>
      <c r="L264" s="280" t="n"/>
      <c r="M264" s="280" t="n"/>
      <c r="N264" s="345" t="n"/>
      <c r="O264" s="280" t="n"/>
      <c r="P264" s="332">
        <f>IFERROR(VLOOKUP(TEXT(O264,"0"),CONDUCTORES!$A$3:$G$54,2,0),"")</f>
        <v/>
      </c>
      <c r="Q264" s="332">
        <f>IFERROR(VLOOKUP(TEXT(O264,"0"),CONDUCTORES!$A$3:$H$54,6,0),"")</f>
        <v/>
      </c>
      <c r="R264" s="280" t="n"/>
      <c r="S264" s="280" t="n"/>
      <c r="T264" s="280" t="n"/>
      <c r="U264" s="280" t="n"/>
      <c r="V264" s="280" t="n"/>
      <c r="W264" s="280" t="n"/>
      <c r="X264" s="280" t="n"/>
      <c r="Y264" s="280" t="n"/>
      <c r="Z264" s="350" t="n"/>
      <c r="AA264" s="198" t="n"/>
      <c r="AB264" s="198" t="n"/>
      <c r="AC264" s="198" t="n"/>
    </row>
    <row r="265" ht="15" customHeight="1" s="195">
      <c r="A265" s="280" t="n"/>
      <c r="B265" s="280" t="n"/>
      <c r="C265" s="280" t="n"/>
      <c r="D265" s="280" t="n"/>
      <c r="E265" s="280" t="n"/>
      <c r="F265" s="280" t="n"/>
      <c r="G265" s="280" t="n"/>
      <c r="H265" s="280" t="n"/>
      <c r="I265" s="332">
        <f>IFERROR(VLOOKUP(TEXT(H265,"0"),IPRESS!$A$3:$B$212,2,0),"")</f>
        <v/>
      </c>
      <c r="J265" s="280" t="n"/>
      <c r="K265" s="343" t="n"/>
      <c r="L265" s="280" t="n"/>
      <c r="M265" s="280" t="n"/>
      <c r="N265" s="345" t="n"/>
      <c r="O265" s="280" t="n"/>
      <c r="P265" s="332">
        <f>IFERROR(VLOOKUP(TEXT(O265,"0"),CONDUCTORES!$A$3:$G$54,2,0),"")</f>
        <v/>
      </c>
      <c r="Q265" s="332">
        <f>IFERROR(VLOOKUP(TEXT(O265,"0"),CONDUCTORES!$A$3:$H$54,6,0),"")</f>
        <v/>
      </c>
      <c r="R265" s="280" t="n"/>
      <c r="S265" s="280" t="n"/>
      <c r="T265" s="280" t="n"/>
      <c r="U265" s="280" t="n"/>
      <c r="V265" s="280" t="n"/>
      <c r="W265" s="280" t="n"/>
      <c r="X265" s="280" t="n"/>
      <c r="Y265" s="280" t="n"/>
      <c r="Z265" s="350" t="n"/>
      <c r="AA265" s="198" t="n"/>
      <c r="AB265" s="198" t="n"/>
      <c r="AC265" s="198" t="n"/>
    </row>
    <row r="266" ht="15" customHeight="1" s="195">
      <c r="A266" s="280" t="n"/>
      <c r="B266" s="280" t="n"/>
      <c r="C266" s="280" t="n"/>
      <c r="D266" s="280" t="n"/>
      <c r="E266" s="280" t="n"/>
      <c r="F266" s="280" t="n"/>
      <c r="G266" s="280" t="n"/>
      <c r="H266" s="280" t="n"/>
      <c r="I266" s="332">
        <f>IFERROR(VLOOKUP(TEXT(H266,"0"),IPRESS!$A$3:$B$212,2,0),"")</f>
        <v/>
      </c>
      <c r="J266" s="280" t="n"/>
      <c r="K266" s="343" t="n"/>
      <c r="L266" s="280" t="n"/>
      <c r="M266" s="280" t="n"/>
      <c r="N266" s="345" t="n"/>
      <c r="O266" s="280" t="n"/>
      <c r="P266" s="332">
        <f>IFERROR(VLOOKUP(TEXT(O266,"0"),CONDUCTORES!$A$3:$G$54,2,0),"")</f>
        <v/>
      </c>
      <c r="Q266" s="332">
        <f>IFERROR(VLOOKUP(TEXT(O266,"0"),CONDUCTORES!$A$3:$H$54,6,0),"")</f>
        <v/>
      </c>
      <c r="R266" s="280" t="n"/>
      <c r="S266" s="280" t="n"/>
      <c r="T266" s="280" t="n"/>
      <c r="U266" s="280" t="n"/>
      <c r="V266" s="280" t="n"/>
      <c r="W266" s="280" t="n"/>
      <c r="X266" s="280" t="n"/>
      <c r="Y266" s="280" t="n"/>
      <c r="Z266" s="350" t="n"/>
      <c r="AA266" s="198" t="n"/>
      <c r="AB266" s="198" t="n"/>
      <c r="AC266" s="198" t="n"/>
    </row>
    <row r="267" ht="15" customHeight="1" s="195">
      <c r="A267" s="280" t="n"/>
      <c r="B267" s="280" t="n"/>
      <c r="C267" s="280" t="n"/>
      <c r="D267" s="280" t="n"/>
      <c r="E267" s="280" t="n"/>
      <c r="F267" s="280" t="n"/>
      <c r="G267" s="280" t="n"/>
      <c r="H267" s="280" t="n"/>
      <c r="I267" s="332">
        <f>IFERROR(VLOOKUP(TEXT(H267,"0"),IPRESS!$A$3:$B$212,2,0),"")</f>
        <v/>
      </c>
      <c r="J267" s="280" t="n"/>
      <c r="K267" s="343" t="n"/>
      <c r="L267" s="280" t="n"/>
      <c r="M267" s="280" t="n"/>
      <c r="N267" s="345" t="n"/>
      <c r="O267" s="280" t="n"/>
      <c r="P267" s="332">
        <f>IFERROR(VLOOKUP(TEXT(O267,"0"),CONDUCTORES!$A$3:$G$54,2,0),"")</f>
        <v/>
      </c>
      <c r="Q267" s="332">
        <f>IFERROR(VLOOKUP(TEXT(O267,"0"),CONDUCTORES!$A$3:$H$54,6,0),"")</f>
        <v/>
      </c>
      <c r="R267" s="280" t="n"/>
      <c r="S267" s="280" t="n"/>
      <c r="T267" s="280" t="n"/>
      <c r="U267" s="280" t="n"/>
      <c r="V267" s="280" t="n"/>
      <c r="W267" s="280" t="n"/>
      <c r="X267" s="280" t="n"/>
      <c r="Y267" s="280" t="n"/>
      <c r="Z267" s="350" t="n"/>
      <c r="AA267" s="198" t="n"/>
      <c r="AB267" s="198" t="n"/>
      <c r="AC267" s="198" t="n"/>
    </row>
    <row r="268" ht="15" customHeight="1" s="195">
      <c r="A268" s="280" t="n"/>
      <c r="B268" s="280" t="n"/>
      <c r="C268" s="280" t="n"/>
      <c r="D268" s="280" t="n"/>
      <c r="E268" s="280" t="n"/>
      <c r="F268" s="280" t="n"/>
      <c r="G268" s="280" t="n"/>
      <c r="H268" s="280" t="n"/>
      <c r="I268" s="332">
        <f>IFERROR(VLOOKUP(TEXT(H268,"0"),IPRESS!$A$3:$B$212,2,0),"")</f>
        <v/>
      </c>
      <c r="J268" s="280" t="n"/>
      <c r="K268" s="343" t="n"/>
      <c r="L268" s="280" t="n"/>
      <c r="M268" s="280" t="n"/>
      <c r="N268" s="345" t="n"/>
      <c r="O268" s="280" t="n"/>
      <c r="P268" s="332">
        <f>IFERROR(VLOOKUP(TEXT(O268,"0"),CONDUCTORES!$A$3:$G$54,2,0),"")</f>
        <v/>
      </c>
      <c r="Q268" s="332">
        <f>IFERROR(VLOOKUP(TEXT(O268,"0"),CONDUCTORES!$A$3:$H$54,6,0),"")</f>
        <v/>
      </c>
      <c r="R268" s="280" t="n"/>
      <c r="S268" s="280" t="n"/>
      <c r="T268" s="280" t="n"/>
      <c r="U268" s="280" t="n"/>
      <c r="V268" s="280" t="n"/>
      <c r="W268" s="280" t="n"/>
      <c r="X268" s="280" t="n"/>
      <c r="Y268" s="280" t="n"/>
      <c r="Z268" s="350" t="n"/>
      <c r="AA268" s="198" t="n"/>
      <c r="AB268" s="198" t="n"/>
      <c r="AC268" s="198" t="n"/>
    </row>
    <row r="269" ht="15" customHeight="1" s="195">
      <c r="A269" s="280" t="n"/>
      <c r="B269" s="280" t="n"/>
      <c r="C269" s="280" t="n"/>
      <c r="D269" s="280" t="n"/>
      <c r="E269" s="280" t="n"/>
      <c r="F269" s="280" t="n"/>
      <c r="G269" s="280" t="n"/>
      <c r="H269" s="280" t="n"/>
      <c r="I269" s="332">
        <f>IFERROR(VLOOKUP(TEXT(H269,"0"),IPRESS!$A$3:$B$212,2,0),"")</f>
        <v/>
      </c>
      <c r="J269" s="280" t="n"/>
      <c r="K269" s="343" t="n"/>
      <c r="L269" s="280" t="n"/>
      <c r="M269" s="280" t="n"/>
      <c r="N269" s="345" t="n"/>
      <c r="O269" s="280" t="n"/>
      <c r="P269" s="332">
        <f>IFERROR(VLOOKUP(TEXT(O269,"0"),CONDUCTORES!$A$3:$G$54,2,0),"")</f>
        <v/>
      </c>
      <c r="Q269" s="332">
        <f>IFERROR(VLOOKUP(TEXT(O269,"0"),CONDUCTORES!$A$3:$H$54,6,0),"")</f>
        <v/>
      </c>
      <c r="R269" s="280" t="n"/>
      <c r="S269" s="280" t="n"/>
      <c r="T269" s="280" t="n"/>
      <c r="U269" s="280" t="n"/>
      <c r="V269" s="280" t="n"/>
      <c r="W269" s="280" t="n"/>
      <c r="X269" s="280" t="n"/>
      <c r="Y269" s="280" t="n"/>
      <c r="Z269" s="350" t="n"/>
      <c r="AA269" s="198" t="n"/>
      <c r="AB269" s="198" t="n"/>
      <c r="AC269" s="198" t="n"/>
    </row>
    <row r="270" ht="15" customHeight="1" s="195">
      <c r="A270" s="280" t="n"/>
      <c r="B270" s="280" t="n"/>
      <c r="C270" s="280" t="n"/>
      <c r="D270" s="280" t="n"/>
      <c r="E270" s="280" t="n"/>
      <c r="F270" s="280" t="n"/>
      <c r="G270" s="280" t="n"/>
      <c r="H270" s="280" t="n"/>
      <c r="I270" s="332">
        <f>IFERROR(VLOOKUP(TEXT(H270,"0"),IPRESS!$A$3:$B$212,2,0),"")</f>
        <v/>
      </c>
      <c r="J270" s="280" t="n"/>
      <c r="K270" s="343" t="n"/>
      <c r="L270" s="280" t="n"/>
      <c r="M270" s="280" t="n"/>
      <c r="N270" s="345" t="n"/>
      <c r="O270" s="280" t="n"/>
      <c r="P270" s="332">
        <f>IFERROR(VLOOKUP(TEXT(O270,"0"),CONDUCTORES!$A$3:$G$54,2,0),"")</f>
        <v/>
      </c>
      <c r="Q270" s="332">
        <f>IFERROR(VLOOKUP(TEXT(O270,"0"),CONDUCTORES!$A$3:$H$54,6,0),"")</f>
        <v/>
      </c>
      <c r="R270" s="280" t="n"/>
      <c r="S270" s="280" t="n"/>
      <c r="T270" s="280" t="n"/>
      <c r="U270" s="280" t="n"/>
      <c r="V270" s="280" t="n"/>
      <c r="W270" s="280" t="n"/>
      <c r="X270" s="280" t="n"/>
      <c r="Y270" s="280" t="n"/>
      <c r="Z270" s="350" t="n"/>
      <c r="AA270" s="198" t="n"/>
      <c r="AB270" s="198" t="n"/>
      <c r="AC270" s="198" t="n"/>
    </row>
    <row r="271" ht="15" customHeight="1" s="195">
      <c r="A271" s="280" t="n"/>
      <c r="B271" s="280" t="n"/>
      <c r="C271" s="280" t="n"/>
      <c r="D271" s="280" t="n"/>
      <c r="E271" s="280" t="n"/>
      <c r="F271" s="280" t="n"/>
      <c r="G271" s="280" t="n"/>
      <c r="H271" s="280" t="n"/>
      <c r="I271" s="332">
        <f>IFERROR(VLOOKUP(TEXT(H271,"0"),IPRESS!$A$3:$B$212,2,0),"")</f>
        <v/>
      </c>
      <c r="J271" s="280" t="n"/>
      <c r="K271" s="343" t="n"/>
      <c r="L271" s="280" t="n"/>
      <c r="M271" s="280" t="n"/>
      <c r="N271" s="345" t="n"/>
      <c r="O271" s="280" t="n"/>
      <c r="P271" s="332">
        <f>IFERROR(VLOOKUP(TEXT(O271,"0"),CONDUCTORES!$A$3:$G$54,2,0),"")</f>
        <v/>
      </c>
      <c r="Q271" s="332">
        <f>IFERROR(VLOOKUP(TEXT(O271,"0"),CONDUCTORES!$A$3:$H$54,6,0),"")</f>
        <v/>
      </c>
      <c r="R271" s="280" t="n"/>
      <c r="S271" s="280" t="n"/>
      <c r="T271" s="280" t="n"/>
      <c r="U271" s="280" t="n"/>
      <c r="V271" s="280" t="n"/>
      <c r="W271" s="280" t="n"/>
      <c r="X271" s="280" t="n"/>
      <c r="Y271" s="280" t="n"/>
      <c r="Z271" s="350" t="n"/>
      <c r="AA271" s="198" t="n"/>
      <c r="AB271" s="198" t="n"/>
      <c r="AC271" s="198" t="n"/>
    </row>
    <row r="272" ht="15" customHeight="1" s="195">
      <c r="A272" s="280" t="n"/>
      <c r="B272" s="280" t="n"/>
      <c r="C272" s="280" t="n"/>
      <c r="D272" s="280" t="n"/>
      <c r="E272" s="280" t="n"/>
      <c r="F272" s="280" t="n"/>
      <c r="G272" s="280" t="n"/>
      <c r="H272" s="280" t="n"/>
      <c r="I272" s="332">
        <f>IFERROR(VLOOKUP(TEXT(H272,"0"),IPRESS!$A$3:$B$212,2,0),"")</f>
        <v/>
      </c>
      <c r="J272" s="280" t="n"/>
      <c r="K272" s="343" t="n"/>
      <c r="L272" s="280" t="n"/>
      <c r="M272" s="280" t="n"/>
      <c r="N272" s="345" t="n"/>
      <c r="O272" s="280" t="n"/>
      <c r="P272" s="332">
        <f>IFERROR(VLOOKUP(TEXT(O272,"0"),CONDUCTORES!$A$3:$G$54,2,0),"")</f>
        <v/>
      </c>
      <c r="Q272" s="332">
        <f>IFERROR(VLOOKUP(TEXT(O272,"0"),CONDUCTORES!$A$3:$H$54,6,0),"")</f>
        <v/>
      </c>
      <c r="R272" s="280" t="n"/>
      <c r="S272" s="280" t="n"/>
      <c r="T272" s="280" t="n"/>
      <c r="U272" s="280" t="n"/>
      <c r="V272" s="280" t="n"/>
      <c r="W272" s="280" t="n"/>
      <c r="X272" s="280" t="n"/>
      <c r="Y272" s="280" t="n"/>
      <c r="Z272" s="350" t="n"/>
      <c r="AA272" s="198" t="n"/>
      <c r="AB272" s="198" t="n"/>
      <c r="AC272" s="198" t="n"/>
    </row>
    <row r="273" ht="15" customHeight="1" s="195">
      <c r="A273" s="280" t="n"/>
      <c r="B273" s="280" t="n"/>
      <c r="C273" s="280" t="n"/>
      <c r="D273" s="280" t="n"/>
      <c r="E273" s="280" t="n"/>
      <c r="F273" s="280" t="n"/>
      <c r="G273" s="280" t="n"/>
      <c r="H273" s="280" t="n"/>
      <c r="I273" s="332">
        <f>IFERROR(VLOOKUP(TEXT(H273,"0"),IPRESS!$A$3:$B$212,2,0),"")</f>
        <v/>
      </c>
      <c r="J273" s="280" t="n"/>
      <c r="K273" s="343" t="n"/>
      <c r="L273" s="280" t="n"/>
      <c r="M273" s="280" t="n"/>
      <c r="N273" s="345" t="n"/>
      <c r="O273" s="280" t="n"/>
      <c r="P273" s="332">
        <f>IFERROR(VLOOKUP(TEXT(O273,"0"),CONDUCTORES!$A$3:$G$54,2,0),"")</f>
        <v/>
      </c>
      <c r="Q273" s="332">
        <f>IFERROR(VLOOKUP(TEXT(O273,"0"),CONDUCTORES!$A$3:$H$54,6,0),"")</f>
        <v/>
      </c>
      <c r="R273" s="280" t="n"/>
      <c r="S273" s="280" t="n"/>
      <c r="T273" s="280" t="n"/>
      <c r="U273" s="280" t="n"/>
      <c r="V273" s="280" t="n"/>
      <c r="W273" s="280" t="n"/>
      <c r="X273" s="280" t="n"/>
      <c r="Y273" s="280" t="n"/>
      <c r="Z273" s="350" t="n"/>
      <c r="AA273" s="198" t="n"/>
      <c r="AB273" s="198" t="n"/>
      <c r="AC273" s="198" t="n"/>
    </row>
    <row r="274" ht="15" customHeight="1" s="195">
      <c r="A274" s="280" t="n"/>
      <c r="B274" s="280" t="n"/>
      <c r="C274" s="280" t="n"/>
      <c r="D274" s="280" t="n"/>
      <c r="E274" s="280" t="n"/>
      <c r="F274" s="280" t="n"/>
      <c r="G274" s="280" t="n"/>
      <c r="H274" s="280" t="n"/>
      <c r="I274" s="332">
        <f>IFERROR(VLOOKUP(TEXT(H274,"0"),IPRESS!$A$3:$B$212,2,0),"")</f>
        <v/>
      </c>
      <c r="J274" s="280" t="n"/>
      <c r="K274" s="343" t="n"/>
      <c r="L274" s="280" t="n"/>
      <c r="M274" s="280" t="n"/>
      <c r="N274" s="345" t="n"/>
      <c r="O274" s="280" t="n"/>
      <c r="P274" s="332">
        <f>IFERROR(VLOOKUP(TEXT(O274,"0"),CONDUCTORES!$A$3:$G$54,2,0),"")</f>
        <v/>
      </c>
      <c r="Q274" s="332">
        <f>IFERROR(VLOOKUP(TEXT(O274,"0"),CONDUCTORES!$A$3:$H$54,6,0),"")</f>
        <v/>
      </c>
      <c r="R274" s="280" t="n"/>
      <c r="S274" s="280" t="n"/>
      <c r="T274" s="280" t="n"/>
      <c r="U274" s="280" t="n"/>
      <c r="V274" s="280" t="n"/>
      <c r="W274" s="280" t="n"/>
      <c r="X274" s="280" t="n"/>
      <c r="Y274" s="280" t="n"/>
      <c r="Z274" s="350" t="n"/>
      <c r="AA274" s="198" t="n"/>
      <c r="AB274" s="198" t="n"/>
      <c r="AC274" s="198" t="n"/>
    </row>
    <row r="275" ht="15" customHeight="1" s="195">
      <c r="A275" s="280" t="n"/>
      <c r="B275" s="280" t="n"/>
      <c r="C275" s="280" t="n"/>
      <c r="D275" s="280" t="n"/>
      <c r="E275" s="280" t="n"/>
      <c r="F275" s="280" t="n"/>
      <c r="G275" s="280" t="n"/>
      <c r="H275" s="280" t="n"/>
      <c r="I275" s="332">
        <f>IFERROR(VLOOKUP(TEXT(H275,"0"),IPRESS!$A$3:$B$212,2,0),"")</f>
        <v/>
      </c>
      <c r="J275" s="280" t="n"/>
      <c r="K275" s="343" t="n"/>
      <c r="L275" s="280" t="n"/>
      <c r="M275" s="280" t="n"/>
      <c r="N275" s="345" t="n"/>
      <c r="O275" s="280" t="n"/>
      <c r="P275" s="332">
        <f>IFERROR(VLOOKUP(TEXT(O275,"0"),CONDUCTORES!$A$3:$G$54,2,0),"")</f>
        <v/>
      </c>
      <c r="Q275" s="332">
        <f>IFERROR(VLOOKUP(TEXT(O275,"0"),CONDUCTORES!$A$3:$H$54,6,0),"")</f>
        <v/>
      </c>
      <c r="R275" s="280" t="n"/>
      <c r="S275" s="280" t="n"/>
      <c r="T275" s="280" t="n"/>
      <c r="U275" s="280" t="n"/>
      <c r="V275" s="280" t="n"/>
      <c r="W275" s="280" t="n"/>
      <c r="X275" s="280" t="n"/>
      <c r="Y275" s="280" t="n"/>
      <c r="Z275" s="350" t="n"/>
      <c r="AA275" s="198" t="n"/>
      <c r="AB275" s="198" t="n"/>
      <c r="AC275" s="198" t="n"/>
    </row>
    <row r="276" ht="15" customHeight="1" s="195">
      <c r="A276" s="280" t="n"/>
      <c r="B276" s="280" t="n"/>
      <c r="C276" s="280" t="n"/>
      <c r="D276" s="280" t="n"/>
      <c r="E276" s="280" t="n"/>
      <c r="F276" s="280" t="n"/>
      <c r="G276" s="280" t="n"/>
      <c r="H276" s="280" t="n"/>
      <c r="I276" s="332">
        <f>IFERROR(VLOOKUP(TEXT(H276,"0"),IPRESS!$A$3:$B$212,2,0),"")</f>
        <v/>
      </c>
      <c r="J276" s="280" t="n"/>
      <c r="K276" s="343" t="n"/>
      <c r="L276" s="280" t="n"/>
      <c r="M276" s="280" t="n"/>
      <c r="N276" s="345" t="n"/>
      <c r="O276" s="280" t="n"/>
      <c r="P276" s="332">
        <f>IFERROR(VLOOKUP(TEXT(O276,"0"),CONDUCTORES!$A$3:$G$54,2,0),"")</f>
        <v/>
      </c>
      <c r="Q276" s="332">
        <f>IFERROR(VLOOKUP(TEXT(O276,"0"),CONDUCTORES!$A$3:$H$54,6,0),"")</f>
        <v/>
      </c>
      <c r="R276" s="280" t="n"/>
      <c r="S276" s="280" t="n"/>
      <c r="T276" s="280" t="n"/>
      <c r="U276" s="280" t="n"/>
      <c r="V276" s="280" t="n"/>
      <c r="W276" s="280" t="n"/>
      <c r="X276" s="280" t="n"/>
      <c r="Y276" s="280" t="n"/>
      <c r="Z276" s="350" t="n"/>
      <c r="AA276" s="198" t="n"/>
      <c r="AB276" s="198" t="n"/>
      <c r="AC276" s="198" t="n"/>
    </row>
    <row r="277" ht="15" customHeight="1" s="195">
      <c r="A277" s="280" t="n"/>
      <c r="B277" s="280" t="n"/>
      <c r="C277" s="280" t="n"/>
      <c r="D277" s="280" t="n"/>
      <c r="E277" s="280" t="n"/>
      <c r="F277" s="280" t="n"/>
      <c r="G277" s="280" t="n"/>
      <c r="H277" s="280" t="n"/>
      <c r="I277" s="332">
        <f>IFERROR(VLOOKUP(TEXT(H277,"0"),IPRESS!$A$3:$B$212,2,0),"")</f>
        <v/>
      </c>
      <c r="J277" s="280" t="n"/>
      <c r="K277" s="343" t="n"/>
      <c r="L277" s="280" t="n"/>
      <c r="M277" s="280" t="n"/>
      <c r="N277" s="345" t="n"/>
      <c r="O277" s="280" t="n"/>
      <c r="P277" s="332">
        <f>IFERROR(VLOOKUP(TEXT(O277,"0"),CONDUCTORES!$A$3:$G$54,2,0),"")</f>
        <v/>
      </c>
      <c r="Q277" s="332">
        <f>IFERROR(VLOOKUP(TEXT(O277,"0"),CONDUCTORES!$A$3:$H$54,6,0),"")</f>
        <v/>
      </c>
      <c r="R277" s="280" t="n"/>
      <c r="S277" s="280" t="n"/>
      <c r="T277" s="280" t="n"/>
      <c r="U277" s="280" t="n"/>
      <c r="V277" s="280" t="n"/>
      <c r="W277" s="280" t="n"/>
      <c r="X277" s="280" t="n"/>
      <c r="Y277" s="280" t="n"/>
      <c r="Z277" s="350" t="n"/>
      <c r="AA277" s="198" t="n"/>
      <c r="AB277" s="198" t="n"/>
      <c r="AC277" s="198" t="n"/>
    </row>
    <row r="278" ht="15" customHeight="1" s="195">
      <c r="A278" s="280" t="n"/>
      <c r="B278" s="280" t="n"/>
      <c r="C278" s="280" t="n"/>
      <c r="D278" s="280" t="n"/>
      <c r="E278" s="280" t="n"/>
      <c r="F278" s="280" t="n"/>
      <c r="G278" s="280" t="n"/>
      <c r="H278" s="280" t="n"/>
      <c r="I278" s="332">
        <f>IFERROR(VLOOKUP(TEXT(H278,"0"),IPRESS!$A$3:$B$212,2,0),"")</f>
        <v/>
      </c>
      <c r="J278" s="280" t="n"/>
      <c r="K278" s="343" t="n"/>
      <c r="L278" s="280" t="n"/>
      <c r="M278" s="280" t="n"/>
      <c r="N278" s="345" t="n"/>
      <c r="O278" s="280" t="n"/>
      <c r="P278" s="332">
        <f>IFERROR(VLOOKUP(TEXT(O278,"0"),CONDUCTORES!$A$3:$G$54,2,0),"")</f>
        <v/>
      </c>
      <c r="Q278" s="332">
        <f>IFERROR(VLOOKUP(TEXT(O278,"0"),CONDUCTORES!$A$3:$H$54,6,0),"")</f>
        <v/>
      </c>
      <c r="R278" s="280" t="n"/>
      <c r="S278" s="280" t="n"/>
      <c r="T278" s="280" t="n"/>
      <c r="U278" s="280" t="n"/>
      <c r="V278" s="280" t="n"/>
      <c r="W278" s="280" t="n"/>
      <c r="X278" s="280" t="n"/>
      <c r="Y278" s="280" t="n"/>
      <c r="Z278" s="350" t="n"/>
      <c r="AA278" s="198" t="n"/>
      <c r="AB278" s="198" t="n"/>
      <c r="AC278" s="198" t="n"/>
    </row>
    <row r="279" ht="15" customHeight="1" s="195">
      <c r="A279" s="280" t="n"/>
      <c r="B279" s="280" t="n"/>
      <c r="C279" s="280" t="n"/>
      <c r="D279" s="280" t="n"/>
      <c r="E279" s="280" t="n"/>
      <c r="F279" s="280" t="n"/>
      <c r="G279" s="280" t="n"/>
      <c r="H279" s="280" t="n"/>
      <c r="I279" s="332">
        <f>IFERROR(VLOOKUP(TEXT(H279,"0"),IPRESS!$A$3:$B$212,2,0),"")</f>
        <v/>
      </c>
      <c r="J279" s="280" t="n"/>
      <c r="K279" s="343" t="n"/>
      <c r="L279" s="280" t="n"/>
      <c r="M279" s="280" t="n"/>
      <c r="N279" s="345" t="n"/>
      <c r="O279" s="280" t="n"/>
      <c r="P279" s="332">
        <f>IFERROR(VLOOKUP(TEXT(O279,"0"),CONDUCTORES!$A$3:$G$54,2,0),"")</f>
        <v/>
      </c>
      <c r="Q279" s="332">
        <f>IFERROR(VLOOKUP(TEXT(O279,"0"),CONDUCTORES!$A$3:$H$54,6,0),"")</f>
        <v/>
      </c>
      <c r="R279" s="280" t="n"/>
      <c r="S279" s="280" t="n"/>
      <c r="T279" s="280" t="n"/>
      <c r="U279" s="280" t="n"/>
      <c r="V279" s="280" t="n"/>
      <c r="W279" s="280" t="n"/>
      <c r="X279" s="280" t="n"/>
      <c r="Y279" s="280" t="n"/>
      <c r="Z279" s="350" t="n"/>
      <c r="AA279" s="198" t="n"/>
      <c r="AB279" s="198" t="n"/>
      <c r="AC279" s="198" t="n"/>
    </row>
    <row r="280" ht="15" customHeight="1" s="195">
      <c r="A280" s="280" t="n"/>
      <c r="B280" s="280" t="n"/>
      <c r="C280" s="280" t="n"/>
      <c r="D280" s="280" t="n"/>
      <c r="E280" s="280" t="n"/>
      <c r="F280" s="280" t="n"/>
      <c r="G280" s="280" t="n"/>
      <c r="H280" s="280" t="n"/>
      <c r="I280" s="332">
        <f>IFERROR(VLOOKUP(TEXT(H280,"0"),IPRESS!$A$3:$B$212,2,0),"")</f>
        <v/>
      </c>
      <c r="J280" s="280" t="n"/>
      <c r="K280" s="343" t="n"/>
      <c r="L280" s="280" t="n"/>
      <c r="M280" s="280" t="n"/>
      <c r="N280" s="345" t="n"/>
      <c r="O280" s="280" t="n"/>
      <c r="P280" s="332">
        <f>IFERROR(VLOOKUP(TEXT(O280,"0"),CONDUCTORES!$A$3:$G$54,2,0),"")</f>
        <v/>
      </c>
      <c r="Q280" s="332">
        <f>IFERROR(VLOOKUP(TEXT(O280,"0"),CONDUCTORES!$A$3:$H$54,6,0),"")</f>
        <v/>
      </c>
      <c r="R280" s="280" t="n"/>
      <c r="S280" s="280" t="n"/>
      <c r="T280" s="280" t="n"/>
      <c r="U280" s="280" t="n"/>
      <c r="V280" s="280" t="n"/>
      <c r="W280" s="280" t="n"/>
      <c r="X280" s="280" t="n"/>
      <c r="Y280" s="280" t="n"/>
      <c r="Z280" s="350" t="n"/>
      <c r="AA280" s="198" t="n"/>
      <c r="AB280" s="198" t="n"/>
      <c r="AC280" s="198" t="n"/>
    </row>
    <row r="281" ht="15" customHeight="1" s="195">
      <c r="A281" s="280" t="n"/>
      <c r="B281" s="280" t="n"/>
      <c r="C281" s="280" t="n"/>
      <c r="D281" s="280" t="n"/>
      <c r="E281" s="280" t="n"/>
      <c r="F281" s="280" t="n"/>
      <c r="G281" s="280" t="n"/>
      <c r="H281" s="280" t="n"/>
      <c r="I281" s="332">
        <f>IFERROR(VLOOKUP(TEXT(H281,"0"),IPRESS!$A$3:$B$212,2,0),"")</f>
        <v/>
      </c>
      <c r="J281" s="280" t="n"/>
      <c r="K281" s="343" t="n"/>
      <c r="L281" s="280" t="n"/>
      <c r="M281" s="280" t="n"/>
      <c r="N281" s="345" t="n"/>
      <c r="O281" s="280" t="n"/>
      <c r="P281" s="332">
        <f>IFERROR(VLOOKUP(TEXT(O281,"0"),CONDUCTORES!$A$3:$G$54,2,0),"")</f>
        <v/>
      </c>
      <c r="Q281" s="332">
        <f>IFERROR(VLOOKUP(TEXT(O281,"0"),CONDUCTORES!$A$3:$H$54,6,0),"")</f>
        <v/>
      </c>
      <c r="R281" s="280" t="n"/>
      <c r="S281" s="280" t="n"/>
      <c r="T281" s="280" t="n"/>
      <c r="U281" s="280" t="n"/>
      <c r="V281" s="280" t="n"/>
      <c r="W281" s="280" t="n"/>
      <c r="X281" s="280" t="n"/>
      <c r="Y281" s="280" t="n"/>
      <c r="Z281" s="350" t="n"/>
      <c r="AA281" s="198" t="n"/>
      <c r="AB281" s="198" t="n"/>
      <c r="AC281" s="198" t="n"/>
    </row>
    <row r="282" ht="15" customHeight="1" s="195">
      <c r="A282" s="280" t="n"/>
      <c r="B282" s="280" t="n"/>
      <c r="C282" s="280" t="n"/>
      <c r="D282" s="280" t="n"/>
      <c r="E282" s="280" t="n"/>
      <c r="F282" s="280" t="n"/>
      <c r="G282" s="280" t="n"/>
      <c r="H282" s="280" t="n"/>
      <c r="I282" s="332">
        <f>IFERROR(VLOOKUP(TEXT(H282,"0"),IPRESS!$A$3:$B$212,2,0),"")</f>
        <v/>
      </c>
      <c r="J282" s="280" t="n"/>
      <c r="K282" s="343" t="n"/>
      <c r="L282" s="280" t="n"/>
      <c r="M282" s="280" t="n"/>
      <c r="N282" s="345" t="n"/>
      <c r="O282" s="280" t="n"/>
      <c r="P282" s="332">
        <f>IFERROR(VLOOKUP(TEXT(O282,"0"),CONDUCTORES!$A$3:$G$54,2,0),"")</f>
        <v/>
      </c>
      <c r="Q282" s="332">
        <f>IFERROR(VLOOKUP(TEXT(O282,"0"),CONDUCTORES!$A$3:$H$54,6,0),"")</f>
        <v/>
      </c>
      <c r="R282" s="280" t="n"/>
      <c r="S282" s="280" t="n"/>
      <c r="T282" s="280" t="n"/>
      <c r="U282" s="280" t="n"/>
      <c r="V282" s="280" t="n"/>
      <c r="W282" s="280" t="n"/>
      <c r="X282" s="280" t="n"/>
      <c r="Y282" s="280" t="n"/>
      <c r="Z282" s="350" t="n"/>
      <c r="AA282" s="198" t="n"/>
      <c r="AB282" s="198" t="n"/>
      <c r="AC282" s="198" t="n"/>
    </row>
    <row r="283" ht="15" customHeight="1" s="195">
      <c r="A283" s="280" t="n"/>
      <c r="B283" s="280" t="n"/>
      <c r="C283" s="280" t="n"/>
      <c r="D283" s="280" t="n"/>
      <c r="E283" s="280" t="n"/>
      <c r="F283" s="280" t="n"/>
      <c r="G283" s="280" t="n"/>
      <c r="H283" s="280" t="n"/>
      <c r="I283" s="332">
        <f>IFERROR(VLOOKUP(TEXT(H283,"0"),IPRESS!$A$3:$B$212,2,0),"")</f>
        <v/>
      </c>
      <c r="J283" s="280" t="n"/>
      <c r="K283" s="343" t="n"/>
      <c r="L283" s="280" t="n"/>
      <c r="M283" s="280" t="n"/>
      <c r="N283" s="345" t="n"/>
      <c r="O283" s="280" t="n"/>
      <c r="P283" s="332">
        <f>IFERROR(VLOOKUP(TEXT(O283,"0"),CONDUCTORES!$A$3:$G$54,2,0),"")</f>
        <v/>
      </c>
      <c r="Q283" s="332">
        <f>IFERROR(VLOOKUP(TEXT(O283,"0"),CONDUCTORES!$A$3:$H$54,6,0),"")</f>
        <v/>
      </c>
      <c r="R283" s="280" t="n"/>
      <c r="S283" s="280" t="n"/>
      <c r="T283" s="280" t="n"/>
      <c r="U283" s="280" t="n"/>
      <c r="V283" s="280" t="n"/>
      <c r="W283" s="280" t="n"/>
      <c r="X283" s="280" t="n"/>
      <c r="Y283" s="280" t="n"/>
      <c r="Z283" s="350" t="n"/>
      <c r="AA283" s="198" t="n"/>
      <c r="AB283" s="198" t="n"/>
      <c r="AC283" s="198" t="n"/>
    </row>
    <row r="284" ht="15" customHeight="1" s="195">
      <c r="A284" s="280" t="n"/>
      <c r="B284" s="280" t="n"/>
      <c r="C284" s="280" t="n"/>
      <c r="D284" s="280" t="n"/>
      <c r="E284" s="280" t="n"/>
      <c r="F284" s="280" t="n"/>
      <c r="G284" s="280" t="n"/>
      <c r="H284" s="280" t="n"/>
      <c r="I284" s="332">
        <f>IFERROR(VLOOKUP(TEXT(H284,"0"),IPRESS!$A$3:$B$212,2,0),"")</f>
        <v/>
      </c>
      <c r="J284" s="280" t="n"/>
      <c r="K284" s="343" t="n"/>
      <c r="L284" s="280" t="n"/>
      <c r="M284" s="280" t="n"/>
      <c r="N284" s="345" t="n"/>
      <c r="O284" s="280" t="n"/>
      <c r="P284" s="332">
        <f>IFERROR(VLOOKUP(TEXT(O284,"0"),CONDUCTORES!$A$3:$G$54,2,0),"")</f>
        <v/>
      </c>
      <c r="Q284" s="332">
        <f>IFERROR(VLOOKUP(TEXT(O284,"0"),CONDUCTORES!$A$3:$H$54,6,0),"")</f>
        <v/>
      </c>
      <c r="R284" s="280" t="n"/>
      <c r="S284" s="280" t="n"/>
      <c r="T284" s="280" t="n"/>
      <c r="U284" s="280" t="n"/>
      <c r="V284" s="280" t="n"/>
      <c r="W284" s="280" t="n"/>
      <c r="X284" s="280" t="n"/>
      <c r="Y284" s="280" t="n"/>
      <c r="Z284" s="350" t="n"/>
      <c r="AA284" s="198" t="n"/>
      <c r="AB284" s="198" t="n"/>
      <c r="AC284" s="198" t="n"/>
    </row>
    <row r="285" ht="15" customHeight="1" s="195">
      <c r="A285" s="280" t="n"/>
      <c r="B285" s="280" t="n"/>
      <c r="C285" s="280" t="n"/>
      <c r="D285" s="280" t="n"/>
      <c r="E285" s="280" t="n"/>
      <c r="F285" s="280" t="n"/>
      <c r="G285" s="280" t="n"/>
      <c r="H285" s="280" t="n"/>
      <c r="I285" s="332">
        <f>IFERROR(VLOOKUP(TEXT(H285,"0"),IPRESS!$A$3:$B$212,2,0),"")</f>
        <v/>
      </c>
      <c r="J285" s="280" t="n"/>
      <c r="K285" s="343" t="n"/>
      <c r="L285" s="280" t="n"/>
      <c r="M285" s="280" t="n"/>
      <c r="N285" s="345" t="n"/>
      <c r="O285" s="280" t="n"/>
      <c r="P285" s="332">
        <f>IFERROR(VLOOKUP(TEXT(O285,"0"),CONDUCTORES!$A$3:$G$54,2,0),"")</f>
        <v/>
      </c>
      <c r="Q285" s="332">
        <f>IFERROR(VLOOKUP(TEXT(O285,"0"),CONDUCTORES!$A$3:$H$54,6,0),"")</f>
        <v/>
      </c>
      <c r="R285" s="280" t="n"/>
      <c r="S285" s="280" t="n"/>
      <c r="T285" s="280" t="n"/>
      <c r="U285" s="280" t="n"/>
      <c r="V285" s="280" t="n"/>
      <c r="W285" s="280" t="n"/>
      <c r="X285" s="280" t="n"/>
      <c r="Y285" s="280" t="n"/>
      <c r="Z285" s="350" t="n"/>
      <c r="AA285" s="198" t="n"/>
      <c r="AB285" s="198" t="n"/>
      <c r="AC285" s="198" t="n"/>
    </row>
    <row r="286" ht="15" customHeight="1" s="195">
      <c r="A286" s="280" t="n"/>
      <c r="B286" s="280" t="n"/>
      <c r="C286" s="280" t="n"/>
      <c r="D286" s="280" t="n"/>
      <c r="E286" s="280" t="n"/>
      <c r="F286" s="280" t="n"/>
      <c r="G286" s="280" t="n"/>
      <c r="H286" s="280" t="n"/>
      <c r="I286" s="332">
        <f>IFERROR(VLOOKUP(TEXT(H286,"0"),IPRESS!$A$3:$B$212,2,0),"")</f>
        <v/>
      </c>
      <c r="J286" s="280" t="n"/>
      <c r="K286" s="343" t="n"/>
      <c r="L286" s="280" t="n"/>
      <c r="M286" s="280" t="n"/>
      <c r="N286" s="345" t="n"/>
      <c r="O286" s="280" t="n"/>
      <c r="P286" s="332">
        <f>IFERROR(VLOOKUP(TEXT(O286,"0"),CONDUCTORES!$A$3:$G$54,2,0),"")</f>
        <v/>
      </c>
      <c r="Q286" s="332">
        <f>IFERROR(VLOOKUP(TEXT(O286,"0"),CONDUCTORES!$A$3:$H$54,6,0),"")</f>
        <v/>
      </c>
      <c r="R286" s="280" t="n"/>
      <c r="S286" s="280" t="n"/>
      <c r="T286" s="280" t="n"/>
      <c r="U286" s="280" t="n"/>
      <c r="V286" s="280" t="n"/>
      <c r="W286" s="280" t="n"/>
      <c r="X286" s="280" t="n"/>
      <c r="Y286" s="280" t="n"/>
      <c r="Z286" s="350" t="n"/>
      <c r="AA286" s="198" t="n"/>
      <c r="AB286" s="198" t="n"/>
      <c r="AC286" s="198" t="n"/>
    </row>
    <row r="287" ht="15" customHeight="1" s="195">
      <c r="A287" s="280" t="n"/>
      <c r="B287" s="280" t="n"/>
      <c r="C287" s="280" t="n"/>
      <c r="D287" s="280" t="n"/>
      <c r="E287" s="280" t="n"/>
      <c r="F287" s="280" t="n"/>
      <c r="G287" s="280" t="n"/>
      <c r="H287" s="280" t="n"/>
      <c r="I287" s="332">
        <f>IFERROR(VLOOKUP(TEXT(H287,"0"),IPRESS!$A$3:$B$212,2,0),"")</f>
        <v/>
      </c>
      <c r="J287" s="280" t="n"/>
      <c r="K287" s="343" t="n"/>
      <c r="L287" s="280" t="n"/>
      <c r="M287" s="280" t="n"/>
      <c r="N287" s="345" t="n"/>
      <c r="O287" s="280" t="n"/>
      <c r="P287" s="332">
        <f>IFERROR(VLOOKUP(TEXT(O287,"0"),CONDUCTORES!$A$3:$G$54,2,0),"")</f>
        <v/>
      </c>
      <c r="Q287" s="332">
        <f>IFERROR(VLOOKUP(TEXT(O287,"0"),CONDUCTORES!$A$3:$H$54,6,0),"")</f>
        <v/>
      </c>
      <c r="R287" s="280" t="n"/>
      <c r="S287" s="280" t="n"/>
      <c r="T287" s="280" t="n"/>
      <c r="U287" s="280" t="n"/>
      <c r="V287" s="280" t="n"/>
      <c r="W287" s="280" t="n"/>
      <c r="X287" s="280" t="n"/>
      <c r="Y287" s="280" t="n"/>
      <c r="Z287" s="350" t="n"/>
      <c r="AA287" s="198" t="n"/>
      <c r="AB287" s="198" t="n"/>
      <c r="AC287" s="198" t="n"/>
    </row>
    <row r="288" ht="15" customHeight="1" s="195">
      <c r="A288" s="280" t="n"/>
      <c r="B288" s="280" t="n"/>
      <c r="C288" s="280" t="n"/>
      <c r="D288" s="280" t="n"/>
      <c r="E288" s="280" t="n"/>
      <c r="F288" s="280" t="n"/>
      <c r="G288" s="280" t="n"/>
      <c r="H288" s="280" t="n"/>
      <c r="I288" s="332">
        <f>IFERROR(VLOOKUP(TEXT(H288,"0"),IPRESS!$A$3:$B$212,2,0),"")</f>
        <v/>
      </c>
      <c r="J288" s="280" t="n"/>
      <c r="K288" s="343" t="n"/>
      <c r="L288" s="280" t="n"/>
      <c r="M288" s="280" t="n"/>
      <c r="N288" s="345" t="n"/>
      <c r="O288" s="280" t="n"/>
      <c r="P288" s="332">
        <f>IFERROR(VLOOKUP(TEXT(O288,"0"),CONDUCTORES!$A$3:$G$54,2,0),"")</f>
        <v/>
      </c>
      <c r="Q288" s="332">
        <f>IFERROR(VLOOKUP(TEXT(O288,"0"),CONDUCTORES!$A$3:$H$54,6,0),"")</f>
        <v/>
      </c>
      <c r="R288" s="280" t="n"/>
      <c r="S288" s="280" t="n"/>
      <c r="T288" s="280" t="n"/>
      <c r="U288" s="280" t="n"/>
      <c r="V288" s="280" t="n"/>
      <c r="W288" s="280" t="n"/>
      <c r="X288" s="280" t="n"/>
      <c r="Y288" s="280" t="n"/>
      <c r="Z288" s="350" t="n"/>
      <c r="AA288" s="198" t="n"/>
      <c r="AB288" s="198" t="n"/>
      <c r="AC288" s="198" t="n"/>
    </row>
    <row r="289" ht="15" customHeight="1" s="195">
      <c r="A289" s="280" t="n"/>
      <c r="B289" s="280" t="n"/>
      <c r="C289" s="280" t="n"/>
      <c r="D289" s="280" t="n"/>
      <c r="E289" s="280" t="n"/>
      <c r="F289" s="280" t="n"/>
      <c r="G289" s="280" t="n"/>
      <c r="H289" s="280" t="n"/>
      <c r="I289" s="332">
        <f>IFERROR(VLOOKUP(TEXT(H289,"0"),IPRESS!$A$3:$B$212,2,0),"")</f>
        <v/>
      </c>
      <c r="J289" s="280" t="n"/>
      <c r="K289" s="343" t="n"/>
      <c r="L289" s="280" t="n"/>
      <c r="M289" s="280" t="n"/>
      <c r="N289" s="345" t="n"/>
      <c r="O289" s="280" t="n"/>
      <c r="P289" s="332">
        <f>IFERROR(VLOOKUP(TEXT(O289,"0"),CONDUCTORES!$A$3:$G$54,2,0),"")</f>
        <v/>
      </c>
      <c r="Q289" s="332">
        <f>IFERROR(VLOOKUP(TEXT(O289,"0"),CONDUCTORES!$A$3:$H$54,6,0),"")</f>
        <v/>
      </c>
      <c r="R289" s="280" t="n"/>
      <c r="S289" s="280" t="n"/>
      <c r="T289" s="280" t="n"/>
      <c r="U289" s="280" t="n"/>
      <c r="V289" s="280" t="n"/>
      <c r="W289" s="280" t="n"/>
      <c r="X289" s="280" t="n"/>
      <c r="Y289" s="280" t="n"/>
      <c r="Z289" s="350" t="n"/>
      <c r="AA289" s="198" t="n"/>
      <c r="AB289" s="198" t="n"/>
      <c r="AC289" s="198" t="n"/>
    </row>
    <row r="290" ht="15" customHeight="1" s="195">
      <c r="A290" s="280" t="n"/>
      <c r="B290" s="280" t="n"/>
      <c r="C290" s="280" t="n"/>
      <c r="D290" s="280" t="n"/>
      <c r="E290" s="280" t="n"/>
      <c r="F290" s="280" t="n"/>
      <c r="G290" s="280" t="n"/>
      <c r="H290" s="280" t="n"/>
      <c r="I290" s="332">
        <f>IFERROR(VLOOKUP(TEXT(H290,"0"),IPRESS!$A$3:$B$212,2,0),"")</f>
        <v/>
      </c>
      <c r="J290" s="280" t="n"/>
      <c r="K290" s="343" t="n"/>
      <c r="L290" s="280" t="n"/>
      <c r="M290" s="280" t="n"/>
      <c r="N290" s="345" t="n"/>
      <c r="O290" s="280" t="n"/>
      <c r="P290" s="332">
        <f>IFERROR(VLOOKUP(TEXT(O290,"0"),CONDUCTORES!$A$3:$G$54,2,0),"")</f>
        <v/>
      </c>
      <c r="Q290" s="332">
        <f>IFERROR(VLOOKUP(TEXT(O290,"0"),CONDUCTORES!$A$3:$H$54,6,0),"")</f>
        <v/>
      </c>
      <c r="R290" s="280" t="n"/>
      <c r="S290" s="280" t="n"/>
      <c r="T290" s="280" t="n"/>
      <c r="U290" s="280" t="n"/>
      <c r="V290" s="280" t="n"/>
      <c r="W290" s="280" t="n"/>
      <c r="X290" s="280" t="n"/>
      <c r="Y290" s="280" t="n"/>
      <c r="Z290" s="350" t="n"/>
      <c r="AA290" s="198" t="n"/>
      <c r="AB290" s="198" t="n"/>
      <c r="AC290" s="198" t="n"/>
    </row>
    <row r="291" ht="15" customHeight="1" s="195">
      <c r="A291" s="280" t="n"/>
      <c r="B291" s="280" t="n"/>
      <c r="C291" s="280" t="n"/>
      <c r="D291" s="280" t="n"/>
      <c r="E291" s="280" t="n"/>
      <c r="F291" s="280" t="n"/>
      <c r="G291" s="280" t="n"/>
      <c r="H291" s="280" t="n"/>
      <c r="I291" s="332">
        <f>IFERROR(VLOOKUP(TEXT(H291,"0"),IPRESS!$A$3:$B$212,2,0),"")</f>
        <v/>
      </c>
      <c r="J291" s="280" t="n"/>
      <c r="K291" s="343" t="n"/>
      <c r="L291" s="280" t="n"/>
      <c r="M291" s="280" t="n"/>
      <c r="N291" s="345" t="n"/>
      <c r="O291" s="280" t="n"/>
      <c r="P291" s="332">
        <f>IFERROR(VLOOKUP(TEXT(O291,"0"),CONDUCTORES!$A$3:$G$54,2,0),"")</f>
        <v/>
      </c>
      <c r="Q291" s="332">
        <f>IFERROR(VLOOKUP(TEXT(O291,"0"),CONDUCTORES!$A$3:$H$54,6,0),"")</f>
        <v/>
      </c>
      <c r="R291" s="280" t="n"/>
      <c r="S291" s="280" t="n"/>
      <c r="T291" s="280" t="n"/>
      <c r="U291" s="280" t="n"/>
      <c r="V291" s="280" t="n"/>
      <c r="W291" s="280" t="n"/>
      <c r="X291" s="280" t="n"/>
      <c r="Y291" s="280" t="n"/>
      <c r="Z291" s="350" t="n"/>
      <c r="AA291" s="198" t="n"/>
      <c r="AB291" s="198" t="n"/>
      <c r="AC291" s="198" t="n"/>
    </row>
    <row r="292" ht="15" customHeight="1" s="195">
      <c r="A292" s="280" t="n"/>
      <c r="B292" s="280" t="n"/>
      <c r="C292" s="280" t="n"/>
      <c r="D292" s="280" t="n"/>
      <c r="E292" s="280" t="n"/>
      <c r="F292" s="280" t="n"/>
      <c r="G292" s="280" t="n"/>
      <c r="H292" s="280" t="n"/>
      <c r="I292" s="332">
        <f>IFERROR(VLOOKUP(TEXT(H292,"0"),IPRESS!$A$3:$B$212,2,0),"")</f>
        <v/>
      </c>
      <c r="J292" s="280" t="n"/>
      <c r="K292" s="343" t="n"/>
      <c r="L292" s="280" t="n"/>
      <c r="M292" s="280" t="n"/>
      <c r="N292" s="345" t="n"/>
      <c r="O292" s="280" t="n"/>
      <c r="P292" s="332">
        <f>IFERROR(VLOOKUP(TEXT(O292,"0"),CONDUCTORES!$A$3:$G$54,2,0),"")</f>
        <v/>
      </c>
      <c r="Q292" s="332">
        <f>IFERROR(VLOOKUP(TEXT(O292,"0"),CONDUCTORES!$A$3:$H$54,6,0),"")</f>
        <v/>
      </c>
      <c r="R292" s="280" t="n"/>
      <c r="S292" s="280" t="n"/>
      <c r="T292" s="280" t="n"/>
      <c r="U292" s="280" t="n"/>
      <c r="V292" s="280" t="n"/>
      <c r="W292" s="280" t="n"/>
      <c r="X292" s="280" t="n"/>
      <c r="Y292" s="280" t="n"/>
      <c r="Z292" s="350" t="n"/>
      <c r="AA292" s="198" t="n"/>
      <c r="AB292" s="198" t="n"/>
      <c r="AC292" s="198" t="n"/>
    </row>
    <row r="293" ht="15" customHeight="1" s="195">
      <c r="A293" s="280" t="n"/>
      <c r="B293" s="280" t="n"/>
      <c r="C293" s="280" t="n"/>
      <c r="D293" s="280" t="n"/>
      <c r="E293" s="280" t="n"/>
      <c r="F293" s="280" t="n"/>
      <c r="G293" s="280" t="n"/>
      <c r="H293" s="280" t="n"/>
      <c r="I293" s="332">
        <f>IFERROR(VLOOKUP(TEXT(H293,"0"),IPRESS!$A$3:$B$212,2,0),"")</f>
        <v/>
      </c>
      <c r="J293" s="280" t="n"/>
      <c r="K293" s="343" t="n"/>
      <c r="L293" s="280" t="n"/>
      <c r="M293" s="280" t="n"/>
      <c r="N293" s="345" t="n"/>
      <c r="O293" s="280" t="n"/>
      <c r="P293" s="332">
        <f>IFERROR(VLOOKUP(TEXT(O293,"0"),CONDUCTORES!$A$3:$G$54,2,0),"")</f>
        <v/>
      </c>
      <c r="Q293" s="332">
        <f>IFERROR(VLOOKUP(TEXT(O293,"0"),CONDUCTORES!$A$3:$H$54,6,0),"")</f>
        <v/>
      </c>
      <c r="R293" s="280" t="n"/>
      <c r="S293" s="280" t="n"/>
      <c r="T293" s="280" t="n"/>
      <c r="U293" s="280" t="n"/>
      <c r="V293" s="280" t="n"/>
      <c r="W293" s="280" t="n"/>
      <c r="X293" s="280" t="n"/>
      <c r="Y293" s="280" t="n"/>
      <c r="Z293" s="350" t="n"/>
      <c r="AA293" s="198" t="n"/>
      <c r="AB293" s="198" t="n"/>
      <c r="AC293" s="198" t="n"/>
    </row>
    <row r="294" ht="15" customHeight="1" s="195">
      <c r="A294" s="280" t="n"/>
      <c r="B294" s="280" t="n"/>
      <c r="C294" s="280" t="n"/>
      <c r="D294" s="280" t="n"/>
      <c r="E294" s="280" t="n"/>
      <c r="F294" s="280" t="n"/>
      <c r="G294" s="280" t="n"/>
      <c r="H294" s="280" t="n"/>
      <c r="I294" s="332">
        <f>IFERROR(VLOOKUP(TEXT(H294,"0"),IPRESS!$A$3:$B$212,2,0),"")</f>
        <v/>
      </c>
      <c r="J294" s="280" t="n"/>
      <c r="K294" s="343" t="n"/>
      <c r="L294" s="280" t="n"/>
      <c r="M294" s="280" t="n"/>
      <c r="N294" s="345" t="n"/>
      <c r="O294" s="280" t="n"/>
      <c r="P294" s="332">
        <f>IFERROR(VLOOKUP(TEXT(O294,"0"),CONDUCTORES!$A$3:$G$54,2,0),"")</f>
        <v/>
      </c>
      <c r="Q294" s="332">
        <f>IFERROR(VLOOKUP(TEXT(O294,"0"),CONDUCTORES!$A$3:$H$54,6,0),"")</f>
        <v/>
      </c>
      <c r="R294" s="280" t="n"/>
      <c r="S294" s="280" t="n"/>
      <c r="T294" s="280" t="n"/>
      <c r="U294" s="280" t="n"/>
      <c r="V294" s="280" t="n"/>
      <c r="W294" s="280" t="n"/>
      <c r="X294" s="280" t="n"/>
      <c r="Y294" s="280" t="n"/>
      <c r="Z294" s="350" t="n"/>
      <c r="AA294" s="198" t="n"/>
      <c r="AB294" s="198" t="n"/>
      <c r="AC294" s="198" t="n"/>
    </row>
    <row r="295" ht="15" customHeight="1" s="195">
      <c r="A295" s="280" t="n"/>
      <c r="B295" s="280" t="n"/>
      <c r="C295" s="280" t="n"/>
      <c r="D295" s="280" t="n"/>
      <c r="E295" s="280" t="n"/>
      <c r="F295" s="280" t="n"/>
      <c r="G295" s="280" t="n"/>
      <c r="H295" s="280" t="n"/>
      <c r="I295" s="332">
        <f>IFERROR(VLOOKUP(TEXT(H295,"0"),IPRESS!$A$3:$B$212,2,0),"")</f>
        <v/>
      </c>
      <c r="J295" s="280" t="n"/>
      <c r="K295" s="343" t="n"/>
      <c r="L295" s="280" t="n"/>
      <c r="M295" s="280" t="n"/>
      <c r="N295" s="345" t="n"/>
      <c r="O295" s="280" t="n"/>
      <c r="P295" s="332">
        <f>IFERROR(VLOOKUP(TEXT(O295,"0"),CONDUCTORES!$A$3:$G$54,2,0),"")</f>
        <v/>
      </c>
      <c r="Q295" s="332">
        <f>IFERROR(VLOOKUP(TEXT(O295,"0"),CONDUCTORES!$A$3:$H$54,6,0),"")</f>
        <v/>
      </c>
      <c r="R295" s="280" t="n"/>
      <c r="S295" s="280" t="n"/>
      <c r="T295" s="280" t="n"/>
      <c r="U295" s="280" t="n"/>
      <c r="V295" s="280" t="n"/>
      <c r="W295" s="280" t="n"/>
      <c r="X295" s="280" t="n"/>
      <c r="Y295" s="280" t="n"/>
      <c r="Z295" s="350" t="n"/>
      <c r="AA295" s="198" t="n"/>
      <c r="AB295" s="198" t="n"/>
      <c r="AC295" s="198" t="n"/>
    </row>
    <row r="296" ht="15" customHeight="1" s="195">
      <c r="A296" s="280" t="n"/>
      <c r="B296" s="280" t="n"/>
      <c r="C296" s="280" t="n"/>
      <c r="D296" s="280" t="n"/>
      <c r="E296" s="280" t="n"/>
      <c r="F296" s="280" t="n"/>
      <c r="G296" s="280" t="n"/>
      <c r="H296" s="280" t="n"/>
      <c r="I296" s="332">
        <f>IFERROR(VLOOKUP(TEXT(H296,"0"),IPRESS!$A$3:$B$212,2,0),"")</f>
        <v/>
      </c>
      <c r="J296" s="280" t="n"/>
      <c r="K296" s="343" t="n"/>
      <c r="L296" s="280" t="n"/>
      <c r="M296" s="280" t="n"/>
      <c r="N296" s="345" t="n"/>
      <c r="O296" s="280" t="n"/>
      <c r="P296" s="332">
        <f>IFERROR(VLOOKUP(TEXT(O296,"0"),CONDUCTORES!$A$3:$G$54,2,0),"")</f>
        <v/>
      </c>
      <c r="Q296" s="332">
        <f>IFERROR(VLOOKUP(TEXT(O296,"0"),CONDUCTORES!$A$3:$H$54,6,0),"")</f>
        <v/>
      </c>
      <c r="R296" s="280" t="n"/>
      <c r="S296" s="280" t="n"/>
      <c r="T296" s="280" t="n"/>
      <c r="U296" s="280" t="n"/>
      <c r="V296" s="280" t="n"/>
      <c r="W296" s="280" t="n"/>
      <c r="X296" s="280" t="n"/>
      <c r="Y296" s="280" t="n"/>
      <c r="Z296" s="350" t="n"/>
      <c r="AA296" s="198" t="n"/>
      <c r="AB296" s="198" t="n"/>
      <c r="AC296" s="198" t="n"/>
    </row>
    <row r="297" ht="15" customHeight="1" s="195">
      <c r="A297" s="280" t="n"/>
      <c r="B297" s="280" t="n"/>
      <c r="C297" s="280" t="n"/>
      <c r="D297" s="280" t="n"/>
      <c r="E297" s="280" t="n"/>
      <c r="F297" s="280" t="n"/>
      <c r="G297" s="280" t="n"/>
      <c r="H297" s="280" t="n"/>
      <c r="I297" s="332">
        <f>IFERROR(VLOOKUP(TEXT(H297,"0"),IPRESS!$A$3:$B$212,2,0),"")</f>
        <v/>
      </c>
      <c r="J297" s="280" t="n"/>
      <c r="K297" s="343" t="n"/>
      <c r="L297" s="280" t="n"/>
      <c r="M297" s="280" t="n"/>
      <c r="N297" s="345" t="n"/>
      <c r="O297" s="280" t="n"/>
      <c r="P297" s="332">
        <f>IFERROR(VLOOKUP(TEXT(O297,"0"),CONDUCTORES!$A$3:$G$54,2,0),"")</f>
        <v/>
      </c>
      <c r="Q297" s="332">
        <f>IFERROR(VLOOKUP(TEXT(O297,"0"),CONDUCTORES!$A$3:$H$54,6,0),"")</f>
        <v/>
      </c>
      <c r="R297" s="280" t="n"/>
      <c r="S297" s="280" t="n"/>
      <c r="T297" s="280" t="n"/>
      <c r="U297" s="280" t="n"/>
      <c r="V297" s="280" t="n"/>
      <c r="W297" s="280" t="n"/>
      <c r="X297" s="280" t="n"/>
      <c r="Y297" s="280" t="n"/>
      <c r="Z297" s="350" t="n"/>
      <c r="AA297" s="198" t="n"/>
      <c r="AB297" s="198" t="n"/>
      <c r="AC297" s="198" t="n"/>
    </row>
    <row r="298" ht="15" customHeight="1" s="195">
      <c r="A298" s="280" t="n"/>
      <c r="B298" s="280" t="n"/>
      <c r="C298" s="280" t="n"/>
      <c r="D298" s="280" t="n"/>
      <c r="E298" s="280" t="n"/>
      <c r="F298" s="280" t="n"/>
      <c r="G298" s="280" t="n"/>
      <c r="H298" s="280" t="n"/>
      <c r="I298" s="332">
        <f>IFERROR(VLOOKUP(TEXT(H298,"0"),IPRESS!$A$3:$B$212,2,0),"")</f>
        <v/>
      </c>
      <c r="J298" s="280" t="n"/>
      <c r="K298" s="343" t="n"/>
      <c r="L298" s="280" t="n"/>
      <c r="M298" s="280" t="n"/>
      <c r="N298" s="345" t="n"/>
      <c r="O298" s="280" t="n"/>
      <c r="P298" s="332">
        <f>IFERROR(VLOOKUP(TEXT(O298,"0"),CONDUCTORES!$A$3:$G$54,2,0),"")</f>
        <v/>
      </c>
      <c r="Q298" s="332">
        <f>IFERROR(VLOOKUP(TEXT(O298,"0"),CONDUCTORES!$A$3:$H$54,6,0),"")</f>
        <v/>
      </c>
      <c r="R298" s="280" t="n"/>
      <c r="S298" s="280" t="n"/>
      <c r="T298" s="280" t="n"/>
      <c r="U298" s="280" t="n"/>
      <c r="V298" s="280" t="n"/>
      <c r="W298" s="280" t="n"/>
      <c r="X298" s="280" t="n"/>
      <c r="Y298" s="280" t="n"/>
      <c r="Z298" s="350" t="n"/>
      <c r="AA298" s="198" t="n"/>
      <c r="AB298" s="198" t="n"/>
      <c r="AC298" s="198" t="n"/>
    </row>
    <row r="299" ht="15" customHeight="1" s="195">
      <c r="A299" s="280" t="n"/>
      <c r="B299" s="280" t="n"/>
      <c r="C299" s="280" t="n"/>
      <c r="D299" s="280" t="n"/>
      <c r="E299" s="280" t="n"/>
      <c r="F299" s="280" t="n"/>
      <c r="G299" s="280" t="n"/>
      <c r="H299" s="280" t="n"/>
      <c r="I299" s="332">
        <f>IFERROR(VLOOKUP(TEXT(H299,"0"),IPRESS!$A$3:$B$212,2,0),"")</f>
        <v/>
      </c>
      <c r="J299" s="280" t="n"/>
      <c r="K299" s="343" t="n"/>
      <c r="L299" s="280" t="n"/>
      <c r="M299" s="280" t="n"/>
      <c r="N299" s="345" t="n"/>
      <c r="O299" s="280" t="n"/>
      <c r="P299" s="332">
        <f>IFERROR(VLOOKUP(TEXT(O299,"0"),CONDUCTORES!$A$3:$G$54,2,0),"")</f>
        <v/>
      </c>
      <c r="Q299" s="332">
        <f>IFERROR(VLOOKUP(TEXT(O299,"0"),CONDUCTORES!$A$3:$H$54,6,0),"")</f>
        <v/>
      </c>
      <c r="R299" s="280" t="n"/>
      <c r="S299" s="280" t="n"/>
      <c r="T299" s="280" t="n"/>
      <c r="U299" s="280" t="n"/>
      <c r="V299" s="280" t="n"/>
      <c r="W299" s="280" t="n"/>
      <c r="X299" s="280" t="n"/>
      <c r="Y299" s="280" t="n"/>
      <c r="Z299" s="350" t="n"/>
      <c r="AA299" s="198" t="n"/>
      <c r="AB299" s="198" t="n"/>
      <c r="AC299" s="198" t="n"/>
    </row>
    <row r="300" ht="15" customHeight="1" s="195">
      <c r="A300" s="280" t="n"/>
      <c r="B300" s="280" t="n"/>
      <c r="C300" s="280" t="n"/>
      <c r="D300" s="280" t="n"/>
      <c r="E300" s="280" t="n"/>
      <c r="F300" s="280" t="n"/>
      <c r="G300" s="280" t="n"/>
      <c r="H300" s="280" t="n"/>
      <c r="I300" s="332">
        <f>IFERROR(VLOOKUP(TEXT(H300,"0"),IPRESS!$A$3:$B$212,2,0),"")</f>
        <v/>
      </c>
      <c r="J300" s="280" t="n"/>
      <c r="K300" s="343" t="n"/>
      <c r="L300" s="280" t="n"/>
      <c r="M300" s="280" t="n"/>
      <c r="N300" s="345" t="n"/>
      <c r="O300" s="280" t="n"/>
      <c r="P300" s="332">
        <f>IFERROR(VLOOKUP(TEXT(O300,"0"),CONDUCTORES!$A$3:$G$54,2,0),"")</f>
        <v/>
      </c>
      <c r="Q300" s="332">
        <f>IFERROR(VLOOKUP(TEXT(O300,"0"),CONDUCTORES!$A$3:$H$54,6,0),"")</f>
        <v/>
      </c>
      <c r="R300" s="280" t="n"/>
      <c r="S300" s="280" t="n"/>
      <c r="T300" s="280" t="n"/>
      <c r="U300" s="280" t="n"/>
      <c r="V300" s="280" t="n"/>
      <c r="W300" s="280" t="n"/>
      <c r="X300" s="280" t="n"/>
      <c r="Y300" s="280" t="n"/>
      <c r="Z300" s="350" t="n"/>
      <c r="AA300" s="198" t="n"/>
      <c r="AB300" s="198" t="n"/>
      <c r="AC300" s="198" t="n"/>
    </row>
    <row r="301" ht="15" customHeight="1" s="195">
      <c r="A301" s="280" t="n"/>
      <c r="B301" s="280" t="n"/>
      <c r="C301" s="280" t="n"/>
      <c r="D301" s="280" t="n"/>
      <c r="E301" s="280" t="n"/>
      <c r="F301" s="280" t="n"/>
      <c r="G301" s="280" t="n"/>
      <c r="H301" s="280" t="n"/>
      <c r="I301" s="332">
        <f>IFERROR(VLOOKUP(TEXT(H301,"0"),IPRESS!$A$3:$B$212,2,0),"")</f>
        <v/>
      </c>
      <c r="J301" s="280" t="n"/>
      <c r="K301" s="343" t="n"/>
      <c r="L301" s="280" t="n"/>
      <c r="M301" s="280" t="n"/>
      <c r="N301" s="345" t="n"/>
      <c r="O301" s="280" t="n"/>
      <c r="P301" s="332">
        <f>IFERROR(VLOOKUP(TEXT(O301,"0"),CONDUCTORES!$A$3:$G$54,2,0),"")</f>
        <v/>
      </c>
      <c r="Q301" s="332">
        <f>IFERROR(VLOOKUP(TEXT(O301,"0"),CONDUCTORES!$A$3:$H$54,6,0),"")</f>
        <v/>
      </c>
      <c r="R301" s="280" t="n"/>
      <c r="S301" s="280" t="n"/>
      <c r="T301" s="280" t="n"/>
      <c r="U301" s="280" t="n"/>
      <c r="V301" s="280" t="n"/>
      <c r="W301" s="280" t="n"/>
      <c r="X301" s="280" t="n"/>
      <c r="Y301" s="280" t="n"/>
      <c r="Z301" s="350" t="n"/>
      <c r="AA301" s="198" t="n"/>
      <c r="AB301" s="198" t="n"/>
      <c r="AC301" s="198" t="n"/>
    </row>
    <row r="302" ht="15" customHeight="1" s="195">
      <c r="A302" s="280" t="n"/>
      <c r="B302" s="280" t="n"/>
      <c r="C302" s="280" t="n"/>
      <c r="D302" s="280" t="n"/>
      <c r="E302" s="280" t="n"/>
      <c r="F302" s="280" t="n"/>
      <c r="G302" s="280" t="n"/>
      <c r="H302" s="280" t="n"/>
      <c r="I302" s="332">
        <f>IFERROR(VLOOKUP(TEXT(H302,"0"),IPRESS!$A$3:$B$212,2,0),"")</f>
        <v/>
      </c>
      <c r="J302" s="280" t="n"/>
      <c r="K302" s="343" t="n"/>
      <c r="L302" s="280" t="n"/>
      <c r="M302" s="280" t="n"/>
      <c r="N302" s="345" t="n"/>
      <c r="O302" s="280" t="n"/>
      <c r="P302" s="332">
        <f>IFERROR(VLOOKUP(TEXT(O302,"0"),CONDUCTORES!$A$3:$G$54,2,0),"")</f>
        <v/>
      </c>
      <c r="Q302" s="332">
        <f>IFERROR(VLOOKUP(TEXT(O302,"0"),CONDUCTORES!$A$3:$H$54,6,0),"")</f>
        <v/>
      </c>
      <c r="R302" s="280" t="n"/>
      <c r="S302" s="280" t="n"/>
      <c r="T302" s="280" t="n"/>
      <c r="U302" s="280" t="n"/>
      <c r="V302" s="280" t="n"/>
      <c r="W302" s="280" t="n"/>
      <c r="X302" s="280" t="n"/>
      <c r="Y302" s="280" t="n"/>
      <c r="Z302" s="350" t="n"/>
      <c r="AA302" s="198" t="n"/>
      <c r="AB302" s="198" t="n"/>
      <c r="AC302" s="198" t="n"/>
    </row>
    <row r="303" ht="15" customHeight="1" s="195">
      <c r="A303" s="280" t="n"/>
      <c r="B303" s="280" t="n"/>
      <c r="C303" s="280" t="n"/>
      <c r="D303" s="280" t="n"/>
      <c r="E303" s="280" t="n"/>
      <c r="F303" s="280" t="n"/>
      <c r="G303" s="280" t="n"/>
      <c r="H303" s="280" t="n"/>
      <c r="I303" s="332">
        <f>IFERROR(VLOOKUP(TEXT(H303,"0"),IPRESS!$A$3:$B$212,2,0),"")</f>
        <v/>
      </c>
      <c r="J303" s="280" t="n"/>
      <c r="K303" s="343" t="n"/>
      <c r="L303" s="280" t="n"/>
      <c r="M303" s="280" t="n"/>
      <c r="N303" s="345" t="n"/>
      <c r="O303" s="280" t="n"/>
      <c r="P303" s="332">
        <f>IFERROR(VLOOKUP(TEXT(O303,"0"),CONDUCTORES!$A$3:$G$54,2,0),"")</f>
        <v/>
      </c>
      <c r="Q303" s="332">
        <f>IFERROR(VLOOKUP(TEXT(O303,"0"),CONDUCTORES!$A$3:$H$54,6,0),"")</f>
        <v/>
      </c>
      <c r="R303" s="280" t="n"/>
      <c r="S303" s="280" t="n"/>
      <c r="T303" s="280" t="n"/>
      <c r="U303" s="280" t="n"/>
      <c r="V303" s="280" t="n"/>
      <c r="W303" s="280" t="n"/>
      <c r="X303" s="280" t="n"/>
      <c r="Y303" s="280" t="n"/>
      <c r="Z303" s="350" t="n"/>
      <c r="AA303" s="198" t="n"/>
      <c r="AB303" s="198" t="n"/>
      <c r="AC303" s="198" t="n"/>
    </row>
    <row r="304" ht="15" customHeight="1" s="195">
      <c r="A304" s="280" t="n"/>
      <c r="B304" s="280" t="n"/>
      <c r="C304" s="280" t="n"/>
      <c r="D304" s="280" t="n"/>
      <c r="E304" s="280" t="n"/>
      <c r="F304" s="280" t="n"/>
      <c r="G304" s="280" t="n"/>
      <c r="H304" s="280" t="n"/>
      <c r="I304" s="332">
        <f>IFERROR(VLOOKUP(TEXT(H304,"0"),IPRESS!$A$3:$B$212,2,0),"")</f>
        <v/>
      </c>
      <c r="J304" s="280" t="n"/>
      <c r="K304" s="343" t="n"/>
      <c r="L304" s="280" t="n"/>
      <c r="M304" s="280" t="n"/>
      <c r="N304" s="345" t="n"/>
      <c r="O304" s="280" t="n"/>
      <c r="P304" s="332">
        <f>IFERROR(VLOOKUP(TEXT(O304,"0"),CONDUCTORES!$A$3:$G$54,2,0),"")</f>
        <v/>
      </c>
      <c r="Q304" s="332">
        <f>IFERROR(VLOOKUP(TEXT(O304,"0"),CONDUCTORES!$A$3:$H$54,6,0),"")</f>
        <v/>
      </c>
      <c r="R304" s="280" t="n"/>
      <c r="S304" s="280" t="n"/>
      <c r="T304" s="280" t="n"/>
      <c r="U304" s="280" t="n"/>
      <c r="V304" s="280" t="n"/>
      <c r="W304" s="280" t="n"/>
      <c r="X304" s="280" t="n"/>
      <c r="Y304" s="280" t="n"/>
      <c r="Z304" s="350" t="n"/>
      <c r="AA304" s="198" t="n"/>
      <c r="AB304" s="198" t="n"/>
      <c r="AC304" s="198" t="n"/>
    </row>
    <row r="305" ht="15" customHeight="1" s="195">
      <c r="A305" s="280" t="n"/>
      <c r="B305" s="280" t="n"/>
      <c r="C305" s="280" t="n"/>
      <c r="D305" s="280" t="n"/>
      <c r="E305" s="280" t="n"/>
      <c r="F305" s="280" t="n"/>
      <c r="G305" s="280" t="n"/>
      <c r="H305" s="280" t="n"/>
      <c r="I305" s="332">
        <f>IFERROR(VLOOKUP(TEXT(H305,"0"),IPRESS!$A$3:$B$212,2,0),"")</f>
        <v/>
      </c>
      <c r="J305" s="280" t="n"/>
      <c r="K305" s="343" t="n"/>
      <c r="L305" s="280" t="n"/>
      <c r="M305" s="280" t="n"/>
      <c r="N305" s="345" t="n"/>
      <c r="O305" s="280" t="n"/>
      <c r="P305" s="332">
        <f>IFERROR(VLOOKUP(TEXT(O305,"0"),CONDUCTORES!$A$3:$G$54,2,0),"")</f>
        <v/>
      </c>
      <c r="Q305" s="332">
        <f>IFERROR(VLOOKUP(TEXT(O305,"0"),CONDUCTORES!$A$3:$H$54,6,0),"")</f>
        <v/>
      </c>
      <c r="R305" s="280" t="n"/>
      <c r="S305" s="280" t="n"/>
      <c r="T305" s="280" t="n"/>
      <c r="U305" s="280" t="n"/>
      <c r="V305" s="280" t="n"/>
      <c r="W305" s="280" t="n"/>
      <c r="X305" s="280" t="n"/>
      <c r="Y305" s="280" t="n"/>
      <c r="Z305" s="350" t="n"/>
      <c r="AA305" s="198" t="n"/>
      <c r="AB305" s="198" t="n"/>
      <c r="AC305" s="198" t="n"/>
    </row>
    <row r="306" ht="15" customHeight="1" s="195">
      <c r="A306" s="280" t="n"/>
      <c r="B306" s="280" t="n"/>
      <c r="C306" s="280" t="n"/>
      <c r="D306" s="280" t="n"/>
      <c r="E306" s="280" t="n"/>
      <c r="F306" s="280" t="n"/>
      <c r="G306" s="280" t="n"/>
      <c r="H306" s="280" t="n"/>
      <c r="I306" s="332">
        <f>IFERROR(VLOOKUP(TEXT(H306,"0"),IPRESS!$A$3:$B$212,2,0),"")</f>
        <v/>
      </c>
      <c r="J306" s="280" t="n"/>
      <c r="K306" s="343" t="n"/>
      <c r="L306" s="280" t="n"/>
      <c r="M306" s="280" t="n"/>
      <c r="N306" s="345" t="n"/>
      <c r="O306" s="280" t="n"/>
      <c r="P306" s="332">
        <f>IFERROR(VLOOKUP(TEXT(O306,"0"),CONDUCTORES!$A$3:$G$54,2,0),"")</f>
        <v/>
      </c>
      <c r="Q306" s="332">
        <f>IFERROR(VLOOKUP(TEXT(O306,"0"),CONDUCTORES!$A$3:$H$54,6,0),"")</f>
        <v/>
      </c>
      <c r="R306" s="280" t="n"/>
      <c r="S306" s="280" t="n"/>
      <c r="T306" s="280" t="n"/>
      <c r="U306" s="280" t="n"/>
      <c r="V306" s="280" t="n"/>
      <c r="W306" s="280" t="n"/>
      <c r="X306" s="280" t="n"/>
      <c r="Y306" s="280" t="n"/>
      <c r="Z306" s="350" t="n"/>
      <c r="AA306" s="198" t="n"/>
      <c r="AB306" s="198" t="n"/>
      <c r="AC306" s="198" t="n"/>
    </row>
    <row r="307" ht="15" customHeight="1" s="195">
      <c r="A307" s="280" t="n"/>
      <c r="B307" s="280" t="n"/>
      <c r="C307" s="280" t="n"/>
      <c r="D307" s="280" t="n"/>
      <c r="E307" s="280" t="n"/>
      <c r="F307" s="280" t="n"/>
      <c r="G307" s="280" t="n"/>
      <c r="H307" s="280" t="n"/>
      <c r="I307" s="332">
        <f>IFERROR(VLOOKUP(TEXT(H307,"0"),IPRESS!$A$3:$B$212,2,0),"")</f>
        <v/>
      </c>
      <c r="J307" s="280" t="n"/>
      <c r="K307" s="343" t="n"/>
      <c r="L307" s="280" t="n"/>
      <c r="M307" s="280" t="n"/>
      <c r="N307" s="345" t="n"/>
      <c r="O307" s="280" t="n"/>
      <c r="P307" s="332">
        <f>IFERROR(VLOOKUP(TEXT(O307,"0"),CONDUCTORES!$A$3:$G$54,2,0),"")</f>
        <v/>
      </c>
      <c r="Q307" s="332">
        <f>IFERROR(VLOOKUP(TEXT(O307,"0"),CONDUCTORES!$A$3:$H$54,6,0),"")</f>
        <v/>
      </c>
      <c r="R307" s="280" t="n"/>
      <c r="S307" s="280" t="n"/>
      <c r="T307" s="280" t="n"/>
      <c r="U307" s="280" t="n"/>
      <c r="V307" s="280" t="n"/>
      <c r="W307" s="280" t="n"/>
      <c r="X307" s="280" t="n"/>
      <c r="Y307" s="280" t="n"/>
      <c r="Z307" s="350" t="n"/>
      <c r="AA307" s="198" t="n"/>
      <c r="AB307" s="198" t="n"/>
      <c r="AC307" s="198" t="n"/>
    </row>
    <row r="308" ht="15" customHeight="1" s="195">
      <c r="A308" s="280" t="n"/>
      <c r="B308" s="280" t="n"/>
      <c r="C308" s="280" t="n"/>
      <c r="D308" s="280" t="n"/>
      <c r="E308" s="280" t="n"/>
      <c r="F308" s="280" t="n"/>
      <c r="G308" s="280" t="n"/>
      <c r="H308" s="280" t="n"/>
      <c r="I308" s="332">
        <f>IFERROR(VLOOKUP(TEXT(H308,"0"),IPRESS!$A$3:$B$212,2,0),"")</f>
        <v/>
      </c>
      <c r="J308" s="280" t="n"/>
      <c r="K308" s="343" t="n"/>
      <c r="L308" s="280" t="n"/>
      <c r="M308" s="280" t="n"/>
      <c r="N308" s="345" t="n"/>
      <c r="O308" s="280" t="n"/>
      <c r="P308" s="332">
        <f>IFERROR(VLOOKUP(TEXT(O308,"0"),CONDUCTORES!$A$3:$G$54,2,0),"")</f>
        <v/>
      </c>
      <c r="Q308" s="332">
        <f>IFERROR(VLOOKUP(TEXT(O308,"0"),CONDUCTORES!$A$3:$H$54,6,0),"")</f>
        <v/>
      </c>
      <c r="R308" s="280" t="n"/>
      <c r="S308" s="280" t="n"/>
      <c r="T308" s="280" t="n"/>
      <c r="U308" s="280" t="n"/>
      <c r="V308" s="280" t="n"/>
      <c r="W308" s="280" t="n"/>
      <c r="X308" s="280" t="n"/>
      <c r="Y308" s="280" t="n"/>
      <c r="Z308" s="350" t="n"/>
      <c r="AA308" s="198" t="n"/>
      <c r="AB308" s="198" t="n"/>
      <c r="AC308" s="198" t="n"/>
    </row>
    <row r="309" ht="15" customHeight="1" s="195">
      <c r="A309" s="280" t="n"/>
      <c r="B309" s="280" t="n"/>
      <c r="C309" s="280" t="n"/>
      <c r="D309" s="280" t="n"/>
      <c r="E309" s="280" t="n"/>
      <c r="F309" s="280" t="n"/>
      <c r="G309" s="280" t="n"/>
      <c r="H309" s="280" t="n"/>
      <c r="I309" s="332">
        <f>IFERROR(VLOOKUP(TEXT(H309,"0"),IPRESS!$A$3:$B$212,2,0),"")</f>
        <v/>
      </c>
      <c r="J309" s="280" t="n"/>
      <c r="K309" s="343" t="n"/>
      <c r="L309" s="280" t="n"/>
      <c r="M309" s="280" t="n"/>
      <c r="N309" s="345" t="n"/>
      <c r="O309" s="280" t="n"/>
      <c r="P309" s="332">
        <f>IFERROR(VLOOKUP(TEXT(O309,"0"),CONDUCTORES!$A$3:$G$54,2,0),"")</f>
        <v/>
      </c>
      <c r="Q309" s="332">
        <f>IFERROR(VLOOKUP(TEXT(O309,"0"),CONDUCTORES!$A$3:$H$54,6,0),"")</f>
        <v/>
      </c>
      <c r="R309" s="280" t="n"/>
      <c r="S309" s="280" t="n"/>
      <c r="T309" s="280" t="n"/>
      <c r="U309" s="280" t="n"/>
      <c r="V309" s="280" t="n"/>
      <c r="W309" s="280" t="n"/>
      <c r="X309" s="280" t="n"/>
      <c r="Y309" s="280" t="n"/>
      <c r="Z309" s="350" t="n"/>
      <c r="AA309" s="198" t="n"/>
      <c r="AB309" s="198" t="n"/>
      <c r="AC309" s="198" t="n"/>
    </row>
    <row r="310" ht="15" customHeight="1" s="195">
      <c r="A310" s="280" t="n"/>
      <c r="B310" s="280" t="n"/>
      <c r="C310" s="280" t="n"/>
      <c r="D310" s="280" t="n"/>
      <c r="E310" s="280" t="n"/>
      <c r="F310" s="280" t="n"/>
      <c r="G310" s="280" t="n"/>
      <c r="H310" s="280" t="n"/>
      <c r="I310" s="332">
        <f>IFERROR(VLOOKUP(TEXT(H310,"0"),IPRESS!$A$3:$B$212,2,0),"")</f>
        <v/>
      </c>
      <c r="J310" s="280" t="n"/>
      <c r="K310" s="343" t="n"/>
      <c r="L310" s="280" t="n"/>
      <c r="M310" s="280" t="n"/>
      <c r="N310" s="345" t="n"/>
      <c r="O310" s="280" t="n"/>
      <c r="P310" s="332">
        <f>IFERROR(VLOOKUP(TEXT(O310,"0"),CONDUCTORES!$A$3:$G$54,2,0),"")</f>
        <v/>
      </c>
      <c r="Q310" s="332">
        <f>IFERROR(VLOOKUP(TEXT(O310,"0"),CONDUCTORES!$A$3:$H$54,6,0),"")</f>
        <v/>
      </c>
      <c r="R310" s="280" t="n"/>
      <c r="S310" s="280" t="n"/>
      <c r="T310" s="280" t="n"/>
      <c r="U310" s="280" t="n"/>
      <c r="V310" s="280" t="n"/>
      <c r="W310" s="280" t="n"/>
      <c r="X310" s="280" t="n"/>
      <c r="Y310" s="280" t="n"/>
      <c r="Z310" s="350" t="n"/>
      <c r="AA310" s="198" t="n"/>
      <c r="AB310" s="198" t="n"/>
      <c r="AC310" s="198" t="n"/>
    </row>
    <row r="311" ht="15" customHeight="1" s="195">
      <c r="A311" s="280" t="n"/>
      <c r="B311" s="280" t="n"/>
      <c r="C311" s="280" t="n"/>
      <c r="D311" s="280" t="n"/>
      <c r="E311" s="280" t="n"/>
      <c r="F311" s="280" t="n"/>
      <c r="G311" s="280" t="n"/>
      <c r="H311" s="280" t="n"/>
      <c r="I311" s="332">
        <f>IFERROR(VLOOKUP(TEXT(H311,"0"),IPRESS!$A$3:$B$212,2,0),"")</f>
        <v/>
      </c>
      <c r="J311" s="280" t="n"/>
      <c r="K311" s="343" t="n"/>
      <c r="L311" s="280" t="n"/>
      <c r="M311" s="280" t="n"/>
      <c r="N311" s="345" t="n"/>
      <c r="O311" s="280" t="n"/>
      <c r="P311" s="332">
        <f>IFERROR(VLOOKUP(TEXT(O311,"0"),CONDUCTORES!$A$3:$G$54,2,0),"")</f>
        <v/>
      </c>
      <c r="Q311" s="332">
        <f>IFERROR(VLOOKUP(TEXT(O311,"0"),CONDUCTORES!$A$3:$H$54,6,0),"")</f>
        <v/>
      </c>
      <c r="R311" s="280" t="n"/>
      <c r="S311" s="280" t="n"/>
      <c r="T311" s="280" t="n"/>
      <c r="U311" s="280" t="n"/>
      <c r="V311" s="280" t="n"/>
      <c r="W311" s="280" t="n"/>
      <c r="X311" s="280" t="n"/>
      <c r="Y311" s="280" t="n"/>
      <c r="Z311" s="350" t="n"/>
      <c r="AA311" s="198" t="n"/>
      <c r="AB311" s="198" t="n"/>
      <c r="AC311" s="198" t="n"/>
    </row>
    <row r="312" ht="15" customHeight="1" s="195">
      <c r="A312" s="280" t="n"/>
      <c r="B312" s="280" t="n"/>
      <c r="C312" s="280" t="n"/>
      <c r="D312" s="280" t="n"/>
      <c r="E312" s="280" t="n"/>
      <c r="F312" s="280" t="n"/>
      <c r="G312" s="280" t="n"/>
      <c r="H312" s="280" t="n"/>
      <c r="I312" s="332">
        <f>IFERROR(VLOOKUP(TEXT(H312,"0"),IPRESS!$A$3:$B$212,2,0),"")</f>
        <v/>
      </c>
      <c r="J312" s="280" t="n"/>
      <c r="K312" s="343" t="n"/>
      <c r="L312" s="280" t="n"/>
      <c r="M312" s="280" t="n"/>
      <c r="N312" s="345" t="n"/>
      <c r="O312" s="280" t="n"/>
      <c r="P312" s="332">
        <f>IFERROR(VLOOKUP(TEXT(O312,"0"),CONDUCTORES!$A$3:$G$54,2,0),"")</f>
        <v/>
      </c>
      <c r="Q312" s="332">
        <f>IFERROR(VLOOKUP(TEXT(O312,"0"),CONDUCTORES!$A$3:$H$54,6,0),"")</f>
        <v/>
      </c>
      <c r="R312" s="280" t="n"/>
      <c r="S312" s="280" t="n"/>
      <c r="T312" s="280" t="n"/>
      <c r="U312" s="280" t="n"/>
      <c r="V312" s="280" t="n"/>
      <c r="W312" s="280" t="n"/>
      <c r="X312" s="280" t="n"/>
      <c r="Y312" s="280" t="n"/>
      <c r="Z312" s="350" t="n"/>
      <c r="AA312" s="198" t="n"/>
      <c r="AB312" s="198" t="n"/>
      <c r="AC312" s="198" t="n"/>
    </row>
    <row r="313" ht="15" customHeight="1" s="195">
      <c r="A313" s="280" t="n"/>
      <c r="B313" s="280" t="n"/>
      <c r="C313" s="280" t="n"/>
      <c r="D313" s="280" t="n"/>
      <c r="E313" s="280" t="n"/>
      <c r="F313" s="280" t="n"/>
      <c r="G313" s="280" t="n"/>
      <c r="H313" s="280" t="n"/>
      <c r="I313" s="332">
        <f>IFERROR(VLOOKUP(TEXT(H313,"0"),IPRESS!$A$3:$B$212,2,0),"")</f>
        <v/>
      </c>
      <c r="J313" s="280" t="n"/>
      <c r="K313" s="343" t="n"/>
      <c r="L313" s="280" t="n"/>
      <c r="M313" s="280" t="n"/>
      <c r="N313" s="345" t="n"/>
      <c r="O313" s="280" t="n"/>
      <c r="P313" s="332">
        <f>IFERROR(VLOOKUP(TEXT(O313,"0"),CONDUCTORES!$A$3:$G$54,2,0),"")</f>
        <v/>
      </c>
      <c r="Q313" s="332">
        <f>IFERROR(VLOOKUP(TEXT(O313,"0"),CONDUCTORES!$A$3:$H$54,6,0),"")</f>
        <v/>
      </c>
      <c r="R313" s="280" t="n"/>
      <c r="S313" s="280" t="n"/>
      <c r="T313" s="280" t="n"/>
      <c r="U313" s="280" t="n"/>
      <c r="V313" s="280" t="n"/>
      <c r="W313" s="280" t="n"/>
      <c r="X313" s="280" t="n"/>
      <c r="Y313" s="280" t="n"/>
      <c r="Z313" s="350" t="n"/>
      <c r="AA313" s="198" t="n"/>
      <c r="AB313" s="198" t="n"/>
      <c r="AC313" s="198" t="n"/>
    </row>
    <row r="314" ht="15" customHeight="1" s="195">
      <c r="A314" s="280" t="n"/>
      <c r="B314" s="280" t="n"/>
      <c r="C314" s="280" t="n"/>
      <c r="D314" s="280" t="n"/>
      <c r="E314" s="280" t="n"/>
      <c r="F314" s="280" t="n"/>
      <c r="G314" s="280" t="n"/>
      <c r="H314" s="280" t="n"/>
      <c r="I314" s="332">
        <f>IFERROR(VLOOKUP(TEXT(H314,"0"),IPRESS!$A$3:$B$212,2,0),"")</f>
        <v/>
      </c>
      <c r="J314" s="280" t="n"/>
      <c r="K314" s="343" t="n"/>
      <c r="L314" s="280" t="n"/>
      <c r="M314" s="280" t="n"/>
      <c r="N314" s="345" t="n"/>
      <c r="O314" s="280" t="n"/>
      <c r="P314" s="332">
        <f>IFERROR(VLOOKUP(TEXT(O314,"0"),CONDUCTORES!$A$3:$G$54,2,0),"")</f>
        <v/>
      </c>
      <c r="Q314" s="332">
        <f>IFERROR(VLOOKUP(TEXT(O314,"0"),CONDUCTORES!$A$3:$H$54,6,0),"")</f>
        <v/>
      </c>
      <c r="R314" s="280" t="n"/>
      <c r="S314" s="280" t="n"/>
      <c r="T314" s="280" t="n"/>
      <c r="U314" s="280" t="n"/>
      <c r="V314" s="280" t="n"/>
      <c r="W314" s="280" t="n"/>
      <c r="X314" s="280" t="n"/>
      <c r="Y314" s="280" t="n"/>
      <c r="Z314" s="350" t="n"/>
      <c r="AA314" s="198" t="n"/>
      <c r="AB314" s="198" t="n"/>
      <c r="AC314" s="198" t="n"/>
    </row>
    <row r="315" ht="15" customHeight="1" s="195">
      <c r="A315" s="280" t="n"/>
      <c r="B315" s="280" t="n"/>
      <c r="C315" s="280" t="n"/>
      <c r="D315" s="280" t="n"/>
      <c r="E315" s="280" t="n"/>
      <c r="F315" s="280" t="n"/>
      <c r="G315" s="280" t="n"/>
      <c r="H315" s="280" t="n"/>
      <c r="I315" s="332">
        <f>IFERROR(VLOOKUP(TEXT(H315,"0"),IPRESS!$A$3:$B$212,2,0),"")</f>
        <v/>
      </c>
      <c r="J315" s="280" t="n"/>
      <c r="K315" s="343" t="n"/>
      <c r="L315" s="280" t="n"/>
      <c r="M315" s="280" t="n"/>
      <c r="N315" s="345" t="n"/>
      <c r="O315" s="280" t="n"/>
      <c r="P315" s="332">
        <f>IFERROR(VLOOKUP(TEXT(O315,"0"),CONDUCTORES!$A$3:$G$54,2,0),"")</f>
        <v/>
      </c>
      <c r="Q315" s="332">
        <f>IFERROR(VLOOKUP(TEXT(O315,"0"),CONDUCTORES!$A$3:$H$54,6,0),"")</f>
        <v/>
      </c>
      <c r="R315" s="280" t="n"/>
      <c r="S315" s="280" t="n"/>
      <c r="T315" s="280" t="n"/>
      <c r="U315" s="280" t="n"/>
      <c r="V315" s="280" t="n"/>
      <c r="W315" s="280" t="n"/>
      <c r="X315" s="280" t="n"/>
      <c r="Y315" s="280" t="n"/>
      <c r="Z315" s="350" t="n"/>
      <c r="AA315" s="198" t="n"/>
      <c r="AB315" s="198" t="n"/>
      <c r="AC315" s="198" t="n"/>
    </row>
    <row r="316" ht="15" customHeight="1" s="195">
      <c r="A316" s="280" t="n"/>
      <c r="B316" s="280" t="n"/>
      <c r="C316" s="280" t="n"/>
      <c r="D316" s="280" t="n"/>
      <c r="E316" s="280" t="n"/>
      <c r="F316" s="280" t="n"/>
      <c r="G316" s="280" t="n"/>
      <c r="H316" s="280" t="n"/>
      <c r="I316" s="332">
        <f>IFERROR(VLOOKUP(TEXT(H316,"0"),IPRESS!$A$3:$B$212,2,0),"")</f>
        <v/>
      </c>
      <c r="J316" s="280" t="n"/>
      <c r="K316" s="343" t="n"/>
      <c r="L316" s="280" t="n"/>
      <c r="M316" s="280" t="n"/>
      <c r="N316" s="345" t="n"/>
      <c r="O316" s="280" t="n"/>
      <c r="P316" s="332">
        <f>IFERROR(VLOOKUP(TEXT(O316,"0"),CONDUCTORES!$A$3:$G$54,2,0),"")</f>
        <v/>
      </c>
      <c r="Q316" s="332">
        <f>IFERROR(VLOOKUP(TEXT(O316,"0"),CONDUCTORES!$A$3:$H$54,6,0),"")</f>
        <v/>
      </c>
      <c r="R316" s="280" t="n"/>
      <c r="S316" s="280" t="n"/>
      <c r="T316" s="280" t="n"/>
      <c r="U316" s="280" t="n"/>
      <c r="V316" s="280" t="n"/>
      <c r="W316" s="280" t="n"/>
      <c r="X316" s="280" t="n"/>
      <c r="Y316" s="280" t="n"/>
      <c r="Z316" s="350" t="n"/>
      <c r="AA316" s="198" t="n"/>
      <c r="AB316" s="198" t="n"/>
      <c r="AC316" s="198" t="n"/>
    </row>
    <row r="317" ht="15" customHeight="1" s="195">
      <c r="A317" s="280" t="n"/>
      <c r="B317" s="280" t="n"/>
      <c r="C317" s="280" t="n"/>
      <c r="D317" s="280" t="n"/>
      <c r="E317" s="280" t="n"/>
      <c r="F317" s="280" t="n"/>
      <c r="G317" s="280" t="n"/>
      <c r="H317" s="280" t="n"/>
      <c r="I317" s="332">
        <f>IFERROR(VLOOKUP(TEXT(H317,"0"),IPRESS!$A$3:$B$212,2,0),"")</f>
        <v/>
      </c>
      <c r="J317" s="280" t="n"/>
      <c r="K317" s="343" t="n"/>
      <c r="L317" s="280" t="n"/>
      <c r="M317" s="280" t="n"/>
      <c r="N317" s="345" t="n"/>
      <c r="O317" s="280" t="n"/>
      <c r="P317" s="332">
        <f>IFERROR(VLOOKUP(TEXT(O317,"0"),CONDUCTORES!$A$3:$G$54,2,0),"")</f>
        <v/>
      </c>
      <c r="Q317" s="332">
        <f>IFERROR(VLOOKUP(TEXT(O317,"0"),CONDUCTORES!$A$3:$H$54,6,0),"")</f>
        <v/>
      </c>
      <c r="R317" s="280" t="n"/>
      <c r="S317" s="280" t="n"/>
      <c r="T317" s="280" t="n"/>
      <c r="U317" s="280" t="n"/>
      <c r="V317" s="280" t="n"/>
      <c r="W317" s="280" t="n"/>
      <c r="X317" s="280" t="n"/>
      <c r="Y317" s="280" t="n"/>
      <c r="Z317" s="350" t="n"/>
      <c r="AA317" s="198" t="n"/>
      <c r="AB317" s="198" t="n"/>
      <c r="AC317" s="198" t="n"/>
    </row>
    <row r="318" ht="15" customHeight="1" s="195">
      <c r="A318" s="280" t="n"/>
      <c r="B318" s="280" t="n"/>
      <c r="C318" s="280" t="n"/>
      <c r="D318" s="280" t="n"/>
      <c r="E318" s="280" t="n"/>
      <c r="F318" s="280" t="n"/>
      <c r="G318" s="280" t="n"/>
      <c r="H318" s="280" t="n"/>
      <c r="I318" s="332">
        <f>IFERROR(VLOOKUP(TEXT(H318,"0"),IPRESS!$A$3:$B$212,2,0),"")</f>
        <v/>
      </c>
      <c r="J318" s="280" t="n"/>
      <c r="K318" s="343" t="n"/>
      <c r="L318" s="280" t="n"/>
      <c r="M318" s="280" t="n"/>
      <c r="N318" s="345" t="n"/>
      <c r="O318" s="280" t="n"/>
      <c r="P318" s="332">
        <f>IFERROR(VLOOKUP(TEXT(O318,"0"),CONDUCTORES!$A$3:$G$54,2,0),"")</f>
        <v/>
      </c>
      <c r="Q318" s="332">
        <f>IFERROR(VLOOKUP(TEXT(O318,"0"),CONDUCTORES!$A$3:$H$54,6,0),"")</f>
        <v/>
      </c>
      <c r="R318" s="280" t="n"/>
      <c r="S318" s="280" t="n"/>
      <c r="T318" s="280" t="n"/>
      <c r="U318" s="280" t="n"/>
      <c r="V318" s="280" t="n"/>
      <c r="W318" s="280" t="n"/>
      <c r="X318" s="280" t="n"/>
      <c r="Y318" s="280" t="n"/>
      <c r="Z318" s="350" t="n"/>
      <c r="AA318" s="198" t="n"/>
      <c r="AB318" s="198" t="n"/>
      <c r="AC318" s="198" t="n"/>
    </row>
    <row r="319" ht="15" customHeight="1" s="195">
      <c r="A319" s="280" t="n"/>
      <c r="B319" s="280" t="n"/>
      <c r="C319" s="280" t="n"/>
      <c r="D319" s="280" t="n"/>
      <c r="E319" s="280" t="n"/>
      <c r="F319" s="280" t="n"/>
      <c r="G319" s="280" t="n"/>
      <c r="H319" s="280" t="n"/>
      <c r="I319" s="332">
        <f>IFERROR(VLOOKUP(TEXT(H319,"0"),IPRESS!$A$3:$B$212,2,0),"")</f>
        <v/>
      </c>
      <c r="J319" s="280" t="n"/>
      <c r="K319" s="343" t="n"/>
      <c r="L319" s="280" t="n"/>
      <c r="M319" s="280" t="n"/>
      <c r="N319" s="345" t="n"/>
      <c r="O319" s="280" t="n"/>
      <c r="P319" s="332">
        <f>IFERROR(VLOOKUP(TEXT(O319,"0"),CONDUCTORES!$A$3:$G$54,2,0),"")</f>
        <v/>
      </c>
      <c r="Q319" s="332">
        <f>IFERROR(VLOOKUP(TEXT(O319,"0"),CONDUCTORES!$A$3:$H$54,6,0),"")</f>
        <v/>
      </c>
      <c r="R319" s="280" t="n"/>
      <c r="S319" s="280" t="n"/>
      <c r="T319" s="280" t="n"/>
      <c r="U319" s="280" t="n"/>
      <c r="V319" s="280" t="n"/>
      <c r="W319" s="280" t="n"/>
      <c r="X319" s="280" t="n"/>
      <c r="Y319" s="280" t="n"/>
      <c r="Z319" s="350" t="n"/>
      <c r="AA319" s="198" t="n"/>
      <c r="AB319" s="198" t="n"/>
      <c r="AC319" s="198" t="n"/>
    </row>
    <row r="320" ht="15" customHeight="1" s="195">
      <c r="A320" s="280" t="n"/>
      <c r="B320" s="280" t="n"/>
      <c r="C320" s="280" t="n"/>
      <c r="D320" s="280" t="n"/>
      <c r="E320" s="280" t="n"/>
      <c r="F320" s="280" t="n"/>
      <c r="G320" s="280" t="n"/>
      <c r="H320" s="280" t="n"/>
      <c r="I320" s="332">
        <f>IFERROR(VLOOKUP(TEXT(H320,"0"),IPRESS!$A$3:$B$212,2,0),"")</f>
        <v/>
      </c>
      <c r="J320" s="280" t="n"/>
      <c r="K320" s="343" t="n"/>
      <c r="L320" s="280" t="n"/>
      <c r="M320" s="280" t="n"/>
      <c r="N320" s="345" t="n"/>
      <c r="O320" s="280" t="n"/>
      <c r="P320" s="332">
        <f>IFERROR(VLOOKUP(TEXT(O320,"0"),CONDUCTORES!$A$3:$G$54,2,0),"")</f>
        <v/>
      </c>
      <c r="Q320" s="332">
        <f>IFERROR(VLOOKUP(TEXT(O320,"0"),CONDUCTORES!$A$3:$H$54,6,0),"")</f>
        <v/>
      </c>
      <c r="R320" s="280" t="n"/>
      <c r="S320" s="280" t="n"/>
      <c r="T320" s="280" t="n"/>
      <c r="U320" s="280" t="n"/>
      <c r="V320" s="280" t="n"/>
      <c r="W320" s="280" t="n"/>
      <c r="X320" s="280" t="n"/>
      <c r="Y320" s="280" t="n"/>
      <c r="Z320" s="350" t="n"/>
      <c r="AA320" s="198" t="n"/>
      <c r="AB320" s="198" t="n"/>
      <c r="AC320" s="198" t="n"/>
    </row>
    <row r="321" ht="15" customHeight="1" s="195">
      <c r="A321" s="280" t="n"/>
      <c r="B321" s="280" t="n"/>
      <c r="C321" s="280" t="n"/>
      <c r="D321" s="280" t="n"/>
      <c r="E321" s="280" t="n"/>
      <c r="F321" s="280" t="n"/>
      <c r="G321" s="280" t="n"/>
      <c r="H321" s="280" t="n"/>
      <c r="I321" s="332">
        <f>IFERROR(VLOOKUP(TEXT(H321,"0"),IPRESS!$A$3:$B$212,2,0),"")</f>
        <v/>
      </c>
      <c r="J321" s="280" t="n"/>
      <c r="K321" s="343" t="n"/>
      <c r="L321" s="280" t="n"/>
      <c r="M321" s="280" t="n"/>
      <c r="N321" s="345" t="n"/>
      <c r="O321" s="280" t="n"/>
      <c r="P321" s="332">
        <f>IFERROR(VLOOKUP(TEXT(O321,"0"),CONDUCTORES!$A$3:$G$54,2,0),"")</f>
        <v/>
      </c>
      <c r="Q321" s="332">
        <f>IFERROR(VLOOKUP(TEXT(O321,"0"),CONDUCTORES!$A$3:$H$54,6,0),"")</f>
        <v/>
      </c>
      <c r="R321" s="280" t="n"/>
      <c r="S321" s="280" t="n"/>
      <c r="T321" s="280" t="n"/>
      <c r="U321" s="280" t="n"/>
      <c r="V321" s="280" t="n"/>
      <c r="W321" s="280" t="n"/>
      <c r="X321" s="280" t="n"/>
      <c r="Y321" s="280" t="n"/>
      <c r="Z321" s="350" t="n"/>
      <c r="AA321" s="198" t="n"/>
      <c r="AB321" s="198" t="n"/>
      <c r="AC321" s="198" t="n"/>
    </row>
    <row r="322" ht="15" customHeight="1" s="195">
      <c r="A322" s="280" t="n"/>
      <c r="B322" s="280" t="n"/>
      <c r="C322" s="280" t="n"/>
      <c r="D322" s="280" t="n"/>
      <c r="E322" s="280" t="n"/>
      <c r="F322" s="280" t="n"/>
      <c r="G322" s="280" t="n"/>
      <c r="H322" s="280" t="n"/>
      <c r="I322" s="332">
        <f>IFERROR(VLOOKUP(TEXT(H322,"0"),IPRESS!$A$3:$B$212,2,0),"")</f>
        <v/>
      </c>
      <c r="J322" s="280" t="n"/>
      <c r="K322" s="343" t="n"/>
      <c r="L322" s="280" t="n"/>
      <c r="M322" s="280" t="n"/>
      <c r="N322" s="345" t="n"/>
      <c r="O322" s="280" t="n"/>
      <c r="P322" s="332">
        <f>IFERROR(VLOOKUP(TEXT(O322,"0"),CONDUCTORES!$A$3:$G$54,2,0),"")</f>
        <v/>
      </c>
      <c r="Q322" s="332">
        <f>IFERROR(VLOOKUP(TEXT(O322,"0"),CONDUCTORES!$A$3:$H$54,6,0),"")</f>
        <v/>
      </c>
      <c r="R322" s="280" t="n"/>
      <c r="S322" s="280" t="n"/>
      <c r="T322" s="280" t="n"/>
      <c r="U322" s="280" t="n"/>
      <c r="V322" s="280" t="n"/>
      <c r="W322" s="280" t="n"/>
      <c r="X322" s="280" t="n"/>
      <c r="Y322" s="280" t="n"/>
      <c r="Z322" s="350" t="n"/>
      <c r="AA322" s="198" t="n"/>
      <c r="AB322" s="198" t="n"/>
      <c r="AC322" s="198" t="n"/>
    </row>
    <row r="323" ht="15" customHeight="1" s="195">
      <c r="A323" s="280" t="n"/>
      <c r="B323" s="280" t="n"/>
      <c r="C323" s="280" t="n"/>
      <c r="D323" s="280" t="n"/>
      <c r="E323" s="280" t="n"/>
      <c r="F323" s="280" t="n"/>
      <c r="G323" s="280" t="n"/>
      <c r="H323" s="280" t="n"/>
      <c r="I323" s="332">
        <f>IFERROR(VLOOKUP(TEXT(H323,"0"),IPRESS!$A$3:$B$212,2,0),"")</f>
        <v/>
      </c>
      <c r="J323" s="280" t="n"/>
      <c r="K323" s="343" t="n"/>
      <c r="L323" s="280" t="n"/>
      <c r="M323" s="280" t="n"/>
      <c r="N323" s="345" t="n"/>
      <c r="O323" s="280" t="n"/>
      <c r="P323" s="332">
        <f>IFERROR(VLOOKUP(TEXT(O323,"0"),CONDUCTORES!$A$3:$G$54,2,0),"")</f>
        <v/>
      </c>
      <c r="Q323" s="332">
        <f>IFERROR(VLOOKUP(TEXT(O323,"0"),CONDUCTORES!$A$3:$H$54,6,0),"")</f>
        <v/>
      </c>
      <c r="R323" s="280" t="n"/>
      <c r="S323" s="280" t="n"/>
      <c r="T323" s="280" t="n"/>
      <c r="U323" s="280" t="n"/>
      <c r="V323" s="280" t="n"/>
      <c r="W323" s="280" t="n"/>
      <c r="X323" s="280" t="n"/>
      <c r="Y323" s="280" t="n"/>
      <c r="Z323" s="350" t="n"/>
      <c r="AA323" s="198" t="n"/>
      <c r="AB323" s="198" t="n"/>
      <c r="AC323" s="198" t="n"/>
    </row>
    <row r="324" ht="15" customHeight="1" s="195">
      <c r="A324" s="280" t="n"/>
      <c r="B324" s="280" t="n"/>
      <c r="C324" s="280" t="n"/>
      <c r="D324" s="280" t="n"/>
      <c r="E324" s="280" t="n"/>
      <c r="F324" s="280" t="n"/>
      <c r="G324" s="280" t="n"/>
      <c r="H324" s="280" t="n"/>
      <c r="I324" s="332">
        <f>IFERROR(VLOOKUP(TEXT(H324,"0"),IPRESS!$A$3:$B$212,2,0),"")</f>
        <v/>
      </c>
      <c r="J324" s="280" t="n"/>
      <c r="K324" s="343" t="n"/>
      <c r="L324" s="280" t="n"/>
      <c r="M324" s="280" t="n"/>
      <c r="N324" s="345" t="n"/>
      <c r="O324" s="280" t="n"/>
      <c r="P324" s="332">
        <f>IFERROR(VLOOKUP(TEXT(O324,"0"),CONDUCTORES!$A$3:$G$54,2,0),"")</f>
        <v/>
      </c>
      <c r="Q324" s="332">
        <f>IFERROR(VLOOKUP(TEXT(O324,"0"),CONDUCTORES!$A$3:$H$54,6,0),"")</f>
        <v/>
      </c>
      <c r="R324" s="280" t="n"/>
      <c r="S324" s="280" t="n"/>
      <c r="T324" s="280" t="n"/>
      <c r="U324" s="280" t="n"/>
      <c r="V324" s="280" t="n"/>
      <c r="W324" s="280" t="n"/>
      <c r="X324" s="280" t="n"/>
      <c r="Y324" s="280" t="n"/>
      <c r="Z324" s="350" t="n"/>
      <c r="AA324" s="198" t="n"/>
      <c r="AB324" s="198" t="n"/>
      <c r="AC324" s="198" t="n"/>
    </row>
    <row r="325" ht="15" customHeight="1" s="195">
      <c r="A325" s="280" t="n"/>
      <c r="B325" s="280" t="n"/>
      <c r="C325" s="280" t="n"/>
      <c r="D325" s="280" t="n"/>
      <c r="E325" s="280" t="n"/>
      <c r="F325" s="280" t="n"/>
      <c r="G325" s="280" t="n"/>
      <c r="H325" s="280" t="n"/>
      <c r="I325" s="332">
        <f>IFERROR(VLOOKUP(TEXT(H325,"0"),IPRESS!$A$3:$B$212,2,0),"")</f>
        <v/>
      </c>
      <c r="J325" s="280" t="n"/>
      <c r="K325" s="343" t="n"/>
      <c r="L325" s="280" t="n"/>
      <c r="M325" s="280" t="n"/>
      <c r="N325" s="345" t="n"/>
      <c r="O325" s="280" t="n"/>
      <c r="P325" s="332">
        <f>IFERROR(VLOOKUP(TEXT(O325,"0"),CONDUCTORES!$A$3:$G$54,2,0),"")</f>
        <v/>
      </c>
      <c r="Q325" s="332">
        <f>IFERROR(VLOOKUP(TEXT(O325,"0"),CONDUCTORES!$A$3:$H$54,6,0),"")</f>
        <v/>
      </c>
      <c r="R325" s="280" t="n"/>
      <c r="S325" s="280" t="n"/>
      <c r="T325" s="280" t="n"/>
      <c r="U325" s="280" t="n"/>
      <c r="V325" s="280" t="n"/>
      <c r="W325" s="280" t="n"/>
      <c r="X325" s="280" t="n"/>
      <c r="Y325" s="280" t="n"/>
      <c r="Z325" s="350" t="n"/>
      <c r="AA325" s="198" t="n"/>
      <c r="AB325" s="198" t="n"/>
      <c r="AC325" s="198" t="n"/>
    </row>
    <row r="326" ht="15" customHeight="1" s="195">
      <c r="A326" s="280" t="n"/>
      <c r="B326" s="280" t="n"/>
      <c r="C326" s="280" t="n"/>
      <c r="D326" s="280" t="n"/>
      <c r="E326" s="280" t="n"/>
      <c r="F326" s="280" t="n"/>
      <c r="G326" s="280" t="n"/>
      <c r="H326" s="280" t="n"/>
      <c r="I326" s="332">
        <f>IFERROR(VLOOKUP(TEXT(H326,"0"),IPRESS!$A$3:$B$212,2,0),"")</f>
        <v/>
      </c>
      <c r="J326" s="280" t="n"/>
      <c r="K326" s="343" t="n"/>
      <c r="L326" s="280" t="n"/>
      <c r="M326" s="280" t="n"/>
      <c r="N326" s="345" t="n"/>
      <c r="O326" s="280" t="n"/>
      <c r="P326" s="332">
        <f>IFERROR(VLOOKUP(TEXT(O326,"0"),CONDUCTORES!$A$3:$G$54,2,0),"")</f>
        <v/>
      </c>
      <c r="Q326" s="332">
        <f>IFERROR(VLOOKUP(TEXT(O326,"0"),CONDUCTORES!$A$3:$H$54,6,0),"")</f>
        <v/>
      </c>
      <c r="R326" s="280" t="n"/>
      <c r="S326" s="280" t="n"/>
      <c r="T326" s="280" t="n"/>
      <c r="U326" s="280" t="n"/>
      <c r="V326" s="280" t="n"/>
      <c r="W326" s="280" t="n"/>
      <c r="X326" s="280" t="n"/>
      <c r="Y326" s="280" t="n"/>
      <c r="Z326" s="350" t="n"/>
      <c r="AA326" s="198" t="n"/>
      <c r="AB326" s="198" t="n"/>
      <c r="AC326" s="198" t="n"/>
    </row>
    <row r="327" ht="15" customHeight="1" s="195">
      <c r="A327" s="280" t="n"/>
      <c r="B327" s="280" t="n"/>
      <c r="C327" s="280" t="n"/>
      <c r="D327" s="280" t="n"/>
      <c r="E327" s="280" t="n"/>
      <c r="F327" s="280" t="n"/>
      <c r="G327" s="280" t="n"/>
      <c r="H327" s="280" t="n"/>
      <c r="I327" s="332">
        <f>IFERROR(VLOOKUP(TEXT(H327,"0"),IPRESS!$A$3:$B$212,2,0),"")</f>
        <v/>
      </c>
      <c r="J327" s="280" t="n"/>
      <c r="K327" s="343" t="n"/>
      <c r="L327" s="280" t="n"/>
      <c r="M327" s="280" t="n"/>
      <c r="N327" s="345" t="n"/>
      <c r="O327" s="280" t="n"/>
      <c r="P327" s="332">
        <f>IFERROR(VLOOKUP(TEXT(O327,"0"),CONDUCTORES!$A$3:$G$54,2,0),"")</f>
        <v/>
      </c>
      <c r="Q327" s="332">
        <f>IFERROR(VLOOKUP(TEXT(O327,"0"),CONDUCTORES!$A$3:$H$54,6,0),"")</f>
        <v/>
      </c>
      <c r="R327" s="280" t="n"/>
      <c r="S327" s="280" t="n"/>
      <c r="T327" s="280" t="n"/>
      <c r="U327" s="280" t="n"/>
      <c r="V327" s="280" t="n"/>
      <c r="W327" s="280" t="n"/>
      <c r="X327" s="280" t="n"/>
      <c r="Y327" s="280" t="n"/>
      <c r="Z327" s="350" t="n"/>
      <c r="AA327" s="198" t="n"/>
      <c r="AB327" s="198" t="n"/>
      <c r="AC327" s="198" t="n"/>
    </row>
    <row r="328" ht="15" customHeight="1" s="195">
      <c r="A328" s="280" t="n"/>
      <c r="B328" s="280" t="n"/>
      <c r="C328" s="280" t="n"/>
      <c r="D328" s="280" t="n"/>
      <c r="E328" s="280" t="n"/>
      <c r="F328" s="280" t="n"/>
      <c r="G328" s="280" t="n"/>
      <c r="H328" s="280" t="n"/>
      <c r="I328" s="332">
        <f>IFERROR(VLOOKUP(TEXT(H328,"0"),IPRESS!$A$3:$B$212,2,0),"")</f>
        <v/>
      </c>
      <c r="J328" s="280" t="n"/>
      <c r="K328" s="343" t="n"/>
      <c r="L328" s="280" t="n"/>
      <c r="M328" s="280" t="n"/>
      <c r="N328" s="345" t="n"/>
      <c r="O328" s="280" t="n"/>
      <c r="P328" s="332">
        <f>IFERROR(VLOOKUP(TEXT(O328,"0"),CONDUCTORES!$A$3:$G$54,2,0),"")</f>
        <v/>
      </c>
      <c r="Q328" s="332">
        <f>IFERROR(VLOOKUP(TEXT(O328,"0"),CONDUCTORES!$A$3:$H$54,6,0),"")</f>
        <v/>
      </c>
      <c r="R328" s="280" t="n"/>
      <c r="S328" s="280" t="n"/>
      <c r="T328" s="280" t="n"/>
      <c r="U328" s="280" t="n"/>
      <c r="V328" s="280" t="n"/>
      <c r="W328" s="280" t="n"/>
      <c r="X328" s="280" t="n"/>
      <c r="Y328" s="280" t="n"/>
      <c r="Z328" s="350" t="n"/>
      <c r="AA328" s="198" t="n"/>
      <c r="AB328" s="198" t="n"/>
      <c r="AC328" s="198" t="n"/>
    </row>
    <row r="329" ht="15" customHeight="1" s="195">
      <c r="A329" s="280" t="n"/>
      <c r="B329" s="280" t="n"/>
      <c r="C329" s="280" t="n"/>
      <c r="D329" s="280" t="n"/>
      <c r="E329" s="280" t="n"/>
      <c r="F329" s="280" t="n"/>
      <c r="G329" s="280" t="n"/>
      <c r="H329" s="280" t="n"/>
      <c r="I329" s="332">
        <f>IFERROR(VLOOKUP(TEXT(H329,"0"),IPRESS!$A$3:$B$212,2,0),"")</f>
        <v/>
      </c>
      <c r="J329" s="280" t="n"/>
      <c r="K329" s="343" t="n"/>
      <c r="L329" s="280" t="n"/>
      <c r="M329" s="280" t="n"/>
      <c r="N329" s="345" t="n"/>
      <c r="O329" s="280" t="n"/>
      <c r="P329" s="332">
        <f>IFERROR(VLOOKUP(TEXT(O329,"0"),CONDUCTORES!$A$3:$G$54,2,0),"")</f>
        <v/>
      </c>
      <c r="Q329" s="332">
        <f>IFERROR(VLOOKUP(TEXT(O329,"0"),CONDUCTORES!$A$3:$H$54,6,0),"")</f>
        <v/>
      </c>
      <c r="R329" s="280" t="n"/>
      <c r="S329" s="280" t="n"/>
      <c r="T329" s="280" t="n"/>
      <c r="U329" s="280" t="n"/>
      <c r="V329" s="280" t="n"/>
      <c r="W329" s="280" t="n"/>
      <c r="X329" s="280" t="n"/>
      <c r="Y329" s="280" t="n"/>
      <c r="Z329" s="350" t="n"/>
      <c r="AA329" s="198" t="n"/>
      <c r="AB329" s="198" t="n"/>
      <c r="AC329" s="198" t="n"/>
    </row>
    <row r="330" ht="15" customHeight="1" s="195">
      <c r="A330" s="280" t="n"/>
      <c r="B330" s="280" t="n"/>
      <c r="C330" s="280" t="n"/>
      <c r="D330" s="280" t="n"/>
      <c r="E330" s="280" t="n"/>
      <c r="F330" s="280" t="n"/>
      <c r="G330" s="280" t="n"/>
      <c r="H330" s="280" t="n"/>
      <c r="I330" s="332">
        <f>IFERROR(VLOOKUP(TEXT(H330,"0"),IPRESS!$A$3:$B$212,2,0),"")</f>
        <v/>
      </c>
      <c r="J330" s="280" t="n"/>
      <c r="K330" s="343" t="n"/>
      <c r="L330" s="280" t="n"/>
      <c r="M330" s="280" t="n"/>
      <c r="N330" s="345" t="n"/>
      <c r="O330" s="280" t="n"/>
      <c r="P330" s="332">
        <f>IFERROR(VLOOKUP(TEXT(O330,"0"),CONDUCTORES!$A$3:$G$54,2,0),"")</f>
        <v/>
      </c>
      <c r="Q330" s="332">
        <f>IFERROR(VLOOKUP(TEXT(O330,"0"),CONDUCTORES!$A$3:$H$54,6,0),"")</f>
        <v/>
      </c>
      <c r="R330" s="280" t="n"/>
      <c r="S330" s="280" t="n"/>
      <c r="T330" s="280" t="n"/>
      <c r="U330" s="280" t="n"/>
      <c r="V330" s="280" t="n"/>
      <c r="W330" s="280" t="n"/>
      <c r="X330" s="280" t="n"/>
      <c r="Y330" s="280" t="n"/>
      <c r="Z330" s="350" t="n"/>
      <c r="AA330" s="198" t="n"/>
      <c r="AB330" s="198" t="n"/>
      <c r="AC330" s="198" t="n"/>
    </row>
    <row r="331" ht="15" customHeight="1" s="195">
      <c r="A331" s="280" t="n"/>
      <c r="B331" s="280" t="n"/>
      <c r="C331" s="280" t="n"/>
      <c r="D331" s="280" t="n"/>
      <c r="E331" s="280" t="n"/>
      <c r="F331" s="280" t="n"/>
      <c r="G331" s="280" t="n"/>
      <c r="H331" s="280" t="n"/>
      <c r="I331" s="332">
        <f>IFERROR(VLOOKUP(TEXT(H331,"0"),IPRESS!$A$3:$B$212,2,0),"")</f>
        <v/>
      </c>
      <c r="J331" s="280" t="n"/>
      <c r="K331" s="343" t="n"/>
      <c r="L331" s="280" t="n"/>
      <c r="M331" s="280" t="n"/>
      <c r="N331" s="345" t="n"/>
      <c r="O331" s="280" t="n"/>
      <c r="P331" s="332">
        <f>IFERROR(VLOOKUP(TEXT(O331,"0"),CONDUCTORES!$A$3:$G$54,2,0),"")</f>
        <v/>
      </c>
      <c r="Q331" s="332">
        <f>IFERROR(VLOOKUP(TEXT(O331,"0"),CONDUCTORES!$A$3:$H$54,6,0),"")</f>
        <v/>
      </c>
      <c r="R331" s="280" t="n"/>
      <c r="S331" s="280" t="n"/>
      <c r="T331" s="280" t="n"/>
      <c r="U331" s="280" t="n"/>
      <c r="V331" s="280" t="n"/>
      <c r="W331" s="280" t="n"/>
      <c r="X331" s="280" t="n"/>
      <c r="Y331" s="280" t="n"/>
      <c r="Z331" s="350" t="n"/>
      <c r="AA331" s="198" t="n"/>
      <c r="AB331" s="198" t="n"/>
      <c r="AC331" s="198" t="n"/>
    </row>
    <row r="332" ht="15" customHeight="1" s="195">
      <c r="A332" s="280" t="n"/>
      <c r="B332" s="280" t="n"/>
      <c r="C332" s="280" t="n"/>
      <c r="D332" s="280" t="n"/>
      <c r="E332" s="280" t="n"/>
      <c r="F332" s="280" t="n"/>
      <c r="G332" s="280" t="n"/>
      <c r="H332" s="280" t="n"/>
      <c r="I332" s="332">
        <f>IFERROR(VLOOKUP(TEXT(H332,"0"),IPRESS!$A$3:$B$212,2,0),"")</f>
        <v/>
      </c>
      <c r="J332" s="280" t="n"/>
      <c r="K332" s="343" t="n"/>
      <c r="L332" s="280" t="n"/>
      <c r="M332" s="280" t="n"/>
      <c r="N332" s="345" t="n"/>
      <c r="O332" s="280" t="n"/>
      <c r="P332" s="332">
        <f>IFERROR(VLOOKUP(TEXT(O332,"0"),CONDUCTORES!$A$3:$G$54,2,0),"")</f>
        <v/>
      </c>
      <c r="Q332" s="332">
        <f>IFERROR(VLOOKUP(TEXT(O332,"0"),CONDUCTORES!$A$3:$H$54,6,0),"")</f>
        <v/>
      </c>
      <c r="R332" s="280" t="n"/>
      <c r="S332" s="280" t="n"/>
      <c r="T332" s="280" t="n"/>
      <c r="U332" s="280" t="n"/>
      <c r="V332" s="280" t="n"/>
      <c r="W332" s="280" t="n"/>
      <c r="X332" s="280" t="n"/>
      <c r="Y332" s="280" t="n"/>
      <c r="Z332" s="350" t="n"/>
      <c r="AA332" s="198" t="n"/>
      <c r="AB332" s="198" t="n"/>
      <c r="AC332" s="198" t="n"/>
    </row>
    <row r="333" ht="15" customHeight="1" s="195">
      <c r="A333" s="280" t="n"/>
      <c r="B333" s="280" t="n"/>
      <c r="C333" s="280" t="n"/>
      <c r="D333" s="280" t="n"/>
      <c r="E333" s="280" t="n"/>
      <c r="F333" s="280" t="n"/>
      <c r="G333" s="280" t="n"/>
      <c r="H333" s="280" t="n"/>
      <c r="I333" s="332">
        <f>IFERROR(VLOOKUP(TEXT(H333,"0"),IPRESS!$A$3:$B$212,2,0),"")</f>
        <v/>
      </c>
      <c r="J333" s="280" t="n"/>
      <c r="K333" s="343" t="n"/>
      <c r="L333" s="280" t="n"/>
      <c r="M333" s="280" t="n"/>
      <c r="N333" s="345" t="n"/>
      <c r="O333" s="280" t="n"/>
      <c r="P333" s="332">
        <f>IFERROR(VLOOKUP(TEXT(O333,"0"),CONDUCTORES!$A$3:$G$54,2,0),"")</f>
        <v/>
      </c>
      <c r="Q333" s="332">
        <f>IFERROR(VLOOKUP(TEXT(O333,"0"),CONDUCTORES!$A$3:$H$54,6,0),"")</f>
        <v/>
      </c>
      <c r="R333" s="280" t="n"/>
      <c r="S333" s="280" t="n"/>
      <c r="T333" s="280" t="n"/>
      <c r="U333" s="280" t="n"/>
      <c r="V333" s="280" t="n"/>
      <c r="W333" s="280" t="n"/>
      <c r="X333" s="280" t="n"/>
      <c r="Y333" s="280" t="n"/>
      <c r="Z333" s="350" t="n"/>
      <c r="AA333" s="198" t="n"/>
      <c r="AB333" s="198" t="n"/>
      <c r="AC333" s="198" t="n"/>
    </row>
    <row r="334" ht="15" customHeight="1" s="195">
      <c r="A334" s="280" t="n"/>
      <c r="B334" s="280" t="n"/>
      <c r="C334" s="280" t="n"/>
      <c r="D334" s="280" t="n"/>
      <c r="E334" s="280" t="n"/>
      <c r="F334" s="280" t="n"/>
      <c r="G334" s="280" t="n"/>
      <c r="H334" s="280" t="n"/>
      <c r="I334" s="332">
        <f>IFERROR(VLOOKUP(TEXT(H334,"0"),IPRESS!$A$3:$B$212,2,0),"")</f>
        <v/>
      </c>
      <c r="J334" s="280" t="n"/>
      <c r="K334" s="343" t="n"/>
      <c r="L334" s="280" t="n"/>
      <c r="M334" s="280" t="n"/>
      <c r="N334" s="345" t="n"/>
      <c r="O334" s="280" t="n"/>
      <c r="P334" s="332">
        <f>IFERROR(VLOOKUP(TEXT(O334,"0"),CONDUCTORES!$A$3:$G$54,2,0),"")</f>
        <v/>
      </c>
      <c r="Q334" s="332">
        <f>IFERROR(VLOOKUP(TEXT(O334,"0"),CONDUCTORES!$A$3:$H$54,6,0),"")</f>
        <v/>
      </c>
      <c r="R334" s="280" t="n"/>
      <c r="S334" s="280" t="n"/>
      <c r="T334" s="280" t="n"/>
      <c r="U334" s="280" t="n"/>
      <c r="V334" s="280" t="n"/>
      <c r="W334" s="280" t="n"/>
      <c r="X334" s="280" t="n"/>
      <c r="Y334" s="280" t="n"/>
      <c r="Z334" s="350" t="n"/>
      <c r="AA334" s="198" t="n"/>
      <c r="AB334" s="198" t="n"/>
      <c r="AC334" s="198" t="n"/>
    </row>
    <row r="335" ht="15" customHeight="1" s="195">
      <c r="A335" s="280" t="n"/>
      <c r="B335" s="280" t="n"/>
      <c r="C335" s="280" t="n"/>
      <c r="D335" s="280" t="n"/>
      <c r="E335" s="280" t="n"/>
      <c r="F335" s="280" t="n"/>
      <c r="G335" s="280" t="n"/>
      <c r="H335" s="280" t="n"/>
      <c r="I335" s="332">
        <f>IFERROR(VLOOKUP(TEXT(H335,"0"),IPRESS!$A$3:$B$212,2,0),"")</f>
        <v/>
      </c>
      <c r="J335" s="280" t="n"/>
      <c r="K335" s="343" t="n"/>
      <c r="L335" s="280" t="n"/>
      <c r="M335" s="280" t="n"/>
      <c r="N335" s="345" t="n"/>
      <c r="O335" s="280" t="n"/>
      <c r="P335" s="332">
        <f>IFERROR(VLOOKUP(TEXT(O335,"0"),CONDUCTORES!$A$3:$G$54,2,0),"")</f>
        <v/>
      </c>
      <c r="Q335" s="332">
        <f>IFERROR(VLOOKUP(TEXT(O335,"0"),CONDUCTORES!$A$3:$H$54,6,0),"")</f>
        <v/>
      </c>
      <c r="R335" s="280" t="n"/>
      <c r="S335" s="280" t="n"/>
      <c r="T335" s="280" t="n"/>
      <c r="U335" s="280" t="n"/>
      <c r="V335" s="280" t="n"/>
      <c r="W335" s="280" t="n"/>
      <c r="X335" s="280" t="n"/>
      <c r="Y335" s="280" t="n"/>
      <c r="Z335" s="350" t="n"/>
      <c r="AA335" s="198" t="n"/>
      <c r="AB335" s="198" t="n"/>
      <c r="AC335" s="198" t="n"/>
    </row>
    <row r="336" ht="15" customHeight="1" s="195">
      <c r="A336" s="280" t="n"/>
      <c r="B336" s="280" t="n"/>
      <c r="C336" s="280" t="n"/>
      <c r="D336" s="280" t="n"/>
      <c r="E336" s="280" t="n"/>
      <c r="F336" s="280" t="n"/>
      <c r="G336" s="280" t="n"/>
      <c r="H336" s="280" t="n"/>
      <c r="I336" s="332">
        <f>IFERROR(VLOOKUP(TEXT(H336,"0"),IPRESS!$A$3:$B$212,2,0),"")</f>
        <v/>
      </c>
      <c r="J336" s="280" t="n"/>
      <c r="K336" s="343" t="n"/>
      <c r="L336" s="280" t="n"/>
      <c r="M336" s="280" t="n"/>
      <c r="N336" s="345" t="n"/>
      <c r="O336" s="280" t="n"/>
      <c r="P336" s="332">
        <f>IFERROR(VLOOKUP(TEXT(O336,"0"),CONDUCTORES!$A$3:$G$54,2,0),"")</f>
        <v/>
      </c>
      <c r="Q336" s="332">
        <f>IFERROR(VLOOKUP(TEXT(O336,"0"),CONDUCTORES!$A$3:$H$54,6,0),"")</f>
        <v/>
      </c>
      <c r="R336" s="280" t="n"/>
      <c r="S336" s="280" t="n"/>
      <c r="T336" s="280" t="n"/>
      <c r="U336" s="280" t="n"/>
      <c r="V336" s="280" t="n"/>
      <c r="W336" s="280" t="n"/>
      <c r="X336" s="280" t="n"/>
      <c r="Y336" s="280" t="n"/>
      <c r="Z336" s="350" t="n"/>
      <c r="AA336" s="198" t="n"/>
      <c r="AB336" s="198" t="n"/>
      <c r="AC336" s="198" t="n"/>
    </row>
    <row r="337" ht="15" customHeight="1" s="195">
      <c r="A337" s="280" t="n"/>
      <c r="B337" s="280" t="n"/>
      <c r="C337" s="280" t="n"/>
      <c r="D337" s="280" t="n"/>
      <c r="E337" s="280" t="n"/>
      <c r="F337" s="280" t="n"/>
      <c r="G337" s="280" t="n"/>
      <c r="H337" s="280" t="n"/>
      <c r="I337" s="332">
        <f>IFERROR(VLOOKUP(TEXT(H337,"0"),IPRESS!$A$3:$B$212,2,0),"")</f>
        <v/>
      </c>
      <c r="J337" s="280" t="n"/>
      <c r="K337" s="343" t="n"/>
      <c r="L337" s="280" t="n"/>
      <c r="M337" s="280" t="n"/>
      <c r="N337" s="345" t="n"/>
      <c r="O337" s="280" t="n"/>
      <c r="P337" s="332">
        <f>IFERROR(VLOOKUP(TEXT(O337,"0"),CONDUCTORES!$A$3:$G$54,2,0),"")</f>
        <v/>
      </c>
      <c r="Q337" s="332">
        <f>IFERROR(VLOOKUP(TEXT(O337,"0"),CONDUCTORES!$A$3:$H$54,6,0),"")</f>
        <v/>
      </c>
      <c r="R337" s="280" t="n"/>
      <c r="S337" s="280" t="n"/>
      <c r="T337" s="280" t="n"/>
      <c r="U337" s="280" t="n"/>
      <c r="V337" s="280" t="n"/>
      <c r="W337" s="280" t="n"/>
      <c r="X337" s="280" t="n"/>
      <c r="Y337" s="280" t="n"/>
      <c r="Z337" s="350" t="n"/>
      <c r="AA337" s="198" t="n"/>
      <c r="AB337" s="198" t="n"/>
      <c r="AC337" s="198" t="n"/>
    </row>
    <row r="338" ht="15" customHeight="1" s="195">
      <c r="A338" s="280" t="n"/>
      <c r="B338" s="280" t="n"/>
      <c r="C338" s="280" t="n"/>
      <c r="D338" s="280" t="n"/>
      <c r="E338" s="280" t="n"/>
      <c r="F338" s="280" t="n"/>
      <c r="G338" s="280" t="n"/>
      <c r="H338" s="280" t="n"/>
      <c r="I338" s="332">
        <f>IFERROR(VLOOKUP(TEXT(H338,"0"),IPRESS!$A$3:$B$212,2,0),"")</f>
        <v/>
      </c>
      <c r="J338" s="280" t="n"/>
      <c r="K338" s="343" t="n"/>
      <c r="L338" s="280" t="n"/>
      <c r="M338" s="280" t="n"/>
      <c r="N338" s="345" t="n"/>
      <c r="O338" s="280" t="n"/>
      <c r="P338" s="332">
        <f>IFERROR(VLOOKUP(TEXT(O338,"0"),CONDUCTORES!$A$3:$G$54,2,0),"")</f>
        <v/>
      </c>
      <c r="Q338" s="332">
        <f>IFERROR(VLOOKUP(TEXT(O338,"0"),CONDUCTORES!$A$3:$H$54,6,0),"")</f>
        <v/>
      </c>
      <c r="R338" s="280" t="n"/>
      <c r="S338" s="280" t="n"/>
      <c r="T338" s="280" t="n"/>
      <c r="U338" s="280" t="n"/>
      <c r="V338" s="280" t="n"/>
      <c r="W338" s="280" t="n"/>
      <c r="X338" s="280" t="n"/>
      <c r="Y338" s="280" t="n"/>
      <c r="Z338" s="350" t="n"/>
      <c r="AA338" s="198" t="n"/>
      <c r="AB338" s="198" t="n"/>
      <c r="AC338" s="198" t="n"/>
    </row>
    <row r="339" ht="15" customHeight="1" s="195">
      <c r="A339" s="280" t="n"/>
      <c r="B339" s="280" t="n"/>
      <c r="C339" s="280" t="n"/>
      <c r="D339" s="280" t="n"/>
      <c r="E339" s="280" t="n"/>
      <c r="F339" s="280" t="n"/>
      <c r="G339" s="280" t="n"/>
      <c r="H339" s="280" t="n"/>
      <c r="I339" s="332">
        <f>IFERROR(VLOOKUP(TEXT(H339,"0"),IPRESS!$A$3:$B$212,2,0),"")</f>
        <v/>
      </c>
      <c r="J339" s="280" t="n"/>
      <c r="K339" s="343" t="n"/>
      <c r="L339" s="280" t="n"/>
      <c r="M339" s="280" t="n"/>
      <c r="N339" s="345" t="n"/>
      <c r="O339" s="280" t="n"/>
      <c r="P339" s="332">
        <f>IFERROR(VLOOKUP(TEXT(O339,"0"),CONDUCTORES!$A$3:$G$54,2,0),"")</f>
        <v/>
      </c>
      <c r="Q339" s="332">
        <f>IFERROR(VLOOKUP(TEXT(O339,"0"),CONDUCTORES!$A$3:$H$54,6,0),"")</f>
        <v/>
      </c>
      <c r="R339" s="280" t="n"/>
      <c r="S339" s="280" t="n"/>
      <c r="T339" s="280" t="n"/>
      <c r="U339" s="280" t="n"/>
      <c r="V339" s="280" t="n"/>
      <c r="W339" s="280" t="n"/>
      <c r="X339" s="280" t="n"/>
      <c r="Y339" s="280" t="n"/>
      <c r="Z339" s="350" t="n"/>
      <c r="AA339" s="198" t="n"/>
      <c r="AB339" s="198" t="n"/>
      <c r="AC339" s="198" t="n"/>
    </row>
    <row r="340" ht="15" customHeight="1" s="195">
      <c r="A340" s="280" t="n"/>
      <c r="B340" s="280" t="n"/>
      <c r="C340" s="280" t="n"/>
      <c r="D340" s="280" t="n"/>
      <c r="E340" s="280" t="n"/>
      <c r="F340" s="280" t="n"/>
      <c r="G340" s="280" t="n"/>
      <c r="H340" s="280" t="n"/>
      <c r="I340" s="332">
        <f>IFERROR(VLOOKUP(TEXT(H340,"0"),IPRESS!$A$3:$B$212,2,0),"")</f>
        <v/>
      </c>
      <c r="J340" s="280" t="n"/>
      <c r="K340" s="343" t="n"/>
      <c r="L340" s="280" t="n"/>
      <c r="M340" s="280" t="n"/>
      <c r="N340" s="345" t="n"/>
      <c r="O340" s="280" t="n"/>
      <c r="P340" s="332">
        <f>IFERROR(VLOOKUP(TEXT(O340,"0"),CONDUCTORES!$A$3:$G$54,2,0),"")</f>
        <v/>
      </c>
      <c r="Q340" s="332">
        <f>IFERROR(VLOOKUP(TEXT(O340,"0"),CONDUCTORES!$A$3:$H$54,6,0),"")</f>
        <v/>
      </c>
      <c r="R340" s="280" t="n"/>
      <c r="S340" s="280" t="n"/>
      <c r="T340" s="280" t="n"/>
      <c r="U340" s="280" t="n"/>
      <c r="V340" s="280" t="n"/>
      <c r="W340" s="280" t="n"/>
      <c r="X340" s="280" t="n"/>
      <c r="Y340" s="280" t="n"/>
      <c r="Z340" s="350" t="n"/>
      <c r="AA340" s="198" t="n"/>
      <c r="AB340" s="198" t="n"/>
      <c r="AC340" s="198" t="n"/>
    </row>
    <row r="341" ht="15" customHeight="1" s="195">
      <c r="A341" s="280" t="n"/>
      <c r="B341" s="280" t="n"/>
      <c r="C341" s="280" t="n"/>
      <c r="D341" s="280" t="n"/>
      <c r="E341" s="280" t="n"/>
      <c r="F341" s="280" t="n"/>
      <c r="G341" s="280" t="n"/>
      <c r="H341" s="280" t="n"/>
      <c r="I341" s="332">
        <f>IFERROR(VLOOKUP(TEXT(H341,"0"),IPRESS!$A$3:$B$212,2,0),"")</f>
        <v/>
      </c>
      <c r="J341" s="280" t="n"/>
      <c r="K341" s="343" t="n"/>
      <c r="L341" s="280" t="n"/>
      <c r="M341" s="280" t="n"/>
      <c r="N341" s="345" t="n"/>
      <c r="O341" s="280" t="n"/>
      <c r="P341" s="332">
        <f>IFERROR(VLOOKUP(TEXT(O341,"0"),CONDUCTORES!$A$3:$G$54,2,0),"")</f>
        <v/>
      </c>
      <c r="Q341" s="332">
        <f>IFERROR(VLOOKUP(TEXT(O341,"0"),CONDUCTORES!$A$3:$H$54,6,0),"")</f>
        <v/>
      </c>
      <c r="R341" s="280" t="n"/>
      <c r="S341" s="280" t="n"/>
      <c r="T341" s="280" t="n"/>
      <c r="U341" s="280" t="n"/>
      <c r="V341" s="280" t="n"/>
      <c r="W341" s="280" t="n"/>
      <c r="X341" s="280" t="n"/>
      <c r="Y341" s="280" t="n"/>
      <c r="Z341" s="350" t="n"/>
      <c r="AA341" s="198" t="n"/>
      <c r="AB341" s="198" t="n"/>
      <c r="AC341" s="198" t="n"/>
    </row>
    <row r="342" ht="15" customHeight="1" s="195">
      <c r="A342" s="280" t="n"/>
      <c r="B342" s="280" t="n"/>
      <c r="C342" s="280" t="n"/>
      <c r="D342" s="280" t="n"/>
      <c r="E342" s="280" t="n"/>
      <c r="F342" s="280" t="n"/>
      <c r="G342" s="280" t="n"/>
      <c r="H342" s="280" t="n"/>
      <c r="I342" s="332">
        <f>IFERROR(VLOOKUP(TEXT(H342,"0"),IPRESS!$A$3:$B$212,2,0),"")</f>
        <v/>
      </c>
      <c r="J342" s="280" t="n"/>
      <c r="K342" s="343" t="n"/>
      <c r="L342" s="280" t="n"/>
      <c r="M342" s="280" t="n"/>
      <c r="N342" s="345" t="n"/>
      <c r="O342" s="280" t="n"/>
      <c r="P342" s="332">
        <f>IFERROR(VLOOKUP(TEXT(O342,"0"),CONDUCTORES!$A$3:$G$54,2,0),"")</f>
        <v/>
      </c>
      <c r="Q342" s="332">
        <f>IFERROR(VLOOKUP(TEXT(O342,"0"),CONDUCTORES!$A$3:$H$54,6,0),"")</f>
        <v/>
      </c>
      <c r="R342" s="280" t="n"/>
      <c r="S342" s="280" t="n"/>
      <c r="T342" s="280" t="n"/>
      <c r="U342" s="280" t="n"/>
      <c r="V342" s="280" t="n"/>
      <c r="W342" s="280" t="n"/>
      <c r="X342" s="280" t="n"/>
      <c r="Y342" s="280" t="n"/>
      <c r="Z342" s="350" t="n"/>
      <c r="AA342" s="198" t="n"/>
      <c r="AB342" s="198" t="n"/>
      <c r="AC342" s="198" t="n"/>
    </row>
    <row r="343" ht="15" customHeight="1" s="195">
      <c r="A343" s="280" t="n"/>
      <c r="B343" s="280" t="n"/>
      <c r="C343" s="280" t="n"/>
      <c r="D343" s="280" t="n"/>
      <c r="E343" s="280" t="n"/>
      <c r="F343" s="280" t="n"/>
      <c r="G343" s="280" t="n"/>
      <c r="H343" s="280" t="n"/>
      <c r="I343" s="332">
        <f>IFERROR(VLOOKUP(TEXT(H343,"0"),IPRESS!$A$3:$B$212,2,0),"")</f>
        <v/>
      </c>
      <c r="J343" s="280" t="n"/>
      <c r="K343" s="343" t="n"/>
      <c r="L343" s="280" t="n"/>
      <c r="M343" s="280" t="n"/>
      <c r="N343" s="345" t="n"/>
      <c r="O343" s="280" t="n"/>
      <c r="P343" s="332">
        <f>IFERROR(VLOOKUP(TEXT(O343,"0"),CONDUCTORES!$A$3:$G$54,2,0),"")</f>
        <v/>
      </c>
      <c r="Q343" s="332">
        <f>IFERROR(VLOOKUP(TEXT(O343,"0"),CONDUCTORES!$A$3:$H$54,6,0),"")</f>
        <v/>
      </c>
      <c r="R343" s="280" t="n"/>
      <c r="S343" s="280" t="n"/>
      <c r="T343" s="280" t="n"/>
      <c r="U343" s="280" t="n"/>
      <c r="V343" s="280" t="n"/>
      <c r="W343" s="280" t="n"/>
      <c r="X343" s="280" t="n"/>
      <c r="Y343" s="280" t="n"/>
      <c r="Z343" s="350" t="n"/>
      <c r="AA343" s="198" t="n"/>
      <c r="AB343" s="198" t="n"/>
      <c r="AC343" s="198" t="n"/>
    </row>
    <row r="344" ht="15" customHeight="1" s="195">
      <c r="A344" s="280" t="n"/>
      <c r="B344" s="280" t="n"/>
      <c r="C344" s="280" t="n"/>
      <c r="D344" s="280" t="n"/>
      <c r="E344" s="280" t="n"/>
      <c r="F344" s="280" t="n"/>
      <c r="G344" s="280" t="n"/>
      <c r="H344" s="280" t="n"/>
      <c r="I344" s="332">
        <f>IFERROR(VLOOKUP(TEXT(H344,"0"),IPRESS!$A$3:$B$212,2,0),"")</f>
        <v/>
      </c>
      <c r="J344" s="280" t="n"/>
      <c r="K344" s="343" t="n"/>
      <c r="L344" s="280" t="n"/>
      <c r="M344" s="280" t="n"/>
      <c r="N344" s="345" t="n"/>
      <c r="O344" s="280" t="n"/>
      <c r="P344" s="332">
        <f>IFERROR(VLOOKUP(TEXT(O344,"0"),CONDUCTORES!$A$3:$G$54,2,0),"")</f>
        <v/>
      </c>
      <c r="Q344" s="332">
        <f>IFERROR(VLOOKUP(TEXT(O344,"0"),CONDUCTORES!$A$3:$H$54,6,0),"")</f>
        <v/>
      </c>
      <c r="R344" s="280" t="n"/>
      <c r="S344" s="280" t="n"/>
      <c r="T344" s="280" t="n"/>
      <c r="U344" s="280" t="n"/>
      <c r="V344" s="280" t="n"/>
      <c r="W344" s="280" t="n"/>
      <c r="X344" s="280" t="n"/>
      <c r="Y344" s="280" t="n"/>
      <c r="Z344" s="350" t="n"/>
      <c r="AA344" s="198" t="n"/>
      <c r="AB344" s="198" t="n"/>
      <c r="AC344" s="198" t="n"/>
    </row>
    <row r="345" ht="15" customHeight="1" s="195">
      <c r="A345" s="280" t="n"/>
      <c r="B345" s="280" t="n"/>
      <c r="C345" s="280" t="n"/>
      <c r="D345" s="280" t="n"/>
      <c r="E345" s="280" t="n"/>
      <c r="F345" s="280" t="n"/>
      <c r="G345" s="280" t="n"/>
      <c r="H345" s="280" t="n"/>
      <c r="I345" s="332">
        <f>IFERROR(VLOOKUP(TEXT(H345,"0"),IPRESS!$A$3:$B$212,2,0),"")</f>
        <v/>
      </c>
      <c r="J345" s="280" t="n"/>
      <c r="K345" s="343" t="n"/>
      <c r="L345" s="280" t="n"/>
      <c r="M345" s="280" t="n"/>
      <c r="N345" s="345" t="n"/>
      <c r="O345" s="280" t="n"/>
      <c r="P345" s="332">
        <f>IFERROR(VLOOKUP(TEXT(O345,"0"),CONDUCTORES!$A$3:$G$54,2,0),"")</f>
        <v/>
      </c>
      <c r="Q345" s="332">
        <f>IFERROR(VLOOKUP(TEXT(O345,"0"),CONDUCTORES!$A$3:$H$54,6,0),"")</f>
        <v/>
      </c>
      <c r="R345" s="280" t="n"/>
      <c r="S345" s="280" t="n"/>
      <c r="T345" s="280" t="n"/>
      <c r="U345" s="280" t="n"/>
      <c r="V345" s="280" t="n"/>
      <c r="W345" s="280" t="n"/>
      <c r="X345" s="280" t="n"/>
      <c r="Y345" s="280" t="n"/>
      <c r="Z345" s="350" t="n"/>
      <c r="AA345" s="198" t="n"/>
      <c r="AB345" s="198" t="n"/>
      <c r="AC345" s="198" t="n"/>
    </row>
    <row r="346" ht="15" customHeight="1" s="195">
      <c r="A346" s="280" t="n"/>
      <c r="B346" s="280" t="n"/>
      <c r="C346" s="280" t="n"/>
      <c r="D346" s="280" t="n"/>
      <c r="E346" s="280" t="n"/>
      <c r="F346" s="280" t="n"/>
      <c r="G346" s="280" t="n"/>
      <c r="H346" s="280" t="n"/>
      <c r="I346" s="332">
        <f>IFERROR(VLOOKUP(TEXT(H346,"0"),IPRESS!$A$3:$B$212,2,0),"")</f>
        <v/>
      </c>
      <c r="J346" s="280" t="n"/>
      <c r="K346" s="343" t="n"/>
      <c r="L346" s="280" t="n"/>
      <c r="M346" s="280" t="n"/>
      <c r="N346" s="345" t="n"/>
      <c r="O346" s="280" t="n"/>
      <c r="P346" s="332">
        <f>IFERROR(VLOOKUP(TEXT(O346,"0"),CONDUCTORES!$A$3:$G$54,2,0),"")</f>
        <v/>
      </c>
      <c r="Q346" s="332">
        <f>IFERROR(VLOOKUP(TEXT(O346,"0"),CONDUCTORES!$A$3:$H$54,6,0),"")</f>
        <v/>
      </c>
      <c r="R346" s="280" t="n"/>
      <c r="S346" s="280" t="n"/>
      <c r="T346" s="280" t="n"/>
      <c r="U346" s="280" t="n"/>
      <c r="V346" s="280" t="n"/>
      <c r="W346" s="280" t="n"/>
      <c r="X346" s="280" t="n"/>
      <c r="Y346" s="280" t="n"/>
      <c r="Z346" s="350" t="n"/>
      <c r="AA346" s="198" t="n"/>
      <c r="AB346" s="198" t="n"/>
      <c r="AC346" s="198" t="n"/>
    </row>
    <row r="347" ht="15" customHeight="1" s="195">
      <c r="A347" s="280" t="n"/>
      <c r="B347" s="280" t="n"/>
      <c r="C347" s="280" t="n"/>
      <c r="D347" s="280" t="n"/>
      <c r="E347" s="280" t="n"/>
      <c r="F347" s="280" t="n"/>
      <c r="G347" s="280" t="n"/>
      <c r="H347" s="280" t="n"/>
      <c r="I347" s="332">
        <f>IFERROR(VLOOKUP(TEXT(H347,"0"),IPRESS!$A$3:$B$212,2,0),"")</f>
        <v/>
      </c>
      <c r="J347" s="280" t="n"/>
      <c r="K347" s="343" t="n"/>
      <c r="L347" s="280" t="n"/>
      <c r="M347" s="280" t="n"/>
      <c r="N347" s="345" t="n"/>
      <c r="O347" s="280" t="n"/>
      <c r="P347" s="332">
        <f>IFERROR(VLOOKUP(TEXT(O347,"0"),CONDUCTORES!$A$3:$G$54,2,0),"")</f>
        <v/>
      </c>
      <c r="Q347" s="332">
        <f>IFERROR(VLOOKUP(TEXT(O347,"0"),CONDUCTORES!$A$3:$H$54,6,0),"")</f>
        <v/>
      </c>
      <c r="R347" s="280" t="n"/>
      <c r="S347" s="280" t="n"/>
      <c r="T347" s="280" t="n"/>
      <c r="U347" s="280" t="n"/>
      <c r="V347" s="280" t="n"/>
      <c r="W347" s="280" t="n"/>
      <c r="X347" s="280" t="n"/>
      <c r="Y347" s="280" t="n"/>
      <c r="Z347" s="350" t="n"/>
      <c r="AA347" s="198" t="n"/>
      <c r="AB347" s="198" t="n"/>
      <c r="AC347" s="198" t="n"/>
    </row>
    <row r="348" ht="15" customHeight="1" s="195">
      <c r="A348" s="280" t="n"/>
      <c r="B348" s="280" t="n"/>
      <c r="C348" s="280" t="n"/>
      <c r="D348" s="280" t="n"/>
      <c r="E348" s="280" t="n"/>
      <c r="F348" s="280" t="n"/>
      <c r="G348" s="280" t="n"/>
      <c r="H348" s="280" t="n"/>
      <c r="I348" s="332">
        <f>IFERROR(VLOOKUP(TEXT(H348,"0"),IPRESS!$A$3:$B$212,2,0),"")</f>
        <v/>
      </c>
      <c r="J348" s="280" t="n"/>
      <c r="K348" s="343" t="n"/>
      <c r="L348" s="280" t="n"/>
      <c r="M348" s="280" t="n"/>
      <c r="N348" s="345" t="n"/>
      <c r="O348" s="280" t="n"/>
      <c r="P348" s="332">
        <f>IFERROR(VLOOKUP(TEXT(O348,"0"),CONDUCTORES!$A$3:$G$54,2,0),"")</f>
        <v/>
      </c>
      <c r="Q348" s="332">
        <f>IFERROR(VLOOKUP(TEXT(O348,"0"),CONDUCTORES!$A$3:$H$54,6,0),"")</f>
        <v/>
      </c>
      <c r="R348" s="280" t="n"/>
      <c r="S348" s="280" t="n"/>
      <c r="T348" s="280" t="n"/>
      <c r="U348" s="280" t="n"/>
      <c r="V348" s="280" t="n"/>
      <c r="W348" s="280" t="n"/>
      <c r="X348" s="280" t="n"/>
      <c r="Y348" s="280" t="n"/>
      <c r="Z348" s="350" t="n"/>
      <c r="AA348" s="198" t="n"/>
      <c r="AB348" s="198" t="n"/>
      <c r="AC348" s="198" t="n"/>
    </row>
    <row r="349" ht="15" customHeight="1" s="195">
      <c r="A349" s="280" t="n"/>
      <c r="B349" s="280" t="n"/>
      <c r="C349" s="280" t="n"/>
      <c r="D349" s="280" t="n"/>
      <c r="E349" s="280" t="n"/>
      <c r="F349" s="280" t="n"/>
      <c r="G349" s="280" t="n"/>
      <c r="H349" s="280" t="n"/>
      <c r="I349" s="332">
        <f>IFERROR(VLOOKUP(TEXT(H349,"0"),IPRESS!$A$3:$B$212,2,0),"")</f>
        <v/>
      </c>
      <c r="J349" s="280" t="n"/>
      <c r="K349" s="343" t="n"/>
      <c r="L349" s="280" t="n"/>
      <c r="M349" s="280" t="n"/>
      <c r="N349" s="345" t="n"/>
      <c r="O349" s="280" t="n"/>
      <c r="P349" s="332">
        <f>IFERROR(VLOOKUP(TEXT(O349,"0"),CONDUCTORES!$A$3:$G$54,2,0),"")</f>
        <v/>
      </c>
      <c r="Q349" s="332">
        <f>IFERROR(VLOOKUP(TEXT(O349,"0"),CONDUCTORES!$A$3:$H$54,6,0),"")</f>
        <v/>
      </c>
      <c r="R349" s="280" t="n"/>
      <c r="S349" s="280" t="n"/>
      <c r="T349" s="280" t="n"/>
      <c r="U349" s="280" t="n"/>
      <c r="V349" s="280" t="n"/>
      <c r="W349" s="280" t="n"/>
      <c r="X349" s="280" t="n"/>
      <c r="Y349" s="280" t="n"/>
      <c r="Z349" s="350" t="n"/>
      <c r="AA349" s="198" t="n"/>
      <c r="AB349" s="198" t="n"/>
      <c r="AC349" s="198" t="n"/>
    </row>
    <row r="350" ht="15" customHeight="1" s="195">
      <c r="A350" s="280" t="n"/>
      <c r="B350" s="280" t="n"/>
      <c r="C350" s="280" t="n"/>
      <c r="D350" s="280" t="n"/>
      <c r="E350" s="280" t="n"/>
      <c r="F350" s="280" t="n"/>
      <c r="G350" s="280" t="n"/>
      <c r="H350" s="280" t="n"/>
      <c r="I350" s="332">
        <f>IFERROR(VLOOKUP(TEXT(H350,"0"),IPRESS!$A$3:$B$212,2,0),"")</f>
        <v/>
      </c>
      <c r="J350" s="280" t="n"/>
      <c r="K350" s="343" t="n"/>
      <c r="L350" s="280" t="n"/>
      <c r="M350" s="280" t="n"/>
      <c r="N350" s="345" t="n"/>
      <c r="O350" s="280" t="n"/>
      <c r="P350" s="332">
        <f>IFERROR(VLOOKUP(TEXT(O350,"0"),CONDUCTORES!$A$3:$G$54,2,0),"")</f>
        <v/>
      </c>
      <c r="Q350" s="332">
        <f>IFERROR(VLOOKUP(TEXT(O350,"0"),CONDUCTORES!$A$3:$H$54,6,0),"")</f>
        <v/>
      </c>
      <c r="R350" s="280" t="n"/>
      <c r="S350" s="280" t="n"/>
      <c r="T350" s="280" t="n"/>
      <c r="U350" s="280" t="n"/>
      <c r="V350" s="280" t="n"/>
      <c r="W350" s="280" t="n"/>
      <c r="X350" s="280" t="n"/>
      <c r="Y350" s="280" t="n"/>
      <c r="Z350" s="350" t="n"/>
      <c r="AA350" s="198" t="n"/>
      <c r="AB350" s="198" t="n"/>
      <c r="AC350" s="198" t="n"/>
    </row>
    <row r="351" ht="15" customHeight="1" s="195">
      <c r="A351" s="280" t="n"/>
      <c r="B351" s="280" t="n"/>
      <c r="C351" s="280" t="n"/>
      <c r="D351" s="280" t="n"/>
      <c r="E351" s="280" t="n"/>
      <c r="F351" s="280" t="n"/>
      <c r="G351" s="280" t="n"/>
      <c r="H351" s="280" t="n"/>
      <c r="I351" s="332">
        <f>IFERROR(VLOOKUP(TEXT(H351,"0"),IPRESS!$A$3:$B$212,2,0),"")</f>
        <v/>
      </c>
      <c r="J351" s="280" t="n"/>
      <c r="K351" s="343" t="n"/>
      <c r="L351" s="280" t="n"/>
      <c r="M351" s="280" t="n"/>
      <c r="N351" s="345" t="n"/>
      <c r="O351" s="280" t="n"/>
      <c r="P351" s="332">
        <f>IFERROR(VLOOKUP(TEXT(O351,"0"),CONDUCTORES!$A$3:$G$54,2,0),"")</f>
        <v/>
      </c>
      <c r="Q351" s="332">
        <f>IFERROR(VLOOKUP(TEXT(O351,"0"),CONDUCTORES!$A$3:$H$54,6,0),"")</f>
        <v/>
      </c>
      <c r="R351" s="280" t="n"/>
      <c r="S351" s="280" t="n"/>
      <c r="T351" s="280" t="n"/>
      <c r="U351" s="280" t="n"/>
      <c r="V351" s="280" t="n"/>
      <c r="W351" s="280" t="n"/>
      <c r="X351" s="280" t="n"/>
      <c r="Y351" s="280" t="n"/>
      <c r="Z351" s="350" t="n"/>
      <c r="AA351" s="198" t="n"/>
      <c r="AB351" s="198" t="n"/>
      <c r="AC351" s="198" t="n"/>
    </row>
    <row r="352" ht="15" customHeight="1" s="195">
      <c r="A352" s="280" t="n"/>
      <c r="B352" s="280" t="n"/>
      <c r="C352" s="280" t="n"/>
      <c r="D352" s="280" t="n"/>
      <c r="E352" s="280" t="n"/>
      <c r="F352" s="280" t="n"/>
      <c r="G352" s="280" t="n"/>
      <c r="H352" s="280" t="n"/>
      <c r="I352" s="332">
        <f>IFERROR(VLOOKUP(TEXT(H352,"0"),IPRESS!$A$3:$B$212,2,0),"")</f>
        <v/>
      </c>
      <c r="J352" s="280" t="n"/>
      <c r="K352" s="343" t="n"/>
      <c r="L352" s="280" t="n"/>
      <c r="M352" s="280" t="n"/>
      <c r="N352" s="345" t="n"/>
      <c r="O352" s="280" t="n"/>
      <c r="P352" s="332">
        <f>IFERROR(VLOOKUP(TEXT(O352,"0"),CONDUCTORES!$A$3:$G$54,2,0),"")</f>
        <v/>
      </c>
      <c r="Q352" s="332">
        <f>IFERROR(VLOOKUP(TEXT(O352,"0"),CONDUCTORES!$A$3:$H$54,6,0),"")</f>
        <v/>
      </c>
      <c r="R352" s="280" t="n"/>
      <c r="S352" s="280" t="n"/>
      <c r="T352" s="280" t="n"/>
      <c r="U352" s="280" t="n"/>
      <c r="V352" s="280" t="n"/>
      <c r="W352" s="280" t="n"/>
      <c r="X352" s="280" t="n"/>
      <c r="Y352" s="280" t="n"/>
      <c r="Z352" s="350" t="n"/>
      <c r="AA352" s="198" t="n"/>
      <c r="AB352" s="198" t="n"/>
      <c r="AC352" s="198" t="n"/>
    </row>
    <row r="353" ht="15" customHeight="1" s="195">
      <c r="A353" s="280" t="n"/>
      <c r="B353" s="280" t="n"/>
      <c r="C353" s="280" t="n"/>
      <c r="D353" s="280" t="n"/>
      <c r="E353" s="280" t="n"/>
      <c r="F353" s="280" t="n"/>
      <c r="G353" s="280" t="n"/>
      <c r="H353" s="280" t="n"/>
      <c r="I353" s="332">
        <f>IFERROR(VLOOKUP(TEXT(H353,"0"),IPRESS!$A$3:$B$212,2,0),"")</f>
        <v/>
      </c>
      <c r="J353" s="280" t="n"/>
      <c r="K353" s="343" t="n"/>
      <c r="L353" s="280" t="n"/>
      <c r="M353" s="280" t="n"/>
      <c r="N353" s="345" t="n"/>
      <c r="O353" s="280" t="n"/>
      <c r="P353" s="332">
        <f>IFERROR(VLOOKUP(TEXT(O353,"0"),CONDUCTORES!$A$3:$G$54,2,0),"")</f>
        <v/>
      </c>
      <c r="Q353" s="332">
        <f>IFERROR(VLOOKUP(TEXT(O353,"0"),CONDUCTORES!$A$3:$H$54,6,0),"")</f>
        <v/>
      </c>
      <c r="R353" s="280" t="n"/>
      <c r="S353" s="280" t="n"/>
      <c r="T353" s="280" t="n"/>
      <c r="U353" s="280" t="n"/>
      <c r="V353" s="280" t="n"/>
      <c r="W353" s="280" t="n"/>
      <c r="X353" s="280" t="n"/>
      <c r="Y353" s="280" t="n"/>
      <c r="Z353" s="350" t="n"/>
      <c r="AA353" s="198" t="n"/>
      <c r="AB353" s="198" t="n"/>
      <c r="AC353" s="198" t="n"/>
    </row>
    <row r="354" ht="15" customHeight="1" s="195">
      <c r="A354" s="280" t="n"/>
      <c r="B354" s="280" t="n"/>
      <c r="C354" s="280" t="n"/>
      <c r="D354" s="280" t="n"/>
      <c r="E354" s="280" t="n"/>
      <c r="F354" s="280" t="n"/>
      <c r="G354" s="280" t="n"/>
      <c r="H354" s="280" t="n"/>
      <c r="I354" s="332">
        <f>IFERROR(VLOOKUP(TEXT(H354,"0"),IPRESS!$A$3:$B$212,2,0),"")</f>
        <v/>
      </c>
      <c r="J354" s="280" t="n"/>
      <c r="K354" s="343" t="n"/>
      <c r="L354" s="280" t="n"/>
      <c r="M354" s="280" t="n"/>
      <c r="N354" s="345" t="n"/>
      <c r="O354" s="280" t="n"/>
      <c r="P354" s="332">
        <f>IFERROR(VLOOKUP(TEXT(O354,"0"),CONDUCTORES!$A$3:$G$54,2,0),"")</f>
        <v/>
      </c>
      <c r="Q354" s="332">
        <f>IFERROR(VLOOKUP(TEXT(O354,"0"),CONDUCTORES!$A$3:$H$54,6,0),"")</f>
        <v/>
      </c>
      <c r="R354" s="280" t="n"/>
      <c r="S354" s="280" t="n"/>
      <c r="T354" s="280" t="n"/>
      <c r="U354" s="280" t="n"/>
      <c r="V354" s="280" t="n"/>
      <c r="W354" s="280" t="n"/>
      <c r="X354" s="280" t="n"/>
      <c r="Y354" s="280" t="n"/>
      <c r="Z354" s="350" t="n"/>
      <c r="AA354" s="198" t="n"/>
      <c r="AB354" s="198" t="n"/>
      <c r="AC354" s="198" t="n"/>
    </row>
    <row r="355" ht="15" customHeight="1" s="195">
      <c r="A355" s="280" t="n"/>
      <c r="B355" s="280" t="n"/>
      <c r="C355" s="280" t="n"/>
      <c r="D355" s="280" t="n"/>
      <c r="E355" s="280" t="n"/>
      <c r="F355" s="280" t="n"/>
      <c r="G355" s="280" t="n"/>
      <c r="H355" s="280" t="n"/>
      <c r="I355" s="332">
        <f>IFERROR(VLOOKUP(TEXT(H355,"0"),IPRESS!$A$3:$B$212,2,0),"")</f>
        <v/>
      </c>
      <c r="J355" s="280" t="n"/>
      <c r="K355" s="343" t="n"/>
      <c r="L355" s="280" t="n"/>
      <c r="M355" s="280" t="n"/>
      <c r="N355" s="345" t="n"/>
      <c r="O355" s="280" t="n"/>
      <c r="P355" s="332">
        <f>IFERROR(VLOOKUP(TEXT(O355,"0"),CONDUCTORES!$A$3:$G$54,2,0),"")</f>
        <v/>
      </c>
      <c r="Q355" s="332">
        <f>IFERROR(VLOOKUP(TEXT(O355,"0"),CONDUCTORES!$A$3:$H$54,6,0),"")</f>
        <v/>
      </c>
      <c r="R355" s="280" t="n"/>
      <c r="S355" s="280" t="n"/>
      <c r="T355" s="280" t="n"/>
      <c r="U355" s="280" t="n"/>
      <c r="V355" s="280" t="n"/>
      <c r="W355" s="280" t="n"/>
      <c r="X355" s="280" t="n"/>
      <c r="Y355" s="280" t="n"/>
      <c r="Z355" s="350" t="n"/>
      <c r="AA355" s="198" t="n"/>
      <c r="AB355" s="198" t="n"/>
      <c r="AC355" s="198" t="n"/>
    </row>
    <row r="356" ht="15" customHeight="1" s="195">
      <c r="A356" s="280" t="n"/>
      <c r="B356" s="280" t="n"/>
      <c r="C356" s="280" t="n"/>
      <c r="D356" s="280" t="n"/>
      <c r="E356" s="280" t="n"/>
      <c r="F356" s="280" t="n"/>
      <c r="G356" s="280" t="n"/>
      <c r="H356" s="280" t="n"/>
      <c r="I356" s="332">
        <f>IFERROR(VLOOKUP(TEXT(H356,"0"),IPRESS!$A$3:$B$212,2,0),"")</f>
        <v/>
      </c>
      <c r="J356" s="280" t="n"/>
      <c r="K356" s="343" t="n"/>
      <c r="L356" s="280" t="n"/>
      <c r="M356" s="280" t="n"/>
      <c r="N356" s="345" t="n"/>
      <c r="O356" s="280" t="n"/>
      <c r="P356" s="332">
        <f>IFERROR(VLOOKUP(TEXT(O356,"0"),CONDUCTORES!$A$3:$G$54,2,0),"")</f>
        <v/>
      </c>
      <c r="Q356" s="332">
        <f>IFERROR(VLOOKUP(TEXT(O356,"0"),CONDUCTORES!$A$3:$H$54,6,0),"")</f>
        <v/>
      </c>
      <c r="R356" s="280" t="n"/>
      <c r="S356" s="280" t="n"/>
      <c r="T356" s="280" t="n"/>
      <c r="U356" s="280" t="n"/>
      <c r="V356" s="280" t="n"/>
      <c r="W356" s="280" t="n"/>
      <c r="X356" s="280" t="n"/>
      <c r="Y356" s="280" t="n"/>
      <c r="Z356" s="350" t="n"/>
      <c r="AA356" s="198" t="n"/>
      <c r="AB356" s="198" t="n"/>
      <c r="AC356" s="198" t="n"/>
    </row>
    <row r="357" ht="15" customHeight="1" s="195">
      <c r="A357" s="280" t="n"/>
      <c r="B357" s="280" t="n"/>
      <c r="C357" s="280" t="n"/>
      <c r="D357" s="280" t="n"/>
      <c r="E357" s="280" t="n"/>
      <c r="F357" s="280" t="n"/>
      <c r="G357" s="280" t="n"/>
      <c r="H357" s="280" t="n"/>
      <c r="I357" s="332">
        <f>IFERROR(VLOOKUP(TEXT(H357,"0"),IPRESS!$A$3:$B$212,2,0),"")</f>
        <v/>
      </c>
      <c r="J357" s="280" t="n"/>
      <c r="K357" s="343" t="n"/>
      <c r="L357" s="280" t="n"/>
      <c r="M357" s="280" t="n"/>
      <c r="N357" s="345" t="n"/>
      <c r="O357" s="280" t="n"/>
      <c r="P357" s="332">
        <f>IFERROR(VLOOKUP(TEXT(O357,"0"),CONDUCTORES!$A$3:$G$54,2,0),"")</f>
        <v/>
      </c>
      <c r="Q357" s="332">
        <f>IFERROR(VLOOKUP(TEXT(O357,"0"),CONDUCTORES!$A$3:$H$54,6,0),"")</f>
        <v/>
      </c>
      <c r="R357" s="280" t="n"/>
      <c r="S357" s="280" t="n"/>
      <c r="T357" s="280" t="n"/>
      <c r="U357" s="280" t="n"/>
      <c r="V357" s="280" t="n"/>
      <c r="W357" s="280" t="n"/>
      <c r="X357" s="280" t="n"/>
      <c r="Y357" s="280" t="n"/>
      <c r="Z357" s="350" t="n"/>
      <c r="AA357" s="198" t="n"/>
      <c r="AB357" s="198" t="n"/>
      <c r="AC357" s="198" t="n"/>
    </row>
    <row r="358" ht="15" customHeight="1" s="195">
      <c r="A358" s="280" t="n"/>
      <c r="B358" s="280" t="n"/>
      <c r="C358" s="280" t="n"/>
      <c r="D358" s="280" t="n"/>
      <c r="E358" s="280" t="n"/>
      <c r="F358" s="280" t="n"/>
      <c r="G358" s="280" t="n"/>
      <c r="H358" s="280" t="n"/>
      <c r="I358" s="332">
        <f>IFERROR(VLOOKUP(TEXT(H358,"0"),IPRESS!$A$3:$B$212,2,0),"")</f>
        <v/>
      </c>
      <c r="J358" s="280" t="n"/>
      <c r="K358" s="343" t="n"/>
      <c r="L358" s="280" t="n"/>
      <c r="M358" s="280" t="n"/>
      <c r="N358" s="345" t="n"/>
      <c r="O358" s="280" t="n"/>
      <c r="P358" s="332">
        <f>IFERROR(VLOOKUP(TEXT(O358,"0"),CONDUCTORES!$A$3:$G$54,2,0),"")</f>
        <v/>
      </c>
      <c r="Q358" s="332">
        <f>IFERROR(VLOOKUP(TEXT(O358,"0"),CONDUCTORES!$A$3:$H$54,6,0),"")</f>
        <v/>
      </c>
      <c r="R358" s="280" t="n"/>
      <c r="S358" s="280" t="n"/>
      <c r="T358" s="280" t="n"/>
      <c r="U358" s="280" t="n"/>
      <c r="V358" s="280" t="n"/>
      <c r="W358" s="280" t="n"/>
      <c r="X358" s="280" t="n"/>
      <c r="Y358" s="280" t="n"/>
      <c r="Z358" s="350" t="n"/>
      <c r="AA358" s="198" t="n"/>
      <c r="AB358" s="198" t="n"/>
      <c r="AC358" s="198" t="n"/>
    </row>
    <row r="359" ht="15" customHeight="1" s="195">
      <c r="A359" s="280" t="n"/>
      <c r="B359" s="280" t="n"/>
      <c r="C359" s="280" t="n"/>
      <c r="D359" s="280" t="n"/>
      <c r="E359" s="280" t="n"/>
      <c r="F359" s="280" t="n"/>
      <c r="G359" s="280" t="n"/>
      <c r="H359" s="280" t="n"/>
      <c r="I359" s="332">
        <f>IFERROR(VLOOKUP(TEXT(H359,"0"),IPRESS!$A$3:$B$212,2,0),"")</f>
        <v/>
      </c>
      <c r="J359" s="280" t="n"/>
      <c r="K359" s="343" t="n"/>
      <c r="L359" s="280" t="n"/>
      <c r="M359" s="280" t="n"/>
      <c r="N359" s="345" t="n"/>
      <c r="O359" s="280" t="n"/>
      <c r="P359" s="332">
        <f>IFERROR(VLOOKUP(TEXT(O359,"0"),CONDUCTORES!$A$3:$G$54,2,0),"")</f>
        <v/>
      </c>
      <c r="Q359" s="332">
        <f>IFERROR(VLOOKUP(TEXT(O359,"0"),CONDUCTORES!$A$3:$H$54,6,0),"")</f>
        <v/>
      </c>
      <c r="R359" s="280" t="n"/>
      <c r="S359" s="280" t="n"/>
      <c r="T359" s="280" t="n"/>
      <c r="U359" s="280" t="n"/>
      <c r="V359" s="280" t="n"/>
      <c r="W359" s="280" t="n"/>
      <c r="X359" s="280" t="n"/>
      <c r="Y359" s="280" t="n"/>
      <c r="Z359" s="350" t="n"/>
      <c r="AA359" s="198" t="n"/>
      <c r="AB359" s="198" t="n"/>
      <c r="AC359" s="198" t="n"/>
    </row>
    <row r="360" ht="15" customHeight="1" s="195">
      <c r="A360" s="280" t="n"/>
      <c r="B360" s="280" t="n"/>
      <c r="C360" s="280" t="n"/>
      <c r="D360" s="280" t="n"/>
      <c r="E360" s="280" t="n"/>
      <c r="F360" s="280" t="n"/>
      <c r="G360" s="280" t="n"/>
      <c r="H360" s="280" t="n"/>
      <c r="I360" s="332">
        <f>IFERROR(VLOOKUP(TEXT(H360,"0"),IPRESS!$A$3:$B$212,2,0),"")</f>
        <v/>
      </c>
      <c r="J360" s="280" t="n"/>
      <c r="K360" s="343" t="n"/>
      <c r="L360" s="280" t="n"/>
      <c r="M360" s="280" t="n"/>
      <c r="N360" s="345" t="n"/>
      <c r="O360" s="280" t="n"/>
      <c r="P360" s="332">
        <f>IFERROR(VLOOKUP(TEXT(O360,"0"),CONDUCTORES!$A$3:$G$54,2,0),"")</f>
        <v/>
      </c>
      <c r="Q360" s="332">
        <f>IFERROR(VLOOKUP(TEXT(O360,"0"),CONDUCTORES!$A$3:$H$54,6,0),"")</f>
        <v/>
      </c>
      <c r="R360" s="280" t="n"/>
      <c r="S360" s="280" t="n"/>
      <c r="T360" s="280" t="n"/>
      <c r="U360" s="280" t="n"/>
      <c r="V360" s="280" t="n"/>
      <c r="W360" s="280" t="n"/>
      <c r="X360" s="280" t="n"/>
      <c r="Y360" s="280" t="n"/>
      <c r="Z360" s="350" t="n"/>
      <c r="AA360" s="198" t="n"/>
      <c r="AB360" s="198" t="n"/>
      <c r="AC360" s="198" t="n"/>
    </row>
    <row r="361" ht="15" customHeight="1" s="195">
      <c r="A361" s="280" t="n"/>
      <c r="B361" s="280" t="n"/>
      <c r="C361" s="280" t="n"/>
      <c r="D361" s="280" t="n"/>
      <c r="E361" s="280" t="n"/>
      <c r="F361" s="280" t="n"/>
      <c r="G361" s="280" t="n"/>
      <c r="H361" s="280" t="n"/>
      <c r="I361" s="332">
        <f>IFERROR(VLOOKUP(TEXT(H361,"0"),IPRESS!$A$3:$B$212,2,0),"")</f>
        <v/>
      </c>
      <c r="J361" s="280" t="n"/>
      <c r="K361" s="343" t="n"/>
      <c r="L361" s="280" t="n"/>
      <c r="M361" s="280" t="n"/>
      <c r="N361" s="345" t="n"/>
      <c r="O361" s="280" t="n"/>
      <c r="P361" s="332">
        <f>IFERROR(VLOOKUP(TEXT(O361,"0"),CONDUCTORES!$A$3:$G$54,2,0),"")</f>
        <v/>
      </c>
      <c r="Q361" s="332">
        <f>IFERROR(VLOOKUP(TEXT(O361,"0"),CONDUCTORES!$A$3:$H$54,6,0),"")</f>
        <v/>
      </c>
      <c r="R361" s="280" t="n"/>
      <c r="S361" s="280" t="n"/>
      <c r="T361" s="280" t="n"/>
      <c r="U361" s="280" t="n"/>
      <c r="V361" s="280" t="n"/>
      <c r="W361" s="280" t="n"/>
      <c r="X361" s="280" t="n"/>
      <c r="Y361" s="280" t="n"/>
      <c r="Z361" s="350" t="n"/>
      <c r="AA361" s="198" t="n"/>
      <c r="AB361" s="198" t="n"/>
      <c r="AC361" s="198" t="n"/>
    </row>
    <row r="362" ht="15" customHeight="1" s="195">
      <c r="A362" s="280" t="n"/>
      <c r="B362" s="280" t="n"/>
      <c r="C362" s="280" t="n"/>
      <c r="D362" s="280" t="n"/>
      <c r="E362" s="280" t="n"/>
      <c r="F362" s="280" t="n"/>
      <c r="G362" s="280" t="n"/>
      <c r="H362" s="280" t="n"/>
      <c r="I362" s="332">
        <f>IFERROR(VLOOKUP(TEXT(H362,"0"),IPRESS!$A$3:$B$212,2,0),"")</f>
        <v/>
      </c>
      <c r="J362" s="280" t="n"/>
      <c r="K362" s="343" t="n"/>
      <c r="L362" s="280" t="n"/>
      <c r="M362" s="280" t="n"/>
      <c r="N362" s="345" t="n"/>
      <c r="O362" s="280" t="n"/>
      <c r="P362" s="332">
        <f>IFERROR(VLOOKUP(TEXT(O362,"0"),CONDUCTORES!$A$3:$G$54,2,0),"")</f>
        <v/>
      </c>
      <c r="Q362" s="332">
        <f>IFERROR(VLOOKUP(TEXT(O362,"0"),CONDUCTORES!$A$3:$H$54,6,0),"")</f>
        <v/>
      </c>
      <c r="R362" s="280" t="n"/>
      <c r="S362" s="280" t="n"/>
      <c r="T362" s="280" t="n"/>
      <c r="U362" s="280" t="n"/>
      <c r="V362" s="280" t="n"/>
      <c r="W362" s="280" t="n"/>
      <c r="X362" s="280" t="n"/>
      <c r="Y362" s="280" t="n"/>
      <c r="Z362" s="350" t="n"/>
      <c r="AA362" s="198" t="n"/>
      <c r="AB362" s="198" t="n"/>
      <c r="AC362" s="198" t="n"/>
    </row>
    <row r="363" ht="15" customHeight="1" s="195">
      <c r="A363" s="280" t="n"/>
      <c r="B363" s="280" t="n"/>
      <c r="C363" s="280" t="n"/>
      <c r="D363" s="280" t="n"/>
      <c r="E363" s="280" t="n"/>
      <c r="F363" s="280" t="n"/>
      <c r="G363" s="280" t="n"/>
      <c r="H363" s="280" t="n"/>
      <c r="I363" s="332">
        <f>IFERROR(VLOOKUP(TEXT(H363,"0"),IPRESS!$A$3:$B$212,2,0),"")</f>
        <v/>
      </c>
      <c r="J363" s="280" t="n"/>
      <c r="K363" s="343" t="n"/>
      <c r="L363" s="280" t="n"/>
      <c r="M363" s="280" t="n"/>
      <c r="N363" s="345" t="n"/>
      <c r="O363" s="280" t="n"/>
      <c r="P363" s="332">
        <f>IFERROR(VLOOKUP(TEXT(O363,"0"),CONDUCTORES!$A$3:$G$54,2,0),"")</f>
        <v/>
      </c>
      <c r="Q363" s="332">
        <f>IFERROR(VLOOKUP(TEXT(O363,"0"),CONDUCTORES!$A$3:$H$54,6,0),"")</f>
        <v/>
      </c>
      <c r="R363" s="280" t="n"/>
      <c r="S363" s="280" t="n"/>
      <c r="T363" s="280" t="n"/>
      <c r="U363" s="280" t="n"/>
      <c r="V363" s="280" t="n"/>
      <c r="W363" s="280" t="n"/>
      <c r="X363" s="280" t="n"/>
      <c r="Y363" s="280" t="n"/>
      <c r="Z363" s="350" t="n"/>
      <c r="AA363" s="198" t="n"/>
      <c r="AB363" s="198" t="n"/>
      <c r="AC363" s="198" t="n"/>
    </row>
    <row r="364" ht="15" customHeight="1" s="195">
      <c r="A364" s="280" t="n"/>
      <c r="B364" s="280" t="n"/>
      <c r="C364" s="280" t="n"/>
      <c r="D364" s="280" t="n"/>
      <c r="E364" s="280" t="n"/>
      <c r="F364" s="280" t="n"/>
      <c r="G364" s="280" t="n"/>
      <c r="H364" s="280" t="n"/>
      <c r="I364" s="332">
        <f>IFERROR(VLOOKUP(TEXT(H364,"0"),IPRESS!$A$3:$B$212,2,0),"")</f>
        <v/>
      </c>
      <c r="J364" s="280" t="n"/>
      <c r="K364" s="343" t="n"/>
      <c r="L364" s="280" t="n"/>
      <c r="M364" s="280" t="n"/>
      <c r="N364" s="345" t="n"/>
      <c r="O364" s="280" t="n"/>
      <c r="P364" s="332">
        <f>IFERROR(VLOOKUP(TEXT(O364,"0"),CONDUCTORES!$A$3:$G$54,2,0),"")</f>
        <v/>
      </c>
      <c r="Q364" s="332">
        <f>IFERROR(VLOOKUP(TEXT(O364,"0"),CONDUCTORES!$A$3:$H$54,6,0),"")</f>
        <v/>
      </c>
      <c r="R364" s="280" t="n"/>
      <c r="S364" s="280" t="n"/>
      <c r="T364" s="280" t="n"/>
      <c r="U364" s="280" t="n"/>
      <c r="V364" s="280" t="n"/>
      <c r="W364" s="280" t="n"/>
      <c r="X364" s="280" t="n"/>
      <c r="Y364" s="280" t="n"/>
      <c r="Z364" s="350" t="n"/>
      <c r="AA364" s="198" t="n"/>
      <c r="AB364" s="198" t="n"/>
      <c r="AC364" s="198" t="n"/>
    </row>
    <row r="365" ht="15" customHeight="1" s="195">
      <c r="A365" s="280" t="n"/>
      <c r="B365" s="280" t="n"/>
      <c r="C365" s="280" t="n"/>
      <c r="D365" s="280" t="n"/>
      <c r="E365" s="280" t="n"/>
      <c r="F365" s="280" t="n"/>
      <c r="G365" s="280" t="n"/>
      <c r="H365" s="280" t="n"/>
      <c r="I365" s="332">
        <f>IFERROR(VLOOKUP(TEXT(H365,"0"),IPRESS!$A$3:$B$212,2,0),"")</f>
        <v/>
      </c>
      <c r="J365" s="280" t="n"/>
      <c r="K365" s="343" t="n"/>
      <c r="L365" s="280" t="n"/>
      <c r="M365" s="280" t="n"/>
      <c r="N365" s="345" t="n"/>
      <c r="O365" s="280" t="n"/>
      <c r="P365" s="332">
        <f>IFERROR(VLOOKUP(TEXT(O365,"0"),CONDUCTORES!$A$3:$G$54,2,0),"")</f>
        <v/>
      </c>
      <c r="Q365" s="332">
        <f>IFERROR(VLOOKUP(TEXT(O365,"0"),CONDUCTORES!$A$3:$H$54,6,0),"")</f>
        <v/>
      </c>
      <c r="R365" s="280" t="n"/>
      <c r="S365" s="280" t="n"/>
      <c r="T365" s="280" t="n"/>
      <c r="U365" s="280" t="n"/>
      <c r="V365" s="280" t="n"/>
      <c r="W365" s="280" t="n"/>
      <c r="X365" s="280" t="n"/>
      <c r="Y365" s="280" t="n"/>
      <c r="Z365" s="350" t="n"/>
      <c r="AA365" s="198" t="n"/>
      <c r="AB365" s="198" t="n"/>
      <c r="AC365" s="198" t="n"/>
    </row>
    <row r="366" ht="15" customHeight="1" s="195">
      <c r="A366" s="280" t="n"/>
      <c r="B366" s="280" t="n"/>
      <c r="C366" s="280" t="n"/>
      <c r="D366" s="280" t="n"/>
      <c r="E366" s="280" t="n"/>
      <c r="F366" s="280" t="n"/>
      <c r="G366" s="280" t="n"/>
      <c r="H366" s="280" t="n"/>
      <c r="I366" s="332">
        <f>IFERROR(VLOOKUP(TEXT(H366,"0"),IPRESS!$A$3:$B$212,2,0),"")</f>
        <v/>
      </c>
      <c r="J366" s="280" t="n"/>
      <c r="K366" s="343" t="n"/>
      <c r="L366" s="280" t="n"/>
      <c r="M366" s="280" t="n"/>
      <c r="N366" s="345" t="n"/>
      <c r="O366" s="280" t="n"/>
      <c r="P366" s="332">
        <f>IFERROR(VLOOKUP(TEXT(O366,"0"),CONDUCTORES!$A$3:$G$54,2,0),"")</f>
        <v/>
      </c>
      <c r="Q366" s="332">
        <f>IFERROR(VLOOKUP(TEXT(O366,"0"),CONDUCTORES!$A$3:$H$54,6,0),"")</f>
        <v/>
      </c>
      <c r="R366" s="280" t="n"/>
      <c r="S366" s="280" t="n"/>
      <c r="T366" s="280" t="n"/>
      <c r="U366" s="280" t="n"/>
      <c r="V366" s="280" t="n"/>
      <c r="W366" s="280" t="n"/>
      <c r="X366" s="280" t="n"/>
      <c r="Y366" s="280" t="n"/>
      <c r="Z366" s="350" t="n"/>
      <c r="AA366" s="198" t="n"/>
      <c r="AB366" s="198" t="n"/>
      <c r="AC366" s="198" t="n"/>
    </row>
    <row r="367" ht="15" customHeight="1" s="195">
      <c r="A367" s="280" t="n"/>
      <c r="B367" s="280" t="n"/>
      <c r="C367" s="280" t="n"/>
      <c r="D367" s="280" t="n"/>
      <c r="E367" s="280" t="n"/>
      <c r="F367" s="280" t="n"/>
      <c r="G367" s="280" t="n"/>
      <c r="H367" s="280" t="n"/>
      <c r="I367" s="332">
        <f>IFERROR(VLOOKUP(TEXT(H367,"0"),IPRESS!$A$3:$B$212,2,0),"")</f>
        <v/>
      </c>
      <c r="J367" s="280" t="n"/>
      <c r="K367" s="343" t="n"/>
      <c r="L367" s="280" t="n"/>
      <c r="M367" s="280" t="n"/>
      <c r="N367" s="345" t="n"/>
      <c r="O367" s="280" t="n"/>
      <c r="P367" s="332">
        <f>IFERROR(VLOOKUP(TEXT(O367,"0"),CONDUCTORES!$A$3:$G$54,2,0),"")</f>
        <v/>
      </c>
      <c r="Q367" s="332">
        <f>IFERROR(VLOOKUP(TEXT(O367,"0"),CONDUCTORES!$A$3:$H$54,6,0),"")</f>
        <v/>
      </c>
      <c r="R367" s="280" t="n"/>
      <c r="S367" s="280" t="n"/>
      <c r="T367" s="280" t="n"/>
      <c r="U367" s="280" t="n"/>
      <c r="V367" s="280" t="n"/>
      <c r="W367" s="280" t="n"/>
      <c r="X367" s="280" t="n"/>
      <c r="Y367" s="280" t="n"/>
      <c r="Z367" s="350" t="n"/>
      <c r="AA367" s="198" t="n"/>
      <c r="AB367" s="198" t="n"/>
      <c r="AC367" s="198" t="n"/>
    </row>
    <row r="368" ht="15" customHeight="1" s="195">
      <c r="A368" s="280" t="n"/>
      <c r="B368" s="280" t="n"/>
      <c r="C368" s="280" t="n"/>
      <c r="D368" s="280" t="n"/>
      <c r="E368" s="280" t="n"/>
      <c r="F368" s="280" t="n"/>
      <c r="G368" s="280" t="n"/>
      <c r="H368" s="280" t="n"/>
      <c r="I368" s="332">
        <f>IFERROR(VLOOKUP(TEXT(H368,"0"),IPRESS!$A$3:$B$212,2,0),"")</f>
        <v/>
      </c>
      <c r="J368" s="280" t="n"/>
      <c r="K368" s="343" t="n"/>
      <c r="L368" s="280" t="n"/>
      <c r="M368" s="280" t="n"/>
      <c r="N368" s="345" t="n"/>
      <c r="O368" s="280" t="n"/>
      <c r="P368" s="332">
        <f>IFERROR(VLOOKUP(TEXT(O368,"0"),CONDUCTORES!$A$3:$G$54,2,0),"")</f>
        <v/>
      </c>
      <c r="Q368" s="332">
        <f>IFERROR(VLOOKUP(TEXT(O368,"0"),CONDUCTORES!$A$3:$H$54,6,0),"")</f>
        <v/>
      </c>
      <c r="R368" s="280" t="n"/>
      <c r="S368" s="280" t="n"/>
      <c r="T368" s="280" t="n"/>
      <c r="U368" s="280" t="n"/>
      <c r="V368" s="280" t="n"/>
      <c r="W368" s="280" t="n"/>
      <c r="X368" s="280" t="n"/>
      <c r="Y368" s="280" t="n"/>
      <c r="Z368" s="350" t="n"/>
      <c r="AA368" s="198" t="n"/>
      <c r="AB368" s="198" t="n"/>
      <c r="AC368" s="198" t="n"/>
    </row>
    <row r="369" ht="15" customHeight="1" s="195">
      <c r="A369" s="280" t="n"/>
      <c r="B369" s="280" t="n"/>
      <c r="C369" s="280" t="n"/>
      <c r="D369" s="280" t="n"/>
      <c r="E369" s="280" t="n"/>
      <c r="F369" s="280" t="n"/>
      <c r="G369" s="280" t="n"/>
      <c r="H369" s="280" t="n"/>
      <c r="I369" s="332">
        <f>IFERROR(VLOOKUP(TEXT(H369,"0"),IPRESS!$A$3:$B$212,2,0),"")</f>
        <v/>
      </c>
      <c r="J369" s="280" t="n"/>
      <c r="K369" s="343" t="n"/>
      <c r="L369" s="280" t="n"/>
      <c r="M369" s="280" t="n"/>
      <c r="N369" s="345" t="n"/>
      <c r="O369" s="280" t="n"/>
      <c r="P369" s="332">
        <f>IFERROR(VLOOKUP(TEXT(O369,"0"),CONDUCTORES!$A$3:$G$54,2,0),"")</f>
        <v/>
      </c>
      <c r="Q369" s="332">
        <f>IFERROR(VLOOKUP(TEXT(O369,"0"),CONDUCTORES!$A$3:$H$54,6,0),"")</f>
        <v/>
      </c>
      <c r="R369" s="280" t="n"/>
      <c r="S369" s="280" t="n"/>
      <c r="T369" s="280" t="n"/>
      <c r="U369" s="280" t="n"/>
      <c r="V369" s="280" t="n"/>
      <c r="W369" s="280" t="n"/>
      <c r="X369" s="280" t="n"/>
      <c r="Y369" s="280" t="n"/>
      <c r="Z369" s="350" t="n"/>
      <c r="AA369" s="198" t="n"/>
      <c r="AB369" s="198" t="n"/>
      <c r="AC369" s="198" t="n"/>
    </row>
    <row r="370" ht="15" customHeight="1" s="195">
      <c r="A370" s="280" t="n"/>
      <c r="B370" s="280" t="n"/>
      <c r="C370" s="280" t="n"/>
      <c r="D370" s="280" t="n"/>
      <c r="E370" s="280" t="n"/>
      <c r="F370" s="280" t="n"/>
      <c r="G370" s="280" t="n"/>
      <c r="H370" s="280" t="n"/>
      <c r="I370" s="332">
        <f>IFERROR(VLOOKUP(TEXT(H370,"0"),IPRESS!$A$3:$B$212,2,0),"")</f>
        <v/>
      </c>
      <c r="J370" s="280" t="n"/>
      <c r="K370" s="343" t="n"/>
      <c r="L370" s="280" t="n"/>
      <c r="M370" s="280" t="n"/>
      <c r="N370" s="345" t="n"/>
      <c r="O370" s="280" t="n"/>
      <c r="P370" s="332">
        <f>IFERROR(VLOOKUP(TEXT(O370,"0"),CONDUCTORES!$A$3:$G$54,2,0),"")</f>
        <v/>
      </c>
      <c r="Q370" s="332">
        <f>IFERROR(VLOOKUP(TEXT(O370,"0"),CONDUCTORES!$A$3:$H$54,6,0),"")</f>
        <v/>
      </c>
      <c r="R370" s="280" t="n"/>
      <c r="S370" s="280" t="n"/>
      <c r="T370" s="280" t="n"/>
      <c r="U370" s="280" t="n"/>
      <c r="V370" s="280" t="n"/>
      <c r="W370" s="280" t="n"/>
      <c r="X370" s="280" t="n"/>
      <c r="Y370" s="280" t="n"/>
      <c r="Z370" s="350" t="n"/>
      <c r="AA370" s="198" t="n"/>
      <c r="AB370" s="198" t="n"/>
      <c r="AC370" s="198" t="n"/>
    </row>
    <row r="371" ht="15" customHeight="1" s="195">
      <c r="A371" s="280" t="n"/>
      <c r="B371" s="280" t="n"/>
      <c r="C371" s="280" t="n"/>
      <c r="D371" s="280" t="n"/>
      <c r="E371" s="280" t="n"/>
      <c r="F371" s="280" t="n"/>
      <c r="G371" s="280" t="n"/>
      <c r="H371" s="280" t="n"/>
      <c r="I371" s="332">
        <f>IFERROR(VLOOKUP(TEXT(H371,"0"),IPRESS!$A$3:$B$212,2,0),"")</f>
        <v/>
      </c>
      <c r="J371" s="280" t="n"/>
      <c r="K371" s="343" t="n"/>
      <c r="L371" s="280" t="n"/>
      <c r="M371" s="280" t="n"/>
      <c r="N371" s="345" t="n"/>
      <c r="O371" s="280" t="n"/>
      <c r="P371" s="332">
        <f>IFERROR(VLOOKUP(TEXT(O371,"0"),CONDUCTORES!$A$3:$G$54,2,0),"")</f>
        <v/>
      </c>
      <c r="Q371" s="332">
        <f>IFERROR(VLOOKUP(TEXT(O371,"0"),CONDUCTORES!$A$3:$H$54,6,0),"")</f>
        <v/>
      </c>
      <c r="R371" s="280" t="n"/>
      <c r="S371" s="280" t="n"/>
      <c r="T371" s="280" t="n"/>
      <c r="U371" s="280" t="n"/>
      <c r="V371" s="280" t="n"/>
      <c r="W371" s="280" t="n"/>
      <c r="X371" s="280" t="n"/>
      <c r="Y371" s="280" t="n"/>
      <c r="Z371" s="350" t="n"/>
      <c r="AA371" s="198" t="n"/>
      <c r="AB371" s="198" t="n"/>
      <c r="AC371" s="198" t="n"/>
    </row>
    <row r="372" ht="15" customHeight="1" s="195">
      <c r="A372" s="280" t="n"/>
      <c r="B372" s="280" t="n"/>
      <c r="C372" s="280" t="n"/>
      <c r="D372" s="280" t="n"/>
      <c r="E372" s="280" t="n"/>
      <c r="F372" s="280" t="n"/>
      <c r="G372" s="280" t="n"/>
      <c r="H372" s="280" t="n"/>
      <c r="I372" s="332">
        <f>IFERROR(VLOOKUP(TEXT(H372,"0"),IPRESS!$A$3:$B$212,2,0),"")</f>
        <v/>
      </c>
      <c r="J372" s="280" t="n"/>
      <c r="K372" s="343" t="n"/>
      <c r="L372" s="280" t="n"/>
      <c r="M372" s="280" t="n"/>
      <c r="N372" s="345" t="n"/>
      <c r="O372" s="280" t="n"/>
      <c r="P372" s="332">
        <f>IFERROR(VLOOKUP(TEXT(O372,"0"),CONDUCTORES!$A$3:$G$54,2,0),"")</f>
        <v/>
      </c>
      <c r="Q372" s="332">
        <f>IFERROR(VLOOKUP(TEXT(O372,"0"),CONDUCTORES!$A$3:$H$54,6,0),"")</f>
        <v/>
      </c>
      <c r="R372" s="280" t="n"/>
      <c r="S372" s="280" t="n"/>
      <c r="T372" s="280" t="n"/>
      <c r="U372" s="280" t="n"/>
      <c r="V372" s="280" t="n"/>
      <c r="W372" s="280" t="n"/>
      <c r="X372" s="280" t="n"/>
      <c r="Y372" s="280" t="n"/>
      <c r="Z372" s="350" t="n"/>
      <c r="AA372" s="198" t="n"/>
      <c r="AB372" s="198" t="n"/>
      <c r="AC372" s="198" t="n"/>
    </row>
    <row r="373" ht="15" customHeight="1" s="195">
      <c r="A373" s="280" t="n"/>
      <c r="B373" s="280" t="n"/>
      <c r="C373" s="280" t="n"/>
      <c r="D373" s="280" t="n"/>
      <c r="E373" s="280" t="n"/>
      <c r="F373" s="280" t="n"/>
      <c r="G373" s="280" t="n"/>
      <c r="H373" s="280" t="n"/>
      <c r="I373" s="332">
        <f>IFERROR(VLOOKUP(TEXT(H373,"0"),IPRESS!$A$3:$B$212,2,0),"")</f>
        <v/>
      </c>
      <c r="J373" s="280" t="n"/>
      <c r="K373" s="343" t="n"/>
      <c r="L373" s="280" t="n"/>
      <c r="M373" s="280" t="n"/>
      <c r="N373" s="345" t="n"/>
      <c r="O373" s="280" t="n"/>
      <c r="P373" s="332">
        <f>IFERROR(VLOOKUP(TEXT(O373,"0"),CONDUCTORES!$A$3:$G$54,2,0),"")</f>
        <v/>
      </c>
      <c r="Q373" s="332">
        <f>IFERROR(VLOOKUP(TEXT(O373,"0"),CONDUCTORES!$A$3:$H$54,6,0),"")</f>
        <v/>
      </c>
      <c r="R373" s="280" t="n"/>
      <c r="S373" s="280" t="n"/>
      <c r="T373" s="280" t="n"/>
      <c r="U373" s="280" t="n"/>
      <c r="V373" s="280" t="n"/>
      <c r="W373" s="280" t="n"/>
      <c r="X373" s="280" t="n"/>
      <c r="Y373" s="280" t="n"/>
      <c r="Z373" s="350" t="n"/>
      <c r="AA373" s="198" t="n"/>
      <c r="AB373" s="198" t="n"/>
      <c r="AC373" s="198" t="n"/>
    </row>
    <row r="374" ht="15" customHeight="1" s="195">
      <c r="A374" s="280" t="n"/>
      <c r="B374" s="280" t="n"/>
      <c r="C374" s="280" t="n"/>
      <c r="D374" s="280" t="n"/>
      <c r="E374" s="280" t="n"/>
      <c r="F374" s="280" t="n"/>
      <c r="G374" s="280" t="n"/>
      <c r="H374" s="280" t="n"/>
      <c r="I374" s="332">
        <f>IFERROR(VLOOKUP(TEXT(H374,"0"),IPRESS!$A$3:$B$212,2,0),"")</f>
        <v/>
      </c>
      <c r="J374" s="280" t="n"/>
      <c r="K374" s="343" t="n"/>
      <c r="L374" s="280" t="n"/>
      <c r="M374" s="280" t="n"/>
      <c r="N374" s="345" t="n"/>
      <c r="O374" s="280" t="n"/>
      <c r="P374" s="332">
        <f>IFERROR(VLOOKUP(TEXT(O374,"0"),CONDUCTORES!$A$3:$G$54,2,0),"")</f>
        <v/>
      </c>
      <c r="Q374" s="332">
        <f>IFERROR(VLOOKUP(TEXT(O374,"0"),CONDUCTORES!$A$3:$H$54,6,0),"")</f>
        <v/>
      </c>
      <c r="R374" s="280" t="n"/>
      <c r="S374" s="280" t="n"/>
      <c r="T374" s="280" t="n"/>
      <c r="U374" s="280" t="n"/>
      <c r="V374" s="280" t="n"/>
      <c r="W374" s="280" t="n"/>
      <c r="X374" s="280" t="n"/>
      <c r="Y374" s="280" t="n"/>
      <c r="Z374" s="350" t="n"/>
      <c r="AA374" s="198" t="n"/>
      <c r="AB374" s="198" t="n"/>
      <c r="AC374" s="198" t="n"/>
    </row>
    <row r="375" ht="15" customHeight="1" s="195">
      <c r="A375" s="280" t="n"/>
      <c r="B375" s="280" t="n"/>
      <c r="C375" s="280" t="n"/>
      <c r="D375" s="280" t="n"/>
      <c r="E375" s="280" t="n"/>
      <c r="F375" s="280" t="n"/>
      <c r="G375" s="280" t="n"/>
      <c r="H375" s="280" t="n"/>
      <c r="I375" s="332">
        <f>IFERROR(VLOOKUP(TEXT(H375,"0"),IPRESS!$A$3:$B$212,2,0),"")</f>
        <v/>
      </c>
      <c r="J375" s="280" t="n"/>
      <c r="K375" s="343" t="n"/>
      <c r="L375" s="280" t="n"/>
      <c r="M375" s="280" t="n"/>
      <c r="N375" s="345" t="n"/>
      <c r="O375" s="280" t="n"/>
      <c r="P375" s="332">
        <f>IFERROR(VLOOKUP(TEXT(O375,"0"),CONDUCTORES!$A$3:$G$54,2,0),"")</f>
        <v/>
      </c>
      <c r="Q375" s="332">
        <f>IFERROR(VLOOKUP(TEXT(O375,"0"),CONDUCTORES!$A$3:$H$54,6,0),"")</f>
        <v/>
      </c>
      <c r="R375" s="280" t="n"/>
      <c r="S375" s="280" t="n"/>
      <c r="T375" s="280" t="n"/>
      <c r="U375" s="280" t="n"/>
      <c r="V375" s="280" t="n"/>
      <c r="W375" s="280" t="n"/>
      <c r="X375" s="280" t="n"/>
      <c r="Y375" s="280" t="n"/>
      <c r="Z375" s="350" t="n"/>
      <c r="AA375" s="198" t="n"/>
      <c r="AB375" s="198" t="n"/>
      <c r="AC375" s="198" t="n"/>
    </row>
    <row r="376" ht="15" customHeight="1" s="195">
      <c r="A376" s="280" t="n"/>
      <c r="B376" s="280" t="n"/>
      <c r="C376" s="280" t="n"/>
      <c r="D376" s="280" t="n"/>
      <c r="E376" s="280" t="n"/>
      <c r="F376" s="280" t="n"/>
      <c r="G376" s="280" t="n"/>
      <c r="H376" s="280" t="n"/>
      <c r="I376" s="332">
        <f>IFERROR(VLOOKUP(TEXT(H376,"0"),IPRESS!$A$3:$B$212,2,0),"")</f>
        <v/>
      </c>
      <c r="J376" s="280" t="n"/>
      <c r="K376" s="343" t="n"/>
      <c r="L376" s="280" t="n"/>
      <c r="M376" s="280" t="n"/>
      <c r="N376" s="345" t="n"/>
      <c r="O376" s="280" t="n"/>
      <c r="P376" s="332">
        <f>IFERROR(VLOOKUP(TEXT(O376,"0"),CONDUCTORES!$A$3:$G$54,2,0),"")</f>
        <v/>
      </c>
      <c r="Q376" s="332">
        <f>IFERROR(VLOOKUP(TEXT(O376,"0"),CONDUCTORES!$A$3:$H$54,6,0),"")</f>
        <v/>
      </c>
      <c r="R376" s="280" t="n"/>
      <c r="S376" s="280" t="n"/>
      <c r="T376" s="280" t="n"/>
      <c r="U376" s="280" t="n"/>
      <c r="V376" s="280" t="n"/>
      <c r="W376" s="280" t="n"/>
      <c r="X376" s="280" t="n"/>
      <c r="Y376" s="280" t="n"/>
      <c r="Z376" s="350" t="n"/>
      <c r="AA376" s="198" t="n"/>
      <c r="AB376" s="198" t="n"/>
      <c r="AC376" s="198" t="n"/>
    </row>
    <row r="377" ht="15" customHeight="1" s="195">
      <c r="A377" s="280" t="n"/>
      <c r="B377" s="280" t="n"/>
      <c r="C377" s="280" t="n"/>
      <c r="D377" s="280" t="n"/>
      <c r="E377" s="280" t="n"/>
      <c r="F377" s="280" t="n"/>
      <c r="G377" s="280" t="n"/>
      <c r="H377" s="280" t="n"/>
      <c r="I377" s="332">
        <f>IFERROR(VLOOKUP(TEXT(H377,"0"),IPRESS!$A$3:$B$212,2,0),"")</f>
        <v/>
      </c>
      <c r="J377" s="280" t="n"/>
      <c r="K377" s="343" t="n"/>
      <c r="L377" s="280" t="n"/>
      <c r="M377" s="280" t="n"/>
      <c r="N377" s="345" t="n"/>
      <c r="O377" s="280" t="n"/>
      <c r="P377" s="332">
        <f>IFERROR(VLOOKUP(TEXT(O377,"0"),CONDUCTORES!$A$3:$G$54,2,0),"")</f>
        <v/>
      </c>
      <c r="Q377" s="332">
        <f>IFERROR(VLOOKUP(TEXT(O377,"0"),CONDUCTORES!$A$3:$H$54,6,0),"")</f>
        <v/>
      </c>
      <c r="R377" s="280" t="n"/>
      <c r="S377" s="280" t="n"/>
      <c r="T377" s="280" t="n"/>
      <c r="U377" s="280" t="n"/>
      <c r="V377" s="280" t="n"/>
      <c r="W377" s="280" t="n"/>
      <c r="X377" s="280" t="n"/>
      <c r="Y377" s="280" t="n"/>
      <c r="Z377" s="350" t="n"/>
      <c r="AA377" s="198" t="n"/>
      <c r="AB377" s="198" t="n"/>
      <c r="AC377" s="198" t="n"/>
    </row>
    <row r="378" ht="15" customHeight="1" s="195">
      <c r="A378" s="280" t="n"/>
      <c r="B378" s="280" t="n"/>
      <c r="C378" s="280" t="n"/>
      <c r="D378" s="280" t="n"/>
      <c r="E378" s="280" t="n"/>
      <c r="F378" s="280" t="n"/>
      <c r="G378" s="280" t="n"/>
      <c r="H378" s="280" t="n"/>
      <c r="I378" s="332">
        <f>IFERROR(VLOOKUP(TEXT(H378,"0"),IPRESS!$A$3:$B$212,2,0),"")</f>
        <v/>
      </c>
      <c r="J378" s="280" t="n"/>
      <c r="K378" s="343" t="n"/>
      <c r="L378" s="280" t="n"/>
      <c r="M378" s="280" t="n"/>
      <c r="N378" s="345" t="n"/>
      <c r="O378" s="280" t="n"/>
      <c r="P378" s="332">
        <f>IFERROR(VLOOKUP(TEXT(O378,"0"),CONDUCTORES!$A$3:$G$54,2,0),"")</f>
        <v/>
      </c>
      <c r="Q378" s="332">
        <f>IFERROR(VLOOKUP(TEXT(O378,"0"),CONDUCTORES!$A$3:$H$54,6,0),"")</f>
        <v/>
      </c>
      <c r="R378" s="280" t="n"/>
      <c r="S378" s="280" t="n"/>
      <c r="T378" s="280" t="n"/>
      <c r="U378" s="280" t="n"/>
      <c r="V378" s="280" t="n"/>
      <c r="W378" s="280" t="n"/>
      <c r="X378" s="280" t="n"/>
      <c r="Y378" s="280" t="n"/>
      <c r="Z378" s="350" t="n"/>
      <c r="AA378" s="198" t="n"/>
      <c r="AB378" s="198" t="n"/>
      <c r="AC378" s="198" t="n"/>
    </row>
    <row r="379" ht="15" customHeight="1" s="195">
      <c r="A379" s="280" t="n"/>
      <c r="B379" s="280" t="n"/>
      <c r="C379" s="280" t="n"/>
      <c r="D379" s="280" t="n"/>
      <c r="E379" s="280" t="n"/>
      <c r="F379" s="280" t="n"/>
      <c r="G379" s="280" t="n"/>
      <c r="H379" s="280" t="n"/>
      <c r="I379" s="332">
        <f>IFERROR(VLOOKUP(TEXT(H379,"0"),IPRESS!$A$3:$B$212,2,0),"")</f>
        <v/>
      </c>
      <c r="J379" s="280" t="n"/>
      <c r="K379" s="343" t="n"/>
      <c r="L379" s="280" t="n"/>
      <c r="M379" s="280" t="n"/>
      <c r="N379" s="345" t="n"/>
      <c r="O379" s="280" t="n"/>
      <c r="P379" s="332">
        <f>IFERROR(VLOOKUP(TEXT(O379,"0"),CONDUCTORES!$A$3:$G$54,2,0),"")</f>
        <v/>
      </c>
      <c r="Q379" s="332">
        <f>IFERROR(VLOOKUP(TEXT(O379,"0"),CONDUCTORES!$A$3:$H$54,6,0),"")</f>
        <v/>
      </c>
      <c r="R379" s="280" t="n"/>
      <c r="S379" s="280" t="n"/>
      <c r="T379" s="280" t="n"/>
      <c r="U379" s="280" t="n"/>
      <c r="V379" s="280" t="n"/>
      <c r="W379" s="280" t="n"/>
      <c r="X379" s="280" t="n"/>
      <c r="Y379" s="280" t="n"/>
      <c r="Z379" s="350" t="n"/>
      <c r="AA379" s="198" t="n"/>
      <c r="AB379" s="198" t="n"/>
      <c r="AC379" s="198" t="n"/>
    </row>
    <row r="380" ht="15" customHeight="1" s="195">
      <c r="A380" s="280" t="n"/>
      <c r="B380" s="280" t="n"/>
      <c r="C380" s="280" t="n"/>
      <c r="D380" s="280" t="n"/>
      <c r="E380" s="280" t="n"/>
      <c r="F380" s="280" t="n"/>
      <c r="G380" s="280" t="n"/>
      <c r="H380" s="280" t="n"/>
      <c r="I380" s="332">
        <f>IFERROR(VLOOKUP(TEXT(H380,"0"),IPRESS!$A$3:$B$212,2,0),"")</f>
        <v/>
      </c>
      <c r="J380" s="280" t="n"/>
      <c r="K380" s="343" t="n"/>
      <c r="L380" s="280" t="n"/>
      <c r="M380" s="280" t="n"/>
      <c r="N380" s="345" t="n"/>
      <c r="O380" s="280" t="n"/>
      <c r="P380" s="332">
        <f>IFERROR(VLOOKUP(TEXT(O380,"0"),CONDUCTORES!$A$3:$G$54,2,0),"")</f>
        <v/>
      </c>
      <c r="Q380" s="332">
        <f>IFERROR(VLOOKUP(TEXT(O380,"0"),CONDUCTORES!$A$3:$H$54,6,0),"")</f>
        <v/>
      </c>
      <c r="R380" s="280" t="n"/>
      <c r="S380" s="280" t="n"/>
      <c r="T380" s="280" t="n"/>
      <c r="U380" s="280" t="n"/>
      <c r="V380" s="280" t="n"/>
      <c r="W380" s="280" t="n"/>
      <c r="X380" s="280" t="n"/>
      <c r="Y380" s="280" t="n"/>
      <c r="Z380" s="350" t="n"/>
      <c r="AA380" s="198" t="n"/>
      <c r="AB380" s="198" t="n"/>
      <c r="AC380" s="198" t="n"/>
    </row>
    <row r="381" ht="15" customHeight="1" s="195">
      <c r="A381" s="280" t="n"/>
      <c r="B381" s="280" t="n"/>
      <c r="C381" s="280" t="n"/>
      <c r="D381" s="280" t="n"/>
      <c r="E381" s="280" t="n"/>
      <c r="F381" s="280" t="n"/>
      <c r="G381" s="280" t="n"/>
      <c r="H381" s="280" t="n"/>
      <c r="I381" s="332">
        <f>IFERROR(VLOOKUP(TEXT(H381,"0"),IPRESS!$A$3:$B$212,2,0),"")</f>
        <v/>
      </c>
      <c r="J381" s="280" t="n"/>
      <c r="K381" s="343" t="n"/>
      <c r="L381" s="280" t="n"/>
      <c r="M381" s="280" t="n"/>
      <c r="N381" s="345" t="n"/>
      <c r="O381" s="280" t="n"/>
      <c r="P381" s="332">
        <f>IFERROR(VLOOKUP(TEXT(O381,"0"),CONDUCTORES!$A$3:$G$54,2,0),"")</f>
        <v/>
      </c>
      <c r="Q381" s="332">
        <f>IFERROR(VLOOKUP(TEXT(O381,"0"),CONDUCTORES!$A$3:$H$54,6,0),"")</f>
        <v/>
      </c>
      <c r="R381" s="280" t="n"/>
      <c r="S381" s="280" t="n"/>
      <c r="T381" s="280" t="n"/>
      <c r="U381" s="280" t="n"/>
      <c r="V381" s="280" t="n"/>
      <c r="W381" s="280" t="n"/>
      <c r="X381" s="280" t="n"/>
      <c r="Y381" s="280" t="n"/>
      <c r="Z381" s="350" t="n"/>
      <c r="AA381" s="198" t="n"/>
      <c r="AB381" s="198" t="n"/>
      <c r="AC381" s="198" t="n"/>
    </row>
    <row r="382" ht="15" customHeight="1" s="195">
      <c r="A382" s="280" t="n"/>
      <c r="B382" s="280" t="n"/>
      <c r="C382" s="280" t="n"/>
      <c r="D382" s="280" t="n"/>
      <c r="E382" s="280" t="n"/>
      <c r="F382" s="280" t="n"/>
      <c r="G382" s="280" t="n"/>
      <c r="H382" s="280" t="n"/>
      <c r="I382" s="332">
        <f>IFERROR(VLOOKUP(TEXT(H382,"0"),IPRESS!$A$3:$B$212,2,0),"")</f>
        <v/>
      </c>
      <c r="J382" s="280" t="n"/>
      <c r="K382" s="343" t="n"/>
      <c r="L382" s="280" t="n"/>
      <c r="M382" s="280" t="n"/>
      <c r="N382" s="345" t="n"/>
      <c r="O382" s="280" t="n"/>
      <c r="P382" s="332">
        <f>IFERROR(VLOOKUP(TEXT(O382,"0"),CONDUCTORES!$A$3:$G$54,2,0),"")</f>
        <v/>
      </c>
      <c r="Q382" s="332">
        <f>IFERROR(VLOOKUP(TEXT(O382,"0"),CONDUCTORES!$A$3:$H$54,6,0),"")</f>
        <v/>
      </c>
      <c r="R382" s="280" t="n"/>
      <c r="S382" s="280" t="n"/>
      <c r="T382" s="280" t="n"/>
      <c r="U382" s="280" t="n"/>
      <c r="V382" s="280" t="n"/>
      <c r="W382" s="280" t="n"/>
      <c r="X382" s="280" t="n"/>
      <c r="Y382" s="280" t="n"/>
      <c r="Z382" s="350" t="n"/>
      <c r="AA382" s="198" t="n"/>
      <c r="AB382" s="198" t="n"/>
      <c r="AC382" s="198" t="n"/>
    </row>
    <row r="383" ht="15" customHeight="1" s="195">
      <c r="A383" s="280" t="n"/>
      <c r="B383" s="280" t="n"/>
      <c r="C383" s="280" t="n"/>
      <c r="D383" s="280" t="n"/>
      <c r="E383" s="280" t="n"/>
      <c r="F383" s="280" t="n"/>
      <c r="G383" s="280" t="n"/>
      <c r="H383" s="280" t="n"/>
      <c r="I383" s="332">
        <f>IFERROR(VLOOKUP(TEXT(H383,"0"),IPRESS!$A$3:$B$212,2,0),"")</f>
        <v/>
      </c>
      <c r="J383" s="280" t="n"/>
      <c r="K383" s="343" t="n"/>
      <c r="L383" s="280" t="n"/>
      <c r="M383" s="280" t="n"/>
      <c r="N383" s="345" t="n"/>
      <c r="O383" s="280" t="n"/>
      <c r="P383" s="332">
        <f>IFERROR(VLOOKUP(TEXT(O383,"0"),CONDUCTORES!$A$3:$G$54,2,0),"")</f>
        <v/>
      </c>
      <c r="Q383" s="332">
        <f>IFERROR(VLOOKUP(TEXT(O383,"0"),CONDUCTORES!$A$3:$H$54,6,0),"")</f>
        <v/>
      </c>
      <c r="R383" s="280" t="n"/>
      <c r="S383" s="280" t="n"/>
      <c r="T383" s="280" t="n"/>
      <c r="U383" s="280" t="n"/>
      <c r="V383" s="280" t="n"/>
      <c r="W383" s="280" t="n"/>
      <c r="X383" s="280" t="n"/>
      <c r="Y383" s="280" t="n"/>
      <c r="Z383" s="350" t="n"/>
      <c r="AA383" s="198" t="n"/>
      <c r="AB383" s="198" t="n"/>
      <c r="AC383" s="198" t="n"/>
    </row>
    <row r="384" ht="15" customHeight="1" s="195">
      <c r="A384" s="280" t="n"/>
      <c r="B384" s="280" t="n"/>
      <c r="C384" s="280" t="n"/>
      <c r="D384" s="280" t="n"/>
      <c r="E384" s="280" t="n"/>
      <c r="F384" s="280" t="n"/>
      <c r="G384" s="280" t="n"/>
      <c r="H384" s="280" t="n"/>
      <c r="I384" s="332">
        <f>IFERROR(VLOOKUP(TEXT(H384,"0"),IPRESS!$A$3:$B$212,2,0),"")</f>
        <v/>
      </c>
      <c r="J384" s="280" t="n"/>
      <c r="K384" s="343" t="n"/>
      <c r="L384" s="280" t="n"/>
      <c r="M384" s="280" t="n"/>
      <c r="N384" s="345" t="n"/>
      <c r="O384" s="280" t="n"/>
      <c r="P384" s="332">
        <f>IFERROR(VLOOKUP(TEXT(O384,"0"),CONDUCTORES!$A$3:$G$54,2,0),"")</f>
        <v/>
      </c>
      <c r="Q384" s="332">
        <f>IFERROR(VLOOKUP(TEXT(O384,"0"),CONDUCTORES!$A$3:$H$54,6,0),"")</f>
        <v/>
      </c>
      <c r="R384" s="280" t="n"/>
      <c r="S384" s="280" t="n"/>
      <c r="T384" s="280" t="n"/>
      <c r="U384" s="280" t="n"/>
      <c r="V384" s="280" t="n"/>
      <c r="W384" s="280" t="n"/>
      <c r="X384" s="280" t="n"/>
      <c r="Y384" s="280" t="n"/>
      <c r="Z384" s="350" t="n"/>
      <c r="AA384" s="198" t="n"/>
      <c r="AB384" s="198" t="n"/>
      <c r="AC384" s="198" t="n"/>
    </row>
    <row r="385" ht="15" customHeight="1" s="195">
      <c r="A385" s="280" t="n"/>
      <c r="B385" s="280" t="n"/>
      <c r="C385" s="280" t="n"/>
      <c r="D385" s="280" t="n"/>
      <c r="E385" s="280" t="n"/>
      <c r="F385" s="280" t="n"/>
      <c r="G385" s="280" t="n"/>
      <c r="H385" s="280" t="n"/>
      <c r="I385" s="332">
        <f>IFERROR(VLOOKUP(TEXT(H385,"0"),IPRESS!$A$3:$B$212,2,0),"")</f>
        <v/>
      </c>
      <c r="J385" s="280" t="n"/>
      <c r="K385" s="343" t="n"/>
      <c r="L385" s="280" t="n"/>
      <c r="M385" s="280" t="n"/>
      <c r="N385" s="345" t="n"/>
      <c r="O385" s="280" t="n"/>
      <c r="P385" s="332">
        <f>IFERROR(VLOOKUP(TEXT(O385,"0"),CONDUCTORES!$A$3:$G$54,2,0),"")</f>
        <v/>
      </c>
      <c r="Q385" s="332">
        <f>IFERROR(VLOOKUP(TEXT(O385,"0"),CONDUCTORES!$A$3:$H$54,6,0),"")</f>
        <v/>
      </c>
      <c r="R385" s="280" t="n"/>
      <c r="S385" s="280" t="n"/>
      <c r="T385" s="280" t="n"/>
      <c r="U385" s="280" t="n"/>
      <c r="V385" s="280" t="n"/>
      <c r="W385" s="280" t="n"/>
      <c r="X385" s="280" t="n"/>
      <c r="Y385" s="280" t="n"/>
      <c r="Z385" s="350" t="n"/>
      <c r="AA385" s="198" t="n"/>
      <c r="AB385" s="198" t="n"/>
      <c r="AC385" s="198" t="n"/>
    </row>
    <row r="386" ht="15" customHeight="1" s="195">
      <c r="A386" s="280" t="n"/>
      <c r="B386" s="280" t="n"/>
      <c r="C386" s="280" t="n"/>
      <c r="D386" s="280" t="n"/>
      <c r="E386" s="280" t="n"/>
      <c r="F386" s="280" t="n"/>
      <c r="G386" s="280" t="n"/>
      <c r="H386" s="280" t="n"/>
      <c r="I386" s="332">
        <f>IFERROR(VLOOKUP(TEXT(H386,"0"),IPRESS!$A$3:$B$212,2,0),"")</f>
        <v/>
      </c>
      <c r="J386" s="280" t="n"/>
      <c r="K386" s="343" t="n"/>
      <c r="L386" s="280" t="n"/>
      <c r="M386" s="280" t="n"/>
      <c r="N386" s="345" t="n"/>
      <c r="O386" s="280" t="n"/>
      <c r="P386" s="332">
        <f>IFERROR(VLOOKUP(TEXT(O386,"0"),CONDUCTORES!$A$3:$G$54,2,0),"")</f>
        <v/>
      </c>
      <c r="Q386" s="332">
        <f>IFERROR(VLOOKUP(TEXT(O386,"0"),CONDUCTORES!$A$3:$H$54,6,0),"")</f>
        <v/>
      </c>
      <c r="R386" s="280" t="n"/>
      <c r="S386" s="280" t="n"/>
      <c r="T386" s="280" t="n"/>
      <c r="U386" s="280" t="n"/>
      <c r="V386" s="280" t="n"/>
      <c r="W386" s="280" t="n"/>
      <c r="X386" s="280" t="n"/>
      <c r="Y386" s="280" t="n"/>
      <c r="Z386" s="350" t="n"/>
      <c r="AA386" s="198" t="n"/>
      <c r="AB386" s="198" t="n"/>
      <c r="AC386" s="198" t="n"/>
    </row>
    <row r="387" ht="15" customHeight="1" s="195">
      <c r="A387" s="280" t="n"/>
      <c r="B387" s="280" t="n"/>
      <c r="C387" s="280" t="n"/>
      <c r="D387" s="280" t="n"/>
      <c r="E387" s="280" t="n"/>
      <c r="F387" s="280" t="n"/>
      <c r="G387" s="280" t="n"/>
      <c r="H387" s="280" t="n"/>
      <c r="I387" s="332">
        <f>IFERROR(VLOOKUP(TEXT(H387,"0"),IPRESS!$A$3:$B$212,2,0),"")</f>
        <v/>
      </c>
      <c r="J387" s="280" t="n"/>
      <c r="K387" s="343" t="n"/>
      <c r="L387" s="280" t="n"/>
      <c r="M387" s="280" t="n"/>
      <c r="N387" s="345" t="n"/>
      <c r="O387" s="280" t="n"/>
      <c r="P387" s="332">
        <f>IFERROR(VLOOKUP(TEXT(O387,"0"),CONDUCTORES!$A$3:$G$54,2,0),"")</f>
        <v/>
      </c>
      <c r="Q387" s="332">
        <f>IFERROR(VLOOKUP(TEXT(O387,"0"),CONDUCTORES!$A$3:$H$54,6,0),"")</f>
        <v/>
      </c>
      <c r="R387" s="280" t="n"/>
      <c r="S387" s="280" t="n"/>
      <c r="T387" s="280" t="n"/>
      <c r="U387" s="280" t="n"/>
      <c r="V387" s="280" t="n"/>
      <c r="W387" s="280" t="n"/>
      <c r="X387" s="280" t="n"/>
      <c r="Y387" s="280" t="n"/>
      <c r="Z387" s="350" t="n"/>
      <c r="AA387" s="198" t="n"/>
      <c r="AB387" s="198" t="n"/>
      <c r="AC387" s="198" t="n"/>
    </row>
    <row r="388" ht="15" customHeight="1" s="195">
      <c r="A388" s="280" t="n"/>
      <c r="B388" s="280" t="n"/>
      <c r="C388" s="280" t="n"/>
      <c r="D388" s="280" t="n"/>
      <c r="E388" s="280" t="n"/>
      <c r="F388" s="280" t="n"/>
      <c r="G388" s="280" t="n"/>
      <c r="H388" s="280" t="n"/>
      <c r="I388" s="332">
        <f>IFERROR(VLOOKUP(TEXT(H388,"0"),IPRESS!$A$3:$B$212,2,0),"")</f>
        <v/>
      </c>
      <c r="J388" s="280" t="n"/>
      <c r="K388" s="343" t="n"/>
      <c r="L388" s="280" t="n"/>
      <c r="M388" s="280" t="n"/>
      <c r="N388" s="345" t="n"/>
      <c r="O388" s="280" t="n"/>
      <c r="P388" s="332">
        <f>IFERROR(VLOOKUP(TEXT(O388,"0"),CONDUCTORES!$A$3:$G$54,2,0),"")</f>
        <v/>
      </c>
      <c r="Q388" s="332">
        <f>IFERROR(VLOOKUP(TEXT(O388,"0"),CONDUCTORES!$A$3:$H$54,6,0),"")</f>
        <v/>
      </c>
      <c r="R388" s="280" t="n"/>
      <c r="S388" s="280" t="n"/>
      <c r="T388" s="280" t="n"/>
      <c r="U388" s="280" t="n"/>
      <c r="V388" s="280" t="n"/>
      <c r="W388" s="280" t="n"/>
      <c r="X388" s="280" t="n"/>
      <c r="Y388" s="280" t="n"/>
      <c r="Z388" s="350" t="n"/>
      <c r="AA388" s="198" t="n"/>
      <c r="AB388" s="198" t="n"/>
      <c r="AC388" s="198" t="n"/>
    </row>
    <row r="389" ht="15" customHeight="1" s="195">
      <c r="A389" s="280" t="n"/>
      <c r="B389" s="280" t="n"/>
      <c r="C389" s="280" t="n"/>
      <c r="D389" s="280" t="n"/>
      <c r="E389" s="280" t="n"/>
      <c r="F389" s="280" t="n"/>
      <c r="G389" s="280" t="n"/>
      <c r="H389" s="280" t="n"/>
      <c r="I389" s="332">
        <f>IFERROR(VLOOKUP(TEXT(H389,"0"),IPRESS!$A$3:$B$212,2,0),"")</f>
        <v/>
      </c>
      <c r="J389" s="280" t="n"/>
      <c r="K389" s="343" t="n"/>
      <c r="L389" s="280" t="n"/>
      <c r="M389" s="280" t="n"/>
      <c r="N389" s="345" t="n"/>
      <c r="O389" s="280" t="n"/>
      <c r="P389" s="332">
        <f>IFERROR(VLOOKUP(TEXT(O389,"0"),CONDUCTORES!$A$3:$G$54,2,0),"")</f>
        <v/>
      </c>
      <c r="Q389" s="332">
        <f>IFERROR(VLOOKUP(TEXT(O389,"0"),CONDUCTORES!$A$3:$H$54,6,0),"")</f>
        <v/>
      </c>
      <c r="R389" s="280" t="n"/>
      <c r="S389" s="280" t="n"/>
      <c r="T389" s="280" t="n"/>
      <c r="U389" s="280" t="n"/>
      <c r="V389" s="280" t="n"/>
      <c r="W389" s="280" t="n"/>
      <c r="X389" s="280" t="n"/>
      <c r="Y389" s="280" t="n"/>
      <c r="Z389" s="350" t="n"/>
      <c r="AA389" s="198" t="n"/>
      <c r="AB389" s="198" t="n"/>
      <c r="AC389" s="198" t="n"/>
    </row>
    <row r="390" ht="15" customHeight="1" s="195">
      <c r="A390" s="280" t="n"/>
      <c r="B390" s="280" t="n"/>
      <c r="C390" s="280" t="n"/>
      <c r="D390" s="280" t="n"/>
      <c r="E390" s="280" t="n"/>
      <c r="F390" s="280" t="n"/>
      <c r="G390" s="280" t="n"/>
      <c r="H390" s="280" t="n"/>
      <c r="I390" s="332">
        <f>IFERROR(VLOOKUP(TEXT(H390,"0"),IPRESS!$A$3:$B$212,2,0),"")</f>
        <v/>
      </c>
      <c r="J390" s="280" t="n"/>
      <c r="K390" s="343" t="n"/>
      <c r="L390" s="280" t="n"/>
      <c r="M390" s="280" t="n"/>
      <c r="N390" s="345" t="n"/>
      <c r="O390" s="280" t="n"/>
      <c r="P390" s="332">
        <f>IFERROR(VLOOKUP(TEXT(O390,"0"),CONDUCTORES!$A$3:$G$54,2,0),"")</f>
        <v/>
      </c>
      <c r="Q390" s="332">
        <f>IFERROR(VLOOKUP(TEXT(O390,"0"),CONDUCTORES!$A$3:$H$54,6,0),"")</f>
        <v/>
      </c>
      <c r="R390" s="280" t="n"/>
      <c r="S390" s="280" t="n"/>
      <c r="T390" s="280" t="n"/>
      <c r="U390" s="280" t="n"/>
      <c r="V390" s="280" t="n"/>
      <c r="W390" s="280" t="n"/>
      <c r="X390" s="280" t="n"/>
      <c r="Y390" s="280" t="n"/>
      <c r="Z390" s="350" t="n"/>
      <c r="AA390" s="198" t="n"/>
      <c r="AB390" s="198" t="n"/>
      <c r="AC390" s="198" t="n"/>
    </row>
    <row r="391" ht="15" customHeight="1" s="195">
      <c r="A391" s="280" t="n"/>
      <c r="B391" s="280" t="n"/>
      <c r="C391" s="280" t="n"/>
      <c r="D391" s="280" t="n"/>
      <c r="E391" s="280" t="n"/>
      <c r="F391" s="280" t="n"/>
      <c r="G391" s="280" t="n"/>
      <c r="H391" s="280" t="n"/>
      <c r="I391" s="332">
        <f>IFERROR(VLOOKUP(TEXT(H391,"0"),IPRESS!$A$3:$B$212,2,0),"")</f>
        <v/>
      </c>
      <c r="J391" s="280" t="n"/>
      <c r="K391" s="343" t="n"/>
      <c r="L391" s="280" t="n"/>
      <c r="M391" s="280" t="n"/>
      <c r="N391" s="345" t="n"/>
      <c r="O391" s="280" t="n"/>
      <c r="P391" s="332">
        <f>IFERROR(VLOOKUP(TEXT(O391,"0"),CONDUCTORES!$A$3:$G$54,2,0),"")</f>
        <v/>
      </c>
      <c r="Q391" s="332">
        <f>IFERROR(VLOOKUP(TEXT(O391,"0"),CONDUCTORES!$A$3:$H$54,6,0),"")</f>
        <v/>
      </c>
      <c r="R391" s="280" t="n"/>
      <c r="S391" s="280" t="n"/>
      <c r="T391" s="280" t="n"/>
      <c r="U391" s="280" t="n"/>
      <c r="V391" s="280" t="n"/>
      <c r="W391" s="280" t="n"/>
      <c r="X391" s="280" t="n"/>
      <c r="Y391" s="280" t="n"/>
      <c r="Z391" s="350" t="n"/>
      <c r="AA391" s="198" t="n"/>
      <c r="AB391" s="198" t="n"/>
      <c r="AC391" s="198" t="n"/>
    </row>
    <row r="392" ht="15" customHeight="1" s="195">
      <c r="A392" s="280" t="n"/>
      <c r="B392" s="280" t="n"/>
      <c r="C392" s="280" t="n"/>
      <c r="D392" s="280" t="n"/>
      <c r="E392" s="280" t="n"/>
      <c r="F392" s="280" t="n"/>
      <c r="G392" s="280" t="n"/>
      <c r="H392" s="280" t="n"/>
      <c r="I392" s="332">
        <f>IFERROR(VLOOKUP(TEXT(H392,"0"),IPRESS!$A$3:$B$212,2,0),"")</f>
        <v/>
      </c>
      <c r="J392" s="280" t="n"/>
      <c r="K392" s="343" t="n"/>
      <c r="L392" s="280" t="n"/>
      <c r="M392" s="280" t="n"/>
      <c r="N392" s="345" t="n"/>
      <c r="O392" s="280" t="n"/>
      <c r="P392" s="332">
        <f>IFERROR(VLOOKUP(TEXT(O392,"0"),CONDUCTORES!$A$3:$G$54,2,0),"")</f>
        <v/>
      </c>
      <c r="Q392" s="332">
        <f>IFERROR(VLOOKUP(TEXT(O392,"0"),CONDUCTORES!$A$3:$H$54,6,0),"")</f>
        <v/>
      </c>
      <c r="R392" s="280" t="n"/>
      <c r="S392" s="280" t="n"/>
      <c r="T392" s="280" t="n"/>
      <c r="U392" s="280" t="n"/>
      <c r="V392" s="280" t="n"/>
      <c r="W392" s="280" t="n"/>
      <c r="X392" s="280" t="n"/>
      <c r="Y392" s="280" t="n"/>
      <c r="Z392" s="350" t="n"/>
      <c r="AA392" s="198" t="n"/>
      <c r="AB392" s="198" t="n"/>
      <c r="AC392" s="198" t="n"/>
    </row>
    <row r="393" ht="15" customHeight="1" s="195">
      <c r="A393" s="280" t="n"/>
      <c r="B393" s="280" t="n"/>
      <c r="C393" s="280" t="n"/>
      <c r="D393" s="280" t="n"/>
      <c r="E393" s="280" t="n"/>
      <c r="F393" s="280" t="n"/>
      <c r="G393" s="280" t="n"/>
      <c r="H393" s="280" t="n"/>
      <c r="I393" s="332">
        <f>IFERROR(VLOOKUP(TEXT(H393,"0"),IPRESS!$A$3:$B$212,2,0),"")</f>
        <v/>
      </c>
      <c r="J393" s="280" t="n"/>
      <c r="K393" s="343" t="n"/>
      <c r="L393" s="280" t="n"/>
      <c r="M393" s="280" t="n"/>
      <c r="N393" s="345" t="n"/>
      <c r="O393" s="280" t="n"/>
      <c r="P393" s="332">
        <f>IFERROR(VLOOKUP(TEXT(O393,"0"),CONDUCTORES!$A$3:$G$54,2,0),"")</f>
        <v/>
      </c>
      <c r="Q393" s="332">
        <f>IFERROR(VLOOKUP(TEXT(O393,"0"),CONDUCTORES!$A$3:$H$54,6,0),"")</f>
        <v/>
      </c>
      <c r="R393" s="280" t="n"/>
      <c r="S393" s="280" t="n"/>
      <c r="T393" s="280" t="n"/>
      <c r="U393" s="280" t="n"/>
      <c r="V393" s="280" t="n"/>
      <c r="W393" s="280" t="n"/>
      <c r="X393" s="280" t="n"/>
      <c r="Y393" s="280" t="n"/>
      <c r="Z393" s="350" t="n"/>
      <c r="AA393" s="198" t="n"/>
      <c r="AB393" s="198" t="n"/>
      <c r="AC393" s="198" t="n"/>
    </row>
    <row r="394" ht="15" customHeight="1" s="195">
      <c r="A394" s="280" t="n"/>
      <c r="B394" s="280" t="n"/>
      <c r="C394" s="280" t="n"/>
      <c r="D394" s="280" t="n"/>
      <c r="E394" s="280" t="n"/>
      <c r="F394" s="280" t="n"/>
      <c r="G394" s="280" t="n"/>
      <c r="H394" s="280" t="n"/>
      <c r="I394" s="332">
        <f>IFERROR(VLOOKUP(TEXT(H394,"0"),IPRESS!$A$3:$B$212,2,0),"")</f>
        <v/>
      </c>
      <c r="J394" s="280" t="n"/>
      <c r="K394" s="343" t="n"/>
      <c r="L394" s="280" t="n"/>
      <c r="M394" s="280" t="n"/>
      <c r="N394" s="345" t="n"/>
      <c r="O394" s="280" t="n"/>
      <c r="P394" s="332">
        <f>IFERROR(VLOOKUP(TEXT(O394,"0"),CONDUCTORES!$A$3:$G$54,2,0),"")</f>
        <v/>
      </c>
      <c r="Q394" s="332">
        <f>IFERROR(VLOOKUP(TEXT(O394,"0"),CONDUCTORES!$A$3:$H$54,6,0),"")</f>
        <v/>
      </c>
      <c r="R394" s="280" t="n"/>
      <c r="S394" s="280" t="n"/>
      <c r="T394" s="280" t="n"/>
      <c r="U394" s="280" t="n"/>
      <c r="V394" s="280" t="n"/>
      <c r="W394" s="280" t="n"/>
      <c r="X394" s="280" t="n"/>
      <c r="Y394" s="280" t="n"/>
      <c r="Z394" s="350" t="n"/>
      <c r="AA394" s="198" t="n"/>
      <c r="AB394" s="198" t="n"/>
      <c r="AC394" s="198" t="n"/>
    </row>
    <row r="395" ht="15" customHeight="1" s="195">
      <c r="A395" s="280" t="n"/>
      <c r="B395" s="280" t="n"/>
      <c r="C395" s="280" t="n"/>
      <c r="D395" s="280" t="n"/>
      <c r="E395" s="280" t="n"/>
      <c r="F395" s="280" t="n"/>
      <c r="G395" s="280" t="n"/>
      <c r="H395" s="280" t="n"/>
      <c r="I395" s="332">
        <f>IFERROR(VLOOKUP(TEXT(H395,"0"),IPRESS!$A$3:$B$212,2,0),"")</f>
        <v/>
      </c>
      <c r="J395" s="280" t="n"/>
      <c r="K395" s="343" t="n"/>
      <c r="L395" s="280" t="n"/>
      <c r="M395" s="280" t="n"/>
      <c r="N395" s="345" t="n"/>
      <c r="O395" s="280" t="n"/>
      <c r="P395" s="332">
        <f>IFERROR(VLOOKUP(TEXT(O395,"0"),CONDUCTORES!$A$3:$G$54,2,0),"")</f>
        <v/>
      </c>
      <c r="Q395" s="332">
        <f>IFERROR(VLOOKUP(TEXT(O395,"0"),CONDUCTORES!$A$3:$H$54,6,0),"")</f>
        <v/>
      </c>
      <c r="R395" s="280" t="n"/>
      <c r="S395" s="280" t="n"/>
      <c r="T395" s="280" t="n"/>
      <c r="U395" s="280" t="n"/>
      <c r="V395" s="280" t="n"/>
      <c r="W395" s="280" t="n"/>
      <c r="X395" s="280" t="n"/>
      <c r="Y395" s="280" t="n"/>
      <c r="Z395" s="350" t="n"/>
      <c r="AA395" s="198" t="n"/>
      <c r="AB395" s="198" t="n"/>
      <c r="AC395" s="198" t="n"/>
    </row>
    <row r="396" ht="15" customHeight="1" s="195">
      <c r="A396" s="280" t="n"/>
      <c r="B396" s="280" t="n"/>
      <c r="C396" s="280" t="n"/>
      <c r="D396" s="280" t="n"/>
      <c r="E396" s="280" t="n"/>
      <c r="F396" s="280" t="n"/>
      <c r="G396" s="280" t="n"/>
      <c r="H396" s="280" t="n"/>
      <c r="I396" s="332">
        <f>IFERROR(VLOOKUP(TEXT(H396,"0"),IPRESS!$A$3:$B$212,2,0),"")</f>
        <v/>
      </c>
      <c r="J396" s="280" t="n"/>
      <c r="K396" s="343" t="n"/>
      <c r="L396" s="280" t="n"/>
      <c r="M396" s="280" t="n"/>
      <c r="N396" s="345" t="n"/>
      <c r="O396" s="280" t="n"/>
      <c r="P396" s="332">
        <f>IFERROR(VLOOKUP(TEXT(O396,"0"),CONDUCTORES!$A$3:$G$54,2,0),"")</f>
        <v/>
      </c>
      <c r="Q396" s="332">
        <f>IFERROR(VLOOKUP(TEXT(O396,"0"),CONDUCTORES!$A$3:$H$54,6,0),"")</f>
        <v/>
      </c>
      <c r="R396" s="280" t="n"/>
      <c r="S396" s="280" t="n"/>
      <c r="T396" s="280" t="n"/>
      <c r="U396" s="280" t="n"/>
      <c r="V396" s="280" t="n"/>
      <c r="W396" s="280" t="n"/>
      <c r="X396" s="280" t="n"/>
      <c r="Y396" s="280" t="n"/>
      <c r="Z396" s="350" t="n"/>
      <c r="AA396" s="198" t="n"/>
      <c r="AB396" s="198" t="n"/>
      <c r="AC396" s="198" t="n"/>
    </row>
    <row r="397" ht="15" customHeight="1" s="195">
      <c r="A397" s="280" t="n"/>
      <c r="B397" s="280" t="n"/>
      <c r="C397" s="280" t="n"/>
      <c r="D397" s="280" t="n"/>
      <c r="E397" s="280" t="n"/>
      <c r="F397" s="280" t="n"/>
      <c r="G397" s="280" t="n"/>
      <c r="H397" s="280" t="n"/>
      <c r="I397" s="332">
        <f>IFERROR(VLOOKUP(TEXT(H397,"0"),IPRESS!$A$3:$B$212,2,0),"")</f>
        <v/>
      </c>
      <c r="J397" s="280" t="n"/>
      <c r="K397" s="343" t="n"/>
      <c r="L397" s="280" t="n"/>
      <c r="M397" s="280" t="n"/>
      <c r="N397" s="345" t="n"/>
      <c r="O397" s="280" t="n"/>
      <c r="P397" s="332">
        <f>IFERROR(VLOOKUP(TEXT(O397,"0"),CONDUCTORES!$A$3:$G$54,2,0),"")</f>
        <v/>
      </c>
      <c r="Q397" s="332">
        <f>IFERROR(VLOOKUP(TEXT(O397,"0"),CONDUCTORES!$A$3:$H$54,6,0),"")</f>
        <v/>
      </c>
      <c r="R397" s="280" t="n"/>
      <c r="S397" s="280" t="n"/>
      <c r="T397" s="280" t="n"/>
      <c r="U397" s="280" t="n"/>
      <c r="V397" s="280" t="n"/>
      <c r="W397" s="280" t="n"/>
      <c r="X397" s="280" t="n"/>
      <c r="Y397" s="280" t="n"/>
      <c r="Z397" s="350" t="n"/>
      <c r="AA397" s="198" t="n"/>
      <c r="AB397" s="198" t="n"/>
      <c r="AC397" s="198" t="n"/>
    </row>
    <row r="398" ht="15" customHeight="1" s="195">
      <c r="A398" s="280" t="n"/>
      <c r="B398" s="280" t="n"/>
      <c r="C398" s="280" t="n"/>
      <c r="D398" s="280" t="n"/>
      <c r="E398" s="280" t="n"/>
      <c r="F398" s="280" t="n"/>
      <c r="G398" s="280" t="n"/>
      <c r="H398" s="280" t="n"/>
      <c r="I398" s="332">
        <f>IFERROR(VLOOKUP(TEXT(H398,"0"),IPRESS!$A$3:$B$212,2,0),"")</f>
        <v/>
      </c>
      <c r="J398" s="280" t="n"/>
      <c r="K398" s="343" t="n"/>
      <c r="L398" s="280" t="n"/>
      <c r="M398" s="280" t="n"/>
      <c r="N398" s="345" t="n"/>
      <c r="O398" s="280" t="n"/>
      <c r="P398" s="332">
        <f>IFERROR(VLOOKUP(TEXT(O398,"0"),CONDUCTORES!$A$3:$G$54,2,0),"")</f>
        <v/>
      </c>
      <c r="Q398" s="332">
        <f>IFERROR(VLOOKUP(TEXT(O398,"0"),CONDUCTORES!$A$3:$H$54,6,0),"")</f>
        <v/>
      </c>
      <c r="R398" s="280" t="n"/>
      <c r="S398" s="280" t="n"/>
      <c r="T398" s="280" t="n"/>
      <c r="U398" s="280" t="n"/>
      <c r="V398" s="280" t="n"/>
      <c r="W398" s="280" t="n"/>
      <c r="X398" s="280" t="n"/>
      <c r="Y398" s="280" t="n"/>
      <c r="Z398" s="350" t="n"/>
      <c r="AA398" s="198" t="n"/>
      <c r="AB398" s="198" t="n"/>
      <c r="AC398" s="198" t="n"/>
    </row>
    <row r="399" ht="15" customHeight="1" s="195">
      <c r="A399" s="280" t="n"/>
      <c r="B399" s="280" t="n"/>
      <c r="C399" s="280" t="n"/>
      <c r="D399" s="280" t="n"/>
      <c r="E399" s="280" t="n"/>
      <c r="F399" s="280" t="n"/>
      <c r="G399" s="280" t="n"/>
      <c r="H399" s="280" t="n"/>
      <c r="I399" s="332">
        <f>IFERROR(VLOOKUP(TEXT(H399,"0"),IPRESS!$A$3:$B$212,2,0),"")</f>
        <v/>
      </c>
      <c r="J399" s="280" t="n"/>
      <c r="K399" s="343" t="n"/>
      <c r="L399" s="280" t="n"/>
      <c r="M399" s="280" t="n"/>
      <c r="N399" s="345" t="n"/>
      <c r="O399" s="280" t="n"/>
      <c r="P399" s="332">
        <f>IFERROR(VLOOKUP(TEXT(O399,"0"),CONDUCTORES!$A$3:$G$54,2,0),"")</f>
        <v/>
      </c>
      <c r="Q399" s="332">
        <f>IFERROR(VLOOKUP(TEXT(O399,"0"),CONDUCTORES!$A$3:$H$54,6,0),"")</f>
        <v/>
      </c>
      <c r="R399" s="280" t="n"/>
      <c r="S399" s="280" t="n"/>
      <c r="T399" s="280" t="n"/>
      <c r="U399" s="280" t="n"/>
      <c r="V399" s="280" t="n"/>
      <c r="W399" s="280" t="n"/>
      <c r="X399" s="280" t="n"/>
      <c r="Y399" s="280" t="n"/>
      <c r="Z399" s="350" t="n"/>
      <c r="AA399" s="198" t="n"/>
      <c r="AB399" s="198" t="n"/>
      <c r="AC399" s="198" t="n"/>
    </row>
    <row r="400" ht="15" customHeight="1" s="195">
      <c r="A400" s="280" t="n"/>
      <c r="B400" s="280" t="n"/>
      <c r="C400" s="280" t="n"/>
      <c r="D400" s="280" t="n"/>
      <c r="E400" s="280" t="n"/>
      <c r="F400" s="280" t="n"/>
      <c r="G400" s="280" t="n"/>
      <c r="H400" s="280" t="n"/>
      <c r="I400" s="332">
        <f>IFERROR(VLOOKUP(TEXT(H400,"0"),IPRESS!$A$3:$B$212,2,0),"")</f>
        <v/>
      </c>
      <c r="J400" s="280" t="n"/>
      <c r="K400" s="343" t="n"/>
      <c r="L400" s="280" t="n"/>
      <c r="M400" s="280" t="n"/>
      <c r="N400" s="345" t="n"/>
      <c r="O400" s="280" t="n"/>
      <c r="P400" s="332">
        <f>IFERROR(VLOOKUP(TEXT(O400,"0"),CONDUCTORES!$A$3:$G$54,2,0),"")</f>
        <v/>
      </c>
      <c r="Q400" s="332">
        <f>IFERROR(VLOOKUP(TEXT(O400,"0"),CONDUCTORES!$A$3:$H$54,6,0),"")</f>
        <v/>
      </c>
      <c r="R400" s="280" t="n"/>
      <c r="S400" s="280" t="n"/>
      <c r="T400" s="280" t="n"/>
      <c r="U400" s="280" t="n"/>
      <c r="V400" s="280" t="n"/>
      <c r="W400" s="280" t="n"/>
      <c r="X400" s="280" t="n"/>
      <c r="Y400" s="280" t="n"/>
      <c r="Z400" s="350" t="n"/>
      <c r="AA400" s="198" t="n"/>
      <c r="AB400" s="198" t="n"/>
      <c r="AC400" s="198" t="n"/>
    </row>
    <row r="401" ht="15" customHeight="1" s="195">
      <c r="A401" s="280" t="n"/>
      <c r="B401" s="280" t="n"/>
      <c r="C401" s="280" t="n"/>
      <c r="D401" s="280" t="n"/>
      <c r="E401" s="280" t="n"/>
      <c r="F401" s="280" t="n"/>
      <c r="G401" s="280" t="n"/>
      <c r="H401" s="280" t="n"/>
      <c r="I401" s="332">
        <f>IFERROR(VLOOKUP(TEXT(H401,"0"),IPRESS!$A$3:$B$212,2,0),"")</f>
        <v/>
      </c>
      <c r="J401" s="280" t="n"/>
      <c r="K401" s="343" t="n"/>
      <c r="L401" s="280" t="n"/>
      <c r="M401" s="280" t="n"/>
      <c r="N401" s="345" t="n"/>
      <c r="O401" s="280" t="n"/>
      <c r="P401" s="332">
        <f>IFERROR(VLOOKUP(TEXT(O401,"0"),CONDUCTORES!$A$3:$G$54,2,0),"")</f>
        <v/>
      </c>
      <c r="Q401" s="332">
        <f>IFERROR(VLOOKUP(TEXT(O401,"0"),CONDUCTORES!$A$3:$H$54,6,0),"")</f>
        <v/>
      </c>
      <c r="R401" s="280" t="n"/>
      <c r="S401" s="280" t="n"/>
      <c r="T401" s="280" t="n"/>
      <c r="U401" s="280" t="n"/>
      <c r="V401" s="280" t="n"/>
      <c r="W401" s="280" t="n"/>
      <c r="X401" s="280" t="n"/>
      <c r="Y401" s="280" t="n"/>
      <c r="Z401" s="350" t="n"/>
      <c r="AA401" s="198" t="n"/>
      <c r="AB401" s="198" t="n"/>
      <c r="AC401" s="198" t="n"/>
    </row>
    <row r="402" ht="15" customHeight="1" s="195">
      <c r="A402" s="280" t="n"/>
      <c r="B402" s="280" t="n"/>
      <c r="C402" s="280" t="n"/>
      <c r="D402" s="280" t="n"/>
      <c r="E402" s="280" t="n"/>
      <c r="F402" s="280" t="n"/>
      <c r="G402" s="280" t="n"/>
      <c r="H402" s="280" t="n"/>
      <c r="I402" s="332">
        <f>IFERROR(VLOOKUP(TEXT(H402,"0"),IPRESS!$A$3:$B$212,2,0),"")</f>
        <v/>
      </c>
      <c r="J402" s="280" t="n"/>
      <c r="K402" s="343" t="n"/>
      <c r="L402" s="280" t="n"/>
      <c r="M402" s="280" t="n"/>
      <c r="N402" s="345" t="n"/>
      <c r="O402" s="280" t="n"/>
      <c r="P402" s="332">
        <f>IFERROR(VLOOKUP(TEXT(O402,"0"),CONDUCTORES!$A$3:$G$54,2,0),"")</f>
        <v/>
      </c>
      <c r="Q402" s="332">
        <f>IFERROR(VLOOKUP(TEXT(O402,"0"),CONDUCTORES!$A$3:$H$54,6,0),"")</f>
        <v/>
      </c>
      <c r="R402" s="280" t="n"/>
      <c r="S402" s="280" t="n"/>
      <c r="T402" s="280" t="n"/>
      <c r="U402" s="280" t="n"/>
      <c r="V402" s="280" t="n"/>
      <c r="W402" s="280" t="n"/>
      <c r="X402" s="280" t="n"/>
      <c r="Y402" s="280" t="n"/>
      <c r="Z402" s="350" t="n"/>
      <c r="AA402" s="198" t="n"/>
      <c r="AB402" s="198" t="n"/>
      <c r="AC402" s="198" t="n"/>
    </row>
    <row r="403" ht="15" customHeight="1" s="195">
      <c r="A403" s="280" t="n"/>
      <c r="B403" s="280" t="n"/>
      <c r="C403" s="280" t="n"/>
      <c r="D403" s="280" t="n"/>
      <c r="E403" s="280" t="n"/>
      <c r="F403" s="280" t="n"/>
      <c r="G403" s="280" t="n"/>
      <c r="H403" s="280" t="n"/>
      <c r="I403" s="332">
        <f>IFERROR(VLOOKUP(TEXT(H403,"0"),IPRESS!$A$3:$B$212,2,0),"")</f>
        <v/>
      </c>
      <c r="J403" s="280" t="n"/>
      <c r="K403" s="343" t="n"/>
      <c r="L403" s="280" t="n"/>
      <c r="M403" s="280" t="n"/>
      <c r="N403" s="345" t="n"/>
      <c r="O403" s="280" t="n"/>
      <c r="P403" s="332">
        <f>IFERROR(VLOOKUP(TEXT(O403,"0"),CONDUCTORES!$A$3:$G$54,2,0),"")</f>
        <v/>
      </c>
      <c r="Q403" s="332">
        <f>IFERROR(VLOOKUP(TEXT(O403,"0"),CONDUCTORES!$A$3:$H$54,6,0),"")</f>
        <v/>
      </c>
      <c r="R403" s="280" t="n"/>
      <c r="S403" s="280" t="n"/>
      <c r="T403" s="280" t="n"/>
      <c r="U403" s="280" t="n"/>
      <c r="V403" s="280" t="n"/>
      <c r="W403" s="280" t="n"/>
      <c r="X403" s="280" t="n"/>
      <c r="Y403" s="280" t="n"/>
      <c r="Z403" s="350" t="n"/>
      <c r="AA403" s="198" t="n"/>
      <c r="AB403" s="198" t="n"/>
      <c r="AC403" s="198" t="n"/>
    </row>
    <row r="404" ht="15" customHeight="1" s="195">
      <c r="A404" s="280" t="n"/>
      <c r="B404" s="280" t="n"/>
      <c r="C404" s="280" t="n"/>
      <c r="D404" s="280" t="n"/>
      <c r="E404" s="280" t="n"/>
      <c r="F404" s="280" t="n"/>
      <c r="G404" s="280" t="n"/>
      <c r="H404" s="280" t="n"/>
      <c r="I404" s="332">
        <f>IFERROR(VLOOKUP(TEXT(H404,"0"),IPRESS!$A$3:$B$212,2,0),"")</f>
        <v/>
      </c>
      <c r="J404" s="280" t="n"/>
      <c r="K404" s="343" t="n"/>
      <c r="L404" s="280" t="n"/>
      <c r="M404" s="280" t="n"/>
      <c r="N404" s="345" t="n"/>
      <c r="O404" s="280" t="n"/>
      <c r="P404" s="332">
        <f>IFERROR(VLOOKUP(TEXT(O404,"0"),CONDUCTORES!$A$3:$G$54,2,0),"")</f>
        <v/>
      </c>
      <c r="Q404" s="332">
        <f>IFERROR(VLOOKUP(TEXT(O404,"0"),CONDUCTORES!$A$3:$H$54,6,0),"")</f>
        <v/>
      </c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350" t="n"/>
      <c r="AA404" s="198" t="n"/>
      <c r="AB404" s="198" t="n"/>
      <c r="AC404" s="198" t="n"/>
    </row>
    <row r="405" ht="15" customHeight="1" s="195">
      <c r="A405" s="280" t="n"/>
      <c r="B405" s="280" t="n"/>
      <c r="C405" s="280" t="n"/>
      <c r="D405" s="280" t="n"/>
      <c r="E405" s="280" t="n"/>
      <c r="F405" s="280" t="n"/>
      <c r="G405" s="280" t="n"/>
      <c r="H405" s="280" t="n"/>
      <c r="I405" s="332">
        <f>IFERROR(VLOOKUP(TEXT(H405,"0"),IPRESS!$A$3:$B$212,2,0),"")</f>
        <v/>
      </c>
      <c r="J405" s="280" t="n"/>
      <c r="K405" s="343" t="n"/>
      <c r="L405" s="280" t="n"/>
      <c r="M405" s="280" t="n"/>
      <c r="N405" s="345" t="n"/>
      <c r="O405" s="280" t="n"/>
      <c r="P405" s="332">
        <f>IFERROR(VLOOKUP(TEXT(O405,"0"),CONDUCTORES!$A$3:$G$54,2,0),"")</f>
        <v/>
      </c>
      <c r="Q405" s="332">
        <f>IFERROR(VLOOKUP(TEXT(O405,"0"),CONDUCTORES!$A$3:$H$54,6,0),"")</f>
        <v/>
      </c>
      <c r="R405" s="280" t="n"/>
      <c r="S405" s="280" t="n"/>
      <c r="T405" s="280" t="n"/>
      <c r="U405" s="280" t="n"/>
      <c r="V405" s="280" t="n"/>
      <c r="W405" s="280" t="n"/>
      <c r="X405" s="280" t="n"/>
      <c r="Y405" s="280" t="n"/>
      <c r="Z405" s="350" t="n"/>
      <c r="AA405" s="198" t="n"/>
      <c r="AB405" s="198" t="n"/>
      <c r="AC405" s="198" t="n"/>
    </row>
    <row r="406" ht="15" customHeight="1" s="195">
      <c r="A406" s="280" t="n"/>
      <c r="B406" s="280" t="n"/>
      <c r="C406" s="280" t="n"/>
      <c r="D406" s="280" t="n"/>
      <c r="E406" s="280" t="n"/>
      <c r="F406" s="280" t="n"/>
      <c r="G406" s="280" t="n"/>
      <c r="H406" s="280" t="n"/>
      <c r="I406" s="332">
        <f>IFERROR(VLOOKUP(TEXT(H406,"0"),IPRESS!$A$3:$B$212,2,0),"")</f>
        <v/>
      </c>
      <c r="J406" s="280" t="n"/>
      <c r="K406" s="343" t="n"/>
      <c r="L406" s="280" t="n"/>
      <c r="M406" s="280" t="n"/>
      <c r="N406" s="345" t="n"/>
      <c r="O406" s="280" t="n"/>
      <c r="P406" s="332">
        <f>IFERROR(VLOOKUP(TEXT(O406,"0"),CONDUCTORES!$A$3:$G$54,2,0),"")</f>
        <v/>
      </c>
      <c r="Q406" s="332">
        <f>IFERROR(VLOOKUP(TEXT(O406,"0"),CONDUCTORES!$A$3:$H$54,6,0),"")</f>
        <v/>
      </c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350" t="n"/>
      <c r="AA406" s="198" t="n"/>
      <c r="AB406" s="198" t="n"/>
      <c r="AC406" s="198" t="n"/>
    </row>
    <row r="407" ht="15" customHeight="1" s="195">
      <c r="A407" s="280" t="n"/>
      <c r="B407" s="280" t="n"/>
      <c r="C407" s="280" t="n"/>
      <c r="D407" s="280" t="n"/>
      <c r="E407" s="280" t="n"/>
      <c r="F407" s="280" t="n"/>
      <c r="G407" s="280" t="n"/>
      <c r="H407" s="280" t="n"/>
      <c r="I407" s="332">
        <f>IFERROR(VLOOKUP(TEXT(H407,"0"),IPRESS!$A$3:$B$212,2,0),"")</f>
        <v/>
      </c>
      <c r="J407" s="280" t="n"/>
      <c r="K407" s="343" t="n"/>
      <c r="L407" s="280" t="n"/>
      <c r="M407" s="280" t="n"/>
      <c r="N407" s="345" t="n"/>
      <c r="O407" s="280" t="n"/>
      <c r="P407" s="332">
        <f>IFERROR(VLOOKUP(TEXT(O407,"0"),CONDUCTORES!$A$3:$G$54,2,0),"")</f>
        <v/>
      </c>
      <c r="Q407" s="332">
        <f>IFERROR(VLOOKUP(TEXT(O407,"0"),CONDUCTORES!$A$3:$H$54,6,0),"")</f>
        <v/>
      </c>
      <c r="R407" s="280" t="n"/>
      <c r="S407" s="280" t="n"/>
      <c r="T407" s="280" t="n"/>
      <c r="U407" s="280" t="n"/>
      <c r="V407" s="280" t="n"/>
      <c r="W407" s="280" t="n"/>
      <c r="X407" s="280" t="n"/>
      <c r="Y407" s="280" t="n"/>
      <c r="Z407" s="350" t="n"/>
      <c r="AA407" s="198" t="n"/>
      <c r="AB407" s="198" t="n"/>
      <c r="AC407" s="198" t="n"/>
    </row>
    <row r="408" ht="15" customHeight="1" s="195">
      <c r="A408" s="280" t="n"/>
      <c r="B408" s="280" t="n"/>
      <c r="C408" s="280" t="n"/>
      <c r="D408" s="280" t="n"/>
      <c r="E408" s="280" t="n"/>
      <c r="F408" s="280" t="n"/>
      <c r="G408" s="280" t="n"/>
      <c r="H408" s="280" t="n"/>
      <c r="I408" s="332">
        <f>IFERROR(VLOOKUP(TEXT(H408,"0"),IPRESS!$A$3:$B$212,2,0),"")</f>
        <v/>
      </c>
      <c r="J408" s="280" t="n"/>
      <c r="K408" s="343" t="n"/>
      <c r="L408" s="280" t="n"/>
      <c r="M408" s="280" t="n"/>
      <c r="N408" s="345" t="n"/>
      <c r="O408" s="280" t="n"/>
      <c r="P408" s="332">
        <f>IFERROR(VLOOKUP(TEXT(O408,"0"),CONDUCTORES!$A$3:$G$54,2,0),"")</f>
        <v/>
      </c>
      <c r="Q408" s="332">
        <f>IFERROR(VLOOKUP(TEXT(O408,"0"),CONDUCTORES!$A$3:$H$54,6,0),"")</f>
        <v/>
      </c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350" t="n"/>
      <c r="AA408" s="198" t="n"/>
      <c r="AB408" s="198" t="n"/>
      <c r="AC408" s="198" t="n"/>
    </row>
    <row r="409" ht="15" customHeight="1" s="195">
      <c r="A409" s="280" t="n"/>
      <c r="B409" s="280" t="n"/>
      <c r="C409" s="280" t="n"/>
      <c r="D409" s="280" t="n"/>
      <c r="E409" s="280" t="n"/>
      <c r="F409" s="280" t="n"/>
      <c r="G409" s="280" t="n"/>
      <c r="H409" s="280" t="n"/>
      <c r="I409" s="332">
        <f>IFERROR(VLOOKUP(TEXT(H409,"0"),IPRESS!$A$3:$B$212,2,0),"")</f>
        <v/>
      </c>
      <c r="J409" s="280" t="n"/>
      <c r="K409" s="343" t="n"/>
      <c r="L409" s="280" t="n"/>
      <c r="M409" s="280" t="n"/>
      <c r="N409" s="345" t="n"/>
      <c r="O409" s="280" t="n"/>
      <c r="P409" s="332">
        <f>IFERROR(VLOOKUP(TEXT(O409,"0"),CONDUCTORES!$A$3:$G$54,2,0),"")</f>
        <v/>
      </c>
      <c r="Q409" s="332">
        <f>IFERROR(VLOOKUP(TEXT(O409,"0"),CONDUCTORES!$A$3:$H$54,6,0),"")</f>
        <v/>
      </c>
      <c r="R409" s="280" t="n"/>
      <c r="S409" s="280" t="n"/>
      <c r="T409" s="280" t="n"/>
      <c r="U409" s="280" t="n"/>
      <c r="V409" s="280" t="n"/>
      <c r="W409" s="280" t="n"/>
      <c r="X409" s="280" t="n"/>
      <c r="Y409" s="280" t="n"/>
      <c r="Z409" s="350" t="n"/>
      <c r="AA409" s="198" t="n"/>
      <c r="AB409" s="198" t="n"/>
      <c r="AC409" s="198" t="n"/>
    </row>
    <row r="410" ht="15" customHeight="1" s="195">
      <c r="A410" s="280" t="n"/>
      <c r="B410" s="280" t="n"/>
      <c r="C410" s="280" t="n"/>
      <c r="D410" s="280" t="n"/>
      <c r="E410" s="280" t="n"/>
      <c r="F410" s="280" t="n"/>
      <c r="G410" s="280" t="n"/>
      <c r="H410" s="280" t="n"/>
      <c r="I410" s="332">
        <f>IFERROR(VLOOKUP(TEXT(H410,"0"),IPRESS!$A$3:$B$212,2,0),"")</f>
        <v/>
      </c>
      <c r="J410" s="280" t="n"/>
      <c r="K410" s="343" t="n"/>
      <c r="L410" s="280" t="n"/>
      <c r="M410" s="280" t="n"/>
      <c r="N410" s="345" t="n"/>
      <c r="O410" s="280" t="n"/>
      <c r="P410" s="332">
        <f>IFERROR(VLOOKUP(TEXT(O410,"0"),CONDUCTORES!$A$3:$G$54,2,0),"")</f>
        <v/>
      </c>
      <c r="Q410" s="332">
        <f>IFERROR(VLOOKUP(TEXT(O410,"0"),CONDUCTORES!$A$3:$H$54,6,0),"")</f>
        <v/>
      </c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350" t="n"/>
      <c r="AA410" s="198" t="n"/>
      <c r="AB410" s="198" t="n"/>
      <c r="AC410" s="198" t="n"/>
    </row>
    <row r="411" ht="15" customHeight="1" s="195">
      <c r="A411" s="280" t="n"/>
      <c r="B411" s="280" t="n"/>
      <c r="C411" s="280" t="n"/>
      <c r="D411" s="280" t="n"/>
      <c r="E411" s="280" t="n"/>
      <c r="F411" s="280" t="n"/>
      <c r="G411" s="280" t="n"/>
      <c r="H411" s="280" t="n"/>
      <c r="I411" s="332">
        <f>IFERROR(VLOOKUP(TEXT(H411,"0"),IPRESS!$A$3:$B$212,2,0),"")</f>
        <v/>
      </c>
      <c r="J411" s="280" t="n"/>
      <c r="K411" s="343" t="n"/>
      <c r="L411" s="280" t="n"/>
      <c r="M411" s="280" t="n"/>
      <c r="N411" s="345" t="n"/>
      <c r="O411" s="280" t="n"/>
      <c r="P411" s="332">
        <f>IFERROR(VLOOKUP(TEXT(O411,"0"),CONDUCTORES!$A$3:$G$54,2,0),"")</f>
        <v/>
      </c>
      <c r="Q411" s="332">
        <f>IFERROR(VLOOKUP(TEXT(O411,"0"),CONDUCTORES!$A$3:$H$54,6,0),"")</f>
        <v/>
      </c>
      <c r="R411" s="280" t="n"/>
      <c r="S411" s="280" t="n"/>
      <c r="T411" s="280" t="n"/>
      <c r="U411" s="280" t="n"/>
      <c r="V411" s="280" t="n"/>
      <c r="W411" s="280" t="n"/>
      <c r="X411" s="280" t="n"/>
      <c r="Y411" s="280" t="n"/>
      <c r="Z411" s="350" t="n"/>
      <c r="AA411" s="198" t="n"/>
      <c r="AB411" s="198" t="n"/>
      <c r="AC411" s="198" t="n"/>
    </row>
    <row r="412" ht="15" customHeight="1" s="195">
      <c r="A412" s="280" t="n"/>
      <c r="B412" s="280" t="n"/>
      <c r="C412" s="280" t="n"/>
      <c r="D412" s="280" t="n"/>
      <c r="E412" s="280" t="n"/>
      <c r="F412" s="280" t="n"/>
      <c r="G412" s="280" t="n"/>
      <c r="H412" s="280" t="n"/>
      <c r="I412" s="332">
        <f>IFERROR(VLOOKUP(TEXT(H412,"0"),IPRESS!$A$3:$B$212,2,0),"")</f>
        <v/>
      </c>
      <c r="J412" s="280" t="n"/>
      <c r="K412" s="343" t="n"/>
      <c r="L412" s="280" t="n"/>
      <c r="M412" s="280" t="n"/>
      <c r="N412" s="345" t="n"/>
      <c r="O412" s="280" t="n"/>
      <c r="P412" s="332">
        <f>IFERROR(VLOOKUP(TEXT(O412,"0"),CONDUCTORES!$A$3:$G$54,2,0),"")</f>
        <v/>
      </c>
      <c r="Q412" s="332">
        <f>IFERROR(VLOOKUP(TEXT(O412,"0"),CONDUCTORES!$A$3:$H$54,6,0),"")</f>
        <v/>
      </c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350" t="n"/>
      <c r="AA412" s="198" t="n"/>
      <c r="AB412" s="198" t="n"/>
      <c r="AC412" s="198" t="n"/>
    </row>
    <row r="413" ht="15" customHeight="1" s="195">
      <c r="A413" s="280" t="n"/>
      <c r="B413" s="280" t="n"/>
      <c r="C413" s="280" t="n"/>
      <c r="D413" s="280" t="n"/>
      <c r="E413" s="280" t="n"/>
      <c r="F413" s="280" t="n"/>
      <c r="G413" s="280" t="n"/>
      <c r="H413" s="280" t="n"/>
      <c r="I413" s="332">
        <f>IFERROR(VLOOKUP(TEXT(H413,"0"),IPRESS!$A$3:$B$212,2,0),"")</f>
        <v/>
      </c>
      <c r="J413" s="280" t="n"/>
      <c r="K413" s="343" t="n"/>
      <c r="L413" s="280" t="n"/>
      <c r="M413" s="280" t="n"/>
      <c r="N413" s="345" t="n"/>
      <c r="O413" s="280" t="n"/>
      <c r="P413" s="332">
        <f>IFERROR(VLOOKUP(TEXT(O413,"0"),CONDUCTORES!$A$3:$G$54,2,0),"")</f>
        <v/>
      </c>
      <c r="Q413" s="332">
        <f>IFERROR(VLOOKUP(TEXT(O413,"0"),CONDUCTORES!$A$3:$H$54,6,0),"")</f>
        <v/>
      </c>
      <c r="R413" s="280" t="n"/>
      <c r="S413" s="280" t="n"/>
      <c r="T413" s="280" t="n"/>
      <c r="U413" s="280" t="n"/>
      <c r="V413" s="280" t="n"/>
      <c r="W413" s="280" t="n"/>
      <c r="X413" s="280" t="n"/>
      <c r="Y413" s="280" t="n"/>
      <c r="Z413" s="350" t="n"/>
      <c r="AA413" s="198" t="n"/>
      <c r="AB413" s="198" t="n"/>
      <c r="AC413" s="198" t="n"/>
    </row>
    <row r="414" ht="15" customHeight="1" s="195">
      <c r="A414" s="280" t="n"/>
      <c r="B414" s="280" t="n"/>
      <c r="C414" s="280" t="n"/>
      <c r="D414" s="280" t="n"/>
      <c r="E414" s="280" t="n"/>
      <c r="F414" s="280" t="n"/>
      <c r="G414" s="280" t="n"/>
      <c r="H414" s="280" t="n"/>
      <c r="I414" s="332">
        <f>IFERROR(VLOOKUP(TEXT(H414,"0"),IPRESS!$A$3:$B$212,2,0),"")</f>
        <v/>
      </c>
      <c r="J414" s="280" t="n"/>
      <c r="K414" s="343" t="n"/>
      <c r="L414" s="280" t="n"/>
      <c r="M414" s="280" t="n"/>
      <c r="N414" s="345" t="n"/>
      <c r="O414" s="280" t="n"/>
      <c r="P414" s="332">
        <f>IFERROR(VLOOKUP(TEXT(O414,"0"),CONDUCTORES!$A$3:$G$54,2,0),"")</f>
        <v/>
      </c>
      <c r="Q414" s="332">
        <f>IFERROR(VLOOKUP(TEXT(O414,"0"),CONDUCTORES!$A$3:$H$54,6,0),"")</f>
        <v/>
      </c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350" t="n"/>
      <c r="AA414" s="198" t="n"/>
      <c r="AB414" s="198" t="n"/>
      <c r="AC414" s="198" t="n"/>
    </row>
    <row r="415" ht="15" customHeight="1" s="195">
      <c r="A415" s="280" t="n"/>
      <c r="B415" s="280" t="n"/>
      <c r="C415" s="280" t="n"/>
      <c r="D415" s="280" t="n"/>
      <c r="E415" s="280" t="n"/>
      <c r="F415" s="280" t="n"/>
      <c r="G415" s="280" t="n"/>
      <c r="H415" s="280" t="n"/>
      <c r="I415" s="332">
        <f>IFERROR(VLOOKUP(TEXT(H415,"0"),IPRESS!$A$3:$B$212,2,0),"")</f>
        <v/>
      </c>
      <c r="J415" s="280" t="n"/>
      <c r="K415" s="343" t="n"/>
      <c r="L415" s="280" t="n"/>
      <c r="M415" s="280" t="n"/>
      <c r="N415" s="345" t="n"/>
      <c r="O415" s="280" t="n"/>
      <c r="P415" s="332">
        <f>IFERROR(VLOOKUP(TEXT(O415,"0"),CONDUCTORES!$A$3:$G$54,2,0),"")</f>
        <v/>
      </c>
      <c r="Q415" s="332">
        <f>IFERROR(VLOOKUP(TEXT(O415,"0"),CONDUCTORES!$A$3:$H$54,6,0),"")</f>
        <v/>
      </c>
      <c r="R415" s="280" t="n"/>
      <c r="S415" s="280" t="n"/>
      <c r="T415" s="280" t="n"/>
      <c r="U415" s="280" t="n"/>
      <c r="V415" s="280" t="n"/>
      <c r="W415" s="280" t="n"/>
      <c r="X415" s="280" t="n"/>
      <c r="Y415" s="280" t="n"/>
      <c r="Z415" s="350" t="n"/>
      <c r="AA415" s="198" t="n"/>
      <c r="AB415" s="198" t="n"/>
      <c r="AC415" s="198" t="n"/>
    </row>
    <row r="416" ht="15" customHeight="1" s="195">
      <c r="A416" s="280" t="n"/>
      <c r="B416" s="280" t="n"/>
      <c r="C416" s="280" t="n"/>
      <c r="D416" s="280" t="n"/>
      <c r="E416" s="280" t="n"/>
      <c r="F416" s="280" t="n"/>
      <c r="G416" s="280" t="n"/>
      <c r="H416" s="280" t="n"/>
      <c r="I416" s="332">
        <f>IFERROR(VLOOKUP(TEXT(H416,"0"),IPRESS!$A$3:$B$212,2,0),"")</f>
        <v/>
      </c>
      <c r="J416" s="280" t="n"/>
      <c r="K416" s="343" t="n"/>
      <c r="L416" s="280" t="n"/>
      <c r="M416" s="280" t="n"/>
      <c r="N416" s="345" t="n"/>
      <c r="O416" s="280" t="n"/>
      <c r="P416" s="332">
        <f>IFERROR(VLOOKUP(TEXT(O416,"0"),CONDUCTORES!$A$3:$G$54,2,0),"")</f>
        <v/>
      </c>
      <c r="Q416" s="332">
        <f>IFERROR(VLOOKUP(TEXT(O416,"0"),CONDUCTORES!$A$3:$H$54,6,0),"")</f>
        <v/>
      </c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350" t="n"/>
      <c r="AA416" s="198" t="n"/>
      <c r="AB416" s="198" t="n"/>
      <c r="AC416" s="198" t="n"/>
    </row>
    <row r="417" ht="15" customHeight="1" s="195">
      <c r="A417" s="280" t="n"/>
      <c r="B417" s="280" t="n"/>
      <c r="C417" s="280" t="n"/>
      <c r="D417" s="280" t="n"/>
      <c r="E417" s="280" t="n"/>
      <c r="F417" s="280" t="n"/>
      <c r="G417" s="280" t="n"/>
      <c r="H417" s="280" t="n"/>
      <c r="I417" s="332">
        <f>IFERROR(VLOOKUP(TEXT(H417,"0"),IPRESS!$A$3:$B$212,2,0),"")</f>
        <v/>
      </c>
      <c r="J417" s="280" t="n"/>
      <c r="K417" s="343" t="n"/>
      <c r="L417" s="280" t="n"/>
      <c r="M417" s="280" t="n"/>
      <c r="N417" s="345" t="n"/>
      <c r="O417" s="280" t="n"/>
      <c r="P417" s="332">
        <f>IFERROR(VLOOKUP(TEXT(O417,"0"),CONDUCTORES!$A$3:$G$54,2,0),"")</f>
        <v/>
      </c>
      <c r="Q417" s="332">
        <f>IFERROR(VLOOKUP(TEXT(O417,"0"),CONDUCTORES!$A$3:$H$54,6,0),"")</f>
        <v/>
      </c>
      <c r="R417" s="280" t="n"/>
      <c r="S417" s="280" t="n"/>
      <c r="T417" s="280" t="n"/>
      <c r="U417" s="280" t="n"/>
      <c r="V417" s="280" t="n"/>
      <c r="W417" s="280" t="n"/>
      <c r="X417" s="280" t="n"/>
      <c r="Y417" s="280" t="n"/>
      <c r="Z417" s="350" t="n"/>
      <c r="AA417" s="198" t="n"/>
      <c r="AB417" s="198" t="n"/>
      <c r="AC417" s="198" t="n"/>
    </row>
    <row r="418" ht="15" customHeight="1" s="195">
      <c r="A418" s="280" t="n"/>
      <c r="B418" s="280" t="n"/>
      <c r="C418" s="280" t="n"/>
      <c r="D418" s="280" t="n"/>
      <c r="E418" s="280" t="n"/>
      <c r="F418" s="280" t="n"/>
      <c r="G418" s="280" t="n"/>
      <c r="H418" s="280" t="n"/>
      <c r="I418" s="332">
        <f>IFERROR(VLOOKUP(TEXT(H418,"0"),IPRESS!$A$3:$B$212,2,0),"")</f>
        <v/>
      </c>
      <c r="J418" s="280" t="n"/>
      <c r="K418" s="343" t="n"/>
      <c r="L418" s="280" t="n"/>
      <c r="M418" s="280" t="n"/>
      <c r="N418" s="345" t="n"/>
      <c r="O418" s="280" t="n"/>
      <c r="P418" s="332">
        <f>IFERROR(VLOOKUP(TEXT(O418,"0"),CONDUCTORES!$A$3:$G$54,2,0),"")</f>
        <v/>
      </c>
      <c r="Q418" s="332">
        <f>IFERROR(VLOOKUP(TEXT(O418,"0"),CONDUCTORES!$A$3:$H$54,6,0),"")</f>
        <v/>
      </c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350" t="n"/>
      <c r="AA418" s="198" t="n"/>
      <c r="AB418" s="198" t="n"/>
      <c r="AC418" s="198" t="n"/>
    </row>
    <row r="419" ht="15" customHeight="1" s="195">
      <c r="A419" s="280" t="n"/>
      <c r="B419" s="280" t="n"/>
      <c r="C419" s="280" t="n"/>
      <c r="D419" s="280" t="n"/>
      <c r="E419" s="280" t="n"/>
      <c r="F419" s="280" t="n"/>
      <c r="G419" s="280" t="n"/>
      <c r="H419" s="280" t="n"/>
      <c r="I419" s="332">
        <f>IFERROR(VLOOKUP(TEXT(H419,"0"),IPRESS!$A$3:$B$212,2,0),"")</f>
        <v/>
      </c>
      <c r="J419" s="280" t="n"/>
      <c r="K419" s="343" t="n"/>
      <c r="L419" s="280" t="n"/>
      <c r="M419" s="280" t="n"/>
      <c r="N419" s="345" t="n"/>
      <c r="O419" s="280" t="n"/>
      <c r="P419" s="332">
        <f>IFERROR(VLOOKUP(TEXT(O419,"0"),CONDUCTORES!$A$3:$G$54,2,0),"")</f>
        <v/>
      </c>
      <c r="Q419" s="332">
        <f>IFERROR(VLOOKUP(TEXT(O419,"0"),CONDUCTORES!$A$3:$H$54,6,0),"")</f>
        <v/>
      </c>
      <c r="R419" s="280" t="n"/>
      <c r="S419" s="280" t="n"/>
      <c r="T419" s="280" t="n"/>
      <c r="U419" s="280" t="n"/>
      <c r="V419" s="280" t="n"/>
      <c r="W419" s="280" t="n"/>
      <c r="X419" s="280" t="n"/>
      <c r="Y419" s="280" t="n"/>
      <c r="Z419" s="350" t="n"/>
      <c r="AA419" s="198" t="n"/>
      <c r="AB419" s="198" t="n"/>
      <c r="AC419" s="198" t="n"/>
    </row>
    <row r="420" ht="15" customHeight="1" s="195">
      <c r="A420" s="280" t="n"/>
      <c r="B420" s="280" t="n"/>
      <c r="C420" s="280" t="n"/>
      <c r="D420" s="280" t="n"/>
      <c r="E420" s="280" t="n"/>
      <c r="F420" s="280" t="n"/>
      <c r="G420" s="280" t="n"/>
      <c r="H420" s="280" t="n"/>
      <c r="I420" s="332">
        <f>IFERROR(VLOOKUP(TEXT(H420,"0"),IPRESS!$A$3:$B$212,2,0),"")</f>
        <v/>
      </c>
      <c r="J420" s="280" t="n"/>
      <c r="K420" s="343" t="n"/>
      <c r="L420" s="280" t="n"/>
      <c r="M420" s="280" t="n"/>
      <c r="N420" s="345" t="n"/>
      <c r="O420" s="280" t="n"/>
      <c r="P420" s="332">
        <f>IFERROR(VLOOKUP(TEXT(O420,"0"),CONDUCTORES!$A$3:$G$54,2,0),"")</f>
        <v/>
      </c>
      <c r="Q420" s="332">
        <f>IFERROR(VLOOKUP(TEXT(O420,"0"),CONDUCTORES!$A$3:$H$54,6,0),"")</f>
        <v/>
      </c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350" t="n"/>
      <c r="AA420" s="198" t="n"/>
      <c r="AB420" s="198" t="n"/>
      <c r="AC420" s="198" t="n"/>
    </row>
    <row r="421" ht="15" customHeight="1" s="195">
      <c r="A421" s="280" t="n"/>
      <c r="B421" s="280" t="n"/>
      <c r="C421" s="280" t="n"/>
      <c r="D421" s="280" t="n"/>
      <c r="E421" s="280" t="n"/>
      <c r="F421" s="280" t="n"/>
      <c r="G421" s="280" t="n"/>
      <c r="H421" s="280" t="n"/>
      <c r="I421" s="332">
        <f>IFERROR(VLOOKUP(TEXT(H421,"0"),IPRESS!$A$3:$B$212,2,0),"")</f>
        <v/>
      </c>
      <c r="J421" s="280" t="n"/>
      <c r="K421" s="343" t="n"/>
      <c r="L421" s="280" t="n"/>
      <c r="M421" s="280" t="n"/>
      <c r="N421" s="345" t="n"/>
      <c r="O421" s="280" t="n"/>
      <c r="P421" s="332">
        <f>IFERROR(VLOOKUP(TEXT(O421,"0"),CONDUCTORES!$A$3:$G$54,2,0),"")</f>
        <v/>
      </c>
      <c r="Q421" s="332">
        <f>IFERROR(VLOOKUP(TEXT(O421,"0"),CONDUCTORES!$A$3:$H$54,6,0),"")</f>
        <v/>
      </c>
      <c r="R421" s="280" t="n"/>
      <c r="S421" s="280" t="n"/>
      <c r="T421" s="280" t="n"/>
      <c r="U421" s="280" t="n"/>
      <c r="V421" s="280" t="n"/>
      <c r="W421" s="280" t="n"/>
      <c r="X421" s="280" t="n"/>
      <c r="Y421" s="280" t="n"/>
      <c r="Z421" s="350" t="n"/>
      <c r="AA421" s="198" t="n"/>
      <c r="AB421" s="198" t="n"/>
      <c r="AC421" s="198" t="n"/>
    </row>
    <row r="422" ht="15" customHeight="1" s="195">
      <c r="A422" s="280" t="n"/>
      <c r="B422" s="280" t="n"/>
      <c r="C422" s="280" t="n"/>
      <c r="D422" s="280" t="n"/>
      <c r="E422" s="280" t="n"/>
      <c r="F422" s="280" t="n"/>
      <c r="G422" s="280" t="n"/>
      <c r="H422" s="280" t="n"/>
      <c r="I422" s="332">
        <f>IFERROR(VLOOKUP(TEXT(H422,"0"),IPRESS!$A$3:$B$212,2,0),"")</f>
        <v/>
      </c>
      <c r="J422" s="280" t="n"/>
      <c r="K422" s="343" t="n"/>
      <c r="L422" s="280" t="n"/>
      <c r="M422" s="280" t="n"/>
      <c r="N422" s="345" t="n"/>
      <c r="O422" s="280" t="n"/>
      <c r="P422" s="332">
        <f>IFERROR(VLOOKUP(TEXT(O422,"0"),CONDUCTORES!$A$3:$G$54,2,0),"")</f>
        <v/>
      </c>
      <c r="Q422" s="332">
        <f>IFERROR(VLOOKUP(TEXT(O422,"0"),CONDUCTORES!$A$3:$H$54,6,0),"")</f>
        <v/>
      </c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350" t="n"/>
      <c r="AA422" s="198" t="n"/>
      <c r="AB422" s="198" t="n"/>
      <c r="AC422" s="198" t="n"/>
    </row>
    <row r="423" ht="15" customHeight="1" s="195">
      <c r="A423" s="280" t="n"/>
      <c r="B423" s="280" t="n"/>
      <c r="C423" s="280" t="n"/>
      <c r="D423" s="280" t="n"/>
      <c r="E423" s="280" t="n"/>
      <c r="F423" s="280" t="n"/>
      <c r="G423" s="280" t="n"/>
      <c r="H423" s="280" t="n"/>
      <c r="I423" s="332">
        <f>IFERROR(VLOOKUP(TEXT(H423,"0"),IPRESS!$A$3:$B$212,2,0),"")</f>
        <v/>
      </c>
      <c r="J423" s="280" t="n"/>
      <c r="K423" s="343" t="n"/>
      <c r="L423" s="280" t="n"/>
      <c r="M423" s="280" t="n"/>
      <c r="N423" s="345" t="n"/>
      <c r="O423" s="280" t="n"/>
      <c r="P423" s="332">
        <f>IFERROR(VLOOKUP(TEXT(O423,"0"),CONDUCTORES!$A$3:$G$54,2,0),"")</f>
        <v/>
      </c>
      <c r="Q423" s="332">
        <f>IFERROR(VLOOKUP(TEXT(O423,"0"),CONDUCTORES!$A$3:$H$54,6,0),"")</f>
        <v/>
      </c>
      <c r="R423" s="280" t="n"/>
      <c r="S423" s="280" t="n"/>
      <c r="T423" s="280" t="n"/>
      <c r="U423" s="280" t="n"/>
      <c r="V423" s="280" t="n"/>
      <c r="W423" s="280" t="n"/>
      <c r="X423" s="280" t="n"/>
      <c r="Y423" s="280" t="n"/>
      <c r="Z423" s="350" t="n"/>
      <c r="AA423" s="198" t="n"/>
      <c r="AB423" s="198" t="n"/>
      <c r="AC423" s="198" t="n"/>
    </row>
    <row r="424" ht="15" customHeight="1" s="195">
      <c r="A424" s="280" t="n"/>
      <c r="B424" s="280" t="n"/>
      <c r="C424" s="280" t="n"/>
      <c r="D424" s="280" t="n"/>
      <c r="E424" s="280" t="n"/>
      <c r="F424" s="280" t="n"/>
      <c r="G424" s="280" t="n"/>
      <c r="H424" s="280" t="n"/>
      <c r="I424" s="332">
        <f>IFERROR(VLOOKUP(TEXT(H424,"0"),IPRESS!$A$3:$B$212,2,0),"")</f>
        <v/>
      </c>
      <c r="J424" s="280" t="n"/>
      <c r="K424" s="343" t="n"/>
      <c r="L424" s="280" t="n"/>
      <c r="M424" s="280" t="n"/>
      <c r="N424" s="345" t="n"/>
      <c r="O424" s="280" t="n"/>
      <c r="P424" s="332">
        <f>IFERROR(VLOOKUP(TEXT(O424,"0"),CONDUCTORES!$A$3:$G$54,2,0),"")</f>
        <v/>
      </c>
      <c r="Q424" s="332">
        <f>IFERROR(VLOOKUP(TEXT(O424,"0"),CONDUCTORES!$A$3:$H$54,6,0),"")</f>
        <v/>
      </c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350" t="n"/>
      <c r="AA424" s="198" t="n"/>
      <c r="AB424" s="198" t="n"/>
      <c r="AC424" s="198" t="n"/>
    </row>
    <row r="425" ht="15" customHeight="1" s="195">
      <c r="A425" s="280" t="n"/>
      <c r="B425" s="280" t="n"/>
      <c r="C425" s="280" t="n"/>
      <c r="D425" s="280" t="n"/>
      <c r="E425" s="280" t="n"/>
      <c r="F425" s="280" t="n"/>
      <c r="G425" s="280" t="n"/>
      <c r="H425" s="280" t="n"/>
      <c r="I425" s="332">
        <f>IFERROR(VLOOKUP(TEXT(H425,"0"),IPRESS!$A$3:$B$212,2,0),"")</f>
        <v/>
      </c>
      <c r="J425" s="280" t="n"/>
      <c r="K425" s="343" t="n"/>
      <c r="L425" s="280" t="n"/>
      <c r="M425" s="280" t="n"/>
      <c r="N425" s="345" t="n"/>
      <c r="O425" s="280" t="n"/>
      <c r="P425" s="332">
        <f>IFERROR(VLOOKUP(TEXT(O425,"0"),CONDUCTORES!$A$3:$G$54,2,0),"")</f>
        <v/>
      </c>
      <c r="Q425" s="332">
        <f>IFERROR(VLOOKUP(TEXT(O425,"0"),CONDUCTORES!$A$3:$H$54,6,0),"")</f>
        <v/>
      </c>
      <c r="R425" s="280" t="n"/>
      <c r="S425" s="280" t="n"/>
      <c r="T425" s="280" t="n"/>
      <c r="U425" s="280" t="n"/>
      <c r="V425" s="280" t="n"/>
      <c r="W425" s="280" t="n"/>
      <c r="X425" s="280" t="n"/>
      <c r="Y425" s="280" t="n"/>
      <c r="Z425" s="350" t="n"/>
      <c r="AA425" s="198" t="n"/>
      <c r="AB425" s="198" t="n"/>
      <c r="AC425" s="198" t="n"/>
    </row>
    <row r="426" ht="15" customHeight="1" s="195">
      <c r="A426" s="280" t="n"/>
      <c r="B426" s="280" t="n"/>
      <c r="C426" s="280" t="n"/>
      <c r="D426" s="280" t="n"/>
      <c r="E426" s="280" t="n"/>
      <c r="F426" s="280" t="n"/>
      <c r="G426" s="280" t="n"/>
      <c r="H426" s="280" t="n"/>
      <c r="I426" s="332">
        <f>IFERROR(VLOOKUP(TEXT(H426,"0"),IPRESS!$A$3:$B$212,2,0),"")</f>
        <v/>
      </c>
      <c r="J426" s="280" t="n"/>
      <c r="K426" s="343" t="n"/>
      <c r="L426" s="280" t="n"/>
      <c r="M426" s="280" t="n"/>
      <c r="N426" s="345" t="n"/>
      <c r="O426" s="280" t="n"/>
      <c r="P426" s="332">
        <f>IFERROR(VLOOKUP(TEXT(O426,"0"),CONDUCTORES!$A$3:$G$54,2,0),"")</f>
        <v/>
      </c>
      <c r="Q426" s="332">
        <f>IFERROR(VLOOKUP(TEXT(O426,"0"),CONDUCTORES!$A$3:$H$54,6,0),"")</f>
        <v/>
      </c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350" t="n"/>
      <c r="AA426" s="198" t="n"/>
      <c r="AB426" s="198" t="n"/>
      <c r="AC426" s="198" t="n"/>
    </row>
    <row r="427" ht="15" customHeight="1" s="195">
      <c r="A427" s="280" t="n"/>
      <c r="B427" s="280" t="n"/>
      <c r="C427" s="280" t="n"/>
      <c r="D427" s="280" t="n"/>
      <c r="E427" s="280" t="n"/>
      <c r="F427" s="280" t="n"/>
      <c r="G427" s="280" t="n"/>
      <c r="H427" s="280" t="n"/>
      <c r="I427" s="332">
        <f>IFERROR(VLOOKUP(TEXT(H427,"0"),IPRESS!$A$3:$B$212,2,0),"")</f>
        <v/>
      </c>
      <c r="J427" s="280" t="n"/>
      <c r="K427" s="343" t="n"/>
      <c r="L427" s="280" t="n"/>
      <c r="M427" s="280" t="n"/>
      <c r="N427" s="345" t="n"/>
      <c r="O427" s="280" t="n"/>
      <c r="P427" s="332">
        <f>IFERROR(VLOOKUP(TEXT(O427,"0"),CONDUCTORES!$A$3:$G$54,2,0),"")</f>
        <v/>
      </c>
      <c r="Q427" s="332">
        <f>IFERROR(VLOOKUP(TEXT(O427,"0"),CONDUCTORES!$A$3:$H$54,6,0),"")</f>
        <v/>
      </c>
      <c r="R427" s="280" t="n"/>
      <c r="S427" s="280" t="n"/>
      <c r="T427" s="280" t="n"/>
      <c r="U427" s="280" t="n"/>
      <c r="V427" s="280" t="n"/>
      <c r="W427" s="280" t="n"/>
      <c r="X427" s="280" t="n"/>
      <c r="Y427" s="280" t="n"/>
      <c r="Z427" s="350" t="n"/>
      <c r="AA427" s="198" t="n"/>
      <c r="AB427" s="198" t="n"/>
      <c r="AC427" s="198" t="n"/>
    </row>
    <row r="428" ht="15" customHeight="1" s="195">
      <c r="A428" s="280" t="n"/>
      <c r="B428" s="280" t="n"/>
      <c r="C428" s="280" t="n"/>
      <c r="D428" s="280" t="n"/>
      <c r="E428" s="280" t="n"/>
      <c r="F428" s="280" t="n"/>
      <c r="G428" s="280" t="n"/>
      <c r="H428" s="280" t="n"/>
      <c r="I428" s="332">
        <f>IFERROR(VLOOKUP(TEXT(H428,"0"),IPRESS!$A$3:$B$212,2,0),"")</f>
        <v/>
      </c>
      <c r="J428" s="280" t="n"/>
      <c r="K428" s="343" t="n"/>
      <c r="L428" s="280" t="n"/>
      <c r="M428" s="280" t="n"/>
      <c r="N428" s="345" t="n"/>
      <c r="O428" s="280" t="n"/>
      <c r="P428" s="332">
        <f>IFERROR(VLOOKUP(TEXT(O428,"0"),CONDUCTORES!$A$3:$G$54,2,0),"")</f>
        <v/>
      </c>
      <c r="Q428" s="332">
        <f>IFERROR(VLOOKUP(TEXT(O428,"0"),CONDUCTORES!$A$3:$H$54,6,0),"")</f>
        <v/>
      </c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350" t="n"/>
      <c r="AA428" s="198" t="n"/>
      <c r="AB428" s="198" t="n"/>
      <c r="AC428" s="198" t="n"/>
    </row>
    <row r="429" ht="15" customHeight="1" s="195">
      <c r="A429" s="280" t="n"/>
      <c r="B429" s="280" t="n"/>
      <c r="C429" s="280" t="n"/>
      <c r="D429" s="280" t="n"/>
      <c r="E429" s="280" t="n"/>
      <c r="F429" s="280" t="n"/>
      <c r="G429" s="280" t="n"/>
      <c r="H429" s="280" t="n"/>
      <c r="I429" s="332">
        <f>IFERROR(VLOOKUP(TEXT(H429,"0"),IPRESS!$A$3:$B$212,2,0),"")</f>
        <v/>
      </c>
      <c r="J429" s="280" t="n"/>
      <c r="K429" s="343" t="n"/>
      <c r="L429" s="280" t="n"/>
      <c r="M429" s="280" t="n"/>
      <c r="N429" s="345" t="n"/>
      <c r="O429" s="280" t="n"/>
      <c r="P429" s="332">
        <f>IFERROR(VLOOKUP(TEXT(O429,"0"),CONDUCTORES!$A$3:$G$54,2,0),"")</f>
        <v/>
      </c>
      <c r="Q429" s="332">
        <f>IFERROR(VLOOKUP(TEXT(O429,"0"),CONDUCTORES!$A$3:$H$54,6,0),"")</f>
        <v/>
      </c>
      <c r="R429" s="280" t="n"/>
      <c r="S429" s="280" t="n"/>
      <c r="T429" s="280" t="n"/>
      <c r="U429" s="280" t="n"/>
      <c r="V429" s="280" t="n"/>
      <c r="W429" s="280" t="n"/>
      <c r="X429" s="280" t="n"/>
      <c r="Y429" s="280" t="n"/>
      <c r="Z429" s="350" t="n"/>
      <c r="AA429" s="198" t="n"/>
      <c r="AB429" s="198" t="n"/>
      <c r="AC429" s="198" t="n"/>
    </row>
    <row r="430" ht="15" customHeight="1" s="195">
      <c r="A430" s="280" t="n"/>
      <c r="B430" s="280" t="n"/>
      <c r="C430" s="280" t="n"/>
      <c r="D430" s="280" t="n"/>
      <c r="E430" s="280" t="n"/>
      <c r="F430" s="280" t="n"/>
      <c r="G430" s="280" t="n"/>
      <c r="H430" s="280" t="n"/>
      <c r="I430" s="332">
        <f>IFERROR(VLOOKUP(TEXT(H430,"0"),IPRESS!$A$3:$B$212,2,0),"")</f>
        <v/>
      </c>
      <c r="J430" s="280" t="n"/>
      <c r="K430" s="343" t="n"/>
      <c r="L430" s="280" t="n"/>
      <c r="M430" s="280" t="n"/>
      <c r="N430" s="345" t="n"/>
      <c r="O430" s="280" t="n"/>
      <c r="P430" s="332">
        <f>IFERROR(VLOOKUP(TEXT(O430,"0"),CONDUCTORES!$A$3:$G$54,2,0),"")</f>
        <v/>
      </c>
      <c r="Q430" s="332">
        <f>IFERROR(VLOOKUP(TEXT(O430,"0"),CONDUCTORES!$A$3:$H$54,6,0),"")</f>
        <v/>
      </c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350" t="n"/>
      <c r="AA430" s="198" t="n"/>
      <c r="AB430" s="198" t="n"/>
      <c r="AC430" s="198" t="n"/>
    </row>
    <row r="431" ht="15" customHeight="1" s="195">
      <c r="A431" s="280" t="n"/>
      <c r="B431" s="280" t="n"/>
      <c r="C431" s="280" t="n"/>
      <c r="D431" s="280" t="n"/>
      <c r="E431" s="280" t="n"/>
      <c r="F431" s="280" t="n"/>
      <c r="G431" s="280" t="n"/>
      <c r="H431" s="280" t="n"/>
      <c r="I431" s="332">
        <f>IFERROR(VLOOKUP(TEXT(H431,"0"),IPRESS!$A$3:$B$212,2,0),"")</f>
        <v/>
      </c>
      <c r="J431" s="280" t="n"/>
      <c r="K431" s="343" t="n"/>
      <c r="L431" s="280" t="n"/>
      <c r="M431" s="280" t="n"/>
      <c r="N431" s="345" t="n"/>
      <c r="O431" s="280" t="n"/>
      <c r="P431" s="332">
        <f>IFERROR(VLOOKUP(TEXT(O431,"0"),CONDUCTORES!$A$3:$G$54,2,0),"")</f>
        <v/>
      </c>
      <c r="Q431" s="332">
        <f>IFERROR(VLOOKUP(TEXT(O431,"0"),CONDUCTORES!$A$3:$H$54,6,0),"")</f>
        <v/>
      </c>
      <c r="R431" s="280" t="n"/>
      <c r="S431" s="280" t="n"/>
      <c r="T431" s="280" t="n"/>
      <c r="U431" s="280" t="n"/>
      <c r="V431" s="280" t="n"/>
      <c r="W431" s="280" t="n"/>
      <c r="X431" s="280" t="n"/>
      <c r="Y431" s="280" t="n"/>
      <c r="Z431" s="350" t="n"/>
      <c r="AA431" s="198" t="n"/>
      <c r="AB431" s="198" t="n"/>
      <c r="AC431" s="198" t="n"/>
    </row>
    <row r="432" ht="15" customHeight="1" s="195">
      <c r="A432" s="280" t="n"/>
      <c r="B432" s="280" t="n"/>
      <c r="C432" s="280" t="n"/>
      <c r="D432" s="280" t="n"/>
      <c r="E432" s="280" t="n"/>
      <c r="F432" s="280" t="n"/>
      <c r="G432" s="280" t="n"/>
      <c r="H432" s="280" t="n"/>
      <c r="I432" s="332">
        <f>IFERROR(VLOOKUP(TEXT(H432,"0"),IPRESS!$A$3:$B$212,2,0),"")</f>
        <v/>
      </c>
      <c r="J432" s="280" t="n"/>
      <c r="K432" s="343" t="n"/>
      <c r="L432" s="280" t="n"/>
      <c r="M432" s="280" t="n"/>
      <c r="N432" s="345" t="n"/>
      <c r="O432" s="280" t="n"/>
      <c r="P432" s="332">
        <f>IFERROR(VLOOKUP(TEXT(O432,"0"),CONDUCTORES!$A$3:$G$54,2,0),"")</f>
        <v/>
      </c>
      <c r="Q432" s="332">
        <f>IFERROR(VLOOKUP(TEXT(O432,"0"),CONDUCTORES!$A$3:$H$54,6,0),"")</f>
        <v/>
      </c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350" t="n"/>
      <c r="AA432" s="198" t="n"/>
      <c r="AB432" s="198" t="n"/>
      <c r="AC432" s="198" t="n"/>
    </row>
    <row r="433" ht="15" customHeight="1" s="195">
      <c r="A433" s="280" t="n"/>
      <c r="B433" s="280" t="n"/>
      <c r="C433" s="280" t="n"/>
      <c r="D433" s="280" t="n"/>
      <c r="E433" s="280" t="n"/>
      <c r="F433" s="280" t="n"/>
      <c r="G433" s="280" t="n"/>
      <c r="H433" s="280" t="n"/>
      <c r="I433" s="332">
        <f>IFERROR(VLOOKUP(TEXT(H433,"0"),IPRESS!$A$3:$B$212,2,0),"")</f>
        <v/>
      </c>
      <c r="J433" s="280" t="n"/>
      <c r="K433" s="343" t="n"/>
      <c r="L433" s="280" t="n"/>
      <c r="M433" s="280" t="n"/>
      <c r="N433" s="345" t="n"/>
      <c r="O433" s="280" t="n"/>
      <c r="P433" s="332">
        <f>IFERROR(VLOOKUP(TEXT(O433,"0"),CONDUCTORES!$A$3:$G$54,2,0),"")</f>
        <v/>
      </c>
      <c r="Q433" s="332">
        <f>IFERROR(VLOOKUP(TEXT(O433,"0"),CONDUCTORES!$A$3:$H$54,6,0),"")</f>
        <v/>
      </c>
      <c r="R433" s="280" t="n"/>
      <c r="S433" s="280" t="n"/>
      <c r="T433" s="280" t="n"/>
      <c r="U433" s="280" t="n"/>
      <c r="V433" s="280" t="n"/>
      <c r="W433" s="280" t="n"/>
      <c r="X433" s="280" t="n"/>
      <c r="Y433" s="280" t="n"/>
      <c r="Z433" s="350" t="n"/>
      <c r="AA433" s="198" t="n"/>
      <c r="AB433" s="198" t="n"/>
      <c r="AC433" s="198" t="n"/>
    </row>
    <row r="434" ht="15" customHeight="1" s="195">
      <c r="A434" s="280" t="n"/>
      <c r="B434" s="280" t="n"/>
      <c r="C434" s="280" t="n"/>
      <c r="D434" s="280" t="n"/>
      <c r="E434" s="280" t="n"/>
      <c r="F434" s="280" t="n"/>
      <c r="G434" s="280" t="n"/>
      <c r="H434" s="280" t="n"/>
      <c r="I434" s="332">
        <f>IFERROR(VLOOKUP(TEXT(H434,"0"),IPRESS!$A$3:$B$212,2,0),"")</f>
        <v/>
      </c>
      <c r="J434" s="280" t="n"/>
      <c r="K434" s="343" t="n"/>
      <c r="L434" s="280" t="n"/>
      <c r="M434" s="280" t="n"/>
      <c r="N434" s="345" t="n"/>
      <c r="O434" s="280" t="n"/>
      <c r="P434" s="332">
        <f>IFERROR(VLOOKUP(TEXT(O434,"0"),CONDUCTORES!$A$3:$G$54,2,0),"")</f>
        <v/>
      </c>
      <c r="Q434" s="332">
        <f>IFERROR(VLOOKUP(TEXT(O434,"0"),CONDUCTORES!$A$3:$H$54,6,0),"")</f>
        <v/>
      </c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350" t="n"/>
      <c r="AA434" s="198" t="n"/>
      <c r="AB434" s="198" t="n"/>
      <c r="AC434" s="198" t="n"/>
    </row>
    <row r="435" ht="15" customHeight="1" s="195">
      <c r="A435" s="280" t="n"/>
      <c r="B435" s="280" t="n"/>
      <c r="C435" s="280" t="n"/>
      <c r="D435" s="280" t="n"/>
      <c r="E435" s="280" t="n"/>
      <c r="F435" s="280" t="n"/>
      <c r="G435" s="280" t="n"/>
      <c r="H435" s="280" t="n"/>
      <c r="I435" s="332">
        <f>IFERROR(VLOOKUP(TEXT(H435,"0"),IPRESS!$A$3:$B$212,2,0),"")</f>
        <v/>
      </c>
      <c r="J435" s="280" t="n"/>
      <c r="K435" s="343" t="n"/>
      <c r="L435" s="280" t="n"/>
      <c r="M435" s="280" t="n"/>
      <c r="N435" s="345" t="n"/>
      <c r="O435" s="280" t="n"/>
      <c r="P435" s="332">
        <f>IFERROR(VLOOKUP(TEXT(O435,"0"),CONDUCTORES!$A$3:$G$54,2,0),"")</f>
        <v/>
      </c>
      <c r="Q435" s="332">
        <f>IFERROR(VLOOKUP(TEXT(O435,"0"),CONDUCTORES!$A$3:$H$54,6,0),"")</f>
        <v/>
      </c>
      <c r="R435" s="280" t="n"/>
      <c r="S435" s="280" t="n"/>
      <c r="T435" s="280" t="n"/>
      <c r="U435" s="280" t="n"/>
      <c r="V435" s="280" t="n"/>
      <c r="W435" s="280" t="n"/>
      <c r="X435" s="280" t="n"/>
      <c r="Y435" s="280" t="n"/>
      <c r="Z435" s="350" t="n"/>
      <c r="AA435" s="198" t="n"/>
      <c r="AB435" s="198" t="n"/>
      <c r="AC435" s="198" t="n"/>
    </row>
    <row r="436" ht="15" customHeight="1" s="195">
      <c r="A436" s="280" t="n"/>
      <c r="B436" s="280" t="n"/>
      <c r="C436" s="280" t="n"/>
      <c r="D436" s="280" t="n"/>
      <c r="E436" s="280" t="n"/>
      <c r="F436" s="280" t="n"/>
      <c r="G436" s="280" t="n"/>
      <c r="H436" s="280" t="n"/>
      <c r="I436" s="332">
        <f>IFERROR(VLOOKUP(TEXT(H436,"0"),IPRESS!$A$3:$B$212,2,0),"")</f>
        <v/>
      </c>
      <c r="J436" s="280" t="n"/>
      <c r="K436" s="343" t="n"/>
      <c r="L436" s="280" t="n"/>
      <c r="M436" s="280" t="n"/>
      <c r="N436" s="345" t="n"/>
      <c r="O436" s="280" t="n"/>
      <c r="P436" s="332">
        <f>IFERROR(VLOOKUP(TEXT(O436,"0"),CONDUCTORES!$A$3:$G$54,2,0),"")</f>
        <v/>
      </c>
      <c r="Q436" s="332">
        <f>IFERROR(VLOOKUP(TEXT(O436,"0"),CONDUCTORES!$A$3:$H$54,6,0),"")</f>
        <v/>
      </c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350" t="n"/>
      <c r="AA436" s="198" t="n"/>
      <c r="AB436" s="198" t="n"/>
      <c r="AC436" s="198" t="n"/>
    </row>
    <row r="437" ht="15" customHeight="1" s="195">
      <c r="A437" s="280" t="n"/>
      <c r="B437" s="280" t="n"/>
      <c r="C437" s="280" t="n"/>
      <c r="D437" s="280" t="n"/>
      <c r="E437" s="280" t="n"/>
      <c r="F437" s="280" t="n"/>
      <c r="G437" s="280" t="n"/>
      <c r="H437" s="280" t="n"/>
      <c r="I437" s="332">
        <f>IFERROR(VLOOKUP(TEXT(H437,"0"),IPRESS!$A$3:$B$212,2,0),"")</f>
        <v/>
      </c>
      <c r="J437" s="280" t="n"/>
      <c r="K437" s="343" t="n"/>
      <c r="L437" s="280" t="n"/>
      <c r="M437" s="280" t="n"/>
      <c r="N437" s="345" t="n"/>
      <c r="O437" s="280" t="n"/>
      <c r="P437" s="332">
        <f>IFERROR(VLOOKUP(TEXT(O437,"0"),CONDUCTORES!$A$3:$G$54,2,0),"")</f>
        <v/>
      </c>
      <c r="Q437" s="332">
        <f>IFERROR(VLOOKUP(TEXT(O437,"0"),CONDUCTORES!$A$3:$H$54,6,0),"")</f>
        <v/>
      </c>
      <c r="R437" s="280" t="n"/>
      <c r="S437" s="280" t="n"/>
      <c r="T437" s="280" t="n"/>
      <c r="U437" s="280" t="n"/>
      <c r="V437" s="280" t="n"/>
      <c r="W437" s="280" t="n"/>
      <c r="X437" s="280" t="n"/>
      <c r="Y437" s="280" t="n"/>
      <c r="Z437" s="350" t="n"/>
      <c r="AA437" s="198" t="n"/>
      <c r="AB437" s="198" t="n"/>
      <c r="AC437" s="198" t="n"/>
    </row>
    <row r="438" ht="15" customHeight="1" s="195">
      <c r="A438" s="280" t="n"/>
      <c r="B438" s="280" t="n"/>
      <c r="C438" s="280" t="n"/>
      <c r="D438" s="280" t="n"/>
      <c r="E438" s="280" t="n"/>
      <c r="F438" s="280" t="n"/>
      <c r="G438" s="280" t="n"/>
      <c r="H438" s="280" t="n"/>
      <c r="I438" s="332">
        <f>IFERROR(VLOOKUP(TEXT(H438,"0"),IPRESS!$A$3:$B$212,2,0),"")</f>
        <v/>
      </c>
      <c r="J438" s="280" t="n"/>
      <c r="K438" s="343" t="n"/>
      <c r="L438" s="280" t="n"/>
      <c r="M438" s="280" t="n"/>
      <c r="N438" s="345" t="n"/>
      <c r="O438" s="280" t="n"/>
      <c r="P438" s="332">
        <f>IFERROR(VLOOKUP(TEXT(O438,"0"),CONDUCTORES!$A$3:$G$54,2,0),"")</f>
        <v/>
      </c>
      <c r="Q438" s="332">
        <f>IFERROR(VLOOKUP(TEXT(O438,"0"),CONDUCTORES!$A$3:$H$54,6,0),"")</f>
        <v/>
      </c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350" t="n"/>
      <c r="AA438" s="198" t="n"/>
      <c r="AB438" s="198" t="n"/>
      <c r="AC438" s="198" t="n"/>
    </row>
    <row r="439" ht="15" customHeight="1" s="195">
      <c r="A439" s="280" t="n"/>
      <c r="B439" s="280" t="n"/>
      <c r="C439" s="280" t="n"/>
      <c r="D439" s="280" t="n"/>
      <c r="E439" s="280" t="n"/>
      <c r="F439" s="280" t="n"/>
      <c r="G439" s="280" t="n"/>
      <c r="H439" s="280" t="n"/>
      <c r="I439" s="332">
        <f>IFERROR(VLOOKUP(TEXT(H439,"0"),IPRESS!$A$3:$B$212,2,0),"")</f>
        <v/>
      </c>
      <c r="J439" s="280" t="n"/>
      <c r="K439" s="343" t="n"/>
      <c r="L439" s="280" t="n"/>
      <c r="M439" s="280" t="n"/>
      <c r="N439" s="345" t="n"/>
      <c r="O439" s="280" t="n"/>
      <c r="P439" s="332">
        <f>IFERROR(VLOOKUP(TEXT(O439,"0"),CONDUCTORES!$A$3:$G$54,2,0),"")</f>
        <v/>
      </c>
      <c r="Q439" s="332">
        <f>IFERROR(VLOOKUP(TEXT(O439,"0"),CONDUCTORES!$A$3:$H$54,6,0),"")</f>
        <v/>
      </c>
      <c r="R439" s="280" t="n"/>
      <c r="S439" s="280" t="n"/>
      <c r="T439" s="280" t="n"/>
      <c r="U439" s="280" t="n"/>
      <c r="V439" s="280" t="n"/>
      <c r="W439" s="280" t="n"/>
      <c r="X439" s="280" t="n"/>
      <c r="Y439" s="280" t="n"/>
      <c r="Z439" s="350" t="n"/>
      <c r="AA439" s="198" t="n"/>
      <c r="AB439" s="198" t="n"/>
      <c r="AC439" s="198" t="n"/>
    </row>
    <row r="440" ht="15" customHeight="1" s="195">
      <c r="A440" s="280" t="n"/>
      <c r="B440" s="280" t="n"/>
      <c r="C440" s="280" t="n"/>
      <c r="D440" s="280" t="n"/>
      <c r="E440" s="280" t="n"/>
      <c r="F440" s="280" t="n"/>
      <c r="G440" s="280" t="n"/>
      <c r="H440" s="280" t="n"/>
      <c r="I440" s="332">
        <f>IFERROR(VLOOKUP(TEXT(H440,"0"),IPRESS!$A$3:$B$212,2,0),"")</f>
        <v/>
      </c>
      <c r="J440" s="280" t="n"/>
      <c r="K440" s="343" t="n"/>
      <c r="L440" s="280" t="n"/>
      <c r="M440" s="280" t="n"/>
      <c r="N440" s="345" t="n"/>
      <c r="O440" s="280" t="n"/>
      <c r="P440" s="332">
        <f>IFERROR(VLOOKUP(TEXT(O440,"0"),CONDUCTORES!$A$3:$G$54,2,0),"")</f>
        <v/>
      </c>
      <c r="Q440" s="332">
        <f>IFERROR(VLOOKUP(TEXT(O440,"0"),CONDUCTORES!$A$3:$H$54,6,0),"")</f>
        <v/>
      </c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350" t="n"/>
      <c r="AA440" s="198" t="n"/>
      <c r="AB440" s="198" t="n"/>
      <c r="AC440" s="198" t="n"/>
    </row>
    <row r="441" ht="15" customHeight="1" s="195">
      <c r="A441" s="280" t="n"/>
      <c r="B441" s="280" t="n"/>
      <c r="C441" s="280" t="n"/>
      <c r="D441" s="280" t="n"/>
      <c r="E441" s="280" t="n"/>
      <c r="F441" s="280" t="n"/>
      <c r="G441" s="280" t="n"/>
      <c r="H441" s="280" t="n"/>
      <c r="I441" s="332">
        <f>IFERROR(VLOOKUP(TEXT(H441,"0"),IPRESS!$A$3:$B$212,2,0),"")</f>
        <v/>
      </c>
      <c r="J441" s="280" t="n"/>
      <c r="K441" s="343" t="n"/>
      <c r="L441" s="280" t="n"/>
      <c r="M441" s="280" t="n"/>
      <c r="N441" s="345" t="n"/>
      <c r="O441" s="280" t="n"/>
      <c r="P441" s="332">
        <f>IFERROR(VLOOKUP(TEXT(O441,"0"),CONDUCTORES!$A$3:$G$54,2,0),"")</f>
        <v/>
      </c>
      <c r="Q441" s="332">
        <f>IFERROR(VLOOKUP(TEXT(O441,"0"),CONDUCTORES!$A$3:$H$54,6,0),"")</f>
        <v/>
      </c>
      <c r="R441" s="280" t="n"/>
      <c r="S441" s="280" t="n"/>
      <c r="T441" s="280" t="n"/>
      <c r="U441" s="280" t="n"/>
      <c r="V441" s="280" t="n"/>
      <c r="W441" s="280" t="n"/>
      <c r="X441" s="280" t="n"/>
      <c r="Y441" s="280" t="n"/>
      <c r="Z441" s="350" t="n"/>
      <c r="AA441" s="198" t="n"/>
      <c r="AB441" s="198" t="n"/>
      <c r="AC441" s="198" t="n"/>
    </row>
    <row r="442" ht="15" customHeight="1" s="195">
      <c r="A442" s="280" t="n"/>
      <c r="B442" s="280" t="n"/>
      <c r="C442" s="280" t="n"/>
      <c r="D442" s="280" t="n"/>
      <c r="E442" s="280" t="n"/>
      <c r="F442" s="280" t="n"/>
      <c r="G442" s="280" t="n"/>
      <c r="H442" s="280" t="n"/>
      <c r="I442" s="332">
        <f>IFERROR(VLOOKUP(TEXT(H442,"0"),IPRESS!$A$3:$B$212,2,0),"")</f>
        <v/>
      </c>
      <c r="J442" s="280" t="n"/>
      <c r="K442" s="343" t="n"/>
      <c r="L442" s="280" t="n"/>
      <c r="M442" s="280" t="n"/>
      <c r="N442" s="345" t="n"/>
      <c r="O442" s="280" t="n"/>
      <c r="P442" s="332">
        <f>IFERROR(VLOOKUP(TEXT(O442,"0"),CONDUCTORES!$A$3:$G$54,2,0),"")</f>
        <v/>
      </c>
      <c r="Q442" s="332">
        <f>IFERROR(VLOOKUP(TEXT(O442,"0"),CONDUCTORES!$A$3:$H$54,6,0),"")</f>
        <v/>
      </c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350" t="n"/>
      <c r="AA442" s="198" t="n"/>
      <c r="AB442" s="198" t="n"/>
      <c r="AC442" s="198" t="n"/>
    </row>
    <row r="443" ht="15" customHeight="1" s="195">
      <c r="A443" s="280" t="n"/>
      <c r="B443" s="280" t="n"/>
      <c r="C443" s="280" t="n"/>
      <c r="D443" s="280" t="n"/>
      <c r="E443" s="280" t="n"/>
      <c r="F443" s="280" t="n"/>
      <c r="G443" s="280" t="n"/>
      <c r="H443" s="280" t="n"/>
      <c r="I443" s="332">
        <f>IFERROR(VLOOKUP(TEXT(H443,"0"),IPRESS!$A$3:$B$212,2,0),"")</f>
        <v/>
      </c>
      <c r="J443" s="280" t="n"/>
      <c r="K443" s="343" t="n"/>
      <c r="L443" s="280" t="n"/>
      <c r="M443" s="280" t="n"/>
      <c r="N443" s="345" t="n"/>
      <c r="O443" s="280" t="n"/>
      <c r="P443" s="332">
        <f>IFERROR(VLOOKUP(TEXT(O443,"0"),CONDUCTORES!$A$3:$G$54,2,0),"")</f>
        <v/>
      </c>
      <c r="Q443" s="332">
        <f>IFERROR(VLOOKUP(TEXT(O443,"0"),CONDUCTORES!$A$3:$H$54,6,0),"")</f>
        <v/>
      </c>
      <c r="R443" s="280" t="n"/>
      <c r="S443" s="280" t="n"/>
      <c r="T443" s="280" t="n"/>
      <c r="U443" s="280" t="n"/>
      <c r="V443" s="280" t="n"/>
      <c r="W443" s="280" t="n"/>
      <c r="X443" s="280" t="n"/>
      <c r="Y443" s="280" t="n"/>
      <c r="Z443" s="350" t="n"/>
      <c r="AA443" s="198" t="n"/>
      <c r="AB443" s="198" t="n"/>
      <c r="AC443" s="198" t="n"/>
    </row>
    <row r="444" ht="15" customHeight="1" s="195">
      <c r="A444" s="280" t="n"/>
      <c r="B444" s="280" t="n"/>
      <c r="C444" s="280" t="n"/>
      <c r="D444" s="280" t="n"/>
      <c r="E444" s="280" t="n"/>
      <c r="F444" s="280" t="n"/>
      <c r="G444" s="280" t="n"/>
      <c r="H444" s="280" t="n"/>
      <c r="I444" s="332">
        <f>IFERROR(VLOOKUP(TEXT(H444,"0"),IPRESS!$A$3:$B$212,2,0),"")</f>
        <v/>
      </c>
      <c r="J444" s="280" t="n"/>
      <c r="K444" s="343" t="n"/>
      <c r="L444" s="280" t="n"/>
      <c r="M444" s="280" t="n"/>
      <c r="N444" s="345" t="n"/>
      <c r="O444" s="280" t="n"/>
      <c r="P444" s="332">
        <f>IFERROR(VLOOKUP(TEXT(O444,"0"),CONDUCTORES!$A$3:$G$54,2,0),"")</f>
        <v/>
      </c>
      <c r="Q444" s="332">
        <f>IFERROR(VLOOKUP(TEXT(O444,"0"),CONDUCTORES!$A$3:$H$54,6,0),"")</f>
        <v/>
      </c>
      <c r="R444" s="280" t="n"/>
      <c r="S444" s="280" t="n"/>
      <c r="T444" s="280" t="n"/>
      <c r="U444" s="280" t="n"/>
      <c r="V444" s="280" t="n"/>
      <c r="W444" s="280" t="n"/>
      <c r="X444" s="280" t="n"/>
      <c r="Y444" s="280" t="n"/>
      <c r="Z444" s="350" t="n"/>
      <c r="AA444" s="198" t="n"/>
      <c r="AB444" s="198" t="n"/>
      <c r="AC444" s="198" t="n"/>
    </row>
    <row r="445" ht="15" customHeight="1" s="195">
      <c r="A445" s="280" t="n"/>
      <c r="B445" s="280" t="n"/>
      <c r="C445" s="280" t="n"/>
      <c r="D445" s="280" t="n"/>
      <c r="E445" s="280" t="n"/>
      <c r="F445" s="280" t="n"/>
      <c r="G445" s="280" t="n"/>
      <c r="H445" s="280" t="n"/>
      <c r="I445" s="332">
        <f>IFERROR(VLOOKUP(TEXT(H445,"0"),IPRESS!$A$3:$B$212,2,0),"")</f>
        <v/>
      </c>
      <c r="J445" s="280" t="n"/>
      <c r="K445" s="343" t="n"/>
      <c r="L445" s="280" t="n"/>
      <c r="M445" s="280" t="n"/>
      <c r="N445" s="345" t="n"/>
      <c r="O445" s="280" t="n"/>
      <c r="P445" s="332">
        <f>IFERROR(VLOOKUP(TEXT(O445,"0"),CONDUCTORES!$A$3:$G$54,2,0),"")</f>
        <v/>
      </c>
      <c r="Q445" s="332">
        <f>IFERROR(VLOOKUP(TEXT(O445,"0"),CONDUCTORES!$A$3:$H$54,6,0),"")</f>
        <v/>
      </c>
      <c r="R445" s="280" t="n"/>
      <c r="S445" s="280" t="n"/>
      <c r="T445" s="280" t="n"/>
      <c r="U445" s="280" t="n"/>
      <c r="V445" s="280" t="n"/>
      <c r="W445" s="280" t="n"/>
      <c r="X445" s="280" t="n"/>
      <c r="Y445" s="280" t="n"/>
      <c r="Z445" s="350" t="n"/>
      <c r="AA445" s="198" t="n"/>
      <c r="AB445" s="198" t="n"/>
      <c r="AC445" s="198" t="n"/>
    </row>
    <row r="446" ht="15" customHeight="1" s="195">
      <c r="A446" s="280" t="n"/>
      <c r="B446" s="280" t="n"/>
      <c r="C446" s="280" t="n"/>
      <c r="D446" s="280" t="n"/>
      <c r="E446" s="280" t="n"/>
      <c r="F446" s="280" t="n"/>
      <c r="G446" s="280" t="n"/>
      <c r="H446" s="280" t="n"/>
      <c r="I446" s="332">
        <f>IFERROR(VLOOKUP(TEXT(H446,"0"),IPRESS!$A$3:$B$212,2,0),"")</f>
        <v/>
      </c>
      <c r="J446" s="280" t="n"/>
      <c r="K446" s="343" t="n"/>
      <c r="L446" s="280" t="n"/>
      <c r="M446" s="280" t="n"/>
      <c r="N446" s="345" t="n"/>
      <c r="O446" s="280" t="n"/>
      <c r="P446" s="332">
        <f>IFERROR(VLOOKUP(TEXT(O446,"0"),CONDUCTORES!$A$3:$G$54,2,0),"")</f>
        <v/>
      </c>
      <c r="Q446" s="332">
        <f>IFERROR(VLOOKUP(TEXT(O446,"0"),CONDUCTORES!$A$3:$H$54,6,0),"")</f>
        <v/>
      </c>
      <c r="R446" s="280" t="n"/>
      <c r="S446" s="280" t="n"/>
      <c r="T446" s="280" t="n"/>
      <c r="U446" s="280" t="n"/>
      <c r="V446" s="280" t="n"/>
      <c r="W446" s="280" t="n"/>
      <c r="X446" s="280" t="n"/>
      <c r="Y446" s="280" t="n"/>
      <c r="Z446" s="350" t="n"/>
      <c r="AA446" s="198" t="n"/>
      <c r="AB446" s="198" t="n"/>
      <c r="AC446" s="198" t="n"/>
    </row>
    <row r="447" ht="15" customHeight="1" s="195">
      <c r="A447" s="280" t="n"/>
      <c r="B447" s="280" t="n"/>
      <c r="C447" s="280" t="n"/>
      <c r="D447" s="280" t="n"/>
      <c r="E447" s="280" t="n"/>
      <c r="F447" s="280" t="n"/>
      <c r="G447" s="280" t="n"/>
      <c r="H447" s="280" t="n"/>
      <c r="I447" s="332">
        <f>IFERROR(VLOOKUP(TEXT(H447,"0"),IPRESS!$A$3:$B$212,2,0),"")</f>
        <v/>
      </c>
      <c r="J447" s="280" t="n"/>
      <c r="K447" s="343" t="n"/>
      <c r="L447" s="280" t="n"/>
      <c r="M447" s="280" t="n"/>
      <c r="N447" s="345" t="n"/>
      <c r="O447" s="280" t="n"/>
      <c r="P447" s="332">
        <f>IFERROR(VLOOKUP(TEXT(O447,"0"),CONDUCTORES!$A$3:$G$54,2,0),"")</f>
        <v/>
      </c>
      <c r="Q447" s="332">
        <f>IFERROR(VLOOKUP(TEXT(O447,"0"),CONDUCTORES!$A$3:$H$54,6,0),"")</f>
        <v/>
      </c>
      <c r="R447" s="280" t="n"/>
      <c r="S447" s="280" t="n"/>
      <c r="T447" s="280" t="n"/>
      <c r="U447" s="280" t="n"/>
      <c r="V447" s="280" t="n"/>
      <c r="W447" s="280" t="n"/>
      <c r="X447" s="280" t="n"/>
      <c r="Y447" s="280" t="n"/>
      <c r="Z447" s="350" t="n"/>
      <c r="AA447" s="198" t="n"/>
      <c r="AB447" s="198" t="n"/>
      <c r="AC447" s="198" t="n"/>
    </row>
    <row r="448" ht="15" customHeight="1" s="195">
      <c r="A448" s="280" t="n"/>
      <c r="B448" s="280" t="n"/>
      <c r="C448" s="280" t="n"/>
      <c r="D448" s="280" t="n"/>
      <c r="E448" s="280" t="n"/>
      <c r="F448" s="280" t="n"/>
      <c r="G448" s="280" t="n"/>
      <c r="H448" s="280" t="n"/>
      <c r="I448" s="332">
        <f>IFERROR(VLOOKUP(TEXT(H448,"0"),IPRESS!$A$3:$B$212,2,0),"")</f>
        <v/>
      </c>
      <c r="J448" s="280" t="n"/>
      <c r="K448" s="343" t="n"/>
      <c r="L448" s="280" t="n"/>
      <c r="M448" s="280" t="n"/>
      <c r="N448" s="345" t="n"/>
      <c r="O448" s="280" t="n"/>
      <c r="P448" s="332">
        <f>IFERROR(VLOOKUP(TEXT(O448,"0"),CONDUCTORES!$A$3:$G$54,2,0),"")</f>
        <v/>
      </c>
      <c r="Q448" s="332">
        <f>IFERROR(VLOOKUP(TEXT(O448,"0"),CONDUCTORES!$A$3:$H$54,6,0),"")</f>
        <v/>
      </c>
      <c r="R448" s="280" t="n"/>
      <c r="S448" s="280" t="n"/>
      <c r="T448" s="280" t="n"/>
      <c r="U448" s="280" t="n"/>
      <c r="V448" s="280" t="n"/>
      <c r="W448" s="280" t="n"/>
      <c r="X448" s="280" t="n"/>
      <c r="Y448" s="280" t="n"/>
      <c r="Z448" s="350" t="n"/>
      <c r="AA448" s="198" t="n"/>
      <c r="AB448" s="198" t="n"/>
      <c r="AC448" s="198" t="n"/>
    </row>
    <row r="449" ht="15" customHeight="1" s="195">
      <c r="A449" s="280" t="n"/>
      <c r="B449" s="280" t="n"/>
      <c r="C449" s="280" t="n"/>
      <c r="D449" s="280" t="n"/>
      <c r="E449" s="280" t="n"/>
      <c r="F449" s="280" t="n"/>
      <c r="G449" s="280" t="n"/>
      <c r="H449" s="280" t="n"/>
      <c r="I449" s="332">
        <f>IFERROR(VLOOKUP(TEXT(H449,"0"),IPRESS!$A$3:$B$212,2,0),"")</f>
        <v/>
      </c>
      <c r="J449" s="280" t="n"/>
      <c r="K449" s="343" t="n"/>
      <c r="L449" s="280" t="n"/>
      <c r="M449" s="280" t="n"/>
      <c r="N449" s="345" t="n"/>
      <c r="O449" s="280" t="n"/>
      <c r="P449" s="332">
        <f>IFERROR(VLOOKUP(TEXT(O449,"0"),CONDUCTORES!$A$3:$G$54,2,0),"")</f>
        <v/>
      </c>
      <c r="Q449" s="332">
        <f>IFERROR(VLOOKUP(TEXT(O449,"0"),CONDUCTORES!$A$3:$H$54,6,0),"")</f>
        <v/>
      </c>
      <c r="R449" s="280" t="n"/>
      <c r="S449" s="280" t="n"/>
      <c r="T449" s="280" t="n"/>
      <c r="U449" s="280" t="n"/>
      <c r="V449" s="280" t="n"/>
      <c r="W449" s="280" t="n"/>
      <c r="X449" s="280" t="n"/>
      <c r="Y449" s="280" t="n"/>
      <c r="Z449" s="350" t="n"/>
      <c r="AA449" s="198" t="n"/>
      <c r="AB449" s="198" t="n"/>
      <c r="AC449" s="198" t="n"/>
    </row>
    <row r="450" ht="15" customHeight="1" s="195">
      <c r="A450" s="280" t="n"/>
      <c r="B450" s="280" t="n"/>
      <c r="C450" s="280" t="n"/>
      <c r="D450" s="280" t="n"/>
      <c r="E450" s="280" t="n"/>
      <c r="F450" s="280" t="n"/>
      <c r="G450" s="280" t="n"/>
      <c r="H450" s="280" t="n"/>
      <c r="I450" s="332">
        <f>IFERROR(VLOOKUP(TEXT(H450,"0"),IPRESS!$A$3:$B$212,2,0),"")</f>
        <v/>
      </c>
      <c r="J450" s="280" t="n"/>
      <c r="K450" s="343" t="n"/>
      <c r="L450" s="280" t="n"/>
      <c r="M450" s="280" t="n"/>
      <c r="N450" s="345" t="n"/>
      <c r="O450" s="280" t="n"/>
      <c r="P450" s="332">
        <f>IFERROR(VLOOKUP(TEXT(O450,"0"),CONDUCTORES!$A$3:$G$54,2,0),"")</f>
        <v/>
      </c>
      <c r="Q450" s="332">
        <f>IFERROR(VLOOKUP(TEXT(O450,"0"),CONDUCTORES!$A$3:$H$54,6,0),"")</f>
        <v/>
      </c>
      <c r="R450" s="280" t="n"/>
      <c r="S450" s="280" t="n"/>
      <c r="T450" s="280" t="n"/>
      <c r="U450" s="280" t="n"/>
      <c r="V450" s="280" t="n"/>
      <c r="W450" s="280" t="n"/>
      <c r="X450" s="280" t="n"/>
      <c r="Y450" s="280" t="n"/>
      <c r="Z450" s="350" t="n"/>
      <c r="AA450" s="198" t="n"/>
      <c r="AB450" s="198" t="n"/>
      <c r="AC450" s="198" t="n"/>
    </row>
    <row r="451" ht="15" customHeight="1" s="195">
      <c r="A451" s="280" t="n"/>
      <c r="B451" s="280" t="n"/>
      <c r="C451" s="280" t="n"/>
      <c r="D451" s="280" t="n"/>
      <c r="E451" s="280" t="n"/>
      <c r="F451" s="280" t="n"/>
      <c r="G451" s="280" t="n"/>
      <c r="H451" s="280" t="n"/>
      <c r="I451" s="332">
        <f>IFERROR(VLOOKUP(TEXT(H451,"0"),IPRESS!$A$3:$B$212,2,0),"")</f>
        <v/>
      </c>
      <c r="J451" s="280" t="n"/>
      <c r="K451" s="343" t="n"/>
      <c r="L451" s="280" t="n"/>
      <c r="M451" s="280" t="n"/>
      <c r="N451" s="345" t="n"/>
      <c r="O451" s="280" t="n"/>
      <c r="P451" s="332">
        <f>IFERROR(VLOOKUP(TEXT(O451,"0"),CONDUCTORES!$A$3:$G$54,2,0),"")</f>
        <v/>
      </c>
      <c r="Q451" s="332">
        <f>IFERROR(VLOOKUP(TEXT(O451,"0"),CONDUCTORES!$A$3:$H$54,6,0),"")</f>
        <v/>
      </c>
      <c r="R451" s="280" t="n"/>
      <c r="S451" s="280" t="n"/>
      <c r="T451" s="280" t="n"/>
      <c r="U451" s="280" t="n"/>
      <c r="V451" s="280" t="n"/>
      <c r="W451" s="280" t="n"/>
      <c r="X451" s="280" t="n"/>
      <c r="Y451" s="280" t="n"/>
      <c r="Z451" s="350" t="n"/>
      <c r="AA451" s="198" t="n"/>
      <c r="AB451" s="198" t="n"/>
      <c r="AC451" s="198" t="n"/>
    </row>
    <row r="452" ht="15" customHeight="1" s="195">
      <c r="A452" s="280" t="n"/>
      <c r="B452" s="280" t="n"/>
      <c r="C452" s="280" t="n"/>
      <c r="D452" s="280" t="n"/>
      <c r="E452" s="280" t="n"/>
      <c r="F452" s="280" t="n"/>
      <c r="G452" s="280" t="n"/>
      <c r="H452" s="280" t="n"/>
      <c r="I452" s="332">
        <f>IFERROR(VLOOKUP(TEXT(H452,"0"),IPRESS!$A$3:$B$212,2,0),"")</f>
        <v/>
      </c>
      <c r="J452" s="280" t="n"/>
      <c r="K452" s="343" t="n"/>
      <c r="L452" s="280" t="n"/>
      <c r="M452" s="280" t="n"/>
      <c r="N452" s="345" t="n"/>
      <c r="O452" s="280" t="n"/>
      <c r="P452" s="332">
        <f>IFERROR(VLOOKUP(TEXT(O452,"0"),CONDUCTORES!$A$3:$G$54,2,0),"")</f>
        <v/>
      </c>
      <c r="Q452" s="332">
        <f>IFERROR(VLOOKUP(TEXT(O452,"0"),CONDUCTORES!$A$3:$H$54,6,0),"")</f>
        <v/>
      </c>
      <c r="R452" s="280" t="n"/>
      <c r="S452" s="280" t="n"/>
      <c r="T452" s="280" t="n"/>
      <c r="U452" s="280" t="n"/>
      <c r="V452" s="280" t="n"/>
      <c r="W452" s="280" t="n"/>
      <c r="X452" s="280" t="n"/>
      <c r="Y452" s="280" t="n"/>
      <c r="Z452" s="350" t="n"/>
      <c r="AA452" s="198" t="n"/>
      <c r="AB452" s="198" t="n"/>
      <c r="AC452" s="198" t="n"/>
    </row>
    <row r="453" ht="15" customHeight="1" s="195">
      <c r="A453" s="280" t="n"/>
      <c r="B453" s="280" t="n"/>
      <c r="C453" s="280" t="n"/>
      <c r="D453" s="280" t="n"/>
      <c r="E453" s="280" t="n"/>
      <c r="F453" s="280" t="n"/>
      <c r="G453" s="280" t="n"/>
      <c r="H453" s="280" t="n"/>
      <c r="I453" s="332">
        <f>IFERROR(VLOOKUP(TEXT(H453,"0"),IPRESS!$A$3:$B$212,2,0),"")</f>
        <v/>
      </c>
      <c r="J453" s="280" t="n"/>
      <c r="K453" s="343" t="n"/>
      <c r="L453" s="280" t="n"/>
      <c r="M453" s="280" t="n"/>
      <c r="N453" s="345" t="n"/>
      <c r="O453" s="280" t="n"/>
      <c r="P453" s="332">
        <f>IFERROR(VLOOKUP(TEXT(O453,"0"),CONDUCTORES!$A$3:$G$54,2,0),"")</f>
        <v/>
      </c>
      <c r="Q453" s="332">
        <f>IFERROR(VLOOKUP(TEXT(O453,"0"),CONDUCTORES!$A$3:$H$54,6,0),"")</f>
        <v/>
      </c>
      <c r="R453" s="280" t="n"/>
      <c r="S453" s="280" t="n"/>
      <c r="T453" s="280" t="n"/>
      <c r="U453" s="280" t="n"/>
      <c r="V453" s="280" t="n"/>
      <c r="W453" s="280" t="n"/>
      <c r="X453" s="280" t="n"/>
      <c r="Y453" s="280" t="n"/>
      <c r="Z453" s="350" t="n"/>
      <c r="AA453" s="198" t="n"/>
      <c r="AB453" s="198" t="n"/>
      <c r="AC453" s="198" t="n"/>
    </row>
    <row r="454" ht="15" customHeight="1" s="195">
      <c r="A454" s="280" t="n"/>
      <c r="B454" s="280" t="n"/>
      <c r="C454" s="280" t="n"/>
      <c r="D454" s="280" t="n"/>
      <c r="E454" s="280" t="n"/>
      <c r="F454" s="280" t="n"/>
      <c r="G454" s="280" t="n"/>
      <c r="H454" s="280" t="n"/>
      <c r="I454" s="332">
        <f>IFERROR(VLOOKUP(TEXT(H454,"0"),IPRESS!$A$3:$B$212,2,0),"")</f>
        <v/>
      </c>
      <c r="J454" s="280" t="n"/>
      <c r="K454" s="343" t="n"/>
      <c r="L454" s="280" t="n"/>
      <c r="M454" s="280" t="n"/>
      <c r="N454" s="345" t="n"/>
      <c r="O454" s="280" t="n"/>
      <c r="P454" s="332">
        <f>IFERROR(VLOOKUP(TEXT(O454,"0"),CONDUCTORES!$A$3:$G$54,2,0),"")</f>
        <v/>
      </c>
      <c r="Q454" s="332">
        <f>IFERROR(VLOOKUP(TEXT(O454,"0"),CONDUCTORES!$A$3:$H$54,6,0),"")</f>
        <v/>
      </c>
      <c r="R454" s="280" t="n"/>
      <c r="S454" s="280" t="n"/>
      <c r="T454" s="280" t="n"/>
      <c r="U454" s="280" t="n"/>
      <c r="V454" s="280" t="n"/>
      <c r="W454" s="280" t="n"/>
      <c r="X454" s="280" t="n"/>
      <c r="Y454" s="280" t="n"/>
      <c r="Z454" s="350" t="n"/>
      <c r="AA454" s="198" t="n"/>
      <c r="AB454" s="198" t="n"/>
      <c r="AC454" s="198" t="n"/>
    </row>
    <row r="455" ht="15" customHeight="1" s="195">
      <c r="A455" s="280" t="n"/>
      <c r="B455" s="280" t="n"/>
      <c r="C455" s="280" t="n"/>
      <c r="D455" s="280" t="n"/>
      <c r="E455" s="280" t="n"/>
      <c r="F455" s="280" t="n"/>
      <c r="G455" s="280" t="n"/>
      <c r="H455" s="280" t="n"/>
      <c r="I455" s="332">
        <f>IFERROR(VLOOKUP(TEXT(H455,"0"),IPRESS!$A$3:$B$212,2,0),"")</f>
        <v/>
      </c>
      <c r="J455" s="280" t="n"/>
      <c r="K455" s="343" t="n"/>
      <c r="L455" s="280" t="n"/>
      <c r="M455" s="280" t="n"/>
      <c r="N455" s="345" t="n"/>
      <c r="O455" s="280" t="n"/>
      <c r="P455" s="332">
        <f>IFERROR(VLOOKUP(TEXT(O455,"0"),CONDUCTORES!$A$3:$G$54,2,0),"")</f>
        <v/>
      </c>
      <c r="Q455" s="332">
        <f>IFERROR(VLOOKUP(TEXT(O455,"0"),CONDUCTORES!$A$3:$H$54,6,0),"")</f>
        <v/>
      </c>
      <c r="R455" s="280" t="n"/>
      <c r="S455" s="280" t="n"/>
      <c r="T455" s="280" t="n"/>
      <c r="U455" s="280" t="n"/>
      <c r="V455" s="280" t="n"/>
      <c r="W455" s="280" t="n"/>
      <c r="X455" s="280" t="n"/>
      <c r="Y455" s="280" t="n"/>
      <c r="Z455" s="350" t="n"/>
      <c r="AA455" s="198" t="n"/>
      <c r="AB455" s="198" t="n"/>
      <c r="AC455" s="198" t="n"/>
    </row>
    <row r="456" ht="15" customHeight="1" s="195">
      <c r="A456" s="280" t="n"/>
      <c r="B456" s="280" t="n"/>
      <c r="C456" s="280" t="n"/>
      <c r="D456" s="280" t="n"/>
      <c r="E456" s="280" t="n"/>
      <c r="F456" s="280" t="n"/>
      <c r="G456" s="280" t="n"/>
      <c r="H456" s="280" t="n"/>
      <c r="I456" s="332">
        <f>IFERROR(VLOOKUP(TEXT(H456,"0"),IPRESS!$A$3:$B$212,2,0),"")</f>
        <v/>
      </c>
      <c r="J456" s="280" t="n"/>
      <c r="K456" s="343" t="n"/>
      <c r="L456" s="280" t="n"/>
      <c r="M456" s="280" t="n"/>
      <c r="N456" s="345" t="n"/>
      <c r="O456" s="280" t="n"/>
      <c r="P456" s="332">
        <f>IFERROR(VLOOKUP(TEXT(O456,"0"),CONDUCTORES!$A$3:$G$54,2,0),"")</f>
        <v/>
      </c>
      <c r="Q456" s="332">
        <f>IFERROR(VLOOKUP(TEXT(O456,"0"),CONDUCTORES!$A$3:$H$54,6,0),"")</f>
        <v/>
      </c>
      <c r="R456" s="280" t="n"/>
      <c r="S456" s="280" t="n"/>
      <c r="T456" s="280" t="n"/>
      <c r="U456" s="280" t="n"/>
      <c r="V456" s="280" t="n"/>
      <c r="W456" s="280" t="n"/>
      <c r="X456" s="280" t="n"/>
      <c r="Y456" s="280" t="n"/>
      <c r="Z456" s="350" t="n"/>
      <c r="AA456" s="198" t="n"/>
      <c r="AB456" s="198" t="n"/>
      <c r="AC456" s="198" t="n"/>
    </row>
    <row r="457" ht="15" customHeight="1" s="195">
      <c r="A457" s="280" t="n"/>
      <c r="B457" s="280" t="n"/>
      <c r="C457" s="280" t="n"/>
      <c r="D457" s="280" t="n"/>
      <c r="E457" s="280" t="n"/>
      <c r="F457" s="280" t="n"/>
      <c r="G457" s="280" t="n"/>
      <c r="H457" s="280" t="n"/>
      <c r="I457" s="332">
        <f>IFERROR(VLOOKUP(TEXT(H457,"0"),IPRESS!$A$3:$B$212,2,0),"")</f>
        <v/>
      </c>
      <c r="J457" s="280" t="n"/>
      <c r="K457" s="343" t="n"/>
      <c r="L457" s="280" t="n"/>
      <c r="M457" s="280" t="n"/>
      <c r="N457" s="345" t="n"/>
      <c r="O457" s="280" t="n"/>
      <c r="P457" s="332">
        <f>IFERROR(VLOOKUP(TEXT(O457,"0"),CONDUCTORES!$A$3:$G$54,2,0),"")</f>
        <v/>
      </c>
      <c r="Q457" s="332">
        <f>IFERROR(VLOOKUP(TEXT(O457,"0"),CONDUCTORES!$A$3:$H$54,6,0),"")</f>
        <v/>
      </c>
      <c r="R457" s="280" t="n"/>
      <c r="S457" s="280" t="n"/>
      <c r="T457" s="280" t="n"/>
      <c r="U457" s="280" t="n"/>
      <c r="V457" s="280" t="n"/>
      <c r="W457" s="280" t="n"/>
      <c r="X457" s="280" t="n"/>
      <c r="Y457" s="280" t="n"/>
      <c r="Z457" s="350" t="n"/>
      <c r="AA457" s="198" t="n"/>
      <c r="AB457" s="198" t="n"/>
      <c r="AC457" s="198" t="n"/>
    </row>
    <row r="458" ht="15" customHeight="1" s="195">
      <c r="A458" s="280" t="n"/>
      <c r="B458" s="280" t="n"/>
      <c r="C458" s="280" t="n"/>
      <c r="D458" s="280" t="n"/>
      <c r="E458" s="280" t="n"/>
      <c r="F458" s="280" t="n"/>
      <c r="G458" s="280" t="n"/>
      <c r="H458" s="280" t="n"/>
      <c r="I458" s="332">
        <f>IFERROR(VLOOKUP(TEXT(H458,"0"),IPRESS!$A$3:$B$212,2,0),"")</f>
        <v/>
      </c>
      <c r="J458" s="280" t="n"/>
      <c r="K458" s="343" t="n"/>
      <c r="L458" s="280" t="n"/>
      <c r="M458" s="280" t="n"/>
      <c r="N458" s="345" t="n"/>
      <c r="O458" s="280" t="n"/>
      <c r="P458" s="332">
        <f>IFERROR(VLOOKUP(TEXT(O458,"0"),CONDUCTORES!$A$3:$G$54,2,0),"")</f>
        <v/>
      </c>
      <c r="Q458" s="332">
        <f>IFERROR(VLOOKUP(TEXT(O458,"0"),CONDUCTORES!$A$3:$H$54,6,0),"")</f>
        <v/>
      </c>
      <c r="R458" s="280" t="n"/>
      <c r="S458" s="280" t="n"/>
      <c r="T458" s="280" t="n"/>
      <c r="U458" s="280" t="n"/>
      <c r="V458" s="280" t="n"/>
      <c r="W458" s="280" t="n"/>
      <c r="X458" s="280" t="n"/>
      <c r="Y458" s="280" t="n"/>
      <c r="Z458" s="350" t="n"/>
      <c r="AA458" s="198" t="n"/>
      <c r="AB458" s="198" t="n"/>
      <c r="AC458" s="198" t="n"/>
    </row>
    <row r="459" ht="15" customHeight="1" s="195">
      <c r="A459" s="280" t="n"/>
      <c r="B459" s="280" t="n"/>
      <c r="C459" s="280" t="n"/>
      <c r="D459" s="280" t="n"/>
      <c r="E459" s="280" t="n"/>
      <c r="F459" s="280" t="n"/>
      <c r="G459" s="280" t="n"/>
      <c r="H459" s="280" t="n"/>
      <c r="I459" s="332">
        <f>IFERROR(VLOOKUP(TEXT(H459,"0"),IPRESS!$A$3:$B$212,2,0),"")</f>
        <v/>
      </c>
      <c r="J459" s="280" t="n"/>
      <c r="K459" s="343" t="n"/>
      <c r="L459" s="280" t="n"/>
      <c r="M459" s="280" t="n"/>
      <c r="N459" s="345" t="n"/>
      <c r="O459" s="280" t="n"/>
      <c r="P459" s="332">
        <f>IFERROR(VLOOKUP(TEXT(O459,"0"),CONDUCTORES!$A$3:$G$54,2,0),"")</f>
        <v/>
      </c>
      <c r="Q459" s="332">
        <f>IFERROR(VLOOKUP(TEXT(O459,"0"),CONDUCTORES!$A$3:$H$54,6,0),"")</f>
        <v/>
      </c>
      <c r="R459" s="280" t="n"/>
      <c r="S459" s="280" t="n"/>
      <c r="T459" s="280" t="n"/>
      <c r="U459" s="280" t="n"/>
      <c r="V459" s="280" t="n"/>
      <c r="W459" s="280" t="n"/>
      <c r="X459" s="280" t="n"/>
      <c r="Y459" s="280" t="n"/>
      <c r="Z459" s="350" t="n"/>
      <c r="AA459" s="198" t="n"/>
      <c r="AB459" s="198" t="n"/>
      <c r="AC459" s="198" t="n"/>
    </row>
    <row r="460" ht="15" customHeight="1" s="195">
      <c r="A460" s="280" t="n"/>
      <c r="B460" s="280" t="n"/>
      <c r="C460" s="280" t="n"/>
      <c r="D460" s="280" t="n"/>
      <c r="E460" s="280" t="n"/>
      <c r="F460" s="280" t="n"/>
      <c r="G460" s="280" t="n"/>
      <c r="H460" s="280" t="n"/>
      <c r="I460" s="332">
        <f>IFERROR(VLOOKUP(TEXT(H460,"0"),IPRESS!$A$3:$B$212,2,0),"")</f>
        <v/>
      </c>
      <c r="J460" s="280" t="n"/>
      <c r="K460" s="343" t="n"/>
      <c r="L460" s="280" t="n"/>
      <c r="M460" s="280" t="n"/>
      <c r="N460" s="345" t="n"/>
      <c r="O460" s="280" t="n"/>
      <c r="P460" s="332">
        <f>IFERROR(VLOOKUP(TEXT(O460,"0"),CONDUCTORES!$A$3:$G$54,2,0),"")</f>
        <v/>
      </c>
      <c r="Q460" s="332">
        <f>IFERROR(VLOOKUP(TEXT(O460,"0"),CONDUCTORES!$A$3:$H$54,6,0),"")</f>
        <v/>
      </c>
      <c r="R460" s="280" t="n"/>
      <c r="S460" s="280" t="n"/>
      <c r="T460" s="280" t="n"/>
      <c r="U460" s="280" t="n"/>
      <c r="V460" s="280" t="n"/>
      <c r="W460" s="280" t="n"/>
      <c r="X460" s="280" t="n"/>
      <c r="Y460" s="280" t="n"/>
      <c r="Z460" s="350" t="n"/>
      <c r="AA460" s="198" t="n"/>
      <c r="AB460" s="198" t="n"/>
      <c r="AC460" s="198" t="n"/>
    </row>
    <row r="461" ht="15" customHeight="1" s="195">
      <c r="A461" s="280" t="n"/>
      <c r="B461" s="280" t="n"/>
      <c r="C461" s="280" t="n"/>
      <c r="D461" s="280" t="n"/>
      <c r="E461" s="280" t="n"/>
      <c r="F461" s="280" t="n"/>
      <c r="G461" s="280" t="n"/>
      <c r="H461" s="280" t="n"/>
      <c r="I461" s="332">
        <f>IFERROR(VLOOKUP(TEXT(H461,"0"),IPRESS!$A$3:$B$212,2,0),"")</f>
        <v/>
      </c>
      <c r="J461" s="280" t="n"/>
      <c r="K461" s="343" t="n"/>
      <c r="L461" s="280" t="n"/>
      <c r="M461" s="280" t="n"/>
      <c r="N461" s="345" t="n"/>
      <c r="O461" s="280" t="n"/>
      <c r="P461" s="332">
        <f>IFERROR(VLOOKUP(TEXT(O461,"0"),CONDUCTORES!$A$3:$G$54,2,0),"")</f>
        <v/>
      </c>
      <c r="Q461" s="332">
        <f>IFERROR(VLOOKUP(TEXT(O461,"0"),CONDUCTORES!$A$3:$H$54,6,0),"")</f>
        <v/>
      </c>
      <c r="R461" s="280" t="n"/>
      <c r="S461" s="280" t="n"/>
      <c r="T461" s="280" t="n"/>
      <c r="U461" s="280" t="n"/>
      <c r="V461" s="280" t="n"/>
      <c r="W461" s="280" t="n"/>
      <c r="X461" s="280" t="n"/>
      <c r="Y461" s="280" t="n"/>
      <c r="Z461" s="350" t="n"/>
      <c r="AA461" s="198" t="n"/>
      <c r="AB461" s="198" t="n"/>
      <c r="AC461" s="198" t="n"/>
    </row>
    <row r="462" ht="15" customHeight="1" s="195">
      <c r="A462" s="280" t="n"/>
      <c r="B462" s="280" t="n"/>
      <c r="C462" s="280" t="n"/>
      <c r="D462" s="280" t="n"/>
      <c r="E462" s="280" t="n"/>
      <c r="F462" s="280" t="n"/>
      <c r="G462" s="280" t="n"/>
      <c r="H462" s="280" t="n"/>
      <c r="I462" s="332">
        <f>IFERROR(VLOOKUP(TEXT(H462,"0"),IPRESS!$A$3:$B$212,2,0),"")</f>
        <v/>
      </c>
      <c r="J462" s="280" t="n"/>
      <c r="K462" s="343" t="n"/>
      <c r="L462" s="280" t="n"/>
      <c r="M462" s="280" t="n"/>
      <c r="N462" s="345" t="n"/>
      <c r="O462" s="280" t="n"/>
      <c r="P462" s="332">
        <f>IFERROR(VLOOKUP(TEXT(O462,"0"),CONDUCTORES!$A$3:$G$54,2,0),"")</f>
        <v/>
      </c>
      <c r="Q462" s="332">
        <f>IFERROR(VLOOKUP(TEXT(O462,"0"),CONDUCTORES!$A$3:$H$54,6,0),"")</f>
        <v/>
      </c>
      <c r="R462" s="280" t="n"/>
      <c r="S462" s="280" t="n"/>
      <c r="T462" s="280" t="n"/>
      <c r="U462" s="280" t="n"/>
      <c r="V462" s="280" t="n"/>
      <c r="W462" s="280" t="n"/>
      <c r="X462" s="280" t="n"/>
      <c r="Y462" s="280" t="n"/>
      <c r="Z462" s="350" t="n"/>
      <c r="AA462" s="198" t="n"/>
      <c r="AB462" s="198" t="n"/>
      <c r="AC462" s="198" t="n"/>
    </row>
    <row r="463" ht="15" customHeight="1" s="195">
      <c r="A463" s="280" t="n"/>
      <c r="B463" s="280" t="n"/>
      <c r="C463" s="280" t="n"/>
      <c r="D463" s="280" t="n"/>
      <c r="E463" s="280" t="n"/>
      <c r="F463" s="280" t="n"/>
      <c r="G463" s="280" t="n"/>
      <c r="H463" s="280" t="n"/>
      <c r="I463" s="332">
        <f>IFERROR(VLOOKUP(TEXT(H463,"0"),IPRESS!$A$3:$B$212,2,0),"")</f>
        <v/>
      </c>
      <c r="J463" s="280" t="n"/>
      <c r="K463" s="343" t="n"/>
      <c r="L463" s="280" t="n"/>
      <c r="M463" s="280" t="n"/>
      <c r="N463" s="345" t="n"/>
      <c r="O463" s="280" t="n"/>
      <c r="P463" s="332">
        <f>IFERROR(VLOOKUP(TEXT(O463,"0"),CONDUCTORES!$A$3:$G$54,2,0),"")</f>
        <v/>
      </c>
      <c r="Q463" s="332">
        <f>IFERROR(VLOOKUP(TEXT(O463,"0"),CONDUCTORES!$A$3:$H$54,6,0),"")</f>
        <v/>
      </c>
      <c r="R463" s="280" t="n"/>
      <c r="S463" s="280" t="n"/>
      <c r="T463" s="280" t="n"/>
      <c r="U463" s="280" t="n"/>
      <c r="V463" s="280" t="n"/>
      <c r="W463" s="280" t="n"/>
      <c r="X463" s="280" t="n"/>
      <c r="Y463" s="280" t="n"/>
      <c r="Z463" s="350" t="n"/>
      <c r="AA463" s="198" t="n"/>
      <c r="AB463" s="198" t="n"/>
      <c r="AC463" s="198" t="n"/>
    </row>
    <row r="464" ht="15" customHeight="1" s="195">
      <c r="A464" s="280" t="n"/>
      <c r="B464" s="280" t="n"/>
      <c r="C464" s="280" t="n"/>
      <c r="D464" s="280" t="n"/>
      <c r="E464" s="280" t="n"/>
      <c r="F464" s="280" t="n"/>
      <c r="G464" s="280" t="n"/>
      <c r="H464" s="280" t="n"/>
      <c r="I464" s="332">
        <f>IFERROR(VLOOKUP(TEXT(H464,"0"),IPRESS!$A$3:$B$212,2,0),"")</f>
        <v/>
      </c>
      <c r="J464" s="280" t="n"/>
      <c r="K464" s="343" t="n"/>
      <c r="L464" s="280" t="n"/>
      <c r="M464" s="280" t="n"/>
      <c r="N464" s="345" t="n"/>
      <c r="O464" s="280" t="n"/>
      <c r="P464" s="332">
        <f>IFERROR(VLOOKUP(TEXT(O464,"0"),CONDUCTORES!$A$3:$G$54,2,0),"")</f>
        <v/>
      </c>
      <c r="Q464" s="332">
        <f>IFERROR(VLOOKUP(TEXT(O464,"0"),CONDUCTORES!$A$3:$H$54,6,0),"")</f>
        <v/>
      </c>
      <c r="R464" s="280" t="n"/>
      <c r="S464" s="280" t="n"/>
      <c r="T464" s="280" t="n"/>
      <c r="U464" s="280" t="n"/>
      <c r="V464" s="280" t="n"/>
      <c r="W464" s="280" t="n"/>
      <c r="X464" s="280" t="n"/>
      <c r="Y464" s="280" t="n"/>
      <c r="Z464" s="350" t="n"/>
      <c r="AA464" s="198" t="n"/>
      <c r="AB464" s="198" t="n"/>
      <c r="AC464" s="198" t="n"/>
    </row>
    <row r="465" ht="15" customHeight="1" s="195">
      <c r="A465" s="280" t="n"/>
      <c r="B465" s="280" t="n"/>
      <c r="C465" s="280" t="n"/>
      <c r="D465" s="280" t="n"/>
      <c r="E465" s="280" t="n"/>
      <c r="F465" s="280" t="n"/>
      <c r="G465" s="280" t="n"/>
      <c r="H465" s="280" t="n"/>
      <c r="I465" s="332">
        <f>IFERROR(VLOOKUP(TEXT(H465,"0"),IPRESS!$A$3:$B$212,2,0),"")</f>
        <v/>
      </c>
      <c r="J465" s="280" t="n"/>
      <c r="K465" s="343" t="n"/>
      <c r="L465" s="280" t="n"/>
      <c r="M465" s="280" t="n"/>
      <c r="N465" s="345" t="n"/>
      <c r="O465" s="280" t="n"/>
      <c r="P465" s="332">
        <f>IFERROR(VLOOKUP(TEXT(O465,"0"),CONDUCTORES!$A$3:$G$54,2,0),"")</f>
        <v/>
      </c>
      <c r="Q465" s="332">
        <f>IFERROR(VLOOKUP(TEXT(O465,"0"),CONDUCTORES!$A$3:$H$54,6,0),"")</f>
        <v/>
      </c>
      <c r="R465" s="280" t="n"/>
      <c r="S465" s="280" t="n"/>
      <c r="T465" s="280" t="n"/>
      <c r="U465" s="280" t="n"/>
      <c r="V465" s="280" t="n"/>
      <c r="W465" s="280" t="n"/>
      <c r="X465" s="280" t="n"/>
      <c r="Y465" s="280" t="n"/>
      <c r="Z465" s="350" t="n"/>
      <c r="AA465" s="198" t="n"/>
      <c r="AB465" s="198" t="n"/>
      <c r="AC465" s="198" t="n"/>
    </row>
    <row r="466" ht="15" customHeight="1" s="195">
      <c r="A466" s="280" t="n"/>
      <c r="B466" s="280" t="n"/>
      <c r="C466" s="280" t="n"/>
      <c r="D466" s="280" t="n"/>
      <c r="E466" s="280" t="n"/>
      <c r="F466" s="280" t="n"/>
      <c r="G466" s="280" t="n"/>
      <c r="H466" s="280" t="n"/>
      <c r="I466" s="332">
        <f>IFERROR(VLOOKUP(TEXT(H466,"0"),IPRESS!$A$3:$B$212,2,0),"")</f>
        <v/>
      </c>
      <c r="J466" s="280" t="n"/>
      <c r="K466" s="343" t="n"/>
      <c r="L466" s="280" t="n"/>
      <c r="M466" s="280" t="n"/>
      <c r="N466" s="345" t="n"/>
      <c r="O466" s="280" t="n"/>
      <c r="P466" s="332">
        <f>IFERROR(VLOOKUP(TEXT(O466,"0"),CONDUCTORES!$A$3:$G$54,2,0),"")</f>
        <v/>
      </c>
      <c r="Q466" s="332">
        <f>IFERROR(VLOOKUP(TEXT(O466,"0"),CONDUCTORES!$A$3:$H$54,6,0),"")</f>
        <v/>
      </c>
      <c r="R466" s="280" t="n"/>
      <c r="S466" s="280" t="n"/>
      <c r="T466" s="280" t="n"/>
      <c r="U466" s="280" t="n"/>
      <c r="V466" s="280" t="n"/>
      <c r="W466" s="280" t="n"/>
      <c r="X466" s="280" t="n"/>
      <c r="Y466" s="280" t="n"/>
      <c r="Z466" s="350" t="n"/>
      <c r="AA466" s="198" t="n"/>
      <c r="AB466" s="198" t="n"/>
      <c r="AC466" s="198" t="n"/>
    </row>
    <row r="467" ht="15" customHeight="1" s="195">
      <c r="A467" s="280" t="n"/>
      <c r="B467" s="280" t="n"/>
      <c r="C467" s="280" t="n"/>
      <c r="D467" s="280" t="n"/>
      <c r="E467" s="280" t="n"/>
      <c r="F467" s="280" t="n"/>
      <c r="G467" s="280" t="n"/>
      <c r="H467" s="280" t="n"/>
      <c r="I467" s="332">
        <f>IFERROR(VLOOKUP(TEXT(H467,"0"),IPRESS!$A$3:$B$212,2,0),"")</f>
        <v/>
      </c>
      <c r="J467" s="280" t="n"/>
      <c r="K467" s="343" t="n"/>
      <c r="L467" s="280" t="n"/>
      <c r="M467" s="280" t="n"/>
      <c r="N467" s="345" t="n"/>
      <c r="O467" s="280" t="n"/>
      <c r="P467" s="332">
        <f>IFERROR(VLOOKUP(TEXT(O467,"0"),CONDUCTORES!$A$3:$G$54,2,0),"")</f>
        <v/>
      </c>
      <c r="Q467" s="332">
        <f>IFERROR(VLOOKUP(TEXT(O467,"0"),CONDUCTORES!$A$3:$H$54,6,0),"")</f>
        <v/>
      </c>
      <c r="R467" s="280" t="n"/>
      <c r="S467" s="280" t="n"/>
      <c r="T467" s="280" t="n"/>
      <c r="U467" s="280" t="n"/>
      <c r="V467" s="280" t="n"/>
      <c r="W467" s="280" t="n"/>
      <c r="X467" s="280" t="n"/>
      <c r="Y467" s="280" t="n"/>
      <c r="Z467" s="350" t="n"/>
      <c r="AA467" s="198" t="n"/>
      <c r="AB467" s="198" t="n"/>
      <c r="AC467" s="198" t="n"/>
    </row>
    <row r="468" ht="15" customHeight="1" s="195">
      <c r="A468" s="280" t="n"/>
      <c r="B468" s="280" t="n"/>
      <c r="C468" s="280" t="n"/>
      <c r="D468" s="280" t="n"/>
      <c r="E468" s="280" t="n"/>
      <c r="F468" s="280" t="n"/>
      <c r="G468" s="280" t="n"/>
      <c r="H468" s="280" t="n"/>
      <c r="I468" s="332">
        <f>IFERROR(VLOOKUP(TEXT(H468,"0"),IPRESS!$A$3:$B$212,2,0),"")</f>
        <v/>
      </c>
      <c r="J468" s="280" t="n"/>
      <c r="K468" s="343" t="n"/>
      <c r="L468" s="280" t="n"/>
      <c r="M468" s="280" t="n"/>
      <c r="N468" s="345" t="n"/>
      <c r="O468" s="280" t="n"/>
      <c r="P468" s="332">
        <f>IFERROR(VLOOKUP(TEXT(O468,"0"),CONDUCTORES!$A$3:$G$54,2,0),"")</f>
        <v/>
      </c>
      <c r="Q468" s="332">
        <f>IFERROR(VLOOKUP(TEXT(O468,"0"),CONDUCTORES!$A$3:$H$54,6,0),"")</f>
        <v/>
      </c>
      <c r="R468" s="280" t="n"/>
      <c r="S468" s="280" t="n"/>
      <c r="T468" s="280" t="n"/>
      <c r="U468" s="280" t="n"/>
      <c r="V468" s="280" t="n"/>
      <c r="W468" s="280" t="n"/>
      <c r="X468" s="280" t="n"/>
      <c r="Y468" s="280" t="n"/>
      <c r="Z468" s="350" t="n"/>
      <c r="AA468" s="198" t="n"/>
      <c r="AB468" s="198" t="n"/>
      <c r="AC468" s="198" t="n"/>
    </row>
    <row r="469" ht="15" customHeight="1" s="195">
      <c r="A469" s="280" t="n"/>
      <c r="B469" s="280" t="n"/>
      <c r="C469" s="280" t="n"/>
      <c r="D469" s="280" t="n"/>
      <c r="E469" s="280" t="n"/>
      <c r="F469" s="280" t="n"/>
      <c r="G469" s="280" t="n"/>
      <c r="H469" s="280" t="n"/>
      <c r="I469" s="332">
        <f>IFERROR(VLOOKUP(TEXT(H469,"0"),IPRESS!$A$3:$B$212,2,0),"")</f>
        <v/>
      </c>
      <c r="J469" s="280" t="n"/>
      <c r="K469" s="343" t="n"/>
      <c r="L469" s="280" t="n"/>
      <c r="M469" s="280" t="n"/>
      <c r="N469" s="345" t="n"/>
      <c r="O469" s="280" t="n"/>
      <c r="P469" s="332">
        <f>IFERROR(VLOOKUP(TEXT(O469,"0"),CONDUCTORES!$A$3:$G$54,2,0),"")</f>
        <v/>
      </c>
      <c r="Q469" s="332">
        <f>IFERROR(VLOOKUP(TEXT(O469,"0"),CONDUCTORES!$A$3:$H$54,6,0),"")</f>
        <v/>
      </c>
      <c r="R469" s="280" t="n"/>
      <c r="S469" s="280" t="n"/>
      <c r="T469" s="280" t="n"/>
      <c r="U469" s="280" t="n"/>
      <c r="V469" s="280" t="n"/>
      <c r="W469" s="280" t="n"/>
      <c r="X469" s="280" t="n"/>
      <c r="Y469" s="280" t="n"/>
      <c r="Z469" s="350" t="n"/>
      <c r="AA469" s="198" t="n"/>
      <c r="AB469" s="198" t="n"/>
      <c r="AC469" s="198" t="n"/>
    </row>
    <row r="470" ht="15" customHeight="1" s="195">
      <c r="A470" s="280" t="n"/>
      <c r="B470" s="280" t="n"/>
      <c r="C470" s="280" t="n"/>
      <c r="D470" s="280" t="n"/>
      <c r="E470" s="280" t="n"/>
      <c r="F470" s="280" t="n"/>
      <c r="G470" s="280" t="n"/>
      <c r="H470" s="280" t="n"/>
      <c r="I470" s="332">
        <f>IFERROR(VLOOKUP(TEXT(H470,"0"),IPRESS!$A$3:$B$212,2,0),"")</f>
        <v/>
      </c>
      <c r="J470" s="280" t="n"/>
      <c r="K470" s="343" t="n"/>
      <c r="L470" s="280" t="n"/>
      <c r="M470" s="280" t="n"/>
      <c r="N470" s="345" t="n"/>
      <c r="O470" s="280" t="n"/>
      <c r="P470" s="332">
        <f>IFERROR(VLOOKUP(TEXT(O470,"0"),CONDUCTORES!$A$3:$G$54,2,0),"")</f>
        <v/>
      </c>
      <c r="Q470" s="332">
        <f>IFERROR(VLOOKUP(TEXT(O470,"0"),CONDUCTORES!$A$3:$H$54,6,0),"")</f>
        <v/>
      </c>
      <c r="R470" s="280" t="n"/>
      <c r="S470" s="280" t="n"/>
      <c r="T470" s="280" t="n"/>
      <c r="U470" s="280" t="n"/>
      <c r="V470" s="280" t="n"/>
      <c r="W470" s="280" t="n"/>
      <c r="X470" s="280" t="n"/>
      <c r="Y470" s="280" t="n"/>
      <c r="Z470" s="350" t="n"/>
      <c r="AA470" s="198" t="n"/>
      <c r="AB470" s="198" t="n"/>
      <c r="AC470" s="198" t="n"/>
    </row>
    <row r="471" ht="15" customHeight="1" s="195">
      <c r="A471" s="280" t="n"/>
      <c r="B471" s="280" t="n"/>
      <c r="C471" s="280" t="n"/>
      <c r="D471" s="280" t="n"/>
      <c r="E471" s="280" t="n"/>
      <c r="F471" s="280" t="n"/>
      <c r="G471" s="280" t="n"/>
      <c r="H471" s="280" t="n"/>
      <c r="I471" s="332">
        <f>IFERROR(VLOOKUP(TEXT(H471,"0"),IPRESS!$A$3:$B$212,2,0),"")</f>
        <v/>
      </c>
      <c r="J471" s="280" t="n"/>
      <c r="K471" s="343" t="n"/>
      <c r="L471" s="280" t="n"/>
      <c r="M471" s="280" t="n"/>
      <c r="N471" s="345" t="n"/>
      <c r="O471" s="280" t="n"/>
      <c r="P471" s="332">
        <f>IFERROR(VLOOKUP(TEXT(O471,"0"),CONDUCTORES!$A$3:$G$54,2,0),"")</f>
        <v/>
      </c>
      <c r="Q471" s="332">
        <f>IFERROR(VLOOKUP(TEXT(O471,"0"),CONDUCTORES!$A$3:$H$54,6,0),"")</f>
        <v/>
      </c>
      <c r="R471" s="280" t="n"/>
      <c r="S471" s="280" t="n"/>
      <c r="T471" s="280" t="n"/>
      <c r="U471" s="280" t="n"/>
      <c r="V471" s="280" t="n"/>
      <c r="W471" s="280" t="n"/>
      <c r="X471" s="280" t="n"/>
      <c r="Y471" s="280" t="n"/>
      <c r="Z471" s="350" t="n"/>
      <c r="AA471" s="198" t="n"/>
      <c r="AB471" s="198" t="n"/>
      <c r="AC471" s="198" t="n"/>
    </row>
    <row r="472" ht="15" customHeight="1" s="195">
      <c r="A472" s="280" t="n"/>
      <c r="B472" s="280" t="n"/>
      <c r="C472" s="280" t="n"/>
      <c r="D472" s="280" t="n"/>
      <c r="E472" s="280" t="n"/>
      <c r="F472" s="280" t="n"/>
      <c r="G472" s="280" t="n"/>
      <c r="H472" s="280" t="n"/>
      <c r="I472" s="332">
        <f>IFERROR(VLOOKUP(TEXT(H472,"0"),IPRESS!$A$3:$B$212,2,0),"")</f>
        <v/>
      </c>
      <c r="J472" s="280" t="n"/>
      <c r="K472" s="343" t="n"/>
      <c r="L472" s="280" t="n"/>
      <c r="M472" s="280" t="n"/>
      <c r="N472" s="345" t="n"/>
      <c r="O472" s="280" t="n"/>
      <c r="P472" s="332">
        <f>IFERROR(VLOOKUP(TEXT(O472,"0"),CONDUCTORES!$A$3:$G$54,2,0),"")</f>
        <v/>
      </c>
      <c r="Q472" s="332">
        <f>IFERROR(VLOOKUP(TEXT(O472,"0"),CONDUCTORES!$A$3:$H$54,6,0),"")</f>
        <v/>
      </c>
      <c r="R472" s="280" t="n"/>
      <c r="S472" s="280" t="n"/>
      <c r="T472" s="280" t="n"/>
      <c r="U472" s="280" t="n"/>
      <c r="V472" s="280" t="n"/>
      <c r="W472" s="280" t="n"/>
      <c r="X472" s="280" t="n"/>
      <c r="Y472" s="280" t="n"/>
      <c r="Z472" s="350" t="n"/>
      <c r="AA472" s="198" t="n"/>
      <c r="AB472" s="198" t="n"/>
      <c r="AC472" s="198" t="n"/>
    </row>
    <row r="473" ht="15" customHeight="1" s="195">
      <c r="A473" s="280" t="n"/>
      <c r="B473" s="280" t="n"/>
      <c r="C473" s="280" t="n"/>
      <c r="D473" s="280" t="n"/>
      <c r="E473" s="280" t="n"/>
      <c r="F473" s="280" t="n"/>
      <c r="G473" s="280" t="n"/>
      <c r="H473" s="280" t="n"/>
      <c r="I473" s="332">
        <f>IFERROR(VLOOKUP(TEXT(H473,"0"),IPRESS!$A$3:$B$212,2,0),"")</f>
        <v/>
      </c>
      <c r="J473" s="280" t="n"/>
      <c r="K473" s="343" t="n"/>
      <c r="L473" s="280" t="n"/>
      <c r="M473" s="280" t="n"/>
      <c r="N473" s="345" t="n"/>
      <c r="O473" s="280" t="n"/>
      <c r="P473" s="332">
        <f>IFERROR(VLOOKUP(TEXT(O473,"0"),CONDUCTORES!$A$3:$G$54,2,0),"")</f>
        <v/>
      </c>
      <c r="Q473" s="332">
        <f>IFERROR(VLOOKUP(TEXT(O473,"0"),CONDUCTORES!$A$3:$H$54,6,0),"")</f>
        <v/>
      </c>
      <c r="R473" s="280" t="n"/>
      <c r="S473" s="280" t="n"/>
      <c r="T473" s="280" t="n"/>
      <c r="U473" s="280" t="n"/>
      <c r="V473" s="280" t="n"/>
      <c r="W473" s="280" t="n"/>
      <c r="X473" s="280" t="n"/>
      <c r="Y473" s="280" t="n"/>
      <c r="Z473" s="350" t="n"/>
      <c r="AA473" s="198" t="n"/>
      <c r="AB473" s="198" t="n"/>
      <c r="AC473" s="198" t="n"/>
    </row>
    <row r="474" ht="15" customHeight="1" s="195">
      <c r="A474" s="280" t="n"/>
      <c r="B474" s="280" t="n"/>
      <c r="C474" s="280" t="n"/>
      <c r="D474" s="280" t="n"/>
      <c r="E474" s="280" t="n"/>
      <c r="F474" s="280" t="n"/>
      <c r="G474" s="280" t="n"/>
      <c r="H474" s="280" t="n"/>
      <c r="I474" s="332">
        <f>IFERROR(VLOOKUP(TEXT(H474,"0"),IPRESS!$A$3:$B$212,2,0),"")</f>
        <v/>
      </c>
      <c r="J474" s="280" t="n"/>
      <c r="K474" s="343" t="n"/>
      <c r="L474" s="280" t="n"/>
      <c r="M474" s="280" t="n"/>
      <c r="N474" s="345" t="n"/>
      <c r="O474" s="280" t="n"/>
      <c r="P474" s="332">
        <f>IFERROR(VLOOKUP(TEXT(O474,"0"),CONDUCTORES!$A$3:$G$54,2,0),"")</f>
        <v/>
      </c>
      <c r="Q474" s="332">
        <f>IFERROR(VLOOKUP(TEXT(O474,"0"),CONDUCTORES!$A$3:$H$54,6,0),"")</f>
        <v/>
      </c>
      <c r="R474" s="280" t="n"/>
      <c r="S474" s="280" t="n"/>
      <c r="T474" s="280" t="n"/>
      <c r="U474" s="280" t="n"/>
      <c r="V474" s="280" t="n"/>
      <c r="W474" s="280" t="n"/>
      <c r="X474" s="280" t="n"/>
      <c r="Y474" s="280" t="n"/>
      <c r="Z474" s="350" t="n"/>
      <c r="AA474" s="198" t="n"/>
      <c r="AB474" s="198" t="n"/>
      <c r="AC474" s="198" t="n"/>
    </row>
    <row r="475" ht="15" customHeight="1" s="195">
      <c r="A475" s="280" t="n"/>
      <c r="B475" s="280" t="n"/>
      <c r="C475" s="280" t="n"/>
      <c r="D475" s="280" t="n"/>
      <c r="E475" s="280" t="n"/>
      <c r="F475" s="280" t="n"/>
      <c r="G475" s="280" t="n"/>
      <c r="H475" s="280" t="n"/>
      <c r="I475" s="332">
        <f>IFERROR(VLOOKUP(TEXT(H475,"0"),IPRESS!$A$3:$B$212,2,0),"")</f>
        <v/>
      </c>
      <c r="J475" s="280" t="n"/>
      <c r="K475" s="343" t="n"/>
      <c r="L475" s="280" t="n"/>
      <c r="M475" s="280" t="n"/>
      <c r="N475" s="345" t="n"/>
      <c r="O475" s="280" t="n"/>
      <c r="P475" s="332">
        <f>IFERROR(VLOOKUP(TEXT(O475,"0"),CONDUCTORES!$A$3:$G$54,2,0),"")</f>
        <v/>
      </c>
      <c r="Q475" s="332">
        <f>IFERROR(VLOOKUP(TEXT(O475,"0"),CONDUCTORES!$A$3:$H$54,6,0),"")</f>
        <v/>
      </c>
      <c r="R475" s="280" t="n"/>
      <c r="S475" s="280" t="n"/>
      <c r="T475" s="280" t="n"/>
      <c r="U475" s="280" t="n"/>
      <c r="V475" s="280" t="n"/>
      <c r="W475" s="280" t="n"/>
      <c r="X475" s="280" t="n"/>
      <c r="Y475" s="280" t="n"/>
      <c r="Z475" s="350" t="n"/>
      <c r="AA475" s="198" t="n"/>
      <c r="AB475" s="198" t="n"/>
      <c r="AC475" s="198" t="n"/>
    </row>
    <row r="476" ht="15" customHeight="1" s="195">
      <c r="A476" s="280" t="n"/>
      <c r="B476" s="280" t="n"/>
      <c r="C476" s="280" t="n"/>
      <c r="D476" s="280" t="n"/>
      <c r="E476" s="280" t="n"/>
      <c r="F476" s="280" t="n"/>
      <c r="G476" s="280" t="n"/>
      <c r="H476" s="280" t="n"/>
      <c r="I476" s="332">
        <f>IFERROR(VLOOKUP(TEXT(H476,"0"),IPRESS!$A$3:$B$212,2,0),"")</f>
        <v/>
      </c>
      <c r="J476" s="280" t="n"/>
      <c r="K476" s="343" t="n"/>
      <c r="L476" s="280" t="n"/>
      <c r="M476" s="280" t="n"/>
      <c r="N476" s="345" t="n"/>
      <c r="O476" s="280" t="n"/>
      <c r="P476" s="332">
        <f>IFERROR(VLOOKUP(TEXT(O476,"0"),CONDUCTORES!$A$3:$G$54,2,0),"")</f>
        <v/>
      </c>
      <c r="Q476" s="332">
        <f>IFERROR(VLOOKUP(TEXT(O476,"0"),CONDUCTORES!$A$3:$H$54,6,0),"")</f>
        <v/>
      </c>
      <c r="R476" s="280" t="n"/>
      <c r="S476" s="280" t="n"/>
      <c r="T476" s="280" t="n"/>
      <c r="U476" s="280" t="n"/>
      <c r="V476" s="280" t="n"/>
      <c r="W476" s="280" t="n"/>
      <c r="X476" s="280" t="n"/>
      <c r="Y476" s="280" t="n"/>
      <c r="Z476" s="350" t="n"/>
      <c r="AA476" s="198" t="n"/>
      <c r="AB476" s="198" t="n"/>
      <c r="AC476" s="198" t="n"/>
    </row>
    <row r="477" ht="15" customHeight="1" s="195">
      <c r="A477" s="280" t="n"/>
      <c r="B477" s="280" t="n"/>
      <c r="C477" s="280" t="n"/>
      <c r="D477" s="280" t="n"/>
      <c r="E477" s="280" t="n"/>
      <c r="F477" s="280" t="n"/>
      <c r="G477" s="280" t="n"/>
      <c r="H477" s="280" t="n"/>
      <c r="I477" s="332">
        <f>IFERROR(VLOOKUP(TEXT(H477,"0"),IPRESS!$A$3:$B$212,2,0),"")</f>
        <v/>
      </c>
      <c r="J477" s="280" t="n"/>
      <c r="K477" s="343" t="n"/>
      <c r="L477" s="280" t="n"/>
      <c r="M477" s="280" t="n"/>
      <c r="N477" s="345" t="n"/>
      <c r="O477" s="280" t="n"/>
      <c r="P477" s="332">
        <f>IFERROR(VLOOKUP(TEXT(O477,"0"),CONDUCTORES!$A$3:$G$54,2,0),"")</f>
        <v/>
      </c>
      <c r="Q477" s="332">
        <f>IFERROR(VLOOKUP(TEXT(O477,"0"),CONDUCTORES!$A$3:$H$54,6,0),"")</f>
        <v/>
      </c>
      <c r="R477" s="280" t="n"/>
      <c r="S477" s="280" t="n"/>
      <c r="T477" s="280" t="n"/>
      <c r="U477" s="280" t="n"/>
      <c r="V477" s="280" t="n"/>
      <c r="W477" s="280" t="n"/>
      <c r="X477" s="280" t="n"/>
      <c r="Y477" s="280" t="n"/>
      <c r="Z477" s="350" t="n"/>
      <c r="AA477" s="198" t="n"/>
      <c r="AB477" s="198" t="n"/>
      <c r="AC477" s="198" t="n"/>
    </row>
    <row r="478" ht="15" customHeight="1" s="195">
      <c r="A478" s="280" t="n"/>
      <c r="B478" s="280" t="n"/>
      <c r="C478" s="280" t="n"/>
      <c r="D478" s="280" t="n"/>
      <c r="E478" s="280" t="n"/>
      <c r="F478" s="280" t="n"/>
      <c r="G478" s="280" t="n"/>
      <c r="H478" s="280" t="n"/>
      <c r="I478" s="332">
        <f>IFERROR(VLOOKUP(TEXT(H478,"0"),IPRESS!$A$3:$B$212,2,0),"")</f>
        <v/>
      </c>
      <c r="J478" s="280" t="n"/>
      <c r="K478" s="343" t="n"/>
      <c r="L478" s="280" t="n"/>
      <c r="M478" s="280" t="n"/>
      <c r="N478" s="345" t="n"/>
      <c r="O478" s="280" t="n"/>
      <c r="P478" s="332">
        <f>IFERROR(VLOOKUP(TEXT(O478,"0"),CONDUCTORES!$A$3:$G$54,2,0),"")</f>
        <v/>
      </c>
      <c r="Q478" s="332">
        <f>IFERROR(VLOOKUP(TEXT(O478,"0"),CONDUCTORES!$A$3:$H$54,6,0),"")</f>
        <v/>
      </c>
      <c r="R478" s="280" t="n"/>
      <c r="S478" s="280" t="n"/>
      <c r="T478" s="280" t="n"/>
      <c r="U478" s="280" t="n"/>
      <c r="V478" s="280" t="n"/>
      <c r="W478" s="280" t="n"/>
      <c r="X478" s="280" t="n"/>
      <c r="Y478" s="280" t="n"/>
      <c r="Z478" s="350" t="n"/>
      <c r="AA478" s="198" t="n"/>
      <c r="AB478" s="198" t="n"/>
      <c r="AC478" s="198" t="n"/>
    </row>
    <row r="479" ht="15" customHeight="1" s="195">
      <c r="A479" s="280" t="n"/>
      <c r="B479" s="280" t="n"/>
      <c r="C479" s="280" t="n"/>
      <c r="D479" s="280" t="n"/>
      <c r="E479" s="280" t="n"/>
      <c r="F479" s="280" t="n"/>
      <c r="G479" s="280" t="n"/>
      <c r="H479" s="280" t="n"/>
      <c r="I479" s="332">
        <f>IFERROR(VLOOKUP(TEXT(H479,"0"),IPRESS!$A$3:$B$212,2,0),"")</f>
        <v/>
      </c>
      <c r="J479" s="280" t="n"/>
      <c r="K479" s="343" t="n"/>
      <c r="L479" s="280" t="n"/>
      <c r="M479" s="280" t="n"/>
      <c r="N479" s="345" t="n"/>
      <c r="O479" s="280" t="n"/>
      <c r="P479" s="332">
        <f>IFERROR(VLOOKUP(TEXT(O479,"0"),CONDUCTORES!$A$3:$G$54,2,0),"")</f>
        <v/>
      </c>
      <c r="Q479" s="332">
        <f>IFERROR(VLOOKUP(TEXT(O479,"0"),CONDUCTORES!$A$3:$H$54,6,0),"")</f>
        <v/>
      </c>
      <c r="R479" s="280" t="n"/>
      <c r="S479" s="280" t="n"/>
      <c r="T479" s="280" t="n"/>
      <c r="U479" s="280" t="n"/>
      <c r="V479" s="280" t="n"/>
      <c r="W479" s="280" t="n"/>
      <c r="X479" s="280" t="n"/>
      <c r="Y479" s="280" t="n"/>
      <c r="Z479" s="350" t="n"/>
      <c r="AA479" s="198" t="n"/>
      <c r="AB479" s="198" t="n"/>
      <c r="AC479" s="198" t="n"/>
    </row>
    <row r="480" ht="15" customHeight="1" s="195">
      <c r="A480" s="280" t="n"/>
      <c r="B480" s="280" t="n"/>
      <c r="C480" s="280" t="n"/>
      <c r="D480" s="280" t="n"/>
      <c r="E480" s="280" t="n"/>
      <c r="F480" s="280" t="n"/>
      <c r="G480" s="280" t="n"/>
      <c r="H480" s="280" t="n"/>
      <c r="I480" s="332">
        <f>IFERROR(VLOOKUP(TEXT(H480,"0"),IPRESS!$A$3:$B$212,2,0),"")</f>
        <v/>
      </c>
      <c r="J480" s="280" t="n"/>
      <c r="K480" s="343" t="n"/>
      <c r="L480" s="280" t="n"/>
      <c r="M480" s="280" t="n"/>
      <c r="N480" s="345" t="n"/>
      <c r="O480" s="280" t="n"/>
      <c r="P480" s="332">
        <f>IFERROR(VLOOKUP(TEXT(O480,"0"),CONDUCTORES!$A$3:$G$54,2,0),"")</f>
        <v/>
      </c>
      <c r="Q480" s="332">
        <f>IFERROR(VLOOKUP(TEXT(O480,"0"),CONDUCTORES!$A$3:$H$54,6,0),"")</f>
        <v/>
      </c>
      <c r="R480" s="280" t="n"/>
      <c r="S480" s="280" t="n"/>
      <c r="T480" s="280" t="n"/>
      <c r="U480" s="280" t="n"/>
      <c r="V480" s="280" t="n"/>
      <c r="W480" s="280" t="n"/>
      <c r="X480" s="280" t="n"/>
      <c r="Y480" s="280" t="n"/>
      <c r="Z480" s="350" t="n"/>
      <c r="AA480" s="198" t="n"/>
      <c r="AB480" s="198" t="n"/>
      <c r="AC480" s="198" t="n"/>
    </row>
    <row r="481" ht="15" customHeight="1" s="195">
      <c r="A481" s="280" t="n"/>
      <c r="B481" s="280" t="n"/>
      <c r="C481" s="280" t="n"/>
      <c r="D481" s="280" t="n"/>
      <c r="E481" s="280" t="n"/>
      <c r="F481" s="280" t="n"/>
      <c r="G481" s="280" t="n"/>
      <c r="H481" s="280" t="n"/>
      <c r="I481" s="332">
        <f>IFERROR(VLOOKUP(TEXT(H481,"0"),IPRESS!$A$3:$B$212,2,0),"")</f>
        <v/>
      </c>
      <c r="J481" s="280" t="n"/>
      <c r="K481" s="343" t="n"/>
      <c r="L481" s="280" t="n"/>
      <c r="M481" s="280" t="n"/>
      <c r="N481" s="345" t="n"/>
      <c r="O481" s="280" t="n"/>
      <c r="P481" s="332">
        <f>IFERROR(VLOOKUP(TEXT(O481,"0"),CONDUCTORES!$A$3:$G$54,2,0),"")</f>
        <v/>
      </c>
      <c r="Q481" s="332">
        <f>IFERROR(VLOOKUP(TEXT(O481,"0"),CONDUCTORES!$A$3:$H$54,6,0),"")</f>
        <v/>
      </c>
      <c r="R481" s="280" t="n"/>
      <c r="S481" s="280" t="n"/>
      <c r="T481" s="280" t="n"/>
      <c r="U481" s="280" t="n"/>
      <c r="V481" s="280" t="n"/>
      <c r="W481" s="280" t="n"/>
      <c r="X481" s="280" t="n"/>
      <c r="Y481" s="280" t="n"/>
      <c r="Z481" s="350" t="n"/>
      <c r="AA481" s="198" t="n"/>
      <c r="AB481" s="198" t="n"/>
      <c r="AC481" s="198" t="n"/>
    </row>
    <row r="482" ht="15" customHeight="1" s="195">
      <c r="A482" s="280" t="n"/>
      <c r="B482" s="280" t="n"/>
      <c r="C482" s="280" t="n"/>
      <c r="D482" s="280" t="n"/>
      <c r="E482" s="280" t="n"/>
      <c r="F482" s="280" t="n"/>
      <c r="G482" s="280" t="n"/>
      <c r="H482" s="280" t="n"/>
      <c r="I482" s="332">
        <f>IFERROR(VLOOKUP(TEXT(H482,"0"),IPRESS!$A$3:$B$212,2,0),"")</f>
        <v/>
      </c>
      <c r="J482" s="280" t="n"/>
      <c r="K482" s="343" t="n"/>
      <c r="L482" s="280" t="n"/>
      <c r="M482" s="280" t="n"/>
      <c r="N482" s="345" t="n"/>
      <c r="O482" s="280" t="n"/>
      <c r="P482" s="332">
        <f>IFERROR(VLOOKUP(TEXT(O482,"0"),CONDUCTORES!$A$3:$G$54,2,0),"")</f>
        <v/>
      </c>
      <c r="Q482" s="332">
        <f>IFERROR(VLOOKUP(TEXT(O482,"0"),CONDUCTORES!$A$3:$H$54,6,0),"")</f>
        <v/>
      </c>
      <c r="R482" s="280" t="n"/>
      <c r="S482" s="280" t="n"/>
      <c r="T482" s="280" t="n"/>
      <c r="U482" s="280" t="n"/>
      <c r="V482" s="280" t="n"/>
      <c r="W482" s="280" t="n"/>
      <c r="X482" s="280" t="n"/>
      <c r="Y482" s="280" t="n"/>
      <c r="Z482" s="350" t="n"/>
      <c r="AA482" s="198" t="n"/>
      <c r="AB482" s="198" t="n"/>
      <c r="AC482" s="198" t="n"/>
    </row>
    <row r="483" ht="15" customHeight="1" s="195">
      <c r="A483" s="280" t="n"/>
      <c r="B483" s="280" t="n"/>
      <c r="C483" s="280" t="n"/>
      <c r="D483" s="280" t="n"/>
      <c r="E483" s="280" t="n"/>
      <c r="F483" s="280" t="n"/>
      <c r="G483" s="280" t="n"/>
      <c r="H483" s="280" t="n"/>
      <c r="I483" s="332">
        <f>IFERROR(VLOOKUP(TEXT(H483,"0"),IPRESS!$A$3:$B$212,2,0),"")</f>
        <v/>
      </c>
      <c r="J483" s="280" t="n"/>
      <c r="K483" s="343" t="n"/>
      <c r="L483" s="280" t="n"/>
      <c r="M483" s="280" t="n"/>
      <c r="N483" s="345" t="n"/>
      <c r="O483" s="280" t="n"/>
      <c r="P483" s="332">
        <f>IFERROR(VLOOKUP(TEXT(O483,"0"),CONDUCTORES!$A$3:$G$54,2,0),"")</f>
        <v/>
      </c>
      <c r="Q483" s="332">
        <f>IFERROR(VLOOKUP(TEXT(O483,"0"),CONDUCTORES!$A$3:$H$54,6,0),"")</f>
        <v/>
      </c>
      <c r="R483" s="280" t="n"/>
      <c r="S483" s="280" t="n"/>
      <c r="T483" s="280" t="n"/>
      <c r="U483" s="280" t="n"/>
      <c r="V483" s="280" t="n"/>
      <c r="W483" s="280" t="n"/>
      <c r="X483" s="280" t="n"/>
      <c r="Y483" s="280" t="n"/>
      <c r="Z483" s="350" t="n"/>
      <c r="AA483" s="198" t="n"/>
      <c r="AB483" s="198" t="n"/>
      <c r="AC483" s="198" t="n"/>
    </row>
    <row r="484" ht="15" customHeight="1" s="195">
      <c r="A484" s="280" t="n"/>
      <c r="B484" s="280" t="n"/>
      <c r="C484" s="280" t="n"/>
      <c r="D484" s="280" t="n"/>
      <c r="E484" s="280" t="n"/>
      <c r="F484" s="280" t="n"/>
      <c r="G484" s="280" t="n"/>
      <c r="H484" s="280" t="n"/>
      <c r="I484" s="332">
        <f>IFERROR(VLOOKUP(TEXT(H484,"0"),IPRESS!$A$3:$B$212,2,0),"")</f>
        <v/>
      </c>
      <c r="J484" s="280" t="n"/>
      <c r="K484" s="343" t="n"/>
      <c r="L484" s="280" t="n"/>
      <c r="M484" s="280" t="n"/>
      <c r="N484" s="345" t="n"/>
      <c r="O484" s="280" t="n"/>
      <c r="P484" s="332">
        <f>IFERROR(VLOOKUP(TEXT(O484,"0"),CONDUCTORES!$A$3:$G$54,2,0),"")</f>
        <v/>
      </c>
      <c r="Q484" s="332">
        <f>IFERROR(VLOOKUP(TEXT(O484,"0"),CONDUCTORES!$A$3:$H$54,6,0),"")</f>
        <v/>
      </c>
      <c r="R484" s="280" t="n"/>
      <c r="S484" s="280" t="n"/>
      <c r="T484" s="280" t="n"/>
      <c r="U484" s="280" t="n"/>
      <c r="V484" s="280" t="n"/>
      <c r="W484" s="280" t="n"/>
      <c r="X484" s="280" t="n"/>
      <c r="Y484" s="280" t="n"/>
      <c r="Z484" s="350" t="n"/>
      <c r="AA484" s="198" t="n"/>
      <c r="AB484" s="198" t="n"/>
      <c r="AC484" s="198" t="n"/>
    </row>
    <row r="485" ht="15" customHeight="1" s="195">
      <c r="A485" s="280" t="n"/>
      <c r="B485" s="280" t="n"/>
      <c r="C485" s="280" t="n"/>
      <c r="D485" s="280" t="n"/>
      <c r="E485" s="280" t="n"/>
      <c r="F485" s="280" t="n"/>
      <c r="G485" s="280" t="n"/>
      <c r="H485" s="280" t="n"/>
      <c r="I485" s="332">
        <f>IFERROR(VLOOKUP(TEXT(H485,"0"),IPRESS!$A$3:$B$212,2,0),"")</f>
        <v/>
      </c>
      <c r="J485" s="280" t="n"/>
      <c r="K485" s="343" t="n"/>
      <c r="L485" s="280" t="n"/>
      <c r="M485" s="280" t="n"/>
      <c r="N485" s="345" t="n"/>
      <c r="O485" s="280" t="n"/>
      <c r="P485" s="332">
        <f>IFERROR(VLOOKUP(TEXT(O485,"0"),CONDUCTORES!$A$3:$G$54,2,0),"")</f>
        <v/>
      </c>
      <c r="Q485" s="332">
        <f>IFERROR(VLOOKUP(TEXT(O485,"0"),CONDUCTORES!$A$3:$H$54,6,0),"")</f>
        <v/>
      </c>
      <c r="R485" s="280" t="n"/>
      <c r="S485" s="280" t="n"/>
      <c r="T485" s="280" t="n"/>
      <c r="U485" s="280" t="n"/>
      <c r="V485" s="280" t="n"/>
      <c r="W485" s="280" t="n"/>
      <c r="X485" s="280" t="n"/>
      <c r="Y485" s="280" t="n"/>
      <c r="Z485" s="350" t="n"/>
      <c r="AA485" s="198" t="n"/>
      <c r="AB485" s="198" t="n"/>
      <c r="AC485" s="198" t="n"/>
    </row>
    <row r="486" ht="15" customHeight="1" s="195">
      <c r="A486" s="280" t="n"/>
      <c r="B486" s="280" t="n"/>
      <c r="C486" s="280" t="n"/>
      <c r="D486" s="280" t="n"/>
      <c r="E486" s="280" t="n"/>
      <c r="F486" s="280" t="n"/>
      <c r="G486" s="280" t="n"/>
      <c r="H486" s="280" t="n"/>
      <c r="I486" s="332">
        <f>IFERROR(VLOOKUP(TEXT(H486,"0"),IPRESS!$A$3:$B$212,2,0),"")</f>
        <v/>
      </c>
      <c r="J486" s="280" t="n"/>
      <c r="K486" s="343" t="n"/>
      <c r="L486" s="280" t="n"/>
      <c r="M486" s="280" t="n"/>
      <c r="N486" s="345" t="n"/>
      <c r="O486" s="280" t="n"/>
      <c r="P486" s="332">
        <f>IFERROR(VLOOKUP(TEXT(O486,"0"),CONDUCTORES!$A$3:$G$54,2,0),"")</f>
        <v/>
      </c>
      <c r="Q486" s="332">
        <f>IFERROR(VLOOKUP(TEXT(O486,"0"),CONDUCTORES!$A$3:$H$54,6,0),"")</f>
        <v/>
      </c>
      <c r="R486" s="280" t="n"/>
      <c r="S486" s="280" t="n"/>
      <c r="T486" s="280" t="n"/>
      <c r="U486" s="280" t="n"/>
      <c r="V486" s="280" t="n"/>
      <c r="W486" s="280" t="n"/>
      <c r="X486" s="280" t="n"/>
      <c r="Y486" s="280" t="n"/>
      <c r="Z486" s="350" t="n"/>
      <c r="AA486" s="198" t="n"/>
      <c r="AB486" s="198" t="n"/>
      <c r="AC486" s="198" t="n"/>
    </row>
    <row r="487" ht="15" customHeight="1" s="195">
      <c r="A487" s="280" t="n"/>
      <c r="B487" s="280" t="n"/>
      <c r="C487" s="280" t="n"/>
      <c r="D487" s="280" t="n"/>
      <c r="E487" s="280" t="n"/>
      <c r="F487" s="280" t="n"/>
      <c r="G487" s="280" t="n"/>
      <c r="H487" s="280" t="n"/>
      <c r="I487" s="332">
        <f>IFERROR(VLOOKUP(TEXT(H487,"0"),IPRESS!$A$3:$B$212,2,0),"")</f>
        <v/>
      </c>
      <c r="J487" s="280" t="n"/>
      <c r="K487" s="343" t="n"/>
      <c r="L487" s="280" t="n"/>
      <c r="M487" s="280" t="n"/>
      <c r="N487" s="345" t="n"/>
      <c r="O487" s="280" t="n"/>
      <c r="P487" s="332">
        <f>IFERROR(VLOOKUP(TEXT(O487,"0"),CONDUCTORES!$A$3:$G$54,2,0),"")</f>
        <v/>
      </c>
      <c r="Q487" s="332">
        <f>IFERROR(VLOOKUP(TEXT(O487,"0"),CONDUCTORES!$A$3:$H$54,6,0),"")</f>
        <v/>
      </c>
      <c r="R487" s="280" t="n"/>
      <c r="S487" s="280" t="n"/>
      <c r="T487" s="280" t="n"/>
      <c r="U487" s="280" t="n"/>
      <c r="V487" s="280" t="n"/>
      <c r="W487" s="280" t="n"/>
      <c r="X487" s="280" t="n"/>
      <c r="Y487" s="280" t="n"/>
      <c r="Z487" s="350" t="n"/>
      <c r="AA487" s="198" t="n"/>
      <c r="AB487" s="198" t="n"/>
      <c r="AC487" s="198" t="n"/>
    </row>
    <row r="488" ht="15" customHeight="1" s="195">
      <c r="A488" s="280" t="n"/>
      <c r="B488" s="280" t="n"/>
      <c r="C488" s="280" t="n"/>
      <c r="D488" s="280" t="n"/>
      <c r="E488" s="280" t="n"/>
      <c r="F488" s="280" t="n"/>
      <c r="G488" s="280" t="n"/>
      <c r="H488" s="280" t="n"/>
      <c r="I488" s="332">
        <f>IFERROR(VLOOKUP(TEXT(H488,"0"),IPRESS!$A$3:$B$212,2,0),"")</f>
        <v/>
      </c>
      <c r="J488" s="280" t="n"/>
      <c r="K488" s="343" t="n"/>
      <c r="L488" s="280" t="n"/>
      <c r="M488" s="280" t="n"/>
      <c r="N488" s="345" t="n"/>
      <c r="O488" s="280" t="n"/>
      <c r="P488" s="332">
        <f>IFERROR(VLOOKUP(TEXT(O488,"0"),CONDUCTORES!$A$3:$G$54,2,0),"")</f>
        <v/>
      </c>
      <c r="Q488" s="332">
        <f>IFERROR(VLOOKUP(TEXT(O488,"0"),CONDUCTORES!$A$3:$H$54,6,0),"")</f>
        <v/>
      </c>
      <c r="R488" s="280" t="n"/>
      <c r="S488" s="280" t="n"/>
      <c r="T488" s="280" t="n"/>
      <c r="U488" s="280" t="n"/>
      <c r="V488" s="280" t="n"/>
      <c r="W488" s="280" t="n"/>
      <c r="X488" s="280" t="n"/>
      <c r="Y488" s="280" t="n"/>
      <c r="Z488" s="350" t="n"/>
      <c r="AA488" s="198" t="n"/>
      <c r="AB488" s="198" t="n"/>
      <c r="AC488" s="198" t="n"/>
    </row>
    <row r="489" ht="15" customHeight="1" s="195">
      <c r="A489" s="280" t="n"/>
      <c r="B489" s="280" t="n"/>
      <c r="C489" s="280" t="n"/>
      <c r="D489" s="280" t="n"/>
      <c r="E489" s="280" t="n"/>
      <c r="F489" s="280" t="n"/>
      <c r="G489" s="280" t="n"/>
      <c r="H489" s="280" t="n"/>
      <c r="I489" s="332">
        <f>IFERROR(VLOOKUP(TEXT(H489,"0"),IPRESS!$A$3:$B$212,2,0),"")</f>
        <v/>
      </c>
      <c r="J489" s="280" t="n"/>
      <c r="K489" s="343" t="n"/>
      <c r="L489" s="280" t="n"/>
      <c r="M489" s="280" t="n"/>
      <c r="N489" s="345" t="n"/>
      <c r="O489" s="280" t="n"/>
      <c r="P489" s="332">
        <f>IFERROR(VLOOKUP(TEXT(O489,"0"),CONDUCTORES!$A$3:$G$54,2,0),"")</f>
        <v/>
      </c>
      <c r="Q489" s="332">
        <f>IFERROR(VLOOKUP(TEXT(O489,"0"),CONDUCTORES!$A$3:$H$54,6,0),"")</f>
        <v/>
      </c>
      <c r="R489" s="280" t="n"/>
      <c r="S489" s="280" t="n"/>
      <c r="T489" s="280" t="n"/>
      <c r="U489" s="280" t="n"/>
      <c r="V489" s="280" t="n"/>
      <c r="W489" s="280" t="n"/>
      <c r="X489" s="280" t="n"/>
      <c r="Y489" s="280" t="n"/>
      <c r="Z489" s="350" t="n"/>
      <c r="AA489" s="198" t="n"/>
      <c r="AB489" s="198" t="n"/>
      <c r="AC489" s="198" t="n"/>
    </row>
    <row r="490" ht="15" customHeight="1" s="195">
      <c r="A490" s="280" t="n"/>
      <c r="B490" s="280" t="n"/>
      <c r="C490" s="280" t="n"/>
      <c r="D490" s="280" t="n"/>
      <c r="E490" s="280" t="n"/>
      <c r="F490" s="280" t="n"/>
      <c r="G490" s="280" t="n"/>
      <c r="H490" s="280" t="n"/>
      <c r="I490" s="332">
        <f>IFERROR(VLOOKUP(TEXT(H490,"0"),IPRESS!$A$3:$B$212,2,0),"")</f>
        <v/>
      </c>
      <c r="J490" s="280" t="n"/>
      <c r="K490" s="343" t="n"/>
      <c r="L490" s="280" t="n"/>
      <c r="M490" s="280" t="n"/>
      <c r="N490" s="345" t="n"/>
      <c r="O490" s="280" t="n"/>
      <c r="P490" s="332">
        <f>IFERROR(VLOOKUP(TEXT(O490,"0"),CONDUCTORES!$A$3:$G$54,2,0),"")</f>
        <v/>
      </c>
      <c r="Q490" s="332">
        <f>IFERROR(VLOOKUP(TEXT(O490,"0"),CONDUCTORES!$A$3:$H$54,6,0),"")</f>
        <v/>
      </c>
      <c r="R490" s="280" t="n"/>
      <c r="S490" s="280" t="n"/>
      <c r="T490" s="280" t="n"/>
      <c r="U490" s="280" t="n"/>
      <c r="V490" s="280" t="n"/>
      <c r="W490" s="280" t="n"/>
      <c r="X490" s="280" t="n"/>
      <c r="Y490" s="280" t="n"/>
      <c r="Z490" s="350" t="n"/>
      <c r="AA490" s="198" t="n"/>
      <c r="AB490" s="198" t="n"/>
      <c r="AC490" s="198" t="n"/>
    </row>
    <row r="491" ht="15" customHeight="1" s="195">
      <c r="A491" s="280" t="n"/>
      <c r="B491" s="280" t="n"/>
      <c r="C491" s="280" t="n"/>
      <c r="D491" s="280" t="n"/>
      <c r="E491" s="280" t="n"/>
      <c r="F491" s="280" t="n"/>
      <c r="G491" s="280" t="n"/>
      <c r="H491" s="280" t="n"/>
      <c r="I491" s="332">
        <f>IFERROR(VLOOKUP(TEXT(H491,"0"),IPRESS!$A$3:$B$212,2,0),"")</f>
        <v/>
      </c>
      <c r="J491" s="280" t="n"/>
      <c r="K491" s="343" t="n"/>
      <c r="L491" s="280" t="n"/>
      <c r="M491" s="280" t="n"/>
      <c r="N491" s="345" t="n"/>
      <c r="O491" s="280" t="n"/>
      <c r="P491" s="332">
        <f>IFERROR(VLOOKUP(TEXT(O491,"0"),CONDUCTORES!$A$3:$G$54,2,0),"")</f>
        <v/>
      </c>
      <c r="Q491" s="332">
        <f>IFERROR(VLOOKUP(TEXT(O491,"0"),CONDUCTORES!$A$3:$H$54,6,0),"")</f>
        <v/>
      </c>
      <c r="R491" s="280" t="n"/>
      <c r="S491" s="280" t="n"/>
      <c r="T491" s="280" t="n"/>
      <c r="U491" s="280" t="n"/>
      <c r="V491" s="280" t="n"/>
      <c r="W491" s="280" t="n"/>
      <c r="X491" s="280" t="n"/>
      <c r="Y491" s="280" t="n"/>
      <c r="Z491" s="350" t="n"/>
      <c r="AA491" s="198" t="n"/>
      <c r="AB491" s="198" t="n"/>
      <c r="AC491" s="198" t="n"/>
    </row>
    <row r="492" ht="15" customHeight="1" s="195">
      <c r="A492" s="280" t="n"/>
      <c r="B492" s="280" t="n"/>
      <c r="C492" s="280" t="n"/>
      <c r="D492" s="280" t="n"/>
      <c r="E492" s="280" t="n"/>
      <c r="F492" s="280" t="n"/>
      <c r="G492" s="280" t="n"/>
      <c r="H492" s="280" t="n"/>
      <c r="I492" s="332">
        <f>IFERROR(VLOOKUP(TEXT(H492,"0"),IPRESS!$A$3:$B$212,2,0),"")</f>
        <v/>
      </c>
      <c r="J492" s="280" t="n"/>
      <c r="K492" s="343" t="n"/>
      <c r="L492" s="280" t="n"/>
      <c r="M492" s="280" t="n"/>
      <c r="N492" s="345" t="n"/>
      <c r="O492" s="280" t="n"/>
      <c r="P492" s="332">
        <f>IFERROR(VLOOKUP(TEXT(O492,"0"),CONDUCTORES!$A$3:$G$54,2,0),"")</f>
        <v/>
      </c>
      <c r="Q492" s="332">
        <f>IFERROR(VLOOKUP(TEXT(O492,"0"),CONDUCTORES!$A$3:$H$54,6,0),"")</f>
        <v/>
      </c>
      <c r="R492" s="280" t="n"/>
      <c r="S492" s="280" t="n"/>
      <c r="T492" s="280" t="n"/>
      <c r="U492" s="280" t="n"/>
      <c r="V492" s="280" t="n"/>
      <c r="W492" s="280" t="n"/>
      <c r="X492" s="280" t="n"/>
      <c r="Y492" s="280" t="n"/>
      <c r="Z492" s="350" t="n"/>
      <c r="AA492" s="198" t="n"/>
      <c r="AB492" s="198" t="n"/>
      <c r="AC492" s="198" t="n"/>
    </row>
    <row r="493" ht="15" customHeight="1" s="195">
      <c r="A493" s="280" t="n"/>
      <c r="B493" s="280" t="n"/>
      <c r="C493" s="280" t="n"/>
      <c r="D493" s="280" t="n"/>
      <c r="E493" s="280" t="n"/>
      <c r="F493" s="280" t="n"/>
      <c r="G493" s="280" t="n"/>
      <c r="H493" s="280" t="n"/>
      <c r="I493" s="332">
        <f>IFERROR(VLOOKUP(TEXT(H493,"0"),IPRESS!$A$3:$B$212,2,0),"")</f>
        <v/>
      </c>
      <c r="J493" s="280" t="n"/>
      <c r="K493" s="343" t="n"/>
      <c r="L493" s="280" t="n"/>
      <c r="M493" s="280" t="n"/>
      <c r="N493" s="345" t="n"/>
      <c r="O493" s="280" t="n"/>
      <c r="P493" s="332">
        <f>IFERROR(VLOOKUP(TEXT(O493,"0"),CONDUCTORES!$A$3:$G$54,2,0),"")</f>
        <v/>
      </c>
      <c r="Q493" s="332">
        <f>IFERROR(VLOOKUP(TEXT(O493,"0"),CONDUCTORES!$A$3:$H$54,6,0),"")</f>
        <v/>
      </c>
      <c r="R493" s="280" t="n"/>
      <c r="S493" s="280" t="n"/>
      <c r="T493" s="280" t="n"/>
      <c r="U493" s="280" t="n"/>
      <c r="V493" s="280" t="n"/>
      <c r="W493" s="280" t="n"/>
      <c r="X493" s="280" t="n"/>
      <c r="Y493" s="280" t="n"/>
      <c r="Z493" s="350" t="n"/>
      <c r="AA493" s="198" t="n"/>
      <c r="AB493" s="198" t="n"/>
      <c r="AC493" s="198" t="n"/>
    </row>
    <row r="494" ht="15" customHeight="1" s="195">
      <c r="A494" s="280" t="n"/>
      <c r="B494" s="280" t="n"/>
      <c r="C494" s="280" t="n"/>
      <c r="D494" s="280" t="n"/>
      <c r="E494" s="280" t="n"/>
      <c r="F494" s="280" t="n"/>
      <c r="G494" s="280" t="n"/>
      <c r="H494" s="280" t="n"/>
      <c r="I494" s="332">
        <f>IFERROR(VLOOKUP(TEXT(H494,"0"),IPRESS!$A$3:$B$212,2,0),"")</f>
        <v/>
      </c>
      <c r="J494" s="280" t="n"/>
      <c r="K494" s="343" t="n"/>
      <c r="L494" s="280" t="n"/>
      <c r="M494" s="280" t="n"/>
      <c r="N494" s="345" t="n"/>
      <c r="O494" s="280" t="n"/>
      <c r="P494" s="332">
        <f>IFERROR(VLOOKUP(TEXT(O494,"0"),CONDUCTORES!$A$3:$G$54,2,0),"")</f>
        <v/>
      </c>
      <c r="Q494" s="332">
        <f>IFERROR(VLOOKUP(TEXT(O494,"0"),CONDUCTORES!$A$3:$H$54,6,0),"")</f>
        <v/>
      </c>
      <c r="R494" s="280" t="n"/>
      <c r="S494" s="280" t="n"/>
      <c r="T494" s="280" t="n"/>
      <c r="U494" s="280" t="n"/>
      <c r="V494" s="280" t="n"/>
      <c r="W494" s="280" t="n"/>
      <c r="X494" s="280" t="n"/>
      <c r="Y494" s="280" t="n"/>
      <c r="Z494" s="350" t="n"/>
      <c r="AA494" s="198" t="n"/>
      <c r="AB494" s="198" t="n"/>
      <c r="AC494" s="198" t="n"/>
    </row>
    <row r="495" ht="15" customHeight="1" s="195">
      <c r="A495" s="280" t="n"/>
      <c r="B495" s="280" t="n"/>
      <c r="C495" s="280" t="n"/>
      <c r="D495" s="280" t="n"/>
      <c r="E495" s="280" t="n"/>
      <c r="F495" s="280" t="n"/>
      <c r="G495" s="280" t="n"/>
      <c r="H495" s="280" t="n"/>
      <c r="I495" s="332">
        <f>IFERROR(VLOOKUP(TEXT(H495,"0"),IPRESS!$A$3:$B$212,2,0),"")</f>
        <v/>
      </c>
      <c r="J495" s="280" t="n"/>
      <c r="K495" s="343" t="n"/>
      <c r="L495" s="280" t="n"/>
      <c r="M495" s="280" t="n"/>
      <c r="N495" s="345" t="n"/>
      <c r="O495" s="280" t="n"/>
      <c r="P495" s="332">
        <f>IFERROR(VLOOKUP(TEXT(O495,"0"),CONDUCTORES!$A$3:$G$54,2,0),"")</f>
        <v/>
      </c>
      <c r="Q495" s="332">
        <f>IFERROR(VLOOKUP(TEXT(O495,"0"),CONDUCTORES!$A$3:$H$54,6,0),"")</f>
        <v/>
      </c>
      <c r="R495" s="280" t="n"/>
      <c r="S495" s="280" t="n"/>
      <c r="T495" s="280" t="n"/>
      <c r="U495" s="280" t="n"/>
      <c r="V495" s="280" t="n"/>
      <c r="W495" s="280" t="n"/>
      <c r="X495" s="280" t="n"/>
      <c r="Y495" s="280" t="n"/>
      <c r="Z495" s="350" t="n"/>
      <c r="AA495" s="198" t="n"/>
      <c r="AB495" s="198" t="n"/>
      <c r="AC495" s="198" t="n"/>
    </row>
    <row r="496" ht="15" customHeight="1" s="195">
      <c r="A496" s="280" t="n"/>
      <c r="B496" s="280" t="n"/>
      <c r="C496" s="280" t="n"/>
      <c r="D496" s="280" t="n"/>
      <c r="E496" s="280" t="n"/>
      <c r="F496" s="280" t="n"/>
      <c r="G496" s="280" t="n"/>
      <c r="H496" s="280" t="n"/>
      <c r="I496" s="332">
        <f>IFERROR(VLOOKUP(TEXT(H496,"0"),IPRESS!$A$3:$B$212,2,0),"")</f>
        <v/>
      </c>
      <c r="J496" s="280" t="n"/>
      <c r="K496" s="343" t="n"/>
      <c r="L496" s="280" t="n"/>
      <c r="M496" s="280" t="n"/>
      <c r="N496" s="345" t="n"/>
      <c r="O496" s="280" t="n"/>
      <c r="P496" s="332">
        <f>IFERROR(VLOOKUP(TEXT(O496,"0"),CONDUCTORES!$A$3:$G$54,2,0),"")</f>
        <v/>
      </c>
      <c r="Q496" s="332">
        <f>IFERROR(VLOOKUP(TEXT(O496,"0"),CONDUCTORES!$A$3:$H$54,6,0),"")</f>
        <v/>
      </c>
      <c r="R496" s="280" t="n"/>
      <c r="S496" s="280" t="n"/>
      <c r="T496" s="280" t="n"/>
      <c r="U496" s="280" t="n"/>
      <c r="V496" s="280" t="n"/>
      <c r="W496" s="280" t="n"/>
      <c r="X496" s="280" t="n"/>
      <c r="Y496" s="280" t="n"/>
      <c r="Z496" s="350" t="n"/>
      <c r="AA496" s="198" t="n"/>
      <c r="AB496" s="198" t="n"/>
      <c r="AC496" s="198" t="n"/>
    </row>
    <row r="497" ht="15" customHeight="1" s="195">
      <c r="A497" s="280" t="n"/>
      <c r="B497" s="280" t="n"/>
      <c r="C497" s="280" t="n"/>
      <c r="D497" s="280" t="n"/>
      <c r="E497" s="280" t="n"/>
      <c r="F497" s="280" t="n"/>
      <c r="G497" s="280" t="n"/>
      <c r="H497" s="280" t="n"/>
      <c r="I497" s="332">
        <f>IFERROR(VLOOKUP(TEXT(H497,"0"),IPRESS!$A$3:$B$212,2,0),"")</f>
        <v/>
      </c>
      <c r="J497" s="280" t="n"/>
      <c r="K497" s="343" t="n"/>
      <c r="L497" s="280" t="n"/>
      <c r="M497" s="280" t="n"/>
      <c r="N497" s="345" t="n"/>
      <c r="O497" s="280" t="n"/>
      <c r="P497" s="332">
        <f>IFERROR(VLOOKUP(TEXT(O497,"0"),CONDUCTORES!$A$3:$G$54,2,0),"")</f>
        <v/>
      </c>
      <c r="Q497" s="332">
        <f>IFERROR(VLOOKUP(TEXT(O497,"0"),CONDUCTORES!$A$3:$H$54,6,0),"")</f>
        <v/>
      </c>
      <c r="R497" s="280" t="n"/>
      <c r="S497" s="280" t="n"/>
      <c r="T497" s="280" t="n"/>
      <c r="U497" s="280" t="n"/>
      <c r="V497" s="280" t="n"/>
      <c r="W497" s="280" t="n"/>
      <c r="X497" s="280" t="n"/>
      <c r="Y497" s="280" t="n"/>
      <c r="Z497" s="350" t="n"/>
      <c r="AA497" s="198" t="n"/>
      <c r="AB497" s="198" t="n"/>
      <c r="AC497" s="198" t="n"/>
    </row>
    <row r="498" ht="15" customHeight="1" s="195">
      <c r="A498" s="280" t="n"/>
      <c r="B498" s="280" t="n"/>
      <c r="C498" s="280" t="n"/>
      <c r="D498" s="280" t="n"/>
      <c r="E498" s="280" t="n"/>
      <c r="F498" s="280" t="n"/>
      <c r="G498" s="280" t="n"/>
      <c r="H498" s="280" t="n"/>
      <c r="I498" s="332">
        <f>IFERROR(VLOOKUP(TEXT(H498,"0"),IPRESS!$A$3:$B$212,2,0),"")</f>
        <v/>
      </c>
      <c r="J498" s="280" t="n"/>
      <c r="K498" s="343" t="n"/>
      <c r="L498" s="280" t="n"/>
      <c r="M498" s="280" t="n"/>
      <c r="N498" s="345" t="n"/>
      <c r="O498" s="280" t="n"/>
      <c r="P498" s="332">
        <f>IFERROR(VLOOKUP(TEXT(O498,"0"),CONDUCTORES!$A$3:$G$54,2,0),"")</f>
        <v/>
      </c>
      <c r="Q498" s="332">
        <f>IFERROR(VLOOKUP(TEXT(O498,"0"),CONDUCTORES!$A$3:$H$54,6,0),"")</f>
        <v/>
      </c>
      <c r="R498" s="280" t="n"/>
      <c r="S498" s="280" t="n"/>
      <c r="T498" s="280" t="n"/>
      <c r="U498" s="280" t="n"/>
      <c r="V498" s="280" t="n"/>
      <c r="W498" s="280" t="n"/>
      <c r="X498" s="280" t="n"/>
      <c r="Y498" s="280" t="n"/>
      <c r="Z498" s="350" t="n"/>
      <c r="AA498" s="198" t="n"/>
      <c r="AB498" s="198" t="n"/>
      <c r="AC498" s="198" t="n"/>
    </row>
    <row r="499" ht="15" customHeight="1" s="195">
      <c r="A499" s="280" t="n"/>
      <c r="B499" s="280" t="n"/>
      <c r="C499" s="280" t="n"/>
      <c r="D499" s="280" t="n"/>
      <c r="E499" s="280" t="n"/>
      <c r="F499" s="280" t="n"/>
      <c r="G499" s="280" t="n"/>
      <c r="H499" s="280" t="n"/>
      <c r="I499" s="332">
        <f>IFERROR(VLOOKUP(TEXT(H499,"0"),IPRESS!$A$3:$B$212,2,0),"")</f>
        <v/>
      </c>
      <c r="J499" s="280" t="n"/>
      <c r="K499" s="343" t="n"/>
      <c r="L499" s="280" t="n"/>
      <c r="M499" s="280" t="n"/>
      <c r="N499" s="345" t="n"/>
      <c r="O499" s="280" t="n"/>
      <c r="P499" s="332">
        <f>IFERROR(VLOOKUP(TEXT(O499,"0"),CONDUCTORES!$A$3:$G$54,2,0),"")</f>
        <v/>
      </c>
      <c r="Q499" s="332">
        <f>IFERROR(VLOOKUP(TEXT(O499,"0"),CONDUCTORES!$A$3:$H$54,6,0),"")</f>
        <v/>
      </c>
      <c r="R499" s="280" t="n"/>
      <c r="S499" s="280" t="n"/>
      <c r="T499" s="280" t="n"/>
      <c r="U499" s="280" t="n"/>
      <c r="V499" s="280" t="n"/>
      <c r="W499" s="280" t="n"/>
      <c r="X499" s="280" t="n"/>
      <c r="Y499" s="280" t="n"/>
      <c r="Z499" s="350" t="n"/>
      <c r="AA499" s="198" t="n"/>
      <c r="AB499" s="198" t="n"/>
      <c r="AC499" s="198" t="n"/>
    </row>
    <row r="500" ht="15" customHeight="1" s="195">
      <c r="A500" s="280" t="n"/>
      <c r="B500" s="280" t="n"/>
      <c r="C500" s="280" t="n"/>
      <c r="D500" s="280" t="n"/>
      <c r="E500" s="280" t="n"/>
      <c r="F500" s="280" t="n"/>
      <c r="G500" s="280" t="n"/>
      <c r="H500" s="280" t="n"/>
      <c r="I500" s="332">
        <f>IFERROR(VLOOKUP(TEXT(H500,"0"),IPRESS!$A$3:$B$212,2,0),"")</f>
        <v/>
      </c>
      <c r="J500" s="280" t="n"/>
      <c r="K500" s="343" t="n"/>
      <c r="L500" s="280" t="n"/>
      <c r="M500" s="280" t="n"/>
      <c r="N500" s="345" t="n"/>
      <c r="O500" s="280" t="n"/>
      <c r="P500" s="332">
        <f>IFERROR(VLOOKUP(TEXT(O500,"0"),CONDUCTORES!$A$3:$G$54,2,0),"")</f>
        <v/>
      </c>
      <c r="Q500" s="332">
        <f>IFERROR(VLOOKUP(TEXT(O500,"0"),CONDUCTORES!$A$3:$H$54,6,0),"")</f>
        <v/>
      </c>
      <c r="R500" s="280" t="n"/>
      <c r="S500" s="280" t="n"/>
      <c r="T500" s="280" t="n"/>
      <c r="U500" s="280" t="n"/>
      <c r="V500" s="280" t="n"/>
      <c r="W500" s="280" t="n"/>
      <c r="X500" s="280" t="n"/>
      <c r="Y500" s="280" t="n"/>
      <c r="Z500" s="350" t="n"/>
      <c r="AA500" s="198" t="n"/>
      <c r="AB500" s="198" t="n"/>
      <c r="AC500" s="198" t="n"/>
    </row>
    <row r="501" ht="15" customHeight="1" s="195">
      <c r="A501" s="280" t="n"/>
      <c r="B501" s="280" t="n"/>
      <c r="C501" s="280" t="n"/>
      <c r="D501" s="280" t="n"/>
      <c r="E501" s="280" t="n"/>
      <c r="F501" s="280" t="n"/>
      <c r="G501" s="280" t="n"/>
      <c r="H501" s="280" t="n"/>
      <c r="I501" s="332">
        <f>IFERROR(VLOOKUP(TEXT(H501,"0"),IPRESS!$A$3:$B$212,2,0),"")</f>
        <v/>
      </c>
      <c r="J501" s="280" t="n"/>
      <c r="K501" s="343" t="n"/>
      <c r="L501" s="280" t="n"/>
      <c r="M501" s="280" t="n"/>
      <c r="N501" s="345" t="n"/>
      <c r="O501" s="280" t="n"/>
      <c r="P501" s="332">
        <f>IFERROR(VLOOKUP(TEXT(O501,"0"),CONDUCTORES!$A$3:$G$54,2,0),"")</f>
        <v/>
      </c>
      <c r="Q501" s="332">
        <f>IFERROR(VLOOKUP(TEXT(O501,"0"),CONDUCTORES!$A$3:$H$54,6,0),"")</f>
        <v/>
      </c>
      <c r="R501" s="280" t="n"/>
      <c r="S501" s="280" t="n"/>
      <c r="T501" s="280" t="n"/>
      <c r="U501" s="280" t="n"/>
      <c r="V501" s="280" t="n"/>
      <c r="W501" s="280" t="n"/>
      <c r="X501" s="280" t="n"/>
      <c r="Y501" s="280" t="n"/>
      <c r="Z501" s="350" t="n"/>
      <c r="AA501" s="198" t="n"/>
      <c r="AB501" s="198" t="n"/>
      <c r="AC501" s="198" t="n"/>
    </row>
    <row r="502" ht="15" customHeight="1" s="195">
      <c r="A502" s="280" t="n"/>
      <c r="B502" s="280" t="n"/>
      <c r="C502" s="280" t="n"/>
      <c r="D502" s="280" t="n"/>
      <c r="E502" s="280" t="n"/>
      <c r="F502" s="280" t="n"/>
      <c r="G502" s="280" t="n"/>
      <c r="H502" s="280" t="n"/>
      <c r="I502" s="332">
        <f>IFERROR(VLOOKUP(TEXT(H502,"0"),IPRESS!$A$3:$B$212,2,0),"")</f>
        <v/>
      </c>
      <c r="J502" s="280" t="n"/>
      <c r="K502" s="343" t="n"/>
      <c r="L502" s="280" t="n"/>
      <c r="M502" s="280" t="n"/>
      <c r="N502" s="345" t="n"/>
      <c r="O502" s="280" t="n"/>
      <c r="P502" s="332">
        <f>IFERROR(VLOOKUP(TEXT(O502,"0"),CONDUCTORES!$A$3:$G$54,2,0),"")</f>
        <v/>
      </c>
      <c r="Q502" s="332">
        <f>IFERROR(VLOOKUP(TEXT(O502,"0"),CONDUCTORES!$A$3:$H$54,6,0),"")</f>
        <v/>
      </c>
      <c r="R502" s="280" t="n"/>
      <c r="S502" s="280" t="n"/>
      <c r="T502" s="280" t="n"/>
      <c r="U502" s="280" t="n"/>
      <c r="V502" s="280" t="n"/>
      <c r="W502" s="280" t="n"/>
      <c r="X502" s="280" t="n"/>
      <c r="Y502" s="280" t="n"/>
      <c r="Z502" s="350" t="n"/>
      <c r="AA502" s="198" t="n"/>
      <c r="AB502" s="198" t="n"/>
      <c r="AC502" s="198" t="n"/>
    </row>
    <row r="503" ht="15" customHeight="1" s="195">
      <c r="A503" s="280" t="n"/>
      <c r="B503" s="280" t="n"/>
      <c r="C503" s="280" t="n"/>
      <c r="D503" s="280" t="n"/>
      <c r="E503" s="280" t="n"/>
      <c r="F503" s="280" t="n"/>
      <c r="G503" s="280" t="n"/>
      <c r="H503" s="280" t="n"/>
      <c r="I503" s="332">
        <f>IFERROR(VLOOKUP(TEXT(H503,"0"),IPRESS!$A$3:$B$212,2,0),"")</f>
        <v/>
      </c>
      <c r="J503" s="280" t="n"/>
      <c r="K503" s="343" t="n"/>
      <c r="L503" s="280" t="n"/>
      <c r="M503" s="280" t="n"/>
      <c r="N503" s="345" t="n"/>
      <c r="O503" s="280" t="n"/>
      <c r="P503" s="332">
        <f>IFERROR(VLOOKUP(TEXT(O503,"0"),CONDUCTORES!$A$3:$G$54,2,0),"")</f>
        <v/>
      </c>
      <c r="Q503" s="332">
        <f>IFERROR(VLOOKUP(TEXT(O503,"0"),CONDUCTORES!$A$3:$H$54,6,0),"")</f>
        <v/>
      </c>
      <c r="R503" s="280" t="n"/>
      <c r="S503" s="280" t="n"/>
      <c r="T503" s="280" t="n"/>
      <c r="U503" s="280" t="n"/>
      <c r="V503" s="280" t="n"/>
      <c r="W503" s="280" t="n"/>
      <c r="X503" s="280" t="n"/>
      <c r="Y503" s="280" t="n"/>
      <c r="Z503" s="350" t="n"/>
      <c r="AA503" s="198" t="n"/>
      <c r="AB503" s="198" t="n"/>
      <c r="AC503" s="198" t="n"/>
    </row>
    <row r="504" ht="15" customHeight="1" s="195">
      <c r="A504" s="280" t="n"/>
      <c r="B504" s="280" t="n"/>
      <c r="C504" s="280" t="n"/>
      <c r="D504" s="280" t="n"/>
      <c r="E504" s="280" t="n"/>
      <c r="F504" s="280" t="n"/>
      <c r="G504" s="280" t="n"/>
      <c r="H504" s="280" t="n"/>
      <c r="I504" s="332">
        <f>IFERROR(VLOOKUP(TEXT(H504,"0"),IPRESS!$A$3:$B$212,2,0),"")</f>
        <v/>
      </c>
      <c r="J504" s="280" t="n"/>
      <c r="K504" s="343" t="n"/>
      <c r="L504" s="280" t="n"/>
      <c r="M504" s="280" t="n"/>
      <c r="N504" s="345" t="n"/>
      <c r="O504" s="280" t="n"/>
      <c r="P504" s="332">
        <f>IFERROR(VLOOKUP(TEXT(O504,"0"),CONDUCTORES!$A$3:$G$54,2,0),"")</f>
        <v/>
      </c>
      <c r="Q504" s="332">
        <f>IFERROR(VLOOKUP(TEXT(O504,"0"),CONDUCTORES!$A$3:$H$54,6,0),"")</f>
        <v/>
      </c>
      <c r="R504" s="280" t="n"/>
      <c r="S504" s="280" t="n"/>
      <c r="T504" s="280" t="n"/>
      <c r="U504" s="280" t="n"/>
      <c r="V504" s="280" t="n"/>
      <c r="W504" s="280" t="n"/>
      <c r="X504" s="280" t="n"/>
      <c r="Y504" s="280" t="n"/>
      <c r="Z504" s="350" t="n"/>
      <c r="AA504" s="198" t="n"/>
      <c r="AB504" s="198" t="n"/>
      <c r="AC504" s="198" t="n"/>
    </row>
    <row r="505" ht="15" customHeight="1" s="195">
      <c r="A505" s="280" t="n"/>
      <c r="B505" s="280" t="n"/>
      <c r="C505" s="280" t="n"/>
      <c r="D505" s="280" t="n"/>
      <c r="E505" s="280" t="n"/>
      <c r="F505" s="280" t="n"/>
      <c r="G505" s="280" t="n"/>
      <c r="H505" s="280" t="n"/>
      <c r="I505" s="332">
        <f>IFERROR(VLOOKUP(TEXT(H505,"0"),IPRESS!$A$3:$B$212,2,0),"")</f>
        <v/>
      </c>
      <c r="J505" s="280" t="n"/>
      <c r="K505" s="343" t="n"/>
      <c r="L505" s="280" t="n"/>
      <c r="M505" s="280" t="n"/>
      <c r="N505" s="345" t="n"/>
      <c r="O505" s="280" t="n"/>
      <c r="P505" s="332">
        <f>IFERROR(VLOOKUP(TEXT(O505,"0"),CONDUCTORES!$A$3:$G$54,2,0),"")</f>
        <v/>
      </c>
      <c r="Q505" s="332">
        <f>IFERROR(VLOOKUP(TEXT(O505,"0"),CONDUCTORES!$A$3:$H$54,6,0),"")</f>
        <v/>
      </c>
      <c r="R505" s="280" t="n"/>
      <c r="S505" s="280" t="n"/>
      <c r="T505" s="280" t="n"/>
      <c r="U505" s="280" t="n"/>
      <c r="V505" s="280" t="n"/>
      <c r="W505" s="280" t="n"/>
      <c r="X505" s="280" t="n"/>
      <c r="Y505" s="280" t="n"/>
      <c r="Z505" s="350" t="n"/>
      <c r="AA505" s="198" t="n"/>
      <c r="AB505" s="198" t="n"/>
      <c r="AC505" s="198" t="n"/>
    </row>
    <row r="506" ht="21.75" customHeight="1" s="195">
      <c r="A506" s="360" t="n"/>
      <c r="H506" s="198" t="n"/>
      <c r="J506" s="198" t="n"/>
      <c r="K506" s="198" t="n"/>
      <c r="L506" s="198" t="n"/>
      <c r="M506" s="361" t="n"/>
      <c r="N506" s="361" t="n"/>
      <c r="O506" s="198" t="n"/>
      <c r="R506" s="198" t="n"/>
      <c r="S506" s="198" t="n"/>
      <c r="T506" s="198" t="n"/>
      <c r="U506" s="198" t="n"/>
      <c r="V506" s="198" t="n"/>
      <c r="W506" s="198" t="n"/>
      <c r="X506" s="198" t="n"/>
      <c r="Y506" s="198" t="n"/>
      <c r="Z506" s="198" t="n"/>
      <c r="AA506" s="198" t="n"/>
      <c r="AB506" s="198" t="n"/>
      <c r="AC506" s="198" t="n"/>
    </row>
    <row r="507" ht="15" customHeight="1" s="195">
      <c r="A507" s="198" t="n"/>
      <c r="B507" s="198" t="n"/>
      <c r="C507" s="198" t="n"/>
      <c r="D507" s="198" t="n"/>
      <c r="E507" s="198" t="n"/>
      <c r="F507" s="198" t="n"/>
      <c r="G507" s="198" t="n"/>
      <c r="H507" s="198" t="n"/>
      <c r="J507" s="198" t="n"/>
      <c r="K507" s="198" t="n"/>
      <c r="L507" s="198" t="n"/>
      <c r="M507" s="198" t="n"/>
      <c r="N507" s="198" t="n"/>
      <c r="O507" s="198" t="n"/>
      <c r="R507" s="198" t="n"/>
      <c r="S507" s="198" t="n"/>
      <c r="T507" s="198" t="n"/>
      <c r="U507" s="198" t="n"/>
      <c r="V507" s="198" t="n"/>
      <c r="W507" s="198" t="n"/>
      <c r="X507" s="198" t="n"/>
      <c r="Y507" s="198" t="n"/>
      <c r="Z507" s="198" t="n"/>
      <c r="AA507" s="198" t="n"/>
      <c r="AB507" s="198" t="n"/>
      <c r="AC507" s="198" t="n"/>
    </row>
    <row r="508" ht="15" customHeight="1" s="195">
      <c r="A508" s="198" t="n"/>
      <c r="B508" s="198" t="n"/>
      <c r="C508" s="198" t="n"/>
      <c r="D508" s="198" t="n"/>
      <c r="E508" s="198" t="n"/>
      <c r="F508" s="198" t="n"/>
      <c r="G508" s="198" t="n"/>
      <c r="H508" s="198" t="n"/>
      <c r="J508" s="198" t="n"/>
      <c r="K508" s="198" t="n"/>
      <c r="L508" s="198" t="n"/>
      <c r="M508" s="198" t="n"/>
      <c r="N508" s="198" t="n"/>
      <c r="O508" s="198" t="n"/>
      <c r="R508" s="198" t="n"/>
      <c r="S508" s="198" t="n"/>
      <c r="T508" s="198" t="n"/>
      <c r="U508" s="198" t="n"/>
      <c r="V508" s="198" t="n"/>
      <c r="W508" s="198" t="n"/>
      <c r="X508" s="198" t="n"/>
      <c r="Y508" s="198" t="n"/>
      <c r="Z508" s="198" t="n"/>
      <c r="AA508" s="198" t="n"/>
      <c r="AB508" s="198" t="n"/>
      <c r="AC508" s="198" t="n"/>
    </row>
    <row r="509" ht="15" customHeight="1" s="195">
      <c r="A509" s="198" t="n"/>
      <c r="B509" s="198" t="n"/>
      <c r="C509" s="198" t="n"/>
      <c r="D509" s="198" t="n"/>
      <c r="E509" s="198" t="n"/>
      <c r="F509" s="198" t="n"/>
      <c r="G509" s="198" t="n"/>
      <c r="H509" s="198" t="n"/>
      <c r="J509" s="198" t="n"/>
      <c r="K509" s="198" t="n"/>
      <c r="L509" s="198" t="n"/>
      <c r="M509" s="198" t="n"/>
      <c r="N509" s="198" t="n"/>
      <c r="O509" s="198" t="n"/>
      <c r="R509" s="198" t="n"/>
      <c r="S509" s="198" t="n"/>
      <c r="T509" s="198" t="n"/>
      <c r="U509" s="198" t="n"/>
      <c r="V509" s="198" t="n"/>
      <c r="W509" s="198" t="n"/>
      <c r="X509" s="198" t="n"/>
      <c r="Y509" s="198" t="n"/>
      <c r="Z509" s="198" t="n"/>
      <c r="AA509" s="198" t="n"/>
      <c r="AB509" s="198" t="n"/>
      <c r="AC509" s="198" t="n"/>
    </row>
    <row r="510" ht="15" customHeight="1" s="195">
      <c r="A510" s="198" t="n"/>
      <c r="B510" s="198" t="n"/>
      <c r="C510" s="198" t="n"/>
      <c r="D510" s="198" t="n"/>
      <c r="E510" s="198" t="n"/>
      <c r="F510" s="198" t="n"/>
      <c r="G510" s="198" t="n"/>
      <c r="H510" s="198" t="n"/>
      <c r="J510" s="198" t="n"/>
      <c r="K510" s="198" t="n"/>
      <c r="L510" s="198" t="n"/>
      <c r="M510" s="198" t="n"/>
      <c r="N510" s="198" t="n"/>
      <c r="O510" s="198" t="n"/>
      <c r="R510" s="198" t="n"/>
      <c r="S510" s="198" t="n"/>
      <c r="T510" s="198" t="n"/>
      <c r="U510" s="198" t="n"/>
      <c r="V510" s="198" t="n"/>
      <c r="W510" s="198" t="n"/>
      <c r="X510" s="198" t="n"/>
      <c r="Y510" s="198" t="n"/>
      <c r="Z510" s="198" t="n"/>
      <c r="AA510" s="198" t="n"/>
      <c r="AB510" s="198" t="n"/>
      <c r="AC510" s="198" t="n"/>
    </row>
    <row r="511" ht="15.75" customHeight="1" s="195"/>
    <row r="512" ht="15.75" customHeight="1" s="195"/>
    <row r="513" ht="15.75" customHeight="1" s="195"/>
    <row r="514" ht="15.75" customHeight="1" s="195"/>
    <row r="515" ht="15.75" customHeight="1" s="195"/>
    <row r="516" ht="15.75" customHeight="1" s="195"/>
    <row r="517" ht="15.75" customHeight="1" s="195"/>
    <row r="518" ht="15.75" customHeight="1" s="195"/>
    <row r="519" ht="15.75" customHeight="1" s="195"/>
    <row r="520" ht="15.75" customHeight="1" s="195"/>
    <row r="521" ht="15.75" customHeight="1" s="195"/>
    <row r="522" ht="15.75" customHeight="1" s="195"/>
    <row r="523" ht="15.75" customHeight="1" s="195"/>
    <row r="524" ht="15.75" customHeight="1" s="195"/>
    <row r="525" ht="15.75" customHeight="1" s="195"/>
    <row r="526" ht="15.75" customHeight="1" s="195"/>
    <row r="527" ht="15.75" customHeight="1" s="195"/>
    <row r="528" ht="15.75" customHeight="1" s="195"/>
    <row r="529" ht="15.75" customHeight="1" s="195"/>
    <row r="530" ht="15.75" customHeight="1" s="195"/>
    <row r="531" ht="15.75" customHeight="1" s="195"/>
    <row r="532" ht="15.75" customHeight="1" s="195"/>
    <row r="533" ht="15.75" customHeight="1" s="195"/>
    <row r="534" ht="15.75" customHeight="1" s="195"/>
    <row r="535" ht="15.75" customHeight="1" s="195"/>
    <row r="536" ht="15.75" customHeight="1" s="195"/>
    <row r="537" ht="15.75" customHeight="1" s="195"/>
    <row r="538" ht="15.75" customHeight="1" s="195"/>
    <row r="539" ht="15.75" customHeight="1" s="195"/>
    <row r="540" ht="15.75" customHeight="1" s="195"/>
    <row r="541" ht="15.75" customHeight="1" s="195"/>
    <row r="542" ht="15.75" customHeight="1" s="195"/>
    <row r="543" ht="15.75" customHeight="1" s="195"/>
    <row r="544" ht="15.75" customHeight="1" s="195"/>
    <row r="545" ht="15.75" customHeight="1" s="195"/>
    <row r="546" ht="15.75" customHeight="1" s="195"/>
    <row r="547" ht="15.75" customHeight="1" s="195"/>
    <row r="548" ht="15.75" customHeight="1" s="195"/>
    <row r="549" ht="15.75" customHeight="1" s="195"/>
    <row r="550" ht="15.75" customHeight="1" s="195"/>
    <row r="551" ht="15.75" customHeight="1" s="195"/>
    <row r="552" ht="15.75" customHeight="1" s="195"/>
    <row r="553" ht="15.75" customHeight="1" s="195"/>
    <row r="554" ht="15.75" customHeight="1" s="195"/>
    <row r="555" ht="15.75" customHeight="1" s="195"/>
    <row r="556" ht="15.75" customHeight="1" s="195"/>
    <row r="557" ht="15.75" customHeight="1" s="195"/>
    <row r="558" ht="15.75" customHeight="1" s="195"/>
    <row r="559" ht="15.75" customHeight="1" s="195"/>
    <row r="560" ht="15.75" customHeight="1" s="195"/>
    <row r="561" ht="15.75" customHeight="1" s="195"/>
    <row r="562" ht="15.75" customHeight="1" s="195"/>
    <row r="563" ht="15.75" customHeight="1" s="195"/>
    <row r="564" ht="15.75" customHeight="1" s="195"/>
    <row r="565" ht="15.75" customHeight="1" s="195"/>
    <row r="566" ht="15.75" customHeight="1" s="195"/>
    <row r="567" ht="15.75" customHeight="1" s="195"/>
    <row r="568" ht="15.75" customHeight="1" s="195"/>
    <row r="569" ht="15.75" customHeight="1" s="195"/>
    <row r="570" ht="15.75" customHeight="1" s="195"/>
    <row r="571" ht="15.75" customHeight="1" s="195"/>
    <row r="572" ht="15.75" customHeight="1" s="195"/>
    <row r="573" ht="15.75" customHeight="1" s="195"/>
    <row r="574" ht="15.75" customHeight="1" s="195"/>
    <row r="575" ht="15.75" customHeight="1" s="195"/>
    <row r="576" ht="15.75" customHeight="1" s="195"/>
    <row r="577" ht="15.75" customHeight="1" s="195"/>
    <row r="578" ht="15.75" customHeight="1" s="195"/>
    <row r="579" ht="15.75" customHeight="1" s="195"/>
    <row r="580" ht="15.75" customHeight="1" s="195"/>
    <row r="581" ht="15.75" customHeight="1" s="195"/>
    <row r="582" ht="15.75" customHeight="1" s="195"/>
    <row r="583" ht="15.75" customHeight="1" s="195"/>
    <row r="584" ht="15.75" customHeight="1" s="195"/>
    <row r="585" ht="15.75" customHeight="1" s="195"/>
    <row r="586" ht="15.75" customHeight="1" s="195"/>
    <row r="587" ht="15.75" customHeight="1" s="195"/>
    <row r="588" ht="15.75" customHeight="1" s="195"/>
    <row r="589" ht="15.75" customHeight="1" s="195"/>
    <row r="590" ht="15.75" customHeight="1" s="195"/>
    <row r="591" ht="15.75" customHeight="1" s="195"/>
    <row r="592" ht="15.75" customHeight="1" s="195"/>
    <row r="593" ht="15.75" customHeight="1" s="195"/>
    <row r="594" ht="15.75" customHeight="1" s="195"/>
    <row r="595" ht="15.75" customHeight="1" s="195"/>
    <row r="596" ht="15.75" customHeight="1" s="195"/>
    <row r="597" ht="15.75" customHeight="1" s="195"/>
    <row r="598" ht="15.75" customHeight="1" s="195"/>
    <row r="599" ht="15.75" customHeight="1" s="195"/>
    <row r="600" ht="15.75" customHeight="1" s="195"/>
    <row r="601" ht="15.75" customHeight="1" s="195"/>
    <row r="602" ht="15.75" customHeight="1" s="195"/>
    <row r="603" ht="15.75" customHeight="1" s="195"/>
    <row r="604" ht="15.75" customHeight="1" s="195"/>
    <row r="605" ht="15.75" customHeight="1" s="195"/>
    <row r="606" ht="15.75" customHeight="1" s="195"/>
    <row r="607" ht="15.75" customHeight="1" s="195"/>
    <row r="608" ht="15.75" customHeight="1" s="195"/>
    <row r="609" ht="15.75" customHeight="1" s="195"/>
    <row r="610" ht="15.75" customHeight="1" s="195"/>
    <row r="611" ht="15.75" customHeight="1" s="195"/>
    <row r="612" ht="15.75" customHeight="1" s="195"/>
    <row r="613" ht="15.75" customHeight="1" s="195"/>
    <row r="614" ht="15.75" customHeight="1" s="195"/>
    <row r="615" ht="15.75" customHeight="1" s="195"/>
    <row r="616" ht="15.75" customHeight="1" s="195"/>
    <row r="617" ht="15.75" customHeight="1" s="195"/>
    <row r="618" ht="15.75" customHeight="1" s="195"/>
    <row r="619" ht="15.75" customHeight="1" s="195"/>
    <row r="620" ht="15.75" customHeight="1" s="195"/>
    <row r="621" ht="15.75" customHeight="1" s="195"/>
    <row r="622" ht="15.75" customHeight="1" s="195"/>
    <row r="623" ht="15.75" customHeight="1" s="195"/>
    <row r="624" ht="15.75" customHeight="1" s="195"/>
    <row r="625" ht="15.75" customHeight="1" s="195"/>
    <row r="626" ht="15.75" customHeight="1" s="195"/>
    <row r="627" ht="15.75" customHeight="1" s="195"/>
    <row r="628" ht="15.75" customHeight="1" s="195"/>
    <row r="629" ht="15.75" customHeight="1" s="195"/>
    <row r="630" ht="15.75" customHeight="1" s="195"/>
    <row r="631" ht="15.75" customHeight="1" s="195"/>
    <row r="632" ht="15.75" customHeight="1" s="195"/>
    <row r="633" ht="15.75" customHeight="1" s="195"/>
    <row r="634" ht="15.75" customHeight="1" s="195"/>
    <row r="635" ht="15.75" customHeight="1" s="195"/>
    <row r="636" ht="15.75" customHeight="1" s="195"/>
    <row r="637" ht="15.75" customHeight="1" s="195"/>
    <row r="638" ht="15.75" customHeight="1" s="195"/>
    <row r="639" ht="15.75" customHeight="1" s="195"/>
    <row r="640" ht="15.75" customHeight="1" s="195"/>
    <row r="641" ht="15.75" customHeight="1" s="195"/>
    <row r="642" ht="15.75" customHeight="1" s="195"/>
    <row r="643" ht="15.75" customHeight="1" s="195"/>
    <row r="644" ht="15.75" customHeight="1" s="195"/>
    <row r="645" ht="15.75" customHeight="1" s="195"/>
    <row r="646" ht="15.75" customHeight="1" s="195"/>
    <row r="647" ht="15.75" customHeight="1" s="195"/>
    <row r="648" ht="15.75" customHeight="1" s="195"/>
    <row r="649" ht="15.75" customHeight="1" s="195"/>
    <row r="650" ht="15.75" customHeight="1" s="195"/>
    <row r="651" ht="15.75" customHeight="1" s="195"/>
    <row r="652" ht="15.75" customHeight="1" s="195"/>
    <row r="653" ht="15.75" customHeight="1" s="195"/>
    <row r="654" ht="15.75" customHeight="1" s="195"/>
    <row r="655" ht="15.75" customHeight="1" s="195"/>
    <row r="656" ht="15.75" customHeight="1" s="195"/>
    <row r="657" ht="15.75" customHeight="1" s="195"/>
    <row r="658" ht="15.75" customHeight="1" s="195"/>
    <row r="659" ht="15.75" customHeight="1" s="195"/>
    <row r="660" ht="15.75" customHeight="1" s="195"/>
    <row r="661" ht="15.75" customHeight="1" s="195"/>
    <row r="662" ht="15.75" customHeight="1" s="195"/>
    <row r="663" ht="15.75" customHeight="1" s="195"/>
    <row r="664" ht="15.75" customHeight="1" s="195"/>
    <row r="665" ht="15.75" customHeight="1" s="195"/>
    <row r="666" ht="15.75" customHeight="1" s="195"/>
    <row r="667" ht="15.75" customHeight="1" s="195"/>
    <row r="668" ht="15.75" customHeight="1" s="195"/>
    <row r="669" ht="15.75" customHeight="1" s="195"/>
    <row r="670" ht="15.75" customHeight="1" s="195"/>
    <row r="671" ht="15.75" customHeight="1" s="195"/>
    <row r="672" ht="15.75" customHeight="1" s="195"/>
    <row r="673" ht="15.75" customHeight="1" s="195"/>
    <row r="674" ht="15.75" customHeight="1" s="195"/>
    <row r="675" ht="15.75" customHeight="1" s="195"/>
    <row r="676" ht="15.75" customHeight="1" s="195"/>
    <row r="677" ht="15.75" customHeight="1" s="195"/>
    <row r="678" ht="15.75" customHeight="1" s="195"/>
    <row r="679" ht="15.75" customHeight="1" s="195"/>
    <row r="680" ht="15.75" customHeight="1" s="195"/>
    <row r="681" ht="15.75" customHeight="1" s="195"/>
    <row r="682" ht="15.75" customHeight="1" s="195"/>
    <row r="683" ht="15.75" customHeight="1" s="195"/>
    <row r="684" ht="15.75" customHeight="1" s="195"/>
    <row r="685" ht="15.75" customHeight="1" s="195"/>
    <row r="686" ht="15.75" customHeight="1" s="195"/>
    <row r="687" ht="15.75" customHeight="1" s="195"/>
    <row r="688" ht="15.75" customHeight="1" s="195"/>
    <row r="689" ht="15.75" customHeight="1" s="195"/>
    <row r="690" ht="15.75" customHeight="1" s="195"/>
    <row r="691" ht="15.75" customHeight="1" s="195"/>
    <row r="692" ht="15.75" customHeight="1" s="195"/>
    <row r="693" ht="15.75" customHeight="1" s="195"/>
    <row r="694" ht="15.75" customHeight="1" s="195"/>
    <row r="695" ht="15.75" customHeight="1" s="195"/>
    <row r="696" ht="15.75" customHeight="1" s="195"/>
    <row r="697" ht="15.75" customHeight="1" s="195"/>
    <row r="698" ht="15.75" customHeight="1" s="195"/>
    <row r="699" ht="15.75" customHeight="1" s="195"/>
    <row r="700" ht="15.75" customHeight="1" s="195"/>
    <row r="701" ht="15.75" customHeight="1" s="195"/>
    <row r="702" ht="15.75" customHeight="1" s="195"/>
    <row r="703" ht="15.75" customHeight="1" s="195"/>
    <row r="704" ht="15.75" customHeight="1" s="195"/>
    <row r="705" ht="15.75" customHeight="1" s="195"/>
    <row r="706" ht="15.75" customHeight="1" s="195"/>
    <row r="707" ht="15.75" customHeight="1" s="195"/>
    <row r="708" ht="15.75" customHeight="1" s="195"/>
    <row r="709" ht="15.75" customHeight="1" s="195"/>
    <row r="710" ht="15.75" customHeight="1" s="195"/>
    <row r="711" ht="15.75" customHeight="1" s="195"/>
    <row r="712" ht="15.75" customHeight="1" s="195"/>
    <row r="713" ht="15.75" customHeight="1" s="195"/>
    <row r="714" ht="15.75" customHeight="1" s="195"/>
    <row r="715" ht="15.75" customHeight="1" s="195"/>
    <row r="716" ht="15.75" customHeight="1" s="195"/>
    <row r="717" ht="15.75" customHeight="1" s="195"/>
    <row r="718" ht="15.75" customHeight="1" s="195"/>
    <row r="719" ht="15.75" customHeight="1" s="195"/>
    <row r="720" ht="15.75" customHeight="1" s="195"/>
    <row r="721" ht="15.75" customHeight="1" s="195"/>
    <row r="722" ht="15.75" customHeight="1" s="195"/>
    <row r="723" ht="15.75" customHeight="1" s="195"/>
    <row r="724" ht="15.75" customHeight="1" s="195"/>
    <row r="725" ht="15.75" customHeight="1" s="195"/>
    <row r="726" ht="15.75" customHeight="1" s="195"/>
    <row r="727" ht="15.75" customHeight="1" s="195"/>
    <row r="728" ht="15.75" customHeight="1" s="195"/>
    <row r="729" ht="15.75" customHeight="1" s="195"/>
    <row r="730" ht="15.75" customHeight="1" s="195"/>
    <row r="731" ht="15.75" customHeight="1" s="195"/>
    <row r="732" ht="15.75" customHeight="1" s="195"/>
    <row r="733" ht="15.75" customHeight="1" s="195"/>
    <row r="734" ht="15.75" customHeight="1" s="195"/>
    <row r="735" ht="15.75" customHeight="1" s="195"/>
    <row r="736" ht="15.75" customHeight="1" s="195"/>
    <row r="737" ht="15.75" customHeight="1" s="195"/>
    <row r="738" ht="15.75" customHeight="1" s="195"/>
    <row r="739" ht="15.75" customHeight="1" s="195"/>
    <row r="740" ht="15.75" customHeight="1" s="195"/>
    <row r="741" ht="15.75" customHeight="1" s="195"/>
    <row r="742" ht="15.75" customHeight="1" s="195"/>
    <row r="743" ht="15.75" customHeight="1" s="195"/>
    <row r="744" ht="15.75" customHeight="1" s="195"/>
    <row r="745" ht="15.75" customHeight="1" s="195"/>
    <row r="746" ht="15.75" customHeight="1" s="195"/>
    <row r="747" ht="15.75" customHeight="1" s="195"/>
    <row r="748" ht="15.75" customHeight="1" s="195"/>
    <row r="749" ht="15.75" customHeight="1" s="195"/>
    <row r="750" ht="15.75" customHeight="1" s="195"/>
    <row r="751" ht="15.75" customHeight="1" s="195"/>
    <row r="752" ht="15.75" customHeight="1" s="195"/>
    <row r="753" ht="15.75" customHeight="1" s="195"/>
    <row r="754" ht="15.75" customHeight="1" s="195"/>
    <row r="755" ht="15.75" customHeight="1" s="195"/>
    <row r="756" ht="15.75" customHeight="1" s="195"/>
    <row r="757" ht="15.75" customHeight="1" s="195"/>
    <row r="758" ht="15.75" customHeight="1" s="195"/>
    <row r="759" ht="15.75" customHeight="1" s="195"/>
    <row r="760" ht="15.75" customHeight="1" s="195"/>
    <row r="761" ht="15.75" customHeight="1" s="195"/>
    <row r="762" ht="15.75" customHeight="1" s="195"/>
    <row r="763" ht="15.75" customHeight="1" s="195"/>
    <row r="764" ht="15.75" customHeight="1" s="195"/>
    <row r="765" ht="15.75" customHeight="1" s="195"/>
    <row r="766" ht="15.75" customHeight="1" s="195"/>
    <row r="767" ht="15.75" customHeight="1" s="195"/>
    <row r="768" ht="15.75" customHeight="1" s="195"/>
    <row r="769" ht="15.75" customHeight="1" s="195"/>
    <row r="770" ht="15.75" customHeight="1" s="195"/>
    <row r="771" ht="15.75" customHeight="1" s="195"/>
    <row r="772" ht="15.75" customHeight="1" s="195"/>
    <row r="773" ht="15.75" customHeight="1" s="195"/>
    <row r="774" ht="15.75" customHeight="1" s="195"/>
    <row r="775" ht="15.75" customHeight="1" s="195"/>
    <row r="776" ht="15.75" customHeight="1" s="195"/>
    <row r="777" ht="15.75" customHeight="1" s="195"/>
    <row r="778" ht="15.75" customHeight="1" s="195"/>
    <row r="779" ht="15.75" customHeight="1" s="195"/>
    <row r="780" ht="15.75" customHeight="1" s="195"/>
    <row r="781" ht="15.75" customHeight="1" s="195"/>
    <row r="782" ht="15.75" customHeight="1" s="195"/>
    <row r="783" ht="15.75" customHeight="1" s="195"/>
    <row r="784" ht="15.75" customHeight="1" s="195"/>
    <row r="785" ht="15.75" customHeight="1" s="195"/>
    <row r="786" ht="15.75" customHeight="1" s="195"/>
    <row r="787" ht="15.75" customHeight="1" s="195"/>
    <row r="788" ht="15.75" customHeight="1" s="195"/>
    <row r="789" ht="15.75" customHeight="1" s="195"/>
    <row r="790" ht="15.75" customHeight="1" s="195"/>
    <row r="791" ht="15.75" customHeight="1" s="195"/>
    <row r="792" ht="15.75" customHeight="1" s="195"/>
    <row r="793" ht="15.75" customHeight="1" s="195"/>
    <row r="794" ht="15.75" customHeight="1" s="195"/>
    <row r="795" ht="15.75" customHeight="1" s="195"/>
    <row r="796" ht="15.75" customHeight="1" s="195"/>
    <row r="797" ht="15.75" customHeight="1" s="195"/>
    <row r="798" ht="15.75" customHeight="1" s="195"/>
    <row r="799" ht="15.75" customHeight="1" s="195"/>
    <row r="800" ht="15.75" customHeight="1" s="195"/>
    <row r="801" ht="15.75" customHeight="1" s="195"/>
    <row r="802" ht="15.75" customHeight="1" s="195"/>
    <row r="803" ht="15.75" customHeight="1" s="195"/>
    <row r="804" ht="15.75" customHeight="1" s="195"/>
    <row r="805" ht="15.75" customHeight="1" s="195"/>
    <row r="806" ht="15.75" customHeight="1" s="195"/>
    <row r="807" ht="15.75" customHeight="1" s="195"/>
    <row r="808" ht="15.75" customHeight="1" s="195"/>
    <row r="809" ht="15.75" customHeight="1" s="195"/>
    <row r="810" ht="15.75" customHeight="1" s="195"/>
    <row r="811" ht="15.75" customHeight="1" s="195"/>
    <row r="812" ht="15.75" customHeight="1" s="195"/>
    <row r="813" ht="15.75" customHeight="1" s="195"/>
    <row r="814" ht="15.75" customHeight="1" s="195"/>
    <row r="815" ht="15.75" customHeight="1" s="195"/>
    <row r="816" ht="15.75" customHeight="1" s="195"/>
    <row r="817" ht="15.75" customHeight="1" s="195"/>
    <row r="818" ht="15.75" customHeight="1" s="195"/>
    <row r="819" ht="15.75" customHeight="1" s="195"/>
    <row r="820" ht="15.75" customHeight="1" s="195"/>
    <row r="821" ht="15.75" customHeight="1" s="195"/>
    <row r="822" ht="15.75" customHeight="1" s="195"/>
    <row r="823" ht="15.75" customHeight="1" s="195"/>
    <row r="824" ht="15.75" customHeight="1" s="195"/>
    <row r="825" ht="15.75" customHeight="1" s="195"/>
    <row r="826" ht="15.75" customHeight="1" s="195"/>
    <row r="827" ht="15.75" customHeight="1" s="195"/>
    <row r="828" ht="15.75" customHeight="1" s="195"/>
    <row r="829" ht="15.75" customHeight="1" s="195"/>
    <row r="830" ht="15.75" customHeight="1" s="195"/>
    <row r="831" ht="15.75" customHeight="1" s="195"/>
    <row r="832" ht="15.75" customHeight="1" s="195"/>
    <row r="833" ht="15.75" customHeight="1" s="195"/>
    <row r="834" ht="15.75" customHeight="1" s="195"/>
    <row r="835" ht="15.75" customHeight="1" s="195"/>
    <row r="836" ht="15.75" customHeight="1" s="195"/>
    <row r="837" ht="15.75" customHeight="1" s="195"/>
    <row r="838" ht="15.75" customHeight="1" s="195"/>
    <row r="839" ht="15.75" customHeight="1" s="195"/>
    <row r="840" ht="15.75" customHeight="1" s="195"/>
    <row r="841" ht="15.75" customHeight="1" s="195"/>
    <row r="842" ht="15.75" customHeight="1" s="195"/>
    <row r="843" ht="15.75" customHeight="1" s="195"/>
    <row r="844" ht="15.75" customHeight="1" s="195"/>
    <row r="845" ht="15.75" customHeight="1" s="195"/>
    <row r="846" ht="15.75" customHeight="1" s="195"/>
    <row r="847" ht="15.75" customHeight="1" s="195"/>
    <row r="848" ht="15.75" customHeight="1" s="195"/>
    <row r="849" ht="15.75" customHeight="1" s="195"/>
    <row r="850" ht="15.75" customHeight="1" s="195"/>
    <row r="851" ht="15.75" customHeight="1" s="195"/>
    <row r="852" ht="15.75" customHeight="1" s="195"/>
    <row r="853" ht="15.75" customHeight="1" s="195"/>
    <row r="854" ht="15.75" customHeight="1" s="195"/>
    <row r="855" ht="15.75" customHeight="1" s="195"/>
    <row r="856" ht="15.75" customHeight="1" s="195"/>
    <row r="857" ht="15.75" customHeight="1" s="195"/>
    <row r="858" ht="15.75" customHeight="1" s="195"/>
    <row r="859" ht="15.75" customHeight="1" s="195"/>
    <row r="860" ht="15.75" customHeight="1" s="195"/>
    <row r="861" ht="15.75" customHeight="1" s="195"/>
    <row r="862" ht="15.75" customHeight="1" s="195"/>
    <row r="863" ht="15.75" customHeight="1" s="195"/>
    <row r="864" ht="15.75" customHeight="1" s="195"/>
    <row r="865" ht="15.75" customHeight="1" s="195"/>
    <row r="866" ht="15.75" customHeight="1" s="195"/>
    <row r="867" ht="15.75" customHeight="1" s="195"/>
    <row r="868" ht="15.75" customHeight="1" s="195"/>
    <row r="869" ht="15.75" customHeight="1" s="195"/>
    <row r="870" ht="15.75" customHeight="1" s="195"/>
    <row r="871" ht="15.75" customHeight="1" s="195"/>
    <row r="872" ht="15.75" customHeight="1" s="195"/>
    <row r="873" ht="15.75" customHeight="1" s="195"/>
    <row r="874" ht="15.75" customHeight="1" s="195"/>
    <row r="875" ht="15.75" customHeight="1" s="195"/>
    <row r="876" ht="15.75" customHeight="1" s="195"/>
    <row r="877" ht="15.75" customHeight="1" s="195"/>
    <row r="878" ht="15.75" customHeight="1" s="195"/>
    <row r="879" ht="15.75" customHeight="1" s="195"/>
    <row r="880" ht="15.75" customHeight="1" s="195"/>
    <row r="881" ht="15.75" customHeight="1" s="195"/>
    <row r="882" ht="15.75" customHeight="1" s="195"/>
    <row r="883" ht="15.75" customHeight="1" s="195"/>
    <row r="884" ht="15.75" customHeight="1" s="195"/>
    <row r="885" ht="15.75" customHeight="1" s="195"/>
    <row r="886" ht="15.75" customHeight="1" s="195"/>
    <row r="887" ht="15.75" customHeight="1" s="195"/>
    <row r="888" ht="15.75" customHeight="1" s="195"/>
    <row r="889" ht="15.75" customHeight="1" s="195"/>
    <row r="890" ht="15.75" customHeight="1" s="195"/>
    <row r="891" ht="15.75" customHeight="1" s="195"/>
    <row r="892" ht="15.75" customHeight="1" s="195"/>
    <row r="893" ht="15.75" customHeight="1" s="195"/>
    <row r="894" ht="15.75" customHeight="1" s="195"/>
    <row r="895" ht="15.75" customHeight="1" s="195"/>
    <row r="896" ht="15.75" customHeight="1" s="195"/>
    <row r="897" ht="15.75" customHeight="1" s="195"/>
    <row r="898" ht="15.75" customHeight="1" s="195"/>
    <row r="899" ht="15.75" customHeight="1" s="195"/>
    <row r="900" ht="15.75" customHeight="1" s="195"/>
    <row r="901" ht="15.75" customHeight="1" s="195"/>
    <row r="902" ht="15.75" customHeight="1" s="195"/>
    <row r="903" ht="15.75" customHeight="1" s="195"/>
    <row r="904" ht="15.75" customHeight="1" s="195"/>
    <row r="905" ht="15.75" customHeight="1" s="195"/>
    <row r="906" ht="15.75" customHeight="1" s="195"/>
    <row r="907" ht="15.75" customHeight="1" s="195"/>
    <row r="908" ht="15.75" customHeight="1" s="195"/>
    <row r="909" ht="15.75" customHeight="1" s="195"/>
    <row r="910" ht="15.75" customHeight="1" s="195"/>
    <row r="911" ht="15.75" customHeight="1" s="195"/>
    <row r="912" ht="15.75" customHeight="1" s="195"/>
    <row r="913" ht="15.75" customHeight="1" s="195"/>
    <row r="914" ht="15.75" customHeight="1" s="195"/>
    <row r="915" ht="15.75" customHeight="1" s="195"/>
    <row r="916" ht="15.75" customHeight="1" s="195"/>
    <row r="917" ht="15.75" customHeight="1" s="195"/>
    <row r="918" ht="15.75" customHeight="1" s="195"/>
    <row r="919" ht="15.75" customHeight="1" s="195"/>
    <row r="920" ht="15.75" customHeight="1" s="195"/>
    <row r="921" ht="15.75" customHeight="1" s="195"/>
    <row r="922" ht="15.75" customHeight="1" s="195"/>
    <row r="923" ht="15.75" customHeight="1" s="195"/>
    <row r="924" ht="15.75" customHeight="1" s="195"/>
    <row r="925" ht="15.75" customHeight="1" s="195"/>
    <row r="926" ht="15.75" customHeight="1" s="195"/>
    <row r="927" ht="15.75" customHeight="1" s="195"/>
    <row r="928" ht="15.75" customHeight="1" s="195"/>
    <row r="929" ht="15.75" customHeight="1" s="195"/>
    <row r="930" ht="15.75" customHeight="1" s="195"/>
    <row r="931" ht="15.75" customHeight="1" s="195"/>
    <row r="932" ht="15.75" customHeight="1" s="195"/>
    <row r="933" ht="15.75" customHeight="1" s="195"/>
    <row r="934" ht="15.75" customHeight="1" s="195"/>
    <row r="935" ht="15.75" customHeight="1" s="195"/>
    <row r="936" ht="15.75" customHeight="1" s="195"/>
    <row r="937" ht="15.75" customHeight="1" s="195"/>
    <row r="938" ht="15.75" customHeight="1" s="195"/>
    <row r="939" ht="15.75" customHeight="1" s="195"/>
    <row r="940" ht="15.75" customHeight="1" s="195"/>
    <row r="941" ht="15.75" customHeight="1" s="195"/>
    <row r="942" ht="15.75" customHeight="1" s="195"/>
    <row r="943" ht="15.75" customHeight="1" s="195"/>
    <row r="944" ht="15.75" customHeight="1" s="195"/>
    <row r="945" ht="15.75" customHeight="1" s="195"/>
    <row r="946" ht="15.75" customHeight="1" s="195"/>
    <row r="947" ht="15.75" customHeight="1" s="195"/>
    <row r="948" ht="15.75" customHeight="1" s="195"/>
    <row r="949" ht="15.75" customHeight="1" s="195"/>
    <row r="950" ht="15.75" customHeight="1" s="195"/>
    <row r="951" ht="15.75" customHeight="1" s="195"/>
    <row r="952" ht="15.75" customHeight="1" s="195"/>
    <row r="953" ht="15.75" customHeight="1" s="195"/>
    <row r="954" ht="15.75" customHeight="1" s="195"/>
    <row r="955" ht="15.75" customHeight="1" s="195"/>
    <row r="956" ht="15.75" customHeight="1" s="195"/>
    <row r="957" ht="15.75" customHeight="1" s="195"/>
    <row r="958" ht="15.75" customHeight="1" s="195"/>
    <row r="959" ht="15.75" customHeight="1" s="195"/>
    <row r="960" ht="15.75" customHeight="1" s="195"/>
    <row r="961" ht="15.75" customHeight="1" s="195"/>
    <row r="962" ht="15.75" customHeight="1" s="195"/>
    <row r="963" ht="15.75" customHeight="1" s="195"/>
    <row r="964" ht="15.75" customHeight="1" s="195"/>
    <row r="965" ht="15.75" customHeight="1" s="195"/>
    <row r="966" ht="15.75" customHeight="1" s="195"/>
    <row r="967" ht="15.75" customHeight="1" s="195"/>
    <row r="968" ht="15.75" customHeight="1" s="195"/>
    <row r="969" ht="15.75" customHeight="1" s="195"/>
    <row r="970" ht="15.75" customHeight="1" s="195"/>
    <row r="971" ht="15.75" customHeight="1" s="195"/>
    <row r="972" ht="15.75" customHeight="1" s="195"/>
    <row r="973" ht="15.75" customHeight="1" s="195"/>
    <row r="974" ht="15.75" customHeight="1" s="195"/>
    <row r="975" ht="15.75" customHeight="1" s="195"/>
    <row r="976" ht="15.75" customHeight="1" s="195"/>
    <row r="977" ht="15.75" customHeight="1" s="195"/>
    <row r="978" ht="15.75" customHeight="1" s="195"/>
    <row r="979" ht="15.75" customHeight="1" s="195"/>
    <row r="980" ht="15.75" customHeight="1" s="195"/>
    <row r="981" ht="15.75" customHeight="1" s="195"/>
    <row r="982" ht="15.75" customHeight="1" s="195"/>
    <row r="983" ht="15.75" customHeight="1" s="195"/>
    <row r="984" ht="15.75" customHeight="1" s="195"/>
    <row r="985" ht="15.75" customHeight="1" s="195"/>
    <row r="986" ht="15.75" customHeight="1" s="195"/>
    <row r="987" ht="15.75" customHeight="1" s="195"/>
    <row r="988" ht="15.75" customHeight="1" s="195"/>
    <row r="989" ht="15.75" customHeight="1" s="195"/>
    <row r="990" ht="15.75" customHeight="1" s="195"/>
    <row r="991" ht="15.75" customHeight="1" s="195"/>
    <row r="992" ht="15.75" customHeight="1" s="195"/>
    <row r="993" ht="15.75" customHeight="1" s="195"/>
    <row r="994" ht="15.75" customHeight="1" s="195"/>
    <row r="995" ht="15.75" customHeight="1" s="195"/>
    <row r="996" ht="15.75" customHeight="1" s="195"/>
    <row r="997" ht="15.75" customHeight="1" s="195"/>
    <row r="998" ht="15.75" customHeight="1" s="195"/>
    <row r="999" ht="15.75" customHeight="1" s="195"/>
    <row r="1000" ht="15.75" customHeight="1" s="195"/>
  </sheetData>
  <mergeCells count="13">
    <mergeCell ref="D2:F2"/>
    <mergeCell ref="G2:I2"/>
    <mergeCell ref="S2:T2"/>
    <mergeCell ref="J2:L2"/>
    <mergeCell ref="A506:G506"/>
    <mergeCell ref="U2:V2"/>
    <mergeCell ref="P2:R2"/>
    <mergeCell ref="A1:Y1"/>
    <mergeCell ref="W2:AC2"/>
    <mergeCell ref="A101:J101"/>
    <mergeCell ref="A4:Y4"/>
    <mergeCell ref="M2:O2"/>
    <mergeCell ref="A2:C2"/>
  </mergeCells>
  <conditionalFormatting sqref="T6:T505">
    <cfRule type="expression" rank="0" priority="2" equalAverage="0" aboveAverage="0" dxfId="0" text="" percent="0" bottom="0">
      <formula>EXACT(T6,"APROBADO")</formula>
    </cfRule>
    <cfRule type="expression" rank="0" priority="3" equalAverage="0" aboveAverage="0" dxfId="7" text="" percent="0" bottom="0">
      <formula>EXACT(T6,"PENDIENTE")</formula>
    </cfRule>
    <cfRule type="expression" rank="0" priority="4" equalAverage="0" aboveAverage="0" dxfId="0" text="" percent="0" bottom="0">
      <formula>EXACT(T6,"APROBADO")</formula>
    </cfRule>
    <cfRule type="expression" rank="0" priority="5" equalAverage="0" aboveAverage="0" dxfId="7" text="" percent="0" bottom="0">
      <formula>EXACT(T6,"OBSERVADO")</formula>
    </cfRule>
  </conditionalFormatting>
  <conditionalFormatting sqref="K6:K505">
    <cfRule type="expression" rank="0" priority="6" equalAverage="0" aboveAverage="0" dxfId="8" text="" percent="0" bottom="0">
      <formula>EXACT(K6,"GASOLINA")</formula>
    </cfRule>
  </conditionalFormatting>
  <conditionalFormatting sqref="Z6:Z505">
    <cfRule type="expression" rank="0" priority="7" equalAverage="0" aboveAverage="0" dxfId="0" text="" percent="0" bottom="0">
      <formula>EXACT(Z6,"COMPLETADO")</formula>
    </cfRule>
    <cfRule type="expression" rank="0" priority="8" equalAverage="0" aboveAverage="0" dxfId="7" text="" percent="0" bottom="0">
      <formula>EXACT(Z6,"OBSERVADO")</formula>
    </cfRule>
  </conditionalFormatting>
  <conditionalFormatting sqref="Y6:Y110">
    <cfRule type="expression" rank="0" priority="9" equalAverage="0" aboveAverage="0" dxfId="9" text="" percent="0" bottom="0">
      <formula>Y6&lt;&gt;""</formula>
    </cfRule>
  </conditionalFormatting>
  <conditionalFormatting sqref="Z6:Z110">
    <cfRule type="expression" rank="0" priority="10" equalAverage="0" aboveAverage="0" dxfId="0" text="" percent="0" bottom="0">
      <formula>Z6="ENTREGADO"</formula>
    </cfRule>
    <cfRule type="expression" rank="0" priority="11" equalAverage="0" aboveAverage="0" dxfId="7" text="" percent="0" bottom="0">
      <formula>Z6="POR RECOGER"</formula>
    </cfRule>
  </conditionalFormatting>
  <dataValidations count="4">
    <dataValidation sqref="Y6:Y110" showDropDown="0" showInputMessage="0" showErrorMessage="0" allowBlank="1" type="list" errorStyle="stop" operator="between">
      <formula1>CONDUCTORES!$H$3:$H$104</formula1>
      <formula2>0</formula2>
    </dataValidation>
    <dataValidation sqref="K6:K505" showDropDown="0" showInputMessage="0" showErrorMessage="0" allowBlank="1" type="list" errorStyle="stop" operator="between">
      <formula1>"PETROLEO,GASOLINA"</formula1>
      <formula2>0</formula2>
    </dataValidation>
    <dataValidation sqref="E6:E100 E102:E505" showDropDown="0" showInputMessage="0" showErrorMessage="0" allowBlank="1" type="list" errorStyle="stop" operator="between">
      <formula1>"DNI,CE,PASAPORTE"</formula1>
      <formula2>0</formula2>
    </dataValidation>
    <dataValidation sqref="T6:T505" showDropDown="0" showInputMessage="1" showErrorMessage="1" allowBlank="1" prompt="Valor no válido - Solo se permite: APROBADO u OBSERVADO" type="list" errorStyle="stop" operator="between">
      <formula1>"APROBADO,OBSERVADO"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C5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baseColWidth="8" defaultColWidth="14.43359375" defaultRowHeight="15" zeroHeight="0" outlineLevelRow="0"/>
  <cols>
    <col width="6" customWidth="1" style="194" min="1" max="1"/>
    <col width="14" customWidth="1" style="194" min="2" max="2"/>
    <col width="8" customWidth="1" style="194" min="3" max="3"/>
    <col width="28" customWidth="1" style="194" min="4" max="4"/>
    <col width="7" customWidth="1" style="194" min="5" max="5"/>
    <col width="14" customWidth="1" style="194" min="6" max="6"/>
    <col width="12" customWidth="1" style="194" min="7" max="7"/>
    <col width="10" customWidth="1" style="194" min="8" max="8"/>
    <col width="30" customWidth="1" style="194" min="9" max="9"/>
    <col width="10" customWidth="1" style="194" min="10" max="10"/>
    <col width="12" customWidth="1" style="194" min="11" max="11"/>
    <col width="10" customWidth="1" style="194" min="12" max="13"/>
    <col width="14" customWidth="1" style="194" min="14" max="15"/>
    <col width="30" customWidth="1" style="194" min="16" max="16"/>
    <col width="12" customWidth="1" style="194" min="17" max="18"/>
    <col width="16" customWidth="1" style="194" min="19" max="19"/>
    <col width="12" customWidth="1" style="194" min="20" max="21"/>
    <col width="14" customWidth="1" style="194" min="22" max="23"/>
    <col width="8" customWidth="1" style="194" min="24" max="24"/>
    <col width="22" customWidth="1" style="194" min="25" max="25"/>
    <col width="14" customWidth="1" style="194" min="26" max="26"/>
    <col width="8.710000000000001" customWidth="1" style="194" min="27" max="29"/>
  </cols>
  <sheetData>
    <row r="1" ht="27.75" customHeight="1" s="195">
      <c r="A1" s="365" t="inlineStr">
        <is>
          <t>REPORTE DE TRASLADO DE PACIENTES SIS DEL MES DE MAYO 2026 PARA REPOSICION DE COMBUSTIBLE</t>
        </is>
      </c>
      <c r="Z1" s="365" t="n"/>
      <c r="AA1" s="284" t="n"/>
    </row>
    <row r="2" ht="21.75" customHeight="1" s="195">
      <c r="A2" s="318" t="inlineStr">
        <is>
          <t>TOTAL PETROLEO (gal):</t>
        </is>
      </c>
      <c r="D2" s="366">
        <f>IFERROR(SUMPRODUCT((K6:K110="PETROLEO")*ISNUMBER(M6:M110)*M6:M110),0)</f>
        <v/>
      </c>
      <c r="G2" s="318" t="inlineStr">
        <is>
          <t>TOTAL GASOLINA (gal):</t>
        </is>
      </c>
      <c r="J2" s="366">
        <f>IFERROR(SUMPRODUCT((K6:K110="GASOLINA")*ISNUMBER(M6:M110)*M6:M110),0)</f>
        <v/>
      </c>
      <c r="M2" s="318" t="inlineStr">
        <is>
          <t>TOTAL SOLES S/.:</t>
        </is>
      </c>
      <c r="P2" s="367">
        <f>IFERROR(SUMPRODUCT(ISNUMBER(M6:M110)*L6:L110*M6:M110),0)</f>
        <v/>
      </c>
      <c r="S2" s="318" t="inlineStr">
        <is>
          <t>N TRASLADOS:</t>
        </is>
      </c>
      <c r="U2" s="368">
        <f>SUBTOTAL(2,A6:A110)</f>
        <v/>
      </c>
      <c r="W2" s="281" t="n"/>
    </row>
    <row r="3" ht="3.75" customHeight="1" s="195">
      <c r="A3" s="289" t="n"/>
      <c r="B3" s="289" t="n"/>
      <c r="C3" s="289" t="n"/>
      <c r="D3" s="289" t="n"/>
      <c r="E3" s="289" t="n"/>
      <c r="F3" s="289" t="n"/>
      <c r="G3" s="289" t="n"/>
      <c r="H3" s="289" t="n"/>
      <c r="I3" s="289" t="n"/>
      <c r="J3" s="289" t="n"/>
      <c r="K3" s="289" t="n"/>
      <c r="L3" s="289" t="n"/>
      <c r="M3" s="289" t="n"/>
      <c r="N3" s="289" t="n"/>
      <c r="O3" s="289" t="n"/>
      <c r="P3" s="289" t="n"/>
      <c r="Q3" s="289" t="n"/>
      <c r="R3" s="289" t="n"/>
      <c r="S3" s="289" t="n"/>
      <c r="T3" s="289" t="n"/>
      <c r="U3" s="289" t="n"/>
      <c r="V3" s="289" t="n"/>
      <c r="W3" s="289" t="n"/>
      <c r="X3" s="289" t="n"/>
      <c r="Y3" s="289" t="n"/>
      <c r="Z3" s="289" t="n"/>
      <c r="AA3" s="284" t="n"/>
    </row>
    <row r="4" ht="19.5" customHeight="1" s="195">
      <c r="A4" s="369" t="inlineStr">
        <is>
          <t>COLUMNAS EN AZUL = AUTO (no editar) | Ingrese: N, NRO FORMATO, AFILIADO, TIPO DOC, NRO DOC, FECHA TRASLADO, COD RENAES, COD REFERENCIA, DNI CONDUCTOR, PRECIO GAL, GALONES, FECHA ENTREGA, CIE-10, ESTADO FUA, FECHA DIGITACION, OFICIO, O/C, META, OBSERVACION</t>
        </is>
      </c>
      <c r="Z4" s="369" t="n"/>
      <c r="AA4" s="284" t="n"/>
    </row>
    <row r="5" ht="31.5" customHeight="1" s="195">
      <c r="A5" s="370" t="inlineStr">
        <is>
          <t>N</t>
        </is>
      </c>
      <c r="B5" s="370" t="inlineStr">
        <is>
          <t>NRO FORMATO
ATENCION</t>
        </is>
      </c>
      <c r="C5" s="370" t="inlineStr">
        <is>
          <t>UNIDAD
EJECUTORA</t>
        </is>
      </c>
      <c r="D5" s="370" t="inlineStr">
        <is>
          <t>AFILIADO</t>
        </is>
      </c>
      <c r="E5" s="370" t="inlineStr">
        <is>
          <t>TIPO
DOC</t>
        </is>
      </c>
      <c r="F5" s="370" t="inlineStr">
        <is>
          <t>NRO
DOCUMENTO</t>
        </is>
      </c>
      <c r="G5" s="370" t="inlineStr">
        <is>
          <t>FECHA
TRASLADO</t>
        </is>
      </c>
      <c r="H5" s="370" t="inlineStr">
        <is>
          <t>COD
RENAES</t>
        </is>
      </c>
      <c r="I5" s="371" t="inlineStr">
        <is>
          <t>DESCRIPCION
EESS</t>
        </is>
      </c>
      <c r="J5" s="370" t="inlineStr">
        <is>
          <t>COD EESS
REFERENCIA</t>
        </is>
      </c>
      <c r="K5" s="371" t="inlineStr">
        <is>
          <t>TIPO DE
COMBUSTIBLE</t>
        </is>
      </c>
      <c r="L5" s="370" t="inlineStr">
        <is>
          <t>PRECIO
GAL S/.</t>
        </is>
      </c>
      <c r="M5" s="370" t="inlineStr">
        <is>
          <t>GALONES</t>
        </is>
      </c>
      <c r="N5" s="371" t="inlineStr">
        <is>
          <t>TOTAL
COMBUSTIBLE S/.</t>
        </is>
      </c>
      <c r="O5" s="370" t="inlineStr">
        <is>
          <t>DNI
CONDUCTOR</t>
        </is>
      </c>
      <c r="P5" s="371" t="inlineStr">
        <is>
          <t>NOMBRE
CONDUCTOR</t>
        </is>
      </c>
      <c r="Q5" s="371" t="inlineStr">
        <is>
          <t>PLACA</t>
        </is>
      </c>
      <c r="R5" s="370" t="inlineStr">
        <is>
          <t>FECHA DE
ENTREGA</t>
        </is>
      </c>
      <c r="S5" s="370" t="inlineStr">
        <is>
          <t>CODIGO DE
DIAGNOSTICO</t>
        </is>
      </c>
      <c r="T5" s="370" t="inlineStr">
        <is>
          <t>ESTADO
FUA</t>
        </is>
      </c>
      <c r="U5" s="370" t="inlineStr">
        <is>
          <t>FECHA
DIGITACION</t>
        </is>
      </c>
      <c r="V5" s="370" t="inlineStr">
        <is>
          <t>OFICIO</t>
        </is>
      </c>
      <c r="W5" s="370" t="inlineStr">
        <is>
          <t>O/C</t>
        </is>
      </c>
      <c r="X5" s="370" t="inlineStr">
        <is>
          <t>META</t>
        </is>
      </c>
      <c r="Y5" s="324" t="inlineStr">
        <is>
          <t>DEVOLVER A
(IPRESS DESTINO)</t>
        </is>
      </c>
      <c r="Z5" s="372" t="inlineStr">
        <is>
          <t>ESTADO
COMPLETADO</t>
        </is>
      </c>
      <c r="AA5" s="284" t="n"/>
    </row>
    <row r="6" ht="15.75" customHeight="1" s="195">
      <c r="A6" s="334" t="n"/>
      <c r="B6" s="334" t="n"/>
      <c r="C6" s="334" t="n"/>
      <c r="D6" s="334" t="n"/>
      <c r="E6" s="334" t="n"/>
      <c r="F6" s="334" t="n"/>
      <c r="G6" s="334" t="n"/>
      <c r="H6" s="334" t="n"/>
      <c r="I6" s="332">
        <f>IFERROR(VLOOKUP(TEXT(H6,"0"),IPRESS!$A$3:$B$212,2,0),"")</f>
        <v/>
      </c>
      <c r="J6" s="334" t="n"/>
      <c r="K6" s="332">
        <f>IFERROR(VLOOKUP(TEXT(O6,"0"),CONDUCTORES!$A$3:$G$54,7,0),"")</f>
        <v/>
      </c>
      <c r="L6" s="334" t="n"/>
      <c r="M6" s="334" t="n"/>
      <c r="N6" s="333">
        <f>IFERROR(IF(L6*M6=0,"",L6*M6),"")</f>
        <v/>
      </c>
      <c r="O6" s="334" t="n"/>
      <c r="P6" s="332">
        <f>IFERROR(VLOOKUP(TEXT(O6,"0"),CONDUCTORES!$A$3:$G$54,2,0),"")</f>
        <v/>
      </c>
      <c r="Q6" s="332">
        <f>IFERROR(VLOOKUP(TEXT(O6,"0"),CONDUCTORES!$A$3:$H$54,6,0),"")</f>
        <v/>
      </c>
      <c r="R6" s="334" t="n"/>
      <c r="S6" s="334" t="n"/>
      <c r="T6" s="334" t="n"/>
      <c r="U6" s="334" t="n"/>
      <c r="V6" s="334" t="n"/>
      <c r="W6" s="334" t="n"/>
      <c r="X6" s="334" t="n"/>
      <c r="Y6" s="334" t="n"/>
      <c r="Z6" s="242">
        <f>IF(AND(G6&lt;&gt;"",R6&lt;&gt;"",V6&lt;&gt;"",W6&lt;&gt;""),"COMPLETADO","OBSERVADO")</f>
        <v/>
      </c>
      <c r="AA6" s="284" t="n"/>
    </row>
    <row r="7" ht="15.75" customHeight="1" s="195">
      <c r="A7" s="280" t="n"/>
      <c r="B7" s="280" t="n"/>
      <c r="C7" s="280" t="n"/>
      <c r="D7" s="280" t="n"/>
      <c r="E7" s="280" t="n"/>
      <c r="F7" s="280" t="n"/>
      <c r="G7" s="280" t="n"/>
      <c r="H7" s="280" t="n"/>
      <c r="I7" s="332">
        <f>IFERROR(VLOOKUP(TEXT(H7,"0"),IPRESS!$A$3:$B$212,2,0),"")</f>
        <v/>
      </c>
      <c r="J7" s="280" t="n"/>
      <c r="K7" s="332">
        <f>IFERROR(VLOOKUP(TEXT(O7,"0"),CONDUCTORES!$A$3:$G$54,7,0),"")</f>
        <v/>
      </c>
      <c r="L7" s="280" t="n"/>
      <c r="M7" s="280" t="n"/>
      <c r="N7" s="333">
        <f>IFERROR(IF(L7*M7=0,"",L7*M7),"")</f>
        <v/>
      </c>
      <c r="O7" s="280" t="n"/>
      <c r="P7" s="332">
        <f>IFERROR(VLOOKUP(TEXT(O7,"0"),CONDUCTORES!$A$3:$G$54,2,0),"")</f>
        <v/>
      </c>
      <c r="Q7" s="332">
        <f>IFERROR(VLOOKUP(TEXT(O7,"0"),CONDUCTORES!$A$3:$H$54,6,0),"")</f>
        <v/>
      </c>
      <c r="R7" s="280" t="n"/>
      <c r="S7" s="280" t="n"/>
      <c r="T7" s="280" t="n"/>
      <c r="U7" s="280" t="n"/>
      <c r="V7" s="280" t="n"/>
      <c r="W7" s="280" t="n"/>
      <c r="X7" s="280" t="n"/>
      <c r="Y7" s="280" t="n"/>
      <c r="Z7" s="236">
        <f>IF(AND(G7&lt;&gt;"",R7&lt;&gt;"",V7&lt;&gt;"",W7&lt;&gt;""),"COMPLETADO","OBSERVADO")</f>
        <v/>
      </c>
      <c r="AA7" s="284" t="n"/>
    </row>
    <row r="8" ht="15.75" customHeight="1" s="195">
      <c r="A8" s="334" t="n"/>
      <c r="K8" s="332">
        <f>IFERROR(VLOOKUP(TEXT(O8,"0"),CONDUCTORES!$A$3:$G$54,7,0),"")</f>
        <v/>
      </c>
      <c r="L8" s="334" t="n"/>
      <c r="M8" s="373" t="n"/>
      <c r="N8" s="333">
        <f>IFERROR(IF(L8*M8=0,"",L8*M8),"")</f>
        <v/>
      </c>
      <c r="O8" s="334" t="n"/>
      <c r="P8" s="332">
        <f>IFERROR(VLOOKUP(TEXT(O8,"0"),CONDUCTORES!$A$3:$G$54,2,0),"")</f>
        <v/>
      </c>
      <c r="Q8" s="332">
        <f>IFERROR(VLOOKUP(TEXT(O8,"0"),CONDUCTORES!$A$3:$H$54,6,0),"")</f>
        <v/>
      </c>
      <c r="R8" s="334" t="n"/>
      <c r="S8" s="334" t="n"/>
      <c r="T8" s="334" t="n"/>
      <c r="U8" s="334" t="n"/>
      <c r="V8" s="334" t="n"/>
      <c r="W8" s="334" t="n"/>
      <c r="X8" s="334" t="n"/>
      <c r="Y8" s="334" t="n"/>
      <c r="Z8" s="242">
        <f>IF(AND(G8&lt;&gt;"",R8&lt;&gt;"",V8&lt;&gt;"",W8&lt;&gt;""),"COMPLETADO","OBSERVADO")</f>
        <v/>
      </c>
      <c r="AA8" s="284" t="n"/>
    </row>
    <row r="9" ht="15.75" customHeight="1" s="195">
      <c r="A9" s="280" t="n"/>
      <c r="B9" s="280" t="n"/>
      <c r="C9" s="280" t="n"/>
      <c r="D9" s="280" t="n"/>
      <c r="E9" s="280" t="n"/>
      <c r="F9" s="280" t="n"/>
      <c r="G9" s="280" t="n"/>
      <c r="H9" s="280" t="n"/>
      <c r="I9" s="332">
        <f>IFERROR(VLOOKUP(TEXT(H9,"0"),IPRESS!$A$3:$B$212,2,0),"")</f>
        <v/>
      </c>
      <c r="J9" s="280" t="n"/>
      <c r="K9" s="332">
        <f>IFERROR(VLOOKUP(TEXT(O9,"0"),CONDUCTORES!$A$3:$G$54,7,0),"")</f>
        <v/>
      </c>
      <c r="L9" s="280" t="n"/>
      <c r="M9" s="280" t="n"/>
      <c r="N9" s="333">
        <f>IFERROR(IF(L9*M9=0,"",L9*M9),"")</f>
        <v/>
      </c>
      <c r="O9" s="280" t="n"/>
      <c r="P9" s="332">
        <f>IFERROR(VLOOKUP(TEXT(O9,"0"),CONDUCTORES!$A$3:$G$54,2,0),"")</f>
        <v/>
      </c>
      <c r="Q9" s="332">
        <f>IFERROR(VLOOKUP(TEXT(O9,"0"),CONDUCTORES!$A$3:$H$54,6,0),"")</f>
        <v/>
      </c>
      <c r="R9" s="280" t="n"/>
      <c r="S9" s="280" t="n"/>
      <c r="T9" s="280" t="n"/>
      <c r="U9" s="280" t="n"/>
      <c r="V9" s="280" t="n"/>
      <c r="W9" s="280" t="n"/>
      <c r="X9" s="280" t="n"/>
      <c r="Y9" s="280" t="n"/>
      <c r="Z9" s="236">
        <f>IF(AND(G9&lt;&gt;"",R9&lt;&gt;"",V9&lt;&gt;"",W9&lt;&gt;""),"COMPLETADO","OBSERVADO")</f>
        <v/>
      </c>
      <c r="AA9" s="284" t="n"/>
    </row>
    <row r="10" ht="15.75" customHeight="1" s="195">
      <c r="A10" s="334" t="n"/>
      <c r="B10" s="334" t="n"/>
      <c r="C10" s="334" t="n"/>
      <c r="D10" s="334" t="n"/>
      <c r="E10" s="334" t="n"/>
      <c r="F10" s="334" t="n"/>
      <c r="G10" s="334" t="n"/>
      <c r="H10" s="334" t="n"/>
      <c r="I10" s="332">
        <f>IFERROR(VLOOKUP(TEXT(H10,"0"),IPRESS!$A$3:$B$212,2,0),"")</f>
        <v/>
      </c>
      <c r="J10" s="334" t="n"/>
      <c r="K10" s="332">
        <f>IFERROR(VLOOKUP(TEXT(O10,"0"),CONDUCTORES!$A$3:$G$54,7,0),"")</f>
        <v/>
      </c>
      <c r="L10" s="334" t="n"/>
      <c r="M10" s="334" t="n"/>
      <c r="N10" s="333">
        <f>IFERROR(IF(L10*M10=0,"",L10*M10),"")</f>
        <v/>
      </c>
      <c r="O10" s="334" t="n"/>
      <c r="P10" s="332">
        <f>IFERROR(VLOOKUP(TEXT(O10,"0"),CONDUCTORES!$A$3:$G$54,2,0),"")</f>
        <v/>
      </c>
      <c r="Q10" s="332">
        <f>IFERROR(VLOOKUP(TEXT(O10,"0"),CONDUCTORES!$A$3:$H$54,6,0),"")</f>
        <v/>
      </c>
      <c r="R10" s="334" t="n"/>
      <c r="S10" s="334" t="n"/>
      <c r="T10" s="334" t="n"/>
      <c r="U10" s="334" t="n"/>
      <c r="V10" s="334" t="n"/>
      <c r="W10" s="334" t="n"/>
      <c r="X10" s="334" t="n"/>
      <c r="Y10" s="334" t="n"/>
      <c r="Z10" s="242">
        <f>IF(AND(G10&lt;&gt;"",R10&lt;&gt;"",V10&lt;&gt;"",W10&lt;&gt;""),"COMPLETADO","OBSERVADO")</f>
        <v/>
      </c>
      <c r="AA10" s="284" t="n"/>
    </row>
    <row r="11" ht="15.75" customHeight="1" s="195">
      <c r="A11" s="280" t="n"/>
      <c r="B11" s="280" t="n"/>
      <c r="C11" s="280" t="n"/>
      <c r="D11" s="280" t="n"/>
      <c r="E11" s="280" t="n"/>
      <c r="F11" s="280" t="n"/>
      <c r="G11" s="280" t="n"/>
      <c r="H11" s="280" t="n"/>
      <c r="I11" s="332">
        <f>IFERROR(VLOOKUP(TEXT(H11,"0"),IPRESS!$A$3:$B$212,2,0),"")</f>
        <v/>
      </c>
      <c r="J11" s="280" t="n"/>
      <c r="K11" s="332">
        <f>IFERROR(VLOOKUP(TEXT(O11,"0"),CONDUCTORES!$A$3:$G$54,7,0),"")</f>
        <v/>
      </c>
      <c r="L11" s="280" t="n"/>
      <c r="M11" s="280" t="n"/>
      <c r="N11" s="333">
        <f>IFERROR(IF(L11*M11=0,"",L11*M11),"")</f>
        <v/>
      </c>
      <c r="O11" s="280" t="n"/>
      <c r="P11" s="332">
        <f>IFERROR(VLOOKUP(TEXT(O11,"0"),CONDUCTORES!$A$3:$G$54,2,0),"")</f>
        <v/>
      </c>
      <c r="Q11" s="332">
        <f>IFERROR(VLOOKUP(TEXT(O11,"0"),CONDUCTORES!$A$3:$H$54,6,0),"")</f>
        <v/>
      </c>
      <c r="R11" s="280" t="n"/>
      <c r="S11" s="280" t="n"/>
      <c r="T11" s="280" t="n"/>
      <c r="U11" s="280" t="n"/>
      <c r="V11" s="280" t="n"/>
      <c r="W11" s="280" t="n"/>
      <c r="X11" s="280" t="n"/>
      <c r="Y11" s="280" t="n"/>
      <c r="Z11" s="236">
        <f>IF(AND(G11&lt;&gt;"",R11&lt;&gt;"",V11&lt;&gt;"",W11&lt;&gt;""),"COMPLETADO","OBSERVADO")</f>
        <v/>
      </c>
      <c r="AA11" s="284" t="n"/>
    </row>
    <row r="12" ht="15.75" customHeight="1" s="195">
      <c r="A12" s="334" t="n"/>
      <c r="B12" s="334" t="n"/>
      <c r="C12" s="334" t="n"/>
      <c r="D12" s="334" t="n"/>
      <c r="E12" s="334" t="n"/>
      <c r="F12" s="334" t="n"/>
      <c r="G12" s="334" t="n"/>
      <c r="H12" s="334" t="n"/>
      <c r="I12" s="332">
        <f>IFERROR(VLOOKUP(TEXT(H12,"0"),IPRESS!$A$3:$B$212,2,0),"")</f>
        <v/>
      </c>
      <c r="J12" s="334" t="n"/>
      <c r="K12" s="332">
        <f>IFERROR(VLOOKUP(TEXT(O12,"0"),CONDUCTORES!$A$3:$G$54,7,0),"")</f>
        <v/>
      </c>
      <c r="L12" s="334" t="n"/>
      <c r="M12" s="334" t="n"/>
      <c r="N12" s="333">
        <f>IFERROR(IF(L12*M12=0,"",L12*M12),"")</f>
        <v/>
      </c>
      <c r="O12" s="334" t="n"/>
      <c r="P12" s="332">
        <f>IFERROR(VLOOKUP(TEXT(O12,"0"),CONDUCTORES!$A$3:$G$54,2,0),"")</f>
        <v/>
      </c>
      <c r="Q12" s="332">
        <f>IFERROR(VLOOKUP(TEXT(O12,"0"),CONDUCTORES!$A$3:$H$54,6,0),"")</f>
        <v/>
      </c>
      <c r="R12" s="334" t="n"/>
      <c r="S12" s="334" t="n"/>
      <c r="T12" s="334" t="n"/>
      <c r="U12" s="334" t="n"/>
      <c r="V12" s="334" t="n"/>
      <c r="W12" s="334" t="n"/>
      <c r="X12" s="334" t="n"/>
      <c r="Y12" s="334" t="n"/>
      <c r="Z12" s="242">
        <f>IF(AND(G12&lt;&gt;"",R12&lt;&gt;"",V12&lt;&gt;"",W12&lt;&gt;""),"COMPLETADO","OBSERVADO")</f>
        <v/>
      </c>
      <c r="AA12" s="284" t="n"/>
    </row>
    <row r="13" ht="15.75" customHeight="1" s="195">
      <c r="A13" s="280" t="n"/>
      <c r="B13" s="280" t="n"/>
      <c r="C13" s="280" t="n"/>
      <c r="D13" s="280" t="n"/>
      <c r="E13" s="280" t="n"/>
      <c r="F13" s="280" t="n"/>
      <c r="G13" s="280" t="n"/>
      <c r="H13" s="280" t="n"/>
      <c r="I13" s="332">
        <f>IFERROR(VLOOKUP(TEXT(H13,"0"),IPRESS!$A$3:$B$212,2,0),"")</f>
        <v/>
      </c>
      <c r="J13" s="280" t="n"/>
      <c r="K13" s="332">
        <f>IFERROR(VLOOKUP(TEXT(O13,"0"),CONDUCTORES!$A$3:$G$54,7,0),"")</f>
        <v/>
      </c>
      <c r="L13" s="280" t="n"/>
      <c r="M13" s="280" t="n"/>
      <c r="N13" s="333">
        <f>IFERROR(IF(L13*M13=0,"",L13*M13),"")</f>
        <v/>
      </c>
      <c r="O13" s="280" t="n"/>
      <c r="P13" s="332">
        <f>IFERROR(VLOOKUP(TEXT(O13,"0"),CONDUCTORES!$A$3:$G$54,2,0),"")</f>
        <v/>
      </c>
      <c r="Q13" s="332">
        <f>IFERROR(VLOOKUP(TEXT(O13,"0"),CONDUCTORES!$A$3:$H$54,6,0),"")</f>
        <v/>
      </c>
      <c r="R13" s="280" t="n"/>
      <c r="S13" s="280" t="n"/>
      <c r="T13" s="280" t="n"/>
      <c r="U13" s="280" t="n"/>
      <c r="V13" s="280" t="n"/>
      <c r="W13" s="280" t="n"/>
      <c r="X13" s="280" t="n"/>
      <c r="Y13" s="280" t="n"/>
      <c r="Z13" s="236">
        <f>IF(AND(G13&lt;&gt;"",R13&lt;&gt;"",V13&lt;&gt;"",W13&lt;&gt;""),"COMPLETADO","OBSERVADO")</f>
        <v/>
      </c>
      <c r="AA13" s="284" t="n"/>
    </row>
    <row r="14" ht="15.75" customHeight="1" s="195">
      <c r="A14" s="334" t="n"/>
      <c r="B14" s="334" t="n"/>
      <c r="C14" s="334" t="n"/>
      <c r="D14" s="334" t="n"/>
      <c r="E14" s="334" t="n"/>
      <c r="F14" s="334" t="n"/>
      <c r="G14" s="334" t="n"/>
      <c r="H14" s="334" t="n"/>
      <c r="I14" s="332">
        <f>IFERROR(VLOOKUP(TEXT(H14,"0"),IPRESS!$A$3:$B$212,2,0),"")</f>
        <v/>
      </c>
      <c r="J14" s="334" t="n"/>
      <c r="K14" s="332">
        <f>IFERROR(VLOOKUP(TEXT(O14,"0"),CONDUCTORES!$A$3:$G$54,7,0),"")</f>
        <v/>
      </c>
      <c r="L14" s="334" t="n"/>
      <c r="M14" s="334" t="n"/>
      <c r="N14" s="333">
        <f>IFERROR(IF(L14*M14=0,"",L14*M14),"")</f>
        <v/>
      </c>
      <c r="O14" s="334" t="n"/>
      <c r="P14" s="332">
        <f>IFERROR(VLOOKUP(TEXT(O14,"0"),CONDUCTORES!$A$3:$G$54,2,0),"")</f>
        <v/>
      </c>
      <c r="Q14" s="332">
        <f>IFERROR(VLOOKUP(TEXT(O14,"0"),CONDUCTORES!$A$3:$H$54,6,0),"")</f>
        <v/>
      </c>
      <c r="R14" s="334" t="n"/>
      <c r="S14" s="334" t="n"/>
      <c r="T14" s="334" t="n"/>
      <c r="U14" s="334" t="n"/>
      <c r="V14" s="334" t="n"/>
      <c r="W14" s="334" t="n"/>
      <c r="X14" s="334" t="n"/>
      <c r="Y14" s="334" t="n"/>
      <c r="Z14" s="242">
        <f>IF(AND(G14&lt;&gt;"",R14&lt;&gt;"",V14&lt;&gt;"",W14&lt;&gt;""),"COMPLETADO","OBSERVADO")</f>
        <v/>
      </c>
      <c r="AA14" s="284" t="n"/>
    </row>
    <row r="15" ht="15.75" customHeight="1" s="195">
      <c r="A15" s="280" t="n"/>
      <c r="B15" s="280" t="n"/>
      <c r="C15" s="280" t="n"/>
      <c r="D15" s="280" t="n"/>
      <c r="E15" s="280" t="n"/>
      <c r="F15" s="280" t="n"/>
      <c r="G15" s="280" t="n"/>
      <c r="H15" s="280" t="n"/>
      <c r="I15" s="332">
        <f>IFERROR(VLOOKUP(TEXT(H15,"0"),IPRESS!$A$3:$B$212,2,0),"")</f>
        <v/>
      </c>
      <c r="J15" s="280" t="n"/>
      <c r="K15" s="332">
        <f>IFERROR(VLOOKUP(TEXT(O15,"0"),CONDUCTORES!$A$3:$G$54,7,0),"")</f>
        <v/>
      </c>
      <c r="L15" s="280" t="n"/>
      <c r="M15" s="280" t="n"/>
      <c r="N15" s="333">
        <f>IFERROR(IF(L15*M15=0,"",L15*M15),"")</f>
        <v/>
      </c>
      <c r="O15" s="280" t="n"/>
      <c r="P15" s="332">
        <f>IFERROR(VLOOKUP(TEXT(O15,"0"),CONDUCTORES!$A$3:$G$54,2,0),"")</f>
        <v/>
      </c>
      <c r="Q15" s="332">
        <f>IFERROR(VLOOKUP(TEXT(O15,"0"),CONDUCTORES!$A$3:$H$54,6,0),"")</f>
        <v/>
      </c>
      <c r="R15" s="280" t="n"/>
      <c r="S15" s="280" t="n"/>
      <c r="T15" s="280" t="n"/>
      <c r="U15" s="280" t="n"/>
      <c r="V15" s="280" t="n"/>
      <c r="W15" s="280" t="n"/>
      <c r="X15" s="280" t="n"/>
      <c r="Y15" s="280" t="n"/>
      <c r="Z15" s="236">
        <f>IF(AND(G15&lt;&gt;"",R15&lt;&gt;"",V15&lt;&gt;"",W15&lt;&gt;""),"COMPLETADO","OBSERVADO")</f>
        <v/>
      </c>
      <c r="AA15" s="284" t="n"/>
    </row>
    <row r="16" ht="15.75" customHeight="1" s="195">
      <c r="A16" s="334" t="n"/>
      <c r="B16" s="334" t="n"/>
      <c r="C16" s="334" t="n"/>
      <c r="D16" s="334" t="n"/>
      <c r="E16" s="334" t="n"/>
      <c r="F16" s="334" t="n"/>
      <c r="G16" s="334" t="n"/>
      <c r="H16" s="334" t="n"/>
      <c r="I16" s="332">
        <f>IFERROR(VLOOKUP(TEXT(H16,"0"),IPRESS!$A$3:$B$212,2,0),"")</f>
        <v/>
      </c>
      <c r="J16" s="334" t="n"/>
      <c r="K16" s="332">
        <f>IFERROR(VLOOKUP(TEXT(O16,"0"),CONDUCTORES!$A$3:$G$54,7,0),"")</f>
        <v/>
      </c>
      <c r="L16" s="334" t="n"/>
      <c r="M16" s="334" t="n"/>
      <c r="N16" s="333">
        <f>IFERROR(IF(L16*M16=0,"",L16*M16),"")</f>
        <v/>
      </c>
      <c r="O16" s="334" t="n"/>
      <c r="P16" s="332">
        <f>IFERROR(VLOOKUP(TEXT(O16,"0"),CONDUCTORES!$A$3:$G$54,2,0),"")</f>
        <v/>
      </c>
      <c r="Q16" s="332">
        <f>IFERROR(VLOOKUP(TEXT(O16,"0"),CONDUCTORES!$A$3:$H$54,6,0),"")</f>
        <v/>
      </c>
      <c r="R16" s="334" t="n"/>
      <c r="S16" s="334" t="n"/>
      <c r="T16" s="334" t="n"/>
      <c r="U16" s="334" t="n"/>
      <c r="V16" s="334" t="n"/>
      <c r="W16" s="334" t="n"/>
      <c r="X16" s="334" t="n"/>
      <c r="Y16" s="334" t="n"/>
      <c r="Z16" s="242">
        <f>IF(AND(G16&lt;&gt;"",R16&lt;&gt;"",V16&lt;&gt;"",W16&lt;&gt;""),"COMPLETADO","OBSERVADO")</f>
        <v/>
      </c>
      <c r="AA16" s="284" t="n"/>
    </row>
    <row r="17" ht="15.75" customHeight="1" s="195">
      <c r="A17" s="280" t="n"/>
      <c r="B17" s="280" t="n"/>
      <c r="C17" s="280" t="n"/>
      <c r="D17" s="280" t="n"/>
      <c r="E17" s="280" t="n"/>
      <c r="F17" s="280" t="n"/>
      <c r="G17" s="280" t="n"/>
      <c r="H17" s="280" t="n"/>
      <c r="I17" s="332">
        <f>IFERROR(VLOOKUP(TEXT(H17,"0"),IPRESS!$A$3:$B$212,2,0),"")</f>
        <v/>
      </c>
      <c r="J17" s="280" t="n"/>
      <c r="K17" s="332">
        <f>IFERROR(VLOOKUP(TEXT(O17,"0"),CONDUCTORES!$A$3:$G$54,7,0),"")</f>
        <v/>
      </c>
      <c r="L17" s="280" t="n"/>
      <c r="M17" s="280" t="n"/>
      <c r="N17" s="333">
        <f>IFERROR(IF(L17*M17=0,"",L17*M17),"")</f>
        <v/>
      </c>
      <c r="O17" s="280" t="n"/>
      <c r="P17" s="332">
        <f>IFERROR(VLOOKUP(TEXT(O17,"0"),CONDUCTORES!$A$3:$G$54,2,0),"")</f>
        <v/>
      </c>
      <c r="Q17" s="332">
        <f>IFERROR(VLOOKUP(TEXT(O17,"0"),CONDUCTORES!$A$3:$H$54,6,0),"")</f>
        <v/>
      </c>
      <c r="R17" s="280" t="n"/>
      <c r="S17" s="280" t="n"/>
      <c r="T17" s="280" t="n"/>
      <c r="U17" s="280" t="n"/>
      <c r="V17" s="280" t="n"/>
      <c r="W17" s="280" t="n"/>
      <c r="X17" s="280" t="n"/>
      <c r="Y17" s="280" t="n"/>
      <c r="Z17" s="236">
        <f>IF(AND(G17&lt;&gt;"",R17&lt;&gt;"",V17&lt;&gt;"",W17&lt;&gt;""),"COMPLETADO","OBSERVADO")</f>
        <v/>
      </c>
      <c r="AA17" s="284" t="n"/>
    </row>
    <row r="18" ht="15.75" customHeight="1" s="195">
      <c r="A18" s="334" t="n"/>
      <c r="B18" s="334" t="n"/>
      <c r="C18" s="334" t="n"/>
      <c r="D18" s="334" t="n"/>
      <c r="E18" s="334" t="n"/>
      <c r="F18" s="334" t="n"/>
      <c r="G18" s="334" t="n"/>
      <c r="H18" s="334" t="n"/>
      <c r="I18" s="332">
        <f>IFERROR(VLOOKUP(TEXT(H18,"0"),IPRESS!$A$3:$B$212,2,0),"")</f>
        <v/>
      </c>
      <c r="J18" s="334" t="n"/>
      <c r="K18" s="332">
        <f>IFERROR(VLOOKUP(TEXT(O18,"0"),CONDUCTORES!$A$3:$G$54,7,0),"")</f>
        <v/>
      </c>
      <c r="L18" s="334" t="n"/>
      <c r="M18" s="334" t="n"/>
      <c r="N18" s="333">
        <f>IFERROR(IF(L18*M18=0,"",L18*M18),"")</f>
        <v/>
      </c>
      <c r="O18" s="334" t="n"/>
      <c r="P18" s="332">
        <f>IFERROR(VLOOKUP(TEXT(O18,"0"),CONDUCTORES!$A$3:$G$54,2,0),"")</f>
        <v/>
      </c>
      <c r="Q18" s="332">
        <f>IFERROR(VLOOKUP(TEXT(O18,"0"),CONDUCTORES!$A$3:$H$54,6,0),"")</f>
        <v/>
      </c>
      <c r="R18" s="334" t="n"/>
      <c r="S18" s="334" t="n"/>
      <c r="T18" s="334" t="n"/>
      <c r="U18" s="334" t="n"/>
      <c r="V18" s="334" t="n"/>
      <c r="W18" s="334" t="n"/>
      <c r="X18" s="334" t="n"/>
      <c r="Y18" s="334" t="n"/>
      <c r="Z18" s="242">
        <f>IF(AND(G18&lt;&gt;"",R18&lt;&gt;"",V18&lt;&gt;"",W18&lt;&gt;""),"COMPLETADO","OBSERVADO")</f>
        <v/>
      </c>
      <c r="AA18" s="284" t="n"/>
    </row>
    <row r="19" ht="15.75" customHeight="1" s="195">
      <c r="A19" s="280" t="n"/>
      <c r="B19" s="280" t="n"/>
      <c r="C19" s="280" t="n"/>
      <c r="D19" s="280" t="n"/>
      <c r="E19" s="280" t="n"/>
      <c r="F19" s="280" t="n"/>
      <c r="G19" s="280" t="n"/>
      <c r="H19" s="280" t="n"/>
      <c r="I19" s="332">
        <f>IFERROR(VLOOKUP(TEXT(H19,"0"),IPRESS!$A$3:$B$212,2,0),"")</f>
        <v/>
      </c>
      <c r="J19" s="280" t="n"/>
      <c r="K19" s="332">
        <f>IFERROR(VLOOKUP(TEXT(O19,"0"),CONDUCTORES!$A$3:$G$54,7,0),"")</f>
        <v/>
      </c>
      <c r="L19" s="280" t="n"/>
      <c r="M19" s="280" t="n"/>
      <c r="N19" s="333">
        <f>IFERROR(IF(L19*M19=0,"",L19*M19),"")</f>
        <v/>
      </c>
      <c r="O19" s="280" t="n"/>
      <c r="P19" s="332">
        <f>IFERROR(VLOOKUP(TEXT(O19,"0"),CONDUCTORES!$A$3:$G$54,2,0),"")</f>
        <v/>
      </c>
      <c r="Q19" s="332">
        <f>IFERROR(VLOOKUP(TEXT(O19,"0"),CONDUCTORES!$A$3:$H$54,6,0),"")</f>
        <v/>
      </c>
      <c r="R19" s="280" t="n"/>
      <c r="S19" s="280" t="n"/>
      <c r="T19" s="280" t="n"/>
      <c r="U19" s="280" t="n"/>
      <c r="V19" s="280" t="n"/>
      <c r="W19" s="280" t="n"/>
      <c r="X19" s="280" t="n"/>
      <c r="Y19" s="280" t="n"/>
      <c r="Z19" s="236">
        <f>IF(AND(G19&lt;&gt;"",R19&lt;&gt;"",V19&lt;&gt;"",W19&lt;&gt;""),"COMPLETADO","OBSERVADO")</f>
        <v/>
      </c>
      <c r="AA19" s="284" t="n"/>
    </row>
    <row r="20" ht="15.75" customHeight="1" s="195">
      <c r="A20" s="334" t="n"/>
      <c r="B20" s="334" t="n"/>
      <c r="C20" s="334" t="n"/>
      <c r="D20" s="334" t="n"/>
      <c r="E20" s="334" t="n"/>
      <c r="F20" s="334" t="n"/>
      <c r="G20" s="334" t="n"/>
      <c r="H20" s="334" t="n"/>
      <c r="I20" s="332">
        <f>IFERROR(VLOOKUP(TEXT(H20,"0"),IPRESS!$A$3:$B$212,2,0),"")</f>
        <v/>
      </c>
      <c r="J20" s="334" t="n"/>
      <c r="K20" s="332">
        <f>IFERROR(VLOOKUP(TEXT(O20,"0"),CONDUCTORES!$A$3:$G$54,7,0),"")</f>
        <v/>
      </c>
      <c r="L20" s="334" t="n"/>
      <c r="M20" s="334" t="n"/>
      <c r="N20" s="333">
        <f>IFERROR(IF(L20*M20=0,"",L20*M20),"")</f>
        <v/>
      </c>
      <c r="O20" s="334" t="n"/>
      <c r="P20" s="332">
        <f>IFERROR(VLOOKUP(TEXT(O20,"0"),CONDUCTORES!$A$3:$G$54,2,0),"")</f>
        <v/>
      </c>
      <c r="Q20" s="332">
        <f>IFERROR(VLOOKUP(TEXT(O20,"0"),CONDUCTORES!$A$3:$H$54,6,0),"")</f>
        <v/>
      </c>
      <c r="R20" s="334" t="n"/>
      <c r="S20" s="334" t="n"/>
      <c r="T20" s="334" t="n"/>
      <c r="U20" s="334" t="n"/>
      <c r="V20" s="334" t="n"/>
      <c r="W20" s="334" t="n"/>
      <c r="X20" s="334" t="n"/>
      <c r="Y20" s="334" t="n"/>
      <c r="Z20" s="242">
        <f>IF(AND(G20&lt;&gt;"",R20&lt;&gt;"",V20&lt;&gt;"",W20&lt;&gt;""),"COMPLETADO","OBSERVADO")</f>
        <v/>
      </c>
      <c r="AA20" s="284" t="n"/>
    </row>
    <row r="21" ht="15.75" customHeight="1" s="195">
      <c r="A21" s="280" t="n"/>
      <c r="B21" s="280" t="n"/>
      <c r="C21" s="280" t="n"/>
      <c r="D21" s="280" t="n"/>
      <c r="E21" s="280" t="n"/>
      <c r="F21" s="280" t="n"/>
      <c r="G21" s="280" t="n"/>
      <c r="H21" s="280" t="n"/>
      <c r="I21" s="332">
        <f>IFERROR(VLOOKUP(TEXT(H21,"0"),IPRESS!$A$3:$B$212,2,0),"")</f>
        <v/>
      </c>
      <c r="J21" s="280" t="n"/>
      <c r="K21" s="332">
        <f>IFERROR(VLOOKUP(TEXT(O21,"0"),CONDUCTORES!$A$3:$G$54,7,0),"")</f>
        <v/>
      </c>
      <c r="L21" s="280" t="n"/>
      <c r="M21" s="280" t="n"/>
      <c r="N21" s="333">
        <f>IFERROR(IF(L21*M21=0,"",L21*M21),"")</f>
        <v/>
      </c>
      <c r="O21" s="280" t="n"/>
      <c r="P21" s="332">
        <f>IFERROR(VLOOKUP(TEXT(O21,"0"),CONDUCTORES!$A$3:$G$54,2,0),"")</f>
        <v/>
      </c>
      <c r="Q21" s="332">
        <f>IFERROR(VLOOKUP(TEXT(O21,"0"),CONDUCTORES!$A$3:$H$54,6,0),"")</f>
        <v/>
      </c>
      <c r="R21" s="280" t="n"/>
      <c r="S21" s="280" t="n"/>
      <c r="T21" s="280" t="n"/>
      <c r="U21" s="280" t="n"/>
      <c r="V21" s="280" t="n"/>
      <c r="W21" s="280" t="n"/>
      <c r="X21" s="280" t="n"/>
      <c r="Y21" s="280" t="n"/>
      <c r="Z21" s="236">
        <f>IF(AND(G21&lt;&gt;"",R21&lt;&gt;"",V21&lt;&gt;"",W21&lt;&gt;""),"COMPLETADO","OBSERVADO")</f>
        <v/>
      </c>
      <c r="AA21" s="284" t="n"/>
    </row>
    <row r="22" ht="15.75" customHeight="1" s="195">
      <c r="A22" s="334" t="n"/>
      <c r="B22" s="334" t="n"/>
      <c r="C22" s="334" t="n"/>
      <c r="D22" s="334" t="n"/>
      <c r="E22" s="334" t="n"/>
      <c r="F22" s="334" t="n"/>
      <c r="G22" s="334" t="n"/>
      <c r="H22" s="334" t="n"/>
      <c r="I22" s="332">
        <f>IFERROR(VLOOKUP(TEXT(H22,"0"),IPRESS!$A$3:$B$212,2,0),"")</f>
        <v/>
      </c>
      <c r="J22" s="334" t="n"/>
      <c r="K22" s="332">
        <f>IFERROR(VLOOKUP(TEXT(O22,"0"),CONDUCTORES!$A$3:$G$54,7,0),"")</f>
        <v/>
      </c>
      <c r="L22" s="334" t="n"/>
      <c r="M22" s="334" t="n"/>
      <c r="N22" s="333">
        <f>IFERROR(IF(L22*M22=0,"",L22*M22),"")</f>
        <v/>
      </c>
      <c r="O22" s="334" t="n"/>
      <c r="P22" s="332">
        <f>IFERROR(VLOOKUP(TEXT(O22,"0"),CONDUCTORES!$A$3:$G$54,2,0),"")</f>
        <v/>
      </c>
      <c r="Q22" s="332">
        <f>IFERROR(VLOOKUP(TEXT(O22,"0"),CONDUCTORES!$A$3:$H$54,6,0),"")</f>
        <v/>
      </c>
      <c r="R22" s="334" t="n"/>
      <c r="S22" s="334" t="n"/>
      <c r="T22" s="334" t="n"/>
      <c r="U22" s="334" t="n"/>
      <c r="V22" s="334" t="n"/>
      <c r="W22" s="334" t="n"/>
      <c r="X22" s="334" t="n"/>
      <c r="Y22" s="334" t="n"/>
      <c r="Z22" s="242">
        <f>IF(AND(G22&lt;&gt;"",R22&lt;&gt;"",V22&lt;&gt;"",W22&lt;&gt;""),"COMPLETADO","OBSERVADO")</f>
        <v/>
      </c>
      <c r="AA22" s="284" t="n"/>
    </row>
    <row r="23" ht="15.75" customHeight="1" s="195">
      <c r="A23" s="280" t="n"/>
      <c r="B23" s="280" t="n"/>
      <c r="C23" s="280" t="n"/>
      <c r="D23" s="280" t="n"/>
      <c r="E23" s="280" t="n"/>
      <c r="F23" s="280" t="n"/>
      <c r="G23" s="280" t="n"/>
      <c r="H23" s="280" t="n"/>
      <c r="I23" s="332">
        <f>IFERROR(VLOOKUP(TEXT(H23,"0"),IPRESS!$A$3:$B$212,2,0),"")</f>
        <v/>
      </c>
      <c r="J23" s="280" t="n"/>
      <c r="K23" s="332">
        <f>IFERROR(VLOOKUP(TEXT(O23,"0"),CONDUCTORES!$A$3:$G$54,7,0),"")</f>
        <v/>
      </c>
      <c r="L23" s="280" t="n"/>
      <c r="M23" s="280" t="n"/>
      <c r="N23" s="333">
        <f>IFERROR(IF(L23*M23=0,"",L23*M23),"")</f>
        <v/>
      </c>
      <c r="O23" s="280" t="n"/>
      <c r="P23" s="332">
        <f>IFERROR(VLOOKUP(TEXT(O23,"0"),CONDUCTORES!$A$3:$G$54,2,0),"")</f>
        <v/>
      </c>
      <c r="Q23" s="332">
        <f>IFERROR(VLOOKUP(TEXT(O23,"0"),CONDUCTORES!$A$3:$H$54,6,0),"")</f>
        <v/>
      </c>
      <c r="R23" s="280" t="n"/>
      <c r="S23" s="280" t="n"/>
      <c r="T23" s="280" t="n"/>
      <c r="U23" s="280" t="n"/>
      <c r="V23" s="280" t="n"/>
      <c r="W23" s="280" t="n"/>
      <c r="X23" s="280" t="n"/>
      <c r="Y23" s="280" t="n"/>
      <c r="Z23" s="236">
        <f>IF(AND(G23&lt;&gt;"",R23&lt;&gt;"",V23&lt;&gt;"",W23&lt;&gt;""),"COMPLETADO","OBSERVADO")</f>
        <v/>
      </c>
      <c r="AA23" s="284" t="n"/>
    </row>
    <row r="24" ht="15.75" customHeight="1" s="195">
      <c r="A24" s="334" t="n"/>
      <c r="B24" s="334" t="n"/>
      <c r="C24" s="334" t="n"/>
      <c r="D24" s="334" t="n"/>
      <c r="E24" s="334" t="n"/>
      <c r="F24" s="334" t="n"/>
      <c r="G24" s="334" t="n"/>
      <c r="H24" s="334" t="n"/>
      <c r="I24" s="332">
        <f>IFERROR(VLOOKUP(TEXT(H24,"0"),IPRESS!$A$3:$B$212,2,0),"")</f>
        <v/>
      </c>
      <c r="J24" s="334" t="n"/>
      <c r="K24" s="332">
        <f>IFERROR(VLOOKUP(TEXT(O24,"0"),CONDUCTORES!$A$3:$G$54,7,0),"")</f>
        <v/>
      </c>
      <c r="L24" s="334" t="n"/>
      <c r="M24" s="334" t="n"/>
      <c r="N24" s="333">
        <f>IFERROR(IF(L24*M24=0,"",L24*M24),"")</f>
        <v/>
      </c>
      <c r="O24" s="334" t="n"/>
      <c r="P24" s="332">
        <f>IFERROR(VLOOKUP(TEXT(O24,"0"),CONDUCTORES!$A$3:$G$54,2,0),"")</f>
        <v/>
      </c>
      <c r="Q24" s="332">
        <f>IFERROR(VLOOKUP(TEXT(O24,"0"),CONDUCTORES!$A$3:$H$54,6,0),"")</f>
        <v/>
      </c>
      <c r="R24" s="334" t="n"/>
      <c r="S24" s="334" t="n"/>
      <c r="T24" s="334" t="n"/>
      <c r="U24" s="334" t="n"/>
      <c r="V24" s="334" t="n"/>
      <c r="W24" s="334" t="n"/>
      <c r="X24" s="334" t="n"/>
      <c r="Y24" s="334" t="n"/>
      <c r="Z24" s="242">
        <f>IF(AND(G24&lt;&gt;"",R24&lt;&gt;"",V24&lt;&gt;"",W24&lt;&gt;""),"COMPLETADO","OBSERVADO")</f>
        <v/>
      </c>
      <c r="AA24" s="284" t="n"/>
    </row>
    <row r="25" ht="15.75" customHeight="1" s="195">
      <c r="A25" s="280" t="n"/>
      <c r="B25" s="280" t="n"/>
      <c r="C25" s="280" t="n"/>
      <c r="D25" s="280" t="n"/>
      <c r="E25" s="280" t="n"/>
      <c r="F25" s="280" t="n"/>
      <c r="G25" s="280" t="n"/>
      <c r="H25" s="280" t="n"/>
      <c r="I25" s="332">
        <f>IFERROR(VLOOKUP(TEXT(H25,"0"),IPRESS!$A$3:$B$212,2,0),"")</f>
        <v/>
      </c>
      <c r="J25" s="280" t="n"/>
      <c r="K25" s="332">
        <f>IFERROR(VLOOKUP(TEXT(O25,"0"),CONDUCTORES!$A$3:$G$54,7,0),"")</f>
        <v/>
      </c>
      <c r="L25" s="280" t="n"/>
      <c r="M25" s="280" t="n"/>
      <c r="N25" s="333">
        <f>IFERROR(IF(L25*M25=0,"",L25*M25),"")</f>
        <v/>
      </c>
      <c r="O25" s="280" t="n"/>
      <c r="P25" s="332">
        <f>IFERROR(VLOOKUP(TEXT(O25,"0"),CONDUCTORES!$A$3:$G$54,2,0),"")</f>
        <v/>
      </c>
      <c r="Q25" s="332">
        <f>IFERROR(VLOOKUP(TEXT(O25,"0"),CONDUCTORES!$A$3:$H$54,6,0),"")</f>
        <v/>
      </c>
      <c r="R25" s="280" t="n"/>
      <c r="S25" s="280" t="n"/>
      <c r="T25" s="280" t="n"/>
      <c r="U25" s="280" t="n"/>
      <c r="V25" s="280" t="n"/>
      <c r="W25" s="280" t="n"/>
      <c r="X25" s="280" t="n"/>
      <c r="Y25" s="280" t="n"/>
      <c r="Z25" s="236">
        <f>IF(AND(G25&lt;&gt;"",R25&lt;&gt;"",V25&lt;&gt;"",W25&lt;&gt;""),"COMPLETADO","OBSERVADO")</f>
        <v/>
      </c>
      <c r="AA25" s="284" t="n"/>
    </row>
    <row r="26" ht="15.75" customHeight="1" s="195">
      <c r="A26" s="334" t="n"/>
      <c r="B26" s="334" t="n"/>
      <c r="C26" s="334" t="n"/>
      <c r="D26" s="334" t="n"/>
      <c r="E26" s="334" t="n"/>
      <c r="F26" s="334" t="n"/>
      <c r="G26" s="334" t="n"/>
      <c r="H26" s="334" t="n"/>
      <c r="I26" s="332">
        <f>IFERROR(VLOOKUP(TEXT(H26,"0"),IPRESS!$A$3:$B$212,2,0),"")</f>
        <v/>
      </c>
      <c r="J26" s="334" t="n"/>
      <c r="K26" s="332">
        <f>IFERROR(VLOOKUP(TEXT(O26,"0"),CONDUCTORES!$A$3:$G$54,7,0),"")</f>
        <v/>
      </c>
      <c r="L26" s="334" t="n"/>
      <c r="M26" s="334" t="n"/>
      <c r="N26" s="333">
        <f>IFERROR(IF(L26*M26=0,"",L26*M26),"")</f>
        <v/>
      </c>
      <c r="O26" s="334" t="n"/>
      <c r="P26" s="332">
        <f>IFERROR(VLOOKUP(TEXT(O26,"0"),CONDUCTORES!$A$3:$G$54,2,0),"")</f>
        <v/>
      </c>
      <c r="Q26" s="332">
        <f>IFERROR(VLOOKUP(TEXT(O26,"0"),CONDUCTORES!$A$3:$H$54,6,0),"")</f>
        <v/>
      </c>
      <c r="R26" s="334" t="n"/>
      <c r="S26" s="334" t="n"/>
      <c r="T26" s="334" t="n"/>
      <c r="U26" s="334" t="n"/>
      <c r="V26" s="334" t="n"/>
      <c r="W26" s="334" t="n"/>
      <c r="X26" s="334" t="n"/>
      <c r="Y26" s="334" t="n"/>
      <c r="Z26" s="242">
        <f>IF(AND(G26&lt;&gt;"",R26&lt;&gt;"",V26&lt;&gt;"",W26&lt;&gt;""),"COMPLETADO","OBSERVADO")</f>
        <v/>
      </c>
      <c r="AA26" s="284" t="n"/>
    </row>
    <row r="27" ht="15.75" customHeight="1" s="195">
      <c r="A27" s="280" t="n"/>
      <c r="B27" s="280" t="n"/>
      <c r="C27" s="280" t="n"/>
      <c r="D27" s="280" t="n"/>
      <c r="E27" s="280" t="n"/>
      <c r="F27" s="280" t="n"/>
      <c r="G27" s="280" t="n"/>
      <c r="H27" s="280" t="n"/>
      <c r="I27" s="332">
        <f>IFERROR(VLOOKUP(TEXT(H27,"0"),IPRESS!$A$3:$B$212,2,0),"")</f>
        <v/>
      </c>
      <c r="J27" s="280" t="n"/>
      <c r="K27" s="332">
        <f>IFERROR(VLOOKUP(TEXT(O27,"0"),CONDUCTORES!$A$3:$G$54,7,0),"")</f>
        <v/>
      </c>
      <c r="L27" s="280" t="n"/>
      <c r="M27" s="280" t="n"/>
      <c r="N27" s="333">
        <f>IFERROR(IF(L27*M27=0,"",L27*M27),"")</f>
        <v/>
      </c>
      <c r="O27" s="280" t="n"/>
      <c r="P27" s="332">
        <f>IFERROR(VLOOKUP(TEXT(O27,"0"),CONDUCTORES!$A$3:$G$54,2,0),"")</f>
        <v/>
      </c>
      <c r="Q27" s="332">
        <f>IFERROR(VLOOKUP(TEXT(O27,"0"),CONDUCTORES!$A$3:$H$54,6,0),"")</f>
        <v/>
      </c>
      <c r="R27" s="280" t="n"/>
      <c r="S27" s="280" t="n"/>
      <c r="T27" s="280" t="n"/>
      <c r="U27" s="280" t="n"/>
      <c r="V27" s="280" t="n"/>
      <c r="W27" s="280" t="n"/>
      <c r="X27" s="280" t="n"/>
      <c r="Y27" s="280" t="n"/>
      <c r="Z27" s="236">
        <f>IF(AND(G27&lt;&gt;"",R27&lt;&gt;"",V27&lt;&gt;"",W27&lt;&gt;""),"COMPLETADO","OBSERVADO")</f>
        <v/>
      </c>
      <c r="AA27" s="284" t="n"/>
    </row>
    <row r="28" ht="15.75" customHeight="1" s="195">
      <c r="A28" s="334" t="n"/>
      <c r="B28" s="334" t="n"/>
      <c r="C28" s="334" t="n"/>
      <c r="D28" s="334" t="n"/>
      <c r="E28" s="334" t="n"/>
      <c r="F28" s="334" t="n"/>
      <c r="G28" s="334" t="n"/>
      <c r="H28" s="334" t="n"/>
      <c r="I28" s="332">
        <f>IFERROR(VLOOKUP(TEXT(H28,"0"),IPRESS!$A$3:$B$212,2,0),"")</f>
        <v/>
      </c>
      <c r="J28" s="334" t="n"/>
      <c r="K28" s="332">
        <f>IFERROR(VLOOKUP(TEXT(O28,"0"),CONDUCTORES!$A$3:$G$54,7,0),"")</f>
        <v/>
      </c>
      <c r="L28" s="334" t="n"/>
      <c r="M28" s="334" t="n"/>
      <c r="N28" s="333">
        <f>IFERROR(IF(L28*M28=0,"",L28*M28),"")</f>
        <v/>
      </c>
      <c r="O28" s="334" t="n"/>
      <c r="P28" s="332">
        <f>IFERROR(VLOOKUP(TEXT(O28,"0"),CONDUCTORES!$A$3:$G$54,2,0),"")</f>
        <v/>
      </c>
      <c r="Q28" s="332">
        <f>IFERROR(VLOOKUP(TEXT(O28,"0"),CONDUCTORES!$A$3:$H$54,6,0),"")</f>
        <v/>
      </c>
      <c r="R28" s="334" t="n"/>
      <c r="S28" s="334" t="n"/>
      <c r="T28" s="334" t="n"/>
      <c r="U28" s="334" t="n"/>
      <c r="V28" s="334" t="n"/>
      <c r="W28" s="334" t="n"/>
      <c r="X28" s="334" t="n"/>
      <c r="Y28" s="334" t="n"/>
      <c r="Z28" s="242">
        <f>IF(AND(G28&lt;&gt;"",R28&lt;&gt;"",V28&lt;&gt;"",W28&lt;&gt;""),"COMPLETADO","OBSERVADO")</f>
        <v/>
      </c>
      <c r="AA28" s="284" t="n"/>
    </row>
    <row r="29" ht="15.75" customHeight="1" s="195">
      <c r="A29" s="280" t="n"/>
      <c r="B29" s="280" t="n"/>
      <c r="C29" s="280" t="n"/>
      <c r="D29" s="280" t="n"/>
      <c r="E29" s="280" t="n"/>
      <c r="F29" s="280" t="n"/>
      <c r="G29" s="280" t="n"/>
      <c r="H29" s="280" t="n"/>
      <c r="I29" s="332">
        <f>IFERROR(VLOOKUP(TEXT(H29,"0"),IPRESS!$A$3:$B$212,2,0),"")</f>
        <v/>
      </c>
      <c r="J29" s="280" t="n"/>
      <c r="K29" s="332">
        <f>IFERROR(VLOOKUP(TEXT(O29,"0"),CONDUCTORES!$A$3:$G$54,7,0),"")</f>
        <v/>
      </c>
      <c r="L29" s="280" t="n"/>
      <c r="M29" s="280" t="n"/>
      <c r="N29" s="333">
        <f>IFERROR(IF(L29*M29=0,"",L29*M29),"")</f>
        <v/>
      </c>
      <c r="O29" s="280" t="n"/>
      <c r="P29" s="332">
        <f>IFERROR(VLOOKUP(TEXT(O29,"0"),CONDUCTORES!$A$3:$G$54,2,0),"")</f>
        <v/>
      </c>
      <c r="Q29" s="332">
        <f>IFERROR(VLOOKUP(TEXT(O29,"0"),CONDUCTORES!$A$3:$H$54,6,0),"")</f>
        <v/>
      </c>
      <c r="R29" s="280" t="n"/>
      <c r="S29" s="280" t="n"/>
      <c r="T29" s="280" t="n"/>
      <c r="U29" s="280" t="n"/>
      <c r="V29" s="280" t="n"/>
      <c r="W29" s="280" t="n"/>
      <c r="X29" s="280" t="n"/>
      <c r="Y29" s="280" t="n"/>
      <c r="Z29" s="236">
        <f>IF(AND(G29&lt;&gt;"",R29&lt;&gt;"",V29&lt;&gt;"",W29&lt;&gt;""),"COMPLETADO","OBSERVADO")</f>
        <v/>
      </c>
      <c r="AA29" s="284" t="n"/>
    </row>
    <row r="30" ht="15.75" customHeight="1" s="195">
      <c r="A30" s="334" t="n"/>
      <c r="B30" s="334" t="n"/>
      <c r="C30" s="334" t="n"/>
      <c r="D30" s="334" t="n"/>
      <c r="E30" s="334" t="n"/>
      <c r="F30" s="334" t="n"/>
      <c r="G30" s="334" t="n"/>
      <c r="H30" s="334" t="n"/>
      <c r="I30" s="332">
        <f>IFERROR(VLOOKUP(TEXT(H30,"0"),IPRESS!$A$3:$B$212,2,0),"")</f>
        <v/>
      </c>
      <c r="J30" s="334" t="n"/>
      <c r="K30" s="332">
        <f>IFERROR(VLOOKUP(TEXT(O30,"0"),CONDUCTORES!$A$3:$G$54,7,0),"")</f>
        <v/>
      </c>
      <c r="L30" s="334" t="n"/>
      <c r="M30" s="334" t="n"/>
      <c r="N30" s="333">
        <f>IFERROR(IF(L30*M30=0,"",L30*M30),"")</f>
        <v/>
      </c>
      <c r="O30" s="334" t="n"/>
      <c r="P30" s="332">
        <f>IFERROR(VLOOKUP(TEXT(O30,"0"),CONDUCTORES!$A$3:$G$54,2,0),"")</f>
        <v/>
      </c>
      <c r="Q30" s="332">
        <f>IFERROR(VLOOKUP(TEXT(O30,"0"),CONDUCTORES!$A$3:$H$54,6,0),"")</f>
        <v/>
      </c>
      <c r="R30" s="334" t="n"/>
      <c r="S30" s="334" t="n"/>
      <c r="T30" s="334" t="n"/>
      <c r="U30" s="334" t="n"/>
      <c r="V30" s="334" t="n"/>
      <c r="W30" s="334" t="n"/>
      <c r="X30" s="334" t="n"/>
      <c r="Y30" s="334" t="n"/>
      <c r="Z30" s="242">
        <f>IF(AND(G30&lt;&gt;"",R30&lt;&gt;"",V30&lt;&gt;"",W30&lt;&gt;""),"COMPLETADO","OBSERVADO")</f>
        <v/>
      </c>
      <c r="AA30" s="284" t="n"/>
    </row>
    <row r="31" ht="15.75" customHeight="1" s="195">
      <c r="A31" s="280" t="n"/>
      <c r="B31" s="280" t="n"/>
      <c r="C31" s="280" t="n"/>
      <c r="D31" s="280" t="n"/>
      <c r="E31" s="280" t="n"/>
      <c r="F31" s="280" t="n"/>
      <c r="G31" s="280" t="n"/>
      <c r="H31" s="280" t="n"/>
      <c r="I31" s="332">
        <f>IFERROR(VLOOKUP(TEXT(H31,"0"),IPRESS!$A$3:$B$212,2,0),"")</f>
        <v/>
      </c>
      <c r="J31" s="280" t="n"/>
      <c r="K31" s="332">
        <f>IFERROR(VLOOKUP(TEXT(O31,"0"),CONDUCTORES!$A$3:$G$54,7,0),"")</f>
        <v/>
      </c>
      <c r="L31" s="280" t="n"/>
      <c r="M31" s="280" t="n"/>
      <c r="N31" s="333">
        <f>IFERROR(IF(L31*M31=0,"",L31*M31),"")</f>
        <v/>
      </c>
      <c r="O31" s="280" t="n"/>
      <c r="P31" s="332">
        <f>IFERROR(VLOOKUP(TEXT(O31,"0"),CONDUCTORES!$A$3:$G$54,2,0),"")</f>
        <v/>
      </c>
      <c r="Q31" s="332">
        <f>IFERROR(VLOOKUP(TEXT(O31,"0"),CONDUCTORES!$A$3:$H$54,6,0),"")</f>
        <v/>
      </c>
      <c r="R31" s="280" t="n"/>
      <c r="S31" s="280" t="n"/>
      <c r="T31" s="280" t="n"/>
      <c r="U31" s="280" t="n"/>
      <c r="V31" s="280" t="n"/>
      <c r="W31" s="280" t="n"/>
      <c r="X31" s="280" t="n"/>
      <c r="Y31" s="280" t="n"/>
      <c r="Z31" s="236">
        <f>IF(AND(G31&lt;&gt;"",R31&lt;&gt;"",V31&lt;&gt;"",W31&lt;&gt;""),"COMPLETADO","OBSERVADO")</f>
        <v/>
      </c>
      <c r="AA31" s="284" t="n"/>
    </row>
    <row r="32" ht="15.75" customHeight="1" s="195">
      <c r="A32" s="334" t="n"/>
      <c r="B32" s="334" t="n"/>
      <c r="C32" s="334" t="n"/>
      <c r="D32" s="334" t="n"/>
      <c r="E32" s="334" t="n"/>
      <c r="F32" s="334" t="n"/>
      <c r="G32" s="334" t="n"/>
      <c r="H32" s="334" t="n"/>
      <c r="I32" s="332">
        <f>IFERROR(VLOOKUP(TEXT(H32,"0"),IPRESS!$A$3:$B$212,2,0),"")</f>
        <v/>
      </c>
      <c r="J32" s="334" t="n"/>
      <c r="K32" s="332">
        <f>IFERROR(VLOOKUP(TEXT(O32,"0"),CONDUCTORES!$A$3:$G$54,7,0),"")</f>
        <v/>
      </c>
      <c r="L32" s="334" t="n"/>
      <c r="M32" s="334" t="n"/>
      <c r="N32" s="333">
        <f>IFERROR(IF(L32*M32=0,"",L32*M32),"")</f>
        <v/>
      </c>
      <c r="O32" s="334" t="n"/>
      <c r="P32" s="332">
        <f>IFERROR(VLOOKUP(TEXT(O32,"0"),CONDUCTORES!$A$3:$G$54,2,0),"")</f>
        <v/>
      </c>
      <c r="Q32" s="332">
        <f>IFERROR(VLOOKUP(TEXT(O32,"0"),CONDUCTORES!$A$3:$H$54,6,0),"")</f>
        <v/>
      </c>
      <c r="R32" s="334" t="n"/>
      <c r="S32" s="334" t="n"/>
      <c r="T32" s="334" t="n"/>
      <c r="U32" s="334" t="n"/>
      <c r="V32" s="334" t="n"/>
      <c r="W32" s="334" t="n"/>
      <c r="X32" s="334" t="n"/>
      <c r="Y32" s="334" t="n"/>
      <c r="Z32" s="242">
        <f>IF(AND(G32&lt;&gt;"",R32&lt;&gt;"",V32&lt;&gt;"",W32&lt;&gt;""),"COMPLETADO","OBSERVADO")</f>
        <v/>
      </c>
      <c r="AA32" s="284" t="n"/>
    </row>
    <row r="33" ht="15.75" customHeight="1" s="195">
      <c r="A33" s="280" t="n"/>
      <c r="B33" s="280" t="n"/>
      <c r="C33" s="280" t="n"/>
      <c r="D33" s="280" t="n"/>
      <c r="E33" s="280" t="n"/>
      <c r="F33" s="280" t="n"/>
      <c r="G33" s="280" t="n"/>
      <c r="H33" s="280" t="n"/>
      <c r="I33" s="332">
        <f>IFERROR(VLOOKUP(TEXT(H33,"0"),IPRESS!$A$3:$B$212,2,0),"")</f>
        <v/>
      </c>
      <c r="J33" s="280" t="n"/>
      <c r="K33" s="332">
        <f>IFERROR(VLOOKUP(TEXT(O33,"0"),CONDUCTORES!$A$3:$G$54,7,0),"")</f>
        <v/>
      </c>
      <c r="L33" s="280" t="n"/>
      <c r="M33" s="280" t="n"/>
      <c r="N33" s="333">
        <f>IFERROR(IF(L33*M33=0,"",L33*M33),"")</f>
        <v/>
      </c>
      <c r="O33" s="280" t="n"/>
      <c r="P33" s="332">
        <f>IFERROR(VLOOKUP(TEXT(O33,"0"),CONDUCTORES!$A$3:$G$54,2,0),"")</f>
        <v/>
      </c>
      <c r="Q33" s="332">
        <f>IFERROR(VLOOKUP(TEXT(O33,"0"),CONDUCTORES!$A$3:$H$54,6,0),"")</f>
        <v/>
      </c>
      <c r="R33" s="280" t="n"/>
      <c r="S33" s="280" t="n"/>
      <c r="T33" s="280" t="n"/>
      <c r="U33" s="280" t="n"/>
      <c r="V33" s="280" t="n"/>
      <c r="W33" s="280" t="n"/>
      <c r="X33" s="280" t="n"/>
      <c r="Y33" s="280" t="n"/>
      <c r="Z33" s="236">
        <f>IF(AND(G33&lt;&gt;"",R33&lt;&gt;"",V33&lt;&gt;"",W33&lt;&gt;""),"COMPLETADO","OBSERVADO")</f>
        <v/>
      </c>
      <c r="AA33" s="284" t="n"/>
    </row>
    <row r="34" ht="15.75" customHeight="1" s="195">
      <c r="A34" s="334" t="n"/>
      <c r="B34" s="334" t="n"/>
      <c r="C34" s="334" t="n"/>
      <c r="D34" s="334" t="n"/>
      <c r="E34" s="334" t="n"/>
      <c r="F34" s="334" t="n"/>
      <c r="G34" s="334" t="n"/>
      <c r="H34" s="334" t="n"/>
      <c r="I34" s="332">
        <f>IFERROR(VLOOKUP(TEXT(H34,"0"),IPRESS!$A$3:$B$212,2,0),"")</f>
        <v/>
      </c>
      <c r="J34" s="334" t="n"/>
      <c r="K34" s="332">
        <f>IFERROR(VLOOKUP(TEXT(O34,"0"),CONDUCTORES!$A$3:$G$54,7,0),"")</f>
        <v/>
      </c>
      <c r="L34" s="334" t="n"/>
      <c r="M34" s="334" t="n"/>
      <c r="N34" s="333">
        <f>IFERROR(IF(L34*M34=0,"",L34*M34),"")</f>
        <v/>
      </c>
      <c r="O34" s="334" t="n"/>
      <c r="P34" s="332">
        <f>IFERROR(VLOOKUP(TEXT(O34,"0"),CONDUCTORES!$A$3:$G$54,2,0),"")</f>
        <v/>
      </c>
      <c r="Q34" s="332">
        <f>IFERROR(VLOOKUP(TEXT(O34,"0"),CONDUCTORES!$A$3:$H$54,6,0),"")</f>
        <v/>
      </c>
      <c r="R34" s="334" t="n"/>
      <c r="S34" s="334" t="n"/>
      <c r="T34" s="334" t="n"/>
      <c r="U34" s="334" t="n"/>
      <c r="V34" s="334" t="n"/>
      <c r="W34" s="334" t="n"/>
      <c r="X34" s="334" t="n"/>
      <c r="Y34" s="334" t="n"/>
      <c r="Z34" s="242">
        <f>IF(AND(G34&lt;&gt;"",R34&lt;&gt;"",V34&lt;&gt;"",W34&lt;&gt;""),"COMPLETADO","OBSERVADO")</f>
        <v/>
      </c>
      <c r="AA34" s="284" t="n"/>
    </row>
    <row r="35" ht="15.75" customHeight="1" s="195">
      <c r="A35" s="280" t="n"/>
      <c r="B35" s="280" t="n"/>
      <c r="C35" s="280" t="n"/>
      <c r="D35" s="280" t="n"/>
      <c r="E35" s="280" t="n"/>
      <c r="F35" s="280" t="n"/>
      <c r="G35" s="280" t="n"/>
      <c r="H35" s="280" t="n"/>
      <c r="I35" s="332">
        <f>IFERROR(VLOOKUP(TEXT(H35,"0"),IPRESS!$A$3:$B$212,2,0),"")</f>
        <v/>
      </c>
      <c r="J35" s="280" t="n"/>
      <c r="K35" s="332">
        <f>IFERROR(VLOOKUP(TEXT(O35,"0"),CONDUCTORES!$A$3:$G$54,7,0),"")</f>
        <v/>
      </c>
      <c r="L35" s="280" t="n"/>
      <c r="M35" s="280" t="n"/>
      <c r="N35" s="333">
        <f>IFERROR(IF(L35*M35=0,"",L35*M35),"")</f>
        <v/>
      </c>
      <c r="O35" s="280" t="n"/>
      <c r="P35" s="332">
        <f>IFERROR(VLOOKUP(TEXT(O35,"0"),CONDUCTORES!$A$3:$G$54,2,0),"")</f>
        <v/>
      </c>
      <c r="Q35" s="332">
        <f>IFERROR(VLOOKUP(TEXT(O35,"0"),CONDUCTORES!$A$3:$H$54,6,0),"")</f>
        <v/>
      </c>
      <c r="R35" s="280" t="n"/>
      <c r="S35" s="280" t="n"/>
      <c r="T35" s="280" t="n"/>
      <c r="U35" s="280" t="n"/>
      <c r="V35" s="280" t="n"/>
      <c r="W35" s="280" t="n"/>
      <c r="X35" s="280" t="n"/>
      <c r="Y35" s="280" t="n"/>
      <c r="Z35" s="236">
        <f>IF(AND(G35&lt;&gt;"",R35&lt;&gt;"",V35&lt;&gt;"",W35&lt;&gt;""),"COMPLETADO","OBSERVADO")</f>
        <v/>
      </c>
      <c r="AA35" s="284" t="n"/>
    </row>
    <row r="36" ht="15.75" customHeight="1" s="195">
      <c r="A36" s="334" t="n"/>
      <c r="B36" s="334" t="n"/>
      <c r="C36" s="334" t="n"/>
      <c r="D36" s="334" t="n"/>
      <c r="E36" s="334" t="n"/>
      <c r="F36" s="334" t="n"/>
      <c r="G36" s="334" t="n"/>
      <c r="H36" s="334" t="n"/>
      <c r="I36" s="332">
        <f>IFERROR(VLOOKUP(TEXT(H36,"0"),IPRESS!$A$3:$B$212,2,0),"")</f>
        <v/>
      </c>
      <c r="J36" s="334" t="n"/>
      <c r="K36" s="332">
        <f>IFERROR(VLOOKUP(TEXT(O36,"0"),CONDUCTORES!$A$3:$G$54,7,0),"")</f>
        <v/>
      </c>
      <c r="L36" s="334" t="n"/>
      <c r="M36" s="334" t="n"/>
      <c r="N36" s="333">
        <f>IFERROR(IF(L36*M36=0,"",L36*M36),"")</f>
        <v/>
      </c>
      <c r="O36" s="334" t="n"/>
      <c r="P36" s="332">
        <f>IFERROR(VLOOKUP(TEXT(O36,"0"),CONDUCTORES!$A$3:$G$54,2,0),"")</f>
        <v/>
      </c>
      <c r="Q36" s="332">
        <f>IFERROR(VLOOKUP(TEXT(O36,"0"),CONDUCTORES!$A$3:$H$54,6,0),"")</f>
        <v/>
      </c>
      <c r="R36" s="334" t="n"/>
      <c r="S36" s="334" t="n"/>
      <c r="T36" s="334" t="n"/>
      <c r="U36" s="334" t="n"/>
      <c r="V36" s="334" t="n"/>
      <c r="W36" s="334" t="n"/>
      <c r="X36" s="334" t="n"/>
      <c r="Y36" s="334" t="n"/>
      <c r="Z36" s="242">
        <f>IF(AND(G36&lt;&gt;"",R36&lt;&gt;"",V36&lt;&gt;"",W36&lt;&gt;""),"COMPLETADO","OBSERVADO")</f>
        <v/>
      </c>
      <c r="AA36" s="284" t="n"/>
    </row>
    <row r="37" ht="15.75" customHeight="1" s="195">
      <c r="A37" s="280" t="n"/>
      <c r="B37" s="280" t="n"/>
      <c r="C37" s="280" t="n"/>
      <c r="D37" s="280" t="n"/>
      <c r="E37" s="280" t="n"/>
      <c r="F37" s="280" t="n"/>
      <c r="G37" s="280" t="n"/>
      <c r="H37" s="280" t="n"/>
      <c r="I37" s="332">
        <f>IFERROR(VLOOKUP(TEXT(H37,"0"),IPRESS!$A$3:$B$212,2,0),"")</f>
        <v/>
      </c>
      <c r="J37" s="280" t="n"/>
      <c r="K37" s="332">
        <f>IFERROR(VLOOKUP(TEXT(O37,"0"),CONDUCTORES!$A$3:$G$54,7,0),"")</f>
        <v/>
      </c>
      <c r="L37" s="280" t="n"/>
      <c r="M37" s="280" t="n"/>
      <c r="N37" s="333">
        <f>IFERROR(IF(L37*M37=0,"",L37*M37),"")</f>
        <v/>
      </c>
      <c r="O37" s="280" t="n"/>
      <c r="P37" s="332">
        <f>IFERROR(VLOOKUP(TEXT(O37,"0"),CONDUCTORES!$A$3:$G$54,2,0),"")</f>
        <v/>
      </c>
      <c r="Q37" s="332">
        <f>IFERROR(VLOOKUP(TEXT(O37,"0"),CONDUCTORES!$A$3:$H$54,6,0),"")</f>
        <v/>
      </c>
      <c r="R37" s="280" t="n"/>
      <c r="S37" s="280" t="n"/>
      <c r="T37" s="280" t="n"/>
      <c r="U37" s="280" t="n"/>
      <c r="V37" s="280" t="n"/>
      <c r="W37" s="280" t="n"/>
      <c r="X37" s="280" t="n"/>
      <c r="Y37" s="280" t="n"/>
      <c r="Z37" s="236">
        <f>IF(AND(G37&lt;&gt;"",R37&lt;&gt;"",V37&lt;&gt;"",W37&lt;&gt;""),"COMPLETADO","OBSERVADO")</f>
        <v/>
      </c>
      <c r="AA37" s="284" t="n"/>
    </row>
    <row r="38" ht="15.75" customHeight="1" s="195">
      <c r="A38" s="334" t="n"/>
      <c r="B38" s="334" t="n"/>
      <c r="C38" s="334" t="n"/>
      <c r="D38" s="334" t="n"/>
      <c r="E38" s="334" t="n"/>
      <c r="F38" s="334" t="n"/>
      <c r="G38" s="334" t="n"/>
      <c r="H38" s="334" t="n"/>
      <c r="I38" s="332">
        <f>IFERROR(VLOOKUP(TEXT(H38,"0"),IPRESS!$A$3:$B$212,2,0),"")</f>
        <v/>
      </c>
      <c r="J38" s="334" t="n"/>
      <c r="K38" s="332">
        <f>IFERROR(VLOOKUP(TEXT(O38,"0"),CONDUCTORES!$A$3:$G$54,7,0),"")</f>
        <v/>
      </c>
      <c r="L38" s="334" t="n"/>
      <c r="M38" s="334" t="n"/>
      <c r="N38" s="333">
        <f>IFERROR(IF(L38*M38=0,"",L38*M38),"")</f>
        <v/>
      </c>
      <c r="O38" s="334" t="n"/>
      <c r="P38" s="332">
        <f>IFERROR(VLOOKUP(TEXT(O38,"0"),CONDUCTORES!$A$3:$G$54,2,0),"")</f>
        <v/>
      </c>
      <c r="Q38" s="332">
        <f>IFERROR(VLOOKUP(TEXT(O38,"0"),CONDUCTORES!$A$3:$H$54,6,0),"")</f>
        <v/>
      </c>
      <c r="R38" s="334" t="n"/>
      <c r="S38" s="334" t="n"/>
      <c r="T38" s="334" t="n"/>
      <c r="U38" s="334" t="n"/>
      <c r="V38" s="334" t="n"/>
      <c r="W38" s="334" t="n"/>
      <c r="X38" s="334" t="n"/>
      <c r="Y38" s="334" t="n"/>
      <c r="Z38" s="242">
        <f>IF(AND(G38&lt;&gt;"",R38&lt;&gt;"",V38&lt;&gt;"",W38&lt;&gt;""),"COMPLETADO","OBSERVADO")</f>
        <v/>
      </c>
      <c r="AA38" s="284" t="n"/>
    </row>
    <row r="39" ht="15.75" customHeight="1" s="195">
      <c r="A39" s="280" t="n"/>
      <c r="B39" s="280" t="n"/>
      <c r="C39" s="280" t="n"/>
      <c r="D39" s="280" t="n"/>
      <c r="E39" s="280" t="n"/>
      <c r="F39" s="280" t="n"/>
      <c r="G39" s="280" t="n"/>
      <c r="H39" s="280" t="n"/>
      <c r="I39" s="332">
        <f>IFERROR(VLOOKUP(TEXT(H39,"0"),IPRESS!$A$3:$B$212,2,0),"")</f>
        <v/>
      </c>
      <c r="J39" s="280" t="n"/>
      <c r="K39" s="332">
        <f>IFERROR(VLOOKUP(TEXT(O39,"0"),CONDUCTORES!$A$3:$G$54,7,0),"")</f>
        <v/>
      </c>
      <c r="L39" s="280" t="n"/>
      <c r="M39" s="280" t="n"/>
      <c r="N39" s="333">
        <f>IFERROR(IF(L39*M39=0,"",L39*M39),"")</f>
        <v/>
      </c>
      <c r="O39" s="280" t="n"/>
      <c r="P39" s="332">
        <f>IFERROR(VLOOKUP(TEXT(O39,"0"),CONDUCTORES!$A$3:$G$54,2,0),"")</f>
        <v/>
      </c>
      <c r="Q39" s="332">
        <f>IFERROR(VLOOKUP(TEXT(O39,"0"),CONDUCTORES!$A$3:$H$54,6,0),"")</f>
        <v/>
      </c>
      <c r="R39" s="280" t="n"/>
      <c r="S39" s="280" t="n"/>
      <c r="T39" s="280" t="n"/>
      <c r="U39" s="280" t="n"/>
      <c r="V39" s="280" t="n"/>
      <c r="W39" s="280" t="n"/>
      <c r="X39" s="280" t="n"/>
      <c r="Y39" s="280" t="n"/>
      <c r="Z39" s="236">
        <f>IF(AND(G39&lt;&gt;"",R39&lt;&gt;"",V39&lt;&gt;"",W39&lt;&gt;""),"COMPLETADO","OBSERVADO")</f>
        <v/>
      </c>
      <c r="AA39" s="284" t="n"/>
    </row>
    <row r="40" ht="15.75" customHeight="1" s="195">
      <c r="A40" s="334" t="n"/>
      <c r="B40" s="334" t="n"/>
      <c r="C40" s="334" t="n"/>
      <c r="D40" s="334" t="n"/>
      <c r="E40" s="334" t="n"/>
      <c r="F40" s="334" t="n"/>
      <c r="G40" s="334" t="n"/>
      <c r="H40" s="334" t="n"/>
      <c r="I40" s="332">
        <f>IFERROR(VLOOKUP(TEXT(H40,"0"),IPRESS!$A$3:$B$212,2,0),"")</f>
        <v/>
      </c>
      <c r="J40" s="334" t="n"/>
      <c r="K40" s="332">
        <f>IFERROR(VLOOKUP(TEXT(O40,"0"),CONDUCTORES!$A$3:$G$54,7,0),"")</f>
        <v/>
      </c>
      <c r="L40" s="334" t="n"/>
      <c r="M40" s="334" t="n"/>
      <c r="N40" s="333">
        <f>IFERROR(IF(L40*M40=0,"",L40*M40),"")</f>
        <v/>
      </c>
      <c r="O40" s="334" t="n"/>
      <c r="P40" s="332">
        <f>IFERROR(VLOOKUP(TEXT(O40,"0"),CONDUCTORES!$A$3:$G$54,2,0),"")</f>
        <v/>
      </c>
      <c r="Q40" s="332">
        <f>IFERROR(VLOOKUP(TEXT(O40,"0"),CONDUCTORES!$A$3:$H$54,6,0),"")</f>
        <v/>
      </c>
      <c r="R40" s="334" t="n"/>
      <c r="S40" s="334" t="n"/>
      <c r="T40" s="334" t="n"/>
      <c r="U40" s="334" t="n"/>
      <c r="V40" s="334" t="n"/>
      <c r="W40" s="334" t="n"/>
      <c r="X40" s="334" t="n"/>
      <c r="Y40" s="334" t="n"/>
      <c r="Z40" s="242">
        <f>IF(AND(G40&lt;&gt;"",R40&lt;&gt;"",V40&lt;&gt;"",W40&lt;&gt;""),"COMPLETADO","OBSERVADO")</f>
        <v/>
      </c>
      <c r="AA40" s="284" t="n"/>
    </row>
    <row r="41" ht="15.75" customHeight="1" s="195">
      <c r="A41" s="280" t="n"/>
      <c r="B41" s="280" t="n"/>
      <c r="C41" s="280" t="n"/>
      <c r="D41" s="280" t="n"/>
      <c r="E41" s="280" t="n"/>
      <c r="F41" s="280" t="n"/>
      <c r="G41" s="280" t="n"/>
      <c r="H41" s="280" t="n"/>
      <c r="I41" s="332">
        <f>IFERROR(VLOOKUP(TEXT(H41,"0"),IPRESS!$A$3:$B$212,2,0),"")</f>
        <v/>
      </c>
      <c r="J41" s="280" t="n"/>
      <c r="K41" s="332">
        <f>IFERROR(VLOOKUP(TEXT(O41,"0"),CONDUCTORES!$A$3:$G$54,7,0),"")</f>
        <v/>
      </c>
      <c r="L41" s="280" t="n"/>
      <c r="M41" s="280" t="n"/>
      <c r="N41" s="333">
        <f>IFERROR(IF(L41*M41=0,"",L41*M41),"")</f>
        <v/>
      </c>
      <c r="O41" s="280" t="n"/>
      <c r="P41" s="332">
        <f>IFERROR(VLOOKUP(TEXT(O41,"0"),CONDUCTORES!$A$3:$G$54,2,0),"")</f>
        <v/>
      </c>
      <c r="Q41" s="332">
        <f>IFERROR(VLOOKUP(TEXT(O41,"0"),CONDUCTORES!$A$3:$H$54,6,0),"")</f>
        <v/>
      </c>
      <c r="R41" s="280" t="n"/>
      <c r="S41" s="280" t="n"/>
      <c r="T41" s="280" t="n"/>
      <c r="U41" s="280" t="n"/>
      <c r="V41" s="280" t="n"/>
      <c r="W41" s="280" t="n"/>
      <c r="X41" s="280" t="n"/>
      <c r="Y41" s="280" t="n"/>
      <c r="Z41" s="236">
        <f>IF(AND(G41&lt;&gt;"",R41&lt;&gt;"",V41&lt;&gt;"",W41&lt;&gt;""),"COMPLETADO","OBSERVADO")</f>
        <v/>
      </c>
      <c r="AA41" s="284" t="n"/>
    </row>
    <row r="42" ht="15.75" customHeight="1" s="195">
      <c r="A42" s="334" t="n"/>
      <c r="B42" s="334" t="n"/>
      <c r="C42" s="334" t="n"/>
      <c r="D42" s="334" t="n"/>
      <c r="E42" s="334" t="n"/>
      <c r="F42" s="334" t="n"/>
      <c r="G42" s="334" t="n"/>
      <c r="H42" s="334" t="n"/>
      <c r="I42" s="332">
        <f>IFERROR(VLOOKUP(TEXT(H42,"0"),IPRESS!$A$3:$B$212,2,0),"")</f>
        <v/>
      </c>
      <c r="J42" s="334" t="n"/>
      <c r="K42" s="332">
        <f>IFERROR(VLOOKUP(TEXT(O42,"0"),CONDUCTORES!$A$3:$G$54,7,0),"")</f>
        <v/>
      </c>
      <c r="L42" s="334" t="n"/>
      <c r="M42" s="334" t="n"/>
      <c r="N42" s="333">
        <f>IFERROR(IF(L42*M42=0,"",L42*M42),"")</f>
        <v/>
      </c>
      <c r="O42" s="334" t="n"/>
      <c r="P42" s="332">
        <f>IFERROR(VLOOKUP(TEXT(O42,"0"),CONDUCTORES!$A$3:$G$54,2,0),"")</f>
        <v/>
      </c>
      <c r="Q42" s="332">
        <f>IFERROR(VLOOKUP(TEXT(O42,"0"),CONDUCTORES!$A$3:$H$54,6,0),"")</f>
        <v/>
      </c>
      <c r="R42" s="334" t="n"/>
      <c r="S42" s="334" t="n"/>
      <c r="T42" s="334" t="n"/>
      <c r="U42" s="334" t="n"/>
      <c r="V42" s="334" t="n"/>
      <c r="W42" s="334" t="n"/>
      <c r="X42" s="334" t="n"/>
      <c r="Y42" s="334" t="n"/>
      <c r="Z42" s="242">
        <f>IF(AND(G42&lt;&gt;"",R42&lt;&gt;"",V42&lt;&gt;"",W42&lt;&gt;""),"COMPLETADO","OBSERVADO")</f>
        <v/>
      </c>
      <c r="AA42" s="284" t="n"/>
    </row>
    <row r="43" ht="15.75" customHeight="1" s="195">
      <c r="A43" s="280" t="n"/>
      <c r="B43" s="280" t="n"/>
      <c r="C43" s="280" t="n"/>
      <c r="D43" s="280" t="n"/>
      <c r="E43" s="280" t="n"/>
      <c r="F43" s="280" t="n"/>
      <c r="G43" s="280" t="n"/>
      <c r="H43" s="280" t="n"/>
      <c r="I43" s="332">
        <f>IFERROR(VLOOKUP(TEXT(H43,"0"),IPRESS!$A$3:$B$212,2,0),"")</f>
        <v/>
      </c>
      <c r="J43" s="280" t="n"/>
      <c r="K43" s="332">
        <f>IFERROR(VLOOKUP(TEXT(O43,"0"),CONDUCTORES!$A$3:$G$54,7,0),"")</f>
        <v/>
      </c>
      <c r="L43" s="280" t="n"/>
      <c r="M43" s="280" t="n"/>
      <c r="N43" s="333">
        <f>IFERROR(IF(L43*M43=0,"",L43*M43),"")</f>
        <v/>
      </c>
      <c r="O43" s="280" t="n"/>
      <c r="P43" s="332">
        <f>IFERROR(VLOOKUP(TEXT(O43,"0"),CONDUCTORES!$A$3:$G$54,2,0),"")</f>
        <v/>
      </c>
      <c r="Q43" s="332">
        <f>IFERROR(VLOOKUP(TEXT(O43,"0"),CONDUCTORES!$A$3:$H$54,6,0),"")</f>
        <v/>
      </c>
      <c r="R43" s="280" t="n"/>
      <c r="S43" s="280" t="n"/>
      <c r="T43" s="280" t="n"/>
      <c r="U43" s="280" t="n"/>
      <c r="V43" s="280" t="n"/>
      <c r="W43" s="280" t="n"/>
      <c r="X43" s="280" t="n"/>
      <c r="Y43" s="280" t="n"/>
      <c r="Z43" s="236">
        <f>IF(AND(G43&lt;&gt;"",R43&lt;&gt;"",V43&lt;&gt;"",W43&lt;&gt;""),"COMPLETADO","OBSERVADO")</f>
        <v/>
      </c>
      <c r="AA43" s="284" t="n"/>
    </row>
    <row r="44" ht="15.75" customHeight="1" s="195">
      <c r="A44" s="334" t="n"/>
      <c r="B44" s="334" t="n"/>
      <c r="C44" s="334" t="n"/>
      <c r="D44" s="334" t="n"/>
      <c r="E44" s="334" t="n"/>
      <c r="F44" s="334" t="n"/>
      <c r="G44" s="334" t="n"/>
      <c r="H44" s="334" t="n"/>
      <c r="I44" s="332">
        <f>IFERROR(VLOOKUP(TEXT(H44,"0"),IPRESS!$A$3:$B$212,2,0),"")</f>
        <v/>
      </c>
      <c r="J44" s="334" t="n"/>
      <c r="K44" s="332">
        <f>IFERROR(VLOOKUP(TEXT(O44,"0"),CONDUCTORES!$A$3:$G$54,7,0),"")</f>
        <v/>
      </c>
      <c r="L44" s="334" t="n"/>
      <c r="M44" s="334" t="n"/>
      <c r="N44" s="333">
        <f>IFERROR(IF(L44*M44=0,"",L44*M44),"")</f>
        <v/>
      </c>
      <c r="O44" s="334" t="n"/>
      <c r="P44" s="332">
        <f>IFERROR(VLOOKUP(TEXT(O44,"0"),CONDUCTORES!$A$3:$G$54,2,0),"")</f>
        <v/>
      </c>
      <c r="Q44" s="332">
        <f>IFERROR(VLOOKUP(TEXT(O44,"0"),CONDUCTORES!$A$3:$H$54,6,0),"")</f>
        <v/>
      </c>
      <c r="R44" s="334" t="n"/>
      <c r="S44" s="334" t="n"/>
      <c r="T44" s="334" t="n"/>
      <c r="U44" s="334" t="n"/>
      <c r="V44" s="334" t="n"/>
      <c r="W44" s="334" t="n"/>
      <c r="X44" s="334" t="n"/>
      <c r="Y44" s="334" t="n"/>
      <c r="Z44" s="242">
        <f>IF(AND(G44&lt;&gt;"",R44&lt;&gt;"",V44&lt;&gt;"",W44&lt;&gt;""),"COMPLETADO","OBSERVADO")</f>
        <v/>
      </c>
      <c r="AA44" s="284" t="n"/>
    </row>
    <row r="45" ht="15.75" customHeight="1" s="195">
      <c r="A45" s="280" t="n"/>
      <c r="B45" s="280" t="n"/>
      <c r="C45" s="280" t="n"/>
      <c r="D45" s="280" t="n"/>
      <c r="E45" s="280" t="n"/>
      <c r="F45" s="280" t="n"/>
      <c r="G45" s="280" t="n"/>
      <c r="H45" s="280" t="n"/>
      <c r="I45" s="332">
        <f>IFERROR(VLOOKUP(TEXT(H45,"0"),IPRESS!$A$3:$B$212,2,0),"")</f>
        <v/>
      </c>
      <c r="J45" s="280" t="n"/>
      <c r="K45" s="332">
        <f>IFERROR(VLOOKUP(TEXT(O45,"0"),CONDUCTORES!$A$3:$G$54,7,0),"")</f>
        <v/>
      </c>
      <c r="L45" s="280" t="n"/>
      <c r="M45" s="280" t="n"/>
      <c r="N45" s="333">
        <f>IFERROR(IF(L45*M45=0,"",L45*M45),"")</f>
        <v/>
      </c>
      <c r="O45" s="280" t="n"/>
      <c r="P45" s="332">
        <f>IFERROR(VLOOKUP(TEXT(O45,"0"),CONDUCTORES!$A$3:$G$54,2,0),"")</f>
        <v/>
      </c>
      <c r="Q45" s="332">
        <f>IFERROR(VLOOKUP(TEXT(O45,"0"),CONDUCTORES!$A$3:$H$54,6,0),"")</f>
        <v/>
      </c>
      <c r="R45" s="280" t="n"/>
      <c r="S45" s="280" t="n"/>
      <c r="T45" s="280" t="n"/>
      <c r="U45" s="280" t="n"/>
      <c r="V45" s="280" t="n"/>
      <c r="W45" s="280" t="n"/>
      <c r="X45" s="280" t="n"/>
      <c r="Y45" s="280" t="n"/>
      <c r="Z45" s="236">
        <f>IF(AND(G45&lt;&gt;"",R45&lt;&gt;"",V45&lt;&gt;"",W45&lt;&gt;""),"COMPLETADO","OBSERVADO")</f>
        <v/>
      </c>
      <c r="AA45" s="284" t="n"/>
    </row>
    <row r="46" ht="15.75" customHeight="1" s="195">
      <c r="A46" s="334" t="n"/>
      <c r="B46" s="334" t="n"/>
      <c r="C46" s="334" t="n"/>
      <c r="D46" s="334" t="n"/>
      <c r="E46" s="334" t="n"/>
      <c r="F46" s="334" t="n"/>
      <c r="G46" s="334" t="n"/>
      <c r="H46" s="334" t="n"/>
      <c r="I46" s="332">
        <f>IFERROR(VLOOKUP(TEXT(H46,"0"),IPRESS!$A$3:$B$212,2,0),"")</f>
        <v/>
      </c>
      <c r="J46" s="334" t="n"/>
      <c r="K46" s="332">
        <f>IFERROR(VLOOKUP(TEXT(O46,"0"),CONDUCTORES!$A$3:$G$54,7,0),"")</f>
        <v/>
      </c>
      <c r="L46" s="334" t="n"/>
      <c r="M46" s="334" t="n"/>
      <c r="N46" s="333">
        <f>IFERROR(IF(L46*M46=0,"",L46*M46),"")</f>
        <v/>
      </c>
      <c r="O46" s="334" t="n"/>
      <c r="P46" s="332">
        <f>IFERROR(VLOOKUP(TEXT(O46,"0"),CONDUCTORES!$A$3:$G$54,2,0),"")</f>
        <v/>
      </c>
      <c r="Q46" s="332">
        <f>IFERROR(VLOOKUP(TEXT(O46,"0"),CONDUCTORES!$A$3:$H$54,6,0),"")</f>
        <v/>
      </c>
      <c r="R46" s="334" t="n"/>
      <c r="S46" s="334" t="n"/>
      <c r="T46" s="334" t="n"/>
      <c r="U46" s="334" t="n"/>
      <c r="V46" s="334" t="n"/>
      <c r="W46" s="334" t="n"/>
      <c r="X46" s="334" t="n"/>
      <c r="Y46" s="334" t="n"/>
      <c r="Z46" s="242">
        <f>IF(AND(G46&lt;&gt;"",R46&lt;&gt;"",V46&lt;&gt;"",W46&lt;&gt;""),"COMPLETADO","OBSERVADO")</f>
        <v/>
      </c>
      <c r="AA46" s="284" t="n"/>
    </row>
    <row r="47" ht="15.75" customHeight="1" s="195">
      <c r="A47" s="280" t="n"/>
      <c r="B47" s="280" t="n"/>
      <c r="C47" s="280" t="n"/>
      <c r="D47" s="280" t="n"/>
      <c r="E47" s="280" t="n"/>
      <c r="F47" s="280" t="n"/>
      <c r="G47" s="280" t="n"/>
      <c r="H47" s="280" t="n"/>
      <c r="I47" s="332">
        <f>IFERROR(VLOOKUP(TEXT(H47,"0"),IPRESS!$A$3:$B$212,2,0),"")</f>
        <v/>
      </c>
      <c r="J47" s="280" t="n"/>
      <c r="K47" s="332">
        <f>IFERROR(VLOOKUP(TEXT(O47,"0"),CONDUCTORES!$A$3:$G$54,7,0),"")</f>
        <v/>
      </c>
      <c r="L47" s="280" t="n"/>
      <c r="M47" s="280" t="n"/>
      <c r="N47" s="333">
        <f>IFERROR(IF(L47*M47=0,"",L47*M47),"")</f>
        <v/>
      </c>
      <c r="O47" s="280" t="n"/>
      <c r="P47" s="332">
        <f>IFERROR(VLOOKUP(TEXT(O47,"0"),CONDUCTORES!$A$3:$G$54,2,0),"")</f>
        <v/>
      </c>
      <c r="Q47" s="332">
        <f>IFERROR(VLOOKUP(TEXT(O47,"0"),CONDUCTORES!$A$3:$H$54,6,0),"")</f>
        <v/>
      </c>
      <c r="R47" s="280" t="n"/>
      <c r="S47" s="280" t="n"/>
      <c r="T47" s="280" t="n"/>
      <c r="U47" s="280" t="n"/>
      <c r="V47" s="280" t="n"/>
      <c r="W47" s="280" t="n"/>
      <c r="X47" s="280" t="n"/>
      <c r="Y47" s="280" t="n"/>
      <c r="Z47" s="236">
        <f>IF(AND(G47&lt;&gt;"",R47&lt;&gt;"",V47&lt;&gt;"",W47&lt;&gt;""),"COMPLETADO","OBSERVADO")</f>
        <v/>
      </c>
      <c r="AA47" s="284" t="n"/>
    </row>
    <row r="48" ht="15.75" customHeight="1" s="195">
      <c r="A48" s="334" t="n"/>
      <c r="B48" s="334" t="n"/>
      <c r="C48" s="334" t="n"/>
      <c r="D48" s="334" t="n"/>
      <c r="E48" s="334" t="n"/>
      <c r="F48" s="334" t="n"/>
      <c r="G48" s="334" t="n"/>
      <c r="H48" s="334" t="n"/>
      <c r="I48" s="332">
        <f>IFERROR(VLOOKUP(TEXT(H48,"0"),IPRESS!$A$3:$B$212,2,0),"")</f>
        <v/>
      </c>
      <c r="J48" s="334" t="n"/>
      <c r="K48" s="332">
        <f>IFERROR(VLOOKUP(TEXT(O48,"0"),CONDUCTORES!$A$3:$G$54,7,0),"")</f>
        <v/>
      </c>
      <c r="L48" s="334" t="n"/>
      <c r="M48" s="334" t="n"/>
      <c r="N48" s="333">
        <f>IFERROR(IF(L48*M48=0,"",L48*M48),"")</f>
        <v/>
      </c>
      <c r="O48" s="334" t="n"/>
      <c r="P48" s="332">
        <f>IFERROR(VLOOKUP(TEXT(O48,"0"),CONDUCTORES!$A$3:$G$54,2,0),"")</f>
        <v/>
      </c>
      <c r="Q48" s="332">
        <f>IFERROR(VLOOKUP(TEXT(O48,"0"),CONDUCTORES!$A$3:$H$54,6,0),"")</f>
        <v/>
      </c>
      <c r="R48" s="334" t="n"/>
      <c r="S48" s="334" t="n"/>
      <c r="T48" s="334" t="n"/>
      <c r="U48" s="334" t="n"/>
      <c r="V48" s="334" t="n"/>
      <c r="W48" s="334" t="n"/>
      <c r="X48" s="334" t="n"/>
      <c r="Y48" s="334" t="n"/>
      <c r="Z48" s="242">
        <f>IF(AND(G48&lt;&gt;"",R48&lt;&gt;"",V48&lt;&gt;"",W48&lt;&gt;""),"COMPLETADO","OBSERVADO")</f>
        <v/>
      </c>
      <c r="AA48" s="284" t="n"/>
    </row>
    <row r="49" ht="15.75" customHeight="1" s="195">
      <c r="A49" s="280" t="n"/>
      <c r="B49" s="280" t="n"/>
      <c r="C49" s="280" t="n"/>
      <c r="D49" s="280" t="n"/>
      <c r="E49" s="280" t="n"/>
      <c r="F49" s="280" t="n"/>
      <c r="G49" s="280" t="n"/>
      <c r="H49" s="280" t="n"/>
      <c r="I49" s="332">
        <f>IFERROR(VLOOKUP(TEXT(H49,"0"),IPRESS!$A$3:$B$212,2,0),"")</f>
        <v/>
      </c>
      <c r="J49" s="280" t="n"/>
      <c r="K49" s="332">
        <f>IFERROR(VLOOKUP(TEXT(O49,"0"),CONDUCTORES!$A$3:$G$54,7,0),"")</f>
        <v/>
      </c>
      <c r="L49" s="280" t="n"/>
      <c r="M49" s="280" t="n"/>
      <c r="N49" s="333">
        <f>IFERROR(IF(L49*M49=0,"",L49*M49),"")</f>
        <v/>
      </c>
      <c r="O49" s="280" t="n"/>
      <c r="P49" s="332">
        <f>IFERROR(VLOOKUP(TEXT(O49,"0"),CONDUCTORES!$A$3:$G$54,2,0),"")</f>
        <v/>
      </c>
      <c r="Q49" s="332">
        <f>IFERROR(VLOOKUP(TEXT(O49,"0"),CONDUCTORES!$A$3:$H$54,6,0),"")</f>
        <v/>
      </c>
      <c r="R49" s="280" t="n"/>
      <c r="S49" s="280" t="n"/>
      <c r="T49" s="280" t="n"/>
      <c r="U49" s="280" t="n"/>
      <c r="V49" s="280" t="n"/>
      <c r="W49" s="280" t="n"/>
      <c r="X49" s="280" t="n"/>
      <c r="Y49" s="280" t="n"/>
      <c r="Z49" s="236">
        <f>IF(AND(G49&lt;&gt;"",R49&lt;&gt;"",V49&lt;&gt;"",W49&lt;&gt;""),"COMPLETADO","OBSERVADO")</f>
        <v/>
      </c>
      <c r="AA49" s="284" t="n"/>
    </row>
    <row r="50" ht="15.75" customHeight="1" s="195">
      <c r="A50" s="334" t="n"/>
      <c r="B50" s="334" t="n"/>
      <c r="C50" s="334" t="n"/>
      <c r="D50" s="334" t="n"/>
      <c r="E50" s="334" t="n"/>
      <c r="F50" s="334" t="n"/>
      <c r="G50" s="334" t="n"/>
      <c r="H50" s="334" t="n"/>
      <c r="I50" s="332">
        <f>IFERROR(VLOOKUP(TEXT(H50,"0"),IPRESS!$A$3:$B$212,2,0),"")</f>
        <v/>
      </c>
      <c r="J50" s="334" t="n"/>
      <c r="K50" s="332">
        <f>IFERROR(VLOOKUP(TEXT(O50,"0"),CONDUCTORES!$A$3:$G$54,7,0),"")</f>
        <v/>
      </c>
      <c r="L50" s="334" t="n"/>
      <c r="M50" s="334" t="n"/>
      <c r="N50" s="333">
        <f>IFERROR(IF(L50*M50=0,"",L50*M50),"")</f>
        <v/>
      </c>
      <c r="O50" s="334" t="n"/>
      <c r="P50" s="332">
        <f>IFERROR(VLOOKUP(TEXT(O50,"0"),CONDUCTORES!$A$3:$G$54,2,0),"")</f>
        <v/>
      </c>
      <c r="Q50" s="332">
        <f>IFERROR(VLOOKUP(TEXT(O50,"0"),CONDUCTORES!$A$3:$H$54,6,0),"")</f>
        <v/>
      </c>
      <c r="R50" s="334" t="n"/>
      <c r="S50" s="334" t="n"/>
      <c r="T50" s="334" t="n"/>
      <c r="U50" s="334" t="n"/>
      <c r="V50" s="334" t="n"/>
      <c r="W50" s="334" t="n"/>
      <c r="X50" s="334" t="n"/>
      <c r="Y50" s="334" t="n"/>
      <c r="Z50" s="242">
        <f>IF(AND(G50&lt;&gt;"",R50&lt;&gt;"",V50&lt;&gt;"",W50&lt;&gt;""),"COMPLETADO","OBSERVADO")</f>
        <v/>
      </c>
      <c r="AA50" s="284" t="n"/>
    </row>
    <row r="51" ht="15.75" customHeight="1" s="195">
      <c r="A51" s="280" t="n"/>
      <c r="B51" s="280" t="n"/>
      <c r="C51" s="280" t="n"/>
      <c r="D51" s="280" t="n"/>
      <c r="E51" s="280" t="n"/>
      <c r="F51" s="280" t="n"/>
      <c r="G51" s="280" t="n"/>
      <c r="H51" s="280" t="n"/>
      <c r="I51" s="332">
        <f>IFERROR(VLOOKUP(TEXT(H51,"0"),IPRESS!$A$3:$B$212,2,0),"")</f>
        <v/>
      </c>
      <c r="J51" s="280" t="n"/>
      <c r="K51" s="332">
        <f>IFERROR(VLOOKUP(TEXT(O51,"0"),CONDUCTORES!$A$3:$G$54,7,0),"")</f>
        <v/>
      </c>
      <c r="L51" s="280" t="n"/>
      <c r="M51" s="280" t="n"/>
      <c r="N51" s="333">
        <f>IFERROR(IF(L51*M51=0,"",L51*M51),"")</f>
        <v/>
      </c>
      <c r="O51" s="280" t="n"/>
      <c r="P51" s="332">
        <f>IFERROR(VLOOKUP(TEXT(O51,"0"),CONDUCTORES!$A$3:$G$54,2,0),"")</f>
        <v/>
      </c>
      <c r="Q51" s="332">
        <f>IFERROR(VLOOKUP(TEXT(O51,"0"),CONDUCTORES!$A$3:$H$54,6,0),"")</f>
        <v/>
      </c>
      <c r="R51" s="280" t="n"/>
      <c r="S51" s="280" t="n"/>
      <c r="T51" s="280" t="n"/>
      <c r="U51" s="280" t="n"/>
      <c r="V51" s="280" t="n"/>
      <c r="W51" s="280" t="n"/>
      <c r="X51" s="280" t="n"/>
      <c r="Y51" s="280" t="n"/>
      <c r="Z51" s="236">
        <f>IF(AND(G51&lt;&gt;"",R51&lt;&gt;"",V51&lt;&gt;"",W51&lt;&gt;""),"COMPLETADO","OBSERVADO")</f>
        <v/>
      </c>
      <c r="AA51" s="284" t="n"/>
    </row>
    <row r="52" ht="15.75" customHeight="1" s="195">
      <c r="A52" s="334" t="n"/>
      <c r="B52" s="334" t="n"/>
      <c r="C52" s="334" t="n"/>
      <c r="D52" s="334" t="n"/>
      <c r="E52" s="334" t="n"/>
      <c r="F52" s="334" t="n"/>
      <c r="G52" s="334" t="n"/>
      <c r="H52" s="334" t="n"/>
      <c r="I52" s="332">
        <f>IFERROR(VLOOKUP(TEXT(H52,"0"),IPRESS!$A$3:$B$212,2,0),"")</f>
        <v/>
      </c>
      <c r="J52" s="334" t="n"/>
      <c r="K52" s="332">
        <f>IFERROR(VLOOKUP(TEXT(O52,"0"),CONDUCTORES!$A$3:$G$54,7,0),"")</f>
        <v/>
      </c>
      <c r="L52" s="334" t="n"/>
      <c r="M52" s="334" t="n"/>
      <c r="N52" s="333">
        <f>IFERROR(IF(L52*M52=0,"",L52*M52),"")</f>
        <v/>
      </c>
      <c r="O52" s="334" t="n"/>
      <c r="P52" s="332">
        <f>IFERROR(VLOOKUP(TEXT(O52,"0"),CONDUCTORES!$A$3:$G$54,2,0),"")</f>
        <v/>
      </c>
      <c r="Q52" s="332">
        <f>IFERROR(VLOOKUP(TEXT(O52,"0"),CONDUCTORES!$A$3:$H$54,6,0),"")</f>
        <v/>
      </c>
      <c r="R52" s="334" t="n"/>
      <c r="S52" s="334" t="n"/>
      <c r="T52" s="334" t="n"/>
      <c r="U52" s="334" t="n"/>
      <c r="V52" s="334" t="n"/>
      <c r="W52" s="334" t="n"/>
      <c r="X52" s="334" t="n"/>
      <c r="Y52" s="334" t="n"/>
      <c r="Z52" s="242">
        <f>IF(AND(G52&lt;&gt;"",R52&lt;&gt;"",V52&lt;&gt;"",W52&lt;&gt;""),"COMPLETADO","OBSERVADO")</f>
        <v/>
      </c>
      <c r="AA52" s="284" t="n"/>
    </row>
    <row r="53" ht="15.75" customHeight="1" s="195">
      <c r="A53" s="280" t="n"/>
      <c r="B53" s="280" t="n"/>
      <c r="C53" s="280" t="n"/>
      <c r="D53" s="280" t="n"/>
      <c r="E53" s="280" t="n"/>
      <c r="F53" s="280" t="n"/>
      <c r="G53" s="280" t="n"/>
      <c r="H53" s="280" t="n"/>
      <c r="I53" s="332">
        <f>IFERROR(VLOOKUP(TEXT(H53,"0"),IPRESS!$A$3:$B$212,2,0),"")</f>
        <v/>
      </c>
      <c r="J53" s="280" t="n"/>
      <c r="K53" s="332">
        <f>IFERROR(VLOOKUP(TEXT(O53,"0"),CONDUCTORES!$A$3:$G$54,7,0),"")</f>
        <v/>
      </c>
      <c r="L53" s="280" t="n"/>
      <c r="M53" s="280" t="n"/>
      <c r="N53" s="333">
        <f>IFERROR(IF(L53*M53=0,"",L53*M53),"")</f>
        <v/>
      </c>
      <c r="O53" s="280" t="n"/>
      <c r="P53" s="332">
        <f>IFERROR(VLOOKUP(TEXT(O53,"0"),CONDUCTORES!$A$3:$G$54,2,0),"")</f>
        <v/>
      </c>
      <c r="Q53" s="332">
        <f>IFERROR(VLOOKUP(TEXT(O53,"0"),CONDUCTORES!$A$3:$H$54,6,0),"")</f>
        <v/>
      </c>
      <c r="R53" s="280" t="n"/>
      <c r="S53" s="280" t="n"/>
      <c r="T53" s="280" t="n"/>
      <c r="U53" s="280" t="n"/>
      <c r="V53" s="280" t="n"/>
      <c r="W53" s="280" t="n"/>
      <c r="X53" s="280" t="n"/>
      <c r="Y53" s="280" t="n"/>
      <c r="Z53" s="236">
        <f>IF(AND(G53&lt;&gt;"",R53&lt;&gt;"",V53&lt;&gt;"",W53&lt;&gt;""),"COMPLETADO","OBSERVADO")</f>
        <v/>
      </c>
      <c r="AA53" s="284" t="n"/>
    </row>
    <row r="54" ht="15.75" customHeight="1" s="195">
      <c r="A54" s="334" t="n"/>
      <c r="B54" s="334" t="n"/>
      <c r="C54" s="334" t="n"/>
      <c r="D54" s="334" t="n"/>
      <c r="E54" s="334" t="n"/>
      <c r="F54" s="334" t="n"/>
      <c r="G54" s="334" t="n"/>
      <c r="H54" s="334" t="n"/>
      <c r="I54" s="332">
        <f>IFERROR(VLOOKUP(TEXT(H54,"0"),IPRESS!$A$3:$B$212,2,0),"")</f>
        <v/>
      </c>
      <c r="J54" s="334" t="n"/>
      <c r="K54" s="332">
        <f>IFERROR(VLOOKUP(TEXT(O54,"0"),CONDUCTORES!$A$3:$G$54,7,0),"")</f>
        <v/>
      </c>
      <c r="L54" s="334" t="n"/>
      <c r="M54" s="334" t="n"/>
      <c r="N54" s="333">
        <f>IFERROR(IF(L54*M54=0,"",L54*M54),"")</f>
        <v/>
      </c>
      <c r="O54" s="334" t="n"/>
      <c r="P54" s="332">
        <f>IFERROR(VLOOKUP(TEXT(O54,"0"),CONDUCTORES!$A$3:$G$54,2,0),"")</f>
        <v/>
      </c>
      <c r="Q54" s="332">
        <f>IFERROR(VLOOKUP(TEXT(O54,"0"),CONDUCTORES!$A$3:$H$54,6,0),"")</f>
        <v/>
      </c>
      <c r="R54" s="334" t="n"/>
      <c r="S54" s="334" t="n"/>
      <c r="T54" s="334" t="n"/>
      <c r="U54" s="334" t="n"/>
      <c r="V54" s="334" t="n"/>
      <c r="W54" s="334" t="n"/>
      <c r="X54" s="334" t="n"/>
      <c r="Y54" s="334" t="n"/>
      <c r="Z54" s="242">
        <f>IF(AND(G54&lt;&gt;"",R54&lt;&gt;"",V54&lt;&gt;"",W54&lt;&gt;""),"COMPLETADO","OBSERVADO")</f>
        <v/>
      </c>
      <c r="AA54" s="284" t="n"/>
    </row>
    <row r="55" ht="15.75" customHeight="1" s="195">
      <c r="A55" s="280" t="n"/>
      <c r="B55" s="280" t="n"/>
      <c r="C55" s="280" t="n"/>
      <c r="D55" s="280" t="n"/>
      <c r="E55" s="280" t="n"/>
      <c r="F55" s="280" t="n"/>
      <c r="G55" s="280" t="n"/>
      <c r="H55" s="280" t="n"/>
      <c r="I55" s="332">
        <f>IFERROR(VLOOKUP(TEXT(H55,"0"),IPRESS!$A$3:$B$212,2,0),"")</f>
        <v/>
      </c>
      <c r="J55" s="280" t="n"/>
      <c r="K55" s="332">
        <f>IFERROR(VLOOKUP(TEXT(O55,"0"),CONDUCTORES!$A$3:$G$54,7,0),"")</f>
        <v/>
      </c>
      <c r="L55" s="280" t="n"/>
      <c r="M55" s="280" t="n"/>
      <c r="N55" s="333">
        <f>IFERROR(IF(L55*M55=0,"",L55*M55),"")</f>
        <v/>
      </c>
      <c r="O55" s="280" t="n"/>
      <c r="P55" s="332">
        <f>IFERROR(VLOOKUP(TEXT(O55,"0"),CONDUCTORES!$A$3:$G$54,2,0),"")</f>
        <v/>
      </c>
      <c r="Q55" s="332">
        <f>IFERROR(VLOOKUP(TEXT(O55,"0"),CONDUCTORES!$A$3:$H$54,6,0),"")</f>
        <v/>
      </c>
      <c r="R55" s="280" t="n"/>
      <c r="S55" s="280" t="n"/>
      <c r="T55" s="280" t="n"/>
      <c r="U55" s="280" t="n"/>
      <c r="V55" s="280" t="n"/>
      <c r="W55" s="280" t="n"/>
      <c r="X55" s="280" t="n"/>
      <c r="Y55" s="280" t="n"/>
      <c r="Z55" s="236">
        <f>IF(AND(G55&lt;&gt;"",R55&lt;&gt;"",V55&lt;&gt;"",W55&lt;&gt;""),"COMPLETADO","OBSERVADO")</f>
        <v/>
      </c>
      <c r="AA55" s="284" t="n"/>
    </row>
    <row r="56" ht="15.75" customHeight="1" s="195">
      <c r="A56" s="334" t="n"/>
      <c r="B56" s="334" t="n"/>
      <c r="C56" s="334" t="n"/>
      <c r="D56" s="334" t="n"/>
      <c r="E56" s="334" t="n"/>
      <c r="F56" s="334" t="n"/>
      <c r="G56" s="334" t="n"/>
      <c r="H56" s="334" t="n"/>
      <c r="I56" s="332">
        <f>IFERROR(VLOOKUP(TEXT(H56,"0"),IPRESS!$A$3:$B$212,2,0),"")</f>
        <v/>
      </c>
      <c r="J56" s="334" t="n"/>
      <c r="K56" s="332">
        <f>IFERROR(VLOOKUP(TEXT(O56,"0"),CONDUCTORES!$A$3:$G$54,7,0),"")</f>
        <v/>
      </c>
      <c r="L56" s="334" t="n"/>
      <c r="M56" s="334" t="n"/>
      <c r="N56" s="333">
        <f>IFERROR(IF(L56*M56=0,"",L56*M56),"")</f>
        <v/>
      </c>
      <c r="O56" s="334" t="n"/>
      <c r="P56" s="332">
        <f>IFERROR(VLOOKUP(TEXT(O56,"0"),CONDUCTORES!$A$3:$G$54,2,0),"")</f>
        <v/>
      </c>
      <c r="Q56" s="332">
        <f>IFERROR(VLOOKUP(TEXT(O56,"0"),CONDUCTORES!$A$3:$H$54,6,0),"")</f>
        <v/>
      </c>
      <c r="R56" s="334" t="n"/>
      <c r="S56" s="334" t="n"/>
      <c r="T56" s="334" t="n"/>
      <c r="U56" s="334" t="n"/>
      <c r="V56" s="334" t="n"/>
      <c r="W56" s="334" t="n"/>
      <c r="X56" s="334" t="n"/>
      <c r="Y56" s="334" t="n"/>
      <c r="Z56" s="242">
        <f>IF(AND(G56&lt;&gt;"",R56&lt;&gt;"",V56&lt;&gt;"",W56&lt;&gt;""),"COMPLETADO","OBSERVADO")</f>
        <v/>
      </c>
      <c r="AA56" s="284" t="n"/>
    </row>
    <row r="57" ht="15.75" customHeight="1" s="195">
      <c r="A57" s="280" t="n"/>
      <c r="B57" s="280" t="n"/>
      <c r="C57" s="280" t="n"/>
      <c r="D57" s="280" t="n"/>
      <c r="E57" s="280" t="n"/>
      <c r="F57" s="280" t="n"/>
      <c r="G57" s="280" t="n"/>
      <c r="H57" s="280" t="n"/>
      <c r="I57" s="332">
        <f>IFERROR(VLOOKUP(TEXT(H57,"0"),IPRESS!$A$3:$B$212,2,0),"")</f>
        <v/>
      </c>
      <c r="J57" s="280" t="n"/>
      <c r="K57" s="332">
        <f>IFERROR(VLOOKUP(TEXT(O57,"0"),CONDUCTORES!$A$3:$G$54,7,0),"")</f>
        <v/>
      </c>
      <c r="L57" s="280" t="n"/>
      <c r="M57" s="280" t="n"/>
      <c r="N57" s="333">
        <f>IFERROR(IF(L57*M57=0,"",L57*M57),"")</f>
        <v/>
      </c>
      <c r="O57" s="280" t="n"/>
      <c r="P57" s="332">
        <f>IFERROR(VLOOKUP(TEXT(O57,"0"),CONDUCTORES!$A$3:$G$54,2,0),"")</f>
        <v/>
      </c>
      <c r="Q57" s="332">
        <f>IFERROR(VLOOKUP(TEXT(O57,"0"),CONDUCTORES!$A$3:$H$54,6,0),"")</f>
        <v/>
      </c>
      <c r="R57" s="280" t="n"/>
      <c r="S57" s="280" t="n"/>
      <c r="T57" s="280" t="n"/>
      <c r="U57" s="280" t="n"/>
      <c r="V57" s="280" t="n"/>
      <c r="W57" s="280" t="n"/>
      <c r="X57" s="280" t="n"/>
      <c r="Y57" s="280" t="n"/>
      <c r="Z57" s="236">
        <f>IF(AND(G57&lt;&gt;"",R57&lt;&gt;"",V57&lt;&gt;"",W57&lt;&gt;""),"COMPLETADO","OBSERVADO")</f>
        <v/>
      </c>
      <c r="AA57" s="284" t="n"/>
    </row>
    <row r="58" ht="15.75" customHeight="1" s="195">
      <c r="A58" s="334" t="n"/>
      <c r="B58" s="334" t="n"/>
      <c r="C58" s="334" t="n"/>
      <c r="D58" s="334" t="n"/>
      <c r="E58" s="334" t="n"/>
      <c r="F58" s="334" t="n"/>
      <c r="G58" s="334" t="n"/>
      <c r="H58" s="334" t="n"/>
      <c r="I58" s="332">
        <f>IFERROR(VLOOKUP(TEXT(H58,"0"),IPRESS!$A$3:$B$212,2,0),"")</f>
        <v/>
      </c>
      <c r="J58" s="334" t="n"/>
      <c r="K58" s="332">
        <f>IFERROR(VLOOKUP(TEXT(O58,"0"),CONDUCTORES!$A$3:$G$54,7,0),"")</f>
        <v/>
      </c>
      <c r="L58" s="334" t="n"/>
      <c r="M58" s="334" t="n"/>
      <c r="N58" s="333">
        <f>IFERROR(IF(L58*M58=0,"",L58*M58),"")</f>
        <v/>
      </c>
      <c r="O58" s="334" t="n"/>
      <c r="P58" s="332">
        <f>IFERROR(VLOOKUP(TEXT(O58,"0"),CONDUCTORES!$A$3:$G$54,2,0),"")</f>
        <v/>
      </c>
      <c r="Q58" s="332">
        <f>IFERROR(VLOOKUP(TEXT(O58,"0"),CONDUCTORES!$A$3:$H$54,6,0),"")</f>
        <v/>
      </c>
      <c r="R58" s="334" t="n"/>
      <c r="S58" s="334" t="n"/>
      <c r="T58" s="334" t="n"/>
      <c r="U58" s="334" t="n"/>
      <c r="V58" s="334" t="n"/>
      <c r="W58" s="334" t="n"/>
      <c r="X58" s="334" t="n"/>
      <c r="Y58" s="334" t="n"/>
      <c r="Z58" s="242">
        <f>IF(AND(G58&lt;&gt;"",R58&lt;&gt;"",V58&lt;&gt;"",W58&lt;&gt;""),"COMPLETADO","OBSERVADO")</f>
        <v/>
      </c>
      <c r="AA58" s="284" t="n"/>
    </row>
    <row r="59" ht="15.75" customHeight="1" s="195">
      <c r="A59" s="280" t="n"/>
      <c r="B59" s="280" t="n"/>
      <c r="C59" s="280" t="n"/>
      <c r="D59" s="280" t="n"/>
      <c r="E59" s="280" t="n"/>
      <c r="F59" s="280" t="n"/>
      <c r="G59" s="280" t="n"/>
      <c r="H59" s="280" t="n"/>
      <c r="I59" s="332">
        <f>IFERROR(VLOOKUP(TEXT(H59,"0"),IPRESS!$A$3:$B$212,2,0),"")</f>
        <v/>
      </c>
      <c r="J59" s="280" t="n"/>
      <c r="K59" s="332">
        <f>IFERROR(VLOOKUP(TEXT(O59,"0"),CONDUCTORES!$A$3:$G$54,7,0),"")</f>
        <v/>
      </c>
      <c r="L59" s="280" t="n"/>
      <c r="M59" s="280" t="n"/>
      <c r="N59" s="333">
        <f>IFERROR(IF(L59*M59=0,"",L59*M59),"")</f>
        <v/>
      </c>
      <c r="O59" s="280" t="n"/>
      <c r="P59" s="332">
        <f>IFERROR(VLOOKUP(TEXT(O59,"0"),CONDUCTORES!$A$3:$G$54,2,0),"")</f>
        <v/>
      </c>
      <c r="Q59" s="332">
        <f>IFERROR(VLOOKUP(TEXT(O59,"0"),CONDUCTORES!$A$3:$H$54,6,0),"")</f>
        <v/>
      </c>
      <c r="R59" s="280" t="n"/>
      <c r="S59" s="280" t="n"/>
      <c r="T59" s="280" t="n"/>
      <c r="U59" s="280" t="n"/>
      <c r="V59" s="280" t="n"/>
      <c r="W59" s="280" t="n"/>
      <c r="X59" s="280" t="n"/>
      <c r="Y59" s="280" t="n"/>
      <c r="Z59" s="236">
        <f>IF(AND(G59&lt;&gt;"",R59&lt;&gt;"",V59&lt;&gt;"",W59&lt;&gt;""),"COMPLETADO","OBSERVADO")</f>
        <v/>
      </c>
      <c r="AA59" s="284" t="n"/>
    </row>
    <row r="60" ht="15.75" customHeight="1" s="195">
      <c r="A60" s="334" t="n"/>
      <c r="B60" s="334" t="n"/>
      <c r="C60" s="334" t="n"/>
      <c r="D60" s="334" t="n"/>
      <c r="E60" s="334" t="n"/>
      <c r="F60" s="334" t="n"/>
      <c r="G60" s="334" t="n"/>
      <c r="H60" s="334" t="n"/>
      <c r="I60" s="332">
        <f>IFERROR(VLOOKUP(TEXT(H60,"0"),IPRESS!$A$3:$B$212,2,0),"")</f>
        <v/>
      </c>
      <c r="J60" s="334" t="n"/>
      <c r="K60" s="332">
        <f>IFERROR(VLOOKUP(TEXT(O60,"0"),CONDUCTORES!$A$3:$G$54,7,0),"")</f>
        <v/>
      </c>
      <c r="L60" s="334" t="n"/>
      <c r="M60" s="334" t="n"/>
      <c r="N60" s="333">
        <f>IFERROR(IF(L60*M60=0,"",L60*M60),"")</f>
        <v/>
      </c>
      <c r="O60" s="334" t="n"/>
      <c r="P60" s="332">
        <f>IFERROR(VLOOKUP(TEXT(O60,"0"),CONDUCTORES!$A$3:$G$54,2,0),"")</f>
        <v/>
      </c>
      <c r="Q60" s="332">
        <f>IFERROR(VLOOKUP(TEXT(O60,"0"),CONDUCTORES!$A$3:$H$54,6,0),"")</f>
        <v/>
      </c>
      <c r="R60" s="334" t="n"/>
      <c r="S60" s="334" t="n"/>
      <c r="T60" s="334" t="n"/>
      <c r="U60" s="334" t="n"/>
      <c r="V60" s="334" t="n"/>
      <c r="W60" s="334" t="n"/>
      <c r="X60" s="334" t="n"/>
      <c r="Y60" s="334" t="n"/>
      <c r="Z60" s="242">
        <f>IF(AND(G60&lt;&gt;"",R60&lt;&gt;"",V60&lt;&gt;"",W60&lt;&gt;""),"COMPLETADO","OBSERVADO")</f>
        <v/>
      </c>
      <c r="AA60" s="284" t="n"/>
    </row>
    <row r="61" ht="15.75" customHeight="1" s="195">
      <c r="A61" s="280" t="n"/>
      <c r="B61" s="280" t="n"/>
      <c r="C61" s="280" t="n"/>
      <c r="D61" s="280" t="n"/>
      <c r="E61" s="280" t="n"/>
      <c r="F61" s="280" t="n"/>
      <c r="G61" s="280" t="n"/>
      <c r="H61" s="280" t="n"/>
      <c r="I61" s="332">
        <f>IFERROR(VLOOKUP(TEXT(H61,"0"),IPRESS!$A$3:$B$212,2,0),"")</f>
        <v/>
      </c>
      <c r="J61" s="280" t="n"/>
      <c r="K61" s="332">
        <f>IFERROR(VLOOKUP(TEXT(O61,"0"),CONDUCTORES!$A$3:$G$54,7,0),"")</f>
        <v/>
      </c>
      <c r="L61" s="280" t="n"/>
      <c r="M61" s="280" t="n"/>
      <c r="N61" s="333">
        <f>IFERROR(IF(L61*M61=0,"",L61*M61),"")</f>
        <v/>
      </c>
      <c r="O61" s="280" t="n"/>
      <c r="P61" s="332">
        <f>IFERROR(VLOOKUP(TEXT(O61,"0"),CONDUCTORES!$A$3:$G$54,2,0),"")</f>
        <v/>
      </c>
      <c r="Q61" s="332">
        <f>IFERROR(VLOOKUP(TEXT(O61,"0"),CONDUCTORES!$A$3:$H$54,6,0),"")</f>
        <v/>
      </c>
      <c r="R61" s="280" t="n"/>
      <c r="S61" s="280" t="n"/>
      <c r="T61" s="280" t="n"/>
      <c r="U61" s="280" t="n"/>
      <c r="V61" s="280" t="n"/>
      <c r="W61" s="280" t="n"/>
      <c r="X61" s="280" t="n"/>
      <c r="Y61" s="280" t="n"/>
      <c r="Z61" s="236">
        <f>IF(AND(G61&lt;&gt;"",R61&lt;&gt;"",V61&lt;&gt;"",W61&lt;&gt;""),"COMPLETADO","OBSERVADO")</f>
        <v/>
      </c>
      <c r="AA61" s="284" t="n"/>
    </row>
    <row r="62" ht="15.75" customHeight="1" s="195">
      <c r="A62" s="334" t="n"/>
      <c r="B62" s="334" t="n"/>
      <c r="C62" s="334" t="n"/>
      <c r="D62" s="334" t="n"/>
      <c r="E62" s="334" t="n"/>
      <c r="F62" s="334" t="n"/>
      <c r="G62" s="334" t="n"/>
      <c r="H62" s="334" t="n"/>
      <c r="I62" s="332">
        <f>IFERROR(VLOOKUP(TEXT(H62,"0"),IPRESS!$A$3:$B$212,2,0),"")</f>
        <v/>
      </c>
      <c r="J62" s="334" t="n"/>
      <c r="K62" s="332">
        <f>IFERROR(VLOOKUP(TEXT(O62,"0"),CONDUCTORES!$A$3:$G$54,7,0),"")</f>
        <v/>
      </c>
      <c r="L62" s="334" t="n"/>
      <c r="M62" s="334" t="n"/>
      <c r="N62" s="333">
        <f>IFERROR(IF(L62*M62=0,"",L62*M62),"")</f>
        <v/>
      </c>
      <c r="O62" s="334" t="n"/>
      <c r="P62" s="332">
        <f>IFERROR(VLOOKUP(TEXT(O62,"0"),CONDUCTORES!$A$3:$G$54,2,0),"")</f>
        <v/>
      </c>
      <c r="Q62" s="332">
        <f>IFERROR(VLOOKUP(TEXT(O62,"0"),CONDUCTORES!$A$3:$H$54,6,0),"")</f>
        <v/>
      </c>
      <c r="R62" s="334" t="n"/>
      <c r="S62" s="334" t="n"/>
      <c r="T62" s="334" t="n"/>
      <c r="U62" s="334" t="n"/>
      <c r="V62" s="334" t="n"/>
      <c r="W62" s="334" t="n"/>
      <c r="X62" s="334" t="n"/>
      <c r="Y62" s="334" t="n"/>
      <c r="Z62" s="242">
        <f>IF(AND(G62&lt;&gt;"",R62&lt;&gt;"",V62&lt;&gt;"",W62&lt;&gt;""),"COMPLETADO","OBSERVADO")</f>
        <v/>
      </c>
      <c r="AA62" s="284" t="n"/>
    </row>
    <row r="63" ht="15.75" customHeight="1" s="195">
      <c r="A63" s="280" t="n"/>
      <c r="B63" s="280" t="n"/>
      <c r="C63" s="280" t="n"/>
      <c r="D63" s="280" t="n"/>
      <c r="E63" s="280" t="n"/>
      <c r="F63" s="280" t="n"/>
      <c r="G63" s="280" t="n"/>
      <c r="H63" s="280" t="n"/>
      <c r="I63" s="332">
        <f>IFERROR(VLOOKUP(TEXT(H63,"0"),IPRESS!$A$3:$B$212,2,0),"")</f>
        <v/>
      </c>
      <c r="J63" s="280" t="n"/>
      <c r="K63" s="332">
        <f>IFERROR(VLOOKUP(TEXT(O63,"0"),CONDUCTORES!$A$3:$G$54,7,0),"")</f>
        <v/>
      </c>
      <c r="L63" s="280" t="n"/>
      <c r="M63" s="280" t="n"/>
      <c r="N63" s="333">
        <f>IFERROR(IF(L63*M63=0,"",L63*M63),"")</f>
        <v/>
      </c>
      <c r="O63" s="280" t="n"/>
      <c r="P63" s="332">
        <f>IFERROR(VLOOKUP(TEXT(O63,"0"),CONDUCTORES!$A$3:$G$54,2,0),"")</f>
        <v/>
      </c>
      <c r="Q63" s="332">
        <f>IFERROR(VLOOKUP(TEXT(O63,"0"),CONDUCTORES!$A$3:$H$54,6,0),"")</f>
        <v/>
      </c>
      <c r="R63" s="280" t="n"/>
      <c r="S63" s="280" t="n"/>
      <c r="T63" s="280" t="n"/>
      <c r="U63" s="280" t="n"/>
      <c r="V63" s="280" t="n"/>
      <c r="W63" s="280" t="n"/>
      <c r="X63" s="280" t="n"/>
      <c r="Y63" s="280" t="n"/>
      <c r="Z63" s="236">
        <f>IF(AND(G63&lt;&gt;"",R63&lt;&gt;"",V63&lt;&gt;"",W63&lt;&gt;""),"COMPLETADO","OBSERVADO")</f>
        <v/>
      </c>
      <c r="AA63" s="284" t="n"/>
    </row>
    <row r="64" ht="15.75" customHeight="1" s="195">
      <c r="A64" s="334" t="n"/>
      <c r="B64" s="334" t="n"/>
      <c r="C64" s="334" t="n"/>
      <c r="D64" s="334" t="n"/>
      <c r="E64" s="334" t="n"/>
      <c r="F64" s="334" t="n"/>
      <c r="G64" s="334" t="n"/>
      <c r="H64" s="334" t="n"/>
      <c r="I64" s="332">
        <f>IFERROR(VLOOKUP(TEXT(H64,"0"),IPRESS!$A$3:$B$212,2,0),"")</f>
        <v/>
      </c>
      <c r="J64" s="334" t="n"/>
      <c r="K64" s="332">
        <f>IFERROR(VLOOKUP(TEXT(O64,"0"),CONDUCTORES!$A$3:$G$54,7,0),"")</f>
        <v/>
      </c>
      <c r="L64" s="334" t="n"/>
      <c r="M64" s="334" t="n"/>
      <c r="N64" s="333">
        <f>IFERROR(IF(L64*M64=0,"",L64*M64),"")</f>
        <v/>
      </c>
      <c r="O64" s="334" t="n"/>
      <c r="P64" s="332">
        <f>IFERROR(VLOOKUP(TEXT(O64,"0"),CONDUCTORES!$A$3:$G$54,2,0),"")</f>
        <v/>
      </c>
      <c r="Q64" s="332">
        <f>IFERROR(VLOOKUP(TEXT(O64,"0"),CONDUCTORES!$A$3:$H$54,6,0),"")</f>
        <v/>
      </c>
      <c r="R64" s="334" t="n"/>
      <c r="S64" s="334" t="n"/>
      <c r="T64" s="334" t="n"/>
      <c r="U64" s="334" t="n"/>
      <c r="V64" s="334" t="n"/>
      <c r="W64" s="334" t="n"/>
      <c r="X64" s="334" t="n"/>
      <c r="Y64" s="334" t="n"/>
      <c r="Z64" s="242">
        <f>IF(AND(G64&lt;&gt;"",R64&lt;&gt;"",V64&lt;&gt;"",W64&lt;&gt;""),"COMPLETADO","OBSERVADO")</f>
        <v/>
      </c>
      <c r="AA64" s="284" t="n"/>
    </row>
    <row r="65" ht="15.75" customHeight="1" s="195">
      <c r="A65" s="280" t="n"/>
      <c r="B65" s="280" t="n"/>
      <c r="C65" s="280" t="n"/>
      <c r="D65" s="280" t="n"/>
      <c r="E65" s="280" t="n"/>
      <c r="F65" s="280" t="n"/>
      <c r="G65" s="280" t="n"/>
      <c r="H65" s="280" t="n"/>
      <c r="I65" s="332">
        <f>IFERROR(VLOOKUP(TEXT(H65,"0"),IPRESS!$A$3:$B$212,2,0),"")</f>
        <v/>
      </c>
      <c r="J65" s="280" t="n"/>
      <c r="K65" s="332">
        <f>IFERROR(VLOOKUP(TEXT(O65,"0"),CONDUCTORES!$A$3:$G$54,7,0),"")</f>
        <v/>
      </c>
      <c r="L65" s="280" t="n"/>
      <c r="M65" s="280" t="n"/>
      <c r="N65" s="333">
        <f>IFERROR(IF(L65*M65=0,"",L65*M65),"")</f>
        <v/>
      </c>
      <c r="O65" s="280" t="n"/>
      <c r="P65" s="332">
        <f>IFERROR(VLOOKUP(TEXT(O65,"0"),CONDUCTORES!$A$3:$G$54,2,0),"")</f>
        <v/>
      </c>
      <c r="Q65" s="332">
        <f>IFERROR(VLOOKUP(TEXT(O65,"0"),CONDUCTORES!$A$3:$H$54,6,0),"")</f>
        <v/>
      </c>
      <c r="R65" s="280" t="n"/>
      <c r="S65" s="280" t="n"/>
      <c r="T65" s="280" t="n"/>
      <c r="U65" s="280" t="n"/>
      <c r="V65" s="280" t="n"/>
      <c r="W65" s="280" t="n"/>
      <c r="X65" s="280" t="n"/>
      <c r="Y65" s="280" t="n"/>
      <c r="Z65" s="236">
        <f>IF(AND(G65&lt;&gt;"",R65&lt;&gt;"",V65&lt;&gt;"",W65&lt;&gt;""),"COMPLETADO","OBSERVADO")</f>
        <v/>
      </c>
      <c r="AA65" s="284" t="n"/>
    </row>
    <row r="66" ht="15.75" customHeight="1" s="195">
      <c r="A66" s="334" t="n"/>
      <c r="B66" s="334" t="n"/>
      <c r="C66" s="334" t="n"/>
      <c r="D66" s="334" t="n"/>
      <c r="E66" s="334" t="n"/>
      <c r="F66" s="334" t="n"/>
      <c r="G66" s="334" t="n"/>
      <c r="H66" s="334" t="n"/>
      <c r="I66" s="332">
        <f>IFERROR(VLOOKUP(TEXT(H66,"0"),IPRESS!$A$3:$B$212,2,0),"")</f>
        <v/>
      </c>
      <c r="J66" s="334" t="n"/>
      <c r="K66" s="332">
        <f>IFERROR(VLOOKUP(TEXT(O66,"0"),CONDUCTORES!$A$3:$G$54,7,0),"")</f>
        <v/>
      </c>
      <c r="L66" s="334" t="n"/>
      <c r="M66" s="334" t="n"/>
      <c r="N66" s="333">
        <f>IFERROR(IF(L66*M66=0,"",L66*M66),"")</f>
        <v/>
      </c>
      <c r="O66" s="334" t="n"/>
      <c r="P66" s="332">
        <f>IFERROR(VLOOKUP(TEXT(O66,"0"),CONDUCTORES!$A$3:$G$54,2,0),"")</f>
        <v/>
      </c>
      <c r="Q66" s="332">
        <f>IFERROR(VLOOKUP(TEXT(O66,"0"),CONDUCTORES!$A$3:$H$54,6,0),"")</f>
        <v/>
      </c>
      <c r="R66" s="334" t="n"/>
      <c r="S66" s="334" t="n"/>
      <c r="T66" s="334" t="n"/>
      <c r="U66" s="334" t="n"/>
      <c r="V66" s="334" t="n"/>
      <c r="W66" s="334" t="n"/>
      <c r="X66" s="334" t="n"/>
      <c r="Y66" s="334" t="n"/>
      <c r="Z66" s="242">
        <f>IF(AND(G66&lt;&gt;"",R66&lt;&gt;"",V66&lt;&gt;"",W66&lt;&gt;""),"COMPLETADO","OBSERVADO")</f>
        <v/>
      </c>
      <c r="AA66" s="284" t="n"/>
    </row>
    <row r="67" ht="15.75" customHeight="1" s="195">
      <c r="A67" s="280" t="n"/>
      <c r="B67" s="280" t="n"/>
      <c r="C67" s="280" t="n"/>
      <c r="D67" s="280" t="n"/>
      <c r="E67" s="280" t="n"/>
      <c r="F67" s="280" t="n"/>
      <c r="G67" s="280" t="n"/>
      <c r="H67" s="280" t="n"/>
      <c r="I67" s="332">
        <f>IFERROR(VLOOKUP(TEXT(H67,"0"),IPRESS!$A$3:$B$212,2,0),"")</f>
        <v/>
      </c>
      <c r="J67" s="280" t="n"/>
      <c r="K67" s="332">
        <f>IFERROR(VLOOKUP(TEXT(O67,"0"),CONDUCTORES!$A$3:$G$54,7,0),"")</f>
        <v/>
      </c>
      <c r="L67" s="280" t="n"/>
      <c r="M67" s="280" t="n"/>
      <c r="N67" s="333">
        <f>IFERROR(IF(L67*M67=0,"",L67*M67),"")</f>
        <v/>
      </c>
      <c r="O67" s="280" t="n"/>
      <c r="P67" s="332">
        <f>IFERROR(VLOOKUP(TEXT(O67,"0"),CONDUCTORES!$A$3:$G$54,2,0),"")</f>
        <v/>
      </c>
      <c r="Q67" s="332">
        <f>IFERROR(VLOOKUP(TEXT(O67,"0"),CONDUCTORES!$A$3:$H$54,6,0),"")</f>
        <v/>
      </c>
      <c r="R67" s="280" t="n"/>
      <c r="S67" s="280" t="n"/>
      <c r="T67" s="280" t="n"/>
      <c r="U67" s="280" t="n"/>
      <c r="V67" s="280" t="n"/>
      <c r="W67" s="280" t="n"/>
      <c r="X67" s="280" t="n"/>
      <c r="Y67" s="280" t="n"/>
      <c r="Z67" s="236">
        <f>IF(AND(G67&lt;&gt;"",R67&lt;&gt;"",V67&lt;&gt;"",W67&lt;&gt;""),"COMPLETADO","OBSERVADO")</f>
        <v/>
      </c>
      <c r="AA67" s="284" t="n"/>
    </row>
    <row r="68" ht="15.75" customHeight="1" s="195">
      <c r="A68" s="334" t="n"/>
      <c r="B68" s="334" t="n"/>
      <c r="C68" s="334" t="n"/>
      <c r="D68" s="334" t="n"/>
      <c r="E68" s="334" t="n"/>
      <c r="F68" s="334" t="n"/>
      <c r="G68" s="334" t="n"/>
      <c r="H68" s="334" t="n"/>
      <c r="I68" s="332">
        <f>IFERROR(VLOOKUP(TEXT(H68,"0"),IPRESS!$A$3:$B$212,2,0),"")</f>
        <v/>
      </c>
      <c r="J68" s="334" t="n"/>
      <c r="K68" s="332">
        <f>IFERROR(VLOOKUP(TEXT(O68,"0"),CONDUCTORES!$A$3:$G$54,7,0),"")</f>
        <v/>
      </c>
      <c r="L68" s="334" t="n"/>
      <c r="M68" s="334" t="n"/>
      <c r="N68" s="333">
        <f>IFERROR(IF(L68*M68=0,"",L68*M68),"")</f>
        <v/>
      </c>
      <c r="O68" s="334" t="n"/>
      <c r="P68" s="332">
        <f>IFERROR(VLOOKUP(TEXT(O68,"0"),CONDUCTORES!$A$3:$G$54,2,0),"")</f>
        <v/>
      </c>
      <c r="Q68" s="332">
        <f>IFERROR(VLOOKUP(TEXT(O68,"0"),CONDUCTORES!$A$3:$H$54,6,0),"")</f>
        <v/>
      </c>
      <c r="R68" s="334" t="n"/>
      <c r="S68" s="334" t="n"/>
      <c r="T68" s="334" t="n"/>
      <c r="U68" s="334" t="n"/>
      <c r="V68" s="334" t="n"/>
      <c r="W68" s="334" t="n"/>
      <c r="X68" s="334" t="n"/>
      <c r="Y68" s="334" t="n"/>
      <c r="Z68" s="242">
        <f>IF(AND(G68&lt;&gt;"",R68&lt;&gt;"",V68&lt;&gt;"",W68&lt;&gt;""),"COMPLETADO","OBSERVADO")</f>
        <v/>
      </c>
      <c r="AA68" s="284" t="n"/>
    </row>
    <row r="69" ht="15.75" customHeight="1" s="195">
      <c r="A69" s="280" t="n"/>
      <c r="B69" s="280" t="n"/>
      <c r="C69" s="280" t="n"/>
      <c r="D69" s="280" t="n"/>
      <c r="E69" s="280" t="n"/>
      <c r="F69" s="280" t="n"/>
      <c r="G69" s="280" t="n"/>
      <c r="H69" s="280" t="n"/>
      <c r="I69" s="332">
        <f>IFERROR(VLOOKUP(TEXT(H69,"0"),IPRESS!$A$3:$B$212,2,0),"")</f>
        <v/>
      </c>
      <c r="J69" s="280" t="n"/>
      <c r="K69" s="332">
        <f>IFERROR(VLOOKUP(TEXT(O69,"0"),CONDUCTORES!$A$3:$G$54,7,0),"")</f>
        <v/>
      </c>
      <c r="L69" s="280" t="n"/>
      <c r="M69" s="280" t="n"/>
      <c r="N69" s="333">
        <f>IFERROR(IF(L69*M69=0,"",L69*M69),"")</f>
        <v/>
      </c>
      <c r="O69" s="280" t="n"/>
      <c r="P69" s="332">
        <f>IFERROR(VLOOKUP(TEXT(O69,"0"),CONDUCTORES!$A$3:$G$54,2,0),"")</f>
        <v/>
      </c>
      <c r="Q69" s="332">
        <f>IFERROR(VLOOKUP(TEXT(O69,"0"),CONDUCTORES!$A$3:$H$54,6,0),"")</f>
        <v/>
      </c>
      <c r="R69" s="280" t="n"/>
      <c r="S69" s="280" t="n"/>
      <c r="T69" s="280" t="n"/>
      <c r="U69" s="280" t="n"/>
      <c r="V69" s="280" t="n"/>
      <c r="W69" s="280" t="n"/>
      <c r="X69" s="280" t="n"/>
      <c r="Y69" s="280" t="n"/>
      <c r="Z69" s="236">
        <f>IF(AND(G69&lt;&gt;"",R69&lt;&gt;"",V69&lt;&gt;"",W69&lt;&gt;""),"COMPLETADO","OBSERVADO")</f>
        <v/>
      </c>
      <c r="AA69" s="284" t="n"/>
    </row>
    <row r="70" ht="15.75" customHeight="1" s="195">
      <c r="A70" s="334" t="n"/>
      <c r="B70" s="334" t="n"/>
      <c r="C70" s="334" t="n"/>
      <c r="D70" s="334" t="n"/>
      <c r="E70" s="334" t="n"/>
      <c r="F70" s="334" t="n"/>
      <c r="G70" s="334" t="n"/>
      <c r="H70" s="334" t="n"/>
      <c r="I70" s="332">
        <f>IFERROR(VLOOKUP(TEXT(H70,"0"),IPRESS!$A$3:$B$212,2,0),"")</f>
        <v/>
      </c>
      <c r="J70" s="334" t="n"/>
      <c r="K70" s="332">
        <f>IFERROR(VLOOKUP(TEXT(O70,"0"),CONDUCTORES!$A$3:$G$54,7,0),"")</f>
        <v/>
      </c>
      <c r="L70" s="334" t="n"/>
      <c r="M70" s="334" t="n"/>
      <c r="N70" s="333">
        <f>IFERROR(IF(L70*M70=0,"",L70*M70),"")</f>
        <v/>
      </c>
      <c r="O70" s="334" t="n"/>
      <c r="P70" s="332">
        <f>IFERROR(VLOOKUP(TEXT(O70,"0"),CONDUCTORES!$A$3:$G$54,2,0),"")</f>
        <v/>
      </c>
      <c r="Q70" s="332">
        <f>IFERROR(VLOOKUP(TEXT(O70,"0"),CONDUCTORES!$A$3:$H$54,6,0),"")</f>
        <v/>
      </c>
      <c r="R70" s="334" t="n"/>
      <c r="S70" s="334" t="n"/>
      <c r="T70" s="334" t="n"/>
      <c r="U70" s="334" t="n"/>
      <c r="V70" s="334" t="n"/>
      <c r="W70" s="334" t="n"/>
      <c r="X70" s="334" t="n"/>
      <c r="Y70" s="334" t="n"/>
      <c r="Z70" s="242">
        <f>IF(AND(G70&lt;&gt;"",R70&lt;&gt;"",V70&lt;&gt;"",W70&lt;&gt;""),"COMPLETADO","OBSERVADO")</f>
        <v/>
      </c>
      <c r="AA70" s="284" t="n"/>
    </row>
    <row r="71" ht="15.75" customHeight="1" s="195">
      <c r="A71" s="280" t="n"/>
      <c r="B71" s="280" t="n"/>
      <c r="C71" s="280" t="n"/>
      <c r="D71" s="280" t="n"/>
      <c r="E71" s="280" t="n"/>
      <c r="F71" s="280" t="n"/>
      <c r="G71" s="280" t="n"/>
      <c r="H71" s="280" t="n"/>
      <c r="I71" s="332">
        <f>IFERROR(VLOOKUP(TEXT(H71,"0"),IPRESS!$A$3:$B$212,2,0),"")</f>
        <v/>
      </c>
      <c r="J71" s="280" t="n"/>
      <c r="K71" s="332">
        <f>IFERROR(VLOOKUP(TEXT(O71,"0"),CONDUCTORES!$A$3:$G$54,7,0),"")</f>
        <v/>
      </c>
      <c r="L71" s="280" t="n"/>
      <c r="M71" s="280" t="n"/>
      <c r="N71" s="333">
        <f>IFERROR(IF(L71*M71=0,"",L71*M71),"")</f>
        <v/>
      </c>
      <c r="O71" s="280" t="n"/>
      <c r="P71" s="332">
        <f>IFERROR(VLOOKUP(TEXT(O71,"0"),CONDUCTORES!$A$3:$G$54,2,0),"")</f>
        <v/>
      </c>
      <c r="Q71" s="332">
        <f>IFERROR(VLOOKUP(TEXT(O71,"0"),CONDUCTORES!$A$3:$H$54,6,0),"")</f>
        <v/>
      </c>
      <c r="R71" s="280" t="n"/>
      <c r="S71" s="280" t="n"/>
      <c r="T71" s="280" t="n"/>
      <c r="U71" s="280" t="n"/>
      <c r="V71" s="280" t="n"/>
      <c r="W71" s="280" t="n"/>
      <c r="X71" s="280" t="n"/>
      <c r="Y71" s="280" t="n"/>
      <c r="Z71" s="236">
        <f>IF(AND(G71&lt;&gt;"",R71&lt;&gt;"",V71&lt;&gt;"",W71&lt;&gt;""),"COMPLETADO","OBSERVADO")</f>
        <v/>
      </c>
      <c r="AA71" s="284" t="n"/>
    </row>
    <row r="72" ht="15.75" customHeight="1" s="195">
      <c r="A72" s="334" t="n"/>
      <c r="B72" s="334" t="n"/>
      <c r="C72" s="334" t="n"/>
      <c r="D72" s="334" t="n"/>
      <c r="E72" s="334" t="n"/>
      <c r="F72" s="334" t="n"/>
      <c r="G72" s="334" t="n"/>
      <c r="H72" s="334" t="n"/>
      <c r="I72" s="332">
        <f>IFERROR(VLOOKUP(TEXT(H72,"0"),IPRESS!$A$3:$B$212,2,0),"")</f>
        <v/>
      </c>
      <c r="J72" s="334" t="n"/>
      <c r="K72" s="332">
        <f>IFERROR(VLOOKUP(TEXT(O72,"0"),CONDUCTORES!$A$3:$G$54,7,0),"")</f>
        <v/>
      </c>
      <c r="L72" s="334" t="n"/>
      <c r="M72" s="334" t="n"/>
      <c r="N72" s="333">
        <f>IFERROR(IF(L72*M72=0,"",L72*M72),"")</f>
        <v/>
      </c>
      <c r="O72" s="334" t="n"/>
      <c r="P72" s="332">
        <f>IFERROR(VLOOKUP(TEXT(O72,"0"),CONDUCTORES!$A$3:$G$54,2,0),"")</f>
        <v/>
      </c>
      <c r="Q72" s="332">
        <f>IFERROR(VLOOKUP(TEXT(O72,"0"),CONDUCTORES!$A$3:$H$54,6,0),"")</f>
        <v/>
      </c>
      <c r="R72" s="334" t="n"/>
      <c r="S72" s="334" t="n"/>
      <c r="T72" s="334" t="n"/>
      <c r="U72" s="334" t="n"/>
      <c r="V72" s="334" t="n"/>
      <c r="W72" s="334" t="n"/>
      <c r="X72" s="334" t="n"/>
      <c r="Y72" s="334" t="n"/>
      <c r="Z72" s="242">
        <f>IF(AND(G72&lt;&gt;"",R72&lt;&gt;"",V72&lt;&gt;"",W72&lt;&gt;""),"COMPLETADO","OBSERVADO")</f>
        <v/>
      </c>
      <c r="AA72" s="284" t="n"/>
    </row>
    <row r="73" ht="15.75" customHeight="1" s="195">
      <c r="A73" s="280" t="n"/>
      <c r="B73" s="280" t="n"/>
      <c r="C73" s="280" t="n"/>
      <c r="D73" s="280" t="n"/>
      <c r="E73" s="280" t="n"/>
      <c r="F73" s="280" t="n"/>
      <c r="G73" s="280" t="n"/>
      <c r="H73" s="280" t="n"/>
      <c r="I73" s="332">
        <f>IFERROR(VLOOKUP(TEXT(H73,"0"),IPRESS!$A$3:$B$212,2,0),"")</f>
        <v/>
      </c>
      <c r="J73" s="280" t="n"/>
      <c r="K73" s="332">
        <f>IFERROR(VLOOKUP(TEXT(O73,"0"),CONDUCTORES!$A$3:$G$54,7,0),"")</f>
        <v/>
      </c>
      <c r="L73" s="280" t="n"/>
      <c r="M73" s="280" t="n"/>
      <c r="N73" s="333">
        <f>IFERROR(IF(L73*M73=0,"",L73*M73),"")</f>
        <v/>
      </c>
      <c r="O73" s="280" t="n"/>
      <c r="P73" s="332">
        <f>IFERROR(VLOOKUP(TEXT(O73,"0"),CONDUCTORES!$A$3:$G$54,2,0),"")</f>
        <v/>
      </c>
      <c r="Q73" s="332">
        <f>IFERROR(VLOOKUP(TEXT(O73,"0"),CONDUCTORES!$A$3:$H$54,6,0),"")</f>
        <v/>
      </c>
      <c r="R73" s="280" t="n"/>
      <c r="S73" s="280" t="n"/>
      <c r="T73" s="280" t="n"/>
      <c r="U73" s="280" t="n"/>
      <c r="V73" s="280" t="n"/>
      <c r="W73" s="280" t="n"/>
      <c r="X73" s="280" t="n"/>
      <c r="Y73" s="280" t="n"/>
      <c r="Z73" s="236">
        <f>IF(AND(G73&lt;&gt;"",R73&lt;&gt;"",V73&lt;&gt;"",W73&lt;&gt;""),"COMPLETADO","OBSERVADO")</f>
        <v/>
      </c>
      <c r="AA73" s="284" t="n"/>
    </row>
    <row r="74" ht="15.75" customHeight="1" s="195">
      <c r="A74" s="334" t="n"/>
      <c r="B74" s="334" t="n"/>
      <c r="C74" s="334" t="n"/>
      <c r="D74" s="334" t="n"/>
      <c r="E74" s="334" t="n"/>
      <c r="F74" s="334" t="n"/>
      <c r="G74" s="334" t="n"/>
      <c r="H74" s="334" t="n"/>
      <c r="I74" s="332">
        <f>IFERROR(VLOOKUP(TEXT(H74,"0"),IPRESS!$A$3:$B$212,2,0),"")</f>
        <v/>
      </c>
      <c r="J74" s="334" t="n"/>
      <c r="K74" s="332">
        <f>IFERROR(VLOOKUP(TEXT(O74,"0"),CONDUCTORES!$A$3:$G$54,7,0),"")</f>
        <v/>
      </c>
      <c r="L74" s="334" t="n"/>
      <c r="M74" s="334" t="n"/>
      <c r="N74" s="333">
        <f>IFERROR(IF(L74*M74=0,"",L74*M74),"")</f>
        <v/>
      </c>
      <c r="O74" s="334" t="n"/>
      <c r="P74" s="332">
        <f>IFERROR(VLOOKUP(TEXT(O74,"0"),CONDUCTORES!$A$3:$G$54,2,0),"")</f>
        <v/>
      </c>
      <c r="Q74" s="332">
        <f>IFERROR(VLOOKUP(TEXT(O74,"0"),CONDUCTORES!$A$3:$H$54,6,0),"")</f>
        <v/>
      </c>
      <c r="R74" s="334" t="n"/>
      <c r="S74" s="334" t="n"/>
      <c r="T74" s="334" t="n"/>
      <c r="U74" s="334" t="n"/>
      <c r="V74" s="334" t="n"/>
      <c r="W74" s="334" t="n"/>
      <c r="X74" s="334" t="n"/>
      <c r="Y74" s="334" t="n"/>
      <c r="Z74" s="242">
        <f>IF(AND(G74&lt;&gt;"",R74&lt;&gt;"",V74&lt;&gt;"",W74&lt;&gt;""),"COMPLETADO","OBSERVADO")</f>
        <v/>
      </c>
      <c r="AA74" s="284" t="n"/>
    </row>
    <row r="75" ht="15.75" customHeight="1" s="195">
      <c r="A75" s="280" t="n"/>
      <c r="B75" s="280" t="n"/>
      <c r="C75" s="280" t="n"/>
      <c r="D75" s="280" t="n"/>
      <c r="E75" s="280" t="n"/>
      <c r="F75" s="280" t="n"/>
      <c r="G75" s="280" t="n"/>
      <c r="H75" s="280" t="n"/>
      <c r="I75" s="332">
        <f>IFERROR(VLOOKUP(TEXT(H75,"0"),IPRESS!$A$3:$B$212,2,0),"")</f>
        <v/>
      </c>
      <c r="J75" s="280" t="n"/>
      <c r="K75" s="332">
        <f>IFERROR(VLOOKUP(TEXT(O75,"0"),CONDUCTORES!$A$3:$G$54,7,0),"")</f>
        <v/>
      </c>
      <c r="L75" s="280" t="n"/>
      <c r="M75" s="280" t="n"/>
      <c r="N75" s="333">
        <f>IFERROR(IF(L75*M75=0,"",L75*M75),"")</f>
        <v/>
      </c>
      <c r="O75" s="280" t="n"/>
      <c r="P75" s="332">
        <f>IFERROR(VLOOKUP(TEXT(O75,"0"),CONDUCTORES!$A$3:$G$54,2,0),"")</f>
        <v/>
      </c>
      <c r="Q75" s="332">
        <f>IFERROR(VLOOKUP(TEXT(O75,"0"),CONDUCTORES!$A$3:$H$54,6,0),"")</f>
        <v/>
      </c>
      <c r="R75" s="280" t="n"/>
      <c r="S75" s="280" t="n"/>
      <c r="T75" s="280" t="n"/>
      <c r="U75" s="280" t="n"/>
      <c r="V75" s="280" t="n"/>
      <c r="W75" s="280" t="n"/>
      <c r="X75" s="280" t="n"/>
      <c r="Y75" s="280" t="n"/>
      <c r="Z75" s="236">
        <f>IF(AND(G75&lt;&gt;"",R75&lt;&gt;"",V75&lt;&gt;"",W75&lt;&gt;""),"COMPLETADO","OBSERVADO")</f>
        <v/>
      </c>
      <c r="AA75" s="284" t="n"/>
    </row>
    <row r="76" ht="15.75" customHeight="1" s="195">
      <c r="A76" s="334" t="n"/>
      <c r="B76" s="334" t="n"/>
      <c r="C76" s="334" t="n"/>
      <c r="D76" s="334" t="n"/>
      <c r="E76" s="334" t="n"/>
      <c r="F76" s="334" t="n"/>
      <c r="G76" s="334" t="n"/>
      <c r="H76" s="334" t="n"/>
      <c r="I76" s="332">
        <f>IFERROR(VLOOKUP(TEXT(H76,"0"),IPRESS!$A$3:$B$212,2,0),"")</f>
        <v/>
      </c>
      <c r="J76" s="334" t="n"/>
      <c r="K76" s="332">
        <f>IFERROR(VLOOKUP(TEXT(O76,"0"),CONDUCTORES!$A$3:$G$54,7,0),"")</f>
        <v/>
      </c>
      <c r="L76" s="334" t="n"/>
      <c r="M76" s="334" t="n"/>
      <c r="N76" s="333">
        <f>IFERROR(IF(L76*M76=0,"",L76*M76),"")</f>
        <v/>
      </c>
      <c r="O76" s="334" t="n"/>
      <c r="P76" s="332">
        <f>IFERROR(VLOOKUP(TEXT(O76,"0"),CONDUCTORES!$A$3:$G$54,2,0),"")</f>
        <v/>
      </c>
      <c r="Q76" s="332">
        <f>IFERROR(VLOOKUP(TEXT(O76,"0"),CONDUCTORES!$A$3:$H$54,6,0),"")</f>
        <v/>
      </c>
      <c r="R76" s="334" t="n"/>
      <c r="S76" s="334" t="n"/>
      <c r="T76" s="334" t="n"/>
      <c r="U76" s="334" t="n"/>
      <c r="V76" s="334" t="n"/>
      <c r="W76" s="334" t="n"/>
      <c r="X76" s="334" t="n"/>
      <c r="Y76" s="334" t="n"/>
      <c r="Z76" s="242">
        <f>IF(AND(G76&lt;&gt;"",R76&lt;&gt;"",V76&lt;&gt;"",W76&lt;&gt;""),"COMPLETADO","OBSERVADO")</f>
        <v/>
      </c>
      <c r="AA76" s="284" t="n"/>
    </row>
    <row r="77" ht="15.75" customHeight="1" s="195">
      <c r="A77" s="280" t="n"/>
      <c r="B77" s="280" t="n"/>
      <c r="C77" s="280" t="n"/>
      <c r="D77" s="280" t="n"/>
      <c r="E77" s="280" t="n"/>
      <c r="F77" s="280" t="n"/>
      <c r="G77" s="280" t="n"/>
      <c r="H77" s="280" t="n"/>
      <c r="I77" s="332">
        <f>IFERROR(VLOOKUP(TEXT(H77,"0"),IPRESS!$A$3:$B$212,2,0),"")</f>
        <v/>
      </c>
      <c r="J77" s="280" t="n"/>
      <c r="K77" s="332">
        <f>IFERROR(VLOOKUP(TEXT(O77,"0"),CONDUCTORES!$A$3:$G$54,7,0),"")</f>
        <v/>
      </c>
      <c r="L77" s="280" t="n"/>
      <c r="M77" s="280" t="n"/>
      <c r="N77" s="333">
        <f>IFERROR(IF(L77*M77=0,"",L77*M77),"")</f>
        <v/>
      </c>
      <c r="O77" s="280" t="n"/>
      <c r="P77" s="332">
        <f>IFERROR(VLOOKUP(TEXT(O77,"0"),CONDUCTORES!$A$3:$G$54,2,0),"")</f>
        <v/>
      </c>
      <c r="Q77" s="332">
        <f>IFERROR(VLOOKUP(TEXT(O77,"0"),CONDUCTORES!$A$3:$H$54,6,0),"")</f>
        <v/>
      </c>
      <c r="R77" s="280" t="n"/>
      <c r="S77" s="280" t="n"/>
      <c r="T77" s="280" t="n"/>
      <c r="U77" s="280" t="n"/>
      <c r="V77" s="280" t="n"/>
      <c r="W77" s="280" t="n"/>
      <c r="X77" s="280" t="n"/>
      <c r="Y77" s="280" t="n"/>
      <c r="Z77" s="236">
        <f>IF(AND(G77&lt;&gt;"",R77&lt;&gt;"",V77&lt;&gt;"",W77&lt;&gt;""),"COMPLETADO","OBSERVADO")</f>
        <v/>
      </c>
      <c r="AA77" s="284" t="n"/>
    </row>
    <row r="78" ht="15.75" customHeight="1" s="195">
      <c r="A78" s="334" t="n"/>
      <c r="B78" s="334" t="n"/>
      <c r="C78" s="334" t="n"/>
      <c r="D78" s="334" t="n"/>
      <c r="E78" s="334" t="n"/>
      <c r="F78" s="334" t="n"/>
      <c r="G78" s="334" t="n"/>
      <c r="H78" s="334" t="n"/>
      <c r="I78" s="332">
        <f>IFERROR(VLOOKUP(TEXT(H78,"0"),IPRESS!$A$3:$B$212,2,0),"")</f>
        <v/>
      </c>
      <c r="J78" s="334" t="n"/>
      <c r="K78" s="332">
        <f>IFERROR(VLOOKUP(TEXT(O78,"0"),CONDUCTORES!$A$3:$G$54,7,0),"")</f>
        <v/>
      </c>
      <c r="L78" s="334" t="n"/>
      <c r="M78" s="334" t="n"/>
      <c r="N78" s="333">
        <f>IFERROR(IF(L78*M78=0,"",L78*M78),"")</f>
        <v/>
      </c>
      <c r="O78" s="334" t="n"/>
      <c r="P78" s="332">
        <f>IFERROR(VLOOKUP(TEXT(O78,"0"),CONDUCTORES!$A$3:$G$54,2,0),"")</f>
        <v/>
      </c>
      <c r="Q78" s="332">
        <f>IFERROR(VLOOKUP(TEXT(O78,"0"),CONDUCTORES!$A$3:$H$54,6,0),"")</f>
        <v/>
      </c>
      <c r="R78" s="334" t="n"/>
      <c r="S78" s="334" t="n"/>
      <c r="T78" s="334" t="n"/>
      <c r="U78" s="334" t="n"/>
      <c r="V78" s="334" t="n"/>
      <c r="W78" s="334" t="n"/>
      <c r="X78" s="334" t="n"/>
      <c r="Y78" s="334" t="n"/>
      <c r="Z78" s="242">
        <f>IF(AND(G78&lt;&gt;"",R78&lt;&gt;"",V78&lt;&gt;"",W78&lt;&gt;""),"COMPLETADO","OBSERVADO")</f>
        <v/>
      </c>
      <c r="AA78" s="284" t="n"/>
    </row>
    <row r="79" ht="15.75" customHeight="1" s="195">
      <c r="A79" s="280" t="n"/>
      <c r="B79" s="280" t="n"/>
      <c r="C79" s="280" t="n"/>
      <c r="D79" s="280" t="n"/>
      <c r="E79" s="280" t="n"/>
      <c r="F79" s="280" t="n"/>
      <c r="G79" s="280" t="n"/>
      <c r="H79" s="280" t="n"/>
      <c r="I79" s="332">
        <f>IFERROR(VLOOKUP(TEXT(H79,"0"),IPRESS!$A$3:$B$212,2,0),"")</f>
        <v/>
      </c>
      <c r="J79" s="280" t="n"/>
      <c r="K79" s="332">
        <f>IFERROR(VLOOKUP(TEXT(O79,"0"),CONDUCTORES!$A$3:$G$54,7,0),"")</f>
        <v/>
      </c>
      <c r="L79" s="280" t="n"/>
      <c r="M79" s="280" t="n"/>
      <c r="N79" s="333">
        <f>IFERROR(IF(L79*M79=0,"",L79*M79),"")</f>
        <v/>
      </c>
      <c r="O79" s="280" t="n"/>
      <c r="P79" s="332">
        <f>IFERROR(VLOOKUP(TEXT(O79,"0"),CONDUCTORES!$A$3:$G$54,2,0),"")</f>
        <v/>
      </c>
      <c r="Q79" s="332">
        <f>IFERROR(VLOOKUP(TEXT(O79,"0"),CONDUCTORES!$A$3:$H$54,6,0),"")</f>
        <v/>
      </c>
      <c r="R79" s="280" t="n"/>
      <c r="S79" s="280" t="n"/>
      <c r="T79" s="280" t="n"/>
      <c r="U79" s="280" t="n"/>
      <c r="V79" s="280" t="n"/>
      <c r="W79" s="280" t="n"/>
      <c r="X79" s="280" t="n"/>
      <c r="Y79" s="280" t="n"/>
      <c r="Z79" s="236">
        <f>IF(AND(G79&lt;&gt;"",R79&lt;&gt;"",V79&lt;&gt;"",W79&lt;&gt;""),"COMPLETADO","OBSERVADO")</f>
        <v/>
      </c>
      <c r="AA79" s="284" t="n"/>
    </row>
    <row r="80" ht="15.75" customHeight="1" s="195">
      <c r="A80" s="334" t="n"/>
      <c r="B80" s="334" t="n"/>
      <c r="C80" s="334" t="n"/>
      <c r="D80" s="334" t="n"/>
      <c r="E80" s="334" t="n"/>
      <c r="F80" s="334" t="n"/>
      <c r="G80" s="334" t="n"/>
      <c r="H80" s="334" t="n"/>
      <c r="I80" s="332">
        <f>IFERROR(VLOOKUP(TEXT(H80,"0"),IPRESS!$A$3:$B$212,2,0),"")</f>
        <v/>
      </c>
      <c r="J80" s="334" t="n"/>
      <c r="K80" s="332">
        <f>IFERROR(VLOOKUP(TEXT(O80,"0"),CONDUCTORES!$A$3:$G$54,7,0),"")</f>
        <v/>
      </c>
      <c r="L80" s="334" t="n"/>
      <c r="M80" s="334" t="n"/>
      <c r="N80" s="333">
        <f>IFERROR(IF(L80*M80=0,"",L80*M80),"")</f>
        <v/>
      </c>
      <c r="O80" s="334" t="n"/>
      <c r="P80" s="332">
        <f>IFERROR(VLOOKUP(TEXT(O80,"0"),CONDUCTORES!$A$3:$G$54,2,0),"")</f>
        <v/>
      </c>
      <c r="Q80" s="332">
        <f>IFERROR(VLOOKUP(TEXT(O80,"0"),CONDUCTORES!$A$3:$H$54,6,0),"")</f>
        <v/>
      </c>
      <c r="R80" s="334" t="n"/>
      <c r="S80" s="334" t="n"/>
      <c r="T80" s="334" t="n"/>
      <c r="U80" s="334" t="n"/>
      <c r="V80" s="334" t="n"/>
      <c r="W80" s="334" t="n"/>
      <c r="X80" s="334" t="n"/>
      <c r="Y80" s="334" t="n"/>
      <c r="Z80" s="242">
        <f>IF(AND(G80&lt;&gt;"",R80&lt;&gt;"",V80&lt;&gt;"",W80&lt;&gt;""),"COMPLETADO","OBSERVADO")</f>
        <v/>
      </c>
      <c r="AA80" s="284" t="n"/>
    </row>
    <row r="81" ht="15.75" customHeight="1" s="195">
      <c r="A81" s="280" t="n"/>
      <c r="B81" s="280" t="n"/>
      <c r="C81" s="280" t="n"/>
      <c r="D81" s="280" t="n"/>
      <c r="E81" s="280" t="n"/>
      <c r="F81" s="280" t="n"/>
      <c r="G81" s="280" t="n"/>
      <c r="H81" s="280" t="n"/>
      <c r="I81" s="332">
        <f>IFERROR(VLOOKUP(TEXT(H81,"0"),IPRESS!$A$3:$B$212,2,0),"")</f>
        <v/>
      </c>
      <c r="J81" s="280" t="n"/>
      <c r="K81" s="332">
        <f>IFERROR(VLOOKUP(TEXT(O81,"0"),CONDUCTORES!$A$3:$G$54,7,0),"")</f>
        <v/>
      </c>
      <c r="L81" s="280" t="n"/>
      <c r="M81" s="280" t="n"/>
      <c r="N81" s="333">
        <f>IFERROR(IF(L81*M81=0,"",L81*M81),"")</f>
        <v/>
      </c>
      <c r="O81" s="280" t="n"/>
      <c r="P81" s="332">
        <f>IFERROR(VLOOKUP(TEXT(O81,"0"),CONDUCTORES!$A$3:$G$54,2,0),"")</f>
        <v/>
      </c>
      <c r="Q81" s="332">
        <f>IFERROR(VLOOKUP(TEXT(O81,"0"),CONDUCTORES!$A$3:$H$54,6,0),"")</f>
        <v/>
      </c>
      <c r="R81" s="280" t="n"/>
      <c r="S81" s="280" t="n"/>
      <c r="T81" s="280" t="n"/>
      <c r="U81" s="280" t="n"/>
      <c r="V81" s="280" t="n"/>
      <c r="W81" s="280" t="n"/>
      <c r="X81" s="280" t="n"/>
      <c r="Y81" s="280" t="n"/>
      <c r="Z81" s="236">
        <f>IF(AND(G81&lt;&gt;"",R81&lt;&gt;"",V81&lt;&gt;"",W81&lt;&gt;""),"COMPLETADO","OBSERVADO")</f>
        <v/>
      </c>
      <c r="AA81" s="284" t="n"/>
    </row>
    <row r="82" ht="15.75" customHeight="1" s="195">
      <c r="A82" s="334" t="n"/>
      <c r="B82" s="334" t="n"/>
      <c r="C82" s="334" t="n"/>
      <c r="D82" s="334" t="n"/>
      <c r="E82" s="334" t="n"/>
      <c r="F82" s="334" t="n"/>
      <c r="G82" s="334" t="n"/>
      <c r="H82" s="334" t="n"/>
      <c r="I82" s="332">
        <f>IFERROR(VLOOKUP(TEXT(H82,"0"),IPRESS!$A$3:$B$212,2,0),"")</f>
        <v/>
      </c>
      <c r="J82" s="334" t="n"/>
      <c r="K82" s="332">
        <f>IFERROR(VLOOKUP(TEXT(O82,"0"),CONDUCTORES!$A$3:$G$54,7,0),"")</f>
        <v/>
      </c>
      <c r="L82" s="334" t="n"/>
      <c r="M82" s="334" t="n"/>
      <c r="N82" s="333">
        <f>IFERROR(IF(L82*M82=0,"",L82*M82),"")</f>
        <v/>
      </c>
      <c r="O82" s="334" t="n"/>
      <c r="P82" s="332">
        <f>IFERROR(VLOOKUP(TEXT(O82,"0"),CONDUCTORES!$A$3:$G$54,2,0),"")</f>
        <v/>
      </c>
      <c r="Q82" s="332">
        <f>IFERROR(VLOOKUP(TEXT(O82,"0"),CONDUCTORES!$A$3:$H$54,6,0),"")</f>
        <v/>
      </c>
      <c r="R82" s="334" t="n"/>
      <c r="S82" s="334" t="n"/>
      <c r="T82" s="334" t="n"/>
      <c r="U82" s="334" t="n"/>
      <c r="V82" s="334" t="n"/>
      <c r="W82" s="334" t="n"/>
      <c r="X82" s="334" t="n"/>
      <c r="Y82" s="334" t="n"/>
      <c r="Z82" s="242">
        <f>IF(AND(G82&lt;&gt;"",R82&lt;&gt;"",V82&lt;&gt;"",W82&lt;&gt;""),"COMPLETADO","OBSERVADO")</f>
        <v/>
      </c>
      <c r="AA82" s="284" t="n"/>
    </row>
    <row r="83" ht="15.75" customHeight="1" s="195">
      <c r="A83" s="280" t="n"/>
      <c r="B83" s="280" t="n"/>
      <c r="C83" s="280" t="n"/>
      <c r="D83" s="280" t="n"/>
      <c r="E83" s="280" t="n"/>
      <c r="F83" s="280" t="n"/>
      <c r="G83" s="280" t="n"/>
      <c r="H83" s="280" t="n"/>
      <c r="I83" s="332">
        <f>IFERROR(VLOOKUP(TEXT(H83,"0"),IPRESS!$A$3:$B$212,2,0),"")</f>
        <v/>
      </c>
      <c r="J83" s="280" t="n"/>
      <c r="K83" s="332">
        <f>IFERROR(VLOOKUP(TEXT(O83,"0"),CONDUCTORES!$A$3:$G$54,7,0),"")</f>
        <v/>
      </c>
      <c r="L83" s="280" t="n"/>
      <c r="M83" s="280" t="n"/>
      <c r="N83" s="333">
        <f>IFERROR(IF(L83*M83=0,"",L83*M83),"")</f>
        <v/>
      </c>
      <c r="O83" s="280" t="n"/>
      <c r="P83" s="332">
        <f>IFERROR(VLOOKUP(TEXT(O83,"0"),CONDUCTORES!$A$3:$G$54,2,0),"")</f>
        <v/>
      </c>
      <c r="Q83" s="332">
        <f>IFERROR(VLOOKUP(TEXT(O83,"0"),CONDUCTORES!$A$3:$H$54,6,0),"")</f>
        <v/>
      </c>
      <c r="R83" s="280" t="n"/>
      <c r="S83" s="280" t="n"/>
      <c r="T83" s="280" t="n"/>
      <c r="U83" s="280" t="n"/>
      <c r="V83" s="280" t="n"/>
      <c r="W83" s="280" t="n"/>
      <c r="X83" s="280" t="n"/>
      <c r="Y83" s="280" t="n"/>
      <c r="Z83" s="236">
        <f>IF(AND(G83&lt;&gt;"",R83&lt;&gt;"",V83&lt;&gt;"",W83&lt;&gt;""),"COMPLETADO","OBSERVADO")</f>
        <v/>
      </c>
      <c r="AA83" s="284" t="n"/>
    </row>
    <row r="84" ht="15.75" customHeight="1" s="195">
      <c r="A84" s="334" t="n"/>
      <c r="B84" s="334" t="n"/>
      <c r="C84" s="334" t="n"/>
      <c r="D84" s="334" t="n"/>
      <c r="E84" s="334" t="n"/>
      <c r="F84" s="334" t="n"/>
      <c r="G84" s="334" t="n"/>
      <c r="H84" s="334" t="n"/>
      <c r="I84" s="332">
        <f>IFERROR(VLOOKUP(TEXT(H84,"0"),IPRESS!$A$3:$B$212,2,0),"")</f>
        <v/>
      </c>
      <c r="J84" s="334" t="n"/>
      <c r="K84" s="332">
        <f>IFERROR(VLOOKUP(TEXT(O84,"0"),CONDUCTORES!$A$3:$G$54,7,0),"")</f>
        <v/>
      </c>
      <c r="L84" s="334" t="n"/>
      <c r="M84" s="334" t="n"/>
      <c r="N84" s="333">
        <f>IFERROR(IF(L84*M84=0,"",L84*M84),"")</f>
        <v/>
      </c>
      <c r="O84" s="334" t="n"/>
      <c r="P84" s="332">
        <f>IFERROR(VLOOKUP(TEXT(O84,"0"),CONDUCTORES!$A$3:$G$54,2,0),"")</f>
        <v/>
      </c>
      <c r="Q84" s="332">
        <f>IFERROR(VLOOKUP(TEXT(O84,"0"),CONDUCTORES!$A$3:$H$54,6,0),"")</f>
        <v/>
      </c>
      <c r="R84" s="334" t="n"/>
      <c r="S84" s="334" t="n"/>
      <c r="T84" s="334" t="n"/>
      <c r="U84" s="334" t="n"/>
      <c r="V84" s="334" t="n"/>
      <c r="W84" s="334" t="n"/>
      <c r="X84" s="334" t="n"/>
      <c r="Y84" s="334" t="n"/>
      <c r="Z84" s="242">
        <f>IF(AND(G84&lt;&gt;"",R84&lt;&gt;"",V84&lt;&gt;"",W84&lt;&gt;""),"COMPLETADO","OBSERVADO")</f>
        <v/>
      </c>
      <c r="AA84" s="284" t="n"/>
    </row>
    <row r="85" ht="15.75" customHeight="1" s="195">
      <c r="A85" s="280" t="n"/>
      <c r="B85" s="280" t="n"/>
      <c r="C85" s="280" t="n"/>
      <c r="D85" s="280" t="n"/>
      <c r="E85" s="280" t="n"/>
      <c r="F85" s="280" t="n"/>
      <c r="G85" s="280" t="n"/>
      <c r="H85" s="280" t="n"/>
      <c r="I85" s="332">
        <f>IFERROR(VLOOKUP(TEXT(H85,"0"),IPRESS!$A$3:$B$212,2,0),"")</f>
        <v/>
      </c>
      <c r="J85" s="280" t="n"/>
      <c r="K85" s="332">
        <f>IFERROR(VLOOKUP(TEXT(O85,"0"),CONDUCTORES!$A$3:$G$54,7,0),"")</f>
        <v/>
      </c>
      <c r="L85" s="280" t="n"/>
      <c r="M85" s="280" t="n"/>
      <c r="N85" s="333">
        <f>IFERROR(IF(L85*M85=0,"",L85*M85),"")</f>
        <v/>
      </c>
      <c r="O85" s="280" t="n"/>
      <c r="P85" s="332">
        <f>IFERROR(VLOOKUP(TEXT(O85,"0"),CONDUCTORES!$A$3:$G$54,2,0),"")</f>
        <v/>
      </c>
      <c r="Q85" s="332">
        <f>IFERROR(VLOOKUP(TEXT(O85,"0"),CONDUCTORES!$A$3:$H$54,6,0),"")</f>
        <v/>
      </c>
      <c r="R85" s="280" t="n"/>
      <c r="S85" s="280" t="n"/>
      <c r="T85" s="280" t="n"/>
      <c r="U85" s="280" t="n"/>
      <c r="V85" s="280" t="n"/>
      <c r="W85" s="280" t="n"/>
      <c r="X85" s="280" t="n"/>
      <c r="Y85" s="280" t="n"/>
      <c r="Z85" s="236">
        <f>IF(AND(G85&lt;&gt;"",R85&lt;&gt;"",V85&lt;&gt;"",W85&lt;&gt;""),"COMPLETADO","OBSERVADO")</f>
        <v/>
      </c>
      <c r="AA85" s="284" t="n"/>
    </row>
    <row r="86" ht="15.75" customHeight="1" s="195">
      <c r="A86" s="334" t="n"/>
      <c r="B86" s="334" t="n"/>
      <c r="C86" s="334" t="n"/>
      <c r="D86" s="334" t="n"/>
      <c r="E86" s="334" t="n"/>
      <c r="F86" s="334" t="n"/>
      <c r="G86" s="334" t="n"/>
      <c r="H86" s="334" t="n"/>
      <c r="I86" s="332">
        <f>IFERROR(VLOOKUP(TEXT(H86,"0"),IPRESS!$A$3:$B$212,2,0),"")</f>
        <v/>
      </c>
      <c r="J86" s="334" t="n"/>
      <c r="K86" s="332">
        <f>IFERROR(VLOOKUP(TEXT(O86,"0"),CONDUCTORES!$A$3:$G$54,7,0),"")</f>
        <v/>
      </c>
      <c r="L86" s="334" t="n"/>
      <c r="M86" s="334" t="n"/>
      <c r="N86" s="333">
        <f>IFERROR(IF(L86*M86=0,"",L86*M86),"")</f>
        <v/>
      </c>
      <c r="O86" s="334" t="n"/>
      <c r="P86" s="332">
        <f>IFERROR(VLOOKUP(TEXT(O86,"0"),CONDUCTORES!$A$3:$G$54,2,0),"")</f>
        <v/>
      </c>
      <c r="Q86" s="332">
        <f>IFERROR(VLOOKUP(TEXT(O86,"0"),CONDUCTORES!$A$3:$H$54,6,0),"")</f>
        <v/>
      </c>
      <c r="R86" s="334" t="n"/>
      <c r="S86" s="334" t="n"/>
      <c r="T86" s="334" t="n"/>
      <c r="U86" s="334" t="n"/>
      <c r="V86" s="334" t="n"/>
      <c r="W86" s="334" t="n"/>
      <c r="X86" s="334" t="n"/>
      <c r="Y86" s="334" t="n"/>
      <c r="Z86" s="242">
        <f>IF(AND(G86&lt;&gt;"",R86&lt;&gt;"",V86&lt;&gt;"",W86&lt;&gt;""),"COMPLETADO","OBSERVADO")</f>
        <v/>
      </c>
      <c r="AA86" s="284" t="n"/>
    </row>
    <row r="87" ht="15.75" customHeight="1" s="195">
      <c r="A87" s="280" t="n"/>
      <c r="B87" s="280" t="n"/>
      <c r="C87" s="280" t="n"/>
      <c r="D87" s="280" t="n"/>
      <c r="E87" s="280" t="n"/>
      <c r="F87" s="280" t="n"/>
      <c r="G87" s="280" t="n"/>
      <c r="H87" s="280" t="n"/>
      <c r="I87" s="332">
        <f>IFERROR(VLOOKUP(TEXT(H87,"0"),IPRESS!$A$3:$B$212,2,0),"")</f>
        <v/>
      </c>
      <c r="J87" s="280" t="n"/>
      <c r="K87" s="332">
        <f>IFERROR(VLOOKUP(TEXT(O87,"0"),CONDUCTORES!$A$3:$G$54,7,0),"")</f>
        <v/>
      </c>
      <c r="L87" s="280" t="n"/>
      <c r="M87" s="280" t="n"/>
      <c r="N87" s="333">
        <f>IFERROR(IF(L87*M87=0,"",L87*M87),"")</f>
        <v/>
      </c>
      <c r="O87" s="280" t="n"/>
      <c r="P87" s="332">
        <f>IFERROR(VLOOKUP(TEXT(O87,"0"),CONDUCTORES!$A$3:$G$54,2,0),"")</f>
        <v/>
      </c>
      <c r="Q87" s="332">
        <f>IFERROR(VLOOKUP(TEXT(O87,"0"),CONDUCTORES!$A$3:$H$54,6,0),"")</f>
        <v/>
      </c>
      <c r="R87" s="280" t="n"/>
      <c r="S87" s="280" t="n"/>
      <c r="T87" s="280" t="n"/>
      <c r="U87" s="280" t="n"/>
      <c r="V87" s="280" t="n"/>
      <c r="W87" s="280" t="n"/>
      <c r="X87" s="280" t="n"/>
      <c r="Y87" s="280" t="n"/>
      <c r="Z87" s="236">
        <f>IF(AND(G87&lt;&gt;"",R87&lt;&gt;"",V87&lt;&gt;"",W87&lt;&gt;""),"COMPLETADO","OBSERVADO")</f>
        <v/>
      </c>
      <c r="AA87" s="284" t="n"/>
    </row>
    <row r="88" ht="15.75" customHeight="1" s="195">
      <c r="A88" s="334" t="n"/>
      <c r="B88" s="334" t="n"/>
      <c r="C88" s="334" t="n"/>
      <c r="D88" s="334" t="n"/>
      <c r="E88" s="334" t="n"/>
      <c r="F88" s="334" t="n"/>
      <c r="G88" s="334" t="n"/>
      <c r="H88" s="334" t="n"/>
      <c r="I88" s="332">
        <f>IFERROR(VLOOKUP(TEXT(H88,"0"),IPRESS!$A$3:$B$212,2,0),"")</f>
        <v/>
      </c>
      <c r="J88" s="334" t="n"/>
      <c r="K88" s="332">
        <f>IFERROR(VLOOKUP(TEXT(O88,"0"),CONDUCTORES!$A$3:$G$54,7,0),"")</f>
        <v/>
      </c>
      <c r="L88" s="334" t="n"/>
      <c r="M88" s="334" t="n"/>
      <c r="N88" s="333">
        <f>IFERROR(IF(L88*M88=0,"",L88*M88),"")</f>
        <v/>
      </c>
      <c r="O88" s="334" t="n"/>
      <c r="P88" s="332">
        <f>IFERROR(VLOOKUP(TEXT(O88,"0"),CONDUCTORES!$A$3:$G$54,2,0),"")</f>
        <v/>
      </c>
      <c r="Q88" s="332">
        <f>IFERROR(VLOOKUP(TEXT(O88,"0"),CONDUCTORES!$A$3:$H$54,6,0),"")</f>
        <v/>
      </c>
      <c r="R88" s="334" t="n"/>
      <c r="S88" s="334" t="n"/>
      <c r="T88" s="334" t="n"/>
      <c r="U88" s="334" t="n"/>
      <c r="V88" s="334" t="n"/>
      <c r="W88" s="334" t="n"/>
      <c r="X88" s="334" t="n"/>
      <c r="Y88" s="334" t="n"/>
      <c r="Z88" s="242">
        <f>IF(AND(G88&lt;&gt;"",R88&lt;&gt;"",V88&lt;&gt;"",W88&lt;&gt;""),"COMPLETADO","OBSERVADO")</f>
        <v/>
      </c>
      <c r="AA88" s="284" t="n"/>
    </row>
    <row r="89" ht="15.75" customHeight="1" s="195">
      <c r="A89" s="280" t="n"/>
      <c r="B89" s="280" t="n"/>
      <c r="C89" s="280" t="n"/>
      <c r="D89" s="280" t="n"/>
      <c r="E89" s="280" t="n"/>
      <c r="F89" s="280" t="n"/>
      <c r="G89" s="280" t="n"/>
      <c r="H89" s="280" t="n"/>
      <c r="I89" s="332">
        <f>IFERROR(VLOOKUP(TEXT(H89,"0"),IPRESS!$A$3:$B$212,2,0),"")</f>
        <v/>
      </c>
      <c r="J89" s="280" t="n"/>
      <c r="K89" s="332">
        <f>IFERROR(VLOOKUP(TEXT(O89,"0"),CONDUCTORES!$A$3:$G$54,7,0),"")</f>
        <v/>
      </c>
      <c r="L89" s="280" t="n"/>
      <c r="M89" s="280" t="n"/>
      <c r="N89" s="333">
        <f>IFERROR(IF(L89*M89=0,"",L89*M89),"")</f>
        <v/>
      </c>
      <c r="O89" s="280" t="n"/>
      <c r="P89" s="332">
        <f>IFERROR(VLOOKUP(TEXT(O89,"0"),CONDUCTORES!$A$3:$G$54,2,0),"")</f>
        <v/>
      </c>
      <c r="Q89" s="332">
        <f>IFERROR(VLOOKUP(TEXT(O89,"0"),CONDUCTORES!$A$3:$H$54,6,0),"")</f>
        <v/>
      </c>
      <c r="R89" s="280" t="n"/>
      <c r="S89" s="280" t="n"/>
      <c r="T89" s="280" t="n"/>
      <c r="U89" s="280" t="n"/>
      <c r="V89" s="280" t="n"/>
      <c r="W89" s="280" t="n"/>
      <c r="X89" s="280" t="n"/>
      <c r="Y89" s="280" t="n"/>
      <c r="Z89" s="236">
        <f>IF(AND(G89&lt;&gt;"",R89&lt;&gt;"",V89&lt;&gt;"",W89&lt;&gt;""),"COMPLETADO","OBSERVADO")</f>
        <v/>
      </c>
      <c r="AA89" s="284" t="n"/>
    </row>
    <row r="90" ht="15.75" customHeight="1" s="195">
      <c r="A90" s="334" t="n"/>
      <c r="B90" s="334" t="n"/>
      <c r="C90" s="334" t="n"/>
      <c r="D90" s="334" t="n"/>
      <c r="E90" s="334" t="n"/>
      <c r="F90" s="334" t="n"/>
      <c r="G90" s="334" t="n"/>
      <c r="H90" s="334" t="n"/>
      <c r="I90" s="332">
        <f>IFERROR(VLOOKUP(TEXT(H90,"0"),IPRESS!$A$3:$B$212,2,0),"")</f>
        <v/>
      </c>
      <c r="J90" s="334" t="n"/>
      <c r="K90" s="332">
        <f>IFERROR(VLOOKUP(TEXT(O90,"0"),CONDUCTORES!$A$3:$G$54,7,0),"")</f>
        <v/>
      </c>
      <c r="L90" s="334" t="n"/>
      <c r="M90" s="334" t="n"/>
      <c r="N90" s="333">
        <f>IFERROR(IF(L90*M90=0,"",L90*M90),"")</f>
        <v/>
      </c>
      <c r="O90" s="334" t="n"/>
      <c r="P90" s="332">
        <f>IFERROR(VLOOKUP(TEXT(O90,"0"),CONDUCTORES!$A$3:$G$54,2,0),"")</f>
        <v/>
      </c>
      <c r="Q90" s="332">
        <f>IFERROR(VLOOKUP(TEXT(O90,"0"),CONDUCTORES!$A$3:$H$54,6,0),"")</f>
        <v/>
      </c>
      <c r="R90" s="334" t="n"/>
      <c r="S90" s="334" t="n"/>
      <c r="T90" s="334" t="n"/>
      <c r="U90" s="334" t="n"/>
      <c r="V90" s="334" t="n"/>
      <c r="W90" s="334" t="n"/>
      <c r="X90" s="334" t="n"/>
      <c r="Y90" s="334" t="n"/>
      <c r="Z90" s="242">
        <f>IF(AND(G90&lt;&gt;"",R90&lt;&gt;"",V90&lt;&gt;"",W90&lt;&gt;""),"COMPLETADO","OBSERVADO")</f>
        <v/>
      </c>
      <c r="AA90" s="284" t="n"/>
    </row>
    <row r="91" ht="15.75" customHeight="1" s="195">
      <c r="A91" s="280" t="n"/>
      <c r="B91" s="280" t="n"/>
      <c r="C91" s="280" t="n"/>
      <c r="D91" s="280" t="n"/>
      <c r="E91" s="280" t="n"/>
      <c r="F91" s="280" t="n"/>
      <c r="G91" s="280" t="n"/>
      <c r="H91" s="280" t="n"/>
      <c r="I91" s="332">
        <f>IFERROR(VLOOKUP(TEXT(H91,"0"),IPRESS!$A$3:$B$212,2,0),"")</f>
        <v/>
      </c>
      <c r="J91" s="280" t="n"/>
      <c r="K91" s="332">
        <f>IFERROR(VLOOKUP(TEXT(O91,"0"),CONDUCTORES!$A$3:$G$54,7,0),"")</f>
        <v/>
      </c>
      <c r="L91" s="280" t="n"/>
      <c r="M91" s="280" t="n"/>
      <c r="N91" s="333">
        <f>IFERROR(IF(L91*M91=0,"",L91*M91),"")</f>
        <v/>
      </c>
      <c r="O91" s="280" t="n"/>
      <c r="P91" s="332">
        <f>IFERROR(VLOOKUP(TEXT(O91,"0"),CONDUCTORES!$A$3:$G$54,2,0),"")</f>
        <v/>
      </c>
      <c r="Q91" s="332">
        <f>IFERROR(VLOOKUP(TEXT(O91,"0"),CONDUCTORES!$A$3:$H$54,6,0),"")</f>
        <v/>
      </c>
      <c r="R91" s="280" t="n"/>
      <c r="S91" s="280" t="n"/>
      <c r="T91" s="280" t="n"/>
      <c r="U91" s="280" t="n"/>
      <c r="V91" s="280" t="n"/>
      <c r="W91" s="280" t="n"/>
      <c r="X91" s="280" t="n"/>
      <c r="Y91" s="280" t="n"/>
      <c r="Z91" s="236">
        <f>IF(AND(G91&lt;&gt;"",R91&lt;&gt;"",V91&lt;&gt;"",W91&lt;&gt;""),"COMPLETADO","OBSERVADO")</f>
        <v/>
      </c>
      <c r="AA91" s="284" t="n"/>
    </row>
    <row r="92" ht="15.75" customHeight="1" s="195">
      <c r="A92" s="334" t="n"/>
      <c r="B92" s="334" t="n"/>
      <c r="C92" s="334" t="n"/>
      <c r="D92" s="334" t="n"/>
      <c r="E92" s="334" t="n"/>
      <c r="F92" s="334" t="n"/>
      <c r="G92" s="334" t="n"/>
      <c r="H92" s="334" t="n"/>
      <c r="I92" s="332">
        <f>IFERROR(VLOOKUP(TEXT(H92,"0"),IPRESS!$A$3:$B$212,2,0),"")</f>
        <v/>
      </c>
      <c r="J92" s="334" t="n"/>
      <c r="K92" s="332">
        <f>IFERROR(VLOOKUP(TEXT(O92,"0"),CONDUCTORES!$A$3:$G$54,7,0),"")</f>
        <v/>
      </c>
      <c r="L92" s="334" t="n"/>
      <c r="M92" s="334" t="n"/>
      <c r="N92" s="333">
        <f>IFERROR(IF(L92*M92=0,"",L92*M92),"")</f>
        <v/>
      </c>
      <c r="O92" s="334" t="n"/>
      <c r="P92" s="332">
        <f>IFERROR(VLOOKUP(TEXT(O92,"0"),CONDUCTORES!$A$3:$G$54,2,0),"")</f>
        <v/>
      </c>
      <c r="Q92" s="332">
        <f>IFERROR(VLOOKUP(TEXT(O92,"0"),CONDUCTORES!$A$3:$H$54,6,0),"")</f>
        <v/>
      </c>
      <c r="R92" s="334" t="n"/>
      <c r="S92" s="334" t="n"/>
      <c r="T92" s="334" t="n"/>
      <c r="U92" s="334" t="n"/>
      <c r="V92" s="334" t="n"/>
      <c r="W92" s="334" t="n"/>
      <c r="X92" s="334" t="n"/>
      <c r="Y92" s="334" t="n"/>
      <c r="Z92" s="242">
        <f>IF(AND(G92&lt;&gt;"",R92&lt;&gt;"",V92&lt;&gt;"",W92&lt;&gt;""),"COMPLETADO","OBSERVADO")</f>
        <v/>
      </c>
      <c r="AA92" s="284" t="n"/>
    </row>
    <row r="93" ht="15.75" customHeight="1" s="195">
      <c r="A93" s="280" t="n"/>
      <c r="B93" s="280" t="n"/>
      <c r="C93" s="280" t="n"/>
      <c r="D93" s="280" t="n"/>
      <c r="E93" s="280" t="n"/>
      <c r="F93" s="280" t="n"/>
      <c r="G93" s="280" t="n"/>
      <c r="H93" s="280" t="n"/>
      <c r="I93" s="332">
        <f>IFERROR(VLOOKUP(TEXT(H93,"0"),IPRESS!$A$3:$B$212,2,0),"")</f>
        <v/>
      </c>
      <c r="J93" s="280" t="n"/>
      <c r="K93" s="332">
        <f>IFERROR(VLOOKUP(TEXT(O93,"0"),CONDUCTORES!$A$3:$G$54,7,0),"")</f>
        <v/>
      </c>
      <c r="L93" s="280" t="n"/>
      <c r="M93" s="280" t="n"/>
      <c r="N93" s="333">
        <f>IFERROR(IF(L93*M93=0,"",L93*M93),"")</f>
        <v/>
      </c>
      <c r="O93" s="280" t="n"/>
      <c r="P93" s="332">
        <f>IFERROR(VLOOKUP(TEXT(O93,"0"),CONDUCTORES!$A$3:$G$54,2,0),"")</f>
        <v/>
      </c>
      <c r="Q93" s="332">
        <f>IFERROR(VLOOKUP(TEXT(O93,"0"),CONDUCTORES!$A$3:$H$54,6,0),"")</f>
        <v/>
      </c>
      <c r="R93" s="280" t="n"/>
      <c r="S93" s="280" t="n"/>
      <c r="T93" s="280" t="n"/>
      <c r="U93" s="280" t="n"/>
      <c r="V93" s="280" t="n"/>
      <c r="W93" s="280" t="n"/>
      <c r="X93" s="280" t="n"/>
      <c r="Y93" s="280" t="n"/>
      <c r="Z93" s="236">
        <f>IF(AND(G93&lt;&gt;"",R93&lt;&gt;"",V93&lt;&gt;"",W93&lt;&gt;""),"COMPLETADO","OBSERVADO")</f>
        <v/>
      </c>
      <c r="AA93" s="284" t="n"/>
    </row>
    <row r="94" ht="15.75" customHeight="1" s="195">
      <c r="A94" s="334" t="n"/>
      <c r="B94" s="334" t="n"/>
      <c r="C94" s="334" t="n"/>
      <c r="D94" s="334" t="n"/>
      <c r="E94" s="334" t="n"/>
      <c r="F94" s="334" t="n"/>
      <c r="G94" s="334" t="n"/>
      <c r="H94" s="334" t="n"/>
      <c r="I94" s="332">
        <f>IFERROR(VLOOKUP(TEXT(H94,"0"),IPRESS!$A$3:$B$212,2,0),"")</f>
        <v/>
      </c>
      <c r="J94" s="334" t="n"/>
      <c r="K94" s="332">
        <f>IFERROR(VLOOKUP(TEXT(O94,"0"),CONDUCTORES!$A$3:$G$54,7,0),"")</f>
        <v/>
      </c>
      <c r="L94" s="334" t="n"/>
      <c r="M94" s="334" t="n"/>
      <c r="N94" s="333">
        <f>IFERROR(IF(L94*M94=0,"",L94*M94),"")</f>
        <v/>
      </c>
      <c r="O94" s="334" t="n"/>
      <c r="P94" s="332">
        <f>IFERROR(VLOOKUP(TEXT(O94,"0"),CONDUCTORES!$A$3:$G$54,2,0),"")</f>
        <v/>
      </c>
      <c r="Q94" s="332">
        <f>IFERROR(VLOOKUP(TEXT(O94,"0"),CONDUCTORES!$A$3:$H$54,6,0),"")</f>
        <v/>
      </c>
      <c r="R94" s="334" t="n"/>
      <c r="S94" s="334" t="n"/>
      <c r="T94" s="334" t="n"/>
      <c r="U94" s="334" t="n"/>
      <c r="V94" s="334" t="n"/>
      <c r="W94" s="334" t="n"/>
      <c r="X94" s="334" t="n"/>
      <c r="Y94" s="334" t="n"/>
      <c r="Z94" s="242">
        <f>IF(AND(G94&lt;&gt;"",R94&lt;&gt;"",V94&lt;&gt;"",W94&lt;&gt;""),"COMPLETADO","OBSERVADO")</f>
        <v/>
      </c>
      <c r="AA94" s="284" t="n"/>
    </row>
    <row r="95" ht="15.75" customHeight="1" s="195">
      <c r="A95" s="280" t="n"/>
      <c r="B95" s="280" t="n"/>
      <c r="C95" s="280" t="n"/>
      <c r="D95" s="280" t="n"/>
      <c r="E95" s="280" t="n"/>
      <c r="F95" s="280" t="n"/>
      <c r="G95" s="280" t="n"/>
      <c r="H95" s="280" t="n"/>
      <c r="I95" s="332">
        <f>IFERROR(VLOOKUP(TEXT(H95,"0"),IPRESS!$A$3:$B$212,2,0),"")</f>
        <v/>
      </c>
      <c r="J95" s="280" t="n"/>
      <c r="K95" s="332">
        <f>IFERROR(VLOOKUP(TEXT(O95,"0"),CONDUCTORES!$A$3:$G$54,7,0),"")</f>
        <v/>
      </c>
      <c r="L95" s="280" t="n"/>
      <c r="M95" s="280" t="n"/>
      <c r="N95" s="333">
        <f>IFERROR(IF(L95*M95=0,"",L95*M95),"")</f>
        <v/>
      </c>
      <c r="O95" s="280" t="n"/>
      <c r="P95" s="332">
        <f>IFERROR(VLOOKUP(TEXT(O95,"0"),CONDUCTORES!$A$3:$G$54,2,0),"")</f>
        <v/>
      </c>
      <c r="Q95" s="332">
        <f>IFERROR(VLOOKUP(TEXT(O95,"0"),CONDUCTORES!$A$3:$H$54,6,0),"")</f>
        <v/>
      </c>
      <c r="R95" s="280" t="n"/>
      <c r="S95" s="280" t="n"/>
      <c r="T95" s="280" t="n"/>
      <c r="U95" s="280" t="n"/>
      <c r="V95" s="280" t="n"/>
      <c r="W95" s="280" t="n"/>
      <c r="X95" s="280" t="n"/>
      <c r="Y95" s="280" t="n"/>
      <c r="Z95" s="236">
        <f>IF(AND(G95&lt;&gt;"",R95&lt;&gt;"",V95&lt;&gt;"",W95&lt;&gt;""),"COMPLETADO","OBSERVADO")</f>
        <v/>
      </c>
      <c r="AA95" s="284" t="n"/>
    </row>
    <row r="96" ht="15.75" customHeight="1" s="195">
      <c r="A96" s="334" t="n"/>
      <c r="B96" s="334" t="n"/>
      <c r="C96" s="334" t="n"/>
      <c r="D96" s="334" t="n"/>
      <c r="E96" s="334" t="n"/>
      <c r="F96" s="334" t="n"/>
      <c r="G96" s="334" t="n"/>
      <c r="H96" s="334" t="n"/>
      <c r="I96" s="332">
        <f>IFERROR(VLOOKUP(TEXT(H96,"0"),IPRESS!$A$3:$B$212,2,0),"")</f>
        <v/>
      </c>
      <c r="J96" s="334" t="n"/>
      <c r="K96" s="332">
        <f>IFERROR(VLOOKUP(TEXT(O96,"0"),CONDUCTORES!$A$3:$G$54,7,0),"")</f>
        <v/>
      </c>
      <c r="L96" s="334" t="n"/>
      <c r="M96" s="334" t="n"/>
      <c r="N96" s="333">
        <f>IFERROR(IF(L96*M96=0,"",L96*M96),"")</f>
        <v/>
      </c>
      <c r="O96" s="334" t="n"/>
      <c r="P96" s="332">
        <f>IFERROR(VLOOKUP(TEXT(O96,"0"),CONDUCTORES!$A$3:$G$54,2,0),"")</f>
        <v/>
      </c>
      <c r="Q96" s="332">
        <f>IFERROR(VLOOKUP(TEXT(O96,"0"),CONDUCTORES!$A$3:$H$54,6,0),"")</f>
        <v/>
      </c>
      <c r="R96" s="334" t="n"/>
      <c r="S96" s="334" t="n"/>
      <c r="T96" s="334" t="n"/>
      <c r="U96" s="334" t="n"/>
      <c r="V96" s="334" t="n"/>
      <c r="W96" s="334" t="n"/>
      <c r="X96" s="334" t="n"/>
      <c r="Y96" s="334" t="n"/>
      <c r="Z96" s="242">
        <f>IF(AND(G96&lt;&gt;"",R96&lt;&gt;"",V96&lt;&gt;"",W96&lt;&gt;""),"COMPLETADO","OBSERVADO")</f>
        <v/>
      </c>
      <c r="AA96" s="284" t="n"/>
    </row>
    <row r="97" ht="15.75" customHeight="1" s="195">
      <c r="A97" s="280" t="n"/>
      <c r="B97" s="280" t="n"/>
      <c r="C97" s="280" t="n"/>
      <c r="D97" s="280" t="n"/>
      <c r="E97" s="280" t="n"/>
      <c r="F97" s="280" t="n"/>
      <c r="G97" s="280" t="n"/>
      <c r="H97" s="280" t="n"/>
      <c r="I97" s="332">
        <f>IFERROR(VLOOKUP(TEXT(H97,"0"),IPRESS!$A$3:$B$212,2,0),"")</f>
        <v/>
      </c>
      <c r="J97" s="280" t="n"/>
      <c r="K97" s="332">
        <f>IFERROR(VLOOKUP(TEXT(O97,"0"),CONDUCTORES!$A$3:$G$54,7,0),"")</f>
        <v/>
      </c>
      <c r="L97" s="280" t="n"/>
      <c r="M97" s="280" t="n"/>
      <c r="N97" s="333">
        <f>IFERROR(IF(L97*M97=0,"",L97*M97),"")</f>
        <v/>
      </c>
      <c r="O97" s="280" t="n"/>
      <c r="P97" s="332">
        <f>IFERROR(VLOOKUP(TEXT(O97,"0"),CONDUCTORES!$A$3:$G$54,2,0),"")</f>
        <v/>
      </c>
      <c r="Q97" s="332">
        <f>IFERROR(VLOOKUP(TEXT(O97,"0"),CONDUCTORES!$A$3:$H$54,6,0),"")</f>
        <v/>
      </c>
      <c r="R97" s="280" t="n"/>
      <c r="S97" s="280" t="n"/>
      <c r="T97" s="280" t="n"/>
      <c r="U97" s="280" t="n"/>
      <c r="V97" s="280" t="n"/>
      <c r="W97" s="280" t="n"/>
      <c r="X97" s="280" t="n"/>
      <c r="Y97" s="280" t="n"/>
      <c r="Z97" s="236">
        <f>IF(AND(G97&lt;&gt;"",R97&lt;&gt;"",V97&lt;&gt;"",W97&lt;&gt;""),"COMPLETADO","OBSERVADO")</f>
        <v/>
      </c>
      <c r="AA97" s="284" t="n"/>
    </row>
    <row r="98" ht="15.75" customHeight="1" s="195">
      <c r="A98" s="334" t="n"/>
      <c r="B98" s="334" t="n"/>
      <c r="C98" s="334" t="n"/>
      <c r="D98" s="334" t="n"/>
      <c r="E98" s="334" t="n"/>
      <c r="F98" s="334" t="n"/>
      <c r="G98" s="334" t="n"/>
      <c r="H98" s="334" t="n"/>
      <c r="I98" s="332">
        <f>IFERROR(VLOOKUP(TEXT(H98,"0"),IPRESS!$A$3:$B$212,2,0),"")</f>
        <v/>
      </c>
      <c r="J98" s="334" t="n"/>
      <c r="K98" s="332">
        <f>IFERROR(VLOOKUP(TEXT(O98,"0"),CONDUCTORES!$A$3:$G$54,7,0),"")</f>
        <v/>
      </c>
      <c r="L98" s="334" t="n"/>
      <c r="M98" s="334" t="n"/>
      <c r="N98" s="333">
        <f>IFERROR(IF(L98*M98=0,"",L98*M98),"")</f>
        <v/>
      </c>
      <c r="O98" s="334" t="n"/>
      <c r="P98" s="332">
        <f>IFERROR(VLOOKUP(TEXT(O98,"0"),CONDUCTORES!$A$3:$G$54,2,0),"")</f>
        <v/>
      </c>
      <c r="Q98" s="332">
        <f>IFERROR(VLOOKUP(TEXT(O98,"0"),CONDUCTORES!$A$3:$H$54,6,0),"")</f>
        <v/>
      </c>
      <c r="R98" s="334" t="n"/>
      <c r="S98" s="334" t="n"/>
      <c r="T98" s="334" t="n"/>
      <c r="U98" s="334" t="n"/>
      <c r="V98" s="334" t="n"/>
      <c r="W98" s="334" t="n"/>
      <c r="X98" s="334" t="n"/>
      <c r="Y98" s="334" t="n"/>
      <c r="Z98" s="242">
        <f>IF(AND(G98&lt;&gt;"",R98&lt;&gt;"",V98&lt;&gt;"",W98&lt;&gt;""),"COMPLETADO","OBSERVADO")</f>
        <v/>
      </c>
      <c r="AA98" s="284" t="n"/>
    </row>
    <row r="99" ht="15.75" customHeight="1" s="195">
      <c r="A99" s="280" t="n"/>
      <c r="B99" s="280" t="n"/>
      <c r="C99" s="280" t="n"/>
      <c r="D99" s="280" t="n"/>
      <c r="E99" s="280" t="n"/>
      <c r="F99" s="280" t="n"/>
      <c r="G99" s="280" t="n"/>
      <c r="H99" s="280" t="n"/>
      <c r="I99" s="332">
        <f>IFERROR(VLOOKUP(TEXT(H99,"0"),IPRESS!$A$3:$B$212,2,0),"")</f>
        <v/>
      </c>
      <c r="J99" s="280" t="n"/>
      <c r="K99" s="332">
        <f>IFERROR(VLOOKUP(TEXT(O99,"0"),CONDUCTORES!$A$3:$G$54,7,0),"")</f>
        <v/>
      </c>
      <c r="L99" s="280" t="n"/>
      <c r="M99" s="280" t="n"/>
      <c r="N99" s="333">
        <f>IFERROR(IF(L99*M99=0,"",L99*M99),"")</f>
        <v/>
      </c>
      <c r="O99" s="280" t="n"/>
      <c r="P99" s="332">
        <f>IFERROR(VLOOKUP(TEXT(O99,"0"),CONDUCTORES!$A$3:$G$54,2,0),"")</f>
        <v/>
      </c>
      <c r="Q99" s="332">
        <f>IFERROR(VLOOKUP(TEXT(O99,"0"),CONDUCTORES!$A$3:$H$54,6,0),"")</f>
        <v/>
      </c>
      <c r="R99" s="280" t="n"/>
      <c r="S99" s="280" t="n"/>
      <c r="T99" s="280" t="n"/>
      <c r="U99" s="280" t="n"/>
      <c r="V99" s="280" t="n"/>
      <c r="W99" s="280" t="n"/>
      <c r="X99" s="280" t="n"/>
      <c r="Y99" s="280" t="n"/>
      <c r="Z99" s="236">
        <f>IF(AND(G99&lt;&gt;"",R99&lt;&gt;"",V99&lt;&gt;"",W99&lt;&gt;""),"COMPLETADO","OBSERVADO")</f>
        <v/>
      </c>
      <c r="AA99" s="284" t="n"/>
    </row>
    <row r="100" ht="15.75" customHeight="1" s="195">
      <c r="A100" s="334" t="n"/>
      <c r="B100" s="334" t="n"/>
      <c r="C100" s="334" t="n"/>
      <c r="D100" s="334" t="n"/>
      <c r="E100" s="334" t="n"/>
      <c r="F100" s="334" t="n"/>
      <c r="G100" s="334" t="n"/>
      <c r="H100" s="334" t="n"/>
      <c r="I100" s="332">
        <f>IFERROR(VLOOKUP(TEXT(H100,"0"),IPRESS!$A$3:$B$212,2,0),"")</f>
        <v/>
      </c>
      <c r="J100" s="334" t="n"/>
      <c r="K100" s="332">
        <f>IFERROR(VLOOKUP(TEXT(O100,"0"),CONDUCTORES!$A$3:$G$54,7,0),"")</f>
        <v/>
      </c>
      <c r="L100" s="334" t="n"/>
      <c r="M100" s="334" t="n"/>
      <c r="N100" s="333">
        <f>IFERROR(IF(L100*M100=0,"",L100*M100),"")</f>
        <v/>
      </c>
      <c r="O100" s="334" t="n"/>
      <c r="P100" s="332">
        <f>IFERROR(VLOOKUP(TEXT(O100,"0"),CONDUCTORES!$A$3:$G$54,2,0),"")</f>
        <v/>
      </c>
      <c r="Q100" s="332">
        <f>IFERROR(VLOOKUP(TEXT(O100,"0"),CONDUCTORES!$A$3:$H$54,6,0),"")</f>
        <v/>
      </c>
      <c r="R100" s="334" t="n"/>
      <c r="S100" s="334" t="n"/>
      <c r="T100" s="334" t="n"/>
      <c r="U100" s="334" t="n"/>
      <c r="V100" s="334" t="n"/>
      <c r="W100" s="334" t="n"/>
      <c r="X100" s="334" t="n"/>
      <c r="Y100" s="334" t="n"/>
      <c r="Z100" s="242">
        <f>IF(AND(G100&lt;&gt;"",R100&lt;&gt;"",V100&lt;&gt;"",W100&lt;&gt;""),"COMPLETADO","OBSERVADO")</f>
        <v/>
      </c>
      <c r="AA100" s="284" t="n"/>
    </row>
    <row r="101" ht="15.75" customHeight="1" s="195">
      <c r="A101" s="280" t="n"/>
      <c r="B101" s="280" t="n"/>
      <c r="C101" s="280" t="n"/>
      <c r="D101" s="280" t="n"/>
      <c r="E101" s="280" t="n"/>
      <c r="F101" s="280" t="n"/>
      <c r="G101" s="280" t="n"/>
      <c r="H101" s="280" t="n"/>
      <c r="I101" s="332">
        <f>IFERROR(VLOOKUP(TEXT(H101,"0"),IPRESS!$A$3:$B$212,2,0),"")</f>
        <v/>
      </c>
      <c r="J101" s="280" t="n"/>
      <c r="K101" s="332">
        <f>IFERROR(VLOOKUP(TEXT(O101,"0"),CONDUCTORES!$A$3:$G$54,7,0),"")</f>
        <v/>
      </c>
      <c r="L101" s="280" t="n"/>
      <c r="M101" s="280" t="n"/>
      <c r="N101" s="333">
        <f>IFERROR(IF(L101*M101=0,"",L101*M101),"")</f>
        <v/>
      </c>
      <c r="O101" s="280" t="n"/>
      <c r="P101" s="332">
        <f>IFERROR(VLOOKUP(TEXT(O101,"0"),CONDUCTORES!$A$3:$G$54,2,0),"")</f>
        <v/>
      </c>
      <c r="Q101" s="332">
        <f>IFERROR(VLOOKUP(TEXT(O101,"0"),CONDUCTORES!$A$3:$H$54,6,0),"")</f>
        <v/>
      </c>
      <c r="R101" s="280" t="n"/>
      <c r="S101" s="280" t="n"/>
      <c r="T101" s="280" t="n"/>
      <c r="U101" s="280" t="n"/>
      <c r="V101" s="280" t="n"/>
      <c r="W101" s="280" t="n"/>
      <c r="X101" s="280" t="n"/>
      <c r="Y101" s="280" t="n"/>
      <c r="Z101" s="236">
        <f>IF(AND(G101&lt;&gt;"",R101&lt;&gt;"",V101&lt;&gt;"",W101&lt;&gt;""),"COMPLETADO","OBSERVADO")</f>
        <v/>
      </c>
      <c r="AA101" s="284" t="n"/>
    </row>
    <row r="102" ht="15.75" customHeight="1" s="195">
      <c r="A102" s="334" t="n"/>
      <c r="B102" s="334" t="n"/>
      <c r="C102" s="334" t="n"/>
      <c r="D102" s="334" t="n"/>
      <c r="E102" s="334" t="n"/>
      <c r="F102" s="334" t="n"/>
      <c r="G102" s="334" t="n"/>
      <c r="H102" s="334" t="n"/>
      <c r="I102" s="332">
        <f>IFERROR(VLOOKUP(TEXT(H102,"0"),IPRESS!$A$3:$B$212,2,0),"")</f>
        <v/>
      </c>
      <c r="J102" s="334" t="n"/>
      <c r="K102" s="332">
        <f>IFERROR(VLOOKUP(TEXT(O102,"0"),CONDUCTORES!$A$3:$G$54,7,0),"")</f>
        <v/>
      </c>
      <c r="L102" s="334" t="n"/>
      <c r="M102" s="334" t="n"/>
      <c r="N102" s="333">
        <f>IFERROR(IF(L102*M102=0,"",L102*M102),"")</f>
        <v/>
      </c>
      <c r="O102" s="334" t="n"/>
      <c r="P102" s="332">
        <f>IFERROR(VLOOKUP(TEXT(O102,"0"),CONDUCTORES!$A$3:$G$54,2,0),"")</f>
        <v/>
      </c>
      <c r="Q102" s="332">
        <f>IFERROR(VLOOKUP(TEXT(O102,"0"),CONDUCTORES!$A$3:$H$54,6,0),"")</f>
        <v/>
      </c>
      <c r="R102" s="334" t="n"/>
      <c r="S102" s="334" t="n"/>
      <c r="T102" s="334" t="n"/>
      <c r="U102" s="334" t="n"/>
      <c r="V102" s="334" t="n"/>
      <c r="W102" s="334" t="n"/>
      <c r="X102" s="334" t="n"/>
      <c r="Y102" s="334" t="n"/>
      <c r="Z102" s="242">
        <f>IF(AND(G102&lt;&gt;"",R102&lt;&gt;"",V102&lt;&gt;"",W102&lt;&gt;""),"COMPLETADO","OBSERVADO")</f>
        <v/>
      </c>
      <c r="AA102" s="284" t="n"/>
    </row>
    <row r="103" ht="15.75" customHeight="1" s="195">
      <c r="A103" s="280" t="n"/>
      <c r="B103" s="280" t="n"/>
      <c r="C103" s="280" t="n"/>
      <c r="D103" s="280" t="n"/>
      <c r="E103" s="280" t="n"/>
      <c r="F103" s="280" t="n"/>
      <c r="G103" s="280" t="n"/>
      <c r="H103" s="280" t="n"/>
      <c r="I103" s="332">
        <f>IFERROR(VLOOKUP(TEXT(H103,"0"),IPRESS!$A$3:$B$212,2,0),"")</f>
        <v/>
      </c>
      <c r="J103" s="280" t="n"/>
      <c r="K103" s="332">
        <f>IFERROR(VLOOKUP(TEXT(O103,"0"),CONDUCTORES!$A$3:$G$54,7,0),"")</f>
        <v/>
      </c>
      <c r="L103" s="280" t="n"/>
      <c r="M103" s="280" t="n"/>
      <c r="N103" s="333">
        <f>IFERROR(IF(L103*M103=0,"",L103*M103),"")</f>
        <v/>
      </c>
      <c r="O103" s="280" t="n"/>
      <c r="P103" s="332">
        <f>IFERROR(VLOOKUP(TEXT(O103,"0"),CONDUCTORES!$A$3:$G$54,2,0),"")</f>
        <v/>
      </c>
      <c r="Q103" s="332">
        <f>IFERROR(VLOOKUP(TEXT(O103,"0"),CONDUCTORES!$A$3:$H$54,6,0),"")</f>
        <v/>
      </c>
      <c r="R103" s="280" t="n"/>
      <c r="S103" s="280" t="n"/>
      <c r="T103" s="280" t="n"/>
      <c r="U103" s="280" t="n"/>
      <c r="V103" s="280" t="n"/>
      <c r="W103" s="280" t="n"/>
      <c r="X103" s="280" t="n"/>
      <c r="Y103" s="280" t="n"/>
      <c r="Z103" s="236">
        <f>IF(AND(G103&lt;&gt;"",R103&lt;&gt;"",V103&lt;&gt;"",W103&lt;&gt;""),"COMPLETADO","OBSERVADO")</f>
        <v/>
      </c>
      <c r="AA103" s="284" t="n"/>
    </row>
    <row r="104" ht="15.75" customHeight="1" s="195">
      <c r="A104" s="334" t="n"/>
      <c r="B104" s="334" t="n"/>
      <c r="C104" s="334" t="n"/>
      <c r="D104" s="334" t="n"/>
      <c r="E104" s="334" t="n"/>
      <c r="F104" s="334" t="n"/>
      <c r="G104" s="334" t="n"/>
      <c r="H104" s="334" t="n"/>
      <c r="I104" s="332">
        <f>IFERROR(VLOOKUP(TEXT(H104,"0"),IPRESS!$A$3:$B$212,2,0),"")</f>
        <v/>
      </c>
      <c r="J104" s="334" t="n"/>
      <c r="K104" s="332">
        <f>IFERROR(VLOOKUP(TEXT(O104,"0"),CONDUCTORES!$A$3:$G$54,7,0),"")</f>
        <v/>
      </c>
      <c r="L104" s="334" t="n"/>
      <c r="M104" s="334" t="n"/>
      <c r="N104" s="333">
        <f>IFERROR(IF(L104*M104=0,"",L104*M104),"")</f>
        <v/>
      </c>
      <c r="O104" s="334" t="n"/>
      <c r="P104" s="332">
        <f>IFERROR(VLOOKUP(TEXT(O104,"0"),CONDUCTORES!$A$3:$G$54,2,0),"")</f>
        <v/>
      </c>
      <c r="Q104" s="332">
        <f>IFERROR(VLOOKUP(TEXT(O104,"0"),CONDUCTORES!$A$3:$H$54,6,0),"")</f>
        <v/>
      </c>
      <c r="R104" s="334" t="n"/>
      <c r="S104" s="334" t="n"/>
      <c r="T104" s="334" t="n"/>
      <c r="U104" s="334" t="n"/>
      <c r="V104" s="334" t="n"/>
      <c r="W104" s="334" t="n"/>
      <c r="X104" s="334" t="n"/>
      <c r="Y104" s="334" t="n"/>
      <c r="Z104" s="242">
        <f>IF(AND(G104&lt;&gt;"",R104&lt;&gt;"",V104&lt;&gt;"",W104&lt;&gt;""),"COMPLETADO","OBSERVADO")</f>
        <v/>
      </c>
      <c r="AA104" s="284" t="n"/>
    </row>
    <row r="105" ht="15.75" customHeight="1" s="195">
      <c r="A105" s="280" t="n"/>
      <c r="B105" s="280" t="n"/>
      <c r="C105" s="280" t="n"/>
      <c r="D105" s="280" t="n"/>
      <c r="E105" s="280" t="n"/>
      <c r="F105" s="280" t="n"/>
      <c r="G105" s="280" t="n"/>
      <c r="H105" s="280" t="n"/>
      <c r="I105" s="332">
        <f>IFERROR(VLOOKUP(TEXT(H105,"0"),IPRESS!$A$3:$B$212,2,0),"")</f>
        <v/>
      </c>
      <c r="J105" s="280" t="n"/>
      <c r="K105" s="332">
        <f>IFERROR(VLOOKUP(TEXT(O105,"0"),CONDUCTORES!$A$3:$G$54,7,0),"")</f>
        <v/>
      </c>
      <c r="L105" s="280" t="n"/>
      <c r="M105" s="280" t="n"/>
      <c r="N105" s="333">
        <f>IFERROR(IF(L105*M105=0,"",L105*M105),"")</f>
        <v/>
      </c>
      <c r="O105" s="280" t="n"/>
      <c r="P105" s="332">
        <f>IFERROR(VLOOKUP(TEXT(O105,"0"),CONDUCTORES!$A$3:$G$54,2,0),"")</f>
        <v/>
      </c>
      <c r="Q105" s="332">
        <f>IFERROR(VLOOKUP(TEXT(O105,"0"),CONDUCTORES!$A$3:$H$54,6,0),"")</f>
        <v/>
      </c>
      <c r="R105" s="280" t="n"/>
      <c r="S105" s="280" t="n"/>
      <c r="T105" s="280" t="n"/>
      <c r="U105" s="280" t="n"/>
      <c r="V105" s="280" t="n"/>
      <c r="W105" s="280" t="n"/>
      <c r="X105" s="280" t="n"/>
      <c r="Y105" s="280" t="n"/>
      <c r="Z105" s="236">
        <f>IF(AND(G105&lt;&gt;"",R105&lt;&gt;"",V105&lt;&gt;"",W105&lt;&gt;""),"COMPLETADO","OBSERVADO")</f>
        <v/>
      </c>
      <c r="AA105" s="284" t="n"/>
    </row>
    <row r="106" ht="15.75" customHeight="1" s="195">
      <c r="A106" s="334" t="n"/>
      <c r="B106" s="334" t="n"/>
      <c r="C106" s="334" t="n"/>
      <c r="D106" s="334" t="n"/>
      <c r="E106" s="334" t="n"/>
      <c r="F106" s="334" t="n"/>
      <c r="G106" s="334" t="n"/>
      <c r="H106" s="334" t="n"/>
      <c r="I106" s="332">
        <f>IFERROR(VLOOKUP(TEXT(H106,"0"),IPRESS!$A$3:$B$212,2,0),"")</f>
        <v/>
      </c>
      <c r="J106" s="334" t="n"/>
      <c r="K106" s="332">
        <f>IFERROR(VLOOKUP(TEXT(O106,"0"),CONDUCTORES!$A$3:$G$54,7,0),"")</f>
        <v/>
      </c>
      <c r="L106" s="334" t="n"/>
      <c r="M106" s="334" t="n"/>
      <c r="N106" s="333">
        <f>IFERROR(IF(L106*M106=0,"",L106*M106),"")</f>
        <v/>
      </c>
      <c r="O106" s="334" t="n"/>
      <c r="P106" s="332">
        <f>IFERROR(VLOOKUP(TEXT(O106,"0"),CONDUCTORES!$A$3:$G$54,2,0),"")</f>
        <v/>
      </c>
      <c r="Q106" s="332">
        <f>IFERROR(VLOOKUP(TEXT(O106,"0"),CONDUCTORES!$A$3:$H$54,6,0),"")</f>
        <v/>
      </c>
      <c r="R106" s="334" t="n"/>
      <c r="S106" s="334" t="n"/>
      <c r="T106" s="334" t="n"/>
      <c r="U106" s="334" t="n"/>
      <c r="V106" s="334" t="n"/>
      <c r="W106" s="334" t="n"/>
      <c r="X106" s="334" t="n"/>
      <c r="Y106" s="334" t="n"/>
      <c r="Z106" s="242">
        <f>IF(AND(G106&lt;&gt;"",R106&lt;&gt;"",V106&lt;&gt;"",W106&lt;&gt;""),"COMPLETADO","OBSERVADO")</f>
        <v/>
      </c>
      <c r="AA106" s="284" t="n"/>
    </row>
    <row r="107" ht="15.75" customHeight="1" s="195">
      <c r="A107" s="280" t="n"/>
      <c r="B107" s="280" t="n"/>
      <c r="C107" s="280" t="n"/>
      <c r="D107" s="280" t="n"/>
      <c r="E107" s="280" t="n"/>
      <c r="F107" s="280" t="n"/>
      <c r="G107" s="280" t="n"/>
      <c r="H107" s="280" t="n"/>
      <c r="I107" s="332">
        <f>IFERROR(VLOOKUP(TEXT(H107,"0"),IPRESS!$A$3:$B$212,2,0),"")</f>
        <v/>
      </c>
      <c r="J107" s="280" t="n"/>
      <c r="K107" s="332">
        <f>IFERROR(VLOOKUP(TEXT(O107,"0"),CONDUCTORES!$A$3:$G$54,7,0),"")</f>
        <v/>
      </c>
      <c r="L107" s="280" t="n"/>
      <c r="M107" s="280" t="n"/>
      <c r="N107" s="333">
        <f>IFERROR(IF(L107*M107=0,"",L107*M107),"")</f>
        <v/>
      </c>
      <c r="O107" s="280" t="n"/>
      <c r="P107" s="332">
        <f>IFERROR(VLOOKUP(TEXT(O107,"0"),CONDUCTORES!$A$3:$G$54,2,0),"")</f>
        <v/>
      </c>
      <c r="Q107" s="332">
        <f>IFERROR(VLOOKUP(TEXT(O107,"0"),CONDUCTORES!$A$3:$H$54,6,0),"")</f>
        <v/>
      </c>
      <c r="R107" s="280" t="n"/>
      <c r="S107" s="280" t="n"/>
      <c r="T107" s="280" t="n"/>
      <c r="U107" s="280" t="n"/>
      <c r="V107" s="280" t="n"/>
      <c r="W107" s="280" t="n"/>
      <c r="X107" s="280" t="n"/>
      <c r="Y107" s="280" t="n"/>
      <c r="Z107" s="236">
        <f>IF(AND(G107&lt;&gt;"",R107&lt;&gt;"",V107&lt;&gt;"",W107&lt;&gt;""),"COMPLETADO","OBSERVADO")</f>
        <v/>
      </c>
      <c r="AA107" s="284" t="n"/>
    </row>
    <row r="108" ht="15.75" customHeight="1" s="195">
      <c r="A108" s="334" t="n"/>
      <c r="B108" s="334" t="n"/>
      <c r="C108" s="334" t="n"/>
      <c r="D108" s="334" t="n"/>
      <c r="E108" s="334" t="n"/>
      <c r="F108" s="334" t="n"/>
      <c r="G108" s="334" t="n"/>
      <c r="H108" s="334" t="n"/>
      <c r="I108" s="332">
        <f>IFERROR(VLOOKUP(TEXT(H108,"0"),IPRESS!$A$3:$B$212,2,0),"")</f>
        <v/>
      </c>
      <c r="J108" s="334" t="n"/>
      <c r="K108" s="332">
        <f>IFERROR(VLOOKUP(TEXT(O108,"0"),CONDUCTORES!$A$3:$G$54,7,0),"")</f>
        <v/>
      </c>
      <c r="L108" s="334" t="n"/>
      <c r="M108" s="334" t="n"/>
      <c r="N108" s="333">
        <f>IFERROR(IF(L108*M108=0,"",L108*M108),"")</f>
        <v/>
      </c>
      <c r="O108" s="334" t="n"/>
      <c r="P108" s="332">
        <f>IFERROR(VLOOKUP(TEXT(O108,"0"),CONDUCTORES!$A$3:$G$54,2,0),"")</f>
        <v/>
      </c>
      <c r="Q108" s="332">
        <f>IFERROR(VLOOKUP(TEXT(O108,"0"),CONDUCTORES!$A$3:$H$54,6,0),"")</f>
        <v/>
      </c>
      <c r="R108" s="334" t="n"/>
      <c r="S108" s="334" t="n"/>
      <c r="T108" s="334" t="n"/>
      <c r="U108" s="334" t="n"/>
      <c r="V108" s="334" t="n"/>
      <c r="W108" s="334" t="n"/>
      <c r="X108" s="334" t="n"/>
      <c r="Y108" s="334" t="n"/>
      <c r="Z108" s="242">
        <f>IF(AND(G108&lt;&gt;"",R108&lt;&gt;"",V108&lt;&gt;"",W108&lt;&gt;""),"COMPLETADO","OBSERVADO")</f>
        <v/>
      </c>
      <c r="AA108" s="284" t="n"/>
    </row>
    <row r="109" ht="15.75" customHeight="1" s="195">
      <c r="A109" s="280" t="n"/>
      <c r="B109" s="280" t="n"/>
      <c r="C109" s="280" t="n"/>
      <c r="D109" s="280" t="n"/>
      <c r="E109" s="280" t="n"/>
      <c r="F109" s="280" t="n"/>
      <c r="G109" s="280" t="n"/>
      <c r="H109" s="280" t="n"/>
      <c r="I109" s="332">
        <f>IFERROR(VLOOKUP(TEXT(H109,"0"),IPRESS!$A$3:$B$212,2,0),"")</f>
        <v/>
      </c>
      <c r="J109" s="280" t="n"/>
      <c r="K109" s="332">
        <f>IFERROR(VLOOKUP(TEXT(O109,"0"),CONDUCTORES!$A$3:$G$54,7,0),"")</f>
        <v/>
      </c>
      <c r="L109" s="280" t="n"/>
      <c r="M109" s="280" t="n"/>
      <c r="N109" s="333">
        <f>IFERROR(IF(L109*M109=0,"",L109*M109),"")</f>
        <v/>
      </c>
      <c r="O109" s="280" t="n"/>
      <c r="P109" s="332">
        <f>IFERROR(VLOOKUP(TEXT(O109,"0"),CONDUCTORES!$A$3:$G$54,2,0),"")</f>
        <v/>
      </c>
      <c r="Q109" s="332">
        <f>IFERROR(VLOOKUP(TEXT(O109,"0"),CONDUCTORES!$A$3:$H$54,6,0),"")</f>
        <v/>
      </c>
      <c r="R109" s="280" t="n"/>
      <c r="S109" s="280" t="n"/>
      <c r="T109" s="280" t="n"/>
      <c r="U109" s="280" t="n"/>
      <c r="V109" s="280" t="n"/>
      <c r="W109" s="280" t="n"/>
      <c r="X109" s="280" t="n"/>
      <c r="Y109" s="280" t="n"/>
      <c r="Z109" s="236">
        <f>IF(AND(G109&lt;&gt;"",R109&lt;&gt;"",V109&lt;&gt;"",W109&lt;&gt;""),"COMPLETADO","OBSERVADO")</f>
        <v/>
      </c>
      <c r="AA109" s="284" t="n"/>
    </row>
    <row r="110" ht="15.75" customHeight="1" s="195">
      <c r="A110" s="334" t="n"/>
      <c r="B110" s="334" t="n"/>
      <c r="C110" s="334" t="n"/>
      <c r="D110" s="334" t="n"/>
      <c r="E110" s="334" t="n"/>
      <c r="F110" s="334" t="n"/>
      <c r="G110" s="334" t="n"/>
      <c r="H110" s="334" t="n"/>
      <c r="I110" s="332">
        <f>IFERROR(VLOOKUP(TEXT(H110,"0"),IPRESS!$A$3:$B$212,2,0),"")</f>
        <v/>
      </c>
      <c r="J110" s="334" t="n"/>
      <c r="K110" s="332">
        <f>IFERROR(VLOOKUP(TEXT(O110,"0"),CONDUCTORES!$A$3:$G$54,7,0),"")</f>
        <v/>
      </c>
      <c r="L110" s="334" t="n"/>
      <c r="M110" s="334" t="n"/>
      <c r="N110" s="333">
        <f>IFERROR(IF(L110*M110=0,"",L110*M110),"")</f>
        <v/>
      </c>
      <c r="O110" s="334" t="n"/>
      <c r="P110" s="332">
        <f>IFERROR(VLOOKUP(TEXT(O110,"0"),CONDUCTORES!$A$3:$G$54,2,0),"")</f>
        <v/>
      </c>
      <c r="Q110" s="332">
        <f>IFERROR(VLOOKUP(TEXT(O110,"0"),CONDUCTORES!$A$3:$H$54,6,0),"")</f>
        <v/>
      </c>
      <c r="R110" s="334" t="n"/>
      <c r="S110" s="334" t="n"/>
      <c r="T110" s="334" t="n"/>
      <c r="U110" s="334" t="n"/>
      <c r="V110" s="334" t="n"/>
      <c r="W110" s="334" t="n"/>
      <c r="X110" s="334" t="n"/>
      <c r="Y110" s="334" t="n"/>
      <c r="Z110" s="242">
        <f>IF(AND(G110&lt;&gt;"",R110&lt;&gt;"",V110&lt;&gt;"",W110&lt;&gt;""),"COMPLETADO","OBSERVADO")</f>
        <v/>
      </c>
      <c r="AA110" s="284" t="n"/>
    </row>
    <row r="111" ht="15" customHeight="1" s="195">
      <c r="A111" s="280" t="n"/>
      <c r="B111" s="280" t="n"/>
      <c r="C111" s="280" t="n"/>
      <c r="D111" s="280" t="n"/>
      <c r="E111" s="280" t="n"/>
      <c r="F111" s="280" t="n"/>
      <c r="G111" s="280" t="n"/>
      <c r="H111" s="280" t="n"/>
      <c r="I111" s="280" t="n"/>
      <c r="J111" s="280" t="n"/>
      <c r="K111" s="280" t="n"/>
      <c r="L111" s="280" t="n"/>
      <c r="M111" s="280" t="n"/>
      <c r="N111" s="374" t="n"/>
      <c r="O111" s="280" t="n"/>
      <c r="P111" s="280" t="n"/>
      <c r="Q111" s="280" t="n"/>
      <c r="R111" s="280" t="n"/>
      <c r="S111" s="280" t="n"/>
      <c r="T111" s="280" t="n"/>
      <c r="U111" s="280" t="n"/>
      <c r="V111" s="280" t="n"/>
      <c r="W111" s="280" t="n"/>
      <c r="X111" s="280" t="n"/>
      <c r="Y111" s="280" t="n"/>
      <c r="Z111" s="280" t="n"/>
      <c r="AA111" s="284" t="n"/>
    </row>
    <row r="112" ht="15" customHeight="1" s="195">
      <c r="A112" s="280" t="n"/>
      <c r="B112" s="280" t="n"/>
      <c r="C112" s="280" t="n"/>
      <c r="D112" s="280" t="n"/>
      <c r="E112" s="280" t="n"/>
      <c r="F112" s="280" t="n"/>
      <c r="G112" s="280" t="n"/>
      <c r="H112" s="280" t="n"/>
      <c r="I112" s="280" t="n"/>
      <c r="J112" s="280" t="n"/>
      <c r="K112" s="280" t="n"/>
      <c r="L112" s="280" t="n"/>
      <c r="M112" s="280" t="n"/>
      <c r="N112" s="374" t="n"/>
      <c r="O112" s="280" t="n"/>
      <c r="P112" s="280" t="n"/>
      <c r="Q112" s="280" t="n"/>
      <c r="R112" s="280" t="n"/>
      <c r="S112" s="280" t="n"/>
      <c r="T112" s="280" t="n"/>
      <c r="U112" s="280" t="n"/>
      <c r="V112" s="280" t="n"/>
      <c r="W112" s="280" t="n"/>
      <c r="X112" s="280" t="n"/>
      <c r="Y112" s="280" t="n"/>
      <c r="Z112" s="280" t="n"/>
      <c r="AA112" s="284" t="n"/>
    </row>
    <row r="113" ht="15" customHeight="1" s="195">
      <c r="A113" s="280" t="n"/>
      <c r="B113" s="280" t="n"/>
      <c r="C113" s="280" t="n"/>
      <c r="D113" s="280" t="n"/>
      <c r="E113" s="280" t="n"/>
      <c r="F113" s="280" t="n"/>
      <c r="G113" s="280" t="n"/>
      <c r="H113" s="280" t="n"/>
      <c r="I113" s="280" t="n"/>
      <c r="J113" s="280" t="n"/>
      <c r="K113" s="280" t="n"/>
      <c r="L113" s="280" t="n"/>
      <c r="M113" s="280" t="n"/>
      <c r="N113" s="374" t="n"/>
      <c r="O113" s="280" t="n"/>
      <c r="P113" s="280" t="n"/>
      <c r="Q113" s="280" t="n"/>
      <c r="R113" s="280" t="n"/>
      <c r="S113" s="280" t="n"/>
      <c r="T113" s="280" t="n"/>
      <c r="U113" s="280" t="n"/>
      <c r="V113" s="280" t="n"/>
      <c r="W113" s="280" t="n"/>
      <c r="X113" s="280" t="n"/>
      <c r="Y113" s="280" t="n"/>
      <c r="Z113" s="280" t="n"/>
      <c r="AA113" s="284" t="n"/>
    </row>
    <row r="114" ht="15" customHeight="1" s="195">
      <c r="A114" s="280" t="n"/>
      <c r="B114" s="280" t="n"/>
      <c r="C114" s="280" t="n"/>
      <c r="D114" s="280" t="n"/>
      <c r="E114" s="280" t="n"/>
      <c r="F114" s="280" t="n"/>
      <c r="G114" s="280" t="n"/>
      <c r="H114" s="280" t="n"/>
      <c r="I114" s="280" t="n"/>
      <c r="J114" s="280" t="n"/>
      <c r="K114" s="280" t="n"/>
      <c r="L114" s="280" t="n"/>
      <c r="M114" s="280" t="n"/>
      <c r="N114" s="374" t="n"/>
      <c r="O114" s="280" t="n"/>
      <c r="P114" s="280" t="n"/>
      <c r="Q114" s="280" t="n"/>
      <c r="R114" s="280" t="n"/>
      <c r="S114" s="280" t="n"/>
      <c r="T114" s="280" t="n"/>
      <c r="U114" s="280" t="n"/>
      <c r="V114" s="280" t="n"/>
      <c r="W114" s="280" t="n"/>
      <c r="X114" s="280" t="n"/>
      <c r="Y114" s="280" t="n"/>
      <c r="Z114" s="280" t="n"/>
      <c r="AA114" s="284" t="n"/>
    </row>
    <row r="115" ht="15" customHeight="1" s="195">
      <c r="A115" s="280" t="n"/>
      <c r="B115" s="280" t="n"/>
      <c r="C115" s="280" t="n"/>
      <c r="D115" s="280" t="n"/>
      <c r="E115" s="280" t="n"/>
      <c r="F115" s="280" t="n"/>
      <c r="G115" s="280" t="n"/>
      <c r="H115" s="280" t="n"/>
      <c r="I115" s="280" t="n"/>
      <c r="J115" s="280" t="n"/>
      <c r="K115" s="280" t="n"/>
      <c r="L115" s="280" t="n"/>
      <c r="M115" s="280" t="n"/>
      <c r="N115" s="374" t="n"/>
      <c r="O115" s="280" t="n"/>
      <c r="P115" s="280" t="n"/>
      <c r="Q115" s="280" t="n"/>
      <c r="R115" s="280" t="n"/>
      <c r="S115" s="280" t="n"/>
      <c r="T115" s="280" t="n"/>
      <c r="U115" s="280" t="n"/>
      <c r="V115" s="280" t="n"/>
      <c r="W115" s="280" t="n"/>
      <c r="X115" s="280" t="n"/>
      <c r="Y115" s="280" t="n"/>
      <c r="Z115" s="280" t="n"/>
      <c r="AA115" s="284" t="n"/>
    </row>
    <row r="116" ht="15" customHeight="1" s="195">
      <c r="A116" s="280" t="n"/>
      <c r="B116" s="280" t="n"/>
      <c r="C116" s="280" t="n"/>
      <c r="D116" s="280" t="n"/>
      <c r="E116" s="280" t="n"/>
      <c r="F116" s="280" t="n"/>
      <c r="G116" s="280" t="n"/>
      <c r="H116" s="280" t="n"/>
      <c r="I116" s="280" t="n"/>
      <c r="J116" s="280" t="n"/>
      <c r="K116" s="280" t="n"/>
      <c r="L116" s="280" t="n"/>
      <c r="M116" s="280" t="n"/>
      <c r="N116" s="374" t="n"/>
      <c r="O116" s="280" t="n"/>
      <c r="P116" s="280" t="n"/>
      <c r="Q116" s="280" t="n"/>
      <c r="R116" s="280" t="n"/>
      <c r="S116" s="280" t="n"/>
      <c r="T116" s="280" t="n"/>
      <c r="U116" s="280" t="n"/>
      <c r="V116" s="280" t="n"/>
      <c r="W116" s="280" t="n"/>
      <c r="X116" s="280" t="n"/>
      <c r="Y116" s="280" t="n"/>
      <c r="Z116" s="280" t="n"/>
      <c r="AA116" s="284" t="n"/>
    </row>
    <row r="117" ht="15" customHeight="1" s="195">
      <c r="A117" s="280" t="n"/>
      <c r="B117" s="280" t="n"/>
      <c r="C117" s="280" t="n"/>
      <c r="D117" s="280" t="n"/>
      <c r="E117" s="280" t="n"/>
      <c r="F117" s="280" t="n"/>
      <c r="G117" s="280" t="n"/>
      <c r="H117" s="280" t="n"/>
      <c r="I117" s="280" t="n"/>
      <c r="J117" s="280" t="n"/>
      <c r="K117" s="280" t="n"/>
      <c r="L117" s="280" t="n"/>
      <c r="M117" s="280" t="n"/>
      <c r="N117" s="374" t="n"/>
      <c r="O117" s="280" t="n"/>
      <c r="P117" s="280" t="n"/>
      <c r="Q117" s="280" t="n"/>
      <c r="R117" s="280" t="n"/>
      <c r="S117" s="280" t="n"/>
      <c r="T117" s="280" t="n"/>
      <c r="U117" s="280" t="n"/>
      <c r="V117" s="280" t="n"/>
      <c r="W117" s="280" t="n"/>
      <c r="X117" s="280" t="n"/>
      <c r="Y117" s="280" t="n"/>
      <c r="Z117" s="280" t="n"/>
      <c r="AA117" s="284" t="n"/>
    </row>
    <row r="118" ht="15" customHeight="1" s="195">
      <c r="A118" s="280" t="n"/>
      <c r="B118" s="280" t="n"/>
      <c r="C118" s="280" t="n"/>
      <c r="D118" s="280" t="n"/>
      <c r="E118" s="280" t="n"/>
      <c r="F118" s="280" t="n"/>
      <c r="G118" s="280" t="n"/>
      <c r="H118" s="280" t="n"/>
      <c r="I118" s="280" t="n"/>
      <c r="J118" s="280" t="n"/>
      <c r="K118" s="280" t="n"/>
      <c r="L118" s="280" t="n"/>
      <c r="M118" s="280" t="n"/>
      <c r="N118" s="374" t="n"/>
      <c r="O118" s="280" t="n"/>
      <c r="P118" s="280" t="n"/>
      <c r="Q118" s="280" t="n"/>
      <c r="R118" s="280" t="n"/>
      <c r="S118" s="280" t="n"/>
      <c r="T118" s="280" t="n"/>
      <c r="U118" s="280" t="n"/>
      <c r="V118" s="280" t="n"/>
      <c r="W118" s="280" t="n"/>
      <c r="X118" s="280" t="n"/>
      <c r="Y118" s="280" t="n"/>
      <c r="Z118" s="280" t="n"/>
      <c r="AA118" s="284" t="n"/>
    </row>
    <row r="119" ht="15" customHeight="1" s="195">
      <c r="A119" s="280" t="n"/>
      <c r="B119" s="280" t="n"/>
      <c r="C119" s="280" t="n"/>
      <c r="D119" s="280" t="n"/>
      <c r="E119" s="280" t="n"/>
      <c r="F119" s="280" t="n"/>
      <c r="G119" s="280" t="n"/>
      <c r="H119" s="280" t="n"/>
      <c r="I119" s="280" t="n"/>
      <c r="J119" s="280" t="n"/>
      <c r="K119" s="280" t="n"/>
      <c r="L119" s="280" t="n"/>
      <c r="M119" s="280" t="n"/>
      <c r="N119" s="374" t="n"/>
      <c r="O119" s="280" t="n"/>
      <c r="P119" s="280" t="n"/>
      <c r="Q119" s="280" t="n"/>
      <c r="R119" s="280" t="n"/>
      <c r="S119" s="280" t="n"/>
      <c r="T119" s="280" t="n"/>
      <c r="U119" s="280" t="n"/>
      <c r="V119" s="280" t="n"/>
      <c r="W119" s="280" t="n"/>
      <c r="X119" s="280" t="n"/>
      <c r="Y119" s="280" t="n"/>
      <c r="Z119" s="280" t="n"/>
      <c r="AA119" s="284" t="n"/>
    </row>
    <row r="120" ht="15" customHeight="1" s="195">
      <c r="A120" s="280" t="n"/>
      <c r="B120" s="280" t="n"/>
      <c r="C120" s="280" t="n"/>
      <c r="D120" s="280" t="n"/>
      <c r="E120" s="280" t="n"/>
      <c r="F120" s="280" t="n"/>
      <c r="G120" s="280" t="n"/>
      <c r="H120" s="280" t="n"/>
      <c r="I120" s="332">
        <f>IFERROR(VLOOKUP(TEXT(H120,"0"),IPRESS!$A$3:$B$212,2,0),"")</f>
        <v/>
      </c>
      <c r="J120" s="280" t="n"/>
      <c r="K120" s="332">
        <f>IFERROR(VLOOKUP(TEXT(O120,"0"),CONDUCTORES!$A$3:$G$54,7,0),"")</f>
        <v/>
      </c>
      <c r="L120" s="280" t="n"/>
      <c r="M120" s="280" t="n"/>
      <c r="N120" s="333">
        <f>IFERROR(IF(L120*M120=0,"",L120*M120),"")</f>
        <v/>
      </c>
      <c r="O120" s="280" t="n"/>
      <c r="P120" s="332">
        <f>IFERROR(VLOOKUP(TEXT(O120,"0"),CONDUCTORES!$A$3:$G$54,2,0),"")</f>
        <v/>
      </c>
      <c r="Q120" s="332">
        <f>IFERROR(VLOOKUP(TEXT(O120,"0"),CONDUCTORES!$A$3:$H$54,6,0),"")</f>
        <v/>
      </c>
      <c r="R120" s="280" t="n"/>
      <c r="S120" s="280" t="n"/>
      <c r="T120" s="280" t="n"/>
      <c r="U120" s="280" t="n"/>
      <c r="V120" s="280" t="n"/>
      <c r="W120" s="280" t="n"/>
      <c r="X120" s="280" t="n"/>
      <c r="Y120" s="280" t="n"/>
      <c r="Z120" s="375">
        <f>IF(AND(G120&lt;&gt;"",R120&lt;&gt;"",V120&lt;&gt;"",W120&lt;&gt;""),"COMPLETADO","OBSERVADO")</f>
        <v/>
      </c>
    </row>
    <row r="121" ht="15" customHeight="1" s="195">
      <c r="A121" s="334" t="n"/>
      <c r="B121" s="334" t="n"/>
      <c r="C121" s="334" t="n"/>
      <c r="D121" s="334" t="n"/>
      <c r="E121" s="334" t="n"/>
      <c r="F121" s="334" t="n"/>
      <c r="G121" s="334" t="n"/>
      <c r="H121" s="334" t="n"/>
      <c r="I121" s="332">
        <f>IFERROR(VLOOKUP(TEXT(H121,"0"),IPRESS!$A$3:$B$212,2,0),"")</f>
        <v/>
      </c>
      <c r="J121" s="334" t="n"/>
      <c r="K121" s="332">
        <f>IFERROR(VLOOKUP(TEXT(O121,"0"),CONDUCTORES!$A$3:$G$54,7,0),"")</f>
        <v/>
      </c>
      <c r="L121" s="334" t="n"/>
      <c r="M121" s="334" t="n"/>
      <c r="N121" s="333">
        <f>IFERROR(IF(L121*M121=0,"",L121*M121),"")</f>
        <v/>
      </c>
      <c r="O121" s="334" t="n"/>
      <c r="P121" s="332">
        <f>IFERROR(VLOOKUP(TEXT(O121,"0"),CONDUCTORES!$A$3:$G$54,2,0),"")</f>
        <v/>
      </c>
      <c r="Q121" s="332">
        <f>IFERROR(VLOOKUP(TEXT(O121,"0"),CONDUCTORES!$A$3:$H$54,6,0),"")</f>
        <v/>
      </c>
      <c r="R121" s="334" t="n"/>
      <c r="S121" s="334" t="n"/>
      <c r="T121" s="334" t="n"/>
      <c r="U121" s="334" t="n"/>
      <c r="V121" s="334" t="n"/>
      <c r="W121" s="334" t="n"/>
      <c r="X121" s="334" t="n"/>
      <c r="Y121" s="334" t="n"/>
      <c r="Z121" s="375">
        <f>IF(AND(G121&lt;&gt;"",R121&lt;&gt;"",V121&lt;&gt;"",W121&lt;&gt;""),"COMPLETADO","OBSERVADO")</f>
        <v/>
      </c>
    </row>
    <row r="122" ht="15" customHeight="1" s="195">
      <c r="A122" s="280" t="n"/>
      <c r="B122" s="280" t="n"/>
      <c r="C122" s="280" t="n"/>
      <c r="D122" s="280" t="n"/>
      <c r="E122" s="280" t="n"/>
      <c r="F122" s="280" t="n"/>
      <c r="G122" s="280" t="n"/>
      <c r="H122" s="280" t="n"/>
      <c r="I122" s="332">
        <f>IFERROR(VLOOKUP(TEXT(H122,"0"),IPRESS!$A$3:$B$212,2,0),"")</f>
        <v/>
      </c>
      <c r="J122" s="280" t="n"/>
      <c r="K122" s="332">
        <f>IFERROR(VLOOKUP(TEXT(O122,"0"),CONDUCTORES!$A$3:$G$54,7,0),"")</f>
        <v/>
      </c>
      <c r="L122" s="280" t="n"/>
      <c r="M122" s="280" t="n"/>
      <c r="N122" s="333">
        <f>IFERROR(IF(L122*M122=0,"",L122*M122),"")</f>
        <v/>
      </c>
      <c r="O122" s="280" t="n"/>
      <c r="P122" s="332">
        <f>IFERROR(VLOOKUP(TEXT(O122,"0"),CONDUCTORES!$A$3:$G$54,2,0),"")</f>
        <v/>
      </c>
      <c r="Q122" s="332">
        <f>IFERROR(VLOOKUP(TEXT(O122,"0"),CONDUCTORES!$A$3:$H$54,6,0),"")</f>
        <v/>
      </c>
      <c r="R122" s="280" t="n"/>
      <c r="S122" s="280" t="n"/>
      <c r="T122" s="280" t="n"/>
      <c r="U122" s="280" t="n"/>
      <c r="V122" s="280" t="n"/>
      <c r="W122" s="280" t="n"/>
      <c r="X122" s="280" t="n"/>
      <c r="Y122" s="280" t="n"/>
      <c r="Z122" s="375">
        <f>IF(AND(G122&lt;&gt;"",R122&lt;&gt;"",V122&lt;&gt;"",W122&lt;&gt;""),"COMPLETADO","OBSERVADO")</f>
        <v/>
      </c>
    </row>
    <row r="123" ht="15" customHeight="1" s="195">
      <c r="A123" s="334" t="n"/>
      <c r="B123" s="334" t="n"/>
      <c r="C123" s="334" t="n"/>
      <c r="D123" s="334" t="n"/>
      <c r="E123" s="334" t="n"/>
      <c r="F123" s="334" t="n"/>
      <c r="G123" s="334" t="n"/>
      <c r="H123" s="334" t="n"/>
      <c r="I123" s="332">
        <f>IFERROR(VLOOKUP(TEXT(H123,"0"),IPRESS!$A$3:$B$212,2,0),"")</f>
        <v/>
      </c>
      <c r="J123" s="334" t="n"/>
      <c r="K123" s="332">
        <f>IFERROR(VLOOKUP(TEXT(O123,"0"),CONDUCTORES!$A$3:$G$54,7,0),"")</f>
        <v/>
      </c>
      <c r="L123" s="334" t="n"/>
      <c r="M123" s="334" t="n"/>
      <c r="N123" s="333">
        <f>IFERROR(IF(L123*M123=0,"",L123*M123),"")</f>
        <v/>
      </c>
      <c r="O123" s="334" t="n"/>
      <c r="P123" s="332">
        <f>IFERROR(VLOOKUP(TEXT(O123,"0"),CONDUCTORES!$A$3:$G$54,2,0),"")</f>
        <v/>
      </c>
      <c r="Q123" s="332">
        <f>IFERROR(VLOOKUP(TEXT(O123,"0"),CONDUCTORES!$A$3:$H$54,6,0),"")</f>
        <v/>
      </c>
      <c r="R123" s="334" t="n"/>
      <c r="S123" s="334" t="n"/>
      <c r="T123" s="334" t="n"/>
      <c r="U123" s="334" t="n"/>
      <c r="V123" s="334" t="n"/>
      <c r="W123" s="334" t="n"/>
      <c r="X123" s="334" t="n"/>
      <c r="Y123" s="334" t="n"/>
      <c r="Z123" s="375">
        <f>IF(AND(G123&lt;&gt;"",R123&lt;&gt;"",V123&lt;&gt;"",W123&lt;&gt;""),"COMPLETADO","OBSERVADO")</f>
        <v/>
      </c>
    </row>
    <row r="124" ht="15" customHeight="1" s="195">
      <c r="A124" s="280" t="n"/>
      <c r="B124" s="280" t="n"/>
      <c r="C124" s="280" t="n"/>
      <c r="D124" s="280" t="n"/>
      <c r="E124" s="280" t="n"/>
      <c r="F124" s="280" t="n"/>
      <c r="G124" s="280" t="n"/>
      <c r="H124" s="280" t="n"/>
      <c r="I124" s="332">
        <f>IFERROR(VLOOKUP(TEXT(H124,"0"),IPRESS!$A$3:$B$212,2,0),"")</f>
        <v/>
      </c>
      <c r="J124" s="280" t="n"/>
      <c r="K124" s="332">
        <f>IFERROR(VLOOKUP(TEXT(O124,"0"),CONDUCTORES!$A$3:$G$54,7,0),"")</f>
        <v/>
      </c>
      <c r="L124" s="280" t="n"/>
      <c r="M124" s="280" t="n"/>
      <c r="N124" s="333">
        <f>IFERROR(IF(L124*M124=0,"",L124*M124),"")</f>
        <v/>
      </c>
      <c r="O124" s="280" t="n"/>
      <c r="P124" s="332">
        <f>IFERROR(VLOOKUP(TEXT(O124,"0"),CONDUCTORES!$A$3:$G$54,2,0),"")</f>
        <v/>
      </c>
      <c r="Q124" s="332">
        <f>IFERROR(VLOOKUP(TEXT(O124,"0"),CONDUCTORES!$A$3:$H$54,6,0),"")</f>
        <v/>
      </c>
      <c r="R124" s="280" t="n"/>
      <c r="S124" s="280" t="n"/>
      <c r="T124" s="280" t="n"/>
      <c r="U124" s="280" t="n"/>
      <c r="V124" s="280" t="n"/>
      <c r="W124" s="280" t="n"/>
      <c r="X124" s="280" t="n"/>
      <c r="Y124" s="280" t="n"/>
      <c r="Z124" s="375">
        <f>IF(AND(G124&lt;&gt;"",R124&lt;&gt;"",V124&lt;&gt;"",W124&lt;&gt;""),"COMPLETADO","OBSERVADO")</f>
        <v/>
      </c>
    </row>
    <row r="125" ht="15" customHeight="1" s="195">
      <c r="A125" s="334" t="n"/>
      <c r="B125" s="334" t="n"/>
      <c r="C125" s="334" t="n"/>
      <c r="D125" s="334" t="n"/>
      <c r="E125" s="334" t="n"/>
      <c r="F125" s="334" t="n"/>
      <c r="G125" s="334" t="n"/>
      <c r="H125" s="334" t="n"/>
      <c r="I125" s="332">
        <f>IFERROR(VLOOKUP(TEXT(H125,"0"),IPRESS!$A$3:$B$212,2,0),"")</f>
        <v/>
      </c>
      <c r="J125" s="334" t="n"/>
      <c r="K125" s="332">
        <f>IFERROR(VLOOKUP(TEXT(O125,"0"),CONDUCTORES!$A$3:$G$54,7,0),"")</f>
        <v/>
      </c>
      <c r="L125" s="334" t="n"/>
      <c r="M125" s="334" t="n"/>
      <c r="N125" s="333">
        <f>IFERROR(IF(L125*M125=0,"",L125*M125),"")</f>
        <v/>
      </c>
      <c r="O125" s="334" t="n"/>
      <c r="P125" s="332">
        <f>IFERROR(VLOOKUP(TEXT(O125,"0"),CONDUCTORES!$A$3:$G$54,2,0),"")</f>
        <v/>
      </c>
      <c r="Q125" s="332">
        <f>IFERROR(VLOOKUP(TEXT(O125,"0"),CONDUCTORES!$A$3:$H$54,6,0),"")</f>
        <v/>
      </c>
      <c r="R125" s="334" t="n"/>
      <c r="S125" s="334" t="n"/>
      <c r="T125" s="334" t="n"/>
      <c r="U125" s="334" t="n"/>
      <c r="V125" s="334" t="n"/>
      <c r="W125" s="334" t="n"/>
      <c r="X125" s="334" t="n"/>
      <c r="Y125" s="334" t="n"/>
      <c r="Z125" s="375">
        <f>IF(AND(G125&lt;&gt;"",R125&lt;&gt;"",V125&lt;&gt;"",W125&lt;&gt;""),"COMPLETADO","OBSERVADO")</f>
        <v/>
      </c>
    </row>
    <row r="126" ht="15" customHeight="1" s="195">
      <c r="A126" s="280" t="n"/>
      <c r="B126" s="280" t="n"/>
      <c r="C126" s="280" t="n"/>
      <c r="D126" s="280" t="n"/>
      <c r="E126" s="280" t="n"/>
      <c r="F126" s="280" t="n"/>
      <c r="G126" s="280" t="n"/>
      <c r="H126" s="280" t="n"/>
      <c r="I126" s="332">
        <f>IFERROR(VLOOKUP(TEXT(H126,"0"),IPRESS!$A$3:$B$212,2,0),"")</f>
        <v/>
      </c>
      <c r="J126" s="280" t="n"/>
      <c r="K126" s="332">
        <f>IFERROR(VLOOKUP(TEXT(O126,"0"),CONDUCTORES!$A$3:$G$54,7,0),"")</f>
        <v/>
      </c>
      <c r="L126" s="280" t="n"/>
      <c r="M126" s="280" t="n"/>
      <c r="N126" s="333">
        <f>IFERROR(IF(L126*M126=0,"",L126*M126),"")</f>
        <v/>
      </c>
      <c r="O126" s="280" t="n"/>
      <c r="P126" s="332">
        <f>IFERROR(VLOOKUP(TEXT(O126,"0"),CONDUCTORES!$A$3:$G$54,2,0),"")</f>
        <v/>
      </c>
      <c r="Q126" s="332">
        <f>IFERROR(VLOOKUP(TEXT(O126,"0"),CONDUCTORES!$A$3:$H$54,6,0),"")</f>
        <v/>
      </c>
      <c r="R126" s="280" t="n"/>
      <c r="S126" s="280" t="n"/>
      <c r="T126" s="280" t="n"/>
      <c r="U126" s="280" t="n"/>
      <c r="V126" s="280" t="n"/>
      <c r="W126" s="280" t="n"/>
      <c r="X126" s="280" t="n"/>
      <c r="Y126" s="280" t="n"/>
      <c r="Z126" s="375">
        <f>IF(AND(G126&lt;&gt;"",R126&lt;&gt;"",V126&lt;&gt;"",W126&lt;&gt;""),"COMPLETADO","OBSERVADO")</f>
        <v/>
      </c>
    </row>
    <row r="127" ht="15" customHeight="1" s="195">
      <c r="A127" s="334" t="n"/>
      <c r="B127" s="334" t="n"/>
      <c r="C127" s="334" t="n"/>
      <c r="D127" s="334" t="n"/>
      <c r="E127" s="334" t="n"/>
      <c r="F127" s="334" t="n"/>
      <c r="G127" s="334" t="n"/>
      <c r="H127" s="334" t="n"/>
      <c r="I127" s="332">
        <f>IFERROR(VLOOKUP(TEXT(H127,"0"),IPRESS!$A$3:$B$212,2,0),"")</f>
        <v/>
      </c>
      <c r="J127" s="334" t="n"/>
      <c r="K127" s="332">
        <f>IFERROR(VLOOKUP(TEXT(O127,"0"),CONDUCTORES!$A$3:$G$54,7,0),"")</f>
        <v/>
      </c>
      <c r="L127" s="334" t="n"/>
      <c r="M127" s="334" t="n"/>
      <c r="N127" s="333">
        <f>IFERROR(IF(L127*M127=0,"",L127*M127),"")</f>
        <v/>
      </c>
      <c r="O127" s="334" t="n"/>
      <c r="P127" s="332">
        <f>IFERROR(VLOOKUP(TEXT(O127,"0"),CONDUCTORES!$A$3:$G$54,2,0),"")</f>
        <v/>
      </c>
      <c r="Q127" s="332">
        <f>IFERROR(VLOOKUP(TEXT(O127,"0"),CONDUCTORES!$A$3:$H$54,6,0),"")</f>
        <v/>
      </c>
      <c r="R127" s="334" t="n"/>
      <c r="S127" s="334" t="n"/>
      <c r="T127" s="334" t="n"/>
      <c r="U127" s="334" t="n"/>
      <c r="V127" s="334" t="n"/>
      <c r="W127" s="334" t="n"/>
      <c r="X127" s="334" t="n"/>
      <c r="Y127" s="334" t="n"/>
      <c r="Z127" s="375">
        <f>IF(AND(G127&lt;&gt;"",R127&lt;&gt;"",V127&lt;&gt;"",W127&lt;&gt;""),"COMPLETADO","OBSERVADO")</f>
        <v/>
      </c>
    </row>
    <row r="128" ht="15" customHeight="1" s="195">
      <c r="A128" s="280" t="n"/>
      <c r="B128" s="280" t="n"/>
      <c r="C128" s="280" t="n"/>
      <c r="D128" s="280" t="n"/>
      <c r="E128" s="280" t="n"/>
      <c r="F128" s="280" t="n"/>
      <c r="G128" s="280" t="n"/>
      <c r="H128" s="280" t="n"/>
      <c r="I128" s="332">
        <f>IFERROR(VLOOKUP(TEXT(H128,"0"),IPRESS!$A$3:$B$212,2,0),"")</f>
        <v/>
      </c>
      <c r="J128" s="280" t="n"/>
      <c r="K128" s="332">
        <f>IFERROR(VLOOKUP(TEXT(O128,"0"),CONDUCTORES!$A$3:$G$54,7,0),"")</f>
        <v/>
      </c>
      <c r="L128" s="280" t="n"/>
      <c r="M128" s="280" t="n"/>
      <c r="N128" s="333">
        <f>IFERROR(IF(L128*M128=0,"",L128*M128),"")</f>
        <v/>
      </c>
      <c r="O128" s="280" t="n"/>
      <c r="P128" s="332">
        <f>IFERROR(VLOOKUP(TEXT(O128,"0"),CONDUCTORES!$A$3:$G$54,2,0),"")</f>
        <v/>
      </c>
      <c r="Q128" s="332">
        <f>IFERROR(VLOOKUP(TEXT(O128,"0"),CONDUCTORES!$A$3:$H$54,6,0),"")</f>
        <v/>
      </c>
      <c r="R128" s="280" t="n"/>
      <c r="S128" s="280" t="n"/>
      <c r="T128" s="280" t="n"/>
      <c r="U128" s="280" t="n"/>
      <c r="V128" s="280" t="n"/>
      <c r="W128" s="280" t="n"/>
      <c r="X128" s="280" t="n"/>
      <c r="Y128" s="280" t="n"/>
      <c r="Z128" s="375">
        <f>IF(AND(G128&lt;&gt;"",R128&lt;&gt;"",V128&lt;&gt;"",W128&lt;&gt;""),"COMPLETADO","OBSERVADO")</f>
        <v/>
      </c>
    </row>
    <row r="129" ht="15" customHeight="1" s="195">
      <c r="A129" s="334" t="n"/>
      <c r="B129" s="334" t="n"/>
      <c r="C129" s="334" t="n"/>
      <c r="D129" s="334" t="n"/>
      <c r="E129" s="334" t="n"/>
      <c r="F129" s="334" t="n"/>
      <c r="G129" s="334" t="n"/>
      <c r="H129" s="334" t="n"/>
      <c r="I129" s="332">
        <f>IFERROR(VLOOKUP(TEXT(H129,"0"),IPRESS!$A$3:$B$212,2,0),"")</f>
        <v/>
      </c>
      <c r="J129" s="334" t="n"/>
      <c r="K129" s="332">
        <f>IFERROR(VLOOKUP(TEXT(O129,"0"),CONDUCTORES!$A$3:$G$54,7,0),"")</f>
        <v/>
      </c>
      <c r="L129" s="334" t="n"/>
      <c r="M129" s="334" t="n"/>
      <c r="N129" s="333">
        <f>IFERROR(IF(L129*M129=0,"",L129*M129),"")</f>
        <v/>
      </c>
      <c r="O129" s="334" t="n"/>
      <c r="P129" s="332">
        <f>IFERROR(VLOOKUP(TEXT(O129,"0"),CONDUCTORES!$A$3:$G$54,2,0),"")</f>
        <v/>
      </c>
      <c r="Q129" s="332">
        <f>IFERROR(VLOOKUP(TEXT(O129,"0"),CONDUCTORES!$A$3:$H$54,6,0),"")</f>
        <v/>
      </c>
      <c r="R129" s="334" t="n"/>
      <c r="S129" s="334" t="n"/>
      <c r="T129" s="334" t="n"/>
      <c r="U129" s="334" t="n"/>
      <c r="V129" s="334" t="n"/>
      <c r="W129" s="334" t="n"/>
      <c r="X129" s="334" t="n"/>
      <c r="Y129" s="334" t="n"/>
      <c r="Z129" s="375">
        <f>IF(AND(G129&lt;&gt;"",R129&lt;&gt;"",V129&lt;&gt;"",W129&lt;&gt;""),"COMPLETADO","OBSERVADO")</f>
        <v/>
      </c>
    </row>
    <row r="130" ht="15" customHeight="1" s="195">
      <c r="A130" s="280" t="n"/>
      <c r="B130" s="280" t="n"/>
      <c r="C130" s="280" t="n"/>
      <c r="D130" s="280" t="n"/>
      <c r="E130" s="280" t="n"/>
      <c r="F130" s="280" t="n"/>
      <c r="G130" s="280" t="n"/>
      <c r="H130" s="280" t="n"/>
      <c r="I130" s="332">
        <f>IFERROR(VLOOKUP(TEXT(H130,"0"),IPRESS!$A$3:$B$212,2,0),"")</f>
        <v/>
      </c>
      <c r="J130" s="280" t="n"/>
      <c r="K130" s="332">
        <f>IFERROR(VLOOKUP(TEXT(O130,"0"),CONDUCTORES!$A$3:$G$54,7,0),"")</f>
        <v/>
      </c>
      <c r="L130" s="280" t="n"/>
      <c r="M130" s="280" t="n"/>
      <c r="N130" s="333">
        <f>IFERROR(IF(L130*M130=0,"",L130*M130),"")</f>
        <v/>
      </c>
      <c r="O130" s="280" t="n"/>
      <c r="P130" s="332">
        <f>IFERROR(VLOOKUP(TEXT(O130,"0"),CONDUCTORES!$A$3:$G$54,2,0),"")</f>
        <v/>
      </c>
      <c r="Q130" s="332">
        <f>IFERROR(VLOOKUP(TEXT(O130,"0"),CONDUCTORES!$A$3:$H$54,6,0),"")</f>
        <v/>
      </c>
      <c r="R130" s="280" t="n"/>
      <c r="S130" s="280" t="n"/>
      <c r="T130" s="280" t="n"/>
      <c r="U130" s="280" t="n"/>
      <c r="V130" s="280" t="n"/>
      <c r="W130" s="280" t="n"/>
      <c r="X130" s="280" t="n"/>
      <c r="Y130" s="280" t="n"/>
      <c r="Z130" s="375">
        <f>IF(AND(G130&lt;&gt;"",R130&lt;&gt;"",V130&lt;&gt;"",W130&lt;&gt;""),"COMPLETADO","OBSERVADO")</f>
        <v/>
      </c>
    </row>
    <row r="131" ht="15" customHeight="1" s="195">
      <c r="A131" s="334" t="n"/>
      <c r="B131" s="334" t="n"/>
      <c r="C131" s="334" t="n"/>
      <c r="D131" s="334" t="n"/>
      <c r="E131" s="334" t="n"/>
      <c r="F131" s="334" t="n"/>
      <c r="G131" s="334" t="n"/>
      <c r="H131" s="334" t="n"/>
      <c r="I131" s="332">
        <f>IFERROR(VLOOKUP(TEXT(H131,"0"),IPRESS!$A$3:$B$212,2,0),"")</f>
        <v/>
      </c>
      <c r="J131" s="334" t="n"/>
      <c r="K131" s="332">
        <f>IFERROR(VLOOKUP(TEXT(O131,"0"),CONDUCTORES!$A$3:$G$54,7,0),"")</f>
        <v/>
      </c>
      <c r="L131" s="334" t="n"/>
      <c r="M131" s="334" t="n"/>
      <c r="N131" s="333">
        <f>IFERROR(IF(L131*M131=0,"",L131*M131),"")</f>
        <v/>
      </c>
      <c r="O131" s="334" t="n"/>
      <c r="P131" s="332">
        <f>IFERROR(VLOOKUP(TEXT(O131,"0"),CONDUCTORES!$A$3:$G$54,2,0),"")</f>
        <v/>
      </c>
      <c r="Q131" s="332">
        <f>IFERROR(VLOOKUP(TEXT(O131,"0"),CONDUCTORES!$A$3:$H$54,6,0),"")</f>
        <v/>
      </c>
      <c r="R131" s="334" t="n"/>
      <c r="S131" s="334" t="n"/>
      <c r="T131" s="334" t="n"/>
      <c r="U131" s="334" t="n"/>
      <c r="V131" s="334" t="n"/>
      <c r="W131" s="334" t="n"/>
      <c r="X131" s="334" t="n"/>
      <c r="Y131" s="334" t="n"/>
      <c r="Z131" s="375">
        <f>IF(AND(G131&lt;&gt;"",R131&lt;&gt;"",V131&lt;&gt;"",W131&lt;&gt;""),"COMPLETADO","OBSERVADO")</f>
        <v/>
      </c>
    </row>
    <row r="132" ht="15" customHeight="1" s="195">
      <c r="A132" s="280" t="n"/>
      <c r="B132" s="280" t="n"/>
      <c r="C132" s="280" t="n"/>
      <c r="D132" s="280" t="n"/>
      <c r="E132" s="280" t="n"/>
      <c r="F132" s="280" t="n"/>
      <c r="G132" s="280" t="n"/>
      <c r="H132" s="280" t="n"/>
      <c r="I132" s="332">
        <f>IFERROR(VLOOKUP(TEXT(H132,"0"),IPRESS!$A$3:$B$212,2,0),"")</f>
        <v/>
      </c>
      <c r="J132" s="280" t="n"/>
      <c r="K132" s="332">
        <f>IFERROR(VLOOKUP(TEXT(O132,"0"),CONDUCTORES!$A$3:$G$54,7,0),"")</f>
        <v/>
      </c>
      <c r="L132" s="280" t="n"/>
      <c r="M132" s="280" t="n"/>
      <c r="N132" s="333">
        <f>IFERROR(IF(L132*M132=0,"",L132*M132),"")</f>
        <v/>
      </c>
      <c r="O132" s="280" t="n"/>
      <c r="P132" s="332">
        <f>IFERROR(VLOOKUP(TEXT(O132,"0"),CONDUCTORES!$A$3:$G$54,2,0),"")</f>
        <v/>
      </c>
      <c r="Q132" s="332">
        <f>IFERROR(VLOOKUP(TEXT(O132,"0"),CONDUCTORES!$A$3:$H$54,6,0),"")</f>
        <v/>
      </c>
      <c r="R132" s="280" t="n"/>
      <c r="S132" s="280" t="n"/>
      <c r="T132" s="280" t="n"/>
      <c r="U132" s="280" t="n"/>
      <c r="V132" s="280" t="n"/>
      <c r="W132" s="280" t="n"/>
      <c r="X132" s="280" t="n"/>
      <c r="Y132" s="280" t="n"/>
      <c r="Z132" s="375">
        <f>IF(AND(G132&lt;&gt;"",R132&lt;&gt;"",V132&lt;&gt;"",W132&lt;&gt;""),"COMPLETADO","OBSERVADO")</f>
        <v/>
      </c>
    </row>
    <row r="133" ht="15" customHeight="1" s="195">
      <c r="A133" s="334" t="n"/>
      <c r="B133" s="334" t="n"/>
      <c r="C133" s="334" t="n"/>
      <c r="D133" s="334" t="n"/>
      <c r="E133" s="334" t="n"/>
      <c r="F133" s="334" t="n"/>
      <c r="G133" s="334" t="n"/>
      <c r="H133" s="334" t="n"/>
      <c r="I133" s="332">
        <f>IFERROR(VLOOKUP(TEXT(H133,"0"),IPRESS!$A$3:$B$212,2,0),"")</f>
        <v/>
      </c>
      <c r="J133" s="334" t="n"/>
      <c r="K133" s="332">
        <f>IFERROR(VLOOKUP(TEXT(O133,"0"),CONDUCTORES!$A$3:$G$54,7,0),"")</f>
        <v/>
      </c>
      <c r="L133" s="334" t="n"/>
      <c r="M133" s="334" t="n"/>
      <c r="N133" s="333">
        <f>IFERROR(IF(L133*M133=0,"",L133*M133),"")</f>
        <v/>
      </c>
      <c r="O133" s="334" t="n"/>
      <c r="P133" s="332">
        <f>IFERROR(VLOOKUP(TEXT(O133,"0"),CONDUCTORES!$A$3:$G$54,2,0),"")</f>
        <v/>
      </c>
      <c r="Q133" s="332">
        <f>IFERROR(VLOOKUP(TEXT(O133,"0"),CONDUCTORES!$A$3:$H$54,6,0),"")</f>
        <v/>
      </c>
      <c r="R133" s="334" t="n"/>
      <c r="S133" s="334" t="n"/>
      <c r="T133" s="334" t="n"/>
      <c r="U133" s="334" t="n"/>
      <c r="V133" s="334" t="n"/>
      <c r="W133" s="334" t="n"/>
      <c r="X133" s="334" t="n"/>
      <c r="Y133" s="334" t="n"/>
      <c r="Z133" s="375">
        <f>IF(AND(G133&lt;&gt;"",R133&lt;&gt;"",V133&lt;&gt;"",W133&lt;&gt;""),"COMPLETADO","OBSERVADO")</f>
        <v/>
      </c>
    </row>
    <row r="134" ht="15" customHeight="1" s="195">
      <c r="A134" s="280" t="n"/>
      <c r="B134" s="280" t="n"/>
      <c r="C134" s="280" t="n"/>
      <c r="D134" s="280" t="n"/>
      <c r="E134" s="280" t="n"/>
      <c r="F134" s="280" t="n"/>
      <c r="G134" s="280" t="n"/>
      <c r="H134" s="280" t="n"/>
      <c r="I134" s="332">
        <f>IFERROR(VLOOKUP(TEXT(H134,"0"),IPRESS!$A$3:$B$212,2,0),"")</f>
        <v/>
      </c>
      <c r="J134" s="280" t="n"/>
      <c r="K134" s="332">
        <f>IFERROR(VLOOKUP(TEXT(O134,"0"),CONDUCTORES!$A$3:$G$54,7,0),"")</f>
        <v/>
      </c>
      <c r="L134" s="280" t="n"/>
      <c r="M134" s="280" t="n"/>
      <c r="N134" s="333">
        <f>IFERROR(IF(L134*M134=0,"",L134*M134),"")</f>
        <v/>
      </c>
      <c r="O134" s="280" t="n"/>
      <c r="P134" s="332">
        <f>IFERROR(VLOOKUP(TEXT(O134,"0"),CONDUCTORES!$A$3:$G$54,2,0),"")</f>
        <v/>
      </c>
      <c r="Q134" s="332">
        <f>IFERROR(VLOOKUP(TEXT(O134,"0"),CONDUCTORES!$A$3:$H$54,6,0),"")</f>
        <v/>
      </c>
      <c r="R134" s="280" t="n"/>
      <c r="S134" s="280" t="n"/>
      <c r="T134" s="280" t="n"/>
      <c r="U134" s="280" t="n"/>
      <c r="V134" s="280" t="n"/>
      <c r="W134" s="280" t="n"/>
      <c r="X134" s="280" t="n"/>
      <c r="Y134" s="280" t="n"/>
      <c r="Z134" s="375">
        <f>IF(AND(G134&lt;&gt;"",R134&lt;&gt;"",V134&lt;&gt;"",W134&lt;&gt;""),"COMPLETADO","OBSERVADO")</f>
        <v/>
      </c>
    </row>
    <row r="135" ht="15" customHeight="1" s="195">
      <c r="A135" s="334" t="n"/>
      <c r="B135" s="334" t="n"/>
      <c r="C135" s="334" t="n"/>
      <c r="D135" s="334" t="n"/>
      <c r="E135" s="334" t="n"/>
      <c r="F135" s="334" t="n"/>
      <c r="G135" s="334" t="n"/>
      <c r="H135" s="334" t="n"/>
      <c r="I135" s="332">
        <f>IFERROR(VLOOKUP(TEXT(H135,"0"),IPRESS!$A$3:$B$212,2,0),"")</f>
        <v/>
      </c>
      <c r="J135" s="334" t="n"/>
      <c r="K135" s="332">
        <f>IFERROR(VLOOKUP(TEXT(O135,"0"),CONDUCTORES!$A$3:$G$54,7,0),"")</f>
        <v/>
      </c>
      <c r="L135" s="334" t="n"/>
      <c r="M135" s="334" t="n"/>
      <c r="N135" s="333">
        <f>IFERROR(IF(L135*M135=0,"",L135*M135),"")</f>
        <v/>
      </c>
      <c r="O135" s="334" t="n"/>
      <c r="P135" s="332">
        <f>IFERROR(VLOOKUP(TEXT(O135,"0"),CONDUCTORES!$A$3:$G$54,2,0),"")</f>
        <v/>
      </c>
      <c r="Q135" s="332">
        <f>IFERROR(VLOOKUP(TEXT(O135,"0"),CONDUCTORES!$A$3:$H$54,6,0),"")</f>
        <v/>
      </c>
      <c r="R135" s="334" t="n"/>
      <c r="S135" s="334" t="n"/>
      <c r="T135" s="334" t="n"/>
      <c r="U135" s="334" t="n"/>
      <c r="V135" s="334" t="n"/>
      <c r="W135" s="334" t="n"/>
      <c r="X135" s="334" t="n"/>
      <c r="Y135" s="334" t="n"/>
      <c r="Z135" s="375">
        <f>IF(AND(G135&lt;&gt;"",R135&lt;&gt;"",V135&lt;&gt;"",W135&lt;&gt;""),"COMPLETADO","OBSERVADO")</f>
        <v/>
      </c>
    </row>
    <row r="136" ht="15" customHeight="1" s="195">
      <c r="A136" s="280" t="n"/>
      <c r="B136" s="280" t="n"/>
      <c r="C136" s="280" t="n"/>
      <c r="D136" s="280" t="n"/>
      <c r="E136" s="280" t="n"/>
      <c r="F136" s="280" t="n"/>
      <c r="G136" s="280" t="n"/>
      <c r="H136" s="280" t="n"/>
      <c r="I136" s="332">
        <f>IFERROR(VLOOKUP(TEXT(H136,"0"),IPRESS!$A$3:$B$212,2,0),"")</f>
        <v/>
      </c>
      <c r="J136" s="280" t="n"/>
      <c r="K136" s="332">
        <f>IFERROR(VLOOKUP(TEXT(O136,"0"),CONDUCTORES!$A$3:$G$54,7,0),"")</f>
        <v/>
      </c>
      <c r="L136" s="280" t="n"/>
      <c r="M136" s="280" t="n"/>
      <c r="N136" s="333">
        <f>IFERROR(IF(L136*M136=0,"",L136*M136),"")</f>
        <v/>
      </c>
      <c r="O136" s="280" t="n"/>
      <c r="P136" s="332">
        <f>IFERROR(VLOOKUP(TEXT(O136,"0"),CONDUCTORES!$A$3:$G$54,2,0),"")</f>
        <v/>
      </c>
      <c r="Q136" s="332">
        <f>IFERROR(VLOOKUP(TEXT(O136,"0"),CONDUCTORES!$A$3:$H$54,6,0),"")</f>
        <v/>
      </c>
      <c r="R136" s="280" t="n"/>
      <c r="S136" s="280" t="n"/>
      <c r="T136" s="280" t="n"/>
      <c r="U136" s="280" t="n"/>
      <c r="V136" s="280" t="n"/>
      <c r="W136" s="280" t="n"/>
      <c r="X136" s="280" t="n"/>
      <c r="Y136" s="280" t="n"/>
      <c r="Z136" s="375">
        <f>IF(AND(G136&lt;&gt;"",R136&lt;&gt;"",V136&lt;&gt;"",W136&lt;&gt;""),"COMPLETADO","OBSERVADO")</f>
        <v/>
      </c>
    </row>
    <row r="137" ht="15" customHeight="1" s="195">
      <c r="A137" s="334" t="n"/>
      <c r="B137" s="334" t="n"/>
      <c r="C137" s="334" t="n"/>
      <c r="D137" s="334" t="n"/>
      <c r="E137" s="334" t="n"/>
      <c r="F137" s="334" t="n"/>
      <c r="G137" s="334" t="n"/>
      <c r="H137" s="334" t="n"/>
      <c r="I137" s="332">
        <f>IFERROR(VLOOKUP(TEXT(H137,"0"),IPRESS!$A$3:$B$212,2,0),"")</f>
        <v/>
      </c>
      <c r="J137" s="334" t="n"/>
      <c r="K137" s="332">
        <f>IFERROR(VLOOKUP(TEXT(O137,"0"),CONDUCTORES!$A$3:$G$54,7,0),"")</f>
        <v/>
      </c>
      <c r="L137" s="334" t="n"/>
      <c r="M137" s="334" t="n"/>
      <c r="N137" s="333">
        <f>IFERROR(IF(L137*M137=0,"",L137*M137),"")</f>
        <v/>
      </c>
      <c r="O137" s="334" t="n"/>
      <c r="P137" s="332">
        <f>IFERROR(VLOOKUP(TEXT(O137,"0"),CONDUCTORES!$A$3:$G$54,2,0),"")</f>
        <v/>
      </c>
      <c r="Q137" s="332">
        <f>IFERROR(VLOOKUP(TEXT(O137,"0"),CONDUCTORES!$A$3:$H$54,6,0),"")</f>
        <v/>
      </c>
      <c r="R137" s="334" t="n"/>
      <c r="S137" s="334" t="n"/>
      <c r="T137" s="334" t="n"/>
      <c r="U137" s="334" t="n"/>
      <c r="V137" s="334" t="n"/>
      <c r="W137" s="334" t="n"/>
      <c r="X137" s="334" t="n"/>
      <c r="Y137" s="334" t="n"/>
      <c r="Z137" s="375">
        <f>IF(AND(G137&lt;&gt;"",R137&lt;&gt;"",V137&lt;&gt;"",W137&lt;&gt;""),"COMPLETADO","OBSERVADO")</f>
        <v/>
      </c>
    </row>
    <row r="138" ht="15" customHeight="1" s="195">
      <c r="A138" s="280" t="n"/>
      <c r="B138" s="280" t="n"/>
      <c r="C138" s="280" t="n"/>
      <c r="D138" s="280" t="n"/>
      <c r="E138" s="280" t="n"/>
      <c r="F138" s="280" t="n"/>
      <c r="G138" s="280" t="n"/>
      <c r="H138" s="280" t="n"/>
      <c r="I138" s="332">
        <f>IFERROR(VLOOKUP(TEXT(H138,"0"),IPRESS!$A$3:$B$212,2,0),"")</f>
        <v/>
      </c>
      <c r="J138" s="280" t="n"/>
      <c r="K138" s="332">
        <f>IFERROR(VLOOKUP(TEXT(O138,"0"),CONDUCTORES!$A$3:$G$54,7,0),"")</f>
        <v/>
      </c>
      <c r="L138" s="280" t="n"/>
      <c r="M138" s="280" t="n"/>
      <c r="N138" s="333">
        <f>IFERROR(IF(L138*M138=0,"",L138*M138),"")</f>
        <v/>
      </c>
      <c r="O138" s="280" t="n"/>
      <c r="P138" s="332">
        <f>IFERROR(VLOOKUP(TEXT(O138,"0"),CONDUCTORES!$A$3:$G$54,2,0),"")</f>
        <v/>
      </c>
      <c r="Q138" s="332">
        <f>IFERROR(VLOOKUP(TEXT(O138,"0"),CONDUCTORES!$A$3:$H$54,6,0),"")</f>
        <v/>
      </c>
      <c r="R138" s="280" t="n"/>
      <c r="S138" s="280" t="n"/>
      <c r="T138" s="280" t="n"/>
      <c r="U138" s="280" t="n"/>
      <c r="V138" s="280" t="n"/>
      <c r="W138" s="280" t="n"/>
      <c r="X138" s="280" t="n"/>
      <c r="Y138" s="280" t="n"/>
      <c r="Z138" s="375">
        <f>IF(AND(G138&lt;&gt;"",R138&lt;&gt;"",V138&lt;&gt;"",W138&lt;&gt;""),"COMPLETADO","OBSERVADO")</f>
        <v/>
      </c>
    </row>
    <row r="139" ht="15" customHeight="1" s="195">
      <c r="A139" s="334" t="n"/>
      <c r="B139" s="334" t="n"/>
      <c r="C139" s="334" t="n"/>
      <c r="D139" s="334" t="n"/>
      <c r="E139" s="334" t="n"/>
      <c r="F139" s="334" t="n"/>
      <c r="G139" s="334" t="n"/>
      <c r="H139" s="334" t="n"/>
      <c r="I139" s="332">
        <f>IFERROR(VLOOKUP(TEXT(H139,"0"),IPRESS!$A$3:$B$212,2,0),"")</f>
        <v/>
      </c>
      <c r="J139" s="334" t="n"/>
      <c r="K139" s="332">
        <f>IFERROR(VLOOKUP(TEXT(O139,"0"),CONDUCTORES!$A$3:$G$54,7,0),"")</f>
        <v/>
      </c>
      <c r="L139" s="334" t="n"/>
      <c r="M139" s="334" t="n"/>
      <c r="N139" s="333">
        <f>IFERROR(IF(L139*M139=0,"",L139*M139),"")</f>
        <v/>
      </c>
      <c r="O139" s="334" t="n"/>
      <c r="P139" s="332">
        <f>IFERROR(VLOOKUP(TEXT(O139,"0"),CONDUCTORES!$A$3:$G$54,2,0),"")</f>
        <v/>
      </c>
      <c r="Q139" s="332">
        <f>IFERROR(VLOOKUP(TEXT(O139,"0"),CONDUCTORES!$A$3:$H$54,6,0),"")</f>
        <v/>
      </c>
      <c r="R139" s="334" t="n"/>
      <c r="S139" s="334" t="n"/>
      <c r="T139" s="334" t="n"/>
      <c r="U139" s="334" t="n"/>
      <c r="V139" s="334" t="n"/>
      <c r="W139" s="334" t="n"/>
      <c r="X139" s="334" t="n"/>
      <c r="Y139" s="334" t="n"/>
      <c r="Z139" s="375">
        <f>IF(AND(G139&lt;&gt;"",R139&lt;&gt;"",V139&lt;&gt;"",W139&lt;&gt;""),"COMPLETADO","OBSERVADO")</f>
        <v/>
      </c>
    </row>
    <row r="140" ht="15" customHeight="1" s="195">
      <c r="A140" s="280" t="n"/>
      <c r="B140" s="280" t="n"/>
      <c r="C140" s="280" t="n"/>
      <c r="D140" s="280" t="n"/>
      <c r="E140" s="280" t="n"/>
      <c r="F140" s="280" t="n"/>
      <c r="G140" s="280" t="n"/>
      <c r="H140" s="280" t="n"/>
      <c r="I140" s="332">
        <f>IFERROR(VLOOKUP(TEXT(H140,"0"),IPRESS!$A$3:$B$212,2,0),"")</f>
        <v/>
      </c>
      <c r="J140" s="280" t="n"/>
      <c r="K140" s="332">
        <f>IFERROR(VLOOKUP(TEXT(O140,"0"),CONDUCTORES!$A$3:$G$54,7,0),"")</f>
        <v/>
      </c>
      <c r="L140" s="280" t="n"/>
      <c r="M140" s="280" t="n"/>
      <c r="N140" s="333">
        <f>IFERROR(IF(L140*M140=0,"",L140*M140),"")</f>
        <v/>
      </c>
      <c r="O140" s="280" t="n"/>
      <c r="P140" s="332">
        <f>IFERROR(VLOOKUP(TEXT(O140,"0"),CONDUCTORES!$A$3:$G$54,2,0),"")</f>
        <v/>
      </c>
      <c r="Q140" s="332">
        <f>IFERROR(VLOOKUP(TEXT(O140,"0"),CONDUCTORES!$A$3:$H$54,6,0),"")</f>
        <v/>
      </c>
      <c r="R140" s="280" t="n"/>
      <c r="S140" s="280" t="n"/>
      <c r="T140" s="280" t="n"/>
      <c r="U140" s="280" t="n"/>
      <c r="V140" s="280" t="n"/>
      <c r="W140" s="280" t="n"/>
      <c r="X140" s="280" t="n"/>
      <c r="Y140" s="280" t="n"/>
      <c r="Z140" s="375">
        <f>IF(AND(G140&lt;&gt;"",R140&lt;&gt;"",V140&lt;&gt;"",W140&lt;&gt;""),"COMPLETADO","OBSERVADO")</f>
        <v/>
      </c>
    </row>
    <row r="141" ht="15" customHeight="1" s="195">
      <c r="A141" s="334" t="n"/>
      <c r="B141" s="334" t="n"/>
      <c r="C141" s="334" t="n"/>
      <c r="D141" s="334" t="n"/>
      <c r="E141" s="334" t="n"/>
      <c r="F141" s="334" t="n"/>
      <c r="G141" s="334" t="n"/>
      <c r="H141" s="334" t="n"/>
      <c r="I141" s="332">
        <f>IFERROR(VLOOKUP(TEXT(H141,"0"),IPRESS!$A$3:$B$212,2,0),"")</f>
        <v/>
      </c>
      <c r="J141" s="334" t="n"/>
      <c r="K141" s="332">
        <f>IFERROR(VLOOKUP(TEXT(O141,"0"),CONDUCTORES!$A$3:$G$54,7,0),"")</f>
        <v/>
      </c>
      <c r="L141" s="334" t="n"/>
      <c r="M141" s="334" t="n"/>
      <c r="N141" s="333">
        <f>IFERROR(IF(L141*M141=0,"",L141*M141),"")</f>
        <v/>
      </c>
      <c r="O141" s="334" t="n"/>
      <c r="P141" s="332">
        <f>IFERROR(VLOOKUP(TEXT(O141,"0"),CONDUCTORES!$A$3:$G$54,2,0),"")</f>
        <v/>
      </c>
      <c r="Q141" s="332">
        <f>IFERROR(VLOOKUP(TEXT(O141,"0"),CONDUCTORES!$A$3:$H$54,6,0),"")</f>
        <v/>
      </c>
      <c r="R141" s="334" t="n"/>
      <c r="S141" s="334" t="n"/>
      <c r="T141" s="334" t="n"/>
      <c r="U141" s="334" t="n"/>
      <c r="V141" s="334" t="n"/>
      <c r="W141" s="334" t="n"/>
      <c r="X141" s="334" t="n"/>
      <c r="Y141" s="334" t="n"/>
      <c r="Z141" s="375">
        <f>IF(AND(G141&lt;&gt;"",R141&lt;&gt;"",V141&lt;&gt;"",W141&lt;&gt;""),"COMPLETADO","OBSERVADO")</f>
        <v/>
      </c>
    </row>
    <row r="142" ht="15" customHeight="1" s="195">
      <c r="A142" s="280" t="n"/>
      <c r="B142" s="280" t="n"/>
      <c r="C142" s="280" t="n"/>
      <c r="D142" s="280" t="n"/>
      <c r="E142" s="280" t="n"/>
      <c r="F142" s="280" t="n"/>
      <c r="G142" s="280" t="n"/>
      <c r="H142" s="280" t="n"/>
      <c r="I142" s="332">
        <f>IFERROR(VLOOKUP(TEXT(H142,"0"),IPRESS!$A$3:$B$212,2,0),"")</f>
        <v/>
      </c>
      <c r="J142" s="280" t="n"/>
      <c r="K142" s="332">
        <f>IFERROR(VLOOKUP(TEXT(O142,"0"),CONDUCTORES!$A$3:$G$54,7,0),"")</f>
        <v/>
      </c>
      <c r="L142" s="280" t="n"/>
      <c r="M142" s="280" t="n"/>
      <c r="N142" s="333">
        <f>IFERROR(IF(L142*M142=0,"",L142*M142),"")</f>
        <v/>
      </c>
      <c r="O142" s="280" t="n"/>
      <c r="P142" s="332">
        <f>IFERROR(VLOOKUP(TEXT(O142,"0"),CONDUCTORES!$A$3:$G$54,2,0),"")</f>
        <v/>
      </c>
      <c r="Q142" s="332">
        <f>IFERROR(VLOOKUP(TEXT(O142,"0"),CONDUCTORES!$A$3:$H$54,6,0),"")</f>
        <v/>
      </c>
      <c r="R142" s="280" t="n"/>
      <c r="S142" s="280" t="n"/>
      <c r="T142" s="280" t="n"/>
      <c r="U142" s="280" t="n"/>
      <c r="V142" s="280" t="n"/>
      <c r="W142" s="280" t="n"/>
      <c r="X142" s="280" t="n"/>
      <c r="Y142" s="280" t="n"/>
      <c r="Z142" s="375">
        <f>IF(AND(G142&lt;&gt;"",R142&lt;&gt;"",V142&lt;&gt;"",W142&lt;&gt;""),"COMPLETADO","OBSERVADO")</f>
        <v/>
      </c>
    </row>
    <row r="143" ht="15" customHeight="1" s="195">
      <c r="A143" s="334" t="n"/>
      <c r="B143" s="334" t="n"/>
      <c r="C143" s="334" t="n"/>
      <c r="D143" s="334" t="n"/>
      <c r="E143" s="334" t="n"/>
      <c r="F143" s="334" t="n"/>
      <c r="G143" s="334" t="n"/>
      <c r="H143" s="334" t="n"/>
      <c r="I143" s="332">
        <f>IFERROR(VLOOKUP(TEXT(H143,"0"),IPRESS!$A$3:$B$212,2,0),"")</f>
        <v/>
      </c>
      <c r="J143" s="334" t="n"/>
      <c r="K143" s="332">
        <f>IFERROR(VLOOKUP(TEXT(O143,"0"),CONDUCTORES!$A$3:$G$54,7,0),"")</f>
        <v/>
      </c>
      <c r="L143" s="334" t="n"/>
      <c r="M143" s="334" t="n"/>
      <c r="N143" s="333">
        <f>IFERROR(IF(L143*M143=0,"",L143*M143),"")</f>
        <v/>
      </c>
      <c r="O143" s="334" t="n"/>
      <c r="P143" s="332">
        <f>IFERROR(VLOOKUP(TEXT(O143,"0"),CONDUCTORES!$A$3:$G$54,2,0),"")</f>
        <v/>
      </c>
      <c r="Q143" s="332">
        <f>IFERROR(VLOOKUP(TEXT(O143,"0"),CONDUCTORES!$A$3:$H$54,6,0),"")</f>
        <v/>
      </c>
      <c r="R143" s="334" t="n"/>
      <c r="S143" s="334" t="n"/>
      <c r="T143" s="334" t="n"/>
      <c r="U143" s="334" t="n"/>
      <c r="V143" s="334" t="n"/>
      <c r="W143" s="334" t="n"/>
      <c r="X143" s="334" t="n"/>
      <c r="Y143" s="334" t="n"/>
      <c r="Z143" s="375">
        <f>IF(AND(G143&lt;&gt;"",R143&lt;&gt;"",V143&lt;&gt;"",W143&lt;&gt;""),"COMPLETADO","OBSERVADO")</f>
        <v/>
      </c>
    </row>
    <row r="144" ht="15" customHeight="1" s="195">
      <c r="A144" s="280" t="n"/>
      <c r="B144" s="280" t="n"/>
      <c r="C144" s="280" t="n"/>
      <c r="D144" s="280" t="n"/>
      <c r="E144" s="280" t="n"/>
      <c r="F144" s="280" t="n"/>
      <c r="G144" s="280" t="n"/>
      <c r="H144" s="280" t="n"/>
      <c r="I144" s="332">
        <f>IFERROR(VLOOKUP(TEXT(H144,"0"),IPRESS!$A$3:$B$212,2,0),"")</f>
        <v/>
      </c>
      <c r="J144" s="280" t="n"/>
      <c r="K144" s="332">
        <f>IFERROR(VLOOKUP(TEXT(O144,"0"),CONDUCTORES!$A$3:$G$54,7,0),"")</f>
        <v/>
      </c>
      <c r="L144" s="280" t="n"/>
      <c r="M144" s="280" t="n"/>
      <c r="N144" s="333">
        <f>IFERROR(IF(L144*M144=0,"",L144*M144),"")</f>
        <v/>
      </c>
      <c r="O144" s="280" t="n"/>
      <c r="P144" s="332">
        <f>IFERROR(VLOOKUP(TEXT(O144,"0"),CONDUCTORES!$A$3:$G$54,2,0),"")</f>
        <v/>
      </c>
      <c r="Q144" s="332">
        <f>IFERROR(VLOOKUP(TEXT(O144,"0"),CONDUCTORES!$A$3:$H$54,6,0),"")</f>
        <v/>
      </c>
      <c r="R144" s="280" t="n"/>
      <c r="S144" s="280" t="n"/>
      <c r="T144" s="280" t="n"/>
      <c r="U144" s="280" t="n"/>
      <c r="V144" s="280" t="n"/>
      <c r="W144" s="280" t="n"/>
      <c r="X144" s="280" t="n"/>
      <c r="Y144" s="280" t="n"/>
      <c r="Z144" s="375">
        <f>IF(AND(G144&lt;&gt;"",R144&lt;&gt;"",V144&lt;&gt;"",W144&lt;&gt;""),"COMPLETADO","OBSERVADO")</f>
        <v/>
      </c>
    </row>
    <row r="145" ht="15" customHeight="1" s="195">
      <c r="A145" s="334" t="n"/>
      <c r="B145" s="334" t="n"/>
      <c r="C145" s="334" t="n"/>
      <c r="D145" s="334" t="n"/>
      <c r="E145" s="334" t="n"/>
      <c r="F145" s="334" t="n"/>
      <c r="G145" s="334" t="n"/>
      <c r="H145" s="334" t="n"/>
      <c r="I145" s="332">
        <f>IFERROR(VLOOKUP(TEXT(H145,"0"),IPRESS!$A$3:$B$212,2,0),"")</f>
        <v/>
      </c>
      <c r="J145" s="334" t="n"/>
      <c r="K145" s="332">
        <f>IFERROR(VLOOKUP(TEXT(O145,"0"),CONDUCTORES!$A$3:$G$54,7,0),"")</f>
        <v/>
      </c>
      <c r="L145" s="334" t="n"/>
      <c r="M145" s="334" t="n"/>
      <c r="N145" s="333">
        <f>IFERROR(IF(L145*M145=0,"",L145*M145),"")</f>
        <v/>
      </c>
      <c r="O145" s="334" t="n"/>
      <c r="P145" s="332">
        <f>IFERROR(VLOOKUP(TEXT(O145,"0"),CONDUCTORES!$A$3:$G$54,2,0),"")</f>
        <v/>
      </c>
      <c r="Q145" s="332">
        <f>IFERROR(VLOOKUP(TEXT(O145,"0"),CONDUCTORES!$A$3:$H$54,6,0),"")</f>
        <v/>
      </c>
      <c r="R145" s="334" t="n"/>
      <c r="S145" s="334" t="n"/>
      <c r="T145" s="334" t="n"/>
      <c r="U145" s="334" t="n"/>
      <c r="V145" s="334" t="n"/>
      <c r="W145" s="334" t="n"/>
      <c r="X145" s="334" t="n"/>
      <c r="Y145" s="334" t="n"/>
      <c r="Z145" s="375">
        <f>IF(AND(G145&lt;&gt;"",R145&lt;&gt;"",V145&lt;&gt;"",W145&lt;&gt;""),"COMPLETADO","OBSERVADO")</f>
        <v/>
      </c>
    </row>
    <row r="146" ht="15" customHeight="1" s="195">
      <c r="A146" s="280" t="n"/>
      <c r="B146" s="280" t="n"/>
      <c r="C146" s="280" t="n"/>
      <c r="D146" s="280" t="n"/>
      <c r="E146" s="280" t="n"/>
      <c r="F146" s="280" t="n"/>
      <c r="G146" s="280" t="n"/>
      <c r="H146" s="280" t="n"/>
      <c r="I146" s="332">
        <f>IFERROR(VLOOKUP(TEXT(H146,"0"),IPRESS!$A$3:$B$212,2,0),"")</f>
        <v/>
      </c>
      <c r="J146" s="280" t="n"/>
      <c r="K146" s="332">
        <f>IFERROR(VLOOKUP(TEXT(O146,"0"),CONDUCTORES!$A$3:$G$54,7,0),"")</f>
        <v/>
      </c>
      <c r="L146" s="280" t="n"/>
      <c r="M146" s="280" t="n"/>
      <c r="N146" s="333">
        <f>IFERROR(IF(L146*M146=0,"",L146*M146),"")</f>
        <v/>
      </c>
      <c r="O146" s="280" t="n"/>
      <c r="P146" s="332">
        <f>IFERROR(VLOOKUP(TEXT(O146,"0"),CONDUCTORES!$A$3:$G$54,2,0),"")</f>
        <v/>
      </c>
      <c r="Q146" s="332">
        <f>IFERROR(VLOOKUP(TEXT(O146,"0"),CONDUCTORES!$A$3:$H$54,6,0),"")</f>
        <v/>
      </c>
      <c r="R146" s="280" t="n"/>
      <c r="S146" s="280" t="n"/>
      <c r="T146" s="280" t="n"/>
      <c r="U146" s="280" t="n"/>
      <c r="V146" s="280" t="n"/>
      <c r="W146" s="280" t="n"/>
      <c r="X146" s="280" t="n"/>
      <c r="Y146" s="280" t="n"/>
      <c r="Z146" s="375">
        <f>IF(AND(G146&lt;&gt;"",R146&lt;&gt;"",V146&lt;&gt;"",W146&lt;&gt;""),"COMPLETADO","OBSERVADO")</f>
        <v/>
      </c>
    </row>
    <row r="147" ht="15" customHeight="1" s="195">
      <c r="A147" s="334" t="n"/>
      <c r="B147" s="334" t="n"/>
      <c r="C147" s="334" t="n"/>
      <c r="D147" s="334" t="n"/>
      <c r="E147" s="334" t="n"/>
      <c r="F147" s="334" t="n"/>
      <c r="G147" s="334" t="n"/>
      <c r="H147" s="334" t="n"/>
      <c r="I147" s="332">
        <f>IFERROR(VLOOKUP(TEXT(H147,"0"),IPRESS!$A$3:$B$212,2,0),"")</f>
        <v/>
      </c>
      <c r="J147" s="334" t="n"/>
      <c r="K147" s="332">
        <f>IFERROR(VLOOKUP(TEXT(O147,"0"),CONDUCTORES!$A$3:$G$54,7,0),"")</f>
        <v/>
      </c>
      <c r="L147" s="334" t="n"/>
      <c r="M147" s="334" t="n"/>
      <c r="N147" s="333">
        <f>IFERROR(IF(L147*M147=0,"",L147*M147),"")</f>
        <v/>
      </c>
      <c r="O147" s="334" t="n"/>
      <c r="P147" s="332">
        <f>IFERROR(VLOOKUP(TEXT(O147,"0"),CONDUCTORES!$A$3:$G$54,2,0),"")</f>
        <v/>
      </c>
      <c r="Q147" s="332">
        <f>IFERROR(VLOOKUP(TEXT(O147,"0"),CONDUCTORES!$A$3:$H$54,6,0),"")</f>
        <v/>
      </c>
      <c r="R147" s="334" t="n"/>
      <c r="S147" s="334" t="n"/>
      <c r="T147" s="334" t="n"/>
      <c r="U147" s="334" t="n"/>
      <c r="V147" s="334" t="n"/>
      <c r="W147" s="334" t="n"/>
      <c r="X147" s="334" t="n"/>
      <c r="Y147" s="334" t="n"/>
      <c r="Z147" s="375">
        <f>IF(AND(G147&lt;&gt;"",R147&lt;&gt;"",V147&lt;&gt;"",W147&lt;&gt;""),"COMPLETADO","OBSERVADO")</f>
        <v/>
      </c>
    </row>
    <row r="148" ht="15" customHeight="1" s="195">
      <c r="A148" s="280" t="n"/>
      <c r="B148" s="280" t="n"/>
      <c r="C148" s="280" t="n"/>
      <c r="D148" s="280" t="n"/>
      <c r="E148" s="280" t="n"/>
      <c r="F148" s="280" t="n"/>
      <c r="G148" s="280" t="n"/>
      <c r="H148" s="280" t="n"/>
      <c r="I148" s="332">
        <f>IFERROR(VLOOKUP(TEXT(H148,"0"),IPRESS!$A$3:$B$212,2,0),"")</f>
        <v/>
      </c>
      <c r="J148" s="280" t="n"/>
      <c r="K148" s="332">
        <f>IFERROR(VLOOKUP(TEXT(O148,"0"),CONDUCTORES!$A$3:$G$54,7,0),"")</f>
        <v/>
      </c>
      <c r="L148" s="280" t="n"/>
      <c r="M148" s="280" t="n"/>
      <c r="N148" s="333">
        <f>IFERROR(IF(L148*M148=0,"",L148*M148),"")</f>
        <v/>
      </c>
      <c r="O148" s="280" t="n"/>
      <c r="P148" s="332">
        <f>IFERROR(VLOOKUP(TEXT(O148,"0"),CONDUCTORES!$A$3:$G$54,2,0),"")</f>
        <v/>
      </c>
      <c r="Q148" s="332">
        <f>IFERROR(VLOOKUP(TEXT(O148,"0"),CONDUCTORES!$A$3:$H$54,6,0),"")</f>
        <v/>
      </c>
      <c r="R148" s="280" t="n"/>
      <c r="S148" s="280" t="n"/>
      <c r="T148" s="280" t="n"/>
      <c r="U148" s="280" t="n"/>
      <c r="V148" s="280" t="n"/>
      <c r="W148" s="280" t="n"/>
      <c r="X148" s="280" t="n"/>
      <c r="Y148" s="280" t="n"/>
      <c r="Z148" s="375">
        <f>IF(AND(G148&lt;&gt;"",R148&lt;&gt;"",V148&lt;&gt;"",W148&lt;&gt;""),"COMPLETADO","OBSERVADO")</f>
        <v/>
      </c>
    </row>
    <row r="149" ht="15" customHeight="1" s="195">
      <c r="A149" s="334" t="n"/>
      <c r="B149" s="334" t="n"/>
      <c r="C149" s="334" t="n"/>
      <c r="D149" s="334" t="n"/>
      <c r="E149" s="334" t="n"/>
      <c r="F149" s="334" t="n"/>
      <c r="G149" s="334" t="n"/>
      <c r="H149" s="334" t="n"/>
      <c r="I149" s="332">
        <f>IFERROR(VLOOKUP(TEXT(H149,"0"),IPRESS!$A$3:$B$212,2,0),"")</f>
        <v/>
      </c>
      <c r="J149" s="334" t="n"/>
      <c r="K149" s="332">
        <f>IFERROR(VLOOKUP(TEXT(O149,"0"),CONDUCTORES!$A$3:$G$54,7,0),"")</f>
        <v/>
      </c>
      <c r="L149" s="334" t="n"/>
      <c r="M149" s="334" t="n"/>
      <c r="N149" s="333">
        <f>IFERROR(IF(L149*M149=0,"",L149*M149),"")</f>
        <v/>
      </c>
      <c r="O149" s="334" t="n"/>
      <c r="P149" s="332">
        <f>IFERROR(VLOOKUP(TEXT(O149,"0"),CONDUCTORES!$A$3:$G$54,2,0),"")</f>
        <v/>
      </c>
      <c r="Q149" s="332">
        <f>IFERROR(VLOOKUP(TEXT(O149,"0"),CONDUCTORES!$A$3:$H$54,6,0),"")</f>
        <v/>
      </c>
      <c r="R149" s="334" t="n"/>
      <c r="S149" s="334" t="n"/>
      <c r="T149" s="334" t="n"/>
      <c r="U149" s="334" t="n"/>
      <c r="V149" s="334" t="n"/>
      <c r="W149" s="334" t="n"/>
      <c r="X149" s="334" t="n"/>
      <c r="Y149" s="334" t="n"/>
      <c r="Z149" s="375">
        <f>IF(AND(G149&lt;&gt;"",R149&lt;&gt;"",V149&lt;&gt;"",W149&lt;&gt;""),"COMPLETADO","OBSERVADO")</f>
        <v/>
      </c>
    </row>
    <row r="150" ht="15" customHeight="1" s="195">
      <c r="A150" s="280" t="n"/>
      <c r="B150" s="280" t="n"/>
      <c r="C150" s="280" t="n"/>
      <c r="D150" s="280" t="n"/>
      <c r="E150" s="280" t="n"/>
      <c r="F150" s="280" t="n"/>
      <c r="G150" s="280" t="n"/>
      <c r="H150" s="280" t="n"/>
      <c r="I150" s="332">
        <f>IFERROR(VLOOKUP(TEXT(H150,"0"),IPRESS!$A$3:$B$212,2,0),"")</f>
        <v/>
      </c>
      <c r="J150" s="280" t="n"/>
      <c r="K150" s="332">
        <f>IFERROR(VLOOKUP(TEXT(O150,"0"),CONDUCTORES!$A$3:$G$54,7,0),"")</f>
        <v/>
      </c>
      <c r="L150" s="280" t="n"/>
      <c r="M150" s="280" t="n"/>
      <c r="N150" s="333">
        <f>IFERROR(IF(L150*M150=0,"",L150*M150),"")</f>
        <v/>
      </c>
      <c r="O150" s="280" t="n"/>
      <c r="P150" s="332">
        <f>IFERROR(VLOOKUP(TEXT(O150,"0"),CONDUCTORES!$A$3:$G$54,2,0),"")</f>
        <v/>
      </c>
      <c r="Q150" s="332">
        <f>IFERROR(VLOOKUP(TEXT(O150,"0"),CONDUCTORES!$A$3:$H$54,6,0),"")</f>
        <v/>
      </c>
      <c r="R150" s="280" t="n"/>
      <c r="S150" s="280" t="n"/>
      <c r="T150" s="280" t="n"/>
      <c r="U150" s="280" t="n"/>
      <c r="V150" s="280" t="n"/>
      <c r="W150" s="280" t="n"/>
      <c r="X150" s="280" t="n"/>
      <c r="Y150" s="280" t="n"/>
      <c r="Z150" s="375">
        <f>IF(AND(G150&lt;&gt;"",R150&lt;&gt;"",V150&lt;&gt;"",W150&lt;&gt;""),"COMPLETADO","OBSERVADO")</f>
        <v/>
      </c>
    </row>
    <row r="151" ht="15" customHeight="1" s="195">
      <c r="A151" s="334" t="n"/>
      <c r="B151" s="334" t="n"/>
      <c r="C151" s="334" t="n"/>
      <c r="D151" s="334" t="n"/>
      <c r="E151" s="334" t="n"/>
      <c r="F151" s="334" t="n"/>
      <c r="G151" s="334" t="n"/>
      <c r="H151" s="334" t="n"/>
      <c r="I151" s="332">
        <f>IFERROR(VLOOKUP(TEXT(H151,"0"),IPRESS!$A$3:$B$212,2,0),"")</f>
        <v/>
      </c>
      <c r="J151" s="334" t="n"/>
      <c r="K151" s="332">
        <f>IFERROR(VLOOKUP(TEXT(O151,"0"),CONDUCTORES!$A$3:$G$54,7,0),"")</f>
        <v/>
      </c>
      <c r="L151" s="334" t="n"/>
      <c r="M151" s="334" t="n"/>
      <c r="N151" s="333">
        <f>IFERROR(IF(L151*M151=0,"",L151*M151),"")</f>
        <v/>
      </c>
      <c r="O151" s="334" t="n"/>
      <c r="P151" s="332">
        <f>IFERROR(VLOOKUP(TEXT(O151,"0"),CONDUCTORES!$A$3:$G$54,2,0),"")</f>
        <v/>
      </c>
      <c r="Q151" s="332">
        <f>IFERROR(VLOOKUP(TEXT(O151,"0"),CONDUCTORES!$A$3:$H$54,6,0),"")</f>
        <v/>
      </c>
      <c r="R151" s="334" t="n"/>
      <c r="S151" s="334" t="n"/>
      <c r="T151" s="334" t="n"/>
      <c r="U151" s="334" t="n"/>
      <c r="V151" s="334" t="n"/>
      <c r="W151" s="334" t="n"/>
      <c r="X151" s="334" t="n"/>
      <c r="Y151" s="334" t="n"/>
      <c r="Z151" s="375">
        <f>IF(AND(G151&lt;&gt;"",R151&lt;&gt;"",V151&lt;&gt;"",W151&lt;&gt;""),"COMPLETADO","OBSERVADO")</f>
        <v/>
      </c>
    </row>
    <row r="152" ht="15" customHeight="1" s="195">
      <c r="A152" s="280" t="n"/>
      <c r="B152" s="280" t="n"/>
      <c r="C152" s="280" t="n"/>
      <c r="D152" s="280" t="n"/>
      <c r="E152" s="280" t="n"/>
      <c r="F152" s="280" t="n"/>
      <c r="G152" s="280" t="n"/>
      <c r="H152" s="280" t="n"/>
      <c r="I152" s="332">
        <f>IFERROR(VLOOKUP(TEXT(H152,"0"),IPRESS!$A$3:$B$212,2,0),"")</f>
        <v/>
      </c>
      <c r="J152" s="280" t="n"/>
      <c r="K152" s="332">
        <f>IFERROR(VLOOKUP(TEXT(O152,"0"),CONDUCTORES!$A$3:$G$54,7,0),"")</f>
        <v/>
      </c>
      <c r="L152" s="280" t="n"/>
      <c r="M152" s="280" t="n"/>
      <c r="N152" s="333">
        <f>IFERROR(IF(L152*M152=0,"",L152*M152),"")</f>
        <v/>
      </c>
      <c r="O152" s="280" t="n"/>
      <c r="P152" s="332">
        <f>IFERROR(VLOOKUP(TEXT(O152,"0"),CONDUCTORES!$A$3:$G$54,2,0),"")</f>
        <v/>
      </c>
      <c r="Q152" s="332">
        <f>IFERROR(VLOOKUP(TEXT(O152,"0"),CONDUCTORES!$A$3:$H$54,6,0),"")</f>
        <v/>
      </c>
      <c r="R152" s="280" t="n"/>
      <c r="S152" s="280" t="n"/>
      <c r="T152" s="280" t="n"/>
      <c r="U152" s="280" t="n"/>
      <c r="V152" s="280" t="n"/>
      <c r="W152" s="280" t="n"/>
      <c r="X152" s="280" t="n"/>
      <c r="Y152" s="280" t="n"/>
      <c r="Z152" s="375">
        <f>IF(AND(G152&lt;&gt;"",R152&lt;&gt;"",V152&lt;&gt;"",W152&lt;&gt;""),"COMPLETADO","OBSERVADO")</f>
        <v/>
      </c>
    </row>
    <row r="153" ht="15" customHeight="1" s="195">
      <c r="A153" s="334" t="n"/>
      <c r="B153" s="334" t="n"/>
      <c r="C153" s="334" t="n"/>
      <c r="D153" s="334" t="n"/>
      <c r="E153" s="334" t="n"/>
      <c r="F153" s="334" t="n"/>
      <c r="G153" s="334" t="n"/>
      <c r="H153" s="334" t="n"/>
      <c r="I153" s="332">
        <f>IFERROR(VLOOKUP(TEXT(H153,"0"),IPRESS!$A$3:$B$212,2,0),"")</f>
        <v/>
      </c>
      <c r="J153" s="334" t="n"/>
      <c r="K153" s="332">
        <f>IFERROR(VLOOKUP(TEXT(O153,"0"),CONDUCTORES!$A$3:$G$54,7,0),"")</f>
        <v/>
      </c>
      <c r="L153" s="334" t="n"/>
      <c r="M153" s="334" t="n"/>
      <c r="N153" s="333">
        <f>IFERROR(IF(L153*M153=0,"",L153*M153),"")</f>
        <v/>
      </c>
      <c r="O153" s="334" t="n"/>
      <c r="P153" s="332">
        <f>IFERROR(VLOOKUP(TEXT(O153,"0"),CONDUCTORES!$A$3:$G$54,2,0),"")</f>
        <v/>
      </c>
      <c r="Q153" s="332">
        <f>IFERROR(VLOOKUP(TEXT(O153,"0"),CONDUCTORES!$A$3:$H$54,6,0),"")</f>
        <v/>
      </c>
      <c r="R153" s="334" t="n"/>
      <c r="S153" s="334" t="n"/>
      <c r="T153" s="334" t="n"/>
      <c r="U153" s="334" t="n"/>
      <c r="V153" s="334" t="n"/>
      <c r="W153" s="334" t="n"/>
      <c r="X153" s="334" t="n"/>
      <c r="Y153" s="334" t="n"/>
      <c r="Z153" s="375">
        <f>IF(AND(G153&lt;&gt;"",R153&lt;&gt;"",V153&lt;&gt;"",W153&lt;&gt;""),"COMPLETADO","OBSERVADO")</f>
        <v/>
      </c>
    </row>
    <row r="154" ht="15" customHeight="1" s="195">
      <c r="A154" s="280" t="n"/>
      <c r="B154" s="280" t="n"/>
      <c r="C154" s="280" t="n"/>
      <c r="D154" s="280" t="n"/>
      <c r="E154" s="280" t="n"/>
      <c r="F154" s="280" t="n"/>
      <c r="G154" s="280" t="n"/>
      <c r="H154" s="280" t="n"/>
      <c r="I154" s="332">
        <f>IFERROR(VLOOKUP(TEXT(H154,"0"),IPRESS!$A$3:$B$212,2,0),"")</f>
        <v/>
      </c>
      <c r="J154" s="280" t="n"/>
      <c r="K154" s="332">
        <f>IFERROR(VLOOKUP(TEXT(O154,"0"),CONDUCTORES!$A$3:$G$54,7,0),"")</f>
        <v/>
      </c>
      <c r="L154" s="280" t="n"/>
      <c r="M154" s="280" t="n"/>
      <c r="N154" s="333">
        <f>IFERROR(IF(L154*M154=0,"",L154*M154),"")</f>
        <v/>
      </c>
      <c r="O154" s="280" t="n"/>
      <c r="P154" s="332">
        <f>IFERROR(VLOOKUP(TEXT(O154,"0"),CONDUCTORES!$A$3:$G$54,2,0),"")</f>
        <v/>
      </c>
      <c r="Q154" s="332">
        <f>IFERROR(VLOOKUP(TEXT(O154,"0"),CONDUCTORES!$A$3:$H$54,6,0),"")</f>
        <v/>
      </c>
      <c r="R154" s="280" t="n"/>
      <c r="S154" s="280" t="n"/>
      <c r="T154" s="280" t="n"/>
      <c r="U154" s="280" t="n"/>
      <c r="V154" s="280" t="n"/>
      <c r="W154" s="280" t="n"/>
      <c r="X154" s="280" t="n"/>
      <c r="Y154" s="280" t="n"/>
      <c r="Z154" s="375">
        <f>IF(AND(G154&lt;&gt;"",R154&lt;&gt;"",V154&lt;&gt;"",W154&lt;&gt;""),"COMPLETADO","OBSERVADO")</f>
        <v/>
      </c>
    </row>
    <row r="155" ht="15" customHeight="1" s="195">
      <c r="A155" s="334" t="n"/>
      <c r="B155" s="334" t="n"/>
      <c r="C155" s="334" t="n"/>
      <c r="D155" s="334" t="n"/>
      <c r="E155" s="334" t="n"/>
      <c r="F155" s="334" t="n"/>
      <c r="G155" s="334" t="n"/>
      <c r="H155" s="334" t="n"/>
      <c r="I155" s="332">
        <f>IFERROR(VLOOKUP(TEXT(H155,"0"),IPRESS!$A$3:$B$212,2,0),"")</f>
        <v/>
      </c>
      <c r="J155" s="334" t="n"/>
      <c r="K155" s="332">
        <f>IFERROR(VLOOKUP(TEXT(O155,"0"),CONDUCTORES!$A$3:$G$54,7,0),"")</f>
        <v/>
      </c>
      <c r="L155" s="334" t="n"/>
      <c r="M155" s="334" t="n"/>
      <c r="N155" s="333">
        <f>IFERROR(IF(L155*M155=0,"",L155*M155),"")</f>
        <v/>
      </c>
      <c r="O155" s="334" t="n"/>
      <c r="P155" s="332">
        <f>IFERROR(VLOOKUP(TEXT(O155,"0"),CONDUCTORES!$A$3:$G$54,2,0),"")</f>
        <v/>
      </c>
      <c r="Q155" s="332">
        <f>IFERROR(VLOOKUP(TEXT(O155,"0"),CONDUCTORES!$A$3:$H$54,6,0),"")</f>
        <v/>
      </c>
      <c r="R155" s="334" t="n"/>
      <c r="S155" s="334" t="n"/>
      <c r="T155" s="334" t="n"/>
      <c r="U155" s="334" t="n"/>
      <c r="V155" s="334" t="n"/>
      <c r="W155" s="334" t="n"/>
      <c r="X155" s="334" t="n"/>
      <c r="Y155" s="334" t="n"/>
      <c r="Z155" s="375">
        <f>IF(AND(G155&lt;&gt;"",R155&lt;&gt;"",V155&lt;&gt;"",W155&lt;&gt;""),"COMPLETADO","OBSERVADO")</f>
        <v/>
      </c>
    </row>
    <row r="156" ht="15" customHeight="1" s="195">
      <c r="A156" s="280" t="n"/>
      <c r="B156" s="280" t="n"/>
      <c r="C156" s="280" t="n"/>
      <c r="D156" s="280" t="n"/>
      <c r="E156" s="280" t="n"/>
      <c r="F156" s="280" t="n"/>
      <c r="G156" s="280" t="n"/>
      <c r="H156" s="280" t="n"/>
      <c r="I156" s="332">
        <f>IFERROR(VLOOKUP(TEXT(H156,"0"),IPRESS!$A$3:$B$212,2,0),"")</f>
        <v/>
      </c>
      <c r="J156" s="280" t="n"/>
      <c r="K156" s="332">
        <f>IFERROR(VLOOKUP(TEXT(O156,"0"),CONDUCTORES!$A$3:$G$54,7,0),"")</f>
        <v/>
      </c>
      <c r="L156" s="280" t="n"/>
      <c r="M156" s="280" t="n"/>
      <c r="N156" s="333">
        <f>IFERROR(IF(L156*M156=0,"",L156*M156),"")</f>
        <v/>
      </c>
      <c r="O156" s="280" t="n"/>
      <c r="P156" s="332">
        <f>IFERROR(VLOOKUP(TEXT(O156,"0"),CONDUCTORES!$A$3:$G$54,2,0),"")</f>
        <v/>
      </c>
      <c r="Q156" s="332">
        <f>IFERROR(VLOOKUP(TEXT(O156,"0"),CONDUCTORES!$A$3:$H$54,6,0),"")</f>
        <v/>
      </c>
      <c r="R156" s="280" t="n"/>
      <c r="S156" s="280" t="n"/>
      <c r="T156" s="280" t="n"/>
      <c r="U156" s="280" t="n"/>
      <c r="V156" s="280" t="n"/>
      <c r="W156" s="280" t="n"/>
      <c r="X156" s="280" t="n"/>
      <c r="Y156" s="280" t="n"/>
      <c r="Z156" s="375">
        <f>IF(AND(G156&lt;&gt;"",R156&lt;&gt;"",V156&lt;&gt;"",W156&lt;&gt;""),"COMPLETADO","OBSERVADO")</f>
        <v/>
      </c>
    </row>
    <row r="157" ht="15" customHeight="1" s="195">
      <c r="A157" s="334" t="n"/>
      <c r="B157" s="334" t="n"/>
      <c r="C157" s="334" t="n"/>
      <c r="D157" s="334" t="n"/>
      <c r="E157" s="334" t="n"/>
      <c r="F157" s="334" t="n"/>
      <c r="G157" s="334" t="n"/>
      <c r="H157" s="334" t="n"/>
      <c r="I157" s="332">
        <f>IFERROR(VLOOKUP(TEXT(H157,"0"),IPRESS!$A$3:$B$212,2,0),"")</f>
        <v/>
      </c>
      <c r="J157" s="334" t="n"/>
      <c r="K157" s="332">
        <f>IFERROR(VLOOKUP(TEXT(O157,"0"),CONDUCTORES!$A$3:$G$54,7,0),"")</f>
        <v/>
      </c>
      <c r="L157" s="334" t="n"/>
      <c r="M157" s="334" t="n"/>
      <c r="N157" s="333">
        <f>IFERROR(IF(L157*M157=0,"",L157*M157),"")</f>
        <v/>
      </c>
      <c r="O157" s="334" t="n"/>
      <c r="P157" s="332">
        <f>IFERROR(VLOOKUP(TEXT(O157,"0"),CONDUCTORES!$A$3:$G$54,2,0),"")</f>
        <v/>
      </c>
      <c r="Q157" s="332">
        <f>IFERROR(VLOOKUP(TEXT(O157,"0"),CONDUCTORES!$A$3:$H$54,6,0),"")</f>
        <v/>
      </c>
      <c r="R157" s="334" t="n"/>
      <c r="S157" s="334" t="n"/>
      <c r="T157" s="334" t="n"/>
      <c r="U157" s="334" t="n"/>
      <c r="V157" s="334" t="n"/>
      <c r="W157" s="334" t="n"/>
      <c r="X157" s="334" t="n"/>
      <c r="Y157" s="334" t="n"/>
      <c r="Z157" s="375">
        <f>IF(AND(G157&lt;&gt;"",R157&lt;&gt;"",V157&lt;&gt;"",W157&lt;&gt;""),"COMPLETADO","OBSERVADO")</f>
        <v/>
      </c>
    </row>
    <row r="158" ht="15" customHeight="1" s="195">
      <c r="A158" s="280" t="n"/>
      <c r="B158" s="280" t="n"/>
      <c r="C158" s="280" t="n"/>
      <c r="D158" s="280" t="n"/>
      <c r="E158" s="280" t="n"/>
      <c r="F158" s="280" t="n"/>
      <c r="G158" s="280" t="n"/>
      <c r="H158" s="280" t="n"/>
      <c r="I158" s="332">
        <f>IFERROR(VLOOKUP(TEXT(H158,"0"),IPRESS!$A$3:$B$212,2,0),"")</f>
        <v/>
      </c>
      <c r="J158" s="280" t="n"/>
      <c r="K158" s="332">
        <f>IFERROR(VLOOKUP(TEXT(O158,"0"),CONDUCTORES!$A$3:$G$54,7,0),"")</f>
        <v/>
      </c>
      <c r="L158" s="280" t="n"/>
      <c r="M158" s="280" t="n"/>
      <c r="N158" s="333">
        <f>IFERROR(IF(L158*M158=0,"",L158*M158),"")</f>
        <v/>
      </c>
      <c r="O158" s="280" t="n"/>
      <c r="P158" s="332">
        <f>IFERROR(VLOOKUP(TEXT(O158,"0"),CONDUCTORES!$A$3:$G$54,2,0),"")</f>
        <v/>
      </c>
      <c r="Q158" s="332">
        <f>IFERROR(VLOOKUP(TEXT(O158,"0"),CONDUCTORES!$A$3:$H$54,6,0),"")</f>
        <v/>
      </c>
      <c r="R158" s="280" t="n"/>
      <c r="S158" s="280" t="n"/>
      <c r="T158" s="280" t="n"/>
      <c r="U158" s="280" t="n"/>
      <c r="V158" s="280" t="n"/>
      <c r="W158" s="280" t="n"/>
      <c r="X158" s="280" t="n"/>
      <c r="Y158" s="280" t="n"/>
      <c r="Z158" s="375">
        <f>IF(AND(G158&lt;&gt;"",R158&lt;&gt;"",V158&lt;&gt;"",W158&lt;&gt;""),"COMPLETADO","OBSERVADO")</f>
        <v/>
      </c>
    </row>
    <row r="159" ht="15" customHeight="1" s="195">
      <c r="A159" s="334" t="n"/>
      <c r="B159" s="334" t="n"/>
      <c r="C159" s="334" t="n"/>
      <c r="D159" s="334" t="n"/>
      <c r="E159" s="334" t="n"/>
      <c r="F159" s="334" t="n"/>
      <c r="G159" s="334" t="n"/>
      <c r="H159" s="334" t="n"/>
      <c r="I159" s="332">
        <f>IFERROR(VLOOKUP(TEXT(H159,"0"),IPRESS!$A$3:$B$212,2,0),"")</f>
        <v/>
      </c>
      <c r="J159" s="334" t="n"/>
      <c r="K159" s="332">
        <f>IFERROR(VLOOKUP(TEXT(O159,"0"),CONDUCTORES!$A$3:$G$54,7,0),"")</f>
        <v/>
      </c>
      <c r="L159" s="334" t="n"/>
      <c r="M159" s="334" t="n"/>
      <c r="N159" s="333">
        <f>IFERROR(IF(L159*M159=0,"",L159*M159),"")</f>
        <v/>
      </c>
      <c r="O159" s="334" t="n"/>
      <c r="P159" s="332">
        <f>IFERROR(VLOOKUP(TEXT(O159,"0"),CONDUCTORES!$A$3:$G$54,2,0),"")</f>
        <v/>
      </c>
      <c r="Q159" s="332">
        <f>IFERROR(VLOOKUP(TEXT(O159,"0"),CONDUCTORES!$A$3:$H$54,6,0),"")</f>
        <v/>
      </c>
      <c r="R159" s="334" t="n"/>
      <c r="S159" s="334" t="n"/>
      <c r="T159" s="334" t="n"/>
      <c r="U159" s="334" t="n"/>
      <c r="V159" s="334" t="n"/>
      <c r="W159" s="334" t="n"/>
      <c r="X159" s="334" t="n"/>
      <c r="Y159" s="334" t="n"/>
      <c r="Z159" s="375">
        <f>IF(AND(G159&lt;&gt;"",R159&lt;&gt;"",V159&lt;&gt;"",W159&lt;&gt;""),"COMPLETADO","OBSERVADO")</f>
        <v/>
      </c>
    </row>
    <row r="160" ht="15" customHeight="1" s="195">
      <c r="A160" s="280" t="n"/>
      <c r="B160" s="280" t="n"/>
      <c r="C160" s="280" t="n"/>
      <c r="D160" s="280" t="n"/>
      <c r="E160" s="280" t="n"/>
      <c r="F160" s="280" t="n"/>
      <c r="G160" s="280" t="n"/>
      <c r="H160" s="280" t="n"/>
      <c r="I160" s="332">
        <f>IFERROR(VLOOKUP(TEXT(H160,"0"),IPRESS!$A$3:$B$212,2,0),"")</f>
        <v/>
      </c>
      <c r="J160" s="280" t="n"/>
      <c r="K160" s="332">
        <f>IFERROR(VLOOKUP(TEXT(O160,"0"),CONDUCTORES!$A$3:$G$54,7,0),"")</f>
        <v/>
      </c>
      <c r="L160" s="280" t="n"/>
      <c r="M160" s="280" t="n"/>
      <c r="N160" s="333">
        <f>IFERROR(IF(L160*M160=0,"",L160*M160),"")</f>
        <v/>
      </c>
      <c r="O160" s="280" t="n"/>
      <c r="P160" s="332">
        <f>IFERROR(VLOOKUP(TEXT(O160,"0"),CONDUCTORES!$A$3:$G$54,2,0),"")</f>
        <v/>
      </c>
      <c r="Q160" s="332">
        <f>IFERROR(VLOOKUP(TEXT(O160,"0"),CONDUCTORES!$A$3:$H$54,6,0),"")</f>
        <v/>
      </c>
      <c r="R160" s="280" t="n"/>
      <c r="S160" s="280" t="n"/>
      <c r="T160" s="280" t="n"/>
      <c r="U160" s="280" t="n"/>
      <c r="V160" s="280" t="n"/>
      <c r="W160" s="280" t="n"/>
      <c r="X160" s="280" t="n"/>
      <c r="Y160" s="280" t="n"/>
      <c r="Z160" s="375">
        <f>IF(AND(G160&lt;&gt;"",R160&lt;&gt;"",V160&lt;&gt;"",W160&lt;&gt;""),"COMPLETADO","OBSERVADO")</f>
        <v/>
      </c>
    </row>
    <row r="161" ht="15" customHeight="1" s="195">
      <c r="A161" s="334" t="n"/>
      <c r="B161" s="334" t="n"/>
      <c r="C161" s="334" t="n"/>
      <c r="D161" s="334" t="n"/>
      <c r="E161" s="334" t="n"/>
      <c r="F161" s="334" t="n"/>
      <c r="G161" s="334" t="n"/>
      <c r="H161" s="334" t="n"/>
      <c r="I161" s="332">
        <f>IFERROR(VLOOKUP(TEXT(H161,"0"),IPRESS!$A$3:$B$212,2,0),"")</f>
        <v/>
      </c>
      <c r="J161" s="334" t="n"/>
      <c r="K161" s="332">
        <f>IFERROR(VLOOKUP(TEXT(O161,"0"),CONDUCTORES!$A$3:$G$54,7,0),"")</f>
        <v/>
      </c>
      <c r="L161" s="334" t="n"/>
      <c r="M161" s="334" t="n"/>
      <c r="N161" s="333">
        <f>IFERROR(IF(L161*M161=0,"",L161*M161),"")</f>
        <v/>
      </c>
      <c r="O161" s="334" t="n"/>
      <c r="P161" s="332">
        <f>IFERROR(VLOOKUP(TEXT(O161,"0"),CONDUCTORES!$A$3:$G$54,2,0),"")</f>
        <v/>
      </c>
      <c r="Q161" s="332">
        <f>IFERROR(VLOOKUP(TEXT(O161,"0"),CONDUCTORES!$A$3:$H$54,6,0),"")</f>
        <v/>
      </c>
      <c r="R161" s="334" t="n"/>
      <c r="S161" s="334" t="n"/>
      <c r="T161" s="334" t="n"/>
      <c r="U161" s="334" t="n"/>
      <c r="V161" s="334" t="n"/>
      <c r="W161" s="334" t="n"/>
      <c r="X161" s="334" t="n"/>
      <c r="Y161" s="334" t="n"/>
      <c r="Z161" s="375">
        <f>IF(AND(G161&lt;&gt;"",R161&lt;&gt;"",V161&lt;&gt;"",W161&lt;&gt;""),"COMPLETADO","OBSERVADO")</f>
        <v/>
      </c>
    </row>
    <row r="162" ht="15" customHeight="1" s="195">
      <c r="A162" s="280" t="n"/>
      <c r="B162" s="280" t="n"/>
      <c r="C162" s="280" t="n"/>
      <c r="D162" s="280" t="n"/>
      <c r="E162" s="280" t="n"/>
      <c r="F162" s="280" t="n"/>
      <c r="G162" s="280" t="n"/>
      <c r="H162" s="280" t="n"/>
      <c r="I162" s="332">
        <f>IFERROR(VLOOKUP(TEXT(H162,"0"),IPRESS!$A$3:$B$212,2,0),"")</f>
        <v/>
      </c>
      <c r="J162" s="280" t="n"/>
      <c r="K162" s="332">
        <f>IFERROR(VLOOKUP(TEXT(O162,"0"),CONDUCTORES!$A$3:$G$54,7,0),"")</f>
        <v/>
      </c>
      <c r="L162" s="280" t="n"/>
      <c r="M162" s="280" t="n"/>
      <c r="N162" s="333">
        <f>IFERROR(IF(L162*M162=0,"",L162*M162),"")</f>
        <v/>
      </c>
      <c r="O162" s="280" t="n"/>
      <c r="P162" s="332">
        <f>IFERROR(VLOOKUP(TEXT(O162,"0"),CONDUCTORES!$A$3:$G$54,2,0),"")</f>
        <v/>
      </c>
      <c r="Q162" s="332">
        <f>IFERROR(VLOOKUP(TEXT(O162,"0"),CONDUCTORES!$A$3:$H$54,6,0),"")</f>
        <v/>
      </c>
      <c r="R162" s="280" t="n"/>
      <c r="S162" s="280" t="n"/>
      <c r="T162" s="280" t="n"/>
      <c r="U162" s="280" t="n"/>
      <c r="V162" s="280" t="n"/>
      <c r="W162" s="280" t="n"/>
      <c r="X162" s="280" t="n"/>
      <c r="Y162" s="280" t="n"/>
      <c r="Z162" s="375">
        <f>IF(AND(G162&lt;&gt;"",R162&lt;&gt;"",V162&lt;&gt;"",W162&lt;&gt;""),"COMPLETADO","OBSERVADO")</f>
        <v/>
      </c>
    </row>
    <row r="163" ht="15" customHeight="1" s="195">
      <c r="A163" s="334" t="n"/>
      <c r="B163" s="334" t="n"/>
      <c r="C163" s="334" t="n"/>
      <c r="D163" s="334" t="n"/>
      <c r="E163" s="334" t="n"/>
      <c r="F163" s="334" t="n"/>
      <c r="G163" s="334" t="n"/>
      <c r="H163" s="334" t="n"/>
      <c r="I163" s="332">
        <f>IFERROR(VLOOKUP(TEXT(H163,"0"),IPRESS!$A$3:$B$212,2,0),"")</f>
        <v/>
      </c>
      <c r="J163" s="334" t="n"/>
      <c r="K163" s="332">
        <f>IFERROR(VLOOKUP(TEXT(O163,"0"),CONDUCTORES!$A$3:$G$54,7,0),"")</f>
        <v/>
      </c>
      <c r="L163" s="334" t="n"/>
      <c r="M163" s="334" t="n"/>
      <c r="N163" s="333">
        <f>IFERROR(IF(L163*M163=0,"",L163*M163),"")</f>
        <v/>
      </c>
      <c r="O163" s="334" t="n"/>
      <c r="P163" s="332">
        <f>IFERROR(VLOOKUP(TEXT(O163,"0"),CONDUCTORES!$A$3:$G$54,2,0),"")</f>
        <v/>
      </c>
      <c r="Q163" s="332">
        <f>IFERROR(VLOOKUP(TEXT(O163,"0"),CONDUCTORES!$A$3:$H$54,6,0),"")</f>
        <v/>
      </c>
      <c r="R163" s="334" t="n"/>
      <c r="S163" s="334" t="n"/>
      <c r="T163" s="334" t="n"/>
      <c r="U163" s="334" t="n"/>
      <c r="V163" s="334" t="n"/>
      <c r="W163" s="334" t="n"/>
      <c r="X163" s="334" t="n"/>
      <c r="Y163" s="334" t="n"/>
      <c r="Z163" s="375">
        <f>IF(AND(G163&lt;&gt;"",R163&lt;&gt;"",V163&lt;&gt;"",W163&lt;&gt;""),"COMPLETADO","OBSERVADO")</f>
        <v/>
      </c>
    </row>
    <row r="164" ht="15" customHeight="1" s="195">
      <c r="A164" s="280" t="n"/>
      <c r="B164" s="280" t="n"/>
      <c r="C164" s="280" t="n"/>
      <c r="D164" s="280" t="n"/>
      <c r="E164" s="280" t="n"/>
      <c r="F164" s="280" t="n"/>
      <c r="G164" s="280" t="n"/>
      <c r="H164" s="280" t="n"/>
      <c r="I164" s="332">
        <f>IFERROR(VLOOKUP(TEXT(H164,"0"),IPRESS!$A$3:$B$212,2,0),"")</f>
        <v/>
      </c>
      <c r="J164" s="280" t="n"/>
      <c r="K164" s="332">
        <f>IFERROR(VLOOKUP(TEXT(O164,"0"),CONDUCTORES!$A$3:$G$54,7,0),"")</f>
        <v/>
      </c>
      <c r="L164" s="280" t="n"/>
      <c r="M164" s="280" t="n"/>
      <c r="N164" s="333">
        <f>IFERROR(IF(L164*M164=0,"",L164*M164),"")</f>
        <v/>
      </c>
      <c r="O164" s="280" t="n"/>
      <c r="P164" s="332">
        <f>IFERROR(VLOOKUP(TEXT(O164,"0"),CONDUCTORES!$A$3:$G$54,2,0),"")</f>
        <v/>
      </c>
      <c r="Q164" s="332">
        <f>IFERROR(VLOOKUP(TEXT(O164,"0"),CONDUCTORES!$A$3:$H$54,6,0),"")</f>
        <v/>
      </c>
      <c r="R164" s="280" t="n"/>
      <c r="S164" s="280" t="n"/>
      <c r="T164" s="280" t="n"/>
      <c r="U164" s="280" t="n"/>
      <c r="V164" s="280" t="n"/>
      <c r="W164" s="280" t="n"/>
      <c r="X164" s="280" t="n"/>
      <c r="Y164" s="280" t="n"/>
      <c r="Z164" s="375">
        <f>IF(AND(G164&lt;&gt;"",R164&lt;&gt;"",V164&lt;&gt;"",W164&lt;&gt;""),"COMPLETADO","OBSERVADO")</f>
        <v/>
      </c>
    </row>
    <row r="165" ht="15" customHeight="1" s="195">
      <c r="A165" s="334" t="n"/>
      <c r="B165" s="334" t="n"/>
      <c r="C165" s="334" t="n"/>
      <c r="D165" s="334" t="n"/>
      <c r="E165" s="334" t="n"/>
      <c r="F165" s="334" t="n"/>
      <c r="G165" s="334" t="n"/>
      <c r="H165" s="334" t="n"/>
      <c r="I165" s="332">
        <f>IFERROR(VLOOKUP(TEXT(H165,"0"),IPRESS!$A$3:$B$212,2,0),"")</f>
        <v/>
      </c>
      <c r="J165" s="334" t="n"/>
      <c r="K165" s="332">
        <f>IFERROR(VLOOKUP(TEXT(O165,"0"),CONDUCTORES!$A$3:$G$54,7,0),"")</f>
        <v/>
      </c>
      <c r="L165" s="334" t="n"/>
      <c r="M165" s="334" t="n"/>
      <c r="N165" s="333">
        <f>IFERROR(IF(L165*M165=0,"",L165*M165),"")</f>
        <v/>
      </c>
      <c r="O165" s="334" t="n"/>
      <c r="P165" s="332">
        <f>IFERROR(VLOOKUP(TEXT(O165,"0"),CONDUCTORES!$A$3:$G$54,2,0),"")</f>
        <v/>
      </c>
      <c r="Q165" s="332">
        <f>IFERROR(VLOOKUP(TEXT(O165,"0"),CONDUCTORES!$A$3:$H$54,6,0),"")</f>
        <v/>
      </c>
      <c r="R165" s="334" t="n"/>
      <c r="S165" s="334" t="n"/>
      <c r="T165" s="334" t="n"/>
      <c r="U165" s="334" t="n"/>
      <c r="V165" s="334" t="n"/>
      <c r="W165" s="334" t="n"/>
      <c r="X165" s="334" t="n"/>
      <c r="Y165" s="334" t="n"/>
      <c r="Z165" s="375">
        <f>IF(AND(G165&lt;&gt;"",R165&lt;&gt;"",V165&lt;&gt;"",W165&lt;&gt;""),"COMPLETADO","OBSERVADO")</f>
        <v/>
      </c>
    </row>
    <row r="166" ht="15" customHeight="1" s="195">
      <c r="A166" s="280" t="n"/>
      <c r="B166" s="280" t="n"/>
      <c r="C166" s="280" t="n"/>
      <c r="D166" s="280" t="n"/>
      <c r="E166" s="280" t="n"/>
      <c r="F166" s="280" t="n"/>
      <c r="G166" s="280" t="n"/>
      <c r="H166" s="280" t="n"/>
      <c r="I166" s="332">
        <f>IFERROR(VLOOKUP(TEXT(H166,"0"),IPRESS!$A$3:$B$212,2,0),"")</f>
        <v/>
      </c>
      <c r="J166" s="280" t="n"/>
      <c r="K166" s="332">
        <f>IFERROR(VLOOKUP(TEXT(O166,"0"),CONDUCTORES!$A$3:$G$54,7,0),"")</f>
        <v/>
      </c>
      <c r="L166" s="280" t="n"/>
      <c r="M166" s="280" t="n"/>
      <c r="N166" s="333">
        <f>IFERROR(IF(L166*M166=0,"",L166*M166),"")</f>
        <v/>
      </c>
      <c r="O166" s="280" t="n"/>
      <c r="P166" s="332">
        <f>IFERROR(VLOOKUP(TEXT(O166,"0"),CONDUCTORES!$A$3:$G$54,2,0),"")</f>
        <v/>
      </c>
      <c r="Q166" s="332">
        <f>IFERROR(VLOOKUP(TEXT(O166,"0"),CONDUCTORES!$A$3:$H$54,6,0),"")</f>
        <v/>
      </c>
      <c r="R166" s="280" t="n"/>
      <c r="S166" s="280" t="n"/>
      <c r="T166" s="280" t="n"/>
      <c r="U166" s="280" t="n"/>
      <c r="V166" s="280" t="n"/>
      <c r="W166" s="280" t="n"/>
      <c r="X166" s="280" t="n"/>
      <c r="Y166" s="280" t="n"/>
      <c r="Z166" s="375">
        <f>IF(AND(G166&lt;&gt;"",R166&lt;&gt;"",V166&lt;&gt;"",W166&lt;&gt;""),"COMPLETADO","OBSERVADO")</f>
        <v/>
      </c>
    </row>
    <row r="167" ht="15" customHeight="1" s="195">
      <c r="A167" s="334" t="n"/>
      <c r="B167" s="334" t="n"/>
      <c r="C167" s="334" t="n"/>
      <c r="D167" s="334" t="n"/>
      <c r="E167" s="334" t="n"/>
      <c r="F167" s="334" t="n"/>
      <c r="G167" s="334" t="n"/>
      <c r="H167" s="334" t="n"/>
      <c r="I167" s="332">
        <f>IFERROR(VLOOKUP(TEXT(H167,"0"),IPRESS!$A$3:$B$212,2,0),"")</f>
        <v/>
      </c>
      <c r="J167" s="334" t="n"/>
      <c r="K167" s="332">
        <f>IFERROR(VLOOKUP(TEXT(O167,"0"),CONDUCTORES!$A$3:$G$54,7,0),"")</f>
        <v/>
      </c>
      <c r="L167" s="334" t="n"/>
      <c r="M167" s="334" t="n"/>
      <c r="N167" s="333">
        <f>IFERROR(IF(L167*M167=0,"",L167*M167),"")</f>
        <v/>
      </c>
      <c r="O167" s="334" t="n"/>
      <c r="P167" s="332">
        <f>IFERROR(VLOOKUP(TEXT(O167,"0"),CONDUCTORES!$A$3:$G$54,2,0),"")</f>
        <v/>
      </c>
      <c r="Q167" s="332">
        <f>IFERROR(VLOOKUP(TEXT(O167,"0"),CONDUCTORES!$A$3:$H$54,6,0),"")</f>
        <v/>
      </c>
      <c r="R167" s="334" t="n"/>
      <c r="S167" s="334" t="n"/>
      <c r="T167" s="334" t="n"/>
      <c r="U167" s="334" t="n"/>
      <c r="V167" s="334" t="n"/>
      <c r="W167" s="334" t="n"/>
      <c r="X167" s="334" t="n"/>
      <c r="Y167" s="334" t="n"/>
      <c r="Z167" s="375">
        <f>IF(AND(G167&lt;&gt;"",R167&lt;&gt;"",V167&lt;&gt;"",W167&lt;&gt;""),"COMPLETADO","OBSERVADO")</f>
        <v/>
      </c>
    </row>
    <row r="168" ht="15" customHeight="1" s="195">
      <c r="A168" s="280" t="n"/>
      <c r="B168" s="280" t="n"/>
      <c r="C168" s="280" t="n"/>
      <c r="D168" s="280" t="n"/>
      <c r="E168" s="280" t="n"/>
      <c r="F168" s="280" t="n"/>
      <c r="G168" s="280" t="n"/>
      <c r="H168" s="280" t="n"/>
      <c r="I168" s="332">
        <f>IFERROR(VLOOKUP(TEXT(H168,"0"),IPRESS!$A$3:$B$212,2,0),"")</f>
        <v/>
      </c>
      <c r="J168" s="280" t="n"/>
      <c r="K168" s="332">
        <f>IFERROR(VLOOKUP(TEXT(O168,"0"),CONDUCTORES!$A$3:$G$54,7,0),"")</f>
        <v/>
      </c>
      <c r="L168" s="280" t="n"/>
      <c r="M168" s="280" t="n"/>
      <c r="N168" s="333">
        <f>IFERROR(IF(L168*M168=0,"",L168*M168),"")</f>
        <v/>
      </c>
      <c r="O168" s="280" t="n"/>
      <c r="P168" s="332">
        <f>IFERROR(VLOOKUP(TEXT(O168,"0"),CONDUCTORES!$A$3:$G$54,2,0),"")</f>
        <v/>
      </c>
      <c r="Q168" s="332">
        <f>IFERROR(VLOOKUP(TEXT(O168,"0"),CONDUCTORES!$A$3:$H$54,6,0),"")</f>
        <v/>
      </c>
      <c r="R168" s="280" t="n"/>
      <c r="S168" s="280" t="n"/>
      <c r="T168" s="280" t="n"/>
      <c r="U168" s="280" t="n"/>
      <c r="V168" s="280" t="n"/>
      <c r="W168" s="280" t="n"/>
      <c r="X168" s="280" t="n"/>
      <c r="Y168" s="280" t="n"/>
      <c r="Z168" s="375">
        <f>IF(AND(G168&lt;&gt;"",R168&lt;&gt;"",V168&lt;&gt;"",W168&lt;&gt;""),"COMPLETADO","OBSERVADO")</f>
        <v/>
      </c>
    </row>
    <row r="169" ht="15" customHeight="1" s="195">
      <c r="A169" s="334" t="n"/>
      <c r="B169" s="334" t="n"/>
      <c r="C169" s="334" t="n"/>
      <c r="D169" s="334" t="n"/>
      <c r="E169" s="334" t="n"/>
      <c r="F169" s="334" t="n"/>
      <c r="G169" s="334" t="n"/>
      <c r="H169" s="334" t="n"/>
      <c r="I169" s="332">
        <f>IFERROR(VLOOKUP(TEXT(H169,"0"),IPRESS!$A$3:$B$212,2,0),"")</f>
        <v/>
      </c>
      <c r="J169" s="334" t="n"/>
      <c r="K169" s="332">
        <f>IFERROR(VLOOKUP(TEXT(O169,"0"),CONDUCTORES!$A$3:$G$54,7,0),"")</f>
        <v/>
      </c>
      <c r="L169" s="334" t="n"/>
      <c r="M169" s="334" t="n"/>
      <c r="N169" s="333">
        <f>IFERROR(IF(L169*M169=0,"",L169*M169),"")</f>
        <v/>
      </c>
      <c r="O169" s="334" t="n"/>
      <c r="P169" s="332">
        <f>IFERROR(VLOOKUP(TEXT(O169,"0"),CONDUCTORES!$A$3:$G$54,2,0),"")</f>
        <v/>
      </c>
      <c r="Q169" s="332">
        <f>IFERROR(VLOOKUP(TEXT(O169,"0"),CONDUCTORES!$A$3:$H$54,6,0),"")</f>
        <v/>
      </c>
      <c r="R169" s="334" t="n"/>
      <c r="S169" s="334" t="n"/>
      <c r="T169" s="334" t="n"/>
      <c r="U169" s="334" t="n"/>
      <c r="V169" s="334" t="n"/>
      <c r="W169" s="334" t="n"/>
      <c r="X169" s="334" t="n"/>
      <c r="Y169" s="334" t="n"/>
      <c r="Z169" s="375">
        <f>IF(AND(G169&lt;&gt;"",R169&lt;&gt;"",V169&lt;&gt;"",W169&lt;&gt;""),"COMPLETADO","OBSERVADO")</f>
        <v/>
      </c>
    </row>
    <row r="170" ht="15" customHeight="1" s="195">
      <c r="A170" s="280" t="n"/>
      <c r="B170" s="280" t="n"/>
      <c r="C170" s="280" t="n"/>
      <c r="D170" s="280" t="n"/>
      <c r="E170" s="280" t="n"/>
      <c r="F170" s="280" t="n"/>
      <c r="G170" s="280" t="n"/>
      <c r="H170" s="280" t="n"/>
      <c r="I170" s="332">
        <f>IFERROR(VLOOKUP(TEXT(H170,"0"),IPRESS!$A$3:$B$212,2,0),"")</f>
        <v/>
      </c>
      <c r="J170" s="280" t="n"/>
      <c r="K170" s="332">
        <f>IFERROR(VLOOKUP(TEXT(O170,"0"),CONDUCTORES!$A$3:$G$54,7,0),"")</f>
        <v/>
      </c>
      <c r="L170" s="280" t="n"/>
      <c r="M170" s="280" t="n"/>
      <c r="N170" s="333">
        <f>IFERROR(IF(L170*M170=0,"",L170*M170),"")</f>
        <v/>
      </c>
      <c r="O170" s="280" t="n"/>
      <c r="P170" s="332">
        <f>IFERROR(VLOOKUP(TEXT(O170,"0"),CONDUCTORES!$A$3:$G$54,2,0),"")</f>
        <v/>
      </c>
      <c r="Q170" s="332">
        <f>IFERROR(VLOOKUP(TEXT(O170,"0"),CONDUCTORES!$A$3:$H$54,6,0),"")</f>
        <v/>
      </c>
      <c r="R170" s="280" t="n"/>
      <c r="S170" s="280" t="n"/>
      <c r="T170" s="280" t="n"/>
      <c r="U170" s="280" t="n"/>
      <c r="V170" s="280" t="n"/>
      <c r="W170" s="280" t="n"/>
      <c r="X170" s="280" t="n"/>
      <c r="Y170" s="280" t="n"/>
      <c r="Z170" s="375">
        <f>IF(AND(G170&lt;&gt;"",R170&lt;&gt;"",V170&lt;&gt;"",W170&lt;&gt;""),"COMPLETADO","OBSERVADO")</f>
        <v/>
      </c>
    </row>
    <row r="171" ht="15" customHeight="1" s="195">
      <c r="A171" s="334" t="n"/>
      <c r="B171" s="334" t="n"/>
      <c r="C171" s="334" t="n"/>
      <c r="D171" s="334" t="n"/>
      <c r="E171" s="334" t="n"/>
      <c r="F171" s="334" t="n"/>
      <c r="G171" s="334" t="n"/>
      <c r="H171" s="334" t="n"/>
      <c r="I171" s="332">
        <f>IFERROR(VLOOKUP(TEXT(H171,"0"),IPRESS!$A$3:$B$212,2,0),"")</f>
        <v/>
      </c>
      <c r="J171" s="334" t="n"/>
      <c r="K171" s="332">
        <f>IFERROR(VLOOKUP(TEXT(O171,"0"),CONDUCTORES!$A$3:$G$54,7,0),"")</f>
        <v/>
      </c>
      <c r="L171" s="334" t="n"/>
      <c r="M171" s="334" t="n"/>
      <c r="N171" s="333">
        <f>IFERROR(IF(L171*M171=0,"",L171*M171),"")</f>
        <v/>
      </c>
      <c r="O171" s="334" t="n"/>
      <c r="P171" s="332">
        <f>IFERROR(VLOOKUP(TEXT(O171,"0"),CONDUCTORES!$A$3:$G$54,2,0),"")</f>
        <v/>
      </c>
      <c r="Q171" s="332">
        <f>IFERROR(VLOOKUP(TEXT(O171,"0"),CONDUCTORES!$A$3:$H$54,6,0),"")</f>
        <v/>
      </c>
      <c r="R171" s="334" t="n"/>
      <c r="S171" s="334" t="n"/>
      <c r="T171" s="334" t="n"/>
      <c r="U171" s="334" t="n"/>
      <c r="V171" s="334" t="n"/>
      <c r="W171" s="334" t="n"/>
      <c r="X171" s="334" t="n"/>
      <c r="Y171" s="334" t="n"/>
      <c r="Z171" s="375">
        <f>IF(AND(G171&lt;&gt;"",R171&lt;&gt;"",V171&lt;&gt;"",W171&lt;&gt;""),"COMPLETADO","OBSERVADO")</f>
        <v/>
      </c>
    </row>
    <row r="172" ht="15" customHeight="1" s="195">
      <c r="A172" s="280" t="n"/>
      <c r="B172" s="280" t="n"/>
      <c r="C172" s="280" t="n"/>
      <c r="D172" s="280" t="n"/>
      <c r="E172" s="280" t="n"/>
      <c r="F172" s="280" t="n"/>
      <c r="G172" s="280" t="n"/>
      <c r="H172" s="280" t="n"/>
      <c r="I172" s="332">
        <f>IFERROR(VLOOKUP(TEXT(H172,"0"),IPRESS!$A$3:$B$212,2,0),"")</f>
        <v/>
      </c>
      <c r="J172" s="280" t="n"/>
      <c r="K172" s="332">
        <f>IFERROR(VLOOKUP(TEXT(O172,"0"),CONDUCTORES!$A$3:$G$54,7,0),"")</f>
        <v/>
      </c>
      <c r="L172" s="280" t="n"/>
      <c r="M172" s="280" t="n"/>
      <c r="N172" s="333">
        <f>IFERROR(IF(L172*M172=0,"",L172*M172),"")</f>
        <v/>
      </c>
      <c r="O172" s="280" t="n"/>
      <c r="P172" s="332">
        <f>IFERROR(VLOOKUP(TEXT(O172,"0"),CONDUCTORES!$A$3:$G$54,2,0),"")</f>
        <v/>
      </c>
      <c r="Q172" s="332">
        <f>IFERROR(VLOOKUP(TEXT(O172,"0"),CONDUCTORES!$A$3:$H$54,6,0),"")</f>
        <v/>
      </c>
      <c r="R172" s="280" t="n"/>
      <c r="S172" s="280" t="n"/>
      <c r="T172" s="280" t="n"/>
      <c r="U172" s="280" t="n"/>
      <c r="V172" s="280" t="n"/>
      <c r="W172" s="280" t="n"/>
      <c r="X172" s="280" t="n"/>
      <c r="Y172" s="280" t="n"/>
      <c r="Z172" s="375">
        <f>IF(AND(G172&lt;&gt;"",R172&lt;&gt;"",V172&lt;&gt;"",W172&lt;&gt;""),"COMPLETADO","OBSERVADO")</f>
        <v/>
      </c>
    </row>
    <row r="173" ht="15" customHeight="1" s="195">
      <c r="A173" s="334" t="n"/>
      <c r="B173" s="334" t="n"/>
      <c r="C173" s="334" t="n"/>
      <c r="D173" s="334" t="n"/>
      <c r="E173" s="334" t="n"/>
      <c r="F173" s="334" t="n"/>
      <c r="G173" s="334" t="n"/>
      <c r="H173" s="334" t="n"/>
      <c r="I173" s="332">
        <f>IFERROR(VLOOKUP(TEXT(H173,"0"),IPRESS!$A$3:$B$212,2,0),"")</f>
        <v/>
      </c>
      <c r="J173" s="334" t="n"/>
      <c r="K173" s="332">
        <f>IFERROR(VLOOKUP(TEXT(O173,"0"),CONDUCTORES!$A$3:$G$54,7,0),"")</f>
        <v/>
      </c>
      <c r="L173" s="334" t="n"/>
      <c r="M173" s="334" t="n"/>
      <c r="N173" s="333">
        <f>IFERROR(IF(L173*M173=0,"",L173*M173),"")</f>
        <v/>
      </c>
      <c r="O173" s="334" t="n"/>
      <c r="P173" s="332">
        <f>IFERROR(VLOOKUP(TEXT(O173,"0"),CONDUCTORES!$A$3:$G$54,2,0),"")</f>
        <v/>
      </c>
      <c r="Q173" s="332">
        <f>IFERROR(VLOOKUP(TEXT(O173,"0"),CONDUCTORES!$A$3:$H$54,6,0),"")</f>
        <v/>
      </c>
      <c r="R173" s="334" t="n"/>
      <c r="S173" s="334" t="n"/>
      <c r="T173" s="334" t="n"/>
      <c r="U173" s="334" t="n"/>
      <c r="V173" s="334" t="n"/>
      <c r="W173" s="334" t="n"/>
      <c r="X173" s="334" t="n"/>
      <c r="Y173" s="334" t="n"/>
      <c r="Z173" s="375">
        <f>IF(AND(G173&lt;&gt;"",R173&lt;&gt;"",V173&lt;&gt;"",W173&lt;&gt;""),"COMPLETADO","OBSERVADO")</f>
        <v/>
      </c>
    </row>
    <row r="174" ht="15" customHeight="1" s="195">
      <c r="A174" s="280" t="n"/>
      <c r="B174" s="280" t="n"/>
      <c r="C174" s="280" t="n"/>
      <c r="D174" s="280" t="n"/>
      <c r="E174" s="280" t="n"/>
      <c r="F174" s="280" t="n"/>
      <c r="G174" s="280" t="n"/>
      <c r="H174" s="280" t="n"/>
      <c r="I174" s="332">
        <f>IFERROR(VLOOKUP(TEXT(H174,"0"),IPRESS!$A$3:$B$212,2,0),"")</f>
        <v/>
      </c>
      <c r="J174" s="280" t="n"/>
      <c r="K174" s="332">
        <f>IFERROR(VLOOKUP(TEXT(O174,"0"),CONDUCTORES!$A$3:$G$54,7,0),"")</f>
        <v/>
      </c>
      <c r="L174" s="280" t="n"/>
      <c r="M174" s="280" t="n"/>
      <c r="N174" s="333">
        <f>IFERROR(IF(L174*M174=0,"",L174*M174),"")</f>
        <v/>
      </c>
      <c r="O174" s="280" t="n"/>
      <c r="P174" s="332">
        <f>IFERROR(VLOOKUP(TEXT(O174,"0"),CONDUCTORES!$A$3:$G$54,2,0),"")</f>
        <v/>
      </c>
      <c r="Q174" s="332">
        <f>IFERROR(VLOOKUP(TEXT(O174,"0"),CONDUCTORES!$A$3:$H$54,6,0),"")</f>
        <v/>
      </c>
      <c r="R174" s="280" t="n"/>
      <c r="S174" s="280" t="n"/>
      <c r="T174" s="280" t="n"/>
      <c r="U174" s="280" t="n"/>
      <c r="V174" s="280" t="n"/>
      <c r="W174" s="280" t="n"/>
      <c r="X174" s="280" t="n"/>
      <c r="Y174" s="280" t="n"/>
      <c r="Z174" s="375">
        <f>IF(AND(G174&lt;&gt;"",R174&lt;&gt;"",V174&lt;&gt;"",W174&lt;&gt;""),"COMPLETADO","OBSERVADO")</f>
        <v/>
      </c>
    </row>
    <row r="175" ht="15" customHeight="1" s="195">
      <c r="A175" s="334" t="n"/>
      <c r="B175" s="334" t="n"/>
      <c r="C175" s="334" t="n"/>
      <c r="D175" s="334" t="n"/>
      <c r="E175" s="334" t="n"/>
      <c r="F175" s="334" t="n"/>
      <c r="G175" s="334" t="n"/>
      <c r="H175" s="334" t="n"/>
      <c r="I175" s="332">
        <f>IFERROR(VLOOKUP(TEXT(H175,"0"),IPRESS!$A$3:$B$212,2,0),"")</f>
        <v/>
      </c>
      <c r="J175" s="334" t="n"/>
      <c r="K175" s="332">
        <f>IFERROR(VLOOKUP(TEXT(O175,"0"),CONDUCTORES!$A$3:$G$54,7,0),"")</f>
        <v/>
      </c>
      <c r="L175" s="334" t="n"/>
      <c r="M175" s="334" t="n"/>
      <c r="N175" s="333">
        <f>IFERROR(IF(L175*M175=0,"",L175*M175),"")</f>
        <v/>
      </c>
      <c r="O175" s="334" t="n"/>
      <c r="P175" s="332">
        <f>IFERROR(VLOOKUP(TEXT(O175,"0"),CONDUCTORES!$A$3:$G$54,2,0),"")</f>
        <v/>
      </c>
      <c r="Q175" s="332">
        <f>IFERROR(VLOOKUP(TEXT(O175,"0"),CONDUCTORES!$A$3:$H$54,6,0),"")</f>
        <v/>
      </c>
      <c r="R175" s="334" t="n"/>
      <c r="S175" s="334" t="n"/>
      <c r="T175" s="334" t="n"/>
      <c r="U175" s="334" t="n"/>
      <c r="V175" s="334" t="n"/>
      <c r="W175" s="334" t="n"/>
      <c r="X175" s="334" t="n"/>
      <c r="Y175" s="334" t="n"/>
      <c r="Z175" s="375">
        <f>IF(AND(G175&lt;&gt;"",R175&lt;&gt;"",V175&lt;&gt;"",W175&lt;&gt;""),"COMPLETADO","OBSERVADO")</f>
        <v/>
      </c>
    </row>
    <row r="176" ht="15" customHeight="1" s="195">
      <c r="A176" s="280" t="n"/>
      <c r="B176" s="280" t="n"/>
      <c r="C176" s="280" t="n"/>
      <c r="D176" s="280" t="n"/>
      <c r="E176" s="280" t="n"/>
      <c r="F176" s="280" t="n"/>
      <c r="G176" s="280" t="n"/>
      <c r="H176" s="280" t="n"/>
      <c r="I176" s="332">
        <f>IFERROR(VLOOKUP(TEXT(H176,"0"),IPRESS!$A$3:$B$212,2,0),"")</f>
        <v/>
      </c>
      <c r="J176" s="280" t="n"/>
      <c r="K176" s="332">
        <f>IFERROR(VLOOKUP(TEXT(O176,"0"),CONDUCTORES!$A$3:$G$54,7,0),"")</f>
        <v/>
      </c>
      <c r="L176" s="280" t="n"/>
      <c r="M176" s="280" t="n"/>
      <c r="N176" s="333">
        <f>IFERROR(IF(L176*M176=0,"",L176*M176),"")</f>
        <v/>
      </c>
      <c r="O176" s="280" t="n"/>
      <c r="P176" s="332">
        <f>IFERROR(VLOOKUP(TEXT(O176,"0"),CONDUCTORES!$A$3:$G$54,2,0),"")</f>
        <v/>
      </c>
      <c r="Q176" s="332">
        <f>IFERROR(VLOOKUP(TEXT(O176,"0"),CONDUCTORES!$A$3:$H$54,6,0),"")</f>
        <v/>
      </c>
      <c r="R176" s="280" t="n"/>
      <c r="S176" s="280" t="n"/>
      <c r="T176" s="280" t="n"/>
      <c r="U176" s="280" t="n"/>
      <c r="V176" s="280" t="n"/>
      <c r="W176" s="280" t="n"/>
      <c r="X176" s="280" t="n"/>
      <c r="Y176" s="280" t="n"/>
      <c r="Z176" s="375">
        <f>IF(AND(G176&lt;&gt;"",R176&lt;&gt;"",V176&lt;&gt;"",W176&lt;&gt;""),"COMPLETADO","OBSERVADO")</f>
        <v/>
      </c>
    </row>
    <row r="177" ht="15" customHeight="1" s="195">
      <c r="A177" s="334" t="n"/>
      <c r="B177" s="334" t="n"/>
      <c r="C177" s="334" t="n"/>
      <c r="D177" s="334" t="n"/>
      <c r="E177" s="334" t="n"/>
      <c r="F177" s="334" t="n"/>
      <c r="G177" s="334" t="n"/>
      <c r="H177" s="334" t="n"/>
      <c r="I177" s="332">
        <f>IFERROR(VLOOKUP(TEXT(H177,"0"),IPRESS!$A$3:$B$212,2,0),"")</f>
        <v/>
      </c>
      <c r="J177" s="334" t="n"/>
      <c r="K177" s="332">
        <f>IFERROR(VLOOKUP(TEXT(O177,"0"),CONDUCTORES!$A$3:$G$54,7,0),"")</f>
        <v/>
      </c>
      <c r="L177" s="334" t="n"/>
      <c r="M177" s="334" t="n"/>
      <c r="N177" s="333">
        <f>IFERROR(IF(L177*M177=0,"",L177*M177),"")</f>
        <v/>
      </c>
      <c r="O177" s="334" t="n"/>
      <c r="P177" s="332">
        <f>IFERROR(VLOOKUP(TEXT(O177,"0"),CONDUCTORES!$A$3:$G$54,2,0),"")</f>
        <v/>
      </c>
      <c r="Q177" s="332">
        <f>IFERROR(VLOOKUP(TEXT(O177,"0"),CONDUCTORES!$A$3:$H$54,6,0),"")</f>
        <v/>
      </c>
      <c r="R177" s="334" t="n"/>
      <c r="S177" s="334" t="n"/>
      <c r="T177" s="334" t="n"/>
      <c r="U177" s="334" t="n"/>
      <c r="V177" s="334" t="n"/>
      <c r="W177" s="334" t="n"/>
      <c r="X177" s="334" t="n"/>
      <c r="Y177" s="334" t="n"/>
      <c r="Z177" s="375">
        <f>IF(AND(G177&lt;&gt;"",R177&lt;&gt;"",V177&lt;&gt;"",W177&lt;&gt;""),"COMPLETADO","OBSERVADO")</f>
        <v/>
      </c>
    </row>
    <row r="178" ht="15" customHeight="1" s="195">
      <c r="A178" s="280" t="n"/>
      <c r="B178" s="280" t="n"/>
      <c r="C178" s="280" t="n"/>
      <c r="D178" s="280" t="n"/>
      <c r="E178" s="280" t="n"/>
      <c r="F178" s="280" t="n"/>
      <c r="G178" s="280" t="n"/>
      <c r="H178" s="280" t="n"/>
      <c r="I178" s="332">
        <f>IFERROR(VLOOKUP(TEXT(H178,"0"),IPRESS!$A$3:$B$212,2,0),"")</f>
        <v/>
      </c>
      <c r="J178" s="280" t="n"/>
      <c r="K178" s="332">
        <f>IFERROR(VLOOKUP(TEXT(O178,"0"),CONDUCTORES!$A$3:$G$54,7,0),"")</f>
        <v/>
      </c>
      <c r="L178" s="280" t="n"/>
      <c r="M178" s="280" t="n"/>
      <c r="N178" s="333">
        <f>IFERROR(IF(L178*M178=0,"",L178*M178),"")</f>
        <v/>
      </c>
      <c r="O178" s="280" t="n"/>
      <c r="P178" s="332">
        <f>IFERROR(VLOOKUP(TEXT(O178,"0"),CONDUCTORES!$A$3:$G$54,2,0),"")</f>
        <v/>
      </c>
      <c r="Q178" s="332">
        <f>IFERROR(VLOOKUP(TEXT(O178,"0"),CONDUCTORES!$A$3:$H$54,6,0),"")</f>
        <v/>
      </c>
      <c r="R178" s="280" t="n"/>
      <c r="S178" s="280" t="n"/>
      <c r="T178" s="280" t="n"/>
      <c r="U178" s="280" t="n"/>
      <c r="V178" s="280" t="n"/>
      <c r="W178" s="280" t="n"/>
      <c r="X178" s="280" t="n"/>
      <c r="Y178" s="280" t="n"/>
      <c r="Z178" s="375">
        <f>IF(AND(G178&lt;&gt;"",R178&lt;&gt;"",V178&lt;&gt;"",W178&lt;&gt;""),"COMPLETADO","OBSERVADO")</f>
        <v/>
      </c>
    </row>
    <row r="179" ht="15" customHeight="1" s="195">
      <c r="A179" s="334" t="n"/>
      <c r="B179" s="334" t="n"/>
      <c r="C179" s="334" t="n"/>
      <c r="D179" s="334" t="n"/>
      <c r="E179" s="334" t="n"/>
      <c r="F179" s="334" t="n"/>
      <c r="G179" s="334" t="n"/>
      <c r="H179" s="334" t="n"/>
      <c r="I179" s="332">
        <f>IFERROR(VLOOKUP(TEXT(H179,"0"),IPRESS!$A$3:$B$212,2,0),"")</f>
        <v/>
      </c>
      <c r="J179" s="334" t="n"/>
      <c r="K179" s="332">
        <f>IFERROR(VLOOKUP(TEXT(O179,"0"),CONDUCTORES!$A$3:$G$54,7,0),"")</f>
        <v/>
      </c>
      <c r="L179" s="334" t="n"/>
      <c r="M179" s="334" t="n"/>
      <c r="N179" s="333">
        <f>IFERROR(IF(L179*M179=0,"",L179*M179),"")</f>
        <v/>
      </c>
      <c r="O179" s="334" t="n"/>
      <c r="P179" s="332">
        <f>IFERROR(VLOOKUP(TEXT(O179,"0"),CONDUCTORES!$A$3:$G$54,2,0),"")</f>
        <v/>
      </c>
      <c r="Q179" s="332">
        <f>IFERROR(VLOOKUP(TEXT(O179,"0"),CONDUCTORES!$A$3:$H$54,6,0),"")</f>
        <v/>
      </c>
      <c r="R179" s="334" t="n"/>
      <c r="S179" s="334" t="n"/>
      <c r="T179" s="334" t="n"/>
      <c r="U179" s="334" t="n"/>
      <c r="V179" s="334" t="n"/>
      <c r="W179" s="334" t="n"/>
      <c r="X179" s="334" t="n"/>
      <c r="Y179" s="334" t="n"/>
      <c r="Z179" s="375">
        <f>IF(AND(G179&lt;&gt;"",R179&lt;&gt;"",V179&lt;&gt;"",W179&lt;&gt;""),"COMPLETADO","OBSERVADO")</f>
        <v/>
      </c>
    </row>
    <row r="180" ht="15" customHeight="1" s="195">
      <c r="A180" s="280" t="n"/>
      <c r="B180" s="280" t="n"/>
      <c r="C180" s="280" t="n"/>
      <c r="D180" s="280" t="n"/>
      <c r="E180" s="280" t="n"/>
      <c r="F180" s="280" t="n"/>
      <c r="G180" s="280" t="n"/>
      <c r="H180" s="280" t="n"/>
      <c r="I180" s="332">
        <f>IFERROR(VLOOKUP(TEXT(H180,"0"),IPRESS!$A$3:$B$212,2,0),"")</f>
        <v/>
      </c>
      <c r="J180" s="280" t="n"/>
      <c r="K180" s="332">
        <f>IFERROR(VLOOKUP(TEXT(O180,"0"),CONDUCTORES!$A$3:$G$54,7,0),"")</f>
        <v/>
      </c>
      <c r="L180" s="280" t="n"/>
      <c r="M180" s="280" t="n"/>
      <c r="N180" s="333">
        <f>IFERROR(IF(L180*M180=0,"",L180*M180),"")</f>
        <v/>
      </c>
      <c r="O180" s="280" t="n"/>
      <c r="P180" s="332">
        <f>IFERROR(VLOOKUP(TEXT(O180,"0"),CONDUCTORES!$A$3:$G$54,2,0),"")</f>
        <v/>
      </c>
      <c r="Q180" s="332">
        <f>IFERROR(VLOOKUP(TEXT(O180,"0"),CONDUCTORES!$A$3:$H$54,6,0),"")</f>
        <v/>
      </c>
      <c r="R180" s="280" t="n"/>
      <c r="S180" s="280" t="n"/>
      <c r="T180" s="280" t="n"/>
      <c r="U180" s="280" t="n"/>
      <c r="V180" s="280" t="n"/>
      <c r="W180" s="280" t="n"/>
      <c r="X180" s="280" t="n"/>
      <c r="Y180" s="280" t="n"/>
      <c r="Z180" s="375">
        <f>IF(AND(G180&lt;&gt;"",R180&lt;&gt;"",V180&lt;&gt;"",W180&lt;&gt;""),"COMPLETADO","OBSERVADO")</f>
        <v/>
      </c>
    </row>
    <row r="181" ht="15" customHeight="1" s="195">
      <c r="A181" s="334" t="n"/>
      <c r="B181" s="334" t="n"/>
      <c r="C181" s="334" t="n"/>
      <c r="D181" s="334" t="n"/>
      <c r="E181" s="334" t="n"/>
      <c r="F181" s="334" t="n"/>
      <c r="G181" s="334" t="n"/>
      <c r="H181" s="334" t="n"/>
      <c r="I181" s="332">
        <f>IFERROR(VLOOKUP(TEXT(H181,"0"),IPRESS!$A$3:$B$212,2,0),"")</f>
        <v/>
      </c>
      <c r="J181" s="334" t="n"/>
      <c r="K181" s="332">
        <f>IFERROR(VLOOKUP(TEXT(O181,"0"),CONDUCTORES!$A$3:$G$54,7,0),"")</f>
        <v/>
      </c>
      <c r="L181" s="334" t="n"/>
      <c r="M181" s="334" t="n"/>
      <c r="N181" s="333">
        <f>IFERROR(IF(L181*M181=0,"",L181*M181),"")</f>
        <v/>
      </c>
      <c r="O181" s="334" t="n"/>
      <c r="P181" s="332">
        <f>IFERROR(VLOOKUP(TEXT(O181,"0"),CONDUCTORES!$A$3:$G$54,2,0),"")</f>
        <v/>
      </c>
      <c r="Q181" s="332">
        <f>IFERROR(VLOOKUP(TEXT(O181,"0"),CONDUCTORES!$A$3:$H$54,6,0),"")</f>
        <v/>
      </c>
      <c r="R181" s="334" t="n"/>
      <c r="S181" s="334" t="n"/>
      <c r="T181" s="334" t="n"/>
      <c r="U181" s="334" t="n"/>
      <c r="V181" s="334" t="n"/>
      <c r="W181" s="334" t="n"/>
      <c r="X181" s="334" t="n"/>
      <c r="Y181" s="334" t="n"/>
      <c r="Z181" s="375">
        <f>IF(AND(G181&lt;&gt;"",R181&lt;&gt;"",V181&lt;&gt;"",W181&lt;&gt;""),"COMPLETADO","OBSERVADO")</f>
        <v/>
      </c>
    </row>
    <row r="182" ht="15" customHeight="1" s="195">
      <c r="A182" s="280" t="n"/>
      <c r="B182" s="280" t="n"/>
      <c r="C182" s="280" t="n"/>
      <c r="D182" s="280" t="n"/>
      <c r="E182" s="280" t="n"/>
      <c r="F182" s="280" t="n"/>
      <c r="G182" s="280" t="n"/>
      <c r="H182" s="280" t="n"/>
      <c r="I182" s="332">
        <f>IFERROR(VLOOKUP(TEXT(H182,"0"),IPRESS!$A$3:$B$212,2,0),"")</f>
        <v/>
      </c>
      <c r="J182" s="280" t="n"/>
      <c r="K182" s="332">
        <f>IFERROR(VLOOKUP(TEXT(O182,"0"),CONDUCTORES!$A$3:$G$54,7,0),"")</f>
        <v/>
      </c>
      <c r="L182" s="280" t="n"/>
      <c r="M182" s="280" t="n"/>
      <c r="N182" s="333">
        <f>IFERROR(IF(L182*M182=0,"",L182*M182),"")</f>
        <v/>
      </c>
      <c r="O182" s="280" t="n"/>
      <c r="P182" s="332">
        <f>IFERROR(VLOOKUP(TEXT(O182,"0"),CONDUCTORES!$A$3:$G$54,2,0),"")</f>
        <v/>
      </c>
      <c r="Q182" s="332">
        <f>IFERROR(VLOOKUP(TEXT(O182,"0"),CONDUCTORES!$A$3:$H$54,6,0),"")</f>
        <v/>
      </c>
      <c r="R182" s="280" t="n"/>
      <c r="S182" s="280" t="n"/>
      <c r="T182" s="280" t="n"/>
      <c r="U182" s="280" t="n"/>
      <c r="V182" s="280" t="n"/>
      <c r="W182" s="280" t="n"/>
      <c r="X182" s="280" t="n"/>
      <c r="Y182" s="280" t="n"/>
      <c r="Z182" s="375">
        <f>IF(AND(G182&lt;&gt;"",R182&lt;&gt;"",V182&lt;&gt;"",W182&lt;&gt;""),"COMPLETADO","OBSERVADO")</f>
        <v/>
      </c>
    </row>
    <row r="183" ht="15" customHeight="1" s="195">
      <c r="A183" s="334" t="n"/>
      <c r="B183" s="334" t="n"/>
      <c r="C183" s="334" t="n"/>
      <c r="D183" s="334" t="n"/>
      <c r="E183" s="334" t="n"/>
      <c r="F183" s="334" t="n"/>
      <c r="G183" s="334" t="n"/>
      <c r="H183" s="334" t="n"/>
      <c r="I183" s="332">
        <f>IFERROR(VLOOKUP(TEXT(H183,"0"),IPRESS!$A$3:$B$212,2,0),"")</f>
        <v/>
      </c>
      <c r="J183" s="334" t="n"/>
      <c r="K183" s="332">
        <f>IFERROR(VLOOKUP(TEXT(O183,"0"),CONDUCTORES!$A$3:$G$54,7,0),"")</f>
        <v/>
      </c>
      <c r="L183" s="334" t="n"/>
      <c r="M183" s="334" t="n"/>
      <c r="N183" s="333">
        <f>IFERROR(IF(L183*M183=0,"",L183*M183),"")</f>
        <v/>
      </c>
      <c r="O183" s="334" t="n"/>
      <c r="P183" s="332">
        <f>IFERROR(VLOOKUP(TEXT(O183,"0"),CONDUCTORES!$A$3:$G$54,2,0),"")</f>
        <v/>
      </c>
      <c r="Q183" s="332">
        <f>IFERROR(VLOOKUP(TEXT(O183,"0"),CONDUCTORES!$A$3:$H$54,6,0),"")</f>
        <v/>
      </c>
      <c r="R183" s="334" t="n"/>
      <c r="S183" s="334" t="n"/>
      <c r="T183" s="334" t="n"/>
      <c r="U183" s="334" t="n"/>
      <c r="V183" s="334" t="n"/>
      <c r="W183" s="334" t="n"/>
      <c r="X183" s="334" t="n"/>
      <c r="Y183" s="334" t="n"/>
      <c r="Z183" s="375">
        <f>IF(AND(G183&lt;&gt;"",R183&lt;&gt;"",V183&lt;&gt;"",W183&lt;&gt;""),"COMPLETADO","OBSERVADO")</f>
        <v/>
      </c>
    </row>
    <row r="184" ht="15" customHeight="1" s="195">
      <c r="A184" s="280" t="n"/>
      <c r="B184" s="280" t="n"/>
      <c r="C184" s="280" t="n"/>
      <c r="D184" s="280" t="n"/>
      <c r="E184" s="280" t="n"/>
      <c r="F184" s="280" t="n"/>
      <c r="G184" s="280" t="n"/>
      <c r="H184" s="280" t="n"/>
      <c r="I184" s="332">
        <f>IFERROR(VLOOKUP(TEXT(H184,"0"),IPRESS!$A$3:$B$212,2,0),"")</f>
        <v/>
      </c>
      <c r="J184" s="280" t="n"/>
      <c r="K184" s="332">
        <f>IFERROR(VLOOKUP(TEXT(O184,"0"),CONDUCTORES!$A$3:$G$54,7,0),"")</f>
        <v/>
      </c>
      <c r="L184" s="280" t="n"/>
      <c r="M184" s="280" t="n"/>
      <c r="N184" s="333">
        <f>IFERROR(IF(L184*M184=0,"",L184*M184),"")</f>
        <v/>
      </c>
      <c r="O184" s="280" t="n"/>
      <c r="P184" s="332">
        <f>IFERROR(VLOOKUP(TEXT(O184,"0"),CONDUCTORES!$A$3:$G$54,2,0),"")</f>
        <v/>
      </c>
      <c r="Q184" s="332">
        <f>IFERROR(VLOOKUP(TEXT(O184,"0"),CONDUCTORES!$A$3:$H$54,6,0),"")</f>
        <v/>
      </c>
      <c r="R184" s="280" t="n"/>
      <c r="S184" s="280" t="n"/>
      <c r="T184" s="280" t="n"/>
      <c r="U184" s="280" t="n"/>
      <c r="V184" s="280" t="n"/>
      <c r="W184" s="280" t="n"/>
      <c r="X184" s="280" t="n"/>
      <c r="Y184" s="280" t="n"/>
      <c r="Z184" s="375">
        <f>IF(AND(G184&lt;&gt;"",R184&lt;&gt;"",V184&lt;&gt;"",W184&lt;&gt;""),"COMPLETADO","OBSERVADO")</f>
        <v/>
      </c>
    </row>
    <row r="185" ht="15" customHeight="1" s="195">
      <c r="A185" s="334" t="n"/>
      <c r="B185" s="334" t="n"/>
      <c r="C185" s="334" t="n"/>
      <c r="D185" s="334" t="n"/>
      <c r="E185" s="334" t="n"/>
      <c r="F185" s="334" t="n"/>
      <c r="G185" s="334" t="n"/>
      <c r="H185" s="334" t="n"/>
      <c r="I185" s="332">
        <f>IFERROR(VLOOKUP(TEXT(H185,"0"),IPRESS!$A$3:$B$212,2,0),"")</f>
        <v/>
      </c>
      <c r="J185" s="334" t="n"/>
      <c r="K185" s="332">
        <f>IFERROR(VLOOKUP(TEXT(O185,"0"),CONDUCTORES!$A$3:$G$54,7,0),"")</f>
        <v/>
      </c>
      <c r="L185" s="334" t="n"/>
      <c r="M185" s="334" t="n"/>
      <c r="N185" s="333">
        <f>IFERROR(IF(L185*M185=0,"",L185*M185),"")</f>
        <v/>
      </c>
      <c r="O185" s="334" t="n"/>
      <c r="P185" s="332">
        <f>IFERROR(VLOOKUP(TEXT(O185,"0"),CONDUCTORES!$A$3:$G$54,2,0),"")</f>
        <v/>
      </c>
      <c r="Q185" s="332">
        <f>IFERROR(VLOOKUP(TEXT(O185,"0"),CONDUCTORES!$A$3:$H$54,6,0),"")</f>
        <v/>
      </c>
      <c r="R185" s="334" t="n"/>
      <c r="S185" s="334" t="n"/>
      <c r="T185" s="334" t="n"/>
      <c r="U185" s="334" t="n"/>
      <c r="V185" s="334" t="n"/>
      <c r="W185" s="334" t="n"/>
      <c r="X185" s="334" t="n"/>
      <c r="Y185" s="334" t="n"/>
      <c r="Z185" s="375">
        <f>IF(AND(G185&lt;&gt;"",R185&lt;&gt;"",V185&lt;&gt;"",W185&lt;&gt;""),"COMPLETADO","OBSERVADO")</f>
        <v/>
      </c>
    </row>
    <row r="186" ht="15" customHeight="1" s="195">
      <c r="A186" s="280" t="n"/>
      <c r="B186" s="280" t="n"/>
      <c r="C186" s="280" t="n"/>
      <c r="D186" s="280" t="n"/>
      <c r="E186" s="280" t="n"/>
      <c r="F186" s="280" t="n"/>
      <c r="G186" s="280" t="n"/>
      <c r="H186" s="280" t="n"/>
      <c r="I186" s="332">
        <f>IFERROR(VLOOKUP(TEXT(H186,"0"),IPRESS!$A$3:$B$212,2,0),"")</f>
        <v/>
      </c>
      <c r="J186" s="280" t="n"/>
      <c r="K186" s="332">
        <f>IFERROR(VLOOKUP(TEXT(O186,"0"),CONDUCTORES!$A$3:$G$54,7,0),"")</f>
        <v/>
      </c>
      <c r="L186" s="280" t="n"/>
      <c r="M186" s="280" t="n"/>
      <c r="N186" s="333">
        <f>IFERROR(IF(L186*M186=0,"",L186*M186),"")</f>
        <v/>
      </c>
      <c r="O186" s="280" t="n"/>
      <c r="P186" s="332">
        <f>IFERROR(VLOOKUP(TEXT(O186,"0"),CONDUCTORES!$A$3:$G$54,2,0),"")</f>
        <v/>
      </c>
      <c r="Q186" s="332">
        <f>IFERROR(VLOOKUP(TEXT(O186,"0"),CONDUCTORES!$A$3:$H$54,6,0),"")</f>
        <v/>
      </c>
      <c r="R186" s="280" t="n"/>
      <c r="S186" s="280" t="n"/>
      <c r="T186" s="280" t="n"/>
      <c r="U186" s="280" t="n"/>
      <c r="V186" s="280" t="n"/>
      <c r="W186" s="280" t="n"/>
      <c r="X186" s="280" t="n"/>
      <c r="Y186" s="280" t="n"/>
      <c r="Z186" s="375">
        <f>IF(AND(G186&lt;&gt;"",R186&lt;&gt;"",V186&lt;&gt;"",W186&lt;&gt;""),"COMPLETADO","OBSERVADO")</f>
        <v/>
      </c>
    </row>
    <row r="187" ht="15" customHeight="1" s="195">
      <c r="A187" s="334" t="n"/>
      <c r="B187" s="334" t="n"/>
      <c r="C187" s="334" t="n"/>
      <c r="D187" s="334" t="n"/>
      <c r="E187" s="334" t="n"/>
      <c r="F187" s="334" t="n"/>
      <c r="G187" s="334" t="n"/>
      <c r="H187" s="334" t="n"/>
      <c r="I187" s="332">
        <f>IFERROR(VLOOKUP(TEXT(H187,"0"),IPRESS!$A$3:$B$212,2,0),"")</f>
        <v/>
      </c>
      <c r="J187" s="334" t="n"/>
      <c r="K187" s="332">
        <f>IFERROR(VLOOKUP(TEXT(O187,"0"),CONDUCTORES!$A$3:$G$54,7,0),"")</f>
        <v/>
      </c>
      <c r="L187" s="334" t="n"/>
      <c r="M187" s="334" t="n"/>
      <c r="N187" s="333">
        <f>IFERROR(IF(L187*M187=0,"",L187*M187),"")</f>
        <v/>
      </c>
      <c r="O187" s="334" t="n"/>
      <c r="P187" s="332">
        <f>IFERROR(VLOOKUP(TEXT(O187,"0"),CONDUCTORES!$A$3:$G$54,2,0),"")</f>
        <v/>
      </c>
      <c r="Q187" s="332">
        <f>IFERROR(VLOOKUP(TEXT(O187,"0"),CONDUCTORES!$A$3:$H$54,6,0),"")</f>
        <v/>
      </c>
      <c r="R187" s="334" t="n"/>
      <c r="S187" s="334" t="n"/>
      <c r="T187" s="334" t="n"/>
      <c r="U187" s="334" t="n"/>
      <c r="V187" s="334" t="n"/>
      <c r="W187" s="334" t="n"/>
      <c r="X187" s="334" t="n"/>
      <c r="Y187" s="334" t="n"/>
      <c r="Z187" s="375">
        <f>IF(AND(G187&lt;&gt;"",R187&lt;&gt;"",V187&lt;&gt;"",W187&lt;&gt;""),"COMPLETADO","OBSERVADO")</f>
        <v/>
      </c>
    </row>
    <row r="188" ht="15" customHeight="1" s="195">
      <c r="A188" s="280" t="n"/>
      <c r="B188" s="280" t="n"/>
      <c r="C188" s="280" t="n"/>
      <c r="D188" s="280" t="n"/>
      <c r="E188" s="280" t="n"/>
      <c r="F188" s="280" t="n"/>
      <c r="G188" s="280" t="n"/>
      <c r="H188" s="280" t="n"/>
      <c r="I188" s="332">
        <f>IFERROR(VLOOKUP(TEXT(H188,"0"),IPRESS!$A$3:$B$212,2,0),"")</f>
        <v/>
      </c>
      <c r="J188" s="280" t="n"/>
      <c r="K188" s="332">
        <f>IFERROR(VLOOKUP(TEXT(O188,"0"),CONDUCTORES!$A$3:$G$54,7,0),"")</f>
        <v/>
      </c>
      <c r="L188" s="280" t="n"/>
      <c r="M188" s="280" t="n"/>
      <c r="N188" s="333">
        <f>IFERROR(IF(L188*M188=0,"",L188*M188),"")</f>
        <v/>
      </c>
      <c r="O188" s="280" t="n"/>
      <c r="P188" s="332">
        <f>IFERROR(VLOOKUP(TEXT(O188,"0"),CONDUCTORES!$A$3:$G$54,2,0),"")</f>
        <v/>
      </c>
      <c r="Q188" s="332">
        <f>IFERROR(VLOOKUP(TEXT(O188,"0"),CONDUCTORES!$A$3:$H$54,6,0),"")</f>
        <v/>
      </c>
      <c r="R188" s="280" t="n"/>
      <c r="S188" s="280" t="n"/>
      <c r="T188" s="280" t="n"/>
      <c r="U188" s="280" t="n"/>
      <c r="V188" s="280" t="n"/>
      <c r="W188" s="280" t="n"/>
      <c r="X188" s="280" t="n"/>
      <c r="Y188" s="280" t="n"/>
      <c r="Z188" s="375">
        <f>IF(AND(G188&lt;&gt;"",R188&lt;&gt;"",V188&lt;&gt;"",W188&lt;&gt;""),"COMPLETADO","OBSERVADO")</f>
        <v/>
      </c>
    </row>
    <row r="189" ht="15" customHeight="1" s="195">
      <c r="A189" s="334" t="n"/>
      <c r="B189" s="334" t="n"/>
      <c r="C189" s="334" t="n"/>
      <c r="D189" s="334" t="n"/>
      <c r="E189" s="334" t="n"/>
      <c r="F189" s="334" t="n"/>
      <c r="G189" s="334" t="n"/>
      <c r="H189" s="334" t="n"/>
      <c r="I189" s="332">
        <f>IFERROR(VLOOKUP(TEXT(H189,"0"),IPRESS!$A$3:$B$212,2,0),"")</f>
        <v/>
      </c>
      <c r="J189" s="334" t="n"/>
      <c r="K189" s="332">
        <f>IFERROR(VLOOKUP(TEXT(O189,"0"),CONDUCTORES!$A$3:$G$54,7,0),"")</f>
        <v/>
      </c>
      <c r="L189" s="334" t="n"/>
      <c r="M189" s="334" t="n"/>
      <c r="N189" s="333">
        <f>IFERROR(IF(L189*M189=0,"",L189*M189),"")</f>
        <v/>
      </c>
      <c r="O189" s="334" t="n"/>
      <c r="P189" s="332">
        <f>IFERROR(VLOOKUP(TEXT(O189,"0"),CONDUCTORES!$A$3:$G$54,2,0),"")</f>
        <v/>
      </c>
      <c r="Q189" s="332">
        <f>IFERROR(VLOOKUP(TEXT(O189,"0"),CONDUCTORES!$A$3:$H$54,6,0),"")</f>
        <v/>
      </c>
      <c r="R189" s="334" t="n"/>
      <c r="S189" s="334" t="n"/>
      <c r="T189" s="334" t="n"/>
      <c r="U189" s="334" t="n"/>
      <c r="V189" s="334" t="n"/>
      <c r="W189" s="334" t="n"/>
      <c r="X189" s="334" t="n"/>
      <c r="Y189" s="334" t="n"/>
      <c r="Z189" s="375">
        <f>IF(AND(G189&lt;&gt;"",R189&lt;&gt;"",V189&lt;&gt;"",W189&lt;&gt;""),"COMPLETADO","OBSERVADO")</f>
        <v/>
      </c>
    </row>
    <row r="190" ht="15" customHeight="1" s="195">
      <c r="A190" s="280" t="n"/>
      <c r="B190" s="280" t="n"/>
      <c r="C190" s="280" t="n"/>
      <c r="D190" s="280" t="n"/>
      <c r="E190" s="280" t="n"/>
      <c r="F190" s="280" t="n"/>
      <c r="G190" s="280" t="n"/>
      <c r="H190" s="280" t="n"/>
      <c r="I190" s="332">
        <f>IFERROR(VLOOKUP(TEXT(H190,"0"),IPRESS!$A$3:$B$212,2,0),"")</f>
        <v/>
      </c>
      <c r="J190" s="280" t="n"/>
      <c r="K190" s="332">
        <f>IFERROR(VLOOKUP(TEXT(O190,"0"),CONDUCTORES!$A$3:$G$54,7,0),"")</f>
        <v/>
      </c>
      <c r="L190" s="280" t="n"/>
      <c r="M190" s="280" t="n"/>
      <c r="N190" s="333">
        <f>IFERROR(IF(L190*M190=0,"",L190*M190),"")</f>
        <v/>
      </c>
      <c r="O190" s="280" t="n"/>
      <c r="P190" s="332">
        <f>IFERROR(VLOOKUP(TEXT(O190,"0"),CONDUCTORES!$A$3:$G$54,2,0),"")</f>
        <v/>
      </c>
      <c r="Q190" s="332">
        <f>IFERROR(VLOOKUP(TEXT(O190,"0"),CONDUCTORES!$A$3:$H$54,6,0),"")</f>
        <v/>
      </c>
      <c r="R190" s="280" t="n"/>
      <c r="S190" s="280" t="n"/>
      <c r="T190" s="280" t="n"/>
      <c r="U190" s="280" t="n"/>
      <c r="V190" s="280" t="n"/>
      <c r="W190" s="280" t="n"/>
      <c r="X190" s="280" t="n"/>
      <c r="Y190" s="280" t="n"/>
      <c r="Z190" s="375">
        <f>IF(AND(G190&lt;&gt;"",R190&lt;&gt;"",V190&lt;&gt;"",W190&lt;&gt;""),"COMPLETADO","OBSERVADO")</f>
        <v/>
      </c>
    </row>
    <row r="191" ht="15" customHeight="1" s="195">
      <c r="A191" s="334" t="n"/>
      <c r="B191" s="334" t="n"/>
      <c r="C191" s="334" t="n"/>
      <c r="D191" s="334" t="n"/>
      <c r="E191" s="334" t="n"/>
      <c r="F191" s="334" t="n"/>
      <c r="G191" s="334" t="n"/>
      <c r="H191" s="334" t="n"/>
      <c r="I191" s="332">
        <f>IFERROR(VLOOKUP(TEXT(H191,"0"),IPRESS!$A$3:$B$212,2,0),"")</f>
        <v/>
      </c>
      <c r="J191" s="334" t="n"/>
      <c r="K191" s="332">
        <f>IFERROR(VLOOKUP(TEXT(O191,"0"),CONDUCTORES!$A$3:$G$54,7,0),"")</f>
        <v/>
      </c>
      <c r="L191" s="334" t="n"/>
      <c r="M191" s="334" t="n"/>
      <c r="N191" s="333">
        <f>IFERROR(IF(L191*M191=0,"",L191*M191),"")</f>
        <v/>
      </c>
      <c r="O191" s="334" t="n"/>
      <c r="P191" s="332">
        <f>IFERROR(VLOOKUP(TEXT(O191,"0"),CONDUCTORES!$A$3:$G$54,2,0),"")</f>
        <v/>
      </c>
      <c r="Q191" s="332">
        <f>IFERROR(VLOOKUP(TEXT(O191,"0"),CONDUCTORES!$A$3:$H$54,6,0),"")</f>
        <v/>
      </c>
      <c r="R191" s="334" t="n"/>
      <c r="S191" s="334" t="n"/>
      <c r="T191" s="334" t="n"/>
      <c r="U191" s="334" t="n"/>
      <c r="V191" s="334" t="n"/>
      <c r="W191" s="334" t="n"/>
      <c r="X191" s="334" t="n"/>
      <c r="Y191" s="334" t="n"/>
      <c r="Z191" s="375">
        <f>IF(AND(G191&lt;&gt;"",R191&lt;&gt;"",V191&lt;&gt;"",W191&lt;&gt;""),"COMPLETADO","OBSERVADO")</f>
        <v/>
      </c>
    </row>
    <row r="192" ht="15" customHeight="1" s="195">
      <c r="A192" s="280" t="n"/>
      <c r="B192" s="280" t="n"/>
      <c r="C192" s="280" t="n"/>
      <c r="D192" s="280" t="n"/>
      <c r="E192" s="280" t="n"/>
      <c r="F192" s="280" t="n"/>
      <c r="G192" s="280" t="n"/>
      <c r="H192" s="280" t="n"/>
      <c r="I192" s="332">
        <f>IFERROR(VLOOKUP(TEXT(H192,"0"),IPRESS!$A$3:$B$212,2,0),"")</f>
        <v/>
      </c>
      <c r="J192" s="280" t="n"/>
      <c r="K192" s="332">
        <f>IFERROR(VLOOKUP(TEXT(O192,"0"),CONDUCTORES!$A$3:$G$54,7,0),"")</f>
        <v/>
      </c>
      <c r="L192" s="280" t="n"/>
      <c r="M192" s="280" t="n"/>
      <c r="N192" s="333">
        <f>IFERROR(IF(L192*M192=0,"",L192*M192),"")</f>
        <v/>
      </c>
      <c r="O192" s="280" t="n"/>
      <c r="P192" s="332">
        <f>IFERROR(VLOOKUP(TEXT(O192,"0"),CONDUCTORES!$A$3:$G$54,2,0),"")</f>
        <v/>
      </c>
      <c r="Q192" s="332">
        <f>IFERROR(VLOOKUP(TEXT(O192,"0"),CONDUCTORES!$A$3:$H$54,6,0),"")</f>
        <v/>
      </c>
      <c r="R192" s="280" t="n"/>
      <c r="S192" s="280" t="n"/>
      <c r="T192" s="280" t="n"/>
      <c r="U192" s="280" t="n"/>
      <c r="V192" s="280" t="n"/>
      <c r="W192" s="280" t="n"/>
      <c r="X192" s="280" t="n"/>
      <c r="Y192" s="280" t="n"/>
      <c r="Z192" s="375">
        <f>IF(AND(G192&lt;&gt;"",R192&lt;&gt;"",V192&lt;&gt;"",W192&lt;&gt;""),"COMPLETADO","OBSERVADO")</f>
        <v/>
      </c>
    </row>
    <row r="193" ht="15" customHeight="1" s="195">
      <c r="A193" s="334" t="n"/>
      <c r="B193" s="334" t="n"/>
      <c r="C193" s="334" t="n"/>
      <c r="D193" s="334" t="n"/>
      <c r="E193" s="334" t="n"/>
      <c r="F193" s="334" t="n"/>
      <c r="G193" s="334" t="n"/>
      <c r="H193" s="334" t="n"/>
      <c r="I193" s="332">
        <f>IFERROR(VLOOKUP(TEXT(H193,"0"),IPRESS!$A$3:$B$212,2,0),"")</f>
        <v/>
      </c>
      <c r="J193" s="334" t="n"/>
      <c r="K193" s="332">
        <f>IFERROR(VLOOKUP(TEXT(O193,"0"),CONDUCTORES!$A$3:$G$54,7,0),"")</f>
        <v/>
      </c>
      <c r="L193" s="334" t="n"/>
      <c r="M193" s="334" t="n"/>
      <c r="N193" s="333">
        <f>IFERROR(IF(L193*M193=0,"",L193*M193),"")</f>
        <v/>
      </c>
      <c r="O193" s="334" t="n"/>
      <c r="P193" s="332">
        <f>IFERROR(VLOOKUP(TEXT(O193,"0"),CONDUCTORES!$A$3:$G$54,2,0),"")</f>
        <v/>
      </c>
      <c r="Q193" s="332">
        <f>IFERROR(VLOOKUP(TEXT(O193,"0"),CONDUCTORES!$A$3:$H$54,6,0),"")</f>
        <v/>
      </c>
      <c r="R193" s="334" t="n"/>
      <c r="S193" s="334" t="n"/>
      <c r="T193" s="334" t="n"/>
      <c r="U193" s="334" t="n"/>
      <c r="V193" s="334" t="n"/>
      <c r="W193" s="334" t="n"/>
      <c r="X193" s="334" t="n"/>
      <c r="Y193" s="334" t="n"/>
      <c r="Z193" s="375">
        <f>IF(AND(G193&lt;&gt;"",R193&lt;&gt;"",V193&lt;&gt;"",W193&lt;&gt;""),"COMPLETADO","OBSERVADO")</f>
        <v/>
      </c>
    </row>
    <row r="194" ht="15" customHeight="1" s="195">
      <c r="A194" s="280" t="n"/>
      <c r="B194" s="280" t="n"/>
      <c r="C194" s="280" t="n"/>
      <c r="D194" s="280" t="n"/>
      <c r="E194" s="280" t="n"/>
      <c r="F194" s="280" t="n"/>
      <c r="G194" s="280" t="n"/>
      <c r="H194" s="280" t="n"/>
      <c r="I194" s="332">
        <f>IFERROR(VLOOKUP(TEXT(H194,"0"),IPRESS!$A$3:$B$212,2,0),"")</f>
        <v/>
      </c>
      <c r="J194" s="280" t="n"/>
      <c r="K194" s="332">
        <f>IFERROR(VLOOKUP(TEXT(O194,"0"),CONDUCTORES!$A$3:$G$54,7,0),"")</f>
        <v/>
      </c>
      <c r="L194" s="280" t="n"/>
      <c r="M194" s="280" t="n"/>
      <c r="N194" s="333">
        <f>IFERROR(IF(L194*M194=0,"",L194*M194),"")</f>
        <v/>
      </c>
      <c r="O194" s="280" t="n"/>
      <c r="P194" s="332">
        <f>IFERROR(VLOOKUP(TEXT(O194,"0"),CONDUCTORES!$A$3:$G$54,2,0),"")</f>
        <v/>
      </c>
      <c r="Q194" s="332">
        <f>IFERROR(VLOOKUP(TEXT(O194,"0"),CONDUCTORES!$A$3:$H$54,6,0),"")</f>
        <v/>
      </c>
      <c r="R194" s="280" t="n"/>
      <c r="S194" s="280" t="n"/>
      <c r="T194" s="280" t="n"/>
      <c r="U194" s="280" t="n"/>
      <c r="V194" s="280" t="n"/>
      <c r="W194" s="280" t="n"/>
      <c r="X194" s="280" t="n"/>
      <c r="Y194" s="280" t="n"/>
      <c r="Z194" s="375">
        <f>IF(AND(G194&lt;&gt;"",R194&lt;&gt;"",V194&lt;&gt;"",W194&lt;&gt;""),"COMPLETADO","OBSERVADO")</f>
        <v/>
      </c>
    </row>
    <row r="195" ht="15" customHeight="1" s="195">
      <c r="A195" s="334" t="n"/>
      <c r="B195" s="334" t="n"/>
      <c r="C195" s="334" t="n"/>
      <c r="D195" s="334" t="n"/>
      <c r="E195" s="334" t="n"/>
      <c r="F195" s="334" t="n"/>
      <c r="G195" s="334" t="n"/>
      <c r="H195" s="334" t="n"/>
      <c r="I195" s="332">
        <f>IFERROR(VLOOKUP(TEXT(H195,"0"),IPRESS!$A$3:$B$212,2,0),"")</f>
        <v/>
      </c>
      <c r="J195" s="334" t="n"/>
      <c r="K195" s="332">
        <f>IFERROR(VLOOKUP(TEXT(O195,"0"),CONDUCTORES!$A$3:$G$54,7,0),"")</f>
        <v/>
      </c>
      <c r="L195" s="334" t="n"/>
      <c r="M195" s="334" t="n"/>
      <c r="N195" s="333">
        <f>IFERROR(IF(L195*M195=0,"",L195*M195),"")</f>
        <v/>
      </c>
      <c r="O195" s="334" t="n"/>
      <c r="P195" s="332">
        <f>IFERROR(VLOOKUP(TEXT(O195,"0"),CONDUCTORES!$A$3:$G$54,2,0),"")</f>
        <v/>
      </c>
      <c r="Q195" s="332">
        <f>IFERROR(VLOOKUP(TEXT(O195,"0"),CONDUCTORES!$A$3:$H$54,6,0),"")</f>
        <v/>
      </c>
      <c r="R195" s="334" t="n"/>
      <c r="S195" s="334" t="n"/>
      <c r="T195" s="334" t="n"/>
      <c r="U195" s="334" t="n"/>
      <c r="V195" s="334" t="n"/>
      <c r="W195" s="334" t="n"/>
      <c r="X195" s="334" t="n"/>
      <c r="Y195" s="334" t="n"/>
      <c r="Z195" s="375">
        <f>IF(AND(G195&lt;&gt;"",R195&lt;&gt;"",V195&lt;&gt;"",W195&lt;&gt;""),"COMPLETADO","OBSERVADO")</f>
        <v/>
      </c>
    </row>
    <row r="196" ht="15" customHeight="1" s="195">
      <c r="A196" s="280" t="n"/>
      <c r="B196" s="280" t="n"/>
      <c r="C196" s="280" t="n"/>
      <c r="D196" s="280" t="n"/>
      <c r="E196" s="280" t="n"/>
      <c r="F196" s="280" t="n"/>
      <c r="G196" s="280" t="n"/>
      <c r="H196" s="280" t="n"/>
      <c r="I196" s="332">
        <f>IFERROR(VLOOKUP(TEXT(H196,"0"),IPRESS!$A$3:$B$212,2,0),"")</f>
        <v/>
      </c>
      <c r="J196" s="280" t="n"/>
      <c r="K196" s="332">
        <f>IFERROR(VLOOKUP(TEXT(O196,"0"),CONDUCTORES!$A$3:$G$54,7,0),"")</f>
        <v/>
      </c>
      <c r="L196" s="280" t="n"/>
      <c r="M196" s="280" t="n"/>
      <c r="N196" s="333">
        <f>IFERROR(IF(L196*M196=0,"",L196*M196),"")</f>
        <v/>
      </c>
      <c r="O196" s="280" t="n"/>
      <c r="P196" s="332">
        <f>IFERROR(VLOOKUP(TEXT(O196,"0"),CONDUCTORES!$A$3:$G$54,2,0),"")</f>
        <v/>
      </c>
      <c r="Q196" s="332">
        <f>IFERROR(VLOOKUP(TEXT(O196,"0"),CONDUCTORES!$A$3:$H$54,6,0),"")</f>
        <v/>
      </c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375">
        <f>IF(AND(G196&lt;&gt;"",R196&lt;&gt;"",V196&lt;&gt;"",W196&lt;&gt;""),"COMPLETADO","OBSERVADO")</f>
        <v/>
      </c>
    </row>
    <row r="197" ht="15" customHeight="1" s="195">
      <c r="A197" s="334" t="n"/>
      <c r="B197" s="334" t="n"/>
      <c r="C197" s="334" t="n"/>
      <c r="D197" s="334" t="n"/>
      <c r="E197" s="334" t="n"/>
      <c r="F197" s="334" t="n"/>
      <c r="G197" s="334" t="n"/>
      <c r="H197" s="334" t="n"/>
      <c r="I197" s="332">
        <f>IFERROR(VLOOKUP(TEXT(H197,"0"),IPRESS!$A$3:$B$212,2,0),"")</f>
        <v/>
      </c>
      <c r="J197" s="334" t="n"/>
      <c r="K197" s="332">
        <f>IFERROR(VLOOKUP(TEXT(O197,"0"),CONDUCTORES!$A$3:$G$54,7,0),"")</f>
        <v/>
      </c>
      <c r="L197" s="334" t="n"/>
      <c r="M197" s="334" t="n"/>
      <c r="N197" s="333">
        <f>IFERROR(IF(L197*M197=0,"",L197*M197),"")</f>
        <v/>
      </c>
      <c r="O197" s="334" t="n"/>
      <c r="P197" s="332">
        <f>IFERROR(VLOOKUP(TEXT(O197,"0"),CONDUCTORES!$A$3:$G$54,2,0),"")</f>
        <v/>
      </c>
      <c r="Q197" s="332">
        <f>IFERROR(VLOOKUP(TEXT(O197,"0"),CONDUCTORES!$A$3:$H$54,6,0),"")</f>
        <v/>
      </c>
      <c r="R197" s="334" t="n"/>
      <c r="S197" s="334" t="n"/>
      <c r="T197" s="334" t="n"/>
      <c r="U197" s="334" t="n"/>
      <c r="V197" s="334" t="n"/>
      <c r="W197" s="334" t="n"/>
      <c r="X197" s="334" t="n"/>
      <c r="Y197" s="334" t="n"/>
      <c r="Z197" s="375">
        <f>IF(AND(G197&lt;&gt;"",R197&lt;&gt;"",V197&lt;&gt;"",W197&lt;&gt;""),"COMPLETADO","OBSERVADO")</f>
        <v/>
      </c>
    </row>
    <row r="198" ht="15" customHeight="1" s="195">
      <c r="A198" s="280" t="n"/>
      <c r="B198" s="280" t="n"/>
      <c r="C198" s="280" t="n"/>
      <c r="D198" s="280" t="n"/>
      <c r="E198" s="280" t="n"/>
      <c r="F198" s="280" t="n"/>
      <c r="G198" s="280" t="n"/>
      <c r="H198" s="280" t="n"/>
      <c r="I198" s="332">
        <f>IFERROR(VLOOKUP(TEXT(H198,"0"),IPRESS!$A$3:$B$212,2,0),"")</f>
        <v/>
      </c>
      <c r="J198" s="280" t="n"/>
      <c r="K198" s="332">
        <f>IFERROR(VLOOKUP(TEXT(O198,"0"),CONDUCTORES!$A$3:$G$54,7,0),"")</f>
        <v/>
      </c>
      <c r="L198" s="280" t="n"/>
      <c r="M198" s="280" t="n"/>
      <c r="N198" s="333">
        <f>IFERROR(IF(L198*M198=0,"",L198*M198),"")</f>
        <v/>
      </c>
      <c r="O198" s="280" t="n"/>
      <c r="P198" s="332">
        <f>IFERROR(VLOOKUP(TEXT(O198,"0"),CONDUCTORES!$A$3:$G$54,2,0),"")</f>
        <v/>
      </c>
      <c r="Q198" s="332">
        <f>IFERROR(VLOOKUP(TEXT(O198,"0"),CONDUCTORES!$A$3:$H$54,6,0),"")</f>
        <v/>
      </c>
      <c r="R198" s="280" t="n"/>
      <c r="S198" s="280" t="n"/>
      <c r="T198" s="280" t="n"/>
      <c r="U198" s="280" t="n"/>
      <c r="V198" s="280" t="n"/>
      <c r="W198" s="280" t="n"/>
      <c r="X198" s="280" t="n"/>
      <c r="Y198" s="280" t="n"/>
      <c r="Z198" s="375">
        <f>IF(AND(G198&lt;&gt;"",R198&lt;&gt;"",V198&lt;&gt;"",W198&lt;&gt;""),"COMPLETADO","OBSERVADO")</f>
        <v/>
      </c>
    </row>
    <row r="199" ht="15" customHeight="1" s="195">
      <c r="A199" s="334" t="n"/>
      <c r="B199" s="334" t="n"/>
      <c r="C199" s="334" t="n"/>
      <c r="D199" s="334" t="n"/>
      <c r="E199" s="334" t="n"/>
      <c r="F199" s="334" t="n"/>
      <c r="G199" s="334" t="n"/>
      <c r="H199" s="334" t="n"/>
      <c r="I199" s="332">
        <f>IFERROR(VLOOKUP(TEXT(H199,"0"),IPRESS!$A$3:$B$212,2,0),"")</f>
        <v/>
      </c>
      <c r="J199" s="334" t="n"/>
      <c r="K199" s="332">
        <f>IFERROR(VLOOKUP(TEXT(O199,"0"),CONDUCTORES!$A$3:$G$54,7,0),"")</f>
        <v/>
      </c>
      <c r="L199" s="334" t="n"/>
      <c r="M199" s="334" t="n"/>
      <c r="N199" s="333">
        <f>IFERROR(IF(L199*M199=0,"",L199*M199),"")</f>
        <v/>
      </c>
      <c r="O199" s="334" t="n"/>
      <c r="P199" s="332">
        <f>IFERROR(VLOOKUP(TEXT(O199,"0"),CONDUCTORES!$A$3:$G$54,2,0),"")</f>
        <v/>
      </c>
      <c r="Q199" s="332">
        <f>IFERROR(VLOOKUP(TEXT(O199,"0"),CONDUCTORES!$A$3:$H$54,6,0),"")</f>
        <v/>
      </c>
      <c r="R199" s="334" t="n"/>
      <c r="S199" s="334" t="n"/>
      <c r="T199" s="334" t="n"/>
      <c r="U199" s="334" t="n"/>
      <c r="V199" s="334" t="n"/>
      <c r="W199" s="334" t="n"/>
      <c r="X199" s="334" t="n"/>
      <c r="Y199" s="334" t="n"/>
      <c r="Z199" s="375">
        <f>IF(AND(G199&lt;&gt;"",R199&lt;&gt;"",V199&lt;&gt;"",W199&lt;&gt;""),"COMPLETADO","OBSERVADO")</f>
        <v/>
      </c>
    </row>
    <row r="200" ht="15" customHeight="1" s="195">
      <c r="A200" s="280" t="n"/>
      <c r="B200" s="280" t="n"/>
      <c r="C200" s="280" t="n"/>
      <c r="D200" s="280" t="n"/>
      <c r="E200" s="280" t="n"/>
      <c r="F200" s="280" t="n"/>
      <c r="G200" s="280" t="n"/>
      <c r="H200" s="280" t="n"/>
      <c r="I200" s="332">
        <f>IFERROR(VLOOKUP(TEXT(H200,"0"),IPRESS!$A$3:$B$212,2,0),"")</f>
        <v/>
      </c>
      <c r="J200" s="280" t="n"/>
      <c r="K200" s="332">
        <f>IFERROR(VLOOKUP(TEXT(O200,"0"),CONDUCTORES!$A$3:$G$54,7,0),"")</f>
        <v/>
      </c>
      <c r="L200" s="280" t="n"/>
      <c r="M200" s="280" t="n"/>
      <c r="N200" s="333">
        <f>IFERROR(IF(L200*M200=0,"",L200*M200),"")</f>
        <v/>
      </c>
      <c r="O200" s="280" t="n"/>
      <c r="P200" s="332">
        <f>IFERROR(VLOOKUP(TEXT(O200,"0"),CONDUCTORES!$A$3:$G$54,2,0),"")</f>
        <v/>
      </c>
      <c r="Q200" s="332">
        <f>IFERROR(VLOOKUP(TEXT(O200,"0"),CONDUCTORES!$A$3:$H$54,6,0),"")</f>
        <v/>
      </c>
      <c r="R200" s="280" t="n"/>
      <c r="S200" s="280" t="n"/>
      <c r="T200" s="280" t="n"/>
      <c r="U200" s="280" t="n"/>
      <c r="V200" s="280" t="n"/>
      <c r="W200" s="280" t="n"/>
      <c r="X200" s="280" t="n"/>
      <c r="Y200" s="280" t="n"/>
      <c r="Z200" s="375">
        <f>IF(AND(G200&lt;&gt;"",R200&lt;&gt;"",V200&lt;&gt;"",W200&lt;&gt;""),"COMPLETADO","OBSERVADO")</f>
        <v/>
      </c>
    </row>
    <row r="201" ht="15" customHeight="1" s="195">
      <c r="A201" s="334" t="n"/>
      <c r="B201" s="334" t="n"/>
      <c r="C201" s="334" t="n"/>
      <c r="D201" s="334" t="n"/>
      <c r="E201" s="334" t="n"/>
      <c r="F201" s="334" t="n"/>
      <c r="G201" s="334" t="n"/>
      <c r="H201" s="334" t="n"/>
      <c r="I201" s="332">
        <f>IFERROR(VLOOKUP(TEXT(H201,"0"),IPRESS!$A$3:$B$212,2,0),"")</f>
        <v/>
      </c>
      <c r="J201" s="334" t="n"/>
      <c r="K201" s="332">
        <f>IFERROR(VLOOKUP(TEXT(O201,"0"),CONDUCTORES!$A$3:$G$54,7,0),"")</f>
        <v/>
      </c>
      <c r="L201" s="334" t="n"/>
      <c r="M201" s="334" t="n"/>
      <c r="N201" s="333">
        <f>IFERROR(IF(L201*M201=0,"",L201*M201),"")</f>
        <v/>
      </c>
      <c r="O201" s="334" t="n"/>
      <c r="P201" s="332">
        <f>IFERROR(VLOOKUP(TEXT(O201,"0"),CONDUCTORES!$A$3:$G$54,2,0),"")</f>
        <v/>
      </c>
      <c r="Q201" s="332">
        <f>IFERROR(VLOOKUP(TEXT(O201,"0"),CONDUCTORES!$A$3:$H$54,6,0),"")</f>
        <v/>
      </c>
      <c r="R201" s="334" t="n"/>
      <c r="S201" s="334" t="n"/>
      <c r="T201" s="334" t="n"/>
      <c r="U201" s="334" t="n"/>
      <c r="V201" s="334" t="n"/>
      <c r="W201" s="334" t="n"/>
      <c r="X201" s="334" t="n"/>
      <c r="Y201" s="334" t="n"/>
      <c r="Z201" s="375">
        <f>IF(AND(G201&lt;&gt;"",R201&lt;&gt;"",V201&lt;&gt;"",W201&lt;&gt;""),"COMPLETADO","OBSERVADO")</f>
        <v/>
      </c>
    </row>
    <row r="202" ht="15" customHeight="1" s="195">
      <c r="A202" s="280" t="n"/>
      <c r="B202" s="280" t="n"/>
      <c r="C202" s="280" t="n"/>
      <c r="D202" s="280" t="n"/>
      <c r="E202" s="280" t="n"/>
      <c r="F202" s="280" t="n"/>
      <c r="G202" s="280" t="n"/>
      <c r="H202" s="280" t="n"/>
      <c r="I202" s="332">
        <f>IFERROR(VLOOKUP(TEXT(H202,"0"),IPRESS!$A$3:$B$212,2,0),"")</f>
        <v/>
      </c>
      <c r="J202" s="280" t="n"/>
      <c r="K202" s="332">
        <f>IFERROR(VLOOKUP(TEXT(O202,"0"),CONDUCTORES!$A$3:$G$54,7,0),"")</f>
        <v/>
      </c>
      <c r="L202" s="280" t="n"/>
      <c r="M202" s="280" t="n"/>
      <c r="N202" s="333">
        <f>IFERROR(IF(L202*M202=0,"",L202*M202),"")</f>
        <v/>
      </c>
      <c r="O202" s="280" t="n"/>
      <c r="P202" s="332">
        <f>IFERROR(VLOOKUP(TEXT(O202,"0"),CONDUCTORES!$A$3:$G$54,2,0),"")</f>
        <v/>
      </c>
      <c r="Q202" s="332">
        <f>IFERROR(VLOOKUP(TEXT(O202,"0"),CONDUCTORES!$A$3:$H$54,6,0),"")</f>
        <v/>
      </c>
      <c r="R202" s="280" t="n"/>
      <c r="S202" s="280" t="n"/>
      <c r="T202" s="280" t="n"/>
      <c r="U202" s="280" t="n"/>
      <c r="V202" s="280" t="n"/>
      <c r="W202" s="280" t="n"/>
      <c r="X202" s="280" t="n"/>
      <c r="Y202" s="280" t="n"/>
      <c r="Z202" s="375">
        <f>IF(AND(G202&lt;&gt;"",R202&lt;&gt;"",V202&lt;&gt;"",W202&lt;&gt;""),"COMPLETADO","OBSERVADO")</f>
        <v/>
      </c>
    </row>
    <row r="203" ht="15" customHeight="1" s="195">
      <c r="A203" s="334" t="n"/>
      <c r="B203" s="334" t="n"/>
      <c r="C203" s="334" t="n"/>
      <c r="D203" s="334" t="n"/>
      <c r="E203" s="334" t="n"/>
      <c r="F203" s="334" t="n"/>
      <c r="G203" s="334" t="n"/>
      <c r="H203" s="334" t="n"/>
      <c r="I203" s="332">
        <f>IFERROR(VLOOKUP(TEXT(H203,"0"),IPRESS!$A$3:$B$212,2,0),"")</f>
        <v/>
      </c>
      <c r="J203" s="334" t="n"/>
      <c r="K203" s="332">
        <f>IFERROR(VLOOKUP(TEXT(O203,"0"),CONDUCTORES!$A$3:$G$54,7,0),"")</f>
        <v/>
      </c>
      <c r="L203" s="334" t="n"/>
      <c r="M203" s="334" t="n"/>
      <c r="N203" s="333">
        <f>IFERROR(IF(L203*M203=0,"",L203*M203),"")</f>
        <v/>
      </c>
      <c r="O203" s="334" t="n"/>
      <c r="P203" s="332">
        <f>IFERROR(VLOOKUP(TEXT(O203,"0"),CONDUCTORES!$A$3:$G$54,2,0),"")</f>
        <v/>
      </c>
      <c r="Q203" s="332">
        <f>IFERROR(VLOOKUP(TEXT(O203,"0"),CONDUCTORES!$A$3:$H$54,6,0),"")</f>
        <v/>
      </c>
      <c r="R203" s="334" t="n"/>
      <c r="S203" s="334" t="n"/>
      <c r="T203" s="334" t="n"/>
      <c r="U203" s="334" t="n"/>
      <c r="V203" s="334" t="n"/>
      <c r="W203" s="334" t="n"/>
      <c r="X203" s="334" t="n"/>
      <c r="Y203" s="334" t="n"/>
      <c r="Z203" s="375">
        <f>IF(AND(G203&lt;&gt;"",R203&lt;&gt;"",V203&lt;&gt;"",W203&lt;&gt;""),"COMPLETADO","OBSERVADO")</f>
        <v/>
      </c>
    </row>
    <row r="204" ht="15" customHeight="1" s="195">
      <c r="A204" s="280" t="n"/>
      <c r="B204" s="280" t="n"/>
      <c r="C204" s="280" t="n"/>
      <c r="D204" s="280" t="n"/>
      <c r="E204" s="280" t="n"/>
      <c r="F204" s="280" t="n"/>
      <c r="G204" s="280" t="n"/>
      <c r="H204" s="280" t="n"/>
      <c r="I204" s="332">
        <f>IFERROR(VLOOKUP(TEXT(H204,"0"),IPRESS!$A$3:$B$212,2,0),"")</f>
        <v/>
      </c>
      <c r="J204" s="280" t="n"/>
      <c r="K204" s="332">
        <f>IFERROR(VLOOKUP(TEXT(O204,"0"),CONDUCTORES!$A$3:$G$54,7,0),"")</f>
        <v/>
      </c>
      <c r="L204" s="280" t="n"/>
      <c r="M204" s="280" t="n"/>
      <c r="N204" s="333">
        <f>IFERROR(IF(L204*M204=0,"",L204*M204),"")</f>
        <v/>
      </c>
      <c r="O204" s="280" t="n"/>
      <c r="P204" s="332">
        <f>IFERROR(VLOOKUP(TEXT(O204,"0"),CONDUCTORES!$A$3:$G$54,2,0),"")</f>
        <v/>
      </c>
      <c r="Q204" s="332">
        <f>IFERROR(VLOOKUP(TEXT(O204,"0"),CONDUCTORES!$A$3:$H$54,6,0),"")</f>
        <v/>
      </c>
      <c r="R204" s="280" t="n"/>
      <c r="S204" s="280" t="n"/>
      <c r="T204" s="280" t="n"/>
      <c r="U204" s="280" t="n"/>
      <c r="V204" s="280" t="n"/>
      <c r="W204" s="280" t="n"/>
      <c r="X204" s="280" t="n"/>
      <c r="Y204" s="280" t="n"/>
      <c r="Z204" s="375">
        <f>IF(AND(G204&lt;&gt;"",R204&lt;&gt;"",V204&lt;&gt;"",W204&lt;&gt;""),"COMPLETADO","OBSERVADO")</f>
        <v/>
      </c>
    </row>
    <row r="205" ht="15" customHeight="1" s="195">
      <c r="A205" s="334" t="n"/>
      <c r="B205" s="334" t="n"/>
      <c r="C205" s="334" t="n"/>
      <c r="D205" s="334" t="n"/>
      <c r="E205" s="334" t="n"/>
      <c r="F205" s="334" t="n"/>
      <c r="G205" s="334" t="n"/>
      <c r="H205" s="334" t="n"/>
      <c r="I205" s="332">
        <f>IFERROR(VLOOKUP(TEXT(H205,"0"),IPRESS!$A$3:$B$212,2,0),"")</f>
        <v/>
      </c>
      <c r="J205" s="334" t="n"/>
      <c r="K205" s="332">
        <f>IFERROR(VLOOKUP(TEXT(O205,"0"),CONDUCTORES!$A$3:$G$54,7,0),"")</f>
        <v/>
      </c>
      <c r="L205" s="334" t="n"/>
      <c r="M205" s="334" t="n"/>
      <c r="N205" s="333">
        <f>IFERROR(IF(L205*M205=0,"",L205*M205),"")</f>
        <v/>
      </c>
      <c r="O205" s="334" t="n"/>
      <c r="P205" s="332">
        <f>IFERROR(VLOOKUP(TEXT(O205,"0"),CONDUCTORES!$A$3:$G$54,2,0),"")</f>
        <v/>
      </c>
      <c r="Q205" s="332">
        <f>IFERROR(VLOOKUP(TEXT(O205,"0"),CONDUCTORES!$A$3:$H$54,6,0),"")</f>
        <v/>
      </c>
      <c r="R205" s="334" t="n"/>
      <c r="S205" s="334" t="n"/>
      <c r="T205" s="334" t="n"/>
      <c r="U205" s="334" t="n"/>
      <c r="V205" s="334" t="n"/>
      <c r="W205" s="334" t="n"/>
      <c r="X205" s="334" t="n"/>
      <c r="Y205" s="334" t="n"/>
      <c r="Z205" s="375">
        <f>IF(AND(G205&lt;&gt;"",R205&lt;&gt;"",V205&lt;&gt;"",W205&lt;&gt;""),"COMPLETADO","OBSERVADO")</f>
        <v/>
      </c>
    </row>
    <row r="206" ht="15" customHeight="1" s="195">
      <c r="A206" s="280" t="n"/>
      <c r="B206" s="280" t="n"/>
      <c r="C206" s="280" t="n"/>
      <c r="D206" s="280" t="n"/>
      <c r="E206" s="280" t="n"/>
      <c r="F206" s="280" t="n"/>
      <c r="G206" s="280" t="n"/>
      <c r="H206" s="280" t="n"/>
      <c r="I206" s="332">
        <f>IFERROR(VLOOKUP(TEXT(H206,"0"),IPRESS!$A$3:$B$212,2,0),"")</f>
        <v/>
      </c>
      <c r="J206" s="280" t="n"/>
      <c r="K206" s="332">
        <f>IFERROR(VLOOKUP(TEXT(O206,"0"),CONDUCTORES!$A$3:$G$54,7,0),"")</f>
        <v/>
      </c>
      <c r="L206" s="280" t="n"/>
      <c r="M206" s="280" t="n"/>
      <c r="N206" s="333">
        <f>IFERROR(IF(L206*M206=0,"",L206*M206),"")</f>
        <v/>
      </c>
      <c r="O206" s="280" t="n"/>
      <c r="P206" s="332">
        <f>IFERROR(VLOOKUP(TEXT(O206,"0"),CONDUCTORES!$A$3:$G$54,2,0),"")</f>
        <v/>
      </c>
      <c r="Q206" s="332">
        <f>IFERROR(VLOOKUP(TEXT(O206,"0"),CONDUCTORES!$A$3:$H$54,6,0),"")</f>
        <v/>
      </c>
      <c r="R206" s="280" t="n"/>
      <c r="S206" s="280" t="n"/>
      <c r="T206" s="280" t="n"/>
      <c r="U206" s="280" t="n"/>
      <c r="V206" s="280" t="n"/>
      <c r="W206" s="280" t="n"/>
      <c r="X206" s="280" t="n"/>
      <c r="Y206" s="280" t="n"/>
      <c r="Z206" s="375">
        <f>IF(AND(G206&lt;&gt;"",R206&lt;&gt;"",V206&lt;&gt;"",W206&lt;&gt;""),"COMPLETADO","OBSERVADO")</f>
        <v/>
      </c>
    </row>
    <row r="207" ht="15" customHeight="1" s="195">
      <c r="A207" s="334" t="n"/>
      <c r="B207" s="334" t="n"/>
      <c r="C207" s="334" t="n"/>
      <c r="D207" s="334" t="n"/>
      <c r="E207" s="334" t="n"/>
      <c r="F207" s="334" t="n"/>
      <c r="G207" s="334" t="n"/>
      <c r="H207" s="334" t="n"/>
      <c r="I207" s="332">
        <f>IFERROR(VLOOKUP(TEXT(H207,"0"),IPRESS!$A$3:$B$212,2,0),"")</f>
        <v/>
      </c>
      <c r="J207" s="334" t="n"/>
      <c r="K207" s="332">
        <f>IFERROR(VLOOKUP(TEXT(O207,"0"),CONDUCTORES!$A$3:$G$54,7,0),"")</f>
        <v/>
      </c>
      <c r="L207" s="334" t="n"/>
      <c r="M207" s="334" t="n"/>
      <c r="N207" s="333">
        <f>IFERROR(IF(L207*M207=0,"",L207*M207),"")</f>
        <v/>
      </c>
      <c r="O207" s="334" t="n"/>
      <c r="P207" s="332">
        <f>IFERROR(VLOOKUP(TEXT(O207,"0"),CONDUCTORES!$A$3:$G$54,2,0),"")</f>
        <v/>
      </c>
      <c r="Q207" s="332">
        <f>IFERROR(VLOOKUP(TEXT(O207,"0"),CONDUCTORES!$A$3:$H$54,6,0),"")</f>
        <v/>
      </c>
      <c r="R207" s="334" t="n"/>
      <c r="S207" s="334" t="n"/>
      <c r="T207" s="334" t="n"/>
      <c r="U207" s="334" t="n"/>
      <c r="V207" s="334" t="n"/>
      <c r="W207" s="334" t="n"/>
      <c r="X207" s="334" t="n"/>
      <c r="Y207" s="334" t="n"/>
      <c r="Z207" s="375">
        <f>IF(AND(G207&lt;&gt;"",R207&lt;&gt;"",V207&lt;&gt;"",W207&lt;&gt;""),"COMPLETADO","OBSERVADO")</f>
        <v/>
      </c>
    </row>
    <row r="208" ht="15" customHeight="1" s="195">
      <c r="A208" s="280" t="n"/>
      <c r="B208" s="280" t="n"/>
      <c r="C208" s="280" t="n"/>
      <c r="D208" s="280" t="n"/>
      <c r="E208" s="280" t="n"/>
      <c r="F208" s="280" t="n"/>
      <c r="G208" s="280" t="n"/>
      <c r="H208" s="280" t="n"/>
      <c r="I208" s="332">
        <f>IFERROR(VLOOKUP(TEXT(H208,"0"),IPRESS!$A$3:$B$212,2,0),"")</f>
        <v/>
      </c>
      <c r="J208" s="280" t="n"/>
      <c r="K208" s="332">
        <f>IFERROR(VLOOKUP(TEXT(O208,"0"),CONDUCTORES!$A$3:$G$54,7,0),"")</f>
        <v/>
      </c>
      <c r="L208" s="280" t="n"/>
      <c r="M208" s="280" t="n"/>
      <c r="N208" s="333">
        <f>IFERROR(IF(L208*M208=0,"",L208*M208),"")</f>
        <v/>
      </c>
      <c r="O208" s="280" t="n"/>
      <c r="P208" s="332">
        <f>IFERROR(VLOOKUP(TEXT(O208,"0"),CONDUCTORES!$A$3:$G$54,2,0),"")</f>
        <v/>
      </c>
      <c r="Q208" s="332">
        <f>IFERROR(VLOOKUP(TEXT(O208,"0"),CONDUCTORES!$A$3:$H$54,6,0),"")</f>
        <v/>
      </c>
      <c r="R208" s="280" t="n"/>
      <c r="S208" s="280" t="n"/>
      <c r="T208" s="280" t="n"/>
      <c r="U208" s="280" t="n"/>
      <c r="V208" s="280" t="n"/>
      <c r="W208" s="280" t="n"/>
      <c r="X208" s="280" t="n"/>
      <c r="Y208" s="280" t="n"/>
      <c r="Z208" s="375">
        <f>IF(AND(G208&lt;&gt;"",R208&lt;&gt;"",V208&lt;&gt;"",W208&lt;&gt;""),"COMPLETADO","OBSERVADO")</f>
        <v/>
      </c>
    </row>
    <row r="209" ht="15" customHeight="1" s="195">
      <c r="A209" s="334" t="n"/>
      <c r="B209" s="334" t="n"/>
      <c r="C209" s="334" t="n"/>
      <c r="D209" s="334" t="n"/>
      <c r="E209" s="334" t="n"/>
      <c r="F209" s="334" t="n"/>
      <c r="G209" s="334" t="n"/>
      <c r="H209" s="334" t="n"/>
      <c r="I209" s="332">
        <f>IFERROR(VLOOKUP(TEXT(H209,"0"),IPRESS!$A$3:$B$212,2,0),"")</f>
        <v/>
      </c>
      <c r="J209" s="334" t="n"/>
      <c r="K209" s="332">
        <f>IFERROR(VLOOKUP(TEXT(O209,"0"),CONDUCTORES!$A$3:$G$54,7,0),"")</f>
        <v/>
      </c>
      <c r="L209" s="334" t="n"/>
      <c r="M209" s="334" t="n"/>
      <c r="N209" s="333">
        <f>IFERROR(IF(L209*M209=0,"",L209*M209),"")</f>
        <v/>
      </c>
      <c r="O209" s="334" t="n"/>
      <c r="P209" s="332">
        <f>IFERROR(VLOOKUP(TEXT(O209,"0"),CONDUCTORES!$A$3:$G$54,2,0),"")</f>
        <v/>
      </c>
      <c r="Q209" s="332">
        <f>IFERROR(VLOOKUP(TEXT(O209,"0"),CONDUCTORES!$A$3:$H$54,6,0),"")</f>
        <v/>
      </c>
      <c r="R209" s="334" t="n"/>
      <c r="S209" s="334" t="n"/>
      <c r="T209" s="334" t="n"/>
      <c r="U209" s="334" t="n"/>
      <c r="V209" s="334" t="n"/>
      <c r="W209" s="334" t="n"/>
      <c r="X209" s="334" t="n"/>
      <c r="Y209" s="334" t="n"/>
      <c r="Z209" s="375">
        <f>IF(AND(G209&lt;&gt;"",R209&lt;&gt;"",V209&lt;&gt;"",W209&lt;&gt;""),"COMPLETADO","OBSERVADO")</f>
        <v/>
      </c>
    </row>
    <row r="210" ht="15" customHeight="1" s="195">
      <c r="A210" s="280" t="n"/>
      <c r="B210" s="280" t="n"/>
      <c r="C210" s="280" t="n"/>
      <c r="D210" s="280" t="n"/>
      <c r="E210" s="280" t="n"/>
      <c r="F210" s="280" t="n"/>
      <c r="G210" s="280" t="n"/>
      <c r="H210" s="280" t="n"/>
      <c r="I210" s="332">
        <f>IFERROR(VLOOKUP(TEXT(H210,"0"),IPRESS!$A$3:$B$212,2,0),"")</f>
        <v/>
      </c>
      <c r="J210" s="280" t="n"/>
      <c r="K210" s="332">
        <f>IFERROR(VLOOKUP(TEXT(O210,"0"),CONDUCTORES!$A$3:$G$54,7,0),"")</f>
        <v/>
      </c>
      <c r="L210" s="280" t="n"/>
      <c r="M210" s="280" t="n"/>
      <c r="N210" s="333">
        <f>IFERROR(IF(L210*M210=0,"",L210*M210),"")</f>
        <v/>
      </c>
      <c r="O210" s="280" t="n"/>
      <c r="P210" s="332">
        <f>IFERROR(VLOOKUP(TEXT(O210,"0"),CONDUCTORES!$A$3:$G$54,2,0),"")</f>
        <v/>
      </c>
      <c r="Q210" s="332">
        <f>IFERROR(VLOOKUP(TEXT(O210,"0"),CONDUCTORES!$A$3:$H$54,6,0),"")</f>
        <v/>
      </c>
      <c r="R210" s="280" t="n"/>
      <c r="S210" s="280" t="n"/>
      <c r="T210" s="280" t="n"/>
      <c r="U210" s="280" t="n"/>
      <c r="V210" s="280" t="n"/>
      <c r="W210" s="280" t="n"/>
      <c r="X210" s="280" t="n"/>
      <c r="Y210" s="280" t="n"/>
      <c r="Z210" s="375">
        <f>IF(AND(G210&lt;&gt;"",R210&lt;&gt;"",V210&lt;&gt;"",W210&lt;&gt;""),"COMPLETADO","OBSERVADO")</f>
        <v/>
      </c>
    </row>
    <row r="211" ht="15" customHeight="1" s="195">
      <c r="A211" s="334" t="n"/>
      <c r="B211" s="334" t="n"/>
      <c r="C211" s="334" t="n"/>
      <c r="D211" s="334" t="n"/>
      <c r="E211" s="334" t="n"/>
      <c r="F211" s="334" t="n"/>
      <c r="G211" s="334" t="n"/>
      <c r="H211" s="334" t="n"/>
      <c r="I211" s="332">
        <f>IFERROR(VLOOKUP(TEXT(H211,"0"),IPRESS!$A$3:$B$212,2,0),"")</f>
        <v/>
      </c>
      <c r="J211" s="334" t="n"/>
      <c r="K211" s="332">
        <f>IFERROR(VLOOKUP(TEXT(O211,"0"),CONDUCTORES!$A$3:$G$54,7,0),"")</f>
        <v/>
      </c>
      <c r="L211" s="334" t="n"/>
      <c r="M211" s="334" t="n"/>
      <c r="N211" s="333">
        <f>IFERROR(IF(L211*M211=0,"",L211*M211),"")</f>
        <v/>
      </c>
      <c r="O211" s="334" t="n"/>
      <c r="P211" s="332">
        <f>IFERROR(VLOOKUP(TEXT(O211,"0"),CONDUCTORES!$A$3:$G$54,2,0),"")</f>
        <v/>
      </c>
      <c r="Q211" s="332">
        <f>IFERROR(VLOOKUP(TEXT(O211,"0"),CONDUCTORES!$A$3:$H$54,6,0),"")</f>
        <v/>
      </c>
      <c r="R211" s="334" t="n"/>
      <c r="S211" s="334" t="n"/>
      <c r="T211" s="334" t="n"/>
      <c r="U211" s="334" t="n"/>
      <c r="V211" s="334" t="n"/>
      <c r="W211" s="334" t="n"/>
      <c r="X211" s="334" t="n"/>
      <c r="Y211" s="334" t="n"/>
      <c r="Z211" s="375">
        <f>IF(AND(G211&lt;&gt;"",R211&lt;&gt;"",V211&lt;&gt;"",W211&lt;&gt;""),"COMPLETADO","OBSERVADO")</f>
        <v/>
      </c>
    </row>
    <row r="212" ht="15" customHeight="1" s="195">
      <c r="A212" s="280" t="n"/>
      <c r="B212" s="280" t="n"/>
      <c r="C212" s="280" t="n"/>
      <c r="D212" s="280" t="n"/>
      <c r="E212" s="280" t="n"/>
      <c r="F212" s="280" t="n"/>
      <c r="G212" s="280" t="n"/>
      <c r="H212" s="280" t="n"/>
      <c r="I212" s="332">
        <f>IFERROR(VLOOKUP(TEXT(H212,"0"),IPRESS!$A$3:$B$212,2,0),"")</f>
        <v/>
      </c>
      <c r="J212" s="280" t="n"/>
      <c r="K212" s="332">
        <f>IFERROR(VLOOKUP(TEXT(O212,"0"),CONDUCTORES!$A$3:$G$54,7,0),"")</f>
        <v/>
      </c>
      <c r="L212" s="280" t="n"/>
      <c r="M212" s="280" t="n"/>
      <c r="N212" s="333">
        <f>IFERROR(IF(L212*M212=0,"",L212*M212),"")</f>
        <v/>
      </c>
      <c r="O212" s="280" t="n"/>
      <c r="P212" s="332">
        <f>IFERROR(VLOOKUP(TEXT(O212,"0"),CONDUCTORES!$A$3:$G$54,2,0),"")</f>
        <v/>
      </c>
      <c r="Q212" s="332">
        <f>IFERROR(VLOOKUP(TEXT(O212,"0"),CONDUCTORES!$A$3:$H$54,6,0),"")</f>
        <v/>
      </c>
      <c r="R212" s="280" t="n"/>
      <c r="S212" s="280" t="n"/>
      <c r="T212" s="280" t="n"/>
      <c r="U212" s="280" t="n"/>
      <c r="V212" s="280" t="n"/>
      <c r="W212" s="280" t="n"/>
      <c r="X212" s="280" t="n"/>
      <c r="Y212" s="280" t="n"/>
      <c r="Z212" s="375">
        <f>IF(AND(G212&lt;&gt;"",R212&lt;&gt;"",V212&lt;&gt;"",W212&lt;&gt;""),"COMPLETADO","OBSERVADO")</f>
        <v/>
      </c>
    </row>
    <row r="213" ht="15" customHeight="1" s="195">
      <c r="A213" s="334" t="n"/>
      <c r="B213" s="334" t="n"/>
      <c r="C213" s="334" t="n"/>
      <c r="D213" s="334" t="n"/>
      <c r="E213" s="334" t="n"/>
      <c r="F213" s="334" t="n"/>
      <c r="G213" s="334" t="n"/>
      <c r="H213" s="334" t="n"/>
      <c r="I213" s="332">
        <f>IFERROR(VLOOKUP(TEXT(H213,"0"),IPRESS!$A$3:$B$212,2,0),"")</f>
        <v/>
      </c>
      <c r="J213" s="334" t="n"/>
      <c r="K213" s="332">
        <f>IFERROR(VLOOKUP(TEXT(O213,"0"),CONDUCTORES!$A$3:$G$54,7,0),"")</f>
        <v/>
      </c>
      <c r="L213" s="334" t="n"/>
      <c r="M213" s="334" t="n"/>
      <c r="N213" s="333">
        <f>IFERROR(IF(L213*M213=0,"",L213*M213),"")</f>
        <v/>
      </c>
      <c r="O213" s="334" t="n"/>
      <c r="P213" s="332">
        <f>IFERROR(VLOOKUP(TEXT(O213,"0"),CONDUCTORES!$A$3:$G$54,2,0),"")</f>
        <v/>
      </c>
      <c r="Q213" s="332">
        <f>IFERROR(VLOOKUP(TEXT(O213,"0"),CONDUCTORES!$A$3:$H$54,6,0),"")</f>
        <v/>
      </c>
      <c r="R213" s="334" t="n"/>
      <c r="S213" s="334" t="n"/>
      <c r="T213" s="334" t="n"/>
      <c r="U213" s="334" t="n"/>
      <c r="V213" s="334" t="n"/>
      <c r="W213" s="334" t="n"/>
      <c r="X213" s="334" t="n"/>
      <c r="Y213" s="334" t="n"/>
      <c r="Z213" s="375">
        <f>IF(AND(G213&lt;&gt;"",R213&lt;&gt;"",V213&lt;&gt;"",W213&lt;&gt;""),"COMPLETADO","OBSERVADO")</f>
        <v/>
      </c>
    </row>
    <row r="214" ht="15" customHeight="1" s="195">
      <c r="A214" s="280" t="n"/>
      <c r="B214" s="280" t="n"/>
      <c r="C214" s="280" t="n"/>
      <c r="D214" s="280" t="n"/>
      <c r="E214" s="280" t="n"/>
      <c r="F214" s="280" t="n"/>
      <c r="G214" s="280" t="n"/>
      <c r="H214" s="280" t="n"/>
      <c r="I214" s="332">
        <f>IFERROR(VLOOKUP(TEXT(H214,"0"),IPRESS!$A$3:$B$212,2,0),"")</f>
        <v/>
      </c>
      <c r="J214" s="280" t="n"/>
      <c r="K214" s="332">
        <f>IFERROR(VLOOKUP(TEXT(O214,"0"),CONDUCTORES!$A$3:$G$54,7,0),"")</f>
        <v/>
      </c>
      <c r="L214" s="280" t="n"/>
      <c r="M214" s="280" t="n"/>
      <c r="N214" s="333">
        <f>IFERROR(IF(L214*M214=0,"",L214*M214),"")</f>
        <v/>
      </c>
      <c r="O214" s="280" t="n"/>
      <c r="P214" s="332">
        <f>IFERROR(VLOOKUP(TEXT(O214,"0"),CONDUCTORES!$A$3:$G$54,2,0),"")</f>
        <v/>
      </c>
      <c r="Q214" s="332">
        <f>IFERROR(VLOOKUP(TEXT(O214,"0"),CONDUCTORES!$A$3:$H$54,6,0),"")</f>
        <v/>
      </c>
      <c r="R214" s="280" t="n"/>
      <c r="S214" s="280" t="n"/>
      <c r="T214" s="280" t="n"/>
      <c r="U214" s="280" t="n"/>
      <c r="V214" s="280" t="n"/>
      <c r="W214" s="280" t="n"/>
      <c r="X214" s="280" t="n"/>
      <c r="Y214" s="280" t="n"/>
      <c r="Z214" s="375">
        <f>IF(AND(G214&lt;&gt;"",R214&lt;&gt;"",V214&lt;&gt;"",W214&lt;&gt;""),"COMPLETADO","OBSERVADO")</f>
        <v/>
      </c>
    </row>
    <row r="215" ht="15" customHeight="1" s="195">
      <c r="A215" s="334" t="n"/>
      <c r="B215" s="334" t="n"/>
      <c r="C215" s="334" t="n"/>
      <c r="D215" s="334" t="n"/>
      <c r="E215" s="334" t="n"/>
      <c r="F215" s="334" t="n"/>
      <c r="G215" s="334" t="n"/>
      <c r="H215" s="334" t="n"/>
      <c r="I215" s="332">
        <f>IFERROR(VLOOKUP(TEXT(H215,"0"),IPRESS!$A$3:$B$212,2,0),"")</f>
        <v/>
      </c>
      <c r="J215" s="334" t="n"/>
      <c r="K215" s="332">
        <f>IFERROR(VLOOKUP(TEXT(O215,"0"),CONDUCTORES!$A$3:$G$54,7,0),"")</f>
        <v/>
      </c>
      <c r="L215" s="334" t="n"/>
      <c r="M215" s="334" t="n"/>
      <c r="N215" s="333">
        <f>IFERROR(IF(L215*M215=0,"",L215*M215),"")</f>
        <v/>
      </c>
      <c r="O215" s="334" t="n"/>
      <c r="P215" s="332">
        <f>IFERROR(VLOOKUP(TEXT(O215,"0"),CONDUCTORES!$A$3:$G$54,2,0),"")</f>
        <v/>
      </c>
      <c r="Q215" s="332">
        <f>IFERROR(VLOOKUP(TEXT(O215,"0"),CONDUCTORES!$A$3:$H$54,6,0),"")</f>
        <v/>
      </c>
      <c r="R215" s="334" t="n"/>
      <c r="S215" s="334" t="n"/>
      <c r="T215" s="334" t="n"/>
      <c r="U215" s="334" t="n"/>
      <c r="V215" s="334" t="n"/>
      <c r="W215" s="334" t="n"/>
      <c r="X215" s="334" t="n"/>
      <c r="Y215" s="334" t="n"/>
      <c r="Z215" s="375">
        <f>IF(AND(G215&lt;&gt;"",R215&lt;&gt;"",V215&lt;&gt;"",W215&lt;&gt;""),"COMPLETADO","OBSERVADO")</f>
        <v/>
      </c>
    </row>
    <row r="216" ht="15" customHeight="1" s="195">
      <c r="A216" s="280" t="n"/>
      <c r="B216" s="280" t="n"/>
      <c r="C216" s="280" t="n"/>
      <c r="D216" s="280" t="n"/>
      <c r="E216" s="280" t="n"/>
      <c r="F216" s="280" t="n"/>
      <c r="G216" s="280" t="n"/>
      <c r="H216" s="280" t="n"/>
      <c r="I216" s="332">
        <f>IFERROR(VLOOKUP(TEXT(H216,"0"),IPRESS!$A$3:$B$212,2,0),"")</f>
        <v/>
      </c>
      <c r="J216" s="280" t="n"/>
      <c r="K216" s="332">
        <f>IFERROR(VLOOKUP(TEXT(O216,"0"),CONDUCTORES!$A$3:$G$54,7,0),"")</f>
        <v/>
      </c>
      <c r="L216" s="280" t="n"/>
      <c r="M216" s="280" t="n"/>
      <c r="N216" s="333">
        <f>IFERROR(IF(L216*M216=0,"",L216*M216),"")</f>
        <v/>
      </c>
      <c r="O216" s="280" t="n"/>
      <c r="P216" s="332">
        <f>IFERROR(VLOOKUP(TEXT(O216,"0"),CONDUCTORES!$A$3:$G$54,2,0),"")</f>
        <v/>
      </c>
      <c r="Q216" s="332">
        <f>IFERROR(VLOOKUP(TEXT(O216,"0"),CONDUCTORES!$A$3:$H$54,6,0),"")</f>
        <v/>
      </c>
      <c r="R216" s="280" t="n"/>
      <c r="S216" s="280" t="n"/>
      <c r="T216" s="280" t="n"/>
      <c r="U216" s="280" t="n"/>
      <c r="V216" s="280" t="n"/>
      <c r="W216" s="280" t="n"/>
      <c r="X216" s="280" t="n"/>
      <c r="Y216" s="280" t="n"/>
      <c r="Z216" s="375">
        <f>IF(AND(G216&lt;&gt;"",R216&lt;&gt;"",V216&lt;&gt;"",W216&lt;&gt;""),"COMPLETADO","OBSERVADO")</f>
        <v/>
      </c>
    </row>
    <row r="217" ht="15" customHeight="1" s="195">
      <c r="A217" s="334" t="n"/>
      <c r="B217" s="334" t="n"/>
      <c r="C217" s="334" t="n"/>
      <c r="D217" s="334" t="n"/>
      <c r="E217" s="334" t="n"/>
      <c r="F217" s="334" t="n"/>
      <c r="G217" s="334" t="n"/>
      <c r="H217" s="334" t="n"/>
      <c r="I217" s="332">
        <f>IFERROR(VLOOKUP(TEXT(H217,"0"),IPRESS!$A$3:$B$212,2,0),"")</f>
        <v/>
      </c>
      <c r="J217" s="334" t="n"/>
      <c r="K217" s="332">
        <f>IFERROR(VLOOKUP(TEXT(O217,"0"),CONDUCTORES!$A$3:$G$54,7,0),"")</f>
        <v/>
      </c>
      <c r="L217" s="334" t="n"/>
      <c r="M217" s="334" t="n"/>
      <c r="N217" s="333">
        <f>IFERROR(IF(L217*M217=0,"",L217*M217),"")</f>
        <v/>
      </c>
      <c r="O217" s="334" t="n"/>
      <c r="P217" s="332">
        <f>IFERROR(VLOOKUP(TEXT(O217,"0"),CONDUCTORES!$A$3:$G$54,2,0),"")</f>
        <v/>
      </c>
      <c r="Q217" s="332">
        <f>IFERROR(VLOOKUP(TEXT(O217,"0"),CONDUCTORES!$A$3:$H$54,6,0),"")</f>
        <v/>
      </c>
      <c r="R217" s="334" t="n"/>
      <c r="S217" s="334" t="n"/>
      <c r="T217" s="334" t="n"/>
      <c r="U217" s="334" t="n"/>
      <c r="V217" s="334" t="n"/>
      <c r="W217" s="334" t="n"/>
      <c r="X217" s="334" t="n"/>
      <c r="Y217" s="334" t="n"/>
      <c r="Z217" s="375">
        <f>IF(AND(G217&lt;&gt;"",R217&lt;&gt;"",V217&lt;&gt;"",W217&lt;&gt;""),"COMPLETADO","OBSERVADO")</f>
        <v/>
      </c>
    </row>
    <row r="218" ht="15" customHeight="1" s="195">
      <c r="A218" s="280" t="n"/>
      <c r="B218" s="280" t="n"/>
      <c r="C218" s="280" t="n"/>
      <c r="D218" s="280" t="n"/>
      <c r="E218" s="280" t="n"/>
      <c r="F218" s="280" t="n"/>
      <c r="G218" s="280" t="n"/>
      <c r="H218" s="280" t="n"/>
      <c r="I218" s="332">
        <f>IFERROR(VLOOKUP(TEXT(H218,"0"),IPRESS!$A$3:$B$212,2,0),"")</f>
        <v/>
      </c>
      <c r="J218" s="280" t="n"/>
      <c r="K218" s="332">
        <f>IFERROR(VLOOKUP(TEXT(O218,"0"),CONDUCTORES!$A$3:$G$54,7,0),"")</f>
        <v/>
      </c>
      <c r="L218" s="280" t="n"/>
      <c r="M218" s="280" t="n"/>
      <c r="N218" s="333">
        <f>IFERROR(IF(L218*M218=0,"",L218*M218),"")</f>
        <v/>
      </c>
      <c r="O218" s="280" t="n"/>
      <c r="P218" s="332">
        <f>IFERROR(VLOOKUP(TEXT(O218,"0"),CONDUCTORES!$A$3:$G$54,2,0),"")</f>
        <v/>
      </c>
      <c r="Q218" s="332">
        <f>IFERROR(VLOOKUP(TEXT(O218,"0"),CONDUCTORES!$A$3:$H$54,6,0),"")</f>
        <v/>
      </c>
      <c r="R218" s="280" t="n"/>
      <c r="S218" s="280" t="n"/>
      <c r="T218" s="280" t="n"/>
      <c r="U218" s="280" t="n"/>
      <c r="V218" s="280" t="n"/>
      <c r="W218" s="280" t="n"/>
      <c r="X218" s="280" t="n"/>
      <c r="Y218" s="280" t="n"/>
      <c r="Z218" s="375">
        <f>IF(AND(G218&lt;&gt;"",R218&lt;&gt;"",V218&lt;&gt;"",W218&lt;&gt;""),"COMPLETADO","OBSERVADO")</f>
        <v/>
      </c>
    </row>
    <row r="219" ht="15" customHeight="1" s="195">
      <c r="A219" s="334" t="n"/>
      <c r="B219" s="334" t="n"/>
      <c r="C219" s="334" t="n"/>
      <c r="D219" s="334" t="n"/>
      <c r="E219" s="334" t="n"/>
      <c r="F219" s="334" t="n"/>
      <c r="G219" s="334" t="n"/>
      <c r="H219" s="334" t="n"/>
      <c r="I219" s="332">
        <f>IFERROR(VLOOKUP(TEXT(H219,"0"),IPRESS!$A$3:$B$212,2,0),"")</f>
        <v/>
      </c>
      <c r="J219" s="334" t="n"/>
      <c r="K219" s="332">
        <f>IFERROR(VLOOKUP(TEXT(O219,"0"),CONDUCTORES!$A$3:$G$54,7,0),"")</f>
        <v/>
      </c>
      <c r="L219" s="334" t="n"/>
      <c r="M219" s="334" t="n"/>
      <c r="N219" s="333">
        <f>IFERROR(IF(L219*M219=0,"",L219*M219),"")</f>
        <v/>
      </c>
      <c r="O219" s="334" t="n"/>
      <c r="P219" s="332">
        <f>IFERROR(VLOOKUP(TEXT(O219,"0"),CONDUCTORES!$A$3:$G$54,2,0),"")</f>
        <v/>
      </c>
      <c r="Q219" s="332">
        <f>IFERROR(VLOOKUP(TEXT(O219,"0"),CONDUCTORES!$A$3:$H$54,6,0),"")</f>
        <v/>
      </c>
      <c r="R219" s="334" t="n"/>
      <c r="S219" s="334" t="n"/>
      <c r="T219" s="334" t="n"/>
      <c r="U219" s="334" t="n"/>
      <c r="V219" s="334" t="n"/>
      <c r="W219" s="334" t="n"/>
      <c r="X219" s="334" t="n"/>
      <c r="Y219" s="334" t="n"/>
      <c r="Z219" s="375">
        <f>IF(AND(G219&lt;&gt;"",R219&lt;&gt;"",V219&lt;&gt;"",W219&lt;&gt;""),"COMPLETADO","OBSERVADO")</f>
        <v/>
      </c>
    </row>
    <row r="220" ht="15" customHeight="1" s="195">
      <c r="A220" s="280" t="n"/>
      <c r="B220" s="280" t="n"/>
      <c r="C220" s="280" t="n"/>
      <c r="D220" s="280" t="n"/>
      <c r="E220" s="280" t="n"/>
      <c r="F220" s="280" t="n"/>
      <c r="G220" s="280" t="n"/>
      <c r="H220" s="280" t="n"/>
      <c r="I220" s="332">
        <f>IFERROR(VLOOKUP(TEXT(H220,"0"),IPRESS!$A$3:$B$212,2,0),"")</f>
        <v/>
      </c>
      <c r="J220" s="280" t="n"/>
      <c r="K220" s="332">
        <f>IFERROR(VLOOKUP(TEXT(O220,"0"),CONDUCTORES!$A$3:$G$54,7,0),"")</f>
        <v/>
      </c>
      <c r="L220" s="280" t="n"/>
      <c r="M220" s="280" t="n"/>
      <c r="N220" s="333">
        <f>IFERROR(IF(L220*M220=0,"",L220*M220),"")</f>
        <v/>
      </c>
      <c r="O220" s="280" t="n"/>
      <c r="P220" s="332">
        <f>IFERROR(VLOOKUP(TEXT(O220,"0"),CONDUCTORES!$A$3:$G$54,2,0),"")</f>
        <v/>
      </c>
      <c r="Q220" s="332">
        <f>IFERROR(VLOOKUP(TEXT(O220,"0"),CONDUCTORES!$A$3:$H$54,6,0),"")</f>
        <v/>
      </c>
      <c r="R220" s="280" t="n"/>
      <c r="S220" s="280" t="n"/>
      <c r="T220" s="280" t="n"/>
      <c r="U220" s="280" t="n"/>
      <c r="V220" s="280" t="n"/>
      <c r="W220" s="280" t="n"/>
      <c r="X220" s="280" t="n"/>
      <c r="Y220" s="280" t="n"/>
      <c r="Z220" s="375">
        <f>IF(AND(G220&lt;&gt;"",R220&lt;&gt;"",V220&lt;&gt;"",W220&lt;&gt;""),"COMPLETADO","OBSERVADO")</f>
        <v/>
      </c>
    </row>
    <row r="221" ht="15" customHeight="1" s="195">
      <c r="A221" s="334" t="n"/>
      <c r="B221" s="334" t="n"/>
      <c r="C221" s="334" t="n"/>
      <c r="D221" s="334" t="n"/>
      <c r="E221" s="334" t="n"/>
      <c r="F221" s="334" t="n"/>
      <c r="G221" s="334" t="n"/>
      <c r="H221" s="334" t="n"/>
      <c r="I221" s="332">
        <f>IFERROR(VLOOKUP(TEXT(H221,"0"),IPRESS!$A$3:$B$212,2,0),"")</f>
        <v/>
      </c>
      <c r="J221" s="334" t="n"/>
      <c r="K221" s="332">
        <f>IFERROR(VLOOKUP(TEXT(O221,"0"),CONDUCTORES!$A$3:$G$54,7,0),"")</f>
        <v/>
      </c>
      <c r="L221" s="334" t="n"/>
      <c r="M221" s="334" t="n"/>
      <c r="N221" s="333">
        <f>IFERROR(IF(L221*M221=0,"",L221*M221),"")</f>
        <v/>
      </c>
      <c r="O221" s="334" t="n"/>
      <c r="P221" s="332">
        <f>IFERROR(VLOOKUP(TEXT(O221,"0"),CONDUCTORES!$A$3:$G$54,2,0),"")</f>
        <v/>
      </c>
      <c r="Q221" s="332">
        <f>IFERROR(VLOOKUP(TEXT(O221,"0"),CONDUCTORES!$A$3:$H$54,6,0),"")</f>
        <v/>
      </c>
      <c r="R221" s="334" t="n"/>
      <c r="S221" s="334" t="n"/>
      <c r="T221" s="334" t="n"/>
      <c r="U221" s="334" t="n"/>
      <c r="V221" s="334" t="n"/>
      <c r="W221" s="334" t="n"/>
      <c r="X221" s="334" t="n"/>
      <c r="Y221" s="334" t="n"/>
      <c r="Z221" s="375">
        <f>IF(AND(G221&lt;&gt;"",R221&lt;&gt;"",V221&lt;&gt;"",W221&lt;&gt;""),"COMPLETADO","OBSERVADO")</f>
        <v/>
      </c>
    </row>
    <row r="222" ht="15" customHeight="1" s="195">
      <c r="A222" s="280" t="n"/>
      <c r="B222" s="280" t="n"/>
      <c r="C222" s="280" t="n"/>
      <c r="D222" s="280" t="n"/>
      <c r="E222" s="280" t="n"/>
      <c r="F222" s="280" t="n"/>
      <c r="G222" s="280" t="n"/>
      <c r="H222" s="280" t="n"/>
      <c r="I222" s="332">
        <f>IFERROR(VLOOKUP(TEXT(H222,"0"),IPRESS!$A$3:$B$212,2,0),"")</f>
        <v/>
      </c>
      <c r="J222" s="280" t="n"/>
      <c r="K222" s="332">
        <f>IFERROR(VLOOKUP(TEXT(O222,"0"),CONDUCTORES!$A$3:$G$54,7,0),"")</f>
        <v/>
      </c>
      <c r="L222" s="280" t="n"/>
      <c r="M222" s="280" t="n"/>
      <c r="N222" s="333">
        <f>IFERROR(IF(L222*M222=0,"",L222*M222),"")</f>
        <v/>
      </c>
      <c r="O222" s="280" t="n"/>
      <c r="P222" s="332">
        <f>IFERROR(VLOOKUP(TEXT(O222,"0"),CONDUCTORES!$A$3:$G$54,2,0),"")</f>
        <v/>
      </c>
      <c r="Q222" s="332">
        <f>IFERROR(VLOOKUP(TEXT(O222,"0"),CONDUCTORES!$A$3:$H$54,6,0),"")</f>
        <v/>
      </c>
      <c r="R222" s="280" t="n"/>
      <c r="S222" s="280" t="n"/>
      <c r="T222" s="280" t="n"/>
      <c r="U222" s="280" t="n"/>
      <c r="V222" s="280" t="n"/>
      <c r="W222" s="280" t="n"/>
      <c r="X222" s="280" t="n"/>
      <c r="Y222" s="280" t="n"/>
      <c r="Z222" s="375">
        <f>IF(AND(G222&lt;&gt;"",R222&lt;&gt;"",V222&lt;&gt;"",W222&lt;&gt;""),"COMPLETADO","OBSERVADO")</f>
        <v/>
      </c>
    </row>
    <row r="223" ht="15" customHeight="1" s="195">
      <c r="A223" s="334" t="n"/>
      <c r="B223" s="334" t="n"/>
      <c r="C223" s="334" t="n"/>
      <c r="D223" s="334" t="n"/>
      <c r="E223" s="334" t="n"/>
      <c r="F223" s="334" t="n"/>
      <c r="G223" s="334" t="n"/>
      <c r="H223" s="334" t="n"/>
      <c r="I223" s="332">
        <f>IFERROR(VLOOKUP(TEXT(H223,"0"),IPRESS!$A$3:$B$212,2,0),"")</f>
        <v/>
      </c>
      <c r="J223" s="334" t="n"/>
      <c r="K223" s="332">
        <f>IFERROR(VLOOKUP(TEXT(O223,"0"),CONDUCTORES!$A$3:$G$54,7,0),"")</f>
        <v/>
      </c>
      <c r="L223" s="334" t="n"/>
      <c r="M223" s="334" t="n"/>
      <c r="N223" s="333">
        <f>IFERROR(IF(L223*M223=0,"",L223*M223),"")</f>
        <v/>
      </c>
      <c r="O223" s="334" t="n"/>
      <c r="P223" s="332">
        <f>IFERROR(VLOOKUP(TEXT(O223,"0"),CONDUCTORES!$A$3:$G$54,2,0),"")</f>
        <v/>
      </c>
      <c r="Q223" s="332">
        <f>IFERROR(VLOOKUP(TEXT(O223,"0"),CONDUCTORES!$A$3:$H$54,6,0),"")</f>
        <v/>
      </c>
      <c r="R223" s="334" t="n"/>
      <c r="S223" s="334" t="n"/>
      <c r="T223" s="334" t="n"/>
      <c r="U223" s="334" t="n"/>
      <c r="V223" s="334" t="n"/>
      <c r="W223" s="334" t="n"/>
      <c r="X223" s="334" t="n"/>
      <c r="Y223" s="334" t="n"/>
      <c r="Z223" s="375">
        <f>IF(AND(G223&lt;&gt;"",R223&lt;&gt;"",V223&lt;&gt;"",W223&lt;&gt;""),"COMPLETADO","OBSERVADO")</f>
        <v/>
      </c>
    </row>
    <row r="224" ht="15" customHeight="1" s="195">
      <c r="A224" s="280" t="n"/>
      <c r="B224" s="280" t="n"/>
      <c r="C224" s="280" t="n"/>
      <c r="D224" s="280" t="n"/>
      <c r="E224" s="280" t="n"/>
      <c r="F224" s="280" t="n"/>
      <c r="G224" s="280" t="n"/>
      <c r="H224" s="280" t="n"/>
      <c r="I224" s="332">
        <f>IFERROR(VLOOKUP(TEXT(H224,"0"),IPRESS!$A$3:$B$212,2,0),"")</f>
        <v/>
      </c>
      <c r="J224" s="280" t="n"/>
      <c r="K224" s="332">
        <f>IFERROR(VLOOKUP(TEXT(O224,"0"),CONDUCTORES!$A$3:$G$54,7,0),"")</f>
        <v/>
      </c>
      <c r="L224" s="280" t="n"/>
      <c r="M224" s="280" t="n"/>
      <c r="N224" s="333">
        <f>IFERROR(IF(L224*M224=0,"",L224*M224),"")</f>
        <v/>
      </c>
      <c r="O224" s="280" t="n"/>
      <c r="P224" s="332">
        <f>IFERROR(VLOOKUP(TEXT(O224,"0"),CONDUCTORES!$A$3:$G$54,2,0),"")</f>
        <v/>
      </c>
      <c r="Q224" s="332">
        <f>IFERROR(VLOOKUP(TEXT(O224,"0"),CONDUCTORES!$A$3:$H$54,6,0),"")</f>
        <v/>
      </c>
      <c r="R224" s="280" t="n"/>
      <c r="S224" s="280" t="n"/>
      <c r="T224" s="280" t="n"/>
      <c r="U224" s="280" t="n"/>
      <c r="V224" s="280" t="n"/>
      <c r="W224" s="280" t="n"/>
      <c r="X224" s="280" t="n"/>
      <c r="Y224" s="280" t="n"/>
      <c r="Z224" s="375">
        <f>IF(AND(G224&lt;&gt;"",R224&lt;&gt;"",V224&lt;&gt;"",W224&lt;&gt;""),"COMPLETADO","OBSERVADO")</f>
        <v/>
      </c>
    </row>
    <row r="225" ht="15" customHeight="1" s="195">
      <c r="A225" s="334" t="n"/>
      <c r="B225" s="334" t="n"/>
      <c r="C225" s="334" t="n"/>
      <c r="D225" s="334" t="n"/>
      <c r="E225" s="334" t="n"/>
      <c r="F225" s="334" t="n"/>
      <c r="G225" s="334" t="n"/>
      <c r="H225" s="334" t="n"/>
      <c r="I225" s="332">
        <f>IFERROR(VLOOKUP(TEXT(H225,"0"),IPRESS!$A$3:$B$212,2,0),"")</f>
        <v/>
      </c>
      <c r="J225" s="334" t="n"/>
      <c r="K225" s="332">
        <f>IFERROR(VLOOKUP(TEXT(O225,"0"),CONDUCTORES!$A$3:$G$54,7,0),"")</f>
        <v/>
      </c>
      <c r="L225" s="334" t="n"/>
      <c r="M225" s="334" t="n"/>
      <c r="N225" s="333">
        <f>IFERROR(IF(L225*M225=0,"",L225*M225),"")</f>
        <v/>
      </c>
      <c r="O225" s="334" t="n"/>
      <c r="P225" s="332">
        <f>IFERROR(VLOOKUP(TEXT(O225,"0"),CONDUCTORES!$A$3:$G$54,2,0),"")</f>
        <v/>
      </c>
      <c r="Q225" s="332">
        <f>IFERROR(VLOOKUP(TEXT(O225,"0"),CONDUCTORES!$A$3:$H$54,6,0),"")</f>
        <v/>
      </c>
      <c r="R225" s="334" t="n"/>
      <c r="S225" s="334" t="n"/>
      <c r="T225" s="334" t="n"/>
      <c r="U225" s="334" t="n"/>
      <c r="V225" s="334" t="n"/>
      <c r="W225" s="334" t="n"/>
      <c r="X225" s="334" t="n"/>
      <c r="Y225" s="334" t="n"/>
      <c r="Z225" s="375">
        <f>IF(AND(G225&lt;&gt;"",R225&lt;&gt;"",V225&lt;&gt;"",W225&lt;&gt;""),"COMPLETADO","OBSERVADO")</f>
        <v/>
      </c>
    </row>
    <row r="226" ht="15" customHeight="1" s="195">
      <c r="A226" s="280" t="n"/>
      <c r="B226" s="280" t="n"/>
      <c r="C226" s="280" t="n"/>
      <c r="D226" s="280" t="n"/>
      <c r="E226" s="280" t="n"/>
      <c r="F226" s="280" t="n"/>
      <c r="G226" s="280" t="n"/>
      <c r="H226" s="280" t="n"/>
      <c r="I226" s="332">
        <f>IFERROR(VLOOKUP(TEXT(H226,"0"),IPRESS!$A$3:$B$212,2,0),"")</f>
        <v/>
      </c>
      <c r="J226" s="280" t="n"/>
      <c r="K226" s="332">
        <f>IFERROR(VLOOKUP(TEXT(O226,"0"),CONDUCTORES!$A$3:$G$54,7,0),"")</f>
        <v/>
      </c>
      <c r="L226" s="280" t="n"/>
      <c r="M226" s="280" t="n"/>
      <c r="N226" s="333">
        <f>IFERROR(IF(L226*M226=0,"",L226*M226),"")</f>
        <v/>
      </c>
      <c r="O226" s="280" t="n"/>
      <c r="P226" s="332">
        <f>IFERROR(VLOOKUP(TEXT(O226,"0"),CONDUCTORES!$A$3:$G$54,2,0),"")</f>
        <v/>
      </c>
      <c r="Q226" s="332">
        <f>IFERROR(VLOOKUP(TEXT(O226,"0"),CONDUCTORES!$A$3:$H$54,6,0),"")</f>
        <v/>
      </c>
      <c r="R226" s="280" t="n"/>
      <c r="S226" s="280" t="n"/>
      <c r="T226" s="280" t="n"/>
      <c r="U226" s="280" t="n"/>
      <c r="V226" s="280" t="n"/>
      <c r="W226" s="280" t="n"/>
      <c r="X226" s="280" t="n"/>
      <c r="Y226" s="280" t="n"/>
      <c r="Z226" s="375">
        <f>IF(AND(G226&lt;&gt;"",R226&lt;&gt;"",V226&lt;&gt;"",W226&lt;&gt;""),"COMPLETADO","OBSERVADO")</f>
        <v/>
      </c>
    </row>
    <row r="227" ht="15" customHeight="1" s="195">
      <c r="A227" s="334" t="n"/>
      <c r="B227" s="334" t="n"/>
      <c r="C227" s="334" t="n"/>
      <c r="D227" s="334" t="n"/>
      <c r="E227" s="334" t="n"/>
      <c r="F227" s="334" t="n"/>
      <c r="G227" s="334" t="n"/>
      <c r="H227" s="334" t="n"/>
      <c r="I227" s="332">
        <f>IFERROR(VLOOKUP(TEXT(H227,"0"),IPRESS!$A$3:$B$212,2,0),"")</f>
        <v/>
      </c>
      <c r="J227" s="334" t="n"/>
      <c r="K227" s="332">
        <f>IFERROR(VLOOKUP(TEXT(O227,"0"),CONDUCTORES!$A$3:$G$54,7,0),"")</f>
        <v/>
      </c>
      <c r="L227" s="334" t="n"/>
      <c r="M227" s="334" t="n"/>
      <c r="N227" s="333">
        <f>IFERROR(IF(L227*M227=0,"",L227*M227),"")</f>
        <v/>
      </c>
      <c r="O227" s="334" t="n"/>
      <c r="P227" s="332">
        <f>IFERROR(VLOOKUP(TEXT(O227,"0"),CONDUCTORES!$A$3:$G$54,2,0),"")</f>
        <v/>
      </c>
      <c r="Q227" s="332">
        <f>IFERROR(VLOOKUP(TEXT(O227,"0"),CONDUCTORES!$A$3:$H$54,6,0),"")</f>
        <v/>
      </c>
      <c r="R227" s="334" t="n"/>
      <c r="S227" s="334" t="n"/>
      <c r="T227" s="334" t="n"/>
      <c r="U227" s="334" t="n"/>
      <c r="V227" s="334" t="n"/>
      <c r="W227" s="334" t="n"/>
      <c r="X227" s="334" t="n"/>
      <c r="Y227" s="334" t="n"/>
      <c r="Z227" s="375">
        <f>IF(AND(G227&lt;&gt;"",R227&lt;&gt;"",V227&lt;&gt;"",W227&lt;&gt;""),"COMPLETADO","OBSERVADO")</f>
        <v/>
      </c>
    </row>
    <row r="228" ht="15" customHeight="1" s="195">
      <c r="A228" s="280" t="n"/>
      <c r="B228" s="280" t="n"/>
      <c r="C228" s="280" t="n"/>
      <c r="D228" s="280" t="n"/>
      <c r="E228" s="280" t="n"/>
      <c r="F228" s="280" t="n"/>
      <c r="G228" s="280" t="n"/>
      <c r="H228" s="280" t="n"/>
      <c r="I228" s="332">
        <f>IFERROR(VLOOKUP(TEXT(H228,"0"),IPRESS!$A$3:$B$212,2,0),"")</f>
        <v/>
      </c>
      <c r="J228" s="280" t="n"/>
      <c r="K228" s="332">
        <f>IFERROR(VLOOKUP(TEXT(O228,"0"),CONDUCTORES!$A$3:$G$54,7,0),"")</f>
        <v/>
      </c>
      <c r="L228" s="280" t="n"/>
      <c r="M228" s="280" t="n"/>
      <c r="N228" s="333">
        <f>IFERROR(IF(L228*M228=0,"",L228*M228),"")</f>
        <v/>
      </c>
      <c r="O228" s="280" t="n"/>
      <c r="P228" s="332">
        <f>IFERROR(VLOOKUP(TEXT(O228,"0"),CONDUCTORES!$A$3:$G$54,2,0),"")</f>
        <v/>
      </c>
      <c r="Q228" s="332">
        <f>IFERROR(VLOOKUP(TEXT(O228,"0"),CONDUCTORES!$A$3:$H$54,6,0),"")</f>
        <v/>
      </c>
      <c r="R228" s="280" t="n"/>
      <c r="S228" s="280" t="n"/>
      <c r="T228" s="280" t="n"/>
      <c r="U228" s="280" t="n"/>
      <c r="V228" s="280" t="n"/>
      <c r="W228" s="280" t="n"/>
      <c r="X228" s="280" t="n"/>
      <c r="Y228" s="280" t="n"/>
      <c r="Z228" s="375">
        <f>IF(AND(G228&lt;&gt;"",R228&lt;&gt;"",V228&lt;&gt;"",W228&lt;&gt;""),"COMPLETADO","OBSERVADO")</f>
        <v/>
      </c>
    </row>
    <row r="229" ht="15" customHeight="1" s="195">
      <c r="A229" s="334" t="n"/>
      <c r="B229" s="334" t="n"/>
      <c r="C229" s="334" t="n"/>
      <c r="D229" s="334" t="n"/>
      <c r="E229" s="334" t="n"/>
      <c r="F229" s="334" t="n"/>
      <c r="G229" s="334" t="n"/>
      <c r="H229" s="334" t="n"/>
      <c r="I229" s="332">
        <f>IFERROR(VLOOKUP(TEXT(H229,"0"),IPRESS!$A$3:$B$212,2,0),"")</f>
        <v/>
      </c>
      <c r="J229" s="334" t="n"/>
      <c r="K229" s="332">
        <f>IFERROR(VLOOKUP(TEXT(O229,"0"),CONDUCTORES!$A$3:$G$54,7,0),"")</f>
        <v/>
      </c>
      <c r="L229" s="334" t="n"/>
      <c r="M229" s="334" t="n"/>
      <c r="N229" s="333">
        <f>IFERROR(IF(L229*M229=0,"",L229*M229),"")</f>
        <v/>
      </c>
      <c r="O229" s="334" t="n"/>
      <c r="P229" s="332">
        <f>IFERROR(VLOOKUP(TEXT(O229,"0"),CONDUCTORES!$A$3:$G$54,2,0),"")</f>
        <v/>
      </c>
      <c r="Q229" s="332">
        <f>IFERROR(VLOOKUP(TEXT(O229,"0"),CONDUCTORES!$A$3:$H$54,6,0),"")</f>
        <v/>
      </c>
      <c r="R229" s="334" t="n"/>
      <c r="S229" s="334" t="n"/>
      <c r="T229" s="334" t="n"/>
      <c r="U229" s="334" t="n"/>
      <c r="V229" s="334" t="n"/>
      <c r="W229" s="334" t="n"/>
      <c r="X229" s="334" t="n"/>
      <c r="Y229" s="334" t="n"/>
      <c r="Z229" s="375">
        <f>IF(AND(G229&lt;&gt;"",R229&lt;&gt;"",V229&lt;&gt;"",W229&lt;&gt;""),"COMPLETADO","OBSERVADO")</f>
        <v/>
      </c>
    </row>
    <row r="230" ht="15" customHeight="1" s="195">
      <c r="A230" s="280" t="n"/>
      <c r="B230" s="280" t="n"/>
      <c r="C230" s="280" t="n"/>
      <c r="D230" s="280" t="n"/>
      <c r="E230" s="280" t="n"/>
      <c r="F230" s="280" t="n"/>
      <c r="G230" s="280" t="n"/>
      <c r="H230" s="280" t="n"/>
      <c r="I230" s="332">
        <f>IFERROR(VLOOKUP(TEXT(H230,"0"),IPRESS!$A$3:$B$212,2,0),"")</f>
        <v/>
      </c>
      <c r="J230" s="280" t="n"/>
      <c r="K230" s="332">
        <f>IFERROR(VLOOKUP(TEXT(O230,"0"),CONDUCTORES!$A$3:$G$54,7,0),"")</f>
        <v/>
      </c>
      <c r="L230" s="280" t="n"/>
      <c r="M230" s="280" t="n"/>
      <c r="N230" s="333">
        <f>IFERROR(IF(L230*M230=0,"",L230*M230),"")</f>
        <v/>
      </c>
      <c r="O230" s="280" t="n"/>
      <c r="P230" s="332">
        <f>IFERROR(VLOOKUP(TEXT(O230,"0"),CONDUCTORES!$A$3:$G$54,2,0),"")</f>
        <v/>
      </c>
      <c r="Q230" s="332">
        <f>IFERROR(VLOOKUP(TEXT(O230,"0"),CONDUCTORES!$A$3:$H$54,6,0),"")</f>
        <v/>
      </c>
      <c r="R230" s="280" t="n"/>
      <c r="S230" s="280" t="n"/>
      <c r="T230" s="280" t="n"/>
      <c r="U230" s="280" t="n"/>
      <c r="V230" s="280" t="n"/>
      <c r="W230" s="280" t="n"/>
      <c r="X230" s="280" t="n"/>
      <c r="Y230" s="280" t="n"/>
      <c r="Z230" s="375">
        <f>IF(AND(G230&lt;&gt;"",R230&lt;&gt;"",V230&lt;&gt;"",W230&lt;&gt;""),"COMPLETADO","OBSERVADO")</f>
        <v/>
      </c>
    </row>
    <row r="231" ht="15" customHeight="1" s="195">
      <c r="A231" s="334" t="n"/>
      <c r="B231" s="334" t="n"/>
      <c r="C231" s="334" t="n"/>
      <c r="D231" s="334" t="n"/>
      <c r="E231" s="334" t="n"/>
      <c r="F231" s="334" t="n"/>
      <c r="G231" s="334" t="n"/>
      <c r="H231" s="334" t="n"/>
      <c r="I231" s="332">
        <f>IFERROR(VLOOKUP(TEXT(H231,"0"),IPRESS!$A$3:$B$212,2,0),"")</f>
        <v/>
      </c>
      <c r="J231" s="334" t="n"/>
      <c r="K231" s="332">
        <f>IFERROR(VLOOKUP(TEXT(O231,"0"),CONDUCTORES!$A$3:$G$54,7,0),"")</f>
        <v/>
      </c>
      <c r="L231" s="334" t="n"/>
      <c r="M231" s="334" t="n"/>
      <c r="N231" s="333">
        <f>IFERROR(IF(L231*M231=0,"",L231*M231),"")</f>
        <v/>
      </c>
      <c r="O231" s="334" t="n"/>
      <c r="P231" s="332">
        <f>IFERROR(VLOOKUP(TEXT(O231,"0"),CONDUCTORES!$A$3:$G$54,2,0),"")</f>
        <v/>
      </c>
      <c r="Q231" s="332">
        <f>IFERROR(VLOOKUP(TEXT(O231,"0"),CONDUCTORES!$A$3:$H$54,6,0),"")</f>
        <v/>
      </c>
      <c r="R231" s="334" t="n"/>
      <c r="S231" s="334" t="n"/>
      <c r="T231" s="334" t="n"/>
      <c r="U231" s="334" t="n"/>
      <c r="V231" s="334" t="n"/>
      <c r="W231" s="334" t="n"/>
      <c r="X231" s="334" t="n"/>
      <c r="Y231" s="334" t="n"/>
      <c r="Z231" s="375">
        <f>IF(AND(G231&lt;&gt;"",R231&lt;&gt;"",V231&lt;&gt;"",W231&lt;&gt;""),"COMPLETADO","OBSERVADO")</f>
        <v/>
      </c>
    </row>
    <row r="232" ht="15" customHeight="1" s="195">
      <c r="A232" s="280" t="n"/>
      <c r="B232" s="280" t="n"/>
      <c r="C232" s="280" t="n"/>
      <c r="D232" s="280" t="n"/>
      <c r="E232" s="280" t="n"/>
      <c r="F232" s="280" t="n"/>
      <c r="G232" s="280" t="n"/>
      <c r="H232" s="280" t="n"/>
      <c r="I232" s="332">
        <f>IFERROR(VLOOKUP(TEXT(H232,"0"),IPRESS!$A$3:$B$212,2,0),"")</f>
        <v/>
      </c>
      <c r="J232" s="280" t="n"/>
      <c r="K232" s="332">
        <f>IFERROR(VLOOKUP(TEXT(O232,"0"),CONDUCTORES!$A$3:$G$54,7,0),"")</f>
        <v/>
      </c>
      <c r="L232" s="280" t="n"/>
      <c r="M232" s="280" t="n"/>
      <c r="N232" s="333">
        <f>IFERROR(IF(L232*M232=0,"",L232*M232),"")</f>
        <v/>
      </c>
      <c r="O232" s="280" t="n"/>
      <c r="P232" s="332">
        <f>IFERROR(VLOOKUP(TEXT(O232,"0"),CONDUCTORES!$A$3:$G$54,2,0),"")</f>
        <v/>
      </c>
      <c r="Q232" s="332">
        <f>IFERROR(VLOOKUP(TEXT(O232,"0"),CONDUCTORES!$A$3:$H$54,6,0),"")</f>
        <v/>
      </c>
      <c r="R232" s="280" t="n"/>
      <c r="S232" s="280" t="n"/>
      <c r="T232" s="280" t="n"/>
      <c r="U232" s="280" t="n"/>
      <c r="V232" s="280" t="n"/>
      <c r="W232" s="280" t="n"/>
      <c r="X232" s="280" t="n"/>
      <c r="Y232" s="280" t="n"/>
      <c r="Z232" s="375">
        <f>IF(AND(G232&lt;&gt;"",R232&lt;&gt;"",V232&lt;&gt;"",W232&lt;&gt;""),"COMPLETADO","OBSERVADO")</f>
        <v/>
      </c>
    </row>
    <row r="233" ht="15" customHeight="1" s="195">
      <c r="A233" s="334" t="n"/>
      <c r="B233" s="334" t="n"/>
      <c r="C233" s="334" t="n"/>
      <c r="D233" s="334" t="n"/>
      <c r="E233" s="334" t="n"/>
      <c r="F233" s="334" t="n"/>
      <c r="G233" s="334" t="n"/>
      <c r="H233" s="334" t="n"/>
      <c r="I233" s="332">
        <f>IFERROR(VLOOKUP(TEXT(H233,"0"),IPRESS!$A$3:$B$212,2,0),"")</f>
        <v/>
      </c>
      <c r="J233" s="334" t="n"/>
      <c r="K233" s="332">
        <f>IFERROR(VLOOKUP(TEXT(O233,"0"),CONDUCTORES!$A$3:$G$54,7,0),"")</f>
        <v/>
      </c>
      <c r="L233" s="334" t="n"/>
      <c r="M233" s="334" t="n"/>
      <c r="N233" s="333">
        <f>IFERROR(IF(L233*M233=0,"",L233*M233),"")</f>
        <v/>
      </c>
      <c r="O233" s="334" t="n"/>
      <c r="P233" s="332">
        <f>IFERROR(VLOOKUP(TEXT(O233,"0"),CONDUCTORES!$A$3:$G$54,2,0),"")</f>
        <v/>
      </c>
      <c r="Q233" s="332">
        <f>IFERROR(VLOOKUP(TEXT(O233,"0"),CONDUCTORES!$A$3:$H$54,6,0),"")</f>
        <v/>
      </c>
      <c r="R233" s="334" t="n"/>
      <c r="S233" s="334" t="n"/>
      <c r="T233" s="334" t="n"/>
      <c r="U233" s="334" t="n"/>
      <c r="V233" s="334" t="n"/>
      <c r="W233" s="334" t="n"/>
      <c r="X233" s="334" t="n"/>
      <c r="Y233" s="334" t="n"/>
      <c r="Z233" s="375">
        <f>IF(AND(G233&lt;&gt;"",R233&lt;&gt;"",V233&lt;&gt;"",W233&lt;&gt;""),"COMPLETADO","OBSERVADO")</f>
        <v/>
      </c>
    </row>
    <row r="234" ht="15" customHeight="1" s="195">
      <c r="A234" s="280" t="n"/>
      <c r="B234" s="280" t="n"/>
      <c r="C234" s="280" t="n"/>
      <c r="D234" s="280" t="n"/>
      <c r="E234" s="280" t="n"/>
      <c r="F234" s="280" t="n"/>
      <c r="G234" s="280" t="n"/>
      <c r="H234" s="280" t="n"/>
      <c r="I234" s="332">
        <f>IFERROR(VLOOKUP(TEXT(H234,"0"),IPRESS!$A$3:$B$212,2,0),"")</f>
        <v/>
      </c>
      <c r="J234" s="280" t="n"/>
      <c r="K234" s="332">
        <f>IFERROR(VLOOKUP(TEXT(O234,"0"),CONDUCTORES!$A$3:$G$54,7,0),"")</f>
        <v/>
      </c>
      <c r="L234" s="280" t="n"/>
      <c r="M234" s="280" t="n"/>
      <c r="N234" s="333">
        <f>IFERROR(IF(L234*M234=0,"",L234*M234),"")</f>
        <v/>
      </c>
      <c r="O234" s="280" t="n"/>
      <c r="P234" s="332">
        <f>IFERROR(VLOOKUP(TEXT(O234,"0"),CONDUCTORES!$A$3:$G$54,2,0),"")</f>
        <v/>
      </c>
      <c r="Q234" s="332">
        <f>IFERROR(VLOOKUP(TEXT(O234,"0"),CONDUCTORES!$A$3:$H$54,6,0),"")</f>
        <v/>
      </c>
      <c r="R234" s="280" t="n"/>
      <c r="S234" s="280" t="n"/>
      <c r="T234" s="280" t="n"/>
      <c r="U234" s="280" t="n"/>
      <c r="V234" s="280" t="n"/>
      <c r="W234" s="280" t="n"/>
      <c r="X234" s="280" t="n"/>
      <c r="Y234" s="280" t="n"/>
      <c r="Z234" s="375">
        <f>IF(AND(G234&lt;&gt;"",R234&lt;&gt;"",V234&lt;&gt;"",W234&lt;&gt;""),"COMPLETADO","OBSERVADO")</f>
        <v/>
      </c>
    </row>
    <row r="235" ht="15" customHeight="1" s="195">
      <c r="A235" s="334" t="n"/>
      <c r="B235" s="334" t="n"/>
      <c r="C235" s="334" t="n"/>
      <c r="D235" s="334" t="n"/>
      <c r="E235" s="334" t="n"/>
      <c r="F235" s="334" t="n"/>
      <c r="G235" s="334" t="n"/>
      <c r="H235" s="334" t="n"/>
      <c r="I235" s="332">
        <f>IFERROR(VLOOKUP(TEXT(H235,"0"),IPRESS!$A$3:$B$212,2,0),"")</f>
        <v/>
      </c>
      <c r="J235" s="334" t="n"/>
      <c r="K235" s="332">
        <f>IFERROR(VLOOKUP(TEXT(O235,"0"),CONDUCTORES!$A$3:$G$54,7,0),"")</f>
        <v/>
      </c>
      <c r="L235" s="334" t="n"/>
      <c r="M235" s="334" t="n"/>
      <c r="N235" s="333">
        <f>IFERROR(IF(L235*M235=0,"",L235*M235),"")</f>
        <v/>
      </c>
      <c r="O235" s="334" t="n"/>
      <c r="P235" s="332">
        <f>IFERROR(VLOOKUP(TEXT(O235,"0"),CONDUCTORES!$A$3:$G$54,2,0),"")</f>
        <v/>
      </c>
      <c r="Q235" s="332">
        <f>IFERROR(VLOOKUP(TEXT(O235,"0"),CONDUCTORES!$A$3:$H$54,6,0),"")</f>
        <v/>
      </c>
      <c r="R235" s="334" t="n"/>
      <c r="S235" s="334" t="n"/>
      <c r="T235" s="334" t="n"/>
      <c r="U235" s="334" t="n"/>
      <c r="V235" s="334" t="n"/>
      <c r="W235" s="334" t="n"/>
      <c r="X235" s="334" t="n"/>
      <c r="Y235" s="334" t="n"/>
      <c r="Z235" s="375">
        <f>IF(AND(G235&lt;&gt;"",R235&lt;&gt;"",V235&lt;&gt;"",W235&lt;&gt;""),"COMPLETADO","OBSERVADO")</f>
        <v/>
      </c>
    </row>
    <row r="236" ht="15" customHeight="1" s="195">
      <c r="A236" s="280" t="n"/>
      <c r="B236" s="280" t="n"/>
      <c r="C236" s="280" t="n"/>
      <c r="D236" s="280" t="n"/>
      <c r="E236" s="280" t="n"/>
      <c r="F236" s="280" t="n"/>
      <c r="G236" s="280" t="n"/>
      <c r="H236" s="280" t="n"/>
      <c r="I236" s="332">
        <f>IFERROR(VLOOKUP(TEXT(H236,"0"),IPRESS!$A$3:$B$212,2,0),"")</f>
        <v/>
      </c>
      <c r="J236" s="280" t="n"/>
      <c r="K236" s="332">
        <f>IFERROR(VLOOKUP(TEXT(O236,"0"),CONDUCTORES!$A$3:$G$54,7,0),"")</f>
        <v/>
      </c>
      <c r="L236" s="280" t="n"/>
      <c r="M236" s="280" t="n"/>
      <c r="N236" s="333">
        <f>IFERROR(IF(L236*M236=0,"",L236*M236),"")</f>
        <v/>
      </c>
      <c r="O236" s="280" t="n"/>
      <c r="P236" s="332">
        <f>IFERROR(VLOOKUP(TEXT(O236,"0"),CONDUCTORES!$A$3:$G$54,2,0),"")</f>
        <v/>
      </c>
      <c r="Q236" s="332">
        <f>IFERROR(VLOOKUP(TEXT(O236,"0"),CONDUCTORES!$A$3:$H$54,6,0),"")</f>
        <v/>
      </c>
      <c r="R236" s="280" t="n"/>
      <c r="S236" s="280" t="n"/>
      <c r="T236" s="280" t="n"/>
      <c r="U236" s="280" t="n"/>
      <c r="V236" s="280" t="n"/>
      <c r="W236" s="280" t="n"/>
      <c r="X236" s="280" t="n"/>
      <c r="Y236" s="280" t="n"/>
      <c r="Z236" s="375">
        <f>IF(AND(G236&lt;&gt;"",R236&lt;&gt;"",V236&lt;&gt;"",W236&lt;&gt;""),"COMPLETADO","OBSERVADO")</f>
        <v/>
      </c>
    </row>
    <row r="237" ht="15" customHeight="1" s="195">
      <c r="A237" s="334" t="n"/>
      <c r="B237" s="334" t="n"/>
      <c r="C237" s="334" t="n"/>
      <c r="D237" s="334" t="n"/>
      <c r="E237" s="334" t="n"/>
      <c r="F237" s="334" t="n"/>
      <c r="G237" s="334" t="n"/>
      <c r="H237" s="334" t="n"/>
      <c r="I237" s="332">
        <f>IFERROR(VLOOKUP(TEXT(H237,"0"),IPRESS!$A$3:$B$212,2,0),"")</f>
        <v/>
      </c>
      <c r="J237" s="334" t="n"/>
      <c r="K237" s="332">
        <f>IFERROR(VLOOKUP(TEXT(O237,"0"),CONDUCTORES!$A$3:$G$54,7,0),"")</f>
        <v/>
      </c>
      <c r="L237" s="334" t="n"/>
      <c r="M237" s="334" t="n"/>
      <c r="N237" s="333">
        <f>IFERROR(IF(L237*M237=0,"",L237*M237),"")</f>
        <v/>
      </c>
      <c r="O237" s="334" t="n"/>
      <c r="P237" s="332">
        <f>IFERROR(VLOOKUP(TEXT(O237,"0"),CONDUCTORES!$A$3:$G$54,2,0),"")</f>
        <v/>
      </c>
      <c r="Q237" s="332">
        <f>IFERROR(VLOOKUP(TEXT(O237,"0"),CONDUCTORES!$A$3:$H$54,6,0),"")</f>
        <v/>
      </c>
      <c r="R237" s="334" t="n"/>
      <c r="S237" s="334" t="n"/>
      <c r="T237" s="334" t="n"/>
      <c r="U237" s="334" t="n"/>
      <c r="V237" s="334" t="n"/>
      <c r="W237" s="334" t="n"/>
      <c r="X237" s="334" t="n"/>
      <c r="Y237" s="334" t="n"/>
      <c r="Z237" s="375">
        <f>IF(AND(G237&lt;&gt;"",R237&lt;&gt;"",V237&lt;&gt;"",W237&lt;&gt;""),"COMPLETADO","OBSERVADO")</f>
        <v/>
      </c>
    </row>
    <row r="238" ht="15" customHeight="1" s="195">
      <c r="A238" s="280" t="n"/>
      <c r="B238" s="280" t="n"/>
      <c r="C238" s="280" t="n"/>
      <c r="D238" s="280" t="n"/>
      <c r="E238" s="280" t="n"/>
      <c r="F238" s="280" t="n"/>
      <c r="G238" s="280" t="n"/>
      <c r="H238" s="280" t="n"/>
      <c r="I238" s="332">
        <f>IFERROR(VLOOKUP(TEXT(H238,"0"),IPRESS!$A$3:$B$212,2,0),"")</f>
        <v/>
      </c>
      <c r="J238" s="280" t="n"/>
      <c r="K238" s="332">
        <f>IFERROR(VLOOKUP(TEXT(O238,"0"),CONDUCTORES!$A$3:$G$54,7,0),"")</f>
        <v/>
      </c>
      <c r="L238" s="280" t="n"/>
      <c r="M238" s="280" t="n"/>
      <c r="N238" s="333">
        <f>IFERROR(IF(L238*M238=0,"",L238*M238),"")</f>
        <v/>
      </c>
      <c r="O238" s="280" t="n"/>
      <c r="P238" s="332">
        <f>IFERROR(VLOOKUP(TEXT(O238,"0"),CONDUCTORES!$A$3:$G$54,2,0),"")</f>
        <v/>
      </c>
      <c r="Q238" s="332">
        <f>IFERROR(VLOOKUP(TEXT(O238,"0"),CONDUCTORES!$A$3:$H$54,6,0),"")</f>
        <v/>
      </c>
      <c r="R238" s="280" t="n"/>
      <c r="S238" s="280" t="n"/>
      <c r="T238" s="280" t="n"/>
      <c r="U238" s="280" t="n"/>
      <c r="V238" s="280" t="n"/>
      <c r="W238" s="280" t="n"/>
      <c r="X238" s="280" t="n"/>
      <c r="Y238" s="280" t="n"/>
      <c r="Z238" s="375">
        <f>IF(AND(G238&lt;&gt;"",R238&lt;&gt;"",V238&lt;&gt;"",W238&lt;&gt;""),"COMPLETADO","OBSERVADO")</f>
        <v/>
      </c>
    </row>
    <row r="239" ht="15" customHeight="1" s="195">
      <c r="A239" s="334" t="n"/>
      <c r="B239" s="334" t="n"/>
      <c r="C239" s="334" t="n"/>
      <c r="D239" s="334" t="n"/>
      <c r="E239" s="334" t="n"/>
      <c r="F239" s="334" t="n"/>
      <c r="G239" s="334" t="n"/>
      <c r="H239" s="334" t="n"/>
      <c r="I239" s="332">
        <f>IFERROR(VLOOKUP(TEXT(H239,"0"),IPRESS!$A$3:$B$212,2,0),"")</f>
        <v/>
      </c>
      <c r="J239" s="334" t="n"/>
      <c r="K239" s="332">
        <f>IFERROR(VLOOKUP(TEXT(O239,"0"),CONDUCTORES!$A$3:$G$54,7,0),"")</f>
        <v/>
      </c>
      <c r="L239" s="334" t="n"/>
      <c r="M239" s="334" t="n"/>
      <c r="N239" s="333">
        <f>IFERROR(IF(L239*M239=0,"",L239*M239),"")</f>
        <v/>
      </c>
      <c r="O239" s="334" t="n"/>
      <c r="P239" s="332">
        <f>IFERROR(VLOOKUP(TEXT(O239,"0"),CONDUCTORES!$A$3:$G$54,2,0),"")</f>
        <v/>
      </c>
      <c r="Q239" s="332">
        <f>IFERROR(VLOOKUP(TEXT(O239,"0"),CONDUCTORES!$A$3:$H$54,6,0),"")</f>
        <v/>
      </c>
      <c r="R239" s="334" t="n"/>
      <c r="S239" s="334" t="n"/>
      <c r="T239" s="334" t="n"/>
      <c r="U239" s="334" t="n"/>
      <c r="V239" s="334" t="n"/>
      <c r="W239" s="334" t="n"/>
      <c r="X239" s="334" t="n"/>
      <c r="Y239" s="334" t="n"/>
      <c r="Z239" s="375">
        <f>IF(AND(G239&lt;&gt;"",R239&lt;&gt;"",V239&lt;&gt;"",W239&lt;&gt;""),"COMPLETADO","OBSERVADO")</f>
        <v/>
      </c>
    </row>
    <row r="240" ht="15" customHeight="1" s="195">
      <c r="A240" s="280" t="n"/>
      <c r="B240" s="280" t="n"/>
      <c r="C240" s="280" t="n"/>
      <c r="D240" s="280" t="n"/>
      <c r="E240" s="280" t="n"/>
      <c r="F240" s="280" t="n"/>
      <c r="G240" s="280" t="n"/>
      <c r="H240" s="280" t="n"/>
      <c r="I240" s="332">
        <f>IFERROR(VLOOKUP(TEXT(H240,"0"),IPRESS!$A$3:$B$212,2,0),"")</f>
        <v/>
      </c>
      <c r="J240" s="280" t="n"/>
      <c r="K240" s="332">
        <f>IFERROR(VLOOKUP(TEXT(O240,"0"),CONDUCTORES!$A$3:$G$54,7,0),"")</f>
        <v/>
      </c>
      <c r="L240" s="280" t="n"/>
      <c r="M240" s="280" t="n"/>
      <c r="N240" s="333">
        <f>IFERROR(IF(L240*M240=0,"",L240*M240),"")</f>
        <v/>
      </c>
      <c r="O240" s="280" t="n"/>
      <c r="P240" s="332">
        <f>IFERROR(VLOOKUP(TEXT(O240,"0"),CONDUCTORES!$A$3:$G$54,2,0),"")</f>
        <v/>
      </c>
      <c r="Q240" s="332">
        <f>IFERROR(VLOOKUP(TEXT(O240,"0"),CONDUCTORES!$A$3:$H$54,6,0),"")</f>
        <v/>
      </c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375">
        <f>IF(AND(G240&lt;&gt;"",R240&lt;&gt;"",V240&lt;&gt;"",W240&lt;&gt;""),"COMPLETADO","OBSERVADO")</f>
        <v/>
      </c>
    </row>
    <row r="241" ht="15" customHeight="1" s="195">
      <c r="A241" s="334" t="n"/>
      <c r="B241" s="334" t="n"/>
      <c r="C241" s="334" t="n"/>
      <c r="D241" s="334" t="n"/>
      <c r="E241" s="334" t="n"/>
      <c r="F241" s="334" t="n"/>
      <c r="G241" s="334" t="n"/>
      <c r="H241" s="334" t="n"/>
      <c r="I241" s="332">
        <f>IFERROR(VLOOKUP(TEXT(H241,"0"),IPRESS!$A$3:$B$212,2,0),"")</f>
        <v/>
      </c>
      <c r="J241" s="334" t="n"/>
      <c r="K241" s="332">
        <f>IFERROR(VLOOKUP(TEXT(O241,"0"),CONDUCTORES!$A$3:$G$54,7,0),"")</f>
        <v/>
      </c>
      <c r="L241" s="334" t="n"/>
      <c r="M241" s="334" t="n"/>
      <c r="N241" s="333">
        <f>IFERROR(IF(L241*M241=0,"",L241*M241),"")</f>
        <v/>
      </c>
      <c r="O241" s="334" t="n"/>
      <c r="P241" s="332">
        <f>IFERROR(VLOOKUP(TEXT(O241,"0"),CONDUCTORES!$A$3:$G$54,2,0),"")</f>
        <v/>
      </c>
      <c r="Q241" s="332">
        <f>IFERROR(VLOOKUP(TEXT(O241,"0"),CONDUCTORES!$A$3:$H$54,6,0),"")</f>
        <v/>
      </c>
      <c r="R241" s="334" t="n"/>
      <c r="S241" s="334" t="n"/>
      <c r="T241" s="334" t="n"/>
      <c r="U241" s="334" t="n"/>
      <c r="V241" s="334" t="n"/>
      <c r="W241" s="334" t="n"/>
      <c r="X241" s="334" t="n"/>
      <c r="Y241" s="334" t="n"/>
      <c r="Z241" s="375">
        <f>IF(AND(G241&lt;&gt;"",R241&lt;&gt;"",V241&lt;&gt;"",W241&lt;&gt;""),"COMPLETADO","OBSERVADO")</f>
        <v/>
      </c>
    </row>
    <row r="242" ht="15" customHeight="1" s="195">
      <c r="A242" s="280" t="n"/>
      <c r="B242" s="280" t="n"/>
      <c r="C242" s="280" t="n"/>
      <c r="D242" s="280" t="n"/>
      <c r="E242" s="280" t="n"/>
      <c r="F242" s="280" t="n"/>
      <c r="G242" s="280" t="n"/>
      <c r="H242" s="280" t="n"/>
      <c r="I242" s="332">
        <f>IFERROR(VLOOKUP(TEXT(H242,"0"),IPRESS!$A$3:$B$212,2,0),"")</f>
        <v/>
      </c>
      <c r="J242" s="280" t="n"/>
      <c r="K242" s="332">
        <f>IFERROR(VLOOKUP(TEXT(O242,"0"),CONDUCTORES!$A$3:$G$54,7,0),"")</f>
        <v/>
      </c>
      <c r="L242" s="280" t="n"/>
      <c r="M242" s="280" t="n"/>
      <c r="N242" s="333">
        <f>IFERROR(IF(L242*M242=0,"",L242*M242),"")</f>
        <v/>
      </c>
      <c r="O242" s="280" t="n"/>
      <c r="P242" s="332">
        <f>IFERROR(VLOOKUP(TEXT(O242,"0"),CONDUCTORES!$A$3:$G$54,2,0),"")</f>
        <v/>
      </c>
      <c r="Q242" s="332">
        <f>IFERROR(VLOOKUP(TEXT(O242,"0"),CONDUCTORES!$A$3:$H$54,6,0),"")</f>
        <v/>
      </c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375">
        <f>IF(AND(G242&lt;&gt;"",R242&lt;&gt;"",V242&lt;&gt;"",W242&lt;&gt;""),"COMPLETADO","OBSERVADO")</f>
        <v/>
      </c>
    </row>
    <row r="243" ht="15" customHeight="1" s="195">
      <c r="A243" s="334" t="n"/>
      <c r="B243" s="334" t="n"/>
      <c r="C243" s="334" t="n"/>
      <c r="D243" s="334" t="n"/>
      <c r="E243" s="334" t="n"/>
      <c r="F243" s="334" t="n"/>
      <c r="G243" s="334" t="n"/>
      <c r="H243" s="334" t="n"/>
      <c r="I243" s="332">
        <f>IFERROR(VLOOKUP(TEXT(H243,"0"),IPRESS!$A$3:$B$212,2,0),"")</f>
        <v/>
      </c>
      <c r="J243" s="334" t="n"/>
      <c r="K243" s="332">
        <f>IFERROR(VLOOKUP(TEXT(O243,"0"),CONDUCTORES!$A$3:$G$54,7,0),"")</f>
        <v/>
      </c>
      <c r="L243" s="334" t="n"/>
      <c r="M243" s="334" t="n"/>
      <c r="N243" s="333">
        <f>IFERROR(IF(L243*M243=0,"",L243*M243),"")</f>
        <v/>
      </c>
      <c r="O243" s="334" t="n"/>
      <c r="P243" s="332">
        <f>IFERROR(VLOOKUP(TEXT(O243,"0"),CONDUCTORES!$A$3:$G$54,2,0),"")</f>
        <v/>
      </c>
      <c r="Q243" s="332">
        <f>IFERROR(VLOOKUP(TEXT(O243,"0"),CONDUCTORES!$A$3:$H$54,6,0),"")</f>
        <v/>
      </c>
      <c r="R243" s="334" t="n"/>
      <c r="S243" s="334" t="n"/>
      <c r="T243" s="334" t="n"/>
      <c r="U243" s="334" t="n"/>
      <c r="V243" s="334" t="n"/>
      <c r="W243" s="334" t="n"/>
      <c r="X243" s="334" t="n"/>
      <c r="Y243" s="334" t="n"/>
      <c r="Z243" s="375">
        <f>IF(AND(G243&lt;&gt;"",R243&lt;&gt;"",V243&lt;&gt;"",W243&lt;&gt;""),"COMPLETADO","OBSERVADO")</f>
        <v/>
      </c>
    </row>
    <row r="244" ht="15" customHeight="1" s="195">
      <c r="A244" s="280" t="n"/>
      <c r="B244" s="280" t="n"/>
      <c r="C244" s="280" t="n"/>
      <c r="D244" s="280" t="n"/>
      <c r="E244" s="280" t="n"/>
      <c r="F244" s="280" t="n"/>
      <c r="G244" s="280" t="n"/>
      <c r="H244" s="280" t="n"/>
      <c r="I244" s="332">
        <f>IFERROR(VLOOKUP(TEXT(H244,"0"),IPRESS!$A$3:$B$212,2,0),"")</f>
        <v/>
      </c>
      <c r="J244" s="280" t="n"/>
      <c r="K244" s="332">
        <f>IFERROR(VLOOKUP(TEXT(O244,"0"),CONDUCTORES!$A$3:$G$54,7,0),"")</f>
        <v/>
      </c>
      <c r="L244" s="280" t="n"/>
      <c r="M244" s="280" t="n"/>
      <c r="N244" s="333">
        <f>IFERROR(IF(L244*M244=0,"",L244*M244),"")</f>
        <v/>
      </c>
      <c r="O244" s="280" t="n"/>
      <c r="P244" s="332">
        <f>IFERROR(VLOOKUP(TEXT(O244,"0"),CONDUCTORES!$A$3:$G$54,2,0),"")</f>
        <v/>
      </c>
      <c r="Q244" s="332">
        <f>IFERROR(VLOOKUP(TEXT(O244,"0"),CONDUCTORES!$A$3:$H$54,6,0),"")</f>
        <v/>
      </c>
      <c r="R244" s="280" t="n"/>
      <c r="S244" s="280" t="n"/>
      <c r="T244" s="280" t="n"/>
      <c r="U244" s="280" t="n"/>
      <c r="V244" s="280" t="n"/>
      <c r="W244" s="280" t="n"/>
      <c r="X244" s="280" t="n"/>
      <c r="Y244" s="280" t="n"/>
      <c r="Z244" s="375">
        <f>IF(AND(G244&lt;&gt;"",R244&lt;&gt;"",V244&lt;&gt;"",W244&lt;&gt;""),"COMPLETADO","OBSERVADO")</f>
        <v/>
      </c>
    </row>
    <row r="245" ht="15" customHeight="1" s="195">
      <c r="A245" s="334" t="n"/>
      <c r="B245" s="334" t="n"/>
      <c r="C245" s="334" t="n"/>
      <c r="D245" s="334" t="n"/>
      <c r="E245" s="334" t="n"/>
      <c r="F245" s="334" t="n"/>
      <c r="G245" s="334" t="n"/>
      <c r="H245" s="334" t="n"/>
      <c r="I245" s="332">
        <f>IFERROR(VLOOKUP(TEXT(H245,"0"),IPRESS!$A$3:$B$212,2,0),"")</f>
        <v/>
      </c>
      <c r="J245" s="334" t="n"/>
      <c r="K245" s="332">
        <f>IFERROR(VLOOKUP(TEXT(O245,"0"),CONDUCTORES!$A$3:$G$54,7,0),"")</f>
        <v/>
      </c>
      <c r="L245" s="334" t="n"/>
      <c r="M245" s="334" t="n"/>
      <c r="N245" s="333">
        <f>IFERROR(IF(L245*M245=0,"",L245*M245),"")</f>
        <v/>
      </c>
      <c r="O245" s="334" t="n"/>
      <c r="P245" s="332">
        <f>IFERROR(VLOOKUP(TEXT(O245,"0"),CONDUCTORES!$A$3:$G$54,2,0),"")</f>
        <v/>
      </c>
      <c r="Q245" s="332">
        <f>IFERROR(VLOOKUP(TEXT(O245,"0"),CONDUCTORES!$A$3:$H$54,6,0),"")</f>
        <v/>
      </c>
      <c r="R245" s="334" t="n"/>
      <c r="S245" s="334" t="n"/>
      <c r="T245" s="334" t="n"/>
      <c r="U245" s="334" t="n"/>
      <c r="V245" s="334" t="n"/>
      <c r="W245" s="334" t="n"/>
      <c r="X245" s="334" t="n"/>
      <c r="Y245" s="334" t="n"/>
      <c r="Z245" s="375">
        <f>IF(AND(G245&lt;&gt;"",R245&lt;&gt;"",V245&lt;&gt;"",W245&lt;&gt;""),"COMPLETADO","OBSERVADO")</f>
        <v/>
      </c>
    </row>
    <row r="246" ht="15" customHeight="1" s="195">
      <c r="A246" s="280" t="n"/>
      <c r="B246" s="280" t="n"/>
      <c r="C246" s="280" t="n"/>
      <c r="D246" s="280" t="n"/>
      <c r="E246" s="280" t="n"/>
      <c r="F246" s="280" t="n"/>
      <c r="G246" s="280" t="n"/>
      <c r="H246" s="280" t="n"/>
      <c r="I246" s="332">
        <f>IFERROR(VLOOKUP(TEXT(H246,"0"),IPRESS!$A$3:$B$212,2,0),"")</f>
        <v/>
      </c>
      <c r="J246" s="280" t="n"/>
      <c r="K246" s="332">
        <f>IFERROR(VLOOKUP(TEXT(O246,"0"),CONDUCTORES!$A$3:$G$54,7,0),"")</f>
        <v/>
      </c>
      <c r="L246" s="280" t="n"/>
      <c r="M246" s="280" t="n"/>
      <c r="N246" s="333">
        <f>IFERROR(IF(L246*M246=0,"",L246*M246),"")</f>
        <v/>
      </c>
      <c r="O246" s="280" t="n"/>
      <c r="P246" s="332">
        <f>IFERROR(VLOOKUP(TEXT(O246,"0"),CONDUCTORES!$A$3:$G$54,2,0),"")</f>
        <v/>
      </c>
      <c r="Q246" s="332">
        <f>IFERROR(VLOOKUP(TEXT(O246,"0"),CONDUCTORES!$A$3:$H$54,6,0),"")</f>
        <v/>
      </c>
      <c r="R246" s="280" t="n"/>
      <c r="S246" s="280" t="n"/>
      <c r="T246" s="280" t="n"/>
      <c r="U246" s="280" t="n"/>
      <c r="V246" s="280" t="n"/>
      <c r="W246" s="280" t="n"/>
      <c r="X246" s="280" t="n"/>
      <c r="Y246" s="280" t="n"/>
      <c r="Z246" s="375">
        <f>IF(AND(G246&lt;&gt;"",R246&lt;&gt;"",V246&lt;&gt;"",W246&lt;&gt;""),"COMPLETADO","OBSERVADO")</f>
        <v/>
      </c>
    </row>
    <row r="247" ht="15" customHeight="1" s="195">
      <c r="A247" s="334" t="n"/>
      <c r="B247" s="334" t="n"/>
      <c r="C247" s="334" t="n"/>
      <c r="D247" s="334" t="n"/>
      <c r="E247" s="334" t="n"/>
      <c r="F247" s="334" t="n"/>
      <c r="G247" s="334" t="n"/>
      <c r="H247" s="334" t="n"/>
      <c r="I247" s="332">
        <f>IFERROR(VLOOKUP(TEXT(H247,"0"),IPRESS!$A$3:$B$212,2,0),"")</f>
        <v/>
      </c>
      <c r="J247" s="334" t="n"/>
      <c r="K247" s="332">
        <f>IFERROR(VLOOKUP(TEXT(O247,"0"),CONDUCTORES!$A$3:$G$54,7,0),"")</f>
        <v/>
      </c>
      <c r="L247" s="334" t="n"/>
      <c r="M247" s="334" t="n"/>
      <c r="N247" s="333">
        <f>IFERROR(IF(L247*M247=0,"",L247*M247),"")</f>
        <v/>
      </c>
      <c r="O247" s="334" t="n"/>
      <c r="P247" s="332">
        <f>IFERROR(VLOOKUP(TEXT(O247,"0"),CONDUCTORES!$A$3:$G$54,2,0),"")</f>
        <v/>
      </c>
      <c r="Q247" s="332">
        <f>IFERROR(VLOOKUP(TEXT(O247,"0"),CONDUCTORES!$A$3:$H$54,6,0),"")</f>
        <v/>
      </c>
      <c r="R247" s="334" t="n"/>
      <c r="S247" s="334" t="n"/>
      <c r="T247" s="334" t="n"/>
      <c r="U247" s="334" t="n"/>
      <c r="V247" s="334" t="n"/>
      <c r="W247" s="334" t="n"/>
      <c r="X247" s="334" t="n"/>
      <c r="Y247" s="334" t="n"/>
      <c r="Z247" s="375">
        <f>IF(AND(G247&lt;&gt;"",R247&lt;&gt;"",V247&lt;&gt;"",W247&lt;&gt;""),"COMPLETADO","OBSERVADO")</f>
        <v/>
      </c>
    </row>
    <row r="248" ht="15" customHeight="1" s="195">
      <c r="A248" s="280" t="n"/>
      <c r="B248" s="280" t="n"/>
      <c r="C248" s="280" t="n"/>
      <c r="D248" s="280" t="n"/>
      <c r="E248" s="280" t="n"/>
      <c r="F248" s="280" t="n"/>
      <c r="G248" s="280" t="n"/>
      <c r="H248" s="280" t="n"/>
      <c r="I248" s="332">
        <f>IFERROR(VLOOKUP(TEXT(H248,"0"),IPRESS!$A$3:$B$212,2,0),"")</f>
        <v/>
      </c>
      <c r="J248" s="280" t="n"/>
      <c r="K248" s="332">
        <f>IFERROR(VLOOKUP(TEXT(O248,"0"),CONDUCTORES!$A$3:$G$54,7,0),"")</f>
        <v/>
      </c>
      <c r="L248" s="280" t="n"/>
      <c r="M248" s="280" t="n"/>
      <c r="N248" s="333">
        <f>IFERROR(IF(L248*M248=0,"",L248*M248),"")</f>
        <v/>
      </c>
      <c r="O248" s="280" t="n"/>
      <c r="P248" s="332">
        <f>IFERROR(VLOOKUP(TEXT(O248,"0"),CONDUCTORES!$A$3:$G$54,2,0),"")</f>
        <v/>
      </c>
      <c r="Q248" s="332">
        <f>IFERROR(VLOOKUP(TEXT(O248,"0"),CONDUCTORES!$A$3:$H$54,6,0),"")</f>
        <v/>
      </c>
      <c r="R248" s="280" t="n"/>
      <c r="S248" s="280" t="n"/>
      <c r="T248" s="280" t="n"/>
      <c r="U248" s="280" t="n"/>
      <c r="V248" s="280" t="n"/>
      <c r="W248" s="280" t="n"/>
      <c r="X248" s="280" t="n"/>
      <c r="Y248" s="280" t="n"/>
      <c r="Z248" s="375">
        <f>IF(AND(G248&lt;&gt;"",R248&lt;&gt;"",V248&lt;&gt;"",W248&lt;&gt;""),"COMPLETADO","OBSERVADO")</f>
        <v/>
      </c>
    </row>
    <row r="249" ht="15" customHeight="1" s="195">
      <c r="A249" s="334" t="n"/>
      <c r="B249" s="334" t="n"/>
      <c r="C249" s="334" t="n"/>
      <c r="D249" s="334" t="n"/>
      <c r="E249" s="334" t="n"/>
      <c r="F249" s="334" t="n"/>
      <c r="G249" s="334" t="n"/>
      <c r="H249" s="334" t="n"/>
      <c r="I249" s="332">
        <f>IFERROR(VLOOKUP(TEXT(H249,"0"),IPRESS!$A$3:$B$212,2,0),"")</f>
        <v/>
      </c>
      <c r="J249" s="334" t="n"/>
      <c r="K249" s="332">
        <f>IFERROR(VLOOKUP(TEXT(O249,"0"),CONDUCTORES!$A$3:$G$54,7,0),"")</f>
        <v/>
      </c>
      <c r="L249" s="334" t="n"/>
      <c r="M249" s="334" t="n"/>
      <c r="N249" s="333">
        <f>IFERROR(IF(L249*M249=0,"",L249*M249),"")</f>
        <v/>
      </c>
      <c r="O249" s="334" t="n"/>
      <c r="P249" s="332">
        <f>IFERROR(VLOOKUP(TEXT(O249,"0"),CONDUCTORES!$A$3:$G$54,2,0),"")</f>
        <v/>
      </c>
      <c r="Q249" s="332">
        <f>IFERROR(VLOOKUP(TEXT(O249,"0"),CONDUCTORES!$A$3:$H$54,6,0),"")</f>
        <v/>
      </c>
      <c r="R249" s="334" t="n"/>
      <c r="S249" s="334" t="n"/>
      <c r="T249" s="334" t="n"/>
      <c r="U249" s="334" t="n"/>
      <c r="V249" s="334" t="n"/>
      <c r="W249" s="334" t="n"/>
      <c r="X249" s="334" t="n"/>
      <c r="Y249" s="334" t="n"/>
      <c r="Z249" s="375">
        <f>IF(AND(G249&lt;&gt;"",R249&lt;&gt;"",V249&lt;&gt;"",W249&lt;&gt;""),"COMPLETADO","OBSERVADO")</f>
        <v/>
      </c>
    </row>
    <row r="250" ht="15" customHeight="1" s="195">
      <c r="A250" s="280" t="n"/>
      <c r="B250" s="280" t="n"/>
      <c r="C250" s="280" t="n"/>
      <c r="D250" s="280" t="n"/>
      <c r="E250" s="280" t="n"/>
      <c r="F250" s="280" t="n"/>
      <c r="G250" s="280" t="n"/>
      <c r="H250" s="280" t="n"/>
      <c r="I250" s="332">
        <f>IFERROR(VLOOKUP(TEXT(H250,"0"),IPRESS!$A$3:$B$212,2,0),"")</f>
        <v/>
      </c>
      <c r="J250" s="280" t="n"/>
      <c r="K250" s="332">
        <f>IFERROR(VLOOKUP(TEXT(O250,"0"),CONDUCTORES!$A$3:$G$54,7,0),"")</f>
        <v/>
      </c>
      <c r="L250" s="280" t="n"/>
      <c r="M250" s="280" t="n"/>
      <c r="N250" s="333">
        <f>IFERROR(IF(L250*M250=0,"",L250*M250),"")</f>
        <v/>
      </c>
      <c r="O250" s="280" t="n"/>
      <c r="P250" s="332">
        <f>IFERROR(VLOOKUP(TEXT(O250,"0"),CONDUCTORES!$A$3:$G$54,2,0),"")</f>
        <v/>
      </c>
      <c r="Q250" s="332">
        <f>IFERROR(VLOOKUP(TEXT(O250,"0"),CONDUCTORES!$A$3:$H$54,6,0),"")</f>
        <v/>
      </c>
      <c r="R250" s="280" t="n"/>
      <c r="S250" s="280" t="n"/>
      <c r="T250" s="280" t="n"/>
      <c r="U250" s="280" t="n"/>
      <c r="V250" s="280" t="n"/>
      <c r="W250" s="280" t="n"/>
      <c r="X250" s="280" t="n"/>
      <c r="Y250" s="280" t="n"/>
      <c r="Z250" s="375">
        <f>IF(AND(G250&lt;&gt;"",R250&lt;&gt;"",V250&lt;&gt;"",W250&lt;&gt;""),"COMPLETADO","OBSERVADO")</f>
        <v/>
      </c>
    </row>
    <row r="251" ht="15" customHeight="1" s="195">
      <c r="A251" s="334" t="n"/>
      <c r="B251" s="334" t="n"/>
      <c r="C251" s="334" t="n"/>
      <c r="D251" s="334" t="n"/>
      <c r="E251" s="334" t="n"/>
      <c r="F251" s="334" t="n"/>
      <c r="G251" s="334" t="n"/>
      <c r="H251" s="334" t="n"/>
      <c r="I251" s="332">
        <f>IFERROR(VLOOKUP(TEXT(H251,"0"),IPRESS!$A$3:$B$212,2,0),"")</f>
        <v/>
      </c>
      <c r="J251" s="334" t="n"/>
      <c r="K251" s="332">
        <f>IFERROR(VLOOKUP(TEXT(O251,"0"),CONDUCTORES!$A$3:$G$54,7,0),"")</f>
        <v/>
      </c>
      <c r="L251" s="334" t="n"/>
      <c r="M251" s="334" t="n"/>
      <c r="N251" s="333">
        <f>IFERROR(IF(L251*M251=0,"",L251*M251),"")</f>
        <v/>
      </c>
      <c r="O251" s="334" t="n"/>
      <c r="P251" s="332">
        <f>IFERROR(VLOOKUP(TEXT(O251,"0"),CONDUCTORES!$A$3:$G$54,2,0),"")</f>
        <v/>
      </c>
      <c r="Q251" s="332">
        <f>IFERROR(VLOOKUP(TEXT(O251,"0"),CONDUCTORES!$A$3:$H$54,6,0),"")</f>
        <v/>
      </c>
      <c r="R251" s="334" t="n"/>
      <c r="S251" s="334" t="n"/>
      <c r="T251" s="334" t="n"/>
      <c r="U251" s="334" t="n"/>
      <c r="V251" s="334" t="n"/>
      <c r="W251" s="334" t="n"/>
      <c r="X251" s="334" t="n"/>
      <c r="Y251" s="334" t="n"/>
      <c r="Z251" s="375">
        <f>IF(AND(G251&lt;&gt;"",R251&lt;&gt;"",V251&lt;&gt;"",W251&lt;&gt;""),"COMPLETADO","OBSERVADO")</f>
        <v/>
      </c>
    </row>
    <row r="252" ht="15" customHeight="1" s="195">
      <c r="A252" s="280" t="n"/>
      <c r="B252" s="280" t="n"/>
      <c r="C252" s="280" t="n"/>
      <c r="D252" s="280" t="n"/>
      <c r="E252" s="280" t="n"/>
      <c r="F252" s="280" t="n"/>
      <c r="G252" s="280" t="n"/>
      <c r="H252" s="280" t="n"/>
      <c r="I252" s="332">
        <f>IFERROR(VLOOKUP(TEXT(H252,"0"),IPRESS!$A$3:$B$212,2,0),"")</f>
        <v/>
      </c>
      <c r="J252" s="280" t="n"/>
      <c r="K252" s="332">
        <f>IFERROR(VLOOKUP(TEXT(O252,"0"),CONDUCTORES!$A$3:$G$54,7,0),"")</f>
        <v/>
      </c>
      <c r="L252" s="280" t="n"/>
      <c r="M252" s="280" t="n"/>
      <c r="N252" s="333">
        <f>IFERROR(IF(L252*M252=0,"",L252*M252),"")</f>
        <v/>
      </c>
      <c r="O252" s="280" t="n"/>
      <c r="P252" s="332">
        <f>IFERROR(VLOOKUP(TEXT(O252,"0"),CONDUCTORES!$A$3:$G$54,2,0),"")</f>
        <v/>
      </c>
      <c r="Q252" s="332">
        <f>IFERROR(VLOOKUP(TEXT(O252,"0"),CONDUCTORES!$A$3:$H$54,6,0),"")</f>
        <v/>
      </c>
      <c r="R252" s="280" t="n"/>
      <c r="S252" s="280" t="n"/>
      <c r="T252" s="280" t="n"/>
      <c r="U252" s="280" t="n"/>
      <c r="V252" s="280" t="n"/>
      <c r="W252" s="280" t="n"/>
      <c r="X252" s="280" t="n"/>
      <c r="Y252" s="280" t="n"/>
      <c r="Z252" s="375">
        <f>IF(AND(G252&lt;&gt;"",R252&lt;&gt;"",V252&lt;&gt;"",W252&lt;&gt;""),"COMPLETADO","OBSERVADO")</f>
        <v/>
      </c>
    </row>
    <row r="253" ht="15" customHeight="1" s="195">
      <c r="A253" s="334" t="n"/>
      <c r="B253" s="334" t="n"/>
      <c r="C253" s="334" t="n"/>
      <c r="D253" s="334" t="n"/>
      <c r="E253" s="334" t="n"/>
      <c r="F253" s="334" t="n"/>
      <c r="G253" s="334" t="n"/>
      <c r="H253" s="334" t="n"/>
      <c r="I253" s="332">
        <f>IFERROR(VLOOKUP(TEXT(H253,"0"),IPRESS!$A$3:$B$212,2,0),"")</f>
        <v/>
      </c>
      <c r="J253" s="334" t="n"/>
      <c r="K253" s="332">
        <f>IFERROR(VLOOKUP(TEXT(O253,"0"),CONDUCTORES!$A$3:$G$54,7,0),"")</f>
        <v/>
      </c>
      <c r="L253" s="334" t="n"/>
      <c r="M253" s="334" t="n"/>
      <c r="N253" s="333">
        <f>IFERROR(IF(L253*M253=0,"",L253*M253),"")</f>
        <v/>
      </c>
      <c r="O253" s="334" t="n"/>
      <c r="P253" s="332">
        <f>IFERROR(VLOOKUP(TEXT(O253,"0"),CONDUCTORES!$A$3:$G$54,2,0),"")</f>
        <v/>
      </c>
      <c r="Q253" s="332">
        <f>IFERROR(VLOOKUP(TEXT(O253,"0"),CONDUCTORES!$A$3:$H$54,6,0),"")</f>
        <v/>
      </c>
      <c r="R253" s="334" t="n"/>
      <c r="S253" s="334" t="n"/>
      <c r="T253" s="334" t="n"/>
      <c r="U253" s="334" t="n"/>
      <c r="V253" s="334" t="n"/>
      <c r="W253" s="334" t="n"/>
      <c r="X253" s="334" t="n"/>
      <c r="Y253" s="334" t="n"/>
      <c r="Z253" s="375">
        <f>IF(AND(G253&lt;&gt;"",R253&lt;&gt;"",V253&lt;&gt;"",W253&lt;&gt;""),"COMPLETADO","OBSERVADO")</f>
        <v/>
      </c>
    </row>
    <row r="254" ht="15" customHeight="1" s="195">
      <c r="A254" s="280" t="n"/>
      <c r="B254" s="280" t="n"/>
      <c r="C254" s="280" t="n"/>
      <c r="D254" s="280" t="n"/>
      <c r="E254" s="280" t="n"/>
      <c r="F254" s="280" t="n"/>
      <c r="G254" s="280" t="n"/>
      <c r="H254" s="280" t="n"/>
      <c r="I254" s="332">
        <f>IFERROR(VLOOKUP(TEXT(H254,"0"),IPRESS!$A$3:$B$212,2,0),"")</f>
        <v/>
      </c>
      <c r="J254" s="280" t="n"/>
      <c r="K254" s="332">
        <f>IFERROR(VLOOKUP(TEXT(O254,"0"),CONDUCTORES!$A$3:$G$54,7,0),"")</f>
        <v/>
      </c>
      <c r="L254" s="280" t="n"/>
      <c r="M254" s="280" t="n"/>
      <c r="N254" s="333">
        <f>IFERROR(IF(L254*M254=0,"",L254*M254),"")</f>
        <v/>
      </c>
      <c r="O254" s="280" t="n"/>
      <c r="P254" s="332">
        <f>IFERROR(VLOOKUP(TEXT(O254,"0"),CONDUCTORES!$A$3:$G$54,2,0),"")</f>
        <v/>
      </c>
      <c r="Q254" s="332">
        <f>IFERROR(VLOOKUP(TEXT(O254,"0"),CONDUCTORES!$A$3:$H$54,6,0),"")</f>
        <v/>
      </c>
      <c r="R254" s="280" t="n"/>
      <c r="S254" s="280" t="n"/>
      <c r="T254" s="280" t="n"/>
      <c r="U254" s="280" t="n"/>
      <c r="V254" s="280" t="n"/>
      <c r="W254" s="280" t="n"/>
      <c r="X254" s="280" t="n"/>
      <c r="Y254" s="280" t="n"/>
      <c r="Z254" s="375">
        <f>IF(AND(G254&lt;&gt;"",R254&lt;&gt;"",V254&lt;&gt;"",W254&lt;&gt;""),"COMPLETADO","OBSERVADO")</f>
        <v/>
      </c>
    </row>
    <row r="255" ht="15" customHeight="1" s="195">
      <c r="A255" s="334" t="n"/>
      <c r="B255" s="334" t="n"/>
      <c r="C255" s="334" t="n"/>
      <c r="D255" s="334" t="n"/>
      <c r="E255" s="334" t="n"/>
      <c r="F255" s="334" t="n"/>
      <c r="G255" s="334" t="n"/>
      <c r="H255" s="334" t="n"/>
      <c r="I255" s="332">
        <f>IFERROR(VLOOKUP(TEXT(H255,"0"),IPRESS!$A$3:$B$212,2,0),"")</f>
        <v/>
      </c>
      <c r="J255" s="334" t="n"/>
      <c r="K255" s="332">
        <f>IFERROR(VLOOKUP(TEXT(O255,"0"),CONDUCTORES!$A$3:$G$54,7,0),"")</f>
        <v/>
      </c>
      <c r="L255" s="334" t="n"/>
      <c r="M255" s="334" t="n"/>
      <c r="N255" s="333">
        <f>IFERROR(IF(L255*M255=0,"",L255*M255),"")</f>
        <v/>
      </c>
      <c r="O255" s="334" t="n"/>
      <c r="P255" s="332">
        <f>IFERROR(VLOOKUP(TEXT(O255,"0"),CONDUCTORES!$A$3:$G$54,2,0),"")</f>
        <v/>
      </c>
      <c r="Q255" s="332">
        <f>IFERROR(VLOOKUP(TEXT(O255,"0"),CONDUCTORES!$A$3:$H$54,6,0),"")</f>
        <v/>
      </c>
      <c r="R255" s="334" t="n"/>
      <c r="S255" s="334" t="n"/>
      <c r="T255" s="334" t="n"/>
      <c r="U255" s="334" t="n"/>
      <c r="V255" s="334" t="n"/>
      <c r="W255" s="334" t="n"/>
      <c r="X255" s="334" t="n"/>
      <c r="Y255" s="334" t="n"/>
      <c r="Z255" s="375">
        <f>IF(AND(G255&lt;&gt;"",R255&lt;&gt;"",V255&lt;&gt;"",W255&lt;&gt;""),"COMPLETADO","OBSERVADO")</f>
        <v/>
      </c>
    </row>
    <row r="256" ht="15" customHeight="1" s="195">
      <c r="A256" s="280" t="n"/>
      <c r="B256" s="280" t="n"/>
      <c r="C256" s="280" t="n"/>
      <c r="D256" s="280" t="n"/>
      <c r="E256" s="280" t="n"/>
      <c r="F256" s="280" t="n"/>
      <c r="G256" s="280" t="n"/>
      <c r="H256" s="280" t="n"/>
      <c r="I256" s="332">
        <f>IFERROR(VLOOKUP(TEXT(H256,"0"),IPRESS!$A$3:$B$212,2,0),"")</f>
        <v/>
      </c>
      <c r="J256" s="280" t="n"/>
      <c r="K256" s="332">
        <f>IFERROR(VLOOKUP(TEXT(O256,"0"),CONDUCTORES!$A$3:$G$54,7,0),"")</f>
        <v/>
      </c>
      <c r="L256" s="280" t="n"/>
      <c r="M256" s="280" t="n"/>
      <c r="N256" s="333">
        <f>IFERROR(IF(L256*M256=0,"",L256*M256),"")</f>
        <v/>
      </c>
      <c r="O256" s="280" t="n"/>
      <c r="P256" s="332">
        <f>IFERROR(VLOOKUP(TEXT(O256,"0"),CONDUCTORES!$A$3:$G$54,2,0),"")</f>
        <v/>
      </c>
      <c r="Q256" s="332">
        <f>IFERROR(VLOOKUP(TEXT(O256,"0"),CONDUCTORES!$A$3:$H$54,6,0),"")</f>
        <v/>
      </c>
      <c r="R256" s="280" t="n"/>
      <c r="S256" s="280" t="n"/>
      <c r="T256" s="280" t="n"/>
      <c r="U256" s="280" t="n"/>
      <c r="V256" s="280" t="n"/>
      <c r="W256" s="280" t="n"/>
      <c r="X256" s="280" t="n"/>
      <c r="Y256" s="280" t="n"/>
      <c r="Z256" s="375">
        <f>IF(AND(G256&lt;&gt;"",R256&lt;&gt;"",V256&lt;&gt;"",W256&lt;&gt;""),"COMPLETADO","OBSERVADO")</f>
        <v/>
      </c>
    </row>
    <row r="257" ht="15" customHeight="1" s="195">
      <c r="A257" s="334" t="n"/>
      <c r="B257" s="334" t="n"/>
      <c r="C257" s="334" t="n"/>
      <c r="D257" s="334" t="n"/>
      <c r="E257" s="334" t="n"/>
      <c r="F257" s="334" t="n"/>
      <c r="G257" s="334" t="n"/>
      <c r="H257" s="334" t="n"/>
      <c r="I257" s="332">
        <f>IFERROR(VLOOKUP(TEXT(H257,"0"),IPRESS!$A$3:$B$212,2,0),"")</f>
        <v/>
      </c>
      <c r="J257" s="334" t="n"/>
      <c r="K257" s="332">
        <f>IFERROR(VLOOKUP(TEXT(O257,"0"),CONDUCTORES!$A$3:$G$54,7,0),"")</f>
        <v/>
      </c>
      <c r="L257" s="334" t="n"/>
      <c r="M257" s="334" t="n"/>
      <c r="N257" s="333">
        <f>IFERROR(IF(L257*M257=0,"",L257*M257),"")</f>
        <v/>
      </c>
      <c r="O257" s="334" t="n"/>
      <c r="P257" s="332">
        <f>IFERROR(VLOOKUP(TEXT(O257,"0"),CONDUCTORES!$A$3:$G$54,2,0),"")</f>
        <v/>
      </c>
      <c r="Q257" s="332">
        <f>IFERROR(VLOOKUP(TEXT(O257,"0"),CONDUCTORES!$A$3:$H$54,6,0),"")</f>
        <v/>
      </c>
      <c r="R257" s="334" t="n"/>
      <c r="S257" s="334" t="n"/>
      <c r="T257" s="334" t="n"/>
      <c r="U257" s="334" t="n"/>
      <c r="V257" s="334" t="n"/>
      <c r="W257" s="334" t="n"/>
      <c r="X257" s="334" t="n"/>
      <c r="Y257" s="334" t="n"/>
      <c r="Z257" s="375">
        <f>IF(AND(G257&lt;&gt;"",R257&lt;&gt;"",V257&lt;&gt;"",W257&lt;&gt;""),"COMPLETADO","OBSERVADO")</f>
        <v/>
      </c>
    </row>
    <row r="258" ht="15" customHeight="1" s="195">
      <c r="A258" s="280" t="n"/>
      <c r="B258" s="280" t="n"/>
      <c r="C258" s="280" t="n"/>
      <c r="D258" s="280" t="n"/>
      <c r="E258" s="280" t="n"/>
      <c r="F258" s="280" t="n"/>
      <c r="G258" s="280" t="n"/>
      <c r="H258" s="280" t="n"/>
      <c r="I258" s="332">
        <f>IFERROR(VLOOKUP(TEXT(H258,"0"),IPRESS!$A$3:$B$212,2,0),"")</f>
        <v/>
      </c>
      <c r="J258" s="280" t="n"/>
      <c r="K258" s="332">
        <f>IFERROR(VLOOKUP(TEXT(O258,"0"),CONDUCTORES!$A$3:$G$54,7,0),"")</f>
        <v/>
      </c>
      <c r="L258" s="280" t="n"/>
      <c r="M258" s="280" t="n"/>
      <c r="N258" s="333">
        <f>IFERROR(IF(L258*M258=0,"",L258*M258),"")</f>
        <v/>
      </c>
      <c r="O258" s="280" t="n"/>
      <c r="P258" s="332">
        <f>IFERROR(VLOOKUP(TEXT(O258,"0"),CONDUCTORES!$A$3:$G$54,2,0),"")</f>
        <v/>
      </c>
      <c r="Q258" s="332">
        <f>IFERROR(VLOOKUP(TEXT(O258,"0"),CONDUCTORES!$A$3:$H$54,6,0),"")</f>
        <v/>
      </c>
      <c r="R258" s="280" t="n"/>
      <c r="S258" s="280" t="n"/>
      <c r="T258" s="280" t="n"/>
      <c r="U258" s="280" t="n"/>
      <c r="V258" s="280" t="n"/>
      <c r="W258" s="280" t="n"/>
      <c r="X258" s="280" t="n"/>
      <c r="Y258" s="280" t="n"/>
      <c r="Z258" s="375">
        <f>IF(AND(G258&lt;&gt;"",R258&lt;&gt;"",V258&lt;&gt;"",W258&lt;&gt;""),"COMPLETADO","OBSERVADO")</f>
        <v/>
      </c>
    </row>
    <row r="259" ht="15" customHeight="1" s="195">
      <c r="A259" s="334" t="n"/>
      <c r="B259" s="334" t="n"/>
      <c r="C259" s="334" t="n"/>
      <c r="D259" s="334" t="n"/>
      <c r="E259" s="334" t="n"/>
      <c r="F259" s="334" t="n"/>
      <c r="G259" s="334" t="n"/>
      <c r="H259" s="334" t="n"/>
      <c r="I259" s="332">
        <f>IFERROR(VLOOKUP(TEXT(H259,"0"),IPRESS!$A$3:$B$212,2,0),"")</f>
        <v/>
      </c>
      <c r="J259" s="334" t="n"/>
      <c r="K259" s="332">
        <f>IFERROR(VLOOKUP(TEXT(O259,"0"),CONDUCTORES!$A$3:$G$54,7,0),"")</f>
        <v/>
      </c>
      <c r="L259" s="334" t="n"/>
      <c r="M259" s="334" t="n"/>
      <c r="N259" s="333">
        <f>IFERROR(IF(L259*M259=0,"",L259*M259),"")</f>
        <v/>
      </c>
      <c r="O259" s="334" t="n"/>
      <c r="P259" s="332">
        <f>IFERROR(VLOOKUP(TEXT(O259,"0"),CONDUCTORES!$A$3:$G$54,2,0),"")</f>
        <v/>
      </c>
      <c r="Q259" s="332">
        <f>IFERROR(VLOOKUP(TEXT(O259,"0"),CONDUCTORES!$A$3:$H$54,6,0),"")</f>
        <v/>
      </c>
      <c r="R259" s="334" t="n"/>
      <c r="S259" s="334" t="n"/>
      <c r="T259" s="334" t="n"/>
      <c r="U259" s="334" t="n"/>
      <c r="V259" s="334" t="n"/>
      <c r="W259" s="334" t="n"/>
      <c r="X259" s="334" t="n"/>
      <c r="Y259" s="334" t="n"/>
      <c r="Z259" s="375">
        <f>IF(AND(G259&lt;&gt;"",R259&lt;&gt;"",V259&lt;&gt;"",W259&lt;&gt;""),"COMPLETADO","OBSERVADO")</f>
        <v/>
      </c>
    </row>
    <row r="260" ht="15" customHeight="1" s="195">
      <c r="A260" s="280" t="n"/>
      <c r="B260" s="280" t="n"/>
      <c r="C260" s="280" t="n"/>
      <c r="D260" s="280" t="n"/>
      <c r="E260" s="280" t="n"/>
      <c r="F260" s="280" t="n"/>
      <c r="G260" s="280" t="n"/>
      <c r="H260" s="280" t="n"/>
      <c r="I260" s="332">
        <f>IFERROR(VLOOKUP(TEXT(H260,"0"),IPRESS!$A$3:$B$212,2,0),"")</f>
        <v/>
      </c>
      <c r="J260" s="280" t="n"/>
      <c r="K260" s="332">
        <f>IFERROR(VLOOKUP(TEXT(O260,"0"),CONDUCTORES!$A$3:$G$54,7,0),"")</f>
        <v/>
      </c>
      <c r="L260" s="280" t="n"/>
      <c r="M260" s="280" t="n"/>
      <c r="N260" s="333">
        <f>IFERROR(IF(L260*M260=0,"",L260*M260),"")</f>
        <v/>
      </c>
      <c r="O260" s="280" t="n"/>
      <c r="P260" s="332">
        <f>IFERROR(VLOOKUP(TEXT(O260,"0"),CONDUCTORES!$A$3:$G$54,2,0),"")</f>
        <v/>
      </c>
      <c r="Q260" s="332">
        <f>IFERROR(VLOOKUP(TEXT(O260,"0"),CONDUCTORES!$A$3:$H$54,6,0),"")</f>
        <v/>
      </c>
      <c r="R260" s="280" t="n"/>
      <c r="S260" s="280" t="n"/>
      <c r="T260" s="280" t="n"/>
      <c r="U260" s="280" t="n"/>
      <c r="V260" s="280" t="n"/>
      <c r="W260" s="280" t="n"/>
      <c r="X260" s="280" t="n"/>
      <c r="Y260" s="280" t="n"/>
      <c r="Z260" s="375">
        <f>IF(AND(G260&lt;&gt;"",R260&lt;&gt;"",V260&lt;&gt;"",W260&lt;&gt;""),"COMPLETADO","OBSERVADO")</f>
        <v/>
      </c>
    </row>
    <row r="261" ht="15" customHeight="1" s="195">
      <c r="A261" s="334" t="n"/>
      <c r="B261" s="334" t="n"/>
      <c r="C261" s="334" t="n"/>
      <c r="D261" s="334" t="n"/>
      <c r="E261" s="334" t="n"/>
      <c r="F261" s="334" t="n"/>
      <c r="G261" s="334" t="n"/>
      <c r="H261" s="334" t="n"/>
      <c r="I261" s="332">
        <f>IFERROR(VLOOKUP(TEXT(H261,"0"),IPRESS!$A$3:$B$212,2,0),"")</f>
        <v/>
      </c>
      <c r="J261" s="334" t="n"/>
      <c r="K261" s="332">
        <f>IFERROR(VLOOKUP(TEXT(O261,"0"),CONDUCTORES!$A$3:$G$54,7,0),"")</f>
        <v/>
      </c>
      <c r="L261" s="334" t="n"/>
      <c r="M261" s="334" t="n"/>
      <c r="N261" s="333">
        <f>IFERROR(IF(L261*M261=0,"",L261*M261),"")</f>
        <v/>
      </c>
      <c r="O261" s="334" t="n"/>
      <c r="P261" s="332">
        <f>IFERROR(VLOOKUP(TEXT(O261,"0"),CONDUCTORES!$A$3:$G$54,2,0),"")</f>
        <v/>
      </c>
      <c r="Q261" s="332">
        <f>IFERROR(VLOOKUP(TEXT(O261,"0"),CONDUCTORES!$A$3:$H$54,6,0),"")</f>
        <v/>
      </c>
      <c r="R261" s="334" t="n"/>
      <c r="S261" s="334" t="n"/>
      <c r="T261" s="334" t="n"/>
      <c r="U261" s="334" t="n"/>
      <c r="V261" s="334" t="n"/>
      <c r="W261" s="334" t="n"/>
      <c r="X261" s="334" t="n"/>
      <c r="Y261" s="334" t="n"/>
      <c r="Z261" s="375">
        <f>IF(AND(G261&lt;&gt;"",R261&lt;&gt;"",V261&lt;&gt;"",W261&lt;&gt;""),"COMPLETADO","OBSERVADO")</f>
        <v/>
      </c>
    </row>
    <row r="262" ht="15" customHeight="1" s="195">
      <c r="A262" s="280" t="n"/>
      <c r="B262" s="280" t="n"/>
      <c r="C262" s="280" t="n"/>
      <c r="D262" s="280" t="n"/>
      <c r="E262" s="280" t="n"/>
      <c r="F262" s="280" t="n"/>
      <c r="G262" s="280" t="n"/>
      <c r="H262" s="280" t="n"/>
      <c r="I262" s="332">
        <f>IFERROR(VLOOKUP(TEXT(H262,"0"),IPRESS!$A$3:$B$212,2,0),"")</f>
        <v/>
      </c>
      <c r="J262" s="280" t="n"/>
      <c r="K262" s="332">
        <f>IFERROR(VLOOKUP(TEXT(O262,"0"),CONDUCTORES!$A$3:$G$54,7,0),"")</f>
        <v/>
      </c>
      <c r="L262" s="280" t="n"/>
      <c r="M262" s="280" t="n"/>
      <c r="N262" s="333">
        <f>IFERROR(IF(L262*M262=0,"",L262*M262),"")</f>
        <v/>
      </c>
      <c r="O262" s="280" t="n"/>
      <c r="P262" s="332">
        <f>IFERROR(VLOOKUP(TEXT(O262,"0"),CONDUCTORES!$A$3:$G$54,2,0),"")</f>
        <v/>
      </c>
      <c r="Q262" s="332">
        <f>IFERROR(VLOOKUP(TEXT(O262,"0"),CONDUCTORES!$A$3:$H$54,6,0),"")</f>
        <v/>
      </c>
      <c r="R262" s="280" t="n"/>
      <c r="S262" s="280" t="n"/>
      <c r="T262" s="280" t="n"/>
      <c r="U262" s="280" t="n"/>
      <c r="V262" s="280" t="n"/>
      <c r="W262" s="280" t="n"/>
      <c r="X262" s="280" t="n"/>
      <c r="Y262" s="280" t="n"/>
      <c r="Z262" s="375">
        <f>IF(AND(G262&lt;&gt;"",R262&lt;&gt;"",V262&lt;&gt;"",W262&lt;&gt;""),"COMPLETADO","OBSERVADO")</f>
        <v/>
      </c>
    </row>
    <row r="263" ht="15" customHeight="1" s="195">
      <c r="A263" s="334" t="n"/>
      <c r="B263" s="334" t="n"/>
      <c r="C263" s="334" t="n"/>
      <c r="D263" s="334" t="n"/>
      <c r="E263" s="334" t="n"/>
      <c r="F263" s="334" t="n"/>
      <c r="G263" s="334" t="n"/>
      <c r="H263" s="334" t="n"/>
      <c r="I263" s="332">
        <f>IFERROR(VLOOKUP(TEXT(H263,"0"),IPRESS!$A$3:$B$212,2,0),"")</f>
        <v/>
      </c>
      <c r="J263" s="334" t="n"/>
      <c r="K263" s="332">
        <f>IFERROR(VLOOKUP(TEXT(O263,"0"),CONDUCTORES!$A$3:$G$54,7,0),"")</f>
        <v/>
      </c>
      <c r="L263" s="334" t="n"/>
      <c r="M263" s="334" t="n"/>
      <c r="N263" s="333">
        <f>IFERROR(IF(L263*M263=0,"",L263*M263),"")</f>
        <v/>
      </c>
      <c r="O263" s="334" t="n"/>
      <c r="P263" s="332">
        <f>IFERROR(VLOOKUP(TEXT(O263,"0"),CONDUCTORES!$A$3:$G$54,2,0),"")</f>
        <v/>
      </c>
      <c r="Q263" s="332">
        <f>IFERROR(VLOOKUP(TEXT(O263,"0"),CONDUCTORES!$A$3:$H$54,6,0),"")</f>
        <v/>
      </c>
      <c r="R263" s="334" t="n"/>
      <c r="S263" s="334" t="n"/>
      <c r="T263" s="334" t="n"/>
      <c r="U263" s="334" t="n"/>
      <c r="V263" s="334" t="n"/>
      <c r="W263" s="334" t="n"/>
      <c r="X263" s="334" t="n"/>
      <c r="Y263" s="334" t="n"/>
      <c r="Z263" s="375">
        <f>IF(AND(G263&lt;&gt;"",R263&lt;&gt;"",V263&lt;&gt;"",W263&lt;&gt;""),"COMPLETADO","OBSERVADO")</f>
        <v/>
      </c>
    </row>
    <row r="264" ht="15" customHeight="1" s="195">
      <c r="A264" s="280" t="n"/>
      <c r="B264" s="280" t="n"/>
      <c r="C264" s="280" t="n"/>
      <c r="D264" s="280" t="n"/>
      <c r="E264" s="280" t="n"/>
      <c r="F264" s="280" t="n"/>
      <c r="G264" s="280" t="n"/>
      <c r="H264" s="280" t="n"/>
      <c r="I264" s="332">
        <f>IFERROR(VLOOKUP(TEXT(H264,"0"),IPRESS!$A$3:$B$212,2,0),"")</f>
        <v/>
      </c>
      <c r="J264" s="280" t="n"/>
      <c r="K264" s="332">
        <f>IFERROR(VLOOKUP(TEXT(O264,"0"),CONDUCTORES!$A$3:$G$54,7,0),"")</f>
        <v/>
      </c>
      <c r="L264" s="280" t="n"/>
      <c r="M264" s="280" t="n"/>
      <c r="N264" s="333">
        <f>IFERROR(IF(L264*M264=0,"",L264*M264),"")</f>
        <v/>
      </c>
      <c r="O264" s="280" t="n"/>
      <c r="P264" s="332">
        <f>IFERROR(VLOOKUP(TEXT(O264,"0"),CONDUCTORES!$A$3:$G$54,2,0),"")</f>
        <v/>
      </c>
      <c r="Q264" s="332">
        <f>IFERROR(VLOOKUP(TEXT(O264,"0"),CONDUCTORES!$A$3:$H$54,6,0),"")</f>
        <v/>
      </c>
      <c r="R264" s="280" t="n"/>
      <c r="S264" s="280" t="n"/>
      <c r="T264" s="280" t="n"/>
      <c r="U264" s="280" t="n"/>
      <c r="V264" s="280" t="n"/>
      <c r="W264" s="280" t="n"/>
      <c r="X264" s="280" t="n"/>
      <c r="Y264" s="280" t="n"/>
      <c r="Z264" s="375">
        <f>IF(AND(G264&lt;&gt;"",R264&lt;&gt;"",V264&lt;&gt;"",W264&lt;&gt;""),"COMPLETADO","OBSERVADO")</f>
        <v/>
      </c>
    </row>
    <row r="265" ht="15" customHeight="1" s="195">
      <c r="A265" s="334" t="n"/>
      <c r="B265" s="334" t="n"/>
      <c r="C265" s="334" t="n"/>
      <c r="D265" s="334" t="n"/>
      <c r="E265" s="334" t="n"/>
      <c r="F265" s="334" t="n"/>
      <c r="G265" s="334" t="n"/>
      <c r="H265" s="334" t="n"/>
      <c r="I265" s="332">
        <f>IFERROR(VLOOKUP(TEXT(H265,"0"),IPRESS!$A$3:$B$212,2,0),"")</f>
        <v/>
      </c>
      <c r="J265" s="334" t="n"/>
      <c r="K265" s="332">
        <f>IFERROR(VLOOKUP(TEXT(O265,"0"),CONDUCTORES!$A$3:$G$54,7,0),"")</f>
        <v/>
      </c>
      <c r="L265" s="334" t="n"/>
      <c r="M265" s="334" t="n"/>
      <c r="N265" s="333">
        <f>IFERROR(IF(L265*M265=0,"",L265*M265),"")</f>
        <v/>
      </c>
      <c r="O265" s="334" t="n"/>
      <c r="P265" s="332">
        <f>IFERROR(VLOOKUP(TEXT(O265,"0"),CONDUCTORES!$A$3:$G$54,2,0),"")</f>
        <v/>
      </c>
      <c r="Q265" s="332">
        <f>IFERROR(VLOOKUP(TEXT(O265,"0"),CONDUCTORES!$A$3:$H$54,6,0),"")</f>
        <v/>
      </c>
      <c r="R265" s="334" t="n"/>
      <c r="S265" s="334" t="n"/>
      <c r="T265" s="334" t="n"/>
      <c r="U265" s="334" t="n"/>
      <c r="V265" s="334" t="n"/>
      <c r="W265" s="334" t="n"/>
      <c r="X265" s="334" t="n"/>
      <c r="Y265" s="334" t="n"/>
      <c r="Z265" s="375">
        <f>IF(AND(G265&lt;&gt;"",R265&lt;&gt;"",V265&lt;&gt;"",W265&lt;&gt;""),"COMPLETADO","OBSERVADO")</f>
        <v/>
      </c>
    </row>
    <row r="266" ht="15" customHeight="1" s="195">
      <c r="A266" s="280" t="n"/>
      <c r="B266" s="280" t="n"/>
      <c r="C266" s="280" t="n"/>
      <c r="D266" s="280" t="n"/>
      <c r="E266" s="280" t="n"/>
      <c r="F266" s="280" t="n"/>
      <c r="G266" s="280" t="n"/>
      <c r="H266" s="280" t="n"/>
      <c r="I266" s="332">
        <f>IFERROR(VLOOKUP(TEXT(H266,"0"),IPRESS!$A$3:$B$212,2,0),"")</f>
        <v/>
      </c>
      <c r="J266" s="280" t="n"/>
      <c r="K266" s="332">
        <f>IFERROR(VLOOKUP(TEXT(O266,"0"),CONDUCTORES!$A$3:$G$54,7,0),"")</f>
        <v/>
      </c>
      <c r="L266" s="280" t="n"/>
      <c r="M266" s="280" t="n"/>
      <c r="N266" s="333">
        <f>IFERROR(IF(L266*M266=0,"",L266*M266),"")</f>
        <v/>
      </c>
      <c r="O266" s="280" t="n"/>
      <c r="P266" s="332">
        <f>IFERROR(VLOOKUP(TEXT(O266,"0"),CONDUCTORES!$A$3:$G$54,2,0),"")</f>
        <v/>
      </c>
      <c r="Q266" s="332">
        <f>IFERROR(VLOOKUP(TEXT(O266,"0"),CONDUCTORES!$A$3:$H$54,6,0),"")</f>
        <v/>
      </c>
      <c r="R266" s="280" t="n"/>
      <c r="S266" s="280" t="n"/>
      <c r="T266" s="280" t="n"/>
      <c r="U266" s="280" t="n"/>
      <c r="V266" s="280" t="n"/>
      <c r="W266" s="280" t="n"/>
      <c r="X266" s="280" t="n"/>
      <c r="Y266" s="280" t="n"/>
      <c r="Z266" s="375">
        <f>IF(AND(G266&lt;&gt;"",R266&lt;&gt;"",V266&lt;&gt;"",W266&lt;&gt;""),"COMPLETADO","OBSERVADO")</f>
        <v/>
      </c>
    </row>
    <row r="267" ht="15" customHeight="1" s="195">
      <c r="A267" s="334" t="n"/>
      <c r="B267" s="334" t="n"/>
      <c r="C267" s="334" t="n"/>
      <c r="D267" s="334" t="n"/>
      <c r="E267" s="334" t="n"/>
      <c r="F267" s="334" t="n"/>
      <c r="G267" s="334" t="n"/>
      <c r="H267" s="334" t="n"/>
      <c r="I267" s="332">
        <f>IFERROR(VLOOKUP(TEXT(H267,"0"),IPRESS!$A$3:$B$212,2,0),"")</f>
        <v/>
      </c>
      <c r="J267" s="334" t="n"/>
      <c r="K267" s="332">
        <f>IFERROR(VLOOKUP(TEXT(O267,"0"),CONDUCTORES!$A$3:$G$54,7,0),"")</f>
        <v/>
      </c>
      <c r="L267" s="334" t="n"/>
      <c r="M267" s="334" t="n"/>
      <c r="N267" s="333">
        <f>IFERROR(IF(L267*M267=0,"",L267*M267),"")</f>
        <v/>
      </c>
      <c r="O267" s="334" t="n"/>
      <c r="P267" s="332">
        <f>IFERROR(VLOOKUP(TEXT(O267,"0"),CONDUCTORES!$A$3:$G$54,2,0),"")</f>
        <v/>
      </c>
      <c r="Q267" s="332">
        <f>IFERROR(VLOOKUP(TEXT(O267,"0"),CONDUCTORES!$A$3:$H$54,6,0),"")</f>
        <v/>
      </c>
      <c r="R267" s="334" t="n"/>
      <c r="S267" s="334" t="n"/>
      <c r="T267" s="334" t="n"/>
      <c r="U267" s="334" t="n"/>
      <c r="V267" s="334" t="n"/>
      <c r="W267" s="334" t="n"/>
      <c r="X267" s="334" t="n"/>
      <c r="Y267" s="334" t="n"/>
      <c r="Z267" s="375">
        <f>IF(AND(G267&lt;&gt;"",R267&lt;&gt;"",V267&lt;&gt;"",W267&lt;&gt;""),"COMPLETADO","OBSERVADO")</f>
        <v/>
      </c>
    </row>
    <row r="268" ht="15" customHeight="1" s="195">
      <c r="A268" s="280" t="n"/>
      <c r="B268" s="280" t="n"/>
      <c r="C268" s="280" t="n"/>
      <c r="D268" s="280" t="n"/>
      <c r="E268" s="280" t="n"/>
      <c r="F268" s="280" t="n"/>
      <c r="G268" s="280" t="n"/>
      <c r="H268" s="280" t="n"/>
      <c r="I268" s="332">
        <f>IFERROR(VLOOKUP(TEXT(H268,"0"),IPRESS!$A$3:$B$212,2,0),"")</f>
        <v/>
      </c>
      <c r="J268" s="280" t="n"/>
      <c r="K268" s="332">
        <f>IFERROR(VLOOKUP(TEXT(O268,"0"),CONDUCTORES!$A$3:$G$54,7,0),"")</f>
        <v/>
      </c>
      <c r="L268" s="280" t="n"/>
      <c r="M268" s="280" t="n"/>
      <c r="N268" s="333">
        <f>IFERROR(IF(L268*M268=0,"",L268*M268),"")</f>
        <v/>
      </c>
      <c r="O268" s="280" t="n"/>
      <c r="P268" s="332">
        <f>IFERROR(VLOOKUP(TEXT(O268,"0"),CONDUCTORES!$A$3:$G$54,2,0),"")</f>
        <v/>
      </c>
      <c r="Q268" s="332">
        <f>IFERROR(VLOOKUP(TEXT(O268,"0"),CONDUCTORES!$A$3:$H$54,6,0),"")</f>
        <v/>
      </c>
      <c r="R268" s="280" t="n"/>
      <c r="S268" s="280" t="n"/>
      <c r="T268" s="280" t="n"/>
      <c r="U268" s="280" t="n"/>
      <c r="V268" s="280" t="n"/>
      <c r="W268" s="280" t="n"/>
      <c r="X268" s="280" t="n"/>
      <c r="Y268" s="280" t="n"/>
      <c r="Z268" s="375">
        <f>IF(AND(G268&lt;&gt;"",R268&lt;&gt;"",V268&lt;&gt;"",W268&lt;&gt;""),"COMPLETADO","OBSERVADO")</f>
        <v/>
      </c>
    </row>
    <row r="269" ht="15" customHeight="1" s="195">
      <c r="A269" s="334" t="n"/>
      <c r="B269" s="334" t="n"/>
      <c r="C269" s="334" t="n"/>
      <c r="D269" s="334" t="n"/>
      <c r="E269" s="334" t="n"/>
      <c r="F269" s="334" t="n"/>
      <c r="G269" s="334" t="n"/>
      <c r="H269" s="334" t="n"/>
      <c r="I269" s="332">
        <f>IFERROR(VLOOKUP(TEXT(H269,"0"),IPRESS!$A$3:$B$212,2,0),"")</f>
        <v/>
      </c>
      <c r="J269" s="334" t="n"/>
      <c r="K269" s="332">
        <f>IFERROR(VLOOKUP(TEXT(O269,"0"),CONDUCTORES!$A$3:$G$54,7,0),"")</f>
        <v/>
      </c>
      <c r="L269" s="334" t="n"/>
      <c r="M269" s="334" t="n"/>
      <c r="N269" s="333">
        <f>IFERROR(IF(L269*M269=0,"",L269*M269),"")</f>
        <v/>
      </c>
      <c r="O269" s="334" t="n"/>
      <c r="P269" s="332">
        <f>IFERROR(VLOOKUP(TEXT(O269,"0"),CONDUCTORES!$A$3:$G$54,2,0),"")</f>
        <v/>
      </c>
      <c r="Q269" s="332">
        <f>IFERROR(VLOOKUP(TEXT(O269,"0"),CONDUCTORES!$A$3:$H$54,6,0),"")</f>
        <v/>
      </c>
      <c r="R269" s="334" t="n"/>
      <c r="S269" s="334" t="n"/>
      <c r="T269" s="334" t="n"/>
      <c r="U269" s="334" t="n"/>
      <c r="V269" s="334" t="n"/>
      <c r="W269" s="334" t="n"/>
      <c r="X269" s="334" t="n"/>
      <c r="Y269" s="334" t="n"/>
      <c r="Z269" s="375">
        <f>IF(AND(G269&lt;&gt;"",R269&lt;&gt;"",V269&lt;&gt;"",W269&lt;&gt;""),"COMPLETADO","OBSERVADO")</f>
        <v/>
      </c>
    </row>
    <row r="270" ht="15" customHeight="1" s="195">
      <c r="A270" s="280" t="n"/>
      <c r="B270" s="280" t="n"/>
      <c r="C270" s="280" t="n"/>
      <c r="D270" s="280" t="n"/>
      <c r="E270" s="280" t="n"/>
      <c r="F270" s="280" t="n"/>
      <c r="G270" s="280" t="n"/>
      <c r="H270" s="280" t="n"/>
      <c r="I270" s="332">
        <f>IFERROR(VLOOKUP(TEXT(H270,"0"),IPRESS!$A$3:$B$212,2,0),"")</f>
        <v/>
      </c>
      <c r="J270" s="280" t="n"/>
      <c r="K270" s="332">
        <f>IFERROR(VLOOKUP(TEXT(O270,"0"),CONDUCTORES!$A$3:$G$54,7,0),"")</f>
        <v/>
      </c>
      <c r="L270" s="280" t="n"/>
      <c r="M270" s="280" t="n"/>
      <c r="N270" s="333">
        <f>IFERROR(IF(L270*M270=0,"",L270*M270),"")</f>
        <v/>
      </c>
      <c r="O270" s="280" t="n"/>
      <c r="P270" s="332">
        <f>IFERROR(VLOOKUP(TEXT(O270,"0"),CONDUCTORES!$A$3:$G$54,2,0),"")</f>
        <v/>
      </c>
      <c r="Q270" s="332">
        <f>IFERROR(VLOOKUP(TEXT(O270,"0"),CONDUCTORES!$A$3:$H$54,6,0),"")</f>
        <v/>
      </c>
      <c r="R270" s="280" t="n"/>
      <c r="S270" s="280" t="n"/>
      <c r="T270" s="280" t="n"/>
      <c r="U270" s="280" t="n"/>
      <c r="V270" s="280" t="n"/>
      <c r="W270" s="280" t="n"/>
      <c r="X270" s="280" t="n"/>
      <c r="Y270" s="280" t="n"/>
      <c r="Z270" s="375">
        <f>IF(AND(G270&lt;&gt;"",R270&lt;&gt;"",V270&lt;&gt;"",W270&lt;&gt;""),"COMPLETADO","OBSERVADO")</f>
        <v/>
      </c>
    </row>
    <row r="271" ht="15" customHeight="1" s="195">
      <c r="A271" s="334" t="n"/>
      <c r="B271" s="334" t="n"/>
      <c r="C271" s="334" t="n"/>
      <c r="D271" s="334" t="n"/>
      <c r="E271" s="334" t="n"/>
      <c r="F271" s="334" t="n"/>
      <c r="G271" s="334" t="n"/>
      <c r="H271" s="334" t="n"/>
      <c r="I271" s="332">
        <f>IFERROR(VLOOKUP(TEXT(H271,"0"),IPRESS!$A$3:$B$212,2,0),"")</f>
        <v/>
      </c>
      <c r="J271" s="334" t="n"/>
      <c r="K271" s="332">
        <f>IFERROR(VLOOKUP(TEXT(O271,"0"),CONDUCTORES!$A$3:$G$54,7,0),"")</f>
        <v/>
      </c>
      <c r="L271" s="334" t="n"/>
      <c r="M271" s="334" t="n"/>
      <c r="N271" s="333">
        <f>IFERROR(IF(L271*M271=0,"",L271*M271),"")</f>
        <v/>
      </c>
      <c r="O271" s="334" t="n"/>
      <c r="P271" s="332">
        <f>IFERROR(VLOOKUP(TEXT(O271,"0"),CONDUCTORES!$A$3:$G$54,2,0),"")</f>
        <v/>
      </c>
      <c r="Q271" s="332">
        <f>IFERROR(VLOOKUP(TEXT(O271,"0"),CONDUCTORES!$A$3:$H$54,6,0),"")</f>
        <v/>
      </c>
      <c r="R271" s="334" t="n"/>
      <c r="S271" s="334" t="n"/>
      <c r="T271" s="334" t="n"/>
      <c r="U271" s="334" t="n"/>
      <c r="V271" s="334" t="n"/>
      <c r="W271" s="334" t="n"/>
      <c r="X271" s="334" t="n"/>
      <c r="Y271" s="334" t="n"/>
      <c r="Z271" s="375">
        <f>IF(AND(G271&lt;&gt;"",R271&lt;&gt;"",V271&lt;&gt;"",W271&lt;&gt;""),"COMPLETADO","OBSERVADO")</f>
        <v/>
      </c>
    </row>
    <row r="272" ht="15" customHeight="1" s="195">
      <c r="A272" s="280" t="n"/>
      <c r="B272" s="280" t="n"/>
      <c r="C272" s="280" t="n"/>
      <c r="D272" s="280" t="n"/>
      <c r="E272" s="280" t="n"/>
      <c r="F272" s="280" t="n"/>
      <c r="G272" s="280" t="n"/>
      <c r="H272" s="280" t="n"/>
      <c r="I272" s="332">
        <f>IFERROR(VLOOKUP(TEXT(H272,"0"),IPRESS!$A$3:$B$212,2,0),"")</f>
        <v/>
      </c>
      <c r="J272" s="280" t="n"/>
      <c r="K272" s="332">
        <f>IFERROR(VLOOKUP(TEXT(O272,"0"),CONDUCTORES!$A$3:$G$54,7,0),"")</f>
        <v/>
      </c>
      <c r="L272" s="280" t="n"/>
      <c r="M272" s="280" t="n"/>
      <c r="N272" s="333">
        <f>IFERROR(IF(L272*M272=0,"",L272*M272),"")</f>
        <v/>
      </c>
      <c r="O272" s="280" t="n"/>
      <c r="P272" s="332">
        <f>IFERROR(VLOOKUP(TEXT(O272,"0"),CONDUCTORES!$A$3:$G$54,2,0),"")</f>
        <v/>
      </c>
      <c r="Q272" s="332">
        <f>IFERROR(VLOOKUP(TEXT(O272,"0"),CONDUCTORES!$A$3:$H$54,6,0),"")</f>
        <v/>
      </c>
      <c r="R272" s="280" t="n"/>
      <c r="S272" s="280" t="n"/>
      <c r="T272" s="280" t="n"/>
      <c r="U272" s="280" t="n"/>
      <c r="V272" s="280" t="n"/>
      <c r="W272" s="280" t="n"/>
      <c r="X272" s="280" t="n"/>
      <c r="Y272" s="280" t="n"/>
      <c r="Z272" s="375">
        <f>IF(AND(G272&lt;&gt;"",R272&lt;&gt;"",V272&lt;&gt;"",W272&lt;&gt;""),"COMPLETADO","OBSERVADO")</f>
        <v/>
      </c>
    </row>
    <row r="273" ht="15" customHeight="1" s="195">
      <c r="A273" s="334" t="n"/>
      <c r="B273" s="334" t="n"/>
      <c r="C273" s="334" t="n"/>
      <c r="D273" s="334" t="n"/>
      <c r="E273" s="334" t="n"/>
      <c r="F273" s="334" t="n"/>
      <c r="G273" s="334" t="n"/>
      <c r="H273" s="334" t="n"/>
      <c r="I273" s="332">
        <f>IFERROR(VLOOKUP(TEXT(H273,"0"),IPRESS!$A$3:$B$212,2,0),"")</f>
        <v/>
      </c>
      <c r="J273" s="334" t="n"/>
      <c r="K273" s="332">
        <f>IFERROR(VLOOKUP(TEXT(O273,"0"),CONDUCTORES!$A$3:$G$54,7,0),"")</f>
        <v/>
      </c>
      <c r="L273" s="334" t="n"/>
      <c r="M273" s="334" t="n"/>
      <c r="N273" s="333">
        <f>IFERROR(IF(L273*M273=0,"",L273*M273),"")</f>
        <v/>
      </c>
      <c r="O273" s="334" t="n"/>
      <c r="P273" s="332">
        <f>IFERROR(VLOOKUP(TEXT(O273,"0"),CONDUCTORES!$A$3:$G$54,2,0),"")</f>
        <v/>
      </c>
      <c r="Q273" s="332">
        <f>IFERROR(VLOOKUP(TEXT(O273,"0"),CONDUCTORES!$A$3:$H$54,6,0),"")</f>
        <v/>
      </c>
      <c r="R273" s="334" t="n"/>
      <c r="S273" s="334" t="n"/>
      <c r="T273" s="334" t="n"/>
      <c r="U273" s="334" t="n"/>
      <c r="V273" s="334" t="n"/>
      <c r="W273" s="334" t="n"/>
      <c r="X273" s="334" t="n"/>
      <c r="Y273" s="334" t="n"/>
      <c r="Z273" s="375">
        <f>IF(AND(G273&lt;&gt;"",R273&lt;&gt;"",V273&lt;&gt;"",W273&lt;&gt;""),"COMPLETADO","OBSERVADO")</f>
        <v/>
      </c>
    </row>
    <row r="274" ht="15" customHeight="1" s="195">
      <c r="A274" s="280" t="n"/>
      <c r="B274" s="280" t="n"/>
      <c r="C274" s="280" t="n"/>
      <c r="D274" s="280" t="n"/>
      <c r="E274" s="280" t="n"/>
      <c r="F274" s="280" t="n"/>
      <c r="G274" s="280" t="n"/>
      <c r="H274" s="280" t="n"/>
      <c r="I274" s="332">
        <f>IFERROR(VLOOKUP(TEXT(H274,"0"),IPRESS!$A$3:$B$212,2,0),"")</f>
        <v/>
      </c>
      <c r="J274" s="280" t="n"/>
      <c r="K274" s="332">
        <f>IFERROR(VLOOKUP(TEXT(O274,"0"),CONDUCTORES!$A$3:$G$54,7,0),"")</f>
        <v/>
      </c>
      <c r="L274" s="280" t="n"/>
      <c r="M274" s="280" t="n"/>
      <c r="N274" s="333">
        <f>IFERROR(IF(L274*M274=0,"",L274*M274),"")</f>
        <v/>
      </c>
      <c r="O274" s="280" t="n"/>
      <c r="P274" s="332">
        <f>IFERROR(VLOOKUP(TEXT(O274,"0"),CONDUCTORES!$A$3:$G$54,2,0),"")</f>
        <v/>
      </c>
      <c r="Q274" s="332">
        <f>IFERROR(VLOOKUP(TEXT(O274,"0"),CONDUCTORES!$A$3:$H$54,6,0),"")</f>
        <v/>
      </c>
      <c r="R274" s="280" t="n"/>
      <c r="S274" s="280" t="n"/>
      <c r="T274" s="280" t="n"/>
      <c r="U274" s="280" t="n"/>
      <c r="V274" s="280" t="n"/>
      <c r="W274" s="280" t="n"/>
      <c r="X274" s="280" t="n"/>
      <c r="Y274" s="280" t="n"/>
      <c r="Z274" s="375">
        <f>IF(AND(G274&lt;&gt;"",R274&lt;&gt;"",V274&lt;&gt;"",W274&lt;&gt;""),"COMPLETADO","OBSERVADO")</f>
        <v/>
      </c>
    </row>
    <row r="275" ht="15" customHeight="1" s="195">
      <c r="A275" s="334" t="n"/>
      <c r="B275" s="334" t="n"/>
      <c r="C275" s="334" t="n"/>
      <c r="D275" s="334" t="n"/>
      <c r="E275" s="334" t="n"/>
      <c r="F275" s="334" t="n"/>
      <c r="G275" s="334" t="n"/>
      <c r="H275" s="334" t="n"/>
      <c r="I275" s="332">
        <f>IFERROR(VLOOKUP(TEXT(H275,"0"),IPRESS!$A$3:$B$212,2,0),"")</f>
        <v/>
      </c>
      <c r="J275" s="334" t="n"/>
      <c r="K275" s="332">
        <f>IFERROR(VLOOKUP(TEXT(O275,"0"),CONDUCTORES!$A$3:$G$54,7,0),"")</f>
        <v/>
      </c>
      <c r="L275" s="334" t="n"/>
      <c r="M275" s="334" t="n"/>
      <c r="N275" s="333">
        <f>IFERROR(IF(L275*M275=0,"",L275*M275),"")</f>
        <v/>
      </c>
      <c r="O275" s="334" t="n"/>
      <c r="P275" s="332">
        <f>IFERROR(VLOOKUP(TEXT(O275,"0"),CONDUCTORES!$A$3:$G$54,2,0),"")</f>
        <v/>
      </c>
      <c r="Q275" s="332">
        <f>IFERROR(VLOOKUP(TEXT(O275,"0"),CONDUCTORES!$A$3:$H$54,6,0),"")</f>
        <v/>
      </c>
      <c r="R275" s="334" t="n"/>
      <c r="S275" s="334" t="n"/>
      <c r="T275" s="334" t="n"/>
      <c r="U275" s="334" t="n"/>
      <c r="V275" s="334" t="n"/>
      <c r="W275" s="334" t="n"/>
      <c r="X275" s="334" t="n"/>
      <c r="Y275" s="334" t="n"/>
      <c r="Z275" s="375">
        <f>IF(AND(G275&lt;&gt;"",R275&lt;&gt;"",V275&lt;&gt;"",W275&lt;&gt;""),"COMPLETADO","OBSERVADO")</f>
        <v/>
      </c>
    </row>
    <row r="276" ht="15" customHeight="1" s="195">
      <c r="A276" s="280" t="n"/>
      <c r="B276" s="280" t="n"/>
      <c r="C276" s="280" t="n"/>
      <c r="D276" s="280" t="n"/>
      <c r="E276" s="280" t="n"/>
      <c r="F276" s="280" t="n"/>
      <c r="G276" s="280" t="n"/>
      <c r="H276" s="280" t="n"/>
      <c r="I276" s="332">
        <f>IFERROR(VLOOKUP(TEXT(H276,"0"),IPRESS!$A$3:$B$212,2,0),"")</f>
        <v/>
      </c>
      <c r="J276" s="280" t="n"/>
      <c r="K276" s="332">
        <f>IFERROR(VLOOKUP(TEXT(O276,"0"),CONDUCTORES!$A$3:$G$54,7,0),"")</f>
        <v/>
      </c>
      <c r="L276" s="280" t="n"/>
      <c r="M276" s="280" t="n"/>
      <c r="N276" s="333">
        <f>IFERROR(IF(L276*M276=0,"",L276*M276),"")</f>
        <v/>
      </c>
      <c r="O276" s="280" t="n"/>
      <c r="P276" s="332">
        <f>IFERROR(VLOOKUP(TEXT(O276,"0"),CONDUCTORES!$A$3:$G$54,2,0),"")</f>
        <v/>
      </c>
      <c r="Q276" s="332">
        <f>IFERROR(VLOOKUP(TEXT(O276,"0"),CONDUCTORES!$A$3:$H$54,6,0),"")</f>
        <v/>
      </c>
      <c r="R276" s="280" t="n"/>
      <c r="S276" s="280" t="n"/>
      <c r="T276" s="280" t="n"/>
      <c r="U276" s="280" t="n"/>
      <c r="V276" s="280" t="n"/>
      <c r="W276" s="280" t="n"/>
      <c r="X276" s="280" t="n"/>
      <c r="Y276" s="280" t="n"/>
      <c r="Z276" s="375">
        <f>IF(AND(G276&lt;&gt;"",R276&lt;&gt;"",V276&lt;&gt;"",W276&lt;&gt;""),"COMPLETADO","OBSERVADO")</f>
        <v/>
      </c>
    </row>
    <row r="277" ht="15" customHeight="1" s="195">
      <c r="A277" s="334" t="n"/>
      <c r="B277" s="334" t="n"/>
      <c r="C277" s="334" t="n"/>
      <c r="D277" s="334" t="n"/>
      <c r="E277" s="334" t="n"/>
      <c r="F277" s="334" t="n"/>
      <c r="G277" s="334" t="n"/>
      <c r="H277" s="334" t="n"/>
      <c r="I277" s="332">
        <f>IFERROR(VLOOKUP(TEXT(H277,"0"),IPRESS!$A$3:$B$212,2,0),"")</f>
        <v/>
      </c>
      <c r="J277" s="334" t="n"/>
      <c r="K277" s="332">
        <f>IFERROR(VLOOKUP(TEXT(O277,"0"),CONDUCTORES!$A$3:$G$54,7,0),"")</f>
        <v/>
      </c>
      <c r="L277" s="334" t="n"/>
      <c r="M277" s="334" t="n"/>
      <c r="N277" s="333">
        <f>IFERROR(IF(L277*M277=0,"",L277*M277),"")</f>
        <v/>
      </c>
      <c r="O277" s="334" t="n"/>
      <c r="P277" s="332">
        <f>IFERROR(VLOOKUP(TEXT(O277,"0"),CONDUCTORES!$A$3:$G$54,2,0),"")</f>
        <v/>
      </c>
      <c r="Q277" s="332">
        <f>IFERROR(VLOOKUP(TEXT(O277,"0"),CONDUCTORES!$A$3:$H$54,6,0),"")</f>
        <v/>
      </c>
      <c r="R277" s="334" t="n"/>
      <c r="S277" s="334" t="n"/>
      <c r="T277" s="334" t="n"/>
      <c r="U277" s="334" t="n"/>
      <c r="V277" s="334" t="n"/>
      <c r="W277" s="334" t="n"/>
      <c r="X277" s="334" t="n"/>
      <c r="Y277" s="334" t="n"/>
      <c r="Z277" s="375">
        <f>IF(AND(G277&lt;&gt;"",R277&lt;&gt;"",V277&lt;&gt;"",W277&lt;&gt;""),"COMPLETADO","OBSERVADO")</f>
        <v/>
      </c>
    </row>
    <row r="278" ht="15" customHeight="1" s="195">
      <c r="A278" s="280" t="n"/>
      <c r="B278" s="280" t="n"/>
      <c r="C278" s="280" t="n"/>
      <c r="D278" s="280" t="n"/>
      <c r="E278" s="280" t="n"/>
      <c r="F278" s="280" t="n"/>
      <c r="G278" s="280" t="n"/>
      <c r="H278" s="280" t="n"/>
      <c r="I278" s="332">
        <f>IFERROR(VLOOKUP(TEXT(H278,"0"),IPRESS!$A$3:$B$212,2,0),"")</f>
        <v/>
      </c>
      <c r="J278" s="280" t="n"/>
      <c r="K278" s="332">
        <f>IFERROR(VLOOKUP(TEXT(O278,"0"),CONDUCTORES!$A$3:$G$54,7,0),"")</f>
        <v/>
      </c>
      <c r="L278" s="280" t="n"/>
      <c r="M278" s="280" t="n"/>
      <c r="N278" s="333">
        <f>IFERROR(IF(L278*M278=0,"",L278*M278),"")</f>
        <v/>
      </c>
      <c r="O278" s="280" t="n"/>
      <c r="P278" s="332">
        <f>IFERROR(VLOOKUP(TEXT(O278,"0"),CONDUCTORES!$A$3:$G$54,2,0),"")</f>
        <v/>
      </c>
      <c r="Q278" s="332">
        <f>IFERROR(VLOOKUP(TEXT(O278,"0"),CONDUCTORES!$A$3:$H$54,6,0),"")</f>
        <v/>
      </c>
      <c r="R278" s="280" t="n"/>
      <c r="S278" s="280" t="n"/>
      <c r="T278" s="280" t="n"/>
      <c r="U278" s="280" t="n"/>
      <c r="V278" s="280" t="n"/>
      <c r="W278" s="280" t="n"/>
      <c r="X278" s="280" t="n"/>
      <c r="Y278" s="280" t="n"/>
      <c r="Z278" s="375">
        <f>IF(AND(G278&lt;&gt;"",R278&lt;&gt;"",V278&lt;&gt;"",W278&lt;&gt;""),"COMPLETADO","OBSERVADO")</f>
        <v/>
      </c>
    </row>
    <row r="279" ht="15" customHeight="1" s="195">
      <c r="A279" s="334" t="n"/>
      <c r="B279" s="334" t="n"/>
      <c r="C279" s="334" t="n"/>
      <c r="D279" s="334" t="n"/>
      <c r="E279" s="334" t="n"/>
      <c r="F279" s="334" t="n"/>
      <c r="G279" s="334" t="n"/>
      <c r="H279" s="334" t="n"/>
      <c r="I279" s="332">
        <f>IFERROR(VLOOKUP(TEXT(H279,"0"),IPRESS!$A$3:$B$212,2,0),"")</f>
        <v/>
      </c>
      <c r="J279" s="334" t="n"/>
      <c r="K279" s="332">
        <f>IFERROR(VLOOKUP(TEXT(O279,"0"),CONDUCTORES!$A$3:$G$54,7,0),"")</f>
        <v/>
      </c>
      <c r="L279" s="334" t="n"/>
      <c r="M279" s="334" t="n"/>
      <c r="N279" s="333">
        <f>IFERROR(IF(L279*M279=0,"",L279*M279),"")</f>
        <v/>
      </c>
      <c r="O279" s="334" t="n"/>
      <c r="P279" s="332">
        <f>IFERROR(VLOOKUP(TEXT(O279,"0"),CONDUCTORES!$A$3:$G$54,2,0),"")</f>
        <v/>
      </c>
      <c r="Q279" s="332">
        <f>IFERROR(VLOOKUP(TEXT(O279,"0"),CONDUCTORES!$A$3:$H$54,6,0),"")</f>
        <v/>
      </c>
      <c r="R279" s="334" t="n"/>
      <c r="S279" s="334" t="n"/>
      <c r="T279" s="334" t="n"/>
      <c r="U279" s="334" t="n"/>
      <c r="V279" s="334" t="n"/>
      <c r="W279" s="334" t="n"/>
      <c r="X279" s="334" t="n"/>
      <c r="Y279" s="334" t="n"/>
      <c r="Z279" s="375">
        <f>IF(AND(G279&lt;&gt;"",R279&lt;&gt;"",V279&lt;&gt;"",W279&lt;&gt;""),"COMPLETADO","OBSERVADO")</f>
        <v/>
      </c>
    </row>
    <row r="280" ht="15" customHeight="1" s="195">
      <c r="A280" s="280" t="n"/>
      <c r="B280" s="280" t="n"/>
      <c r="C280" s="280" t="n"/>
      <c r="D280" s="280" t="n"/>
      <c r="E280" s="280" t="n"/>
      <c r="F280" s="280" t="n"/>
      <c r="G280" s="280" t="n"/>
      <c r="H280" s="280" t="n"/>
      <c r="I280" s="332">
        <f>IFERROR(VLOOKUP(TEXT(H280,"0"),IPRESS!$A$3:$B$212,2,0),"")</f>
        <v/>
      </c>
      <c r="J280" s="280" t="n"/>
      <c r="K280" s="332">
        <f>IFERROR(VLOOKUP(TEXT(O280,"0"),CONDUCTORES!$A$3:$G$54,7,0),"")</f>
        <v/>
      </c>
      <c r="L280" s="280" t="n"/>
      <c r="M280" s="280" t="n"/>
      <c r="N280" s="333">
        <f>IFERROR(IF(L280*M280=0,"",L280*M280),"")</f>
        <v/>
      </c>
      <c r="O280" s="280" t="n"/>
      <c r="P280" s="332">
        <f>IFERROR(VLOOKUP(TEXT(O280,"0"),CONDUCTORES!$A$3:$G$54,2,0),"")</f>
        <v/>
      </c>
      <c r="Q280" s="332">
        <f>IFERROR(VLOOKUP(TEXT(O280,"0"),CONDUCTORES!$A$3:$H$54,6,0),"")</f>
        <v/>
      </c>
      <c r="R280" s="280" t="n"/>
      <c r="S280" s="280" t="n"/>
      <c r="T280" s="280" t="n"/>
      <c r="U280" s="280" t="n"/>
      <c r="V280" s="280" t="n"/>
      <c r="W280" s="280" t="n"/>
      <c r="X280" s="280" t="n"/>
      <c r="Y280" s="280" t="n"/>
      <c r="Z280" s="375">
        <f>IF(AND(G280&lt;&gt;"",R280&lt;&gt;"",V280&lt;&gt;"",W280&lt;&gt;""),"COMPLETADO","OBSERVADO")</f>
        <v/>
      </c>
    </row>
    <row r="281" ht="15" customHeight="1" s="195">
      <c r="A281" s="334" t="n"/>
      <c r="B281" s="334" t="n"/>
      <c r="C281" s="334" t="n"/>
      <c r="D281" s="334" t="n"/>
      <c r="E281" s="334" t="n"/>
      <c r="F281" s="334" t="n"/>
      <c r="G281" s="334" t="n"/>
      <c r="H281" s="334" t="n"/>
      <c r="I281" s="332">
        <f>IFERROR(VLOOKUP(TEXT(H281,"0"),IPRESS!$A$3:$B$212,2,0),"")</f>
        <v/>
      </c>
      <c r="J281" s="334" t="n"/>
      <c r="K281" s="332">
        <f>IFERROR(VLOOKUP(TEXT(O281,"0"),CONDUCTORES!$A$3:$G$54,7,0),"")</f>
        <v/>
      </c>
      <c r="L281" s="334" t="n"/>
      <c r="M281" s="334" t="n"/>
      <c r="N281" s="333">
        <f>IFERROR(IF(L281*M281=0,"",L281*M281),"")</f>
        <v/>
      </c>
      <c r="O281" s="334" t="n"/>
      <c r="P281" s="332">
        <f>IFERROR(VLOOKUP(TEXT(O281,"0"),CONDUCTORES!$A$3:$G$54,2,0),"")</f>
        <v/>
      </c>
      <c r="Q281" s="332">
        <f>IFERROR(VLOOKUP(TEXT(O281,"0"),CONDUCTORES!$A$3:$H$54,6,0),"")</f>
        <v/>
      </c>
      <c r="R281" s="334" t="n"/>
      <c r="S281" s="334" t="n"/>
      <c r="T281" s="334" t="n"/>
      <c r="U281" s="334" t="n"/>
      <c r="V281" s="334" t="n"/>
      <c r="W281" s="334" t="n"/>
      <c r="X281" s="334" t="n"/>
      <c r="Y281" s="334" t="n"/>
      <c r="Z281" s="375">
        <f>IF(AND(G281&lt;&gt;"",R281&lt;&gt;"",V281&lt;&gt;"",W281&lt;&gt;""),"COMPLETADO","OBSERVADO")</f>
        <v/>
      </c>
    </row>
    <row r="282" ht="15" customHeight="1" s="195">
      <c r="A282" s="280" t="n"/>
      <c r="B282" s="280" t="n"/>
      <c r="C282" s="280" t="n"/>
      <c r="D282" s="280" t="n"/>
      <c r="E282" s="280" t="n"/>
      <c r="F282" s="280" t="n"/>
      <c r="G282" s="280" t="n"/>
      <c r="H282" s="280" t="n"/>
      <c r="I282" s="332">
        <f>IFERROR(VLOOKUP(TEXT(H282,"0"),IPRESS!$A$3:$B$212,2,0),"")</f>
        <v/>
      </c>
      <c r="J282" s="280" t="n"/>
      <c r="K282" s="332">
        <f>IFERROR(VLOOKUP(TEXT(O282,"0"),CONDUCTORES!$A$3:$G$54,7,0),"")</f>
        <v/>
      </c>
      <c r="L282" s="280" t="n"/>
      <c r="M282" s="280" t="n"/>
      <c r="N282" s="333">
        <f>IFERROR(IF(L282*M282=0,"",L282*M282),"")</f>
        <v/>
      </c>
      <c r="O282" s="280" t="n"/>
      <c r="P282" s="332">
        <f>IFERROR(VLOOKUP(TEXT(O282,"0"),CONDUCTORES!$A$3:$G$54,2,0),"")</f>
        <v/>
      </c>
      <c r="Q282" s="332">
        <f>IFERROR(VLOOKUP(TEXT(O282,"0"),CONDUCTORES!$A$3:$H$54,6,0),"")</f>
        <v/>
      </c>
      <c r="R282" s="280" t="n"/>
      <c r="S282" s="280" t="n"/>
      <c r="T282" s="280" t="n"/>
      <c r="U282" s="280" t="n"/>
      <c r="V282" s="280" t="n"/>
      <c r="W282" s="280" t="n"/>
      <c r="X282" s="280" t="n"/>
      <c r="Y282" s="280" t="n"/>
      <c r="Z282" s="375">
        <f>IF(AND(G282&lt;&gt;"",R282&lt;&gt;"",V282&lt;&gt;"",W282&lt;&gt;""),"COMPLETADO","OBSERVADO")</f>
        <v/>
      </c>
    </row>
    <row r="283" ht="15" customHeight="1" s="195">
      <c r="A283" s="334" t="n"/>
      <c r="B283" s="334" t="n"/>
      <c r="C283" s="334" t="n"/>
      <c r="D283" s="334" t="n"/>
      <c r="E283" s="334" t="n"/>
      <c r="F283" s="334" t="n"/>
      <c r="G283" s="334" t="n"/>
      <c r="H283" s="334" t="n"/>
      <c r="I283" s="332">
        <f>IFERROR(VLOOKUP(TEXT(H283,"0"),IPRESS!$A$3:$B$212,2,0),"")</f>
        <v/>
      </c>
      <c r="J283" s="334" t="n"/>
      <c r="K283" s="332">
        <f>IFERROR(VLOOKUP(TEXT(O283,"0"),CONDUCTORES!$A$3:$G$54,7,0),"")</f>
        <v/>
      </c>
      <c r="L283" s="334" t="n"/>
      <c r="M283" s="334" t="n"/>
      <c r="N283" s="333">
        <f>IFERROR(IF(L283*M283=0,"",L283*M283),"")</f>
        <v/>
      </c>
      <c r="O283" s="334" t="n"/>
      <c r="P283" s="332">
        <f>IFERROR(VLOOKUP(TEXT(O283,"0"),CONDUCTORES!$A$3:$G$54,2,0),"")</f>
        <v/>
      </c>
      <c r="Q283" s="332">
        <f>IFERROR(VLOOKUP(TEXT(O283,"0"),CONDUCTORES!$A$3:$H$54,6,0),"")</f>
        <v/>
      </c>
      <c r="R283" s="334" t="n"/>
      <c r="S283" s="334" t="n"/>
      <c r="T283" s="334" t="n"/>
      <c r="U283" s="334" t="n"/>
      <c r="V283" s="334" t="n"/>
      <c r="W283" s="334" t="n"/>
      <c r="X283" s="334" t="n"/>
      <c r="Y283" s="334" t="n"/>
      <c r="Z283" s="375">
        <f>IF(AND(G283&lt;&gt;"",R283&lt;&gt;"",V283&lt;&gt;"",W283&lt;&gt;""),"COMPLETADO","OBSERVADO")</f>
        <v/>
      </c>
    </row>
    <row r="284" ht="15" customHeight="1" s="195">
      <c r="A284" s="280" t="n"/>
      <c r="B284" s="280" t="n"/>
      <c r="C284" s="280" t="n"/>
      <c r="D284" s="280" t="n"/>
      <c r="E284" s="280" t="n"/>
      <c r="F284" s="280" t="n"/>
      <c r="G284" s="280" t="n"/>
      <c r="H284" s="280" t="n"/>
      <c r="I284" s="332">
        <f>IFERROR(VLOOKUP(TEXT(H284,"0"),IPRESS!$A$3:$B$212,2,0),"")</f>
        <v/>
      </c>
      <c r="J284" s="280" t="n"/>
      <c r="K284" s="332">
        <f>IFERROR(VLOOKUP(TEXT(O284,"0"),CONDUCTORES!$A$3:$G$54,7,0),"")</f>
        <v/>
      </c>
      <c r="L284" s="280" t="n"/>
      <c r="M284" s="280" t="n"/>
      <c r="N284" s="333">
        <f>IFERROR(IF(L284*M284=0,"",L284*M284),"")</f>
        <v/>
      </c>
      <c r="O284" s="280" t="n"/>
      <c r="P284" s="332">
        <f>IFERROR(VLOOKUP(TEXT(O284,"0"),CONDUCTORES!$A$3:$G$54,2,0),"")</f>
        <v/>
      </c>
      <c r="Q284" s="332">
        <f>IFERROR(VLOOKUP(TEXT(O284,"0"),CONDUCTORES!$A$3:$H$54,6,0),"")</f>
        <v/>
      </c>
      <c r="R284" s="280" t="n"/>
      <c r="S284" s="280" t="n"/>
      <c r="T284" s="280" t="n"/>
      <c r="U284" s="280" t="n"/>
      <c r="V284" s="280" t="n"/>
      <c r="W284" s="280" t="n"/>
      <c r="X284" s="280" t="n"/>
      <c r="Y284" s="280" t="n"/>
      <c r="Z284" s="375">
        <f>IF(AND(G284&lt;&gt;"",R284&lt;&gt;"",V284&lt;&gt;"",W284&lt;&gt;""),"COMPLETADO","OBSERVADO")</f>
        <v/>
      </c>
    </row>
    <row r="285" ht="15" customHeight="1" s="195">
      <c r="A285" s="334" t="n"/>
      <c r="B285" s="334" t="n"/>
      <c r="C285" s="334" t="n"/>
      <c r="D285" s="334" t="n"/>
      <c r="E285" s="334" t="n"/>
      <c r="F285" s="334" t="n"/>
      <c r="G285" s="334" t="n"/>
      <c r="H285" s="334" t="n"/>
      <c r="I285" s="332">
        <f>IFERROR(VLOOKUP(TEXT(H285,"0"),IPRESS!$A$3:$B$212,2,0),"")</f>
        <v/>
      </c>
      <c r="J285" s="334" t="n"/>
      <c r="K285" s="332">
        <f>IFERROR(VLOOKUP(TEXT(O285,"0"),CONDUCTORES!$A$3:$G$54,7,0),"")</f>
        <v/>
      </c>
      <c r="L285" s="334" t="n"/>
      <c r="M285" s="334" t="n"/>
      <c r="N285" s="333">
        <f>IFERROR(IF(L285*M285=0,"",L285*M285),"")</f>
        <v/>
      </c>
      <c r="O285" s="334" t="n"/>
      <c r="P285" s="332">
        <f>IFERROR(VLOOKUP(TEXT(O285,"0"),CONDUCTORES!$A$3:$G$54,2,0),"")</f>
        <v/>
      </c>
      <c r="Q285" s="332">
        <f>IFERROR(VLOOKUP(TEXT(O285,"0"),CONDUCTORES!$A$3:$H$54,6,0),"")</f>
        <v/>
      </c>
      <c r="R285" s="334" t="n"/>
      <c r="S285" s="334" t="n"/>
      <c r="T285" s="334" t="n"/>
      <c r="U285" s="334" t="n"/>
      <c r="V285" s="334" t="n"/>
      <c r="W285" s="334" t="n"/>
      <c r="X285" s="334" t="n"/>
      <c r="Y285" s="334" t="n"/>
      <c r="Z285" s="375">
        <f>IF(AND(G285&lt;&gt;"",R285&lt;&gt;"",V285&lt;&gt;"",W285&lt;&gt;""),"COMPLETADO","OBSERVADO")</f>
        <v/>
      </c>
    </row>
    <row r="286" ht="15" customHeight="1" s="195">
      <c r="A286" s="280" t="n"/>
      <c r="B286" s="280" t="n"/>
      <c r="C286" s="280" t="n"/>
      <c r="D286" s="280" t="n"/>
      <c r="E286" s="280" t="n"/>
      <c r="F286" s="280" t="n"/>
      <c r="G286" s="280" t="n"/>
      <c r="H286" s="280" t="n"/>
      <c r="I286" s="332">
        <f>IFERROR(VLOOKUP(TEXT(H286,"0"),IPRESS!$A$3:$B$212,2,0),"")</f>
        <v/>
      </c>
      <c r="J286" s="280" t="n"/>
      <c r="K286" s="332">
        <f>IFERROR(VLOOKUP(TEXT(O286,"0"),CONDUCTORES!$A$3:$G$54,7,0),"")</f>
        <v/>
      </c>
      <c r="L286" s="280" t="n"/>
      <c r="M286" s="280" t="n"/>
      <c r="N286" s="333">
        <f>IFERROR(IF(L286*M286=0,"",L286*M286),"")</f>
        <v/>
      </c>
      <c r="O286" s="280" t="n"/>
      <c r="P286" s="332">
        <f>IFERROR(VLOOKUP(TEXT(O286,"0"),CONDUCTORES!$A$3:$G$54,2,0),"")</f>
        <v/>
      </c>
      <c r="Q286" s="332">
        <f>IFERROR(VLOOKUP(TEXT(O286,"0"),CONDUCTORES!$A$3:$H$54,6,0),"")</f>
        <v/>
      </c>
      <c r="R286" s="280" t="n"/>
      <c r="S286" s="280" t="n"/>
      <c r="T286" s="280" t="n"/>
      <c r="U286" s="280" t="n"/>
      <c r="V286" s="280" t="n"/>
      <c r="W286" s="280" t="n"/>
      <c r="X286" s="280" t="n"/>
      <c r="Y286" s="280" t="n"/>
      <c r="Z286" s="375">
        <f>IF(AND(G286&lt;&gt;"",R286&lt;&gt;"",V286&lt;&gt;"",W286&lt;&gt;""),"COMPLETADO","OBSERVADO")</f>
        <v/>
      </c>
    </row>
    <row r="287" ht="15" customHeight="1" s="195">
      <c r="A287" s="334" t="n"/>
      <c r="B287" s="334" t="n"/>
      <c r="C287" s="334" t="n"/>
      <c r="D287" s="334" t="n"/>
      <c r="E287" s="334" t="n"/>
      <c r="F287" s="334" t="n"/>
      <c r="G287" s="334" t="n"/>
      <c r="H287" s="334" t="n"/>
      <c r="I287" s="332">
        <f>IFERROR(VLOOKUP(TEXT(H287,"0"),IPRESS!$A$3:$B$212,2,0),"")</f>
        <v/>
      </c>
      <c r="J287" s="334" t="n"/>
      <c r="K287" s="332">
        <f>IFERROR(VLOOKUP(TEXT(O287,"0"),CONDUCTORES!$A$3:$G$54,7,0),"")</f>
        <v/>
      </c>
      <c r="L287" s="334" t="n"/>
      <c r="M287" s="334" t="n"/>
      <c r="N287" s="333">
        <f>IFERROR(IF(L287*M287=0,"",L287*M287),"")</f>
        <v/>
      </c>
      <c r="O287" s="334" t="n"/>
      <c r="P287" s="332">
        <f>IFERROR(VLOOKUP(TEXT(O287,"0"),CONDUCTORES!$A$3:$G$54,2,0),"")</f>
        <v/>
      </c>
      <c r="Q287" s="332">
        <f>IFERROR(VLOOKUP(TEXT(O287,"0"),CONDUCTORES!$A$3:$H$54,6,0),"")</f>
        <v/>
      </c>
      <c r="R287" s="334" t="n"/>
      <c r="S287" s="334" t="n"/>
      <c r="T287" s="334" t="n"/>
      <c r="U287" s="334" t="n"/>
      <c r="V287" s="334" t="n"/>
      <c r="W287" s="334" t="n"/>
      <c r="X287" s="334" t="n"/>
      <c r="Y287" s="334" t="n"/>
      <c r="Z287" s="375">
        <f>IF(AND(G287&lt;&gt;"",R287&lt;&gt;"",V287&lt;&gt;"",W287&lt;&gt;""),"COMPLETADO","OBSERVADO")</f>
        <v/>
      </c>
    </row>
    <row r="288" ht="15" customHeight="1" s="195">
      <c r="A288" s="280" t="n"/>
      <c r="B288" s="280" t="n"/>
      <c r="C288" s="280" t="n"/>
      <c r="D288" s="280" t="n"/>
      <c r="E288" s="280" t="n"/>
      <c r="F288" s="280" t="n"/>
      <c r="G288" s="280" t="n"/>
      <c r="H288" s="280" t="n"/>
      <c r="I288" s="332">
        <f>IFERROR(VLOOKUP(TEXT(H288,"0"),IPRESS!$A$3:$B$212,2,0),"")</f>
        <v/>
      </c>
      <c r="J288" s="280" t="n"/>
      <c r="K288" s="332">
        <f>IFERROR(VLOOKUP(TEXT(O288,"0"),CONDUCTORES!$A$3:$G$54,7,0),"")</f>
        <v/>
      </c>
      <c r="L288" s="280" t="n"/>
      <c r="M288" s="280" t="n"/>
      <c r="N288" s="333">
        <f>IFERROR(IF(L288*M288=0,"",L288*M288),"")</f>
        <v/>
      </c>
      <c r="O288" s="280" t="n"/>
      <c r="P288" s="332">
        <f>IFERROR(VLOOKUP(TEXT(O288,"0"),CONDUCTORES!$A$3:$G$54,2,0),"")</f>
        <v/>
      </c>
      <c r="Q288" s="332">
        <f>IFERROR(VLOOKUP(TEXT(O288,"0"),CONDUCTORES!$A$3:$H$54,6,0),"")</f>
        <v/>
      </c>
      <c r="R288" s="280" t="n"/>
      <c r="S288" s="280" t="n"/>
      <c r="T288" s="280" t="n"/>
      <c r="U288" s="280" t="n"/>
      <c r="V288" s="280" t="n"/>
      <c r="W288" s="280" t="n"/>
      <c r="X288" s="280" t="n"/>
      <c r="Y288" s="280" t="n"/>
      <c r="Z288" s="375">
        <f>IF(AND(G288&lt;&gt;"",R288&lt;&gt;"",V288&lt;&gt;"",W288&lt;&gt;""),"COMPLETADO","OBSERVADO")</f>
        <v/>
      </c>
    </row>
    <row r="289" ht="15" customHeight="1" s="195">
      <c r="A289" s="334" t="n"/>
      <c r="B289" s="334" t="n"/>
      <c r="C289" s="334" t="n"/>
      <c r="D289" s="334" t="n"/>
      <c r="E289" s="334" t="n"/>
      <c r="F289" s="334" t="n"/>
      <c r="G289" s="334" t="n"/>
      <c r="H289" s="334" t="n"/>
      <c r="I289" s="332">
        <f>IFERROR(VLOOKUP(TEXT(H289,"0"),IPRESS!$A$3:$B$212,2,0),"")</f>
        <v/>
      </c>
      <c r="J289" s="334" t="n"/>
      <c r="K289" s="332">
        <f>IFERROR(VLOOKUP(TEXT(O289,"0"),CONDUCTORES!$A$3:$G$54,7,0),"")</f>
        <v/>
      </c>
      <c r="L289" s="334" t="n"/>
      <c r="M289" s="334" t="n"/>
      <c r="N289" s="333">
        <f>IFERROR(IF(L289*M289=0,"",L289*M289),"")</f>
        <v/>
      </c>
      <c r="O289" s="334" t="n"/>
      <c r="P289" s="332">
        <f>IFERROR(VLOOKUP(TEXT(O289,"0"),CONDUCTORES!$A$3:$G$54,2,0),"")</f>
        <v/>
      </c>
      <c r="Q289" s="332">
        <f>IFERROR(VLOOKUP(TEXT(O289,"0"),CONDUCTORES!$A$3:$H$54,6,0),"")</f>
        <v/>
      </c>
      <c r="R289" s="334" t="n"/>
      <c r="S289" s="334" t="n"/>
      <c r="T289" s="334" t="n"/>
      <c r="U289" s="334" t="n"/>
      <c r="V289" s="334" t="n"/>
      <c r="W289" s="334" t="n"/>
      <c r="X289" s="334" t="n"/>
      <c r="Y289" s="334" t="n"/>
      <c r="Z289" s="375">
        <f>IF(AND(G289&lt;&gt;"",R289&lt;&gt;"",V289&lt;&gt;"",W289&lt;&gt;""),"COMPLETADO","OBSERVADO")</f>
        <v/>
      </c>
    </row>
    <row r="290" ht="15" customHeight="1" s="195">
      <c r="A290" s="280" t="n"/>
      <c r="B290" s="280" t="n"/>
      <c r="C290" s="280" t="n"/>
      <c r="D290" s="280" t="n"/>
      <c r="E290" s="280" t="n"/>
      <c r="F290" s="280" t="n"/>
      <c r="G290" s="280" t="n"/>
      <c r="H290" s="280" t="n"/>
      <c r="I290" s="332">
        <f>IFERROR(VLOOKUP(TEXT(H290,"0"),IPRESS!$A$3:$B$212,2,0),"")</f>
        <v/>
      </c>
      <c r="J290" s="280" t="n"/>
      <c r="K290" s="332">
        <f>IFERROR(VLOOKUP(TEXT(O290,"0"),CONDUCTORES!$A$3:$G$54,7,0),"")</f>
        <v/>
      </c>
      <c r="L290" s="280" t="n"/>
      <c r="M290" s="280" t="n"/>
      <c r="N290" s="333">
        <f>IFERROR(IF(L290*M290=0,"",L290*M290),"")</f>
        <v/>
      </c>
      <c r="O290" s="280" t="n"/>
      <c r="P290" s="332">
        <f>IFERROR(VLOOKUP(TEXT(O290,"0"),CONDUCTORES!$A$3:$G$54,2,0),"")</f>
        <v/>
      </c>
      <c r="Q290" s="332">
        <f>IFERROR(VLOOKUP(TEXT(O290,"0"),CONDUCTORES!$A$3:$H$54,6,0),"")</f>
        <v/>
      </c>
      <c r="R290" s="280" t="n"/>
      <c r="S290" s="280" t="n"/>
      <c r="T290" s="280" t="n"/>
      <c r="U290" s="280" t="n"/>
      <c r="V290" s="280" t="n"/>
      <c r="W290" s="280" t="n"/>
      <c r="X290" s="280" t="n"/>
      <c r="Y290" s="280" t="n"/>
      <c r="Z290" s="375">
        <f>IF(AND(G290&lt;&gt;"",R290&lt;&gt;"",V290&lt;&gt;"",W290&lt;&gt;""),"COMPLETADO","OBSERVADO")</f>
        <v/>
      </c>
    </row>
    <row r="291" ht="15" customHeight="1" s="195">
      <c r="A291" s="334" t="n"/>
      <c r="B291" s="334" t="n"/>
      <c r="C291" s="334" t="n"/>
      <c r="D291" s="334" t="n"/>
      <c r="E291" s="334" t="n"/>
      <c r="F291" s="334" t="n"/>
      <c r="G291" s="334" t="n"/>
      <c r="H291" s="334" t="n"/>
      <c r="I291" s="332">
        <f>IFERROR(VLOOKUP(TEXT(H291,"0"),IPRESS!$A$3:$B$212,2,0),"")</f>
        <v/>
      </c>
      <c r="J291" s="334" t="n"/>
      <c r="K291" s="332">
        <f>IFERROR(VLOOKUP(TEXT(O291,"0"),CONDUCTORES!$A$3:$G$54,7,0),"")</f>
        <v/>
      </c>
      <c r="L291" s="334" t="n"/>
      <c r="M291" s="334" t="n"/>
      <c r="N291" s="333">
        <f>IFERROR(IF(L291*M291=0,"",L291*M291),"")</f>
        <v/>
      </c>
      <c r="O291" s="334" t="n"/>
      <c r="P291" s="332">
        <f>IFERROR(VLOOKUP(TEXT(O291,"0"),CONDUCTORES!$A$3:$G$54,2,0),"")</f>
        <v/>
      </c>
      <c r="Q291" s="332">
        <f>IFERROR(VLOOKUP(TEXT(O291,"0"),CONDUCTORES!$A$3:$H$54,6,0),"")</f>
        <v/>
      </c>
      <c r="R291" s="334" t="n"/>
      <c r="S291" s="334" t="n"/>
      <c r="T291" s="334" t="n"/>
      <c r="U291" s="334" t="n"/>
      <c r="V291" s="334" t="n"/>
      <c r="W291" s="334" t="n"/>
      <c r="X291" s="334" t="n"/>
      <c r="Y291" s="334" t="n"/>
      <c r="Z291" s="375">
        <f>IF(AND(G291&lt;&gt;"",R291&lt;&gt;"",V291&lt;&gt;"",W291&lt;&gt;""),"COMPLETADO","OBSERVADO")</f>
        <v/>
      </c>
    </row>
    <row r="292" ht="15" customHeight="1" s="195">
      <c r="A292" s="280" t="n"/>
      <c r="B292" s="280" t="n"/>
      <c r="C292" s="280" t="n"/>
      <c r="D292" s="280" t="n"/>
      <c r="E292" s="280" t="n"/>
      <c r="F292" s="280" t="n"/>
      <c r="G292" s="280" t="n"/>
      <c r="H292" s="280" t="n"/>
      <c r="I292" s="332">
        <f>IFERROR(VLOOKUP(TEXT(H292,"0"),IPRESS!$A$3:$B$212,2,0),"")</f>
        <v/>
      </c>
      <c r="J292" s="280" t="n"/>
      <c r="K292" s="332">
        <f>IFERROR(VLOOKUP(TEXT(O292,"0"),CONDUCTORES!$A$3:$G$54,7,0),"")</f>
        <v/>
      </c>
      <c r="L292" s="280" t="n"/>
      <c r="M292" s="280" t="n"/>
      <c r="N292" s="333">
        <f>IFERROR(IF(L292*M292=0,"",L292*M292),"")</f>
        <v/>
      </c>
      <c r="O292" s="280" t="n"/>
      <c r="P292" s="332">
        <f>IFERROR(VLOOKUP(TEXT(O292,"0"),CONDUCTORES!$A$3:$G$54,2,0),"")</f>
        <v/>
      </c>
      <c r="Q292" s="332">
        <f>IFERROR(VLOOKUP(TEXT(O292,"0"),CONDUCTORES!$A$3:$H$54,6,0),"")</f>
        <v/>
      </c>
      <c r="R292" s="280" t="n"/>
      <c r="S292" s="280" t="n"/>
      <c r="T292" s="280" t="n"/>
      <c r="U292" s="280" t="n"/>
      <c r="V292" s="280" t="n"/>
      <c r="W292" s="280" t="n"/>
      <c r="X292" s="280" t="n"/>
      <c r="Y292" s="280" t="n"/>
      <c r="Z292" s="375">
        <f>IF(AND(G292&lt;&gt;"",R292&lt;&gt;"",V292&lt;&gt;"",W292&lt;&gt;""),"COMPLETADO","OBSERVADO")</f>
        <v/>
      </c>
    </row>
    <row r="293" ht="15" customHeight="1" s="195">
      <c r="A293" s="334" t="n"/>
      <c r="B293" s="334" t="n"/>
      <c r="C293" s="334" t="n"/>
      <c r="D293" s="334" t="n"/>
      <c r="E293" s="334" t="n"/>
      <c r="F293" s="334" t="n"/>
      <c r="G293" s="334" t="n"/>
      <c r="H293" s="334" t="n"/>
      <c r="I293" s="332">
        <f>IFERROR(VLOOKUP(TEXT(H293,"0"),IPRESS!$A$3:$B$212,2,0),"")</f>
        <v/>
      </c>
      <c r="J293" s="334" t="n"/>
      <c r="K293" s="332">
        <f>IFERROR(VLOOKUP(TEXT(O293,"0"),CONDUCTORES!$A$3:$G$54,7,0),"")</f>
        <v/>
      </c>
      <c r="L293" s="334" t="n"/>
      <c r="M293" s="334" t="n"/>
      <c r="N293" s="333">
        <f>IFERROR(IF(L293*M293=0,"",L293*M293),"")</f>
        <v/>
      </c>
      <c r="O293" s="334" t="n"/>
      <c r="P293" s="332">
        <f>IFERROR(VLOOKUP(TEXT(O293,"0"),CONDUCTORES!$A$3:$G$54,2,0),"")</f>
        <v/>
      </c>
      <c r="Q293" s="332">
        <f>IFERROR(VLOOKUP(TEXT(O293,"0"),CONDUCTORES!$A$3:$H$54,6,0),"")</f>
        <v/>
      </c>
      <c r="R293" s="334" t="n"/>
      <c r="S293" s="334" t="n"/>
      <c r="T293" s="334" t="n"/>
      <c r="U293" s="334" t="n"/>
      <c r="V293" s="334" t="n"/>
      <c r="W293" s="334" t="n"/>
      <c r="X293" s="334" t="n"/>
      <c r="Y293" s="334" t="n"/>
      <c r="Z293" s="375">
        <f>IF(AND(G293&lt;&gt;"",R293&lt;&gt;"",V293&lt;&gt;"",W293&lt;&gt;""),"COMPLETADO","OBSERVADO")</f>
        <v/>
      </c>
    </row>
    <row r="294" ht="15" customHeight="1" s="195">
      <c r="A294" s="280" t="n"/>
      <c r="B294" s="280" t="n"/>
      <c r="C294" s="280" t="n"/>
      <c r="D294" s="280" t="n"/>
      <c r="E294" s="280" t="n"/>
      <c r="F294" s="280" t="n"/>
      <c r="G294" s="280" t="n"/>
      <c r="H294" s="280" t="n"/>
      <c r="I294" s="332">
        <f>IFERROR(VLOOKUP(TEXT(H294,"0"),IPRESS!$A$3:$B$212,2,0),"")</f>
        <v/>
      </c>
      <c r="J294" s="280" t="n"/>
      <c r="K294" s="332">
        <f>IFERROR(VLOOKUP(TEXT(O294,"0"),CONDUCTORES!$A$3:$G$54,7,0),"")</f>
        <v/>
      </c>
      <c r="L294" s="280" t="n"/>
      <c r="M294" s="280" t="n"/>
      <c r="N294" s="333">
        <f>IFERROR(IF(L294*M294=0,"",L294*M294),"")</f>
        <v/>
      </c>
      <c r="O294" s="280" t="n"/>
      <c r="P294" s="332">
        <f>IFERROR(VLOOKUP(TEXT(O294,"0"),CONDUCTORES!$A$3:$G$54,2,0),"")</f>
        <v/>
      </c>
      <c r="Q294" s="332">
        <f>IFERROR(VLOOKUP(TEXT(O294,"0"),CONDUCTORES!$A$3:$H$54,6,0),"")</f>
        <v/>
      </c>
      <c r="R294" s="280" t="n"/>
      <c r="S294" s="280" t="n"/>
      <c r="T294" s="280" t="n"/>
      <c r="U294" s="280" t="n"/>
      <c r="V294" s="280" t="n"/>
      <c r="W294" s="280" t="n"/>
      <c r="X294" s="280" t="n"/>
      <c r="Y294" s="280" t="n"/>
      <c r="Z294" s="375">
        <f>IF(AND(G294&lt;&gt;"",R294&lt;&gt;"",V294&lt;&gt;"",W294&lt;&gt;""),"COMPLETADO","OBSERVADO")</f>
        <v/>
      </c>
    </row>
    <row r="295" ht="15" customHeight="1" s="195">
      <c r="A295" s="334" t="n"/>
      <c r="B295" s="334" t="n"/>
      <c r="C295" s="334" t="n"/>
      <c r="D295" s="334" t="n"/>
      <c r="E295" s="334" t="n"/>
      <c r="F295" s="334" t="n"/>
      <c r="G295" s="334" t="n"/>
      <c r="H295" s="334" t="n"/>
      <c r="I295" s="332">
        <f>IFERROR(VLOOKUP(TEXT(H295,"0"),IPRESS!$A$3:$B$212,2,0),"")</f>
        <v/>
      </c>
      <c r="J295" s="334" t="n"/>
      <c r="K295" s="332">
        <f>IFERROR(VLOOKUP(TEXT(O295,"0"),CONDUCTORES!$A$3:$G$54,7,0),"")</f>
        <v/>
      </c>
      <c r="L295" s="334" t="n"/>
      <c r="M295" s="334" t="n"/>
      <c r="N295" s="333">
        <f>IFERROR(IF(L295*M295=0,"",L295*M295),"")</f>
        <v/>
      </c>
      <c r="O295" s="334" t="n"/>
      <c r="P295" s="332">
        <f>IFERROR(VLOOKUP(TEXT(O295,"0"),CONDUCTORES!$A$3:$G$54,2,0),"")</f>
        <v/>
      </c>
      <c r="Q295" s="332">
        <f>IFERROR(VLOOKUP(TEXT(O295,"0"),CONDUCTORES!$A$3:$H$54,6,0),"")</f>
        <v/>
      </c>
      <c r="R295" s="334" t="n"/>
      <c r="S295" s="334" t="n"/>
      <c r="T295" s="334" t="n"/>
      <c r="U295" s="334" t="n"/>
      <c r="V295" s="334" t="n"/>
      <c r="W295" s="334" t="n"/>
      <c r="X295" s="334" t="n"/>
      <c r="Y295" s="334" t="n"/>
      <c r="Z295" s="375">
        <f>IF(AND(G295&lt;&gt;"",R295&lt;&gt;"",V295&lt;&gt;"",W295&lt;&gt;""),"COMPLETADO","OBSERVADO")</f>
        <v/>
      </c>
    </row>
    <row r="296" ht="15" customHeight="1" s="195">
      <c r="A296" s="280" t="n"/>
      <c r="B296" s="280" t="n"/>
      <c r="C296" s="280" t="n"/>
      <c r="D296" s="280" t="n"/>
      <c r="E296" s="280" t="n"/>
      <c r="F296" s="280" t="n"/>
      <c r="G296" s="280" t="n"/>
      <c r="H296" s="280" t="n"/>
      <c r="I296" s="332">
        <f>IFERROR(VLOOKUP(TEXT(H296,"0"),IPRESS!$A$3:$B$212,2,0),"")</f>
        <v/>
      </c>
      <c r="J296" s="280" t="n"/>
      <c r="K296" s="332">
        <f>IFERROR(VLOOKUP(TEXT(O296,"0"),CONDUCTORES!$A$3:$G$54,7,0),"")</f>
        <v/>
      </c>
      <c r="L296" s="280" t="n"/>
      <c r="M296" s="280" t="n"/>
      <c r="N296" s="333">
        <f>IFERROR(IF(L296*M296=0,"",L296*M296),"")</f>
        <v/>
      </c>
      <c r="O296" s="280" t="n"/>
      <c r="P296" s="332">
        <f>IFERROR(VLOOKUP(TEXT(O296,"0"),CONDUCTORES!$A$3:$G$54,2,0),"")</f>
        <v/>
      </c>
      <c r="Q296" s="332">
        <f>IFERROR(VLOOKUP(TEXT(O296,"0"),CONDUCTORES!$A$3:$H$54,6,0),"")</f>
        <v/>
      </c>
      <c r="R296" s="280" t="n"/>
      <c r="S296" s="280" t="n"/>
      <c r="T296" s="280" t="n"/>
      <c r="U296" s="280" t="n"/>
      <c r="V296" s="280" t="n"/>
      <c r="W296" s="280" t="n"/>
      <c r="X296" s="280" t="n"/>
      <c r="Y296" s="280" t="n"/>
      <c r="Z296" s="375">
        <f>IF(AND(G296&lt;&gt;"",R296&lt;&gt;"",V296&lt;&gt;"",W296&lt;&gt;""),"COMPLETADO","OBSERVADO")</f>
        <v/>
      </c>
    </row>
    <row r="297" ht="15" customHeight="1" s="195">
      <c r="A297" s="334" t="n"/>
      <c r="B297" s="334" t="n"/>
      <c r="C297" s="334" t="n"/>
      <c r="D297" s="334" t="n"/>
      <c r="E297" s="334" t="n"/>
      <c r="F297" s="334" t="n"/>
      <c r="G297" s="334" t="n"/>
      <c r="H297" s="334" t="n"/>
      <c r="I297" s="332">
        <f>IFERROR(VLOOKUP(TEXT(H297,"0"),IPRESS!$A$3:$B$212,2,0),"")</f>
        <v/>
      </c>
      <c r="J297" s="334" t="n"/>
      <c r="K297" s="332">
        <f>IFERROR(VLOOKUP(TEXT(O297,"0"),CONDUCTORES!$A$3:$G$54,7,0),"")</f>
        <v/>
      </c>
      <c r="L297" s="334" t="n"/>
      <c r="M297" s="334" t="n"/>
      <c r="N297" s="333">
        <f>IFERROR(IF(L297*M297=0,"",L297*M297),"")</f>
        <v/>
      </c>
      <c r="O297" s="334" t="n"/>
      <c r="P297" s="332">
        <f>IFERROR(VLOOKUP(TEXT(O297,"0"),CONDUCTORES!$A$3:$G$54,2,0),"")</f>
        <v/>
      </c>
      <c r="Q297" s="332">
        <f>IFERROR(VLOOKUP(TEXT(O297,"0"),CONDUCTORES!$A$3:$H$54,6,0),"")</f>
        <v/>
      </c>
      <c r="R297" s="334" t="n"/>
      <c r="S297" s="334" t="n"/>
      <c r="T297" s="334" t="n"/>
      <c r="U297" s="334" t="n"/>
      <c r="V297" s="334" t="n"/>
      <c r="W297" s="334" t="n"/>
      <c r="X297" s="334" t="n"/>
      <c r="Y297" s="334" t="n"/>
      <c r="Z297" s="375">
        <f>IF(AND(G297&lt;&gt;"",R297&lt;&gt;"",V297&lt;&gt;"",W297&lt;&gt;""),"COMPLETADO","OBSERVADO")</f>
        <v/>
      </c>
    </row>
    <row r="298" ht="15" customHeight="1" s="195">
      <c r="A298" s="280" t="n"/>
      <c r="B298" s="280" t="n"/>
      <c r="C298" s="280" t="n"/>
      <c r="D298" s="280" t="n"/>
      <c r="E298" s="280" t="n"/>
      <c r="F298" s="280" t="n"/>
      <c r="G298" s="280" t="n"/>
      <c r="H298" s="280" t="n"/>
      <c r="I298" s="332">
        <f>IFERROR(VLOOKUP(TEXT(H298,"0"),IPRESS!$A$3:$B$212,2,0),"")</f>
        <v/>
      </c>
      <c r="J298" s="280" t="n"/>
      <c r="K298" s="332">
        <f>IFERROR(VLOOKUP(TEXT(O298,"0"),CONDUCTORES!$A$3:$G$54,7,0),"")</f>
        <v/>
      </c>
      <c r="L298" s="280" t="n"/>
      <c r="M298" s="280" t="n"/>
      <c r="N298" s="333">
        <f>IFERROR(IF(L298*M298=0,"",L298*M298),"")</f>
        <v/>
      </c>
      <c r="O298" s="280" t="n"/>
      <c r="P298" s="332">
        <f>IFERROR(VLOOKUP(TEXT(O298,"0"),CONDUCTORES!$A$3:$G$54,2,0),"")</f>
        <v/>
      </c>
      <c r="Q298" s="332">
        <f>IFERROR(VLOOKUP(TEXT(O298,"0"),CONDUCTORES!$A$3:$H$54,6,0),"")</f>
        <v/>
      </c>
      <c r="R298" s="280" t="n"/>
      <c r="S298" s="280" t="n"/>
      <c r="T298" s="280" t="n"/>
      <c r="U298" s="280" t="n"/>
      <c r="V298" s="280" t="n"/>
      <c r="W298" s="280" t="n"/>
      <c r="X298" s="280" t="n"/>
      <c r="Y298" s="280" t="n"/>
      <c r="Z298" s="375">
        <f>IF(AND(G298&lt;&gt;"",R298&lt;&gt;"",V298&lt;&gt;"",W298&lt;&gt;""),"COMPLETADO","OBSERVADO")</f>
        <v/>
      </c>
    </row>
    <row r="299" ht="15" customHeight="1" s="195">
      <c r="A299" s="334" t="n"/>
      <c r="B299" s="334" t="n"/>
      <c r="C299" s="334" t="n"/>
      <c r="D299" s="334" t="n"/>
      <c r="E299" s="334" t="n"/>
      <c r="F299" s="334" t="n"/>
      <c r="G299" s="334" t="n"/>
      <c r="H299" s="334" t="n"/>
      <c r="I299" s="332">
        <f>IFERROR(VLOOKUP(TEXT(H299,"0"),IPRESS!$A$3:$B$212,2,0),"")</f>
        <v/>
      </c>
      <c r="J299" s="334" t="n"/>
      <c r="K299" s="332">
        <f>IFERROR(VLOOKUP(TEXT(O299,"0"),CONDUCTORES!$A$3:$G$54,7,0),"")</f>
        <v/>
      </c>
      <c r="L299" s="334" t="n"/>
      <c r="M299" s="334" t="n"/>
      <c r="N299" s="333">
        <f>IFERROR(IF(L299*M299=0,"",L299*M299),"")</f>
        <v/>
      </c>
      <c r="O299" s="334" t="n"/>
      <c r="P299" s="332">
        <f>IFERROR(VLOOKUP(TEXT(O299,"0"),CONDUCTORES!$A$3:$G$54,2,0),"")</f>
        <v/>
      </c>
      <c r="Q299" s="332">
        <f>IFERROR(VLOOKUP(TEXT(O299,"0"),CONDUCTORES!$A$3:$H$54,6,0),"")</f>
        <v/>
      </c>
      <c r="R299" s="334" t="n"/>
      <c r="S299" s="334" t="n"/>
      <c r="T299" s="334" t="n"/>
      <c r="U299" s="334" t="n"/>
      <c r="V299" s="334" t="n"/>
      <c r="W299" s="334" t="n"/>
      <c r="X299" s="334" t="n"/>
      <c r="Y299" s="334" t="n"/>
      <c r="Z299" s="375">
        <f>IF(AND(G299&lt;&gt;"",R299&lt;&gt;"",V299&lt;&gt;"",W299&lt;&gt;""),"COMPLETADO","OBSERVADO")</f>
        <v/>
      </c>
    </row>
    <row r="300" ht="15" customHeight="1" s="195">
      <c r="A300" s="280" t="n"/>
      <c r="B300" s="280" t="n"/>
      <c r="C300" s="280" t="n"/>
      <c r="D300" s="280" t="n"/>
      <c r="E300" s="280" t="n"/>
      <c r="F300" s="280" t="n"/>
      <c r="G300" s="280" t="n"/>
      <c r="H300" s="280" t="n"/>
      <c r="I300" s="332">
        <f>IFERROR(VLOOKUP(TEXT(H300,"0"),IPRESS!$A$3:$B$212,2,0),"")</f>
        <v/>
      </c>
      <c r="J300" s="280" t="n"/>
      <c r="K300" s="332">
        <f>IFERROR(VLOOKUP(TEXT(O300,"0"),CONDUCTORES!$A$3:$G$54,7,0),"")</f>
        <v/>
      </c>
      <c r="L300" s="280" t="n"/>
      <c r="M300" s="280" t="n"/>
      <c r="N300" s="333">
        <f>IFERROR(IF(L300*M300=0,"",L300*M300),"")</f>
        <v/>
      </c>
      <c r="O300" s="280" t="n"/>
      <c r="P300" s="332">
        <f>IFERROR(VLOOKUP(TEXT(O300,"0"),CONDUCTORES!$A$3:$G$54,2,0),"")</f>
        <v/>
      </c>
      <c r="Q300" s="332">
        <f>IFERROR(VLOOKUP(TEXT(O300,"0"),CONDUCTORES!$A$3:$H$54,6,0),"")</f>
        <v/>
      </c>
      <c r="R300" s="280" t="n"/>
      <c r="S300" s="280" t="n"/>
      <c r="T300" s="280" t="n"/>
      <c r="U300" s="280" t="n"/>
      <c r="V300" s="280" t="n"/>
      <c r="W300" s="280" t="n"/>
      <c r="X300" s="280" t="n"/>
      <c r="Y300" s="280" t="n"/>
      <c r="Z300" s="375">
        <f>IF(AND(G300&lt;&gt;"",R300&lt;&gt;"",V300&lt;&gt;"",W300&lt;&gt;""),"COMPLETADO","OBSERVADO")</f>
        <v/>
      </c>
    </row>
    <row r="301" ht="15" customHeight="1" s="195">
      <c r="A301" s="334" t="n"/>
      <c r="B301" s="334" t="n"/>
      <c r="C301" s="334" t="n"/>
      <c r="D301" s="334" t="n"/>
      <c r="E301" s="334" t="n"/>
      <c r="F301" s="334" t="n"/>
      <c r="G301" s="334" t="n"/>
      <c r="H301" s="334" t="n"/>
      <c r="I301" s="332">
        <f>IFERROR(VLOOKUP(TEXT(H301,"0"),IPRESS!$A$3:$B$212,2,0),"")</f>
        <v/>
      </c>
      <c r="J301" s="334" t="n"/>
      <c r="K301" s="332">
        <f>IFERROR(VLOOKUP(TEXT(O301,"0"),CONDUCTORES!$A$3:$G$54,7,0),"")</f>
        <v/>
      </c>
      <c r="L301" s="334" t="n"/>
      <c r="M301" s="334" t="n"/>
      <c r="N301" s="333">
        <f>IFERROR(IF(L301*M301=0,"",L301*M301),"")</f>
        <v/>
      </c>
      <c r="O301" s="334" t="n"/>
      <c r="P301" s="332">
        <f>IFERROR(VLOOKUP(TEXT(O301,"0"),CONDUCTORES!$A$3:$G$54,2,0),"")</f>
        <v/>
      </c>
      <c r="Q301" s="332">
        <f>IFERROR(VLOOKUP(TEXT(O301,"0"),CONDUCTORES!$A$3:$H$54,6,0),"")</f>
        <v/>
      </c>
      <c r="R301" s="334" t="n"/>
      <c r="S301" s="334" t="n"/>
      <c r="T301" s="334" t="n"/>
      <c r="U301" s="334" t="n"/>
      <c r="V301" s="334" t="n"/>
      <c r="W301" s="334" t="n"/>
      <c r="X301" s="334" t="n"/>
      <c r="Y301" s="334" t="n"/>
      <c r="Z301" s="375">
        <f>IF(AND(G301&lt;&gt;"",R301&lt;&gt;"",V301&lt;&gt;"",W301&lt;&gt;""),"COMPLETADO","OBSERVADO")</f>
        <v/>
      </c>
    </row>
    <row r="302" ht="15" customHeight="1" s="195">
      <c r="A302" s="280" t="n"/>
      <c r="B302" s="280" t="n"/>
      <c r="C302" s="280" t="n"/>
      <c r="D302" s="280" t="n"/>
      <c r="E302" s="280" t="n"/>
      <c r="F302" s="280" t="n"/>
      <c r="G302" s="280" t="n"/>
      <c r="H302" s="280" t="n"/>
      <c r="I302" s="332">
        <f>IFERROR(VLOOKUP(TEXT(H302,"0"),IPRESS!$A$3:$B$212,2,0),"")</f>
        <v/>
      </c>
      <c r="J302" s="280" t="n"/>
      <c r="K302" s="332">
        <f>IFERROR(VLOOKUP(TEXT(O302,"0"),CONDUCTORES!$A$3:$G$54,7,0),"")</f>
        <v/>
      </c>
      <c r="L302" s="280" t="n"/>
      <c r="M302" s="280" t="n"/>
      <c r="N302" s="333">
        <f>IFERROR(IF(L302*M302=0,"",L302*M302),"")</f>
        <v/>
      </c>
      <c r="O302" s="280" t="n"/>
      <c r="P302" s="332">
        <f>IFERROR(VLOOKUP(TEXT(O302,"0"),CONDUCTORES!$A$3:$G$54,2,0),"")</f>
        <v/>
      </c>
      <c r="Q302" s="332">
        <f>IFERROR(VLOOKUP(TEXT(O302,"0"),CONDUCTORES!$A$3:$H$54,6,0),"")</f>
        <v/>
      </c>
      <c r="R302" s="280" t="n"/>
      <c r="S302" s="280" t="n"/>
      <c r="T302" s="280" t="n"/>
      <c r="U302" s="280" t="n"/>
      <c r="V302" s="280" t="n"/>
      <c r="W302" s="280" t="n"/>
      <c r="X302" s="280" t="n"/>
      <c r="Y302" s="280" t="n"/>
      <c r="Z302" s="375">
        <f>IF(AND(G302&lt;&gt;"",R302&lt;&gt;"",V302&lt;&gt;"",W302&lt;&gt;""),"COMPLETADO","OBSERVADO")</f>
        <v/>
      </c>
    </row>
    <row r="303" ht="15" customHeight="1" s="195">
      <c r="A303" s="334" t="n"/>
      <c r="B303" s="334" t="n"/>
      <c r="C303" s="334" t="n"/>
      <c r="D303" s="334" t="n"/>
      <c r="E303" s="334" t="n"/>
      <c r="F303" s="334" t="n"/>
      <c r="G303" s="334" t="n"/>
      <c r="H303" s="334" t="n"/>
      <c r="I303" s="332">
        <f>IFERROR(VLOOKUP(TEXT(H303,"0"),IPRESS!$A$3:$B$212,2,0),"")</f>
        <v/>
      </c>
      <c r="J303" s="334" t="n"/>
      <c r="K303" s="332">
        <f>IFERROR(VLOOKUP(TEXT(O303,"0"),CONDUCTORES!$A$3:$G$54,7,0),"")</f>
        <v/>
      </c>
      <c r="L303" s="334" t="n"/>
      <c r="M303" s="334" t="n"/>
      <c r="N303" s="333">
        <f>IFERROR(IF(L303*M303=0,"",L303*M303),"")</f>
        <v/>
      </c>
      <c r="O303" s="334" t="n"/>
      <c r="P303" s="332">
        <f>IFERROR(VLOOKUP(TEXT(O303,"0"),CONDUCTORES!$A$3:$G$54,2,0),"")</f>
        <v/>
      </c>
      <c r="Q303" s="332">
        <f>IFERROR(VLOOKUP(TEXT(O303,"0"),CONDUCTORES!$A$3:$H$54,6,0),"")</f>
        <v/>
      </c>
      <c r="R303" s="334" t="n"/>
      <c r="S303" s="334" t="n"/>
      <c r="T303" s="334" t="n"/>
      <c r="U303" s="334" t="n"/>
      <c r="V303" s="334" t="n"/>
      <c r="W303" s="334" t="n"/>
      <c r="X303" s="334" t="n"/>
      <c r="Y303" s="334" t="n"/>
      <c r="Z303" s="375">
        <f>IF(AND(G303&lt;&gt;"",R303&lt;&gt;"",V303&lt;&gt;"",W303&lt;&gt;""),"COMPLETADO","OBSERVADO")</f>
        <v/>
      </c>
    </row>
    <row r="304" ht="15" customHeight="1" s="195">
      <c r="A304" s="280" t="n"/>
      <c r="B304" s="280" t="n"/>
      <c r="C304" s="280" t="n"/>
      <c r="D304" s="280" t="n"/>
      <c r="E304" s="280" t="n"/>
      <c r="F304" s="280" t="n"/>
      <c r="G304" s="280" t="n"/>
      <c r="H304" s="280" t="n"/>
      <c r="I304" s="332">
        <f>IFERROR(VLOOKUP(TEXT(H304,"0"),IPRESS!$A$3:$B$212,2,0),"")</f>
        <v/>
      </c>
      <c r="J304" s="280" t="n"/>
      <c r="K304" s="332">
        <f>IFERROR(VLOOKUP(TEXT(O304,"0"),CONDUCTORES!$A$3:$G$54,7,0),"")</f>
        <v/>
      </c>
      <c r="L304" s="280" t="n"/>
      <c r="M304" s="280" t="n"/>
      <c r="N304" s="333">
        <f>IFERROR(IF(L304*M304=0,"",L304*M304),"")</f>
        <v/>
      </c>
      <c r="O304" s="280" t="n"/>
      <c r="P304" s="332">
        <f>IFERROR(VLOOKUP(TEXT(O304,"0"),CONDUCTORES!$A$3:$G$54,2,0),"")</f>
        <v/>
      </c>
      <c r="Q304" s="332">
        <f>IFERROR(VLOOKUP(TEXT(O304,"0"),CONDUCTORES!$A$3:$H$54,6,0),"")</f>
        <v/>
      </c>
      <c r="R304" s="280" t="n"/>
      <c r="S304" s="280" t="n"/>
      <c r="T304" s="280" t="n"/>
      <c r="U304" s="280" t="n"/>
      <c r="V304" s="280" t="n"/>
      <c r="W304" s="280" t="n"/>
      <c r="X304" s="280" t="n"/>
      <c r="Y304" s="280" t="n"/>
      <c r="Z304" s="375">
        <f>IF(AND(G304&lt;&gt;"",R304&lt;&gt;"",V304&lt;&gt;"",W304&lt;&gt;""),"COMPLETADO","OBSERVADO")</f>
        <v/>
      </c>
    </row>
    <row r="305" ht="15" customHeight="1" s="195">
      <c r="A305" s="334" t="n"/>
      <c r="B305" s="334" t="n"/>
      <c r="C305" s="334" t="n"/>
      <c r="D305" s="334" t="n"/>
      <c r="E305" s="334" t="n"/>
      <c r="F305" s="334" t="n"/>
      <c r="G305" s="334" t="n"/>
      <c r="H305" s="334" t="n"/>
      <c r="I305" s="332">
        <f>IFERROR(VLOOKUP(TEXT(H305,"0"),IPRESS!$A$3:$B$212,2,0),"")</f>
        <v/>
      </c>
      <c r="J305" s="334" t="n"/>
      <c r="K305" s="332">
        <f>IFERROR(VLOOKUP(TEXT(O305,"0"),CONDUCTORES!$A$3:$G$54,7,0),"")</f>
        <v/>
      </c>
      <c r="L305" s="334" t="n"/>
      <c r="M305" s="334" t="n"/>
      <c r="N305" s="333">
        <f>IFERROR(IF(L305*M305=0,"",L305*M305),"")</f>
        <v/>
      </c>
      <c r="O305" s="334" t="n"/>
      <c r="P305" s="332">
        <f>IFERROR(VLOOKUP(TEXT(O305,"0"),CONDUCTORES!$A$3:$G$54,2,0),"")</f>
        <v/>
      </c>
      <c r="Q305" s="332">
        <f>IFERROR(VLOOKUP(TEXT(O305,"0"),CONDUCTORES!$A$3:$H$54,6,0),"")</f>
        <v/>
      </c>
      <c r="R305" s="334" t="n"/>
      <c r="S305" s="334" t="n"/>
      <c r="T305" s="334" t="n"/>
      <c r="U305" s="334" t="n"/>
      <c r="V305" s="334" t="n"/>
      <c r="W305" s="334" t="n"/>
      <c r="X305" s="334" t="n"/>
      <c r="Y305" s="334" t="n"/>
      <c r="Z305" s="375">
        <f>IF(AND(G305&lt;&gt;"",R305&lt;&gt;"",V305&lt;&gt;"",W305&lt;&gt;""),"COMPLETADO","OBSERVADO")</f>
        <v/>
      </c>
    </row>
    <row r="306" ht="15" customHeight="1" s="195">
      <c r="A306" s="280" t="n"/>
      <c r="B306" s="280" t="n"/>
      <c r="C306" s="280" t="n"/>
      <c r="D306" s="280" t="n"/>
      <c r="E306" s="280" t="n"/>
      <c r="F306" s="280" t="n"/>
      <c r="G306" s="280" t="n"/>
      <c r="H306" s="280" t="n"/>
      <c r="I306" s="332">
        <f>IFERROR(VLOOKUP(TEXT(H306,"0"),IPRESS!$A$3:$B$212,2,0),"")</f>
        <v/>
      </c>
      <c r="J306" s="280" t="n"/>
      <c r="K306" s="332">
        <f>IFERROR(VLOOKUP(TEXT(O306,"0"),CONDUCTORES!$A$3:$G$54,7,0),"")</f>
        <v/>
      </c>
      <c r="L306" s="280" t="n"/>
      <c r="M306" s="280" t="n"/>
      <c r="N306" s="333">
        <f>IFERROR(IF(L306*M306=0,"",L306*M306),"")</f>
        <v/>
      </c>
      <c r="O306" s="280" t="n"/>
      <c r="P306" s="332">
        <f>IFERROR(VLOOKUP(TEXT(O306,"0"),CONDUCTORES!$A$3:$G$54,2,0),"")</f>
        <v/>
      </c>
      <c r="Q306" s="332">
        <f>IFERROR(VLOOKUP(TEXT(O306,"0"),CONDUCTORES!$A$3:$H$54,6,0),"")</f>
        <v/>
      </c>
      <c r="R306" s="280" t="n"/>
      <c r="S306" s="280" t="n"/>
      <c r="T306" s="280" t="n"/>
      <c r="U306" s="280" t="n"/>
      <c r="V306" s="280" t="n"/>
      <c r="W306" s="280" t="n"/>
      <c r="X306" s="280" t="n"/>
      <c r="Y306" s="280" t="n"/>
      <c r="Z306" s="375">
        <f>IF(AND(G306&lt;&gt;"",R306&lt;&gt;"",V306&lt;&gt;"",W306&lt;&gt;""),"COMPLETADO","OBSERVADO")</f>
        <v/>
      </c>
    </row>
    <row r="307" ht="15" customHeight="1" s="195">
      <c r="A307" s="334" t="n"/>
      <c r="B307" s="334" t="n"/>
      <c r="C307" s="334" t="n"/>
      <c r="D307" s="334" t="n"/>
      <c r="E307" s="334" t="n"/>
      <c r="F307" s="334" t="n"/>
      <c r="G307" s="334" t="n"/>
      <c r="H307" s="334" t="n"/>
      <c r="I307" s="332">
        <f>IFERROR(VLOOKUP(TEXT(H307,"0"),IPRESS!$A$3:$B$212,2,0),"")</f>
        <v/>
      </c>
      <c r="J307" s="334" t="n"/>
      <c r="K307" s="332">
        <f>IFERROR(VLOOKUP(TEXT(O307,"0"),CONDUCTORES!$A$3:$G$54,7,0),"")</f>
        <v/>
      </c>
      <c r="L307" s="334" t="n"/>
      <c r="M307" s="334" t="n"/>
      <c r="N307" s="333">
        <f>IFERROR(IF(L307*M307=0,"",L307*M307),"")</f>
        <v/>
      </c>
      <c r="O307" s="334" t="n"/>
      <c r="P307" s="332">
        <f>IFERROR(VLOOKUP(TEXT(O307,"0"),CONDUCTORES!$A$3:$G$54,2,0),"")</f>
        <v/>
      </c>
      <c r="Q307" s="332">
        <f>IFERROR(VLOOKUP(TEXT(O307,"0"),CONDUCTORES!$A$3:$H$54,6,0),"")</f>
        <v/>
      </c>
      <c r="R307" s="334" t="n"/>
      <c r="S307" s="334" t="n"/>
      <c r="T307" s="334" t="n"/>
      <c r="U307" s="334" t="n"/>
      <c r="V307" s="334" t="n"/>
      <c r="W307" s="334" t="n"/>
      <c r="X307" s="334" t="n"/>
      <c r="Y307" s="334" t="n"/>
      <c r="Z307" s="375">
        <f>IF(AND(G307&lt;&gt;"",R307&lt;&gt;"",V307&lt;&gt;"",W307&lt;&gt;""),"COMPLETADO","OBSERVADO")</f>
        <v/>
      </c>
    </row>
    <row r="308" ht="15" customHeight="1" s="195">
      <c r="A308" s="280" t="n"/>
      <c r="B308" s="280" t="n"/>
      <c r="C308" s="280" t="n"/>
      <c r="D308" s="280" t="n"/>
      <c r="E308" s="280" t="n"/>
      <c r="F308" s="280" t="n"/>
      <c r="G308" s="280" t="n"/>
      <c r="H308" s="280" t="n"/>
      <c r="I308" s="332">
        <f>IFERROR(VLOOKUP(TEXT(H308,"0"),IPRESS!$A$3:$B$212,2,0),"")</f>
        <v/>
      </c>
      <c r="J308" s="280" t="n"/>
      <c r="K308" s="332">
        <f>IFERROR(VLOOKUP(TEXT(O308,"0"),CONDUCTORES!$A$3:$G$54,7,0),"")</f>
        <v/>
      </c>
      <c r="L308" s="280" t="n"/>
      <c r="M308" s="280" t="n"/>
      <c r="N308" s="333">
        <f>IFERROR(IF(L308*M308=0,"",L308*M308),"")</f>
        <v/>
      </c>
      <c r="O308" s="280" t="n"/>
      <c r="P308" s="332">
        <f>IFERROR(VLOOKUP(TEXT(O308,"0"),CONDUCTORES!$A$3:$G$54,2,0),"")</f>
        <v/>
      </c>
      <c r="Q308" s="332">
        <f>IFERROR(VLOOKUP(TEXT(O308,"0"),CONDUCTORES!$A$3:$H$54,6,0),"")</f>
        <v/>
      </c>
      <c r="R308" s="280" t="n"/>
      <c r="S308" s="280" t="n"/>
      <c r="T308" s="280" t="n"/>
      <c r="U308" s="280" t="n"/>
      <c r="V308" s="280" t="n"/>
      <c r="W308" s="280" t="n"/>
      <c r="X308" s="280" t="n"/>
      <c r="Y308" s="280" t="n"/>
      <c r="Z308" s="375">
        <f>IF(AND(G308&lt;&gt;"",R308&lt;&gt;"",V308&lt;&gt;"",W308&lt;&gt;""),"COMPLETADO","OBSERVADO")</f>
        <v/>
      </c>
    </row>
    <row r="309" ht="15" customHeight="1" s="195">
      <c r="A309" s="334" t="n"/>
      <c r="B309" s="334" t="n"/>
      <c r="C309" s="334" t="n"/>
      <c r="D309" s="334" t="n"/>
      <c r="E309" s="334" t="n"/>
      <c r="F309" s="334" t="n"/>
      <c r="G309" s="334" t="n"/>
      <c r="H309" s="334" t="n"/>
      <c r="I309" s="332">
        <f>IFERROR(VLOOKUP(TEXT(H309,"0"),IPRESS!$A$3:$B$212,2,0),"")</f>
        <v/>
      </c>
      <c r="J309" s="334" t="n"/>
      <c r="K309" s="332">
        <f>IFERROR(VLOOKUP(TEXT(O309,"0"),CONDUCTORES!$A$3:$G$54,7,0),"")</f>
        <v/>
      </c>
      <c r="L309" s="334" t="n"/>
      <c r="M309" s="334" t="n"/>
      <c r="N309" s="333">
        <f>IFERROR(IF(L309*M309=0,"",L309*M309),"")</f>
        <v/>
      </c>
      <c r="O309" s="334" t="n"/>
      <c r="P309" s="332">
        <f>IFERROR(VLOOKUP(TEXT(O309,"0"),CONDUCTORES!$A$3:$G$54,2,0),"")</f>
        <v/>
      </c>
      <c r="Q309" s="332">
        <f>IFERROR(VLOOKUP(TEXT(O309,"0"),CONDUCTORES!$A$3:$H$54,6,0),"")</f>
        <v/>
      </c>
      <c r="R309" s="334" t="n"/>
      <c r="S309" s="334" t="n"/>
      <c r="T309" s="334" t="n"/>
      <c r="U309" s="334" t="n"/>
      <c r="V309" s="334" t="n"/>
      <c r="W309" s="334" t="n"/>
      <c r="X309" s="334" t="n"/>
      <c r="Y309" s="334" t="n"/>
      <c r="Z309" s="375">
        <f>IF(AND(G309&lt;&gt;"",R309&lt;&gt;"",V309&lt;&gt;"",W309&lt;&gt;""),"COMPLETADO","OBSERVADO")</f>
        <v/>
      </c>
    </row>
    <row r="310" ht="15" customHeight="1" s="195">
      <c r="A310" s="280" t="n"/>
      <c r="B310" s="280" t="n"/>
      <c r="C310" s="280" t="n"/>
      <c r="D310" s="280" t="n"/>
      <c r="E310" s="280" t="n"/>
      <c r="F310" s="280" t="n"/>
      <c r="G310" s="280" t="n"/>
      <c r="H310" s="280" t="n"/>
      <c r="I310" s="332">
        <f>IFERROR(VLOOKUP(TEXT(H310,"0"),IPRESS!$A$3:$B$212,2,0),"")</f>
        <v/>
      </c>
      <c r="J310" s="280" t="n"/>
      <c r="K310" s="332">
        <f>IFERROR(VLOOKUP(TEXT(O310,"0"),CONDUCTORES!$A$3:$G$54,7,0),"")</f>
        <v/>
      </c>
      <c r="L310" s="280" t="n"/>
      <c r="M310" s="280" t="n"/>
      <c r="N310" s="333">
        <f>IFERROR(IF(L310*M310=0,"",L310*M310),"")</f>
        <v/>
      </c>
      <c r="O310" s="280" t="n"/>
      <c r="P310" s="332">
        <f>IFERROR(VLOOKUP(TEXT(O310,"0"),CONDUCTORES!$A$3:$G$54,2,0),"")</f>
        <v/>
      </c>
      <c r="Q310" s="332">
        <f>IFERROR(VLOOKUP(TEXT(O310,"0"),CONDUCTORES!$A$3:$H$54,6,0),"")</f>
        <v/>
      </c>
      <c r="R310" s="280" t="n"/>
      <c r="S310" s="280" t="n"/>
      <c r="T310" s="280" t="n"/>
      <c r="U310" s="280" t="n"/>
      <c r="V310" s="280" t="n"/>
      <c r="W310" s="280" t="n"/>
      <c r="X310" s="280" t="n"/>
      <c r="Y310" s="280" t="n"/>
      <c r="Z310" s="375">
        <f>IF(AND(G310&lt;&gt;"",R310&lt;&gt;"",V310&lt;&gt;"",W310&lt;&gt;""),"COMPLETADO","OBSERVADO")</f>
        <v/>
      </c>
    </row>
    <row r="311" ht="15" customHeight="1" s="195">
      <c r="A311" s="334" t="n"/>
      <c r="B311" s="334" t="n"/>
      <c r="C311" s="334" t="n"/>
      <c r="D311" s="334" t="n"/>
      <c r="E311" s="334" t="n"/>
      <c r="F311" s="334" t="n"/>
      <c r="G311" s="334" t="n"/>
      <c r="H311" s="334" t="n"/>
      <c r="I311" s="332">
        <f>IFERROR(VLOOKUP(TEXT(H311,"0"),IPRESS!$A$3:$B$212,2,0),"")</f>
        <v/>
      </c>
      <c r="J311" s="334" t="n"/>
      <c r="K311" s="332">
        <f>IFERROR(VLOOKUP(TEXT(O311,"0"),CONDUCTORES!$A$3:$G$54,7,0),"")</f>
        <v/>
      </c>
      <c r="L311" s="334" t="n"/>
      <c r="M311" s="334" t="n"/>
      <c r="N311" s="333">
        <f>IFERROR(IF(L311*M311=0,"",L311*M311),"")</f>
        <v/>
      </c>
      <c r="O311" s="334" t="n"/>
      <c r="P311" s="332">
        <f>IFERROR(VLOOKUP(TEXT(O311,"0"),CONDUCTORES!$A$3:$G$54,2,0),"")</f>
        <v/>
      </c>
      <c r="Q311" s="332">
        <f>IFERROR(VLOOKUP(TEXT(O311,"0"),CONDUCTORES!$A$3:$H$54,6,0),"")</f>
        <v/>
      </c>
      <c r="R311" s="334" t="n"/>
      <c r="S311" s="334" t="n"/>
      <c r="T311" s="334" t="n"/>
      <c r="U311" s="334" t="n"/>
      <c r="V311" s="334" t="n"/>
      <c r="W311" s="334" t="n"/>
      <c r="X311" s="334" t="n"/>
      <c r="Y311" s="334" t="n"/>
      <c r="Z311" s="375">
        <f>IF(AND(G311&lt;&gt;"",R311&lt;&gt;"",V311&lt;&gt;"",W311&lt;&gt;""),"COMPLETADO","OBSERVADO")</f>
        <v/>
      </c>
    </row>
    <row r="312" ht="15" customHeight="1" s="195">
      <c r="A312" s="280" t="n"/>
      <c r="B312" s="280" t="n"/>
      <c r="C312" s="280" t="n"/>
      <c r="D312" s="280" t="n"/>
      <c r="E312" s="280" t="n"/>
      <c r="F312" s="280" t="n"/>
      <c r="G312" s="280" t="n"/>
      <c r="H312" s="280" t="n"/>
      <c r="I312" s="332">
        <f>IFERROR(VLOOKUP(TEXT(H312,"0"),IPRESS!$A$3:$B$212,2,0),"")</f>
        <v/>
      </c>
      <c r="J312" s="280" t="n"/>
      <c r="K312" s="332">
        <f>IFERROR(VLOOKUP(TEXT(O312,"0"),CONDUCTORES!$A$3:$G$54,7,0),"")</f>
        <v/>
      </c>
      <c r="L312" s="280" t="n"/>
      <c r="M312" s="280" t="n"/>
      <c r="N312" s="333">
        <f>IFERROR(IF(L312*M312=0,"",L312*M312),"")</f>
        <v/>
      </c>
      <c r="O312" s="280" t="n"/>
      <c r="P312" s="332">
        <f>IFERROR(VLOOKUP(TEXT(O312,"0"),CONDUCTORES!$A$3:$G$54,2,0),"")</f>
        <v/>
      </c>
      <c r="Q312" s="332">
        <f>IFERROR(VLOOKUP(TEXT(O312,"0"),CONDUCTORES!$A$3:$H$54,6,0),"")</f>
        <v/>
      </c>
      <c r="R312" s="280" t="n"/>
      <c r="S312" s="280" t="n"/>
      <c r="T312" s="280" t="n"/>
      <c r="U312" s="280" t="n"/>
      <c r="V312" s="280" t="n"/>
      <c r="W312" s="280" t="n"/>
      <c r="X312" s="280" t="n"/>
      <c r="Y312" s="280" t="n"/>
      <c r="Z312" s="375">
        <f>IF(AND(G312&lt;&gt;"",R312&lt;&gt;"",V312&lt;&gt;"",W312&lt;&gt;""),"COMPLETADO","OBSERVADO")</f>
        <v/>
      </c>
    </row>
    <row r="313" ht="15" customHeight="1" s="195">
      <c r="A313" s="334" t="n"/>
      <c r="B313" s="334" t="n"/>
      <c r="C313" s="334" t="n"/>
      <c r="D313" s="334" t="n"/>
      <c r="E313" s="334" t="n"/>
      <c r="F313" s="334" t="n"/>
      <c r="G313" s="334" t="n"/>
      <c r="H313" s="334" t="n"/>
      <c r="I313" s="332">
        <f>IFERROR(VLOOKUP(TEXT(H313,"0"),IPRESS!$A$3:$B$212,2,0),"")</f>
        <v/>
      </c>
      <c r="J313" s="334" t="n"/>
      <c r="K313" s="332">
        <f>IFERROR(VLOOKUP(TEXT(O313,"0"),CONDUCTORES!$A$3:$G$54,7,0),"")</f>
        <v/>
      </c>
      <c r="L313" s="334" t="n"/>
      <c r="M313" s="334" t="n"/>
      <c r="N313" s="333">
        <f>IFERROR(IF(L313*M313=0,"",L313*M313),"")</f>
        <v/>
      </c>
      <c r="O313" s="334" t="n"/>
      <c r="P313" s="332">
        <f>IFERROR(VLOOKUP(TEXT(O313,"0"),CONDUCTORES!$A$3:$G$54,2,0),"")</f>
        <v/>
      </c>
      <c r="Q313" s="332">
        <f>IFERROR(VLOOKUP(TEXT(O313,"0"),CONDUCTORES!$A$3:$H$54,6,0),"")</f>
        <v/>
      </c>
      <c r="R313" s="334" t="n"/>
      <c r="S313" s="334" t="n"/>
      <c r="T313" s="334" t="n"/>
      <c r="U313" s="334" t="n"/>
      <c r="V313" s="334" t="n"/>
      <c r="W313" s="334" t="n"/>
      <c r="X313" s="334" t="n"/>
      <c r="Y313" s="334" t="n"/>
      <c r="Z313" s="375">
        <f>IF(AND(G313&lt;&gt;"",R313&lt;&gt;"",V313&lt;&gt;"",W313&lt;&gt;""),"COMPLETADO","OBSERVADO")</f>
        <v/>
      </c>
    </row>
    <row r="314" ht="15" customHeight="1" s="195">
      <c r="A314" s="280" t="n"/>
      <c r="B314" s="280" t="n"/>
      <c r="C314" s="280" t="n"/>
      <c r="D314" s="280" t="n"/>
      <c r="E314" s="280" t="n"/>
      <c r="F314" s="280" t="n"/>
      <c r="G314" s="280" t="n"/>
      <c r="H314" s="280" t="n"/>
      <c r="I314" s="332">
        <f>IFERROR(VLOOKUP(TEXT(H314,"0"),IPRESS!$A$3:$B$212,2,0),"")</f>
        <v/>
      </c>
      <c r="J314" s="280" t="n"/>
      <c r="K314" s="332">
        <f>IFERROR(VLOOKUP(TEXT(O314,"0"),CONDUCTORES!$A$3:$G$54,7,0),"")</f>
        <v/>
      </c>
      <c r="L314" s="280" t="n"/>
      <c r="M314" s="280" t="n"/>
      <c r="N314" s="333">
        <f>IFERROR(IF(L314*M314=0,"",L314*M314),"")</f>
        <v/>
      </c>
      <c r="O314" s="280" t="n"/>
      <c r="P314" s="332">
        <f>IFERROR(VLOOKUP(TEXT(O314,"0"),CONDUCTORES!$A$3:$G$54,2,0),"")</f>
        <v/>
      </c>
      <c r="Q314" s="332">
        <f>IFERROR(VLOOKUP(TEXT(O314,"0"),CONDUCTORES!$A$3:$H$54,6,0),"")</f>
        <v/>
      </c>
      <c r="R314" s="280" t="n"/>
      <c r="S314" s="280" t="n"/>
      <c r="T314" s="280" t="n"/>
      <c r="U314" s="280" t="n"/>
      <c r="V314" s="280" t="n"/>
      <c r="W314" s="280" t="n"/>
      <c r="X314" s="280" t="n"/>
      <c r="Y314" s="280" t="n"/>
      <c r="Z314" s="375">
        <f>IF(AND(G314&lt;&gt;"",R314&lt;&gt;"",V314&lt;&gt;"",W314&lt;&gt;""),"COMPLETADO","OBSERVADO")</f>
        <v/>
      </c>
    </row>
    <row r="315" ht="15" customHeight="1" s="195">
      <c r="A315" s="334" t="n"/>
      <c r="B315" s="334" t="n"/>
      <c r="C315" s="334" t="n"/>
      <c r="D315" s="334" t="n"/>
      <c r="E315" s="334" t="n"/>
      <c r="F315" s="334" t="n"/>
      <c r="G315" s="334" t="n"/>
      <c r="H315" s="334" t="n"/>
      <c r="I315" s="332">
        <f>IFERROR(VLOOKUP(TEXT(H315,"0"),IPRESS!$A$3:$B$212,2,0),"")</f>
        <v/>
      </c>
      <c r="J315" s="334" t="n"/>
      <c r="K315" s="332">
        <f>IFERROR(VLOOKUP(TEXT(O315,"0"),CONDUCTORES!$A$3:$G$54,7,0),"")</f>
        <v/>
      </c>
      <c r="L315" s="334" t="n"/>
      <c r="M315" s="334" t="n"/>
      <c r="N315" s="333">
        <f>IFERROR(IF(L315*M315=0,"",L315*M315),"")</f>
        <v/>
      </c>
      <c r="O315" s="334" t="n"/>
      <c r="P315" s="332">
        <f>IFERROR(VLOOKUP(TEXT(O315,"0"),CONDUCTORES!$A$3:$G$54,2,0),"")</f>
        <v/>
      </c>
      <c r="Q315" s="332">
        <f>IFERROR(VLOOKUP(TEXT(O315,"0"),CONDUCTORES!$A$3:$H$54,6,0),"")</f>
        <v/>
      </c>
      <c r="R315" s="334" t="n"/>
      <c r="S315" s="334" t="n"/>
      <c r="T315" s="334" t="n"/>
      <c r="U315" s="334" t="n"/>
      <c r="V315" s="334" t="n"/>
      <c r="W315" s="334" t="n"/>
      <c r="X315" s="334" t="n"/>
      <c r="Y315" s="334" t="n"/>
      <c r="Z315" s="375">
        <f>IF(AND(G315&lt;&gt;"",R315&lt;&gt;"",V315&lt;&gt;"",W315&lt;&gt;""),"COMPLETADO","OBSERVADO")</f>
        <v/>
      </c>
    </row>
    <row r="316" ht="15" customHeight="1" s="195">
      <c r="A316" s="280" t="n"/>
      <c r="B316" s="280" t="n"/>
      <c r="C316" s="280" t="n"/>
      <c r="D316" s="280" t="n"/>
      <c r="E316" s="280" t="n"/>
      <c r="F316" s="280" t="n"/>
      <c r="G316" s="280" t="n"/>
      <c r="H316" s="280" t="n"/>
      <c r="I316" s="332">
        <f>IFERROR(VLOOKUP(TEXT(H316,"0"),IPRESS!$A$3:$B$212,2,0),"")</f>
        <v/>
      </c>
      <c r="J316" s="280" t="n"/>
      <c r="K316" s="332">
        <f>IFERROR(VLOOKUP(TEXT(O316,"0"),CONDUCTORES!$A$3:$G$54,7,0),"")</f>
        <v/>
      </c>
      <c r="L316" s="280" t="n"/>
      <c r="M316" s="280" t="n"/>
      <c r="N316" s="333">
        <f>IFERROR(IF(L316*M316=0,"",L316*M316),"")</f>
        <v/>
      </c>
      <c r="O316" s="280" t="n"/>
      <c r="P316" s="332">
        <f>IFERROR(VLOOKUP(TEXT(O316,"0"),CONDUCTORES!$A$3:$G$54,2,0),"")</f>
        <v/>
      </c>
      <c r="Q316" s="332">
        <f>IFERROR(VLOOKUP(TEXT(O316,"0"),CONDUCTORES!$A$3:$H$54,6,0),"")</f>
        <v/>
      </c>
      <c r="R316" s="280" t="n"/>
      <c r="S316" s="280" t="n"/>
      <c r="T316" s="280" t="n"/>
      <c r="U316" s="280" t="n"/>
      <c r="V316" s="280" t="n"/>
      <c r="W316" s="280" t="n"/>
      <c r="X316" s="280" t="n"/>
      <c r="Y316" s="280" t="n"/>
      <c r="Z316" s="375">
        <f>IF(AND(G316&lt;&gt;"",R316&lt;&gt;"",V316&lt;&gt;"",W316&lt;&gt;""),"COMPLETADO","OBSERVADO")</f>
        <v/>
      </c>
    </row>
    <row r="317" ht="15" customHeight="1" s="195">
      <c r="A317" s="334" t="n"/>
      <c r="B317" s="334" t="n"/>
      <c r="C317" s="334" t="n"/>
      <c r="D317" s="334" t="n"/>
      <c r="E317" s="334" t="n"/>
      <c r="F317" s="334" t="n"/>
      <c r="G317" s="334" t="n"/>
      <c r="H317" s="334" t="n"/>
      <c r="I317" s="332">
        <f>IFERROR(VLOOKUP(TEXT(H317,"0"),IPRESS!$A$3:$B$212,2,0),"")</f>
        <v/>
      </c>
      <c r="J317" s="334" t="n"/>
      <c r="K317" s="332">
        <f>IFERROR(VLOOKUP(TEXT(O317,"0"),CONDUCTORES!$A$3:$G$54,7,0),"")</f>
        <v/>
      </c>
      <c r="L317" s="334" t="n"/>
      <c r="M317" s="334" t="n"/>
      <c r="N317" s="333">
        <f>IFERROR(IF(L317*M317=0,"",L317*M317),"")</f>
        <v/>
      </c>
      <c r="O317" s="334" t="n"/>
      <c r="P317" s="332">
        <f>IFERROR(VLOOKUP(TEXT(O317,"0"),CONDUCTORES!$A$3:$G$54,2,0),"")</f>
        <v/>
      </c>
      <c r="Q317" s="332">
        <f>IFERROR(VLOOKUP(TEXT(O317,"0"),CONDUCTORES!$A$3:$H$54,6,0),"")</f>
        <v/>
      </c>
      <c r="R317" s="334" t="n"/>
      <c r="S317" s="334" t="n"/>
      <c r="T317" s="334" t="n"/>
      <c r="U317" s="334" t="n"/>
      <c r="V317" s="334" t="n"/>
      <c r="W317" s="334" t="n"/>
      <c r="X317" s="334" t="n"/>
      <c r="Y317" s="334" t="n"/>
      <c r="Z317" s="375">
        <f>IF(AND(G317&lt;&gt;"",R317&lt;&gt;"",V317&lt;&gt;"",W317&lt;&gt;""),"COMPLETADO","OBSERVADO")</f>
        <v/>
      </c>
    </row>
    <row r="318" ht="15" customHeight="1" s="195">
      <c r="A318" s="280" t="n"/>
      <c r="B318" s="280" t="n"/>
      <c r="C318" s="280" t="n"/>
      <c r="D318" s="280" t="n"/>
      <c r="E318" s="280" t="n"/>
      <c r="F318" s="280" t="n"/>
      <c r="G318" s="280" t="n"/>
      <c r="H318" s="280" t="n"/>
      <c r="I318" s="332">
        <f>IFERROR(VLOOKUP(TEXT(H318,"0"),IPRESS!$A$3:$B$212,2,0),"")</f>
        <v/>
      </c>
      <c r="J318" s="280" t="n"/>
      <c r="K318" s="332">
        <f>IFERROR(VLOOKUP(TEXT(O318,"0"),CONDUCTORES!$A$3:$G$54,7,0),"")</f>
        <v/>
      </c>
      <c r="L318" s="280" t="n"/>
      <c r="M318" s="280" t="n"/>
      <c r="N318" s="333">
        <f>IFERROR(IF(L318*M318=0,"",L318*M318),"")</f>
        <v/>
      </c>
      <c r="O318" s="280" t="n"/>
      <c r="P318" s="332">
        <f>IFERROR(VLOOKUP(TEXT(O318,"0"),CONDUCTORES!$A$3:$G$54,2,0),"")</f>
        <v/>
      </c>
      <c r="Q318" s="332">
        <f>IFERROR(VLOOKUP(TEXT(O318,"0"),CONDUCTORES!$A$3:$H$54,6,0),"")</f>
        <v/>
      </c>
      <c r="R318" s="280" t="n"/>
      <c r="S318" s="280" t="n"/>
      <c r="T318" s="280" t="n"/>
      <c r="U318" s="280" t="n"/>
      <c r="V318" s="280" t="n"/>
      <c r="W318" s="280" t="n"/>
      <c r="X318" s="280" t="n"/>
      <c r="Y318" s="280" t="n"/>
      <c r="Z318" s="375">
        <f>IF(AND(G318&lt;&gt;"",R318&lt;&gt;"",V318&lt;&gt;"",W318&lt;&gt;""),"COMPLETADO","OBSERVADO")</f>
        <v/>
      </c>
    </row>
    <row r="319" ht="15" customHeight="1" s="195">
      <c r="A319" s="334" t="n"/>
      <c r="B319" s="334" t="n"/>
      <c r="C319" s="334" t="n"/>
      <c r="D319" s="334" t="n"/>
      <c r="E319" s="334" t="n"/>
      <c r="F319" s="334" t="n"/>
      <c r="G319" s="334" t="n"/>
      <c r="H319" s="334" t="n"/>
      <c r="I319" s="332">
        <f>IFERROR(VLOOKUP(TEXT(H319,"0"),IPRESS!$A$3:$B$212,2,0),"")</f>
        <v/>
      </c>
      <c r="J319" s="334" t="n"/>
      <c r="K319" s="332">
        <f>IFERROR(VLOOKUP(TEXT(O319,"0"),CONDUCTORES!$A$3:$G$54,7,0),"")</f>
        <v/>
      </c>
      <c r="L319" s="334" t="n"/>
      <c r="M319" s="334" t="n"/>
      <c r="N319" s="333">
        <f>IFERROR(IF(L319*M319=0,"",L319*M319),"")</f>
        <v/>
      </c>
      <c r="O319" s="334" t="n"/>
      <c r="P319" s="332">
        <f>IFERROR(VLOOKUP(TEXT(O319,"0"),CONDUCTORES!$A$3:$G$54,2,0),"")</f>
        <v/>
      </c>
      <c r="Q319" s="332">
        <f>IFERROR(VLOOKUP(TEXT(O319,"0"),CONDUCTORES!$A$3:$H$54,6,0),"")</f>
        <v/>
      </c>
      <c r="R319" s="334" t="n"/>
      <c r="S319" s="334" t="n"/>
      <c r="T319" s="334" t="n"/>
      <c r="U319" s="334" t="n"/>
      <c r="V319" s="334" t="n"/>
      <c r="W319" s="334" t="n"/>
      <c r="X319" s="334" t="n"/>
      <c r="Y319" s="334" t="n"/>
      <c r="Z319" s="375">
        <f>IF(AND(G319&lt;&gt;"",R319&lt;&gt;"",V319&lt;&gt;"",W319&lt;&gt;""),"COMPLETADO","OBSERVADO")</f>
        <v/>
      </c>
    </row>
    <row r="320" ht="15" customHeight="1" s="195">
      <c r="A320" s="280" t="n"/>
      <c r="B320" s="280" t="n"/>
      <c r="C320" s="280" t="n"/>
      <c r="D320" s="280" t="n"/>
      <c r="E320" s="280" t="n"/>
      <c r="F320" s="280" t="n"/>
      <c r="G320" s="280" t="n"/>
      <c r="H320" s="280" t="n"/>
      <c r="I320" s="332">
        <f>IFERROR(VLOOKUP(TEXT(H320,"0"),IPRESS!$A$3:$B$212,2,0),"")</f>
        <v/>
      </c>
      <c r="J320" s="280" t="n"/>
      <c r="K320" s="332">
        <f>IFERROR(VLOOKUP(TEXT(O320,"0"),CONDUCTORES!$A$3:$G$54,7,0),"")</f>
        <v/>
      </c>
      <c r="L320" s="280" t="n"/>
      <c r="M320" s="280" t="n"/>
      <c r="N320" s="333">
        <f>IFERROR(IF(L320*M320=0,"",L320*M320),"")</f>
        <v/>
      </c>
      <c r="O320" s="280" t="n"/>
      <c r="P320" s="332">
        <f>IFERROR(VLOOKUP(TEXT(O320,"0"),CONDUCTORES!$A$3:$G$54,2,0),"")</f>
        <v/>
      </c>
      <c r="Q320" s="332">
        <f>IFERROR(VLOOKUP(TEXT(O320,"0"),CONDUCTORES!$A$3:$H$54,6,0),"")</f>
        <v/>
      </c>
      <c r="R320" s="280" t="n"/>
      <c r="S320" s="280" t="n"/>
      <c r="T320" s="280" t="n"/>
      <c r="U320" s="280" t="n"/>
      <c r="V320" s="280" t="n"/>
      <c r="W320" s="280" t="n"/>
      <c r="X320" s="280" t="n"/>
      <c r="Y320" s="280" t="n"/>
      <c r="Z320" s="375">
        <f>IF(AND(G320&lt;&gt;"",R320&lt;&gt;"",V320&lt;&gt;"",W320&lt;&gt;""),"COMPLETADO","OBSERVADO")</f>
        <v/>
      </c>
    </row>
    <row r="321" ht="15" customHeight="1" s="195">
      <c r="A321" s="334" t="n"/>
      <c r="B321" s="334" t="n"/>
      <c r="C321" s="334" t="n"/>
      <c r="D321" s="334" t="n"/>
      <c r="E321" s="334" t="n"/>
      <c r="F321" s="334" t="n"/>
      <c r="G321" s="334" t="n"/>
      <c r="H321" s="334" t="n"/>
      <c r="I321" s="332">
        <f>IFERROR(VLOOKUP(TEXT(H321,"0"),IPRESS!$A$3:$B$212,2,0),"")</f>
        <v/>
      </c>
      <c r="J321" s="334" t="n"/>
      <c r="K321" s="332">
        <f>IFERROR(VLOOKUP(TEXT(O321,"0"),CONDUCTORES!$A$3:$G$54,7,0),"")</f>
        <v/>
      </c>
      <c r="L321" s="334" t="n"/>
      <c r="M321" s="334" t="n"/>
      <c r="N321" s="333">
        <f>IFERROR(IF(L321*M321=0,"",L321*M321),"")</f>
        <v/>
      </c>
      <c r="O321" s="334" t="n"/>
      <c r="P321" s="332">
        <f>IFERROR(VLOOKUP(TEXT(O321,"0"),CONDUCTORES!$A$3:$G$54,2,0),"")</f>
        <v/>
      </c>
      <c r="Q321" s="332">
        <f>IFERROR(VLOOKUP(TEXT(O321,"0"),CONDUCTORES!$A$3:$H$54,6,0),"")</f>
        <v/>
      </c>
      <c r="R321" s="334" t="n"/>
      <c r="S321" s="334" t="n"/>
      <c r="T321" s="334" t="n"/>
      <c r="U321" s="334" t="n"/>
      <c r="V321" s="334" t="n"/>
      <c r="W321" s="334" t="n"/>
      <c r="X321" s="334" t="n"/>
      <c r="Y321" s="334" t="n"/>
      <c r="Z321" s="375">
        <f>IF(AND(G321&lt;&gt;"",R321&lt;&gt;"",V321&lt;&gt;"",W321&lt;&gt;""),"COMPLETADO","OBSERVADO")</f>
        <v/>
      </c>
    </row>
    <row r="322" ht="15" customHeight="1" s="195">
      <c r="A322" s="280" t="n"/>
      <c r="B322" s="280" t="n"/>
      <c r="C322" s="280" t="n"/>
      <c r="D322" s="280" t="n"/>
      <c r="E322" s="280" t="n"/>
      <c r="F322" s="280" t="n"/>
      <c r="G322" s="280" t="n"/>
      <c r="H322" s="280" t="n"/>
      <c r="I322" s="332">
        <f>IFERROR(VLOOKUP(TEXT(H322,"0"),IPRESS!$A$3:$B$212,2,0),"")</f>
        <v/>
      </c>
      <c r="J322" s="280" t="n"/>
      <c r="K322" s="332">
        <f>IFERROR(VLOOKUP(TEXT(O322,"0"),CONDUCTORES!$A$3:$G$54,7,0),"")</f>
        <v/>
      </c>
      <c r="L322" s="280" t="n"/>
      <c r="M322" s="280" t="n"/>
      <c r="N322" s="333">
        <f>IFERROR(IF(L322*M322=0,"",L322*M322),"")</f>
        <v/>
      </c>
      <c r="O322" s="280" t="n"/>
      <c r="P322" s="332">
        <f>IFERROR(VLOOKUP(TEXT(O322,"0"),CONDUCTORES!$A$3:$G$54,2,0),"")</f>
        <v/>
      </c>
      <c r="Q322" s="332">
        <f>IFERROR(VLOOKUP(TEXT(O322,"0"),CONDUCTORES!$A$3:$H$54,6,0),"")</f>
        <v/>
      </c>
      <c r="R322" s="280" t="n"/>
      <c r="S322" s="280" t="n"/>
      <c r="T322" s="280" t="n"/>
      <c r="U322" s="280" t="n"/>
      <c r="V322" s="280" t="n"/>
      <c r="W322" s="280" t="n"/>
      <c r="X322" s="280" t="n"/>
      <c r="Y322" s="280" t="n"/>
      <c r="Z322" s="375">
        <f>IF(AND(G322&lt;&gt;"",R322&lt;&gt;"",V322&lt;&gt;"",W322&lt;&gt;""),"COMPLETADO","OBSERVADO")</f>
        <v/>
      </c>
    </row>
    <row r="323" ht="15" customHeight="1" s="195">
      <c r="A323" s="334" t="n"/>
      <c r="B323" s="334" t="n"/>
      <c r="C323" s="334" t="n"/>
      <c r="D323" s="334" t="n"/>
      <c r="E323" s="334" t="n"/>
      <c r="F323" s="334" t="n"/>
      <c r="G323" s="334" t="n"/>
      <c r="H323" s="334" t="n"/>
      <c r="I323" s="332">
        <f>IFERROR(VLOOKUP(TEXT(H323,"0"),IPRESS!$A$3:$B$212,2,0),"")</f>
        <v/>
      </c>
      <c r="J323" s="334" t="n"/>
      <c r="K323" s="332">
        <f>IFERROR(VLOOKUP(TEXT(O323,"0"),CONDUCTORES!$A$3:$G$54,7,0),"")</f>
        <v/>
      </c>
      <c r="L323" s="334" t="n"/>
      <c r="M323" s="334" t="n"/>
      <c r="N323" s="333">
        <f>IFERROR(IF(L323*M323=0,"",L323*M323),"")</f>
        <v/>
      </c>
      <c r="O323" s="334" t="n"/>
      <c r="P323" s="332">
        <f>IFERROR(VLOOKUP(TEXT(O323,"0"),CONDUCTORES!$A$3:$G$54,2,0),"")</f>
        <v/>
      </c>
      <c r="Q323" s="332">
        <f>IFERROR(VLOOKUP(TEXT(O323,"0"),CONDUCTORES!$A$3:$H$54,6,0),"")</f>
        <v/>
      </c>
      <c r="R323" s="334" t="n"/>
      <c r="S323" s="334" t="n"/>
      <c r="T323" s="334" t="n"/>
      <c r="U323" s="334" t="n"/>
      <c r="V323" s="334" t="n"/>
      <c r="W323" s="334" t="n"/>
      <c r="X323" s="334" t="n"/>
      <c r="Y323" s="334" t="n"/>
      <c r="Z323" s="375">
        <f>IF(AND(G323&lt;&gt;"",R323&lt;&gt;"",V323&lt;&gt;"",W323&lt;&gt;""),"COMPLETADO","OBSERVADO")</f>
        <v/>
      </c>
    </row>
    <row r="324" ht="15" customHeight="1" s="195">
      <c r="A324" s="280" t="n"/>
      <c r="B324" s="280" t="n"/>
      <c r="C324" s="280" t="n"/>
      <c r="D324" s="280" t="n"/>
      <c r="E324" s="280" t="n"/>
      <c r="F324" s="280" t="n"/>
      <c r="G324" s="280" t="n"/>
      <c r="H324" s="280" t="n"/>
      <c r="I324" s="332">
        <f>IFERROR(VLOOKUP(TEXT(H324,"0"),IPRESS!$A$3:$B$212,2,0),"")</f>
        <v/>
      </c>
      <c r="J324" s="280" t="n"/>
      <c r="K324" s="332">
        <f>IFERROR(VLOOKUP(TEXT(O324,"0"),CONDUCTORES!$A$3:$G$54,7,0),"")</f>
        <v/>
      </c>
      <c r="L324" s="280" t="n"/>
      <c r="M324" s="280" t="n"/>
      <c r="N324" s="333">
        <f>IFERROR(IF(L324*M324=0,"",L324*M324),"")</f>
        <v/>
      </c>
      <c r="O324" s="280" t="n"/>
      <c r="P324" s="332">
        <f>IFERROR(VLOOKUP(TEXT(O324,"0"),CONDUCTORES!$A$3:$G$54,2,0),"")</f>
        <v/>
      </c>
      <c r="Q324" s="332">
        <f>IFERROR(VLOOKUP(TEXT(O324,"0"),CONDUCTORES!$A$3:$H$54,6,0),"")</f>
        <v/>
      </c>
      <c r="R324" s="280" t="n"/>
      <c r="S324" s="280" t="n"/>
      <c r="T324" s="280" t="n"/>
      <c r="U324" s="280" t="n"/>
      <c r="V324" s="280" t="n"/>
      <c r="W324" s="280" t="n"/>
      <c r="X324" s="280" t="n"/>
      <c r="Y324" s="280" t="n"/>
      <c r="Z324" s="375">
        <f>IF(AND(G324&lt;&gt;"",R324&lt;&gt;"",V324&lt;&gt;"",W324&lt;&gt;""),"COMPLETADO","OBSERVADO")</f>
        <v/>
      </c>
    </row>
    <row r="325" ht="15" customHeight="1" s="195">
      <c r="A325" s="334" t="n"/>
      <c r="B325" s="334" t="n"/>
      <c r="C325" s="334" t="n"/>
      <c r="D325" s="334" t="n"/>
      <c r="E325" s="334" t="n"/>
      <c r="F325" s="334" t="n"/>
      <c r="G325" s="334" t="n"/>
      <c r="H325" s="334" t="n"/>
      <c r="I325" s="332">
        <f>IFERROR(VLOOKUP(TEXT(H325,"0"),IPRESS!$A$3:$B$212,2,0),"")</f>
        <v/>
      </c>
      <c r="J325" s="334" t="n"/>
      <c r="K325" s="332">
        <f>IFERROR(VLOOKUP(TEXT(O325,"0"),CONDUCTORES!$A$3:$G$54,7,0),"")</f>
        <v/>
      </c>
      <c r="L325" s="334" t="n"/>
      <c r="M325" s="334" t="n"/>
      <c r="N325" s="333">
        <f>IFERROR(IF(L325*M325=0,"",L325*M325),"")</f>
        <v/>
      </c>
      <c r="O325" s="334" t="n"/>
      <c r="P325" s="332">
        <f>IFERROR(VLOOKUP(TEXT(O325,"0"),CONDUCTORES!$A$3:$G$54,2,0),"")</f>
        <v/>
      </c>
      <c r="Q325" s="332">
        <f>IFERROR(VLOOKUP(TEXT(O325,"0"),CONDUCTORES!$A$3:$H$54,6,0),"")</f>
        <v/>
      </c>
      <c r="R325" s="334" t="n"/>
      <c r="S325" s="334" t="n"/>
      <c r="T325" s="334" t="n"/>
      <c r="U325" s="334" t="n"/>
      <c r="V325" s="334" t="n"/>
      <c r="W325" s="334" t="n"/>
      <c r="X325" s="334" t="n"/>
      <c r="Y325" s="334" t="n"/>
      <c r="Z325" s="375">
        <f>IF(AND(G325&lt;&gt;"",R325&lt;&gt;"",V325&lt;&gt;"",W325&lt;&gt;""),"COMPLETADO","OBSERVADO")</f>
        <v/>
      </c>
    </row>
    <row r="326" ht="15" customHeight="1" s="195">
      <c r="A326" s="280" t="n"/>
      <c r="B326" s="280" t="n"/>
      <c r="C326" s="280" t="n"/>
      <c r="D326" s="280" t="n"/>
      <c r="E326" s="280" t="n"/>
      <c r="F326" s="280" t="n"/>
      <c r="G326" s="280" t="n"/>
      <c r="H326" s="280" t="n"/>
      <c r="I326" s="332">
        <f>IFERROR(VLOOKUP(TEXT(H326,"0"),IPRESS!$A$3:$B$212,2,0),"")</f>
        <v/>
      </c>
      <c r="J326" s="280" t="n"/>
      <c r="K326" s="332">
        <f>IFERROR(VLOOKUP(TEXT(O326,"0"),CONDUCTORES!$A$3:$G$54,7,0),"")</f>
        <v/>
      </c>
      <c r="L326" s="280" t="n"/>
      <c r="M326" s="280" t="n"/>
      <c r="N326" s="333">
        <f>IFERROR(IF(L326*M326=0,"",L326*M326),"")</f>
        <v/>
      </c>
      <c r="O326" s="280" t="n"/>
      <c r="P326" s="332">
        <f>IFERROR(VLOOKUP(TEXT(O326,"0"),CONDUCTORES!$A$3:$G$54,2,0),"")</f>
        <v/>
      </c>
      <c r="Q326" s="332">
        <f>IFERROR(VLOOKUP(TEXT(O326,"0"),CONDUCTORES!$A$3:$H$54,6,0),"")</f>
        <v/>
      </c>
      <c r="R326" s="280" t="n"/>
      <c r="S326" s="280" t="n"/>
      <c r="T326" s="280" t="n"/>
      <c r="U326" s="280" t="n"/>
      <c r="V326" s="280" t="n"/>
      <c r="W326" s="280" t="n"/>
      <c r="X326" s="280" t="n"/>
      <c r="Y326" s="280" t="n"/>
      <c r="Z326" s="375">
        <f>IF(AND(G326&lt;&gt;"",R326&lt;&gt;"",V326&lt;&gt;"",W326&lt;&gt;""),"COMPLETADO","OBSERVADO")</f>
        <v/>
      </c>
    </row>
    <row r="327" ht="15" customHeight="1" s="195">
      <c r="A327" s="334" t="n"/>
      <c r="B327" s="334" t="n"/>
      <c r="C327" s="334" t="n"/>
      <c r="D327" s="334" t="n"/>
      <c r="E327" s="334" t="n"/>
      <c r="F327" s="334" t="n"/>
      <c r="G327" s="334" t="n"/>
      <c r="H327" s="334" t="n"/>
      <c r="I327" s="332">
        <f>IFERROR(VLOOKUP(TEXT(H327,"0"),IPRESS!$A$3:$B$212,2,0),"")</f>
        <v/>
      </c>
      <c r="J327" s="334" t="n"/>
      <c r="K327" s="332">
        <f>IFERROR(VLOOKUP(TEXT(O327,"0"),CONDUCTORES!$A$3:$G$54,7,0),"")</f>
        <v/>
      </c>
      <c r="L327" s="334" t="n"/>
      <c r="M327" s="334" t="n"/>
      <c r="N327" s="333">
        <f>IFERROR(IF(L327*M327=0,"",L327*M327),"")</f>
        <v/>
      </c>
      <c r="O327" s="334" t="n"/>
      <c r="P327" s="332">
        <f>IFERROR(VLOOKUP(TEXT(O327,"0"),CONDUCTORES!$A$3:$G$54,2,0),"")</f>
        <v/>
      </c>
      <c r="Q327" s="332">
        <f>IFERROR(VLOOKUP(TEXT(O327,"0"),CONDUCTORES!$A$3:$H$54,6,0),"")</f>
        <v/>
      </c>
      <c r="R327" s="334" t="n"/>
      <c r="S327" s="334" t="n"/>
      <c r="T327" s="334" t="n"/>
      <c r="U327" s="334" t="n"/>
      <c r="V327" s="334" t="n"/>
      <c r="W327" s="334" t="n"/>
      <c r="X327" s="334" t="n"/>
      <c r="Y327" s="334" t="n"/>
      <c r="Z327" s="375">
        <f>IF(AND(G327&lt;&gt;"",R327&lt;&gt;"",V327&lt;&gt;"",W327&lt;&gt;""),"COMPLETADO","OBSERVADO")</f>
        <v/>
      </c>
    </row>
    <row r="328" ht="15" customHeight="1" s="195">
      <c r="A328" s="280" t="n"/>
      <c r="B328" s="280" t="n"/>
      <c r="C328" s="280" t="n"/>
      <c r="D328" s="280" t="n"/>
      <c r="E328" s="280" t="n"/>
      <c r="F328" s="280" t="n"/>
      <c r="G328" s="280" t="n"/>
      <c r="H328" s="280" t="n"/>
      <c r="I328" s="332">
        <f>IFERROR(VLOOKUP(TEXT(H328,"0"),IPRESS!$A$3:$B$212,2,0),"")</f>
        <v/>
      </c>
      <c r="J328" s="280" t="n"/>
      <c r="K328" s="332">
        <f>IFERROR(VLOOKUP(TEXT(O328,"0"),CONDUCTORES!$A$3:$G$54,7,0),"")</f>
        <v/>
      </c>
      <c r="L328" s="280" t="n"/>
      <c r="M328" s="280" t="n"/>
      <c r="N328" s="333">
        <f>IFERROR(IF(L328*M328=0,"",L328*M328),"")</f>
        <v/>
      </c>
      <c r="O328" s="280" t="n"/>
      <c r="P328" s="332">
        <f>IFERROR(VLOOKUP(TEXT(O328,"0"),CONDUCTORES!$A$3:$G$54,2,0),"")</f>
        <v/>
      </c>
      <c r="Q328" s="332">
        <f>IFERROR(VLOOKUP(TEXT(O328,"0"),CONDUCTORES!$A$3:$H$54,6,0),"")</f>
        <v/>
      </c>
      <c r="R328" s="280" t="n"/>
      <c r="S328" s="280" t="n"/>
      <c r="T328" s="280" t="n"/>
      <c r="U328" s="280" t="n"/>
      <c r="V328" s="280" t="n"/>
      <c r="W328" s="280" t="n"/>
      <c r="X328" s="280" t="n"/>
      <c r="Y328" s="280" t="n"/>
      <c r="Z328" s="375">
        <f>IF(AND(G328&lt;&gt;"",R328&lt;&gt;"",V328&lt;&gt;"",W328&lt;&gt;""),"COMPLETADO","OBSERVADO")</f>
        <v/>
      </c>
    </row>
    <row r="329" ht="15" customHeight="1" s="195">
      <c r="A329" s="334" t="n"/>
      <c r="B329" s="334" t="n"/>
      <c r="C329" s="334" t="n"/>
      <c r="D329" s="334" t="n"/>
      <c r="E329" s="334" t="n"/>
      <c r="F329" s="334" t="n"/>
      <c r="G329" s="334" t="n"/>
      <c r="H329" s="334" t="n"/>
      <c r="I329" s="332">
        <f>IFERROR(VLOOKUP(TEXT(H329,"0"),IPRESS!$A$3:$B$212,2,0),"")</f>
        <v/>
      </c>
      <c r="J329" s="334" t="n"/>
      <c r="K329" s="332">
        <f>IFERROR(VLOOKUP(TEXT(O329,"0"),CONDUCTORES!$A$3:$G$54,7,0),"")</f>
        <v/>
      </c>
      <c r="L329" s="334" t="n"/>
      <c r="M329" s="334" t="n"/>
      <c r="N329" s="333">
        <f>IFERROR(IF(L329*M329=0,"",L329*M329),"")</f>
        <v/>
      </c>
      <c r="O329" s="334" t="n"/>
      <c r="P329" s="332">
        <f>IFERROR(VLOOKUP(TEXT(O329,"0"),CONDUCTORES!$A$3:$G$54,2,0),"")</f>
        <v/>
      </c>
      <c r="Q329" s="332">
        <f>IFERROR(VLOOKUP(TEXT(O329,"0"),CONDUCTORES!$A$3:$H$54,6,0),"")</f>
        <v/>
      </c>
      <c r="R329" s="334" t="n"/>
      <c r="S329" s="334" t="n"/>
      <c r="T329" s="334" t="n"/>
      <c r="U329" s="334" t="n"/>
      <c r="V329" s="334" t="n"/>
      <c r="W329" s="334" t="n"/>
      <c r="X329" s="334" t="n"/>
      <c r="Y329" s="334" t="n"/>
      <c r="Z329" s="375">
        <f>IF(AND(G329&lt;&gt;"",R329&lt;&gt;"",V329&lt;&gt;"",W329&lt;&gt;""),"COMPLETADO","OBSERVADO")</f>
        <v/>
      </c>
    </row>
    <row r="330" ht="15" customHeight="1" s="195">
      <c r="A330" s="280" t="n"/>
      <c r="B330" s="280" t="n"/>
      <c r="C330" s="280" t="n"/>
      <c r="D330" s="280" t="n"/>
      <c r="E330" s="280" t="n"/>
      <c r="F330" s="280" t="n"/>
      <c r="G330" s="280" t="n"/>
      <c r="H330" s="280" t="n"/>
      <c r="I330" s="332">
        <f>IFERROR(VLOOKUP(TEXT(H330,"0"),IPRESS!$A$3:$B$212,2,0),"")</f>
        <v/>
      </c>
      <c r="J330" s="280" t="n"/>
      <c r="K330" s="332">
        <f>IFERROR(VLOOKUP(TEXT(O330,"0"),CONDUCTORES!$A$3:$G$54,7,0),"")</f>
        <v/>
      </c>
      <c r="L330" s="280" t="n"/>
      <c r="M330" s="280" t="n"/>
      <c r="N330" s="333">
        <f>IFERROR(IF(L330*M330=0,"",L330*M330),"")</f>
        <v/>
      </c>
      <c r="O330" s="280" t="n"/>
      <c r="P330" s="332">
        <f>IFERROR(VLOOKUP(TEXT(O330,"0"),CONDUCTORES!$A$3:$G$54,2,0),"")</f>
        <v/>
      </c>
      <c r="Q330" s="332">
        <f>IFERROR(VLOOKUP(TEXT(O330,"0"),CONDUCTORES!$A$3:$H$54,6,0),"")</f>
        <v/>
      </c>
      <c r="R330" s="280" t="n"/>
      <c r="S330" s="280" t="n"/>
      <c r="T330" s="280" t="n"/>
      <c r="U330" s="280" t="n"/>
      <c r="V330" s="280" t="n"/>
      <c r="W330" s="280" t="n"/>
      <c r="X330" s="280" t="n"/>
      <c r="Y330" s="280" t="n"/>
      <c r="Z330" s="375">
        <f>IF(AND(G330&lt;&gt;"",R330&lt;&gt;"",V330&lt;&gt;"",W330&lt;&gt;""),"COMPLETADO","OBSERVADO")</f>
        <v/>
      </c>
    </row>
    <row r="331" ht="15" customHeight="1" s="195">
      <c r="A331" s="334" t="n"/>
      <c r="B331" s="334" t="n"/>
      <c r="C331" s="334" t="n"/>
      <c r="D331" s="334" t="n"/>
      <c r="E331" s="334" t="n"/>
      <c r="F331" s="334" t="n"/>
      <c r="G331" s="334" t="n"/>
      <c r="H331" s="334" t="n"/>
      <c r="I331" s="332">
        <f>IFERROR(VLOOKUP(TEXT(H331,"0"),IPRESS!$A$3:$B$212,2,0),"")</f>
        <v/>
      </c>
      <c r="J331" s="334" t="n"/>
      <c r="K331" s="332">
        <f>IFERROR(VLOOKUP(TEXT(O331,"0"),CONDUCTORES!$A$3:$G$54,7,0),"")</f>
        <v/>
      </c>
      <c r="L331" s="334" t="n"/>
      <c r="M331" s="334" t="n"/>
      <c r="N331" s="333">
        <f>IFERROR(IF(L331*M331=0,"",L331*M331),"")</f>
        <v/>
      </c>
      <c r="O331" s="334" t="n"/>
      <c r="P331" s="332">
        <f>IFERROR(VLOOKUP(TEXT(O331,"0"),CONDUCTORES!$A$3:$G$54,2,0),"")</f>
        <v/>
      </c>
      <c r="Q331" s="332">
        <f>IFERROR(VLOOKUP(TEXT(O331,"0"),CONDUCTORES!$A$3:$H$54,6,0),"")</f>
        <v/>
      </c>
      <c r="R331" s="334" t="n"/>
      <c r="S331" s="334" t="n"/>
      <c r="T331" s="334" t="n"/>
      <c r="U331" s="334" t="n"/>
      <c r="V331" s="334" t="n"/>
      <c r="W331" s="334" t="n"/>
      <c r="X331" s="334" t="n"/>
      <c r="Y331" s="334" t="n"/>
      <c r="Z331" s="375">
        <f>IF(AND(G331&lt;&gt;"",R331&lt;&gt;"",V331&lt;&gt;"",W331&lt;&gt;""),"COMPLETADO","OBSERVADO")</f>
        <v/>
      </c>
    </row>
    <row r="332" ht="15" customHeight="1" s="195">
      <c r="A332" s="280" t="n"/>
      <c r="B332" s="280" t="n"/>
      <c r="C332" s="280" t="n"/>
      <c r="D332" s="280" t="n"/>
      <c r="E332" s="280" t="n"/>
      <c r="F332" s="280" t="n"/>
      <c r="G332" s="280" t="n"/>
      <c r="H332" s="280" t="n"/>
      <c r="I332" s="332">
        <f>IFERROR(VLOOKUP(TEXT(H332,"0"),IPRESS!$A$3:$B$212,2,0),"")</f>
        <v/>
      </c>
      <c r="J332" s="280" t="n"/>
      <c r="K332" s="332">
        <f>IFERROR(VLOOKUP(TEXT(O332,"0"),CONDUCTORES!$A$3:$G$54,7,0),"")</f>
        <v/>
      </c>
      <c r="L332" s="280" t="n"/>
      <c r="M332" s="280" t="n"/>
      <c r="N332" s="333">
        <f>IFERROR(IF(L332*M332=0,"",L332*M332),"")</f>
        <v/>
      </c>
      <c r="O332" s="280" t="n"/>
      <c r="P332" s="332">
        <f>IFERROR(VLOOKUP(TEXT(O332,"0"),CONDUCTORES!$A$3:$G$54,2,0),"")</f>
        <v/>
      </c>
      <c r="Q332" s="332">
        <f>IFERROR(VLOOKUP(TEXT(O332,"0"),CONDUCTORES!$A$3:$H$54,6,0),"")</f>
        <v/>
      </c>
      <c r="R332" s="280" t="n"/>
      <c r="S332" s="280" t="n"/>
      <c r="T332" s="280" t="n"/>
      <c r="U332" s="280" t="n"/>
      <c r="V332" s="280" t="n"/>
      <c r="W332" s="280" t="n"/>
      <c r="X332" s="280" t="n"/>
      <c r="Y332" s="280" t="n"/>
      <c r="Z332" s="375">
        <f>IF(AND(G332&lt;&gt;"",R332&lt;&gt;"",V332&lt;&gt;"",W332&lt;&gt;""),"COMPLETADO","OBSERVADO")</f>
        <v/>
      </c>
    </row>
    <row r="333" ht="15" customHeight="1" s="195">
      <c r="A333" s="334" t="n"/>
      <c r="B333" s="334" t="n"/>
      <c r="C333" s="334" t="n"/>
      <c r="D333" s="334" t="n"/>
      <c r="E333" s="334" t="n"/>
      <c r="F333" s="334" t="n"/>
      <c r="G333" s="334" t="n"/>
      <c r="H333" s="334" t="n"/>
      <c r="I333" s="332">
        <f>IFERROR(VLOOKUP(TEXT(H333,"0"),IPRESS!$A$3:$B$212,2,0),"")</f>
        <v/>
      </c>
      <c r="J333" s="334" t="n"/>
      <c r="K333" s="332">
        <f>IFERROR(VLOOKUP(TEXT(O333,"0"),CONDUCTORES!$A$3:$G$54,7,0),"")</f>
        <v/>
      </c>
      <c r="L333" s="334" t="n"/>
      <c r="M333" s="334" t="n"/>
      <c r="N333" s="333">
        <f>IFERROR(IF(L333*M333=0,"",L333*M333),"")</f>
        <v/>
      </c>
      <c r="O333" s="334" t="n"/>
      <c r="P333" s="332">
        <f>IFERROR(VLOOKUP(TEXT(O333,"0"),CONDUCTORES!$A$3:$G$54,2,0),"")</f>
        <v/>
      </c>
      <c r="Q333" s="332">
        <f>IFERROR(VLOOKUP(TEXT(O333,"0"),CONDUCTORES!$A$3:$H$54,6,0),"")</f>
        <v/>
      </c>
      <c r="R333" s="334" t="n"/>
      <c r="S333" s="334" t="n"/>
      <c r="T333" s="334" t="n"/>
      <c r="U333" s="334" t="n"/>
      <c r="V333" s="334" t="n"/>
      <c r="W333" s="334" t="n"/>
      <c r="X333" s="334" t="n"/>
      <c r="Y333" s="334" t="n"/>
      <c r="Z333" s="375">
        <f>IF(AND(G333&lt;&gt;"",R333&lt;&gt;"",V333&lt;&gt;"",W333&lt;&gt;""),"COMPLETADO","OBSERVADO")</f>
        <v/>
      </c>
    </row>
    <row r="334" ht="15" customHeight="1" s="195">
      <c r="A334" s="280" t="n"/>
      <c r="B334" s="280" t="n"/>
      <c r="C334" s="280" t="n"/>
      <c r="D334" s="280" t="n"/>
      <c r="E334" s="280" t="n"/>
      <c r="F334" s="280" t="n"/>
      <c r="G334" s="280" t="n"/>
      <c r="H334" s="280" t="n"/>
      <c r="I334" s="332">
        <f>IFERROR(VLOOKUP(TEXT(H334,"0"),IPRESS!$A$3:$B$212,2,0),"")</f>
        <v/>
      </c>
      <c r="J334" s="280" t="n"/>
      <c r="K334" s="332">
        <f>IFERROR(VLOOKUP(TEXT(O334,"0"),CONDUCTORES!$A$3:$G$54,7,0),"")</f>
        <v/>
      </c>
      <c r="L334" s="280" t="n"/>
      <c r="M334" s="280" t="n"/>
      <c r="N334" s="333">
        <f>IFERROR(IF(L334*M334=0,"",L334*M334),"")</f>
        <v/>
      </c>
      <c r="O334" s="280" t="n"/>
      <c r="P334" s="332">
        <f>IFERROR(VLOOKUP(TEXT(O334,"0"),CONDUCTORES!$A$3:$G$54,2,0),"")</f>
        <v/>
      </c>
      <c r="Q334" s="332">
        <f>IFERROR(VLOOKUP(TEXT(O334,"0"),CONDUCTORES!$A$3:$H$54,6,0),"")</f>
        <v/>
      </c>
      <c r="R334" s="280" t="n"/>
      <c r="S334" s="280" t="n"/>
      <c r="T334" s="280" t="n"/>
      <c r="U334" s="280" t="n"/>
      <c r="V334" s="280" t="n"/>
      <c r="W334" s="280" t="n"/>
      <c r="X334" s="280" t="n"/>
      <c r="Y334" s="280" t="n"/>
      <c r="Z334" s="375">
        <f>IF(AND(G334&lt;&gt;"",R334&lt;&gt;"",V334&lt;&gt;"",W334&lt;&gt;""),"COMPLETADO","OBSERVADO")</f>
        <v/>
      </c>
    </row>
    <row r="335" ht="15" customHeight="1" s="195">
      <c r="A335" s="334" t="n"/>
      <c r="B335" s="334" t="n"/>
      <c r="C335" s="334" t="n"/>
      <c r="D335" s="334" t="n"/>
      <c r="E335" s="334" t="n"/>
      <c r="F335" s="334" t="n"/>
      <c r="G335" s="334" t="n"/>
      <c r="H335" s="334" t="n"/>
      <c r="I335" s="332">
        <f>IFERROR(VLOOKUP(TEXT(H335,"0"),IPRESS!$A$3:$B$212,2,0),"")</f>
        <v/>
      </c>
      <c r="J335" s="334" t="n"/>
      <c r="K335" s="332">
        <f>IFERROR(VLOOKUP(TEXT(O335,"0"),CONDUCTORES!$A$3:$G$54,7,0),"")</f>
        <v/>
      </c>
      <c r="L335" s="334" t="n"/>
      <c r="M335" s="334" t="n"/>
      <c r="N335" s="333">
        <f>IFERROR(IF(L335*M335=0,"",L335*M335),"")</f>
        <v/>
      </c>
      <c r="O335" s="334" t="n"/>
      <c r="P335" s="332">
        <f>IFERROR(VLOOKUP(TEXT(O335,"0"),CONDUCTORES!$A$3:$G$54,2,0),"")</f>
        <v/>
      </c>
      <c r="Q335" s="332">
        <f>IFERROR(VLOOKUP(TEXT(O335,"0"),CONDUCTORES!$A$3:$H$54,6,0),"")</f>
        <v/>
      </c>
      <c r="R335" s="334" t="n"/>
      <c r="S335" s="334" t="n"/>
      <c r="T335" s="334" t="n"/>
      <c r="U335" s="334" t="n"/>
      <c r="V335" s="334" t="n"/>
      <c r="W335" s="334" t="n"/>
      <c r="X335" s="334" t="n"/>
      <c r="Y335" s="334" t="n"/>
      <c r="Z335" s="375">
        <f>IF(AND(G335&lt;&gt;"",R335&lt;&gt;"",V335&lt;&gt;"",W335&lt;&gt;""),"COMPLETADO","OBSERVADO")</f>
        <v/>
      </c>
    </row>
    <row r="336" ht="15" customHeight="1" s="195">
      <c r="A336" s="280" t="n"/>
      <c r="B336" s="280" t="n"/>
      <c r="C336" s="280" t="n"/>
      <c r="D336" s="280" t="n"/>
      <c r="E336" s="280" t="n"/>
      <c r="F336" s="280" t="n"/>
      <c r="G336" s="280" t="n"/>
      <c r="H336" s="280" t="n"/>
      <c r="I336" s="332">
        <f>IFERROR(VLOOKUP(TEXT(H336,"0"),IPRESS!$A$3:$B$212,2,0),"")</f>
        <v/>
      </c>
      <c r="J336" s="280" t="n"/>
      <c r="K336" s="332">
        <f>IFERROR(VLOOKUP(TEXT(O336,"0"),CONDUCTORES!$A$3:$G$54,7,0),"")</f>
        <v/>
      </c>
      <c r="L336" s="280" t="n"/>
      <c r="M336" s="280" t="n"/>
      <c r="N336" s="333">
        <f>IFERROR(IF(L336*M336=0,"",L336*M336),"")</f>
        <v/>
      </c>
      <c r="O336" s="280" t="n"/>
      <c r="P336" s="332">
        <f>IFERROR(VLOOKUP(TEXT(O336,"0"),CONDUCTORES!$A$3:$G$54,2,0),"")</f>
        <v/>
      </c>
      <c r="Q336" s="332">
        <f>IFERROR(VLOOKUP(TEXT(O336,"0"),CONDUCTORES!$A$3:$H$54,6,0),"")</f>
        <v/>
      </c>
      <c r="R336" s="280" t="n"/>
      <c r="S336" s="280" t="n"/>
      <c r="T336" s="280" t="n"/>
      <c r="U336" s="280" t="n"/>
      <c r="V336" s="280" t="n"/>
      <c r="W336" s="280" t="n"/>
      <c r="X336" s="280" t="n"/>
      <c r="Y336" s="280" t="n"/>
      <c r="Z336" s="375">
        <f>IF(AND(G336&lt;&gt;"",R336&lt;&gt;"",V336&lt;&gt;"",W336&lt;&gt;""),"COMPLETADO","OBSERVADO")</f>
        <v/>
      </c>
    </row>
    <row r="337" ht="15" customHeight="1" s="195">
      <c r="A337" s="334" t="n"/>
      <c r="B337" s="334" t="n"/>
      <c r="C337" s="334" t="n"/>
      <c r="D337" s="334" t="n"/>
      <c r="E337" s="334" t="n"/>
      <c r="F337" s="334" t="n"/>
      <c r="G337" s="334" t="n"/>
      <c r="H337" s="334" t="n"/>
      <c r="I337" s="332">
        <f>IFERROR(VLOOKUP(TEXT(H337,"0"),IPRESS!$A$3:$B$212,2,0),"")</f>
        <v/>
      </c>
      <c r="J337" s="334" t="n"/>
      <c r="K337" s="332">
        <f>IFERROR(VLOOKUP(TEXT(O337,"0"),CONDUCTORES!$A$3:$G$54,7,0),"")</f>
        <v/>
      </c>
      <c r="L337" s="334" t="n"/>
      <c r="M337" s="334" t="n"/>
      <c r="N337" s="333">
        <f>IFERROR(IF(L337*M337=0,"",L337*M337),"")</f>
        <v/>
      </c>
      <c r="O337" s="334" t="n"/>
      <c r="P337" s="332">
        <f>IFERROR(VLOOKUP(TEXT(O337,"0"),CONDUCTORES!$A$3:$G$54,2,0),"")</f>
        <v/>
      </c>
      <c r="Q337" s="332">
        <f>IFERROR(VLOOKUP(TEXT(O337,"0"),CONDUCTORES!$A$3:$H$54,6,0),"")</f>
        <v/>
      </c>
      <c r="R337" s="334" t="n"/>
      <c r="S337" s="334" t="n"/>
      <c r="T337" s="334" t="n"/>
      <c r="U337" s="334" t="n"/>
      <c r="V337" s="334" t="n"/>
      <c r="W337" s="334" t="n"/>
      <c r="X337" s="334" t="n"/>
      <c r="Y337" s="334" t="n"/>
      <c r="Z337" s="375">
        <f>IF(AND(G337&lt;&gt;"",R337&lt;&gt;"",V337&lt;&gt;"",W337&lt;&gt;""),"COMPLETADO","OBSERVADO")</f>
        <v/>
      </c>
    </row>
    <row r="338" ht="15" customHeight="1" s="195">
      <c r="A338" s="280" t="n"/>
      <c r="B338" s="280" t="n"/>
      <c r="C338" s="280" t="n"/>
      <c r="D338" s="280" t="n"/>
      <c r="E338" s="280" t="n"/>
      <c r="F338" s="280" t="n"/>
      <c r="G338" s="280" t="n"/>
      <c r="H338" s="280" t="n"/>
      <c r="I338" s="332">
        <f>IFERROR(VLOOKUP(TEXT(H338,"0"),IPRESS!$A$3:$B$212,2,0),"")</f>
        <v/>
      </c>
      <c r="J338" s="280" t="n"/>
      <c r="K338" s="332">
        <f>IFERROR(VLOOKUP(TEXT(O338,"0"),CONDUCTORES!$A$3:$G$54,7,0),"")</f>
        <v/>
      </c>
      <c r="L338" s="280" t="n"/>
      <c r="M338" s="280" t="n"/>
      <c r="N338" s="333">
        <f>IFERROR(IF(L338*M338=0,"",L338*M338),"")</f>
        <v/>
      </c>
      <c r="O338" s="280" t="n"/>
      <c r="P338" s="332">
        <f>IFERROR(VLOOKUP(TEXT(O338,"0"),CONDUCTORES!$A$3:$G$54,2,0),"")</f>
        <v/>
      </c>
      <c r="Q338" s="332">
        <f>IFERROR(VLOOKUP(TEXT(O338,"0"),CONDUCTORES!$A$3:$H$54,6,0),"")</f>
        <v/>
      </c>
      <c r="R338" s="280" t="n"/>
      <c r="S338" s="280" t="n"/>
      <c r="T338" s="280" t="n"/>
      <c r="U338" s="280" t="n"/>
      <c r="V338" s="280" t="n"/>
      <c r="W338" s="280" t="n"/>
      <c r="X338" s="280" t="n"/>
      <c r="Y338" s="280" t="n"/>
      <c r="Z338" s="375">
        <f>IF(AND(G338&lt;&gt;"",R338&lt;&gt;"",V338&lt;&gt;"",W338&lt;&gt;""),"COMPLETADO","OBSERVADO")</f>
        <v/>
      </c>
    </row>
    <row r="339" ht="15" customHeight="1" s="195">
      <c r="A339" s="334" t="n"/>
      <c r="B339" s="334" t="n"/>
      <c r="C339" s="334" t="n"/>
      <c r="D339" s="334" t="n"/>
      <c r="E339" s="334" t="n"/>
      <c r="F339" s="334" t="n"/>
      <c r="G339" s="334" t="n"/>
      <c r="H339" s="334" t="n"/>
      <c r="I339" s="332">
        <f>IFERROR(VLOOKUP(TEXT(H339,"0"),IPRESS!$A$3:$B$212,2,0),"")</f>
        <v/>
      </c>
      <c r="J339" s="334" t="n"/>
      <c r="K339" s="332">
        <f>IFERROR(VLOOKUP(TEXT(O339,"0"),CONDUCTORES!$A$3:$G$54,7,0),"")</f>
        <v/>
      </c>
      <c r="L339" s="334" t="n"/>
      <c r="M339" s="334" t="n"/>
      <c r="N339" s="333">
        <f>IFERROR(IF(L339*M339=0,"",L339*M339),"")</f>
        <v/>
      </c>
      <c r="O339" s="334" t="n"/>
      <c r="P339" s="332">
        <f>IFERROR(VLOOKUP(TEXT(O339,"0"),CONDUCTORES!$A$3:$G$54,2,0),"")</f>
        <v/>
      </c>
      <c r="Q339" s="332">
        <f>IFERROR(VLOOKUP(TEXT(O339,"0"),CONDUCTORES!$A$3:$H$54,6,0),"")</f>
        <v/>
      </c>
      <c r="R339" s="334" t="n"/>
      <c r="S339" s="334" t="n"/>
      <c r="T339" s="334" t="n"/>
      <c r="U339" s="334" t="n"/>
      <c r="V339" s="334" t="n"/>
      <c r="W339" s="334" t="n"/>
      <c r="X339" s="334" t="n"/>
      <c r="Y339" s="334" t="n"/>
      <c r="Z339" s="375">
        <f>IF(AND(G339&lt;&gt;"",R339&lt;&gt;"",V339&lt;&gt;"",W339&lt;&gt;""),"COMPLETADO","OBSERVADO")</f>
        <v/>
      </c>
    </row>
    <row r="340" ht="15" customHeight="1" s="195">
      <c r="A340" s="280" t="n"/>
      <c r="B340" s="280" t="n"/>
      <c r="C340" s="280" t="n"/>
      <c r="D340" s="280" t="n"/>
      <c r="E340" s="280" t="n"/>
      <c r="F340" s="280" t="n"/>
      <c r="G340" s="280" t="n"/>
      <c r="H340" s="280" t="n"/>
      <c r="I340" s="332">
        <f>IFERROR(VLOOKUP(TEXT(H340,"0"),IPRESS!$A$3:$B$212,2,0),"")</f>
        <v/>
      </c>
      <c r="J340" s="280" t="n"/>
      <c r="K340" s="332">
        <f>IFERROR(VLOOKUP(TEXT(O340,"0"),CONDUCTORES!$A$3:$G$54,7,0),"")</f>
        <v/>
      </c>
      <c r="L340" s="280" t="n"/>
      <c r="M340" s="280" t="n"/>
      <c r="N340" s="333">
        <f>IFERROR(IF(L340*M340=0,"",L340*M340),"")</f>
        <v/>
      </c>
      <c r="O340" s="280" t="n"/>
      <c r="P340" s="332">
        <f>IFERROR(VLOOKUP(TEXT(O340,"0"),CONDUCTORES!$A$3:$G$54,2,0),"")</f>
        <v/>
      </c>
      <c r="Q340" s="332">
        <f>IFERROR(VLOOKUP(TEXT(O340,"0"),CONDUCTORES!$A$3:$H$54,6,0),"")</f>
        <v/>
      </c>
      <c r="R340" s="280" t="n"/>
      <c r="S340" s="280" t="n"/>
      <c r="T340" s="280" t="n"/>
      <c r="U340" s="280" t="n"/>
      <c r="V340" s="280" t="n"/>
      <c r="W340" s="280" t="n"/>
      <c r="X340" s="280" t="n"/>
      <c r="Y340" s="280" t="n"/>
      <c r="Z340" s="375">
        <f>IF(AND(G340&lt;&gt;"",R340&lt;&gt;"",V340&lt;&gt;"",W340&lt;&gt;""),"COMPLETADO","OBSERVADO")</f>
        <v/>
      </c>
    </row>
    <row r="341" ht="15" customHeight="1" s="195">
      <c r="A341" s="334" t="n"/>
      <c r="B341" s="334" t="n"/>
      <c r="C341" s="334" t="n"/>
      <c r="D341" s="334" t="n"/>
      <c r="E341" s="334" t="n"/>
      <c r="F341" s="334" t="n"/>
      <c r="G341" s="334" t="n"/>
      <c r="H341" s="334" t="n"/>
      <c r="I341" s="332">
        <f>IFERROR(VLOOKUP(TEXT(H341,"0"),IPRESS!$A$3:$B$212,2,0),"")</f>
        <v/>
      </c>
      <c r="J341" s="334" t="n"/>
      <c r="K341" s="332">
        <f>IFERROR(VLOOKUP(TEXT(O341,"0"),CONDUCTORES!$A$3:$G$54,7,0),"")</f>
        <v/>
      </c>
      <c r="L341" s="334" t="n"/>
      <c r="M341" s="334" t="n"/>
      <c r="N341" s="333">
        <f>IFERROR(IF(L341*M341=0,"",L341*M341),"")</f>
        <v/>
      </c>
      <c r="O341" s="334" t="n"/>
      <c r="P341" s="332">
        <f>IFERROR(VLOOKUP(TEXT(O341,"0"),CONDUCTORES!$A$3:$G$54,2,0),"")</f>
        <v/>
      </c>
      <c r="Q341" s="332">
        <f>IFERROR(VLOOKUP(TEXT(O341,"0"),CONDUCTORES!$A$3:$H$54,6,0),"")</f>
        <v/>
      </c>
      <c r="R341" s="334" t="n"/>
      <c r="S341" s="334" t="n"/>
      <c r="T341" s="334" t="n"/>
      <c r="U341" s="334" t="n"/>
      <c r="V341" s="334" t="n"/>
      <c r="W341" s="334" t="n"/>
      <c r="X341" s="334" t="n"/>
      <c r="Y341" s="334" t="n"/>
      <c r="Z341" s="375">
        <f>IF(AND(G341&lt;&gt;"",R341&lt;&gt;"",V341&lt;&gt;"",W341&lt;&gt;""),"COMPLETADO","OBSERVADO")</f>
        <v/>
      </c>
    </row>
    <row r="342" ht="15" customHeight="1" s="195">
      <c r="A342" s="280" t="n"/>
      <c r="B342" s="280" t="n"/>
      <c r="C342" s="280" t="n"/>
      <c r="D342" s="280" t="n"/>
      <c r="E342" s="280" t="n"/>
      <c r="F342" s="280" t="n"/>
      <c r="G342" s="280" t="n"/>
      <c r="H342" s="280" t="n"/>
      <c r="I342" s="332">
        <f>IFERROR(VLOOKUP(TEXT(H342,"0"),IPRESS!$A$3:$B$212,2,0),"")</f>
        <v/>
      </c>
      <c r="J342" s="280" t="n"/>
      <c r="K342" s="332">
        <f>IFERROR(VLOOKUP(TEXT(O342,"0"),CONDUCTORES!$A$3:$G$54,7,0),"")</f>
        <v/>
      </c>
      <c r="L342" s="280" t="n"/>
      <c r="M342" s="280" t="n"/>
      <c r="N342" s="333">
        <f>IFERROR(IF(L342*M342=0,"",L342*M342),"")</f>
        <v/>
      </c>
      <c r="O342" s="280" t="n"/>
      <c r="P342" s="332">
        <f>IFERROR(VLOOKUP(TEXT(O342,"0"),CONDUCTORES!$A$3:$G$54,2,0),"")</f>
        <v/>
      </c>
      <c r="Q342" s="332">
        <f>IFERROR(VLOOKUP(TEXT(O342,"0"),CONDUCTORES!$A$3:$H$54,6,0),"")</f>
        <v/>
      </c>
      <c r="R342" s="280" t="n"/>
      <c r="S342" s="280" t="n"/>
      <c r="T342" s="280" t="n"/>
      <c r="U342" s="280" t="n"/>
      <c r="V342" s="280" t="n"/>
      <c r="W342" s="280" t="n"/>
      <c r="X342" s="280" t="n"/>
      <c r="Y342" s="280" t="n"/>
      <c r="Z342" s="375">
        <f>IF(AND(G342&lt;&gt;"",R342&lt;&gt;"",V342&lt;&gt;"",W342&lt;&gt;""),"COMPLETADO","OBSERVADO")</f>
        <v/>
      </c>
    </row>
    <row r="343" ht="15" customHeight="1" s="195">
      <c r="A343" s="334" t="n"/>
      <c r="B343" s="334" t="n"/>
      <c r="C343" s="334" t="n"/>
      <c r="D343" s="334" t="n"/>
      <c r="E343" s="334" t="n"/>
      <c r="F343" s="334" t="n"/>
      <c r="G343" s="334" t="n"/>
      <c r="H343" s="334" t="n"/>
      <c r="I343" s="332">
        <f>IFERROR(VLOOKUP(TEXT(H343,"0"),IPRESS!$A$3:$B$212,2,0),"")</f>
        <v/>
      </c>
      <c r="J343" s="334" t="n"/>
      <c r="K343" s="332">
        <f>IFERROR(VLOOKUP(TEXT(O343,"0"),CONDUCTORES!$A$3:$G$54,7,0),"")</f>
        <v/>
      </c>
      <c r="L343" s="334" t="n"/>
      <c r="M343" s="334" t="n"/>
      <c r="N343" s="333">
        <f>IFERROR(IF(L343*M343=0,"",L343*M343),"")</f>
        <v/>
      </c>
      <c r="O343" s="334" t="n"/>
      <c r="P343" s="332">
        <f>IFERROR(VLOOKUP(TEXT(O343,"0"),CONDUCTORES!$A$3:$G$54,2,0),"")</f>
        <v/>
      </c>
      <c r="Q343" s="332">
        <f>IFERROR(VLOOKUP(TEXT(O343,"0"),CONDUCTORES!$A$3:$H$54,6,0),"")</f>
        <v/>
      </c>
      <c r="R343" s="334" t="n"/>
      <c r="S343" s="334" t="n"/>
      <c r="T343" s="334" t="n"/>
      <c r="U343" s="334" t="n"/>
      <c r="V343" s="334" t="n"/>
      <c r="W343" s="334" t="n"/>
      <c r="X343" s="334" t="n"/>
      <c r="Y343" s="334" t="n"/>
      <c r="Z343" s="375">
        <f>IF(AND(G343&lt;&gt;"",R343&lt;&gt;"",V343&lt;&gt;"",W343&lt;&gt;""),"COMPLETADO","OBSERVADO")</f>
        <v/>
      </c>
    </row>
    <row r="344" ht="15" customHeight="1" s="195">
      <c r="A344" s="280" t="n"/>
      <c r="B344" s="280" t="n"/>
      <c r="C344" s="280" t="n"/>
      <c r="D344" s="280" t="n"/>
      <c r="E344" s="280" t="n"/>
      <c r="F344" s="280" t="n"/>
      <c r="G344" s="280" t="n"/>
      <c r="H344" s="280" t="n"/>
      <c r="I344" s="332">
        <f>IFERROR(VLOOKUP(TEXT(H344,"0"),IPRESS!$A$3:$B$212,2,0),"")</f>
        <v/>
      </c>
      <c r="J344" s="280" t="n"/>
      <c r="K344" s="332">
        <f>IFERROR(VLOOKUP(TEXT(O344,"0"),CONDUCTORES!$A$3:$G$54,7,0),"")</f>
        <v/>
      </c>
      <c r="L344" s="280" t="n"/>
      <c r="M344" s="280" t="n"/>
      <c r="N344" s="333">
        <f>IFERROR(IF(L344*M344=0,"",L344*M344),"")</f>
        <v/>
      </c>
      <c r="O344" s="280" t="n"/>
      <c r="P344" s="332">
        <f>IFERROR(VLOOKUP(TEXT(O344,"0"),CONDUCTORES!$A$3:$G$54,2,0),"")</f>
        <v/>
      </c>
      <c r="Q344" s="332">
        <f>IFERROR(VLOOKUP(TEXT(O344,"0"),CONDUCTORES!$A$3:$H$54,6,0),"")</f>
        <v/>
      </c>
      <c r="R344" s="280" t="n"/>
      <c r="S344" s="280" t="n"/>
      <c r="T344" s="280" t="n"/>
      <c r="U344" s="280" t="n"/>
      <c r="V344" s="280" t="n"/>
      <c r="W344" s="280" t="n"/>
      <c r="X344" s="280" t="n"/>
      <c r="Y344" s="280" t="n"/>
      <c r="Z344" s="375">
        <f>IF(AND(G344&lt;&gt;"",R344&lt;&gt;"",V344&lt;&gt;"",W344&lt;&gt;""),"COMPLETADO","OBSERVADO")</f>
        <v/>
      </c>
    </row>
    <row r="345" ht="15" customHeight="1" s="195">
      <c r="A345" s="334" t="n"/>
      <c r="B345" s="334" t="n"/>
      <c r="C345" s="334" t="n"/>
      <c r="D345" s="334" t="n"/>
      <c r="E345" s="334" t="n"/>
      <c r="F345" s="334" t="n"/>
      <c r="G345" s="334" t="n"/>
      <c r="H345" s="334" t="n"/>
      <c r="I345" s="332">
        <f>IFERROR(VLOOKUP(TEXT(H345,"0"),IPRESS!$A$3:$B$212,2,0),"")</f>
        <v/>
      </c>
      <c r="J345" s="334" t="n"/>
      <c r="K345" s="332">
        <f>IFERROR(VLOOKUP(TEXT(O345,"0"),CONDUCTORES!$A$3:$G$54,7,0),"")</f>
        <v/>
      </c>
      <c r="L345" s="334" t="n"/>
      <c r="M345" s="334" t="n"/>
      <c r="N345" s="333">
        <f>IFERROR(IF(L345*M345=0,"",L345*M345),"")</f>
        <v/>
      </c>
      <c r="O345" s="334" t="n"/>
      <c r="P345" s="332">
        <f>IFERROR(VLOOKUP(TEXT(O345,"0"),CONDUCTORES!$A$3:$G$54,2,0),"")</f>
        <v/>
      </c>
      <c r="Q345" s="332">
        <f>IFERROR(VLOOKUP(TEXT(O345,"0"),CONDUCTORES!$A$3:$H$54,6,0),"")</f>
        <v/>
      </c>
      <c r="R345" s="334" t="n"/>
      <c r="S345" s="334" t="n"/>
      <c r="T345" s="334" t="n"/>
      <c r="U345" s="334" t="n"/>
      <c r="V345" s="334" t="n"/>
      <c r="W345" s="334" t="n"/>
      <c r="X345" s="334" t="n"/>
      <c r="Y345" s="334" t="n"/>
      <c r="Z345" s="375">
        <f>IF(AND(G345&lt;&gt;"",R345&lt;&gt;"",V345&lt;&gt;"",W345&lt;&gt;""),"COMPLETADO","OBSERVADO")</f>
        <v/>
      </c>
    </row>
    <row r="346" ht="15" customHeight="1" s="195">
      <c r="A346" s="280" t="n"/>
      <c r="B346" s="280" t="n"/>
      <c r="C346" s="280" t="n"/>
      <c r="D346" s="280" t="n"/>
      <c r="E346" s="280" t="n"/>
      <c r="F346" s="280" t="n"/>
      <c r="G346" s="280" t="n"/>
      <c r="H346" s="280" t="n"/>
      <c r="I346" s="332">
        <f>IFERROR(VLOOKUP(TEXT(H346,"0"),IPRESS!$A$3:$B$212,2,0),"")</f>
        <v/>
      </c>
      <c r="J346" s="280" t="n"/>
      <c r="K346" s="332">
        <f>IFERROR(VLOOKUP(TEXT(O346,"0"),CONDUCTORES!$A$3:$G$54,7,0),"")</f>
        <v/>
      </c>
      <c r="L346" s="280" t="n"/>
      <c r="M346" s="280" t="n"/>
      <c r="N346" s="333">
        <f>IFERROR(IF(L346*M346=0,"",L346*M346),"")</f>
        <v/>
      </c>
      <c r="O346" s="280" t="n"/>
      <c r="P346" s="332">
        <f>IFERROR(VLOOKUP(TEXT(O346,"0"),CONDUCTORES!$A$3:$G$54,2,0),"")</f>
        <v/>
      </c>
      <c r="Q346" s="332">
        <f>IFERROR(VLOOKUP(TEXT(O346,"0"),CONDUCTORES!$A$3:$H$54,6,0),"")</f>
        <v/>
      </c>
      <c r="R346" s="280" t="n"/>
      <c r="S346" s="280" t="n"/>
      <c r="T346" s="280" t="n"/>
      <c r="U346" s="280" t="n"/>
      <c r="V346" s="280" t="n"/>
      <c r="W346" s="280" t="n"/>
      <c r="X346" s="280" t="n"/>
      <c r="Y346" s="280" t="n"/>
      <c r="Z346" s="375">
        <f>IF(AND(G346&lt;&gt;"",R346&lt;&gt;"",V346&lt;&gt;"",W346&lt;&gt;""),"COMPLETADO","OBSERVADO")</f>
        <v/>
      </c>
    </row>
    <row r="347" ht="15" customHeight="1" s="195">
      <c r="A347" s="334" t="n"/>
      <c r="B347" s="334" t="n"/>
      <c r="C347" s="334" t="n"/>
      <c r="D347" s="334" t="n"/>
      <c r="E347" s="334" t="n"/>
      <c r="F347" s="334" t="n"/>
      <c r="G347" s="334" t="n"/>
      <c r="H347" s="334" t="n"/>
      <c r="I347" s="332">
        <f>IFERROR(VLOOKUP(TEXT(H347,"0"),IPRESS!$A$3:$B$212,2,0),"")</f>
        <v/>
      </c>
      <c r="J347" s="334" t="n"/>
      <c r="K347" s="332">
        <f>IFERROR(VLOOKUP(TEXT(O347,"0"),CONDUCTORES!$A$3:$G$54,7,0),"")</f>
        <v/>
      </c>
      <c r="L347" s="334" t="n"/>
      <c r="M347" s="334" t="n"/>
      <c r="N347" s="333">
        <f>IFERROR(IF(L347*M347=0,"",L347*M347),"")</f>
        <v/>
      </c>
      <c r="O347" s="334" t="n"/>
      <c r="P347" s="332">
        <f>IFERROR(VLOOKUP(TEXT(O347,"0"),CONDUCTORES!$A$3:$G$54,2,0),"")</f>
        <v/>
      </c>
      <c r="Q347" s="332">
        <f>IFERROR(VLOOKUP(TEXT(O347,"0"),CONDUCTORES!$A$3:$H$54,6,0),"")</f>
        <v/>
      </c>
      <c r="R347" s="334" t="n"/>
      <c r="S347" s="334" t="n"/>
      <c r="T347" s="334" t="n"/>
      <c r="U347" s="334" t="n"/>
      <c r="V347" s="334" t="n"/>
      <c r="W347" s="334" t="n"/>
      <c r="X347" s="334" t="n"/>
      <c r="Y347" s="334" t="n"/>
      <c r="Z347" s="375">
        <f>IF(AND(G347&lt;&gt;"",R347&lt;&gt;"",V347&lt;&gt;"",W347&lt;&gt;""),"COMPLETADO","OBSERVADO")</f>
        <v/>
      </c>
    </row>
    <row r="348" ht="15" customHeight="1" s="195">
      <c r="A348" s="280" t="n"/>
      <c r="B348" s="280" t="n"/>
      <c r="C348" s="280" t="n"/>
      <c r="D348" s="280" t="n"/>
      <c r="E348" s="280" t="n"/>
      <c r="F348" s="280" t="n"/>
      <c r="G348" s="280" t="n"/>
      <c r="H348" s="280" t="n"/>
      <c r="I348" s="332">
        <f>IFERROR(VLOOKUP(TEXT(H348,"0"),IPRESS!$A$3:$B$212,2,0),"")</f>
        <v/>
      </c>
      <c r="J348" s="280" t="n"/>
      <c r="K348" s="332">
        <f>IFERROR(VLOOKUP(TEXT(O348,"0"),CONDUCTORES!$A$3:$G$54,7,0),"")</f>
        <v/>
      </c>
      <c r="L348" s="280" t="n"/>
      <c r="M348" s="280" t="n"/>
      <c r="N348" s="333">
        <f>IFERROR(IF(L348*M348=0,"",L348*M348),"")</f>
        <v/>
      </c>
      <c r="O348" s="280" t="n"/>
      <c r="P348" s="332">
        <f>IFERROR(VLOOKUP(TEXT(O348,"0"),CONDUCTORES!$A$3:$G$54,2,0),"")</f>
        <v/>
      </c>
      <c r="Q348" s="332">
        <f>IFERROR(VLOOKUP(TEXT(O348,"0"),CONDUCTORES!$A$3:$H$54,6,0),"")</f>
        <v/>
      </c>
      <c r="R348" s="280" t="n"/>
      <c r="S348" s="280" t="n"/>
      <c r="T348" s="280" t="n"/>
      <c r="U348" s="280" t="n"/>
      <c r="V348" s="280" t="n"/>
      <c r="W348" s="280" t="n"/>
      <c r="X348" s="280" t="n"/>
      <c r="Y348" s="280" t="n"/>
      <c r="Z348" s="375">
        <f>IF(AND(G348&lt;&gt;"",R348&lt;&gt;"",V348&lt;&gt;"",W348&lt;&gt;""),"COMPLETADO","OBSERVADO")</f>
        <v/>
      </c>
    </row>
    <row r="349" ht="15" customHeight="1" s="195">
      <c r="A349" s="334" t="n"/>
      <c r="B349" s="334" t="n"/>
      <c r="C349" s="334" t="n"/>
      <c r="D349" s="334" t="n"/>
      <c r="E349" s="334" t="n"/>
      <c r="F349" s="334" t="n"/>
      <c r="G349" s="334" t="n"/>
      <c r="H349" s="334" t="n"/>
      <c r="I349" s="332">
        <f>IFERROR(VLOOKUP(TEXT(H349,"0"),IPRESS!$A$3:$B$212,2,0),"")</f>
        <v/>
      </c>
      <c r="J349" s="334" t="n"/>
      <c r="K349" s="332">
        <f>IFERROR(VLOOKUP(TEXT(O349,"0"),CONDUCTORES!$A$3:$G$54,7,0),"")</f>
        <v/>
      </c>
      <c r="L349" s="334" t="n"/>
      <c r="M349" s="334" t="n"/>
      <c r="N349" s="333">
        <f>IFERROR(IF(L349*M349=0,"",L349*M349),"")</f>
        <v/>
      </c>
      <c r="O349" s="334" t="n"/>
      <c r="P349" s="332">
        <f>IFERROR(VLOOKUP(TEXT(O349,"0"),CONDUCTORES!$A$3:$G$54,2,0),"")</f>
        <v/>
      </c>
      <c r="Q349" s="332">
        <f>IFERROR(VLOOKUP(TEXT(O349,"0"),CONDUCTORES!$A$3:$H$54,6,0),"")</f>
        <v/>
      </c>
      <c r="R349" s="334" t="n"/>
      <c r="S349" s="334" t="n"/>
      <c r="T349" s="334" t="n"/>
      <c r="U349" s="334" t="n"/>
      <c r="V349" s="334" t="n"/>
      <c r="W349" s="334" t="n"/>
      <c r="X349" s="334" t="n"/>
      <c r="Y349" s="334" t="n"/>
      <c r="Z349" s="375">
        <f>IF(AND(G349&lt;&gt;"",R349&lt;&gt;"",V349&lt;&gt;"",W349&lt;&gt;""),"COMPLETADO","OBSERVADO")</f>
        <v/>
      </c>
    </row>
    <row r="350" ht="15" customHeight="1" s="195">
      <c r="A350" s="280" t="n"/>
      <c r="B350" s="280" t="n"/>
      <c r="C350" s="280" t="n"/>
      <c r="D350" s="280" t="n"/>
      <c r="E350" s="280" t="n"/>
      <c r="F350" s="280" t="n"/>
      <c r="G350" s="280" t="n"/>
      <c r="H350" s="280" t="n"/>
      <c r="I350" s="332">
        <f>IFERROR(VLOOKUP(TEXT(H350,"0"),IPRESS!$A$3:$B$212,2,0),"")</f>
        <v/>
      </c>
      <c r="J350" s="280" t="n"/>
      <c r="K350" s="332">
        <f>IFERROR(VLOOKUP(TEXT(O350,"0"),CONDUCTORES!$A$3:$G$54,7,0),"")</f>
        <v/>
      </c>
      <c r="L350" s="280" t="n"/>
      <c r="M350" s="280" t="n"/>
      <c r="N350" s="333">
        <f>IFERROR(IF(L350*M350=0,"",L350*M350),"")</f>
        <v/>
      </c>
      <c r="O350" s="280" t="n"/>
      <c r="P350" s="332">
        <f>IFERROR(VLOOKUP(TEXT(O350,"0"),CONDUCTORES!$A$3:$G$54,2,0),"")</f>
        <v/>
      </c>
      <c r="Q350" s="332">
        <f>IFERROR(VLOOKUP(TEXT(O350,"0"),CONDUCTORES!$A$3:$H$54,6,0),"")</f>
        <v/>
      </c>
      <c r="R350" s="280" t="n"/>
      <c r="S350" s="280" t="n"/>
      <c r="T350" s="280" t="n"/>
      <c r="U350" s="280" t="n"/>
      <c r="V350" s="280" t="n"/>
      <c r="W350" s="280" t="n"/>
      <c r="X350" s="280" t="n"/>
      <c r="Y350" s="280" t="n"/>
      <c r="Z350" s="375">
        <f>IF(AND(G350&lt;&gt;"",R350&lt;&gt;"",V350&lt;&gt;"",W350&lt;&gt;""),"COMPLETADO","OBSERVADO")</f>
        <v/>
      </c>
    </row>
    <row r="351" ht="15" customHeight="1" s="195">
      <c r="A351" s="334" t="n"/>
      <c r="B351" s="334" t="n"/>
      <c r="C351" s="334" t="n"/>
      <c r="D351" s="334" t="n"/>
      <c r="E351" s="334" t="n"/>
      <c r="F351" s="334" t="n"/>
      <c r="G351" s="334" t="n"/>
      <c r="H351" s="334" t="n"/>
      <c r="I351" s="332">
        <f>IFERROR(VLOOKUP(TEXT(H351,"0"),IPRESS!$A$3:$B$212,2,0),"")</f>
        <v/>
      </c>
      <c r="J351" s="334" t="n"/>
      <c r="K351" s="332">
        <f>IFERROR(VLOOKUP(TEXT(O351,"0"),CONDUCTORES!$A$3:$G$54,7,0),"")</f>
        <v/>
      </c>
      <c r="L351" s="334" t="n"/>
      <c r="M351" s="334" t="n"/>
      <c r="N351" s="333">
        <f>IFERROR(IF(L351*M351=0,"",L351*M351),"")</f>
        <v/>
      </c>
      <c r="O351" s="334" t="n"/>
      <c r="P351" s="332">
        <f>IFERROR(VLOOKUP(TEXT(O351,"0"),CONDUCTORES!$A$3:$G$54,2,0),"")</f>
        <v/>
      </c>
      <c r="Q351" s="332">
        <f>IFERROR(VLOOKUP(TEXT(O351,"0"),CONDUCTORES!$A$3:$H$54,6,0),"")</f>
        <v/>
      </c>
      <c r="R351" s="334" t="n"/>
      <c r="S351" s="334" t="n"/>
      <c r="T351" s="334" t="n"/>
      <c r="U351" s="334" t="n"/>
      <c r="V351" s="334" t="n"/>
      <c r="W351" s="334" t="n"/>
      <c r="X351" s="334" t="n"/>
      <c r="Y351" s="334" t="n"/>
      <c r="Z351" s="375">
        <f>IF(AND(G351&lt;&gt;"",R351&lt;&gt;"",V351&lt;&gt;"",W351&lt;&gt;""),"COMPLETADO","OBSERVADO")</f>
        <v/>
      </c>
    </row>
    <row r="352" ht="15" customHeight="1" s="195">
      <c r="A352" s="280" t="n"/>
      <c r="B352" s="280" t="n"/>
      <c r="C352" s="280" t="n"/>
      <c r="D352" s="280" t="n"/>
      <c r="E352" s="280" t="n"/>
      <c r="F352" s="280" t="n"/>
      <c r="G352" s="280" t="n"/>
      <c r="H352" s="280" t="n"/>
      <c r="I352" s="332">
        <f>IFERROR(VLOOKUP(TEXT(H352,"0"),IPRESS!$A$3:$B$212,2,0),"")</f>
        <v/>
      </c>
      <c r="J352" s="280" t="n"/>
      <c r="K352" s="332">
        <f>IFERROR(VLOOKUP(TEXT(O352,"0"),CONDUCTORES!$A$3:$G$54,7,0),"")</f>
        <v/>
      </c>
      <c r="L352" s="280" t="n"/>
      <c r="M352" s="280" t="n"/>
      <c r="N352" s="333">
        <f>IFERROR(IF(L352*M352=0,"",L352*M352),"")</f>
        <v/>
      </c>
      <c r="O352" s="280" t="n"/>
      <c r="P352" s="332">
        <f>IFERROR(VLOOKUP(TEXT(O352,"0"),CONDUCTORES!$A$3:$G$54,2,0),"")</f>
        <v/>
      </c>
      <c r="Q352" s="332">
        <f>IFERROR(VLOOKUP(TEXT(O352,"0"),CONDUCTORES!$A$3:$H$54,6,0),"")</f>
        <v/>
      </c>
      <c r="R352" s="280" t="n"/>
      <c r="S352" s="280" t="n"/>
      <c r="T352" s="280" t="n"/>
      <c r="U352" s="280" t="n"/>
      <c r="V352" s="280" t="n"/>
      <c r="W352" s="280" t="n"/>
      <c r="X352" s="280" t="n"/>
      <c r="Y352" s="280" t="n"/>
      <c r="Z352" s="375">
        <f>IF(AND(G352&lt;&gt;"",R352&lt;&gt;"",V352&lt;&gt;"",W352&lt;&gt;""),"COMPLETADO","OBSERVADO")</f>
        <v/>
      </c>
    </row>
    <row r="353" ht="15" customHeight="1" s="195">
      <c r="A353" s="334" t="n"/>
      <c r="B353" s="334" t="n"/>
      <c r="C353" s="334" t="n"/>
      <c r="D353" s="334" t="n"/>
      <c r="E353" s="334" t="n"/>
      <c r="F353" s="334" t="n"/>
      <c r="G353" s="334" t="n"/>
      <c r="H353" s="334" t="n"/>
      <c r="I353" s="332">
        <f>IFERROR(VLOOKUP(TEXT(H353,"0"),IPRESS!$A$3:$B$212,2,0),"")</f>
        <v/>
      </c>
      <c r="J353" s="334" t="n"/>
      <c r="K353" s="332">
        <f>IFERROR(VLOOKUP(TEXT(O353,"0"),CONDUCTORES!$A$3:$G$54,7,0),"")</f>
        <v/>
      </c>
      <c r="L353" s="334" t="n"/>
      <c r="M353" s="334" t="n"/>
      <c r="N353" s="333">
        <f>IFERROR(IF(L353*M353=0,"",L353*M353),"")</f>
        <v/>
      </c>
      <c r="O353" s="334" t="n"/>
      <c r="P353" s="332">
        <f>IFERROR(VLOOKUP(TEXT(O353,"0"),CONDUCTORES!$A$3:$G$54,2,0),"")</f>
        <v/>
      </c>
      <c r="Q353" s="332">
        <f>IFERROR(VLOOKUP(TEXT(O353,"0"),CONDUCTORES!$A$3:$H$54,6,0),"")</f>
        <v/>
      </c>
      <c r="R353" s="334" t="n"/>
      <c r="S353" s="334" t="n"/>
      <c r="T353" s="334" t="n"/>
      <c r="U353" s="334" t="n"/>
      <c r="V353" s="334" t="n"/>
      <c r="W353" s="334" t="n"/>
      <c r="X353" s="334" t="n"/>
      <c r="Y353" s="334" t="n"/>
      <c r="Z353" s="375">
        <f>IF(AND(G353&lt;&gt;"",R353&lt;&gt;"",V353&lt;&gt;"",W353&lt;&gt;""),"COMPLETADO","OBSERVADO")</f>
        <v/>
      </c>
    </row>
    <row r="354" ht="15" customHeight="1" s="195">
      <c r="A354" s="280" t="n"/>
      <c r="B354" s="280" t="n"/>
      <c r="C354" s="280" t="n"/>
      <c r="D354" s="280" t="n"/>
      <c r="E354" s="280" t="n"/>
      <c r="F354" s="280" t="n"/>
      <c r="G354" s="280" t="n"/>
      <c r="H354" s="280" t="n"/>
      <c r="I354" s="332">
        <f>IFERROR(VLOOKUP(TEXT(H354,"0"),IPRESS!$A$3:$B$212,2,0),"")</f>
        <v/>
      </c>
      <c r="J354" s="280" t="n"/>
      <c r="K354" s="332">
        <f>IFERROR(VLOOKUP(TEXT(O354,"0"),CONDUCTORES!$A$3:$G$54,7,0),"")</f>
        <v/>
      </c>
      <c r="L354" s="280" t="n"/>
      <c r="M354" s="280" t="n"/>
      <c r="N354" s="333">
        <f>IFERROR(IF(L354*M354=0,"",L354*M354),"")</f>
        <v/>
      </c>
      <c r="O354" s="280" t="n"/>
      <c r="P354" s="332">
        <f>IFERROR(VLOOKUP(TEXT(O354,"0"),CONDUCTORES!$A$3:$G$54,2,0),"")</f>
        <v/>
      </c>
      <c r="Q354" s="332">
        <f>IFERROR(VLOOKUP(TEXT(O354,"0"),CONDUCTORES!$A$3:$H$54,6,0),"")</f>
        <v/>
      </c>
      <c r="R354" s="280" t="n"/>
      <c r="S354" s="280" t="n"/>
      <c r="T354" s="280" t="n"/>
      <c r="U354" s="280" t="n"/>
      <c r="V354" s="280" t="n"/>
      <c r="W354" s="280" t="n"/>
      <c r="X354" s="280" t="n"/>
      <c r="Y354" s="280" t="n"/>
      <c r="Z354" s="375">
        <f>IF(AND(G354&lt;&gt;"",R354&lt;&gt;"",V354&lt;&gt;"",W354&lt;&gt;""),"COMPLETADO","OBSERVADO")</f>
        <v/>
      </c>
    </row>
    <row r="355" ht="15" customHeight="1" s="195">
      <c r="A355" s="334" t="n"/>
      <c r="B355" s="334" t="n"/>
      <c r="C355" s="334" t="n"/>
      <c r="D355" s="334" t="n"/>
      <c r="E355" s="334" t="n"/>
      <c r="F355" s="334" t="n"/>
      <c r="G355" s="334" t="n"/>
      <c r="H355" s="334" t="n"/>
      <c r="I355" s="332">
        <f>IFERROR(VLOOKUP(TEXT(H355,"0"),IPRESS!$A$3:$B$212,2,0),"")</f>
        <v/>
      </c>
      <c r="J355" s="334" t="n"/>
      <c r="K355" s="332">
        <f>IFERROR(VLOOKUP(TEXT(O355,"0"),CONDUCTORES!$A$3:$G$54,7,0),"")</f>
        <v/>
      </c>
      <c r="L355" s="334" t="n"/>
      <c r="M355" s="334" t="n"/>
      <c r="N355" s="333">
        <f>IFERROR(IF(L355*M355=0,"",L355*M355),"")</f>
        <v/>
      </c>
      <c r="O355" s="334" t="n"/>
      <c r="P355" s="332">
        <f>IFERROR(VLOOKUP(TEXT(O355,"0"),CONDUCTORES!$A$3:$G$54,2,0),"")</f>
        <v/>
      </c>
      <c r="Q355" s="332">
        <f>IFERROR(VLOOKUP(TEXT(O355,"0"),CONDUCTORES!$A$3:$H$54,6,0),"")</f>
        <v/>
      </c>
      <c r="R355" s="334" t="n"/>
      <c r="S355" s="334" t="n"/>
      <c r="T355" s="334" t="n"/>
      <c r="U355" s="334" t="n"/>
      <c r="V355" s="334" t="n"/>
      <c r="W355" s="334" t="n"/>
      <c r="X355" s="334" t="n"/>
      <c r="Y355" s="334" t="n"/>
      <c r="Z355" s="375">
        <f>IF(AND(G355&lt;&gt;"",R355&lt;&gt;"",V355&lt;&gt;"",W355&lt;&gt;""),"COMPLETADO","OBSERVADO")</f>
        <v/>
      </c>
    </row>
    <row r="356" ht="15" customHeight="1" s="195">
      <c r="A356" s="280" t="n"/>
      <c r="B356" s="280" t="n"/>
      <c r="C356" s="280" t="n"/>
      <c r="D356" s="280" t="n"/>
      <c r="E356" s="280" t="n"/>
      <c r="F356" s="280" t="n"/>
      <c r="G356" s="280" t="n"/>
      <c r="H356" s="280" t="n"/>
      <c r="I356" s="332">
        <f>IFERROR(VLOOKUP(TEXT(H356,"0"),IPRESS!$A$3:$B$212,2,0),"")</f>
        <v/>
      </c>
      <c r="J356" s="280" t="n"/>
      <c r="K356" s="332">
        <f>IFERROR(VLOOKUP(TEXT(O356,"0"),CONDUCTORES!$A$3:$G$54,7,0),"")</f>
        <v/>
      </c>
      <c r="L356" s="280" t="n"/>
      <c r="M356" s="280" t="n"/>
      <c r="N356" s="333">
        <f>IFERROR(IF(L356*M356=0,"",L356*M356),"")</f>
        <v/>
      </c>
      <c r="O356" s="280" t="n"/>
      <c r="P356" s="332">
        <f>IFERROR(VLOOKUP(TEXT(O356,"0"),CONDUCTORES!$A$3:$G$54,2,0),"")</f>
        <v/>
      </c>
      <c r="Q356" s="332">
        <f>IFERROR(VLOOKUP(TEXT(O356,"0"),CONDUCTORES!$A$3:$H$54,6,0),"")</f>
        <v/>
      </c>
      <c r="R356" s="280" t="n"/>
      <c r="S356" s="280" t="n"/>
      <c r="T356" s="280" t="n"/>
      <c r="U356" s="280" t="n"/>
      <c r="V356" s="280" t="n"/>
      <c r="W356" s="280" t="n"/>
      <c r="X356" s="280" t="n"/>
      <c r="Y356" s="280" t="n"/>
      <c r="Z356" s="375">
        <f>IF(AND(G356&lt;&gt;"",R356&lt;&gt;"",V356&lt;&gt;"",W356&lt;&gt;""),"COMPLETADO","OBSERVADO")</f>
        <v/>
      </c>
    </row>
    <row r="357" ht="15" customHeight="1" s="195">
      <c r="A357" s="334" t="n"/>
      <c r="B357" s="334" t="n"/>
      <c r="C357" s="334" t="n"/>
      <c r="D357" s="334" t="n"/>
      <c r="E357" s="334" t="n"/>
      <c r="F357" s="334" t="n"/>
      <c r="G357" s="334" t="n"/>
      <c r="H357" s="334" t="n"/>
      <c r="I357" s="332">
        <f>IFERROR(VLOOKUP(TEXT(H357,"0"),IPRESS!$A$3:$B$212,2,0),"")</f>
        <v/>
      </c>
      <c r="J357" s="334" t="n"/>
      <c r="K357" s="332">
        <f>IFERROR(VLOOKUP(TEXT(O357,"0"),CONDUCTORES!$A$3:$G$54,7,0),"")</f>
        <v/>
      </c>
      <c r="L357" s="334" t="n"/>
      <c r="M357" s="334" t="n"/>
      <c r="N357" s="333">
        <f>IFERROR(IF(L357*M357=0,"",L357*M357),"")</f>
        <v/>
      </c>
      <c r="O357" s="334" t="n"/>
      <c r="P357" s="332">
        <f>IFERROR(VLOOKUP(TEXT(O357,"0"),CONDUCTORES!$A$3:$G$54,2,0),"")</f>
        <v/>
      </c>
      <c r="Q357" s="332">
        <f>IFERROR(VLOOKUP(TEXT(O357,"0"),CONDUCTORES!$A$3:$H$54,6,0),"")</f>
        <v/>
      </c>
      <c r="R357" s="334" t="n"/>
      <c r="S357" s="334" t="n"/>
      <c r="T357" s="334" t="n"/>
      <c r="U357" s="334" t="n"/>
      <c r="V357" s="334" t="n"/>
      <c r="W357" s="334" t="n"/>
      <c r="X357" s="334" t="n"/>
      <c r="Y357" s="334" t="n"/>
      <c r="Z357" s="375">
        <f>IF(AND(G357&lt;&gt;"",R357&lt;&gt;"",V357&lt;&gt;"",W357&lt;&gt;""),"COMPLETADO","OBSERVADO")</f>
        <v/>
      </c>
    </row>
    <row r="358" ht="15" customHeight="1" s="195">
      <c r="A358" s="280" t="n"/>
      <c r="B358" s="280" t="n"/>
      <c r="C358" s="280" t="n"/>
      <c r="D358" s="280" t="n"/>
      <c r="E358" s="280" t="n"/>
      <c r="F358" s="280" t="n"/>
      <c r="G358" s="280" t="n"/>
      <c r="H358" s="280" t="n"/>
      <c r="I358" s="332">
        <f>IFERROR(VLOOKUP(TEXT(H358,"0"),IPRESS!$A$3:$B$212,2,0),"")</f>
        <v/>
      </c>
      <c r="J358" s="280" t="n"/>
      <c r="K358" s="332">
        <f>IFERROR(VLOOKUP(TEXT(O358,"0"),CONDUCTORES!$A$3:$G$54,7,0),"")</f>
        <v/>
      </c>
      <c r="L358" s="280" t="n"/>
      <c r="M358" s="280" t="n"/>
      <c r="N358" s="333">
        <f>IFERROR(IF(L358*M358=0,"",L358*M358),"")</f>
        <v/>
      </c>
      <c r="O358" s="280" t="n"/>
      <c r="P358" s="332">
        <f>IFERROR(VLOOKUP(TEXT(O358,"0"),CONDUCTORES!$A$3:$G$54,2,0),"")</f>
        <v/>
      </c>
      <c r="Q358" s="332">
        <f>IFERROR(VLOOKUP(TEXT(O358,"0"),CONDUCTORES!$A$3:$H$54,6,0),"")</f>
        <v/>
      </c>
      <c r="R358" s="280" t="n"/>
      <c r="S358" s="280" t="n"/>
      <c r="T358" s="280" t="n"/>
      <c r="U358" s="280" t="n"/>
      <c r="V358" s="280" t="n"/>
      <c r="W358" s="280" t="n"/>
      <c r="X358" s="280" t="n"/>
      <c r="Y358" s="280" t="n"/>
      <c r="Z358" s="375">
        <f>IF(AND(G358&lt;&gt;"",R358&lt;&gt;"",V358&lt;&gt;"",W358&lt;&gt;""),"COMPLETADO","OBSERVADO")</f>
        <v/>
      </c>
    </row>
    <row r="359" ht="15" customHeight="1" s="195">
      <c r="A359" s="334" t="n"/>
      <c r="B359" s="334" t="n"/>
      <c r="C359" s="334" t="n"/>
      <c r="D359" s="334" t="n"/>
      <c r="E359" s="334" t="n"/>
      <c r="F359" s="334" t="n"/>
      <c r="G359" s="334" t="n"/>
      <c r="H359" s="334" t="n"/>
      <c r="I359" s="332">
        <f>IFERROR(VLOOKUP(TEXT(H359,"0"),IPRESS!$A$3:$B$212,2,0),"")</f>
        <v/>
      </c>
      <c r="J359" s="334" t="n"/>
      <c r="K359" s="332">
        <f>IFERROR(VLOOKUP(TEXT(O359,"0"),CONDUCTORES!$A$3:$G$54,7,0),"")</f>
        <v/>
      </c>
      <c r="L359" s="334" t="n"/>
      <c r="M359" s="334" t="n"/>
      <c r="N359" s="333">
        <f>IFERROR(IF(L359*M359=0,"",L359*M359),"")</f>
        <v/>
      </c>
      <c r="O359" s="334" t="n"/>
      <c r="P359" s="332">
        <f>IFERROR(VLOOKUP(TEXT(O359,"0"),CONDUCTORES!$A$3:$G$54,2,0),"")</f>
        <v/>
      </c>
      <c r="Q359" s="332">
        <f>IFERROR(VLOOKUP(TEXT(O359,"0"),CONDUCTORES!$A$3:$H$54,6,0),"")</f>
        <v/>
      </c>
      <c r="R359" s="334" t="n"/>
      <c r="S359" s="334" t="n"/>
      <c r="T359" s="334" t="n"/>
      <c r="U359" s="334" t="n"/>
      <c r="V359" s="334" t="n"/>
      <c r="W359" s="334" t="n"/>
      <c r="X359" s="334" t="n"/>
      <c r="Y359" s="334" t="n"/>
      <c r="Z359" s="375">
        <f>IF(AND(G359&lt;&gt;"",R359&lt;&gt;"",V359&lt;&gt;"",W359&lt;&gt;""),"COMPLETADO","OBSERVADO")</f>
        <v/>
      </c>
    </row>
    <row r="360" ht="15" customHeight="1" s="195">
      <c r="A360" s="280" t="n"/>
      <c r="B360" s="280" t="n"/>
      <c r="C360" s="280" t="n"/>
      <c r="D360" s="280" t="n"/>
      <c r="E360" s="280" t="n"/>
      <c r="F360" s="280" t="n"/>
      <c r="G360" s="280" t="n"/>
      <c r="H360" s="280" t="n"/>
      <c r="I360" s="332">
        <f>IFERROR(VLOOKUP(TEXT(H360,"0"),IPRESS!$A$3:$B$212,2,0),"")</f>
        <v/>
      </c>
      <c r="J360" s="280" t="n"/>
      <c r="K360" s="332">
        <f>IFERROR(VLOOKUP(TEXT(O360,"0"),CONDUCTORES!$A$3:$G$54,7,0),"")</f>
        <v/>
      </c>
      <c r="L360" s="280" t="n"/>
      <c r="M360" s="280" t="n"/>
      <c r="N360" s="333">
        <f>IFERROR(IF(L360*M360=0,"",L360*M360),"")</f>
        <v/>
      </c>
      <c r="O360" s="280" t="n"/>
      <c r="P360" s="332">
        <f>IFERROR(VLOOKUP(TEXT(O360,"0"),CONDUCTORES!$A$3:$G$54,2,0),"")</f>
        <v/>
      </c>
      <c r="Q360" s="332">
        <f>IFERROR(VLOOKUP(TEXT(O360,"0"),CONDUCTORES!$A$3:$H$54,6,0),"")</f>
        <v/>
      </c>
      <c r="R360" s="280" t="n"/>
      <c r="S360" s="280" t="n"/>
      <c r="T360" s="280" t="n"/>
      <c r="U360" s="280" t="n"/>
      <c r="V360" s="280" t="n"/>
      <c r="W360" s="280" t="n"/>
      <c r="X360" s="280" t="n"/>
      <c r="Y360" s="280" t="n"/>
      <c r="Z360" s="375">
        <f>IF(AND(G360&lt;&gt;"",R360&lt;&gt;"",V360&lt;&gt;"",W360&lt;&gt;""),"COMPLETADO","OBSERVADO")</f>
        <v/>
      </c>
    </row>
    <row r="361" ht="15" customHeight="1" s="195">
      <c r="A361" s="334" t="n"/>
      <c r="B361" s="334" t="n"/>
      <c r="C361" s="334" t="n"/>
      <c r="D361" s="334" t="n"/>
      <c r="E361" s="334" t="n"/>
      <c r="F361" s="334" t="n"/>
      <c r="G361" s="334" t="n"/>
      <c r="H361" s="334" t="n"/>
      <c r="I361" s="332">
        <f>IFERROR(VLOOKUP(TEXT(H361,"0"),IPRESS!$A$3:$B$212,2,0),"")</f>
        <v/>
      </c>
      <c r="J361" s="334" t="n"/>
      <c r="K361" s="332">
        <f>IFERROR(VLOOKUP(TEXT(O361,"0"),CONDUCTORES!$A$3:$G$54,7,0),"")</f>
        <v/>
      </c>
      <c r="L361" s="334" t="n"/>
      <c r="M361" s="334" t="n"/>
      <c r="N361" s="333">
        <f>IFERROR(IF(L361*M361=0,"",L361*M361),"")</f>
        <v/>
      </c>
      <c r="O361" s="334" t="n"/>
      <c r="P361" s="332">
        <f>IFERROR(VLOOKUP(TEXT(O361,"0"),CONDUCTORES!$A$3:$G$54,2,0),"")</f>
        <v/>
      </c>
      <c r="Q361" s="332">
        <f>IFERROR(VLOOKUP(TEXT(O361,"0"),CONDUCTORES!$A$3:$H$54,6,0),"")</f>
        <v/>
      </c>
      <c r="R361" s="334" t="n"/>
      <c r="S361" s="334" t="n"/>
      <c r="T361" s="334" t="n"/>
      <c r="U361" s="334" t="n"/>
      <c r="V361" s="334" t="n"/>
      <c r="W361" s="334" t="n"/>
      <c r="X361" s="334" t="n"/>
      <c r="Y361" s="334" t="n"/>
      <c r="Z361" s="375">
        <f>IF(AND(G361&lt;&gt;"",R361&lt;&gt;"",V361&lt;&gt;"",W361&lt;&gt;""),"COMPLETADO","OBSERVADO")</f>
        <v/>
      </c>
    </row>
    <row r="362" ht="15" customHeight="1" s="195">
      <c r="A362" s="280" t="n"/>
      <c r="B362" s="280" t="n"/>
      <c r="C362" s="280" t="n"/>
      <c r="D362" s="280" t="n"/>
      <c r="E362" s="280" t="n"/>
      <c r="F362" s="280" t="n"/>
      <c r="G362" s="280" t="n"/>
      <c r="H362" s="280" t="n"/>
      <c r="I362" s="332">
        <f>IFERROR(VLOOKUP(TEXT(H362,"0"),IPRESS!$A$3:$B$212,2,0),"")</f>
        <v/>
      </c>
      <c r="J362" s="280" t="n"/>
      <c r="K362" s="332">
        <f>IFERROR(VLOOKUP(TEXT(O362,"0"),CONDUCTORES!$A$3:$G$54,7,0),"")</f>
        <v/>
      </c>
      <c r="L362" s="280" t="n"/>
      <c r="M362" s="280" t="n"/>
      <c r="N362" s="333">
        <f>IFERROR(IF(L362*M362=0,"",L362*M362),"")</f>
        <v/>
      </c>
      <c r="O362" s="280" t="n"/>
      <c r="P362" s="332">
        <f>IFERROR(VLOOKUP(TEXT(O362,"0"),CONDUCTORES!$A$3:$G$54,2,0),"")</f>
        <v/>
      </c>
      <c r="Q362" s="332">
        <f>IFERROR(VLOOKUP(TEXT(O362,"0"),CONDUCTORES!$A$3:$H$54,6,0),"")</f>
        <v/>
      </c>
      <c r="R362" s="280" t="n"/>
      <c r="S362" s="280" t="n"/>
      <c r="T362" s="280" t="n"/>
      <c r="U362" s="280" t="n"/>
      <c r="V362" s="280" t="n"/>
      <c r="W362" s="280" t="n"/>
      <c r="X362" s="280" t="n"/>
      <c r="Y362" s="280" t="n"/>
      <c r="Z362" s="375">
        <f>IF(AND(G362&lt;&gt;"",R362&lt;&gt;"",V362&lt;&gt;"",W362&lt;&gt;""),"COMPLETADO","OBSERVADO")</f>
        <v/>
      </c>
    </row>
    <row r="363" ht="15" customHeight="1" s="195">
      <c r="A363" s="334" t="n"/>
      <c r="B363" s="334" t="n"/>
      <c r="C363" s="334" t="n"/>
      <c r="D363" s="334" t="n"/>
      <c r="E363" s="334" t="n"/>
      <c r="F363" s="334" t="n"/>
      <c r="G363" s="334" t="n"/>
      <c r="H363" s="334" t="n"/>
      <c r="I363" s="332">
        <f>IFERROR(VLOOKUP(TEXT(H363,"0"),IPRESS!$A$3:$B$212,2,0),"")</f>
        <v/>
      </c>
      <c r="J363" s="334" t="n"/>
      <c r="K363" s="332">
        <f>IFERROR(VLOOKUP(TEXT(O363,"0"),CONDUCTORES!$A$3:$G$54,7,0),"")</f>
        <v/>
      </c>
      <c r="L363" s="334" t="n"/>
      <c r="M363" s="334" t="n"/>
      <c r="N363" s="333">
        <f>IFERROR(IF(L363*M363=0,"",L363*M363),"")</f>
        <v/>
      </c>
      <c r="O363" s="334" t="n"/>
      <c r="P363" s="332">
        <f>IFERROR(VLOOKUP(TEXT(O363,"0"),CONDUCTORES!$A$3:$G$54,2,0),"")</f>
        <v/>
      </c>
      <c r="Q363" s="332">
        <f>IFERROR(VLOOKUP(TEXT(O363,"0"),CONDUCTORES!$A$3:$H$54,6,0),"")</f>
        <v/>
      </c>
      <c r="R363" s="334" t="n"/>
      <c r="S363" s="334" t="n"/>
      <c r="T363" s="334" t="n"/>
      <c r="U363" s="334" t="n"/>
      <c r="V363" s="334" t="n"/>
      <c r="W363" s="334" t="n"/>
      <c r="X363" s="334" t="n"/>
      <c r="Y363" s="334" t="n"/>
      <c r="Z363" s="375">
        <f>IF(AND(G363&lt;&gt;"",R363&lt;&gt;"",V363&lt;&gt;"",W363&lt;&gt;""),"COMPLETADO","OBSERVADO")</f>
        <v/>
      </c>
    </row>
    <row r="364" ht="15" customHeight="1" s="195">
      <c r="A364" s="280" t="n"/>
      <c r="B364" s="280" t="n"/>
      <c r="C364" s="280" t="n"/>
      <c r="D364" s="280" t="n"/>
      <c r="E364" s="280" t="n"/>
      <c r="F364" s="280" t="n"/>
      <c r="G364" s="280" t="n"/>
      <c r="H364" s="280" t="n"/>
      <c r="I364" s="332">
        <f>IFERROR(VLOOKUP(TEXT(H364,"0"),IPRESS!$A$3:$B$212,2,0),"")</f>
        <v/>
      </c>
      <c r="J364" s="280" t="n"/>
      <c r="K364" s="332">
        <f>IFERROR(VLOOKUP(TEXT(O364,"0"),CONDUCTORES!$A$3:$G$54,7,0),"")</f>
        <v/>
      </c>
      <c r="L364" s="280" t="n"/>
      <c r="M364" s="280" t="n"/>
      <c r="N364" s="333">
        <f>IFERROR(IF(L364*M364=0,"",L364*M364),"")</f>
        <v/>
      </c>
      <c r="O364" s="280" t="n"/>
      <c r="P364" s="332">
        <f>IFERROR(VLOOKUP(TEXT(O364,"0"),CONDUCTORES!$A$3:$G$54,2,0),"")</f>
        <v/>
      </c>
      <c r="Q364" s="332">
        <f>IFERROR(VLOOKUP(TEXT(O364,"0"),CONDUCTORES!$A$3:$H$54,6,0),"")</f>
        <v/>
      </c>
      <c r="R364" s="280" t="n"/>
      <c r="S364" s="280" t="n"/>
      <c r="T364" s="280" t="n"/>
      <c r="U364" s="280" t="n"/>
      <c r="V364" s="280" t="n"/>
      <c r="W364" s="280" t="n"/>
      <c r="X364" s="280" t="n"/>
      <c r="Y364" s="280" t="n"/>
      <c r="Z364" s="375">
        <f>IF(AND(G364&lt;&gt;"",R364&lt;&gt;"",V364&lt;&gt;"",W364&lt;&gt;""),"COMPLETADO","OBSERVADO")</f>
        <v/>
      </c>
    </row>
    <row r="365" ht="15" customHeight="1" s="195">
      <c r="A365" s="334" t="n"/>
      <c r="B365" s="334" t="n"/>
      <c r="C365" s="334" t="n"/>
      <c r="D365" s="334" t="n"/>
      <c r="E365" s="334" t="n"/>
      <c r="F365" s="334" t="n"/>
      <c r="G365" s="334" t="n"/>
      <c r="H365" s="334" t="n"/>
      <c r="I365" s="332">
        <f>IFERROR(VLOOKUP(TEXT(H365,"0"),IPRESS!$A$3:$B$212,2,0),"")</f>
        <v/>
      </c>
      <c r="J365" s="334" t="n"/>
      <c r="K365" s="332">
        <f>IFERROR(VLOOKUP(TEXT(O365,"0"),CONDUCTORES!$A$3:$G$54,7,0),"")</f>
        <v/>
      </c>
      <c r="L365" s="334" t="n"/>
      <c r="M365" s="334" t="n"/>
      <c r="N365" s="333">
        <f>IFERROR(IF(L365*M365=0,"",L365*M365),"")</f>
        <v/>
      </c>
      <c r="O365" s="334" t="n"/>
      <c r="P365" s="332">
        <f>IFERROR(VLOOKUP(TEXT(O365,"0"),CONDUCTORES!$A$3:$G$54,2,0),"")</f>
        <v/>
      </c>
      <c r="Q365" s="332">
        <f>IFERROR(VLOOKUP(TEXT(O365,"0"),CONDUCTORES!$A$3:$H$54,6,0),"")</f>
        <v/>
      </c>
      <c r="R365" s="334" t="n"/>
      <c r="S365" s="334" t="n"/>
      <c r="T365" s="334" t="n"/>
      <c r="U365" s="334" t="n"/>
      <c r="V365" s="334" t="n"/>
      <c r="W365" s="334" t="n"/>
      <c r="X365" s="334" t="n"/>
      <c r="Y365" s="334" t="n"/>
      <c r="Z365" s="375">
        <f>IF(AND(G365&lt;&gt;"",R365&lt;&gt;"",V365&lt;&gt;"",W365&lt;&gt;""),"COMPLETADO","OBSERVADO")</f>
        <v/>
      </c>
    </row>
    <row r="366" ht="15" customHeight="1" s="195">
      <c r="A366" s="280" t="n"/>
      <c r="B366" s="280" t="n"/>
      <c r="C366" s="280" t="n"/>
      <c r="D366" s="280" t="n"/>
      <c r="E366" s="280" t="n"/>
      <c r="F366" s="280" t="n"/>
      <c r="G366" s="280" t="n"/>
      <c r="H366" s="280" t="n"/>
      <c r="I366" s="332">
        <f>IFERROR(VLOOKUP(TEXT(H366,"0"),IPRESS!$A$3:$B$212,2,0),"")</f>
        <v/>
      </c>
      <c r="J366" s="280" t="n"/>
      <c r="K366" s="332">
        <f>IFERROR(VLOOKUP(TEXT(O366,"0"),CONDUCTORES!$A$3:$G$54,7,0),"")</f>
        <v/>
      </c>
      <c r="L366" s="280" t="n"/>
      <c r="M366" s="280" t="n"/>
      <c r="N366" s="333">
        <f>IFERROR(IF(L366*M366=0,"",L366*M366),"")</f>
        <v/>
      </c>
      <c r="O366" s="280" t="n"/>
      <c r="P366" s="332">
        <f>IFERROR(VLOOKUP(TEXT(O366,"0"),CONDUCTORES!$A$3:$G$54,2,0),"")</f>
        <v/>
      </c>
      <c r="Q366" s="332">
        <f>IFERROR(VLOOKUP(TEXT(O366,"0"),CONDUCTORES!$A$3:$H$54,6,0),"")</f>
        <v/>
      </c>
      <c r="R366" s="280" t="n"/>
      <c r="S366" s="280" t="n"/>
      <c r="T366" s="280" t="n"/>
      <c r="U366" s="280" t="n"/>
      <c r="V366" s="280" t="n"/>
      <c r="W366" s="280" t="n"/>
      <c r="X366" s="280" t="n"/>
      <c r="Y366" s="280" t="n"/>
      <c r="Z366" s="375">
        <f>IF(AND(G366&lt;&gt;"",R366&lt;&gt;"",V366&lt;&gt;"",W366&lt;&gt;""),"COMPLETADO","OBSERVADO")</f>
        <v/>
      </c>
    </row>
    <row r="367" ht="15" customHeight="1" s="195">
      <c r="A367" s="334" t="n"/>
      <c r="B367" s="334" t="n"/>
      <c r="C367" s="334" t="n"/>
      <c r="D367" s="334" t="n"/>
      <c r="E367" s="334" t="n"/>
      <c r="F367" s="334" t="n"/>
      <c r="G367" s="334" t="n"/>
      <c r="H367" s="334" t="n"/>
      <c r="I367" s="332">
        <f>IFERROR(VLOOKUP(TEXT(H367,"0"),IPRESS!$A$3:$B$212,2,0),"")</f>
        <v/>
      </c>
      <c r="J367" s="334" t="n"/>
      <c r="K367" s="332">
        <f>IFERROR(VLOOKUP(TEXT(O367,"0"),CONDUCTORES!$A$3:$G$54,7,0),"")</f>
        <v/>
      </c>
      <c r="L367" s="334" t="n"/>
      <c r="M367" s="334" t="n"/>
      <c r="N367" s="333">
        <f>IFERROR(IF(L367*M367=0,"",L367*M367),"")</f>
        <v/>
      </c>
      <c r="O367" s="334" t="n"/>
      <c r="P367" s="332">
        <f>IFERROR(VLOOKUP(TEXT(O367,"0"),CONDUCTORES!$A$3:$G$54,2,0),"")</f>
        <v/>
      </c>
      <c r="Q367" s="332">
        <f>IFERROR(VLOOKUP(TEXT(O367,"0"),CONDUCTORES!$A$3:$H$54,6,0),"")</f>
        <v/>
      </c>
      <c r="R367" s="334" t="n"/>
      <c r="S367" s="334" t="n"/>
      <c r="T367" s="334" t="n"/>
      <c r="U367" s="334" t="n"/>
      <c r="V367" s="334" t="n"/>
      <c r="W367" s="334" t="n"/>
      <c r="X367" s="334" t="n"/>
      <c r="Y367" s="334" t="n"/>
      <c r="Z367" s="375">
        <f>IF(AND(G367&lt;&gt;"",R367&lt;&gt;"",V367&lt;&gt;"",W367&lt;&gt;""),"COMPLETADO","OBSERVADO")</f>
        <v/>
      </c>
    </row>
    <row r="368" ht="15" customHeight="1" s="195">
      <c r="A368" s="280" t="n"/>
      <c r="B368" s="280" t="n"/>
      <c r="C368" s="280" t="n"/>
      <c r="D368" s="280" t="n"/>
      <c r="E368" s="280" t="n"/>
      <c r="F368" s="280" t="n"/>
      <c r="G368" s="280" t="n"/>
      <c r="H368" s="280" t="n"/>
      <c r="I368" s="332">
        <f>IFERROR(VLOOKUP(TEXT(H368,"0"),IPRESS!$A$3:$B$212,2,0),"")</f>
        <v/>
      </c>
      <c r="J368" s="280" t="n"/>
      <c r="K368" s="332">
        <f>IFERROR(VLOOKUP(TEXT(O368,"0"),CONDUCTORES!$A$3:$G$54,7,0),"")</f>
        <v/>
      </c>
      <c r="L368" s="280" t="n"/>
      <c r="M368" s="280" t="n"/>
      <c r="N368" s="333">
        <f>IFERROR(IF(L368*M368=0,"",L368*M368),"")</f>
        <v/>
      </c>
      <c r="O368" s="280" t="n"/>
      <c r="P368" s="332">
        <f>IFERROR(VLOOKUP(TEXT(O368,"0"),CONDUCTORES!$A$3:$G$54,2,0),"")</f>
        <v/>
      </c>
      <c r="Q368" s="332">
        <f>IFERROR(VLOOKUP(TEXT(O368,"0"),CONDUCTORES!$A$3:$H$54,6,0),"")</f>
        <v/>
      </c>
      <c r="R368" s="280" t="n"/>
      <c r="S368" s="280" t="n"/>
      <c r="T368" s="280" t="n"/>
      <c r="U368" s="280" t="n"/>
      <c r="V368" s="280" t="n"/>
      <c r="W368" s="280" t="n"/>
      <c r="X368" s="280" t="n"/>
      <c r="Y368" s="280" t="n"/>
      <c r="Z368" s="375">
        <f>IF(AND(G368&lt;&gt;"",R368&lt;&gt;"",V368&lt;&gt;"",W368&lt;&gt;""),"COMPLETADO","OBSERVADO")</f>
        <v/>
      </c>
    </row>
    <row r="369" ht="15" customHeight="1" s="195">
      <c r="A369" s="334" t="n"/>
      <c r="B369" s="334" t="n"/>
      <c r="C369" s="334" t="n"/>
      <c r="D369" s="334" t="n"/>
      <c r="E369" s="334" t="n"/>
      <c r="F369" s="334" t="n"/>
      <c r="G369" s="334" t="n"/>
      <c r="H369" s="334" t="n"/>
      <c r="I369" s="332">
        <f>IFERROR(VLOOKUP(TEXT(H369,"0"),IPRESS!$A$3:$B$212,2,0),"")</f>
        <v/>
      </c>
      <c r="J369" s="334" t="n"/>
      <c r="K369" s="332">
        <f>IFERROR(VLOOKUP(TEXT(O369,"0"),CONDUCTORES!$A$3:$G$54,7,0),"")</f>
        <v/>
      </c>
      <c r="L369" s="334" t="n"/>
      <c r="M369" s="334" t="n"/>
      <c r="N369" s="333">
        <f>IFERROR(IF(L369*M369=0,"",L369*M369),"")</f>
        <v/>
      </c>
      <c r="O369" s="334" t="n"/>
      <c r="P369" s="332">
        <f>IFERROR(VLOOKUP(TEXT(O369,"0"),CONDUCTORES!$A$3:$G$54,2,0),"")</f>
        <v/>
      </c>
      <c r="Q369" s="332">
        <f>IFERROR(VLOOKUP(TEXT(O369,"0"),CONDUCTORES!$A$3:$H$54,6,0),"")</f>
        <v/>
      </c>
      <c r="R369" s="334" t="n"/>
      <c r="S369" s="334" t="n"/>
      <c r="T369" s="334" t="n"/>
      <c r="U369" s="334" t="n"/>
      <c r="V369" s="334" t="n"/>
      <c r="W369" s="334" t="n"/>
      <c r="X369" s="334" t="n"/>
      <c r="Y369" s="334" t="n"/>
      <c r="Z369" s="375">
        <f>IF(AND(G369&lt;&gt;"",R369&lt;&gt;"",V369&lt;&gt;"",W369&lt;&gt;""),"COMPLETADO","OBSERVADO")</f>
        <v/>
      </c>
    </row>
    <row r="370" ht="15" customHeight="1" s="195">
      <c r="A370" s="280" t="n"/>
      <c r="B370" s="280" t="n"/>
      <c r="C370" s="280" t="n"/>
      <c r="D370" s="280" t="n"/>
      <c r="E370" s="280" t="n"/>
      <c r="F370" s="280" t="n"/>
      <c r="G370" s="280" t="n"/>
      <c r="H370" s="280" t="n"/>
      <c r="I370" s="332">
        <f>IFERROR(VLOOKUP(TEXT(H370,"0"),IPRESS!$A$3:$B$212,2,0),"")</f>
        <v/>
      </c>
      <c r="J370" s="280" t="n"/>
      <c r="K370" s="332">
        <f>IFERROR(VLOOKUP(TEXT(O370,"0"),CONDUCTORES!$A$3:$G$54,7,0),"")</f>
        <v/>
      </c>
      <c r="L370" s="280" t="n"/>
      <c r="M370" s="280" t="n"/>
      <c r="N370" s="333">
        <f>IFERROR(IF(L370*M370=0,"",L370*M370),"")</f>
        <v/>
      </c>
      <c r="O370" s="280" t="n"/>
      <c r="P370" s="332">
        <f>IFERROR(VLOOKUP(TEXT(O370,"0"),CONDUCTORES!$A$3:$G$54,2,0),"")</f>
        <v/>
      </c>
      <c r="Q370" s="332">
        <f>IFERROR(VLOOKUP(TEXT(O370,"0"),CONDUCTORES!$A$3:$H$54,6,0),"")</f>
        <v/>
      </c>
      <c r="R370" s="280" t="n"/>
      <c r="S370" s="280" t="n"/>
      <c r="T370" s="280" t="n"/>
      <c r="U370" s="280" t="n"/>
      <c r="V370" s="280" t="n"/>
      <c r="W370" s="280" t="n"/>
      <c r="X370" s="280" t="n"/>
      <c r="Y370" s="280" t="n"/>
      <c r="Z370" s="375">
        <f>IF(AND(G370&lt;&gt;"",R370&lt;&gt;"",V370&lt;&gt;"",W370&lt;&gt;""),"COMPLETADO","OBSERVADO")</f>
        <v/>
      </c>
    </row>
    <row r="371" ht="15" customHeight="1" s="195">
      <c r="A371" s="334" t="n"/>
      <c r="B371" s="334" t="n"/>
      <c r="C371" s="334" t="n"/>
      <c r="D371" s="334" t="n"/>
      <c r="E371" s="334" t="n"/>
      <c r="F371" s="334" t="n"/>
      <c r="G371" s="334" t="n"/>
      <c r="H371" s="334" t="n"/>
      <c r="I371" s="332">
        <f>IFERROR(VLOOKUP(TEXT(H371,"0"),IPRESS!$A$3:$B$212,2,0),"")</f>
        <v/>
      </c>
      <c r="J371" s="334" t="n"/>
      <c r="K371" s="332">
        <f>IFERROR(VLOOKUP(TEXT(O371,"0"),CONDUCTORES!$A$3:$G$54,7,0),"")</f>
        <v/>
      </c>
      <c r="L371" s="334" t="n"/>
      <c r="M371" s="334" t="n"/>
      <c r="N371" s="333">
        <f>IFERROR(IF(L371*M371=0,"",L371*M371),"")</f>
        <v/>
      </c>
      <c r="O371" s="334" t="n"/>
      <c r="P371" s="332">
        <f>IFERROR(VLOOKUP(TEXT(O371,"0"),CONDUCTORES!$A$3:$G$54,2,0),"")</f>
        <v/>
      </c>
      <c r="Q371" s="332">
        <f>IFERROR(VLOOKUP(TEXT(O371,"0"),CONDUCTORES!$A$3:$H$54,6,0),"")</f>
        <v/>
      </c>
      <c r="R371" s="334" t="n"/>
      <c r="S371" s="334" t="n"/>
      <c r="T371" s="334" t="n"/>
      <c r="U371" s="334" t="n"/>
      <c r="V371" s="334" t="n"/>
      <c r="W371" s="334" t="n"/>
      <c r="X371" s="334" t="n"/>
      <c r="Y371" s="334" t="n"/>
      <c r="Z371" s="375">
        <f>IF(AND(G371&lt;&gt;"",R371&lt;&gt;"",V371&lt;&gt;"",W371&lt;&gt;""),"COMPLETADO","OBSERVADO")</f>
        <v/>
      </c>
    </row>
    <row r="372" ht="15" customHeight="1" s="195">
      <c r="A372" s="280" t="n"/>
      <c r="B372" s="280" t="n"/>
      <c r="C372" s="280" t="n"/>
      <c r="D372" s="280" t="n"/>
      <c r="E372" s="280" t="n"/>
      <c r="F372" s="280" t="n"/>
      <c r="G372" s="280" t="n"/>
      <c r="H372" s="280" t="n"/>
      <c r="I372" s="332">
        <f>IFERROR(VLOOKUP(TEXT(H372,"0"),IPRESS!$A$3:$B$212,2,0),"")</f>
        <v/>
      </c>
      <c r="J372" s="280" t="n"/>
      <c r="K372" s="332">
        <f>IFERROR(VLOOKUP(TEXT(O372,"0"),CONDUCTORES!$A$3:$G$54,7,0),"")</f>
        <v/>
      </c>
      <c r="L372" s="280" t="n"/>
      <c r="M372" s="280" t="n"/>
      <c r="N372" s="333">
        <f>IFERROR(IF(L372*M372=0,"",L372*M372),"")</f>
        <v/>
      </c>
      <c r="O372" s="280" t="n"/>
      <c r="P372" s="332">
        <f>IFERROR(VLOOKUP(TEXT(O372,"0"),CONDUCTORES!$A$3:$G$54,2,0),"")</f>
        <v/>
      </c>
      <c r="Q372" s="332">
        <f>IFERROR(VLOOKUP(TEXT(O372,"0"),CONDUCTORES!$A$3:$H$54,6,0),"")</f>
        <v/>
      </c>
      <c r="R372" s="280" t="n"/>
      <c r="S372" s="280" t="n"/>
      <c r="T372" s="280" t="n"/>
      <c r="U372" s="280" t="n"/>
      <c r="V372" s="280" t="n"/>
      <c r="W372" s="280" t="n"/>
      <c r="X372" s="280" t="n"/>
      <c r="Y372" s="280" t="n"/>
      <c r="Z372" s="375">
        <f>IF(AND(G372&lt;&gt;"",R372&lt;&gt;"",V372&lt;&gt;"",W372&lt;&gt;""),"COMPLETADO","OBSERVADO")</f>
        <v/>
      </c>
    </row>
    <row r="373" ht="15" customHeight="1" s="195">
      <c r="A373" s="334" t="n"/>
      <c r="B373" s="334" t="n"/>
      <c r="C373" s="334" t="n"/>
      <c r="D373" s="334" t="n"/>
      <c r="E373" s="334" t="n"/>
      <c r="F373" s="334" t="n"/>
      <c r="G373" s="334" t="n"/>
      <c r="H373" s="334" t="n"/>
      <c r="I373" s="332">
        <f>IFERROR(VLOOKUP(TEXT(H373,"0"),IPRESS!$A$3:$B$212,2,0),"")</f>
        <v/>
      </c>
      <c r="J373" s="334" t="n"/>
      <c r="K373" s="332">
        <f>IFERROR(VLOOKUP(TEXT(O373,"0"),CONDUCTORES!$A$3:$G$54,7,0),"")</f>
        <v/>
      </c>
      <c r="L373" s="334" t="n"/>
      <c r="M373" s="334" t="n"/>
      <c r="N373" s="333">
        <f>IFERROR(IF(L373*M373=0,"",L373*M373),"")</f>
        <v/>
      </c>
      <c r="O373" s="334" t="n"/>
      <c r="P373" s="332">
        <f>IFERROR(VLOOKUP(TEXT(O373,"0"),CONDUCTORES!$A$3:$G$54,2,0),"")</f>
        <v/>
      </c>
      <c r="Q373" s="332">
        <f>IFERROR(VLOOKUP(TEXT(O373,"0"),CONDUCTORES!$A$3:$H$54,6,0),"")</f>
        <v/>
      </c>
      <c r="R373" s="334" t="n"/>
      <c r="S373" s="334" t="n"/>
      <c r="T373" s="334" t="n"/>
      <c r="U373" s="334" t="n"/>
      <c r="V373" s="334" t="n"/>
      <c r="W373" s="334" t="n"/>
      <c r="X373" s="334" t="n"/>
      <c r="Y373" s="334" t="n"/>
      <c r="Z373" s="375">
        <f>IF(AND(G373&lt;&gt;"",R373&lt;&gt;"",V373&lt;&gt;"",W373&lt;&gt;""),"COMPLETADO","OBSERVADO")</f>
        <v/>
      </c>
    </row>
    <row r="374" ht="15" customHeight="1" s="195">
      <c r="A374" s="280" t="n"/>
      <c r="B374" s="280" t="n"/>
      <c r="C374" s="280" t="n"/>
      <c r="D374" s="280" t="n"/>
      <c r="E374" s="280" t="n"/>
      <c r="F374" s="280" t="n"/>
      <c r="G374" s="280" t="n"/>
      <c r="H374" s="280" t="n"/>
      <c r="I374" s="332">
        <f>IFERROR(VLOOKUP(TEXT(H374,"0"),IPRESS!$A$3:$B$212,2,0),"")</f>
        <v/>
      </c>
      <c r="J374" s="280" t="n"/>
      <c r="K374" s="332">
        <f>IFERROR(VLOOKUP(TEXT(O374,"0"),CONDUCTORES!$A$3:$G$54,7,0),"")</f>
        <v/>
      </c>
      <c r="L374" s="280" t="n"/>
      <c r="M374" s="280" t="n"/>
      <c r="N374" s="333">
        <f>IFERROR(IF(L374*M374=0,"",L374*M374),"")</f>
        <v/>
      </c>
      <c r="O374" s="280" t="n"/>
      <c r="P374" s="332">
        <f>IFERROR(VLOOKUP(TEXT(O374,"0"),CONDUCTORES!$A$3:$G$54,2,0),"")</f>
        <v/>
      </c>
      <c r="Q374" s="332">
        <f>IFERROR(VLOOKUP(TEXT(O374,"0"),CONDUCTORES!$A$3:$H$54,6,0),"")</f>
        <v/>
      </c>
      <c r="R374" s="280" t="n"/>
      <c r="S374" s="280" t="n"/>
      <c r="T374" s="280" t="n"/>
      <c r="U374" s="280" t="n"/>
      <c r="V374" s="280" t="n"/>
      <c r="W374" s="280" t="n"/>
      <c r="X374" s="280" t="n"/>
      <c r="Y374" s="280" t="n"/>
      <c r="Z374" s="375">
        <f>IF(AND(G374&lt;&gt;"",R374&lt;&gt;"",V374&lt;&gt;"",W374&lt;&gt;""),"COMPLETADO","OBSERVADO")</f>
        <v/>
      </c>
    </row>
    <row r="375" ht="15" customHeight="1" s="195">
      <c r="A375" s="334" t="n"/>
      <c r="B375" s="334" t="n"/>
      <c r="C375" s="334" t="n"/>
      <c r="D375" s="334" t="n"/>
      <c r="E375" s="334" t="n"/>
      <c r="F375" s="334" t="n"/>
      <c r="G375" s="334" t="n"/>
      <c r="H375" s="334" t="n"/>
      <c r="I375" s="332">
        <f>IFERROR(VLOOKUP(TEXT(H375,"0"),IPRESS!$A$3:$B$212,2,0),"")</f>
        <v/>
      </c>
      <c r="J375" s="334" t="n"/>
      <c r="K375" s="332">
        <f>IFERROR(VLOOKUP(TEXT(O375,"0"),CONDUCTORES!$A$3:$G$54,7,0),"")</f>
        <v/>
      </c>
      <c r="L375" s="334" t="n"/>
      <c r="M375" s="334" t="n"/>
      <c r="N375" s="333">
        <f>IFERROR(IF(L375*M375=0,"",L375*M375),"")</f>
        <v/>
      </c>
      <c r="O375" s="334" t="n"/>
      <c r="P375" s="332">
        <f>IFERROR(VLOOKUP(TEXT(O375,"0"),CONDUCTORES!$A$3:$G$54,2,0),"")</f>
        <v/>
      </c>
      <c r="Q375" s="332">
        <f>IFERROR(VLOOKUP(TEXT(O375,"0"),CONDUCTORES!$A$3:$H$54,6,0),"")</f>
        <v/>
      </c>
      <c r="R375" s="334" t="n"/>
      <c r="S375" s="334" t="n"/>
      <c r="T375" s="334" t="n"/>
      <c r="U375" s="334" t="n"/>
      <c r="V375" s="334" t="n"/>
      <c r="W375" s="334" t="n"/>
      <c r="X375" s="334" t="n"/>
      <c r="Y375" s="334" t="n"/>
      <c r="Z375" s="375">
        <f>IF(AND(G375&lt;&gt;"",R375&lt;&gt;"",V375&lt;&gt;"",W375&lt;&gt;""),"COMPLETADO","OBSERVADO")</f>
        <v/>
      </c>
    </row>
    <row r="376" ht="15" customHeight="1" s="195">
      <c r="A376" s="280" t="n"/>
      <c r="B376" s="280" t="n"/>
      <c r="C376" s="280" t="n"/>
      <c r="D376" s="280" t="n"/>
      <c r="E376" s="280" t="n"/>
      <c r="F376" s="280" t="n"/>
      <c r="G376" s="280" t="n"/>
      <c r="H376" s="280" t="n"/>
      <c r="I376" s="332">
        <f>IFERROR(VLOOKUP(TEXT(H376,"0"),IPRESS!$A$3:$B$212,2,0),"")</f>
        <v/>
      </c>
      <c r="J376" s="280" t="n"/>
      <c r="K376" s="332">
        <f>IFERROR(VLOOKUP(TEXT(O376,"0"),CONDUCTORES!$A$3:$G$54,7,0),"")</f>
        <v/>
      </c>
      <c r="L376" s="280" t="n"/>
      <c r="M376" s="280" t="n"/>
      <c r="N376" s="333">
        <f>IFERROR(IF(L376*M376=0,"",L376*M376),"")</f>
        <v/>
      </c>
      <c r="O376" s="280" t="n"/>
      <c r="P376" s="332">
        <f>IFERROR(VLOOKUP(TEXT(O376,"0"),CONDUCTORES!$A$3:$G$54,2,0),"")</f>
        <v/>
      </c>
      <c r="Q376" s="332">
        <f>IFERROR(VLOOKUP(TEXT(O376,"0"),CONDUCTORES!$A$3:$H$54,6,0),"")</f>
        <v/>
      </c>
      <c r="R376" s="280" t="n"/>
      <c r="S376" s="280" t="n"/>
      <c r="T376" s="280" t="n"/>
      <c r="U376" s="280" t="n"/>
      <c r="V376" s="280" t="n"/>
      <c r="W376" s="280" t="n"/>
      <c r="X376" s="280" t="n"/>
      <c r="Y376" s="280" t="n"/>
      <c r="Z376" s="375">
        <f>IF(AND(G376&lt;&gt;"",R376&lt;&gt;"",V376&lt;&gt;"",W376&lt;&gt;""),"COMPLETADO","OBSERVADO")</f>
        <v/>
      </c>
    </row>
    <row r="377" ht="15" customHeight="1" s="195">
      <c r="A377" s="334" t="n"/>
      <c r="B377" s="334" t="n"/>
      <c r="C377" s="334" t="n"/>
      <c r="D377" s="334" t="n"/>
      <c r="E377" s="334" t="n"/>
      <c r="F377" s="334" t="n"/>
      <c r="G377" s="334" t="n"/>
      <c r="H377" s="334" t="n"/>
      <c r="I377" s="332">
        <f>IFERROR(VLOOKUP(TEXT(H377,"0"),IPRESS!$A$3:$B$212,2,0),"")</f>
        <v/>
      </c>
      <c r="J377" s="334" t="n"/>
      <c r="K377" s="332">
        <f>IFERROR(VLOOKUP(TEXT(O377,"0"),CONDUCTORES!$A$3:$G$54,7,0),"")</f>
        <v/>
      </c>
      <c r="L377" s="334" t="n"/>
      <c r="M377" s="334" t="n"/>
      <c r="N377" s="333">
        <f>IFERROR(IF(L377*M377=0,"",L377*M377),"")</f>
        <v/>
      </c>
      <c r="O377" s="334" t="n"/>
      <c r="P377" s="332">
        <f>IFERROR(VLOOKUP(TEXT(O377,"0"),CONDUCTORES!$A$3:$G$54,2,0),"")</f>
        <v/>
      </c>
      <c r="Q377" s="332">
        <f>IFERROR(VLOOKUP(TEXT(O377,"0"),CONDUCTORES!$A$3:$H$54,6,0),"")</f>
        <v/>
      </c>
      <c r="R377" s="334" t="n"/>
      <c r="S377" s="334" t="n"/>
      <c r="T377" s="334" t="n"/>
      <c r="U377" s="334" t="n"/>
      <c r="V377" s="334" t="n"/>
      <c r="W377" s="334" t="n"/>
      <c r="X377" s="334" t="n"/>
      <c r="Y377" s="334" t="n"/>
      <c r="Z377" s="375">
        <f>IF(AND(G377&lt;&gt;"",R377&lt;&gt;"",V377&lt;&gt;"",W377&lt;&gt;""),"COMPLETADO","OBSERVADO")</f>
        <v/>
      </c>
    </row>
    <row r="378" ht="15" customHeight="1" s="195">
      <c r="A378" s="280" t="n"/>
      <c r="B378" s="280" t="n"/>
      <c r="C378" s="280" t="n"/>
      <c r="D378" s="280" t="n"/>
      <c r="E378" s="280" t="n"/>
      <c r="F378" s="280" t="n"/>
      <c r="G378" s="280" t="n"/>
      <c r="H378" s="280" t="n"/>
      <c r="I378" s="332">
        <f>IFERROR(VLOOKUP(TEXT(H378,"0"),IPRESS!$A$3:$B$212,2,0),"")</f>
        <v/>
      </c>
      <c r="J378" s="280" t="n"/>
      <c r="K378" s="332">
        <f>IFERROR(VLOOKUP(TEXT(O378,"0"),CONDUCTORES!$A$3:$G$54,7,0),"")</f>
        <v/>
      </c>
      <c r="L378" s="280" t="n"/>
      <c r="M378" s="280" t="n"/>
      <c r="N378" s="333">
        <f>IFERROR(IF(L378*M378=0,"",L378*M378),"")</f>
        <v/>
      </c>
      <c r="O378" s="280" t="n"/>
      <c r="P378" s="332">
        <f>IFERROR(VLOOKUP(TEXT(O378,"0"),CONDUCTORES!$A$3:$G$54,2,0),"")</f>
        <v/>
      </c>
      <c r="Q378" s="332">
        <f>IFERROR(VLOOKUP(TEXT(O378,"0"),CONDUCTORES!$A$3:$H$54,6,0),"")</f>
        <v/>
      </c>
      <c r="R378" s="280" t="n"/>
      <c r="S378" s="280" t="n"/>
      <c r="T378" s="280" t="n"/>
      <c r="U378" s="280" t="n"/>
      <c r="V378" s="280" t="n"/>
      <c r="W378" s="280" t="n"/>
      <c r="X378" s="280" t="n"/>
      <c r="Y378" s="280" t="n"/>
      <c r="Z378" s="375">
        <f>IF(AND(G378&lt;&gt;"",R378&lt;&gt;"",V378&lt;&gt;"",W378&lt;&gt;""),"COMPLETADO","OBSERVADO")</f>
        <v/>
      </c>
    </row>
    <row r="379" ht="15" customHeight="1" s="195">
      <c r="A379" s="334" t="n"/>
      <c r="B379" s="334" t="n"/>
      <c r="C379" s="334" t="n"/>
      <c r="D379" s="334" t="n"/>
      <c r="E379" s="334" t="n"/>
      <c r="F379" s="334" t="n"/>
      <c r="G379" s="334" t="n"/>
      <c r="H379" s="334" t="n"/>
      <c r="I379" s="332">
        <f>IFERROR(VLOOKUP(TEXT(H379,"0"),IPRESS!$A$3:$B$212,2,0),"")</f>
        <v/>
      </c>
      <c r="J379" s="334" t="n"/>
      <c r="K379" s="332">
        <f>IFERROR(VLOOKUP(TEXT(O379,"0"),CONDUCTORES!$A$3:$G$54,7,0),"")</f>
        <v/>
      </c>
      <c r="L379" s="334" t="n"/>
      <c r="M379" s="334" t="n"/>
      <c r="N379" s="333">
        <f>IFERROR(IF(L379*M379=0,"",L379*M379),"")</f>
        <v/>
      </c>
      <c r="O379" s="334" t="n"/>
      <c r="P379" s="332">
        <f>IFERROR(VLOOKUP(TEXT(O379,"0"),CONDUCTORES!$A$3:$G$54,2,0),"")</f>
        <v/>
      </c>
      <c r="Q379" s="332">
        <f>IFERROR(VLOOKUP(TEXT(O379,"0"),CONDUCTORES!$A$3:$H$54,6,0),"")</f>
        <v/>
      </c>
      <c r="R379" s="334" t="n"/>
      <c r="S379" s="334" t="n"/>
      <c r="T379" s="334" t="n"/>
      <c r="U379" s="334" t="n"/>
      <c r="V379" s="334" t="n"/>
      <c r="W379" s="334" t="n"/>
      <c r="X379" s="334" t="n"/>
      <c r="Y379" s="334" t="n"/>
      <c r="Z379" s="375">
        <f>IF(AND(G379&lt;&gt;"",R379&lt;&gt;"",V379&lt;&gt;"",W379&lt;&gt;""),"COMPLETADO","OBSERVADO")</f>
        <v/>
      </c>
    </row>
    <row r="380" ht="15" customHeight="1" s="195">
      <c r="A380" s="280" t="n"/>
      <c r="B380" s="280" t="n"/>
      <c r="C380" s="280" t="n"/>
      <c r="D380" s="280" t="n"/>
      <c r="E380" s="280" t="n"/>
      <c r="F380" s="280" t="n"/>
      <c r="G380" s="280" t="n"/>
      <c r="H380" s="280" t="n"/>
      <c r="I380" s="332">
        <f>IFERROR(VLOOKUP(TEXT(H380,"0"),IPRESS!$A$3:$B$212,2,0),"")</f>
        <v/>
      </c>
      <c r="J380" s="280" t="n"/>
      <c r="K380" s="332">
        <f>IFERROR(VLOOKUP(TEXT(O380,"0"),CONDUCTORES!$A$3:$G$54,7,0),"")</f>
        <v/>
      </c>
      <c r="L380" s="280" t="n"/>
      <c r="M380" s="280" t="n"/>
      <c r="N380" s="333">
        <f>IFERROR(IF(L380*M380=0,"",L380*M380),"")</f>
        <v/>
      </c>
      <c r="O380" s="280" t="n"/>
      <c r="P380" s="332">
        <f>IFERROR(VLOOKUP(TEXT(O380,"0"),CONDUCTORES!$A$3:$G$54,2,0),"")</f>
        <v/>
      </c>
      <c r="Q380" s="332">
        <f>IFERROR(VLOOKUP(TEXT(O380,"0"),CONDUCTORES!$A$3:$H$54,6,0),"")</f>
        <v/>
      </c>
      <c r="R380" s="280" t="n"/>
      <c r="S380" s="280" t="n"/>
      <c r="T380" s="280" t="n"/>
      <c r="U380" s="280" t="n"/>
      <c r="V380" s="280" t="n"/>
      <c r="W380" s="280" t="n"/>
      <c r="X380" s="280" t="n"/>
      <c r="Y380" s="280" t="n"/>
      <c r="Z380" s="375">
        <f>IF(AND(G380&lt;&gt;"",R380&lt;&gt;"",V380&lt;&gt;"",W380&lt;&gt;""),"COMPLETADO","OBSERVADO")</f>
        <v/>
      </c>
    </row>
    <row r="381" ht="15" customHeight="1" s="195">
      <c r="A381" s="334" t="n"/>
      <c r="B381" s="334" t="n"/>
      <c r="C381" s="334" t="n"/>
      <c r="D381" s="334" t="n"/>
      <c r="E381" s="334" t="n"/>
      <c r="F381" s="334" t="n"/>
      <c r="G381" s="334" t="n"/>
      <c r="H381" s="334" t="n"/>
      <c r="I381" s="332">
        <f>IFERROR(VLOOKUP(TEXT(H381,"0"),IPRESS!$A$3:$B$212,2,0),"")</f>
        <v/>
      </c>
      <c r="J381" s="334" t="n"/>
      <c r="K381" s="332">
        <f>IFERROR(VLOOKUP(TEXT(O381,"0"),CONDUCTORES!$A$3:$G$54,7,0),"")</f>
        <v/>
      </c>
      <c r="L381" s="334" t="n"/>
      <c r="M381" s="334" t="n"/>
      <c r="N381" s="333">
        <f>IFERROR(IF(L381*M381=0,"",L381*M381),"")</f>
        <v/>
      </c>
      <c r="O381" s="334" t="n"/>
      <c r="P381" s="332">
        <f>IFERROR(VLOOKUP(TEXT(O381,"0"),CONDUCTORES!$A$3:$G$54,2,0),"")</f>
        <v/>
      </c>
      <c r="Q381" s="332">
        <f>IFERROR(VLOOKUP(TEXT(O381,"0"),CONDUCTORES!$A$3:$H$54,6,0),"")</f>
        <v/>
      </c>
      <c r="R381" s="334" t="n"/>
      <c r="S381" s="334" t="n"/>
      <c r="T381" s="334" t="n"/>
      <c r="U381" s="334" t="n"/>
      <c r="V381" s="334" t="n"/>
      <c r="W381" s="334" t="n"/>
      <c r="X381" s="334" t="n"/>
      <c r="Y381" s="334" t="n"/>
      <c r="Z381" s="375">
        <f>IF(AND(G381&lt;&gt;"",R381&lt;&gt;"",V381&lt;&gt;"",W381&lt;&gt;""),"COMPLETADO","OBSERVADO")</f>
        <v/>
      </c>
    </row>
    <row r="382" ht="15" customHeight="1" s="195">
      <c r="A382" s="280" t="n"/>
      <c r="B382" s="280" t="n"/>
      <c r="C382" s="280" t="n"/>
      <c r="D382" s="280" t="n"/>
      <c r="E382" s="280" t="n"/>
      <c r="F382" s="280" t="n"/>
      <c r="G382" s="280" t="n"/>
      <c r="H382" s="280" t="n"/>
      <c r="I382" s="332">
        <f>IFERROR(VLOOKUP(TEXT(H382,"0"),IPRESS!$A$3:$B$212,2,0),"")</f>
        <v/>
      </c>
      <c r="J382" s="280" t="n"/>
      <c r="K382" s="332">
        <f>IFERROR(VLOOKUP(TEXT(O382,"0"),CONDUCTORES!$A$3:$G$54,7,0),"")</f>
        <v/>
      </c>
      <c r="L382" s="280" t="n"/>
      <c r="M382" s="280" t="n"/>
      <c r="N382" s="333">
        <f>IFERROR(IF(L382*M382=0,"",L382*M382),"")</f>
        <v/>
      </c>
      <c r="O382" s="280" t="n"/>
      <c r="P382" s="332">
        <f>IFERROR(VLOOKUP(TEXT(O382,"0"),CONDUCTORES!$A$3:$G$54,2,0),"")</f>
        <v/>
      </c>
      <c r="Q382" s="332">
        <f>IFERROR(VLOOKUP(TEXT(O382,"0"),CONDUCTORES!$A$3:$H$54,6,0),"")</f>
        <v/>
      </c>
      <c r="R382" s="280" t="n"/>
      <c r="S382" s="280" t="n"/>
      <c r="T382" s="280" t="n"/>
      <c r="U382" s="280" t="n"/>
      <c r="V382" s="280" t="n"/>
      <c r="W382" s="280" t="n"/>
      <c r="X382" s="280" t="n"/>
      <c r="Y382" s="280" t="n"/>
      <c r="Z382" s="375">
        <f>IF(AND(G382&lt;&gt;"",R382&lt;&gt;"",V382&lt;&gt;"",W382&lt;&gt;""),"COMPLETADO","OBSERVADO")</f>
        <v/>
      </c>
    </row>
    <row r="383" ht="15" customHeight="1" s="195">
      <c r="A383" s="334" t="n"/>
      <c r="B383" s="334" t="n"/>
      <c r="C383" s="334" t="n"/>
      <c r="D383" s="334" t="n"/>
      <c r="E383" s="334" t="n"/>
      <c r="F383" s="334" t="n"/>
      <c r="G383" s="334" t="n"/>
      <c r="H383" s="334" t="n"/>
      <c r="I383" s="332">
        <f>IFERROR(VLOOKUP(TEXT(H383,"0"),IPRESS!$A$3:$B$212,2,0),"")</f>
        <v/>
      </c>
      <c r="J383" s="334" t="n"/>
      <c r="K383" s="332">
        <f>IFERROR(VLOOKUP(TEXT(O383,"0"),CONDUCTORES!$A$3:$G$54,7,0),"")</f>
        <v/>
      </c>
      <c r="L383" s="334" t="n"/>
      <c r="M383" s="334" t="n"/>
      <c r="N383" s="333">
        <f>IFERROR(IF(L383*M383=0,"",L383*M383),"")</f>
        <v/>
      </c>
      <c r="O383" s="334" t="n"/>
      <c r="P383" s="332">
        <f>IFERROR(VLOOKUP(TEXT(O383,"0"),CONDUCTORES!$A$3:$G$54,2,0),"")</f>
        <v/>
      </c>
      <c r="Q383" s="332">
        <f>IFERROR(VLOOKUP(TEXT(O383,"0"),CONDUCTORES!$A$3:$H$54,6,0),"")</f>
        <v/>
      </c>
      <c r="R383" s="334" t="n"/>
      <c r="S383" s="334" t="n"/>
      <c r="T383" s="334" t="n"/>
      <c r="U383" s="334" t="n"/>
      <c r="V383" s="334" t="n"/>
      <c r="W383" s="334" t="n"/>
      <c r="X383" s="334" t="n"/>
      <c r="Y383" s="334" t="n"/>
      <c r="Z383" s="375">
        <f>IF(AND(G383&lt;&gt;"",R383&lt;&gt;"",V383&lt;&gt;"",W383&lt;&gt;""),"COMPLETADO","OBSERVADO")</f>
        <v/>
      </c>
    </row>
    <row r="384" ht="15" customHeight="1" s="195">
      <c r="A384" s="280" t="n"/>
      <c r="B384" s="280" t="n"/>
      <c r="C384" s="280" t="n"/>
      <c r="D384" s="280" t="n"/>
      <c r="E384" s="280" t="n"/>
      <c r="F384" s="280" t="n"/>
      <c r="G384" s="280" t="n"/>
      <c r="H384" s="280" t="n"/>
      <c r="I384" s="332">
        <f>IFERROR(VLOOKUP(TEXT(H384,"0"),IPRESS!$A$3:$B$212,2,0),"")</f>
        <v/>
      </c>
      <c r="J384" s="280" t="n"/>
      <c r="K384" s="332">
        <f>IFERROR(VLOOKUP(TEXT(O384,"0"),CONDUCTORES!$A$3:$G$54,7,0),"")</f>
        <v/>
      </c>
      <c r="L384" s="280" t="n"/>
      <c r="M384" s="280" t="n"/>
      <c r="N384" s="333">
        <f>IFERROR(IF(L384*M384=0,"",L384*M384),"")</f>
        <v/>
      </c>
      <c r="O384" s="280" t="n"/>
      <c r="P384" s="332">
        <f>IFERROR(VLOOKUP(TEXT(O384,"0"),CONDUCTORES!$A$3:$G$54,2,0),"")</f>
        <v/>
      </c>
      <c r="Q384" s="332">
        <f>IFERROR(VLOOKUP(TEXT(O384,"0"),CONDUCTORES!$A$3:$H$54,6,0),"")</f>
        <v/>
      </c>
      <c r="R384" s="280" t="n"/>
      <c r="S384" s="280" t="n"/>
      <c r="T384" s="280" t="n"/>
      <c r="U384" s="280" t="n"/>
      <c r="V384" s="280" t="n"/>
      <c r="W384" s="280" t="n"/>
      <c r="X384" s="280" t="n"/>
      <c r="Y384" s="280" t="n"/>
      <c r="Z384" s="375">
        <f>IF(AND(G384&lt;&gt;"",R384&lt;&gt;"",V384&lt;&gt;"",W384&lt;&gt;""),"COMPLETADO","OBSERVADO")</f>
        <v/>
      </c>
    </row>
    <row r="385" ht="15" customHeight="1" s="195">
      <c r="A385" s="334" t="n"/>
      <c r="B385" s="334" t="n"/>
      <c r="C385" s="334" t="n"/>
      <c r="D385" s="334" t="n"/>
      <c r="E385" s="334" t="n"/>
      <c r="F385" s="334" t="n"/>
      <c r="G385" s="334" t="n"/>
      <c r="H385" s="334" t="n"/>
      <c r="I385" s="332">
        <f>IFERROR(VLOOKUP(TEXT(H385,"0"),IPRESS!$A$3:$B$212,2,0),"")</f>
        <v/>
      </c>
      <c r="J385" s="334" t="n"/>
      <c r="K385" s="332">
        <f>IFERROR(VLOOKUP(TEXT(O385,"0"),CONDUCTORES!$A$3:$G$54,7,0),"")</f>
        <v/>
      </c>
      <c r="L385" s="334" t="n"/>
      <c r="M385" s="334" t="n"/>
      <c r="N385" s="333">
        <f>IFERROR(IF(L385*M385=0,"",L385*M385),"")</f>
        <v/>
      </c>
      <c r="O385" s="334" t="n"/>
      <c r="P385" s="332">
        <f>IFERROR(VLOOKUP(TEXT(O385,"0"),CONDUCTORES!$A$3:$G$54,2,0),"")</f>
        <v/>
      </c>
      <c r="Q385" s="332">
        <f>IFERROR(VLOOKUP(TEXT(O385,"0"),CONDUCTORES!$A$3:$H$54,6,0),"")</f>
        <v/>
      </c>
      <c r="R385" s="334" t="n"/>
      <c r="S385" s="334" t="n"/>
      <c r="T385" s="334" t="n"/>
      <c r="U385" s="334" t="n"/>
      <c r="V385" s="334" t="n"/>
      <c r="W385" s="334" t="n"/>
      <c r="X385" s="334" t="n"/>
      <c r="Y385" s="334" t="n"/>
      <c r="Z385" s="375">
        <f>IF(AND(G385&lt;&gt;"",R385&lt;&gt;"",V385&lt;&gt;"",W385&lt;&gt;""),"COMPLETADO","OBSERVADO")</f>
        <v/>
      </c>
    </row>
    <row r="386" ht="15" customHeight="1" s="195">
      <c r="A386" s="280" t="n"/>
      <c r="B386" s="280" t="n"/>
      <c r="C386" s="280" t="n"/>
      <c r="D386" s="280" t="n"/>
      <c r="E386" s="280" t="n"/>
      <c r="F386" s="280" t="n"/>
      <c r="G386" s="280" t="n"/>
      <c r="H386" s="280" t="n"/>
      <c r="I386" s="332">
        <f>IFERROR(VLOOKUP(TEXT(H386,"0"),IPRESS!$A$3:$B$212,2,0),"")</f>
        <v/>
      </c>
      <c r="J386" s="280" t="n"/>
      <c r="K386" s="332">
        <f>IFERROR(VLOOKUP(TEXT(O386,"0"),CONDUCTORES!$A$3:$G$54,7,0),"")</f>
        <v/>
      </c>
      <c r="L386" s="280" t="n"/>
      <c r="M386" s="280" t="n"/>
      <c r="N386" s="333">
        <f>IFERROR(IF(L386*M386=0,"",L386*M386),"")</f>
        <v/>
      </c>
      <c r="O386" s="280" t="n"/>
      <c r="P386" s="332">
        <f>IFERROR(VLOOKUP(TEXT(O386,"0"),CONDUCTORES!$A$3:$G$54,2,0),"")</f>
        <v/>
      </c>
      <c r="Q386" s="332">
        <f>IFERROR(VLOOKUP(TEXT(O386,"0"),CONDUCTORES!$A$3:$H$54,6,0),"")</f>
        <v/>
      </c>
      <c r="R386" s="280" t="n"/>
      <c r="S386" s="280" t="n"/>
      <c r="T386" s="280" t="n"/>
      <c r="U386" s="280" t="n"/>
      <c r="V386" s="280" t="n"/>
      <c r="W386" s="280" t="n"/>
      <c r="X386" s="280" t="n"/>
      <c r="Y386" s="280" t="n"/>
      <c r="Z386" s="375">
        <f>IF(AND(G386&lt;&gt;"",R386&lt;&gt;"",V386&lt;&gt;"",W386&lt;&gt;""),"COMPLETADO","OBSERVADO")</f>
        <v/>
      </c>
    </row>
    <row r="387" ht="15" customHeight="1" s="195">
      <c r="A387" s="334" t="n"/>
      <c r="B387" s="334" t="n"/>
      <c r="C387" s="334" t="n"/>
      <c r="D387" s="334" t="n"/>
      <c r="E387" s="334" t="n"/>
      <c r="F387" s="334" t="n"/>
      <c r="G387" s="334" t="n"/>
      <c r="H387" s="334" t="n"/>
      <c r="I387" s="332">
        <f>IFERROR(VLOOKUP(TEXT(H387,"0"),IPRESS!$A$3:$B$212,2,0),"")</f>
        <v/>
      </c>
      <c r="J387" s="334" t="n"/>
      <c r="K387" s="332">
        <f>IFERROR(VLOOKUP(TEXT(O387,"0"),CONDUCTORES!$A$3:$G$54,7,0),"")</f>
        <v/>
      </c>
      <c r="L387" s="334" t="n"/>
      <c r="M387" s="334" t="n"/>
      <c r="N387" s="333">
        <f>IFERROR(IF(L387*M387=0,"",L387*M387),"")</f>
        <v/>
      </c>
      <c r="O387" s="334" t="n"/>
      <c r="P387" s="332">
        <f>IFERROR(VLOOKUP(TEXT(O387,"0"),CONDUCTORES!$A$3:$G$54,2,0),"")</f>
        <v/>
      </c>
      <c r="Q387" s="332">
        <f>IFERROR(VLOOKUP(TEXT(O387,"0"),CONDUCTORES!$A$3:$H$54,6,0),"")</f>
        <v/>
      </c>
      <c r="R387" s="334" t="n"/>
      <c r="S387" s="334" t="n"/>
      <c r="T387" s="334" t="n"/>
      <c r="U387" s="334" t="n"/>
      <c r="V387" s="334" t="n"/>
      <c r="W387" s="334" t="n"/>
      <c r="X387" s="334" t="n"/>
      <c r="Y387" s="334" t="n"/>
      <c r="Z387" s="375">
        <f>IF(AND(G387&lt;&gt;"",R387&lt;&gt;"",V387&lt;&gt;"",W387&lt;&gt;""),"COMPLETADO","OBSERVADO")</f>
        <v/>
      </c>
    </row>
    <row r="388" ht="15" customHeight="1" s="195">
      <c r="A388" s="280" t="n"/>
      <c r="B388" s="280" t="n"/>
      <c r="C388" s="280" t="n"/>
      <c r="D388" s="280" t="n"/>
      <c r="E388" s="280" t="n"/>
      <c r="F388" s="280" t="n"/>
      <c r="G388" s="280" t="n"/>
      <c r="H388" s="280" t="n"/>
      <c r="I388" s="332">
        <f>IFERROR(VLOOKUP(TEXT(H388,"0"),IPRESS!$A$3:$B$212,2,0),"")</f>
        <v/>
      </c>
      <c r="J388" s="280" t="n"/>
      <c r="K388" s="332">
        <f>IFERROR(VLOOKUP(TEXT(O388,"0"),CONDUCTORES!$A$3:$G$54,7,0),"")</f>
        <v/>
      </c>
      <c r="L388" s="280" t="n"/>
      <c r="M388" s="280" t="n"/>
      <c r="N388" s="333">
        <f>IFERROR(IF(L388*M388=0,"",L388*M388),"")</f>
        <v/>
      </c>
      <c r="O388" s="280" t="n"/>
      <c r="P388" s="332">
        <f>IFERROR(VLOOKUP(TEXT(O388,"0"),CONDUCTORES!$A$3:$G$54,2,0),"")</f>
        <v/>
      </c>
      <c r="Q388" s="332">
        <f>IFERROR(VLOOKUP(TEXT(O388,"0"),CONDUCTORES!$A$3:$H$54,6,0),"")</f>
        <v/>
      </c>
      <c r="R388" s="280" t="n"/>
      <c r="S388" s="280" t="n"/>
      <c r="T388" s="280" t="n"/>
      <c r="U388" s="280" t="n"/>
      <c r="V388" s="280" t="n"/>
      <c r="W388" s="280" t="n"/>
      <c r="X388" s="280" t="n"/>
      <c r="Y388" s="280" t="n"/>
      <c r="Z388" s="375">
        <f>IF(AND(G388&lt;&gt;"",R388&lt;&gt;"",V388&lt;&gt;"",W388&lt;&gt;""),"COMPLETADO","OBSERVADO")</f>
        <v/>
      </c>
    </row>
    <row r="389" ht="15" customHeight="1" s="195">
      <c r="A389" s="334" t="n"/>
      <c r="B389" s="334" t="n"/>
      <c r="C389" s="334" t="n"/>
      <c r="D389" s="334" t="n"/>
      <c r="E389" s="334" t="n"/>
      <c r="F389" s="334" t="n"/>
      <c r="G389" s="334" t="n"/>
      <c r="H389" s="334" t="n"/>
      <c r="I389" s="332">
        <f>IFERROR(VLOOKUP(TEXT(H389,"0"),IPRESS!$A$3:$B$212,2,0),"")</f>
        <v/>
      </c>
      <c r="J389" s="334" t="n"/>
      <c r="K389" s="332">
        <f>IFERROR(VLOOKUP(TEXT(O389,"0"),CONDUCTORES!$A$3:$G$54,7,0),"")</f>
        <v/>
      </c>
      <c r="L389" s="334" t="n"/>
      <c r="M389" s="334" t="n"/>
      <c r="N389" s="333">
        <f>IFERROR(IF(L389*M389=0,"",L389*M389),"")</f>
        <v/>
      </c>
      <c r="O389" s="334" t="n"/>
      <c r="P389" s="332">
        <f>IFERROR(VLOOKUP(TEXT(O389,"0"),CONDUCTORES!$A$3:$G$54,2,0),"")</f>
        <v/>
      </c>
      <c r="Q389" s="332">
        <f>IFERROR(VLOOKUP(TEXT(O389,"0"),CONDUCTORES!$A$3:$H$54,6,0),"")</f>
        <v/>
      </c>
      <c r="R389" s="334" t="n"/>
      <c r="S389" s="334" t="n"/>
      <c r="T389" s="334" t="n"/>
      <c r="U389" s="334" t="n"/>
      <c r="V389" s="334" t="n"/>
      <c r="W389" s="334" t="n"/>
      <c r="X389" s="334" t="n"/>
      <c r="Y389" s="334" t="n"/>
      <c r="Z389" s="375">
        <f>IF(AND(G389&lt;&gt;"",R389&lt;&gt;"",V389&lt;&gt;"",W389&lt;&gt;""),"COMPLETADO","OBSERVADO")</f>
        <v/>
      </c>
    </row>
    <row r="390" ht="15" customHeight="1" s="195">
      <c r="A390" s="280" t="n"/>
      <c r="B390" s="280" t="n"/>
      <c r="C390" s="280" t="n"/>
      <c r="D390" s="280" t="n"/>
      <c r="E390" s="280" t="n"/>
      <c r="F390" s="280" t="n"/>
      <c r="G390" s="280" t="n"/>
      <c r="H390" s="280" t="n"/>
      <c r="I390" s="332">
        <f>IFERROR(VLOOKUP(TEXT(H390,"0"),IPRESS!$A$3:$B$212,2,0),"")</f>
        <v/>
      </c>
      <c r="J390" s="280" t="n"/>
      <c r="K390" s="332">
        <f>IFERROR(VLOOKUP(TEXT(O390,"0"),CONDUCTORES!$A$3:$G$54,7,0),"")</f>
        <v/>
      </c>
      <c r="L390" s="280" t="n"/>
      <c r="M390" s="280" t="n"/>
      <c r="N390" s="333">
        <f>IFERROR(IF(L390*M390=0,"",L390*M390),"")</f>
        <v/>
      </c>
      <c r="O390" s="280" t="n"/>
      <c r="P390" s="332">
        <f>IFERROR(VLOOKUP(TEXT(O390,"0"),CONDUCTORES!$A$3:$G$54,2,0),"")</f>
        <v/>
      </c>
      <c r="Q390" s="332">
        <f>IFERROR(VLOOKUP(TEXT(O390,"0"),CONDUCTORES!$A$3:$H$54,6,0),"")</f>
        <v/>
      </c>
      <c r="R390" s="280" t="n"/>
      <c r="S390" s="280" t="n"/>
      <c r="T390" s="280" t="n"/>
      <c r="U390" s="280" t="n"/>
      <c r="V390" s="280" t="n"/>
      <c r="W390" s="280" t="n"/>
      <c r="X390" s="280" t="n"/>
      <c r="Y390" s="280" t="n"/>
      <c r="Z390" s="375">
        <f>IF(AND(G390&lt;&gt;"",R390&lt;&gt;"",V390&lt;&gt;"",W390&lt;&gt;""),"COMPLETADO","OBSERVADO")</f>
        <v/>
      </c>
    </row>
    <row r="391" ht="15" customHeight="1" s="195">
      <c r="A391" s="334" t="n"/>
      <c r="B391" s="334" t="n"/>
      <c r="C391" s="334" t="n"/>
      <c r="D391" s="334" t="n"/>
      <c r="E391" s="334" t="n"/>
      <c r="F391" s="334" t="n"/>
      <c r="G391" s="334" t="n"/>
      <c r="H391" s="334" t="n"/>
      <c r="I391" s="332">
        <f>IFERROR(VLOOKUP(TEXT(H391,"0"),IPRESS!$A$3:$B$212,2,0),"")</f>
        <v/>
      </c>
      <c r="J391" s="334" t="n"/>
      <c r="K391" s="332">
        <f>IFERROR(VLOOKUP(TEXT(O391,"0"),CONDUCTORES!$A$3:$G$54,7,0),"")</f>
        <v/>
      </c>
      <c r="L391" s="334" t="n"/>
      <c r="M391" s="334" t="n"/>
      <c r="N391" s="333">
        <f>IFERROR(IF(L391*M391=0,"",L391*M391),"")</f>
        <v/>
      </c>
      <c r="O391" s="334" t="n"/>
      <c r="P391" s="332">
        <f>IFERROR(VLOOKUP(TEXT(O391,"0"),CONDUCTORES!$A$3:$G$54,2,0),"")</f>
        <v/>
      </c>
      <c r="Q391" s="332">
        <f>IFERROR(VLOOKUP(TEXT(O391,"0"),CONDUCTORES!$A$3:$H$54,6,0),"")</f>
        <v/>
      </c>
      <c r="R391" s="334" t="n"/>
      <c r="S391" s="334" t="n"/>
      <c r="T391" s="334" t="n"/>
      <c r="U391" s="334" t="n"/>
      <c r="V391" s="334" t="n"/>
      <c r="W391" s="334" t="n"/>
      <c r="X391" s="334" t="n"/>
      <c r="Y391" s="334" t="n"/>
      <c r="Z391" s="375">
        <f>IF(AND(G391&lt;&gt;"",R391&lt;&gt;"",V391&lt;&gt;"",W391&lt;&gt;""),"COMPLETADO","OBSERVADO")</f>
        <v/>
      </c>
    </row>
    <row r="392" ht="15" customHeight="1" s="195">
      <c r="A392" s="280" t="n"/>
      <c r="B392" s="280" t="n"/>
      <c r="C392" s="280" t="n"/>
      <c r="D392" s="280" t="n"/>
      <c r="E392" s="280" t="n"/>
      <c r="F392" s="280" t="n"/>
      <c r="G392" s="280" t="n"/>
      <c r="H392" s="280" t="n"/>
      <c r="I392" s="332">
        <f>IFERROR(VLOOKUP(TEXT(H392,"0"),IPRESS!$A$3:$B$212,2,0),"")</f>
        <v/>
      </c>
      <c r="J392" s="280" t="n"/>
      <c r="K392" s="332">
        <f>IFERROR(VLOOKUP(TEXT(O392,"0"),CONDUCTORES!$A$3:$G$54,7,0),"")</f>
        <v/>
      </c>
      <c r="L392" s="280" t="n"/>
      <c r="M392" s="280" t="n"/>
      <c r="N392" s="333">
        <f>IFERROR(IF(L392*M392=0,"",L392*M392),"")</f>
        <v/>
      </c>
      <c r="O392" s="280" t="n"/>
      <c r="P392" s="332">
        <f>IFERROR(VLOOKUP(TEXT(O392,"0"),CONDUCTORES!$A$3:$G$54,2,0),"")</f>
        <v/>
      </c>
      <c r="Q392" s="332">
        <f>IFERROR(VLOOKUP(TEXT(O392,"0"),CONDUCTORES!$A$3:$H$54,6,0),"")</f>
        <v/>
      </c>
      <c r="R392" s="280" t="n"/>
      <c r="S392" s="280" t="n"/>
      <c r="T392" s="280" t="n"/>
      <c r="U392" s="280" t="n"/>
      <c r="V392" s="280" t="n"/>
      <c r="W392" s="280" t="n"/>
      <c r="X392" s="280" t="n"/>
      <c r="Y392" s="280" t="n"/>
      <c r="Z392" s="375">
        <f>IF(AND(G392&lt;&gt;"",R392&lt;&gt;"",V392&lt;&gt;"",W392&lt;&gt;""),"COMPLETADO","OBSERVADO")</f>
        <v/>
      </c>
    </row>
    <row r="393" ht="15" customHeight="1" s="195">
      <c r="A393" s="334" t="n"/>
      <c r="B393" s="334" t="n"/>
      <c r="C393" s="334" t="n"/>
      <c r="D393" s="334" t="n"/>
      <c r="E393" s="334" t="n"/>
      <c r="F393" s="334" t="n"/>
      <c r="G393" s="334" t="n"/>
      <c r="H393" s="334" t="n"/>
      <c r="I393" s="332">
        <f>IFERROR(VLOOKUP(TEXT(H393,"0"),IPRESS!$A$3:$B$212,2,0),"")</f>
        <v/>
      </c>
      <c r="J393" s="334" t="n"/>
      <c r="K393" s="332">
        <f>IFERROR(VLOOKUP(TEXT(O393,"0"),CONDUCTORES!$A$3:$G$54,7,0),"")</f>
        <v/>
      </c>
      <c r="L393" s="334" t="n"/>
      <c r="M393" s="334" t="n"/>
      <c r="N393" s="333">
        <f>IFERROR(IF(L393*M393=0,"",L393*M393),"")</f>
        <v/>
      </c>
      <c r="O393" s="334" t="n"/>
      <c r="P393" s="332">
        <f>IFERROR(VLOOKUP(TEXT(O393,"0"),CONDUCTORES!$A$3:$G$54,2,0),"")</f>
        <v/>
      </c>
      <c r="Q393" s="332">
        <f>IFERROR(VLOOKUP(TEXT(O393,"0"),CONDUCTORES!$A$3:$H$54,6,0),"")</f>
        <v/>
      </c>
      <c r="R393" s="334" t="n"/>
      <c r="S393" s="334" t="n"/>
      <c r="T393" s="334" t="n"/>
      <c r="U393" s="334" t="n"/>
      <c r="V393" s="334" t="n"/>
      <c r="W393" s="334" t="n"/>
      <c r="X393" s="334" t="n"/>
      <c r="Y393" s="334" t="n"/>
      <c r="Z393" s="375">
        <f>IF(AND(G393&lt;&gt;"",R393&lt;&gt;"",V393&lt;&gt;"",W393&lt;&gt;""),"COMPLETADO","OBSERVADO")</f>
        <v/>
      </c>
    </row>
    <row r="394" ht="15" customHeight="1" s="195">
      <c r="A394" s="280" t="n"/>
      <c r="B394" s="280" t="n"/>
      <c r="C394" s="280" t="n"/>
      <c r="D394" s="280" t="n"/>
      <c r="E394" s="280" t="n"/>
      <c r="F394" s="280" t="n"/>
      <c r="G394" s="280" t="n"/>
      <c r="H394" s="280" t="n"/>
      <c r="I394" s="332">
        <f>IFERROR(VLOOKUP(TEXT(H394,"0"),IPRESS!$A$3:$B$212,2,0),"")</f>
        <v/>
      </c>
      <c r="J394" s="280" t="n"/>
      <c r="K394" s="332">
        <f>IFERROR(VLOOKUP(TEXT(O394,"0"),CONDUCTORES!$A$3:$G$54,7,0),"")</f>
        <v/>
      </c>
      <c r="L394" s="280" t="n"/>
      <c r="M394" s="280" t="n"/>
      <c r="N394" s="333">
        <f>IFERROR(IF(L394*M394=0,"",L394*M394),"")</f>
        <v/>
      </c>
      <c r="O394" s="280" t="n"/>
      <c r="P394" s="332">
        <f>IFERROR(VLOOKUP(TEXT(O394,"0"),CONDUCTORES!$A$3:$G$54,2,0),"")</f>
        <v/>
      </c>
      <c r="Q394" s="332">
        <f>IFERROR(VLOOKUP(TEXT(O394,"0"),CONDUCTORES!$A$3:$H$54,6,0),"")</f>
        <v/>
      </c>
      <c r="R394" s="280" t="n"/>
      <c r="S394" s="280" t="n"/>
      <c r="T394" s="280" t="n"/>
      <c r="U394" s="280" t="n"/>
      <c r="V394" s="280" t="n"/>
      <c r="W394" s="280" t="n"/>
      <c r="X394" s="280" t="n"/>
      <c r="Y394" s="280" t="n"/>
      <c r="Z394" s="375">
        <f>IF(AND(G394&lt;&gt;"",R394&lt;&gt;"",V394&lt;&gt;"",W394&lt;&gt;""),"COMPLETADO","OBSERVADO")</f>
        <v/>
      </c>
    </row>
    <row r="395" ht="15" customHeight="1" s="195">
      <c r="A395" s="334" t="n"/>
      <c r="B395" s="334" t="n"/>
      <c r="C395" s="334" t="n"/>
      <c r="D395" s="334" t="n"/>
      <c r="E395" s="334" t="n"/>
      <c r="F395" s="334" t="n"/>
      <c r="G395" s="334" t="n"/>
      <c r="H395" s="334" t="n"/>
      <c r="I395" s="332">
        <f>IFERROR(VLOOKUP(TEXT(H395,"0"),IPRESS!$A$3:$B$212,2,0),"")</f>
        <v/>
      </c>
      <c r="J395" s="334" t="n"/>
      <c r="K395" s="332">
        <f>IFERROR(VLOOKUP(TEXT(O395,"0"),CONDUCTORES!$A$3:$G$54,7,0),"")</f>
        <v/>
      </c>
      <c r="L395" s="334" t="n"/>
      <c r="M395" s="334" t="n"/>
      <c r="N395" s="333">
        <f>IFERROR(IF(L395*M395=0,"",L395*M395),"")</f>
        <v/>
      </c>
      <c r="O395" s="334" t="n"/>
      <c r="P395" s="332">
        <f>IFERROR(VLOOKUP(TEXT(O395,"0"),CONDUCTORES!$A$3:$G$54,2,0),"")</f>
        <v/>
      </c>
      <c r="Q395" s="332">
        <f>IFERROR(VLOOKUP(TEXT(O395,"0"),CONDUCTORES!$A$3:$H$54,6,0),"")</f>
        <v/>
      </c>
      <c r="R395" s="334" t="n"/>
      <c r="S395" s="334" t="n"/>
      <c r="T395" s="334" t="n"/>
      <c r="U395" s="334" t="n"/>
      <c r="V395" s="334" t="n"/>
      <c r="W395" s="334" t="n"/>
      <c r="X395" s="334" t="n"/>
      <c r="Y395" s="334" t="n"/>
      <c r="Z395" s="375">
        <f>IF(AND(G395&lt;&gt;"",R395&lt;&gt;"",V395&lt;&gt;"",W395&lt;&gt;""),"COMPLETADO","OBSERVADO")</f>
        <v/>
      </c>
    </row>
    <row r="396" ht="15" customHeight="1" s="195">
      <c r="A396" s="280" t="n"/>
      <c r="B396" s="280" t="n"/>
      <c r="C396" s="280" t="n"/>
      <c r="D396" s="280" t="n"/>
      <c r="E396" s="280" t="n"/>
      <c r="F396" s="280" t="n"/>
      <c r="G396" s="280" t="n"/>
      <c r="H396" s="280" t="n"/>
      <c r="I396" s="332">
        <f>IFERROR(VLOOKUP(TEXT(H396,"0"),IPRESS!$A$3:$B$212,2,0),"")</f>
        <v/>
      </c>
      <c r="J396" s="280" t="n"/>
      <c r="K396" s="332">
        <f>IFERROR(VLOOKUP(TEXT(O396,"0"),CONDUCTORES!$A$3:$G$54,7,0),"")</f>
        <v/>
      </c>
      <c r="L396" s="280" t="n"/>
      <c r="M396" s="280" t="n"/>
      <c r="N396" s="333">
        <f>IFERROR(IF(L396*M396=0,"",L396*M396),"")</f>
        <v/>
      </c>
      <c r="O396" s="280" t="n"/>
      <c r="P396" s="332">
        <f>IFERROR(VLOOKUP(TEXT(O396,"0"),CONDUCTORES!$A$3:$G$54,2,0),"")</f>
        <v/>
      </c>
      <c r="Q396" s="332">
        <f>IFERROR(VLOOKUP(TEXT(O396,"0"),CONDUCTORES!$A$3:$H$54,6,0),"")</f>
        <v/>
      </c>
      <c r="R396" s="280" t="n"/>
      <c r="S396" s="280" t="n"/>
      <c r="T396" s="280" t="n"/>
      <c r="U396" s="280" t="n"/>
      <c r="V396" s="280" t="n"/>
      <c r="W396" s="280" t="n"/>
      <c r="X396" s="280" t="n"/>
      <c r="Y396" s="280" t="n"/>
      <c r="Z396" s="375">
        <f>IF(AND(G396&lt;&gt;"",R396&lt;&gt;"",V396&lt;&gt;"",W396&lt;&gt;""),"COMPLETADO","OBSERVADO")</f>
        <v/>
      </c>
    </row>
    <row r="397" ht="15" customHeight="1" s="195">
      <c r="A397" s="334" t="n"/>
      <c r="B397" s="334" t="n"/>
      <c r="C397" s="334" t="n"/>
      <c r="D397" s="334" t="n"/>
      <c r="E397" s="334" t="n"/>
      <c r="F397" s="334" t="n"/>
      <c r="G397" s="334" t="n"/>
      <c r="H397" s="334" t="n"/>
      <c r="I397" s="332">
        <f>IFERROR(VLOOKUP(TEXT(H397,"0"),IPRESS!$A$3:$B$212,2,0),"")</f>
        <v/>
      </c>
      <c r="J397" s="334" t="n"/>
      <c r="K397" s="332">
        <f>IFERROR(VLOOKUP(TEXT(O397,"0"),CONDUCTORES!$A$3:$G$54,7,0),"")</f>
        <v/>
      </c>
      <c r="L397" s="334" t="n"/>
      <c r="M397" s="334" t="n"/>
      <c r="N397" s="333">
        <f>IFERROR(IF(L397*M397=0,"",L397*M397),"")</f>
        <v/>
      </c>
      <c r="O397" s="334" t="n"/>
      <c r="P397" s="332">
        <f>IFERROR(VLOOKUP(TEXT(O397,"0"),CONDUCTORES!$A$3:$G$54,2,0),"")</f>
        <v/>
      </c>
      <c r="Q397" s="332">
        <f>IFERROR(VLOOKUP(TEXT(O397,"0"),CONDUCTORES!$A$3:$H$54,6,0),"")</f>
        <v/>
      </c>
      <c r="R397" s="334" t="n"/>
      <c r="S397" s="334" t="n"/>
      <c r="T397" s="334" t="n"/>
      <c r="U397" s="334" t="n"/>
      <c r="V397" s="334" t="n"/>
      <c r="W397" s="334" t="n"/>
      <c r="X397" s="334" t="n"/>
      <c r="Y397" s="334" t="n"/>
      <c r="Z397" s="375">
        <f>IF(AND(G397&lt;&gt;"",R397&lt;&gt;"",V397&lt;&gt;"",W397&lt;&gt;""),"COMPLETADO","OBSERVADO")</f>
        <v/>
      </c>
    </row>
    <row r="398" ht="15" customHeight="1" s="195">
      <c r="A398" s="280" t="n"/>
      <c r="B398" s="280" t="n"/>
      <c r="C398" s="280" t="n"/>
      <c r="D398" s="280" t="n"/>
      <c r="E398" s="280" t="n"/>
      <c r="F398" s="280" t="n"/>
      <c r="G398" s="280" t="n"/>
      <c r="H398" s="280" t="n"/>
      <c r="I398" s="332">
        <f>IFERROR(VLOOKUP(TEXT(H398,"0"),IPRESS!$A$3:$B$212,2,0),"")</f>
        <v/>
      </c>
      <c r="J398" s="280" t="n"/>
      <c r="K398" s="332">
        <f>IFERROR(VLOOKUP(TEXT(O398,"0"),CONDUCTORES!$A$3:$G$54,7,0),"")</f>
        <v/>
      </c>
      <c r="L398" s="280" t="n"/>
      <c r="M398" s="280" t="n"/>
      <c r="N398" s="333">
        <f>IFERROR(IF(L398*M398=0,"",L398*M398),"")</f>
        <v/>
      </c>
      <c r="O398" s="280" t="n"/>
      <c r="P398" s="332">
        <f>IFERROR(VLOOKUP(TEXT(O398,"0"),CONDUCTORES!$A$3:$G$54,2,0),"")</f>
        <v/>
      </c>
      <c r="Q398" s="332">
        <f>IFERROR(VLOOKUP(TEXT(O398,"0"),CONDUCTORES!$A$3:$H$54,6,0),"")</f>
        <v/>
      </c>
      <c r="R398" s="280" t="n"/>
      <c r="S398" s="280" t="n"/>
      <c r="T398" s="280" t="n"/>
      <c r="U398" s="280" t="n"/>
      <c r="V398" s="280" t="n"/>
      <c r="W398" s="280" t="n"/>
      <c r="X398" s="280" t="n"/>
      <c r="Y398" s="280" t="n"/>
      <c r="Z398" s="375">
        <f>IF(AND(G398&lt;&gt;"",R398&lt;&gt;"",V398&lt;&gt;"",W398&lt;&gt;""),"COMPLETADO","OBSERVADO")</f>
        <v/>
      </c>
    </row>
    <row r="399" ht="15" customHeight="1" s="195">
      <c r="A399" s="334" t="n"/>
      <c r="B399" s="334" t="n"/>
      <c r="C399" s="334" t="n"/>
      <c r="D399" s="334" t="n"/>
      <c r="E399" s="334" t="n"/>
      <c r="F399" s="334" t="n"/>
      <c r="G399" s="334" t="n"/>
      <c r="H399" s="334" t="n"/>
      <c r="I399" s="332">
        <f>IFERROR(VLOOKUP(TEXT(H399,"0"),IPRESS!$A$3:$B$212,2,0),"")</f>
        <v/>
      </c>
      <c r="J399" s="334" t="n"/>
      <c r="K399" s="332">
        <f>IFERROR(VLOOKUP(TEXT(O399,"0"),CONDUCTORES!$A$3:$G$54,7,0),"")</f>
        <v/>
      </c>
      <c r="L399" s="334" t="n"/>
      <c r="M399" s="334" t="n"/>
      <c r="N399" s="333">
        <f>IFERROR(IF(L399*M399=0,"",L399*M399),"")</f>
        <v/>
      </c>
      <c r="O399" s="334" t="n"/>
      <c r="P399" s="332">
        <f>IFERROR(VLOOKUP(TEXT(O399,"0"),CONDUCTORES!$A$3:$G$54,2,0),"")</f>
        <v/>
      </c>
      <c r="Q399" s="332">
        <f>IFERROR(VLOOKUP(TEXT(O399,"0"),CONDUCTORES!$A$3:$H$54,6,0),"")</f>
        <v/>
      </c>
      <c r="R399" s="334" t="n"/>
      <c r="S399" s="334" t="n"/>
      <c r="T399" s="334" t="n"/>
      <c r="U399" s="334" t="n"/>
      <c r="V399" s="334" t="n"/>
      <c r="W399" s="334" t="n"/>
      <c r="X399" s="334" t="n"/>
      <c r="Y399" s="334" t="n"/>
      <c r="Z399" s="375">
        <f>IF(AND(G399&lt;&gt;"",R399&lt;&gt;"",V399&lt;&gt;"",W399&lt;&gt;""),"COMPLETADO","OBSERVADO")</f>
        <v/>
      </c>
    </row>
    <row r="400" ht="15" customHeight="1" s="195">
      <c r="A400" s="280" t="n"/>
      <c r="B400" s="280" t="n"/>
      <c r="C400" s="280" t="n"/>
      <c r="D400" s="280" t="n"/>
      <c r="E400" s="280" t="n"/>
      <c r="F400" s="280" t="n"/>
      <c r="G400" s="280" t="n"/>
      <c r="H400" s="280" t="n"/>
      <c r="I400" s="332">
        <f>IFERROR(VLOOKUP(TEXT(H400,"0"),IPRESS!$A$3:$B$212,2,0),"")</f>
        <v/>
      </c>
      <c r="J400" s="280" t="n"/>
      <c r="K400" s="332">
        <f>IFERROR(VLOOKUP(TEXT(O400,"0"),CONDUCTORES!$A$3:$G$54,7,0),"")</f>
        <v/>
      </c>
      <c r="L400" s="280" t="n"/>
      <c r="M400" s="280" t="n"/>
      <c r="N400" s="333">
        <f>IFERROR(IF(L400*M400=0,"",L400*M400),"")</f>
        <v/>
      </c>
      <c r="O400" s="280" t="n"/>
      <c r="P400" s="332">
        <f>IFERROR(VLOOKUP(TEXT(O400,"0"),CONDUCTORES!$A$3:$G$54,2,0),"")</f>
        <v/>
      </c>
      <c r="Q400" s="332">
        <f>IFERROR(VLOOKUP(TEXT(O400,"0"),CONDUCTORES!$A$3:$H$54,6,0),"")</f>
        <v/>
      </c>
      <c r="R400" s="280" t="n"/>
      <c r="S400" s="280" t="n"/>
      <c r="T400" s="280" t="n"/>
      <c r="U400" s="280" t="n"/>
      <c r="V400" s="280" t="n"/>
      <c r="W400" s="280" t="n"/>
      <c r="X400" s="280" t="n"/>
      <c r="Y400" s="280" t="n"/>
      <c r="Z400" s="375">
        <f>IF(AND(G400&lt;&gt;"",R400&lt;&gt;"",V400&lt;&gt;"",W400&lt;&gt;""),"COMPLETADO","OBSERVADO")</f>
        <v/>
      </c>
    </row>
    <row r="401" ht="15" customHeight="1" s="195">
      <c r="A401" s="334" t="n"/>
      <c r="B401" s="334" t="n"/>
      <c r="C401" s="334" t="n"/>
      <c r="D401" s="334" t="n"/>
      <c r="E401" s="334" t="n"/>
      <c r="F401" s="334" t="n"/>
      <c r="G401" s="334" t="n"/>
      <c r="H401" s="334" t="n"/>
      <c r="I401" s="332">
        <f>IFERROR(VLOOKUP(TEXT(H401,"0"),IPRESS!$A$3:$B$212,2,0),"")</f>
        <v/>
      </c>
      <c r="J401" s="334" t="n"/>
      <c r="K401" s="332">
        <f>IFERROR(VLOOKUP(TEXT(O401,"0"),CONDUCTORES!$A$3:$G$54,7,0),"")</f>
        <v/>
      </c>
      <c r="L401" s="334" t="n"/>
      <c r="M401" s="334" t="n"/>
      <c r="N401" s="333">
        <f>IFERROR(IF(L401*M401=0,"",L401*M401),"")</f>
        <v/>
      </c>
      <c r="O401" s="334" t="n"/>
      <c r="P401" s="332">
        <f>IFERROR(VLOOKUP(TEXT(O401,"0"),CONDUCTORES!$A$3:$G$54,2,0),"")</f>
        <v/>
      </c>
      <c r="Q401" s="332">
        <f>IFERROR(VLOOKUP(TEXT(O401,"0"),CONDUCTORES!$A$3:$H$54,6,0),"")</f>
        <v/>
      </c>
      <c r="R401" s="334" t="n"/>
      <c r="S401" s="334" t="n"/>
      <c r="T401" s="334" t="n"/>
      <c r="U401" s="334" t="n"/>
      <c r="V401" s="334" t="n"/>
      <c r="W401" s="334" t="n"/>
      <c r="X401" s="334" t="n"/>
      <c r="Y401" s="334" t="n"/>
      <c r="Z401" s="375">
        <f>IF(AND(G401&lt;&gt;"",R401&lt;&gt;"",V401&lt;&gt;"",W401&lt;&gt;""),"COMPLETADO","OBSERVADO")</f>
        <v/>
      </c>
    </row>
    <row r="402" ht="15" customHeight="1" s="195">
      <c r="A402" s="280" t="n"/>
      <c r="B402" s="280" t="n"/>
      <c r="C402" s="280" t="n"/>
      <c r="D402" s="280" t="n"/>
      <c r="E402" s="280" t="n"/>
      <c r="F402" s="280" t="n"/>
      <c r="G402" s="280" t="n"/>
      <c r="H402" s="280" t="n"/>
      <c r="I402" s="332">
        <f>IFERROR(VLOOKUP(TEXT(H402,"0"),IPRESS!$A$3:$B$212,2,0),"")</f>
        <v/>
      </c>
      <c r="J402" s="280" t="n"/>
      <c r="K402" s="332">
        <f>IFERROR(VLOOKUP(TEXT(O402,"0"),CONDUCTORES!$A$3:$G$54,7,0),"")</f>
        <v/>
      </c>
      <c r="L402" s="280" t="n"/>
      <c r="M402" s="280" t="n"/>
      <c r="N402" s="333">
        <f>IFERROR(IF(L402*M402=0,"",L402*M402),"")</f>
        <v/>
      </c>
      <c r="O402" s="280" t="n"/>
      <c r="P402" s="332">
        <f>IFERROR(VLOOKUP(TEXT(O402,"0"),CONDUCTORES!$A$3:$G$54,2,0),"")</f>
        <v/>
      </c>
      <c r="Q402" s="332">
        <f>IFERROR(VLOOKUP(TEXT(O402,"0"),CONDUCTORES!$A$3:$H$54,6,0),"")</f>
        <v/>
      </c>
      <c r="R402" s="280" t="n"/>
      <c r="S402" s="280" t="n"/>
      <c r="T402" s="280" t="n"/>
      <c r="U402" s="280" t="n"/>
      <c r="V402" s="280" t="n"/>
      <c r="W402" s="280" t="n"/>
      <c r="X402" s="280" t="n"/>
      <c r="Y402" s="280" t="n"/>
      <c r="Z402" s="375">
        <f>IF(AND(G402&lt;&gt;"",R402&lt;&gt;"",V402&lt;&gt;"",W402&lt;&gt;""),"COMPLETADO","OBSERVADO")</f>
        <v/>
      </c>
    </row>
    <row r="403" ht="15" customHeight="1" s="195">
      <c r="A403" s="334" t="n"/>
      <c r="B403" s="334" t="n"/>
      <c r="C403" s="334" t="n"/>
      <c r="D403" s="334" t="n"/>
      <c r="E403" s="334" t="n"/>
      <c r="F403" s="334" t="n"/>
      <c r="G403" s="334" t="n"/>
      <c r="H403" s="334" t="n"/>
      <c r="I403" s="332">
        <f>IFERROR(VLOOKUP(TEXT(H403,"0"),IPRESS!$A$3:$B$212,2,0),"")</f>
        <v/>
      </c>
      <c r="J403" s="334" t="n"/>
      <c r="K403" s="332">
        <f>IFERROR(VLOOKUP(TEXT(O403,"0"),CONDUCTORES!$A$3:$G$54,7,0),"")</f>
        <v/>
      </c>
      <c r="L403" s="334" t="n"/>
      <c r="M403" s="334" t="n"/>
      <c r="N403" s="333">
        <f>IFERROR(IF(L403*M403=0,"",L403*M403),"")</f>
        <v/>
      </c>
      <c r="O403" s="334" t="n"/>
      <c r="P403" s="332">
        <f>IFERROR(VLOOKUP(TEXT(O403,"0"),CONDUCTORES!$A$3:$G$54,2,0),"")</f>
        <v/>
      </c>
      <c r="Q403" s="332">
        <f>IFERROR(VLOOKUP(TEXT(O403,"0"),CONDUCTORES!$A$3:$H$54,6,0),"")</f>
        <v/>
      </c>
      <c r="R403" s="334" t="n"/>
      <c r="S403" s="334" t="n"/>
      <c r="T403" s="334" t="n"/>
      <c r="U403" s="334" t="n"/>
      <c r="V403" s="334" t="n"/>
      <c r="W403" s="334" t="n"/>
      <c r="X403" s="334" t="n"/>
      <c r="Y403" s="334" t="n"/>
      <c r="Z403" s="375">
        <f>IF(AND(G403&lt;&gt;"",R403&lt;&gt;"",V403&lt;&gt;"",W403&lt;&gt;""),"COMPLETADO","OBSERVADO")</f>
        <v/>
      </c>
    </row>
    <row r="404" ht="15" customHeight="1" s="195">
      <c r="A404" s="280" t="n"/>
      <c r="B404" s="280" t="n"/>
      <c r="C404" s="280" t="n"/>
      <c r="D404" s="280" t="n"/>
      <c r="E404" s="280" t="n"/>
      <c r="F404" s="280" t="n"/>
      <c r="G404" s="280" t="n"/>
      <c r="H404" s="280" t="n"/>
      <c r="I404" s="332">
        <f>IFERROR(VLOOKUP(TEXT(H404,"0"),IPRESS!$A$3:$B$212,2,0),"")</f>
        <v/>
      </c>
      <c r="J404" s="280" t="n"/>
      <c r="K404" s="332">
        <f>IFERROR(VLOOKUP(TEXT(O404,"0"),CONDUCTORES!$A$3:$G$54,7,0),"")</f>
        <v/>
      </c>
      <c r="L404" s="280" t="n"/>
      <c r="M404" s="280" t="n"/>
      <c r="N404" s="333">
        <f>IFERROR(IF(L404*M404=0,"",L404*M404),"")</f>
        <v/>
      </c>
      <c r="O404" s="280" t="n"/>
      <c r="P404" s="332">
        <f>IFERROR(VLOOKUP(TEXT(O404,"0"),CONDUCTORES!$A$3:$G$54,2,0),"")</f>
        <v/>
      </c>
      <c r="Q404" s="332">
        <f>IFERROR(VLOOKUP(TEXT(O404,"0"),CONDUCTORES!$A$3:$H$54,6,0),"")</f>
        <v/>
      </c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375">
        <f>IF(AND(G404&lt;&gt;"",R404&lt;&gt;"",V404&lt;&gt;"",W404&lt;&gt;""),"COMPLETADO","OBSERVADO")</f>
        <v/>
      </c>
    </row>
    <row r="405" ht="15" customHeight="1" s="195">
      <c r="A405" s="334" t="n"/>
      <c r="B405" s="334" t="n"/>
      <c r="C405" s="334" t="n"/>
      <c r="D405" s="334" t="n"/>
      <c r="E405" s="334" t="n"/>
      <c r="F405" s="334" t="n"/>
      <c r="G405" s="334" t="n"/>
      <c r="H405" s="334" t="n"/>
      <c r="I405" s="332">
        <f>IFERROR(VLOOKUP(TEXT(H405,"0"),IPRESS!$A$3:$B$212,2,0),"")</f>
        <v/>
      </c>
      <c r="J405" s="334" t="n"/>
      <c r="K405" s="332">
        <f>IFERROR(VLOOKUP(TEXT(O405,"0"),CONDUCTORES!$A$3:$G$54,7,0),"")</f>
        <v/>
      </c>
      <c r="L405" s="334" t="n"/>
      <c r="M405" s="334" t="n"/>
      <c r="N405" s="333">
        <f>IFERROR(IF(L405*M405=0,"",L405*M405),"")</f>
        <v/>
      </c>
      <c r="O405" s="334" t="n"/>
      <c r="P405" s="332">
        <f>IFERROR(VLOOKUP(TEXT(O405,"0"),CONDUCTORES!$A$3:$G$54,2,0),"")</f>
        <v/>
      </c>
      <c r="Q405" s="332">
        <f>IFERROR(VLOOKUP(TEXT(O405,"0"),CONDUCTORES!$A$3:$H$54,6,0),"")</f>
        <v/>
      </c>
      <c r="R405" s="334" t="n"/>
      <c r="S405" s="334" t="n"/>
      <c r="T405" s="334" t="n"/>
      <c r="U405" s="334" t="n"/>
      <c r="V405" s="334" t="n"/>
      <c r="W405" s="334" t="n"/>
      <c r="X405" s="334" t="n"/>
      <c r="Y405" s="334" t="n"/>
      <c r="Z405" s="375">
        <f>IF(AND(G405&lt;&gt;"",R405&lt;&gt;"",V405&lt;&gt;"",W405&lt;&gt;""),"COMPLETADO","OBSERVADO")</f>
        <v/>
      </c>
    </row>
    <row r="406" ht="15" customHeight="1" s="195">
      <c r="A406" s="280" t="n"/>
      <c r="B406" s="280" t="n"/>
      <c r="C406" s="280" t="n"/>
      <c r="D406" s="280" t="n"/>
      <c r="E406" s="280" t="n"/>
      <c r="F406" s="280" t="n"/>
      <c r="G406" s="280" t="n"/>
      <c r="H406" s="280" t="n"/>
      <c r="I406" s="332">
        <f>IFERROR(VLOOKUP(TEXT(H406,"0"),IPRESS!$A$3:$B$212,2,0),"")</f>
        <v/>
      </c>
      <c r="J406" s="280" t="n"/>
      <c r="K406" s="332">
        <f>IFERROR(VLOOKUP(TEXT(O406,"0"),CONDUCTORES!$A$3:$G$54,7,0),"")</f>
        <v/>
      </c>
      <c r="L406" s="280" t="n"/>
      <c r="M406" s="280" t="n"/>
      <c r="N406" s="333">
        <f>IFERROR(IF(L406*M406=0,"",L406*M406),"")</f>
        <v/>
      </c>
      <c r="O406" s="280" t="n"/>
      <c r="P406" s="332">
        <f>IFERROR(VLOOKUP(TEXT(O406,"0"),CONDUCTORES!$A$3:$G$54,2,0),"")</f>
        <v/>
      </c>
      <c r="Q406" s="332">
        <f>IFERROR(VLOOKUP(TEXT(O406,"0"),CONDUCTORES!$A$3:$H$54,6,0),"")</f>
        <v/>
      </c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375">
        <f>IF(AND(G406&lt;&gt;"",R406&lt;&gt;"",V406&lt;&gt;"",W406&lt;&gt;""),"COMPLETADO","OBSERVADO")</f>
        <v/>
      </c>
    </row>
    <row r="407" ht="15" customHeight="1" s="195">
      <c r="A407" s="334" t="n"/>
      <c r="B407" s="334" t="n"/>
      <c r="C407" s="334" t="n"/>
      <c r="D407" s="334" t="n"/>
      <c r="E407" s="334" t="n"/>
      <c r="F407" s="334" t="n"/>
      <c r="G407" s="334" t="n"/>
      <c r="H407" s="334" t="n"/>
      <c r="I407" s="332">
        <f>IFERROR(VLOOKUP(TEXT(H407,"0"),IPRESS!$A$3:$B$212,2,0),"")</f>
        <v/>
      </c>
      <c r="J407" s="334" t="n"/>
      <c r="K407" s="332">
        <f>IFERROR(VLOOKUP(TEXT(O407,"0"),CONDUCTORES!$A$3:$G$54,7,0),"")</f>
        <v/>
      </c>
      <c r="L407" s="334" t="n"/>
      <c r="M407" s="334" t="n"/>
      <c r="N407" s="333">
        <f>IFERROR(IF(L407*M407=0,"",L407*M407),"")</f>
        <v/>
      </c>
      <c r="O407" s="334" t="n"/>
      <c r="P407" s="332">
        <f>IFERROR(VLOOKUP(TEXT(O407,"0"),CONDUCTORES!$A$3:$G$54,2,0),"")</f>
        <v/>
      </c>
      <c r="Q407" s="332">
        <f>IFERROR(VLOOKUP(TEXT(O407,"0"),CONDUCTORES!$A$3:$H$54,6,0),"")</f>
        <v/>
      </c>
      <c r="R407" s="334" t="n"/>
      <c r="S407" s="334" t="n"/>
      <c r="T407" s="334" t="n"/>
      <c r="U407" s="334" t="n"/>
      <c r="V407" s="334" t="n"/>
      <c r="W407" s="334" t="n"/>
      <c r="X407" s="334" t="n"/>
      <c r="Y407" s="334" t="n"/>
      <c r="Z407" s="375">
        <f>IF(AND(G407&lt;&gt;"",R407&lt;&gt;"",V407&lt;&gt;"",W407&lt;&gt;""),"COMPLETADO","OBSERVADO")</f>
        <v/>
      </c>
    </row>
    <row r="408" ht="15" customHeight="1" s="195">
      <c r="A408" s="280" t="n"/>
      <c r="B408" s="280" t="n"/>
      <c r="C408" s="280" t="n"/>
      <c r="D408" s="280" t="n"/>
      <c r="E408" s="280" t="n"/>
      <c r="F408" s="280" t="n"/>
      <c r="G408" s="280" t="n"/>
      <c r="H408" s="280" t="n"/>
      <c r="I408" s="332">
        <f>IFERROR(VLOOKUP(TEXT(H408,"0"),IPRESS!$A$3:$B$212,2,0),"")</f>
        <v/>
      </c>
      <c r="J408" s="280" t="n"/>
      <c r="K408" s="332">
        <f>IFERROR(VLOOKUP(TEXT(O408,"0"),CONDUCTORES!$A$3:$G$54,7,0),"")</f>
        <v/>
      </c>
      <c r="L408" s="280" t="n"/>
      <c r="M408" s="280" t="n"/>
      <c r="N408" s="333">
        <f>IFERROR(IF(L408*M408=0,"",L408*M408),"")</f>
        <v/>
      </c>
      <c r="O408" s="280" t="n"/>
      <c r="P408" s="332">
        <f>IFERROR(VLOOKUP(TEXT(O408,"0"),CONDUCTORES!$A$3:$G$54,2,0),"")</f>
        <v/>
      </c>
      <c r="Q408" s="332">
        <f>IFERROR(VLOOKUP(TEXT(O408,"0"),CONDUCTORES!$A$3:$H$54,6,0),"")</f>
        <v/>
      </c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375">
        <f>IF(AND(G408&lt;&gt;"",R408&lt;&gt;"",V408&lt;&gt;"",W408&lt;&gt;""),"COMPLETADO","OBSERVADO")</f>
        <v/>
      </c>
    </row>
    <row r="409" ht="15" customHeight="1" s="195">
      <c r="A409" s="334" t="n"/>
      <c r="B409" s="334" t="n"/>
      <c r="C409" s="334" t="n"/>
      <c r="D409" s="334" t="n"/>
      <c r="E409" s="334" t="n"/>
      <c r="F409" s="334" t="n"/>
      <c r="G409" s="334" t="n"/>
      <c r="H409" s="334" t="n"/>
      <c r="I409" s="332">
        <f>IFERROR(VLOOKUP(TEXT(H409,"0"),IPRESS!$A$3:$B$212,2,0),"")</f>
        <v/>
      </c>
      <c r="J409" s="334" t="n"/>
      <c r="K409" s="332">
        <f>IFERROR(VLOOKUP(TEXT(O409,"0"),CONDUCTORES!$A$3:$G$54,7,0),"")</f>
        <v/>
      </c>
      <c r="L409" s="334" t="n"/>
      <c r="M409" s="334" t="n"/>
      <c r="N409" s="333">
        <f>IFERROR(IF(L409*M409=0,"",L409*M409),"")</f>
        <v/>
      </c>
      <c r="O409" s="334" t="n"/>
      <c r="P409" s="332">
        <f>IFERROR(VLOOKUP(TEXT(O409,"0"),CONDUCTORES!$A$3:$G$54,2,0),"")</f>
        <v/>
      </c>
      <c r="Q409" s="332">
        <f>IFERROR(VLOOKUP(TEXT(O409,"0"),CONDUCTORES!$A$3:$H$54,6,0),"")</f>
        <v/>
      </c>
      <c r="R409" s="334" t="n"/>
      <c r="S409" s="334" t="n"/>
      <c r="T409" s="334" t="n"/>
      <c r="U409" s="334" t="n"/>
      <c r="V409" s="334" t="n"/>
      <c r="W409" s="334" t="n"/>
      <c r="X409" s="334" t="n"/>
      <c r="Y409" s="334" t="n"/>
      <c r="Z409" s="375">
        <f>IF(AND(G409&lt;&gt;"",R409&lt;&gt;"",V409&lt;&gt;"",W409&lt;&gt;""),"COMPLETADO","OBSERVADO")</f>
        <v/>
      </c>
    </row>
    <row r="410" ht="15" customHeight="1" s="195">
      <c r="A410" s="280" t="n"/>
      <c r="B410" s="280" t="n"/>
      <c r="C410" s="280" t="n"/>
      <c r="D410" s="280" t="n"/>
      <c r="E410" s="280" t="n"/>
      <c r="F410" s="280" t="n"/>
      <c r="G410" s="280" t="n"/>
      <c r="H410" s="280" t="n"/>
      <c r="I410" s="332">
        <f>IFERROR(VLOOKUP(TEXT(H410,"0"),IPRESS!$A$3:$B$212,2,0),"")</f>
        <v/>
      </c>
      <c r="J410" s="280" t="n"/>
      <c r="K410" s="332">
        <f>IFERROR(VLOOKUP(TEXT(O410,"0"),CONDUCTORES!$A$3:$G$54,7,0),"")</f>
        <v/>
      </c>
      <c r="L410" s="280" t="n"/>
      <c r="M410" s="280" t="n"/>
      <c r="N410" s="333">
        <f>IFERROR(IF(L410*M410=0,"",L410*M410),"")</f>
        <v/>
      </c>
      <c r="O410" s="280" t="n"/>
      <c r="P410" s="332">
        <f>IFERROR(VLOOKUP(TEXT(O410,"0"),CONDUCTORES!$A$3:$G$54,2,0),"")</f>
        <v/>
      </c>
      <c r="Q410" s="332">
        <f>IFERROR(VLOOKUP(TEXT(O410,"0"),CONDUCTORES!$A$3:$H$54,6,0),"")</f>
        <v/>
      </c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375">
        <f>IF(AND(G410&lt;&gt;"",R410&lt;&gt;"",V410&lt;&gt;"",W410&lt;&gt;""),"COMPLETADO","OBSERVADO")</f>
        <v/>
      </c>
    </row>
    <row r="411" ht="15" customHeight="1" s="195">
      <c r="A411" s="334" t="n"/>
      <c r="B411" s="334" t="n"/>
      <c r="C411" s="334" t="n"/>
      <c r="D411" s="334" t="n"/>
      <c r="E411" s="334" t="n"/>
      <c r="F411" s="334" t="n"/>
      <c r="G411" s="334" t="n"/>
      <c r="H411" s="334" t="n"/>
      <c r="I411" s="332">
        <f>IFERROR(VLOOKUP(TEXT(H411,"0"),IPRESS!$A$3:$B$212,2,0),"")</f>
        <v/>
      </c>
      <c r="J411" s="334" t="n"/>
      <c r="K411" s="332">
        <f>IFERROR(VLOOKUP(TEXT(O411,"0"),CONDUCTORES!$A$3:$G$54,7,0),"")</f>
        <v/>
      </c>
      <c r="L411" s="334" t="n"/>
      <c r="M411" s="334" t="n"/>
      <c r="N411" s="333">
        <f>IFERROR(IF(L411*M411=0,"",L411*M411),"")</f>
        <v/>
      </c>
      <c r="O411" s="334" t="n"/>
      <c r="P411" s="332">
        <f>IFERROR(VLOOKUP(TEXT(O411,"0"),CONDUCTORES!$A$3:$G$54,2,0),"")</f>
        <v/>
      </c>
      <c r="Q411" s="332">
        <f>IFERROR(VLOOKUP(TEXT(O411,"0"),CONDUCTORES!$A$3:$H$54,6,0),"")</f>
        <v/>
      </c>
      <c r="R411" s="334" t="n"/>
      <c r="S411" s="334" t="n"/>
      <c r="T411" s="334" t="n"/>
      <c r="U411" s="334" t="n"/>
      <c r="V411" s="334" t="n"/>
      <c r="W411" s="334" t="n"/>
      <c r="X411" s="334" t="n"/>
      <c r="Y411" s="334" t="n"/>
      <c r="Z411" s="375">
        <f>IF(AND(G411&lt;&gt;"",R411&lt;&gt;"",V411&lt;&gt;"",W411&lt;&gt;""),"COMPLETADO","OBSERVADO")</f>
        <v/>
      </c>
    </row>
    <row r="412" ht="15" customHeight="1" s="195">
      <c r="A412" s="280" t="n"/>
      <c r="B412" s="280" t="n"/>
      <c r="C412" s="280" t="n"/>
      <c r="D412" s="280" t="n"/>
      <c r="E412" s="280" t="n"/>
      <c r="F412" s="280" t="n"/>
      <c r="G412" s="280" t="n"/>
      <c r="H412" s="280" t="n"/>
      <c r="I412" s="332">
        <f>IFERROR(VLOOKUP(TEXT(H412,"0"),IPRESS!$A$3:$B$212,2,0),"")</f>
        <v/>
      </c>
      <c r="J412" s="280" t="n"/>
      <c r="K412" s="332">
        <f>IFERROR(VLOOKUP(TEXT(O412,"0"),CONDUCTORES!$A$3:$G$54,7,0),"")</f>
        <v/>
      </c>
      <c r="L412" s="280" t="n"/>
      <c r="M412" s="280" t="n"/>
      <c r="N412" s="333">
        <f>IFERROR(IF(L412*M412=0,"",L412*M412),"")</f>
        <v/>
      </c>
      <c r="O412" s="280" t="n"/>
      <c r="P412" s="332">
        <f>IFERROR(VLOOKUP(TEXT(O412,"0"),CONDUCTORES!$A$3:$G$54,2,0),"")</f>
        <v/>
      </c>
      <c r="Q412" s="332">
        <f>IFERROR(VLOOKUP(TEXT(O412,"0"),CONDUCTORES!$A$3:$H$54,6,0),"")</f>
        <v/>
      </c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375">
        <f>IF(AND(G412&lt;&gt;"",R412&lt;&gt;"",V412&lt;&gt;"",W412&lt;&gt;""),"COMPLETADO","OBSERVADO")</f>
        <v/>
      </c>
    </row>
    <row r="413" ht="15" customHeight="1" s="195">
      <c r="A413" s="334" t="n"/>
      <c r="B413" s="334" t="n"/>
      <c r="C413" s="334" t="n"/>
      <c r="D413" s="334" t="n"/>
      <c r="E413" s="334" t="n"/>
      <c r="F413" s="334" t="n"/>
      <c r="G413" s="334" t="n"/>
      <c r="H413" s="334" t="n"/>
      <c r="I413" s="332">
        <f>IFERROR(VLOOKUP(TEXT(H413,"0"),IPRESS!$A$3:$B$212,2,0),"")</f>
        <v/>
      </c>
      <c r="J413" s="334" t="n"/>
      <c r="K413" s="332">
        <f>IFERROR(VLOOKUP(TEXT(O413,"0"),CONDUCTORES!$A$3:$G$54,7,0),"")</f>
        <v/>
      </c>
      <c r="L413" s="334" t="n"/>
      <c r="M413" s="334" t="n"/>
      <c r="N413" s="333">
        <f>IFERROR(IF(L413*M413=0,"",L413*M413),"")</f>
        <v/>
      </c>
      <c r="O413" s="334" t="n"/>
      <c r="P413" s="332">
        <f>IFERROR(VLOOKUP(TEXT(O413,"0"),CONDUCTORES!$A$3:$G$54,2,0),"")</f>
        <v/>
      </c>
      <c r="Q413" s="332">
        <f>IFERROR(VLOOKUP(TEXT(O413,"0"),CONDUCTORES!$A$3:$H$54,6,0),"")</f>
        <v/>
      </c>
      <c r="R413" s="334" t="n"/>
      <c r="S413" s="334" t="n"/>
      <c r="T413" s="334" t="n"/>
      <c r="U413" s="334" t="n"/>
      <c r="V413" s="334" t="n"/>
      <c r="W413" s="334" t="n"/>
      <c r="X413" s="334" t="n"/>
      <c r="Y413" s="334" t="n"/>
      <c r="Z413" s="375">
        <f>IF(AND(G413&lt;&gt;"",R413&lt;&gt;"",V413&lt;&gt;"",W413&lt;&gt;""),"COMPLETADO","OBSERVADO")</f>
        <v/>
      </c>
    </row>
    <row r="414" ht="15" customHeight="1" s="195">
      <c r="A414" s="280" t="n"/>
      <c r="B414" s="280" t="n"/>
      <c r="C414" s="280" t="n"/>
      <c r="D414" s="280" t="n"/>
      <c r="E414" s="280" t="n"/>
      <c r="F414" s="280" t="n"/>
      <c r="G414" s="280" t="n"/>
      <c r="H414" s="280" t="n"/>
      <c r="I414" s="332">
        <f>IFERROR(VLOOKUP(TEXT(H414,"0"),IPRESS!$A$3:$B$212,2,0),"")</f>
        <v/>
      </c>
      <c r="J414" s="280" t="n"/>
      <c r="K414" s="332">
        <f>IFERROR(VLOOKUP(TEXT(O414,"0"),CONDUCTORES!$A$3:$G$54,7,0),"")</f>
        <v/>
      </c>
      <c r="L414" s="280" t="n"/>
      <c r="M414" s="280" t="n"/>
      <c r="N414" s="333">
        <f>IFERROR(IF(L414*M414=0,"",L414*M414),"")</f>
        <v/>
      </c>
      <c r="O414" s="280" t="n"/>
      <c r="P414" s="332">
        <f>IFERROR(VLOOKUP(TEXT(O414,"0"),CONDUCTORES!$A$3:$G$54,2,0),"")</f>
        <v/>
      </c>
      <c r="Q414" s="332">
        <f>IFERROR(VLOOKUP(TEXT(O414,"0"),CONDUCTORES!$A$3:$H$54,6,0),"")</f>
        <v/>
      </c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375">
        <f>IF(AND(G414&lt;&gt;"",R414&lt;&gt;"",V414&lt;&gt;"",W414&lt;&gt;""),"COMPLETADO","OBSERVADO")</f>
        <v/>
      </c>
    </row>
    <row r="415" ht="15" customHeight="1" s="195">
      <c r="A415" s="334" t="n"/>
      <c r="B415" s="334" t="n"/>
      <c r="C415" s="334" t="n"/>
      <c r="D415" s="334" t="n"/>
      <c r="E415" s="334" t="n"/>
      <c r="F415" s="334" t="n"/>
      <c r="G415" s="334" t="n"/>
      <c r="H415" s="334" t="n"/>
      <c r="I415" s="332">
        <f>IFERROR(VLOOKUP(TEXT(H415,"0"),IPRESS!$A$3:$B$212,2,0),"")</f>
        <v/>
      </c>
      <c r="J415" s="334" t="n"/>
      <c r="K415" s="332">
        <f>IFERROR(VLOOKUP(TEXT(O415,"0"),CONDUCTORES!$A$3:$G$54,7,0),"")</f>
        <v/>
      </c>
      <c r="L415" s="334" t="n"/>
      <c r="M415" s="334" t="n"/>
      <c r="N415" s="333">
        <f>IFERROR(IF(L415*M415=0,"",L415*M415),"")</f>
        <v/>
      </c>
      <c r="O415" s="334" t="n"/>
      <c r="P415" s="332">
        <f>IFERROR(VLOOKUP(TEXT(O415,"0"),CONDUCTORES!$A$3:$G$54,2,0),"")</f>
        <v/>
      </c>
      <c r="Q415" s="332">
        <f>IFERROR(VLOOKUP(TEXT(O415,"0"),CONDUCTORES!$A$3:$H$54,6,0),"")</f>
        <v/>
      </c>
      <c r="R415" s="334" t="n"/>
      <c r="S415" s="334" t="n"/>
      <c r="T415" s="334" t="n"/>
      <c r="U415" s="334" t="n"/>
      <c r="V415" s="334" t="n"/>
      <c r="W415" s="334" t="n"/>
      <c r="X415" s="334" t="n"/>
      <c r="Y415" s="334" t="n"/>
      <c r="Z415" s="375">
        <f>IF(AND(G415&lt;&gt;"",R415&lt;&gt;"",V415&lt;&gt;"",W415&lt;&gt;""),"COMPLETADO","OBSERVADO")</f>
        <v/>
      </c>
    </row>
    <row r="416" ht="15" customHeight="1" s="195">
      <c r="A416" s="280" t="n"/>
      <c r="B416" s="280" t="n"/>
      <c r="C416" s="280" t="n"/>
      <c r="D416" s="280" t="n"/>
      <c r="E416" s="280" t="n"/>
      <c r="F416" s="280" t="n"/>
      <c r="G416" s="280" t="n"/>
      <c r="H416" s="280" t="n"/>
      <c r="I416" s="332">
        <f>IFERROR(VLOOKUP(TEXT(H416,"0"),IPRESS!$A$3:$B$212,2,0),"")</f>
        <v/>
      </c>
      <c r="J416" s="280" t="n"/>
      <c r="K416" s="332">
        <f>IFERROR(VLOOKUP(TEXT(O416,"0"),CONDUCTORES!$A$3:$G$54,7,0),"")</f>
        <v/>
      </c>
      <c r="L416" s="280" t="n"/>
      <c r="M416" s="280" t="n"/>
      <c r="N416" s="333">
        <f>IFERROR(IF(L416*M416=0,"",L416*M416),"")</f>
        <v/>
      </c>
      <c r="O416" s="280" t="n"/>
      <c r="P416" s="332">
        <f>IFERROR(VLOOKUP(TEXT(O416,"0"),CONDUCTORES!$A$3:$G$54,2,0),"")</f>
        <v/>
      </c>
      <c r="Q416" s="332">
        <f>IFERROR(VLOOKUP(TEXT(O416,"0"),CONDUCTORES!$A$3:$H$54,6,0),"")</f>
        <v/>
      </c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375">
        <f>IF(AND(G416&lt;&gt;"",R416&lt;&gt;"",V416&lt;&gt;"",W416&lt;&gt;""),"COMPLETADO","OBSERVADO")</f>
        <v/>
      </c>
    </row>
    <row r="417" ht="15" customHeight="1" s="195">
      <c r="A417" s="334" t="n"/>
      <c r="B417" s="334" t="n"/>
      <c r="C417" s="334" t="n"/>
      <c r="D417" s="334" t="n"/>
      <c r="E417" s="334" t="n"/>
      <c r="F417" s="334" t="n"/>
      <c r="G417" s="334" t="n"/>
      <c r="H417" s="334" t="n"/>
      <c r="I417" s="332">
        <f>IFERROR(VLOOKUP(TEXT(H417,"0"),IPRESS!$A$3:$B$212,2,0),"")</f>
        <v/>
      </c>
      <c r="J417" s="334" t="n"/>
      <c r="K417" s="332">
        <f>IFERROR(VLOOKUP(TEXT(O417,"0"),CONDUCTORES!$A$3:$G$54,7,0),"")</f>
        <v/>
      </c>
      <c r="L417" s="334" t="n"/>
      <c r="M417" s="334" t="n"/>
      <c r="N417" s="333">
        <f>IFERROR(IF(L417*M417=0,"",L417*M417),"")</f>
        <v/>
      </c>
      <c r="O417" s="334" t="n"/>
      <c r="P417" s="332">
        <f>IFERROR(VLOOKUP(TEXT(O417,"0"),CONDUCTORES!$A$3:$G$54,2,0),"")</f>
        <v/>
      </c>
      <c r="Q417" s="332">
        <f>IFERROR(VLOOKUP(TEXT(O417,"0"),CONDUCTORES!$A$3:$H$54,6,0),"")</f>
        <v/>
      </c>
      <c r="R417" s="334" t="n"/>
      <c r="S417" s="334" t="n"/>
      <c r="T417" s="334" t="n"/>
      <c r="U417" s="334" t="n"/>
      <c r="V417" s="334" t="n"/>
      <c r="W417" s="334" t="n"/>
      <c r="X417" s="334" t="n"/>
      <c r="Y417" s="334" t="n"/>
      <c r="Z417" s="375">
        <f>IF(AND(G417&lt;&gt;"",R417&lt;&gt;"",V417&lt;&gt;"",W417&lt;&gt;""),"COMPLETADO","OBSERVADO")</f>
        <v/>
      </c>
    </row>
    <row r="418" ht="15" customHeight="1" s="195">
      <c r="A418" s="280" t="n"/>
      <c r="B418" s="280" t="n"/>
      <c r="C418" s="280" t="n"/>
      <c r="D418" s="280" t="n"/>
      <c r="E418" s="280" t="n"/>
      <c r="F418" s="280" t="n"/>
      <c r="G418" s="280" t="n"/>
      <c r="H418" s="280" t="n"/>
      <c r="I418" s="332">
        <f>IFERROR(VLOOKUP(TEXT(H418,"0"),IPRESS!$A$3:$B$212,2,0),"")</f>
        <v/>
      </c>
      <c r="J418" s="280" t="n"/>
      <c r="K418" s="332">
        <f>IFERROR(VLOOKUP(TEXT(O418,"0"),CONDUCTORES!$A$3:$G$54,7,0),"")</f>
        <v/>
      </c>
      <c r="L418" s="280" t="n"/>
      <c r="M418" s="280" t="n"/>
      <c r="N418" s="333">
        <f>IFERROR(IF(L418*M418=0,"",L418*M418),"")</f>
        <v/>
      </c>
      <c r="O418" s="280" t="n"/>
      <c r="P418" s="332">
        <f>IFERROR(VLOOKUP(TEXT(O418,"0"),CONDUCTORES!$A$3:$G$54,2,0),"")</f>
        <v/>
      </c>
      <c r="Q418" s="332">
        <f>IFERROR(VLOOKUP(TEXT(O418,"0"),CONDUCTORES!$A$3:$H$54,6,0),"")</f>
        <v/>
      </c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375">
        <f>IF(AND(G418&lt;&gt;"",R418&lt;&gt;"",V418&lt;&gt;"",W418&lt;&gt;""),"COMPLETADO","OBSERVADO")</f>
        <v/>
      </c>
    </row>
    <row r="419" ht="15" customHeight="1" s="195">
      <c r="A419" s="334" t="n"/>
      <c r="B419" s="334" t="n"/>
      <c r="C419" s="334" t="n"/>
      <c r="D419" s="334" t="n"/>
      <c r="E419" s="334" t="n"/>
      <c r="F419" s="334" t="n"/>
      <c r="G419" s="334" t="n"/>
      <c r="H419" s="334" t="n"/>
      <c r="I419" s="332">
        <f>IFERROR(VLOOKUP(TEXT(H419,"0"),IPRESS!$A$3:$B$212,2,0),"")</f>
        <v/>
      </c>
      <c r="J419" s="334" t="n"/>
      <c r="K419" s="332">
        <f>IFERROR(VLOOKUP(TEXT(O419,"0"),CONDUCTORES!$A$3:$G$54,7,0),"")</f>
        <v/>
      </c>
      <c r="L419" s="334" t="n"/>
      <c r="M419" s="334" t="n"/>
      <c r="N419" s="333">
        <f>IFERROR(IF(L419*M419=0,"",L419*M419),"")</f>
        <v/>
      </c>
      <c r="O419" s="334" t="n"/>
      <c r="P419" s="332">
        <f>IFERROR(VLOOKUP(TEXT(O419,"0"),CONDUCTORES!$A$3:$G$54,2,0),"")</f>
        <v/>
      </c>
      <c r="Q419" s="332">
        <f>IFERROR(VLOOKUP(TEXT(O419,"0"),CONDUCTORES!$A$3:$H$54,6,0),"")</f>
        <v/>
      </c>
      <c r="R419" s="334" t="n"/>
      <c r="S419" s="334" t="n"/>
      <c r="T419" s="334" t="n"/>
      <c r="U419" s="334" t="n"/>
      <c r="V419" s="334" t="n"/>
      <c r="W419" s="334" t="n"/>
      <c r="X419" s="334" t="n"/>
      <c r="Y419" s="334" t="n"/>
      <c r="Z419" s="375">
        <f>IF(AND(G419&lt;&gt;"",R419&lt;&gt;"",V419&lt;&gt;"",W419&lt;&gt;""),"COMPLETADO","OBSERVADO")</f>
        <v/>
      </c>
    </row>
    <row r="420" ht="15" customHeight="1" s="195">
      <c r="A420" s="280" t="n"/>
      <c r="B420" s="280" t="n"/>
      <c r="C420" s="280" t="n"/>
      <c r="D420" s="280" t="n"/>
      <c r="E420" s="280" t="n"/>
      <c r="F420" s="280" t="n"/>
      <c r="G420" s="280" t="n"/>
      <c r="H420" s="280" t="n"/>
      <c r="I420" s="332">
        <f>IFERROR(VLOOKUP(TEXT(H420,"0"),IPRESS!$A$3:$B$212,2,0),"")</f>
        <v/>
      </c>
      <c r="J420" s="280" t="n"/>
      <c r="K420" s="332">
        <f>IFERROR(VLOOKUP(TEXT(O420,"0"),CONDUCTORES!$A$3:$G$54,7,0),"")</f>
        <v/>
      </c>
      <c r="L420" s="280" t="n"/>
      <c r="M420" s="280" t="n"/>
      <c r="N420" s="333">
        <f>IFERROR(IF(L420*M420=0,"",L420*M420),"")</f>
        <v/>
      </c>
      <c r="O420" s="280" t="n"/>
      <c r="P420" s="332">
        <f>IFERROR(VLOOKUP(TEXT(O420,"0"),CONDUCTORES!$A$3:$G$54,2,0),"")</f>
        <v/>
      </c>
      <c r="Q420" s="332">
        <f>IFERROR(VLOOKUP(TEXT(O420,"0"),CONDUCTORES!$A$3:$H$54,6,0),"")</f>
        <v/>
      </c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375">
        <f>IF(AND(G420&lt;&gt;"",R420&lt;&gt;"",V420&lt;&gt;"",W420&lt;&gt;""),"COMPLETADO","OBSERVADO")</f>
        <v/>
      </c>
    </row>
    <row r="421" ht="15" customHeight="1" s="195">
      <c r="A421" s="334" t="n"/>
      <c r="B421" s="334" t="n"/>
      <c r="C421" s="334" t="n"/>
      <c r="D421" s="334" t="n"/>
      <c r="E421" s="334" t="n"/>
      <c r="F421" s="334" t="n"/>
      <c r="G421" s="334" t="n"/>
      <c r="H421" s="334" t="n"/>
      <c r="I421" s="332">
        <f>IFERROR(VLOOKUP(TEXT(H421,"0"),IPRESS!$A$3:$B$212,2,0),"")</f>
        <v/>
      </c>
      <c r="J421" s="334" t="n"/>
      <c r="K421" s="332">
        <f>IFERROR(VLOOKUP(TEXT(O421,"0"),CONDUCTORES!$A$3:$G$54,7,0),"")</f>
        <v/>
      </c>
      <c r="L421" s="334" t="n"/>
      <c r="M421" s="334" t="n"/>
      <c r="N421" s="333">
        <f>IFERROR(IF(L421*M421=0,"",L421*M421),"")</f>
        <v/>
      </c>
      <c r="O421" s="334" t="n"/>
      <c r="P421" s="332">
        <f>IFERROR(VLOOKUP(TEXT(O421,"0"),CONDUCTORES!$A$3:$G$54,2,0),"")</f>
        <v/>
      </c>
      <c r="Q421" s="332">
        <f>IFERROR(VLOOKUP(TEXT(O421,"0"),CONDUCTORES!$A$3:$H$54,6,0),"")</f>
        <v/>
      </c>
      <c r="R421" s="334" t="n"/>
      <c r="S421" s="334" t="n"/>
      <c r="T421" s="334" t="n"/>
      <c r="U421" s="334" t="n"/>
      <c r="V421" s="334" t="n"/>
      <c r="W421" s="334" t="n"/>
      <c r="X421" s="334" t="n"/>
      <c r="Y421" s="334" t="n"/>
      <c r="Z421" s="375">
        <f>IF(AND(G421&lt;&gt;"",R421&lt;&gt;"",V421&lt;&gt;"",W421&lt;&gt;""),"COMPLETADO","OBSERVADO")</f>
        <v/>
      </c>
    </row>
    <row r="422" ht="15" customHeight="1" s="195">
      <c r="A422" s="280" t="n"/>
      <c r="B422" s="280" t="n"/>
      <c r="C422" s="280" t="n"/>
      <c r="D422" s="280" t="n"/>
      <c r="E422" s="280" t="n"/>
      <c r="F422" s="280" t="n"/>
      <c r="G422" s="280" t="n"/>
      <c r="H422" s="280" t="n"/>
      <c r="I422" s="332">
        <f>IFERROR(VLOOKUP(TEXT(H422,"0"),IPRESS!$A$3:$B$212,2,0),"")</f>
        <v/>
      </c>
      <c r="J422" s="280" t="n"/>
      <c r="K422" s="332">
        <f>IFERROR(VLOOKUP(TEXT(O422,"0"),CONDUCTORES!$A$3:$G$54,7,0),"")</f>
        <v/>
      </c>
      <c r="L422" s="280" t="n"/>
      <c r="M422" s="280" t="n"/>
      <c r="N422" s="333">
        <f>IFERROR(IF(L422*M422=0,"",L422*M422),"")</f>
        <v/>
      </c>
      <c r="O422" s="280" t="n"/>
      <c r="P422" s="332">
        <f>IFERROR(VLOOKUP(TEXT(O422,"0"),CONDUCTORES!$A$3:$G$54,2,0),"")</f>
        <v/>
      </c>
      <c r="Q422" s="332">
        <f>IFERROR(VLOOKUP(TEXT(O422,"0"),CONDUCTORES!$A$3:$H$54,6,0),"")</f>
        <v/>
      </c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375">
        <f>IF(AND(G422&lt;&gt;"",R422&lt;&gt;"",V422&lt;&gt;"",W422&lt;&gt;""),"COMPLETADO","OBSERVADO")</f>
        <v/>
      </c>
    </row>
    <row r="423" ht="15" customHeight="1" s="195">
      <c r="A423" s="334" t="n"/>
      <c r="B423" s="334" t="n"/>
      <c r="C423" s="334" t="n"/>
      <c r="D423" s="334" t="n"/>
      <c r="E423" s="334" t="n"/>
      <c r="F423" s="334" t="n"/>
      <c r="G423" s="334" t="n"/>
      <c r="H423" s="334" t="n"/>
      <c r="I423" s="332">
        <f>IFERROR(VLOOKUP(TEXT(H423,"0"),IPRESS!$A$3:$B$212,2,0),"")</f>
        <v/>
      </c>
      <c r="J423" s="334" t="n"/>
      <c r="K423" s="332">
        <f>IFERROR(VLOOKUP(TEXT(O423,"0"),CONDUCTORES!$A$3:$G$54,7,0),"")</f>
        <v/>
      </c>
      <c r="L423" s="334" t="n"/>
      <c r="M423" s="334" t="n"/>
      <c r="N423" s="333">
        <f>IFERROR(IF(L423*M423=0,"",L423*M423),"")</f>
        <v/>
      </c>
      <c r="O423" s="334" t="n"/>
      <c r="P423" s="332">
        <f>IFERROR(VLOOKUP(TEXT(O423,"0"),CONDUCTORES!$A$3:$G$54,2,0),"")</f>
        <v/>
      </c>
      <c r="Q423" s="332">
        <f>IFERROR(VLOOKUP(TEXT(O423,"0"),CONDUCTORES!$A$3:$H$54,6,0),"")</f>
        <v/>
      </c>
      <c r="R423" s="334" t="n"/>
      <c r="S423" s="334" t="n"/>
      <c r="T423" s="334" t="n"/>
      <c r="U423" s="334" t="n"/>
      <c r="V423" s="334" t="n"/>
      <c r="W423" s="334" t="n"/>
      <c r="X423" s="334" t="n"/>
      <c r="Y423" s="334" t="n"/>
      <c r="Z423" s="375">
        <f>IF(AND(G423&lt;&gt;"",R423&lt;&gt;"",V423&lt;&gt;"",W423&lt;&gt;""),"COMPLETADO","OBSERVADO")</f>
        <v/>
      </c>
    </row>
    <row r="424" ht="15" customHeight="1" s="195">
      <c r="A424" s="280" t="n"/>
      <c r="B424" s="280" t="n"/>
      <c r="C424" s="280" t="n"/>
      <c r="D424" s="280" t="n"/>
      <c r="E424" s="280" t="n"/>
      <c r="F424" s="280" t="n"/>
      <c r="G424" s="280" t="n"/>
      <c r="H424" s="280" t="n"/>
      <c r="I424" s="332">
        <f>IFERROR(VLOOKUP(TEXT(H424,"0"),IPRESS!$A$3:$B$212,2,0),"")</f>
        <v/>
      </c>
      <c r="J424" s="280" t="n"/>
      <c r="K424" s="332">
        <f>IFERROR(VLOOKUP(TEXT(O424,"0"),CONDUCTORES!$A$3:$G$54,7,0),"")</f>
        <v/>
      </c>
      <c r="L424" s="280" t="n"/>
      <c r="M424" s="280" t="n"/>
      <c r="N424" s="333">
        <f>IFERROR(IF(L424*M424=0,"",L424*M424),"")</f>
        <v/>
      </c>
      <c r="O424" s="280" t="n"/>
      <c r="P424" s="332">
        <f>IFERROR(VLOOKUP(TEXT(O424,"0"),CONDUCTORES!$A$3:$G$54,2,0),"")</f>
        <v/>
      </c>
      <c r="Q424" s="332">
        <f>IFERROR(VLOOKUP(TEXT(O424,"0"),CONDUCTORES!$A$3:$H$54,6,0),"")</f>
        <v/>
      </c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375">
        <f>IF(AND(G424&lt;&gt;"",R424&lt;&gt;"",V424&lt;&gt;"",W424&lt;&gt;""),"COMPLETADO","OBSERVADO")</f>
        <v/>
      </c>
    </row>
    <row r="425" ht="15" customHeight="1" s="195">
      <c r="A425" s="334" t="n"/>
      <c r="B425" s="334" t="n"/>
      <c r="C425" s="334" t="n"/>
      <c r="D425" s="334" t="n"/>
      <c r="E425" s="334" t="n"/>
      <c r="F425" s="334" t="n"/>
      <c r="G425" s="334" t="n"/>
      <c r="H425" s="334" t="n"/>
      <c r="I425" s="332">
        <f>IFERROR(VLOOKUP(TEXT(H425,"0"),IPRESS!$A$3:$B$212,2,0),"")</f>
        <v/>
      </c>
      <c r="J425" s="334" t="n"/>
      <c r="K425" s="332">
        <f>IFERROR(VLOOKUP(TEXT(O425,"0"),CONDUCTORES!$A$3:$G$54,7,0),"")</f>
        <v/>
      </c>
      <c r="L425" s="334" t="n"/>
      <c r="M425" s="334" t="n"/>
      <c r="N425" s="333">
        <f>IFERROR(IF(L425*M425=0,"",L425*M425),"")</f>
        <v/>
      </c>
      <c r="O425" s="334" t="n"/>
      <c r="P425" s="332">
        <f>IFERROR(VLOOKUP(TEXT(O425,"0"),CONDUCTORES!$A$3:$G$54,2,0),"")</f>
        <v/>
      </c>
      <c r="Q425" s="332">
        <f>IFERROR(VLOOKUP(TEXT(O425,"0"),CONDUCTORES!$A$3:$H$54,6,0),"")</f>
        <v/>
      </c>
      <c r="R425" s="334" t="n"/>
      <c r="S425" s="334" t="n"/>
      <c r="T425" s="334" t="n"/>
      <c r="U425" s="334" t="n"/>
      <c r="V425" s="334" t="n"/>
      <c r="W425" s="334" t="n"/>
      <c r="X425" s="334" t="n"/>
      <c r="Y425" s="334" t="n"/>
      <c r="Z425" s="375">
        <f>IF(AND(G425&lt;&gt;"",R425&lt;&gt;"",V425&lt;&gt;"",W425&lt;&gt;""),"COMPLETADO","OBSERVADO")</f>
        <v/>
      </c>
    </row>
    <row r="426" ht="15" customHeight="1" s="195">
      <c r="A426" s="280" t="n"/>
      <c r="B426" s="280" t="n"/>
      <c r="C426" s="280" t="n"/>
      <c r="D426" s="280" t="n"/>
      <c r="E426" s="280" t="n"/>
      <c r="F426" s="280" t="n"/>
      <c r="G426" s="280" t="n"/>
      <c r="H426" s="280" t="n"/>
      <c r="I426" s="332">
        <f>IFERROR(VLOOKUP(TEXT(H426,"0"),IPRESS!$A$3:$B$212,2,0),"")</f>
        <v/>
      </c>
      <c r="J426" s="280" t="n"/>
      <c r="K426" s="332">
        <f>IFERROR(VLOOKUP(TEXT(O426,"0"),CONDUCTORES!$A$3:$G$54,7,0),"")</f>
        <v/>
      </c>
      <c r="L426" s="280" t="n"/>
      <c r="M426" s="280" t="n"/>
      <c r="N426" s="333">
        <f>IFERROR(IF(L426*M426=0,"",L426*M426),"")</f>
        <v/>
      </c>
      <c r="O426" s="280" t="n"/>
      <c r="P426" s="332">
        <f>IFERROR(VLOOKUP(TEXT(O426,"0"),CONDUCTORES!$A$3:$G$54,2,0),"")</f>
        <v/>
      </c>
      <c r="Q426" s="332">
        <f>IFERROR(VLOOKUP(TEXT(O426,"0"),CONDUCTORES!$A$3:$H$54,6,0),"")</f>
        <v/>
      </c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375">
        <f>IF(AND(G426&lt;&gt;"",R426&lt;&gt;"",V426&lt;&gt;"",W426&lt;&gt;""),"COMPLETADO","OBSERVADO")</f>
        <v/>
      </c>
    </row>
    <row r="427" ht="15" customHeight="1" s="195">
      <c r="A427" s="334" t="n"/>
      <c r="B427" s="334" t="n"/>
      <c r="C427" s="334" t="n"/>
      <c r="D427" s="334" t="n"/>
      <c r="E427" s="334" t="n"/>
      <c r="F427" s="334" t="n"/>
      <c r="G427" s="334" t="n"/>
      <c r="H427" s="334" t="n"/>
      <c r="I427" s="332">
        <f>IFERROR(VLOOKUP(TEXT(H427,"0"),IPRESS!$A$3:$B$212,2,0),"")</f>
        <v/>
      </c>
      <c r="J427" s="334" t="n"/>
      <c r="K427" s="332">
        <f>IFERROR(VLOOKUP(TEXT(O427,"0"),CONDUCTORES!$A$3:$G$54,7,0),"")</f>
        <v/>
      </c>
      <c r="L427" s="334" t="n"/>
      <c r="M427" s="334" t="n"/>
      <c r="N427" s="333">
        <f>IFERROR(IF(L427*M427=0,"",L427*M427),"")</f>
        <v/>
      </c>
      <c r="O427" s="334" t="n"/>
      <c r="P427" s="332">
        <f>IFERROR(VLOOKUP(TEXT(O427,"0"),CONDUCTORES!$A$3:$G$54,2,0),"")</f>
        <v/>
      </c>
      <c r="Q427" s="332">
        <f>IFERROR(VLOOKUP(TEXT(O427,"0"),CONDUCTORES!$A$3:$H$54,6,0),"")</f>
        <v/>
      </c>
      <c r="R427" s="334" t="n"/>
      <c r="S427" s="334" t="n"/>
      <c r="T427" s="334" t="n"/>
      <c r="U427" s="334" t="n"/>
      <c r="V427" s="334" t="n"/>
      <c r="W427" s="334" t="n"/>
      <c r="X427" s="334" t="n"/>
      <c r="Y427" s="334" t="n"/>
      <c r="Z427" s="375">
        <f>IF(AND(G427&lt;&gt;"",R427&lt;&gt;"",V427&lt;&gt;"",W427&lt;&gt;""),"COMPLETADO","OBSERVADO")</f>
        <v/>
      </c>
    </row>
    <row r="428" ht="15" customHeight="1" s="195">
      <c r="A428" s="280" t="n"/>
      <c r="B428" s="280" t="n"/>
      <c r="C428" s="280" t="n"/>
      <c r="D428" s="280" t="n"/>
      <c r="E428" s="280" t="n"/>
      <c r="F428" s="280" t="n"/>
      <c r="G428" s="280" t="n"/>
      <c r="H428" s="280" t="n"/>
      <c r="I428" s="332">
        <f>IFERROR(VLOOKUP(TEXT(H428,"0"),IPRESS!$A$3:$B$212,2,0),"")</f>
        <v/>
      </c>
      <c r="J428" s="280" t="n"/>
      <c r="K428" s="332">
        <f>IFERROR(VLOOKUP(TEXT(O428,"0"),CONDUCTORES!$A$3:$G$54,7,0),"")</f>
        <v/>
      </c>
      <c r="L428" s="280" t="n"/>
      <c r="M428" s="280" t="n"/>
      <c r="N428" s="333">
        <f>IFERROR(IF(L428*M428=0,"",L428*M428),"")</f>
        <v/>
      </c>
      <c r="O428" s="280" t="n"/>
      <c r="P428" s="332">
        <f>IFERROR(VLOOKUP(TEXT(O428,"0"),CONDUCTORES!$A$3:$G$54,2,0),"")</f>
        <v/>
      </c>
      <c r="Q428" s="332">
        <f>IFERROR(VLOOKUP(TEXT(O428,"0"),CONDUCTORES!$A$3:$H$54,6,0),"")</f>
        <v/>
      </c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375">
        <f>IF(AND(G428&lt;&gt;"",R428&lt;&gt;"",V428&lt;&gt;"",W428&lt;&gt;""),"COMPLETADO","OBSERVADO")</f>
        <v/>
      </c>
    </row>
    <row r="429" ht="15" customHeight="1" s="195">
      <c r="A429" s="334" t="n"/>
      <c r="B429" s="334" t="n"/>
      <c r="C429" s="334" t="n"/>
      <c r="D429" s="334" t="n"/>
      <c r="E429" s="334" t="n"/>
      <c r="F429" s="334" t="n"/>
      <c r="G429" s="334" t="n"/>
      <c r="H429" s="334" t="n"/>
      <c r="I429" s="332">
        <f>IFERROR(VLOOKUP(TEXT(H429,"0"),IPRESS!$A$3:$B$212,2,0),"")</f>
        <v/>
      </c>
      <c r="J429" s="334" t="n"/>
      <c r="K429" s="332">
        <f>IFERROR(VLOOKUP(TEXT(O429,"0"),CONDUCTORES!$A$3:$G$54,7,0),"")</f>
        <v/>
      </c>
      <c r="L429" s="334" t="n"/>
      <c r="M429" s="334" t="n"/>
      <c r="N429" s="333">
        <f>IFERROR(IF(L429*M429=0,"",L429*M429),"")</f>
        <v/>
      </c>
      <c r="O429" s="334" t="n"/>
      <c r="P429" s="332">
        <f>IFERROR(VLOOKUP(TEXT(O429,"0"),CONDUCTORES!$A$3:$G$54,2,0),"")</f>
        <v/>
      </c>
      <c r="Q429" s="332">
        <f>IFERROR(VLOOKUP(TEXT(O429,"0"),CONDUCTORES!$A$3:$H$54,6,0),"")</f>
        <v/>
      </c>
      <c r="R429" s="334" t="n"/>
      <c r="S429" s="334" t="n"/>
      <c r="T429" s="334" t="n"/>
      <c r="U429" s="334" t="n"/>
      <c r="V429" s="334" t="n"/>
      <c r="W429" s="334" t="n"/>
      <c r="X429" s="334" t="n"/>
      <c r="Y429" s="334" t="n"/>
      <c r="Z429" s="375">
        <f>IF(AND(G429&lt;&gt;"",R429&lt;&gt;"",V429&lt;&gt;"",W429&lt;&gt;""),"COMPLETADO","OBSERVADO")</f>
        <v/>
      </c>
    </row>
    <row r="430" ht="15" customHeight="1" s="195">
      <c r="A430" s="280" t="n"/>
      <c r="B430" s="280" t="n"/>
      <c r="C430" s="280" t="n"/>
      <c r="D430" s="280" t="n"/>
      <c r="E430" s="280" t="n"/>
      <c r="F430" s="280" t="n"/>
      <c r="G430" s="280" t="n"/>
      <c r="H430" s="280" t="n"/>
      <c r="I430" s="332">
        <f>IFERROR(VLOOKUP(TEXT(H430,"0"),IPRESS!$A$3:$B$212,2,0),"")</f>
        <v/>
      </c>
      <c r="J430" s="280" t="n"/>
      <c r="K430" s="332">
        <f>IFERROR(VLOOKUP(TEXT(O430,"0"),CONDUCTORES!$A$3:$G$54,7,0),"")</f>
        <v/>
      </c>
      <c r="L430" s="280" t="n"/>
      <c r="M430" s="280" t="n"/>
      <c r="N430" s="333">
        <f>IFERROR(IF(L430*M430=0,"",L430*M430),"")</f>
        <v/>
      </c>
      <c r="O430" s="280" t="n"/>
      <c r="P430" s="332">
        <f>IFERROR(VLOOKUP(TEXT(O430,"0"),CONDUCTORES!$A$3:$G$54,2,0),"")</f>
        <v/>
      </c>
      <c r="Q430" s="332">
        <f>IFERROR(VLOOKUP(TEXT(O430,"0"),CONDUCTORES!$A$3:$H$54,6,0),"")</f>
        <v/>
      </c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375">
        <f>IF(AND(G430&lt;&gt;"",R430&lt;&gt;"",V430&lt;&gt;"",W430&lt;&gt;""),"COMPLETADO","OBSERVADO")</f>
        <v/>
      </c>
    </row>
    <row r="431" ht="15" customHeight="1" s="195">
      <c r="A431" s="334" t="n"/>
      <c r="B431" s="334" t="n"/>
      <c r="C431" s="334" t="n"/>
      <c r="D431" s="334" t="n"/>
      <c r="E431" s="334" t="n"/>
      <c r="F431" s="334" t="n"/>
      <c r="G431" s="334" t="n"/>
      <c r="H431" s="334" t="n"/>
      <c r="I431" s="332">
        <f>IFERROR(VLOOKUP(TEXT(H431,"0"),IPRESS!$A$3:$B$212,2,0),"")</f>
        <v/>
      </c>
      <c r="J431" s="334" t="n"/>
      <c r="K431" s="332">
        <f>IFERROR(VLOOKUP(TEXT(O431,"0"),CONDUCTORES!$A$3:$G$54,7,0),"")</f>
        <v/>
      </c>
      <c r="L431" s="334" t="n"/>
      <c r="M431" s="334" t="n"/>
      <c r="N431" s="333">
        <f>IFERROR(IF(L431*M431=0,"",L431*M431),"")</f>
        <v/>
      </c>
      <c r="O431" s="334" t="n"/>
      <c r="P431" s="332">
        <f>IFERROR(VLOOKUP(TEXT(O431,"0"),CONDUCTORES!$A$3:$G$54,2,0),"")</f>
        <v/>
      </c>
      <c r="Q431" s="332">
        <f>IFERROR(VLOOKUP(TEXT(O431,"0"),CONDUCTORES!$A$3:$H$54,6,0),"")</f>
        <v/>
      </c>
      <c r="R431" s="334" t="n"/>
      <c r="S431" s="334" t="n"/>
      <c r="T431" s="334" t="n"/>
      <c r="U431" s="334" t="n"/>
      <c r="V431" s="334" t="n"/>
      <c r="W431" s="334" t="n"/>
      <c r="X431" s="334" t="n"/>
      <c r="Y431" s="334" t="n"/>
      <c r="Z431" s="375">
        <f>IF(AND(G431&lt;&gt;"",R431&lt;&gt;"",V431&lt;&gt;"",W431&lt;&gt;""),"COMPLETADO","OBSERVADO")</f>
        <v/>
      </c>
    </row>
    <row r="432" ht="15" customHeight="1" s="195">
      <c r="A432" s="280" t="n"/>
      <c r="B432" s="280" t="n"/>
      <c r="C432" s="280" t="n"/>
      <c r="D432" s="280" t="n"/>
      <c r="E432" s="280" t="n"/>
      <c r="F432" s="280" t="n"/>
      <c r="G432" s="280" t="n"/>
      <c r="H432" s="280" t="n"/>
      <c r="I432" s="332">
        <f>IFERROR(VLOOKUP(TEXT(H432,"0"),IPRESS!$A$3:$B$212,2,0),"")</f>
        <v/>
      </c>
      <c r="J432" s="280" t="n"/>
      <c r="K432" s="332">
        <f>IFERROR(VLOOKUP(TEXT(O432,"0"),CONDUCTORES!$A$3:$G$54,7,0),"")</f>
        <v/>
      </c>
      <c r="L432" s="280" t="n"/>
      <c r="M432" s="280" t="n"/>
      <c r="N432" s="333">
        <f>IFERROR(IF(L432*M432=0,"",L432*M432),"")</f>
        <v/>
      </c>
      <c r="O432" s="280" t="n"/>
      <c r="P432" s="332">
        <f>IFERROR(VLOOKUP(TEXT(O432,"0"),CONDUCTORES!$A$3:$G$54,2,0),"")</f>
        <v/>
      </c>
      <c r="Q432" s="332">
        <f>IFERROR(VLOOKUP(TEXT(O432,"0"),CONDUCTORES!$A$3:$H$54,6,0),"")</f>
        <v/>
      </c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375">
        <f>IF(AND(G432&lt;&gt;"",R432&lt;&gt;"",V432&lt;&gt;"",W432&lt;&gt;""),"COMPLETADO","OBSERVADO")</f>
        <v/>
      </c>
    </row>
    <row r="433" ht="15" customHeight="1" s="195">
      <c r="A433" s="334" t="n"/>
      <c r="B433" s="334" t="n"/>
      <c r="C433" s="334" t="n"/>
      <c r="D433" s="334" t="n"/>
      <c r="E433" s="334" t="n"/>
      <c r="F433" s="334" t="n"/>
      <c r="G433" s="334" t="n"/>
      <c r="H433" s="334" t="n"/>
      <c r="I433" s="332">
        <f>IFERROR(VLOOKUP(TEXT(H433,"0"),IPRESS!$A$3:$B$212,2,0),"")</f>
        <v/>
      </c>
      <c r="J433" s="334" t="n"/>
      <c r="K433" s="332">
        <f>IFERROR(VLOOKUP(TEXT(O433,"0"),CONDUCTORES!$A$3:$G$54,7,0),"")</f>
        <v/>
      </c>
      <c r="L433" s="334" t="n"/>
      <c r="M433" s="334" t="n"/>
      <c r="N433" s="333">
        <f>IFERROR(IF(L433*M433=0,"",L433*M433),"")</f>
        <v/>
      </c>
      <c r="O433" s="334" t="n"/>
      <c r="P433" s="332">
        <f>IFERROR(VLOOKUP(TEXT(O433,"0"),CONDUCTORES!$A$3:$G$54,2,0),"")</f>
        <v/>
      </c>
      <c r="Q433" s="332">
        <f>IFERROR(VLOOKUP(TEXT(O433,"0"),CONDUCTORES!$A$3:$H$54,6,0),"")</f>
        <v/>
      </c>
      <c r="R433" s="334" t="n"/>
      <c r="S433" s="334" t="n"/>
      <c r="T433" s="334" t="n"/>
      <c r="U433" s="334" t="n"/>
      <c r="V433" s="334" t="n"/>
      <c r="W433" s="334" t="n"/>
      <c r="X433" s="334" t="n"/>
      <c r="Y433" s="334" t="n"/>
      <c r="Z433" s="375">
        <f>IF(AND(G433&lt;&gt;"",R433&lt;&gt;"",V433&lt;&gt;"",W433&lt;&gt;""),"COMPLETADO","OBSERVADO")</f>
        <v/>
      </c>
    </row>
    <row r="434" ht="15" customHeight="1" s="195">
      <c r="A434" s="280" t="n"/>
      <c r="B434" s="280" t="n"/>
      <c r="C434" s="280" t="n"/>
      <c r="D434" s="280" t="n"/>
      <c r="E434" s="280" t="n"/>
      <c r="F434" s="280" t="n"/>
      <c r="G434" s="280" t="n"/>
      <c r="H434" s="280" t="n"/>
      <c r="I434" s="332">
        <f>IFERROR(VLOOKUP(TEXT(H434,"0"),IPRESS!$A$3:$B$212,2,0),"")</f>
        <v/>
      </c>
      <c r="J434" s="280" t="n"/>
      <c r="K434" s="332">
        <f>IFERROR(VLOOKUP(TEXT(O434,"0"),CONDUCTORES!$A$3:$G$54,7,0),"")</f>
        <v/>
      </c>
      <c r="L434" s="280" t="n"/>
      <c r="M434" s="280" t="n"/>
      <c r="N434" s="333">
        <f>IFERROR(IF(L434*M434=0,"",L434*M434),"")</f>
        <v/>
      </c>
      <c r="O434" s="280" t="n"/>
      <c r="P434" s="332">
        <f>IFERROR(VLOOKUP(TEXT(O434,"0"),CONDUCTORES!$A$3:$G$54,2,0),"")</f>
        <v/>
      </c>
      <c r="Q434" s="332">
        <f>IFERROR(VLOOKUP(TEXT(O434,"0"),CONDUCTORES!$A$3:$H$54,6,0),"")</f>
        <v/>
      </c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375">
        <f>IF(AND(G434&lt;&gt;"",R434&lt;&gt;"",V434&lt;&gt;"",W434&lt;&gt;""),"COMPLETADO","OBSERVADO")</f>
        <v/>
      </c>
    </row>
    <row r="435" ht="15" customHeight="1" s="195">
      <c r="A435" s="334" t="n"/>
      <c r="B435" s="334" t="n"/>
      <c r="C435" s="334" t="n"/>
      <c r="D435" s="334" t="n"/>
      <c r="E435" s="334" t="n"/>
      <c r="F435" s="334" t="n"/>
      <c r="G435" s="334" t="n"/>
      <c r="H435" s="334" t="n"/>
      <c r="I435" s="332">
        <f>IFERROR(VLOOKUP(TEXT(H435,"0"),IPRESS!$A$3:$B$212,2,0),"")</f>
        <v/>
      </c>
      <c r="J435" s="334" t="n"/>
      <c r="K435" s="332">
        <f>IFERROR(VLOOKUP(TEXT(O435,"0"),CONDUCTORES!$A$3:$G$54,7,0),"")</f>
        <v/>
      </c>
      <c r="L435" s="334" t="n"/>
      <c r="M435" s="334" t="n"/>
      <c r="N435" s="333">
        <f>IFERROR(IF(L435*M435=0,"",L435*M435),"")</f>
        <v/>
      </c>
      <c r="O435" s="334" t="n"/>
      <c r="P435" s="332">
        <f>IFERROR(VLOOKUP(TEXT(O435,"0"),CONDUCTORES!$A$3:$G$54,2,0),"")</f>
        <v/>
      </c>
      <c r="Q435" s="332">
        <f>IFERROR(VLOOKUP(TEXT(O435,"0"),CONDUCTORES!$A$3:$H$54,6,0),"")</f>
        <v/>
      </c>
      <c r="R435" s="334" t="n"/>
      <c r="S435" s="334" t="n"/>
      <c r="T435" s="334" t="n"/>
      <c r="U435" s="334" t="n"/>
      <c r="V435" s="334" t="n"/>
      <c r="W435" s="334" t="n"/>
      <c r="X435" s="334" t="n"/>
      <c r="Y435" s="334" t="n"/>
      <c r="Z435" s="375">
        <f>IF(AND(G435&lt;&gt;"",R435&lt;&gt;"",V435&lt;&gt;"",W435&lt;&gt;""),"COMPLETADO","OBSERVADO")</f>
        <v/>
      </c>
    </row>
    <row r="436" ht="15" customHeight="1" s="195">
      <c r="A436" s="280" t="n"/>
      <c r="B436" s="280" t="n"/>
      <c r="C436" s="280" t="n"/>
      <c r="D436" s="280" t="n"/>
      <c r="E436" s="280" t="n"/>
      <c r="F436" s="280" t="n"/>
      <c r="G436" s="280" t="n"/>
      <c r="H436" s="280" t="n"/>
      <c r="I436" s="332">
        <f>IFERROR(VLOOKUP(TEXT(H436,"0"),IPRESS!$A$3:$B$212,2,0),"")</f>
        <v/>
      </c>
      <c r="J436" s="280" t="n"/>
      <c r="K436" s="332">
        <f>IFERROR(VLOOKUP(TEXT(O436,"0"),CONDUCTORES!$A$3:$G$54,7,0),"")</f>
        <v/>
      </c>
      <c r="L436" s="280" t="n"/>
      <c r="M436" s="280" t="n"/>
      <c r="N436" s="333">
        <f>IFERROR(IF(L436*M436=0,"",L436*M436),"")</f>
        <v/>
      </c>
      <c r="O436" s="280" t="n"/>
      <c r="P436" s="332">
        <f>IFERROR(VLOOKUP(TEXT(O436,"0"),CONDUCTORES!$A$3:$G$54,2,0),"")</f>
        <v/>
      </c>
      <c r="Q436" s="332">
        <f>IFERROR(VLOOKUP(TEXT(O436,"0"),CONDUCTORES!$A$3:$H$54,6,0),"")</f>
        <v/>
      </c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375">
        <f>IF(AND(G436&lt;&gt;"",R436&lt;&gt;"",V436&lt;&gt;"",W436&lt;&gt;""),"COMPLETADO","OBSERVADO")</f>
        <v/>
      </c>
    </row>
    <row r="437" ht="15" customHeight="1" s="195">
      <c r="A437" s="334" t="n"/>
      <c r="B437" s="334" t="n"/>
      <c r="C437" s="334" t="n"/>
      <c r="D437" s="334" t="n"/>
      <c r="E437" s="334" t="n"/>
      <c r="F437" s="334" t="n"/>
      <c r="G437" s="334" t="n"/>
      <c r="H437" s="334" t="n"/>
      <c r="I437" s="332">
        <f>IFERROR(VLOOKUP(TEXT(H437,"0"),IPRESS!$A$3:$B$212,2,0),"")</f>
        <v/>
      </c>
      <c r="J437" s="334" t="n"/>
      <c r="K437" s="332">
        <f>IFERROR(VLOOKUP(TEXT(O437,"0"),CONDUCTORES!$A$3:$G$54,7,0),"")</f>
        <v/>
      </c>
      <c r="L437" s="334" t="n"/>
      <c r="M437" s="334" t="n"/>
      <c r="N437" s="333">
        <f>IFERROR(IF(L437*M437=0,"",L437*M437),"")</f>
        <v/>
      </c>
      <c r="O437" s="334" t="n"/>
      <c r="P437" s="332">
        <f>IFERROR(VLOOKUP(TEXT(O437,"0"),CONDUCTORES!$A$3:$G$54,2,0),"")</f>
        <v/>
      </c>
      <c r="Q437" s="332">
        <f>IFERROR(VLOOKUP(TEXT(O437,"0"),CONDUCTORES!$A$3:$H$54,6,0),"")</f>
        <v/>
      </c>
      <c r="R437" s="334" t="n"/>
      <c r="S437" s="334" t="n"/>
      <c r="T437" s="334" t="n"/>
      <c r="U437" s="334" t="n"/>
      <c r="V437" s="334" t="n"/>
      <c r="W437" s="334" t="n"/>
      <c r="X437" s="334" t="n"/>
      <c r="Y437" s="334" t="n"/>
      <c r="Z437" s="375">
        <f>IF(AND(G437&lt;&gt;"",R437&lt;&gt;"",V437&lt;&gt;"",W437&lt;&gt;""),"COMPLETADO","OBSERVADO")</f>
        <v/>
      </c>
    </row>
    <row r="438" ht="15" customHeight="1" s="195">
      <c r="A438" s="280" t="n"/>
      <c r="B438" s="280" t="n"/>
      <c r="C438" s="280" t="n"/>
      <c r="D438" s="280" t="n"/>
      <c r="E438" s="280" t="n"/>
      <c r="F438" s="280" t="n"/>
      <c r="G438" s="280" t="n"/>
      <c r="H438" s="280" t="n"/>
      <c r="I438" s="332">
        <f>IFERROR(VLOOKUP(TEXT(H438,"0"),IPRESS!$A$3:$B$212,2,0),"")</f>
        <v/>
      </c>
      <c r="J438" s="280" t="n"/>
      <c r="K438" s="332">
        <f>IFERROR(VLOOKUP(TEXT(O438,"0"),CONDUCTORES!$A$3:$G$54,7,0),"")</f>
        <v/>
      </c>
      <c r="L438" s="280" t="n"/>
      <c r="M438" s="280" t="n"/>
      <c r="N438" s="333">
        <f>IFERROR(IF(L438*M438=0,"",L438*M438),"")</f>
        <v/>
      </c>
      <c r="O438" s="280" t="n"/>
      <c r="P438" s="332">
        <f>IFERROR(VLOOKUP(TEXT(O438,"0"),CONDUCTORES!$A$3:$G$54,2,0),"")</f>
        <v/>
      </c>
      <c r="Q438" s="332">
        <f>IFERROR(VLOOKUP(TEXT(O438,"0"),CONDUCTORES!$A$3:$H$54,6,0),"")</f>
        <v/>
      </c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375">
        <f>IF(AND(G438&lt;&gt;"",R438&lt;&gt;"",V438&lt;&gt;"",W438&lt;&gt;""),"COMPLETADO","OBSERVADO")</f>
        <v/>
      </c>
    </row>
    <row r="439" ht="15" customHeight="1" s="195">
      <c r="A439" s="334" t="n"/>
      <c r="B439" s="334" t="n"/>
      <c r="C439" s="334" t="n"/>
      <c r="D439" s="334" t="n"/>
      <c r="E439" s="334" t="n"/>
      <c r="F439" s="334" t="n"/>
      <c r="G439" s="334" t="n"/>
      <c r="H439" s="334" t="n"/>
      <c r="I439" s="332">
        <f>IFERROR(VLOOKUP(TEXT(H439,"0"),IPRESS!$A$3:$B$212,2,0),"")</f>
        <v/>
      </c>
      <c r="J439" s="334" t="n"/>
      <c r="K439" s="332">
        <f>IFERROR(VLOOKUP(TEXT(O439,"0"),CONDUCTORES!$A$3:$G$54,7,0),"")</f>
        <v/>
      </c>
      <c r="L439" s="334" t="n"/>
      <c r="M439" s="334" t="n"/>
      <c r="N439" s="333">
        <f>IFERROR(IF(L439*M439=0,"",L439*M439),"")</f>
        <v/>
      </c>
      <c r="O439" s="334" t="n"/>
      <c r="P439" s="332">
        <f>IFERROR(VLOOKUP(TEXT(O439,"0"),CONDUCTORES!$A$3:$G$54,2,0),"")</f>
        <v/>
      </c>
      <c r="Q439" s="332">
        <f>IFERROR(VLOOKUP(TEXT(O439,"0"),CONDUCTORES!$A$3:$H$54,6,0),"")</f>
        <v/>
      </c>
      <c r="R439" s="334" t="n"/>
      <c r="S439" s="334" t="n"/>
      <c r="T439" s="334" t="n"/>
      <c r="U439" s="334" t="n"/>
      <c r="V439" s="334" t="n"/>
      <c r="W439" s="334" t="n"/>
      <c r="X439" s="334" t="n"/>
      <c r="Y439" s="334" t="n"/>
      <c r="Z439" s="375">
        <f>IF(AND(G439&lt;&gt;"",R439&lt;&gt;"",V439&lt;&gt;"",W439&lt;&gt;""),"COMPLETADO","OBSERVADO")</f>
        <v/>
      </c>
    </row>
    <row r="440" ht="15" customHeight="1" s="195">
      <c r="A440" s="280" t="n"/>
      <c r="B440" s="280" t="n"/>
      <c r="C440" s="280" t="n"/>
      <c r="D440" s="280" t="n"/>
      <c r="E440" s="280" t="n"/>
      <c r="F440" s="280" t="n"/>
      <c r="G440" s="280" t="n"/>
      <c r="H440" s="280" t="n"/>
      <c r="I440" s="332">
        <f>IFERROR(VLOOKUP(TEXT(H440,"0"),IPRESS!$A$3:$B$212,2,0),"")</f>
        <v/>
      </c>
      <c r="J440" s="280" t="n"/>
      <c r="K440" s="332">
        <f>IFERROR(VLOOKUP(TEXT(O440,"0"),CONDUCTORES!$A$3:$G$54,7,0),"")</f>
        <v/>
      </c>
      <c r="L440" s="280" t="n"/>
      <c r="M440" s="280" t="n"/>
      <c r="N440" s="333">
        <f>IFERROR(IF(L440*M440=0,"",L440*M440),"")</f>
        <v/>
      </c>
      <c r="O440" s="280" t="n"/>
      <c r="P440" s="332">
        <f>IFERROR(VLOOKUP(TEXT(O440,"0"),CONDUCTORES!$A$3:$G$54,2,0),"")</f>
        <v/>
      </c>
      <c r="Q440" s="332">
        <f>IFERROR(VLOOKUP(TEXT(O440,"0"),CONDUCTORES!$A$3:$H$54,6,0),"")</f>
        <v/>
      </c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375">
        <f>IF(AND(G440&lt;&gt;"",R440&lt;&gt;"",V440&lt;&gt;"",W440&lt;&gt;""),"COMPLETADO","OBSERVADO")</f>
        <v/>
      </c>
    </row>
    <row r="441" ht="15" customHeight="1" s="195">
      <c r="A441" s="334" t="n"/>
      <c r="B441" s="334" t="n"/>
      <c r="C441" s="334" t="n"/>
      <c r="D441" s="334" t="n"/>
      <c r="E441" s="334" t="n"/>
      <c r="F441" s="334" t="n"/>
      <c r="G441" s="334" t="n"/>
      <c r="H441" s="334" t="n"/>
      <c r="I441" s="332">
        <f>IFERROR(VLOOKUP(TEXT(H441,"0"),IPRESS!$A$3:$B$212,2,0),"")</f>
        <v/>
      </c>
      <c r="J441" s="334" t="n"/>
      <c r="K441" s="332">
        <f>IFERROR(VLOOKUP(TEXT(O441,"0"),CONDUCTORES!$A$3:$G$54,7,0),"")</f>
        <v/>
      </c>
      <c r="L441" s="334" t="n"/>
      <c r="M441" s="334" t="n"/>
      <c r="N441" s="333">
        <f>IFERROR(IF(L441*M441=0,"",L441*M441),"")</f>
        <v/>
      </c>
      <c r="O441" s="334" t="n"/>
      <c r="P441" s="332">
        <f>IFERROR(VLOOKUP(TEXT(O441,"0"),CONDUCTORES!$A$3:$G$54,2,0),"")</f>
        <v/>
      </c>
      <c r="Q441" s="332">
        <f>IFERROR(VLOOKUP(TEXT(O441,"0"),CONDUCTORES!$A$3:$H$54,6,0),"")</f>
        <v/>
      </c>
      <c r="R441" s="334" t="n"/>
      <c r="S441" s="334" t="n"/>
      <c r="T441" s="334" t="n"/>
      <c r="U441" s="334" t="n"/>
      <c r="V441" s="334" t="n"/>
      <c r="W441" s="334" t="n"/>
      <c r="X441" s="334" t="n"/>
      <c r="Y441" s="334" t="n"/>
      <c r="Z441" s="375">
        <f>IF(AND(G441&lt;&gt;"",R441&lt;&gt;"",V441&lt;&gt;"",W441&lt;&gt;""),"COMPLETADO","OBSERVADO")</f>
        <v/>
      </c>
    </row>
    <row r="442" ht="15" customHeight="1" s="195">
      <c r="A442" s="280" t="n"/>
      <c r="B442" s="280" t="n"/>
      <c r="C442" s="280" t="n"/>
      <c r="D442" s="280" t="n"/>
      <c r="E442" s="280" t="n"/>
      <c r="F442" s="280" t="n"/>
      <c r="G442" s="280" t="n"/>
      <c r="H442" s="280" t="n"/>
      <c r="I442" s="332">
        <f>IFERROR(VLOOKUP(TEXT(H442,"0"),IPRESS!$A$3:$B$212,2,0),"")</f>
        <v/>
      </c>
      <c r="J442" s="280" t="n"/>
      <c r="K442" s="332">
        <f>IFERROR(VLOOKUP(TEXT(O442,"0"),CONDUCTORES!$A$3:$G$54,7,0),"")</f>
        <v/>
      </c>
      <c r="L442" s="280" t="n"/>
      <c r="M442" s="280" t="n"/>
      <c r="N442" s="333">
        <f>IFERROR(IF(L442*M442=0,"",L442*M442),"")</f>
        <v/>
      </c>
      <c r="O442" s="280" t="n"/>
      <c r="P442" s="332">
        <f>IFERROR(VLOOKUP(TEXT(O442,"0"),CONDUCTORES!$A$3:$G$54,2,0),"")</f>
        <v/>
      </c>
      <c r="Q442" s="332">
        <f>IFERROR(VLOOKUP(TEXT(O442,"0"),CONDUCTORES!$A$3:$H$54,6,0),"")</f>
        <v/>
      </c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375">
        <f>IF(AND(G442&lt;&gt;"",R442&lt;&gt;"",V442&lt;&gt;"",W442&lt;&gt;""),"COMPLETADO","OBSERVADO")</f>
        <v/>
      </c>
    </row>
    <row r="443" ht="15" customHeight="1" s="195">
      <c r="A443" s="334" t="n"/>
      <c r="B443" s="334" t="n"/>
      <c r="C443" s="334" t="n"/>
      <c r="D443" s="334" t="n"/>
      <c r="E443" s="334" t="n"/>
      <c r="F443" s="334" t="n"/>
      <c r="G443" s="334" t="n"/>
      <c r="H443" s="334" t="n"/>
      <c r="I443" s="332">
        <f>IFERROR(VLOOKUP(TEXT(H443,"0"),IPRESS!$A$3:$B$212,2,0),"")</f>
        <v/>
      </c>
      <c r="J443" s="334" t="n"/>
      <c r="K443" s="332">
        <f>IFERROR(VLOOKUP(TEXT(O443,"0"),CONDUCTORES!$A$3:$G$54,7,0),"")</f>
        <v/>
      </c>
      <c r="L443" s="334" t="n"/>
      <c r="M443" s="334" t="n"/>
      <c r="N443" s="333">
        <f>IFERROR(IF(L443*M443=0,"",L443*M443),"")</f>
        <v/>
      </c>
      <c r="O443" s="334" t="n"/>
      <c r="P443" s="332">
        <f>IFERROR(VLOOKUP(TEXT(O443,"0"),CONDUCTORES!$A$3:$G$54,2,0),"")</f>
        <v/>
      </c>
      <c r="Q443" s="332">
        <f>IFERROR(VLOOKUP(TEXT(O443,"0"),CONDUCTORES!$A$3:$H$54,6,0),"")</f>
        <v/>
      </c>
      <c r="R443" s="334" t="n"/>
      <c r="S443" s="334" t="n"/>
      <c r="T443" s="334" t="n"/>
      <c r="U443" s="334" t="n"/>
      <c r="V443" s="334" t="n"/>
      <c r="W443" s="334" t="n"/>
      <c r="X443" s="334" t="n"/>
      <c r="Y443" s="334" t="n"/>
      <c r="Z443" s="375">
        <f>IF(AND(G443&lt;&gt;"",R443&lt;&gt;"",V443&lt;&gt;"",W443&lt;&gt;""),"COMPLETADO","OBSERVADO")</f>
        <v/>
      </c>
    </row>
    <row r="444" ht="15" customHeight="1" s="195">
      <c r="A444" s="280" t="n"/>
      <c r="B444" s="280" t="n"/>
      <c r="C444" s="280" t="n"/>
      <c r="D444" s="280" t="n"/>
      <c r="E444" s="280" t="n"/>
      <c r="F444" s="280" t="n"/>
      <c r="G444" s="280" t="n"/>
      <c r="H444" s="280" t="n"/>
      <c r="I444" s="332">
        <f>IFERROR(VLOOKUP(TEXT(H444,"0"),IPRESS!$A$3:$B$212,2,0),"")</f>
        <v/>
      </c>
      <c r="J444" s="280" t="n"/>
      <c r="K444" s="332">
        <f>IFERROR(VLOOKUP(TEXT(O444,"0"),CONDUCTORES!$A$3:$G$54,7,0),"")</f>
        <v/>
      </c>
      <c r="L444" s="280" t="n"/>
      <c r="M444" s="280" t="n"/>
      <c r="N444" s="333">
        <f>IFERROR(IF(L444*M444=0,"",L444*M444),"")</f>
        <v/>
      </c>
      <c r="O444" s="280" t="n"/>
      <c r="P444" s="332">
        <f>IFERROR(VLOOKUP(TEXT(O444,"0"),CONDUCTORES!$A$3:$G$54,2,0),"")</f>
        <v/>
      </c>
      <c r="Q444" s="332">
        <f>IFERROR(VLOOKUP(TEXT(O444,"0"),CONDUCTORES!$A$3:$H$54,6,0),"")</f>
        <v/>
      </c>
      <c r="R444" s="280" t="n"/>
      <c r="S444" s="280" t="n"/>
      <c r="T444" s="280" t="n"/>
      <c r="U444" s="280" t="n"/>
      <c r="V444" s="280" t="n"/>
      <c r="W444" s="280" t="n"/>
      <c r="X444" s="280" t="n"/>
      <c r="Y444" s="280" t="n"/>
      <c r="Z444" s="375">
        <f>IF(AND(G444&lt;&gt;"",R444&lt;&gt;"",V444&lt;&gt;"",W444&lt;&gt;""),"COMPLETADO","OBSERVADO")</f>
        <v/>
      </c>
    </row>
    <row r="445" ht="15" customHeight="1" s="195">
      <c r="A445" s="334" t="n"/>
      <c r="B445" s="334" t="n"/>
      <c r="C445" s="334" t="n"/>
      <c r="D445" s="334" t="n"/>
      <c r="E445" s="334" t="n"/>
      <c r="F445" s="334" t="n"/>
      <c r="G445" s="334" t="n"/>
      <c r="H445" s="334" t="n"/>
      <c r="I445" s="332">
        <f>IFERROR(VLOOKUP(TEXT(H445,"0"),IPRESS!$A$3:$B$212,2,0),"")</f>
        <v/>
      </c>
      <c r="J445" s="334" t="n"/>
      <c r="K445" s="332">
        <f>IFERROR(VLOOKUP(TEXT(O445,"0"),CONDUCTORES!$A$3:$G$54,7,0),"")</f>
        <v/>
      </c>
      <c r="L445" s="334" t="n"/>
      <c r="M445" s="334" t="n"/>
      <c r="N445" s="333">
        <f>IFERROR(IF(L445*M445=0,"",L445*M445),"")</f>
        <v/>
      </c>
      <c r="O445" s="334" t="n"/>
      <c r="P445" s="332">
        <f>IFERROR(VLOOKUP(TEXT(O445,"0"),CONDUCTORES!$A$3:$G$54,2,0),"")</f>
        <v/>
      </c>
      <c r="Q445" s="332">
        <f>IFERROR(VLOOKUP(TEXT(O445,"0"),CONDUCTORES!$A$3:$H$54,6,0),"")</f>
        <v/>
      </c>
      <c r="R445" s="334" t="n"/>
      <c r="S445" s="334" t="n"/>
      <c r="T445" s="334" t="n"/>
      <c r="U445" s="334" t="n"/>
      <c r="V445" s="334" t="n"/>
      <c r="W445" s="334" t="n"/>
      <c r="X445" s="334" t="n"/>
      <c r="Y445" s="334" t="n"/>
      <c r="Z445" s="375">
        <f>IF(AND(G445&lt;&gt;"",R445&lt;&gt;"",V445&lt;&gt;"",W445&lt;&gt;""),"COMPLETADO","OBSERVADO")</f>
        <v/>
      </c>
    </row>
    <row r="446" ht="15" customHeight="1" s="195">
      <c r="A446" s="280" t="n"/>
      <c r="B446" s="280" t="n"/>
      <c r="C446" s="280" t="n"/>
      <c r="D446" s="280" t="n"/>
      <c r="E446" s="280" t="n"/>
      <c r="F446" s="280" t="n"/>
      <c r="G446" s="280" t="n"/>
      <c r="H446" s="280" t="n"/>
      <c r="I446" s="332">
        <f>IFERROR(VLOOKUP(TEXT(H446,"0"),IPRESS!$A$3:$B$212,2,0),"")</f>
        <v/>
      </c>
      <c r="J446" s="280" t="n"/>
      <c r="K446" s="332">
        <f>IFERROR(VLOOKUP(TEXT(O446,"0"),CONDUCTORES!$A$3:$G$54,7,0),"")</f>
        <v/>
      </c>
      <c r="L446" s="280" t="n"/>
      <c r="M446" s="280" t="n"/>
      <c r="N446" s="333">
        <f>IFERROR(IF(L446*M446=0,"",L446*M446),"")</f>
        <v/>
      </c>
      <c r="O446" s="280" t="n"/>
      <c r="P446" s="332">
        <f>IFERROR(VLOOKUP(TEXT(O446,"0"),CONDUCTORES!$A$3:$G$54,2,0),"")</f>
        <v/>
      </c>
      <c r="Q446" s="332">
        <f>IFERROR(VLOOKUP(TEXT(O446,"0"),CONDUCTORES!$A$3:$H$54,6,0),"")</f>
        <v/>
      </c>
      <c r="R446" s="280" t="n"/>
      <c r="S446" s="280" t="n"/>
      <c r="T446" s="280" t="n"/>
      <c r="U446" s="280" t="n"/>
      <c r="V446" s="280" t="n"/>
      <c r="W446" s="280" t="n"/>
      <c r="X446" s="280" t="n"/>
      <c r="Y446" s="280" t="n"/>
      <c r="Z446" s="375">
        <f>IF(AND(G446&lt;&gt;"",R446&lt;&gt;"",V446&lt;&gt;"",W446&lt;&gt;""),"COMPLETADO","OBSERVADO")</f>
        <v/>
      </c>
    </row>
    <row r="447" ht="15" customHeight="1" s="195">
      <c r="A447" s="334" t="n"/>
      <c r="B447" s="334" t="n"/>
      <c r="C447" s="334" t="n"/>
      <c r="D447" s="334" t="n"/>
      <c r="E447" s="334" t="n"/>
      <c r="F447" s="334" t="n"/>
      <c r="G447" s="334" t="n"/>
      <c r="H447" s="334" t="n"/>
      <c r="I447" s="332">
        <f>IFERROR(VLOOKUP(TEXT(H447,"0"),IPRESS!$A$3:$B$212,2,0),"")</f>
        <v/>
      </c>
      <c r="J447" s="334" t="n"/>
      <c r="K447" s="332">
        <f>IFERROR(VLOOKUP(TEXT(O447,"0"),CONDUCTORES!$A$3:$G$54,7,0),"")</f>
        <v/>
      </c>
      <c r="L447" s="334" t="n"/>
      <c r="M447" s="334" t="n"/>
      <c r="N447" s="333">
        <f>IFERROR(IF(L447*M447=0,"",L447*M447),"")</f>
        <v/>
      </c>
      <c r="O447" s="334" t="n"/>
      <c r="P447" s="332">
        <f>IFERROR(VLOOKUP(TEXT(O447,"0"),CONDUCTORES!$A$3:$G$54,2,0),"")</f>
        <v/>
      </c>
      <c r="Q447" s="332">
        <f>IFERROR(VLOOKUP(TEXT(O447,"0"),CONDUCTORES!$A$3:$H$54,6,0),"")</f>
        <v/>
      </c>
      <c r="R447" s="334" t="n"/>
      <c r="S447" s="334" t="n"/>
      <c r="T447" s="334" t="n"/>
      <c r="U447" s="334" t="n"/>
      <c r="V447" s="334" t="n"/>
      <c r="W447" s="334" t="n"/>
      <c r="X447" s="334" t="n"/>
      <c r="Y447" s="334" t="n"/>
      <c r="Z447" s="375">
        <f>IF(AND(G447&lt;&gt;"",R447&lt;&gt;"",V447&lt;&gt;"",W447&lt;&gt;""),"COMPLETADO","OBSERVADO")</f>
        <v/>
      </c>
    </row>
    <row r="448" ht="15" customHeight="1" s="195">
      <c r="A448" s="280" t="n"/>
      <c r="B448" s="280" t="n"/>
      <c r="C448" s="280" t="n"/>
      <c r="D448" s="280" t="n"/>
      <c r="E448" s="280" t="n"/>
      <c r="F448" s="280" t="n"/>
      <c r="G448" s="280" t="n"/>
      <c r="H448" s="280" t="n"/>
      <c r="I448" s="332">
        <f>IFERROR(VLOOKUP(TEXT(H448,"0"),IPRESS!$A$3:$B$212,2,0),"")</f>
        <v/>
      </c>
      <c r="J448" s="280" t="n"/>
      <c r="K448" s="332">
        <f>IFERROR(VLOOKUP(TEXT(O448,"0"),CONDUCTORES!$A$3:$G$54,7,0),"")</f>
        <v/>
      </c>
      <c r="L448" s="280" t="n"/>
      <c r="M448" s="280" t="n"/>
      <c r="N448" s="333">
        <f>IFERROR(IF(L448*M448=0,"",L448*M448),"")</f>
        <v/>
      </c>
      <c r="O448" s="280" t="n"/>
      <c r="P448" s="332">
        <f>IFERROR(VLOOKUP(TEXT(O448,"0"),CONDUCTORES!$A$3:$G$54,2,0),"")</f>
        <v/>
      </c>
      <c r="Q448" s="332">
        <f>IFERROR(VLOOKUP(TEXT(O448,"0"),CONDUCTORES!$A$3:$H$54,6,0),"")</f>
        <v/>
      </c>
      <c r="R448" s="280" t="n"/>
      <c r="S448" s="280" t="n"/>
      <c r="T448" s="280" t="n"/>
      <c r="U448" s="280" t="n"/>
      <c r="V448" s="280" t="n"/>
      <c r="W448" s="280" t="n"/>
      <c r="X448" s="280" t="n"/>
      <c r="Y448" s="280" t="n"/>
      <c r="Z448" s="375">
        <f>IF(AND(G448&lt;&gt;"",R448&lt;&gt;"",V448&lt;&gt;"",W448&lt;&gt;""),"COMPLETADO","OBSERVADO")</f>
        <v/>
      </c>
    </row>
    <row r="449" ht="15" customHeight="1" s="195">
      <c r="A449" s="334" t="n"/>
      <c r="B449" s="334" t="n"/>
      <c r="C449" s="334" t="n"/>
      <c r="D449" s="334" t="n"/>
      <c r="E449" s="334" t="n"/>
      <c r="F449" s="334" t="n"/>
      <c r="G449" s="334" t="n"/>
      <c r="H449" s="334" t="n"/>
      <c r="I449" s="332">
        <f>IFERROR(VLOOKUP(TEXT(H449,"0"),IPRESS!$A$3:$B$212,2,0),"")</f>
        <v/>
      </c>
      <c r="J449" s="334" t="n"/>
      <c r="K449" s="332">
        <f>IFERROR(VLOOKUP(TEXT(O449,"0"),CONDUCTORES!$A$3:$G$54,7,0),"")</f>
        <v/>
      </c>
      <c r="L449" s="334" t="n"/>
      <c r="M449" s="334" t="n"/>
      <c r="N449" s="333">
        <f>IFERROR(IF(L449*M449=0,"",L449*M449),"")</f>
        <v/>
      </c>
      <c r="O449" s="334" t="n"/>
      <c r="P449" s="332">
        <f>IFERROR(VLOOKUP(TEXT(O449,"0"),CONDUCTORES!$A$3:$G$54,2,0),"")</f>
        <v/>
      </c>
      <c r="Q449" s="332">
        <f>IFERROR(VLOOKUP(TEXT(O449,"0"),CONDUCTORES!$A$3:$H$54,6,0),"")</f>
        <v/>
      </c>
      <c r="R449" s="334" t="n"/>
      <c r="S449" s="334" t="n"/>
      <c r="T449" s="334" t="n"/>
      <c r="U449" s="334" t="n"/>
      <c r="V449" s="334" t="n"/>
      <c r="W449" s="334" t="n"/>
      <c r="X449" s="334" t="n"/>
      <c r="Y449" s="334" t="n"/>
      <c r="Z449" s="375">
        <f>IF(AND(G449&lt;&gt;"",R449&lt;&gt;"",V449&lt;&gt;"",W449&lt;&gt;""),"COMPLETADO","OBSERVADO")</f>
        <v/>
      </c>
    </row>
    <row r="450" ht="15" customHeight="1" s="195">
      <c r="A450" s="280" t="n"/>
      <c r="B450" s="280" t="n"/>
      <c r="C450" s="280" t="n"/>
      <c r="D450" s="280" t="n"/>
      <c r="E450" s="280" t="n"/>
      <c r="F450" s="280" t="n"/>
      <c r="G450" s="280" t="n"/>
      <c r="H450" s="280" t="n"/>
      <c r="I450" s="332">
        <f>IFERROR(VLOOKUP(TEXT(H450,"0"),IPRESS!$A$3:$B$212,2,0),"")</f>
        <v/>
      </c>
      <c r="J450" s="280" t="n"/>
      <c r="K450" s="332">
        <f>IFERROR(VLOOKUP(TEXT(O450,"0"),CONDUCTORES!$A$3:$G$54,7,0),"")</f>
        <v/>
      </c>
      <c r="L450" s="280" t="n"/>
      <c r="M450" s="280" t="n"/>
      <c r="N450" s="333">
        <f>IFERROR(IF(L450*M450=0,"",L450*M450),"")</f>
        <v/>
      </c>
      <c r="O450" s="280" t="n"/>
      <c r="P450" s="332">
        <f>IFERROR(VLOOKUP(TEXT(O450,"0"),CONDUCTORES!$A$3:$G$54,2,0),"")</f>
        <v/>
      </c>
      <c r="Q450" s="332">
        <f>IFERROR(VLOOKUP(TEXT(O450,"0"),CONDUCTORES!$A$3:$H$54,6,0),"")</f>
        <v/>
      </c>
      <c r="R450" s="280" t="n"/>
      <c r="S450" s="280" t="n"/>
      <c r="T450" s="280" t="n"/>
      <c r="U450" s="280" t="n"/>
      <c r="V450" s="280" t="n"/>
      <c r="W450" s="280" t="n"/>
      <c r="X450" s="280" t="n"/>
      <c r="Y450" s="280" t="n"/>
      <c r="Z450" s="375">
        <f>IF(AND(G450&lt;&gt;"",R450&lt;&gt;"",V450&lt;&gt;"",W450&lt;&gt;""),"COMPLETADO","OBSERVADO")</f>
        <v/>
      </c>
    </row>
    <row r="451" ht="15" customHeight="1" s="195">
      <c r="A451" s="334" t="n"/>
      <c r="B451" s="334" t="n"/>
      <c r="C451" s="334" t="n"/>
      <c r="D451" s="334" t="n"/>
      <c r="E451" s="334" t="n"/>
      <c r="F451" s="334" t="n"/>
      <c r="G451" s="334" t="n"/>
      <c r="H451" s="334" t="n"/>
      <c r="I451" s="332">
        <f>IFERROR(VLOOKUP(TEXT(H451,"0"),IPRESS!$A$3:$B$212,2,0),"")</f>
        <v/>
      </c>
      <c r="J451" s="334" t="n"/>
      <c r="K451" s="332">
        <f>IFERROR(VLOOKUP(TEXT(O451,"0"),CONDUCTORES!$A$3:$G$54,7,0),"")</f>
        <v/>
      </c>
      <c r="L451" s="334" t="n"/>
      <c r="M451" s="334" t="n"/>
      <c r="N451" s="333">
        <f>IFERROR(IF(L451*M451=0,"",L451*M451),"")</f>
        <v/>
      </c>
      <c r="O451" s="334" t="n"/>
      <c r="P451" s="332">
        <f>IFERROR(VLOOKUP(TEXT(O451,"0"),CONDUCTORES!$A$3:$G$54,2,0),"")</f>
        <v/>
      </c>
      <c r="Q451" s="332">
        <f>IFERROR(VLOOKUP(TEXT(O451,"0"),CONDUCTORES!$A$3:$H$54,6,0),"")</f>
        <v/>
      </c>
      <c r="R451" s="334" t="n"/>
      <c r="S451" s="334" t="n"/>
      <c r="T451" s="334" t="n"/>
      <c r="U451" s="334" t="n"/>
      <c r="V451" s="334" t="n"/>
      <c r="W451" s="334" t="n"/>
      <c r="X451" s="334" t="n"/>
      <c r="Y451" s="334" t="n"/>
      <c r="Z451" s="375">
        <f>IF(AND(G451&lt;&gt;"",R451&lt;&gt;"",V451&lt;&gt;"",W451&lt;&gt;""),"COMPLETADO","OBSERVADO")</f>
        <v/>
      </c>
    </row>
    <row r="452" ht="15" customHeight="1" s="195">
      <c r="A452" s="280" t="n"/>
      <c r="B452" s="280" t="n"/>
      <c r="C452" s="280" t="n"/>
      <c r="D452" s="280" t="n"/>
      <c r="E452" s="280" t="n"/>
      <c r="F452" s="280" t="n"/>
      <c r="G452" s="280" t="n"/>
      <c r="H452" s="280" t="n"/>
      <c r="I452" s="332">
        <f>IFERROR(VLOOKUP(TEXT(H452,"0"),IPRESS!$A$3:$B$212,2,0),"")</f>
        <v/>
      </c>
      <c r="J452" s="280" t="n"/>
      <c r="K452" s="332">
        <f>IFERROR(VLOOKUP(TEXT(O452,"0"),CONDUCTORES!$A$3:$G$54,7,0),"")</f>
        <v/>
      </c>
      <c r="L452" s="280" t="n"/>
      <c r="M452" s="280" t="n"/>
      <c r="N452" s="333">
        <f>IFERROR(IF(L452*M452=0,"",L452*M452),"")</f>
        <v/>
      </c>
      <c r="O452" s="280" t="n"/>
      <c r="P452" s="332">
        <f>IFERROR(VLOOKUP(TEXT(O452,"0"),CONDUCTORES!$A$3:$G$54,2,0),"")</f>
        <v/>
      </c>
      <c r="Q452" s="332">
        <f>IFERROR(VLOOKUP(TEXT(O452,"0"),CONDUCTORES!$A$3:$H$54,6,0),"")</f>
        <v/>
      </c>
      <c r="R452" s="280" t="n"/>
      <c r="S452" s="280" t="n"/>
      <c r="T452" s="280" t="n"/>
      <c r="U452" s="280" t="n"/>
      <c r="V452" s="280" t="n"/>
      <c r="W452" s="280" t="n"/>
      <c r="X452" s="280" t="n"/>
      <c r="Y452" s="280" t="n"/>
      <c r="Z452" s="375">
        <f>IF(AND(G452&lt;&gt;"",R452&lt;&gt;"",V452&lt;&gt;"",W452&lt;&gt;""),"COMPLETADO","OBSERVADO")</f>
        <v/>
      </c>
    </row>
    <row r="453" ht="15" customHeight="1" s="195">
      <c r="A453" s="334" t="n"/>
      <c r="B453" s="334" t="n"/>
      <c r="C453" s="334" t="n"/>
      <c r="D453" s="334" t="n"/>
      <c r="E453" s="334" t="n"/>
      <c r="F453" s="334" t="n"/>
      <c r="G453" s="334" t="n"/>
      <c r="H453" s="334" t="n"/>
      <c r="I453" s="332">
        <f>IFERROR(VLOOKUP(TEXT(H453,"0"),IPRESS!$A$3:$B$212,2,0),"")</f>
        <v/>
      </c>
      <c r="J453" s="334" t="n"/>
      <c r="K453" s="332">
        <f>IFERROR(VLOOKUP(TEXT(O453,"0"),CONDUCTORES!$A$3:$G$54,7,0),"")</f>
        <v/>
      </c>
      <c r="L453" s="334" t="n"/>
      <c r="M453" s="334" t="n"/>
      <c r="N453" s="333">
        <f>IFERROR(IF(L453*M453=0,"",L453*M453),"")</f>
        <v/>
      </c>
      <c r="O453" s="334" t="n"/>
      <c r="P453" s="332">
        <f>IFERROR(VLOOKUP(TEXT(O453,"0"),CONDUCTORES!$A$3:$G$54,2,0),"")</f>
        <v/>
      </c>
      <c r="Q453" s="332">
        <f>IFERROR(VLOOKUP(TEXT(O453,"0"),CONDUCTORES!$A$3:$H$54,6,0),"")</f>
        <v/>
      </c>
      <c r="R453" s="334" t="n"/>
      <c r="S453" s="334" t="n"/>
      <c r="T453" s="334" t="n"/>
      <c r="U453" s="334" t="n"/>
      <c r="V453" s="334" t="n"/>
      <c r="W453" s="334" t="n"/>
      <c r="X453" s="334" t="n"/>
      <c r="Y453" s="334" t="n"/>
      <c r="Z453" s="375">
        <f>IF(AND(G453&lt;&gt;"",R453&lt;&gt;"",V453&lt;&gt;"",W453&lt;&gt;""),"COMPLETADO","OBSERVADO")</f>
        <v/>
      </c>
    </row>
    <row r="454" ht="15" customHeight="1" s="195">
      <c r="A454" s="280" t="n"/>
      <c r="B454" s="280" t="n"/>
      <c r="C454" s="280" t="n"/>
      <c r="D454" s="280" t="n"/>
      <c r="E454" s="280" t="n"/>
      <c r="F454" s="280" t="n"/>
      <c r="G454" s="280" t="n"/>
      <c r="H454" s="280" t="n"/>
      <c r="I454" s="332">
        <f>IFERROR(VLOOKUP(TEXT(H454,"0"),IPRESS!$A$3:$B$212,2,0),"")</f>
        <v/>
      </c>
      <c r="J454" s="280" t="n"/>
      <c r="K454" s="332">
        <f>IFERROR(VLOOKUP(TEXT(O454,"0"),CONDUCTORES!$A$3:$G$54,7,0),"")</f>
        <v/>
      </c>
      <c r="L454" s="280" t="n"/>
      <c r="M454" s="280" t="n"/>
      <c r="N454" s="333">
        <f>IFERROR(IF(L454*M454=0,"",L454*M454),"")</f>
        <v/>
      </c>
      <c r="O454" s="280" t="n"/>
      <c r="P454" s="332">
        <f>IFERROR(VLOOKUP(TEXT(O454,"0"),CONDUCTORES!$A$3:$G$54,2,0),"")</f>
        <v/>
      </c>
      <c r="Q454" s="332">
        <f>IFERROR(VLOOKUP(TEXT(O454,"0"),CONDUCTORES!$A$3:$H$54,6,0),"")</f>
        <v/>
      </c>
      <c r="R454" s="280" t="n"/>
      <c r="S454" s="280" t="n"/>
      <c r="T454" s="280" t="n"/>
      <c r="U454" s="280" t="n"/>
      <c r="V454" s="280" t="n"/>
      <c r="W454" s="280" t="n"/>
      <c r="X454" s="280" t="n"/>
      <c r="Y454" s="280" t="n"/>
      <c r="Z454" s="375">
        <f>IF(AND(G454&lt;&gt;"",R454&lt;&gt;"",V454&lt;&gt;"",W454&lt;&gt;""),"COMPLETADO","OBSERVADO")</f>
        <v/>
      </c>
    </row>
    <row r="455" ht="15" customHeight="1" s="195">
      <c r="A455" s="334" t="n"/>
      <c r="B455" s="334" t="n"/>
      <c r="C455" s="334" t="n"/>
      <c r="D455" s="334" t="n"/>
      <c r="E455" s="334" t="n"/>
      <c r="F455" s="334" t="n"/>
      <c r="G455" s="334" t="n"/>
      <c r="H455" s="334" t="n"/>
      <c r="I455" s="332">
        <f>IFERROR(VLOOKUP(TEXT(H455,"0"),IPRESS!$A$3:$B$212,2,0),"")</f>
        <v/>
      </c>
      <c r="J455" s="334" t="n"/>
      <c r="K455" s="332">
        <f>IFERROR(VLOOKUP(TEXT(O455,"0"),CONDUCTORES!$A$3:$G$54,7,0),"")</f>
        <v/>
      </c>
      <c r="L455" s="334" t="n"/>
      <c r="M455" s="334" t="n"/>
      <c r="N455" s="333">
        <f>IFERROR(IF(L455*M455=0,"",L455*M455),"")</f>
        <v/>
      </c>
      <c r="O455" s="334" t="n"/>
      <c r="P455" s="332">
        <f>IFERROR(VLOOKUP(TEXT(O455,"0"),CONDUCTORES!$A$3:$G$54,2,0),"")</f>
        <v/>
      </c>
      <c r="Q455" s="332">
        <f>IFERROR(VLOOKUP(TEXT(O455,"0"),CONDUCTORES!$A$3:$H$54,6,0),"")</f>
        <v/>
      </c>
      <c r="R455" s="334" t="n"/>
      <c r="S455" s="334" t="n"/>
      <c r="T455" s="334" t="n"/>
      <c r="U455" s="334" t="n"/>
      <c r="V455" s="334" t="n"/>
      <c r="W455" s="334" t="n"/>
      <c r="X455" s="334" t="n"/>
      <c r="Y455" s="334" t="n"/>
      <c r="Z455" s="375">
        <f>IF(AND(G455&lt;&gt;"",R455&lt;&gt;"",V455&lt;&gt;"",W455&lt;&gt;""),"COMPLETADO","OBSERVADO")</f>
        <v/>
      </c>
    </row>
    <row r="456" ht="15" customHeight="1" s="195">
      <c r="A456" s="280" t="n"/>
      <c r="B456" s="280" t="n"/>
      <c r="C456" s="280" t="n"/>
      <c r="D456" s="280" t="n"/>
      <c r="E456" s="280" t="n"/>
      <c r="F456" s="280" t="n"/>
      <c r="G456" s="280" t="n"/>
      <c r="H456" s="280" t="n"/>
      <c r="I456" s="332">
        <f>IFERROR(VLOOKUP(TEXT(H456,"0"),IPRESS!$A$3:$B$212,2,0),"")</f>
        <v/>
      </c>
      <c r="J456" s="280" t="n"/>
      <c r="K456" s="332">
        <f>IFERROR(VLOOKUP(TEXT(O456,"0"),CONDUCTORES!$A$3:$G$54,7,0),"")</f>
        <v/>
      </c>
      <c r="L456" s="280" t="n"/>
      <c r="M456" s="280" t="n"/>
      <c r="N456" s="333">
        <f>IFERROR(IF(L456*M456=0,"",L456*M456),"")</f>
        <v/>
      </c>
      <c r="O456" s="280" t="n"/>
      <c r="P456" s="332">
        <f>IFERROR(VLOOKUP(TEXT(O456,"0"),CONDUCTORES!$A$3:$G$54,2,0),"")</f>
        <v/>
      </c>
      <c r="Q456" s="332">
        <f>IFERROR(VLOOKUP(TEXT(O456,"0"),CONDUCTORES!$A$3:$H$54,6,0),"")</f>
        <v/>
      </c>
      <c r="R456" s="280" t="n"/>
      <c r="S456" s="280" t="n"/>
      <c r="T456" s="280" t="n"/>
      <c r="U456" s="280" t="n"/>
      <c r="V456" s="280" t="n"/>
      <c r="W456" s="280" t="n"/>
      <c r="X456" s="280" t="n"/>
      <c r="Y456" s="280" t="n"/>
      <c r="Z456" s="375">
        <f>IF(AND(G456&lt;&gt;"",R456&lt;&gt;"",V456&lt;&gt;"",W456&lt;&gt;""),"COMPLETADO","OBSERVADO")</f>
        <v/>
      </c>
    </row>
    <row r="457" ht="15" customHeight="1" s="195">
      <c r="A457" s="334" t="n"/>
      <c r="B457" s="334" t="n"/>
      <c r="C457" s="334" t="n"/>
      <c r="D457" s="334" t="n"/>
      <c r="E457" s="334" t="n"/>
      <c r="F457" s="334" t="n"/>
      <c r="G457" s="334" t="n"/>
      <c r="H457" s="334" t="n"/>
      <c r="I457" s="332">
        <f>IFERROR(VLOOKUP(TEXT(H457,"0"),IPRESS!$A$3:$B$212,2,0),"")</f>
        <v/>
      </c>
      <c r="J457" s="334" t="n"/>
      <c r="K457" s="332">
        <f>IFERROR(VLOOKUP(TEXT(O457,"0"),CONDUCTORES!$A$3:$G$54,7,0),"")</f>
        <v/>
      </c>
      <c r="L457" s="334" t="n"/>
      <c r="M457" s="334" t="n"/>
      <c r="N457" s="333">
        <f>IFERROR(IF(L457*M457=0,"",L457*M457),"")</f>
        <v/>
      </c>
      <c r="O457" s="334" t="n"/>
      <c r="P457" s="332">
        <f>IFERROR(VLOOKUP(TEXT(O457,"0"),CONDUCTORES!$A$3:$G$54,2,0),"")</f>
        <v/>
      </c>
      <c r="Q457" s="332">
        <f>IFERROR(VLOOKUP(TEXT(O457,"0"),CONDUCTORES!$A$3:$H$54,6,0),"")</f>
        <v/>
      </c>
      <c r="R457" s="334" t="n"/>
      <c r="S457" s="334" t="n"/>
      <c r="T457" s="334" t="n"/>
      <c r="U457" s="334" t="n"/>
      <c r="V457" s="334" t="n"/>
      <c r="W457" s="334" t="n"/>
      <c r="X457" s="334" t="n"/>
      <c r="Y457" s="334" t="n"/>
      <c r="Z457" s="375">
        <f>IF(AND(G457&lt;&gt;"",R457&lt;&gt;"",V457&lt;&gt;"",W457&lt;&gt;""),"COMPLETADO","OBSERVADO")</f>
        <v/>
      </c>
    </row>
    <row r="458" ht="15" customHeight="1" s="195">
      <c r="A458" s="280" t="n"/>
      <c r="B458" s="280" t="n"/>
      <c r="C458" s="280" t="n"/>
      <c r="D458" s="280" t="n"/>
      <c r="E458" s="280" t="n"/>
      <c r="F458" s="280" t="n"/>
      <c r="G458" s="280" t="n"/>
      <c r="H458" s="280" t="n"/>
      <c r="I458" s="332">
        <f>IFERROR(VLOOKUP(TEXT(H458,"0"),IPRESS!$A$3:$B$212,2,0),"")</f>
        <v/>
      </c>
      <c r="J458" s="280" t="n"/>
      <c r="K458" s="332">
        <f>IFERROR(VLOOKUP(TEXT(O458,"0"),CONDUCTORES!$A$3:$G$54,7,0),"")</f>
        <v/>
      </c>
      <c r="L458" s="280" t="n"/>
      <c r="M458" s="280" t="n"/>
      <c r="N458" s="333">
        <f>IFERROR(IF(L458*M458=0,"",L458*M458),"")</f>
        <v/>
      </c>
      <c r="O458" s="280" t="n"/>
      <c r="P458" s="332">
        <f>IFERROR(VLOOKUP(TEXT(O458,"0"),CONDUCTORES!$A$3:$G$54,2,0),"")</f>
        <v/>
      </c>
      <c r="Q458" s="332">
        <f>IFERROR(VLOOKUP(TEXT(O458,"0"),CONDUCTORES!$A$3:$H$54,6,0),"")</f>
        <v/>
      </c>
      <c r="R458" s="280" t="n"/>
      <c r="S458" s="280" t="n"/>
      <c r="T458" s="280" t="n"/>
      <c r="U458" s="280" t="n"/>
      <c r="V458" s="280" t="n"/>
      <c r="W458" s="280" t="n"/>
      <c r="X458" s="280" t="n"/>
      <c r="Y458" s="280" t="n"/>
      <c r="Z458" s="375">
        <f>IF(AND(G458&lt;&gt;"",R458&lt;&gt;"",V458&lt;&gt;"",W458&lt;&gt;""),"COMPLETADO","OBSERVADO")</f>
        <v/>
      </c>
    </row>
    <row r="459" ht="15" customHeight="1" s="195">
      <c r="A459" s="334" t="n"/>
      <c r="B459" s="334" t="n"/>
      <c r="C459" s="334" t="n"/>
      <c r="D459" s="334" t="n"/>
      <c r="E459" s="334" t="n"/>
      <c r="F459" s="334" t="n"/>
      <c r="G459" s="334" t="n"/>
      <c r="H459" s="334" t="n"/>
      <c r="I459" s="332">
        <f>IFERROR(VLOOKUP(TEXT(H459,"0"),IPRESS!$A$3:$B$212,2,0),"")</f>
        <v/>
      </c>
      <c r="J459" s="334" t="n"/>
      <c r="K459" s="332">
        <f>IFERROR(VLOOKUP(TEXT(O459,"0"),CONDUCTORES!$A$3:$G$54,7,0),"")</f>
        <v/>
      </c>
      <c r="L459" s="334" t="n"/>
      <c r="M459" s="334" t="n"/>
      <c r="N459" s="333">
        <f>IFERROR(IF(L459*M459=0,"",L459*M459),"")</f>
        <v/>
      </c>
      <c r="O459" s="334" t="n"/>
      <c r="P459" s="332">
        <f>IFERROR(VLOOKUP(TEXT(O459,"0"),CONDUCTORES!$A$3:$G$54,2,0),"")</f>
        <v/>
      </c>
      <c r="Q459" s="332">
        <f>IFERROR(VLOOKUP(TEXT(O459,"0"),CONDUCTORES!$A$3:$H$54,6,0),"")</f>
        <v/>
      </c>
      <c r="R459" s="334" t="n"/>
      <c r="S459" s="334" t="n"/>
      <c r="T459" s="334" t="n"/>
      <c r="U459" s="334" t="n"/>
      <c r="V459" s="334" t="n"/>
      <c r="W459" s="334" t="n"/>
      <c r="X459" s="334" t="n"/>
      <c r="Y459" s="334" t="n"/>
      <c r="Z459" s="375">
        <f>IF(AND(G459&lt;&gt;"",R459&lt;&gt;"",V459&lt;&gt;"",W459&lt;&gt;""),"COMPLETADO","OBSERVADO")</f>
        <v/>
      </c>
    </row>
    <row r="460" ht="15" customHeight="1" s="195">
      <c r="A460" s="280" t="n"/>
      <c r="B460" s="280" t="n"/>
      <c r="C460" s="280" t="n"/>
      <c r="D460" s="280" t="n"/>
      <c r="E460" s="280" t="n"/>
      <c r="F460" s="280" t="n"/>
      <c r="G460" s="280" t="n"/>
      <c r="H460" s="280" t="n"/>
      <c r="I460" s="332">
        <f>IFERROR(VLOOKUP(TEXT(H460,"0"),IPRESS!$A$3:$B$212,2,0),"")</f>
        <v/>
      </c>
      <c r="J460" s="280" t="n"/>
      <c r="K460" s="332">
        <f>IFERROR(VLOOKUP(TEXT(O460,"0"),CONDUCTORES!$A$3:$G$54,7,0),"")</f>
        <v/>
      </c>
      <c r="L460" s="280" t="n"/>
      <c r="M460" s="280" t="n"/>
      <c r="N460" s="333">
        <f>IFERROR(IF(L460*M460=0,"",L460*M460),"")</f>
        <v/>
      </c>
      <c r="O460" s="280" t="n"/>
      <c r="P460" s="332">
        <f>IFERROR(VLOOKUP(TEXT(O460,"0"),CONDUCTORES!$A$3:$G$54,2,0),"")</f>
        <v/>
      </c>
      <c r="Q460" s="332">
        <f>IFERROR(VLOOKUP(TEXT(O460,"0"),CONDUCTORES!$A$3:$H$54,6,0),"")</f>
        <v/>
      </c>
      <c r="R460" s="280" t="n"/>
      <c r="S460" s="280" t="n"/>
      <c r="T460" s="280" t="n"/>
      <c r="U460" s="280" t="n"/>
      <c r="V460" s="280" t="n"/>
      <c r="W460" s="280" t="n"/>
      <c r="X460" s="280" t="n"/>
      <c r="Y460" s="280" t="n"/>
      <c r="Z460" s="375">
        <f>IF(AND(G460&lt;&gt;"",R460&lt;&gt;"",V460&lt;&gt;"",W460&lt;&gt;""),"COMPLETADO","OBSERVADO")</f>
        <v/>
      </c>
    </row>
    <row r="461" ht="15" customHeight="1" s="195">
      <c r="A461" s="334" t="n"/>
      <c r="B461" s="334" t="n"/>
      <c r="C461" s="334" t="n"/>
      <c r="D461" s="334" t="n"/>
      <c r="E461" s="334" t="n"/>
      <c r="F461" s="334" t="n"/>
      <c r="G461" s="334" t="n"/>
      <c r="H461" s="334" t="n"/>
      <c r="I461" s="332">
        <f>IFERROR(VLOOKUP(TEXT(H461,"0"),IPRESS!$A$3:$B$212,2,0),"")</f>
        <v/>
      </c>
      <c r="J461" s="334" t="n"/>
      <c r="K461" s="332">
        <f>IFERROR(VLOOKUP(TEXT(O461,"0"),CONDUCTORES!$A$3:$G$54,7,0),"")</f>
        <v/>
      </c>
      <c r="L461" s="334" t="n"/>
      <c r="M461" s="334" t="n"/>
      <c r="N461" s="333">
        <f>IFERROR(IF(L461*M461=0,"",L461*M461),"")</f>
        <v/>
      </c>
      <c r="O461" s="334" t="n"/>
      <c r="P461" s="332">
        <f>IFERROR(VLOOKUP(TEXT(O461,"0"),CONDUCTORES!$A$3:$G$54,2,0),"")</f>
        <v/>
      </c>
      <c r="Q461" s="332">
        <f>IFERROR(VLOOKUP(TEXT(O461,"0"),CONDUCTORES!$A$3:$H$54,6,0),"")</f>
        <v/>
      </c>
      <c r="R461" s="334" t="n"/>
      <c r="S461" s="334" t="n"/>
      <c r="T461" s="334" t="n"/>
      <c r="U461" s="334" t="n"/>
      <c r="V461" s="334" t="n"/>
      <c r="W461" s="334" t="n"/>
      <c r="X461" s="334" t="n"/>
      <c r="Y461" s="334" t="n"/>
      <c r="Z461" s="375">
        <f>IF(AND(G461&lt;&gt;"",R461&lt;&gt;"",V461&lt;&gt;"",W461&lt;&gt;""),"COMPLETADO","OBSERVADO")</f>
        <v/>
      </c>
    </row>
    <row r="462" ht="15" customHeight="1" s="195">
      <c r="A462" s="280" t="n"/>
      <c r="B462" s="280" t="n"/>
      <c r="C462" s="280" t="n"/>
      <c r="D462" s="280" t="n"/>
      <c r="E462" s="280" t="n"/>
      <c r="F462" s="280" t="n"/>
      <c r="G462" s="280" t="n"/>
      <c r="H462" s="280" t="n"/>
      <c r="I462" s="332">
        <f>IFERROR(VLOOKUP(TEXT(H462,"0"),IPRESS!$A$3:$B$212,2,0),"")</f>
        <v/>
      </c>
      <c r="J462" s="280" t="n"/>
      <c r="K462" s="332">
        <f>IFERROR(VLOOKUP(TEXT(O462,"0"),CONDUCTORES!$A$3:$G$54,7,0),"")</f>
        <v/>
      </c>
      <c r="L462" s="280" t="n"/>
      <c r="M462" s="280" t="n"/>
      <c r="N462" s="333">
        <f>IFERROR(IF(L462*M462=0,"",L462*M462),"")</f>
        <v/>
      </c>
      <c r="O462" s="280" t="n"/>
      <c r="P462" s="332">
        <f>IFERROR(VLOOKUP(TEXT(O462,"0"),CONDUCTORES!$A$3:$G$54,2,0),"")</f>
        <v/>
      </c>
      <c r="Q462" s="332">
        <f>IFERROR(VLOOKUP(TEXT(O462,"0"),CONDUCTORES!$A$3:$H$54,6,0),"")</f>
        <v/>
      </c>
      <c r="R462" s="280" t="n"/>
      <c r="S462" s="280" t="n"/>
      <c r="T462" s="280" t="n"/>
      <c r="U462" s="280" t="n"/>
      <c r="V462" s="280" t="n"/>
      <c r="W462" s="280" t="n"/>
      <c r="X462" s="280" t="n"/>
      <c r="Y462" s="280" t="n"/>
      <c r="Z462" s="375">
        <f>IF(AND(G462&lt;&gt;"",R462&lt;&gt;"",V462&lt;&gt;"",W462&lt;&gt;""),"COMPLETADO","OBSERVADO")</f>
        <v/>
      </c>
    </row>
    <row r="463" ht="15" customHeight="1" s="195">
      <c r="A463" s="334" t="n"/>
      <c r="B463" s="334" t="n"/>
      <c r="C463" s="334" t="n"/>
      <c r="D463" s="334" t="n"/>
      <c r="E463" s="334" t="n"/>
      <c r="F463" s="334" t="n"/>
      <c r="G463" s="334" t="n"/>
      <c r="H463" s="334" t="n"/>
      <c r="I463" s="332">
        <f>IFERROR(VLOOKUP(TEXT(H463,"0"),IPRESS!$A$3:$B$212,2,0),"")</f>
        <v/>
      </c>
      <c r="J463" s="334" t="n"/>
      <c r="K463" s="332">
        <f>IFERROR(VLOOKUP(TEXT(O463,"0"),CONDUCTORES!$A$3:$G$54,7,0),"")</f>
        <v/>
      </c>
      <c r="L463" s="334" t="n"/>
      <c r="M463" s="334" t="n"/>
      <c r="N463" s="333">
        <f>IFERROR(IF(L463*M463=0,"",L463*M463),"")</f>
        <v/>
      </c>
      <c r="O463" s="334" t="n"/>
      <c r="P463" s="332">
        <f>IFERROR(VLOOKUP(TEXT(O463,"0"),CONDUCTORES!$A$3:$G$54,2,0),"")</f>
        <v/>
      </c>
      <c r="Q463" s="332">
        <f>IFERROR(VLOOKUP(TEXT(O463,"0"),CONDUCTORES!$A$3:$H$54,6,0),"")</f>
        <v/>
      </c>
      <c r="R463" s="334" t="n"/>
      <c r="S463" s="334" t="n"/>
      <c r="T463" s="334" t="n"/>
      <c r="U463" s="334" t="n"/>
      <c r="V463" s="334" t="n"/>
      <c r="W463" s="334" t="n"/>
      <c r="X463" s="334" t="n"/>
      <c r="Y463" s="334" t="n"/>
      <c r="Z463" s="375">
        <f>IF(AND(G463&lt;&gt;"",R463&lt;&gt;"",V463&lt;&gt;"",W463&lt;&gt;""),"COMPLETADO","OBSERVADO")</f>
        <v/>
      </c>
    </row>
    <row r="464" ht="15" customHeight="1" s="195">
      <c r="A464" s="280" t="n"/>
      <c r="B464" s="280" t="n"/>
      <c r="C464" s="280" t="n"/>
      <c r="D464" s="280" t="n"/>
      <c r="E464" s="280" t="n"/>
      <c r="F464" s="280" t="n"/>
      <c r="G464" s="280" t="n"/>
      <c r="H464" s="280" t="n"/>
      <c r="I464" s="332">
        <f>IFERROR(VLOOKUP(TEXT(H464,"0"),IPRESS!$A$3:$B$212,2,0),"")</f>
        <v/>
      </c>
      <c r="J464" s="280" t="n"/>
      <c r="K464" s="332">
        <f>IFERROR(VLOOKUP(TEXT(O464,"0"),CONDUCTORES!$A$3:$G$54,7,0),"")</f>
        <v/>
      </c>
      <c r="L464" s="280" t="n"/>
      <c r="M464" s="280" t="n"/>
      <c r="N464" s="333">
        <f>IFERROR(IF(L464*M464=0,"",L464*M464),"")</f>
        <v/>
      </c>
      <c r="O464" s="280" t="n"/>
      <c r="P464" s="332">
        <f>IFERROR(VLOOKUP(TEXT(O464,"0"),CONDUCTORES!$A$3:$G$54,2,0),"")</f>
        <v/>
      </c>
      <c r="Q464" s="332">
        <f>IFERROR(VLOOKUP(TEXT(O464,"0"),CONDUCTORES!$A$3:$H$54,6,0),"")</f>
        <v/>
      </c>
      <c r="R464" s="280" t="n"/>
      <c r="S464" s="280" t="n"/>
      <c r="T464" s="280" t="n"/>
      <c r="U464" s="280" t="n"/>
      <c r="V464" s="280" t="n"/>
      <c r="W464" s="280" t="n"/>
      <c r="X464" s="280" t="n"/>
      <c r="Y464" s="280" t="n"/>
      <c r="Z464" s="375">
        <f>IF(AND(G464&lt;&gt;"",R464&lt;&gt;"",V464&lt;&gt;"",W464&lt;&gt;""),"COMPLETADO","OBSERVADO")</f>
        <v/>
      </c>
    </row>
    <row r="465" ht="15" customHeight="1" s="195">
      <c r="A465" s="334" t="n"/>
      <c r="B465" s="334" t="n"/>
      <c r="C465" s="334" t="n"/>
      <c r="D465" s="334" t="n"/>
      <c r="E465" s="334" t="n"/>
      <c r="F465" s="334" t="n"/>
      <c r="G465" s="334" t="n"/>
      <c r="H465" s="334" t="n"/>
      <c r="I465" s="332">
        <f>IFERROR(VLOOKUP(TEXT(H465,"0"),IPRESS!$A$3:$B$212,2,0),"")</f>
        <v/>
      </c>
      <c r="J465" s="334" t="n"/>
      <c r="K465" s="332">
        <f>IFERROR(VLOOKUP(TEXT(O465,"0"),CONDUCTORES!$A$3:$G$54,7,0),"")</f>
        <v/>
      </c>
      <c r="L465" s="334" t="n"/>
      <c r="M465" s="334" t="n"/>
      <c r="N465" s="333">
        <f>IFERROR(IF(L465*M465=0,"",L465*M465),"")</f>
        <v/>
      </c>
      <c r="O465" s="334" t="n"/>
      <c r="P465" s="332">
        <f>IFERROR(VLOOKUP(TEXT(O465,"0"),CONDUCTORES!$A$3:$G$54,2,0),"")</f>
        <v/>
      </c>
      <c r="Q465" s="332">
        <f>IFERROR(VLOOKUP(TEXT(O465,"0"),CONDUCTORES!$A$3:$H$54,6,0),"")</f>
        <v/>
      </c>
      <c r="R465" s="334" t="n"/>
      <c r="S465" s="334" t="n"/>
      <c r="T465" s="334" t="n"/>
      <c r="U465" s="334" t="n"/>
      <c r="V465" s="334" t="n"/>
      <c r="W465" s="334" t="n"/>
      <c r="X465" s="334" t="n"/>
      <c r="Y465" s="334" t="n"/>
      <c r="Z465" s="375">
        <f>IF(AND(G465&lt;&gt;"",R465&lt;&gt;"",V465&lt;&gt;"",W465&lt;&gt;""),"COMPLETADO","OBSERVADO")</f>
        <v/>
      </c>
    </row>
    <row r="466" ht="15" customHeight="1" s="195">
      <c r="A466" s="280" t="n"/>
      <c r="B466" s="280" t="n"/>
      <c r="C466" s="280" t="n"/>
      <c r="D466" s="280" t="n"/>
      <c r="E466" s="280" t="n"/>
      <c r="F466" s="280" t="n"/>
      <c r="G466" s="280" t="n"/>
      <c r="H466" s="280" t="n"/>
      <c r="I466" s="332">
        <f>IFERROR(VLOOKUP(TEXT(H466,"0"),IPRESS!$A$3:$B$212,2,0),"")</f>
        <v/>
      </c>
      <c r="J466" s="280" t="n"/>
      <c r="K466" s="332">
        <f>IFERROR(VLOOKUP(TEXT(O466,"0"),CONDUCTORES!$A$3:$G$54,7,0),"")</f>
        <v/>
      </c>
      <c r="L466" s="280" t="n"/>
      <c r="M466" s="280" t="n"/>
      <c r="N466" s="333">
        <f>IFERROR(IF(L466*M466=0,"",L466*M466),"")</f>
        <v/>
      </c>
      <c r="O466" s="280" t="n"/>
      <c r="P466" s="332">
        <f>IFERROR(VLOOKUP(TEXT(O466,"0"),CONDUCTORES!$A$3:$G$54,2,0),"")</f>
        <v/>
      </c>
      <c r="Q466" s="332">
        <f>IFERROR(VLOOKUP(TEXT(O466,"0"),CONDUCTORES!$A$3:$H$54,6,0),"")</f>
        <v/>
      </c>
      <c r="R466" s="280" t="n"/>
      <c r="S466" s="280" t="n"/>
      <c r="T466" s="280" t="n"/>
      <c r="U466" s="280" t="n"/>
      <c r="V466" s="280" t="n"/>
      <c r="W466" s="280" t="n"/>
      <c r="X466" s="280" t="n"/>
      <c r="Y466" s="280" t="n"/>
      <c r="Z466" s="375">
        <f>IF(AND(G466&lt;&gt;"",R466&lt;&gt;"",V466&lt;&gt;"",W466&lt;&gt;""),"COMPLETADO","OBSERVADO")</f>
        <v/>
      </c>
    </row>
    <row r="467" ht="15" customHeight="1" s="195">
      <c r="A467" s="334" t="n"/>
      <c r="B467" s="334" t="n"/>
      <c r="C467" s="334" t="n"/>
      <c r="D467" s="334" t="n"/>
      <c r="E467" s="334" t="n"/>
      <c r="F467" s="334" t="n"/>
      <c r="G467" s="334" t="n"/>
      <c r="H467" s="334" t="n"/>
      <c r="I467" s="332">
        <f>IFERROR(VLOOKUP(TEXT(H467,"0"),IPRESS!$A$3:$B$212,2,0),"")</f>
        <v/>
      </c>
      <c r="J467" s="334" t="n"/>
      <c r="K467" s="332">
        <f>IFERROR(VLOOKUP(TEXT(O467,"0"),CONDUCTORES!$A$3:$G$54,7,0),"")</f>
        <v/>
      </c>
      <c r="L467" s="334" t="n"/>
      <c r="M467" s="334" t="n"/>
      <c r="N467" s="333">
        <f>IFERROR(IF(L467*M467=0,"",L467*M467),"")</f>
        <v/>
      </c>
      <c r="O467" s="334" t="n"/>
      <c r="P467" s="332">
        <f>IFERROR(VLOOKUP(TEXT(O467,"0"),CONDUCTORES!$A$3:$G$54,2,0),"")</f>
        <v/>
      </c>
      <c r="Q467" s="332">
        <f>IFERROR(VLOOKUP(TEXT(O467,"0"),CONDUCTORES!$A$3:$H$54,6,0),"")</f>
        <v/>
      </c>
      <c r="R467" s="334" t="n"/>
      <c r="S467" s="334" t="n"/>
      <c r="T467" s="334" t="n"/>
      <c r="U467" s="334" t="n"/>
      <c r="V467" s="334" t="n"/>
      <c r="W467" s="334" t="n"/>
      <c r="X467" s="334" t="n"/>
      <c r="Y467" s="334" t="n"/>
      <c r="Z467" s="375">
        <f>IF(AND(G467&lt;&gt;"",R467&lt;&gt;"",V467&lt;&gt;"",W467&lt;&gt;""),"COMPLETADO","OBSERVADO")</f>
        <v/>
      </c>
    </row>
    <row r="468" ht="15" customHeight="1" s="195">
      <c r="A468" s="280" t="n"/>
      <c r="B468" s="280" t="n"/>
      <c r="C468" s="280" t="n"/>
      <c r="D468" s="280" t="n"/>
      <c r="E468" s="280" t="n"/>
      <c r="F468" s="280" t="n"/>
      <c r="G468" s="280" t="n"/>
      <c r="H468" s="280" t="n"/>
      <c r="I468" s="332">
        <f>IFERROR(VLOOKUP(TEXT(H468,"0"),IPRESS!$A$3:$B$212,2,0),"")</f>
        <v/>
      </c>
      <c r="J468" s="280" t="n"/>
      <c r="K468" s="332">
        <f>IFERROR(VLOOKUP(TEXT(O468,"0"),CONDUCTORES!$A$3:$G$54,7,0),"")</f>
        <v/>
      </c>
      <c r="L468" s="280" t="n"/>
      <c r="M468" s="280" t="n"/>
      <c r="N468" s="333">
        <f>IFERROR(IF(L468*M468=0,"",L468*M468),"")</f>
        <v/>
      </c>
      <c r="O468" s="280" t="n"/>
      <c r="P468" s="332">
        <f>IFERROR(VLOOKUP(TEXT(O468,"0"),CONDUCTORES!$A$3:$G$54,2,0),"")</f>
        <v/>
      </c>
      <c r="Q468" s="332">
        <f>IFERROR(VLOOKUP(TEXT(O468,"0"),CONDUCTORES!$A$3:$H$54,6,0),"")</f>
        <v/>
      </c>
      <c r="R468" s="280" t="n"/>
      <c r="S468" s="280" t="n"/>
      <c r="T468" s="280" t="n"/>
      <c r="U468" s="280" t="n"/>
      <c r="V468" s="280" t="n"/>
      <c r="W468" s="280" t="n"/>
      <c r="X468" s="280" t="n"/>
      <c r="Y468" s="280" t="n"/>
      <c r="Z468" s="375">
        <f>IF(AND(G468&lt;&gt;"",R468&lt;&gt;"",V468&lt;&gt;"",W468&lt;&gt;""),"COMPLETADO","OBSERVADO")</f>
        <v/>
      </c>
    </row>
    <row r="469" ht="15" customHeight="1" s="195">
      <c r="A469" s="334" t="n"/>
      <c r="B469" s="334" t="n"/>
      <c r="C469" s="334" t="n"/>
      <c r="D469" s="334" t="n"/>
      <c r="E469" s="334" t="n"/>
      <c r="F469" s="334" t="n"/>
      <c r="G469" s="334" t="n"/>
      <c r="H469" s="334" t="n"/>
      <c r="I469" s="332">
        <f>IFERROR(VLOOKUP(TEXT(H469,"0"),IPRESS!$A$3:$B$212,2,0),"")</f>
        <v/>
      </c>
      <c r="J469" s="334" t="n"/>
      <c r="K469" s="332">
        <f>IFERROR(VLOOKUP(TEXT(O469,"0"),CONDUCTORES!$A$3:$G$54,7,0),"")</f>
        <v/>
      </c>
      <c r="L469" s="334" t="n"/>
      <c r="M469" s="334" t="n"/>
      <c r="N469" s="333">
        <f>IFERROR(IF(L469*M469=0,"",L469*M469),"")</f>
        <v/>
      </c>
      <c r="O469" s="334" t="n"/>
      <c r="P469" s="332">
        <f>IFERROR(VLOOKUP(TEXT(O469,"0"),CONDUCTORES!$A$3:$G$54,2,0),"")</f>
        <v/>
      </c>
      <c r="Q469" s="332">
        <f>IFERROR(VLOOKUP(TEXT(O469,"0"),CONDUCTORES!$A$3:$H$54,6,0),"")</f>
        <v/>
      </c>
      <c r="R469" s="334" t="n"/>
      <c r="S469" s="334" t="n"/>
      <c r="T469" s="334" t="n"/>
      <c r="U469" s="334" t="n"/>
      <c r="V469" s="334" t="n"/>
      <c r="W469" s="334" t="n"/>
      <c r="X469" s="334" t="n"/>
      <c r="Y469" s="334" t="n"/>
      <c r="Z469" s="375">
        <f>IF(AND(G469&lt;&gt;"",R469&lt;&gt;"",V469&lt;&gt;"",W469&lt;&gt;""),"COMPLETADO","OBSERVADO")</f>
        <v/>
      </c>
    </row>
    <row r="470" ht="15" customHeight="1" s="195">
      <c r="A470" s="280" t="n"/>
      <c r="B470" s="280" t="n"/>
      <c r="C470" s="280" t="n"/>
      <c r="D470" s="280" t="n"/>
      <c r="E470" s="280" t="n"/>
      <c r="F470" s="280" t="n"/>
      <c r="G470" s="280" t="n"/>
      <c r="H470" s="280" t="n"/>
      <c r="I470" s="332">
        <f>IFERROR(VLOOKUP(TEXT(H470,"0"),IPRESS!$A$3:$B$212,2,0),"")</f>
        <v/>
      </c>
      <c r="J470" s="280" t="n"/>
      <c r="K470" s="332">
        <f>IFERROR(VLOOKUP(TEXT(O470,"0"),CONDUCTORES!$A$3:$G$54,7,0),"")</f>
        <v/>
      </c>
      <c r="L470" s="280" t="n"/>
      <c r="M470" s="280" t="n"/>
      <c r="N470" s="333">
        <f>IFERROR(IF(L470*M470=0,"",L470*M470),"")</f>
        <v/>
      </c>
      <c r="O470" s="280" t="n"/>
      <c r="P470" s="332">
        <f>IFERROR(VLOOKUP(TEXT(O470,"0"),CONDUCTORES!$A$3:$G$54,2,0),"")</f>
        <v/>
      </c>
      <c r="Q470" s="332">
        <f>IFERROR(VLOOKUP(TEXT(O470,"0"),CONDUCTORES!$A$3:$H$54,6,0),"")</f>
        <v/>
      </c>
      <c r="R470" s="280" t="n"/>
      <c r="S470" s="280" t="n"/>
      <c r="T470" s="280" t="n"/>
      <c r="U470" s="280" t="n"/>
      <c r="V470" s="280" t="n"/>
      <c r="W470" s="280" t="n"/>
      <c r="X470" s="280" t="n"/>
      <c r="Y470" s="280" t="n"/>
      <c r="Z470" s="375">
        <f>IF(AND(G470&lt;&gt;"",R470&lt;&gt;"",V470&lt;&gt;"",W470&lt;&gt;""),"COMPLETADO","OBSERVADO")</f>
        <v/>
      </c>
    </row>
    <row r="471" ht="15" customHeight="1" s="195">
      <c r="A471" s="334" t="n"/>
      <c r="B471" s="334" t="n"/>
      <c r="C471" s="334" t="n"/>
      <c r="D471" s="334" t="n"/>
      <c r="E471" s="334" t="n"/>
      <c r="F471" s="334" t="n"/>
      <c r="G471" s="334" t="n"/>
      <c r="H471" s="334" t="n"/>
      <c r="I471" s="332">
        <f>IFERROR(VLOOKUP(TEXT(H471,"0"),IPRESS!$A$3:$B$212,2,0),"")</f>
        <v/>
      </c>
      <c r="J471" s="334" t="n"/>
      <c r="K471" s="332">
        <f>IFERROR(VLOOKUP(TEXT(O471,"0"),CONDUCTORES!$A$3:$G$54,7,0),"")</f>
        <v/>
      </c>
      <c r="L471" s="334" t="n"/>
      <c r="M471" s="334" t="n"/>
      <c r="N471" s="333">
        <f>IFERROR(IF(L471*M471=0,"",L471*M471),"")</f>
        <v/>
      </c>
      <c r="O471" s="334" t="n"/>
      <c r="P471" s="332">
        <f>IFERROR(VLOOKUP(TEXT(O471,"0"),CONDUCTORES!$A$3:$G$54,2,0),"")</f>
        <v/>
      </c>
      <c r="Q471" s="332">
        <f>IFERROR(VLOOKUP(TEXT(O471,"0"),CONDUCTORES!$A$3:$H$54,6,0),"")</f>
        <v/>
      </c>
      <c r="R471" s="334" t="n"/>
      <c r="S471" s="334" t="n"/>
      <c r="T471" s="334" t="n"/>
      <c r="U471" s="334" t="n"/>
      <c r="V471" s="334" t="n"/>
      <c r="W471" s="334" t="n"/>
      <c r="X471" s="334" t="n"/>
      <c r="Y471" s="334" t="n"/>
      <c r="Z471" s="375">
        <f>IF(AND(G471&lt;&gt;"",R471&lt;&gt;"",V471&lt;&gt;"",W471&lt;&gt;""),"COMPLETADO","OBSERVADO")</f>
        <v/>
      </c>
    </row>
    <row r="472" ht="15" customHeight="1" s="195">
      <c r="A472" s="280" t="n"/>
      <c r="B472" s="280" t="n"/>
      <c r="C472" s="280" t="n"/>
      <c r="D472" s="280" t="n"/>
      <c r="E472" s="280" t="n"/>
      <c r="F472" s="280" t="n"/>
      <c r="G472" s="280" t="n"/>
      <c r="H472" s="280" t="n"/>
      <c r="I472" s="332">
        <f>IFERROR(VLOOKUP(TEXT(H472,"0"),IPRESS!$A$3:$B$212,2,0),"")</f>
        <v/>
      </c>
      <c r="J472" s="280" t="n"/>
      <c r="K472" s="332">
        <f>IFERROR(VLOOKUP(TEXT(O472,"0"),CONDUCTORES!$A$3:$G$54,7,0),"")</f>
        <v/>
      </c>
      <c r="L472" s="280" t="n"/>
      <c r="M472" s="280" t="n"/>
      <c r="N472" s="333">
        <f>IFERROR(IF(L472*M472=0,"",L472*M472),"")</f>
        <v/>
      </c>
      <c r="O472" s="280" t="n"/>
      <c r="P472" s="332">
        <f>IFERROR(VLOOKUP(TEXT(O472,"0"),CONDUCTORES!$A$3:$G$54,2,0),"")</f>
        <v/>
      </c>
      <c r="Q472" s="332">
        <f>IFERROR(VLOOKUP(TEXT(O472,"0"),CONDUCTORES!$A$3:$H$54,6,0),"")</f>
        <v/>
      </c>
      <c r="R472" s="280" t="n"/>
      <c r="S472" s="280" t="n"/>
      <c r="T472" s="280" t="n"/>
      <c r="U472" s="280" t="n"/>
      <c r="V472" s="280" t="n"/>
      <c r="W472" s="280" t="n"/>
      <c r="X472" s="280" t="n"/>
      <c r="Y472" s="280" t="n"/>
      <c r="Z472" s="375">
        <f>IF(AND(G472&lt;&gt;"",R472&lt;&gt;"",V472&lt;&gt;"",W472&lt;&gt;""),"COMPLETADO","OBSERVADO")</f>
        <v/>
      </c>
    </row>
    <row r="473" ht="15" customHeight="1" s="195">
      <c r="A473" s="334" t="n"/>
      <c r="B473" s="334" t="n"/>
      <c r="C473" s="334" t="n"/>
      <c r="D473" s="334" t="n"/>
      <c r="E473" s="334" t="n"/>
      <c r="F473" s="334" t="n"/>
      <c r="G473" s="334" t="n"/>
      <c r="H473" s="334" t="n"/>
      <c r="I473" s="332">
        <f>IFERROR(VLOOKUP(TEXT(H473,"0"),IPRESS!$A$3:$B$212,2,0),"")</f>
        <v/>
      </c>
      <c r="J473" s="334" t="n"/>
      <c r="K473" s="332">
        <f>IFERROR(VLOOKUP(TEXT(O473,"0"),CONDUCTORES!$A$3:$G$54,7,0),"")</f>
        <v/>
      </c>
      <c r="L473" s="334" t="n"/>
      <c r="M473" s="334" t="n"/>
      <c r="N473" s="333">
        <f>IFERROR(IF(L473*M473=0,"",L473*M473),"")</f>
        <v/>
      </c>
      <c r="O473" s="334" t="n"/>
      <c r="P473" s="332">
        <f>IFERROR(VLOOKUP(TEXT(O473,"0"),CONDUCTORES!$A$3:$G$54,2,0),"")</f>
        <v/>
      </c>
      <c r="Q473" s="332">
        <f>IFERROR(VLOOKUP(TEXT(O473,"0"),CONDUCTORES!$A$3:$H$54,6,0),"")</f>
        <v/>
      </c>
      <c r="R473" s="334" t="n"/>
      <c r="S473" s="334" t="n"/>
      <c r="T473" s="334" t="n"/>
      <c r="U473" s="334" t="n"/>
      <c r="V473" s="334" t="n"/>
      <c r="W473" s="334" t="n"/>
      <c r="X473" s="334" t="n"/>
      <c r="Y473" s="334" t="n"/>
      <c r="Z473" s="375">
        <f>IF(AND(G473&lt;&gt;"",R473&lt;&gt;"",V473&lt;&gt;"",W473&lt;&gt;""),"COMPLETADO","OBSERVADO")</f>
        <v/>
      </c>
    </row>
    <row r="474" ht="15" customHeight="1" s="195">
      <c r="A474" s="280" t="n"/>
      <c r="B474" s="280" t="n"/>
      <c r="C474" s="280" t="n"/>
      <c r="D474" s="280" t="n"/>
      <c r="E474" s="280" t="n"/>
      <c r="F474" s="280" t="n"/>
      <c r="G474" s="280" t="n"/>
      <c r="H474" s="280" t="n"/>
      <c r="I474" s="332">
        <f>IFERROR(VLOOKUP(TEXT(H474,"0"),IPRESS!$A$3:$B$212,2,0),"")</f>
        <v/>
      </c>
      <c r="J474" s="280" t="n"/>
      <c r="K474" s="332">
        <f>IFERROR(VLOOKUP(TEXT(O474,"0"),CONDUCTORES!$A$3:$G$54,7,0),"")</f>
        <v/>
      </c>
      <c r="L474" s="280" t="n"/>
      <c r="M474" s="280" t="n"/>
      <c r="N474" s="333">
        <f>IFERROR(IF(L474*M474=0,"",L474*M474),"")</f>
        <v/>
      </c>
      <c r="O474" s="280" t="n"/>
      <c r="P474" s="332">
        <f>IFERROR(VLOOKUP(TEXT(O474,"0"),CONDUCTORES!$A$3:$G$54,2,0),"")</f>
        <v/>
      </c>
      <c r="Q474" s="332">
        <f>IFERROR(VLOOKUP(TEXT(O474,"0"),CONDUCTORES!$A$3:$H$54,6,0),"")</f>
        <v/>
      </c>
      <c r="R474" s="280" t="n"/>
      <c r="S474" s="280" t="n"/>
      <c r="T474" s="280" t="n"/>
      <c r="U474" s="280" t="n"/>
      <c r="V474" s="280" t="n"/>
      <c r="W474" s="280" t="n"/>
      <c r="X474" s="280" t="n"/>
      <c r="Y474" s="280" t="n"/>
      <c r="Z474" s="375">
        <f>IF(AND(G474&lt;&gt;"",R474&lt;&gt;"",V474&lt;&gt;"",W474&lt;&gt;""),"COMPLETADO","OBSERVADO")</f>
        <v/>
      </c>
    </row>
    <row r="475" ht="15" customHeight="1" s="195">
      <c r="A475" s="334" t="n"/>
      <c r="B475" s="334" t="n"/>
      <c r="C475" s="334" t="n"/>
      <c r="D475" s="334" t="n"/>
      <c r="E475" s="334" t="n"/>
      <c r="F475" s="334" t="n"/>
      <c r="G475" s="334" t="n"/>
      <c r="H475" s="334" t="n"/>
      <c r="I475" s="332">
        <f>IFERROR(VLOOKUP(TEXT(H475,"0"),IPRESS!$A$3:$B$212,2,0),"")</f>
        <v/>
      </c>
      <c r="J475" s="334" t="n"/>
      <c r="K475" s="332">
        <f>IFERROR(VLOOKUP(TEXT(O475,"0"),CONDUCTORES!$A$3:$G$54,7,0),"")</f>
        <v/>
      </c>
      <c r="L475" s="334" t="n"/>
      <c r="M475" s="334" t="n"/>
      <c r="N475" s="333">
        <f>IFERROR(IF(L475*M475=0,"",L475*M475),"")</f>
        <v/>
      </c>
      <c r="O475" s="334" t="n"/>
      <c r="P475" s="332">
        <f>IFERROR(VLOOKUP(TEXT(O475,"0"),CONDUCTORES!$A$3:$G$54,2,0),"")</f>
        <v/>
      </c>
      <c r="Q475" s="332">
        <f>IFERROR(VLOOKUP(TEXT(O475,"0"),CONDUCTORES!$A$3:$H$54,6,0),"")</f>
        <v/>
      </c>
      <c r="R475" s="334" t="n"/>
      <c r="S475" s="334" t="n"/>
      <c r="T475" s="334" t="n"/>
      <c r="U475" s="334" t="n"/>
      <c r="V475" s="334" t="n"/>
      <c r="W475" s="334" t="n"/>
      <c r="X475" s="334" t="n"/>
      <c r="Y475" s="334" t="n"/>
      <c r="Z475" s="375">
        <f>IF(AND(G475&lt;&gt;"",R475&lt;&gt;"",V475&lt;&gt;"",W475&lt;&gt;""),"COMPLETADO","OBSERVADO")</f>
        <v/>
      </c>
    </row>
    <row r="476" ht="15" customHeight="1" s="195">
      <c r="A476" s="280" t="n"/>
      <c r="B476" s="280" t="n"/>
      <c r="C476" s="280" t="n"/>
      <c r="D476" s="280" t="n"/>
      <c r="E476" s="280" t="n"/>
      <c r="F476" s="280" t="n"/>
      <c r="G476" s="280" t="n"/>
      <c r="H476" s="280" t="n"/>
      <c r="I476" s="332">
        <f>IFERROR(VLOOKUP(TEXT(H476,"0"),IPRESS!$A$3:$B$212,2,0),"")</f>
        <v/>
      </c>
      <c r="J476" s="280" t="n"/>
      <c r="K476" s="332">
        <f>IFERROR(VLOOKUP(TEXT(O476,"0"),CONDUCTORES!$A$3:$G$54,7,0),"")</f>
        <v/>
      </c>
      <c r="L476" s="280" t="n"/>
      <c r="M476" s="280" t="n"/>
      <c r="N476" s="333">
        <f>IFERROR(IF(L476*M476=0,"",L476*M476),"")</f>
        <v/>
      </c>
      <c r="O476" s="280" t="n"/>
      <c r="P476" s="332">
        <f>IFERROR(VLOOKUP(TEXT(O476,"0"),CONDUCTORES!$A$3:$G$54,2,0),"")</f>
        <v/>
      </c>
      <c r="Q476" s="332">
        <f>IFERROR(VLOOKUP(TEXT(O476,"0"),CONDUCTORES!$A$3:$H$54,6,0),"")</f>
        <v/>
      </c>
      <c r="R476" s="280" t="n"/>
      <c r="S476" s="280" t="n"/>
      <c r="T476" s="280" t="n"/>
      <c r="U476" s="280" t="n"/>
      <c r="V476" s="280" t="n"/>
      <c r="W476" s="280" t="n"/>
      <c r="X476" s="280" t="n"/>
      <c r="Y476" s="280" t="n"/>
      <c r="Z476" s="375">
        <f>IF(AND(G476&lt;&gt;"",R476&lt;&gt;"",V476&lt;&gt;"",W476&lt;&gt;""),"COMPLETADO","OBSERVADO")</f>
        <v/>
      </c>
    </row>
    <row r="477" ht="15" customHeight="1" s="195">
      <c r="A477" s="334" t="n"/>
      <c r="B477" s="334" t="n"/>
      <c r="C477" s="334" t="n"/>
      <c r="D477" s="334" t="n"/>
      <c r="E477" s="334" t="n"/>
      <c r="F477" s="334" t="n"/>
      <c r="G477" s="334" t="n"/>
      <c r="H477" s="334" t="n"/>
      <c r="I477" s="332">
        <f>IFERROR(VLOOKUP(TEXT(H477,"0"),IPRESS!$A$3:$B$212,2,0),"")</f>
        <v/>
      </c>
      <c r="J477" s="334" t="n"/>
      <c r="K477" s="332">
        <f>IFERROR(VLOOKUP(TEXT(O477,"0"),CONDUCTORES!$A$3:$G$54,7,0),"")</f>
        <v/>
      </c>
      <c r="L477" s="334" t="n"/>
      <c r="M477" s="334" t="n"/>
      <c r="N477" s="333">
        <f>IFERROR(IF(L477*M477=0,"",L477*M477),"")</f>
        <v/>
      </c>
      <c r="O477" s="334" t="n"/>
      <c r="P477" s="332">
        <f>IFERROR(VLOOKUP(TEXT(O477,"0"),CONDUCTORES!$A$3:$G$54,2,0),"")</f>
        <v/>
      </c>
      <c r="Q477" s="332">
        <f>IFERROR(VLOOKUP(TEXT(O477,"0"),CONDUCTORES!$A$3:$H$54,6,0),"")</f>
        <v/>
      </c>
      <c r="R477" s="334" t="n"/>
      <c r="S477" s="334" t="n"/>
      <c r="T477" s="334" t="n"/>
      <c r="U477" s="334" t="n"/>
      <c r="V477" s="334" t="n"/>
      <c r="W477" s="334" t="n"/>
      <c r="X477" s="334" t="n"/>
      <c r="Y477" s="334" t="n"/>
      <c r="Z477" s="375">
        <f>IF(AND(G477&lt;&gt;"",R477&lt;&gt;"",V477&lt;&gt;"",W477&lt;&gt;""),"COMPLETADO","OBSERVADO")</f>
        <v/>
      </c>
    </row>
    <row r="478" ht="15" customHeight="1" s="195">
      <c r="A478" s="280" t="n"/>
      <c r="B478" s="280" t="n"/>
      <c r="C478" s="280" t="n"/>
      <c r="D478" s="280" t="n"/>
      <c r="E478" s="280" t="n"/>
      <c r="F478" s="280" t="n"/>
      <c r="G478" s="280" t="n"/>
      <c r="H478" s="280" t="n"/>
      <c r="I478" s="332">
        <f>IFERROR(VLOOKUP(TEXT(H478,"0"),IPRESS!$A$3:$B$212,2,0),"")</f>
        <v/>
      </c>
      <c r="J478" s="280" t="n"/>
      <c r="K478" s="332">
        <f>IFERROR(VLOOKUP(TEXT(O478,"0"),CONDUCTORES!$A$3:$G$54,7,0),"")</f>
        <v/>
      </c>
      <c r="L478" s="280" t="n"/>
      <c r="M478" s="280" t="n"/>
      <c r="N478" s="333">
        <f>IFERROR(IF(L478*M478=0,"",L478*M478),"")</f>
        <v/>
      </c>
      <c r="O478" s="280" t="n"/>
      <c r="P478" s="332">
        <f>IFERROR(VLOOKUP(TEXT(O478,"0"),CONDUCTORES!$A$3:$G$54,2,0),"")</f>
        <v/>
      </c>
      <c r="Q478" s="332">
        <f>IFERROR(VLOOKUP(TEXT(O478,"0"),CONDUCTORES!$A$3:$H$54,6,0),"")</f>
        <v/>
      </c>
      <c r="R478" s="280" t="n"/>
      <c r="S478" s="280" t="n"/>
      <c r="T478" s="280" t="n"/>
      <c r="U478" s="280" t="n"/>
      <c r="V478" s="280" t="n"/>
      <c r="W478" s="280" t="n"/>
      <c r="X478" s="280" t="n"/>
      <c r="Y478" s="280" t="n"/>
      <c r="Z478" s="375">
        <f>IF(AND(G478&lt;&gt;"",R478&lt;&gt;"",V478&lt;&gt;"",W478&lt;&gt;""),"COMPLETADO","OBSERVADO")</f>
        <v/>
      </c>
    </row>
    <row r="479" ht="15" customHeight="1" s="195">
      <c r="A479" s="334" t="n"/>
      <c r="B479" s="334" t="n"/>
      <c r="C479" s="334" t="n"/>
      <c r="D479" s="334" t="n"/>
      <c r="E479" s="334" t="n"/>
      <c r="F479" s="334" t="n"/>
      <c r="G479" s="334" t="n"/>
      <c r="H479" s="334" t="n"/>
      <c r="I479" s="332">
        <f>IFERROR(VLOOKUP(TEXT(H479,"0"),IPRESS!$A$3:$B$212,2,0),"")</f>
        <v/>
      </c>
      <c r="J479" s="334" t="n"/>
      <c r="K479" s="332">
        <f>IFERROR(VLOOKUP(TEXT(O479,"0"),CONDUCTORES!$A$3:$G$54,7,0),"")</f>
        <v/>
      </c>
      <c r="L479" s="334" t="n"/>
      <c r="M479" s="334" t="n"/>
      <c r="N479" s="333">
        <f>IFERROR(IF(L479*M479=0,"",L479*M479),"")</f>
        <v/>
      </c>
      <c r="O479" s="334" t="n"/>
      <c r="P479" s="332">
        <f>IFERROR(VLOOKUP(TEXT(O479,"0"),CONDUCTORES!$A$3:$G$54,2,0),"")</f>
        <v/>
      </c>
      <c r="Q479" s="332">
        <f>IFERROR(VLOOKUP(TEXT(O479,"0"),CONDUCTORES!$A$3:$H$54,6,0),"")</f>
        <v/>
      </c>
      <c r="R479" s="334" t="n"/>
      <c r="S479" s="334" t="n"/>
      <c r="T479" s="334" t="n"/>
      <c r="U479" s="334" t="n"/>
      <c r="V479" s="334" t="n"/>
      <c r="W479" s="334" t="n"/>
      <c r="X479" s="334" t="n"/>
      <c r="Y479" s="334" t="n"/>
      <c r="Z479" s="375">
        <f>IF(AND(G479&lt;&gt;"",R479&lt;&gt;"",V479&lt;&gt;"",W479&lt;&gt;""),"COMPLETADO","OBSERVADO")</f>
        <v/>
      </c>
    </row>
    <row r="480" ht="15" customHeight="1" s="195">
      <c r="A480" s="280" t="n"/>
      <c r="B480" s="280" t="n"/>
      <c r="C480" s="280" t="n"/>
      <c r="D480" s="280" t="n"/>
      <c r="E480" s="280" t="n"/>
      <c r="F480" s="280" t="n"/>
      <c r="G480" s="280" t="n"/>
      <c r="H480" s="280" t="n"/>
      <c r="I480" s="332">
        <f>IFERROR(VLOOKUP(TEXT(H480,"0"),IPRESS!$A$3:$B$212,2,0),"")</f>
        <v/>
      </c>
      <c r="J480" s="280" t="n"/>
      <c r="K480" s="332">
        <f>IFERROR(VLOOKUP(TEXT(O480,"0"),CONDUCTORES!$A$3:$G$54,7,0),"")</f>
        <v/>
      </c>
      <c r="L480" s="280" t="n"/>
      <c r="M480" s="280" t="n"/>
      <c r="N480" s="333">
        <f>IFERROR(IF(L480*M480=0,"",L480*M480),"")</f>
        <v/>
      </c>
      <c r="O480" s="280" t="n"/>
      <c r="P480" s="332">
        <f>IFERROR(VLOOKUP(TEXT(O480,"0"),CONDUCTORES!$A$3:$G$54,2,0),"")</f>
        <v/>
      </c>
      <c r="Q480" s="332">
        <f>IFERROR(VLOOKUP(TEXT(O480,"0"),CONDUCTORES!$A$3:$H$54,6,0),"")</f>
        <v/>
      </c>
      <c r="R480" s="280" t="n"/>
      <c r="S480" s="280" t="n"/>
      <c r="T480" s="280" t="n"/>
      <c r="U480" s="280" t="n"/>
      <c r="V480" s="280" t="n"/>
      <c r="W480" s="280" t="n"/>
      <c r="X480" s="280" t="n"/>
      <c r="Y480" s="280" t="n"/>
      <c r="Z480" s="375">
        <f>IF(AND(G480&lt;&gt;"",R480&lt;&gt;"",V480&lt;&gt;"",W480&lt;&gt;""),"COMPLETADO","OBSERVADO")</f>
        <v/>
      </c>
    </row>
    <row r="481" ht="15" customHeight="1" s="195">
      <c r="A481" s="334" t="n"/>
      <c r="B481" s="334" t="n"/>
      <c r="C481" s="334" t="n"/>
      <c r="D481" s="334" t="n"/>
      <c r="E481" s="334" t="n"/>
      <c r="F481" s="334" t="n"/>
      <c r="G481" s="334" t="n"/>
      <c r="H481" s="334" t="n"/>
      <c r="I481" s="332">
        <f>IFERROR(VLOOKUP(TEXT(H481,"0"),IPRESS!$A$3:$B$212,2,0),"")</f>
        <v/>
      </c>
      <c r="J481" s="334" t="n"/>
      <c r="K481" s="332">
        <f>IFERROR(VLOOKUP(TEXT(O481,"0"),CONDUCTORES!$A$3:$G$54,7,0),"")</f>
        <v/>
      </c>
      <c r="L481" s="334" t="n"/>
      <c r="M481" s="334" t="n"/>
      <c r="N481" s="333">
        <f>IFERROR(IF(L481*M481=0,"",L481*M481),"")</f>
        <v/>
      </c>
      <c r="O481" s="334" t="n"/>
      <c r="P481" s="332">
        <f>IFERROR(VLOOKUP(TEXT(O481,"0"),CONDUCTORES!$A$3:$G$54,2,0),"")</f>
        <v/>
      </c>
      <c r="Q481" s="332">
        <f>IFERROR(VLOOKUP(TEXT(O481,"0"),CONDUCTORES!$A$3:$H$54,6,0),"")</f>
        <v/>
      </c>
      <c r="R481" s="334" t="n"/>
      <c r="S481" s="334" t="n"/>
      <c r="T481" s="334" t="n"/>
      <c r="U481" s="334" t="n"/>
      <c r="V481" s="334" t="n"/>
      <c r="W481" s="334" t="n"/>
      <c r="X481" s="334" t="n"/>
      <c r="Y481" s="334" t="n"/>
      <c r="Z481" s="375">
        <f>IF(AND(G481&lt;&gt;"",R481&lt;&gt;"",V481&lt;&gt;"",W481&lt;&gt;""),"COMPLETADO","OBSERVADO")</f>
        <v/>
      </c>
    </row>
    <row r="482" ht="15" customHeight="1" s="195">
      <c r="A482" s="280" t="n"/>
      <c r="B482" s="280" t="n"/>
      <c r="C482" s="280" t="n"/>
      <c r="D482" s="280" t="n"/>
      <c r="E482" s="280" t="n"/>
      <c r="F482" s="280" t="n"/>
      <c r="G482" s="280" t="n"/>
      <c r="H482" s="280" t="n"/>
      <c r="I482" s="332">
        <f>IFERROR(VLOOKUP(TEXT(H482,"0"),IPRESS!$A$3:$B$212,2,0),"")</f>
        <v/>
      </c>
      <c r="J482" s="280" t="n"/>
      <c r="K482" s="332">
        <f>IFERROR(VLOOKUP(TEXT(O482,"0"),CONDUCTORES!$A$3:$G$54,7,0),"")</f>
        <v/>
      </c>
      <c r="L482" s="280" t="n"/>
      <c r="M482" s="280" t="n"/>
      <c r="N482" s="333">
        <f>IFERROR(IF(L482*M482=0,"",L482*M482),"")</f>
        <v/>
      </c>
      <c r="O482" s="280" t="n"/>
      <c r="P482" s="332">
        <f>IFERROR(VLOOKUP(TEXT(O482,"0"),CONDUCTORES!$A$3:$G$54,2,0),"")</f>
        <v/>
      </c>
      <c r="Q482" s="332">
        <f>IFERROR(VLOOKUP(TEXT(O482,"0"),CONDUCTORES!$A$3:$H$54,6,0),"")</f>
        <v/>
      </c>
      <c r="R482" s="280" t="n"/>
      <c r="S482" s="280" t="n"/>
      <c r="T482" s="280" t="n"/>
      <c r="U482" s="280" t="n"/>
      <c r="V482" s="280" t="n"/>
      <c r="W482" s="280" t="n"/>
      <c r="X482" s="280" t="n"/>
      <c r="Y482" s="280" t="n"/>
      <c r="Z482" s="375">
        <f>IF(AND(G482&lt;&gt;"",R482&lt;&gt;"",V482&lt;&gt;"",W482&lt;&gt;""),"COMPLETADO","OBSERVADO")</f>
        <v/>
      </c>
    </row>
    <row r="483" ht="15" customHeight="1" s="195">
      <c r="A483" s="334" t="n"/>
      <c r="B483" s="334" t="n"/>
      <c r="C483" s="334" t="n"/>
      <c r="D483" s="334" t="n"/>
      <c r="E483" s="334" t="n"/>
      <c r="F483" s="334" t="n"/>
      <c r="G483" s="334" t="n"/>
      <c r="H483" s="334" t="n"/>
      <c r="I483" s="332">
        <f>IFERROR(VLOOKUP(TEXT(H483,"0"),IPRESS!$A$3:$B$212,2,0),"")</f>
        <v/>
      </c>
      <c r="J483" s="334" t="n"/>
      <c r="K483" s="332">
        <f>IFERROR(VLOOKUP(TEXT(O483,"0"),CONDUCTORES!$A$3:$G$54,7,0),"")</f>
        <v/>
      </c>
      <c r="L483" s="334" t="n"/>
      <c r="M483" s="334" t="n"/>
      <c r="N483" s="333">
        <f>IFERROR(IF(L483*M483=0,"",L483*M483),"")</f>
        <v/>
      </c>
      <c r="O483" s="334" t="n"/>
      <c r="P483" s="332">
        <f>IFERROR(VLOOKUP(TEXT(O483,"0"),CONDUCTORES!$A$3:$G$54,2,0),"")</f>
        <v/>
      </c>
      <c r="Q483" s="332">
        <f>IFERROR(VLOOKUP(TEXT(O483,"0"),CONDUCTORES!$A$3:$H$54,6,0),"")</f>
        <v/>
      </c>
      <c r="R483" s="334" t="n"/>
      <c r="S483" s="334" t="n"/>
      <c r="T483" s="334" t="n"/>
      <c r="U483" s="334" t="n"/>
      <c r="V483" s="334" t="n"/>
      <c r="W483" s="334" t="n"/>
      <c r="X483" s="334" t="n"/>
      <c r="Y483" s="334" t="n"/>
      <c r="Z483" s="375">
        <f>IF(AND(G483&lt;&gt;"",R483&lt;&gt;"",V483&lt;&gt;"",W483&lt;&gt;""),"COMPLETADO","OBSERVADO")</f>
        <v/>
      </c>
    </row>
    <row r="484" ht="15" customHeight="1" s="195">
      <c r="A484" s="280" t="n"/>
      <c r="B484" s="280" t="n"/>
      <c r="C484" s="280" t="n"/>
      <c r="D484" s="280" t="n"/>
      <c r="E484" s="280" t="n"/>
      <c r="F484" s="280" t="n"/>
      <c r="G484" s="280" t="n"/>
      <c r="H484" s="280" t="n"/>
      <c r="I484" s="332">
        <f>IFERROR(VLOOKUP(TEXT(H484,"0"),IPRESS!$A$3:$B$212,2,0),"")</f>
        <v/>
      </c>
      <c r="J484" s="280" t="n"/>
      <c r="K484" s="332">
        <f>IFERROR(VLOOKUP(TEXT(O484,"0"),CONDUCTORES!$A$3:$G$54,7,0),"")</f>
        <v/>
      </c>
      <c r="L484" s="280" t="n"/>
      <c r="M484" s="280" t="n"/>
      <c r="N484" s="333">
        <f>IFERROR(IF(L484*M484=0,"",L484*M484),"")</f>
        <v/>
      </c>
      <c r="O484" s="280" t="n"/>
      <c r="P484" s="332">
        <f>IFERROR(VLOOKUP(TEXT(O484,"0"),CONDUCTORES!$A$3:$G$54,2,0),"")</f>
        <v/>
      </c>
      <c r="Q484" s="332">
        <f>IFERROR(VLOOKUP(TEXT(O484,"0"),CONDUCTORES!$A$3:$H$54,6,0),"")</f>
        <v/>
      </c>
      <c r="R484" s="280" t="n"/>
      <c r="S484" s="280" t="n"/>
      <c r="T484" s="280" t="n"/>
      <c r="U484" s="280" t="n"/>
      <c r="V484" s="280" t="n"/>
      <c r="W484" s="280" t="n"/>
      <c r="X484" s="280" t="n"/>
      <c r="Y484" s="280" t="n"/>
      <c r="Z484" s="375">
        <f>IF(AND(G484&lt;&gt;"",R484&lt;&gt;"",V484&lt;&gt;"",W484&lt;&gt;""),"COMPLETADO","OBSERVADO")</f>
        <v/>
      </c>
    </row>
    <row r="485" ht="15" customHeight="1" s="195">
      <c r="A485" s="334" t="n"/>
      <c r="B485" s="334" t="n"/>
      <c r="C485" s="334" t="n"/>
      <c r="D485" s="334" t="n"/>
      <c r="E485" s="334" t="n"/>
      <c r="F485" s="334" t="n"/>
      <c r="G485" s="334" t="n"/>
      <c r="H485" s="334" t="n"/>
      <c r="I485" s="332">
        <f>IFERROR(VLOOKUP(TEXT(H485,"0"),IPRESS!$A$3:$B$212,2,0),"")</f>
        <v/>
      </c>
      <c r="J485" s="334" t="n"/>
      <c r="K485" s="332">
        <f>IFERROR(VLOOKUP(TEXT(O485,"0"),CONDUCTORES!$A$3:$G$54,7,0),"")</f>
        <v/>
      </c>
      <c r="L485" s="334" t="n"/>
      <c r="M485" s="334" t="n"/>
      <c r="N485" s="333">
        <f>IFERROR(IF(L485*M485=0,"",L485*M485),"")</f>
        <v/>
      </c>
      <c r="O485" s="334" t="n"/>
      <c r="P485" s="332">
        <f>IFERROR(VLOOKUP(TEXT(O485,"0"),CONDUCTORES!$A$3:$G$54,2,0),"")</f>
        <v/>
      </c>
      <c r="Q485" s="332">
        <f>IFERROR(VLOOKUP(TEXT(O485,"0"),CONDUCTORES!$A$3:$H$54,6,0),"")</f>
        <v/>
      </c>
      <c r="R485" s="334" t="n"/>
      <c r="S485" s="334" t="n"/>
      <c r="T485" s="334" t="n"/>
      <c r="U485" s="334" t="n"/>
      <c r="V485" s="334" t="n"/>
      <c r="W485" s="334" t="n"/>
      <c r="X485" s="334" t="n"/>
      <c r="Y485" s="334" t="n"/>
      <c r="Z485" s="375">
        <f>IF(AND(G485&lt;&gt;"",R485&lt;&gt;"",V485&lt;&gt;"",W485&lt;&gt;""),"COMPLETADO","OBSERVADO")</f>
        <v/>
      </c>
    </row>
    <row r="486" ht="15" customHeight="1" s="195">
      <c r="A486" s="280" t="n"/>
      <c r="B486" s="280" t="n"/>
      <c r="C486" s="280" t="n"/>
      <c r="D486" s="280" t="n"/>
      <c r="E486" s="280" t="n"/>
      <c r="F486" s="280" t="n"/>
      <c r="G486" s="280" t="n"/>
      <c r="H486" s="280" t="n"/>
      <c r="I486" s="332">
        <f>IFERROR(VLOOKUP(TEXT(H486,"0"),IPRESS!$A$3:$B$212,2,0),"")</f>
        <v/>
      </c>
      <c r="J486" s="280" t="n"/>
      <c r="K486" s="332">
        <f>IFERROR(VLOOKUP(TEXT(O486,"0"),CONDUCTORES!$A$3:$G$54,7,0),"")</f>
        <v/>
      </c>
      <c r="L486" s="280" t="n"/>
      <c r="M486" s="280" t="n"/>
      <c r="N486" s="333">
        <f>IFERROR(IF(L486*M486=0,"",L486*M486),"")</f>
        <v/>
      </c>
      <c r="O486" s="280" t="n"/>
      <c r="P486" s="332">
        <f>IFERROR(VLOOKUP(TEXT(O486,"0"),CONDUCTORES!$A$3:$G$54,2,0),"")</f>
        <v/>
      </c>
      <c r="Q486" s="332">
        <f>IFERROR(VLOOKUP(TEXT(O486,"0"),CONDUCTORES!$A$3:$H$54,6,0),"")</f>
        <v/>
      </c>
      <c r="R486" s="280" t="n"/>
      <c r="S486" s="280" t="n"/>
      <c r="T486" s="280" t="n"/>
      <c r="U486" s="280" t="n"/>
      <c r="V486" s="280" t="n"/>
      <c r="W486" s="280" t="n"/>
      <c r="X486" s="280" t="n"/>
      <c r="Y486" s="280" t="n"/>
      <c r="Z486" s="375">
        <f>IF(AND(G486&lt;&gt;"",R486&lt;&gt;"",V486&lt;&gt;"",W486&lt;&gt;""),"COMPLETADO","OBSERVADO")</f>
        <v/>
      </c>
    </row>
    <row r="487" ht="15" customHeight="1" s="195">
      <c r="A487" s="334" t="n"/>
      <c r="B487" s="334" t="n"/>
      <c r="C487" s="334" t="n"/>
      <c r="D487" s="334" t="n"/>
      <c r="E487" s="334" t="n"/>
      <c r="F487" s="334" t="n"/>
      <c r="G487" s="334" t="n"/>
      <c r="H487" s="334" t="n"/>
      <c r="I487" s="332">
        <f>IFERROR(VLOOKUP(TEXT(H487,"0"),IPRESS!$A$3:$B$212,2,0),"")</f>
        <v/>
      </c>
      <c r="J487" s="334" t="n"/>
      <c r="K487" s="332">
        <f>IFERROR(VLOOKUP(TEXT(O487,"0"),CONDUCTORES!$A$3:$G$54,7,0),"")</f>
        <v/>
      </c>
      <c r="L487" s="334" t="n"/>
      <c r="M487" s="334" t="n"/>
      <c r="N487" s="333">
        <f>IFERROR(IF(L487*M487=0,"",L487*M487),"")</f>
        <v/>
      </c>
      <c r="O487" s="334" t="n"/>
      <c r="P487" s="332">
        <f>IFERROR(VLOOKUP(TEXT(O487,"0"),CONDUCTORES!$A$3:$G$54,2,0),"")</f>
        <v/>
      </c>
      <c r="Q487" s="332">
        <f>IFERROR(VLOOKUP(TEXT(O487,"0"),CONDUCTORES!$A$3:$H$54,6,0),"")</f>
        <v/>
      </c>
      <c r="R487" s="334" t="n"/>
      <c r="S487" s="334" t="n"/>
      <c r="T487" s="334" t="n"/>
      <c r="U487" s="334" t="n"/>
      <c r="V487" s="334" t="n"/>
      <c r="W487" s="334" t="n"/>
      <c r="X487" s="334" t="n"/>
      <c r="Y487" s="334" t="n"/>
      <c r="Z487" s="375">
        <f>IF(AND(G487&lt;&gt;"",R487&lt;&gt;"",V487&lt;&gt;"",W487&lt;&gt;""),"COMPLETADO","OBSERVADO")</f>
        <v/>
      </c>
    </row>
    <row r="488" ht="15" customHeight="1" s="195">
      <c r="A488" s="280" t="n"/>
      <c r="B488" s="280" t="n"/>
      <c r="C488" s="280" t="n"/>
      <c r="D488" s="280" t="n"/>
      <c r="E488" s="280" t="n"/>
      <c r="F488" s="280" t="n"/>
      <c r="G488" s="280" t="n"/>
      <c r="H488" s="280" t="n"/>
      <c r="I488" s="332">
        <f>IFERROR(VLOOKUP(TEXT(H488,"0"),IPRESS!$A$3:$B$212,2,0),"")</f>
        <v/>
      </c>
      <c r="J488" s="280" t="n"/>
      <c r="K488" s="332">
        <f>IFERROR(VLOOKUP(TEXT(O488,"0"),CONDUCTORES!$A$3:$G$54,7,0),"")</f>
        <v/>
      </c>
      <c r="L488" s="280" t="n"/>
      <c r="M488" s="280" t="n"/>
      <c r="N488" s="333">
        <f>IFERROR(IF(L488*M488=0,"",L488*M488),"")</f>
        <v/>
      </c>
      <c r="O488" s="280" t="n"/>
      <c r="P488" s="332">
        <f>IFERROR(VLOOKUP(TEXT(O488,"0"),CONDUCTORES!$A$3:$G$54,2,0),"")</f>
        <v/>
      </c>
      <c r="Q488" s="332">
        <f>IFERROR(VLOOKUP(TEXT(O488,"0"),CONDUCTORES!$A$3:$H$54,6,0),"")</f>
        <v/>
      </c>
      <c r="R488" s="280" t="n"/>
      <c r="S488" s="280" t="n"/>
      <c r="T488" s="280" t="n"/>
      <c r="U488" s="280" t="n"/>
      <c r="V488" s="280" t="n"/>
      <c r="W488" s="280" t="n"/>
      <c r="X488" s="280" t="n"/>
      <c r="Y488" s="280" t="n"/>
      <c r="Z488" s="375">
        <f>IF(AND(G488&lt;&gt;"",R488&lt;&gt;"",V488&lt;&gt;"",W488&lt;&gt;""),"COMPLETADO","OBSERVADO")</f>
        <v/>
      </c>
    </row>
    <row r="489" ht="15" customHeight="1" s="195">
      <c r="A489" s="334" t="n"/>
      <c r="B489" s="334" t="n"/>
      <c r="C489" s="334" t="n"/>
      <c r="D489" s="334" t="n"/>
      <c r="E489" s="334" t="n"/>
      <c r="F489" s="334" t="n"/>
      <c r="G489" s="334" t="n"/>
      <c r="H489" s="334" t="n"/>
      <c r="I489" s="332">
        <f>IFERROR(VLOOKUP(TEXT(H489,"0"),IPRESS!$A$3:$B$212,2,0),"")</f>
        <v/>
      </c>
      <c r="J489" s="334" t="n"/>
      <c r="K489" s="332">
        <f>IFERROR(VLOOKUP(TEXT(O489,"0"),CONDUCTORES!$A$3:$G$54,7,0),"")</f>
        <v/>
      </c>
      <c r="L489" s="334" t="n"/>
      <c r="M489" s="334" t="n"/>
      <c r="N489" s="333">
        <f>IFERROR(IF(L489*M489=0,"",L489*M489),"")</f>
        <v/>
      </c>
      <c r="O489" s="334" t="n"/>
      <c r="P489" s="332">
        <f>IFERROR(VLOOKUP(TEXT(O489,"0"),CONDUCTORES!$A$3:$G$54,2,0),"")</f>
        <v/>
      </c>
      <c r="Q489" s="332">
        <f>IFERROR(VLOOKUP(TEXT(O489,"0"),CONDUCTORES!$A$3:$H$54,6,0),"")</f>
        <v/>
      </c>
      <c r="R489" s="334" t="n"/>
      <c r="S489" s="334" t="n"/>
      <c r="T489" s="334" t="n"/>
      <c r="U489" s="334" t="n"/>
      <c r="V489" s="334" t="n"/>
      <c r="W489" s="334" t="n"/>
      <c r="X489" s="334" t="n"/>
      <c r="Y489" s="334" t="n"/>
      <c r="Z489" s="375">
        <f>IF(AND(G489&lt;&gt;"",R489&lt;&gt;"",V489&lt;&gt;"",W489&lt;&gt;""),"COMPLETADO","OBSERVADO")</f>
        <v/>
      </c>
    </row>
    <row r="490" ht="15" customHeight="1" s="195">
      <c r="A490" s="280" t="n"/>
      <c r="B490" s="280" t="n"/>
      <c r="C490" s="280" t="n"/>
      <c r="D490" s="280" t="n"/>
      <c r="E490" s="280" t="n"/>
      <c r="F490" s="280" t="n"/>
      <c r="G490" s="280" t="n"/>
      <c r="H490" s="280" t="n"/>
      <c r="I490" s="332">
        <f>IFERROR(VLOOKUP(TEXT(H490,"0"),IPRESS!$A$3:$B$212,2,0),"")</f>
        <v/>
      </c>
      <c r="J490" s="280" t="n"/>
      <c r="K490" s="332">
        <f>IFERROR(VLOOKUP(TEXT(O490,"0"),CONDUCTORES!$A$3:$G$54,7,0),"")</f>
        <v/>
      </c>
      <c r="L490" s="280" t="n"/>
      <c r="M490" s="280" t="n"/>
      <c r="N490" s="333">
        <f>IFERROR(IF(L490*M490=0,"",L490*M490),"")</f>
        <v/>
      </c>
      <c r="O490" s="280" t="n"/>
      <c r="P490" s="332">
        <f>IFERROR(VLOOKUP(TEXT(O490,"0"),CONDUCTORES!$A$3:$G$54,2,0),"")</f>
        <v/>
      </c>
      <c r="Q490" s="332">
        <f>IFERROR(VLOOKUP(TEXT(O490,"0"),CONDUCTORES!$A$3:$H$54,6,0),"")</f>
        <v/>
      </c>
      <c r="R490" s="280" t="n"/>
      <c r="S490" s="280" t="n"/>
      <c r="T490" s="280" t="n"/>
      <c r="U490" s="280" t="n"/>
      <c r="V490" s="280" t="n"/>
      <c r="W490" s="280" t="n"/>
      <c r="X490" s="280" t="n"/>
      <c r="Y490" s="280" t="n"/>
      <c r="Z490" s="375">
        <f>IF(AND(G490&lt;&gt;"",R490&lt;&gt;"",V490&lt;&gt;"",W490&lt;&gt;""),"COMPLETADO","OBSERVADO")</f>
        <v/>
      </c>
    </row>
    <row r="491" ht="15" customHeight="1" s="195">
      <c r="A491" s="334" t="n"/>
      <c r="B491" s="334" t="n"/>
      <c r="C491" s="334" t="n"/>
      <c r="D491" s="334" t="n"/>
      <c r="E491" s="334" t="n"/>
      <c r="F491" s="334" t="n"/>
      <c r="G491" s="334" t="n"/>
      <c r="H491" s="334" t="n"/>
      <c r="I491" s="332">
        <f>IFERROR(VLOOKUP(TEXT(H491,"0"),IPRESS!$A$3:$B$212,2,0),"")</f>
        <v/>
      </c>
      <c r="J491" s="334" t="n"/>
      <c r="K491" s="332">
        <f>IFERROR(VLOOKUP(TEXT(O491,"0"),CONDUCTORES!$A$3:$G$54,7,0),"")</f>
        <v/>
      </c>
      <c r="L491" s="334" t="n"/>
      <c r="M491" s="334" t="n"/>
      <c r="N491" s="333">
        <f>IFERROR(IF(L491*M491=0,"",L491*M491),"")</f>
        <v/>
      </c>
      <c r="O491" s="334" t="n"/>
      <c r="P491" s="332">
        <f>IFERROR(VLOOKUP(TEXT(O491,"0"),CONDUCTORES!$A$3:$G$54,2,0),"")</f>
        <v/>
      </c>
      <c r="Q491" s="332">
        <f>IFERROR(VLOOKUP(TEXT(O491,"0"),CONDUCTORES!$A$3:$H$54,6,0),"")</f>
        <v/>
      </c>
      <c r="R491" s="334" t="n"/>
      <c r="S491" s="334" t="n"/>
      <c r="T491" s="334" t="n"/>
      <c r="U491" s="334" t="n"/>
      <c r="V491" s="334" t="n"/>
      <c r="W491" s="334" t="n"/>
      <c r="X491" s="334" t="n"/>
      <c r="Y491" s="334" t="n"/>
      <c r="Z491" s="375">
        <f>IF(AND(G491&lt;&gt;"",R491&lt;&gt;"",V491&lt;&gt;"",W491&lt;&gt;""),"COMPLETADO","OBSERVADO")</f>
        <v/>
      </c>
    </row>
    <row r="492" ht="15" customHeight="1" s="195">
      <c r="A492" s="280" t="n"/>
      <c r="B492" s="280" t="n"/>
      <c r="C492" s="280" t="n"/>
      <c r="D492" s="280" t="n"/>
      <c r="E492" s="280" t="n"/>
      <c r="F492" s="280" t="n"/>
      <c r="G492" s="280" t="n"/>
      <c r="H492" s="280" t="n"/>
      <c r="I492" s="332">
        <f>IFERROR(VLOOKUP(TEXT(H492,"0"),IPRESS!$A$3:$B$212,2,0),"")</f>
        <v/>
      </c>
      <c r="J492" s="280" t="n"/>
      <c r="K492" s="332">
        <f>IFERROR(VLOOKUP(TEXT(O492,"0"),CONDUCTORES!$A$3:$G$54,7,0),"")</f>
        <v/>
      </c>
      <c r="L492" s="280" t="n"/>
      <c r="M492" s="280" t="n"/>
      <c r="N492" s="333">
        <f>IFERROR(IF(L492*M492=0,"",L492*M492),"")</f>
        <v/>
      </c>
      <c r="O492" s="280" t="n"/>
      <c r="P492" s="332">
        <f>IFERROR(VLOOKUP(TEXT(O492,"0"),CONDUCTORES!$A$3:$G$54,2,0),"")</f>
        <v/>
      </c>
      <c r="Q492" s="332">
        <f>IFERROR(VLOOKUP(TEXT(O492,"0"),CONDUCTORES!$A$3:$H$54,6,0),"")</f>
        <v/>
      </c>
      <c r="R492" s="280" t="n"/>
      <c r="S492" s="280" t="n"/>
      <c r="T492" s="280" t="n"/>
      <c r="U492" s="280" t="n"/>
      <c r="V492" s="280" t="n"/>
      <c r="W492" s="280" t="n"/>
      <c r="X492" s="280" t="n"/>
      <c r="Y492" s="280" t="n"/>
      <c r="Z492" s="375">
        <f>IF(AND(G492&lt;&gt;"",R492&lt;&gt;"",V492&lt;&gt;"",W492&lt;&gt;""),"COMPLETADO","OBSERVADO")</f>
        <v/>
      </c>
    </row>
    <row r="493" ht="15" customHeight="1" s="195">
      <c r="A493" s="334" t="n"/>
      <c r="B493" s="334" t="n"/>
      <c r="C493" s="334" t="n"/>
      <c r="D493" s="334" t="n"/>
      <c r="E493" s="334" t="n"/>
      <c r="F493" s="334" t="n"/>
      <c r="G493" s="334" t="n"/>
      <c r="H493" s="334" t="n"/>
      <c r="I493" s="332">
        <f>IFERROR(VLOOKUP(TEXT(H493,"0"),IPRESS!$A$3:$B$212,2,0),"")</f>
        <v/>
      </c>
      <c r="J493" s="334" t="n"/>
      <c r="K493" s="332">
        <f>IFERROR(VLOOKUP(TEXT(O493,"0"),CONDUCTORES!$A$3:$G$54,7,0),"")</f>
        <v/>
      </c>
      <c r="L493" s="334" t="n"/>
      <c r="M493" s="334" t="n"/>
      <c r="N493" s="333">
        <f>IFERROR(IF(L493*M493=0,"",L493*M493),"")</f>
        <v/>
      </c>
      <c r="O493" s="334" t="n"/>
      <c r="P493" s="332">
        <f>IFERROR(VLOOKUP(TEXT(O493,"0"),CONDUCTORES!$A$3:$G$54,2,0),"")</f>
        <v/>
      </c>
      <c r="Q493" s="332">
        <f>IFERROR(VLOOKUP(TEXT(O493,"0"),CONDUCTORES!$A$3:$H$54,6,0),"")</f>
        <v/>
      </c>
      <c r="R493" s="334" t="n"/>
      <c r="S493" s="334" t="n"/>
      <c r="T493" s="334" t="n"/>
      <c r="U493" s="334" t="n"/>
      <c r="V493" s="334" t="n"/>
      <c r="W493" s="334" t="n"/>
      <c r="X493" s="334" t="n"/>
      <c r="Y493" s="334" t="n"/>
      <c r="Z493" s="375">
        <f>IF(AND(G493&lt;&gt;"",R493&lt;&gt;"",V493&lt;&gt;"",W493&lt;&gt;""),"COMPLETADO","OBSERVADO")</f>
        <v/>
      </c>
    </row>
    <row r="494" ht="15" customHeight="1" s="195">
      <c r="A494" s="280" t="n"/>
      <c r="B494" s="280" t="n"/>
      <c r="C494" s="280" t="n"/>
      <c r="D494" s="280" t="n"/>
      <c r="E494" s="280" t="n"/>
      <c r="F494" s="280" t="n"/>
      <c r="G494" s="280" t="n"/>
      <c r="H494" s="280" t="n"/>
      <c r="I494" s="332">
        <f>IFERROR(VLOOKUP(TEXT(H494,"0"),IPRESS!$A$3:$B$212,2,0),"")</f>
        <v/>
      </c>
      <c r="J494" s="280" t="n"/>
      <c r="K494" s="332">
        <f>IFERROR(VLOOKUP(TEXT(O494,"0"),CONDUCTORES!$A$3:$G$54,7,0),"")</f>
        <v/>
      </c>
      <c r="L494" s="280" t="n"/>
      <c r="M494" s="280" t="n"/>
      <c r="N494" s="333">
        <f>IFERROR(IF(L494*M494=0,"",L494*M494),"")</f>
        <v/>
      </c>
      <c r="O494" s="280" t="n"/>
      <c r="P494" s="332">
        <f>IFERROR(VLOOKUP(TEXT(O494,"0"),CONDUCTORES!$A$3:$G$54,2,0),"")</f>
        <v/>
      </c>
      <c r="Q494" s="332">
        <f>IFERROR(VLOOKUP(TEXT(O494,"0"),CONDUCTORES!$A$3:$H$54,6,0),"")</f>
        <v/>
      </c>
      <c r="R494" s="280" t="n"/>
      <c r="S494" s="280" t="n"/>
      <c r="T494" s="280" t="n"/>
      <c r="U494" s="280" t="n"/>
      <c r="V494" s="280" t="n"/>
      <c r="W494" s="280" t="n"/>
      <c r="X494" s="280" t="n"/>
      <c r="Y494" s="280" t="n"/>
      <c r="Z494" s="375">
        <f>IF(AND(G494&lt;&gt;"",R494&lt;&gt;"",V494&lt;&gt;"",W494&lt;&gt;""),"COMPLETADO","OBSERVADO")</f>
        <v/>
      </c>
    </row>
    <row r="495" ht="15" customHeight="1" s="195">
      <c r="A495" s="334" t="n"/>
      <c r="B495" s="334" t="n"/>
      <c r="C495" s="334" t="n"/>
      <c r="D495" s="334" t="n"/>
      <c r="E495" s="334" t="n"/>
      <c r="F495" s="334" t="n"/>
      <c r="G495" s="334" t="n"/>
      <c r="H495" s="334" t="n"/>
      <c r="I495" s="332">
        <f>IFERROR(VLOOKUP(TEXT(H495,"0"),IPRESS!$A$3:$B$212,2,0),"")</f>
        <v/>
      </c>
      <c r="J495" s="334" t="n"/>
      <c r="K495" s="332">
        <f>IFERROR(VLOOKUP(TEXT(O495,"0"),CONDUCTORES!$A$3:$G$54,7,0),"")</f>
        <v/>
      </c>
      <c r="L495" s="334" t="n"/>
      <c r="M495" s="334" t="n"/>
      <c r="N495" s="333">
        <f>IFERROR(IF(L495*M495=0,"",L495*M495),"")</f>
        <v/>
      </c>
      <c r="O495" s="334" t="n"/>
      <c r="P495" s="332">
        <f>IFERROR(VLOOKUP(TEXT(O495,"0"),CONDUCTORES!$A$3:$G$54,2,0),"")</f>
        <v/>
      </c>
      <c r="Q495" s="332">
        <f>IFERROR(VLOOKUP(TEXT(O495,"0"),CONDUCTORES!$A$3:$H$54,6,0),"")</f>
        <v/>
      </c>
      <c r="R495" s="334" t="n"/>
      <c r="S495" s="334" t="n"/>
      <c r="T495" s="334" t="n"/>
      <c r="U495" s="334" t="n"/>
      <c r="V495" s="334" t="n"/>
      <c r="W495" s="334" t="n"/>
      <c r="X495" s="334" t="n"/>
      <c r="Y495" s="334" t="n"/>
      <c r="Z495" s="375">
        <f>IF(AND(G495&lt;&gt;"",R495&lt;&gt;"",V495&lt;&gt;"",W495&lt;&gt;""),"COMPLETADO","OBSERVADO")</f>
        <v/>
      </c>
    </row>
    <row r="496" ht="15" customHeight="1" s="195">
      <c r="A496" s="280" t="n"/>
      <c r="B496" s="280" t="n"/>
      <c r="C496" s="280" t="n"/>
      <c r="D496" s="280" t="n"/>
      <c r="E496" s="280" t="n"/>
      <c r="F496" s="280" t="n"/>
      <c r="G496" s="280" t="n"/>
      <c r="H496" s="280" t="n"/>
      <c r="I496" s="332">
        <f>IFERROR(VLOOKUP(TEXT(H496,"0"),IPRESS!$A$3:$B$212,2,0),"")</f>
        <v/>
      </c>
      <c r="J496" s="280" t="n"/>
      <c r="K496" s="332">
        <f>IFERROR(VLOOKUP(TEXT(O496,"0"),CONDUCTORES!$A$3:$G$54,7,0),"")</f>
        <v/>
      </c>
      <c r="L496" s="280" t="n"/>
      <c r="M496" s="280" t="n"/>
      <c r="N496" s="333">
        <f>IFERROR(IF(L496*M496=0,"",L496*M496),"")</f>
        <v/>
      </c>
      <c r="O496" s="280" t="n"/>
      <c r="P496" s="332">
        <f>IFERROR(VLOOKUP(TEXT(O496,"0"),CONDUCTORES!$A$3:$G$54,2,0),"")</f>
        <v/>
      </c>
      <c r="Q496" s="332">
        <f>IFERROR(VLOOKUP(TEXT(O496,"0"),CONDUCTORES!$A$3:$H$54,6,0),"")</f>
        <v/>
      </c>
      <c r="R496" s="280" t="n"/>
      <c r="S496" s="280" t="n"/>
      <c r="T496" s="280" t="n"/>
      <c r="U496" s="280" t="n"/>
      <c r="V496" s="280" t="n"/>
      <c r="W496" s="280" t="n"/>
      <c r="X496" s="280" t="n"/>
      <c r="Y496" s="280" t="n"/>
      <c r="Z496" s="375">
        <f>IF(AND(G496&lt;&gt;"",R496&lt;&gt;"",V496&lt;&gt;"",W496&lt;&gt;""),"COMPLETADO","OBSERVADO")</f>
        <v/>
      </c>
    </row>
    <row r="497" ht="15" customHeight="1" s="195">
      <c r="A497" s="334" t="n"/>
      <c r="B497" s="334" t="n"/>
      <c r="C497" s="334" t="n"/>
      <c r="D497" s="334" t="n"/>
      <c r="E497" s="334" t="n"/>
      <c r="F497" s="334" t="n"/>
      <c r="G497" s="334" t="n"/>
      <c r="H497" s="334" t="n"/>
      <c r="I497" s="332">
        <f>IFERROR(VLOOKUP(TEXT(H497,"0"),IPRESS!$A$3:$B$212,2,0),"")</f>
        <v/>
      </c>
      <c r="J497" s="334" t="n"/>
      <c r="K497" s="332">
        <f>IFERROR(VLOOKUP(TEXT(O497,"0"),CONDUCTORES!$A$3:$G$54,7,0),"")</f>
        <v/>
      </c>
      <c r="L497" s="334" t="n"/>
      <c r="M497" s="334" t="n"/>
      <c r="N497" s="333">
        <f>IFERROR(IF(L497*M497=0,"",L497*M497),"")</f>
        <v/>
      </c>
      <c r="O497" s="334" t="n"/>
      <c r="P497" s="332">
        <f>IFERROR(VLOOKUP(TEXT(O497,"0"),CONDUCTORES!$A$3:$G$54,2,0),"")</f>
        <v/>
      </c>
      <c r="Q497" s="332">
        <f>IFERROR(VLOOKUP(TEXT(O497,"0"),CONDUCTORES!$A$3:$H$54,6,0),"")</f>
        <v/>
      </c>
      <c r="R497" s="334" t="n"/>
      <c r="S497" s="334" t="n"/>
      <c r="T497" s="334" t="n"/>
      <c r="U497" s="334" t="n"/>
      <c r="V497" s="334" t="n"/>
      <c r="W497" s="334" t="n"/>
      <c r="X497" s="334" t="n"/>
      <c r="Y497" s="334" t="n"/>
      <c r="Z497" s="375">
        <f>IF(AND(G497&lt;&gt;"",R497&lt;&gt;"",V497&lt;&gt;"",W497&lt;&gt;""),"COMPLETADO","OBSERVADO")</f>
        <v/>
      </c>
    </row>
    <row r="498" ht="15" customHeight="1" s="195">
      <c r="A498" s="280" t="n"/>
      <c r="B498" s="280" t="n"/>
      <c r="C498" s="280" t="n"/>
      <c r="D498" s="280" t="n"/>
      <c r="E498" s="280" t="n"/>
      <c r="F498" s="280" t="n"/>
      <c r="G498" s="280" t="n"/>
      <c r="H498" s="280" t="n"/>
      <c r="I498" s="332">
        <f>IFERROR(VLOOKUP(TEXT(H498,"0"),IPRESS!$A$3:$B$212,2,0),"")</f>
        <v/>
      </c>
      <c r="J498" s="280" t="n"/>
      <c r="K498" s="332">
        <f>IFERROR(VLOOKUP(TEXT(O498,"0"),CONDUCTORES!$A$3:$G$54,7,0),"")</f>
        <v/>
      </c>
      <c r="L498" s="280" t="n"/>
      <c r="M498" s="280" t="n"/>
      <c r="N498" s="333">
        <f>IFERROR(IF(L498*M498=0,"",L498*M498),"")</f>
        <v/>
      </c>
      <c r="O498" s="280" t="n"/>
      <c r="P498" s="332">
        <f>IFERROR(VLOOKUP(TEXT(O498,"0"),CONDUCTORES!$A$3:$G$54,2,0),"")</f>
        <v/>
      </c>
      <c r="Q498" s="332">
        <f>IFERROR(VLOOKUP(TEXT(O498,"0"),CONDUCTORES!$A$3:$H$54,6,0),"")</f>
        <v/>
      </c>
      <c r="R498" s="280" t="n"/>
      <c r="S498" s="280" t="n"/>
      <c r="T498" s="280" t="n"/>
      <c r="U498" s="280" t="n"/>
      <c r="V498" s="280" t="n"/>
      <c r="W498" s="280" t="n"/>
      <c r="X498" s="280" t="n"/>
      <c r="Y498" s="280" t="n"/>
      <c r="Z498" s="375">
        <f>IF(AND(G498&lt;&gt;"",R498&lt;&gt;"",V498&lt;&gt;"",W498&lt;&gt;""),"COMPLETADO","OBSERVADO")</f>
        <v/>
      </c>
    </row>
    <row r="499" ht="15" customHeight="1" s="195">
      <c r="A499" s="334" t="n"/>
      <c r="B499" s="334" t="n"/>
      <c r="C499" s="334" t="n"/>
      <c r="D499" s="334" t="n"/>
      <c r="E499" s="334" t="n"/>
      <c r="F499" s="334" t="n"/>
      <c r="G499" s="334" t="n"/>
      <c r="H499" s="334" t="n"/>
      <c r="I499" s="332">
        <f>IFERROR(VLOOKUP(TEXT(H499,"0"),IPRESS!$A$3:$B$212,2,0),"")</f>
        <v/>
      </c>
      <c r="J499" s="334" t="n"/>
      <c r="K499" s="332">
        <f>IFERROR(VLOOKUP(TEXT(O499,"0"),CONDUCTORES!$A$3:$G$54,7,0),"")</f>
        <v/>
      </c>
      <c r="L499" s="334" t="n"/>
      <c r="M499" s="334" t="n"/>
      <c r="N499" s="333">
        <f>IFERROR(IF(L499*M499=0,"",L499*M499),"")</f>
        <v/>
      </c>
      <c r="O499" s="334" t="n"/>
      <c r="P499" s="332">
        <f>IFERROR(VLOOKUP(TEXT(O499,"0"),CONDUCTORES!$A$3:$G$54,2,0),"")</f>
        <v/>
      </c>
      <c r="Q499" s="332">
        <f>IFERROR(VLOOKUP(TEXT(O499,"0"),CONDUCTORES!$A$3:$H$54,6,0),"")</f>
        <v/>
      </c>
      <c r="R499" s="334" t="n"/>
      <c r="S499" s="334" t="n"/>
      <c r="T499" s="334" t="n"/>
      <c r="U499" s="334" t="n"/>
      <c r="V499" s="334" t="n"/>
      <c r="W499" s="334" t="n"/>
      <c r="X499" s="334" t="n"/>
      <c r="Y499" s="334" t="n"/>
      <c r="Z499" s="375">
        <f>IF(AND(G499&lt;&gt;"",R499&lt;&gt;"",V499&lt;&gt;"",W499&lt;&gt;""),"COMPLETADO","OBSERVADO")</f>
        <v/>
      </c>
    </row>
    <row r="500" ht="15" customHeight="1" s="195">
      <c r="A500" s="280" t="n"/>
      <c r="B500" s="280" t="n"/>
      <c r="C500" s="280" t="n"/>
      <c r="D500" s="280" t="n"/>
      <c r="E500" s="280" t="n"/>
      <c r="F500" s="280" t="n"/>
      <c r="G500" s="280" t="n"/>
      <c r="H500" s="280" t="n"/>
      <c r="I500" s="332">
        <f>IFERROR(VLOOKUP(TEXT(H500,"0"),IPRESS!$A$3:$B$212,2,0),"")</f>
        <v/>
      </c>
      <c r="J500" s="280" t="n"/>
      <c r="K500" s="332">
        <f>IFERROR(VLOOKUP(TEXT(O500,"0"),CONDUCTORES!$A$3:$G$54,7,0),"")</f>
        <v/>
      </c>
      <c r="L500" s="280" t="n"/>
      <c r="M500" s="280" t="n"/>
      <c r="N500" s="333">
        <f>IFERROR(IF(L500*M500=0,"",L500*M500),"")</f>
        <v/>
      </c>
      <c r="O500" s="280" t="n"/>
      <c r="P500" s="332">
        <f>IFERROR(VLOOKUP(TEXT(O500,"0"),CONDUCTORES!$A$3:$G$54,2,0),"")</f>
        <v/>
      </c>
      <c r="Q500" s="332">
        <f>IFERROR(VLOOKUP(TEXT(O500,"0"),CONDUCTORES!$A$3:$H$54,6,0),"")</f>
        <v/>
      </c>
      <c r="R500" s="280" t="n"/>
      <c r="S500" s="280" t="n"/>
      <c r="T500" s="280" t="n"/>
      <c r="U500" s="280" t="n"/>
      <c r="V500" s="280" t="n"/>
      <c r="W500" s="280" t="n"/>
      <c r="X500" s="280" t="n"/>
      <c r="Y500" s="280" t="n"/>
      <c r="Z500" s="375">
        <f>IF(AND(G500&lt;&gt;"",R500&lt;&gt;"",V500&lt;&gt;"",W500&lt;&gt;""),"COMPLETADO","OBSERVADO")</f>
        <v/>
      </c>
    </row>
    <row r="501" ht="15" customHeight="1" s="195">
      <c r="A501" s="334" t="n"/>
      <c r="B501" s="334" t="n"/>
      <c r="C501" s="334" t="n"/>
      <c r="D501" s="334" t="n"/>
      <c r="E501" s="334" t="n"/>
      <c r="F501" s="334" t="n"/>
      <c r="G501" s="334" t="n"/>
      <c r="H501" s="334" t="n"/>
      <c r="I501" s="332">
        <f>IFERROR(VLOOKUP(TEXT(H501,"0"),IPRESS!$A$3:$B$212,2,0),"")</f>
        <v/>
      </c>
      <c r="J501" s="334" t="n"/>
      <c r="K501" s="332">
        <f>IFERROR(VLOOKUP(TEXT(O501,"0"),CONDUCTORES!$A$3:$G$54,7,0),"")</f>
        <v/>
      </c>
      <c r="L501" s="334" t="n"/>
      <c r="M501" s="334" t="n"/>
      <c r="N501" s="333">
        <f>IFERROR(IF(L501*M501=0,"",L501*M501),"")</f>
        <v/>
      </c>
      <c r="O501" s="334" t="n"/>
      <c r="P501" s="332">
        <f>IFERROR(VLOOKUP(TEXT(O501,"0"),CONDUCTORES!$A$3:$G$54,2,0),"")</f>
        <v/>
      </c>
      <c r="Q501" s="332">
        <f>IFERROR(VLOOKUP(TEXT(O501,"0"),CONDUCTORES!$A$3:$H$54,6,0),"")</f>
        <v/>
      </c>
      <c r="R501" s="334" t="n"/>
      <c r="S501" s="334" t="n"/>
      <c r="T501" s="334" t="n"/>
      <c r="U501" s="334" t="n"/>
      <c r="V501" s="334" t="n"/>
      <c r="W501" s="334" t="n"/>
      <c r="X501" s="334" t="n"/>
      <c r="Y501" s="334" t="n"/>
      <c r="Z501" s="375">
        <f>IF(AND(G501&lt;&gt;"",R501&lt;&gt;"",V501&lt;&gt;"",W501&lt;&gt;""),"COMPLETADO","OBSERVADO")</f>
        <v/>
      </c>
    </row>
    <row r="502" ht="15" customHeight="1" s="195">
      <c r="A502" s="280" t="n"/>
      <c r="B502" s="280" t="n"/>
      <c r="C502" s="280" t="n"/>
      <c r="D502" s="280" t="n"/>
      <c r="E502" s="280" t="n"/>
      <c r="F502" s="280" t="n"/>
      <c r="G502" s="280" t="n"/>
      <c r="H502" s="280" t="n"/>
      <c r="I502" s="332">
        <f>IFERROR(VLOOKUP(TEXT(H502,"0"),IPRESS!$A$3:$B$212,2,0),"")</f>
        <v/>
      </c>
      <c r="J502" s="280" t="n"/>
      <c r="K502" s="332">
        <f>IFERROR(VLOOKUP(TEXT(O502,"0"),CONDUCTORES!$A$3:$G$54,7,0),"")</f>
        <v/>
      </c>
      <c r="L502" s="280" t="n"/>
      <c r="M502" s="280" t="n"/>
      <c r="N502" s="333">
        <f>IFERROR(IF(L502*M502=0,"",L502*M502),"")</f>
        <v/>
      </c>
      <c r="O502" s="280" t="n"/>
      <c r="P502" s="332">
        <f>IFERROR(VLOOKUP(TEXT(O502,"0"),CONDUCTORES!$A$3:$G$54,2,0),"")</f>
        <v/>
      </c>
      <c r="Q502" s="332">
        <f>IFERROR(VLOOKUP(TEXT(O502,"0"),CONDUCTORES!$A$3:$H$54,6,0),"")</f>
        <v/>
      </c>
      <c r="R502" s="280" t="n"/>
      <c r="S502" s="280" t="n"/>
      <c r="T502" s="280" t="n"/>
      <c r="U502" s="280" t="n"/>
      <c r="V502" s="280" t="n"/>
      <c r="W502" s="280" t="n"/>
      <c r="X502" s="280" t="n"/>
      <c r="Y502" s="280" t="n"/>
      <c r="Z502" s="375">
        <f>IF(AND(G502&lt;&gt;"",R502&lt;&gt;"",V502&lt;&gt;"",W502&lt;&gt;""),"COMPLETADO","OBSERVADO")</f>
        <v/>
      </c>
    </row>
    <row r="503" ht="15" customHeight="1" s="195">
      <c r="A503" s="334" t="n"/>
      <c r="B503" s="334" t="n"/>
      <c r="C503" s="334" t="n"/>
      <c r="D503" s="334" t="n"/>
      <c r="E503" s="334" t="n"/>
      <c r="F503" s="334" t="n"/>
      <c r="G503" s="334" t="n"/>
      <c r="H503" s="334" t="n"/>
      <c r="I503" s="332">
        <f>IFERROR(VLOOKUP(TEXT(H503,"0"),IPRESS!$A$3:$B$212,2,0),"")</f>
        <v/>
      </c>
      <c r="J503" s="334" t="n"/>
      <c r="K503" s="332">
        <f>IFERROR(VLOOKUP(TEXT(O503,"0"),CONDUCTORES!$A$3:$G$54,7,0),"")</f>
        <v/>
      </c>
      <c r="L503" s="334" t="n"/>
      <c r="M503" s="334" t="n"/>
      <c r="N503" s="333">
        <f>IFERROR(IF(L503*M503=0,"",L503*M503),"")</f>
        <v/>
      </c>
      <c r="O503" s="334" t="n"/>
      <c r="P503" s="332">
        <f>IFERROR(VLOOKUP(TEXT(O503,"0"),CONDUCTORES!$A$3:$G$54,2,0),"")</f>
        <v/>
      </c>
      <c r="Q503" s="332">
        <f>IFERROR(VLOOKUP(TEXT(O503,"0"),CONDUCTORES!$A$3:$H$54,6,0),"")</f>
        <v/>
      </c>
      <c r="R503" s="334" t="n"/>
      <c r="S503" s="334" t="n"/>
      <c r="T503" s="334" t="n"/>
      <c r="U503" s="334" t="n"/>
      <c r="V503" s="334" t="n"/>
      <c r="W503" s="334" t="n"/>
      <c r="X503" s="334" t="n"/>
      <c r="Y503" s="334" t="n"/>
      <c r="Z503" s="375">
        <f>IF(AND(G503&lt;&gt;"",R503&lt;&gt;"",V503&lt;&gt;"",W503&lt;&gt;""),"COMPLETADO","OBSERVADO")</f>
        <v/>
      </c>
    </row>
    <row r="504" ht="15" customHeight="1" s="195">
      <c r="A504" s="280" t="n"/>
      <c r="B504" s="280" t="n"/>
      <c r="C504" s="280" t="n"/>
      <c r="D504" s="280" t="n"/>
      <c r="E504" s="280" t="n"/>
      <c r="F504" s="280" t="n"/>
      <c r="G504" s="280" t="n"/>
      <c r="H504" s="280" t="n"/>
      <c r="I504" s="332">
        <f>IFERROR(VLOOKUP(TEXT(H504,"0"),IPRESS!$A$3:$B$212,2,0),"")</f>
        <v/>
      </c>
      <c r="J504" s="280" t="n"/>
      <c r="K504" s="332">
        <f>IFERROR(VLOOKUP(TEXT(O504,"0"),CONDUCTORES!$A$3:$G$54,7,0),"")</f>
        <v/>
      </c>
      <c r="L504" s="280" t="n"/>
      <c r="M504" s="280" t="n"/>
      <c r="N504" s="333">
        <f>IFERROR(IF(L504*M504=0,"",L504*M504),"")</f>
        <v/>
      </c>
      <c r="O504" s="280" t="n"/>
      <c r="P504" s="332">
        <f>IFERROR(VLOOKUP(TEXT(O504,"0"),CONDUCTORES!$A$3:$G$54,2,0),"")</f>
        <v/>
      </c>
      <c r="Q504" s="332">
        <f>IFERROR(VLOOKUP(TEXT(O504,"0"),CONDUCTORES!$A$3:$H$54,6,0),"")</f>
        <v/>
      </c>
      <c r="R504" s="280" t="n"/>
      <c r="S504" s="280" t="n"/>
      <c r="T504" s="280" t="n"/>
      <c r="U504" s="280" t="n"/>
      <c r="V504" s="280" t="n"/>
      <c r="W504" s="280" t="n"/>
      <c r="X504" s="280" t="n"/>
      <c r="Y504" s="280" t="n"/>
      <c r="Z504" s="375">
        <f>IF(AND(G504&lt;&gt;"",R504&lt;&gt;"",V504&lt;&gt;"",W504&lt;&gt;""),"COMPLETADO","OBSERVADO")</f>
        <v/>
      </c>
    </row>
    <row r="505" ht="15" customHeight="1" s="195">
      <c r="A505" s="334" t="n"/>
      <c r="B505" s="334" t="n"/>
      <c r="C505" s="334" t="n"/>
      <c r="D505" s="334" t="n"/>
      <c r="E505" s="334" t="n"/>
      <c r="F505" s="334" t="n"/>
      <c r="G505" s="334" t="n"/>
      <c r="H505" s="334" t="n"/>
      <c r="I505" s="332">
        <f>IFERROR(VLOOKUP(TEXT(H505,"0"),IPRESS!$A$3:$B$212,2,0),"")</f>
        <v/>
      </c>
      <c r="J505" s="334" t="n"/>
      <c r="K505" s="332">
        <f>IFERROR(VLOOKUP(TEXT(O505,"0"),CONDUCTORES!$A$3:$G$54,7,0),"")</f>
        <v/>
      </c>
      <c r="L505" s="334" t="n"/>
      <c r="M505" s="334" t="n"/>
      <c r="N505" s="333">
        <f>IFERROR(IF(L505*M505=0,"",L505*M505),"")</f>
        <v/>
      </c>
      <c r="O505" s="334" t="n"/>
      <c r="P505" s="332">
        <f>IFERROR(VLOOKUP(TEXT(O505,"0"),CONDUCTORES!$A$3:$G$54,2,0),"")</f>
        <v/>
      </c>
      <c r="Q505" s="332">
        <f>IFERROR(VLOOKUP(TEXT(O505,"0"),CONDUCTORES!$A$3:$H$54,6,0),"")</f>
        <v/>
      </c>
      <c r="R505" s="334" t="n"/>
      <c r="S505" s="334" t="n"/>
      <c r="T505" s="334" t="n"/>
      <c r="U505" s="334" t="n"/>
      <c r="V505" s="334" t="n"/>
      <c r="W505" s="334" t="n"/>
      <c r="X505" s="334" t="n"/>
      <c r="Y505" s="334" t="n"/>
      <c r="Z505" s="375">
        <f>IF(AND(G505&lt;&gt;"",R505&lt;&gt;"",V505&lt;&gt;"",W505&lt;&gt;""),"COMPLETADO","OBSERVADO")</f>
        <v/>
      </c>
    </row>
    <row r="506" ht="21.75" customHeight="1" s="195">
      <c r="A506" s="346" t="inlineStr">
        <is>
          <t>TOTALES DEL MES</t>
        </is>
      </c>
      <c r="M506" s="320">
        <f>SUM(M6:M505)</f>
        <v/>
      </c>
      <c r="N506" s="320">
        <f>SUM(N6:N505)</f>
        <v/>
      </c>
    </row>
    <row r="507" ht="15.75" customHeight="1" s="195"/>
    <row r="508" ht="15.75" customHeight="1" s="195"/>
    <row r="509" ht="15.75" customHeight="1" s="195"/>
    <row r="510" ht="15.75" customHeight="1" s="195"/>
    <row r="511" ht="15.75" customHeight="1" s="195"/>
    <row r="512" ht="15.75" customHeight="1" s="195"/>
    <row r="513" ht="15.75" customHeight="1" s="195"/>
    <row r="514" ht="15.75" customHeight="1" s="195"/>
    <row r="515" ht="15.75" customHeight="1" s="195"/>
    <row r="516" ht="15.75" customHeight="1" s="195"/>
    <row r="517" ht="15.75" customHeight="1" s="195"/>
    <row r="518" ht="15.75" customHeight="1" s="195"/>
    <row r="519" ht="15.75" customHeight="1" s="195"/>
    <row r="520" ht="15.75" customHeight="1" s="195"/>
    <row r="521" ht="15.75" customHeight="1" s="195"/>
    <row r="522" ht="15.75" customHeight="1" s="195"/>
    <row r="523" ht="15.75" customHeight="1" s="195"/>
    <row r="524" ht="15.75" customHeight="1" s="195"/>
    <row r="525" ht="15.75" customHeight="1" s="195"/>
    <row r="526" ht="15.75" customHeight="1" s="195"/>
    <row r="527" ht="15.75" customHeight="1" s="195"/>
    <row r="528" ht="15.75" customHeight="1" s="195"/>
    <row r="529" ht="15.75" customHeight="1" s="195"/>
    <row r="530" ht="15.75" customHeight="1" s="195"/>
    <row r="531" ht="15.75" customHeight="1" s="195"/>
    <row r="532" ht="15.75" customHeight="1" s="195"/>
    <row r="533" ht="15.75" customHeight="1" s="195"/>
    <row r="534" ht="15.75" customHeight="1" s="195"/>
    <row r="535" ht="15.75" customHeight="1" s="195"/>
    <row r="536" ht="15.75" customHeight="1" s="195"/>
    <row r="537" ht="15.75" customHeight="1" s="195"/>
    <row r="538" ht="15.75" customHeight="1" s="195"/>
    <row r="539" ht="15.75" customHeight="1" s="195"/>
    <row r="540" ht="15.75" customHeight="1" s="195"/>
    <row r="541" ht="15.75" customHeight="1" s="195"/>
    <row r="542" ht="15.75" customHeight="1" s="195"/>
    <row r="543" ht="15.75" customHeight="1" s="195"/>
    <row r="544" ht="15.75" customHeight="1" s="195"/>
    <row r="545" ht="15.75" customHeight="1" s="195"/>
    <row r="546" ht="15.75" customHeight="1" s="195"/>
    <row r="547" ht="15.75" customHeight="1" s="195"/>
    <row r="548" ht="15.75" customHeight="1" s="195"/>
    <row r="549" ht="15.75" customHeight="1" s="195"/>
    <row r="550" ht="15.75" customHeight="1" s="195"/>
    <row r="551" ht="15.75" customHeight="1" s="195"/>
    <row r="552" ht="15.75" customHeight="1" s="195"/>
    <row r="553" ht="15.75" customHeight="1" s="195"/>
    <row r="554" ht="15.75" customHeight="1" s="195"/>
    <row r="555" ht="15.75" customHeight="1" s="195"/>
    <row r="556" ht="15.75" customHeight="1" s="195"/>
    <row r="557" ht="15.75" customHeight="1" s="195"/>
    <row r="558" ht="15.75" customHeight="1" s="195"/>
    <row r="559" ht="15.75" customHeight="1" s="195"/>
    <row r="560" ht="15.75" customHeight="1" s="195"/>
    <row r="561" ht="15.75" customHeight="1" s="195"/>
    <row r="562" ht="15.75" customHeight="1" s="195"/>
    <row r="563" ht="15.75" customHeight="1" s="195"/>
    <row r="564" ht="15.75" customHeight="1" s="195"/>
    <row r="565" ht="15.75" customHeight="1" s="195"/>
    <row r="566" ht="15.75" customHeight="1" s="195"/>
    <row r="567" ht="15.75" customHeight="1" s="195"/>
    <row r="568" ht="15.75" customHeight="1" s="195"/>
    <row r="569" ht="15.75" customHeight="1" s="195"/>
    <row r="570" ht="15.75" customHeight="1" s="195"/>
    <row r="571" ht="15.75" customHeight="1" s="195"/>
    <row r="572" ht="15.75" customHeight="1" s="195"/>
    <row r="573" ht="15.75" customHeight="1" s="195"/>
    <row r="574" ht="15.75" customHeight="1" s="195"/>
    <row r="575" ht="15.75" customHeight="1" s="195"/>
    <row r="576" ht="15.75" customHeight="1" s="195"/>
    <row r="577" ht="15.75" customHeight="1" s="195"/>
    <row r="578" ht="15.75" customHeight="1" s="195"/>
    <row r="579" ht="15.75" customHeight="1" s="195"/>
    <row r="580" ht="15.75" customHeight="1" s="195"/>
    <row r="581" ht="15.75" customHeight="1" s="195"/>
    <row r="582" ht="15.75" customHeight="1" s="195"/>
    <row r="583" ht="15.75" customHeight="1" s="195"/>
    <row r="584" ht="15.75" customHeight="1" s="195"/>
    <row r="585" ht="15.75" customHeight="1" s="195"/>
    <row r="586" ht="15.75" customHeight="1" s="195"/>
    <row r="587" ht="15.75" customHeight="1" s="195"/>
    <row r="588" ht="15.75" customHeight="1" s="195"/>
    <row r="589" ht="15.75" customHeight="1" s="195"/>
    <row r="590" ht="15.75" customHeight="1" s="195"/>
    <row r="591" ht="15.75" customHeight="1" s="195"/>
    <row r="592" ht="15.75" customHeight="1" s="195"/>
    <row r="593" ht="15.75" customHeight="1" s="195"/>
    <row r="594" ht="15.75" customHeight="1" s="195"/>
    <row r="595" ht="15.75" customHeight="1" s="195"/>
    <row r="596" ht="15.75" customHeight="1" s="195"/>
    <row r="597" ht="15.75" customHeight="1" s="195"/>
    <row r="598" ht="15.75" customHeight="1" s="195"/>
    <row r="599" ht="15.75" customHeight="1" s="195"/>
    <row r="600" ht="15.75" customHeight="1" s="195"/>
    <row r="601" ht="15.75" customHeight="1" s="195"/>
    <row r="602" ht="15.75" customHeight="1" s="195"/>
    <row r="603" ht="15.75" customHeight="1" s="195"/>
    <row r="604" ht="15.75" customHeight="1" s="195"/>
    <row r="605" ht="15.75" customHeight="1" s="195"/>
    <row r="606" ht="15.75" customHeight="1" s="195"/>
    <row r="607" ht="15.75" customHeight="1" s="195"/>
    <row r="608" ht="15.75" customHeight="1" s="195"/>
    <row r="609" ht="15.75" customHeight="1" s="195"/>
    <row r="610" ht="15.75" customHeight="1" s="195"/>
    <row r="611" ht="15.75" customHeight="1" s="195"/>
    <row r="612" ht="15.75" customHeight="1" s="195"/>
    <row r="613" ht="15.75" customHeight="1" s="195"/>
    <row r="614" ht="15.75" customHeight="1" s="195"/>
    <row r="615" ht="15.75" customHeight="1" s="195"/>
    <row r="616" ht="15.75" customHeight="1" s="195"/>
    <row r="617" ht="15.75" customHeight="1" s="195"/>
    <row r="618" ht="15.75" customHeight="1" s="195"/>
    <row r="619" ht="15.75" customHeight="1" s="195"/>
    <row r="620" ht="15.75" customHeight="1" s="195"/>
    <row r="621" ht="15.75" customHeight="1" s="195"/>
    <row r="622" ht="15.75" customHeight="1" s="195"/>
    <row r="623" ht="15.75" customHeight="1" s="195"/>
    <row r="624" ht="15.75" customHeight="1" s="195"/>
    <row r="625" ht="15.75" customHeight="1" s="195"/>
    <row r="626" ht="15.75" customHeight="1" s="195"/>
    <row r="627" ht="15.75" customHeight="1" s="195"/>
    <row r="628" ht="15.75" customHeight="1" s="195"/>
    <row r="629" ht="15.75" customHeight="1" s="195"/>
    <row r="630" ht="15.75" customHeight="1" s="195"/>
    <row r="631" ht="15.75" customHeight="1" s="195"/>
    <row r="632" ht="15.75" customHeight="1" s="195"/>
    <row r="633" ht="15.75" customHeight="1" s="195"/>
    <row r="634" ht="15.75" customHeight="1" s="195"/>
    <row r="635" ht="15.75" customHeight="1" s="195"/>
    <row r="636" ht="15.75" customHeight="1" s="195"/>
    <row r="637" ht="15.75" customHeight="1" s="195"/>
    <row r="638" ht="15.75" customHeight="1" s="195"/>
    <row r="639" ht="15.75" customHeight="1" s="195"/>
    <row r="640" ht="15.75" customHeight="1" s="195"/>
    <row r="641" ht="15.75" customHeight="1" s="195"/>
    <row r="642" ht="15.75" customHeight="1" s="195"/>
    <row r="643" ht="15.75" customHeight="1" s="195"/>
    <row r="644" ht="15.75" customHeight="1" s="195"/>
    <row r="645" ht="15.75" customHeight="1" s="195"/>
    <row r="646" ht="15.75" customHeight="1" s="195"/>
    <row r="647" ht="15.75" customHeight="1" s="195"/>
    <row r="648" ht="15.75" customHeight="1" s="195"/>
    <row r="649" ht="15.75" customHeight="1" s="195"/>
    <row r="650" ht="15.75" customHeight="1" s="195"/>
    <row r="651" ht="15.75" customHeight="1" s="195"/>
    <row r="652" ht="15.75" customHeight="1" s="195"/>
    <row r="653" ht="15.75" customHeight="1" s="195"/>
    <row r="654" ht="15.75" customHeight="1" s="195"/>
    <row r="655" ht="15.75" customHeight="1" s="195"/>
    <row r="656" ht="15.75" customHeight="1" s="195"/>
    <row r="657" ht="15.75" customHeight="1" s="195"/>
    <row r="658" ht="15.75" customHeight="1" s="195"/>
    <row r="659" ht="15.75" customHeight="1" s="195"/>
    <row r="660" ht="15.75" customHeight="1" s="195"/>
    <row r="661" ht="15.75" customHeight="1" s="195"/>
    <row r="662" ht="15.75" customHeight="1" s="195"/>
    <row r="663" ht="15.75" customHeight="1" s="195"/>
    <row r="664" ht="15.75" customHeight="1" s="195"/>
    <row r="665" ht="15.75" customHeight="1" s="195"/>
    <row r="666" ht="15.75" customHeight="1" s="195"/>
    <row r="667" ht="15.75" customHeight="1" s="195"/>
    <row r="668" ht="15.75" customHeight="1" s="195"/>
    <row r="669" ht="15.75" customHeight="1" s="195"/>
    <row r="670" ht="15.75" customHeight="1" s="195"/>
    <row r="671" ht="15.75" customHeight="1" s="195"/>
    <row r="672" ht="15.75" customHeight="1" s="195"/>
    <row r="673" ht="15.75" customHeight="1" s="195"/>
    <row r="674" ht="15.75" customHeight="1" s="195"/>
    <row r="675" ht="15.75" customHeight="1" s="195"/>
    <row r="676" ht="15.75" customHeight="1" s="195"/>
    <row r="677" ht="15.75" customHeight="1" s="195"/>
    <row r="678" ht="15.75" customHeight="1" s="195"/>
    <row r="679" ht="15.75" customHeight="1" s="195"/>
    <row r="680" ht="15.75" customHeight="1" s="195"/>
    <row r="681" ht="15.75" customHeight="1" s="195"/>
    <row r="682" ht="15.75" customHeight="1" s="195"/>
    <row r="683" ht="15.75" customHeight="1" s="195"/>
    <row r="684" ht="15.75" customHeight="1" s="195"/>
    <row r="685" ht="15.75" customHeight="1" s="195"/>
    <row r="686" ht="15.75" customHeight="1" s="195"/>
    <row r="687" ht="15.75" customHeight="1" s="195"/>
    <row r="688" ht="15.75" customHeight="1" s="195"/>
    <row r="689" ht="15.75" customHeight="1" s="195"/>
    <row r="690" ht="15.75" customHeight="1" s="195"/>
    <row r="691" ht="15.75" customHeight="1" s="195"/>
    <row r="692" ht="15.75" customHeight="1" s="195"/>
    <row r="693" ht="15.75" customHeight="1" s="195"/>
    <row r="694" ht="15.75" customHeight="1" s="195"/>
    <row r="695" ht="15.75" customHeight="1" s="195"/>
    <row r="696" ht="15.75" customHeight="1" s="195"/>
    <row r="697" ht="15.75" customHeight="1" s="195"/>
    <row r="698" ht="15.75" customHeight="1" s="195"/>
    <row r="699" ht="15.75" customHeight="1" s="195"/>
    <row r="700" ht="15.75" customHeight="1" s="195"/>
    <row r="701" ht="15.75" customHeight="1" s="195"/>
    <row r="702" ht="15.75" customHeight="1" s="195"/>
    <row r="703" ht="15.75" customHeight="1" s="195"/>
    <row r="704" ht="15.75" customHeight="1" s="195"/>
    <row r="705" ht="15.75" customHeight="1" s="195"/>
    <row r="706" ht="15.75" customHeight="1" s="195"/>
    <row r="707" ht="15.75" customHeight="1" s="195"/>
    <row r="708" ht="15.75" customHeight="1" s="195"/>
    <row r="709" ht="15.75" customHeight="1" s="195"/>
    <row r="710" ht="15.75" customHeight="1" s="195"/>
    <row r="711" ht="15.75" customHeight="1" s="195"/>
    <row r="712" ht="15.75" customHeight="1" s="195"/>
    <row r="713" ht="15.75" customHeight="1" s="195"/>
    <row r="714" ht="15.75" customHeight="1" s="195"/>
    <row r="715" ht="15.75" customHeight="1" s="195"/>
    <row r="716" ht="15.75" customHeight="1" s="195"/>
    <row r="717" ht="15.75" customHeight="1" s="195"/>
    <row r="718" ht="15.75" customHeight="1" s="195"/>
    <row r="719" ht="15.75" customHeight="1" s="195"/>
    <row r="720" ht="15.75" customHeight="1" s="195"/>
    <row r="721" ht="15.75" customHeight="1" s="195"/>
    <row r="722" ht="15.75" customHeight="1" s="195"/>
    <row r="723" ht="15.75" customHeight="1" s="195"/>
    <row r="724" ht="15.75" customHeight="1" s="195"/>
    <row r="725" ht="15.75" customHeight="1" s="195"/>
    <row r="726" ht="15.75" customHeight="1" s="195"/>
    <row r="727" ht="15.75" customHeight="1" s="195"/>
    <row r="728" ht="15.75" customHeight="1" s="195"/>
    <row r="729" ht="15.75" customHeight="1" s="195"/>
    <row r="730" ht="15.75" customHeight="1" s="195"/>
    <row r="731" ht="15.75" customHeight="1" s="195"/>
    <row r="732" ht="15.75" customHeight="1" s="195"/>
    <row r="733" ht="15.75" customHeight="1" s="195"/>
    <row r="734" ht="15.75" customHeight="1" s="195"/>
    <row r="735" ht="15.75" customHeight="1" s="195"/>
    <row r="736" ht="15.75" customHeight="1" s="195"/>
    <row r="737" ht="15.75" customHeight="1" s="195"/>
    <row r="738" ht="15.75" customHeight="1" s="195"/>
    <row r="739" ht="15.75" customHeight="1" s="195"/>
    <row r="740" ht="15.75" customHeight="1" s="195"/>
    <row r="741" ht="15.75" customHeight="1" s="195"/>
    <row r="742" ht="15.75" customHeight="1" s="195"/>
    <row r="743" ht="15.75" customHeight="1" s="195"/>
    <row r="744" ht="15.75" customHeight="1" s="195"/>
    <row r="745" ht="15.75" customHeight="1" s="195"/>
    <row r="746" ht="15.75" customHeight="1" s="195"/>
    <row r="747" ht="15.75" customHeight="1" s="195"/>
    <row r="748" ht="15.75" customHeight="1" s="195"/>
    <row r="749" ht="15.75" customHeight="1" s="195"/>
    <row r="750" ht="15.75" customHeight="1" s="195"/>
    <row r="751" ht="15.75" customHeight="1" s="195"/>
    <row r="752" ht="15.75" customHeight="1" s="195"/>
    <row r="753" ht="15.75" customHeight="1" s="195"/>
    <row r="754" ht="15.75" customHeight="1" s="195"/>
    <row r="755" ht="15.75" customHeight="1" s="195"/>
    <row r="756" ht="15.75" customHeight="1" s="195"/>
    <row r="757" ht="15.75" customHeight="1" s="195"/>
    <row r="758" ht="15.75" customHeight="1" s="195"/>
    <row r="759" ht="15.75" customHeight="1" s="195"/>
    <row r="760" ht="15.75" customHeight="1" s="195"/>
    <row r="761" ht="15.75" customHeight="1" s="195"/>
    <row r="762" ht="15.75" customHeight="1" s="195"/>
    <row r="763" ht="15.75" customHeight="1" s="195"/>
    <row r="764" ht="15.75" customHeight="1" s="195"/>
    <row r="765" ht="15.75" customHeight="1" s="195"/>
    <row r="766" ht="15.75" customHeight="1" s="195"/>
    <row r="767" ht="15.75" customHeight="1" s="195"/>
    <row r="768" ht="15.75" customHeight="1" s="195"/>
    <row r="769" ht="15.75" customHeight="1" s="195"/>
    <row r="770" ht="15.75" customHeight="1" s="195"/>
    <row r="771" ht="15.75" customHeight="1" s="195"/>
    <row r="772" ht="15.75" customHeight="1" s="195"/>
    <row r="773" ht="15.75" customHeight="1" s="195"/>
    <row r="774" ht="15.75" customHeight="1" s="195"/>
    <row r="775" ht="15.75" customHeight="1" s="195"/>
    <row r="776" ht="15.75" customHeight="1" s="195"/>
    <row r="777" ht="15.75" customHeight="1" s="195"/>
    <row r="778" ht="15.75" customHeight="1" s="195"/>
    <row r="779" ht="15.75" customHeight="1" s="195"/>
    <row r="780" ht="15.75" customHeight="1" s="195"/>
    <row r="781" ht="15.75" customHeight="1" s="195"/>
    <row r="782" ht="15.75" customHeight="1" s="195"/>
    <row r="783" ht="15.75" customHeight="1" s="195"/>
    <row r="784" ht="15.75" customHeight="1" s="195"/>
    <row r="785" ht="15.75" customHeight="1" s="195"/>
    <row r="786" ht="15.75" customHeight="1" s="195"/>
    <row r="787" ht="15.75" customHeight="1" s="195"/>
    <row r="788" ht="15.75" customHeight="1" s="195"/>
    <row r="789" ht="15.75" customHeight="1" s="195"/>
    <row r="790" ht="15.75" customHeight="1" s="195"/>
    <row r="791" ht="15.75" customHeight="1" s="195"/>
    <row r="792" ht="15.75" customHeight="1" s="195"/>
    <row r="793" ht="15.75" customHeight="1" s="195"/>
    <row r="794" ht="15.75" customHeight="1" s="195"/>
    <row r="795" ht="15.75" customHeight="1" s="195"/>
    <row r="796" ht="15.75" customHeight="1" s="195"/>
    <row r="797" ht="15.75" customHeight="1" s="195"/>
    <row r="798" ht="15.75" customHeight="1" s="195"/>
    <row r="799" ht="15.75" customHeight="1" s="195"/>
    <row r="800" ht="15.75" customHeight="1" s="195"/>
    <row r="801" ht="15.75" customHeight="1" s="195"/>
    <row r="802" ht="15.75" customHeight="1" s="195"/>
    <row r="803" ht="15.75" customHeight="1" s="195"/>
    <row r="804" ht="15.75" customHeight="1" s="195"/>
    <row r="805" ht="15.75" customHeight="1" s="195"/>
    <row r="806" ht="15.75" customHeight="1" s="195"/>
    <row r="807" ht="15.75" customHeight="1" s="195"/>
    <row r="808" ht="15.75" customHeight="1" s="195"/>
    <row r="809" ht="15.75" customHeight="1" s="195"/>
    <row r="810" ht="15.75" customHeight="1" s="195"/>
    <row r="811" ht="15.75" customHeight="1" s="195"/>
    <row r="812" ht="15.75" customHeight="1" s="195"/>
    <row r="813" ht="15.75" customHeight="1" s="195"/>
    <row r="814" ht="15.75" customHeight="1" s="195"/>
    <row r="815" ht="15.75" customHeight="1" s="195"/>
    <row r="816" ht="15.75" customHeight="1" s="195"/>
    <row r="817" ht="15.75" customHeight="1" s="195"/>
    <row r="818" ht="15.75" customHeight="1" s="195"/>
    <row r="819" ht="15.75" customHeight="1" s="195"/>
    <row r="820" ht="15.75" customHeight="1" s="195"/>
    <row r="821" ht="15.75" customHeight="1" s="195"/>
    <row r="822" ht="15.75" customHeight="1" s="195"/>
    <row r="823" ht="15.75" customHeight="1" s="195"/>
    <row r="824" ht="15.75" customHeight="1" s="195"/>
    <row r="825" ht="15.75" customHeight="1" s="195"/>
    <row r="826" ht="15.75" customHeight="1" s="195"/>
    <row r="827" ht="15.75" customHeight="1" s="195"/>
    <row r="828" ht="15.75" customHeight="1" s="195"/>
    <row r="829" ht="15.75" customHeight="1" s="195"/>
    <row r="830" ht="15.75" customHeight="1" s="195"/>
    <row r="831" ht="15.75" customHeight="1" s="195"/>
    <row r="832" ht="15.75" customHeight="1" s="195"/>
    <row r="833" ht="15.75" customHeight="1" s="195"/>
    <row r="834" ht="15.75" customHeight="1" s="195"/>
    <row r="835" ht="15.75" customHeight="1" s="195"/>
    <row r="836" ht="15.75" customHeight="1" s="195"/>
    <row r="837" ht="15.75" customHeight="1" s="195"/>
    <row r="838" ht="15.75" customHeight="1" s="195"/>
    <row r="839" ht="15.75" customHeight="1" s="195"/>
    <row r="840" ht="15.75" customHeight="1" s="195"/>
    <row r="841" ht="15.75" customHeight="1" s="195"/>
    <row r="842" ht="15.75" customHeight="1" s="195"/>
    <row r="843" ht="15.75" customHeight="1" s="195"/>
    <row r="844" ht="15.75" customHeight="1" s="195"/>
    <row r="845" ht="15.75" customHeight="1" s="195"/>
    <row r="846" ht="15.75" customHeight="1" s="195"/>
    <row r="847" ht="15.75" customHeight="1" s="195"/>
    <row r="848" ht="15.75" customHeight="1" s="195"/>
    <row r="849" ht="15.75" customHeight="1" s="195"/>
    <row r="850" ht="15.75" customHeight="1" s="195"/>
    <row r="851" ht="15.75" customHeight="1" s="195"/>
    <row r="852" ht="15.75" customHeight="1" s="195"/>
    <row r="853" ht="15.75" customHeight="1" s="195"/>
    <row r="854" ht="15.75" customHeight="1" s="195"/>
    <row r="855" ht="15.75" customHeight="1" s="195"/>
    <row r="856" ht="15.75" customHeight="1" s="195"/>
    <row r="857" ht="15.75" customHeight="1" s="195"/>
    <row r="858" ht="15.75" customHeight="1" s="195"/>
    <row r="859" ht="15.75" customHeight="1" s="195"/>
    <row r="860" ht="15.75" customHeight="1" s="195"/>
    <row r="861" ht="15.75" customHeight="1" s="195"/>
    <row r="862" ht="15.75" customHeight="1" s="195"/>
    <row r="863" ht="15.75" customHeight="1" s="195"/>
    <row r="864" ht="15.75" customHeight="1" s="195"/>
    <row r="865" ht="15.75" customHeight="1" s="195"/>
    <row r="866" ht="15.75" customHeight="1" s="195"/>
    <row r="867" ht="15.75" customHeight="1" s="195"/>
    <row r="868" ht="15.75" customHeight="1" s="195"/>
    <row r="869" ht="15.75" customHeight="1" s="195"/>
    <row r="870" ht="15.75" customHeight="1" s="195"/>
    <row r="871" ht="15.75" customHeight="1" s="195"/>
    <row r="872" ht="15.75" customHeight="1" s="195"/>
    <row r="873" ht="15.75" customHeight="1" s="195"/>
    <row r="874" ht="15.75" customHeight="1" s="195"/>
    <row r="875" ht="15.75" customHeight="1" s="195"/>
    <row r="876" ht="15.75" customHeight="1" s="195"/>
    <row r="877" ht="15.75" customHeight="1" s="195"/>
    <row r="878" ht="15.75" customHeight="1" s="195"/>
    <row r="879" ht="15.75" customHeight="1" s="195"/>
    <row r="880" ht="15.75" customHeight="1" s="195"/>
    <row r="881" ht="15.75" customHeight="1" s="195"/>
    <row r="882" ht="15.75" customHeight="1" s="195"/>
    <row r="883" ht="15.75" customHeight="1" s="195"/>
    <row r="884" ht="15.75" customHeight="1" s="195"/>
    <row r="885" ht="15.75" customHeight="1" s="195"/>
    <row r="886" ht="15.75" customHeight="1" s="195"/>
    <row r="887" ht="15.75" customHeight="1" s="195"/>
    <row r="888" ht="15.75" customHeight="1" s="195"/>
    <row r="889" ht="15.75" customHeight="1" s="195"/>
    <row r="890" ht="15.75" customHeight="1" s="195"/>
    <row r="891" ht="15.75" customHeight="1" s="195"/>
    <row r="892" ht="15.75" customHeight="1" s="195"/>
    <row r="893" ht="15.75" customHeight="1" s="195"/>
    <row r="894" ht="15.75" customHeight="1" s="195"/>
    <row r="895" ht="15.75" customHeight="1" s="195"/>
    <row r="896" ht="15.75" customHeight="1" s="195"/>
    <row r="897" ht="15.75" customHeight="1" s="195"/>
    <row r="898" ht="15.75" customHeight="1" s="195"/>
    <row r="899" ht="15.75" customHeight="1" s="195"/>
    <row r="900" ht="15.75" customHeight="1" s="195"/>
    <row r="901" ht="15.75" customHeight="1" s="195"/>
    <row r="902" ht="15.75" customHeight="1" s="195"/>
    <row r="903" ht="15.75" customHeight="1" s="195"/>
    <row r="904" ht="15.75" customHeight="1" s="195"/>
    <row r="905" ht="15.75" customHeight="1" s="195"/>
    <row r="906" ht="15.75" customHeight="1" s="195"/>
    <row r="907" ht="15.75" customHeight="1" s="195"/>
    <row r="908" ht="15.75" customHeight="1" s="195"/>
    <row r="909" ht="15.75" customHeight="1" s="195"/>
    <row r="910" ht="15.75" customHeight="1" s="195"/>
    <row r="911" ht="15.75" customHeight="1" s="195"/>
    <row r="912" ht="15.75" customHeight="1" s="195"/>
    <row r="913" ht="15.75" customHeight="1" s="195"/>
    <row r="914" ht="15.75" customHeight="1" s="195"/>
    <row r="915" ht="15.75" customHeight="1" s="195"/>
    <row r="916" ht="15.75" customHeight="1" s="195"/>
    <row r="917" ht="15.75" customHeight="1" s="195"/>
    <row r="918" ht="15.75" customHeight="1" s="195"/>
    <row r="919" ht="15.75" customHeight="1" s="195"/>
    <row r="920" ht="15.75" customHeight="1" s="195"/>
    <row r="921" ht="15.75" customHeight="1" s="195"/>
    <row r="922" ht="15.75" customHeight="1" s="195"/>
    <row r="923" ht="15.75" customHeight="1" s="195"/>
    <row r="924" ht="15.75" customHeight="1" s="195"/>
    <row r="925" ht="15.75" customHeight="1" s="195"/>
    <row r="926" ht="15.75" customHeight="1" s="195"/>
    <row r="927" ht="15.75" customHeight="1" s="195"/>
    <row r="928" ht="15.75" customHeight="1" s="195"/>
    <row r="929" ht="15.75" customHeight="1" s="195"/>
    <row r="930" ht="15.75" customHeight="1" s="195"/>
    <row r="931" ht="15.75" customHeight="1" s="195"/>
    <row r="932" ht="15.75" customHeight="1" s="195"/>
    <row r="933" ht="15.75" customHeight="1" s="195"/>
    <row r="934" ht="15.75" customHeight="1" s="195"/>
    <row r="935" ht="15.75" customHeight="1" s="195"/>
    <row r="936" ht="15.75" customHeight="1" s="195"/>
    <row r="937" ht="15.75" customHeight="1" s="195"/>
    <row r="938" ht="15.75" customHeight="1" s="195"/>
    <row r="939" ht="15.75" customHeight="1" s="195"/>
    <row r="940" ht="15.75" customHeight="1" s="195"/>
    <row r="941" ht="15.75" customHeight="1" s="195"/>
    <row r="942" ht="15.75" customHeight="1" s="195"/>
    <row r="943" ht="15.75" customHeight="1" s="195"/>
    <row r="944" ht="15.75" customHeight="1" s="195"/>
    <row r="945" ht="15.75" customHeight="1" s="195"/>
    <row r="946" ht="15.75" customHeight="1" s="195"/>
    <row r="947" ht="15.75" customHeight="1" s="195"/>
    <row r="948" ht="15.75" customHeight="1" s="195"/>
    <row r="949" ht="15.75" customHeight="1" s="195"/>
    <row r="950" ht="15.75" customHeight="1" s="195"/>
    <row r="951" ht="15.75" customHeight="1" s="195"/>
    <row r="952" ht="15.75" customHeight="1" s="195"/>
    <row r="953" ht="15.75" customHeight="1" s="195"/>
    <row r="954" ht="15.75" customHeight="1" s="195"/>
    <row r="955" ht="15.75" customHeight="1" s="195"/>
    <row r="956" ht="15.75" customHeight="1" s="195"/>
    <row r="957" ht="15.75" customHeight="1" s="195"/>
    <row r="958" ht="15.75" customHeight="1" s="195"/>
    <row r="959" ht="15.75" customHeight="1" s="195"/>
    <row r="960" ht="15.75" customHeight="1" s="195"/>
    <row r="961" ht="15.75" customHeight="1" s="195"/>
    <row r="962" ht="15.75" customHeight="1" s="195"/>
    <row r="963" ht="15.75" customHeight="1" s="195"/>
    <row r="964" ht="15.75" customHeight="1" s="195"/>
    <row r="965" ht="15.75" customHeight="1" s="195"/>
    <row r="966" ht="15.75" customHeight="1" s="195"/>
    <row r="967" ht="15.75" customHeight="1" s="195"/>
    <row r="968" ht="15.75" customHeight="1" s="195"/>
    <row r="969" ht="15.75" customHeight="1" s="195"/>
    <row r="970" ht="15.75" customHeight="1" s="195"/>
    <row r="971" ht="15.75" customHeight="1" s="195"/>
    <row r="972" ht="15.75" customHeight="1" s="195"/>
    <row r="973" ht="15.75" customHeight="1" s="195"/>
    <row r="974" ht="15.75" customHeight="1" s="195"/>
    <row r="975" ht="15.75" customHeight="1" s="195"/>
    <row r="976" ht="15.75" customHeight="1" s="195"/>
    <row r="977" ht="15.75" customHeight="1" s="195"/>
    <row r="978" ht="15.75" customHeight="1" s="195"/>
    <row r="979" ht="15.75" customHeight="1" s="195"/>
    <row r="980" ht="15.75" customHeight="1" s="195"/>
    <row r="981" ht="15.75" customHeight="1" s="195"/>
    <row r="982" ht="15.75" customHeight="1" s="195"/>
    <row r="983" ht="15.75" customHeight="1" s="195"/>
    <row r="984" ht="15.75" customHeight="1" s="195"/>
    <row r="985" ht="15.75" customHeight="1" s="195"/>
    <row r="986" ht="15.75" customHeight="1" s="195"/>
    <row r="987" ht="15.75" customHeight="1" s="195"/>
    <row r="988" ht="15.75" customHeight="1" s="195"/>
    <row r="989" ht="15.75" customHeight="1" s="195"/>
    <row r="990" ht="15.75" customHeight="1" s="195"/>
    <row r="991" ht="15.75" customHeight="1" s="195"/>
    <row r="992" ht="15.75" customHeight="1" s="195"/>
    <row r="993" ht="15.75" customHeight="1" s="195"/>
    <row r="994" ht="15.75" customHeight="1" s="195"/>
    <row r="995" ht="15.75" customHeight="1" s="195"/>
    <row r="996" ht="15.75" customHeight="1" s="195"/>
    <row r="997" ht="15.75" customHeight="1" s="195"/>
    <row r="998" ht="15.75" customHeight="1" s="195"/>
    <row r="999" ht="15.75" customHeight="1" s="195"/>
    <row r="1000" ht="15.75" customHeight="1" s="195"/>
  </sheetData>
  <mergeCells count="13">
    <mergeCell ref="D2:F2"/>
    <mergeCell ref="G2:I2"/>
    <mergeCell ref="S2:T2"/>
    <mergeCell ref="J2:L2"/>
    <mergeCell ref="A8:J8"/>
    <mergeCell ref="U2:V2"/>
    <mergeCell ref="A506:G506"/>
    <mergeCell ref="P2:R2"/>
    <mergeCell ref="A1:Y1"/>
    <mergeCell ref="W2:AC2"/>
    <mergeCell ref="A4:Y4"/>
    <mergeCell ref="M2:O2"/>
    <mergeCell ref="A2:C2"/>
  </mergeCells>
  <conditionalFormatting sqref="T6:T505">
    <cfRule type="expression" rank="0" priority="2" equalAverage="0" aboveAverage="0" dxfId="0" text="" percent="0" bottom="0">
      <formula>EXACT(T6,"APROBADO")</formula>
    </cfRule>
    <cfRule type="expression" rank="0" priority="3" equalAverage="0" aboveAverage="0" dxfId="7" text="" percent="0" bottom="0">
      <formula>EXACT(T6,"PENDIENTE")</formula>
    </cfRule>
    <cfRule type="expression" rank="0" priority="4" equalAverage="0" aboveAverage="0" dxfId="0" text="" percent="0" bottom="0">
      <formula>EXACT(T6,"APROBADO")</formula>
    </cfRule>
    <cfRule type="expression" rank="0" priority="5" equalAverage="0" aboveAverage="0" dxfId="7" text="" percent="0" bottom="0">
      <formula>EXACT(T6,"OBSERVADO")</formula>
    </cfRule>
  </conditionalFormatting>
  <conditionalFormatting sqref="K6:K505">
    <cfRule type="expression" rank="0" priority="6" equalAverage="0" aboveAverage="0" dxfId="8" text="" percent="0" bottom="0">
      <formula>EXACT(K6,"GASOLINA")</formula>
    </cfRule>
  </conditionalFormatting>
  <conditionalFormatting sqref="Z6:Z505">
    <cfRule type="expression" rank="0" priority="7" equalAverage="0" aboveAverage="0" dxfId="0" text="" percent="0" bottom="0">
      <formula>EXACT(Z6,"COMPLETADO")</formula>
    </cfRule>
    <cfRule type="expression" rank="0" priority="8" equalAverage="0" aboveAverage="0" dxfId="7" text="" percent="0" bottom="0">
      <formula>EXACT(Z6,"OBSERVADO")</formula>
    </cfRule>
  </conditionalFormatting>
  <conditionalFormatting sqref="T6:T110">
    <cfRule type="expression" rank="0" priority="9" equalAverage="0" aboveAverage="0" dxfId="0" text="" percent="0" bottom="0">
      <formula>EXACT(T6,"APROBADO")</formula>
    </cfRule>
    <cfRule type="expression" rank="0" priority="10" equalAverage="0" aboveAverage="0" dxfId="7" text="" percent="0" bottom="0">
      <formula>EXACT(T6,"OBSERVADO")</formula>
    </cfRule>
  </conditionalFormatting>
  <conditionalFormatting sqref="Z6:Z110">
    <cfRule type="expression" rank="0" priority="11" equalAverage="0" aboveAverage="0" dxfId="0" text="" percent="0" bottom="0">
      <formula>EXACT(Z6,"COMPLETADO")</formula>
    </cfRule>
    <cfRule type="expression" rank="0" priority="12" equalAverage="0" aboveAverage="0" dxfId="7" text="" percent="0" bottom="0">
      <formula>EXACT(Z6,"OBSERVADO")</formula>
    </cfRule>
    <cfRule type="expression" rank="0" priority="13" equalAverage="0" aboveAverage="0" dxfId="0" text="" percent="0" bottom="0">
      <formula>Z6="ENTREGADO"</formula>
    </cfRule>
    <cfRule type="expression" rank="0" priority="14" equalAverage="0" aboveAverage="0" dxfId="7" text="" percent="0" bottom="0">
      <formula>Z6="POR RECOGER"</formula>
    </cfRule>
  </conditionalFormatting>
  <conditionalFormatting sqref="Y6:Y110">
    <cfRule type="expression" rank="0" priority="15" equalAverage="0" aboveAverage="0" dxfId="9" text="" percent="0" bottom="0">
      <formula>Y6&lt;&gt;""</formula>
    </cfRule>
  </conditionalFormatting>
  <dataValidations count="5">
    <dataValidation sqref="Y6:Y110" showDropDown="0" showInputMessage="0" showErrorMessage="0" allowBlank="1" type="list" errorStyle="stop" operator="between">
      <formula1>CONDUCTORES!$H$3:$H$104</formula1>
      <formula2>0</formula2>
    </dataValidation>
    <dataValidation sqref="K6:K505" showDropDown="0" showInputMessage="0" showErrorMessage="0" allowBlank="1" type="list" errorStyle="stop" operator="between">
      <formula1>"PETROLEO,GASOLINA"</formula1>
      <formula2>0</formula2>
    </dataValidation>
    <dataValidation sqref="E6:E7 E9:E505" showDropDown="0" showInputMessage="0" showErrorMessage="0" allowBlank="1" type="list" errorStyle="stop" operator="between">
      <formula1>"DNI,CE,PASAPORTE"</formula1>
      <formula2>0</formula2>
    </dataValidation>
    <dataValidation sqref="T6:T110" showDropDown="0" showInputMessage="0" showErrorMessage="0" allowBlank="1" type="list" errorStyle="stop" operator="between">
      <formula1>"APROBADO,OBSERVADO"</formula1>
      <formula2>0</formula2>
    </dataValidation>
    <dataValidation sqref="T111:T505" showDropDown="0" showInputMessage="1" showErrorMessage="1" allowBlank="1" prompt="Valor no válido - Solo se permite: APROBADO u OBSERVADO" type="list" errorStyle="stop" operator="between">
      <formula1>"APROBADO,OBSERVADO"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C5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baseColWidth="8" defaultColWidth="14.43359375" defaultRowHeight="15" zeroHeight="0" outlineLevelRow="0"/>
  <cols>
    <col width="6" customWidth="1" style="194" min="1" max="1"/>
    <col width="14" customWidth="1" style="194" min="2" max="2"/>
    <col width="8" customWidth="1" style="194" min="3" max="3"/>
    <col width="28" customWidth="1" style="194" min="4" max="4"/>
    <col width="7" customWidth="1" style="194" min="5" max="5"/>
    <col width="14" customWidth="1" style="194" min="6" max="6"/>
    <col width="12" customWidth="1" style="194" min="7" max="7"/>
    <col width="10" customWidth="1" style="194" min="8" max="8"/>
    <col width="30" customWidth="1" style="194" min="9" max="9"/>
    <col width="10" customWidth="1" style="194" min="10" max="10"/>
    <col width="12" customWidth="1" style="194" min="11" max="11"/>
    <col width="10" customWidth="1" style="194" min="12" max="13"/>
    <col width="14" customWidth="1" style="194" min="14" max="15"/>
    <col width="30" customWidth="1" style="194" min="16" max="16"/>
    <col width="12" customWidth="1" style="194" min="17" max="18"/>
    <col width="16" customWidth="1" style="194" min="19" max="19"/>
    <col width="12" customWidth="1" style="194" min="20" max="21"/>
    <col width="14" customWidth="1" style="194" min="22" max="23"/>
    <col width="8" customWidth="1" style="194" min="24" max="24"/>
    <col width="22" customWidth="1" style="194" min="25" max="25"/>
    <col width="14" customWidth="1" style="194" min="26" max="26"/>
    <col width="8.710000000000001" customWidth="1" style="194" min="27" max="29"/>
  </cols>
  <sheetData>
    <row r="1" ht="27.75" customHeight="1" s="195">
      <c r="A1" s="365" t="inlineStr">
        <is>
          <t>REPORTE DE TRASLADO DE PACIENTES SIS DEL MES DE JUNIO 2026 PARA REPOSICION DE COMBUSTIBLE</t>
        </is>
      </c>
      <c r="Z1" s="365" t="n"/>
      <c r="AA1" s="284" t="n"/>
    </row>
    <row r="2" ht="21.75" customHeight="1" s="195">
      <c r="A2" s="318" t="inlineStr">
        <is>
          <t>TOTAL PETROLEO (gal):</t>
        </is>
      </c>
      <c r="D2" s="366">
        <f>IFERROR(SUMPRODUCT((K6:K110="PETROLEO")*ISNUMBER(M6:M110)*M6:M110),0)</f>
        <v/>
      </c>
      <c r="G2" s="318" t="inlineStr">
        <is>
          <t>TOTAL GASOLINA (gal):</t>
        </is>
      </c>
      <c r="J2" s="366">
        <f>IFERROR(SUMPRODUCT((K6:K110="GASOLINA")*ISNUMBER(M6:M110)*M6:M110),0)</f>
        <v/>
      </c>
      <c r="M2" s="318" t="inlineStr">
        <is>
          <t>TOTAL SOLES S/.:</t>
        </is>
      </c>
      <c r="P2" s="367">
        <f>IFERROR(SUMPRODUCT(ISNUMBER(M6:M110)*L6:L110*M6:M110),0)</f>
        <v/>
      </c>
      <c r="S2" s="318" t="inlineStr">
        <is>
          <t>N TRASLADOS:</t>
        </is>
      </c>
      <c r="U2" s="368">
        <f>SUBTOTAL(2,A6:A110)</f>
        <v/>
      </c>
      <c r="W2" s="281" t="n"/>
    </row>
    <row r="3" ht="3.75" customHeight="1" s="195">
      <c r="A3" s="289" t="n"/>
      <c r="B3" s="289" t="n"/>
      <c r="C3" s="289" t="n"/>
      <c r="D3" s="289" t="n"/>
      <c r="E3" s="289" t="n"/>
      <c r="F3" s="289" t="n"/>
      <c r="G3" s="289" t="n"/>
      <c r="H3" s="289" t="n"/>
      <c r="I3" s="289" t="n"/>
      <c r="J3" s="289" t="n"/>
      <c r="K3" s="289" t="n"/>
      <c r="L3" s="289" t="n"/>
      <c r="M3" s="289" t="n"/>
      <c r="N3" s="289" t="n"/>
      <c r="O3" s="289" t="n"/>
      <c r="P3" s="289" t="n"/>
      <c r="Q3" s="289" t="n"/>
      <c r="R3" s="289" t="n"/>
      <c r="S3" s="289" t="n"/>
      <c r="T3" s="289" t="n"/>
      <c r="U3" s="289" t="n"/>
      <c r="V3" s="289" t="n"/>
      <c r="W3" s="289" t="n"/>
      <c r="X3" s="289" t="n"/>
      <c r="Y3" s="289" t="n"/>
      <c r="Z3" s="289" t="n"/>
      <c r="AA3" s="284" t="n"/>
    </row>
    <row r="4" ht="19.5" customHeight="1" s="195">
      <c r="A4" s="369" t="inlineStr">
        <is>
          <t>COLUMNAS EN AZUL = AUTO (no editar) | Ingrese: N, NRO FORMATO, AFILIADO, TIPO DOC, NRO DOC, FECHA TRASLADO, COD RENAES, COD REFERENCIA, DNI CONDUCTOR, PRECIO GAL, GALONES, FECHA ENTREGA, CIE-10, ESTADO FUA, FECHA DIGITACION, OFICIO, O/C, META, OBSERVACION</t>
        </is>
      </c>
      <c r="Z4" s="369" t="n"/>
      <c r="AA4" s="284" t="n"/>
    </row>
    <row r="5" ht="31.5" customHeight="1" s="195">
      <c r="A5" s="370" t="inlineStr">
        <is>
          <t>N</t>
        </is>
      </c>
      <c r="B5" s="370" t="inlineStr">
        <is>
          <t>NRO FORMATO
ATENCION</t>
        </is>
      </c>
      <c r="C5" s="370" t="inlineStr">
        <is>
          <t>UNIDAD
EJECUTORA</t>
        </is>
      </c>
      <c r="D5" s="370" t="inlineStr">
        <is>
          <t>AFILIADO</t>
        </is>
      </c>
      <c r="E5" s="370" t="inlineStr">
        <is>
          <t>TIPO
DOC</t>
        </is>
      </c>
      <c r="F5" s="370" t="inlineStr">
        <is>
          <t>NRO
DOCUMENTO</t>
        </is>
      </c>
      <c r="G5" s="370" t="inlineStr">
        <is>
          <t>FECHA
TRASLADO</t>
        </is>
      </c>
      <c r="H5" s="370" t="inlineStr">
        <is>
          <t>COD
RENAES</t>
        </is>
      </c>
      <c r="I5" s="371" t="inlineStr">
        <is>
          <t>DESCRIPCION
EESS</t>
        </is>
      </c>
      <c r="J5" s="370" t="inlineStr">
        <is>
          <t>COD EESS
REFERENCIA</t>
        </is>
      </c>
      <c r="K5" s="371" t="inlineStr">
        <is>
          <t>TIPO DE
COMBUSTIBLE</t>
        </is>
      </c>
      <c r="L5" s="370" t="inlineStr">
        <is>
          <t>PRECIO
GAL S/.</t>
        </is>
      </c>
      <c r="M5" s="370" t="inlineStr">
        <is>
          <t>GALONES</t>
        </is>
      </c>
      <c r="N5" s="371" t="inlineStr">
        <is>
          <t>TOTAL
COMBUSTIBLE S/.</t>
        </is>
      </c>
      <c r="O5" s="370" t="inlineStr">
        <is>
          <t>DNI
CONDUCTOR</t>
        </is>
      </c>
      <c r="P5" s="371" t="inlineStr">
        <is>
          <t>NOMBRE
CONDUCTOR</t>
        </is>
      </c>
      <c r="Q5" s="371" t="inlineStr">
        <is>
          <t>PLACA</t>
        </is>
      </c>
      <c r="R5" s="370" t="inlineStr">
        <is>
          <t>FECHA DE
ENTREGA</t>
        </is>
      </c>
      <c r="S5" s="370" t="inlineStr">
        <is>
          <t>CODIGO DE
DIAGNOSTICO</t>
        </is>
      </c>
      <c r="T5" s="370" t="inlineStr">
        <is>
          <t>ESTADO
FUA</t>
        </is>
      </c>
      <c r="U5" s="370" t="inlineStr">
        <is>
          <t>FECHA
DIGITACION</t>
        </is>
      </c>
      <c r="V5" s="370" t="inlineStr">
        <is>
          <t>OFICIO</t>
        </is>
      </c>
      <c r="W5" s="370" t="inlineStr">
        <is>
          <t>O/C</t>
        </is>
      </c>
      <c r="X5" s="370" t="inlineStr">
        <is>
          <t>META</t>
        </is>
      </c>
      <c r="Y5" s="324" t="inlineStr">
        <is>
          <t>DEVOLVER A
(IPRESS DESTINO)</t>
        </is>
      </c>
      <c r="Z5" s="372" t="inlineStr">
        <is>
          <t>ESTADO
COMPLETADO</t>
        </is>
      </c>
      <c r="AA5" s="284" t="n"/>
    </row>
    <row r="6" ht="15.75" customHeight="1" s="195">
      <c r="A6" s="334" t="n"/>
      <c r="B6" s="334" t="n"/>
      <c r="C6" s="334" t="n"/>
      <c r="D6" s="334" t="n"/>
      <c r="E6" s="334" t="n"/>
      <c r="F6" s="334" t="n"/>
      <c r="G6" s="334" t="n"/>
      <c r="H6" s="334" t="n"/>
      <c r="I6" s="332">
        <f>IFERROR(VLOOKUP(TEXT(H6,"0"),IPRESS!$A$3:$B$212,2,0),"")</f>
        <v/>
      </c>
      <c r="J6" s="334" t="n"/>
      <c r="K6" s="332">
        <f>IFERROR(VLOOKUP(TEXT(O6,"0"),CONDUCTORES!$A$3:$G$54,7,0),"")</f>
        <v/>
      </c>
      <c r="L6" s="334" t="n"/>
      <c r="M6" s="334" t="n"/>
      <c r="N6" s="333">
        <f>IFERROR(IF(L6*M6=0,"",L6*M6),"")</f>
        <v/>
      </c>
      <c r="O6" s="334" t="n"/>
      <c r="P6" s="332">
        <f>IFERROR(VLOOKUP(TEXT(O6,"0"),CONDUCTORES!$A$3:$G$54,2,0),"")</f>
        <v/>
      </c>
      <c r="Q6" s="332">
        <f>IFERROR(VLOOKUP(TEXT(O6,"0"),CONDUCTORES!$A$3:$H$54,6,0),"")</f>
        <v/>
      </c>
      <c r="R6" s="334" t="n"/>
      <c r="S6" s="334" t="n"/>
      <c r="T6" s="334" t="n"/>
      <c r="U6" s="334" t="n"/>
      <c r="V6" s="334" t="n"/>
      <c r="W6" s="334" t="n"/>
      <c r="X6" s="334" t="n"/>
      <c r="Y6" s="334" t="n"/>
      <c r="Z6" s="242">
        <f>IF(AND(G6&lt;&gt;"",R6&lt;&gt;"",V6&lt;&gt;"",W6&lt;&gt;""),"COMPLETADO","OBSERVADO")</f>
        <v/>
      </c>
      <c r="AA6" s="284" t="n"/>
    </row>
    <row r="7" ht="15.75" customHeight="1" s="195">
      <c r="A7" s="280" t="n"/>
      <c r="B7" s="280" t="n"/>
      <c r="C7" s="280" t="n"/>
      <c r="D7" s="280" t="n"/>
      <c r="E7" s="280" t="n"/>
      <c r="F7" s="280" t="n"/>
      <c r="G7" s="280" t="n"/>
      <c r="H7" s="280" t="n"/>
      <c r="I7" s="332">
        <f>IFERROR(VLOOKUP(TEXT(H7,"0"),IPRESS!$A$3:$B$212,2,0),"")</f>
        <v/>
      </c>
      <c r="J7" s="280" t="n"/>
      <c r="K7" s="332">
        <f>IFERROR(VLOOKUP(TEXT(O7,"0"),CONDUCTORES!$A$3:$G$54,7,0),"")</f>
        <v/>
      </c>
      <c r="L7" s="280" t="n"/>
      <c r="M7" s="280" t="n"/>
      <c r="N7" s="333">
        <f>IFERROR(IF(L7*M7=0,"",L7*M7),"")</f>
        <v/>
      </c>
      <c r="O7" s="280" t="n"/>
      <c r="P7" s="332">
        <f>IFERROR(VLOOKUP(TEXT(O7,"0"),CONDUCTORES!$A$3:$G$54,2,0),"")</f>
        <v/>
      </c>
      <c r="Q7" s="332">
        <f>IFERROR(VLOOKUP(TEXT(O7,"0"),CONDUCTORES!$A$3:$H$54,6,0),"")</f>
        <v/>
      </c>
      <c r="R7" s="280" t="n"/>
      <c r="S7" s="280" t="n"/>
      <c r="T7" s="280" t="n"/>
      <c r="U7" s="280" t="n"/>
      <c r="V7" s="280" t="n"/>
      <c r="W7" s="280" t="n"/>
      <c r="X7" s="280" t="n"/>
      <c r="Y7" s="280" t="n"/>
      <c r="Z7" s="236">
        <f>IF(AND(G7&lt;&gt;"",R7&lt;&gt;"",V7&lt;&gt;"",W7&lt;&gt;""),"COMPLETADO","OBSERVADO")</f>
        <v/>
      </c>
      <c r="AA7" s="284" t="n"/>
    </row>
    <row r="8" ht="15.75" customHeight="1" s="195">
      <c r="A8" s="334" t="n"/>
      <c r="K8" s="332">
        <f>IFERROR(VLOOKUP(TEXT(O8,"0"),CONDUCTORES!$A$3:$G$54,7,0),"")</f>
        <v/>
      </c>
      <c r="L8" s="334" t="n"/>
      <c r="M8" s="373" t="n"/>
      <c r="N8" s="333">
        <f>IFERROR(IF(L8*M8=0,"",L8*M8),"")</f>
        <v/>
      </c>
      <c r="O8" s="334" t="n"/>
      <c r="P8" s="332">
        <f>IFERROR(VLOOKUP(TEXT(O8,"0"),CONDUCTORES!$A$3:$G$54,2,0),"")</f>
        <v/>
      </c>
      <c r="Q8" s="332">
        <f>IFERROR(VLOOKUP(TEXT(O8,"0"),CONDUCTORES!$A$3:$H$54,6,0),"")</f>
        <v/>
      </c>
      <c r="R8" s="334" t="n"/>
      <c r="S8" s="334" t="n"/>
      <c r="T8" s="334" t="n"/>
      <c r="U8" s="334" t="n"/>
      <c r="V8" s="334" t="n"/>
      <c r="W8" s="334" t="n"/>
      <c r="X8" s="334" t="n"/>
      <c r="Y8" s="334" t="n"/>
      <c r="Z8" s="242">
        <f>IF(AND(G8&lt;&gt;"",R8&lt;&gt;"",V8&lt;&gt;"",W8&lt;&gt;""),"COMPLETADO","OBSERVADO")</f>
        <v/>
      </c>
      <c r="AA8" s="284" t="n"/>
    </row>
    <row r="9" ht="15.75" customHeight="1" s="195">
      <c r="A9" s="280" t="n"/>
      <c r="B9" s="280" t="n"/>
      <c r="C9" s="280" t="n"/>
      <c r="D9" s="280" t="n"/>
      <c r="E9" s="280" t="n"/>
      <c r="F9" s="280" t="n"/>
      <c r="G9" s="280" t="n"/>
      <c r="H9" s="280" t="n"/>
      <c r="I9" s="332">
        <f>IFERROR(VLOOKUP(TEXT(H9,"0"),IPRESS!$A$3:$B$212,2,0),"")</f>
        <v/>
      </c>
      <c r="J9" s="280" t="n"/>
      <c r="K9" s="332">
        <f>IFERROR(VLOOKUP(TEXT(O9,"0"),CONDUCTORES!$A$3:$G$54,7,0),"")</f>
        <v/>
      </c>
      <c r="L9" s="280" t="n"/>
      <c r="M9" s="280" t="n"/>
      <c r="N9" s="333">
        <f>IFERROR(IF(L9*M9=0,"",L9*M9),"")</f>
        <v/>
      </c>
      <c r="O9" s="280" t="n"/>
      <c r="P9" s="332">
        <f>IFERROR(VLOOKUP(TEXT(O9,"0"),CONDUCTORES!$A$3:$G$54,2,0),"")</f>
        <v/>
      </c>
      <c r="Q9" s="332">
        <f>IFERROR(VLOOKUP(TEXT(O9,"0"),CONDUCTORES!$A$3:$H$54,6,0),"")</f>
        <v/>
      </c>
      <c r="R9" s="280" t="n"/>
      <c r="S9" s="280" t="n"/>
      <c r="T9" s="280" t="n"/>
      <c r="U9" s="280" t="n"/>
      <c r="V9" s="280" t="n"/>
      <c r="W9" s="280" t="n"/>
      <c r="X9" s="280" t="n"/>
      <c r="Y9" s="280" t="n"/>
      <c r="Z9" s="236">
        <f>IF(AND(G9&lt;&gt;"",R9&lt;&gt;"",V9&lt;&gt;"",W9&lt;&gt;""),"COMPLETADO","OBSERVADO")</f>
        <v/>
      </c>
      <c r="AA9" s="284" t="n"/>
    </row>
    <row r="10" ht="15.75" customHeight="1" s="195">
      <c r="A10" s="334" t="n"/>
      <c r="B10" s="334" t="n"/>
      <c r="C10" s="334" t="n"/>
      <c r="D10" s="334" t="n"/>
      <c r="E10" s="334" t="n"/>
      <c r="F10" s="334" t="n"/>
      <c r="G10" s="334" t="n"/>
      <c r="H10" s="334" t="n"/>
      <c r="I10" s="332">
        <f>IFERROR(VLOOKUP(TEXT(H10,"0"),IPRESS!$A$3:$B$212,2,0),"")</f>
        <v/>
      </c>
      <c r="J10" s="334" t="n"/>
      <c r="K10" s="332">
        <f>IFERROR(VLOOKUP(TEXT(O10,"0"),CONDUCTORES!$A$3:$G$54,7,0),"")</f>
        <v/>
      </c>
      <c r="L10" s="334" t="n"/>
      <c r="M10" s="334" t="n"/>
      <c r="N10" s="333">
        <f>IFERROR(IF(L10*M10=0,"",L10*M10),"")</f>
        <v/>
      </c>
      <c r="O10" s="334" t="n"/>
      <c r="P10" s="332">
        <f>IFERROR(VLOOKUP(TEXT(O10,"0"),CONDUCTORES!$A$3:$G$54,2,0),"")</f>
        <v/>
      </c>
      <c r="Q10" s="332">
        <f>IFERROR(VLOOKUP(TEXT(O10,"0"),CONDUCTORES!$A$3:$H$54,6,0),"")</f>
        <v/>
      </c>
      <c r="R10" s="334" t="n"/>
      <c r="S10" s="334" t="n"/>
      <c r="T10" s="334" t="n"/>
      <c r="U10" s="334" t="n"/>
      <c r="V10" s="334" t="n"/>
      <c r="W10" s="334" t="n"/>
      <c r="X10" s="334" t="n"/>
      <c r="Y10" s="334" t="n"/>
      <c r="Z10" s="242">
        <f>IF(AND(G10&lt;&gt;"",R10&lt;&gt;"",V10&lt;&gt;"",W10&lt;&gt;""),"COMPLETADO","OBSERVADO")</f>
        <v/>
      </c>
      <c r="AA10" s="284" t="n"/>
    </row>
    <row r="11" ht="15.75" customHeight="1" s="195">
      <c r="A11" s="280" t="n"/>
      <c r="B11" s="280" t="n"/>
      <c r="C11" s="280" t="n"/>
      <c r="D11" s="280" t="n"/>
      <c r="E11" s="280" t="n"/>
      <c r="F11" s="280" t="n"/>
      <c r="G11" s="280" t="n"/>
      <c r="H11" s="280" t="n"/>
      <c r="I11" s="332">
        <f>IFERROR(VLOOKUP(TEXT(H11,"0"),IPRESS!$A$3:$B$212,2,0),"")</f>
        <v/>
      </c>
      <c r="J11" s="280" t="n"/>
      <c r="K11" s="332">
        <f>IFERROR(VLOOKUP(TEXT(O11,"0"),CONDUCTORES!$A$3:$G$54,7,0),"")</f>
        <v/>
      </c>
      <c r="L11" s="280" t="n"/>
      <c r="M11" s="280" t="n"/>
      <c r="N11" s="333">
        <f>IFERROR(IF(L11*M11=0,"",L11*M11),"")</f>
        <v/>
      </c>
      <c r="O11" s="280" t="n"/>
      <c r="P11" s="332">
        <f>IFERROR(VLOOKUP(TEXT(O11,"0"),CONDUCTORES!$A$3:$G$54,2,0),"")</f>
        <v/>
      </c>
      <c r="Q11" s="332">
        <f>IFERROR(VLOOKUP(TEXT(O11,"0"),CONDUCTORES!$A$3:$H$54,6,0),"")</f>
        <v/>
      </c>
      <c r="R11" s="280" t="n"/>
      <c r="S11" s="280" t="n"/>
      <c r="T11" s="280" t="n"/>
      <c r="U11" s="280" t="n"/>
      <c r="V11" s="280" t="n"/>
      <c r="W11" s="280" t="n"/>
      <c r="X11" s="280" t="n"/>
      <c r="Y11" s="280" t="n"/>
      <c r="Z11" s="236">
        <f>IF(AND(G11&lt;&gt;"",R11&lt;&gt;"",V11&lt;&gt;"",W11&lt;&gt;""),"COMPLETADO","OBSERVADO")</f>
        <v/>
      </c>
      <c r="AA11" s="284" t="n"/>
    </row>
    <row r="12" ht="15.75" customHeight="1" s="195">
      <c r="A12" s="334" t="n"/>
      <c r="B12" s="334" t="n"/>
      <c r="C12" s="334" t="n"/>
      <c r="D12" s="334" t="n"/>
      <c r="E12" s="334" t="n"/>
      <c r="F12" s="334" t="n"/>
      <c r="G12" s="334" t="n"/>
      <c r="H12" s="334" t="n"/>
      <c r="I12" s="332">
        <f>IFERROR(VLOOKUP(TEXT(H12,"0"),IPRESS!$A$3:$B$212,2,0),"")</f>
        <v/>
      </c>
      <c r="J12" s="334" t="n"/>
      <c r="K12" s="332">
        <f>IFERROR(VLOOKUP(TEXT(O12,"0"),CONDUCTORES!$A$3:$G$54,7,0),"")</f>
        <v/>
      </c>
      <c r="L12" s="334" t="n"/>
      <c r="M12" s="334" t="n"/>
      <c r="N12" s="333">
        <f>IFERROR(IF(L12*M12=0,"",L12*M12),"")</f>
        <v/>
      </c>
      <c r="O12" s="334" t="n"/>
      <c r="P12" s="332">
        <f>IFERROR(VLOOKUP(TEXT(O12,"0"),CONDUCTORES!$A$3:$G$54,2,0),"")</f>
        <v/>
      </c>
      <c r="Q12" s="332">
        <f>IFERROR(VLOOKUP(TEXT(O12,"0"),CONDUCTORES!$A$3:$H$54,6,0),"")</f>
        <v/>
      </c>
      <c r="R12" s="334" t="n"/>
      <c r="S12" s="334" t="n"/>
      <c r="T12" s="334" t="n"/>
      <c r="U12" s="334" t="n"/>
      <c r="V12" s="334" t="n"/>
      <c r="W12" s="334" t="n"/>
      <c r="X12" s="334" t="n"/>
      <c r="Y12" s="334" t="n"/>
      <c r="Z12" s="242">
        <f>IF(AND(G12&lt;&gt;"",R12&lt;&gt;"",V12&lt;&gt;"",W12&lt;&gt;""),"COMPLETADO","OBSERVADO")</f>
        <v/>
      </c>
      <c r="AA12" s="284" t="n"/>
    </row>
    <row r="13" ht="15.75" customHeight="1" s="195">
      <c r="A13" s="280" t="n"/>
      <c r="B13" s="280" t="n"/>
      <c r="C13" s="280" t="n"/>
      <c r="D13" s="280" t="n"/>
      <c r="E13" s="280" t="n"/>
      <c r="F13" s="280" t="n"/>
      <c r="G13" s="280" t="n"/>
      <c r="H13" s="280" t="n"/>
      <c r="I13" s="332">
        <f>IFERROR(VLOOKUP(TEXT(H13,"0"),IPRESS!$A$3:$B$212,2,0),"")</f>
        <v/>
      </c>
      <c r="J13" s="280" t="n"/>
      <c r="K13" s="332">
        <f>IFERROR(VLOOKUP(TEXT(O13,"0"),CONDUCTORES!$A$3:$G$54,7,0),"")</f>
        <v/>
      </c>
      <c r="L13" s="280" t="n"/>
      <c r="M13" s="280" t="n"/>
      <c r="N13" s="333">
        <f>IFERROR(IF(L13*M13=0,"",L13*M13),"")</f>
        <v/>
      </c>
      <c r="O13" s="280" t="n"/>
      <c r="P13" s="332">
        <f>IFERROR(VLOOKUP(TEXT(O13,"0"),CONDUCTORES!$A$3:$G$54,2,0),"")</f>
        <v/>
      </c>
      <c r="Q13" s="332">
        <f>IFERROR(VLOOKUP(TEXT(O13,"0"),CONDUCTORES!$A$3:$H$54,6,0),"")</f>
        <v/>
      </c>
      <c r="R13" s="280" t="n"/>
      <c r="S13" s="280" t="n"/>
      <c r="T13" s="280" t="n"/>
      <c r="U13" s="280" t="n"/>
      <c r="V13" s="280" t="n"/>
      <c r="W13" s="280" t="n"/>
      <c r="X13" s="280" t="n"/>
      <c r="Y13" s="280" t="n"/>
      <c r="Z13" s="236">
        <f>IF(AND(G13&lt;&gt;"",R13&lt;&gt;"",V13&lt;&gt;"",W13&lt;&gt;""),"COMPLETADO","OBSERVADO")</f>
        <v/>
      </c>
      <c r="AA13" s="284" t="n"/>
    </row>
    <row r="14" ht="15.75" customHeight="1" s="195">
      <c r="A14" s="334" t="n"/>
      <c r="B14" s="334" t="n"/>
      <c r="C14" s="334" t="n"/>
      <c r="D14" s="334" t="n"/>
      <c r="E14" s="334" t="n"/>
      <c r="F14" s="334" t="n"/>
      <c r="G14" s="334" t="n"/>
      <c r="H14" s="334" t="n"/>
      <c r="I14" s="332">
        <f>IFERROR(VLOOKUP(TEXT(H14,"0"),IPRESS!$A$3:$B$212,2,0),"")</f>
        <v/>
      </c>
      <c r="J14" s="334" t="n"/>
      <c r="K14" s="332">
        <f>IFERROR(VLOOKUP(TEXT(O14,"0"),CONDUCTORES!$A$3:$G$54,7,0),"")</f>
        <v/>
      </c>
      <c r="L14" s="334" t="n"/>
      <c r="M14" s="334" t="n"/>
      <c r="N14" s="333">
        <f>IFERROR(IF(L14*M14=0,"",L14*M14),"")</f>
        <v/>
      </c>
      <c r="O14" s="334" t="n"/>
      <c r="P14" s="332">
        <f>IFERROR(VLOOKUP(TEXT(O14,"0"),CONDUCTORES!$A$3:$G$54,2,0),"")</f>
        <v/>
      </c>
      <c r="Q14" s="332">
        <f>IFERROR(VLOOKUP(TEXT(O14,"0"),CONDUCTORES!$A$3:$H$54,6,0),"")</f>
        <v/>
      </c>
      <c r="R14" s="334" t="n"/>
      <c r="S14" s="334" t="n"/>
      <c r="T14" s="334" t="n"/>
      <c r="U14" s="334" t="n"/>
      <c r="V14" s="334" t="n"/>
      <c r="W14" s="334" t="n"/>
      <c r="X14" s="334" t="n"/>
      <c r="Y14" s="334" t="n"/>
      <c r="Z14" s="242">
        <f>IF(AND(G14&lt;&gt;"",R14&lt;&gt;"",V14&lt;&gt;"",W14&lt;&gt;""),"COMPLETADO","OBSERVADO")</f>
        <v/>
      </c>
      <c r="AA14" s="284" t="n"/>
    </row>
    <row r="15" ht="15.75" customHeight="1" s="195">
      <c r="A15" s="280" t="n"/>
      <c r="B15" s="280" t="n"/>
      <c r="C15" s="280" t="n"/>
      <c r="D15" s="280" t="n"/>
      <c r="E15" s="280" t="n"/>
      <c r="F15" s="280" t="n"/>
      <c r="G15" s="280" t="n"/>
      <c r="H15" s="280" t="n"/>
      <c r="I15" s="332">
        <f>IFERROR(VLOOKUP(TEXT(H15,"0"),IPRESS!$A$3:$B$212,2,0),"")</f>
        <v/>
      </c>
      <c r="J15" s="280" t="n"/>
      <c r="K15" s="332">
        <f>IFERROR(VLOOKUP(TEXT(O15,"0"),CONDUCTORES!$A$3:$G$54,7,0),"")</f>
        <v/>
      </c>
      <c r="L15" s="280" t="n"/>
      <c r="M15" s="280" t="n"/>
      <c r="N15" s="333">
        <f>IFERROR(IF(L15*M15=0,"",L15*M15),"")</f>
        <v/>
      </c>
      <c r="O15" s="280" t="n"/>
      <c r="P15" s="332">
        <f>IFERROR(VLOOKUP(TEXT(O15,"0"),CONDUCTORES!$A$3:$G$54,2,0),"")</f>
        <v/>
      </c>
      <c r="Q15" s="332">
        <f>IFERROR(VLOOKUP(TEXT(O15,"0"),CONDUCTORES!$A$3:$H$54,6,0),"")</f>
        <v/>
      </c>
      <c r="R15" s="280" t="n"/>
      <c r="S15" s="280" t="n"/>
      <c r="T15" s="280" t="n"/>
      <c r="U15" s="280" t="n"/>
      <c r="V15" s="280" t="n"/>
      <c r="W15" s="280" t="n"/>
      <c r="X15" s="280" t="n"/>
      <c r="Y15" s="280" t="n"/>
      <c r="Z15" s="236">
        <f>IF(AND(G15&lt;&gt;"",R15&lt;&gt;"",V15&lt;&gt;"",W15&lt;&gt;""),"COMPLETADO","OBSERVADO")</f>
        <v/>
      </c>
      <c r="AA15" s="284" t="n"/>
    </row>
    <row r="16" ht="15.75" customHeight="1" s="195">
      <c r="A16" s="334" t="n"/>
      <c r="B16" s="334" t="n"/>
      <c r="C16" s="334" t="n"/>
      <c r="D16" s="334" t="n"/>
      <c r="E16" s="334" t="n"/>
      <c r="F16" s="334" t="n"/>
      <c r="G16" s="334" t="n"/>
      <c r="H16" s="334" t="n"/>
      <c r="I16" s="332">
        <f>IFERROR(VLOOKUP(TEXT(H16,"0"),IPRESS!$A$3:$B$212,2,0),"")</f>
        <v/>
      </c>
      <c r="J16" s="334" t="n"/>
      <c r="K16" s="332">
        <f>IFERROR(VLOOKUP(TEXT(O16,"0"),CONDUCTORES!$A$3:$G$54,7,0),"")</f>
        <v/>
      </c>
      <c r="L16" s="334" t="n"/>
      <c r="M16" s="334" t="n"/>
      <c r="N16" s="333">
        <f>IFERROR(IF(L16*M16=0,"",L16*M16),"")</f>
        <v/>
      </c>
      <c r="O16" s="334" t="n"/>
      <c r="P16" s="332">
        <f>IFERROR(VLOOKUP(TEXT(O16,"0"),CONDUCTORES!$A$3:$G$54,2,0),"")</f>
        <v/>
      </c>
      <c r="Q16" s="332">
        <f>IFERROR(VLOOKUP(TEXT(O16,"0"),CONDUCTORES!$A$3:$H$54,6,0),"")</f>
        <v/>
      </c>
      <c r="R16" s="334" t="n"/>
      <c r="S16" s="334" t="n"/>
      <c r="T16" s="334" t="n"/>
      <c r="U16" s="334" t="n"/>
      <c r="V16" s="334" t="n"/>
      <c r="W16" s="334" t="n"/>
      <c r="X16" s="334" t="n"/>
      <c r="Y16" s="334" t="n"/>
      <c r="Z16" s="242">
        <f>IF(AND(G16&lt;&gt;"",R16&lt;&gt;"",V16&lt;&gt;"",W16&lt;&gt;""),"COMPLETADO","OBSERVADO")</f>
        <v/>
      </c>
      <c r="AA16" s="284" t="n"/>
    </row>
    <row r="17" ht="15.75" customHeight="1" s="195">
      <c r="A17" s="280" t="n"/>
      <c r="B17" s="280" t="n"/>
      <c r="C17" s="280" t="n"/>
      <c r="D17" s="280" t="n"/>
      <c r="E17" s="280" t="n"/>
      <c r="F17" s="280" t="n"/>
      <c r="G17" s="280" t="n"/>
      <c r="H17" s="280" t="n"/>
      <c r="I17" s="332">
        <f>IFERROR(VLOOKUP(TEXT(H17,"0"),IPRESS!$A$3:$B$212,2,0),"")</f>
        <v/>
      </c>
      <c r="J17" s="280" t="n"/>
      <c r="K17" s="332">
        <f>IFERROR(VLOOKUP(TEXT(O17,"0"),CONDUCTORES!$A$3:$G$54,7,0),"")</f>
        <v/>
      </c>
      <c r="L17" s="280" t="n"/>
      <c r="M17" s="280" t="n"/>
      <c r="N17" s="333">
        <f>IFERROR(IF(L17*M17=0,"",L17*M17),"")</f>
        <v/>
      </c>
      <c r="O17" s="280" t="n"/>
      <c r="P17" s="332">
        <f>IFERROR(VLOOKUP(TEXT(O17,"0"),CONDUCTORES!$A$3:$G$54,2,0),"")</f>
        <v/>
      </c>
      <c r="Q17" s="332">
        <f>IFERROR(VLOOKUP(TEXT(O17,"0"),CONDUCTORES!$A$3:$H$54,6,0),"")</f>
        <v/>
      </c>
      <c r="R17" s="280" t="n"/>
      <c r="S17" s="280" t="n"/>
      <c r="T17" s="280" t="n"/>
      <c r="U17" s="280" t="n"/>
      <c r="V17" s="280" t="n"/>
      <c r="W17" s="280" t="n"/>
      <c r="X17" s="280" t="n"/>
      <c r="Y17" s="280" t="n"/>
      <c r="Z17" s="236">
        <f>IF(AND(G17&lt;&gt;"",R17&lt;&gt;"",V17&lt;&gt;"",W17&lt;&gt;""),"COMPLETADO","OBSERVADO")</f>
        <v/>
      </c>
      <c r="AA17" s="284" t="n"/>
    </row>
    <row r="18" ht="15.75" customHeight="1" s="195">
      <c r="A18" s="334" t="n"/>
      <c r="B18" s="334" t="n"/>
      <c r="C18" s="334" t="n"/>
      <c r="D18" s="334" t="n"/>
      <c r="E18" s="334" t="n"/>
      <c r="F18" s="334" t="n"/>
      <c r="G18" s="334" t="n"/>
      <c r="H18" s="334" t="n"/>
      <c r="I18" s="332">
        <f>IFERROR(VLOOKUP(TEXT(H18,"0"),IPRESS!$A$3:$B$212,2,0),"")</f>
        <v/>
      </c>
      <c r="J18" s="334" t="n"/>
      <c r="K18" s="332">
        <f>IFERROR(VLOOKUP(TEXT(O18,"0"),CONDUCTORES!$A$3:$G$54,7,0),"")</f>
        <v/>
      </c>
      <c r="L18" s="334" t="n"/>
      <c r="M18" s="334" t="n"/>
      <c r="N18" s="333">
        <f>IFERROR(IF(L18*M18=0,"",L18*M18),"")</f>
        <v/>
      </c>
      <c r="O18" s="334" t="n"/>
      <c r="P18" s="332">
        <f>IFERROR(VLOOKUP(TEXT(O18,"0"),CONDUCTORES!$A$3:$G$54,2,0),"")</f>
        <v/>
      </c>
      <c r="Q18" s="332">
        <f>IFERROR(VLOOKUP(TEXT(O18,"0"),CONDUCTORES!$A$3:$H$54,6,0),"")</f>
        <v/>
      </c>
      <c r="R18" s="334" t="n"/>
      <c r="S18" s="334" t="n"/>
      <c r="T18" s="334" t="n"/>
      <c r="U18" s="334" t="n"/>
      <c r="V18" s="334" t="n"/>
      <c r="W18" s="334" t="n"/>
      <c r="X18" s="334" t="n"/>
      <c r="Y18" s="334" t="n"/>
      <c r="Z18" s="242">
        <f>IF(AND(G18&lt;&gt;"",R18&lt;&gt;"",V18&lt;&gt;"",W18&lt;&gt;""),"COMPLETADO","OBSERVADO")</f>
        <v/>
      </c>
      <c r="AA18" s="284" t="n"/>
    </row>
    <row r="19" ht="15.75" customHeight="1" s="195">
      <c r="A19" s="280" t="n"/>
      <c r="B19" s="280" t="n"/>
      <c r="C19" s="280" t="n"/>
      <c r="D19" s="280" t="n"/>
      <c r="E19" s="280" t="n"/>
      <c r="F19" s="280" t="n"/>
      <c r="G19" s="280" t="n"/>
      <c r="H19" s="280" t="n"/>
      <c r="I19" s="332">
        <f>IFERROR(VLOOKUP(TEXT(H19,"0"),IPRESS!$A$3:$B$212,2,0),"")</f>
        <v/>
      </c>
      <c r="J19" s="280" t="n"/>
      <c r="K19" s="332">
        <f>IFERROR(VLOOKUP(TEXT(O19,"0"),CONDUCTORES!$A$3:$G$54,7,0),"")</f>
        <v/>
      </c>
      <c r="L19" s="280" t="n"/>
      <c r="M19" s="280" t="n"/>
      <c r="N19" s="333">
        <f>IFERROR(IF(L19*M19=0,"",L19*M19),"")</f>
        <v/>
      </c>
      <c r="O19" s="280" t="n"/>
      <c r="P19" s="332">
        <f>IFERROR(VLOOKUP(TEXT(O19,"0"),CONDUCTORES!$A$3:$G$54,2,0),"")</f>
        <v/>
      </c>
      <c r="Q19" s="332">
        <f>IFERROR(VLOOKUP(TEXT(O19,"0"),CONDUCTORES!$A$3:$H$54,6,0),"")</f>
        <v/>
      </c>
      <c r="R19" s="280" t="n"/>
      <c r="S19" s="280" t="n"/>
      <c r="T19" s="280" t="n"/>
      <c r="U19" s="280" t="n"/>
      <c r="V19" s="280" t="n"/>
      <c r="W19" s="280" t="n"/>
      <c r="X19" s="280" t="n"/>
      <c r="Y19" s="280" t="n"/>
      <c r="Z19" s="236">
        <f>IF(AND(G19&lt;&gt;"",R19&lt;&gt;"",V19&lt;&gt;"",W19&lt;&gt;""),"COMPLETADO","OBSERVADO")</f>
        <v/>
      </c>
      <c r="AA19" s="284" t="n"/>
    </row>
    <row r="20" ht="15.75" customHeight="1" s="195">
      <c r="A20" s="334" t="n"/>
      <c r="B20" s="334" t="n"/>
      <c r="C20" s="334" t="n"/>
      <c r="D20" s="334" t="n"/>
      <c r="E20" s="334" t="n"/>
      <c r="F20" s="334" t="n"/>
      <c r="G20" s="334" t="n"/>
      <c r="H20" s="334" t="n"/>
      <c r="I20" s="332">
        <f>IFERROR(VLOOKUP(TEXT(H20,"0"),IPRESS!$A$3:$B$212,2,0),"")</f>
        <v/>
      </c>
      <c r="J20" s="334" t="n"/>
      <c r="K20" s="332">
        <f>IFERROR(VLOOKUP(TEXT(O20,"0"),CONDUCTORES!$A$3:$G$54,7,0),"")</f>
        <v/>
      </c>
      <c r="L20" s="334" t="n"/>
      <c r="M20" s="334" t="n"/>
      <c r="N20" s="333">
        <f>IFERROR(IF(L20*M20=0,"",L20*M20),"")</f>
        <v/>
      </c>
      <c r="O20" s="334" t="n"/>
      <c r="P20" s="332">
        <f>IFERROR(VLOOKUP(TEXT(O20,"0"),CONDUCTORES!$A$3:$G$54,2,0),"")</f>
        <v/>
      </c>
      <c r="Q20" s="332">
        <f>IFERROR(VLOOKUP(TEXT(O20,"0"),CONDUCTORES!$A$3:$H$54,6,0),"")</f>
        <v/>
      </c>
      <c r="R20" s="334" t="n"/>
      <c r="S20" s="334" t="n"/>
      <c r="T20" s="334" t="n"/>
      <c r="U20" s="334" t="n"/>
      <c r="V20" s="334" t="n"/>
      <c r="W20" s="334" t="n"/>
      <c r="X20" s="334" t="n"/>
      <c r="Y20" s="334" t="n"/>
      <c r="Z20" s="242">
        <f>IF(AND(G20&lt;&gt;"",R20&lt;&gt;"",V20&lt;&gt;"",W20&lt;&gt;""),"COMPLETADO","OBSERVADO")</f>
        <v/>
      </c>
      <c r="AA20" s="284" t="n"/>
    </row>
    <row r="21" ht="15.75" customHeight="1" s="195">
      <c r="A21" s="280" t="n"/>
      <c r="B21" s="280" t="n"/>
      <c r="C21" s="280" t="n"/>
      <c r="D21" s="280" t="n"/>
      <c r="E21" s="280" t="n"/>
      <c r="F21" s="280" t="n"/>
      <c r="G21" s="280" t="n"/>
      <c r="H21" s="280" t="n"/>
      <c r="I21" s="332">
        <f>IFERROR(VLOOKUP(TEXT(H21,"0"),IPRESS!$A$3:$B$212,2,0),"")</f>
        <v/>
      </c>
      <c r="J21" s="280" t="n"/>
      <c r="K21" s="332">
        <f>IFERROR(VLOOKUP(TEXT(O21,"0"),CONDUCTORES!$A$3:$G$54,7,0),"")</f>
        <v/>
      </c>
      <c r="L21" s="280" t="n"/>
      <c r="M21" s="280" t="n"/>
      <c r="N21" s="333">
        <f>IFERROR(IF(L21*M21=0,"",L21*M21),"")</f>
        <v/>
      </c>
      <c r="O21" s="280" t="n"/>
      <c r="P21" s="332">
        <f>IFERROR(VLOOKUP(TEXT(O21,"0"),CONDUCTORES!$A$3:$G$54,2,0),"")</f>
        <v/>
      </c>
      <c r="Q21" s="332">
        <f>IFERROR(VLOOKUP(TEXT(O21,"0"),CONDUCTORES!$A$3:$H$54,6,0),"")</f>
        <v/>
      </c>
      <c r="R21" s="280" t="n"/>
      <c r="S21" s="280" t="n"/>
      <c r="T21" s="280" t="n"/>
      <c r="U21" s="280" t="n"/>
      <c r="V21" s="280" t="n"/>
      <c r="W21" s="280" t="n"/>
      <c r="X21" s="280" t="n"/>
      <c r="Y21" s="280" t="n"/>
      <c r="Z21" s="236">
        <f>IF(AND(G21&lt;&gt;"",R21&lt;&gt;"",V21&lt;&gt;"",W21&lt;&gt;""),"COMPLETADO","OBSERVADO")</f>
        <v/>
      </c>
      <c r="AA21" s="284" t="n"/>
    </row>
    <row r="22" ht="15.75" customHeight="1" s="195">
      <c r="A22" s="334" t="n"/>
      <c r="B22" s="334" t="n"/>
      <c r="C22" s="334" t="n"/>
      <c r="D22" s="334" t="n"/>
      <c r="E22" s="334" t="n"/>
      <c r="F22" s="334" t="n"/>
      <c r="G22" s="334" t="n"/>
      <c r="H22" s="334" t="n"/>
      <c r="I22" s="332">
        <f>IFERROR(VLOOKUP(TEXT(H22,"0"),IPRESS!$A$3:$B$212,2,0),"")</f>
        <v/>
      </c>
      <c r="J22" s="334" t="n"/>
      <c r="K22" s="332">
        <f>IFERROR(VLOOKUP(TEXT(O22,"0"),CONDUCTORES!$A$3:$G$54,7,0),"")</f>
        <v/>
      </c>
      <c r="L22" s="334" t="n"/>
      <c r="M22" s="334" t="n"/>
      <c r="N22" s="333">
        <f>IFERROR(IF(L22*M22=0,"",L22*M22),"")</f>
        <v/>
      </c>
      <c r="O22" s="334" t="n"/>
      <c r="P22" s="332">
        <f>IFERROR(VLOOKUP(TEXT(O22,"0"),CONDUCTORES!$A$3:$G$54,2,0),"")</f>
        <v/>
      </c>
      <c r="Q22" s="332">
        <f>IFERROR(VLOOKUP(TEXT(O22,"0"),CONDUCTORES!$A$3:$H$54,6,0),"")</f>
        <v/>
      </c>
      <c r="R22" s="334" t="n"/>
      <c r="S22" s="334" t="n"/>
      <c r="T22" s="334" t="n"/>
      <c r="U22" s="334" t="n"/>
      <c r="V22" s="334" t="n"/>
      <c r="W22" s="334" t="n"/>
      <c r="X22" s="334" t="n"/>
      <c r="Y22" s="334" t="n"/>
      <c r="Z22" s="242">
        <f>IF(AND(G22&lt;&gt;"",R22&lt;&gt;"",V22&lt;&gt;"",W22&lt;&gt;""),"COMPLETADO","OBSERVADO")</f>
        <v/>
      </c>
      <c r="AA22" s="284" t="n"/>
    </row>
    <row r="23" ht="15.75" customHeight="1" s="195">
      <c r="A23" s="280" t="n"/>
      <c r="B23" s="280" t="n"/>
      <c r="C23" s="280" t="n"/>
      <c r="D23" s="280" t="n"/>
      <c r="E23" s="280" t="n"/>
      <c r="F23" s="280" t="n"/>
      <c r="G23" s="280" t="n"/>
      <c r="H23" s="280" t="n"/>
      <c r="I23" s="332">
        <f>IFERROR(VLOOKUP(TEXT(H23,"0"),IPRESS!$A$3:$B$212,2,0),"")</f>
        <v/>
      </c>
      <c r="J23" s="280" t="n"/>
      <c r="K23" s="332">
        <f>IFERROR(VLOOKUP(TEXT(O23,"0"),CONDUCTORES!$A$3:$G$54,7,0),"")</f>
        <v/>
      </c>
      <c r="L23" s="280" t="n"/>
      <c r="M23" s="280" t="n"/>
      <c r="N23" s="333">
        <f>IFERROR(IF(L23*M23=0,"",L23*M23),"")</f>
        <v/>
      </c>
      <c r="O23" s="280" t="n"/>
      <c r="P23" s="332">
        <f>IFERROR(VLOOKUP(TEXT(O23,"0"),CONDUCTORES!$A$3:$G$54,2,0),"")</f>
        <v/>
      </c>
      <c r="Q23" s="332">
        <f>IFERROR(VLOOKUP(TEXT(O23,"0"),CONDUCTORES!$A$3:$H$54,6,0),"")</f>
        <v/>
      </c>
      <c r="R23" s="280" t="n"/>
      <c r="S23" s="280" t="n"/>
      <c r="T23" s="280" t="n"/>
      <c r="U23" s="280" t="n"/>
      <c r="V23" s="280" t="n"/>
      <c r="W23" s="280" t="n"/>
      <c r="X23" s="280" t="n"/>
      <c r="Y23" s="280" t="n"/>
      <c r="Z23" s="236">
        <f>IF(AND(G23&lt;&gt;"",R23&lt;&gt;"",V23&lt;&gt;"",W23&lt;&gt;""),"COMPLETADO","OBSERVADO")</f>
        <v/>
      </c>
      <c r="AA23" s="284" t="n"/>
    </row>
    <row r="24" ht="15.75" customHeight="1" s="195">
      <c r="A24" s="334" t="n"/>
      <c r="B24" s="334" t="n"/>
      <c r="C24" s="334" t="n"/>
      <c r="D24" s="334" t="n"/>
      <c r="E24" s="334" t="n"/>
      <c r="F24" s="334" t="n"/>
      <c r="G24" s="334" t="n"/>
      <c r="H24" s="334" t="n"/>
      <c r="I24" s="332">
        <f>IFERROR(VLOOKUP(TEXT(H24,"0"),IPRESS!$A$3:$B$212,2,0),"")</f>
        <v/>
      </c>
      <c r="J24" s="334" t="n"/>
      <c r="K24" s="332">
        <f>IFERROR(VLOOKUP(TEXT(O24,"0"),CONDUCTORES!$A$3:$G$54,7,0),"")</f>
        <v/>
      </c>
      <c r="L24" s="334" t="n"/>
      <c r="M24" s="334" t="n"/>
      <c r="N24" s="333">
        <f>IFERROR(IF(L24*M24=0,"",L24*M24),"")</f>
        <v/>
      </c>
      <c r="O24" s="334" t="n"/>
      <c r="P24" s="332">
        <f>IFERROR(VLOOKUP(TEXT(O24,"0"),CONDUCTORES!$A$3:$G$54,2,0),"")</f>
        <v/>
      </c>
      <c r="Q24" s="332">
        <f>IFERROR(VLOOKUP(TEXT(O24,"0"),CONDUCTORES!$A$3:$H$54,6,0),"")</f>
        <v/>
      </c>
      <c r="R24" s="334" t="n"/>
      <c r="S24" s="334" t="n"/>
      <c r="T24" s="334" t="n"/>
      <c r="U24" s="334" t="n"/>
      <c r="V24" s="334" t="n"/>
      <c r="W24" s="334" t="n"/>
      <c r="X24" s="334" t="n"/>
      <c r="Y24" s="334" t="n"/>
      <c r="Z24" s="242">
        <f>IF(AND(G24&lt;&gt;"",R24&lt;&gt;"",V24&lt;&gt;"",W24&lt;&gt;""),"COMPLETADO","OBSERVADO")</f>
        <v/>
      </c>
      <c r="AA24" s="284" t="n"/>
    </row>
    <row r="25" ht="15.75" customHeight="1" s="195">
      <c r="A25" s="280" t="n"/>
      <c r="B25" s="280" t="n"/>
      <c r="C25" s="280" t="n"/>
      <c r="D25" s="280" t="n"/>
      <c r="E25" s="280" t="n"/>
      <c r="F25" s="280" t="n"/>
      <c r="G25" s="280" t="n"/>
      <c r="H25" s="280" t="n"/>
      <c r="I25" s="332">
        <f>IFERROR(VLOOKUP(TEXT(H25,"0"),IPRESS!$A$3:$B$212,2,0),"")</f>
        <v/>
      </c>
      <c r="J25" s="280" t="n"/>
      <c r="K25" s="332">
        <f>IFERROR(VLOOKUP(TEXT(O25,"0"),CONDUCTORES!$A$3:$G$54,7,0),"")</f>
        <v/>
      </c>
      <c r="L25" s="280" t="n"/>
      <c r="M25" s="280" t="n"/>
      <c r="N25" s="333">
        <f>IFERROR(IF(L25*M25=0,"",L25*M25),"")</f>
        <v/>
      </c>
      <c r="O25" s="280" t="n"/>
      <c r="P25" s="332">
        <f>IFERROR(VLOOKUP(TEXT(O25,"0"),CONDUCTORES!$A$3:$G$54,2,0),"")</f>
        <v/>
      </c>
      <c r="Q25" s="332">
        <f>IFERROR(VLOOKUP(TEXT(O25,"0"),CONDUCTORES!$A$3:$H$54,6,0),"")</f>
        <v/>
      </c>
      <c r="R25" s="280" t="n"/>
      <c r="S25" s="280" t="n"/>
      <c r="T25" s="280" t="n"/>
      <c r="U25" s="280" t="n"/>
      <c r="V25" s="280" t="n"/>
      <c r="W25" s="280" t="n"/>
      <c r="X25" s="280" t="n"/>
      <c r="Y25" s="280" t="n"/>
      <c r="Z25" s="236">
        <f>IF(AND(G25&lt;&gt;"",R25&lt;&gt;"",V25&lt;&gt;"",W25&lt;&gt;""),"COMPLETADO","OBSERVADO")</f>
        <v/>
      </c>
      <c r="AA25" s="284" t="n"/>
    </row>
    <row r="26" ht="15.75" customHeight="1" s="195">
      <c r="A26" s="334" t="n"/>
      <c r="B26" s="334" t="n"/>
      <c r="C26" s="334" t="n"/>
      <c r="D26" s="334" t="n"/>
      <c r="E26" s="334" t="n"/>
      <c r="F26" s="334" t="n"/>
      <c r="G26" s="334" t="n"/>
      <c r="H26" s="334" t="n"/>
      <c r="I26" s="332">
        <f>IFERROR(VLOOKUP(TEXT(H26,"0"),IPRESS!$A$3:$B$212,2,0),"")</f>
        <v/>
      </c>
      <c r="J26" s="334" t="n"/>
      <c r="K26" s="332">
        <f>IFERROR(VLOOKUP(TEXT(O26,"0"),CONDUCTORES!$A$3:$G$54,7,0),"")</f>
        <v/>
      </c>
      <c r="L26" s="334" t="n"/>
      <c r="M26" s="334" t="n"/>
      <c r="N26" s="333">
        <f>IFERROR(IF(L26*M26=0,"",L26*M26),"")</f>
        <v/>
      </c>
      <c r="O26" s="334" t="n"/>
      <c r="P26" s="332">
        <f>IFERROR(VLOOKUP(TEXT(O26,"0"),CONDUCTORES!$A$3:$G$54,2,0),"")</f>
        <v/>
      </c>
      <c r="Q26" s="332">
        <f>IFERROR(VLOOKUP(TEXT(O26,"0"),CONDUCTORES!$A$3:$H$54,6,0),"")</f>
        <v/>
      </c>
      <c r="R26" s="334" t="n"/>
      <c r="S26" s="334" t="n"/>
      <c r="T26" s="334" t="n"/>
      <c r="U26" s="334" t="n"/>
      <c r="V26" s="334" t="n"/>
      <c r="W26" s="334" t="n"/>
      <c r="X26" s="334" t="n"/>
      <c r="Y26" s="334" t="n"/>
      <c r="Z26" s="242">
        <f>IF(AND(G26&lt;&gt;"",R26&lt;&gt;"",V26&lt;&gt;"",W26&lt;&gt;""),"COMPLETADO","OBSERVADO")</f>
        <v/>
      </c>
      <c r="AA26" s="284" t="n"/>
    </row>
    <row r="27" ht="15.75" customHeight="1" s="195">
      <c r="A27" s="280" t="n"/>
      <c r="B27" s="280" t="n"/>
      <c r="C27" s="280" t="n"/>
      <c r="D27" s="280" t="n"/>
      <c r="E27" s="280" t="n"/>
      <c r="F27" s="280" t="n"/>
      <c r="G27" s="280" t="n"/>
      <c r="H27" s="280" t="n"/>
      <c r="I27" s="332">
        <f>IFERROR(VLOOKUP(TEXT(H27,"0"),IPRESS!$A$3:$B$212,2,0),"")</f>
        <v/>
      </c>
      <c r="J27" s="280" t="n"/>
      <c r="K27" s="332">
        <f>IFERROR(VLOOKUP(TEXT(O27,"0"),CONDUCTORES!$A$3:$G$54,7,0),"")</f>
        <v/>
      </c>
      <c r="L27" s="280" t="n"/>
      <c r="M27" s="280" t="n"/>
      <c r="N27" s="333">
        <f>IFERROR(IF(L27*M27=0,"",L27*M27),"")</f>
        <v/>
      </c>
      <c r="O27" s="280" t="n"/>
      <c r="P27" s="332">
        <f>IFERROR(VLOOKUP(TEXT(O27,"0"),CONDUCTORES!$A$3:$G$54,2,0),"")</f>
        <v/>
      </c>
      <c r="Q27" s="332">
        <f>IFERROR(VLOOKUP(TEXT(O27,"0"),CONDUCTORES!$A$3:$H$54,6,0),"")</f>
        <v/>
      </c>
      <c r="R27" s="280" t="n"/>
      <c r="S27" s="280" t="n"/>
      <c r="T27" s="280" t="n"/>
      <c r="U27" s="280" t="n"/>
      <c r="V27" s="280" t="n"/>
      <c r="W27" s="280" t="n"/>
      <c r="X27" s="280" t="n"/>
      <c r="Y27" s="280" t="n"/>
      <c r="Z27" s="236">
        <f>IF(AND(G27&lt;&gt;"",R27&lt;&gt;"",V27&lt;&gt;"",W27&lt;&gt;""),"COMPLETADO","OBSERVADO")</f>
        <v/>
      </c>
      <c r="AA27" s="284" t="n"/>
    </row>
    <row r="28" ht="15.75" customHeight="1" s="195">
      <c r="A28" s="334" t="n"/>
      <c r="B28" s="334" t="n"/>
      <c r="C28" s="334" t="n"/>
      <c r="D28" s="334" t="n"/>
      <c r="E28" s="334" t="n"/>
      <c r="F28" s="334" t="n"/>
      <c r="G28" s="334" t="n"/>
      <c r="H28" s="334" t="n"/>
      <c r="I28" s="332">
        <f>IFERROR(VLOOKUP(TEXT(H28,"0"),IPRESS!$A$3:$B$212,2,0),"")</f>
        <v/>
      </c>
      <c r="J28" s="334" t="n"/>
      <c r="K28" s="332">
        <f>IFERROR(VLOOKUP(TEXT(O28,"0"),CONDUCTORES!$A$3:$G$54,7,0),"")</f>
        <v/>
      </c>
      <c r="L28" s="334" t="n"/>
      <c r="M28" s="334" t="n"/>
      <c r="N28" s="333">
        <f>IFERROR(IF(L28*M28=0,"",L28*M28),"")</f>
        <v/>
      </c>
      <c r="O28" s="334" t="n"/>
      <c r="P28" s="332">
        <f>IFERROR(VLOOKUP(TEXT(O28,"0"),CONDUCTORES!$A$3:$G$54,2,0),"")</f>
        <v/>
      </c>
      <c r="Q28" s="332">
        <f>IFERROR(VLOOKUP(TEXT(O28,"0"),CONDUCTORES!$A$3:$H$54,6,0),"")</f>
        <v/>
      </c>
      <c r="R28" s="334" t="n"/>
      <c r="S28" s="334" t="n"/>
      <c r="T28" s="334" t="n"/>
      <c r="U28" s="334" t="n"/>
      <c r="V28" s="334" t="n"/>
      <c r="W28" s="334" t="n"/>
      <c r="X28" s="334" t="n"/>
      <c r="Y28" s="334" t="n"/>
      <c r="Z28" s="242">
        <f>IF(AND(G28&lt;&gt;"",R28&lt;&gt;"",V28&lt;&gt;"",W28&lt;&gt;""),"COMPLETADO","OBSERVADO")</f>
        <v/>
      </c>
      <c r="AA28" s="284" t="n"/>
    </row>
    <row r="29" ht="15.75" customHeight="1" s="195">
      <c r="A29" s="280" t="n"/>
      <c r="B29" s="280" t="n"/>
      <c r="C29" s="280" t="n"/>
      <c r="D29" s="280" t="n"/>
      <c r="E29" s="280" t="n"/>
      <c r="F29" s="280" t="n"/>
      <c r="G29" s="280" t="n"/>
      <c r="H29" s="280" t="n"/>
      <c r="I29" s="332">
        <f>IFERROR(VLOOKUP(TEXT(H29,"0"),IPRESS!$A$3:$B$212,2,0),"")</f>
        <v/>
      </c>
      <c r="J29" s="280" t="n"/>
      <c r="K29" s="332">
        <f>IFERROR(VLOOKUP(TEXT(O29,"0"),CONDUCTORES!$A$3:$G$54,7,0),"")</f>
        <v/>
      </c>
      <c r="L29" s="280" t="n"/>
      <c r="M29" s="280" t="n"/>
      <c r="N29" s="333">
        <f>IFERROR(IF(L29*M29=0,"",L29*M29),"")</f>
        <v/>
      </c>
      <c r="O29" s="280" t="n"/>
      <c r="P29" s="332">
        <f>IFERROR(VLOOKUP(TEXT(O29,"0"),CONDUCTORES!$A$3:$G$54,2,0),"")</f>
        <v/>
      </c>
      <c r="Q29" s="332">
        <f>IFERROR(VLOOKUP(TEXT(O29,"0"),CONDUCTORES!$A$3:$H$54,6,0),"")</f>
        <v/>
      </c>
      <c r="R29" s="280" t="n"/>
      <c r="S29" s="280" t="n"/>
      <c r="T29" s="280" t="n"/>
      <c r="U29" s="280" t="n"/>
      <c r="V29" s="280" t="n"/>
      <c r="W29" s="280" t="n"/>
      <c r="X29" s="280" t="n"/>
      <c r="Y29" s="280" t="n"/>
      <c r="Z29" s="236">
        <f>IF(AND(G29&lt;&gt;"",R29&lt;&gt;"",V29&lt;&gt;"",W29&lt;&gt;""),"COMPLETADO","OBSERVADO")</f>
        <v/>
      </c>
      <c r="AA29" s="284" t="n"/>
    </row>
    <row r="30" ht="15.75" customHeight="1" s="195">
      <c r="A30" s="334" t="n"/>
      <c r="B30" s="334" t="n"/>
      <c r="C30" s="334" t="n"/>
      <c r="D30" s="334" t="n"/>
      <c r="E30" s="334" t="n"/>
      <c r="F30" s="334" t="n"/>
      <c r="G30" s="334" t="n"/>
      <c r="H30" s="334" t="n"/>
      <c r="I30" s="332">
        <f>IFERROR(VLOOKUP(TEXT(H30,"0"),IPRESS!$A$3:$B$212,2,0),"")</f>
        <v/>
      </c>
      <c r="J30" s="334" t="n"/>
      <c r="K30" s="332">
        <f>IFERROR(VLOOKUP(TEXT(O30,"0"),CONDUCTORES!$A$3:$G$54,7,0),"")</f>
        <v/>
      </c>
      <c r="L30" s="334" t="n"/>
      <c r="M30" s="334" t="n"/>
      <c r="N30" s="333">
        <f>IFERROR(IF(L30*M30=0,"",L30*M30),"")</f>
        <v/>
      </c>
      <c r="O30" s="334" t="n"/>
      <c r="P30" s="332">
        <f>IFERROR(VLOOKUP(TEXT(O30,"0"),CONDUCTORES!$A$3:$G$54,2,0),"")</f>
        <v/>
      </c>
      <c r="Q30" s="332">
        <f>IFERROR(VLOOKUP(TEXT(O30,"0"),CONDUCTORES!$A$3:$H$54,6,0),"")</f>
        <v/>
      </c>
      <c r="R30" s="334" t="n"/>
      <c r="S30" s="334" t="n"/>
      <c r="T30" s="334" t="n"/>
      <c r="U30" s="334" t="n"/>
      <c r="V30" s="334" t="n"/>
      <c r="W30" s="334" t="n"/>
      <c r="X30" s="334" t="n"/>
      <c r="Y30" s="334" t="n"/>
      <c r="Z30" s="242">
        <f>IF(AND(G30&lt;&gt;"",R30&lt;&gt;"",V30&lt;&gt;"",W30&lt;&gt;""),"COMPLETADO","OBSERVADO")</f>
        <v/>
      </c>
      <c r="AA30" s="284" t="n"/>
    </row>
    <row r="31" ht="15.75" customHeight="1" s="195">
      <c r="A31" s="280" t="n"/>
      <c r="B31" s="280" t="n"/>
      <c r="C31" s="280" t="n"/>
      <c r="D31" s="280" t="n"/>
      <c r="E31" s="280" t="n"/>
      <c r="F31" s="280" t="n"/>
      <c r="G31" s="280" t="n"/>
      <c r="H31" s="280" t="n"/>
      <c r="I31" s="332">
        <f>IFERROR(VLOOKUP(TEXT(H31,"0"),IPRESS!$A$3:$B$212,2,0),"")</f>
        <v/>
      </c>
      <c r="J31" s="280" t="n"/>
      <c r="K31" s="332">
        <f>IFERROR(VLOOKUP(TEXT(O31,"0"),CONDUCTORES!$A$3:$G$54,7,0),"")</f>
        <v/>
      </c>
      <c r="L31" s="280" t="n"/>
      <c r="M31" s="280" t="n"/>
      <c r="N31" s="333">
        <f>IFERROR(IF(L31*M31=0,"",L31*M31),"")</f>
        <v/>
      </c>
      <c r="O31" s="280" t="n"/>
      <c r="P31" s="332">
        <f>IFERROR(VLOOKUP(TEXT(O31,"0"),CONDUCTORES!$A$3:$G$54,2,0),"")</f>
        <v/>
      </c>
      <c r="Q31" s="332">
        <f>IFERROR(VLOOKUP(TEXT(O31,"0"),CONDUCTORES!$A$3:$H$54,6,0),"")</f>
        <v/>
      </c>
      <c r="R31" s="280" t="n"/>
      <c r="S31" s="280" t="n"/>
      <c r="T31" s="280" t="n"/>
      <c r="U31" s="280" t="n"/>
      <c r="V31" s="280" t="n"/>
      <c r="W31" s="280" t="n"/>
      <c r="X31" s="280" t="n"/>
      <c r="Y31" s="280" t="n"/>
      <c r="Z31" s="236">
        <f>IF(AND(G31&lt;&gt;"",R31&lt;&gt;"",V31&lt;&gt;"",W31&lt;&gt;""),"COMPLETADO","OBSERVADO")</f>
        <v/>
      </c>
      <c r="AA31" s="284" t="n"/>
    </row>
    <row r="32" ht="15.75" customHeight="1" s="195">
      <c r="A32" s="334" t="n"/>
      <c r="B32" s="334" t="n"/>
      <c r="C32" s="334" t="n"/>
      <c r="D32" s="334" t="n"/>
      <c r="E32" s="334" t="n"/>
      <c r="F32" s="334" t="n"/>
      <c r="G32" s="334" t="n"/>
      <c r="H32" s="334" t="n"/>
      <c r="I32" s="332">
        <f>IFERROR(VLOOKUP(TEXT(H32,"0"),IPRESS!$A$3:$B$212,2,0),"")</f>
        <v/>
      </c>
      <c r="J32" s="334" t="n"/>
      <c r="K32" s="332">
        <f>IFERROR(VLOOKUP(TEXT(O32,"0"),CONDUCTORES!$A$3:$G$54,7,0),"")</f>
        <v/>
      </c>
      <c r="L32" s="334" t="n"/>
      <c r="M32" s="334" t="n"/>
      <c r="N32" s="333">
        <f>IFERROR(IF(L32*M32=0,"",L32*M32),"")</f>
        <v/>
      </c>
      <c r="O32" s="334" t="n"/>
      <c r="P32" s="332">
        <f>IFERROR(VLOOKUP(TEXT(O32,"0"),CONDUCTORES!$A$3:$G$54,2,0),"")</f>
        <v/>
      </c>
      <c r="Q32" s="332">
        <f>IFERROR(VLOOKUP(TEXT(O32,"0"),CONDUCTORES!$A$3:$H$54,6,0),"")</f>
        <v/>
      </c>
      <c r="R32" s="334" t="n"/>
      <c r="S32" s="334" t="n"/>
      <c r="T32" s="334" t="n"/>
      <c r="U32" s="334" t="n"/>
      <c r="V32" s="334" t="n"/>
      <c r="W32" s="334" t="n"/>
      <c r="X32" s="334" t="n"/>
      <c r="Y32" s="334" t="n"/>
      <c r="Z32" s="242">
        <f>IF(AND(G32&lt;&gt;"",R32&lt;&gt;"",V32&lt;&gt;"",W32&lt;&gt;""),"COMPLETADO","OBSERVADO")</f>
        <v/>
      </c>
      <c r="AA32" s="284" t="n"/>
    </row>
    <row r="33" ht="15.75" customHeight="1" s="195">
      <c r="A33" s="280" t="n"/>
      <c r="B33" s="280" t="n"/>
      <c r="C33" s="280" t="n"/>
      <c r="D33" s="280" t="n"/>
      <c r="E33" s="280" t="n"/>
      <c r="F33" s="280" t="n"/>
      <c r="G33" s="280" t="n"/>
      <c r="H33" s="280" t="n"/>
      <c r="I33" s="332">
        <f>IFERROR(VLOOKUP(TEXT(H33,"0"),IPRESS!$A$3:$B$212,2,0),"")</f>
        <v/>
      </c>
      <c r="J33" s="280" t="n"/>
      <c r="K33" s="332">
        <f>IFERROR(VLOOKUP(TEXT(O33,"0"),CONDUCTORES!$A$3:$G$54,7,0),"")</f>
        <v/>
      </c>
      <c r="L33" s="280" t="n"/>
      <c r="M33" s="280" t="n"/>
      <c r="N33" s="333">
        <f>IFERROR(IF(L33*M33=0,"",L33*M33),"")</f>
        <v/>
      </c>
      <c r="O33" s="280" t="n"/>
      <c r="P33" s="332">
        <f>IFERROR(VLOOKUP(TEXT(O33,"0"),CONDUCTORES!$A$3:$G$54,2,0),"")</f>
        <v/>
      </c>
      <c r="Q33" s="332">
        <f>IFERROR(VLOOKUP(TEXT(O33,"0"),CONDUCTORES!$A$3:$H$54,6,0),"")</f>
        <v/>
      </c>
      <c r="R33" s="280" t="n"/>
      <c r="S33" s="280" t="n"/>
      <c r="T33" s="280" t="n"/>
      <c r="U33" s="280" t="n"/>
      <c r="V33" s="280" t="n"/>
      <c r="W33" s="280" t="n"/>
      <c r="X33" s="280" t="n"/>
      <c r="Y33" s="280" t="n"/>
      <c r="Z33" s="236">
        <f>IF(AND(G33&lt;&gt;"",R33&lt;&gt;"",V33&lt;&gt;"",W33&lt;&gt;""),"COMPLETADO","OBSERVADO")</f>
        <v/>
      </c>
      <c r="AA33" s="284" t="n"/>
    </row>
    <row r="34" ht="15.75" customHeight="1" s="195">
      <c r="A34" s="334" t="n"/>
      <c r="B34" s="334" t="n"/>
      <c r="C34" s="334" t="n"/>
      <c r="D34" s="334" t="n"/>
      <c r="E34" s="334" t="n"/>
      <c r="F34" s="334" t="n"/>
      <c r="G34" s="334" t="n"/>
      <c r="H34" s="334" t="n"/>
      <c r="I34" s="332">
        <f>IFERROR(VLOOKUP(TEXT(H34,"0"),IPRESS!$A$3:$B$212,2,0),"")</f>
        <v/>
      </c>
      <c r="J34" s="334" t="n"/>
      <c r="K34" s="332">
        <f>IFERROR(VLOOKUP(TEXT(O34,"0"),CONDUCTORES!$A$3:$G$54,7,0),"")</f>
        <v/>
      </c>
      <c r="L34" s="334" t="n"/>
      <c r="M34" s="334" t="n"/>
      <c r="N34" s="333">
        <f>IFERROR(IF(L34*M34=0,"",L34*M34),"")</f>
        <v/>
      </c>
      <c r="O34" s="334" t="n"/>
      <c r="P34" s="332">
        <f>IFERROR(VLOOKUP(TEXT(O34,"0"),CONDUCTORES!$A$3:$G$54,2,0),"")</f>
        <v/>
      </c>
      <c r="Q34" s="332">
        <f>IFERROR(VLOOKUP(TEXT(O34,"0"),CONDUCTORES!$A$3:$H$54,6,0),"")</f>
        <v/>
      </c>
      <c r="R34" s="334" t="n"/>
      <c r="S34" s="334" t="n"/>
      <c r="T34" s="334" t="n"/>
      <c r="U34" s="334" t="n"/>
      <c r="V34" s="334" t="n"/>
      <c r="W34" s="334" t="n"/>
      <c r="X34" s="334" t="n"/>
      <c r="Y34" s="334" t="n"/>
      <c r="Z34" s="242">
        <f>IF(AND(G34&lt;&gt;"",R34&lt;&gt;"",V34&lt;&gt;"",W34&lt;&gt;""),"COMPLETADO","OBSERVADO")</f>
        <v/>
      </c>
      <c r="AA34" s="284" t="n"/>
    </row>
    <row r="35" ht="15.75" customHeight="1" s="195">
      <c r="A35" s="280" t="n"/>
      <c r="B35" s="280" t="n"/>
      <c r="C35" s="280" t="n"/>
      <c r="D35" s="280" t="n"/>
      <c r="E35" s="280" t="n"/>
      <c r="F35" s="280" t="n"/>
      <c r="G35" s="280" t="n"/>
      <c r="H35" s="280" t="n"/>
      <c r="I35" s="332">
        <f>IFERROR(VLOOKUP(TEXT(H35,"0"),IPRESS!$A$3:$B$212,2,0),"")</f>
        <v/>
      </c>
      <c r="J35" s="280" t="n"/>
      <c r="K35" s="332">
        <f>IFERROR(VLOOKUP(TEXT(O35,"0"),CONDUCTORES!$A$3:$G$54,7,0),"")</f>
        <v/>
      </c>
      <c r="L35" s="280" t="n"/>
      <c r="M35" s="280" t="n"/>
      <c r="N35" s="333">
        <f>IFERROR(IF(L35*M35=0,"",L35*M35),"")</f>
        <v/>
      </c>
      <c r="O35" s="280" t="n"/>
      <c r="P35" s="332">
        <f>IFERROR(VLOOKUP(TEXT(O35,"0"),CONDUCTORES!$A$3:$G$54,2,0),"")</f>
        <v/>
      </c>
      <c r="Q35" s="332">
        <f>IFERROR(VLOOKUP(TEXT(O35,"0"),CONDUCTORES!$A$3:$H$54,6,0),"")</f>
        <v/>
      </c>
      <c r="R35" s="280" t="n"/>
      <c r="S35" s="280" t="n"/>
      <c r="T35" s="280" t="n"/>
      <c r="U35" s="280" t="n"/>
      <c r="V35" s="280" t="n"/>
      <c r="W35" s="280" t="n"/>
      <c r="X35" s="280" t="n"/>
      <c r="Y35" s="280" t="n"/>
      <c r="Z35" s="236">
        <f>IF(AND(G35&lt;&gt;"",R35&lt;&gt;"",V35&lt;&gt;"",W35&lt;&gt;""),"COMPLETADO","OBSERVADO")</f>
        <v/>
      </c>
      <c r="AA35" s="284" t="n"/>
    </row>
    <row r="36" ht="15.75" customHeight="1" s="195">
      <c r="A36" s="334" t="n"/>
      <c r="B36" s="334" t="n"/>
      <c r="C36" s="334" t="n"/>
      <c r="D36" s="334" t="n"/>
      <c r="E36" s="334" t="n"/>
      <c r="F36" s="334" t="n"/>
      <c r="G36" s="334" t="n"/>
      <c r="H36" s="334" t="n"/>
      <c r="I36" s="332">
        <f>IFERROR(VLOOKUP(TEXT(H36,"0"),IPRESS!$A$3:$B$212,2,0),"")</f>
        <v/>
      </c>
      <c r="J36" s="334" t="n"/>
      <c r="K36" s="332">
        <f>IFERROR(VLOOKUP(TEXT(O36,"0"),CONDUCTORES!$A$3:$G$54,7,0),"")</f>
        <v/>
      </c>
      <c r="L36" s="334" t="n"/>
      <c r="M36" s="334" t="n"/>
      <c r="N36" s="333">
        <f>IFERROR(IF(L36*M36=0,"",L36*M36),"")</f>
        <v/>
      </c>
      <c r="O36" s="334" t="n"/>
      <c r="P36" s="332">
        <f>IFERROR(VLOOKUP(TEXT(O36,"0"),CONDUCTORES!$A$3:$G$54,2,0),"")</f>
        <v/>
      </c>
      <c r="Q36" s="332">
        <f>IFERROR(VLOOKUP(TEXT(O36,"0"),CONDUCTORES!$A$3:$H$54,6,0),"")</f>
        <v/>
      </c>
      <c r="R36" s="334" t="n"/>
      <c r="S36" s="334" t="n"/>
      <c r="T36" s="334" t="n"/>
      <c r="U36" s="334" t="n"/>
      <c r="V36" s="334" t="n"/>
      <c r="W36" s="334" t="n"/>
      <c r="X36" s="334" t="n"/>
      <c r="Y36" s="334" t="n"/>
      <c r="Z36" s="242">
        <f>IF(AND(G36&lt;&gt;"",R36&lt;&gt;"",V36&lt;&gt;"",W36&lt;&gt;""),"COMPLETADO","OBSERVADO")</f>
        <v/>
      </c>
      <c r="AA36" s="284" t="n"/>
    </row>
    <row r="37" ht="15.75" customHeight="1" s="195">
      <c r="A37" s="280" t="n"/>
      <c r="B37" s="280" t="n"/>
      <c r="C37" s="280" t="n"/>
      <c r="D37" s="280" t="n"/>
      <c r="E37" s="280" t="n"/>
      <c r="F37" s="280" t="n"/>
      <c r="G37" s="280" t="n"/>
      <c r="H37" s="280" t="n"/>
      <c r="I37" s="332">
        <f>IFERROR(VLOOKUP(TEXT(H37,"0"),IPRESS!$A$3:$B$212,2,0),"")</f>
        <v/>
      </c>
      <c r="J37" s="280" t="n"/>
      <c r="K37" s="332">
        <f>IFERROR(VLOOKUP(TEXT(O37,"0"),CONDUCTORES!$A$3:$G$54,7,0),"")</f>
        <v/>
      </c>
      <c r="L37" s="280" t="n"/>
      <c r="M37" s="280" t="n"/>
      <c r="N37" s="333">
        <f>IFERROR(IF(L37*M37=0,"",L37*M37),"")</f>
        <v/>
      </c>
      <c r="O37" s="280" t="n"/>
      <c r="P37" s="332">
        <f>IFERROR(VLOOKUP(TEXT(O37,"0"),CONDUCTORES!$A$3:$G$54,2,0),"")</f>
        <v/>
      </c>
      <c r="Q37" s="332">
        <f>IFERROR(VLOOKUP(TEXT(O37,"0"),CONDUCTORES!$A$3:$H$54,6,0),"")</f>
        <v/>
      </c>
      <c r="R37" s="280" t="n"/>
      <c r="S37" s="280" t="n"/>
      <c r="T37" s="280" t="n"/>
      <c r="U37" s="280" t="n"/>
      <c r="V37" s="280" t="n"/>
      <c r="W37" s="280" t="n"/>
      <c r="X37" s="280" t="n"/>
      <c r="Y37" s="280" t="n"/>
      <c r="Z37" s="236">
        <f>IF(AND(G37&lt;&gt;"",R37&lt;&gt;"",V37&lt;&gt;"",W37&lt;&gt;""),"COMPLETADO","OBSERVADO")</f>
        <v/>
      </c>
      <c r="AA37" s="284" t="n"/>
    </row>
    <row r="38" ht="15.75" customHeight="1" s="195">
      <c r="A38" s="334" t="n"/>
      <c r="B38" s="334" t="n"/>
      <c r="C38" s="334" t="n"/>
      <c r="D38" s="334" t="n"/>
      <c r="E38" s="334" t="n"/>
      <c r="F38" s="334" t="n"/>
      <c r="G38" s="334" t="n"/>
      <c r="H38" s="334" t="n"/>
      <c r="I38" s="332">
        <f>IFERROR(VLOOKUP(TEXT(H38,"0"),IPRESS!$A$3:$B$212,2,0),"")</f>
        <v/>
      </c>
      <c r="J38" s="334" t="n"/>
      <c r="K38" s="332">
        <f>IFERROR(VLOOKUP(TEXT(O38,"0"),CONDUCTORES!$A$3:$G$54,7,0),"")</f>
        <v/>
      </c>
      <c r="L38" s="334" t="n"/>
      <c r="M38" s="334" t="n"/>
      <c r="N38" s="333">
        <f>IFERROR(IF(L38*M38=0,"",L38*M38),"")</f>
        <v/>
      </c>
      <c r="O38" s="334" t="n"/>
      <c r="P38" s="332">
        <f>IFERROR(VLOOKUP(TEXT(O38,"0"),CONDUCTORES!$A$3:$G$54,2,0),"")</f>
        <v/>
      </c>
      <c r="Q38" s="332">
        <f>IFERROR(VLOOKUP(TEXT(O38,"0"),CONDUCTORES!$A$3:$H$54,6,0),"")</f>
        <v/>
      </c>
      <c r="R38" s="334" t="n"/>
      <c r="S38" s="334" t="n"/>
      <c r="T38" s="334" t="n"/>
      <c r="U38" s="334" t="n"/>
      <c r="V38" s="334" t="n"/>
      <c r="W38" s="334" t="n"/>
      <c r="X38" s="334" t="n"/>
      <c r="Y38" s="334" t="n"/>
      <c r="Z38" s="242">
        <f>IF(AND(G38&lt;&gt;"",R38&lt;&gt;"",V38&lt;&gt;"",W38&lt;&gt;""),"COMPLETADO","OBSERVADO")</f>
        <v/>
      </c>
      <c r="AA38" s="284" t="n"/>
    </row>
    <row r="39" ht="15.75" customHeight="1" s="195">
      <c r="A39" s="280" t="n"/>
      <c r="B39" s="280" t="n"/>
      <c r="C39" s="280" t="n"/>
      <c r="D39" s="280" t="n"/>
      <c r="E39" s="280" t="n"/>
      <c r="F39" s="280" t="n"/>
      <c r="G39" s="280" t="n"/>
      <c r="H39" s="280" t="n"/>
      <c r="I39" s="332">
        <f>IFERROR(VLOOKUP(TEXT(H39,"0"),IPRESS!$A$3:$B$212,2,0),"")</f>
        <v/>
      </c>
      <c r="J39" s="280" t="n"/>
      <c r="K39" s="332">
        <f>IFERROR(VLOOKUP(TEXT(O39,"0"),CONDUCTORES!$A$3:$G$54,7,0),"")</f>
        <v/>
      </c>
      <c r="L39" s="280" t="n"/>
      <c r="M39" s="280" t="n"/>
      <c r="N39" s="333">
        <f>IFERROR(IF(L39*M39=0,"",L39*M39),"")</f>
        <v/>
      </c>
      <c r="O39" s="280" t="n"/>
      <c r="P39" s="332">
        <f>IFERROR(VLOOKUP(TEXT(O39,"0"),CONDUCTORES!$A$3:$G$54,2,0),"")</f>
        <v/>
      </c>
      <c r="Q39" s="332">
        <f>IFERROR(VLOOKUP(TEXT(O39,"0"),CONDUCTORES!$A$3:$H$54,6,0),"")</f>
        <v/>
      </c>
      <c r="R39" s="280" t="n"/>
      <c r="S39" s="280" t="n"/>
      <c r="T39" s="280" t="n"/>
      <c r="U39" s="280" t="n"/>
      <c r="V39" s="280" t="n"/>
      <c r="W39" s="280" t="n"/>
      <c r="X39" s="280" t="n"/>
      <c r="Y39" s="280" t="n"/>
      <c r="Z39" s="236">
        <f>IF(AND(G39&lt;&gt;"",R39&lt;&gt;"",V39&lt;&gt;"",W39&lt;&gt;""),"COMPLETADO","OBSERVADO")</f>
        <v/>
      </c>
      <c r="AA39" s="284" t="n"/>
    </row>
    <row r="40" ht="15.75" customHeight="1" s="195">
      <c r="A40" s="334" t="n"/>
      <c r="B40" s="334" t="n"/>
      <c r="C40" s="334" t="n"/>
      <c r="D40" s="334" t="n"/>
      <c r="E40" s="334" t="n"/>
      <c r="F40" s="334" t="n"/>
      <c r="G40" s="334" t="n"/>
      <c r="H40" s="334" t="n"/>
      <c r="I40" s="332">
        <f>IFERROR(VLOOKUP(TEXT(H40,"0"),IPRESS!$A$3:$B$212,2,0),"")</f>
        <v/>
      </c>
      <c r="J40" s="334" t="n"/>
      <c r="K40" s="332">
        <f>IFERROR(VLOOKUP(TEXT(O40,"0"),CONDUCTORES!$A$3:$G$54,7,0),"")</f>
        <v/>
      </c>
      <c r="L40" s="334" t="n"/>
      <c r="M40" s="334" t="n"/>
      <c r="N40" s="333">
        <f>IFERROR(IF(L40*M40=0,"",L40*M40),"")</f>
        <v/>
      </c>
      <c r="O40" s="334" t="n"/>
      <c r="P40" s="332">
        <f>IFERROR(VLOOKUP(TEXT(O40,"0"),CONDUCTORES!$A$3:$G$54,2,0),"")</f>
        <v/>
      </c>
      <c r="Q40" s="332">
        <f>IFERROR(VLOOKUP(TEXT(O40,"0"),CONDUCTORES!$A$3:$H$54,6,0),"")</f>
        <v/>
      </c>
      <c r="R40" s="334" t="n"/>
      <c r="S40" s="334" t="n"/>
      <c r="T40" s="334" t="n"/>
      <c r="U40" s="334" t="n"/>
      <c r="V40" s="334" t="n"/>
      <c r="W40" s="334" t="n"/>
      <c r="X40" s="334" t="n"/>
      <c r="Y40" s="334" t="n"/>
      <c r="Z40" s="242">
        <f>IF(AND(G40&lt;&gt;"",R40&lt;&gt;"",V40&lt;&gt;"",W40&lt;&gt;""),"COMPLETADO","OBSERVADO")</f>
        <v/>
      </c>
      <c r="AA40" s="284" t="n"/>
    </row>
    <row r="41" ht="15.75" customHeight="1" s="195">
      <c r="A41" s="280" t="n"/>
      <c r="B41" s="280" t="n"/>
      <c r="C41" s="280" t="n"/>
      <c r="D41" s="280" t="n"/>
      <c r="E41" s="280" t="n"/>
      <c r="F41" s="280" t="n"/>
      <c r="G41" s="280" t="n"/>
      <c r="H41" s="280" t="n"/>
      <c r="I41" s="332">
        <f>IFERROR(VLOOKUP(TEXT(H41,"0"),IPRESS!$A$3:$B$212,2,0),"")</f>
        <v/>
      </c>
      <c r="J41" s="280" t="n"/>
      <c r="K41" s="332">
        <f>IFERROR(VLOOKUP(TEXT(O41,"0"),CONDUCTORES!$A$3:$G$54,7,0),"")</f>
        <v/>
      </c>
      <c r="L41" s="280" t="n"/>
      <c r="M41" s="280" t="n"/>
      <c r="N41" s="333">
        <f>IFERROR(IF(L41*M41=0,"",L41*M41),"")</f>
        <v/>
      </c>
      <c r="O41" s="280" t="n"/>
      <c r="P41" s="332">
        <f>IFERROR(VLOOKUP(TEXT(O41,"0"),CONDUCTORES!$A$3:$G$54,2,0),"")</f>
        <v/>
      </c>
      <c r="Q41" s="332">
        <f>IFERROR(VLOOKUP(TEXT(O41,"0"),CONDUCTORES!$A$3:$H$54,6,0),"")</f>
        <v/>
      </c>
      <c r="R41" s="280" t="n"/>
      <c r="S41" s="280" t="n"/>
      <c r="T41" s="280" t="n"/>
      <c r="U41" s="280" t="n"/>
      <c r="V41" s="280" t="n"/>
      <c r="W41" s="280" t="n"/>
      <c r="X41" s="280" t="n"/>
      <c r="Y41" s="280" t="n"/>
      <c r="Z41" s="236">
        <f>IF(AND(G41&lt;&gt;"",R41&lt;&gt;"",V41&lt;&gt;"",W41&lt;&gt;""),"COMPLETADO","OBSERVADO")</f>
        <v/>
      </c>
      <c r="AA41" s="284" t="n"/>
    </row>
    <row r="42" ht="15.75" customHeight="1" s="195">
      <c r="A42" s="334" t="n"/>
      <c r="B42" s="334" t="n"/>
      <c r="C42" s="334" t="n"/>
      <c r="D42" s="334" t="n"/>
      <c r="E42" s="334" t="n"/>
      <c r="F42" s="334" t="n"/>
      <c r="G42" s="334" t="n"/>
      <c r="H42" s="334" t="n"/>
      <c r="I42" s="332">
        <f>IFERROR(VLOOKUP(TEXT(H42,"0"),IPRESS!$A$3:$B$212,2,0),"")</f>
        <v/>
      </c>
      <c r="J42" s="334" t="n"/>
      <c r="K42" s="332">
        <f>IFERROR(VLOOKUP(TEXT(O42,"0"),CONDUCTORES!$A$3:$G$54,7,0),"")</f>
        <v/>
      </c>
      <c r="L42" s="334" t="n"/>
      <c r="M42" s="334" t="n"/>
      <c r="N42" s="333">
        <f>IFERROR(IF(L42*M42=0,"",L42*M42),"")</f>
        <v/>
      </c>
      <c r="O42" s="334" t="n"/>
      <c r="P42" s="332">
        <f>IFERROR(VLOOKUP(TEXT(O42,"0"),CONDUCTORES!$A$3:$G$54,2,0),"")</f>
        <v/>
      </c>
      <c r="Q42" s="332">
        <f>IFERROR(VLOOKUP(TEXT(O42,"0"),CONDUCTORES!$A$3:$H$54,6,0),"")</f>
        <v/>
      </c>
      <c r="R42" s="334" t="n"/>
      <c r="S42" s="334" t="n"/>
      <c r="T42" s="334" t="n"/>
      <c r="U42" s="334" t="n"/>
      <c r="V42" s="334" t="n"/>
      <c r="W42" s="334" t="n"/>
      <c r="X42" s="334" t="n"/>
      <c r="Y42" s="334" t="n"/>
      <c r="Z42" s="242">
        <f>IF(AND(G42&lt;&gt;"",R42&lt;&gt;"",V42&lt;&gt;"",W42&lt;&gt;""),"COMPLETADO","OBSERVADO")</f>
        <v/>
      </c>
      <c r="AA42" s="284" t="n"/>
    </row>
    <row r="43" ht="15.75" customHeight="1" s="195">
      <c r="A43" s="280" t="n"/>
      <c r="B43" s="280" t="n"/>
      <c r="C43" s="280" t="n"/>
      <c r="D43" s="280" t="n"/>
      <c r="E43" s="280" t="n"/>
      <c r="F43" s="280" t="n"/>
      <c r="G43" s="280" t="n"/>
      <c r="H43" s="280" t="n"/>
      <c r="I43" s="332">
        <f>IFERROR(VLOOKUP(TEXT(H43,"0"),IPRESS!$A$3:$B$212,2,0),"")</f>
        <v/>
      </c>
      <c r="J43" s="280" t="n"/>
      <c r="K43" s="332">
        <f>IFERROR(VLOOKUP(TEXT(O43,"0"),CONDUCTORES!$A$3:$G$54,7,0),"")</f>
        <v/>
      </c>
      <c r="L43" s="280" t="n"/>
      <c r="M43" s="280" t="n"/>
      <c r="N43" s="333">
        <f>IFERROR(IF(L43*M43=0,"",L43*M43),"")</f>
        <v/>
      </c>
      <c r="O43" s="280" t="n"/>
      <c r="P43" s="332">
        <f>IFERROR(VLOOKUP(TEXT(O43,"0"),CONDUCTORES!$A$3:$G$54,2,0),"")</f>
        <v/>
      </c>
      <c r="Q43" s="332">
        <f>IFERROR(VLOOKUP(TEXT(O43,"0"),CONDUCTORES!$A$3:$H$54,6,0),"")</f>
        <v/>
      </c>
      <c r="R43" s="280" t="n"/>
      <c r="S43" s="280" t="n"/>
      <c r="T43" s="280" t="n"/>
      <c r="U43" s="280" t="n"/>
      <c r="V43" s="280" t="n"/>
      <c r="W43" s="280" t="n"/>
      <c r="X43" s="280" t="n"/>
      <c r="Y43" s="280" t="n"/>
      <c r="Z43" s="236">
        <f>IF(AND(G43&lt;&gt;"",R43&lt;&gt;"",V43&lt;&gt;"",W43&lt;&gt;""),"COMPLETADO","OBSERVADO")</f>
        <v/>
      </c>
      <c r="AA43" s="284" t="n"/>
    </row>
    <row r="44" ht="15.75" customHeight="1" s="195">
      <c r="A44" s="334" t="n"/>
      <c r="B44" s="334" t="n"/>
      <c r="C44" s="334" t="n"/>
      <c r="D44" s="334" t="n"/>
      <c r="E44" s="334" t="n"/>
      <c r="F44" s="334" t="n"/>
      <c r="G44" s="334" t="n"/>
      <c r="H44" s="334" t="n"/>
      <c r="I44" s="332">
        <f>IFERROR(VLOOKUP(TEXT(H44,"0"),IPRESS!$A$3:$B$212,2,0),"")</f>
        <v/>
      </c>
      <c r="J44" s="334" t="n"/>
      <c r="K44" s="332">
        <f>IFERROR(VLOOKUP(TEXT(O44,"0"),CONDUCTORES!$A$3:$G$54,7,0),"")</f>
        <v/>
      </c>
      <c r="L44" s="334" t="n"/>
      <c r="M44" s="334" t="n"/>
      <c r="N44" s="333">
        <f>IFERROR(IF(L44*M44=0,"",L44*M44),"")</f>
        <v/>
      </c>
      <c r="O44" s="334" t="n"/>
      <c r="P44" s="332">
        <f>IFERROR(VLOOKUP(TEXT(O44,"0"),CONDUCTORES!$A$3:$G$54,2,0),"")</f>
        <v/>
      </c>
      <c r="Q44" s="332">
        <f>IFERROR(VLOOKUP(TEXT(O44,"0"),CONDUCTORES!$A$3:$H$54,6,0),"")</f>
        <v/>
      </c>
      <c r="R44" s="334" t="n"/>
      <c r="S44" s="334" t="n"/>
      <c r="T44" s="334" t="n"/>
      <c r="U44" s="334" t="n"/>
      <c r="V44" s="334" t="n"/>
      <c r="W44" s="334" t="n"/>
      <c r="X44" s="334" t="n"/>
      <c r="Y44" s="334" t="n"/>
      <c r="Z44" s="242">
        <f>IF(AND(G44&lt;&gt;"",R44&lt;&gt;"",V44&lt;&gt;"",W44&lt;&gt;""),"COMPLETADO","OBSERVADO")</f>
        <v/>
      </c>
      <c r="AA44" s="284" t="n"/>
    </row>
    <row r="45" ht="15.75" customHeight="1" s="195">
      <c r="A45" s="280" t="n"/>
      <c r="B45" s="280" t="n"/>
      <c r="C45" s="280" t="n"/>
      <c r="D45" s="280" t="n"/>
      <c r="E45" s="280" t="n"/>
      <c r="F45" s="280" t="n"/>
      <c r="G45" s="280" t="n"/>
      <c r="H45" s="280" t="n"/>
      <c r="I45" s="332">
        <f>IFERROR(VLOOKUP(TEXT(H45,"0"),IPRESS!$A$3:$B$212,2,0),"")</f>
        <v/>
      </c>
      <c r="J45" s="280" t="n"/>
      <c r="K45" s="332">
        <f>IFERROR(VLOOKUP(TEXT(O45,"0"),CONDUCTORES!$A$3:$G$54,7,0),"")</f>
        <v/>
      </c>
      <c r="L45" s="280" t="n"/>
      <c r="M45" s="280" t="n"/>
      <c r="N45" s="333">
        <f>IFERROR(IF(L45*M45=0,"",L45*M45),"")</f>
        <v/>
      </c>
      <c r="O45" s="280" t="n"/>
      <c r="P45" s="332">
        <f>IFERROR(VLOOKUP(TEXT(O45,"0"),CONDUCTORES!$A$3:$G$54,2,0),"")</f>
        <v/>
      </c>
      <c r="Q45" s="332">
        <f>IFERROR(VLOOKUP(TEXT(O45,"0"),CONDUCTORES!$A$3:$H$54,6,0),"")</f>
        <v/>
      </c>
      <c r="R45" s="280" t="n"/>
      <c r="S45" s="280" t="n"/>
      <c r="T45" s="280" t="n"/>
      <c r="U45" s="280" t="n"/>
      <c r="V45" s="280" t="n"/>
      <c r="W45" s="280" t="n"/>
      <c r="X45" s="280" t="n"/>
      <c r="Y45" s="280" t="n"/>
      <c r="Z45" s="236">
        <f>IF(AND(G45&lt;&gt;"",R45&lt;&gt;"",V45&lt;&gt;"",W45&lt;&gt;""),"COMPLETADO","OBSERVADO")</f>
        <v/>
      </c>
      <c r="AA45" s="284" t="n"/>
    </row>
    <row r="46" ht="15.75" customHeight="1" s="195">
      <c r="A46" s="334" t="n"/>
      <c r="B46" s="334" t="n"/>
      <c r="C46" s="334" t="n"/>
      <c r="D46" s="334" t="n"/>
      <c r="E46" s="334" t="n"/>
      <c r="F46" s="334" t="n"/>
      <c r="G46" s="334" t="n"/>
      <c r="H46" s="334" t="n"/>
      <c r="I46" s="332">
        <f>IFERROR(VLOOKUP(TEXT(H46,"0"),IPRESS!$A$3:$B$212,2,0),"")</f>
        <v/>
      </c>
      <c r="J46" s="334" t="n"/>
      <c r="K46" s="332">
        <f>IFERROR(VLOOKUP(TEXT(O46,"0"),CONDUCTORES!$A$3:$G$54,7,0),"")</f>
        <v/>
      </c>
      <c r="L46" s="334" t="n"/>
      <c r="M46" s="334" t="n"/>
      <c r="N46" s="333">
        <f>IFERROR(IF(L46*M46=0,"",L46*M46),"")</f>
        <v/>
      </c>
      <c r="O46" s="334" t="n"/>
      <c r="P46" s="332">
        <f>IFERROR(VLOOKUP(TEXT(O46,"0"),CONDUCTORES!$A$3:$G$54,2,0),"")</f>
        <v/>
      </c>
      <c r="Q46" s="332">
        <f>IFERROR(VLOOKUP(TEXT(O46,"0"),CONDUCTORES!$A$3:$H$54,6,0),"")</f>
        <v/>
      </c>
      <c r="R46" s="334" t="n"/>
      <c r="S46" s="334" t="n"/>
      <c r="T46" s="334" t="n"/>
      <c r="U46" s="334" t="n"/>
      <c r="V46" s="334" t="n"/>
      <c r="W46" s="334" t="n"/>
      <c r="X46" s="334" t="n"/>
      <c r="Y46" s="334" t="n"/>
      <c r="Z46" s="242">
        <f>IF(AND(G46&lt;&gt;"",R46&lt;&gt;"",V46&lt;&gt;"",W46&lt;&gt;""),"COMPLETADO","OBSERVADO")</f>
        <v/>
      </c>
      <c r="AA46" s="284" t="n"/>
    </row>
    <row r="47" ht="15.75" customHeight="1" s="195">
      <c r="A47" s="280" t="n"/>
      <c r="B47" s="280" t="n"/>
      <c r="C47" s="280" t="n"/>
      <c r="D47" s="280" t="n"/>
      <c r="E47" s="280" t="n"/>
      <c r="F47" s="280" t="n"/>
      <c r="G47" s="280" t="n"/>
      <c r="H47" s="280" t="n"/>
      <c r="I47" s="332">
        <f>IFERROR(VLOOKUP(TEXT(H47,"0"),IPRESS!$A$3:$B$212,2,0),"")</f>
        <v/>
      </c>
      <c r="J47" s="280" t="n"/>
      <c r="K47" s="332">
        <f>IFERROR(VLOOKUP(TEXT(O47,"0"),CONDUCTORES!$A$3:$G$54,7,0),"")</f>
        <v/>
      </c>
      <c r="L47" s="280" t="n"/>
      <c r="M47" s="280" t="n"/>
      <c r="N47" s="333">
        <f>IFERROR(IF(L47*M47=0,"",L47*M47),"")</f>
        <v/>
      </c>
      <c r="O47" s="280" t="n"/>
      <c r="P47" s="332">
        <f>IFERROR(VLOOKUP(TEXT(O47,"0"),CONDUCTORES!$A$3:$G$54,2,0),"")</f>
        <v/>
      </c>
      <c r="Q47" s="332">
        <f>IFERROR(VLOOKUP(TEXT(O47,"0"),CONDUCTORES!$A$3:$H$54,6,0),"")</f>
        <v/>
      </c>
      <c r="R47" s="280" t="n"/>
      <c r="S47" s="280" t="n"/>
      <c r="T47" s="280" t="n"/>
      <c r="U47" s="280" t="n"/>
      <c r="V47" s="280" t="n"/>
      <c r="W47" s="280" t="n"/>
      <c r="X47" s="280" t="n"/>
      <c r="Y47" s="280" t="n"/>
      <c r="Z47" s="236">
        <f>IF(AND(G47&lt;&gt;"",R47&lt;&gt;"",V47&lt;&gt;"",W47&lt;&gt;""),"COMPLETADO","OBSERVADO")</f>
        <v/>
      </c>
      <c r="AA47" s="284" t="n"/>
    </row>
    <row r="48" ht="15.75" customHeight="1" s="195">
      <c r="A48" s="334" t="n"/>
      <c r="B48" s="334" t="n"/>
      <c r="C48" s="334" t="n"/>
      <c r="D48" s="334" t="n"/>
      <c r="E48" s="334" t="n"/>
      <c r="F48" s="334" t="n"/>
      <c r="G48" s="334" t="n"/>
      <c r="H48" s="334" t="n"/>
      <c r="I48" s="332">
        <f>IFERROR(VLOOKUP(TEXT(H48,"0"),IPRESS!$A$3:$B$212,2,0),"")</f>
        <v/>
      </c>
      <c r="J48" s="334" t="n"/>
      <c r="K48" s="332">
        <f>IFERROR(VLOOKUP(TEXT(O48,"0"),CONDUCTORES!$A$3:$G$54,7,0),"")</f>
        <v/>
      </c>
      <c r="L48" s="334" t="n"/>
      <c r="M48" s="334" t="n"/>
      <c r="N48" s="333">
        <f>IFERROR(IF(L48*M48=0,"",L48*M48),"")</f>
        <v/>
      </c>
      <c r="O48" s="334" t="n"/>
      <c r="P48" s="332">
        <f>IFERROR(VLOOKUP(TEXT(O48,"0"),CONDUCTORES!$A$3:$G$54,2,0),"")</f>
        <v/>
      </c>
      <c r="Q48" s="332">
        <f>IFERROR(VLOOKUP(TEXT(O48,"0"),CONDUCTORES!$A$3:$H$54,6,0),"")</f>
        <v/>
      </c>
      <c r="R48" s="334" t="n"/>
      <c r="S48" s="334" t="n"/>
      <c r="T48" s="334" t="n"/>
      <c r="U48" s="334" t="n"/>
      <c r="V48" s="334" t="n"/>
      <c r="W48" s="334" t="n"/>
      <c r="X48" s="334" t="n"/>
      <c r="Y48" s="334" t="n"/>
      <c r="Z48" s="242">
        <f>IF(AND(G48&lt;&gt;"",R48&lt;&gt;"",V48&lt;&gt;"",W48&lt;&gt;""),"COMPLETADO","OBSERVADO")</f>
        <v/>
      </c>
      <c r="AA48" s="284" t="n"/>
    </row>
    <row r="49" ht="15.75" customHeight="1" s="195">
      <c r="A49" s="280" t="n"/>
      <c r="B49" s="280" t="n"/>
      <c r="C49" s="280" t="n"/>
      <c r="D49" s="280" t="n"/>
      <c r="E49" s="280" t="n"/>
      <c r="F49" s="280" t="n"/>
      <c r="G49" s="280" t="n"/>
      <c r="H49" s="280" t="n"/>
      <c r="I49" s="332">
        <f>IFERROR(VLOOKUP(TEXT(H49,"0"),IPRESS!$A$3:$B$212,2,0),"")</f>
        <v/>
      </c>
      <c r="J49" s="280" t="n"/>
      <c r="K49" s="332">
        <f>IFERROR(VLOOKUP(TEXT(O49,"0"),CONDUCTORES!$A$3:$G$54,7,0),"")</f>
        <v/>
      </c>
      <c r="L49" s="280" t="n"/>
      <c r="M49" s="280" t="n"/>
      <c r="N49" s="333">
        <f>IFERROR(IF(L49*M49=0,"",L49*M49),"")</f>
        <v/>
      </c>
      <c r="O49" s="280" t="n"/>
      <c r="P49" s="332">
        <f>IFERROR(VLOOKUP(TEXT(O49,"0"),CONDUCTORES!$A$3:$G$54,2,0),"")</f>
        <v/>
      </c>
      <c r="Q49" s="332">
        <f>IFERROR(VLOOKUP(TEXT(O49,"0"),CONDUCTORES!$A$3:$H$54,6,0),"")</f>
        <v/>
      </c>
      <c r="R49" s="280" t="n"/>
      <c r="S49" s="280" t="n"/>
      <c r="T49" s="280" t="n"/>
      <c r="U49" s="280" t="n"/>
      <c r="V49" s="280" t="n"/>
      <c r="W49" s="280" t="n"/>
      <c r="X49" s="280" t="n"/>
      <c r="Y49" s="280" t="n"/>
      <c r="Z49" s="236">
        <f>IF(AND(G49&lt;&gt;"",R49&lt;&gt;"",V49&lt;&gt;"",W49&lt;&gt;""),"COMPLETADO","OBSERVADO")</f>
        <v/>
      </c>
      <c r="AA49" s="284" t="n"/>
    </row>
    <row r="50" ht="15.75" customHeight="1" s="195">
      <c r="A50" s="334" t="n"/>
      <c r="B50" s="334" t="n"/>
      <c r="C50" s="334" t="n"/>
      <c r="D50" s="334" t="n"/>
      <c r="E50" s="334" t="n"/>
      <c r="F50" s="334" t="n"/>
      <c r="G50" s="334" t="n"/>
      <c r="H50" s="334" t="n"/>
      <c r="I50" s="332">
        <f>IFERROR(VLOOKUP(TEXT(H50,"0"),IPRESS!$A$3:$B$212,2,0),"")</f>
        <v/>
      </c>
      <c r="J50" s="334" t="n"/>
      <c r="K50" s="332">
        <f>IFERROR(VLOOKUP(TEXT(O50,"0"),CONDUCTORES!$A$3:$G$54,7,0),"")</f>
        <v/>
      </c>
      <c r="L50" s="334" t="n"/>
      <c r="M50" s="334" t="n"/>
      <c r="N50" s="333">
        <f>IFERROR(IF(L50*M50=0,"",L50*M50),"")</f>
        <v/>
      </c>
      <c r="O50" s="334" t="n"/>
      <c r="P50" s="332">
        <f>IFERROR(VLOOKUP(TEXT(O50,"0"),CONDUCTORES!$A$3:$G$54,2,0),"")</f>
        <v/>
      </c>
      <c r="Q50" s="332">
        <f>IFERROR(VLOOKUP(TEXT(O50,"0"),CONDUCTORES!$A$3:$H$54,6,0),"")</f>
        <v/>
      </c>
      <c r="R50" s="334" t="n"/>
      <c r="S50" s="334" t="n"/>
      <c r="T50" s="334" t="n"/>
      <c r="U50" s="334" t="n"/>
      <c r="V50" s="334" t="n"/>
      <c r="W50" s="334" t="n"/>
      <c r="X50" s="334" t="n"/>
      <c r="Y50" s="334" t="n"/>
      <c r="Z50" s="242">
        <f>IF(AND(G50&lt;&gt;"",R50&lt;&gt;"",V50&lt;&gt;"",W50&lt;&gt;""),"COMPLETADO","OBSERVADO")</f>
        <v/>
      </c>
      <c r="AA50" s="284" t="n"/>
    </row>
    <row r="51" ht="15.75" customHeight="1" s="195">
      <c r="A51" s="280" t="n"/>
      <c r="B51" s="280" t="n"/>
      <c r="C51" s="280" t="n"/>
      <c r="D51" s="280" t="n"/>
      <c r="E51" s="280" t="n"/>
      <c r="F51" s="280" t="n"/>
      <c r="G51" s="280" t="n"/>
      <c r="H51" s="280" t="n"/>
      <c r="I51" s="332">
        <f>IFERROR(VLOOKUP(TEXT(H51,"0"),IPRESS!$A$3:$B$212,2,0),"")</f>
        <v/>
      </c>
      <c r="J51" s="280" t="n"/>
      <c r="K51" s="332">
        <f>IFERROR(VLOOKUP(TEXT(O51,"0"),CONDUCTORES!$A$3:$G$54,7,0),"")</f>
        <v/>
      </c>
      <c r="L51" s="280" t="n"/>
      <c r="M51" s="280" t="n"/>
      <c r="N51" s="333">
        <f>IFERROR(IF(L51*M51=0,"",L51*M51),"")</f>
        <v/>
      </c>
      <c r="O51" s="280" t="n"/>
      <c r="P51" s="332">
        <f>IFERROR(VLOOKUP(TEXT(O51,"0"),CONDUCTORES!$A$3:$G$54,2,0),"")</f>
        <v/>
      </c>
      <c r="Q51" s="332">
        <f>IFERROR(VLOOKUP(TEXT(O51,"0"),CONDUCTORES!$A$3:$H$54,6,0),"")</f>
        <v/>
      </c>
      <c r="R51" s="280" t="n"/>
      <c r="S51" s="280" t="n"/>
      <c r="T51" s="280" t="n"/>
      <c r="U51" s="280" t="n"/>
      <c r="V51" s="280" t="n"/>
      <c r="W51" s="280" t="n"/>
      <c r="X51" s="280" t="n"/>
      <c r="Y51" s="280" t="n"/>
      <c r="Z51" s="236">
        <f>IF(AND(G51&lt;&gt;"",R51&lt;&gt;"",V51&lt;&gt;"",W51&lt;&gt;""),"COMPLETADO","OBSERVADO")</f>
        <v/>
      </c>
      <c r="AA51" s="284" t="n"/>
    </row>
    <row r="52" ht="15.75" customHeight="1" s="195">
      <c r="A52" s="334" t="n"/>
      <c r="B52" s="334" t="n"/>
      <c r="C52" s="334" t="n"/>
      <c r="D52" s="334" t="n"/>
      <c r="E52" s="334" t="n"/>
      <c r="F52" s="334" t="n"/>
      <c r="G52" s="334" t="n"/>
      <c r="H52" s="334" t="n"/>
      <c r="I52" s="332">
        <f>IFERROR(VLOOKUP(TEXT(H52,"0"),IPRESS!$A$3:$B$212,2,0),"")</f>
        <v/>
      </c>
      <c r="J52" s="334" t="n"/>
      <c r="K52" s="332">
        <f>IFERROR(VLOOKUP(TEXT(O52,"0"),CONDUCTORES!$A$3:$G$54,7,0),"")</f>
        <v/>
      </c>
      <c r="L52" s="334" t="n"/>
      <c r="M52" s="334" t="n"/>
      <c r="N52" s="333">
        <f>IFERROR(IF(L52*M52=0,"",L52*M52),"")</f>
        <v/>
      </c>
      <c r="O52" s="334" t="n"/>
      <c r="P52" s="332">
        <f>IFERROR(VLOOKUP(TEXT(O52,"0"),CONDUCTORES!$A$3:$G$54,2,0),"")</f>
        <v/>
      </c>
      <c r="Q52" s="332">
        <f>IFERROR(VLOOKUP(TEXT(O52,"0"),CONDUCTORES!$A$3:$H$54,6,0),"")</f>
        <v/>
      </c>
      <c r="R52" s="334" t="n"/>
      <c r="S52" s="334" t="n"/>
      <c r="T52" s="334" t="n"/>
      <c r="U52" s="334" t="n"/>
      <c r="V52" s="334" t="n"/>
      <c r="W52" s="334" t="n"/>
      <c r="X52" s="334" t="n"/>
      <c r="Y52" s="334" t="n"/>
      <c r="Z52" s="242">
        <f>IF(AND(G52&lt;&gt;"",R52&lt;&gt;"",V52&lt;&gt;"",W52&lt;&gt;""),"COMPLETADO","OBSERVADO")</f>
        <v/>
      </c>
      <c r="AA52" s="284" t="n"/>
    </row>
    <row r="53" ht="15.75" customHeight="1" s="195">
      <c r="A53" s="280" t="n"/>
      <c r="B53" s="280" t="n"/>
      <c r="C53" s="280" t="n"/>
      <c r="D53" s="280" t="n"/>
      <c r="E53" s="280" t="n"/>
      <c r="F53" s="280" t="n"/>
      <c r="G53" s="280" t="n"/>
      <c r="H53" s="280" t="n"/>
      <c r="I53" s="332">
        <f>IFERROR(VLOOKUP(TEXT(H53,"0"),IPRESS!$A$3:$B$212,2,0),"")</f>
        <v/>
      </c>
      <c r="J53" s="280" t="n"/>
      <c r="K53" s="332">
        <f>IFERROR(VLOOKUP(TEXT(O53,"0"),CONDUCTORES!$A$3:$G$54,7,0),"")</f>
        <v/>
      </c>
      <c r="L53" s="280" t="n"/>
      <c r="M53" s="280" t="n"/>
      <c r="N53" s="333">
        <f>IFERROR(IF(L53*M53=0,"",L53*M53),"")</f>
        <v/>
      </c>
      <c r="O53" s="280" t="n"/>
      <c r="P53" s="332">
        <f>IFERROR(VLOOKUP(TEXT(O53,"0"),CONDUCTORES!$A$3:$G$54,2,0),"")</f>
        <v/>
      </c>
      <c r="Q53" s="332">
        <f>IFERROR(VLOOKUP(TEXT(O53,"0"),CONDUCTORES!$A$3:$H$54,6,0),"")</f>
        <v/>
      </c>
      <c r="R53" s="280" t="n"/>
      <c r="S53" s="280" t="n"/>
      <c r="T53" s="280" t="n"/>
      <c r="U53" s="280" t="n"/>
      <c r="V53" s="280" t="n"/>
      <c r="W53" s="280" t="n"/>
      <c r="X53" s="280" t="n"/>
      <c r="Y53" s="280" t="n"/>
      <c r="Z53" s="236">
        <f>IF(AND(G53&lt;&gt;"",R53&lt;&gt;"",V53&lt;&gt;"",W53&lt;&gt;""),"COMPLETADO","OBSERVADO")</f>
        <v/>
      </c>
      <c r="AA53" s="284" t="n"/>
    </row>
    <row r="54" ht="15.75" customHeight="1" s="195">
      <c r="A54" s="334" t="n"/>
      <c r="B54" s="334" t="n"/>
      <c r="C54" s="334" t="n"/>
      <c r="D54" s="334" t="n"/>
      <c r="E54" s="334" t="n"/>
      <c r="F54" s="334" t="n"/>
      <c r="G54" s="334" t="n"/>
      <c r="H54" s="334" t="n"/>
      <c r="I54" s="332">
        <f>IFERROR(VLOOKUP(TEXT(H54,"0"),IPRESS!$A$3:$B$212,2,0),"")</f>
        <v/>
      </c>
      <c r="J54" s="334" t="n"/>
      <c r="K54" s="332">
        <f>IFERROR(VLOOKUP(TEXT(O54,"0"),CONDUCTORES!$A$3:$G$54,7,0),"")</f>
        <v/>
      </c>
      <c r="L54" s="334" t="n"/>
      <c r="M54" s="334" t="n"/>
      <c r="N54" s="333">
        <f>IFERROR(IF(L54*M54=0,"",L54*M54),"")</f>
        <v/>
      </c>
      <c r="O54" s="334" t="n"/>
      <c r="P54" s="332">
        <f>IFERROR(VLOOKUP(TEXT(O54,"0"),CONDUCTORES!$A$3:$G$54,2,0),"")</f>
        <v/>
      </c>
      <c r="Q54" s="332">
        <f>IFERROR(VLOOKUP(TEXT(O54,"0"),CONDUCTORES!$A$3:$H$54,6,0),"")</f>
        <v/>
      </c>
      <c r="R54" s="334" t="n"/>
      <c r="S54" s="334" t="n"/>
      <c r="T54" s="334" t="n"/>
      <c r="U54" s="334" t="n"/>
      <c r="V54" s="334" t="n"/>
      <c r="W54" s="334" t="n"/>
      <c r="X54" s="334" t="n"/>
      <c r="Y54" s="334" t="n"/>
      <c r="Z54" s="242">
        <f>IF(AND(G54&lt;&gt;"",R54&lt;&gt;"",V54&lt;&gt;"",W54&lt;&gt;""),"COMPLETADO","OBSERVADO")</f>
        <v/>
      </c>
      <c r="AA54" s="284" t="n"/>
    </row>
    <row r="55" ht="15.75" customHeight="1" s="195">
      <c r="A55" s="280" t="n"/>
      <c r="B55" s="280" t="n"/>
      <c r="C55" s="280" t="n"/>
      <c r="D55" s="280" t="n"/>
      <c r="E55" s="280" t="n"/>
      <c r="F55" s="280" t="n"/>
      <c r="G55" s="280" t="n"/>
      <c r="H55" s="280" t="n"/>
      <c r="I55" s="332">
        <f>IFERROR(VLOOKUP(TEXT(H55,"0"),IPRESS!$A$3:$B$212,2,0),"")</f>
        <v/>
      </c>
      <c r="J55" s="280" t="n"/>
      <c r="K55" s="332">
        <f>IFERROR(VLOOKUP(TEXT(O55,"0"),CONDUCTORES!$A$3:$G$54,7,0),"")</f>
        <v/>
      </c>
      <c r="L55" s="280" t="n"/>
      <c r="M55" s="280" t="n"/>
      <c r="N55" s="333">
        <f>IFERROR(IF(L55*M55=0,"",L55*M55),"")</f>
        <v/>
      </c>
      <c r="O55" s="280" t="n"/>
      <c r="P55" s="332">
        <f>IFERROR(VLOOKUP(TEXT(O55,"0"),CONDUCTORES!$A$3:$G$54,2,0),"")</f>
        <v/>
      </c>
      <c r="Q55" s="332">
        <f>IFERROR(VLOOKUP(TEXT(O55,"0"),CONDUCTORES!$A$3:$H$54,6,0),"")</f>
        <v/>
      </c>
      <c r="R55" s="280" t="n"/>
      <c r="S55" s="280" t="n"/>
      <c r="T55" s="280" t="n"/>
      <c r="U55" s="280" t="n"/>
      <c r="V55" s="280" t="n"/>
      <c r="W55" s="280" t="n"/>
      <c r="X55" s="280" t="n"/>
      <c r="Y55" s="280" t="n"/>
      <c r="Z55" s="236">
        <f>IF(AND(G55&lt;&gt;"",R55&lt;&gt;"",V55&lt;&gt;"",W55&lt;&gt;""),"COMPLETADO","OBSERVADO")</f>
        <v/>
      </c>
      <c r="AA55" s="284" t="n"/>
    </row>
    <row r="56" ht="15.75" customHeight="1" s="195">
      <c r="A56" s="334" t="n"/>
      <c r="B56" s="334" t="n"/>
      <c r="C56" s="334" t="n"/>
      <c r="D56" s="334" t="n"/>
      <c r="E56" s="334" t="n"/>
      <c r="F56" s="334" t="n"/>
      <c r="G56" s="334" t="n"/>
      <c r="H56" s="334" t="n"/>
      <c r="I56" s="332">
        <f>IFERROR(VLOOKUP(TEXT(H56,"0"),IPRESS!$A$3:$B$212,2,0),"")</f>
        <v/>
      </c>
      <c r="J56" s="334" t="n"/>
      <c r="K56" s="332">
        <f>IFERROR(VLOOKUP(TEXT(O56,"0"),CONDUCTORES!$A$3:$G$54,7,0),"")</f>
        <v/>
      </c>
      <c r="L56" s="334" t="n"/>
      <c r="M56" s="334" t="n"/>
      <c r="N56" s="333">
        <f>IFERROR(IF(L56*M56=0,"",L56*M56),"")</f>
        <v/>
      </c>
      <c r="O56" s="334" t="n"/>
      <c r="P56" s="332">
        <f>IFERROR(VLOOKUP(TEXT(O56,"0"),CONDUCTORES!$A$3:$G$54,2,0),"")</f>
        <v/>
      </c>
      <c r="Q56" s="332">
        <f>IFERROR(VLOOKUP(TEXT(O56,"0"),CONDUCTORES!$A$3:$H$54,6,0),"")</f>
        <v/>
      </c>
      <c r="R56" s="334" t="n"/>
      <c r="S56" s="334" t="n"/>
      <c r="T56" s="334" t="n"/>
      <c r="U56" s="334" t="n"/>
      <c r="V56" s="334" t="n"/>
      <c r="W56" s="334" t="n"/>
      <c r="X56" s="334" t="n"/>
      <c r="Y56" s="334" t="n"/>
      <c r="Z56" s="242">
        <f>IF(AND(G56&lt;&gt;"",R56&lt;&gt;"",V56&lt;&gt;"",W56&lt;&gt;""),"COMPLETADO","OBSERVADO")</f>
        <v/>
      </c>
      <c r="AA56" s="284" t="n"/>
    </row>
    <row r="57" ht="15.75" customHeight="1" s="195">
      <c r="A57" s="280" t="n"/>
      <c r="B57" s="280" t="n"/>
      <c r="C57" s="280" t="n"/>
      <c r="D57" s="280" t="n"/>
      <c r="E57" s="280" t="n"/>
      <c r="F57" s="280" t="n"/>
      <c r="G57" s="280" t="n"/>
      <c r="H57" s="280" t="n"/>
      <c r="I57" s="332">
        <f>IFERROR(VLOOKUP(TEXT(H57,"0"),IPRESS!$A$3:$B$212,2,0),"")</f>
        <v/>
      </c>
      <c r="J57" s="280" t="n"/>
      <c r="K57" s="332">
        <f>IFERROR(VLOOKUP(TEXT(O57,"0"),CONDUCTORES!$A$3:$G$54,7,0),"")</f>
        <v/>
      </c>
      <c r="L57" s="280" t="n"/>
      <c r="M57" s="280" t="n"/>
      <c r="N57" s="333">
        <f>IFERROR(IF(L57*M57=0,"",L57*M57),"")</f>
        <v/>
      </c>
      <c r="O57" s="280" t="n"/>
      <c r="P57" s="332">
        <f>IFERROR(VLOOKUP(TEXT(O57,"0"),CONDUCTORES!$A$3:$G$54,2,0),"")</f>
        <v/>
      </c>
      <c r="Q57" s="332">
        <f>IFERROR(VLOOKUP(TEXT(O57,"0"),CONDUCTORES!$A$3:$H$54,6,0),"")</f>
        <v/>
      </c>
      <c r="R57" s="280" t="n"/>
      <c r="S57" s="280" t="n"/>
      <c r="T57" s="280" t="n"/>
      <c r="U57" s="280" t="n"/>
      <c r="V57" s="280" t="n"/>
      <c r="W57" s="280" t="n"/>
      <c r="X57" s="280" t="n"/>
      <c r="Y57" s="280" t="n"/>
      <c r="Z57" s="236">
        <f>IF(AND(G57&lt;&gt;"",R57&lt;&gt;"",V57&lt;&gt;"",W57&lt;&gt;""),"COMPLETADO","OBSERVADO")</f>
        <v/>
      </c>
      <c r="AA57" s="284" t="n"/>
    </row>
    <row r="58" ht="15.75" customHeight="1" s="195">
      <c r="A58" s="334" t="n"/>
      <c r="B58" s="334" t="n"/>
      <c r="C58" s="334" t="n"/>
      <c r="D58" s="334" t="n"/>
      <c r="E58" s="334" t="n"/>
      <c r="F58" s="334" t="n"/>
      <c r="G58" s="334" t="n"/>
      <c r="H58" s="334" t="n"/>
      <c r="I58" s="332">
        <f>IFERROR(VLOOKUP(TEXT(H58,"0"),IPRESS!$A$3:$B$212,2,0),"")</f>
        <v/>
      </c>
      <c r="J58" s="334" t="n"/>
      <c r="K58" s="332">
        <f>IFERROR(VLOOKUP(TEXT(O58,"0"),CONDUCTORES!$A$3:$G$54,7,0),"")</f>
        <v/>
      </c>
      <c r="L58" s="334" t="n"/>
      <c r="M58" s="334" t="n"/>
      <c r="N58" s="333">
        <f>IFERROR(IF(L58*M58=0,"",L58*M58),"")</f>
        <v/>
      </c>
      <c r="O58" s="334" t="n"/>
      <c r="P58" s="332">
        <f>IFERROR(VLOOKUP(TEXT(O58,"0"),CONDUCTORES!$A$3:$G$54,2,0),"")</f>
        <v/>
      </c>
      <c r="Q58" s="332">
        <f>IFERROR(VLOOKUP(TEXT(O58,"0"),CONDUCTORES!$A$3:$H$54,6,0),"")</f>
        <v/>
      </c>
      <c r="R58" s="334" t="n"/>
      <c r="S58" s="334" t="n"/>
      <c r="T58" s="334" t="n"/>
      <c r="U58" s="334" t="n"/>
      <c r="V58" s="334" t="n"/>
      <c r="W58" s="334" t="n"/>
      <c r="X58" s="334" t="n"/>
      <c r="Y58" s="334" t="n"/>
      <c r="Z58" s="242">
        <f>IF(AND(G58&lt;&gt;"",R58&lt;&gt;"",V58&lt;&gt;"",W58&lt;&gt;""),"COMPLETADO","OBSERVADO")</f>
        <v/>
      </c>
      <c r="AA58" s="284" t="n"/>
    </row>
    <row r="59" ht="15.75" customHeight="1" s="195">
      <c r="A59" s="280" t="n"/>
      <c r="B59" s="280" t="n"/>
      <c r="C59" s="280" t="n"/>
      <c r="D59" s="280" t="n"/>
      <c r="E59" s="280" t="n"/>
      <c r="F59" s="280" t="n"/>
      <c r="G59" s="280" t="n"/>
      <c r="H59" s="280" t="n"/>
      <c r="I59" s="332">
        <f>IFERROR(VLOOKUP(TEXT(H59,"0"),IPRESS!$A$3:$B$212,2,0),"")</f>
        <v/>
      </c>
      <c r="J59" s="280" t="n"/>
      <c r="K59" s="332">
        <f>IFERROR(VLOOKUP(TEXT(O59,"0"),CONDUCTORES!$A$3:$G$54,7,0),"")</f>
        <v/>
      </c>
      <c r="L59" s="280" t="n"/>
      <c r="M59" s="280" t="n"/>
      <c r="N59" s="333">
        <f>IFERROR(IF(L59*M59=0,"",L59*M59),"")</f>
        <v/>
      </c>
      <c r="O59" s="280" t="n"/>
      <c r="P59" s="332">
        <f>IFERROR(VLOOKUP(TEXT(O59,"0"),CONDUCTORES!$A$3:$G$54,2,0),"")</f>
        <v/>
      </c>
      <c r="Q59" s="332">
        <f>IFERROR(VLOOKUP(TEXT(O59,"0"),CONDUCTORES!$A$3:$H$54,6,0),"")</f>
        <v/>
      </c>
      <c r="R59" s="280" t="n"/>
      <c r="S59" s="280" t="n"/>
      <c r="T59" s="280" t="n"/>
      <c r="U59" s="280" t="n"/>
      <c r="V59" s="280" t="n"/>
      <c r="W59" s="280" t="n"/>
      <c r="X59" s="280" t="n"/>
      <c r="Y59" s="280" t="n"/>
      <c r="Z59" s="236">
        <f>IF(AND(G59&lt;&gt;"",R59&lt;&gt;"",V59&lt;&gt;"",W59&lt;&gt;""),"COMPLETADO","OBSERVADO")</f>
        <v/>
      </c>
      <c r="AA59" s="284" t="n"/>
    </row>
    <row r="60" ht="15.75" customHeight="1" s="195">
      <c r="A60" s="334" t="n"/>
      <c r="B60" s="334" t="n"/>
      <c r="C60" s="334" t="n"/>
      <c r="D60" s="334" t="n"/>
      <c r="E60" s="334" t="n"/>
      <c r="F60" s="334" t="n"/>
      <c r="G60" s="334" t="n"/>
      <c r="H60" s="334" t="n"/>
      <c r="I60" s="332">
        <f>IFERROR(VLOOKUP(TEXT(H60,"0"),IPRESS!$A$3:$B$212,2,0),"")</f>
        <v/>
      </c>
      <c r="J60" s="334" t="n"/>
      <c r="K60" s="332">
        <f>IFERROR(VLOOKUP(TEXT(O60,"0"),CONDUCTORES!$A$3:$G$54,7,0),"")</f>
        <v/>
      </c>
      <c r="L60" s="334" t="n"/>
      <c r="M60" s="334" t="n"/>
      <c r="N60" s="333">
        <f>IFERROR(IF(L60*M60=0,"",L60*M60),"")</f>
        <v/>
      </c>
      <c r="O60" s="334" t="n"/>
      <c r="P60" s="332">
        <f>IFERROR(VLOOKUP(TEXT(O60,"0"),CONDUCTORES!$A$3:$G$54,2,0),"")</f>
        <v/>
      </c>
      <c r="Q60" s="332">
        <f>IFERROR(VLOOKUP(TEXT(O60,"0"),CONDUCTORES!$A$3:$H$54,6,0),"")</f>
        <v/>
      </c>
      <c r="R60" s="334" t="n"/>
      <c r="S60" s="334" t="n"/>
      <c r="T60" s="334" t="n"/>
      <c r="U60" s="334" t="n"/>
      <c r="V60" s="334" t="n"/>
      <c r="W60" s="334" t="n"/>
      <c r="X60" s="334" t="n"/>
      <c r="Y60" s="334" t="n"/>
      <c r="Z60" s="242">
        <f>IF(AND(G60&lt;&gt;"",R60&lt;&gt;"",V60&lt;&gt;"",W60&lt;&gt;""),"COMPLETADO","OBSERVADO")</f>
        <v/>
      </c>
      <c r="AA60" s="284" t="n"/>
    </row>
    <row r="61" ht="15.75" customHeight="1" s="195">
      <c r="A61" s="280" t="n"/>
      <c r="B61" s="280" t="n"/>
      <c r="C61" s="280" t="n"/>
      <c r="D61" s="280" t="n"/>
      <c r="E61" s="280" t="n"/>
      <c r="F61" s="280" t="n"/>
      <c r="G61" s="280" t="n"/>
      <c r="H61" s="280" t="n"/>
      <c r="I61" s="332">
        <f>IFERROR(VLOOKUP(TEXT(H61,"0"),IPRESS!$A$3:$B$212,2,0),"")</f>
        <v/>
      </c>
      <c r="J61" s="280" t="n"/>
      <c r="K61" s="332">
        <f>IFERROR(VLOOKUP(TEXT(O61,"0"),CONDUCTORES!$A$3:$G$54,7,0),"")</f>
        <v/>
      </c>
      <c r="L61" s="280" t="n"/>
      <c r="M61" s="280" t="n"/>
      <c r="N61" s="333">
        <f>IFERROR(IF(L61*M61=0,"",L61*M61),"")</f>
        <v/>
      </c>
      <c r="O61" s="280" t="n"/>
      <c r="P61" s="332">
        <f>IFERROR(VLOOKUP(TEXT(O61,"0"),CONDUCTORES!$A$3:$G$54,2,0),"")</f>
        <v/>
      </c>
      <c r="Q61" s="332">
        <f>IFERROR(VLOOKUP(TEXT(O61,"0"),CONDUCTORES!$A$3:$H$54,6,0),"")</f>
        <v/>
      </c>
      <c r="R61" s="280" t="n"/>
      <c r="S61" s="280" t="n"/>
      <c r="T61" s="280" t="n"/>
      <c r="U61" s="280" t="n"/>
      <c r="V61" s="280" t="n"/>
      <c r="W61" s="280" t="n"/>
      <c r="X61" s="280" t="n"/>
      <c r="Y61" s="280" t="n"/>
      <c r="Z61" s="236">
        <f>IF(AND(G61&lt;&gt;"",R61&lt;&gt;"",V61&lt;&gt;"",W61&lt;&gt;""),"COMPLETADO","OBSERVADO")</f>
        <v/>
      </c>
      <c r="AA61" s="284" t="n"/>
    </row>
    <row r="62" ht="15.75" customHeight="1" s="195">
      <c r="A62" s="334" t="n"/>
      <c r="B62" s="334" t="n"/>
      <c r="C62" s="334" t="n"/>
      <c r="D62" s="334" t="n"/>
      <c r="E62" s="334" t="n"/>
      <c r="F62" s="334" t="n"/>
      <c r="G62" s="334" t="n"/>
      <c r="H62" s="334" t="n"/>
      <c r="I62" s="332">
        <f>IFERROR(VLOOKUP(TEXT(H62,"0"),IPRESS!$A$3:$B$212,2,0),"")</f>
        <v/>
      </c>
      <c r="J62" s="334" t="n"/>
      <c r="K62" s="332">
        <f>IFERROR(VLOOKUP(TEXT(O62,"0"),CONDUCTORES!$A$3:$G$54,7,0),"")</f>
        <v/>
      </c>
      <c r="L62" s="334" t="n"/>
      <c r="M62" s="334" t="n"/>
      <c r="N62" s="333">
        <f>IFERROR(IF(L62*M62=0,"",L62*M62),"")</f>
        <v/>
      </c>
      <c r="O62" s="334" t="n"/>
      <c r="P62" s="332">
        <f>IFERROR(VLOOKUP(TEXT(O62,"0"),CONDUCTORES!$A$3:$G$54,2,0),"")</f>
        <v/>
      </c>
      <c r="Q62" s="332">
        <f>IFERROR(VLOOKUP(TEXT(O62,"0"),CONDUCTORES!$A$3:$H$54,6,0),"")</f>
        <v/>
      </c>
      <c r="R62" s="334" t="n"/>
      <c r="S62" s="334" t="n"/>
      <c r="T62" s="334" t="n"/>
      <c r="U62" s="334" t="n"/>
      <c r="V62" s="334" t="n"/>
      <c r="W62" s="334" t="n"/>
      <c r="X62" s="334" t="n"/>
      <c r="Y62" s="334" t="n"/>
      <c r="Z62" s="242">
        <f>IF(AND(G62&lt;&gt;"",R62&lt;&gt;"",V62&lt;&gt;"",W62&lt;&gt;""),"COMPLETADO","OBSERVADO")</f>
        <v/>
      </c>
      <c r="AA62" s="284" t="n"/>
    </row>
    <row r="63" ht="15.75" customHeight="1" s="195">
      <c r="A63" s="280" t="n"/>
      <c r="B63" s="280" t="n"/>
      <c r="C63" s="280" t="n"/>
      <c r="D63" s="280" t="n"/>
      <c r="E63" s="280" t="n"/>
      <c r="F63" s="280" t="n"/>
      <c r="G63" s="280" t="n"/>
      <c r="H63" s="280" t="n"/>
      <c r="I63" s="332">
        <f>IFERROR(VLOOKUP(TEXT(H63,"0"),IPRESS!$A$3:$B$212,2,0),"")</f>
        <v/>
      </c>
      <c r="J63" s="280" t="n"/>
      <c r="K63" s="332">
        <f>IFERROR(VLOOKUP(TEXT(O63,"0"),CONDUCTORES!$A$3:$G$54,7,0),"")</f>
        <v/>
      </c>
      <c r="L63" s="280" t="n"/>
      <c r="M63" s="280" t="n"/>
      <c r="N63" s="333">
        <f>IFERROR(IF(L63*M63=0,"",L63*M63),"")</f>
        <v/>
      </c>
      <c r="O63" s="280" t="n"/>
      <c r="P63" s="332">
        <f>IFERROR(VLOOKUP(TEXT(O63,"0"),CONDUCTORES!$A$3:$G$54,2,0),"")</f>
        <v/>
      </c>
      <c r="Q63" s="332">
        <f>IFERROR(VLOOKUP(TEXT(O63,"0"),CONDUCTORES!$A$3:$H$54,6,0),"")</f>
        <v/>
      </c>
      <c r="R63" s="280" t="n"/>
      <c r="S63" s="280" t="n"/>
      <c r="T63" s="280" t="n"/>
      <c r="U63" s="280" t="n"/>
      <c r="V63" s="280" t="n"/>
      <c r="W63" s="280" t="n"/>
      <c r="X63" s="280" t="n"/>
      <c r="Y63" s="280" t="n"/>
      <c r="Z63" s="236">
        <f>IF(AND(G63&lt;&gt;"",R63&lt;&gt;"",V63&lt;&gt;"",W63&lt;&gt;""),"COMPLETADO","OBSERVADO")</f>
        <v/>
      </c>
      <c r="AA63" s="284" t="n"/>
    </row>
    <row r="64" ht="15.75" customHeight="1" s="195">
      <c r="A64" s="334" t="n"/>
      <c r="B64" s="334" t="n"/>
      <c r="C64" s="334" t="n"/>
      <c r="D64" s="334" t="n"/>
      <c r="E64" s="334" t="n"/>
      <c r="F64" s="334" t="n"/>
      <c r="G64" s="334" t="n"/>
      <c r="H64" s="334" t="n"/>
      <c r="I64" s="332">
        <f>IFERROR(VLOOKUP(TEXT(H64,"0"),IPRESS!$A$3:$B$212,2,0),"")</f>
        <v/>
      </c>
      <c r="J64" s="334" t="n"/>
      <c r="K64" s="332">
        <f>IFERROR(VLOOKUP(TEXT(O64,"0"),CONDUCTORES!$A$3:$G$54,7,0),"")</f>
        <v/>
      </c>
      <c r="L64" s="334" t="n"/>
      <c r="M64" s="334" t="n"/>
      <c r="N64" s="333">
        <f>IFERROR(IF(L64*M64=0,"",L64*M64),"")</f>
        <v/>
      </c>
      <c r="O64" s="334" t="n"/>
      <c r="P64" s="332">
        <f>IFERROR(VLOOKUP(TEXT(O64,"0"),CONDUCTORES!$A$3:$G$54,2,0),"")</f>
        <v/>
      </c>
      <c r="Q64" s="332">
        <f>IFERROR(VLOOKUP(TEXT(O64,"0"),CONDUCTORES!$A$3:$H$54,6,0),"")</f>
        <v/>
      </c>
      <c r="R64" s="334" t="n"/>
      <c r="S64" s="334" t="n"/>
      <c r="T64" s="334" t="n"/>
      <c r="U64" s="334" t="n"/>
      <c r="V64" s="334" t="n"/>
      <c r="W64" s="334" t="n"/>
      <c r="X64" s="334" t="n"/>
      <c r="Y64" s="334" t="n"/>
      <c r="Z64" s="242">
        <f>IF(AND(G64&lt;&gt;"",R64&lt;&gt;"",V64&lt;&gt;"",W64&lt;&gt;""),"COMPLETADO","OBSERVADO")</f>
        <v/>
      </c>
      <c r="AA64" s="284" t="n"/>
    </row>
    <row r="65" ht="15.75" customHeight="1" s="195">
      <c r="A65" s="280" t="n"/>
      <c r="B65" s="280" t="n"/>
      <c r="C65" s="280" t="n"/>
      <c r="D65" s="280" t="n"/>
      <c r="E65" s="280" t="n"/>
      <c r="F65" s="280" t="n"/>
      <c r="G65" s="280" t="n"/>
      <c r="H65" s="280" t="n"/>
      <c r="I65" s="332">
        <f>IFERROR(VLOOKUP(TEXT(H65,"0"),IPRESS!$A$3:$B$212,2,0),"")</f>
        <v/>
      </c>
      <c r="J65" s="280" t="n"/>
      <c r="K65" s="332">
        <f>IFERROR(VLOOKUP(TEXT(O65,"0"),CONDUCTORES!$A$3:$G$54,7,0),"")</f>
        <v/>
      </c>
      <c r="L65" s="280" t="n"/>
      <c r="M65" s="280" t="n"/>
      <c r="N65" s="333">
        <f>IFERROR(IF(L65*M65=0,"",L65*M65),"")</f>
        <v/>
      </c>
      <c r="O65" s="280" t="n"/>
      <c r="P65" s="332">
        <f>IFERROR(VLOOKUP(TEXT(O65,"0"),CONDUCTORES!$A$3:$G$54,2,0),"")</f>
        <v/>
      </c>
      <c r="Q65" s="332">
        <f>IFERROR(VLOOKUP(TEXT(O65,"0"),CONDUCTORES!$A$3:$H$54,6,0),"")</f>
        <v/>
      </c>
      <c r="R65" s="280" t="n"/>
      <c r="S65" s="280" t="n"/>
      <c r="T65" s="280" t="n"/>
      <c r="U65" s="280" t="n"/>
      <c r="V65" s="280" t="n"/>
      <c r="W65" s="280" t="n"/>
      <c r="X65" s="280" t="n"/>
      <c r="Y65" s="280" t="n"/>
      <c r="Z65" s="236">
        <f>IF(AND(G65&lt;&gt;"",R65&lt;&gt;"",V65&lt;&gt;"",W65&lt;&gt;""),"COMPLETADO","OBSERVADO")</f>
        <v/>
      </c>
      <c r="AA65" s="284" t="n"/>
    </row>
    <row r="66" ht="15.75" customHeight="1" s="195">
      <c r="A66" s="334" t="n"/>
      <c r="B66" s="334" t="n"/>
      <c r="C66" s="334" t="n"/>
      <c r="D66" s="334" t="n"/>
      <c r="E66" s="334" t="n"/>
      <c r="F66" s="334" t="n"/>
      <c r="G66" s="334" t="n"/>
      <c r="H66" s="334" t="n"/>
      <c r="I66" s="332">
        <f>IFERROR(VLOOKUP(TEXT(H66,"0"),IPRESS!$A$3:$B$212,2,0),"")</f>
        <v/>
      </c>
      <c r="J66" s="334" t="n"/>
      <c r="K66" s="332">
        <f>IFERROR(VLOOKUP(TEXT(O66,"0"),CONDUCTORES!$A$3:$G$54,7,0),"")</f>
        <v/>
      </c>
      <c r="L66" s="334" t="n"/>
      <c r="M66" s="334" t="n"/>
      <c r="N66" s="333">
        <f>IFERROR(IF(L66*M66=0,"",L66*M66),"")</f>
        <v/>
      </c>
      <c r="O66" s="334" t="n"/>
      <c r="P66" s="332">
        <f>IFERROR(VLOOKUP(TEXT(O66,"0"),CONDUCTORES!$A$3:$G$54,2,0),"")</f>
        <v/>
      </c>
      <c r="Q66" s="332">
        <f>IFERROR(VLOOKUP(TEXT(O66,"0"),CONDUCTORES!$A$3:$H$54,6,0),"")</f>
        <v/>
      </c>
      <c r="R66" s="334" t="n"/>
      <c r="S66" s="334" t="n"/>
      <c r="T66" s="334" t="n"/>
      <c r="U66" s="334" t="n"/>
      <c r="V66" s="334" t="n"/>
      <c r="W66" s="334" t="n"/>
      <c r="X66" s="334" t="n"/>
      <c r="Y66" s="334" t="n"/>
      <c r="Z66" s="242">
        <f>IF(AND(G66&lt;&gt;"",R66&lt;&gt;"",V66&lt;&gt;"",W66&lt;&gt;""),"COMPLETADO","OBSERVADO")</f>
        <v/>
      </c>
      <c r="AA66" s="284" t="n"/>
    </row>
    <row r="67" ht="15.75" customHeight="1" s="195">
      <c r="A67" s="280" t="n"/>
      <c r="B67" s="280" t="n"/>
      <c r="C67" s="280" t="n"/>
      <c r="D67" s="280" t="n"/>
      <c r="E67" s="280" t="n"/>
      <c r="F67" s="280" t="n"/>
      <c r="G67" s="280" t="n"/>
      <c r="H67" s="280" t="n"/>
      <c r="I67" s="332">
        <f>IFERROR(VLOOKUP(TEXT(H67,"0"),IPRESS!$A$3:$B$212,2,0),"")</f>
        <v/>
      </c>
      <c r="J67" s="280" t="n"/>
      <c r="K67" s="332">
        <f>IFERROR(VLOOKUP(TEXT(O67,"0"),CONDUCTORES!$A$3:$G$54,7,0),"")</f>
        <v/>
      </c>
      <c r="L67" s="280" t="n"/>
      <c r="M67" s="280" t="n"/>
      <c r="N67" s="333">
        <f>IFERROR(IF(L67*M67=0,"",L67*M67),"")</f>
        <v/>
      </c>
      <c r="O67" s="280" t="n"/>
      <c r="P67" s="332">
        <f>IFERROR(VLOOKUP(TEXT(O67,"0"),CONDUCTORES!$A$3:$G$54,2,0),"")</f>
        <v/>
      </c>
      <c r="Q67" s="332">
        <f>IFERROR(VLOOKUP(TEXT(O67,"0"),CONDUCTORES!$A$3:$H$54,6,0),"")</f>
        <v/>
      </c>
      <c r="R67" s="280" t="n"/>
      <c r="S67" s="280" t="n"/>
      <c r="T67" s="280" t="n"/>
      <c r="U67" s="280" t="n"/>
      <c r="V67" s="280" t="n"/>
      <c r="W67" s="280" t="n"/>
      <c r="X67" s="280" t="n"/>
      <c r="Y67" s="280" t="n"/>
      <c r="Z67" s="236">
        <f>IF(AND(G67&lt;&gt;"",R67&lt;&gt;"",V67&lt;&gt;"",W67&lt;&gt;""),"COMPLETADO","OBSERVADO")</f>
        <v/>
      </c>
      <c r="AA67" s="284" t="n"/>
    </row>
    <row r="68" ht="15.75" customHeight="1" s="195">
      <c r="A68" s="334" t="n"/>
      <c r="B68" s="334" t="n"/>
      <c r="C68" s="334" t="n"/>
      <c r="D68" s="334" t="n"/>
      <c r="E68" s="334" t="n"/>
      <c r="F68" s="334" t="n"/>
      <c r="G68" s="334" t="n"/>
      <c r="H68" s="334" t="n"/>
      <c r="I68" s="332">
        <f>IFERROR(VLOOKUP(TEXT(H68,"0"),IPRESS!$A$3:$B$212,2,0),"")</f>
        <v/>
      </c>
      <c r="J68" s="334" t="n"/>
      <c r="K68" s="332">
        <f>IFERROR(VLOOKUP(TEXT(O68,"0"),CONDUCTORES!$A$3:$G$54,7,0),"")</f>
        <v/>
      </c>
      <c r="L68" s="334" t="n"/>
      <c r="M68" s="334" t="n"/>
      <c r="N68" s="333">
        <f>IFERROR(IF(L68*M68=0,"",L68*M68),"")</f>
        <v/>
      </c>
      <c r="O68" s="334" t="n"/>
      <c r="P68" s="332">
        <f>IFERROR(VLOOKUP(TEXT(O68,"0"),CONDUCTORES!$A$3:$G$54,2,0),"")</f>
        <v/>
      </c>
      <c r="Q68" s="332">
        <f>IFERROR(VLOOKUP(TEXT(O68,"0"),CONDUCTORES!$A$3:$H$54,6,0),"")</f>
        <v/>
      </c>
      <c r="R68" s="334" t="n"/>
      <c r="S68" s="334" t="n"/>
      <c r="T68" s="334" t="n"/>
      <c r="U68" s="334" t="n"/>
      <c r="V68" s="334" t="n"/>
      <c r="W68" s="334" t="n"/>
      <c r="X68" s="334" t="n"/>
      <c r="Y68" s="334" t="n"/>
      <c r="Z68" s="242">
        <f>IF(AND(G68&lt;&gt;"",R68&lt;&gt;"",V68&lt;&gt;"",W68&lt;&gt;""),"COMPLETADO","OBSERVADO")</f>
        <v/>
      </c>
      <c r="AA68" s="284" t="n"/>
    </row>
    <row r="69" ht="15.75" customHeight="1" s="195">
      <c r="A69" s="280" t="n"/>
      <c r="B69" s="280" t="n"/>
      <c r="C69" s="280" t="n"/>
      <c r="D69" s="280" t="n"/>
      <c r="E69" s="280" t="n"/>
      <c r="F69" s="280" t="n"/>
      <c r="G69" s="280" t="n"/>
      <c r="H69" s="280" t="n"/>
      <c r="I69" s="332">
        <f>IFERROR(VLOOKUP(TEXT(H69,"0"),IPRESS!$A$3:$B$212,2,0),"")</f>
        <v/>
      </c>
      <c r="J69" s="280" t="n"/>
      <c r="K69" s="332">
        <f>IFERROR(VLOOKUP(TEXT(O69,"0"),CONDUCTORES!$A$3:$G$54,7,0),"")</f>
        <v/>
      </c>
      <c r="L69" s="280" t="n"/>
      <c r="M69" s="280" t="n"/>
      <c r="N69" s="333">
        <f>IFERROR(IF(L69*M69=0,"",L69*M69),"")</f>
        <v/>
      </c>
      <c r="O69" s="280" t="n"/>
      <c r="P69" s="332">
        <f>IFERROR(VLOOKUP(TEXT(O69,"0"),CONDUCTORES!$A$3:$G$54,2,0),"")</f>
        <v/>
      </c>
      <c r="Q69" s="332">
        <f>IFERROR(VLOOKUP(TEXT(O69,"0"),CONDUCTORES!$A$3:$H$54,6,0),"")</f>
        <v/>
      </c>
      <c r="R69" s="280" t="n"/>
      <c r="S69" s="280" t="n"/>
      <c r="T69" s="280" t="n"/>
      <c r="U69" s="280" t="n"/>
      <c r="V69" s="280" t="n"/>
      <c r="W69" s="280" t="n"/>
      <c r="X69" s="280" t="n"/>
      <c r="Y69" s="280" t="n"/>
      <c r="Z69" s="236">
        <f>IF(AND(G69&lt;&gt;"",R69&lt;&gt;"",V69&lt;&gt;"",W69&lt;&gt;""),"COMPLETADO","OBSERVADO")</f>
        <v/>
      </c>
      <c r="AA69" s="284" t="n"/>
    </row>
    <row r="70" ht="15.75" customHeight="1" s="195">
      <c r="A70" s="334" t="n"/>
      <c r="B70" s="334" t="n"/>
      <c r="C70" s="334" t="n"/>
      <c r="D70" s="334" t="n"/>
      <c r="E70" s="334" t="n"/>
      <c r="F70" s="334" t="n"/>
      <c r="G70" s="334" t="n"/>
      <c r="H70" s="334" t="n"/>
      <c r="I70" s="332">
        <f>IFERROR(VLOOKUP(TEXT(H70,"0"),IPRESS!$A$3:$B$212,2,0),"")</f>
        <v/>
      </c>
      <c r="J70" s="334" t="n"/>
      <c r="K70" s="332">
        <f>IFERROR(VLOOKUP(TEXT(O70,"0"),CONDUCTORES!$A$3:$G$54,7,0),"")</f>
        <v/>
      </c>
      <c r="L70" s="334" t="n"/>
      <c r="M70" s="334" t="n"/>
      <c r="N70" s="333">
        <f>IFERROR(IF(L70*M70=0,"",L70*M70),"")</f>
        <v/>
      </c>
      <c r="O70" s="334" t="n"/>
      <c r="P70" s="332">
        <f>IFERROR(VLOOKUP(TEXT(O70,"0"),CONDUCTORES!$A$3:$G$54,2,0),"")</f>
        <v/>
      </c>
      <c r="Q70" s="332">
        <f>IFERROR(VLOOKUP(TEXT(O70,"0"),CONDUCTORES!$A$3:$H$54,6,0),"")</f>
        <v/>
      </c>
      <c r="R70" s="334" t="n"/>
      <c r="S70" s="334" t="n"/>
      <c r="T70" s="334" t="n"/>
      <c r="U70" s="334" t="n"/>
      <c r="V70" s="334" t="n"/>
      <c r="W70" s="334" t="n"/>
      <c r="X70" s="334" t="n"/>
      <c r="Y70" s="334" t="n"/>
      <c r="Z70" s="242">
        <f>IF(AND(G70&lt;&gt;"",R70&lt;&gt;"",V70&lt;&gt;"",W70&lt;&gt;""),"COMPLETADO","OBSERVADO")</f>
        <v/>
      </c>
      <c r="AA70" s="284" t="n"/>
    </row>
    <row r="71" ht="15.75" customHeight="1" s="195">
      <c r="A71" s="280" t="n"/>
      <c r="B71" s="280" t="n"/>
      <c r="C71" s="280" t="n"/>
      <c r="D71" s="280" t="n"/>
      <c r="E71" s="280" t="n"/>
      <c r="F71" s="280" t="n"/>
      <c r="G71" s="280" t="n"/>
      <c r="H71" s="280" t="n"/>
      <c r="I71" s="332">
        <f>IFERROR(VLOOKUP(TEXT(H71,"0"),IPRESS!$A$3:$B$212,2,0),"")</f>
        <v/>
      </c>
      <c r="J71" s="280" t="n"/>
      <c r="K71" s="332">
        <f>IFERROR(VLOOKUP(TEXT(O71,"0"),CONDUCTORES!$A$3:$G$54,7,0),"")</f>
        <v/>
      </c>
      <c r="L71" s="280" t="n"/>
      <c r="M71" s="280" t="n"/>
      <c r="N71" s="333">
        <f>IFERROR(IF(L71*M71=0,"",L71*M71),"")</f>
        <v/>
      </c>
      <c r="O71" s="280" t="n"/>
      <c r="P71" s="332">
        <f>IFERROR(VLOOKUP(TEXT(O71,"0"),CONDUCTORES!$A$3:$G$54,2,0),"")</f>
        <v/>
      </c>
      <c r="Q71" s="332">
        <f>IFERROR(VLOOKUP(TEXT(O71,"0"),CONDUCTORES!$A$3:$H$54,6,0),"")</f>
        <v/>
      </c>
      <c r="R71" s="280" t="n"/>
      <c r="S71" s="280" t="n"/>
      <c r="T71" s="280" t="n"/>
      <c r="U71" s="280" t="n"/>
      <c r="V71" s="280" t="n"/>
      <c r="W71" s="280" t="n"/>
      <c r="X71" s="280" t="n"/>
      <c r="Y71" s="280" t="n"/>
      <c r="Z71" s="236">
        <f>IF(AND(G71&lt;&gt;"",R71&lt;&gt;"",V71&lt;&gt;"",W71&lt;&gt;""),"COMPLETADO","OBSERVADO")</f>
        <v/>
      </c>
      <c r="AA71" s="284" t="n"/>
    </row>
    <row r="72" ht="15.75" customHeight="1" s="195">
      <c r="A72" s="334" t="n"/>
      <c r="B72" s="334" t="n"/>
      <c r="C72" s="334" t="n"/>
      <c r="D72" s="334" t="n"/>
      <c r="E72" s="334" t="n"/>
      <c r="F72" s="334" t="n"/>
      <c r="G72" s="334" t="n"/>
      <c r="H72" s="334" t="n"/>
      <c r="I72" s="332">
        <f>IFERROR(VLOOKUP(TEXT(H72,"0"),IPRESS!$A$3:$B$212,2,0),"")</f>
        <v/>
      </c>
      <c r="J72" s="334" t="n"/>
      <c r="K72" s="332">
        <f>IFERROR(VLOOKUP(TEXT(O72,"0"),CONDUCTORES!$A$3:$G$54,7,0),"")</f>
        <v/>
      </c>
      <c r="L72" s="334" t="n"/>
      <c r="M72" s="334" t="n"/>
      <c r="N72" s="333">
        <f>IFERROR(IF(L72*M72=0,"",L72*M72),"")</f>
        <v/>
      </c>
      <c r="O72" s="334" t="n"/>
      <c r="P72" s="332">
        <f>IFERROR(VLOOKUP(TEXT(O72,"0"),CONDUCTORES!$A$3:$G$54,2,0),"")</f>
        <v/>
      </c>
      <c r="Q72" s="332">
        <f>IFERROR(VLOOKUP(TEXT(O72,"0"),CONDUCTORES!$A$3:$H$54,6,0),"")</f>
        <v/>
      </c>
      <c r="R72" s="334" t="n"/>
      <c r="S72" s="334" t="n"/>
      <c r="T72" s="334" t="n"/>
      <c r="U72" s="334" t="n"/>
      <c r="V72" s="334" t="n"/>
      <c r="W72" s="334" t="n"/>
      <c r="X72" s="334" t="n"/>
      <c r="Y72" s="334" t="n"/>
      <c r="Z72" s="242">
        <f>IF(AND(G72&lt;&gt;"",R72&lt;&gt;"",V72&lt;&gt;"",W72&lt;&gt;""),"COMPLETADO","OBSERVADO")</f>
        <v/>
      </c>
      <c r="AA72" s="284" t="n"/>
    </row>
    <row r="73" ht="15.75" customHeight="1" s="195">
      <c r="A73" s="280" t="n"/>
      <c r="B73" s="280" t="n"/>
      <c r="C73" s="280" t="n"/>
      <c r="D73" s="280" t="n"/>
      <c r="E73" s="280" t="n"/>
      <c r="F73" s="280" t="n"/>
      <c r="G73" s="280" t="n"/>
      <c r="H73" s="280" t="n"/>
      <c r="I73" s="332">
        <f>IFERROR(VLOOKUP(TEXT(H73,"0"),IPRESS!$A$3:$B$212,2,0),"")</f>
        <v/>
      </c>
      <c r="J73" s="280" t="n"/>
      <c r="K73" s="332">
        <f>IFERROR(VLOOKUP(TEXT(O73,"0"),CONDUCTORES!$A$3:$G$54,7,0),"")</f>
        <v/>
      </c>
      <c r="L73" s="280" t="n"/>
      <c r="M73" s="280" t="n"/>
      <c r="N73" s="333">
        <f>IFERROR(IF(L73*M73=0,"",L73*M73),"")</f>
        <v/>
      </c>
      <c r="O73" s="280" t="n"/>
      <c r="P73" s="332">
        <f>IFERROR(VLOOKUP(TEXT(O73,"0"),CONDUCTORES!$A$3:$G$54,2,0),"")</f>
        <v/>
      </c>
      <c r="Q73" s="332">
        <f>IFERROR(VLOOKUP(TEXT(O73,"0"),CONDUCTORES!$A$3:$H$54,6,0),"")</f>
        <v/>
      </c>
      <c r="R73" s="280" t="n"/>
      <c r="S73" s="280" t="n"/>
      <c r="T73" s="280" t="n"/>
      <c r="U73" s="280" t="n"/>
      <c r="V73" s="280" t="n"/>
      <c r="W73" s="280" t="n"/>
      <c r="X73" s="280" t="n"/>
      <c r="Y73" s="280" t="n"/>
      <c r="Z73" s="236">
        <f>IF(AND(G73&lt;&gt;"",R73&lt;&gt;"",V73&lt;&gt;"",W73&lt;&gt;""),"COMPLETADO","OBSERVADO")</f>
        <v/>
      </c>
      <c r="AA73" s="284" t="n"/>
    </row>
    <row r="74" ht="15.75" customHeight="1" s="195">
      <c r="A74" s="334" t="n"/>
      <c r="B74" s="334" t="n"/>
      <c r="C74" s="334" t="n"/>
      <c r="D74" s="334" t="n"/>
      <c r="E74" s="334" t="n"/>
      <c r="F74" s="334" t="n"/>
      <c r="G74" s="334" t="n"/>
      <c r="H74" s="334" t="n"/>
      <c r="I74" s="332">
        <f>IFERROR(VLOOKUP(TEXT(H74,"0"),IPRESS!$A$3:$B$212,2,0),"")</f>
        <v/>
      </c>
      <c r="J74" s="334" t="n"/>
      <c r="K74" s="332">
        <f>IFERROR(VLOOKUP(TEXT(O74,"0"),CONDUCTORES!$A$3:$G$54,7,0),"")</f>
        <v/>
      </c>
      <c r="L74" s="334" t="n"/>
      <c r="M74" s="334" t="n"/>
      <c r="N74" s="333">
        <f>IFERROR(IF(L74*M74=0,"",L74*M74),"")</f>
        <v/>
      </c>
      <c r="O74" s="334" t="n"/>
      <c r="P74" s="332">
        <f>IFERROR(VLOOKUP(TEXT(O74,"0"),CONDUCTORES!$A$3:$G$54,2,0),"")</f>
        <v/>
      </c>
      <c r="Q74" s="332">
        <f>IFERROR(VLOOKUP(TEXT(O74,"0"),CONDUCTORES!$A$3:$H$54,6,0),"")</f>
        <v/>
      </c>
      <c r="R74" s="334" t="n"/>
      <c r="S74" s="334" t="n"/>
      <c r="T74" s="334" t="n"/>
      <c r="U74" s="334" t="n"/>
      <c r="V74" s="334" t="n"/>
      <c r="W74" s="334" t="n"/>
      <c r="X74" s="334" t="n"/>
      <c r="Y74" s="334" t="n"/>
      <c r="Z74" s="242">
        <f>IF(AND(G74&lt;&gt;"",R74&lt;&gt;"",V74&lt;&gt;"",W74&lt;&gt;""),"COMPLETADO","OBSERVADO")</f>
        <v/>
      </c>
      <c r="AA74" s="284" t="n"/>
    </row>
    <row r="75" ht="15.75" customHeight="1" s="195">
      <c r="A75" s="280" t="n"/>
      <c r="B75" s="280" t="n"/>
      <c r="C75" s="280" t="n"/>
      <c r="D75" s="280" t="n"/>
      <c r="E75" s="280" t="n"/>
      <c r="F75" s="280" t="n"/>
      <c r="G75" s="280" t="n"/>
      <c r="H75" s="280" t="n"/>
      <c r="I75" s="332">
        <f>IFERROR(VLOOKUP(TEXT(H75,"0"),IPRESS!$A$3:$B$212,2,0),"")</f>
        <v/>
      </c>
      <c r="J75" s="280" t="n"/>
      <c r="K75" s="332">
        <f>IFERROR(VLOOKUP(TEXT(O75,"0"),CONDUCTORES!$A$3:$G$54,7,0),"")</f>
        <v/>
      </c>
      <c r="L75" s="280" t="n"/>
      <c r="M75" s="280" t="n"/>
      <c r="N75" s="333">
        <f>IFERROR(IF(L75*M75=0,"",L75*M75),"")</f>
        <v/>
      </c>
      <c r="O75" s="280" t="n"/>
      <c r="P75" s="332">
        <f>IFERROR(VLOOKUP(TEXT(O75,"0"),CONDUCTORES!$A$3:$G$54,2,0),"")</f>
        <v/>
      </c>
      <c r="Q75" s="332">
        <f>IFERROR(VLOOKUP(TEXT(O75,"0"),CONDUCTORES!$A$3:$H$54,6,0),"")</f>
        <v/>
      </c>
      <c r="R75" s="280" t="n"/>
      <c r="S75" s="280" t="n"/>
      <c r="T75" s="280" t="n"/>
      <c r="U75" s="280" t="n"/>
      <c r="V75" s="280" t="n"/>
      <c r="W75" s="280" t="n"/>
      <c r="X75" s="280" t="n"/>
      <c r="Y75" s="280" t="n"/>
      <c r="Z75" s="236">
        <f>IF(AND(G75&lt;&gt;"",R75&lt;&gt;"",V75&lt;&gt;"",W75&lt;&gt;""),"COMPLETADO","OBSERVADO")</f>
        <v/>
      </c>
      <c r="AA75" s="284" t="n"/>
    </row>
    <row r="76" ht="15.75" customHeight="1" s="195">
      <c r="A76" s="334" t="n"/>
      <c r="B76" s="334" t="n"/>
      <c r="C76" s="334" t="n"/>
      <c r="D76" s="334" t="n"/>
      <c r="E76" s="334" t="n"/>
      <c r="F76" s="334" t="n"/>
      <c r="G76" s="334" t="n"/>
      <c r="H76" s="334" t="n"/>
      <c r="I76" s="332">
        <f>IFERROR(VLOOKUP(TEXT(H76,"0"),IPRESS!$A$3:$B$212,2,0),"")</f>
        <v/>
      </c>
      <c r="J76" s="334" t="n"/>
      <c r="K76" s="332">
        <f>IFERROR(VLOOKUP(TEXT(O76,"0"),CONDUCTORES!$A$3:$G$54,7,0),"")</f>
        <v/>
      </c>
      <c r="L76" s="334" t="n"/>
      <c r="M76" s="334" t="n"/>
      <c r="N76" s="333">
        <f>IFERROR(IF(L76*M76=0,"",L76*M76),"")</f>
        <v/>
      </c>
      <c r="O76" s="334" t="n"/>
      <c r="P76" s="332">
        <f>IFERROR(VLOOKUP(TEXT(O76,"0"),CONDUCTORES!$A$3:$G$54,2,0),"")</f>
        <v/>
      </c>
      <c r="Q76" s="332">
        <f>IFERROR(VLOOKUP(TEXT(O76,"0"),CONDUCTORES!$A$3:$H$54,6,0),"")</f>
        <v/>
      </c>
      <c r="R76" s="334" t="n"/>
      <c r="S76" s="334" t="n"/>
      <c r="T76" s="334" t="n"/>
      <c r="U76" s="334" t="n"/>
      <c r="V76" s="334" t="n"/>
      <c r="W76" s="334" t="n"/>
      <c r="X76" s="334" t="n"/>
      <c r="Y76" s="334" t="n"/>
      <c r="Z76" s="242">
        <f>IF(AND(G76&lt;&gt;"",R76&lt;&gt;"",V76&lt;&gt;"",W76&lt;&gt;""),"COMPLETADO","OBSERVADO")</f>
        <v/>
      </c>
      <c r="AA76" s="284" t="n"/>
    </row>
    <row r="77" ht="15.75" customHeight="1" s="195">
      <c r="A77" s="280" t="n"/>
      <c r="B77" s="280" t="n"/>
      <c r="C77" s="280" t="n"/>
      <c r="D77" s="280" t="n"/>
      <c r="E77" s="280" t="n"/>
      <c r="F77" s="280" t="n"/>
      <c r="G77" s="280" t="n"/>
      <c r="H77" s="280" t="n"/>
      <c r="I77" s="332">
        <f>IFERROR(VLOOKUP(TEXT(H77,"0"),IPRESS!$A$3:$B$212,2,0),"")</f>
        <v/>
      </c>
      <c r="J77" s="280" t="n"/>
      <c r="K77" s="332">
        <f>IFERROR(VLOOKUP(TEXT(O77,"0"),CONDUCTORES!$A$3:$G$54,7,0),"")</f>
        <v/>
      </c>
      <c r="L77" s="280" t="n"/>
      <c r="M77" s="280" t="n"/>
      <c r="N77" s="333">
        <f>IFERROR(IF(L77*M77=0,"",L77*M77),"")</f>
        <v/>
      </c>
      <c r="O77" s="280" t="n"/>
      <c r="P77" s="332">
        <f>IFERROR(VLOOKUP(TEXT(O77,"0"),CONDUCTORES!$A$3:$G$54,2,0),"")</f>
        <v/>
      </c>
      <c r="Q77" s="332">
        <f>IFERROR(VLOOKUP(TEXT(O77,"0"),CONDUCTORES!$A$3:$H$54,6,0),"")</f>
        <v/>
      </c>
      <c r="R77" s="280" t="n"/>
      <c r="S77" s="280" t="n"/>
      <c r="T77" s="280" t="n"/>
      <c r="U77" s="280" t="n"/>
      <c r="V77" s="280" t="n"/>
      <c r="W77" s="280" t="n"/>
      <c r="X77" s="280" t="n"/>
      <c r="Y77" s="280" t="n"/>
      <c r="Z77" s="236">
        <f>IF(AND(G77&lt;&gt;"",R77&lt;&gt;"",V77&lt;&gt;"",W77&lt;&gt;""),"COMPLETADO","OBSERVADO")</f>
        <v/>
      </c>
      <c r="AA77" s="284" t="n"/>
    </row>
    <row r="78" ht="15.75" customHeight="1" s="195">
      <c r="A78" s="334" t="n"/>
      <c r="B78" s="334" t="n"/>
      <c r="C78" s="334" t="n"/>
      <c r="D78" s="334" t="n"/>
      <c r="E78" s="334" t="n"/>
      <c r="F78" s="334" t="n"/>
      <c r="G78" s="334" t="n"/>
      <c r="H78" s="334" t="n"/>
      <c r="I78" s="332">
        <f>IFERROR(VLOOKUP(TEXT(H78,"0"),IPRESS!$A$3:$B$212,2,0),"")</f>
        <v/>
      </c>
      <c r="J78" s="334" t="n"/>
      <c r="K78" s="332">
        <f>IFERROR(VLOOKUP(TEXT(O78,"0"),CONDUCTORES!$A$3:$G$54,7,0),"")</f>
        <v/>
      </c>
      <c r="L78" s="334" t="n"/>
      <c r="M78" s="334" t="n"/>
      <c r="N78" s="333">
        <f>IFERROR(IF(L78*M78=0,"",L78*M78),"")</f>
        <v/>
      </c>
      <c r="O78" s="334" t="n"/>
      <c r="P78" s="332">
        <f>IFERROR(VLOOKUP(TEXT(O78,"0"),CONDUCTORES!$A$3:$G$54,2,0),"")</f>
        <v/>
      </c>
      <c r="Q78" s="332">
        <f>IFERROR(VLOOKUP(TEXT(O78,"0"),CONDUCTORES!$A$3:$H$54,6,0),"")</f>
        <v/>
      </c>
      <c r="R78" s="334" t="n"/>
      <c r="S78" s="334" t="n"/>
      <c r="T78" s="334" t="n"/>
      <c r="U78" s="334" t="n"/>
      <c r="V78" s="334" t="n"/>
      <c r="W78" s="334" t="n"/>
      <c r="X78" s="334" t="n"/>
      <c r="Y78" s="334" t="n"/>
      <c r="Z78" s="242">
        <f>IF(AND(G78&lt;&gt;"",R78&lt;&gt;"",V78&lt;&gt;"",W78&lt;&gt;""),"COMPLETADO","OBSERVADO")</f>
        <v/>
      </c>
      <c r="AA78" s="284" t="n"/>
    </row>
    <row r="79" ht="15.75" customHeight="1" s="195">
      <c r="A79" s="280" t="n"/>
      <c r="B79" s="280" t="n"/>
      <c r="C79" s="280" t="n"/>
      <c r="D79" s="280" t="n"/>
      <c r="E79" s="280" t="n"/>
      <c r="F79" s="280" t="n"/>
      <c r="G79" s="280" t="n"/>
      <c r="H79" s="280" t="n"/>
      <c r="I79" s="332">
        <f>IFERROR(VLOOKUP(TEXT(H79,"0"),IPRESS!$A$3:$B$212,2,0),"")</f>
        <v/>
      </c>
      <c r="J79" s="280" t="n"/>
      <c r="K79" s="332">
        <f>IFERROR(VLOOKUP(TEXT(O79,"0"),CONDUCTORES!$A$3:$G$54,7,0),"")</f>
        <v/>
      </c>
      <c r="L79" s="280" t="n"/>
      <c r="M79" s="280" t="n"/>
      <c r="N79" s="333">
        <f>IFERROR(IF(L79*M79=0,"",L79*M79),"")</f>
        <v/>
      </c>
      <c r="O79" s="280" t="n"/>
      <c r="P79" s="332">
        <f>IFERROR(VLOOKUP(TEXT(O79,"0"),CONDUCTORES!$A$3:$G$54,2,0),"")</f>
        <v/>
      </c>
      <c r="Q79" s="332">
        <f>IFERROR(VLOOKUP(TEXT(O79,"0"),CONDUCTORES!$A$3:$H$54,6,0),"")</f>
        <v/>
      </c>
      <c r="R79" s="280" t="n"/>
      <c r="S79" s="280" t="n"/>
      <c r="T79" s="280" t="n"/>
      <c r="U79" s="280" t="n"/>
      <c r="V79" s="280" t="n"/>
      <c r="W79" s="280" t="n"/>
      <c r="X79" s="280" t="n"/>
      <c r="Y79" s="280" t="n"/>
      <c r="Z79" s="236">
        <f>IF(AND(G79&lt;&gt;"",R79&lt;&gt;"",V79&lt;&gt;"",W79&lt;&gt;""),"COMPLETADO","OBSERVADO")</f>
        <v/>
      </c>
      <c r="AA79" s="284" t="n"/>
    </row>
    <row r="80" ht="15.75" customHeight="1" s="195">
      <c r="A80" s="334" t="n"/>
      <c r="B80" s="334" t="n"/>
      <c r="C80" s="334" t="n"/>
      <c r="D80" s="334" t="n"/>
      <c r="E80" s="334" t="n"/>
      <c r="F80" s="334" t="n"/>
      <c r="G80" s="334" t="n"/>
      <c r="H80" s="334" t="n"/>
      <c r="I80" s="332">
        <f>IFERROR(VLOOKUP(TEXT(H80,"0"),IPRESS!$A$3:$B$212,2,0),"")</f>
        <v/>
      </c>
      <c r="J80" s="334" t="n"/>
      <c r="K80" s="332">
        <f>IFERROR(VLOOKUP(TEXT(O80,"0"),CONDUCTORES!$A$3:$G$54,7,0),"")</f>
        <v/>
      </c>
      <c r="L80" s="334" t="n"/>
      <c r="M80" s="334" t="n"/>
      <c r="N80" s="333">
        <f>IFERROR(IF(L80*M80=0,"",L80*M80),"")</f>
        <v/>
      </c>
      <c r="O80" s="334" t="n"/>
      <c r="P80" s="332">
        <f>IFERROR(VLOOKUP(TEXT(O80,"0"),CONDUCTORES!$A$3:$G$54,2,0),"")</f>
        <v/>
      </c>
      <c r="Q80" s="332">
        <f>IFERROR(VLOOKUP(TEXT(O80,"0"),CONDUCTORES!$A$3:$H$54,6,0),"")</f>
        <v/>
      </c>
      <c r="R80" s="334" t="n"/>
      <c r="S80" s="334" t="n"/>
      <c r="T80" s="334" t="n"/>
      <c r="U80" s="334" t="n"/>
      <c r="V80" s="334" t="n"/>
      <c r="W80" s="334" t="n"/>
      <c r="X80" s="334" t="n"/>
      <c r="Y80" s="334" t="n"/>
      <c r="Z80" s="242">
        <f>IF(AND(G80&lt;&gt;"",R80&lt;&gt;"",V80&lt;&gt;"",W80&lt;&gt;""),"COMPLETADO","OBSERVADO")</f>
        <v/>
      </c>
      <c r="AA80" s="284" t="n"/>
    </row>
    <row r="81" ht="15.75" customHeight="1" s="195">
      <c r="A81" s="280" t="n"/>
      <c r="B81" s="280" t="n"/>
      <c r="C81" s="280" t="n"/>
      <c r="D81" s="280" t="n"/>
      <c r="E81" s="280" t="n"/>
      <c r="F81" s="280" t="n"/>
      <c r="G81" s="280" t="n"/>
      <c r="H81" s="280" t="n"/>
      <c r="I81" s="332">
        <f>IFERROR(VLOOKUP(TEXT(H81,"0"),IPRESS!$A$3:$B$212,2,0),"")</f>
        <v/>
      </c>
      <c r="J81" s="280" t="n"/>
      <c r="K81" s="332">
        <f>IFERROR(VLOOKUP(TEXT(O81,"0"),CONDUCTORES!$A$3:$G$54,7,0),"")</f>
        <v/>
      </c>
      <c r="L81" s="280" t="n"/>
      <c r="M81" s="280" t="n"/>
      <c r="N81" s="333">
        <f>IFERROR(IF(L81*M81=0,"",L81*M81),"")</f>
        <v/>
      </c>
      <c r="O81" s="280" t="n"/>
      <c r="P81" s="332">
        <f>IFERROR(VLOOKUP(TEXT(O81,"0"),CONDUCTORES!$A$3:$G$54,2,0),"")</f>
        <v/>
      </c>
      <c r="Q81" s="332">
        <f>IFERROR(VLOOKUP(TEXT(O81,"0"),CONDUCTORES!$A$3:$H$54,6,0),"")</f>
        <v/>
      </c>
      <c r="R81" s="280" t="n"/>
      <c r="S81" s="280" t="n"/>
      <c r="T81" s="280" t="n"/>
      <c r="U81" s="280" t="n"/>
      <c r="V81" s="280" t="n"/>
      <c r="W81" s="280" t="n"/>
      <c r="X81" s="280" t="n"/>
      <c r="Y81" s="280" t="n"/>
      <c r="Z81" s="236">
        <f>IF(AND(G81&lt;&gt;"",R81&lt;&gt;"",V81&lt;&gt;"",W81&lt;&gt;""),"COMPLETADO","OBSERVADO")</f>
        <v/>
      </c>
      <c r="AA81" s="284" t="n"/>
    </row>
    <row r="82" ht="15.75" customHeight="1" s="195">
      <c r="A82" s="334" t="n"/>
      <c r="B82" s="334" t="n"/>
      <c r="C82" s="334" t="n"/>
      <c r="D82" s="334" t="n"/>
      <c r="E82" s="334" t="n"/>
      <c r="F82" s="334" t="n"/>
      <c r="G82" s="334" t="n"/>
      <c r="H82" s="334" t="n"/>
      <c r="I82" s="332">
        <f>IFERROR(VLOOKUP(TEXT(H82,"0"),IPRESS!$A$3:$B$212,2,0),"")</f>
        <v/>
      </c>
      <c r="J82" s="334" t="n"/>
      <c r="K82" s="332">
        <f>IFERROR(VLOOKUP(TEXT(O82,"0"),CONDUCTORES!$A$3:$G$54,7,0),"")</f>
        <v/>
      </c>
      <c r="L82" s="334" t="n"/>
      <c r="M82" s="334" t="n"/>
      <c r="N82" s="333">
        <f>IFERROR(IF(L82*M82=0,"",L82*M82),"")</f>
        <v/>
      </c>
      <c r="O82" s="334" t="n"/>
      <c r="P82" s="332">
        <f>IFERROR(VLOOKUP(TEXT(O82,"0"),CONDUCTORES!$A$3:$G$54,2,0),"")</f>
        <v/>
      </c>
      <c r="Q82" s="332">
        <f>IFERROR(VLOOKUP(TEXT(O82,"0"),CONDUCTORES!$A$3:$H$54,6,0),"")</f>
        <v/>
      </c>
      <c r="R82" s="334" t="n"/>
      <c r="S82" s="334" t="n"/>
      <c r="T82" s="334" t="n"/>
      <c r="U82" s="334" t="n"/>
      <c r="V82" s="334" t="n"/>
      <c r="W82" s="334" t="n"/>
      <c r="X82" s="334" t="n"/>
      <c r="Y82" s="334" t="n"/>
      <c r="Z82" s="242">
        <f>IF(AND(G82&lt;&gt;"",R82&lt;&gt;"",V82&lt;&gt;"",W82&lt;&gt;""),"COMPLETADO","OBSERVADO")</f>
        <v/>
      </c>
      <c r="AA82" s="284" t="n"/>
    </row>
    <row r="83" ht="15.75" customHeight="1" s="195">
      <c r="A83" s="280" t="n"/>
      <c r="B83" s="280" t="n"/>
      <c r="C83" s="280" t="n"/>
      <c r="D83" s="280" t="n"/>
      <c r="E83" s="280" t="n"/>
      <c r="F83" s="280" t="n"/>
      <c r="G83" s="280" t="n"/>
      <c r="H83" s="280" t="n"/>
      <c r="I83" s="332">
        <f>IFERROR(VLOOKUP(TEXT(H83,"0"),IPRESS!$A$3:$B$212,2,0),"")</f>
        <v/>
      </c>
      <c r="J83" s="280" t="n"/>
      <c r="K83" s="332">
        <f>IFERROR(VLOOKUP(TEXT(O83,"0"),CONDUCTORES!$A$3:$G$54,7,0),"")</f>
        <v/>
      </c>
      <c r="L83" s="280" t="n"/>
      <c r="M83" s="280" t="n"/>
      <c r="N83" s="333">
        <f>IFERROR(IF(L83*M83=0,"",L83*M83),"")</f>
        <v/>
      </c>
      <c r="O83" s="280" t="n"/>
      <c r="P83" s="332">
        <f>IFERROR(VLOOKUP(TEXT(O83,"0"),CONDUCTORES!$A$3:$G$54,2,0),"")</f>
        <v/>
      </c>
      <c r="Q83" s="332">
        <f>IFERROR(VLOOKUP(TEXT(O83,"0"),CONDUCTORES!$A$3:$H$54,6,0),"")</f>
        <v/>
      </c>
      <c r="R83" s="280" t="n"/>
      <c r="S83" s="280" t="n"/>
      <c r="T83" s="280" t="n"/>
      <c r="U83" s="280" t="n"/>
      <c r="V83" s="280" t="n"/>
      <c r="W83" s="280" t="n"/>
      <c r="X83" s="280" t="n"/>
      <c r="Y83" s="280" t="n"/>
      <c r="Z83" s="236">
        <f>IF(AND(G83&lt;&gt;"",R83&lt;&gt;"",V83&lt;&gt;"",W83&lt;&gt;""),"COMPLETADO","OBSERVADO")</f>
        <v/>
      </c>
      <c r="AA83" s="284" t="n"/>
    </row>
    <row r="84" ht="15.75" customHeight="1" s="195">
      <c r="A84" s="334" t="n"/>
      <c r="B84" s="334" t="n"/>
      <c r="C84" s="334" t="n"/>
      <c r="D84" s="334" t="n"/>
      <c r="E84" s="334" t="n"/>
      <c r="F84" s="334" t="n"/>
      <c r="G84" s="334" t="n"/>
      <c r="H84" s="334" t="n"/>
      <c r="I84" s="332">
        <f>IFERROR(VLOOKUP(TEXT(H84,"0"),IPRESS!$A$3:$B$212,2,0),"")</f>
        <v/>
      </c>
      <c r="J84" s="334" t="n"/>
      <c r="K84" s="332">
        <f>IFERROR(VLOOKUP(TEXT(O84,"0"),CONDUCTORES!$A$3:$G$54,7,0),"")</f>
        <v/>
      </c>
      <c r="L84" s="334" t="n"/>
      <c r="M84" s="334" t="n"/>
      <c r="N84" s="333">
        <f>IFERROR(IF(L84*M84=0,"",L84*M84),"")</f>
        <v/>
      </c>
      <c r="O84" s="334" t="n"/>
      <c r="P84" s="332">
        <f>IFERROR(VLOOKUP(TEXT(O84,"0"),CONDUCTORES!$A$3:$G$54,2,0),"")</f>
        <v/>
      </c>
      <c r="Q84" s="332">
        <f>IFERROR(VLOOKUP(TEXT(O84,"0"),CONDUCTORES!$A$3:$H$54,6,0),"")</f>
        <v/>
      </c>
      <c r="R84" s="334" t="n"/>
      <c r="S84" s="334" t="n"/>
      <c r="T84" s="334" t="n"/>
      <c r="U84" s="334" t="n"/>
      <c r="V84" s="334" t="n"/>
      <c r="W84" s="334" t="n"/>
      <c r="X84" s="334" t="n"/>
      <c r="Y84" s="334" t="n"/>
      <c r="Z84" s="242">
        <f>IF(AND(G84&lt;&gt;"",R84&lt;&gt;"",V84&lt;&gt;"",W84&lt;&gt;""),"COMPLETADO","OBSERVADO")</f>
        <v/>
      </c>
      <c r="AA84" s="284" t="n"/>
    </row>
    <row r="85" ht="15.75" customHeight="1" s="195">
      <c r="A85" s="280" t="n"/>
      <c r="B85" s="280" t="n"/>
      <c r="C85" s="280" t="n"/>
      <c r="D85" s="280" t="n"/>
      <c r="E85" s="280" t="n"/>
      <c r="F85" s="280" t="n"/>
      <c r="G85" s="280" t="n"/>
      <c r="H85" s="280" t="n"/>
      <c r="I85" s="332">
        <f>IFERROR(VLOOKUP(TEXT(H85,"0"),IPRESS!$A$3:$B$212,2,0),"")</f>
        <v/>
      </c>
      <c r="J85" s="280" t="n"/>
      <c r="K85" s="332">
        <f>IFERROR(VLOOKUP(TEXT(O85,"0"),CONDUCTORES!$A$3:$G$54,7,0),"")</f>
        <v/>
      </c>
      <c r="L85" s="280" t="n"/>
      <c r="M85" s="280" t="n"/>
      <c r="N85" s="333">
        <f>IFERROR(IF(L85*M85=0,"",L85*M85),"")</f>
        <v/>
      </c>
      <c r="O85" s="280" t="n"/>
      <c r="P85" s="332">
        <f>IFERROR(VLOOKUP(TEXT(O85,"0"),CONDUCTORES!$A$3:$G$54,2,0),"")</f>
        <v/>
      </c>
      <c r="Q85" s="332">
        <f>IFERROR(VLOOKUP(TEXT(O85,"0"),CONDUCTORES!$A$3:$H$54,6,0),"")</f>
        <v/>
      </c>
      <c r="R85" s="280" t="n"/>
      <c r="S85" s="280" t="n"/>
      <c r="T85" s="280" t="n"/>
      <c r="U85" s="280" t="n"/>
      <c r="V85" s="280" t="n"/>
      <c r="W85" s="280" t="n"/>
      <c r="X85" s="280" t="n"/>
      <c r="Y85" s="280" t="n"/>
      <c r="Z85" s="236">
        <f>IF(AND(G85&lt;&gt;"",R85&lt;&gt;"",V85&lt;&gt;"",W85&lt;&gt;""),"COMPLETADO","OBSERVADO")</f>
        <v/>
      </c>
      <c r="AA85" s="284" t="n"/>
    </row>
    <row r="86" ht="15.75" customHeight="1" s="195">
      <c r="A86" s="334" t="n"/>
      <c r="B86" s="334" t="n"/>
      <c r="C86" s="334" t="n"/>
      <c r="D86" s="334" t="n"/>
      <c r="E86" s="334" t="n"/>
      <c r="F86" s="334" t="n"/>
      <c r="G86" s="334" t="n"/>
      <c r="H86" s="334" t="n"/>
      <c r="I86" s="332">
        <f>IFERROR(VLOOKUP(TEXT(H86,"0"),IPRESS!$A$3:$B$212,2,0),"")</f>
        <v/>
      </c>
      <c r="J86" s="334" t="n"/>
      <c r="K86" s="332">
        <f>IFERROR(VLOOKUP(TEXT(O86,"0"),CONDUCTORES!$A$3:$G$54,7,0),"")</f>
        <v/>
      </c>
      <c r="L86" s="334" t="n"/>
      <c r="M86" s="334" t="n"/>
      <c r="N86" s="333">
        <f>IFERROR(IF(L86*M86=0,"",L86*M86),"")</f>
        <v/>
      </c>
      <c r="O86" s="334" t="n"/>
      <c r="P86" s="332">
        <f>IFERROR(VLOOKUP(TEXT(O86,"0"),CONDUCTORES!$A$3:$G$54,2,0),"")</f>
        <v/>
      </c>
      <c r="Q86" s="332">
        <f>IFERROR(VLOOKUP(TEXT(O86,"0"),CONDUCTORES!$A$3:$H$54,6,0),"")</f>
        <v/>
      </c>
      <c r="R86" s="334" t="n"/>
      <c r="S86" s="334" t="n"/>
      <c r="T86" s="334" t="n"/>
      <c r="U86" s="334" t="n"/>
      <c r="V86" s="334" t="n"/>
      <c r="W86" s="334" t="n"/>
      <c r="X86" s="334" t="n"/>
      <c r="Y86" s="334" t="n"/>
      <c r="Z86" s="242">
        <f>IF(AND(G86&lt;&gt;"",R86&lt;&gt;"",V86&lt;&gt;"",W86&lt;&gt;""),"COMPLETADO","OBSERVADO")</f>
        <v/>
      </c>
      <c r="AA86" s="284" t="n"/>
    </row>
    <row r="87" ht="15.75" customHeight="1" s="195">
      <c r="A87" s="280" t="n"/>
      <c r="B87" s="280" t="n"/>
      <c r="C87" s="280" t="n"/>
      <c r="D87" s="280" t="n"/>
      <c r="E87" s="280" t="n"/>
      <c r="F87" s="280" t="n"/>
      <c r="G87" s="280" t="n"/>
      <c r="H87" s="280" t="n"/>
      <c r="I87" s="332">
        <f>IFERROR(VLOOKUP(TEXT(H87,"0"),IPRESS!$A$3:$B$212,2,0),"")</f>
        <v/>
      </c>
      <c r="J87" s="280" t="n"/>
      <c r="K87" s="332">
        <f>IFERROR(VLOOKUP(TEXT(O87,"0"),CONDUCTORES!$A$3:$G$54,7,0),"")</f>
        <v/>
      </c>
      <c r="L87" s="280" t="n"/>
      <c r="M87" s="280" t="n"/>
      <c r="N87" s="333">
        <f>IFERROR(IF(L87*M87=0,"",L87*M87),"")</f>
        <v/>
      </c>
      <c r="O87" s="280" t="n"/>
      <c r="P87" s="332">
        <f>IFERROR(VLOOKUP(TEXT(O87,"0"),CONDUCTORES!$A$3:$G$54,2,0),"")</f>
        <v/>
      </c>
      <c r="Q87" s="332">
        <f>IFERROR(VLOOKUP(TEXT(O87,"0"),CONDUCTORES!$A$3:$H$54,6,0),"")</f>
        <v/>
      </c>
      <c r="R87" s="280" t="n"/>
      <c r="S87" s="280" t="n"/>
      <c r="T87" s="280" t="n"/>
      <c r="U87" s="280" t="n"/>
      <c r="V87" s="280" t="n"/>
      <c r="W87" s="280" t="n"/>
      <c r="X87" s="280" t="n"/>
      <c r="Y87" s="280" t="n"/>
      <c r="Z87" s="236">
        <f>IF(AND(G87&lt;&gt;"",R87&lt;&gt;"",V87&lt;&gt;"",W87&lt;&gt;""),"COMPLETADO","OBSERVADO")</f>
        <v/>
      </c>
      <c r="AA87" s="284" t="n"/>
    </row>
    <row r="88" ht="15.75" customHeight="1" s="195">
      <c r="A88" s="334" t="n"/>
      <c r="B88" s="334" t="n"/>
      <c r="C88" s="334" t="n"/>
      <c r="D88" s="334" t="n"/>
      <c r="E88" s="334" t="n"/>
      <c r="F88" s="334" t="n"/>
      <c r="G88" s="334" t="n"/>
      <c r="H88" s="334" t="n"/>
      <c r="I88" s="332">
        <f>IFERROR(VLOOKUP(TEXT(H88,"0"),IPRESS!$A$3:$B$212,2,0),"")</f>
        <v/>
      </c>
      <c r="J88" s="334" t="n"/>
      <c r="K88" s="332">
        <f>IFERROR(VLOOKUP(TEXT(O88,"0"),CONDUCTORES!$A$3:$G$54,7,0),"")</f>
        <v/>
      </c>
      <c r="L88" s="334" t="n"/>
      <c r="M88" s="334" t="n"/>
      <c r="N88" s="333">
        <f>IFERROR(IF(L88*M88=0,"",L88*M88),"")</f>
        <v/>
      </c>
      <c r="O88" s="334" t="n"/>
      <c r="P88" s="332">
        <f>IFERROR(VLOOKUP(TEXT(O88,"0"),CONDUCTORES!$A$3:$G$54,2,0),"")</f>
        <v/>
      </c>
      <c r="Q88" s="332">
        <f>IFERROR(VLOOKUP(TEXT(O88,"0"),CONDUCTORES!$A$3:$H$54,6,0),"")</f>
        <v/>
      </c>
      <c r="R88" s="334" t="n"/>
      <c r="S88" s="334" t="n"/>
      <c r="T88" s="334" t="n"/>
      <c r="U88" s="334" t="n"/>
      <c r="V88" s="334" t="n"/>
      <c r="W88" s="334" t="n"/>
      <c r="X88" s="334" t="n"/>
      <c r="Y88" s="334" t="n"/>
      <c r="Z88" s="242">
        <f>IF(AND(G88&lt;&gt;"",R88&lt;&gt;"",V88&lt;&gt;"",W88&lt;&gt;""),"COMPLETADO","OBSERVADO")</f>
        <v/>
      </c>
      <c r="AA88" s="284" t="n"/>
    </row>
    <row r="89" ht="15.75" customHeight="1" s="195">
      <c r="A89" s="280" t="n"/>
      <c r="B89" s="280" t="n"/>
      <c r="C89" s="280" t="n"/>
      <c r="D89" s="280" t="n"/>
      <c r="E89" s="280" t="n"/>
      <c r="F89" s="280" t="n"/>
      <c r="G89" s="280" t="n"/>
      <c r="H89" s="280" t="n"/>
      <c r="I89" s="332">
        <f>IFERROR(VLOOKUP(TEXT(H89,"0"),IPRESS!$A$3:$B$212,2,0),"")</f>
        <v/>
      </c>
      <c r="J89" s="280" t="n"/>
      <c r="K89" s="332">
        <f>IFERROR(VLOOKUP(TEXT(O89,"0"),CONDUCTORES!$A$3:$G$54,7,0),"")</f>
        <v/>
      </c>
      <c r="L89" s="280" t="n"/>
      <c r="M89" s="280" t="n"/>
      <c r="N89" s="333">
        <f>IFERROR(IF(L89*M89=0,"",L89*M89),"")</f>
        <v/>
      </c>
      <c r="O89" s="280" t="n"/>
      <c r="P89" s="332">
        <f>IFERROR(VLOOKUP(TEXT(O89,"0"),CONDUCTORES!$A$3:$G$54,2,0),"")</f>
        <v/>
      </c>
      <c r="Q89" s="332">
        <f>IFERROR(VLOOKUP(TEXT(O89,"0"),CONDUCTORES!$A$3:$H$54,6,0),"")</f>
        <v/>
      </c>
      <c r="R89" s="280" t="n"/>
      <c r="S89" s="280" t="n"/>
      <c r="T89" s="280" t="n"/>
      <c r="U89" s="280" t="n"/>
      <c r="V89" s="280" t="n"/>
      <c r="W89" s="280" t="n"/>
      <c r="X89" s="280" t="n"/>
      <c r="Y89" s="280" t="n"/>
      <c r="Z89" s="236">
        <f>IF(AND(G89&lt;&gt;"",R89&lt;&gt;"",V89&lt;&gt;"",W89&lt;&gt;""),"COMPLETADO","OBSERVADO")</f>
        <v/>
      </c>
      <c r="AA89" s="284" t="n"/>
    </row>
    <row r="90" ht="15.75" customHeight="1" s="195">
      <c r="A90" s="334" t="n"/>
      <c r="B90" s="334" t="n"/>
      <c r="C90" s="334" t="n"/>
      <c r="D90" s="334" t="n"/>
      <c r="E90" s="334" t="n"/>
      <c r="F90" s="334" t="n"/>
      <c r="G90" s="334" t="n"/>
      <c r="H90" s="334" t="n"/>
      <c r="I90" s="332">
        <f>IFERROR(VLOOKUP(TEXT(H90,"0"),IPRESS!$A$3:$B$212,2,0),"")</f>
        <v/>
      </c>
      <c r="J90" s="334" t="n"/>
      <c r="K90" s="332">
        <f>IFERROR(VLOOKUP(TEXT(O90,"0"),CONDUCTORES!$A$3:$G$54,7,0),"")</f>
        <v/>
      </c>
      <c r="L90" s="334" t="n"/>
      <c r="M90" s="334" t="n"/>
      <c r="N90" s="333">
        <f>IFERROR(IF(L90*M90=0,"",L90*M90),"")</f>
        <v/>
      </c>
      <c r="O90" s="334" t="n"/>
      <c r="P90" s="332">
        <f>IFERROR(VLOOKUP(TEXT(O90,"0"),CONDUCTORES!$A$3:$G$54,2,0),"")</f>
        <v/>
      </c>
      <c r="Q90" s="332">
        <f>IFERROR(VLOOKUP(TEXT(O90,"0"),CONDUCTORES!$A$3:$H$54,6,0),"")</f>
        <v/>
      </c>
      <c r="R90" s="334" t="n"/>
      <c r="S90" s="334" t="n"/>
      <c r="T90" s="334" t="n"/>
      <c r="U90" s="334" t="n"/>
      <c r="V90" s="334" t="n"/>
      <c r="W90" s="334" t="n"/>
      <c r="X90" s="334" t="n"/>
      <c r="Y90" s="334" t="n"/>
      <c r="Z90" s="242">
        <f>IF(AND(G90&lt;&gt;"",R90&lt;&gt;"",V90&lt;&gt;"",W90&lt;&gt;""),"COMPLETADO","OBSERVADO")</f>
        <v/>
      </c>
      <c r="AA90" s="284" t="n"/>
    </row>
    <row r="91" ht="15.75" customHeight="1" s="195">
      <c r="A91" s="280" t="n"/>
      <c r="B91" s="280" t="n"/>
      <c r="C91" s="280" t="n"/>
      <c r="D91" s="280" t="n"/>
      <c r="E91" s="280" t="n"/>
      <c r="F91" s="280" t="n"/>
      <c r="G91" s="280" t="n"/>
      <c r="H91" s="280" t="n"/>
      <c r="I91" s="332">
        <f>IFERROR(VLOOKUP(TEXT(H91,"0"),IPRESS!$A$3:$B$212,2,0),"")</f>
        <v/>
      </c>
      <c r="J91" s="280" t="n"/>
      <c r="K91" s="332">
        <f>IFERROR(VLOOKUP(TEXT(O91,"0"),CONDUCTORES!$A$3:$G$54,7,0),"")</f>
        <v/>
      </c>
      <c r="L91" s="280" t="n"/>
      <c r="M91" s="280" t="n"/>
      <c r="N91" s="333">
        <f>IFERROR(IF(L91*M91=0,"",L91*M91),"")</f>
        <v/>
      </c>
      <c r="O91" s="280" t="n"/>
      <c r="P91" s="332">
        <f>IFERROR(VLOOKUP(TEXT(O91,"0"),CONDUCTORES!$A$3:$G$54,2,0),"")</f>
        <v/>
      </c>
      <c r="Q91" s="332">
        <f>IFERROR(VLOOKUP(TEXT(O91,"0"),CONDUCTORES!$A$3:$H$54,6,0),"")</f>
        <v/>
      </c>
      <c r="R91" s="280" t="n"/>
      <c r="S91" s="280" t="n"/>
      <c r="T91" s="280" t="n"/>
      <c r="U91" s="280" t="n"/>
      <c r="V91" s="280" t="n"/>
      <c r="W91" s="280" t="n"/>
      <c r="X91" s="280" t="n"/>
      <c r="Y91" s="280" t="n"/>
      <c r="Z91" s="236">
        <f>IF(AND(G91&lt;&gt;"",R91&lt;&gt;"",V91&lt;&gt;"",W91&lt;&gt;""),"COMPLETADO","OBSERVADO")</f>
        <v/>
      </c>
      <c r="AA91" s="284" t="n"/>
    </row>
    <row r="92" ht="15.75" customHeight="1" s="195">
      <c r="A92" s="334" t="n"/>
      <c r="B92" s="334" t="n"/>
      <c r="C92" s="334" t="n"/>
      <c r="D92" s="334" t="n"/>
      <c r="E92" s="334" t="n"/>
      <c r="F92" s="334" t="n"/>
      <c r="G92" s="334" t="n"/>
      <c r="H92" s="334" t="n"/>
      <c r="I92" s="332">
        <f>IFERROR(VLOOKUP(TEXT(H92,"0"),IPRESS!$A$3:$B$212,2,0),"")</f>
        <v/>
      </c>
      <c r="J92" s="334" t="n"/>
      <c r="K92" s="332">
        <f>IFERROR(VLOOKUP(TEXT(O92,"0"),CONDUCTORES!$A$3:$G$54,7,0),"")</f>
        <v/>
      </c>
      <c r="L92" s="334" t="n"/>
      <c r="M92" s="334" t="n"/>
      <c r="N92" s="333">
        <f>IFERROR(IF(L92*M92=0,"",L92*M92),"")</f>
        <v/>
      </c>
      <c r="O92" s="334" t="n"/>
      <c r="P92" s="332">
        <f>IFERROR(VLOOKUP(TEXT(O92,"0"),CONDUCTORES!$A$3:$G$54,2,0),"")</f>
        <v/>
      </c>
      <c r="Q92" s="332">
        <f>IFERROR(VLOOKUP(TEXT(O92,"0"),CONDUCTORES!$A$3:$H$54,6,0),"")</f>
        <v/>
      </c>
      <c r="R92" s="334" t="n"/>
      <c r="S92" s="334" t="n"/>
      <c r="T92" s="334" t="n"/>
      <c r="U92" s="334" t="n"/>
      <c r="V92" s="334" t="n"/>
      <c r="W92" s="334" t="n"/>
      <c r="X92" s="334" t="n"/>
      <c r="Y92" s="334" t="n"/>
      <c r="Z92" s="242">
        <f>IF(AND(G92&lt;&gt;"",R92&lt;&gt;"",V92&lt;&gt;"",W92&lt;&gt;""),"COMPLETADO","OBSERVADO")</f>
        <v/>
      </c>
      <c r="AA92" s="284" t="n"/>
    </row>
    <row r="93" ht="15.75" customHeight="1" s="195">
      <c r="A93" s="280" t="n"/>
      <c r="B93" s="280" t="n"/>
      <c r="C93" s="280" t="n"/>
      <c r="D93" s="280" t="n"/>
      <c r="E93" s="280" t="n"/>
      <c r="F93" s="280" t="n"/>
      <c r="G93" s="280" t="n"/>
      <c r="H93" s="280" t="n"/>
      <c r="I93" s="332">
        <f>IFERROR(VLOOKUP(TEXT(H93,"0"),IPRESS!$A$3:$B$212,2,0),"")</f>
        <v/>
      </c>
      <c r="J93" s="280" t="n"/>
      <c r="K93" s="332">
        <f>IFERROR(VLOOKUP(TEXT(O93,"0"),CONDUCTORES!$A$3:$G$54,7,0),"")</f>
        <v/>
      </c>
      <c r="L93" s="280" t="n"/>
      <c r="M93" s="280" t="n"/>
      <c r="N93" s="333">
        <f>IFERROR(IF(L93*M93=0,"",L93*M93),"")</f>
        <v/>
      </c>
      <c r="O93" s="280" t="n"/>
      <c r="P93" s="332">
        <f>IFERROR(VLOOKUP(TEXT(O93,"0"),CONDUCTORES!$A$3:$G$54,2,0),"")</f>
        <v/>
      </c>
      <c r="Q93" s="332">
        <f>IFERROR(VLOOKUP(TEXT(O93,"0"),CONDUCTORES!$A$3:$H$54,6,0),"")</f>
        <v/>
      </c>
      <c r="R93" s="280" t="n"/>
      <c r="S93" s="280" t="n"/>
      <c r="T93" s="280" t="n"/>
      <c r="U93" s="280" t="n"/>
      <c r="V93" s="280" t="n"/>
      <c r="W93" s="280" t="n"/>
      <c r="X93" s="280" t="n"/>
      <c r="Y93" s="280" t="n"/>
      <c r="Z93" s="236">
        <f>IF(AND(G93&lt;&gt;"",R93&lt;&gt;"",V93&lt;&gt;"",W93&lt;&gt;""),"COMPLETADO","OBSERVADO")</f>
        <v/>
      </c>
      <c r="AA93" s="284" t="n"/>
    </row>
    <row r="94" ht="15.75" customHeight="1" s="195">
      <c r="A94" s="334" t="n"/>
      <c r="B94" s="334" t="n"/>
      <c r="C94" s="334" t="n"/>
      <c r="D94" s="334" t="n"/>
      <c r="E94" s="334" t="n"/>
      <c r="F94" s="334" t="n"/>
      <c r="G94" s="334" t="n"/>
      <c r="H94" s="334" t="n"/>
      <c r="I94" s="332">
        <f>IFERROR(VLOOKUP(TEXT(H94,"0"),IPRESS!$A$3:$B$212,2,0),"")</f>
        <v/>
      </c>
      <c r="J94" s="334" t="n"/>
      <c r="K94" s="332">
        <f>IFERROR(VLOOKUP(TEXT(O94,"0"),CONDUCTORES!$A$3:$G$54,7,0),"")</f>
        <v/>
      </c>
      <c r="L94" s="334" t="n"/>
      <c r="M94" s="334" t="n"/>
      <c r="N94" s="333">
        <f>IFERROR(IF(L94*M94=0,"",L94*M94),"")</f>
        <v/>
      </c>
      <c r="O94" s="334" t="n"/>
      <c r="P94" s="332">
        <f>IFERROR(VLOOKUP(TEXT(O94,"0"),CONDUCTORES!$A$3:$G$54,2,0),"")</f>
        <v/>
      </c>
      <c r="Q94" s="332">
        <f>IFERROR(VLOOKUP(TEXT(O94,"0"),CONDUCTORES!$A$3:$H$54,6,0),"")</f>
        <v/>
      </c>
      <c r="R94" s="334" t="n"/>
      <c r="S94" s="334" t="n"/>
      <c r="T94" s="334" t="n"/>
      <c r="U94" s="334" t="n"/>
      <c r="V94" s="334" t="n"/>
      <c r="W94" s="334" t="n"/>
      <c r="X94" s="334" t="n"/>
      <c r="Y94" s="334" t="n"/>
      <c r="Z94" s="242">
        <f>IF(AND(G94&lt;&gt;"",R94&lt;&gt;"",V94&lt;&gt;"",W94&lt;&gt;""),"COMPLETADO","OBSERVADO")</f>
        <v/>
      </c>
      <c r="AA94" s="284" t="n"/>
    </row>
    <row r="95" ht="15.75" customHeight="1" s="195">
      <c r="A95" s="280" t="n"/>
      <c r="B95" s="280" t="n"/>
      <c r="C95" s="280" t="n"/>
      <c r="D95" s="280" t="n"/>
      <c r="E95" s="280" t="n"/>
      <c r="F95" s="280" t="n"/>
      <c r="G95" s="280" t="n"/>
      <c r="H95" s="280" t="n"/>
      <c r="I95" s="332">
        <f>IFERROR(VLOOKUP(TEXT(H95,"0"),IPRESS!$A$3:$B$212,2,0),"")</f>
        <v/>
      </c>
      <c r="J95" s="280" t="n"/>
      <c r="K95" s="332">
        <f>IFERROR(VLOOKUP(TEXT(O95,"0"),CONDUCTORES!$A$3:$G$54,7,0),"")</f>
        <v/>
      </c>
      <c r="L95" s="280" t="n"/>
      <c r="M95" s="280" t="n"/>
      <c r="N95" s="333">
        <f>IFERROR(IF(L95*M95=0,"",L95*M95),"")</f>
        <v/>
      </c>
      <c r="O95" s="280" t="n"/>
      <c r="P95" s="332">
        <f>IFERROR(VLOOKUP(TEXT(O95,"0"),CONDUCTORES!$A$3:$G$54,2,0),"")</f>
        <v/>
      </c>
      <c r="Q95" s="332">
        <f>IFERROR(VLOOKUP(TEXT(O95,"0"),CONDUCTORES!$A$3:$H$54,6,0),"")</f>
        <v/>
      </c>
      <c r="R95" s="280" t="n"/>
      <c r="S95" s="280" t="n"/>
      <c r="T95" s="280" t="n"/>
      <c r="U95" s="280" t="n"/>
      <c r="V95" s="280" t="n"/>
      <c r="W95" s="280" t="n"/>
      <c r="X95" s="280" t="n"/>
      <c r="Y95" s="280" t="n"/>
      <c r="Z95" s="236">
        <f>IF(AND(G95&lt;&gt;"",R95&lt;&gt;"",V95&lt;&gt;"",W95&lt;&gt;""),"COMPLETADO","OBSERVADO")</f>
        <v/>
      </c>
      <c r="AA95" s="284" t="n"/>
    </row>
    <row r="96" ht="15.75" customHeight="1" s="195">
      <c r="A96" s="334" t="n"/>
      <c r="B96" s="334" t="n"/>
      <c r="C96" s="334" t="n"/>
      <c r="D96" s="334" t="n"/>
      <c r="E96" s="334" t="n"/>
      <c r="F96" s="334" t="n"/>
      <c r="G96" s="334" t="n"/>
      <c r="H96" s="334" t="n"/>
      <c r="I96" s="332">
        <f>IFERROR(VLOOKUP(TEXT(H96,"0"),IPRESS!$A$3:$B$212,2,0),"")</f>
        <v/>
      </c>
      <c r="J96" s="334" t="n"/>
      <c r="K96" s="332">
        <f>IFERROR(VLOOKUP(TEXT(O96,"0"),CONDUCTORES!$A$3:$G$54,7,0),"")</f>
        <v/>
      </c>
      <c r="L96" s="334" t="n"/>
      <c r="M96" s="334" t="n"/>
      <c r="N96" s="333">
        <f>IFERROR(IF(L96*M96=0,"",L96*M96),"")</f>
        <v/>
      </c>
      <c r="O96" s="334" t="n"/>
      <c r="P96" s="332">
        <f>IFERROR(VLOOKUP(TEXT(O96,"0"),CONDUCTORES!$A$3:$G$54,2,0),"")</f>
        <v/>
      </c>
      <c r="Q96" s="332">
        <f>IFERROR(VLOOKUP(TEXT(O96,"0"),CONDUCTORES!$A$3:$H$54,6,0),"")</f>
        <v/>
      </c>
      <c r="R96" s="334" t="n"/>
      <c r="S96" s="334" t="n"/>
      <c r="T96" s="334" t="n"/>
      <c r="U96" s="334" t="n"/>
      <c r="V96" s="334" t="n"/>
      <c r="W96" s="334" t="n"/>
      <c r="X96" s="334" t="n"/>
      <c r="Y96" s="334" t="n"/>
      <c r="Z96" s="242">
        <f>IF(AND(G96&lt;&gt;"",R96&lt;&gt;"",V96&lt;&gt;"",W96&lt;&gt;""),"COMPLETADO","OBSERVADO")</f>
        <v/>
      </c>
      <c r="AA96" s="284" t="n"/>
    </row>
    <row r="97" ht="15.75" customHeight="1" s="195">
      <c r="A97" s="280" t="n"/>
      <c r="B97" s="280" t="n"/>
      <c r="C97" s="280" t="n"/>
      <c r="D97" s="280" t="n"/>
      <c r="E97" s="280" t="n"/>
      <c r="F97" s="280" t="n"/>
      <c r="G97" s="280" t="n"/>
      <c r="H97" s="280" t="n"/>
      <c r="I97" s="332">
        <f>IFERROR(VLOOKUP(TEXT(H97,"0"),IPRESS!$A$3:$B$212,2,0),"")</f>
        <v/>
      </c>
      <c r="J97" s="280" t="n"/>
      <c r="K97" s="332">
        <f>IFERROR(VLOOKUP(TEXT(O97,"0"),CONDUCTORES!$A$3:$G$54,7,0),"")</f>
        <v/>
      </c>
      <c r="L97" s="280" t="n"/>
      <c r="M97" s="280" t="n"/>
      <c r="N97" s="333">
        <f>IFERROR(IF(L97*M97=0,"",L97*M97),"")</f>
        <v/>
      </c>
      <c r="O97" s="280" t="n"/>
      <c r="P97" s="332">
        <f>IFERROR(VLOOKUP(TEXT(O97,"0"),CONDUCTORES!$A$3:$G$54,2,0),"")</f>
        <v/>
      </c>
      <c r="Q97" s="332">
        <f>IFERROR(VLOOKUP(TEXT(O97,"0"),CONDUCTORES!$A$3:$H$54,6,0),"")</f>
        <v/>
      </c>
      <c r="R97" s="280" t="n"/>
      <c r="S97" s="280" t="n"/>
      <c r="T97" s="280" t="n"/>
      <c r="U97" s="280" t="n"/>
      <c r="V97" s="280" t="n"/>
      <c r="W97" s="280" t="n"/>
      <c r="X97" s="280" t="n"/>
      <c r="Y97" s="280" t="n"/>
      <c r="Z97" s="236">
        <f>IF(AND(G97&lt;&gt;"",R97&lt;&gt;"",V97&lt;&gt;"",W97&lt;&gt;""),"COMPLETADO","OBSERVADO")</f>
        <v/>
      </c>
      <c r="AA97" s="284" t="n"/>
    </row>
    <row r="98" ht="15.75" customHeight="1" s="195">
      <c r="A98" s="334" t="n"/>
      <c r="B98" s="334" t="n"/>
      <c r="C98" s="334" t="n"/>
      <c r="D98" s="334" t="n"/>
      <c r="E98" s="334" t="n"/>
      <c r="F98" s="334" t="n"/>
      <c r="G98" s="334" t="n"/>
      <c r="H98" s="334" t="n"/>
      <c r="I98" s="332">
        <f>IFERROR(VLOOKUP(TEXT(H98,"0"),IPRESS!$A$3:$B$212,2,0),"")</f>
        <v/>
      </c>
      <c r="J98" s="334" t="n"/>
      <c r="K98" s="332">
        <f>IFERROR(VLOOKUP(TEXT(O98,"0"),CONDUCTORES!$A$3:$G$54,7,0),"")</f>
        <v/>
      </c>
      <c r="L98" s="334" t="n"/>
      <c r="M98" s="334" t="n"/>
      <c r="N98" s="333">
        <f>IFERROR(IF(L98*M98=0,"",L98*M98),"")</f>
        <v/>
      </c>
      <c r="O98" s="334" t="n"/>
      <c r="P98" s="332">
        <f>IFERROR(VLOOKUP(TEXT(O98,"0"),CONDUCTORES!$A$3:$G$54,2,0),"")</f>
        <v/>
      </c>
      <c r="Q98" s="332">
        <f>IFERROR(VLOOKUP(TEXT(O98,"0"),CONDUCTORES!$A$3:$H$54,6,0),"")</f>
        <v/>
      </c>
      <c r="R98" s="334" t="n"/>
      <c r="S98" s="334" t="n"/>
      <c r="T98" s="334" t="n"/>
      <c r="U98" s="334" t="n"/>
      <c r="V98" s="334" t="n"/>
      <c r="W98" s="334" t="n"/>
      <c r="X98" s="334" t="n"/>
      <c r="Y98" s="334" t="n"/>
      <c r="Z98" s="242">
        <f>IF(AND(G98&lt;&gt;"",R98&lt;&gt;"",V98&lt;&gt;"",W98&lt;&gt;""),"COMPLETADO","OBSERVADO")</f>
        <v/>
      </c>
      <c r="AA98" s="284" t="n"/>
    </row>
    <row r="99" ht="15.75" customHeight="1" s="195">
      <c r="A99" s="280" t="n"/>
      <c r="B99" s="280" t="n"/>
      <c r="C99" s="280" t="n"/>
      <c r="D99" s="280" t="n"/>
      <c r="E99" s="280" t="n"/>
      <c r="F99" s="280" t="n"/>
      <c r="G99" s="280" t="n"/>
      <c r="H99" s="280" t="n"/>
      <c r="I99" s="332">
        <f>IFERROR(VLOOKUP(TEXT(H99,"0"),IPRESS!$A$3:$B$212,2,0),"")</f>
        <v/>
      </c>
      <c r="J99" s="280" t="n"/>
      <c r="K99" s="332">
        <f>IFERROR(VLOOKUP(TEXT(O99,"0"),CONDUCTORES!$A$3:$G$54,7,0),"")</f>
        <v/>
      </c>
      <c r="L99" s="280" t="n"/>
      <c r="M99" s="280" t="n"/>
      <c r="N99" s="333">
        <f>IFERROR(IF(L99*M99=0,"",L99*M99),"")</f>
        <v/>
      </c>
      <c r="O99" s="280" t="n"/>
      <c r="P99" s="332">
        <f>IFERROR(VLOOKUP(TEXT(O99,"0"),CONDUCTORES!$A$3:$G$54,2,0),"")</f>
        <v/>
      </c>
      <c r="Q99" s="332">
        <f>IFERROR(VLOOKUP(TEXT(O99,"0"),CONDUCTORES!$A$3:$H$54,6,0),"")</f>
        <v/>
      </c>
      <c r="R99" s="280" t="n"/>
      <c r="S99" s="280" t="n"/>
      <c r="T99" s="280" t="n"/>
      <c r="U99" s="280" t="n"/>
      <c r="V99" s="280" t="n"/>
      <c r="W99" s="280" t="n"/>
      <c r="X99" s="280" t="n"/>
      <c r="Y99" s="280" t="n"/>
      <c r="Z99" s="236">
        <f>IF(AND(G99&lt;&gt;"",R99&lt;&gt;"",V99&lt;&gt;"",W99&lt;&gt;""),"COMPLETADO","OBSERVADO")</f>
        <v/>
      </c>
      <c r="AA99" s="284" t="n"/>
    </row>
    <row r="100" ht="15.75" customHeight="1" s="195">
      <c r="A100" s="334" t="n"/>
      <c r="B100" s="334" t="n"/>
      <c r="C100" s="334" t="n"/>
      <c r="D100" s="334" t="n"/>
      <c r="E100" s="334" t="n"/>
      <c r="F100" s="334" t="n"/>
      <c r="G100" s="334" t="n"/>
      <c r="H100" s="334" t="n"/>
      <c r="I100" s="332">
        <f>IFERROR(VLOOKUP(TEXT(H100,"0"),IPRESS!$A$3:$B$212,2,0),"")</f>
        <v/>
      </c>
      <c r="J100" s="334" t="n"/>
      <c r="K100" s="332">
        <f>IFERROR(VLOOKUP(TEXT(O100,"0"),CONDUCTORES!$A$3:$G$54,7,0),"")</f>
        <v/>
      </c>
      <c r="L100" s="334" t="n"/>
      <c r="M100" s="334" t="n"/>
      <c r="N100" s="333">
        <f>IFERROR(IF(L100*M100=0,"",L100*M100),"")</f>
        <v/>
      </c>
      <c r="O100" s="334" t="n"/>
      <c r="P100" s="332">
        <f>IFERROR(VLOOKUP(TEXT(O100,"0"),CONDUCTORES!$A$3:$G$54,2,0),"")</f>
        <v/>
      </c>
      <c r="Q100" s="332">
        <f>IFERROR(VLOOKUP(TEXT(O100,"0"),CONDUCTORES!$A$3:$H$54,6,0),"")</f>
        <v/>
      </c>
      <c r="R100" s="334" t="n"/>
      <c r="S100" s="334" t="n"/>
      <c r="T100" s="334" t="n"/>
      <c r="U100" s="334" t="n"/>
      <c r="V100" s="334" t="n"/>
      <c r="W100" s="334" t="n"/>
      <c r="X100" s="334" t="n"/>
      <c r="Y100" s="334" t="n"/>
      <c r="Z100" s="242">
        <f>IF(AND(G100&lt;&gt;"",R100&lt;&gt;"",V100&lt;&gt;"",W100&lt;&gt;""),"COMPLETADO","OBSERVADO")</f>
        <v/>
      </c>
      <c r="AA100" s="284" t="n"/>
    </row>
    <row r="101" ht="15.75" customHeight="1" s="195">
      <c r="A101" s="280" t="n"/>
      <c r="B101" s="280" t="n"/>
      <c r="C101" s="280" t="n"/>
      <c r="D101" s="280" t="n"/>
      <c r="E101" s="280" t="n"/>
      <c r="F101" s="280" t="n"/>
      <c r="G101" s="280" t="n"/>
      <c r="H101" s="280" t="n"/>
      <c r="I101" s="332">
        <f>IFERROR(VLOOKUP(TEXT(H101,"0"),IPRESS!$A$3:$B$212,2,0),"")</f>
        <v/>
      </c>
      <c r="J101" s="280" t="n"/>
      <c r="K101" s="332">
        <f>IFERROR(VLOOKUP(TEXT(O101,"0"),CONDUCTORES!$A$3:$G$54,7,0),"")</f>
        <v/>
      </c>
      <c r="L101" s="280" t="n"/>
      <c r="M101" s="280" t="n"/>
      <c r="N101" s="333">
        <f>IFERROR(IF(L101*M101=0,"",L101*M101),"")</f>
        <v/>
      </c>
      <c r="O101" s="280" t="n"/>
      <c r="P101" s="332">
        <f>IFERROR(VLOOKUP(TEXT(O101,"0"),CONDUCTORES!$A$3:$G$54,2,0),"")</f>
        <v/>
      </c>
      <c r="Q101" s="332">
        <f>IFERROR(VLOOKUP(TEXT(O101,"0"),CONDUCTORES!$A$3:$H$54,6,0),"")</f>
        <v/>
      </c>
      <c r="R101" s="280" t="n"/>
      <c r="S101" s="280" t="n"/>
      <c r="T101" s="280" t="n"/>
      <c r="U101" s="280" t="n"/>
      <c r="V101" s="280" t="n"/>
      <c r="W101" s="280" t="n"/>
      <c r="X101" s="280" t="n"/>
      <c r="Y101" s="280" t="n"/>
      <c r="Z101" s="236">
        <f>IF(AND(G101&lt;&gt;"",R101&lt;&gt;"",V101&lt;&gt;"",W101&lt;&gt;""),"COMPLETADO","OBSERVADO")</f>
        <v/>
      </c>
      <c r="AA101" s="284" t="n"/>
    </row>
    <row r="102" ht="15.75" customHeight="1" s="195">
      <c r="A102" s="334" t="n"/>
      <c r="B102" s="334" t="n"/>
      <c r="C102" s="334" t="n"/>
      <c r="D102" s="334" t="n"/>
      <c r="E102" s="334" t="n"/>
      <c r="F102" s="334" t="n"/>
      <c r="G102" s="334" t="n"/>
      <c r="H102" s="334" t="n"/>
      <c r="I102" s="332">
        <f>IFERROR(VLOOKUP(TEXT(H102,"0"),IPRESS!$A$3:$B$212,2,0),"")</f>
        <v/>
      </c>
      <c r="J102" s="334" t="n"/>
      <c r="K102" s="332">
        <f>IFERROR(VLOOKUP(TEXT(O102,"0"),CONDUCTORES!$A$3:$G$54,7,0),"")</f>
        <v/>
      </c>
      <c r="L102" s="334" t="n"/>
      <c r="M102" s="334" t="n"/>
      <c r="N102" s="333">
        <f>IFERROR(IF(L102*M102=0,"",L102*M102),"")</f>
        <v/>
      </c>
      <c r="O102" s="334" t="n"/>
      <c r="P102" s="332">
        <f>IFERROR(VLOOKUP(TEXT(O102,"0"),CONDUCTORES!$A$3:$G$54,2,0),"")</f>
        <v/>
      </c>
      <c r="Q102" s="332">
        <f>IFERROR(VLOOKUP(TEXT(O102,"0"),CONDUCTORES!$A$3:$H$54,6,0),"")</f>
        <v/>
      </c>
      <c r="R102" s="334" t="n"/>
      <c r="S102" s="334" t="n"/>
      <c r="T102" s="334" t="n"/>
      <c r="U102" s="334" t="n"/>
      <c r="V102" s="334" t="n"/>
      <c r="W102" s="334" t="n"/>
      <c r="X102" s="334" t="n"/>
      <c r="Y102" s="334" t="n"/>
      <c r="Z102" s="242">
        <f>IF(AND(G102&lt;&gt;"",R102&lt;&gt;"",V102&lt;&gt;"",W102&lt;&gt;""),"COMPLETADO","OBSERVADO")</f>
        <v/>
      </c>
      <c r="AA102" s="284" t="n"/>
    </row>
    <row r="103" ht="15.75" customHeight="1" s="195">
      <c r="A103" s="280" t="n"/>
      <c r="B103" s="280" t="n"/>
      <c r="C103" s="280" t="n"/>
      <c r="D103" s="280" t="n"/>
      <c r="E103" s="280" t="n"/>
      <c r="F103" s="280" t="n"/>
      <c r="G103" s="280" t="n"/>
      <c r="H103" s="280" t="n"/>
      <c r="I103" s="332">
        <f>IFERROR(VLOOKUP(TEXT(H103,"0"),IPRESS!$A$3:$B$212,2,0),"")</f>
        <v/>
      </c>
      <c r="J103" s="280" t="n"/>
      <c r="K103" s="332">
        <f>IFERROR(VLOOKUP(TEXT(O103,"0"),CONDUCTORES!$A$3:$G$54,7,0),"")</f>
        <v/>
      </c>
      <c r="L103" s="280" t="n"/>
      <c r="M103" s="280" t="n"/>
      <c r="N103" s="333">
        <f>IFERROR(IF(L103*M103=0,"",L103*M103),"")</f>
        <v/>
      </c>
      <c r="O103" s="280" t="n"/>
      <c r="P103" s="332">
        <f>IFERROR(VLOOKUP(TEXT(O103,"0"),CONDUCTORES!$A$3:$G$54,2,0),"")</f>
        <v/>
      </c>
      <c r="Q103" s="332">
        <f>IFERROR(VLOOKUP(TEXT(O103,"0"),CONDUCTORES!$A$3:$H$54,6,0),"")</f>
        <v/>
      </c>
      <c r="R103" s="280" t="n"/>
      <c r="S103" s="280" t="n"/>
      <c r="T103" s="280" t="n"/>
      <c r="U103" s="280" t="n"/>
      <c r="V103" s="280" t="n"/>
      <c r="W103" s="280" t="n"/>
      <c r="X103" s="280" t="n"/>
      <c r="Y103" s="280" t="n"/>
      <c r="Z103" s="236">
        <f>IF(AND(G103&lt;&gt;"",R103&lt;&gt;"",V103&lt;&gt;"",W103&lt;&gt;""),"COMPLETADO","OBSERVADO")</f>
        <v/>
      </c>
      <c r="AA103" s="284" t="n"/>
    </row>
    <row r="104" ht="15.75" customHeight="1" s="195">
      <c r="A104" s="334" t="n"/>
      <c r="B104" s="334" t="n"/>
      <c r="C104" s="334" t="n"/>
      <c r="D104" s="334" t="n"/>
      <c r="E104" s="334" t="n"/>
      <c r="F104" s="334" t="n"/>
      <c r="G104" s="334" t="n"/>
      <c r="H104" s="334" t="n"/>
      <c r="I104" s="332">
        <f>IFERROR(VLOOKUP(TEXT(H104,"0"),IPRESS!$A$3:$B$212,2,0),"")</f>
        <v/>
      </c>
      <c r="J104" s="334" t="n"/>
      <c r="K104" s="332">
        <f>IFERROR(VLOOKUP(TEXT(O104,"0"),CONDUCTORES!$A$3:$G$54,7,0),"")</f>
        <v/>
      </c>
      <c r="L104" s="334" t="n"/>
      <c r="M104" s="334" t="n"/>
      <c r="N104" s="333">
        <f>IFERROR(IF(L104*M104=0,"",L104*M104),"")</f>
        <v/>
      </c>
      <c r="O104" s="334" t="n"/>
      <c r="P104" s="332">
        <f>IFERROR(VLOOKUP(TEXT(O104,"0"),CONDUCTORES!$A$3:$G$54,2,0),"")</f>
        <v/>
      </c>
      <c r="Q104" s="332">
        <f>IFERROR(VLOOKUP(TEXT(O104,"0"),CONDUCTORES!$A$3:$H$54,6,0),"")</f>
        <v/>
      </c>
      <c r="R104" s="334" t="n"/>
      <c r="S104" s="334" t="n"/>
      <c r="T104" s="334" t="n"/>
      <c r="U104" s="334" t="n"/>
      <c r="V104" s="334" t="n"/>
      <c r="W104" s="334" t="n"/>
      <c r="X104" s="334" t="n"/>
      <c r="Y104" s="334" t="n"/>
      <c r="Z104" s="242">
        <f>IF(AND(G104&lt;&gt;"",R104&lt;&gt;"",V104&lt;&gt;"",W104&lt;&gt;""),"COMPLETADO","OBSERVADO")</f>
        <v/>
      </c>
      <c r="AA104" s="284" t="n"/>
    </row>
    <row r="105" ht="15.75" customHeight="1" s="195">
      <c r="A105" s="280" t="n"/>
      <c r="B105" s="280" t="n"/>
      <c r="C105" s="280" t="n"/>
      <c r="D105" s="280" t="n"/>
      <c r="E105" s="280" t="n"/>
      <c r="F105" s="280" t="n"/>
      <c r="G105" s="280" t="n"/>
      <c r="H105" s="280" t="n"/>
      <c r="I105" s="332">
        <f>IFERROR(VLOOKUP(TEXT(H105,"0"),IPRESS!$A$3:$B$212,2,0),"")</f>
        <v/>
      </c>
      <c r="J105" s="280" t="n"/>
      <c r="K105" s="332">
        <f>IFERROR(VLOOKUP(TEXT(O105,"0"),CONDUCTORES!$A$3:$G$54,7,0),"")</f>
        <v/>
      </c>
      <c r="L105" s="280" t="n"/>
      <c r="M105" s="280" t="n"/>
      <c r="N105" s="333">
        <f>IFERROR(IF(L105*M105=0,"",L105*M105),"")</f>
        <v/>
      </c>
      <c r="O105" s="280" t="n"/>
      <c r="P105" s="332">
        <f>IFERROR(VLOOKUP(TEXT(O105,"0"),CONDUCTORES!$A$3:$G$54,2,0),"")</f>
        <v/>
      </c>
      <c r="Q105" s="332">
        <f>IFERROR(VLOOKUP(TEXT(O105,"0"),CONDUCTORES!$A$3:$H$54,6,0),"")</f>
        <v/>
      </c>
      <c r="R105" s="280" t="n"/>
      <c r="S105" s="280" t="n"/>
      <c r="T105" s="280" t="n"/>
      <c r="U105" s="280" t="n"/>
      <c r="V105" s="280" t="n"/>
      <c r="W105" s="280" t="n"/>
      <c r="X105" s="280" t="n"/>
      <c r="Y105" s="280" t="n"/>
      <c r="Z105" s="236">
        <f>IF(AND(G105&lt;&gt;"",R105&lt;&gt;"",V105&lt;&gt;"",W105&lt;&gt;""),"COMPLETADO","OBSERVADO")</f>
        <v/>
      </c>
      <c r="AA105" s="284" t="n"/>
    </row>
    <row r="106" ht="15.75" customHeight="1" s="195">
      <c r="A106" s="334" t="n"/>
      <c r="B106" s="334" t="n"/>
      <c r="C106" s="334" t="n"/>
      <c r="D106" s="334" t="n"/>
      <c r="E106" s="334" t="n"/>
      <c r="F106" s="334" t="n"/>
      <c r="G106" s="334" t="n"/>
      <c r="H106" s="334" t="n"/>
      <c r="I106" s="332">
        <f>IFERROR(VLOOKUP(TEXT(H106,"0"),IPRESS!$A$3:$B$212,2,0),"")</f>
        <v/>
      </c>
      <c r="J106" s="334" t="n"/>
      <c r="K106" s="332">
        <f>IFERROR(VLOOKUP(TEXT(O106,"0"),CONDUCTORES!$A$3:$G$54,7,0),"")</f>
        <v/>
      </c>
      <c r="L106" s="334" t="n"/>
      <c r="M106" s="334" t="n"/>
      <c r="N106" s="333">
        <f>IFERROR(IF(L106*M106=0,"",L106*M106),"")</f>
        <v/>
      </c>
      <c r="O106" s="334" t="n"/>
      <c r="P106" s="332">
        <f>IFERROR(VLOOKUP(TEXT(O106,"0"),CONDUCTORES!$A$3:$G$54,2,0),"")</f>
        <v/>
      </c>
      <c r="Q106" s="332">
        <f>IFERROR(VLOOKUP(TEXT(O106,"0"),CONDUCTORES!$A$3:$H$54,6,0),"")</f>
        <v/>
      </c>
      <c r="R106" s="334" t="n"/>
      <c r="S106" s="334" t="n"/>
      <c r="T106" s="334" t="n"/>
      <c r="U106" s="334" t="n"/>
      <c r="V106" s="334" t="n"/>
      <c r="W106" s="334" t="n"/>
      <c r="X106" s="334" t="n"/>
      <c r="Y106" s="334" t="n"/>
      <c r="Z106" s="242">
        <f>IF(AND(G106&lt;&gt;"",R106&lt;&gt;"",V106&lt;&gt;"",W106&lt;&gt;""),"COMPLETADO","OBSERVADO")</f>
        <v/>
      </c>
      <c r="AA106" s="284" t="n"/>
    </row>
    <row r="107" ht="15.75" customHeight="1" s="195">
      <c r="A107" s="280" t="n"/>
      <c r="B107" s="280" t="n"/>
      <c r="C107" s="280" t="n"/>
      <c r="D107" s="280" t="n"/>
      <c r="E107" s="280" t="n"/>
      <c r="F107" s="280" t="n"/>
      <c r="G107" s="280" t="n"/>
      <c r="H107" s="280" t="n"/>
      <c r="I107" s="332">
        <f>IFERROR(VLOOKUP(TEXT(H107,"0"),IPRESS!$A$3:$B$212,2,0),"")</f>
        <v/>
      </c>
      <c r="J107" s="280" t="n"/>
      <c r="K107" s="332">
        <f>IFERROR(VLOOKUP(TEXT(O107,"0"),CONDUCTORES!$A$3:$G$54,7,0),"")</f>
        <v/>
      </c>
      <c r="L107" s="280" t="n"/>
      <c r="M107" s="280" t="n"/>
      <c r="N107" s="333">
        <f>IFERROR(IF(L107*M107=0,"",L107*M107),"")</f>
        <v/>
      </c>
      <c r="O107" s="280" t="n"/>
      <c r="P107" s="332">
        <f>IFERROR(VLOOKUP(TEXT(O107,"0"),CONDUCTORES!$A$3:$G$54,2,0),"")</f>
        <v/>
      </c>
      <c r="Q107" s="332">
        <f>IFERROR(VLOOKUP(TEXT(O107,"0"),CONDUCTORES!$A$3:$H$54,6,0),"")</f>
        <v/>
      </c>
      <c r="R107" s="280" t="n"/>
      <c r="S107" s="280" t="n"/>
      <c r="T107" s="280" t="n"/>
      <c r="U107" s="280" t="n"/>
      <c r="V107" s="280" t="n"/>
      <c r="W107" s="280" t="n"/>
      <c r="X107" s="280" t="n"/>
      <c r="Y107" s="280" t="n"/>
      <c r="Z107" s="236">
        <f>IF(AND(G107&lt;&gt;"",R107&lt;&gt;"",V107&lt;&gt;"",W107&lt;&gt;""),"COMPLETADO","OBSERVADO")</f>
        <v/>
      </c>
      <c r="AA107" s="284" t="n"/>
    </row>
    <row r="108" ht="15.75" customHeight="1" s="195">
      <c r="A108" s="334" t="n"/>
      <c r="B108" s="334" t="n"/>
      <c r="C108" s="334" t="n"/>
      <c r="D108" s="334" t="n"/>
      <c r="E108" s="334" t="n"/>
      <c r="F108" s="334" t="n"/>
      <c r="G108" s="334" t="n"/>
      <c r="H108" s="334" t="n"/>
      <c r="I108" s="332">
        <f>IFERROR(VLOOKUP(TEXT(H108,"0"),IPRESS!$A$3:$B$212,2,0),"")</f>
        <v/>
      </c>
      <c r="J108" s="334" t="n"/>
      <c r="K108" s="332">
        <f>IFERROR(VLOOKUP(TEXT(O108,"0"),CONDUCTORES!$A$3:$G$54,7,0),"")</f>
        <v/>
      </c>
      <c r="L108" s="334" t="n"/>
      <c r="M108" s="334" t="n"/>
      <c r="N108" s="333">
        <f>IFERROR(IF(L108*M108=0,"",L108*M108),"")</f>
        <v/>
      </c>
      <c r="O108" s="334" t="n"/>
      <c r="P108" s="332">
        <f>IFERROR(VLOOKUP(TEXT(O108,"0"),CONDUCTORES!$A$3:$G$54,2,0),"")</f>
        <v/>
      </c>
      <c r="Q108" s="332">
        <f>IFERROR(VLOOKUP(TEXT(O108,"0"),CONDUCTORES!$A$3:$H$54,6,0),"")</f>
        <v/>
      </c>
      <c r="R108" s="334" t="n"/>
      <c r="S108" s="334" t="n"/>
      <c r="T108" s="334" t="n"/>
      <c r="U108" s="334" t="n"/>
      <c r="V108" s="334" t="n"/>
      <c r="W108" s="334" t="n"/>
      <c r="X108" s="334" t="n"/>
      <c r="Y108" s="334" t="n"/>
      <c r="Z108" s="242">
        <f>IF(AND(G108&lt;&gt;"",R108&lt;&gt;"",V108&lt;&gt;"",W108&lt;&gt;""),"COMPLETADO","OBSERVADO")</f>
        <v/>
      </c>
      <c r="AA108" s="284" t="n"/>
    </row>
    <row r="109" ht="15.75" customHeight="1" s="195">
      <c r="A109" s="280" t="n"/>
      <c r="B109" s="280" t="n"/>
      <c r="C109" s="280" t="n"/>
      <c r="D109" s="280" t="n"/>
      <c r="E109" s="280" t="n"/>
      <c r="F109" s="280" t="n"/>
      <c r="G109" s="280" t="n"/>
      <c r="H109" s="280" t="n"/>
      <c r="I109" s="332">
        <f>IFERROR(VLOOKUP(TEXT(H109,"0"),IPRESS!$A$3:$B$212,2,0),"")</f>
        <v/>
      </c>
      <c r="J109" s="280" t="n"/>
      <c r="K109" s="332">
        <f>IFERROR(VLOOKUP(TEXT(O109,"0"),CONDUCTORES!$A$3:$G$54,7,0),"")</f>
        <v/>
      </c>
      <c r="L109" s="280" t="n"/>
      <c r="M109" s="280" t="n"/>
      <c r="N109" s="333">
        <f>IFERROR(IF(L109*M109=0,"",L109*M109),"")</f>
        <v/>
      </c>
      <c r="O109" s="280" t="n"/>
      <c r="P109" s="332">
        <f>IFERROR(VLOOKUP(TEXT(O109,"0"),CONDUCTORES!$A$3:$G$54,2,0),"")</f>
        <v/>
      </c>
      <c r="Q109" s="332">
        <f>IFERROR(VLOOKUP(TEXT(O109,"0"),CONDUCTORES!$A$3:$H$54,6,0),"")</f>
        <v/>
      </c>
      <c r="R109" s="280" t="n"/>
      <c r="S109" s="280" t="n"/>
      <c r="T109" s="280" t="n"/>
      <c r="U109" s="280" t="n"/>
      <c r="V109" s="280" t="n"/>
      <c r="W109" s="280" t="n"/>
      <c r="X109" s="280" t="n"/>
      <c r="Y109" s="280" t="n"/>
      <c r="Z109" s="236">
        <f>IF(AND(G109&lt;&gt;"",R109&lt;&gt;"",V109&lt;&gt;"",W109&lt;&gt;""),"COMPLETADO","OBSERVADO")</f>
        <v/>
      </c>
      <c r="AA109" s="284" t="n"/>
    </row>
    <row r="110" ht="15.75" customHeight="1" s="195">
      <c r="A110" s="334" t="n"/>
      <c r="B110" s="334" t="n"/>
      <c r="C110" s="334" t="n"/>
      <c r="D110" s="334" t="n"/>
      <c r="E110" s="334" t="n"/>
      <c r="F110" s="334" t="n"/>
      <c r="G110" s="334" t="n"/>
      <c r="H110" s="334" t="n"/>
      <c r="I110" s="332">
        <f>IFERROR(VLOOKUP(TEXT(H110,"0"),IPRESS!$A$3:$B$212,2,0),"")</f>
        <v/>
      </c>
      <c r="J110" s="334" t="n"/>
      <c r="K110" s="332">
        <f>IFERROR(VLOOKUP(TEXT(O110,"0"),CONDUCTORES!$A$3:$G$54,7,0),"")</f>
        <v/>
      </c>
      <c r="L110" s="334" t="n"/>
      <c r="M110" s="334" t="n"/>
      <c r="N110" s="333">
        <f>IFERROR(IF(L110*M110=0,"",L110*M110),"")</f>
        <v/>
      </c>
      <c r="O110" s="334" t="n"/>
      <c r="P110" s="332">
        <f>IFERROR(VLOOKUP(TEXT(O110,"0"),CONDUCTORES!$A$3:$G$54,2,0),"")</f>
        <v/>
      </c>
      <c r="Q110" s="332">
        <f>IFERROR(VLOOKUP(TEXT(O110,"0"),CONDUCTORES!$A$3:$H$54,6,0),"")</f>
        <v/>
      </c>
      <c r="R110" s="334" t="n"/>
      <c r="S110" s="334" t="n"/>
      <c r="T110" s="334" t="n"/>
      <c r="U110" s="334" t="n"/>
      <c r="V110" s="334" t="n"/>
      <c r="W110" s="334" t="n"/>
      <c r="X110" s="334" t="n"/>
      <c r="Y110" s="334" t="n"/>
      <c r="Z110" s="242">
        <f>IF(AND(G110&lt;&gt;"",R110&lt;&gt;"",V110&lt;&gt;"",W110&lt;&gt;""),"COMPLETADO","OBSERVADO")</f>
        <v/>
      </c>
      <c r="AA110" s="284" t="n"/>
    </row>
    <row r="111" ht="15" customHeight="1" s="195">
      <c r="A111" s="280" t="n"/>
      <c r="B111" s="280" t="n"/>
      <c r="C111" s="280" t="n"/>
      <c r="D111" s="280" t="n"/>
      <c r="E111" s="280" t="n"/>
      <c r="F111" s="280" t="n"/>
      <c r="G111" s="280" t="n"/>
      <c r="H111" s="280" t="n"/>
      <c r="I111" s="280" t="n"/>
      <c r="J111" s="280" t="n"/>
      <c r="K111" s="280" t="n"/>
      <c r="L111" s="280" t="n"/>
      <c r="M111" s="280" t="n"/>
      <c r="N111" s="374" t="n"/>
      <c r="O111" s="280" t="n"/>
      <c r="P111" s="280" t="n"/>
      <c r="Q111" s="280" t="n"/>
      <c r="R111" s="280" t="n"/>
      <c r="S111" s="280" t="n"/>
      <c r="T111" s="280" t="n"/>
      <c r="U111" s="280" t="n"/>
      <c r="V111" s="280" t="n"/>
      <c r="W111" s="280" t="n"/>
      <c r="X111" s="280" t="n"/>
      <c r="Y111" s="280" t="n"/>
      <c r="Z111" s="280" t="n"/>
      <c r="AA111" s="284" t="n"/>
    </row>
    <row r="112" ht="15" customHeight="1" s="195">
      <c r="A112" s="280" t="n"/>
      <c r="B112" s="280" t="n"/>
      <c r="C112" s="280" t="n"/>
      <c r="D112" s="280" t="n"/>
      <c r="E112" s="280" t="n"/>
      <c r="F112" s="280" t="n"/>
      <c r="G112" s="280" t="n"/>
      <c r="H112" s="280" t="n"/>
      <c r="I112" s="280" t="n"/>
      <c r="J112" s="280" t="n"/>
      <c r="K112" s="280" t="n"/>
      <c r="L112" s="280" t="n"/>
      <c r="M112" s="280" t="n"/>
      <c r="N112" s="374" t="n"/>
      <c r="O112" s="280" t="n"/>
      <c r="P112" s="280" t="n"/>
      <c r="Q112" s="280" t="n"/>
      <c r="R112" s="280" t="n"/>
      <c r="S112" s="280" t="n"/>
      <c r="T112" s="280" t="n"/>
      <c r="U112" s="280" t="n"/>
      <c r="V112" s="280" t="n"/>
      <c r="W112" s="280" t="n"/>
      <c r="X112" s="280" t="n"/>
      <c r="Y112" s="280" t="n"/>
      <c r="Z112" s="280" t="n"/>
      <c r="AA112" s="284" t="n"/>
    </row>
    <row r="113" ht="15" customHeight="1" s="195">
      <c r="A113" s="280" t="n"/>
      <c r="B113" s="280" t="n"/>
      <c r="C113" s="280" t="n"/>
      <c r="D113" s="280" t="n"/>
      <c r="E113" s="280" t="n"/>
      <c r="F113" s="280" t="n"/>
      <c r="G113" s="280" t="n"/>
      <c r="H113" s="280" t="n"/>
      <c r="I113" s="280" t="n"/>
      <c r="J113" s="280" t="n"/>
      <c r="K113" s="280" t="n"/>
      <c r="L113" s="280" t="n"/>
      <c r="M113" s="280" t="n"/>
      <c r="N113" s="374" t="n"/>
      <c r="O113" s="280" t="n"/>
      <c r="P113" s="280" t="n"/>
      <c r="Q113" s="280" t="n"/>
      <c r="R113" s="280" t="n"/>
      <c r="S113" s="280" t="n"/>
      <c r="T113" s="280" t="n"/>
      <c r="U113" s="280" t="n"/>
      <c r="V113" s="280" t="n"/>
      <c r="W113" s="280" t="n"/>
      <c r="X113" s="280" t="n"/>
      <c r="Y113" s="280" t="n"/>
      <c r="Z113" s="280" t="n"/>
      <c r="AA113" s="284" t="n"/>
    </row>
    <row r="114" ht="15" customHeight="1" s="195">
      <c r="A114" s="280" t="n"/>
      <c r="B114" s="280" t="n"/>
      <c r="C114" s="280" t="n"/>
      <c r="D114" s="280" t="n"/>
      <c r="E114" s="280" t="n"/>
      <c r="F114" s="280" t="n"/>
      <c r="G114" s="280" t="n"/>
      <c r="H114" s="280" t="n"/>
      <c r="I114" s="280" t="n"/>
      <c r="J114" s="280" t="n"/>
      <c r="K114" s="280" t="n"/>
      <c r="L114" s="280" t="n"/>
      <c r="M114" s="280" t="n"/>
      <c r="N114" s="374" t="n"/>
      <c r="O114" s="280" t="n"/>
      <c r="P114" s="280" t="n"/>
      <c r="Q114" s="280" t="n"/>
      <c r="R114" s="280" t="n"/>
      <c r="S114" s="280" t="n"/>
      <c r="T114" s="280" t="n"/>
      <c r="U114" s="280" t="n"/>
      <c r="V114" s="280" t="n"/>
      <c r="W114" s="280" t="n"/>
      <c r="X114" s="280" t="n"/>
      <c r="Y114" s="280" t="n"/>
      <c r="Z114" s="280" t="n"/>
      <c r="AA114" s="284" t="n"/>
    </row>
    <row r="115" ht="15" customHeight="1" s="195">
      <c r="A115" s="280" t="n"/>
      <c r="B115" s="280" t="n"/>
      <c r="C115" s="280" t="n"/>
      <c r="D115" s="280" t="n"/>
      <c r="E115" s="280" t="n"/>
      <c r="F115" s="280" t="n"/>
      <c r="G115" s="280" t="n"/>
      <c r="H115" s="280" t="n"/>
      <c r="I115" s="280" t="n"/>
      <c r="J115" s="280" t="n"/>
      <c r="K115" s="280" t="n"/>
      <c r="L115" s="280" t="n"/>
      <c r="M115" s="280" t="n"/>
      <c r="N115" s="374" t="n"/>
      <c r="O115" s="280" t="n"/>
      <c r="P115" s="280" t="n"/>
      <c r="Q115" s="280" t="n"/>
      <c r="R115" s="280" t="n"/>
      <c r="S115" s="280" t="n"/>
      <c r="T115" s="280" t="n"/>
      <c r="U115" s="280" t="n"/>
      <c r="V115" s="280" t="n"/>
      <c r="W115" s="280" t="n"/>
      <c r="X115" s="280" t="n"/>
      <c r="Y115" s="280" t="n"/>
      <c r="Z115" s="280" t="n"/>
      <c r="AA115" s="284" t="n"/>
    </row>
    <row r="116" ht="15" customHeight="1" s="195">
      <c r="A116" s="280" t="n"/>
      <c r="B116" s="280" t="n"/>
      <c r="C116" s="280" t="n"/>
      <c r="D116" s="280" t="n"/>
      <c r="E116" s="280" t="n"/>
      <c r="F116" s="280" t="n"/>
      <c r="G116" s="280" t="n"/>
      <c r="H116" s="280" t="n"/>
      <c r="I116" s="280" t="n"/>
      <c r="J116" s="280" t="n"/>
      <c r="K116" s="280" t="n"/>
      <c r="L116" s="280" t="n"/>
      <c r="M116" s="280" t="n"/>
      <c r="N116" s="374" t="n"/>
      <c r="O116" s="280" t="n"/>
      <c r="P116" s="280" t="n"/>
      <c r="Q116" s="280" t="n"/>
      <c r="R116" s="280" t="n"/>
      <c r="S116" s="280" t="n"/>
      <c r="T116" s="280" t="n"/>
      <c r="U116" s="280" t="n"/>
      <c r="V116" s="280" t="n"/>
      <c r="W116" s="280" t="n"/>
      <c r="X116" s="280" t="n"/>
      <c r="Y116" s="280" t="n"/>
      <c r="Z116" s="280" t="n"/>
      <c r="AA116" s="284" t="n"/>
    </row>
    <row r="117" ht="15" customHeight="1" s="195">
      <c r="A117" s="280" t="n"/>
      <c r="B117" s="280" t="n"/>
      <c r="C117" s="280" t="n"/>
      <c r="D117" s="280" t="n"/>
      <c r="E117" s="280" t="n"/>
      <c r="F117" s="280" t="n"/>
      <c r="G117" s="280" t="n"/>
      <c r="H117" s="280" t="n"/>
      <c r="I117" s="280" t="n"/>
      <c r="J117" s="280" t="n"/>
      <c r="K117" s="280" t="n"/>
      <c r="L117" s="280" t="n"/>
      <c r="M117" s="280" t="n"/>
      <c r="N117" s="374" t="n"/>
      <c r="O117" s="280" t="n"/>
      <c r="P117" s="280" t="n"/>
      <c r="Q117" s="280" t="n"/>
      <c r="R117" s="280" t="n"/>
      <c r="S117" s="280" t="n"/>
      <c r="T117" s="280" t="n"/>
      <c r="U117" s="280" t="n"/>
      <c r="V117" s="280" t="n"/>
      <c r="W117" s="280" t="n"/>
      <c r="X117" s="280" t="n"/>
      <c r="Y117" s="280" t="n"/>
      <c r="Z117" s="280" t="n"/>
      <c r="AA117" s="284" t="n"/>
    </row>
    <row r="118" ht="15" customHeight="1" s="195">
      <c r="A118" s="280" t="n"/>
      <c r="B118" s="280" t="n"/>
      <c r="C118" s="280" t="n"/>
      <c r="D118" s="280" t="n"/>
      <c r="E118" s="280" t="n"/>
      <c r="F118" s="280" t="n"/>
      <c r="G118" s="280" t="n"/>
      <c r="H118" s="280" t="n"/>
      <c r="I118" s="280" t="n"/>
      <c r="J118" s="280" t="n"/>
      <c r="K118" s="280" t="n"/>
      <c r="L118" s="280" t="n"/>
      <c r="M118" s="280" t="n"/>
      <c r="N118" s="374" t="n"/>
      <c r="O118" s="280" t="n"/>
      <c r="P118" s="280" t="n"/>
      <c r="Q118" s="280" t="n"/>
      <c r="R118" s="280" t="n"/>
      <c r="S118" s="280" t="n"/>
      <c r="T118" s="280" t="n"/>
      <c r="U118" s="280" t="n"/>
      <c r="V118" s="280" t="n"/>
      <c r="W118" s="280" t="n"/>
      <c r="X118" s="280" t="n"/>
      <c r="Y118" s="280" t="n"/>
      <c r="Z118" s="280" t="n"/>
      <c r="AA118" s="284" t="n"/>
    </row>
    <row r="119" ht="15" customHeight="1" s="195">
      <c r="A119" s="280" t="n"/>
      <c r="B119" s="280" t="n"/>
      <c r="C119" s="280" t="n"/>
      <c r="D119" s="280" t="n"/>
      <c r="E119" s="280" t="n"/>
      <c r="F119" s="280" t="n"/>
      <c r="G119" s="280" t="n"/>
      <c r="H119" s="280" t="n"/>
      <c r="I119" s="280" t="n"/>
      <c r="J119" s="280" t="n"/>
      <c r="K119" s="280" t="n"/>
      <c r="L119" s="280" t="n"/>
      <c r="M119" s="280" t="n"/>
      <c r="N119" s="374" t="n"/>
      <c r="O119" s="280" t="n"/>
      <c r="P119" s="280" t="n"/>
      <c r="Q119" s="280" t="n"/>
      <c r="R119" s="280" t="n"/>
      <c r="S119" s="280" t="n"/>
      <c r="T119" s="280" t="n"/>
      <c r="U119" s="280" t="n"/>
      <c r="V119" s="280" t="n"/>
      <c r="W119" s="280" t="n"/>
      <c r="X119" s="280" t="n"/>
      <c r="Y119" s="280" t="n"/>
      <c r="Z119" s="280" t="n"/>
      <c r="AA119" s="284" t="n"/>
    </row>
    <row r="120" ht="15" customHeight="1" s="195">
      <c r="A120" s="280" t="n"/>
      <c r="B120" s="280" t="n"/>
      <c r="C120" s="280" t="n"/>
      <c r="D120" s="280" t="n"/>
      <c r="E120" s="280" t="n"/>
      <c r="F120" s="280" t="n"/>
      <c r="G120" s="280" t="n"/>
      <c r="H120" s="280" t="n"/>
      <c r="I120" s="332">
        <f>IFERROR(VLOOKUP(TEXT(H120,"0"),IPRESS!$A$3:$B$212,2,0),"")</f>
        <v/>
      </c>
      <c r="J120" s="280" t="n"/>
      <c r="K120" s="332">
        <f>IFERROR(VLOOKUP(TEXT(O120,"0"),CONDUCTORES!$A$3:$G$54,7,0),"")</f>
        <v/>
      </c>
      <c r="L120" s="280" t="n"/>
      <c r="M120" s="280" t="n"/>
      <c r="N120" s="333">
        <f>IFERROR(IF(L120*M120=0,"",L120*M120),"")</f>
        <v/>
      </c>
      <c r="O120" s="280" t="n"/>
      <c r="P120" s="332">
        <f>IFERROR(VLOOKUP(TEXT(O120,"0"),CONDUCTORES!$A$3:$G$54,2,0),"")</f>
        <v/>
      </c>
      <c r="Q120" s="332">
        <f>IFERROR(VLOOKUP(TEXT(O120,"0"),CONDUCTORES!$A$3:$H$54,6,0),"")</f>
        <v/>
      </c>
      <c r="R120" s="280" t="n"/>
      <c r="S120" s="280" t="n"/>
      <c r="T120" s="280" t="n"/>
      <c r="U120" s="280" t="n"/>
      <c r="V120" s="280" t="n"/>
      <c r="W120" s="280" t="n"/>
      <c r="X120" s="280" t="n"/>
      <c r="Y120" s="280" t="n"/>
      <c r="Z120" s="375">
        <f>IF(AND(G120&lt;&gt;"",R120&lt;&gt;"",V120&lt;&gt;"",W120&lt;&gt;""),"COMPLETADO","OBSERVADO")</f>
        <v/>
      </c>
    </row>
    <row r="121" ht="15" customHeight="1" s="195">
      <c r="A121" s="334" t="n"/>
      <c r="B121" s="334" t="n"/>
      <c r="C121" s="334" t="n"/>
      <c r="D121" s="334" t="n"/>
      <c r="E121" s="334" t="n"/>
      <c r="F121" s="334" t="n"/>
      <c r="G121" s="334" t="n"/>
      <c r="H121" s="334" t="n"/>
      <c r="I121" s="332">
        <f>IFERROR(VLOOKUP(TEXT(H121,"0"),IPRESS!$A$3:$B$212,2,0),"")</f>
        <v/>
      </c>
      <c r="J121" s="334" t="n"/>
      <c r="K121" s="332">
        <f>IFERROR(VLOOKUP(TEXT(O121,"0"),CONDUCTORES!$A$3:$G$54,7,0),"")</f>
        <v/>
      </c>
      <c r="L121" s="334" t="n"/>
      <c r="M121" s="334" t="n"/>
      <c r="N121" s="333">
        <f>IFERROR(IF(L121*M121=0,"",L121*M121),"")</f>
        <v/>
      </c>
      <c r="O121" s="334" t="n"/>
      <c r="P121" s="332">
        <f>IFERROR(VLOOKUP(TEXT(O121,"0"),CONDUCTORES!$A$3:$G$54,2,0),"")</f>
        <v/>
      </c>
      <c r="Q121" s="332">
        <f>IFERROR(VLOOKUP(TEXT(O121,"0"),CONDUCTORES!$A$3:$H$54,6,0),"")</f>
        <v/>
      </c>
      <c r="R121" s="334" t="n"/>
      <c r="S121" s="334" t="n"/>
      <c r="T121" s="334" t="n"/>
      <c r="U121" s="334" t="n"/>
      <c r="V121" s="334" t="n"/>
      <c r="W121" s="334" t="n"/>
      <c r="X121" s="334" t="n"/>
      <c r="Y121" s="334" t="n"/>
      <c r="Z121" s="375">
        <f>IF(AND(G121&lt;&gt;"",R121&lt;&gt;"",V121&lt;&gt;"",W121&lt;&gt;""),"COMPLETADO","OBSERVADO")</f>
        <v/>
      </c>
    </row>
    <row r="122" ht="15" customHeight="1" s="195">
      <c r="A122" s="280" t="n"/>
      <c r="B122" s="280" t="n"/>
      <c r="C122" s="280" t="n"/>
      <c r="D122" s="280" t="n"/>
      <c r="E122" s="280" t="n"/>
      <c r="F122" s="280" t="n"/>
      <c r="G122" s="280" t="n"/>
      <c r="H122" s="280" t="n"/>
      <c r="I122" s="332">
        <f>IFERROR(VLOOKUP(TEXT(H122,"0"),IPRESS!$A$3:$B$212,2,0),"")</f>
        <v/>
      </c>
      <c r="J122" s="280" t="n"/>
      <c r="K122" s="332">
        <f>IFERROR(VLOOKUP(TEXT(O122,"0"),CONDUCTORES!$A$3:$G$54,7,0),"")</f>
        <v/>
      </c>
      <c r="L122" s="280" t="n"/>
      <c r="M122" s="280" t="n"/>
      <c r="N122" s="333">
        <f>IFERROR(IF(L122*M122=0,"",L122*M122),"")</f>
        <v/>
      </c>
      <c r="O122" s="280" t="n"/>
      <c r="P122" s="332">
        <f>IFERROR(VLOOKUP(TEXT(O122,"0"),CONDUCTORES!$A$3:$G$54,2,0),"")</f>
        <v/>
      </c>
      <c r="Q122" s="332">
        <f>IFERROR(VLOOKUP(TEXT(O122,"0"),CONDUCTORES!$A$3:$H$54,6,0),"")</f>
        <v/>
      </c>
      <c r="R122" s="280" t="n"/>
      <c r="S122" s="280" t="n"/>
      <c r="T122" s="280" t="n"/>
      <c r="U122" s="280" t="n"/>
      <c r="V122" s="280" t="n"/>
      <c r="W122" s="280" t="n"/>
      <c r="X122" s="280" t="n"/>
      <c r="Y122" s="280" t="n"/>
      <c r="Z122" s="375">
        <f>IF(AND(G122&lt;&gt;"",R122&lt;&gt;"",V122&lt;&gt;"",W122&lt;&gt;""),"COMPLETADO","OBSERVADO")</f>
        <v/>
      </c>
    </row>
    <row r="123" ht="15" customHeight="1" s="195">
      <c r="A123" s="334" t="n"/>
      <c r="B123" s="334" t="n"/>
      <c r="C123" s="334" t="n"/>
      <c r="D123" s="334" t="n"/>
      <c r="E123" s="334" t="n"/>
      <c r="F123" s="334" t="n"/>
      <c r="G123" s="334" t="n"/>
      <c r="H123" s="334" t="n"/>
      <c r="I123" s="332">
        <f>IFERROR(VLOOKUP(TEXT(H123,"0"),IPRESS!$A$3:$B$212,2,0),"")</f>
        <v/>
      </c>
      <c r="J123" s="334" t="n"/>
      <c r="K123" s="332">
        <f>IFERROR(VLOOKUP(TEXT(O123,"0"),CONDUCTORES!$A$3:$G$54,7,0),"")</f>
        <v/>
      </c>
      <c r="L123" s="334" t="n"/>
      <c r="M123" s="334" t="n"/>
      <c r="N123" s="333">
        <f>IFERROR(IF(L123*M123=0,"",L123*M123),"")</f>
        <v/>
      </c>
      <c r="O123" s="334" t="n"/>
      <c r="P123" s="332">
        <f>IFERROR(VLOOKUP(TEXT(O123,"0"),CONDUCTORES!$A$3:$G$54,2,0),"")</f>
        <v/>
      </c>
      <c r="Q123" s="332">
        <f>IFERROR(VLOOKUP(TEXT(O123,"0"),CONDUCTORES!$A$3:$H$54,6,0),"")</f>
        <v/>
      </c>
      <c r="R123" s="334" t="n"/>
      <c r="S123" s="334" t="n"/>
      <c r="T123" s="334" t="n"/>
      <c r="U123" s="334" t="n"/>
      <c r="V123" s="334" t="n"/>
      <c r="W123" s="334" t="n"/>
      <c r="X123" s="334" t="n"/>
      <c r="Y123" s="334" t="n"/>
      <c r="Z123" s="375">
        <f>IF(AND(G123&lt;&gt;"",R123&lt;&gt;"",V123&lt;&gt;"",W123&lt;&gt;""),"COMPLETADO","OBSERVADO")</f>
        <v/>
      </c>
    </row>
    <row r="124" ht="15" customHeight="1" s="195">
      <c r="A124" s="280" t="n"/>
      <c r="B124" s="280" t="n"/>
      <c r="C124" s="280" t="n"/>
      <c r="D124" s="280" t="n"/>
      <c r="E124" s="280" t="n"/>
      <c r="F124" s="280" t="n"/>
      <c r="G124" s="280" t="n"/>
      <c r="H124" s="280" t="n"/>
      <c r="I124" s="332">
        <f>IFERROR(VLOOKUP(TEXT(H124,"0"),IPRESS!$A$3:$B$212,2,0),"")</f>
        <v/>
      </c>
      <c r="J124" s="280" t="n"/>
      <c r="K124" s="332">
        <f>IFERROR(VLOOKUP(TEXT(O124,"0"),CONDUCTORES!$A$3:$G$54,7,0),"")</f>
        <v/>
      </c>
      <c r="L124" s="280" t="n"/>
      <c r="M124" s="280" t="n"/>
      <c r="N124" s="333">
        <f>IFERROR(IF(L124*M124=0,"",L124*M124),"")</f>
        <v/>
      </c>
      <c r="O124" s="280" t="n"/>
      <c r="P124" s="332">
        <f>IFERROR(VLOOKUP(TEXT(O124,"0"),CONDUCTORES!$A$3:$G$54,2,0),"")</f>
        <v/>
      </c>
      <c r="Q124" s="332">
        <f>IFERROR(VLOOKUP(TEXT(O124,"0"),CONDUCTORES!$A$3:$H$54,6,0),"")</f>
        <v/>
      </c>
      <c r="R124" s="280" t="n"/>
      <c r="S124" s="280" t="n"/>
      <c r="T124" s="280" t="n"/>
      <c r="U124" s="280" t="n"/>
      <c r="V124" s="280" t="n"/>
      <c r="W124" s="280" t="n"/>
      <c r="X124" s="280" t="n"/>
      <c r="Y124" s="280" t="n"/>
      <c r="Z124" s="375">
        <f>IF(AND(G124&lt;&gt;"",R124&lt;&gt;"",V124&lt;&gt;"",W124&lt;&gt;""),"COMPLETADO","OBSERVADO")</f>
        <v/>
      </c>
    </row>
    <row r="125" ht="15" customHeight="1" s="195">
      <c r="A125" s="334" t="n"/>
      <c r="B125" s="334" t="n"/>
      <c r="C125" s="334" t="n"/>
      <c r="D125" s="334" t="n"/>
      <c r="E125" s="334" t="n"/>
      <c r="F125" s="334" t="n"/>
      <c r="G125" s="334" t="n"/>
      <c r="H125" s="334" t="n"/>
      <c r="I125" s="332">
        <f>IFERROR(VLOOKUP(TEXT(H125,"0"),IPRESS!$A$3:$B$212,2,0),"")</f>
        <v/>
      </c>
      <c r="J125" s="334" t="n"/>
      <c r="K125" s="332">
        <f>IFERROR(VLOOKUP(TEXT(O125,"0"),CONDUCTORES!$A$3:$G$54,7,0),"")</f>
        <v/>
      </c>
      <c r="L125" s="334" t="n"/>
      <c r="M125" s="334" t="n"/>
      <c r="N125" s="333">
        <f>IFERROR(IF(L125*M125=0,"",L125*M125),"")</f>
        <v/>
      </c>
      <c r="O125" s="334" t="n"/>
      <c r="P125" s="332">
        <f>IFERROR(VLOOKUP(TEXT(O125,"0"),CONDUCTORES!$A$3:$G$54,2,0),"")</f>
        <v/>
      </c>
      <c r="Q125" s="332">
        <f>IFERROR(VLOOKUP(TEXT(O125,"0"),CONDUCTORES!$A$3:$H$54,6,0),"")</f>
        <v/>
      </c>
      <c r="R125" s="334" t="n"/>
      <c r="S125" s="334" t="n"/>
      <c r="T125" s="334" t="n"/>
      <c r="U125" s="334" t="n"/>
      <c r="V125" s="334" t="n"/>
      <c r="W125" s="334" t="n"/>
      <c r="X125" s="334" t="n"/>
      <c r="Y125" s="334" t="n"/>
      <c r="Z125" s="375">
        <f>IF(AND(G125&lt;&gt;"",R125&lt;&gt;"",V125&lt;&gt;"",W125&lt;&gt;""),"COMPLETADO","OBSERVADO")</f>
        <v/>
      </c>
    </row>
    <row r="126" ht="15" customHeight="1" s="195">
      <c r="A126" s="280" t="n"/>
      <c r="B126" s="280" t="n"/>
      <c r="C126" s="280" t="n"/>
      <c r="D126" s="280" t="n"/>
      <c r="E126" s="280" t="n"/>
      <c r="F126" s="280" t="n"/>
      <c r="G126" s="280" t="n"/>
      <c r="H126" s="280" t="n"/>
      <c r="I126" s="332">
        <f>IFERROR(VLOOKUP(TEXT(H126,"0"),IPRESS!$A$3:$B$212,2,0),"")</f>
        <v/>
      </c>
      <c r="J126" s="280" t="n"/>
      <c r="K126" s="332">
        <f>IFERROR(VLOOKUP(TEXT(O126,"0"),CONDUCTORES!$A$3:$G$54,7,0),"")</f>
        <v/>
      </c>
      <c r="L126" s="280" t="n"/>
      <c r="M126" s="280" t="n"/>
      <c r="N126" s="333">
        <f>IFERROR(IF(L126*M126=0,"",L126*M126),"")</f>
        <v/>
      </c>
      <c r="O126" s="280" t="n"/>
      <c r="P126" s="332">
        <f>IFERROR(VLOOKUP(TEXT(O126,"0"),CONDUCTORES!$A$3:$G$54,2,0),"")</f>
        <v/>
      </c>
      <c r="Q126" s="332">
        <f>IFERROR(VLOOKUP(TEXT(O126,"0"),CONDUCTORES!$A$3:$H$54,6,0),"")</f>
        <v/>
      </c>
      <c r="R126" s="280" t="n"/>
      <c r="S126" s="280" t="n"/>
      <c r="T126" s="280" t="n"/>
      <c r="U126" s="280" t="n"/>
      <c r="V126" s="280" t="n"/>
      <c r="W126" s="280" t="n"/>
      <c r="X126" s="280" t="n"/>
      <c r="Y126" s="280" t="n"/>
      <c r="Z126" s="375">
        <f>IF(AND(G126&lt;&gt;"",R126&lt;&gt;"",V126&lt;&gt;"",W126&lt;&gt;""),"COMPLETADO","OBSERVADO")</f>
        <v/>
      </c>
    </row>
    <row r="127" ht="15" customHeight="1" s="195">
      <c r="A127" s="334" t="n"/>
      <c r="B127" s="334" t="n"/>
      <c r="C127" s="334" t="n"/>
      <c r="D127" s="334" t="n"/>
      <c r="E127" s="334" t="n"/>
      <c r="F127" s="334" t="n"/>
      <c r="G127" s="334" t="n"/>
      <c r="H127" s="334" t="n"/>
      <c r="I127" s="332">
        <f>IFERROR(VLOOKUP(TEXT(H127,"0"),IPRESS!$A$3:$B$212,2,0),"")</f>
        <v/>
      </c>
      <c r="J127" s="334" t="n"/>
      <c r="K127" s="332">
        <f>IFERROR(VLOOKUP(TEXT(O127,"0"),CONDUCTORES!$A$3:$G$54,7,0),"")</f>
        <v/>
      </c>
      <c r="L127" s="334" t="n"/>
      <c r="M127" s="334" t="n"/>
      <c r="N127" s="333">
        <f>IFERROR(IF(L127*M127=0,"",L127*M127),"")</f>
        <v/>
      </c>
      <c r="O127" s="334" t="n"/>
      <c r="P127" s="332">
        <f>IFERROR(VLOOKUP(TEXT(O127,"0"),CONDUCTORES!$A$3:$G$54,2,0),"")</f>
        <v/>
      </c>
      <c r="Q127" s="332">
        <f>IFERROR(VLOOKUP(TEXT(O127,"0"),CONDUCTORES!$A$3:$H$54,6,0),"")</f>
        <v/>
      </c>
      <c r="R127" s="334" t="n"/>
      <c r="S127" s="334" t="n"/>
      <c r="T127" s="334" t="n"/>
      <c r="U127" s="334" t="n"/>
      <c r="V127" s="334" t="n"/>
      <c r="W127" s="334" t="n"/>
      <c r="X127" s="334" t="n"/>
      <c r="Y127" s="334" t="n"/>
      <c r="Z127" s="375">
        <f>IF(AND(G127&lt;&gt;"",R127&lt;&gt;"",V127&lt;&gt;"",W127&lt;&gt;""),"COMPLETADO","OBSERVADO")</f>
        <v/>
      </c>
    </row>
    <row r="128" ht="15" customHeight="1" s="195">
      <c r="A128" s="280" t="n"/>
      <c r="B128" s="280" t="n"/>
      <c r="C128" s="280" t="n"/>
      <c r="D128" s="280" t="n"/>
      <c r="E128" s="280" t="n"/>
      <c r="F128" s="280" t="n"/>
      <c r="G128" s="280" t="n"/>
      <c r="H128" s="280" t="n"/>
      <c r="I128" s="332">
        <f>IFERROR(VLOOKUP(TEXT(H128,"0"),IPRESS!$A$3:$B$212,2,0),"")</f>
        <v/>
      </c>
      <c r="J128" s="280" t="n"/>
      <c r="K128" s="332">
        <f>IFERROR(VLOOKUP(TEXT(O128,"0"),CONDUCTORES!$A$3:$G$54,7,0),"")</f>
        <v/>
      </c>
      <c r="L128" s="280" t="n"/>
      <c r="M128" s="280" t="n"/>
      <c r="N128" s="333">
        <f>IFERROR(IF(L128*M128=0,"",L128*M128),"")</f>
        <v/>
      </c>
      <c r="O128" s="280" t="n"/>
      <c r="P128" s="332">
        <f>IFERROR(VLOOKUP(TEXT(O128,"0"),CONDUCTORES!$A$3:$G$54,2,0),"")</f>
        <v/>
      </c>
      <c r="Q128" s="332">
        <f>IFERROR(VLOOKUP(TEXT(O128,"0"),CONDUCTORES!$A$3:$H$54,6,0),"")</f>
        <v/>
      </c>
      <c r="R128" s="280" t="n"/>
      <c r="S128" s="280" t="n"/>
      <c r="T128" s="280" t="n"/>
      <c r="U128" s="280" t="n"/>
      <c r="V128" s="280" t="n"/>
      <c r="W128" s="280" t="n"/>
      <c r="X128" s="280" t="n"/>
      <c r="Y128" s="280" t="n"/>
      <c r="Z128" s="375">
        <f>IF(AND(G128&lt;&gt;"",R128&lt;&gt;"",V128&lt;&gt;"",W128&lt;&gt;""),"COMPLETADO","OBSERVADO")</f>
        <v/>
      </c>
    </row>
    <row r="129" ht="15" customHeight="1" s="195">
      <c r="A129" s="334" t="n"/>
      <c r="B129" s="334" t="n"/>
      <c r="C129" s="334" t="n"/>
      <c r="D129" s="334" t="n"/>
      <c r="E129" s="334" t="n"/>
      <c r="F129" s="334" t="n"/>
      <c r="G129" s="334" t="n"/>
      <c r="H129" s="334" t="n"/>
      <c r="I129" s="332">
        <f>IFERROR(VLOOKUP(TEXT(H129,"0"),IPRESS!$A$3:$B$212,2,0),"")</f>
        <v/>
      </c>
      <c r="J129" s="334" t="n"/>
      <c r="K129" s="332">
        <f>IFERROR(VLOOKUP(TEXT(O129,"0"),CONDUCTORES!$A$3:$G$54,7,0),"")</f>
        <v/>
      </c>
      <c r="L129" s="334" t="n"/>
      <c r="M129" s="334" t="n"/>
      <c r="N129" s="333">
        <f>IFERROR(IF(L129*M129=0,"",L129*M129),"")</f>
        <v/>
      </c>
      <c r="O129" s="334" t="n"/>
      <c r="P129" s="332">
        <f>IFERROR(VLOOKUP(TEXT(O129,"0"),CONDUCTORES!$A$3:$G$54,2,0),"")</f>
        <v/>
      </c>
      <c r="Q129" s="332">
        <f>IFERROR(VLOOKUP(TEXT(O129,"0"),CONDUCTORES!$A$3:$H$54,6,0),"")</f>
        <v/>
      </c>
      <c r="R129" s="334" t="n"/>
      <c r="S129" s="334" t="n"/>
      <c r="T129" s="334" t="n"/>
      <c r="U129" s="334" t="n"/>
      <c r="V129" s="334" t="n"/>
      <c r="W129" s="334" t="n"/>
      <c r="X129" s="334" t="n"/>
      <c r="Y129" s="334" t="n"/>
      <c r="Z129" s="375">
        <f>IF(AND(G129&lt;&gt;"",R129&lt;&gt;"",V129&lt;&gt;"",W129&lt;&gt;""),"COMPLETADO","OBSERVADO")</f>
        <v/>
      </c>
    </row>
    <row r="130" ht="15" customHeight="1" s="195">
      <c r="A130" s="280" t="n"/>
      <c r="B130" s="280" t="n"/>
      <c r="C130" s="280" t="n"/>
      <c r="D130" s="280" t="n"/>
      <c r="E130" s="280" t="n"/>
      <c r="F130" s="280" t="n"/>
      <c r="G130" s="280" t="n"/>
      <c r="H130" s="280" t="n"/>
      <c r="I130" s="332">
        <f>IFERROR(VLOOKUP(TEXT(H130,"0"),IPRESS!$A$3:$B$212,2,0),"")</f>
        <v/>
      </c>
      <c r="J130" s="280" t="n"/>
      <c r="K130" s="332">
        <f>IFERROR(VLOOKUP(TEXT(O130,"0"),CONDUCTORES!$A$3:$G$54,7,0),"")</f>
        <v/>
      </c>
      <c r="L130" s="280" t="n"/>
      <c r="M130" s="280" t="n"/>
      <c r="N130" s="333">
        <f>IFERROR(IF(L130*M130=0,"",L130*M130),"")</f>
        <v/>
      </c>
      <c r="O130" s="280" t="n"/>
      <c r="P130" s="332">
        <f>IFERROR(VLOOKUP(TEXT(O130,"0"),CONDUCTORES!$A$3:$G$54,2,0),"")</f>
        <v/>
      </c>
      <c r="Q130" s="332">
        <f>IFERROR(VLOOKUP(TEXT(O130,"0"),CONDUCTORES!$A$3:$H$54,6,0),"")</f>
        <v/>
      </c>
      <c r="R130" s="280" t="n"/>
      <c r="S130" s="280" t="n"/>
      <c r="T130" s="280" t="n"/>
      <c r="U130" s="280" t="n"/>
      <c r="V130" s="280" t="n"/>
      <c r="W130" s="280" t="n"/>
      <c r="X130" s="280" t="n"/>
      <c r="Y130" s="280" t="n"/>
      <c r="Z130" s="375">
        <f>IF(AND(G130&lt;&gt;"",R130&lt;&gt;"",V130&lt;&gt;"",W130&lt;&gt;""),"COMPLETADO","OBSERVADO")</f>
        <v/>
      </c>
    </row>
    <row r="131" ht="15" customHeight="1" s="195">
      <c r="A131" s="334" t="n"/>
      <c r="B131" s="334" t="n"/>
      <c r="C131" s="334" t="n"/>
      <c r="D131" s="334" t="n"/>
      <c r="E131" s="334" t="n"/>
      <c r="F131" s="334" t="n"/>
      <c r="G131" s="334" t="n"/>
      <c r="H131" s="334" t="n"/>
      <c r="I131" s="332">
        <f>IFERROR(VLOOKUP(TEXT(H131,"0"),IPRESS!$A$3:$B$212,2,0),"")</f>
        <v/>
      </c>
      <c r="J131" s="334" t="n"/>
      <c r="K131" s="332">
        <f>IFERROR(VLOOKUP(TEXT(O131,"0"),CONDUCTORES!$A$3:$G$54,7,0),"")</f>
        <v/>
      </c>
      <c r="L131" s="334" t="n"/>
      <c r="M131" s="334" t="n"/>
      <c r="N131" s="333">
        <f>IFERROR(IF(L131*M131=0,"",L131*M131),"")</f>
        <v/>
      </c>
      <c r="O131" s="334" t="n"/>
      <c r="P131" s="332">
        <f>IFERROR(VLOOKUP(TEXT(O131,"0"),CONDUCTORES!$A$3:$G$54,2,0),"")</f>
        <v/>
      </c>
      <c r="Q131" s="332">
        <f>IFERROR(VLOOKUP(TEXT(O131,"0"),CONDUCTORES!$A$3:$H$54,6,0),"")</f>
        <v/>
      </c>
      <c r="R131" s="334" t="n"/>
      <c r="S131" s="334" t="n"/>
      <c r="T131" s="334" t="n"/>
      <c r="U131" s="334" t="n"/>
      <c r="V131" s="334" t="n"/>
      <c r="W131" s="334" t="n"/>
      <c r="X131" s="334" t="n"/>
      <c r="Y131" s="334" t="n"/>
      <c r="Z131" s="375">
        <f>IF(AND(G131&lt;&gt;"",R131&lt;&gt;"",V131&lt;&gt;"",W131&lt;&gt;""),"COMPLETADO","OBSERVADO")</f>
        <v/>
      </c>
    </row>
    <row r="132" ht="15" customHeight="1" s="195">
      <c r="A132" s="280" t="n"/>
      <c r="B132" s="280" t="n"/>
      <c r="C132" s="280" t="n"/>
      <c r="D132" s="280" t="n"/>
      <c r="E132" s="280" t="n"/>
      <c r="F132" s="280" t="n"/>
      <c r="G132" s="280" t="n"/>
      <c r="H132" s="280" t="n"/>
      <c r="I132" s="332">
        <f>IFERROR(VLOOKUP(TEXT(H132,"0"),IPRESS!$A$3:$B$212,2,0),"")</f>
        <v/>
      </c>
      <c r="J132" s="280" t="n"/>
      <c r="K132" s="332">
        <f>IFERROR(VLOOKUP(TEXT(O132,"0"),CONDUCTORES!$A$3:$G$54,7,0),"")</f>
        <v/>
      </c>
      <c r="L132" s="280" t="n"/>
      <c r="M132" s="280" t="n"/>
      <c r="N132" s="333">
        <f>IFERROR(IF(L132*M132=0,"",L132*M132),"")</f>
        <v/>
      </c>
      <c r="O132" s="280" t="n"/>
      <c r="P132" s="332">
        <f>IFERROR(VLOOKUP(TEXT(O132,"0"),CONDUCTORES!$A$3:$G$54,2,0),"")</f>
        <v/>
      </c>
      <c r="Q132" s="332">
        <f>IFERROR(VLOOKUP(TEXT(O132,"0"),CONDUCTORES!$A$3:$H$54,6,0),"")</f>
        <v/>
      </c>
      <c r="R132" s="280" t="n"/>
      <c r="S132" s="280" t="n"/>
      <c r="T132" s="280" t="n"/>
      <c r="U132" s="280" t="n"/>
      <c r="V132" s="280" t="n"/>
      <c r="W132" s="280" t="n"/>
      <c r="X132" s="280" t="n"/>
      <c r="Y132" s="280" t="n"/>
      <c r="Z132" s="375">
        <f>IF(AND(G132&lt;&gt;"",R132&lt;&gt;"",V132&lt;&gt;"",W132&lt;&gt;""),"COMPLETADO","OBSERVADO")</f>
        <v/>
      </c>
    </row>
    <row r="133" ht="15" customHeight="1" s="195">
      <c r="A133" s="334" t="n"/>
      <c r="B133" s="334" t="n"/>
      <c r="C133" s="334" t="n"/>
      <c r="D133" s="334" t="n"/>
      <c r="E133" s="334" t="n"/>
      <c r="F133" s="334" t="n"/>
      <c r="G133" s="334" t="n"/>
      <c r="H133" s="334" t="n"/>
      <c r="I133" s="332">
        <f>IFERROR(VLOOKUP(TEXT(H133,"0"),IPRESS!$A$3:$B$212,2,0),"")</f>
        <v/>
      </c>
      <c r="J133" s="334" t="n"/>
      <c r="K133" s="332">
        <f>IFERROR(VLOOKUP(TEXT(O133,"0"),CONDUCTORES!$A$3:$G$54,7,0),"")</f>
        <v/>
      </c>
      <c r="L133" s="334" t="n"/>
      <c r="M133" s="334" t="n"/>
      <c r="N133" s="333">
        <f>IFERROR(IF(L133*M133=0,"",L133*M133),"")</f>
        <v/>
      </c>
      <c r="O133" s="334" t="n"/>
      <c r="P133" s="332">
        <f>IFERROR(VLOOKUP(TEXT(O133,"0"),CONDUCTORES!$A$3:$G$54,2,0),"")</f>
        <v/>
      </c>
      <c r="Q133" s="332">
        <f>IFERROR(VLOOKUP(TEXT(O133,"0"),CONDUCTORES!$A$3:$H$54,6,0),"")</f>
        <v/>
      </c>
      <c r="R133" s="334" t="n"/>
      <c r="S133" s="334" t="n"/>
      <c r="T133" s="334" t="n"/>
      <c r="U133" s="334" t="n"/>
      <c r="V133" s="334" t="n"/>
      <c r="W133" s="334" t="n"/>
      <c r="X133" s="334" t="n"/>
      <c r="Y133" s="334" t="n"/>
      <c r="Z133" s="375">
        <f>IF(AND(G133&lt;&gt;"",R133&lt;&gt;"",V133&lt;&gt;"",W133&lt;&gt;""),"COMPLETADO","OBSERVADO")</f>
        <v/>
      </c>
    </row>
    <row r="134" ht="15" customHeight="1" s="195">
      <c r="A134" s="280" t="n"/>
      <c r="B134" s="280" t="n"/>
      <c r="C134" s="280" t="n"/>
      <c r="D134" s="280" t="n"/>
      <c r="E134" s="280" t="n"/>
      <c r="F134" s="280" t="n"/>
      <c r="G134" s="280" t="n"/>
      <c r="H134" s="280" t="n"/>
      <c r="I134" s="332">
        <f>IFERROR(VLOOKUP(TEXT(H134,"0"),IPRESS!$A$3:$B$212,2,0),"")</f>
        <v/>
      </c>
      <c r="J134" s="280" t="n"/>
      <c r="K134" s="332">
        <f>IFERROR(VLOOKUP(TEXT(O134,"0"),CONDUCTORES!$A$3:$G$54,7,0),"")</f>
        <v/>
      </c>
      <c r="L134" s="280" t="n"/>
      <c r="M134" s="280" t="n"/>
      <c r="N134" s="333">
        <f>IFERROR(IF(L134*M134=0,"",L134*M134),"")</f>
        <v/>
      </c>
      <c r="O134" s="280" t="n"/>
      <c r="P134" s="332">
        <f>IFERROR(VLOOKUP(TEXT(O134,"0"),CONDUCTORES!$A$3:$G$54,2,0),"")</f>
        <v/>
      </c>
      <c r="Q134" s="332">
        <f>IFERROR(VLOOKUP(TEXT(O134,"0"),CONDUCTORES!$A$3:$H$54,6,0),"")</f>
        <v/>
      </c>
      <c r="R134" s="280" t="n"/>
      <c r="S134" s="280" t="n"/>
      <c r="T134" s="280" t="n"/>
      <c r="U134" s="280" t="n"/>
      <c r="V134" s="280" t="n"/>
      <c r="W134" s="280" t="n"/>
      <c r="X134" s="280" t="n"/>
      <c r="Y134" s="280" t="n"/>
      <c r="Z134" s="375">
        <f>IF(AND(G134&lt;&gt;"",R134&lt;&gt;"",V134&lt;&gt;"",W134&lt;&gt;""),"COMPLETADO","OBSERVADO")</f>
        <v/>
      </c>
    </row>
    <row r="135" ht="15" customHeight="1" s="195">
      <c r="A135" s="334" t="n"/>
      <c r="B135" s="334" t="n"/>
      <c r="C135" s="334" t="n"/>
      <c r="D135" s="334" t="n"/>
      <c r="E135" s="334" t="n"/>
      <c r="F135" s="334" t="n"/>
      <c r="G135" s="334" t="n"/>
      <c r="H135" s="334" t="n"/>
      <c r="I135" s="332">
        <f>IFERROR(VLOOKUP(TEXT(H135,"0"),IPRESS!$A$3:$B$212,2,0),"")</f>
        <v/>
      </c>
      <c r="J135" s="334" t="n"/>
      <c r="K135" s="332">
        <f>IFERROR(VLOOKUP(TEXT(O135,"0"),CONDUCTORES!$A$3:$G$54,7,0),"")</f>
        <v/>
      </c>
      <c r="L135" s="334" t="n"/>
      <c r="M135" s="334" t="n"/>
      <c r="N135" s="333">
        <f>IFERROR(IF(L135*M135=0,"",L135*M135),"")</f>
        <v/>
      </c>
      <c r="O135" s="334" t="n"/>
      <c r="P135" s="332">
        <f>IFERROR(VLOOKUP(TEXT(O135,"0"),CONDUCTORES!$A$3:$G$54,2,0),"")</f>
        <v/>
      </c>
      <c r="Q135" s="332">
        <f>IFERROR(VLOOKUP(TEXT(O135,"0"),CONDUCTORES!$A$3:$H$54,6,0),"")</f>
        <v/>
      </c>
      <c r="R135" s="334" t="n"/>
      <c r="S135" s="334" t="n"/>
      <c r="T135" s="334" t="n"/>
      <c r="U135" s="334" t="n"/>
      <c r="V135" s="334" t="n"/>
      <c r="W135" s="334" t="n"/>
      <c r="X135" s="334" t="n"/>
      <c r="Y135" s="334" t="n"/>
      <c r="Z135" s="375">
        <f>IF(AND(G135&lt;&gt;"",R135&lt;&gt;"",V135&lt;&gt;"",W135&lt;&gt;""),"COMPLETADO","OBSERVADO")</f>
        <v/>
      </c>
    </row>
    <row r="136" ht="15" customHeight="1" s="195">
      <c r="A136" s="280" t="n"/>
      <c r="B136" s="280" t="n"/>
      <c r="C136" s="280" t="n"/>
      <c r="D136" s="280" t="n"/>
      <c r="E136" s="280" t="n"/>
      <c r="F136" s="280" t="n"/>
      <c r="G136" s="280" t="n"/>
      <c r="H136" s="280" t="n"/>
      <c r="I136" s="332">
        <f>IFERROR(VLOOKUP(TEXT(H136,"0"),IPRESS!$A$3:$B$212,2,0),"")</f>
        <v/>
      </c>
      <c r="J136" s="280" t="n"/>
      <c r="K136" s="332">
        <f>IFERROR(VLOOKUP(TEXT(O136,"0"),CONDUCTORES!$A$3:$G$54,7,0),"")</f>
        <v/>
      </c>
      <c r="L136" s="280" t="n"/>
      <c r="M136" s="280" t="n"/>
      <c r="N136" s="333">
        <f>IFERROR(IF(L136*M136=0,"",L136*M136),"")</f>
        <v/>
      </c>
      <c r="O136" s="280" t="n"/>
      <c r="P136" s="332">
        <f>IFERROR(VLOOKUP(TEXT(O136,"0"),CONDUCTORES!$A$3:$G$54,2,0),"")</f>
        <v/>
      </c>
      <c r="Q136" s="332">
        <f>IFERROR(VLOOKUP(TEXT(O136,"0"),CONDUCTORES!$A$3:$H$54,6,0),"")</f>
        <v/>
      </c>
      <c r="R136" s="280" t="n"/>
      <c r="S136" s="280" t="n"/>
      <c r="T136" s="280" t="n"/>
      <c r="U136" s="280" t="n"/>
      <c r="V136" s="280" t="n"/>
      <c r="W136" s="280" t="n"/>
      <c r="X136" s="280" t="n"/>
      <c r="Y136" s="280" t="n"/>
      <c r="Z136" s="375">
        <f>IF(AND(G136&lt;&gt;"",R136&lt;&gt;"",V136&lt;&gt;"",W136&lt;&gt;""),"COMPLETADO","OBSERVADO")</f>
        <v/>
      </c>
    </row>
    <row r="137" ht="15" customHeight="1" s="195">
      <c r="A137" s="334" t="n"/>
      <c r="B137" s="334" t="n"/>
      <c r="C137" s="334" t="n"/>
      <c r="D137" s="334" t="n"/>
      <c r="E137" s="334" t="n"/>
      <c r="F137" s="334" t="n"/>
      <c r="G137" s="334" t="n"/>
      <c r="H137" s="334" t="n"/>
      <c r="I137" s="332">
        <f>IFERROR(VLOOKUP(TEXT(H137,"0"),IPRESS!$A$3:$B$212,2,0),"")</f>
        <v/>
      </c>
      <c r="J137" s="334" t="n"/>
      <c r="K137" s="332">
        <f>IFERROR(VLOOKUP(TEXT(O137,"0"),CONDUCTORES!$A$3:$G$54,7,0),"")</f>
        <v/>
      </c>
      <c r="L137" s="334" t="n"/>
      <c r="M137" s="334" t="n"/>
      <c r="N137" s="333">
        <f>IFERROR(IF(L137*M137=0,"",L137*M137),"")</f>
        <v/>
      </c>
      <c r="O137" s="334" t="n"/>
      <c r="P137" s="332">
        <f>IFERROR(VLOOKUP(TEXT(O137,"0"),CONDUCTORES!$A$3:$G$54,2,0),"")</f>
        <v/>
      </c>
      <c r="Q137" s="332">
        <f>IFERROR(VLOOKUP(TEXT(O137,"0"),CONDUCTORES!$A$3:$H$54,6,0),"")</f>
        <v/>
      </c>
      <c r="R137" s="334" t="n"/>
      <c r="S137" s="334" t="n"/>
      <c r="T137" s="334" t="n"/>
      <c r="U137" s="334" t="n"/>
      <c r="V137" s="334" t="n"/>
      <c r="W137" s="334" t="n"/>
      <c r="X137" s="334" t="n"/>
      <c r="Y137" s="334" t="n"/>
      <c r="Z137" s="375">
        <f>IF(AND(G137&lt;&gt;"",R137&lt;&gt;"",V137&lt;&gt;"",W137&lt;&gt;""),"COMPLETADO","OBSERVADO")</f>
        <v/>
      </c>
    </row>
    <row r="138" ht="15" customHeight="1" s="195">
      <c r="A138" s="280" t="n"/>
      <c r="B138" s="280" t="n"/>
      <c r="C138" s="280" t="n"/>
      <c r="D138" s="280" t="n"/>
      <c r="E138" s="280" t="n"/>
      <c r="F138" s="280" t="n"/>
      <c r="G138" s="280" t="n"/>
      <c r="H138" s="280" t="n"/>
      <c r="I138" s="332">
        <f>IFERROR(VLOOKUP(TEXT(H138,"0"),IPRESS!$A$3:$B$212,2,0),"")</f>
        <v/>
      </c>
      <c r="J138" s="280" t="n"/>
      <c r="K138" s="332">
        <f>IFERROR(VLOOKUP(TEXT(O138,"0"),CONDUCTORES!$A$3:$G$54,7,0),"")</f>
        <v/>
      </c>
      <c r="L138" s="280" t="n"/>
      <c r="M138" s="280" t="n"/>
      <c r="N138" s="333">
        <f>IFERROR(IF(L138*M138=0,"",L138*M138),"")</f>
        <v/>
      </c>
      <c r="O138" s="280" t="n"/>
      <c r="P138" s="332">
        <f>IFERROR(VLOOKUP(TEXT(O138,"0"),CONDUCTORES!$A$3:$G$54,2,0),"")</f>
        <v/>
      </c>
      <c r="Q138" s="332">
        <f>IFERROR(VLOOKUP(TEXT(O138,"0"),CONDUCTORES!$A$3:$H$54,6,0),"")</f>
        <v/>
      </c>
      <c r="R138" s="280" t="n"/>
      <c r="S138" s="280" t="n"/>
      <c r="T138" s="280" t="n"/>
      <c r="U138" s="280" t="n"/>
      <c r="V138" s="280" t="n"/>
      <c r="W138" s="280" t="n"/>
      <c r="X138" s="280" t="n"/>
      <c r="Y138" s="280" t="n"/>
      <c r="Z138" s="375">
        <f>IF(AND(G138&lt;&gt;"",R138&lt;&gt;"",V138&lt;&gt;"",W138&lt;&gt;""),"COMPLETADO","OBSERVADO")</f>
        <v/>
      </c>
    </row>
    <row r="139" ht="15" customHeight="1" s="195">
      <c r="A139" s="334" t="n"/>
      <c r="B139" s="334" t="n"/>
      <c r="C139" s="334" t="n"/>
      <c r="D139" s="334" t="n"/>
      <c r="E139" s="334" t="n"/>
      <c r="F139" s="334" t="n"/>
      <c r="G139" s="334" t="n"/>
      <c r="H139" s="334" t="n"/>
      <c r="I139" s="332">
        <f>IFERROR(VLOOKUP(TEXT(H139,"0"),IPRESS!$A$3:$B$212,2,0),"")</f>
        <v/>
      </c>
      <c r="J139" s="334" t="n"/>
      <c r="K139" s="332">
        <f>IFERROR(VLOOKUP(TEXT(O139,"0"),CONDUCTORES!$A$3:$G$54,7,0),"")</f>
        <v/>
      </c>
      <c r="L139" s="334" t="n"/>
      <c r="M139" s="334" t="n"/>
      <c r="N139" s="333">
        <f>IFERROR(IF(L139*M139=0,"",L139*M139),"")</f>
        <v/>
      </c>
      <c r="O139" s="334" t="n"/>
      <c r="P139" s="332">
        <f>IFERROR(VLOOKUP(TEXT(O139,"0"),CONDUCTORES!$A$3:$G$54,2,0),"")</f>
        <v/>
      </c>
      <c r="Q139" s="332">
        <f>IFERROR(VLOOKUP(TEXT(O139,"0"),CONDUCTORES!$A$3:$H$54,6,0),"")</f>
        <v/>
      </c>
      <c r="R139" s="334" t="n"/>
      <c r="S139" s="334" t="n"/>
      <c r="T139" s="334" t="n"/>
      <c r="U139" s="334" t="n"/>
      <c r="V139" s="334" t="n"/>
      <c r="W139" s="334" t="n"/>
      <c r="X139" s="334" t="n"/>
      <c r="Y139" s="334" t="n"/>
      <c r="Z139" s="375">
        <f>IF(AND(G139&lt;&gt;"",R139&lt;&gt;"",V139&lt;&gt;"",W139&lt;&gt;""),"COMPLETADO","OBSERVADO")</f>
        <v/>
      </c>
    </row>
    <row r="140" ht="15" customHeight="1" s="195">
      <c r="A140" s="280" t="n"/>
      <c r="B140" s="280" t="n"/>
      <c r="C140" s="280" t="n"/>
      <c r="D140" s="280" t="n"/>
      <c r="E140" s="280" t="n"/>
      <c r="F140" s="280" t="n"/>
      <c r="G140" s="280" t="n"/>
      <c r="H140" s="280" t="n"/>
      <c r="I140" s="332">
        <f>IFERROR(VLOOKUP(TEXT(H140,"0"),IPRESS!$A$3:$B$212,2,0),"")</f>
        <v/>
      </c>
      <c r="J140" s="280" t="n"/>
      <c r="K140" s="332">
        <f>IFERROR(VLOOKUP(TEXT(O140,"0"),CONDUCTORES!$A$3:$G$54,7,0),"")</f>
        <v/>
      </c>
      <c r="L140" s="280" t="n"/>
      <c r="M140" s="280" t="n"/>
      <c r="N140" s="333">
        <f>IFERROR(IF(L140*M140=0,"",L140*M140),"")</f>
        <v/>
      </c>
      <c r="O140" s="280" t="n"/>
      <c r="P140" s="332">
        <f>IFERROR(VLOOKUP(TEXT(O140,"0"),CONDUCTORES!$A$3:$G$54,2,0),"")</f>
        <v/>
      </c>
      <c r="Q140" s="332">
        <f>IFERROR(VLOOKUP(TEXT(O140,"0"),CONDUCTORES!$A$3:$H$54,6,0),"")</f>
        <v/>
      </c>
      <c r="R140" s="280" t="n"/>
      <c r="S140" s="280" t="n"/>
      <c r="T140" s="280" t="n"/>
      <c r="U140" s="280" t="n"/>
      <c r="V140" s="280" t="n"/>
      <c r="W140" s="280" t="n"/>
      <c r="X140" s="280" t="n"/>
      <c r="Y140" s="280" t="n"/>
      <c r="Z140" s="375">
        <f>IF(AND(G140&lt;&gt;"",R140&lt;&gt;"",V140&lt;&gt;"",W140&lt;&gt;""),"COMPLETADO","OBSERVADO")</f>
        <v/>
      </c>
    </row>
    <row r="141" ht="15" customHeight="1" s="195">
      <c r="A141" s="334" t="n"/>
      <c r="B141" s="334" t="n"/>
      <c r="C141" s="334" t="n"/>
      <c r="D141" s="334" t="n"/>
      <c r="E141" s="334" t="n"/>
      <c r="F141" s="334" t="n"/>
      <c r="G141" s="334" t="n"/>
      <c r="H141" s="334" t="n"/>
      <c r="I141" s="332">
        <f>IFERROR(VLOOKUP(TEXT(H141,"0"),IPRESS!$A$3:$B$212,2,0),"")</f>
        <v/>
      </c>
      <c r="J141" s="334" t="n"/>
      <c r="K141" s="332">
        <f>IFERROR(VLOOKUP(TEXT(O141,"0"),CONDUCTORES!$A$3:$G$54,7,0),"")</f>
        <v/>
      </c>
      <c r="L141" s="334" t="n"/>
      <c r="M141" s="334" t="n"/>
      <c r="N141" s="333">
        <f>IFERROR(IF(L141*M141=0,"",L141*M141),"")</f>
        <v/>
      </c>
      <c r="O141" s="334" t="n"/>
      <c r="P141" s="332">
        <f>IFERROR(VLOOKUP(TEXT(O141,"0"),CONDUCTORES!$A$3:$G$54,2,0),"")</f>
        <v/>
      </c>
      <c r="Q141" s="332">
        <f>IFERROR(VLOOKUP(TEXT(O141,"0"),CONDUCTORES!$A$3:$H$54,6,0),"")</f>
        <v/>
      </c>
      <c r="R141" s="334" t="n"/>
      <c r="S141" s="334" t="n"/>
      <c r="T141" s="334" t="n"/>
      <c r="U141" s="334" t="n"/>
      <c r="V141" s="334" t="n"/>
      <c r="W141" s="334" t="n"/>
      <c r="X141" s="334" t="n"/>
      <c r="Y141" s="334" t="n"/>
      <c r="Z141" s="375">
        <f>IF(AND(G141&lt;&gt;"",R141&lt;&gt;"",V141&lt;&gt;"",W141&lt;&gt;""),"COMPLETADO","OBSERVADO")</f>
        <v/>
      </c>
    </row>
    <row r="142" ht="15" customHeight="1" s="195">
      <c r="A142" s="280" t="n"/>
      <c r="B142" s="280" t="n"/>
      <c r="C142" s="280" t="n"/>
      <c r="D142" s="280" t="n"/>
      <c r="E142" s="280" t="n"/>
      <c r="F142" s="280" t="n"/>
      <c r="G142" s="280" t="n"/>
      <c r="H142" s="280" t="n"/>
      <c r="I142" s="332">
        <f>IFERROR(VLOOKUP(TEXT(H142,"0"),IPRESS!$A$3:$B$212,2,0),"")</f>
        <v/>
      </c>
      <c r="J142" s="280" t="n"/>
      <c r="K142" s="332">
        <f>IFERROR(VLOOKUP(TEXT(O142,"0"),CONDUCTORES!$A$3:$G$54,7,0),"")</f>
        <v/>
      </c>
      <c r="L142" s="280" t="n"/>
      <c r="M142" s="280" t="n"/>
      <c r="N142" s="333">
        <f>IFERROR(IF(L142*M142=0,"",L142*M142),"")</f>
        <v/>
      </c>
      <c r="O142" s="280" t="n"/>
      <c r="P142" s="332">
        <f>IFERROR(VLOOKUP(TEXT(O142,"0"),CONDUCTORES!$A$3:$G$54,2,0),"")</f>
        <v/>
      </c>
      <c r="Q142" s="332">
        <f>IFERROR(VLOOKUP(TEXT(O142,"0"),CONDUCTORES!$A$3:$H$54,6,0),"")</f>
        <v/>
      </c>
      <c r="R142" s="280" t="n"/>
      <c r="S142" s="280" t="n"/>
      <c r="T142" s="280" t="n"/>
      <c r="U142" s="280" t="n"/>
      <c r="V142" s="280" t="n"/>
      <c r="W142" s="280" t="n"/>
      <c r="X142" s="280" t="n"/>
      <c r="Y142" s="280" t="n"/>
      <c r="Z142" s="375">
        <f>IF(AND(G142&lt;&gt;"",R142&lt;&gt;"",V142&lt;&gt;"",W142&lt;&gt;""),"COMPLETADO","OBSERVADO")</f>
        <v/>
      </c>
    </row>
    <row r="143" ht="15" customHeight="1" s="195">
      <c r="A143" s="334" t="n"/>
      <c r="B143" s="334" t="n"/>
      <c r="C143" s="334" t="n"/>
      <c r="D143" s="334" t="n"/>
      <c r="E143" s="334" t="n"/>
      <c r="F143" s="334" t="n"/>
      <c r="G143" s="334" t="n"/>
      <c r="H143" s="334" t="n"/>
      <c r="I143" s="332">
        <f>IFERROR(VLOOKUP(TEXT(H143,"0"),IPRESS!$A$3:$B$212,2,0),"")</f>
        <v/>
      </c>
      <c r="J143" s="334" t="n"/>
      <c r="K143" s="332">
        <f>IFERROR(VLOOKUP(TEXT(O143,"0"),CONDUCTORES!$A$3:$G$54,7,0),"")</f>
        <v/>
      </c>
      <c r="L143" s="334" t="n"/>
      <c r="M143" s="334" t="n"/>
      <c r="N143" s="333">
        <f>IFERROR(IF(L143*M143=0,"",L143*M143),"")</f>
        <v/>
      </c>
      <c r="O143" s="334" t="n"/>
      <c r="P143" s="332">
        <f>IFERROR(VLOOKUP(TEXT(O143,"0"),CONDUCTORES!$A$3:$G$54,2,0),"")</f>
        <v/>
      </c>
      <c r="Q143" s="332">
        <f>IFERROR(VLOOKUP(TEXT(O143,"0"),CONDUCTORES!$A$3:$H$54,6,0),"")</f>
        <v/>
      </c>
      <c r="R143" s="334" t="n"/>
      <c r="S143" s="334" t="n"/>
      <c r="T143" s="334" t="n"/>
      <c r="U143" s="334" t="n"/>
      <c r="V143" s="334" t="n"/>
      <c r="W143" s="334" t="n"/>
      <c r="X143" s="334" t="n"/>
      <c r="Y143" s="334" t="n"/>
      <c r="Z143" s="375">
        <f>IF(AND(G143&lt;&gt;"",R143&lt;&gt;"",V143&lt;&gt;"",W143&lt;&gt;""),"COMPLETADO","OBSERVADO")</f>
        <v/>
      </c>
    </row>
    <row r="144" ht="15" customHeight="1" s="195">
      <c r="A144" s="280" t="n"/>
      <c r="B144" s="280" t="n"/>
      <c r="C144" s="280" t="n"/>
      <c r="D144" s="280" t="n"/>
      <c r="E144" s="280" t="n"/>
      <c r="F144" s="280" t="n"/>
      <c r="G144" s="280" t="n"/>
      <c r="H144" s="280" t="n"/>
      <c r="I144" s="332">
        <f>IFERROR(VLOOKUP(TEXT(H144,"0"),IPRESS!$A$3:$B$212,2,0),"")</f>
        <v/>
      </c>
      <c r="J144" s="280" t="n"/>
      <c r="K144" s="332">
        <f>IFERROR(VLOOKUP(TEXT(O144,"0"),CONDUCTORES!$A$3:$G$54,7,0),"")</f>
        <v/>
      </c>
      <c r="L144" s="280" t="n"/>
      <c r="M144" s="280" t="n"/>
      <c r="N144" s="333">
        <f>IFERROR(IF(L144*M144=0,"",L144*M144),"")</f>
        <v/>
      </c>
      <c r="O144" s="280" t="n"/>
      <c r="P144" s="332">
        <f>IFERROR(VLOOKUP(TEXT(O144,"0"),CONDUCTORES!$A$3:$G$54,2,0),"")</f>
        <v/>
      </c>
      <c r="Q144" s="332">
        <f>IFERROR(VLOOKUP(TEXT(O144,"0"),CONDUCTORES!$A$3:$H$54,6,0),"")</f>
        <v/>
      </c>
      <c r="R144" s="280" t="n"/>
      <c r="S144" s="280" t="n"/>
      <c r="T144" s="280" t="n"/>
      <c r="U144" s="280" t="n"/>
      <c r="V144" s="280" t="n"/>
      <c r="W144" s="280" t="n"/>
      <c r="X144" s="280" t="n"/>
      <c r="Y144" s="280" t="n"/>
      <c r="Z144" s="375">
        <f>IF(AND(G144&lt;&gt;"",R144&lt;&gt;"",V144&lt;&gt;"",W144&lt;&gt;""),"COMPLETADO","OBSERVADO")</f>
        <v/>
      </c>
    </row>
    <row r="145" ht="15" customHeight="1" s="195">
      <c r="A145" s="334" t="n"/>
      <c r="B145" s="334" t="n"/>
      <c r="C145" s="334" t="n"/>
      <c r="D145" s="334" t="n"/>
      <c r="E145" s="334" t="n"/>
      <c r="F145" s="334" t="n"/>
      <c r="G145" s="334" t="n"/>
      <c r="H145" s="334" t="n"/>
      <c r="I145" s="332">
        <f>IFERROR(VLOOKUP(TEXT(H145,"0"),IPRESS!$A$3:$B$212,2,0),"")</f>
        <v/>
      </c>
      <c r="J145" s="334" t="n"/>
      <c r="K145" s="332">
        <f>IFERROR(VLOOKUP(TEXT(O145,"0"),CONDUCTORES!$A$3:$G$54,7,0),"")</f>
        <v/>
      </c>
      <c r="L145" s="334" t="n"/>
      <c r="M145" s="334" t="n"/>
      <c r="N145" s="333">
        <f>IFERROR(IF(L145*M145=0,"",L145*M145),"")</f>
        <v/>
      </c>
      <c r="O145" s="334" t="n"/>
      <c r="P145" s="332">
        <f>IFERROR(VLOOKUP(TEXT(O145,"0"),CONDUCTORES!$A$3:$G$54,2,0),"")</f>
        <v/>
      </c>
      <c r="Q145" s="332">
        <f>IFERROR(VLOOKUP(TEXT(O145,"0"),CONDUCTORES!$A$3:$H$54,6,0),"")</f>
        <v/>
      </c>
      <c r="R145" s="334" t="n"/>
      <c r="S145" s="334" t="n"/>
      <c r="T145" s="334" t="n"/>
      <c r="U145" s="334" t="n"/>
      <c r="V145" s="334" t="n"/>
      <c r="W145" s="334" t="n"/>
      <c r="X145" s="334" t="n"/>
      <c r="Y145" s="334" t="n"/>
      <c r="Z145" s="375">
        <f>IF(AND(G145&lt;&gt;"",R145&lt;&gt;"",V145&lt;&gt;"",W145&lt;&gt;""),"COMPLETADO","OBSERVADO")</f>
        <v/>
      </c>
    </row>
    <row r="146" ht="15" customHeight="1" s="195">
      <c r="A146" s="280" t="n"/>
      <c r="B146" s="280" t="n"/>
      <c r="C146" s="280" t="n"/>
      <c r="D146" s="280" t="n"/>
      <c r="E146" s="280" t="n"/>
      <c r="F146" s="280" t="n"/>
      <c r="G146" s="280" t="n"/>
      <c r="H146" s="280" t="n"/>
      <c r="I146" s="332">
        <f>IFERROR(VLOOKUP(TEXT(H146,"0"),IPRESS!$A$3:$B$212,2,0),"")</f>
        <v/>
      </c>
      <c r="J146" s="280" t="n"/>
      <c r="K146" s="332">
        <f>IFERROR(VLOOKUP(TEXT(O146,"0"),CONDUCTORES!$A$3:$G$54,7,0),"")</f>
        <v/>
      </c>
      <c r="L146" s="280" t="n"/>
      <c r="M146" s="280" t="n"/>
      <c r="N146" s="333">
        <f>IFERROR(IF(L146*M146=0,"",L146*M146),"")</f>
        <v/>
      </c>
      <c r="O146" s="280" t="n"/>
      <c r="P146" s="332">
        <f>IFERROR(VLOOKUP(TEXT(O146,"0"),CONDUCTORES!$A$3:$G$54,2,0),"")</f>
        <v/>
      </c>
      <c r="Q146" s="332">
        <f>IFERROR(VLOOKUP(TEXT(O146,"0"),CONDUCTORES!$A$3:$H$54,6,0),"")</f>
        <v/>
      </c>
      <c r="R146" s="280" t="n"/>
      <c r="S146" s="280" t="n"/>
      <c r="T146" s="280" t="n"/>
      <c r="U146" s="280" t="n"/>
      <c r="V146" s="280" t="n"/>
      <c r="W146" s="280" t="n"/>
      <c r="X146" s="280" t="n"/>
      <c r="Y146" s="280" t="n"/>
      <c r="Z146" s="375">
        <f>IF(AND(G146&lt;&gt;"",R146&lt;&gt;"",V146&lt;&gt;"",W146&lt;&gt;""),"COMPLETADO","OBSERVADO")</f>
        <v/>
      </c>
    </row>
    <row r="147" ht="15" customHeight="1" s="195">
      <c r="A147" s="334" t="n"/>
      <c r="B147" s="334" t="n"/>
      <c r="C147" s="334" t="n"/>
      <c r="D147" s="334" t="n"/>
      <c r="E147" s="334" t="n"/>
      <c r="F147" s="334" t="n"/>
      <c r="G147" s="334" t="n"/>
      <c r="H147" s="334" t="n"/>
      <c r="I147" s="332">
        <f>IFERROR(VLOOKUP(TEXT(H147,"0"),IPRESS!$A$3:$B$212,2,0),"")</f>
        <v/>
      </c>
      <c r="J147" s="334" t="n"/>
      <c r="K147" s="332">
        <f>IFERROR(VLOOKUP(TEXT(O147,"0"),CONDUCTORES!$A$3:$G$54,7,0),"")</f>
        <v/>
      </c>
      <c r="L147" s="334" t="n"/>
      <c r="M147" s="334" t="n"/>
      <c r="N147" s="333">
        <f>IFERROR(IF(L147*M147=0,"",L147*M147),"")</f>
        <v/>
      </c>
      <c r="O147" s="334" t="n"/>
      <c r="P147" s="332">
        <f>IFERROR(VLOOKUP(TEXT(O147,"0"),CONDUCTORES!$A$3:$G$54,2,0),"")</f>
        <v/>
      </c>
      <c r="Q147" s="332">
        <f>IFERROR(VLOOKUP(TEXT(O147,"0"),CONDUCTORES!$A$3:$H$54,6,0),"")</f>
        <v/>
      </c>
      <c r="R147" s="334" t="n"/>
      <c r="S147" s="334" t="n"/>
      <c r="T147" s="334" t="n"/>
      <c r="U147" s="334" t="n"/>
      <c r="V147" s="334" t="n"/>
      <c r="W147" s="334" t="n"/>
      <c r="X147" s="334" t="n"/>
      <c r="Y147" s="334" t="n"/>
      <c r="Z147" s="375">
        <f>IF(AND(G147&lt;&gt;"",R147&lt;&gt;"",V147&lt;&gt;"",W147&lt;&gt;""),"COMPLETADO","OBSERVADO")</f>
        <v/>
      </c>
    </row>
    <row r="148" ht="15" customHeight="1" s="195">
      <c r="A148" s="280" t="n"/>
      <c r="B148" s="280" t="n"/>
      <c r="C148" s="280" t="n"/>
      <c r="D148" s="280" t="n"/>
      <c r="E148" s="280" t="n"/>
      <c r="F148" s="280" t="n"/>
      <c r="G148" s="280" t="n"/>
      <c r="H148" s="280" t="n"/>
      <c r="I148" s="332">
        <f>IFERROR(VLOOKUP(TEXT(H148,"0"),IPRESS!$A$3:$B$212,2,0),"")</f>
        <v/>
      </c>
      <c r="J148" s="280" t="n"/>
      <c r="K148" s="332">
        <f>IFERROR(VLOOKUP(TEXT(O148,"0"),CONDUCTORES!$A$3:$G$54,7,0),"")</f>
        <v/>
      </c>
      <c r="L148" s="280" t="n"/>
      <c r="M148" s="280" t="n"/>
      <c r="N148" s="333">
        <f>IFERROR(IF(L148*M148=0,"",L148*M148),"")</f>
        <v/>
      </c>
      <c r="O148" s="280" t="n"/>
      <c r="P148" s="332">
        <f>IFERROR(VLOOKUP(TEXT(O148,"0"),CONDUCTORES!$A$3:$G$54,2,0),"")</f>
        <v/>
      </c>
      <c r="Q148" s="332">
        <f>IFERROR(VLOOKUP(TEXT(O148,"0"),CONDUCTORES!$A$3:$H$54,6,0),"")</f>
        <v/>
      </c>
      <c r="R148" s="280" t="n"/>
      <c r="S148" s="280" t="n"/>
      <c r="T148" s="280" t="n"/>
      <c r="U148" s="280" t="n"/>
      <c r="V148" s="280" t="n"/>
      <c r="W148" s="280" t="n"/>
      <c r="X148" s="280" t="n"/>
      <c r="Y148" s="280" t="n"/>
      <c r="Z148" s="375">
        <f>IF(AND(G148&lt;&gt;"",R148&lt;&gt;"",V148&lt;&gt;"",W148&lt;&gt;""),"COMPLETADO","OBSERVADO")</f>
        <v/>
      </c>
    </row>
    <row r="149" ht="15" customHeight="1" s="195">
      <c r="A149" s="334" t="n"/>
      <c r="B149" s="334" t="n"/>
      <c r="C149" s="334" t="n"/>
      <c r="D149" s="334" t="n"/>
      <c r="E149" s="334" t="n"/>
      <c r="F149" s="334" t="n"/>
      <c r="G149" s="334" t="n"/>
      <c r="H149" s="334" t="n"/>
      <c r="I149" s="332">
        <f>IFERROR(VLOOKUP(TEXT(H149,"0"),IPRESS!$A$3:$B$212,2,0),"")</f>
        <v/>
      </c>
      <c r="J149" s="334" t="n"/>
      <c r="K149" s="332">
        <f>IFERROR(VLOOKUP(TEXT(O149,"0"),CONDUCTORES!$A$3:$G$54,7,0),"")</f>
        <v/>
      </c>
      <c r="L149" s="334" t="n"/>
      <c r="M149" s="334" t="n"/>
      <c r="N149" s="333">
        <f>IFERROR(IF(L149*M149=0,"",L149*M149),"")</f>
        <v/>
      </c>
      <c r="O149" s="334" t="n"/>
      <c r="P149" s="332">
        <f>IFERROR(VLOOKUP(TEXT(O149,"0"),CONDUCTORES!$A$3:$G$54,2,0),"")</f>
        <v/>
      </c>
      <c r="Q149" s="332">
        <f>IFERROR(VLOOKUP(TEXT(O149,"0"),CONDUCTORES!$A$3:$H$54,6,0),"")</f>
        <v/>
      </c>
      <c r="R149" s="334" t="n"/>
      <c r="S149" s="334" t="n"/>
      <c r="T149" s="334" t="n"/>
      <c r="U149" s="334" t="n"/>
      <c r="V149" s="334" t="n"/>
      <c r="W149" s="334" t="n"/>
      <c r="X149" s="334" t="n"/>
      <c r="Y149" s="334" t="n"/>
      <c r="Z149" s="375">
        <f>IF(AND(G149&lt;&gt;"",R149&lt;&gt;"",V149&lt;&gt;"",W149&lt;&gt;""),"COMPLETADO","OBSERVADO")</f>
        <v/>
      </c>
    </row>
    <row r="150" ht="15" customHeight="1" s="195">
      <c r="A150" s="280" t="n"/>
      <c r="B150" s="280" t="n"/>
      <c r="C150" s="280" t="n"/>
      <c r="D150" s="280" t="n"/>
      <c r="E150" s="280" t="n"/>
      <c r="F150" s="280" t="n"/>
      <c r="G150" s="280" t="n"/>
      <c r="H150" s="280" t="n"/>
      <c r="I150" s="332">
        <f>IFERROR(VLOOKUP(TEXT(H150,"0"),IPRESS!$A$3:$B$212,2,0),"")</f>
        <v/>
      </c>
      <c r="J150" s="280" t="n"/>
      <c r="K150" s="332">
        <f>IFERROR(VLOOKUP(TEXT(O150,"0"),CONDUCTORES!$A$3:$G$54,7,0),"")</f>
        <v/>
      </c>
      <c r="L150" s="280" t="n"/>
      <c r="M150" s="280" t="n"/>
      <c r="N150" s="333">
        <f>IFERROR(IF(L150*M150=0,"",L150*M150),"")</f>
        <v/>
      </c>
      <c r="O150" s="280" t="n"/>
      <c r="P150" s="332">
        <f>IFERROR(VLOOKUP(TEXT(O150,"0"),CONDUCTORES!$A$3:$G$54,2,0),"")</f>
        <v/>
      </c>
      <c r="Q150" s="332">
        <f>IFERROR(VLOOKUP(TEXT(O150,"0"),CONDUCTORES!$A$3:$H$54,6,0),"")</f>
        <v/>
      </c>
      <c r="R150" s="280" t="n"/>
      <c r="S150" s="280" t="n"/>
      <c r="T150" s="280" t="n"/>
      <c r="U150" s="280" t="n"/>
      <c r="V150" s="280" t="n"/>
      <c r="W150" s="280" t="n"/>
      <c r="X150" s="280" t="n"/>
      <c r="Y150" s="280" t="n"/>
      <c r="Z150" s="375">
        <f>IF(AND(G150&lt;&gt;"",R150&lt;&gt;"",V150&lt;&gt;"",W150&lt;&gt;""),"COMPLETADO","OBSERVADO")</f>
        <v/>
      </c>
    </row>
    <row r="151" ht="15" customHeight="1" s="195">
      <c r="A151" s="334" t="n"/>
      <c r="B151" s="334" t="n"/>
      <c r="C151" s="334" t="n"/>
      <c r="D151" s="334" t="n"/>
      <c r="E151" s="334" t="n"/>
      <c r="F151" s="334" t="n"/>
      <c r="G151" s="334" t="n"/>
      <c r="H151" s="334" t="n"/>
      <c r="I151" s="332">
        <f>IFERROR(VLOOKUP(TEXT(H151,"0"),IPRESS!$A$3:$B$212,2,0),"")</f>
        <v/>
      </c>
      <c r="J151" s="334" t="n"/>
      <c r="K151" s="332">
        <f>IFERROR(VLOOKUP(TEXT(O151,"0"),CONDUCTORES!$A$3:$G$54,7,0),"")</f>
        <v/>
      </c>
      <c r="L151" s="334" t="n"/>
      <c r="M151" s="334" t="n"/>
      <c r="N151" s="333">
        <f>IFERROR(IF(L151*M151=0,"",L151*M151),"")</f>
        <v/>
      </c>
      <c r="O151" s="334" t="n"/>
      <c r="P151" s="332">
        <f>IFERROR(VLOOKUP(TEXT(O151,"0"),CONDUCTORES!$A$3:$G$54,2,0),"")</f>
        <v/>
      </c>
      <c r="Q151" s="332">
        <f>IFERROR(VLOOKUP(TEXT(O151,"0"),CONDUCTORES!$A$3:$H$54,6,0),"")</f>
        <v/>
      </c>
      <c r="R151" s="334" t="n"/>
      <c r="S151" s="334" t="n"/>
      <c r="T151" s="334" t="n"/>
      <c r="U151" s="334" t="n"/>
      <c r="V151" s="334" t="n"/>
      <c r="W151" s="334" t="n"/>
      <c r="X151" s="334" t="n"/>
      <c r="Y151" s="334" t="n"/>
      <c r="Z151" s="375">
        <f>IF(AND(G151&lt;&gt;"",R151&lt;&gt;"",V151&lt;&gt;"",W151&lt;&gt;""),"COMPLETADO","OBSERVADO")</f>
        <v/>
      </c>
    </row>
    <row r="152" ht="15" customHeight="1" s="195">
      <c r="A152" s="280" t="n"/>
      <c r="B152" s="280" t="n"/>
      <c r="C152" s="280" t="n"/>
      <c r="D152" s="280" t="n"/>
      <c r="E152" s="280" t="n"/>
      <c r="F152" s="280" t="n"/>
      <c r="G152" s="280" t="n"/>
      <c r="H152" s="280" t="n"/>
      <c r="I152" s="332">
        <f>IFERROR(VLOOKUP(TEXT(H152,"0"),IPRESS!$A$3:$B$212,2,0),"")</f>
        <v/>
      </c>
      <c r="J152" s="280" t="n"/>
      <c r="K152" s="332">
        <f>IFERROR(VLOOKUP(TEXT(O152,"0"),CONDUCTORES!$A$3:$G$54,7,0),"")</f>
        <v/>
      </c>
      <c r="L152" s="280" t="n"/>
      <c r="M152" s="280" t="n"/>
      <c r="N152" s="333">
        <f>IFERROR(IF(L152*M152=0,"",L152*M152),"")</f>
        <v/>
      </c>
      <c r="O152" s="280" t="n"/>
      <c r="P152" s="332">
        <f>IFERROR(VLOOKUP(TEXT(O152,"0"),CONDUCTORES!$A$3:$G$54,2,0),"")</f>
        <v/>
      </c>
      <c r="Q152" s="332">
        <f>IFERROR(VLOOKUP(TEXT(O152,"0"),CONDUCTORES!$A$3:$H$54,6,0),"")</f>
        <v/>
      </c>
      <c r="R152" s="280" t="n"/>
      <c r="S152" s="280" t="n"/>
      <c r="T152" s="280" t="n"/>
      <c r="U152" s="280" t="n"/>
      <c r="V152" s="280" t="n"/>
      <c r="W152" s="280" t="n"/>
      <c r="X152" s="280" t="n"/>
      <c r="Y152" s="280" t="n"/>
      <c r="Z152" s="375">
        <f>IF(AND(G152&lt;&gt;"",R152&lt;&gt;"",V152&lt;&gt;"",W152&lt;&gt;""),"COMPLETADO","OBSERVADO")</f>
        <v/>
      </c>
    </row>
    <row r="153" ht="15" customHeight="1" s="195">
      <c r="A153" s="334" t="n"/>
      <c r="B153" s="334" t="n"/>
      <c r="C153" s="334" t="n"/>
      <c r="D153" s="334" t="n"/>
      <c r="E153" s="334" t="n"/>
      <c r="F153" s="334" t="n"/>
      <c r="G153" s="334" t="n"/>
      <c r="H153" s="334" t="n"/>
      <c r="I153" s="332">
        <f>IFERROR(VLOOKUP(TEXT(H153,"0"),IPRESS!$A$3:$B$212,2,0),"")</f>
        <v/>
      </c>
      <c r="J153" s="334" t="n"/>
      <c r="K153" s="332">
        <f>IFERROR(VLOOKUP(TEXT(O153,"0"),CONDUCTORES!$A$3:$G$54,7,0),"")</f>
        <v/>
      </c>
      <c r="L153" s="334" t="n"/>
      <c r="M153" s="334" t="n"/>
      <c r="N153" s="333">
        <f>IFERROR(IF(L153*M153=0,"",L153*M153),"")</f>
        <v/>
      </c>
      <c r="O153" s="334" t="n"/>
      <c r="P153" s="332">
        <f>IFERROR(VLOOKUP(TEXT(O153,"0"),CONDUCTORES!$A$3:$G$54,2,0),"")</f>
        <v/>
      </c>
      <c r="Q153" s="332">
        <f>IFERROR(VLOOKUP(TEXT(O153,"0"),CONDUCTORES!$A$3:$H$54,6,0),"")</f>
        <v/>
      </c>
      <c r="R153" s="334" t="n"/>
      <c r="S153" s="334" t="n"/>
      <c r="T153" s="334" t="n"/>
      <c r="U153" s="334" t="n"/>
      <c r="V153" s="334" t="n"/>
      <c r="W153" s="334" t="n"/>
      <c r="X153" s="334" t="n"/>
      <c r="Y153" s="334" t="n"/>
      <c r="Z153" s="375">
        <f>IF(AND(G153&lt;&gt;"",R153&lt;&gt;"",V153&lt;&gt;"",W153&lt;&gt;""),"COMPLETADO","OBSERVADO")</f>
        <v/>
      </c>
    </row>
    <row r="154" ht="15" customHeight="1" s="195">
      <c r="A154" s="280" t="n"/>
      <c r="B154" s="280" t="n"/>
      <c r="C154" s="280" t="n"/>
      <c r="D154" s="280" t="n"/>
      <c r="E154" s="280" t="n"/>
      <c r="F154" s="280" t="n"/>
      <c r="G154" s="280" t="n"/>
      <c r="H154" s="280" t="n"/>
      <c r="I154" s="332">
        <f>IFERROR(VLOOKUP(TEXT(H154,"0"),IPRESS!$A$3:$B$212,2,0),"")</f>
        <v/>
      </c>
      <c r="J154" s="280" t="n"/>
      <c r="K154" s="332">
        <f>IFERROR(VLOOKUP(TEXT(O154,"0"),CONDUCTORES!$A$3:$G$54,7,0),"")</f>
        <v/>
      </c>
      <c r="L154" s="280" t="n"/>
      <c r="M154" s="280" t="n"/>
      <c r="N154" s="333">
        <f>IFERROR(IF(L154*M154=0,"",L154*M154),"")</f>
        <v/>
      </c>
      <c r="O154" s="280" t="n"/>
      <c r="P154" s="332">
        <f>IFERROR(VLOOKUP(TEXT(O154,"0"),CONDUCTORES!$A$3:$G$54,2,0),"")</f>
        <v/>
      </c>
      <c r="Q154" s="332">
        <f>IFERROR(VLOOKUP(TEXT(O154,"0"),CONDUCTORES!$A$3:$H$54,6,0),"")</f>
        <v/>
      </c>
      <c r="R154" s="280" t="n"/>
      <c r="S154" s="280" t="n"/>
      <c r="T154" s="280" t="n"/>
      <c r="U154" s="280" t="n"/>
      <c r="V154" s="280" t="n"/>
      <c r="W154" s="280" t="n"/>
      <c r="X154" s="280" t="n"/>
      <c r="Y154" s="280" t="n"/>
      <c r="Z154" s="375">
        <f>IF(AND(G154&lt;&gt;"",R154&lt;&gt;"",V154&lt;&gt;"",W154&lt;&gt;""),"COMPLETADO","OBSERVADO")</f>
        <v/>
      </c>
    </row>
    <row r="155" ht="15" customHeight="1" s="195">
      <c r="A155" s="334" t="n"/>
      <c r="B155" s="334" t="n"/>
      <c r="C155" s="334" t="n"/>
      <c r="D155" s="334" t="n"/>
      <c r="E155" s="334" t="n"/>
      <c r="F155" s="334" t="n"/>
      <c r="G155" s="334" t="n"/>
      <c r="H155" s="334" t="n"/>
      <c r="I155" s="332">
        <f>IFERROR(VLOOKUP(TEXT(H155,"0"),IPRESS!$A$3:$B$212,2,0),"")</f>
        <v/>
      </c>
      <c r="J155" s="334" t="n"/>
      <c r="K155" s="332">
        <f>IFERROR(VLOOKUP(TEXT(O155,"0"),CONDUCTORES!$A$3:$G$54,7,0),"")</f>
        <v/>
      </c>
      <c r="L155" s="334" t="n"/>
      <c r="M155" s="334" t="n"/>
      <c r="N155" s="333">
        <f>IFERROR(IF(L155*M155=0,"",L155*M155),"")</f>
        <v/>
      </c>
      <c r="O155" s="334" t="n"/>
      <c r="P155" s="332">
        <f>IFERROR(VLOOKUP(TEXT(O155,"0"),CONDUCTORES!$A$3:$G$54,2,0),"")</f>
        <v/>
      </c>
      <c r="Q155" s="332">
        <f>IFERROR(VLOOKUP(TEXT(O155,"0"),CONDUCTORES!$A$3:$H$54,6,0),"")</f>
        <v/>
      </c>
      <c r="R155" s="334" t="n"/>
      <c r="S155" s="334" t="n"/>
      <c r="T155" s="334" t="n"/>
      <c r="U155" s="334" t="n"/>
      <c r="V155" s="334" t="n"/>
      <c r="W155" s="334" t="n"/>
      <c r="X155" s="334" t="n"/>
      <c r="Y155" s="334" t="n"/>
      <c r="Z155" s="375">
        <f>IF(AND(G155&lt;&gt;"",R155&lt;&gt;"",V155&lt;&gt;"",W155&lt;&gt;""),"COMPLETADO","OBSERVADO")</f>
        <v/>
      </c>
    </row>
    <row r="156" ht="15" customHeight="1" s="195">
      <c r="A156" s="280" t="n"/>
      <c r="B156" s="280" t="n"/>
      <c r="C156" s="280" t="n"/>
      <c r="D156" s="280" t="n"/>
      <c r="E156" s="280" t="n"/>
      <c r="F156" s="280" t="n"/>
      <c r="G156" s="280" t="n"/>
      <c r="H156" s="280" t="n"/>
      <c r="I156" s="332">
        <f>IFERROR(VLOOKUP(TEXT(H156,"0"),IPRESS!$A$3:$B$212,2,0),"")</f>
        <v/>
      </c>
      <c r="J156" s="280" t="n"/>
      <c r="K156" s="332">
        <f>IFERROR(VLOOKUP(TEXT(O156,"0"),CONDUCTORES!$A$3:$G$54,7,0),"")</f>
        <v/>
      </c>
      <c r="L156" s="280" t="n"/>
      <c r="M156" s="280" t="n"/>
      <c r="N156" s="333">
        <f>IFERROR(IF(L156*M156=0,"",L156*M156),"")</f>
        <v/>
      </c>
      <c r="O156" s="280" t="n"/>
      <c r="P156" s="332">
        <f>IFERROR(VLOOKUP(TEXT(O156,"0"),CONDUCTORES!$A$3:$G$54,2,0),"")</f>
        <v/>
      </c>
      <c r="Q156" s="332">
        <f>IFERROR(VLOOKUP(TEXT(O156,"0"),CONDUCTORES!$A$3:$H$54,6,0),"")</f>
        <v/>
      </c>
      <c r="R156" s="280" t="n"/>
      <c r="S156" s="280" t="n"/>
      <c r="T156" s="280" t="n"/>
      <c r="U156" s="280" t="n"/>
      <c r="V156" s="280" t="n"/>
      <c r="W156" s="280" t="n"/>
      <c r="X156" s="280" t="n"/>
      <c r="Y156" s="280" t="n"/>
      <c r="Z156" s="375">
        <f>IF(AND(G156&lt;&gt;"",R156&lt;&gt;"",V156&lt;&gt;"",W156&lt;&gt;""),"COMPLETADO","OBSERVADO")</f>
        <v/>
      </c>
    </row>
    <row r="157" ht="15" customHeight="1" s="195">
      <c r="A157" s="334" t="n"/>
      <c r="B157" s="334" t="n"/>
      <c r="C157" s="334" t="n"/>
      <c r="D157" s="334" t="n"/>
      <c r="E157" s="334" t="n"/>
      <c r="F157" s="334" t="n"/>
      <c r="G157" s="334" t="n"/>
      <c r="H157" s="334" t="n"/>
      <c r="I157" s="332">
        <f>IFERROR(VLOOKUP(TEXT(H157,"0"),IPRESS!$A$3:$B$212,2,0),"")</f>
        <v/>
      </c>
      <c r="J157" s="334" t="n"/>
      <c r="K157" s="332">
        <f>IFERROR(VLOOKUP(TEXT(O157,"0"),CONDUCTORES!$A$3:$G$54,7,0),"")</f>
        <v/>
      </c>
      <c r="L157" s="334" t="n"/>
      <c r="M157" s="334" t="n"/>
      <c r="N157" s="333">
        <f>IFERROR(IF(L157*M157=0,"",L157*M157),"")</f>
        <v/>
      </c>
      <c r="O157" s="334" t="n"/>
      <c r="P157" s="332">
        <f>IFERROR(VLOOKUP(TEXT(O157,"0"),CONDUCTORES!$A$3:$G$54,2,0),"")</f>
        <v/>
      </c>
      <c r="Q157" s="332">
        <f>IFERROR(VLOOKUP(TEXT(O157,"0"),CONDUCTORES!$A$3:$H$54,6,0),"")</f>
        <v/>
      </c>
      <c r="R157" s="334" t="n"/>
      <c r="S157" s="334" t="n"/>
      <c r="T157" s="334" t="n"/>
      <c r="U157" s="334" t="n"/>
      <c r="V157" s="334" t="n"/>
      <c r="W157" s="334" t="n"/>
      <c r="X157" s="334" t="n"/>
      <c r="Y157" s="334" t="n"/>
      <c r="Z157" s="375">
        <f>IF(AND(G157&lt;&gt;"",R157&lt;&gt;"",V157&lt;&gt;"",W157&lt;&gt;""),"COMPLETADO","OBSERVADO")</f>
        <v/>
      </c>
    </row>
    <row r="158" ht="15" customHeight="1" s="195">
      <c r="A158" s="280" t="n"/>
      <c r="B158" s="280" t="n"/>
      <c r="C158" s="280" t="n"/>
      <c r="D158" s="280" t="n"/>
      <c r="E158" s="280" t="n"/>
      <c r="F158" s="280" t="n"/>
      <c r="G158" s="280" t="n"/>
      <c r="H158" s="280" t="n"/>
      <c r="I158" s="332">
        <f>IFERROR(VLOOKUP(TEXT(H158,"0"),IPRESS!$A$3:$B$212,2,0),"")</f>
        <v/>
      </c>
      <c r="J158" s="280" t="n"/>
      <c r="K158" s="332">
        <f>IFERROR(VLOOKUP(TEXT(O158,"0"),CONDUCTORES!$A$3:$G$54,7,0),"")</f>
        <v/>
      </c>
      <c r="L158" s="280" t="n"/>
      <c r="M158" s="280" t="n"/>
      <c r="N158" s="333">
        <f>IFERROR(IF(L158*M158=0,"",L158*M158),"")</f>
        <v/>
      </c>
      <c r="O158" s="280" t="n"/>
      <c r="P158" s="332">
        <f>IFERROR(VLOOKUP(TEXT(O158,"0"),CONDUCTORES!$A$3:$G$54,2,0),"")</f>
        <v/>
      </c>
      <c r="Q158" s="332">
        <f>IFERROR(VLOOKUP(TEXT(O158,"0"),CONDUCTORES!$A$3:$H$54,6,0),"")</f>
        <v/>
      </c>
      <c r="R158" s="280" t="n"/>
      <c r="S158" s="280" t="n"/>
      <c r="T158" s="280" t="n"/>
      <c r="U158" s="280" t="n"/>
      <c r="V158" s="280" t="n"/>
      <c r="W158" s="280" t="n"/>
      <c r="X158" s="280" t="n"/>
      <c r="Y158" s="280" t="n"/>
      <c r="Z158" s="375">
        <f>IF(AND(G158&lt;&gt;"",R158&lt;&gt;"",V158&lt;&gt;"",W158&lt;&gt;""),"COMPLETADO","OBSERVADO")</f>
        <v/>
      </c>
    </row>
    <row r="159" ht="15" customHeight="1" s="195">
      <c r="A159" s="334" t="n"/>
      <c r="B159" s="334" t="n"/>
      <c r="C159" s="334" t="n"/>
      <c r="D159" s="334" t="n"/>
      <c r="E159" s="334" t="n"/>
      <c r="F159" s="334" t="n"/>
      <c r="G159" s="334" t="n"/>
      <c r="H159" s="334" t="n"/>
      <c r="I159" s="332">
        <f>IFERROR(VLOOKUP(TEXT(H159,"0"),IPRESS!$A$3:$B$212,2,0),"")</f>
        <v/>
      </c>
      <c r="J159" s="334" t="n"/>
      <c r="K159" s="332">
        <f>IFERROR(VLOOKUP(TEXT(O159,"0"),CONDUCTORES!$A$3:$G$54,7,0),"")</f>
        <v/>
      </c>
      <c r="L159" s="334" t="n"/>
      <c r="M159" s="334" t="n"/>
      <c r="N159" s="333">
        <f>IFERROR(IF(L159*M159=0,"",L159*M159),"")</f>
        <v/>
      </c>
      <c r="O159" s="334" t="n"/>
      <c r="P159" s="332">
        <f>IFERROR(VLOOKUP(TEXT(O159,"0"),CONDUCTORES!$A$3:$G$54,2,0),"")</f>
        <v/>
      </c>
      <c r="Q159" s="332">
        <f>IFERROR(VLOOKUP(TEXT(O159,"0"),CONDUCTORES!$A$3:$H$54,6,0),"")</f>
        <v/>
      </c>
      <c r="R159" s="334" t="n"/>
      <c r="S159" s="334" t="n"/>
      <c r="T159" s="334" t="n"/>
      <c r="U159" s="334" t="n"/>
      <c r="V159" s="334" t="n"/>
      <c r="W159" s="334" t="n"/>
      <c r="X159" s="334" t="n"/>
      <c r="Y159" s="334" t="n"/>
      <c r="Z159" s="375">
        <f>IF(AND(G159&lt;&gt;"",R159&lt;&gt;"",V159&lt;&gt;"",W159&lt;&gt;""),"COMPLETADO","OBSERVADO")</f>
        <v/>
      </c>
    </row>
    <row r="160" ht="15" customHeight="1" s="195">
      <c r="A160" s="280" t="n"/>
      <c r="B160" s="280" t="n"/>
      <c r="C160" s="280" t="n"/>
      <c r="D160" s="280" t="n"/>
      <c r="E160" s="280" t="n"/>
      <c r="F160" s="280" t="n"/>
      <c r="G160" s="280" t="n"/>
      <c r="H160" s="280" t="n"/>
      <c r="I160" s="332">
        <f>IFERROR(VLOOKUP(TEXT(H160,"0"),IPRESS!$A$3:$B$212,2,0),"")</f>
        <v/>
      </c>
      <c r="J160" s="280" t="n"/>
      <c r="K160" s="332">
        <f>IFERROR(VLOOKUP(TEXT(O160,"0"),CONDUCTORES!$A$3:$G$54,7,0),"")</f>
        <v/>
      </c>
      <c r="L160" s="280" t="n"/>
      <c r="M160" s="280" t="n"/>
      <c r="N160" s="333">
        <f>IFERROR(IF(L160*M160=0,"",L160*M160),"")</f>
        <v/>
      </c>
      <c r="O160" s="280" t="n"/>
      <c r="P160" s="332">
        <f>IFERROR(VLOOKUP(TEXT(O160,"0"),CONDUCTORES!$A$3:$G$54,2,0),"")</f>
        <v/>
      </c>
      <c r="Q160" s="332">
        <f>IFERROR(VLOOKUP(TEXT(O160,"0"),CONDUCTORES!$A$3:$H$54,6,0),"")</f>
        <v/>
      </c>
      <c r="R160" s="280" t="n"/>
      <c r="S160" s="280" t="n"/>
      <c r="T160" s="280" t="n"/>
      <c r="U160" s="280" t="n"/>
      <c r="V160" s="280" t="n"/>
      <c r="W160" s="280" t="n"/>
      <c r="X160" s="280" t="n"/>
      <c r="Y160" s="280" t="n"/>
      <c r="Z160" s="375">
        <f>IF(AND(G160&lt;&gt;"",R160&lt;&gt;"",V160&lt;&gt;"",W160&lt;&gt;""),"COMPLETADO","OBSERVADO")</f>
        <v/>
      </c>
    </row>
    <row r="161" ht="15" customHeight="1" s="195">
      <c r="A161" s="334" t="n"/>
      <c r="B161" s="334" t="n"/>
      <c r="C161" s="334" t="n"/>
      <c r="D161" s="334" t="n"/>
      <c r="E161" s="334" t="n"/>
      <c r="F161" s="334" t="n"/>
      <c r="G161" s="334" t="n"/>
      <c r="H161" s="334" t="n"/>
      <c r="I161" s="332">
        <f>IFERROR(VLOOKUP(TEXT(H161,"0"),IPRESS!$A$3:$B$212,2,0),"")</f>
        <v/>
      </c>
      <c r="J161" s="334" t="n"/>
      <c r="K161" s="332">
        <f>IFERROR(VLOOKUP(TEXT(O161,"0"),CONDUCTORES!$A$3:$G$54,7,0),"")</f>
        <v/>
      </c>
      <c r="L161" s="334" t="n"/>
      <c r="M161" s="334" t="n"/>
      <c r="N161" s="333">
        <f>IFERROR(IF(L161*M161=0,"",L161*M161),"")</f>
        <v/>
      </c>
      <c r="O161" s="334" t="n"/>
      <c r="P161" s="332">
        <f>IFERROR(VLOOKUP(TEXT(O161,"0"),CONDUCTORES!$A$3:$G$54,2,0),"")</f>
        <v/>
      </c>
      <c r="Q161" s="332">
        <f>IFERROR(VLOOKUP(TEXT(O161,"0"),CONDUCTORES!$A$3:$H$54,6,0),"")</f>
        <v/>
      </c>
      <c r="R161" s="334" t="n"/>
      <c r="S161" s="334" t="n"/>
      <c r="T161" s="334" t="n"/>
      <c r="U161" s="334" t="n"/>
      <c r="V161" s="334" t="n"/>
      <c r="W161" s="334" t="n"/>
      <c r="X161" s="334" t="n"/>
      <c r="Y161" s="334" t="n"/>
      <c r="Z161" s="375">
        <f>IF(AND(G161&lt;&gt;"",R161&lt;&gt;"",V161&lt;&gt;"",W161&lt;&gt;""),"COMPLETADO","OBSERVADO")</f>
        <v/>
      </c>
    </row>
    <row r="162" ht="15" customHeight="1" s="195">
      <c r="A162" s="280" t="n"/>
      <c r="B162" s="280" t="n"/>
      <c r="C162" s="280" t="n"/>
      <c r="D162" s="280" t="n"/>
      <c r="E162" s="280" t="n"/>
      <c r="F162" s="280" t="n"/>
      <c r="G162" s="280" t="n"/>
      <c r="H162" s="280" t="n"/>
      <c r="I162" s="332">
        <f>IFERROR(VLOOKUP(TEXT(H162,"0"),IPRESS!$A$3:$B$212,2,0),"")</f>
        <v/>
      </c>
      <c r="J162" s="280" t="n"/>
      <c r="K162" s="332">
        <f>IFERROR(VLOOKUP(TEXT(O162,"0"),CONDUCTORES!$A$3:$G$54,7,0),"")</f>
        <v/>
      </c>
      <c r="L162" s="280" t="n"/>
      <c r="M162" s="280" t="n"/>
      <c r="N162" s="333">
        <f>IFERROR(IF(L162*M162=0,"",L162*M162),"")</f>
        <v/>
      </c>
      <c r="O162" s="280" t="n"/>
      <c r="P162" s="332">
        <f>IFERROR(VLOOKUP(TEXT(O162,"0"),CONDUCTORES!$A$3:$G$54,2,0),"")</f>
        <v/>
      </c>
      <c r="Q162" s="332">
        <f>IFERROR(VLOOKUP(TEXT(O162,"0"),CONDUCTORES!$A$3:$H$54,6,0),"")</f>
        <v/>
      </c>
      <c r="R162" s="280" t="n"/>
      <c r="S162" s="280" t="n"/>
      <c r="T162" s="280" t="n"/>
      <c r="U162" s="280" t="n"/>
      <c r="V162" s="280" t="n"/>
      <c r="W162" s="280" t="n"/>
      <c r="X162" s="280" t="n"/>
      <c r="Y162" s="280" t="n"/>
      <c r="Z162" s="375">
        <f>IF(AND(G162&lt;&gt;"",R162&lt;&gt;"",V162&lt;&gt;"",W162&lt;&gt;""),"COMPLETADO","OBSERVADO")</f>
        <v/>
      </c>
    </row>
    <row r="163" ht="15" customHeight="1" s="195">
      <c r="A163" s="334" t="n"/>
      <c r="B163" s="334" t="n"/>
      <c r="C163" s="334" t="n"/>
      <c r="D163" s="334" t="n"/>
      <c r="E163" s="334" t="n"/>
      <c r="F163" s="334" t="n"/>
      <c r="G163" s="334" t="n"/>
      <c r="H163" s="334" t="n"/>
      <c r="I163" s="332">
        <f>IFERROR(VLOOKUP(TEXT(H163,"0"),IPRESS!$A$3:$B$212,2,0),"")</f>
        <v/>
      </c>
      <c r="J163" s="334" t="n"/>
      <c r="K163" s="332">
        <f>IFERROR(VLOOKUP(TEXT(O163,"0"),CONDUCTORES!$A$3:$G$54,7,0),"")</f>
        <v/>
      </c>
      <c r="L163" s="334" t="n"/>
      <c r="M163" s="334" t="n"/>
      <c r="N163" s="333">
        <f>IFERROR(IF(L163*M163=0,"",L163*M163),"")</f>
        <v/>
      </c>
      <c r="O163" s="334" t="n"/>
      <c r="P163" s="332">
        <f>IFERROR(VLOOKUP(TEXT(O163,"0"),CONDUCTORES!$A$3:$G$54,2,0),"")</f>
        <v/>
      </c>
      <c r="Q163" s="332">
        <f>IFERROR(VLOOKUP(TEXT(O163,"0"),CONDUCTORES!$A$3:$H$54,6,0),"")</f>
        <v/>
      </c>
      <c r="R163" s="334" t="n"/>
      <c r="S163" s="334" t="n"/>
      <c r="T163" s="334" t="n"/>
      <c r="U163" s="334" t="n"/>
      <c r="V163" s="334" t="n"/>
      <c r="W163" s="334" t="n"/>
      <c r="X163" s="334" t="n"/>
      <c r="Y163" s="334" t="n"/>
      <c r="Z163" s="375">
        <f>IF(AND(G163&lt;&gt;"",R163&lt;&gt;"",V163&lt;&gt;"",W163&lt;&gt;""),"COMPLETADO","OBSERVADO")</f>
        <v/>
      </c>
    </row>
    <row r="164" ht="15" customHeight="1" s="195">
      <c r="A164" s="280" t="n"/>
      <c r="B164" s="280" t="n"/>
      <c r="C164" s="280" t="n"/>
      <c r="D164" s="280" t="n"/>
      <c r="E164" s="280" t="n"/>
      <c r="F164" s="280" t="n"/>
      <c r="G164" s="280" t="n"/>
      <c r="H164" s="280" t="n"/>
      <c r="I164" s="332">
        <f>IFERROR(VLOOKUP(TEXT(H164,"0"),IPRESS!$A$3:$B$212,2,0),"")</f>
        <v/>
      </c>
      <c r="J164" s="280" t="n"/>
      <c r="K164" s="332">
        <f>IFERROR(VLOOKUP(TEXT(O164,"0"),CONDUCTORES!$A$3:$G$54,7,0),"")</f>
        <v/>
      </c>
      <c r="L164" s="280" t="n"/>
      <c r="M164" s="280" t="n"/>
      <c r="N164" s="333">
        <f>IFERROR(IF(L164*M164=0,"",L164*M164),"")</f>
        <v/>
      </c>
      <c r="O164" s="280" t="n"/>
      <c r="P164" s="332">
        <f>IFERROR(VLOOKUP(TEXT(O164,"0"),CONDUCTORES!$A$3:$G$54,2,0),"")</f>
        <v/>
      </c>
      <c r="Q164" s="332">
        <f>IFERROR(VLOOKUP(TEXT(O164,"0"),CONDUCTORES!$A$3:$H$54,6,0),"")</f>
        <v/>
      </c>
      <c r="R164" s="280" t="n"/>
      <c r="S164" s="280" t="n"/>
      <c r="T164" s="280" t="n"/>
      <c r="U164" s="280" t="n"/>
      <c r="V164" s="280" t="n"/>
      <c r="W164" s="280" t="n"/>
      <c r="X164" s="280" t="n"/>
      <c r="Y164" s="280" t="n"/>
      <c r="Z164" s="375">
        <f>IF(AND(G164&lt;&gt;"",R164&lt;&gt;"",V164&lt;&gt;"",W164&lt;&gt;""),"COMPLETADO","OBSERVADO")</f>
        <v/>
      </c>
    </row>
    <row r="165" ht="15" customHeight="1" s="195">
      <c r="A165" s="334" t="n"/>
      <c r="B165" s="334" t="n"/>
      <c r="C165" s="334" t="n"/>
      <c r="D165" s="334" t="n"/>
      <c r="E165" s="334" t="n"/>
      <c r="F165" s="334" t="n"/>
      <c r="G165" s="334" t="n"/>
      <c r="H165" s="334" t="n"/>
      <c r="I165" s="332">
        <f>IFERROR(VLOOKUP(TEXT(H165,"0"),IPRESS!$A$3:$B$212,2,0),"")</f>
        <v/>
      </c>
      <c r="J165" s="334" t="n"/>
      <c r="K165" s="332">
        <f>IFERROR(VLOOKUP(TEXT(O165,"0"),CONDUCTORES!$A$3:$G$54,7,0),"")</f>
        <v/>
      </c>
      <c r="L165" s="334" t="n"/>
      <c r="M165" s="334" t="n"/>
      <c r="N165" s="333">
        <f>IFERROR(IF(L165*M165=0,"",L165*M165),"")</f>
        <v/>
      </c>
      <c r="O165" s="334" t="n"/>
      <c r="P165" s="332">
        <f>IFERROR(VLOOKUP(TEXT(O165,"0"),CONDUCTORES!$A$3:$G$54,2,0),"")</f>
        <v/>
      </c>
      <c r="Q165" s="332">
        <f>IFERROR(VLOOKUP(TEXT(O165,"0"),CONDUCTORES!$A$3:$H$54,6,0),"")</f>
        <v/>
      </c>
      <c r="R165" s="334" t="n"/>
      <c r="S165" s="334" t="n"/>
      <c r="T165" s="334" t="n"/>
      <c r="U165" s="334" t="n"/>
      <c r="V165" s="334" t="n"/>
      <c r="W165" s="334" t="n"/>
      <c r="X165" s="334" t="n"/>
      <c r="Y165" s="334" t="n"/>
      <c r="Z165" s="375">
        <f>IF(AND(G165&lt;&gt;"",R165&lt;&gt;"",V165&lt;&gt;"",W165&lt;&gt;""),"COMPLETADO","OBSERVADO")</f>
        <v/>
      </c>
    </row>
    <row r="166" ht="15" customHeight="1" s="195">
      <c r="A166" s="280" t="n"/>
      <c r="B166" s="280" t="n"/>
      <c r="C166" s="280" t="n"/>
      <c r="D166" s="280" t="n"/>
      <c r="E166" s="280" t="n"/>
      <c r="F166" s="280" t="n"/>
      <c r="G166" s="280" t="n"/>
      <c r="H166" s="280" t="n"/>
      <c r="I166" s="332">
        <f>IFERROR(VLOOKUP(TEXT(H166,"0"),IPRESS!$A$3:$B$212,2,0),"")</f>
        <v/>
      </c>
      <c r="J166" s="280" t="n"/>
      <c r="K166" s="332">
        <f>IFERROR(VLOOKUP(TEXT(O166,"0"),CONDUCTORES!$A$3:$G$54,7,0),"")</f>
        <v/>
      </c>
      <c r="L166" s="280" t="n"/>
      <c r="M166" s="280" t="n"/>
      <c r="N166" s="333">
        <f>IFERROR(IF(L166*M166=0,"",L166*M166),"")</f>
        <v/>
      </c>
      <c r="O166" s="280" t="n"/>
      <c r="P166" s="332">
        <f>IFERROR(VLOOKUP(TEXT(O166,"0"),CONDUCTORES!$A$3:$G$54,2,0),"")</f>
        <v/>
      </c>
      <c r="Q166" s="332">
        <f>IFERROR(VLOOKUP(TEXT(O166,"0"),CONDUCTORES!$A$3:$H$54,6,0),"")</f>
        <v/>
      </c>
      <c r="R166" s="280" t="n"/>
      <c r="S166" s="280" t="n"/>
      <c r="T166" s="280" t="n"/>
      <c r="U166" s="280" t="n"/>
      <c r="V166" s="280" t="n"/>
      <c r="W166" s="280" t="n"/>
      <c r="X166" s="280" t="n"/>
      <c r="Y166" s="280" t="n"/>
      <c r="Z166" s="375">
        <f>IF(AND(G166&lt;&gt;"",R166&lt;&gt;"",V166&lt;&gt;"",W166&lt;&gt;""),"COMPLETADO","OBSERVADO")</f>
        <v/>
      </c>
    </row>
    <row r="167" ht="15" customHeight="1" s="195">
      <c r="A167" s="334" t="n"/>
      <c r="B167" s="334" t="n"/>
      <c r="C167" s="334" t="n"/>
      <c r="D167" s="334" t="n"/>
      <c r="E167" s="334" t="n"/>
      <c r="F167" s="334" t="n"/>
      <c r="G167" s="334" t="n"/>
      <c r="H167" s="334" t="n"/>
      <c r="I167" s="332">
        <f>IFERROR(VLOOKUP(TEXT(H167,"0"),IPRESS!$A$3:$B$212,2,0),"")</f>
        <v/>
      </c>
      <c r="J167" s="334" t="n"/>
      <c r="K167" s="332">
        <f>IFERROR(VLOOKUP(TEXT(O167,"0"),CONDUCTORES!$A$3:$G$54,7,0),"")</f>
        <v/>
      </c>
      <c r="L167" s="334" t="n"/>
      <c r="M167" s="334" t="n"/>
      <c r="N167" s="333">
        <f>IFERROR(IF(L167*M167=0,"",L167*M167),"")</f>
        <v/>
      </c>
      <c r="O167" s="334" t="n"/>
      <c r="P167" s="332">
        <f>IFERROR(VLOOKUP(TEXT(O167,"0"),CONDUCTORES!$A$3:$G$54,2,0),"")</f>
        <v/>
      </c>
      <c r="Q167" s="332">
        <f>IFERROR(VLOOKUP(TEXT(O167,"0"),CONDUCTORES!$A$3:$H$54,6,0),"")</f>
        <v/>
      </c>
      <c r="R167" s="334" t="n"/>
      <c r="S167" s="334" t="n"/>
      <c r="T167" s="334" t="n"/>
      <c r="U167" s="334" t="n"/>
      <c r="V167" s="334" t="n"/>
      <c r="W167" s="334" t="n"/>
      <c r="X167" s="334" t="n"/>
      <c r="Y167" s="334" t="n"/>
      <c r="Z167" s="375">
        <f>IF(AND(G167&lt;&gt;"",R167&lt;&gt;"",V167&lt;&gt;"",W167&lt;&gt;""),"COMPLETADO","OBSERVADO")</f>
        <v/>
      </c>
    </row>
    <row r="168" ht="15" customHeight="1" s="195">
      <c r="A168" s="280" t="n"/>
      <c r="B168" s="280" t="n"/>
      <c r="C168" s="280" t="n"/>
      <c r="D168" s="280" t="n"/>
      <c r="E168" s="280" t="n"/>
      <c r="F168" s="280" t="n"/>
      <c r="G168" s="280" t="n"/>
      <c r="H168" s="280" t="n"/>
      <c r="I168" s="332">
        <f>IFERROR(VLOOKUP(TEXT(H168,"0"),IPRESS!$A$3:$B$212,2,0),"")</f>
        <v/>
      </c>
      <c r="J168" s="280" t="n"/>
      <c r="K168" s="332">
        <f>IFERROR(VLOOKUP(TEXT(O168,"0"),CONDUCTORES!$A$3:$G$54,7,0),"")</f>
        <v/>
      </c>
      <c r="L168" s="280" t="n"/>
      <c r="M168" s="280" t="n"/>
      <c r="N168" s="333">
        <f>IFERROR(IF(L168*M168=0,"",L168*M168),"")</f>
        <v/>
      </c>
      <c r="O168" s="280" t="n"/>
      <c r="P168" s="332">
        <f>IFERROR(VLOOKUP(TEXT(O168,"0"),CONDUCTORES!$A$3:$G$54,2,0),"")</f>
        <v/>
      </c>
      <c r="Q168" s="332">
        <f>IFERROR(VLOOKUP(TEXT(O168,"0"),CONDUCTORES!$A$3:$H$54,6,0),"")</f>
        <v/>
      </c>
      <c r="R168" s="280" t="n"/>
      <c r="S168" s="280" t="n"/>
      <c r="T168" s="280" t="n"/>
      <c r="U168" s="280" t="n"/>
      <c r="V168" s="280" t="n"/>
      <c r="W168" s="280" t="n"/>
      <c r="X168" s="280" t="n"/>
      <c r="Y168" s="280" t="n"/>
      <c r="Z168" s="375">
        <f>IF(AND(G168&lt;&gt;"",R168&lt;&gt;"",V168&lt;&gt;"",W168&lt;&gt;""),"COMPLETADO","OBSERVADO")</f>
        <v/>
      </c>
    </row>
    <row r="169" ht="15" customHeight="1" s="195">
      <c r="A169" s="334" t="n"/>
      <c r="B169" s="334" t="n"/>
      <c r="C169" s="334" t="n"/>
      <c r="D169" s="334" t="n"/>
      <c r="E169" s="334" t="n"/>
      <c r="F169" s="334" t="n"/>
      <c r="G169" s="334" t="n"/>
      <c r="H169" s="334" t="n"/>
      <c r="I169" s="332">
        <f>IFERROR(VLOOKUP(TEXT(H169,"0"),IPRESS!$A$3:$B$212,2,0),"")</f>
        <v/>
      </c>
      <c r="J169" s="334" t="n"/>
      <c r="K169" s="332">
        <f>IFERROR(VLOOKUP(TEXT(O169,"0"),CONDUCTORES!$A$3:$G$54,7,0),"")</f>
        <v/>
      </c>
      <c r="L169" s="334" t="n"/>
      <c r="M169" s="334" t="n"/>
      <c r="N169" s="333">
        <f>IFERROR(IF(L169*M169=0,"",L169*M169),"")</f>
        <v/>
      </c>
      <c r="O169" s="334" t="n"/>
      <c r="P169" s="332">
        <f>IFERROR(VLOOKUP(TEXT(O169,"0"),CONDUCTORES!$A$3:$G$54,2,0),"")</f>
        <v/>
      </c>
      <c r="Q169" s="332">
        <f>IFERROR(VLOOKUP(TEXT(O169,"0"),CONDUCTORES!$A$3:$H$54,6,0),"")</f>
        <v/>
      </c>
      <c r="R169" s="334" t="n"/>
      <c r="S169" s="334" t="n"/>
      <c r="T169" s="334" t="n"/>
      <c r="U169" s="334" t="n"/>
      <c r="V169" s="334" t="n"/>
      <c r="W169" s="334" t="n"/>
      <c r="X169" s="334" t="n"/>
      <c r="Y169" s="334" t="n"/>
      <c r="Z169" s="375">
        <f>IF(AND(G169&lt;&gt;"",R169&lt;&gt;"",V169&lt;&gt;"",W169&lt;&gt;""),"COMPLETADO","OBSERVADO")</f>
        <v/>
      </c>
    </row>
    <row r="170" ht="15" customHeight="1" s="195">
      <c r="A170" s="280" t="n"/>
      <c r="B170" s="280" t="n"/>
      <c r="C170" s="280" t="n"/>
      <c r="D170" s="280" t="n"/>
      <c r="E170" s="280" t="n"/>
      <c r="F170" s="280" t="n"/>
      <c r="G170" s="280" t="n"/>
      <c r="H170" s="280" t="n"/>
      <c r="I170" s="332">
        <f>IFERROR(VLOOKUP(TEXT(H170,"0"),IPRESS!$A$3:$B$212,2,0),"")</f>
        <v/>
      </c>
      <c r="J170" s="280" t="n"/>
      <c r="K170" s="332">
        <f>IFERROR(VLOOKUP(TEXT(O170,"0"),CONDUCTORES!$A$3:$G$54,7,0),"")</f>
        <v/>
      </c>
      <c r="L170" s="280" t="n"/>
      <c r="M170" s="280" t="n"/>
      <c r="N170" s="333">
        <f>IFERROR(IF(L170*M170=0,"",L170*M170),"")</f>
        <v/>
      </c>
      <c r="O170" s="280" t="n"/>
      <c r="P170" s="332">
        <f>IFERROR(VLOOKUP(TEXT(O170,"0"),CONDUCTORES!$A$3:$G$54,2,0),"")</f>
        <v/>
      </c>
      <c r="Q170" s="332">
        <f>IFERROR(VLOOKUP(TEXT(O170,"0"),CONDUCTORES!$A$3:$H$54,6,0),"")</f>
        <v/>
      </c>
      <c r="R170" s="280" t="n"/>
      <c r="S170" s="280" t="n"/>
      <c r="T170" s="280" t="n"/>
      <c r="U170" s="280" t="n"/>
      <c r="V170" s="280" t="n"/>
      <c r="W170" s="280" t="n"/>
      <c r="X170" s="280" t="n"/>
      <c r="Y170" s="280" t="n"/>
      <c r="Z170" s="375">
        <f>IF(AND(G170&lt;&gt;"",R170&lt;&gt;"",V170&lt;&gt;"",W170&lt;&gt;""),"COMPLETADO","OBSERVADO")</f>
        <v/>
      </c>
    </row>
    <row r="171" ht="15" customHeight="1" s="195">
      <c r="A171" s="334" t="n"/>
      <c r="B171" s="334" t="n"/>
      <c r="C171" s="334" t="n"/>
      <c r="D171" s="334" t="n"/>
      <c r="E171" s="334" t="n"/>
      <c r="F171" s="334" t="n"/>
      <c r="G171" s="334" t="n"/>
      <c r="H171" s="334" t="n"/>
      <c r="I171" s="332">
        <f>IFERROR(VLOOKUP(TEXT(H171,"0"),IPRESS!$A$3:$B$212,2,0),"")</f>
        <v/>
      </c>
      <c r="J171" s="334" t="n"/>
      <c r="K171" s="332">
        <f>IFERROR(VLOOKUP(TEXT(O171,"0"),CONDUCTORES!$A$3:$G$54,7,0),"")</f>
        <v/>
      </c>
      <c r="L171" s="334" t="n"/>
      <c r="M171" s="334" t="n"/>
      <c r="N171" s="333">
        <f>IFERROR(IF(L171*M171=0,"",L171*M171),"")</f>
        <v/>
      </c>
      <c r="O171" s="334" t="n"/>
      <c r="P171" s="332">
        <f>IFERROR(VLOOKUP(TEXT(O171,"0"),CONDUCTORES!$A$3:$G$54,2,0),"")</f>
        <v/>
      </c>
      <c r="Q171" s="332">
        <f>IFERROR(VLOOKUP(TEXT(O171,"0"),CONDUCTORES!$A$3:$H$54,6,0),"")</f>
        <v/>
      </c>
      <c r="R171" s="334" t="n"/>
      <c r="S171" s="334" t="n"/>
      <c r="T171" s="334" t="n"/>
      <c r="U171" s="334" t="n"/>
      <c r="V171" s="334" t="n"/>
      <c r="W171" s="334" t="n"/>
      <c r="X171" s="334" t="n"/>
      <c r="Y171" s="334" t="n"/>
      <c r="Z171" s="375">
        <f>IF(AND(G171&lt;&gt;"",R171&lt;&gt;"",V171&lt;&gt;"",W171&lt;&gt;""),"COMPLETADO","OBSERVADO")</f>
        <v/>
      </c>
    </row>
    <row r="172" ht="15" customHeight="1" s="195">
      <c r="A172" s="280" t="n"/>
      <c r="B172" s="280" t="n"/>
      <c r="C172" s="280" t="n"/>
      <c r="D172" s="280" t="n"/>
      <c r="E172" s="280" t="n"/>
      <c r="F172" s="280" t="n"/>
      <c r="G172" s="280" t="n"/>
      <c r="H172" s="280" t="n"/>
      <c r="I172" s="332">
        <f>IFERROR(VLOOKUP(TEXT(H172,"0"),IPRESS!$A$3:$B$212,2,0),"")</f>
        <v/>
      </c>
      <c r="J172" s="280" t="n"/>
      <c r="K172" s="332">
        <f>IFERROR(VLOOKUP(TEXT(O172,"0"),CONDUCTORES!$A$3:$G$54,7,0),"")</f>
        <v/>
      </c>
      <c r="L172" s="280" t="n"/>
      <c r="M172" s="280" t="n"/>
      <c r="N172" s="333">
        <f>IFERROR(IF(L172*M172=0,"",L172*M172),"")</f>
        <v/>
      </c>
      <c r="O172" s="280" t="n"/>
      <c r="P172" s="332">
        <f>IFERROR(VLOOKUP(TEXT(O172,"0"),CONDUCTORES!$A$3:$G$54,2,0),"")</f>
        <v/>
      </c>
      <c r="Q172" s="332">
        <f>IFERROR(VLOOKUP(TEXT(O172,"0"),CONDUCTORES!$A$3:$H$54,6,0),"")</f>
        <v/>
      </c>
      <c r="R172" s="280" t="n"/>
      <c r="S172" s="280" t="n"/>
      <c r="T172" s="280" t="n"/>
      <c r="U172" s="280" t="n"/>
      <c r="V172" s="280" t="n"/>
      <c r="W172" s="280" t="n"/>
      <c r="X172" s="280" t="n"/>
      <c r="Y172" s="280" t="n"/>
      <c r="Z172" s="375">
        <f>IF(AND(G172&lt;&gt;"",R172&lt;&gt;"",V172&lt;&gt;"",W172&lt;&gt;""),"COMPLETADO","OBSERVADO")</f>
        <v/>
      </c>
    </row>
    <row r="173" ht="15" customHeight="1" s="195">
      <c r="A173" s="334" t="n"/>
      <c r="B173" s="334" t="n"/>
      <c r="C173" s="334" t="n"/>
      <c r="D173" s="334" t="n"/>
      <c r="E173" s="334" t="n"/>
      <c r="F173" s="334" t="n"/>
      <c r="G173" s="334" t="n"/>
      <c r="H173" s="334" t="n"/>
      <c r="I173" s="332">
        <f>IFERROR(VLOOKUP(TEXT(H173,"0"),IPRESS!$A$3:$B$212,2,0),"")</f>
        <v/>
      </c>
      <c r="J173" s="334" t="n"/>
      <c r="K173" s="332">
        <f>IFERROR(VLOOKUP(TEXT(O173,"0"),CONDUCTORES!$A$3:$G$54,7,0),"")</f>
        <v/>
      </c>
      <c r="L173" s="334" t="n"/>
      <c r="M173" s="334" t="n"/>
      <c r="N173" s="333">
        <f>IFERROR(IF(L173*M173=0,"",L173*M173),"")</f>
        <v/>
      </c>
      <c r="O173" s="334" t="n"/>
      <c r="P173" s="332">
        <f>IFERROR(VLOOKUP(TEXT(O173,"0"),CONDUCTORES!$A$3:$G$54,2,0),"")</f>
        <v/>
      </c>
      <c r="Q173" s="332">
        <f>IFERROR(VLOOKUP(TEXT(O173,"0"),CONDUCTORES!$A$3:$H$54,6,0),"")</f>
        <v/>
      </c>
      <c r="R173" s="334" t="n"/>
      <c r="S173" s="334" t="n"/>
      <c r="T173" s="334" t="n"/>
      <c r="U173" s="334" t="n"/>
      <c r="V173" s="334" t="n"/>
      <c r="W173" s="334" t="n"/>
      <c r="X173" s="334" t="n"/>
      <c r="Y173" s="334" t="n"/>
      <c r="Z173" s="375">
        <f>IF(AND(G173&lt;&gt;"",R173&lt;&gt;"",V173&lt;&gt;"",W173&lt;&gt;""),"COMPLETADO","OBSERVADO")</f>
        <v/>
      </c>
    </row>
    <row r="174" ht="15" customHeight="1" s="195">
      <c r="A174" s="280" t="n"/>
      <c r="B174" s="280" t="n"/>
      <c r="C174" s="280" t="n"/>
      <c r="D174" s="280" t="n"/>
      <c r="E174" s="280" t="n"/>
      <c r="F174" s="280" t="n"/>
      <c r="G174" s="280" t="n"/>
      <c r="H174" s="280" t="n"/>
      <c r="I174" s="332">
        <f>IFERROR(VLOOKUP(TEXT(H174,"0"),IPRESS!$A$3:$B$212,2,0),"")</f>
        <v/>
      </c>
      <c r="J174" s="280" t="n"/>
      <c r="K174" s="332">
        <f>IFERROR(VLOOKUP(TEXT(O174,"0"),CONDUCTORES!$A$3:$G$54,7,0),"")</f>
        <v/>
      </c>
      <c r="L174" s="280" t="n"/>
      <c r="M174" s="280" t="n"/>
      <c r="N174" s="333">
        <f>IFERROR(IF(L174*M174=0,"",L174*M174),"")</f>
        <v/>
      </c>
      <c r="O174" s="280" t="n"/>
      <c r="P174" s="332">
        <f>IFERROR(VLOOKUP(TEXT(O174,"0"),CONDUCTORES!$A$3:$G$54,2,0),"")</f>
        <v/>
      </c>
      <c r="Q174" s="332">
        <f>IFERROR(VLOOKUP(TEXT(O174,"0"),CONDUCTORES!$A$3:$H$54,6,0),"")</f>
        <v/>
      </c>
      <c r="R174" s="280" t="n"/>
      <c r="S174" s="280" t="n"/>
      <c r="T174" s="280" t="n"/>
      <c r="U174" s="280" t="n"/>
      <c r="V174" s="280" t="n"/>
      <c r="W174" s="280" t="n"/>
      <c r="X174" s="280" t="n"/>
      <c r="Y174" s="280" t="n"/>
      <c r="Z174" s="375">
        <f>IF(AND(G174&lt;&gt;"",R174&lt;&gt;"",V174&lt;&gt;"",W174&lt;&gt;""),"COMPLETADO","OBSERVADO")</f>
        <v/>
      </c>
    </row>
    <row r="175" ht="15" customHeight="1" s="195">
      <c r="A175" s="334" t="n"/>
      <c r="B175" s="334" t="n"/>
      <c r="C175" s="334" t="n"/>
      <c r="D175" s="334" t="n"/>
      <c r="E175" s="334" t="n"/>
      <c r="F175" s="334" t="n"/>
      <c r="G175" s="334" t="n"/>
      <c r="H175" s="334" t="n"/>
      <c r="I175" s="332">
        <f>IFERROR(VLOOKUP(TEXT(H175,"0"),IPRESS!$A$3:$B$212,2,0),"")</f>
        <v/>
      </c>
      <c r="J175" s="334" t="n"/>
      <c r="K175" s="332">
        <f>IFERROR(VLOOKUP(TEXT(O175,"0"),CONDUCTORES!$A$3:$G$54,7,0),"")</f>
        <v/>
      </c>
      <c r="L175" s="334" t="n"/>
      <c r="M175" s="334" t="n"/>
      <c r="N175" s="333">
        <f>IFERROR(IF(L175*M175=0,"",L175*M175),"")</f>
        <v/>
      </c>
      <c r="O175" s="334" t="n"/>
      <c r="P175" s="332">
        <f>IFERROR(VLOOKUP(TEXT(O175,"0"),CONDUCTORES!$A$3:$G$54,2,0),"")</f>
        <v/>
      </c>
      <c r="Q175" s="332">
        <f>IFERROR(VLOOKUP(TEXT(O175,"0"),CONDUCTORES!$A$3:$H$54,6,0),"")</f>
        <v/>
      </c>
      <c r="R175" s="334" t="n"/>
      <c r="S175" s="334" t="n"/>
      <c r="T175" s="334" t="n"/>
      <c r="U175" s="334" t="n"/>
      <c r="V175" s="334" t="n"/>
      <c r="W175" s="334" t="n"/>
      <c r="X175" s="334" t="n"/>
      <c r="Y175" s="334" t="n"/>
      <c r="Z175" s="375">
        <f>IF(AND(G175&lt;&gt;"",R175&lt;&gt;"",V175&lt;&gt;"",W175&lt;&gt;""),"COMPLETADO","OBSERVADO")</f>
        <v/>
      </c>
    </row>
    <row r="176" ht="15" customHeight="1" s="195">
      <c r="A176" s="280" t="n"/>
      <c r="B176" s="280" t="n"/>
      <c r="C176" s="280" t="n"/>
      <c r="D176" s="280" t="n"/>
      <c r="E176" s="280" t="n"/>
      <c r="F176" s="280" t="n"/>
      <c r="G176" s="280" t="n"/>
      <c r="H176" s="280" t="n"/>
      <c r="I176" s="332">
        <f>IFERROR(VLOOKUP(TEXT(H176,"0"),IPRESS!$A$3:$B$212,2,0),"")</f>
        <v/>
      </c>
      <c r="J176" s="280" t="n"/>
      <c r="K176" s="332">
        <f>IFERROR(VLOOKUP(TEXT(O176,"0"),CONDUCTORES!$A$3:$G$54,7,0),"")</f>
        <v/>
      </c>
      <c r="L176" s="280" t="n"/>
      <c r="M176" s="280" t="n"/>
      <c r="N176" s="333">
        <f>IFERROR(IF(L176*M176=0,"",L176*M176),"")</f>
        <v/>
      </c>
      <c r="O176" s="280" t="n"/>
      <c r="P176" s="332">
        <f>IFERROR(VLOOKUP(TEXT(O176,"0"),CONDUCTORES!$A$3:$G$54,2,0),"")</f>
        <v/>
      </c>
      <c r="Q176" s="332">
        <f>IFERROR(VLOOKUP(TEXT(O176,"0"),CONDUCTORES!$A$3:$H$54,6,0),"")</f>
        <v/>
      </c>
      <c r="R176" s="280" t="n"/>
      <c r="S176" s="280" t="n"/>
      <c r="T176" s="280" t="n"/>
      <c r="U176" s="280" t="n"/>
      <c r="V176" s="280" t="n"/>
      <c r="W176" s="280" t="n"/>
      <c r="X176" s="280" t="n"/>
      <c r="Y176" s="280" t="n"/>
      <c r="Z176" s="375">
        <f>IF(AND(G176&lt;&gt;"",R176&lt;&gt;"",V176&lt;&gt;"",W176&lt;&gt;""),"COMPLETADO","OBSERVADO")</f>
        <v/>
      </c>
    </row>
    <row r="177" ht="15" customHeight="1" s="195">
      <c r="A177" s="334" t="n"/>
      <c r="B177" s="334" t="n"/>
      <c r="C177" s="334" t="n"/>
      <c r="D177" s="334" t="n"/>
      <c r="E177" s="334" t="n"/>
      <c r="F177" s="334" t="n"/>
      <c r="G177" s="334" t="n"/>
      <c r="H177" s="334" t="n"/>
      <c r="I177" s="332">
        <f>IFERROR(VLOOKUP(TEXT(H177,"0"),IPRESS!$A$3:$B$212,2,0),"")</f>
        <v/>
      </c>
      <c r="J177" s="334" t="n"/>
      <c r="K177" s="332">
        <f>IFERROR(VLOOKUP(TEXT(O177,"0"),CONDUCTORES!$A$3:$G$54,7,0),"")</f>
        <v/>
      </c>
      <c r="L177" s="334" t="n"/>
      <c r="M177" s="334" t="n"/>
      <c r="N177" s="333">
        <f>IFERROR(IF(L177*M177=0,"",L177*M177),"")</f>
        <v/>
      </c>
      <c r="O177" s="334" t="n"/>
      <c r="P177" s="332">
        <f>IFERROR(VLOOKUP(TEXT(O177,"0"),CONDUCTORES!$A$3:$G$54,2,0),"")</f>
        <v/>
      </c>
      <c r="Q177" s="332">
        <f>IFERROR(VLOOKUP(TEXT(O177,"0"),CONDUCTORES!$A$3:$H$54,6,0),"")</f>
        <v/>
      </c>
      <c r="R177" s="334" t="n"/>
      <c r="S177" s="334" t="n"/>
      <c r="T177" s="334" t="n"/>
      <c r="U177" s="334" t="n"/>
      <c r="V177" s="334" t="n"/>
      <c r="W177" s="334" t="n"/>
      <c r="X177" s="334" t="n"/>
      <c r="Y177" s="334" t="n"/>
      <c r="Z177" s="375">
        <f>IF(AND(G177&lt;&gt;"",R177&lt;&gt;"",V177&lt;&gt;"",W177&lt;&gt;""),"COMPLETADO","OBSERVADO")</f>
        <v/>
      </c>
    </row>
    <row r="178" ht="15" customHeight="1" s="195">
      <c r="A178" s="280" t="n"/>
      <c r="B178" s="280" t="n"/>
      <c r="C178" s="280" t="n"/>
      <c r="D178" s="280" t="n"/>
      <c r="E178" s="280" t="n"/>
      <c r="F178" s="280" t="n"/>
      <c r="G178" s="280" t="n"/>
      <c r="H178" s="280" t="n"/>
      <c r="I178" s="332">
        <f>IFERROR(VLOOKUP(TEXT(H178,"0"),IPRESS!$A$3:$B$212,2,0),"")</f>
        <v/>
      </c>
      <c r="J178" s="280" t="n"/>
      <c r="K178" s="332">
        <f>IFERROR(VLOOKUP(TEXT(O178,"0"),CONDUCTORES!$A$3:$G$54,7,0),"")</f>
        <v/>
      </c>
      <c r="L178" s="280" t="n"/>
      <c r="M178" s="280" t="n"/>
      <c r="N178" s="333">
        <f>IFERROR(IF(L178*M178=0,"",L178*M178),"")</f>
        <v/>
      </c>
      <c r="O178" s="280" t="n"/>
      <c r="P178" s="332">
        <f>IFERROR(VLOOKUP(TEXT(O178,"0"),CONDUCTORES!$A$3:$G$54,2,0),"")</f>
        <v/>
      </c>
      <c r="Q178" s="332">
        <f>IFERROR(VLOOKUP(TEXT(O178,"0"),CONDUCTORES!$A$3:$H$54,6,0),"")</f>
        <v/>
      </c>
      <c r="R178" s="280" t="n"/>
      <c r="S178" s="280" t="n"/>
      <c r="T178" s="280" t="n"/>
      <c r="U178" s="280" t="n"/>
      <c r="V178" s="280" t="n"/>
      <c r="W178" s="280" t="n"/>
      <c r="X178" s="280" t="n"/>
      <c r="Y178" s="280" t="n"/>
      <c r="Z178" s="375">
        <f>IF(AND(G178&lt;&gt;"",R178&lt;&gt;"",V178&lt;&gt;"",W178&lt;&gt;""),"COMPLETADO","OBSERVADO")</f>
        <v/>
      </c>
    </row>
    <row r="179" ht="15" customHeight="1" s="195">
      <c r="A179" s="334" t="n"/>
      <c r="B179" s="334" t="n"/>
      <c r="C179" s="334" t="n"/>
      <c r="D179" s="334" t="n"/>
      <c r="E179" s="334" t="n"/>
      <c r="F179" s="334" t="n"/>
      <c r="G179" s="334" t="n"/>
      <c r="H179" s="334" t="n"/>
      <c r="I179" s="332">
        <f>IFERROR(VLOOKUP(TEXT(H179,"0"),IPRESS!$A$3:$B$212,2,0),"")</f>
        <v/>
      </c>
      <c r="J179" s="334" t="n"/>
      <c r="K179" s="332">
        <f>IFERROR(VLOOKUP(TEXT(O179,"0"),CONDUCTORES!$A$3:$G$54,7,0),"")</f>
        <v/>
      </c>
      <c r="L179" s="334" t="n"/>
      <c r="M179" s="334" t="n"/>
      <c r="N179" s="333">
        <f>IFERROR(IF(L179*M179=0,"",L179*M179),"")</f>
        <v/>
      </c>
      <c r="O179" s="334" t="n"/>
      <c r="P179" s="332">
        <f>IFERROR(VLOOKUP(TEXT(O179,"0"),CONDUCTORES!$A$3:$G$54,2,0),"")</f>
        <v/>
      </c>
      <c r="Q179" s="332">
        <f>IFERROR(VLOOKUP(TEXT(O179,"0"),CONDUCTORES!$A$3:$H$54,6,0),"")</f>
        <v/>
      </c>
      <c r="R179" s="334" t="n"/>
      <c r="S179" s="334" t="n"/>
      <c r="T179" s="334" t="n"/>
      <c r="U179" s="334" t="n"/>
      <c r="V179" s="334" t="n"/>
      <c r="W179" s="334" t="n"/>
      <c r="X179" s="334" t="n"/>
      <c r="Y179" s="334" t="n"/>
      <c r="Z179" s="375">
        <f>IF(AND(G179&lt;&gt;"",R179&lt;&gt;"",V179&lt;&gt;"",W179&lt;&gt;""),"COMPLETADO","OBSERVADO")</f>
        <v/>
      </c>
    </row>
    <row r="180" ht="15" customHeight="1" s="195">
      <c r="A180" s="280" t="n"/>
      <c r="B180" s="280" t="n"/>
      <c r="C180" s="280" t="n"/>
      <c r="D180" s="280" t="n"/>
      <c r="E180" s="280" t="n"/>
      <c r="F180" s="280" t="n"/>
      <c r="G180" s="280" t="n"/>
      <c r="H180" s="280" t="n"/>
      <c r="I180" s="332">
        <f>IFERROR(VLOOKUP(TEXT(H180,"0"),IPRESS!$A$3:$B$212,2,0),"")</f>
        <v/>
      </c>
      <c r="J180" s="280" t="n"/>
      <c r="K180" s="332">
        <f>IFERROR(VLOOKUP(TEXT(O180,"0"),CONDUCTORES!$A$3:$G$54,7,0),"")</f>
        <v/>
      </c>
      <c r="L180" s="280" t="n"/>
      <c r="M180" s="280" t="n"/>
      <c r="N180" s="333">
        <f>IFERROR(IF(L180*M180=0,"",L180*M180),"")</f>
        <v/>
      </c>
      <c r="O180" s="280" t="n"/>
      <c r="P180" s="332">
        <f>IFERROR(VLOOKUP(TEXT(O180,"0"),CONDUCTORES!$A$3:$G$54,2,0),"")</f>
        <v/>
      </c>
      <c r="Q180" s="332">
        <f>IFERROR(VLOOKUP(TEXT(O180,"0"),CONDUCTORES!$A$3:$H$54,6,0),"")</f>
        <v/>
      </c>
      <c r="R180" s="280" t="n"/>
      <c r="S180" s="280" t="n"/>
      <c r="T180" s="280" t="n"/>
      <c r="U180" s="280" t="n"/>
      <c r="V180" s="280" t="n"/>
      <c r="W180" s="280" t="n"/>
      <c r="X180" s="280" t="n"/>
      <c r="Y180" s="280" t="n"/>
      <c r="Z180" s="375">
        <f>IF(AND(G180&lt;&gt;"",R180&lt;&gt;"",V180&lt;&gt;"",W180&lt;&gt;""),"COMPLETADO","OBSERVADO")</f>
        <v/>
      </c>
    </row>
    <row r="181" ht="15" customHeight="1" s="195">
      <c r="A181" s="334" t="n"/>
      <c r="B181" s="334" t="n"/>
      <c r="C181" s="334" t="n"/>
      <c r="D181" s="334" t="n"/>
      <c r="E181" s="334" t="n"/>
      <c r="F181" s="334" t="n"/>
      <c r="G181" s="334" t="n"/>
      <c r="H181" s="334" t="n"/>
      <c r="I181" s="332">
        <f>IFERROR(VLOOKUP(TEXT(H181,"0"),IPRESS!$A$3:$B$212,2,0),"")</f>
        <v/>
      </c>
      <c r="J181" s="334" t="n"/>
      <c r="K181" s="332">
        <f>IFERROR(VLOOKUP(TEXT(O181,"0"),CONDUCTORES!$A$3:$G$54,7,0),"")</f>
        <v/>
      </c>
      <c r="L181" s="334" t="n"/>
      <c r="M181" s="334" t="n"/>
      <c r="N181" s="333">
        <f>IFERROR(IF(L181*M181=0,"",L181*M181),"")</f>
        <v/>
      </c>
      <c r="O181" s="334" t="n"/>
      <c r="P181" s="332">
        <f>IFERROR(VLOOKUP(TEXT(O181,"0"),CONDUCTORES!$A$3:$G$54,2,0),"")</f>
        <v/>
      </c>
      <c r="Q181" s="332">
        <f>IFERROR(VLOOKUP(TEXT(O181,"0"),CONDUCTORES!$A$3:$H$54,6,0),"")</f>
        <v/>
      </c>
      <c r="R181" s="334" t="n"/>
      <c r="S181" s="334" t="n"/>
      <c r="T181" s="334" t="n"/>
      <c r="U181" s="334" t="n"/>
      <c r="V181" s="334" t="n"/>
      <c r="W181" s="334" t="n"/>
      <c r="X181" s="334" t="n"/>
      <c r="Y181" s="334" t="n"/>
      <c r="Z181" s="375">
        <f>IF(AND(G181&lt;&gt;"",R181&lt;&gt;"",V181&lt;&gt;"",W181&lt;&gt;""),"COMPLETADO","OBSERVADO")</f>
        <v/>
      </c>
    </row>
    <row r="182" ht="15" customHeight="1" s="195">
      <c r="A182" s="280" t="n"/>
      <c r="B182" s="280" t="n"/>
      <c r="C182" s="280" t="n"/>
      <c r="D182" s="280" t="n"/>
      <c r="E182" s="280" t="n"/>
      <c r="F182" s="280" t="n"/>
      <c r="G182" s="280" t="n"/>
      <c r="H182" s="280" t="n"/>
      <c r="I182" s="332">
        <f>IFERROR(VLOOKUP(TEXT(H182,"0"),IPRESS!$A$3:$B$212,2,0),"")</f>
        <v/>
      </c>
      <c r="J182" s="280" t="n"/>
      <c r="K182" s="332">
        <f>IFERROR(VLOOKUP(TEXT(O182,"0"),CONDUCTORES!$A$3:$G$54,7,0),"")</f>
        <v/>
      </c>
      <c r="L182" s="280" t="n"/>
      <c r="M182" s="280" t="n"/>
      <c r="N182" s="333">
        <f>IFERROR(IF(L182*M182=0,"",L182*M182),"")</f>
        <v/>
      </c>
      <c r="O182" s="280" t="n"/>
      <c r="P182" s="332">
        <f>IFERROR(VLOOKUP(TEXT(O182,"0"),CONDUCTORES!$A$3:$G$54,2,0),"")</f>
        <v/>
      </c>
      <c r="Q182" s="332">
        <f>IFERROR(VLOOKUP(TEXT(O182,"0"),CONDUCTORES!$A$3:$H$54,6,0),"")</f>
        <v/>
      </c>
      <c r="R182" s="280" t="n"/>
      <c r="S182" s="280" t="n"/>
      <c r="T182" s="280" t="n"/>
      <c r="U182" s="280" t="n"/>
      <c r="V182" s="280" t="n"/>
      <c r="W182" s="280" t="n"/>
      <c r="X182" s="280" t="n"/>
      <c r="Y182" s="280" t="n"/>
      <c r="Z182" s="375">
        <f>IF(AND(G182&lt;&gt;"",R182&lt;&gt;"",V182&lt;&gt;"",W182&lt;&gt;""),"COMPLETADO","OBSERVADO")</f>
        <v/>
      </c>
    </row>
    <row r="183" ht="15" customHeight="1" s="195">
      <c r="A183" s="334" t="n"/>
      <c r="B183" s="334" t="n"/>
      <c r="C183" s="334" t="n"/>
      <c r="D183" s="334" t="n"/>
      <c r="E183" s="334" t="n"/>
      <c r="F183" s="334" t="n"/>
      <c r="G183" s="334" t="n"/>
      <c r="H183" s="334" t="n"/>
      <c r="I183" s="332">
        <f>IFERROR(VLOOKUP(TEXT(H183,"0"),IPRESS!$A$3:$B$212,2,0),"")</f>
        <v/>
      </c>
      <c r="J183" s="334" t="n"/>
      <c r="K183" s="332">
        <f>IFERROR(VLOOKUP(TEXT(O183,"0"),CONDUCTORES!$A$3:$G$54,7,0),"")</f>
        <v/>
      </c>
      <c r="L183" s="334" t="n"/>
      <c r="M183" s="334" t="n"/>
      <c r="N183" s="333">
        <f>IFERROR(IF(L183*M183=0,"",L183*M183),"")</f>
        <v/>
      </c>
      <c r="O183" s="334" t="n"/>
      <c r="P183" s="332">
        <f>IFERROR(VLOOKUP(TEXT(O183,"0"),CONDUCTORES!$A$3:$G$54,2,0),"")</f>
        <v/>
      </c>
      <c r="Q183" s="332">
        <f>IFERROR(VLOOKUP(TEXT(O183,"0"),CONDUCTORES!$A$3:$H$54,6,0),"")</f>
        <v/>
      </c>
      <c r="R183" s="334" t="n"/>
      <c r="S183" s="334" t="n"/>
      <c r="T183" s="334" t="n"/>
      <c r="U183" s="334" t="n"/>
      <c r="V183" s="334" t="n"/>
      <c r="W183" s="334" t="n"/>
      <c r="X183" s="334" t="n"/>
      <c r="Y183" s="334" t="n"/>
      <c r="Z183" s="375">
        <f>IF(AND(G183&lt;&gt;"",R183&lt;&gt;"",V183&lt;&gt;"",W183&lt;&gt;""),"COMPLETADO","OBSERVADO")</f>
        <v/>
      </c>
    </row>
    <row r="184" ht="15" customHeight="1" s="195">
      <c r="A184" s="280" t="n"/>
      <c r="B184" s="280" t="n"/>
      <c r="C184" s="280" t="n"/>
      <c r="D184" s="280" t="n"/>
      <c r="E184" s="280" t="n"/>
      <c r="F184" s="280" t="n"/>
      <c r="G184" s="280" t="n"/>
      <c r="H184" s="280" t="n"/>
      <c r="I184" s="332">
        <f>IFERROR(VLOOKUP(TEXT(H184,"0"),IPRESS!$A$3:$B$212,2,0),"")</f>
        <v/>
      </c>
      <c r="J184" s="280" t="n"/>
      <c r="K184" s="332">
        <f>IFERROR(VLOOKUP(TEXT(O184,"0"),CONDUCTORES!$A$3:$G$54,7,0),"")</f>
        <v/>
      </c>
      <c r="L184" s="280" t="n"/>
      <c r="M184" s="280" t="n"/>
      <c r="N184" s="333">
        <f>IFERROR(IF(L184*M184=0,"",L184*M184),"")</f>
        <v/>
      </c>
      <c r="O184" s="280" t="n"/>
      <c r="P184" s="332">
        <f>IFERROR(VLOOKUP(TEXT(O184,"0"),CONDUCTORES!$A$3:$G$54,2,0),"")</f>
        <v/>
      </c>
      <c r="Q184" s="332">
        <f>IFERROR(VLOOKUP(TEXT(O184,"0"),CONDUCTORES!$A$3:$H$54,6,0),"")</f>
        <v/>
      </c>
      <c r="R184" s="280" t="n"/>
      <c r="S184" s="280" t="n"/>
      <c r="T184" s="280" t="n"/>
      <c r="U184" s="280" t="n"/>
      <c r="V184" s="280" t="n"/>
      <c r="W184" s="280" t="n"/>
      <c r="X184" s="280" t="n"/>
      <c r="Y184" s="280" t="n"/>
      <c r="Z184" s="375">
        <f>IF(AND(G184&lt;&gt;"",R184&lt;&gt;"",V184&lt;&gt;"",W184&lt;&gt;""),"COMPLETADO","OBSERVADO")</f>
        <v/>
      </c>
    </row>
    <row r="185" ht="15" customHeight="1" s="195">
      <c r="A185" s="334" t="n"/>
      <c r="B185" s="334" t="n"/>
      <c r="C185" s="334" t="n"/>
      <c r="D185" s="334" t="n"/>
      <c r="E185" s="334" t="n"/>
      <c r="F185" s="334" t="n"/>
      <c r="G185" s="334" t="n"/>
      <c r="H185" s="334" t="n"/>
      <c r="I185" s="332">
        <f>IFERROR(VLOOKUP(TEXT(H185,"0"),IPRESS!$A$3:$B$212,2,0),"")</f>
        <v/>
      </c>
      <c r="J185" s="334" t="n"/>
      <c r="K185" s="332">
        <f>IFERROR(VLOOKUP(TEXT(O185,"0"),CONDUCTORES!$A$3:$G$54,7,0),"")</f>
        <v/>
      </c>
      <c r="L185" s="334" t="n"/>
      <c r="M185" s="334" t="n"/>
      <c r="N185" s="333">
        <f>IFERROR(IF(L185*M185=0,"",L185*M185),"")</f>
        <v/>
      </c>
      <c r="O185" s="334" t="n"/>
      <c r="P185" s="332">
        <f>IFERROR(VLOOKUP(TEXT(O185,"0"),CONDUCTORES!$A$3:$G$54,2,0),"")</f>
        <v/>
      </c>
      <c r="Q185" s="332">
        <f>IFERROR(VLOOKUP(TEXT(O185,"0"),CONDUCTORES!$A$3:$H$54,6,0),"")</f>
        <v/>
      </c>
      <c r="R185" s="334" t="n"/>
      <c r="S185" s="334" t="n"/>
      <c r="T185" s="334" t="n"/>
      <c r="U185" s="334" t="n"/>
      <c r="V185" s="334" t="n"/>
      <c r="W185" s="334" t="n"/>
      <c r="X185" s="334" t="n"/>
      <c r="Y185" s="334" t="n"/>
      <c r="Z185" s="375">
        <f>IF(AND(G185&lt;&gt;"",R185&lt;&gt;"",V185&lt;&gt;"",W185&lt;&gt;""),"COMPLETADO","OBSERVADO")</f>
        <v/>
      </c>
    </row>
    <row r="186" ht="15" customHeight="1" s="195">
      <c r="A186" s="280" t="n"/>
      <c r="B186" s="280" t="n"/>
      <c r="C186" s="280" t="n"/>
      <c r="D186" s="280" t="n"/>
      <c r="E186" s="280" t="n"/>
      <c r="F186" s="280" t="n"/>
      <c r="G186" s="280" t="n"/>
      <c r="H186" s="280" t="n"/>
      <c r="I186" s="332">
        <f>IFERROR(VLOOKUP(TEXT(H186,"0"),IPRESS!$A$3:$B$212,2,0),"")</f>
        <v/>
      </c>
      <c r="J186" s="280" t="n"/>
      <c r="K186" s="332">
        <f>IFERROR(VLOOKUP(TEXT(O186,"0"),CONDUCTORES!$A$3:$G$54,7,0),"")</f>
        <v/>
      </c>
      <c r="L186" s="280" t="n"/>
      <c r="M186" s="280" t="n"/>
      <c r="N186" s="333">
        <f>IFERROR(IF(L186*M186=0,"",L186*M186),"")</f>
        <v/>
      </c>
      <c r="O186" s="280" t="n"/>
      <c r="P186" s="332">
        <f>IFERROR(VLOOKUP(TEXT(O186,"0"),CONDUCTORES!$A$3:$G$54,2,0),"")</f>
        <v/>
      </c>
      <c r="Q186" s="332">
        <f>IFERROR(VLOOKUP(TEXT(O186,"0"),CONDUCTORES!$A$3:$H$54,6,0),"")</f>
        <v/>
      </c>
      <c r="R186" s="280" t="n"/>
      <c r="S186" s="280" t="n"/>
      <c r="T186" s="280" t="n"/>
      <c r="U186" s="280" t="n"/>
      <c r="V186" s="280" t="n"/>
      <c r="W186" s="280" t="n"/>
      <c r="X186" s="280" t="n"/>
      <c r="Y186" s="280" t="n"/>
      <c r="Z186" s="375">
        <f>IF(AND(G186&lt;&gt;"",R186&lt;&gt;"",V186&lt;&gt;"",W186&lt;&gt;""),"COMPLETADO","OBSERVADO")</f>
        <v/>
      </c>
    </row>
    <row r="187" ht="15" customHeight="1" s="195">
      <c r="A187" s="334" t="n"/>
      <c r="B187" s="334" t="n"/>
      <c r="C187" s="334" t="n"/>
      <c r="D187" s="334" t="n"/>
      <c r="E187" s="334" t="n"/>
      <c r="F187" s="334" t="n"/>
      <c r="G187" s="334" t="n"/>
      <c r="H187" s="334" t="n"/>
      <c r="I187" s="332">
        <f>IFERROR(VLOOKUP(TEXT(H187,"0"),IPRESS!$A$3:$B$212,2,0),"")</f>
        <v/>
      </c>
      <c r="J187" s="334" t="n"/>
      <c r="K187" s="332">
        <f>IFERROR(VLOOKUP(TEXT(O187,"0"),CONDUCTORES!$A$3:$G$54,7,0),"")</f>
        <v/>
      </c>
      <c r="L187" s="334" t="n"/>
      <c r="M187" s="334" t="n"/>
      <c r="N187" s="333">
        <f>IFERROR(IF(L187*M187=0,"",L187*M187),"")</f>
        <v/>
      </c>
      <c r="O187" s="334" t="n"/>
      <c r="P187" s="332">
        <f>IFERROR(VLOOKUP(TEXT(O187,"0"),CONDUCTORES!$A$3:$G$54,2,0),"")</f>
        <v/>
      </c>
      <c r="Q187" s="332">
        <f>IFERROR(VLOOKUP(TEXT(O187,"0"),CONDUCTORES!$A$3:$H$54,6,0),"")</f>
        <v/>
      </c>
      <c r="R187" s="334" t="n"/>
      <c r="S187" s="334" t="n"/>
      <c r="T187" s="334" t="n"/>
      <c r="U187" s="334" t="n"/>
      <c r="V187" s="334" t="n"/>
      <c r="W187" s="334" t="n"/>
      <c r="X187" s="334" t="n"/>
      <c r="Y187" s="334" t="n"/>
      <c r="Z187" s="375">
        <f>IF(AND(G187&lt;&gt;"",R187&lt;&gt;"",V187&lt;&gt;"",W187&lt;&gt;""),"COMPLETADO","OBSERVADO")</f>
        <v/>
      </c>
    </row>
    <row r="188" ht="15" customHeight="1" s="195">
      <c r="A188" s="280" t="n"/>
      <c r="B188" s="280" t="n"/>
      <c r="C188" s="280" t="n"/>
      <c r="D188" s="280" t="n"/>
      <c r="E188" s="280" t="n"/>
      <c r="F188" s="280" t="n"/>
      <c r="G188" s="280" t="n"/>
      <c r="H188" s="280" t="n"/>
      <c r="I188" s="332">
        <f>IFERROR(VLOOKUP(TEXT(H188,"0"),IPRESS!$A$3:$B$212,2,0),"")</f>
        <v/>
      </c>
      <c r="J188" s="280" t="n"/>
      <c r="K188" s="332">
        <f>IFERROR(VLOOKUP(TEXT(O188,"0"),CONDUCTORES!$A$3:$G$54,7,0),"")</f>
        <v/>
      </c>
      <c r="L188" s="280" t="n"/>
      <c r="M188" s="280" t="n"/>
      <c r="N188" s="333">
        <f>IFERROR(IF(L188*M188=0,"",L188*M188),"")</f>
        <v/>
      </c>
      <c r="O188" s="280" t="n"/>
      <c r="P188" s="332">
        <f>IFERROR(VLOOKUP(TEXT(O188,"0"),CONDUCTORES!$A$3:$G$54,2,0),"")</f>
        <v/>
      </c>
      <c r="Q188" s="332">
        <f>IFERROR(VLOOKUP(TEXT(O188,"0"),CONDUCTORES!$A$3:$H$54,6,0),"")</f>
        <v/>
      </c>
      <c r="R188" s="280" t="n"/>
      <c r="S188" s="280" t="n"/>
      <c r="T188" s="280" t="n"/>
      <c r="U188" s="280" t="n"/>
      <c r="V188" s="280" t="n"/>
      <c r="W188" s="280" t="n"/>
      <c r="X188" s="280" t="n"/>
      <c r="Y188" s="280" t="n"/>
      <c r="Z188" s="375">
        <f>IF(AND(G188&lt;&gt;"",R188&lt;&gt;"",V188&lt;&gt;"",W188&lt;&gt;""),"COMPLETADO","OBSERVADO")</f>
        <v/>
      </c>
    </row>
    <row r="189" ht="15" customHeight="1" s="195">
      <c r="A189" s="334" t="n"/>
      <c r="B189" s="334" t="n"/>
      <c r="C189" s="334" t="n"/>
      <c r="D189" s="334" t="n"/>
      <c r="E189" s="334" t="n"/>
      <c r="F189" s="334" t="n"/>
      <c r="G189" s="334" t="n"/>
      <c r="H189" s="334" t="n"/>
      <c r="I189" s="332">
        <f>IFERROR(VLOOKUP(TEXT(H189,"0"),IPRESS!$A$3:$B$212,2,0),"")</f>
        <v/>
      </c>
      <c r="J189" s="334" t="n"/>
      <c r="K189" s="332">
        <f>IFERROR(VLOOKUP(TEXT(O189,"0"),CONDUCTORES!$A$3:$G$54,7,0),"")</f>
        <v/>
      </c>
      <c r="L189" s="334" t="n"/>
      <c r="M189" s="334" t="n"/>
      <c r="N189" s="333">
        <f>IFERROR(IF(L189*M189=0,"",L189*M189),"")</f>
        <v/>
      </c>
      <c r="O189" s="334" t="n"/>
      <c r="P189" s="332">
        <f>IFERROR(VLOOKUP(TEXT(O189,"0"),CONDUCTORES!$A$3:$G$54,2,0),"")</f>
        <v/>
      </c>
      <c r="Q189" s="332">
        <f>IFERROR(VLOOKUP(TEXT(O189,"0"),CONDUCTORES!$A$3:$H$54,6,0),"")</f>
        <v/>
      </c>
      <c r="R189" s="334" t="n"/>
      <c r="S189" s="334" t="n"/>
      <c r="T189" s="334" t="n"/>
      <c r="U189" s="334" t="n"/>
      <c r="V189" s="334" t="n"/>
      <c r="W189" s="334" t="n"/>
      <c r="X189" s="334" t="n"/>
      <c r="Y189" s="334" t="n"/>
      <c r="Z189" s="375">
        <f>IF(AND(G189&lt;&gt;"",R189&lt;&gt;"",V189&lt;&gt;"",W189&lt;&gt;""),"COMPLETADO","OBSERVADO")</f>
        <v/>
      </c>
    </row>
    <row r="190" ht="15" customHeight="1" s="195">
      <c r="A190" s="280" t="n"/>
      <c r="B190" s="280" t="n"/>
      <c r="C190" s="280" t="n"/>
      <c r="D190" s="280" t="n"/>
      <c r="E190" s="280" t="n"/>
      <c r="F190" s="280" t="n"/>
      <c r="G190" s="280" t="n"/>
      <c r="H190" s="280" t="n"/>
      <c r="I190" s="332">
        <f>IFERROR(VLOOKUP(TEXT(H190,"0"),IPRESS!$A$3:$B$212,2,0),"")</f>
        <v/>
      </c>
      <c r="J190" s="280" t="n"/>
      <c r="K190" s="332">
        <f>IFERROR(VLOOKUP(TEXT(O190,"0"),CONDUCTORES!$A$3:$G$54,7,0),"")</f>
        <v/>
      </c>
      <c r="L190" s="280" t="n"/>
      <c r="M190" s="280" t="n"/>
      <c r="N190" s="333">
        <f>IFERROR(IF(L190*M190=0,"",L190*M190),"")</f>
        <v/>
      </c>
      <c r="O190" s="280" t="n"/>
      <c r="P190" s="332">
        <f>IFERROR(VLOOKUP(TEXT(O190,"0"),CONDUCTORES!$A$3:$G$54,2,0),"")</f>
        <v/>
      </c>
      <c r="Q190" s="332">
        <f>IFERROR(VLOOKUP(TEXT(O190,"0"),CONDUCTORES!$A$3:$H$54,6,0),"")</f>
        <v/>
      </c>
      <c r="R190" s="280" t="n"/>
      <c r="S190" s="280" t="n"/>
      <c r="T190" s="280" t="n"/>
      <c r="U190" s="280" t="n"/>
      <c r="V190" s="280" t="n"/>
      <c r="W190" s="280" t="n"/>
      <c r="X190" s="280" t="n"/>
      <c r="Y190" s="280" t="n"/>
      <c r="Z190" s="375">
        <f>IF(AND(G190&lt;&gt;"",R190&lt;&gt;"",V190&lt;&gt;"",W190&lt;&gt;""),"COMPLETADO","OBSERVADO")</f>
        <v/>
      </c>
    </row>
    <row r="191" ht="15" customHeight="1" s="195">
      <c r="A191" s="334" t="n"/>
      <c r="B191" s="334" t="n"/>
      <c r="C191" s="334" t="n"/>
      <c r="D191" s="334" t="n"/>
      <c r="E191" s="334" t="n"/>
      <c r="F191" s="334" t="n"/>
      <c r="G191" s="334" t="n"/>
      <c r="H191" s="334" t="n"/>
      <c r="I191" s="332">
        <f>IFERROR(VLOOKUP(TEXT(H191,"0"),IPRESS!$A$3:$B$212,2,0),"")</f>
        <v/>
      </c>
      <c r="J191" s="334" t="n"/>
      <c r="K191" s="332">
        <f>IFERROR(VLOOKUP(TEXT(O191,"0"),CONDUCTORES!$A$3:$G$54,7,0),"")</f>
        <v/>
      </c>
      <c r="L191" s="334" t="n"/>
      <c r="M191" s="334" t="n"/>
      <c r="N191" s="333">
        <f>IFERROR(IF(L191*M191=0,"",L191*M191),"")</f>
        <v/>
      </c>
      <c r="O191" s="334" t="n"/>
      <c r="P191" s="332">
        <f>IFERROR(VLOOKUP(TEXT(O191,"0"),CONDUCTORES!$A$3:$G$54,2,0),"")</f>
        <v/>
      </c>
      <c r="Q191" s="332">
        <f>IFERROR(VLOOKUP(TEXT(O191,"0"),CONDUCTORES!$A$3:$H$54,6,0),"")</f>
        <v/>
      </c>
      <c r="R191" s="334" t="n"/>
      <c r="S191" s="334" t="n"/>
      <c r="T191" s="334" t="n"/>
      <c r="U191" s="334" t="n"/>
      <c r="V191" s="334" t="n"/>
      <c r="W191" s="334" t="n"/>
      <c r="X191" s="334" t="n"/>
      <c r="Y191" s="334" t="n"/>
      <c r="Z191" s="375">
        <f>IF(AND(G191&lt;&gt;"",R191&lt;&gt;"",V191&lt;&gt;"",W191&lt;&gt;""),"COMPLETADO","OBSERVADO")</f>
        <v/>
      </c>
    </row>
    <row r="192" ht="15" customHeight="1" s="195">
      <c r="A192" s="280" t="n"/>
      <c r="B192" s="280" t="n"/>
      <c r="C192" s="280" t="n"/>
      <c r="D192" s="280" t="n"/>
      <c r="E192" s="280" t="n"/>
      <c r="F192" s="280" t="n"/>
      <c r="G192" s="280" t="n"/>
      <c r="H192" s="280" t="n"/>
      <c r="I192" s="332">
        <f>IFERROR(VLOOKUP(TEXT(H192,"0"),IPRESS!$A$3:$B$212,2,0),"")</f>
        <v/>
      </c>
      <c r="J192" s="280" t="n"/>
      <c r="K192" s="332">
        <f>IFERROR(VLOOKUP(TEXT(O192,"0"),CONDUCTORES!$A$3:$G$54,7,0),"")</f>
        <v/>
      </c>
      <c r="L192" s="280" t="n"/>
      <c r="M192" s="280" t="n"/>
      <c r="N192" s="333">
        <f>IFERROR(IF(L192*M192=0,"",L192*M192),"")</f>
        <v/>
      </c>
      <c r="O192" s="280" t="n"/>
      <c r="P192" s="332">
        <f>IFERROR(VLOOKUP(TEXT(O192,"0"),CONDUCTORES!$A$3:$G$54,2,0),"")</f>
        <v/>
      </c>
      <c r="Q192" s="332">
        <f>IFERROR(VLOOKUP(TEXT(O192,"0"),CONDUCTORES!$A$3:$H$54,6,0),"")</f>
        <v/>
      </c>
      <c r="R192" s="280" t="n"/>
      <c r="S192" s="280" t="n"/>
      <c r="T192" s="280" t="n"/>
      <c r="U192" s="280" t="n"/>
      <c r="V192" s="280" t="n"/>
      <c r="W192" s="280" t="n"/>
      <c r="X192" s="280" t="n"/>
      <c r="Y192" s="280" t="n"/>
      <c r="Z192" s="375">
        <f>IF(AND(G192&lt;&gt;"",R192&lt;&gt;"",V192&lt;&gt;"",W192&lt;&gt;""),"COMPLETADO","OBSERVADO")</f>
        <v/>
      </c>
    </row>
    <row r="193" ht="15" customHeight="1" s="195">
      <c r="A193" s="334" t="n"/>
      <c r="B193" s="334" t="n"/>
      <c r="C193" s="334" t="n"/>
      <c r="D193" s="334" t="n"/>
      <c r="E193" s="334" t="n"/>
      <c r="F193" s="334" t="n"/>
      <c r="G193" s="334" t="n"/>
      <c r="H193" s="334" t="n"/>
      <c r="I193" s="332">
        <f>IFERROR(VLOOKUP(TEXT(H193,"0"),IPRESS!$A$3:$B$212,2,0),"")</f>
        <v/>
      </c>
      <c r="J193" s="334" t="n"/>
      <c r="K193" s="332">
        <f>IFERROR(VLOOKUP(TEXT(O193,"0"),CONDUCTORES!$A$3:$G$54,7,0),"")</f>
        <v/>
      </c>
      <c r="L193" s="334" t="n"/>
      <c r="M193" s="334" t="n"/>
      <c r="N193" s="333">
        <f>IFERROR(IF(L193*M193=0,"",L193*M193),"")</f>
        <v/>
      </c>
      <c r="O193" s="334" t="n"/>
      <c r="P193" s="332">
        <f>IFERROR(VLOOKUP(TEXT(O193,"0"),CONDUCTORES!$A$3:$G$54,2,0),"")</f>
        <v/>
      </c>
      <c r="Q193" s="332">
        <f>IFERROR(VLOOKUP(TEXT(O193,"0"),CONDUCTORES!$A$3:$H$54,6,0),"")</f>
        <v/>
      </c>
      <c r="R193" s="334" t="n"/>
      <c r="S193" s="334" t="n"/>
      <c r="T193" s="334" t="n"/>
      <c r="U193" s="334" t="n"/>
      <c r="V193" s="334" t="n"/>
      <c r="W193" s="334" t="n"/>
      <c r="X193" s="334" t="n"/>
      <c r="Y193" s="334" t="n"/>
      <c r="Z193" s="375">
        <f>IF(AND(G193&lt;&gt;"",R193&lt;&gt;"",V193&lt;&gt;"",W193&lt;&gt;""),"COMPLETADO","OBSERVADO")</f>
        <v/>
      </c>
    </row>
    <row r="194" ht="15" customHeight="1" s="195">
      <c r="A194" s="280" t="n"/>
      <c r="B194" s="280" t="n"/>
      <c r="C194" s="280" t="n"/>
      <c r="D194" s="280" t="n"/>
      <c r="E194" s="280" t="n"/>
      <c r="F194" s="280" t="n"/>
      <c r="G194" s="280" t="n"/>
      <c r="H194" s="280" t="n"/>
      <c r="I194" s="332">
        <f>IFERROR(VLOOKUP(TEXT(H194,"0"),IPRESS!$A$3:$B$212,2,0),"")</f>
        <v/>
      </c>
      <c r="J194" s="280" t="n"/>
      <c r="K194" s="332">
        <f>IFERROR(VLOOKUP(TEXT(O194,"0"),CONDUCTORES!$A$3:$G$54,7,0),"")</f>
        <v/>
      </c>
      <c r="L194" s="280" t="n"/>
      <c r="M194" s="280" t="n"/>
      <c r="N194" s="333">
        <f>IFERROR(IF(L194*M194=0,"",L194*M194),"")</f>
        <v/>
      </c>
      <c r="O194" s="280" t="n"/>
      <c r="P194" s="332">
        <f>IFERROR(VLOOKUP(TEXT(O194,"0"),CONDUCTORES!$A$3:$G$54,2,0),"")</f>
        <v/>
      </c>
      <c r="Q194" s="332">
        <f>IFERROR(VLOOKUP(TEXT(O194,"0"),CONDUCTORES!$A$3:$H$54,6,0),"")</f>
        <v/>
      </c>
      <c r="R194" s="280" t="n"/>
      <c r="S194" s="280" t="n"/>
      <c r="T194" s="280" t="n"/>
      <c r="U194" s="280" t="n"/>
      <c r="V194" s="280" t="n"/>
      <c r="W194" s="280" t="n"/>
      <c r="X194" s="280" t="n"/>
      <c r="Y194" s="280" t="n"/>
      <c r="Z194" s="375">
        <f>IF(AND(G194&lt;&gt;"",R194&lt;&gt;"",V194&lt;&gt;"",W194&lt;&gt;""),"COMPLETADO","OBSERVADO")</f>
        <v/>
      </c>
    </row>
    <row r="195" ht="15" customHeight="1" s="195">
      <c r="A195" s="334" t="n"/>
      <c r="B195" s="334" t="n"/>
      <c r="C195" s="334" t="n"/>
      <c r="D195" s="334" t="n"/>
      <c r="E195" s="334" t="n"/>
      <c r="F195" s="334" t="n"/>
      <c r="G195" s="334" t="n"/>
      <c r="H195" s="334" t="n"/>
      <c r="I195" s="332">
        <f>IFERROR(VLOOKUP(TEXT(H195,"0"),IPRESS!$A$3:$B$212,2,0),"")</f>
        <v/>
      </c>
      <c r="J195" s="334" t="n"/>
      <c r="K195" s="332">
        <f>IFERROR(VLOOKUP(TEXT(O195,"0"),CONDUCTORES!$A$3:$G$54,7,0),"")</f>
        <v/>
      </c>
      <c r="L195" s="334" t="n"/>
      <c r="M195" s="334" t="n"/>
      <c r="N195" s="333">
        <f>IFERROR(IF(L195*M195=0,"",L195*M195),"")</f>
        <v/>
      </c>
      <c r="O195" s="334" t="n"/>
      <c r="P195" s="332">
        <f>IFERROR(VLOOKUP(TEXT(O195,"0"),CONDUCTORES!$A$3:$G$54,2,0),"")</f>
        <v/>
      </c>
      <c r="Q195" s="332">
        <f>IFERROR(VLOOKUP(TEXT(O195,"0"),CONDUCTORES!$A$3:$H$54,6,0),"")</f>
        <v/>
      </c>
      <c r="R195" s="334" t="n"/>
      <c r="S195" s="334" t="n"/>
      <c r="T195" s="334" t="n"/>
      <c r="U195" s="334" t="n"/>
      <c r="V195" s="334" t="n"/>
      <c r="W195" s="334" t="n"/>
      <c r="X195" s="334" t="n"/>
      <c r="Y195" s="334" t="n"/>
      <c r="Z195" s="375">
        <f>IF(AND(G195&lt;&gt;"",R195&lt;&gt;"",V195&lt;&gt;"",W195&lt;&gt;""),"COMPLETADO","OBSERVADO")</f>
        <v/>
      </c>
    </row>
    <row r="196" ht="15" customHeight="1" s="195">
      <c r="A196" s="280" t="n"/>
      <c r="B196" s="280" t="n"/>
      <c r="C196" s="280" t="n"/>
      <c r="D196" s="280" t="n"/>
      <c r="E196" s="280" t="n"/>
      <c r="F196" s="280" t="n"/>
      <c r="G196" s="280" t="n"/>
      <c r="H196" s="280" t="n"/>
      <c r="I196" s="332">
        <f>IFERROR(VLOOKUP(TEXT(H196,"0"),IPRESS!$A$3:$B$212,2,0),"")</f>
        <v/>
      </c>
      <c r="J196" s="280" t="n"/>
      <c r="K196" s="332">
        <f>IFERROR(VLOOKUP(TEXT(O196,"0"),CONDUCTORES!$A$3:$G$54,7,0),"")</f>
        <v/>
      </c>
      <c r="L196" s="280" t="n"/>
      <c r="M196" s="280" t="n"/>
      <c r="N196" s="333">
        <f>IFERROR(IF(L196*M196=0,"",L196*M196),"")</f>
        <v/>
      </c>
      <c r="O196" s="280" t="n"/>
      <c r="P196" s="332">
        <f>IFERROR(VLOOKUP(TEXT(O196,"0"),CONDUCTORES!$A$3:$G$54,2,0),"")</f>
        <v/>
      </c>
      <c r="Q196" s="332">
        <f>IFERROR(VLOOKUP(TEXT(O196,"0"),CONDUCTORES!$A$3:$H$54,6,0),"")</f>
        <v/>
      </c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375">
        <f>IF(AND(G196&lt;&gt;"",R196&lt;&gt;"",V196&lt;&gt;"",W196&lt;&gt;""),"COMPLETADO","OBSERVADO")</f>
        <v/>
      </c>
    </row>
    <row r="197" ht="15" customHeight="1" s="195">
      <c r="A197" s="334" t="n"/>
      <c r="B197" s="334" t="n"/>
      <c r="C197" s="334" t="n"/>
      <c r="D197" s="334" t="n"/>
      <c r="E197" s="334" t="n"/>
      <c r="F197" s="334" t="n"/>
      <c r="G197" s="334" t="n"/>
      <c r="H197" s="334" t="n"/>
      <c r="I197" s="332">
        <f>IFERROR(VLOOKUP(TEXT(H197,"0"),IPRESS!$A$3:$B$212,2,0),"")</f>
        <v/>
      </c>
      <c r="J197" s="334" t="n"/>
      <c r="K197" s="332">
        <f>IFERROR(VLOOKUP(TEXT(O197,"0"),CONDUCTORES!$A$3:$G$54,7,0),"")</f>
        <v/>
      </c>
      <c r="L197" s="334" t="n"/>
      <c r="M197" s="334" t="n"/>
      <c r="N197" s="333">
        <f>IFERROR(IF(L197*M197=0,"",L197*M197),"")</f>
        <v/>
      </c>
      <c r="O197" s="334" t="n"/>
      <c r="P197" s="332">
        <f>IFERROR(VLOOKUP(TEXT(O197,"0"),CONDUCTORES!$A$3:$G$54,2,0),"")</f>
        <v/>
      </c>
      <c r="Q197" s="332">
        <f>IFERROR(VLOOKUP(TEXT(O197,"0"),CONDUCTORES!$A$3:$H$54,6,0),"")</f>
        <v/>
      </c>
      <c r="R197" s="334" t="n"/>
      <c r="S197" s="334" t="n"/>
      <c r="T197" s="334" t="n"/>
      <c r="U197" s="334" t="n"/>
      <c r="V197" s="334" t="n"/>
      <c r="W197" s="334" t="n"/>
      <c r="X197" s="334" t="n"/>
      <c r="Y197" s="334" t="n"/>
      <c r="Z197" s="375">
        <f>IF(AND(G197&lt;&gt;"",R197&lt;&gt;"",V197&lt;&gt;"",W197&lt;&gt;""),"COMPLETADO","OBSERVADO")</f>
        <v/>
      </c>
    </row>
    <row r="198" ht="15" customHeight="1" s="195">
      <c r="A198" s="280" t="n"/>
      <c r="B198" s="280" t="n"/>
      <c r="C198" s="280" t="n"/>
      <c r="D198" s="280" t="n"/>
      <c r="E198" s="280" t="n"/>
      <c r="F198" s="280" t="n"/>
      <c r="G198" s="280" t="n"/>
      <c r="H198" s="280" t="n"/>
      <c r="I198" s="332">
        <f>IFERROR(VLOOKUP(TEXT(H198,"0"),IPRESS!$A$3:$B$212,2,0),"")</f>
        <v/>
      </c>
      <c r="J198" s="280" t="n"/>
      <c r="K198" s="332">
        <f>IFERROR(VLOOKUP(TEXT(O198,"0"),CONDUCTORES!$A$3:$G$54,7,0),"")</f>
        <v/>
      </c>
      <c r="L198" s="280" t="n"/>
      <c r="M198" s="280" t="n"/>
      <c r="N198" s="333">
        <f>IFERROR(IF(L198*M198=0,"",L198*M198),"")</f>
        <v/>
      </c>
      <c r="O198" s="280" t="n"/>
      <c r="P198" s="332">
        <f>IFERROR(VLOOKUP(TEXT(O198,"0"),CONDUCTORES!$A$3:$G$54,2,0),"")</f>
        <v/>
      </c>
      <c r="Q198" s="332">
        <f>IFERROR(VLOOKUP(TEXT(O198,"0"),CONDUCTORES!$A$3:$H$54,6,0),"")</f>
        <v/>
      </c>
      <c r="R198" s="280" t="n"/>
      <c r="S198" s="280" t="n"/>
      <c r="T198" s="280" t="n"/>
      <c r="U198" s="280" t="n"/>
      <c r="V198" s="280" t="n"/>
      <c r="W198" s="280" t="n"/>
      <c r="X198" s="280" t="n"/>
      <c r="Y198" s="280" t="n"/>
      <c r="Z198" s="375">
        <f>IF(AND(G198&lt;&gt;"",R198&lt;&gt;"",V198&lt;&gt;"",W198&lt;&gt;""),"COMPLETADO","OBSERVADO")</f>
        <v/>
      </c>
    </row>
    <row r="199" ht="15" customHeight="1" s="195">
      <c r="A199" s="334" t="n"/>
      <c r="B199" s="334" t="n"/>
      <c r="C199" s="334" t="n"/>
      <c r="D199" s="334" t="n"/>
      <c r="E199" s="334" t="n"/>
      <c r="F199" s="334" t="n"/>
      <c r="G199" s="334" t="n"/>
      <c r="H199" s="334" t="n"/>
      <c r="I199" s="332">
        <f>IFERROR(VLOOKUP(TEXT(H199,"0"),IPRESS!$A$3:$B$212,2,0),"")</f>
        <v/>
      </c>
      <c r="J199" s="334" t="n"/>
      <c r="K199" s="332">
        <f>IFERROR(VLOOKUP(TEXT(O199,"0"),CONDUCTORES!$A$3:$G$54,7,0),"")</f>
        <v/>
      </c>
      <c r="L199" s="334" t="n"/>
      <c r="M199" s="334" t="n"/>
      <c r="N199" s="333">
        <f>IFERROR(IF(L199*M199=0,"",L199*M199),"")</f>
        <v/>
      </c>
      <c r="O199" s="334" t="n"/>
      <c r="P199" s="332">
        <f>IFERROR(VLOOKUP(TEXT(O199,"0"),CONDUCTORES!$A$3:$G$54,2,0),"")</f>
        <v/>
      </c>
      <c r="Q199" s="332">
        <f>IFERROR(VLOOKUP(TEXT(O199,"0"),CONDUCTORES!$A$3:$H$54,6,0),"")</f>
        <v/>
      </c>
      <c r="R199" s="334" t="n"/>
      <c r="S199" s="334" t="n"/>
      <c r="T199" s="334" t="n"/>
      <c r="U199" s="334" t="n"/>
      <c r="V199" s="334" t="n"/>
      <c r="W199" s="334" t="n"/>
      <c r="X199" s="334" t="n"/>
      <c r="Y199" s="334" t="n"/>
      <c r="Z199" s="375">
        <f>IF(AND(G199&lt;&gt;"",R199&lt;&gt;"",V199&lt;&gt;"",W199&lt;&gt;""),"COMPLETADO","OBSERVADO")</f>
        <v/>
      </c>
    </row>
    <row r="200" ht="15" customHeight="1" s="195">
      <c r="A200" s="280" t="n"/>
      <c r="B200" s="280" t="n"/>
      <c r="C200" s="280" t="n"/>
      <c r="D200" s="280" t="n"/>
      <c r="E200" s="280" t="n"/>
      <c r="F200" s="280" t="n"/>
      <c r="G200" s="280" t="n"/>
      <c r="H200" s="280" t="n"/>
      <c r="I200" s="332">
        <f>IFERROR(VLOOKUP(TEXT(H200,"0"),IPRESS!$A$3:$B$212,2,0),"")</f>
        <v/>
      </c>
      <c r="J200" s="280" t="n"/>
      <c r="K200" s="332">
        <f>IFERROR(VLOOKUP(TEXT(O200,"0"),CONDUCTORES!$A$3:$G$54,7,0),"")</f>
        <v/>
      </c>
      <c r="L200" s="280" t="n"/>
      <c r="M200" s="280" t="n"/>
      <c r="N200" s="333">
        <f>IFERROR(IF(L200*M200=0,"",L200*M200),"")</f>
        <v/>
      </c>
      <c r="O200" s="280" t="n"/>
      <c r="P200" s="332">
        <f>IFERROR(VLOOKUP(TEXT(O200,"0"),CONDUCTORES!$A$3:$G$54,2,0),"")</f>
        <v/>
      </c>
      <c r="Q200" s="332">
        <f>IFERROR(VLOOKUP(TEXT(O200,"0"),CONDUCTORES!$A$3:$H$54,6,0),"")</f>
        <v/>
      </c>
      <c r="R200" s="280" t="n"/>
      <c r="S200" s="280" t="n"/>
      <c r="T200" s="280" t="n"/>
      <c r="U200" s="280" t="n"/>
      <c r="V200" s="280" t="n"/>
      <c r="W200" s="280" t="n"/>
      <c r="X200" s="280" t="n"/>
      <c r="Y200" s="280" t="n"/>
      <c r="Z200" s="375">
        <f>IF(AND(G200&lt;&gt;"",R200&lt;&gt;"",V200&lt;&gt;"",W200&lt;&gt;""),"COMPLETADO","OBSERVADO")</f>
        <v/>
      </c>
    </row>
    <row r="201" ht="15" customHeight="1" s="195">
      <c r="A201" s="334" t="n"/>
      <c r="B201" s="334" t="n"/>
      <c r="C201" s="334" t="n"/>
      <c r="D201" s="334" t="n"/>
      <c r="E201" s="334" t="n"/>
      <c r="F201" s="334" t="n"/>
      <c r="G201" s="334" t="n"/>
      <c r="H201" s="334" t="n"/>
      <c r="I201" s="332">
        <f>IFERROR(VLOOKUP(TEXT(H201,"0"),IPRESS!$A$3:$B$212,2,0),"")</f>
        <v/>
      </c>
      <c r="J201" s="334" t="n"/>
      <c r="K201" s="332">
        <f>IFERROR(VLOOKUP(TEXT(O201,"0"),CONDUCTORES!$A$3:$G$54,7,0),"")</f>
        <v/>
      </c>
      <c r="L201" s="334" t="n"/>
      <c r="M201" s="334" t="n"/>
      <c r="N201" s="333">
        <f>IFERROR(IF(L201*M201=0,"",L201*M201),"")</f>
        <v/>
      </c>
      <c r="O201" s="334" t="n"/>
      <c r="P201" s="332">
        <f>IFERROR(VLOOKUP(TEXT(O201,"0"),CONDUCTORES!$A$3:$G$54,2,0),"")</f>
        <v/>
      </c>
      <c r="Q201" s="332">
        <f>IFERROR(VLOOKUP(TEXT(O201,"0"),CONDUCTORES!$A$3:$H$54,6,0),"")</f>
        <v/>
      </c>
      <c r="R201" s="334" t="n"/>
      <c r="S201" s="334" t="n"/>
      <c r="T201" s="334" t="n"/>
      <c r="U201" s="334" t="n"/>
      <c r="V201" s="334" t="n"/>
      <c r="W201" s="334" t="n"/>
      <c r="X201" s="334" t="n"/>
      <c r="Y201" s="334" t="n"/>
      <c r="Z201" s="375">
        <f>IF(AND(G201&lt;&gt;"",R201&lt;&gt;"",V201&lt;&gt;"",W201&lt;&gt;""),"COMPLETADO","OBSERVADO")</f>
        <v/>
      </c>
    </row>
    <row r="202" ht="15" customHeight="1" s="195">
      <c r="A202" s="280" t="n"/>
      <c r="B202" s="280" t="n"/>
      <c r="C202" s="280" t="n"/>
      <c r="D202" s="280" t="n"/>
      <c r="E202" s="280" t="n"/>
      <c r="F202" s="280" t="n"/>
      <c r="G202" s="280" t="n"/>
      <c r="H202" s="280" t="n"/>
      <c r="I202" s="332">
        <f>IFERROR(VLOOKUP(TEXT(H202,"0"),IPRESS!$A$3:$B$212,2,0),"")</f>
        <v/>
      </c>
      <c r="J202" s="280" t="n"/>
      <c r="K202" s="332">
        <f>IFERROR(VLOOKUP(TEXT(O202,"0"),CONDUCTORES!$A$3:$G$54,7,0),"")</f>
        <v/>
      </c>
      <c r="L202" s="280" t="n"/>
      <c r="M202" s="280" t="n"/>
      <c r="N202" s="333">
        <f>IFERROR(IF(L202*M202=0,"",L202*M202),"")</f>
        <v/>
      </c>
      <c r="O202" s="280" t="n"/>
      <c r="P202" s="332">
        <f>IFERROR(VLOOKUP(TEXT(O202,"0"),CONDUCTORES!$A$3:$G$54,2,0),"")</f>
        <v/>
      </c>
      <c r="Q202" s="332">
        <f>IFERROR(VLOOKUP(TEXT(O202,"0"),CONDUCTORES!$A$3:$H$54,6,0),"")</f>
        <v/>
      </c>
      <c r="R202" s="280" t="n"/>
      <c r="S202" s="280" t="n"/>
      <c r="T202" s="280" t="n"/>
      <c r="U202" s="280" t="n"/>
      <c r="V202" s="280" t="n"/>
      <c r="W202" s="280" t="n"/>
      <c r="X202" s="280" t="n"/>
      <c r="Y202" s="280" t="n"/>
      <c r="Z202" s="375">
        <f>IF(AND(G202&lt;&gt;"",R202&lt;&gt;"",V202&lt;&gt;"",W202&lt;&gt;""),"COMPLETADO","OBSERVADO")</f>
        <v/>
      </c>
    </row>
    <row r="203" ht="15" customHeight="1" s="195">
      <c r="A203" s="334" t="n"/>
      <c r="B203" s="334" t="n"/>
      <c r="C203" s="334" t="n"/>
      <c r="D203" s="334" t="n"/>
      <c r="E203" s="334" t="n"/>
      <c r="F203" s="334" t="n"/>
      <c r="G203" s="334" t="n"/>
      <c r="H203" s="334" t="n"/>
      <c r="I203" s="332">
        <f>IFERROR(VLOOKUP(TEXT(H203,"0"),IPRESS!$A$3:$B$212,2,0),"")</f>
        <v/>
      </c>
      <c r="J203" s="334" t="n"/>
      <c r="K203" s="332">
        <f>IFERROR(VLOOKUP(TEXT(O203,"0"),CONDUCTORES!$A$3:$G$54,7,0),"")</f>
        <v/>
      </c>
      <c r="L203" s="334" t="n"/>
      <c r="M203" s="334" t="n"/>
      <c r="N203" s="333">
        <f>IFERROR(IF(L203*M203=0,"",L203*M203),"")</f>
        <v/>
      </c>
      <c r="O203" s="334" t="n"/>
      <c r="P203" s="332">
        <f>IFERROR(VLOOKUP(TEXT(O203,"0"),CONDUCTORES!$A$3:$G$54,2,0),"")</f>
        <v/>
      </c>
      <c r="Q203" s="332">
        <f>IFERROR(VLOOKUP(TEXT(O203,"0"),CONDUCTORES!$A$3:$H$54,6,0),"")</f>
        <v/>
      </c>
      <c r="R203" s="334" t="n"/>
      <c r="S203" s="334" t="n"/>
      <c r="T203" s="334" t="n"/>
      <c r="U203" s="334" t="n"/>
      <c r="V203" s="334" t="n"/>
      <c r="W203" s="334" t="n"/>
      <c r="X203" s="334" t="n"/>
      <c r="Y203" s="334" t="n"/>
      <c r="Z203" s="375">
        <f>IF(AND(G203&lt;&gt;"",R203&lt;&gt;"",V203&lt;&gt;"",W203&lt;&gt;""),"COMPLETADO","OBSERVADO")</f>
        <v/>
      </c>
    </row>
    <row r="204" ht="15" customHeight="1" s="195">
      <c r="A204" s="280" t="n"/>
      <c r="B204" s="280" t="n"/>
      <c r="C204" s="280" t="n"/>
      <c r="D204" s="280" t="n"/>
      <c r="E204" s="280" t="n"/>
      <c r="F204" s="280" t="n"/>
      <c r="G204" s="280" t="n"/>
      <c r="H204" s="280" t="n"/>
      <c r="I204" s="332">
        <f>IFERROR(VLOOKUP(TEXT(H204,"0"),IPRESS!$A$3:$B$212,2,0),"")</f>
        <v/>
      </c>
      <c r="J204" s="280" t="n"/>
      <c r="K204" s="332">
        <f>IFERROR(VLOOKUP(TEXT(O204,"0"),CONDUCTORES!$A$3:$G$54,7,0),"")</f>
        <v/>
      </c>
      <c r="L204" s="280" t="n"/>
      <c r="M204" s="280" t="n"/>
      <c r="N204" s="333">
        <f>IFERROR(IF(L204*M204=0,"",L204*M204),"")</f>
        <v/>
      </c>
      <c r="O204" s="280" t="n"/>
      <c r="P204" s="332">
        <f>IFERROR(VLOOKUP(TEXT(O204,"0"),CONDUCTORES!$A$3:$G$54,2,0),"")</f>
        <v/>
      </c>
      <c r="Q204" s="332">
        <f>IFERROR(VLOOKUP(TEXT(O204,"0"),CONDUCTORES!$A$3:$H$54,6,0),"")</f>
        <v/>
      </c>
      <c r="R204" s="280" t="n"/>
      <c r="S204" s="280" t="n"/>
      <c r="T204" s="280" t="n"/>
      <c r="U204" s="280" t="n"/>
      <c r="V204" s="280" t="n"/>
      <c r="W204" s="280" t="n"/>
      <c r="X204" s="280" t="n"/>
      <c r="Y204" s="280" t="n"/>
      <c r="Z204" s="375">
        <f>IF(AND(G204&lt;&gt;"",R204&lt;&gt;"",V204&lt;&gt;"",W204&lt;&gt;""),"COMPLETADO","OBSERVADO")</f>
        <v/>
      </c>
    </row>
    <row r="205" ht="15" customHeight="1" s="195">
      <c r="A205" s="334" t="n"/>
      <c r="B205" s="334" t="n"/>
      <c r="C205" s="334" t="n"/>
      <c r="D205" s="334" t="n"/>
      <c r="E205" s="334" t="n"/>
      <c r="F205" s="334" t="n"/>
      <c r="G205" s="334" t="n"/>
      <c r="H205" s="334" t="n"/>
      <c r="I205" s="332">
        <f>IFERROR(VLOOKUP(TEXT(H205,"0"),IPRESS!$A$3:$B$212,2,0),"")</f>
        <v/>
      </c>
      <c r="J205" s="334" t="n"/>
      <c r="K205" s="332">
        <f>IFERROR(VLOOKUP(TEXT(O205,"0"),CONDUCTORES!$A$3:$G$54,7,0),"")</f>
        <v/>
      </c>
      <c r="L205" s="334" t="n"/>
      <c r="M205" s="334" t="n"/>
      <c r="N205" s="333">
        <f>IFERROR(IF(L205*M205=0,"",L205*M205),"")</f>
        <v/>
      </c>
      <c r="O205" s="334" t="n"/>
      <c r="P205" s="332">
        <f>IFERROR(VLOOKUP(TEXT(O205,"0"),CONDUCTORES!$A$3:$G$54,2,0),"")</f>
        <v/>
      </c>
      <c r="Q205" s="332">
        <f>IFERROR(VLOOKUP(TEXT(O205,"0"),CONDUCTORES!$A$3:$H$54,6,0),"")</f>
        <v/>
      </c>
      <c r="R205" s="334" t="n"/>
      <c r="S205" s="334" t="n"/>
      <c r="T205" s="334" t="n"/>
      <c r="U205" s="334" t="n"/>
      <c r="V205" s="334" t="n"/>
      <c r="W205" s="334" t="n"/>
      <c r="X205" s="334" t="n"/>
      <c r="Y205" s="334" t="n"/>
      <c r="Z205" s="375">
        <f>IF(AND(G205&lt;&gt;"",R205&lt;&gt;"",V205&lt;&gt;"",W205&lt;&gt;""),"COMPLETADO","OBSERVADO")</f>
        <v/>
      </c>
    </row>
    <row r="206" ht="15" customHeight="1" s="195">
      <c r="A206" s="280" t="n"/>
      <c r="B206" s="280" t="n"/>
      <c r="C206" s="280" t="n"/>
      <c r="D206" s="280" t="n"/>
      <c r="E206" s="280" t="n"/>
      <c r="F206" s="280" t="n"/>
      <c r="G206" s="280" t="n"/>
      <c r="H206" s="280" t="n"/>
      <c r="I206" s="332">
        <f>IFERROR(VLOOKUP(TEXT(H206,"0"),IPRESS!$A$3:$B$212,2,0),"")</f>
        <v/>
      </c>
      <c r="J206" s="280" t="n"/>
      <c r="K206" s="332">
        <f>IFERROR(VLOOKUP(TEXT(O206,"0"),CONDUCTORES!$A$3:$G$54,7,0),"")</f>
        <v/>
      </c>
      <c r="L206" s="280" t="n"/>
      <c r="M206" s="280" t="n"/>
      <c r="N206" s="333">
        <f>IFERROR(IF(L206*M206=0,"",L206*M206),"")</f>
        <v/>
      </c>
      <c r="O206" s="280" t="n"/>
      <c r="P206" s="332">
        <f>IFERROR(VLOOKUP(TEXT(O206,"0"),CONDUCTORES!$A$3:$G$54,2,0),"")</f>
        <v/>
      </c>
      <c r="Q206" s="332">
        <f>IFERROR(VLOOKUP(TEXT(O206,"0"),CONDUCTORES!$A$3:$H$54,6,0),"")</f>
        <v/>
      </c>
      <c r="R206" s="280" t="n"/>
      <c r="S206" s="280" t="n"/>
      <c r="T206" s="280" t="n"/>
      <c r="U206" s="280" t="n"/>
      <c r="V206" s="280" t="n"/>
      <c r="W206" s="280" t="n"/>
      <c r="X206" s="280" t="n"/>
      <c r="Y206" s="280" t="n"/>
      <c r="Z206" s="375">
        <f>IF(AND(G206&lt;&gt;"",R206&lt;&gt;"",V206&lt;&gt;"",W206&lt;&gt;""),"COMPLETADO","OBSERVADO")</f>
        <v/>
      </c>
    </row>
    <row r="207" ht="15" customHeight="1" s="195">
      <c r="A207" s="334" t="n"/>
      <c r="B207" s="334" t="n"/>
      <c r="C207" s="334" t="n"/>
      <c r="D207" s="334" t="n"/>
      <c r="E207" s="334" t="n"/>
      <c r="F207" s="334" t="n"/>
      <c r="G207" s="334" t="n"/>
      <c r="H207" s="334" t="n"/>
      <c r="I207" s="332">
        <f>IFERROR(VLOOKUP(TEXT(H207,"0"),IPRESS!$A$3:$B$212,2,0),"")</f>
        <v/>
      </c>
      <c r="J207" s="334" t="n"/>
      <c r="K207" s="332">
        <f>IFERROR(VLOOKUP(TEXT(O207,"0"),CONDUCTORES!$A$3:$G$54,7,0),"")</f>
        <v/>
      </c>
      <c r="L207" s="334" t="n"/>
      <c r="M207" s="334" t="n"/>
      <c r="N207" s="333">
        <f>IFERROR(IF(L207*M207=0,"",L207*M207),"")</f>
        <v/>
      </c>
      <c r="O207" s="334" t="n"/>
      <c r="P207" s="332">
        <f>IFERROR(VLOOKUP(TEXT(O207,"0"),CONDUCTORES!$A$3:$G$54,2,0),"")</f>
        <v/>
      </c>
      <c r="Q207" s="332">
        <f>IFERROR(VLOOKUP(TEXT(O207,"0"),CONDUCTORES!$A$3:$H$54,6,0),"")</f>
        <v/>
      </c>
      <c r="R207" s="334" t="n"/>
      <c r="S207" s="334" t="n"/>
      <c r="T207" s="334" t="n"/>
      <c r="U207" s="334" t="n"/>
      <c r="V207" s="334" t="n"/>
      <c r="W207" s="334" t="n"/>
      <c r="X207" s="334" t="n"/>
      <c r="Y207" s="334" t="n"/>
      <c r="Z207" s="375">
        <f>IF(AND(G207&lt;&gt;"",R207&lt;&gt;"",V207&lt;&gt;"",W207&lt;&gt;""),"COMPLETADO","OBSERVADO")</f>
        <v/>
      </c>
    </row>
    <row r="208" ht="15" customHeight="1" s="195">
      <c r="A208" s="280" t="n"/>
      <c r="B208" s="280" t="n"/>
      <c r="C208" s="280" t="n"/>
      <c r="D208" s="280" t="n"/>
      <c r="E208" s="280" t="n"/>
      <c r="F208" s="280" t="n"/>
      <c r="G208" s="280" t="n"/>
      <c r="H208" s="280" t="n"/>
      <c r="I208" s="332">
        <f>IFERROR(VLOOKUP(TEXT(H208,"0"),IPRESS!$A$3:$B$212,2,0),"")</f>
        <v/>
      </c>
      <c r="J208" s="280" t="n"/>
      <c r="K208" s="332">
        <f>IFERROR(VLOOKUP(TEXT(O208,"0"),CONDUCTORES!$A$3:$G$54,7,0),"")</f>
        <v/>
      </c>
      <c r="L208" s="280" t="n"/>
      <c r="M208" s="280" t="n"/>
      <c r="N208" s="333">
        <f>IFERROR(IF(L208*M208=0,"",L208*M208),"")</f>
        <v/>
      </c>
      <c r="O208" s="280" t="n"/>
      <c r="P208" s="332">
        <f>IFERROR(VLOOKUP(TEXT(O208,"0"),CONDUCTORES!$A$3:$G$54,2,0),"")</f>
        <v/>
      </c>
      <c r="Q208" s="332">
        <f>IFERROR(VLOOKUP(TEXT(O208,"0"),CONDUCTORES!$A$3:$H$54,6,0),"")</f>
        <v/>
      </c>
      <c r="R208" s="280" t="n"/>
      <c r="S208" s="280" t="n"/>
      <c r="T208" s="280" t="n"/>
      <c r="U208" s="280" t="n"/>
      <c r="V208" s="280" t="n"/>
      <c r="W208" s="280" t="n"/>
      <c r="X208" s="280" t="n"/>
      <c r="Y208" s="280" t="n"/>
      <c r="Z208" s="375">
        <f>IF(AND(G208&lt;&gt;"",R208&lt;&gt;"",V208&lt;&gt;"",W208&lt;&gt;""),"COMPLETADO","OBSERVADO")</f>
        <v/>
      </c>
    </row>
    <row r="209" ht="15" customHeight="1" s="195">
      <c r="A209" s="334" t="n"/>
      <c r="B209" s="334" t="n"/>
      <c r="C209" s="334" t="n"/>
      <c r="D209" s="334" t="n"/>
      <c r="E209" s="334" t="n"/>
      <c r="F209" s="334" t="n"/>
      <c r="G209" s="334" t="n"/>
      <c r="H209" s="334" t="n"/>
      <c r="I209" s="332">
        <f>IFERROR(VLOOKUP(TEXT(H209,"0"),IPRESS!$A$3:$B$212,2,0),"")</f>
        <v/>
      </c>
      <c r="J209" s="334" t="n"/>
      <c r="K209" s="332">
        <f>IFERROR(VLOOKUP(TEXT(O209,"0"),CONDUCTORES!$A$3:$G$54,7,0),"")</f>
        <v/>
      </c>
      <c r="L209" s="334" t="n"/>
      <c r="M209" s="334" t="n"/>
      <c r="N209" s="333">
        <f>IFERROR(IF(L209*M209=0,"",L209*M209),"")</f>
        <v/>
      </c>
      <c r="O209" s="334" t="n"/>
      <c r="P209" s="332">
        <f>IFERROR(VLOOKUP(TEXT(O209,"0"),CONDUCTORES!$A$3:$G$54,2,0),"")</f>
        <v/>
      </c>
      <c r="Q209" s="332">
        <f>IFERROR(VLOOKUP(TEXT(O209,"0"),CONDUCTORES!$A$3:$H$54,6,0),"")</f>
        <v/>
      </c>
      <c r="R209" s="334" t="n"/>
      <c r="S209" s="334" t="n"/>
      <c r="T209" s="334" t="n"/>
      <c r="U209" s="334" t="n"/>
      <c r="V209" s="334" t="n"/>
      <c r="W209" s="334" t="n"/>
      <c r="X209" s="334" t="n"/>
      <c r="Y209" s="334" t="n"/>
      <c r="Z209" s="375">
        <f>IF(AND(G209&lt;&gt;"",R209&lt;&gt;"",V209&lt;&gt;"",W209&lt;&gt;""),"COMPLETADO","OBSERVADO")</f>
        <v/>
      </c>
    </row>
    <row r="210" ht="15" customHeight="1" s="195">
      <c r="A210" s="280" t="n"/>
      <c r="B210" s="280" t="n"/>
      <c r="C210" s="280" t="n"/>
      <c r="D210" s="280" t="n"/>
      <c r="E210" s="280" t="n"/>
      <c r="F210" s="280" t="n"/>
      <c r="G210" s="280" t="n"/>
      <c r="H210" s="280" t="n"/>
      <c r="I210" s="332">
        <f>IFERROR(VLOOKUP(TEXT(H210,"0"),IPRESS!$A$3:$B$212,2,0),"")</f>
        <v/>
      </c>
      <c r="J210" s="280" t="n"/>
      <c r="K210" s="332">
        <f>IFERROR(VLOOKUP(TEXT(O210,"0"),CONDUCTORES!$A$3:$G$54,7,0),"")</f>
        <v/>
      </c>
      <c r="L210" s="280" t="n"/>
      <c r="M210" s="280" t="n"/>
      <c r="N210" s="333">
        <f>IFERROR(IF(L210*M210=0,"",L210*M210),"")</f>
        <v/>
      </c>
      <c r="O210" s="280" t="n"/>
      <c r="P210" s="332">
        <f>IFERROR(VLOOKUP(TEXT(O210,"0"),CONDUCTORES!$A$3:$G$54,2,0),"")</f>
        <v/>
      </c>
      <c r="Q210" s="332">
        <f>IFERROR(VLOOKUP(TEXT(O210,"0"),CONDUCTORES!$A$3:$H$54,6,0),"")</f>
        <v/>
      </c>
      <c r="R210" s="280" t="n"/>
      <c r="S210" s="280" t="n"/>
      <c r="T210" s="280" t="n"/>
      <c r="U210" s="280" t="n"/>
      <c r="V210" s="280" t="n"/>
      <c r="W210" s="280" t="n"/>
      <c r="X210" s="280" t="n"/>
      <c r="Y210" s="280" t="n"/>
      <c r="Z210" s="375">
        <f>IF(AND(G210&lt;&gt;"",R210&lt;&gt;"",V210&lt;&gt;"",W210&lt;&gt;""),"COMPLETADO","OBSERVADO")</f>
        <v/>
      </c>
    </row>
    <row r="211" ht="15" customHeight="1" s="195">
      <c r="A211" s="334" t="n"/>
      <c r="B211" s="334" t="n"/>
      <c r="C211" s="334" t="n"/>
      <c r="D211" s="334" t="n"/>
      <c r="E211" s="334" t="n"/>
      <c r="F211" s="334" t="n"/>
      <c r="G211" s="334" t="n"/>
      <c r="H211" s="334" t="n"/>
      <c r="I211" s="332">
        <f>IFERROR(VLOOKUP(TEXT(H211,"0"),IPRESS!$A$3:$B$212,2,0),"")</f>
        <v/>
      </c>
      <c r="J211" s="334" t="n"/>
      <c r="K211" s="332">
        <f>IFERROR(VLOOKUP(TEXT(O211,"0"),CONDUCTORES!$A$3:$G$54,7,0),"")</f>
        <v/>
      </c>
      <c r="L211" s="334" t="n"/>
      <c r="M211" s="334" t="n"/>
      <c r="N211" s="333">
        <f>IFERROR(IF(L211*M211=0,"",L211*M211),"")</f>
        <v/>
      </c>
      <c r="O211" s="334" t="n"/>
      <c r="P211" s="332">
        <f>IFERROR(VLOOKUP(TEXT(O211,"0"),CONDUCTORES!$A$3:$G$54,2,0),"")</f>
        <v/>
      </c>
      <c r="Q211" s="332">
        <f>IFERROR(VLOOKUP(TEXT(O211,"0"),CONDUCTORES!$A$3:$H$54,6,0),"")</f>
        <v/>
      </c>
      <c r="R211" s="334" t="n"/>
      <c r="S211" s="334" t="n"/>
      <c r="T211" s="334" t="n"/>
      <c r="U211" s="334" t="n"/>
      <c r="V211" s="334" t="n"/>
      <c r="W211" s="334" t="n"/>
      <c r="X211" s="334" t="n"/>
      <c r="Y211" s="334" t="n"/>
      <c r="Z211" s="375">
        <f>IF(AND(G211&lt;&gt;"",R211&lt;&gt;"",V211&lt;&gt;"",W211&lt;&gt;""),"COMPLETADO","OBSERVADO")</f>
        <v/>
      </c>
    </row>
    <row r="212" ht="15" customHeight="1" s="195">
      <c r="A212" s="280" t="n"/>
      <c r="B212" s="280" t="n"/>
      <c r="C212" s="280" t="n"/>
      <c r="D212" s="280" t="n"/>
      <c r="E212" s="280" t="n"/>
      <c r="F212" s="280" t="n"/>
      <c r="G212" s="280" t="n"/>
      <c r="H212" s="280" t="n"/>
      <c r="I212" s="332">
        <f>IFERROR(VLOOKUP(TEXT(H212,"0"),IPRESS!$A$3:$B$212,2,0),"")</f>
        <v/>
      </c>
      <c r="J212" s="280" t="n"/>
      <c r="K212" s="332">
        <f>IFERROR(VLOOKUP(TEXT(O212,"0"),CONDUCTORES!$A$3:$G$54,7,0),"")</f>
        <v/>
      </c>
      <c r="L212" s="280" t="n"/>
      <c r="M212" s="280" t="n"/>
      <c r="N212" s="333">
        <f>IFERROR(IF(L212*M212=0,"",L212*M212),"")</f>
        <v/>
      </c>
      <c r="O212" s="280" t="n"/>
      <c r="P212" s="332">
        <f>IFERROR(VLOOKUP(TEXT(O212,"0"),CONDUCTORES!$A$3:$G$54,2,0),"")</f>
        <v/>
      </c>
      <c r="Q212" s="332">
        <f>IFERROR(VLOOKUP(TEXT(O212,"0"),CONDUCTORES!$A$3:$H$54,6,0),"")</f>
        <v/>
      </c>
      <c r="R212" s="280" t="n"/>
      <c r="S212" s="280" t="n"/>
      <c r="T212" s="280" t="n"/>
      <c r="U212" s="280" t="n"/>
      <c r="V212" s="280" t="n"/>
      <c r="W212" s="280" t="n"/>
      <c r="X212" s="280" t="n"/>
      <c r="Y212" s="280" t="n"/>
      <c r="Z212" s="375">
        <f>IF(AND(G212&lt;&gt;"",R212&lt;&gt;"",V212&lt;&gt;"",W212&lt;&gt;""),"COMPLETADO","OBSERVADO")</f>
        <v/>
      </c>
    </row>
    <row r="213" ht="15" customHeight="1" s="195">
      <c r="A213" s="334" t="n"/>
      <c r="B213" s="334" t="n"/>
      <c r="C213" s="334" t="n"/>
      <c r="D213" s="334" t="n"/>
      <c r="E213" s="334" t="n"/>
      <c r="F213" s="334" t="n"/>
      <c r="G213" s="334" t="n"/>
      <c r="H213" s="334" t="n"/>
      <c r="I213" s="332">
        <f>IFERROR(VLOOKUP(TEXT(H213,"0"),IPRESS!$A$3:$B$212,2,0),"")</f>
        <v/>
      </c>
      <c r="J213" s="334" t="n"/>
      <c r="K213" s="332">
        <f>IFERROR(VLOOKUP(TEXT(O213,"0"),CONDUCTORES!$A$3:$G$54,7,0),"")</f>
        <v/>
      </c>
      <c r="L213" s="334" t="n"/>
      <c r="M213" s="334" t="n"/>
      <c r="N213" s="333">
        <f>IFERROR(IF(L213*M213=0,"",L213*M213),"")</f>
        <v/>
      </c>
      <c r="O213" s="334" t="n"/>
      <c r="P213" s="332">
        <f>IFERROR(VLOOKUP(TEXT(O213,"0"),CONDUCTORES!$A$3:$G$54,2,0),"")</f>
        <v/>
      </c>
      <c r="Q213" s="332">
        <f>IFERROR(VLOOKUP(TEXT(O213,"0"),CONDUCTORES!$A$3:$H$54,6,0),"")</f>
        <v/>
      </c>
      <c r="R213" s="334" t="n"/>
      <c r="S213" s="334" t="n"/>
      <c r="T213" s="334" t="n"/>
      <c r="U213" s="334" t="n"/>
      <c r="V213" s="334" t="n"/>
      <c r="W213" s="334" t="n"/>
      <c r="X213" s="334" t="n"/>
      <c r="Y213" s="334" t="n"/>
      <c r="Z213" s="375">
        <f>IF(AND(G213&lt;&gt;"",R213&lt;&gt;"",V213&lt;&gt;"",W213&lt;&gt;""),"COMPLETADO","OBSERVADO")</f>
        <v/>
      </c>
    </row>
    <row r="214" ht="15" customHeight="1" s="195">
      <c r="A214" s="280" t="n"/>
      <c r="B214" s="280" t="n"/>
      <c r="C214" s="280" t="n"/>
      <c r="D214" s="280" t="n"/>
      <c r="E214" s="280" t="n"/>
      <c r="F214" s="280" t="n"/>
      <c r="G214" s="280" t="n"/>
      <c r="H214" s="280" t="n"/>
      <c r="I214" s="332">
        <f>IFERROR(VLOOKUP(TEXT(H214,"0"),IPRESS!$A$3:$B$212,2,0),"")</f>
        <v/>
      </c>
      <c r="J214" s="280" t="n"/>
      <c r="K214" s="332">
        <f>IFERROR(VLOOKUP(TEXT(O214,"0"),CONDUCTORES!$A$3:$G$54,7,0),"")</f>
        <v/>
      </c>
      <c r="L214" s="280" t="n"/>
      <c r="M214" s="280" t="n"/>
      <c r="N214" s="333">
        <f>IFERROR(IF(L214*M214=0,"",L214*M214),"")</f>
        <v/>
      </c>
      <c r="O214" s="280" t="n"/>
      <c r="P214" s="332">
        <f>IFERROR(VLOOKUP(TEXT(O214,"0"),CONDUCTORES!$A$3:$G$54,2,0),"")</f>
        <v/>
      </c>
      <c r="Q214" s="332">
        <f>IFERROR(VLOOKUP(TEXT(O214,"0"),CONDUCTORES!$A$3:$H$54,6,0),"")</f>
        <v/>
      </c>
      <c r="R214" s="280" t="n"/>
      <c r="S214" s="280" t="n"/>
      <c r="T214" s="280" t="n"/>
      <c r="U214" s="280" t="n"/>
      <c r="V214" s="280" t="n"/>
      <c r="W214" s="280" t="n"/>
      <c r="X214" s="280" t="n"/>
      <c r="Y214" s="280" t="n"/>
      <c r="Z214" s="375">
        <f>IF(AND(G214&lt;&gt;"",R214&lt;&gt;"",V214&lt;&gt;"",W214&lt;&gt;""),"COMPLETADO","OBSERVADO")</f>
        <v/>
      </c>
    </row>
    <row r="215" ht="15" customHeight="1" s="195">
      <c r="A215" s="334" t="n"/>
      <c r="B215" s="334" t="n"/>
      <c r="C215" s="334" t="n"/>
      <c r="D215" s="334" t="n"/>
      <c r="E215" s="334" t="n"/>
      <c r="F215" s="334" t="n"/>
      <c r="G215" s="334" t="n"/>
      <c r="H215" s="334" t="n"/>
      <c r="I215" s="332">
        <f>IFERROR(VLOOKUP(TEXT(H215,"0"),IPRESS!$A$3:$B$212,2,0),"")</f>
        <v/>
      </c>
      <c r="J215" s="334" t="n"/>
      <c r="K215" s="332">
        <f>IFERROR(VLOOKUP(TEXT(O215,"0"),CONDUCTORES!$A$3:$G$54,7,0),"")</f>
        <v/>
      </c>
      <c r="L215" s="334" t="n"/>
      <c r="M215" s="334" t="n"/>
      <c r="N215" s="333">
        <f>IFERROR(IF(L215*M215=0,"",L215*M215),"")</f>
        <v/>
      </c>
      <c r="O215" s="334" t="n"/>
      <c r="P215" s="332">
        <f>IFERROR(VLOOKUP(TEXT(O215,"0"),CONDUCTORES!$A$3:$G$54,2,0),"")</f>
        <v/>
      </c>
      <c r="Q215" s="332">
        <f>IFERROR(VLOOKUP(TEXT(O215,"0"),CONDUCTORES!$A$3:$H$54,6,0),"")</f>
        <v/>
      </c>
      <c r="R215" s="334" t="n"/>
      <c r="S215" s="334" t="n"/>
      <c r="T215" s="334" t="n"/>
      <c r="U215" s="334" t="n"/>
      <c r="V215" s="334" t="n"/>
      <c r="W215" s="334" t="n"/>
      <c r="X215" s="334" t="n"/>
      <c r="Y215" s="334" t="n"/>
      <c r="Z215" s="375">
        <f>IF(AND(G215&lt;&gt;"",R215&lt;&gt;"",V215&lt;&gt;"",W215&lt;&gt;""),"COMPLETADO","OBSERVADO")</f>
        <v/>
      </c>
    </row>
    <row r="216" ht="15" customHeight="1" s="195">
      <c r="A216" s="280" t="n"/>
      <c r="B216" s="280" t="n"/>
      <c r="C216" s="280" t="n"/>
      <c r="D216" s="280" t="n"/>
      <c r="E216" s="280" t="n"/>
      <c r="F216" s="280" t="n"/>
      <c r="G216" s="280" t="n"/>
      <c r="H216" s="280" t="n"/>
      <c r="I216" s="332">
        <f>IFERROR(VLOOKUP(TEXT(H216,"0"),IPRESS!$A$3:$B$212,2,0),"")</f>
        <v/>
      </c>
      <c r="J216" s="280" t="n"/>
      <c r="K216" s="332">
        <f>IFERROR(VLOOKUP(TEXT(O216,"0"),CONDUCTORES!$A$3:$G$54,7,0),"")</f>
        <v/>
      </c>
      <c r="L216" s="280" t="n"/>
      <c r="M216" s="280" t="n"/>
      <c r="N216" s="333">
        <f>IFERROR(IF(L216*M216=0,"",L216*M216),"")</f>
        <v/>
      </c>
      <c r="O216" s="280" t="n"/>
      <c r="P216" s="332">
        <f>IFERROR(VLOOKUP(TEXT(O216,"0"),CONDUCTORES!$A$3:$G$54,2,0),"")</f>
        <v/>
      </c>
      <c r="Q216" s="332">
        <f>IFERROR(VLOOKUP(TEXT(O216,"0"),CONDUCTORES!$A$3:$H$54,6,0),"")</f>
        <v/>
      </c>
      <c r="R216" s="280" t="n"/>
      <c r="S216" s="280" t="n"/>
      <c r="T216" s="280" t="n"/>
      <c r="U216" s="280" t="n"/>
      <c r="V216" s="280" t="n"/>
      <c r="W216" s="280" t="n"/>
      <c r="X216" s="280" t="n"/>
      <c r="Y216" s="280" t="n"/>
      <c r="Z216" s="375">
        <f>IF(AND(G216&lt;&gt;"",R216&lt;&gt;"",V216&lt;&gt;"",W216&lt;&gt;""),"COMPLETADO","OBSERVADO")</f>
        <v/>
      </c>
    </row>
    <row r="217" ht="15" customHeight="1" s="195">
      <c r="A217" s="334" t="n"/>
      <c r="B217" s="334" t="n"/>
      <c r="C217" s="334" t="n"/>
      <c r="D217" s="334" t="n"/>
      <c r="E217" s="334" t="n"/>
      <c r="F217" s="334" t="n"/>
      <c r="G217" s="334" t="n"/>
      <c r="H217" s="334" t="n"/>
      <c r="I217" s="332">
        <f>IFERROR(VLOOKUP(TEXT(H217,"0"),IPRESS!$A$3:$B$212,2,0),"")</f>
        <v/>
      </c>
      <c r="J217" s="334" t="n"/>
      <c r="K217" s="332">
        <f>IFERROR(VLOOKUP(TEXT(O217,"0"),CONDUCTORES!$A$3:$G$54,7,0),"")</f>
        <v/>
      </c>
      <c r="L217" s="334" t="n"/>
      <c r="M217" s="334" t="n"/>
      <c r="N217" s="333">
        <f>IFERROR(IF(L217*M217=0,"",L217*M217),"")</f>
        <v/>
      </c>
      <c r="O217" s="334" t="n"/>
      <c r="P217" s="332">
        <f>IFERROR(VLOOKUP(TEXT(O217,"0"),CONDUCTORES!$A$3:$G$54,2,0),"")</f>
        <v/>
      </c>
      <c r="Q217" s="332">
        <f>IFERROR(VLOOKUP(TEXT(O217,"0"),CONDUCTORES!$A$3:$H$54,6,0),"")</f>
        <v/>
      </c>
      <c r="R217" s="334" t="n"/>
      <c r="S217" s="334" t="n"/>
      <c r="T217" s="334" t="n"/>
      <c r="U217" s="334" t="n"/>
      <c r="V217" s="334" t="n"/>
      <c r="W217" s="334" t="n"/>
      <c r="X217" s="334" t="n"/>
      <c r="Y217" s="334" t="n"/>
      <c r="Z217" s="375">
        <f>IF(AND(G217&lt;&gt;"",R217&lt;&gt;"",V217&lt;&gt;"",W217&lt;&gt;""),"COMPLETADO","OBSERVADO")</f>
        <v/>
      </c>
    </row>
    <row r="218" ht="15" customHeight="1" s="195">
      <c r="A218" s="280" t="n"/>
      <c r="B218" s="280" t="n"/>
      <c r="C218" s="280" t="n"/>
      <c r="D218" s="280" t="n"/>
      <c r="E218" s="280" t="n"/>
      <c r="F218" s="280" t="n"/>
      <c r="G218" s="280" t="n"/>
      <c r="H218" s="280" t="n"/>
      <c r="I218" s="332">
        <f>IFERROR(VLOOKUP(TEXT(H218,"0"),IPRESS!$A$3:$B$212,2,0),"")</f>
        <v/>
      </c>
      <c r="J218" s="280" t="n"/>
      <c r="K218" s="332">
        <f>IFERROR(VLOOKUP(TEXT(O218,"0"),CONDUCTORES!$A$3:$G$54,7,0),"")</f>
        <v/>
      </c>
      <c r="L218" s="280" t="n"/>
      <c r="M218" s="280" t="n"/>
      <c r="N218" s="333">
        <f>IFERROR(IF(L218*M218=0,"",L218*M218),"")</f>
        <v/>
      </c>
      <c r="O218" s="280" t="n"/>
      <c r="P218" s="332">
        <f>IFERROR(VLOOKUP(TEXT(O218,"0"),CONDUCTORES!$A$3:$G$54,2,0),"")</f>
        <v/>
      </c>
      <c r="Q218" s="332">
        <f>IFERROR(VLOOKUP(TEXT(O218,"0"),CONDUCTORES!$A$3:$H$54,6,0),"")</f>
        <v/>
      </c>
      <c r="R218" s="280" t="n"/>
      <c r="S218" s="280" t="n"/>
      <c r="T218" s="280" t="n"/>
      <c r="U218" s="280" t="n"/>
      <c r="V218" s="280" t="n"/>
      <c r="W218" s="280" t="n"/>
      <c r="X218" s="280" t="n"/>
      <c r="Y218" s="280" t="n"/>
      <c r="Z218" s="375">
        <f>IF(AND(G218&lt;&gt;"",R218&lt;&gt;"",V218&lt;&gt;"",W218&lt;&gt;""),"COMPLETADO","OBSERVADO")</f>
        <v/>
      </c>
    </row>
    <row r="219" ht="15" customHeight="1" s="195">
      <c r="A219" s="334" t="n"/>
      <c r="B219" s="334" t="n"/>
      <c r="C219" s="334" t="n"/>
      <c r="D219" s="334" t="n"/>
      <c r="E219" s="334" t="n"/>
      <c r="F219" s="334" t="n"/>
      <c r="G219" s="334" t="n"/>
      <c r="H219" s="334" t="n"/>
      <c r="I219" s="332">
        <f>IFERROR(VLOOKUP(TEXT(H219,"0"),IPRESS!$A$3:$B$212,2,0),"")</f>
        <v/>
      </c>
      <c r="J219" s="334" t="n"/>
      <c r="K219" s="332">
        <f>IFERROR(VLOOKUP(TEXT(O219,"0"),CONDUCTORES!$A$3:$G$54,7,0),"")</f>
        <v/>
      </c>
      <c r="L219" s="334" t="n"/>
      <c r="M219" s="334" t="n"/>
      <c r="N219" s="333">
        <f>IFERROR(IF(L219*M219=0,"",L219*M219),"")</f>
        <v/>
      </c>
      <c r="O219" s="334" t="n"/>
      <c r="P219" s="332">
        <f>IFERROR(VLOOKUP(TEXT(O219,"0"),CONDUCTORES!$A$3:$G$54,2,0),"")</f>
        <v/>
      </c>
      <c r="Q219" s="332">
        <f>IFERROR(VLOOKUP(TEXT(O219,"0"),CONDUCTORES!$A$3:$H$54,6,0),"")</f>
        <v/>
      </c>
      <c r="R219" s="334" t="n"/>
      <c r="S219" s="334" t="n"/>
      <c r="T219" s="334" t="n"/>
      <c r="U219" s="334" t="n"/>
      <c r="V219" s="334" t="n"/>
      <c r="W219" s="334" t="n"/>
      <c r="X219" s="334" t="n"/>
      <c r="Y219" s="334" t="n"/>
      <c r="Z219" s="375">
        <f>IF(AND(G219&lt;&gt;"",R219&lt;&gt;"",V219&lt;&gt;"",W219&lt;&gt;""),"COMPLETADO","OBSERVADO")</f>
        <v/>
      </c>
    </row>
    <row r="220" ht="15" customHeight="1" s="195">
      <c r="A220" s="280" t="n"/>
      <c r="B220" s="280" t="n"/>
      <c r="C220" s="280" t="n"/>
      <c r="D220" s="280" t="n"/>
      <c r="E220" s="280" t="n"/>
      <c r="F220" s="280" t="n"/>
      <c r="G220" s="280" t="n"/>
      <c r="H220" s="280" t="n"/>
      <c r="I220" s="332">
        <f>IFERROR(VLOOKUP(TEXT(H220,"0"),IPRESS!$A$3:$B$212,2,0),"")</f>
        <v/>
      </c>
      <c r="J220" s="280" t="n"/>
      <c r="K220" s="332">
        <f>IFERROR(VLOOKUP(TEXT(O220,"0"),CONDUCTORES!$A$3:$G$54,7,0),"")</f>
        <v/>
      </c>
      <c r="L220" s="280" t="n"/>
      <c r="M220" s="280" t="n"/>
      <c r="N220" s="333">
        <f>IFERROR(IF(L220*M220=0,"",L220*M220),"")</f>
        <v/>
      </c>
      <c r="O220" s="280" t="n"/>
      <c r="P220" s="332">
        <f>IFERROR(VLOOKUP(TEXT(O220,"0"),CONDUCTORES!$A$3:$G$54,2,0),"")</f>
        <v/>
      </c>
      <c r="Q220" s="332">
        <f>IFERROR(VLOOKUP(TEXT(O220,"0"),CONDUCTORES!$A$3:$H$54,6,0),"")</f>
        <v/>
      </c>
      <c r="R220" s="280" t="n"/>
      <c r="S220" s="280" t="n"/>
      <c r="T220" s="280" t="n"/>
      <c r="U220" s="280" t="n"/>
      <c r="V220" s="280" t="n"/>
      <c r="W220" s="280" t="n"/>
      <c r="X220" s="280" t="n"/>
      <c r="Y220" s="280" t="n"/>
      <c r="Z220" s="375">
        <f>IF(AND(G220&lt;&gt;"",R220&lt;&gt;"",V220&lt;&gt;"",W220&lt;&gt;""),"COMPLETADO","OBSERVADO")</f>
        <v/>
      </c>
    </row>
    <row r="221" ht="15" customHeight="1" s="195">
      <c r="A221" s="334" t="n"/>
      <c r="B221" s="334" t="n"/>
      <c r="C221" s="334" t="n"/>
      <c r="D221" s="334" t="n"/>
      <c r="E221" s="334" t="n"/>
      <c r="F221" s="334" t="n"/>
      <c r="G221" s="334" t="n"/>
      <c r="H221" s="334" t="n"/>
      <c r="I221" s="332">
        <f>IFERROR(VLOOKUP(TEXT(H221,"0"),IPRESS!$A$3:$B$212,2,0),"")</f>
        <v/>
      </c>
      <c r="J221" s="334" t="n"/>
      <c r="K221" s="332">
        <f>IFERROR(VLOOKUP(TEXT(O221,"0"),CONDUCTORES!$A$3:$G$54,7,0),"")</f>
        <v/>
      </c>
      <c r="L221" s="334" t="n"/>
      <c r="M221" s="334" t="n"/>
      <c r="N221" s="333">
        <f>IFERROR(IF(L221*M221=0,"",L221*M221),"")</f>
        <v/>
      </c>
      <c r="O221" s="334" t="n"/>
      <c r="P221" s="332">
        <f>IFERROR(VLOOKUP(TEXT(O221,"0"),CONDUCTORES!$A$3:$G$54,2,0),"")</f>
        <v/>
      </c>
      <c r="Q221" s="332">
        <f>IFERROR(VLOOKUP(TEXT(O221,"0"),CONDUCTORES!$A$3:$H$54,6,0),"")</f>
        <v/>
      </c>
      <c r="R221" s="334" t="n"/>
      <c r="S221" s="334" t="n"/>
      <c r="T221" s="334" t="n"/>
      <c r="U221" s="334" t="n"/>
      <c r="V221" s="334" t="n"/>
      <c r="W221" s="334" t="n"/>
      <c r="X221" s="334" t="n"/>
      <c r="Y221" s="334" t="n"/>
      <c r="Z221" s="375">
        <f>IF(AND(G221&lt;&gt;"",R221&lt;&gt;"",V221&lt;&gt;"",W221&lt;&gt;""),"COMPLETADO","OBSERVADO")</f>
        <v/>
      </c>
    </row>
    <row r="222" ht="15" customHeight="1" s="195">
      <c r="A222" s="280" t="n"/>
      <c r="B222" s="280" t="n"/>
      <c r="C222" s="280" t="n"/>
      <c r="D222" s="280" t="n"/>
      <c r="E222" s="280" t="n"/>
      <c r="F222" s="280" t="n"/>
      <c r="G222" s="280" t="n"/>
      <c r="H222" s="280" t="n"/>
      <c r="I222" s="332">
        <f>IFERROR(VLOOKUP(TEXT(H222,"0"),IPRESS!$A$3:$B$212,2,0),"")</f>
        <v/>
      </c>
      <c r="J222" s="280" t="n"/>
      <c r="K222" s="332">
        <f>IFERROR(VLOOKUP(TEXT(O222,"0"),CONDUCTORES!$A$3:$G$54,7,0),"")</f>
        <v/>
      </c>
      <c r="L222" s="280" t="n"/>
      <c r="M222" s="280" t="n"/>
      <c r="N222" s="333">
        <f>IFERROR(IF(L222*M222=0,"",L222*M222),"")</f>
        <v/>
      </c>
      <c r="O222" s="280" t="n"/>
      <c r="P222" s="332">
        <f>IFERROR(VLOOKUP(TEXT(O222,"0"),CONDUCTORES!$A$3:$G$54,2,0),"")</f>
        <v/>
      </c>
      <c r="Q222" s="332">
        <f>IFERROR(VLOOKUP(TEXT(O222,"0"),CONDUCTORES!$A$3:$H$54,6,0),"")</f>
        <v/>
      </c>
      <c r="R222" s="280" t="n"/>
      <c r="S222" s="280" t="n"/>
      <c r="T222" s="280" t="n"/>
      <c r="U222" s="280" t="n"/>
      <c r="V222" s="280" t="n"/>
      <c r="W222" s="280" t="n"/>
      <c r="X222" s="280" t="n"/>
      <c r="Y222" s="280" t="n"/>
      <c r="Z222" s="375">
        <f>IF(AND(G222&lt;&gt;"",R222&lt;&gt;"",V222&lt;&gt;"",W222&lt;&gt;""),"COMPLETADO","OBSERVADO")</f>
        <v/>
      </c>
    </row>
    <row r="223" ht="15" customHeight="1" s="195">
      <c r="A223" s="334" t="n"/>
      <c r="B223" s="334" t="n"/>
      <c r="C223" s="334" t="n"/>
      <c r="D223" s="334" t="n"/>
      <c r="E223" s="334" t="n"/>
      <c r="F223" s="334" t="n"/>
      <c r="G223" s="334" t="n"/>
      <c r="H223" s="334" t="n"/>
      <c r="I223" s="332">
        <f>IFERROR(VLOOKUP(TEXT(H223,"0"),IPRESS!$A$3:$B$212,2,0),"")</f>
        <v/>
      </c>
      <c r="J223" s="334" t="n"/>
      <c r="K223" s="332">
        <f>IFERROR(VLOOKUP(TEXT(O223,"0"),CONDUCTORES!$A$3:$G$54,7,0),"")</f>
        <v/>
      </c>
      <c r="L223" s="334" t="n"/>
      <c r="M223" s="334" t="n"/>
      <c r="N223" s="333">
        <f>IFERROR(IF(L223*M223=0,"",L223*M223),"")</f>
        <v/>
      </c>
      <c r="O223" s="334" t="n"/>
      <c r="P223" s="332">
        <f>IFERROR(VLOOKUP(TEXT(O223,"0"),CONDUCTORES!$A$3:$G$54,2,0),"")</f>
        <v/>
      </c>
      <c r="Q223" s="332">
        <f>IFERROR(VLOOKUP(TEXT(O223,"0"),CONDUCTORES!$A$3:$H$54,6,0),"")</f>
        <v/>
      </c>
      <c r="R223" s="334" t="n"/>
      <c r="S223" s="334" t="n"/>
      <c r="T223" s="334" t="n"/>
      <c r="U223" s="334" t="n"/>
      <c r="V223" s="334" t="n"/>
      <c r="W223" s="334" t="n"/>
      <c r="X223" s="334" t="n"/>
      <c r="Y223" s="334" t="n"/>
      <c r="Z223" s="375">
        <f>IF(AND(G223&lt;&gt;"",R223&lt;&gt;"",V223&lt;&gt;"",W223&lt;&gt;""),"COMPLETADO","OBSERVADO")</f>
        <v/>
      </c>
    </row>
    <row r="224" ht="15" customHeight="1" s="195">
      <c r="A224" s="280" t="n"/>
      <c r="B224" s="280" t="n"/>
      <c r="C224" s="280" t="n"/>
      <c r="D224" s="280" t="n"/>
      <c r="E224" s="280" t="n"/>
      <c r="F224" s="280" t="n"/>
      <c r="G224" s="280" t="n"/>
      <c r="H224" s="280" t="n"/>
      <c r="I224" s="332">
        <f>IFERROR(VLOOKUP(TEXT(H224,"0"),IPRESS!$A$3:$B$212,2,0),"")</f>
        <v/>
      </c>
      <c r="J224" s="280" t="n"/>
      <c r="K224" s="332">
        <f>IFERROR(VLOOKUP(TEXT(O224,"0"),CONDUCTORES!$A$3:$G$54,7,0),"")</f>
        <v/>
      </c>
      <c r="L224" s="280" t="n"/>
      <c r="M224" s="280" t="n"/>
      <c r="N224" s="333">
        <f>IFERROR(IF(L224*M224=0,"",L224*M224),"")</f>
        <v/>
      </c>
      <c r="O224" s="280" t="n"/>
      <c r="P224" s="332">
        <f>IFERROR(VLOOKUP(TEXT(O224,"0"),CONDUCTORES!$A$3:$G$54,2,0),"")</f>
        <v/>
      </c>
      <c r="Q224" s="332">
        <f>IFERROR(VLOOKUP(TEXT(O224,"0"),CONDUCTORES!$A$3:$H$54,6,0),"")</f>
        <v/>
      </c>
      <c r="R224" s="280" t="n"/>
      <c r="S224" s="280" t="n"/>
      <c r="T224" s="280" t="n"/>
      <c r="U224" s="280" t="n"/>
      <c r="V224" s="280" t="n"/>
      <c r="W224" s="280" t="n"/>
      <c r="X224" s="280" t="n"/>
      <c r="Y224" s="280" t="n"/>
      <c r="Z224" s="375">
        <f>IF(AND(G224&lt;&gt;"",R224&lt;&gt;"",V224&lt;&gt;"",W224&lt;&gt;""),"COMPLETADO","OBSERVADO")</f>
        <v/>
      </c>
    </row>
    <row r="225" ht="15" customHeight="1" s="195">
      <c r="A225" s="334" t="n"/>
      <c r="B225" s="334" t="n"/>
      <c r="C225" s="334" t="n"/>
      <c r="D225" s="334" t="n"/>
      <c r="E225" s="334" t="n"/>
      <c r="F225" s="334" t="n"/>
      <c r="G225" s="334" t="n"/>
      <c r="H225" s="334" t="n"/>
      <c r="I225" s="332">
        <f>IFERROR(VLOOKUP(TEXT(H225,"0"),IPRESS!$A$3:$B$212,2,0),"")</f>
        <v/>
      </c>
      <c r="J225" s="334" t="n"/>
      <c r="K225" s="332">
        <f>IFERROR(VLOOKUP(TEXT(O225,"0"),CONDUCTORES!$A$3:$G$54,7,0),"")</f>
        <v/>
      </c>
      <c r="L225" s="334" t="n"/>
      <c r="M225" s="334" t="n"/>
      <c r="N225" s="333">
        <f>IFERROR(IF(L225*M225=0,"",L225*M225),"")</f>
        <v/>
      </c>
      <c r="O225" s="334" t="n"/>
      <c r="P225" s="332">
        <f>IFERROR(VLOOKUP(TEXT(O225,"0"),CONDUCTORES!$A$3:$G$54,2,0),"")</f>
        <v/>
      </c>
      <c r="Q225" s="332">
        <f>IFERROR(VLOOKUP(TEXT(O225,"0"),CONDUCTORES!$A$3:$H$54,6,0),"")</f>
        <v/>
      </c>
      <c r="R225" s="334" t="n"/>
      <c r="S225" s="334" t="n"/>
      <c r="T225" s="334" t="n"/>
      <c r="U225" s="334" t="n"/>
      <c r="V225" s="334" t="n"/>
      <c r="W225" s="334" t="n"/>
      <c r="X225" s="334" t="n"/>
      <c r="Y225" s="334" t="n"/>
      <c r="Z225" s="375">
        <f>IF(AND(G225&lt;&gt;"",R225&lt;&gt;"",V225&lt;&gt;"",W225&lt;&gt;""),"COMPLETADO","OBSERVADO")</f>
        <v/>
      </c>
    </row>
    <row r="226" ht="15" customHeight="1" s="195">
      <c r="A226" s="280" t="n"/>
      <c r="B226" s="280" t="n"/>
      <c r="C226" s="280" t="n"/>
      <c r="D226" s="280" t="n"/>
      <c r="E226" s="280" t="n"/>
      <c r="F226" s="280" t="n"/>
      <c r="G226" s="280" t="n"/>
      <c r="H226" s="280" t="n"/>
      <c r="I226" s="332">
        <f>IFERROR(VLOOKUP(TEXT(H226,"0"),IPRESS!$A$3:$B$212,2,0),"")</f>
        <v/>
      </c>
      <c r="J226" s="280" t="n"/>
      <c r="K226" s="332">
        <f>IFERROR(VLOOKUP(TEXT(O226,"0"),CONDUCTORES!$A$3:$G$54,7,0),"")</f>
        <v/>
      </c>
      <c r="L226" s="280" t="n"/>
      <c r="M226" s="280" t="n"/>
      <c r="N226" s="333">
        <f>IFERROR(IF(L226*M226=0,"",L226*M226),"")</f>
        <v/>
      </c>
      <c r="O226" s="280" t="n"/>
      <c r="P226" s="332">
        <f>IFERROR(VLOOKUP(TEXT(O226,"0"),CONDUCTORES!$A$3:$G$54,2,0),"")</f>
        <v/>
      </c>
      <c r="Q226" s="332">
        <f>IFERROR(VLOOKUP(TEXT(O226,"0"),CONDUCTORES!$A$3:$H$54,6,0),"")</f>
        <v/>
      </c>
      <c r="R226" s="280" t="n"/>
      <c r="S226" s="280" t="n"/>
      <c r="T226" s="280" t="n"/>
      <c r="U226" s="280" t="n"/>
      <c r="V226" s="280" t="n"/>
      <c r="W226" s="280" t="n"/>
      <c r="X226" s="280" t="n"/>
      <c r="Y226" s="280" t="n"/>
      <c r="Z226" s="375">
        <f>IF(AND(G226&lt;&gt;"",R226&lt;&gt;"",V226&lt;&gt;"",W226&lt;&gt;""),"COMPLETADO","OBSERVADO")</f>
        <v/>
      </c>
    </row>
    <row r="227" ht="15" customHeight="1" s="195">
      <c r="A227" s="334" t="n"/>
      <c r="B227" s="334" t="n"/>
      <c r="C227" s="334" t="n"/>
      <c r="D227" s="334" t="n"/>
      <c r="E227" s="334" t="n"/>
      <c r="F227" s="334" t="n"/>
      <c r="G227" s="334" t="n"/>
      <c r="H227" s="334" t="n"/>
      <c r="I227" s="332">
        <f>IFERROR(VLOOKUP(TEXT(H227,"0"),IPRESS!$A$3:$B$212,2,0),"")</f>
        <v/>
      </c>
      <c r="J227" s="334" t="n"/>
      <c r="K227" s="332">
        <f>IFERROR(VLOOKUP(TEXT(O227,"0"),CONDUCTORES!$A$3:$G$54,7,0),"")</f>
        <v/>
      </c>
      <c r="L227" s="334" t="n"/>
      <c r="M227" s="334" t="n"/>
      <c r="N227" s="333">
        <f>IFERROR(IF(L227*M227=0,"",L227*M227),"")</f>
        <v/>
      </c>
      <c r="O227" s="334" t="n"/>
      <c r="P227" s="332">
        <f>IFERROR(VLOOKUP(TEXT(O227,"0"),CONDUCTORES!$A$3:$G$54,2,0),"")</f>
        <v/>
      </c>
      <c r="Q227" s="332">
        <f>IFERROR(VLOOKUP(TEXT(O227,"0"),CONDUCTORES!$A$3:$H$54,6,0),"")</f>
        <v/>
      </c>
      <c r="R227" s="334" t="n"/>
      <c r="S227" s="334" t="n"/>
      <c r="T227" s="334" t="n"/>
      <c r="U227" s="334" t="n"/>
      <c r="V227" s="334" t="n"/>
      <c r="W227" s="334" t="n"/>
      <c r="X227" s="334" t="n"/>
      <c r="Y227" s="334" t="n"/>
      <c r="Z227" s="375">
        <f>IF(AND(G227&lt;&gt;"",R227&lt;&gt;"",V227&lt;&gt;"",W227&lt;&gt;""),"COMPLETADO","OBSERVADO")</f>
        <v/>
      </c>
    </row>
    <row r="228" ht="15" customHeight="1" s="195">
      <c r="A228" s="280" t="n"/>
      <c r="B228" s="280" t="n"/>
      <c r="C228" s="280" t="n"/>
      <c r="D228" s="280" t="n"/>
      <c r="E228" s="280" t="n"/>
      <c r="F228" s="280" t="n"/>
      <c r="G228" s="280" t="n"/>
      <c r="H228" s="280" t="n"/>
      <c r="I228" s="332">
        <f>IFERROR(VLOOKUP(TEXT(H228,"0"),IPRESS!$A$3:$B$212,2,0),"")</f>
        <v/>
      </c>
      <c r="J228" s="280" t="n"/>
      <c r="K228" s="332">
        <f>IFERROR(VLOOKUP(TEXT(O228,"0"),CONDUCTORES!$A$3:$G$54,7,0),"")</f>
        <v/>
      </c>
      <c r="L228" s="280" t="n"/>
      <c r="M228" s="280" t="n"/>
      <c r="N228" s="333">
        <f>IFERROR(IF(L228*M228=0,"",L228*M228),"")</f>
        <v/>
      </c>
      <c r="O228" s="280" t="n"/>
      <c r="P228" s="332">
        <f>IFERROR(VLOOKUP(TEXT(O228,"0"),CONDUCTORES!$A$3:$G$54,2,0),"")</f>
        <v/>
      </c>
      <c r="Q228" s="332">
        <f>IFERROR(VLOOKUP(TEXT(O228,"0"),CONDUCTORES!$A$3:$H$54,6,0),"")</f>
        <v/>
      </c>
      <c r="R228" s="280" t="n"/>
      <c r="S228" s="280" t="n"/>
      <c r="T228" s="280" t="n"/>
      <c r="U228" s="280" t="n"/>
      <c r="V228" s="280" t="n"/>
      <c r="W228" s="280" t="n"/>
      <c r="X228" s="280" t="n"/>
      <c r="Y228" s="280" t="n"/>
      <c r="Z228" s="375">
        <f>IF(AND(G228&lt;&gt;"",R228&lt;&gt;"",V228&lt;&gt;"",W228&lt;&gt;""),"COMPLETADO","OBSERVADO")</f>
        <v/>
      </c>
    </row>
    <row r="229" ht="15" customHeight="1" s="195">
      <c r="A229" s="334" t="n"/>
      <c r="B229" s="334" t="n"/>
      <c r="C229" s="334" t="n"/>
      <c r="D229" s="334" t="n"/>
      <c r="E229" s="334" t="n"/>
      <c r="F229" s="334" t="n"/>
      <c r="G229" s="334" t="n"/>
      <c r="H229" s="334" t="n"/>
      <c r="I229" s="332">
        <f>IFERROR(VLOOKUP(TEXT(H229,"0"),IPRESS!$A$3:$B$212,2,0),"")</f>
        <v/>
      </c>
      <c r="J229" s="334" t="n"/>
      <c r="K229" s="332">
        <f>IFERROR(VLOOKUP(TEXT(O229,"0"),CONDUCTORES!$A$3:$G$54,7,0),"")</f>
        <v/>
      </c>
      <c r="L229" s="334" t="n"/>
      <c r="M229" s="334" t="n"/>
      <c r="N229" s="333">
        <f>IFERROR(IF(L229*M229=0,"",L229*M229),"")</f>
        <v/>
      </c>
      <c r="O229" s="334" t="n"/>
      <c r="P229" s="332">
        <f>IFERROR(VLOOKUP(TEXT(O229,"0"),CONDUCTORES!$A$3:$G$54,2,0),"")</f>
        <v/>
      </c>
      <c r="Q229" s="332">
        <f>IFERROR(VLOOKUP(TEXT(O229,"0"),CONDUCTORES!$A$3:$H$54,6,0),"")</f>
        <v/>
      </c>
      <c r="R229" s="334" t="n"/>
      <c r="S229" s="334" t="n"/>
      <c r="T229" s="334" t="n"/>
      <c r="U229" s="334" t="n"/>
      <c r="V229" s="334" t="n"/>
      <c r="W229" s="334" t="n"/>
      <c r="X229" s="334" t="n"/>
      <c r="Y229" s="334" t="n"/>
      <c r="Z229" s="375">
        <f>IF(AND(G229&lt;&gt;"",R229&lt;&gt;"",V229&lt;&gt;"",W229&lt;&gt;""),"COMPLETADO","OBSERVADO")</f>
        <v/>
      </c>
    </row>
    <row r="230" ht="15" customHeight="1" s="195">
      <c r="A230" s="280" t="n"/>
      <c r="B230" s="280" t="n"/>
      <c r="C230" s="280" t="n"/>
      <c r="D230" s="280" t="n"/>
      <c r="E230" s="280" t="n"/>
      <c r="F230" s="280" t="n"/>
      <c r="G230" s="280" t="n"/>
      <c r="H230" s="280" t="n"/>
      <c r="I230" s="332">
        <f>IFERROR(VLOOKUP(TEXT(H230,"0"),IPRESS!$A$3:$B$212,2,0),"")</f>
        <v/>
      </c>
      <c r="J230" s="280" t="n"/>
      <c r="K230" s="332">
        <f>IFERROR(VLOOKUP(TEXT(O230,"0"),CONDUCTORES!$A$3:$G$54,7,0),"")</f>
        <v/>
      </c>
      <c r="L230" s="280" t="n"/>
      <c r="M230" s="280" t="n"/>
      <c r="N230" s="333">
        <f>IFERROR(IF(L230*M230=0,"",L230*M230),"")</f>
        <v/>
      </c>
      <c r="O230" s="280" t="n"/>
      <c r="P230" s="332">
        <f>IFERROR(VLOOKUP(TEXT(O230,"0"),CONDUCTORES!$A$3:$G$54,2,0),"")</f>
        <v/>
      </c>
      <c r="Q230" s="332">
        <f>IFERROR(VLOOKUP(TEXT(O230,"0"),CONDUCTORES!$A$3:$H$54,6,0),"")</f>
        <v/>
      </c>
      <c r="R230" s="280" t="n"/>
      <c r="S230" s="280" t="n"/>
      <c r="T230" s="280" t="n"/>
      <c r="U230" s="280" t="n"/>
      <c r="V230" s="280" t="n"/>
      <c r="W230" s="280" t="n"/>
      <c r="X230" s="280" t="n"/>
      <c r="Y230" s="280" t="n"/>
      <c r="Z230" s="375">
        <f>IF(AND(G230&lt;&gt;"",R230&lt;&gt;"",V230&lt;&gt;"",W230&lt;&gt;""),"COMPLETADO","OBSERVADO")</f>
        <v/>
      </c>
    </row>
    <row r="231" ht="15" customHeight="1" s="195">
      <c r="A231" s="334" t="n"/>
      <c r="B231" s="334" t="n"/>
      <c r="C231" s="334" t="n"/>
      <c r="D231" s="334" t="n"/>
      <c r="E231" s="334" t="n"/>
      <c r="F231" s="334" t="n"/>
      <c r="G231" s="334" t="n"/>
      <c r="H231" s="334" t="n"/>
      <c r="I231" s="332">
        <f>IFERROR(VLOOKUP(TEXT(H231,"0"),IPRESS!$A$3:$B$212,2,0),"")</f>
        <v/>
      </c>
      <c r="J231" s="334" t="n"/>
      <c r="K231" s="332">
        <f>IFERROR(VLOOKUP(TEXT(O231,"0"),CONDUCTORES!$A$3:$G$54,7,0),"")</f>
        <v/>
      </c>
      <c r="L231" s="334" t="n"/>
      <c r="M231" s="334" t="n"/>
      <c r="N231" s="333">
        <f>IFERROR(IF(L231*M231=0,"",L231*M231),"")</f>
        <v/>
      </c>
      <c r="O231" s="334" t="n"/>
      <c r="P231" s="332">
        <f>IFERROR(VLOOKUP(TEXT(O231,"0"),CONDUCTORES!$A$3:$G$54,2,0),"")</f>
        <v/>
      </c>
      <c r="Q231" s="332">
        <f>IFERROR(VLOOKUP(TEXT(O231,"0"),CONDUCTORES!$A$3:$H$54,6,0),"")</f>
        <v/>
      </c>
      <c r="R231" s="334" t="n"/>
      <c r="S231" s="334" t="n"/>
      <c r="T231" s="334" t="n"/>
      <c r="U231" s="334" t="n"/>
      <c r="V231" s="334" t="n"/>
      <c r="W231" s="334" t="n"/>
      <c r="X231" s="334" t="n"/>
      <c r="Y231" s="334" t="n"/>
      <c r="Z231" s="375">
        <f>IF(AND(G231&lt;&gt;"",R231&lt;&gt;"",V231&lt;&gt;"",W231&lt;&gt;""),"COMPLETADO","OBSERVADO")</f>
        <v/>
      </c>
    </row>
    <row r="232" ht="15" customHeight="1" s="195">
      <c r="A232" s="280" t="n"/>
      <c r="B232" s="280" t="n"/>
      <c r="C232" s="280" t="n"/>
      <c r="D232" s="280" t="n"/>
      <c r="E232" s="280" t="n"/>
      <c r="F232" s="280" t="n"/>
      <c r="G232" s="280" t="n"/>
      <c r="H232" s="280" t="n"/>
      <c r="I232" s="332">
        <f>IFERROR(VLOOKUP(TEXT(H232,"0"),IPRESS!$A$3:$B$212,2,0),"")</f>
        <v/>
      </c>
      <c r="J232" s="280" t="n"/>
      <c r="K232" s="332">
        <f>IFERROR(VLOOKUP(TEXT(O232,"0"),CONDUCTORES!$A$3:$G$54,7,0),"")</f>
        <v/>
      </c>
      <c r="L232" s="280" t="n"/>
      <c r="M232" s="280" t="n"/>
      <c r="N232" s="333">
        <f>IFERROR(IF(L232*M232=0,"",L232*M232),"")</f>
        <v/>
      </c>
      <c r="O232" s="280" t="n"/>
      <c r="P232" s="332">
        <f>IFERROR(VLOOKUP(TEXT(O232,"0"),CONDUCTORES!$A$3:$G$54,2,0),"")</f>
        <v/>
      </c>
      <c r="Q232" s="332">
        <f>IFERROR(VLOOKUP(TEXT(O232,"0"),CONDUCTORES!$A$3:$H$54,6,0),"")</f>
        <v/>
      </c>
      <c r="R232" s="280" t="n"/>
      <c r="S232" s="280" t="n"/>
      <c r="T232" s="280" t="n"/>
      <c r="U232" s="280" t="n"/>
      <c r="V232" s="280" t="n"/>
      <c r="W232" s="280" t="n"/>
      <c r="X232" s="280" t="n"/>
      <c r="Y232" s="280" t="n"/>
      <c r="Z232" s="375">
        <f>IF(AND(G232&lt;&gt;"",R232&lt;&gt;"",V232&lt;&gt;"",W232&lt;&gt;""),"COMPLETADO","OBSERVADO")</f>
        <v/>
      </c>
    </row>
    <row r="233" ht="15" customHeight="1" s="195">
      <c r="A233" s="334" t="n"/>
      <c r="B233" s="334" t="n"/>
      <c r="C233" s="334" t="n"/>
      <c r="D233" s="334" t="n"/>
      <c r="E233" s="334" t="n"/>
      <c r="F233" s="334" t="n"/>
      <c r="G233" s="334" t="n"/>
      <c r="H233" s="334" t="n"/>
      <c r="I233" s="332">
        <f>IFERROR(VLOOKUP(TEXT(H233,"0"),IPRESS!$A$3:$B$212,2,0),"")</f>
        <v/>
      </c>
      <c r="J233" s="334" t="n"/>
      <c r="K233" s="332">
        <f>IFERROR(VLOOKUP(TEXT(O233,"0"),CONDUCTORES!$A$3:$G$54,7,0),"")</f>
        <v/>
      </c>
      <c r="L233" s="334" t="n"/>
      <c r="M233" s="334" t="n"/>
      <c r="N233" s="333">
        <f>IFERROR(IF(L233*M233=0,"",L233*M233),"")</f>
        <v/>
      </c>
      <c r="O233" s="334" t="n"/>
      <c r="P233" s="332">
        <f>IFERROR(VLOOKUP(TEXT(O233,"0"),CONDUCTORES!$A$3:$G$54,2,0),"")</f>
        <v/>
      </c>
      <c r="Q233" s="332">
        <f>IFERROR(VLOOKUP(TEXT(O233,"0"),CONDUCTORES!$A$3:$H$54,6,0),"")</f>
        <v/>
      </c>
      <c r="R233" s="334" t="n"/>
      <c r="S233" s="334" t="n"/>
      <c r="T233" s="334" t="n"/>
      <c r="U233" s="334" t="n"/>
      <c r="V233" s="334" t="n"/>
      <c r="W233" s="334" t="n"/>
      <c r="X233" s="334" t="n"/>
      <c r="Y233" s="334" t="n"/>
      <c r="Z233" s="375">
        <f>IF(AND(G233&lt;&gt;"",R233&lt;&gt;"",V233&lt;&gt;"",W233&lt;&gt;""),"COMPLETADO","OBSERVADO")</f>
        <v/>
      </c>
    </row>
    <row r="234" ht="15" customHeight="1" s="195">
      <c r="A234" s="280" t="n"/>
      <c r="B234" s="280" t="n"/>
      <c r="C234" s="280" t="n"/>
      <c r="D234" s="280" t="n"/>
      <c r="E234" s="280" t="n"/>
      <c r="F234" s="280" t="n"/>
      <c r="G234" s="280" t="n"/>
      <c r="H234" s="280" t="n"/>
      <c r="I234" s="332">
        <f>IFERROR(VLOOKUP(TEXT(H234,"0"),IPRESS!$A$3:$B$212,2,0),"")</f>
        <v/>
      </c>
      <c r="J234" s="280" t="n"/>
      <c r="K234" s="332">
        <f>IFERROR(VLOOKUP(TEXT(O234,"0"),CONDUCTORES!$A$3:$G$54,7,0),"")</f>
        <v/>
      </c>
      <c r="L234" s="280" t="n"/>
      <c r="M234" s="280" t="n"/>
      <c r="N234" s="333">
        <f>IFERROR(IF(L234*M234=0,"",L234*M234),"")</f>
        <v/>
      </c>
      <c r="O234" s="280" t="n"/>
      <c r="P234" s="332">
        <f>IFERROR(VLOOKUP(TEXT(O234,"0"),CONDUCTORES!$A$3:$G$54,2,0),"")</f>
        <v/>
      </c>
      <c r="Q234" s="332">
        <f>IFERROR(VLOOKUP(TEXT(O234,"0"),CONDUCTORES!$A$3:$H$54,6,0),"")</f>
        <v/>
      </c>
      <c r="R234" s="280" t="n"/>
      <c r="S234" s="280" t="n"/>
      <c r="T234" s="280" t="n"/>
      <c r="U234" s="280" t="n"/>
      <c r="V234" s="280" t="n"/>
      <c r="W234" s="280" t="n"/>
      <c r="X234" s="280" t="n"/>
      <c r="Y234" s="280" t="n"/>
      <c r="Z234" s="375">
        <f>IF(AND(G234&lt;&gt;"",R234&lt;&gt;"",V234&lt;&gt;"",W234&lt;&gt;""),"COMPLETADO","OBSERVADO")</f>
        <v/>
      </c>
    </row>
    <row r="235" ht="15" customHeight="1" s="195">
      <c r="A235" s="334" t="n"/>
      <c r="B235" s="334" t="n"/>
      <c r="C235" s="334" t="n"/>
      <c r="D235" s="334" t="n"/>
      <c r="E235" s="334" t="n"/>
      <c r="F235" s="334" t="n"/>
      <c r="G235" s="334" t="n"/>
      <c r="H235" s="334" t="n"/>
      <c r="I235" s="332">
        <f>IFERROR(VLOOKUP(TEXT(H235,"0"),IPRESS!$A$3:$B$212,2,0),"")</f>
        <v/>
      </c>
      <c r="J235" s="334" t="n"/>
      <c r="K235" s="332">
        <f>IFERROR(VLOOKUP(TEXT(O235,"0"),CONDUCTORES!$A$3:$G$54,7,0),"")</f>
        <v/>
      </c>
      <c r="L235" s="334" t="n"/>
      <c r="M235" s="334" t="n"/>
      <c r="N235" s="333">
        <f>IFERROR(IF(L235*M235=0,"",L235*M235),"")</f>
        <v/>
      </c>
      <c r="O235" s="334" t="n"/>
      <c r="P235" s="332">
        <f>IFERROR(VLOOKUP(TEXT(O235,"0"),CONDUCTORES!$A$3:$G$54,2,0),"")</f>
        <v/>
      </c>
      <c r="Q235" s="332">
        <f>IFERROR(VLOOKUP(TEXT(O235,"0"),CONDUCTORES!$A$3:$H$54,6,0),"")</f>
        <v/>
      </c>
      <c r="R235" s="334" t="n"/>
      <c r="S235" s="334" t="n"/>
      <c r="T235" s="334" t="n"/>
      <c r="U235" s="334" t="n"/>
      <c r="V235" s="334" t="n"/>
      <c r="W235" s="334" t="n"/>
      <c r="X235" s="334" t="n"/>
      <c r="Y235" s="334" t="n"/>
      <c r="Z235" s="375">
        <f>IF(AND(G235&lt;&gt;"",R235&lt;&gt;"",V235&lt;&gt;"",W235&lt;&gt;""),"COMPLETADO","OBSERVADO")</f>
        <v/>
      </c>
    </row>
    <row r="236" ht="15" customHeight="1" s="195">
      <c r="A236" s="280" t="n"/>
      <c r="B236" s="280" t="n"/>
      <c r="C236" s="280" t="n"/>
      <c r="D236" s="280" t="n"/>
      <c r="E236" s="280" t="n"/>
      <c r="F236" s="280" t="n"/>
      <c r="G236" s="280" t="n"/>
      <c r="H236" s="280" t="n"/>
      <c r="I236" s="332">
        <f>IFERROR(VLOOKUP(TEXT(H236,"0"),IPRESS!$A$3:$B$212,2,0),"")</f>
        <v/>
      </c>
      <c r="J236" s="280" t="n"/>
      <c r="K236" s="332">
        <f>IFERROR(VLOOKUP(TEXT(O236,"0"),CONDUCTORES!$A$3:$G$54,7,0),"")</f>
        <v/>
      </c>
      <c r="L236" s="280" t="n"/>
      <c r="M236" s="280" t="n"/>
      <c r="N236" s="333">
        <f>IFERROR(IF(L236*M236=0,"",L236*M236),"")</f>
        <v/>
      </c>
      <c r="O236" s="280" t="n"/>
      <c r="P236" s="332">
        <f>IFERROR(VLOOKUP(TEXT(O236,"0"),CONDUCTORES!$A$3:$G$54,2,0),"")</f>
        <v/>
      </c>
      <c r="Q236" s="332">
        <f>IFERROR(VLOOKUP(TEXT(O236,"0"),CONDUCTORES!$A$3:$H$54,6,0),"")</f>
        <v/>
      </c>
      <c r="R236" s="280" t="n"/>
      <c r="S236" s="280" t="n"/>
      <c r="T236" s="280" t="n"/>
      <c r="U236" s="280" t="n"/>
      <c r="V236" s="280" t="n"/>
      <c r="W236" s="280" t="n"/>
      <c r="X236" s="280" t="n"/>
      <c r="Y236" s="280" t="n"/>
      <c r="Z236" s="375">
        <f>IF(AND(G236&lt;&gt;"",R236&lt;&gt;"",V236&lt;&gt;"",W236&lt;&gt;""),"COMPLETADO","OBSERVADO")</f>
        <v/>
      </c>
    </row>
    <row r="237" ht="15" customHeight="1" s="195">
      <c r="A237" s="334" t="n"/>
      <c r="B237" s="334" t="n"/>
      <c r="C237" s="334" t="n"/>
      <c r="D237" s="334" t="n"/>
      <c r="E237" s="334" t="n"/>
      <c r="F237" s="334" t="n"/>
      <c r="G237" s="334" t="n"/>
      <c r="H237" s="334" t="n"/>
      <c r="I237" s="332">
        <f>IFERROR(VLOOKUP(TEXT(H237,"0"),IPRESS!$A$3:$B$212,2,0),"")</f>
        <v/>
      </c>
      <c r="J237" s="334" t="n"/>
      <c r="K237" s="332">
        <f>IFERROR(VLOOKUP(TEXT(O237,"0"),CONDUCTORES!$A$3:$G$54,7,0),"")</f>
        <v/>
      </c>
      <c r="L237" s="334" t="n"/>
      <c r="M237" s="334" t="n"/>
      <c r="N237" s="333">
        <f>IFERROR(IF(L237*M237=0,"",L237*M237),"")</f>
        <v/>
      </c>
      <c r="O237" s="334" t="n"/>
      <c r="P237" s="332">
        <f>IFERROR(VLOOKUP(TEXT(O237,"0"),CONDUCTORES!$A$3:$G$54,2,0),"")</f>
        <v/>
      </c>
      <c r="Q237" s="332">
        <f>IFERROR(VLOOKUP(TEXT(O237,"0"),CONDUCTORES!$A$3:$H$54,6,0),"")</f>
        <v/>
      </c>
      <c r="R237" s="334" t="n"/>
      <c r="S237" s="334" t="n"/>
      <c r="T237" s="334" t="n"/>
      <c r="U237" s="334" t="n"/>
      <c r="V237" s="334" t="n"/>
      <c r="W237" s="334" t="n"/>
      <c r="X237" s="334" t="n"/>
      <c r="Y237" s="334" t="n"/>
      <c r="Z237" s="375">
        <f>IF(AND(G237&lt;&gt;"",R237&lt;&gt;"",V237&lt;&gt;"",W237&lt;&gt;""),"COMPLETADO","OBSERVADO")</f>
        <v/>
      </c>
    </row>
    <row r="238" ht="15" customHeight="1" s="195">
      <c r="A238" s="280" t="n"/>
      <c r="B238" s="280" t="n"/>
      <c r="C238" s="280" t="n"/>
      <c r="D238" s="280" t="n"/>
      <c r="E238" s="280" t="n"/>
      <c r="F238" s="280" t="n"/>
      <c r="G238" s="280" t="n"/>
      <c r="H238" s="280" t="n"/>
      <c r="I238" s="332">
        <f>IFERROR(VLOOKUP(TEXT(H238,"0"),IPRESS!$A$3:$B$212,2,0),"")</f>
        <v/>
      </c>
      <c r="J238" s="280" t="n"/>
      <c r="K238" s="332">
        <f>IFERROR(VLOOKUP(TEXT(O238,"0"),CONDUCTORES!$A$3:$G$54,7,0),"")</f>
        <v/>
      </c>
      <c r="L238" s="280" t="n"/>
      <c r="M238" s="280" t="n"/>
      <c r="N238" s="333">
        <f>IFERROR(IF(L238*M238=0,"",L238*M238),"")</f>
        <v/>
      </c>
      <c r="O238" s="280" t="n"/>
      <c r="P238" s="332">
        <f>IFERROR(VLOOKUP(TEXT(O238,"0"),CONDUCTORES!$A$3:$G$54,2,0),"")</f>
        <v/>
      </c>
      <c r="Q238" s="332">
        <f>IFERROR(VLOOKUP(TEXT(O238,"0"),CONDUCTORES!$A$3:$H$54,6,0),"")</f>
        <v/>
      </c>
      <c r="R238" s="280" t="n"/>
      <c r="S238" s="280" t="n"/>
      <c r="T238" s="280" t="n"/>
      <c r="U238" s="280" t="n"/>
      <c r="V238" s="280" t="n"/>
      <c r="W238" s="280" t="n"/>
      <c r="X238" s="280" t="n"/>
      <c r="Y238" s="280" t="n"/>
      <c r="Z238" s="375">
        <f>IF(AND(G238&lt;&gt;"",R238&lt;&gt;"",V238&lt;&gt;"",W238&lt;&gt;""),"COMPLETADO","OBSERVADO")</f>
        <v/>
      </c>
    </row>
    <row r="239" ht="15" customHeight="1" s="195">
      <c r="A239" s="334" t="n"/>
      <c r="B239" s="334" t="n"/>
      <c r="C239" s="334" t="n"/>
      <c r="D239" s="334" t="n"/>
      <c r="E239" s="334" t="n"/>
      <c r="F239" s="334" t="n"/>
      <c r="G239" s="334" t="n"/>
      <c r="H239" s="334" t="n"/>
      <c r="I239" s="332">
        <f>IFERROR(VLOOKUP(TEXT(H239,"0"),IPRESS!$A$3:$B$212,2,0),"")</f>
        <v/>
      </c>
      <c r="J239" s="334" t="n"/>
      <c r="K239" s="332">
        <f>IFERROR(VLOOKUP(TEXT(O239,"0"),CONDUCTORES!$A$3:$G$54,7,0),"")</f>
        <v/>
      </c>
      <c r="L239" s="334" t="n"/>
      <c r="M239" s="334" t="n"/>
      <c r="N239" s="333">
        <f>IFERROR(IF(L239*M239=0,"",L239*M239),"")</f>
        <v/>
      </c>
      <c r="O239" s="334" t="n"/>
      <c r="P239" s="332">
        <f>IFERROR(VLOOKUP(TEXT(O239,"0"),CONDUCTORES!$A$3:$G$54,2,0),"")</f>
        <v/>
      </c>
      <c r="Q239" s="332">
        <f>IFERROR(VLOOKUP(TEXT(O239,"0"),CONDUCTORES!$A$3:$H$54,6,0),"")</f>
        <v/>
      </c>
      <c r="R239" s="334" t="n"/>
      <c r="S239" s="334" t="n"/>
      <c r="T239" s="334" t="n"/>
      <c r="U239" s="334" t="n"/>
      <c r="V239" s="334" t="n"/>
      <c r="W239" s="334" t="n"/>
      <c r="X239" s="334" t="n"/>
      <c r="Y239" s="334" t="n"/>
      <c r="Z239" s="375">
        <f>IF(AND(G239&lt;&gt;"",R239&lt;&gt;"",V239&lt;&gt;"",W239&lt;&gt;""),"COMPLETADO","OBSERVADO")</f>
        <v/>
      </c>
    </row>
    <row r="240" ht="15" customHeight="1" s="195">
      <c r="A240" s="280" t="n"/>
      <c r="B240" s="280" t="n"/>
      <c r="C240" s="280" t="n"/>
      <c r="D240" s="280" t="n"/>
      <c r="E240" s="280" t="n"/>
      <c r="F240" s="280" t="n"/>
      <c r="G240" s="280" t="n"/>
      <c r="H240" s="280" t="n"/>
      <c r="I240" s="332">
        <f>IFERROR(VLOOKUP(TEXT(H240,"0"),IPRESS!$A$3:$B$212,2,0),"")</f>
        <v/>
      </c>
      <c r="J240" s="280" t="n"/>
      <c r="K240" s="332">
        <f>IFERROR(VLOOKUP(TEXT(O240,"0"),CONDUCTORES!$A$3:$G$54,7,0),"")</f>
        <v/>
      </c>
      <c r="L240" s="280" t="n"/>
      <c r="M240" s="280" t="n"/>
      <c r="N240" s="333">
        <f>IFERROR(IF(L240*M240=0,"",L240*M240),"")</f>
        <v/>
      </c>
      <c r="O240" s="280" t="n"/>
      <c r="P240" s="332">
        <f>IFERROR(VLOOKUP(TEXT(O240,"0"),CONDUCTORES!$A$3:$G$54,2,0),"")</f>
        <v/>
      </c>
      <c r="Q240" s="332">
        <f>IFERROR(VLOOKUP(TEXT(O240,"0"),CONDUCTORES!$A$3:$H$54,6,0),"")</f>
        <v/>
      </c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375">
        <f>IF(AND(G240&lt;&gt;"",R240&lt;&gt;"",V240&lt;&gt;"",W240&lt;&gt;""),"COMPLETADO","OBSERVADO")</f>
        <v/>
      </c>
    </row>
    <row r="241" ht="15" customHeight="1" s="195">
      <c r="A241" s="334" t="n"/>
      <c r="B241" s="334" t="n"/>
      <c r="C241" s="334" t="n"/>
      <c r="D241" s="334" t="n"/>
      <c r="E241" s="334" t="n"/>
      <c r="F241" s="334" t="n"/>
      <c r="G241" s="334" t="n"/>
      <c r="H241" s="334" t="n"/>
      <c r="I241" s="332">
        <f>IFERROR(VLOOKUP(TEXT(H241,"0"),IPRESS!$A$3:$B$212,2,0),"")</f>
        <v/>
      </c>
      <c r="J241" s="334" t="n"/>
      <c r="K241" s="332">
        <f>IFERROR(VLOOKUP(TEXT(O241,"0"),CONDUCTORES!$A$3:$G$54,7,0),"")</f>
        <v/>
      </c>
      <c r="L241" s="334" t="n"/>
      <c r="M241" s="334" t="n"/>
      <c r="N241" s="333">
        <f>IFERROR(IF(L241*M241=0,"",L241*M241),"")</f>
        <v/>
      </c>
      <c r="O241" s="334" t="n"/>
      <c r="P241" s="332">
        <f>IFERROR(VLOOKUP(TEXT(O241,"0"),CONDUCTORES!$A$3:$G$54,2,0),"")</f>
        <v/>
      </c>
      <c r="Q241" s="332">
        <f>IFERROR(VLOOKUP(TEXT(O241,"0"),CONDUCTORES!$A$3:$H$54,6,0),"")</f>
        <v/>
      </c>
      <c r="R241" s="334" t="n"/>
      <c r="S241" s="334" t="n"/>
      <c r="T241" s="334" t="n"/>
      <c r="U241" s="334" t="n"/>
      <c r="V241" s="334" t="n"/>
      <c r="W241" s="334" t="n"/>
      <c r="X241" s="334" t="n"/>
      <c r="Y241" s="334" t="n"/>
      <c r="Z241" s="375">
        <f>IF(AND(G241&lt;&gt;"",R241&lt;&gt;"",V241&lt;&gt;"",W241&lt;&gt;""),"COMPLETADO","OBSERVADO")</f>
        <v/>
      </c>
    </row>
    <row r="242" ht="15" customHeight="1" s="195">
      <c r="A242" s="280" t="n"/>
      <c r="B242" s="280" t="n"/>
      <c r="C242" s="280" t="n"/>
      <c r="D242" s="280" t="n"/>
      <c r="E242" s="280" t="n"/>
      <c r="F242" s="280" t="n"/>
      <c r="G242" s="280" t="n"/>
      <c r="H242" s="280" t="n"/>
      <c r="I242" s="332">
        <f>IFERROR(VLOOKUP(TEXT(H242,"0"),IPRESS!$A$3:$B$212,2,0),"")</f>
        <v/>
      </c>
      <c r="J242" s="280" t="n"/>
      <c r="K242" s="332">
        <f>IFERROR(VLOOKUP(TEXT(O242,"0"),CONDUCTORES!$A$3:$G$54,7,0),"")</f>
        <v/>
      </c>
      <c r="L242" s="280" t="n"/>
      <c r="M242" s="280" t="n"/>
      <c r="N242" s="333">
        <f>IFERROR(IF(L242*M242=0,"",L242*M242),"")</f>
        <v/>
      </c>
      <c r="O242" s="280" t="n"/>
      <c r="P242" s="332">
        <f>IFERROR(VLOOKUP(TEXT(O242,"0"),CONDUCTORES!$A$3:$G$54,2,0),"")</f>
        <v/>
      </c>
      <c r="Q242" s="332">
        <f>IFERROR(VLOOKUP(TEXT(O242,"0"),CONDUCTORES!$A$3:$H$54,6,0),"")</f>
        <v/>
      </c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375">
        <f>IF(AND(G242&lt;&gt;"",R242&lt;&gt;"",V242&lt;&gt;"",W242&lt;&gt;""),"COMPLETADO","OBSERVADO")</f>
        <v/>
      </c>
    </row>
    <row r="243" ht="15" customHeight="1" s="195">
      <c r="A243" s="334" t="n"/>
      <c r="B243" s="334" t="n"/>
      <c r="C243" s="334" t="n"/>
      <c r="D243" s="334" t="n"/>
      <c r="E243" s="334" t="n"/>
      <c r="F243" s="334" t="n"/>
      <c r="G243" s="334" t="n"/>
      <c r="H243" s="334" t="n"/>
      <c r="I243" s="332">
        <f>IFERROR(VLOOKUP(TEXT(H243,"0"),IPRESS!$A$3:$B$212,2,0),"")</f>
        <v/>
      </c>
      <c r="J243" s="334" t="n"/>
      <c r="K243" s="332">
        <f>IFERROR(VLOOKUP(TEXT(O243,"0"),CONDUCTORES!$A$3:$G$54,7,0),"")</f>
        <v/>
      </c>
      <c r="L243" s="334" t="n"/>
      <c r="M243" s="334" t="n"/>
      <c r="N243" s="333">
        <f>IFERROR(IF(L243*M243=0,"",L243*M243),"")</f>
        <v/>
      </c>
      <c r="O243" s="334" t="n"/>
      <c r="P243" s="332">
        <f>IFERROR(VLOOKUP(TEXT(O243,"0"),CONDUCTORES!$A$3:$G$54,2,0),"")</f>
        <v/>
      </c>
      <c r="Q243" s="332">
        <f>IFERROR(VLOOKUP(TEXT(O243,"0"),CONDUCTORES!$A$3:$H$54,6,0),"")</f>
        <v/>
      </c>
      <c r="R243" s="334" t="n"/>
      <c r="S243" s="334" t="n"/>
      <c r="T243" s="334" t="n"/>
      <c r="U243" s="334" t="n"/>
      <c r="V243" s="334" t="n"/>
      <c r="W243" s="334" t="n"/>
      <c r="X243" s="334" t="n"/>
      <c r="Y243" s="334" t="n"/>
      <c r="Z243" s="375">
        <f>IF(AND(G243&lt;&gt;"",R243&lt;&gt;"",V243&lt;&gt;"",W243&lt;&gt;""),"COMPLETADO","OBSERVADO")</f>
        <v/>
      </c>
    </row>
    <row r="244" ht="15" customHeight="1" s="195">
      <c r="A244" s="280" t="n"/>
      <c r="B244" s="280" t="n"/>
      <c r="C244" s="280" t="n"/>
      <c r="D244" s="280" t="n"/>
      <c r="E244" s="280" t="n"/>
      <c r="F244" s="280" t="n"/>
      <c r="G244" s="280" t="n"/>
      <c r="H244" s="280" t="n"/>
      <c r="I244" s="332">
        <f>IFERROR(VLOOKUP(TEXT(H244,"0"),IPRESS!$A$3:$B$212,2,0),"")</f>
        <v/>
      </c>
      <c r="J244" s="280" t="n"/>
      <c r="K244" s="332">
        <f>IFERROR(VLOOKUP(TEXT(O244,"0"),CONDUCTORES!$A$3:$G$54,7,0),"")</f>
        <v/>
      </c>
      <c r="L244" s="280" t="n"/>
      <c r="M244" s="280" t="n"/>
      <c r="N244" s="333">
        <f>IFERROR(IF(L244*M244=0,"",L244*M244),"")</f>
        <v/>
      </c>
      <c r="O244" s="280" t="n"/>
      <c r="P244" s="332">
        <f>IFERROR(VLOOKUP(TEXT(O244,"0"),CONDUCTORES!$A$3:$G$54,2,0),"")</f>
        <v/>
      </c>
      <c r="Q244" s="332">
        <f>IFERROR(VLOOKUP(TEXT(O244,"0"),CONDUCTORES!$A$3:$H$54,6,0),"")</f>
        <v/>
      </c>
      <c r="R244" s="280" t="n"/>
      <c r="S244" s="280" t="n"/>
      <c r="T244" s="280" t="n"/>
      <c r="U244" s="280" t="n"/>
      <c r="V244" s="280" t="n"/>
      <c r="W244" s="280" t="n"/>
      <c r="X244" s="280" t="n"/>
      <c r="Y244" s="280" t="n"/>
      <c r="Z244" s="375">
        <f>IF(AND(G244&lt;&gt;"",R244&lt;&gt;"",V244&lt;&gt;"",W244&lt;&gt;""),"COMPLETADO","OBSERVADO")</f>
        <v/>
      </c>
    </row>
    <row r="245" ht="15" customHeight="1" s="195">
      <c r="A245" s="334" t="n"/>
      <c r="B245" s="334" t="n"/>
      <c r="C245" s="334" t="n"/>
      <c r="D245" s="334" t="n"/>
      <c r="E245" s="334" t="n"/>
      <c r="F245" s="334" t="n"/>
      <c r="G245" s="334" t="n"/>
      <c r="H245" s="334" t="n"/>
      <c r="I245" s="332">
        <f>IFERROR(VLOOKUP(TEXT(H245,"0"),IPRESS!$A$3:$B$212,2,0),"")</f>
        <v/>
      </c>
      <c r="J245" s="334" t="n"/>
      <c r="K245" s="332">
        <f>IFERROR(VLOOKUP(TEXT(O245,"0"),CONDUCTORES!$A$3:$G$54,7,0),"")</f>
        <v/>
      </c>
      <c r="L245" s="334" t="n"/>
      <c r="M245" s="334" t="n"/>
      <c r="N245" s="333">
        <f>IFERROR(IF(L245*M245=0,"",L245*M245),"")</f>
        <v/>
      </c>
      <c r="O245" s="334" t="n"/>
      <c r="P245" s="332">
        <f>IFERROR(VLOOKUP(TEXT(O245,"0"),CONDUCTORES!$A$3:$G$54,2,0),"")</f>
        <v/>
      </c>
      <c r="Q245" s="332">
        <f>IFERROR(VLOOKUP(TEXT(O245,"0"),CONDUCTORES!$A$3:$H$54,6,0),"")</f>
        <v/>
      </c>
      <c r="R245" s="334" t="n"/>
      <c r="S245" s="334" t="n"/>
      <c r="T245" s="334" t="n"/>
      <c r="U245" s="334" t="n"/>
      <c r="V245" s="334" t="n"/>
      <c r="W245" s="334" t="n"/>
      <c r="X245" s="334" t="n"/>
      <c r="Y245" s="334" t="n"/>
      <c r="Z245" s="375">
        <f>IF(AND(G245&lt;&gt;"",R245&lt;&gt;"",V245&lt;&gt;"",W245&lt;&gt;""),"COMPLETADO","OBSERVADO")</f>
        <v/>
      </c>
    </row>
    <row r="246" ht="15" customHeight="1" s="195">
      <c r="A246" s="280" t="n"/>
      <c r="B246" s="280" t="n"/>
      <c r="C246" s="280" t="n"/>
      <c r="D246" s="280" t="n"/>
      <c r="E246" s="280" t="n"/>
      <c r="F246" s="280" t="n"/>
      <c r="G246" s="280" t="n"/>
      <c r="H246" s="280" t="n"/>
      <c r="I246" s="332">
        <f>IFERROR(VLOOKUP(TEXT(H246,"0"),IPRESS!$A$3:$B$212,2,0),"")</f>
        <v/>
      </c>
      <c r="J246" s="280" t="n"/>
      <c r="K246" s="332">
        <f>IFERROR(VLOOKUP(TEXT(O246,"0"),CONDUCTORES!$A$3:$G$54,7,0),"")</f>
        <v/>
      </c>
      <c r="L246" s="280" t="n"/>
      <c r="M246" s="280" t="n"/>
      <c r="N246" s="333">
        <f>IFERROR(IF(L246*M246=0,"",L246*M246),"")</f>
        <v/>
      </c>
      <c r="O246" s="280" t="n"/>
      <c r="P246" s="332">
        <f>IFERROR(VLOOKUP(TEXT(O246,"0"),CONDUCTORES!$A$3:$G$54,2,0),"")</f>
        <v/>
      </c>
      <c r="Q246" s="332">
        <f>IFERROR(VLOOKUP(TEXT(O246,"0"),CONDUCTORES!$A$3:$H$54,6,0),"")</f>
        <v/>
      </c>
      <c r="R246" s="280" t="n"/>
      <c r="S246" s="280" t="n"/>
      <c r="T246" s="280" t="n"/>
      <c r="U246" s="280" t="n"/>
      <c r="V246" s="280" t="n"/>
      <c r="W246" s="280" t="n"/>
      <c r="X246" s="280" t="n"/>
      <c r="Y246" s="280" t="n"/>
      <c r="Z246" s="375">
        <f>IF(AND(G246&lt;&gt;"",R246&lt;&gt;"",V246&lt;&gt;"",W246&lt;&gt;""),"COMPLETADO","OBSERVADO")</f>
        <v/>
      </c>
    </row>
    <row r="247" ht="15" customHeight="1" s="195">
      <c r="A247" s="334" t="n"/>
      <c r="B247" s="334" t="n"/>
      <c r="C247" s="334" t="n"/>
      <c r="D247" s="334" t="n"/>
      <c r="E247" s="334" t="n"/>
      <c r="F247" s="334" t="n"/>
      <c r="G247" s="334" t="n"/>
      <c r="H247" s="334" t="n"/>
      <c r="I247" s="332">
        <f>IFERROR(VLOOKUP(TEXT(H247,"0"),IPRESS!$A$3:$B$212,2,0),"")</f>
        <v/>
      </c>
      <c r="J247" s="334" t="n"/>
      <c r="K247" s="332">
        <f>IFERROR(VLOOKUP(TEXT(O247,"0"),CONDUCTORES!$A$3:$G$54,7,0),"")</f>
        <v/>
      </c>
      <c r="L247" s="334" t="n"/>
      <c r="M247" s="334" t="n"/>
      <c r="N247" s="333">
        <f>IFERROR(IF(L247*M247=0,"",L247*M247),"")</f>
        <v/>
      </c>
      <c r="O247" s="334" t="n"/>
      <c r="P247" s="332">
        <f>IFERROR(VLOOKUP(TEXT(O247,"0"),CONDUCTORES!$A$3:$G$54,2,0),"")</f>
        <v/>
      </c>
      <c r="Q247" s="332">
        <f>IFERROR(VLOOKUP(TEXT(O247,"0"),CONDUCTORES!$A$3:$H$54,6,0),"")</f>
        <v/>
      </c>
      <c r="R247" s="334" t="n"/>
      <c r="S247" s="334" t="n"/>
      <c r="T247" s="334" t="n"/>
      <c r="U247" s="334" t="n"/>
      <c r="V247" s="334" t="n"/>
      <c r="W247" s="334" t="n"/>
      <c r="X247" s="334" t="n"/>
      <c r="Y247" s="334" t="n"/>
      <c r="Z247" s="375">
        <f>IF(AND(G247&lt;&gt;"",R247&lt;&gt;"",V247&lt;&gt;"",W247&lt;&gt;""),"COMPLETADO","OBSERVADO")</f>
        <v/>
      </c>
    </row>
    <row r="248" ht="15" customHeight="1" s="195">
      <c r="A248" s="280" t="n"/>
      <c r="B248" s="280" t="n"/>
      <c r="C248" s="280" t="n"/>
      <c r="D248" s="280" t="n"/>
      <c r="E248" s="280" t="n"/>
      <c r="F248" s="280" t="n"/>
      <c r="G248" s="280" t="n"/>
      <c r="H248" s="280" t="n"/>
      <c r="I248" s="332">
        <f>IFERROR(VLOOKUP(TEXT(H248,"0"),IPRESS!$A$3:$B$212,2,0),"")</f>
        <v/>
      </c>
      <c r="J248" s="280" t="n"/>
      <c r="K248" s="332">
        <f>IFERROR(VLOOKUP(TEXT(O248,"0"),CONDUCTORES!$A$3:$G$54,7,0),"")</f>
        <v/>
      </c>
      <c r="L248" s="280" t="n"/>
      <c r="M248" s="280" t="n"/>
      <c r="N248" s="333">
        <f>IFERROR(IF(L248*M248=0,"",L248*M248),"")</f>
        <v/>
      </c>
      <c r="O248" s="280" t="n"/>
      <c r="P248" s="332">
        <f>IFERROR(VLOOKUP(TEXT(O248,"0"),CONDUCTORES!$A$3:$G$54,2,0),"")</f>
        <v/>
      </c>
      <c r="Q248" s="332">
        <f>IFERROR(VLOOKUP(TEXT(O248,"0"),CONDUCTORES!$A$3:$H$54,6,0),"")</f>
        <v/>
      </c>
      <c r="R248" s="280" t="n"/>
      <c r="S248" s="280" t="n"/>
      <c r="T248" s="280" t="n"/>
      <c r="U248" s="280" t="n"/>
      <c r="V248" s="280" t="n"/>
      <c r="W248" s="280" t="n"/>
      <c r="X248" s="280" t="n"/>
      <c r="Y248" s="280" t="n"/>
      <c r="Z248" s="375">
        <f>IF(AND(G248&lt;&gt;"",R248&lt;&gt;"",V248&lt;&gt;"",W248&lt;&gt;""),"COMPLETADO","OBSERVADO")</f>
        <v/>
      </c>
    </row>
    <row r="249" ht="15" customHeight="1" s="195">
      <c r="A249" s="334" t="n"/>
      <c r="B249" s="334" t="n"/>
      <c r="C249" s="334" t="n"/>
      <c r="D249" s="334" t="n"/>
      <c r="E249" s="334" t="n"/>
      <c r="F249" s="334" t="n"/>
      <c r="G249" s="334" t="n"/>
      <c r="H249" s="334" t="n"/>
      <c r="I249" s="332">
        <f>IFERROR(VLOOKUP(TEXT(H249,"0"),IPRESS!$A$3:$B$212,2,0),"")</f>
        <v/>
      </c>
      <c r="J249" s="334" t="n"/>
      <c r="K249" s="332">
        <f>IFERROR(VLOOKUP(TEXT(O249,"0"),CONDUCTORES!$A$3:$G$54,7,0),"")</f>
        <v/>
      </c>
      <c r="L249" s="334" t="n"/>
      <c r="M249" s="334" t="n"/>
      <c r="N249" s="333">
        <f>IFERROR(IF(L249*M249=0,"",L249*M249),"")</f>
        <v/>
      </c>
      <c r="O249" s="334" t="n"/>
      <c r="P249" s="332">
        <f>IFERROR(VLOOKUP(TEXT(O249,"0"),CONDUCTORES!$A$3:$G$54,2,0),"")</f>
        <v/>
      </c>
      <c r="Q249" s="332">
        <f>IFERROR(VLOOKUP(TEXT(O249,"0"),CONDUCTORES!$A$3:$H$54,6,0),"")</f>
        <v/>
      </c>
      <c r="R249" s="334" t="n"/>
      <c r="S249" s="334" t="n"/>
      <c r="T249" s="334" t="n"/>
      <c r="U249" s="334" t="n"/>
      <c r="V249" s="334" t="n"/>
      <c r="W249" s="334" t="n"/>
      <c r="X249" s="334" t="n"/>
      <c r="Y249" s="334" t="n"/>
      <c r="Z249" s="375">
        <f>IF(AND(G249&lt;&gt;"",R249&lt;&gt;"",V249&lt;&gt;"",W249&lt;&gt;""),"COMPLETADO","OBSERVADO")</f>
        <v/>
      </c>
    </row>
    <row r="250" ht="15" customHeight="1" s="195">
      <c r="A250" s="280" t="n"/>
      <c r="B250" s="280" t="n"/>
      <c r="C250" s="280" t="n"/>
      <c r="D250" s="280" t="n"/>
      <c r="E250" s="280" t="n"/>
      <c r="F250" s="280" t="n"/>
      <c r="G250" s="280" t="n"/>
      <c r="H250" s="280" t="n"/>
      <c r="I250" s="332">
        <f>IFERROR(VLOOKUP(TEXT(H250,"0"),IPRESS!$A$3:$B$212,2,0),"")</f>
        <v/>
      </c>
      <c r="J250" s="280" t="n"/>
      <c r="K250" s="332">
        <f>IFERROR(VLOOKUP(TEXT(O250,"0"),CONDUCTORES!$A$3:$G$54,7,0),"")</f>
        <v/>
      </c>
      <c r="L250" s="280" t="n"/>
      <c r="M250" s="280" t="n"/>
      <c r="N250" s="333">
        <f>IFERROR(IF(L250*M250=0,"",L250*M250),"")</f>
        <v/>
      </c>
      <c r="O250" s="280" t="n"/>
      <c r="P250" s="332">
        <f>IFERROR(VLOOKUP(TEXT(O250,"0"),CONDUCTORES!$A$3:$G$54,2,0),"")</f>
        <v/>
      </c>
      <c r="Q250" s="332">
        <f>IFERROR(VLOOKUP(TEXT(O250,"0"),CONDUCTORES!$A$3:$H$54,6,0),"")</f>
        <v/>
      </c>
      <c r="R250" s="280" t="n"/>
      <c r="S250" s="280" t="n"/>
      <c r="T250" s="280" t="n"/>
      <c r="U250" s="280" t="n"/>
      <c r="V250" s="280" t="n"/>
      <c r="W250" s="280" t="n"/>
      <c r="X250" s="280" t="n"/>
      <c r="Y250" s="280" t="n"/>
      <c r="Z250" s="375">
        <f>IF(AND(G250&lt;&gt;"",R250&lt;&gt;"",V250&lt;&gt;"",W250&lt;&gt;""),"COMPLETADO","OBSERVADO")</f>
        <v/>
      </c>
    </row>
    <row r="251" ht="15" customHeight="1" s="195">
      <c r="A251" s="334" t="n"/>
      <c r="B251" s="334" t="n"/>
      <c r="C251" s="334" t="n"/>
      <c r="D251" s="334" t="n"/>
      <c r="E251" s="334" t="n"/>
      <c r="F251" s="334" t="n"/>
      <c r="G251" s="334" t="n"/>
      <c r="H251" s="334" t="n"/>
      <c r="I251" s="332">
        <f>IFERROR(VLOOKUP(TEXT(H251,"0"),IPRESS!$A$3:$B$212,2,0),"")</f>
        <v/>
      </c>
      <c r="J251" s="334" t="n"/>
      <c r="K251" s="332">
        <f>IFERROR(VLOOKUP(TEXT(O251,"0"),CONDUCTORES!$A$3:$G$54,7,0),"")</f>
        <v/>
      </c>
      <c r="L251" s="334" t="n"/>
      <c r="M251" s="334" t="n"/>
      <c r="N251" s="333">
        <f>IFERROR(IF(L251*M251=0,"",L251*M251),"")</f>
        <v/>
      </c>
      <c r="O251" s="334" t="n"/>
      <c r="P251" s="332">
        <f>IFERROR(VLOOKUP(TEXT(O251,"0"),CONDUCTORES!$A$3:$G$54,2,0),"")</f>
        <v/>
      </c>
      <c r="Q251" s="332">
        <f>IFERROR(VLOOKUP(TEXT(O251,"0"),CONDUCTORES!$A$3:$H$54,6,0),"")</f>
        <v/>
      </c>
      <c r="R251" s="334" t="n"/>
      <c r="S251" s="334" t="n"/>
      <c r="T251" s="334" t="n"/>
      <c r="U251" s="334" t="n"/>
      <c r="V251" s="334" t="n"/>
      <c r="W251" s="334" t="n"/>
      <c r="X251" s="334" t="n"/>
      <c r="Y251" s="334" t="n"/>
      <c r="Z251" s="375">
        <f>IF(AND(G251&lt;&gt;"",R251&lt;&gt;"",V251&lt;&gt;"",W251&lt;&gt;""),"COMPLETADO","OBSERVADO")</f>
        <v/>
      </c>
    </row>
    <row r="252" ht="15" customHeight="1" s="195">
      <c r="A252" s="280" t="n"/>
      <c r="B252" s="280" t="n"/>
      <c r="C252" s="280" t="n"/>
      <c r="D252" s="280" t="n"/>
      <c r="E252" s="280" t="n"/>
      <c r="F252" s="280" t="n"/>
      <c r="G252" s="280" t="n"/>
      <c r="H252" s="280" t="n"/>
      <c r="I252" s="332">
        <f>IFERROR(VLOOKUP(TEXT(H252,"0"),IPRESS!$A$3:$B$212,2,0),"")</f>
        <v/>
      </c>
      <c r="J252" s="280" t="n"/>
      <c r="K252" s="332">
        <f>IFERROR(VLOOKUP(TEXT(O252,"0"),CONDUCTORES!$A$3:$G$54,7,0),"")</f>
        <v/>
      </c>
      <c r="L252" s="280" t="n"/>
      <c r="M252" s="280" t="n"/>
      <c r="N252" s="333">
        <f>IFERROR(IF(L252*M252=0,"",L252*M252),"")</f>
        <v/>
      </c>
      <c r="O252" s="280" t="n"/>
      <c r="P252" s="332">
        <f>IFERROR(VLOOKUP(TEXT(O252,"0"),CONDUCTORES!$A$3:$G$54,2,0),"")</f>
        <v/>
      </c>
      <c r="Q252" s="332">
        <f>IFERROR(VLOOKUP(TEXT(O252,"0"),CONDUCTORES!$A$3:$H$54,6,0),"")</f>
        <v/>
      </c>
      <c r="R252" s="280" t="n"/>
      <c r="S252" s="280" t="n"/>
      <c r="T252" s="280" t="n"/>
      <c r="U252" s="280" t="n"/>
      <c r="V252" s="280" t="n"/>
      <c r="W252" s="280" t="n"/>
      <c r="X252" s="280" t="n"/>
      <c r="Y252" s="280" t="n"/>
      <c r="Z252" s="375">
        <f>IF(AND(G252&lt;&gt;"",R252&lt;&gt;"",V252&lt;&gt;"",W252&lt;&gt;""),"COMPLETADO","OBSERVADO")</f>
        <v/>
      </c>
    </row>
    <row r="253" ht="15" customHeight="1" s="195">
      <c r="A253" s="334" t="n"/>
      <c r="B253" s="334" t="n"/>
      <c r="C253" s="334" t="n"/>
      <c r="D253" s="334" t="n"/>
      <c r="E253" s="334" t="n"/>
      <c r="F253" s="334" t="n"/>
      <c r="G253" s="334" t="n"/>
      <c r="H253" s="334" t="n"/>
      <c r="I253" s="332">
        <f>IFERROR(VLOOKUP(TEXT(H253,"0"),IPRESS!$A$3:$B$212,2,0),"")</f>
        <v/>
      </c>
      <c r="J253" s="334" t="n"/>
      <c r="K253" s="332">
        <f>IFERROR(VLOOKUP(TEXT(O253,"0"),CONDUCTORES!$A$3:$G$54,7,0),"")</f>
        <v/>
      </c>
      <c r="L253" s="334" t="n"/>
      <c r="M253" s="334" t="n"/>
      <c r="N253" s="333">
        <f>IFERROR(IF(L253*M253=0,"",L253*M253),"")</f>
        <v/>
      </c>
      <c r="O253" s="334" t="n"/>
      <c r="P253" s="332">
        <f>IFERROR(VLOOKUP(TEXT(O253,"0"),CONDUCTORES!$A$3:$G$54,2,0),"")</f>
        <v/>
      </c>
      <c r="Q253" s="332">
        <f>IFERROR(VLOOKUP(TEXT(O253,"0"),CONDUCTORES!$A$3:$H$54,6,0),"")</f>
        <v/>
      </c>
      <c r="R253" s="334" t="n"/>
      <c r="S253" s="334" t="n"/>
      <c r="T253" s="334" t="n"/>
      <c r="U253" s="334" t="n"/>
      <c r="V253" s="334" t="n"/>
      <c r="W253" s="334" t="n"/>
      <c r="X253" s="334" t="n"/>
      <c r="Y253" s="334" t="n"/>
      <c r="Z253" s="375">
        <f>IF(AND(G253&lt;&gt;"",R253&lt;&gt;"",V253&lt;&gt;"",W253&lt;&gt;""),"COMPLETADO","OBSERVADO")</f>
        <v/>
      </c>
    </row>
    <row r="254" ht="15" customHeight="1" s="195">
      <c r="A254" s="280" t="n"/>
      <c r="B254" s="280" t="n"/>
      <c r="C254" s="280" t="n"/>
      <c r="D254" s="280" t="n"/>
      <c r="E254" s="280" t="n"/>
      <c r="F254" s="280" t="n"/>
      <c r="G254" s="280" t="n"/>
      <c r="H254" s="280" t="n"/>
      <c r="I254" s="332">
        <f>IFERROR(VLOOKUP(TEXT(H254,"0"),IPRESS!$A$3:$B$212,2,0),"")</f>
        <v/>
      </c>
      <c r="J254" s="280" t="n"/>
      <c r="K254" s="332">
        <f>IFERROR(VLOOKUP(TEXT(O254,"0"),CONDUCTORES!$A$3:$G$54,7,0),"")</f>
        <v/>
      </c>
      <c r="L254" s="280" t="n"/>
      <c r="M254" s="280" t="n"/>
      <c r="N254" s="333">
        <f>IFERROR(IF(L254*M254=0,"",L254*M254),"")</f>
        <v/>
      </c>
      <c r="O254" s="280" t="n"/>
      <c r="P254" s="332">
        <f>IFERROR(VLOOKUP(TEXT(O254,"0"),CONDUCTORES!$A$3:$G$54,2,0),"")</f>
        <v/>
      </c>
      <c r="Q254" s="332">
        <f>IFERROR(VLOOKUP(TEXT(O254,"0"),CONDUCTORES!$A$3:$H$54,6,0),"")</f>
        <v/>
      </c>
      <c r="R254" s="280" t="n"/>
      <c r="S254" s="280" t="n"/>
      <c r="T254" s="280" t="n"/>
      <c r="U254" s="280" t="n"/>
      <c r="V254" s="280" t="n"/>
      <c r="W254" s="280" t="n"/>
      <c r="X254" s="280" t="n"/>
      <c r="Y254" s="280" t="n"/>
      <c r="Z254" s="375">
        <f>IF(AND(G254&lt;&gt;"",R254&lt;&gt;"",V254&lt;&gt;"",W254&lt;&gt;""),"COMPLETADO","OBSERVADO")</f>
        <v/>
      </c>
    </row>
    <row r="255" ht="15" customHeight="1" s="195">
      <c r="A255" s="334" t="n"/>
      <c r="B255" s="334" t="n"/>
      <c r="C255" s="334" t="n"/>
      <c r="D255" s="334" t="n"/>
      <c r="E255" s="334" t="n"/>
      <c r="F255" s="334" t="n"/>
      <c r="G255" s="334" t="n"/>
      <c r="H255" s="334" t="n"/>
      <c r="I255" s="332">
        <f>IFERROR(VLOOKUP(TEXT(H255,"0"),IPRESS!$A$3:$B$212,2,0),"")</f>
        <v/>
      </c>
      <c r="J255" s="334" t="n"/>
      <c r="K255" s="332">
        <f>IFERROR(VLOOKUP(TEXT(O255,"0"),CONDUCTORES!$A$3:$G$54,7,0),"")</f>
        <v/>
      </c>
      <c r="L255" s="334" t="n"/>
      <c r="M255" s="334" t="n"/>
      <c r="N255" s="333">
        <f>IFERROR(IF(L255*M255=0,"",L255*M255),"")</f>
        <v/>
      </c>
      <c r="O255" s="334" t="n"/>
      <c r="P255" s="332">
        <f>IFERROR(VLOOKUP(TEXT(O255,"0"),CONDUCTORES!$A$3:$G$54,2,0),"")</f>
        <v/>
      </c>
      <c r="Q255" s="332">
        <f>IFERROR(VLOOKUP(TEXT(O255,"0"),CONDUCTORES!$A$3:$H$54,6,0),"")</f>
        <v/>
      </c>
      <c r="R255" s="334" t="n"/>
      <c r="S255" s="334" t="n"/>
      <c r="T255" s="334" t="n"/>
      <c r="U255" s="334" t="n"/>
      <c r="V255" s="334" t="n"/>
      <c r="W255" s="334" t="n"/>
      <c r="X255" s="334" t="n"/>
      <c r="Y255" s="334" t="n"/>
      <c r="Z255" s="375">
        <f>IF(AND(G255&lt;&gt;"",R255&lt;&gt;"",V255&lt;&gt;"",W255&lt;&gt;""),"COMPLETADO","OBSERVADO")</f>
        <v/>
      </c>
    </row>
    <row r="256" ht="15" customHeight="1" s="195">
      <c r="A256" s="280" t="n"/>
      <c r="B256" s="280" t="n"/>
      <c r="C256" s="280" t="n"/>
      <c r="D256" s="280" t="n"/>
      <c r="E256" s="280" t="n"/>
      <c r="F256" s="280" t="n"/>
      <c r="G256" s="280" t="n"/>
      <c r="H256" s="280" t="n"/>
      <c r="I256" s="332">
        <f>IFERROR(VLOOKUP(TEXT(H256,"0"),IPRESS!$A$3:$B$212,2,0),"")</f>
        <v/>
      </c>
      <c r="J256" s="280" t="n"/>
      <c r="K256" s="332">
        <f>IFERROR(VLOOKUP(TEXT(O256,"0"),CONDUCTORES!$A$3:$G$54,7,0),"")</f>
        <v/>
      </c>
      <c r="L256" s="280" t="n"/>
      <c r="M256" s="280" t="n"/>
      <c r="N256" s="333">
        <f>IFERROR(IF(L256*M256=0,"",L256*M256),"")</f>
        <v/>
      </c>
      <c r="O256" s="280" t="n"/>
      <c r="P256" s="332">
        <f>IFERROR(VLOOKUP(TEXT(O256,"0"),CONDUCTORES!$A$3:$G$54,2,0),"")</f>
        <v/>
      </c>
      <c r="Q256" s="332">
        <f>IFERROR(VLOOKUP(TEXT(O256,"0"),CONDUCTORES!$A$3:$H$54,6,0),"")</f>
        <v/>
      </c>
      <c r="R256" s="280" t="n"/>
      <c r="S256" s="280" t="n"/>
      <c r="T256" s="280" t="n"/>
      <c r="U256" s="280" t="n"/>
      <c r="V256" s="280" t="n"/>
      <c r="W256" s="280" t="n"/>
      <c r="X256" s="280" t="n"/>
      <c r="Y256" s="280" t="n"/>
      <c r="Z256" s="375">
        <f>IF(AND(G256&lt;&gt;"",R256&lt;&gt;"",V256&lt;&gt;"",W256&lt;&gt;""),"COMPLETADO","OBSERVADO")</f>
        <v/>
      </c>
    </row>
    <row r="257" ht="15" customHeight="1" s="195">
      <c r="A257" s="334" t="n"/>
      <c r="B257" s="334" t="n"/>
      <c r="C257" s="334" t="n"/>
      <c r="D257" s="334" t="n"/>
      <c r="E257" s="334" t="n"/>
      <c r="F257" s="334" t="n"/>
      <c r="G257" s="334" t="n"/>
      <c r="H257" s="334" t="n"/>
      <c r="I257" s="332">
        <f>IFERROR(VLOOKUP(TEXT(H257,"0"),IPRESS!$A$3:$B$212,2,0),"")</f>
        <v/>
      </c>
      <c r="J257" s="334" t="n"/>
      <c r="K257" s="332">
        <f>IFERROR(VLOOKUP(TEXT(O257,"0"),CONDUCTORES!$A$3:$G$54,7,0),"")</f>
        <v/>
      </c>
      <c r="L257" s="334" t="n"/>
      <c r="M257" s="334" t="n"/>
      <c r="N257" s="333">
        <f>IFERROR(IF(L257*M257=0,"",L257*M257),"")</f>
        <v/>
      </c>
      <c r="O257" s="334" t="n"/>
      <c r="P257" s="332">
        <f>IFERROR(VLOOKUP(TEXT(O257,"0"),CONDUCTORES!$A$3:$G$54,2,0),"")</f>
        <v/>
      </c>
      <c r="Q257" s="332">
        <f>IFERROR(VLOOKUP(TEXT(O257,"0"),CONDUCTORES!$A$3:$H$54,6,0),"")</f>
        <v/>
      </c>
      <c r="R257" s="334" t="n"/>
      <c r="S257" s="334" t="n"/>
      <c r="T257" s="334" t="n"/>
      <c r="U257" s="334" t="n"/>
      <c r="V257" s="334" t="n"/>
      <c r="W257" s="334" t="n"/>
      <c r="X257" s="334" t="n"/>
      <c r="Y257" s="334" t="n"/>
      <c r="Z257" s="375">
        <f>IF(AND(G257&lt;&gt;"",R257&lt;&gt;"",V257&lt;&gt;"",W257&lt;&gt;""),"COMPLETADO","OBSERVADO")</f>
        <v/>
      </c>
    </row>
    <row r="258" ht="15" customHeight="1" s="195">
      <c r="A258" s="280" t="n"/>
      <c r="B258" s="280" t="n"/>
      <c r="C258" s="280" t="n"/>
      <c r="D258" s="280" t="n"/>
      <c r="E258" s="280" t="n"/>
      <c r="F258" s="280" t="n"/>
      <c r="G258" s="280" t="n"/>
      <c r="H258" s="280" t="n"/>
      <c r="I258" s="332">
        <f>IFERROR(VLOOKUP(TEXT(H258,"0"),IPRESS!$A$3:$B$212,2,0),"")</f>
        <v/>
      </c>
      <c r="J258" s="280" t="n"/>
      <c r="K258" s="332">
        <f>IFERROR(VLOOKUP(TEXT(O258,"0"),CONDUCTORES!$A$3:$G$54,7,0),"")</f>
        <v/>
      </c>
      <c r="L258" s="280" t="n"/>
      <c r="M258" s="280" t="n"/>
      <c r="N258" s="333">
        <f>IFERROR(IF(L258*M258=0,"",L258*M258),"")</f>
        <v/>
      </c>
      <c r="O258" s="280" t="n"/>
      <c r="P258" s="332">
        <f>IFERROR(VLOOKUP(TEXT(O258,"0"),CONDUCTORES!$A$3:$G$54,2,0),"")</f>
        <v/>
      </c>
      <c r="Q258" s="332">
        <f>IFERROR(VLOOKUP(TEXT(O258,"0"),CONDUCTORES!$A$3:$H$54,6,0),"")</f>
        <v/>
      </c>
      <c r="R258" s="280" t="n"/>
      <c r="S258" s="280" t="n"/>
      <c r="T258" s="280" t="n"/>
      <c r="U258" s="280" t="n"/>
      <c r="V258" s="280" t="n"/>
      <c r="W258" s="280" t="n"/>
      <c r="X258" s="280" t="n"/>
      <c r="Y258" s="280" t="n"/>
      <c r="Z258" s="375">
        <f>IF(AND(G258&lt;&gt;"",R258&lt;&gt;"",V258&lt;&gt;"",W258&lt;&gt;""),"COMPLETADO","OBSERVADO")</f>
        <v/>
      </c>
    </row>
    <row r="259" ht="15" customHeight="1" s="195">
      <c r="A259" s="334" t="n"/>
      <c r="B259" s="334" t="n"/>
      <c r="C259" s="334" t="n"/>
      <c r="D259" s="334" t="n"/>
      <c r="E259" s="334" t="n"/>
      <c r="F259" s="334" t="n"/>
      <c r="G259" s="334" t="n"/>
      <c r="H259" s="334" t="n"/>
      <c r="I259" s="332">
        <f>IFERROR(VLOOKUP(TEXT(H259,"0"),IPRESS!$A$3:$B$212,2,0),"")</f>
        <v/>
      </c>
      <c r="J259" s="334" t="n"/>
      <c r="K259" s="332">
        <f>IFERROR(VLOOKUP(TEXT(O259,"0"),CONDUCTORES!$A$3:$G$54,7,0),"")</f>
        <v/>
      </c>
      <c r="L259" s="334" t="n"/>
      <c r="M259" s="334" t="n"/>
      <c r="N259" s="333">
        <f>IFERROR(IF(L259*M259=0,"",L259*M259),"")</f>
        <v/>
      </c>
      <c r="O259" s="334" t="n"/>
      <c r="P259" s="332">
        <f>IFERROR(VLOOKUP(TEXT(O259,"0"),CONDUCTORES!$A$3:$G$54,2,0),"")</f>
        <v/>
      </c>
      <c r="Q259" s="332">
        <f>IFERROR(VLOOKUP(TEXT(O259,"0"),CONDUCTORES!$A$3:$H$54,6,0),"")</f>
        <v/>
      </c>
      <c r="R259" s="334" t="n"/>
      <c r="S259" s="334" t="n"/>
      <c r="T259" s="334" t="n"/>
      <c r="U259" s="334" t="n"/>
      <c r="V259" s="334" t="n"/>
      <c r="W259" s="334" t="n"/>
      <c r="X259" s="334" t="n"/>
      <c r="Y259" s="334" t="n"/>
      <c r="Z259" s="375">
        <f>IF(AND(G259&lt;&gt;"",R259&lt;&gt;"",V259&lt;&gt;"",W259&lt;&gt;""),"COMPLETADO","OBSERVADO")</f>
        <v/>
      </c>
    </row>
    <row r="260" ht="15" customHeight="1" s="195">
      <c r="A260" s="280" t="n"/>
      <c r="B260" s="280" t="n"/>
      <c r="C260" s="280" t="n"/>
      <c r="D260" s="280" t="n"/>
      <c r="E260" s="280" t="n"/>
      <c r="F260" s="280" t="n"/>
      <c r="G260" s="280" t="n"/>
      <c r="H260" s="280" t="n"/>
      <c r="I260" s="332">
        <f>IFERROR(VLOOKUP(TEXT(H260,"0"),IPRESS!$A$3:$B$212,2,0),"")</f>
        <v/>
      </c>
      <c r="J260" s="280" t="n"/>
      <c r="K260" s="332">
        <f>IFERROR(VLOOKUP(TEXT(O260,"0"),CONDUCTORES!$A$3:$G$54,7,0),"")</f>
        <v/>
      </c>
      <c r="L260" s="280" t="n"/>
      <c r="M260" s="280" t="n"/>
      <c r="N260" s="333">
        <f>IFERROR(IF(L260*M260=0,"",L260*M260),"")</f>
        <v/>
      </c>
      <c r="O260" s="280" t="n"/>
      <c r="P260" s="332">
        <f>IFERROR(VLOOKUP(TEXT(O260,"0"),CONDUCTORES!$A$3:$G$54,2,0),"")</f>
        <v/>
      </c>
      <c r="Q260" s="332">
        <f>IFERROR(VLOOKUP(TEXT(O260,"0"),CONDUCTORES!$A$3:$H$54,6,0),"")</f>
        <v/>
      </c>
      <c r="R260" s="280" t="n"/>
      <c r="S260" s="280" t="n"/>
      <c r="T260" s="280" t="n"/>
      <c r="U260" s="280" t="n"/>
      <c r="V260" s="280" t="n"/>
      <c r="W260" s="280" t="n"/>
      <c r="X260" s="280" t="n"/>
      <c r="Y260" s="280" t="n"/>
      <c r="Z260" s="375">
        <f>IF(AND(G260&lt;&gt;"",R260&lt;&gt;"",V260&lt;&gt;"",W260&lt;&gt;""),"COMPLETADO","OBSERVADO")</f>
        <v/>
      </c>
    </row>
    <row r="261" ht="15" customHeight="1" s="195">
      <c r="A261" s="334" t="n"/>
      <c r="B261" s="334" t="n"/>
      <c r="C261" s="334" t="n"/>
      <c r="D261" s="334" t="n"/>
      <c r="E261" s="334" t="n"/>
      <c r="F261" s="334" t="n"/>
      <c r="G261" s="334" t="n"/>
      <c r="H261" s="334" t="n"/>
      <c r="I261" s="332">
        <f>IFERROR(VLOOKUP(TEXT(H261,"0"),IPRESS!$A$3:$B$212,2,0),"")</f>
        <v/>
      </c>
      <c r="J261" s="334" t="n"/>
      <c r="K261" s="332">
        <f>IFERROR(VLOOKUP(TEXT(O261,"0"),CONDUCTORES!$A$3:$G$54,7,0),"")</f>
        <v/>
      </c>
      <c r="L261" s="334" t="n"/>
      <c r="M261" s="334" t="n"/>
      <c r="N261" s="333">
        <f>IFERROR(IF(L261*M261=0,"",L261*M261),"")</f>
        <v/>
      </c>
      <c r="O261" s="334" t="n"/>
      <c r="P261" s="332">
        <f>IFERROR(VLOOKUP(TEXT(O261,"0"),CONDUCTORES!$A$3:$G$54,2,0),"")</f>
        <v/>
      </c>
      <c r="Q261" s="332">
        <f>IFERROR(VLOOKUP(TEXT(O261,"0"),CONDUCTORES!$A$3:$H$54,6,0),"")</f>
        <v/>
      </c>
      <c r="R261" s="334" t="n"/>
      <c r="S261" s="334" t="n"/>
      <c r="T261" s="334" t="n"/>
      <c r="U261" s="334" t="n"/>
      <c r="V261" s="334" t="n"/>
      <c r="W261" s="334" t="n"/>
      <c r="X261" s="334" t="n"/>
      <c r="Y261" s="334" t="n"/>
      <c r="Z261" s="375">
        <f>IF(AND(G261&lt;&gt;"",R261&lt;&gt;"",V261&lt;&gt;"",W261&lt;&gt;""),"COMPLETADO","OBSERVADO")</f>
        <v/>
      </c>
    </row>
    <row r="262" ht="15" customHeight="1" s="195">
      <c r="A262" s="280" t="n"/>
      <c r="B262" s="280" t="n"/>
      <c r="C262" s="280" t="n"/>
      <c r="D262" s="280" t="n"/>
      <c r="E262" s="280" t="n"/>
      <c r="F262" s="280" t="n"/>
      <c r="G262" s="280" t="n"/>
      <c r="H262" s="280" t="n"/>
      <c r="I262" s="332">
        <f>IFERROR(VLOOKUP(TEXT(H262,"0"),IPRESS!$A$3:$B$212,2,0),"")</f>
        <v/>
      </c>
      <c r="J262" s="280" t="n"/>
      <c r="K262" s="332">
        <f>IFERROR(VLOOKUP(TEXT(O262,"0"),CONDUCTORES!$A$3:$G$54,7,0),"")</f>
        <v/>
      </c>
      <c r="L262" s="280" t="n"/>
      <c r="M262" s="280" t="n"/>
      <c r="N262" s="333">
        <f>IFERROR(IF(L262*M262=0,"",L262*M262),"")</f>
        <v/>
      </c>
      <c r="O262" s="280" t="n"/>
      <c r="P262" s="332">
        <f>IFERROR(VLOOKUP(TEXT(O262,"0"),CONDUCTORES!$A$3:$G$54,2,0),"")</f>
        <v/>
      </c>
      <c r="Q262" s="332">
        <f>IFERROR(VLOOKUP(TEXT(O262,"0"),CONDUCTORES!$A$3:$H$54,6,0),"")</f>
        <v/>
      </c>
      <c r="R262" s="280" t="n"/>
      <c r="S262" s="280" t="n"/>
      <c r="T262" s="280" t="n"/>
      <c r="U262" s="280" t="n"/>
      <c r="V262" s="280" t="n"/>
      <c r="W262" s="280" t="n"/>
      <c r="X262" s="280" t="n"/>
      <c r="Y262" s="280" t="n"/>
      <c r="Z262" s="375">
        <f>IF(AND(G262&lt;&gt;"",R262&lt;&gt;"",V262&lt;&gt;"",W262&lt;&gt;""),"COMPLETADO","OBSERVADO")</f>
        <v/>
      </c>
    </row>
    <row r="263" ht="15" customHeight="1" s="195">
      <c r="A263" s="334" t="n"/>
      <c r="B263" s="334" t="n"/>
      <c r="C263" s="334" t="n"/>
      <c r="D263" s="334" t="n"/>
      <c r="E263" s="334" t="n"/>
      <c r="F263" s="334" t="n"/>
      <c r="G263" s="334" t="n"/>
      <c r="H263" s="334" t="n"/>
      <c r="I263" s="332">
        <f>IFERROR(VLOOKUP(TEXT(H263,"0"),IPRESS!$A$3:$B$212,2,0),"")</f>
        <v/>
      </c>
      <c r="J263" s="334" t="n"/>
      <c r="K263" s="332">
        <f>IFERROR(VLOOKUP(TEXT(O263,"0"),CONDUCTORES!$A$3:$G$54,7,0),"")</f>
        <v/>
      </c>
      <c r="L263" s="334" t="n"/>
      <c r="M263" s="334" t="n"/>
      <c r="N263" s="333">
        <f>IFERROR(IF(L263*M263=0,"",L263*M263),"")</f>
        <v/>
      </c>
      <c r="O263" s="334" t="n"/>
      <c r="P263" s="332">
        <f>IFERROR(VLOOKUP(TEXT(O263,"0"),CONDUCTORES!$A$3:$G$54,2,0),"")</f>
        <v/>
      </c>
      <c r="Q263" s="332">
        <f>IFERROR(VLOOKUP(TEXT(O263,"0"),CONDUCTORES!$A$3:$H$54,6,0),"")</f>
        <v/>
      </c>
      <c r="R263" s="334" t="n"/>
      <c r="S263" s="334" t="n"/>
      <c r="T263" s="334" t="n"/>
      <c r="U263" s="334" t="n"/>
      <c r="V263" s="334" t="n"/>
      <c r="W263" s="334" t="n"/>
      <c r="X263" s="334" t="n"/>
      <c r="Y263" s="334" t="n"/>
      <c r="Z263" s="375">
        <f>IF(AND(G263&lt;&gt;"",R263&lt;&gt;"",V263&lt;&gt;"",W263&lt;&gt;""),"COMPLETADO","OBSERVADO")</f>
        <v/>
      </c>
    </row>
    <row r="264" ht="15" customHeight="1" s="195">
      <c r="A264" s="280" t="n"/>
      <c r="B264" s="280" t="n"/>
      <c r="C264" s="280" t="n"/>
      <c r="D264" s="280" t="n"/>
      <c r="E264" s="280" t="n"/>
      <c r="F264" s="280" t="n"/>
      <c r="G264" s="280" t="n"/>
      <c r="H264" s="280" t="n"/>
      <c r="I264" s="332">
        <f>IFERROR(VLOOKUP(TEXT(H264,"0"),IPRESS!$A$3:$B$212,2,0),"")</f>
        <v/>
      </c>
      <c r="J264" s="280" t="n"/>
      <c r="K264" s="332">
        <f>IFERROR(VLOOKUP(TEXT(O264,"0"),CONDUCTORES!$A$3:$G$54,7,0),"")</f>
        <v/>
      </c>
      <c r="L264" s="280" t="n"/>
      <c r="M264" s="280" t="n"/>
      <c r="N264" s="333">
        <f>IFERROR(IF(L264*M264=0,"",L264*M264),"")</f>
        <v/>
      </c>
      <c r="O264" s="280" t="n"/>
      <c r="P264" s="332">
        <f>IFERROR(VLOOKUP(TEXT(O264,"0"),CONDUCTORES!$A$3:$G$54,2,0),"")</f>
        <v/>
      </c>
      <c r="Q264" s="332">
        <f>IFERROR(VLOOKUP(TEXT(O264,"0"),CONDUCTORES!$A$3:$H$54,6,0),"")</f>
        <v/>
      </c>
      <c r="R264" s="280" t="n"/>
      <c r="S264" s="280" t="n"/>
      <c r="T264" s="280" t="n"/>
      <c r="U264" s="280" t="n"/>
      <c r="V264" s="280" t="n"/>
      <c r="W264" s="280" t="n"/>
      <c r="X264" s="280" t="n"/>
      <c r="Y264" s="280" t="n"/>
      <c r="Z264" s="375">
        <f>IF(AND(G264&lt;&gt;"",R264&lt;&gt;"",V264&lt;&gt;"",W264&lt;&gt;""),"COMPLETADO","OBSERVADO")</f>
        <v/>
      </c>
    </row>
    <row r="265" ht="15" customHeight="1" s="195">
      <c r="A265" s="334" t="n"/>
      <c r="B265" s="334" t="n"/>
      <c r="C265" s="334" t="n"/>
      <c r="D265" s="334" t="n"/>
      <c r="E265" s="334" t="n"/>
      <c r="F265" s="334" t="n"/>
      <c r="G265" s="334" t="n"/>
      <c r="H265" s="334" t="n"/>
      <c r="I265" s="332">
        <f>IFERROR(VLOOKUP(TEXT(H265,"0"),IPRESS!$A$3:$B$212,2,0),"")</f>
        <v/>
      </c>
      <c r="J265" s="334" t="n"/>
      <c r="K265" s="332">
        <f>IFERROR(VLOOKUP(TEXT(O265,"0"),CONDUCTORES!$A$3:$G$54,7,0),"")</f>
        <v/>
      </c>
      <c r="L265" s="334" t="n"/>
      <c r="M265" s="334" t="n"/>
      <c r="N265" s="333">
        <f>IFERROR(IF(L265*M265=0,"",L265*M265),"")</f>
        <v/>
      </c>
      <c r="O265" s="334" t="n"/>
      <c r="P265" s="332">
        <f>IFERROR(VLOOKUP(TEXT(O265,"0"),CONDUCTORES!$A$3:$G$54,2,0),"")</f>
        <v/>
      </c>
      <c r="Q265" s="332">
        <f>IFERROR(VLOOKUP(TEXT(O265,"0"),CONDUCTORES!$A$3:$H$54,6,0),"")</f>
        <v/>
      </c>
      <c r="R265" s="334" t="n"/>
      <c r="S265" s="334" t="n"/>
      <c r="T265" s="334" t="n"/>
      <c r="U265" s="334" t="n"/>
      <c r="V265" s="334" t="n"/>
      <c r="W265" s="334" t="n"/>
      <c r="X265" s="334" t="n"/>
      <c r="Y265" s="334" t="n"/>
      <c r="Z265" s="375">
        <f>IF(AND(G265&lt;&gt;"",R265&lt;&gt;"",V265&lt;&gt;"",W265&lt;&gt;""),"COMPLETADO","OBSERVADO")</f>
        <v/>
      </c>
    </row>
    <row r="266" ht="15" customHeight="1" s="195">
      <c r="A266" s="280" t="n"/>
      <c r="B266" s="280" t="n"/>
      <c r="C266" s="280" t="n"/>
      <c r="D266" s="280" t="n"/>
      <c r="E266" s="280" t="n"/>
      <c r="F266" s="280" t="n"/>
      <c r="G266" s="280" t="n"/>
      <c r="H266" s="280" t="n"/>
      <c r="I266" s="332">
        <f>IFERROR(VLOOKUP(TEXT(H266,"0"),IPRESS!$A$3:$B$212,2,0),"")</f>
        <v/>
      </c>
      <c r="J266" s="280" t="n"/>
      <c r="K266" s="332">
        <f>IFERROR(VLOOKUP(TEXT(O266,"0"),CONDUCTORES!$A$3:$G$54,7,0),"")</f>
        <v/>
      </c>
      <c r="L266" s="280" t="n"/>
      <c r="M266" s="280" t="n"/>
      <c r="N266" s="333">
        <f>IFERROR(IF(L266*M266=0,"",L266*M266),"")</f>
        <v/>
      </c>
      <c r="O266" s="280" t="n"/>
      <c r="P266" s="332">
        <f>IFERROR(VLOOKUP(TEXT(O266,"0"),CONDUCTORES!$A$3:$G$54,2,0),"")</f>
        <v/>
      </c>
      <c r="Q266" s="332">
        <f>IFERROR(VLOOKUP(TEXT(O266,"0"),CONDUCTORES!$A$3:$H$54,6,0),"")</f>
        <v/>
      </c>
      <c r="R266" s="280" t="n"/>
      <c r="S266" s="280" t="n"/>
      <c r="T266" s="280" t="n"/>
      <c r="U266" s="280" t="n"/>
      <c r="V266" s="280" t="n"/>
      <c r="W266" s="280" t="n"/>
      <c r="X266" s="280" t="n"/>
      <c r="Y266" s="280" t="n"/>
      <c r="Z266" s="375">
        <f>IF(AND(G266&lt;&gt;"",R266&lt;&gt;"",V266&lt;&gt;"",W266&lt;&gt;""),"COMPLETADO","OBSERVADO")</f>
        <v/>
      </c>
    </row>
    <row r="267" ht="15" customHeight="1" s="195">
      <c r="A267" s="334" t="n"/>
      <c r="B267" s="334" t="n"/>
      <c r="C267" s="334" t="n"/>
      <c r="D267" s="334" t="n"/>
      <c r="E267" s="334" t="n"/>
      <c r="F267" s="334" t="n"/>
      <c r="G267" s="334" t="n"/>
      <c r="H267" s="334" t="n"/>
      <c r="I267" s="332">
        <f>IFERROR(VLOOKUP(TEXT(H267,"0"),IPRESS!$A$3:$B$212,2,0),"")</f>
        <v/>
      </c>
      <c r="J267" s="334" t="n"/>
      <c r="K267" s="332">
        <f>IFERROR(VLOOKUP(TEXT(O267,"0"),CONDUCTORES!$A$3:$G$54,7,0),"")</f>
        <v/>
      </c>
      <c r="L267" s="334" t="n"/>
      <c r="M267" s="334" t="n"/>
      <c r="N267" s="333">
        <f>IFERROR(IF(L267*M267=0,"",L267*M267),"")</f>
        <v/>
      </c>
      <c r="O267" s="334" t="n"/>
      <c r="P267" s="332">
        <f>IFERROR(VLOOKUP(TEXT(O267,"0"),CONDUCTORES!$A$3:$G$54,2,0),"")</f>
        <v/>
      </c>
      <c r="Q267" s="332">
        <f>IFERROR(VLOOKUP(TEXT(O267,"0"),CONDUCTORES!$A$3:$H$54,6,0),"")</f>
        <v/>
      </c>
      <c r="R267" s="334" t="n"/>
      <c r="S267" s="334" t="n"/>
      <c r="T267" s="334" t="n"/>
      <c r="U267" s="334" t="n"/>
      <c r="V267" s="334" t="n"/>
      <c r="W267" s="334" t="n"/>
      <c r="X267" s="334" t="n"/>
      <c r="Y267" s="334" t="n"/>
      <c r="Z267" s="375">
        <f>IF(AND(G267&lt;&gt;"",R267&lt;&gt;"",V267&lt;&gt;"",W267&lt;&gt;""),"COMPLETADO","OBSERVADO")</f>
        <v/>
      </c>
    </row>
    <row r="268" ht="15" customHeight="1" s="195">
      <c r="A268" s="280" t="n"/>
      <c r="B268" s="280" t="n"/>
      <c r="C268" s="280" t="n"/>
      <c r="D268" s="280" t="n"/>
      <c r="E268" s="280" t="n"/>
      <c r="F268" s="280" t="n"/>
      <c r="G268" s="280" t="n"/>
      <c r="H268" s="280" t="n"/>
      <c r="I268" s="332">
        <f>IFERROR(VLOOKUP(TEXT(H268,"0"),IPRESS!$A$3:$B$212,2,0),"")</f>
        <v/>
      </c>
      <c r="J268" s="280" t="n"/>
      <c r="K268" s="332">
        <f>IFERROR(VLOOKUP(TEXT(O268,"0"),CONDUCTORES!$A$3:$G$54,7,0),"")</f>
        <v/>
      </c>
      <c r="L268" s="280" t="n"/>
      <c r="M268" s="280" t="n"/>
      <c r="N268" s="333">
        <f>IFERROR(IF(L268*M268=0,"",L268*M268),"")</f>
        <v/>
      </c>
      <c r="O268" s="280" t="n"/>
      <c r="P268" s="332">
        <f>IFERROR(VLOOKUP(TEXT(O268,"0"),CONDUCTORES!$A$3:$G$54,2,0),"")</f>
        <v/>
      </c>
      <c r="Q268" s="332">
        <f>IFERROR(VLOOKUP(TEXT(O268,"0"),CONDUCTORES!$A$3:$H$54,6,0),"")</f>
        <v/>
      </c>
      <c r="R268" s="280" t="n"/>
      <c r="S268" s="280" t="n"/>
      <c r="T268" s="280" t="n"/>
      <c r="U268" s="280" t="n"/>
      <c r="V268" s="280" t="n"/>
      <c r="W268" s="280" t="n"/>
      <c r="X268" s="280" t="n"/>
      <c r="Y268" s="280" t="n"/>
      <c r="Z268" s="375">
        <f>IF(AND(G268&lt;&gt;"",R268&lt;&gt;"",V268&lt;&gt;"",W268&lt;&gt;""),"COMPLETADO","OBSERVADO")</f>
        <v/>
      </c>
    </row>
    <row r="269" ht="15" customHeight="1" s="195">
      <c r="A269" s="334" t="n"/>
      <c r="B269" s="334" t="n"/>
      <c r="C269" s="334" t="n"/>
      <c r="D269" s="334" t="n"/>
      <c r="E269" s="334" t="n"/>
      <c r="F269" s="334" t="n"/>
      <c r="G269" s="334" t="n"/>
      <c r="H269" s="334" t="n"/>
      <c r="I269" s="332">
        <f>IFERROR(VLOOKUP(TEXT(H269,"0"),IPRESS!$A$3:$B$212,2,0),"")</f>
        <v/>
      </c>
      <c r="J269" s="334" t="n"/>
      <c r="K269" s="332">
        <f>IFERROR(VLOOKUP(TEXT(O269,"0"),CONDUCTORES!$A$3:$G$54,7,0),"")</f>
        <v/>
      </c>
      <c r="L269" s="334" t="n"/>
      <c r="M269" s="334" t="n"/>
      <c r="N269" s="333">
        <f>IFERROR(IF(L269*M269=0,"",L269*M269),"")</f>
        <v/>
      </c>
      <c r="O269" s="334" t="n"/>
      <c r="P269" s="332">
        <f>IFERROR(VLOOKUP(TEXT(O269,"0"),CONDUCTORES!$A$3:$G$54,2,0),"")</f>
        <v/>
      </c>
      <c r="Q269" s="332">
        <f>IFERROR(VLOOKUP(TEXT(O269,"0"),CONDUCTORES!$A$3:$H$54,6,0),"")</f>
        <v/>
      </c>
      <c r="R269" s="334" t="n"/>
      <c r="S269" s="334" t="n"/>
      <c r="T269" s="334" t="n"/>
      <c r="U269" s="334" t="n"/>
      <c r="V269" s="334" t="n"/>
      <c r="W269" s="334" t="n"/>
      <c r="X269" s="334" t="n"/>
      <c r="Y269" s="334" t="n"/>
      <c r="Z269" s="375">
        <f>IF(AND(G269&lt;&gt;"",R269&lt;&gt;"",V269&lt;&gt;"",W269&lt;&gt;""),"COMPLETADO","OBSERVADO")</f>
        <v/>
      </c>
    </row>
    <row r="270" ht="15" customHeight="1" s="195">
      <c r="A270" s="280" t="n"/>
      <c r="B270" s="280" t="n"/>
      <c r="C270" s="280" t="n"/>
      <c r="D270" s="280" t="n"/>
      <c r="E270" s="280" t="n"/>
      <c r="F270" s="280" t="n"/>
      <c r="G270" s="280" t="n"/>
      <c r="H270" s="280" t="n"/>
      <c r="I270" s="332">
        <f>IFERROR(VLOOKUP(TEXT(H270,"0"),IPRESS!$A$3:$B$212,2,0),"")</f>
        <v/>
      </c>
      <c r="J270" s="280" t="n"/>
      <c r="K270" s="332">
        <f>IFERROR(VLOOKUP(TEXT(O270,"0"),CONDUCTORES!$A$3:$G$54,7,0),"")</f>
        <v/>
      </c>
      <c r="L270" s="280" t="n"/>
      <c r="M270" s="280" t="n"/>
      <c r="N270" s="333">
        <f>IFERROR(IF(L270*M270=0,"",L270*M270),"")</f>
        <v/>
      </c>
      <c r="O270" s="280" t="n"/>
      <c r="P270" s="332">
        <f>IFERROR(VLOOKUP(TEXT(O270,"0"),CONDUCTORES!$A$3:$G$54,2,0),"")</f>
        <v/>
      </c>
      <c r="Q270" s="332">
        <f>IFERROR(VLOOKUP(TEXT(O270,"0"),CONDUCTORES!$A$3:$H$54,6,0),"")</f>
        <v/>
      </c>
      <c r="R270" s="280" t="n"/>
      <c r="S270" s="280" t="n"/>
      <c r="T270" s="280" t="n"/>
      <c r="U270" s="280" t="n"/>
      <c r="V270" s="280" t="n"/>
      <c r="W270" s="280" t="n"/>
      <c r="X270" s="280" t="n"/>
      <c r="Y270" s="280" t="n"/>
      <c r="Z270" s="375">
        <f>IF(AND(G270&lt;&gt;"",R270&lt;&gt;"",V270&lt;&gt;"",W270&lt;&gt;""),"COMPLETADO","OBSERVADO")</f>
        <v/>
      </c>
    </row>
    <row r="271" ht="15" customHeight="1" s="195">
      <c r="A271" s="334" t="n"/>
      <c r="B271" s="334" t="n"/>
      <c r="C271" s="334" t="n"/>
      <c r="D271" s="334" t="n"/>
      <c r="E271" s="334" t="n"/>
      <c r="F271" s="334" t="n"/>
      <c r="G271" s="334" t="n"/>
      <c r="H271" s="334" t="n"/>
      <c r="I271" s="332">
        <f>IFERROR(VLOOKUP(TEXT(H271,"0"),IPRESS!$A$3:$B$212,2,0),"")</f>
        <v/>
      </c>
      <c r="J271" s="334" t="n"/>
      <c r="K271" s="332">
        <f>IFERROR(VLOOKUP(TEXT(O271,"0"),CONDUCTORES!$A$3:$G$54,7,0),"")</f>
        <v/>
      </c>
      <c r="L271" s="334" t="n"/>
      <c r="M271" s="334" t="n"/>
      <c r="N271" s="333">
        <f>IFERROR(IF(L271*M271=0,"",L271*M271),"")</f>
        <v/>
      </c>
      <c r="O271" s="334" t="n"/>
      <c r="P271" s="332">
        <f>IFERROR(VLOOKUP(TEXT(O271,"0"),CONDUCTORES!$A$3:$G$54,2,0),"")</f>
        <v/>
      </c>
      <c r="Q271" s="332">
        <f>IFERROR(VLOOKUP(TEXT(O271,"0"),CONDUCTORES!$A$3:$H$54,6,0),"")</f>
        <v/>
      </c>
      <c r="R271" s="334" t="n"/>
      <c r="S271" s="334" t="n"/>
      <c r="T271" s="334" t="n"/>
      <c r="U271" s="334" t="n"/>
      <c r="V271" s="334" t="n"/>
      <c r="W271" s="334" t="n"/>
      <c r="X271" s="334" t="n"/>
      <c r="Y271" s="334" t="n"/>
      <c r="Z271" s="375">
        <f>IF(AND(G271&lt;&gt;"",R271&lt;&gt;"",V271&lt;&gt;"",W271&lt;&gt;""),"COMPLETADO","OBSERVADO")</f>
        <v/>
      </c>
    </row>
    <row r="272" ht="15" customHeight="1" s="195">
      <c r="A272" s="280" t="n"/>
      <c r="B272" s="280" t="n"/>
      <c r="C272" s="280" t="n"/>
      <c r="D272" s="280" t="n"/>
      <c r="E272" s="280" t="n"/>
      <c r="F272" s="280" t="n"/>
      <c r="G272" s="280" t="n"/>
      <c r="H272" s="280" t="n"/>
      <c r="I272" s="332">
        <f>IFERROR(VLOOKUP(TEXT(H272,"0"),IPRESS!$A$3:$B$212,2,0),"")</f>
        <v/>
      </c>
      <c r="J272" s="280" t="n"/>
      <c r="K272" s="332">
        <f>IFERROR(VLOOKUP(TEXT(O272,"0"),CONDUCTORES!$A$3:$G$54,7,0),"")</f>
        <v/>
      </c>
      <c r="L272" s="280" t="n"/>
      <c r="M272" s="280" t="n"/>
      <c r="N272" s="333">
        <f>IFERROR(IF(L272*M272=0,"",L272*M272),"")</f>
        <v/>
      </c>
      <c r="O272" s="280" t="n"/>
      <c r="P272" s="332">
        <f>IFERROR(VLOOKUP(TEXT(O272,"0"),CONDUCTORES!$A$3:$G$54,2,0),"")</f>
        <v/>
      </c>
      <c r="Q272" s="332">
        <f>IFERROR(VLOOKUP(TEXT(O272,"0"),CONDUCTORES!$A$3:$H$54,6,0),"")</f>
        <v/>
      </c>
      <c r="R272" s="280" t="n"/>
      <c r="S272" s="280" t="n"/>
      <c r="T272" s="280" t="n"/>
      <c r="U272" s="280" t="n"/>
      <c r="V272" s="280" t="n"/>
      <c r="W272" s="280" t="n"/>
      <c r="X272" s="280" t="n"/>
      <c r="Y272" s="280" t="n"/>
      <c r="Z272" s="375">
        <f>IF(AND(G272&lt;&gt;"",R272&lt;&gt;"",V272&lt;&gt;"",W272&lt;&gt;""),"COMPLETADO","OBSERVADO")</f>
        <v/>
      </c>
    </row>
    <row r="273" ht="15" customHeight="1" s="195">
      <c r="A273" s="334" t="n"/>
      <c r="B273" s="334" t="n"/>
      <c r="C273" s="334" t="n"/>
      <c r="D273" s="334" t="n"/>
      <c r="E273" s="334" t="n"/>
      <c r="F273" s="334" t="n"/>
      <c r="G273" s="334" t="n"/>
      <c r="H273" s="334" t="n"/>
      <c r="I273" s="332">
        <f>IFERROR(VLOOKUP(TEXT(H273,"0"),IPRESS!$A$3:$B$212,2,0),"")</f>
        <v/>
      </c>
      <c r="J273" s="334" t="n"/>
      <c r="K273" s="332">
        <f>IFERROR(VLOOKUP(TEXT(O273,"0"),CONDUCTORES!$A$3:$G$54,7,0),"")</f>
        <v/>
      </c>
      <c r="L273" s="334" t="n"/>
      <c r="M273" s="334" t="n"/>
      <c r="N273" s="333">
        <f>IFERROR(IF(L273*M273=0,"",L273*M273),"")</f>
        <v/>
      </c>
      <c r="O273" s="334" t="n"/>
      <c r="P273" s="332">
        <f>IFERROR(VLOOKUP(TEXT(O273,"0"),CONDUCTORES!$A$3:$G$54,2,0),"")</f>
        <v/>
      </c>
      <c r="Q273" s="332">
        <f>IFERROR(VLOOKUP(TEXT(O273,"0"),CONDUCTORES!$A$3:$H$54,6,0),"")</f>
        <v/>
      </c>
      <c r="R273" s="334" t="n"/>
      <c r="S273" s="334" t="n"/>
      <c r="T273" s="334" t="n"/>
      <c r="U273" s="334" t="n"/>
      <c r="V273" s="334" t="n"/>
      <c r="W273" s="334" t="n"/>
      <c r="X273" s="334" t="n"/>
      <c r="Y273" s="334" t="n"/>
      <c r="Z273" s="375">
        <f>IF(AND(G273&lt;&gt;"",R273&lt;&gt;"",V273&lt;&gt;"",W273&lt;&gt;""),"COMPLETADO","OBSERVADO")</f>
        <v/>
      </c>
    </row>
    <row r="274" ht="15" customHeight="1" s="195">
      <c r="A274" s="280" t="n"/>
      <c r="B274" s="280" t="n"/>
      <c r="C274" s="280" t="n"/>
      <c r="D274" s="280" t="n"/>
      <c r="E274" s="280" t="n"/>
      <c r="F274" s="280" t="n"/>
      <c r="G274" s="280" t="n"/>
      <c r="H274" s="280" t="n"/>
      <c r="I274" s="332">
        <f>IFERROR(VLOOKUP(TEXT(H274,"0"),IPRESS!$A$3:$B$212,2,0),"")</f>
        <v/>
      </c>
      <c r="J274" s="280" t="n"/>
      <c r="K274" s="332">
        <f>IFERROR(VLOOKUP(TEXT(O274,"0"),CONDUCTORES!$A$3:$G$54,7,0),"")</f>
        <v/>
      </c>
      <c r="L274" s="280" t="n"/>
      <c r="M274" s="280" t="n"/>
      <c r="N274" s="333">
        <f>IFERROR(IF(L274*M274=0,"",L274*M274),"")</f>
        <v/>
      </c>
      <c r="O274" s="280" t="n"/>
      <c r="P274" s="332">
        <f>IFERROR(VLOOKUP(TEXT(O274,"0"),CONDUCTORES!$A$3:$G$54,2,0),"")</f>
        <v/>
      </c>
      <c r="Q274" s="332">
        <f>IFERROR(VLOOKUP(TEXT(O274,"0"),CONDUCTORES!$A$3:$H$54,6,0),"")</f>
        <v/>
      </c>
      <c r="R274" s="280" t="n"/>
      <c r="S274" s="280" t="n"/>
      <c r="T274" s="280" t="n"/>
      <c r="U274" s="280" t="n"/>
      <c r="V274" s="280" t="n"/>
      <c r="W274" s="280" t="n"/>
      <c r="X274" s="280" t="n"/>
      <c r="Y274" s="280" t="n"/>
      <c r="Z274" s="375">
        <f>IF(AND(G274&lt;&gt;"",R274&lt;&gt;"",V274&lt;&gt;"",W274&lt;&gt;""),"COMPLETADO","OBSERVADO")</f>
        <v/>
      </c>
    </row>
    <row r="275" ht="15" customHeight="1" s="195">
      <c r="A275" s="334" t="n"/>
      <c r="B275" s="334" t="n"/>
      <c r="C275" s="334" t="n"/>
      <c r="D275" s="334" t="n"/>
      <c r="E275" s="334" t="n"/>
      <c r="F275" s="334" t="n"/>
      <c r="G275" s="334" t="n"/>
      <c r="H275" s="334" t="n"/>
      <c r="I275" s="332">
        <f>IFERROR(VLOOKUP(TEXT(H275,"0"),IPRESS!$A$3:$B$212,2,0),"")</f>
        <v/>
      </c>
      <c r="J275" s="334" t="n"/>
      <c r="K275" s="332">
        <f>IFERROR(VLOOKUP(TEXT(O275,"0"),CONDUCTORES!$A$3:$G$54,7,0),"")</f>
        <v/>
      </c>
      <c r="L275" s="334" t="n"/>
      <c r="M275" s="334" t="n"/>
      <c r="N275" s="333">
        <f>IFERROR(IF(L275*M275=0,"",L275*M275),"")</f>
        <v/>
      </c>
      <c r="O275" s="334" t="n"/>
      <c r="P275" s="332">
        <f>IFERROR(VLOOKUP(TEXT(O275,"0"),CONDUCTORES!$A$3:$G$54,2,0),"")</f>
        <v/>
      </c>
      <c r="Q275" s="332">
        <f>IFERROR(VLOOKUP(TEXT(O275,"0"),CONDUCTORES!$A$3:$H$54,6,0),"")</f>
        <v/>
      </c>
      <c r="R275" s="334" t="n"/>
      <c r="S275" s="334" t="n"/>
      <c r="T275" s="334" t="n"/>
      <c r="U275" s="334" t="n"/>
      <c r="V275" s="334" t="n"/>
      <c r="W275" s="334" t="n"/>
      <c r="X275" s="334" t="n"/>
      <c r="Y275" s="334" t="n"/>
      <c r="Z275" s="375">
        <f>IF(AND(G275&lt;&gt;"",R275&lt;&gt;"",V275&lt;&gt;"",W275&lt;&gt;""),"COMPLETADO","OBSERVADO")</f>
        <v/>
      </c>
    </row>
    <row r="276" ht="15" customHeight="1" s="195">
      <c r="A276" s="280" t="n"/>
      <c r="B276" s="280" t="n"/>
      <c r="C276" s="280" t="n"/>
      <c r="D276" s="280" t="n"/>
      <c r="E276" s="280" t="n"/>
      <c r="F276" s="280" t="n"/>
      <c r="G276" s="280" t="n"/>
      <c r="H276" s="280" t="n"/>
      <c r="I276" s="332">
        <f>IFERROR(VLOOKUP(TEXT(H276,"0"),IPRESS!$A$3:$B$212,2,0),"")</f>
        <v/>
      </c>
      <c r="J276" s="280" t="n"/>
      <c r="K276" s="332">
        <f>IFERROR(VLOOKUP(TEXT(O276,"0"),CONDUCTORES!$A$3:$G$54,7,0),"")</f>
        <v/>
      </c>
      <c r="L276" s="280" t="n"/>
      <c r="M276" s="280" t="n"/>
      <c r="N276" s="333">
        <f>IFERROR(IF(L276*M276=0,"",L276*M276),"")</f>
        <v/>
      </c>
      <c r="O276" s="280" t="n"/>
      <c r="P276" s="332">
        <f>IFERROR(VLOOKUP(TEXT(O276,"0"),CONDUCTORES!$A$3:$G$54,2,0),"")</f>
        <v/>
      </c>
      <c r="Q276" s="332">
        <f>IFERROR(VLOOKUP(TEXT(O276,"0"),CONDUCTORES!$A$3:$H$54,6,0),"")</f>
        <v/>
      </c>
      <c r="R276" s="280" t="n"/>
      <c r="S276" s="280" t="n"/>
      <c r="T276" s="280" t="n"/>
      <c r="U276" s="280" t="n"/>
      <c r="V276" s="280" t="n"/>
      <c r="W276" s="280" t="n"/>
      <c r="X276" s="280" t="n"/>
      <c r="Y276" s="280" t="n"/>
      <c r="Z276" s="375">
        <f>IF(AND(G276&lt;&gt;"",R276&lt;&gt;"",V276&lt;&gt;"",W276&lt;&gt;""),"COMPLETADO","OBSERVADO")</f>
        <v/>
      </c>
    </row>
    <row r="277" ht="15" customHeight="1" s="195">
      <c r="A277" s="334" t="n"/>
      <c r="B277" s="334" t="n"/>
      <c r="C277" s="334" t="n"/>
      <c r="D277" s="334" t="n"/>
      <c r="E277" s="334" t="n"/>
      <c r="F277" s="334" t="n"/>
      <c r="G277" s="334" t="n"/>
      <c r="H277" s="334" t="n"/>
      <c r="I277" s="332">
        <f>IFERROR(VLOOKUP(TEXT(H277,"0"),IPRESS!$A$3:$B$212,2,0),"")</f>
        <v/>
      </c>
      <c r="J277" s="334" t="n"/>
      <c r="K277" s="332">
        <f>IFERROR(VLOOKUP(TEXT(O277,"0"),CONDUCTORES!$A$3:$G$54,7,0),"")</f>
        <v/>
      </c>
      <c r="L277" s="334" t="n"/>
      <c r="M277" s="334" t="n"/>
      <c r="N277" s="333">
        <f>IFERROR(IF(L277*M277=0,"",L277*M277),"")</f>
        <v/>
      </c>
      <c r="O277" s="334" t="n"/>
      <c r="P277" s="332">
        <f>IFERROR(VLOOKUP(TEXT(O277,"0"),CONDUCTORES!$A$3:$G$54,2,0),"")</f>
        <v/>
      </c>
      <c r="Q277" s="332">
        <f>IFERROR(VLOOKUP(TEXT(O277,"0"),CONDUCTORES!$A$3:$H$54,6,0),"")</f>
        <v/>
      </c>
      <c r="R277" s="334" t="n"/>
      <c r="S277" s="334" t="n"/>
      <c r="T277" s="334" t="n"/>
      <c r="U277" s="334" t="n"/>
      <c r="V277" s="334" t="n"/>
      <c r="W277" s="334" t="n"/>
      <c r="X277" s="334" t="n"/>
      <c r="Y277" s="334" t="n"/>
      <c r="Z277" s="375">
        <f>IF(AND(G277&lt;&gt;"",R277&lt;&gt;"",V277&lt;&gt;"",W277&lt;&gt;""),"COMPLETADO","OBSERVADO")</f>
        <v/>
      </c>
    </row>
    <row r="278" ht="15" customHeight="1" s="195">
      <c r="A278" s="280" t="n"/>
      <c r="B278" s="280" t="n"/>
      <c r="C278" s="280" t="n"/>
      <c r="D278" s="280" t="n"/>
      <c r="E278" s="280" t="n"/>
      <c r="F278" s="280" t="n"/>
      <c r="G278" s="280" t="n"/>
      <c r="H278" s="280" t="n"/>
      <c r="I278" s="332">
        <f>IFERROR(VLOOKUP(TEXT(H278,"0"),IPRESS!$A$3:$B$212,2,0),"")</f>
        <v/>
      </c>
      <c r="J278" s="280" t="n"/>
      <c r="K278" s="332">
        <f>IFERROR(VLOOKUP(TEXT(O278,"0"),CONDUCTORES!$A$3:$G$54,7,0),"")</f>
        <v/>
      </c>
      <c r="L278" s="280" t="n"/>
      <c r="M278" s="280" t="n"/>
      <c r="N278" s="333">
        <f>IFERROR(IF(L278*M278=0,"",L278*M278),"")</f>
        <v/>
      </c>
      <c r="O278" s="280" t="n"/>
      <c r="P278" s="332">
        <f>IFERROR(VLOOKUP(TEXT(O278,"0"),CONDUCTORES!$A$3:$G$54,2,0),"")</f>
        <v/>
      </c>
      <c r="Q278" s="332">
        <f>IFERROR(VLOOKUP(TEXT(O278,"0"),CONDUCTORES!$A$3:$H$54,6,0),"")</f>
        <v/>
      </c>
      <c r="R278" s="280" t="n"/>
      <c r="S278" s="280" t="n"/>
      <c r="T278" s="280" t="n"/>
      <c r="U278" s="280" t="n"/>
      <c r="V278" s="280" t="n"/>
      <c r="W278" s="280" t="n"/>
      <c r="X278" s="280" t="n"/>
      <c r="Y278" s="280" t="n"/>
      <c r="Z278" s="375">
        <f>IF(AND(G278&lt;&gt;"",R278&lt;&gt;"",V278&lt;&gt;"",W278&lt;&gt;""),"COMPLETADO","OBSERVADO")</f>
        <v/>
      </c>
    </row>
    <row r="279" ht="15" customHeight="1" s="195">
      <c r="A279" s="334" t="n"/>
      <c r="B279" s="334" t="n"/>
      <c r="C279" s="334" t="n"/>
      <c r="D279" s="334" t="n"/>
      <c r="E279" s="334" t="n"/>
      <c r="F279" s="334" t="n"/>
      <c r="G279" s="334" t="n"/>
      <c r="H279" s="334" t="n"/>
      <c r="I279" s="332">
        <f>IFERROR(VLOOKUP(TEXT(H279,"0"),IPRESS!$A$3:$B$212,2,0),"")</f>
        <v/>
      </c>
      <c r="J279" s="334" t="n"/>
      <c r="K279" s="332">
        <f>IFERROR(VLOOKUP(TEXT(O279,"0"),CONDUCTORES!$A$3:$G$54,7,0),"")</f>
        <v/>
      </c>
      <c r="L279" s="334" t="n"/>
      <c r="M279" s="334" t="n"/>
      <c r="N279" s="333">
        <f>IFERROR(IF(L279*M279=0,"",L279*M279),"")</f>
        <v/>
      </c>
      <c r="O279" s="334" t="n"/>
      <c r="P279" s="332">
        <f>IFERROR(VLOOKUP(TEXT(O279,"0"),CONDUCTORES!$A$3:$G$54,2,0),"")</f>
        <v/>
      </c>
      <c r="Q279" s="332">
        <f>IFERROR(VLOOKUP(TEXT(O279,"0"),CONDUCTORES!$A$3:$H$54,6,0),"")</f>
        <v/>
      </c>
      <c r="R279" s="334" t="n"/>
      <c r="S279" s="334" t="n"/>
      <c r="T279" s="334" t="n"/>
      <c r="U279" s="334" t="n"/>
      <c r="V279" s="334" t="n"/>
      <c r="W279" s="334" t="n"/>
      <c r="X279" s="334" t="n"/>
      <c r="Y279" s="334" t="n"/>
      <c r="Z279" s="375">
        <f>IF(AND(G279&lt;&gt;"",R279&lt;&gt;"",V279&lt;&gt;"",W279&lt;&gt;""),"COMPLETADO","OBSERVADO")</f>
        <v/>
      </c>
    </row>
    <row r="280" ht="15" customHeight="1" s="195">
      <c r="A280" s="280" t="n"/>
      <c r="B280" s="280" t="n"/>
      <c r="C280" s="280" t="n"/>
      <c r="D280" s="280" t="n"/>
      <c r="E280" s="280" t="n"/>
      <c r="F280" s="280" t="n"/>
      <c r="G280" s="280" t="n"/>
      <c r="H280" s="280" t="n"/>
      <c r="I280" s="332">
        <f>IFERROR(VLOOKUP(TEXT(H280,"0"),IPRESS!$A$3:$B$212,2,0),"")</f>
        <v/>
      </c>
      <c r="J280" s="280" t="n"/>
      <c r="K280" s="332">
        <f>IFERROR(VLOOKUP(TEXT(O280,"0"),CONDUCTORES!$A$3:$G$54,7,0),"")</f>
        <v/>
      </c>
      <c r="L280" s="280" t="n"/>
      <c r="M280" s="280" t="n"/>
      <c r="N280" s="333">
        <f>IFERROR(IF(L280*M280=0,"",L280*M280),"")</f>
        <v/>
      </c>
      <c r="O280" s="280" t="n"/>
      <c r="P280" s="332">
        <f>IFERROR(VLOOKUP(TEXT(O280,"0"),CONDUCTORES!$A$3:$G$54,2,0),"")</f>
        <v/>
      </c>
      <c r="Q280" s="332">
        <f>IFERROR(VLOOKUP(TEXT(O280,"0"),CONDUCTORES!$A$3:$H$54,6,0),"")</f>
        <v/>
      </c>
      <c r="R280" s="280" t="n"/>
      <c r="S280" s="280" t="n"/>
      <c r="T280" s="280" t="n"/>
      <c r="U280" s="280" t="n"/>
      <c r="V280" s="280" t="n"/>
      <c r="W280" s="280" t="n"/>
      <c r="X280" s="280" t="n"/>
      <c r="Y280" s="280" t="n"/>
      <c r="Z280" s="375">
        <f>IF(AND(G280&lt;&gt;"",R280&lt;&gt;"",V280&lt;&gt;"",W280&lt;&gt;""),"COMPLETADO","OBSERVADO")</f>
        <v/>
      </c>
    </row>
    <row r="281" ht="15" customHeight="1" s="195">
      <c r="A281" s="334" t="n"/>
      <c r="B281" s="334" t="n"/>
      <c r="C281" s="334" t="n"/>
      <c r="D281" s="334" t="n"/>
      <c r="E281" s="334" t="n"/>
      <c r="F281" s="334" t="n"/>
      <c r="G281" s="334" t="n"/>
      <c r="H281" s="334" t="n"/>
      <c r="I281" s="332">
        <f>IFERROR(VLOOKUP(TEXT(H281,"0"),IPRESS!$A$3:$B$212,2,0),"")</f>
        <v/>
      </c>
      <c r="J281" s="334" t="n"/>
      <c r="K281" s="332">
        <f>IFERROR(VLOOKUP(TEXT(O281,"0"),CONDUCTORES!$A$3:$G$54,7,0),"")</f>
        <v/>
      </c>
      <c r="L281" s="334" t="n"/>
      <c r="M281" s="334" t="n"/>
      <c r="N281" s="333">
        <f>IFERROR(IF(L281*M281=0,"",L281*M281),"")</f>
        <v/>
      </c>
      <c r="O281" s="334" t="n"/>
      <c r="P281" s="332">
        <f>IFERROR(VLOOKUP(TEXT(O281,"0"),CONDUCTORES!$A$3:$G$54,2,0),"")</f>
        <v/>
      </c>
      <c r="Q281" s="332">
        <f>IFERROR(VLOOKUP(TEXT(O281,"0"),CONDUCTORES!$A$3:$H$54,6,0),"")</f>
        <v/>
      </c>
      <c r="R281" s="334" t="n"/>
      <c r="S281" s="334" t="n"/>
      <c r="T281" s="334" t="n"/>
      <c r="U281" s="334" t="n"/>
      <c r="V281" s="334" t="n"/>
      <c r="W281" s="334" t="n"/>
      <c r="X281" s="334" t="n"/>
      <c r="Y281" s="334" t="n"/>
      <c r="Z281" s="375">
        <f>IF(AND(G281&lt;&gt;"",R281&lt;&gt;"",V281&lt;&gt;"",W281&lt;&gt;""),"COMPLETADO","OBSERVADO")</f>
        <v/>
      </c>
    </row>
    <row r="282" ht="15" customHeight="1" s="195">
      <c r="A282" s="280" t="n"/>
      <c r="B282" s="280" t="n"/>
      <c r="C282" s="280" t="n"/>
      <c r="D282" s="280" t="n"/>
      <c r="E282" s="280" t="n"/>
      <c r="F282" s="280" t="n"/>
      <c r="G282" s="280" t="n"/>
      <c r="H282" s="280" t="n"/>
      <c r="I282" s="332">
        <f>IFERROR(VLOOKUP(TEXT(H282,"0"),IPRESS!$A$3:$B$212,2,0),"")</f>
        <v/>
      </c>
      <c r="J282" s="280" t="n"/>
      <c r="K282" s="332">
        <f>IFERROR(VLOOKUP(TEXT(O282,"0"),CONDUCTORES!$A$3:$G$54,7,0),"")</f>
        <v/>
      </c>
      <c r="L282" s="280" t="n"/>
      <c r="M282" s="280" t="n"/>
      <c r="N282" s="333">
        <f>IFERROR(IF(L282*M282=0,"",L282*M282),"")</f>
        <v/>
      </c>
      <c r="O282" s="280" t="n"/>
      <c r="P282" s="332">
        <f>IFERROR(VLOOKUP(TEXT(O282,"0"),CONDUCTORES!$A$3:$G$54,2,0),"")</f>
        <v/>
      </c>
      <c r="Q282" s="332">
        <f>IFERROR(VLOOKUP(TEXT(O282,"0"),CONDUCTORES!$A$3:$H$54,6,0),"")</f>
        <v/>
      </c>
      <c r="R282" s="280" t="n"/>
      <c r="S282" s="280" t="n"/>
      <c r="T282" s="280" t="n"/>
      <c r="U282" s="280" t="n"/>
      <c r="V282" s="280" t="n"/>
      <c r="W282" s="280" t="n"/>
      <c r="X282" s="280" t="n"/>
      <c r="Y282" s="280" t="n"/>
      <c r="Z282" s="375">
        <f>IF(AND(G282&lt;&gt;"",R282&lt;&gt;"",V282&lt;&gt;"",W282&lt;&gt;""),"COMPLETADO","OBSERVADO")</f>
        <v/>
      </c>
    </row>
    <row r="283" ht="15" customHeight="1" s="195">
      <c r="A283" s="334" t="n"/>
      <c r="B283" s="334" t="n"/>
      <c r="C283" s="334" t="n"/>
      <c r="D283" s="334" t="n"/>
      <c r="E283" s="334" t="n"/>
      <c r="F283" s="334" t="n"/>
      <c r="G283" s="334" t="n"/>
      <c r="H283" s="334" t="n"/>
      <c r="I283" s="332">
        <f>IFERROR(VLOOKUP(TEXT(H283,"0"),IPRESS!$A$3:$B$212,2,0),"")</f>
        <v/>
      </c>
      <c r="J283" s="334" t="n"/>
      <c r="K283" s="332">
        <f>IFERROR(VLOOKUP(TEXT(O283,"0"),CONDUCTORES!$A$3:$G$54,7,0),"")</f>
        <v/>
      </c>
      <c r="L283" s="334" t="n"/>
      <c r="M283" s="334" t="n"/>
      <c r="N283" s="333">
        <f>IFERROR(IF(L283*M283=0,"",L283*M283),"")</f>
        <v/>
      </c>
      <c r="O283" s="334" t="n"/>
      <c r="P283" s="332">
        <f>IFERROR(VLOOKUP(TEXT(O283,"0"),CONDUCTORES!$A$3:$G$54,2,0),"")</f>
        <v/>
      </c>
      <c r="Q283" s="332">
        <f>IFERROR(VLOOKUP(TEXT(O283,"0"),CONDUCTORES!$A$3:$H$54,6,0),"")</f>
        <v/>
      </c>
      <c r="R283" s="334" t="n"/>
      <c r="S283" s="334" t="n"/>
      <c r="T283" s="334" t="n"/>
      <c r="U283" s="334" t="n"/>
      <c r="V283" s="334" t="n"/>
      <c r="W283" s="334" t="n"/>
      <c r="X283" s="334" t="n"/>
      <c r="Y283" s="334" t="n"/>
      <c r="Z283" s="375">
        <f>IF(AND(G283&lt;&gt;"",R283&lt;&gt;"",V283&lt;&gt;"",W283&lt;&gt;""),"COMPLETADO","OBSERVADO")</f>
        <v/>
      </c>
    </row>
    <row r="284" ht="15" customHeight="1" s="195">
      <c r="A284" s="280" t="n"/>
      <c r="B284" s="280" t="n"/>
      <c r="C284" s="280" t="n"/>
      <c r="D284" s="280" t="n"/>
      <c r="E284" s="280" t="n"/>
      <c r="F284" s="280" t="n"/>
      <c r="G284" s="280" t="n"/>
      <c r="H284" s="280" t="n"/>
      <c r="I284" s="332">
        <f>IFERROR(VLOOKUP(TEXT(H284,"0"),IPRESS!$A$3:$B$212,2,0),"")</f>
        <v/>
      </c>
      <c r="J284" s="280" t="n"/>
      <c r="K284" s="332">
        <f>IFERROR(VLOOKUP(TEXT(O284,"0"),CONDUCTORES!$A$3:$G$54,7,0),"")</f>
        <v/>
      </c>
      <c r="L284" s="280" t="n"/>
      <c r="M284" s="280" t="n"/>
      <c r="N284" s="333">
        <f>IFERROR(IF(L284*M284=0,"",L284*M284),"")</f>
        <v/>
      </c>
      <c r="O284" s="280" t="n"/>
      <c r="P284" s="332">
        <f>IFERROR(VLOOKUP(TEXT(O284,"0"),CONDUCTORES!$A$3:$G$54,2,0),"")</f>
        <v/>
      </c>
      <c r="Q284" s="332">
        <f>IFERROR(VLOOKUP(TEXT(O284,"0"),CONDUCTORES!$A$3:$H$54,6,0),"")</f>
        <v/>
      </c>
      <c r="R284" s="280" t="n"/>
      <c r="S284" s="280" t="n"/>
      <c r="T284" s="280" t="n"/>
      <c r="U284" s="280" t="n"/>
      <c r="V284" s="280" t="n"/>
      <c r="W284" s="280" t="n"/>
      <c r="X284" s="280" t="n"/>
      <c r="Y284" s="280" t="n"/>
      <c r="Z284" s="375">
        <f>IF(AND(G284&lt;&gt;"",R284&lt;&gt;"",V284&lt;&gt;"",W284&lt;&gt;""),"COMPLETADO","OBSERVADO")</f>
        <v/>
      </c>
    </row>
    <row r="285" ht="15" customHeight="1" s="195">
      <c r="A285" s="334" t="n"/>
      <c r="B285" s="334" t="n"/>
      <c r="C285" s="334" t="n"/>
      <c r="D285" s="334" t="n"/>
      <c r="E285" s="334" t="n"/>
      <c r="F285" s="334" t="n"/>
      <c r="G285" s="334" t="n"/>
      <c r="H285" s="334" t="n"/>
      <c r="I285" s="332">
        <f>IFERROR(VLOOKUP(TEXT(H285,"0"),IPRESS!$A$3:$B$212,2,0),"")</f>
        <v/>
      </c>
      <c r="J285" s="334" t="n"/>
      <c r="K285" s="332">
        <f>IFERROR(VLOOKUP(TEXT(O285,"0"),CONDUCTORES!$A$3:$G$54,7,0),"")</f>
        <v/>
      </c>
      <c r="L285" s="334" t="n"/>
      <c r="M285" s="334" t="n"/>
      <c r="N285" s="333">
        <f>IFERROR(IF(L285*M285=0,"",L285*M285),"")</f>
        <v/>
      </c>
      <c r="O285" s="334" t="n"/>
      <c r="P285" s="332">
        <f>IFERROR(VLOOKUP(TEXT(O285,"0"),CONDUCTORES!$A$3:$G$54,2,0),"")</f>
        <v/>
      </c>
      <c r="Q285" s="332">
        <f>IFERROR(VLOOKUP(TEXT(O285,"0"),CONDUCTORES!$A$3:$H$54,6,0),"")</f>
        <v/>
      </c>
      <c r="R285" s="334" t="n"/>
      <c r="S285" s="334" t="n"/>
      <c r="T285" s="334" t="n"/>
      <c r="U285" s="334" t="n"/>
      <c r="V285" s="334" t="n"/>
      <c r="W285" s="334" t="n"/>
      <c r="X285" s="334" t="n"/>
      <c r="Y285" s="334" t="n"/>
      <c r="Z285" s="375">
        <f>IF(AND(G285&lt;&gt;"",R285&lt;&gt;"",V285&lt;&gt;"",W285&lt;&gt;""),"COMPLETADO","OBSERVADO")</f>
        <v/>
      </c>
    </row>
    <row r="286" ht="15" customHeight="1" s="195">
      <c r="A286" s="280" t="n"/>
      <c r="B286" s="280" t="n"/>
      <c r="C286" s="280" t="n"/>
      <c r="D286" s="280" t="n"/>
      <c r="E286" s="280" t="n"/>
      <c r="F286" s="280" t="n"/>
      <c r="G286" s="280" t="n"/>
      <c r="H286" s="280" t="n"/>
      <c r="I286" s="332">
        <f>IFERROR(VLOOKUP(TEXT(H286,"0"),IPRESS!$A$3:$B$212,2,0),"")</f>
        <v/>
      </c>
      <c r="J286" s="280" t="n"/>
      <c r="K286" s="332">
        <f>IFERROR(VLOOKUP(TEXT(O286,"0"),CONDUCTORES!$A$3:$G$54,7,0),"")</f>
        <v/>
      </c>
      <c r="L286" s="280" t="n"/>
      <c r="M286" s="280" t="n"/>
      <c r="N286" s="333">
        <f>IFERROR(IF(L286*M286=0,"",L286*M286),"")</f>
        <v/>
      </c>
      <c r="O286" s="280" t="n"/>
      <c r="P286" s="332">
        <f>IFERROR(VLOOKUP(TEXT(O286,"0"),CONDUCTORES!$A$3:$G$54,2,0),"")</f>
        <v/>
      </c>
      <c r="Q286" s="332">
        <f>IFERROR(VLOOKUP(TEXT(O286,"0"),CONDUCTORES!$A$3:$H$54,6,0),"")</f>
        <v/>
      </c>
      <c r="R286" s="280" t="n"/>
      <c r="S286" s="280" t="n"/>
      <c r="T286" s="280" t="n"/>
      <c r="U286" s="280" t="n"/>
      <c r="V286" s="280" t="n"/>
      <c r="W286" s="280" t="n"/>
      <c r="X286" s="280" t="n"/>
      <c r="Y286" s="280" t="n"/>
      <c r="Z286" s="375">
        <f>IF(AND(G286&lt;&gt;"",R286&lt;&gt;"",V286&lt;&gt;"",W286&lt;&gt;""),"COMPLETADO","OBSERVADO")</f>
        <v/>
      </c>
    </row>
    <row r="287" ht="15" customHeight="1" s="195">
      <c r="A287" s="334" t="n"/>
      <c r="B287" s="334" t="n"/>
      <c r="C287" s="334" t="n"/>
      <c r="D287" s="334" t="n"/>
      <c r="E287" s="334" t="n"/>
      <c r="F287" s="334" t="n"/>
      <c r="G287" s="334" t="n"/>
      <c r="H287" s="334" t="n"/>
      <c r="I287" s="332">
        <f>IFERROR(VLOOKUP(TEXT(H287,"0"),IPRESS!$A$3:$B$212,2,0),"")</f>
        <v/>
      </c>
      <c r="J287" s="334" t="n"/>
      <c r="K287" s="332">
        <f>IFERROR(VLOOKUP(TEXT(O287,"0"),CONDUCTORES!$A$3:$G$54,7,0),"")</f>
        <v/>
      </c>
      <c r="L287" s="334" t="n"/>
      <c r="M287" s="334" t="n"/>
      <c r="N287" s="333">
        <f>IFERROR(IF(L287*M287=0,"",L287*M287),"")</f>
        <v/>
      </c>
      <c r="O287" s="334" t="n"/>
      <c r="P287" s="332">
        <f>IFERROR(VLOOKUP(TEXT(O287,"0"),CONDUCTORES!$A$3:$G$54,2,0),"")</f>
        <v/>
      </c>
      <c r="Q287" s="332">
        <f>IFERROR(VLOOKUP(TEXT(O287,"0"),CONDUCTORES!$A$3:$H$54,6,0),"")</f>
        <v/>
      </c>
      <c r="R287" s="334" t="n"/>
      <c r="S287" s="334" t="n"/>
      <c r="T287" s="334" t="n"/>
      <c r="U287" s="334" t="n"/>
      <c r="V287" s="334" t="n"/>
      <c r="W287" s="334" t="n"/>
      <c r="X287" s="334" t="n"/>
      <c r="Y287" s="334" t="n"/>
      <c r="Z287" s="375">
        <f>IF(AND(G287&lt;&gt;"",R287&lt;&gt;"",V287&lt;&gt;"",W287&lt;&gt;""),"COMPLETADO","OBSERVADO")</f>
        <v/>
      </c>
    </row>
    <row r="288" ht="15" customHeight="1" s="195">
      <c r="A288" s="280" t="n"/>
      <c r="B288" s="280" t="n"/>
      <c r="C288" s="280" t="n"/>
      <c r="D288" s="280" t="n"/>
      <c r="E288" s="280" t="n"/>
      <c r="F288" s="280" t="n"/>
      <c r="G288" s="280" t="n"/>
      <c r="H288" s="280" t="n"/>
      <c r="I288" s="332">
        <f>IFERROR(VLOOKUP(TEXT(H288,"0"),IPRESS!$A$3:$B$212,2,0),"")</f>
        <v/>
      </c>
      <c r="J288" s="280" t="n"/>
      <c r="K288" s="332">
        <f>IFERROR(VLOOKUP(TEXT(O288,"0"),CONDUCTORES!$A$3:$G$54,7,0),"")</f>
        <v/>
      </c>
      <c r="L288" s="280" t="n"/>
      <c r="M288" s="280" t="n"/>
      <c r="N288" s="333">
        <f>IFERROR(IF(L288*M288=0,"",L288*M288),"")</f>
        <v/>
      </c>
      <c r="O288" s="280" t="n"/>
      <c r="P288" s="332">
        <f>IFERROR(VLOOKUP(TEXT(O288,"0"),CONDUCTORES!$A$3:$G$54,2,0),"")</f>
        <v/>
      </c>
      <c r="Q288" s="332">
        <f>IFERROR(VLOOKUP(TEXT(O288,"0"),CONDUCTORES!$A$3:$H$54,6,0),"")</f>
        <v/>
      </c>
      <c r="R288" s="280" t="n"/>
      <c r="S288" s="280" t="n"/>
      <c r="T288" s="280" t="n"/>
      <c r="U288" s="280" t="n"/>
      <c r="V288" s="280" t="n"/>
      <c r="W288" s="280" t="n"/>
      <c r="X288" s="280" t="n"/>
      <c r="Y288" s="280" t="n"/>
      <c r="Z288" s="375">
        <f>IF(AND(G288&lt;&gt;"",R288&lt;&gt;"",V288&lt;&gt;"",W288&lt;&gt;""),"COMPLETADO","OBSERVADO")</f>
        <v/>
      </c>
    </row>
    <row r="289" ht="15" customHeight="1" s="195">
      <c r="A289" s="334" t="n"/>
      <c r="B289" s="334" t="n"/>
      <c r="C289" s="334" t="n"/>
      <c r="D289" s="334" t="n"/>
      <c r="E289" s="334" t="n"/>
      <c r="F289" s="334" t="n"/>
      <c r="G289" s="334" t="n"/>
      <c r="H289" s="334" t="n"/>
      <c r="I289" s="332">
        <f>IFERROR(VLOOKUP(TEXT(H289,"0"),IPRESS!$A$3:$B$212,2,0),"")</f>
        <v/>
      </c>
      <c r="J289" s="334" t="n"/>
      <c r="K289" s="332">
        <f>IFERROR(VLOOKUP(TEXT(O289,"0"),CONDUCTORES!$A$3:$G$54,7,0),"")</f>
        <v/>
      </c>
      <c r="L289" s="334" t="n"/>
      <c r="M289" s="334" t="n"/>
      <c r="N289" s="333">
        <f>IFERROR(IF(L289*M289=0,"",L289*M289),"")</f>
        <v/>
      </c>
      <c r="O289" s="334" t="n"/>
      <c r="P289" s="332">
        <f>IFERROR(VLOOKUP(TEXT(O289,"0"),CONDUCTORES!$A$3:$G$54,2,0),"")</f>
        <v/>
      </c>
      <c r="Q289" s="332">
        <f>IFERROR(VLOOKUP(TEXT(O289,"0"),CONDUCTORES!$A$3:$H$54,6,0),"")</f>
        <v/>
      </c>
      <c r="R289" s="334" t="n"/>
      <c r="S289" s="334" t="n"/>
      <c r="T289" s="334" t="n"/>
      <c r="U289" s="334" t="n"/>
      <c r="V289" s="334" t="n"/>
      <c r="W289" s="334" t="n"/>
      <c r="X289" s="334" t="n"/>
      <c r="Y289" s="334" t="n"/>
      <c r="Z289" s="375">
        <f>IF(AND(G289&lt;&gt;"",R289&lt;&gt;"",V289&lt;&gt;"",W289&lt;&gt;""),"COMPLETADO","OBSERVADO")</f>
        <v/>
      </c>
    </row>
    <row r="290" ht="15" customHeight="1" s="195">
      <c r="A290" s="280" t="n"/>
      <c r="B290" s="280" t="n"/>
      <c r="C290" s="280" t="n"/>
      <c r="D290" s="280" t="n"/>
      <c r="E290" s="280" t="n"/>
      <c r="F290" s="280" t="n"/>
      <c r="G290" s="280" t="n"/>
      <c r="H290" s="280" t="n"/>
      <c r="I290" s="332">
        <f>IFERROR(VLOOKUP(TEXT(H290,"0"),IPRESS!$A$3:$B$212,2,0),"")</f>
        <v/>
      </c>
      <c r="J290" s="280" t="n"/>
      <c r="K290" s="332">
        <f>IFERROR(VLOOKUP(TEXT(O290,"0"),CONDUCTORES!$A$3:$G$54,7,0),"")</f>
        <v/>
      </c>
      <c r="L290" s="280" t="n"/>
      <c r="M290" s="280" t="n"/>
      <c r="N290" s="333">
        <f>IFERROR(IF(L290*M290=0,"",L290*M290),"")</f>
        <v/>
      </c>
      <c r="O290" s="280" t="n"/>
      <c r="P290" s="332">
        <f>IFERROR(VLOOKUP(TEXT(O290,"0"),CONDUCTORES!$A$3:$G$54,2,0),"")</f>
        <v/>
      </c>
      <c r="Q290" s="332">
        <f>IFERROR(VLOOKUP(TEXT(O290,"0"),CONDUCTORES!$A$3:$H$54,6,0),"")</f>
        <v/>
      </c>
      <c r="R290" s="280" t="n"/>
      <c r="S290" s="280" t="n"/>
      <c r="T290" s="280" t="n"/>
      <c r="U290" s="280" t="n"/>
      <c r="V290" s="280" t="n"/>
      <c r="W290" s="280" t="n"/>
      <c r="X290" s="280" t="n"/>
      <c r="Y290" s="280" t="n"/>
      <c r="Z290" s="375">
        <f>IF(AND(G290&lt;&gt;"",R290&lt;&gt;"",V290&lt;&gt;"",W290&lt;&gt;""),"COMPLETADO","OBSERVADO")</f>
        <v/>
      </c>
    </row>
    <row r="291" ht="15" customHeight="1" s="195">
      <c r="A291" s="334" t="n"/>
      <c r="B291" s="334" t="n"/>
      <c r="C291" s="334" t="n"/>
      <c r="D291" s="334" t="n"/>
      <c r="E291" s="334" t="n"/>
      <c r="F291" s="334" t="n"/>
      <c r="G291" s="334" t="n"/>
      <c r="H291" s="334" t="n"/>
      <c r="I291" s="332">
        <f>IFERROR(VLOOKUP(TEXT(H291,"0"),IPRESS!$A$3:$B$212,2,0),"")</f>
        <v/>
      </c>
      <c r="J291" s="334" t="n"/>
      <c r="K291" s="332">
        <f>IFERROR(VLOOKUP(TEXT(O291,"0"),CONDUCTORES!$A$3:$G$54,7,0),"")</f>
        <v/>
      </c>
      <c r="L291" s="334" t="n"/>
      <c r="M291" s="334" t="n"/>
      <c r="N291" s="333">
        <f>IFERROR(IF(L291*M291=0,"",L291*M291),"")</f>
        <v/>
      </c>
      <c r="O291" s="334" t="n"/>
      <c r="P291" s="332">
        <f>IFERROR(VLOOKUP(TEXT(O291,"0"),CONDUCTORES!$A$3:$G$54,2,0),"")</f>
        <v/>
      </c>
      <c r="Q291" s="332">
        <f>IFERROR(VLOOKUP(TEXT(O291,"0"),CONDUCTORES!$A$3:$H$54,6,0),"")</f>
        <v/>
      </c>
      <c r="R291" s="334" t="n"/>
      <c r="S291" s="334" t="n"/>
      <c r="T291" s="334" t="n"/>
      <c r="U291" s="334" t="n"/>
      <c r="V291" s="334" t="n"/>
      <c r="W291" s="334" t="n"/>
      <c r="X291" s="334" t="n"/>
      <c r="Y291" s="334" t="n"/>
      <c r="Z291" s="375">
        <f>IF(AND(G291&lt;&gt;"",R291&lt;&gt;"",V291&lt;&gt;"",W291&lt;&gt;""),"COMPLETADO","OBSERVADO")</f>
        <v/>
      </c>
    </row>
    <row r="292" ht="15" customHeight="1" s="195">
      <c r="A292" s="280" t="n"/>
      <c r="B292" s="280" t="n"/>
      <c r="C292" s="280" t="n"/>
      <c r="D292" s="280" t="n"/>
      <c r="E292" s="280" t="n"/>
      <c r="F292" s="280" t="n"/>
      <c r="G292" s="280" t="n"/>
      <c r="H292" s="280" t="n"/>
      <c r="I292" s="332">
        <f>IFERROR(VLOOKUP(TEXT(H292,"0"),IPRESS!$A$3:$B$212,2,0),"")</f>
        <v/>
      </c>
      <c r="J292" s="280" t="n"/>
      <c r="K292" s="332">
        <f>IFERROR(VLOOKUP(TEXT(O292,"0"),CONDUCTORES!$A$3:$G$54,7,0),"")</f>
        <v/>
      </c>
      <c r="L292" s="280" t="n"/>
      <c r="M292" s="280" t="n"/>
      <c r="N292" s="333">
        <f>IFERROR(IF(L292*M292=0,"",L292*M292),"")</f>
        <v/>
      </c>
      <c r="O292" s="280" t="n"/>
      <c r="P292" s="332">
        <f>IFERROR(VLOOKUP(TEXT(O292,"0"),CONDUCTORES!$A$3:$G$54,2,0),"")</f>
        <v/>
      </c>
      <c r="Q292" s="332">
        <f>IFERROR(VLOOKUP(TEXT(O292,"0"),CONDUCTORES!$A$3:$H$54,6,0),"")</f>
        <v/>
      </c>
      <c r="R292" s="280" t="n"/>
      <c r="S292" s="280" t="n"/>
      <c r="T292" s="280" t="n"/>
      <c r="U292" s="280" t="n"/>
      <c r="V292" s="280" t="n"/>
      <c r="W292" s="280" t="n"/>
      <c r="X292" s="280" t="n"/>
      <c r="Y292" s="280" t="n"/>
      <c r="Z292" s="375">
        <f>IF(AND(G292&lt;&gt;"",R292&lt;&gt;"",V292&lt;&gt;"",W292&lt;&gt;""),"COMPLETADO","OBSERVADO")</f>
        <v/>
      </c>
    </row>
    <row r="293" ht="15" customHeight="1" s="195">
      <c r="A293" s="334" t="n"/>
      <c r="B293" s="334" t="n"/>
      <c r="C293" s="334" t="n"/>
      <c r="D293" s="334" t="n"/>
      <c r="E293" s="334" t="n"/>
      <c r="F293" s="334" t="n"/>
      <c r="G293" s="334" t="n"/>
      <c r="H293" s="334" t="n"/>
      <c r="I293" s="332">
        <f>IFERROR(VLOOKUP(TEXT(H293,"0"),IPRESS!$A$3:$B$212,2,0),"")</f>
        <v/>
      </c>
      <c r="J293" s="334" t="n"/>
      <c r="K293" s="332">
        <f>IFERROR(VLOOKUP(TEXT(O293,"0"),CONDUCTORES!$A$3:$G$54,7,0),"")</f>
        <v/>
      </c>
      <c r="L293" s="334" t="n"/>
      <c r="M293" s="334" t="n"/>
      <c r="N293" s="333">
        <f>IFERROR(IF(L293*M293=0,"",L293*M293),"")</f>
        <v/>
      </c>
      <c r="O293" s="334" t="n"/>
      <c r="P293" s="332">
        <f>IFERROR(VLOOKUP(TEXT(O293,"0"),CONDUCTORES!$A$3:$G$54,2,0),"")</f>
        <v/>
      </c>
      <c r="Q293" s="332">
        <f>IFERROR(VLOOKUP(TEXT(O293,"0"),CONDUCTORES!$A$3:$H$54,6,0),"")</f>
        <v/>
      </c>
      <c r="R293" s="334" t="n"/>
      <c r="S293" s="334" t="n"/>
      <c r="T293" s="334" t="n"/>
      <c r="U293" s="334" t="n"/>
      <c r="V293" s="334" t="n"/>
      <c r="W293" s="334" t="n"/>
      <c r="X293" s="334" t="n"/>
      <c r="Y293" s="334" t="n"/>
      <c r="Z293" s="375">
        <f>IF(AND(G293&lt;&gt;"",R293&lt;&gt;"",V293&lt;&gt;"",W293&lt;&gt;""),"COMPLETADO","OBSERVADO")</f>
        <v/>
      </c>
    </row>
    <row r="294" ht="15" customHeight="1" s="195">
      <c r="A294" s="280" t="n"/>
      <c r="B294" s="280" t="n"/>
      <c r="C294" s="280" t="n"/>
      <c r="D294" s="280" t="n"/>
      <c r="E294" s="280" t="n"/>
      <c r="F294" s="280" t="n"/>
      <c r="G294" s="280" t="n"/>
      <c r="H294" s="280" t="n"/>
      <c r="I294" s="332">
        <f>IFERROR(VLOOKUP(TEXT(H294,"0"),IPRESS!$A$3:$B$212,2,0),"")</f>
        <v/>
      </c>
      <c r="J294" s="280" t="n"/>
      <c r="K294" s="332">
        <f>IFERROR(VLOOKUP(TEXT(O294,"0"),CONDUCTORES!$A$3:$G$54,7,0),"")</f>
        <v/>
      </c>
      <c r="L294" s="280" t="n"/>
      <c r="M294" s="280" t="n"/>
      <c r="N294" s="333">
        <f>IFERROR(IF(L294*M294=0,"",L294*M294),"")</f>
        <v/>
      </c>
      <c r="O294" s="280" t="n"/>
      <c r="P294" s="332">
        <f>IFERROR(VLOOKUP(TEXT(O294,"0"),CONDUCTORES!$A$3:$G$54,2,0),"")</f>
        <v/>
      </c>
      <c r="Q294" s="332">
        <f>IFERROR(VLOOKUP(TEXT(O294,"0"),CONDUCTORES!$A$3:$H$54,6,0),"")</f>
        <v/>
      </c>
      <c r="R294" s="280" t="n"/>
      <c r="S294" s="280" t="n"/>
      <c r="T294" s="280" t="n"/>
      <c r="U294" s="280" t="n"/>
      <c r="V294" s="280" t="n"/>
      <c r="W294" s="280" t="n"/>
      <c r="X294" s="280" t="n"/>
      <c r="Y294" s="280" t="n"/>
      <c r="Z294" s="375">
        <f>IF(AND(G294&lt;&gt;"",R294&lt;&gt;"",V294&lt;&gt;"",W294&lt;&gt;""),"COMPLETADO","OBSERVADO")</f>
        <v/>
      </c>
    </row>
    <row r="295" ht="15" customHeight="1" s="195">
      <c r="A295" s="334" t="n"/>
      <c r="B295" s="334" t="n"/>
      <c r="C295" s="334" t="n"/>
      <c r="D295" s="334" t="n"/>
      <c r="E295" s="334" t="n"/>
      <c r="F295" s="334" t="n"/>
      <c r="G295" s="334" t="n"/>
      <c r="H295" s="334" t="n"/>
      <c r="I295" s="332">
        <f>IFERROR(VLOOKUP(TEXT(H295,"0"),IPRESS!$A$3:$B$212,2,0),"")</f>
        <v/>
      </c>
      <c r="J295" s="334" t="n"/>
      <c r="K295" s="332">
        <f>IFERROR(VLOOKUP(TEXT(O295,"0"),CONDUCTORES!$A$3:$G$54,7,0),"")</f>
        <v/>
      </c>
      <c r="L295" s="334" t="n"/>
      <c r="M295" s="334" t="n"/>
      <c r="N295" s="333">
        <f>IFERROR(IF(L295*M295=0,"",L295*M295),"")</f>
        <v/>
      </c>
      <c r="O295" s="334" t="n"/>
      <c r="P295" s="332">
        <f>IFERROR(VLOOKUP(TEXT(O295,"0"),CONDUCTORES!$A$3:$G$54,2,0),"")</f>
        <v/>
      </c>
      <c r="Q295" s="332">
        <f>IFERROR(VLOOKUP(TEXT(O295,"0"),CONDUCTORES!$A$3:$H$54,6,0),"")</f>
        <v/>
      </c>
      <c r="R295" s="334" t="n"/>
      <c r="S295" s="334" t="n"/>
      <c r="T295" s="334" t="n"/>
      <c r="U295" s="334" t="n"/>
      <c r="V295" s="334" t="n"/>
      <c r="W295" s="334" t="n"/>
      <c r="X295" s="334" t="n"/>
      <c r="Y295" s="334" t="n"/>
      <c r="Z295" s="375">
        <f>IF(AND(G295&lt;&gt;"",R295&lt;&gt;"",V295&lt;&gt;"",W295&lt;&gt;""),"COMPLETADO","OBSERVADO")</f>
        <v/>
      </c>
    </row>
    <row r="296" ht="15" customHeight="1" s="195">
      <c r="A296" s="280" t="n"/>
      <c r="B296" s="280" t="n"/>
      <c r="C296" s="280" t="n"/>
      <c r="D296" s="280" t="n"/>
      <c r="E296" s="280" t="n"/>
      <c r="F296" s="280" t="n"/>
      <c r="G296" s="280" t="n"/>
      <c r="H296" s="280" t="n"/>
      <c r="I296" s="332">
        <f>IFERROR(VLOOKUP(TEXT(H296,"0"),IPRESS!$A$3:$B$212,2,0),"")</f>
        <v/>
      </c>
      <c r="J296" s="280" t="n"/>
      <c r="K296" s="332">
        <f>IFERROR(VLOOKUP(TEXT(O296,"0"),CONDUCTORES!$A$3:$G$54,7,0),"")</f>
        <v/>
      </c>
      <c r="L296" s="280" t="n"/>
      <c r="M296" s="280" t="n"/>
      <c r="N296" s="333">
        <f>IFERROR(IF(L296*M296=0,"",L296*M296),"")</f>
        <v/>
      </c>
      <c r="O296" s="280" t="n"/>
      <c r="P296" s="332">
        <f>IFERROR(VLOOKUP(TEXT(O296,"0"),CONDUCTORES!$A$3:$G$54,2,0),"")</f>
        <v/>
      </c>
      <c r="Q296" s="332">
        <f>IFERROR(VLOOKUP(TEXT(O296,"0"),CONDUCTORES!$A$3:$H$54,6,0),"")</f>
        <v/>
      </c>
      <c r="R296" s="280" t="n"/>
      <c r="S296" s="280" t="n"/>
      <c r="T296" s="280" t="n"/>
      <c r="U296" s="280" t="n"/>
      <c r="V296" s="280" t="n"/>
      <c r="W296" s="280" t="n"/>
      <c r="X296" s="280" t="n"/>
      <c r="Y296" s="280" t="n"/>
      <c r="Z296" s="375">
        <f>IF(AND(G296&lt;&gt;"",R296&lt;&gt;"",V296&lt;&gt;"",W296&lt;&gt;""),"COMPLETADO","OBSERVADO")</f>
        <v/>
      </c>
    </row>
    <row r="297" ht="15" customHeight="1" s="195">
      <c r="A297" s="334" t="n"/>
      <c r="B297" s="334" t="n"/>
      <c r="C297" s="334" t="n"/>
      <c r="D297" s="334" t="n"/>
      <c r="E297" s="334" t="n"/>
      <c r="F297" s="334" t="n"/>
      <c r="G297" s="334" t="n"/>
      <c r="H297" s="334" t="n"/>
      <c r="I297" s="332">
        <f>IFERROR(VLOOKUP(TEXT(H297,"0"),IPRESS!$A$3:$B$212,2,0),"")</f>
        <v/>
      </c>
      <c r="J297" s="334" t="n"/>
      <c r="K297" s="332">
        <f>IFERROR(VLOOKUP(TEXT(O297,"0"),CONDUCTORES!$A$3:$G$54,7,0),"")</f>
        <v/>
      </c>
      <c r="L297" s="334" t="n"/>
      <c r="M297" s="334" t="n"/>
      <c r="N297" s="333">
        <f>IFERROR(IF(L297*M297=0,"",L297*M297),"")</f>
        <v/>
      </c>
      <c r="O297" s="334" t="n"/>
      <c r="P297" s="332">
        <f>IFERROR(VLOOKUP(TEXT(O297,"0"),CONDUCTORES!$A$3:$G$54,2,0),"")</f>
        <v/>
      </c>
      <c r="Q297" s="332">
        <f>IFERROR(VLOOKUP(TEXT(O297,"0"),CONDUCTORES!$A$3:$H$54,6,0),"")</f>
        <v/>
      </c>
      <c r="R297" s="334" t="n"/>
      <c r="S297" s="334" t="n"/>
      <c r="T297" s="334" t="n"/>
      <c r="U297" s="334" t="n"/>
      <c r="V297" s="334" t="n"/>
      <c r="W297" s="334" t="n"/>
      <c r="X297" s="334" t="n"/>
      <c r="Y297" s="334" t="n"/>
      <c r="Z297" s="375">
        <f>IF(AND(G297&lt;&gt;"",R297&lt;&gt;"",V297&lt;&gt;"",W297&lt;&gt;""),"COMPLETADO","OBSERVADO")</f>
        <v/>
      </c>
    </row>
    <row r="298" ht="15" customHeight="1" s="195">
      <c r="A298" s="280" t="n"/>
      <c r="B298" s="280" t="n"/>
      <c r="C298" s="280" t="n"/>
      <c r="D298" s="280" t="n"/>
      <c r="E298" s="280" t="n"/>
      <c r="F298" s="280" t="n"/>
      <c r="G298" s="280" t="n"/>
      <c r="H298" s="280" t="n"/>
      <c r="I298" s="332">
        <f>IFERROR(VLOOKUP(TEXT(H298,"0"),IPRESS!$A$3:$B$212,2,0),"")</f>
        <v/>
      </c>
      <c r="J298" s="280" t="n"/>
      <c r="K298" s="332">
        <f>IFERROR(VLOOKUP(TEXT(O298,"0"),CONDUCTORES!$A$3:$G$54,7,0),"")</f>
        <v/>
      </c>
      <c r="L298" s="280" t="n"/>
      <c r="M298" s="280" t="n"/>
      <c r="N298" s="333">
        <f>IFERROR(IF(L298*M298=0,"",L298*M298),"")</f>
        <v/>
      </c>
      <c r="O298" s="280" t="n"/>
      <c r="P298" s="332">
        <f>IFERROR(VLOOKUP(TEXT(O298,"0"),CONDUCTORES!$A$3:$G$54,2,0),"")</f>
        <v/>
      </c>
      <c r="Q298" s="332">
        <f>IFERROR(VLOOKUP(TEXT(O298,"0"),CONDUCTORES!$A$3:$H$54,6,0),"")</f>
        <v/>
      </c>
      <c r="R298" s="280" t="n"/>
      <c r="S298" s="280" t="n"/>
      <c r="T298" s="280" t="n"/>
      <c r="U298" s="280" t="n"/>
      <c r="V298" s="280" t="n"/>
      <c r="W298" s="280" t="n"/>
      <c r="X298" s="280" t="n"/>
      <c r="Y298" s="280" t="n"/>
      <c r="Z298" s="375">
        <f>IF(AND(G298&lt;&gt;"",R298&lt;&gt;"",V298&lt;&gt;"",W298&lt;&gt;""),"COMPLETADO","OBSERVADO")</f>
        <v/>
      </c>
    </row>
    <row r="299" ht="15" customHeight="1" s="195">
      <c r="A299" s="334" t="n"/>
      <c r="B299" s="334" t="n"/>
      <c r="C299" s="334" t="n"/>
      <c r="D299" s="334" t="n"/>
      <c r="E299" s="334" t="n"/>
      <c r="F299" s="334" t="n"/>
      <c r="G299" s="334" t="n"/>
      <c r="H299" s="334" t="n"/>
      <c r="I299" s="332">
        <f>IFERROR(VLOOKUP(TEXT(H299,"0"),IPRESS!$A$3:$B$212,2,0),"")</f>
        <v/>
      </c>
      <c r="J299" s="334" t="n"/>
      <c r="K299" s="332">
        <f>IFERROR(VLOOKUP(TEXT(O299,"0"),CONDUCTORES!$A$3:$G$54,7,0),"")</f>
        <v/>
      </c>
      <c r="L299" s="334" t="n"/>
      <c r="M299" s="334" t="n"/>
      <c r="N299" s="333">
        <f>IFERROR(IF(L299*M299=0,"",L299*M299),"")</f>
        <v/>
      </c>
      <c r="O299" s="334" t="n"/>
      <c r="P299" s="332">
        <f>IFERROR(VLOOKUP(TEXT(O299,"0"),CONDUCTORES!$A$3:$G$54,2,0),"")</f>
        <v/>
      </c>
      <c r="Q299" s="332">
        <f>IFERROR(VLOOKUP(TEXT(O299,"0"),CONDUCTORES!$A$3:$H$54,6,0),"")</f>
        <v/>
      </c>
      <c r="R299" s="334" t="n"/>
      <c r="S299" s="334" t="n"/>
      <c r="T299" s="334" t="n"/>
      <c r="U299" s="334" t="n"/>
      <c r="V299" s="334" t="n"/>
      <c r="W299" s="334" t="n"/>
      <c r="X299" s="334" t="n"/>
      <c r="Y299" s="334" t="n"/>
      <c r="Z299" s="375">
        <f>IF(AND(G299&lt;&gt;"",R299&lt;&gt;"",V299&lt;&gt;"",W299&lt;&gt;""),"COMPLETADO","OBSERVADO")</f>
        <v/>
      </c>
    </row>
    <row r="300" ht="15" customHeight="1" s="195">
      <c r="A300" s="280" t="n"/>
      <c r="B300" s="280" t="n"/>
      <c r="C300" s="280" t="n"/>
      <c r="D300" s="280" t="n"/>
      <c r="E300" s="280" t="n"/>
      <c r="F300" s="280" t="n"/>
      <c r="G300" s="280" t="n"/>
      <c r="H300" s="280" t="n"/>
      <c r="I300" s="332">
        <f>IFERROR(VLOOKUP(TEXT(H300,"0"),IPRESS!$A$3:$B$212,2,0),"")</f>
        <v/>
      </c>
      <c r="J300" s="280" t="n"/>
      <c r="K300" s="332">
        <f>IFERROR(VLOOKUP(TEXT(O300,"0"),CONDUCTORES!$A$3:$G$54,7,0),"")</f>
        <v/>
      </c>
      <c r="L300" s="280" t="n"/>
      <c r="M300" s="280" t="n"/>
      <c r="N300" s="333">
        <f>IFERROR(IF(L300*M300=0,"",L300*M300),"")</f>
        <v/>
      </c>
      <c r="O300" s="280" t="n"/>
      <c r="P300" s="332">
        <f>IFERROR(VLOOKUP(TEXT(O300,"0"),CONDUCTORES!$A$3:$G$54,2,0),"")</f>
        <v/>
      </c>
      <c r="Q300" s="332">
        <f>IFERROR(VLOOKUP(TEXT(O300,"0"),CONDUCTORES!$A$3:$H$54,6,0),"")</f>
        <v/>
      </c>
      <c r="R300" s="280" t="n"/>
      <c r="S300" s="280" t="n"/>
      <c r="T300" s="280" t="n"/>
      <c r="U300" s="280" t="n"/>
      <c r="V300" s="280" t="n"/>
      <c r="W300" s="280" t="n"/>
      <c r="X300" s="280" t="n"/>
      <c r="Y300" s="280" t="n"/>
      <c r="Z300" s="375">
        <f>IF(AND(G300&lt;&gt;"",R300&lt;&gt;"",V300&lt;&gt;"",W300&lt;&gt;""),"COMPLETADO","OBSERVADO")</f>
        <v/>
      </c>
    </row>
    <row r="301" ht="15" customHeight="1" s="195">
      <c r="A301" s="334" t="n"/>
      <c r="B301" s="334" t="n"/>
      <c r="C301" s="334" t="n"/>
      <c r="D301" s="334" t="n"/>
      <c r="E301" s="334" t="n"/>
      <c r="F301" s="334" t="n"/>
      <c r="G301" s="334" t="n"/>
      <c r="H301" s="334" t="n"/>
      <c r="I301" s="332">
        <f>IFERROR(VLOOKUP(TEXT(H301,"0"),IPRESS!$A$3:$B$212,2,0),"")</f>
        <v/>
      </c>
      <c r="J301" s="334" t="n"/>
      <c r="K301" s="332">
        <f>IFERROR(VLOOKUP(TEXT(O301,"0"),CONDUCTORES!$A$3:$G$54,7,0),"")</f>
        <v/>
      </c>
      <c r="L301" s="334" t="n"/>
      <c r="M301" s="334" t="n"/>
      <c r="N301" s="333">
        <f>IFERROR(IF(L301*M301=0,"",L301*M301),"")</f>
        <v/>
      </c>
      <c r="O301" s="334" t="n"/>
      <c r="P301" s="332">
        <f>IFERROR(VLOOKUP(TEXT(O301,"0"),CONDUCTORES!$A$3:$G$54,2,0),"")</f>
        <v/>
      </c>
      <c r="Q301" s="332">
        <f>IFERROR(VLOOKUP(TEXT(O301,"0"),CONDUCTORES!$A$3:$H$54,6,0),"")</f>
        <v/>
      </c>
      <c r="R301" s="334" t="n"/>
      <c r="S301" s="334" t="n"/>
      <c r="T301" s="334" t="n"/>
      <c r="U301" s="334" t="n"/>
      <c r="V301" s="334" t="n"/>
      <c r="W301" s="334" t="n"/>
      <c r="X301" s="334" t="n"/>
      <c r="Y301" s="334" t="n"/>
      <c r="Z301" s="375">
        <f>IF(AND(G301&lt;&gt;"",R301&lt;&gt;"",V301&lt;&gt;"",W301&lt;&gt;""),"COMPLETADO","OBSERVADO")</f>
        <v/>
      </c>
    </row>
    <row r="302" ht="15" customHeight="1" s="195">
      <c r="A302" s="280" t="n"/>
      <c r="B302" s="280" t="n"/>
      <c r="C302" s="280" t="n"/>
      <c r="D302" s="280" t="n"/>
      <c r="E302" s="280" t="n"/>
      <c r="F302" s="280" t="n"/>
      <c r="G302" s="280" t="n"/>
      <c r="H302" s="280" t="n"/>
      <c r="I302" s="332">
        <f>IFERROR(VLOOKUP(TEXT(H302,"0"),IPRESS!$A$3:$B$212,2,0),"")</f>
        <v/>
      </c>
      <c r="J302" s="280" t="n"/>
      <c r="K302" s="332">
        <f>IFERROR(VLOOKUP(TEXT(O302,"0"),CONDUCTORES!$A$3:$G$54,7,0),"")</f>
        <v/>
      </c>
      <c r="L302" s="280" t="n"/>
      <c r="M302" s="280" t="n"/>
      <c r="N302" s="333">
        <f>IFERROR(IF(L302*M302=0,"",L302*M302),"")</f>
        <v/>
      </c>
      <c r="O302" s="280" t="n"/>
      <c r="P302" s="332">
        <f>IFERROR(VLOOKUP(TEXT(O302,"0"),CONDUCTORES!$A$3:$G$54,2,0),"")</f>
        <v/>
      </c>
      <c r="Q302" s="332">
        <f>IFERROR(VLOOKUP(TEXT(O302,"0"),CONDUCTORES!$A$3:$H$54,6,0),"")</f>
        <v/>
      </c>
      <c r="R302" s="280" t="n"/>
      <c r="S302" s="280" t="n"/>
      <c r="T302" s="280" t="n"/>
      <c r="U302" s="280" t="n"/>
      <c r="V302" s="280" t="n"/>
      <c r="W302" s="280" t="n"/>
      <c r="X302" s="280" t="n"/>
      <c r="Y302" s="280" t="n"/>
      <c r="Z302" s="375">
        <f>IF(AND(G302&lt;&gt;"",R302&lt;&gt;"",V302&lt;&gt;"",W302&lt;&gt;""),"COMPLETADO","OBSERVADO")</f>
        <v/>
      </c>
    </row>
    <row r="303" ht="15" customHeight="1" s="195">
      <c r="A303" s="334" t="n"/>
      <c r="B303" s="334" t="n"/>
      <c r="C303" s="334" t="n"/>
      <c r="D303" s="334" t="n"/>
      <c r="E303" s="334" t="n"/>
      <c r="F303" s="334" t="n"/>
      <c r="G303" s="334" t="n"/>
      <c r="H303" s="334" t="n"/>
      <c r="I303" s="332">
        <f>IFERROR(VLOOKUP(TEXT(H303,"0"),IPRESS!$A$3:$B$212,2,0),"")</f>
        <v/>
      </c>
      <c r="J303" s="334" t="n"/>
      <c r="K303" s="332">
        <f>IFERROR(VLOOKUP(TEXT(O303,"0"),CONDUCTORES!$A$3:$G$54,7,0),"")</f>
        <v/>
      </c>
      <c r="L303" s="334" t="n"/>
      <c r="M303" s="334" t="n"/>
      <c r="N303" s="333">
        <f>IFERROR(IF(L303*M303=0,"",L303*M303),"")</f>
        <v/>
      </c>
      <c r="O303" s="334" t="n"/>
      <c r="P303" s="332">
        <f>IFERROR(VLOOKUP(TEXT(O303,"0"),CONDUCTORES!$A$3:$G$54,2,0),"")</f>
        <v/>
      </c>
      <c r="Q303" s="332">
        <f>IFERROR(VLOOKUP(TEXT(O303,"0"),CONDUCTORES!$A$3:$H$54,6,0),"")</f>
        <v/>
      </c>
      <c r="R303" s="334" t="n"/>
      <c r="S303" s="334" t="n"/>
      <c r="T303" s="334" t="n"/>
      <c r="U303" s="334" t="n"/>
      <c r="V303" s="334" t="n"/>
      <c r="W303" s="334" t="n"/>
      <c r="X303" s="334" t="n"/>
      <c r="Y303" s="334" t="n"/>
      <c r="Z303" s="375">
        <f>IF(AND(G303&lt;&gt;"",R303&lt;&gt;"",V303&lt;&gt;"",W303&lt;&gt;""),"COMPLETADO","OBSERVADO")</f>
        <v/>
      </c>
    </row>
    <row r="304" ht="15" customHeight="1" s="195">
      <c r="A304" s="280" t="n"/>
      <c r="B304" s="280" t="n"/>
      <c r="C304" s="280" t="n"/>
      <c r="D304" s="280" t="n"/>
      <c r="E304" s="280" t="n"/>
      <c r="F304" s="280" t="n"/>
      <c r="G304" s="280" t="n"/>
      <c r="H304" s="280" t="n"/>
      <c r="I304" s="332">
        <f>IFERROR(VLOOKUP(TEXT(H304,"0"),IPRESS!$A$3:$B$212,2,0),"")</f>
        <v/>
      </c>
      <c r="J304" s="280" t="n"/>
      <c r="K304" s="332">
        <f>IFERROR(VLOOKUP(TEXT(O304,"0"),CONDUCTORES!$A$3:$G$54,7,0),"")</f>
        <v/>
      </c>
      <c r="L304" s="280" t="n"/>
      <c r="M304" s="280" t="n"/>
      <c r="N304" s="333">
        <f>IFERROR(IF(L304*M304=0,"",L304*M304),"")</f>
        <v/>
      </c>
      <c r="O304" s="280" t="n"/>
      <c r="P304" s="332">
        <f>IFERROR(VLOOKUP(TEXT(O304,"0"),CONDUCTORES!$A$3:$G$54,2,0),"")</f>
        <v/>
      </c>
      <c r="Q304" s="332">
        <f>IFERROR(VLOOKUP(TEXT(O304,"0"),CONDUCTORES!$A$3:$H$54,6,0),"")</f>
        <v/>
      </c>
      <c r="R304" s="280" t="n"/>
      <c r="S304" s="280" t="n"/>
      <c r="T304" s="280" t="n"/>
      <c r="U304" s="280" t="n"/>
      <c r="V304" s="280" t="n"/>
      <c r="W304" s="280" t="n"/>
      <c r="X304" s="280" t="n"/>
      <c r="Y304" s="280" t="n"/>
      <c r="Z304" s="375">
        <f>IF(AND(G304&lt;&gt;"",R304&lt;&gt;"",V304&lt;&gt;"",W304&lt;&gt;""),"COMPLETADO","OBSERVADO")</f>
        <v/>
      </c>
    </row>
    <row r="305" ht="15" customHeight="1" s="195">
      <c r="A305" s="334" t="n"/>
      <c r="B305" s="334" t="n"/>
      <c r="C305" s="334" t="n"/>
      <c r="D305" s="334" t="n"/>
      <c r="E305" s="334" t="n"/>
      <c r="F305" s="334" t="n"/>
      <c r="G305" s="334" t="n"/>
      <c r="H305" s="334" t="n"/>
      <c r="I305" s="332">
        <f>IFERROR(VLOOKUP(TEXT(H305,"0"),IPRESS!$A$3:$B$212,2,0),"")</f>
        <v/>
      </c>
      <c r="J305" s="334" t="n"/>
      <c r="K305" s="332">
        <f>IFERROR(VLOOKUP(TEXT(O305,"0"),CONDUCTORES!$A$3:$G$54,7,0),"")</f>
        <v/>
      </c>
      <c r="L305" s="334" t="n"/>
      <c r="M305" s="334" t="n"/>
      <c r="N305" s="333">
        <f>IFERROR(IF(L305*M305=0,"",L305*M305),"")</f>
        <v/>
      </c>
      <c r="O305" s="334" t="n"/>
      <c r="P305" s="332">
        <f>IFERROR(VLOOKUP(TEXT(O305,"0"),CONDUCTORES!$A$3:$G$54,2,0),"")</f>
        <v/>
      </c>
      <c r="Q305" s="332">
        <f>IFERROR(VLOOKUP(TEXT(O305,"0"),CONDUCTORES!$A$3:$H$54,6,0),"")</f>
        <v/>
      </c>
      <c r="R305" s="334" t="n"/>
      <c r="S305" s="334" t="n"/>
      <c r="T305" s="334" t="n"/>
      <c r="U305" s="334" t="n"/>
      <c r="V305" s="334" t="n"/>
      <c r="W305" s="334" t="n"/>
      <c r="X305" s="334" t="n"/>
      <c r="Y305" s="334" t="n"/>
      <c r="Z305" s="375">
        <f>IF(AND(G305&lt;&gt;"",R305&lt;&gt;"",V305&lt;&gt;"",W305&lt;&gt;""),"COMPLETADO","OBSERVADO")</f>
        <v/>
      </c>
    </row>
    <row r="306" ht="15" customHeight="1" s="195">
      <c r="A306" s="280" t="n"/>
      <c r="B306" s="280" t="n"/>
      <c r="C306" s="280" t="n"/>
      <c r="D306" s="280" t="n"/>
      <c r="E306" s="280" t="n"/>
      <c r="F306" s="280" t="n"/>
      <c r="G306" s="280" t="n"/>
      <c r="H306" s="280" t="n"/>
      <c r="I306" s="332">
        <f>IFERROR(VLOOKUP(TEXT(H306,"0"),IPRESS!$A$3:$B$212,2,0),"")</f>
        <v/>
      </c>
      <c r="J306" s="280" t="n"/>
      <c r="K306" s="332">
        <f>IFERROR(VLOOKUP(TEXT(O306,"0"),CONDUCTORES!$A$3:$G$54,7,0),"")</f>
        <v/>
      </c>
      <c r="L306" s="280" t="n"/>
      <c r="M306" s="280" t="n"/>
      <c r="N306" s="333">
        <f>IFERROR(IF(L306*M306=0,"",L306*M306),"")</f>
        <v/>
      </c>
      <c r="O306" s="280" t="n"/>
      <c r="P306" s="332">
        <f>IFERROR(VLOOKUP(TEXT(O306,"0"),CONDUCTORES!$A$3:$G$54,2,0),"")</f>
        <v/>
      </c>
      <c r="Q306" s="332">
        <f>IFERROR(VLOOKUP(TEXT(O306,"0"),CONDUCTORES!$A$3:$H$54,6,0),"")</f>
        <v/>
      </c>
      <c r="R306" s="280" t="n"/>
      <c r="S306" s="280" t="n"/>
      <c r="T306" s="280" t="n"/>
      <c r="U306" s="280" t="n"/>
      <c r="V306" s="280" t="n"/>
      <c r="W306" s="280" t="n"/>
      <c r="X306" s="280" t="n"/>
      <c r="Y306" s="280" t="n"/>
      <c r="Z306" s="375">
        <f>IF(AND(G306&lt;&gt;"",R306&lt;&gt;"",V306&lt;&gt;"",W306&lt;&gt;""),"COMPLETADO","OBSERVADO")</f>
        <v/>
      </c>
    </row>
    <row r="307" ht="15" customHeight="1" s="195">
      <c r="A307" s="334" t="n"/>
      <c r="B307" s="334" t="n"/>
      <c r="C307" s="334" t="n"/>
      <c r="D307" s="334" t="n"/>
      <c r="E307" s="334" t="n"/>
      <c r="F307" s="334" t="n"/>
      <c r="G307" s="334" t="n"/>
      <c r="H307" s="334" t="n"/>
      <c r="I307" s="332">
        <f>IFERROR(VLOOKUP(TEXT(H307,"0"),IPRESS!$A$3:$B$212,2,0),"")</f>
        <v/>
      </c>
      <c r="J307" s="334" t="n"/>
      <c r="K307" s="332">
        <f>IFERROR(VLOOKUP(TEXT(O307,"0"),CONDUCTORES!$A$3:$G$54,7,0),"")</f>
        <v/>
      </c>
      <c r="L307" s="334" t="n"/>
      <c r="M307" s="334" t="n"/>
      <c r="N307" s="333">
        <f>IFERROR(IF(L307*M307=0,"",L307*M307),"")</f>
        <v/>
      </c>
      <c r="O307" s="334" t="n"/>
      <c r="P307" s="332">
        <f>IFERROR(VLOOKUP(TEXT(O307,"0"),CONDUCTORES!$A$3:$G$54,2,0),"")</f>
        <v/>
      </c>
      <c r="Q307" s="332">
        <f>IFERROR(VLOOKUP(TEXT(O307,"0"),CONDUCTORES!$A$3:$H$54,6,0),"")</f>
        <v/>
      </c>
      <c r="R307" s="334" t="n"/>
      <c r="S307" s="334" t="n"/>
      <c r="T307" s="334" t="n"/>
      <c r="U307" s="334" t="n"/>
      <c r="V307" s="334" t="n"/>
      <c r="W307" s="334" t="n"/>
      <c r="X307" s="334" t="n"/>
      <c r="Y307" s="334" t="n"/>
      <c r="Z307" s="375">
        <f>IF(AND(G307&lt;&gt;"",R307&lt;&gt;"",V307&lt;&gt;"",W307&lt;&gt;""),"COMPLETADO","OBSERVADO")</f>
        <v/>
      </c>
    </row>
    <row r="308" ht="15" customHeight="1" s="195">
      <c r="A308" s="280" t="n"/>
      <c r="B308" s="280" t="n"/>
      <c r="C308" s="280" t="n"/>
      <c r="D308" s="280" t="n"/>
      <c r="E308" s="280" t="n"/>
      <c r="F308" s="280" t="n"/>
      <c r="G308" s="280" t="n"/>
      <c r="H308" s="280" t="n"/>
      <c r="I308" s="332">
        <f>IFERROR(VLOOKUP(TEXT(H308,"0"),IPRESS!$A$3:$B$212,2,0),"")</f>
        <v/>
      </c>
      <c r="J308" s="280" t="n"/>
      <c r="K308" s="332">
        <f>IFERROR(VLOOKUP(TEXT(O308,"0"),CONDUCTORES!$A$3:$G$54,7,0),"")</f>
        <v/>
      </c>
      <c r="L308" s="280" t="n"/>
      <c r="M308" s="280" t="n"/>
      <c r="N308" s="333">
        <f>IFERROR(IF(L308*M308=0,"",L308*M308),"")</f>
        <v/>
      </c>
      <c r="O308" s="280" t="n"/>
      <c r="P308" s="332">
        <f>IFERROR(VLOOKUP(TEXT(O308,"0"),CONDUCTORES!$A$3:$G$54,2,0),"")</f>
        <v/>
      </c>
      <c r="Q308" s="332">
        <f>IFERROR(VLOOKUP(TEXT(O308,"0"),CONDUCTORES!$A$3:$H$54,6,0),"")</f>
        <v/>
      </c>
      <c r="R308" s="280" t="n"/>
      <c r="S308" s="280" t="n"/>
      <c r="T308" s="280" t="n"/>
      <c r="U308" s="280" t="n"/>
      <c r="V308" s="280" t="n"/>
      <c r="W308" s="280" t="n"/>
      <c r="X308" s="280" t="n"/>
      <c r="Y308" s="280" t="n"/>
      <c r="Z308" s="375">
        <f>IF(AND(G308&lt;&gt;"",R308&lt;&gt;"",V308&lt;&gt;"",W308&lt;&gt;""),"COMPLETADO","OBSERVADO")</f>
        <v/>
      </c>
    </row>
    <row r="309" ht="15" customHeight="1" s="195">
      <c r="A309" s="334" t="n"/>
      <c r="B309" s="334" t="n"/>
      <c r="C309" s="334" t="n"/>
      <c r="D309" s="334" t="n"/>
      <c r="E309" s="334" t="n"/>
      <c r="F309" s="334" t="n"/>
      <c r="G309" s="334" t="n"/>
      <c r="H309" s="334" t="n"/>
      <c r="I309" s="332">
        <f>IFERROR(VLOOKUP(TEXT(H309,"0"),IPRESS!$A$3:$B$212,2,0),"")</f>
        <v/>
      </c>
      <c r="J309" s="334" t="n"/>
      <c r="K309" s="332">
        <f>IFERROR(VLOOKUP(TEXT(O309,"0"),CONDUCTORES!$A$3:$G$54,7,0),"")</f>
        <v/>
      </c>
      <c r="L309" s="334" t="n"/>
      <c r="M309" s="334" t="n"/>
      <c r="N309" s="333">
        <f>IFERROR(IF(L309*M309=0,"",L309*M309),"")</f>
        <v/>
      </c>
      <c r="O309" s="334" t="n"/>
      <c r="P309" s="332">
        <f>IFERROR(VLOOKUP(TEXT(O309,"0"),CONDUCTORES!$A$3:$G$54,2,0),"")</f>
        <v/>
      </c>
      <c r="Q309" s="332">
        <f>IFERROR(VLOOKUP(TEXT(O309,"0"),CONDUCTORES!$A$3:$H$54,6,0),"")</f>
        <v/>
      </c>
      <c r="R309" s="334" t="n"/>
      <c r="S309" s="334" t="n"/>
      <c r="T309" s="334" t="n"/>
      <c r="U309" s="334" t="n"/>
      <c r="V309" s="334" t="n"/>
      <c r="W309" s="334" t="n"/>
      <c r="X309" s="334" t="n"/>
      <c r="Y309" s="334" t="n"/>
      <c r="Z309" s="375">
        <f>IF(AND(G309&lt;&gt;"",R309&lt;&gt;"",V309&lt;&gt;"",W309&lt;&gt;""),"COMPLETADO","OBSERVADO")</f>
        <v/>
      </c>
    </row>
    <row r="310" ht="15" customHeight="1" s="195">
      <c r="A310" s="280" t="n"/>
      <c r="B310" s="280" t="n"/>
      <c r="C310" s="280" t="n"/>
      <c r="D310" s="280" t="n"/>
      <c r="E310" s="280" t="n"/>
      <c r="F310" s="280" t="n"/>
      <c r="G310" s="280" t="n"/>
      <c r="H310" s="280" t="n"/>
      <c r="I310" s="332">
        <f>IFERROR(VLOOKUP(TEXT(H310,"0"),IPRESS!$A$3:$B$212,2,0),"")</f>
        <v/>
      </c>
      <c r="J310" s="280" t="n"/>
      <c r="K310" s="332">
        <f>IFERROR(VLOOKUP(TEXT(O310,"0"),CONDUCTORES!$A$3:$G$54,7,0),"")</f>
        <v/>
      </c>
      <c r="L310" s="280" t="n"/>
      <c r="M310" s="280" t="n"/>
      <c r="N310" s="333">
        <f>IFERROR(IF(L310*M310=0,"",L310*M310),"")</f>
        <v/>
      </c>
      <c r="O310" s="280" t="n"/>
      <c r="P310" s="332">
        <f>IFERROR(VLOOKUP(TEXT(O310,"0"),CONDUCTORES!$A$3:$G$54,2,0),"")</f>
        <v/>
      </c>
      <c r="Q310" s="332">
        <f>IFERROR(VLOOKUP(TEXT(O310,"0"),CONDUCTORES!$A$3:$H$54,6,0),"")</f>
        <v/>
      </c>
      <c r="R310" s="280" t="n"/>
      <c r="S310" s="280" t="n"/>
      <c r="T310" s="280" t="n"/>
      <c r="U310" s="280" t="n"/>
      <c r="V310" s="280" t="n"/>
      <c r="W310" s="280" t="n"/>
      <c r="X310" s="280" t="n"/>
      <c r="Y310" s="280" t="n"/>
      <c r="Z310" s="375">
        <f>IF(AND(G310&lt;&gt;"",R310&lt;&gt;"",V310&lt;&gt;"",W310&lt;&gt;""),"COMPLETADO","OBSERVADO")</f>
        <v/>
      </c>
    </row>
    <row r="311" ht="15" customHeight="1" s="195">
      <c r="A311" s="334" t="n"/>
      <c r="B311" s="334" t="n"/>
      <c r="C311" s="334" t="n"/>
      <c r="D311" s="334" t="n"/>
      <c r="E311" s="334" t="n"/>
      <c r="F311" s="334" t="n"/>
      <c r="G311" s="334" t="n"/>
      <c r="H311" s="334" t="n"/>
      <c r="I311" s="332">
        <f>IFERROR(VLOOKUP(TEXT(H311,"0"),IPRESS!$A$3:$B$212,2,0),"")</f>
        <v/>
      </c>
      <c r="J311" s="334" t="n"/>
      <c r="K311" s="332">
        <f>IFERROR(VLOOKUP(TEXT(O311,"0"),CONDUCTORES!$A$3:$G$54,7,0),"")</f>
        <v/>
      </c>
      <c r="L311" s="334" t="n"/>
      <c r="M311" s="334" t="n"/>
      <c r="N311" s="333">
        <f>IFERROR(IF(L311*M311=0,"",L311*M311),"")</f>
        <v/>
      </c>
      <c r="O311" s="334" t="n"/>
      <c r="P311" s="332">
        <f>IFERROR(VLOOKUP(TEXT(O311,"0"),CONDUCTORES!$A$3:$G$54,2,0),"")</f>
        <v/>
      </c>
      <c r="Q311" s="332">
        <f>IFERROR(VLOOKUP(TEXT(O311,"0"),CONDUCTORES!$A$3:$H$54,6,0),"")</f>
        <v/>
      </c>
      <c r="R311" s="334" t="n"/>
      <c r="S311" s="334" t="n"/>
      <c r="T311" s="334" t="n"/>
      <c r="U311" s="334" t="n"/>
      <c r="V311" s="334" t="n"/>
      <c r="W311" s="334" t="n"/>
      <c r="X311" s="334" t="n"/>
      <c r="Y311" s="334" t="n"/>
      <c r="Z311" s="375">
        <f>IF(AND(G311&lt;&gt;"",R311&lt;&gt;"",V311&lt;&gt;"",W311&lt;&gt;""),"COMPLETADO","OBSERVADO")</f>
        <v/>
      </c>
    </row>
    <row r="312" ht="15" customHeight="1" s="195">
      <c r="A312" s="280" t="n"/>
      <c r="B312" s="280" t="n"/>
      <c r="C312" s="280" t="n"/>
      <c r="D312" s="280" t="n"/>
      <c r="E312" s="280" t="n"/>
      <c r="F312" s="280" t="n"/>
      <c r="G312" s="280" t="n"/>
      <c r="H312" s="280" t="n"/>
      <c r="I312" s="332">
        <f>IFERROR(VLOOKUP(TEXT(H312,"0"),IPRESS!$A$3:$B$212,2,0),"")</f>
        <v/>
      </c>
      <c r="J312" s="280" t="n"/>
      <c r="K312" s="332">
        <f>IFERROR(VLOOKUP(TEXT(O312,"0"),CONDUCTORES!$A$3:$G$54,7,0),"")</f>
        <v/>
      </c>
      <c r="L312" s="280" t="n"/>
      <c r="M312" s="280" t="n"/>
      <c r="N312" s="333">
        <f>IFERROR(IF(L312*M312=0,"",L312*M312),"")</f>
        <v/>
      </c>
      <c r="O312" s="280" t="n"/>
      <c r="P312" s="332">
        <f>IFERROR(VLOOKUP(TEXT(O312,"0"),CONDUCTORES!$A$3:$G$54,2,0),"")</f>
        <v/>
      </c>
      <c r="Q312" s="332">
        <f>IFERROR(VLOOKUP(TEXT(O312,"0"),CONDUCTORES!$A$3:$H$54,6,0),"")</f>
        <v/>
      </c>
      <c r="R312" s="280" t="n"/>
      <c r="S312" s="280" t="n"/>
      <c r="T312" s="280" t="n"/>
      <c r="U312" s="280" t="n"/>
      <c r="V312" s="280" t="n"/>
      <c r="W312" s="280" t="n"/>
      <c r="X312" s="280" t="n"/>
      <c r="Y312" s="280" t="n"/>
      <c r="Z312" s="375">
        <f>IF(AND(G312&lt;&gt;"",R312&lt;&gt;"",V312&lt;&gt;"",W312&lt;&gt;""),"COMPLETADO","OBSERVADO")</f>
        <v/>
      </c>
    </row>
    <row r="313" ht="15" customHeight="1" s="195">
      <c r="A313" s="334" t="n"/>
      <c r="B313" s="334" t="n"/>
      <c r="C313" s="334" t="n"/>
      <c r="D313" s="334" t="n"/>
      <c r="E313" s="334" t="n"/>
      <c r="F313" s="334" t="n"/>
      <c r="G313" s="334" t="n"/>
      <c r="H313" s="334" t="n"/>
      <c r="I313" s="332">
        <f>IFERROR(VLOOKUP(TEXT(H313,"0"),IPRESS!$A$3:$B$212,2,0),"")</f>
        <v/>
      </c>
      <c r="J313" s="334" t="n"/>
      <c r="K313" s="332">
        <f>IFERROR(VLOOKUP(TEXT(O313,"0"),CONDUCTORES!$A$3:$G$54,7,0),"")</f>
        <v/>
      </c>
      <c r="L313" s="334" t="n"/>
      <c r="M313" s="334" t="n"/>
      <c r="N313" s="333">
        <f>IFERROR(IF(L313*M313=0,"",L313*M313),"")</f>
        <v/>
      </c>
      <c r="O313" s="334" t="n"/>
      <c r="P313" s="332">
        <f>IFERROR(VLOOKUP(TEXT(O313,"0"),CONDUCTORES!$A$3:$G$54,2,0),"")</f>
        <v/>
      </c>
      <c r="Q313" s="332">
        <f>IFERROR(VLOOKUP(TEXT(O313,"0"),CONDUCTORES!$A$3:$H$54,6,0),"")</f>
        <v/>
      </c>
      <c r="R313" s="334" t="n"/>
      <c r="S313" s="334" t="n"/>
      <c r="T313" s="334" t="n"/>
      <c r="U313" s="334" t="n"/>
      <c r="V313" s="334" t="n"/>
      <c r="W313" s="334" t="n"/>
      <c r="X313" s="334" t="n"/>
      <c r="Y313" s="334" t="n"/>
      <c r="Z313" s="375">
        <f>IF(AND(G313&lt;&gt;"",R313&lt;&gt;"",V313&lt;&gt;"",W313&lt;&gt;""),"COMPLETADO","OBSERVADO")</f>
        <v/>
      </c>
    </row>
    <row r="314" ht="15" customHeight="1" s="195">
      <c r="A314" s="280" t="n"/>
      <c r="B314" s="280" t="n"/>
      <c r="C314" s="280" t="n"/>
      <c r="D314" s="280" t="n"/>
      <c r="E314" s="280" t="n"/>
      <c r="F314" s="280" t="n"/>
      <c r="G314" s="280" t="n"/>
      <c r="H314" s="280" t="n"/>
      <c r="I314" s="332">
        <f>IFERROR(VLOOKUP(TEXT(H314,"0"),IPRESS!$A$3:$B$212,2,0),"")</f>
        <v/>
      </c>
      <c r="J314" s="280" t="n"/>
      <c r="K314" s="332">
        <f>IFERROR(VLOOKUP(TEXT(O314,"0"),CONDUCTORES!$A$3:$G$54,7,0),"")</f>
        <v/>
      </c>
      <c r="L314" s="280" t="n"/>
      <c r="M314" s="280" t="n"/>
      <c r="N314" s="333">
        <f>IFERROR(IF(L314*M314=0,"",L314*M314),"")</f>
        <v/>
      </c>
      <c r="O314" s="280" t="n"/>
      <c r="P314" s="332">
        <f>IFERROR(VLOOKUP(TEXT(O314,"0"),CONDUCTORES!$A$3:$G$54,2,0),"")</f>
        <v/>
      </c>
      <c r="Q314" s="332">
        <f>IFERROR(VLOOKUP(TEXT(O314,"0"),CONDUCTORES!$A$3:$H$54,6,0),"")</f>
        <v/>
      </c>
      <c r="R314" s="280" t="n"/>
      <c r="S314" s="280" t="n"/>
      <c r="T314" s="280" t="n"/>
      <c r="U314" s="280" t="n"/>
      <c r="V314" s="280" t="n"/>
      <c r="W314" s="280" t="n"/>
      <c r="X314" s="280" t="n"/>
      <c r="Y314" s="280" t="n"/>
      <c r="Z314" s="375">
        <f>IF(AND(G314&lt;&gt;"",R314&lt;&gt;"",V314&lt;&gt;"",W314&lt;&gt;""),"COMPLETADO","OBSERVADO")</f>
        <v/>
      </c>
    </row>
    <row r="315" ht="15" customHeight="1" s="195">
      <c r="A315" s="334" t="n"/>
      <c r="B315" s="334" t="n"/>
      <c r="C315" s="334" t="n"/>
      <c r="D315" s="334" t="n"/>
      <c r="E315" s="334" t="n"/>
      <c r="F315" s="334" t="n"/>
      <c r="G315" s="334" t="n"/>
      <c r="H315" s="334" t="n"/>
      <c r="I315" s="332">
        <f>IFERROR(VLOOKUP(TEXT(H315,"0"),IPRESS!$A$3:$B$212,2,0),"")</f>
        <v/>
      </c>
      <c r="J315" s="334" t="n"/>
      <c r="K315" s="332">
        <f>IFERROR(VLOOKUP(TEXT(O315,"0"),CONDUCTORES!$A$3:$G$54,7,0),"")</f>
        <v/>
      </c>
      <c r="L315" s="334" t="n"/>
      <c r="M315" s="334" t="n"/>
      <c r="N315" s="333">
        <f>IFERROR(IF(L315*M315=0,"",L315*M315),"")</f>
        <v/>
      </c>
      <c r="O315" s="334" t="n"/>
      <c r="P315" s="332">
        <f>IFERROR(VLOOKUP(TEXT(O315,"0"),CONDUCTORES!$A$3:$G$54,2,0),"")</f>
        <v/>
      </c>
      <c r="Q315" s="332">
        <f>IFERROR(VLOOKUP(TEXT(O315,"0"),CONDUCTORES!$A$3:$H$54,6,0),"")</f>
        <v/>
      </c>
      <c r="R315" s="334" t="n"/>
      <c r="S315" s="334" t="n"/>
      <c r="T315" s="334" t="n"/>
      <c r="U315" s="334" t="n"/>
      <c r="V315" s="334" t="n"/>
      <c r="W315" s="334" t="n"/>
      <c r="X315" s="334" t="n"/>
      <c r="Y315" s="334" t="n"/>
      <c r="Z315" s="375">
        <f>IF(AND(G315&lt;&gt;"",R315&lt;&gt;"",V315&lt;&gt;"",W315&lt;&gt;""),"COMPLETADO","OBSERVADO")</f>
        <v/>
      </c>
    </row>
    <row r="316" ht="15" customHeight="1" s="195">
      <c r="A316" s="280" t="n"/>
      <c r="B316" s="280" t="n"/>
      <c r="C316" s="280" t="n"/>
      <c r="D316" s="280" t="n"/>
      <c r="E316" s="280" t="n"/>
      <c r="F316" s="280" t="n"/>
      <c r="G316" s="280" t="n"/>
      <c r="H316" s="280" t="n"/>
      <c r="I316" s="332">
        <f>IFERROR(VLOOKUP(TEXT(H316,"0"),IPRESS!$A$3:$B$212,2,0),"")</f>
        <v/>
      </c>
      <c r="J316" s="280" t="n"/>
      <c r="K316" s="332">
        <f>IFERROR(VLOOKUP(TEXT(O316,"0"),CONDUCTORES!$A$3:$G$54,7,0),"")</f>
        <v/>
      </c>
      <c r="L316" s="280" t="n"/>
      <c r="M316" s="280" t="n"/>
      <c r="N316" s="333">
        <f>IFERROR(IF(L316*M316=0,"",L316*M316),"")</f>
        <v/>
      </c>
      <c r="O316" s="280" t="n"/>
      <c r="P316" s="332">
        <f>IFERROR(VLOOKUP(TEXT(O316,"0"),CONDUCTORES!$A$3:$G$54,2,0),"")</f>
        <v/>
      </c>
      <c r="Q316" s="332">
        <f>IFERROR(VLOOKUP(TEXT(O316,"0"),CONDUCTORES!$A$3:$H$54,6,0),"")</f>
        <v/>
      </c>
      <c r="R316" s="280" t="n"/>
      <c r="S316" s="280" t="n"/>
      <c r="T316" s="280" t="n"/>
      <c r="U316" s="280" t="n"/>
      <c r="V316" s="280" t="n"/>
      <c r="W316" s="280" t="n"/>
      <c r="X316" s="280" t="n"/>
      <c r="Y316" s="280" t="n"/>
      <c r="Z316" s="375">
        <f>IF(AND(G316&lt;&gt;"",R316&lt;&gt;"",V316&lt;&gt;"",W316&lt;&gt;""),"COMPLETADO","OBSERVADO")</f>
        <v/>
      </c>
    </row>
    <row r="317" ht="15" customHeight="1" s="195">
      <c r="A317" s="334" t="n"/>
      <c r="B317" s="334" t="n"/>
      <c r="C317" s="334" t="n"/>
      <c r="D317" s="334" t="n"/>
      <c r="E317" s="334" t="n"/>
      <c r="F317" s="334" t="n"/>
      <c r="G317" s="334" t="n"/>
      <c r="H317" s="334" t="n"/>
      <c r="I317" s="332">
        <f>IFERROR(VLOOKUP(TEXT(H317,"0"),IPRESS!$A$3:$B$212,2,0),"")</f>
        <v/>
      </c>
      <c r="J317" s="334" t="n"/>
      <c r="K317" s="332">
        <f>IFERROR(VLOOKUP(TEXT(O317,"0"),CONDUCTORES!$A$3:$G$54,7,0),"")</f>
        <v/>
      </c>
      <c r="L317" s="334" t="n"/>
      <c r="M317" s="334" t="n"/>
      <c r="N317" s="333">
        <f>IFERROR(IF(L317*M317=0,"",L317*M317),"")</f>
        <v/>
      </c>
      <c r="O317" s="334" t="n"/>
      <c r="P317" s="332">
        <f>IFERROR(VLOOKUP(TEXT(O317,"0"),CONDUCTORES!$A$3:$G$54,2,0),"")</f>
        <v/>
      </c>
      <c r="Q317" s="332">
        <f>IFERROR(VLOOKUP(TEXT(O317,"0"),CONDUCTORES!$A$3:$H$54,6,0),"")</f>
        <v/>
      </c>
      <c r="R317" s="334" t="n"/>
      <c r="S317" s="334" t="n"/>
      <c r="T317" s="334" t="n"/>
      <c r="U317" s="334" t="n"/>
      <c r="V317" s="334" t="n"/>
      <c r="W317" s="334" t="n"/>
      <c r="X317" s="334" t="n"/>
      <c r="Y317" s="334" t="n"/>
      <c r="Z317" s="375">
        <f>IF(AND(G317&lt;&gt;"",R317&lt;&gt;"",V317&lt;&gt;"",W317&lt;&gt;""),"COMPLETADO","OBSERVADO")</f>
        <v/>
      </c>
    </row>
    <row r="318" ht="15" customHeight="1" s="195">
      <c r="A318" s="280" t="n"/>
      <c r="B318" s="280" t="n"/>
      <c r="C318" s="280" t="n"/>
      <c r="D318" s="280" t="n"/>
      <c r="E318" s="280" t="n"/>
      <c r="F318" s="280" t="n"/>
      <c r="G318" s="280" t="n"/>
      <c r="H318" s="280" t="n"/>
      <c r="I318" s="332">
        <f>IFERROR(VLOOKUP(TEXT(H318,"0"),IPRESS!$A$3:$B$212,2,0),"")</f>
        <v/>
      </c>
      <c r="J318" s="280" t="n"/>
      <c r="K318" s="332">
        <f>IFERROR(VLOOKUP(TEXT(O318,"0"),CONDUCTORES!$A$3:$G$54,7,0),"")</f>
        <v/>
      </c>
      <c r="L318" s="280" t="n"/>
      <c r="M318" s="280" t="n"/>
      <c r="N318" s="333">
        <f>IFERROR(IF(L318*M318=0,"",L318*M318),"")</f>
        <v/>
      </c>
      <c r="O318" s="280" t="n"/>
      <c r="P318" s="332">
        <f>IFERROR(VLOOKUP(TEXT(O318,"0"),CONDUCTORES!$A$3:$G$54,2,0),"")</f>
        <v/>
      </c>
      <c r="Q318" s="332">
        <f>IFERROR(VLOOKUP(TEXT(O318,"0"),CONDUCTORES!$A$3:$H$54,6,0),"")</f>
        <v/>
      </c>
      <c r="R318" s="280" t="n"/>
      <c r="S318" s="280" t="n"/>
      <c r="T318" s="280" t="n"/>
      <c r="U318" s="280" t="n"/>
      <c r="V318" s="280" t="n"/>
      <c r="W318" s="280" t="n"/>
      <c r="X318" s="280" t="n"/>
      <c r="Y318" s="280" t="n"/>
      <c r="Z318" s="375">
        <f>IF(AND(G318&lt;&gt;"",R318&lt;&gt;"",V318&lt;&gt;"",W318&lt;&gt;""),"COMPLETADO","OBSERVADO")</f>
        <v/>
      </c>
    </row>
    <row r="319" ht="15" customHeight="1" s="195">
      <c r="A319" s="334" t="n"/>
      <c r="B319" s="334" t="n"/>
      <c r="C319" s="334" t="n"/>
      <c r="D319" s="334" t="n"/>
      <c r="E319" s="334" t="n"/>
      <c r="F319" s="334" t="n"/>
      <c r="G319" s="334" t="n"/>
      <c r="H319" s="334" t="n"/>
      <c r="I319" s="332">
        <f>IFERROR(VLOOKUP(TEXT(H319,"0"),IPRESS!$A$3:$B$212,2,0),"")</f>
        <v/>
      </c>
      <c r="J319" s="334" t="n"/>
      <c r="K319" s="332">
        <f>IFERROR(VLOOKUP(TEXT(O319,"0"),CONDUCTORES!$A$3:$G$54,7,0),"")</f>
        <v/>
      </c>
      <c r="L319" s="334" t="n"/>
      <c r="M319" s="334" t="n"/>
      <c r="N319" s="333">
        <f>IFERROR(IF(L319*M319=0,"",L319*M319),"")</f>
        <v/>
      </c>
      <c r="O319" s="334" t="n"/>
      <c r="P319" s="332">
        <f>IFERROR(VLOOKUP(TEXT(O319,"0"),CONDUCTORES!$A$3:$G$54,2,0),"")</f>
        <v/>
      </c>
      <c r="Q319" s="332">
        <f>IFERROR(VLOOKUP(TEXT(O319,"0"),CONDUCTORES!$A$3:$H$54,6,0),"")</f>
        <v/>
      </c>
      <c r="R319" s="334" t="n"/>
      <c r="S319" s="334" t="n"/>
      <c r="T319" s="334" t="n"/>
      <c r="U319" s="334" t="n"/>
      <c r="V319" s="334" t="n"/>
      <c r="W319" s="334" t="n"/>
      <c r="X319" s="334" t="n"/>
      <c r="Y319" s="334" t="n"/>
      <c r="Z319" s="375">
        <f>IF(AND(G319&lt;&gt;"",R319&lt;&gt;"",V319&lt;&gt;"",W319&lt;&gt;""),"COMPLETADO","OBSERVADO")</f>
        <v/>
      </c>
    </row>
    <row r="320" ht="15" customHeight="1" s="195">
      <c r="A320" s="280" t="n"/>
      <c r="B320" s="280" t="n"/>
      <c r="C320" s="280" t="n"/>
      <c r="D320" s="280" t="n"/>
      <c r="E320" s="280" t="n"/>
      <c r="F320" s="280" t="n"/>
      <c r="G320" s="280" t="n"/>
      <c r="H320" s="280" t="n"/>
      <c r="I320" s="332">
        <f>IFERROR(VLOOKUP(TEXT(H320,"0"),IPRESS!$A$3:$B$212,2,0),"")</f>
        <v/>
      </c>
      <c r="J320" s="280" t="n"/>
      <c r="K320" s="332">
        <f>IFERROR(VLOOKUP(TEXT(O320,"0"),CONDUCTORES!$A$3:$G$54,7,0),"")</f>
        <v/>
      </c>
      <c r="L320" s="280" t="n"/>
      <c r="M320" s="280" t="n"/>
      <c r="N320" s="333">
        <f>IFERROR(IF(L320*M320=0,"",L320*M320),"")</f>
        <v/>
      </c>
      <c r="O320" s="280" t="n"/>
      <c r="P320" s="332">
        <f>IFERROR(VLOOKUP(TEXT(O320,"0"),CONDUCTORES!$A$3:$G$54,2,0),"")</f>
        <v/>
      </c>
      <c r="Q320" s="332">
        <f>IFERROR(VLOOKUP(TEXT(O320,"0"),CONDUCTORES!$A$3:$H$54,6,0),"")</f>
        <v/>
      </c>
      <c r="R320" s="280" t="n"/>
      <c r="S320" s="280" t="n"/>
      <c r="T320" s="280" t="n"/>
      <c r="U320" s="280" t="n"/>
      <c r="V320" s="280" t="n"/>
      <c r="W320" s="280" t="n"/>
      <c r="X320" s="280" t="n"/>
      <c r="Y320" s="280" t="n"/>
      <c r="Z320" s="375">
        <f>IF(AND(G320&lt;&gt;"",R320&lt;&gt;"",V320&lt;&gt;"",W320&lt;&gt;""),"COMPLETADO","OBSERVADO")</f>
        <v/>
      </c>
    </row>
    <row r="321" ht="15" customHeight="1" s="195">
      <c r="A321" s="334" t="n"/>
      <c r="B321" s="334" t="n"/>
      <c r="C321" s="334" t="n"/>
      <c r="D321" s="334" t="n"/>
      <c r="E321" s="334" t="n"/>
      <c r="F321" s="334" t="n"/>
      <c r="G321" s="334" t="n"/>
      <c r="H321" s="334" t="n"/>
      <c r="I321" s="332">
        <f>IFERROR(VLOOKUP(TEXT(H321,"0"),IPRESS!$A$3:$B$212,2,0),"")</f>
        <v/>
      </c>
      <c r="J321" s="334" t="n"/>
      <c r="K321" s="332">
        <f>IFERROR(VLOOKUP(TEXT(O321,"0"),CONDUCTORES!$A$3:$G$54,7,0),"")</f>
        <v/>
      </c>
      <c r="L321" s="334" t="n"/>
      <c r="M321" s="334" t="n"/>
      <c r="N321" s="333">
        <f>IFERROR(IF(L321*M321=0,"",L321*M321),"")</f>
        <v/>
      </c>
      <c r="O321" s="334" t="n"/>
      <c r="P321" s="332">
        <f>IFERROR(VLOOKUP(TEXT(O321,"0"),CONDUCTORES!$A$3:$G$54,2,0),"")</f>
        <v/>
      </c>
      <c r="Q321" s="332">
        <f>IFERROR(VLOOKUP(TEXT(O321,"0"),CONDUCTORES!$A$3:$H$54,6,0),"")</f>
        <v/>
      </c>
      <c r="R321" s="334" t="n"/>
      <c r="S321" s="334" t="n"/>
      <c r="T321" s="334" t="n"/>
      <c r="U321" s="334" t="n"/>
      <c r="V321" s="334" t="n"/>
      <c r="W321" s="334" t="n"/>
      <c r="X321" s="334" t="n"/>
      <c r="Y321" s="334" t="n"/>
      <c r="Z321" s="375">
        <f>IF(AND(G321&lt;&gt;"",R321&lt;&gt;"",V321&lt;&gt;"",W321&lt;&gt;""),"COMPLETADO","OBSERVADO")</f>
        <v/>
      </c>
    </row>
    <row r="322" ht="15" customHeight="1" s="195">
      <c r="A322" s="280" t="n"/>
      <c r="B322" s="280" t="n"/>
      <c r="C322" s="280" t="n"/>
      <c r="D322" s="280" t="n"/>
      <c r="E322" s="280" t="n"/>
      <c r="F322" s="280" t="n"/>
      <c r="G322" s="280" t="n"/>
      <c r="H322" s="280" t="n"/>
      <c r="I322" s="332">
        <f>IFERROR(VLOOKUP(TEXT(H322,"0"),IPRESS!$A$3:$B$212,2,0),"")</f>
        <v/>
      </c>
      <c r="J322" s="280" t="n"/>
      <c r="K322" s="332">
        <f>IFERROR(VLOOKUP(TEXT(O322,"0"),CONDUCTORES!$A$3:$G$54,7,0),"")</f>
        <v/>
      </c>
      <c r="L322" s="280" t="n"/>
      <c r="M322" s="280" t="n"/>
      <c r="N322" s="333">
        <f>IFERROR(IF(L322*M322=0,"",L322*M322),"")</f>
        <v/>
      </c>
      <c r="O322" s="280" t="n"/>
      <c r="P322" s="332">
        <f>IFERROR(VLOOKUP(TEXT(O322,"0"),CONDUCTORES!$A$3:$G$54,2,0),"")</f>
        <v/>
      </c>
      <c r="Q322" s="332">
        <f>IFERROR(VLOOKUP(TEXT(O322,"0"),CONDUCTORES!$A$3:$H$54,6,0),"")</f>
        <v/>
      </c>
      <c r="R322" s="280" t="n"/>
      <c r="S322" s="280" t="n"/>
      <c r="T322" s="280" t="n"/>
      <c r="U322" s="280" t="n"/>
      <c r="V322" s="280" t="n"/>
      <c r="W322" s="280" t="n"/>
      <c r="X322" s="280" t="n"/>
      <c r="Y322" s="280" t="n"/>
      <c r="Z322" s="375">
        <f>IF(AND(G322&lt;&gt;"",R322&lt;&gt;"",V322&lt;&gt;"",W322&lt;&gt;""),"COMPLETADO","OBSERVADO")</f>
        <v/>
      </c>
    </row>
    <row r="323" ht="15" customHeight="1" s="195">
      <c r="A323" s="334" t="n"/>
      <c r="B323" s="334" t="n"/>
      <c r="C323" s="334" t="n"/>
      <c r="D323" s="334" t="n"/>
      <c r="E323" s="334" t="n"/>
      <c r="F323" s="334" t="n"/>
      <c r="G323" s="334" t="n"/>
      <c r="H323" s="334" t="n"/>
      <c r="I323" s="332">
        <f>IFERROR(VLOOKUP(TEXT(H323,"0"),IPRESS!$A$3:$B$212,2,0),"")</f>
        <v/>
      </c>
      <c r="J323" s="334" t="n"/>
      <c r="K323" s="332">
        <f>IFERROR(VLOOKUP(TEXT(O323,"0"),CONDUCTORES!$A$3:$G$54,7,0),"")</f>
        <v/>
      </c>
      <c r="L323" s="334" t="n"/>
      <c r="M323" s="334" t="n"/>
      <c r="N323" s="333">
        <f>IFERROR(IF(L323*M323=0,"",L323*M323),"")</f>
        <v/>
      </c>
      <c r="O323" s="334" t="n"/>
      <c r="P323" s="332">
        <f>IFERROR(VLOOKUP(TEXT(O323,"0"),CONDUCTORES!$A$3:$G$54,2,0),"")</f>
        <v/>
      </c>
      <c r="Q323" s="332">
        <f>IFERROR(VLOOKUP(TEXT(O323,"0"),CONDUCTORES!$A$3:$H$54,6,0),"")</f>
        <v/>
      </c>
      <c r="R323" s="334" t="n"/>
      <c r="S323" s="334" t="n"/>
      <c r="T323" s="334" t="n"/>
      <c r="U323" s="334" t="n"/>
      <c r="V323" s="334" t="n"/>
      <c r="W323" s="334" t="n"/>
      <c r="X323" s="334" t="n"/>
      <c r="Y323" s="334" t="n"/>
      <c r="Z323" s="375">
        <f>IF(AND(G323&lt;&gt;"",R323&lt;&gt;"",V323&lt;&gt;"",W323&lt;&gt;""),"COMPLETADO","OBSERVADO")</f>
        <v/>
      </c>
    </row>
    <row r="324" ht="15" customHeight="1" s="195">
      <c r="A324" s="280" t="n"/>
      <c r="B324" s="280" t="n"/>
      <c r="C324" s="280" t="n"/>
      <c r="D324" s="280" t="n"/>
      <c r="E324" s="280" t="n"/>
      <c r="F324" s="280" t="n"/>
      <c r="G324" s="280" t="n"/>
      <c r="H324" s="280" t="n"/>
      <c r="I324" s="332">
        <f>IFERROR(VLOOKUP(TEXT(H324,"0"),IPRESS!$A$3:$B$212,2,0),"")</f>
        <v/>
      </c>
      <c r="J324" s="280" t="n"/>
      <c r="K324" s="332">
        <f>IFERROR(VLOOKUP(TEXT(O324,"0"),CONDUCTORES!$A$3:$G$54,7,0),"")</f>
        <v/>
      </c>
      <c r="L324" s="280" t="n"/>
      <c r="M324" s="280" t="n"/>
      <c r="N324" s="333">
        <f>IFERROR(IF(L324*M324=0,"",L324*M324),"")</f>
        <v/>
      </c>
      <c r="O324" s="280" t="n"/>
      <c r="P324" s="332">
        <f>IFERROR(VLOOKUP(TEXT(O324,"0"),CONDUCTORES!$A$3:$G$54,2,0),"")</f>
        <v/>
      </c>
      <c r="Q324" s="332">
        <f>IFERROR(VLOOKUP(TEXT(O324,"0"),CONDUCTORES!$A$3:$H$54,6,0),"")</f>
        <v/>
      </c>
      <c r="R324" s="280" t="n"/>
      <c r="S324" s="280" t="n"/>
      <c r="T324" s="280" t="n"/>
      <c r="U324" s="280" t="n"/>
      <c r="V324" s="280" t="n"/>
      <c r="W324" s="280" t="n"/>
      <c r="X324" s="280" t="n"/>
      <c r="Y324" s="280" t="n"/>
      <c r="Z324" s="375">
        <f>IF(AND(G324&lt;&gt;"",R324&lt;&gt;"",V324&lt;&gt;"",W324&lt;&gt;""),"COMPLETADO","OBSERVADO")</f>
        <v/>
      </c>
    </row>
    <row r="325" ht="15" customHeight="1" s="195">
      <c r="A325" s="334" t="n"/>
      <c r="B325" s="334" t="n"/>
      <c r="C325" s="334" t="n"/>
      <c r="D325" s="334" t="n"/>
      <c r="E325" s="334" t="n"/>
      <c r="F325" s="334" t="n"/>
      <c r="G325" s="334" t="n"/>
      <c r="H325" s="334" t="n"/>
      <c r="I325" s="332">
        <f>IFERROR(VLOOKUP(TEXT(H325,"0"),IPRESS!$A$3:$B$212,2,0),"")</f>
        <v/>
      </c>
      <c r="J325" s="334" t="n"/>
      <c r="K325" s="332">
        <f>IFERROR(VLOOKUP(TEXT(O325,"0"),CONDUCTORES!$A$3:$G$54,7,0),"")</f>
        <v/>
      </c>
      <c r="L325" s="334" t="n"/>
      <c r="M325" s="334" t="n"/>
      <c r="N325" s="333">
        <f>IFERROR(IF(L325*M325=0,"",L325*M325),"")</f>
        <v/>
      </c>
      <c r="O325" s="334" t="n"/>
      <c r="P325" s="332">
        <f>IFERROR(VLOOKUP(TEXT(O325,"0"),CONDUCTORES!$A$3:$G$54,2,0),"")</f>
        <v/>
      </c>
      <c r="Q325" s="332">
        <f>IFERROR(VLOOKUP(TEXT(O325,"0"),CONDUCTORES!$A$3:$H$54,6,0),"")</f>
        <v/>
      </c>
      <c r="R325" s="334" t="n"/>
      <c r="S325" s="334" t="n"/>
      <c r="T325" s="334" t="n"/>
      <c r="U325" s="334" t="n"/>
      <c r="V325" s="334" t="n"/>
      <c r="W325" s="334" t="n"/>
      <c r="X325" s="334" t="n"/>
      <c r="Y325" s="334" t="n"/>
      <c r="Z325" s="375">
        <f>IF(AND(G325&lt;&gt;"",R325&lt;&gt;"",V325&lt;&gt;"",W325&lt;&gt;""),"COMPLETADO","OBSERVADO")</f>
        <v/>
      </c>
    </row>
    <row r="326" ht="15" customHeight="1" s="195">
      <c r="A326" s="280" t="n"/>
      <c r="B326" s="280" t="n"/>
      <c r="C326" s="280" t="n"/>
      <c r="D326" s="280" t="n"/>
      <c r="E326" s="280" t="n"/>
      <c r="F326" s="280" t="n"/>
      <c r="G326" s="280" t="n"/>
      <c r="H326" s="280" t="n"/>
      <c r="I326" s="332">
        <f>IFERROR(VLOOKUP(TEXT(H326,"0"),IPRESS!$A$3:$B$212,2,0),"")</f>
        <v/>
      </c>
      <c r="J326" s="280" t="n"/>
      <c r="K326" s="332">
        <f>IFERROR(VLOOKUP(TEXT(O326,"0"),CONDUCTORES!$A$3:$G$54,7,0),"")</f>
        <v/>
      </c>
      <c r="L326" s="280" t="n"/>
      <c r="M326" s="280" t="n"/>
      <c r="N326" s="333">
        <f>IFERROR(IF(L326*M326=0,"",L326*M326),"")</f>
        <v/>
      </c>
      <c r="O326" s="280" t="n"/>
      <c r="P326" s="332">
        <f>IFERROR(VLOOKUP(TEXT(O326,"0"),CONDUCTORES!$A$3:$G$54,2,0),"")</f>
        <v/>
      </c>
      <c r="Q326" s="332">
        <f>IFERROR(VLOOKUP(TEXT(O326,"0"),CONDUCTORES!$A$3:$H$54,6,0),"")</f>
        <v/>
      </c>
      <c r="R326" s="280" t="n"/>
      <c r="S326" s="280" t="n"/>
      <c r="T326" s="280" t="n"/>
      <c r="U326" s="280" t="n"/>
      <c r="V326" s="280" t="n"/>
      <c r="W326" s="280" t="n"/>
      <c r="X326" s="280" t="n"/>
      <c r="Y326" s="280" t="n"/>
      <c r="Z326" s="375">
        <f>IF(AND(G326&lt;&gt;"",R326&lt;&gt;"",V326&lt;&gt;"",W326&lt;&gt;""),"COMPLETADO","OBSERVADO")</f>
        <v/>
      </c>
    </row>
    <row r="327" ht="15" customHeight="1" s="195">
      <c r="A327" s="334" t="n"/>
      <c r="B327" s="334" t="n"/>
      <c r="C327" s="334" t="n"/>
      <c r="D327" s="334" t="n"/>
      <c r="E327" s="334" t="n"/>
      <c r="F327" s="334" t="n"/>
      <c r="G327" s="334" t="n"/>
      <c r="H327" s="334" t="n"/>
      <c r="I327" s="332">
        <f>IFERROR(VLOOKUP(TEXT(H327,"0"),IPRESS!$A$3:$B$212,2,0),"")</f>
        <v/>
      </c>
      <c r="J327" s="334" t="n"/>
      <c r="K327" s="332">
        <f>IFERROR(VLOOKUP(TEXT(O327,"0"),CONDUCTORES!$A$3:$G$54,7,0),"")</f>
        <v/>
      </c>
      <c r="L327" s="334" t="n"/>
      <c r="M327" s="334" t="n"/>
      <c r="N327" s="333">
        <f>IFERROR(IF(L327*M327=0,"",L327*M327),"")</f>
        <v/>
      </c>
      <c r="O327" s="334" t="n"/>
      <c r="P327" s="332">
        <f>IFERROR(VLOOKUP(TEXT(O327,"0"),CONDUCTORES!$A$3:$G$54,2,0),"")</f>
        <v/>
      </c>
      <c r="Q327" s="332">
        <f>IFERROR(VLOOKUP(TEXT(O327,"0"),CONDUCTORES!$A$3:$H$54,6,0),"")</f>
        <v/>
      </c>
      <c r="R327" s="334" t="n"/>
      <c r="S327" s="334" t="n"/>
      <c r="T327" s="334" t="n"/>
      <c r="U327" s="334" t="n"/>
      <c r="V327" s="334" t="n"/>
      <c r="W327" s="334" t="n"/>
      <c r="X327" s="334" t="n"/>
      <c r="Y327" s="334" t="n"/>
      <c r="Z327" s="375">
        <f>IF(AND(G327&lt;&gt;"",R327&lt;&gt;"",V327&lt;&gt;"",W327&lt;&gt;""),"COMPLETADO","OBSERVADO")</f>
        <v/>
      </c>
    </row>
    <row r="328" ht="15" customHeight="1" s="195">
      <c r="A328" s="280" t="n"/>
      <c r="B328" s="280" t="n"/>
      <c r="C328" s="280" t="n"/>
      <c r="D328" s="280" t="n"/>
      <c r="E328" s="280" t="n"/>
      <c r="F328" s="280" t="n"/>
      <c r="G328" s="280" t="n"/>
      <c r="H328" s="280" t="n"/>
      <c r="I328" s="332">
        <f>IFERROR(VLOOKUP(TEXT(H328,"0"),IPRESS!$A$3:$B$212,2,0),"")</f>
        <v/>
      </c>
      <c r="J328" s="280" t="n"/>
      <c r="K328" s="332">
        <f>IFERROR(VLOOKUP(TEXT(O328,"0"),CONDUCTORES!$A$3:$G$54,7,0),"")</f>
        <v/>
      </c>
      <c r="L328" s="280" t="n"/>
      <c r="M328" s="280" t="n"/>
      <c r="N328" s="333">
        <f>IFERROR(IF(L328*M328=0,"",L328*M328),"")</f>
        <v/>
      </c>
      <c r="O328" s="280" t="n"/>
      <c r="P328" s="332">
        <f>IFERROR(VLOOKUP(TEXT(O328,"0"),CONDUCTORES!$A$3:$G$54,2,0),"")</f>
        <v/>
      </c>
      <c r="Q328" s="332">
        <f>IFERROR(VLOOKUP(TEXT(O328,"0"),CONDUCTORES!$A$3:$H$54,6,0),"")</f>
        <v/>
      </c>
      <c r="R328" s="280" t="n"/>
      <c r="S328" s="280" t="n"/>
      <c r="T328" s="280" t="n"/>
      <c r="U328" s="280" t="n"/>
      <c r="V328" s="280" t="n"/>
      <c r="W328" s="280" t="n"/>
      <c r="X328" s="280" t="n"/>
      <c r="Y328" s="280" t="n"/>
      <c r="Z328" s="375">
        <f>IF(AND(G328&lt;&gt;"",R328&lt;&gt;"",V328&lt;&gt;"",W328&lt;&gt;""),"COMPLETADO","OBSERVADO")</f>
        <v/>
      </c>
    </row>
    <row r="329" ht="15" customHeight="1" s="195">
      <c r="A329" s="334" t="n"/>
      <c r="B329" s="334" t="n"/>
      <c r="C329" s="334" t="n"/>
      <c r="D329" s="334" t="n"/>
      <c r="E329" s="334" t="n"/>
      <c r="F329" s="334" t="n"/>
      <c r="G329" s="334" t="n"/>
      <c r="H329" s="334" t="n"/>
      <c r="I329" s="332">
        <f>IFERROR(VLOOKUP(TEXT(H329,"0"),IPRESS!$A$3:$B$212,2,0),"")</f>
        <v/>
      </c>
      <c r="J329" s="334" t="n"/>
      <c r="K329" s="332">
        <f>IFERROR(VLOOKUP(TEXT(O329,"0"),CONDUCTORES!$A$3:$G$54,7,0),"")</f>
        <v/>
      </c>
      <c r="L329" s="334" t="n"/>
      <c r="M329" s="334" t="n"/>
      <c r="N329" s="333">
        <f>IFERROR(IF(L329*M329=0,"",L329*M329),"")</f>
        <v/>
      </c>
      <c r="O329" s="334" t="n"/>
      <c r="P329" s="332">
        <f>IFERROR(VLOOKUP(TEXT(O329,"0"),CONDUCTORES!$A$3:$G$54,2,0),"")</f>
        <v/>
      </c>
      <c r="Q329" s="332">
        <f>IFERROR(VLOOKUP(TEXT(O329,"0"),CONDUCTORES!$A$3:$H$54,6,0),"")</f>
        <v/>
      </c>
      <c r="R329" s="334" t="n"/>
      <c r="S329" s="334" t="n"/>
      <c r="T329" s="334" t="n"/>
      <c r="U329" s="334" t="n"/>
      <c r="V329" s="334" t="n"/>
      <c r="W329" s="334" t="n"/>
      <c r="X329" s="334" t="n"/>
      <c r="Y329" s="334" t="n"/>
      <c r="Z329" s="375">
        <f>IF(AND(G329&lt;&gt;"",R329&lt;&gt;"",V329&lt;&gt;"",W329&lt;&gt;""),"COMPLETADO","OBSERVADO")</f>
        <v/>
      </c>
    </row>
    <row r="330" ht="15" customHeight="1" s="195">
      <c r="A330" s="280" t="n"/>
      <c r="B330" s="280" t="n"/>
      <c r="C330" s="280" t="n"/>
      <c r="D330" s="280" t="n"/>
      <c r="E330" s="280" t="n"/>
      <c r="F330" s="280" t="n"/>
      <c r="G330" s="280" t="n"/>
      <c r="H330" s="280" t="n"/>
      <c r="I330" s="332">
        <f>IFERROR(VLOOKUP(TEXT(H330,"0"),IPRESS!$A$3:$B$212,2,0),"")</f>
        <v/>
      </c>
      <c r="J330" s="280" t="n"/>
      <c r="K330" s="332">
        <f>IFERROR(VLOOKUP(TEXT(O330,"0"),CONDUCTORES!$A$3:$G$54,7,0),"")</f>
        <v/>
      </c>
      <c r="L330" s="280" t="n"/>
      <c r="M330" s="280" t="n"/>
      <c r="N330" s="333">
        <f>IFERROR(IF(L330*M330=0,"",L330*M330),"")</f>
        <v/>
      </c>
      <c r="O330" s="280" t="n"/>
      <c r="P330" s="332">
        <f>IFERROR(VLOOKUP(TEXT(O330,"0"),CONDUCTORES!$A$3:$G$54,2,0),"")</f>
        <v/>
      </c>
      <c r="Q330" s="332">
        <f>IFERROR(VLOOKUP(TEXT(O330,"0"),CONDUCTORES!$A$3:$H$54,6,0),"")</f>
        <v/>
      </c>
      <c r="R330" s="280" t="n"/>
      <c r="S330" s="280" t="n"/>
      <c r="T330" s="280" t="n"/>
      <c r="U330" s="280" t="n"/>
      <c r="V330" s="280" t="n"/>
      <c r="W330" s="280" t="n"/>
      <c r="X330" s="280" t="n"/>
      <c r="Y330" s="280" t="n"/>
      <c r="Z330" s="375">
        <f>IF(AND(G330&lt;&gt;"",R330&lt;&gt;"",V330&lt;&gt;"",W330&lt;&gt;""),"COMPLETADO","OBSERVADO")</f>
        <v/>
      </c>
    </row>
    <row r="331" ht="15" customHeight="1" s="195">
      <c r="A331" s="334" t="n"/>
      <c r="B331" s="334" t="n"/>
      <c r="C331" s="334" t="n"/>
      <c r="D331" s="334" t="n"/>
      <c r="E331" s="334" t="n"/>
      <c r="F331" s="334" t="n"/>
      <c r="G331" s="334" t="n"/>
      <c r="H331" s="334" t="n"/>
      <c r="I331" s="332">
        <f>IFERROR(VLOOKUP(TEXT(H331,"0"),IPRESS!$A$3:$B$212,2,0),"")</f>
        <v/>
      </c>
      <c r="J331" s="334" t="n"/>
      <c r="K331" s="332">
        <f>IFERROR(VLOOKUP(TEXT(O331,"0"),CONDUCTORES!$A$3:$G$54,7,0),"")</f>
        <v/>
      </c>
      <c r="L331" s="334" t="n"/>
      <c r="M331" s="334" t="n"/>
      <c r="N331" s="333">
        <f>IFERROR(IF(L331*M331=0,"",L331*M331),"")</f>
        <v/>
      </c>
      <c r="O331" s="334" t="n"/>
      <c r="P331" s="332">
        <f>IFERROR(VLOOKUP(TEXT(O331,"0"),CONDUCTORES!$A$3:$G$54,2,0),"")</f>
        <v/>
      </c>
      <c r="Q331" s="332">
        <f>IFERROR(VLOOKUP(TEXT(O331,"0"),CONDUCTORES!$A$3:$H$54,6,0),"")</f>
        <v/>
      </c>
      <c r="R331" s="334" t="n"/>
      <c r="S331" s="334" t="n"/>
      <c r="T331" s="334" t="n"/>
      <c r="U331" s="334" t="n"/>
      <c r="V331" s="334" t="n"/>
      <c r="W331" s="334" t="n"/>
      <c r="X331" s="334" t="n"/>
      <c r="Y331" s="334" t="n"/>
      <c r="Z331" s="375">
        <f>IF(AND(G331&lt;&gt;"",R331&lt;&gt;"",V331&lt;&gt;"",W331&lt;&gt;""),"COMPLETADO","OBSERVADO")</f>
        <v/>
      </c>
    </row>
    <row r="332" ht="15" customHeight="1" s="195">
      <c r="A332" s="280" t="n"/>
      <c r="B332" s="280" t="n"/>
      <c r="C332" s="280" t="n"/>
      <c r="D332" s="280" t="n"/>
      <c r="E332" s="280" t="n"/>
      <c r="F332" s="280" t="n"/>
      <c r="G332" s="280" t="n"/>
      <c r="H332" s="280" t="n"/>
      <c r="I332" s="332">
        <f>IFERROR(VLOOKUP(TEXT(H332,"0"),IPRESS!$A$3:$B$212,2,0),"")</f>
        <v/>
      </c>
      <c r="J332" s="280" t="n"/>
      <c r="K332" s="332">
        <f>IFERROR(VLOOKUP(TEXT(O332,"0"),CONDUCTORES!$A$3:$G$54,7,0),"")</f>
        <v/>
      </c>
      <c r="L332" s="280" t="n"/>
      <c r="M332" s="280" t="n"/>
      <c r="N332" s="333">
        <f>IFERROR(IF(L332*M332=0,"",L332*M332),"")</f>
        <v/>
      </c>
      <c r="O332" s="280" t="n"/>
      <c r="P332" s="332">
        <f>IFERROR(VLOOKUP(TEXT(O332,"0"),CONDUCTORES!$A$3:$G$54,2,0),"")</f>
        <v/>
      </c>
      <c r="Q332" s="332">
        <f>IFERROR(VLOOKUP(TEXT(O332,"0"),CONDUCTORES!$A$3:$H$54,6,0),"")</f>
        <v/>
      </c>
      <c r="R332" s="280" t="n"/>
      <c r="S332" s="280" t="n"/>
      <c r="T332" s="280" t="n"/>
      <c r="U332" s="280" t="n"/>
      <c r="V332" s="280" t="n"/>
      <c r="W332" s="280" t="n"/>
      <c r="X332" s="280" t="n"/>
      <c r="Y332" s="280" t="n"/>
      <c r="Z332" s="375">
        <f>IF(AND(G332&lt;&gt;"",R332&lt;&gt;"",V332&lt;&gt;"",W332&lt;&gt;""),"COMPLETADO","OBSERVADO")</f>
        <v/>
      </c>
    </row>
    <row r="333" ht="15" customHeight="1" s="195">
      <c r="A333" s="334" t="n"/>
      <c r="B333" s="334" t="n"/>
      <c r="C333" s="334" t="n"/>
      <c r="D333" s="334" t="n"/>
      <c r="E333" s="334" t="n"/>
      <c r="F333" s="334" t="n"/>
      <c r="G333" s="334" t="n"/>
      <c r="H333" s="334" t="n"/>
      <c r="I333" s="332">
        <f>IFERROR(VLOOKUP(TEXT(H333,"0"),IPRESS!$A$3:$B$212,2,0),"")</f>
        <v/>
      </c>
      <c r="J333" s="334" t="n"/>
      <c r="K333" s="332">
        <f>IFERROR(VLOOKUP(TEXT(O333,"0"),CONDUCTORES!$A$3:$G$54,7,0),"")</f>
        <v/>
      </c>
      <c r="L333" s="334" t="n"/>
      <c r="M333" s="334" t="n"/>
      <c r="N333" s="333">
        <f>IFERROR(IF(L333*M333=0,"",L333*M333),"")</f>
        <v/>
      </c>
      <c r="O333" s="334" t="n"/>
      <c r="P333" s="332">
        <f>IFERROR(VLOOKUP(TEXT(O333,"0"),CONDUCTORES!$A$3:$G$54,2,0),"")</f>
        <v/>
      </c>
      <c r="Q333" s="332">
        <f>IFERROR(VLOOKUP(TEXT(O333,"0"),CONDUCTORES!$A$3:$H$54,6,0),"")</f>
        <v/>
      </c>
      <c r="R333" s="334" t="n"/>
      <c r="S333" s="334" t="n"/>
      <c r="T333" s="334" t="n"/>
      <c r="U333" s="334" t="n"/>
      <c r="V333" s="334" t="n"/>
      <c r="W333" s="334" t="n"/>
      <c r="X333" s="334" t="n"/>
      <c r="Y333" s="334" t="n"/>
      <c r="Z333" s="375">
        <f>IF(AND(G333&lt;&gt;"",R333&lt;&gt;"",V333&lt;&gt;"",W333&lt;&gt;""),"COMPLETADO","OBSERVADO")</f>
        <v/>
      </c>
    </row>
    <row r="334" ht="15" customHeight="1" s="195">
      <c r="A334" s="280" t="n"/>
      <c r="B334" s="280" t="n"/>
      <c r="C334" s="280" t="n"/>
      <c r="D334" s="280" t="n"/>
      <c r="E334" s="280" t="n"/>
      <c r="F334" s="280" t="n"/>
      <c r="G334" s="280" t="n"/>
      <c r="H334" s="280" t="n"/>
      <c r="I334" s="332">
        <f>IFERROR(VLOOKUP(TEXT(H334,"0"),IPRESS!$A$3:$B$212,2,0),"")</f>
        <v/>
      </c>
      <c r="J334" s="280" t="n"/>
      <c r="K334" s="332">
        <f>IFERROR(VLOOKUP(TEXT(O334,"0"),CONDUCTORES!$A$3:$G$54,7,0),"")</f>
        <v/>
      </c>
      <c r="L334" s="280" t="n"/>
      <c r="M334" s="280" t="n"/>
      <c r="N334" s="333">
        <f>IFERROR(IF(L334*M334=0,"",L334*M334),"")</f>
        <v/>
      </c>
      <c r="O334" s="280" t="n"/>
      <c r="P334" s="332">
        <f>IFERROR(VLOOKUP(TEXT(O334,"0"),CONDUCTORES!$A$3:$G$54,2,0),"")</f>
        <v/>
      </c>
      <c r="Q334" s="332">
        <f>IFERROR(VLOOKUP(TEXT(O334,"0"),CONDUCTORES!$A$3:$H$54,6,0),"")</f>
        <v/>
      </c>
      <c r="R334" s="280" t="n"/>
      <c r="S334" s="280" t="n"/>
      <c r="T334" s="280" t="n"/>
      <c r="U334" s="280" t="n"/>
      <c r="V334" s="280" t="n"/>
      <c r="W334" s="280" t="n"/>
      <c r="X334" s="280" t="n"/>
      <c r="Y334" s="280" t="n"/>
      <c r="Z334" s="375">
        <f>IF(AND(G334&lt;&gt;"",R334&lt;&gt;"",V334&lt;&gt;"",W334&lt;&gt;""),"COMPLETADO","OBSERVADO")</f>
        <v/>
      </c>
    </row>
    <row r="335" ht="15" customHeight="1" s="195">
      <c r="A335" s="334" t="n"/>
      <c r="B335" s="334" t="n"/>
      <c r="C335" s="334" t="n"/>
      <c r="D335" s="334" t="n"/>
      <c r="E335" s="334" t="n"/>
      <c r="F335" s="334" t="n"/>
      <c r="G335" s="334" t="n"/>
      <c r="H335" s="334" t="n"/>
      <c r="I335" s="332">
        <f>IFERROR(VLOOKUP(TEXT(H335,"0"),IPRESS!$A$3:$B$212,2,0),"")</f>
        <v/>
      </c>
      <c r="J335" s="334" t="n"/>
      <c r="K335" s="332">
        <f>IFERROR(VLOOKUP(TEXT(O335,"0"),CONDUCTORES!$A$3:$G$54,7,0),"")</f>
        <v/>
      </c>
      <c r="L335" s="334" t="n"/>
      <c r="M335" s="334" t="n"/>
      <c r="N335" s="333">
        <f>IFERROR(IF(L335*M335=0,"",L335*M335),"")</f>
        <v/>
      </c>
      <c r="O335" s="334" t="n"/>
      <c r="P335" s="332">
        <f>IFERROR(VLOOKUP(TEXT(O335,"0"),CONDUCTORES!$A$3:$G$54,2,0),"")</f>
        <v/>
      </c>
      <c r="Q335" s="332">
        <f>IFERROR(VLOOKUP(TEXT(O335,"0"),CONDUCTORES!$A$3:$H$54,6,0),"")</f>
        <v/>
      </c>
      <c r="R335" s="334" t="n"/>
      <c r="S335" s="334" t="n"/>
      <c r="T335" s="334" t="n"/>
      <c r="U335" s="334" t="n"/>
      <c r="V335" s="334" t="n"/>
      <c r="W335" s="334" t="n"/>
      <c r="X335" s="334" t="n"/>
      <c r="Y335" s="334" t="n"/>
      <c r="Z335" s="375">
        <f>IF(AND(G335&lt;&gt;"",R335&lt;&gt;"",V335&lt;&gt;"",W335&lt;&gt;""),"COMPLETADO","OBSERVADO")</f>
        <v/>
      </c>
    </row>
    <row r="336" ht="15" customHeight="1" s="195">
      <c r="A336" s="280" t="n"/>
      <c r="B336" s="280" t="n"/>
      <c r="C336" s="280" t="n"/>
      <c r="D336" s="280" t="n"/>
      <c r="E336" s="280" t="n"/>
      <c r="F336" s="280" t="n"/>
      <c r="G336" s="280" t="n"/>
      <c r="H336" s="280" t="n"/>
      <c r="I336" s="332">
        <f>IFERROR(VLOOKUP(TEXT(H336,"0"),IPRESS!$A$3:$B$212,2,0),"")</f>
        <v/>
      </c>
      <c r="J336" s="280" t="n"/>
      <c r="K336" s="332">
        <f>IFERROR(VLOOKUP(TEXT(O336,"0"),CONDUCTORES!$A$3:$G$54,7,0),"")</f>
        <v/>
      </c>
      <c r="L336" s="280" t="n"/>
      <c r="M336" s="280" t="n"/>
      <c r="N336" s="333">
        <f>IFERROR(IF(L336*M336=0,"",L336*M336),"")</f>
        <v/>
      </c>
      <c r="O336" s="280" t="n"/>
      <c r="P336" s="332">
        <f>IFERROR(VLOOKUP(TEXT(O336,"0"),CONDUCTORES!$A$3:$G$54,2,0),"")</f>
        <v/>
      </c>
      <c r="Q336" s="332">
        <f>IFERROR(VLOOKUP(TEXT(O336,"0"),CONDUCTORES!$A$3:$H$54,6,0),"")</f>
        <v/>
      </c>
      <c r="R336" s="280" t="n"/>
      <c r="S336" s="280" t="n"/>
      <c r="T336" s="280" t="n"/>
      <c r="U336" s="280" t="n"/>
      <c r="V336" s="280" t="n"/>
      <c r="W336" s="280" t="n"/>
      <c r="X336" s="280" t="n"/>
      <c r="Y336" s="280" t="n"/>
      <c r="Z336" s="375">
        <f>IF(AND(G336&lt;&gt;"",R336&lt;&gt;"",V336&lt;&gt;"",W336&lt;&gt;""),"COMPLETADO","OBSERVADO")</f>
        <v/>
      </c>
    </row>
    <row r="337" ht="15" customHeight="1" s="195">
      <c r="A337" s="334" t="n"/>
      <c r="B337" s="334" t="n"/>
      <c r="C337" s="334" t="n"/>
      <c r="D337" s="334" t="n"/>
      <c r="E337" s="334" t="n"/>
      <c r="F337" s="334" t="n"/>
      <c r="G337" s="334" t="n"/>
      <c r="H337" s="334" t="n"/>
      <c r="I337" s="332">
        <f>IFERROR(VLOOKUP(TEXT(H337,"0"),IPRESS!$A$3:$B$212,2,0),"")</f>
        <v/>
      </c>
      <c r="J337" s="334" t="n"/>
      <c r="K337" s="332">
        <f>IFERROR(VLOOKUP(TEXT(O337,"0"),CONDUCTORES!$A$3:$G$54,7,0),"")</f>
        <v/>
      </c>
      <c r="L337" s="334" t="n"/>
      <c r="M337" s="334" t="n"/>
      <c r="N337" s="333">
        <f>IFERROR(IF(L337*M337=0,"",L337*M337),"")</f>
        <v/>
      </c>
      <c r="O337" s="334" t="n"/>
      <c r="P337" s="332">
        <f>IFERROR(VLOOKUP(TEXT(O337,"0"),CONDUCTORES!$A$3:$G$54,2,0),"")</f>
        <v/>
      </c>
      <c r="Q337" s="332">
        <f>IFERROR(VLOOKUP(TEXT(O337,"0"),CONDUCTORES!$A$3:$H$54,6,0),"")</f>
        <v/>
      </c>
      <c r="R337" s="334" t="n"/>
      <c r="S337" s="334" t="n"/>
      <c r="T337" s="334" t="n"/>
      <c r="U337" s="334" t="n"/>
      <c r="V337" s="334" t="n"/>
      <c r="W337" s="334" t="n"/>
      <c r="X337" s="334" t="n"/>
      <c r="Y337" s="334" t="n"/>
      <c r="Z337" s="375">
        <f>IF(AND(G337&lt;&gt;"",R337&lt;&gt;"",V337&lt;&gt;"",W337&lt;&gt;""),"COMPLETADO","OBSERVADO")</f>
        <v/>
      </c>
    </row>
    <row r="338" ht="15" customHeight="1" s="195">
      <c r="A338" s="280" t="n"/>
      <c r="B338" s="280" t="n"/>
      <c r="C338" s="280" t="n"/>
      <c r="D338" s="280" t="n"/>
      <c r="E338" s="280" t="n"/>
      <c r="F338" s="280" t="n"/>
      <c r="G338" s="280" t="n"/>
      <c r="H338" s="280" t="n"/>
      <c r="I338" s="332">
        <f>IFERROR(VLOOKUP(TEXT(H338,"0"),IPRESS!$A$3:$B$212,2,0),"")</f>
        <v/>
      </c>
      <c r="J338" s="280" t="n"/>
      <c r="K338" s="332">
        <f>IFERROR(VLOOKUP(TEXT(O338,"0"),CONDUCTORES!$A$3:$G$54,7,0),"")</f>
        <v/>
      </c>
      <c r="L338" s="280" t="n"/>
      <c r="M338" s="280" t="n"/>
      <c r="N338" s="333">
        <f>IFERROR(IF(L338*M338=0,"",L338*M338),"")</f>
        <v/>
      </c>
      <c r="O338" s="280" t="n"/>
      <c r="P338" s="332">
        <f>IFERROR(VLOOKUP(TEXT(O338,"0"),CONDUCTORES!$A$3:$G$54,2,0),"")</f>
        <v/>
      </c>
      <c r="Q338" s="332">
        <f>IFERROR(VLOOKUP(TEXT(O338,"0"),CONDUCTORES!$A$3:$H$54,6,0),"")</f>
        <v/>
      </c>
      <c r="R338" s="280" t="n"/>
      <c r="S338" s="280" t="n"/>
      <c r="T338" s="280" t="n"/>
      <c r="U338" s="280" t="n"/>
      <c r="V338" s="280" t="n"/>
      <c r="W338" s="280" t="n"/>
      <c r="X338" s="280" t="n"/>
      <c r="Y338" s="280" t="n"/>
      <c r="Z338" s="375">
        <f>IF(AND(G338&lt;&gt;"",R338&lt;&gt;"",V338&lt;&gt;"",W338&lt;&gt;""),"COMPLETADO","OBSERVADO")</f>
        <v/>
      </c>
    </row>
    <row r="339" ht="15" customHeight="1" s="195">
      <c r="A339" s="334" t="n"/>
      <c r="B339" s="334" t="n"/>
      <c r="C339" s="334" t="n"/>
      <c r="D339" s="334" t="n"/>
      <c r="E339" s="334" t="n"/>
      <c r="F339" s="334" t="n"/>
      <c r="G339" s="334" t="n"/>
      <c r="H339" s="334" t="n"/>
      <c r="I339" s="332">
        <f>IFERROR(VLOOKUP(TEXT(H339,"0"),IPRESS!$A$3:$B$212,2,0),"")</f>
        <v/>
      </c>
      <c r="J339" s="334" t="n"/>
      <c r="K339" s="332">
        <f>IFERROR(VLOOKUP(TEXT(O339,"0"),CONDUCTORES!$A$3:$G$54,7,0),"")</f>
        <v/>
      </c>
      <c r="L339" s="334" t="n"/>
      <c r="M339" s="334" t="n"/>
      <c r="N339" s="333">
        <f>IFERROR(IF(L339*M339=0,"",L339*M339),"")</f>
        <v/>
      </c>
      <c r="O339" s="334" t="n"/>
      <c r="P339" s="332">
        <f>IFERROR(VLOOKUP(TEXT(O339,"0"),CONDUCTORES!$A$3:$G$54,2,0),"")</f>
        <v/>
      </c>
      <c r="Q339" s="332">
        <f>IFERROR(VLOOKUP(TEXT(O339,"0"),CONDUCTORES!$A$3:$H$54,6,0),"")</f>
        <v/>
      </c>
      <c r="R339" s="334" t="n"/>
      <c r="S339" s="334" t="n"/>
      <c r="T339" s="334" t="n"/>
      <c r="U339" s="334" t="n"/>
      <c r="V339" s="334" t="n"/>
      <c r="W339" s="334" t="n"/>
      <c r="X339" s="334" t="n"/>
      <c r="Y339" s="334" t="n"/>
      <c r="Z339" s="375">
        <f>IF(AND(G339&lt;&gt;"",R339&lt;&gt;"",V339&lt;&gt;"",W339&lt;&gt;""),"COMPLETADO","OBSERVADO")</f>
        <v/>
      </c>
    </row>
    <row r="340" ht="15" customHeight="1" s="195">
      <c r="A340" s="280" t="n"/>
      <c r="B340" s="280" t="n"/>
      <c r="C340" s="280" t="n"/>
      <c r="D340" s="280" t="n"/>
      <c r="E340" s="280" t="n"/>
      <c r="F340" s="280" t="n"/>
      <c r="G340" s="280" t="n"/>
      <c r="H340" s="280" t="n"/>
      <c r="I340" s="332">
        <f>IFERROR(VLOOKUP(TEXT(H340,"0"),IPRESS!$A$3:$B$212,2,0),"")</f>
        <v/>
      </c>
      <c r="J340" s="280" t="n"/>
      <c r="K340" s="332">
        <f>IFERROR(VLOOKUP(TEXT(O340,"0"),CONDUCTORES!$A$3:$G$54,7,0),"")</f>
        <v/>
      </c>
      <c r="L340" s="280" t="n"/>
      <c r="M340" s="280" t="n"/>
      <c r="N340" s="333">
        <f>IFERROR(IF(L340*M340=0,"",L340*M340),"")</f>
        <v/>
      </c>
      <c r="O340" s="280" t="n"/>
      <c r="P340" s="332">
        <f>IFERROR(VLOOKUP(TEXT(O340,"0"),CONDUCTORES!$A$3:$G$54,2,0),"")</f>
        <v/>
      </c>
      <c r="Q340" s="332">
        <f>IFERROR(VLOOKUP(TEXT(O340,"0"),CONDUCTORES!$A$3:$H$54,6,0),"")</f>
        <v/>
      </c>
      <c r="R340" s="280" t="n"/>
      <c r="S340" s="280" t="n"/>
      <c r="T340" s="280" t="n"/>
      <c r="U340" s="280" t="n"/>
      <c r="V340" s="280" t="n"/>
      <c r="W340" s="280" t="n"/>
      <c r="X340" s="280" t="n"/>
      <c r="Y340" s="280" t="n"/>
      <c r="Z340" s="375">
        <f>IF(AND(G340&lt;&gt;"",R340&lt;&gt;"",V340&lt;&gt;"",W340&lt;&gt;""),"COMPLETADO","OBSERVADO")</f>
        <v/>
      </c>
    </row>
    <row r="341" ht="15" customHeight="1" s="195">
      <c r="A341" s="334" t="n"/>
      <c r="B341" s="334" t="n"/>
      <c r="C341" s="334" t="n"/>
      <c r="D341" s="334" t="n"/>
      <c r="E341" s="334" t="n"/>
      <c r="F341" s="334" t="n"/>
      <c r="G341" s="334" t="n"/>
      <c r="H341" s="334" t="n"/>
      <c r="I341" s="332">
        <f>IFERROR(VLOOKUP(TEXT(H341,"0"),IPRESS!$A$3:$B$212,2,0),"")</f>
        <v/>
      </c>
      <c r="J341" s="334" t="n"/>
      <c r="K341" s="332">
        <f>IFERROR(VLOOKUP(TEXT(O341,"0"),CONDUCTORES!$A$3:$G$54,7,0),"")</f>
        <v/>
      </c>
      <c r="L341" s="334" t="n"/>
      <c r="M341" s="334" t="n"/>
      <c r="N341" s="333">
        <f>IFERROR(IF(L341*M341=0,"",L341*M341),"")</f>
        <v/>
      </c>
      <c r="O341" s="334" t="n"/>
      <c r="P341" s="332">
        <f>IFERROR(VLOOKUP(TEXT(O341,"0"),CONDUCTORES!$A$3:$G$54,2,0),"")</f>
        <v/>
      </c>
      <c r="Q341" s="332">
        <f>IFERROR(VLOOKUP(TEXT(O341,"0"),CONDUCTORES!$A$3:$H$54,6,0),"")</f>
        <v/>
      </c>
      <c r="R341" s="334" t="n"/>
      <c r="S341" s="334" t="n"/>
      <c r="T341" s="334" t="n"/>
      <c r="U341" s="334" t="n"/>
      <c r="V341" s="334" t="n"/>
      <c r="W341" s="334" t="n"/>
      <c r="X341" s="334" t="n"/>
      <c r="Y341" s="334" t="n"/>
      <c r="Z341" s="375">
        <f>IF(AND(G341&lt;&gt;"",R341&lt;&gt;"",V341&lt;&gt;"",W341&lt;&gt;""),"COMPLETADO","OBSERVADO")</f>
        <v/>
      </c>
    </row>
    <row r="342" ht="15" customHeight="1" s="195">
      <c r="A342" s="280" t="n"/>
      <c r="B342" s="280" t="n"/>
      <c r="C342" s="280" t="n"/>
      <c r="D342" s="280" t="n"/>
      <c r="E342" s="280" t="n"/>
      <c r="F342" s="280" t="n"/>
      <c r="G342" s="280" t="n"/>
      <c r="H342" s="280" t="n"/>
      <c r="I342" s="332">
        <f>IFERROR(VLOOKUP(TEXT(H342,"0"),IPRESS!$A$3:$B$212,2,0),"")</f>
        <v/>
      </c>
      <c r="J342" s="280" t="n"/>
      <c r="K342" s="332">
        <f>IFERROR(VLOOKUP(TEXT(O342,"0"),CONDUCTORES!$A$3:$G$54,7,0),"")</f>
        <v/>
      </c>
      <c r="L342" s="280" t="n"/>
      <c r="M342" s="280" t="n"/>
      <c r="N342" s="333">
        <f>IFERROR(IF(L342*M342=0,"",L342*M342),"")</f>
        <v/>
      </c>
      <c r="O342" s="280" t="n"/>
      <c r="P342" s="332">
        <f>IFERROR(VLOOKUP(TEXT(O342,"0"),CONDUCTORES!$A$3:$G$54,2,0),"")</f>
        <v/>
      </c>
      <c r="Q342" s="332">
        <f>IFERROR(VLOOKUP(TEXT(O342,"0"),CONDUCTORES!$A$3:$H$54,6,0),"")</f>
        <v/>
      </c>
      <c r="R342" s="280" t="n"/>
      <c r="S342" s="280" t="n"/>
      <c r="T342" s="280" t="n"/>
      <c r="U342" s="280" t="n"/>
      <c r="V342" s="280" t="n"/>
      <c r="W342" s="280" t="n"/>
      <c r="X342" s="280" t="n"/>
      <c r="Y342" s="280" t="n"/>
      <c r="Z342" s="375">
        <f>IF(AND(G342&lt;&gt;"",R342&lt;&gt;"",V342&lt;&gt;"",W342&lt;&gt;""),"COMPLETADO","OBSERVADO")</f>
        <v/>
      </c>
    </row>
    <row r="343" ht="15" customHeight="1" s="195">
      <c r="A343" s="334" t="n"/>
      <c r="B343" s="334" t="n"/>
      <c r="C343" s="334" t="n"/>
      <c r="D343" s="334" t="n"/>
      <c r="E343" s="334" t="n"/>
      <c r="F343" s="334" t="n"/>
      <c r="G343" s="334" t="n"/>
      <c r="H343" s="334" t="n"/>
      <c r="I343" s="332">
        <f>IFERROR(VLOOKUP(TEXT(H343,"0"),IPRESS!$A$3:$B$212,2,0),"")</f>
        <v/>
      </c>
      <c r="J343" s="334" t="n"/>
      <c r="K343" s="332">
        <f>IFERROR(VLOOKUP(TEXT(O343,"0"),CONDUCTORES!$A$3:$G$54,7,0),"")</f>
        <v/>
      </c>
      <c r="L343" s="334" t="n"/>
      <c r="M343" s="334" t="n"/>
      <c r="N343" s="333">
        <f>IFERROR(IF(L343*M343=0,"",L343*M343),"")</f>
        <v/>
      </c>
      <c r="O343" s="334" t="n"/>
      <c r="P343" s="332">
        <f>IFERROR(VLOOKUP(TEXT(O343,"0"),CONDUCTORES!$A$3:$G$54,2,0),"")</f>
        <v/>
      </c>
      <c r="Q343" s="332">
        <f>IFERROR(VLOOKUP(TEXT(O343,"0"),CONDUCTORES!$A$3:$H$54,6,0),"")</f>
        <v/>
      </c>
      <c r="R343" s="334" t="n"/>
      <c r="S343" s="334" t="n"/>
      <c r="T343" s="334" t="n"/>
      <c r="U343" s="334" t="n"/>
      <c r="V343" s="334" t="n"/>
      <c r="W343" s="334" t="n"/>
      <c r="X343" s="334" t="n"/>
      <c r="Y343" s="334" t="n"/>
      <c r="Z343" s="375">
        <f>IF(AND(G343&lt;&gt;"",R343&lt;&gt;"",V343&lt;&gt;"",W343&lt;&gt;""),"COMPLETADO","OBSERVADO")</f>
        <v/>
      </c>
    </row>
    <row r="344" ht="15" customHeight="1" s="195">
      <c r="A344" s="280" t="n"/>
      <c r="B344" s="280" t="n"/>
      <c r="C344" s="280" t="n"/>
      <c r="D344" s="280" t="n"/>
      <c r="E344" s="280" t="n"/>
      <c r="F344" s="280" t="n"/>
      <c r="G344" s="280" t="n"/>
      <c r="H344" s="280" t="n"/>
      <c r="I344" s="332">
        <f>IFERROR(VLOOKUP(TEXT(H344,"0"),IPRESS!$A$3:$B$212,2,0),"")</f>
        <v/>
      </c>
      <c r="J344" s="280" t="n"/>
      <c r="K344" s="332">
        <f>IFERROR(VLOOKUP(TEXT(O344,"0"),CONDUCTORES!$A$3:$G$54,7,0),"")</f>
        <v/>
      </c>
      <c r="L344" s="280" t="n"/>
      <c r="M344" s="280" t="n"/>
      <c r="N344" s="333">
        <f>IFERROR(IF(L344*M344=0,"",L344*M344),"")</f>
        <v/>
      </c>
      <c r="O344" s="280" t="n"/>
      <c r="P344" s="332">
        <f>IFERROR(VLOOKUP(TEXT(O344,"0"),CONDUCTORES!$A$3:$G$54,2,0),"")</f>
        <v/>
      </c>
      <c r="Q344" s="332">
        <f>IFERROR(VLOOKUP(TEXT(O344,"0"),CONDUCTORES!$A$3:$H$54,6,0),"")</f>
        <v/>
      </c>
      <c r="R344" s="280" t="n"/>
      <c r="S344" s="280" t="n"/>
      <c r="T344" s="280" t="n"/>
      <c r="U344" s="280" t="n"/>
      <c r="V344" s="280" t="n"/>
      <c r="W344" s="280" t="n"/>
      <c r="X344" s="280" t="n"/>
      <c r="Y344" s="280" t="n"/>
      <c r="Z344" s="375">
        <f>IF(AND(G344&lt;&gt;"",R344&lt;&gt;"",V344&lt;&gt;"",W344&lt;&gt;""),"COMPLETADO","OBSERVADO")</f>
        <v/>
      </c>
    </row>
    <row r="345" ht="15" customHeight="1" s="195">
      <c r="A345" s="334" t="n"/>
      <c r="B345" s="334" t="n"/>
      <c r="C345" s="334" t="n"/>
      <c r="D345" s="334" t="n"/>
      <c r="E345" s="334" t="n"/>
      <c r="F345" s="334" t="n"/>
      <c r="G345" s="334" t="n"/>
      <c r="H345" s="334" t="n"/>
      <c r="I345" s="332">
        <f>IFERROR(VLOOKUP(TEXT(H345,"0"),IPRESS!$A$3:$B$212,2,0),"")</f>
        <v/>
      </c>
      <c r="J345" s="334" t="n"/>
      <c r="K345" s="332">
        <f>IFERROR(VLOOKUP(TEXT(O345,"0"),CONDUCTORES!$A$3:$G$54,7,0),"")</f>
        <v/>
      </c>
      <c r="L345" s="334" t="n"/>
      <c r="M345" s="334" t="n"/>
      <c r="N345" s="333">
        <f>IFERROR(IF(L345*M345=0,"",L345*M345),"")</f>
        <v/>
      </c>
      <c r="O345" s="334" t="n"/>
      <c r="P345" s="332">
        <f>IFERROR(VLOOKUP(TEXT(O345,"0"),CONDUCTORES!$A$3:$G$54,2,0),"")</f>
        <v/>
      </c>
      <c r="Q345" s="332">
        <f>IFERROR(VLOOKUP(TEXT(O345,"0"),CONDUCTORES!$A$3:$H$54,6,0),"")</f>
        <v/>
      </c>
      <c r="R345" s="334" t="n"/>
      <c r="S345" s="334" t="n"/>
      <c r="T345" s="334" t="n"/>
      <c r="U345" s="334" t="n"/>
      <c r="V345" s="334" t="n"/>
      <c r="W345" s="334" t="n"/>
      <c r="X345" s="334" t="n"/>
      <c r="Y345" s="334" t="n"/>
      <c r="Z345" s="375">
        <f>IF(AND(G345&lt;&gt;"",R345&lt;&gt;"",V345&lt;&gt;"",W345&lt;&gt;""),"COMPLETADO","OBSERVADO")</f>
        <v/>
      </c>
    </row>
    <row r="346" ht="15" customHeight="1" s="195">
      <c r="A346" s="280" t="n"/>
      <c r="B346" s="280" t="n"/>
      <c r="C346" s="280" t="n"/>
      <c r="D346" s="280" t="n"/>
      <c r="E346" s="280" t="n"/>
      <c r="F346" s="280" t="n"/>
      <c r="G346" s="280" t="n"/>
      <c r="H346" s="280" t="n"/>
      <c r="I346" s="332">
        <f>IFERROR(VLOOKUP(TEXT(H346,"0"),IPRESS!$A$3:$B$212,2,0),"")</f>
        <v/>
      </c>
      <c r="J346" s="280" t="n"/>
      <c r="K346" s="332">
        <f>IFERROR(VLOOKUP(TEXT(O346,"0"),CONDUCTORES!$A$3:$G$54,7,0),"")</f>
        <v/>
      </c>
      <c r="L346" s="280" t="n"/>
      <c r="M346" s="280" t="n"/>
      <c r="N346" s="333">
        <f>IFERROR(IF(L346*M346=0,"",L346*M346),"")</f>
        <v/>
      </c>
      <c r="O346" s="280" t="n"/>
      <c r="P346" s="332">
        <f>IFERROR(VLOOKUP(TEXT(O346,"0"),CONDUCTORES!$A$3:$G$54,2,0),"")</f>
        <v/>
      </c>
      <c r="Q346" s="332">
        <f>IFERROR(VLOOKUP(TEXT(O346,"0"),CONDUCTORES!$A$3:$H$54,6,0),"")</f>
        <v/>
      </c>
      <c r="R346" s="280" t="n"/>
      <c r="S346" s="280" t="n"/>
      <c r="T346" s="280" t="n"/>
      <c r="U346" s="280" t="n"/>
      <c r="V346" s="280" t="n"/>
      <c r="W346" s="280" t="n"/>
      <c r="X346" s="280" t="n"/>
      <c r="Y346" s="280" t="n"/>
      <c r="Z346" s="375">
        <f>IF(AND(G346&lt;&gt;"",R346&lt;&gt;"",V346&lt;&gt;"",W346&lt;&gt;""),"COMPLETADO","OBSERVADO")</f>
        <v/>
      </c>
    </row>
    <row r="347" ht="15" customHeight="1" s="195">
      <c r="A347" s="334" t="n"/>
      <c r="B347" s="334" t="n"/>
      <c r="C347" s="334" t="n"/>
      <c r="D347" s="334" t="n"/>
      <c r="E347" s="334" t="n"/>
      <c r="F347" s="334" t="n"/>
      <c r="G347" s="334" t="n"/>
      <c r="H347" s="334" t="n"/>
      <c r="I347" s="332">
        <f>IFERROR(VLOOKUP(TEXT(H347,"0"),IPRESS!$A$3:$B$212,2,0),"")</f>
        <v/>
      </c>
      <c r="J347" s="334" t="n"/>
      <c r="K347" s="332">
        <f>IFERROR(VLOOKUP(TEXT(O347,"0"),CONDUCTORES!$A$3:$G$54,7,0),"")</f>
        <v/>
      </c>
      <c r="L347" s="334" t="n"/>
      <c r="M347" s="334" t="n"/>
      <c r="N347" s="333">
        <f>IFERROR(IF(L347*M347=0,"",L347*M347),"")</f>
        <v/>
      </c>
      <c r="O347" s="334" t="n"/>
      <c r="P347" s="332">
        <f>IFERROR(VLOOKUP(TEXT(O347,"0"),CONDUCTORES!$A$3:$G$54,2,0),"")</f>
        <v/>
      </c>
      <c r="Q347" s="332">
        <f>IFERROR(VLOOKUP(TEXT(O347,"0"),CONDUCTORES!$A$3:$H$54,6,0),"")</f>
        <v/>
      </c>
      <c r="R347" s="334" t="n"/>
      <c r="S347" s="334" t="n"/>
      <c r="T347" s="334" t="n"/>
      <c r="U347" s="334" t="n"/>
      <c r="V347" s="334" t="n"/>
      <c r="W347" s="334" t="n"/>
      <c r="X347" s="334" t="n"/>
      <c r="Y347" s="334" t="n"/>
      <c r="Z347" s="375">
        <f>IF(AND(G347&lt;&gt;"",R347&lt;&gt;"",V347&lt;&gt;"",W347&lt;&gt;""),"COMPLETADO","OBSERVADO")</f>
        <v/>
      </c>
    </row>
    <row r="348" ht="15" customHeight="1" s="195">
      <c r="A348" s="280" t="n"/>
      <c r="B348" s="280" t="n"/>
      <c r="C348" s="280" t="n"/>
      <c r="D348" s="280" t="n"/>
      <c r="E348" s="280" t="n"/>
      <c r="F348" s="280" t="n"/>
      <c r="G348" s="280" t="n"/>
      <c r="H348" s="280" t="n"/>
      <c r="I348" s="332">
        <f>IFERROR(VLOOKUP(TEXT(H348,"0"),IPRESS!$A$3:$B$212,2,0),"")</f>
        <v/>
      </c>
      <c r="J348" s="280" t="n"/>
      <c r="K348" s="332">
        <f>IFERROR(VLOOKUP(TEXT(O348,"0"),CONDUCTORES!$A$3:$G$54,7,0),"")</f>
        <v/>
      </c>
      <c r="L348" s="280" t="n"/>
      <c r="M348" s="280" t="n"/>
      <c r="N348" s="333">
        <f>IFERROR(IF(L348*M348=0,"",L348*M348),"")</f>
        <v/>
      </c>
      <c r="O348" s="280" t="n"/>
      <c r="P348" s="332">
        <f>IFERROR(VLOOKUP(TEXT(O348,"0"),CONDUCTORES!$A$3:$G$54,2,0),"")</f>
        <v/>
      </c>
      <c r="Q348" s="332">
        <f>IFERROR(VLOOKUP(TEXT(O348,"0"),CONDUCTORES!$A$3:$H$54,6,0),"")</f>
        <v/>
      </c>
      <c r="R348" s="280" t="n"/>
      <c r="S348" s="280" t="n"/>
      <c r="T348" s="280" t="n"/>
      <c r="U348" s="280" t="n"/>
      <c r="V348" s="280" t="n"/>
      <c r="W348" s="280" t="n"/>
      <c r="X348" s="280" t="n"/>
      <c r="Y348" s="280" t="n"/>
      <c r="Z348" s="375">
        <f>IF(AND(G348&lt;&gt;"",R348&lt;&gt;"",V348&lt;&gt;"",W348&lt;&gt;""),"COMPLETADO","OBSERVADO")</f>
        <v/>
      </c>
    </row>
    <row r="349" ht="15" customHeight="1" s="195">
      <c r="A349" s="334" t="n"/>
      <c r="B349" s="334" t="n"/>
      <c r="C349" s="334" t="n"/>
      <c r="D349" s="334" t="n"/>
      <c r="E349" s="334" t="n"/>
      <c r="F349" s="334" t="n"/>
      <c r="G349" s="334" t="n"/>
      <c r="H349" s="334" t="n"/>
      <c r="I349" s="332">
        <f>IFERROR(VLOOKUP(TEXT(H349,"0"),IPRESS!$A$3:$B$212,2,0),"")</f>
        <v/>
      </c>
      <c r="J349" s="334" t="n"/>
      <c r="K349" s="332">
        <f>IFERROR(VLOOKUP(TEXT(O349,"0"),CONDUCTORES!$A$3:$G$54,7,0),"")</f>
        <v/>
      </c>
      <c r="L349" s="334" t="n"/>
      <c r="M349" s="334" t="n"/>
      <c r="N349" s="333">
        <f>IFERROR(IF(L349*M349=0,"",L349*M349),"")</f>
        <v/>
      </c>
      <c r="O349" s="334" t="n"/>
      <c r="P349" s="332">
        <f>IFERROR(VLOOKUP(TEXT(O349,"0"),CONDUCTORES!$A$3:$G$54,2,0),"")</f>
        <v/>
      </c>
      <c r="Q349" s="332">
        <f>IFERROR(VLOOKUP(TEXT(O349,"0"),CONDUCTORES!$A$3:$H$54,6,0),"")</f>
        <v/>
      </c>
      <c r="R349" s="334" t="n"/>
      <c r="S349" s="334" t="n"/>
      <c r="T349" s="334" t="n"/>
      <c r="U349" s="334" t="n"/>
      <c r="V349" s="334" t="n"/>
      <c r="W349" s="334" t="n"/>
      <c r="X349" s="334" t="n"/>
      <c r="Y349" s="334" t="n"/>
      <c r="Z349" s="375">
        <f>IF(AND(G349&lt;&gt;"",R349&lt;&gt;"",V349&lt;&gt;"",W349&lt;&gt;""),"COMPLETADO","OBSERVADO")</f>
        <v/>
      </c>
    </row>
    <row r="350" ht="15" customHeight="1" s="195">
      <c r="A350" s="280" t="n"/>
      <c r="B350" s="280" t="n"/>
      <c r="C350" s="280" t="n"/>
      <c r="D350" s="280" t="n"/>
      <c r="E350" s="280" t="n"/>
      <c r="F350" s="280" t="n"/>
      <c r="G350" s="280" t="n"/>
      <c r="H350" s="280" t="n"/>
      <c r="I350" s="332">
        <f>IFERROR(VLOOKUP(TEXT(H350,"0"),IPRESS!$A$3:$B$212,2,0),"")</f>
        <v/>
      </c>
      <c r="J350" s="280" t="n"/>
      <c r="K350" s="332">
        <f>IFERROR(VLOOKUP(TEXT(O350,"0"),CONDUCTORES!$A$3:$G$54,7,0),"")</f>
        <v/>
      </c>
      <c r="L350" s="280" t="n"/>
      <c r="M350" s="280" t="n"/>
      <c r="N350" s="333">
        <f>IFERROR(IF(L350*M350=0,"",L350*M350),"")</f>
        <v/>
      </c>
      <c r="O350" s="280" t="n"/>
      <c r="P350" s="332">
        <f>IFERROR(VLOOKUP(TEXT(O350,"0"),CONDUCTORES!$A$3:$G$54,2,0),"")</f>
        <v/>
      </c>
      <c r="Q350" s="332">
        <f>IFERROR(VLOOKUP(TEXT(O350,"0"),CONDUCTORES!$A$3:$H$54,6,0),"")</f>
        <v/>
      </c>
      <c r="R350" s="280" t="n"/>
      <c r="S350" s="280" t="n"/>
      <c r="T350" s="280" t="n"/>
      <c r="U350" s="280" t="n"/>
      <c r="V350" s="280" t="n"/>
      <c r="W350" s="280" t="n"/>
      <c r="X350" s="280" t="n"/>
      <c r="Y350" s="280" t="n"/>
      <c r="Z350" s="375">
        <f>IF(AND(G350&lt;&gt;"",R350&lt;&gt;"",V350&lt;&gt;"",W350&lt;&gt;""),"COMPLETADO","OBSERVADO")</f>
        <v/>
      </c>
    </row>
    <row r="351" ht="15" customHeight="1" s="195">
      <c r="A351" s="334" t="n"/>
      <c r="B351" s="334" t="n"/>
      <c r="C351" s="334" t="n"/>
      <c r="D351" s="334" t="n"/>
      <c r="E351" s="334" t="n"/>
      <c r="F351" s="334" t="n"/>
      <c r="G351" s="334" t="n"/>
      <c r="H351" s="334" t="n"/>
      <c r="I351" s="332">
        <f>IFERROR(VLOOKUP(TEXT(H351,"0"),IPRESS!$A$3:$B$212,2,0),"")</f>
        <v/>
      </c>
      <c r="J351" s="334" t="n"/>
      <c r="K351" s="332">
        <f>IFERROR(VLOOKUP(TEXT(O351,"0"),CONDUCTORES!$A$3:$G$54,7,0),"")</f>
        <v/>
      </c>
      <c r="L351" s="334" t="n"/>
      <c r="M351" s="334" t="n"/>
      <c r="N351" s="333">
        <f>IFERROR(IF(L351*M351=0,"",L351*M351),"")</f>
        <v/>
      </c>
      <c r="O351" s="334" t="n"/>
      <c r="P351" s="332">
        <f>IFERROR(VLOOKUP(TEXT(O351,"0"),CONDUCTORES!$A$3:$G$54,2,0),"")</f>
        <v/>
      </c>
      <c r="Q351" s="332">
        <f>IFERROR(VLOOKUP(TEXT(O351,"0"),CONDUCTORES!$A$3:$H$54,6,0),"")</f>
        <v/>
      </c>
      <c r="R351" s="334" t="n"/>
      <c r="S351" s="334" t="n"/>
      <c r="T351" s="334" t="n"/>
      <c r="U351" s="334" t="n"/>
      <c r="V351" s="334" t="n"/>
      <c r="W351" s="334" t="n"/>
      <c r="X351" s="334" t="n"/>
      <c r="Y351" s="334" t="n"/>
      <c r="Z351" s="375">
        <f>IF(AND(G351&lt;&gt;"",R351&lt;&gt;"",V351&lt;&gt;"",W351&lt;&gt;""),"COMPLETADO","OBSERVADO")</f>
        <v/>
      </c>
    </row>
    <row r="352" ht="15" customHeight="1" s="195">
      <c r="A352" s="280" t="n"/>
      <c r="B352" s="280" t="n"/>
      <c r="C352" s="280" t="n"/>
      <c r="D352" s="280" t="n"/>
      <c r="E352" s="280" t="n"/>
      <c r="F352" s="280" t="n"/>
      <c r="G352" s="280" t="n"/>
      <c r="H352" s="280" t="n"/>
      <c r="I352" s="332">
        <f>IFERROR(VLOOKUP(TEXT(H352,"0"),IPRESS!$A$3:$B$212,2,0),"")</f>
        <v/>
      </c>
      <c r="J352" s="280" t="n"/>
      <c r="K352" s="332">
        <f>IFERROR(VLOOKUP(TEXT(O352,"0"),CONDUCTORES!$A$3:$G$54,7,0),"")</f>
        <v/>
      </c>
      <c r="L352" s="280" t="n"/>
      <c r="M352" s="280" t="n"/>
      <c r="N352" s="333">
        <f>IFERROR(IF(L352*M352=0,"",L352*M352),"")</f>
        <v/>
      </c>
      <c r="O352" s="280" t="n"/>
      <c r="P352" s="332">
        <f>IFERROR(VLOOKUP(TEXT(O352,"0"),CONDUCTORES!$A$3:$G$54,2,0),"")</f>
        <v/>
      </c>
      <c r="Q352" s="332">
        <f>IFERROR(VLOOKUP(TEXT(O352,"0"),CONDUCTORES!$A$3:$H$54,6,0),"")</f>
        <v/>
      </c>
      <c r="R352" s="280" t="n"/>
      <c r="S352" s="280" t="n"/>
      <c r="T352" s="280" t="n"/>
      <c r="U352" s="280" t="n"/>
      <c r="V352" s="280" t="n"/>
      <c r="W352" s="280" t="n"/>
      <c r="X352" s="280" t="n"/>
      <c r="Y352" s="280" t="n"/>
      <c r="Z352" s="375">
        <f>IF(AND(G352&lt;&gt;"",R352&lt;&gt;"",V352&lt;&gt;"",W352&lt;&gt;""),"COMPLETADO","OBSERVADO")</f>
        <v/>
      </c>
    </row>
    <row r="353" ht="15" customHeight="1" s="195">
      <c r="A353" s="334" t="n"/>
      <c r="B353" s="334" t="n"/>
      <c r="C353" s="334" t="n"/>
      <c r="D353" s="334" t="n"/>
      <c r="E353" s="334" t="n"/>
      <c r="F353" s="334" t="n"/>
      <c r="G353" s="334" t="n"/>
      <c r="H353" s="334" t="n"/>
      <c r="I353" s="332">
        <f>IFERROR(VLOOKUP(TEXT(H353,"0"),IPRESS!$A$3:$B$212,2,0),"")</f>
        <v/>
      </c>
      <c r="J353" s="334" t="n"/>
      <c r="K353" s="332">
        <f>IFERROR(VLOOKUP(TEXT(O353,"0"),CONDUCTORES!$A$3:$G$54,7,0),"")</f>
        <v/>
      </c>
      <c r="L353" s="334" t="n"/>
      <c r="M353" s="334" t="n"/>
      <c r="N353" s="333">
        <f>IFERROR(IF(L353*M353=0,"",L353*M353),"")</f>
        <v/>
      </c>
      <c r="O353" s="334" t="n"/>
      <c r="P353" s="332">
        <f>IFERROR(VLOOKUP(TEXT(O353,"0"),CONDUCTORES!$A$3:$G$54,2,0),"")</f>
        <v/>
      </c>
      <c r="Q353" s="332">
        <f>IFERROR(VLOOKUP(TEXT(O353,"0"),CONDUCTORES!$A$3:$H$54,6,0),"")</f>
        <v/>
      </c>
      <c r="R353" s="334" t="n"/>
      <c r="S353" s="334" t="n"/>
      <c r="T353" s="334" t="n"/>
      <c r="U353" s="334" t="n"/>
      <c r="V353" s="334" t="n"/>
      <c r="W353" s="334" t="n"/>
      <c r="X353" s="334" t="n"/>
      <c r="Y353" s="334" t="n"/>
      <c r="Z353" s="375">
        <f>IF(AND(G353&lt;&gt;"",R353&lt;&gt;"",V353&lt;&gt;"",W353&lt;&gt;""),"COMPLETADO","OBSERVADO")</f>
        <v/>
      </c>
    </row>
    <row r="354" ht="15" customHeight="1" s="195">
      <c r="A354" s="280" t="n"/>
      <c r="B354" s="280" t="n"/>
      <c r="C354" s="280" t="n"/>
      <c r="D354" s="280" t="n"/>
      <c r="E354" s="280" t="n"/>
      <c r="F354" s="280" t="n"/>
      <c r="G354" s="280" t="n"/>
      <c r="H354" s="280" t="n"/>
      <c r="I354" s="332">
        <f>IFERROR(VLOOKUP(TEXT(H354,"0"),IPRESS!$A$3:$B$212,2,0),"")</f>
        <v/>
      </c>
      <c r="J354" s="280" t="n"/>
      <c r="K354" s="332">
        <f>IFERROR(VLOOKUP(TEXT(O354,"0"),CONDUCTORES!$A$3:$G$54,7,0),"")</f>
        <v/>
      </c>
      <c r="L354" s="280" t="n"/>
      <c r="M354" s="280" t="n"/>
      <c r="N354" s="333">
        <f>IFERROR(IF(L354*M354=0,"",L354*M354),"")</f>
        <v/>
      </c>
      <c r="O354" s="280" t="n"/>
      <c r="P354" s="332">
        <f>IFERROR(VLOOKUP(TEXT(O354,"0"),CONDUCTORES!$A$3:$G$54,2,0),"")</f>
        <v/>
      </c>
      <c r="Q354" s="332">
        <f>IFERROR(VLOOKUP(TEXT(O354,"0"),CONDUCTORES!$A$3:$H$54,6,0),"")</f>
        <v/>
      </c>
      <c r="R354" s="280" t="n"/>
      <c r="S354" s="280" t="n"/>
      <c r="T354" s="280" t="n"/>
      <c r="U354" s="280" t="n"/>
      <c r="V354" s="280" t="n"/>
      <c r="W354" s="280" t="n"/>
      <c r="X354" s="280" t="n"/>
      <c r="Y354" s="280" t="n"/>
      <c r="Z354" s="375">
        <f>IF(AND(G354&lt;&gt;"",R354&lt;&gt;"",V354&lt;&gt;"",W354&lt;&gt;""),"COMPLETADO","OBSERVADO")</f>
        <v/>
      </c>
    </row>
    <row r="355" ht="15" customHeight="1" s="195">
      <c r="A355" s="334" t="n"/>
      <c r="B355" s="334" t="n"/>
      <c r="C355" s="334" t="n"/>
      <c r="D355" s="334" t="n"/>
      <c r="E355" s="334" t="n"/>
      <c r="F355" s="334" t="n"/>
      <c r="G355" s="334" t="n"/>
      <c r="H355" s="334" t="n"/>
      <c r="I355" s="332">
        <f>IFERROR(VLOOKUP(TEXT(H355,"0"),IPRESS!$A$3:$B$212,2,0),"")</f>
        <v/>
      </c>
      <c r="J355" s="334" t="n"/>
      <c r="K355" s="332">
        <f>IFERROR(VLOOKUP(TEXT(O355,"0"),CONDUCTORES!$A$3:$G$54,7,0),"")</f>
        <v/>
      </c>
      <c r="L355" s="334" t="n"/>
      <c r="M355" s="334" t="n"/>
      <c r="N355" s="333">
        <f>IFERROR(IF(L355*M355=0,"",L355*M355),"")</f>
        <v/>
      </c>
      <c r="O355" s="334" t="n"/>
      <c r="P355" s="332">
        <f>IFERROR(VLOOKUP(TEXT(O355,"0"),CONDUCTORES!$A$3:$G$54,2,0),"")</f>
        <v/>
      </c>
      <c r="Q355" s="332">
        <f>IFERROR(VLOOKUP(TEXT(O355,"0"),CONDUCTORES!$A$3:$H$54,6,0),"")</f>
        <v/>
      </c>
      <c r="R355" s="334" t="n"/>
      <c r="S355" s="334" t="n"/>
      <c r="T355" s="334" t="n"/>
      <c r="U355" s="334" t="n"/>
      <c r="V355" s="334" t="n"/>
      <c r="W355" s="334" t="n"/>
      <c r="X355" s="334" t="n"/>
      <c r="Y355" s="334" t="n"/>
      <c r="Z355" s="375">
        <f>IF(AND(G355&lt;&gt;"",R355&lt;&gt;"",V355&lt;&gt;"",W355&lt;&gt;""),"COMPLETADO","OBSERVADO")</f>
        <v/>
      </c>
    </row>
    <row r="356" ht="15" customHeight="1" s="195">
      <c r="A356" s="280" t="n"/>
      <c r="B356" s="280" t="n"/>
      <c r="C356" s="280" t="n"/>
      <c r="D356" s="280" t="n"/>
      <c r="E356" s="280" t="n"/>
      <c r="F356" s="280" t="n"/>
      <c r="G356" s="280" t="n"/>
      <c r="H356" s="280" t="n"/>
      <c r="I356" s="332">
        <f>IFERROR(VLOOKUP(TEXT(H356,"0"),IPRESS!$A$3:$B$212,2,0),"")</f>
        <v/>
      </c>
      <c r="J356" s="280" t="n"/>
      <c r="K356" s="332">
        <f>IFERROR(VLOOKUP(TEXT(O356,"0"),CONDUCTORES!$A$3:$G$54,7,0),"")</f>
        <v/>
      </c>
      <c r="L356" s="280" t="n"/>
      <c r="M356" s="280" t="n"/>
      <c r="N356" s="333">
        <f>IFERROR(IF(L356*M356=0,"",L356*M356),"")</f>
        <v/>
      </c>
      <c r="O356" s="280" t="n"/>
      <c r="P356" s="332">
        <f>IFERROR(VLOOKUP(TEXT(O356,"0"),CONDUCTORES!$A$3:$G$54,2,0),"")</f>
        <v/>
      </c>
      <c r="Q356" s="332">
        <f>IFERROR(VLOOKUP(TEXT(O356,"0"),CONDUCTORES!$A$3:$H$54,6,0),"")</f>
        <v/>
      </c>
      <c r="R356" s="280" t="n"/>
      <c r="S356" s="280" t="n"/>
      <c r="T356" s="280" t="n"/>
      <c r="U356" s="280" t="n"/>
      <c r="V356" s="280" t="n"/>
      <c r="W356" s="280" t="n"/>
      <c r="X356" s="280" t="n"/>
      <c r="Y356" s="280" t="n"/>
      <c r="Z356" s="375">
        <f>IF(AND(G356&lt;&gt;"",R356&lt;&gt;"",V356&lt;&gt;"",W356&lt;&gt;""),"COMPLETADO","OBSERVADO")</f>
        <v/>
      </c>
    </row>
    <row r="357" ht="15" customHeight="1" s="195">
      <c r="A357" s="334" t="n"/>
      <c r="B357" s="334" t="n"/>
      <c r="C357" s="334" t="n"/>
      <c r="D357" s="334" t="n"/>
      <c r="E357" s="334" t="n"/>
      <c r="F357" s="334" t="n"/>
      <c r="G357" s="334" t="n"/>
      <c r="H357" s="334" t="n"/>
      <c r="I357" s="332">
        <f>IFERROR(VLOOKUP(TEXT(H357,"0"),IPRESS!$A$3:$B$212,2,0),"")</f>
        <v/>
      </c>
      <c r="J357" s="334" t="n"/>
      <c r="K357" s="332">
        <f>IFERROR(VLOOKUP(TEXT(O357,"0"),CONDUCTORES!$A$3:$G$54,7,0),"")</f>
        <v/>
      </c>
      <c r="L357" s="334" t="n"/>
      <c r="M357" s="334" t="n"/>
      <c r="N357" s="333">
        <f>IFERROR(IF(L357*M357=0,"",L357*M357),"")</f>
        <v/>
      </c>
      <c r="O357" s="334" t="n"/>
      <c r="P357" s="332">
        <f>IFERROR(VLOOKUP(TEXT(O357,"0"),CONDUCTORES!$A$3:$G$54,2,0),"")</f>
        <v/>
      </c>
      <c r="Q357" s="332">
        <f>IFERROR(VLOOKUP(TEXT(O357,"0"),CONDUCTORES!$A$3:$H$54,6,0),"")</f>
        <v/>
      </c>
      <c r="R357" s="334" t="n"/>
      <c r="S357" s="334" t="n"/>
      <c r="T357" s="334" t="n"/>
      <c r="U357" s="334" t="n"/>
      <c r="V357" s="334" t="n"/>
      <c r="W357" s="334" t="n"/>
      <c r="X357" s="334" t="n"/>
      <c r="Y357" s="334" t="n"/>
      <c r="Z357" s="375">
        <f>IF(AND(G357&lt;&gt;"",R357&lt;&gt;"",V357&lt;&gt;"",W357&lt;&gt;""),"COMPLETADO","OBSERVADO")</f>
        <v/>
      </c>
    </row>
    <row r="358" ht="15" customHeight="1" s="195">
      <c r="A358" s="280" t="n"/>
      <c r="B358" s="280" t="n"/>
      <c r="C358" s="280" t="n"/>
      <c r="D358" s="280" t="n"/>
      <c r="E358" s="280" t="n"/>
      <c r="F358" s="280" t="n"/>
      <c r="G358" s="280" t="n"/>
      <c r="H358" s="280" t="n"/>
      <c r="I358" s="332">
        <f>IFERROR(VLOOKUP(TEXT(H358,"0"),IPRESS!$A$3:$B$212,2,0),"")</f>
        <v/>
      </c>
      <c r="J358" s="280" t="n"/>
      <c r="K358" s="332">
        <f>IFERROR(VLOOKUP(TEXT(O358,"0"),CONDUCTORES!$A$3:$G$54,7,0),"")</f>
        <v/>
      </c>
      <c r="L358" s="280" t="n"/>
      <c r="M358" s="280" t="n"/>
      <c r="N358" s="333">
        <f>IFERROR(IF(L358*M358=0,"",L358*M358),"")</f>
        <v/>
      </c>
      <c r="O358" s="280" t="n"/>
      <c r="P358" s="332">
        <f>IFERROR(VLOOKUP(TEXT(O358,"0"),CONDUCTORES!$A$3:$G$54,2,0),"")</f>
        <v/>
      </c>
      <c r="Q358" s="332">
        <f>IFERROR(VLOOKUP(TEXT(O358,"0"),CONDUCTORES!$A$3:$H$54,6,0),"")</f>
        <v/>
      </c>
      <c r="R358" s="280" t="n"/>
      <c r="S358" s="280" t="n"/>
      <c r="T358" s="280" t="n"/>
      <c r="U358" s="280" t="n"/>
      <c r="V358" s="280" t="n"/>
      <c r="W358" s="280" t="n"/>
      <c r="X358" s="280" t="n"/>
      <c r="Y358" s="280" t="n"/>
      <c r="Z358" s="375">
        <f>IF(AND(G358&lt;&gt;"",R358&lt;&gt;"",V358&lt;&gt;"",W358&lt;&gt;""),"COMPLETADO","OBSERVADO")</f>
        <v/>
      </c>
    </row>
    <row r="359" ht="15" customHeight="1" s="195">
      <c r="A359" s="334" t="n"/>
      <c r="B359" s="334" t="n"/>
      <c r="C359" s="334" t="n"/>
      <c r="D359" s="334" t="n"/>
      <c r="E359" s="334" t="n"/>
      <c r="F359" s="334" t="n"/>
      <c r="G359" s="334" t="n"/>
      <c r="H359" s="334" t="n"/>
      <c r="I359" s="332">
        <f>IFERROR(VLOOKUP(TEXT(H359,"0"),IPRESS!$A$3:$B$212,2,0),"")</f>
        <v/>
      </c>
      <c r="J359" s="334" t="n"/>
      <c r="K359" s="332">
        <f>IFERROR(VLOOKUP(TEXT(O359,"0"),CONDUCTORES!$A$3:$G$54,7,0),"")</f>
        <v/>
      </c>
      <c r="L359" s="334" t="n"/>
      <c r="M359" s="334" t="n"/>
      <c r="N359" s="333">
        <f>IFERROR(IF(L359*M359=0,"",L359*M359),"")</f>
        <v/>
      </c>
      <c r="O359" s="334" t="n"/>
      <c r="P359" s="332">
        <f>IFERROR(VLOOKUP(TEXT(O359,"0"),CONDUCTORES!$A$3:$G$54,2,0),"")</f>
        <v/>
      </c>
      <c r="Q359" s="332">
        <f>IFERROR(VLOOKUP(TEXT(O359,"0"),CONDUCTORES!$A$3:$H$54,6,0),"")</f>
        <v/>
      </c>
      <c r="R359" s="334" t="n"/>
      <c r="S359" s="334" t="n"/>
      <c r="T359" s="334" t="n"/>
      <c r="U359" s="334" t="n"/>
      <c r="V359" s="334" t="n"/>
      <c r="W359" s="334" t="n"/>
      <c r="X359" s="334" t="n"/>
      <c r="Y359" s="334" t="n"/>
      <c r="Z359" s="375">
        <f>IF(AND(G359&lt;&gt;"",R359&lt;&gt;"",V359&lt;&gt;"",W359&lt;&gt;""),"COMPLETADO","OBSERVADO")</f>
        <v/>
      </c>
    </row>
    <row r="360" ht="15" customHeight="1" s="195">
      <c r="A360" s="280" t="n"/>
      <c r="B360" s="280" t="n"/>
      <c r="C360" s="280" t="n"/>
      <c r="D360" s="280" t="n"/>
      <c r="E360" s="280" t="n"/>
      <c r="F360" s="280" t="n"/>
      <c r="G360" s="280" t="n"/>
      <c r="H360" s="280" t="n"/>
      <c r="I360" s="332">
        <f>IFERROR(VLOOKUP(TEXT(H360,"0"),IPRESS!$A$3:$B$212,2,0),"")</f>
        <v/>
      </c>
      <c r="J360" s="280" t="n"/>
      <c r="K360" s="332">
        <f>IFERROR(VLOOKUP(TEXT(O360,"0"),CONDUCTORES!$A$3:$G$54,7,0),"")</f>
        <v/>
      </c>
      <c r="L360" s="280" t="n"/>
      <c r="M360" s="280" t="n"/>
      <c r="N360" s="333">
        <f>IFERROR(IF(L360*M360=0,"",L360*M360),"")</f>
        <v/>
      </c>
      <c r="O360" s="280" t="n"/>
      <c r="P360" s="332">
        <f>IFERROR(VLOOKUP(TEXT(O360,"0"),CONDUCTORES!$A$3:$G$54,2,0),"")</f>
        <v/>
      </c>
      <c r="Q360" s="332">
        <f>IFERROR(VLOOKUP(TEXT(O360,"0"),CONDUCTORES!$A$3:$H$54,6,0),"")</f>
        <v/>
      </c>
      <c r="R360" s="280" t="n"/>
      <c r="S360" s="280" t="n"/>
      <c r="T360" s="280" t="n"/>
      <c r="U360" s="280" t="n"/>
      <c r="V360" s="280" t="n"/>
      <c r="W360" s="280" t="n"/>
      <c r="X360" s="280" t="n"/>
      <c r="Y360" s="280" t="n"/>
      <c r="Z360" s="375">
        <f>IF(AND(G360&lt;&gt;"",R360&lt;&gt;"",V360&lt;&gt;"",W360&lt;&gt;""),"COMPLETADO","OBSERVADO")</f>
        <v/>
      </c>
    </row>
    <row r="361" ht="15" customHeight="1" s="195">
      <c r="A361" s="334" t="n"/>
      <c r="B361" s="334" t="n"/>
      <c r="C361" s="334" t="n"/>
      <c r="D361" s="334" t="n"/>
      <c r="E361" s="334" t="n"/>
      <c r="F361" s="334" t="n"/>
      <c r="G361" s="334" t="n"/>
      <c r="H361" s="334" t="n"/>
      <c r="I361" s="332">
        <f>IFERROR(VLOOKUP(TEXT(H361,"0"),IPRESS!$A$3:$B$212,2,0),"")</f>
        <v/>
      </c>
      <c r="J361" s="334" t="n"/>
      <c r="K361" s="332">
        <f>IFERROR(VLOOKUP(TEXT(O361,"0"),CONDUCTORES!$A$3:$G$54,7,0),"")</f>
        <v/>
      </c>
      <c r="L361" s="334" t="n"/>
      <c r="M361" s="334" t="n"/>
      <c r="N361" s="333">
        <f>IFERROR(IF(L361*M361=0,"",L361*M361),"")</f>
        <v/>
      </c>
      <c r="O361" s="334" t="n"/>
      <c r="P361" s="332">
        <f>IFERROR(VLOOKUP(TEXT(O361,"0"),CONDUCTORES!$A$3:$G$54,2,0),"")</f>
        <v/>
      </c>
      <c r="Q361" s="332">
        <f>IFERROR(VLOOKUP(TEXT(O361,"0"),CONDUCTORES!$A$3:$H$54,6,0),"")</f>
        <v/>
      </c>
      <c r="R361" s="334" t="n"/>
      <c r="S361" s="334" t="n"/>
      <c r="T361" s="334" t="n"/>
      <c r="U361" s="334" t="n"/>
      <c r="V361" s="334" t="n"/>
      <c r="W361" s="334" t="n"/>
      <c r="X361" s="334" t="n"/>
      <c r="Y361" s="334" t="n"/>
      <c r="Z361" s="375">
        <f>IF(AND(G361&lt;&gt;"",R361&lt;&gt;"",V361&lt;&gt;"",W361&lt;&gt;""),"COMPLETADO","OBSERVADO")</f>
        <v/>
      </c>
    </row>
    <row r="362" ht="15" customHeight="1" s="195">
      <c r="A362" s="280" t="n"/>
      <c r="B362" s="280" t="n"/>
      <c r="C362" s="280" t="n"/>
      <c r="D362" s="280" t="n"/>
      <c r="E362" s="280" t="n"/>
      <c r="F362" s="280" t="n"/>
      <c r="G362" s="280" t="n"/>
      <c r="H362" s="280" t="n"/>
      <c r="I362" s="332">
        <f>IFERROR(VLOOKUP(TEXT(H362,"0"),IPRESS!$A$3:$B$212,2,0),"")</f>
        <v/>
      </c>
      <c r="J362" s="280" t="n"/>
      <c r="K362" s="332">
        <f>IFERROR(VLOOKUP(TEXT(O362,"0"),CONDUCTORES!$A$3:$G$54,7,0),"")</f>
        <v/>
      </c>
      <c r="L362" s="280" t="n"/>
      <c r="M362" s="280" t="n"/>
      <c r="N362" s="333">
        <f>IFERROR(IF(L362*M362=0,"",L362*M362),"")</f>
        <v/>
      </c>
      <c r="O362" s="280" t="n"/>
      <c r="P362" s="332">
        <f>IFERROR(VLOOKUP(TEXT(O362,"0"),CONDUCTORES!$A$3:$G$54,2,0),"")</f>
        <v/>
      </c>
      <c r="Q362" s="332">
        <f>IFERROR(VLOOKUP(TEXT(O362,"0"),CONDUCTORES!$A$3:$H$54,6,0),"")</f>
        <v/>
      </c>
      <c r="R362" s="280" t="n"/>
      <c r="S362" s="280" t="n"/>
      <c r="T362" s="280" t="n"/>
      <c r="U362" s="280" t="n"/>
      <c r="V362" s="280" t="n"/>
      <c r="W362" s="280" t="n"/>
      <c r="X362" s="280" t="n"/>
      <c r="Y362" s="280" t="n"/>
      <c r="Z362" s="375">
        <f>IF(AND(G362&lt;&gt;"",R362&lt;&gt;"",V362&lt;&gt;"",W362&lt;&gt;""),"COMPLETADO","OBSERVADO")</f>
        <v/>
      </c>
    </row>
    <row r="363" ht="15" customHeight="1" s="195">
      <c r="A363" s="334" t="n"/>
      <c r="B363" s="334" t="n"/>
      <c r="C363" s="334" t="n"/>
      <c r="D363" s="334" t="n"/>
      <c r="E363" s="334" t="n"/>
      <c r="F363" s="334" t="n"/>
      <c r="G363" s="334" t="n"/>
      <c r="H363" s="334" t="n"/>
      <c r="I363" s="332">
        <f>IFERROR(VLOOKUP(TEXT(H363,"0"),IPRESS!$A$3:$B$212,2,0),"")</f>
        <v/>
      </c>
      <c r="J363" s="334" t="n"/>
      <c r="K363" s="332">
        <f>IFERROR(VLOOKUP(TEXT(O363,"0"),CONDUCTORES!$A$3:$G$54,7,0),"")</f>
        <v/>
      </c>
      <c r="L363" s="334" t="n"/>
      <c r="M363" s="334" t="n"/>
      <c r="N363" s="333">
        <f>IFERROR(IF(L363*M363=0,"",L363*M363),"")</f>
        <v/>
      </c>
      <c r="O363" s="334" t="n"/>
      <c r="P363" s="332">
        <f>IFERROR(VLOOKUP(TEXT(O363,"0"),CONDUCTORES!$A$3:$G$54,2,0),"")</f>
        <v/>
      </c>
      <c r="Q363" s="332">
        <f>IFERROR(VLOOKUP(TEXT(O363,"0"),CONDUCTORES!$A$3:$H$54,6,0),"")</f>
        <v/>
      </c>
      <c r="R363" s="334" t="n"/>
      <c r="S363" s="334" t="n"/>
      <c r="T363" s="334" t="n"/>
      <c r="U363" s="334" t="n"/>
      <c r="V363" s="334" t="n"/>
      <c r="W363" s="334" t="n"/>
      <c r="X363" s="334" t="n"/>
      <c r="Y363" s="334" t="n"/>
      <c r="Z363" s="375">
        <f>IF(AND(G363&lt;&gt;"",R363&lt;&gt;"",V363&lt;&gt;"",W363&lt;&gt;""),"COMPLETADO","OBSERVADO")</f>
        <v/>
      </c>
    </row>
    <row r="364" ht="15" customHeight="1" s="195">
      <c r="A364" s="280" t="n"/>
      <c r="B364" s="280" t="n"/>
      <c r="C364" s="280" t="n"/>
      <c r="D364" s="280" t="n"/>
      <c r="E364" s="280" t="n"/>
      <c r="F364" s="280" t="n"/>
      <c r="G364" s="280" t="n"/>
      <c r="H364" s="280" t="n"/>
      <c r="I364" s="332">
        <f>IFERROR(VLOOKUP(TEXT(H364,"0"),IPRESS!$A$3:$B$212,2,0),"")</f>
        <v/>
      </c>
      <c r="J364" s="280" t="n"/>
      <c r="K364" s="332">
        <f>IFERROR(VLOOKUP(TEXT(O364,"0"),CONDUCTORES!$A$3:$G$54,7,0),"")</f>
        <v/>
      </c>
      <c r="L364" s="280" t="n"/>
      <c r="M364" s="280" t="n"/>
      <c r="N364" s="333">
        <f>IFERROR(IF(L364*M364=0,"",L364*M364),"")</f>
        <v/>
      </c>
      <c r="O364" s="280" t="n"/>
      <c r="P364" s="332">
        <f>IFERROR(VLOOKUP(TEXT(O364,"0"),CONDUCTORES!$A$3:$G$54,2,0),"")</f>
        <v/>
      </c>
      <c r="Q364" s="332">
        <f>IFERROR(VLOOKUP(TEXT(O364,"0"),CONDUCTORES!$A$3:$H$54,6,0),"")</f>
        <v/>
      </c>
      <c r="R364" s="280" t="n"/>
      <c r="S364" s="280" t="n"/>
      <c r="T364" s="280" t="n"/>
      <c r="U364" s="280" t="n"/>
      <c r="V364" s="280" t="n"/>
      <c r="W364" s="280" t="n"/>
      <c r="X364" s="280" t="n"/>
      <c r="Y364" s="280" t="n"/>
      <c r="Z364" s="375">
        <f>IF(AND(G364&lt;&gt;"",R364&lt;&gt;"",V364&lt;&gt;"",W364&lt;&gt;""),"COMPLETADO","OBSERVADO")</f>
        <v/>
      </c>
    </row>
    <row r="365" ht="15" customHeight="1" s="195">
      <c r="A365" s="334" t="n"/>
      <c r="B365" s="334" t="n"/>
      <c r="C365" s="334" t="n"/>
      <c r="D365" s="334" t="n"/>
      <c r="E365" s="334" t="n"/>
      <c r="F365" s="334" t="n"/>
      <c r="G365" s="334" t="n"/>
      <c r="H365" s="334" t="n"/>
      <c r="I365" s="332">
        <f>IFERROR(VLOOKUP(TEXT(H365,"0"),IPRESS!$A$3:$B$212,2,0),"")</f>
        <v/>
      </c>
      <c r="J365" s="334" t="n"/>
      <c r="K365" s="332">
        <f>IFERROR(VLOOKUP(TEXT(O365,"0"),CONDUCTORES!$A$3:$G$54,7,0),"")</f>
        <v/>
      </c>
      <c r="L365" s="334" t="n"/>
      <c r="M365" s="334" t="n"/>
      <c r="N365" s="333">
        <f>IFERROR(IF(L365*M365=0,"",L365*M365),"")</f>
        <v/>
      </c>
      <c r="O365" s="334" t="n"/>
      <c r="P365" s="332">
        <f>IFERROR(VLOOKUP(TEXT(O365,"0"),CONDUCTORES!$A$3:$G$54,2,0),"")</f>
        <v/>
      </c>
      <c r="Q365" s="332">
        <f>IFERROR(VLOOKUP(TEXT(O365,"0"),CONDUCTORES!$A$3:$H$54,6,0),"")</f>
        <v/>
      </c>
      <c r="R365" s="334" t="n"/>
      <c r="S365" s="334" t="n"/>
      <c r="T365" s="334" t="n"/>
      <c r="U365" s="334" t="n"/>
      <c r="V365" s="334" t="n"/>
      <c r="W365" s="334" t="n"/>
      <c r="X365" s="334" t="n"/>
      <c r="Y365" s="334" t="n"/>
      <c r="Z365" s="375">
        <f>IF(AND(G365&lt;&gt;"",R365&lt;&gt;"",V365&lt;&gt;"",W365&lt;&gt;""),"COMPLETADO","OBSERVADO")</f>
        <v/>
      </c>
    </row>
    <row r="366" ht="15" customHeight="1" s="195">
      <c r="A366" s="280" t="n"/>
      <c r="B366" s="280" t="n"/>
      <c r="C366" s="280" t="n"/>
      <c r="D366" s="280" t="n"/>
      <c r="E366" s="280" t="n"/>
      <c r="F366" s="280" t="n"/>
      <c r="G366" s="280" t="n"/>
      <c r="H366" s="280" t="n"/>
      <c r="I366" s="332">
        <f>IFERROR(VLOOKUP(TEXT(H366,"0"),IPRESS!$A$3:$B$212,2,0),"")</f>
        <v/>
      </c>
      <c r="J366" s="280" t="n"/>
      <c r="K366" s="332">
        <f>IFERROR(VLOOKUP(TEXT(O366,"0"),CONDUCTORES!$A$3:$G$54,7,0),"")</f>
        <v/>
      </c>
      <c r="L366" s="280" t="n"/>
      <c r="M366" s="280" t="n"/>
      <c r="N366" s="333">
        <f>IFERROR(IF(L366*M366=0,"",L366*M366),"")</f>
        <v/>
      </c>
      <c r="O366" s="280" t="n"/>
      <c r="P366" s="332">
        <f>IFERROR(VLOOKUP(TEXT(O366,"0"),CONDUCTORES!$A$3:$G$54,2,0),"")</f>
        <v/>
      </c>
      <c r="Q366" s="332">
        <f>IFERROR(VLOOKUP(TEXT(O366,"0"),CONDUCTORES!$A$3:$H$54,6,0),"")</f>
        <v/>
      </c>
      <c r="R366" s="280" t="n"/>
      <c r="S366" s="280" t="n"/>
      <c r="T366" s="280" t="n"/>
      <c r="U366" s="280" t="n"/>
      <c r="V366" s="280" t="n"/>
      <c r="W366" s="280" t="n"/>
      <c r="X366" s="280" t="n"/>
      <c r="Y366" s="280" t="n"/>
      <c r="Z366" s="375">
        <f>IF(AND(G366&lt;&gt;"",R366&lt;&gt;"",V366&lt;&gt;"",W366&lt;&gt;""),"COMPLETADO","OBSERVADO")</f>
        <v/>
      </c>
    </row>
    <row r="367" ht="15" customHeight="1" s="195">
      <c r="A367" s="334" t="n"/>
      <c r="B367" s="334" t="n"/>
      <c r="C367" s="334" t="n"/>
      <c r="D367" s="334" t="n"/>
      <c r="E367" s="334" t="n"/>
      <c r="F367" s="334" t="n"/>
      <c r="G367" s="334" t="n"/>
      <c r="H367" s="334" t="n"/>
      <c r="I367" s="332">
        <f>IFERROR(VLOOKUP(TEXT(H367,"0"),IPRESS!$A$3:$B$212,2,0),"")</f>
        <v/>
      </c>
      <c r="J367" s="334" t="n"/>
      <c r="K367" s="332">
        <f>IFERROR(VLOOKUP(TEXT(O367,"0"),CONDUCTORES!$A$3:$G$54,7,0),"")</f>
        <v/>
      </c>
      <c r="L367" s="334" t="n"/>
      <c r="M367" s="334" t="n"/>
      <c r="N367" s="333">
        <f>IFERROR(IF(L367*M367=0,"",L367*M367),"")</f>
        <v/>
      </c>
      <c r="O367" s="334" t="n"/>
      <c r="P367" s="332">
        <f>IFERROR(VLOOKUP(TEXT(O367,"0"),CONDUCTORES!$A$3:$G$54,2,0),"")</f>
        <v/>
      </c>
      <c r="Q367" s="332">
        <f>IFERROR(VLOOKUP(TEXT(O367,"0"),CONDUCTORES!$A$3:$H$54,6,0),"")</f>
        <v/>
      </c>
      <c r="R367" s="334" t="n"/>
      <c r="S367" s="334" t="n"/>
      <c r="T367" s="334" t="n"/>
      <c r="U367" s="334" t="n"/>
      <c r="V367" s="334" t="n"/>
      <c r="W367" s="334" t="n"/>
      <c r="X367" s="334" t="n"/>
      <c r="Y367" s="334" t="n"/>
      <c r="Z367" s="375">
        <f>IF(AND(G367&lt;&gt;"",R367&lt;&gt;"",V367&lt;&gt;"",W367&lt;&gt;""),"COMPLETADO","OBSERVADO")</f>
        <v/>
      </c>
    </row>
    <row r="368" ht="15" customHeight="1" s="195">
      <c r="A368" s="280" t="n"/>
      <c r="B368" s="280" t="n"/>
      <c r="C368" s="280" t="n"/>
      <c r="D368" s="280" t="n"/>
      <c r="E368" s="280" t="n"/>
      <c r="F368" s="280" t="n"/>
      <c r="G368" s="280" t="n"/>
      <c r="H368" s="280" t="n"/>
      <c r="I368" s="332">
        <f>IFERROR(VLOOKUP(TEXT(H368,"0"),IPRESS!$A$3:$B$212,2,0),"")</f>
        <v/>
      </c>
      <c r="J368" s="280" t="n"/>
      <c r="K368" s="332">
        <f>IFERROR(VLOOKUP(TEXT(O368,"0"),CONDUCTORES!$A$3:$G$54,7,0),"")</f>
        <v/>
      </c>
      <c r="L368" s="280" t="n"/>
      <c r="M368" s="280" t="n"/>
      <c r="N368" s="333">
        <f>IFERROR(IF(L368*M368=0,"",L368*M368),"")</f>
        <v/>
      </c>
      <c r="O368" s="280" t="n"/>
      <c r="P368" s="332">
        <f>IFERROR(VLOOKUP(TEXT(O368,"0"),CONDUCTORES!$A$3:$G$54,2,0),"")</f>
        <v/>
      </c>
      <c r="Q368" s="332">
        <f>IFERROR(VLOOKUP(TEXT(O368,"0"),CONDUCTORES!$A$3:$H$54,6,0),"")</f>
        <v/>
      </c>
      <c r="R368" s="280" t="n"/>
      <c r="S368" s="280" t="n"/>
      <c r="T368" s="280" t="n"/>
      <c r="U368" s="280" t="n"/>
      <c r="V368" s="280" t="n"/>
      <c r="W368" s="280" t="n"/>
      <c r="X368" s="280" t="n"/>
      <c r="Y368" s="280" t="n"/>
      <c r="Z368" s="375">
        <f>IF(AND(G368&lt;&gt;"",R368&lt;&gt;"",V368&lt;&gt;"",W368&lt;&gt;""),"COMPLETADO","OBSERVADO")</f>
        <v/>
      </c>
    </row>
    <row r="369" ht="15" customHeight="1" s="195">
      <c r="A369" s="334" t="n"/>
      <c r="B369" s="334" t="n"/>
      <c r="C369" s="334" t="n"/>
      <c r="D369" s="334" t="n"/>
      <c r="E369" s="334" t="n"/>
      <c r="F369" s="334" t="n"/>
      <c r="G369" s="334" t="n"/>
      <c r="H369" s="334" t="n"/>
      <c r="I369" s="332">
        <f>IFERROR(VLOOKUP(TEXT(H369,"0"),IPRESS!$A$3:$B$212,2,0),"")</f>
        <v/>
      </c>
      <c r="J369" s="334" t="n"/>
      <c r="K369" s="332">
        <f>IFERROR(VLOOKUP(TEXT(O369,"0"),CONDUCTORES!$A$3:$G$54,7,0),"")</f>
        <v/>
      </c>
      <c r="L369" s="334" t="n"/>
      <c r="M369" s="334" t="n"/>
      <c r="N369" s="333">
        <f>IFERROR(IF(L369*M369=0,"",L369*M369),"")</f>
        <v/>
      </c>
      <c r="O369" s="334" t="n"/>
      <c r="P369" s="332">
        <f>IFERROR(VLOOKUP(TEXT(O369,"0"),CONDUCTORES!$A$3:$G$54,2,0),"")</f>
        <v/>
      </c>
      <c r="Q369" s="332">
        <f>IFERROR(VLOOKUP(TEXT(O369,"0"),CONDUCTORES!$A$3:$H$54,6,0),"")</f>
        <v/>
      </c>
      <c r="R369" s="334" t="n"/>
      <c r="S369" s="334" t="n"/>
      <c r="T369" s="334" t="n"/>
      <c r="U369" s="334" t="n"/>
      <c r="V369" s="334" t="n"/>
      <c r="W369" s="334" t="n"/>
      <c r="X369" s="334" t="n"/>
      <c r="Y369" s="334" t="n"/>
      <c r="Z369" s="375">
        <f>IF(AND(G369&lt;&gt;"",R369&lt;&gt;"",V369&lt;&gt;"",W369&lt;&gt;""),"COMPLETADO","OBSERVADO")</f>
        <v/>
      </c>
    </row>
    <row r="370" ht="15" customHeight="1" s="195">
      <c r="A370" s="280" t="n"/>
      <c r="B370" s="280" t="n"/>
      <c r="C370" s="280" t="n"/>
      <c r="D370" s="280" t="n"/>
      <c r="E370" s="280" t="n"/>
      <c r="F370" s="280" t="n"/>
      <c r="G370" s="280" t="n"/>
      <c r="H370" s="280" t="n"/>
      <c r="I370" s="332">
        <f>IFERROR(VLOOKUP(TEXT(H370,"0"),IPRESS!$A$3:$B$212,2,0),"")</f>
        <v/>
      </c>
      <c r="J370" s="280" t="n"/>
      <c r="K370" s="332">
        <f>IFERROR(VLOOKUP(TEXT(O370,"0"),CONDUCTORES!$A$3:$G$54,7,0),"")</f>
        <v/>
      </c>
      <c r="L370" s="280" t="n"/>
      <c r="M370" s="280" t="n"/>
      <c r="N370" s="333">
        <f>IFERROR(IF(L370*M370=0,"",L370*M370),"")</f>
        <v/>
      </c>
      <c r="O370" s="280" t="n"/>
      <c r="P370" s="332">
        <f>IFERROR(VLOOKUP(TEXT(O370,"0"),CONDUCTORES!$A$3:$G$54,2,0),"")</f>
        <v/>
      </c>
      <c r="Q370" s="332">
        <f>IFERROR(VLOOKUP(TEXT(O370,"0"),CONDUCTORES!$A$3:$H$54,6,0),"")</f>
        <v/>
      </c>
      <c r="R370" s="280" t="n"/>
      <c r="S370" s="280" t="n"/>
      <c r="T370" s="280" t="n"/>
      <c r="U370" s="280" t="n"/>
      <c r="V370" s="280" t="n"/>
      <c r="W370" s="280" t="n"/>
      <c r="X370" s="280" t="n"/>
      <c r="Y370" s="280" t="n"/>
      <c r="Z370" s="375">
        <f>IF(AND(G370&lt;&gt;"",R370&lt;&gt;"",V370&lt;&gt;"",W370&lt;&gt;""),"COMPLETADO","OBSERVADO")</f>
        <v/>
      </c>
    </row>
    <row r="371" ht="15" customHeight="1" s="195">
      <c r="A371" s="334" t="n"/>
      <c r="B371" s="334" t="n"/>
      <c r="C371" s="334" t="n"/>
      <c r="D371" s="334" t="n"/>
      <c r="E371" s="334" t="n"/>
      <c r="F371" s="334" t="n"/>
      <c r="G371" s="334" t="n"/>
      <c r="H371" s="334" t="n"/>
      <c r="I371" s="332">
        <f>IFERROR(VLOOKUP(TEXT(H371,"0"),IPRESS!$A$3:$B$212,2,0),"")</f>
        <v/>
      </c>
      <c r="J371" s="334" t="n"/>
      <c r="K371" s="332">
        <f>IFERROR(VLOOKUP(TEXT(O371,"0"),CONDUCTORES!$A$3:$G$54,7,0),"")</f>
        <v/>
      </c>
      <c r="L371" s="334" t="n"/>
      <c r="M371" s="334" t="n"/>
      <c r="N371" s="333">
        <f>IFERROR(IF(L371*M371=0,"",L371*M371),"")</f>
        <v/>
      </c>
      <c r="O371" s="334" t="n"/>
      <c r="P371" s="332">
        <f>IFERROR(VLOOKUP(TEXT(O371,"0"),CONDUCTORES!$A$3:$G$54,2,0),"")</f>
        <v/>
      </c>
      <c r="Q371" s="332">
        <f>IFERROR(VLOOKUP(TEXT(O371,"0"),CONDUCTORES!$A$3:$H$54,6,0),"")</f>
        <v/>
      </c>
      <c r="R371" s="334" t="n"/>
      <c r="S371" s="334" t="n"/>
      <c r="T371" s="334" t="n"/>
      <c r="U371" s="334" t="n"/>
      <c r="V371" s="334" t="n"/>
      <c r="W371" s="334" t="n"/>
      <c r="X371" s="334" t="n"/>
      <c r="Y371" s="334" t="n"/>
      <c r="Z371" s="375">
        <f>IF(AND(G371&lt;&gt;"",R371&lt;&gt;"",V371&lt;&gt;"",W371&lt;&gt;""),"COMPLETADO","OBSERVADO")</f>
        <v/>
      </c>
    </row>
    <row r="372" ht="15" customHeight="1" s="195">
      <c r="A372" s="280" t="n"/>
      <c r="B372" s="280" t="n"/>
      <c r="C372" s="280" t="n"/>
      <c r="D372" s="280" t="n"/>
      <c r="E372" s="280" t="n"/>
      <c r="F372" s="280" t="n"/>
      <c r="G372" s="280" t="n"/>
      <c r="H372" s="280" t="n"/>
      <c r="I372" s="332">
        <f>IFERROR(VLOOKUP(TEXT(H372,"0"),IPRESS!$A$3:$B$212,2,0),"")</f>
        <v/>
      </c>
      <c r="J372" s="280" t="n"/>
      <c r="K372" s="332">
        <f>IFERROR(VLOOKUP(TEXT(O372,"0"),CONDUCTORES!$A$3:$G$54,7,0),"")</f>
        <v/>
      </c>
      <c r="L372" s="280" t="n"/>
      <c r="M372" s="280" t="n"/>
      <c r="N372" s="333">
        <f>IFERROR(IF(L372*M372=0,"",L372*M372),"")</f>
        <v/>
      </c>
      <c r="O372" s="280" t="n"/>
      <c r="P372" s="332">
        <f>IFERROR(VLOOKUP(TEXT(O372,"0"),CONDUCTORES!$A$3:$G$54,2,0),"")</f>
        <v/>
      </c>
      <c r="Q372" s="332">
        <f>IFERROR(VLOOKUP(TEXT(O372,"0"),CONDUCTORES!$A$3:$H$54,6,0),"")</f>
        <v/>
      </c>
      <c r="R372" s="280" t="n"/>
      <c r="S372" s="280" t="n"/>
      <c r="T372" s="280" t="n"/>
      <c r="U372" s="280" t="n"/>
      <c r="V372" s="280" t="n"/>
      <c r="W372" s="280" t="n"/>
      <c r="X372" s="280" t="n"/>
      <c r="Y372" s="280" t="n"/>
      <c r="Z372" s="375">
        <f>IF(AND(G372&lt;&gt;"",R372&lt;&gt;"",V372&lt;&gt;"",W372&lt;&gt;""),"COMPLETADO","OBSERVADO")</f>
        <v/>
      </c>
    </row>
    <row r="373" ht="15" customHeight="1" s="195">
      <c r="A373" s="334" t="n"/>
      <c r="B373" s="334" t="n"/>
      <c r="C373" s="334" t="n"/>
      <c r="D373" s="334" t="n"/>
      <c r="E373" s="334" t="n"/>
      <c r="F373" s="334" t="n"/>
      <c r="G373" s="334" t="n"/>
      <c r="H373" s="334" t="n"/>
      <c r="I373" s="332">
        <f>IFERROR(VLOOKUP(TEXT(H373,"0"),IPRESS!$A$3:$B$212,2,0),"")</f>
        <v/>
      </c>
      <c r="J373" s="334" t="n"/>
      <c r="K373" s="332">
        <f>IFERROR(VLOOKUP(TEXT(O373,"0"),CONDUCTORES!$A$3:$G$54,7,0),"")</f>
        <v/>
      </c>
      <c r="L373" s="334" t="n"/>
      <c r="M373" s="334" t="n"/>
      <c r="N373" s="333">
        <f>IFERROR(IF(L373*M373=0,"",L373*M373),"")</f>
        <v/>
      </c>
      <c r="O373" s="334" t="n"/>
      <c r="P373" s="332">
        <f>IFERROR(VLOOKUP(TEXT(O373,"0"),CONDUCTORES!$A$3:$G$54,2,0),"")</f>
        <v/>
      </c>
      <c r="Q373" s="332">
        <f>IFERROR(VLOOKUP(TEXT(O373,"0"),CONDUCTORES!$A$3:$H$54,6,0),"")</f>
        <v/>
      </c>
      <c r="R373" s="334" t="n"/>
      <c r="S373" s="334" t="n"/>
      <c r="T373" s="334" t="n"/>
      <c r="U373" s="334" t="n"/>
      <c r="V373" s="334" t="n"/>
      <c r="W373" s="334" t="n"/>
      <c r="X373" s="334" t="n"/>
      <c r="Y373" s="334" t="n"/>
      <c r="Z373" s="375">
        <f>IF(AND(G373&lt;&gt;"",R373&lt;&gt;"",V373&lt;&gt;"",W373&lt;&gt;""),"COMPLETADO","OBSERVADO")</f>
        <v/>
      </c>
    </row>
    <row r="374" ht="15" customHeight="1" s="195">
      <c r="A374" s="280" t="n"/>
      <c r="B374" s="280" t="n"/>
      <c r="C374" s="280" t="n"/>
      <c r="D374" s="280" t="n"/>
      <c r="E374" s="280" t="n"/>
      <c r="F374" s="280" t="n"/>
      <c r="G374" s="280" t="n"/>
      <c r="H374" s="280" t="n"/>
      <c r="I374" s="332">
        <f>IFERROR(VLOOKUP(TEXT(H374,"0"),IPRESS!$A$3:$B$212,2,0),"")</f>
        <v/>
      </c>
      <c r="J374" s="280" t="n"/>
      <c r="K374" s="332">
        <f>IFERROR(VLOOKUP(TEXT(O374,"0"),CONDUCTORES!$A$3:$G$54,7,0),"")</f>
        <v/>
      </c>
      <c r="L374" s="280" t="n"/>
      <c r="M374" s="280" t="n"/>
      <c r="N374" s="333">
        <f>IFERROR(IF(L374*M374=0,"",L374*M374),"")</f>
        <v/>
      </c>
      <c r="O374" s="280" t="n"/>
      <c r="P374" s="332">
        <f>IFERROR(VLOOKUP(TEXT(O374,"0"),CONDUCTORES!$A$3:$G$54,2,0),"")</f>
        <v/>
      </c>
      <c r="Q374" s="332">
        <f>IFERROR(VLOOKUP(TEXT(O374,"0"),CONDUCTORES!$A$3:$H$54,6,0),"")</f>
        <v/>
      </c>
      <c r="R374" s="280" t="n"/>
      <c r="S374" s="280" t="n"/>
      <c r="T374" s="280" t="n"/>
      <c r="U374" s="280" t="n"/>
      <c r="V374" s="280" t="n"/>
      <c r="W374" s="280" t="n"/>
      <c r="X374" s="280" t="n"/>
      <c r="Y374" s="280" t="n"/>
      <c r="Z374" s="375">
        <f>IF(AND(G374&lt;&gt;"",R374&lt;&gt;"",V374&lt;&gt;"",W374&lt;&gt;""),"COMPLETADO","OBSERVADO")</f>
        <v/>
      </c>
    </row>
    <row r="375" ht="15" customHeight="1" s="195">
      <c r="A375" s="334" t="n"/>
      <c r="B375" s="334" t="n"/>
      <c r="C375" s="334" t="n"/>
      <c r="D375" s="334" t="n"/>
      <c r="E375" s="334" t="n"/>
      <c r="F375" s="334" t="n"/>
      <c r="G375" s="334" t="n"/>
      <c r="H375" s="334" t="n"/>
      <c r="I375" s="332">
        <f>IFERROR(VLOOKUP(TEXT(H375,"0"),IPRESS!$A$3:$B$212,2,0),"")</f>
        <v/>
      </c>
      <c r="J375" s="334" t="n"/>
      <c r="K375" s="332">
        <f>IFERROR(VLOOKUP(TEXT(O375,"0"),CONDUCTORES!$A$3:$G$54,7,0),"")</f>
        <v/>
      </c>
      <c r="L375" s="334" t="n"/>
      <c r="M375" s="334" t="n"/>
      <c r="N375" s="333">
        <f>IFERROR(IF(L375*M375=0,"",L375*M375),"")</f>
        <v/>
      </c>
      <c r="O375" s="334" t="n"/>
      <c r="P375" s="332">
        <f>IFERROR(VLOOKUP(TEXT(O375,"0"),CONDUCTORES!$A$3:$G$54,2,0),"")</f>
        <v/>
      </c>
      <c r="Q375" s="332">
        <f>IFERROR(VLOOKUP(TEXT(O375,"0"),CONDUCTORES!$A$3:$H$54,6,0),"")</f>
        <v/>
      </c>
      <c r="R375" s="334" t="n"/>
      <c r="S375" s="334" t="n"/>
      <c r="T375" s="334" t="n"/>
      <c r="U375" s="334" t="n"/>
      <c r="V375" s="334" t="n"/>
      <c r="W375" s="334" t="n"/>
      <c r="X375" s="334" t="n"/>
      <c r="Y375" s="334" t="n"/>
      <c r="Z375" s="375">
        <f>IF(AND(G375&lt;&gt;"",R375&lt;&gt;"",V375&lt;&gt;"",W375&lt;&gt;""),"COMPLETADO","OBSERVADO")</f>
        <v/>
      </c>
    </row>
    <row r="376" ht="15" customHeight="1" s="195">
      <c r="A376" s="280" t="n"/>
      <c r="B376" s="280" t="n"/>
      <c r="C376" s="280" t="n"/>
      <c r="D376" s="280" t="n"/>
      <c r="E376" s="280" t="n"/>
      <c r="F376" s="280" t="n"/>
      <c r="G376" s="280" t="n"/>
      <c r="H376" s="280" t="n"/>
      <c r="I376" s="332">
        <f>IFERROR(VLOOKUP(TEXT(H376,"0"),IPRESS!$A$3:$B$212,2,0),"")</f>
        <v/>
      </c>
      <c r="J376" s="280" t="n"/>
      <c r="K376" s="332">
        <f>IFERROR(VLOOKUP(TEXT(O376,"0"),CONDUCTORES!$A$3:$G$54,7,0),"")</f>
        <v/>
      </c>
      <c r="L376" s="280" t="n"/>
      <c r="M376" s="280" t="n"/>
      <c r="N376" s="333">
        <f>IFERROR(IF(L376*M376=0,"",L376*M376),"")</f>
        <v/>
      </c>
      <c r="O376" s="280" t="n"/>
      <c r="P376" s="332">
        <f>IFERROR(VLOOKUP(TEXT(O376,"0"),CONDUCTORES!$A$3:$G$54,2,0),"")</f>
        <v/>
      </c>
      <c r="Q376" s="332">
        <f>IFERROR(VLOOKUP(TEXT(O376,"0"),CONDUCTORES!$A$3:$H$54,6,0),"")</f>
        <v/>
      </c>
      <c r="R376" s="280" t="n"/>
      <c r="S376" s="280" t="n"/>
      <c r="T376" s="280" t="n"/>
      <c r="U376" s="280" t="n"/>
      <c r="V376" s="280" t="n"/>
      <c r="W376" s="280" t="n"/>
      <c r="X376" s="280" t="n"/>
      <c r="Y376" s="280" t="n"/>
      <c r="Z376" s="375">
        <f>IF(AND(G376&lt;&gt;"",R376&lt;&gt;"",V376&lt;&gt;"",W376&lt;&gt;""),"COMPLETADO","OBSERVADO")</f>
        <v/>
      </c>
    </row>
    <row r="377" ht="15" customHeight="1" s="195">
      <c r="A377" s="334" t="n"/>
      <c r="B377" s="334" t="n"/>
      <c r="C377" s="334" t="n"/>
      <c r="D377" s="334" t="n"/>
      <c r="E377" s="334" t="n"/>
      <c r="F377" s="334" t="n"/>
      <c r="G377" s="334" t="n"/>
      <c r="H377" s="334" t="n"/>
      <c r="I377" s="332">
        <f>IFERROR(VLOOKUP(TEXT(H377,"0"),IPRESS!$A$3:$B$212,2,0),"")</f>
        <v/>
      </c>
      <c r="J377" s="334" t="n"/>
      <c r="K377" s="332">
        <f>IFERROR(VLOOKUP(TEXT(O377,"0"),CONDUCTORES!$A$3:$G$54,7,0),"")</f>
        <v/>
      </c>
      <c r="L377" s="334" t="n"/>
      <c r="M377" s="334" t="n"/>
      <c r="N377" s="333">
        <f>IFERROR(IF(L377*M377=0,"",L377*M377),"")</f>
        <v/>
      </c>
      <c r="O377" s="334" t="n"/>
      <c r="P377" s="332">
        <f>IFERROR(VLOOKUP(TEXT(O377,"0"),CONDUCTORES!$A$3:$G$54,2,0),"")</f>
        <v/>
      </c>
      <c r="Q377" s="332">
        <f>IFERROR(VLOOKUP(TEXT(O377,"0"),CONDUCTORES!$A$3:$H$54,6,0),"")</f>
        <v/>
      </c>
      <c r="R377" s="334" t="n"/>
      <c r="S377" s="334" t="n"/>
      <c r="T377" s="334" t="n"/>
      <c r="U377" s="334" t="n"/>
      <c r="V377" s="334" t="n"/>
      <c r="W377" s="334" t="n"/>
      <c r="X377" s="334" t="n"/>
      <c r="Y377" s="334" t="n"/>
      <c r="Z377" s="375">
        <f>IF(AND(G377&lt;&gt;"",R377&lt;&gt;"",V377&lt;&gt;"",W377&lt;&gt;""),"COMPLETADO","OBSERVADO")</f>
        <v/>
      </c>
    </row>
    <row r="378" ht="15" customHeight="1" s="195">
      <c r="A378" s="280" t="n"/>
      <c r="B378" s="280" t="n"/>
      <c r="C378" s="280" t="n"/>
      <c r="D378" s="280" t="n"/>
      <c r="E378" s="280" t="n"/>
      <c r="F378" s="280" t="n"/>
      <c r="G378" s="280" t="n"/>
      <c r="H378" s="280" t="n"/>
      <c r="I378" s="332">
        <f>IFERROR(VLOOKUP(TEXT(H378,"0"),IPRESS!$A$3:$B$212,2,0),"")</f>
        <v/>
      </c>
      <c r="J378" s="280" t="n"/>
      <c r="K378" s="332">
        <f>IFERROR(VLOOKUP(TEXT(O378,"0"),CONDUCTORES!$A$3:$G$54,7,0),"")</f>
        <v/>
      </c>
      <c r="L378" s="280" t="n"/>
      <c r="M378" s="280" t="n"/>
      <c r="N378" s="333">
        <f>IFERROR(IF(L378*M378=0,"",L378*M378),"")</f>
        <v/>
      </c>
      <c r="O378" s="280" t="n"/>
      <c r="P378" s="332">
        <f>IFERROR(VLOOKUP(TEXT(O378,"0"),CONDUCTORES!$A$3:$G$54,2,0),"")</f>
        <v/>
      </c>
      <c r="Q378" s="332">
        <f>IFERROR(VLOOKUP(TEXT(O378,"0"),CONDUCTORES!$A$3:$H$54,6,0),"")</f>
        <v/>
      </c>
      <c r="R378" s="280" t="n"/>
      <c r="S378" s="280" t="n"/>
      <c r="T378" s="280" t="n"/>
      <c r="U378" s="280" t="n"/>
      <c r="V378" s="280" t="n"/>
      <c r="W378" s="280" t="n"/>
      <c r="X378" s="280" t="n"/>
      <c r="Y378" s="280" t="n"/>
      <c r="Z378" s="375">
        <f>IF(AND(G378&lt;&gt;"",R378&lt;&gt;"",V378&lt;&gt;"",W378&lt;&gt;""),"COMPLETADO","OBSERVADO")</f>
        <v/>
      </c>
    </row>
    <row r="379" ht="15" customHeight="1" s="195">
      <c r="A379" s="334" t="n"/>
      <c r="B379" s="334" t="n"/>
      <c r="C379" s="334" t="n"/>
      <c r="D379" s="334" t="n"/>
      <c r="E379" s="334" t="n"/>
      <c r="F379" s="334" t="n"/>
      <c r="G379" s="334" t="n"/>
      <c r="H379" s="334" t="n"/>
      <c r="I379" s="332">
        <f>IFERROR(VLOOKUP(TEXT(H379,"0"),IPRESS!$A$3:$B$212,2,0),"")</f>
        <v/>
      </c>
      <c r="J379" s="334" t="n"/>
      <c r="K379" s="332">
        <f>IFERROR(VLOOKUP(TEXT(O379,"0"),CONDUCTORES!$A$3:$G$54,7,0),"")</f>
        <v/>
      </c>
      <c r="L379" s="334" t="n"/>
      <c r="M379" s="334" t="n"/>
      <c r="N379" s="333">
        <f>IFERROR(IF(L379*M379=0,"",L379*M379),"")</f>
        <v/>
      </c>
      <c r="O379" s="334" t="n"/>
      <c r="P379" s="332">
        <f>IFERROR(VLOOKUP(TEXT(O379,"0"),CONDUCTORES!$A$3:$G$54,2,0),"")</f>
        <v/>
      </c>
      <c r="Q379" s="332">
        <f>IFERROR(VLOOKUP(TEXT(O379,"0"),CONDUCTORES!$A$3:$H$54,6,0),"")</f>
        <v/>
      </c>
      <c r="R379" s="334" t="n"/>
      <c r="S379" s="334" t="n"/>
      <c r="T379" s="334" t="n"/>
      <c r="U379" s="334" t="n"/>
      <c r="V379" s="334" t="n"/>
      <c r="W379" s="334" t="n"/>
      <c r="X379" s="334" t="n"/>
      <c r="Y379" s="334" t="n"/>
      <c r="Z379" s="375">
        <f>IF(AND(G379&lt;&gt;"",R379&lt;&gt;"",V379&lt;&gt;"",W379&lt;&gt;""),"COMPLETADO","OBSERVADO")</f>
        <v/>
      </c>
    </row>
    <row r="380" ht="15" customHeight="1" s="195">
      <c r="A380" s="280" t="n"/>
      <c r="B380" s="280" t="n"/>
      <c r="C380" s="280" t="n"/>
      <c r="D380" s="280" t="n"/>
      <c r="E380" s="280" t="n"/>
      <c r="F380" s="280" t="n"/>
      <c r="G380" s="280" t="n"/>
      <c r="H380" s="280" t="n"/>
      <c r="I380" s="332">
        <f>IFERROR(VLOOKUP(TEXT(H380,"0"),IPRESS!$A$3:$B$212,2,0),"")</f>
        <v/>
      </c>
      <c r="J380" s="280" t="n"/>
      <c r="K380" s="332">
        <f>IFERROR(VLOOKUP(TEXT(O380,"0"),CONDUCTORES!$A$3:$G$54,7,0),"")</f>
        <v/>
      </c>
      <c r="L380" s="280" t="n"/>
      <c r="M380" s="280" t="n"/>
      <c r="N380" s="333">
        <f>IFERROR(IF(L380*M380=0,"",L380*M380),"")</f>
        <v/>
      </c>
      <c r="O380" s="280" t="n"/>
      <c r="P380" s="332">
        <f>IFERROR(VLOOKUP(TEXT(O380,"0"),CONDUCTORES!$A$3:$G$54,2,0),"")</f>
        <v/>
      </c>
      <c r="Q380" s="332">
        <f>IFERROR(VLOOKUP(TEXT(O380,"0"),CONDUCTORES!$A$3:$H$54,6,0),"")</f>
        <v/>
      </c>
      <c r="R380" s="280" t="n"/>
      <c r="S380" s="280" t="n"/>
      <c r="T380" s="280" t="n"/>
      <c r="U380" s="280" t="n"/>
      <c r="V380" s="280" t="n"/>
      <c r="W380" s="280" t="n"/>
      <c r="X380" s="280" t="n"/>
      <c r="Y380" s="280" t="n"/>
      <c r="Z380" s="375">
        <f>IF(AND(G380&lt;&gt;"",R380&lt;&gt;"",V380&lt;&gt;"",W380&lt;&gt;""),"COMPLETADO","OBSERVADO")</f>
        <v/>
      </c>
    </row>
    <row r="381" ht="15" customHeight="1" s="195">
      <c r="A381" s="334" t="n"/>
      <c r="B381" s="334" t="n"/>
      <c r="C381" s="334" t="n"/>
      <c r="D381" s="334" t="n"/>
      <c r="E381" s="334" t="n"/>
      <c r="F381" s="334" t="n"/>
      <c r="G381" s="334" t="n"/>
      <c r="H381" s="334" t="n"/>
      <c r="I381" s="332">
        <f>IFERROR(VLOOKUP(TEXT(H381,"0"),IPRESS!$A$3:$B$212,2,0),"")</f>
        <v/>
      </c>
      <c r="J381" s="334" t="n"/>
      <c r="K381" s="332">
        <f>IFERROR(VLOOKUP(TEXT(O381,"0"),CONDUCTORES!$A$3:$G$54,7,0),"")</f>
        <v/>
      </c>
      <c r="L381" s="334" t="n"/>
      <c r="M381" s="334" t="n"/>
      <c r="N381" s="333">
        <f>IFERROR(IF(L381*M381=0,"",L381*M381),"")</f>
        <v/>
      </c>
      <c r="O381" s="334" t="n"/>
      <c r="P381" s="332">
        <f>IFERROR(VLOOKUP(TEXT(O381,"0"),CONDUCTORES!$A$3:$G$54,2,0),"")</f>
        <v/>
      </c>
      <c r="Q381" s="332">
        <f>IFERROR(VLOOKUP(TEXT(O381,"0"),CONDUCTORES!$A$3:$H$54,6,0),"")</f>
        <v/>
      </c>
      <c r="R381" s="334" t="n"/>
      <c r="S381" s="334" t="n"/>
      <c r="T381" s="334" t="n"/>
      <c r="U381" s="334" t="n"/>
      <c r="V381" s="334" t="n"/>
      <c r="W381" s="334" t="n"/>
      <c r="X381" s="334" t="n"/>
      <c r="Y381" s="334" t="n"/>
      <c r="Z381" s="375">
        <f>IF(AND(G381&lt;&gt;"",R381&lt;&gt;"",V381&lt;&gt;"",W381&lt;&gt;""),"COMPLETADO","OBSERVADO")</f>
        <v/>
      </c>
    </row>
    <row r="382" ht="15" customHeight="1" s="195">
      <c r="A382" s="280" t="n"/>
      <c r="B382" s="280" t="n"/>
      <c r="C382" s="280" t="n"/>
      <c r="D382" s="280" t="n"/>
      <c r="E382" s="280" t="n"/>
      <c r="F382" s="280" t="n"/>
      <c r="G382" s="280" t="n"/>
      <c r="H382" s="280" t="n"/>
      <c r="I382" s="332">
        <f>IFERROR(VLOOKUP(TEXT(H382,"0"),IPRESS!$A$3:$B$212,2,0),"")</f>
        <v/>
      </c>
      <c r="J382" s="280" t="n"/>
      <c r="K382" s="332">
        <f>IFERROR(VLOOKUP(TEXT(O382,"0"),CONDUCTORES!$A$3:$G$54,7,0),"")</f>
        <v/>
      </c>
      <c r="L382" s="280" t="n"/>
      <c r="M382" s="280" t="n"/>
      <c r="N382" s="333">
        <f>IFERROR(IF(L382*M382=0,"",L382*M382),"")</f>
        <v/>
      </c>
      <c r="O382" s="280" t="n"/>
      <c r="P382" s="332">
        <f>IFERROR(VLOOKUP(TEXT(O382,"0"),CONDUCTORES!$A$3:$G$54,2,0),"")</f>
        <v/>
      </c>
      <c r="Q382" s="332">
        <f>IFERROR(VLOOKUP(TEXT(O382,"0"),CONDUCTORES!$A$3:$H$54,6,0),"")</f>
        <v/>
      </c>
      <c r="R382" s="280" t="n"/>
      <c r="S382" s="280" t="n"/>
      <c r="T382" s="280" t="n"/>
      <c r="U382" s="280" t="n"/>
      <c r="V382" s="280" t="n"/>
      <c r="W382" s="280" t="n"/>
      <c r="X382" s="280" t="n"/>
      <c r="Y382" s="280" t="n"/>
      <c r="Z382" s="375">
        <f>IF(AND(G382&lt;&gt;"",R382&lt;&gt;"",V382&lt;&gt;"",W382&lt;&gt;""),"COMPLETADO","OBSERVADO")</f>
        <v/>
      </c>
    </row>
    <row r="383" ht="15" customHeight="1" s="195">
      <c r="A383" s="334" t="n"/>
      <c r="B383" s="334" t="n"/>
      <c r="C383" s="334" t="n"/>
      <c r="D383" s="334" t="n"/>
      <c r="E383" s="334" t="n"/>
      <c r="F383" s="334" t="n"/>
      <c r="G383" s="334" t="n"/>
      <c r="H383" s="334" t="n"/>
      <c r="I383" s="332">
        <f>IFERROR(VLOOKUP(TEXT(H383,"0"),IPRESS!$A$3:$B$212,2,0),"")</f>
        <v/>
      </c>
      <c r="J383" s="334" t="n"/>
      <c r="K383" s="332">
        <f>IFERROR(VLOOKUP(TEXT(O383,"0"),CONDUCTORES!$A$3:$G$54,7,0),"")</f>
        <v/>
      </c>
      <c r="L383" s="334" t="n"/>
      <c r="M383" s="334" t="n"/>
      <c r="N383" s="333">
        <f>IFERROR(IF(L383*M383=0,"",L383*M383),"")</f>
        <v/>
      </c>
      <c r="O383" s="334" t="n"/>
      <c r="P383" s="332">
        <f>IFERROR(VLOOKUP(TEXT(O383,"0"),CONDUCTORES!$A$3:$G$54,2,0),"")</f>
        <v/>
      </c>
      <c r="Q383" s="332">
        <f>IFERROR(VLOOKUP(TEXT(O383,"0"),CONDUCTORES!$A$3:$H$54,6,0),"")</f>
        <v/>
      </c>
      <c r="R383" s="334" t="n"/>
      <c r="S383" s="334" t="n"/>
      <c r="T383" s="334" t="n"/>
      <c r="U383" s="334" t="n"/>
      <c r="V383" s="334" t="n"/>
      <c r="W383" s="334" t="n"/>
      <c r="X383" s="334" t="n"/>
      <c r="Y383" s="334" t="n"/>
      <c r="Z383" s="375">
        <f>IF(AND(G383&lt;&gt;"",R383&lt;&gt;"",V383&lt;&gt;"",W383&lt;&gt;""),"COMPLETADO","OBSERVADO")</f>
        <v/>
      </c>
    </row>
    <row r="384" ht="15" customHeight="1" s="195">
      <c r="A384" s="280" t="n"/>
      <c r="B384" s="280" t="n"/>
      <c r="C384" s="280" t="n"/>
      <c r="D384" s="280" t="n"/>
      <c r="E384" s="280" t="n"/>
      <c r="F384" s="280" t="n"/>
      <c r="G384" s="280" t="n"/>
      <c r="H384" s="280" t="n"/>
      <c r="I384" s="332">
        <f>IFERROR(VLOOKUP(TEXT(H384,"0"),IPRESS!$A$3:$B$212,2,0),"")</f>
        <v/>
      </c>
      <c r="J384" s="280" t="n"/>
      <c r="K384" s="332">
        <f>IFERROR(VLOOKUP(TEXT(O384,"0"),CONDUCTORES!$A$3:$G$54,7,0),"")</f>
        <v/>
      </c>
      <c r="L384" s="280" t="n"/>
      <c r="M384" s="280" t="n"/>
      <c r="N384" s="333">
        <f>IFERROR(IF(L384*M384=0,"",L384*M384),"")</f>
        <v/>
      </c>
      <c r="O384" s="280" t="n"/>
      <c r="P384" s="332">
        <f>IFERROR(VLOOKUP(TEXT(O384,"0"),CONDUCTORES!$A$3:$G$54,2,0),"")</f>
        <v/>
      </c>
      <c r="Q384" s="332">
        <f>IFERROR(VLOOKUP(TEXT(O384,"0"),CONDUCTORES!$A$3:$H$54,6,0),"")</f>
        <v/>
      </c>
      <c r="R384" s="280" t="n"/>
      <c r="S384" s="280" t="n"/>
      <c r="T384" s="280" t="n"/>
      <c r="U384" s="280" t="n"/>
      <c r="V384" s="280" t="n"/>
      <c r="W384" s="280" t="n"/>
      <c r="X384" s="280" t="n"/>
      <c r="Y384" s="280" t="n"/>
      <c r="Z384" s="375">
        <f>IF(AND(G384&lt;&gt;"",R384&lt;&gt;"",V384&lt;&gt;"",W384&lt;&gt;""),"COMPLETADO","OBSERVADO")</f>
        <v/>
      </c>
    </row>
    <row r="385" ht="15" customHeight="1" s="195">
      <c r="A385" s="334" t="n"/>
      <c r="B385" s="334" t="n"/>
      <c r="C385" s="334" t="n"/>
      <c r="D385" s="334" t="n"/>
      <c r="E385" s="334" t="n"/>
      <c r="F385" s="334" t="n"/>
      <c r="G385" s="334" t="n"/>
      <c r="H385" s="334" t="n"/>
      <c r="I385" s="332">
        <f>IFERROR(VLOOKUP(TEXT(H385,"0"),IPRESS!$A$3:$B$212,2,0),"")</f>
        <v/>
      </c>
      <c r="J385" s="334" t="n"/>
      <c r="K385" s="332">
        <f>IFERROR(VLOOKUP(TEXT(O385,"0"),CONDUCTORES!$A$3:$G$54,7,0),"")</f>
        <v/>
      </c>
      <c r="L385" s="334" t="n"/>
      <c r="M385" s="334" t="n"/>
      <c r="N385" s="333">
        <f>IFERROR(IF(L385*M385=0,"",L385*M385),"")</f>
        <v/>
      </c>
      <c r="O385" s="334" t="n"/>
      <c r="P385" s="332">
        <f>IFERROR(VLOOKUP(TEXT(O385,"0"),CONDUCTORES!$A$3:$G$54,2,0),"")</f>
        <v/>
      </c>
      <c r="Q385" s="332">
        <f>IFERROR(VLOOKUP(TEXT(O385,"0"),CONDUCTORES!$A$3:$H$54,6,0),"")</f>
        <v/>
      </c>
      <c r="R385" s="334" t="n"/>
      <c r="S385" s="334" t="n"/>
      <c r="T385" s="334" t="n"/>
      <c r="U385" s="334" t="n"/>
      <c r="V385" s="334" t="n"/>
      <c r="W385" s="334" t="n"/>
      <c r="X385" s="334" t="n"/>
      <c r="Y385" s="334" t="n"/>
      <c r="Z385" s="375">
        <f>IF(AND(G385&lt;&gt;"",R385&lt;&gt;"",V385&lt;&gt;"",W385&lt;&gt;""),"COMPLETADO","OBSERVADO")</f>
        <v/>
      </c>
    </row>
    <row r="386" ht="15" customHeight="1" s="195">
      <c r="A386" s="280" t="n"/>
      <c r="B386" s="280" t="n"/>
      <c r="C386" s="280" t="n"/>
      <c r="D386" s="280" t="n"/>
      <c r="E386" s="280" t="n"/>
      <c r="F386" s="280" t="n"/>
      <c r="G386" s="280" t="n"/>
      <c r="H386" s="280" t="n"/>
      <c r="I386" s="332">
        <f>IFERROR(VLOOKUP(TEXT(H386,"0"),IPRESS!$A$3:$B$212,2,0),"")</f>
        <v/>
      </c>
      <c r="J386" s="280" t="n"/>
      <c r="K386" s="332">
        <f>IFERROR(VLOOKUP(TEXT(O386,"0"),CONDUCTORES!$A$3:$G$54,7,0),"")</f>
        <v/>
      </c>
      <c r="L386" s="280" t="n"/>
      <c r="M386" s="280" t="n"/>
      <c r="N386" s="333">
        <f>IFERROR(IF(L386*M386=0,"",L386*M386),"")</f>
        <v/>
      </c>
      <c r="O386" s="280" t="n"/>
      <c r="P386" s="332">
        <f>IFERROR(VLOOKUP(TEXT(O386,"0"),CONDUCTORES!$A$3:$G$54,2,0),"")</f>
        <v/>
      </c>
      <c r="Q386" s="332">
        <f>IFERROR(VLOOKUP(TEXT(O386,"0"),CONDUCTORES!$A$3:$H$54,6,0),"")</f>
        <v/>
      </c>
      <c r="R386" s="280" t="n"/>
      <c r="S386" s="280" t="n"/>
      <c r="T386" s="280" t="n"/>
      <c r="U386" s="280" t="n"/>
      <c r="V386" s="280" t="n"/>
      <c r="W386" s="280" t="n"/>
      <c r="X386" s="280" t="n"/>
      <c r="Y386" s="280" t="n"/>
      <c r="Z386" s="375">
        <f>IF(AND(G386&lt;&gt;"",R386&lt;&gt;"",V386&lt;&gt;"",W386&lt;&gt;""),"COMPLETADO","OBSERVADO")</f>
        <v/>
      </c>
    </row>
    <row r="387" ht="15" customHeight="1" s="195">
      <c r="A387" s="334" t="n"/>
      <c r="B387" s="334" t="n"/>
      <c r="C387" s="334" t="n"/>
      <c r="D387" s="334" t="n"/>
      <c r="E387" s="334" t="n"/>
      <c r="F387" s="334" t="n"/>
      <c r="G387" s="334" t="n"/>
      <c r="H387" s="334" t="n"/>
      <c r="I387" s="332">
        <f>IFERROR(VLOOKUP(TEXT(H387,"0"),IPRESS!$A$3:$B$212,2,0),"")</f>
        <v/>
      </c>
      <c r="J387" s="334" t="n"/>
      <c r="K387" s="332">
        <f>IFERROR(VLOOKUP(TEXT(O387,"0"),CONDUCTORES!$A$3:$G$54,7,0),"")</f>
        <v/>
      </c>
      <c r="L387" s="334" t="n"/>
      <c r="M387" s="334" t="n"/>
      <c r="N387" s="333">
        <f>IFERROR(IF(L387*M387=0,"",L387*M387),"")</f>
        <v/>
      </c>
      <c r="O387" s="334" t="n"/>
      <c r="P387" s="332">
        <f>IFERROR(VLOOKUP(TEXT(O387,"0"),CONDUCTORES!$A$3:$G$54,2,0),"")</f>
        <v/>
      </c>
      <c r="Q387" s="332">
        <f>IFERROR(VLOOKUP(TEXT(O387,"0"),CONDUCTORES!$A$3:$H$54,6,0),"")</f>
        <v/>
      </c>
      <c r="R387" s="334" t="n"/>
      <c r="S387" s="334" t="n"/>
      <c r="T387" s="334" t="n"/>
      <c r="U387" s="334" t="n"/>
      <c r="V387" s="334" t="n"/>
      <c r="W387" s="334" t="n"/>
      <c r="X387" s="334" t="n"/>
      <c r="Y387" s="334" t="n"/>
      <c r="Z387" s="375">
        <f>IF(AND(G387&lt;&gt;"",R387&lt;&gt;"",V387&lt;&gt;"",W387&lt;&gt;""),"COMPLETADO","OBSERVADO")</f>
        <v/>
      </c>
    </row>
    <row r="388" ht="15" customHeight="1" s="195">
      <c r="A388" s="280" t="n"/>
      <c r="B388" s="280" t="n"/>
      <c r="C388" s="280" t="n"/>
      <c r="D388" s="280" t="n"/>
      <c r="E388" s="280" t="n"/>
      <c r="F388" s="280" t="n"/>
      <c r="G388" s="280" t="n"/>
      <c r="H388" s="280" t="n"/>
      <c r="I388" s="332">
        <f>IFERROR(VLOOKUP(TEXT(H388,"0"),IPRESS!$A$3:$B$212,2,0),"")</f>
        <v/>
      </c>
      <c r="J388" s="280" t="n"/>
      <c r="K388" s="332">
        <f>IFERROR(VLOOKUP(TEXT(O388,"0"),CONDUCTORES!$A$3:$G$54,7,0),"")</f>
        <v/>
      </c>
      <c r="L388" s="280" t="n"/>
      <c r="M388" s="280" t="n"/>
      <c r="N388" s="333">
        <f>IFERROR(IF(L388*M388=0,"",L388*M388),"")</f>
        <v/>
      </c>
      <c r="O388" s="280" t="n"/>
      <c r="P388" s="332">
        <f>IFERROR(VLOOKUP(TEXT(O388,"0"),CONDUCTORES!$A$3:$G$54,2,0),"")</f>
        <v/>
      </c>
      <c r="Q388" s="332">
        <f>IFERROR(VLOOKUP(TEXT(O388,"0"),CONDUCTORES!$A$3:$H$54,6,0),"")</f>
        <v/>
      </c>
      <c r="R388" s="280" t="n"/>
      <c r="S388" s="280" t="n"/>
      <c r="T388" s="280" t="n"/>
      <c r="U388" s="280" t="n"/>
      <c r="V388" s="280" t="n"/>
      <c r="W388" s="280" t="n"/>
      <c r="X388" s="280" t="n"/>
      <c r="Y388" s="280" t="n"/>
      <c r="Z388" s="375">
        <f>IF(AND(G388&lt;&gt;"",R388&lt;&gt;"",V388&lt;&gt;"",W388&lt;&gt;""),"COMPLETADO","OBSERVADO")</f>
        <v/>
      </c>
    </row>
    <row r="389" ht="15" customHeight="1" s="195">
      <c r="A389" s="334" t="n"/>
      <c r="B389" s="334" t="n"/>
      <c r="C389" s="334" t="n"/>
      <c r="D389" s="334" t="n"/>
      <c r="E389" s="334" t="n"/>
      <c r="F389" s="334" t="n"/>
      <c r="G389" s="334" t="n"/>
      <c r="H389" s="334" t="n"/>
      <c r="I389" s="332">
        <f>IFERROR(VLOOKUP(TEXT(H389,"0"),IPRESS!$A$3:$B$212,2,0),"")</f>
        <v/>
      </c>
      <c r="J389" s="334" t="n"/>
      <c r="K389" s="332">
        <f>IFERROR(VLOOKUP(TEXT(O389,"0"),CONDUCTORES!$A$3:$G$54,7,0),"")</f>
        <v/>
      </c>
      <c r="L389" s="334" t="n"/>
      <c r="M389" s="334" t="n"/>
      <c r="N389" s="333">
        <f>IFERROR(IF(L389*M389=0,"",L389*M389),"")</f>
        <v/>
      </c>
      <c r="O389" s="334" t="n"/>
      <c r="P389" s="332">
        <f>IFERROR(VLOOKUP(TEXT(O389,"0"),CONDUCTORES!$A$3:$G$54,2,0),"")</f>
        <v/>
      </c>
      <c r="Q389" s="332">
        <f>IFERROR(VLOOKUP(TEXT(O389,"0"),CONDUCTORES!$A$3:$H$54,6,0),"")</f>
        <v/>
      </c>
      <c r="R389" s="334" t="n"/>
      <c r="S389" s="334" t="n"/>
      <c r="T389" s="334" t="n"/>
      <c r="U389" s="334" t="n"/>
      <c r="V389" s="334" t="n"/>
      <c r="W389" s="334" t="n"/>
      <c r="X389" s="334" t="n"/>
      <c r="Y389" s="334" t="n"/>
      <c r="Z389" s="375">
        <f>IF(AND(G389&lt;&gt;"",R389&lt;&gt;"",V389&lt;&gt;"",W389&lt;&gt;""),"COMPLETADO","OBSERVADO")</f>
        <v/>
      </c>
    </row>
    <row r="390" ht="15" customHeight="1" s="195">
      <c r="A390" s="280" t="n"/>
      <c r="B390" s="280" t="n"/>
      <c r="C390" s="280" t="n"/>
      <c r="D390" s="280" t="n"/>
      <c r="E390" s="280" t="n"/>
      <c r="F390" s="280" t="n"/>
      <c r="G390" s="280" t="n"/>
      <c r="H390" s="280" t="n"/>
      <c r="I390" s="332">
        <f>IFERROR(VLOOKUP(TEXT(H390,"0"),IPRESS!$A$3:$B$212,2,0),"")</f>
        <v/>
      </c>
      <c r="J390" s="280" t="n"/>
      <c r="K390" s="332">
        <f>IFERROR(VLOOKUP(TEXT(O390,"0"),CONDUCTORES!$A$3:$G$54,7,0),"")</f>
        <v/>
      </c>
      <c r="L390" s="280" t="n"/>
      <c r="M390" s="280" t="n"/>
      <c r="N390" s="333">
        <f>IFERROR(IF(L390*M390=0,"",L390*M390),"")</f>
        <v/>
      </c>
      <c r="O390" s="280" t="n"/>
      <c r="P390" s="332">
        <f>IFERROR(VLOOKUP(TEXT(O390,"0"),CONDUCTORES!$A$3:$G$54,2,0),"")</f>
        <v/>
      </c>
      <c r="Q390" s="332">
        <f>IFERROR(VLOOKUP(TEXT(O390,"0"),CONDUCTORES!$A$3:$H$54,6,0),"")</f>
        <v/>
      </c>
      <c r="R390" s="280" t="n"/>
      <c r="S390" s="280" t="n"/>
      <c r="T390" s="280" t="n"/>
      <c r="U390" s="280" t="n"/>
      <c r="V390" s="280" t="n"/>
      <c r="W390" s="280" t="n"/>
      <c r="X390" s="280" t="n"/>
      <c r="Y390" s="280" t="n"/>
      <c r="Z390" s="375">
        <f>IF(AND(G390&lt;&gt;"",R390&lt;&gt;"",V390&lt;&gt;"",W390&lt;&gt;""),"COMPLETADO","OBSERVADO")</f>
        <v/>
      </c>
    </row>
    <row r="391" ht="15" customHeight="1" s="195">
      <c r="A391" s="334" t="n"/>
      <c r="B391" s="334" t="n"/>
      <c r="C391" s="334" t="n"/>
      <c r="D391" s="334" t="n"/>
      <c r="E391" s="334" t="n"/>
      <c r="F391" s="334" t="n"/>
      <c r="G391" s="334" t="n"/>
      <c r="H391" s="334" t="n"/>
      <c r="I391" s="332">
        <f>IFERROR(VLOOKUP(TEXT(H391,"0"),IPRESS!$A$3:$B$212,2,0),"")</f>
        <v/>
      </c>
      <c r="J391" s="334" t="n"/>
      <c r="K391" s="332">
        <f>IFERROR(VLOOKUP(TEXT(O391,"0"),CONDUCTORES!$A$3:$G$54,7,0),"")</f>
        <v/>
      </c>
      <c r="L391" s="334" t="n"/>
      <c r="M391" s="334" t="n"/>
      <c r="N391" s="333">
        <f>IFERROR(IF(L391*M391=0,"",L391*M391),"")</f>
        <v/>
      </c>
      <c r="O391" s="334" t="n"/>
      <c r="P391" s="332">
        <f>IFERROR(VLOOKUP(TEXT(O391,"0"),CONDUCTORES!$A$3:$G$54,2,0),"")</f>
        <v/>
      </c>
      <c r="Q391" s="332">
        <f>IFERROR(VLOOKUP(TEXT(O391,"0"),CONDUCTORES!$A$3:$H$54,6,0),"")</f>
        <v/>
      </c>
      <c r="R391" s="334" t="n"/>
      <c r="S391" s="334" t="n"/>
      <c r="T391" s="334" t="n"/>
      <c r="U391" s="334" t="n"/>
      <c r="V391" s="334" t="n"/>
      <c r="W391" s="334" t="n"/>
      <c r="X391" s="334" t="n"/>
      <c r="Y391" s="334" t="n"/>
      <c r="Z391" s="375">
        <f>IF(AND(G391&lt;&gt;"",R391&lt;&gt;"",V391&lt;&gt;"",W391&lt;&gt;""),"COMPLETADO","OBSERVADO")</f>
        <v/>
      </c>
    </row>
    <row r="392" ht="15" customHeight="1" s="195">
      <c r="A392" s="280" t="n"/>
      <c r="B392" s="280" t="n"/>
      <c r="C392" s="280" t="n"/>
      <c r="D392" s="280" t="n"/>
      <c r="E392" s="280" t="n"/>
      <c r="F392" s="280" t="n"/>
      <c r="G392" s="280" t="n"/>
      <c r="H392" s="280" t="n"/>
      <c r="I392" s="332">
        <f>IFERROR(VLOOKUP(TEXT(H392,"0"),IPRESS!$A$3:$B$212,2,0),"")</f>
        <v/>
      </c>
      <c r="J392" s="280" t="n"/>
      <c r="K392" s="332">
        <f>IFERROR(VLOOKUP(TEXT(O392,"0"),CONDUCTORES!$A$3:$G$54,7,0),"")</f>
        <v/>
      </c>
      <c r="L392" s="280" t="n"/>
      <c r="M392" s="280" t="n"/>
      <c r="N392" s="333">
        <f>IFERROR(IF(L392*M392=0,"",L392*M392),"")</f>
        <v/>
      </c>
      <c r="O392" s="280" t="n"/>
      <c r="P392" s="332">
        <f>IFERROR(VLOOKUP(TEXT(O392,"0"),CONDUCTORES!$A$3:$G$54,2,0),"")</f>
        <v/>
      </c>
      <c r="Q392" s="332">
        <f>IFERROR(VLOOKUP(TEXT(O392,"0"),CONDUCTORES!$A$3:$H$54,6,0),"")</f>
        <v/>
      </c>
      <c r="R392" s="280" t="n"/>
      <c r="S392" s="280" t="n"/>
      <c r="T392" s="280" t="n"/>
      <c r="U392" s="280" t="n"/>
      <c r="V392" s="280" t="n"/>
      <c r="W392" s="280" t="n"/>
      <c r="X392" s="280" t="n"/>
      <c r="Y392" s="280" t="n"/>
      <c r="Z392" s="375">
        <f>IF(AND(G392&lt;&gt;"",R392&lt;&gt;"",V392&lt;&gt;"",W392&lt;&gt;""),"COMPLETADO","OBSERVADO")</f>
        <v/>
      </c>
    </row>
    <row r="393" ht="15" customHeight="1" s="195">
      <c r="A393" s="334" t="n"/>
      <c r="B393" s="334" t="n"/>
      <c r="C393" s="334" t="n"/>
      <c r="D393" s="334" t="n"/>
      <c r="E393" s="334" t="n"/>
      <c r="F393" s="334" t="n"/>
      <c r="G393" s="334" t="n"/>
      <c r="H393" s="334" t="n"/>
      <c r="I393" s="332">
        <f>IFERROR(VLOOKUP(TEXT(H393,"0"),IPRESS!$A$3:$B$212,2,0),"")</f>
        <v/>
      </c>
      <c r="J393" s="334" t="n"/>
      <c r="K393" s="332">
        <f>IFERROR(VLOOKUP(TEXT(O393,"0"),CONDUCTORES!$A$3:$G$54,7,0),"")</f>
        <v/>
      </c>
      <c r="L393" s="334" t="n"/>
      <c r="M393" s="334" t="n"/>
      <c r="N393" s="333">
        <f>IFERROR(IF(L393*M393=0,"",L393*M393),"")</f>
        <v/>
      </c>
      <c r="O393" s="334" t="n"/>
      <c r="P393" s="332">
        <f>IFERROR(VLOOKUP(TEXT(O393,"0"),CONDUCTORES!$A$3:$G$54,2,0),"")</f>
        <v/>
      </c>
      <c r="Q393" s="332">
        <f>IFERROR(VLOOKUP(TEXT(O393,"0"),CONDUCTORES!$A$3:$H$54,6,0),"")</f>
        <v/>
      </c>
      <c r="R393" s="334" t="n"/>
      <c r="S393" s="334" t="n"/>
      <c r="T393" s="334" t="n"/>
      <c r="U393" s="334" t="n"/>
      <c r="V393" s="334" t="n"/>
      <c r="W393" s="334" t="n"/>
      <c r="X393" s="334" t="n"/>
      <c r="Y393" s="334" t="n"/>
      <c r="Z393" s="375">
        <f>IF(AND(G393&lt;&gt;"",R393&lt;&gt;"",V393&lt;&gt;"",W393&lt;&gt;""),"COMPLETADO","OBSERVADO")</f>
        <v/>
      </c>
    </row>
    <row r="394" ht="15" customHeight="1" s="195">
      <c r="A394" s="280" t="n"/>
      <c r="B394" s="280" t="n"/>
      <c r="C394" s="280" t="n"/>
      <c r="D394" s="280" t="n"/>
      <c r="E394" s="280" t="n"/>
      <c r="F394" s="280" t="n"/>
      <c r="G394" s="280" t="n"/>
      <c r="H394" s="280" t="n"/>
      <c r="I394" s="332">
        <f>IFERROR(VLOOKUP(TEXT(H394,"0"),IPRESS!$A$3:$B$212,2,0),"")</f>
        <v/>
      </c>
      <c r="J394" s="280" t="n"/>
      <c r="K394" s="332">
        <f>IFERROR(VLOOKUP(TEXT(O394,"0"),CONDUCTORES!$A$3:$G$54,7,0),"")</f>
        <v/>
      </c>
      <c r="L394" s="280" t="n"/>
      <c r="M394" s="280" t="n"/>
      <c r="N394" s="333">
        <f>IFERROR(IF(L394*M394=0,"",L394*M394),"")</f>
        <v/>
      </c>
      <c r="O394" s="280" t="n"/>
      <c r="P394" s="332">
        <f>IFERROR(VLOOKUP(TEXT(O394,"0"),CONDUCTORES!$A$3:$G$54,2,0),"")</f>
        <v/>
      </c>
      <c r="Q394" s="332">
        <f>IFERROR(VLOOKUP(TEXT(O394,"0"),CONDUCTORES!$A$3:$H$54,6,0),"")</f>
        <v/>
      </c>
      <c r="R394" s="280" t="n"/>
      <c r="S394" s="280" t="n"/>
      <c r="T394" s="280" t="n"/>
      <c r="U394" s="280" t="n"/>
      <c r="V394" s="280" t="n"/>
      <c r="W394" s="280" t="n"/>
      <c r="X394" s="280" t="n"/>
      <c r="Y394" s="280" t="n"/>
      <c r="Z394" s="375">
        <f>IF(AND(G394&lt;&gt;"",R394&lt;&gt;"",V394&lt;&gt;"",W394&lt;&gt;""),"COMPLETADO","OBSERVADO")</f>
        <v/>
      </c>
    </row>
    <row r="395" ht="15" customHeight="1" s="195">
      <c r="A395" s="334" t="n"/>
      <c r="B395" s="334" t="n"/>
      <c r="C395" s="334" t="n"/>
      <c r="D395" s="334" t="n"/>
      <c r="E395" s="334" t="n"/>
      <c r="F395" s="334" t="n"/>
      <c r="G395" s="334" t="n"/>
      <c r="H395" s="334" t="n"/>
      <c r="I395" s="332">
        <f>IFERROR(VLOOKUP(TEXT(H395,"0"),IPRESS!$A$3:$B$212,2,0),"")</f>
        <v/>
      </c>
      <c r="J395" s="334" t="n"/>
      <c r="K395" s="332">
        <f>IFERROR(VLOOKUP(TEXT(O395,"0"),CONDUCTORES!$A$3:$G$54,7,0),"")</f>
        <v/>
      </c>
      <c r="L395" s="334" t="n"/>
      <c r="M395" s="334" t="n"/>
      <c r="N395" s="333">
        <f>IFERROR(IF(L395*M395=0,"",L395*M395),"")</f>
        <v/>
      </c>
      <c r="O395" s="334" t="n"/>
      <c r="P395" s="332">
        <f>IFERROR(VLOOKUP(TEXT(O395,"0"),CONDUCTORES!$A$3:$G$54,2,0),"")</f>
        <v/>
      </c>
      <c r="Q395" s="332">
        <f>IFERROR(VLOOKUP(TEXT(O395,"0"),CONDUCTORES!$A$3:$H$54,6,0),"")</f>
        <v/>
      </c>
      <c r="R395" s="334" t="n"/>
      <c r="S395" s="334" t="n"/>
      <c r="T395" s="334" t="n"/>
      <c r="U395" s="334" t="n"/>
      <c r="V395" s="334" t="n"/>
      <c r="W395" s="334" t="n"/>
      <c r="X395" s="334" t="n"/>
      <c r="Y395" s="334" t="n"/>
      <c r="Z395" s="375">
        <f>IF(AND(G395&lt;&gt;"",R395&lt;&gt;"",V395&lt;&gt;"",W395&lt;&gt;""),"COMPLETADO","OBSERVADO")</f>
        <v/>
      </c>
    </row>
    <row r="396" ht="15" customHeight="1" s="195">
      <c r="A396" s="280" t="n"/>
      <c r="B396" s="280" t="n"/>
      <c r="C396" s="280" t="n"/>
      <c r="D396" s="280" t="n"/>
      <c r="E396" s="280" t="n"/>
      <c r="F396" s="280" t="n"/>
      <c r="G396" s="280" t="n"/>
      <c r="H396" s="280" t="n"/>
      <c r="I396" s="332">
        <f>IFERROR(VLOOKUP(TEXT(H396,"0"),IPRESS!$A$3:$B$212,2,0),"")</f>
        <v/>
      </c>
      <c r="J396" s="280" t="n"/>
      <c r="K396" s="332">
        <f>IFERROR(VLOOKUP(TEXT(O396,"0"),CONDUCTORES!$A$3:$G$54,7,0),"")</f>
        <v/>
      </c>
      <c r="L396" s="280" t="n"/>
      <c r="M396" s="280" t="n"/>
      <c r="N396" s="333">
        <f>IFERROR(IF(L396*M396=0,"",L396*M396),"")</f>
        <v/>
      </c>
      <c r="O396" s="280" t="n"/>
      <c r="P396" s="332">
        <f>IFERROR(VLOOKUP(TEXT(O396,"0"),CONDUCTORES!$A$3:$G$54,2,0),"")</f>
        <v/>
      </c>
      <c r="Q396" s="332">
        <f>IFERROR(VLOOKUP(TEXT(O396,"0"),CONDUCTORES!$A$3:$H$54,6,0),"")</f>
        <v/>
      </c>
      <c r="R396" s="280" t="n"/>
      <c r="S396" s="280" t="n"/>
      <c r="T396" s="280" t="n"/>
      <c r="U396" s="280" t="n"/>
      <c r="V396" s="280" t="n"/>
      <c r="W396" s="280" t="n"/>
      <c r="X396" s="280" t="n"/>
      <c r="Y396" s="280" t="n"/>
      <c r="Z396" s="375">
        <f>IF(AND(G396&lt;&gt;"",R396&lt;&gt;"",V396&lt;&gt;"",W396&lt;&gt;""),"COMPLETADO","OBSERVADO")</f>
        <v/>
      </c>
    </row>
    <row r="397" ht="15" customHeight="1" s="195">
      <c r="A397" s="334" t="n"/>
      <c r="B397" s="334" t="n"/>
      <c r="C397" s="334" t="n"/>
      <c r="D397" s="334" t="n"/>
      <c r="E397" s="334" t="n"/>
      <c r="F397" s="334" t="n"/>
      <c r="G397" s="334" t="n"/>
      <c r="H397" s="334" t="n"/>
      <c r="I397" s="332">
        <f>IFERROR(VLOOKUP(TEXT(H397,"0"),IPRESS!$A$3:$B$212,2,0),"")</f>
        <v/>
      </c>
      <c r="J397" s="334" t="n"/>
      <c r="K397" s="332">
        <f>IFERROR(VLOOKUP(TEXT(O397,"0"),CONDUCTORES!$A$3:$G$54,7,0),"")</f>
        <v/>
      </c>
      <c r="L397" s="334" t="n"/>
      <c r="M397" s="334" t="n"/>
      <c r="N397" s="333">
        <f>IFERROR(IF(L397*M397=0,"",L397*M397),"")</f>
        <v/>
      </c>
      <c r="O397" s="334" t="n"/>
      <c r="P397" s="332">
        <f>IFERROR(VLOOKUP(TEXT(O397,"0"),CONDUCTORES!$A$3:$G$54,2,0),"")</f>
        <v/>
      </c>
      <c r="Q397" s="332">
        <f>IFERROR(VLOOKUP(TEXT(O397,"0"),CONDUCTORES!$A$3:$H$54,6,0),"")</f>
        <v/>
      </c>
      <c r="R397" s="334" t="n"/>
      <c r="S397" s="334" t="n"/>
      <c r="T397" s="334" t="n"/>
      <c r="U397" s="334" t="n"/>
      <c r="V397" s="334" t="n"/>
      <c r="W397" s="334" t="n"/>
      <c r="X397" s="334" t="n"/>
      <c r="Y397" s="334" t="n"/>
      <c r="Z397" s="375">
        <f>IF(AND(G397&lt;&gt;"",R397&lt;&gt;"",V397&lt;&gt;"",W397&lt;&gt;""),"COMPLETADO","OBSERVADO")</f>
        <v/>
      </c>
    </row>
    <row r="398" ht="15" customHeight="1" s="195">
      <c r="A398" s="280" t="n"/>
      <c r="B398" s="280" t="n"/>
      <c r="C398" s="280" t="n"/>
      <c r="D398" s="280" t="n"/>
      <c r="E398" s="280" t="n"/>
      <c r="F398" s="280" t="n"/>
      <c r="G398" s="280" t="n"/>
      <c r="H398" s="280" t="n"/>
      <c r="I398" s="332">
        <f>IFERROR(VLOOKUP(TEXT(H398,"0"),IPRESS!$A$3:$B$212,2,0),"")</f>
        <v/>
      </c>
      <c r="J398" s="280" t="n"/>
      <c r="K398" s="332">
        <f>IFERROR(VLOOKUP(TEXT(O398,"0"),CONDUCTORES!$A$3:$G$54,7,0),"")</f>
        <v/>
      </c>
      <c r="L398" s="280" t="n"/>
      <c r="M398" s="280" t="n"/>
      <c r="N398" s="333">
        <f>IFERROR(IF(L398*M398=0,"",L398*M398),"")</f>
        <v/>
      </c>
      <c r="O398" s="280" t="n"/>
      <c r="P398" s="332">
        <f>IFERROR(VLOOKUP(TEXT(O398,"0"),CONDUCTORES!$A$3:$G$54,2,0),"")</f>
        <v/>
      </c>
      <c r="Q398" s="332">
        <f>IFERROR(VLOOKUP(TEXT(O398,"0"),CONDUCTORES!$A$3:$H$54,6,0),"")</f>
        <v/>
      </c>
      <c r="R398" s="280" t="n"/>
      <c r="S398" s="280" t="n"/>
      <c r="T398" s="280" t="n"/>
      <c r="U398" s="280" t="n"/>
      <c r="V398" s="280" t="n"/>
      <c r="W398" s="280" t="n"/>
      <c r="X398" s="280" t="n"/>
      <c r="Y398" s="280" t="n"/>
      <c r="Z398" s="375">
        <f>IF(AND(G398&lt;&gt;"",R398&lt;&gt;"",V398&lt;&gt;"",W398&lt;&gt;""),"COMPLETADO","OBSERVADO")</f>
        <v/>
      </c>
    </row>
    <row r="399" ht="15" customHeight="1" s="195">
      <c r="A399" s="334" t="n"/>
      <c r="B399" s="334" t="n"/>
      <c r="C399" s="334" t="n"/>
      <c r="D399" s="334" t="n"/>
      <c r="E399" s="334" t="n"/>
      <c r="F399" s="334" t="n"/>
      <c r="G399" s="334" t="n"/>
      <c r="H399" s="334" t="n"/>
      <c r="I399" s="332">
        <f>IFERROR(VLOOKUP(TEXT(H399,"0"),IPRESS!$A$3:$B$212,2,0),"")</f>
        <v/>
      </c>
      <c r="J399" s="334" t="n"/>
      <c r="K399" s="332">
        <f>IFERROR(VLOOKUP(TEXT(O399,"0"),CONDUCTORES!$A$3:$G$54,7,0),"")</f>
        <v/>
      </c>
      <c r="L399" s="334" t="n"/>
      <c r="M399" s="334" t="n"/>
      <c r="N399" s="333">
        <f>IFERROR(IF(L399*M399=0,"",L399*M399),"")</f>
        <v/>
      </c>
      <c r="O399" s="334" t="n"/>
      <c r="P399" s="332">
        <f>IFERROR(VLOOKUP(TEXT(O399,"0"),CONDUCTORES!$A$3:$G$54,2,0),"")</f>
        <v/>
      </c>
      <c r="Q399" s="332">
        <f>IFERROR(VLOOKUP(TEXT(O399,"0"),CONDUCTORES!$A$3:$H$54,6,0),"")</f>
        <v/>
      </c>
      <c r="R399" s="334" t="n"/>
      <c r="S399" s="334" t="n"/>
      <c r="T399" s="334" t="n"/>
      <c r="U399" s="334" t="n"/>
      <c r="V399" s="334" t="n"/>
      <c r="W399" s="334" t="n"/>
      <c r="X399" s="334" t="n"/>
      <c r="Y399" s="334" t="n"/>
      <c r="Z399" s="375">
        <f>IF(AND(G399&lt;&gt;"",R399&lt;&gt;"",V399&lt;&gt;"",W399&lt;&gt;""),"COMPLETADO","OBSERVADO")</f>
        <v/>
      </c>
    </row>
    <row r="400" ht="15" customHeight="1" s="195">
      <c r="A400" s="280" t="n"/>
      <c r="B400" s="280" t="n"/>
      <c r="C400" s="280" t="n"/>
      <c r="D400" s="280" t="n"/>
      <c r="E400" s="280" t="n"/>
      <c r="F400" s="280" t="n"/>
      <c r="G400" s="280" t="n"/>
      <c r="H400" s="280" t="n"/>
      <c r="I400" s="332">
        <f>IFERROR(VLOOKUP(TEXT(H400,"0"),IPRESS!$A$3:$B$212,2,0),"")</f>
        <v/>
      </c>
      <c r="J400" s="280" t="n"/>
      <c r="K400" s="332">
        <f>IFERROR(VLOOKUP(TEXT(O400,"0"),CONDUCTORES!$A$3:$G$54,7,0),"")</f>
        <v/>
      </c>
      <c r="L400" s="280" t="n"/>
      <c r="M400" s="280" t="n"/>
      <c r="N400" s="333">
        <f>IFERROR(IF(L400*M400=0,"",L400*M400),"")</f>
        <v/>
      </c>
      <c r="O400" s="280" t="n"/>
      <c r="P400" s="332">
        <f>IFERROR(VLOOKUP(TEXT(O400,"0"),CONDUCTORES!$A$3:$G$54,2,0),"")</f>
        <v/>
      </c>
      <c r="Q400" s="332">
        <f>IFERROR(VLOOKUP(TEXT(O400,"0"),CONDUCTORES!$A$3:$H$54,6,0),"")</f>
        <v/>
      </c>
      <c r="R400" s="280" t="n"/>
      <c r="S400" s="280" t="n"/>
      <c r="T400" s="280" t="n"/>
      <c r="U400" s="280" t="n"/>
      <c r="V400" s="280" t="n"/>
      <c r="W400" s="280" t="n"/>
      <c r="X400" s="280" t="n"/>
      <c r="Y400" s="280" t="n"/>
      <c r="Z400" s="375">
        <f>IF(AND(G400&lt;&gt;"",R400&lt;&gt;"",V400&lt;&gt;"",W400&lt;&gt;""),"COMPLETADO","OBSERVADO")</f>
        <v/>
      </c>
    </row>
    <row r="401" ht="15" customHeight="1" s="195">
      <c r="A401" s="334" t="n"/>
      <c r="B401" s="334" t="n"/>
      <c r="C401" s="334" t="n"/>
      <c r="D401" s="334" t="n"/>
      <c r="E401" s="334" t="n"/>
      <c r="F401" s="334" t="n"/>
      <c r="G401" s="334" t="n"/>
      <c r="H401" s="334" t="n"/>
      <c r="I401" s="332">
        <f>IFERROR(VLOOKUP(TEXT(H401,"0"),IPRESS!$A$3:$B$212,2,0),"")</f>
        <v/>
      </c>
      <c r="J401" s="334" t="n"/>
      <c r="K401" s="332">
        <f>IFERROR(VLOOKUP(TEXT(O401,"0"),CONDUCTORES!$A$3:$G$54,7,0),"")</f>
        <v/>
      </c>
      <c r="L401" s="334" t="n"/>
      <c r="M401" s="334" t="n"/>
      <c r="N401" s="333">
        <f>IFERROR(IF(L401*M401=0,"",L401*M401),"")</f>
        <v/>
      </c>
      <c r="O401" s="334" t="n"/>
      <c r="P401" s="332">
        <f>IFERROR(VLOOKUP(TEXT(O401,"0"),CONDUCTORES!$A$3:$G$54,2,0),"")</f>
        <v/>
      </c>
      <c r="Q401" s="332">
        <f>IFERROR(VLOOKUP(TEXT(O401,"0"),CONDUCTORES!$A$3:$H$54,6,0),"")</f>
        <v/>
      </c>
      <c r="R401" s="334" t="n"/>
      <c r="S401" s="334" t="n"/>
      <c r="T401" s="334" t="n"/>
      <c r="U401" s="334" t="n"/>
      <c r="V401" s="334" t="n"/>
      <c r="W401" s="334" t="n"/>
      <c r="X401" s="334" t="n"/>
      <c r="Y401" s="334" t="n"/>
      <c r="Z401" s="375">
        <f>IF(AND(G401&lt;&gt;"",R401&lt;&gt;"",V401&lt;&gt;"",W401&lt;&gt;""),"COMPLETADO","OBSERVADO")</f>
        <v/>
      </c>
    </row>
    <row r="402" ht="15" customHeight="1" s="195">
      <c r="A402" s="280" t="n"/>
      <c r="B402" s="280" t="n"/>
      <c r="C402" s="280" t="n"/>
      <c r="D402" s="280" t="n"/>
      <c r="E402" s="280" t="n"/>
      <c r="F402" s="280" t="n"/>
      <c r="G402" s="280" t="n"/>
      <c r="H402" s="280" t="n"/>
      <c r="I402" s="332">
        <f>IFERROR(VLOOKUP(TEXT(H402,"0"),IPRESS!$A$3:$B$212,2,0),"")</f>
        <v/>
      </c>
      <c r="J402" s="280" t="n"/>
      <c r="K402" s="332">
        <f>IFERROR(VLOOKUP(TEXT(O402,"0"),CONDUCTORES!$A$3:$G$54,7,0),"")</f>
        <v/>
      </c>
      <c r="L402" s="280" t="n"/>
      <c r="M402" s="280" t="n"/>
      <c r="N402" s="333">
        <f>IFERROR(IF(L402*M402=0,"",L402*M402),"")</f>
        <v/>
      </c>
      <c r="O402" s="280" t="n"/>
      <c r="P402" s="332">
        <f>IFERROR(VLOOKUP(TEXT(O402,"0"),CONDUCTORES!$A$3:$G$54,2,0),"")</f>
        <v/>
      </c>
      <c r="Q402" s="332">
        <f>IFERROR(VLOOKUP(TEXT(O402,"0"),CONDUCTORES!$A$3:$H$54,6,0),"")</f>
        <v/>
      </c>
      <c r="R402" s="280" t="n"/>
      <c r="S402" s="280" t="n"/>
      <c r="T402" s="280" t="n"/>
      <c r="U402" s="280" t="n"/>
      <c r="V402" s="280" t="n"/>
      <c r="W402" s="280" t="n"/>
      <c r="X402" s="280" t="n"/>
      <c r="Y402" s="280" t="n"/>
      <c r="Z402" s="375">
        <f>IF(AND(G402&lt;&gt;"",R402&lt;&gt;"",V402&lt;&gt;"",W402&lt;&gt;""),"COMPLETADO","OBSERVADO")</f>
        <v/>
      </c>
    </row>
    <row r="403" ht="15" customHeight="1" s="195">
      <c r="A403" s="334" t="n"/>
      <c r="B403" s="334" t="n"/>
      <c r="C403" s="334" t="n"/>
      <c r="D403" s="334" t="n"/>
      <c r="E403" s="334" t="n"/>
      <c r="F403" s="334" t="n"/>
      <c r="G403" s="334" t="n"/>
      <c r="H403" s="334" t="n"/>
      <c r="I403" s="332">
        <f>IFERROR(VLOOKUP(TEXT(H403,"0"),IPRESS!$A$3:$B$212,2,0),"")</f>
        <v/>
      </c>
      <c r="J403" s="334" t="n"/>
      <c r="K403" s="332">
        <f>IFERROR(VLOOKUP(TEXT(O403,"0"),CONDUCTORES!$A$3:$G$54,7,0),"")</f>
        <v/>
      </c>
      <c r="L403" s="334" t="n"/>
      <c r="M403" s="334" t="n"/>
      <c r="N403" s="333">
        <f>IFERROR(IF(L403*M403=0,"",L403*M403),"")</f>
        <v/>
      </c>
      <c r="O403" s="334" t="n"/>
      <c r="P403" s="332">
        <f>IFERROR(VLOOKUP(TEXT(O403,"0"),CONDUCTORES!$A$3:$G$54,2,0),"")</f>
        <v/>
      </c>
      <c r="Q403" s="332">
        <f>IFERROR(VLOOKUP(TEXT(O403,"0"),CONDUCTORES!$A$3:$H$54,6,0),"")</f>
        <v/>
      </c>
      <c r="R403" s="334" t="n"/>
      <c r="S403" s="334" t="n"/>
      <c r="T403" s="334" t="n"/>
      <c r="U403" s="334" t="n"/>
      <c r="V403" s="334" t="n"/>
      <c r="W403" s="334" t="n"/>
      <c r="X403" s="334" t="n"/>
      <c r="Y403" s="334" t="n"/>
      <c r="Z403" s="375">
        <f>IF(AND(G403&lt;&gt;"",R403&lt;&gt;"",V403&lt;&gt;"",W403&lt;&gt;""),"COMPLETADO","OBSERVADO")</f>
        <v/>
      </c>
    </row>
    <row r="404" ht="15" customHeight="1" s="195">
      <c r="A404" s="280" t="n"/>
      <c r="B404" s="280" t="n"/>
      <c r="C404" s="280" t="n"/>
      <c r="D404" s="280" t="n"/>
      <c r="E404" s="280" t="n"/>
      <c r="F404" s="280" t="n"/>
      <c r="G404" s="280" t="n"/>
      <c r="H404" s="280" t="n"/>
      <c r="I404" s="332">
        <f>IFERROR(VLOOKUP(TEXT(H404,"0"),IPRESS!$A$3:$B$212,2,0),"")</f>
        <v/>
      </c>
      <c r="J404" s="280" t="n"/>
      <c r="K404" s="332">
        <f>IFERROR(VLOOKUP(TEXT(O404,"0"),CONDUCTORES!$A$3:$G$54,7,0),"")</f>
        <v/>
      </c>
      <c r="L404" s="280" t="n"/>
      <c r="M404" s="280" t="n"/>
      <c r="N404" s="333">
        <f>IFERROR(IF(L404*M404=0,"",L404*M404),"")</f>
        <v/>
      </c>
      <c r="O404" s="280" t="n"/>
      <c r="P404" s="332">
        <f>IFERROR(VLOOKUP(TEXT(O404,"0"),CONDUCTORES!$A$3:$G$54,2,0),"")</f>
        <v/>
      </c>
      <c r="Q404" s="332">
        <f>IFERROR(VLOOKUP(TEXT(O404,"0"),CONDUCTORES!$A$3:$H$54,6,0),"")</f>
        <v/>
      </c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375">
        <f>IF(AND(G404&lt;&gt;"",R404&lt;&gt;"",V404&lt;&gt;"",W404&lt;&gt;""),"COMPLETADO","OBSERVADO")</f>
        <v/>
      </c>
    </row>
    <row r="405" ht="15" customHeight="1" s="195">
      <c r="A405" s="334" t="n"/>
      <c r="B405" s="334" t="n"/>
      <c r="C405" s="334" t="n"/>
      <c r="D405" s="334" t="n"/>
      <c r="E405" s="334" t="n"/>
      <c r="F405" s="334" t="n"/>
      <c r="G405" s="334" t="n"/>
      <c r="H405" s="334" t="n"/>
      <c r="I405" s="332">
        <f>IFERROR(VLOOKUP(TEXT(H405,"0"),IPRESS!$A$3:$B$212,2,0),"")</f>
        <v/>
      </c>
      <c r="J405" s="334" t="n"/>
      <c r="K405" s="332">
        <f>IFERROR(VLOOKUP(TEXT(O405,"0"),CONDUCTORES!$A$3:$G$54,7,0),"")</f>
        <v/>
      </c>
      <c r="L405" s="334" t="n"/>
      <c r="M405" s="334" t="n"/>
      <c r="N405" s="333">
        <f>IFERROR(IF(L405*M405=0,"",L405*M405),"")</f>
        <v/>
      </c>
      <c r="O405" s="334" t="n"/>
      <c r="P405" s="332">
        <f>IFERROR(VLOOKUP(TEXT(O405,"0"),CONDUCTORES!$A$3:$G$54,2,0),"")</f>
        <v/>
      </c>
      <c r="Q405" s="332">
        <f>IFERROR(VLOOKUP(TEXT(O405,"0"),CONDUCTORES!$A$3:$H$54,6,0),"")</f>
        <v/>
      </c>
      <c r="R405" s="334" t="n"/>
      <c r="S405" s="334" t="n"/>
      <c r="T405" s="334" t="n"/>
      <c r="U405" s="334" t="n"/>
      <c r="V405" s="334" t="n"/>
      <c r="W405" s="334" t="n"/>
      <c r="X405" s="334" t="n"/>
      <c r="Y405" s="334" t="n"/>
      <c r="Z405" s="375">
        <f>IF(AND(G405&lt;&gt;"",R405&lt;&gt;"",V405&lt;&gt;"",W405&lt;&gt;""),"COMPLETADO","OBSERVADO")</f>
        <v/>
      </c>
    </row>
    <row r="406" ht="15" customHeight="1" s="195">
      <c r="A406" s="280" t="n"/>
      <c r="B406" s="280" t="n"/>
      <c r="C406" s="280" t="n"/>
      <c r="D406" s="280" t="n"/>
      <c r="E406" s="280" t="n"/>
      <c r="F406" s="280" t="n"/>
      <c r="G406" s="280" t="n"/>
      <c r="H406" s="280" t="n"/>
      <c r="I406" s="332">
        <f>IFERROR(VLOOKUP(TEXT(H406,"0"),IPRESS!$A$3:$B$212,2,0),"")</f>
        <v/>
      </c>
      <c r="J406" s="280" t="n"/>
      <c r="K406" s="332">
        <f>IFERROR(VLOOKUP(TEXT(O406,"0"),CONDUCTORES!$A$3:$G$54,7,0),"")</f>
        <v/>
      </c>
      <c r="L406" s="280" t="n"/>
      <c r="M406" s="280" t="n"/>
      <c r="N406" s="333">
        <f>IFERROR(IF(L406*M406=0,"",L406*M406),"")</f>
        <v/>
      </c>
      <c r="O406" s="280" t="n"/>
      <c r="P406" s="332">
        <f>IFERROR(VLOOKUP(TEXT(O406,"0"),CONDUCTORES!$A$3:$G$54,2,0),"")</f>
        <v/>
      </c>
      <c r="Q406" s="332">
        <f>IFERROR(VLOOKUP(TEXT(O406,"0"),CONDUCTORES!$A$3:$H$54,6,0),"")</f>
        <v/>
      </c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375">
        <f>IF(AND(G406&lt;&gt;"",R406&lt;&gt;"",V406&lt;&gt;"",W406&lt;&gt;""),"COMPLETADO","OBSERVADO")</f>
        <v/>
      </c>
    </row>
    <row r="407" ht="15" customHeight="1" s="195">
      <c r="A407" s="334" t="n"/>
      <c r="B407" s="334" t="n"/>
      <c r="C407" s="334" t="n"/>
      <c r="D407" s="334" t="n"/>
      <c r="E407" s="334" t="n"/>
      <c r="F407" s="334" t="n"/>
      <c r="G407" s="334" t="n"/>
      <c r="H407" s="334" t="n"/>
      <c r="I407" s="332">
        <f>IFERROR(VLOOKUP(TEXT(H407,"0"),IPRESS!$A$3:$B$212,2,0),"")</f>
        <v/>
      </c>
      <c r="J407" s="334" t="n"/>
      <c r="K407" s="332">
        <f>IFERROR(VLOOKUP(TEXT(O407,"0"),CONDUCTORES!$A$3:$G$54,7,0),"")</f>
        <v/>
      </c>
      <c r="L407" s="334" t="n"/>
      <c r="M407" s="334" t="n"/>
      <c r="N407" s="333">
        <f>IFERROR(IF(L407*M407=0,"",L407*M407),"")</f>
        <v/>
      </c>
      <c r="O407" s="334" t="n"/>
      <c r="P407" s="332">
        <f>IFERROR(VLOOKUP(TEXT(O407,"0"),CONDUCTORES!$A$3:$G$54,2,0),"")</f>
        <v/>
      </c>
      <c r="Q407" s="332">
        <f>IFERROR(VLOOKUP(TEXT(O407,"0"),CONDUCTORES!$A$3:$H$54,6,0),"")</f>
        <v/>
      </c>
      <c r="R407" s="334" t="n"/>
      <c r="S407" s="334" t="n"/>
      <c r="T407" s="334" t="n"/>
      <c r="U407" s="334" t="n"/>
      <c r="V407" s="334" t="n"/>
      <c r="W407" s="334" t="n"/>
      <c r="X407" s="334" t="n"/>
      <c r="Y407" s="334" t="n"/>
      <c r="Z407" s="375">
        <f>IF(AND(G407&lt;&gt;"",R407&lt;&gt;"",V407&lt;&gt;"",W407&lt;&gt;""),"COMPLETADO","OBSERVADO")</f>
        <v/>
      </c>
    </row>
    <row r="408" ht="15" customHeight="1" s="195">
      <c r="A408" s="280" t="n"/>
      <c r="B408" s="280" t="n"/>
      <c r="C408" s="280" t="n"/>
      <c r="D408" s="280" t="n"/>
      <c r="E408" s="280" t="n"/>
      <c r="F408" s="280" t="n"/>
      <c r="G408" s="280" t="n"/>
      <c r="H408" s="280" t="n"/>
      <c r="I408" s="332">
        <f>IFERROR(VLOOKUP(TEXT(H408,"0"),IPRESS!$A$3:$B$212,2,0),"")</f>
        <v/>
      </c>
      <c r="J408" s="280" t="n"/>
      <c r="K408" s="332">
        <f>IFERROR(VLOOKUP(TEXT(O408,"0"),CONDUCTORES!$A$3:$G$54,7,0),"")</f>
        <v/>
      </c>
      <c r="L408" s="280" t="n"/>
      <c r="M408" s="280" t="n"/>
      <c r="N408" s="333">
        <f>IFERROR(IF(L408*M408=0,"",L408*M408),"")</f>
        <v/>
      </c>
      <c r="O408" s="280" t="n"/>
      <c r="P408" s="332">
        <f>IFERROR(VLOOKUP(TEXT(O408,"0"),CONDUCTORES!$A$3:$G$54,2,0),"")</f>
        <v/>
      </c>
      <c r="Q408" s="332">
        <f>IFERROR(VLOOKUP(TEXT(O408,"0"),CONDUCTORES!$A$3:$H$54,6,0),"")</f>
        <v/>
      </c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375">
        <f>IF(AND(G408&lt;&gt;"",R408&lt;&gt;"",V408&lt;&gt;"",W408&lt;&gt;""),"COMPLETADO","OBSERVADO")</f>
        <v/>
      </c>
    </row>
    <row r="409" ht="15" customHeight="1" s="195">
      <c r="A409" s="334" t="n"/>
      <c r="B409" s="334" t="n"/>
      <c r="C409" s="334" t="n"/>
      <c r="D409" s="334" t="n"/>
      <c r="E409" s="334" t="n"/>
      <c r="F409" s="334" t="n"/>
      <c r="G409" s="334" t="n"/>
      <c r="H409" s="334" t="n"/>
      <c r="I409" s="332">
        <f>IFERROR(VLOOKUP(TEXT(H409,"0"),IPRESS!$A$3:$B$212,2,0),"")</f>
        <v/>
      </c>
      <c r="J409" s="334" t="n"/>
      <c r="K409" s="332">
        <f>IFERROR(VLOOKUP(TEXT(O409,"0"),CONDUCTORES!$A$3:$G$54,7,0),"")</f>
        <v/>
      </c>
      <c r="L409" s="334" t="n"/>
      <c r="M409" s="334" t="n"/>
      <c r="N409" s="333">
        <f>IFERROR(IF(L409*M409=0,"",L409*M409),"")</f>
        <v/>
      </c>
      <c r="O409" s="334" t="n"/>
      <c r="P409" s="332">
        <f>IFERROR(VLOOKUP(TEXT(O409,"0"),CONDUCTORES!$A$3:$G$54,2,0),"")</f>
        <v/>
      </c>
      <c r="Q409" s="332">
        <f>IFERROR(VLOOKUP(TEXT(O409,"0"),CONDUCTORES!$A$3:$H$54,6,0),"")</f>
        <v/>
      </c>
      <c r="R409" s="334" t="n"/>
      <c r="S409" s="334" t="n"/>
      <c r="T409" s="334" t="n"/>
      <c r="U409" s="334" t="n"/>
      <c r="V409" s="334" t="n"/>
      <c r="W409" s="334" t="n"/>
      <c r="X409" s="334" t="n"/>
      <c r="Y409" s="334" t="n"/>
      <c r="Z409" s="375">
        <f>IF(AND(G409&lt;&gt;"",R409&lt;&gt;"",V409&lt;&gt;"",W409&lt;&gt;""),"COMPLETADO","OBSERVADO")</f>
        <v/>
      </c>
    </row>
    <row r="410" ht="15" customHeight="1" s="195">
      <c r="A410" s="280" t="n"/>
      <c r="B410" s="280" t="n"/>
      <c r="C410" s="280" t="n"/>
      <c r="D410" s="280" t="n"/>
      <c r="E410" s="280" t="n"/>
      <c r="F410" s="280" t="n"/>
      <c r="G410" s="280" t="n"/>
      <c r="H410" s="280" t="n"/>
      <c r="I410" s="332">
        <f>IFERROR(VLOOKUP(TEXT(H410,"0"),IPRESS!$A$3:$B$212,2,0),"")</f>
        <v/>
      </c>
      <c r="J410" s="280" t="n"/>
      <c r="K410" s="332">
        <f>IFERROR(VLOOKUP(TEXT(O410,"0"),CONDUCTORES!$A$3:$G$54,7,0),"")</f>
        <v/>
      </c>
      <c r="L410" s="280" t="n"/>
      <c r="M410" s="280" t="n"/>
      <c r="N410" s="333">
        <f>IFERROR(IF(L410*M410=0,"",L410*M410),"")</f>
        <v/>
      </c>
      <c r="O410" s="280" t="n"/>
      <c r="P410" s="332">
        <f>IFERROR(VLOOKUP(TEXT(O410,"0"),CONDUCTORES!$A$3:$G$54,2,0),"")</f>
        <v/>
      </c>
      <c r="Q410" s="332">
        <f>IFERROR(VLOOKUP(TEXT(O410,"0"),CONDUCTORES!$A$3:$H$54,6,0),"")</f>
        <v/>
      </c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375">
        <f>IF(AND(G410&lt;&gt;"",R410&lt;&gt;"",V410&lt;&gt;"",W410&lt;&gt;""),"COMPLETADO","OBSERVADO")</f>
        <v/>
      </c>
    </row>
    <row r="411" ht="15" customHeight="1" s="195">
      <c r="A411" s="334" t="n"/>
      <c r="B411" s="334" t="n"/>
      <c r="C411" s="334" t="n"/>
      <c r="D411" s="334" t="n"/>
      <c r="E411" s="334" t="n"/>
      <c r="F411" s="334" t="n"/>
      <c r="G411" s="334" t="n"/>
      <c r="H411" s="334" t="n"/>
      <c r="I411" s="332">
        <f>IFERROR(VLOOKUP(TEXT(H411,"0"),IPRESS!$A$3:$B$212,2,0),"")</f>
        <v/>
      </c>
      <c r="J411" s="334" t="n"/>
      <c r="K411" s="332">
        <f>IFERROR(VLOOKUP(TEXT(O411,"0"),CONDUCTORES!$A$3:$G$54,7,0),"")</f>
        <v/>
      </c>
      <c r="L411" s="334" t="n"/>
      <c r="M411" s="334" t="n"/>
      <c r="N411" s="333">
        <f>IFERROR(IF(L411*M411=0,"",L411*M411),"")</f>
        <v/>
      </c>
      <c r="O411" s="334" t="n"/>
      <c r="P411" s="332">
        <f>IFERROR(VLOOKUP(TEXT(O411,"0"),CONDUCTORES!$A$3:$G$54,2,0),"")</f>
        <v/>
      </c>
      <c r="Q411" s="332">
        <f>IFERROR(VLOOKUP(TEXT(O411,"0"),CONDUCTORES!$A$3:$H$54,6,0),"")</f>
        <v/>
      </c>
      <c r="R411" s="334" t="n"/>
      <c r="S411" s="334" t="n"/>
      <c r="T411" s="334" t="n"/>
      <c r="U411" s="334" t="n"/>
      <c r="V411" s="334" t="n"/>
      <c r="W411" s="334" t="n"/>
      <c r="X411" s="334" t="n"/>
      <c r="Y411" s="334" t="n"/>
      <c r="Z411" s="375">
        <f>IF(AND(G411&lt;&gt;"",R411&lt;&gt;"",V411&lt;&gt;"",W411&lt;&gt;""),"COMPLETADO","OBSERVADO")</f>
        <v/>
      </c>
    </row>
    <row r="412" ht="15" customHeight="1" s="195">
      <c r="A412" s="280" t="n"/>
      <c r="B412" s="280" t="n"/>
      <c r="C412" s="280" t="n"/>
      <c r="D412" s="280" t="n"/>
      <c r="E412" s="280" t="n"/>
      <c r="F412" s="280" t="n"/>
      <c r="G412" s="280" t="n"/>
      <c r="H412" s="280" t="n"/>
      <c r="I412" s="332">
        <f>IFERROR(VLOOKUP(TEXT(H412,"0"),IPRESS!$A$3:$B$212,2,0),"")</f>
        <v/>
      </c>
      <c r="J412" s="280" t="n"/>
      <c r="K412" s="332">
        <f>IFERROR(VLOOKUP(TEXT(O412,"0"),CONDUCTORES!$A$3:$G$54,7,0),"")</f>
        <v/>
      </c>
      <c r="L412" s="280" t="n"/>
      <c r="M412" s="280" t="n"/>
      <c r="N412" s="333">
        <f>IFERROR(IF(L412*M412=0,"",L412*M412),"")</f>
        <v/>
      </c>
      <c r="O412" s="280" t="n"/>
      <c r="P412" s="332">
        <f>IFERROR(VLOOKUP(TEXT(O412,"0"),CONDUCTORES!$A$3:$G$54,2,0),"")</f>
        <v/>
      </c>
      <c r="Q412" s="332">
        <f>IFERROR(VLOOKUP(TEXT(O412,"0"),CONDUCTORES!$A$3:$H$54,6,0),"")</f>
        <v/>
      </c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375">
        <f>IF(AND(G412&lt;&gt;"",R412&lt;&gt;"",V412&lt;&gt;"",W412&lt;&gt;""),"COMPLETADO","OBSERVADO")</f>
        <v/>
      </c>
    </row>
    <row r="413" ht="15" customHeight="1" s="195">
      <c r="A413" s="334" t="n"/>
      <c r="B413" s="334" t="n"/>
      <c r="C413" s="334" t="n"/>
      <c r="D413" s="334" t="n"/>
      <c r="E413" s="334" t="n"/>
      <c r="F413" s="334" t="n"/>
      <c r="G413" s="334" t="n"/>
      <c r="H413" s="334" t="n"/>
      <c r="I413" s="332">
        <f>IFERROR(VLOOKUP(TEXT(H413,"0"),IPRESS!$A$3:$B$212,2,0),"")</f>
        <v/>
      </c>
      <c r="J413" s="334" t="n"/>
      <c r="K413" s="332">
        <f>IFERROR(VLOOKUP(TEXT(O413,"0"),CONDUCTORES!$A$3:$G$54,7,0),"")</f>
        <v/>
      </c>
      <c r="L413" s="334" t="n"/>
      <c r="M413" s="334" t="n"/>
      <c r="N413" s="333">
        <f>IFERROR(IF(L413*M413=0,"",L413*M413),"")</f>
        <v/>
      </c>
      <c r="O413" s="334" t="n"/>
      <c r="P413" s="332">
        <f>IFERROR(VLOOKUP(TEXT(O413,"0"),CONDUCTORES!$A$3:$G$54,2,0),"")</f>
        <v/>
      </c>
      <c r="Q413" s="332">
        <f>IFERROR(VLOOKUP(TEXT(O413,"0"),CONDUCTORES!$A$3:$H$54,6,0),"")</f>
        <v/>
      </c>
      <c r="R413" s="334" t="n"/>
      <c r="S413" s="334" t="n"/>
      <c r="T413" s="334" t="n"/>
      <c r="U413" s="334" t="n"/>
      <c r="V413" s="334" t="n"/>
      <c r="W413" s="334" t="n"/>
      <c r="X413" s="334" t="n"/>
      <c r="Y413" s="334" t="n"/>
      <c r="Z413" s="375">
        <f>IF(AND(G413&lt;&gt;"",R413&lt;&gt;"",V413&lt;&gt;"",W413&lt;&gt;""),"COMPLETADO","OBSERVADO")</f>
        <v/>
      </c>
    </row>
    <row r="414" ht="15" customHeight="1" s="195">
      <c r="A414" s="280" t="n"/>
      <c r="B414" s="280" t="n"/>
      <c r="C414" s="280" t="n"/>
      <c r="D414" s="280" t="n"/>
      <c r="E414" s="280" t="n"/>
      <c r="F414" s="280" t="n"/>
      <c r="G414" s="280" t="n"/>
      <c r="H414" s="280" t="n"/>
      <c r="I414" s="332">
        <f>IFERROR(VLOOKUP(TEXT(H414,"0"),IPRESS!$A$3:$B$212,2,0),"")</f>
        <v/>
      </c>
      <c r="J414" s="280" t="n"/>
      <c r="K414" s="332">
        <f>IFERROR(VLOOKUP(TEXT(O414,"0"),CONDUCTORES!$A$3:$G$54,7,0),"")</f>
        <v/>
      </c>
      <c r="L414" s="280" t="n"/>
      <c r="M414" s="280" t="n"/>
      <c r="N414" s="333">
        <f>IFERROR(IF(L414*M414=0,"",L414*M414),"")</f>
        <v/>
      </c>
      <c r="O414" s="280" t="n"/>
      <c r="P414" s="332">
        <f>IFERROR(VLOOKUP(TEXT(O414,"0"),CONDUCTORES!$A$3:$G$54,2,0),"")</f>
        <v/>
      </c>
      <c r="Q414" s="332">
        <f>IFERROR(VLOOKUP(TEXT(O414,"0"),CONDUCTORES!$A$3:$H$54,6,0),"")</f>
        <v/>
      </c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375">
        <f>IF(AND(G414&lt;&gt;"",R414&lt;&gt;"",V414&lt;&gt;"",W414&lt;&gt;""),"COMPLETADO","OBSERVADO")</f>
        <v/>
      </c>
    </row>
    <row r="415" ht="15" customHeight="1" s="195">
      <c r="A415" s="334" t="n"/>
      <c r="B415" s="334" t="n"/>
      <c r="C415" s="334" t="n"/>
      <c r="D415" s="334" t="n"/>
      <c r="E415" s="334" t="n"/>
      <c r="F415" s="334" t="n"/>
      <c r="G415" s="334" t="n"/>
      <c r="H415" s="334" t="n"/>
      <c r="I415" s="332">
        <f>IFERROR(VLOOKUP(TEXT(H415,"0"),IPRESS!$A$3:$B$212,2,0),"")</f>
        <v/>
      </c>
      <c r="J415" s="334" t="n"/>
      <c r="K415" s="332">
        <f>IFERROR(VLOOKUP(TEXT(O415,"0"),CONDUCTORES!$A$3:$G$54,7,0),"")</f>
        <v/>
      </c>
      <c r="L415" s="334" t="n"/>
      <c r="M415" s="334" t="n"/>
      <c r="N415" s="333">
        <f>IFERROR(IF(L415*M415=0,"",L415*M415),"")</f>
        <v/>
      </c>
      <c r="O415" s="334" t="n"/>
      <c r="P415" s="332">
        <f>IFERROR(VLOOKUP(TEXT(O415,"0"),CONDUCTORES!$A$3:$G$54,2,0),"")</f>
        <v/>
      </c>
      <c r="Q415" s="332">
        <f>IFERROR(VLOOKUP(TEXT(O415,"0"),CONDUCTORES!$A$3:$H$54,6,0),"")</f>
        <v/>
      </c>
      <c r="R415" s="334" t="n"/>
      <c r="S415" s="334" t="n"/>
      <c r="T415" s="334" t="n"/>
      <c r="U415" s="334" t="n"/>
      <c r="V415" s="334" t="n"/>
      <c r="W415" s="334" t="n"/>
      <c r="X415" s="334" t="n"/>
      <c r="Y415" s="334" t="n"/>
      <c r="Z415" s="375">
        <f>IF(AND(G415&lt;&gt;"",R415&lt;&gt;"",V415&lt;&gt;"",W415&lt;&gt;""),"COMPLETADO","OBSERVADO")</f>
        <v/>
      </c>
    </row>
    <row r="416" ht="15" customHeight="1" s="195">
      <c r="A416" s="280" t="n"/>
      <c r="B416" s="280" t="n"/>
      <c r="C416" s="280" t="n"/>
      <c r="D416" s="280" t="n"/>
      <c r="E416" s="280" t="n"/>
      <c r="F416" s="280" t="n"/>
      <c r="G416" s="280" t="n"/>
      <c r="H416" s="280" t="n"/>
      <c r="I416" s="332">
        <f>IFERROR(VLOOKUP(TEXT(H416,"0"),IPRESS!$A$3:$B$212,2,0),"")</f>
        <v/>
      </c>
      <c r="J416" s="280" t="n"/>
      <c r="K416" s="332">
        <f>IFERROR(VLOOKUP(TEXT(O416,"0"),CONDUCTORES!$A$3:$G$54,7,0),"")</f>
        <v/>
      </c>
      <c r="L416" s="280" t="n"/>
      <c r="M416" s="280" t="n"/>
      <c r="N416" s="333">
        <f>IFERROR(IF(L416*M416=0,"",L416*M416),"")</f>
        <v/>
      </c>
      <c r="O416" s="280" t="n"/>
      <c r="P416" s="332">
        <f>IFERROR(VLOOKUP(TEXT(O416,"0"),CONDUCTORES!$A$3:$G$54,2,0),"")</f>
        <v/>
      </c>
      <c r="Q416" s="332">
        <f>IFERROR(VLOOKUP(TEXT(O416,"0"),CONDUCTORES!$A$3:$H$54,6,0),"")</f>
        <v/>
      </c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375">
        <f>IF(AND(G416&lt;&gt;"",R416&lt;&gt;"",V416&lt;&gt;"",W416&lt;&gt;""),"COMPLETADO","OBSERVADO")</f>
        <v/>
      </c>
    </row>
    <row r="417" ht="15" customHeight="1" s="195">
      <c r="A417" s="334" t="n"/>
      <c r="B417" s="334" t="n"/>
      <c r="C417" s="334" t="n"/>
      <c r="D417" s="334" t="n"/>
      <c r="E417" s="334" t="n"/>
      <c r="F417" s="334" t="n"/>
      <c r="G417" s="334" t="n"/>
      <c r="H417" s="334" t="n"/>
      <c r="I417" s="332">
        <f>IFERROR(VLOOKUP(TEXT(H417,"0"),IPRESS!$A$3:$B$212,2,0),"")</f>
        <v/>
      </c>
      <c r="J417" s="334" t="n"/>
      <c r="K417" s="332">
        <f>IFERROR(VLOOKUP(TEXT(O417,"0"),CONDUCTORES!$A$3:$G$54,7,0),"")</f>
        <v/>
      </c>
      <c r="L417" s="334" t="n"/>
      <c r="M417" s="334" t="n"/>
      <c r="N417" s="333">
        <f>IFERROR(IF(L417*M417=0,"",L417*M417),"")</f>
        <v/>
      </c>
      <c r="O417" s="334" t="n"/>
      <c r="P417" s="332">
        <f>IFERROR(VLOOKUP(TEXT(O417,"0"),CONDUCTORES!$A$3:$G$54,2,0),"")</f>
        <v/>
      </c>
      <c r="Q417" s="332">
        <f>IFERROR(VLOOKUP(TEXT(O417,"0"),CONDUCTORES!$A$3:$H$54,6,0),"")</f>
        <v/>
      </c>
      <c r="R417" s="334" t="n"/>
      <c r="S417" s="334" t="n"/>
      <c r="T417" s="334" t="n"/>
      <c r="U417" s="334" t="n"/>
      <c r="V417" s="334" t="n"/>
      <c r="W417" s="334" t="n"/>
      <c r="X417" s="334" t="n"/>
      <c r="Y417" s="334" t="n"/>
      <c r="Z417" s="375">
        <f>IF(AND(G417&lt;&gt;"",R417&lt;&gt;"",V417&lt;&gt;"",W417&lt;&gt;""),"COMPLETADO","OBSERVADO")</f>
        <v/>
      </c>
    </row>
    <row r="418" ht="15" customHeight="1" s="195">
      <c r="A418" s="280" t="n"/>
      <c r="B418" s="280" t="n"/>
      <c r="C418" s="280" t="n"/>
      <c r="D418" s="280" t="n"/>
      <c r="E418" s="280" t="n"/>
      <c r="F418" s="280" t="n"/>
      <c r="G418" s="280" t="n"/>
      <c r="H418" s="280" t="n"/>
      <c r="I418" s="332">
        <f>IFERROR(VLOOKUP(TEXT(H418,"0"),IPRESS!$A$3:$B$212,2,0),"")</f>
        <v/>
      </c>
      <c r="J418" s="280" t="n"/>
      <c r="K418" s="332">
        <f>IFERROR(VLOOKUP(TEXT(O418,"0"),CONDUCTORES!$A$3:$G$54,7,0),"")</f>
        <v/>
      </c>
      <c r="L418" s="280" t="n"/>
      <c r="M418" s="280" t="n"/>
      <c r="N418" s="333">
        <f>IFERROR(IF(L418*M418=0,"",L418*M418),"")</f>
        <v/>
      </c>
      <c r="O418" s="280" t="n"/>
      <c r="P418" s="332">
        <f>IFERROR(VLOOKUP(TEXT(O418,"0"),CONDUCTORES!$A$3:$G$54,2,0),"")</f>
        <v/>
      </c>
      <c r="Q418" s="332">
        <f>IFERROR(VLOOKUP(TEXT(O418,"0"),CONDUCTORES!$A$3:$H$54,6,0),"")</f>
        <v/>
      </c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375">
        <f>IF(AND(G418&lt;&gt;"",R418&lt;&gt;"",V418&lt;&gt;"",W418&lt;&gt;""),"COMPLETADO","OBSERVADO")</f>
        <v/>
      </c>
    </row>
    <row r="419" ht="15" customHeight="1" s="195">
      <c r="A419" s="334" t="n"/>
      <c r="B419" s="334" t="n"/>
      <c r="C419" s="334" t="n"/>
      <c r="D419" s="334" t="n"/>
      <c r="E419" s="334" t="n"/>
      <c r="F419" s="334" t="n"/>
      <c r="G419" s="334" t="n"/>
      <c r="H419" s="334" t="n"/>
      <c r="I419" s="332">
        <f>IFERROR(VLOOKUP(TEXT(H419,"0"),IPRESS!$A$3:$B$212,2,0),"")</f>
        <v/>
      </c>
      <c r="J419" s="334" t="n"/>
      <c r="K419" s="332">
        <f>IFERROR(VLOOKUP(TEXT(O419,"0"),CONDUCTORES!$A$3:$G$54,7,0),"")</f>
        <v/>
      </c>
      <c r="L419" s="334" t="n"/>
      <c r="M419" s="334" t="n"/>
      <c r="N419" s="333">
        <f>IFERROR(IF(L419*M419=0,"",L419*M419),"")</f>
        <v/>
      </c>
      <c r="O419" s="334" t="n"/>
      <c r="P419" s="332">
        <f>IFERROR(VLOOKUP(TEXT(O419,"0"),CONDUCTORES!$A$3:$G$54,2,0),"")</f>
        <v/>
      </c>
      <c r="Q419" s="332">
        <f>IFERROR(VLOOKUP(TEXT(O419,"0"),CONDUCTORES!$A$3:$H$54,6,0),"")</f>
        <v/>
      </c>
      <c r="R419" s="334" t="n"/>
      <c r="S419" s="334" t="n"/>
      <c r="T419" s="334" t="n"/>
      <c r="U419" s="334" t="n"/>
      <c r="V419" s="334" t="n"/>
      <c r="W419" s="334" t="n"/>
      <c r="X419" s="334" t="n"/>
      <c r="Y419" s="334" t="n"/>
      <c r="Z419" s="375">
        <f>IF(AND(G419&lt;&gt;"",R419&lt;&gt;"",V419&lt;&gt;"",W419&lt;&gt;""),"COMPLETADO","OBSERVADO")</f>
        <v/>
      </c>
    </row>
    <row r="420" ht="15" customHeight="1" s="195">
      <c r="A420" s="280" t="n"/>
      <c r="B420" s="280" t="n"/>
      <c r="C420" s="280" t="n"/>
      <c r="D420" s="280" t="n"/>
      <c r="E420" s="280" t="n"/>
      <c r="F420" s="280" t="n"/>
      <c r="G420" s="280" t="n"/>
      <c r="H420" s="280" t="n"/>
      <c r="I420" s="332">
        <f>IFERROR(VLOOKUP(TEXT(H420,"0"),IPRESS!$A$3:$B$212,2,0),"")</f>
        <v/>
      </c>
      <c r="J420" s="280" t="n"/>
      <c r="K420" s="332">
        <f>IFERROR(VLOOKUP(TEXT(O420,"0"),CONDUCTORES!$A$3:$G$54,7,0),"")</f>
        <v/>
      </c>
      <c r="L420" s="280" t="n"/>
      <c r="M420" s="280" t="n"/>
      <c r="N420" s="333">
        <f>IFERROR(IF(L420*M420=0,"",L420*M420),"")</f>
        <v/>
      </c>
      <c r="O420" s="280" t="n"/>
      <c r="P420" s="332">
        <f>IFERROR(VLOOKUP(TEXT(O420,"0"),CONDUCTORES!$A$3:$G$54,2,0),"")</f>
        <v/>
      </c>
      <c r="Q420" s="332">
        <f>IFERROR(VLOOKUP(TEXT(O420,"0"),CONDUCTORES!$A$3:$H$54,6,0),"")</f>
        <v/>
      </c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375">
        <f>IF(AND(G420&lt;&gt;"",R420&lt;&gt;"",V420&lt;&gt;"",W420&lt;&gt;""),"COMPLETADO","OBSERVADO")</f>
        <v/>
      </c>
    </row>
    <row r="421" ht="15" customHeight="1" s="195">
      <c r="A421" s="334" t="n"/>
      <c r="B421" s="334" t="n"/>
      <c r="C421" s="334" t="n"/>
      <c r="D421" s="334" t="n"/>
      <c r="E421" s="334" t="n"/>
      <c r="F421" s="334" t="n"/>
      <c r="G421" s="334" t="n"/>
      <c r="H421" s="334" t="n"/>
      <c r="I421" s="332">
        <f>IFERROR(VLOOKUP(TEXT(H421,"0"),IPRESS!$A$3:$B$212,2,0),"")</f>
        <v/>
      </c>
      <c r="J421" s="334" t="n"/>
      <c r="K421" s="332">
        <f>IFERROR(VLOOKUP(TEXT(O421,"0"),CONDUCTORES!$A$3:$G$54,7,0),"")</f>
        <v/>
      </c>
      <c r="L421" s="334" t="n"/>
      <c r="M421" s="334" t="n"/>
      <c r="N421" s="333">
        <f>IFERROR(IF(L421*M421=0,"",L421*M421),"")</f>
        <v/>
      </c>
      <c r="O421" s="334" t="n"/>
      <c r="P421" s="332">
        <f>IFERROR(VLOOKUP(TEXT(O421,"0"),CONDUCTORES!$A$3:$G$54,2,0),"")</f>
        <v/>
      </c>
      <c r="Q421" s="332">
        <f>IFERROR(VLOOKUP(TEXT(O421,"0"),CONDUCTORES!$A$3:$H$54,6,0),"")</f>
        <v/>
      </c>
      <c r="R421" s="334" t="n"/>
      <c r="S421" s="334" t="n"/>
      <c r="T421" s="334" t="n"/>
      <c r="U421" s="334" t="n"/>
      <c r="V421" s="334" t="n"/>
      <c r="W421" s="334" t="n"/>
      <c r="X421" s="334" t="n"/>
      <c r="Y421" s="334" t="n"/>
      <c r="Z421" s="375">
        <f>IF(AND(G421&lt;&gt;"",R421&lt;&gt;"",V421&lt;&gt;"",W421&lt;&gt;""),"COMPLETADO","OBSERVADO")</f>
        <v/>
      </c>
    </row>
    <row r="422" ht="15" customHeight="1" s="195">
      <c r="A422" s="280" t="n"/>
      <c r="B422" s="280" t="n"/>
      <c r="C422" s="280" t="n"/>
      <c r="D422" s="280" t="n"/>
      <c r="E422" s="280" t="n"/>
      <c r="F422" s="280" t="n"/>
      <c r="G422" s="280" t="n"/>
      <c r="H422" s="280" t="n"/>
      <c r="I422" s="332">
        <f>IFERROR(VLOOKUP(TEXT(H422,"0"),IPRESS!$A$3:$B$212,2,0),"")</f>
        <v/>
      </c>
      <c r="J422" s="280" t="n"/>
      <c r="K422" s="332">
        <f>IFERROR(VLOOKUP(TEXT(O422,"0"),CONDUCTORES!$A$3:$G$54,7,0),"")</f>
        <v/>
      </c>
      <c r="L422" s="280" t="n"/>
      <c r="M422" s="280" t="n"/>
      <c r="N422" s="333">
        <f>IFERROR(IF(L422*M422=0,"",L422*M422),"")</f>
        <v/>
      </c>
      <c r="O422" s="280" t="n"/>
      <c r="P422" s="332">
        <f>IFERROR(VLOOKUP(TEXT(O422,"0"),CONDUCTORES!$A$3:$G$54,2,0),"")</f>
        <v/>
      </c>
      <c r="Q422" s="332">
        <f>IFERROR(VLOOKUP(TEXT(O422,"0"),CONDUCTORES!$A$3:$H$54,6,0),"")</f>
        <v/>
      </c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375">
        <f>IF(AND(G422&lt;&gt;"",R422&lt;&gt;"",V422&lt;&gt;"",W422&lt;&gt;""),"COMPLETADO","OBSERVADO")</f>
        <v/>
      </c>
    </row>
    <row r="423" ht="15" customHeight="1" s="195">
      <c r="A423" s="334" t="n"/>
      <c r="B423" s="334" t="n"/>
      <c r="C423" s="334" t="n"/>
      <c r="D423" s="334" t="n"/>
      <c r="E423" s="334" t="n"/>
      <c r="F423" s="334" t="n"/>
      <c r="G423" s="334" t="n"/>
      <c r="H423" s="334" t="n"/>
      <c r="I423" s="332">
        <f>IFERROR(VLOOKUP(TEXT(H423,"0"),IPRESS!$A$3:$B$212,2,0),"")</f>
        <v/>
      </c>
      <c r="J423" s="334" t="n"/>
      <c r="K423" s="332">
        <f>IFERROR(VLOOKUP(TEXT(O423,"0"),CONDUCTORES!$A$3:$G$54,7,0),"")</f>
        <v/>
      </c>
      <c r="L423" s="334" t="n"/>
      <c r="M423" s="334" t="n"/>
      <c r="N423" s="333">
        <f>IFERROR(IF(L423*M423=0,"",L423*M423),"")</f>
        <v/>
      </c>
      <c r="O423" s="334" t="n"/>
      <c r="P423" s="332">
        <f>IFERROR(VLOOKUP(TEXT(O423,"0"),CONDUCTORES!$A$3:$G$54,2,0),"")</f>
        <v/>
      </c>
      <c r="Q423" s="332">
        <f>IFERROR(VLOOKUP(TEXT(O423,"0"),CONDUCTORES!$A$3:$H$54,6,0),"")</f>
        <v/>
      </c>
      <c r="R423" s="334" t="n"/>
      <c r="S423" s="334" t="n"/>
      <c r="T423" s="334" t="n"/>
      <c r="U423" s="334" t="n"/>
      <c r="V423" s="334" t="n"/>
      <c r="W423" s="334" t="n"/>
      <c r="X423" s="334" t="n"/>
      <c r="Y423" s="334" t="n"/>
      <c r="Z423" s="375">
        <f>IF(AND(G423&lt;&gt;"",R423&lt;&gt;"",V423&lt;&gt;"",W423&lt;&gt;""),"COMPLETADO","OBSERVADO")</f>
        <v/>
      </c>
    </row>
    <row r="424" ht="15" customHeight="1" s="195">
      <c r="A424" s="280" t="n"/>
      <c r="B424" s="280" t="n"/>
      <c r="C424" s="280" t="n"/>
      <c r="D424" s="280" t="n"/>
      <c r="E424" s="280" t="n"/>
      <c r="F424" s="280" t="n"/>
      <c r="G424" s="280" t="n"/>
      <c r="H424" s="280" t="n"/>
      <c r="I424" s="332">
        <f>IFERROR(VLOOKUP(TEXT(H424,"0"),IPRESS!$A$3:$B$212,2,0),"")</f>
        <v/>
      </c>
      <c r="J424" s="280" t="n"/>
      <c r="K424" s="332">
        <f>IFERROR(VLOOKUP(TEXT(O424,"0"),CONDUCTORES!$A$3:$G$54,7,0),"")</f>
        <v/>
      </c>
      <c r="L424" s="280" t="n"/>
      <c r="M424" s="280" t="n"/>
      <c r="N424" s="333">
        <f>IFERROR(IF(L424*M424=0,"",L424*M424),"")</f>
        <v/>
      </c>
      <c r="O424" s="280" t="n"/>
      <c r="P424" s="332">
        <f>IFERROR(VLOOKUP(TEXT(O424,"0"),CONDUCTORES!$A$3:$G$54,2,0),"")</f>
        <v/>
      </c>
      <c r="Q424" s="332">
        <f>IFERROR(VLOOKUP(TEXT(O424,"0"),CONDUCTORES!$A$3:$H$54,6,0),"")</f>
        <v/>
      </c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375">
        <f>IF(AND(G424&lt;&gt;"",R424&lt;&gt;"",V424&lt;&gt;"",W424&lt;&gt;""),"COMPLETADO","OBSERVADO")</f>
        <v/>
      </c>
    </row>
    <row r="425" ht="15" customHeight="1" s="195">
      <c r="A425" s="334" t="n"/>
      <c r="B425" s="334" t="n"/>
      <c r="C425" s="334" t="n"/>
      <c r="D425" s="334" t="n"/>
      <c r="E425" s="334" t="n"/>
      <c r="F425" s="334" t="n"/>
      <c r="G425" s="334" t="n"/>
      <c r="H425" s="334" t="n"/>
      <c r="I425" s="332">
        <f>IFERROR(VLOOKUP(TEXT(H425,"0"),IPRESS!$A$3:$B$212,2,0),"")</f>
        <v/>
      </c>
      <c r="J425" s="334" t="n"/>
      <c r="K425" s="332">
        <f>IFERROR(VLOOKUP(TEXT(O425,"0"),CONDUCTORES!$A$3:$G$54,7,0),"")</f>
        <v/>
      </c>
      <c r="L425" s="334" t="n"/>
      <c r="M425" s="334" t="n"/>
      <c r="N425" s="333">
        <f>IFERROR(IF(L425*M425=0,"",L425*M425),"")</f>
        <v/>
      </c>
      <c r="O425" s="334" t="n"/>
      <c r="P425" s="332">
        <f>IFERROR(VLOOKUP(TEXT(O425,"0"),CONDUCTORES!$A$3:$G$54,2,0),"")</f>
        <v/>
      </c>
      <c r="Q425" s="332">
        <f>IFERROR(VLOOKUP(TEXT(O425,"0"),CONDUCTORES!$A$3:$H$54,6,0),"")</f>
        <v/>
      </c>
      <c r="R425" s="334" t="n"/>
      <c r="S425" s="334" t="n"/>
      <c r="T425" s="334" t="n"/>
      <c r="U425" s="334" t="n"/>
      <c r="V425" s="334" t="n"/>
      <c r="W425" s="334" t="n"/>
      <c r="X425" s="334" t="n"/>
      <c r="Y425" s="334" t="n"/>
      <c r="Z425" s="375">
        <f>IF(AND(G425&lt;&gt;"",R425&lt;&gt;"",V425&lt;&gt;"",W425&lt;&gt;""),"COMPLETADO","OBSERVADO")</f>
        <v/>
      </c>
    </row>
    <row r="426" ht="15" customHeight="1" s="195">
      <c r="A426" s="280" t="n"/>
      <c r="B426" s="280" t="n"/>
      <c r="C426" s="280" t="n"/>
      <c r="D426" s="280" t="n"/>
      <c r="E426" s="280" t="n"/>
      <c r="F426" s="280" t="n"/>
      <c r="G426" s="280" t="n"/>
      <c r="H426" s="280" t="n"/>
      <c r="I426" s="332">
        <f>IFERROR(VLOOKUP(TEXT(H426,"0"),IPRESS!$A$3:$B$212,2,0),"")</f>
        <v/>
      </c>
      <c r="J426" s="280" t="n"/>
      <c r="K426" s="332">
        <f>IFERROR(VLOOKUP(TEXT(O426,"0"),CONDUCTORES!$A$3:$G$54,7,0),"")</f>
        <v/>
      </c>
      <c r="L426" s="280" t="n"/>
      <c r="M426" s="280" t="n"/>
      <c r="N426" s="333">
        <f>IFERROR(IF(L426*M426=0,"",L426*M426),"")</f>
        <v/>
      </c>
      <c r="O426" s="280" t="n"/>
      <c r="P426" s="332">
        <f>IFERROR(VLOOKUP(TEXT(O426,"0"),CONDUCTORES!$A$3:$G$54,2,0),"")</f>
        <v/>
      </c>
      <c r="Q426" s="332">
        <f>IFERROR(VLOOKUP(TEXT(O426,"0"),CONDUCTORES!$A$3:$H$54,6,0),"")</f>
        <v/>
      </c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375">
        <f>IF(AND(G426&lt;&gt;"",R426&lt;&gt;"",V426&lt;&gt;"",W426&lt;&gt;""),"COMPLETADO","OBSERVADO")</f>
        <v/>
      </c>
    </row>
    <row r="427" ht="15" customHeight="1" s="195">
      <c r="A427" s="334" t="n"/>
      <c r="B427" s="334" t="n"/>
      <c r="C427" s="334" t="n"/>
      <c r="D427" s="334" t="n"/>
      <c r="E427" s="334" t="n"/>
      <c r="F427" s="334" t="n"/>
      <c r="G427" s="334" t="n"/>
      <c r="H427" s="334" t="n"/>
      <c r="I427" s="332">
        <f>IFERROR(VLOOKUP(TEXT(H427,"0"),IPRESS!$A$3:$B$212,2,0),"")</f>
        <v/>
      </c>
      <c r="J427" s="334" t="n"/>
      <c r="K427" s="332">
        <f>IFERROR(VLOOKUP(TEXT(O427,"0"),CONDUCTORES!$A$3:$G$54,7,0),"")</f>
        <v/>
      </c>
      <c r="L427" s="334" t="n"/>
      <c r="M427" s="334" t="n"/>
      <c r="N427" s="333">
        <f>IFERROR(IF(L427*M427=0,"",L427*M427),"")</f>
        <v/>
      </c>
      <c r="O427" s="334" t="n"/>
      <c r="P427" s="332">
        <f>IFERROR(VLOOKUP(TEXT(O427,"0"),CONDUCTORES!$A$3:$G$54,2,0),"")</f>
        <v/>
      </c>
      <c r="Q427" s="332">
        <f>IFERROR(VLOOKUP(TEXT(O427,"0"),CONDUCTORES!$A$3:$H$54,6,0),"")</f>
        <v/>
      </c>
      <c r="R427" s="334" t="n"/>
      <c r="S427" s="334" t="n"/>
      <c r="T427" s="334" t="n"/>
      <c r="U427" s="334" t="n"/>
      <c r="V427" s="334" t="n"/>
      <c r="W427" s="334" t="n"/>
      <c r="X427" s="334" t="n"/>
      <c r="Y427" s="334" t="n"/>
      <c r="Z427" s="375">
        <f>IF(AND(G427&lt;&gt;"",R427&lt;&gt;"",V427&lt;&gt;"",W427&lt;&gt;""),"COMPLETADO","OBSERVADO")</f>
        <v/>
      </c>
    </row>
    <row r="428" ht="15" customHeight="1" s="195">
      <c r="A428" s="280" t="n"/>
      <c r="B428" s="280" t="n"/>
      <c r="C428" s="280" t="n"/>
      <c r="D428" s="280" t="n"/>
      <c r="E428" s="280" t="n"/>
      <c r="F428" s="280" t="n"/>
      <c r="G428" s="280" t="n"/>
      <c r="H428" s="280" t="n"/>
      <c r="I428" s="332">
        <f>IFERROR(VLOOKUP(TEXT(H428,"0"),IPRESS!$A$3:$B$212,2,0),"")</f>
        <v/>
      </c>
      <c r="J428" s="280" t="n"/>
      <c r="K428" s="332">
        <f>IFERROR(VLOOKUP(TEXT(O428,"0"),CONDUCTORES!$A$3:$G$54,7,0),"")</f>
        <v/>
      </c>
      <c r="L428" s="280" t="n"/>
      <c r="M428" s="280" t="n"/>
      <c r="N428" s="333">
        <f>IFERROR(IF(L428*M428=0,"",L428*M428),"")</f>
        <v/>
      </c>
      <c r="O428" s="280" t="n"/>
      <c r="P428" s="332">
        <f>IFERROR(VLOOKUP(TEXT(O428,"0"),CONDUCTORES!$A$3:$G$54,2,0),"")</f>
        <v/>
      </c>
      <c r="Q428" s="332">
        <f>IFERROR(VLOOKUP(TEXT(O428,"0"),CONDUCTORES!$A$3:$H$54,6,0),"")</f>
        <v/>
      </c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375">
        <f>IF(AND(G428&lt;&gt;"",R428&lt;&gt;"",V428&lt;&gt;"",W428&lt;&gt;""),"COMPLETADO","OBSERVADO")</f>
        <v/>
      </c>
    </row>
    <row r="429" ht="15" customHeight="1" s="195">
      <c r="A429" s="334" t="n"/>
      <c r="B429" s="334" t="n"/>
      <c r="C429" s="334" t="n"/>
      <c r="D429" s="334" t="n"/>
      <c r="E429" s="334" t="n"/>
      <c r="F429" s="334" t="n"/>
      <c r="G429" s="334" t="n"/>
      <c r="H429" s="334" t="n"/>
      <c r="I429" s="332">
        <f>IFERROR(VLOOKUP(TEXT(H429,"0"),IPRESS!$A$3:$B$212,2,0),"")</f>
        <v/>
      </c>
      <c r="J429" s="334" t="n"/>
      <c r="K429" s="332">
        <f>IFERROR(VLOOKUP(TEXT(O429,"0"),CONDUCTORES!$A$3:$G$54,7,0),"")</f>
        <v/>
      </c>
      <c r="L429" s="334" t="n"/>
      <c r="M429" s="334" t="n"/>
      <c r="N429" s="333">
        <f>IFERROR(IF(L429*M429=0,"",L429*M429),"")</f>
        <v/>
      </c>
      <c r="O429" s="334" t="n"/>
      <c r="P429" s="332">
        <f>IFERROR(VLOOKUP(TEXT(O429,"0"),CONDUCTORES!$A$3:$G$54,2,0),"")</f>
        <v/>
      </c>
      <c r="Q429" s="332">
        <f>IFERROR(VLOOKUP(TEXT(O429,"0"),CONDUCTORES!$A$3:$H$54,6,0),"")</f>
        <v/>
      </c>
      <c r="R429" s="334" t="n"/>
      <c r="S429" s="334" t="n"/>
      <c r="T429" s="334" t="n"/>
      <c r="U429" s="334" t="n"/>
      <c r="V429" s="334" t="n"/>
      <c r="W429" s="334" t="n"/>
      <c r="X429" s="334" t="n"/>
      <c r="Y429" s="334" t="n"/>
      <c r="Z429" s="375">
        <f>IF(AND(G429&lt;&gt;"",R429&lt;&gt;"",V429&lt;&gt;"",W429&lt;&gt;""),"COMPLETADO","OBSERVADO")</f>
        <v/>
      </c>
    </row>
    <row r="430" ht="15" customHeight="1" s="195">
      <c r="A430" s="280" t="n"/>
      <c r="B430" s="280" t="n"/>
      <c r="C430" s="280" t="n"/>
      <c r="D430" s="280" t="n"/>
      <c r="E430" s="280" t="n"/>
      <c r="F430" s="280" t="n"/>
      <c r="G430" s="280" t="n"/>
      <c r="H430" s="280" t="n"/>
      <c r="I430" s="332">
        <f>IFERROR(VLOOKUP(TEXT(H430,"0"),IPRESS!$A$3:$B$212,2,0),"")</f>
        <v/>
      </c>
      <c r="J430" s="280" t="n"/>
      <c r="K430" s="332">
        <f>IFERROR(VLOOKUP(TEXT(O430,"0"),CONDUCTORES!$A$3:$G$54,7,0),"")</f>
        <v/>
      </c>
      <c r="L430" s="280" t="n"/>
      <c r="M430" s="280" t="n"/>
      <c r="N430" s="333">
        <f>IFERROR(IF(L430*M430=0,"",L430*M430),"")</f>
        <v/>
      </c>
      <c r="O430" s="280" t="n"/>
      <c r="P430" s="332">
        <f>IFERROR(VLOOKUP(TEXT(O430,"0"),CONDUCTORES!$A$3:$G$54,2,0),"")</f>
        <v/>
      </c>
      <c r="Q430" s="332">
        <f>IFERROR(VLOOKUP(TEXT(O430,"0"),CONDUCTORES!$A$3:$H$54,6,0),"")</f>
        <v/>
      </c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375">
        <f>IF(AND(G430&lt;&gt;"",R430&lt;&gt;"",V430&lt;&gt;"",W430&lt;&gt;""),"COMPLETADO","OBSERVADO")</f>
        <v/>
      </c>
    </row>
    <row r="431" ht="15" customHeight="1" s="195">
      <c r="A431" s="334" t="n"/>
      <c r="B431" s="334" t="n"/>
      <c r="C431" s="334" t="n"/>
      <c r="D431" s="334" t="n"/>
      <c r="E431" s="334" t="n"/>
      <c r="F431" s="334" t="n"/>
      <c r="G431" s="334" t="n"/>
      <c r="H431" s="334" t="n"/>
      <c r="I431" s="332">
        <f>IFERROR(VLOOKUP(TEXT(H431,"0"),IPRESS!$A$3:$B$212,2,0),"")</f>
        <v/>
      </c>
      <c r="J431" s="334" t="n"/>
      <c r="K431" s="332">
        <f>IFERROR(VLOOKUP(TEXT(O431,"0"),CONDUCTORES!$A$3:$G$54,7,0),"")</f>
        <v/>
      </c>
      <c r="L431" s="334" t="n"/>
      <c r="M431" s="334" t="n"/>
      <c r="N431" s="333">
        <f>IFERROR(IF(L431*M431=0,"",L431*M431),"")</f>
        <v/>
      </c>
      <c r="O431" s="334" t="n"/>
      <c r="P431" s="332">
        <f>IFERROR(VLOOKUP(TEXT(O431,"0"),CONDUCTORES!$A$3:$G$54,2,0),"")</f>
        <v/>
      </c>
      <c r="Q431" s="332">
        <f>IFERROR(VLOOKUP(TEXT(O431,"0"),CONDUCTORES!$A$3:$H$54,6,0),"")</f>
        <v/>
      </c>
      <c r="R431" s="334" t="n"/>
      <c r="S431" s="334" t="n"/>
      <c r="T431" s="334" t="n"/>
      <c r="U431" s="334" t="n"/>
      <c r="V431" s="334" t="n"/>
      <c r="W431" s="334" t="n"/>
      <c r="X431" s="334" t="n"/>
      <c r="Y431" s="334" t="n"/>
      <c r="Z431" s="375">
        <f>IF(AND(G431&lt;&gt;"",R431&lt;&gt;"",V431&lt;&gt;"",W431&lt;&gt;""),"COMPLETADO","OBSERVADO")</f>
        <v/>
      </c>
    </row>
    <row r="432" ht="15" customHeight="1" s="195">
      <c r="A432" s="280" t="n"/>
      <c r="B432" s="280" t="n"/>
      <c r="C432" s="280" t="n"/>
      <c r="D432" s="280" t="n"/>
      <c r="E432" s="280" t="n"/>
      <c r="F432" s="280" t="n"/>
      <c r="G432" s="280" t="n"/>
      <c r="H432" s="280" t="n"/>
      <c r="I432" s="332">
        <f>IFERROR(VLOOKUP(TEXT(H432,"0"),IPRESS!$A$3:$B$212,2,0),"")</f>
        <v/>
      </c>
      <c r="J432" s="280" t="n"/>
      <c r="K432" s="332">
        <f>IFERROR(VLOOKUP(TEXT(O432,"0"),CONDUCTORES!$A$3:$G$54,7,0),"")</f>
        <v/>
      </c>
      <c r="L432" s="280" t="n"/>
      <c r="M432" s="280" t="n"/>
      <c r="N432" s="333">
        <f>IFERROR(IF(L432*M432=0,"",L432*M432),"")</f>
        <v/>
      </c>
      <c r="O432" s="280" t="n"/>
      <c r="P432" s="332">
        <f>IFERROR(VLOOKUP(TEXT(O432,"0"),CONDUCTORES!$A$3:$G$54,2,0),"")</f>
        <v/>
      </c>
      <c r="Q432" s="332">
        <f>IFERROR(VLOOKUP(TEXT(O432,"0"),CONDUCTORES!$A$3:$H$54,6,0),"")</f>
        <v/>
      </c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375">
        <f>IF(AND(G432&lt;&gt;"",R432&lt;&gt;"",V432&lt;&gt;"",W432&lt;&gt;""),"COMPLETADO","OBSERVADO")</f>
        <v/>
      </c>
    </row>
    <row r="433" ht="15" customHeight="1" s="195">
      <c r="A433" s="334" t="n"/>
      <c r="B433" s="334" t="n"/>
      <c r="C433" s="334" t="n"/>
      <c r="D433" s="334" t="n"/>
      <c r="E433" s="334" t="n"/>
      <c r="F433" s="334" t="n"/>
      <c r="G433" s="334" t="n"/>
      <c r="H433" s="334" t="n"/>
      <c r="I433" s="332">
        <f>IFERROR(VLOOKUP(TEXT(H433,"0"),IPRESS!$A$3:$B$212,2,0),"")</f>
        <v/>
      </c>
      <c r="J433" s="334" t="n"/>
      <c r="K433" s="332">
        <f>IFERROR(VLOOKUP(TEXT(O433,"0"),CONDUCTORES!$A$3:$G$54,7,0),"")</f>
        <v/>
      </c>
      <c r="L433" s="334" t="n"/>
      <c r="M433" s="334" t="n"/>
      <c r="N433" s="333">
        <f>IFERROR(IF(L433*M433=0,"",L433*M433),"")</f>
        <v/>
      </c>
      <c r="O433" s="334" t="n"/>
      <c r="P433" s="332">
        <f>IFERROR(VLOOKUP(TEXT(O433,"0"),CONDUCTORES!$A$3:$G$54,2,0),"")</f>
        <v/>
      </c>
      <c r="Q433" s="332">
        <f>IFERROR(VLOOKUP(TEXT(O433,"0"),CONDUCTORES!$A$3:$H$54,6,0),"")</f>
        <v/>
      </c>
      <c r="R433" s="334" t="n"/>
      <c r="S433" s="334" t="n"/>
      <c r="T433" s="334" t="n"/>
      <c r="U433" s="334" t="n"/>
      <c r="V433" s="334" t="n"/>
      <c r="W433" s="334" t="n"/>
      <c r="X433" s="334" t="n"/>
      <c r="Y433" s="334" t="n"/>
      <c r="Z433" s="375">
        <f>IF(AND(G433&lt;&gt;"",R433&lt;&gt;"",V433&lt;&gt;"",W433&lt;&gt;""),"COMPLETADO","OBSERVADO")</f>
        <v/>
      </c>
    </row>
    <row r="434" ht="15" customHeight="1" s="195">
      <c r="A434" s="280" t="n"/>
      <c r="B434" s="280" t="n"/>
      <c r="C434" s="280" t="n"/>
      <c r="D434" s="280" t="n"/>
      <c r="E434" s="280" t="n"/>
      <c r="F434" s="280" t="n"/>
      <c r="G434" s="280" t="n"/>
      <c r="H434" s="280" t="n"/>
      <c r="I434" s="332">
        <f>IFERROR(VLOOKUP(TEXT(H434,"0"),IPRESS!$A$3:$B$212,2,0),"")</f>
        <v/>
      </c>
      <c r="J434" s="280" t="n"/>
      <c r="K434" s="332">
        <f>IFERROR(VLOOKUP(TEXT(O434,"0"),CONDUCTORES!$A$3:$G$54,7,0),"")</f>
        <v/>
      </c>
      <c r="L434" s="280" t="n"/>
      <c r="M434" s="280" t="n"/>
      <c r="N434" s="333">
        <f>IFERROR(IF(L434*M434=0,"",L434*M434),"")</f>
        <v/>
      </c>
      <c r="O434" s="280" t="n"/>
      <c r="P434" s="332">
        <f>IFERROR(VLOOKUP(TEXT(O434,"0"),CONDUCTORES!$A$3:$G$54,2,0),"")</f>
        <v/>
      </c>
      <c r="Q434" s="332">
        <f>IFERROR(VLOOKUP(TEXT(O434,"0"),CONDUCTORES!$A$3:$H$54,6,0),"")</f>
        <v/>
      </c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375">
        <f>IF(AND(G434&lt;&gt;"",R434&lt;&gt;"",V434&lt;&gt;"",W434&lt;&gt;""),"COMPLETADO","OBSERVADO")</f>
        <v/>
      </c>
    </row>
    <row r="435" ht="15" customHeight="1" s="195">
      <c r="A435" s="334" t="n"/>
      <c r="B435" s="334" t="n"/>
      <c r="C435" s="334" t="n"/>
      <c r="D435" s="334" t="n"/>
      <c r="E435" s="334" t="n"/>
      <c r="F435" s="334" t="n"/>
      <c r="G435" s="334" t="n"/>
      <c r="H435" s="334" t="n"/>
      <c r="I435" s="332">
        <f>IFERROR(VLOOKUP(TEXT(H435,"0"),IPRESS!$A$3:$B$212,2,0),"")</f>
        <v/>
      </c>
      <c r="J435" s="334" t="n"/>
      <c r="K435" s="332">
        <f>IFERROR(VLOOKUP(TEXT(O435,"0"),CONDUCTORES!$A$3:$G$54,7,0),"")</f>
        <v/>
      </c>
      <c r="L435" s="334" t="n"/>
      <c r="M435" s="334" t="n"/>
      <c r="N435" s="333">
        <f>IFERROR(IF(L435*M435=0,"",L435*M435),"")</f>
        <v/>
      </c>
      <c r="O435" s="334" t="n"/>
      <c r="P435" s="332">
        <f>IFERROR(VLOOKUP(TEXT(O435,"0"),CONDUCTORES!$A$3:$G$54,2,0),"")</f>
        <v/>
      </c>
      <c r="Q435" s="332">
        <f>IFERROR(VLOOKUP(TEXT(O435,"0"),CONDUCTORES!$A$3:$H$54,6,0),"")</f>
        <v/>
      </c>
      <c r="R435" s="334" t="n"/>
      <c r="S435" s="334" t="n"/>
      <c r="T435" s="334" t="n"/>
      <c r="U435" s="334" t="n"/>
      <c r="V435" s="334" t="n"/>
      <c r="W435" s="334" t="n"/>
      <c r="X435" s="334" t="n"/>
      <c r="Y435" s="334" t="n"/>
      <c r="Z435" s="375">
        <f>IF(AND(G435&lt;&gt;"",R435&lt;&gt;"",V435&lt;&gt;"",W435&lt;&gt;""),"COMPLETADO","OBSERVADO")</f>
        <v/>
      </c>
    </row>
    <row r="436" ht="15" customHeight="1" s="195">
      <c r="A436" s="280" t="n"/>
      <c r="B436" s="280" t="n"/>
      <c r="C436" s="280" t="n"/>
      <c r="D436" s="280" t="n"/>
      <c r="E436" s="280" t="n"/>
      <c r="F436" s="280" t="n"/>
      <c r="G436" s="280" t="n"/>
      <c r="H436" s="280" t="n"/>
      <c r="I436" s="332">
        <f>IFERROR(VLOOKUP(TEXT(H436,"0"),IPRESS!$A$3:$B$212,2,0),"")</f>
        <v/>
      </c>
      <c r="J436" s="280" t="n"/>
      <c r="K436" s="332">
        <f>IFERROR(VLOOKUP(TEXT(O436,"0"),CONDUCTORES!$A$3:$G$54,7,0),"")</f>
        <v/>
      </c>
      <c r="L436" s="280" t="n"/>
      <c r="M436" s="280" t="n"/>
      <c r="N436" s="333">
        <f>IFERROR(IF(L436*M436=0,"",L436*M436),"")</f>
        <v/>
      </c>
      <c r="O436" s="280" t="n"/>
      <c r="P436" s="332">
        <f>IFERROR(VLOOKUP(TEXT(O436,"0"),CONDUCTORES!$A$3:$G$54,2,0),"")</f>
        <v/>
      </c>
      <c r="Q436" s="332">
        <f>IFERROR(VLOOKUP(TEXT(O436,"0"),CONDUCTORES!$A$3:$H$54,6,0),"")</f>
        <v/>
      </c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375">
        <f>IF(AND(G436&lt;&gt;"",R436&lt;&gt;"",V436&lt;&gt;"",W436&lt;&gt;""),"COMPLETADO","OBSERVADO")</f>
        <v/>
      </c>
    </row>
    <row r="437" ht="15" customHeight="1" s="195">
      <c r="A437" s="334" t="n"/>
      <c r="B437" s="334" t="n"/>
      <c r="C437" s="334" t="n"/>
      <c r="D437" s="334" t="n"/>
      <c r="E437" s="334" t="n"/>
      <c r="F437" s="334" t="n"/>
      <c r="G437" s="334" t="n"/>
      <c r="H437" s="334" t="n"/>
      <c r="I437" s="332">
        <f>IFERROR(VLOOKUP(TEXT(H437,"0"),IPRESS!$A$3:$B$212,2,0),"")</f>
        <v/>
      </c>
      <c r="J437" s="334" t="n"/>
      <c r="K437" s="332">
        <f>IFERROR(VLOOKUP(TEXT(O437,"0"),CONDUCTORES!$A$3:$G$54,7,0),"")</f>
        <v/>
      </c>
      <c r="L437" s="334" t="n"/>
      <c r="M437" s="334" t="n"/>
      <c r="N437" s="333">
        <f>IFERROR(IF(L437*M437=0,"",L437*M437),"")</f>
        <v/>
      </c>
      <c r="O437" s="334" t="n"/>
      <c r="P437" s="332">
        <f>IFERROR(VLOOKUP(TEXT(O437,"0"),CONDUCTORES!$A$3:$G$54,2,0),"")</f>
        <v/>
      </c>
      <c r="Q437" s="332">
        <f>IFERROR(VLOOKUP(TEXT(O437,"0"),CONDUCTORES!$A$3:$H$54,6,0),"")</f>
        <v/>
      </c>
      <c r="R437" s="334" t="n"/>
      <c r="S437" s="334" t="n"/>
      <c r="T437" s="334" t="n"/>
      <c r="U437" s="334" t="n"/>
      <c r="V437" s="334" t="n"/>
      <c r="W437" s="334" t="n"/>
      <c r="X437" s="334" t="n"/>
      <c r="Y437" s="334" t="n"/>
      <c r="Z437" s="375">
        <f>IF(AND(G437&lt;&gt;"",R437&lt;&gt;"",V437&lt;&gt;"",W437&lt;&gt;""),"COMPLETADO","OBSERVADO")</f>
        <v/>
      </c>
    </row>
    <row r="438" ht="15" customHeight="1" s="195">
      <c r="A438" s="280" t="n"/>
      <c r="B438" s="280" t="n"/>
      <c r="C438" s="280" t="n"/>
      <c r="D438" s="280" t="n"/>
      <c r="E438" s="280" t="n"/>
      <c r="F438" s="280" t="n"/>
      <c r="G438" s="280" t="n"/>
      <c r="H438" s="280" t="n"/>
      <c r="I438" s="332">
        <f>IFERROR(VLOOKUP(TEXT(H438,"0"),IPRESS!$A$3:$B$212,2,0),"")</f>
        <v/>
      </c>
      <c r="J438" s="280" t="n"/>
      <c r="K438" s="332">
        <f>IFERROR(VLOOKUP(TEXT(O438,"0"),CONDUCTORES!$A$3:$G$54,7,0),"")</f>
        <v/>
      </c>
      <c r="L438" s="280" t="n"/>
      <c r="M438" s="280" t="n"/>
      <c r="N438" s="333">
        <f>IFERROR(IF(L438*M438=0,"",L438*M438),"")</f>
        <v/>
      </c>
      <c r="O438" s="280" t="n"/>
      <c r="P438" s="332">
        <f>IFERROR(VLOOKUP(TEXT(O438,"0"),CONDUCTORES!$A$3:$G$54,2,0),"")</f>
        <v/>
      </c>
      <c r="Q438" s="332">
        <f>IFERROR(VLOOKUP(TEXT(O438,"0"),CONDUCTORES!$A$3:$H$54,6,0),"")</f>
        <v/>
      </c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375">
        <f>IF(AND(G438&lt;&gt;"",R438&lt;&gt;"",V438&lt;&gt;"",W438&lt;&gt;""),"COMPLETADO","OBSERVADO")</f>
        <v/>
      </c>
    </row>
    <row r="439" ht="15" customHeight="1" s="195">
      <c r="A439" s="334" t="n"/>
      <c r="B439" s="334" t="n"/>
      <c r="C439" s="334" t="n"/>
      <c r="D439" s="334" t="n"/>
      <c r="E439" s="334" t="n"/>
      <c r="F439" s="334" t="n"/>
      <c r="G439" s="334" t="n"/>
      <c r="H439" s="334" t="n"/>
      <c r="I439" s="332">
        <f>IFERROR(VLOOKUP(TEXT(H439,"0"),IPRESS!$A$3:$B$212,2,0),"")</f>
        <v/>
      </c>
      <c r="J439" s="334" t="n"/>
      <c r="K439" s="332">
        <f>IFERROR(VLOOKUP(TEXT(O439,"0"),CONDUCTORES!$A$3:$G$54,7,0),"")</f>
        <v/>
      </c>
      <c r="L439" s="334" t="n"/>
      <c r="M439" s="334" t="n"/>
      <c r="N439" s="333">
        <f>IFERROR(IF(L439*M439=0,"",L439*M439),"")</f>
        <v/>
      </c>
      <c r="O439" s="334" t="n"/>
      <c r="P439" s="332">
        <f>IFERROR(VLOOKUP(TEXT(O439,"0"),CONDUCTORES!$A$3:$G$54,2,0),"")</f>
        <v/>
      </c>
      <c r="Q439" s="332">
        <f>IFERROR(VLOOKUP(TEXT(O439,"0"),CONDUCTORES!$A$3:$H$54,6,0),"")</f>
        <v/>
      </c>
      <c r="R439" s="334" t="n"/>
      <c r="S439" s="334" t="n"/>
      <c r="T439" s="334" t="n"/>
      <c r="U439" s="334" t="n"/>
      <c r="V439" s="334" t="n"/>
      <c r="W439" s="334" t="n"/>
      <c r="X439" s="334" t="n"/>
      <c r="Y439" s="334" t="n"/>
      <c r="Z439" s="375">
        <f>IF(AND(G439&lt;&gt;"",R439&lt;&gt;"",V439&lt;&gt;"",W439&lt;&gt;""),"COMPLETADO","OBSERVADO")</f>
        <v/>
      </c>
    </row>
    <row r="440" ht="15" customHeight="1" s="195">
      <c r="A440" s="280" t="n"/>
      <c r="B440" s="280" t="n"/>
      <c r="C440" s="280" t="n"/>
      <c r="D440" s="280" t="n"/>
      <c r="E440" s="280" t="n"/>
      <c r="F440" s="280" t="n"/>
      <c r="G440" s="280" t="n"/>
      <c r="H440" s="280" t="n"/>
      <c r="I440" s="332">
        <f>IFERROR(VLOOKUP(TEXT(H440,"0"),IPRESS!$A$3:$B$212,2,0),"")</f>
        <v/>
      </c>
      <c r="J440" s="280" t="n"/>
      <c r="K440" s="332">
        <f>IFERROR(VLOOKUP(TEXT(O440,"0"),CONDUCTORES!$A$3:$G$54,7,0),"")</f>
        <v/>
      </c>
      <c r="L440" s="280" t="n"/>
      <c r="M440" s="280" t="n"/>
      <c r="N440" s="333">
        <f>IFERROR(IF(L440*M440=0,"",L440*M440),"")</f>
        <v/>
      </c>
      <c r="O440" s="280" t="n"/>
      <c r="P440" s="332">
        <f>IFERROR(VLOOKUP(TEXT(O440,"0"),CONDUCTORES!$A$3:$G$54,2,0),"")</f>
        <v/>
      </c>
      <c r="Q440" s="332">
        <f>IFERROR(VLOOKUP(TEXT(O440,"0"),CONDUCTORES!$A$3:$H$54,6,0),"")</f>
        <v/>
      </c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375">
        <f>IF(AND(G440&lt;&gt;"",R440&lt;&gt;"",V440&lt;&gt;"",W440&lt;&gt;""),"COMPLETADO","OBSERVADO")</f>
        <v/>
      </c>
    </row>
    <row r="441" ht="15" customHeight="1" s="195">
      <c r="A441" s="334" t="n"/>
      <c r="B441" s="334" t="n"/>
      <c r="C441" s="334" t="n"/>
      <c r="D441" s="334" t="n"/>
      <c r="E441" s="334" t="n"/>
      <c r="F441" s="334" t="n"/>
      <c r="G441" s="334" t="n"/>
      <c r="H441" s="334" t="n"/>
      <c r="I441" s="332">
        <f>IFERROR(VLOOKUP(TEXT(H441,"0"),IPRESS!$A$3:$B$212,2,0),"")</f>
        <v/>
      </c>
      <c r="J441" s="334" t="n"/>
      <c r="K441" s="332">
        <f>IFERROR(VLOOKUP(TEXT(O441,"0"),CONDUCTORES!$A$3:$G$54,7,0),"")</f>
        <v/>
      </c>
      <c r="L441" s="334" t="n"/>
      <c r="M441" s="334" t="n"/>
      <c r="N441" s="333">
        <f>IFERROR(IF(L441*M441=0,"",L441*M441),"")</f>
        <v/>
      </c>
      <c r="O441" s="334" t="n"/>
      <c r="P441" s="332">
        <f>IFERROR(VLOOKUP(TEXT(O441,"0"),CONDUCTORES!$A$3:$G$54,2,0),"")</f>
        <v/>
      </c>
      <c r="Q441" s="332">
        <f>IFERROR(VLOOKUP(TEXT(O441,"0"),CONDUCTORES!$A$3:$H$54,6,0),"")</f>
        <v/>
      </c>
      <c r="R441" s="334" t="n"/>
      <c r="S441" s="334" t="n"/>
      <c r="T441" s="334" t="n"/>
      <c r="U441" s="334" t="n"/>
      <c r="V441" s="334" t="n"/>
      <c r="W441" s="334" t="n"/>
      <c r="X441" s="334" t="n"/>
      <c r="Y441" s="334" t="n"/>
      <c r="Z441" s="375">
        <f>IF(AND(G441&lt;&gt;"",R441&lt;&gt;"",V441&lt;&gt;"",W441&lt;&gt;""),"COMPLETADO","OBSERVADO")</f>
        <v/>
      </c>
    </row>
    <row r="442" ht="15" customHeight="1" s="195">
      <c r="A442" s="280" t="n"/>
      <c r="B442" s="280" t="n"/>
      <c r="C442" s="280" t="n"/>
      <c r="D442" s="280" t="n"/>
      <c r="E442" s="280" t="n"/>
      <c r="F442" s="280" t="n"/>
      <c r="G442" s="280" t="n"/>
      <c r="H442" s="280" t="n"/>
      <c r="I442" s="332">
        <f>IFERROR(VLOOKUP(TEXT(H442,"0"),IPRESS!$A$3:$B$212,2,0),"")</f>
        <v/>
      </c>
      <c r="J442" s="280" t="n"/>
      <c r="K442" s="332">
        <f>IFERROR(VLOOKUP(TEXT(O442,"0"),CONDUCTORES!$A$3:$G$54,7,0),"")</f>
        <v/>
      </c>
      <c r="L442" s="280" t="n"/>
      <c r="M442" s="280" t="n"/>
      <c r="N442" s="333">
        <f>IFERROR(IF(L442*M442=0,"",L442*M442),"")</f>
        <v/>
      </c>
      <c r="O442" s="280" t="n"/>
      <c r="P442" s="332">
        <f>IFERROR(VLOOKUP(TEXT(O442,"0"),CONDUCTORES!$A$3:$G$54,2,0),"")</f>
        <v/>
      </c>
      <c r="Q442" s="332">
        <f>IFERROR(VLOOKUP(TEXT(O442,"0"),CONDUCTORES!$A$3:$H$54,6,0),"")</f>
        <v/>
      </c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375">
        <f>IF(AND(G442&lt;&gt;"",R442&lt;&gt;"",V442&lt;&gt;"",W442&lt;&gt;""),"COMPLETADO","OBSERVADO")</f>
        <v/>
      </c>
    </row>
    <row r="443" ht="15" customHeight="1" s="195">
      <c r="A443" s="334" t="n"/>
      <c r="B443" s="334" t="n"/>
      <c r="C443" s="334" t="n"/>
      <c r="D443" s="334" t="n"/>
      <c r="E443" s="334" t="n"/>
      <c r="F443" s="334" t="n"/>
      <c r="G443" s="334" t="n"/>
      <c r="H443" s="334" t="n"/>
      <c r="I443" s="332">
        <f>IFERROR(VLOOKUP(TEXT(H443,"0"),IPRESS!$A$3:$B$212,2,0),"")</f>
        <v/>
      </c>
      <c r="J443" s="334" t="n"/>
      <c r="K443" s="332">
        <f>IFERROR(VLOOKUP(TEXT(O443,"0"),CONDUCTORES!$A$3:$G$54,7,0),"")</f>
        <v/>
      </c>
      <c r="L443" s="334" t="n"/>
      <c r="M443" s="334" t="n"/>
      <c r="N443" s="333">
        <f>IFERROR(IF(L443*M443=0,"",L443*M443),"")</f>
        <v/>
      </c>
      <c r="O443" s="334" t="n"/>
      <c r="P443" s="332">
        <f>IFERROR(VLOOKUP(TEXT(O443,"0"),CONDUCTORES!$A$3:$G$54,2,0),"")</f>
        <v/>
      </c>
      <c r="Q443" s="332">
        <f>IFERROR(VLOOKUP(TEXT(O443,"0"),CONDUCTORES!$A$3:$H$54,6,0),"")</f>
        <v/>
      </c>
      <c r="R443" s="334" t="n"/>
      <c r="S443" s="334" t="n"/>
      <c r="T443" s="334" t="n"/>
      <c r="U443" s="334" t="n"/>
      <c r="V443" s="334" t="n"/>
      <c r="W443" s="334" t="n"/>
      <c r="X443" s="334" t="n"/>
      <c r="Y443" s="334" t="n"/>
      <c r="Z443" s="375">
        <f>IF(AND(G443&lt;&gt;"",R443&lt;&gt;"",V443&lt;&gt;"",W443&lt;&gt;""),"COMPLETADO","OBSERVADO")</f>
        <v/>
      </c>
    </row>
    <row r="444" ht="15" customHeight="1" s="195">
      <c r="A444" s="280" t="n"/>
      <c r="B444" s="280" t="n"/>
      <c r="C444" s="280" t="n"/>
      <c r="D444" s="280" t="n"/>
      <c r="E444" s="280" t="n"/>
      <c r="F444" s="280" t="n"/>
      <c r="G444" s="280" t="n"/>
      <c r="H444" s="280" t="n"/>
      <c r="I444" s="332">
        <f>IFERROR(VLOOKUP(TEXT(H444,"0"),IPRESS!$A$3:$B$212,2,0),"")</f>
        <v/>
      </c>
      <c r="J444" s="280" t="n"/>
      <c r="K444" s="332">
        <f>IFERROR(VLOOKUP(TEXT(O444,"0"),CONDUCTORES!$A$3:$G$54,7,0),"")</f>
        <v/>
      </c>
      <c r="L444" s="280" t="n"/>
      <c r="M444" s="280" t="n"/>
      <c r="N444" s="333">
        <f>IFERROR(IF(L444*M444=0,"",L444*M444),"")</f>
        <v/>
      </c>
      <c r="O444" s="280" t="n"/>
      <c r="P444" s="332">
        <f>IFERROR(VLOOKUP(TEXT(O444,"0"),CONDUCTORES!$A$3:$G$54,2,0),"")</f>
        <v/>
      </c>
      <c r="Q444" s="332">
        <f>IFERROR(VLOOKUP(TEXT(O444,"0"),CONDUCTORES!$A$3:$H$54,6,0),"")</f>
        <v/>
      </c>
      <c r="R444" s="280" t="n"/>
      <c r="S444" s="280" t="n"/>
      <c r="T444" s="280" t="n"/>
      <c r="U444" s="280" t="n"/>
      <c r="V444" s="280" t="n"/>
      <c r="W444" s="280" t="n"/>
      <c r="X444" s="280" t="n"/>
      <c r="Y444" s="280" t="n"/>
      <c r="Z444" s="375">
        <f>IF(AND(G444&lt;&gt;"",R444&lt;&gt;"",V444&lt;&gt;"",W444&lt;&gt;""),"COMPLETADO","OBSERVADO")</f>
        <v/>
      </c>
    </row>
    <row r="445" ht="15" customHeight="1" s="195">
      <c r="A445" s="334" t="n"/>
      <c r="B445" s="334" t="n"/>
      <c r="C445" s="334" t="n"/>
      <c r="D445" s="334" t="n"/>
      <c r="E445" s="334" t="n"/>
      <c r="F445" s="334" t="n"/>
      <c r="G445" s="334" t="n"/>
      <c r="H445" s="334" t="n"/>
      <c r="I445" s="332">
        <f>IFERROR(VLOOKUP(TEXT(H445,"0"),IPRESS!$A$3:$B$212,2,0),"")</f>
        <v/>
      </c>
      <c r="J445" s="334" t="n"/>
      <c r="K445" s="332">
        <f>IFERROR(VLOOKUP(TEXT(O445,"0"),CONDUCTORES!$A$3:$G$54,7,0),"")</f>
        <v/>
      </c>
      <c r="L445" s="334" t="n"/>
      <c r="M445" s="334" t="n"/>
      <c r="N445" s="333">
        <f>IFERROR(IF(L445*M445=0,"",L445*M445),"")</f>
        <v/>
      </c>
      <c r="O445" s="334" t="n"/>
      <c r="P445" s="332">
        <f>IFERROR(VLOOKUP(TEXT(O445,"0"),CONDUCTORES!$A$3:$G$54,2,0),"")</f>
        <v/>
      </c>
      <c r="Q445" s="332">
        <f>IFERROR(VLOOKUP(TEXT(O445,"0"),CONDUCTORES!$A$3:$H$54,6,0),"")</f>
        <v/>
      </c>
      <c r="R445" s="334" t="n"/>
      <c r="S445" s="334" t="n"/>
      <c r="T445" s="334" t="n"/>
      <c r="U445" s="334" t="n"/>
      <c r="V445" s="334" t="n"/>
      <c r="W445" s="334" t="n"/>
      <c r="X445" s="334" t="n"/>
      <c r="Y445" s="334" t="n"/>
      <c r="Z445" s="375">
        <f>IF(AND(G445&lt;&gt;"",R445&lt;&gt;"",V445&lt;&gt;"",W445&lt;&gt;""),"COMPLETADO","OBSERVADO")</f>
        <v/>
      </c>
    </row>
    <row r="446" ht="15" customHeight="1" s="195">
      <c r="A446" s="280" t="n"/>
      <c r="B446" s="280" t="n"/>
      <c r="C446" s="280" t="n"/>
      <c r="D446" s="280" t="n"/>
      <c r="E446" s="280" t="n"/>
      <c r="F446" s="280" t="n"/>
      <c r="G446" s="280" t="n"/>
      <c r="H446" s="280" t="n"/>
      <c r="I446" s="332">
        <f>IFERROR(VLOOKUP(TEXT(H446,"0"),IPRESS!$A$3:$B$212,2,0),"")</f>
        <v/>
      </c>
      <c r="J446" s="280" t="n"/>
      <c r="K446" s="332">
        <f>IFERROR(VLOOKUP(TEXT(O446,"0"),CONDUCTORES!$A$3:$G$54,7,0),"")</f>
        <v/>
      </c>
      <c r="L446" s="280" t="n"/>
      <c r="M446" s="280" t="n"/>
      <c r="N446" s="333">
        <f>IFERROR(IF(L446*M446=0,"",L446*M446),"")</f>
        <v/>
      </c>
      <c r="O446" s="280" t="n"/>
      <c r="P446" s="332">
        <f>IFERROR(VLOOKUP(TEXT(O446,"0"),CONDUCTORES!$A$3:$G$54,2,0),"")</f>
        <v/>
      </c>
      <c r="Q446" s="332">
        <f>IFERROR(VLOOKUP(TEXT(O446,"0"),CONDUCTORES!$A$3:$H$54,6,0),"")</f>
        <v/>
      </c>
      <c r="R446" s="280" t="n"/>
      <c r="S446" s="280" t="n"/>
      <c r="T446" s="280" t="n"/>
      <c r="U446" s="280" t="n"/>
      <c r="V446" s="280" t="n"/>
      <c r="W446" s="280" t="n"/>
      <c r="X446" s="280" t="n"/>
      <c r="Y446" s="280" t="n"/>
      <c r="Z446" s="375">
        <f>IF(AND(G446&lt;&gt;"",R446&lt;&gt;"",V446&lt;&gt;"",W446&lt;&gt;""),"COMPLETADO","OBSERVADO")</f>
        <v/>
      </c>
    </row>
    <row r="447" ht="15" customHeight="1" s="195">
      <c r="A447" s="334" t="n"/>
      <c r="B447" s="334" t="n"/>
      <c r="C447" s="334" t="n"/>
      <c r="D447" s="334" t="n"/>
      <c r="E447" s="334" t="n"/>
      <c r="F447" s="334" t="n"/>
      <c r="G447" s="334" t="n"/>
      <c r="H447" s="334" t="n"/>
      <c r="I447" s="332">
        <f>IFERROR(VLOOKUP(TEXT(H447,"0"),IPRESS!$A$3:$B$212,2,0),"")</f>
        <v/>
      </c>
      <c r="J447" s="334" t="n"/>
      <c r="K447" s="332">
        <f>IFERROR(VLOOKUP(TEXT(O447,"0"),CONDUCTORES!$A$3:$G$54,7,0),"")</f>
        <v/>
      </c>
      <c r="L447" s="334" t="n"/>
      <c r="M447" s="334" t="n"/>
      <c r="N447" s="333">
        <f>IFERROR(IF(L447*M447=0,"",L447*M447),"")</f>
        <v/>
      </c>
      <c r="O447" s="334" t="n"/>
      <c r="P447" s="332">
        <f>IFERROR(VLOOKUP(TEXT(O447,"0"),CONDUCTORES!$A$3:$G$54,2,0),"")</f>
        <v/>
      </c>
      <c r="Q447" s="332">
        <f>IFERROR(VLOOKUP(TEXT(O447,"0"),CONDUCTORES!$A$3:$H$54,6,0),"")</f>
        <v/>
      </c>
      <c r="R447" s="334" t="n"/>
      <c r="S447" s="334" t="n"/>
      <c r="T447" s="334" t="n"/>
      <c r="U447" s="334" t="n"/>
      <c r="V447" s="334" t="n"/>
      <c r="W447" s="334" t="n"/>
      <c r="X447" s="334" t="n"/>
      <c r="Y447" s="334" t="n"/>
      <c r="Z447" s="375">
        <f>IF(AND(G447&lt;&gt;"",R447&lt;&gt;"",V447&lt;&gt;"",W447&lt;&gt;""),"COMPLETADO","OBSERVADO")</f>
        <v/>
      </c>
    </row>
    <row r="448" ht="15" customHeight="1" s="195">
      <c r="A448" s="280" t="n"/>
      <c r="B448" s="280" t="n"/>
      <c r="C448" s="280" t="n"/>
      <c r="D448" s="280" t="n"/>
      <c r="E448" s="280" t="n"/>
      <c r="F448" s="280" t="n"/>
      <c r="G448" s="280" t="n"/>
      <c r="H448" s="280" t="n"/>
      <c r="I448" s="332">
        <f>IFERROR(VLOOKUP(TEXT(H448,"0"),IPRESS!$A$3:$B$212,2,0),"")</f>
        <v/>
      </c>
      <c r="J448" s="280" t="n"/>
      <c r="K448" s="332">
        <f>IFERROR(VLOOKUP(TEXT(O448,"0"),CONDUCTORES!$A$3:$G$54,7,0),"")</f>
        <v/>
      </c>
      <c r="L448" s="280" t="n"/>
      <c r="M448" s="280" t="n"/>
      <c r="N448" s="333">
        <f>IFERROR(IF(L448*M448=0,"",L448*M448),"")</f>
        <v/>
      </c>
      <c r="O448" s="280" t="n"/>
      <c r="P448" s="332">
        <f>IFERROR(VLOOKUP(TEXT(O448,"0"),CONDUCTORES!$A$3:$G$54,2,0),"")</f>
        <v/>
      </c>
      <c r="Q448" s="332">
        <f>IFERROR(VLOOKUP(TEXT(O448,"0"),CONDUCTORES!$A$3:$H$54,6,0),"")</f>
        <v/>
      </c>
      <c r="R448" s="280" t="n"/>
      <c r="S448" s="280" t="n"/>
      <c r="T448" s="280" t="n"/>
      <c r="U448" s="280" t="n"/>
      <c r="V448" s="280" t="n"/>
      <c r="W448" s="280" t="n"/>
      <c r="X448" s="280" t="n"/>
      <c r="Y448" s="280" t="n"/>
      <c r="Z448" s="375">
        <f>IF(AND(G448&lt;&gt;"",R448&lt;&gt;"",V448&lt;&gt;"",W448&lt;&gt;""),"COMPLETADO","OBSERVADO")</f>
        <v/>
      </c>
    </row>
    <row r="449" ht="15" customHeight="1" s="195">
      <c r="A449" s="334" t="n"/>
      <c r="B449" s="334" t="n"/>
      <c r="C449" s="334" t="n"/>
      <c r="D449" s="334" t="n"/>
      <c r="E449" s="334" t="n"/>
      <c r="F449" s="334" t="n"/>
      <c r="G449" s="334" t="n"/>
      <c r="H449" s="334" t="n"/>
      <c r="I449" s="332">
        <f>IFERROR(VLOOKUP(TEXT(H449,"0"),IPRESS!$A$3:$B$212,2,0),"")</f>
        <v/>
      </c>
      <c r="J449" s="334" t="n"/>
      <c r="K449" s="332">
        <f>IFERROR(VLOOKUP(TEXT(O449,"0"),CONDUCTORES!$A$3:$G$54,7,0),"")</f>
        <v/>
      </c>
      <c r="L449" s="334" t="n"/>
      <c r="M449" s="334" t="n"/>
      <c r="N449" s="333">
        <f>IFERROR(IF(L449*M449=0,"",L449*M449),"")</f>
        <v/>
      </c>
      <c r="O449" s="334" t="n"/>
      <c r="P449" s="332">
        <f>IFERROR(VLOOKUP(TEXT(O449,"0"),CONDUCTORES!$A$3:$G$54,2,0),"")</f>
        <v/>
      </c>
      <c r="Q449" s="332">
        <f>IFERROR(VLOOKUP(TEXT(O449,"0"),CONDUCTORES!$A$3:$H$54,6,0),"")</f>
        <v/>
      </c>
      <c r="R449" s="334" t="n"/>
      <c r="S449" s="334" t="n"/>
      <c r="T449" s="334" t="n"/>
      <c r="U449" s="334" t="n"/>
      <c r="V449" s="334" t="n"/>
      <c r="W449" s="334" t="n"/>
      <c r="X449" s="334" t="n"/>
      <c r="Y449" s="334" t="n"/>
      <c r="Z449" s="375">
        <f>IF(AND(G449&lt;&gt;"",R449&lt;&gt;"",V449&lt;&gt;"",W449&lt;&gt;""),"COMPLETADO","OBSERVADO")</f>
        <v/>
      </c>
    </row>
    <row r="450" ht="15" customHeight="1" s="195">
      <c r="A450" s="280" t="n"/>
      <c r="B450" s="280" t="n"/>
      <c r="C450" s="280" t="n"/>
      <c r="D450" s="280" t="n"/>
      <c r="E450" s="280" t="n"/>
      <c r="F450" s="280" t="n"/>
      <c r="G450" s="280" t="n"/>
      <c r="H450" s="280" t="n"/>
      <c r="I450" s="332">
        <f>IFERROR(VLOOKUP(TEXT(H450,"0"),IPRESS!$A$3:$B$212,2,0),"")</f>
        <v/>
      </c>
      <c r="J450" s="280" t="n"/>
      <c r="K450" s="332">
        <f>IFERROR(VLOOKUP(TEXT(O450,"0"),CONDUCTORES!$A$3:$G$54,7,0),"")</f>
        <v/>
      </c>
      <c r="L450" s="280" t="n"/>
      <c r="M450" s="280" t="n"/>
      <c r="N450" s="333">
        <f>IFERROR(IF(L450*M450=0,"",L450*M450),"")</f>
        <v/>
      </c>
      <c r="O450" s="280" t="n"/>
      <c r="P450" s="332">
        <f>IFERROR(VLOOKUP(TEXT(O450,"0"),CONDUCTORES!$A$3:$G$54,2,0),"")</f>
        <v/>
      </c>
      <c r="Q450" s="332">
        <f>IFERROR(VLOOKUP(TEXT(O450,"0"),CONDUCTORES!$A$3:$H$54,6,0),"")</f>
        <v/>
      </c>
      <c r="R450" s="280" t="n"/>
      <c r="S450" s="280" t="n"/>
      <c r="T450" s="280" t="n"/>
      <c r="U450" s="280" t="n"/>
      <c r="V450" s="280" t="n"/>
      <c r="W450" s="280" t="n"/>
      <c r="X450" s="280" t="n"/>
      <c r="Y450" s="280" t="n"/>
      <c r="Z450" s="375">
        <f>IF(AND(G450&lt;&gt;"",R450&lt;&gt;"",V450&lt;&gt;"",W450&lt;&gt;""),"COMPLETADO","OBSERVADO")</f>
        <v/>
      </c>
    </row>
    <row r="451" ht="15" customHeight="1" s="195">
      <c r="A451" s="334" t="n"/>
      <c r="B451" s="334" t="n"/>
      <c r="C451" s="334" t="n"/>
      <c r="D451" s="334" t="n"/>
      <c r="E451" s="334" t="n"/>
      <c r="F451" s="334" t="n"/>
      <c r="G451" s="334" t="n"/>
      <c r="H451" s="334" t="n"/>
      <c r="I451" s="332">
        <f>IFERROR(VLOOKUP(TEXT(H451,"0"),IPRESS!$A$3:$B$212,2,0),"")</f>
        <v/>
      </c>
      <c r="J451" s="334" t="n"/>
      <c r="K451" s="332">
        <f>IFERROR(VLOOKUP(TEXT(O451,"0"),CONDUCTORES!$A$3:$G$54,7,0),"")</f>
        <v/>
      </c>
      <c r="L451" s="334" t="n"/>
      <c r="M451" s="334" t="n"/>
      <c r="N451" s="333">
        <f>IFERROR(IF(L451*M451=0,"",L451*M451),"")</f>
        <v/>
      </c>
      <c r="O451" s="334" t="n"/>
      <c r="P451" s="332">
        <f>IFERROR(VLOOKUP(TEXT(O451,"0"),CONDUCTORES!$A$3:$G$54,2,0),"")</f>
        <v/>
      </c>
      <c r="Q451" s="332">
        <f>IFERROR(VLOOKUP(TEXT(O451,"0"),CONDUCTORES!$A$3:$H$54,6,0),"")</f>
        <v/>
      </c>
      <c r="R451" s="334" t="n"/>
      <c r="S451" s="334" t="n"/>
      <c r="T451" s="334" t="n"/>
      <c r="U451" s="334" t="n"/>
      <c r="V451" s="334" t="n"/>
      <c r="W451" s="334" t="n"/>
      <c r="X451" s="334" t="n"/>
      <c r="Y451" s="334" t="n"/>
      <c r="Z451" s="375">
        <f>IF(AND(G451&lt;&gt;"",R451&lt;&gt;"",V451&lt;&gt;"",W451&lt;&gt;""),"COMPLETADO","OBSERVADO")</f>
        <v/>
      </c>
    </row>
    <row r="452" ht="15" customHeight="1" s="195">
      <c r="A452" s="280" t="n"/>
      <c r="B452" s="280" t="n"/>
      <c r="C452" s="280" t="n"/>
      <c r="D452" s="280" t="n"/>
      <c r="E452" s="280" t="n"/>
      <c r="F452" s="280" t="n"/>
      <c r="G452" s="280" t="n"/>
      <c r="H452" s="280" t="n"/>
      <c r="I452" s="332">
        <f>IFERROR(VLOOKUP(TEXT(H452,"0"),IPRESS!$A$3:$B$212,2,0),"")</f>
        <v/>
      </c>
      <c r="J452" s="280" t="n"/>
      <c r="K452" s="332">
        <f>IFERROR(VLOOKUP(TEXT(O452,"0"),CONDUCTORES!$A$3:$G$54,7,0),"")</f>
        <v/>
      </c>
      <c r="L452" s="280" t="n"/>
      <c r="M452" s="280" t="n"/>
      <c r="N452" s="333">
        <f>IFERROR(IF(L452*M452=0,"",L452*M452),"")</f>
        <v/>
      </c>
      <c r="O452" s="280" t="n"/>
      <c r="P452" s="332">
        <f>IFERROR(VLOOKUP(TEXT(O452,"0"),CONDUCTORES!$A$3:$G$54,2,0),"")</f>
        <v/>
      </c>
      <c r="Q452" s="332">
        <f>IFERROR(VLOOKUP(TEXT(O452,"0"),CONDUCTORES!$A$3:$H$54,6,0),"")</f>
        <v/>
      </c>
      <c r="R452" s="280" t="n"/>
      <c r="S452" s="280" t="n"/>
      <c r="T452" s="280" t="n"/>
      <c r="U452" s="280" t="n"/>
      <c r="V452" s="280" t="n"/>
      <c r="W452" s="280" t="n"/>
      <c r="X452" s="280" t="n"/>
      <c r="Y452" s="280" t="n"/>
      <c r="Z452" s="375">
        <f>IF(AND(G452&lt;&gt;"",R452&lt;&gt;"",V452&lt;&gt;"",W452&lt;&gt;""),"COMPLETADO","OBSERVADO")</f>
        <v/>
      </c>
    </row>
    <row r="453" ht="15" customHeight="1" s="195">
      <c r="A453" s="334" t="n"/>
      <c r="B453" s="334" t="n"/>
      <c r="C453" s="334" t="n"/>
      <c r="D453" s="334" t="n"/>
      <c r="E453" s="334" t="n"/>
      <c r="F453" s="334" t="n"/>
      <c r="G453" s="334" t="n"/>
      <c r="H453" s="334" t="n"/>
      <c r="I453" s="332">
        <f>IFERROR(VLOOKUP(TEXT(H453,"0"),IPRESS!$A$3:$B$212,2,0),"")</f>
        <v/>
      </c>
      <c r="J453" s="334" t="n"/>
      <c r="K453" s="332">
        <f>IFERROR(VLOOKUP(TEXT(O453,"0"),CONDUCTORES!$A$3:$G$54,7,0),"")</f>
        <v/>
      </c>
      <c r="L453" s="334" t="n"/>
      <c r="M453" s="334" t="n"/>
      <c r="N453" s="333">
        <f>IFERROR(IF(L453*M453=0,"",L453*M453),"")</f>
        <v/>
      </c>
      <c r="O453" s="334" t="n"/>
      <c r="P453" s="332">
        <f>IFERROR(VLOOKUP(TEXT(O453,"0"),CONDUCTORES!$A$3:$G$54,2,0),"")</f>
        <v/>
      </c>
      <c r="Q453" s="332">
        <f>IFERROR(VLOOKUP(TEXT(O453,"0"),CONDUCTORES!$A$3:$H$54,6,0),"")</f>
        <v/>
      </c>
      <c r="R453" s="334" t="n"/>
      <c r="S453" s="334" t="n"/>
      <c r="T453" s="334" t="n"/>
      <c r="U453" s="334" t="n"/>
      <c r="V453" s="334" t="n"/>
      <c r="W453" s="334" t="n"/>
      <c r="X453" s="334" t="n"/>
      <c r="Y453" s="334" t="n"/>
      <c r="Z453" s="375">
        <f>IF(AND(G453&lt;&gt;"",R453&lt;&gt;"",V453&lt;&gt;"",W453&lt;&gt;""),"COMPLETADO","OBSERVADO")</f>
        <v/>
      </c>
    </row>
    <row r="454" ht="15" customHeight="1" s="195">
      <c r="A454" s="280" t="n"/>
      <c r="B454" s="280" t="n"/>
      <c r="C454" s="280" t="n"/>
      <c r="D454" s="280" t="n"/>
      <c r="E454" s="280" t="n"/>
      <c r="F454" s="280" t="n"/>
      <c r="G454" s="280" t="n"/>
      <c r="H454" s="280" t="n"/>
      <c r="I454" s="332">
        <f>IFERROR(VLOOKUP(TEXT(H454,"0"),IPRESS!$A$3:$B$212,2,0),"")</f>
        <v/>
      </c>
      <c r="J454" s="280" t="n"/>
      <c r="K454" s="332">
        <f>IFERROR(VLOOKUP(TEXT(O454,"0"),CONDUCTORES!$A$3:$G$54,7,0),"")</f>
        <v/>
      </c>
      <c r="L454" s="280" t="n"/>
      <c r="M454" s="280" t="n"/>
      <c r="N454" s="333">
        <f>IFERROR(IF(L454*M454=0,"",L454*M454),"")</f>
        <v/>
      </c>
      <c r="O454" s="280" t="n"/>
      <c r="P454" s="332">
        <f>IFERROR(VLOOKUP(TEXT(O454,"0"),CONDUCTORES!$A$3:$G$54,2,0),"")</f>
        <v/>
      </c>
      <c r="Q454" s="332">
        <f>IFERROR(VLOOKUP(TEXT(O454,"0"),CONDUCTORES!$A$3:$H$54,6,0),"")</f>
        <v/>
      </c>
      <c r="R454" s="280" t="n"/>
      <c r="S454" s="280" t="n"/>
      <c r="T454" s="280" t="n"/>
      <c r="U454" s="280" t="n"/>
      <c r="V454" s="280" t="n"/>
      <c r="W454" s="280" t="n"/>
      <c r="X454" s="280" t="n"/>
      <c r="Y454" s="280" t="n"/>
      <c r="Z454" s="375">
        <f>IF(AND(G454&lt;&gt;"",R454&lt;&gt;"",V454&lt;&gt;"",W454&lt;&gt;""),"COMPLETADO","OBSERVADO")</f>
        <v/>
      </c>
    </row>
    <row r="455" ht="15" customHeight="1" s="195">
      <c r="A455" s="334" t="n"/>
      <c r="B455" s="334" t="n"/>
      <c r="C455" s="334" t="n"/>
      <c r="D455" s="334" t="n"/>
      <c r="E455" s="334" t="n"/>
      <c r="F455" s="334" t="n"/>
      <c r="G455" s="334" t="n"/>
      <c r="H455" s="334" t="n"/>
      <c r="I455" s="332">
        <f>IFERROR(VLOOKUP(TEXT(H455,"0"),IPRESS!$A$3:$B$212,2,0),"")</f>
        <v/>
      </c>
      <c r="J455" s="334" t="n"/>
      <c r="K455" s="332">
        <f>IFERROR(VLOOKUP(TEXT(O455,"0"),CONDUCTORES!$A$3:$G$54,7,0),"")</f>
        <v/>
      </c>
      <c r="L455" s="334" t="n"/>
      <c r="M455" s="334" t="n"/>
      <c r="N455" s="333">
        <f>IFERROR(IF(L455*M455=0,"",L455*M455),"")</f>
        <v/>
      </c>
      <c r="O455" s="334" t="n"/>
      <c r="P455" s="332">
        <f>IFERROR(VLOOKUP(TEXT(O455,"0"),CONDUCTORES!$A$3:$G$54,2,0),"")</f>
        <v/>
      </c>
      <c r="Q455" s="332">
        <f>IFERROR(VLOOKUP(TEXT(O455,"0"),CONDUCTORES!$A$3:$H$54,6,0),"")</f>
        <v/>
      </c>
      <c r="R455" s="334" t="n"/>
      <c r="S455" s="334" t="n"/>
      <c r="T455" s="334" t="n"/>
      <c r="U455" s="334" t="n"/>
      <c r="V455" s="334" t="n"/>
      <c r="W455" s="334" t="n"/>
      <c r="X455" s="334" t="n"/>
      <c r="Y455" s="334" t="n"/>
      <c r="Z455" s="375">
        <f>IF(AND(G455&lt;&gt;"",R455&lt;&gt;"",V455&lt;&gt;"",W455&lt;&gt;""),"COMPLETADO","OBSERVADO")</f>
        <v/>
      </c>
    </row>
    <row r="456" ht="15" customHeight="1" s="195">
      <c r="A456" s="280" t="n"/>
      <c r="B456" s="280" t="n"/>
      <c r="C456" s="280" t="n"/>
      <c r="D456" s="280" t="n"/>
      <c r="E456" s="280" t="n"/>
      <c r="F456" s="280" t="n"/>
      <c r="G456" s="280" t="n"/>
      <c r="H456" s="280" t="n"/>
      <c r="I456" s="332">
        <f>IFERROR(VLOOKUP(TEXT(H456,"0"),IPRESS!$A$3:$B$212,2,0),"")</f>
        <v/>
      </c>
      <c r="J456" s="280" t="n"/>
      <c r="K456" s="332">
        <f>IFERROR(VLOOKUP(TEXT(O456,"0"),CONDUCTORES!$A$3:$G$54,7,0),"")</f>
        <v/>
      </c>
      <c r="L456" s="280" t="n"/>
      <c r="M456" s="280" t="n"/>
      <c r="N456" s="333">
        <f>IFERROR(IF(L456*M456=0,"",L456*M456),"")</f>
        <v/>
      </c>
      <c r="O456" s="280" t="n"/>
      <c r="P456" s="332">
        <f>IFERROR(VLOOKUP(TEXT(O456,"0"),CONDUCTORES!$A$3:$G$54,2,0),"")</f>
        <v/>
      </c>
      <c r="Q456" s="332">
        <f>IFERROR(VLOOKUP(TEXT(O456,"0"),CONDUCTORES!$A$3:$H$54,6,0),"")</f>
        <v/>
      </c>
      <c r="R456" s="280" t="n"/>
      <c r="S456" s="280" t="n"/>
      <c r="T456" s="280" t="n"/>
      <c r="U456" s="280" t="n"/>
      <c r="V456" s="280" t="n"/>
      <c r="W456" s="280" t="n"/>
      <c r="X456" s="280" t="n"/>
      <c r="Y456" s="280" t="n"/>
      <c r="Z456" s="375">
        <f>IF(AND(G456&lt;&gt;"",R456&lt;&gt;"",V456&lt;&gt;"",W456&lt;&gt;""),"COMPLETADO","OBSERVADO")</f>
        <v/>
      </c>
    </row>
    <row r="457" ht="15" customHeight="1" s="195">
      <c r="A457" s="334" t="n"/>
      <c r="B457" s="334" t="n"/>
      <c r="C457" s="334" t="n"/>
      <c r="D457" s="334" t="n"/>
      <c r="E457" s="334" t="n"/>
      <c r="F457" s="334" t="n"/>
      <c r="G457" s="334" t="n"/>
      <c r="H457" s="334" t="n"/>
      <c r="I457" s="332">
        <f>IFERROR(VLOOKUP(TEXT(H457,"0"),IPRESS!$A$3:$B$212,2,0),"")</f>
        <v/>
      </c>
      <c r="J457" s="334" t="n"/>
      <c r="K457" s="332">
        <f>IFERROR(VLOOKUP(TEXT(O457,"0"),CONDUCTORES!$A$3:$G$54,7,0),"")</f>
        <v/>
      </c>
      <c r="L457" s="334" t="n"/>
      <c r="M457" s="334" t="n"/>
      <c r="N457" s="333">
        <f>IFERROR(IF(L457*M457=0,"",L457*M457),"")</f>
        <v/>
      </c>
      <c r="O457" s="334" t="n"/>
      <c r="P457" s="332">
        <f>IFERROR(VLOOKUP(TEXT(O457,"0"),CONDUCTORES!$A$3:$G$54,2,0),"")</f>
        <v/>
      </c>
      <c r="Q457" s="332">
        <f>IFERROR(VLOOKUP(TEXT(O457,"0"),CONDUCTORES!$A$3:$H$54,6,0),"")</f>
        <v/>
      </c>
      <c r="R457" s="334" t="n"/>
      <c r="S457" s="334" t="n"/>
      <c r="T457" s="334" t="n"/>
      <c r="U457" s="334" t="n"/>
      <c r="V457" s="334" t="n"/>
      <c r="W457" s="334" t="n"/>
      <c r="X457" s="334" t="n"/>
      <c r="Y457" s="334" t="n"/>
      <c r="Z457" s="375">
        <f>IF(AND(G457&lt;&gt;"",R457&lt;&gt;"",V457&lt;&gt;"",W457&lt;&gt;""),"COMPLETADO","OBSERVADO")</f>
        <v/>
      </c>
    </row>
    <row r="458" ht="15" customHeight="1" s="195">
      <c r="A458" s="280" t="n"/>
      <c r="B458" s="280" t="n"/>
      <c r="C458" s="280" t="n"/>
      <c r="D458" s="280" t="n"/>
      <c r="E458" s="280" t="n"/>
      <c r="F458" s="280" t="n"/>
      <c r="G458" s="280" t="n"/>
      <c r="H458" s="280" t="n"/>
      <c r="I458" s="332">
        <f>IFERROR(VLOOKUP(TEXT(H458,"0"),IPRESS!$A$3:$B$212,2,0),"")</f>
        <v/>
      </c>
      <c r="J458" s="280" t="n"/>
      <c r="K458" s="332">
        <f>IFERROR(VLOOKUP(TEXT(O458,"0"),CONDUCTORES!$A$3:$G$54,7,0),"")</f>
        <v/>
      </c>
      <c r="L458" s="280" t="n"/>
      <c r="M458" s="280" t="n"/>
      <c r="N458" s="333">
        <f>IFERROR(IF(L458*M458=0,"",L458*M458),"")</f>
        <v/>
      </c>
      <c r="O458" s="280" t="n"/>
      <c r="P458" s="332">
        <f>IFERROR(VLOOKUP(TEXT(O458,"0"),CONDUCTORES!$A$3:$G$54,2,0),"")</f>
        <v/>
      </c>
      <c r="Q458" s="332">
        <f>IFERROR(VLOOKUP(TEXT(O458,"0"),CONDUCTORES!$A$3:$H$54,6,0),"")</f>
        <v/>
      </c>
      <c r="R458" s="280" t="n"/>
      <c r="S458" s="280" t="n"/>
      <c r="T458" s="280" t="n"/>
      <c r="U458" s="280" t="n"/>
      <c r="V458" s="280" t="n"/>
      <c r="W458" s="280" t="n"/>
      <c r="X458" s="280" t="n"/>
      <c r="Y458" s="280" t="n"/>
      <c r="Z458" s="375">
        <f>IF(AND(G458&lt;&gt;"",R458&lt;&gt;"",V458&lt;&gt;"",W458&lt;&gt;""),"COMPLETADO","OBSERVADO")</f>
        <v/>
      </c>
    </row>
    <row r="459" ht="15" customHeight="1" s="195">
      <c r="A459" s="334" t="n"/>
      <c r="B459" s="334" t="n"/>
      <c r="C459" s="334" t="n"/>
      <c r="D459" s="334" t="n"/>
      <c r="E459" s="334" t="n"/>
      <c r="F459" s="334" t="n"/>
      <c r="G459" s="334" t="n"/>
      <c r="H459" s="334" t="n"/>
      <c r="I459" s="332">
        <f>IFERROR(VLOOKUP(TEXT(H459,"0"),IPRESS!$A$3:$B$212,2,0),"")</f>
        <v/>
      </c>
      <c r="J459" s="334" t="n"/>
      <c r="K459" s="332">
        <f>IFERROR(VLOOKUP(TEXT(O459,"0"),CONDUCTORES!$A$3:$G$54,7,0),"")</f>
        <v/>
      </c>
      <c r="L459" s="334" t="n"/>
      <c r="M459" s="334" t="n"/>
      <c r="N459" s="333">
        <f>IFERROR(IF(L459*M459=0,"",L459*M459),"")</f>
        <v/>
      </c>
      <c r="O459" s="334" t="n"/>
      <c r="P459" s="332">
        <f>IFERROR(VLOOKUP(TEXT(O459,"0"),CONDUCTORES!$A$3:$G$54,2,0),"")</f>
        <v/>
      </c>
      <c r="Q459" s="332">
        <f>IFERROR(VLOOKUP(TEXT(O459,"0"),CONDUCTORES!$A$3:$H$54,6,0),"")</f>
        <v/>
      </c>
      <c r="R459" s="334" t="n"/>
      <c r="S459" s="334" t="n"/>
      <c r="T459" s="334" t="n"/>
      <c r="U459" s="334" t="n"/>
      <c r="V459" s="334" t="n"/>
      <c r="W459" s="334" t="n"/>
      <c r="X459" s="334" t="n"/>
      <c r="Y459" s="334" t="n"/>
      <c r="Z459" s="375">
        <f>IF(AND(G459&lt;&gt;"",R459&lt;&gt;"",V459&lt;&gt;"",W459&lt;&gt;""),"COMPLETADO","OBSERVADO")</f>
        <v/>
      </c>
    </row>
    <row r="460" ht="15" customHeight="1" s="195">
      <c r="A460" s="280" t="n"/>
      <c r="B460" s="280" t="n"/>
      <c r="C460" s="280" t="n"/>
      <c r="D460" s="280" t="n"/>
      <c r="E460" s="280" t="n"/>
      <c r="F460" s="280" t="n"/>
      <c r="G460" s="280" t="n"/>
      <c r="H460" s="280" t="n"/>
      <c r="I460" s="332">
        <f>IFERROR(VLOOKUP(TEXT(H460,"0"),IPRESS!$A$3:$B$212,2,0),"")</f>
        <v/>
      </c>
      <c r="J460" s="280" t="n"/>
      <c r="K460" s="332">
        <f>IFERROR(VLOOKUP(TEXT(O460,"0"),CONDUCTORES!$A$3:$G$54,7,0),"")</f>
        <v/>
      </c>
      <c r="L460" s="280" t="n"/>
      <c r="M460" s="280" t="n"/>
      <c r="N460" s="333">
        <f>IFERROR(IF(L460*M460=0,"",L460*M460),"")</f>
        <v/>
      </c>
      <c r="O460" s="280" t="n"/>
      <c r="P460" s="332">
        <f>IFERROR(VLOOKUP(TEXT(O460,"0"),CONDUCTORES!$A$3:$G$54,2,0),"")</f>
        <v/>
      </c>
      <c r="Q460" s="332">
        <f>IFERROR(VLOOKUP(TEXT(O460,"0"),CONDUCTORES!$A$3:$H$54,6,0),"")</f>
        <v/>
      </c>
      <c r="R460" s="280" t="n"/>
      <c r="S460" s="280" t="n"/>
      <c r="T460" s="280" t="n"/>
      <c r="U460" s="280" t="n"/>
      <c r="V460" s="280" t="n"/>
      <c r="W460" s="280" t="n"/>
      <c r="X460" s="280" t="n"/>
      <c r="Y460" s="280" t="n"/>
      <c r="Z460" s="375">
        <f>IF(AND(G460&lt;&gt;"",R460&lt;&gt;"",V460&lt;&gt;"",W460&lt;&gt;""),"COMPLETADO","OBSERVADO")</f>
        <v/>
      </c>
    </row>
    <row r="461" ht="15" customHeight="1" s="195">
      <c r="A461" s="334" t="n"/>
      <c r="B461" s="334" t="n"/>
      <c r="C461" s="334" t="n"/>
      <c r="D461" s="334" t="n"/>
      <c r="E461" s="334" t="n"/>
      <c r="F461" s="334" t="n"/>
      <c r="G461" s="334" t="n"/>
      <c r="H461" s="334" t="n"/>
      <c r="I461" s="332">
        <f>IFERROR(VLOOKUP(TEXT(H461,"0"),IPRESS!$A$3:$B$212,2,0),"")</f>
        <v/>
      </c>
      <c r="J461" s="334" t="n"/>
      <c r="K461" s="332">
        <f>IFERROR(VLOOKUP(TEXT(O461,"0"),CONDUCTORES!$A$3:$G$54,7,0),"")</f>
        <v/>
      </c>
      <c r="L461" s="334" t="n"/>
      <c r="M461" s="334" t="n"/>
      <c r="N461" s="333">
        <f>IFERROR(IF(L461*M461=0,"",L461*M461),"")</f>
        <v/>
      </c>
      <c r="O461" s="334" t="n"/>
      <c r="P461" s="332">
        <f>IFERROR(VLOOKUP(TEXT(O461,"0"),CONDUCTORES!$A$3:$G$54,2,0),"")</f>
        <v/>
      </c>
      <c r="Q461" s="332">
        <f>IFERROR(VLOOKUP(TEXT(O461,"0"),CONDUCTORES!$A$3:$H$54,6,0),"")</f>
        <v/>
      </c>
      <c r="R461" s="334" t="n"/>
      <c r="S461" s="334" t="n"/>
      <c r="T461" s="334" t="n"/>
      <c r="U461" s="334" t="n"/>
      <c r="V461" s="334" t="n"/>
      <c r="W461" s="334" t="n"/>
      <c r="X461" s="334" t="n"/>
      <c r="Y461" s="334" t="n"/>
      <c r="Z461" s="375">
        <f>IF(AND(G461&lt;&gt;"",R461&lt;&gt;"",V461&lt;&gt;"",W461&lt;&gt;""),"COMPLETADO","OBSERVADO")</f>
        <v/>
      </c>
    </row>
    <row r="462" ht="15" customHeight="1" s="195">
      <c r="A462" s="280" t="n"/>
      <c r="B462" s="280" t="n"/>
      <c r="C462" s="280" t="n"/>
      <c r="D462" s="280" t="n"/>
      <c r="E462" s="280" t="n"/>
      <c r="F462" s="280" t="n"/>
      <c r="G462" s="280" t="n"/>
      <c r="H462" s="280" t="n"/>
      <c r="I462" s="332">
        <f>IFERROR(VLOOKUP(TEXT(H462,"0"),IPRESS!$A$3:$B$212,2,0),"")</f>
        <v/>
      </c>
      <c r="J462" s="280" t="n"/>
      <c r="K462" s="332">
        <f>IFERROR(VLOOKUP(TEXT(O462,"0"),CONDUCTORES!$A$3:$G$54,7,0),"")</f>
        <v/>
      </c>
      <c r="L462" s="280" t="n"/>
      <c r="M462" s="280" t="n"/>
      <c r="N462" s="333">
        <f>IFERROR(IF(L462*M462=0,"",L462*M462),"")</f>
        <v/>
      </c>
      <c r="O462" s="280" t="n"/>
      <c r="P462" s="332">
        <f>IFERROR(VLOOKUP(TEXT(O462,"0"),CONDUCTORES!$A$3:$G$54,2,0),"")</f>
        <v/>
      </c>
      <c r="Q462" s="332">
        <f>IFERROR(VLOOKUP(TEXT(O462,"0"),CONDUCTORES!$A$3:$H$54,6,0),"")</f>
        <v/>
      </c>
      <c r="R462" s="280" t="n"/>
      <c r="S462" s="280" t="n"/>
      <c r="T462" s="280" t="n"/>
      <c r="U462" s="280" t="n"/>
      <c r="V462" s="280" t="n"/>
      <c r="W462" s="280" t="n"/>
      <c r="X462" s="280" t="n"/>
      <c r="Y462" s="280" t="n"/>
      <c r="Z462" s="375">
        <f>IF(AND(G462&lt;&gt;"",R462&lt;&gt;"",V462&lt;&gt;"",W462&lt;&gt;""),"COMPLETADO","OBSERVADO")</f>
        <v/>
      </c>
    </row>
    <row r="463" ht="15" customHeight="1" s="195">
      <c r="A463" s="334" t="n"/>
      <c r="B463" s="334" t="n"/>
      <c r="C463" s="334" t="n"/>
      <c r="D463" s="334" t="n"/>
      <c r="E463" s="334" t="n"/>
      <c r="F463" s="334" t="n"/>
      <c r="G463" s="334" t="n"/>
      <c r="H463" s="334" t="n"/>
      <c r="I463" s="332">
        <f>IFERROR(VLOOKUP(TEXT(H463,"0"),IPRESS!$A$3:$B$212,2,0),"")</f>
        <v/>
      </c>
      <c r="J463" s="334" t="n"/>
      <c r="K463" s="332">
        <f>IFERROR(VLOOKUP(TEXT(O463,"0"),CONDUCTORES!$A$3:$G$54,7,0),"")</f>
        <v/>
      </c>
      <c r="L463" s="334" t="n"/>
      <c r="M463" s="334" t="n"/>
      <c r="N463" s="333">
        <f>IFERROR(IF(L463*M463=0,"",L463*M463),"")</f>
        <v/>
      </c>
      <c r="O463" s="334" t="n"/>
      <c r="P463" s="332">
        <f>IFERROR(VLOOKUP(TEXT(O463,"0"),CONDUCTORES!$A$3:$G$54,2,0),"")</f>
        <v/>
      </c>
      <c r="Q463" s="332">
        <f>IFERROR(VLOOKUP(TEXT(O463,"0"),CONDUCTORES!$A$3:$H$54,6,0),"")</f>
        <v/>
      </c>
      <c r="R463" s="334" t="n"/>
      <c r="S463" s="334" t="n"/>
      <c r="T463" s="334" t="n"/>
      <c r="U463" s="334" t="n"/>
      <c r="V463" s="334" t="n"/>
      <c r="W463" s="334" t="n"/>
      <c r="X463" s="334" t="n"/>
      <c r="Y463" s="334" t="n"/>
      <c r="Z463" s="375">
        <f>IF(AND(G463&lt;&gt;"",R463&lt;&gt;"",V463&lt;&gt;"",W463&lt;&gt;""),"COMPLETADO","OBSERVADO")</f>
        <v/>
      </c>
    </row>
    <row r="464" ht="15" customHeight="1" s="195">
      <c r="A464" s="280" t="n"/>
      <c r="B464" s="280" t="n"/>
      <c r="C464" s="280" t="n"/>
      <c r="D464" s="280" t="n"/>
      <c r="E464" s="280" t="n"/>
      <c r="F464" s="280" t="n"/>
      <c r="G464" s="280" t="n"/>
      <c r="H464" s="280" t="n"/>
      <c r="I464" s="332">
        <f>IFERROR(VLOOKUP(TEXT(H464,"0"),IPRESS!$A$3:$B$212,2,0),"")</f>
        <v/>
      </c>
      <c r="J464" s="280" t="n"/>
      <c r="K464" s="332">
        <f>IFERROR(VLOOKUP(TEXT(O464,"0"),CONDUCTORES!$A$3:$G$54,7,0),"")</f>
        <v/>
      </c>
      <c r="L464" s="280" t="n"/>
      <c r="M464" s="280" t="n"/>
      <c r="N464" s="333">
        <f>IFERROR(IF(L464*M464=0,"",L464*M464),"")</f>
        <v/>
      </c>
      <c r="O464" s="280" t="n"/>
      <c r="P464" s="332">
        <f>IFERROR(VLOOKUP(TEXT(O464,"0"),CONDUCTORES!$A$3:$G$54,2,0),"")</f>
        <v/>
      </c>
      <c r="Q464" s="332">
        <f>IFERROR(VLOOKUP(TEXT(O464,"0"),CONDUCTORES!$A$3:$H$54,6,0),"")</f>
        <v/>
      </c>
      <c r="R464" s="280" t="n"/>
      <c r="S464" s="280" t="n"/>
      <c r="T464" s="280" t="n"/>
      <c r="U464" s="280" t="n"/>
      <c r="V464" s="280" t="n"/>
      <c r="W464" s="280" t="n"/>
      <c r="X464" s="280" t="n"/>
      <c r="Y464" s="280" t="n"/>
      <c r="Z464" s="375">
        <f>IF(AND(G464&lt;&gt;"",R464&lt;&gt;"",V464&lt;&gt;"",W464&lt;&gt;""),"COMPLETADO","OBSERVADO")</f>
        <v/>
      </c>
    </row>
    <row r="465" ht="15" customHeight="1" s="195">
      <c r="A465" s="334" t="n"/>
      <c r="B465" s="334" t="n"/>
      <c r="C465" s="334" t="n"/>
      <c r="D465" s="334" t="n"/>
      <c r="E465" s="334" t="n"/>
      <c r="F465" s="334" t="n"/>
      <c r="G465" s="334" t="n"/>
      <c r="H465" s="334" t="n"/>
      <c r="I465" s="332">
        <f>IFERROR(VLOOKUP(TEXT(H465,"0"),IPRESS!$A$3:$B$212,2,0),"")</f>
        <v/>
      </c>
      <c r="J465" s="334" t="n"/>
      <c r="K465" s="332">
        <f>IFERROR(VLOOKUP(TEXT(O465,"0"),CONDUCTORES!$A$3:$G$54,7,0),"")</f>
        <v/>
      </c>
      <c r="L465" s="334" t="n"/>
      <c r="M465" s="334" t="n"/>
      <c r="N465" s="333">
        <f>IFERROR(IF(L465*M465=0,"",L465*M465),"")</f>
        <v/>
      </c>
      <c r="O465" s="334" t="n"/>
      <c r="P465" s="332">
        <f>IFERROR(VLOOKUP(TEXT(O465,"0"),CONDUCTORES!$A$3:$G$54,2,0),"")</f>
        <v/>
      </c>
      <c r="Q465" s="332">
        <f>IFERROR(VLOOKUP(TEXT(O465,"0"),CONDUCTORES!$A$3:$H$54,6,0),"")</f>
        <v/>
      </c>
      <c r="R465" s="334" t="n"/>
      <c r="S465" s="334" t="n"/>
      <c r="T465" s="334" t="n"/>
      <c r="U465" s="334" t="n"/>
      <c r="V465" s="334" t="n"/>
      <c r="W465" s="334" t="n"/>
      <c r="X465" s="334" t="n"/>
      <c r="Y465" s="334" t="n"/>
      <c r="Z465" s="375">
        <f>IF(AND(G465&lt;&gt;"",R465&lt;&gt;"",V465&lt;&gt;"",W465&lt;&gt;""),"COMPLETADO","OBSERVADO")</f>
        <v/>
      </c>
    </row>
    <row r="466" ht="15" customHeight="1" s="195">
      <c r="A466" s="280" t="n"/>
      <c r="B466" s="280" t="n"/>
      <c r="C466" s="280" t="n"/>
      <c r="D466" s="280" t="n"/>
      <c r="E466" s="280" t="n"/>
      <c r="F466" s="280" t="n"/>
      <c r="G466" s="280" t="n"/>
      <c r="H466" s="280" t="n"/>
      <c r="I466" s="332">
        <f>IFERROR(VLOOKUP(TEXT(H466,"0"),IPRESS!$A$3:$B$212,2,0),"")</f>
        <v/>
      </c>
      <c r="J466" s="280" t="n"/>
      <c r="K466" s="332">
        <f>IFERROR(VLOOKUP(TEXT(O466,"0"),CONDUCTORES!$A$3:$G$54,7,0),"")</f>
        <v/>
      </c>
      <c r="L466" s="280" t="n"/>
      <c r="M466" s="280" t="n"/>
      <c r="N466" s="333">
        <f>IFERROR(IF(L466*M466=0,"",L466*M466),"")</f>
        <v/>
      </c>
      <c r="O466" s="280" t="n"/>
      <c r="P466" s="332">
        <f>IFERROR(VLOOKUP(TEXT(O466,"0"),CONDUCTORES!$A$3:$G$54,2,0),"")</f>
        <v/>
      </c>
      <c r="Q466" s="332">
        <f>IFERROR(VLOOKUP(TEXT(O466,"0"),CONDUCTORES!$A$3:$H$54,6,0),"")</f>
        <v/>
      </c>
      <c r="R466" s="280" t="n"/>
      <c r="S466" s="280" t="n"/>
      <c r="T466" s="280" t="n"/>
      <c r="U466" s="280" t="n"/>
      <c r="V466" s="280" t="n"/>
      <c r="W466" s="280" t="n"/>
      <c r="X466" s="280" t="n"/>
      <c r="Y466" s="280" t="n"/>
      <c r="Z466" s="375">
        <f>IF(AND(G466&lt;&gt;"",R466&lt;&gt;"",V466&lt;&gt;"",W466&lt;&gt;""),"COMPLETADO","OBSERVADO")</f>
        <v/>
      </c>
    </row>
    <row r="467" ht="15" customHeight="1" s="195">
      <c r="A467" s="334" t="n"/>
      <c r="B467" s="334" t="n"/>
      <c r="C467" s="334" t="n"/>
      <c r="D467" s="334" t="n"/>
      <c r="E467" s="334" t="n"/>
      <c r="F467" s="334" t="n"/>
      <c r="G467" s="334" t="n"/>
      <c r="H467" s="334" t="n"/>
      <c r="I467" s="332">
        <f>IFERROR(VLOOKUP(TEXT(H467,"0"),IPRESS!$A$3:$B$212,2,0),"")</f>
        <v/>
      </c>
      <c r="J467" s="334" t="n"/>
      <c r="K467" s="332">
        <f>IFERROR(VLOOKUP(TEXT(O467,"0"),CONDUCTORES!$A$3:$G$54,7,0),"")</f>
        <v/>
      </c>
      <c r="L467" s="334" t="n"/>
      <c r="M467" s="334" t="n"/>
      <c r="N467" s="333">
        <f>IFERROR(IF(L467*M467=0,"",L467*M467),"")</f>
        <v/>
      </c>
      <c r="O467" s="334" t="n"/>
      <c r="P467" s="332">
        <f>IFERROR(VLOOKUP(TEXT(O467,"0"),CONDUCTORES!$A$3:$G$54,2,0),"")</f>
        <v/>
      </c>
      <c r="Q467" s="332">
        <f>IFERROR(VLOOKUP(TEXT(O467,"0"),CONDUCTORES!$A$3:$H$54,6,0),"")</f>
        <v/>
      </c>
      <c r="R467" s="334" t="n"/>
      <c r="S467" s="334" t="n"/>
      <c r="T467" s="334" t="n"/>
      <c r="U467" s="334" t="n"/>
      <c r="V467" s="334" t="n"/>
      <c r="W467" s="334" t="n"/>
      <c r="X467" s="334" t="n"/>
      <c r="Y467" s="334" t="n"/>
      <c r="Z467" s="375">
        <f>IF(AND(G467&lt;&gt;"",R467&lt;&gt;"",V467&lt;&gt;"",W467&lt;&gt;""),"COMPLETADO","OBSERVADO")</f>
        <v/>
      </c>
    </row>
    <row r="468" ht="15" customHeight="1" s="195">
      <c r="A468" s="280" t="n"/>
      <c r="B468" s="280" t="n"/>
      <c r="C468" s="280" t="n"/>
      <c r="D468" s="280" t="n"/>
      <c r="E468" s="280" t="n"/>
      <c r="F468" s="280" t="n"/>
      <c r="G468" s="280" t="n"/>
      <c r="H468" s="280" t="n"/>
      <c r="I468" s="332">
        <f>IFERROR(VLOOKUP(TEXT(H468,"0"),IPRESS!$A$3:$B$212,2,0),"")</f>
        <v/>
      </c>
      <c r="J468" s="280" t="n"/>
      <c r="K468" s="332">
        <f>IFERROR(VLOOKUP(TEXT(O468,"0"),CONDUCTORES!$A$3:$G$54,7,0),"")</f>
        <v/>
      </c>
      <c r="L468" s="280" t="n"/>
      <c r="M468" s="280" t="n"/>
      <c r="N468" s="333">
        <f>IFERROR(IF(L468*M468=0,"",L468*M468),"")</f>
        <v/>
      </c>
      <c r="O468" s="280" t="n"/>
      <c r="P468" s="332">
        <f>IFERROR(VLOOKUP(TEXT(O468,"0"),CONDUCTORES!$A$3:$G$54,2,0),"")</f>
        <v/>
      </c>
      <c r="Q468" s="332">
        <f>IFERROR(VLOOKUP(TEXT(O468,"0"),CONDUCTORES!$A$3:$H$54,6,0),"")</f>
        <v/>
      </c>
      <c r="R468" s="280" t="n"/>
      <c r="S468" s="280" t="n"/>
      <c r="T468" s="280" t="n"/>
      <c r="U468" s="280" t="n"/>
      <c r="V468" s="280" t="n"/>
      <c r="W468" s="280" t="n"/>
      <c r="X468" s="280" t="n"/>
      <c r="Y468" s="280" t="n"/>
      <c r="Z468" s="375">
        <f>IF(AND(G468&lt;&gt;"",R468&lt;&gt;"",V468&lt;&gt;"",W468&lt;&gt;""),"COMPLETADO","OBSERVADO")</f>
        <v/>
      </c>
    </row>
    <row r="469" ht="15" customHeight="1" s="195">
      <c r="A469" s="334" t="n"/>
      <c r="B469" s="334" t="n"/>
      <c r="C469" s="334" t="n"/>
      <c r="D469" s="334" t="n"/>
      <c r="E469" s="334" t="n"/>
      <c r="F469" s="334" t="n"/>
      <c r="G469" s="334" t="n"/>
      <c r="H469" s="334" t="n"/>
      <c r="I469" s="332">
        <f>IFERROR(VLOOKUP(TEXT(H469,"0"),IPRESS!$A$3:$B$212,2,0),"")</f>
        <v/>
      </c>
      <c r="J469" s="334" t="n"/>
      <c r="K469" s="332">
        <f>IFERROR(VLOOKUP(TEXT(O469,"0"),CONDUCTORES!$A$3:$G$54,7,0),"")</f>
        <v/>
      </c>
      <c r="L469" s="334" t="n"/>
      <c r="M469" s="334" t="n"/>
      <c r="N469" s="333">
        <f>IFERROR(IF(L469*M469=0,"",L469*M469),"")</f>
        <v/>
      </c>
      <c r="O469" s="334" t="n"/>
      <c r="P469" s="332">
        <f>IFERROR(VLOOKUP(TEXT(O469,"0"),CONDUCTORES!$A$3:$G$54,2,0),"")</f>
        <v/>
      </c>
      <c r="Q469" s="332">
        <f>IFERROR(VLOOKUP(TEXT(O469,"0"),CONDUCTORES!$A$3:$H$54,6,0),"")</f>
        <v/>
      </c>
      <c r="R469" s="334" t="n"/>
      <c r="S469" s="334" t="n"/>
      <c r="T469" s="334" t="n"/>
      <c r="U469" s="334" t="n"/>
      <c r="V469" s="334" t="n"/>
      <c r="W469" s="334" t="n"/>
      <c r="X469" s="334" t="n"/>
      <c r="Y469" s="334" t="n"/>
      <c r="Z469" s="375">
        <f>IF(AND(G469&lt;&gt;"",R469&lt;&gt;"",V469&lt;&gt;"",W469&lt;&gt;""),"COMPLETADO","OBSERVADO")</f>
        <v/>
      </c>
    </row>
    <row r="470" ht="15" customHeight="1" s="195">
      <c r="A470" s="280" t="n"/>
      <c r="B470" s="280" t="n"/>
      <c r="C470" s="280" t="n"/>
      <c r="D470" s="280" t="n"/>
      <c r="E470" s="280" t="n"/>
      <c r="F470" s="280" t="n"/>
      <c r="G470" s="280" t="n"/>
      <c r="H470" s="280" t="n"/>
      <c r="I470" s="332">
        <f>IFERROR(VLOOKUP(TEXT(H470,"0"),IPRESS!$A$3:$B$212,2,0),"")</f>
        <v/>
      </c>
      <c r="J470" s="280" t="n"/>
      <c r="K470" s="332">
        <f>IFERROR(VLOOKUP(TEXT(O470,"0"),CONDUCTORES!$A$3:$G$54,7,0),"")</f>
        <v/>
      </c>
      <c r="L470" s="280" t="n"/>
      <c r="M470" s="280" t="n"/>
      <c r="N470" s="333">
        <f>IFERROR(IF(L470*M470=0,"",L470*M470),"")</f>
        <v/>
      </c>
      <c r="O470" s="280" t="n"/>
      <c r="P470" s="332">
        <f>IFERROR(VLOOKUP(TEXT(O470,"0"),CONDUCTORES!$A$3:$G$54,2,0),"")</f>
        <v/>
      </c>
      <c r="Q470" s="332">
        <f>IFERROR(VLOOKUP(TEXT(O470,"0"),CONDUCTORES!$A$3:$H$54,6,0),"")</f>
        <v/>
      </c>
      <c r="R470" s="280" t="n"/>
      <c r="S470" s="280" t="n"/>
      <c r="T470" s="280" t="n"/>
      <c r="U470" s="280" t="n"/>
      <c r="V470" s="280" t="n"/>
      <c r="W470" s="280" t="n"/>
      <c r="X470" s="280" t="n"/>
      <c r="Y470" s="280" t="n"/>
      <c r="Z470" s="375">
        <f>IF(AND(G470&lt;&gt;"",R470&lt;&gt;"",V470&lt;&gt;"",W470&lt;&gt;""),"COMPLETADO","OBSERVADO")</f>
        <v/>
      </c>
    </row>
    <row r="471" ht="15" customHeight="1" s="195">
      <c r="A471" s="334" t="n"/>
      <c r="B471" s="334" t="n"/>
      <c r="C471" s="334" t="n"/>
      <c r="D471" s="334" t="n"/>
      <c r="E471" s="334" t="n"/>
      <c r="F471" s="334" t="n"/>
      <c r="G471" s="334" t="n"/>
      <c r="H471" s="334" t="n"/>
      <c r="I471" s="332">
        <f>IFERROR(VLOOKUP(TEXT(H471,"0"),IPRESS!$A$3:$B$212,2,0),"")</f>
        <v/>
      </c>
      <c r="J471" s="334" t="n"/>
      <c r="K471" s="332">
        <f>IFERROR(VLOOKUP(TEXT(O471,"0"),CONDUCTORES!$A$3:$G$54,7,0),"")</f>
        <v/>
      </c>
      <c r="L471" s="334" t="n"/>
      <c r="M471" s="334" t="n"/>
      <c r="N471" s="333">
        <f>IFERROR(IF(L471*M471=0,"",L471*M471),"")</f>
        <v/>
      </c>
      <c r="O471" s="334" t="n"/>
      <c r="P471" s="332">
        <f>IFERROR(VLOOKUP(TEXT(O471,"0"),CONDUCTORES!$A$3:$G$54,2,0),"")</f>
        <v/>
      </c>
      <c r="Q471" s="332">
        <f>IFERROR(VLOOKUP(TEXT(O471,"0"),CONDUCTORES!$A$3:$H$54,6,0),"")</f>
        <v/>
      </c>
      <c r="R471" s="334" t="n"/>
      <c r="S471" s="334" t="n"/>
      <c r="T471" s="334" t="n"/>
      <c r="U471" s="334" t="n"/>
      <c r="V471" s="334" t="n"/>
      <c r="W471" s="334" t="n"/>
      <c r="X471" s="334" t="n"/>
      <c r="Y471" s="334" t="n"/>
      <c r="Z471" s="375">
        <f>IF(AND(G471&lt;&gt;"",R471&lt;&gt;"",V471&lt;&gt;"",W471&lt;&gt;""),"COMPLETADO","OBSERVADO")</f>
        <v/>
      </c>
    </row>
    <row r="472" ht="15" customHeight="1" s="195">
      <c r="A472" s="280" t="n"/>
      <c r="B472" s="280" t="n"/>
      <c r="C472" s="280" t="n"/>
      <c r="D472" s="280" t="n"/>
      <c r="E472" s="280" t="n"/>
      <c r="F472" s="280" t="n"/>
      <c r="G472" s="280" t="n"/>
      <c r="H472" s="280" t="n"/>
      <c r="I472" s="332">
        <f>IFERROR(VLOOKUP(TEXT(H472,"0"),IPRESS!$A$3:$B$212,2,0),"")</f>
        <v/>
      </c>
      <c r="J472" s="280" t="n"/>
      <c r="K472" s="332">
        <f>IFERROR(VLOOKUP(TEXT(O472,"0"),CONDUCTORES!$A$3:$G$54,7,0),"")</f>
        <v/>
      </c>
      <c r="L472" s="280" t="n"/>
      <c r="M472" s="280" t="n"/>
      <c r="N472" s="333">
        <f>IFERROR(IF(L472*M472=0,"",L472*M472),"")</f>
        <v/>
      </c>
      <c r="O472" s="280" t="n"/>
      <c r="P472" s="332">
        <f>IFERROR(VLOOKUP(TEXT(O472,"0"),CONDUCTORES!$A$3:$G$54,2,0),"")</f>
        <v/>
      </c>
      <c r="Q472" s="332">
        <f>IFERROR(VLOOKUP(TEXT(O472,"0"),CONDUCTORES!$A$3:$H$54,6,0),"")</f>
        <v/>
      </c>
      <c r="R472" s="280" t="n"/>
      <c r="S472" s="280" t="n"/>
      <c r="T472" s="280" t="n"/>
      <c r="U472" s="280" t="n"/>
      <c r="V472" s="280" t="n"/>
      <c r="W472" s="280" t="n"/>
      <c r="X472" s="280" t="n"/>
      <c r="Y472" s="280" t="n"/>
      <c r="Z472" s="375">
        <f>IF(AND(G472&lt;&gt;"",R472&lt;&gt;"",V472&lt;&gt;"",W472&lt;&gt;""),"COMPLETADO","OBSERVADO")</f>
        <v/>
      </c>
    </row>
    <row r="473" ht="15" customHeight="1" s="195">
      <c r="A473" s="334" t="n"/>
      <c r="B473" s="334" t="n"/>
      <c r="C473" s="334" t="n"/>
      <c r="D473" s="334" t="n"/>
      <c r="E473" s="334" t="n"/>
      <c r="F473" s="334" t="n"/>
      <c r="G473" s="334" t="n"/>
      <c r="H473" s="334" t="n"/>
      <c r="I473" s="332">
        <f>IFERROR(VLOOKUP(TEXT(H473,"0"),IPRESS!$A$3:$B$212,2,0),"")</f>
        <v/>
      </c>
      <c r="J473" s="334" t="n"/>
      <c r="K473" s="332">
        <f>IFERROR(VLOOKUP(TEXT(O473,"0"),CONDUCTORES!$A$3:$G$54,7,0),"")</f>
        <v/>
      </c>
      <c r="L473" s="334" t="n"/>
      <c r="M473" s="334" t="n"/>
      <c r="N473" s="333">
        <f>IFERROR(IF(L473*M473=0,"",L473*M473),"")</f>
        <v/>
      </c>
      <c r="O473" s="334" t="n"/>
      <c r="P473" s="332">
        <f>IFERROR(VLOOKUP(TEXT(O473,"0"),CONDUCTORES!$A$3:$G$54,2,0),"")</f>
        <v/>
      </c>
      <c r="Q473" s="332">
        <f>IFERROR(VLOOKUP(TEXT(O473,"0"),CONDUCTORES!$A$3:$H$54,6,0),"")</f>
        <v/>
      </c>
      <c r="R473" s="334" t="n"/>
      <c r="S473" s="334" t="n"/>
      <c r="T473" s="334" t="n"/>
      <c r="U473" s="334" t="n"/>
      <c r="V473" s="334" t="n"/>
      <c r="W473" s="334" t="n"/>
      <c r="X473" s="334" t="n"/>
      <c r="Y473" s="334" t="n"/>
      <c r="Z473" s="375">
        <f>IF(AND(G473&lt;&gt;"",R473&lt;&gt;"",V473&lt;&gt;"",W473&lt;&gt;""),"COMPLETADO","OBSERVADO")</f>
        <v/>
      </c>
    </row>
    <row r="474" ht="15" customHeight="1" s="195">
      <c r="A474" s="280" t="n"/>
      <c r="B474" s="280" t="n"/>
      <c r="C474" s="280" t="n"/>
      <c r="D474" s="280" t="n"/>
      <c r="E474" s="280" t="n"/>
      <c r="F474" s="280" t="n"/>
      <c r="G474" s="280" t="n"/>
      <c r="H474" s="280" t="n"/>
      <c r="I474" s="332">
        <f>IFERROR(VLOOKUP(TEXT(H474,"0"),IPRESS!$A$3:$B$212,2,0),"")</f>
        <v/>
      </c>
      <c r="J474" s="280" t="n"/>
      <c r="K474" s="332">
        <f>IFERROR(VLOOKUP(TEXT(O474,"0"),CONDUCTORES!$A$3:$G$54,7,0),"")</f>
        <v/>
      </c>
      <c r="L474" s="280" t="n"/>
      <c r="M474" s="280" t="n"/>
      <c r="N474" s="333">
        <f>IFERROR(IF(L474*M474=0,"",L474*M474),"")</f>
        <v/>
      </c>
      <c r="O474" s="280" t="n"/>
      <c r="P474" s="332">
        <f>IFERROR(VLOOKUP(TEXT(O474,"0"),CONDUCTORES!$A$3:$G$54,2,0),"")</f>
        <v/>
      </c>
      <c r="Q474" s="332">
        <f>IFERROR(VLOOKUP(TEXT(O474,"0"),CONDUCTORES!$A$3:$H$54,6,0),"")</f>
        <v/>
      </c>
      <c r="R474" s="280" t="n"/>
      <c r="S474" s="280" t="n"/>
      <c r="T474" s="280" t="n"/>
      <c r="U474" s="280" t="n"/>
      <c r="V474" s="280" t="n"/>
      <c r="W474" s="280" t="n"/>
      <c r="X474" s="280" t="n"/>
      <c r="Y474" s="280" t="n"/>
      <c r="Z474" s="375">
        <f>IF(AND(G474&lt;&gt;"",R474&lt;&gt;"",V474&lt;&gt;"",W474&lt;&gt;""),"COMPLETADO","OBSERVADO")</f>
        <v/>
      </c>
    </row>
    <row r="475" ht="15" customHeight="1" s="195">
      <c r="A475" s="334" t="n"/>
      <c r="B475" s="334" t="n"/>
      <c r="C475" s="334" t="n"/>
      <c r="D475" s="334" t="n"/>
      <c r="E475" s="334" t="n"/>
      <c r="F475" s="334" t="n"/>
      <c r="G475" s="334" t="n"/>
      <c r="H475" s="334" t="n"/>
      <c r="I475" s="332">
        <f>IFERROR(VLOOKUP(TEXT(H475,"0"),IPRESS!$A$3:$B$212,2,0),"")</f>
        <v/>
      </c>
      <c r="J475" s="334" t="n"/>
      <c r="K475" s="332">
        <f>IFERROR(VLOOKUP(TEXT(O475,"0"),CONDUCTORES!$A$3:$G$54,7,0),"")</f>
        <v/>
      </c>
      <c r="L475" s="334" t="n"/>
      <c r="M475" s="334" t="n"/>
      <c r="N475" s="333">
        <f>IFERROR(IF(L475*M475=0,"",L475*M475),"")</f>
        <v/>
      </c>
      <c r="O475" s="334" t="n"/>
      <c r="P475" s="332">
        <f>IFERROR(VLOOKUP(TEXT(O475,"0"),CONDUCTORES!$A$3:$G$54,2,0),"")</f>
        <v/>
      </c>
      <c r="Q475" s="332">
        <f>IFERROR(VLOOKUP(TEXT(O475,"0"),CONDUCTORES!$A$3:$H$54,6,0),"")</f>
        <v/>
      </c>
      <c r="R475" s="334" t="n"/>
      <c r="S475" s="334" t="n"/>
      <c r="T475" s="334" t="n"/>
      <c r="U475" s="334" t="n"/>
      <c r="V475" s="334" t="n"/>
      <c r="W475" s="334" t="n"/>
      <c r="X475" s="334" t="n"/>
      <c r="Y475" s="334" t="n"/>
      <c r="Z475" s="375">
        <f>IF(AND(G475&lt;&gt;"",R475&lt;&gt;"",V475&lt;&gt;"",W475&lt;&gt;""),"COMPLETADO","OBSERVADO")</f>
        <v/>
      </c>
    </row>
    <row r="476" ht="15" customHeight="1" s="195">
      <c r="A476" s="280" t="n"/>
      <c r="B476" s="280" t="n"/>
      <c r="C476" s="280" t="n"/>
      <c r="D476" s="280" t="n"/>
      <c r="E476" s="280" t="n"/>
      <c r="F476" s="280" t="n"/>
      <c r="G476" s="280" t="n"/>
      <c r="H476" s="280" t="n"/>
      <c r="I476" s="332">
        <f>IFERROR(VLOOKUP(TEXT(H476,"0"),IPRESS!$A$3:$B$212,2,0),"")</f>
        <v/>
      </c>
      <c r="J476" s="280" t="n"/>
      <c r="K476" s="332">
        <f>IFERROR(VLOOKUP(TEXT(O476,"0"),CONDUCTORES!$A$3:$G$54,7,0),"")</f>
        <v/>
      </c>
      <c r="L476" s="280" t="n"/>
      <c r="M476" s="280" t="n"/>
      <c r="N476" s="333">
        <f>IFERROR(IF(L476*M476=0,"",L476*M476),"")</f>
        <v/>
      </c>
      <c r="O476" s="280" t="n"/>
      <c r="P476" s="332">
        <f>IFERROR(VLOOKUP(TEXT(O476,"0"),CONDUCTORES!$A$3:$G$54,2,0),"")</f>
        <v/>
      </c>
      <c r="Q476" s="332">
        <f>IFERROR(VLOOKUP(TEXT(O476,"0"),CONDUCTORES!$A$3:$H$54,6,0),"")</f>
        <v/>
      </c>
      <c r="R476" s="280" t="n"/>
      <c r="S476" s="280" t="n"/>
      <c r="T476" s="280" t="n"/>
      <c r="U476" s="280" t="n"/>
      <c r="V476" s="280" t="n"/>
      <c r="W476" s="280" t="n"/>
      <c r="X476" s="280" t="n"/>
      <c r="Y476" s="280" t="n"/>
      <c r="Z476" s="375">
        <f>IF(AND(G476&lt;&gt;"",R476&lt;&gt;"",V476&lt;&gt;"",W476&lt;&gt;""),"COMPLETADO","OBSERVADO")</f>
        <v/>
      </c>
    </row>
    <row r="477" ht="15" customHeight="1" s="195">
      <c r="A477" s="334" t="n"/>
      <c r="B477" s="334" t="n"/>
      <c r="C477" s="334" t="n"/>
      <c r="D477" s="334" t="n"/>
      <c r="E477" s="334" t="n"/>
      <c r="F477" s="334" t="n"/>
      <c r="G477" s="334" t="n"/>
      <c r="H477" s="334" t="n"/>
      <c r="I477" s="332">
        <f>IFERROR(VLOOKUP(TEXT(H477,"0"),IPRESS!$A$3:$B$212,2,0),"")</f>
        <v/>
      </c>
      <c r="J477" s="334" t="n"/>
      <c r="K477" s="332">
        <f>IFERROR(VLOOKUP(TEXT(O477,"0"),CONDUCTORES!$A$3:$G$54,7,0),"")</f>
        <v/>
      </c>
      <c r="L477" s="334" t="n"/>
      <c r="M477" s="334" t="n"/>
      <c r="N477" s="333">
        <f>IFERROR(IF(L477*M477=0,"",L477*M477),"")</f>
        <v/>
      </c>
      <c r="O477" s="334" t="n"/>
      <c r="P477" s="332">
        <f>IFERROR(VLOOKUP(TEXT(O477,"0"),CONDUCTORES!$A$3:$G$54,2,0),"")</f>
        <v/>
      </c>
      <c r="Q477" s="332">
        <f>IFERROR(VLOOKUP(TEXT(O477,"0"),CONDUCTORES!$A$3:$H$54,6,0),"")</f>
        <v/>
      </c>
      <c r="R477" s="334" t="n"/>
      <c r="S477" s="334" t="n"/>
      <c r="T477" s="334" t="n"/>
      <c r="U477" s="334" t="n"/>
      <c r="V477" s="334" t="n"/>
      <c r="W477" s="334" t="n"/>
      <c r="X477" s="334" t="n"/>
      <c r="Y477" s="334" t="n"/>
      <c r="Z477" s="375">
        <f>IF(AND(G477&lt;&gt;"",R477&lt;&gt;"",V477&lt;&gt;"",W477&lt;&gt;""),"COMPLETADO","OBSERVADO")</f>
        <v/>
      </c>
    </row>
    <row r="478" ht="15" customHeight="1" s="195">
      <c r="A478" s="280" t="n"/>
      <c r="B478" s="280" t="n"/>
      <c r="C478" s="280" t="n"/>
      <c r="D478" s="280" t="n"/>
      <c r="E478" s="280" t="n"/>
      <c r="F478" s="280" t="n"/>
      <c r="G478" s="280" t="n"/>
      <c r="H478" s="280" t="n"/>
      <c r="I478" s="332">
        <f>IFERROR(VLOOKUP(TEXT(H478,"0"),IPRESS!$A$3:$B$212,2,0),"")</f>
        <v/>
      </c>
      <c r="J478" s="280" t="n"/>
      <c r="K478" s="332">
        <f>IFERROR(VLOOKUP(TEXT(O478,"0"),CONDUCTORES!$A$3:$G$54,7,0),"")</f>
        <v/>
      </c>
      <c r="L478" s="280" t="n"/>
      <c r="M478" s="280" t="n"/>
      <c r="N478" s="333">
        <f>IFERROR(IF(L478*M478=0,"",L478*M478),"")</f>
        <v/>
      </c>
      <c r="O478" s="280" t="n"/>
      <c r="P478" s="332">
        <f>IFERROR(VLOOKUP(TEXT(O478,"0"),CONDUCTORES!$A$3:$G$54,2,0),"")</f>
        <v/>
      </c>
      <c r="Q478" s="332">
        <f>IFERROR(VLOOKUP(TEXT(O478,"0"),CONDUCTORES!$A$3:$H$54,6,0),"")</f>
        <v/>
      </c>
      <c r="R478" s="280" t="n"/>
      <c r="S478" s="280" t="n"/>
      <c r="T478" s="280" t="n"/>
      <c r="U478" s="280" t="n"/>
      <c r="V478" s="280" t="n"/>
      <c r="W478" s="280" t="n"/>
      <c r="X478" s="280" t="n"/>
      <c r="Y478" s="280" t="n"/>
      <c r="Z478" s="375">
        <f>IF(AND(G478&lt;&gt;"",R478&lt;&gt;"",V478&lt;&gt;"",W478&lt;&gt;""),"COMPLETADO","OBSERVADO")</f>
        <v/>
      </c>
    </row>
    <row r="479" ht="15" customHeight="1" s="195">
      <c r="A479" s="334" t="n"/>
      <c r="B479" s="334" t="n"/>
      <c r="C479" s="334" t="n"/>
      <c r="D479" s="334" t="n"/>
      <c r="E479" s="334" t="n"/>
      <c r="F479" s="334" t="n"/>
      <c r="G479" s="334" t="n"/>
      <c r="H479" s="334" t="n"/>
      <c r="I479" s="332">
        <f>IFERROR(VLOOKUP(TEXT(H479,"0"),IPRESS!$A$3:$B$212,2,0),"")</f>
        <v/>
      </c>
      <c r="J479" s="334" t="n"/>
      <c r="K479" s="332">
        <f>IFERROR(VLOOKUP(TEXT(O479,"0"),CONDUCTORES!$A$3:$G$54,7,0),"")</f>
        <v/>
      </c>
      <c r="L479" s="334" t="n"/>
      <c r="M479" s="334" t="n"/>
      <c r="N479" s="333">
        <f>IFERROR(IF(L479*M479=0,"",L479*M479),"")</f>
        <v/>
      </c>
      <c r="O479" s="334" t="n"/>
      <c r="P479" s="332">
        <f>IFERROR(VLOOKUP(TEXT(O479,"0"),CONDUCTORES!$A$3:$G$54,2,0),"")</f>
        <v/>
      </c>
      <c r="Q479" s="332">
        <f>IFERROR(VLOOKUP(TEXT(O479,"0"),CONDUCTORES!$A$3:$H$54,6,0),"")</f>
        <v/>
      </c>
      <c r="R479" s="334" t="n"/>
      <c r="S479" s="334" t="n"/>
      <c r="T479" s="334" t="n"/>
      <c r="U479" s="334" t="n"/>
      <c r="V479" s="334" t="n"/>
      <c r="W479" s="334" t="n"/>
      <c r="X479" s="334" t="n"/>
      <c r="Y479" s="334" t="n"/>
      <c r="Z479" s="375">
        <f>IF(AND(G479&lt;&gt;"",R479&lt;&gt;"",V479&lt;&gt;"",W479&lt;&gt;""),"COMPLETADO","OBSERVADO")</f>
        <v/>
      </c>
    </row>
    <row r="480" ht="15" customHeight="1" s="195">
      <c r="A480" s="280" t="n"/>
      <c r="B480" s="280" t="n"/>
      <c r="C480" s="280" t="n"/>
      <c r="D480" s="280" t="n"/>
      <c r="E480" s="280" t="n"/>
      <c r="F480" s="280" t="n"/>
      <c r="G480" s="280" t="n"/>
      <c r="H480" s="280" t="n"/>
      <c r="I480" s="332">
        <f>IFERROR(VLOOKUP(TEXT(H480,"0"),IPRESS!$A$3:$B$212,2,0),"")</f>
        <v/>
      </c>
      <c r="J480" s="280" t="n"/>
      <c r="K480" s="332">
        <f>IFERROR(VLOOKUP(TEXT(O480,"0"),CONDUCTORES!$A$3:$G$54,7,0),"")</f>
        <v/>
      </c>
      <c r="L480" s="280" t="n"/>
      <c r="M480" s="280" t="n"/>
      <c r="N480" s="333">
        <f>IFERROR(IF(L480*M480=0,"",L480*M480),"")</f>
        <v/>
      </c>
      <c r="O480" s="280" t="n"/>
      <c r="P480" s="332">
        <f>IFERROR(VLOOKUP(TEXT(O480,"0"),CONDUCTORES!$A$3:$G$54,2,0),"")</f>
        <v/>
      </c>
      <c r="Q480" s="332">
        <f>IFERROR(VLOOKUP(TEXT(O480,"0"),CONDUCTORES!$A$3:$H$54,6,0),"")</f>
        <v/>
      </c>
      <c r="R480" s="280" t="n"/>
      <c r="S480" s="280" t="n"/>
      <c r="T480" s="280" t="n"/>
      <c r="U480" s="280" t="n"/>
      <c r="V480" s="280" t="n"/>
      <c r="W480" s="280" t="n"/>
      <c r="X480" s="280" t="n"/>
      <c r="Y480" s="280" t="n"/>
      <c r="Z480" s="375">
        <f>IF(AND(G480&lt;&gt;"",R480&lt;&gt;"",V480&lt;&gt;"",W480&lt;&gt;""),"COMPLETADO","OBSERVADO")</f>
        <v/>
      </c>
    </row>
    <row r="481" ht="15" customHeight="1" s="195">
      <c r="A481" s="334" t="n"/>
      <c r="B481" s="334" t="n"/>
      <c r="C481" s="334" t="n"/>
      <c r="D481" s="334" t="n"/>
      <c r="E481" s="334" t="n"/>
      <c r="F481" s="334" t="n"/>
      <c r="G481" s="334" t="n"/>
      <c r="H481" s="334" t="n"/>
      <c r="I481" s="332">
        <f>IFERROR(VLOOKUP(TEXT(H481,"0"),IPRESS!$A$3:$B$212,2,0),"")</f>
        <v/>
      </c>
      <c r="J481" s="334" t="n"/>
      <c r="K481" s="332">
        <f>IFERROR(VLOOKUP(TEXT(O481,"0"),CONDUCTORES!$A$3:$G$54,7,0),"")</f>
        <v/>
      </c>
      <c r="L481" s="334" t="n"/>
      <c r="M481" s="334" t="n"/>
      <c r="N481" s="333">
        <f>IFERROR(IF(L481*M481=0,"",L481*M481),"")</f>
        <v/>
      </c>
      <c r="O481" s="334" t="n"/>
      <c r="P481" s="332">
        <f>IFERROR(VLOOKUP(TEXT(O481,"0"),CONDUCTORES!$A$3:$G$54,2,0),"")</f>
        <v/>
      </c>
      <c r="Q481" s="332">
        <f>IFERROR(VLOOKUP(TEXT(O481,"0"),CONDUCTORES!$A$3:$H$54,6,0),"")</f>
        <v/>
      </c>
      <c r="R481" s="334" t="n"/>
      <c r="S481" s="334" t="n"/>
      <c r="T481" s="334" t="n"/>
      <c r="U481" s="334" t="n"/>
      <c r="V481" s="334" t="n"/>
      <c r="W481" s="334" t="n"/>
      <c r="X481" s="334" t="n"/>
      <c r="Y481" s="334" t="n"/>
      <c r="Z481" s="375">
        <f>IF(AND(G481&lt;&gt;"",R481&lt;&gt;"",V481&lt;&gt;"",W481&lt;&gt;""),"COMPLETADO","OBSERVADO")</f>
        <v/>
      </c>
    </row>
    <row r="482" ht="15" customHeight="1" s="195">
      <c r="A482" s="280" t="n"/>
      <c r="B482" s="280" t="n"/>
      <c r="C482" s="280" t="n"/>
      <c r="D482" s="280" t="n"/>
      <c r="E482" s="280" t="n"/>
      <c r="F482" s="280" t="n"/>
      <c r="G482" s="280" t="n"/>
      <c r="H482" s="280" t="n"/>
      <c r="I482" s="332">
        <f>IFERROR(VLOOKUP(TEXT(H482,"0"),IPRESS!$A$3:$B$212,2,0),"")</f>
        <v/>
      </c>
      <c r="J482" s="280" t="n"/>
      <c r="K482" s="332">
        <f>IFERROR(VLOOKUP(TEXT(O482,"0"),CONDUCTORES!$A$3:$G$54,7,0),"")</f>
        <v/>
      </c>
      <c r="L482" s="280" t="n"/>
      <c r="M482" s="280" t="n"/>
      <c r="N482" s="333">
        <f>IFERROR(IF(L482*M482=0,"",L482*M482),"")</f>
        <v/>
      </c>
      <c r="O482" s="280" t="n"/>
      <c r="P482" s="332">
        <f>IFERROR(VLOOKUP(TEXT(O482,"0"),CONDUCTORES!$A$3:$G$54,2,0),"")</f>
        <v/>
      </c>
      <c r="Q482" s="332">
        <f>IFERROR(VLOOKUP(TEXT(O482,"0"),CONDUCTORES!$A$3:$H$54,6,0),"")</f>
        <v/>
      </c>
      <c r="R482" s="280" t="n"/>
      <c r="S482" s="280" t="n"/>
      <c r="T482" s="280" t="n"/>
      <c r="U482" s="280" t="n"/>
      <c r="V482" s="280" t="n"/>
      <c r="W482" s="280" t="n"/>
      <c r="X482" s="280" t="n"/>
      <c r="Y482" s="280" t="n"/>
      <c r="Z482" s="375">
        <f>IF(AND(G482&lt;&gt;"",R482&lt;&gt;"",V482&lt;&gt;"",W482&lt;&gt;""),"COMPLETADO","OBSERVADO")</f>
        <v/>
      </c>
    </row>
    <row r="483" ht="15" customHeight="1" s="195">
      <c r="A483" s="334" t="n"/>
      <c r="B483" s="334" t="n"/>
      <c r="C483" s="334" t="n"/>
      <c r="D483" s="334" t="n"/>
      <c r="E483" s="334" t="n"/>
      <c r="F483" s="334" t="n"/>
      <c r="G483" s="334" t="n"/>
      <c r="H483" s="334" t="n"/>
      <c r="I483" s="332">
        <f>IFERROR(VLOOKUP(TEXT(H483,"0"),IPRESS!$A$3:$B$212,2,0),"")</f>
        <v/>
      </c>
      <c r="J483" s="334" t="n"/>
      <c r="K483" s="332">
        <f>IFERROR(VLOOKUP(TEXT(O483,"0"),CONDUCTORES!$A$3:$G$54,7,0),"")</f>
        <v/>
      </c>
      <c r="L483" s="334" t="n"/>
      <c r="M483" s="334" t="n"/>
      <c r="N483" s="333">
        <f>IFERROR(IF(L483*M483=0,"",L483*M483),"")</f>
        <v/>
      </c>
      <c r="O483" s="334" t="n"/>
      <c r="P483" s="332">
        <f>IFERROR(VLOOKUP(TEXT(O483,"0"),CONDUCTORES!$A$3:$G$54,2,0),"")</f>
        <v/>
      </c>
      <c r="Q483" s="332">
        <f>IFERROR(VLOOKUP(TEXT(O483,"0"),CONDUCTORES!$A$3:$H$54,6,0),"")</f>
        <v/>
      </c>
      <c r="R483" s="334" t="n"/>
      <c r="S483" s="334" t="n"/>
      <c r="T483" s="334" t="n"/>
      <c r="U483" s="334" t="n"/>
      <c r="V483" s="334" t="n"/>
      <c r="W483" s="334" t="n"/>
      <c r="X483" s="334" t="n"/>
      <c r="Y483" s="334" t="n"/>
      <c r="Z483" s="375">
        <f>IF(AND(G483&lt;&gt;"",R483&lt;&gt;"",V483&lt;&gt;"",W483&lt;&gt;""),"COMPLETADO","OBSERVADO")</f>
        <v/>
      </c>
    </row>
    <row r="484" ht="15" customHeight="1" s="195">
      <c r="A484" s="280" t="n"/>
      <c r="B484" s="280" t="n"/>
      <c r="C484" s="280" t="n"/>
      <c r="D484" s="280" t="n"/>
      <c r="E484" s="280" t="n"/>
      <c r="F484" s="280" t="n"/>
      <c r="G484" s="280" t="n"/>
      <c r="H484" s="280" t="n"/>
      <c r="I484" s="332">
        <f>IFERROR(VLOOKUP(TEXT(H484,"0"),IPRESS!$A$3:$B$212,2,0),"")</f>
        <v/>
      </c>
      <c r="J484" s="280" t="n"/>
      <c r="K484" s="332">
        <f>IFERROR(VLOOKUP(TEXT(O484,"0"),CONDUCTORES!$A$3:$G$54,7,0),"")</f>
        <v/>
      </c>
      <c r="L484" s="280" t="n"/>
      <c r="M484" s="280" t="n"/>
      <c r="N484" s="333">
        <f>IFERROR(IF(L484*M484=0,"",L484*M484),"")</f>
        <v/>
      </c>
      <c r="O484" s="280" t="n"/>
      <c r="P484" s="332">
        <f>IFERROR(VLOOKUP(TEXT(O484,"0"),CONDUCTORES!$A$3:$G$54,2,0),"")</f>
        <v/>
      </c>
      <c r="Q484" s="332">
        <f>IFERROR(VLOOKUP(TEXT(O484,"0"),CONDUCTORES!$A$3:$H$54,6,0),"")</f>
        <v/>
      </c>
      <c r="R484" s="280" t="n"/>
      <c r="S484" s="280" t="n"/>
      <c r="T484" s="280" t="n"/>
      <c r="U484" s="280" t="n"/>
      <c r="V484" s="280" t="n"/>
      <c r="W484" s="280" t="n"/>
      <c r="X484" s="280" t="n"/>
      <c r="Y484" s="280" t="n"/>
      <c r="Z484" s="375">
        <f>IF(AND(G484&lt;&gt;"",R484&lt;&gt;"",V484&lt;&gt;"",W484&lt;&gt;""),"COMPLETADO","OBSERVADO")</f>
        <v/>
      </c>
    </row>
    <row r="485" ht="15" customHeight="1" s="195">
      <c r="A485" s="334" t="n"/>
      <c r="B485" s="334" t="n"/>
      <c r="C485" s="334" t="n"/>
      <c r="D485" s="334" t="n"/>
      <c r="E485" s="334" t="n"/>
      <c r="F485" s="334" t="n"/>
      <c r="G485" s="334" t="n"/>
      <c r="H485" s="334" t="n"/>
      <c r="I485" s="332">
        <f>IFERROR(VLOOKUP(TEXT(H485,"0"),IPRESS!$A$3:$B$212,2,0),"")</f>
        <v/>
      </c>
      <c r="J485" s="334" t="n"/>
      <c r="K485" s="332">
        <f>IFERROR(VLOOKUP(TEXT(O485,"0"),CONDUCTORES!$A$3:$G$54,7,0),"")</f>
        <v/>
      </c>
      <c r="L485" s="334" t="n"/>
      <c r="M485" s="334" t="n"/>
      <c r="N485" s="333">
        <f>IFERROR(IF(L485*M485=0,"",L485*M485),"")</f>
        <v/>
      </c>
      <c r="O485" s="334" t="n"/>
      <c r="P485" s="332">
        <f>IFERROR(VLOOKUP(TEXT(O485,"0"),CONDUCTORES!$A$3:$G$54,2,0),"")</f>
        <v/>
      </c>
      <c r="Q485" s="332">
        <f>IFERROR(VLOOKUP(TEXT(O485,"0"),CONDUCTORES!$A$3:$H$54,6,0),"")</f>
        <v/>
      </c>
      <c r="R485" s="334" t="n"/>
      <c r="S485" s="334" t="n"/>
      <c r="T485" s="334" t="n"/>
      <c r="U485" s="334" t="n"/>
      <c r="V485" s="334" t="n"/>
      <c r="W485" s="334" t="n"/>
      <c r="X485" s="334" t="n"/>
      <c r="Y485" s="334" t="n"/>
      <c r="Z485" s="375">
        <f>IF(AND(G485&lt;&gt;"",R485&lt;&gt;"",V485&lt;&gt;"",W485&lt;&gt;""),"COMPLETADO","OBSERVADO")</f>
        <v/>
      </c>
    </row>
    <row r="486" ht="15" customHeight="1" s="195">
      <c r="A486" s="280" t="n"/>
      <c r="B486" s="280" t="n"/>
      <c r="C486" s="280" t="n"/>
      <c r="D486" s="280" t="n"/>
      <c r="E486" s="280" t="n"/>
      <c r="F486" s="280" t="n"/>
      <c r="G486" s="280" t="n"/>
      <c r="H486" s="280" t="n"/>
      <c r="I486" s="332">
        <f>IFERROR(VLOOKUP(TEXT(H486,"0"),IPRESS!$A$3:$B$212,2,0),"")</f>
        <v/>
      </c>
      <c r="J486" s="280" t="n"/>
      <c r="K486" s="332">
        <f>IFERROR(VLOOKUP(TEXT(O486,"0"),CONDUCTORES!$A$3:$G$54,7,0),"")</f>
        <v/>
      </c>
      <c r="L486" s="280" t="n"/>
      <c r="M486" s="280" t="n"/>
      <c r="N486" s="333">
        <f>IFERROR(IF(L486*M486=0,"",L486*M486),"")</f>
        <v/>
      </c>
      <c r="O486" s="280" t="n"/>
      <c r="P486" s="332">
        <f>IFERROR(VLOOKUP(TEXT(O486,"0"),CONDUCTORES!$A$3:$G$54,2,0),"")</f>
        <v/>
      </c>
      <c r="Q486" s="332">
        <f>IFERROR(VLOOKUP(TEXT(O486,"0"),CONDUCTORES!$A$3:$H$54,6,0),"")</f>
        <v/>
      </c>
      <c r="R486" s="280" t="n"/>
      <c r="S486" s="280" t="n"/>
      <c r="T486" s="280" t="n"/>
      <c r="U486" s="280" t="n"/>
      <c r="V486" s="280" t="n"/>
      <c r="W486" s="280" t="n"/>
      <c r="X486" s="280" t="n"/>
      <c r="Y486" s="280" t="n"/>
      <c r="Z486" s="375">
        <f>IF(AND(G486&lt;&gt;"",R486&lt;&gt;"",V486&lt;&gt;"",W486&lt;&gt;""),"COMPLETADO","OBSERVADO")</f>
        <v/>
      </c>
    </row>
    <row r="487" ht="15" customHeight="1" s="195">
      <c r="A487" s="334" t="n"/>
      <c r="B487" s="334" t="n"/>
      <c r="C487" s="334" t="n"/>
      <c r="D487" s="334" t="n"/>
      <c r="E487" s="334" t="n"/>
      <c r="F487" s="334" t="n"/>
      <c r="G487" s="334" t="n"/>
      <c r="H487" s="334" t="n"/>
      <c r="I487" s="332">
        <f>IFERROR(VLOOKUP(TEXT(H487,"0"),IPRESS!$A$3:$B$212,2,0),"")</f>
        <v/>
      </c>
      <c r="J487" s="334" t="n"/>
      <c r="K487" s="332">
        <f>IFERROR(VLOOKUP(TEXT(O487,"0"),CONDUCTORES!$A$3:$G$54,7,0),"")</f>
        <v/>
      </c>
      <c r="L487" s="334" t="n"/>
      <c r="M487" s="334" t="n"/>
      <c r="N487" s="333">
        <f>IFERROR(IF(L487*M487=0,"",L487*M487),"")</f>
        <v/>
      </c>
      <c r="O487" s="334" t="n"/>
      <c r="P487" s="332">
        <f>IFERROR(VLOOKUP(TEXT(O487,"0"),CONDUCTORES!$A$3:$G$54,2,0),"")</f>
        <v/>
      </c>
      <c r="Q487" s="332">
        <f>IFERROR(VLOOKUP(TEXT(O487,"0"),CONDUCTORES!$A$3:$H$54,6,0),"")</f>
        <v/>
      </c>
      <c r="R487" s="334" t="n"/>
      <c r="S487" s="334" t="n"/>
      <c r="T487" s="334" t="n"/>
      <c r="U487" s="334" t="n"/>
      <c r="V487" s="334" t="n"/>
      <c r="W487" s="334" t="n"/>
      <c r="X487" s="334" t="n"/>
      <c r="Y487" s="334" t="n"/>
      <c r="Z487" s="375">
        <f>IF(AND(G487&lt;&gt;"",R487&lt;&gt;"",V487&lt;&gt;"",W487&lt;&gt;""),"COMPLETADO","OBSERVADO")</f>
        <v/>
      </c>
    </row>
    <row r="488" ht="15" customHeight="1" s="195">
      <c r="A488" s="280" t="n"/>
      <c r="B488" s="280" t="n"/>
      <c r="C488" s="280" t="n"/>
      <c r="D488" s="280" t="n"/>
      <c r="E488" s="280" t="n"/>
      <c r="F488" s="280" t="n"/>
      <c r="G488" s="280" t="n"/>
      <c r="H488" s="280" t="n"/>
      <c r="I488" s="332">
        <f>IFERROR(VLOOKUP(TEXT(H488,"0"),IPRESS!$A$3:$B$212,2,0),"")</f>
        <v/>
      </c>
      <c r="J488" s="280" t="n"/>
      <c r="K488" s="332">
        <f>IFERROR(VLOOKUP(TEXT(O488,"0"),CONDUCTORES!$A$3:$G$54,7,0),"")</f>
        <v/>
      </c>
      <c r="L488" s="280" t="n"/>
      <c r="M488" s="280" t="n"/>
      <c r="N488" s="333">
        <f>IFERROR(IF(L488*M488=0,"",L488*M488),"")</f>
        <v/>
      </c>
      <c r="O488" s="280" t="n"/>
      <c r="P488" s="332">
        <f>IFERROR(VLOOKUP(TEXT(O488,"0"),CONDUCTORES!$A$3:$G$54,2,0),"")</f>
        <v/>
      </c>
      <c r="Q488" s="332">
        <f>IFERROR(VLOOKUP(TEXT(O488,"0"),CONDUCTORES!$A$3:$H$54,6,0),"")</f>
        <v/>
      </c>
      <c r="R488" s="280" t="n"/>
      <c r="S488" s="280" t="n"/>
      <c r="T488" s="280" t="n"/>
      <c r="U488" s="280" t="n"/>
      <c r="V488" s="280" t="n"/>
      <c r="W488" s="280" t="n"/>
      <c r="X488" s="280" t="n"/>
      <c r="Y488" s="280" t="n"/>
      <c r="Z488" s="375">
        <f>IF(AND(G488&lt;&gt;"",R488&lt;&gt;"",V488&lt;&gt;"",W488&lt;&gt;""),"COMPLETADO","OBSERVADO")</f>
        <v/>
      </c>
    </row>
    <row r="489" ht="15" customHeight="1" s="195">
      <c r="A489" s="334" t="n"/>
      <c r="B489" s="334" t="n"/>
      <c r="C489" s="334" t="n"/>
      <c r="D489" s="334" t="n"/>
      <c r="E489" s="334" t="n"/>
      <c r="F489" s="334" t="n"/>
      <c r="G489" s="334" t="n"/>
      <c r="H489" s="334" t="n"/>
      <c r="I489" s="332">
        <f>IFERROR(VLOOKUP(TEXT(H489,"0"),IPRESS!$A$3:$B$212,2,0),"")</f>
        <v/>
      </c>
      <c r="J489" s="334" t="n"/>
      <c r="K489" s="332">
        <f>IFERROR(VLOOKUP(TEXT(O489,"0"),CONDUCTORES!$A$3:$G$54,7,0),"")</f>
        <v/>
      </c>
      <c r="L489" s="334" t="n"/>
      <c r="M489" s="334" t="n"/>
      <c r="N489" s="333">
        <f>IFERROR(IF(L489*M489=0,"",L489*M489),"")</f>
        <v/>
      </c>
      <c r="O489" s="334" t="n"/>
      <c r="P489" s="332">
        <f>IFERROR(VLOOKUP(TEXT(O489,"0"),CONDUCTORES!$A$3:$G$54,2,0),"")</f>
        <v/>
      </c>
      <c r="Q489" s="332">
        <f>IFERROR(VLOOKUP(TEXT(O489,"0"),CONDUCTORES!$A$3:$H$54,6,0),"")</f>
        <v/>
      </c>
      <c r="R489" s="334" t="n"/>
      <c r="S489" s="334" t="n"/>
      <c r="T489" s="334" t="n"/>
      <c r="U489" s="334" t="n"/>
      <c r="V489" s="334" t="n"/>
      <c r="W489" s="334" t="n"/>
      <c r="X489" s="334" t="n"/>
      <c r="Y489" s="334" t="n"/>
      <c r="Z489" s="375">
        <f>IF(AND(G489&lt;&gt;"",R489&lt;&gt;"",V489&lt;&gt;"",W489&lt;&gt;""),"COMPLETADO","OBSERVADO")</f>
        <v/>
      </c>
    </row>
    <row r="490" ht="15" customHeight="1" s="195">
      <c r="A490" s="280" t="n"/>
      <c r="B490" s="280" t="n"/>
      <c r="C490" s="280" t="n"/>
      <c r="D490" s="280" t="n"/>
      <c r="E490" s="280" t="n"/>
      <c r="F490" s="280" t="n"/>
      <c r="G490" s="280" t="n"/>
      <c r="H490" s="280" t="n"/>
      <c r="I490" s="332">
        <f>IFERROR(VLOOKUP(TEXT(H490,"0"),IPRESS!$A$3:$B$212,2,0),"")</f>
        <v/>
      </c>
      <c r="J490" s="280" t="n"/>
      <c r="K490" s="332">
        <f>IFERROR(VLOOKUP(TEXT(O490,"0"),CONDUCTORES!$A$3:$G$54,7,0),"")</f>
        <v/>
      </c>
      <c r="L490" s="280" t="n"/>
      <c r="M490" s="280" t="n"/>
      <c r="N490" s="333">
        <f>IFERROR(IF(L490*M490=0,"",L490*M490),"")</f>
        <v/>
      </c>
      <c r="O490" s="280" t="n"/>
      <c r="P490" s="332">
        <f>IFERROR(VLOOKUP(TEXT(O490,"0"),CONDUCTORES!$A$3:$G$54,2,0),"")</f>
        <v/>
      </c>
      <c r="Q490" s="332">
        <f>IFERROR(VLOOKUP(TEXT(O490,"0"),CONDUCTORES!$A$3:$H$54,6,0),"")</f>
        <v/>
      </c>
      <c r="R490" s="280" t="n"/>
      <c r="S490" s="280" t="n"/>
      <c r="T490" s="280" t="n"/>
      <c r="U490" s="280" t="n"/>
      <c r="V490" s="280" t="n"/>
      <c r="W490" s="280" t="n"/>
      <c r="X490" s="280" t="n"/>
      <c r="Y490" s="280" t="n"/>
      <c r="Z490" s="375">
        <f>IF(AND(G490&lt;&gt;"",R490&lt;&gt;"",V490&lt;&gt;"",W490&lt;&gt;""),"COMPLETADO","OBSERVADO")</f>
        <v/>
      </c>
    </row>
    <row r="491" ht="15" customHeight="1" s="195">
      <c r="A491" s="334" t="n"/>
      <c r="B491" s="334" t="n"/>
      <c r="C491" s="334" t="n"/>
      <c r="D491" s="334" t="n"/>
      <c r="E491" s="334" t="n"/>
      <c r="F491" s="334" t="n"/>
      <c r="G491" s="334" t="n"/>
      <c r="H491" s="334" t="n"/>
      <c r="I491" s="332">
        <f>IFERROR(VLOOKUP(TEXT(H491,"0"),IPRESS!$A$3:$B$212,2,0),"")</f>
        <v/>
      </c>
      <c r="J491" s="334" t="n"/>
      <c r="K491" s="332">
        <f>IFERROR(VLOOKUP(TEXT(O491,"0"),CONDUCTORES!$A$3:$G$54,7,0),"")</f>
        <v/>
      </c>
      <c r="L491" s="334" t="n"/>
      <c r="M491" s="334" t="n"/>
      <c r="N491" s="333">
        <f>IFERROR(IF(L491*M491=0,"",L491*M491),"")</f>
        <v/>
      </c>
      <c r="O491" s="334" t="n"/>
      <c r="P491" s="332">
        <f>IFERROR(VLOOKUP(TEXT(O491,"0"),CONDUCTORES!$A$3:$G$54,2,0),"")</f>
        <v/>
      </c>
      <c r="Q491" s="332">
        <f>IFERROR(VLOOKUP(TEXT(O491,"0"),CONDUCTORES!$A$3:$H$54,6,0),"")</f>
        <v/>
      </c>
      <c r="R491" s="334" t="n"/>
      <c r="S491" s="334" t="n"/>
      <c r="T491" s="334" t="n"/>
      <c r="U491" s="334" t="n"/>
      <c r="V491" s="334" t="n"/>
      <c r="W491" s="334" t="n"/>
      <c r="X491" s="334" t="n"/>
      <c r="Y491" s="334" t="n"/>
      <c r="Z491" s="375">
        <f>IF(AND(G491&lt;&gt;"",R491&lt;&gt;"",V491&lt;&gt;"",W491&lt;&gt;""),"COMPLETADO","OBSERVADO")</f>
        <v/>
      </c>
    </row>
    <row r="492" ht="15" customHeight="1" s="195">
      <c r="A492" s="280" t="n"/>
      <c r="B492" s="280" t="n"/>
      <c r="C492" s="280" t="n"/>
      <c r="D492" s="280" t="n"/>
      <c r="E492" s="280" t="n"/>
      <c r="F492" s="280" t="n"/>
      <c r="G492" s="280" t="n"/>
      <c r="H492" s="280" t="n"/>
      <c r="I492" s="332">
        <f>IFERROR(VLOOKUP(TEXT(H492,"0"),IPRESS!$A$3:$B$212,2,0),"")</f>
        <v/>
      </c>
      <c r="J492" s="280" t="n"/>
      <c r="K492" s="332">
        <f>IFERROR(VLOOKUP(TEXT(O492,"0"),CONDUCTORES!$A$3:$G$54,7,0),"")</f>
        <v/>
      </c>
      <c r="L492" s="280" t="n"/>
      <c r="M492" s="280" t="n"/>
      <c r="N492" s="333">
        <f>IFERROR(IF(L492*M492=0,"",L492*M492),"")</f>
        <v/>
      </c>
      <c r="O492" s="280" t="n"/>
      <c r="P492" s="332">
        <f>IFERROR(VLOOKUP(TEXT(O492,"0"),CONDUCTORES!$A$3:$G$54,2,0),"")</f>
        <v/>
      </c>
      <c r="Q492" s="332">
        <f>IFERROR(VLOOKUP(TEXT(O492,"0"),CONDUCTORES!$A$3:$H$54,6,0),"")</f>
        <v/>
      </c>
      <c r="R492" s="280" t="n"/>
      <c r="S492" s="280" t="n"/>
      <c r="T492" s="280" t="n"/>
      <c r="U492" s="280" t="n"/>
      <c r="V492" s="280" t="n"/>
      <c r="W492" s="280" t="n"/>
      <c r="X492" s="280" t="n"/>
      <c r="Y492" s="280" t="n"/>
      <c r="Z492" s="375">
        <f>IF(AND(G492&lt;&gt;"",R492&lt;&gt;"",V492&lt;&gt;"",W492&lt;&gt;""),"COMPLETADO","OBSERVADO")</f>
        <v/>
      </c>
    </row>
    <row r="493" ht="15" customHeight="1" s="195">
      <c r="A493" s="334" t="n"/>
      <c r="B493" s="334" t="n"/>
      <c r="C493" s="334" t="n"/>
      <c r="D493" s="334" t="n"/>
      <c r="E493" s="334" t="n"/>
      <c r="F493" s="334" t="n"/>
      <c r="G493" s="334" t="n"/>
      <c r="H493" s="334" t="n"/>
      <c r="I493" s="332">
        <f>IFERROR(VLOOKUP(TEXT(H493,"0"),IPRESS!$A$3:$B$212,2,0),"")</f>
        <v/>
      </c>
      <c r="J493" s="334" t="n"/>
      <c r="K493" s="332">
        <f>IFERROR(VLOOKUP(TEXT(O493,"0"),CONDUCTORES!$A$3:$G$54,7,0),"")</f>
        <v/>
      </c>
      <c r="L493" s="334" t="n"/>
      <c r="M493" s="334" t="n"/>
      <c r="N493" s="333">
        <f>IFERROR(IF(L493*M493=0,"",L493*M493),"")</f>
        <v/>
      </c>
      <c r="O493" s="334" t="n"/>
      <c r="P493" s="332">
        <f>IFERROR(VLOOKUP(TEXT(O493,"0"),CONDUCTORES!$A$3:$G$54,2,0),"")</f>
        <v/>
      </c>
      <c r="Q493" s="332">
        <f>IFERROR(VLOOKUP(TEXT(O493,"0"),CONDUCTORES!$A$3:$H$54,6,0),"")</f>
        <v/>
      </c>
      <c r="R493" s="334" t="n"/>
      <c r="S493" s="334" t="n"/>
      <c r="T493" s="334" t="n"/>
      <c r="U493" s="334" t="n"/>
      <c r="V493" s="334" t="n"/>
      <c r="W493" s="334" t="n"/>
      <c r="X493" s="334" t="n"/>
      <c r="Y493" s="334" t="n"/>
      <c r="Z493" s="375">
        <f>IF(AND(G493&lt;&gt;"",R493&lt;&gt;"",V493&lt;&gt;"",W493&lt;&gt;""),"COMPLETADO","OBSERVADO")</f>
        <v/>
      </c>
    </row>
    <row r="494" ht="15" customHeight="1" s="195">
      <c r="A494" s="280" t="n"/>
      <c r="B494" s="280" t="n"/>
      <c r="C494" s="280" t="n"/>
      <c r="D494" s="280" t="n"/>
      <c r="E494" s="280" t="n"/>
      <c r="F494" s="280" t="n"/>
      <c r="G494" s="280" t="n"/>
      <c r="H494" s="280" t="n"/>
      <c r="I494" s="332">
        <f>IFERROR(VLOOKUP(TEXT(H494,"0"),IPRESS!$A$3:$B$212,2,0),"")</f>
        <v/>
      </c>
      <c r="J494" s="280" t="n"/>
      <c r="K494" s="332">
        <f>IFERROR(VLOOKUP(TEXT(O494,"0"),CONDUCTORES!$A$3:$G$54,7,0),"")</f>
        <v/>
      </c>
      <c r="L494" s="280" t="n"/>
      <c r="M494" s="280" t="n"/>
      <c r="N494" s="333">
        <f>IFERROR(IF(L494*M494=0,"",L494*M494),"")</f>
        <v/>
      </c>
      <c r="O494" s="280" t="n"/>
      <c r="P494" s="332">
        <f>IFERROR(VLOOKUP(TEXT(O494,"0"),CONDUCTORES!$A$3:$G$54,2,0),"")</f>
        <v/>
      </c>
      <c r="Q494" s="332">
        <f>IFERROR(VLOOKUP(TEXT(O494,"0"),CONDUCTORES!$A$3:$H$54,6,0),"")</f>
        <v/>
      </c>
      <c r="R494" s="280" t="n"/>
      <c r="S494" s="280" t="n"/>
      <c r="T494" s="280" t="n"/>
      <c r="U494" s="280" t="n"/>
      <c r="V494" s="280" t="n"/>
      <c r="W494" s="280" t="n"/>
      <c r="X494" s="280" t="n"/>
      <c r="Y494" s="280" t="n"/>
      <c r="Z494" s="375">
        <f>IF(AND(G494&lt;&gt;"",R494&lt;&gt;"",V494&lt;&gt;"",W494&lt;&gt;""),"COMPLETADO","OBSERVADO")</f>
        <v/>
      </c>
    </row>
    <row r="495" ht="15" customHeight="1" s="195">
      <c r="A495" s="334" t="n"/>
      <c r="B495" s="334" t="n"/>
      <c r="C495" s="334" t="n"/>
      <c r="D495" s="334" t="n"/>
      <c r="E495" s="334" t="n"/>
      <c r="F495" s="334" t="n"/>
      <c r="G495" s="334" t="n"/>
      <c r="H495" s="334" t="n"/>
      <c r="I495" s="332">
        <f>IFERROR(VLOOKUP(TEXT(H495,"0"),IPRESS!$A$3:$B$212,2,0),"")</f>
        <v/>
      </c>
      <c r="J495" s="334" t="n"/>
      <c r="K495" s="332">
        <f>IFERROR(VLOOKUP(TEXT(O495,"0"),CONDUCTORES!$A$3:$G$54,7,0),"")</f>
        <v/>
      </c>
      <c r="L495" s="334" t="n"/>
      <c r="M495" s="334" t="n"/>
      <c r="N495" s="333">
        <f>IFERROR(IF(L495*M495=0,"",L495*M495),"")</f>
        <v/>
      </c>
      <c r="O495" s="334" t="n"/>
      <c r="P495" s="332">
        <f>IFERROR(VLOOKUP(TEXT(O495,"0"),CONDUCTORES!$A$3:$G$54,2,0),"")</f>
        <v/>
      </c>
      <c r="Q495" s="332">
        <f>IFERROR(VLOOKUP(TEXT(O495,"0"),CONDUCTORES!$A$3:$H$54,6,0),"")</f>
        <v/>
      </c>
      <c r="R495" s="334" t="n"/>
      <c r="S495" s="334" t="n"/>
      <c r="T495" s="334" t="n"/>
      <c r="U495" s="334" t="n"/>
      <c r="V495" s="334" t="n"/>
      <c r="W495" s="334" t="n"/>
      <c r="X495" s="334" t="n"/>
      <c r="Y495" s="334" t="n"/>
      <c r="Z495" s="375">
        <f>IF(AND(G495&lt;&gt;"",R495&lt;&gt;"",V495&lt;&gt;"",W495&lt;&gt;""),"COMPLETADO","OBSERVADO")</f>
        <v/>
      </c>
    </row>
    <row r="496" ht="15" customHeight="1" s="195">
      <c r="A496" s="280" t="n"/>
      <c r="B496" s="280" t="n"/>
      <c r="C496" s="280" t="n"/>
      <c r="D496" s="280" t="n"/>
      <c r="E496" s="280" t="n"/>
      <c r="F496" s="280" t="n"/>
      <c r="G496" s="280" t="n"/>
      <c r="H496" s="280" t="n"/>
      <c r="I496" s="332">
        <f>IFERROR(VLOOKUP(TEXT(H496,"0"),IPRESS!$A$3:$B$212,2,0),"")</f>
        <v/>
      </c>
      <c r="J496" s="280" t="n"/>
      <c r="K496" s="332">
        <f>IFERROR(VLOOKUP(TEXT(O496,"0"),CONDUCTORES!$A$3:$G$54,7,0),"")</f>
        <v/>
      </c>
      <c r="L496" s="280" t="n"/>
      <c r="M496" s="280" t="n"/>
      <c r="N496" s="333">
        <f>IFERROR(IF(L496*M496=0,"",L496*M496),"")</f>
        <v/>
      </c>
      <c r="O496" s="280" t="n"/>
      <c r="P496" s="332">
        <f>IFERROR(VLOOKUP(TEXT(O496,"0"),CONDUCTORES!$A$3:$G$54,2,0),"")</f>
        <v/>
      </c>
      <c r="Q496" s="332">
        <f>IFERROR(VLOOKUP(TEXT(O496,"0"),CONDUCTORES!$A$3:$H$54,6,0),"")</f>
        <v/>
      </c>
      <c r="R496" s="280" t="n"/>
      <c r="S496" s="280" t="n"/>
      <c r="T496" s="280" t="n"/>
      <c r="U496" s="280" t="n"/>
      <c r="V496" s="280" t="n"/>
      <c r="W496" s="280" t="n"/>
      <c r="X496" s="280" t="n"/>
      <c r="Y496" s="280" t="n"/>
      <c r="Z496" s="375">
        <f>IF(AND(G496&lt;&gt;"",R496&lt;&gt;"",V496&lt;&gt;"",W496&lt;&gt;""),"COMPLETADO","OBSERVADO")</f>
        <v/>
      </c>
    </row>
    <row r="497" ht="15" customHeight="1" s="195">
      <c r="A497" s="334" t="n"/>
      <c r="B497" s="334" t="n"/>
      <c r="C497" s="334" t="n"/>
      <c r="D497" s="334" t="n"/>
      <c r="E497" s="334" t="n"/>
      <c r="F497" s="334" t="n"/>
      <c r="G497" s="334" t="n"/>
      <c r="H497" s="334" t="n"/>
      <c r="I497" s="332">
        <f>IFERROR(VLOOKUP(TEXT(H497,"0"),IPRESS!$A$3:$B$212,2,0),"")</f>
        <v/>
      </c>
      <c r="J497" s="334" t="n"/>
      <c r="K497" s="332">
        <f>IFERROR(VLOOKUP(TEXT(O497,"0"),CONDUCTORES!$A$3:$G$54,7,0),"")</f>
        <v/>
      </c>
      <c r="L497" s="334" t="n"/>
      <c r="M497" s="334" t="n"/>
      <c r="N497" s="333">
        <f>IFERROR(IF(L497*M497=0,"",L497*M497),"")</f>
        <v/>
      </c>
      <c r="O497" s="334" t="n"/>
      <c r="P497" s="332">
        <f>IFERROR(VLOOKUP(TEXT(O497,"0"),CONDUCTORES!$A$3:$G$54,2,0),"")</f>
        <v/>
      </c>
      <c r="Q497" s="332">
        <f>IFERROR(VLOOKUP(TEXT(O497,"0"),CONDUCTORES!$A$3:$H$54,6,0),"")</f>
        <v/>
      </c>
      <c r="R497" s="334" t="n"/>
      <c r="S497" s="334" t="n"/>
      <c r="T497" s="334" t="n"/>
      <c r="U497" s="334" t="n"/>
      <c r="V497" s="334" t="n"/>
      <c r="W497" s="334" t="n"/>
      <c r="X497" s="334" t="n"/>
      <c r="Y497" s="334" t="n"/>
      <c r="Z497" s="375">
        <f>IF(AND(G497&lt;&gt;"",R497&lt;&gt;"",V497&lt;&gt;"",W497&lt;&gt;""),"COMPLETADO","OBSERVADO")</f>
        <v/>
      </c>
    </row>
    <row r="498" ht="15" customHeight="1" s="195">
      <c r="A498" s="280" t="n"/>
      <c r="B498" s="280" t="n"/>
      <c r="C498" s="280" t="n"/>
      <c r="D498" s="280" t="n"/>
      <c r="E498" s="280" t="n"/>
      <c r="F498" s="280" t="n"/>
      <c r="G498" s="280" t="n"/>
      <c r="H498" s="280" t="n"/>
      <c r="I498" s="332">
        <f>IFERROR(VLOOKUP(TEXT(H498,"0"),IPRESS!$A$3:$B$212,2,0),"")</f>
        <v/>
      </c>
      <c r="J498" s="280" t="n"/>
      <c r="K498" s="332">
        <f>IFERROR(VLOOKUP(TEXT(O498,"0"),CONDUCTORES!$A$3:$G$54,7,0),"")</f>
        <v/>
      </c>
      <c r="L498" s="280" t="n"/>
      <c r="M498" s="280" t="n"/>
      <c r="N498" s="333">
        <f>IFERROR(IF(L498*M498=0,"",L498*M498),"")</f>
        <v/>
      </c>
      <c r="O498" s="280" t="n"/>
      <c r="P498" s="332">
        <f>IFERROR(VLOOKUP(TEXT(O498,"0"),CONDUCTORES!$A$3:$G$54,2,0),"")</f>
        <v/>
      </c>
      <c r="Q498" s="332">
        <f>IFERROR(VLOOKUP(TEXT(O498,"0"),CONDUCTORES!$A$3:$H$54,6,0),"")</f>
        <v/>
      </c>
      <c r="R498" s="280" t="n"/>
      <c r="S498" s="280" t="n"/>
      <c r="T498" s="280" t="n"/>
      <c r="U498" s="280" t="n"/>
      <c r="V498" s="280" t="n"/>
      <c r="W498" s="280" t="n"/>
      <c r="X498" s="280" t="n"/>
      <c r="Y498" s="280" t="n"/>
      <c r="Z498" s="375">
        <f>IF(AND(G498&lt;&gt;"",R498&lt;&gt;"",V498&lt;&gt;"",W498&lt;&gt;""),"COMPLETADO","OBSERVADO")</f>
        <v/>
      </c>
    </row>
    <row r="499" ht="15" customHeight="1" s="195">
      <c r="A499" s="334" t="n"/>
      <c r="B499" s="334" t="n"/>
      <c r="C499" s="334" t="n"/>
      <c r="D499" s="334" t="n"/>
      <c r="E499" s="334" t="n"/>
      <c r="F499" s="334" t="n"/>
      <c r="G499" s="334" t="n"/>
      <c r="H499" s="334" t="n"/>
      <c r="I499" s="332">
        <f>IFERROR(VLOOKUP(TEXT(H499,"0"),IPRESS!$A$3:$B$212,2,0),"")</f>
        <v/>
      </c>
      <c r="J499" s="334" t="n"/>
      <c r="K499" s="332">
        <f>IFERROR(VLOOKUP(TEXT(O499,"0"),CONDUCTORES!$A$3:$G$54,7,0),"")</f>
        <v/>
      </c>
      <c r="L499" s="334" t="n"/>
      <c r="M499" s="334" t="n"/>
      <c r="N499" s="333">
        <f>IFERROR(IF(L499*M499=0,"",L499*M499),"")</f>
        <v/>
      </c>
      <c r="O499" s="334" t="n"/>
      <c r="P499" s="332">
        <f>IFERROR(VLOOKUP(TEXT(O499,"0"),CONDUCTORES!$A$3:$G$54,2,0),"")</f>
        <v/>
      </c>
      <c r="Q499" s="332">
        <f>IFERROR(VLOOKUP(TEXT(O499,"0"),CONDUCTORES!$A$3:$H$54,6,0),"")</f>
        <v/>
      </c>
      <c r="R499" s="334" t="n"/>
      <c r="S499" s="334" t="n"/>
      <c r="T499" s="334" t="n"/>
      <c r="U499" s="334" t="n"/>
      <c r="V499" s="334" t="n"/>
      <c r="W499" s="334" t="n"/>
      <c r="X499" s="334" t="n"/>
      <c r="Y499" s="334" t="n"/>
      <c r="Z499" s="375">
        <f>IF(AND(G499&lt;&gt;"",R499&lt;&gt;"",V499&lt;&gt;"",W499&lt;&gt;""),"COMPLETADO","OBSERVADO")</f>
        <v/>
      </c>
    </row>
    <row r="500" ht="15" customHeight="1" s="195">
      <c r="A500" s="280" t="n"/>
      <c r="B500" s="280" t="n"/>
      <c r="C500" s="280" t="n"/>
      <c r="D500" s="280" t="n"/>
      <c r="E500" s="280" t="n"/>
      <c r="F500" s="280" t="n"/>
      <c r="G500" s="280" t="n"/>
      <c r="H500" s="280" t="n"/>
      <c r="I500" s="332">
        <f>IFERROR(VLOOKUP(TEXT(H500,"0"),IPRESS!$A$3:$B$212,2,0),"")</f>
        <v/>
      </c>
      <c r="J500" s="280" t="n"/>
      <c r="K500" s="332">
        <f>IFERROR(VLOOKUP(TEXT(O500,"0"),CONDUCTORES!$A$3:$G$54,7,0),"")</f>
        <v/>
      </c>
      <c r="L500" s="280" t="n"/>
      <c r="M500" s="280" t="n"/>
      <c r="N500" s="333">
        <f>IFERROR(IF(L500*M500=0,"",L500*M500),"")</f>
        <v/>
      </c>
      <c r="O500" s="280" t="n"/>
      <c r="P500" s="332">
        <f>IFERROR(VLOOKUP(TEXT(O500,"0"),CONDUCTORES!$A$3:$G$54,2,0),"")</f>
        <v/>
      </c>
      <c r="Q500" s="332">
        <f>IFERROR(VLOOKUP(TEXT(O500,"0"),CONDUCTORES!$A$3:$H$54,6,0),"")</f>
        <v/>
      </c>
      <c r="R500" s="280" t="n"/>
      <c r="S500" s="280" t="n"/>
      <c r="T500" s="280" t="n"/>
      <c r="U500" s="280" t="n"/>
      <c r="V500" s="280" t="n"/>
      <c r="W500" s="280" t="n"/>
      <c r="X500" s="280" t="n"/>
      <c r="Y500" s="280" t="n"/>
      <c r="Z500" s="375">
        <f>IF(AND(G500&lt;&gt;"",R500&lt;&gt;"",V500&lt;&gt;"",W500&lt;&gt;""),"COMPLETADO","OBSERVADO")</f>
        <v/>
      </c>
    </row>
    <row r="501" ht="15" customHeight="1" s="195">
      <c r="A501" s="334" t="n"/>
      <c r="B501" s="334" t="n"/>
      <c r="C501" s="334" t="n"/>
      <c r="D501" s="334" t="n"/>
      <c r="E501" s="334" t="n"/>
      <c r="F501" s="334" t="n"/>
      <c r="G501" s="334" t="n"/>
      <c r="H501" s="334" t="n"/>
      <c r="I501" s="332">
        <f>IFERROR(VLOOKUP(TEXT(H501,"0"),IPRESS!$A$3:$B$212,2,0),"")</f>
        <v/>
      </c>
      <c r="J501" s="334" t="n"/>
      <c r="K501" s="332">
        <f>IFERROR(VLOOKUP(TEXT(O501,"0"),CONDUCTORES!$A$3:$G$54,7,0),"")</f>
        <v/>
      </c>
      <c r="L501" s="334" t="n"/>
      <c r="M501" s="334" t="n"/>
      <c r="N501" s="333">
        <f>IFERROR(IF(L501*M501=0,"",L501*M501),"")</f>
        <v/>
      </c>
      <c r="O501" s="334" t="n"/>
      <c r="P501" s="332">
        <f>IFERROR(VLOOKUP(TEXT(O501,"0"),CONDUCTORES!$A$3:$G$54,2,0),"")</f>
        <v/>
      </c>
      <c r="Q501" s="332">
        <f>IFERROR(VLOOKUP(TEXT(O501,"0"),CONDUCTORES!$A$3:$H$54,6,0),"")</f>
        <v/>
      </c>
      <c r="R501" s="334" t="n"/>
      <c r="S501" s="334" t="n"/>
      <c r="T501" s="334" t="n"/>
      <c r="U501" s="334" t="n"/>
      <c r="V501" s="334" t="n"/>
      <c r="W501" s="334" t="n"/>
      <c r="X501" s="334" t="n"/>
      <c r="Y501" s="334" t="n"/>
      <c r="Z501" s="375">
        <f>IF(AND(G501&lt;&gt;"",R501&lt;&gt;"",V501&lt;&gt;"",W501&lt;&gt;""),"COMPLETADO","OBSERVADO")</f>
        <v/>
      </c>
    </row>
    <row r="502" ht="15" customHeight="1" s="195">
      <c r="A502" s="280" t="n"/>
      <c r="B502" s="280" t="n"/>
      <c r="C502" s="280" t="n"/>
      <c r="D502" s="280" t="n"/>
      <c r="E502" s="280" t="n"/>
      <c r="F502" s="280" t="n"/>
      <c r="G502" s="280" t="n"/>
      <c r="H502" s="280" t="n"/>
      <c r="I502" s="332">
        <f>IFERROR(VLOOKUP(TEXT(H502,"0"),IPRESS!$A$3:$B$212,2,0),"")</f>
        <v/>
      </c>
      <c r="J502" s="280" t="n"/>
      <c r="K502" s="332">
        <f>IFERROR(VLOOKUP(TEXT(O502,"0"),CONDUCTORES!$A$3:$G$54,7,0),"")</f>
        <v/>
      </c>
      <c r="L502" s="280" t="n"/>
      <c r="M502" s="280" t="n"/>
      <c r="N502" s="333">
        <f>IFERROR(IF(L502*M502=0,"",L502*M502),"")</f>
        <v/>
      </c>
      <c r="O502" s="280" t="n"/>
      <c r="P502" s="332">
        <f>IFERROR(VLOOKUP(TEXT(O502,"0"),CONDUCTORES!$A$3:$G$54,2,0),"")</f>
        <v/>
      </c>
      <c r="Q502" s="332">
        <f>IFERROR(VLOOKUP(TEXT(O502,"0"),CONDUCTORES!$A$3:$H$54,6,0),"")</f>
        <v/>
      </c>
      <c r="R502" s="280" t="n"/>
      <c r="S502" s="280" t="n"/>
      <c r="T502" s="280" t="n"/>
      <c r="U502" s="280" t="n"/>
      <c r="V502" s="280" t="n"/>
      <c r="W502" s="280" t="n"/>
      <c r="X502" s="280" t="n"/>
      <c r="Y502" s="280" t="n"/>
      <c r="Z502" s="375">
        <f>IF(AND(G502&lt;&gt;"",R502&lt;&gt;"",V502&lt;&gt;"",W502&lt;&gt;""),"COMPLETADO","OBSERVADO")</f>
        <v/>
      </c>
    </row>
    <row r="503" ht="15" customHeight="1" s="195">
      <c r="A503" s="334" t="n"/>
      <c r="B503" s="334" t="n"/>
      <c r="C503" s="334" t="n"/>
      <c r="D503" s="334" t="n"/>
      <c r="E503" s="334" t="n"/>
      <c r="F503" s="334" t="n"/>
      <c r="G503" s="334" t="n"/>
      <c r="H503" s="334" t="n"/>
      <c r="I503" s="332">
        <f>IFERROR(VLOOKUP(TEXT(H503,"0"),IPRESS!$A$3:$B$212,2,0),"")</f>
        <v/>
      </c>
      <c r="J503" s="334" t="n"/>
      <c r="K503" s="332">
        <f>IFERROR(VLOOKUP(TEXT(O503,"0"),CONDUCTORES!$A$3:$G$54,7,0),"")</f>
        <v/>
      </c>
      <c r="L503" s="334" t="n"/>
      <c r="M503" s="334" t="n"/>
      <c r="N503" s="333">
        <f>IFERROR(IF(L503*M503=0,"",L503*M503),"")</f>
        <v/>
      </c>
      <c r="O503" s="334" t="n"/>
      <c r="P503" s="332">
        <f>IFERROR(VLOOKUP(TEXT(O503,"0"),CONDUCTORES!$A$3:$G$54,2,0),"")</f>
        <v/>
      </c>
      <c r="Q503" s="332">
        <f>IFERROR(VLOOKUP(TEXT(O503,"0"),CONDUCTORES!$A$3:$H$54,6,0),"")</f>
        <v/>
      </c>
      <c r="R503" s="334" t="n"/>
      <c r="S503" s="334" t="n"/>
      <c r="T503" s="334" t="n"/>
      <c r="U503" s="334" t="n"/>
      <c r="V503" s="334" t="n"/>
      <c r="W503" s="334" t="n"/>
      <c r="X503" s="334" t="n"/>
      <c r="Y503" s="334" t="n"/>
      <c r="Z503" s="375">
        <f>IF(AND(G503&lt;&gt;"",R503&lt;&gt;"",V503&lt;&gt;"",W503&lt;&gt;""),"COMPLETADO","OBSERVADO")</f>
        <v/>
      </c>
    </row>
    <row r="504" ht="15" customHeight="1" s="195">
      <c r="A504" s="280" t="n"/>
      <c r="B504" s="280" t="n"/>
      <c r="C504" s="280" t="n"/>
      <c r="D504" s="280" t="n"/>
      <c r="E504" s="280" t="n"/>
      <c r="F504" s="280" t="n"/>
      <c r="G504" s="280" t="n"/>
      <c r="H504" s="280" t="n"/>
      <c r="I504" s="332">
        <f>IFERROR(VLOOKUP(TEXT(H504,"0"),IPRESS!$A$3:$B$212,2,0),"")</f>
        <v/>
      </c>
      <c r="J504" s="280" t="n"/>
      <c r="K504" s="332">
        <f>IFERROR(VLOOKUP(TEXT(O504,"0"),CONDUCTORES!$A$3:$G$54,7,0),"")</f>
        <v/>
      </c>
      <c r="L504" s="280" t="n"/>
      <c r="M504" s="280" t="n"/>
      <c r="N504" s="333">
        <f>IFERROR(IF(L504*M504=0,"",L504*M504),"")</f>
        <v/>
      </c>
      <c r="O504" s="280" t="n"/>
      <c r="P504" s="332">
        <f>IFERROR(VLOOKUP(TEXT(O504,"0"),CONDUCTORES!$A$3:$G$54,2,0),"")</f>
        <v/>
      </c>
      <c r="Q504" s="332">
        <f>IFERROR(VLOOKUP(TEXT(O504,"0"),CONDUCTORES!$A$3:$H$54,6,0),"")</f>
        <v/>
      </c>
      <c r="R504" s="280" t="n"/>
      <c r="S504" s="280" t="n"/>
      <c r="T504" s="280" t="n"/>
      <c r="U504" s="280" t="n"/>
      <c r="V504" s="280" t="n"/>
      <c r="W504" s="280" t="n"/>
      <c r="X504" s="280" t="n"/>
      <c r="Y504" s="280" t="n"/>
      <c r="Z504" s="375">
        <f>IF(AND(G504&lt;&gt;"",R504&lt;&gt;"",V504&lt;&gt;"",W504&lt;&gt;""),"COMPLETADO","OBSERVADO")</f>
        <v/>
      </c>
    </row>
    <row r="505" ht="15" customHeight="1" s="195">
      <c r="A505" s="334" t="n"/>
      <c r="B505" s="334" t="n"/>
      <c r="C505" s="334" t="n"/>
      <c r="D505" s="334" t="n"/>
      <c r="E505" s="334" t="n"/>
      <c r="F505" s="334" t="n"/>
      <c r="G505" s="334" t="n"/>
      <c r="H505" s="334" t="n"/>
      <c r="I505" s="332">
        <f>IFERROR(VLOOKUP(TEXT(H505,"0"),IPRESS!$A$3:$B$212,2,0),"")</f>
        <v/>
      </c>
      <c r="J505" s="334" t="n"/>
      <c r="K505" s="332">
        <f>IFERROR(VLOOKUP(TEXT(O505,"0"),CONDUCTORES!$A$3:$G$54,7,0),"")</f>
        <v/>
      </c>
      <c r="L505" s="334" t="n"/>
      <c r="M505" s="334" t="n"/>
      <c r="N505" s="333">
        <f>IFERROR(IF(L505*M505=0,"",L505*M505),"")</f>
        <v/>
      </c>
      <c r="O505" s="334" t="n"/>
      <c r="P505" s="332">
        <f>IFERROR(VLOOKUP(TEXT(O505,"0"),CONDUCTORES!$A$3:$G$54,2,0),"")</f>
        <v/>
      </c>
      <c r="Q505" s="332">
        <f>IFERROR(VLOOKUP(TEXT(O505,"0"),CONDUCTORES!$A$3:$H$54,6,0),"")</f>
        <v/>
      </c>
      <c r="R505" s="334" t="n"/>
      <c r="S505" s="334" t="n"/>
      <c r="T505" s="334" t="n"/>
      <c r="U505" s="334" t="n"/>
      <c r="V505" s="334" t="n"/>
      <c r="W505" s="334" t="n"/>
      <c r="X505" s="334" t="n"/>
      <c r="Y505" s="334" t="n"/>
      <c r="Z505" s="375">
        <f>IF(AND(G505&lt;&gt;"",R505&lt;&gt;"",V505&lt;&gt;"",W505&lt;&gt;""),"COMPLETADO","OBSERVADO")</f>
        <v/>
      </c>
    </row>
    <row r="506" ht="21.75" customHeight="1" s="195">
      <c r="A506" s="346" t="inlineStr">
        <is>
          <t>TOTALES DEL MES</t>
        </is>
      </c>
      <c r="M506" s="320">
        <f>SUM(M6:M505)</f>
        <v/>
      </c>
      <c r="N506" s="320">
        <f>SUM(N6:N505)</f>
        <v/>
      </c>
    </row>
    <row r="507" ht="15.75" customHeight="1" s="195"/>
    <row r="508" ht="15.75" customHeight="1" s="195"/>
    <row r="509" ht="15.75" customHeight="1" s="195"/>
    <row r="510" ht="15.75" customHeight="1" s="195"/>
    <row r="511" ht="15.75" customHeight="1" s="195"/>
    <row r="512" ht="15.75" customHeight="1" s="195"/>
    <row r="513" ht="15.75" customHeight="1" s="195"/>
    <row r="514" ht="15.75" customHeight="1" s="195"/>
    <row r="515" ht="15.75" customHeight="1" s="195"/>
    <row r="516" ht="15.75" customHeight="1" s="195"/>
    <row r="517" ht="15.75" customHeight="1" s="195"/>
    <row r="518" ht="15.75" customHeight="1" s="195"/>
    <row r="519" ht="15.75" customHeight="1" s="195"/>
    <row r="520" ht="15.75" customHeight="1" s="195"/>
    <row r="521" ht="15.75" customHeight="1" s="195"/>
    <row r="522" ht="15.75" customHeight="1" s="195"/>
    <row r="523" ht="15.75" customHeight="1" s="195"/>
    <row r="524" ht="15.75" customHeight="1" s="195"/>
    <row r="525" ht="15.75" customHeight="1" s="195"/>
    <row r="526" ht="15.75" customHeight="1" s="195"/>
    <row r="527" ht="15.75" customHeight="1" s="195"/>
    <row r="528" ht="15.75" customHeight="1" s="195"/>
    <row r="529" ht="15.75" customHeight="1" s="195"/>
    <row r="530" ht="15.75" customHeight="1" s="195"/>
    <row r="531" ht="15.75" customHeight="1" s="195"/>
    <row r="532" ht="15.75" customHeight="1" s="195"/>
    <row r="533" ht="15.75" customHeight="1" s="195"/>
    <row r="534" ht="15.75" customHeight="1" s="195"/>
    <row r="535" ht="15.75" customHeight="1" s="195"/>
    <row r="536" ht="15.75" customHeight="1" s="195"/>
    <row r="537" ht="15.75" customHeight="1" s="195"/>
    <row r="538" ht="15.75" customHeight="1" s="195"/>
    <row r="539" ht="15.75" customHeight="1" s="195"/>
    <row r="540" ht="15.75" customHeight="1" s="195"/>
    <row r="541" ht="15.75" customHeight="1" s="195"/>
    <row r="542" ht="15.75" customHeight="1" s="195"/>
    <row r="543" ht="15.75" customHeight="1" s="195"/>
    <row r="544" ht="15.75" customHeight="1" s="195"/>
    <row r="545" ht="15.75" customHeight="1" s="195"/>
    <row r="546" ht="15.75" customHeight="1" s="195"/>
    <row r="547" ht="15.75" customHeight="1" s="195"/>
    <row r="548" ht="15.75" customHeight="1" s="195"/>
    <row r="549" ht="15.75" customHeight="1" s="195"/>
    <row r="550" ht="15.75" customHeight="1" s="195"/>
    <row r="551" ht="15.75" customHeight="1" s="195"/>
    <row r="552" ht="15.75" customHeight="1" s="195"/>
    <row r="553" ht="15.75" customHeight="1" s="195"/>
    <row r="554" ht="15.75" customHeight="1" s="195"/>
    <row r="555" ht="15.75" customHeight="1" s="195"/>
    <row r="556" ht="15.75" customHeight="1" s="195"/>
    <row r="557" ht="15.75" customHeight="1" s="195"/>
    <row r="558" ht="15.75" customHeight="1" s="195"/>
    <row r="559" ht="15.75" customHeight="1" s="195"/>
    <row r="560" ht="15.75" customHeight="1" s="195"/>
    <row r="561" ht="15.75" customHeight="1" s="195"/>
    <row r="562" ht="15.75" customHeight="1" s="195"/>
    <row r="563" ht="15.75" customHeight="1" s="195"/>
    <row r="564" ht="15.75" customHeight="1" s="195"/>
    <row r="565" ht="15.75" customHeight="1" s="195"/>
    <row r="566" ht="15.75" customHeight="1" s="195"/>
    <row r="567" ht="15.75" customHeight="1" s="195"/>
    <row r="568" ht="15.75" customHeight="1" s="195"/>
    <row r="569" ht="15.75" customHeight="1" s="195"/>
    <row r="570" ht="15.75" customHeight="1" s="195"/>
    <row r="571" ht="15.75" customHeight="1" s="195"/>
    <row r="572" ht="15.75" customHeight="1" s="195"/>
    <row r="573" ht="15.75" customHeight="1" s="195"/>
    <row r="574" ht="15.75" customHeight="1" s="195"/>
    <row r="575" ht="15.75" customHeight="1" s="195"/>
    <row r="576" ht="15.75" customHeight="1" s="195"/>
    <row r="577" ht="15.75" customHeight="1" s="195"/>
    <row r="578" ht="15.75" customHeight="1" s="195"/>
    <row r="579" ht="15.75" customHeight="1" s="195"/>
    <row r="580" ht="15.75" customHeight="1" s="195"/>
    <row r="581" ht="15.75" customHeight="1" s="195"/>
    <row r="582" ht="15.75" customHeight="1" s="195"/>
    <row r="583" ht="15.75" customHeight="1" s="195"/>
    <row r="584" ht="15.75" customHeight="1" s="195"/>
    <row r="585" ht="15.75" customHeight="1" s="195"/>
    <row r="586" ht="15.75" customHeight="1" s="195"/>
    <row r="587" ht="15.75" customHeight="1" s="195"/>
    <row r="588" ht="15.75" customHeight="1" s="195"/>
    <row r="589" ht="15.75" customHeight="1" s="195"/>
    <row r="590" ht="15.75" customHeight="1" s="195"/>
    <row r="591" ht="15.75" customHeight="1" s="195"/>
    <row r="592" ht="15.75" customHeight="1" s="195"/>
    <row r="593" ht="15.75" customHeight="1" s="195"/>
    <row r="594" ht="15.75" customHeight="1" s="195"/>
    <row r="595" ht="15.75" customHeight="1" s="195"/>
    <row r="596" ht="15.75" customHeight="1" s="195"/>
    <row r="597" ht="15.75" customHeight="1" s="195"/>
    <row r="598" ht="15.75" customHeight="1" s="195"/>
    <row r="599" ht="15.75" customHeight="1" s="195"/>
    <row r="600" ht="15.75" customHeight="1" s="195"/>
    <row r="601" ht="15.75" customHeight="1" s="195"/>
    <row r="602" ht="15.75" customHeight="1" s="195"/>
    <row r="603" ht="15.75" customHeight="1" s="195"/>
    <row r="604" ht="15.75" customHeight="1" s="195"/>
    <row r="605" ht="15.75" customHeight="1" s="195"/>
    <row r="606" ht="15.75" customHeight="1" s="195"/>
    <row r="607" ht="15.75" customHeight="1" s="195"/>
    <row r="608" ht="15.75" customHeight="1" s="195"/>
    <row r="609" ht="15.75" customHeight="1" s="195"/>
    <row r="610" ht="15.75" customHeight="1" s="195"/>
    <row r="611" ht="15.75" customHeight="1" s="195"/>
    <row r="612" ht="15.75" customHeight="1" s="195"/>
    <row r="613" ht="15.75" customHeight="1" s="195"/>
    <row r="614" ht="15.75" customHeight="1" s="195"/>
    <row r="615" ht="15.75" customHeight="1" s="195"/>
    <row r="616" ht="15.75" customHeight="1" s="195"/>
    <row r="617" ht="15.75" customHeight="1" s="195"/>
    <row r="618" ht="15.75" customHeight="1" s="195"/>
    <row r="619" ht="15.75" customHeight="1" s="195"/>
    <row r="620" ht="15.75" customHeight="1" s="195"/>
    <row r="621" ht="15.75" customHeight="1" s="195"/>
    <row r="622" ht="15.75" customHeight="1" s="195"/>
    <row r="623" ht="15.75" customHeight="1" s="195"/>
    <row r="624" ht="15.75" customHeight="1" s="195"/>
    <row r="625" ht="15.75" customHeight="1" s="195"/>
    <row r="626" ht="15.75" customHeight="1" s="195"/>
    <row r="627" ht="15.75" customHeight="1" s="195"/>
    <row r="628" ht="15.75" customHeight="1" s="195"/>
    <row r="629" ht="15.75" customHeight="1" s="195"/>
    <row r="630" ht="15.75" customHeight="1" s="195"/>
    <row r="631" ht="15.75" customHeight="1" s="195"/>
    <row r="632" ht="15.75" customHeight="1" s="195"/>
    <row r="633" ht="15.75" customHeight="1" s="195"/>
    <row r="634" ht="15.75" customHeight="1" s="195"/>
    <row r="635" ht="15.75" customHeight="1" s="195"/>
    <row r="636" ht="15.75" customHeight="1" s="195"/>
    <row r="637" ht="15.75" customHeight="1" s="195"/>
    <row r="638" ht="15.75" customHeight="1" s="195"/>
    <row r="639" ht="15.75" customHeight="1" s="195"/>
    <row r="640" ht="15.75" customHeight="1" s="195"/>
    <row r="641" ht="15.75" customHeight="1" s="195"/>
    <row r="642" ht="15.75" customHeight="1" s="195"/>
    <row r="643" ht="15.75" customHeight="1" s="195"/>
    <row r="644" ht="15.75" customHeight="1" s="195"/>
    <row r="645" ht="15.75" customHeight="1" s="195"/>
    <row r="646" ht="15.75" customHeight="1" s="195"/>
    <row r="647" ht="15.75" customHeight="1" s="195"/>
    <row r="648" ht="15.75" customHeight="1" s="195"/>
    <row r="649" ht="15.75" customHeight="1" s="195"/>
    <row r="650" ht="15.75" customHeight="1" s="195"/>
    <row r="651" ht="15.75" customHeight="1" s="195"/>
    <row r="652" ht="15.75" customHeight="1" s="195"/>
    <row r="653" ht="15.75" customHeight="1" s="195"/>
    <row r="654" ht="15.75" customHeight="1" s="195"/>
    <row r="655" ht="15.75" customHeight="1" s="195"/>
    <row r="656" ht="15.75" customHeight="1" s="195"/>
    <row r="657" ht="15.75" customHeight="1" s="195"/>
    <row r="658" ht="15.75" customHeight="1" s="195"/>
    <row r="659" ht="15.75" customHeight="1" s="195"/>
    <row r="660" ht="15.75" customHeight="1" s="195"/>
    <row r="661" ht="15.75" customHeight="1" s="195"/>
    <row r="662" ht="15.75" customHeight="1" s="195"/>
    <row r="663" ht="15.75" customHeight="1" s="195"/>
    <row r="664" ht="15.75" customHeight="1" s="195"/>
    <row r="665" ht="15.75" customHeight="1" s="195"/>
    <row r="666" ht="15.75" customHeight="1" s="195"/>
    <row r="667" ht="15.75" customHeight="1" s="195"/>
    <row r="668" ht="15.75" customHeight="1" s="195"/>
    <row r="669" ht="15.75" customHeight="1" s="195"/>
    <row r="670" ht="15.75" customHeight="1" s="195"/>
    <row r="671" ht="15.75" customHeight="1" s="195"/>
    <row r="672" ht="15.75" customHeight="1" s="195"/>
    <row r="673" ht="15.75" customHeight="1" s="195"/>
    <row r="674" ht="15.75" customHeight="1" s="195"/>
    <row r="675" ht="15.75" customHeight="1" s="195"/>
    <row r="676" ht="15.75" customHeight="1" s="195"/>
    <row r="677" ht="15.75" customHeight="1" s="195"/>
    <row r="678" ht="15.75" customHeight="1" s="195"/>
    <row r="679" ht="15.75" customHeight="1" s="195"/>
    <row r="680" ht="15.75" customHeight="1" s="195"/>
    <row r="681" ht="15.75" customHeight="1" s="195"/>
    <row r="682" ht="15.75" customHeight="1" s="195"/>
    <row r="683" ht="15.75" customHeight="1" s="195"/>
    <row r="684" ht="15.75" customHeight="1" s="195"/>
    <row r="685" ht="15.75" customHeight="1" s="195"/>
    <row r="686" ht="15.75" customHeight="1" s="195"/>
    <row r="687" ht="15.75" customHeight="1" s="195"/>
    <row r="688" ht="15.75" customHeight="1" s="195"/>
    <row r="689" ht="15.75" customHeight="1" s="195"/>
    <row r="690" ht="15.75" customHeight="1" s="195"/>
    <row r="691" ht="15.75" customHeight="1" s="195"/>
    <row r="692" ht="15.75" customHeight="1" s="195"/>
    <row r="693" ht="15.75" customHeight="1" s="195"/>
    <row r="694" ht="15.75" customHeight="1" s="195"/>
    <row r="695" ht="15.75" customHeight="1" s="195"/>
    <row r="696" ht="15.75" customHeight="1" s="195"/>
    <row r="697" ht="15.75" customHeight="1" s="195"/>
    <row r="698" ht="15.75" customHeight="1" s="195"/>
    <row r="699" ht="15.75" customHeight="1" s="195"/>
    <row r="700" ht="15.75" customHeight="1" s="195"/>
    <row r="701" ht="15.75" customHeight="1" s="195"/>
    <row r="702" ht="15.75" customHeight="1" s="195"/>
    <row r="703" ht="15.75" customHeight="1" s="195"/>
    <row r="704" ht="15.75" customHeight="1" s="195"/>
    <row r="705" ht="15.75" customHeight="1" s="195"/>
    <row r="706" ht="15.75" customHeight="1" s="195"/>
    <row r="707" ht="15.75" customHeight="1" s="195"/>
    <row r="708" ht="15.75" customHeight="1" s="195"/>
    <row r="709" ht="15.75" customHeight="1" s="195"/>
    <row r="710" ht="15.75" customHeight="1" s="195"/>
    <row r="711" ht="15.75" customHeight="1" s="195"/>
    <row r="712" ht="15.75" customHeight="1" s="195"/>
    <row r="713" ht="15.75" customHeight="1" s="195"/>
    <row r="714" ht="15.75" customHeight="1" s="195"/>
    <row r="715" ht="15.75" customHeight="1" s="195"/>
    <row r="716" ht="15.75" customHeight="1" s="195"/>
    <row r="717" ht="15.75" customHeight="1" s="195"/>
    <row r="718" ht="15.75" customHeight="1" s="195"/>
    <row r="719" ht="15.75" customHeight="1" s="195"/>
    <row r="720" ht="15.75" customHeight="1" s="195"/>
    <row r="721" ht="15.75" customHeight="1" s="195"/>
    <row r="722" ht="15.75" customHeight="1" s="195"/>
    <row r="723" ht="15.75" customHeight="1" s="195"/>
    <row r="724" ht="15.75" customHeight="1" s="195"/>
    <row r="725" ht="15.75" customHeight="1" s="195"/>
    <row r="726" ht="15.75" customHeight="1" s="195"/>
    <row r="727" ht="15.75" customHeight="1" s="195"/>
    <row r="728" ht="15.75" customHeight="1" s="195"/>
    <row r="729" ht="15.75" customHeight="1" s="195"/>
    <row r="730" ht="15.75" customHeight="1" s="195"/>
    <row r="731" ht="15.75" customHeight="1" s="195"/>
    <row r="732" ht="15.75" customHeight="1" s="195"/>
    <row r="733" ht="15.75" customHeight="1" s="195"/>
    <row r="734" ht="15.75" customHeight="1" s="195"/>
    <row r="735" ht="15.75" customHeight="1" s="195"/>
    <row r="736" ht="15.75" customHeight="1" s="195"/>
    <row r="737" ht="15.75" customHeight="1" s="195"/>
    <row r="738" ht="15.75" customHeight="1" s="195"/>
    <row r="739" ht="15.75" customHeight="1" s="195"/>
    <row r="740" ht="15.75" customHeight="1" s="195"/>
    <row r="741" ht="15.75" customHeight="1" s="195"/>
    <row r="742" ht="15.75" customHeight="1" s="195"/>
    <row r="743" ht="15.75" customHeight="1" s="195"/>
    <row r="744" ht="15.75" customHeight="1" s="195"/>
    <row r="745" ht="15.75" customHeight="1" s="195"/>
    <row r="746" ht="15.75" customHeight="1" s="195"/>
    <row r="747" ht="15.75" customHeight="1" s="195"/>
    <row r="748" ht="15.75" customHeight="1" s="195"/>
    <row r="749" ht="15.75" customHeight="1" s="195"/>
    <row r="750" ht="15.75" customHeight="1" s="195"/>
    <row r="751" ht="15.75" customHeight="1" s="195"/>
    <row r="752" ht="15.75" customHeight="1" s="195"/>
    <row r="753" ht="15.75" customHeight="1" s="195"/>
    <row r="754" ht="15.75" customHeight="1" s="195"/>
    <row r="755" ht="15.75" customHeight="1" s="195"/>
    <row r="756" ht="15.75" customHeight="1" s="195"/>
    <row r="757" ht="15.75" customHeight="1" s="195"/>
    <row r="758" ht="15.75" customHeight="1" s="195"/>
    <row r="759" ht="15.75" customHeight="1" s="195"/>
    <row r="760" ht="15.75" customHeight="1" s="195"/>
    <row r="761" ht="15.75" customHeight="1" s="195"/>
    <row r="762" ht="15.75" customHeight="1" s="195"/>
    <row r="763" ht="15.75" customHeight="1" s="195"/>
    <row r="764" ht="15.75" customHeight="1" s="195"/>
    <row r="765" ht="15.75" customHeight="1" s="195"/>
    <row r="766" ht="15.75" customHeight="1" s="195"/>
    <row r="767" ht="15.75" customHeight="1" s="195"/>
    <row r="768" ht="15.75" customHeight="1" s="195"/>
    <row r="769" ht="15.75" customHeight="1" s="195"/>
    <row r="770" ht="15.75" customHeight="1" s="195"/>
    <row r="771" ht="15.75" customHeight="1" s="195"/>
    <row r="772" ht="15.75" customHeight="1" s="195"/>
    <row r="773" ht="15.75" customHeight="1" s="195"/>
    <row r="774" ht="15.75" customHeight="1" s="195"/>
    <row r="775" ht="15.75" customHeight="1" s="195"/>
    <row r="776" ht="15.75" customHeight="1" s="195"/>
    <row r="777" ht="15.75" customHeight="1" s="195"/>
    <row r="778" ht="15.75" customHeight="1" s="195"/>
    <row r="779" ht="15.75" customHeight="1" s="195"/>
    <row r="780" ht="15.75" customHeight="1" s="195"/>
    <row r="781" ht="15.75" customHeight="1" s="195"/>
    <row r="782" ht="15.75" customHeight="1" s="195"/>
    <row r="783" ht="15.75" customHeight="1" s="195"/>
    <row r="784" ht="15.75" customHeight="1" s="195"/>
    <row r="785" ht="15.75" customHeight="1" s="195"/>
    <row r="786" ht="15.75" customHeight="1" s="195"/>
    <row r="787" ht="15.75" customHeight="1" s="195"/>
    <row r="788" ht="15.75" customHeight="1" s="195"/>
    <row r="789" ht="15.75" customHeight="1" s="195"/>
    <row r="790" ht="15.75" customHeight="1" s="195"/>
    <row r="791" ht="15.75" customHeight="1" s="195"/>
    <row r="792" ht="15.75" customHeight="1" s="195"/>
    <row r="793" ht="15.75" customHeight="1" s="195"/>
    <row r="794" ht="15.75" customHeight="1" s="195"/>
    <row r="795" ht="15.75" customHeight="1" s="195"/>
    <row r="796" ht="15.75" customHeight="1" s="195"/>
    <row r="797" ht="15.75" customHeight="1" s="195"/>
    <row r="798" ht="15.75" customHeight="1" s="195"/>
    <row r="799" ht="15.75" customHeight="1" s="195"/>
    <row r="800" ht="15.75" customHeight="1" s="195"/>
    <row r="801" ht="15.75" customHeight="1" s="195"/>
    <row r="802" ht="15.75" customHeight="1" s="195"/>
    <row r="803" ht="15.75" customHeight="1" s="195"/>
    <row r="804" ht="15.75" customHeight="1" s="195"/>
    <row r="805" ht="15.75" customHeight="1" s="195"/>
    <row r="806" ht="15.75" customHeight="1" s="195"/>
    <row r="807" ht="15.75" customHeight="1" s="195"/>
    <row r="808" ht="15.75" customHeight="1" s="195"/>
    <row r="809" ht="15.75" customHeight="1" s="195"/>
    <row r="810" ht="15.75" customHeight="1" s="195"/>
    <row r="811" ht="15.75" customHeight="1" s="195"/>
    <row r="812" ht="15.75" customHeight="1" s="195"/>
    <row r="813" ht="15.75" customHeight="1" s="195"/>
    <row r="814" ht="15.75" customHeight="1" s="195"/>
    <row r="815" ht="15.75" customHeight="1" s="195"/>
    <row r="816" ht="15.75" customHeight="1" s="195"/>
    <row r="817" ht="15.75" customHeight="1" s="195"/>
    <row r="818" ht="15.75" customHeight="1" s="195"/>
    <row r="819" ht="15.75" customHeight="1" s="195"/>
    <row r="820" ht="15.75" customHeight="1" s="195"/>
    <row r="821" ht="15.75" customHeight="1" s="195"/>
    <row r="822" ht="15.75" customHeight="1" s="195"/>
    <row r="823" ht="15.75" customHeight="1" s="195"/>
    <row r="824" ht="15.75" customHeight="1" s="195"/>
    <row r="825" ht="15.75" customHeight="1" s="195"/>
    <row r="826" ht="15.75" customHeight="1" s="195"/>
    <row r="827" ht="15.75" customHeight="1" s="195"/>
    <row r="828" ht="15.75" customHeight="1" s="195"/>
    <row r="829" ht="15.75" customHeight="1" s="195"/>
    <row r="830" ht="15.75" customHeight="1" s="195"/>
    <row r="831" ht="15.75" customHeight="1" s="195"/>
    <row r="832" ht="15.75" customHeight="1" s="195"/>
    <row r="833" ht="15.75" customHeight="1" s="195"/>
    <row r="834" ht="15.75" customHeight="1" s="195"/>
    <row r="835" ht="15.75" customHeight="1" s="195"/>
    <row r="836" ht="15.75" customHeight="1" s="195"/>
    <row r="837" ht="15.75" customHeight="1" s="195"/>
    <row r="838" ht="15.75" customHeight="1" s="195"/>
    <row r="839" ht="15.75" customHeight="1" s="195"/>
    <row r="840" ht="15.75" customHeight="1" s="195"/>
    <row r="841" ht="15.75" customHeight="1" s="195"/>
    <row r="842" ht="15.75" customHeight="1" s="195"/>
    <row r="843" ht="15.75" customHeight="1" s="195"/>
    <row r="844" ht="15.75" customHeight="1" s="195"/>
    <row r="845" ht="15.75" customHeight="1" s="195"/>
    <row r="846" ht="15.75" customHeight="1" s="195"/>
    <row r="847" ht="15.75" customHeight="1" s="195"/>
    <row r="848" ht="15.75" customHeight="1" s="195"/>
    <row r="849" ht="15.75" customHeight="1" s="195"/>
    <row r="850" ht="15.75" customHeight="1" s="195"/>
    <row r="851" ht="15.75" customHeight="1" s="195"/>
    <row r="852" ht="15.75" customHeight="1" s="195"/>
    <row r="853" ht="15.75" customHeight="1" s="195"/>
    <row r="854" ht="15.75" customHeight="1" s="195"/>
    <row r="855" ht="15.75" customHeight="1" s="195"/>
    <row r="856" ht="15.75" customHeight="1" s="195"/>
    <row r="857" ht="15.75" customHeight="1" s="195"/>
    <row r="858" ht="15.75" customHeight="1" s="195"/>
    <row r="859" ht="15.75" customHeight="1" s="195"/>
    <row r="860" ht="15.75" customHeight="1" s="195"/>
    <row r="861" ht="15.75" customHeight="1" s="195"/>
    <row r="862" ht="15.75" customHeight="1" s="195"/>
    <row r="863" ht="15.75" customHeight="1" s="195"/>
    <row r="864" ht="15.75" customHeight="1" s="195"/>
    <row r="865" ht="15.75" customHeight="1" s="195"/>
    <row r="866" ht="15.75" customHeight="1" s="195"/>
    <row r="867" ht="15.75" customHeight="1" s="195"/>
    <row r="868" ht="15.75" customHeight="1" s="195"/>
    <row r="869" ht="15.75" customHeight="1" s="195"/>
    <row r="870" ht="15.75" customHeight="1" s="195"/>
    <row r="871" ht="15.75" customHeight="1" s="195"/>
    <row r="872" ht="15.75" customHeight="1" s="195"/>
    <row r="873" ht="15.75" customHeight="1" s="195"/>
    <row r="874" ht="15.75" customHeight="1" s="195"/>
    <row r="875" ht="15.75" customHeight="1" s="195"/>
    <row r="876" ht="15.75" customHeight="1" s="195"/>
    <row r="877" ht="15.75" customHeight="1" s="195"/>
    <row r="878" ht="15.75" customHeight="1" s="195"/>
    <row r="879" ht="15.75" customHeight="1" s="195"/>
    <row r="880" ht="15.75" customHeight="1" s="195"/>
    <row r="881" ht="15.75" customHeight="1" s="195"/>
    <row r="882" ht="15.75" customHeight="1" s="195"/>
    <row r="883" ht="15.75" customHeight="1" s="195"/>
    <row r="884" ht="15.75" customHeight="1" s="195"/>
    <row r="885" ht="15.75" customHeight="1" s="195"/>
    <row r="886" ht="15.75" customHeight="1" s="195"/>
    <row r="887" ht="15.75" customHeight="1" s="195"/>
    <row r="888" ht="15.75" customHeight="1" s="195"/>
    <row r="889" ht="15.75" customHeight="1" s="195"/>
    <row r="890" ht="15.75" customHeight="1" s="195"/>
    <row r="891" ht="15.75" customHeight="1" s="195"/>
    <row r="892" ht="15.75" customHeight="1" s="195"/>
    <row r="893" ht="15.75" customHeight="1" s="195"/>
    <row r="894" ht="15.75" customHeight="1" s="195"/>
    <row r="895" ht="15.75" customHeight="1" s="195"/>
    <row r="896" ht="15.75" customHeight="1" s="195"/>
    <row r="897" ht="15.75" customHeight="1" s="195"/>
    <row r="898" ht="15.75" customHeight="1" s="195"/>
    <row r="899" ht="15.75" customHeight="1" s="195"/>
    <row r="900" ht="15.75" customHeight="1" s="195"/>
    <row r="901" ht="15.75" customHeight="1" s="195"/>
    <row r="902" ht="15.75" customHeight="1" s="195"/>
    <row r="903" ht="15.75" customHeight="1" s="195"/>
    <row r="904" ht="15.75" customHeight="1" s="195"/>
    <row r="905" ht="15.75" customHeight="1" s="195"/>
    <row r="906" ht="15.75" customHeight="1" s="195"/>
    <row r="907" ht="15.75" customHeight="1" s="195"/>
    <row r="908" ht="15.75" customHeight="1" s="195"/>
    <row r="909" ht="15.75" customHeight="1" s="195"/>
    <row r="910" ht="15.75" customHeight="1" s="195"/>
    <row r="911" ht="15.75" customHeight="1" s="195"/>
    <row r="912" ht="15.75" customHeight="1" s="195"/>
    <row r="913" ht="15.75" customHeight="1" s="195"/>
    <row r="914" ht="15.75" customHeight="1" s="195"/>
    <row r="915" ht="15.75" customHeight="1" s="195"/>
    <row r="916" ht="15.75" customHeight="1" s="195"/>
    <row r="917" ht="15.75" customHeight="1" s="195"/>
    <row r="918" ht="15.75" customHeight="1" s="195"/>
    <row r="919" ht="15.75" customHeight="1" s="195"/>
    <row r="920" ht="15.75" customHeight="1" s="195"/>
    <row r="921" ht="15.75" customHeight="1" s="195"/>
    <row r="922" ht="15.75" customHeight="1" s="195"/>
    <row r="923" ht="15.75" customHeight="1" s="195"/>
    <row r="924" ht="15.75" customHeight="1" s="195"/>
    <row r="925" ht="15.75" customHeight="1" s="195"/>
    <row r="926" ht="15.75" customHeight="1" s="195"/>
    <row r="927" ht="15.75" customHeight="1" s="195"/>
    <row r="928" ht="15.75" customHeight="1" s="195"/>
    <row r="929" ht="15.75" customHeight="1" s="195"/>
    <row r="930" ht="15.75" customHeight="1" s="195"/>
    <row r="931" ht="15.75" customHeight="1" s="195"/>
    <row r="932" ht="15.75" customHeight="1" s="195"/>
    <row r="933" ht="15.75" customHeight="1" s="195"/>
    <row r="934" ht="15.75" customHeight="1" s="195"/>
    <row r="935" ht="15.75" customHeight="1" s="195"/>
    <row r="936" ht="15.75" customHeight="1" s="195"/>
    <row r="937" ht="15.75" customHeight="1" s="195"/>
    <row r="938" ht="15.75" customHeight="1" s="195"/>
    <row r="939" ht="15.75" customHeight="1" s="195"/>
    <row r="940" ht="15.75" customHeight="1" s="195"/>
    <row r="941" ht="15.75" customHeight="1" s="195"/>
    <row r="942" ht="15.75" customHeight="1" s="195"/>
    <row r="943" ht="15.75" customHeight="1" s="195"/>
    <row r="944" ht="15.75" customHeight="1" s="195"/>
    <row r="945" ht="15.75" customHeight="1" s="195"/>
    <row r="946" ht="15.75" customHeight="1" s="195"/>
    <row r="947" ht="15.75" customHeight="1" s="195"/>
    <row r="948" ht="15.75" customHeight="1" s="195"/>
    <row r="949" ht="15.75" customHeight="1" s="195"/>
    <row r="950" ht="15.75" customHeight="1" s="195"/>
    <row r="951" ht="15.75" customHeight="1" s="195"/>
    <row r="952" ht="15.75" customHeight="1" s="195"/>
    <row r="953" ht="15.75" customHeight="1" s="195"/>
    <row r="954" ht="15.75" customHeight="1" s="195"/>
    <row r="955" ht="15.75" customHeight="1" s="195"/>
    <row r="956" ht="15.75" customHeight="1" s="195"/>
    <row r="957" ht="15.75" customHeight="1" s="195"/>
    <row r="958" ht="15.75" customHeight="1" s="195"/>
    <row r="959" ht="15.75" customHeight="1" s="195"/>
    <row r="960" ht="15.75" customHeight="1" s="195"/>
    <row r="961" ht="15.75" customHeight="1" s="195"/>
    <row r="962" ht="15.75" customHeight="1" s="195"/>
    <row r="963" ht="15.75" customHeight="1" s="195"/>
    <row r="964" ht="15.75" customHeight="1" s="195"/>
    <row r="965" ht="15.75" customHeight="1" s="195"/>
    <row r="966" ht="15.75" customHeight="1" s="195"/>
    <row r="967" ht="15.75" customHeight="1" s="195"/>
    <row r="968" ht="15.75" customHeight="1" s="195"/>
    <row r="969" ht="15.75" customHeight="1" s="195"/>
    <row r="970" ht="15.75" customHeight="1" s="195"/>
    <row r="971" ht="15.75" customHeight="1" s="195"/>
    <row r="972" ht="15.75" customHeight="1" s="195"/>
    <row r="973" ht="15.75" customHeight="1" s="195"/>
    <row r="974" ht="15.75" customHeight="1" s="195"/>
    <row r="975" ht="15.75" customHeight="1" s="195"/>
    <row r="976" ht="15.75" customHeight="1" s="195"/>
    <row r="977" ht="15.75" customHeight="1" s="195"/>
    <row r="978" ht="15.75" customHeight="1" s="195"/>
    <row r="979" ht="15.75" customHeight="1" s="195"/>
    <row r="980" ht="15.75" customHeight="1" s="195"/>
    <row r="981" ht="15.75" customHeight="1" s="195"/>
    <row r="982" ht="15.75" customHeight="1" s="195"/>
    <row r="983" ht="15.75" customHeight="1" s="195"/>
    <row r="984" ht="15.75" customHeight="1" s="195"/>
    <row r="985" ht="15.75" customHeight="1" s="195"/>
    <row r="986" ht="15.75" customHeight="1" s="195"/>
    <row r="987" ht="15.75" customHeight="1" s="195"/>
    <row r="988" ht="15.75" customHeight="1" s="195"/>
    <row r="989" ht="15.75" customHeight="1" s="195"/>
    <row r="990" ht="15.75" customHeight="1" s="195"/>
    <row r="991" ht="15.75" customHeight="1" s="195"/>
    <row r="992" ht="15.75" customHeight="1" s="195"/>
    <row r="993" ht="15.75" customHeight="1" s="195"/>
    <row r="994" ht="15.75" customHeight="1" s="195"/>
    <row r="995" ht="15.75" customHeight="1" s="195"/>
    <row r="996" ht="15.75" customHeight="1" s="195"/>
    <row r="997" ht="15.75" customHeight="1" s="195"/>
    <row r="998" ht="15.75" customHeight="1" s="195"/>
    <row r="999" ht="15.75" customHeight="1" s="195"/>
    <row r="1000" ht="15.75" customHeight="1" s="195"/>
  </sheetData>
  <mergeCells count="13">
    <mergeCell ref="D2:F2"/>
    <mergeCell ref="G2:I2"/>
    <mergeCell ref="S2:T2"/>
    <mergeCell ref="J2:L2"/>
    <mergeCell ref="A8:J8"/>
    <mergeCell ref="U2:V2"/>
    <mergeCell ref="A506:G506"/>
    <mergeCell ref="P2:R2"/>
    <mergeCell ref="A1:Y1"/>
    <mergeCell ref="W2:AC2"/>
    <mergeCell ref="A4:Y4"/>
    <mergeCell ref="M2:O2"/>
    <mergeCell ref="A2:C2"/>
  </mergeCells>
  <conditionalFormatting sqref="T6:T505">
    <cfRule type="expression" rank="0" priority="2" equalAverage="0" aboveAverage="0" dxfId="0" text="" percent="0" bottom="0">
      <formula>EXACT(T6,"APROBADO")</formula>
    </cfRule>
    <cfRule type="expression" rank="0" priority="3" equalAverage="0" aboveAverage="0" dxfId="7" text="" percent="0" bottom="0">
      <formula>EXACT(T6,"PENDIENTE")</formula>
    </cfRule>
    <cfRule type="expression" rank="0" priority="4" equalAverage="0" aboveAverage="0" dxfId="0" text="" percent="0" bottom="0">
      <formula>EXACT(T6,"APROBADO")</formula>
    </cfRule>
    <cfRule type="expression" rank="0" priority="5" equalAverage="0" aboveAverage="0" dxfId="7" text="" percent="0" bottom="0">
      <formula>EXACT(T6,"OBSERVADO")</formula>
    </cfRule>
  </conditionalFormatting>
  <conditionalFormatting sqref="K6:K505">
    <cfRule type="expression" rank="0" priority="6" equalAverage="0" aboveAverage="0" dxfId="8" text="" percent="0" bottom="0">
      <formula>EXACT(K6,"GASOLINA")</formula>
    </cfRule>
  </conditionalFormatting>
  <conditionalFormatting sqref="Z6:Z505">
    <cfRule type="expression" rank="0" priority="7" equalAverage="0" aboveAverage="0" dxfId="0" text="" percent="0" bottom="0">
      <formula>EXACT(Z6,"COMPLETADO")</formula>
    </cfRule>
    <cfRule type="expression" rank="0" priority="8" equalAverage="0" aboveAverage="0" dxfId="7" text="" percent="0" bottom="0">
      <formula>EXACT(Z6,"OBSERVADO")</formula>
    </cfRule>
  </conditionalFormatting>
  <conditionalFormatting sqref="T6:T110">
    <cfRule type="expression" rank="0" priority="9" equalAverage="0" aboveAverage="0" dxfId="0" text="" percent="0" bottom="0">
      <formula>EXACT(T6,"APROBADO")</formula>
    </cfRule>
    <cfRule type="expression" rank="0" priority="10" equalAverage="0" aboveAverage="0" dxfId="7" text="" percent="0" bottom="0">
      <formula>EXACT(T6,"OBSERVADO")</formula>
    </cfRule>
  </conditionalFormatting>
  <conditionalFormatting sqref="Z6:Z110">
    <cfRule type="expression" rank="0" priority="11" equalAverage="0" aboveAverage="0" dxfId="0" text="" percent="0" bottom="0">
      <formula>EXACT(Z6,"COMPLETADO")</formula>
    </cfRule>
    <cfRule type="expression" rank="0" priority="12" equalAverage="0" aboveAverage="0" dxfId="7" text="" percent="0" bottom="0">
      <formula>EXACT(Z6,"OBSERVADO")</formula>
    </cfRule>
    <cfRule type="expression" rank="0" priority="13" equalAverage="0" aboveAverage="0" dxfId="0" text="" percent="0" bottom="0">
      <formula>Z6="ENTREGADO"</formula>
    </cfRule>
    <cfRule type="expression" rank="0" priority="14" equalAverage="0" aboveAverage="0" dxfId="7" text="" percent="0" bottom="0">
      <formula>Z6="POR RECOGER"</formula>
    </cfRule>
  </conditionalFormatting>
  <conditionalFormatting sqref="Y6:Y110">
    <cfRule type="expression" rank="0" priority="15" equalAverage="0" aboveAverage="0" dxfId="9" text="" percent="0" bottom="0">
      <formula>Y6&lt;&gt;""</formula>
    </cfRule>
  </conditionalFormatting>
  <dataValidations count="5">
    <dataValidation sqref="Y6:Y110" showDropDown="0" showInputMessage="0" showErrorMessage="0" allowBlank="1" type="list" errorStyle="stop" operator="between">
      <formula1>CONDUCTORES!$H$3:$H$104</formula1>
      <formula2>0</formula2>
    </dataValidation>
    <dataValidation sqref="K6:K505" showDropDown="0" showInputMessage="0" showErrorMessage="0" allowBlank="1" type="list" errorStyle="stop" operator="between">
      <formula1>"PETROLEO,GASOLINA"</formula1>
      <formula2>0</formula2>
    </dataValidation>
    <dataValidation sqref="E6:E7 E9:E505" showDropDown="0" showInputMessage="0" showErrorMessage="0" allowBlank="1" type="list" errorStyle="stop" operator="between">
      <formula1>"DNI,CE,PASAPORTE"</formula1>
      <formula2>0</formula2>
    </dataValidation>
    <dataValidation sqref="T6:T110" showDropDown="0" showInputMessage="0" showErrorMessage="0" allowBlank="1" type="list" errorStyle="stop" operator="between">
      <formula1>"APROBADO,OBSERVADO"</formula1>
      <formula2>0</formula2>
    </dataValidation>
    <dataValidation sqref="T111:T505" showDropDown="0" showInputMessage="1" showErrorMessage="1" allowBlank="1" prompt="Valor no válido - Solo se permite: APROBADO u OBSERVADO" type="list" errorStyle="stop" operator="between">
      <formula1>"APROBADO,OBSERVADO"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C5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baseColWidth="8" defaultColWidth="14.43359375" defaultRowHeight="15" zeroHeight="0" outlineLevelRow="0"/>
  <cols>
    <col width="6" customWidth="1" style="194" min="1" max="1"/>
    <col width="14" customWidth="1" style="194" min="2" max="2"/>
    <col width="8" customWidth="1" style="194" min="3" max="3"/>
    <col width="28" customWidth="1" style="194" min="4" max="4"/>
    <col width="7" customWidth="1" style="194" min="5" max="5"/>
    <col width="14" customWidth="1" style="194" min="6" max="6"/>
    <col width="12" customWidth="1" style="194" min="7" max="7"/>
    <col width="10" customWidth="1" style="194" min="8" max="8"/>
    <col width="30" customWidth="1" style="194" min="9" max="9"/>
    <col width="10" customWidth="1" style="194" min="10" max="10"/>
    <col width="12" customWidth="1" style="194" min="11" max="11"/>
    <col width="10" customWidth="1" style="194" min="12" max="13"/>
    <col width="14" customWidth="1" style="194" min="14" max="15"/>
    <col width="30" customWidth="1" style="194" min="16" max="16"/>
    <col width="12" customWidth="1" style="194" min="17" max="18"/>
    <col width="16" customWidth="1" style="194" min="19" max="19"/>
    <col width="12" customWidth="1" style="194" min="20" max="21"/>
    <col width="14" customWidth="1" style="194" min="22" max="23"/>
    <col width="8" customWidth="1" style="194" min="24" max="24"/>
    <col width="22" customWidth="1" style="194" min="25" max="25"/>
    <col width="14" customWidth="1" style="194" min="26" max="26"/>
    <col width="8.710000000000001" customWidth="1" style="194" min="27" max="29"/>
  </cols>
  <sheetData>
    <row r="1" ht="27.75" customHeight="1" s="195">
      <c r="A1" s="365" t="inlineStr">
        <is>
          <t>REPORTE DE TRASLADO DE PACIENTES SIS DEL MES DE JULIO 2026 PARA REPOSICION DE COMBUSTIBLE</t>
        </is>
      </c>
      <c r="Z1" s="365" t="n"/>
      <c r="AA1" s="284" t="n"/>
    </row>
    <row r="2" ht="21.75" customHeight="1" s="195">
      <c r="A2" s="318" t="inlineStr">
        <is>
          <t>TOTAL PETROLEO (gal):</t>
        </is>
      </c>
      <c r="D2" s="366">
        <f>IFERROR(SUMPRODUCT((K6:K110="PETROLEO")*ISNUMBER(M6:M110)*M6:M110),0)</f>
        <v/>
      </c>
      <c r="G2" s="318" t="inlineStr">
        <is>
          <t>TOTAL GASOLINA (gal):</t>
        </is>
      </c>
      <c r="J2" s="366">
        <f>IFERROR(SUMPRODUCT((K6:K110="GASOLINA")*ISNUMBER(M6:M110)*M6:M110),0)</f>
        <v/>
      </c>
      <c r="M2" s="318" t="inlineStr">
        <is>
          <t>TOTAL SOLES S/.:</t>
        </is>
      </c>
      <c r="P2" s="367">
        <f>IFERROR(SUMPRODUCT(ISNUMBER(M6:M110)*L6:L110*M6:M110),0)</f>
        <v/>
      </c>
      <c r="S2" s="318" t="inlineStr">
        <is>
          <t>N TRASLADOS:</t>
        </is>
      </c>
      <c r="U2" s="368">
        <f>SUBTOTAL(2,A6:A110)</f>
        <v/>
      </c>
      <c r="W2" s="281" t="n"/>
    </row>
    <row r="3" ht="3.75" customHeight="1" s="195">
      <c r="A3" s="289" t="n"/>
      <c r="B3" s="289" t="n"/>
      <c r="C3" s="289" t="n"/>
      <c r="D3" s="289" t="n"/>
      <c r="E3" s="289" t="n"/>
      <c r="F3" s="289" t="n"/>
      <c r="G3" s="289" t="n"/>
      <c r="H3" s="289" t="n"/>
      <c r="I3" s="289" t="n"/>
      <c r="J3" s="289" t="n"/>
      <c r="K3" s="289" t="n"/>
      <c r="L3" s="289" t="n"/>
      <c r="M3" s="289" t="n"/>
      <c r="N3" s="289" t="n"/>
      <c r="O3" s="289" t="n"/>
      <c r="P3" s="289" t="n"/>
      <c r="Q3" s="289" t="n"/>
      <c r="R3" s="289" t="n"/>
      <c r="S3" s="289" t="n"/>
      <c r="T3" s="289" t="n"/>
      <c r="U3" s="289" t="n"/>
      <c r="V3" s="289" t="n"/>
      <c r="W3" s="289" t="n"/>
      <c r="X3" s="289" t="n"/>
      <c r="Y3" s="289" t="n"/>
      <c r="Z3" s="289" t="n"/>
      <c r="AA3" s="284" t="n"/>
    </row>
    <row r="4" ht="19.5" customHeight="1" s="195">
      <c r="A4" s="369" t="inlineStr">
        <is>
          <t>COLUMNAS EN AZUL = AUTO (no editar) | Ingrese: N, NRO FORMATO, AFILIADO, TIPO DOC, NRO DOC, FECHA TRASLADO, COD RENAES, COD REFERENCIA, DNI CONDUCTOR, PRECIO GAL, GALONES, FECHA ENTREGA, CIE-10, ESTADO FUA, FECHA DIGITACION, OFICIO, O/C, META, OBSERVACION</t>
        </is>
      </c>
      <c r="Z4" s="369" t="n"/>
      <c r="AA4" s="284" t="n"/>
    </row>
    <row r="5" ht="31.5" customHeight="1" s="195">
      <c r="A5" s="370" t="inlineStr">
        <is>
          <t>N</t>
        </is>
      </c>
      <c r="B5" s="370" t="inlineStr">
        <is>
          <t>NRO FORMATO
ATENCION</t>
        </is>
      </c>
      <c r="C5" s="370" t="inlineStr">
        <is>
          <t>UNIDAD
EJECUTORA</t>
        </is>
      </c>
      <c r="D5" s="370" t="inlineStr">
        <is>
          <t>AFILIADO</t>
        </is>
      </c>
      <c r="E5" s="370" t="inlineStr">
        <is>
          <t>TIPO
DOC</t>
        </is>
      </c>
      <c r="F5" s="370" t="inlineStr">
        <is>
          <t>NRO
DOCUMENTO</t>
        </is>
      </c>
      <c r="G5" s="370" t="inlineStr">
        <is>
          <t>FECHA
TRASLADO</t>
        </is>
      </c>
      <c r="H5" s="370" t="inlineStr">
        <is>
          <t>COD
RENAES</t>
        </is>
      </c>
      <c r="I5" s="371" t="inlineStr">
        <is>
          <t>DESCRIPCION
EESS</t>
        </is>
      </c>
      <c r="J5" s="370" t="inlineStr">
        <is>
          <t>COD EESS
REFERENCIA</t>
        </is>
      </c>
      <c r="K5" s="371" t="inlineStr">
        <is>
          <t>TIPO DE
COMBUSTIBLE</t>
        </is>
      </c>
      <c r="L5" s="370" t="inlineStr">
        <is>
          <t>PRECIO
GAL S/.</t>
        </is>
      </c>
      <c r="M5" s="370" t="inlineStr">
        <is>
          <t>GALONES</t>
        </is>
      </c>
      <c r="N5" s="371" t="inlineStr">
        <is>
          <t>TOTAL
COMBUSTIBLE S/.</t>
        </is>
      </c>
      <c r="O5" s="370" t="inlineStr">
        <is>
          <t>DNI
CONDUCTOR</t>
        </is>
      </c>
      <c r="P5" s="371" t="inlineStr">
        <is>
          <t>NOMBRE
CONDUCTOR</t>
        </is>
      </c>
      <c r="Q5" s="371" t="inlineStr">
        <is>
          <t>PLACA</t>
        </is>
      </c>
      <c r="R5" s="370" t="inlineStr">
        <is>
          <t>FECHA DE
ENTREGA</t>
        </is>
      </c>
      <c r="S5" s="370" t="inlineStr">
        <is>
          <t>CODIGO DE
DIAGNOSTICO</t>
        </is>
      </c>
      <c r="T5" s="370" t="inlineStr">
        <is>
          <t>ESTADO
FUA</t>
        </is>
      </c>
      <c r="U5" s="370" t="inlineStr">
        <is>
          <t>FECHA
DIGITACION</t>
        </is>
      </c>
      <c r="V5" s="370" t="inlineStr">
        <is>
          <t>OFICIO</t>
        </is>
      </c>
      <c r="W5" s="370" t="inlineStr">
        <is>
          <t>O/C</t>
        </is>
      </c>
      <c r="X5" s="370" t="inlineStr">
        <is>
          <t>META</t>
        </is>
      </c>
      <c r="Y5" s="324" t="inlineStr">
        <is>
          <t>DEVOLVER A
(IPRESS DESTINO)</t>
        </is>
      </c>
      <c r="Z5" s="372" t="inlineStr">
        <is>
          <t>ESTADO
COMPLETADO</t>
        </is>
      </c>
      <c r="AA5" s="284" t="n"/>
    </row>
    <row r="6" ht="15.75" customHeight="1" s="195">
      <c r="A6" s="334" t="n"/>
      <c r="B6" s="334" t="n"/>
      <c r="C6" s="334" t="n"/>
      <c r="D6" s="334" t="n"/>
      <c r="E6" s="334" t="n"/>
      <c r="F6" s="334" t="n"/>
      <c r="G6" s="334" t="n"/>
      <c r="H6" s="334" t="n"/>
      <c r="I6" s="332">
        <f>IFERROR(VLOOKUP(TEXT(H6,"0"),IPRESS!$A$3:$B$212,2,0),"")</f>
        <v/>
      </c>
      <c r="J6" s="334" t="n"/>
      <c r="K6" s="332">
        <f>IFERROR(VLOOKUP(TEXT(O6,"0"),CONDUCTORES!$A$3:$G$54,7,0),"")</f>
        <v/>
      </c>
      <c r="L6" s="334" t="n"/>
      <c r="M6" s="334" t="n"/>
      <c r="N6" s="333">
        <f>IFERROR(IF(L6*M6=0,"",L6*M6),"")</f>
        <v/>
      </c>
      <c r="O6" s="334" t="n"/>
      <c r="P6" s="332">
        <f>IFERROR(VLOOKUP(TEXT(O6,"0"),CONDUCTORES!$A$3:$G$54,2,0),"")</f>
        <v/>
      </c>
      <c r="Q6" s="332">
        <f>IFERROR(VLOOKUP(TEXT(O6,"0"),CONDUCTORES!$A$3:$H$54,6,0),"")</f>
        <v/>
      </c>
      <c r="R6" s="334" t="n"/>
      <c r="S6" s="334" t="n"/>
      <c r="T6" s="334" t="n"/>
      <c r="U6" s="334" t="n"/>
      <c r="V6" s="334" t="n"/>
      <c r="W6" s="334" t="n"/>
      <c r="X6" s="334" t="n"/>
      <c r="Y6" s="334" t="n"/>
      <c r="Z6" s="242">
        <f>IF(AND(G6&lt;&gt;"",R6&lt;&gt;"",V6&lt;&gt;"",W6&lt;&gt;""),"COMPLETADO","OBSERVADO")</f>
        <v/>
      </c>
      <c r="AA6" s="284" t="n"/>
    </row>
    <row r="7" ht="15.75" customHeight="1" s="195">
      <c r="A7" s="280" t="n"/>
      <c r="B7" s="280" t="n"/>
      <c r="C7" s="280" t="n"/>
      <c r="D7" s="280" t="n"/>
      <c r="E7" s="280" t="n"/>
      <c r="F7" s="280" t="n"/>
      <c r="G7" s="280" t="n"/>
      <c r="H7" s="280" t="n"/>
      <c r="I7" s="332">
        <f>IFERROR(VLOOKUP(TEXT(H7,"0"),IPRESS!$A$3:$B$212,2,0),"")</f>
        <v/>
      </c>
      <c r="J7" s="280" t="n"/>
      <c r="K7" s="332">
        <f>IFERROR(VLOOKUP(TEXT(O7,"0"),CONDUCTORES!$A$3:$G$54,7,0),"")</f>
        <v/>
      </c>
      <c r="L7" s="280" t="n"/>
      <c r="M7" s="280" t="n"/>
      <c r="N7" s="333">
        <f>IFERROR(IF(L7*M7=0,"",L7*M7),"")</f>
        <v/>
      </c>
      <c r="O7" s="280" t="n"/>
      <c r="P7" s="332">
        <f>IFERROR(VLOOKUP(TEXT(O7,"0"),CONDUCTORES!$A$3:$G$54,2,0),"")</f>
        <v/>
      </c>
      <c r="Q7" s="332">
        <f>IFERROR(VLOOKUP(TEXT(O7,"0"),CONDUCTORES!$A$3:$H$54,6,0),"")</f>
        <v/>
      </c>
      <c r="R7" s="280" t="n"/>
      <c r="S7" s="280" t="n"/>
      <c r="T7" s="280" t="n"/>
      <c r="U7" s="280" t="n"/>
      <c r="V7" s="280" t="n"/>
      <c r="W7" s="280" t="n"/>
      <c r="X7" s="280" t="n"/>
      <c r="Y7" s="280" t="n"/>
      <c r="Z7" s="236">
        <f>IF(AND(G7&lt;&gt;"",R7&lt;&gt;"",V7&lt;&gt;"",W7&lt;&gt;""),"COMPLETADO","OBSERVADO")</f>
        <v/>
      </c>
      <c r="AA7" s="284" t="n"/>
    </row>
    <row r="8" ht="15.75" customHeight="1" s="195">
      <c r="A8" s="334" t="n"/>
      <c r="K8" s="332">
        <f>IFERROR(VLOOKUP(TEXT(O8,"0"),CONDUCTORES!$A$3:$G$54,7,0),"")</f>
        <v/>
      </c>
      <c r="L8" s="334" t="n"/>
      <c r="M8" s="373" t="n"/>
      <c r="N8" s="333">
        <f>IFERROR(IF(L8*M8=0,"",L8*M8),"")</f>
        <v/>
      </c>
      <c r="O8" s="334" t="n"/>
      <c r="P8" s="332">
        <f>IFERROR(VLOOKUP(TEXT(O8,"0"),CONDUCTORES!$A$3:$G$54,2,0),"")</f>
        <v/>
      </c>
      <c r="Q8" s="332">
        <f>IFERROR(VLOOKUP(TEXT(O8,"0"),CONDUCTORES!$A$3:$H$54,6,0),"")</f>
        <v/>
      </c>
      <c r="R8" s="334" t="n"/>
      <c r="S8" s="334" t="n"/>
      <c r="T8" s="334" t="n"/>
      <c r="U8" s="334" t="n"/>
      <c r="V8" s="334" t="n"/>
      <c r="W8" s="334" t="n"/>
      <c r="X8" s="334" t="n"/>
      <c r="Y8" s="334" t="n"/>
      <c r="Z8" s="242">
        <f>IF(AND(G8&lt;&gt;"",R8&lt;&gt;"",V8&lt;&gt;"",W8&lt;&gt;""),"COMPLETADO","OBSERVADO")</f>
        <v/>
      </c>
      <c r="AA8" s="284" t="n"/>
    </row>
    <row r="9" ht="15.75" customHeight="1" s="195">
      <c r="A9" s="280" t="n"/>
      <c r="B9" s="280" t="n"/>
      <c r="C9" s="280" t="n"/>
      <c r="D9" s="280" t="n"/>
      <c r="E9" s="280" t="n"/>
      <c r="F9" s="280" t="n"/>
      <c r="G9" s="280" t="n"/>
      <c r="H9" s="280" t="n"/>
      <c r="I9" s="332">
        <f>IFERROR(VLOOKUP(TEXT(H9,"0"),IPRESS!$A$3:$B$212,2,0),"")</f>
        <v/>
      </c>
      <c r="J9" s="280" t="n"/>
      <c r="K9" s="332">
        <f>IFERROR(VLOOKUP(TEXT(O9,"0"),CONDUCTORES!$A$3:$G$54,7,0),"")</f>
        <v/>
      </c>
      <c r="L9" s="280" t="n"/>
      <c r="M9" s="280" t="n"/>
      <c r="N9" s="333">
        <f>IFERROR(IF(L9*M9=0,"",L9*M9),"")</f>
        <v/>
      </c>
      <c r="O9" s="280" t="n"/>
      <c r="P9" s="332">
        <f>IFERROR(VLOOKUP(TEXT(O9,"0"),CONDUCTORES!$A$3:$G$54,2,0),"")</f>
        <v/>
      </c>
      <c r="Q9" s="332">
        <f>IFERROR(VLOOKUP(TEXT(O9,"0"),CONDUCTORES!$A$3:$H$54,6,0),"")</f>
        <v/>
      </c>
      <c r="R9" s="280" t="n"/>
      <c r="S9" s="280" t="n"/>
      <c r="T9" s="280" t="n"/>
      <c r="U9" s="280" t="n"/>
      <c r="V9" s="280" t="n"/>
      <c r="W9" s="280" t="n"/>
      <c r="X9" s="280" t="n"/>
      <c r="Y9" s="280" t="n"/>
      <c r="Z9" s="236">
        <f>IF(AND(G9&lt;&gt;"",R9&lt;&gt;"",V9&lt;&gt;"",W9&lt;&gt;""),"COMPLETADO","OBSERVADO")</f>
        <v/>
      </c>
      <c r="AA9" s="284" t="n"/>
    </row>
    <row r="10" ht="15.75" customHeight="1" s="195">
      <c r="A10" s="334" t="n"/>
      <c r="B10" s="334" t="n"/>
      <c r="C10" s="334" t="n"/>
      <c r="D10" s="334" t="n"/>
      <c r="E10" s="334" t="n"/>
      <c r="F10" s="334" t="n"/>
      <c r="G10" s="334" t="n"/>
      <c r="H10" s="334" t="n"/>
      <c r="I10" s="332">
        <f>IFERROR(VLOOKUP(TEXT(H10,"0"),IPRESS!$A$3:$B$212,2,0),"")</f>
        <v/>
      </c>
      <c r="J10" s="334" t="n"/>
      <c r="K10" s="332">
        <f>IFERROR(VLOOKUP(TEXT(O10,"0"),CONDUCTORES!$A$3:$G$54,7,0),"")</f>
        <v/>
      </c>
      <c r="L10" s="334" t="n"/>
      <c r="M10" s="334" t="n"/>
      <c r="N10" s="333">
        <f>IFERROR(IF(L10*M10=0,"",L10*M10),"")</f>
        <v/>
      </c>
      <c r="O10" s="334" t="n"/>
      <c r="P10" s="332">
        <f>IFERROR(VLOOKUP(TEXT(O10,"0"),CONDUCTORES!$A$3:$G$54,2,0),"")</f>
        <v/>
      </c>
      <c r="Q10" s="332">
        <f>IFERROR(VLOOKUP(TEXT(O10,"0"),CONDUCTORES!$A$3:$H$54,6,0),"")</f>
        <v/>
      </c>
      <c r="R10" s="334" t="n"/>
      <c r="S10" s="334" t="n"/>
      <c r="T10" s="334" t="n"/>
      <c r="U10" s="334" t="n"/>
      <c r="V10" s="334" t="n"/>
      <c r="W10" s="334" t="n"/>
      <c r="X10" s="334" t="n"/>
      <c r="Y10" s="334" t="n"/>
      <c r="Z10" s="242">
        <f>IF(AND(G10&lt;&gt;"",R10&lt;&gt;"",V10&lt;&gt;"",W10&lt;&gt;""),"COMPLETADO","OBSERVADO")</f>
        <v/>
      </c>
      <c r="AA10" s="284" t="n"/>
    </row>
    <row r="11" ht="15.75" customHeight="1" s="195">
      <c r="A11" s="280" t="n"/>
      <c r="B11" s="280" t="n"/>
      <c r="C11" s="280" t="n"/>
      <c r="D11" s="280" t="n"/>
      <c r="E11" s="280" t="n"/>
      <c r="F11" s="280" t="n"/>
      <c r="G11" s="280" t="n"/>
      <c r="H11" s="280" t="n"/>
      <c r="I11" s="332">
        <f>IFERROR(VLOOKUP(TEXT(H11,"0"),IPRESS!$A$3:$B$212,2,0),"")</f>
        <v/>
      </c>
      <c r="J11" s="280" t="n"/>
      <c r="K11" s="332">
        <f>IFERROR(VLOOKUP(TEXT(O11,"0"),CONDUCTORES!$A$3:$G$54,7,0),"")</f>
        <v/>
      </c>
      <c r="L11" s="280" t="n"/>
      <c r="M11" s="280" t="n"/>
      <c r="N11" s="333">
        <f>IFERROR(IF(L11*M11=0,"",L11*M11),"")</f>
        <v/>
      </c>
      <c r="O11" s="280" t="n"/>
      <c r="P11" s="332">
        <f>IFERROR(VLOOKUP(TEXT(O11,"0"),CONDUCTORES!$A$3:$G$54,2,0),"")</f>
        <v/>
      </c>
      <c r="Q11" s="332">
        <f>IFERROR(VLOOKUP(TEXT(O11,"0"),CONDUCTORES!$A$3:$H$54,6,0),"")</f>
        <v/>
      </c>
      <c r="R11" s="280" t="n"/>
      <c r="S11" s="280" t="n"/>
      <c r="T11" s="280" t="n"/>
      <c r="U11" s="280" t="n"/>
      <c r="V11" s="280" t="n"/>
      <c r="W11" s="280" t="n"/>
      <c r="X11" s="280" t="n"/>
      <c r="Y11" s="280" t="n"/>
      <c r="Z11" s="236">
        <f>IF(AND(G11&lt;&gt;"",R11&lt;&gt;"",V11&lt;&gt;"",W11&lt;&gt;""),"COMPLETADO","OBSERVADO")</f>
        <v/>
      </c>
      <c r="AA11" s="284" t="n"/>
    </row>
    <row r="12" ht="15.75" customHeight="1" s="195">
      <c r="A12" s="334" t="n"/>
      <c r="B12" s="334" t="n"/>
      <c r="C12" s="334" t="n"/>
      <c r="D12" s="334" t="n"/>
      <c r="E12" s="334" t="n"/>
      <c r="F12" s="334" t="n"/>
      <c r="G12" s="334" t="n"/>
      <c r="H12" s="334" t="n"/>
      <c r="I12" s="332">
        <f>IFERROR(VLOOKUP(TEXT(H12,"0"),IPRESS!$A$3:$B$212,2,0),"")</f>
        <v/>
      </c>
      <c r="J12" s="334" t="n"/>
      <c r="K12" s="332">
        <f>IFERROR(VLOOKUP(TEXT(O12,"0"),CONDUCTORES!$A$3:$G$54,7,0),"")</f>
        <v/>
      </c>
      <c r="L12" s="334" t="n"/>
      <c r="M12" s="334" t="n"/>
      <c r="N12" s="333">
        <f>IFERROR(IF(L12*M12=0,"",L12*M12),"")</f>
        <v/>
      </c>
      <c r="O12" s="334" t="n"/>
      <c r="P12" s="332">
        <f>IFERROR(VLOOKUP(TEXT(O12,"0"),CONDUCTORES!$A$3:$G$54,2,0),"")</f>
        <v/>
      </c>
      <c r="Q12" s="332">
        <f>IFERROR(VLOOKUP(TEXT(O12,"0"),CONDUCTORES!$A$3:$H$54,6,0),"")</f>
        <v/>
      </c>
      <c r="R12" s="334" t="n"/>
      <c r="S12" s="334" t="n"/>
      <c r="T12" s="334" t="n"/>
      <c r="U12" s="334" t="n"/>
      <c r="V12" s="334" t="n"/>
      <c r="W12" s="334" t="n"/>
      <c r="X12" s="334" t="n"/>
      <c r="Y12" s="334" t="n"/>
      <c r="Z12" s="242">
        <f>IF(AND(G12&lt;&gt;"",R12&lt;&gt;"",V12&lt;&gt;"",W12&lt;&gt;""),"COMPLETADO","OBSERVADO")</f>
        <v/>
      </c>
      <c r="AA12" s="284" t="n"/>
    </row>
    <row r="13" ht="15.75" customHeight="1" s="195">
      <c r="A13" s="280" t="n"/>
      <c r="B13" s="280" t="n"/>
      <c r="C13" s="280" t="n"/>
      <c r="D13" s="280" t="n"/>
      <c r="E13" s="280" t="n"/>
      <c r="F13" s="280" t="n"/>
      <c r="G13" s="280" t="n"/>
      <c r="H13" s="280" t="n"/>
      <c r="I13" s="332">
        <f>IFERROR(VLOOKUP(TEXT(H13,"0"),IPRESS!$A$3:$B$212,2,0),"")</f>
        <v/>
      </c>
      <c r="J13" s="280" t="n"/>
      <c r="K13" s="332">
        <f>IFERROR(VLOOKUP(TEXT(O13,"0"),CONDUCTORES!$A$3:$G$54,7,0),"")</f>
        <v/>
      </c>
      <c r="L13" s="280" t="n"/>
      <c r="M13" s="280" t="n"/>
      <c r="N13" s="333">
        <f>IFERROR(IF(L13*M13=0,"",L13*M13),"")</f>
        <v/>
      </c>
      <c r="O13" s="280" t="n"/>
      <c r="P13" s="332">
        <f>IFERROR(VLOOKUP(TEXT(O13,"0"),CONDUCTORES!$A$3:$G$54,2,0),"")</f>
        <v/>
      </c>
      <c r="Q13" s="332">
        <f>IFERROR(VLOOKUP(TEXT(O13,"0"),CONDUCTORES!$A$3:$H$54,6,0),"")</f>
        <v/>
      </c>
      <c r="R13" s="280" t="n"/>
      <c r="S13" s="280" t="n"/>
      <c r="T13" s="280" t="n"/>
      <c r="U13" s="280" t="n"/>
      <c r="V13" s="280" t="n"/>
      <c r="W13" s="280" t="n"/>
      <c r="X13" s="280" t="n"/>
      <c r="Y13" s="280" t="n"/>
      <c r="Z13" s="236">
        <f>IF(AND(G13&lt;&gt;"",R13&lt;&gt;"",V13&lt;&gt;"",W13&lt;&gt;""),"COMPLETADO","OBSERVADO")</f>
        <v/>
      </c>
      <c r="AA13" s="284" t="n"/>
    </row>
    <row r="14" ht="15.75" customHeight="1" s="195">
      <c r="A14" s="334" t="n"/>
      <c r="B14" s="334" t="n"/>
      <c r="C14" s="334" t="n"/>
      <c r="D14" s="334" t="n"/>
      <c r="E14" s="334" t="n"/>
      <c r="F14" s="334" t="n"/>
      <c r="G14" s="334" t="n"/>
      <c r="H14" s="334" t="n"/>
      <c r="I14" s="332">
        <f>IFERROR(VLOOKUP(TEXT(H14,"0"),IPRESS!$A$3:$B$212,2,0),"")</f>
        <v/>
      </c>
      <c r="J14" s="334" t="n"/>
      <c r="K14" s="332">
        <f>IFERROR(VLOOKUP(TEXT(O14,"0"),CONDUCTORES!$A$3:$G$54,7,0),"")</f>
        <v/>
      </c>
      <c r="L14" s="334" t="n"/>
      <c r="M14" s="334" t="n"/>
      <c r="N14" s="333">
        <f>IFERROR(IF(L14*M14=0,"",L14*M14),"")</f>
        <v/>
      </c>
      <c r="O14" s="334" t="n"/>
      <c r="P14" s="332">
        <f>IFERROR(VLOOKUP(TEXT(O14,"0"),CONDUCTORES!$A$3:$G$54,2,0),"")</f>
        <v/>
      </c>
      <c r="Q14" s="332">
        <f>IFERROR(VLOOKUP(TEXT(O14,"0"),CONDUCTORES!$A$3:$H$54,6,0),"")</f>
        <v/>
      </c>
      <c r="R14" s="334" t="n"/>
      <c r="S14" s="334" t="n"/>
      <c r="T14" s="334" t="n"/>
      <c r="U14" s="334" t="n"/>
      <c r="V14" s="334" t="n"/>
      <c r="W14" s="334" t="n"/>
      <c r="X14" s="334" t="n"/>
      <c r="Y14" s="334" t="n"/>
      <c r="Z14" s="242">
        <f>IF(AND(G14&lt;&gt;"",R14&lt;&gt;"",V14&lt;&gt;"",W14&lt;&gt;""),"COMPLETADO","OBSERVADO")</f>
        <v/>
      </c>
      <c r="AA14" s="284" t="n"/>
    </row>
    <row r="15" ht="15.75" customHeight="1" s="195">
      <c r="A15" s="280" t="n"/>
      <c r="B15" s="280" t="n"/>
      <c r="C15" s="280" t="n"/>
      <c r="D15" s="280" t="n"/>
      <c r="E15" s="280" t="n"/>
      <c r="F15" s="280" t="n"/>
      <c r="G15" s="280" t="n"/>
      <c r="H15" s="280" t="n"/>
      <c r="I15" s="332">
        <f>IFERROR(VLOOKUP(TEXT(H15,"0"),IPRESS!$A$3:$B$212,2,0),"")</f>
        <v/>
      </c>
      <c r="J15" s="280" t="n"/>
      <c r="K15" s="332">
        <f>IFERROR(VLOOKUP(TEXT(O15,"0"),CONDUCTORES!$A$3:$G$54,7,0),"")</f>
        <v/>
      </c>
      <c r="L15" s="280" t="n"/>
      <c r="M15" s="280" t="n"/>
      <c r="N15" s="333">
        <f>IFERROR(IF(L15*M15=0,"",L15*M15),"")</f>
        <v/>
      </c>
      <c r="O15" s="280" t="n"/>
      <c r="P15" s="332">
        <f>IFERROR(VLOOKUP(TEXT(O15,"0"),CONDUCTORES!$A$3:$G$54,2,0),"")</f>
        <v/>
      </c>
      <c r="Q15" s="332">
        <f>IFERROR(VLOOKUP(TEXT(O15,"0"),CONDUCTORES!$A$3:$H$54,6,0),"")</f>
        <v/>
      </c>
      <c r="R15" s="280" t="n"/>
      <c r="S15" s="280" t="n"/>
      <c r="T15" s="280" t="n"/>
      <c r="U15" s="280" t="n"/>
      <c r="V15" s="280" t="n"/>
      <c r="W15" s="280" t="n"/>
      <c r="X15" s="280" t="n"/>
      <c r="Y15" s="280" t="n"/>
      <c r="Z15" s="236">
        <f>IF(AND(G15&lt;&gt;"",R15&lt;&gt;"",V15&lt;&gt;"",W15&lt;&gt;""),"COMPLETADO","OBSERVADO")</f>
        <v/>
      </c>
      <c r="AA15" s="284" t="n"/>
    </row>
    <row r="16" ht="15.75" customHeight="1" s="195">
      <c r="A16" s="334" t="n"/>
      <c r="B16" s="334" t="n"/>
      <c r="C16" s="334" t="n"/>
      <c r="D16" s="334" t="n"/>
      <c r="E16" s="334" t="n"/>
      <c r="F16" s="334" t="n"/>
      <c r="G16" s="334" t="n"/>
      <c r="H16" s="334" t="n"/>
      <c r="I16" s="332">
        <f>IFERROR(VLOOKUP(TEXT(H16,"0"),IPRESS!$A$3:$B$212,2,0),"")</f>
        <v/>
      </c>
      <c r="J16" s="334" t="n"/>
      <c r="K16" s="332">
        <f>IFERROR(VLOOKUP(TEXT(O16,"0"),CONDUCTORES!$A$3:$G$54,7,0),"")</f>
        <v/>
      </c>
      <c r="L16" s="334" t="n"/>
      <c r="M16" s="334" t="n"/>
      <c r="N16" s="333">
        <f>IFERROR(IF(L16*M16=0,"",L16*M16),"")</f>
        <v/>
      </c>
      <c r="O16" s="334" t="n"/>
      <c r="P16" s="332">
        <f>IFERROR(VLOOKUP(TEXT(O16,"0"),CONDUCTORES!$A$3:$G$54,2,0),"")</f>
        <v/>
      </c>
      <c r="Q16" s="332">
        <f>IFERROR(VLOOKUP(TEXT(O16,"0"),CONDUCTORES!$A$3:$H$54,6,0),"")</f>
        <v/>
      </c>
      <c r="R16" s="334" t="n"/>
      <c r="S16" s="334" t="n"/>
      <c r="T16" s="334" t="n"/>
      <c r="U16" s="334" t="n"/>
      <c r="V16" s="334" t="n"/>
      <c r="W16" s="334" t="n"/>
      <c r="X16" s="334" t="n"/>
      <c r="Y16" s="334" t="n"/>
      <c r="Z16" s="242">
        <f>IF(AND(G16&lt;&gt;"",R16&lt;&gt;"",V16&lt;&gt;"",W16&lt;&gt;""),"COMPLETADO","OBSERVADO")</f>
        <v/>
      </c>
      <c r="AA16" s="284" t="n"/>
    </row>
    <row r="17" ht="15.75" customHeight="1" s="195">
      <c r="A17" s="280" t="n"/>
      <c r="B17" s="280" t="n"/>
      <c r="C17" s="280" t="n"/>
      <c r="D17" s="280" t="n"/>
      <c r="E17" s="280" t="n"/>
      <c r="F17" s="280" t="n"/>
      <c r="G17" s="280" t="n"/>
      <c r="H17" s="280" t="n"/>
      <c r="I17" s="332">
        <f>IFERROR(VLOOKUP(TEXT(H17,"0"),IPRESS!$A$3:$B$212,2,0),"")</f>
        <v/>
      </c>
      <c r="J17" s="280" t="n"/>
      <c r="K17" s="332">
        <f>IFERROR(VLOOKUP(TEXT(O17,"0"),CONDUCTORES!$A$3:$G$54,7,0),"")</f>
        <v/>
      </c>
      <c r="L17" s="280" t="n"/>
      <c r="M17" s="280" t="n"/>
      <c r="N17" s="333">
        <f>IFERROR(IF(L17*M17=0,"",L17*M17),"")</f>
        <v/>
      </c>
      <c r="O17" s="280" t="n"/>
      <c r="P17" s="332">
        <f>IFERROR(VLOOKUP(TEXT(O17,"0"),CONDUCTORES!$A$3:$G$54,2,0),"")</f>
        <v/>
      </c>
      <c r="Q17" s="332">
        <f>IFERROR(VLOOKUP(TEXT(O17,"0"),CONDUCTORES!$A$3:$H$54,6,0),"")</f>
        <v/>
      </c>
      <c r="R17" s="280" t="n"/>
      <c r="S17" s="280" t="n"/>
      <c r="T17" s="280" t="n"/>
      <c r="U17" s="280" t="n"/>
      <c r="V17" s="280" t="n"/>
      <c r="W17" s="280" t="n"/>
      <c r="X17" s="280" t="n"/>
      <c r="Y17" s="280" t="n"/>
      <c r="Z17" s="236">
        <f>IF(AND(G17&lt;&gt;"",R17&lt;&gt;"",V17&lt;&gt;"",W17&lt;&gt;""),"COMPLETADO","OBSERVADO")</f>
        <v/>
      </c>
      <c r="AA17" s="284" t="n"/>
    </row>
    <row r="18" ht="15.75" customHeight="1" s="195">
      <c r="A18" s="334" t="n"/>
      <c r="B18" s="334" t="n"/>
      <c r="C18" s="334" t="n"/>
      <c r="D18" s="334" t="n"/>
      <c r="E18" s="334" t="n"/>
      <c r="F18" s="334" t="n"/>
      <c r="G18" s="334" t="n"/>
      <c r="H18" s="334" t="n"/>
      <c r="I18" s="332">
        <f>IFERROR(VLOOKUP(TEXT(H18,"0"),IPRESS!$A$3:$B$212,2,0),"")</f>
        <v/>
      </c>
      <c r="J18" s="334" t="n"/>
      <c r="K18" s="332">
        <f>IFERROR(VLOOKUP(TEXT(O18,"0"),CONDUCTORES!$A$3:$G$54,7,0),"")</f>
        <v/>
      </c>
      <c r="L18" s="334" t="n"/>
      <c r="M18" s="334" t="n"/>
      <c r="N18" s="333">
        <f>IFERROR(IF(L18*M18=0,"",L18*M18),"")</f>
        <v/>
      </c>
      <c r="O18" s="334" t="n"/>
      <c r="P18" s="332">
        <f>IFERROR(VLOOKUP(TEXT(O18,"0"),CONDUCTORES!$A$3:$G$54,2,0),"")</f>
        <v/>
      </c>
      <c r="Q18" s="332">
        <f>IFERROR(VLOOKUP(TEXT(O18,"0"),CONDUCTORES!$A$3:$H$54,6,0),"")</f>
        <v/>
      </c>
      <c r="R18" s="334" t="n"/>
      <c r="S18" s="334" t="n"/>
      <c r="T18" s="334" t="n"/>
      <c r="U18" s="334" t="n"/>
      <c r="V18" s="334" t="n"/>
      <c r="W18" s="334" t="n"/>
      <c r="X18" s="334" t="n"/>
      <c r="Y18" s="334" t="n"/>
      <c r="Z18" s="242">
        <f>IF(AND(G18&lt;&gt;"",R18&lt;&gt;"",V18&lt;&gt;"",W18&lt;&gt;""),"COMPLETADO","OBSERVADO")</f>
        <v/>
      </c>
      <c r="AA18" s="284" t="n"/>
    </row>
    <row r="19" ht="15.75" customHeight="1" s="195">
      <c r="A19" s="280" t="n"/>
      <c r="B19" s="280" t="n"/>
      <c r="C19" s="280" t="n"/>
      <c r="D19" s="280" t="n"/>
      <c r="E19" s="280" t="n"/>
      <c r="F19" s="280" t="n"/>
      <c r="G19" s="280" t="n"/>
      <c r="H19" s="280" t="n"/>
      <c r="I19" s="332">
        <f>IFERROR(VLOOKUP(TEXT(H19,"0"),IPRESS!$A$3:$B$212,2,0),"")</f>
        <v/>
      </c>
      <c r="J19" s="280" t="n"/>
      <c r="K19" s="332">
        <f>IFERROR(VLOOKUP(TEXT(O19,"0"),CONDUCTORES!$A$3:$G$54,7,0),"")</f>
        <v/>
      </c>
      <c r="L19" s="280" t="n"/>
      <c r="M19" s="280" t="n"/>
      <c r="N19" s="333">
        <f>IFERROR(IF(L19*M19=0,"",L19*M19),"")</f>
        <v/>
      </c>
      <c r="O19" s="280" t="n"/>
      <c r="P19" s="332">
        <f>IFERROR(VLOOKUP(TEXT(O19,"0"),CONDUCTORES!$A$3:$G$54,2,0),"")</f>
        <v/>
      </c>
      <c r="Q19" s="332">
        <f>IFERROR(VLOOKUP(TEXT(O19,"0"),CONDUCTORES!$A$3:$H$54,6,0),"")</f>
        <v/>
      </c>
      <c r="R19" s="280" t="n"/>
      <c r="S19" s="280" t="n"/>
      <c r="T19" s="280" t="n"/>
      <c r="U19" s="280" t="n"/>
      <c r="V19" s="280" t="n"/>
      <c r="W19" s="280" t="n"/>
      <c r="X19" s="280" t="n"/>
      <c r="Y19" s="280" t="n"/>
      <c r="Z19" s="236">
        <f>IF(AND(G19&lt;&gt;"",R19&lt;&gt;"",V19&lt;&gt;"",W19&lt;&gt;""),"COMPLETADO","OBSERVADO")</f>
        <v/>
      </c>
      <c r="AA19" s="284" t="n"/>
    </row>
    <row r="20" ht="15.75" customHeight="1" s="195">
      <c r="A20" s="334" t="n"/>
      <c r="B20" s="334" t="n"/>
      <c r="C20" s="334" t="n"/>
      <c r="D20" s="334" t="n"/>
      <c r="E20" s="334" t="n"/>
      <c r="F20" s="334" t="n"/>
      <c r="G20" s="334" t="n"/>
      <c r="H20" s="334" t="n"/>
      <c r="I20" s="332">
        <f>IFERROR(VLOOKUP(TEXT(H20,"0"),IPRESS!$A$3:$B$212,2,0),"")</f>
        <v/>
      </c>
      <c r="J20" s="334" t="n"/>
      <c r="K20" s="332">
        <f>IFERROR(VLOOKUP(TEXT(O20,"0"),CONDUCTORES!$A$3:$G$54,7,0),"")</f>
        <v/>
      </c>
      <c r="L20" s="334" t="n"/>
      <c r="M20" s="334" t="n"/>
      <c r="N20" s="333">
        <f>IFERROR(IF(L20*M20=0,"",L20*M20),"")</f>
        <v/>
      </c>
      <c r="O20" s="334" t="n"/>
      <c r="P20" s="332">
        <f>IFERROR(VLOOKUP(TEXT(O20,"0"),CONDUCTORES!$A$3:$G$54,2,0),"")</f>
        <v/>
      </c>
      <c r="Q20" s="332">
        <f>IFERROR(VLOOKUP(TEXT(O20,"0"),CONDUCTORES!$A$3:$H$54,6,0),"")</f>
        <v/>
      </c>
      <c r="R20" s="334" t="n"/>
      <c r="S20" s="334" t="n"/>
      <c r="T20" s="334" t="n"/>
      <c r="U20" s="334" t="n"/>
      <c r="V20" s="334" t="n"/>
      <c r="W20" s="334" t="n"/>
      <c r="X20" s="334" t="n"/>
      <c r="Y20" s="334" t="n"/>
      <c r="Z20" s="242">
        <f>IF(AND(G20&lt;&gt;"",R20&lt;&gt;"",V20&lt;&gt;"",W20&lt;&gt;""),"COMPLETADO","OBSERVADO")</f>
        <v/>
      </c>
      <c r="AA20" s="284" t="n"/>
    </row>
    <row r="21" ht="15.75" customHeight="1" s="195">
      <c r="A21" s="280" t="n"/>
      <c r="B21" s="280" t="n"/>
      <c r="C21" s="280" t="n"/>
      <c r="D21" s="280" t="n"/>
      <c r="E21" s="280" t="n"/>
      <c r="F21" s="280" t="n"/>
      <c r="G21" s="280" t="n"/>
      <c r="H21" s="280" t="n"/>
      <c r="I21" s="332">
        <f>IFERROR(VLOOKUP(TEXT(H21,"0"),IPRESS!$A$3:$B$212,2,0),"")</f>
        <v/>
      </c>
      <c r="J21" s="280" t="n"/>
      <c r="K21" s="332">
        <f>IFERROR(VLOOKUP(TEXT(O21,"0"),CONDUCTORES!$A$3:$G$54,7,0),"")</f>
        <v/>
      </c>
      <c r="L21" s="280" t="n"/>
      <c r="M21" s="280" t="n"/>
      <c r="N21" s="333">
        <f>IFERROR(IF(L21*M21=0,"",L21*M21),"")</f>
        <v/>
      </c>
      <c r="O21" s="280" t="n"/>
      <c r="P21" s="332">
        <f>IFERROR(VLOOKUP(TEXT(O21,"0"),CONDUCTORES!$A$3:$G$54,2,0),"")</f>
        <v/>
      </c>
      <c r="Q21" s="332">
        <f>IFERROR(VLOOKUP(TEXT(O21,"0"),CONDUCTORES!$A$3:$H$54,6,0),"")</f>
        <v/>
      </c>
      <c r="R21" s="280" t="n"/>
      <c r="S21" s="280" t="n"/>
      <c r="T21" s="280" t="n"/>
      <c r="U21" s="280" t="n"/>
      <c r="V21" s="280" t="n"/>
      <c r="W21" s="280" t="n"/>
      <c r="X21" s="280" t="n"/>
      <c r="Y21" s="280" t="n"/>
      <c r="Z21" s="236">
        <f>IF(AND(G21&lt;&gt;"",R21&lt;&gt;"",V21&lt;&gt;"",W21&lt;&gt;""),"COMPLETADO","OBSERVADO")</f>
        <v/>
      </c>
      <c r="AA21" s="284" t="n"/>
    </row>
    <row r="22" ht="15.75" customHeight="1" s="195">
      <c r="A22" s="334" t="n"/>
      <c r="B22" s="334" t="n"/>
      <c r="C22" s="334" t="n"/>
      <c r="D22" s="334" t="n"/>
      <c r="E22" s="334" t="n"/>
      <c r="F22" s="334" t="n"/>
      <c r="G22" s="334" t="n"/>
      <c r="H22" s="334" t="n"/>
      <c r="I22" s="332">
        <f>IFERROR(VLOOKUP(TEXT(H22,"0"),IPRESS!$A$3:$B$212,2,0),"")</f>
        <v/>
      </c>
      <c r="J22" s="334" t="n"/>
      <c r="K22" s="332">
        <f>IFERROR(VLOOKUP(TEXT(O22,"0"),CONDUCTORES!$A$3:$G$54,7,0),"")</f>
        <v/>
      </c>
      <c r="L22" s="334" t="n"/>
      <c r="M22" s="334" t="n"/>
      <c r="N22" s="333">
        <f>IFERROR(IF(L22*M22=0,"",L22*M22),"")</f>
        <v/>
      </c>
      <c r="O22" s="334" t="n"/>
      <c r="P22" s="332">
        <f>IFERROR(VLOOKUP(TEXT(O22,"0"),CONDUCTORES!$A$3:$G$54,2,0),"")</f>
        <v/>
      </c>
      <c r="Q22" s="332">
        <f>IFERROR(VLOOKUP(TEXT(O22,"0"),CONDUCTORES!$A$3:$H$54,6,0),"")</f>
        <v/>
      </c>
      <c r="R22" s="334" t="n"/>
      <c r="S22" s="334" t="n"/>
      <c r="T22" s="334" t="n"/>
      <c r="U22" s="334" t="n"/>
      <c r="V22" s="334" t="n"/>
      <c r="W22" s="334" t="n"/>
      <c r="X22" s="334" t="n"/>
      <c r="Y22" s="334" t="n"/>
      <c r="Z22" s="242">
        <f>IF(AND(G22&lt;&gt;"",R22&lt;&gt;"",V22&lt;&gt;"",W22&lt;&gt;""),"COMPLETADO","OBSERVADO")</f>
        <v/>
      </c>
      <c r="AA22" s="284" t="n"/>
    </row>
    <row r="23" ht="15.75" customHeight="1" s="195">
      <c r="A23" s="280" t="n"/>
      <c r="B23" s="280" t="n"/>
      <c r="C23" s="280" t="n"/>
      <c r="D23" s="280" t="n"/>
      <c r="E23" s="280" t="n"/>
      <c r="F23" s="280" t="n"/>
      <c r="G23" s="280" t="n"/>
      <c r="H23" s="280" t="n"/>
      <c r="I23" s="332">
        <f>IFERROR(VLOOKUP(TEXT(H23,"0"),IPRESS!$A$3:$B$212,2,0),"")</f>
        <v/>
      </c>
      <c r="J23" s="280" t="n"/>
      <c r="K23" s="332">
        <f>IFERROR(VLOOKUP(TEXT(O23,"0"),CONDUCTORES!$A$3:$G$54,7,0),"")</f>
        <v/>
      </c>
      <c r="L23" s="280" t="n"/>
      <c r="M23" s="280" t="n"/>
      <c r="N23" s="333">
        <f>IFERROR(IF(L23*M23=0,"",L23*M23),"")</f>
        <v/>
      </c>
      <c r="O23" s="280" t="n"/>
      <c r="P23" s="332">
        <f>IFERROR(VLOOKUP(TEXT(O23,"0"),CONDUCTORES!$A$3:$G$54,2,0),"")</f>
        <v/>
      </c>
      <c r="Q23" s="332">
        <f>IFERROR(VLOOKUP(TEXT(O23,"0"),CONDUCTORES!$A$3:$H$54,6,0),"")</f>
        <v/>
      </c>
      <c r="R23" s="280" t="n"/>
      <c r="S23" s="280" t="n"/>
      <c r="T23" s="280" t="n"/>
      <c r="U23" s="280" t="n"/>
      <c r="V23" s="280" t="n"/>
      <c r="W23" s="280" t="n"/>
      <c r="X23" s="280" t="n"/>
      <c r="Y23" s="280" t="n"/>
      <c r="Z23" s="236">
        <f>IF(AND(G23&lt;&gt;"",R23&lt;&gt;"",V23&lt;&gt;"",W23&lt;&gt;""),"COMPLETADO","OBSERVADO")</f>
        <v/>
      </c>
      <c r="AA23" s="284" t="n"/>
    </row>
    <row r="24" ht="15.75" customHeight="1" s="195">
      <c r="A24" s="334" t="n"/>
      <c r="B24" s="334" t="n"/>
      <c r="C24" s="334" t="n"/>
      <c r="D24" s="334" t="n"/>
      <c r="E24" s="334" t="n"/>
      <c r="F24" s="334" t="n"/>
      <c r="G24" s="334" t="n"/>
      <c r="H24" s="334" t="n"/>
      <c r="I24" s="332">
        <f>IFERROR(VLOOKUP(TEXT(H24,"0"),IPRESS!$A$3:$B$212,2,0),"")</f>
        <v/>
      </c>
      <c r="J24" s="334" t="n"/>
      <c r="K24" s="332">
        <f>IFERROR(VLOOKUP(TEXT(O24,"0"),CONDUCTORES!$A$3:$G$54,7,0),"")</f>
        <v/>
      </c>
      <c r="L24" s="334" t="n"/>
      <c r="M24" s="334" t="n"/>
      <c r="N24" s="333">
        <f>IFERROR(IF(L24*M24=0,"",L24*M24),"")</f>
        <v/>
      </c>
      <c r="O24" s="334" t="n"/>
      <c r="P24" s="332">
        <f>IFERROR(VLOOKUP(TEXT(O24,"0"),CONDUCTORES!$A$3:$G$54,2,0),"")</f>
        <v/>
      </c>
      <c r="Q24" s="332">
        <f>IFERROR(VLOOKUP(TEXT(O24,"0"),CONDUCTORES!$A$3:$H$54,6,0),"")</f>
        <v/>
      </c>
      <c r="R24" s="334" t="n"/>
      <c r="S24" s="334" t="n"/>
      <c r="T24" s="334" t="n"/>
      <c r="U24" s="334" t="n"/>
      <c r="V24" s="334" t="n"/>
      <c r="W24" s="334" t="n"/>
      <c r="X24" s="334" t="n"/>
      <c r="Y24" s="334" t="n"/>
      <c r="Z24" s="242">
        <f>IF(AND(G24&lt;&gt;"",R24&lt;&gt;"",V24&lt;&gt;"",W24&lt;&gt;""),"COMPLETADO","OBSERVADO")</f>
        <v/>
      </c>
      <c r="AA24" s="284" t="n"/>
    </row>
    <row r="25" ht="15.75" customHeight="1" s="195">
      <c r="A25" s="280" t="n"/>
      <c r="B25" s="280" t="n"/>
      <c r="C25" s="280" t="n"/>
      <c r="D25" s="280" t="n"/>
      <c r="E25" s="280" t="n"/>
      <c r="F25" s="280" t="n"/>
      <c r="G25" s="280" t="n"/>
      <c r="H25" s="280" t="n"/>
      <c r="I25" s="332">
        <f>IFERROR(VLOOKUP(TEXT(H25,"0"),IPRESS!$A$3:$B$212,2,0),"")</f>
        <v/>
      </c>
      <c r="J25" s="280" t="n"/>
      <c r="K25" s="332">
        <f>IFERROR(VLOOKUP(TEXT(O25,"0"),CONDUCTORES!$A$3:$G$54,7,0),"")</f>
        <v/>
      </c>
      <c r="L25" s="280" t="n"/>
      <c r="M25" s="280" t="n"/>
      <c r="N25" s="333">
        <f>IFERROR(IF(L25*M25=0,"",L25*M25),"")</f>
        <v/>
      </c>
      <c r="O25" s="280" t="n"/>
      <c r="P25" s="332">
        <f>IFERROR(VLOOKUP(TEXT(O25,"0"),CONDUCTORES!$A$3:$G$54,2,0),"")</f>
        <v/>
      </c>
      <c r="Q25" s="332">
        <f>IFERROR(VLOOKUP(TEXT(O25,"0"),CONDUCTORES!$A$3:$H$54,6,0),"")</f>
        <v/>
      </c>
      <c r="R25" s="280" t="n"/>
      <c r="S25" s="280" t="n"/>
      <c r="T25" s="280" t="n"/>
      <c r="U25" s="280" t="n"/>
      <c r="V25" s="280" t="n"/>
      <c r="W25" s="280" t="n"/>
      <c r="X25" s="280" t="n"/>
      <c r="Y25" s="280" t="n"/>
      <c r="Z25" s="236">
        <f>IF(AND(G25&lt;&gt;"",R25&lt;&gt;"",V25&lt;&gt;"",W25&lt;&gt;""),"COMPLETADO","OBSERVADO")</f>
        <v/>
      </c>
      <c r="AA25" s="284" t="n"/>
    </row>
    <row r="26" ht="15.75" customHeight="1" s="195">
      <c r="A26" s="334" t="n"/>
      <c r="B26" s="334" t="n"/>
      <c r="C26" s="334" t="n"/>
      <c r="D26" s="334" t="n"/>
      <c r="E26" s="334" t="n"/>
      <c r="F26" s="334" t="n"/>
      <c r="G26" s="334" t="n"/>
      <c r="H26" s="334" t="n"/>
      <c r="I26" s="332">
        <f>IFERROR(VLOOKUP(TEXT(H26,"0"),IPRESS!$A$3:$B$212,2,0),"")</f>
        <v/>
      </c>
      <c r="J26" s="334" t="n"/>
      <c r="K26" s="332">
        <f>IFERROR(VLOOKUP(TEXT(O26,"0"),CONDUCTORES!$A$3:$G$54,7,0),"")</f>
        <v/>
      </c>
      <c r="L26" s="334" t="n"/>
      <c r="M26" s="334" t="n"/>
      <c r="N26" s="333">
        <f>IFERROR(IF(L26*M26=0,"",L26*M26),"")</f>
        <v/>
      </c>
      <c r="O26" s="334" t="n"/>
      <c r="P26" s="332">
        <f>IFERROR(VLOOKUP(TEXT(O26,"0"),CONDUCTORES!$A$3:$G$54,2,0),"")</f>
        <v/>
      </c>
      <c r="Q26" s="332">
        <f>IFERROR(VLOOKUP(TEXT(O26,"0"),CONDUCTORES!$A$3:$H$54,6,0),"")</f>
        <v/>
      </c>
      <c r="R26" s="334" t="n"/>
      <c r="S26" s="334" t="n"/>
      <c r="T26" s="334" t="n"/>
      <c r="U26" s="334" t="n"/>
      <c r="V26" s="334" t="n"/>
      <c r="W26" s="334" t="n"/>
      <c r="X26" s="334" t="n"/>
      <c r="Y26" s="334" t="n"/>
      <c r="Z26" s="242">
        <f>IF(AND(G26&lt;&gt;"",R26&lt;&gt;"",V26&lt;&gt;"",W26&lt;&gt;""),"COMPLETADO","OBSERVADO")</f>
        <v/>
      </c>
      <c r="AA26" s="284" t="n"/>
    </row>
    <row r="27" ht="15.75" customHeight="1" s="195">
      <c r="A27" s="280" t="n"/>
      <c r="B27" s="280" t="n"/>
      <c r="C27" s="280" t="n"/>
      <c r="D27" s="280" t="n"/>
      <c r="E27" s="280" t="n"/>
      <c r="F27" s="280" t="n"/>
      <c r="G27" s="280" t="n"/>
      <c r="H27" s="280" t="n"/>
      <c r="I27" s="332">
        <f>IFERROR(VLOOKUP(TEXT(H27,"0"),IPRESS!$A$3:$B$212,2,0),"")</f>
        <v/>
      </c>
      <c r="J27" s="280" t="n"/>
      <c r="K27" s="332">
        <f>IFERROR(VLOOKUP(TEXT(O27,"0"),CONDUCTORES!$A$3:$G$54,7,0),"")</f>
        <v/>
      </c>
      <c r="L27" s="280" t="n"/>
      <c r="M27" s="280" t="n"/>
      <c r="N27" s="333">
        <f>IFERROR(IF(L27*M27=0,"",L27*M27),"")</f>
        <v/>
      </c>
      <c r="O27" s="280" t="n"/>
      <c r="P27" s="332">
        <f>IFERROR(VLOOKUP(TEXT(O27,"0"),CONDUCTORES!$A$3:$G$54,2,0),"")</f>
        <v/>
      </c>
      <c r="Q27" s="332">
        <f>IFERROR(VLOOKUP(TEXT(O27,"0"),CONDUCTORES!$A$3:$H$54,6,0),"")</f>
        <v/>
      </c>
      <c r="R27" s="280" t="n"/>
      <c r="S27" s="280" t="n"/>
      <c r="T27" s="280" t="n"/>
      <c r="U27" s="280" t="n"/>
      <c r="V27" s="280" t="n"/>
      <c r="W27" s="280" t="n"/>
      <c r="X27" s="280" t="n"/>
      <c r="Y27" s="280" t="n"/>
      <c r="Z27" s="236">
        <f>IF(AND(G27&lt;&gt;"",R27&lt;&gt;"",V27&lt;&gt;"",W27&lt;&gt;""),"COMPLETADO","OBSERVADO")</f>
        <v/>
      </c>
      <c r="AA27" s="284" t="n"/>
    </row>
    <row r="28" ht="15.75" customHeight="1" s="195">
      <c r="A28" s="334" t="n"/>
      <c r="B28" s="334" t="n"/>
      <c r="C28" s="334" t="n"/>
      <c r="D28" s="334" t="n"/>
      <c r="E28" s="334" t="n"/>
      <c r="F28" s="334" t="n"/>
      <c r="G28" s="334" t="n"/>
      <c r="H28" s="334" t="n"/>
      <c r="I28" s="332">
        <f>IFERROR(VLOOKUP(TEXT(H28,"0"),IPRESS!$A$3:$B$212,2,0),"")</f>
        <v/>
      </c>
      <c r="J28" s="334" t="n"/>
      <c r="K28" s="332">
        <f>IFERROR(VLOOKUP(TEXT(O28,"0"),CONDUCTORES!$A$3:$G$54,7,0),"")</f>
        <v/>
      </c>
      <c r="L28" s="334" t="n"/>
      <c r="M28" s="334" t="n"/>
      <c r="N28" s="333">
        <f>IFERROR(IF(L28*M28=0,"",L28*M28),"")</f>
        <v/>
      </c>
      <c r="O28" s="334" t="n"/>
      <c r="P28" s="332">
        <f>IFERROR(VLOOKUP(TEXT(O28,"0"),CONDUCTORES!$A$3:$G$54,2,0),"")</f>
        <v/>
      </c>
      <c r="Q28" s="332">
        <f>IFERROR(VLOOKUP(TEXT(O28,"0"),CONDUCTORES!$A$3:$H$54,6,0),"")</f>
        <v/>
      </c>
      <c r="R28" s="334" t="n"/>
      <c r="S28" s="334" t="n"/>
      <c r="T28" s="334" t="n"/>
      <c r="U28" s="334" t="n"/>
      <c r="V28" s="334" t="n"/>
      <c r="W28" s="334" t="n"/>
      <c r="X28" s="334" t="n"/>
      <c r="Y28" s="334" t="n"/>
      <c r="Z28" s="242">
        <f>IF(AND(G28&lt;&gt;"",R28&lt;&gt;"",V28&lt;&gt;"",W28&lt;&gt;""),"COMPLETADO","OBSERVADO")</f>
        <v/>
      </c>
      <c r="AA28" s="284" t="n"/>
    </row>
    <row r="29" ht="15.75" customHeight="1" s="195">
      <c r="A29" s="280" t="n"/>
      <c r="B29" s="280" t="n"/>
      <c r="C29" s="280" t="n"/>
      <c r="D29" s="280" t="n"/>
      <c r="E29" s="280" t="n"/>
      <c r="F29" s="280" t="n"/>
      <c r="G29" s="280" t="n"/>
      <c r="H29" s="280" t="n"/>
      <c r="I29" s="332">
        <f>IFERROR(VLOOKUP(TEXT(H29,"0"),IPRESS!$A$3:$B$212,2,0),"")</f>
        <v/>
      </c>
      <c r="J29" s="280" t="n"/>
      <c r="K29" s="332">
        <f>IFERROR(VLOOKUP(TEXT(O29,"0"),CONDUCTORES!$A$3:$G$54,7,0),"")</f>
        <v/>
      </c>
      <c r="L29" s="280" t="n"/>
      <c r="M29" s="280" t="n"/>
      <c r="N29" s="333">
        <f>IFERROR(IF(L29*M29=0,"",L29*M29),"")</f>
        <v/>
      </c>
      <c r="O29" s="280" t="n"/>
      <c r="P29" s="332">
        <f>IFERROR(VLOOKUP(TEXT(O29,"0"),CONDUCTORES!$A$3:$G$54,2,0),"")</f>
        <v/>
      </c>
      <c r="Q29" s="332">
        <f>IFERROR(VLOOKUP(TEXT(O29,"0"),CONDUCTORES!$A$3:$H$54,6,0),"")</f>
        <v/>
      </c>
      <c r="R29" s="280" t="n"/>
      <c r="S29" s="280" t="n"/>
      <c r="T29" s="280" t="n"/>
      <c r="U29" s="280" t="n"/>
      <c r="V29" s="280" t="n"/>
      <c r="W29" s="280" t="n"/>
      <c r="X29" s="280" t="n"/>
      <c r="Y29" s="280" t="n"/>
      <c r="Z29" s="236">
        <f>IF(AND(G29&lt;&gt;"",R29&lt;&gt;"",V29&lt;&gt;"",W29&lt;&gt;""),"COMPLETADO","OBSERVADO")</f>
        <v/>
      </c>
      <c r="AA29" s="284" t="n"/>
    </row>
    <row r="30" ht="15.75" customHeight="1" s="195">
      <c r="A30" s="334" t="n"/>
      <c r="B30" s="334" t="n"/>
      <c r="C30" s="334" t="n"/>
      <c r="D30" s="334" t="n"/>
      <c r="E30" s="334" t="n"/>
      <c r="F30" s="334" t="n"/>
      <c r="G30" s="334" t="n"/>
      <c r="H30" s="334" t="n"/>
      <c r="I30" s="332">
        <f>IFERROR(VLOOKUP(TEXT(H30,"0"),IPRESS!$A$3:$B$212,2,0),"")</f>
        <v/>
      </c>
      <c r="J30" s="334" t="n"/>
      <c r="K30" s="332">
        <f>IFERROR(VLOOKUP(TEXT(O30,"0"),CONDUCTORES!$A$3:$G$54,7,0),"")</f>
        <v/>
      </c>
      <c r="L30" s="334" t="n"/>
      <c r="M30" s="334" t="n"/>
      <c r="N30" s="333">
        <f>IFERROR(IF(L30*M30=0,"",L30*M30),"")</f>
        <v/>
      </c>
      <c r="O30" s="334" t="n"/>
      <c r="P30" s="332">
        <f>IFERROR(VLOOKUP(TEXT(O30,"0"),CONDUCTORES!$A$3:$G$54,2,0),"")</f>
        <v/>
      </c>
      <c r="Q30" s="332">
        <f>IFERROR(VLOOKUP(TEXT(O30,"0"),CONDUCTORES!$A$3:$H$54,6,0),"")</f>
        <v/>
      </c>
      <c r="R30" s="334" t="n"/>
      <c r="S30" s="334" t="n"/>
      <c r="T30" s="334" t="n"/>
      <c r="U30" s="334" t="n"/>
      <c r="V30" s="334" t="n"/>
      <c r="W30" s="334" t="n"/>
      <c r="X30" s="334" t="n"/>
      <c r="Y30" s="334" t="n"/>
      <c r="Z30" s="242">
        <f>IF(AND(G30&lt;&gt;"",R30&lt;&gt;"",V30&lt;&gt;"",W30&lt;&gt;""),"COMPLETADO","OBSERVADO")</f>
        <v/>
      </c>
      <c r="AA30" s="284" t="n"/>
    </row>
    <row r="31" ht="15.75" customHeight="1" s="195">
      <c r="A31" s="280" t="n"/>
      <c r="B31" s="280" t="n"/>
      <c r="C31" s="280" t="n"/>
      <c r="D31" s="280" t="n"/>
      <c r="E31" s="280" t="n"/>
      <c r="F31" s="280" t="n"/>
      <c r="G31" s="280" t="n"/>
      <c r="H31" s="280" t="n"/>
      <c r="I31" s="332">
        <f>IFERROR(VLOOKUP(TEXT(H31,"0"),IPRESS!$A$3:$B$212,2,0),"")</f>
        <v/>
      </c>
      <c r="J31" s="280" t="n"/>
      <c r="K31" s="332">
        <f>IFERROR(VLOOKUP(TEXT(O31,"0"),CONDUCTORES!$A$3:$G$54,7,0),"")</f>
        <v/>
      </c>
      <c r="L31" s="280" t="n"/>
      <c r="M31" s="280" t="n"/>
      <c r="N31" s="333">
        <f>IFERROR(IF(L31*M31=0,"",L31*M31),"")</f>
        <v/>
      </c>
      <c r="O31" s="280" t="n"/>
      <c r="P31" s="332">
        <f>IFERROR(VLOOKUP(TEXT(O31,"0"),CONDUCTORES!$A$3:$G$54,2,0),"")</f>
        <v/>
      </c>
      <c r="Q31" s="332">
        <f>IFERROR(VLOOKUP(TEXT(O31,"0"),CONDUCTORES!$A$3:$H$54,6,0),"")</f>
        <v/>
      </c>
      <c r="R31" s="280" t="n"/>
      <c r="S31" s="280" t="n"/>
      <c r="T31" s="280" t="n"/>
      <c r="U31" s="280" t="n"/>
      <c r="V31" s="280" t="n"/>
      <c r="W31" s="280" t="n"/>
      <c r="X31" s="280" t="n"/>
      <c r="Y31" s="280" t="n"/>
      <c r="Z31" s="236">
        <f>IF(AND(G31&lt;&gt;"",R31&lt;&gt;"",V31&lt;&gt;"",W31&lt;&gt;""),"COMPLETADO","OBSERVADO")</f>
        <v/>
      </c>
      <c r="AA31" s="284" t="n"/>
    </row>
    <row r="32" ht="15.75" customHeight="1" s="195">
      <c r="A32" s="334" t="n"/>
      <c r="B32" s="334" t="n"/>
      <c r="C32" s="334" t="n"/>
      <c r="D32" s="334" t="n"/>
      <c r="E32" s="334" t="n"/>
      <c r="F32" s="334" t="n"/>
      <c r="G32" s="334" t="n"/>
      <c r="H32" s="334" t="n"/>
      <c r="I32" s="332">
        <f>IFERROR(VLOOKUP(TEXT(H32,"0"),IPRESS!$A$3:$B$212,2,0),"")</f>
        <v/>
      </c>
      <c r="J32" s="334" t="n"/>
      <c r="K32" s="332">
        <f>IFERROR(VLOOKUP(TEXT(O32,"0"),CONDUCTORES!$A$3:$G$54,7,0),"")</f>
        <v/>
      </c>
      <c r="L32" s="334" t="n"/>
      <c r="M32" s="334" t="n"/>
      <c r="N32" s="333">
        <f>IFERROR(IF(L32*M32=0,"",L32*M32),"")</f>
        <v/>
      </c>
      <c r="O32" s="334" t="n"/>
      <c r="P32" s="332">
        <f>IFERROR(VLOOKUP(TEXT(O32,"0"),CONDUCTORES!$A$3:$G$54,2,0),"")</f>
        <v/>
      </c>
      <c r="Q32" s="332">
        <f>IFERROR(VLOOKUP(TEXT(O32,"0"),CONDUCTORES!$A$3:$H$54,6,0),"")</f>
        <v/>
      </c>
      <c r="R32" s="334" t="n"/>
      <c r="S32" s="334" t="n"/>
      <c r="T32" s="334" t="n"/>
      <c r="U32" s="334" t="n"/>
      <c r="V32" s="334" t="n"/>
      <c r="W32" s="334" t="n"/>
      <c r="X32" s="334" t="n"/>
      <c r="Y32" s="334" t="n"/>
      <c r="Z32" s="242">
        <f>IF(AND(G32&lt;&gt;"",R32&lt;&gt;"",V32&lt;&gt;"",W32&lt;&gt;""),"COMPLETADO","OBSERVADO")</f>
        <v/>
      </c>
      <c r="AA32" s="284" t="n"/>
    </row>
    <row r="33" ht="15.75" customHeight="1" s="195">
      <c r="A33" s="280" t="n"/>
      <c r="B33" s="280" t="n"/>
      <c r="C33" s="280" t="n"/>
      <c r="D33" s="280" t="n"/>
      <c r="E33" s="280" t="n"/>
      <c r="F33" s="280" t="n"/>
      <c r="G33" s="280" t="n"/>
      <c r="H33" s="280" t="n"/>
      <c r="I33" s="332">
        <f>IFERROR(VLOOKUP(TEXT(H33,"0"),IPRESS!$A$3:$B$212,2,0),"")</f>
        <v/>
      </c>
      <c r="J33" s="280" t="n"/>
      <c r="K33" s="332">
        <f>IFERROR(VLOOKUP(TEXT(O33,"0"),CONDUCTORES!$A$3:$G$54,7,0),"")</f>
        <v/>
      </c>
      <c r="L33" s="280" t="n"/>
      <c r="M33" s="280" t="n"/>
      <c r="N33" s="333">
        <f>IFERROR(IF(L33*M33=0,"",L33*M33),"")</f>
        <v/>
      </c>
      <c r="O33" s="280" t="n"/>
      <c r="P33" s="332">
        <f>IFERROR(VLOOKUP(TEXT(O33,"0"),CONDUCTORES!$A$3:$G$54,2,0),"")</f>
        <v/>
      </c>
      <c r="Q33" s="332">
        <f>IFERROR(VLOOKUP(TEXT(O33,"0"),CONDUCTORES!$A$3:$H$54,6,0),"")</f>
        <v/>
      </c>
      <c r="R33" s="280" t="n"/>
      <c r="S33" s="280" t="n"/>
      <c r="T33" s="280" t="n"/>
      <c r="U33" s="280" t="n"/>
      <c r="V33" s="280" t="n"/>
      <c r="W33" s="280" t="n"/>
      <c r="X33" s="280" t="n"/>
      <c r="Y33" s="280" t="n"/>
      <c r="Z33" s="236">
        <f>IF(AND(G33&lt;&gt;"",R33&lt;&gt;"",V33&lt;&gt;"",W33&lt;&gt;""),"COMPLETADO","OBSERVADO")</f>
        <v/>
      </c>
      <c r="AA33" s="284" t="n"/>
    </row>
    <row r="34" ht="15.75" customHeight="1" s="195">
      <c r="A34" s="334" t="n"/>
      <c r="B34" s="334" t="n"/>
      <c r="C34" s="334" t="n"/>
      <c r="D34" s="334" t="n"/>
      <c r="E34" s="334" t="n"/>
      <c r="F34" s="334" t="n"/>
      <c r="G34" s="334" t="n"/>
      <c r="H34" s="334" t="n"/>
      <c r="I34" s="332">
        <f>IFERROR(VLOOKUP(TEXT(H34,"0"),IPRESS!$A$3:$B$212,2,0),"")</f>
        <v/>
      </c>
      <c r="J34" s="334" t="n"/>
      <c r="K34" s="332">
        <f>IFERROR(VLOOKUP(TEXT(O34,"0"),CONDUCTORES!$A$3:$G$54,7,0),"")</f>
        <v/>
      </c>
      <c r="L34" s="334" t="n"/>
      <c r="M34" s="334" t="n"/>
      <c r="N34" s="333">
        <f>IFERROR(IF(L34*M34=0,"",L34*M34),"")</f>
        <v/>
      </c>
      <c r="O34" s="334" t="n"/>
      <c r="P34" s="332">
        <f>IFERROR(VLOOKUP(TEXT(O34,"0"),CONDUCTORES!$A$3:$G$54,2,0),"")</f>
        <v/>
      </c>
      <c r="Q34" s="332">
        <f>IFERROR(VLOOKUP(TEXT(O34,"0"),CONDUCTORES!$A$3:$H$54,6,0),"")</f>
        <v/>
      </c>
      <c r="R34" s="334" t="n"/>
      <c r="S34" s="334" t="n"/>
      <c r="T34" s="334" t="n"/>
      <c r="U34" s="334" t="n"/>
      <c r="V34" s="334" t="n"/>
      <c r="W34" s="334" t="n"/>
      <c r="X34" s="334" t="n"/>
      <c r="Y34" s="334" t="n"/>
      <c r="Z34" s="242">
        <f>IF(AND(G34&lt;&gt;"",R34&lt;&gt;"",V34&lt;&gt;"",W34&lt;&gt;""),"COMPLETADO","OBSERVADO")</f>
        <v/>
      </c>
      <c r="AA34" s="284" t="n"/>
    </row>
    <row r="35" ht="15.75" customHeight="1" s="195">
      <c r="A35" s="280" t="n"/>
      <c r="B35" s="280" t="n"/>
      <c r="C35" s="280" t="n"/>
      <c r="D35" s="280" t="n"/>
      <c r="E35" s="280" t="n"/>
      <c r="F35" s="280" t="n"/>
      <c r="G35" s="280" t="n"/>
      <c r="H35" s="280" t="n"/>
      <c r="I35" s="332">
        <f>IFERROR(VLOOKUP(TEXT(H35,"0"),IPRESS!$A$3:$B$212,2,0),"")</f>
        <v/>
      </c>
      <c r="J35" s="280" t="n"/>
      <c r="K35" s="332">
        <f>IFERROR(VLOOKUP(TEXT(O35,"0"),CONDUCTORES!$A$3:$G$54,7,0),"")</f>
        <v/>
      </c>
      <c r="L35" s="280" t="n"/>
      <c r="M35" s="280" t="n"/>
      <c r="N35" s="333">
        <f>IFERROR(IF(L35*M35=0,"",L35*M35),"")</f>
        <v/>
      </c>
      <c r="O35" s="280" t="n"/>
      <c r="P35" s="332">
        <f>IFERROR(VLOOKUP(TEXT(O35,"0"),CONDUCTORES!$A$3:$G$54,2,0),"")</f>
        <v/>
      </c>
      <c r="Q35" s="332">
        <f>IFERROR(VLOOKUP(TEXT(O35,"0"),CONDUCTORES!$A$3:$H$54,6,0),"")</f>
        <v/>
      </c>
      <c r="R35" s="280" t="n"/>
      <c r="S35" s="280" t="n"/>
      <c r="T35" s="280" t="n"/>
      <c r="U35" s="280" t="n"/>
      <c r="V35" s="280" t="n"/>
      <c r="W35" s="280" t="n"/>
      <c r="X35" s="280" t="n"/>
      <c r="Y35" s="280" t="n"/>
      <c r="Z35" s="236">
        <f>IF(AND(G35&lt;&gt;"",R35&lt;&gt;"",V35&lt;&gt;"",W35&lt;&gt;""),"COMPLETADO","OBSERVADO")</f>
        <v/>
      </c>
      <c r="AA35" s="284" t="n"/>
    </row>
    <row r="36" ht="15.75" customHeight="1" s="195">
      <c r="A36" s="334" t="n"/>
      <c r="B36" s="334" t="n"/>
      <c r="C36" s="334" t="n"/>
      <c r="D36" s="334" t="n"/>
      <c r="E36" s="334" t="n"/>
      <c r="F36" s="334" t="n"/>
      <c r="G36" s="334" t="n"/>
      <c r="H36" s="334" t="n"/>
      <c r="I36" s="332">
        <f>IFERROR(VLOOKUP(TEXT(H36,"0"),IPRESS!$A$3:$B$212,2,0),"")</f>
        <v/>
      </c>
      <c r="J36" s="334" t="n"/>
      <c r="K36" s="332">
        <f>IFERROR(VLOOKUP(TEXT(O36,"0"),CONDUCTORES!$A$3:$G$54,7,0),"")</f>
        <v/>
      </c>
      <c r="L36" s="334" t="n"/>
      <c r="M36" s="334" t="n"/>
      <c r="N36" s="333">
        <f>IFERROR(IF(L36*M36=0,"",L36*M36),"")</f>
        <v/>
      </c>
      <c r="O36" s="334" t="n"/>
      <c r="P36" s="332">
        <f>IFERROR(VLOOKUP(TEXT(O36,"0"),CONDUCTORES!$A$3:$G$54,2,0),"")</f>
        <v/>
      </c>
      <c r="Q36" s="332">
        <f>IFERROR(VLOOKUP(TEXT(O36,"0"),CONDUCTORES!$A$3:$H$54,6,0),"")</f>
        <v/>
      </c>
      <c r="R36" s="334" t="n"/>
      <c r="S36" s="334" t="n"/>
      <c r="T36" s="334" t="n"/>
      <c r="U36" s="334" t="n"/>
      <c r="V36" s="334" t="n"/>
      <c r="W36" s="334" t="n"/>
      <c r="X36" s="334" t="n"/>
      <c r="Y36" s="334" t="n"/>
      <c r="Z36" s="242">
        <f>IF(AND(G36&lt;&gt;"",R36&lt;&gt;"",V36&lt;&gt;"",W36&lt;&gt;""),"COMPLETADO","OBSERVADO")</f>
        <v/>
      </c>
      <c r="AA36" s="284" t="n"/>
    </row>
    <row r="37" ht="15.75" customHeight="1" s="195">
      <c r="A37" s="280" t="n"/>
      <c r="B37" s="280" t="n"/>
      <c r="C37" s="280" t="n"/>
      <c r="D37" s="280" t="n"/>
      <c r="E37" s="280" t="n"/>
      <c r="F37" s="280" t="n"/>
      <c r="G37" s="280" t="n"/>
      <c r="H37" s="280" t="n"/>
      <c r="I37" s="332">
        <f>IFERROR(VLOOKUP(TEXT(H37,"0"),IPRESS!$A$3:$B$212,2,0),"")</f>
        <v/>
      </c>
      <c r="J37" s="280" t="n"/>
      <c r="K37" s="332">
        <f>IFERROR(VLOOKUP(TEXT(O37,"0"),CONDUCTORES!$A$3:$G$54,7,0),"")</f>
        <v/>
      </c>
      <c r="L37" s="280" t="n"/>
      <c r="M37" s="280" t="n"/>
      <c r="N37" s="333">
        <f>IFERROR(IF(L37*M37=0,"",L37*M37),"")</f>
        <v/>
      </c>
      <c r="O37" s="280" t="n"/>
      <c r="P37" s="332">
        <f>IFERROR(VLOOKUP(TEXT(O37,"0"),CONDUCTORES!$A$3:$G$54,2,0),"")</f>
        <v/>
      </c>
      <c r="Q37" s="332">
        <f>IFERROR(VLOOKUP(TEXT(O37,"0"),CONDUCTORES!$A$3:$H$54,6,0),"")</f>
        <v/>
      </c>
      <c r="R37" s="280" t="n"/>
      <c r="S37" s="280" t="n"/>
      <c r="T37" s="280" t="n"/>
      <c r="U37" s="280" t="n"/>
      <c r="V37" s="280" t="n"/>
      <c r="W37" s="280" t="n"/>
      <c r="X37" s="280" t="n"/>
      <c r="Y37" s="280" t="n"/>
      <c r="Z37" s="236">
        <f>IF(AND(G37&lt;&gt;"",R37&lt;&gt;"",V37&lt;&gt;"",W37&lt;&gt;""),"COMPLETADO","OBSERVADO")</f>
        <v/>
      </c>
      <c r="AA37" s="284" t="n"/>
    </row>
    <row r="38" ht="15.75" customHeight="1" s="195">
      <c r="A38" s="334" t="n"/>
      <c r="B38" s="334" t="n"/>
      <c r="C38" s="334" t="n"/>
      <c r="D38" s="334" t="n"/>
      <c r="E38" s="334" t="n"/>
      <c r="F38" s="334" t="n"/>
      <c r="G38" s="334" t="n"/>
      <c r="H38" s="334" t="n"/>
      <c r="I38" s="332">
        <f>IFERROR(VLOOKUP(TEXT(H38,"0"),IPRESS!$A$3:$B$212,2,0),"")</f>
        <v/>
      </c>
      <c r="J38" s="334" t="n"/>
      <c r="K38" s="332">
        <f>IFERROR(VLOOKUP(TEXT(O38,"0"),CONDUCTORES!$A$3:$G$54,7,0),"")</f>
        <v/>
      </c>
      <c r="L38" s="334" t="n"/>
      <c r="M38" s="334" t="n"/>
      <c r="N38" s="333">
        <f>IFERROR(IF(L38*M38=0,"",L38*M38),"")</f>
        <v/>
      </c>
      <c r="O38" s="334" t="n"/>
      <c r="P38" s="332">
        <f>IFERROR(VLOOKUP(TEXT(O38,"0"),CONDUCTORES!$A$3:$G$54,2,0),"")</f>
        <v/>
      </c>
      <c r="Q38" s="332">
        <f>IFERROR(VLOOKUP(TEXT(O38,"0"),CONDUCTORES!$A$3:$H$54,6,0),"")</f>
        <v/>
      </c>
      <c r="R38" s="334" t="n"/>
      <c r="S38" s="334" t="n"/>
      <c r="T38" s="334" t="n"/>
      <c r="U38" s="334" t="n"/>
      <c r="V38" s="334" t="n"/>
      <c r="W38" s="334" t="n"/>
      <c r="X38" s="334" t="n"/>
      <c r="Y38" s="334" t="n"/>
      <c r="Z38" s="242">
        <f>IF(AND(G38&lt;&gt;"",R38&lt;&gt;"",V38&lt;&gt;"",W38&lt;&gt;""),"COMPLETADO","OBSERVADO")</f>
        <v/>
      </c>
      <c r="AA38" s="284" t="n"/>
    </row>
    <row r="39" ht="15.75" customHeight="1" s="195">
      <c r="A39" s="280" t="n"/>
      <c r="B39" s="280" t="n"/>
      <c r="C39" s="280" t="n"/>
      <c r="D39" s="280" t="n"/>
      <c r="E39" s="280" t="n"/>
      <c r="F39" s="280" t="n"/>
      <c r="G39" s="280" t="n"/>
      <c r="H39" s="280" t="n"/>
      <c r="I39" s="332">
        <f>IFERROR(VLOOKUP(TEXT(H39,"0"),IPRESS!$A$3:$B$212,2,0),"")</f>
        <v/>
      </c>
      <c r="J39" s="280" t="n"/>
      <c r="K39" s="332">
        <f>IFERROR(VLOOKUP(TEXT(O39,"0"),CONDUCTORES!$A$3:$G$54,7,0),"")</f>
        <v/>
      </c>
      <c r="L39" s="280" t="n"/>
      <c r="M39" s="280" t="n"/>
      <c r="N39" s="333">
        <f>IFERROR(IF(L39*M39=0,"",L39*M39),"")</f>
        <v/>
      </c>
      <c r="O39" s="280" t="n"/>
      <c r="P39" s="332">
        <f>IFERROR(VLOOKUP(TEXT(O39,"0"),CONDUCTORES!$A$3:$G$54,2,0),"")</f>
        <v/>
      </c>
      <c r="Q39" s="332">
        <f>IFERROR(VLOOKUP(TEXT(O39,"0"),CONDUCTORES!$A$3:$H$54,6,0),"")</f>
        <v/>
      </c>
      <c r="R39" s="280" t="n"/>
      <c r="S39" s="280" t="n"/>
      <c r="T39" s="280" t="n"/>
      <c r="U39" s="280" t="n"/>
      <c r="V39" s="280" t="n"/>
      <c r="W39" s="280" t="n"/>
      <c r="X39" s="280" t="n"/>
      <c r="Y39" s="280" t="n"/>
      <c r="Z39" s="236">
        <f>IF(AND(G39&lt;&gt;"",R39&lt;&gt;"",V39&lt;&gt;"",W39&lt;&gt;""),"COMPLETADO","OBSERVADO")</f>
        <v/>
      </c>
      <c r="AA39" s="284" t="n"/>
    </row>
    <row r="40" ht="15.75" customHeight="1" s="195">
      <c r="A40" s="334" t="n"/>
      <c r="B40" s="334" t="n"/>
      <c r="C40" s="334" t="n"/>
      <c r="D40" s="334" t="n"/>
      <c r="E40" s="334" t="n"/>
      <c r="F40" s="334" t="n"/>
      <c r="G40" s="334" t="n"/>
      <c r="H40" s="334" t="n"/>
      <c r="I40" s="332">
        <f>IFERROR(VLOOKUP(TEXT(H40,"0"),IPRESS!$A$3:$B$212,2,0),"")</f>
        <v/>
      </c>
      <c r="J40" s="334" t="n"/>
      <c r="K40" s="332">
        <f>IFERROR(VLOOKUP(TEXT(O40,"0"),CONDUCTORES!$A$3:$G$54,7,0),"")</f>
        <v/>
      </c>
      <c r="L40" s="334" t="n"/>
      <c r="M40" s="334" t="n"/>
      <c r="N40" s="333">
        <f>IFERROR(IF(L40*M40=0,"",L40*M40),"")</f>
        <v/>
      </c>
      <c r="O40" s="334" t="n"/>
      <c r="P40" s="332">
        <f>IFERROR(VLOOKUP(TEXT(O40,"0"),CONDUCTORES!$A$3:$G$54,2,0),"")</f>
        <v/>
      </c>
      <c r="Q40" s="332">
        <f>IFERROR(VLOOKUP(TEXT(O40,"0"),CONDUCTORES!$A$3:$H$54,6,0),"")</f>
        <v/>
      </c>
      <c r="R40" s="334" t="n"/>
      <c r="S40" s="334" t="n"/>
      <c r="T40" s="334" t="n"/>
      <c r="U40" s="334" t="n"/>
      <c r="V40" s="334" t="n"/>
      <c r="W40" s="334" t="n"/>
      <c r="X40" s="334" t="n"/>
      <c r="Y40" s="334" t="n"/>
      <c r="Z40" s="242">
        <f>IF(AND(G40&lt;&gt;"",R40&lt;&gt;"",V40&lt;&gt;"",W40&lt;&gt;""),"COMPLETADO","OBSERVADO")</f>
        <v/>
      </c>
      <c r="AA40" s="284" t="n"/>
    </row>
    <row r="41" ht="15.75" customHeight="1" s="195">
      <c r="A41" s="280" t="n"/>
      <c r="B41" s="280" t="n"/>
      <c r="C41" s="280" t="n"/>
      <c r="D41" s="280" t="n"/>
      <c r="E41" s="280" t="n"/>
      <c r="F41" s="280" t="n"/>
      <c r="G41" s="280" t="n"/>
      <c r="H41" s="280" t="n"/>
      <c r="I41" s="332">
        <f>IFERROR(VLOOKUP(TEXT(H41,"0"),IPRESS!$A$3:$B$212,2,0),"")</f>
        <v/>
      </c>
      <c r="J41" s="280" t="n"/>
      <c r="K41" s="332">
        <f>IFERROR(VLOOKUP(TEXT(O41,"0"),CONDUCTORES!$A$3:$G$54,7,0),"")</f>
        <v/>
      </c>
      <c r="L41" s="280" t="n"/>
      <c r="M41" s="280" t="n"/>
      <c r="N41" s="333">
        <f>IFERROR(IF(L41*M41=0,"",L41*M41),"")</f>
        <v/>
      </c>
      <c r="O41" s="280" t="n"/>
      <c r="P41" s="332">
        <f>IFERROR(VLOOKUP(TEXT(O41,"0"),CONDUCTORES!$A$3:$G$54,2,0),"")</f>
        <v/>
      </c>
      <c r="Q41" s="332">
        <f>IFERROR(VLOOKUP(TEXT(O41,"0"),CONDUCTORES!$A$3:$H$54,6,0),"")</f>
        <v/>
      </c>
      <c r="R41" s="280" t="n"/>
      <c r="S41" s="280" t="n"/>
      <c r="T41" s="280" t="n"/>
      <c r="U41" s="280" t="n"/>
      <c r="V41" s="280" t="n"/>
      <c r="W41" s="280" t="n"/>
      <c r="X41" s="280" t="n"/>
      <c r="Y41" s="280" t="n"/>
      <c r="Z41" s="236">
        <f>IF(AND(G41&lt;&gt;"",R41&lt;&gt;"",V41&lt;&gt;"",W41&lt;&gt;""),"COMPLETADO","OBSERVADO")</f>
        <v/>
      </c>
      <c r="AA41" s="284" t="n"/>
    </row>
    <row r="42" ht="15.75" customHeight="1" s="195">
      <c r="A42" s="334" t="n"/>
      <c r="B42" s="334" t="n"/>
      <c r="C42" s="334" t="n"/>
      <c r="D42" s="334" t="n"/>
      <c r="E42" s="334" t="n"/>
      <c r="F42" s="334" t="n"/>
      <c r="G42" s="334" t="n"/>
      <c r="H42" s="334" t="n"/>
      <c r="I42" s="332">
        <f>IFERROR(VLOOKUP(TEXT(H42,"0"),IPRESS!$A$3:$B$212,2,0),"")</f>
        <v/>
      </c>
      <c r="J42" s="334" t="n"/>
      <c r="K42" s="332">
        <f>IFERROR(VLOOKUP(TEXT(O42,"0"),CONDUCTORES!$A$3:$G$54,7,0),"")</f>
        <v/>
      </c>
      <c r="L42" s="334" t="n"/>
      <c r="M42" s="334" t="n"/>
      <c r="N42" s="333">
        <f>IFERROR(IF(L42*M42=0,"",L42*M42),"")</f>
        <v/>
      </c>
      <c r="O42" s="334" t="n"/>
      <c r="P42" s="332">
        <f>IFERROR(VLOOKUP(TEXT(O42,"0"),CONDUCTORES!$A$3:$G$54,2,0),"")</f>
        <v/>
      </c>
      <c r="Q42" s="332">
        <f>IFERROR(VLOOKUP(TEXT(O42,"0"),CONDUCTORES!$A$3:$H$54,6,0),"")</f>
        <v/>
      </c>
      <c r="R42" s="334" t="n"/>
      <c r="S42" s="334" t="n"/>
      <c r="T42" s="334" t="n"/>
      <c r="U42" s="334" t="n"/>
      <c r="V42" s="334" t="n"/>
      <c r="W42" s="334" t="n"/>
      <c r="X42" s="334" t="n"/>
      <c r="Y42" s="334" t="n"/>
      <c r="Z42" s="242">
        <f>IF(AND(G42&lt;&gt;"",R42&lt;&gt;"",V42&lt;&gt;"",W42&lt;&gt;""),"COMPLETADO","OBSERVADO")</f>
        <v/>
      </c>
      <c r="AA42" s="284" t="n"/>
    </row>
    <row r="43" ht="15.75" customHeight="1" s="195">
      <c r="A43" s="280" t="n"/>
      <c r="B43" s="280" t="n"/>
      <c r="C43" s="280" t="n"/>
      <c r="D43" s="280" t="n"/>
      <c r="E43" s="280" t="n"/>
      <c r="F43" s="280" t="n"/>
      <c r="G43" s="280" t="n"/>
      <c r="H43" s="280" t="n"/>
      <c r="I43" s="332">
        <f>IFERROR(VLOOKUP(TEXT(H43,"0"),IPRESS!$A$3:$B$212,2,0),"")</f>
        <v/>
      </c>
      <c r="J43" s="280" t="n"/>
      <c r="K43" s="332">
        <f>IFERROR(VLOOKUP(TEXT(O43,"0"),CONDUCTORES!$A$3:$G$54,7,0),"")</f>
        <v/>
      </c>
      <c r="L43" s="280" t="n"/>
      <c r="M43" s="280" t="n"/>
      <c r="N43" s="333">
        <f>IFERROR(IF(L43*M43=0,"",L43*M43),"")</f>
        <v/>
      </c>
      <c r="O43" s="280" t="n"/>
      <c r="P43" s="332">
        <f>IFERROR(VLOOKUP(TEXT(O43,"0"),CONDUCTORES!$A$3:$G$54,2,0),"")</f>
        <v/>
      </c>
      <c r="Q43" s="332">
        <f>IFERROR(VLOOKUP(TEXT(O43,"0"),CONDUCTORES!$A$3:$H$54,6,0),"")</f>
        <v/>
      </c>
      <c r="R43" s="280" t="n"/>
      <c r="S43" s="280" t="n"/>
      <c r="T43" s="280" t="n"/>
      <c r="U43" s="280" t="n"/>
      <c r="V43" s="280" t="n"/>
      <c r="W43" s="280" t="n"/>
      <c r="X43" s="280" t="n"/>
      <c r="Y43" s="280" t="n"/>
      <c r="Z43" s="236">
        <f>IF(AND(G43&lt;&gt;"",R43&lt;&gt;"",V43&lt;&gt;"",W43&lt;&gt;""),"COMPLETADO","OBSERVADO")</f>
        <v/>
      </c>
      <c r="AA43" s="284" t="n"/>
    </row>
    <row r="44" ht="15.75" customHeight="1" s="195">
      <c r="A44" s="334" t="n"/>
      <c r="B44" s="334" t="n"/>
      <c r="C44" s="334" t="n"/>
      <c r="D44" s="334" t="n"/>
      <c r="E44" s="334" t="n"/>
      <c r="F44" s="334" t="n"/>
      <c r="G44" s="334" t="n"/>
      <c r="H44" s="334" t="n"/>
      <c r="I44" s="332">
        <f>IFERROR(VLOOKUP(TEXT(H44,"0"),IPRESS!$A$3:$B$212,2,0),"")</f>
        <v/>
      </c>
      <c r="J44" s="334" t="n"/>
      <c r="K44" s="332">
        <f>IFERROR(VLOOKUP(TEXT(O44,"0"),CONDUCTORES!$A$3:$G$54,7,0),"")</f>
        <v/>
      </c>
      <c r="L44" s="334" t="n"/>
      <c r="M44" s="334" t="n"/>
      <c r="N44" s="333">
        <f>IFERROR(IF(L44*M44=0,"",L44*M44),"")</f>
        <v/>
      </c>
      <c r="O44" s="334" t="n"/>
      <c r="P44" s="332">
        <f>IFERROR(VLOOKUP(TEXT(O44,"0"),CONDUCTORES!$A$3:$G$54,2,0),"")</f>
        <v/>
      </c>
      <c r="Q44" s="332">
        <f>IFERROR(VLOOKUP(TEXT(O44,"0"),CONDUCTORES!$A$3:$H$54,6,0),"")</f>
        <v/>
      </c>
      <c r="R44" s="334" t="n"/>
      <c r="S44" s="334" t="n"/>
      <c r="T44" s="334" t="n"/>
      <c r="U44" s="334" t="n"/>
      <c r="V44" s="334" t="n"/>
      <c r="W44" s="334" t="n"/>
      <c r="X44" s="334" t="n"/>
      <c r="Y44" s="334" t="n"/>
      <c r="Z44" s="242">
        <f>IF(AND(G44&lt;&gt;"",R44&lt;&gt;"",V44&lt;&gt;"",W44&lt;&gt;""),"COMPLETADO","OBSERVADO")</f>
        <v/>
      </c>
      <c r="AA44" s="284" t="n"/>
    </row>
    <row r="45" ht="15.75" customHeight="1" s="195">
      <c r="A45" s="280" t="n"/>
      <c r="B45" s="280" t="n"/>
      <c r="C45" s="280" t="n"/>
      <c r="D45" s="280" t="n"/>
      <c r="E45" s="280" t="n"/>
      <c r="F45" s="280" t="n"/>
      <c r="G45" s="280" t="n"/>
      <c r="H45" s="280" t="n"/>
      <c r="I45" s="332">
        <f>IFERROR(VLOOKUP(TEXT(H45,"0"),IPRESS!$A$3:$B$212,2,0),"")</f>
        <v/>
      </c>
      <c r="J45" s="280" t="n"/>
      <c r="K45" s="332">
        <f>IFERROR(VLOOKUP(TEXT(O45,"0"),CONDUCTORES!$A$3:$G$54,7,0),"")</f>
        <v/>
      </c>
      <c r="L45" s="280" t="n"/>
      <c r="M45" s="280" t="n"/>
      <c r="N45" s="333">
        <f>IFERROR(IF(L45*M45=0,"",L45*M45),"")</f>
        <v/>
      </c>
      <c r="O45" s="280" t="n"/>
      <c r="P45" s="332">
        <f>IFERROR(VLOOKUP(TEXT(O45,"0"),CONDUCTORES!$A$3:$G$54,2,0),"")</f>
        <v/>
      </c>
      <c r="Q45" s="332">
        <f>IFERROR(VLOOKUP(TEXT(O45,"0"),CONDUCTORES!$A$3:$H$54,6,0),"")</f>
        <v/>
      </c>
      <c r="R45" s="280" t="n"/>
      <c r="S45" s="280" t="n"/>
      <c r="T45" s="280" t="n"/>
      <c r="U45" s="280" t="n"/>
      <c r="V45" s="280" t="n"/>
      <c r="W45" s="280" t="n"/>
      <c r="X45" s="280" t="n"/>
      <c r="Y45" s="280" t="n"/>
      <c r="Z45" s="236">
        <f>IF(AND(G45&lt;&gt;"",R45&lt;&gt;"",V45&lt;&gt;"",W45&lt;&gt;""),"COMPLETADO","OBSERVADO")</f>
        <v/>
      </c>
      <c r="AA45" s="284" t="n"/>
    </row>
    <row r="46" ht="15.75" customHeight="1" s="195">
      <c r="A46" s="334" t="n"/>
      <c r="B46" s="334" t="n"/>
      <c r="C46" s="334" t="n"/>
      <c r="D46" s="334" t="n"/>
      <c r="E46" s="334" t="n"/>
      <c r="F46" s="334" t="n"/>
      <c r="G46" s="334" t="n"/>
      <c r="H46" s="334" t="n"/>
      <c r="I46" s="332">
        <f>IFERROR(VLOOKUP(TEXT(H46,"0"),IPRESS!$A$3:$B$212,2,0),"")</f>
        <v/>
      </c>
      <c r="J46" s="334" t="n"/>
      <c r="K46" s="332">
        <f>IFERROR(VLOOKUP(TEXT(O46,"0"),CONDUCTORES!$A$3:$G$54,7,0),"")</f>
        <v/>
      </c>
      <c r="L46" s="334" t="n"/>
      <c r="M46" s="334" t="n"/>
      <c r="N46" s="333">
        <f>IFERROR(IF(L46*M46=0,"",L46*M46),"")</f>
        <v/>
      </c>
      <c r="O46" s="334" t="n"/>
      <c r="P46" s="332">
        <f>IFERROR(VLOOKUP(TEXT(O46,"0"),CONDUCTORES!$A$3:$G$54,2,0),"")</f>
        <v/>
      </c>
      <c r="Q46" s="332">
        <f>IFERROR(VLOOKUP(TEXT(O46,"0"),CONDUCTORES!$A$3:$H$54,6,0),"")</f>
        <v/>
      </c>
      <c r="R46" s="334" t="n"/>
      <c r="S46" s="334" t="n"/>
      <c r="T46" s="334" t="n"/>
      <c r="U46" s="334" t="n"/>
      <c r="V46" s="334" t="n"/>
      <c r="W46" s="334" t="n"/>
      <c r="X46" s="334" t="n"/>
      <c r="Y46" s="334" t="n"/>
      <c r="Z46" s="242">
        <f>IF(AND(G46&lt;&gt;"",R46&lt;&gt;"",V46&lt;&gt;"",W46&lt;&gt;""),"COMPLETADO","OBSERVADO")</f>
        <v/>
      </c>
      <c r="AA46" s="284" t="n"/>
    </row>
    <row r="47" ht="15.75" customHeight="1" s="195">
      <c r="A47" s="280" t="n"/>
      <c r="B47" s="280" t="n"/>
      <c r="C47" s="280" t="n"/>
      <c r="D47" s="280" t="n"/>
      <c r="E47" s="280" t="n"/>
      <c r="F47" s="280" t="n"/>
      <c r="G47" s="280" t="n"/>
      <c r="H47" s="280" t="n"/>
      <c r="I47" s="332">
        <f>IFERROR(VLOOKUP(TEXT(H47,"0"),IPRESS!$A$3:$B$212,2,0),"")</f>
        <v/>
      </c>
      <c r="J47" s="280" t="n"/>
      <c r="K47" s="332">
        <f>IFERROR(VLOOKUP(TEXT(O47,"0"),CONDUCTORES!$A$3:$G$54,7,0),"")</f>
        <v/>
      </c>
      <c r="L47" s="280" t="n"/>
      <c r="M47" s="280" t="n"/>
      <c r="N47" s="333">
        <f>IFERROR(IF(L47*M47=0,"",L47*M47),"")</f>
        <v/>
      </c>
      <c r="O47" s="280" t="n"/>
      <c r="P47" s="332">
        <f>IFERROR(VLOOKUP(TEXT(O47,"0"),CONDUCTORES!$A$3:$G$54,2,0),"")</f>
        <v/>
      </c>
      <c r="Q47" s="332">
        <f>IFERROR(VLOOKUP(TEXT(O47,"0"),CONDUCTORES!$A$3:$H$54,6,0),"")</f>
        <v/>
      </c>
      <c r="R47" s="280" t="n"/>
      <c r="S47" s="280" t="n"/>
      <c r="T47" s="280" t="n"/>
      <c r="U47" s="280" t="n"/>
      <c r="V47" s="280" t="n"/>
      <c r="W47" s="280" t="n"/>
      <c r="X47" s="280" t="n"/>
      <c r="Y47" s="280" t="n"/>
      <c r="Z47" s="236">
        <f>IF(AND(G47&lt;&gt;"",R47&lt;&gt;"",V47&lt;&gt;"",W47&lt;&gt;""),"COMPLETADO","OBSERVADO")</f>
        <v/>
      </c>
      <c r="AA47" s="284" t="n"/>
    </row>
    <row r="48" ht="15.75" customHeight="1" s="195">
      <c r="A48" s="334" t="n"/>
      <c r="B48" s="334" t="n"/>
      <c r="C48" s="334" t="n"/>
      <c r="D48" s="334" t="n"/>
      <c r="E48" s="334" t="n"/>
      <c r="F48" s="334" t="n"/>
      <c r="G48" s="334" t="n"/>
      <c r="H48" s="334" t="n"/>
      <c r="I48" s="332">
        <f>IFERROR(VLOOKUP(TEXT(H48,"0"),IPRESS!$A$3:$B$212,2,0),"")</f>
        <v/>
      </c>
      <c r="J48" s="334" t="n"/>
      <c r="K48" s="332">
        <f>IFERROR(VLOOKUP(TEXT(O48,"0"),CONDUCTORES!$A$3:$G$54,7,0),"")</f>
        <v/>
      </c>
      <c r="L48" s="334" t="n"/>
      <c r="M48" s="334" t="n"/>
      <c r="N48" s="333">
        <f>IFERROR(IF(L48*M48=0,"",L48*M48),"")</f>
        <v/>
      </c>
      <c r="O48" s="334" t="n"/>
      <c r="P48" s="332">
        <f>IFERROR(VLOOKUP(TEXT(O48,"0"),CONDUCTORES!$A$3:$G$54,2,0),"")</f>
        <v/>
      </c>
      <c r="Q48" s="332">
        <f>IFERROR(VLOOKUP(TEXT(O48,"0"),CONDUCTORES!$A$3:$H$54,6,0),"")</f>
        <v/>
      </c>
      <c r="R48" s="334" t="n"/>
      <c r="S48" s="334" t="n"/>
      <c r="T48" s="334" t="n"/>
      <c r="U48" s="334" t="n"/>
      <c r="V48" s="334" t="n"/>
      <c r="W48" s="334" t="n"/>
      <c r="X48" s="334" t="n"/>
      <c r="Y48" s="334" t="n"/>
      <c r="Z48" s="242">
        <f>IF(AND(G48&lt;&gt;"",R48&lt;&gt;"",V48&lt;&gt;"",W48&lt;&gt;""),"COMPLETADO","OBSERVADO")</f>
        <v/>
      </c>
      <c r="AA48" s="284" t="n"/>
    </row>
    <row r="49" ht="15.75" customHeight="1" s="195">
      <c r="A49" s="280" t="n"/>
      <c r="B49" s="280" t="n"/>
      <c r="C49" s="280" t="n"/>
      <c r="D49" s="280" t="n"/>
      <c r="E49" s="280" t="n"/>
      <c r="F49" s="280" t="n"/>
      <c r="G49" s="280" t="n"/>
      <c r="H49" s="280" t="n"/>
      <c r="I49" s="332">
        <f>IFERROR(VLOOKUP(TEXT(H49,"0"),IPRESS!$A$3:$B$212,2,0),"")</f>
        <v/>
      </c>
      <c r="J49" s="280" t="n"/>
      <c r="K49" s="332">
        <f>IFERROR(VLOOKUP(TEXT(O49,"0"),CONDUCTORES!$A$3:$G$54,7,0),"")</f>
        <v/>
      </c>
      <c r="L49" s="280" t="n"/>
      <c r="M49" s="280" t="n"/>
      <c r="N49" s="333">
        <f>IFERROR(IF(L49*M49=0,"",L49*M49),"")</f>
        <v/>
      </c>
      <c r="O49" s="280" t="n"/>
      <c r="P49" s="332">
        <f>IFERROR(VLOOKUP(TEXT(O49,"0"),CONDUCTORES!$A$3:$G$54,2,0),"")</f>
        <v/>
      </c>
      <c r="Q49" s="332">
        <f>IFERROR(VLOOKUP(TEXT(O49,"0"),CONDUCTORES!$A$3:$H$54,6,0),"")</f>
        <v/>
      </c>
      <c r="R49" s="280" t="n"/>
      <c r="S49" s="280" t="n"/>
      <c r="T49" s="280" t="n"/>
      <c r="U49" s="280" t="n"/>
      <c r="V49" s="280" t="n"/>
      <c r="W49" s="280" t="n"/>
      <c r="X49" s="280" t="n"/>
      <c r="Y49" s="280" t="n"/>
      <c r="Z49" s="236">
        <f>IF(AND(G49&lt;&gt;"",R49&lt;&gt;"",V49&lt;&gt;"",W49&lt;&gt;""),"COMPLETADO","OBSERVADO")</f>
        <v/>
      </c>
      <c r="AA49" s="284" t="n"/>
    </row>
    <row r="50" ht="15.75" customHeight="1" s="195">
      <c r="A50" s="334" t="n"/>
      <c r="B50" s="334" t="n"/>
      <c r="C50" s="334" t="n"/>
      <c r="D50" s="334" t="n"/>
      <c r="E50" s="334" t="n"/>
      <c r="F50" s="334" t="n"/>
      <c r="G50" s="334" t="n"/>
      <c r="H50" s="334" t="n"/>
      <c r="I50" s="332">
        <f>IFERROR(VLOOKUP(TEXT(H50,"0"),IPRESS!$A$3:$B$212,2,0),"")</f>
        <v/>
      </c>
      <c r="J50" s="334" t="n"/>
      <c r="K50" s="332">
        <f>IFERROR(VLOOKUP(TEXT(O50,"0"),CONDUCTORES!$A$3:$G$54,7,0),"")</f>
        <v/>
      </c>
      <c r="L50" s="334" t="n"/>
      <c r="M50" s="334" t="n"/>
      <c r="N50" s="333">
        <f>IFERROR(IF(L50*M50=0,"",L50*M50),"")</f>
        <v/>
      </c>
      <c r="O50" s="334" t="n"/>
      <c r="P50" s="332">
        <f>IFERROR(VLOOKUP(TEXT(O50,"0"),CONDUCTORES!$A$3:$G$54,2,0),"")</f>
        <v/>
      </c>
      <c r="Q50" s="332">
        <f>IFERROR(VLOOKUP(TEXT(O50,"0"),CONDUCTORES!$A$3:$H$54,6,0),"")</f>
        <v/>
      </c>
      <c r="R50" s="334" t="n"/>
      <c r="S50" s="334" t="n"/>
      <c r="T50" s="334" t="n"/>
      <c r="U50" s="334" t="n"/>
      <c r="V50" s="334" t="n"/>
      <c r="W50" s="334" t="n"/>
      <c r="X50" s="334" t="n"/>
      <c r="Y50" s="334" t="n"/>
      <c r="Z50" s="242">
        <f>IF(AND(G50&lt;&gt;"",R50&lt;&gt;"",V50&lt;&gt;"",W50&lt;&gt;""),"COMPLETADO","OBSERVADO")</f>
        <v/>
      </c>
      <c r="AA50" s="284" t="n"/>
    </row>
    <row r="51" ht="15.75" customHeight="1" s="195">
      <c r="A51" s="280" t="n"/>
      <c r="B51" s="280" t="n"/>
      <c r="C51" s="280" t="n"/>
      <c r="D51" s="280" t="n"/>
      <c r="E51" s="280" t="n"/>
      <c r="F51" s="280" t="n"/>
      <c r="G51" s="280" t="n"/>
      <c r="H51" s="280" t="n"/>
      <c r="I51" s="332">
        <f>IFERROR(VLOOKUP(TEXT(H51,"0"),IPRESS!$A$3:$B$212,2,0),"")</f>
        <v/>
      </c>
      <c r="J51" s="280" t="n"/>
      <c r="K51" s="332">
        <f>IFERROR(VLOOKUP(TEXT(O51,"0"),CONDUCTORES!$A$3:$G$54,7,0),"")</f>
        <v/>
      </c>
      <c r="L51" s="280" t="n"/>
      <c r="M51" s="280" t="n"/>
      <c r="N51" s="333">
        <f>IFERROR(IF(L51*M51=0,"",L51*M51),"")</f>
        <v/>
      </c>
      <c r="O51" s="280" t="n"/>
      <c r="P51" s="332">
        <f>IFERROR(VLOOKUP(TEXT(O51,"0"),CONDUCTORES!$A$3:$G$54,2,0),"")</f>
        <v/>
      </c>
      <c r="Q51" s="332">
        <f>IFERROR(VLOOKUP(TEXT(O51,"0"),CONDUCTORES!$A$3:$H$54,6,0),"")</f>
        <v/>
      </c>
      <c r="R51" s="280" t="n"/>
      <c r="S51" s="280" t="n"/>
      <c r="T51" s="280" t="n"/>
      <c r="U51" s="280" t="n"/>
      <c r="V51" s="280" t="n"/>
      <c r="W51" s="280" t="n"/>
      <c r="X51" s="280" t="n"/>
      <c r="Y51" s="280" t="n"/>
      <c r="Z51" s="236">
        <f>IF(AND(G51&lt;&gt;"",R51&lt;&gt;"",V51&lt;&gt;"",W51&lt;&gt;""),"COMPLETADO","OBSERVADO")</f>
        <v/>
      </c>
      <c r="AA51" s="284" t="n"/>
    </row>
    <row r="52" ht="15.75" customHeight="1" s="195">
      <c r="A52" s="334" t="n"/>
      <c r="B52" s="334" t="n"/>
      <c r="C52" s="334" t="n"/>
      <c r="D52" s="334" t="n"/>
      <c r="E52" s="334" t="n"/>
      <c r="F52" s="334" t="n"/>
      <c r="G52" s="334" t="n"/>
      <c r="H52" s="334" t="n"/>
      <c r="I52" s="332">
        <f>IFERROR(VLOOKUP(TEXT(H52,"0"),IPRESS!$A$3:$B$212,2,0),"")</f>
        <v/>
      </c>
      <c r="J52" s="334" t="n"/>
      <c r="K52" s="332">
        <f>IFERROR(VLOOKUP(TEXT(O52,"0"),CONDUCTORES!$A$3:$G$54,7,0),"")</f>
        <v/>
      </c>
      <c r="L52" s="334" t="n"/>
      <c r="M52" s="334" t="n"/>
      <c r="N52" s="333">
        <f>IFERROR(IF(L52*M52=0,"",L52*M52),"")</f>
        <v/>
      </c>
      <c r="O52" s="334" t="n"/>
      <c r="P52" s="332">
        <f>IFERROR(VLOOKUP(TEXT(O52,"0"),CONDUCTORES!$A$3:$G$54,2,0),"")</f>
        <v/>
      </c>
      <c r="Q52" s="332">
        <f>IFERROR(VLOOKUP(TEXT(O52,"0"),CONDUCTORES!$A$3:$H$54,6,0),"")</f>
        <v/>
      </c>
      <c r="R52" s="334" t="n"/>
      <c r="S52" s="334" t="n"/>
      <c r="T52" s="334" t="n"/>
      <c r="U52" s="334" t="n"/>
      <c r="V52" s="334" t="n"/>
      <c r="W52" s="334" t="n"/>
      <c r="X52" s="334" t="n"/>
      <c r="Y52" s="334" t="n"/>
      <c r="Z52" s="242">
        <f>IF(AND(G52&lt;&gt;"",R52&lt;&gt;"",V52&lt;&gt;"",W52&lt;&gt;""),"COMPLETADO","OBSERVADO")</f>
        <v/>
      </c>
      <c r="AA52" s="284" t="n"/>
    </row>
    <row r="53" ht="15.75" customHeight="1" s="195">
      <c r="A53" s="280" t="n"/>
      <c r="B53" s="280" t="n"/>
      <c r="C53" s="280" t="n"/>
      <c r="D53" s="280" t="n"/>
      <c r="E53" s="280" t="n"/>
      <c r="F53" s="280" t="n"/>
      <c r="G53" s="280" t="n"/>
      <c r="H53" s="280" t="n"/>
      <c r="I53" s="332">
        <f>IFERROR(VLOOKUP(TEXT(H53,"0"),IPRESS!$A$3:$B$212,2,0),"")</f>
        <v/>
      </c>
      <c r="J53" s="280" t="n"/>
      <c r="K53" s="332">
        <f>IFERROR(VLOOKUP(TEXT(O53,"0"),CONDUCTORES!$A$3:$G$54,7,0),"")</f>
        <v/>
      </c>
      <c r="L53" s="280" t="n"/>
      <c r="M53" s="280" t="n"/>
      <c r="N53" s="333">
        <f>IFERROR(IF(L53*M53=0,"",L53*M53),"")</f>
        <v/>
      </c>
      <c r="O53" s="280" t="n"/>
      <c r="P53" s="332">
        <f>IFERROR(VLOOKUP(TEXT(O53,"0"),CONDUCTORES!$A$3:$G$54,2,0),"")</f>
        <v/>
      </c>
      <c r="Q53" s="332">
        <f>IFERROR(VLOOKUP(TEXT(O53,"0"),CONDUCTORES!$A$3:$H$54,6,0),"")</f>
        <v/>
      </c>
      <c r="R53" s="280" t="n"/>
      <c r="S53" s="280" t="n"/>
      <c r="T53" s="280" t="n"/>
      <c r="U53" s="280" t="n"/>
      <c r="V53" s="280" t="n"/>
      <c r="W53" s="280" t="n"/>
      <c r="X53" s="280" t="n"/>
      <c r="Y53" s="280" t="n"/>
      <c r="Z53" s="236">
        <f>IF(AND(G53&lt;&gt;"",R53&lt;&gt;"",V53&lt;&gt;"",W53&lt;&gt;""),"COMPLETADO","OBSERVADO")</f>
        <v/>
      </c>
      <c r="AA53" s="284" t="n"/>
    </row>
    <row r="54" ht="15.75" customHeight="1" s="195">
      <c r="A54" s="334" t="n"/>
      <c r="B54" s="334" t="n"/>
      <c r="C54" s="334" t="n"/>
      <c r="D54" s="334" t="n"/>
      <c r="E54" s="334" t="n"/>
      <c r="F54" s="334" t="n"/>
      <c r="G54" s="334" t="n"/>
      <c r="H54" s="334" t="n"/>
      <c r="I54" s="332">
        <f>IFERROR(VLOOKUP(TEXT(H54,"0"),IPRESS!$A$3:$B$212,2,0),"")</f>
        <v/>
      </c>
      <c r="J54" s="334" t="n"/>
      <c r="K54" s="332">
        <f>IFERROR(VLOOKUP(TEXT(O54,"0"),CONDUCTORES!$A$3:$G$54,7,0),"")</f>
        <v/>
      </c>
      <c r="L54" s="334" t="n"/>
      <c r="M54" s="334" t="n"/>
      <c r="N54" s="333">
        <f>IFERROR(IF(L54*M54=0,"",L54*M54),"")</f>
        <v/>
      </c>
      <c r="O54" s="334" t="n"/>
      <c r="P54" s="332">
        <f>IFERROR(VLOOKUP(TEXT(O54,"0"),CONDUCTORES!$A$3:$G$54,2,0),"")</f>
        <v/>
      </c>
      <c r="Q54" s="332">
        <f>IFERROR(VLOOKUP(TEXT(O54,"0"),CONDUCTORES!$A$3:$H$54,6,0),"")</f>
        <v/>
      </c>
      <c r="R54" s="334" t="n"/>
      <c r="S54" s="334" t="n"/>
      <c r="T54" s="334" t="n"/>
      <c r="U54" s="334" t="n"/>
      <c r="V54" s="334" t="n"/>
      <c r="W54" s="334" t="n"/>
      <c r="X54" s="334" t="n"/>
      <c r="Y54" s="334" t="n"/>
      <c r="Z54" s="242">
        <f>IF(AND(G54&lt;&gt;"",R54&lt;&gt;"",V54&lt;&gt;"",W54&lt;&gt;""),"COMPLETADO","OBSERVADO")</f>
        <v/>
      </c>
      <c r="AA54" s="284" t="n"/>
    </row>
    <row r="55" ht="15.75" customHeight="1" s="195">
      <c r="A55" s="280" t="n"/>
      <c r="B55" s="280" t="n"/>
      <c r="C55" s="280" t="n"/>
      <c r="D55" s="280" t="n"/>
      <c r="E55" s="280" t="n"/>
      <c r="F55" s="280" t="n"/>
      <c r="G55" s="280" t="n"/>
      <c r="H55" s="280" t="n"/>
      <c r="I55" s="332">
        <f>IFERROR(VLOOKUP(TEXT(H55,"0"),IPRESS!$A$3:$B$212,2,0),"")</f>
        <v/>
      </c>
      <c r="J55" s="280" t="n"/>
      <c r="K55" s="332">
        <f>IFERROR(VLOOKUP(TEXT(O55,"0"),CONDUCTORES!$A$3:$G$54,7,0),"")</f>
        <v/>
      </c>
      <c r="L55" s="280" t="n"/>
      <c r="M55" s="280" t="n"/>
      <c r="N55" s="333">
        <f>IFERROR(IF(L55*M55=0,"",L55*M55),"")</f>
        <v/>
      </c>
      <c r="O55" s="280" t="n"/>
      <c r="P55" s="332">
        <f>IFERROR(VLOOKUP(TEXT(O55,"0"),CONDUCTORES!$A$3:$G$54,2,0),"")</f>
        <v/>
      </c>
      <c r="Q55" s="332">
        <f>IFERROR(VLOOKUP(TEXT(O55,"0"),CONDUCTORES!$A$3:$H$54,6,0),"")</f>
        <v/>
      </c>
      <c r="R55" s="280" t="n"/>
      <c r="S55" s="280" t="n"/>
      <c r="T55" s="280" t="n"/>
      <c r="U55" s="280" t="n"/>
      <c r="V55" s="280" t="n"/>
      <c r="W55" s="280" t="n"/>
      <c r="X55" s="280" t="n"/>
      <c r="Y55" s="280" t="n"/>
      <c r="Z55" s="236">
        <f>IF(AND(G55&lt;&gt;"",R55&lt;&gt;"",V55&lt;&gt;"",W55&lt;&gt;""),"COMPLETADO","OBSERVADO")</f>
        <v/>
      </c>
      <c r="AA55" s="284" t="n"/>
    </row>
    <row r="56" ht="15.75" customHeight="1" s="195">
      <c r="A56" s="334" t="n"/>
      <c r="B56" s="334" t="n"/>
      <c r="C56" s="334" t="n"/>
      <c r="D56" s="334" t="n"/>
      <c r="E56" s="334" t="n"/>
      <c r="F56" s="334" t="n"/>
      <c r="G56" s="334" t="n"/>
      <c r="H56" s="334" t="n"/>
      <c r="I56" s="332">
        <f>IFERROR(VLOOKUP(TEXT(H56,"0"),IPRESS!$A$3:$B$212,2,0),"")</f>
        <v/>
      </c>
      <c r="J56" s="334" t="n"/>
      <c r="K56" s="332">
        <f>IFERROR(VLOOKUP(TEXT(O56,"0"),CONDUCTORES!$A$3:$G$54,7,0),"")</f>
        <v/>
      </c>
      <c r="L56" s="334" t="n"/>
      <c r="M56" s="334" t="n"/>
      <c r="N56" s="333">
        <f>IFERROR(IF(L56*M56=0,"",L56*M56),"")</f>
        <v/>
      </c>
      <c r="O56" s="334" t="n"/>
      <c r="P56" s="332">
        <f>IFERROR(VLOOKUP(TEXT(O56,"0"),CONDUCTORES!$A$3:$G$54,2,0),"")</f>
        <v/>
      </c>
      <c r="Q56" s="332">
        <f>IFERROR(VLOOKUP(TEXT(O56,"0"),CONDUCTORES!$A$3:$H$54,6,0),"")</f>
        <v/>
      </c>
      <c r="R56" s="334" t="n"/>
      <c r="S56" s="334" t="n"/>
      <c r="T56" s="334" t="n"/>
      <c r="U56" s="334" t="n"/>
      <c r="V56" s="334" t="n"/>
      <c r="W56" s="334" t="n"/>
      <c r="X56" s="334" t="n"/>
      <c r="Y56" s="334" t="n"/>
      <c r="Z56" s="242">
        <f>IF(AND(G56&lt;&gt;"",R56&lt;&gt;"",V56&lt;&gt;"",W56&lt;&gt;""),"COMPLETADO","OBSERVADO")</f>
        <v/>
      </c>
      <c r="AA56" s="284" t="n"/>
    </row>
    <row r="57" ht="15.75" customHeight="1" s="195">
      <c r="A57" s="280" t="n"/>
      <c r="B57" s="280" t="n"/>
      <c r="C57" s="280" t="n"/>
      <c r="D57" s="280" t="n"/>
      <c r="E57" s="280" t="n"/>
      <c r="F57" s="280" t="n"/>
      <c r="G57" s="280" t="n"/>
      <c r="H57" s="280" t="n"/>
      <c r="I57" s="332">
        <f>IFERROR(VLOOKUP(TEXT(H57,"0"),IPRESS!$A$3:$B$212,2,0),"")</f>
        <v/>
      </c>
      <c r="J57" s="280" t="n"/>
      <c r="K57" s="332">
        <f>IFERROR(VLOOKUP(TEXT(O57,"0"),CONDUCTORES!$A$3:$G$54,7,0),"")</f>
        <v/>
      </c>
      <c r="L57" s="280" t="n"/>
      <c r="M57" s="280" t="n"/>
      <c r="N57" s="333">
        <f>IFERROR(IF(L57*M57=0,"",L57*M57),"")</f>
        <v/>
      </c>
      <c r="O57" s="280" t="n"/>
      <c r="P57" s="332">
        <f>IFERROR(VLOOKUP(TEXT(O57,"0"),CONDUCTORES!$A$3:$G$54,2,0),"")</f>
        <v/>
      </c>
      <c r="Q57" s="332">
        <f>IFERROR(VLOOKUP(TEXT(O57,"0"),CONDUCTORES!$A$3:$H$54,6,0),"")</f>
        <v/>
      </c>
      <c r="R57" s="280" t="n"/>
      <c r="S57" s="280" t="n"/>
      <c r="T57" s="280" t="n"/>
      <c r="U57" s="280" t="n"/>
      <c r="V57" s="280" t="n"/>
      <c r="W57" s="280" t="n"/>
      <c r="X57" s="280" t="n"/>
      <c r="Y57" s="280" t="n"/>
      <c r="Z57" s="236">
        <f>IF(AND(G57&lt;&gt;"",R57&lt;&gt;"",V57&lt;&gt;"",W57&lt;&gt;""),"COMPLETADO","OBSERVADO")</f>
        <v/>
      </c>
      <c r="AA57" s="284" t="n"/>
    </row>
    <row r="58" ht="15.75" customHeight="1" s="195">
      <c r="A58" s="334" t="n"/>
      <c r="B58" s="334" t="n"/>
      <c r="C58" s="334" t="n"/>
      <c r="D58" s="334" t="n"/>
      <c r="E58" s="334" t="n"/>
      <c r="F58" s="334" t="n"/>
      <c r="G58" s="334" t="n"/>
      <c r="H58" s="334" t="n"/>
      <c r="I58" s="332">
        <f>IFERROR(VLOOKUP(TEXT(H58,"0"),IPRESS!$A$3:$B$212,2,0),"")</f>
        <v/>
      </c>
      <c r="J58" s="334" t="n"/>
      <c r="K58" s="332">
        <f>IFERROR(VLOOKUP(TEXT(O58,"0"),CONDUCTORES!$A$3:$G$54,7,0),"")</f>
        <v/>
      </c>
      <c r="L58" s="334" t="n"/>
      <c r="M58" s="334" t="n"/>
      <c r="N58" s="333">
        <f>IFERROR(IF(L58*M58=0,"",L58*M58),"")</f>
        <v/>
      </c>
      <c r="O58" s="334" t="n"/>
      <c r="P58" s="332">
        <f>IFERROR(VLOOKUP(TEXT(O58,"0"),CONDUCTORES!$A$3:$G$54,2,0),"")</f>
        <v/>
      </c>
      <c r="Q58" s="332">
        <f>IFERROR(VLOOKUP(TEXT(O58,"0"),CONDUCTORES!$A$3:$H$54,6,0),"")</f>
        <v/>
      </c>
      <c r="R58" s="334" t="n"/>
      <c r="S58" s="334" t="n"/>
      <c r="T58" s="334" t="n"/>
      <c r="U58" s="334" t="n"/>
      <c r="V58" s="334" t="n"/>
      <c r="W58" s="334" t="n"/>
      <c r="X58" s="334" t="n"/>
      <c r="Y58" s="334" t="n"/>
      <c r="Z58" s="242">
        <f>IF(AND(G58&lt;&gt;"",R58&lt;&gt;"",V58&lt;&gt;"",W58&lt;&gt;""),"COMPLETADO","OBSERVADO")</f>
        <v/>
      </c>
      <c r="AA58" s="284" t="n"/>
    </row>
    <row r="59" ht="15.75" customHeight="1" s="195">
      <c r="A59" s="280" t="n"/>
      <c r="B59" s="280" t="n"/>
      <c r="C59" s="280" t="n"/>
      <c r="D59" s="280" t="n"/>
      <c r="E59" s="280" t="n"/>
      <c r="F59" s="280" t="n"/>
      <c r="G59" s="280" t="n"/>
      <c r="H59" s="280" t="n"/>
      <c r="I59" s="332">
        <f>IFERROR(VLOOKUP(TEXT(H59,"0"),IPRESS!$A$3:$B$212,2,0),"")</f>
        <v/>
      </c>
      <c r="J59" s="280" t="n"/>
      <c r="K59" s="332">
        <f>IFERROR(VLOOKUP(TEXT(O59,"0"),CONDUCTORES!$A$3:$G$54,7,0),"")</f>
        <v/>
      </c>
      <c r="L59" s="280" t="n"/>
      <c r="M59" s="280" t="n"/>
      <c r="N59" s="333">
        <f>IFERROR(IF(L59*M59=0,"",L59*M59),"")</f>
        <v/>
      </c>
      <c r="O59" s="280" t="n"/>
      <c r="P59" s="332">
        <f>IFERROR(VLOOKUP(TEXT(O59,"0"),CONDUCTORES!$A$3:$G$54,2,0),"")</f>
        <v/>
      </c>
      <c r="Q59" s="332">
        <f>IFERROR(VLOOKUP(TEXT(O59,"0"),CONDUCTORES!$A$3:$H$54,6,0),"")</f>
        <v/>
      </c>
      <c r="R59" s="280" t="n"/>
      <c r="S59" s="280" t="n"/>
      <c r="T59" s="280" t="n"/>
      <c r="U59" s="280" t="n"/>
      <c r="V59" s="280" t="n"/>
      <c r="W59" s="280" t="n"/>
      <c r="X59" s="280" t="n"/>
      <c r="Y59" s="280" t="n"/>
      <c r="Z59" s="236">
        <f>IF(AND(G59&lt;&gt;"",R59&lt;&gt;"",V59&lt;&gt;"",W59&lt;&gt;""),"COMPLETADO","OBSERVADO")</f>
        <v/>
      </c>
      <c r="AA59" s="284" t="n"/>
    </row>
    <row r="60" ht="15.75" customHeight="1" s="195">
      <c r="A60" s="334" t="n"/>
      <c r="B60" s="334" t="n"/>
      <c r="C60" s="334" t="n"/>
      <c r="D60" s="334" t="n"/>
      <c r="E60" s="334" t="n"/>
      <c r="F60" s="334" t="n"/>
      <c r="G60" s="334" t="n"/>
      <c r="H60" s="334" t="n"/>
      <c r="I60" s="332">
        <f>IFERROR(VLOOKUP(TEXT(H60,"0"),IPRESS!$A$3:$B$212,2,0),"")</f>
        <v/>
      </c>
      <c r="J60" s="334" t="n"/>
      <c r="K60" s="332">
        <f>IFERROR(VLOOKUP(TEXT(O60,"0"),CONDUCTORES!$A$3:$G$54,7,0),"")</f>
        <v/>
      </c>
      <c r="L60" s="334" t="n"/>
      <c r="M60" s="334" t="n"/>
      <c r="N60" s="333">
        <f>IFERROR(IF(L60*M60=0,"",L60*M60),"")</f>
        <v/>
      </c>
      <c r="O60" s="334" t="n"/>
      <c r="P60" s="332">
        <f>IFERROR(VLOOKUP(TEXT(O60,"0"),CONDUCTORES!$A$3:$G$54,2,0),"")</f>
        <v/>
      </c>
      <c r="Q60" s="332">
        <f>IFERROR(VLOOKUP(TEXT(O60,"0"),CONDUCTORES!$A$3:$H$54,6,0),"")</f>
        <v/>
      </c>
      <c r="R60" s="334" t="n"/>
      <c r="S60" s="334" t="n"/>
      <c r="T60" s="334" t="n"/>
      <c r="U60" s="334" t="n"/>
      <c r="V60" s="334" t="n"/>
      <c r="W60" s="334" t="n"/>
      <c r="X60" s="334" t="n"/>
      <c r="Y60" s="334" t="n"/>
      <c r="Z60" s="242">
        <f>IF(AND(G60&lt;&gt;"",R60&lt;&gt;"",V60&lt;&gt;"",W60&lt;&gt;""),"COMPLETADO","OBSERVADO")</f>
        <v/>
      </c>
      <c r="AA60" s="284" t="n"/>
    </row>
    <row r="61" ht="15.75" customHeight="1" s="195">
      <c r="A61" s="280" t="n"/>
      <c r="B61" s="280" t="n"/>
      <c r="C61" s="280" t="n"/>
      <c r="D61" s="280" t="n"/>
      <c r="E61" s="280" t="n"/>
      <c r="F61" s="280" t="n"/>
      <c r="G61" s="280" t="n"/>
      <c r="H61" s="280" t="n"/>
      <c r="I61" s="332">
        <f>IFERROR(VLOOKUP(TEXT(H61,"0"),IPRESS!$A$3:$B$212,2,0),"")</f>
        <v/>
      </c>
      <c r="J61" s="280" t="n"/>
      <c r="K61" s="332">
        <f>IFERROR(VLOOKUP(TEXT(O61,"0"),CONDUCTORES!$A$3:$G$54,7,0),"")</f>
        <v/>
      </c>
      <c r="L61" s="280" t="n"/>
      <c r="M61" s="280" t="n"/>
      <c r="N61" s="333">
        <f>IFERROR(IF(L61*M61=0,"",L61*M61),"")</f>
        <v/>
      </c>
      <c r="O61" s="280" t="n"/>
      <c r="P61" s="332">
        <f>IFERROR(VLOOKUP(TEXT(O61,"0"),CONDUCTORES!$A$3:$G$54,2,0),"")</f>
        <v/>
      </c>
      <c r="Q61" s="332">
        <f>IFERROR(VLOOKUP(TEXT(O61,"0"),CONDUCTORES!$A$3:$H$54,6,0),"")</f>
        <v/>
      </c>
      <c r="R61" s="280" t="n"/>
      <c r="S61" s="280" t="n"/>
      <c r="T61" s="280" t="n"/>
      <c r="U61" s="280" t="n"/>
      <c r="V61" s="280" t="n"/>
      <c r="W61" s="280" t="n"/>
      <c r="X61" s="280" t="n"/>
      <c r="Y61" s="280" t="n"/>
      <c r="Z61" s="236">
        <f>IF(AND(G61&lt;&gt;"",R61&lt;&gt;"",V61&lt;&gt;"",W61&lt;&gt;""),"COMPLETADO","OBSERVADO")</f>
        <v/>
      </c>
      <c r="AA61" s="284" t="n"/>
    </row>
    <row r="62" ht="15.75" customHeight="1" s="195">
      <c r="A62" s="334" t="n"/>
      <c r="B62" s="334" t="n"/>
      <c r="C62" s="334" t="n"/>
      <c r="D62" s="334" t="n"/>
      <c r="E62" s="334" t="n"/>
      <c r="F62" s="334" t="n"/>
      <c r="G62" s="334" t="n"/>
      <c r="H62" s="334" t="n"/>
      <c r="I62" s="332">
        <f>IFERROR(VLOOKUP(TEXT(H62,"0"),IPRESS!$A$3:$B$212,2,0),"")</f>
        <v/>
      </c>
      <c r="J62" s="334" t="n"/>
      <c r="K62" s="332">
        <f>IFERROR(VLOOKUP(TEXT(O62,"0"),CONDUCTORES!$A$3:$G$54,7,0),"")</f>
        <v/>
      </c>
      <c r="L62" s="334" t="n"/>
      <c r="M62" s="334" t="n"/>
      <c r="N62" s="333">
        <f>IFERROR(IF(L62*M62=0,"",L62*M62),"")</f>
        <v/>
      </c>
      <c r="O62" s="334" t="n"/>
      <c r="P62" s="332">
        <f>IFERROR(VLOOKUP(TEXT(O62,"0"),CONDUCTORES!$A$3:$G$54,2,0),"")</f>
        <v/>
      </c>
      <c r="Q62" s="332">
        <f>IFERROR(VLOOKUP(TEXT(O62,"0"),CONDUCTORES!$A$3:$H$54,6,0),"")</f>
        <v/>
      </c>
      <c r="R62" s="334" t="n"/>
      <c r="S62" s="334" t="n"/>
      <c r="T62" s="334" t="n"/>
      <c r="U62" s="334" t="n"/>
      <c r="V62" s="334" t="n"/>
      <c r="W62" s="334" t="n"/>
      <c r="X62" s="334" t="n"/>
      <c r="Y62" s="334" t="n"/>
      <c r="Z62" s="242">
        <f>IF(AND(G62&lt;&gt;"",R62&lt;&gt;"",V62&lt;&gt;"",W62&lt;&gt;""),"COMPLETADO","OBSERVADO")</f>
        <v/>
      </c>
      <c r="AA62" s="284" t="n"/>
    </row>
    <row r="63" ht="15.75" customHeight="1" s="195">
      <c r="A63" s="280" t="n"/>
      <c r="B63" s="280" t="n"/>
      <c r="C63" s="280" t="n"/>
      <c r="D63" s="280" t="n"/>
      <c r="E63" s="280" t="n"/>
      <c r="F63" s="280" t="n"/>
      <c r="G63" s="280" t="n"/>
      <c r="H63" s="280" t="n"/>
      <c r="I63" s="332">
        <f>IFERROR(VLOOKUP(TEXT(H63,"0"),IPRESS!$A$3:$B$212,2,0),"")</f>
        <v/>
      </c>
      <c r="J63" s="280" t="n"/>
      <c r="K63" s="332">
        <f>IFERROR(VLOOKUP(TEXT(O63,"0"),CONDUCTORES!$A$3:$G$54,7,0),"")</f>
        <v/>
      </c>
      <c r="L63" s="280" t="n"/>
      <c r="M63" s="280" t="n"/>
      <c r="N63" s="333">
        <f>IFERROR(IF(L63*M63=0,"",L63*M63),"")</f>
        <v/>
      </c>
      <c r="O63" s="280" t="n"/>
      <c r="P63" s="332">
        <f>IFERROR(VLOOKUP(TEXT(O63,"0"),CONDUCTORES!$A$3:$G$54,2,0),"")</f>
        <v/>
      </c>
      <c r="Q63" s="332">
        <f>IFERROR(VLOOKUP(TEXT(O63,"0"),CONDUCTORES!$A$3:$H$54,6,0),"")</f>
        <v/>
      </c>
      <c r="R63" s="280" t="n"/>
      <c r="S63" s="280" t="n"/>
      <c r="T63" s="280" t="n"/>
      <c r="U63" s="280" t="n"/>
      <c r="V63" s="280" t="n"/>
      <c r="W63" s="280" t="n"/>
      <c r="X63" s="280" t="n"/>
      <c r="Y63" s="280" t="n"/>
      <c r="Z63" s="236">
        <f>IF(AND(G63&lt;&gt;"",R63&lt;&gt;"",V63&lt;&gt;"",W63&lt;&gt;""),"COMPLETADO","OBSERVADO")</f>
        <v/>
      </c>
      <c r="AA63" s="284" t="n"/>
    </row>
    <row r="64" ht="15.75" customHeight="1" s="195">
      <c r="A64" s="334" t="n"/>
      <c r="B64" s="334" t="n"/>
      <c r="C64" s="334" t="n"/>
      <c r="D64" s="334" t="n"/>
      <c r="E64" s="334" t="n"/>
      <c r="F64" s="334" t="n"/>
      <c r="G64" s="334" t="n"/>
      <c r="H64" s="334" t="n"/>
      <c r="I64" s="332">
        <f>IFERROR(VLOOKUP(TEXT(H64,"0"),IPRESS!$A$3:$B$212,2,0),"")</f>
        <v/>
      </c>
      <c r="J64" s="334" t="n"/>
      <c r="K64" s="332">
        <f>IFERROR(VLOOKUP(TEXT(O64,"0"),CONDUCTORES!$A$3:$G$54,7,0),"")</f>
        <v/>
      </c>
      <c r="L64" s="334" t="n"/>
      <c r="M64" s="334" t="n"/>
      <c r="N64" s="333">
        <f>IFERROR(IF(L64*M64=0,"",L64*M64),"")</f>
        <v/>
      </c>
      <c r="O64" s="334" t="n"/>
      <c r="P64" s="332">
        <f>IFERROR(VLOOKUP(TEXT(O64,"0"),CONDUCTORES!$A$3:$G$54,2,0),"")</f>
        <v/>
      </c>
      <c r="Q64" s="332">
        <f>IFERROR(VLOOKUP(TEXT(O64,"0"),CONDUCTORES!$A$3:$H$54,6,0),"")</f>
        <v/>
      </c>
      <c r="R64" s="334" t="n"/>
      <c r="S64" s="334" t="n"/>
      <c r="T64" s="334" t="n"/>
      <c r="U64" s="334" t="n"/>
      <c r="V64" s="334" t="n"/>
      <c r="W64" s="334" t="n"/>
      <c r="X64" s="334" t="n"/>
      <c r="Y64" s="334" t="n"/>
      <c r="Z64" s="242">
        <f>IF(AND(G64&lt;&gt;"",R64&lt;&gt;"",V64&lt;&gt;"",W64&lt;&gt;""),"COMPLETADO","OBSERVADO")</f>
        <v/>
      </c>
      <c r="AA64" s="284" t="n"/>
    </row>
    <row r="65" ht="15.75" customHeight="1" s="195">
      <c r="A65" s="280" t="n"/>
      <c r="B65" s="280" t="n"/>
      <c r="C65" s="280" t="n"/>
      <c r="D65" s="280" t="n"/>
      <c r="E65" s="280" t="n"/>
      <c r="F65" s="280" t="n"/>
      <c r="G65" s="280" t="n"/>
      <c r="H65" s="280" t="n"/>
      <c r="I65" s="332">
        <f>IFERROR(VLOOKUP(TEXT(H65,"0"),IPRESS!$A$3:$B$212,2,0),"")</f>
        <v/>
      </c>
      <c r="J65" s="280" t="n"/>
      <c r="K65" s="332">
        <f>IFERROR(VLOOKUP(TEXT(O65,"0"),CONDUCTORES!$A$3:$G$54,7,0),"")</f>
        <v/>
      </c>
      <c r="L65" s="280" t="n"/>
      <c r="M65" s="280" t="n"/>
      <c r="N65" s="333">
        <f>IFERROR(IF(L65*M65=0,"",L65*M65),"")</f>
        <v/>
      </c>
      <c r="O65" s="280" t="n"/>
      <c r="P65" s="332">
        <f>IFERROR(VLOOKUP(TEXT(O65,"0"),CONDUCTORES!$A$3:$G$54,2,0),"")</f>
        <v/>
      </c>
      <c r="Q65" s="332">
        <f>IFERROR(VLOOKUP(TEXT(O65,"0"),CONDUCTORES!$A$3:$H$54,6,0),"")</f>
        <v/>
      </c>
      <c r="R65" s="280" t="n"/>
      <c r="S65" s="280" t="n"/>
      <c r="T65" s="280" t="n"/>
      <c r="U65" s="280" t="n"/>
      <c r="V65" s="280" t="n"/>
      <c r="W65" s="280" t="n"/>
      <c r="X65" s="280" t="n"/>
      <c r="Y65" s="280" t="n"/>
      <c r="Z65" s="236">
        <f>IF(AND(G65&lt;&gt;"",R65&lt;&gt;"",V65&lt;&gt;"",W65&lt;&gt;""),"COMPLETADO","OBSERVADO")</f>
        <v/>
      </c>
      <c r="AA65" s="284" t="n"/>
    </row>
    <row r="66" ht="15.75" customHeight="1" s="195">
      <c r="A66" s="334" t="n"/>
      <c r="B66" s="334" t="n"/>
      <c r="C66" s="334" t="n"/>
      <c r="D66" s="334" t="n"/>
      <c r="E66" s="334" t="n"/>
      <c r="F66" s="334" t="n"/>
      <c r="G66" s="334" t="n"/>
      <c r="H66" s="334" t="n"/>
      <c r="I66" s="332">
        <f>IFERROR(VLOOKUP(TEXT(H66,"0"),IPRESS!$A$3:$B$212,2,0),"")</f>
        <v/>
      </c>
      <c r="J66" s="334" t="n"/>
      <c r="K66" s="332">
        <f>IFERROR(VLOOKUP(TEXT(O66,"0"),CONDUCTORES!$A$3:$G$54,7,0),"")</f>
        <v/>
      </c>
      <c r="L66" s="334" t="n"/>
      <c r="M66" s="334" t="n"/>
      <c r="N66" s="333">
        <f>IFERROR(IF(L66*M66=0,"",L66*M66),"")</f>
        <v/>
      </c>
      <c r="O66" s="334" t="n"/>
      <c r="P66" s="332">
        <f>IFERROR(VLOOKUP(TEXT(O66,"0"),CONDUCTORES!$A$3:$G$54,2,0),"")</f>
        <v/>
      </c>
      <c r="Q66" s="332">
        <f>IFERROR(VLOOKUP(TEXT(O66,"0"),CONDUCTORES!$A$3:$H$54,6,0),"")</f>
        <v/>
      </c>
      <c r="R66" s="334" t="n"/>
      <c r="S66" s="334" t="n"/>
      <c r="T66" s="334" t="n"/>
      <c r="U66" s="334" t="n"/>
      <c r="V66" s="334" t="n"/>
      <c r="W66" s="334" t="n"/>
      <c r="X66" s="334" t="n"/>
      <c r="Y66" s="334" t="n"/>
      <c r="Z66" s="242">
        <f>IF(AND(G66&lt;&gt;"",R66&lt;&gt;"",V66&lt;&gt;"",W66&lt;&gt;""),"COMPLETADO","OBSERVADO")</f>
        <v/>
      </c>
      <c r="AA66" s="284" t="n"/>
    </row>
    <row r="67" ht="15.75" customHeight="1" s="195">
      <c r="A67" s="280" t="n"/>
      <c r="B67" s="280" t="n"/>
      <c r="C67" s="280" t="n"/>
      <c r="D67" s="280" t="n"/>
      <c r="E67" s="280" t="n"/>
      <c r="F67" s="280" t="n"/>
      <c r="G67" s="280" t="n"/>
      <c r="H67" s="280" t="n"/>
      <c r="I67" s="332">
        <f>IFERROR(VLOOKUP(TEXT(H67,"0"),IPRESS!$A$3:$B$212,2,0),"")</f>
        <v/>
      </c>
      <c r="J67" s="280" t="n"/>
      <c r="K67" s="332">
        <f>IFERROR(VLOOKUP(TEXT(O67,"0"),CONDUCTORES!$A$3:$G$54,7,0),"")</f>
        <v/>
      </c>
      <c r="L67" s="280" t="n"/>
      <c r="M67" s="280" t="n"/>
      <c r="N67" s="333">
        <f>IFERROR(IF(L67*M67=0,"",L67*M67),"")</f>
        <v/>
      </c>
      <c r="O67" s="280" t="n"/>
      <c r="P67" s="332">
        <f>IFERROR(VLOOKUP(TEXT(O67,"0"),CONDUCTORES!$A$3:$G$54,2,0),"")</f>
        <v/>
      </c>
      <c r="Q67" s="332">
        <f>IFERROR(VLOOKUP(TEXT(O67,"0"),CONDUCTORES!$A$3:$H$54,6,0),"")</f>
        <v/>
      </c>
      <c r="R67" s="280" t="n"/>
      <c r="S67" s="280" t="n"/>
      <c r="T67" s="280" t="n"/>
      <c r="U67" s="280" t="n"/>
      <c r="V67" s="280" t="n"/>
      <c r="W67" s="280" t="n"/>
      <c r="X67" s="280" t="n"/>
      <c r="Y67" s="280" t="n"/>
      <c r="Z67" s="236">
        <f>IF(AND(G67&lt;&gt;"",R67&lt;&gt;"",V67&lt;&gt;"",W67&lt;&gt;""),"COMPLETADO","OBSERVADO")</f>
        <v/>
      </c>
      <c r="AA67" s="284" t="n"/>
    </row>
    <row r="68" ht="15.75" customHeight="1" s="195">
      <c r="A68" s="334" t="n"/>
      <c r="B68" s="334" t="n"/>
      <c r="C68" s="334" t="n"/>
      <c r="D68" s="334" t="n"/>
      <c r="E68" s="334" t="n"/>
      <c r="F68" s="334" t="n"/>
      <c r="G68" s="334" t="n"/>
      <c r="H68" s="334" t="n"/>
      <c r="I68" s="332">
        <f>IFERROR(VLOOKUP(TEXT(H68,"0"),IPRESS!$A$3:$B$212,2,0),"")</f>
        <v/>
      </c>
      <c r="J68" s="334" t="n"/>
      <c r="K68" s="332">
        <f>IFERROR(VLOOKUP(TEXT(O68,"0"),CONDUCTORES!$A$3:$G$54,7,0),"")</f>
        <v/>
      </c>
      <c r="L68" s="334" t="n"/>
      <c r="M68" s="334" t="n"/>
      <c r="N68" s="333">
        <f>IFERROR(IF(L68*M68=0,"",L68*M68),"")</f>
        <v/>
      </c>
      <c r="O68" s="334" t="n"/>
      <c r="P68" s="332">
        <f>IFERROR(VLOOKUP(TEXT(O68,"0"),CONDUCTORES!$A$3:$G$54,2,0),"")</f>
        <v/>
      </c>
      <c r="Q68" s="332">
        <f>IFERROR(VLOOKUP(TEXT(O68,"0"),CONDUCTORES!$A$3:$H$54,6,0),"")</f>
        <v/>
      </c>
      <c r="R68" s="334" t="n"/>
      <c r="S68" s="334" t="n"/>
      <c r="T68" s="334" t="n"/>
      <c r="U68" s="334" t="n"/>
      <c r="V68" s="334" t="n"/>
      <c r="W68" s="334" t="n"/>
      <c r="X68" s="334" t="n"/>
      <c r="Y68" s="334" t="n"/>
      <c r="Z68" s="242">
        <f>IF(AND(G68&lt;&gt;"",R68&lt;&gt;"",V68&lt;&gt;"",W68&lt;&gt;""),"COMPLETADO","OBSERVADO")</f>
        <v/>
      </c>
      <c r="AA68" s="284" t="n"/>
    </row>
    <row r="69" ht="15.75" customHeight="1" s="195">
      <c r="A69" s="280" t="n"/>
      <c r="B69" s="280" t="n"/>
      <c r="C69" s="280" t="n"/>
      <c r="D69" s="280" t="n"/>
      <c r="E69" s="280" t="n"/>
      <c r="F69" s="280" t="n"/>
      <c r="G69" s="280" t="n"/>
      <c r="H69" s="280" t="n"/>
      <c r="I69" s="332">
        <f>IFERROR(VLOOKUP(TEXT(H69,"0"),IPRESS!$A$3:$B$212,2,0),"")</f>
        <v/>
      </c>
      <c r="J69" s="280" t="n"/>
      <c r="K69" s="332">
        <f>IFERROR(VLOOKUP(TEXT(O69,"0"),CONDUCTORES!$A$3:$G$54,7,0),"")</f>
        <v/>
      </c>
      <c r="L69" s="280" t="n"/>
      <c r="M69" s="280" t="n"/>
      <c r="N69" s="333">
        <f>IFERROR(IF(L69*M69=0,"",L69*M69),"")</f>
        <v/>
      </c>
      <c r="O69" s="280" t="n"/>
      <c r="P69" s="332">
        <f>IFERROR(VLOOKUP(TEXT(O69,"0"),CONDUCTORES!$A$3:$G$54,2,0),"")</f>
        <v/>
      </c>
      <c r="Q69" s="332">
        <f>IFERROR(VLOOKUP(TEXT(O69,"0"),CONDUCTORES!$A$3:$H$54,6,0),"")</f>
        <v/>
      </c>
      <c r="R69" s="280" t="n"/>
      <c r="S69" s="280" t="n"/>
      <c r="T69" s="280" t="n"/>
      <c r="U69" s="280" t="n"/>
      <c r="V69" s="280" t="n"/>
      <c r="W69" s="280" t="n"/>
      <c r="X69" s="280" t="n"/>
      <c r="Y69" s="280" t="n"/>
      <c r="Z69" s="236">
        <f>IF(AND(G69&lt;&gt;"",R69&lt;&gt;"",V69&lt;&gt;"",W69&lt;&gt;""),"COMPLETADO","OBSERVADO")</f>
        <v/>
      </c>
      <c r="AA69" s="284" t="n"/>
    </row>
    <row r="70" ht="15.75" customHeight="1" s="195">
      <c r="A70" s="334" t="n"/>
      <c r="B70" s="334" t="n"/>
      <c r="C70" s="334" t="n"/>
      <c r="D70" s="334" t="n"/>
      <c r="E70" s="334" t="n"/>
      <c r="F70" s="334" t="n"/>
      <c r="G70" s="334" t="n"/>
      <c r="H70" s="334" t="n"/>
      <c r="I70" s="332">
        <f>IFERROR(VLOOKUP(TEXT(H70,"0"),IPRESS!$A$3:$B$212,2,0),"")</f>
        <v/>
      </c>
      <c r="J70" s="334" t="n"/>
      <c r="K70" s="332">
        <f>IFERROR(VLOOKUP(TEXT(O70,"0"),CONDUCTORES!$A$3:$G$54,7,0),"")</f>
        <v/>
      </c>
      <c r="L70" s="334" t="n"/>
      <c r="M70" s="334" t="n"/>
      <c r="N70" s="333">
        <f>IFERROR(IF(L70*M70=0,"",L70*M70),"")</f>
        <v/>
      </c>
      <c r="O70" s="334" t="n"/>
      <c r="P70" s="332">
        <f>IFERROR(VLOOKUP(TEXT(O70,"0"),CONDUCTORES!$A$3:$G$54,2,0),"")</f>
        <v/>
      </c>
      <c r="Q70" s="332">
        <f>IFERROR(VLOOKUP(TEXT(O70,"0"),CONDUCTORES!$A$3:$H$54,6,0),"")</f>
        <v/>
      </c>
      <c r="R70" s="334" t="n"/>
      <c r="S70" s="334" t="n"/>
      <c r="T70" s="334" t="n"/>
      <c r="U70" s="334" t="n"/>
      <c r="V70" s="334" t="n"/>
      <c r="W70" s="334" t="n"/>
      <c r="X70" s="334" t="n"/>
      <c r="Y70" s="334" t="n"/>
      <c r="Z70" s="242">
        <f>IF(AND(G70&lt;&gt;"",R70&lt;&gt;"",V70&lt;&gt;"",W70&lt;&gt;""),"COMPLETADO","OBSERVADO")</f>
        <v/>
      </c>
      <c r="AA70" s="284" t="n"/>
    </row>
    <row r="71" ht="15.75" customHeight="1" s="195">
      <c r="A71" s="280" t="n"/>
      <c r="B71" s="280" t="n"/>
      <c r="C71" s="280" t="n"/>
      <c r="D71" s="280" t="n"/>
      <c r="E71" s="280" t="n"/>
      <c r="F71" s="280" t="n"/>
      <c r="G71" s="280" t="n"/>
      <c r="H71" s="280" t="n"/>
      <c r="I71" s="332">
        <f>IFERROR(VLOOKUP(TEXT(H71,"0"),IPRESS!$A$3:$B$212,2,0),"")</f>
        <v/>
      </c>
      <c r="J71" s="280" t="n"/>
      <c r="K71" s="332">
        <f>IFERROR(VLOOKUP(TEXT(O71,"0"),CONDUCTORES!$A$3:$G$54,7,0),"")</f>
        <v/>
      </c>
      <c r="L71" s="280" t="n"/>
      <c r="M71" s="280" t="n"/>
      <c r="N71" s="333">
        <f>IFERROR(IF(L71*M71=0,"",L71*M71),"")</f>
        <v/>
      </c>
      <c r="O71" s="280" t="n"/>
      <c r="P71" s="332">
        <f>IFERROR(VLOOKUP(TEXT(O71,"0"),CONDUCTORES!$A$3:$G$54,2,0),"")</f>
        <v/>
      </c>
      <c r="Q71" s="332">
        <f>IFERROR(VLOOKUP(TEXT(O71,"0"),CONDUCTORES!$A$3:$H$54,6,0),"")</f>
        <v/>
      </c>
      <c r="R71" s="280" t="n"/>
      <c r="S71" s="280" t="n"/>
      <c r="T71" s="280" t="n"/>
      <c r="U71" s="280" t="n"/>
      <c r="V71" s="280" t="n"/>
      <c r="W71" s="280" t="n"/>
      <c r="X71" s="280" t="n"/>
      <c r="Y71" s="280" t="n"/>
      <c r="Z71" s="236">
        <f>IF(AND(G71&lt;&gt;"",R71&lt;&gt;"",V71&lt;&gt;"",W71&lt;&gt;""),"COMPLETADO","OBSERVADO")</f>
        <v/>
      </c>
      <c r="AA71" s="284" t="n"/>
    </row>
    <row r="72" ht="15.75" customHeight="1" s="195">
      <c r="A72" s="334" t="n"/>
      <c r="B72" s="334" t="n"/>
      <c r="C72" s="334" t="n"/>
      <c r="D72" s="334" t="n"/>
      <c r="E72" s="334" t="n"/>
      <c r="F72" s="334" t="n"/>
      <c r="G72" s="334" t="n"/>
      <c r="H72" s="334" t="n"/>
      <c r="I72" s="332">
        <f>IFERROR(VLOOKUP(TEXT(H72,"0"),IPRESS!$A$3:$B$212,2,0),"")</f>
        <v/>
      </c>
      <c r="J72" s="334" t="n"/>
      <c r="K72" s="332">
        <f>IFERROR(VLOOKUP(TEXT(O72,"0"),CONDUCTORES!$A$3:$G$54,7,0),"")</f>
        <v/>
      </c>
      <c r="L72" s="334" t="n"/>
      <c r="M72" s="334" t="n"/>
      <c r="N72" s="333">
        <f>IFERROR(IF(L72*M72=0,"",L72*M72),"")</f>
        <v/>
      </c>
      <c r="O72" s="334" t="n"/>
      <c r="P72" s="332">
        <f>IFERROR(VLOOKUP(TEXT(O72,"0"),CONDUCTORES!$A$3:$G$54,2,0),"")</f>
        <v/>
      </c>
      <c r="Q72" s="332">
        <f>IFERROR(VLOOKUP(TEXT(O72,"0"),CONDUCTORES!$A$3:$H$54,6,0),"")</f>
        <v/>
      </c>
      <c r="R72" s="334" t="n"/>
      <c r="S72" s="334" t="n"/>
      <c r="T72" s="334" t="n"/>
      <c r="U72" s="334" t="n"/>
      <c r="V72" s="334" t="n"/>
      <c r="W72" s="334" t="n"/>
      <c r="X72" s="334" t="n"/>
      <c r="Y72" s="334" t="n"/>
      <c r="Z72" s="242">
        <f>IF(AND(G72&lt;&gt;"",R72&lt;&gt;"",V72&lt;&gt;"",W72&lt;&gt;""),"COMPLETADO","OBSERVADO")</f>
        <v/>
      </c>
      <c r="AA72" s="284" t="n"/>
    </row>
    <row r="73" ht="15.75" customHeight="1" s="195">
      <c r="A73" s="280" t="n"/>
      <c r="B73" s="280" t="n"/>
      <c r="C73" s="280" t="n"/>
      <c r="D73" s="280" t="n"/>
      <c r="E73" s="280" t="n"/>
      <c r="F73" s="280" t="n"/>
      <c r="G73" s="280" t="n"/>
      <c r="H73" s="280" t="n"/>
      <c r="I73" s="332">
        <f>IFERROR(VLOOKUP(TEXT(H73,"0"),IPRESS!$A$3:$B$212,2,0),"")</f>
        <v/>
      </c>
      <c r="J73" s="280" t="n"/>
      <c r="K73" s="332">
        <f>IFERROR(VLOOKUP(TEXT(O73,"0"),CONDUCTORES!$A$3:$G$54,7,0),"")</f>
        <v/>
      </c>
      <c r="L73" s="280" t="n"/>
      <c r="M73" s="280" t="n"/>
      <c r="N73" s="333">
        <f>IFERROR(IF(L73*M73=0,"",L73*M73),"")</f>
        <v/>
      </c>
      <c r="O73" s="280" t="n"/>
      <c r="P73" s="332">
        <f>IFERROR(VLOOKUP(TEXT(O73,"0"),CONDUCTORES!$A$3:$G$54,2,0),"")</f>
        <v/>
      </c>
      <c r="Q73" s="332">
        <f>IFERROR(VLOOKUP(TEXT(O73,"0"),CONDUCTORES!$A$3:$H$54,6,0),"")</f>
        <v/>
      </c>
      <c r="R73" s="280" t="n"/>
      <c r="S73" s="280" t="n"/>
      <c r="T73" s="280" t="n"/>
      <c r="U73" s="280" t="n"/>
      <c r="V73" s="280" t="n"/>
      <c r="W73" s="280" t="n"/>
      <c r="X73" s="280" t="n"/>
      <c r="Y73" s="280" t="n"/>
      <c r="Z73" s="236">
        <f>IF(AND(G73&lt;&gt;"",R73&lt;&gt;"",V73&lt;&gt;"",W73&lt;&gt;""),"COMPLETADO","OBSERVADO")</f>
        <v/>
      </c>
      <c r="AA73" s="284" t="n"/>
    </row>
    <row r="74" ht="15.75" customHeight="1" s="195">
      <c r="A74" s="334" t="n"/>
      <c r="B74" s="334" t="n"/>
      <c r="C74" s="334" t="n"/>
      <c r="D74" s="334" t="n"/>
      <c r="E74" s="334" t="n"/>
      <c r="F74" s="334" t="n"/>
      <c r="G74" s="334" t="n"/>
      <c r="H74" s="334" t="n"/>
      <c r="I74" s="332">
        <f>IFERROR(VLOOKUP(TEXT(H74,"0"),IPRESS!$A$3:$B$212,2,0),"")</f>
        <v/>
      </c>
      <c r="J74" s="334" t="n"/>
      <c r="K74" s="332">
        <f>IFERROR(VLOOKUP(TEXT(O74,"0"),CONDUCTORES!$A$3:$G$54,7,0),"")</f>
        <v/>
      </c>
      <c r="L74" s="334" t="n"/>
      <c r="M74" s="334" t="n"/>
      <c r="N74" s="333">
        <f>IFERROR(IF(L74*M74=0,"",L74*M74),"")</f>
        <v/>
      </c>
      <c r="O74" s="334" t="n"/>
      <c r="P74" s="332">
        <f>IFERROR(VLOOKUP(TEXT(O74,"0"),CONDUCTORES!$A$3:$G$54,2,0),"")</f>
        <v/>
      </c>
      <c r="Q74" s="332">
        <f>IFERROR(VLOOKUP(TEXT(O74,"0"),CONDUCTORES!$A$3:$H$54,6,0),"")</f>
        <v/>
      </c>
      <c r="R74" s="334" t="n"/>
      <c r="S74" s="334" t="n"/>
      <c r="T74" s="334" t="n"/>
      <c r="U74" s="334" t="n"/>
      <c r="V74" s="334" t="n"/>
      <c r="W74" s="334" t="n"/>
      <c r="X74" s="334" t="n"/>
      <c r="Y74" s="334" t="n"/>
      <c r="Z74" s="242">
        <f>IF(AND(G74&lt;&gt;"",R74&lt;&gt;"",V74&lt;&gt;"",W74&lt;&gt;""),"COMPLETADO","OBSERVADO")</f>
        <v/>
      </c>
      <c r="AA74" s="284" t="n"/>
    </row>
    <row r="75" ht="15.75" customHeight="1" s="195">
      <c r="A75" s="280" t="n"/>
      <c r="B75" s="280" t="n"/>
      <c r="C75" s="280" t="n"/>
      <c r="D75" s="280" t="n"/>
      <c r="E75" s="280" t="n"/>
      <c r="F75" s="280" t="n"/>
      <c r="G75" s="280" t="n"/>
      <c r="H75" s="280" t="n"/>
      <c r="I75" s="332">
        <f>IFERROR(VLOOKUP(TEXT(H75,"0"),IPRESS!$A$3:$B$212,2,0),"")</f>
        <v/>
      </c>
      <c r="J75" s="280" t="n"/>
      <c r="K75" s="332">
        <f>IFERROR(VLOOKUP(TEXT(O75,"0"),CONDUCTORES!$A$3:$G$54,7,0),"")</f>
        <v/>
      </c>
      <c r="L75" s="280" t="n"/>
      <c r="M75" s="280" t="n"/>
      <c r="N75" s="333">
        <f>IFERROR(IF(L75*M75=0,"",L75*M75),"")</f>
        <v/>
      </c>
      <c r="O75" s="280" t="n"/>
      <c r="P75" s="332">
        <f>IFERROR(VLOOKUP(TEXT(O75,"0"),CONDUCTORES!$A$3:$G$54,2,0),"")</f>
        <v/>
      </c>
      <c r="Q75" s="332">
        <f>IFERROR(VLOOKUP(TEXT(O75,"0"),CONDUCTORES!$A$3:$H$54,6,0),"")</f>
        <v/>
      </c>
      <c r="R75" s="280" t="n"/>
      <c r="S75" s="280" t="n"/>
      <c r="T75" s="280" t="n"/>
      <c r="U75" s="280" t="n"/>
      <c r="V75" s="280" t="n"/>
      <c r="W75" s="280" t="n"/>
      <c r="X75" s="280" t="n"/>
      <c r="Y75" s="280" t="n"/>
      <c r="Z75" s="236">
        <f>IF(AND(G75&lt;&gt;"",R75&lt;&gt;"",V75&lt;&gt;"",W75&lt;&gt;""),"COMPLETADO","OBSERVADO")</f>
        <v/>
      </c>
      <c r="AA75" s="284" t="n"/>
    </row>
    <row r="76" ht="15.75" customHeight="1" s="195">
      <c r="A76" s="334" t="n"/>
      <c r="B76" s="334" t="n"/>
      <c r="C76" s="334" t="n"/>
      <c r="D76" s="334" t="n"/>
      <c r="E76" s="334" t="n"/>
      <c r="F76" s="334" t="n"/>
      <c r="G76" s="334" t="n"/>
      <c r="H76" s="334" t="n"/>
      <c r="I76" s="332">
        <f>IFERROR(VLOOKUP(TEXT(H76,"0"),IPRESS!$A$3:$B$212,2,0),"")</f>
        <v/>
      </c>
      <c r="J76" s="334" t="n"/>
      <c r="K76" s="332">
        <f>IFERROR(VLOOKUP(TEXT(O76,"0"),CONDUCTORES!$A$3:$G$54,7,0),"")</f>
        <v/>
      </c>
      <c r="L76" s="334" t="n"/>
      <c r="M76" s="334" t="n"/>
      <c r="N76" s="333">
        <f>IFERROR(IF(L76*M76=0,"",L76*M76),"")</f>
        <v/>
      </c>
      <c r="O76" s="334" t="n"/>
      <c r="P76" s="332">
        <f>IFERROR(VLOOKUP(TEXT(O76,"0"),CONDUCTORES!$A$3:$G$54,2,0),"")</f>
        <v/>
      </c>
      <c r="Q76" s="332">
        <f>IFERROR(VLOOKUP(TEXT(O76,"0"),CONDUCTORES!$A$3:$H$54,6,0),"")</f>
        <v/>
      </c>
      <c r="R76" s="334" t="n"/>
      <c r="S76" s="334" t="n"/>
      <c r="T76" s="334" t="n"/>
      <c r="U76" s="334" t="n"/>
      <c r="V76" s="334" t="n"/>
      <c r="W76" s="334" t="n"/>
      <c r="X76" s="334" t="n"/>
      <c r="Y76" s="334" t="n"/>
      <c r="Z76" s="242">
        <f>IF(AND(G76&lt;&gt;"",R76&lt;&gt;"",V76&lt;&gt;"",W76&lt;&gt;""),"COMPLETADO","OBSERVADO")</f>
        <v/>
      </c>
      <c r="AA76" s="284" t="n"/>
    </row>
    <row r="77" ht="15.75" customHeight="1" s="195">
      <c r="A77" s="280" t="n"/>
      <c r="B77" s="280" t="n"/>
      <c r="C77" s="280" t="n"/>
      <c r="D77" s="280" t="n"/>
      <c r="E77" s="280" t="n"/>
      <c r="F77" s="280" t="n"/>
      <c r="G77" s="280" t="n"/>
      <c r="H77" s="280" t="n"/>
      <c r="I77" s="332">
        <f>IFERROR(VLOOKUP(TEXT(H77,"0"),IPRESS!$A$3:$B$212,2,0),"")</f>
        <v/>
      </c>
      <c r="J77" s="280" t="n"/>
      <c r="K77" s="332">
        <f>IFERROR(VLOOKUP(TEXT(O77,"0"),CONDUCTORES!$A$3:$G$54,7,0),"")</f>
        <v/>
      </c>
      <c r="L77" s="280" t="n"/>
      <c r="M77" s="280" t="n"/>
      <c r="N77" s="333">
        <f>IFERROR(IF(L77*M77=0,"",L77*M77),"")</f>
        <v/>
      </c>
      <c r="O77" s="280" t="n"/>
      <c r="P77" s="332">
        <f>IFERROR(VLOOKUP(TEXT(O77,"0"),CONDUCTORES!$A$3:$G$54,2,0),"")</f>
        <v/>
      </c>
      <c r="Q77" s="332">
        <f>IFERROR(VLOOKUP(TEXT(O77,"0"),CONDUCTORES!$A$3:$H$54,6,0),"")</f>
        <v/>
      </c>
      <c r="R77" s="280" t="n"/>
      <c r="S77" s="280" t="n"/>
      <c r="T77" s="280" t="n"/>
      <c r="U77" s="280" t="n"/>
      <c r="V77" s="280" t="n"/>
      <c r="W77" s="280" t="n"/>
      <c r="X77" s="280" t="n"/>
      <c r="Y77" s="280" t="n"/>
      <c r="Z77" s="236">
        <f>IF(AND(G77&lt;&gt;"",R77&lt;&gt;"",V77&lt;&gt;"",W77&lt;&gt;""),"COMPLETADO","OBSERVADO")</f>
        <v/>
      </c>
      <c r="AA77" s="284" t="n"/>
    </row>
    <row r="78" ht="15.75" customHeight="1" s="195">
      <c r="A78" s="334" t="n"/>
      <c r="B78" s="334" t="n"/>
      <c r="C78" s="334" t="n"/>
      <c r="D78" s="334" t="n"/>
      <c r="E78" s="334" t="n"/>
      <c r="F78" s="334" t="n"/>
      <c r="G78" s="334" t="n"/>
      <c r="H78" s="334" t="n"/>
      <c r="I78" s="332">
        <f>IFERROR(VLOOKUP(TEXT(H78,"0"),IPRESS!$A$3:$B$212,2,0),"")</f>
        <v/>
      </c>
      <c r="J78" s="334" t="n"/>
      <c r="K78" s="332">
        <f>IFERROR(VLOOKUP(TEXT(O78,"0"),CONDUCTORES!$A$3:$G$54,7,0),"")</f>
        <v/>
      </c>
      <c r="L78" s="334" t="n"/>
      <c r="M78" s="334" t="n"/>
      <c r="N78" s="333">
        <f>IFERROR(IF(L78*M78=0,"",L78*M78),"")</f>
        <v/>
      </c>
      <c r="O78" s="334" t="n"/>
      <c r="P78" s="332">
        <f>IFERROR(VLOOKUP(TEXT(O78,"0"),CONDUCTORES!$A$3:$G$54,2,0),"")</f>
        <v/>
      </c>
      <c r="Q78" s="332">
        <f>IFERROR(VLOOKUP(TEXT(O78,"0"),CONDUCTORES!$A$3:$H$54,6,0),"")</f>
        <v/>
      </c>
      <c r="R78" s="334" t="n"/>
      <c r="S78" s="334" t="n"/>
      <c r="T78" s="334" t="n"/>
      <c r="U78" s="334" t="n"/>
      <c r="V78" s="334" t="n"/>
      <c r="W78" s="334" t="n"/>
      <c r="X78" s="334" t="n"/>
      <c r="Y78" s="334" t="n"/>
      <c r="Z78" s="242">
        <f>IF(AND(G78&lt;&gt;"",R78&lt;&gt;"",V78&lt;&gt;"",W78&lt;&gt;""),"COMPLETADO","OBSERVADO")</f>
        <v/>
      </c>
      <c r="AA78" s="284" t="n"/>
    </row>
    <row r="79" ht="15.75" customHeight="1" s="195">
      <c r="A79" s="280" t="n"/>
      <c r="B79" s="280" t="n"/>
      <c r="C79" s="280" t="n"/>
      <c r="D79" s="280" t="n"/>
      <c r="E79" s="280" t="n"/>
      <c r="F79" s="280" t="n"/>
      <c r="G79" s="280" t="n"/>
      <c r="H79" s="280" t="n"/>
      <c r="I79" s="332">
        <f>IFERROR(VLOOKUP(TEXT(H79,"0"),IPRESS!$A$3:$B$212,2,0),"")</f>
        <v/>
      </c>
      <c r="J79" s="280" t="n"/>
      <c r="K79" s="332">
        <f>IFERROR(VLOOKUP(TEXT(O79,"0"),CONDUCTORES!$A$3:$G$54,7,0),"")</f>
        <v/>
      </c>
      <c r="L79" s="280" t="n"/>
      <c r="M79" s="280" t="n"/>
      <c r="N79" s="333">
        <f>IFERROR(IF(L79*M79=0,"",L79*M79),"")</f>
        <v/>
      </c>
      <c r="O79" s="280" t="n"/>
      <c r="P79" s="332">
        <f>IFERROR(VLOOKUP(TEXT(O79,"0"),CONDUCTORES!$A$3:$G$54,2,0),"")</f>
        <v/>
      </c>
      <c r="Q79" s="332">
        <f>IFERROR(VLOOKUP(TEXT(O79,"0"),CONDUCTORES!$A$3:$H$54,6,0),"")</f>
        <v/>
      </c>
      <c r="R79" s="280" t="n"/>
      <c r="S79" s="280" t="n"/>
      <c r="T79" s="280" t="n"/>
      <c r="U79" s="280" t="n"/>
      <c r="V79" s="280" t="n"/>
      <c r="W79" s="280" t="n"/>
      <c r="X79" s="280" t="n"/>
      <c r="Y79" s="280" t="n"/>
      <c r="Z79" s="236">
        <f>IF(AND(G79&lt;&gt;"",R79&lt;&gt;"",V79&lt;&gt;"",W79&lt;&gt;""),"COMPLETADO","OBSERVADO")</f>
        <v/>
      </c>
      <c r="AA79" s="284" t="n"/>
    </row>
    <row r="80" ht="15.75" customHeight="1" s="195">
      <c r="A80" s="334" t="n"/>
      <c r="B80" s="334" t="n"/>
      <c r="C80" s="334" t="n"/>
      <c r="D80" s="334" t="n"/>
      <c r="E80" s="334" t="n"/>
      <c r="F80" s="334" t="n"/>
      <c r="G80" s="334" t="n"/>
      <c r="H80" s="334" t="n"/>
      <c r="I80" s="332">
        <f>IFERROR(VLOOKUP(TEXT(H80,"0"),IPRESS!$A$3:$B$212,2,0),"")</f>
        <v/>
      </c>
      <c r="J80" s="334" t="n"/>
      <c r="K80" s="332">
        <f>IFERROR(VLOOKUP(TEXT(O80,"0"),CONDUCTORES!$A$3:$G$54,7,0),"")</f>
        <v/>
      </c>
      <c r="L80" s="334" t="n"/>
      <c r="M80" s="334" t="n"/>
      <c r="N80" s="333">
        <f>IFERROR(IF(L80*M80=0,"",L80*M80),"")</f>
        <v/>
      </c>
      <c r="O80" s="334" t="n"/>
      <c r="P80" s="332">
        <f>IFERROR(VLOOKUP(TEXT(O80,"0"),CONDUCTORES!$A$3:$G$54,2,0),"")</f>
        <v/>
      </c>
      <c r="Q80" s="332">
        <f>IFERROR(VLOOKUP(TEXT(O80,"0"),CONDUCTORES!$A$3:$H$54,6,0),"")</f>
        <v/>
      </c>
      <c r="R80" s="334" t="n"/>
      <c r="S80" s="334" t="n"/>
      <c r="T80" s="334" t="n"/>
      <c r="U80" s="334" t="n"/>
      <c r="V80" s="334" t="n"/>
      <c r="W80" s="334" t="n"/>
      <c r="X80" s="334" t="n"/>
      <c r="Y80" s="334" t="n"/>
      <c r="Z80" s="242">
        <f>IF(AND(G80&lt;&gt;"",R80&lt;&gt;"",V80&lt;&gt;"",W80&lt;&gt;""),"COMPLETADO","OBSERVADO")</f>
        <v/>
      </c>
      <c r="AA80" s="284" t="n"/>
    </row>
    <row r="81" ht="15.75" customHeight="1" s="195">
      <c r="A81" s="280" t="n"/>
      <c r="B81" s="280" t="n"/>
      <c r="C81" s="280" t="n"/>
      <c r="D81" s="280" t="n"/>
      <c r="E81" s="280" t="n"/>
      <c r="F81" s="280" t="n"/>
      <c r="G81" s="280" t="n"/>
      <c r="H81" s="280" t="n"/>
      <c r="I81" s="332">
        <f>IFERROR(VLOOKUP(TEXT(H81,"0"),IPRESS!$A$3:$B$212,2,0),"")</f>
        <v/>
      </c>
      <c r="J81" s="280" t="n"/>
      <c r="K81" s="332">
        <f>IFERROR(VLOOKUP(TEXT(O81,"0"),CONDUCTORES!$A$3:$G$54,7,0),"")</f>
        <v/>
      </c>
      <c r="L81" s="280" t="n"/>
      <c r="M81" s="280" t="n"/>
      <c r="N81" s="333">
        <f>IFERROR(IF(L81*M81=0,"",L81*M81),"")</f>
        <v/>
      </c>
      <c r="O81" s="280" t="n"/>
      <c r="P81" s="332">
        <f>IFERROR(VLOOKUP(TEXT(O81,"0"),CONDUCTORES!$A$3:$G$54,2,0),"")</f>
        <v/>
      </c>
      <c r="Q81" s="332">
        <f>IFERROR(VLOOKUP(TEXT(O81,"0"),CONDUCTORES!$A$3:$H$54,6,0),"")</f>
        <v/>
      </c>
      <c r="R81" s="280" t="n"/>
      <c r="S81" s="280" t="n"/>
      <c r="T81" s="280" t="n"/>
      <c r="U81" s="280" t="n"/>
      <c r="V81" s="280" t="n"/>
      <c r="W81" s="280" t="n"/>
      <c r="X81" s="280" t="n"/>
      <c r="Y81" s="280" t="n"/>
      <c r="Z81" s="236">
        <f>IF(AND(G81&lt;&gt;"",R81&lt;&gt;"",V81&lt;&gt;"",W81&lt;&gt;""),"COMPLETADO","OBSERVADO")</f>
        <v/>
      </c>
      <c r="AA81" s="284" t="n"/>
    </row>
    <row r="82" ht="15.75" customHeight="1" s="195">
      <c r="A82" s="334" t="n"/>
      <c r="B82" s="334" t="n"/>
      <c r="C82" s="334" t="n"/>
      <c r="D82" s="334" t="n"/>
      <c r="E82" s="334" t="n"/>
      <c r="F82" s="334" t="n"/>
      <c r="G82" s="334" t="n"/>
      <c r="H82" s="334" t="n"/>
      <c r="I82" s="332">
        <f>IFERROR(VLOOKUP(TEXT(H82,"0"),IPRESS!$A$3:$B$212,2,0),"")</f>
        <v/>
      </c>
      <c r="J82" s="334" t="n"/>
      <c r="K82" s="332">
        <f>IFERROR(VLOOKUP(TEXT(O82,"0"),CONDUCTORES!$A$3:$G$54,7,0),"")</f>
        <v/>
      </c>
      <c r="L82" s="334" t="n"/>
      <c r="M82" s="334" t="n"/>
      <c r="N82" s="333">
        <f>IFERROR(IF(L82*M82=0,"",L82*M82),"")</f>
        <v/>
      </c>
      <c r="O82" s="334" t="n"/>
      <c r="P82" s="332">
        <f>IFERROR(VLOOKUP(TEXT(O82,"0"),CONDUCTORES!$A$3:$G$54,2,0),"")</f>
        <v/>
      </c>
      <c r="Q82" s="332">
        <f>IFERROR(VLOOKUP(TEXT(O82,"0"),CONDUCTORES!$A$3:$H$54,6,0),"")</f>
        <v/>
      </c>
      <c r="R82" s="334" t="n"/>
      <c r="S82" s="334" t="n"/>
      <c r="T82" s="334" t="n"/>
      <c r="U82" s="334" t="n"/>
      <c r="V82" s="334" t="n"/>
      <c r="W82" s="334" t="n"/>
      <c r="X82" s="334" t="n"/>
      <c r="Y82" s="334" t="n"/>
      <c r="Z82" s="242">
        <f>IF(AND(G82&lt;&gt;"",R82&lt;&gt;"",V82&lt;&gt;"",W82&lt;&gt;""),"COMPLETADO","OBSERVADO")</f>
        <v/>
      </c>
      <c r="AA82" s="284" t="n"/>
    </row>
    <row r="83" ht="15.75" customHeight="1" s="195">
      <c r="A83" s="280" t="n"/>
      <c r="B83" s="280" t="n"/>
      <c r="C83" s="280" t="n"/>
      <c r="D83" s="280" t="n"/>
      <c r="E83" s="280" t="n"/>
      <c r="F83" s="280" t="n"/>
      <c r="G83" s="280" t="n"/>
      <c r="H83" s="280" t="n"/>
      <c r="I83" s="332">
        <f>IFERROR(VLOOKUP(TEXT(H83,"0"),IPRESS!$A$3:$B$212,2,0),"")</f>
        <v/>
      </c>
      <c r="J83" s="280" t="n"/>
      <c r="K83" s="332">
        <f>IFERROR(VLOOKUP(TEXT(O83,"0"),CONDUCTORES!$A$3:$G$54,7,0),"")</f>
        <v/>
      </c>
      <c r="L83" s="280" t="n"/>
      <c r="M83" s="280" t="n"/>
      <c r="N83" s="333">
        <f>IFERROR(IF(L83*M83=0,"",L83*M83),"")</f>
        <v/>
      </c>
      <c r="O83" s="280" t="n"/>
      <c r="P83" s="332">
        <f>IFERROR(VLOOKUP(TEXT(O83,"0"),CONDUCTORES!$A$3:$G$54,2,0),"")</f>
        <v/>
      </c>
      <c r="Q83" s="332">
        <f>IFERROR(VLOOKUP(TEXT(O83,"0"),CONDUCTORES!$A$3:$H$54,6,0),"")</f>
        <v/>
      </c>
      <c r="R83" s="280" t="n"/>
      <c r="S83" s="280" t="n"/>
      <c r="T83" s="280" t="n"/>
      <c r="U83" s="280" t="n"/>
      <c r="V83" s="280" t="n"/>
      <c r="W83" s="280" t="n"/>
      <c r="X83" s="280" t="n"/>
      <c r="Y83" s="280" t="n"/>
      <c r="Z83" s="236">
        <f>IF(AND(G83&lt;&gt;"",R83&lt;&gt;"",V83&lt;&gt;"",W83&lt;&gt;""),"COMPLETADO","OBSERVADO")</f>
        <v/>
      </c>
      <c r="AA83" s="284" t="n"/>
    </row>
    <row r="84" ht="15.75" customHeight="1" s="195">
      <c r="A84" s="334" t="n"/>
      <c r="B84" s="334" t="n"/>
      <c r="C84" s="334" t="n"/>
      <c r="D84" s="334" t="n"/>
      <c r="E84" s="334" t="n"/>
      <c r="F84" s="334" t="n"/>
      <c r="G84" s="334" t="n"/>
      <c r="H84" s="334" t="n"/>
      <c r="I84" s="332">
        <f>IFERROR(VLOOKUP(TEXT(H84,"0"),IPRESS!$A$3:$B$212,2,0),"")</f>
        <v/>
      </c>
      <c r="J84" s="334" t="n"/>
      <c r="K84" s="332">
        <f>IFERROR(VLOOKUP(TEXT(O84,"0"),CONDUCTORES!$A$3:$G$54,7,0),"")</f>
        <v/>
      </c>
      <c r="L84" s="334" t="n"/>
      <c r="M84" s="334" t="n"/>
      <c r="N84" s="333">
        <f>IFERROR(IF(L84*M84=0,"",L84*M84),"")</f>
        <v/>
      </c>
      <c r="O84" s="334" t="n"/>
      <c r="P84" s="332">
        <f>IFERROR(VLOOKUP(TEXT(O84,"0"),CONDUCTORES!$A$3:$G$54,2,0),"")</f>
        <v/>
      </c>
      <c r="Q84" s="332">
        <f>IFERROR(VLOOKUP(TEXT(O84,"0"),CONDUCTORES!$A$3:$H$54,6,0),"")</f>
        <v/>
      </c>
      <c r="R84" s="334" t="n"/>
      <c r="S84" s="334" t="n"/>
      <c r="T84" s="334" t="n"/>
      <c r="U84" s="334" t="n"/>
      <c r="V84" s="334" t="n"/>
      <c r="W84" s="334" t="n"/>
      <c r="X84" s="334" t="n"/>
      <c r="Y84" s="334" t="n"/>
      <c r="Z84" s="242">
        <f>IF(AND(G84&lt;&gt;"",R84&lt;&gt;"",V84&lt;&gt;"",W84&lt;&gt;""),"COMPLETADO","OBSERVADO")</f>
        <v/>
      </c>
      <c r="AA84" s="284" t="n"/>
    </row>
    <row r="85" ht="15.75" customHeight="1" s="195">
      <c r="A85" s="280" t="n"/>
      <c r="B85" s="280" t="n"/>
      <c r="C85" s="280" t="n"/>
      <c r="D85" s="280" t="n"/>
      <c r="E85" s="280" t="n"/>
      <c r="F85" s="280" t="n"/>
      <c r="G85" s="280" t="n"/>
      <c r="H85" s="280" t="n"/>
      <c r="I85" s="332">
        <f>IFERROR(VLOOKUP(TEXT(H85,"0"),IPRESS!$A$3:$B$212,2,0),"")</f>
        <v/>
      </c>
      <c r="J85" s="280" t="n"/>
      <c r="K85" s="332">
        <f>IFERROR(VLOOKUP(TEXT(O85,"0"),CONDUCTORES!$A$3:$G$54,7,0),"")</f>
        <v/>
      </c>
      <c r="L85" s="280" t="n"/>
      <c r="M85" s="280" t="n"/>
      <c r="N85" s="333">
        <f>IFERROR(IF(L85*M85=0,"",L85*M85),"")</f>
        <v/>
      </c>
      <c r="O85" s="280" t="n"/>
      <c r="P85" s="332">
        <f>IFERROR(VLOOKUP(TEXT(O85,"0"),CONDUCTORES!$A$3:$G$54,2,0),"")</f>
        <v/>
      </c>
      <c r="Q85" s="332">
        <f>IFERROR(VLOOKUP(TEXT(O85,"0"),CONDUCTORES!$A$3:$H$54,6,0),"")</f>
        <v/>
      </c>
      <c r="R85" s="280" t="n"/>
      <c r="S85" s="280" t="n"/>
      <c r="T85" s="280" t="n"/>
      <c r="U85" s="280" t="n"/>
      <c r="V85" s="280" t="n"/>
      <c r="W85" s="280" t="n"/>
      <c r="X85" s="280" t="n"/>
      <c r="Y85" s="280" t="n"/>
      <c r="Z85" s="236">
        <f>IF(AND(G85&lt;&gt;"",R85&lt;&gt;"",V85&lt;&gt;"",W85&lt;&gt;""),"COMPLETADO","OBSERVADO")</f>
        <v/>
      </c>
      <c r="AA85" s="284" t="n"/>
    </row>
    <row r="86" ht="15.75" customHeight="1" s="195">
      <c r="A86" s="334" t="n"/>
      <c r="B86" s="334" t="n"/>
      <c r="C86" s="334" t="n"/>
      <c r="D86" s="334" t="n"/>
      <c r="E86" s="334" t="n"/>
      <c r="F86" s="334" t="n"/>
      <c r="G86" s="334" t="n"/>
      <c r="H86" s="334" t="n"/>
      <c r="I86" s="332">
        <f>IFERROR(VLOOKUP(TEXT(H86,"0"),IPRESS!$A$3:$B$212,2,0),"")</f>
        <v/>
      </c>
      <c r="J86" s="334" t="n"/>
      <c r="K86" s="332">
        <f>IFERROR(VLOOKUP(TEXT(O86,"0"),CONDUCTORES!$A$3:$G$54,7,0),"")</f>
        <v/>
      </c>
      <c r="L86" s="334" t="n"/>
      <c r="M86" s="334" t="n"/>
      <c r="N86" s="333">
        <f>IFERROR(IF(L86*M86=0,"",L86*M86),"")</f>
        <v/>
      </c>
      <c r="O86" s="334" t="n"/>
      <c r="P86" s="332">
        <f>IFERROR(VLOOKUP(TEXT(O86,"0"),CONDUCTORES!$A$3:$G$54,2,0),"")</f>
        <v/>
      </c>
      <c r="Q86" s="332">
        <f>IFERROR(VLOOKUP(TEXT(O86,"0"),CONDUCTORES!$A$3:$H$54,6,0),"")</f>
        <v/>
      </c>
      <c r="R86" s="334" t="n"/>
      <c r="S86" s="334" t="n"/>
      <c r="T86" s="334" t="n"/>
      <c r="U86" s="334" t="n"/>
      <c r="V86" s="334" t="n"/>
      <c r="W86" s="334" t="n"/>
      <c r="X86" s="334" t="n"/>
      <c r="Y86" s="334" t="n"/>
      <c r="Z86" s="242">
        <f>IF(AND(G86&lt;&gt;"",R86&lt;&gt;"",V86&lt;&gt;"",W86&lt;&gt;""),"COMPLETADO","OBSERVADO")</f>
        <v/>
      </c>
      <c r="AA86" s="284" t="n"/>
    </row>
    <row r="87" ht="15.75" customHeight="1" s="195">
      <c r="A87" s="280" t="n"/>
      <c r="B87" s="280" t="n"/>
      <c r="C87" s="280" t="n"/>
      <c r="D87" s="280" t="n"/>
      <c r="E87" s="280" t="n"/>
      <c r="F87" s="280" t="n"/>
      <c r="G87" s="280" t="n"/>
      <c r="H87" s="280" t="n"/>
      <c r="I87" s="332">
        <f>IFERROR(VLOOKUP(TEXT(H87,"0"),IPRESS!$A$3:$B$212,2,0),"")</f>
        <v/>
      </c>
      <c r="J87" s="280" t="n"/>
      <c r="K87" s="332">
        <f>IFERROR(VLOOKUP(TEXT(O87,"0"),CONDUCTORES!$A$3:$G$54,7,0),"")</f>
        <v/>
      </c>
      <c r="L87" s="280" t="n"/>
      <c r="M87" s="280" t="n"/>
      <c r="N87" s="333">
        <f>IFERROR(IF(L87*M87=0,"",L87*M87),"")</f>
        <v/>
      </c>
      <c r="O87" s="280" t="n"/>
      <c r="P87" s="332">
        <f>IFERROR(VLOOKUP(TEXT(O87,"0"),CONDUCTORES!$A$3:$G$54,2,0),"")</f>
        <v/>
      </c>
      <c r="Q87" s="332">
        <f>IFERROR(VLOOKUP(TEXT(O87,"0"),CONDUCTORES!$A$3:$H$54,6,0),"")</f>
        <v/>
      </c>
      <c r="R87" s="280" t="n"/>
      <c r="S87" s="280" t="n"/>
      <c r="T87" s="280" t="n"/>
      <c r="U87" s="280" t="n"/>
      <c r="V87" s="280" t="n"/>
      <c r="W87" s="280" t="n"/>
      <c r="X87" s="280" t="n"/>
      <c r="Y87" s="280" t="n"/>
      <c r="Z87" s="236">
        <f>IF(AND(G87&lt;&gt;"",R87&lt;&gt;"",V87&lt;&gt;"",W87&lt;&gt;""),"COMPLETADO","OBSERVADO")</f>
        <v/>
      </c>
      <c r="AA87" s="284" t="n"/>
    </row>
    <row r="88" ht="15.75" customHeight="1" s="195">
      <c r="A88" s="334" t="n"/>
      <c r="B88" s="334" t="n"/>
      <c r="C88" s="334" t="n"/>
      <c r="D88" s="334" t="n"/>
      <c r="E88" s="334" t="n"/>
      <c r="F88" s="334" t="n"/>
      <c r="G88" s="334" t="n"/>
      <c r="H88" s="334" t="n"/>
      <c r="I88" s="332">
        <f>IFERROR(VLOOKUP(TEXT(H88,"0"),IPRESS!$A$3:$B$212,2,0),"")</f>
        <v/>
      </c>
      <c r="J88" s="334" t="n"/>
      <c r="K88" s="332">
        <f>IFERROR(VLOOKUP(TEXT(O88,"0"),CONDUCTORES!$A$3:$G$54,7,0),"")</f>
        <v/>
      </c>
      <c r="L88" s="334" t="n"/>
      <c r="M88" s="334" t="n"/>
      <c r="N88" s="333">
        <f>IFERROR(IF(L88*M88=0,"",L88*M88),"")</f>
        <v/>
      </c>
      <c r="O88" s="334" t="n"/>
      <c r="P88" s="332">
        <f>IFERROR(VLOOKUP(TEXT(O88,"0"),CONDUCTORES!$A$3:$G$54,2,0),"")</f>
        <v/>
      </c>
      <c r="Q88" s="332">
        <f>IFERROR(VLOOKUP(TEXT(O88,"0"),CONDUCTORES!$A$3:$H$54,6,0),"")</f>
        <v/>
      </c>
      <c r="R88" s="334" t="n"/>
      <c r="S88" s="334" t="n"/>
      <c r="T88" s="334" t="n"/>
      <c r="U88" s="334" t="n"/>
      <c r="V88" s="334" t="n"/>
      <c r="W88" s="334" t="n"/>
      <c r="X88" s="334" t="n"/>
      <c r="Y88" s="334" t="n"/>
      <c r="Z88" s="242">
        <f>IF(AND(G88&lt;&gt;"",R88&lt;&gt;"",V88&lt;&gt;"",W88&lt;&gt;""),"COMPLETADO","OBSERVADO")</f>
        <v/>
      </c>
      <c r="AA88" s="284" t="n"/>
    </row>
    <row r="89" ht="15.75" customHeight="1" s="195">
      <c r="A89" s="280" t="n"/>
      <c r="B89" s="280" t="n"/>
      <c r="C89" s="280" t="n"/>
      <c r="D89" s="280" t="n"/>
      <c r="E89" s="280" t="n"/>
      <c r="F89" s="280" t="n"/>
      <c r="G89" s="280" t="n"/>
      <c r="H89" s="280" t="n"/>
      <c r="I89" s="332">
        <f>IFERROR(VLOOKUP(TEXT(H89,"0"),IPRESS!$A$3:$B$212,2,0),"")</f>
        <v/>
      </c>
      <c r="J89" s="280" t="n"/>
      <c r="K89" s="332">
        <f>IFERROR(VLOOKUP(TEXT(O89,"0"),CONDUCTORES!$A$3:$G$54,7,0),"")</f>
        <v/>
      </c>
      <c r="L89" s="280" t="n"/>
      <c r="M89" s="280" t="n"/>
      <c r="N89" s="333">
        <f>IFERROR(IF(L89*M89=0,"",L89*M89),"")</f>
        <v/>
      </c>
      <c r="O89" s="280" t="n"/>
      <c r="P89" s="332">
        <f>IFERROR(VLOOKUP(TEXT(O89,"0"),CONDUCTORES!$A$3:$G$54,2,0),"")</f>
        <v/>
      </c>
      <c r="Q89" s="332">
        <f>IFERROR(VLOOKUP(TEXT(O89,"0"),CONDUCTORES!$A$3:$H$54,6,0),"")</f>
        <v/>
      </c>
      <c r="R89" s="280" t="n"/>
      <c r="S89" s="280" t="n"/>
      <c r="T89" s="280" t="n"/>
      <c r="U89" s="280" t="n"/>
      <c r="V89" s="280" t="n"/>
      <c r="W89" s="280" t="n"/>
      <c r="X89" s="280" t="n"/>
      <c r="Y89" s="280" t="n"/>
      <c r="Z89" s="236">
        <f>IF(AND(G89&lt;&gt;"",R89&lt;&gt;"",V89&lt;&gt;"",W89&lt;&gt;""),"COMPLETADO","OBSERVADO")</f>
        <v/>
      </c>
      <c r="AA89" s="284" t="n"/>
    </row>
    <row r="90" ht="15.75" customHeight="1" s="195">
      <c r="A90" s="334" t="n"/>
      <c r="B90" s="334" t="n"/>
      <c r="C90" s="334" t="n"/>
      <c r="D90" s="334" t="n"/>
      <c r="E90" s="334" t="n"/>
      <c r="F90" s="334" t="n"/>
      <c r="G90" s="334" t="n"/>
      <c r="H90" s="334" t="n"/>
      <c r="I90" s="332">
        <f>IFERROR(VLOOKUP(TEXT(H90,"0"),IPRESS!$A$3:$B$212,2,0),"")</f>
        <v/>
      </c>
      <c r="J90" s="334" t="n"/>
      <c r="K90" s="332">
        <f>IFERROR(VLOOKUP(TEXT(O90,"0"),CONDUCTORES!$A$3:$G$54,7,0),"")</f>
        <v/>
      </c>
      <c r="L90" s="334" t="n"/>
      <c r="M90" s="334" t="n"/>
      <c r="N90" s="333">
        <f>IFERROR(IF(L90*M90=0,"",L90*M90),"")</f>
        <v/>
      </c>
      <c r="O90" s="334" t="n"/>
      <c r="P90" s="332">
        <f>IFERROR(VLOOKUP(TEXT(O90,"0"),CONDUCTORES!$A$3:$G$54,2,0),"")</f>
        <v/>
      </c>
      <c r="Q90" s="332">
        <f>IFERROR(VLOOKUP(TEXT(O90,"0"),CONDUCTORES!$A$3:$H$54,6,0),"")</f>
        <v/>
      </c>
      <c r="R90" s="334" t="n"/>
      <c r="S90" s="334" t="n"/>
      <c r="T90" s="334" t="n"/>
      <c r="U90" s="334" t="n"/>
      <c r="V90" s="334" t="n"/>
      <c r="W90" s="334" t="n"/>
      <c r="X90" s="334" t="n"/>
      <c r="Y90" s="334" t="n"/>
      <c r="Z90" s="242">
        <f>IF(AND(G90&lt;&gt;"",R90&lt;&gt;"",V90&lt;&gt;"",W90&lt;&gt;""),"COMPLETADO","OBSERVADO")</f>
        <v/>
      </c>
      <c r="AA90" s="284" t="n"/>
    </row>
    <row r="91" ht="15.75" customHeight="1" s="195">
      <c r="A91" s="280" t="n"/>
      <c r="B91" s="280" t="n"/>
      <c r="C91" s="280" t="n"/>
      <c r="D91" s="280" t="n"/>
      <c r="E91" s="280" t="n"/>
      <c r="F91" s="280" t="n"/>
      <c r="G91" s="280" t="n"/>
      <c r="H91" s="280" t="n"/>
      <c r="I91" s="332">
        <f>IFERROR(VLOOKUP(TEXT(H91,"0"),IPRESS!$A$3:$B$212,2,0),"")</f>
        <v/>
      </c>
      <c r="J91" s="280" t="n"/>
      <c r="K91" s="332">
        <f>IFERROR(VLOOKUP(TEXT(O91,"0"),CONDUCTORES!$A$3:$G$54,7,0),"")</f>
        <v/>
      </c>
      <c r="L91" s="280" t="n"/>
      <c r="M91" s="280" t="n"/>
      <c r="N91" s="333">
        <f>IFERROR(IF(L91*M91=0,"",L91*M91),"")</f>
        <v/>
      </c>
      <c r="O91" s="280" t="n"/>
      <c r="P91" s="332">
        <f>IFERROR(VLOOKUP(TEXT(O91,"0"),CONDUCTORES!$A$3:$G$54,2,0),"")</f>
        <v/>
      </c>
      <c r="Q91" s="332">
        <f>IFERROR(VLOOKUP(TEXT(O91,"0"),CONDUCTORES!$A$3:$H$54,6,0),"")</f>
        <v/>
      </c>
      <c r="R91" s="280" t="n"/>
      <c r="S91" s="280" t="n"/>
      <c r="T91" s="280" t="n"/>
      <c r="U91" s="280" t="n"/>
      <c r="V91" s="280" t="n"/>
      <c r="W91" s="280" t="n"/>
      <c r="X91" s="280" t="n"/>
      <c r="Y91" s="280" t="n"/>
      <c r="Z91" s="236">
        <f>IF(AND(G91&lt;&gt;"",R91&lt;&gt;"",V91&lt;&gt;"",W91&lt;&gt;""),"COMPLETADO","OBSERVADO")</f>
        <v/>
      </c>
      <c r="AA91" s="284" t="n"/>
    </row>
    <row r="92" ht="15.75" customHeight="1" s="195">
      <c r="A92" s="334" t="n"/>
      <c r="B92" s="334" t="n"/>
      <c r="C92" s="334" t="n"/>
      <c r="D92" s="334" t="n"/>
      <c r="E92" s="334" t="n"/>
      <c r="F92" s="334" t="n"/>
      <c r="G92" s="334" t="n"/>
      <c r="H92" s="334" t="n"/>
      <c r="I92" s="332">
        <f>IFERROR(VLOOKUP(TEXT(H92,"0"),IPRESS!$A$3:$B$212,2,0),"")</f>
        <v/>
      </c>
      <c r="J92" s="334" t="n"/>
      <c r="K92" s="332">
        <f>IFERROR(VLOOKUP(TEXT(O92,"0"),CONDUCTORES!$A$3:$G$54,7,0),"")</f>
        <v/>
      </c>
      <c r="L92" s="334" t="n"/>
      <c r="M92" s="334" t="n"/>
      <c r="N92" s="333">
        <f>IFERROR(IF(L92*M92=0,"",L92*M92),"")</f>
        <v/>
      </c>
      <c r="O92" s="334" t="n"/>
      <c r="P92" s="332">
        <f>IFERROR(VLOOKUP(TEXT(O92,"0"),CONDUCTORES!$A$3:$G$54,2,0),"")</f>
        <v/>
      </c>
      <c r="Q92" s="332">
        <f>IFERROR(VLOOKUP(TEXT(O92,"0"),CONDUCTORES!$A$3:$H$54,6,0),"")</f>
        <v/>
      </c>
      <c r="R92" s="334" t="n"/>
      <c r="S92" s="334" t="n"/>
      <c r="T92" s="334" t="n"/>
      <c r="U92" s="334" t="n"/>
      <c r="V92" s="334" t="n"/>
      <c r="W92" s="334" t="n"/>
      <c r="X92" s="334" t="n"/>
      <c r="Y92" s="334" t="n"/>
      <c r="Z92" s="242">
        <f>IF(AND(G92&lt;&gt;"",R92&lt;&gt;"",V92&lt;&gt;"",W92&lt;&gt;""),"COMPLETADO","OBSERVADO")</f>
        <v/>
      </c>
      <c r="AA92" s="284" t="n"/>
    </row>
    <row r="93" ht="15.75" customHeight="1" s="195">
      <c r="A93" s="280" t="n"/>
      <c r="B93" s="280" t="n"/>
      <c r="C93" s="280" t="n"/>
      <c r="D93" s="280" t="n"/>
      <c r="E93" s="280" t="n"/>
      <c r="F93" s="280" t="n"/>
      <c r="G93" s="280" t="n"/>
      <c r="H93" s="280" t="n"/>
      <c r="I93" s="332">
        <f>IFERROR(VLOOKUP(TEXT(H93,"0"),IPRESS!$A$3:$B$212,2,0),"")</f>
        <v/>
      </c>
      <c r="J93" s="280" t="n"/>
      <c r="K93" s="332">
        <f>IFERROR(VLOOKUP(TEXT(O93,"0"),CONDUCTORES!$A$3:$G$54,7,0),"")</f>
        <v/>
      </c>
      <c r="L93" s="280" t="n"/>
      <c r="M93" s="280" t="n"/>
      <c r="N93" s="333">
        <f>IFERROR(IF(L93*M93=0,"",L93*M93),"")</f>
        <v/>
      </c>
      <c r="O93" s="280" t="n"/>
      <c r="P93" s="332">
        <f>IFERROR(VLOOKUP(TEXT(O93,"0"),CONDUCTORES!$A$3:$G$54,2,0),"")</f>
        <v/>
      </c>
      <c r="Q93" s="332">
        <f>IFERROR(VLOOKUP(TEXT(O93,"0"),CONDUCTORES!$A$3:$H$54,6,0),"")</f>
        <v/>
      </c>
      <c r="R93" s="280" t="n"/>
      <c r="S93" s="280" t="n"/>
      <c r="T93" s="280" t="n"/>
      <c r="U93" s="280" t="n"/>
      <c r="V93" s="280" t="n"/>
      <c r="W93" s="280" t="n"/>
      <c r="X93" s="280" t="n"/>
      <c r="Y93" s="280" t="n"/>
      <c r="Z93" s="236">
        <f>IF(AND(G93&lt;&gt;"",R93&lt;&gt;"",V93&lt;&gt;"",W93&lt;&gt;""),"COMPLETADO","OBSERVADO")</f>
        <v/>
      </c>
      <c r="AA93" s="284" t="n"/>
    </row>
    <row r="94" ht="15.75" customHeight="1" s="195">
      <c r="A94" s="334" t="n"/>
      <c r="B94" s="334" t="n"/>
      <c r="C94" s="334" t="n"/>
      <c r="D94" s="334" t="n"/>
      <c r="E94" s="334" t="n"/>
      <c r="F94" s="334" t="n"/>
      <c r="G94" s="334" t="n"/>
      <c r="H94" s="334" t="n"/>
      <c r="I94" s="332">
        <f>IFERROR(VLOOKUP(TEXT(H94,"0"),IPRESS!$A$3:$B$212,2,0),"")</f>
        <v/>
      </c>
      <c r="J94" s="334" t="n"/>
      <c r="K94" s="332">
        <f>IFERROR(VLOOKUP(TEXT(O94,"0"),CONDUCTORES!$A$3:$G$54,7,0),"")</f>
        <v/>
      </c>
      <c r="L94" s="334" t="n"/>
      <c r="M94" s="334" t="n"/>
      <c r="N94" s="333">
        <f>IFERROR(IF(L94*M94=0,"",L94*M94),"")</f>
        <v/>
      </c>
      <c r="O94" s="334" t="n"/>
      <c r="P94" s="332">
        <f>IFERROR(VLOOKUP(TEXT(O94,"0"),CONDUCTORES!$A$3:$G$54,2,0),"")</f>
        <v/>
      </c>
      <c r="Q94" s="332">
        <f>IFERROR(VLOOKUP(TEXT(O94,"0"),CONDUCTORES!$A$3:$H$54,6,0),"")</f>
        <v/>
      </c>
      <c r="R94" s="334" t="n"/>
      <c r="S94" s="334" t="n"/>
      <c r="T94" s="334" t="n"/>
      <c r="U94" s="334" t="n"/>
      <c r="V94" s="334" t="n"/>
      <c r="W94" s="334" t="n"/>
      <c r="X94" s="334" t="n"/>
      <c r="Y94" s="334" t="n"/>
      <c r="Z94" s="242">
        <f>IF(AND(G94&lt;&gt;"",R94&lt;&gt;"",V94&lt;&gt;"",W94&lt;&gt;""),"COMPLETADO","OBSERVADO")</f>
        <v/>
      </c>
      <c r="AA94" s="284" t="n"/>
    </row>
    <row r="95" ht="15.75" customHeight="1" s="195">
      <c r="A95" s="280" t="n"/>
      <c r="B95" s="280" t="n"/>
      <c r="C95" s="280" t="n"/>
      <c r="D95" s="280" t="n"/>
      <c r="E95" s="280" t="n"/>
      <c r="F95" s="280" t="n"/>
      <c r="G95" s="280" t="n"/>
      <c r="H95" s="280" t="n"/>
      <c r="I95" s="332">
        <f>IFERROR(VLOOKUP(TEXT(H95,"0"),IPRESS!$A$3:$B$212,2,0),"")</f>
        <v/>
      </c>
      <c r="J95" s="280" t="n"/>
      <c r="K95" s="332">
        <f>IFERROR(VLOOKUP(TEXT(O95,"0"),CONDUCTORES!$A$3:$G$54,7,0),"")</f>
        <v/>
      </c>
      <c r="L95" s="280" t="n"/>
      <c r="M95" s="280" t="n"/>
      <c r="N95" s="333">
        <f>IFERROR(IF(L95*M95=0,"",L95*M95),"")</f>
        <v/>
      </c>
      <c r="O95" s="280" t="n"/>
      <c r="P95" s="332">
        <f>IFERROR(VLOOKUP(TEXT(O95,"0"),CONDUCTORES!$A$3:$G$54,2,0),"")</f>
        <v/>
      </c>
      <c r="Q95" s="332">
        <f>IFERROR(VLOOKUP(TEXT(O95,"0"),CONDUCTORES!$A$3:$H$54,6,0),"")</f>
        <v/>
      </c>
      <c r="R95" s="280" t="n"/>
      <c r="S95" s="280" t="n"/>
      <c r="T95" s="280" t="n"/>
      <c r="U95" s="280" t="n"/>
      <c r="V95" s="280" t="n"/>
      <c r="W95" s="280" t="n"/>
      <c r="X95" s="280" t="n"/>
      <c r="Y95" s="280" t="n"/>
      <c r="Z95" s="236">
        <f>IF(AND(G95&lt;&gt;"",R95&lt;&gt;"",V95&lt;&gt;"",W95&lt;&gt;""),"COMPLETADO","OBSERVADO")</f>
        <v/>
      </c>
      <c r="AA95" s="284" t="n"/>
    </row>
    <row r="96" ht="15.75" customHeight="1" s="195">
      <c r="A96" s="334" t="n"/>
      <c r="B96" s="334" t="n"/>
      <c r="C96" s="334" t="n"/>
      <c r="D96" s="334" t="n"/>
      <c r="E96" s="334" t="n"/>
      <c r="F96" s="334" t="n"/>
      <c r="G96" s="334" t="n"/>
      <c r="H96" s="334" t="n"/>
      <c r="I96" s="332">
        <f>IFERROR(VLOOKUP(TEXT(H96,"0"),IPRESS!$A$3:$B$212,2,0),"")</f>
        <v/>
      </c>
      <c r="J96" s="334" t="n"/>
      <c r="K96" s="332">
        <f>IFERROR(VLOOKUP(TEXT(O96,"0"),CONDUCTORES!$A$3:$G$54,7,0),"")</f>
        <v/>
      </c>
      <c r="L96" s="334" t="n"/>
      <c r="M96" s="334" t="n"/>
      <c r="N96" s="333">
        <f>IFERROR(IF(L96*M96=0,"",L96*M96),"")</f>
        <v/>
      </c>
      <c r="O96" s="334" t="n"/>
      <c r="P96" s="332">
        <f>IFERROR(VLOOKUP(TEXT(O96,"0"),CONDUCTORES!$A$3:$G$54,2,0),"")</f>
        <v/>
      </c>
      <c r="Q96" s="332">
        <f>IFERROR(VLOOKUP(TEXT(O96,"0"),CONDUCTORES!$A$3:$H$54,6,0),"")</f>
        <v/>
      </c>
      <c r="R96" s="334" t="n"/>
      <c r="S96" s="334" t="n"/>
      <c r="T96" s="334" t="n"/>
      <c r="U96" s="334" t="n"/>
      <c r="V96" s="334" t="n"/>
      <c r="W96" s="334" t="n"/>
      <c r="X96" s="334" t="n"/>
      <c r="Y96" s="334" t="n"/>
      <c r="Z96" s="242">
        <f>IF(AND(G96&lt;&gt;"",R96&lt;&gt;"",V96&lt;&gt;"",W96&lt;&gt;""),"COMPLETADO","OBSERVADO")</f>
        <v/>
      </c>
      <c r="AA96" s="284" t="n"/>
    </row>
    <row r="97" ht="15.75" customHeight="1" s="195">
      <c r="A97" s="280" t="n"/>
      <c r="B97" s="280" t="n"/>
      <c r="C97" s="280" t="n"/>
      <c r="D97" s="280" t="n"/>
      <c r="E97" s="280" t="n"/>
      <c r="F97" s="280" t="n"/>
      <c r="G97" s="280" t="n"/>
      <c r="H97" s="280" t="n"/>
      <c r="I97" s="332">
        <f>IFERROR(VLOOKUP(TEXT(H97,"0"),IPRESS!$A$3:$B$212,2,0),"")</f>
        <v/>
      </c>
      <c r="J97" s="280" t="n"/>
      <c r="K97" s="332">
        <f>IFERROR(VLOOKUP(TEXT(O97,"0"),CONDUCTORES!$A$3:$G$54,7,0),"")</f>
        <v/>
      </c>
      <c r="L97" s="280" t="n"/>
      <c r="M97" s="280" t="n"/>
      <c r="N97" s="333">
        <f>IFERROR(IF(L97*M97=0,"",L97*M97),"")</f>
        <v/>
      </c>
      <c r="O97" s="280" t="n"/>
      <c r="P97" s="332">
        <f>IFERROR(VLOOKUP(TEXT(O97,"0"),CONDUCTORES!$A$3:$G$54,2,0),"")</f>
        <v/>
      </c>
      <c r="Q97" s="332">
        <f>IFERROR(VLOOKUP(TEXT(O97,"0"),CONDUCTORES!$A$3:$H$54,6,0),"")</f>
        <v/>
      </c>
      <c r="R97" s="280" t="n"/>
      <c r="S97" s="280" t="n"/>
      <c r="T97" s="280" t="n"/>
      <c r="U97" s="280" t="n"/>
      <c r="V97" s="280" t="n"/>
      <c r="W97" s="280" t="n"/>
      <c r="X97" s="280" t="n"/>
      <c r="Y97" s="280" t="n"/>
      <c r="Z97" s="236">
        <f>IF(AND(G97&lt;&gt;"",R97&lt;&gt;"",V97&lt;&gt;"",W97&lt;&gt;""),"COMPLETADO","OBSERVADO")</f>
        <v/>
      </c>
      <c r="AA97" s="284" t="n"/>
    </row>
    <row r="98" ht="15.75" customHeight="1" s="195">
      <c r="A98" s="334" t="n"/>
      <c r="B98" s="334" t="n"/>
      <c r="C98" s="334" t="n"/>
      <c r="D98" s="334" t="n"/>
      <c r="E98" s="334" t="n"/>
      <c r="F98" s="334" t="n"/>
      <c r="G98" s="334" t="n"/>
      <c r="H98" s="334" t="n"/>
      <c r="I98" s="332">
        <f>IFERROR(VLOOKUP(TEXT(H98,"0"),IPRESS!$A$3:$B$212,2,0),"")</f>
        <v/>
      </c>
      <c r="J98" s="334" t="n"/>
      <c r="K98" s="332">
        <f>IFERROR(VLOOKUP(TEXT(O98,"0"),CONDUCTORES!$A$3:$G$54,7,0),"")</f>
        <v/>
      </c>
      <c r="L98" s="334" t="n"/>
      <c r="M98" s="334" t="n"/>
      <c r="N98" s="333">
        <f>IFERROR(IF(L98*M98=0,"",L98*M98),"")</f>
        <v/>
      </c>
      <c r="O98" s="334" t="n"/>
      <c r="P98" s="332">
        <f>IFERROR(VLOOKUP(TEXT(O98,"0"),CONDUCTORES!$A$3:$G$54,2,0),"")</f>
        <v/>
      </c>
      <c r="Q98" s="332">
        <f>IFERROR(VLOOKUP(TEXT(O98,"0"),CONDUCTORES!$A$3:$H$54,6,0),"")</f>
        <v/>
      </c>
      <c r="R98" s="334" t="n"/>
      <c r="S98" s="334" t="n"/>
      <c r="T98" s="334" t="n"/>
      <c r="U98" s="334" t="n"/>
      <c r="V98" s="334" t="n"/>
      <c r="W98" s="334" t="n"/>
      <c r="X98" s="334" t="n"/>
      <c r="Y98" s="334" t="n"/>
      <c r="Z98" s="242">
        <f>IF(AND(G98&lt;&gt;"",R98&lt;&gt;"",V98&lt;&gt;"",W98&lt;&gt;""),"COMPLETADO","OBSERVADO")</f>
        <v/>
      </c>
      <c r="AA98" s="284" t="n"/>
    </row>
    <row r="99" ht="15.75" customHeight="1" s="195">
      <c r="A99" s="280" t="n"/>
      <c r="B99" s="280" t="n"/>
      <c r="C99" s="280" t="n"/>
      <c r="D99" s="280" t="n"/>
      <c r="E99" s="280" t="n"/>
      <c r="F99" s="280" t="n"/>
      <c r="G99" s="280" t="n"/>
      <c r="H99" s="280" t="n"/>
      <c r="I99" s="332">
        <f>IFERROR(VLOOKUP(TEXT(H99,"0"),IPRESS!$A$3:$B$212,2,0),"")</f>
        <v/>
      </c>
      <c r="J99" s="280" t="n"/>
      <c r="K99" s="332">
        <f>IFERROR(VLOOKUP(TEXT(O99,"0"),CONDUCTORES!$A$3:$G$54,7,0),"")</f>
        <v/>
      </c>
      <c r="L99" s="280" t="n"/>
      <c r="M99" s="280" t="n"/>
      <c r="N99" s="333">
        <f>IFERROR(IF(L99*M99=0,"",L99*M99),"")</f>
        <v/>
      </c>
      <c r="O99" s="280" t="n"/>
      <c r="P99" s="332">
        <f>IFERROR(VLOOKUP(TEXT(O99,"0"),CONDUCTORES!$A$3:$G$54,2,0),"")</f>
        <v/>
      </c>
      <c r="Q99" s="332">
        <f>IFERROR(VLOOKUP(TEXT(O99,"0"),CONDUCTORES!$A$3:$H$54,6,0),"")</f>
        <v/>
      </c>
      <c r="R99" s="280" t="n"/>
      <c r="S99" s="280" t="n"/>
      <c r="T99" s="280" t="n"/>
      <c r="U99" s="280" t="n"/>
      <c r="V99" s="280" t="n"/>
      <c r="W99" s="280" t="n"/>
      <c r="X99" s="280" t="n"/>
      <c r="Y99" s="280" t="n"/>
      <c r="Z99" s="236">
        <f>IF(AND(G99&lt;&gt;"",R99&lt;&gt;"",V99&lt;&gt;"",W99&lt;&gt;""),"COMPLETADO","OBSERVADO")</f>
        <v/>
      </c>
      <c r="AA99" s="284" t="n"/>
    </row>
    <row r="100" ht="15.75" customHeight="1" s="195">
      <c r="A100" s="334" t="n"/>
      <c r="B100" s="334" t="n"/>
      <c r="C100" s="334" t="n"/>
      <c r="D100" s="334" t="n"/>
      <c r="E100" s="334" t="n"/>
      <c r="F100" s="334" t="n"/>
      <c r="G100" s="334" t="n"/>
      <c r="H100" s="334" t="n"/>
      <c r="I100" s="332">
        <f>IFERROR(VLOOKUP(TEXT(H100,"0"),IPRESS!$A$3:$B$212,2,0),"")</f>
        <v/>
      </c>
      <c r="J100" s="334" t="n"/>
      <c r="K100" s="332">
        <f>IFERROR(VLOOKUP(TEXT(O100,"0"),CONDUCTORES!$A$3:$G$54,7,0),"")</f>
        <v/>
      </c>
      <c r="L100" s="334" t="n"/>
      <c r="M100" s="334" t="n"/>
      <c r="N100" s="333">
        <f>IFERROR(IF(L100*M100=0,"",L100*M100),"")</f>
        <v/>
      </c>
      <c r="O100" s="334" t="n"/>
      <c r="P100" s="332">
        <f>IFERROR(VLOOKUP(TEXT(O100,"0"),CONDUCTORES!$A$3:$G$54,2,0),"")</f>
        <v/>
      </c>
      <c r="Q100" s="332">
        <f>IFERROR(VLOOKUP(TEXT(O100,"0"),CONDUCTORES!$A$3:$H$54,6,0),"")</f>
        <v/>
      </c>
      <c r="R100" s="334" t="n"/>
      <c r="S100" s="334" t="n"/>
      <c r="T100" s="334" t="n"/>
      <c r="U100" s="334" t="n"/>
      <c r="V100" s="334" t="n"/>
      <c r="W100" s="334" t="n"/>
      <c r="X100" s="334" t="n"/>
      <c r="Y100" s="334" t="n"/>
      <c r="Z100" s="242">
        <f>IF(AND(G100&lt;&gt;"",R100&lt;&gt;"",V100&lt;&gt;"",W100&lt;&gt;""),"COMPLETADO","OBSERVADO")</f>
        <v/>
      </c>
      <c r="AA100" s="284" t="n"/>
    </row>
    <row r="101" ht="15.75" customHeight="1" s="195">
      <c r="A101" s="280" t="n"/>
      <c r="B101" s="280" t="n"/>
      <c r="C101" s="280" t="n"/>
      <c r="D101" s="280" t="n"/>
      <c r="E101" s="280" t="n"/>
      <c r="F101" s="280" t="n"/>
      <c r="G101" s="280" t="n"/>
      <c r="H101" s="280" t="n"/>
      <c r="I101" s="332">
        <f>IFERROR(VLOOKUP(TEXT(H101,"0"),IPRESS!$A$3:$B$212,2,0),"")</f>
        <v/>
      </c>
      <c r="J101" s="280" t="n"/>
      <c r="K101" s="332">
        <f>IFERROR(VLOOKUP(TEXT(O101,"0"),CONDUCTORES!$A$3:$G$54,7,0),"")</f>
        <v/>
      </c>
      <c r="L101" s="280" t="n"/>
      <c r="M101" s="280" t="n"/>
      <c r="N101" s="333">
        <f>IFERROR(IF(L101*M101=0,"",L101*M101),"")</f>
        <v/>
      </c>
      <c r="O101" s="280" t="n"/>
      <c r="P101" s="332">
        <f>IFERROR(VLOOKUP(TEXT(O101,"0"),CONDUCTORES!$A$3:$G$54,2,0),"")</f>
        <v/>
      </c>
      <c r="Q101" s="332">
        <f>IFERROR(VLOOKUP(TEXT(O101,"0"),CONDUCTORES!$A$3:$H$54,6,0),"")</f>
        <v/>
      </c>
      <c r="R101" s="280" t="n"/>
      <c r="S101" s="280" t="n"/>
      <c r="T101" s="280" t="n"/>
      <c r="U101" s="280" t="n"/>
      <c r="V101" s="280" t="n"/>
      <c r="W101" s="280" t="n"/>
      <c r="X101" s="280" t="n"/>
      <c r="Y101" s="280" t="n"/>
      <c r="Z101" s="236">
        <f>IF(AND(G101&lt;&gt;"",R101&lt;&gt;"",V101&lt;&gt;"",W101&lt;&gt;""),"COMPLETADO","OBSERVADO")</f>
        <v/>
      </c>
      <c r="AA101" s="284" t="n"/>
    </row>
    <row r="102" ht="15.75" customHeight="1" s="195">
      <c r="A102" s="334" t="n"/>
      <c r="B102" s="334" t="n"/>
      <c r="C102" s="334" t="n"/>
      <c r="D102" s="334" t="n"/>
      <c r="E102" s="334" t="n"/>
      <c r="F102" s="334" t="n"/>
      <c r="G102" s="334" t="n"/>
      <c r="H102" s="334" t="n"/>
      <c r="I102" s="332">
        <f>IFERROR(VLOOKUP(TEXT(H102,"0"),IPRESS!$A$3:$B$212,2,0),"")</f>
        <v/>
      </c>
      <c r="J102" s="334" t="n"/>
      <c r="K102" s="332">
        <f>IFERROR(VLOOKUP(TEXT(O102,"0"),CONDUCTORES!$A$3:$G$54,7,0),"")</f>
        <v/>
      </c>
      <c r="L102" s="334" t="n"/>
      <c r="M102" s="334" t="n"/>
      <c r="N102" s="333">
        <f>IFERROR(IF(L102*M102=0,"",L102*M102),"")</f>
        <v/>
      </c>
      <c r="O102" s="334" t="n"/>
      <c r="P102" s="332">
        <f>IFERROR(VLOOKUP(TEXT(O102,"0"),CONDUCTORES!$A$3:$G$54,2,0),"")</f>
        <v/>
      </c>
      <c r="Q102" s="332">
        <f>IFERROR(VLOOKUP(TEXT(O102,"0"),CONDUCTORES!$A$3:$H$54,6,0),"")</f>
        <v/>
      </c>
      <c r="R102" s="334" t="n"/>
      <c r="S102" s="334" t="n"/>
      <c r="T102" s="334" t="n"/>
      <c r="U102" s="334" t="n"/>
      <c r="V102" s="334" t="n"/>
      <c r="W102" s="334" t="n"/>
      <c r="X102" s="334" t="n"/>
      <c r="Y102" s="334" t="n"/>
      <c r="Z102" s="242">
        <f>IF(AND(G102&lt;&gt;"",R102&lt;&gt;"",V102&lt;&gt;"",W102&lt;&gt;""),"COMPLETADO","OBSERVADO")</f>
        <v/>
      </c>
      <c r="AA102" s="284" t="n"/>
    </row>
    <row r="103" ht="15.75" customHeight="1" s="195">
      <c r="A103" s="280" t="n"/>
      <c r="B103" s="280" t="n"/>
      <c r="C103" s="280" t="n"/>
      <c r="D103" s="280" t="n"/>
      <c r="E103" s="280" t="n"/>
      <c r="F103" s="280" t="n"/>
      <c r="G103" s="280" t="n"/>
      <c r="H103" s="280" t="n"/>
      <c r="I103" s="332">
        <f>IFERROR(VLOOKUP(TEXT(H103,"0"),IPRESS!$A$3:$B$212,2,0),"")</f>
        <v/>
      </c>
      <c r="J103" s="280" t="n"/>
      <c r="K103" s="332">
        <f>IFERROR(VLOOKUP(TEXT(O103,"0"),CONDUCTORES!$A$3:$G$54,7,0),"")</f>
        <v/>
      </c>
      <c r="L103" s="280" t="n"/>
      <c r="M103" s="280" t="n"/>
      <c r="N103" s="333">
        <f>IFERROR(IF(L103*M103=0,"",L103*M103),"")</f>
        <v/>
      </c>
      <c r="O103" s="280" t="n"/>
      <c r="P103" s="332">
        <f>IFERROR(VLOOKUP(TEXT(O103,"0"),CONDUCTORES!$A$3:$G$54,2,0),"")</f>
        <v/>
      </c>
      <c r="Q103" s="332">
        <f>IFERROR(VLOOKUP(TEXT(O103,"0"),CONDUCTORES!$A$3:$H$54,6,0),"")</f>
        <v/>
      </c>
      <c r="R103" s="280" t="n"/>
      <c r="S103" s="280" t="n"/>
      <c r="T103" s="280" t="n"/>
      <c r="U103" s="280" t="n"/>
      <c r="V103" s="280" t="n"/>
      <c r="W103" s="280" t="n"/>
      <c r="X103" s="280" t="n"/>
      <c r="Y103" s="280" t="n"/>
      <c r="Z103" s="236">
        <f>IF(AND(G103&lt;&gt;"",R103&lt;&gt;"",V103&lt;&gt;"",W103&lt;&gt;""),"COMPLETADO","OBSERVADO")</f>
        <v/>
      </c>
      <c r="AA103" s="284" t="n"/>
    </row>
    <row r="104" ht="15.75" customHeight="1" s="195">
      <c r="A104" s="334" t="n"/>
      <c r="B104" s="334" t="n"/>
      <c r="C104" s="334" t="n"/>
      <c r="D104" s="334" t="n"/>
      <c r="E104" s="334" t="n"/>
      <c r="F104" s="334" t="n"/>
      <c r="G104" s="334" t="n"/>
      <c r="H104" s="334" t="n"/>
      <c r="I104" s="332">
        <f>IFERROR(VLOOKUP(TEXT(H104,"0"),IPRESS!$A$3:$B$212,2,0),"")</f>
        <v/>
      </c>
      <c r="J104" s="334" t="n"/>
      <c r="K104" s="332">
        <f>IFERROR(VLOOKUP(TEXT(O104,"0"),CONDUCTORES!$A$3:$G$54,7,0),"")</f>
        <v/>
      </c>
      <c r="L104" s="334" t="n"/>
      <c r="M104" s="334" t="n"/>
      <c r="N104" s="333">
        <f>IFERROR(IF(L104*M104=0,"",L104*M104),"")</f>
        <v/>
      </c>
      <c r="O104" s="334" t="n"/>
      <c r="P104" s="332">
        <f>IFERROR(VLOOKUP(TEXT(O104,"0"),CONDUCTORES!$A$3:$G$54,2,0),"")</f>
        <v/>
      </c>
      <c r="Q104" s="332">
        <f>IFERROR(VLOOKUP(TEXT(O104,"0"),CONDUCTORES!$A$3:$H$54,6,0),"")</f>
        <v/>
      </c>
      <c r="R104" s="334" t="n"/>
      <c r="S104" s="334" t="n"/>
      <c r="T104" s="334" t="n"/>
      <c r="U104" s="334" t="n"/>
      <c r="V104" s="334" t="n"/>
      <c r="W104" s="334" t="n"/>
      <c r="X104" s="334" t="n"/>
      <c r="Y104" s="334" t="n"/>
      <c r="Z104" s="242">
        <f>IF(AND(G104&lt;&gt;"",R104&lt;&gt;"",V104&lt;&gt;"",W104&lt;&gt;""),"COMPLETADO","OBSERVADO")</f>
        <v/>
      </c>
      <c r="AA104" s="284" t="n"/>
    </row>
    <row r="105" ht="15.75" customHeight="1" s="195">
      <c r="A105" s="280" t="n"/>
      <c r="B105" s="280" t="n"/>
      <c r="C105" s="280" t="n"/>
      <c r="D105" s="280" t="n"/>
      <c r="E105" s="280" t="n"/>
      <c r="F105" s="280" t="n"/>
      <c r="G105" s="280" t="n"/>
      <c r="H105" s="280" t="n"/>
      <c r="I105" s="332">
        <f>IFERROR(VLOOKUP(TEXT(H105,"0"),IPRESS!$A$3:$B$212,2,0),"")</f>
        <v/>
      </c>
      <c r="J105" s="280" t="n"/>
      <c r="K105" s="332">
        <f>IFERROR(VLOOKUP(TEXT(O105,"0"),CONDUCTORES!$A$3:$G$54,7,0),"")</f>
        <v/>
      </c>
      <c r="L105" s="280" t="n"/>
      <c r="M105" s="280" t="n"/>
      <c r="N105" s="333">
        <f>IFERROR(IF(L105*M105=0,"",L105*M105),"")</f>
        <v/>
      </c>
      <c r="O105" s="280" t="n"/>
      <c r="P105" s="332">
        <f>IFERROR(VLOOKUP(TEXT(O105,"0"),CONDUCTORES!$A$3:$G$54,2,0),"")</f>
        <v/>
      </c>
      <c r="Q105" s="332">
        <f>IFERROR(VLOOKUP(TEXT(O105,"0"),CONDUCTORES!$A$3:$H$54,6,0),"")</f>
        <v/>
      </c>
      <c r="R105" s="280" t="n"/>
      <c r="S105" s="280" t="n"/>
      <c r="T105" s="280" t="n"/>
      <c r="U105" s="280" t="n"/>
      <c r="V105" s="280" t="n"/>
      <c r="W105" s="280" t="n"/>
      <c r="X105" s="280" t="n"/>
      <c r="Y105" s="280" t="n"/>
      <c r="Z105" s="236">
        <f>IF(AND(G105&lt;&gt;"",R105&lt;&gt;"",V105&lt;&gt;"",W105&lt;&gt;""),"COMPLETADO","OBSERVADO")</f>
        <v/>
      </c>
      <c r="AA105" s="284" t="n"/>
    </row>
    <row r="106" ht="15.75" customHeight="1" s="195">
      <c r="A106" s="334" t="n"/>
      <c r="B106" s="334" t="n"/>
      <c r="C106" s="334" t="n"/>
      <c r="D106" s="334" t="n"/>
      <c r="E106" s="334" t="n"/>
      <c r="F106" s="334" t="n"/>
      <c r="G106" s="334" t="n"/>
      <c r="H106" s="334" t="n"/>
      <c r="I106" s="332">
        <f>IFERROR(VLOOKUP(TEXT(H106,"0"),IPRESS!$A$3:$B$212,2,0),"")</f>
        <v/>
      </c>
      <c r="J106" s="334" t="n"/>
      <c r="K106" s="332">
        <f>IFERROR(VLOOKUP(TEXT(O106,"0"),CONDUCTORES!$A$3:$G$54,7,0),"")</f>
        <v/>
      </c>
      <c r="L106" s="334" t="n"/>
      <c r="M106" s="334" t="n"/>
      <c r="N106" s="333">
        <f>IFERROR(IF(L106*M106=0,"",L106*M106),"")</f>
        <v/>
      </c>
      <c r="O106" s="334" t="n"/>
      <c r="P106" s="332">
        <f>IFERROR(VLOOKUP(TEXT(O106,"0"),CONDUCTORES!$A$3:$G$54,2,0),"")</f>
        <v/>
      </c>
      <c r="Q106" s="332">
        <f>IFERROR(VLOOKUP(TEXT(O106,"0"),CONDUCTORES!$A$3:$H$54,6,0),"")</f>
        <v/>
      </c>
      <c r="R106" s="334" t="n"/>
      <c r="S106" s="334" t="n"/>
      <c r="T106" s="334" t="n"/>
      <c r="U106" s="334" t="n"/>
      <c r="V106" s="334" t="n"/>
      <c r="W106" s="334" t="n"/>
      <c r="X106" s="334" t="n"/>
      <c r="Y106" s="334" t="n"/>
      <c r="Z106" s="242">
        <f>IF(AND(G106&lt;&gt;"",R106&lt;&gt;"",V106&lt;&gt;"",W106&lt;&gt;""),"COMPLETADO","OBSERVADO")</f>
        <v/>
      </c>
      <c r="AA106" s="284" t="n"/>
    </row>
    <row r="107" ht="15.75" customHeight="1" s="195">
      <c r="A107" s="280" t="n"/>
      <c r="B107" s="280" t="n"/>
      <c r="C107" s="280" t="n"/>
      <c r="D107" s="280" t="n"/>
      <c r="E107" s="280" t="n"/>
      <c r="F107" s="280" t="n"/>
      <c r="G107" s="280" t="n"/>
      <c r="H107" s="280" t="n"/>
      <c r="I107" s="332">
        <f>IFERROR(VLOOKUP(TEXT(H107,"0"),IPRESS!$A$3:$B$212,2,0),"")</f>
        <v/>
      </c>
      <c r="J107" s="280" t="n"/>
      <c r="K107" s="332">
        <f>IFERROR(VLOOKUP(TEXT(O107,"0"),CONDUCTORES!$A$3:$G$54,7,0),"")</f>
        <v/>
      </c>
      <c r="L107" s="280" t="n"/>
      <c r="M107" s="280" t="n"/>
      <c r="N107" s="333">
        <f>IFERROR(IF(L107*M107=0,"",L107*M107),"")</f>
        <v/>
      </c>
      <c r="O107" s="280" t="n"/>
      <c r="P107" s="332">
        <f>IFERROR(VLOOKUP(TEXT(O107,"0"),CONDUCTORES!$A$3:$G$54,2,0),"")</f>
        <v/>
      </c>
      <c r="Q107" s="332">
        <f>IFERROR(VLOOKUP(TEXT(O107,"0"),CONDUCTORES!$A$3:$H$54,6,0),"")</f>
        <v/>
      </c>
      <c r="R107" s="280" t="n"/>
      <c r="S107" s="280" t="n"/>
      <c r="T107" s="280" t="n"/>
      <c r="U107" s="280" t="n"/>
      <c r="V107" s="280" t="n"/>
      <c r="W107" s="280" t="n"/>
      <c r="X107" s="280" t="n"/>
      <c r="Y107" s="280" t="n"/>
      <c r="Z107" s="236">
        <f>IF(AND(G107&lt;&gt;"",R107&lt;&gt;"",V107&lt;&gt;"",W107&lt;&gt;""),"COMPLETADO","OBSERVADO")</f>
        <v/>
      </c>
      <c r="AA107" s="284" t="n"/>
    </row>
    <row r="108" ht="15.75" customHeight="1" s="195">
      <c r="A108" s="334" t="n"/>
      <c r="B108" s="334" t="n"/>
      <c r="C108" s="334" t="n"/>
      <c r="D108" s="334" t="n"/>
      <c r="E108" s="334" t="n"/>
      <c r="F108" s="334" t="n"/>
      <c r="G108" s="334" t="n"/>
      <c r="H108" s="334" t="n"/>
      <c r="I108" s="332">
        <f>IFERROR(VLOOKUP(TEXT(H108,"0"),IPRESS!$A$3:$B$212,2,0),"")</f>
        <v/>
      </c>
      <c r="J108" s="334" t="n"/>
      <c r="K108" s="332">
        <f>IFERROR(VLOOKUP(TEXT(O108,"0"),CONDUCTORES!$A$3:$G$54,7,0),"")</f>
        <v/>
      </c>
      <c r="L108" s="334" t="n"/>
      <c r="M108" s="334" t="n"/>
      <c r="N108" s="333">
        <f>IFERROR(IF(L108*M108=0,"",L108*M108),"")</f>
        <v/>
      </c>
      <c r="O108" s="334" t="n"/>
      <c r="P108" s="332">
        <f>IFERROR(VLOOKUP(TEXT(O108,"0"),CONDUCTORES!$A$3:$G$54,2,0),"")</f>
        <v/>
      </c>
      <c r="Q108" s="332">
        <f>IFERROR(VLOOKUP(TEXT(O108,"0"),CONDUCTORES!$A$3:$H$54,6,0),"")</f>
        <v/>
      </c>
      <c r="R108" s="334" t="n"/>
      <c r="S108" s="334" t="n"/>
      <c r="T108" s="334" t="n"/>
      <c r="U108" s="334" t="n"/>
      <c r="V108" s="334" t="n"/>
      <c r="W108" s="334" t="n"/>
      <c r="X108" s="334" t="n"/>
      <c r="Y108" s="334" t="n"/>
      <c r="Z108" s="242">
        <f>IF(AND(G108&lt;&gt;"",R108&lt;&gt;"",V108&lt;&gt;"",W108&lt;&gt;""),"COMPLETADO","OBSERVADO")</f>
        <v/>
      </c>
      <c r="AA108" s="284" t="n"/>
    </row>
    <row r="109" ht="15.75" customHeight="1" s="195">
      <c r="A109" s="280" t="n"/>
      <c r="B109" s="280" t="n"/>
      <c r="C109" s="280" t="n"/>
      <c r="D109" s="280" t="n"/>
      <c r="E109" s="280" t="n"/>
      <c r="F109" s="280" t="n"/>
      <c r="G109" s="280" t="n"/>
      <c r="H109" s="280" t="n"/>
      <c r="I109" s="332">
        <f>IFERROR(VLOOKUP(TEXT(H109,"0"),IPRESS!$A$3:$B$212,2,0),"")</f>
        <v/>
      </c>
      <c r="J109" s="280" t="n"/>
      <c r="K109" s="332">
        <f>IFERROR(VLOOKUP(TEXT(O109,"0"),CONDUCTORES!$A$3:$G$54,7,0),"")</f>
        <v/>
      </c>
      <c r="L109" s="280" t="n"/>
      <c r="M109" s="280" t="n"/>
      <c r="N109" s="333">
        <f>IFERROR(IF(L109*M109=0,"",L109*M109),"")</f>
        <v/>
      </c>
      <c r="O109" s="280" t="n"/>
      <c r="P109" s="332">
        <f>IFERROR(VLOOKUP(TEXT(O109,"0"),CONDUCTORES!$A$3:$G$54,2,0),"")</f>
        <v/>
      </c>
      <c r="Q109" s="332">
        <f>IFERROR(VLOOKUP(TEXT(O109,"0"),CONDUCTORES!$A$3:$H$54,6,0),"")</f>
        <v/>
      </c>
      <c r="R109" s="280" t="n"/>
      <c r="S109" s="280" t="n"/>
      <c r="T109" s="280" t="n"/>
      <c r="U109" s="280" t="n"/>
      <c r="V109" s="280" t="n"/>
      <c r="W109" s="280" t="n"/>
      <c r="X109" s="280" t="n"/>
      <c r="Y109" s="280" t="n"/>
      <c r="Z109" s="236">
        <f>IF(AND(G109&lt;&gt;"",R109&lt;&gt;"",V109&lt;&gt;"",W109&lt;&gt;""),"COMPLETADO","OBSERVADO")</f>
        <v/>
      </c>
      <c r="AA109" s="284" t="n"/>
    </row>
    <row r="110" ht="15.75" customHeight="1" s="195">
      <c r="A110" s="334" t="n"/>
      <c r="B110" s="334" t="n"/>
      <c r="C110" s="334" t="n"/>
      <c r="D110" s="334" t="n"/>
      <c r="E110" s="334" t="n"/>
      <c r="F110" s="334" t="n"/>
      <c r="G110" s="334" t="n"/>
      <c r="H110" s="334" t="n"/>
      <c r="I110" s="332">
        <f>IFERROR(VLOOKUP(TEXT(H110,"0"),IPRESS!$A$3:$B$212,2,0),"")</f>
        <v/>
      </c>
      <c r="J110" s="334" t="n"/>
      <c r="K110" s="332">
        <f>IFERROR(VLOOKUP(TEXT(O110,"0"),CONDUCTORES!$A$3:$G$54,7,0),"")</f>
        <v/>
      </c>
      <c r="L110" s="334" t="n"/>
      <c r="M110" s="334" t="n"/>
      <c r="N110" s="333">
        <f>IFERROR(IF(L110*M110=0,"",L110*M110),"")</f>
        <v/>
      </c>
      <c r="O110" s="334" t="n"/>
      <c r="P110" s="332">
        <f>IFERROR(VLOOKUP(TEXT(O110,"0"),CONDUCTORES!$A$3:$G$54,2,0),"")</f>
        <v/>
      </c>
      <c r="Q110" s="332">
        <f>IFERROR(VLOOKUP(TEXT(O110,"0"),CONDUCTORES!$A$3:$H$54,6,0),"")</f>
        <v/>
      </c>
      <c r="R110" s="334" t="n"/>
      <c r="S110" s="334" t="n"/>
      <c r="T110" s="334" t="n"/>
      <c r="U110" s="334" t="n"/>
      <c r="V110" s="334" t="n"/>
      <c r="W110" s="334" t="n"/>
      <c r="X110" s="334" t="n"/>
      <c r="Y110" s="334" t="n"/>
      <c r="Z110" s="242">
        <f>IF(AND(G110&lt;&gt;"",R110&lt;&gt;"",V110&lt;&gt;"",W110&lt;&gt;""),"COMPLETADO","OBSERVADO")</f>
        <v/>
      </c>
      <c r="AA110" s="284" t="n"/>
    </row>
    <row r="111" ht="15" customHeight="1" s="195">
      <c r="A111" s="280" t="n"/>
      <c r="B111" s="280" t="n"/>
      <c r="C111" s="280" t="n"/>
      <c r="D111" s="280" t="n"/>
      <c r="E111" s="280" t="n"/>
      <c r="F111" s="280" t="n"/>
      <c r="G111" s="280" t="n"/>
      <c r="H111" s="280" t="n"/>
      <c r="I111" s="280" t="n"/>
      <c r="J111" s="280" t="n"/>
      <c r="K111" s="280" t="n"/>
      <c r="L111" s="280" t="n"/>
      <c r="M111" s="280" t="n"/>
      <c r="N111" s="374" t="n"/>
      <c r="O111" s="280" t="n"/>
      <c r="P111" s="280" t="n"/>
      <c r="Q111" s="280" t="n"/>
      <c r="R111" s="280" t="n"/>
      <c r="S111" s="280" t="n"/>
      <c r="T111" s="280" t="n"/>
      <c r="U111" s="280" t="n"/>
      <c r="V111" s="280" t="n"/>
      <c r="W111" s="280" t="n"/>
      <c r="X111" s="280" t="n"/>
      <c r="Y111" s="280" t="n"/>
      <c r="Z111" s="280" t="n"/>
      <c r="AA111" s="284" t="n"/>
    </row>
    <row r="112" ht="15" customHeight="1" s="195">
      <c r="A112" s="280" t="n"/>
      <c r="B112" s="280" t="n"/>
      <c r="C112" s="280" t="n"/>
      <c r="D112" s="280" t="n"/>
      <c r="E112" s="280" t="n"/>
      <c r="F112" s="280" t="n"/>
      <c r="G112" s="280" t="n"/>
      <c r="H112" s="280" t="n"/>
      <c r="I112" s="280" t="n"/>
      <c r="J112" s="280" t="n"/>
      <c r="K112" s="280" t="n"/>
      <c r="L112" s="280" t="n"/>
      <c r="M112" s="280" t="n"/>
      <c r="N112" s="374" t="n"/>
      <c r="O112" s="280" t="n"/>
      <c r="P112" s="280" t="n"/>
      <c r="Q112" s="280" t="n"/>
      <c r="R112" s="280" t="n"/>
      <c r="S112" s="280" t="n"/>
      <c r="T112" s="280" t="n"/>
      <c r="U112" s="280" t="n"/>
      <c r="V112" s="280" t="n"/>
      <c r="W112" s="280" t="n"/>
      <c r="X112" s="280" t="n"/>
      <c r="Y112" s="280" t="n"/>
      <c r="Z112" s="280" t="n"/>
      <c r="AA112" s="284" t="n"/>
    </row>
    <row r="113" ht="15" customHeight="1" s="195">
      <c r="A113" s="280" t="n"/>
      <c r="B113" s="280" t="n"/>
      <c r="C113" s="280" t="n"/>
      <c r="D113" s="280" t="n"/>
      <c r="E113" s="280" t="n"/>
      <c r="F113" s="280" t="n"/>
      <c r="G113" s="280" t="n"/>
      <c r="H113" s="280" t="n"/>
      <c r="I113" s="280" t="n"/>
      <c r="J113" s="280" t="n"/>
      <c r="K113" s="280" t="n"/>
      <c r="L113" s="280" t="n"/>
      <c r="M113" s="280" t="n"/>
      <c r="N113" s="374" t="n"/>
      <c r="O113" s="280" t="n"/>
      <c r="P113" s="280" t="n"/>
      <c r="Q113" s="280" t="n"/>
      <c r="R113" s="280" t="n"/>
      <c r="S113" s="280" t="n"/>
      <c r="T113" s="280" t="n"/>
      <c r="U113" s="280" t="n"/>
      <c r="V113" s="280" t="n"/>
      <c r="W113" s="280" t="n"/>
      <c r="X113" s="280" t="n"/>
      <c r="Y113" s="280" t="n"/>
      <c r="Z113" s="280" t="n"/>
      <c r="AA113" s="284" t="n"/>
    </row>
    <row r="114" ht="15" customHeight="1" s="195">
      <c r="A114" s="280" t="n"/>
      <c r="B114" s="280" t="n"/>
      <c r="C114" s="280" t="n"/>
      <c r="D114" s="280" t="n"/>
      <c r="E114" s="280" t="n"/>
      <c r="F114" s="280" t="n"/>
      <c r="G114" s="280" t="n"/>
      <c r="H114" s="280" t="n"/>
      <c r="I114" s="280" t="n"/>
      <c r="J114" s="280" t="n"/>
      <c r="K114" s="280" t="n"/>
      <c r="L114" s="280" t="n"/>
      <c r="M114" s="280" t="n"/>
      <c r="N114" s="374" t="n"/>
      <c r="O114" s="280" t="n"/>
      <c r="P114" s="280" t="n"/>
      <c r="Q114" s="280" t="n"/>
      <c r="R114" s="280" t="n"/>
      <c r="S114" s="280" t="n"/>
      <c r="T114" s="280" t="n"/>
      <c r="U114" s="280" t="n"/>
      <c r="V114" s="280" t="n"/>
      <c r="W114" s="280" t="n"/>
      <c r="X114" s="280" t="n"/>
      <c r="Y114" s="280" t="n"/>
      <c r="Z114" s="280" t="n"/>
      <c r="AA114" s="284" t="n"/>
    </row>
    <row r="115" ht="15" customHeight="1" s="195">
      <c r="A115" s="280" t="n"/>
      <c r="B115" s="280" t="n"/>
      <c r="C115" s="280" t="n"/>
      <c r="D115" s="280" t="n"/>
      <c r="E115" s="280" t="n"/>
      <c r="F115" s="280" t="n"/>
      <c r="G115" s="280" t="n"/>
      <c r="H115" s="280" t="n"/>
      <c r="I115" s="280" t="n"/>
      <c r="J115" s="280" t="n"/>
      <c r="K115" s="280" t="n"/>
      <c r="L115" s="280" t="n"/>
      <c r="M115" s="280" t="n"/>
      <c r="N115" s="374" t="n"/>
      <c r="O115" s="280" t="n"/>
      <c r="P115" s="280" t="n"/>
      <c r="Q115" s="280" t="n"/>
      <c r="R115" s="280" t="n"/>
      <c r="S115" s="280" t="n"/>
      <c r="T115" s="280" t="n"/>
      <c r="U115" s="280" t="n"/>
      <c r="V115" s="280" t="n"/>
      <c r="W115" s="280" t="n"/>
      <c r="X115" s="280" t="n"/>
      <c r="Y115" s="280" t="n"/>
      <c r="Z115" s="280" t="n"/>
      <c r="AA115" s="284" t="n"/>
    </row>
    <row r="116" ht="15" customHeight="1" s="195">
      <c r="A116" s="280" t="n"/>
      <c r="B116" s="280" t="n"/>
      <c r="C116" s="280" t="n"/>
      <c r="D116" s="280" t="n"/>
      <c r="E116" s="280" t="n"/>
      <c r="F116" s="280" t="n"/>
      <c r="G116" s="280" t="n"/>
      <c r="H116" s="280" t="n"/>
      <c r="I116" s="280" t="n"/>
      <c r="J116" s="280" t="n"/>
      <c r="K116" s="280" t="n"/>
      <c r="L116" s="280" t="n"/>
      <c r="M116" s="280" t="n"/>
      <c r="N116" s="374" t="n"/>
      <c r="O116" s="280" t="n"/>
      <c r="P116" s="280" t="n"/>
      <c r="Q116" s="280" t="n"/>
      <c r="R116" s="280" t="n"/>
      <c r="S116" s="280" t="n"/>
      <c r="T116" s="280" t="n"/>
      <c r="U116" s="280" t="n"/>
      <c r="V116" s="280" t="n"/>
      <c r="W116" s="280" t="n"/>
      <c r="X116" s="280" t="n"/>
      <c r="Y116" s="280" t="n"/>
      <c r="Z116" s="280" t="n"/>
      <c r="AA116" s="284" t="n"/>
    </row>
    <row r="117" ht="15" customHeight="1" s="195">
      <c r="A117" s="280" t="n"/>
      <c r="B117" s="280" t="n"/>
      <c r="C117" s="280" t="n"/>
      <c r="D117" s="280" t="n"/>
      <c r="E117" s="280" t="n"/>
      <c r="F117" s="280" t="n"/>
      <c r="G117" s="280" t="n"/>
      <c r="H117" s="280" t="n"/>
      <c r="I117" s="280" t="n"/>
      <c r="J117" s="280" t="n"/>
      <c r="K117" s="280" t="n"/>
      <c r="L117" s="280" t="n"/>
      <c r="M117" s="280" t="n"/>
      <c r="N117" s="374" t="n"/>
      <c r="O117" s="280" t="n"/>
      <c r="P117" s="280" t="n"/>
      <c r="Q117" s="280" t="n"/>
      <c r="R117" s="280" t="n"/>
      <c r="S117" s="280" t="n"/>
      <c r="T117" s="280" t="n"/>
      <c r="U117" s="280" t="n"/>
      <c r="V117" s="280" t="n"/>
      <c r="W117" s="280" t="n"/>
      <c r="X117" s="280" t="n"/>
      <c r="Y117" s="280" t="n"/>
      <c r="Z117" s="280" t="n"/>
      <c r="AA117" s="284" t="n"/>
    </row>
    <row r="118" ht="15" customHeight="1" s="195">
      <c r="A118" s="280" t="n"/>
      <c r="B118" s="280" t="n"/>
      <c r="C118" s="280" t="n"/>
      <c r="D118" s="280" t="n"/>
      <c r="E118" s="280" t="n"/>
      <c r="F118" s="280" t="n"/>
      <c r="G118" s="280" t="n"/>
      <c r="H118" s="280" t="n"/>
      <c r="I118" s="280" t="n"/>
      <c r="J118" s="280" t="n"/>
      <c r="K118" s="280" t="n"/>
      <c r="L118" s="280" t="n"/>
      <c r="M118" s="280" t="n"/>
      <c r="N118" s="374" t="n"/>
      <c r="O118" s="280" t="n"/>
      <c r="P118" s="280" t="n"/>
      <c r="Q118" s="280" t="n"/>
      <c r="R118" s="280" t="n"/>
      <c r="S118" s="280" t="n"/>
      <c r="T118" s="280" t="n"/>
      <c r="U118" s="280" t="n"/>
      <c r="V118" s="280" t="n"/>
      <c r="W118" s="280" t="n"/>
      <c r="X118" s="280" t="n"/>
      <c r="Y118" s="280" t="n"/>
      <c r="Z118" s="280" t="n"/>
      <c r="AA118" s="284" t="n"/>
    </row>
    <row r="119" ht="15" customHeight="1" s="195">
      <c r="A119" s="280" t="n"/>
      <c r="B119" s="280" t="n"/>
      <c r="C119" s="280" t="n"/>
      <c r="D119" s="280" t="n"/>
      <c r="E119" s="280" t="n"/>
      <c r="F119" s="280" t="n"/>
      <c r="G119" s="280" t="n"/>
      <c r="H119" s="280" t="n"/>
      <c r="I119" s="280" t="n"/>
      <c r="J119" s="280" t="n"/>
      <c r="K119" s="280" t="n"/>
      <c r="L119" s="280" t="n"/>
      <c r="M119" s="280" t="n"/>
      <c r="N119" s="374" t="n"/>
      <c r="O119" s="280" t="n"/>
      <c r="P119" s="280" t="n"/>
      <c r="Q119" s="280" t="n"/>
      <c r="R119" s="280" t="n"/>
      <c r="S119" s="280" t="n"/>
      <c r="T119" s="280" t="n"/>
      <c r="U119" s="280" t="n"/>
      <c r="V119" s="280" t="n"/>
      <c r="W119" s="280" t="n"/>
      <c r="X119" s="280" t="n"/>
      <c r="Y119" s="280" t="n"/>
      <c r="Z119" s="280" t="n"/>
      <c r="AA119" s="284" t="n"/>
    </row>
    <row r="120" ht="15" customHeight="1" s="195">
      <c r="A120" s="280" t="n"/>
      <c r="B120" s="280" t="n"/>
      <c r="C120" s="280" t="n"/>
      <c r="D120" s="280" t="n"/>
      <c r="E120" s="280" t="n"/>
      <c r="F120" s="280" t="n"/>
      <c r="G120" s="280" t="n"/>
      <c r="H120" s="280" t="n"/>
      <c r="I120" s="332">
        <f>IFERROR(VLOOKUP(TEXT(H120,"0"),IPRESS!$A$3:$B$212,2,0),"")</f>
        <v/>
      </c>
      <c r="J120" s="280" t="n"/>
      <c r="K120" s="332">
        <f>IFERROR(VLOOKUP(TEXT(O120,"0"),CONDUCTORES!$A$3:$G$54,7,0),"")</f>
        <v/>
      </c>
      <c r="L120" s="280" t="n"/>
      <c r="M120" s="280" t="n"/>
      <c r="N120" s="333">
        <f>IFERROR(IF(L120*M120=0,"",L120*M120),"")</f>
        <v/>
      </c>
      <c r="O120" s="280" t="n"/>
      <c r="P120" s="332">
        <f>IFERROR(VLOOKUP(TEXT(O120,"0"),CONDUCTORES!$A$3:$G$54,2,0),"")</f>
        <v/>
      </c>
      <c r="Q120" s="332">
        <f>IFERROR(VLOOKUP(TEXT(O120,"0"),CONDUCTORES!$A$3:$H$54,6,0),"")</f>
        <v/>
      </c>
      <c r="R120" s="280" t="n"/>
      <c r="S120" s="280" t="n"/>
      <c r="T120" s="280" t="n"/>
      <c r="U120" s="280" t="n"/>
      <c r="V120" s="280" t="n"/>
      <c r="W120" s="280" t="n"/>
      <c r="X120" s="280" t="n"/>
      <c r="Y120" s="280" t="n"/>
      <c r="Z120" s="375">
        <f>IF(AND(G120&lt;&gt;"",R120&lt;&gt;"",V120&lt;&gt;"",W120&lt;&gt;""),"COMPLETADO","OBSERVADO")</f>
        <v/>
      </c>
    </row>
    <row r="121" ht="15" customHeight="1" s="195">
      <c r="A121" s="334" t="n"/>
      <c r="B121" s="334" t="n"/>
      <c r="C121" s="334" t="n"/>
      <c r="D121" s="334" t="n"/>
      <c r="E121" s="334" t="n"/>
      <c r="F121" s="334" t="n"/>
      <c r="G121" s="334" t="n"/>
      <c r="H121" s="334" t="n"/>
      <c r="I121" s="332">
        <f>IFERROR(VLOOKUP(TEXT(H121,"0"),IPRESS!$A$3:$B$212,2,0),"")</f>
        <v/>
      </c>
      <c r="J121" s="334" t="n"/>
      <c r="K121" s="332">
        <f>IFERROR(VLOOKUP(TEXT(O121,"0"),CONDUCTORES!$A$3:$G$54,7,0),"")</f>
        <v/>
      </c>
      <c r="L121" s="334" t="n"/>
      <c r="M121" s="334" t="n"/>
      <c r="N121" s="333">
        <f>IFERROR(IF(L121*M121=0,"",L121*M121),"")</f>
        <v/>
      </c>
      <c r="O121" s="334" t="n"/>
      <c r="P121" s="332">
        <f>IFERROR(VLOOKUP(TEXT(O121,"0"),CONDUCTORES!$A$3:$G$54,2,0),"")</f>
        <v/>
      </c>
      <c r="Q121" s="332">
        <f>IFERROR(VLOOKUP(TEXT(O121,"0"),CONDUCTORES!$A$3:$H$54,6,0),"")</f>
        <v/>
      </c>
      <c r="R121" s="334" t="n"/>
      <c r="S121" s="334" t="n"/>
      <c r="T121" s="334" t="n"/>
      <c r="U121" s="334" t="n"/>
      <c r="V121" s="334" t="n"/>
      <c r="W121" s="334" t="n"/>
      <c r="X121" s="334" t="n"/>
      <c r="Y121" s="334" t="n"/>
      <c r="Z121" s="375">
        <f>IF(AND(G121&lt;&gt;"",R121&lt;&gt;"",V121&lt;&gt;"",W121&lt;&gt;""),"COMPLETADO","OBSERVADO")</f>
        <v/>
      </c>
    </row>
    <row r="122" ht="15" customHeight="1" s="195">
      <c r="A122" s="280" t="n"/>
      <c r="B122" s="280" t="n"/>
      <c r="C122" s="280" t="n"/>
      <c r="D122" s="280" t="n"/>
      <c r="E122" s="280" t="n"/>
      <c r="F122" s="280" t="n"/>
      <c r="G122" s="280" t="n"/>
      <c r="H122" s="280" t="n"/>
      <c r="I122" s="332">
        <f>IFERROR(VLOOKUP(TEXT(H122,"0"),IPRESS!$A$3:$B$212,2,0),"")</f>
        <v/>
      </c>
      <c r="J122" s="280" t="n"/>
      <c r="K122" s="332">
        <f>IFERROR(VLOOKUP(TEXT(O122,"0"),CONDUCTORES!$A$3:$G$54,7,0),"")</f>
        <v/>
      </c>
      <c r="L122" s="280" t="n"/>
      <c r="M122" s="280" t="n"/>
      <c r="N122" s="333">
        <f>IFERROR(IF(L122*M122=0,"",L122*M122),"")</f>
        <v/>
      </c>
      <c r="O122" s="280" t="n"/>
      <c r="P122" s="332">
        <f>IFERROR(VLOOKUP(TEXT(O122,"0"),CONDUCTORES!$A$3:$G$54,2,0),"")</f>
        <v/>
      </c>
      <c r="Q122" s="332">
        <f>IFERROR(VLOOKUP(TEXT(O122,"0"),CONDUCTORES!$A$3:$H$54,6,0),"")</f>
        <v/>
      </c>
      <c r="R122" s="280" t="n"/>
      <c r="S122" s="280" t="n"/>
      <c r="T122" s="280" t="n"/>
      <c r="U122" s="280" t="n"/>
      <c r="V122" s="280" t="n"/>
      <c r="W122" s="280" t="n"/>
      <c r="X122" s="280" t="n"/>
      <c r="Y122" s="280" t="n"/>
      <c r="Z122" s="375">
        <f>IF(AND(G122&lt;&gt;"",R122&lt;&gt;"",V122&lt;&gt;"",W122&lt;&gt;""),"COMPLETADO","OBSERVADO")</f>
        <v/>
      </c>
    </row>
    <row r="123" ht="15" customHeight="1" s="195">
      <c r="A123" s="334" t="n"/>
      <c r="B123" s="334" t="n"/>
      <c r="C123" s="334" t="n"/>
      <c r="D123" s="334" t="n"/>
      <c r="E123" s="334" t="n"/>
      <c r="F123" s="334" t="n"/>
      <c r="G123" s="334" t="n"/>
      <c r="H123" s="334" t="n"/>
      <c r="I123" s="332">
        <f>IFERROR(VLOOKUP(TEXT(H123,"0"),IPRESS!$A$3:$B$212,2,0),"")</f>
        <v/>
      </c>
      <c r="J123" s="334" t="n"/>
      <c r="K123" s="332">
        <f>IFERROR(VLOOKUP(TEXT(O123,"0"),CONDUCTORES!$A$3:$G$54,7,0),"")</f>
        <v/>
      </c>
      <c r="L123" s="334" t="n"/>
      <c r="M123" s="334" t="n"/>
      <c r="N123" s="333">
        <f>IFERROR(IF(L123*M123=0,"",L123*M123),"")</f>
        <v/>
      </c>
      <c r="O123" s="334" t="n"/>
      <c r="P123" s="332">
        <f>IFERROR(VLOOKUP(TEXT(O123,"0"),CONDUCTORES!$A$3:$G$54,2,0),"")</f>
        <v/>
      </c>
      <c r="Q123" s="332">
        <f>IFERROR(VLOOKUP(TEXT(O123,"0"),CONDUCTORES!$A$3:$H$54,6,0),"")</f>
        <v/>
      </c>
      <c r="R123" s="334" t="n"/>
      <c r="S123" s="334" t="n"/>
      <c r="T123" s="334" t="n"/>
      <c r="U123" s="334" t="n"/>
      <c r="V123" s="334" t="n"/>
      <c r="W123" s="334" t="n"/>
      <c r="X123" s="334" t="n"/>
      <c r="Y123" s="334" t="n"/>
      <c r="Z123" s="375">
        <f>IF(AND(G123&lt;&gt;"",R123&lt;&gt;"",V123&lt;&gt;"",W123&lt;&gt;""),"COMPLETADO","OBSERVADO")</f>
        <v/>
      </c>
    </row>
    <row r="124" ht="15" customHeight="1" s="195">
      <c r="A124" s="280" t="n"/>
      <c r="B124" s="280" t="n"/>
      <c r="C124" s="280" t="n"/>
      <c r="D124" s="280" t="n"/>
      <c r="E124" s="280" t="n"/>
      <c r="F124" s="280" t="n"/>
      <c r="G124" s="280" t="n"/>
      <c r="H124" s="280" t="n"/>
      <c r="I124" s="332">
        <f>IFERROR(VLOOKUP(TEXT(H124,"0"),IPRESS!$A$3:$B$212,2,0),"")</f>
        <v/>
      </c>
      <c r="J124" s="280" t="n"/>
      <c r="K124" s="332">
        <f>IFERROR(VLOOKUP(TEXT(O124,"0"),CONDUCTORES!$A$3:$G$54,7,0),"")</f>
        <v/>
      </c>
      <c r="L124" s="280" t="n"/>
      <c r="M124" s="280" t="n"/>
      <c r="N124" s="333">
        <f>IFERROR(IF(L124*M124=0,"",L124*M124),"")</f>
        <v/>
      </c>
      <c r="O124" s="280" t="n"/>
      <c r="P124" s="332">
        <f>IFERROR(VLOOKUP(TEXT(O124,"0"),CONDUCTORES!$A$3:$G$54,2,0),"")</f>
        <v/>
      </c>
      <c r="Q124" s="332">
        <f>IFERROR(VLOOKUP(TEXT(O124,"0"),CONDUCTORES!$A$3:$H$54,6,0),"")</f>
        <v/>
      </c>
      <c r="R124" s="280" t="n"/>
      <c r="S124" s="280" t="n"/>
      <c r="T124" s="280" t="n"/>
      <c r="U124" s="280" t="n"/>
      <c r="V124" s="280" t="n"/>
      <c r="W124" s="280" t="n"/>
      <c r="X124" s="280" t="n"/>
      <c r="Y124" s="280" t="n"/>
      <c r="Z124" s="375">
        <f>IF(AND(G124&lt;&gt;"",R124&lt;&gt;"",V124&lt;&gt;"",W124&lt;&gt;""),"COMPLETADO","OBSERVADO")</f>
        <v/>
      </c>
    </row>
    <row r="125" ht="15" customHeight="1" s="195">
      <c r="A125" s="334" t="n"/>
      <c r="B125" s="334" t="n"/>
      <c r="C125" s="334" t="n"/>
      <c r="D125" s="334" t="n"/>
      <c r="E125" s="334" t="n"/>
      <c r="F125" s="334" t="n"/>
      <c r="G125" s="334" t="n"/>
      <c r="H125" s="334" t="n"/>
      <c r="I125" s="332">
        <f>IFERROR(VLOOKUP(TEXT(H125,"0"),IPRESS!$A$3:$B$212,2,0),"")</f>
        <v/>
      </c>
      <c r="J125" s="334" t="n"/>
      <c r="K125" s="332">
        <f>IFERROR(VLOOKUP(TEXT(O125,"0"),CONDUCTORES!$A$3:$G$54,7,0),"")</f>
        <v/>
      </c>
      <c r="L125" s="334" t="n"/>
      <c r="M125" s="334" t="n"/>
      <c r="N125" s="333">
        <f>IFERROR(IF(L125*M125=0,"",L125*M125),"")</f>
        <v/>
      </c>
      <c r="O125" s="334" t="n"/>
      <c r="P125" s="332">
        <f>IFERROR(VLOOKUP(TEXT(O125,"0"),CONDUCTORES!$A$3:$G$54,2,0),"")</f>
        <v/>
      </c>
      <c r="Q125" s="332">
        <f>IFERROR(VLOOKUP(TEXT(O125,"0"),CONDUCTORES!$A$3:$H$54,6,0),"")</f>
        <v/>
      </c>
      <c r="R125" s="334" t="n"/>
      <c r="S125" s="334" t="n"/>
      <c r="T125" s="334" t="n"/>
      <c r="U125" s="334" t="n"/>
      <c r="V125" s="334" t="n"/>
      <c r="W125" s="334" t="n"/>
      <c r="X125" s="334" t="n"/>
      <c r="Y125" s="334" t="n"/>
      <c r="Z125" s="375">
        <f>IF(AND(G125&lt;&gt;"",R125&lt;&gt;"",V125&lt;&gt;"",W125&lt;&gt;""),"COMPLETADO","OBSERVADO")</f>
        <v/>
      </c>
    </row>
    <row r="126" ht="15" customHeight="1" s="195">
      <c r="A126" s="280" t="n"/>
      <c r="B126" s="280" t="n"/>
      <c r="C126" s="280" t="n"/>
      <c r="D126" s="280" t="n"/>
      <c r="E126" s="280" t="n"/>
      <c r="F126" s="280" t="n"/>
      <c r="G126" s="280" t="n"/>
      <c r="H126" s="280" t="n"/>
      <c r="I126" s="332">
        <f>IFERROR(VLOOKUP(TEXT(H126,"0"),IPRESS!$A$3:$B$212,2,0),"")</f>
        <v/>
      </c>
      <c r="J126" s="280" t="n"/>
      <c r="K126" s="332">
        <f>IFERROR(VLOOKUP(TEXT(O126,"0"),CONDUCTORES!$A$3:$G$54,7,0),"")</f>
        <v/>
      </c>
      <c r="L126" s="280" t="n"/>
      <c r="M126" s="280" t="n"/>
      <c r="N126" s="333">
        <f>IFERROR(IF(L126*M126=0,"",L126*M126),"")</f>
        <v/>
      </c>
      <c r="O126" s="280" t="n"/>
      <c r="P126" s="332">
        <f>IFERROR(VLOOKUP(TEXT(O126,"0"),CONDUCTORES!$A$3:$G$54,2,0),"")</f>
        <v/>
      </c>
      <c r="Q126" s="332">
        <f>IFERROR(VLOOKUP(TEXT(O126,"0"),CONDUCTORES!$A$3:$H$54,6,0),"")</f>
        <v/>
      </c>
      <c r="R126" s="280" t="n"/>
      <c r="S126" s="280" t="n"/>
      <c r="T126" s="280" t="n"/>
      <c r="U126" s="280" t="n"/>
      <c r="V126" s="280" t="n"/>
      <c r="W126" s="280" t="n"/>
      <c r="X126" s="280" t="n"/>
      <c r="Y126" s="280" t="n"/>
      <c r="Z126" s="375">
        <f>IF(AND(G126&lt;&gt;"",R126&lt;&gt;"",V126&lt;&gt;"",W126&lt;&gt;""),"COMPLETADO","OBSERVADO")</f>
        <v/>
      </c>
    </row>
    <row r="127" ht="15" customHeight="1" s="195">
      <c r="A127" s="334" t="n"/>
      <c r="B127" s="334" t="n"/>
      <c r="C127" s="334" t="n"/>
      <c r="D127" s="334" t="n"/>
      <c r="E127" s="334" t="n"/>
      <c r="F127" s="334" t="n"/>
      <c r="G127" s="334" t="n"/>
      <c r="H127" s="334" t="n"/>
      <c r="I127" s="332">
        <f>IFERROR(VLOOKUP(TEXT(H127,"0"),IPRESS!$A$3:$B$212,2,0),"")</f>
        <v/>
      </c>
      <c r="J127" s="334" t="n"/>
      <c r="K127" s="332">
        <f>IFERROR(VLOOKUP(TEXT(O127,"0"),CONDUCTORES!$A$3:$G$54,7,0),"")</f>
        <v/>
      </c>
      <c r="L127" s="334" t="n"/>
      <c r="M127" s="334" t="n"/>
      <c r="N127" s="333">
        <f>IFERROR(IF(L127*M127=0,"",L127*M127),"")</f>
        <v/>
      </c>
      <c r="O127" s="334" t="n"/>
      <c r="P127" s="332">
        <f>IFERROR(VLOOKUP(TEXT(O127,"0"),CONDUCTORES!$A$3:$G$54,2,0),"")</f>
        <v/>
      </c>
      <c r="Q127" s="332">
        <f>IFERROR(VLOOKUP(TEXT(O127,"0"),CONDUCTORES!$A$3:$H$54,6,0),"")</f>
        <v/>
      </c>
      <c r="R127" s="334" t="n"/>
      <c r="S127" s="334" t="n"/>
      <c r="T127" s="334" t="n"/>
      <c r="U127" s="334" t="n"/>
      <c r="V127" s="334" t="n"/>
      <c r="W127" s="334" t="n"/>
      <c r="X127" s="334" t="n"/>
      <c r="Y127" s="334" t="n"/>
      <c r="Z127" s="375">
        <f>IF(AND(G127&lt;&gt;"",R127&lt;&gt;"",V127&lt;&gt;"",W127&lt;&gt;""),"COMPLETADO","OBSERVADO")</f>
        <v/>
      </c>
    </row>
    <row r="128" ht="15" customHeight="1" s="195">
      <c r="A128" s="280" t="n"/>
      <c r="B128" s="280" t="n"/>
      <c r="C128" s="280" t="n"/>
      <c r="D128" s="280" t="n"/>
      <c r="E128" s="280" t="n"/>
      <c r="F128" s="280" t="n"/>
      <c r="G128" s="280" t="n"/>
      <c r="H128" s="280" t="n"/>
      <c r="I128" s="332">
        <f>IFERROR(VLOOKUP(TEXT(H128,"0"),IPRESS!$A$3:$B$212,2,0),"")</f>
        <v/>
      </c>
      <c r="J128" s="280" t="n"/>
      <c r="K128" s="332">
        <f>IFERROR(VLOOKUP(TEXT(O128,"0"),CONDUCTORES!$A$3:$G$54,7,0),"")</f>
        <v/>
      </c>
      <c r="L128" s="280" t="n"/>
      <c r="M128" s="280" t="n"/>
      <c r="N128" s="333">
        <f>IFERROR(IF(L128*M128=0,"",L128*M128),"")</f>
        <v/>
      </c>
      <c r="O128" s="280" t="n"/>
      <c r="P128" s="332">
        <f>IFERROR(VLOOKUP(TEXT(O128,"0"),CONDUCTORES!$A$3:$G$54,2,0),"")</f>
        <v/>
      </c>
      <c r="Q128" s="332">
        <f>IFERROR(VLOOKUP(TEXT(O128,"0"),CONDUCTORES!$A$3:$H$54,6,0),"")</f>
        <v/>
      </c>
      <c r="R128" s="280" t="n"/>
      <c r="S128" s="280" t="n"/>
      <c r="T128" s="280" t="n"/>
      <c r="U128" s="280" t="n"/>
      <c r="V128" s="280" t="n"/>
      <c r="W128" s="280" t="n"/>
      <c r="X128" s="280" t="n"/>
      <c r="Y128" s="280" t="n"/>
      <c r="Z128" s="375">
        <f>IF(AND(G128&lt;&gt;"",R128&lt;&gt;"",V128&lt;&gt;"",W128&lt;&gt;""),"COMPLETADO","OBSERVADO")</f>
        <v/>
      </c>
    </row>
    <row r="129" ht="15" customHeight="1" s="195">
      <c r="A129" s="334" t="n"/>
      <c r="B129" s="334" t="n"/>
      <c r="C129" s="334" t="n"/>
      <c r="D129" s="334" t="n"/>
      <c r="E129" s="334" t="n"/>
      <c r="F129" s="334" t="n"/>
      <c r="G129" s="334" t="n"/>
      <c r="H129" s="334" t="n"/>
      <c r="I129" s="332">
        <f>IFERROR(VLOOKUP(TEXT(H129,"0"),IPRESS!$A$3:$B$212,2,0),"")</f>
        <v/>
      </c>
      <c r="J129" s="334" t="n"/>
      <c r="K129" s="332">
        <f>IFERROR(VLOOKUP(TEXT(O129,"0"),CONDUCTORES!$A$3:$G$54,7,0),"")</f>
        <v/>
      </c>
      <c r="L129" s="334" t="n"/>
      <c r="M129" s="334" t="n"/>
      <c r="N129" s="333">
        <f>IFERROR(IF(L129*M129=0,"",L129*M129),"")</f>
        <v/>
      </c>
      <c r="O129" s="334" t="n"/>
      <c r="P129" s="332">
        <f>IFERROR(VLOOKUP(TEXT(O129,"0"),CONDUCTORES!$A$3:$G$54,2,0),"")</f>
        <v/>
      </c>
      <c r="Q129" s="332">
        <f>IFERROR(VLOOKUP(TEXT(O129,"0"),CONDUCTORES!$A$3:$H$54,6,0),"")</f>
        <v/>
      </c>
      <c r="R129" s="334" t="n"/>
      <c r="S129" s="334" t="n"/>
      <c r="T129" s="334" t="n"/>
      <c r="U129" s="334" t="n"/>
      <c r="V129" s="334" t="n"/>
      <c r="W129" s="334" t="n"/>
      <c r="X129" s="334" t="n"/>
      <c r="Y129" s="334" t="n"/>
      <c r="Z129" s="375">
        <f>IF(AND(G129&lt;&gt;"",R129&lt;&gt;"",V129&lt;&gt;"",W129&lt;&gt;""),"COMPLETADO","OBSERVADO")</f>
        <v/>
      </c>
    </row>
    <row r="130" ht="15" customHeight="1" s="195">
      <c r="A130" s="280" t="n"/>
      <c r="B130" s="280" t="n"/>
      <c r="C130" s="280" t="n"/>
      <c r="D130" s="280" t="n"/>
      <c r="E130" s="280" t="n"/>
      <c r="F130" s="280" t="n"/>
      <c r="G130" s="280" t="n"/>
      <c r="H130" s="280" t="n"/>
      <c r="I130" s="332">
        <f>IFERROR(VLOOKUP(TEXT(H130,"0"),IPRESS!$A$3:$B$212,2,0),"")</f>
        <v/>
      </c>
      <c r="J130" s="280" t="n"/>
      <c r="K130" s="332">
        <f>IFERROR(VLOOKUP(TEXT(O130,"0"),CONDUCTORES!$A$3:$G$54,7,0),"")</f>
        <v/>
      </c>
      <c r="L130" s="280" t="n"/>
      <c r="M130" s="280" t="n"/>
      <c r="N130" s="333">
        <f>IFERROR(IF(L130*M130=0,"",L130*M130),"")</f>
        <v/>
      </c>
      <c r="O130" s="280" t="n"/>
      <c r="P130" s="332">
        <f>IFERROR(VLOOKUP(TEXT(O130,"0"),CONDUCTORES!$A$3:$G$54,2,0),"")</f>
        <v/>
      </c>
      <c r="Q130" s="332">
        <f>IFERROR(VLOOKUP(TEXT(O130,"0"),CONDUCTORES!$A$3:$H$54,6,0),"")</f>
        <v/>
      </c>
      <c r="R130" s="280" t="n"/>
      <c r="S130" s="280" t="n"/>
      <c r="T130" s="280" t="n"/>
      <c r="U130" s="280" t="n"/>
      <c r="V130" s="280" t="n"/>
      <c r="W130" s="280" t="n"/>
      <c r="X130" s="280" t="n"/>
      <c r="Y130" s="280" t="n"/>
      <c r="Z130" s="375">
        <f>IF(AND(G130&lt;&gt;"",R130&lt;&gt;"",V130&lt;&gt;"",W130&lt;&gt;""),"COMPLETADO","OBSERVADO")</f>
        <v/>
      </c>
    </row>
    <row r="131" ht="15" customHeight="1" s="195">
      <c r="A131" s="334" t="n"/>
      <c r="B131" s="334" t="n"/>
      <c r="C131" s="334" t="n"/>
      <c r="D131" s="334" t="n"/>
      <c r="E131" s="334" t="n"/>
      <c r="F131" s="334" t="n"/>
      <c r="G131" s="334" t="n"/>
      <c r="H131" s="334" t="n"/>
      <c r="I131" s="332">
        <f>IFERROR(VLOOKUP(TEXT(H131,"0"),IPRESS!$A$3:$B$212,2,0),"")</f>
        <v/>
      </c>
      <c r="J131" s="334" t="n"/>
      <c r="K131" s="332">
        <f>IFERROR(VLOOKUP(TEXT(O131,"0"),CONDUCTORES!$A$3:$G$54,7,0),"")</f>
        <v/>
      </c>
      <c r="L131" s="334" t="n"/>
      <c r="M131" s="334" t="n"/>
      <c r="N131" s="333">
        <f>IFERROR(IF(L131*M131=0,"",L131*M131),"")</f>
        <v/>
      </c>
      <c r="O131" s="334" t="n"/>
      <c r="P131" s="332">
        <f>IFERROR(VLOOKUP(TEXT(O131,"0"),CONDUCTORES!$A$3:$G$54,2,0),"")</f>
        <v/>
      </c>
      <c r="Q131" s="332">
        <f>IFERROR(VLOOKUP(TEXT(O131,"0"),CONDUCTORES!$A$3:$H$54,6,0),"")</f>
        <v/>
      </c>
      <c r="R131" s="334" t="n"/>
      <c r="S131" s="334" t="n"/>
      <c r="T131" s="334" t="n"/>
      <c r="U131" s="334" t="n"/>
      <c r="V131" s="334" t="n"/>
      <c r="W131" s="334" t="n"/>
      <c r="X131" s="334" t="n"/>
      <c r="Y131" s="334" t="n"/>
      <c r="Z131" s="375">
        <f>IF(AND(G131&lt;&gt;"",R131&lt;&gt;"",V131&lt;&gt;"",W131&lt;&gt;""),"COMPLETADO","OBSERVADO")</f>
        <v/>
      </c>
    </row>
    <row r="132" ht="15" customHeight="1" s="195">
      <c r="A132" s="280" t="n"/>
      <c r="B132" s="280" t="n"/>
      <c r="C132" s="280" t="n"/>
      <c r="D132" s="280" t="n"/>
      <c r="E132" s="280" t="n"/>
      <c r="F132" s="280" t="n"/>
      <c r="G132" s="280" t="n"/>
      <c r="H132" s="280" t="n"/>
      <c r="I132" s="332">
        <f>IFERROR(VLOOKUP(TEXT(H132,"0"),IPRESS!$A$3:$B$212,2,0),"")</f>
        <v/>
      </c>
      <c r="J132" s="280" t="n"/>
      <c r="K132" s="332">
        <f>IFERROR(VLOOKUP(TEXT(O132,"0"),CONDUCTORES!$A$3:$G$54,7,0),"")</f>
        <v/>
      </c>
      <c r="L132" s="280" t="n"/>
      <c r="M132" s="280" t="n"/>
      <c r="N132" s="333">
        <f>IFERROR(IF(L132*M132=0,"",L132*M132),"")</f>
        <v/>
      </c>
      <c r="O132" s="280" t="n"/>
      <c r="P132" s="332">
        <f>IFERROR(VLOOKUP(TEXT(O132,"0"),CONDUCTORES!$A$3:$G$54,2,0),"")</f>
        <v/>
      </c>
      <c r="Q132" s="332">
        <f>IFERROR(VLOOKUP(TEXT(O132,"0"),CONDUCTORES!$A$3:$H$54,6,0),"")</f>
        <v/>
      </c>
      <c r="R132" s="280" t="n"/>
      <c r="S132" s="280" t="n"/>
      <c r="T132" s="280" t="n"/>
      <c r="U132" s="280" t="n"/>
      <c r="V132" s="280" t="n"/>
      <c r="W132" s="280" t="n"/>
      <c r="X132" s="280" t="n"/>
      <c r="Y132" s="280" t="n"/>
      <c r="Z132" s="375">
        <f>IF(AND(G132&lt;&gt;"",R132&lt;&gt;"",V132&lt;&gt;"",W132&lt;&gt;""),"COMPLETADO","OBSERVADO")</f>
        <v/>
      </c>
    </row>
    <row r="133" ht="15" customHeight="1" s="195">
      <c r="A133" s="334" t="n"/>
      <c r="B133" s="334" t="n"/>
      <c r="C133" s="334" t="n"/>
      <c r="D133" s="334" t="n"/>
      <c r="E133" s="334" t="n"/>
      <c r="F133" s="334" t="n"/>
      <c r="G133" s="334" t="n"/>
      <c r="H133" s="334" t="n"/>
      <c r="I133" s="332">
        <f>IFERROR(VLOOKUP(TEXT(H133,"0"),IPRESS!$A$3:$B$212,2,0),"")</f>
        <v/>
      </c>
      <c r="J133" s="334" t="n"/>
      <c r="K133" s="332">
        <f>IFERROR(VLOOKUP(TEXT(O133,"0"),CONDUCTORES!$A$3:$G$54,7,0),"")</f>
        <v/>
      </c>
      <c r="L133" s="334" t="n"/>
      <c r="M133" s="334" t="n"/>
      <c r="N133" s="333">
        <f>IFERROR(IF(L133*M133=0,"",L133*M133),"")</f>
        <v/>
      </c>
      <c r="O133" s="334" t="n"/>
      <c r="P133" s="332">
        <f>IFERROR(VLOOKUP(TEXT(O133,"0"),CONDUCTORES!$A$3:$G$54,2,0),"")</f>
        <v/>
      </c>
      <c r="Q133" s="332">
        <f>IFERROR(VLOOKUP(TEXT(O133,"0"),CONDUCTORES!$A$3:$H$54,6,0),"")</f>
        <v/>
      </c>
      <c r="R133" s="334" t="n"/>
      <c r="S133" s="334" t="n"/>
      <c r="T133" s="334" t="n"/>
      <c r="U133" s="334" t="n"/>
      <c r="V133" s="334" t="n"/>
      <c r="W133" s="334" t="n"/>
      <c r="X133" s="334" t="n"/>
      <c r="Y133" s="334" t="n"/>
      <c r="Z133" s="375">
        <f>IF(AND(G133&lt;&gt;"",R133&lt;&gt;"",V133&lt;&gt;"",W133&lt;&gt;""),"COMPLETADO","OBSERVADO")</f>
        <v/>
      </c>
    </row>
    <row r="134" ht="15" customHeight="1" s="195">
      <c r="A134" s="280" t="n"/>
      <c r="B134" s="280" t="n"/>
      <c r="C134" s="280" t="n"/>
      <c r="D134" s="280" t="n"/>
      <c r="E134" s="280" t="n"/>
      <c r="F134" s="280" t="n"/>
      <c r="G134" s="280" t="n"/>
      <c r="H134" s="280" t="n"/>
      <c r="I134" s="332">
        <f>IFERROR(VLOOKUP(TEXT(H134,"0"),IPRESS!$A$3:$B$212,2,0),"")</f>
        <v/>
      </c>
      <c r="J134" s="280" t="n"/>
      <c r="K134" s="332">
        <f>IFERROR(VLOOKUP(TEXT(O134,"0"),CONDUCTORES!$A$3:$G$54,7,0),"")</f>
        <v/>
      </c>
      <c r="L134" s="280" t="n"/>
      <c r="M134" s="280" t="n"/>
      <c r="N134" s="333">
        <f>IFERROR(IF(L134*M134=0,"",L134*M134),"")</f>
        <v/>
      </c>
      <c r="O134" s="280" t="n"/>
      <c r="P134" s="332">
        <f>IFERROR(VLOOKUP(TEXT(O134,"0"),CONDUCTORES!$A$3:$G$54,2,0),"")</f>
        <v/>
      </c>
      <c r="Q134" s="332">
        <f>IFERROR(VLOOKUP(TEXT(O134,"0"),CONDUCTORES!$A$3:$H$54,6,0),"")</f>
        <v/>
      </c>
      <c r="R134" s="280" t="n"/>
      <c r="S134" s="280" t="n"/>
      <c r="T134" s="280" t="n"/>
      <c r="U134" s="280" t="n"/>
      <c r="V134" s="280" t="n"/>
      <c r="W134" s="280" t="n"/>
      <c r="X134" s="280" t="n"/>
      <c r="Y134" s="280" t="n"/>
      <c r="Z134" s="375">
        <f>IF(AND(G134&lt;&gt;"",R134&lt;&gt;"",V134&lt;&gt;"",W134&lt;&gt;""),"COMPLETADO","OBSERVADO")</f>
        <v/>
      </c>
    </row>
    <row r="135" ht="15" customHeight="1" s="195">
      <c r="A135" s="334" t="n"/>
      <c r="B135" s="334" t="n"/>
      <c r="C135" s="334" t="n"/>
      <c r="D135" s="334" t="n"/>
      <c r="E135" s="334" t="n"/>
      <c r="F135" s="334" t="n"/>
      <c r="G135" s="334" t="n"/>
      <c r="H135" s="334" t="n"/>
      <c r="I135" s="332">
        <f>IFERROR(VLOOKUP(TEXT(H135,"0"),IPRESS!$A$3:$B$212,2,0),"")</f>
        <v/>
      </c>
      <c r="J135" s="334" t="n"/>
      <c r="K135" s="332">
        <f>IFERROR(VLOOKUP(TEXT(O135,"0"),CONDUCTORES!$A$3:$G$54,7,0),"")</f>
        <v/>
      </c>
      <c r="L135" s="334" t="n"/>
      <c r="M135" s="334" t="n"/>
      <c r="N135" s="333">
        <f>IFERROR(IF(L135*M135=0,"",L135*M135),"")</f>
        <v/>
      </c>
      <c r="O135" s="334" t="n"/>
      <c r="P135" s="332">
        <f>IFERROR(VLOOKUP(TEXT(O135,"0"),CONDUCTORES!$A$3:$G$54,2,0),"")</f>
        <v/>
      </c>
      <c r="Q135" s="332">
        <f>IFERROR(VLOOKUP(TEXT(O135,"0"),CONDUCTORES!$A$3:$H$54,6,0),"")</f>
        <v/>
      </c>
      <c r="R135" s="334" t="n"/>
      <c r="S135" s="334" t="n"/>
      <c r="T135" s="334" t="n"/>
      <c r="U135" s="334" t="n"/>
      <c r="V135" s="334" t="n"/>
      <c r="W135" s="334" t="n"/>
      <c r="X135" s="334" t="n"/>
      <c r="Y135" s="334" t="n"/>
      <c r="Z135" s="375">
        <f>IF(AND(G135&lt;&gt;"",R135&lt;&gt;"",V135&lt;&gt;"",W135&lt;&gt;""),"COMPLETADO","OBSERVADO")</f>
        <v/>
      </c>
    </row>
    <row r="136" ht="15" customHeight="1" s="195">
      <c r="A136" s="280" t="n"/>
      <c r="B136" s="280" t="n"/>
      <c r="C136" s="280" t="n"/>
      <c r="D136" s="280" t="n"/>
      <c r="E136" s="280" t="n"/>
      <c r="F136" s="280" t="n"/>
      <c r="G136" s="280" t="n"/>
      <c r="H136" s="280" t="n"/>
      <c r="I136" s="332">
        <f>IFERROR(VLOOKUP(TEXT(H136,"0"),IPRESS!$A$3:$B$212,2,0),"")</f>
        <v/>
      </c>
      <c r="J136" s="280" t="n"/>
      <c r="K136" s="332">
        <f>IFERROR(VLOOKUP(TEXT(O136,"0"),CONDUCTORES!$A$3:$G$54,7,0),"")</f>
        <v/>
      </c>
      <c r="L136" s="280" t="n"/>
      <c r="M136" s="280" t="n"/>
      <c r="N136" s="333">
        <f>IFERROR(IF(L136*M136=0,"",L136*M136),"")</f>
        <v/>
      </c>
      <c r="O136" s="280" t="n"/>
      <c r="P136" s="332">
        <f>IFERROR(VLOOKUP(TEXT(O136,"0"),CONDUCTORES!$A$3:$G$54,2,0),"")</f>
        <v/>
      </c>
      <c r="Q136" s="332">
        <f>IFERROR(VLOOKUP(TEXT(O136,"0"),CONDUCTORES!$A$3:$H$54,6,0),"")</f>
        <v/>
      </c>
      <c r="R136" s="280" t="n"/>
      <c r="S136" s="280" t="n"/>
      <c r="T136" s="280" t="n"/>
      <c r="U136" s="280" t="n"/>
      <c r="V136" s="280" t="n"/>
      <c r="W136" s="280" t="n"/>
      <c r="X136" s="280" t="n"/>
      <c r="Y136" s="280" t="n"/>
      <c r="Z136" s="375">
        <f>IF(AND(G136&lt;&gt;"",R136&lt;&gt;"",V136&lt;&gt;"",W136&lt;&gt;""),"COMPLETADO","OBSERVADO")</f>
        <v/>
      </c>
    </row>
    <row r="137" ht="15" customHeight="1" s="195">
      <c r="A137" s="334" t="n"/>
      <c r="B137" s="334" t="n"/>
      <c r="C137" s="334" t="n"/>
      <c r="D137" s="334" t="n"/>
      <c r="E137" s="334" t="n"/>
      <c r="F137" s="334" t="n"/>
      <c r="G137" s="334" t="n"/>
      <c r="H137" s="334" t="n"/>
      <c r="I137" s="332">
        <f>IFERROR(VLOOKUP(TEXT(H137,"0"),IPRESS!$A$3:$B$212,2,0),"")</f>
        <v/>
      </c>
      <c r="J137" s="334" t="n"/>
      <c r="K137" s="332">
        <f>IFERROR(VLOOKUP(TEXT(O137,"0"),CONDUCTORES!$A$3:$G$54,7,0),"")</f>
        <v/>
      </c>
      <c r="L137" s="334" t="n"/>
      <c r="M137" s="334" t="n"/>
      <c r="N137" s="333">
        <f>IFERROR(IF(L137*M137=0,"",L137*M137),"")</f>
        <v/>
      </c>
      <c r="O137" s="334" t="n"/>
      <c r="P137" s="332">
        <f>IFERROR(VLOOKUP(TEXT(O137,"0"),CONDUCTORES!$A$3:$G$54,2,0),"")</f>
        <v/>
      </c>
      <c r="Q137" s="332">
        <f>IFERROR(VLOOKUP(TEXT(O137,"0"),CONDUCTORES!$A$3:$H$54,6,0),"")</f>
        <v/>
      </c>
      <c r="R137" s="334" t="n"/>
      <c r="S137" s="334" t="n"/>
      <c r="T137" s="334" t="n"/>
      <c r="U137" s="334" t="n"/>
      <c r="V137" s="334" t="n"/>
      <c r="W137" s="334" t="n"/>
      <c r="X137" s="334" t="n"/>
      <c r="Y137" s="334" t="n"/>
      <c r="Z137" s="375">
        <f>IF(AND(G137&lt;&gt;"",R137&lt;&gt;"",V137&lt;&gt;"",W137&lt;&gt;""),"COMPLETADO","OBSERVADO")</f>
        <v/>
      </c>
    </row>
    <row r="138" ht="15" customHeight="1" s="195">
      <c r="A138" s="280" t="n"/>
      <c r="B138" s="280" t="n"/>
      <c r="C138" s="280" t="n"/>
      <c r="D138" s="280" t="n"/>
      <c r="E138" s="280" t="n"/>
      <c r="F138" s="280" t="n"/>
      <c r="G138" s="280" t="n"/>
      <c r="H138" s="280" t="n"/>
      <c r="I138" s="332">
        <f>IFERROR(VLOOKUP(TEXT(H138,"0"),IPRESS!$A$3:$B$212,2,0),"")</f>
        <v/>
      </c>
      <c r="J138" s="280" t="n"/>
      <c r="K138" s="332">
        <f>IFERROR(VLOOKUP(TEXT(O138,"0"),CONDUCTORES!$A$3:$G$54,7,0),"")</f>
        <v/>
      </c>
      <c r="L138" s="280" t="n"/>
      <c r="M138" s="280" t="n"/>
      <c r="N138" s="333">
        <f>IFERROR(IF(L138*M138=0,"",L138*M138),"")</f>
        <v/>
      </c>
      <c r="O138" s="280" t="n"/>
      <c r="P138" s="332">
        <f>IFERROR(VLOOKUP(TEXT(O138,"0"),CONDUCTORES!$A$3:$G$54,2,0),"")</f>
        <v/>
      </c>
      <c r="Q138" s="332">
        <f>IFERROR(VLOOKUP(TEXT(O138,"0"),CONDUCTORES!$A$3:$H$54,6,0),"")</f>
        <v/>
      </c>
      <c r="R138" s="280" t="n"/>
      <c r="S138" s="280" t="n"/>
      <c r="T138" s="280" t="n"/>
      <c r="U138" s="280" t="n"/>
      <c r="V138" s="280" t="n"/>
      <c r="W138" s="280" t="n"/>
      <c r="X138" s="280" t="n"/>
      <c r="Y138" s="280" t="n"/>
      <c r="Z138" s="375">
        <f>IF(AND(G138&lt;&gt;"",R138&lt;&gt;"",V138&lt;&gt;"",W138&lt;&gt;""),"COMPLETADO","OBSERVADO")</f>
        <v/>
      </c>
    </row>
    <row r="139" ht="15" customHeight="1" s="195">
      <c r="A139" s="334" t="n"/>
      <c r="B139" s="334" t="n"/>
      <c r="C139" s="334" t="n"/>
      <c r="D139" s="334" t="n"/>
      <c r="E139" s="334" t="n"/>
      <c r="F139" s="334" t="n"/>
      <c r="G139" s="334" t="n"/>
      <c r="H139" s="334" t="n"/>
      <c r="I139" s="332">
        <f>IFERROR(VLOOKUP(TEXT(H139,"0"),IPRESS!$A$3:$B$212,2,0),"")</f>
        <v/>
      </c>
      <c r="J139" s="334" t="n"/>
      <c r="K139" s="332">
        <f>IFERROR(VLOOKUP(TEXT(O139,"0"),CONDUCTORES!$A$3:$G$54,7,0),"")</f>
        <v/>
      </c>
      <c r="L139" s="334" t="n"/>
      <c r="M139" s="334" t="n"/>
      <c r="N139" s="333">
        <f>IFERROR(IF(L139*M139=0,"",L139*M139),"")</f>
        <v/>
      </c>
      <c r="O139" s="334" t="n"/>
      <c r="P139" s="332">
        <f>IFERROR(VLOOKUP(TEXT(O139,"0"),CONDUCTORES!$A$3:$G$54,2,0),"")</f>
        <v/>
      </c>
      <c r="Q139" s="332">
        <f>IFERROR(VLOOKUP(TEXT(O139,"0"),CONDUCTORES!$A$3:$H$54,6,0),"")</f>
        <v/>
      </c>
      <c r="R139" s="334" t="n"/>
      <c r="S139" s="334" t="n"/>
      <c r="T139" s="334" t="n"/>
      <c r="U139" s="334" t="n"/>
      <c r="V139" s="334" t="n"/>
      <c r="W139" s="334" t="n"/>
      <c r="X139" s="334" t="n"/>
      <c r="Y139" s="334" t="n"/>
      <c r="Z139" s="375">
        <f>IF(AND(G139&lt;&gt;"",R139&lt;&gt;"",V139&lt;&gt;"",W139&lt;&gt;""),"COMPLETADO","OBSERVADO")</f>
        <v/>
      </c>
    </row>
    <row r="140" ht="15" customHeight="1" s="195">
      <c r="A140" s="280" t="n"/>
      <c r="B140" s="280" t="n"/>
      <c r="C140" s="280" t="n"/>
      <c r="D140" s="280" t="n"/>
      <c r="E140" s="280" t="n"/>
      <c r="F140" s="280" t="n"/>
      <c r="G140" s="280" t="n"/>
      <c r="H140" s="280" t="n"/>
      <c r="I140" s="332">
        <f>IFERROR(VLOOKUP(TEXT(H140,"0"),IPRESS!$A$3:$B$212,2,0),"")</f>
        <v/>
      </c>
      <c r="J140" s="280" t="n"/>
      <c r="K140" s="332">
        <f>IFERROR(VLOOKUP(TEXT(O140,"0"),CONDUCTORES!$A$3:$G$54,7,0),"")</f>
        <v/>
      </c>
      <c r="L140" s="280" t="n"/>
      <c r="M140" s="280" t="n"/>
      <c r="N140" s="333">
        <f>IFERROR(IF(L140*M140=0,"",L140*M140),"")</f>
        <v/>
      </c>
      <c r="O140" s="280" t="n"/>
      <c r="P140" s="332">
        <f>IFERROR(VLOOKUP(TEXT(O140,"0"),CONDUCTORES!$A$3:$G$54,2,0),"")</f>
        <v/>
      </c>
      <c r="Q140" s="332">
        <f>IFERROR(VLOOKUP(TEXT(O140,"0"),CONDUCTORES!$A$3:$H$54,6,0),"")</f>
        <v/>
      </c>
      <c r="R140" s="280" t="n"/>
      <c r="S140" s="280" t="n"/>
      <c r="T140" s="280" t="n"/>
      <c r="U140" s="280" t="n"/>
      <c r="V140" s="280" t="n"/>
      <c r="W140" s="280" t="n"/>
      <c r="X140" s="280" t="n"/>
      <c r="Y140" s="280" t="n"/>
      <c r="Z140" s="375">
        <f>IF(AND(G140&lt;&gt;"",R140&lt;&gt;"",V140&lt;&gt;"",W140&lt;&gt;""),"COMPLETADO","OBSERVADO")</f>
        <v/>
      </c>
    </row>
    <row r="141" ht="15" customHeight="1" s="195">
      <c r="A141" s="334" t="n"/>
      <c r="B141" s="334" t="n"/>
      <c r="C141" s="334" t="n"/>
      <c r="D141" s="334" t="n"/>
      <c r="E141" s="334" t="n"/>
      <c r="F141" s="334" t="n"/>
      <c r="G141" s="334" t="n"/>
      <c r="H141" s="334" t="n"/>
      <c r="I141" s="332">
        <f>IFERROR(VLOOKUP(TEXT(H141,"0"),IPRESS!$A$3:$B$212,2,0),"")</f>
        <v/>
      </c>
      <c r="J141" s="334" t="n"/>
      <c r="K141" s="332">
        <f>IFERROR(VLOOKUP(TEXT(O141,"0"),CONDUCTORES!$A$3:$G$54,7,0),"")</f>
        <v/>
      </c>
      <c r="L141" s="334" t="n"/>
      <c r="M141" s="334" t="n"/>
      <c r="N141" s="333">
        <f>IFERROR(IF(L141*M141=0,"",L141*M141),"")</f>
        <v/>
      </c>
      <c r="O141" s="334" t="n"/>
      <c r="P141" s="332">
        <f>IFERROR(VLOOKUP(TEXT(O141,"0"),CONDUCTORES!$A$3:$G$54,2,0),"")</f>
        <v/>
      </c>
      <c r="Q141" s="332">
        <f>IFERROR(VLOOKUP(TEXT(O141,"0"),CONDUCTORES!$A$3:$H$54,6,0),"")</f>
        <v/>
      </c>
      <c r="R141" s="334" t="n"/>
      <c r="S141" s="334" t="n"/>
      <c r="T141" s="334" t="n"/>
      <c r="U141" s="334" t="n"/>
      <c r="V141" s="334" t="n"/>
      <c r="W141" s="334" t="n"/>
      <c r="X141" s="334" t="n"/>
      <c r="Y141" s="334" t="n"/>
      <c r="Z141" s="375">
        <f>IF(AND(G141&lt;&gt;"",R141&lt;&gt;"",V141&lt;&gt;"",W141&lt;&gt;""),"COMPLETADO","OBSERVADO")</f>
        <v/>
      </c>
    </row>
    <row r="142" ht="15" customHeight="1" s="195">
      <c r="A142" s="280" t="n"/>
      <c r="B142" s="280" t="n"/>
      <c r="C142" s="280" t="n"/>
      <c r="D142" s="280" t="n"/>
      <c r="E142" s="280" t="n"/>
      <c r="F142" s="280" t="n"/>
      <c r="G142" s="280" t="n"/>
      <c r="H142" s="280" t="n"/>
      <c r="I142" s="332">
        <f>IFERROR(VLOOKUP(TEXT(H142,"0"),IPRESS!$A$3:$B$212,2,0),"")</f>
        <v/>
      </c>
      <c r="J142" s="280" t="n"/>
      <c r="K142" s="332">
        <f>IFERROR(VLOOKUP(TEXT(O142,"0"),CONDUCTORES!$A$3:$G$54,7,0),"")</f>
        <v/>
      </c>
      <c r="L142" s="280" t="n"/>
      <c r="M142" s="280" t="n"/>
      <c r="N142" s="333">
        <f>IFERROR(IF(L142*M142=0,"",L142*M142),"")</f>
        <v/>
      </c>
      <c r="O142" s="280" t="n"/>
      <c r="P142" s="332">
        <f>IFERROR(VLOOKUP(TEXT(O142,"0"),CONDUCTORES!$A$3:$G$54,2,0),"")</f>
        <v/>
      </c>
      <c r="Q142" s="332">
        <f>IFERROR(VLOOKUP(TEXT(O142,"0"),CONDUCTORES!$A$3:$H$54,6,0),"")</f>
        <v/>
      </c>
      <c r="R142" s="280" t="n"/>
      <c r="S142" s="280" t="n"/>
      <c r="T142" s="280" t="n"/>
      <c r="U142" s="280" t="n"/>
      <c r="V142" s="280" t="n"/>
      <c r="W142" s="280" t="n"/>
      <c r="X142" s="280" t="n"/>
      <c r="Y142" s="280" t="n"/>
      <c r="Z142" s="375">
        <f>IF(AND(G142&lt;&gt;"",R142&lt;&gt;"",V142&lt;&gt;"",W142&lt;&gt;""),"COMPLETADO","OBSERVADO")</f>
        <v/>
      </c>
    </row>
    <row r="143" ht="15" customHeight="1" s="195">
      <c r="A143" s="334" t="n"/>
      <c r="B143" s="334" t="n"/>
      <c r="C143" s="334" t="n"/>
      <c r="D143" s="334" t="n"/>
      <c r="E143" s="334" t="n"/>
      <c r="F143" s="334" t="n"/>
      <c r="G143" s="334" t="n"/>
      <c r="H143" s="334" t="n"/>
      <c r="I143" s="332">
        <f>IFERROR(VLOOKUP(TEXT(H143,"0"),IPRESS!$A$3:$B$212,2,0),"")</f>
        <v/>
      </c>
      <c r="J143" s="334" t="n"/>
      <c r="K143" s="332">
        <f>IFERROR(VLOOKUP(TEXT(O143,"0"),CONDUCTORES!$A$3:$G$54,7,0),"")</f>
        <v/>
      </c>
      <c r="L143" s="334" t="n"/>
      <c r="M143" s="334" t="n"/>
      <c r="N143" s="333">
        <f>IFERROR(IF(L143*M143=0,"",L143*M143),"")</f>
        <v/>
      </c>
      <c r="O143" s="334" t="n"/>
      <c r="P143" s="332">
        <f>IFERROR(VLOOKUP(TEXT(O143,"0"),CONDUCTORES!$A$3:$G$54,2,0),"")</f>
        <v/>
      </c>
      <c r="Q143" s="332">
        <f>IFERROR(VLOOKUP(TEXT(O143,"0"),CONDUCTORES!$A$3:$H$54,6,0),"")</f>
        <v/>
      </c>
      <c r="R143" s="334" t="n"/>
      <c r="S143" s="334" t="n"/>
      <c r="T143" s="334" t="n"/>
      <c r="U143" s="334" t="n"/>
      <c r="V143" s="334" t="n"/>
      <c r="W143" s="334" t="n"/>
      <c r="X143" s="334" t="n"/>
      <c r="Y143" s="334" t="n"/>
      <c r="Z143" s="375">
        <f>IF(AND(G143&lt;&gt;"",R143&lt;&gt;"",V143&lt;&gt;"",W143&lt;&gt;""),"COMPLETADO","OBSERVADO")</f>
        <v/>
      </c>
    </row>
    <row r="144" ht="15" customHeight="1" s="195">
      <c r="A144" s="280" t="n"/>
      <c r="B144" s="280" t="n"/>
      <c r="C144" s="280" t="n"/>
      <c r="D144" s="280" t="n"/>
      <c r="E144" s="280" t="n"/>
      <c r="F144" s="280" t="n"/>
      <c r="G144" s="280" t="n"/>
      <c r="H144" s="280" t="n"/>
      <c r="I144" s="332">
        <f>IFERROR(VLOOKUP(TEXT(H144,"0"),IPRESS!$A$3:$B$212,2,0),"")</f>
        <v/>
      </c>
      <c r="J144" s="280" t="n"/>
      <c r="K144" s="332">
        <f>IFERROR(VLOOKUP(TEXT(O144,"0"),CONDUCTORES!$A$3:$G$54,7,0),"")</f>
        <v/>
      </c>
      <c r="L144" s="280" t="n"/>
      <c r="M144" s="280" t="n"/>
      <c r="N144" s="333">
        <f>IFERROR(IF(L144*M144=0,"",L144*M144),"")</f>
        <v/>
      </c>
      <c r="O144" s="280" t="n"/>
      <c r="P144" s="332">
        <f>IFERROR(VLOOKUP(TEXT(O144,"0"),CONDUCTORES!$A$3:$G$54,2,0),"")</f>
        <v/>
      </c>
      <c r="Q144" s="332">
        <f>IFERROR(VLOOKUP(TEXT(O144,"0"),CONDUCTORES!$A$3:$H$54,6,0),"")</f>
        <v/>
      </c>
      <c r="R144" s="280" t="n"/>
      <c r="S144" s="280" t="n"/>
      <c r="T144" s="280" t="n"/>
      <c r="U144" s="280" t="n"/>
      <c r="V144" s="280" t="n"/>
      <c r="W144" s="280" t="n"/>
      <c r="X144" s="280" t="n"/>
      <c r="Y144" s="280" t="n"/>
      <c r="Z144" s="375">
        <f>IF(AND(G144&lt;&gt;"",R144&lt;&gt;"",V144&lt;&gt;"",W144&lt;&gt;""),"COMPLETADO","OBSERVADO")</f>
        <v/>
      </c>
    </row>
    <row r="145" ht="15" customHeight="1" s="195">
      <c r="A145" s="334" t="n"/>
      <c r="B145" s="334" t="n"/>
      <c r="C145" s="334" t="n"/>
      <c r="D145" s="334" t="n"/>
      <c r="E145" s="334" t="n"/>
      <c r="F145" s="334" t="n"/>
      <c r="G145" s="334" t="n"/>
      <c r="H145" s="334" t="n"/>
      <c r="I145" s="332">
        <f>IFERROR(VLOOKUP(TEXT(H145,"0"),IPRESS!$A$3:$B$212,2,0),"")</f>
        <v/>
      </c>
      <c r="J145" s="334" t="n"/>
      <c r="K145" s="332">
        <f>IFERROR(VLOOKUP(TEXT(O145,"0"),CONDUCTORES!$A$3:$G$54,7,0),"")</f>
        <v/>
      </c>
      <c r="L145" s="334" t="n"/>
      <c r="M145" s="334" t="n"/>
      <c r="N145" s="333">
        <f>IFERROR(IF(L145*M145=0,"",L145*M145),"")</f>
        <v/>
      </c>
      <c r="O145" s="334" t="n"/>
      <c r="P145" s="332">
        <f>IFERROR(VLOOKUP(TEXT(O145,"0"),CONDUCTORES!$A$3:$G$54,2,0),"")</f>
        <v/>
      </c>
      <c r="Q145" s="332">
        <f>IFERROR(VLOOKUP(TEXT(O145,"0"),CONDUCTORES!$A$3:$H$54,6,0),"")</f>
        <v/>
      </c>
      <c r="R145" s="334" t="n"/>
      <c r="S145" s="334" t="n"/>
      <c r="T145" s="334" t="n"/>
      <c r="U145" s="334" t="n"/>
      <c r="V145" s="334" t="n"/>
      <c r="W145" s="334" t="n"/>
      <c r="X145" s="334" t="n"/>
      <c r="Y145" s="334" t="n"/>
      <c r="Z145" s="375">
        <f>IF(AND(G145&lt;&gt;"",R145&lt;&gt;"",V145&lt;&gt;"",W145&lt;&gt;""),"COMPLETADO","OBSERVADO")</f>
        <v/>
      </c>
    </row>
    <row r="146" ht="15" customHeight="1" s="195">
      <c r="A146" s="280" t="n"/>
      <c r="B146" s="280" t="n"/>
      <c r="C146" s="280" t="n"/>
      <c r="D146" s="280" t="n"/>
      <c r="E146" s="280" t="n"/>
      <c r="F146" s="280" t="n"/>
      <c r="G146" s="280" t="n"/>
      <c r="H146" s="280" t="n"/>
      <c r="I146" s="332">
        <f>IFERROR(VLOOKUP(TEXT(H146,"0"),IPRESS!$A$3:$B$212,2,0),"")</f>
        <v/>
      </c>
      <c r="J146" s="280" t="n"/>
      <c r="K146" s="332">
        <f>IFERROR(VLOOKUP(TEXT(O146,"0"),CONDUCTORES!$A$3:$G$54,7,0),"")</f>
        <v/>
      </c>
      <c r="L146" s="280" t="n"/>
      <c r="M146" s="280" t="n"/>
      <c r="N146" s="333">
        <f>IFERROR(IF(L146*M146=0,"",L146*M146),"")</f>
        <v/>
      </c>
      <c r="O146" s="280" t="n"/>
      <c r="P146" s="332">
        <f>IFERROR(VLOOKUP(TEXT(O146,"0"),CONDUCTORES!$A$3:$G$54,2,0),"")</f>
        <v/>
      </c>
      <c r="Q146" s="332">
        <f>IFERROR(VLOOKUP(TEXT(O146,"0"),CONDUCTORES!$A$3:$H$54,6,0),"")</f>
        <v/>
      </c>
      <c r="R146" s="280" t="n"/>
      <c r="S146" s="280" t="n"/>
      <c r="T146" s="280" t="n"/>
      <c r="U146" s="280" t="n"/>
      <c r="V146" s="280" t="n"/>
      <c r="W146" s="280" t="n"/>
      <c r="X146" s="280" t="n"/>
      <c r="Y146" s="280" t="n"/>
      <c r="Z146" s="375">
        <f>IF(AND(G146&lt;&gt;"",R146&lt;&gt;"",V146&lt;&gt;"",W146&lt;&gt;""),"COMPLETADO","OBSERVADO")</f>
        <v/>
      </c>
    </row>
    <row r="147" ht="15" customHeight="1" s="195">
      <c r="A147" s="334" t="n"/>
      <c r="B147" s="334" t="n"/>
      <c r="C147" s="334" t="n"/>
      <c r="D147" s="334" t="n"/>
      <c r="E147" s="334" t="n"/>
      <c r="F147" s="334" t="n"/>
      <c r="G147" s="334" t="n"/>
      <c r="H147" s="334" t="n"/>
      <c r="I147" s="332">
        <f>IFERROR(VLOOKUP(TEXT(H147,"0"),IPRESS!$A$3:$B$212,2,0),"")</f>
        <v/>
      </c>
      <c r="J147" s="334" t="n"/>
      <c r="K147" s="332">
        <f>IFERROR(VLOOKUP(TEXT(O147,"0"),CONDUCTORES!$A$3:$G$54,7,0),"")</f>
        <v/>
      </c>
      <c r="L147" s="334" t="n"/>
      <c r="M147" s="334" t="n"/>
      <c r="N147" s="333">
        <f>IFERROR(IF(L147*M147=0,"",L147*M147),"")</f>
        <v/>
      </c>
      <c r="O147" s="334" t="n"/>
      <c r="P147" s="332">
        <f>IFERROR(VLOOKUP(TEXT(O147,"0"),CONDUCTORES!$A$3:$G$54,2,0),"")</f>
        <v/>
      </c>
      <c r="Q147" s="332">
        <f>IFERROR(VLOOKUP(TEXT(O147,"0"),CONDUCTORES!$A$3:$H$54,6,0),"")</f>
        <v/>
      </c>
      <c r="R147" s="334" t="n"/>
      <c r="S147" s="334" t="n"/>
      <c r="T147" s="334" t="n"/>
      <c r="U147" s="334" t="n"/>
      <c r="V147" s="334" t="n"/>
      <c r="W147" s="334" t="n"/>
      <c r="X147" s="334" t="n"/>
      <c r="Y147" s="334" t="n"/>
      <c r="Z147" s="375">
        <f>IF(AND(G147&lt;&gt;"",R147&lt;&gt;"",V147&lt;&gt;"",W147&lt;&gt;""),"COMPLETADO","OBSERVADO")</f>
        <v/>
      </c>
    </row>
    <row r="148" ht="15" customHeight="1" s="195">
      <c r="A148" s="280" t="n"/>
      <c r="B148" s="280" t="n"/>
      <c r="C148" s="280" t="n"/>
      <c r="D148" s="280" t="n"/>
      <c r="E148" s="280" t="n"/>
      <c r="F148" s="280" t="n"/>
      <c r="G148" s="280" t="n"/>
      <c r="H148" s="280" t="n"/>
      <c r="I148" s="332">
        <f>IFERROR(VLOOKUP(TEXT(H148,"0"),IPRESS!$A$3:$B$212,2,0),"")</f>
        <v/>
      </c>
      <c r="J148" s="280" t="n"/>
      <c r="K148" s="332">
        <f>IFERROR(VLOOKUP(TEXT(O148,"0"),CONDUCTORES!$A$3:$G$54,7,0),"")</f>
        <v/>
      </c>
      <c r="L148" s="280" t="n"/>
      <c r="M148" s="280" t="n"/>
      <c r="N148" s="333">
        <f>IFERROR(IF(L148*M148=0,"",L148*M148),"")</f>
        <v/>
      </c>
      <c r="O148" s="280" t="n"/>
      <c r="P148" s="332">
        <f>IFERROR(VLOOKUP(TEXT(O148,"0"),CONDUCTORES!$A$3:$G$54,2,0),"")</f>
        <v/>
      </c>
      <c r="Q148" s="332">
        <f>IFERROR(VLOOKUP(TEXT(O148,"0"),CONDUCTORES!$A$3:$H$54,6,0),"")</f>
        <v/>
      </c>
      <c r="R148" s="280" t="n"/>
      <c r="S148" s="280" t="n"/>
      <c r="T148" s="280" t="n"/>
      <c r="U148" s="280" t="n"/>
      <c r="V148" s="280" t="n"/>
      <c r="W148" s="280" t="n"/>
      <c r="X148" s="280" t="n"/>
      <c r="Y148" s="280" t="n"/>
      <c r="Z148" s="375">
        <f>IF(AND(G148&lt;&gt;"",R148&lt;&gt;"",V148&lt;&gt;"",W148&lt;&gt;""),"COMPLETADO","OBSERVADO")</f>
        <v/>
      </c>
    </row>
    <row r="149" ht="15" customHeight="1" s="195">
      <c r="A149" s="334" t="n"/>
      <c r="B149" s="334" t="n"/>
      <c r="C149" s="334" t="n"/>
      <c r="D149" s="334" t="n"/>
      <c r="E149" s="334" t="n"/>
      <c r="F149" s="334" t="n"/>
      <c r="G149" s="334" t="n"/>
      <c r="H149" s="334" t="n"/>
      <c r="I149" s="332">
        <f>IFERROR(VLOOKUP(TEXT(H149,"0"),IPRESS!$A$3:$B$212,2,0),"")</f>
        <v/>
      </c>
      <c r="J149" s="334" t="n"/>
      <c r="K149" s="332">
        <f>IFERROR(VLOOKUP(TEXT(O149,"0"),CONDUCTORES!$A$3:$G$54,7,0),"")</f>
        <v/>
      </c>
      <c r="L149" s="334" t="n"/>
      <c r="M149" s="334" t="n"/>
      <c r="N149" s="333">
        <f>IFERROR(IF(L149*M149=0,"",L149*M149),"")</f>
        <v/>
      </c>
      <c r="O149" s="334" t="n"/>
      <c r="P149" s="332">
        <f>IFERROR(VLOOKUP(TEXT(O149,"0"),CONDUCTORES!$A$3:$G$54,2,0),"")</f>
        <v/>
      </c>
      <c r="Q149" s="332">
        <f>IFERROR(VLOOKUP(TEXT(O149,"0"),CONDUCTORES!$A$3:$H$54,6,0),"")</f>
        <v/>
      </c>
      <c r="R149" s="334" t="n"/>
      <c r="S149" s="334" t="n"/>
      <c r="T149" s="334" t="n"/>
      <c r="U149" s="334" t="n"/>
      <c r="V149" s="334" t="n"/>
      <c r="W149" s="334" t="n"/>
      <c r="X149" s="334" t="n"/>
      <c r="Y149" s="334" t="n"/>
      <c r="Z149" s="375">
        <f>IF(AND(G149&lt;&gt;"",R149&lt;&gt;"",V149&lt;&gt;"",W149&lt;&gt;""),"COMPLETADO","OBSERVADO")</f>
        <v/>
      </c>
    </row>
    <row r="150" ht="15" customHeight="1" s="195">
      <c r="A150" s="280" t="n"/>
      <c r="B150" s="280" t="n"/>
      <c r="C150" s="280" t="n"/>
      <c r="D150" s="280" t="n"/>
      <c r="E150" s="280" t="n"/>
      <c r="F150" s="280" t="n"/>
      <c r="G150" s="280" t="n"/>
      <c r="H150" s="280" t="n"/>
      <c r="I150" s="332">
        <f>IFERROR(VLOOKUP(TEXT(H150,"0"),IPRESS!$A$3:$B$212,2,0),"")</f>
        <v/>
      </c>
      <c r="J150" s="280" t="n"/>
      <c r="K150" s="332">
        <f>IFERROR(VLOOKUP(TEXT(O150,"0"),CONDUCTORES!$A$3:$G$54,7,0),"")</f>
        <v/>
      </c>
      <c r="L150" s="280" t="n"/>
      <c r="M150" s="280" t="n"/>
      <c r="N150" s="333">
        <f>IFERROR(IF(L150*M150=0,"",L150*M150),"")</f>
        <v/>
      </c>
      <c r="O150" s="280" t="n"/>
      <c r="P150" s="332">
        <f>IFERROR(VLOOKUP(TEXT(O150,"0"),CONDUCTORES!$A$3:$G$54,2,0),"")</f>
        <v/>
      </c>
      <c r="Q150" s="332">
        <f>IFERROR(VLOOKUP(TEXT(O150,"0"),CONDUCTORES!$A$3:$H$54,6,0),"")</f>
        <v/>
      </c>
      <c r="R150" s="280" t="n"/>
      <c r="S150" s="280" t="n"/>
      <c r="T150" s="280" t="n"/>
      <c r="U150" s="280" t="n"/>
      <c r="V150" s="280" t="n"/>
      <c r="W150" s="280" t="n"/>
      <c r="X150" s="280" t="n"/>
      <c r="Y150" s="280" t="n"/>
      <c r="Z150" s="375">
        <f>IF(AND(G150&lt;&gt;"",R150&lt;&gt;"",V150&lt;&gt;"",W150&lt;&gt;""),"COMPLETADO","OBSERVADO")</f>
        <v/>
      </c>
    </row>
    <row r="151" ht="15" customHeight="1" s="195">
      <c r="A151" s="334" t="n"/>
      <c r="B151" s="334" t="n"/>
      <c r="C151" s="334" t="n"/>
      <c r="D151" s="334" t="n"/>
      <c r="E151" s="334" t="n"/>
      <c r="F151" s="334" t="n"/>
      <c r="G151" s="334" t="n"/>
      <c r="H151" s="334" t="n"/>
      <c r="I151" s="332">
        <f>IFERROR(VLOOKUP(TEXT(H151,"0"),IPRESS!$A$3:$B$212,2,0),"")</f>
        <v/>
      </c>
      <c r="J151" s="334" t="n"/>
      <c r="K151" s="332">
        <f>IFERROR(VLOOKUP(TEXT(O151,"0"),CONDUCTORES!$A$3:$G$54,7,0),"")</f>
        <v/>
      </c>
      <c r="L151" s="334" t="n"/>
      <c r="M151" s="334" t="n"/>
      <c r="N151" s="333">
        <f>IFERROR(IF(L151*M151=0,"",L151*M151),"")</f>
        <v/>
      </c>
      <c r="O151" s="334" t="n"/>
      <c r="P151" s="332">
        <f>IFERROR(VLOOKUP(TEXT(O151,"0"),CONDUCTORES!$A$3:$G$54,2,0),"")</f>
        <v/>
      </c>
      <c r="Q151" s="332">
        <f>IFERROR(VLOOKUP(TEXT(O151,"0"),CONDUCTORES!$A$3:$H$54,6,0),"")</f>
        <v/>
      </c>
      <c r="R151" s="334" t="n"/>
      <c r="S151" s="334" t="n"/>
      <c r="T151" s="334" t="n"/>
      <c r="U151" s="334" t="n"/>
      <c r="V151" s="334" t="n"/>
      <c r="W151" s="334" t="n"/>
      <c r="X151" s="334" t="n"/>
      <c r="Y151" s="334" t="n"/>
      <c r="Z151" s="375">
        <f>IF(AND(G151&lt;&gt;"",R151&lt;&gt;"",V151&lt;&gt;"",W151&lt;&gt;""),"COMPLETADO","OBSERVADO")</f>
        <v/>
      </c>
    </row>
    <row r="152" ht="15" customHeight="1" s="195">
      <c r="A152" s="280" t="n"/>
      <c r="B152" s="280" t="n"/>
      <c r="C152" s="280" t="n"/>
      <c r="D152" s="280" t="n"/>
      <c r="E152" s="280" t="n"/>
      <c r="F152" s="280" t="n"/>
      <c r="G152" s="280" t="n"/>
      <c r="H152" s="280" t="n"/>
      <c r="I152" s="332">
        <f>IFERROR(VLOOKUP(TEXT(H152,"0"),IPRESS!$A$3:$B$212,2,0),"")</f>
        <v/>
      </c>
      <c r="J152" s="280" t="n"/>
      <c r="K152" s="332">
        <f>IFERROR(VLOOKUP(TEXT(O152,"0"),CONDUCTORES!$A$3:$G$54,7,0),"")</f>
        <v/>
      </c>
      <c r="L152" s="280" t="n"/>
      <c r="M152" s="280" t="n"/>
      <c r="N152" s="333">
        <f>IFERROR(IF(L152*M152=0,"",L152*M152),"")</f>
        <v/>
      </c>
      <c r="O152" s="280" t="n"/>
      <c r="P152" s="332">
        <f>IFERROR(VLOOKUP(TEXT(O152,"0"),CONDUCTORES!$A$3:$G$54,2,0),"")</f>
        <v/>
      </c>
      <c r="Q152" s="332">
        <f>IFERROR(VLOOKUP(TEXT(O152,"0"),CONDUCTORES!$A$3:$H$54,6,0),"")</f>
        <v/>
      </c>
      <c r="R152" s="280" t="n"/>
      <c r="S152" s="280" t="n"/>
      <c r="T152" s="280" t="n"/>
      <c r="U152" s="280" t="n"/>
      <c r="V152" s="280" t="n"/>
      <c r="W152" s="280" t="n"/>
      <c r="X152" s="280" t="n"/>
      <c r="Y152" s="280" t="n"/>
      <c r="Z152" s="375">
        <f>IF(AND(G152&lt;&gt;"",R152&lt;&gt;"",V152&lt;&gt;"",W152&lt;&gt;""),"COMPLETADO","OBSERVADO")</f>
        <v/>
      </c>
    </row>
    <row r="153" ht="15" customHeight="1" s="195">
      <c r="A153" s="334" t="n"/>
      <c r="B153" s="334" t="n"/>
      <c r="C153" s="334" t="n"/>
      <c r="D153" s="334" t="n"/>
      <c r="E153" s="334" t="n"/>
      <c r="F153" s="334" t="n"/>
      <c r="G153" s="334" t="n"/>
      <c r="H153" s="334" t="n"/>
      <c r="I153" s="332">
        <f>IFERROR(VLOOKUP(TEXT(H153,"0"),IPRESS!$A$3:$B$212,2,0),"")</f>
        <v/>
      </c>
      <c r="J153" s="334" t="n"/>
      <c r="K153" s="332">
        <f>IFERROR(VLOOKUP(TEXT(O153,"0"),CONDUCTORES!$A$3:$G$54,7,0),"")</f>
        <v/>
      </c>
      <c r="L153" s="334" t="n"/>
      <c r="M153" s="334" t="n"/>
      <c r="N153" s="333">
        <f>IFERROR(IF(L153*M153=0,"",L153*M153),"")</f>
        <v/>
      </c>
      <c r="O153" s="334" t="n"/>
      <c r="P153" s="332">
        <f>IFERROR(VLOOKUP(TEXT(O153,"0"),CONDUCTORES!$A$3:$G$54,2,0),"")</f>
        <v/>
      </c>
      <c r="Q153" s="332">
        <f>IFERROR(VLOOKUP(TEXT(O153,"0"),CONDUCTORES!$A$3:$H$54,6,0),"")</f>
        <v/>
      </c>
      <c r="R153" s="334" t="n"/>
      <c r="S153" s="334" t="n"/>
      <c r="T153" s="334" t="n"/>
      <c r="U153" s="334" t="n"/>
      <c r="V153" s="334" t="n"/>
      <c r="W153" s="334" t="n"/>
      <c r="X153" s="334" t="n"/>
      <c r="Y153" s="334" t="n"/>
      <c r="Z153" s="375">
        <f>IF(AND(G153&lt;&gt;"",R153&lt;&gt;"",V153&lt;&gt;"",W153&lt;&gt;""),"COMPLETADO","OBSERVADO")</f>
        <v/>
      </c>
    </row>
    <row r="154" ht="15" customHeight="1" s="195">
      <c r="A154" s="280" t="n"/>
      <c r="B154" s="280" t="n"/>
      <c r="C154" s="280" t="n"/>
      <c r="D154" s="280" t="n"/>
      <c r="E154" s="280" t="n"/>
      <c r="F154" s="280" t="n"/>
      <c r="G154" s="280" t="n"/>
      <c r="H154" s="280" t="n"/>
      <c r="I154" s="332">
        <f>IFERROR(VLOOKUP(TEXT(H154,"0"),IPRESS!$A$3:$B$212,2,0),"")</f>
        <v/>
      </c>
      <c r="J154" s="280" t="n"/>
      <c r="K154" s="332">
        <f>IFERROR(VLOOKUP(TEXT(O154,"0"),CONDUCTORES!$A$3:$G$54,7,0),"")</f>
        <v/>
      </c>
      <c r="L154" s="280" t="n"/>
      <c r="M154" s="280" t="n"/>
      <c r="N154" s="333">
        <f>IFERROR(IF(L154*M154=0,"",L154*M154),"")</f>
        <v/>
      </c>
      <c r="O154" s="280" t="n"/>
      <c r="P154" s="332">
        <f>IFERROR(VLOOKUP(TEXT(O154,"0"),CONDUCTORES!$A$3:$G$54,2,0),"")</f>
        <v/>
      </c>
      <c r="Q154" s="332">
        <f>IFERROR(VLOOKUP(TEXT(O154,"0"),CONDUCTORES!$A$3:$H$54,6,0),"")</f>
        <v/>
      </c>
      <c r="R154" s="280" t="n"/>
      <c r="S154" s="280" t="n"/>
      <c r="T154" s="280" t="n"/>
      <c r="U154" s="280" t="n"/>
      <c r="V154" s="280" t="n"/>
      <c r="W154" s="280" t="n"/>
      <c r="X154" s="280" t="n"/>
      <c r="Y154" s="280" t="n"/>
      <c r="Z154" s="375">
        <f>IF(AND(G154&lt;&gt;"",R154&lt;&gt;"",V154&lt;&gt;"",W154&lt;&gt;""),"COMPLETADO","OBSERVADO")</f>
        <v/>
      </c>
    </row>
    <row r="155" ht="15" customHeight="1" s="195">
      <c r="A155" s="334" t="n"/>
      <c r="B155" s="334" t="n"/>
      <c r="C155" s="334" t="n"/>
      <c r="D155" s="334" t="n"/>
      <c r="E155" s="334" t="n"/>
      <c r="F155" s="334" t="n"/>
      <c r="G155" s="334" t="n"/>
      <c r="H155" s="334" t="n"/>
      <c r="I155" s="332">
        <f>IFERROR(VLOOKUP(TEXT(H155,"0"),IPRESS!$A$3:$B$212,2,0),"")</f>
        <v/>
      </c>
      <c r="J155" s="334" t="n"/>
      <c r="K155" s="332">
        <f>IFERROR(VLOOKUP(TEXT(O155,"0"),CONDUCTORES!$A$3:$G$54,7,0),"")</f>
        <v/>
      </c>
      <c r="L155" s="334" t="n"/>
      <c r="M155" s="334" t="n"/>
      <c r="N155" s="333">
        <f>IFERROR(IF(L155*M155=0,"",L155*M155),"")</f>
        <v/>
      </c>
      <c r="O155" s="334" t="n"/>
      <c r="P155" s="332">
        <f>IFERROR(VLOOKUP(TEXT(O155,"0"),CONDUCTORES!$A$3:$G$54,2,0),"")</f>
        <v/>
      </c>
      <c r="Q155" s="332">
        <f>IFERROR(VLOOKUP(TEXT(O155,"0"),CONDUCTORES!$A$3:$H$54,6,0),"")</f>
        <v/>
      </c>
      <c r="R155" s="334" t="n"/>
      <c r="S155" s="334" t="n"/>
      <c r="T155" s="334" t="n"/>
      <c r="U155" s="334" t="n"/>
      <c r="V155" s="334" t="n"/>
      <c r="W155" s="334" t="n"/>
      <c r="X155" s="334" t="n"/>
      <c r="Y155" s="334" t="n"/>
      <c r="Z155" s="375">
        <f>IF(AND(G155&lt;&gt;"",R155&lt;&gt;"",V155&lt;&gt;"",W155&lt;&gt;""),"COMPLETADO","OBSERVADO")</f>
        <v/>
      </c>
    </row>
    <row r="156" ht="15" customHeight="1" s="195">
      <c r="A156" s="280" t="n"/>
      <c r="B156" s="280" t="n"/>
      <c r="C156" s="280" t="n"/>
      <c r="D156" s="280" t="n"/>
      <c r="E156" s="280" t="n"/>
      <c r="F156" s="280" t="n"/>
      <c r="G156" s="280" t="n"/>
      <c r="H156" s="280" t="n"/>
      <c r="I156" s="332">
        <f>IFERROR(VLOOKUP(TEXT(H156,"0"),IPRESS!$A$3:$B$212,2,0),"")</f>
        <v/>
      </c>
      <c r="J156" s="280" t="n"/>
      <c r="K156" s="332">
        <f>IFERROR(VLOOKUP(TEXT(O156,"0"),CONDUCTORES!$A$3:$G$54,7,0),"")</f>
        <v/>
      </c>
      <c r="L156" s="280" t="n"/>
      <c r="M156" s="280" t="n"/>
      <c r="N156" s="333">
        <f>IFERROR(IF(L156*M156=0,"",L156*M156),"")</f>
        <v/>
      </c>
      <c r="O156" s="280" t="n"/>
      <c r="P156" s="332">
        <f>IFERROR(VLOOKUP(TEXT(O156,"0"),CONDUCTORES!$A$3:$G$54,2,0),"")</f>
        <v/>
      </c>
      <c r="Q156" s="332">
        <f>IFERROR(VLOOKUP(TEXT(O156,"0"),CONDUCTORES!$A$3:$H$54,6,0),"")</f>
        <v/>
      </c>
      <c r="R156" s="280" t="n"/>
      <c r="S156" s="280" t="n"/>
      <c r="T156" s="280" t="n"/>
      <c r="U156" s="280" t="n"/>
      <c r="V156" s="280" t="n"/>
      <c r="W156" s="280" t="n"/>
      <c r="X156" s="280" t="n"/>
      <c r="Y156" s="280" t="n"/>
      <c r="Z156" s="375">
        <f>IF(AND(G156&lt;&gt;"",R156&lt;&gt;"",V156&lt;&gt;"",W156&lt;&gt;""),"COMPLETADO","OBSERVADO")</f>
        <v/>
      </c>
    </row>
    <row r="157" ht="15" customHeight="1" s="195">
      <c r="A157" s="334" t="n"/>
      <c r="B157" s="334" t="n"/>
      <c r="C157" s="334" t="n"/>
      <c r="D157" s="334" t="n"/>
      <c r="E157" s="334" t="n"/>
      <c r="F157" s="334" t="n"/>
      <c r="G157" s="334" t="n"/>
      <c r="H157" s="334" t="n"/>
      <c r="I157" s="332">
        <f>IFERROR(VLOOKUP(TEXT(H157,"0"),IPRESS!$A$3:$B$212,2,0),"")</f>
        <v/>
      </c>
      <c r="J157" s="334" t="n"/>
      <c r="K157" s="332">
        <f>IFERROR(VLOOKUP(TEXT(O157,"0"),CONDUCTORES!$A$3:$G$54,7,0),"")</f>
        <v/>
      </c>
      <c r="L157" s="334" t="n"/>
      <c r="M157" s="334" t="n"/>
      <c r="N157" s="333">
        <f>IFERROR(IF(L157*M157=0,"",L157*M157),"")</f>
        <v/>
      </c>
      <c r="O157" s="334" t="n"/>
      <c r="P157" s="332">
        <f>IFERROR(VLOOKUP(TEXT(O157,"0"),CONDUCTORES!$A$3:$G$54,2,0),"")</f>
        <v/>
      </c>
      <c r="Q157" s="332">
        <f>IFERROR(VLOOKUP(TEXT(O157,"0"),CONDUCTORES!$A$3:$H$54,6,0),"")</f>
        <v/>
      </c>
      <c r="R157" s="334" t="n"/>
      <c r="S157" s="334" t="n"/>
      <c r="T157" s="334" t="n"/>
      <c r="U157" s="334" t="n"/>
      <c r="V157" s="334" t="n"/>
      <c r="W157" s="334" t="n"/>
      <c r="X157" s="334" t="n"/>
      <c r="Y157" s="334" t="n"/>
      <c r="Z157" s="375">
        <f>IF(AND(G157&lt;&gt;"",R157&lt;&gt;"",V157&lt;&gt;"",W157&lt;&gt;""),"COMPLETADO","OBSERVADO")</f>
        <v/>
      </c>
    </row>
    <row r="158" ht="15" customHeight="1" s="195">
      <c r="A158" s="280" t="n"/>
      <c r="B158" s="280" t="n"/>
      <c r="C158" s="280" t="n"/>
      <c r="D158" s="280" t="n"/>
      <c r="E158" s="280" t="n"/>
      <c r="F158" s="280" t="n"/>
      <c r="G158" s="280" t="n"/>
      <c r="H158" s="280" t="n"/>
      <c r="I158" s="332">
        <f>IFERROR(VLOOKUP(TEXT(H158,"0"),IPRESS!$A$3:$B$212,2,0),"")</f>
        <v/>
      </c>
      <c r="J158" s="280" t="n"/>
      <c r="K158" s="332">
        <f>IFERROR(VLOOKUP(TEXT(O158,"0"),CONDUCTORES!$A$3:$G$54,7,0),"")</f>
        <v/>
      </c>
      <c r="L158" s="280" t="n"/>
      <c r="M158" s="280" t="n"/>
      <c r="N158" s="333">
        <f>IFERROR(IF(L158*M158=0,"",L158*M158),"")</f>
        <v/>
      </c>
      <c r="O158" s="280" t="n"/>
      <c r="P158" s="332">
        <f>IFERROR(VLOOKUP(TEXT(O158,"0"),CONDUCTORES!$A$3:$G$54,2,0),"")</f>
        <v/>
      </c>
      <c r="Q158" s="332">
        <f>IFERROR(VLOOKUP(TEXT(O158,"0"),CONDUCTORES!$A$3:$H$54,6,0),"")</f>
        <v/>
      </c>
      <c r="R158" s="280" t="n"/>
      <c r="S158" s="280" t="n"/>
      <c r="T158" s="280" t="n"/>
      <c r="U158" s="280" t="n"/>
      <c r="V158" s="280" t="n"/>
      <c r="W158" s="280" t="n"/>
      <c r="X158" s="280" t="n"/>
      <c r="Y158" s="280" t="n"/>
      <c r="Z158" s="375">
        <f>IF(AND(G158&lt;&gt;"",R158&lt;&gt;"",V158&lt;&gt;"",W158&lt;&gt;""),"COMPLETADO","OBSERVADO")</f>
        <v/>
      </c>
    </row>
    <row r="159" ht="15" customHeight="1" s="195">
      <c r="A159" s="334" t="n"/>
      <c r="B159" s="334" t="n"/>
      <c r="C159" s="334" t="n"/>
      <c r="D159" s="334" t="n"/>
      <c r="E159" s="334" t="n"/>
      <c r="F159" s="334" t="n"/>
      <c r="G159" s="334" t="n"/>
      <c r="H159" s="334" t="n"/>
      <c r="I159" s="332">
        <f>IFERROR(VLOOKUP(TEXT(H159,"0"),IPRESS!$A$3:$B$212,2,0),"")</f>
        <v/>
      </c>
      <c r="J159" s="334" t="n"/>
      <c r="K159" s="332">
        <f>IFERROR(VLOOKUP(TEXT(O159,"0"),CONDUCTORES!$A$3:$G$54,7,0),"")</f>
        <v/>
      </c>
      <c r="L159" s="334" t="n"/>
      <c r="M159" s="334" t="n"/>
      <c r="N159" s="333">
        <f>IFERROR(IF(L159*M159=0,"",L159*M159),"")</f>
        <v/>
      </c>
      <c r="O159" s="334" t="n"/>
      <c r="P159" s="332">
        <f>IFERROR(VLOOKUP(TEXT(O159,"0"),CONDUCTORES!$A$3:$G$54,2,0),"")</f>
        <v/>
      </c>
      <c r="Q159" s="332">
        <f>IFERROR(VLOOKUP(TEXT(O159,"0"),CONDUCTORES!$A$3:$H$54,6,0),"")</f>
        <v/>
      </c>
      <c r="R159" s="334" t="n"/>
      <c r="S159" s="334" t="n"/>
      <c r="T159" s="334" t="n"/>
      <c r="U159" s="334" t="n"/>
      <c r="V159" s="334" t="n"/>
      <c r="W159" s="334" t="n"/>
      <c r="X159" s="334" t="n"/>
      <c r="Y159" s="334" t="n"/>
      <c r="Z159" s="375">
        <f>IF(AND(G159&lt;&gt;"",R159&lt;&gt;"",V159&lt;&gt;"",W159&lt;&gt;""),"COMPLETADO","OBSERVADO")</f>
        <v/>
      </c>
    </row>
    <row r="160" ht="15" customHeight="1" s="195">
      <c r="A160" s="280" t="n"/>
      <c r="B160" s="280" t="n"/>
      <c r="C160" s="280" t="n"/>
      <c r="D160" s="280" t="n"/>
      <c r="E160" s="280" t="n"/>
      <c r="F160" s="280" t="n"/>
      <c r="G160" s="280" t="n"/>
      <c r="H160" s="280" t="n"/>
      <c r="I160" s="332">
        <f>IFERROR(VLOOKUP(TEXT(H160,"0"),IPRESS!$A$3:$B$212,2,0),"")</f>
        <v/>
      </c>
      <c r="J160" s="280" t="n"/>
      <c r="K160" s="332">
        <f>IFERROR(VLOOKUP(TEXT(O160,"0"),CONDUCTORES!$A$3:$G$54,7,0),"")</f>
        <v/>
      </c>
      <c r="L160" s="280" t="n"/>
      <c r="M160" s="280" t="n"/>
      <c r="N160" s="333">
        <f>IFERROR(IF(L160*M160=0,"",L160*M160),"")</f>
        <v/>
      </c>
      <c r="O160" s="280" t="n"/>
      <c r="P160" s="332">
        <f>IFERROR(VLOOKUP(TEXT(O160,"0"),CONDUCTORES!$A$3:$G$54,2,0),"")</f>
        <v/>
      </c>
      <c r="Q160" s="332">
        <f>IFERROR(VLOOKUP(TEXT(O160,"0"),CONDUCTORES!$A$3:$H$54,6,0),"")</f>
        <v/>
      </c>
      <c r="R160" s="280" t="n"/>
      <c r="S160" s="280" t="n"/>
      <c r="T160" s="280" t="n"/>
      <c r="U160" s="280" t="n"/>
      <c r="V160" s="280" t="n"/>
      <c r="W160" s="280" t="n"/>
      <c r="X160" s="280" t="n"/>
      <c r="Y160" s="280" t="n"/>
      <c r="Z160" s="375">
        <f>IF(AND(G160&lt;&gt;"",R160&lt;&gt;"",V160&lt;&gt;"",W160&lt;&gt;""),"COMPLETADO","OBSERVADO")</f>
        <v/>
      </c>
    </row>
    <row r="161" ht="15" customHeight="1" s="195">
      <c r="A161" s="334" t="n"/>
      <c r="B161" s="334" t="n"/>
      <c r="C161" s="334" t="n"/>
      <c r="D161" s="334" t="n"/>
      <c r="E161" s="334" t="n"/>
      <c r="F161" s="334" t="n"/>
      <c r="G161" s="334" t="n"/>
      <c r="H161" s="334" t="n"/>
      <c r="I161" s="332">
        <f>IFERROR(VLOOKUP(TEXT(H161,"0"),IPRESS!$A$3:$B$212,2,0),"")</f>
        <v/>
      </c>
      <c r="J161" s="334" t="n"/>
      <c r="K161" s="332">
        <f>IFERROR(VLOOKUP(TEXT(O161,"0"),CONDUCTORES!$A$3:$G$54,7,0),"")</f>
        <v/>
      </c>
      <c r="L161" s="334" t="n"/>
      <c r="M161" s="334" t="n"/>
      <c r="N161" s="333">
        <f>IFERROR(IF(L161*M161=0,"",L161*M161),"")</f>
        <v/>
      </c>
      <c r="O161" s="334" t="n"/>
      <c r="P161" s="332">
        <f>IFERROR(VLOOKUP(TEXT(O161,"0"),CONDUCTORES!$A$3:$G$54,2,0),"")</f>
        <v/>
      </c>
      <c r="Q161" s="332">
        <f>IFERROR(VLOOKUP(TEXT(O161,"0"),CONDUCTORES!$A$3:$H$54,6,0),"")</f>
        <v/>
      </c>
      <c r="R161" s="334" t="n"/>
      <c r="S161" s="334" t="n"/>
      <c r="T161" s="334" t="n"/>
      <c r="U161" s="334" t="n"/>
      <c r="V161" s="334" t="n"/>
      <c r="W161" s="334" t="n"/>
      <c r="X161" s="334" t="n"/>
      <c r="Y161" s="334" t="n"/>
      <c r="Z161" s="375">
        <f>IF(AND(G161&lt;&gt;"",R161&lt;&gt;"",V161&lt;&gt;"",W161&lt;&gt;""),"COMPLETADO","OBSERVADO")</f>
        <v/>
      </c>
    </row>
    <row r="162" ht="15" customHeight="1" s="195">
      <c r="A162" s="280" t="n"/>
      <c r="B162" s="280" t="n"/>
      <c r="C162" s="280" t="n"/>
      <c r="D162" s="280" t="n"/>
      <c r="E162" s="280" t="n"/>
      <c r="F162" s="280" t="n"/>
      <c r="G162" s="280" t="n"/>
      <c r="H162" s="280" t="n"/>
      <c r="I162" s="332">
        <f>IFERROR(VLOOKUP(TEXT(H162,"0"),IPRESS!$A$3:$B$212,2,0),"")</f>
        <v/>
      </c>
      <c r="J162" s="280" t="n"/>
      <c r="K162" s="332">
        <f>IFERROR(VLOOKUP(TEXT(O162,"0"),CONDUCTORES!$A$3:$G$54,7,0),"")</f>
        <v/>
      </c>
      <c r="L162" s="280" t="n"/>
      <c r="M162" s="280" t="n"/>
      <c r="N162" s="333">
        <f>IFERROR(IF(L162*M162=0,"",L162*M162),"")</f>
        <v/>
      </c>
      <c r="O162" s="280" t="n"/>
      <c r="P162" s="332">
        <f>IFERROR(VLOOKUP(TEXT(O162,"0"),CONDUCTORES!$A$3:$G$54,2,0),"")</f>
        <v/>
      </c>
      <c r="Q162" s="332">
        <f>IFERROR(VLOOKUP(TEXT(O162,"0"),CONDUCTORES!$A$3:$H$54,6,0),"")</f>
        <v/>
      </c>
      <c r="R162" s="280" t="n"/>
      <c r="S162" s="280" t="n"/>
      <c r="T162" s="280" t="n"/>
      <c r="U162" s="280" t="n"/>
      <c r="V162" s="280" t="n"/>
      <c r="W162" s="280" t="n"/>
      <c r="X162" s="280" t="n"/>
      <c r="Y162" s="280" t="n"/>
      <c r="Z162" s="375">
        <f>IF(AND(G162&lt;&gt;"",R162&lt;&gt;"",V162&lt;&gt;"",W162&lt;&gt;""),"COMPLETADO","OBSERVADO")</f>
        <v/>
      </c>
    </row>
    <row r="163" ht="15" customHeight="1" s="195">
      <c r="A163" s="334" t="n"/>
      <c r="B163" s="334" t="n"/>
      <c r="C163" s="334" t="n"/>
      <c r="D163" s="334" t="n"/>
      <c r="E163" s="334" t="n"/>
      <c r="F163" s="334" t="n"/>
      <c r="G163" s="334" t="n"/>
      <c r="H163" s="334" t="n"/>
      <c r="I163" s="332">
        <f>IFERROR(VLOOKUP(TEXT(H163,"0"),IPRESS!$A$3:$B$212,2,0),"")</f>
        <v/>
      </c>
      <c r="J163" s="334" t="n"/>
      <c r="K163" s="332">
        <f>IFERROR(VLOOKUP(TEXT(O163,"0"),CONDUCTORES!$A$3:$G$54,7,0),"")</f>
        <v/>
      </c>
      <c r="L163" s="334" t="n"/>
      <c r="M163" s="334" t="n"/>
      <c r="N163" s="333">
        <f>IFERROR(IF(L163*M163=0,"",L163*M163),"")</f>
        <v/>
      </c>
      <c r="O163" s="334" t="n"/>
      <c r="P163" s="332">
        <f>IFERROR(VLOOKUP(TEXT(O163,"0"),CONDUCTORES!$A$3:$G$54,2,0),"")</f>
        <v/>
      </c>
      <c r="Q163" s="332">
        <f>IFERROR(VLOOKUP(TEXT(O163,"0"),CONDUCTORES!$A$3:$H$54,6,0),"")</f>
        <v/>
      </c>
      <c r="R163" s="334" t="n"/>
      <c r="S163" s="334" t="n"/>
      <c r="T163" s="334" t="n"/>
      <c r="U163" s="334" t="n"/>
      <c r="V163" s="334" t="n"/>
      <c r="W163" s="334" t="n"/>
      <c r="X163" s="334" t="n"/>
      <c r="Y163" s="334" t="n"/>
      <c r="Z163" s="375">
        <f>IF(AND(G163&lt;&gt;"",R163&lt;&gt;"",V163&lt;&gt;"",W163&lt;&gt;""),"COMPLETADO","OBSERVADO")</f>
        <v/>
      </c>
    </row>
    <row r="164" ht="15" customHeight="1" s="195">
      <c r="A164" s="280" t="n"/>
      <c r="B164" s="280" t="n"/>
      <c r="C164" s="280" t="n"/>
      <c r="D164" s="280" t="n"/>
      <c r="E164" s="280" t="n"/>
      <c r="F164" s="280" t="n"/>
      <c r="G164" s="280" t="n"/>
      <c r="H164" s="280" t="n"/>
      <c r="I164" s="332">
        <f>IFERROR(VLOOKUP(TEXT(H164,"0"),IPRESS!$A$3:$B$212,2,0),"")</f>
        <v/>
      </c>
      <c r="J164" s="280" t="n"/>
      <c r="K164" s="332">
        <f>IFERROR(VLOOKUP(TEXT(O164,"0"),CONDUCTORES!$A$3:$G$54,7,0),"")</f>
        <v/>
      </c>
      <c r="L164" s="280" t="n"/>
      <c r="M164" s="280" t="n"/>
      <c r="N164" s="333">
        <f>IFERROR(IF(L164*M164=0,"",L164*M164),"")</f>
        <v/>
      </c>
      <c r="O164" s="280" t="n"/>
      <c r="P164" s="332">
        <f>IFERROR(VLOOKUP(TEXT(O164,"0"),CONDUCTORES!$A$3:$G$54,2,0),"")</f>
        <v/>
      </c>
      <c r="Q164" s="332">
        <f>IFERROR(VLOOKUP(TEXT(O164,"0"),CONDUCTORES!$A$3:$H$54,6,0),"")</f>
        <v/>
      </c>
      <c r="R164" s="280" t="n"/>
      <c r="S164" s="280" t="n"/>
      <c r="T164" s="280" t="n"/>
      <c r="U164" s="280" t="n"/>
      <c r="V164" s="280" t="n"/>
      <c r="W164" s="280" t="n"/>
      <c r="X164" s="280" t="n"/>
      <c r="Y164" s="280" t="n"/>
      <c r="Z164" s="375">
        <f>IF(AND(G164&lt;&gt;"",R164&lt;&gt;"",V164&lt;&gt;"",W164&lt;&gt;""),"COMPLETADO","OBSERVADO")</f>
        <v/>
      </c>
    </row>
    <row r="165" ht="15" customHeight="1" s="195">
      <c r="A165" s="334" t="n"/>
      <c r="B165" s="334" t="n"/>
      <c r="C165" s="334" t="n"/>
      <c r="D165" s="334" t="n"/>
      <c r="E165" s="334" t="n"/>
      <c r="F165" s="334" t="n"/>
      <c r="G165" s="334" t="n"/>
      <c r="H165" s="334" t="n"/>
      <c r="I165" s="332">
        <f>IFERROR(VLOOKUP(TEXT(H165,"0"),IPRESS!$A$3:$B$212,2,0),"")</f>
        <v/>
      </c>
      <c r="J165" s="334" t="n"/>
      <c r="K165" s="332">
        <f>IFERROR(VLOOKUP(TEXT(O165,"0"),CONDUCTORES!$A$3:$G$54,7,0),"")</f>
        <v/>
      </c>
      <c r="L165" s="334" t="n"/>
      <c r="M165" s="334" t="n"/>
      <c r="N165" s="333">
        <f>IFERROR(IF(L165*M165=0,"",L165*M165),"")</f>
        <v/>
      </c>
      <c r="O165" s="334" t="n"/>
      <c r="P165" s="332">
        <f>IFERROR(VLOOKUP(TEXT(O165,"0"),CONDUCTORES!$A$3:$G$54,2,0),"")</f>
        <v/>
      </c>
      <c r="Q165" s="332">
        <f>IFERROR(VLOOKUP(TEXT(O165,"0"),CONDUCTORES!$A$3:$H$54,6,0),"")</f>
        <v/>
      </c>
      <c r="R165" s="334" t="n"/>
      <c r="S165" s="334" t="n"/>
      <c r="T165" s="334" t="n"/>
      <c r="U165" s="334" t="n"/>
      <c r="V165" s="334" t="n"/>
      <c r="W165" s="334" t="n"/>
      <c r="X165" s="334" t="n"/>
      <c r="Y165" s="334" t="n"/>
      <c r="Z165" s="375">
        <f>IF(AND(G165&lt;&gt;"",R165&lt;&gt;"",V165&lt;&gt;"",W165&lt;&gt;""),"COMPLETADO","OBSERVADO")</f>
        <v/>
      </c>
    </row>
    <row r="166" ht="15" customHeight="1" s="195">
      <c r="A166" s="280" t="n"/>
      <c r="B166" s="280" t="n"/>
      <c r="C166" s="280" t="n"/>
      <c r="D166" s="280" t="n"/>
      <c r="E166" s="280" t="n"/>
      <c r="F166" s="280" t="n"/>
      <c r="G166" s="280" t="n"/>
      <c r="H166" s="280" t="n"/>
      <c r="I166" s="332">
        <f>IFERROR(VLOOKUP(TEXT(H166,"0"),IPRESS!$A$3:$B$212,2,0),"")</f>
        <v/>
      </c>
      <c r="J166" s="280" t="n"/>
      <c r="K166" s="332">
        <f>IFERROR(VLOOKUP(TEXT(O166,"0"),CONDUCTORES!$A$3:$G$54,7,0),"")</f>
        <v/>
      </c>
      <c r="L166" s="280" t="n"/>
      <c r="M166" s="280" t="n"/>
      <c r="N166" s="333">
        <f>IFERROR(IF(L166*M166=0,"",L166*M166),"")</f>
        <v/>
      </c>
      <c r="O166" s="280" t="n"/>
      <c r="P166" s="332">
        <f>IFERROR(VLOOKUP(TEXT(O166,"0"),CONDUCTORES!$A$3:$G$54,2,0),"")</f>
        <v/>
      </c>
      <c r="Q166" s="332">
        <f>IFERROR(VLOOKUP(TEXT(O166,"0"),CONDUCTORES!$A$3:$H$54,6,0),"")</f>
        <v/>
      </c>
      <c r="R166" s="280" t="n"/>
      <c r="S166" s="280" t="n"/>
      <c r="T166" s="280" t="n"/>
      <c r="U166" s="280" t="n"/>
      <c r="V166" s="280" t="n"/>
      <c r="W166" s="280" t="n"/>
      <c r="X166" s="280" t="n"/>
      <c r="Y166" s="280" t="n"/>
      <c r="Z166" s="375">
        <f>IF(AND(G166&lt;&gt;"",R166&lt;&gt;"",V166&lt;&gt;"",W166&lt;&gt;""),"COMPLETADO","OBSERVADO")</f>
        <v/>
      </c>
    </row>
    <row r="167" ht="15" customHeight="1" s="195">
      <c r="A167" s="334" t="n"/>
      <c r="B167" s="334" t="n"/>
      <c r="C167" s="334" t="n"/>
      <c r="D167" s="334" t="n"/>
      <c r="E167" s="334" t="n"/>
      <c r="F167" s="334" t="n"/>
      <c r="G167" s="334" t="n"/>
      <c r="H167" s="334" t="n"/>
      <c r="I167" s="332">
        <f>IFERROR(VLOOKUP(TEXT(H167,"0"),IPRESS!$A$3:$B$212,2,0),"")</f>
        <v/>
      </c>
      <c r="J167" s="334" t="n"/>
      <c r="K167" s="332">
        <f>IFERROR(VLOOKUP(TEXT(O167,"0"),CONDUCTORES!$A$3:$G$54,7,0),"")</f>
        <v/>
      </c>
      <c r="L167" s="334" t="n"/>
      <c r="M167" s="334" t="n"/>
      <c r="N167" s="333">
        <f>IFERROR(IF(L167*M167=0,"",L167*M167),"")</f>
        <v/>
      </c>
      <c r="O167" s="334" t="n"/>
      <c r="P167" s="332">
        <f>IFERROR(VLOOKUP(TEXT(O167,"0"),CONDUCTORES!$A$3:$G$54,2,0),"")</f>
        <v/>
      </c>
      <c r="Q167" s="332">
        <f>IFERROR(VLOOKUP(TEXT(O167,"0"),CONDUCTORES!$A$3:$H$54,6,0),"")</f>
        <v/>
      </c>
      <c r="R167" s="334" t="n"/>
      <c r="S167" s="334" t="n"/>
      <c r="T167" s="334" t="n"/>
      <c r="U167" s="334" t="n"/>
      <c r="V167" s="334" t="n"/>
      <c r="W167" s="334" t="n"/>
      <c r="X167" s="334" t="n"/>
      <c r="Y167" s="334" t="n"/>
      <c r="Z167" s="375">
        <f>IF(AND(G167&lt;&gt;"",R167&lt;&gt;"",V167&lt;&gt;"",W167&lt;&gt;""),"COMPLETADO","OBSERVADO")</f>
        <v/>
      </c>
    </row>
    <row r="168" ht="15" customHeight="1" s="195">
      <c r="A168" s="280" t="n"/>
      <c r="B168" s="280" t="n"/>
      <c r="C168" s="280" t="n"/>
      <c r="D168" s="280" t="n"/>
      <c r="E168" s="280" t="n"/>
      <c r="F168" s="280" t="n"/>
      <c r="G168" s="280" t="n"/>
      <c r="H168" s="280" t="n"/>
      <c r="I168" s="332">
        <f>IFERROR(VLOOKUP(TEXT(H168,"0"),IPRESS!$A$3:$B$212,2,0),"")</f>
        <v/>
      </c>
      <c r="J168" s="280" t="n"/>
      <c r="K168" s="332">
        <f>IFERROR(VLOOKUP(TEXT(O168,"0"),CONDUCTORES!$A$3:$G$54,7,0),"")</f>
        <v/>
      </c>
      <c r="L168" s="280" t="n"/>
      <c r="M168" s="280" t="n"/>
      <c r="N168" s="333">
        <f>IFERROR(IF(L168*M168=0,"",L168*M168),"")</f>
        <v/>
      </c>
      <c r="O168" s="280" t="n"/>
      <c r="P168" s="332">
        <f>IFERROR(VLOOKUP(TEXT(O168,"0"),CONDUCTORES!$A$3:$G$54,2,0),"")</f>
        <v/>
      </c>
      <c r="Q168" s="332">
        <f>IFERROR(VLOOKUP(TEXT(O168,"0"),CONDUCTORES!$A$3:$H$54,6,0),"")</f>
        <v/>
      </c>
      <c r="R168" s="280" t="n"/>
      <c r="S168" s="280" t="n"/>
      <c r="T168" s="280" t="n"/>
      <c r="U168" s="280" t="n"/>
      <c r="V168" s="280" t="n"/>
      <c r="W168" s="280" t="n"/>
      <c r="X168" s="280" t="n"/>
      <c r="Y168" s="280" t="n"/>
      <c r="Z168" s="375">
        <f>IF(AND(G168&lt;&gt;"",R168&lt;&gt;"",V168&lt;&gt;"",W168&lt;&gt;""),"COMPLETADO","OBSERVADO")</f>
        <v/>
      </c>
    </row>
    <row r="169" ht="15" customHeight="1" s="195">
      <c r="A169" s="334" t="n"/>
      <c r="B169" s="334" t="n"/>
      <c r="C169" s="334" t="n"/>
      <c r="D169" s="334" t="n"/>
      <c r="E169" s="334" t="n"/>
      <c r="F169" s="334" t="n"/>
      <c r="G169" s="334" t="n"/>
      <c r="H169" s="334" t="n"/>
      <c r="I169" s="332">
        <f>IFERROR(VLOOKUP(TEXT(H169,"0"),IPRESS!$A$3:$B$212,2,0),"")</f>
        <v/>
      </c>
      <c r="J169" s="334" t="n"/>
      <c r="K169" s="332">
        <f>IFERROR(VLOOKUP(TEXT(O169,"0"),CONDUCTORES!$A$3:$G$54,7,0),"")</f>
        <v/>
      </c>
      <c r="L169" s="334" t="n"/>
      <c r="M169" s="334" t="n"/>
      <c r="N169" s="333">
        <f>IFERROR(IF(L169*M169=0,"",L169*M169),"")</f>
        <v/>
      </c>
      <c r="O169" s="334" t="n"/>
      <c r="P169" s="332">
        <f>IFERROR(VLOOKUP(TEXT(O169,"0"),CONDUCTORES!$A$3:$G$54,2,0),"")</f>
        <v/>
      </c>
      <c r="Q169" s="332">
        <f>IFERROR(VLOOKUP(TEXT(O169,"0"),CONDUCTORES!$A$3:$H$54,6,0),"")</f>
        <v/>
      </c>
      <c r="R169" s="334" t="n"/>
      <c r="S169" s="334" t="n"/>
      <c r="T169" s="334" t="n"/>
      <c r="U169" s="334" t="n"/>
      <c r="V169" s="334" t="n"/>
      <c r="W169" s="334" t="n"/>
      <c r="X169" s="334" t="n"/>
      <c r="Y169" s="334" t="n"/>
      <c r="Z169" s="375">
        <f>IF(AND(G169&lt;&gt;"",R169&lt;&gt;"",V169&lt;&gt;"",W169&lt;&gt;""),"COMPLETADO","OBSERVADO")</f>
        <v/>
      </c>
    </row>
    <row r="170" ht="15" customHeight="1" s="195">
      <c r="A170" s="280" t="n"/>
      <c r="B170" s="280" t="n"/>
      <c r="C170" s="280" t="n"/>
      <c r="D170" s="280" t="n"/>
      <c r="E170" s="280" t="n"/>
      <c r="F170" s="280" t="n"/>
      <c r="G170" s="280" t="n"/>
      <c r="H170" s="280" t="n"/>
      <c r="I170" s="332">
        <f>IFERROR(VLOOKUP(TEXT(H170,"0"),IPRESS!$A$3:$B$212,2,0),"")</f>
        <v/>
      </c>
      <c r="J170" s="280" t="n"/>
      <c r="K170" s="332">
        <f>IFERROR(VLOOKUP(TEXT(O170,"0"),CONDUCTORES!$A$3:$G$54,7,0),"")</f>
        <v/>
      </c>
      <c r="L170" s="280" t="n"/>
      <c r="M170" s="280" t="n"/>
      <c r="N170" s="333">
        <f>IFERROR(IF(L170*M170=0,"",L170*M170),"")</f>
        <v/>
      </c>
      <c r="O170" s="280" t="n"/>
      <c r="P170" s="332">
        <f>IFERROR(VLOOKUP(TEXT(O170,"0"),CONDUCTORES!$A$3:$G$54,2,0),"")</f>
        <v/>
      </c>
      <c r="Q170" s="332">
        <f>IFERROR(VLOOKUP(TEXT(O170,"0"),CONDUCTORES!$A$3:$H$54,6,0),"")</f>
        <v/>
      </c>
      <c r="R170" s="280" t="n"/>
      <c r="S170" s="280" t="n"/>
      <c r="T170" s="280" t="n"/>
      <c r="U170" s="280" t="n"/>
      <c r="V170" s="280" t="n"/>
      <c r="W170" s="280" t="n"/>
      <c r="X170" s="280" t="n"/>
      <c r="Y170" s="280" t="n"/>
      <c r="Z170" s="375">
        <f>IF(AND(G170&lt;&gt;"",R170&lt;&gt;"",V170&lt;&gt;"",W170&lt;&gt;""),"COMPLETADO","OBSERVADO")</f>
        <v/>
      </c>
    </row>
    <row r="171" ht="15" customHeight="1" s="195">
      <c r="A171" s="334" t="n"/>
      <c r="B171" s="334" t="n"/>
      <c r="C171" s="334" t="n"/>
      <c r="D171" s="334" t="n"/>
      <c r="E171" s="334" t="n"/>
      <c r="F171" s="334" t="n"/>
      <c r="G171" s="334" t="n"/>
      <c r="H171" s="334" t="n"/>
      <c r="I171" s="332">
        <f>IFERROR(VLOOKUP(TEXT(H171,"0"),IPRESS!$A$3:$B$212,2,0),"")</f>
        <v/>
      </c>
      <c r="J171" s="334" t="n"/>
      <c r="K171" s="332">
        <f>IFERROR(VLOOKUP(TEXT(O171,"0"),CONDUCTORES!$A$3:$G$54,7,0),"")</f>
        <v/>
      </c>
      <c r="L171" s="334" t="n"/>
      <c r="M171" s="334" t="n"/>
      <c r="N171" s="333">
        <f>IFERROR(IF(L171*M171=0,"",L171*M171),"")</f>
        <v/>
      </c>
      <c r="O171" s="334" t="n"/>
      <c r="P171" s="332">
        <f>IFERROR(VLOOKUP(TEXT(O171,"0"),CONDUCTORES!$A$3:$G$54,2,0),"")</f>
        <v/>
      </c>
      <c r="Q171" s="332">
        <f>IFERROR(VLOOKUP(TEXT(O171,"0"),CONDUCTORES!$A$3:$H$54,6,0),"")</f>
        <v/>
      </c>
      <c r="R171" s="334" t="n"/>
      <c r="S171" s="334" t="n"/>
      <c r="T171" s="334" t="n"/>
      <c r="U171" s="334" t="n"/>
      <c r="V171" s="334" t="n"/>
      <c r="W171" s="334" t="n"/>
      <c r="X171" s="334" t="n"/>
      <c r="Y171" s="334" t="n"/>
      <c r="Z171" s="375">
        <f>IF(AND(G171&lt;&gt;"",R171&lt;&gt;"",V171&lt;&gt;"",W171&lt;&gt;""),"COMPLETADO","OBSERVADO")</f>
        <v/>
      </c>
    </row>
    <row r="172" ht="15" customHeight="1" s="195">
      <c r="A172" s="280" t="n"/>
      <c r="B172" s="280" t="n"/>
      <c r="C172" s="280" t="n"/>
      <c r="D172" s="280" t="n"/>
      <c r="E172" s="280" t="n"/>
      <c r="F172" s="280" t="n"/>
      <c r="G172" s="280" t="n"/>
      <c r="H172" s="280" t="n"/>
      <c r="I172" s="332">
        <f>IFERROR(VLOOKUP(TEXT(H172,"0"),IPRESS!$A$3:$B$212,2,0),"")</f>
        <v/>
      </c>
      <c r="J172" s="280" t="n"/>
      <c r="K172" s="332">
        <f>IFERROR(VLOOKUP(TEXT(O172,"0"),CONDUCTORES!$A$3:$G$54,7,0),"")</f>
        <v/>
      </c>
      <c r="L172" s="280" t="n"/>
      <c r="M172" s="280" t="n"/>
      <c r="N172" s="333">
        <f>IFERROR(IF(L172*M172=0,"",L172*M172),"")</f>
        <v/>
      </c>
      <c r="O172" s="280" t="n"/>
      <c r="P172" s="332">
        <f>IFERROR(VLOOKUP(TEXT(O172,"0"),CONDUCTORES!$A$3:$G$54,2,0),"")</f>
        <v/>
      </c>
      <c r="Q172" s="332">
        <f>IFERROR(VLOOKUP(TEXT(O172,"0"),CONDUCTORES!$A$3:$H$54,6,0),"")</f>
        <v/>
      </c>
      <c r="R172" s="280" t="n"/>
      <c r="S172" s="280" t="n"/>
      <c r="T172" s="280" t="n"/>
      <c r="U172" s="280" t="n"/>
      <c r="V172" s="280" t="n"/>
      <c r="W172" s="280" t="n"/>
      <c r="X172" s="280" t="n"/>
      <c r="Y172" s="280" t="n"/>
      <c r="Z172" s="375">
        <f>IF(AND(G172&lt;&gt;"",R172&lt;&gt;"",V172&lt;&gt;"",W172&lt;&gt;""),"COMPLETADO","OBSERVADO")</f>
        <v/>
      </c>
    </row>
    <row r="173" ht="15" customHeight="1" s="195">
      <c r="A173" s="334" t="n"/>
      <c r="B173" s="334" t="n"/>
      <c r="C173" s="334" t="n"/>
      <c r="D173" s="334" t="n"/>
      <c r="E173" s="334" t="n"/>
      <c r="F173" s="334" t="n"/>
      <c r="G173" s="334" t="n"/>
      <c r="H173" s="334" t="n"/>
      <c r="I173" s="332">
        <f>IFERROR(VLOOKUP(TEXT(H173,"0"),IPRESS!$A$3:$B$212,2,0),"")</f>
        <v/>
      </c>
      <c r="J173" s="334" t="n"/>
      <c r="K173" s="332">
        <f>IFERROR(VLOOKUP(TEXT(O173,"0"),CONDUCTORES!$A$3:$G$54,7,0),"")</f>
        <v/>
      </c>
      <c r="L173" s="334" t="n"/>
      <c r="M173" s="334" t="n"/>
      <c r="N173" s="333">
        <f>IFERROR(IF(L173*M173=0,"",L173*M173),"")</f>
        <v/>
      </c>
      <c r="O173" s="334" t="n"/>
      <c r="P173" s="332">
        <f>IFERROR(VLOOKUP(TEXT(O173,"0"),CONDUCTORES!$A$3:$G$54,2,0),"")</f>
        <v/>
      </c>
      <c r="Q173" s="332">
        <f>IFERROR(VLOOKUP(TEXT(O173,"0"),CONDUCTORES!$A$3:$H$54,6,0),"")</f>
        <v/>
      </c>
      <c r="R173" s="334" t="n"/>
      <c r="S173" s="334" t="n"/>
      <c r="T173" s="334" t="n"/>
      <c r="U173" s="334" t="n"/>
      <c r="V173" s="334" t="n"/>
      <c r="W173" s="334" t="n"/>
      <c r="X173" s="334" t="n"/>
      <c r="Y173" s="334" t="n"/>
      <c r="Z173" s="375">
        <f>IF(AND(G173&lt;&gt;"",R173&lt;&gt;"",V173&lt;&gt;"",W173&lt;&gt;""),"COMPLETADO","OBSERVADO")</f>
        <v/>
      </c>
    </row>
    <row r="174" ht="15" customHeight="1" s="195">
      <c r="A174" s="280" t="n"/>
      <c r="B174" s="280" t="n"/>
      <c r="C174" s="280" t="n"/>
      <c r="D174" s="280" t="n"/>
      <c r="E174" s="280" t="n"/>
      <c r="F174" s="280" t="n"/>
      <c r="G174" s="280" t="n"/>
      <c r="H174" s="280" t="n"/>
      <c r="I174" s="332">
        <f>IFERROR(VLOOKUP(TEXT(H174,"0"),IPRESS!$A$3:$B$212,2,0),"")</f>
        <v/>
      </c>
      <c r="J174" s="280" t="n"/>
      <c r="K174" s="332">
        <f>IFERROR(VLOOKUP(TEXT(O174,"0"),CONDUCTORES!$A$3:$G$54,7,0),"")</f>
        <v/>
      </c>
      <c r="L174" s="280" t="n"/>
      <c r="M174" s="280" t="n"/>
      <c r="N174" s="333">
        <f>IFERROR(IF(L174*M174=0,"",L174*M174),"")</f>
        <v/>
      </c>
      <c r="O174" s="280" t="n"/>
      <c r="P174" s="332">
        <f>IFERROR(VLOOKUP(TEXT(O174,"0"),CONDUCTORES!$A$3:$G$54,2,0),"")</f>
        <v/>
      </c>
      <c r="Q174" s="332">
        <f>IFERROR(VLOOKUP(TEXT(O174,"0"),CONDUCTORES!$A$3:$H$54,6,0),"")</f>
        <v/>
      </c>
      <c r="R174" s="280" t="n"/>
      <c r="S174" s="280" t="n"/>
      <c r="T174" s="280" t="n"/>
      <c r="U174" s="280" t="n"/>
      <c r="V174" s="280" t="n"/>
      <c r="W174" s="280" t="n"/>
      <c r="X174" s="280" t="n"/>
      <c r="Y174" s="280" t="n"/>
      <c r="Z174" s="375">
        <f>IF(AND(G174&lt;&gt;"",R174&lt;&gt;"",V174&lt;&gt;"",W174&lt;&gt;""),"COMPLETADO","OBSERVADO")</f>
        <v/>
      </c>
    </row>
    <row r="175" ht="15" customHeight="1" s="195">
      <c r="A175" s="334" t="n"/>
      <c r="B175" s="334" t="n"/>
      <c r="C175" s="334" t="n"/>
      <c r="D175" s="334" t="n"/>
      <c r="E175" s="334" t="n"/>
      <c r="F175" s="334" t="n"/>
      <c r="G175" s="334" t="n"/>
      <c r="H175" s="334" t="n"/>
      <c r="I175" s="332">
        <f>IFERROR(VLOOKUP(TEXT(H175,"0"),IPRESS!$A$3:$B$212,2,0),"")</f>
        <v/>
      </c>
      <c r="J175" s="334" t="n"/>
      <c r="K175" s="332">
        <f>IFERROR(VLOOKUP(TEXT(O175,"0"),CONDUCTORES!$A$3:$G$54,7,0),"")</f>
        <v/>
      </c>
      <c r="L175" s="334" t="n"/>
      <c r="M175" s="334" t="n"/>
      <c r="N175" s="333">
        <f>IFERROR(IF(L175*M175=0,"",L175*M175),"")</f>
        <v/>
      </c>
      <c r="O175" s="334" t="n"/>
      <c r="P175" s="332">
        <f>IFERROR(VLOOKUP(TEXT(O175,"0"),CONDUCTORES!$A$3:$G$54,2,0),"")</f>
        <v/>
      </c>
      <c r="Q175" s="332">
        <f>IFERROR(VLOOKUP(TEXT(O175,"0"),CONDUCTORES!$A$3:$H$54,6,0),"")</f>
        <v/>
      </c>
      <c r="R175" s="334" t="n"/>
      <c r="S175" s="334" t="n"/>
      <c r="T175" s="334" t="n"/>
      <c r="U175" s="334" t="n"/>
      <c r="V175" s="334" t="n"/>
      <c r="W175" s="334" t="n"/>
      <c r="X175" s="334" t="n"/>
      <c r="Y175" s="334" t="n"/>
      <c r="Z175" s="375">
        <f>IF(AND(G175&lt;&gt;"",R175&lt;&gt;"",V175&lt;&gt;"",W175&lt;&gt;""),"COMPLETADO","OBSERVADO")</f>
        <v/>
      </c>
    </row>
    <row r="176" ht="15" customHeight="1" s="195">
      <c r="A176" s="280" t="n"/>
      <c r="B176" s="280" t="n"/>
      <c r="C176" s="280" t="n"/>
      <c r="D176" s="280" t="n"/>
      <c r="E176" s="280" t="n"/>
      <c r="F176" s="280" t="n"/>
      <c r="G176" s="280" t="n"/>
      <c r="H176" s="280" t="n"/>
      <c r="I176" s="332">
        <f>IFERROR(VLOOKUP(TEXT(H176,"0"),IPRESS!$A$3:$B$212,2,0),"")</f>
        <v/>
      </c>
      <c r="J176" s="280" t="n"/>
      <c r="K176" s="332">
        <f>IFERROR(VLOOKUP(TEXT(O176,"0"),CONDUCTORES!$A$3:$G$54,7,0),"")</f>
        <v/>
      </c>
      <c r="L176" s="280" t="n"/>
      <c r="M176" s="280" t="n"/>
      <c r="N176" s="333">
        <f>IFERROR(IF(L176*M176=0,"",L176*M176),"")</f>
        <v/>
      </c>
      <c r="O176" s="280" t="n"/>
      <c r="P176" s="332">
        <f>IFERROR(VLOOKUP(TEXT(O176,"0"),CONDUCTORES!$A$3:$G$54,2,0),"")</f>
        <v/>
      </c>
      <c r="Q176" s="332">
        <f>IFERROR(VLOOKUP(TEXT(O176,"0"),CONDUCTORES!$A$3:$H$54,6,0),"")</f>
        <v/>
      </c>
      <c r="R176" s="280" t="n"/>
      <c r="S176" s="280" t="n"/>
      <c r="T176" s="280" t="n"/>
      <c r="U176" s="280" t="n"/>
      <c r="V176" s="280" t="n"/>
      <c r="W176" s="280" t="n"/>
      <c r="X176" s="280" t="n"/>
      <c r="Y176" s="280" t="n"/>
      <c r="Z176" s="375">
        <f>IF(AND(G176&lt;&gt;"",R176&lt;&gt;"",V176&lt;&gt;"",W176&lt;&gt;""),"COMPLETADO","OBSERVADO")</f>
        <v/>
      </c>
    </row>
    <row r="177" ht="15" customHeight="1" s="195">
      <c r="A177" s="334" t="n"/>
      <c r="B177" s="334" t="n"/>
      <c r="C177" s="334" t="n"/>
      <c r="D177" s="334" t="n"/>
      <c r="E177" s="334" t="n"/>
      <c r="F177" s="334" t="n"/>
      <c r="G177" s="334" t="n"/>
      <c r="H177" s="334" t="n"/>
      <c r="I177" s="332">
        <f>IFERROR(VLOOKUP(TEXT(H177,"0"),IPRESS!$A$3:$B$212,2,0),"")</f>
        <v/>
      </c>
      <c r="J177" s="334" t="n"/>
      <c r="K177" s="332">
        <f>IFERROR(VLOOKUP(TEXT(O177,"0"),CONDUCTORES!$A$3:$G$54,7,0),"")</f>
        <v/>
      </c>
      <c r="L177" s="334" t="n"/>
      <c r="M177" s="334" t="n"/>
      <c r="N177" s="333">
        <f>IFERROR(IF(L177*M177=0,"",L177*M177),"")</f>
        <v/>
      </c>
      <c r="O177" s="334" t="n"/>
      <c r="P177" s="332">
        <f>IFERROR(VLOOKUP(TEXT(O177,"0"),CONDUCTORES!$A$3:$G$54,2,0),"")</f>
        <v/>
      </c>
      <c r="Q177" s="332">
        <f>IFERROR(VLOOKUP(TEXT(O177,"0"),CONDUCTORES!$A$3:$H$54,6,0),"")</f>
        <v/>
      </c>
      <c r="R177" s="334" t="n"/>
      <c r="S177" s="334" t="n"/>
      <c r="T177" s="334" t="n"/>
      <c r="U177" s="334" t="n"/>
      <c r="V177" s="334" t="n"/>
      <c r="W177" s="334" t="n"/>
      <c r="X177" s="334" t="n"/>
      <c r="Y177" s="334" t="n"/>
      <c r="Z177" s="375">
        <f>IF(AND(G177&lt;&gt;"",R177&lt;&gt;"",V177&lt;&gt;"",W177&lt;&gt;""),"COMPLETADO","OBSERVADO")</f>
        <v/>
      </c>
    </row>
    <row r="178" ht="15" customHeight="1" s="195">
      <c r="A178" s="280" t="n"/>
      <c r="B178" s="280" t="n"/>
      <c r="C178" s="280" t="n"/>
      <c r="D178" s="280" t="n"/>
      <c r="E178" s="280" t="n"/>
      <c r="F178" s="280" t="n"/>
      <c r="G178" s="280" t="n"/>
      <c r="H178" s="280" t="n"/>
      <c r="I178" s="332">
        <f>IFERROR(VLOOKUP(TEXT(H178,"0"),IPRESS!$A$3:$B$212,2,0),"")</f>
        <v/>
      </c>
      <c r="J178" s="280" t="n"/>
      <c r="K178" s="332">
        <f>IFERROR(VLOOKUP(TEXT(O178,"0"),CONDUCTORES!$A$3:$G$54,7,0),"")</f>
        <v/>
      </c>
      <c r="L178" s="280" t="n"/>
      <c r="M178" s="280" t="n"/>
      <c r="N178" s="333">
        <f>IFERROR(IF(L178*M178=0,"",L178*M178),"")</f>
        <v/>
      </c>
      <c r="O178" s="280" t="n"/>
      <c r="P178" s="332">
        <f>IFERROR(VLOOKUP(TEXT(O178,"0"),CONDUCTORES!$A$3:$G$54,2,0),"")</f>
        <v/>
      </c>
      <c r="Q178" s="332">
        <f>IFERROR(VLOOKUP(TEXT(O178,"0"),CONDUCTORES!$A$3:$H$54,6,0),"")</f>
        <v/>
      </c>
      <c r="R178" s="280" t="n"/>
      <c r="S178" s="280" t="n"/>
      <c r="T178" s="280" t="n"/>
      <c r="U178" s="280" t="n"/>
      <c r="V178" s="280" t="n"/>
      <c r="W178" s="280" t="n"/>
      <c r="X178" s="280" t="n"/>
      <c r="Y178" s="280" t="n"/>
      <c r="Z178" s="375">
        <f>IF(AND(G178&lt;&gt;"",R178&lt;&gt;"",V178&lt;&gt;"",W178&lt;&gt;""),"COMPLETADO","OBSERVADO")</f>
        <v/>
      </c>
    </row>
    <row r="179" ht="15" customHeight="1" s="195">
      <c r="A179" s="334" t="n"/>
      <c r="B179" s="334" t="n"/>
      <c r="C179" s="334" t="n"/>
      <c r="D179" s="334" t="n"/>
      <c r="E179" s="334" t="n"/>
      <c r="F179" s="334" t="n"/>
      <c r="G179" s="334" t="n"/>
      <c r="H179" s="334" t="n"/>
      <c r="I179" s="332">
        <f>IFERROR(VLOOKUP(TEXT(H179,"0"),IPRESS!$A$3:$B$212,2,0),"")</f>
        <v/>
      </c>
      <c r="J179" s="334" t="n"/>
      <c r="K179" s="332">
        <f>IFERROR(VLOOKUP(TEXT(O179,"0"),CONDUCTORES!$A$3:$G$54,7,0),"")</f>
        <v/>
      </c>
      <c r="L179" s="334" t="n"/>
      <c r="M179" s="334" t="n"/>
      <c r="N179" s="333">
        <f>IFERROR(IF(L179*M179=0,"",L179*M179),"")</f>
        <v/>
      </c>
      <c r="O179" s="334" t="n"/>
      <c r="P179" s="332">
        <f>IFERROR(VLOOKUP(TEXT(O179,"0"),CONDUCTORES!$A$3:$G$54,2,0),"")</f>
        <v/>
      </c>
      <c r="Q179" s="332">
        <f>IFERROR(VLOOKUP(TEXT(O179,"0"),CONDUCTORES!$A$3:$H$54,6,0),"")</f>
        <v/>
      </c>
      <c r="R179" s="334" t="n"/>
      <c r="S179" s="334" t="n"/>
      <c r="T179" s="334" t="n"/>
      <c r="U179" s="334" t="n"/>
      <c r="V179" s="334" t="n"/>
      <c r="W179" s="334" t="n"/>
      <c r="X179" s="334" t="n"/>
      <c r="Y179" s="334" t="n"/>
      <c r="Z179" s="375">
        <f>IF(AND(G179&lt;&gt;"",R179&lt;&gt;"",V179&lt;&gt;"",W179&lt;&gt;""),"COMPLETADO","OBSERVADO")</f>
        <v/>
      </c>
    </row>
    <row r="180" ht="15" customHeight="1" s="195">
      <c r="A180" s="280" t="n"/>
      <c r="B180" s="280" t="n"/>
      <c r="C180" s="280" t="n"/>
      <c r="D180" s="280" t="n"/>
      <c r="E180" s="280" t="n"/>
      <c r="F180" s="280" t="n"/>
      <c r="G180" s="280" t="n"/>
      <c r="H180" s="280" t="n"/>
      <c r="I180" s="332">
        <f>IFERROR(VLOOKUP(TEXT(H180,"0"),IPRESS!$A$3:$B$212,2,0),"")</f>
        <v/>
      </c>
      <c r="J180" s="280" t="n"/>
      <c r="K180" s="332">
        <f>IFERROR(VLOOKUP(TEXT(O180,"0"),CONDUCTORES!$A$3:$G$54,7,0),"")</f>
        <v/>
      </c>
      <c r="L180" s="280" t="n"/>
      <c r="M180" s="280" t="n"/>
      <c r="N180" s="333">
        <f>IFERROR(IF(L180*M180=0,"",L180*M180),"")</f>
        <v/>
      </c>
      <c r="O180" s="280" t="n"/>
      <c r="P180" s="332">
        <f>IFERROR(VLOOKUP(TEXT(O180,"0"),CONDUCTORES!$A$3:$G$54,2,0),"")</f>
        <v/>
      </c>
      <c r="Q180" s="332">
        <f>IFERROR(VLOOKUP(TEXT(O180,"0"),CONDUCTORES!$A$3:$H$54,6,0),"")</f>
        <v/>
      </c>
      <c r="R180" s="280" t="n"/>
      <c r="S180" s="280" t="n"/>
      <c r="T180" s="280" t="n"/>
      <c r="U180" s="280" t="n"/>
      <c r="V180" s="280" t="n"/>
      <c r="W180" s="280" t="n"/>
      <c r="X180" s="280" t="n"/>
      <c r="Y180" s="280" t="n"/>
      <c r="Z180" s="375">
        <f>IF(AND(G180&lt;&gt;"",R180&lt;&gt;"",V180&lt;&gt;"",W180&lt;&gt;""),"COMPLETADO","OBSERVADO")</f>
        <v/>
      </c>
    </row>
    <row r="181" ht="15" customHeight="1" s="195">
      <c r="A181" s="334" t="n"/>
      <c r="B181" s="334" t="n"/>
      <c r="C181" s="334" t="n"/>
      <c r="D181" s="334" t="n"/>
      <c r="E181" s="334" t="n"/>
      <c r="F181" s="334" t="n"/>
      <c r="G181" s="334" t="n"/>
      <c r="H181" s="334" t="n"/>
      <c r="I181" s="332">
        <f>IFERROR(VLOOKUP(TEXT(H181,"0"),IPRESS!$A$3:$B$212,2,0),"")</f>
        <v/>
      </c>
      <c r="J181" s="334" t="n"/>
      <c r="K181" s="332">
        <f>IFERROR(VLOOKUP(TEXT(O181,"0"),CONDUCTORES!$A$3:$G$54,7,0),"")</f>
        <v/>
      </c>
      <c r="L181" s="334" t="n"/>
      <c r="M181" s="334" t="n"/>
      <c r="N181" s="333">
        <f>IFERROR(IF(L181*M181=0,"",L181*M181),"")</f>
        <v/>
      </c>
      <c r="O181" s="334" t="n"/>
      <c r="P181" s="332">
        <f>IFERROR(VLOOKUP(TEXT(O181,"0"),CONDUCTORES!$A$3:$G$54,2,0),"")</f>
        <v/>
      </c>
      <c r="Q181" s="332">
        <f>IFERROR(VLOOKUP(TEXT(O181,"0"),CONDUCTORES!$A$3:$H$54,6,0),"")</f>
        <v/>
      </c>
      <c r="R181" s="334" t="n"/>
      <c r="S181" s="334" t="n"/>
      <c r="T181" s="334" t="n"/>
      <c r="U181" s="334" t="n"/>
      <c r="V181" s="334" t="n"/>
      <c r="W181" s="334" t="n"/>
      <c r="X181" s="334" t="n"/>
      <c r="Y181" s="334" t="n"/>
      <c r="Z181" s="375">
        <f>IF(AND(G181&lt;&gt;"",R181&lt;&gt;"",V181&lt;&gt;"",W181&lt;&gt;""),"COMPLETADO","OBSERVADO")</f>
        <v/>
      </c>
    </row>
    <row r="182" ht="15" customHeight="1" s="195">
      <c r="A182" s="280" t="n"/>
      <c r="B182" s="280" t="n"/>
      <c r="C182" s="280" t="n"/>
      <c r="D182" s="280" t="n"/>
      <c r="E182" s="280" t="n"/>
      <c r="F182" s="280" t="n"/>
      <c r="G182" s="280" t="n"/>
      <c r="H182" s="280" t="n"/>
      <c r="I182" s="332">
        <f>IFERROR(VLOOKUP(TEXT(H182,"0"),IPRESS!$A$3:$B$212,2,0),"")</f>
        <v/>
      </c>
      <c r="J182" s="280" t="n"/>
      <c r="K182" s="332">
        <f>IFERROR(VLOOKUP(TEXT(O182,"0"),CONDUCTORES!$A$3:$G$54,7,0),"")</f>
        <v/>
      </c>
      <c r="L182" s="280" t="n"/>
      <c r="M182" s="280" t="n"/>
      <c r="N182" s="333">
        <f>IFERROR(IF(L182*M182=0,"",L182*M182),"")</f>
        <v/>
      </c>
      <c r="O182" s="280" t="n"/>
      <c r="P182" s="332">
        <f>IFERROR(VLOOKUP(TEXT(O182,"0"),CONDUCTORES!$A$3:$G$54,2,0),"")</f>
        <v/>
      </c>
      <c r="Q182" s="332">
        <f>IFERROR(VLOOKUP(TEXT(O182,"0"),CONDUCTORES!$A$3:$H$54,6,0),"")</f>
        <v/>
      </c>
      <c r="R182" s="280" t="n"/>
      <c r="S182" s="280" t="n"/>
      <c r="T182" s="280" t="n"/>
      <c r="U182" s="280" t="n"/>
      <c r="V182" s="280" t="n"/>
      <c r="W182" s="280" t="n"/>
      <c r="X182" s="280" t="n"/>
      <c r="Y182" s="280" t="n"/>
      <c r="Z182" s="375">
        <f>IF(AND(G182&lt;&gt;"",R182&lt;&gt;"",V182&lt;&gt;"",W182&lt;&gt;""),"COMPLETADO","OBSERVADO")</f>
        <v/>
      </c>
    </row>
    <row r="183" ht="15" customHeight="1" s="195">
      <c r="A183" s="334" t="n"/>
      <c r="B183" s="334" t="n"/>
      <c r="C183" s="334" t="n"/>
      <c r="D183" s="334" t="n"/>
      <c r="E183" s="334" t="n"/>
      <c r="F183" s="334" t="n"/>
      <c r="G183" s="334" t="n"/>
      <c r="H183" s="334" t="n"/>
      <c r="I183" s="332">
        <f>IFERROR(VLOOKUP(TEXT(H183,"0"),IPRESS!$A$3:$B$212,2,0),"")</f>
        <v/>
      </c>
      <c r="J183" s="334" t="n"/>
      <c r="K183" s="332">
        <f>IFERROR(VLOOKUP(TEXT(O183,"0"),CONDUCTORES!$A$3:$G$54,7,0),"")</f>
        <v/>
      </c>
      <c r="L183" s="334" t="n"/>
      <c r="M183" s="334" t="n"/>
      <c r="N183" s="333">
        <f>IFERROR(IF(L183*M183=0,"",L183*M183),"")</f>
        <v/>
      </c>
      <c r="O183" s="334" t="n"/>
      <c r="P183" s="332">
        <f>IFERROR(VLOOKUP(TEXT(O183,"0"),CONDUCTORES!$A$3:$G$54,2,0),"")</f>
        <v/>
      </c>
      <c r="Q183" s="332">
        <f>IFERROR(VLOOKUP(TEXT(O183,"0"),CONDUCTORES!$A$3:$H$54,6,0),"")</f>
        <v/>
      </c>
      <c r="R183" s="334" t="n"/>
      <c r="S183" s="334" t="n"/>
      <c r="T183" s="334" t="n"/>
      <c r="U183" s="334" t="n"/>
      <c r="V183" s="334" t="n"/>
      <c r="W183" s="334" t="n"/>
      <c r="X183" s="334" t="n"/>
      <c r="Y183" s="334" t="n"/>
      <c r="Z183" s="375">
        <f>IF(AND(G183&lt;&gt;"",R183&lt;&gt;"",V183&lt;&gt;"",W183&lt;&gt;""),"COMPLETADO","OBSERVADO")</f>
        <v/>
      </c>
    </row>
    <row r="184" ht="15" customHeight="1" s="195">
      <c r="A184" s="280" t="n"/>
      <c r="B184" s="280" t="n"/>
      <c r="C184" s="280" t="n"/>
      <c r="D184" s="280" t="n"/>
      <c r="E184" s="280" t="n"/>
      <c r="F184" s="280" t="n"/>
      <c r="G184" s="280" t="n"/>
      <c r="H184" s="280" t="n"/>
      <c r="I184" s="332">
        <f>IFERROR(VLOOKUP(TEXT(H184,"0"),IPRESS!$A$3:$B$212,2,0),"")</f>
        <v/>
      </c>
      <c r="J184" s="280" t="n"/>
      <c r="K184" s="332">
        <f>IFERROR(VLOOKUP(TEXT(O184,"0"),CONDUCTORES!$A$3:$G$54,7,0),"")</f>
        <v/>
      </c>
      <c r="L184" s="280" t="n"/>
      <c r="M184" s="280" t="n"/>
      <c r="N184" s="333">
        <f>IFERROR(IF(L184*M184=0,"",L184*M184),"")</f>
        <v/>
      </c>
      <c r="O184" s="280" t="n"/>
      <c r="P184" s="332">
        <f>IFERROR(VLOOKUP(TEXT(O184,"0"),CONDUCTORES!$A$3:$G$54,2,0),"")</f>
        <v/>
      </c>
      <c r="Q184" s="332">
        <f>IFERROR(VLOOKUP(TEXT(O184,"0"),CONDUCTORES!$A$3:$H$54,6,0),"")</f>
        <v/>
      </c>
      <c r="R184" s="280" t="n"/>
      <c r="S184" s="280" t="n"/>
      <c r="T184" s="280" t="n"/>
      <c r="U184" s="280" t="n"/>
      <c r="V184" s="280" t="n"/>
      <c r="W184" s="280" t="n"/>
      <c r="X184" s="280" t="n"/>
      <c r="Y184" s="280" t="n"/>
      <c r="Z184" s="375">
        <f>IF(AND(G184&lt;&gt;"",R184&lt;&gt;"",V184&lt;&gt;"",W184&lt;&gt;""),"COMPLETADO","OBSERVADO")</f>
        <v/>
      </c>
    </row>
    <row r="185" ht="15" customHeight="1" s="195">
      <c r="A185" s="334" t="n"/>
      <c r="B185" s="334" t="n"/>
      <c r="C185" s="334" t="n"/>
      <c r="D185" s="334" t="n"/>
      <c r="E185" s="334" t="n"/>
      <c r="F185" s="334" t="n"/>
      <c r="G185" s="334" t="n"/>
      <c r="H185" s="334" t="n"/>
      <c r="I185" s="332">
        <f>IFERROR(VLOOKUP(TEXT(H185,"0"),IPRESS!$A$3:$B$212,2,0),"")</f>
        <v/>
      </c>
      <c r="J185" s="334" t="n"/>
      <c r="K185" s="332">
        <f>IFERROR(VLOOKUP(TEXT(O185,"0"),CONDUCTORES!$A$3:$G$54,7,0),"")</f>
        <v/>
      </c>
      <c r="L185" s="334" t="n"/>
      <c r="M185" s="334" t="n"/>
      <c r="N185" s="333">
        <f>IFERROR(IF(L185*M185=0,"",L185*M185),"")</f>
        <v/>
      </c>
      <c r="O185" s="334" t="n"/>
      <c r="P185" s="332">
        <f>IFERROR(VLOOKUP(TEXT(O185,"0"),CONDUCTORES!$A$3:$G$54,2,0),"")</f>
        <v/>
      </c>
      <c r="Q185" s="332">
        <f>IFERROR(VLOOKUP(TEXT(O185,"0"),CONDUCTORES!$A$3:$H$54,6,0),"")</f>
        <v/>
      </c>
      <c r="R185" s="334" t="n"/>
      <c r="S185" s="334" t="n"/>
      <c r="T185" s="334" t="n"/>
      <c r="U185" s="334" t="n"/>
      <c r="V185" s="334" t="n"/>
      <c r="W185" s="334" t="n"/>
      <c r="X185" s="334" t="n"/>
      <c r="Y185" s="334" t="n"/>
      <c r="Z185" s="375">
        <f>IF(AND(G185&lt;&gt;"",R185&lt;&gt;"",V185&lt;&gt;"",W185&lt;&gt;""),"COMPLETADO","OBSERVADO")</f>
        <v/>
      </c>
    </row>
    <row r="186" ht="15" customHeight="1" s="195">
      <c r="A186" s="280" t="n"/>
      <c r="B186" s="280" t="n"/>
      <c r="C186" s="280" t="n"/>
      <c r="D186" s="280" t="n"/>
      <c r="E186" s="280" t="n"/>
      <c r="F186" s="280" t="n"/>
      <c r="G186" s="280" t="n"/>
      <c r="H186" s="280" t="n"/>
      <c r="I186" s="332">
        <f>IFERROR(VLOOKUP(TEXT(H186,"0"),IPRESS!$A$3:$B$212,2,0),"")</f>
        <v/>
      </c>
      <c r="J186" s="280" t="n"/>
      <c r="K186" s="332">
        <f>IFERROR(VLOOKUP(TEXT(O186,"0"),CONDUCTORES!$A$3:$G$54,7,0),"")</f>
        <v/>
      </c>
      <c r="L186" s="280" t="n"/>
      <c r="M186" s="280" t="n"/>
      <c r="N186" s="333">
        <f>IFERROR(IF(L186*M186=0,"",L186*M186),"")</f>
        <v/>
      </c>
      <c r="O186" s="280" t="n"/>
      <c r="P186" s="332">
        <f>IFERROR(VLOOKUP(TEXT(O186,"0"),CONDUCTORES!$A$3:$G$54,2,0),"")</f>
        <v/>
      </c>
      <c r="Q186" s="332">
        <f>IFERROR(VLOOKUP(TEXT(O186,"0"),CONDUCTORES!$A$3:$H$54,6,0),"")</f>
        <v/>
      </c>
      <c r="R186" s="280" t="n"/>
      <c r="S186" s="280" t="n"/>
      <c r="T186" s="280" t="n"/>
      <c r="U186" s="280" t="n"/>
      <c r="V186" s="280" t="n"/>
      <c r="W186" s="280" t="n"/>
      <c r="X186" s="280" t="n"/>
      <c r="Y186" s="280" t="n"/>
      <c r="Z186" s="375">
        <f>IF(AND(G186&lt;&gt;"",R186&lt;&gt;"",V186&lt;&gt;"",W186&lt;&gt;""),"COMPLETADO","OBSERVADO")</f>
        <v/>
      </c>
    </row>
    <row r="187" ht="15" customHeight="1" s="195">
      <c r="A187" s="334" t="n"/>
      <c r="B187" s="334" t="n"/>
      <c r="C187" s="334" t="n"/>
      <c r="D187" s="334" t="n"/>
      <c r="E187" s="334" t="n"/>
      <c r="F187" s="334" t="n"/>
      <c r="G187" s="334" t="n"/>
      <c r="H187" s="334" t="n"/>
      <c r="I187" s="332">
        <f>IFERROR(VLOOKUP(TEXT(H187,"0"),IPRESS!$A$3:$B$212,2,0),"")</f>
        <v/>
      </c>
      <c r="J187" s="334" t="n"/>
      <c r="K187" s="332">
        <f>IFERROR(VLOOKUP(TEXT(O187,"0"),CONDUCTORES!$A$3:$G$54,7,0),"")</f>
        <v/>
      </c>
      <c r="L187" s="334" t="n"/>
      <c r="M187" s="334" t="n"/>
      <c r="N187" s="333">
        <f>IFERROR(IF(L187*M187=0,"",L187*M187),"")</f>
        <v/>
      </c>
      <c r="O187" s="334" t="n"/>
      <c r="P187" s="332">
        <f>IFERROR(VLOOKUP(TEXT(O187,"0"),CONDUCTORES!$A$3:$G$54,2,0),"")</f>
        <v/>
      </c>
      <c r="Q187" s="332">
        <f>IFERROR(VLOOKUP(TEXT(O187,"0"),CONDUCTORES!$A$3:$H$54,6,0),"")</f>
        <v/>
      </c>
      <c r="R187" s="334" t="n"/>
      <c r="S187" s="334" t="n"/>
      <c r="T187" s="334" t="n"/>
      <c r="U187" s="334" t="n"/>
      <c r="V187" s="334" t="n"/>
      <c r="W187" s="334" t="n"/>
      <c r="X187" s="334" t="n"/>
      <c r="Y187" s="334" t="n"/>
      <c r="Z187" s="375">
        <f>IF(AND(G187&lt;&gt;"",R187&lt;&gt;"",V187&lt;&gt;"",W187&lt;&gt;""),"COMPLETADO","OBSERVADO")</f>
        <v/>
      </c>
    </row>
    <row r="188" ht="15" customHeight="1" s="195">
      <c r="A188" s="280" t="n"/>
      <c r="B188" s="280" t="n"/>
      <c r="C188" s="280" t="n"/>
      <c r="D188" s="280" t="n"/>
      <c r="E188" s="280" t="n"/>
      <c r="F188" s="280" t="n"/>
      <c r="G188" s="280" t="n"/>
      <c r="H188" s="280" t="n"/>
      <c r="I188" s="332">
        <f>IFERROR(VLOOKUP(TEXT(H188,"0"),IPRESS!$A$3:$B$212,2,0),"")</f>
        <v/>
      </c>
      <c r="J188" s="280" t="n"/>
      <c r="K188" s="332">
        <f>IFERROR(VLOOKUP(TEXT(O188,"0"),CONDUCTORES!$A$3:$G$54,7,0),"")</f>
        <v/>
      </c>
      <c r="L188" s="280" t="n"/>
      <c r="M188" s="280" t="n"/>
      <c r="N188" s="333">
        <f>IFERROR(IF(L188*M188=0,"",L188*M188),"")</f>
        <v/>
      </c>
      <c r="O188" s="280" t="n"/>
      <c r="P188" s="332">
        <f>IFERROR(VLOOKUP(TEXT(O188,"0"),CONDUCTORES!$A$3:$G$54,2,0),"")</f>
        <v/>
      </c>
      <c r="Q188" s="332">
        <f>IFERROR(VLOOKUP(TEXT(O188,"0"),CONDUCTORES!$A$3:$H$54,6,0),"")</f>
        <v/>
      </c>
      <c r="R188" s="280" t="n"/>
      <c r="S188" s="280" t="n"/>
      <c r="T188" s="280" t="n"/>
      <c r="U188" s="280" t="n"/>
      <c r="V188" s="280" t="n"/>
      <c r="W188" s="280" t="n"/>
      <c r="X188" s="280" t="n"/>
      <c r="Y188" s="280" t="n"/>
      <c r="Z188" s="375">
        <f>IF(AND(G188&lt;&gt;"",R188&lt;&gt;"",V188&lt;&gt;"",W188&lt;&gt;""),"COMPLETADO","OBSERVADO")</f>
        <v/>
      </c>
    </row>
    <row r="189" ht="15" customHeight="1" s="195">
      <c r="A189" s="334" t="n"/>
      <c r="B189" s="334" t="n"/>
      <c r="C189" s="334" t="n"/>
      <c r="D189" s="334" t="n"/>
      <c r="E189" s="334" t="n"/>
      <c r="F189" s="334" t="n"/>
      <c r="G189" s="334" t="n"/>
      <c r="H189" s="334" t="n"/>
      <c r="I189" s="332">
        <f>IFERROR(VLOOKUP(TEXT(H189,"0"),IPRESS!$A$3:$B$212,2,0),"")</f>
        <v/>
      </c>
      <c r="J189" s="334" t="n"/>
      <c r="K189" s="332">
        <f>IFERROR(VLOOKUP(TEXT(O189,"0"),CONDUCTORES!$A$3:$G$54,7,0),"")</f>
        <v/>
      </c>
      <c r="L189" s="334" t="n"/>
      <c r="M189" s="334" t="n"/>
      <c r="N189" s="333">
        <f>IFERROR(IF(L189*M189=0,"",L189*M189),"")</f>
        <v/>
      </c>
      <c r="O189" s="334" t="n"/>
      <c r="P189" s="332">
        <f>IFERROR(VLOOKUP(TEXT(O189,"0"),CONDUCTORES!$A$3:$G$54,2,0),"")</f>
        <v/>
      </c>
      <c r="Q189" s="332">
        <f>IFERROR(VLOOKUP(TEXT(O189,"0"),CONDUCTORES!$A$3:$H$54,6,0),"")</f>
        <v/>
      </c>
      <c r="R189" s="334" t="n"/>
      <c r="S189" s="334" t="n"/>
      <c r="T189" s="334" t="n"/>
      <c r="U189" s="334" t="n"/>
      <c r="V189" s="334" t="n"/>
      <c r="W189" s="334" t="n"/>
      <c r="X189" s="334" t="n"/>
      <c r="Y189" s="334" t="n"/>
      <c r="Z189" s="375">
        <f>IF(AND(G189&lt;&gt;"",R189&lt;&gt;"",V189&lt;&gt;"",W189&lt;&gt;""),"COMPLETADO","OBSERVADO")</f>
        <v/>
      </c>
    </row>
    <row r="190" ht="15" customHeight="1" s="195">
      <c r="A190" s="280" t="n"/>
      <c r="B190" s="280" t="n"/>
      <c r="C190" s="280" t="n"/>
      <c r="D190" s="280" t="n"/>
      <c r="E190" s="280" t="n"/>
      <c r="F190" s="280" t="n"/>
      <c r="G190" s="280" t="n"/>
      <c r="H190" s="280" t="n"/>
      <c r="I190" s="332">
        <f>IFERROR(VLOOKUP(TEXT(H190,"0"),IPRESS!$A$3:$B$212,2,0),"")</f>
        <v/>
      </c>
      <c r="J190" s="280" t="n"/>
      <c r="K190" s="332">
        <f>IFERROR(VLOOKUP(TEXT(O190,"0"),CONDUCTORES!$A$3:$G$54,7,0),"")</f>
        <v/>
      </c>
      <c r="L190" s="280" t="n"/>
      <c r="M190" s="280" t="n"/>
      <c r="N190" s="333">
        <f>IFERROR(IF(L190*M190=0,"",L190*M190),"")</f>
        <v/>
      </c>
      <c r="O190" s="280" t="n"/>
      <c r="P190" s="332">
        <f>IFERROR(VLOOKUP(TEXT(O190,"0"),CONDUCTORES!$A$3:$G$54,2,0),"")</f>
        <v/>
      </c>
      <c r="Q190" s="332">
        <f>IFERROR(VLOOKUP(TEXT(O190,"0"),CONDUCTORES!$A$3:$H$54,6,0),"")</f>
        <v/>
      </c>
      <c r="R190" s="280" t="n"/>
      <c r="S190" s="280" t="n"/>
      <c r="T190" s="280" t="n"/>
      <c r="U190" s="280" t="n"/>
      <c r="V190" s="280" t="n"/>
      <c r="W190" s="280" t="n"/>
      <c r="X190" s="280" t="n"/>
      <c r="Y190" s="280" t="n"/>
      <c r="Z190" s="375">
        <f>IF(AND(G190&lt;&gt;"",R190&lt;&gt;"",V190&lt;&gt;"",W190&lt;&gt;""),"COMPLETADO","OBSERVADO")</f>
        <v/>
      </c>
    </row>
    <row r="191" ht="15" customHeight="1" s="195">
      <c r="A191" s="334" t="n"/>
      <c r="B191" s="334" t="n"/>
      <c r="C191" s="334" t="n"/>
      <c r="D191" s="334" t="n"/>
      <c r="E191" s="334" t="n"/>
      <c r="F191" s="334" t="n"/>
      <c r="G191" s="334" t="n"/>
      <c r="H191" s="334" t="n"/>
      <c r="I191" s="332">
        <f>IFERROR(VLOOKUP(TEXT(H191,"0"),IPRESS!$A$3:$B$212,2,0),"")</f>
        <v/>
      </c>
      <c r="J191" s="334" t="n"/>
      <c r="K191" s="332">
        <f>IFERROR(VLOOKUP(TEXT(O191,"0"),CONDUCTORES!$A$3:$G$54,7,0),"")</f>
        <v/>
      </c>
      <c r="L191" s="334" t="n"/>
      <c r="M191" s="334" t="n"/>
      <c r="N191" s="333">
        <f>IFERROR(IF(L191*M191=0,"",L191*M191),"")</f>
        <v/>
      </c>
      <c r="O191" s="334" t="n"/>
      <c r="P191" s="332">
        <f>IFERROR(VLOOKUP(TEXT(O191,"0"),CONDUCTORES!$A$3:$G$54,2,0),"")</f>
        <v/>
      </c>
      <c r="Q191" s="332">
        <f>IFERROR(VLOOKUP(TEXT(O191,"0"),CONDUCTORES!$A$3:$H$54,6,0),"")</f>
        <v/>
      </c>
      <c r="R191" s="334" t="n"/>
      <c r="S191" s="334" t="n"/>
      <c r="T191" s="334" t="n"/>
      <c r="U191" s="334" t="n"/>
      <c r="V191" s="334" t="n"/>
      <c r="W191" s="334" t="n"/>
      <c r="X191" s="334" t="n"/>
      <c r="Y191" s="334" t="n"/>
      <c r="Z191" s="375">
        <f>IF(AND(G191&lt;&gt;"",R191&lt;&gt;"",V191&lt;&gt;"",W191&lt;&gt;""),"COMPLETADO","OBSERVADO")</f>
        <v/>
      </c>
    </row>
    <row r="192" ht="15" customHeight="1" s="195">
      <c r="A192" s="280" t="n"/>
      <c r="B192" s="280" t="n"/>
      <c r="C192" s="280" t="n"/>
      <c r="D192" s="280" t="n"/>
      <c r="E192" s="280" t="n"/>
      <c r="F192" s="280" t="n"/>
      <c r="G192" s="280" t="n"/>
      <c r="H192" s="280" t="n"/>
      <c r="I192" s="332">
        <f>IFERROR(VLOOKUP(TEXT(H192,"0"),IPRESS!$A$3:$B$212,2,0),"")</f>
        <v/>
      </c>
      <c r="J192" s="280" t="n"/>
      <c r="K192" s="332">
        <f>IFERROR(VLOOKUP(TEXT(O192,"0"),CONDUCTORES!$A$3:$G$54,7,0),"")</f>
        <v/>
      </c>
      <c r="L192" s="280" t="n"/>
      <c r="M192" s="280" t="n"/>
      <c r="N192" s="333">
        <f>IFERROR(IF(L192*M192=0,"",L192*M192),"")</f>
        <v/>
      </c>
      <c r="O192" s="280" t="n"/>
      <c r="P192" s="332">
        <f>IFERROR(VLOOKUP(TEXT(O192,"0"),CONDUCTORES!$A$3:$G$54,2,0),"")</f>
        <v/>
      </c>
      <c r="Q192" s="332">
        <f>IFERROR(VLOOKUP(TEXT(O192,"0"),CONDUCTORES!$A$3:$H$54,6,0),"")</f>
        <v/>
      </c>
      <c r="R192" s="280" t="n"/>
      <c r="S192" s="280" t="n"/>
      <c r="T192" s="280" t="n"/>
      <c r="U192" s="280" t="n"/>
      <c r="V192" s="280" t="n"/>
      <c r="W192" s="280" t="n"/>
      <c r="X192" s="280" t="n"/>
      <c r="Y192" s="280" t="n"/>
      <c r="Z192" s="375">
        <f>IF(AND(G192&lt;&gt;"",R192&lt;&gt;"",V192&lt;&gt;"",W192&lt;&gt;""),"COMPLETADO","OBSERVADO")</f>
        <v/>
      </c>
    </row>
    <row r="193" ht="15" customHeight="1" s="195">
      <c r="A193" s="334" t="n"/>
      <c r="B193" s="334" t="n"/>
      <c r="C193" s="334" t="n"/>
      <c r="D193" s="334" t="n"/>
      <c r="E193" s="334" t="n"/>
      <c r="F193" s="334" t="n"/>
      <c r="G193" s="334" t="n"/>
      <c r="H193" s="334" t="n"/>
      <c r="I193" s="332">
        <f>IFERROR(VLOOKUP(TEXT(H193,"0"),IPRESS!$A$3:$B$212,2,0),"")</f>
        <v/>
      </c>
      <c r="J193" s="334" t="n"/>
      <c r="K193" s="332">
        <f>IFERROR(VLOOKUP(TEXT(O193,"0"),CONDUCTORES!$A$3:$G$54,7,0),"")</f>
        <v/>
      </c>
      <c r="L193" s="334" t="n"/>
      <c r="M193" s="334" t="n"/>
      <c r="N193" s="333">
        <f>IFERROR(IF(L193*M193=0,"",L193*M193),"")</f>
        <v/>
      </c>
      <c r="O193" s="334" t="n"/>
      <c r="P193" s="332">
        <f>IFERROR(VLOOKUP(TEXT(O193,"0"),CONDUCTORES!$A$3:$G$54,2,0),"")</f>
        <v/>
      </c>
      <c r="Q193" s="332">
        <f>IFERROR(VLOOKUP(TEXT(O193,"0"),CONDUCTORES!$A$3:$H$54,6,0),"")</f>
        <v/>
      </c>
      <c r="R193" s="334" t="n"/>
      <c r="S193" s="334" t="n"/>
      <c r="T193" s="334" t="n"/>
      <c r="U193" s="334" t="n"/>
      <c r="V193" s="334" t="n"/>
      <c r="W193" s="334" t="n"/>
      <c r="X193" s="334" t="n"/>
      <c r="Y193" s="334" t="n"/>
      <c r="Z193" s="375">
        <f>IF(AND(G193&lt;&gt;"",R193&lt;&gt;"",V193&lt;&gt;"",W193&lt;&gt;""),"COMPLETADO","OBSERVADO")</f>
        <v/>
      </c>
    </row>
    <row r="194" ht="15" customHeight="1" s="195">
      <c r="A194" s="280" t="n"/>
      <c r="B194" s="280" t="n"/>
      <c r="C194" s="280" t="n"/>
      <c r="D194" s="280" t="n"/>
      <c r="E194" s="280" t="n"/>
      <c r="F194" s="280" t="n"/>
      <c r="G194" s="280" t="n"/>
      <c r="H194" s="280" t="n"/>
      <c r="I194" s="332">
        <f>IFERROR(VLOOKUP(TEXT(H194,"0"),IPRESS!$A$3:$B$212,2,0),"")</f>
        <v/>
      </c>
      <c r="J194" s="280" t="n"/>
      <c r="K194" s="332">
        <f>IFERROR(VLOOKUP(TEXT(O194,"0"),CONDUCTORES!$A$3:$G$54,7,0),"")</f>
        <v/>
      </c>
      <c r="L194" s="280" t="n"/>
      <c r="M194" s="280" t="n"/>
      <c r="N194" s="333">
        <f>IFERROR(IF(L194*M194=0,"",L194*M194),"")</f>
        <v/>
      </c>
      <c r="O194" s="280" t="n"/>
      <c r="P194" s="332">
        <f>IFERROR(VLOOKUP(TEXT(O194,"0"),CONDUCTORES!$A$3:$G$54,2,0),"")</f>
        <v/>
      </c>
      <c r="Q194" s="332">
        <f>IFERROR(VLOOKUP(TEXT(O194,"0"),CONDUCTORES!$A$3:$H$54,6,0),"")</f>
        <v/>
      </c>
      <c r="R194" s="280" t="n"/>
      <c r="S194" s="280" t="n"/>
      <c r="T194" s="280" t="n"/>
      <c r="U194" s="280" t="n"/>
      <c r="V194" s="280" t="n"/>
      <c r="W194" s="280" t="n"/>
      <c r="X194" s="280" t="n"/>
      <c r="Y194" s="280" t="n"/>
      <c r="Z194" s="375">
        <f>IF(AND(G194&lt;&gt;"",R194&lt;&gt;"",V194&lt;&gt;"",W194&lt;&gt;""),"COMPLETADO","OBSERVADO")</f>
        <v/>
      </c>
    </row>
    <row r="195" ht="15" customHeight="1" s="195">
      <c r="A195" s="334" t="n"/>
      <c r="B195" s="334" t="n"/>
      <c r="C195" s="334" t="n"/>
      <c r="D195" s="334" t="n"/>
      <c r="E195" s="334" t="n"/>
      <c r="F195" s="334" t="n"/>
      <c r="G195" s="334" t="n"/>
      <c r="H195" s="334" t="n"/>
      <c r="I195" s="332">
        <f>IFERROR(VLOOKUP(TEXT(H195,"0"),IPRESS!$A$3:$B$212,2,0),"")</f>
        <v/>
      </c>
      <c r="J195" s="334" t="n"/>
      <c r="K195" s="332">
        <f>IFERROR(VLOOKUP(TEXT(O195,"0"),CONDUCTORES!$A$3:$G$54,7,0),"")</f>
        <v/>
      </c>
      <c r="L195" s="334" t="n"/>
      <c r="M195" s="334" t="n"/>
      <c r="N195" s="333">
        <f>IFERROR(IF(L195*M195=0,"",L195*M195),"")</f>
        <v/>
      </c>
      <c r="O195" s="334" t="n"/>
      <c r="P195" s="332">
        <f>IFERROR(VLOOKUP(TEXT(O195,"0"),CONDUCTORES!$A$3:$G$54,2,0),"")</f>
        <v/>
      </c>
      <c r="Q195" s="332">
        <f>IFERROR(VLOOKUP(TEXT(O195,"0"),CONDUCTORES!$A$3:$H$54,6,0),"")</f>
        <v/>
      </c>
      <c r="R195" s="334" t="n"/>
      <c r="S195" s="334" t="n"/>
      <c r="T195" s="334" t="n"/>
      <c r="U195" s="334" t="n"/>
      <c r="V195" s="334" t="n"/>
      <c r="W195" s="334" t="n"/>
      <c r="X195" s="334" t="n"/>
      <c r="Y195" s="334" t="n"/>
      <c r="Z195" s="375">
        <f>IF(AND(G195&lt;&gt;"",R195&lt;&gt;"",V195&lt;&gt;"",W195&lt;&gt;""),"COMPLETADO","OBSERVADO")</f>
        <v/>
      </c>
    </row>
    <row r="196" ht="15" customHeight="1" s="195">
      <c r="A196" s="280" t="n"/>
      <c r="B196" s="280" t="n"/>
      <c r="C196" s="280" t="n"/>
      <c r="D196" s="280" t="n"/>
      <c r="E196" s="280" t="n"/>
      <c r="F196" s="280" t="n"/>
      <c r="G196" s="280" t="n"/>
      <c r="H196" s="280" t="n"/>
      <c r="I196" s="332">
        <f>IFERROR(VLOOKUP(TEXT(H196,"0"),IPRESS!$A$3:$B$212,2,0),"")</f>
        <v/>
      </c>
      <c r="J196" s="280" t="n"/>
      <c r="K196" s="332">
        <f>IFERROR(VLOOKUP(TEXT(O196,"0"),CONDUCTORES!$A$3:$G$54,7,0),"")</f>
        <v/>
      </c>
      <c r="L196" s="280" t="n"/>
      <c r="M196" s="280" t="n"/>
      <c r="N196" s="333">
        <f>IFERROR(IF(L196*M196=0,"",L196*M196),"")</f>
        <v/>
      </c>
      <c r="O196" s="280" t="n"/>
      <c r="P196" s="332">
        <f>IFERROR(VLOOKUP(TEXT(O196,"0"),CONDUCTORES!$A$3:$G$54,2,0),"")</f>
        <v/>
      </c>
      <c r="Q196" s="332">
        <f>IFERROR(VLOOKUP(TEXT(O196,"0"),CONDUCTORES!$A$3:$H$54,6,0),"")</f>
        <v/>
      </c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375">
        <f>IF(AND(G196&lt;&gt;"",R196&lt;&gt;"",V196&lt;&gt;"",W196&lt;&gt;""),"COMPLETADO","OBSERVADO")</f>
        <v/>
      </c>
    </row>
    <row r="197" ht="15" customHeight="1" s="195">
      <c r="A197" s="334" t="n"/>
      <c r="B197" s="334" t="n"/>
      <c r="C197" s="334" t="n"/>
      <c r="D197" s="334" t="n"/>
      <c r="E197" s="334" t="n"/>
      <c r="F197" s="334" t="n"/>
      <c r="G197" s="334" t="n"/>
      <c r="H197" s="334" t="n"/>
      <c r="I197" s="332">
        <f>IFERROR(VLOOKUP(TEXT(H197,"0"),IPRESS!$A$3:$B$212,2,0),"")</f>
        <v/>
      </c>
      <c r="J197" s="334" t="n"/>
      <c r="K197" s="332">
        <f>IFERROR(VLOOKUP(TEXT(O197,"0"),CONDUCTORES!$A$3:$G$54,7,0),"")</f>
        <v/>
      </c>
      <c r="L197" s="334" t="n"/>
      <c r="M197" s="334" t="n"/>
      <c r="N197" s="333">
        <f>IFERROR(IF(L197*M197=0,"",L197*M197),"")</f>
        <v/>
      </c>
      <c r="O197" s="334" t="n"/>
      <c r="P197" s="332">
        <f>IFERROR(VLOOKUP(TEXT(O197,"0"),CONDUCTORES!$A$3:$G$54,2,0),"")</f>
        <v/>
      </c>
      <c r="Q197" s="332">
        <f>IFERROR(VLOOKUP(TEXT(O197,"0"),CONDUCTORES!$A$3:$H$54,6,0),"")</f>
        <v/>
      </c>
      <c r="R197" s="334" t="n"/>
      <c r="S197" s="334" t="n"/>
      <c r="T197" s="334" t="n"/>
      <c r="U197" s="334" t="n"/>
      <c r="V197" s="334" t="n"/>
      <c r="W197" s="334" t="n"/>
      <c r="X197" s="334" t="n"/>
      <c r="Y197" s="334" t="n"/>
      <c r="Z197" s="375">
        <f>IF(AND(G197&lt;&gt;"",R197&lt;&gt;"",V197&lt;&gt;"",W197&lt;&gt;""),"COMPLETADO","OBSERVADO")</f>
        <v/>
      </c>
    </row>
    <row r="198" ht="15" customHeight="1" s="195">
      <c r="A198" s="280" t="n"/>
      <c r="B198" s="280" t="n"/>
      <c r="C198" s="280" t="n"/>
      <c r="D198" s="280" t="n"/>
      <c r="E198" s="280" t="n"/>
      <c r="F198" s="280" t="n"/>
      <c r="G198" s="280" t="n"/>
      <c r="H198" s="280" t="n"/>
      <c r="I198" s="332">
        <f>IFERROR(VLOOKUP(TEXT(H198,"0"),IPRESS!$A$3:$B$212,2,0),"")</f>
        <v/>
      </c>
      <c r="J198" s="280" t="n"/>
      <c r="K198" s="332">
        <f>IFERROR(VLOOKUP(TEXT(O198,"0"),CONDUCTORES!$A$3:$G$54,7,0),"")</f>
        <v/>
      </c>
      <c r="L198" s="280" t="n"/>
      <c r="M198" s="280" t="n"/>
      <c r="N198" s="333">
        <f>IFERROR(IF(L198*M198=0,"",L198*M198),"")</f>
        <v/>
      </c>
      <c r="O198" s="280" t="n"/>
      <c r="P198" s="332">
        <f>IFERROR(VLOOKUP(TEXT(O198,"0"),CONDUCTORES!$A$3:$G$54,2,0),"")</f>
        <v/>
      </c>
      <c r="Q198" s="332">
        <f>IFERROR(VLOOKUP(TEXT(O198,"0"),CONDUCTORES!$A$3:$H$54,6,0),"")</f>
        <v/>
      </c>
      <c r="R198" s="280" t="n"/>
      <c r="S198" s="280" t="n"/>
      <c r="T198" s="280" t="n"/>
      <c r="U198" s="280" t="n"/>
      <c r="V198" s="280" t="n"/>
      <c r="W198" s="280" t="n"/>
      <c r="X198" s="280" t="n"/>
      <c r="Y198" s="280" t="n"/>
      <c r="Z198" s="375">
        <f>IF(AND(G198&lt;&gt;"",R198&lt;&gt;"",V198&lt;&gt;"",W198&lt;&gt;""),"COMPLETADO","OBSERVADO")</f>
        <v/>
      </c>
    </row>
    <row r="199" ht="15" customHeight="1" s="195">
      <c r="A199" s="334" t="n"/>
      <c r="B199" s="334" t="n"/>
      <c r="C199" s="334" t="n"/>
      <c r="D199" s="334" t="n"/>
      <c r="E199" s="334" t="n"/>
      <c r="F199" s="334" t="n"/>
      <c r="G199" s="334" t="n"/>
      <c r="H199" s="334" t="n"/>
      <c r="I199" s="332">
        <f>IFERROR(VLOOKUP(TEXT(H199,"0"),IPRESS!$A$3:$B$212,2,0),"")</f>
        <v/>
      </c>
      <c r="J199" s="334" t="n"/>
      <c r="K199" s="332">
        <f>IFERROR(VLOOKUP(TEXT(O199,"0"),CONDUCTORES!$A$3:$G$54,7,0),"")</f>
        <v/>
      </c>
      <c r="L199" s="334" t="n"/>
      <c r="M199" s="334" t="n"/>
      <c r="N199" s="333">
        <f>IFERROR(IF(L199*M199=0,"",L199*M199),"")</f>
        <v/>
      </c>
      <c r="O199" s="334" t="n"/>
      <c r="P199" s="332">
        <f>IFERROR(VLOOKUP(TEXT(O199,"0"),CONDUCTORES!$A$3:$G$54,2,0),"")</f>
        <v/>
      </c>
      <c r="Q199" s="332">
        <f>IFERROR(VLOOKUP(TEXT(O199,"0"),CONDUCTORES!$A$3:$H$54,6,0),"")</f>
        <v/>
      </c>
      <c r="R199" s="334" t="n"/>
      <c r="S199" s="334" t="n"/>
      <c r="T199" s="334" t="n"/>
      <c r="U199" s="334" t="n"/>
      <c r="V199" s="334" t="n"/>
      <c r="W199" s="334" t="n"/>
      <c r="X199" s="334" t="n"/>
      <c r="Y199" s="334" t="n"/>
      <c r="Z199" s="375">
        <f>IF(AND(G199&lt;&gt;"",R199&lt;&gt;"",V199&lt;&gt;"",W199&lt;&gt;""),"COMPLETADO","OBSERVADO")</f>
        <v/>
      </c>
    </row>
    <row r="200" ht="15" customHeight="1" s="195">
      <c r="A200" s="280" t="n"/>
      <c r="B200" s="280" t="n"/>
      <c r="C200" s="280" t="n"/>
      <c r="D200" s="280" t="n"/>
      <c r="E200" s="280" t="n"/>
      <c r="F200" s="280" t="n"/>
      <c r="G200" s="280" t="n"/>
      <c r="H200" s="280" t="n"/>
      <c r="I200" s="332">
        <f>IFERROR(VLOOKUP(TEXT(H200,"0"),IPRESS!$A$3:$B$212,2,0),"")</f>
        <v/>
      </c>
      <c r="J200" s="280" t="n"/>
      <c r="K200" s="332">
        <f>IFERROR(VLOOKUP(TEXT(O200,"0"),CONDUCTORES!$A$3:$G$54,7,0),"")</f>
        <v/>
      </c>
      <c r="L200" s="280" t="n"/>
      <c r="M200" s="280" t="n"/>
      <c r="N200" s="333">
        <f>IFERROR(IF(L200*M200=0,"",L200*M200),"")</f>
        <v/>
      </c>
      <c r="O200" s="280" t="n"/>
      <c r="P200" s="332">
        <f>IFERROR(VLOOKUP(TEXT(O200,"0"),CONDUCTORES!$A$3:$G$54,2,0),"")</f>
        <v/>
      </c>
      <c r="Q200" s="332">
        <f>IFERROR(VLOOKUP(TEXT(O200,"0"),CONDUCTORES!$A$3:$H$54,6,0),"")</f>
        <v/>
      </c>
      <c r="R200" s="280" t="n"/>
      <c r="S200" s="280" t="n"/>
      <c r="T200" s="280" t="n"/>
      <c r="U200" s="280" t="n"/>
      <c r="V200" s="280" t="n"/>
      <c r="W200" s="280" t="n"/>
      <c r="X200" s="280" t="n"/>
      <c r="Y200" s="280" t="n"/>
      <c r="Z200" s="375">
        <f>IF(AND(G200&lt;&gt;"",R200&lt;&gt;"",V200&lt;&gt;"",W200&lt;&gt;""),"COMPLETADO","OBSERVADO")</f>
        <v/>
      </c>
    </row>
    <row r="201" ht="15" customHeight="1" s="195">
      <c r="A201" s="334" t="n"/>
      <c r="B201" s="334" t="n"/>
      <c r="C201" s="334" t="n"/>
      <c r="D201" s="334" t="n"/>
      <c r="E201" s="334" t="n"/>
      <c r="F201" s="334" t="n"/>
      <c r="G201" s="334" t="n"/>
      <c r="H201" s="334" t="n"/>
      <c r="I201" s="332">
        <f>IFERROR(VLOOKUP(TEXT(H201,"0"),IPRESS!$A$3:$B$212,2,0),"")</f>
        <v/>
      </c>
      <c r="J201" s="334" t="n"/>
      <c r="K201" s="332">
        <f>IFERROR(VLOOKUP(TEXT(O201,"0"),CONDUCTORES!$A$3:$G$54,7,0),"")</f>
        <v/>
      </c>
      <c r="L201" s="334" t="n"/>
      <c r="M201" s="334" t="n"/>
      <c r="N201" s="333">
        <f>IFERROR(IF(L201*M201=0,"",L201*M201),"")</f>
        <v/>
      </c>
      <c r="O201" s="334" t="n"/>
      <c r="P201" s="332">
        <f>IFERROR(VLOOKUP(TEXT(O201,"0"),CONDUCTORES!$A$3:$G$54,2,0),"")</f>
        <v/>
      </c>
      <c r="Q201" s="332">
        <f>IFERROR(VLOOKUP(TEXT(O201,"0"),CONDUCTORES!$A$3:$H$54,6,0),"")</f>
        <v/>
      </c>
      <c r="R201" s="334" t="n"/>
      <c r="S201" s="334" t="n"/>
      <c r="T201" s="334" t="n"/>
      <c r="U201" s="334" t="n"/>
      <c r="V201" s="334" t="n"/>
      <c r="W201" s="334" t="n"/>
      <c r="X201" s="334" t="n"/>
      <c r="Y201" s="334" t="n"/>
      <c r="Z201" s="375">
        <f>IF(AND(G201&lt;&gt;"",R201&lt;&gt;"",V201&lt;&gt;"",W201&lt;&gt;""),"COMPLETADO","OBSERVADO")</f>
        <v/>
      </c>
    </row>
    <row r="202" ht="15" customHeight="1" s="195">
      <c r="A202" s="280" t="n"/>
      <c r="B202" s="280" t="n"/>
      <c r="C202" s="280" t="n"/>
      <c r="D202" s="280" t="n"/>
      <c r="E202" s="280" t="n"/>
      <c r="F202" s="280" t="n"/>
      <c r="G202" s="280" t="n"/>
      <c r="H202" s="280" t="n"/>
      <c r="I202" s="332">
        <f>IFERROR(VLOOKUP(TEXT(H202,"0"),IPRESS!$A$3:$B$212,2,0),"")</f>
        <v/>
      </c>
      <c r="J202" s="280" t="n"/>
      <c r="K202" s="332">
        <f>IFERROR(VLOOKUP(TEXT(O202,"0"),CONDUCTORES!$A$3:$G$54,7,0),"")</f>
        <v/>
      </c>
      <c r="L202" s="280" t="n"/>
      <c r="M202" s="280" t="n"/>
      <c r="N202" s="333">
        <f>IFERROR(IF(L202*M202=0,"",L202*M202),"")</f>
        <v/>
      </c>
      <c r="O202" s="280" t="n"/>
      <c r="P202" s="332">
        <f>IFERROR(VLOOKUP(TEXT(O202,"0"),CONDUCTORES!$A$3:$G$54,2,0),"")</f>
        <v/>
      </c>
      <c r="Q202" s="332">
        <f>IFERROR(VLOOKUP(TEXT(O202,"0"),CONDUCTORES!$A$3:$H$54,6,0),"")</f>
        <v/>
      </c>
      <c r="R202" s="280" t="n"/>
      <c r="S202" s="280" t="n"/>
      <c r="T202" s="280" t="n"/>
      <c r="U202" s="280" t="n"/>
      <c r="V202" s="280" t="n"/>
      <c r="W202" s="280" t="n"/>
      <c r="X202" s="280" t="n"/>
      <c r="Y202" s="280" t="n"/>
      <c r="Z202" s="375">
        <f>IF(AND(G202&lt;&gt;"",R202&lt;&gt;"",V202&lt;&gt;"",W202&lt;&gt;""),"COMPLETADO","OBSERVADO")</f>
        <v/>
      </c>
    </row>
    <row r="203" ht="15" customHeight="1" s="195">
      <c r="A203" s="334" t="n"/>
      <c r="B203" s="334" t="n"/>
      <c r="C203" s="334" t="n"/>
      <c r="D203" s="334" t="n"/>
      <c r="E203" s="334" t="n"/>
      <c r="F203" s="334" t="n"/>
      <c r="G203" s="334" t="n"/>
      <c r="H203" s="334" t="n"/>
      <c r="I203" s="332">
        <f>IFERROR(VLOOKUP(TEXT(H203,"0"),IPRESS!$A$3:$B$212,2,0),"")</f>
        <v/>
      </c>
      <c r="J203" s="334" t="n"/>
      <c r="K203" s="332">
        <f>IFERROR(VLOOKUP(TEXT(O203,"0"),CONDUCTORES!$A$3:$G$54,7,0),"")</f>
        <v/>
      </c>
      <c r="L203" s="334" t="n"/>
      <c r="M203" s="334" t="n"/>
      <c r="N203" s="333">
        <f>IFERROR(IF(L203*M203=0,"",L203*M203),"")</f>
        <v/>
      </c>
      <c r="O203" s="334" t="n"/>
      <c r="P203" s="332">
        <f>IFERROR(VLOOKUP(TEXT(O203,"0"),CONDUCTORES!$A$3:$G$54,2,0),"")</f>
        <v/>
      </c>
      <c r="Q203" s="332">
        <f>IFERROR(VLOOKUP(TEXT(O203,"0"),CONDUCTORES!$A$3:$H$54,6,0),"")</f>
        <v/>
      </c>
      <c r="R203" s="334" t="n"/>
      <c r="S203" s="334" t="n"/>
      <c r="T203" s="334" t="n"/>
      <c r="U203" s="334" t="n"/>
      <c r="V203" s="334" t="n"/>
      <c r="W203" s="334" t="n"/>
      <c r="X203" s="334" t="n"/>
      <c r="Y203" s="334" t="n"/>
      <c r="Z203" s="375">
        <f>IF(AND(G203&lt;&gt;"",R203&lt;&gt;"",V203&lt;&gt;"",W203&lt;&gt;""),"COMPLETADO","OBSERVADO")</f>
        <v/>
      </c>
    </row>
    <row r="204" ht="15" customHeight="1" s="195">
      <c r="A204" s="280" t="n"/>
      <c r="B204" s="280" t="n"/>
      <c r="C204" s="280" t="n"/>
      <c r="D204" s="280" t="n"/>
      <c r="E204" s="280" t="n"/>
      <c r="F204" s="280" t="n"/>
      <c r="G204" s="280" t="n"/>
      <c r="H204" s="280" t="n"/>
      <c r="I204" s="332">
        <f>IFERROR(VLOOKUP(TEXT(H204,"0"),IPRESS!$A$3:$B$212,2,0),"")</f>
        <v/>
      </c>
      <c r="J204" s="280" t="n"/>
      <c r="K204" s="332">
        <f>IFERROR(VLOOKUP(TEXT(O204,"0"),CONDUCTORES!$A$3:$G$54,7,0),"")</f>
        <v/>
      </c>
      <c r="L204" s="280" t="n"/>
      <c r="M204" s="280" t="n"/>
      <c r="N204" s="333">
        <f>IFERROR(IF(L204*M204=0,"",L204*M204),"")</f>
        <v/>
      </c>
      <c r="O204" s="280" t="n"/>
      <c r="P204" s="332">
        <f>IFERROR(VLOOKUP(TEXT(O204,"0"),CONDUCTORES!$A$3:$G$54,2,0),"")</f>
        <v/>
      </c>
      <c r="Q204" s="332">
        <f>IFERROR(VLOOKUP(TEXT(O204,"0"),CONDUCTORES!$A$3:$H$54,6,0),"")</f>
        <v/>
      </c>
      <c r="R204" s="280" t="n"/>
      <c r="S204" s="280" t="n"/>
      <c r="T204" s="280" t="n"/>
      <c r="U204" s="280" t="n"/>
      <c r="V204" s="280" t="n"/>
      <c r="W204" s="280" t="n"/>
      <c r="X204" s="280" t="n"/>
      <c r="Y204" s="280" t="n"/>
      <c r="Z204" s="375">
        <f>IF(AND(G204&lt;&gt;"",R204&lt;&gt;"",V204&lt;&gt;"",W204&lt;&gt;""),"COMPLETADO","OBSERVADO")</f>
        <v/>
      </c>
    </row>
    <row r="205" ht="15" customHeight="1" s="195">
      <c r="A205" s="334" t="n"/>
      <c r="B205" s="334" t="n"/>
      <c r="C205" s="334" t="n"/>
      <c r="D205" s="334" t="n"/>
      <c r="E205" s="334" t="n"/>
      <c r="F205" s="334" t="n"/>
      <c r="G205" s="334" t="n"/>
      <c r="H205" s="334" t="n"/>
      <c r="I205" s="332">
        <f>IFERROR(VLOOKUP(TEXT(H205,"0"),IPRESS!$A$3:$B$212,2,0),"")</f>
        <v/>
      </c>
      <c r="J205" s="334" t="n"/>
      <c r="K205" s="332">
        <f>IFERROR(VLOOKUP(TEXT(O205,"0"),CONDUCTORES!$A$3:$G$54,7,0),"")</f>
        <v/>
      </c>
      <c r="L205" s="334" t="n"/>
      <c r="M205" s="334" t="n"/>
      <c r="N205" s="333">
        <f>IFERROR(IF(L205*M205=0,"",L205*M205),"")</f>
        <v/>
      </c>
      <c r="O205" s="334" t="n"/>
      <c r="P205" s="332">
        <f>IFERROR(VLOOKUP(TEXT(O205,"0"),CONDUCTORES!$A$3:$G$54,2,0),"")</f>
        <v/>
      </c>
      <c r="Q205" s="332">
        <f>IFERROR(VLOOKUP(TEXT(O205,"0"),CONDUCTORES!$A$3:$H$54,6,0),"")</f>
        <v/>
      </c>
      <c r="R205" s="334" t="n"/>
      <c r="S205" s="334" t="n"/>
      <c r="T205" s="334" t="n"/>
      <c r="U205" s="334" t="n"/>
      <c r="V205" s="334" t="n"/>
      <c r="W205" s="334" t="n"/>
      <c r="X205" s="334" t="n"/>
      <c r="Y205" s="334" t="n"/>
      <c r="Z205" s="375">
        <f>IF(AND(G205&lt;&gt;"",R205&lt;&gt;"",V205&lt;&gt;"",W205&lt;&gt;""),"COMPLETADO","OBSERVADO")</f>
        <v/>
      </c>
    </row>
    <row r="206" ht="15" customHeight="1" s="195">
      <c r="A206" s="280" t="n"/>
      <c r="B206" s="280" t="n"/>
      <c r="C206" s="280" t="n"/>
      <c r="D206" s="280" t="n"/>
      <c r="E206" s="280" t="n"/>
      <c r="F206" s="280" t="n"/>
      <c r="G206" s="280" t="n"/>
      <c r="H206" s="280" t="n"/>
      <c r="I206" s="332">
        <f>IFERROR(VLOOKUP(TEXT(H206,"0"),IPRESS!$A$3:$B$212,2,0),"")</f>
        <v/>
      </c>
      <c r="J206" s="280" t="n"/>
      <c r="K206" s="332">
        <f>IFERROR(VLOOKUP(TEXT(O206,"0"),CONDUCTORES!$A$3:$G$54,7,0),"")</f>
        <v/>
      </c>
      <c r="L206" s="280" t="n"/>
      <c r="M206" s="280" t="n"/>
      <c r="N206" s="333">
        <f>IFERROR(IF(L206*M206=0,"",L206*M206),"")</f>
        <v/>
      </c>
      <c r="O206" s="280" t="n"/>
      <c r="P206" s="332">
        <f>IFERROR(VLOOKUP(TEXT(O206,"0"),CONDUCTORES!$A$3:$G$54,2,0),"")</f>
        <v/>
      </c>
      <c r="Q206" s="332">
        <f>IFERROR(VLOOKUP(TEXT(O206,"0"),CONDUCTORES!$A$3:$H$54,6,0),"")</f>
        <v/>
      </c>
      <c r="R206" s="280" t="n"/>
      <c r="S206" s="280" t="n"/>
      <c r="T206" s="280" t="n"/>
      <c r="U206" s="280" t="n"/>
      <c r="V206" s="280" t="n"/>
      <c r="W206" s="280" t="n"/>
      <c r="X206" s="280" t="n"/>
      <c r="Y206" s="280" t="n"/>
      <c r="Z206" s="375">
        <f>IF(AND(G206&lt;&gt;"",R206&lt;&gt;"",V206&lt;&gt;"",W206&lt;&gt;""),"COMPLETADO","OBSERVADO")</f>
        <v/>
      </c>
    </row>
    <row r="207" ht="15" customHeight="1" s="195">
      <c r="A207" s="334" t="n"/>
      <c r="B207" s="334" t="n"/>
      <c r="C207" s="334" t="n"/>
      <c r="D207" s="334" t="n"/>
      <c r="E207" s="334" t="n"/>
      <c r="F207" s="334" t="n"/>
      <c r="G207" s="334" t="n"/>
      <c r="H207" s="334" t="n"/>
      <c r="I207" s="332">
        <f>IFERROR(VLOOKUP(TEXT(H207,"0"),IPRESS!$A$3:$B$212,2,0),"")</f>
        <v/>
      </c>
      <c r="J207" s="334" t="n"/>
      <c r="K207" s="332">
        <f>IFERROR(VLOOKUP(TEXT(O207,"0"),CONDUCTORES!$A$3:$G$54,7,0),"")</f>
        <v/>
      </c>
      <c r="L207" s="334" t="n"/>
      <c r="M207" s="334" t="n"/>
      <c r="N207" s="333">
        <f>IFERROR(IF(L207*M207=0,"",L207*M207),"")</f>
        <v/>
      </c>
      <c r="O207" s="334" t="n"/>
      <c r="P207" s="332">
        <f>IFERROR(VLOOKUP(TEXT(O207,"0"),CONDUCTORES!$A$3:$G$54,2,0),"")</f>
        <v/>
      </c>
      <c r="Q207" s="332">
        <f>IFERROR(VLOOKUP(TEXT(O207,"0"),CONDUCTORES!$A$3:$H$54,6,0),"")</f>
        <v/>
      </c>
      <c r="R207" s="334" t="n"/>
      <c r="S207" s="334" t="n"/>
      <c r="T207" s="334" t="n"/>
      <c r="U207" s="334" t="n"/>
      <c r="V207" s="334" t="n"/>
      <c r="W207" s="334" t="n"/>
      <c r="X207" s="334" t="n"/>
      <c r="Y207" s="334" t="n"/>
      <c r="Z207" s="375">
        <f>IF(AND(G207&lt;&gt;"",R207&lt;&gt;"",V207&lt;&gt;"",W207&lt;&gt;""),"COMPLETADO","OBSERVADO")</f>
        <v/>
      </c>
    </row>
    <row r="208" ht="15" customHeight="1" s="195">
      <c r="A208" s="280" t="n"/>
      <c r="B208" s="280" t="n"/>
      <c r="C208" s="280" t="n"/>
      <c r="D208" s="280" t="n"/>
      <c r="E208" s="280" t="n"/>
      <c r="F208" s="280" t="n"/>
      <c r="G208" s="280" t="n"/>
      <c r="H208" s="280" t="n"/>
      <c r="I208" s="332">
        <f>IFERROR(VLOOKUP(TEXT(H208,"0"),IPRESS!$A$3:$B$212,2,0),"")</f>
        <v/>
      </c>
      <c r="J208" s="280" t="n"/>
      <c r="K208" s="332">
        <f>IFERROR(VLOOKUP(TEXT(O208,"0"),CONDUCTORES!$A$3:$G$54,7,0),"")</f>
        <v/>
      </c>
      <c r="L208" s="280" t="n"/>
      <c r="M208" s="280" t="n"/>
      <c r="N208" s="333">
        <f>IFERROR(IF(L208*M208=0,"",L208*M208),"")</f>
        <v/>
      </c>
      <c r="O208" s="280" t="n"/>
      <c r="P208" s="332">
        <f>IFERROR(VLOOKUP(TEXT(O208,"0"),CONDUCTORES!$A$3:$G$54,2,0),"")</f>
        <v/>
      </c>
      <c r="Q208" s="332">
        <f>IFERROR(VLOOKUP(TEXT(O208,"0"),CONDUCTORES!$A$3:$H$54,6,0),"")</f>
        <v/>
      </c>
      <c r="R208" s="280" t="n"/>
      <c r="S208" s="280" t="n"/>
      <c r="T208" s="280" t="n"/>
      <c r="U208" s="280" t="n"/>
      <c r="V208" s="280" t="n"/>
      <c r="W208" s="280" t="n"/>
      <c r="X208" s="280" t="n"/>
      <c r="Y208" s="280" t="n"/>
      <c r="Z208" s="375">
        <f>IF(AND(G208&lt;&gt;"",R208&lt;&gt;"",V208&lt;&gt;"",W208&lt;&gt;""),"COMPLETADO","OBSERVADO")</f>
        <v/>
      </c>
    </row>
    <row r="209" ht="15" customHeight="1" s="195">
      <c r="A209" s="334" t="n"/>
      <c r="B209" s="334" t="n"/>
      <c r="C209" s="334" t="n"/>
      <c r="D209" s="334" t="n"/>
      <c r="E209" s="334" t="n"/>
      <c r="F209" s="334" t="n"/>
      <c r="G209" s="334" t="n"/>
      <c r="H209" s="334" t="n"/>
      <c r="I209" s="332">
        <f>IFERROR(VLOOKUP(TEXT(H209,"0"),IPRESS!$A$3:$B$212,2,0),"")</f>
        <v/>
      </c>
      <c r="J209" s="334" t="n"/>
      <c r="K209" s="332">
        <f>IFERROR(VLOOKUP(TEXT(O209,"0"),CONDUCTORES!$A$3:$G$54,7,0),"")</f>
        <v/>
      </c>
      <c r="L209" s="334" t="n"/>
      <c r="M209" s="334" t="n"/>
      <c r="N209" s="333">
        <f>IFERROR(IF(L209*M209=0,"",L209*M209),"")</f>
        <v/>
      </c>
      <c r="O209" s="334" t="n"/>
      <c r="P209" s="332">
        <f>IFERROR(VLOOKUP(TEXT(O209,"0"),CONDUCTORES!$A$3:$G$54,2,0),"")</f>
        <v/>
      </c>
      <c r="Q209" s="332">
        <f>IFERROR(VLOOKUP(TEXT(O209,"0"),CONDUCTORES!$A$3:$H$54,6,0),"")</f>
        <v/>
      </c>
      <c r="R209" s="334" t="n"/>
      <c r="S209" s="334" t="n"/>
      <c r="T209" s="334" t="n"/>
      <c r="U209" s="334" t="n"/>
      <c r="V209" s="334" t="n"/>
      <c r="W209" s="334" t="n"/>
      <c r="X209" s="334" t="n"/>
      <c r="Y209" s="334" t="n"/>
      <c r="Z209" s="375">
        <f>IF(AND(G209&lt;&gt;"",R209&lt;&gt;"",V209&lt;&gt;"",W209&lt;&gt;""),"COMPLETADO","OBSERVADO")</f>
        <v/>
      </c>
    </row>
    <row r="210" ht="15" customHeight="1" s="195">
      <c r="A210" s="280" t="n"/>
      <c r="B210" s="280" t="n"/>
      <c r="C210" s="280" t="n"/>
      <c r="D210" s="280" t="n"/>
      <c r="E210" s="280" t="n"/>
      <c r="F210" s="280" t="n"/>
      <c r="G210" s="280" t="n"/>
      <c r="H210" s="280" t="n"/>
      <c r="I210" s="332">
        <f>IFERROR(VLOOKUP(TEXT(H210,"0"),IPRESS!$A$3:$B$212,2,0),"")</f>
        <v/>
      </c>
      <c r="J210" s="280" t="n"/>
      <c r="K210" s="332">
        <f>IFERROR(VLOOKUP(TEXT(O210,"0"),CONDUCTORES!$A$3:$G$54,7,0),"")</f>
        <v/>
      </c>
      <c r="L210" s="280" t="n"/>
      <c r="M210" s="280" t="n"/>
      <c r="N210" s="333">
        <f>IFERROR(IF(L210*M210=0,"",L210*M210),"")</f>
        <v/>
      </c>
      <c r="O210" s="280" t="n"/>
      <c r="P210" s="332">
        <f>IFERROR(VLOOKUP(TEXT(O210,"0"),CONDUCTORES!$A$3:$G$54,2,0),"")</f>
        <v/>
      </c>
      <c r="Q210" s="332">
        <f>IFERROR(VLOOKUP(TEXT(O210,"0"),CONDUCTORES!$A$3:$H$54,6,0),"")</f>
        <v/>
      </c>
      <c r="R210" s="280" t="n"/>
      <c r="S210" s="280" t="n"/>
      <c r="T210" s="280" t="n"/>
      <c r="U210" s="280" t="n"/>
      <c r="V210" s="280" t="n"/>
      <c r="W210" s="280" t="n"/>
      <c r="X210" s="280" t="n"/>
      <c r="Y210" s="280" t="n"/>
      <c r="Z210" s="375">
        <f>IF(AND(G210&lt;&gt;"",R210&lt;&gt;"",V210&lt;&gt;"",W210&lt;&gt;""),"COMPLETADO","OBSERVADO")</f>
        <v/>
      </c>
    </row>
    <row r="211" ht="15" customHeight="1" s="195">
      <c r="A211" s="334" t="n"/>
      <c r="B211" s="334" t="n"/>
      <c r="C211" s="334" t="n"/>
      <c r="D211" s="334" t="n"/>
      <c r="E211" s="334" t="n"/>
      <c r="F211" s="334" t="n"/>
      <c r="G211" s="334" t="n"/>
      <c r="H211" s="334" t="n"/>
      <c r="I211" s="332">
        <f>IFERROR(VLOOKUP(TEXT(H211,"0"),IPRESS!$A$3:$B$212,2,0),"")</f>
        <v/>
      </c>
      <c r="J211" s="334" t="n"/>
      <c r="K211" s="332">
        <f>IFERROR(VLOOKUP(TEXT(O211,"0"),CONDUCTORES!$A$3:$G$54,7,0),"")</f>
        <v/>
      </c>
      <c r="L211" s="334" t="n"/>
      <c r="M211" s="334" t="n"/>
      <c r="N211" s="333">
        <f>IFERROR(IF(L211*M211=0,"",L211*M211),"")</f>
        <v/>
      </c>
      <c r="O211" s="334" t="n"/>
      <c r="P211" s="332">
        <f>IFERROR(VLOOKUP(TEXT(O211,"0"),CONDUCTORES!$A$3:$G$54,2,0),"")</f>
        <v/>
      </c>
      <c r="Q211" s="332">
        <f>IFERROR(VLOOKUP(TEXT(O211,"0"),CONDUCTORES!$A$3:$H$54,6,0),"")</f>
        <v/>
      </c>
      <c r="R211" s="334" t="n"/>
      <c r="S211" s="334" t="n"/>
      <c r="T211" s="334" t="n"/>
      <c r="U211" s="334" t="n"/>
      <c r="V211" s="334" t="n"/>
      <c r="W211" s="334" t="n"/>
      <c r="X211" s="334" t="n"/>
      <c r="Y211" s="334" t="n"/>
      <c r="Z211" s="375">
        <f>IF(AND(G211&lt;&gt;"",R211&lt;&gt;"",V211&lt;&gt;"",W211&lt;&gt;""),"COMPLETADO","OBSERVADO")</f>
        <v/>
      </c>
    </row>
    <row r="212" ht="15" customHeight="1" s="195">
      <c r="A212" s="280" t="n"/>
      <c r="B212" s="280" t="n"/>
      <c r="C212" s="280" t="n"/>
      <c r="D212" s="280" t="n"/>
      <c r="E212" s="280" t="n"/>
      <c r="F212" s="280" t="n"/>
      <c r="G212" s="280" t="n"/>
      <c r="H212" s="280" t="n"/>
      <c r="I212" s="332">
        <f>IFERROR(VLOOKUP(TEXT(H212,"0"),IPRESS!$A$3:$B$212,2,0),"")</f>
        <v/>
      </c>
      <c r="J212" s="280" t="n"/>
      <c r="K212" s="332">
        <f>IFERROR(VLOOKUP(TEXT(O212,"0"),CONDUCTORES!$A$3:$G$54,7,0),"")</f>
        <v/>
      </c>
      <c r="L212" s="280" t="n"/>
      <c r="M212" s="280" t="n"/>
      <c r="N212" s="333">
        <f>IFERROR(IF(L212*M212=0,"",L212*M212),"")</f>
        <v/>
      </c>
      <c r="O212" s="280" t="n"/>
      <c r="P212" s="332">
        <f>IFERROR(VLOOKUP(TEXT(O212,"0"),CONDUCTORES!$A$3:$G$54,2,0),"")</f>
        <v/>
      </c>
      <c r="Q212" s="332">
        <f>IFERROR(VLOOKUP(TEXT(O212,"0"),CONDUCTORES!$A$3:$H$54,6,0),"")</f>
        <v/>
      </c>
      <c r="R212" s="280" t="n"/>
      <c r="S212" s="280" t="n"/>
      <c r="T212" s="280" t="n"/>
      <c r="U212" s="280" t="n"/>
      <c r="V212" s="280" t="n"/>
      <c r="W212" s="280" t="n"/>
      <c r="X212" s="280" t="n"/>
      <c r="Y212" s="280" t="n"/>
      <c r="Z212" s="375">
        <f>IF(AND(G212&lt;&gt;"",R212&lt;&gt;"",V212&lt;&gt;"",W212&lt;&gt;""),"COMPLETADO","OBSERVADO")</f>
        <v/>
      </c>
    </row>
    <row r="213" ht="15" customHeight="1" s="195">
      <c r="A213" s="334" t="n"/>
      <c r="B213" s="334" t="n"/>
      <c r="C213" s="334" t="n"/>
      <c r="D213" s="334" t="n"/>
      <c r="E213" s="334" t="n"/>
      <c r="F213" s="334" t="n"/>
      <c r="G213" s="334" t="n"/>
      <c r="H213" s="334" t="n"/>
      <c r="I213" s="332">
        <f>IFERROR(VLOOKUP(TEXT(H213,"0"),IPRESS!$A$3:$B$212,2,0),"")</f>
        <v/>
      </c>
      <c r="J213" s="334" t="n"/>
      <c r="K213" s="332">
        <f>IFERROR(VLOOKUP(TEXT(O213,"0"),CONDUCTORES!$A$3:$G$54,7,0),"")</f>
        <v/>
      </c>
      <c r="L213" s="334" t="n"/>
      <c r="M213" s="334" t="n"/>
      <c r="N213" s="333">
        <f>IFERROR(IF(L213*M213=0,"",L213*M213),"")</f>
        <v/>
      </c>
      <c r="O213" s="334" t="n"/>
      <c r="P213" s="332">
        <f>IFERROR(VLOOKUP(TEXT(O213,"0"),CONDUCTORES!$A$3:$G$54,2,0),"")</f>
        <v/>
      </c>
      <c r="Q213" s="332">
        <f>IFERROR(VLOOKUP(TEXT(O213,"0"),CONDUCTORES!$A$3:$H$54,6,0),"")</f>
        <v/>
      </c>
      <c r="R213" s="334" t="n"/>
      <c r="S213" s="334" t="n"/>
      <c r="T213" s="334" t="n"/>
      <c r="U213" s="334" t="n"/>
      <c r="V213" s="334" t="n"/>
      <c r="W213" s="334" t="n"/>
      <c r="X213" s="334" t="n"/>
      <c r="Y213" s="334" t="n"/>
      <c r="Z213" s="375">
        <f>IF(AND(G213&lt;&gt;"",R213&lt;&gt;"",V213&lt;&gt;"",W213&lt;&gt;""),"COMPLETADO","OBSERVADO")</f>
        <v/>
      </c>
    </row>
    <row r="214" ht="15" customHeight="1" s="195">
      <c r="A214" s="280" t="n"/>
      <c r="B214" s="280" t="n"/>
      <c r="C214" s="280" t="n"/>
      <c r="D214" s="280" t="n"/>
      <c r="E214" s="280" t="n"/>
      <c r="F214" s="280" t="n"/>
      <c r="G214" s="280" t="n"/>
      <c r="H214" s="280" t="n"/>
      <c r="I214" s="332">
        <f>IFERROR(VLOOKUP(TEXT(H214,"0"),IPRESS!$A$3:$B$212,2,0),"")</f>
        <v/>
      </c>
      <c r="J214" s="280" t="n"/>
      <c r="K214" s="332">
        <f>IFERROR(VLOOKUP(TEXT(O214,"0"),CONDUCTORES!$A$3:$G$54,7,0),"")</f>
        <v/>
      </c>
      <c r="L214" s="280" t="n"/>
      <c r="M214" s="280" t="n"/>
      <c r="N214" s="333">
        <f>IFERROR(IF(L214*M214=0,"",L214*M214),"")</f>
        <v/>
      </c>
      <c r="O214" s="280" t="n"/>
      <c r="P214" s="332">
        <f>IFERROR(VLOOKUP(TEXT(O214,"0"),CONDUCTORES!$A$3:$G$54,2,0),"")</f>
        <v/>
      </c>
      <c r="Q214" s="332">
        <f>IFERROR(VLOOKUP(TEXT(O214,"0"),CONDUCTORES!$A$3:$H$54,6,0),"")</f>
        <v/>
      </c>
      <c r="R214" s="280" t="n"/>
      <c r="S214" s="280" t="n"/>
      <c r="T214" s="280" t="n"/>
      <c r="U214" s="280" t="n"/>
      <c r="V214" s="280" t="n"/>
      <c r="W214" s="280" t="n"/>
      <c r="X214" s="280" t="n"/>
      <c r="Y214" s="280" t="n"/>
      <c r="Z214" s="375">
        <f>IF(AND(G214&lt;&gt;"",R214&lt;&gt;"",V214&lt;&gt;"",W214&lt;&gt;""),"COMPLETADO","OBSERVADO")</f>
        <v/>
      </c>
    </row>
    <row r="215" ht="15" customHeight="1" s="195">
      <c r="A215" s="334" t="n"/>
      <c r="B215" s="334" t="n"/>
      <c r="C215" s="334" t="n"/>
      <c r="D215" s="334" t="n"/>
      <c r="E215" s="334" t="n"/>
      <c r="F215" s="334" t="n"/>
      <c r="G215" s="334" t="n"/>
      <c r="H215" s="334" t="n"/>
      <c r="I215" s="332">
        <f>IFERROR(VLOOKUP(TEXT(H215,"0"),IPRESS!$A$3:$B$212,2,0),"")</f>
        <v/>
      </c>
      <c r="J215" s="334" t="n"/>
      <c r="K215" s="332">
        <f>IFERROR(VLOOKUP(TEXT(O215,"0"),CONDUCTORES!$A$3:$G$54,7,0),"")</f>
        <v/>
      </c>
      <c r="L215" s="334" t="n"/>
      <c r="M215" s="334" t="n"/>
      <c r="N215" s="333">
        <f>IFERROR(IF(L215*M215=0,"",L215*M215),"")</f>
        <v/>
      </c>
      <c r="O215" s="334" t="n"/>
      <c r="P215" s="332">
        <f>IFERROR(VLOOKUP(TEXT(O215,"0"),CONDUCTORES!$A$3:$G$54,2,0),"")</f>
        <v/>
      </c>
      <c r="Q215" s="332">
        <f>IFERROR(VLOOKUP(TEXT(O215,"0"),CONDUCTORES!$A$3:$H$54,6,0),"")</f>
        <v/>
      </c>
      <c r="R215" s="334" t="n"/>
      <c r="S215" s="334" t="n"/>
      <c r="T215" s="334" t="n"/>
      <c r="U215" s="334" t="n"/>
      <c r="V215" s="334" t="n"/>
      <c r="W215" s="334" t="n"/>
      <c r="X215" s="334" t="n"/>
      <c r="Y215" s="334" t="n"/>
      <c r="Z215" s="375">
        <f>IF(AND(G215&lt;&gt;"",R215&lt;&gt;"",V215&lt;&gt;"",W215&lt;&gt;""),"COMPLETADO","OBSERVADO")</f>
        <v/>
      </c>
    </row>
    <row r="216" ht="15" customHeight="1" s="195">
      <c r="A216" s="280" t="n"/>
      <c r="B216" s="280" t="n"/>
      <c r="C216" s="280" t="n"/>
      <c r="D216" s="280" t="n"/>
      <c r="E216" s="280" t="n"/>
      <c r="F216" s="280" t="n"/>
      <c r="G216" s="280" t="n"/>
      <c r="H216" s="280" t="n"/>
      <c r="I216" s="332">
        <f>IFERROR(VLOOKUP(TEXT(H216,"0"),IPRESS!$A$3:$B$212,2,0),"")</f>
        <v/>
      </c>
      <c r="J216" s="280" t="n"/>
      <c r="K216" s="332">
        <f>IFERROR(VLOOKUP(TEXT(O216,"0"),CONDUCTORES!$A$3:$G$54,7,0),"")</f>
        <v/>
      </c>
      <c r="L216" s="280" t="n"/>
      <c r="M216" s="280" t="n"/>
      <c r="N216" s="333">
        <f>IFERROR(IF(L216*M216=0,"",L216*M216),"")</f>
        <v/>
      </c>
      <c r="O216" s="280" t="n"/>
      <c r="P216" s="332">
        <f>IFERROR(VLOOKUP(TEXT(O216,"0"),CONDUCTORES!$A$3:$G$54,2,0),"")</f>
        <v/>
      </c>
      <c r="Q216" s="332">
        <f>IFERROR(VLOOKUP(TEXT(O216,"0"),CONDUCTORES!$A$3:$H$54,6,0),"")</f>
        <v/>
      </c>
      <c r="R216" s="280" t="n"/>
      <c r="S216" s="280" t="n"/>
      <c r="T216" s="280" t="n"/>
      <c r="U216" s="280" t="n"/>
      <c r="V216" s="280" t="n"/>
      <c r="W216" s="280" t="n"/>
      <c r="X216" s="280" t="n"/>
      <c r="Y216" s="280" t="n"/>
      <c r="Z216" s="375">
        <f>IF(AND(G216&lt;&gt;"",R216&lt;&gt;"",V216&lt;&gt;"",W216&lt;&gt;""),"COMPLETADO","OBSERVADO")</f>
        <v/>
      </c>
    </row>
    <row r="217" ht="15" customHeight="1" s="195">
      <c r="A217" s="334" t="n"/>
      <c r="B217" s="334" t="n"/>
      <c r="C217" s="334" t="n"/>
      <c r="D217" s="334" t="n"/>
      <c r="E217" s="334" t="n"/>
      <c r="F217" s="334" t="n"/>
      <c r="G217" s="334" t="n"/>
      <c r="H217" s="334" t="n"/>
      <c r="I217" s="332">
        <f>IFERROR(VLOOKUP(TEXT(H217,"0"),IPRESS!$A$3:$B$212,2,0),"")</f>
        <v/>
      </c>
      <c r="J217" s="334" t="n"/>
      <c r="K217" s="332">
        <f>IFERROR(VLOOKUP(TEXT(O217,"0"),CONDUCTORES!$A$3:$G$54,7,0),"")</f>
        <v/>
      </c>
      <c r="L217" s="334" t="n"/>
      <c r="M217" s="334" t="n"/>
      <c r="N217" s="333">
        <f>IFERROR(IF(L217*M217=0,"",L217*M217),"")</f>
        <v/>
      </c>
      <c r="O217" s="334" t="n"/>
      <c r="P217" s="332">
        <f>IFERROR(VLOOKUP(TEXT(O217,"0"),CONDUCTORES!$A$3:$G$54,2,0),"")</f>
        <v/>
      </c>
      <c r="Q217" s="332">
        <f>IFERROR(VLOOKUP(TEXT(O217,"0"),CONDUCTORES!$A$3:$H$54,6,0),"")</f>
        <v/>
      </c>
      <c r="R217" s="334" t="n"/>
      <c r="S217" s="334" t="n"/>
      <c r="T217" s="334" t="n"/>
      <c r="U217" s="334" t="n"/>
      <c r="V217" s="334" t="n"/>
      <c r="W217" s="334" t="n"/>
      <c r="X217" s="334" t="n"/>
      <c r="Y217" s="334" t="n"/>
      <c r="Z217" s="375">
        <f>IF(AND(G217&lt;&gt;"",R217&lt;&gt;"",V217&lt;&gt;"",W217&lt;&gt;""),"COMPLETADO","OBSERVADO")</f>
        <v/>
      </c>
    </row>
    <row r="218" ht="15" customHeight="1" s="195">
      <c r="A218" s="280" t="n"/>
      <c r="B218" s="280" t="n"/>
      <c r="C218" s="280" t="n"/>
      <c r="D218" s="280" t="n"/>
      <c r="E218" s="280" t="n"/>
      <c r="F218" s="280" t="n"/>
      <c r="G218" s="280" t="n"/>
      <c r="H218" s="280" t="n"/>
      <c r="I218" s="332">
        <f>IFERROR(VLOOKUP(TEXT(H218,"0"),IPRESS!$A$3:$B$212,2,0),"")</f>
        <v/>
      </c>
      <c r="J218" s="280" t="n"/>
      <c r="K218" s="332">
        <f>IFERROR(VLOOKUP(TEXT(O218,"0"),CONDUCTORES!$A$3:$G$54,7,0),"")</f>
        <v/>
      </c>
      <c r="L218" s="280" t="n"/>
      <c r="M218" s="280" t="n"/>
      <c r="N218" s="333">
        <f>IFERROR(IF(L218*M218=0,"",L218*M218),"")</f>
        <v/>
      </c>
      <c r="O218" s="280" t="n"/>
      <c r="P218" s="332">
        <f>IFERROR(VLOOKUP(TEXT(O218,"0"),CONDUCTORES!$A$3:$G$54,2,0),"")</f>
        <v/>
      </c>
      <c r="Q218" s="332">
        <f>IFERROR(VLOOKUP(TEXT(O218,"0"),CONDUCTORES!$A$3:$H$54,6,0),"")</f>
        <v/>
      </c>
      <c r="R218" s="280" t="n"/>
      <c r="S218" s="280" t="n"/>
      <c r="T218" s="280" t="n"/>
      <c r="U218" s="280" t="n"/>
      <c r="V218" s="280" t="n"/>
      <c r="W218" s="280" t="n"/>
      <c r="X218" s="280" t="n"/>
      <c r="Y218" s="280" t="n"/>
      <c r="Z218" s="375">
        <f>IF(AND(G218&lt;&gt;"",R218&lt;&gt;"",V218&lt;&gt;"",W218&lt;&gt;""),"COMPLETADO","OBSERVADO")</f>
        <v/>
      </c>
    </row>
    <row r="219" ht="15" customHeight="1" s="195">
      <c r="A219" s="334" t="n"/>
      <c r="B219" s="334" t="n"/>
      <c r="C219" s="334" t="n"/>
      <c r="D219" s="334" t="n"/>
      <c r="E219" s="334" t="n"/>
      <c r="F219" s="334" t="n"/>
      <c r="G219" s="334" t="n"/>
      <c r="H219" s="334" t="n"/>
      <c r="I219" s="332">
        <f>IFERROR(VLOOKUP(TEXT(H219,"0"),IPRESS!$A$3:$B$212,2,0),"")</f>
        <v/>
      </c>
      <c r="J219" s="334" t="n"/>
      <c r="K219" s="332">
        <f>IFERROR(VLOOKUP(TEXT(O219,"0"),CONDUCTORES!$A$3:$G$54,7,0),"")</f>
        <v/>
      </c>
      <c r="L219" s="334" t="n"/>
      <c r="M219" s="334" t="n"/>
      <c r="N219" s="333">
        <f>IFERROR(IF(L219*M219=0,"",L219*M219),"")</f>
        <v/>
      </c>
      <c r="O219" s="334" t="n"/>
      <c r="P219" s="332">
        <f>IFERROR(VLOOKUP(TEXT(O219,"0"),CONDUCTORES!$A$3:$G$54,2,0),"")</f>
        <v/>
      </c>
      <c r="Q219" s="332">
        <f>IFERROR(VLOOKUP(TEXT(O219,"0"),CONDUCTORES!$A$3:$H$54,6,0),"")</f>
        <v/>
      </c>
      <c r="R219" s="334" t="n"/>
      <c r="S219" s="334" t="n"/>
      <c r="T219" s="334" t="n"/>
      <c r="U219" s="334" t="n"/>
      <c r="V219" s="334" t="n"/>
      <c r="W219" s="334" t="n"/>
      <c r="X219" s="334" t="n"/>
      <c r="Y219" s="334" t="n"/>
      <c r="Z219" s="375">
        <f>IF(AND(G219&lt;&gt;"",R219&lt;&gt;"",V219&lt;&gt;"",W219&lt;&gt;""),"COMPLETADO","OBSERVADO")</f>
        <v/>
      </c>
    </row>
    <row r="220" ht="15" customHeight="1" s="195">
      <c r="A220" s="280" t="n"/>
      <c r="B220" s="280" t="n"/>
      <c r="C220" s="280" t="n"/>
      <c r="D220" s="280" t="n"/>
      <c r="E220" s="280" t="n"/>
      <c r="F220" s="280" t="n"/>
      <c r="G220" s="280" t="n"/>
      <c r="H220" s="280" t="n"/>
      <c r="I220" s="332">
        <f>IFERROR(VLOOKUP(TEXT(H220,"0"),IPRESS!$A$3:$B$212,2,0),"")</f>
        <v/>
      </c>
      <c r="J220" s="280" t="n"/>
      <c r="K220" s="332">
        <f>IFERROR(VLOOKUP(TEXT(O220,"0"),CONDUCTORES!$A$3:$G$54,7,0),"")</f>
        <v/>
      </c>
      <c r="L220" s="280" t="n"/>
      <c r="M220" s="280" t="n"/>
      <c r="N220" s="333">
        <f>IFERROR(IF(L220*M220=0,"",L220*M220),"")</f>
        <v/>
      </c>
      <c r="O220" s="280" t="n"/>
      <c r="P220" s="332">
        <f>IFERROR(VLOOKUP(TEXT(O220,"0"),CONDUCTORES!$A$3:$G$54,2,0),"")</f>
        <v/>
      </c>
      <c r="Q220" s="332">
        <f>IFERROR(VLOOKUP(TEXT(O220,"0"),CONDUCTORES!$A$3:$H$54,6,0),"")</f>
        <v/>
      </c>
      <c r="R220" s="280" t="n"/>
      <c r="S220" s="280" t="n"/>
      <c r="T220" s="280" t="n"/>
      <c r="U220" s="280" t="n"/>
      <c r="V220" s="280" t="n"/>
      <c r="W220" s="280" t="n"/>
      <c r="X220" s="280" t="n"/>
      <c r="Y220" s="280" t="n"/>
      <c r="Z220" s="375">
        <f>IF(AND(G220&lt;&gt;"",R220&lt;&gt;"",V220&lt;&gt;"",W220&lt;&gt;""),"COMPLETADO","OBSERVADO")</f>
        <v/>
      </c>
    </row>
    <row r="221" ht="15" customHeight="1" s="195">
      <c r="A221" s="334" t="n"/>
      <c r="B221" s="334" t="n"/>
      <c r="C221" s="334" t="n"/>
      <c r="D221" s="334" t="n"/>
      <c r="E221" s="334" t="n"/>
      <c r="F221" s="334" t="n"/>
      <c r="G221" s="334" t="n"/>
      <c r="H221" s="334" t="n"/>
      <c r="I221" s="332">
        <f>IFERROR(VLOOKUP(TEXT(H221,"0"),IPRESS!$A$3:$B$212,2,0),"")</f>
        <v/>
      </c>
      <c r="J221" s="334" t="n"/>
      <c r="K221" s="332">
        <f>IFERROR(VLOOKUP(TEXT(O221,"0"),CONDUCTORES!$A$3:$G$54,7,0),"")</f>
        <v/>
      </c>
      <c r="L221" s="334" t="n"/>
      <c r="M221" s="334" t="n"/>
      <c r="N221" s="333">
        <f>IFERROR(IF(L221*M221=0,"",L221*M221),"")</f>
        <v/>
      </c>
      <c r="O221" s="334" t="n"/>
      <c r="P221" s="332">
        <f>IFERROR(VLOOKUP(TEXT(O221,"0"),CONDUCTORES!$A$3:$G$54,2,0),"")</f>
        <v/>
      </c>
      <c r="Q221" s="332">
        <f>IFERROR(VLOOKUP(TEXT(O221,"0"),CONDUCTORES!$A$3:$H$54,6,0),"")</f>
        <v/>
      </c>
      <c r="R221" s="334" t="n"/>
      <c r="S221" s="334" t="n"/>
      <c r="T221" s="334" t="n"/>
      <c r="U221" s="334" t="n"/>
      <c r="V221" s="334" t="n"/>
      <c r="W221" s="334" t="n"/>
      <c r="X221" s="334" t="n"/>
      <c r="Y221" s="334" t="n"/>
      <c r="Z221" s="375">
        <f>IF(AND(G221&lt;&gt;"",R221&lt;&gt;"",V221&lt;&gt;"",W221&lt;&gt;""),"COMPLETADO","OBSERVADO")</f>
        <v/>
      </c>
    </row>
    <row r="222" ht="15" customHeight="1" s="195">
      <c r="A222" s="280" t="n"/>
      <c r="B222" s="280" t="n"/>
      <c r="C222" s="280" t="n"/>
      <c r="D222" s="280" t="n"/>
      <c r="E222" s="280" t="n"/>
      <c r="F222" s="280" t="n"/>
      <c r="G222" s="280" t="n"/>
      <c r="H222" s="280" t="n"/>
      <c r="I222" s="332">
        <f>IFERROR(VLOOKUP(TEXT(H222,"0"),IPRESS!$A$3:$B$212,2,0),"")</f>
        <v/>
      </c>
      <c r="J222" s="280" t="n"/>
      <c r="K222" s="332">
        <f>IFERROR(VLOOKUP(TEXT(O222,"0"),CONDUCTORES!$A$3:$G$54,7,0),"")</f>
        <v/>
      </c>
      <c r="L222" s="280" t="n"/>
      <c r="M222" s="280" t="n"/>
      <c r="N222" s="333">
        <f>IFERROR(IF(L222*M222=0,"",L222*M222),"")</f>
        <v/>
      </c>
      <c r="O222" s="280" t="n"/>
      <c r="P222" s="332">
        <f>IFERROR(VLOOKUP(TEXT(O222,"0"),CONDUCTORES!$A$3:$G$54,2,0),"")</f>
        <v/>
      </c>
      <c r="Q222" s="332">
        <f>IFERROR(VLOOKUP(TEXT(O222,"0"),CONDUCTORES!$A$3:$H$54,6,0),"")</f>
        <v/>
      </c>
      <c r="R222" s="280" t="n"/>
      <c r="S222" s="280" t="n"/>
      <c r="T222" s="280" t="n"/>
      <c r="U222" s="280" t="n"/>
      <c r="V222" s="280" t="n"/>
      <c r="W222" s="280" t="n"/>
      <c r="X222" s="280" t="n"/>
      <c r="Y222" s="280" t="n"/>
      <c r="Z222" s="375">
        <f>IF(AND(G222&lt;&gt;"",R222&lt;&gt;"",V222&lt;&gt;"",W222&lt;&gt;""),"COMPLETADO","OBSERVADO")</f>
        <v/>
      </c>
    </row>
    <row r="223" ht="15" customHeight="1" s="195">
      <c r="A223" s="334" t="n"/>
      <c r="B223" s="334" t="n"/>
      <c r="C223" s="334" t="n"/>
      <c r="D223" s="334" t="n"/>
      <c r="E223" s="334" t="n"/>
      <c r="F223" s="334" t="n"/>
      <c r="G223" s="334" t="n"/>
      <c r="H223" s="334" t="n"/>
      <c r="I223" s="332">
        <f>IFERROR(VLOOKUP(TEXT(H223,"0"),IPRESS!$A$3:$B$212,2,0),"")</f>
        <v/>
      </c>
      <c r="J223" s="334" t="n"/>
      <c r="K223" s="332">
        <f>IFERROR(VLOOKUP(TEXT(O223,"0"),CONDUCTORES!$A$3:$G$54,7,0),"")</f>
        <v/>
      </c>
      <c r="L223" s="334" t="n"/>
      <c r="M223" s="334" t="n"/>
      <c r="N223" s="333">
        <f>IFERROR(IF(L223*M223=0,"",L223*M223),"")</f>
        <v/>
      </c>
      <c r="O223" s="334" t="n"/>
      <c r="P223" s="332">
        <f>IFERROR(VLOOKUP(TEXT(O223,"0"),CONDUCTORES!$A$3:$G$54,2,0),"")</f>
        <v/>
      </c>
      <c r="Q223" s="332">
        <f>IFERROR(VLOOKUP(TEXT(O223,"0"),CONDUCTORES!$A$3:$H$54,6,0),"")</f>
        <v/>
      </c>
      <c r="R223" s="334" t="n"/>
      <c r="S223" s="334" t="n"/>
      <c r="T223" s="334" t="n"/>
      <c r="U223" s="334" t="n"/>
      <c r="V223" s="334" t="n"/>
      <c r="W223" s="334" t="n"/>
      <c r="X223" s="334" t="n"/>
      <c r="Y223" s="334" t="n"/>
      <c r="Z223" s="375">
        <f>IF(AND(G223&lt;&gt;"",R223&lt;&gt;"",V223&lt;&gt;"",W223&lt;&gt;""),"COMPLETADO","OBSERVADO")</f>
        <v/>
      </c>
    </row>
    <row r="224" ht="15" customHeight="1" s="195">
      <c r="A224" s="280" t="n"/>
      <c r="B224" s="280" t="n"/>
      <c r="C224" s="280" t="n"/>
      <c r="D224" s="280" t="n"/>
      <c r="E224" s="280" t="n"/>
      <c r="F224" s="280" t="n"/>
      <c r="G224" s="280" t="n"/>
      <c r="H224" s="280" t="n"/>
      <c r="I224" s="332">
        <f>IFERROR(VLOOKUP(TEXT(H224,"0"),IPRESS!$A$3:$B$212,2,0),"")</f>
        <v/>
      </c>
      <c r="J224" s="280" t="n"/>
      <c r="K224" s="332">
        <f>IFERROR(VLOOKUP(TEXT(O224,"0"),CONDUCTORES!$A$3:$G$54,7,0),"")</f>
        <v/>
      </c>
      <c r="L224" s="280" t="n"/>
      <c r="M224" s="280" t="n"/>
      <c r="N224" s="333">
        <f>IFERROR(IF(L224*M224=0,"",L224*M224),"")</f>
        <v/>
      </c>
      <c r="O224" s="280" t="n"/>
      <c r="P224" s="332">
        <f>IFERROR(VLOOKUP(TEXT(O224,"0"),CONDUCTORES!$A$3:$G$54,2,0),"")</f>
        <v/>
      </c>
      <c r="Q224" s="332">
        <f>IFERROR(VLOOKUP(TEXT(O224,"0"),CONDUCTORES!$A$3:$H$54,6,0),"")</f>
        <v/>
      </c>
      <c r="R224" s="280" t="n"/>
      <c r="S224" s="280" t="n"/>
      <c r="T224" s="280" t="n"/>
      <c r="U224" s="280" t="n"/>
      <c r="V224" s="280" t="n"/>
      <c r="W224" s="280" t="n"/>
      <c r="X224" s="280" t="n"/>
      <c r="Y224" s="280" t="n"/>
      <c r="Z224" s="375">
        <f>IF(AND(G224&lt;&gt;"",R224&lt;&gt;"",V224&lt;&gt;"",W224&lt;&gt;""),"COMPLETADO","OBSERVADO")</f>
        <v/>
      </c>
    </row>
    <row r="225" ht="15" customHeight="1" s="195">
      <c r="A225" s="334" t="n"/>
      <c r="B225" s="334" t="n"/>
      <c r="C225" s="334" t="n"/>
      <c r="D225" s="334" t="n"/>
      <c r="E225" s="334" t="n"/>
      <c r="F225" s="334" t="n"/>
      <c r="G225" s="334" t="n"/>
      <c r="H225" s="334" t="n"/>
      <c r="I225" s="332">
        <f>IFERROR(VLOOKUP(TEXT(H225,"0"),IPRESS!$A$3:$B$212,2,0),"")</f>
        <v/>
      </c>
      <c r="J225" s="334" t="n"/>
      <c r="K225" s="332">
        <f>IFERROR(VLOOKUP(TEXT(O225,"0"),CONDUCTORES!$A$3:$G$54,7,0),"")</f>
        <v/>
      </c>
      <c r="L225" s="334" t="n"/>
      <c r="M225" s="334" t="n"/>
      <c r="N225" s="333">
        <f>IFERROR(IF(L225*M225=0,"",L225*M225),"")</f>
        <v/>
      </c>
      <c r="O225" s="334" t="n"/>
      <c r="P225" s="332">
        <f>IFERROR(VLOOKUP(TEXT(O225,"0"),CONDUCTORES!$A$3:$G$54,2,0),"")</f>
        <v/>
      </c>
      <c r="Q225" s="332">
        <f>IFERROR(VLOOKUP(TEXT(O225,"0"),CONDUCTORES!$A$3:$H$54,6,0),"")</f>
        <v/>
      </c>
      <c r="R225" s="334" t="n"/>
      <c r="S225" s="334" t="n"/>
      <c r="T225" s="334" t="n"/>
      <c r="U225" s="334" t="n"/>
      <c r="V225" s="334" t="n"/>
      <c r="W225" s="334" t="n"/>
      <c r="X225" s="334" t="n"/>
      <c r="Y225" s="334" t="n"/>
      <c r="Z225" s="375">
        <f>IF(AND(G225&lt;&gt;"",R225&lt;&gt;"",V225&lt;&gt;"",W225&lt;&gt;""),"COMPLETADO","OBSERVADO")</f>
        <v/>
      </c>
    </row>
    <row r="226" ht="15" customHeight="1" s="195">
      <c r="A226" s="280" t="n"/>
      <c r="B226" s="280" t="n"/>
      <c r="C226" s="280" t="n"/>
      <c r="D226" s="280" t="n"/>
      <c r="E226" s="280" t="n"/>
      <c r="F226" s="280" t="n"/>
      <c r="G226" s="280" t="n"/>
      <c r="H226" s="280" t="n"/>
      <c r="I226" s="332">
        <f>IFERROR(VLOOKUP(TEXT(H226,"0"),IPRESS!$A$3:$B$212,2,0),"")</f>
        <v/>
      </c>
      <c r="J226" s="280" t="n"/>
      <c r="K226" s="332">
        <f>IFERROR(VLOOKUP(TEXT(O226,"0"),CONDUCTORES!$A$3:$G$54,7,0),"")</f>
        <v/>
      </c>
      <c r="L226" s="280" t="n"/>
      <c r="M226" s="280" t="n"/>
      <c r="N226" s="333">
        <f>IFERROR(IF(L226*M226=0,"",L226*M226),"")</f>
        <v/>
      </c>
      <c r="O226" s="280" t="n"/>
      <c r="P226" s="332">
        <f>IFERROR(VLOOKUP(TEXT(O226,"0"),CONDUCTORES!$A$3:$G$54,2,0),"")</f>
        <v/>
      </c>
      <c r="Q226" s="332">
        <f>IFERROR(VLOOKUP(TEXT(O226,"0"),CONDUCTORES!$A$3:$H$54,6,0),"")</f>
        <v/>
      </c>
      <c r="R226" s="280" t="n"/>
      <c r="S226" s="280" t="n"/>
      <c r="T226" s="280" t="n"/>
      <c r="U226" s="280" t="n"/>
      <c r="V226" s="280" t="n"/>
      <c r="W226" s="280" t="n"/>
      <c r="X226" s="280" t="n"/>
      <c r="Y226" s="280" t="n"/>
      <c r="Z226" s="375">
        <f>IF(AND(G226&lt;&gt;"",R226&lt;&gt;"",V226&lt;&gt;"",W226&lt;&gt;""),"COMPLETADO","OBSERVADO")</f>
        <v/>
      </c>
    </row>
    <row r="227" ht="15" customHeight="1" s="195">
      <c r="A227" s="334" t="n"/>
      <c r="B227" s="334" t="n"/>
      <c r="C227" s="334" t="n"/>
      <c r="D227" s="334" t="n"/>
      <c r="E227" s="334" t="n"/>
      <c r="F227" s="334" t="n"/>
      <c r="G227" s="334" t="n"/>
      <c r="H227" s="334" t="n"/>
      <c r="I227" s="332">
        <f>IFERROR(VLOOKUP(TEXT(H227,"0"),IPRESS!$A$3:$B$212,2,0),"")</f>
        <v/>
      </c>
      <c r="J227" s="334" t="n"/>
      <c r="K227" s="332">
        <f>IFERROR(VLOOKUP(TEXT(O227,"0"),CONDUCTORES!$A$3:$G$54,7,0),"")</f>
        <v/>
      </c>
      <c r="L227" s="334" t="n"/>
      <c r="M227" s="334" t="n"/>
      <c r="N227" s="333">
        <f>IFERROR(IF(L227*M227=0,"",L227*M227),"")</f>
        <v/>
      </c>
      <c r="O227" s="334" t="n"/>
      <c r="P227" s="332">
        <f>IFERROR(VLOOKUP(TEXT(O227,"0"),CONDUCTORES!$A$3:$G$54,2,0),"")</f>
        <v/>
      </c>
      <c r="Q227" s="332">
        <f>IFERROR(VLOOKUP(TEXT(O227,"0"),CONDUCTORES!$A$3:$H$54,6,0),"")</f>
        <v/>
      </c>
      <c r="R227" s="334" t="n"/>
      <c r="S227" s="334" t="n"/>
      <c r="T227" s="334" t="n"/>
      <c r="U227" s="334" t="n"/>
      <c r="V227" s="334" t="n"/>
      <c r="W227" s="334" t="n"/>
      <c r="X227" s="334" t="n"/>
      <c r="Y227" s="334" t="n"/>
      <c r="Z227" s="375">
        <f>IF(AND(G227&lt;&gt;"",R227&lt;&gt;"",V227&lt;&gt;"",W227&lt;&gt;""),"COMPLETADO","OBSERVADO")</f>
        <v/>
      </c>
    </row>
    <row r="228" ht="15" customHeight="1" s="195">
      <c r="A228" s="280" t="n"/>
      <c r="B228" s="280" t="n"/>
      <c r="C228" s="280" t="n"/>
      <c r="D228" s="280" t="n"/>
      <c r="E228" s="280" t="n"/>
      <c r="F228" s="280" t="n"/>
      <c r="G228" s="280" t="n"/>
      <c r="H228" s="280" t="n"/>
      <c r="I228" s="332">
        <f>IFERROR(VLOOKUP(TEXT(H228,"0"),IPRESS!$A$3:$B$212,2,0),"")</f>
        <v/>
      </c>
      <c r="J228" s="280" t="n"/>
      <c r="K228" s="332">
        <f>IFERROR(VLOOKUP(TEXT(O228,"0"),CONDUCTORES!$A$3:$G$54,7,0),"")</f>
        <v/>
      </c>
      <c r="L228" s="280" t="n"/>
      <c r="M228" s="280" t="n"/>
      <c r="N228" s="333">
        <f>IFERROR(IF(L228*M228=0,"",L228*M228),"")</f>
        <v/>
      </c>
      <c r="O228" s="280" t="n"/>
      <c r="P228" s="332">
        <f>IFERROR(VLOOKUP(TEXT(O228,"0"),CONDUCTORES!$A$3:$G$54,2,0),"")</f>
        <v/>
      </c>
      <c r="Q228" s="332">
        <f>IFERROR(VLOOKUP(TEXT(O228,"0"),CONDUCTORES!$A$3:$H$54,6,0),"")</f>
        <v/>
      </c>
      <c r="R228" s="280" t="n"/>
      <c r="S228" s="280" t="n"/>
      <c r="T228" s="280" t="n"/>
      <c r="U228" s="280" t="n"/>
      <c r="V228" s="280" t="n"/>
      <c r="W228" s="280" t="n"/>
      <c r="X228" s="280" t="n"/>
      <c r="Y228" s="280" t="n"/>
      <c r="Z228" s="375">
        <f>IF(AND(G228&lt;&gt;"",R228&lt;&gt;"",V228&lt;&gt;"",W228&lt;&gt;""),"COMPLETADO","OBSERVADO")</f>
        <v/>
      </c>
    </row>
    <row r="229" ht="15" customHeight="1" s="195">
      <c r="A229" s="334" t="n"/>
      <c r="B229" s="334" t="n"/>
      <c r="C229" s="334" t="n"/>
      <c r="D229" s="334" t="n"/>
      <c r="E229" s="334" t="n"/>
      <c r="F229" s="334" t="n"/>
      <c r="G229" s="334" t="n"/>
      <c r="H229" s="334" t="n"/>
      <c r="I229" s="332">
        <f>IFERROR(VLOOKUP(TEXT(H229,"0"),IPRESS!$A$3:$B$212,2,0),"")</f>
        <v/>
      </c>
      <c r="J229" s="334" t="n"/>
      <c r="K229" s="332">
        <f>IFERROR(VLOOKUP(TEXT(O229,"0"),CONDUCTORES!$A$3:$G$54,7,0),"")</f>
        <v/>
      </c>
      <c r="L229" s="334" t="n"/>
      <c r="M229" s="334" t="n"/>
      <c r="N229" s="333">
        <f>IFERROR(IF(L229*M229=0,"",L229*M229),"")</f>
        <v/>
      </c>
      <c r="O229" s="334" t="n"/>
      <c r="P229" s="332">
        <f>IFERROR(VLOOKUP(TEXT(O229,"0"),CONDUCTORES!$A$3:$G$54,2,0),"")</f>
        <v/>
      </c>
      <c r="Q229" s="332">
        <f>IFERROR(VLOOKUP(TEXT(O229,"0"),CONDUCTORES!$A$3:$H$54,6,0),"")</f>
        <v/>
      </c>
      <c r="R229" s="334" t="n"/>
      <c r="S229" s="334" t="n"/>
      <c r="T229" s="334" t="n"/>
      <c r="U229" s="334" t="n"/>
      <c r="V229" s="334" t="n"/>
      <c r="W229" s="334" t="n"/>
      <c r="X229" s="334" t="n"/>
      <c r="Y229" s="334" t="n"/>
      <c r="Z229" s="375">
        <f>IF(AND(G229&lt;&gt;"",R229&lt;&gt;"",V229&lt;&gt;"",W229&lt;&gt;""),"COMPLETADO","OBSERVADO")</f>
        <v/>
      </c>
    </row>
    <row r="230" ht="15" customHeight="1" s="195">
      <c r="A230" s="280" t="n"/>
      <c r="B230" s="280" t="n"/>
      <c r="C230" s="280" t="n"/>
      <c r="D230" s="280" t="n"/>
      <c r="E230" s="280" t="n"/>
      <c r="F230" s="280" t="n"/>
      <c r="G230" s="280" t="n"/>
      <c r="H230" s="280" t="n"/>
      <c r="I230" s="332">
        <f>IFERROR(VLOOKUP(TEXT(H230,"0"),IPRESS!$A$3:$B$212,2,0),"")</f>
        <v/>
      </c>
      <c r="J230" s="280" t="n"/>
      <c r="K230" s="332">
        <f>IFERROR(VLOOKUP(TEXT(O230,"0"),CONDUCTORES!$A$3:$G$54,7,0),"")</f>
        <v/>
      </c>
      <c r="L230" s="280" t="n"/>
      <c r="M230" s="280" t="n"/>
      <c r="N230" s="333">
        <f>IFERROR(IF(L230*M230=0,"",L230*M230),"")</f>
        <v/>
      </c>
      <c r="O230" s="280" t="n"/>
      <c r="P230" s="332">
        <f>IFERROR(VLOOKUP(TEXT(O230,"0"),CONDUCTORES!$A$3:$G$54,2,0),"")</f>
        <v/>
      </c>
      <c r="Q230" s="332">
        <f>IFERROR(VLOOKUP(TEXT(O230,"0"),CONDUCTORES!$A$3:$H$54,6,0),"")</f>
        <v/>
      </c>
      <c r="R230" s="280" t="n"/>
      <c r="S230" s="280" t="n"/>
      <c r="T230" s="280" t="n"/>
      <c r="U230" s="280" t="n"/>
      <c r="V230" s="280" t="n"/>
      <c r="W230" s="280" t="n"/>
      <c r="X230" s="280" t="n"/>
      <c r="Y230" s="280" t="n"/>
      <c r="Z230" s="375">
        <f>IF(AND(G230&lt;&gt;"",R230&lt;&gt;"",V230&lt;&gt;"",W230&lt;&gt;""),"COMPLETADO","OBSERVADO")</f>
        <v/>
      </c>
    </row>
    <row r="231" ht="15" customHeight="1" s="195">
      <c r="A231" s="334" t="n"/>
      <c r="B231" s="334" t="n"/>
      <c r="C231" s="334" t="n"/>
      <c r="D231" s="334" t="n"/>
      <c r="E231" s="334" t="n"/>
      <c r="F231" s="334" t="n"/>
      <c r="G231" s="334" t="n"/>
      <c r="H231" s="334" t="n"/>
      <c r="I231" s="332">
        <f>IFERROR(VLOOKUP(TEXT(H231,"0"),IPRESS!$A$3:$B$212,2,0),"")</f>
        <v/>
      </c>
      <c r="J231" s="334" t="n"/>
      <c r="K231" s="332">
        <f>IFERROR(VLOOKUP(TEXT(O231,"0"),CONDUCTORES!$A$3:$G$54,7,0),"")</f>
        <v/>
      </c>
      <c r="L231" s="334" t="n"/>
      <c r="M231" s="334" t="n"/>
      <c r="N231" s="333">
        <f>IFERROR(IF(L231*M231=0,"",L231*M231),"")</f>
        <v/>
      </c>
      <c r="O231" s="334" t="n"/>
      <c r="P231" s="332">
        <f>IFERROR(VLOOKUP(TEXT(O231,"0"),CONDUCTORES!$A$3:$G$54,2,0),"")</f>
        <v/>
      </c>
      <c r="Q231" s="332">
        <f>IFERROR(VLOOKUP(TEXT(O231,"0"),CONDUCTORES!$A$3:$H$54,6,0),"")</f>
        <v/>
      </c>
      <c r="R231" s="334" t="n"/>
      <c r="S231" s="334" t="n"/>
      <c r="T231" s="334" t="n"/>
      <c r="U231" s="334" t="n"/>
      <c r="V231" s="334" t="n"/>
      <c r="W231" s="334" t="n"/>
      <c r="X231" s="334" t="n"/>
      <c r="Y231" s="334" t="n"/>
      <c r="Z231" s="375">
        <f>IF(AND(G231&lt;&gt;"",R231&lt;&gt;"",V231&lt;&gt;"",W231&lt;&gt;""),"COMPLETADO","OBSERVADO")</f>
        <v/>
      </c>
    </row>
    <row r="232" ht="15" customHeight="1" s="195">
      <c r="A232" s="280" t="n"/>
      <c r="B232" s="280" t="n"/>
      <c r="C232" s="280" t="n"/>
      <c r="D232" s="280" t="n"/>
      <c r="E232" s="280" t="n"/>
      <c r="F232" s="280" t="n"/>
      <c r="G232" s="280" t="n"/>
      <c r="H232" s="280" t="n"/>
      <c r="I232" s="332">
        <f>IFERROR(VLOOKUP(TEXT(H232,"0"),IPRESS!$A$3:$B$212,2,0),"")</f>
        <v/>
      </c>
      <c r="J232" s="280" t="n"/>
      <c r="K232" s="332">
        <f>IFERROR(VLOOKUP(TEXT(O232,"0"),CONDUCTORES!$A$3:$G$54,7,0),"")</f>
        <v/>
      </c>
      <c r="L232" s="280" t="n"/>
      <c r="M232" s="280" t="n"/>
      <c r="N232" s="333">
        <f>IFERROR(IF(L232*M232=0,"",L232*M232),"")</f>
        <v/>
      </c>
      <c r="O232" s="280" t="n"/>
      <c r="P232" s="332">
        <f>IFERROR(VLOOKUP(TEXT(O232,"0"),CONDUCTORES!$A$3:$G$54,2,0),"")</f>
        <v/>
      </c>
      <c r="Q232" s="332">
        <f>IFERROR(VLOOKUP(TEXT(O232,"0"),CONDUCTORES!$A$3:$H$54,6,0),"")</f>
        <v/>
      </c>
      <c r="R232" s="280" t="n"/>
      <c r="S232" s="280" t="n"/>
      <c r="T232" s="280" t="n"/>
      <c r="U232" s="280" t="n"/>
      <c r="V232" s="280" t="n"/>
      <c r="W232" s="280" t="n"/>
      <c r="X232" s="280" t="n"/>
      <c r="Y232" s="280" t="n"/>
      <c r="Z232" s="375">
        <f>IF(AND(G232&lt;&gt;"",R232&lt;&gt;"",V232&lt;&gt;"",W232&lt;&gt;""),"COMPLETADO","OBSERVADO")</f>
        <v/>
      </c>
    </row>
    <row r="233" ht="15" customHeight="1" s="195">
      <c r="A233" s="334" t="n"/>
      <c r="B233" s="334" t="n"/>
      <c r="C233" s="334" t="n"/>
      <c r="D233" s="334" t="n"/>
      <c r="E233" s="334" t="n"/>
      <c r="F233" s="334" t="n"/>
      <c r="G233" s="334" t="n"/>
      <c r="H233" s="334" t="n"/>
      <c r="I233" s="332">
        <f>IFERROR(VLOOKUP(TEXT(H233,"0"),IPRESS!$A$3:$B$212,2,0),"")</f>
        <v/>
      </c>
      <c r="J233" s="334" t="n"/>
      <c r="K233" s="332">
        <f>IFERROR(VLOOKUP(TEXT(O233,"0"),CONDUCTORES!$A$3:$G$54,7,0),"")</f>
        <v/>
      </c>
      <c r="L233" s="334" t="n"/>
      <c r="M233" s="334" t="n"/>
      <c r="N233" s="333">
        <f>IFERROR(IF(L233*M233=0,"",L233*M233),"")</f>
        <v/>
      </c>
      <c r="O233" s="334" t="n"/>
      <c r="P233" s="332">
        <f>IFERROR(VLOOKUP(TEXT(O233,"0"),CONDUCTORES!$A$3:$G$54,2,0),"")</f>
        <v/>
      </c>
      <c r="Q233" s="332">
        <f>IFERROR(VLOOKUP(TEXT(O233,"0"),CONDUCTORES!$A$3:$H$54,6,0),"")</f>
        <v/>
      </c>
      <c r="R233" s="334" t="n"/>
      <c r="S233" s="334" t="n"/>
      <c r="T233" s="334" t="n"/>
      <c r="U233" s="334" t="n"/>
      <c r="V233" s="334" t="n"/>
      <c r="W233" s="334" t="n"/>
      <c r="X233" s="334" t="n"/>
      <c r="Y233" s="334" t="n"/>
      <c r="Z233" s="375">
        <f>IF(AND(G233&lt;&gt;"",R233&lt;&gt;"",V233&lt;&gt;"",W233&lt;&gt;""),"COMPLETADO","OBSERVADO")</f>
        <v/>
      </c>
    </row>
    <row r="234" ht="15" customHeight="1" s="195">
      <c r="A234" s="280" t="n"/>
      <c r="B234" s="280" t="n"/>
      <c r="C234" s="280" t="n"/>
      <c r="D234" s="280" t="n"/>
      <c r="E234" s="280" t="n"/>
      <c r="F234" s="280" t="n"/>
      <c r="G234" s="280" t="n"/>
      <c r="H234" s="280" t="n"/>
      <c r="I234" s="332">
        <f>IFERROR(VLOOKUP(TEXT(H234,"0"),IPRESS!$A$3:$B$212,2,0),"")</f>
        <v/>
      </c>
      <c r="J234" s="280" t="n"/>
      <c r="K234" s="332">
        <f>IFERROR(VLOOKUP(TEXT(O234,"0"),CONDUCTORES!$A$3:$G$54,7,0),"")</f>
        <v/>
      </c>
      <c r="L234" s="280" t="n"/>
      <c r="M234" s="280" t="n"/>
      <c r="N234" s="333">
        <f>IFERROR(IF(L234*M234=0,"",L234*M234),"")</f>
        <v/>
      </c>
      <c r="O234" s="280" t="n"/>
      <c r="P234" s="332">
        <f>IFERROR(VLOOKUP(TEXT(O234,"0"),CONDUCTORES!$A$3:$G$54,2,0),"")</f>
        <v/>
      </c>
      <c r="Q234" s="332">
        <f>IFERROR(VLOOKUP(TEXT(O234,"0"),CONDUCTORES!$A$3:$H$54,6,0),"")</f>
        <v/>
      </c>
      <c r="R234" s="280" t="n"/>
      <c r="S234" s="280" t="n"/>
      <c r="T234" s="280" t="n"/>
      <c r="U234" s="280" t="n"/>
      <c r="V234" s="280" t="n"/>
      <c r="W234" s="280" t="n"/>
      <c r="X234" s="280" t="n"/>
      <c r="Y234" s="280" t="n"/>
      <c r="Z234" s="375">
        <f>IF(AND(G234&lt;&gt;"",R234&lt;&gt;"",V234&lt;&gt;"",W234&lt;&gt;""),"COMPLETADO","OBSERVADO")</f>
        <v/>
      </c>
    </row>
    <row r="235" ht="15" customHeight="1" s="195">
      <c r="A235" s="334" t="n"/>
      <c r="B235" s="334" t="n"/>
      <c r="C235" s="334" t="n"/>
      <c r="D235" s="334" t="n"/>
      <c r="E235" s="334" t="n"/>
      <c r="F235" s="334" t="n"/>
      <c r="G235" s="334" t="n"/>
      <c r="H235" s="334" t="n"/>
      <c r="I235" s="332">
        <f>IFERROR(VLOOKUP(TEXT(H235,"0"),IPRESS!$A$3:$B$212,2,0),"")</f>
        <v/>
      </c>
      <c r="J235" s="334" t="n"/>
      <c r="K235" s="332">
        <f>IFERROR(VLOOKUP(TEXT(O235,"0"),CONDUCTORES!$A$3:$G$54,7,0),"")</f>
        <v/>
      </c>
      <c r="L235" s="334" t="n"/>
      <c r="M235" s="334" t="n"/>
      <c r="N235" s="333">
        <f>IFERROR(IF(L235*M235=0,"",L235*M235),"")</f>
        <v/>
      </c>
      <c r="O235" s="334" t="n"/>
      <c r="P235" s="332">
        <f>IFERROR(VLOOKUP(TEXT(O235,"0"),CONDUCTORES!$A$3:$G$54,2,0),"")</f>
        <v/>
      </c>
      <c r="Q235" s="332">
        <f>IFERROR(VLOOKUP(TEXT(O235,"0"),CONDUCTORES!$A$3:$H$54,6,0),"")</f>
        <v/>
      </c>
      <c r="R235" s="334" t="n"/>
      <c r="S235" s="334" t="n"/>
      <c r="T235" s="334" t="n"/>
      <c r="U235" s="334" t="n"/>
      <c r="V235" s="334" t="n"/>
      <c r="W235" s="334" t="n"/>
      <c r="X235" s="334" t="n"/>
      <c r="Y235" s="334" t="n"/>
      <c r="Z235" s="375">
        <f>IF(AND(G235&lt;&gt;"",R235&lt;&gt;"",V235&lt;&gt;"",W235&lt;&gt;""),"COMPLETADO","OBSERVADO")</f>
        <v/>
      </c>
    </row>
    <row r="236" ht="15" customHeight="1" s="195">
      <c r="A236" s="280" t="n"/>
      <c r="B236" s="280" t="n"/>
      <c r="C236" s="280" t="n"/>
      <c r="D236" s="280" t="n"/>
      <c r="E236" s="280" t="n"/>
      <c r="F236" s="280" t="n"/>
      <c r="G236" s="280" t="n"/>
      <c r="H236" s="280" t="n"/>
      <c r="I236" s="332">
        <f>IFERROR(VLOOKUP(TEXT(H236,"0"),IPRESS!$A$3:$B$212,2,0),"")</f>
        <v/>
      </c>
      <c r="J236" s="280" t="n"/>
      <c r="K236" s="332">
        <f>IFERROR(VLOOKUP(TEXT(O236,"0"),CONDUCTORES!$A$3:$G$54,7,0),"")</f>
        <v/>
      </c>
      <c r="L236" s="280" t="n"/>
      <c r="M236" s="280" t="n"/>
      <c r="N236" s="333">
        <f>IFERROR(IF(L236*M236=0,"",L236*M236),"")</f>
        <v/>
      </c>
      <c r="O236" s="280" t="n"/>
      <c r="P236" s="332">
        <f>IFERROR(VLOOKUP(TEXT(O236,"0"),CONDUCTORES!$A$3:$G$54,2,0),"")</f>
        <v/>
      </c>
      <c r="Q236" s="332">
        <f>IFERROR(VLOOKUP(TEXT(O236,"0"),CONDUCTORES!$A$3:$H$54,6,0),"")</f>
        <v/>
      </c>
      <c r="R236" s="280" t="n"/>
      <c r="S236" s="280" t="n"/>
      <c r="T236" s="280" t="n"/>
      <c r="U236" s="280" t="n"/>
      <c r="V236" s="280" t="n"/>
      <c r="W236" s="280" t="n"/>
      <c r="X236" s="280" t="n"/>
      <c r="Y236" s="280" t="n"/>
      <c r="Z236" s="375">
        <f>IF(AND(G236&lt;&gt;"",R236&lt;&gt;"",V236&lt;&gt;"",W236&lt;&gt;""),"COMPLETADO","OBSERVADO")</f>
        <v/>
      </c>
    </row>
    <row r="237" ht="15" customHeight="1" s="195">
      <c r="A237" s="334" t="n"/>
      <c r="B237" s="334" t="n"/>
      <c r="C237" s="334" t="n"/>
      <c r="D237" s="334" t="n"/>
      <c r="E237" s="334" t="n"/>
      <c r="F237" s="334" t="n"/>
      <c r="G237" s="334" t="n"/>
      <c r="H237" s="334" t="n"/>
      <c r="I237" s="332">
        <f>IFERROR(VLOOKUP(TEXT(H237,"0"),IPRESS!$A$3:$B$212,2,0),"")</f>
        <v/>
      </c>
      <c r="J237" s="334" t="n"/>
      <c r="K237" s="332">
        <f>IFERROR(VLOOKUP(TEXT(O237,"0"),CONDUCTORES!$A$3:$G$54,7,0),"")</f>
        <v/>
      </c>
      <c r="L237" s="334" t="n"/>
      <c r="M237" s="334" t="n"/>
      <c r="N237" s="333">
        <f>IFERROR(IF(L237*M237=0,"",L237*M237),"")</f>
        <v/>
      </c>
      <c r="O237" s="334" t="n"/>
      <c r="P237" s="332">
        <f>IFERROR(VLOOKUP(TEXT(O237,"0"),CONDUCTORES!$A$3:$G$54,2,0),"")</f>
        <v/>
      </c>
      <c r="Q237" s="332">
        <f>IFERROR(VLOOKUP(TEXT(O237,"0"),CONDUCTORES!$A$3:$H$54,6,0),"")</f>
        <v/>
      </c>
      <c r="R237" s="334" t="n"/>
      <c r="S237" s="334" t="n"/>
      <c r="T237" s="334" t="n"/>
      <c r="U237" s="334" t="n"/>
      <c r="V237" s="334" t="n"/>
      <c r="W237" s="334" t="n"/>
      <c r="X237" s="334" t="n"/>
      <c r="Y237" s="334" t="n"/>
      <c r="Z237" s="375">
        <f>IF(AND(G237&lt;&gt;"",R237&lt;&gt;"",V237&lt;&gt;"",W237&lt;&gt;""),"COMPLETADO","OBSERVADO")</f>
        <v/>
      </c>
    </row>
    <row r="238" ht="15" customHeight="1" s="195">
      <c r="A238" s="280" t="n"/>
      <c r="B238" s="280" t="n"/>
      <c r="C238" s="280" t="n"/>
      <c r="D238" s="280" t="n"/>
      <c r="E238" s="280" t="n"/>
      <c r="F238" s="280" t="n"/>
      <c r="G238" s="280" t="n"/>
      <c r="H238" s="280" t="n"/>
      <c r="I238" s="332">
        <f>IFERROR(VLOOKUP(TEXT(H238,"0"),IPRESS!$A$3:$B$212,2,0),"")</f>
        <v/>
      </c>
      <c r="J238" s="280" t="n"/>
      <c r="K238" s="332">
        <f>IFERROR(VLOOKUP(TEXT(O238,"0"),CONDUCTORES!$A$3:$G$54,7,0),"")</f>
        <v/>
      </c>
      <c r="L238" s="280" t="n"/>
      <c r="M238" s="280" t="n"/>
      <c r="N238" s="333">
        <f>IFERROR(IF(L238*M238=0,"",L238*M238),"")</f>
        <v/>
      </c>
      <c r="O238" s="280" t="n"/>
      <c r="P238" s="332">
        <f>IFERROR(VLOOKUP(TEXT(O238,"0"),CONDUCTORES!$A$3:$G$54,2,0),"")</f>
        <v/>
      </c>
      <c r="Q238" s="332">
        <f>IFERROR(VLOOKUP(TEXT(O238,"0"),CONDUCTORES!$A$3:$H$54,6,0),"")</f>
        <v/>
      </c>
      <c r="R238" s="280" t="n"/>
      <c r="S238" s="280" t="n"/>
      <c r="T238" s="280" t="n"/>
      <c r="U238" s="280" t="n"/>
      <c r="V238" s="280" t="n"/>
      <c r="W238" s="280" t="n"/>
      <c r="X238" s="280" t="n"/>
      <c r="Y238" s="280" t="n"/>
      <c r="Z238" s="375">
        <f>IF(AND(G238&lt;&gt;"",R238&lt;&gt;"",V238&lt;&gt;"",W238&lt;&gt;""),"COMPLETADO","OBSERVADO")</f>
        <v/>
      </c>
    </row>
    <row r="239" ht="15" customHeight="1" s="195">
      <c r="A239" s="334" t="n"/>
      <c r="B239" s="334" t="n"/>
      <c r="C239" s="334" t="n"/>
      <c r="D239" s="334" t="n"/>
      <c r="E239" s="334" t="n"/>
      <c r="F239" s="334" t="n"/>
      <c r="G239" s="334" t="n"/>
      <c r="H239" s="334" t="n"/>
      <c r="I239" s="332">
        <f>IFERROR(VLOOKUP(TEXT(H239,"0"),IPRESS!$A$3:$B$212,2,0),"")</f>
        <v/>
      </c>
      <c r="J239" s="334" t="n"/>
      <c r="K239" s="332">
        <f>IFERROR(VLOOKUP(TEXT(O239,"0"),CONDUCTORES!$A$3:$G$54,7,0),"")</f>
        <v/>
      </c>
      <c r="L239" s="334" t="n"/>
      <c r="M239" s="334" t="n"/>
      <c r="N239" s="333">
        <f>IFERROR(IF(L239*M239=0,"",L239*M239),"")</f>
        <v/>
      </c>
      <c r="O239" s="334" t="n"/>
      <c r="P239" s="332">
        <f>IFERROR(VLOOKUP(TEXT(O239,"0"),CONDUCTORES!$A$3:$G$54,2,0),"")</f>
        <v/>
      </c>
      <c r="Q239" s="332">
        <f>IFERROR(VLOOKUP(TEXT(O239,"0"),CONDUCTORES!$A$3:$H$54,6,0),"")</f>
        <v/>
      </c>
      <c r="R239" s="334" t="n"/>
      <c r="S239" s="334" t="n"/>
      <c r="T239" s="334" t="n"/>
      <c r="U239" s="334" t="n"/>
      <c r="V239" s="334" t="n"/>
      <c r="W239" s="334" t="n"/>
      <c r="X239" s="334" t="n"/>
      <c r="Y239" s="334" t="n"/>
      <c r="Z239" s="375">
        <f>IF(AND(G239&lt;&gt;"",R239&lt;&gt;"",V239&lt;&gt;"",W239&lt;&gt;""),"COMPLETADO","OBSERVADO")</f>
        <v/>
      </c>
    </row>
    <row r="240" ht="15" customHeight="1" s="195">
      <c r="A240" s="280" t="n"/>
      <c r="B240" s="280" t="n"/>
      <c r="C240" s="280" t="n"/>
      <c r="D240" s="280" t="n"/>
      <c r="E240" s="280" t="n"/>
      <c r="F240" s="280" t="n"/>
      <c r="G240" s="280" t="n"/>
      <c r="H240" s="280" t="n"/>
      <c r="I240" s="332">
        <f>IFERROR(VLOOKUP(TEXT(H240,"0"),IPRESS!$A$3:$B$212,2,0),"")</f>
        <v/>
      </c>
      <c r="J240" s="280" t="n"/>
      <c r="K240" s="332">
        <f>IFERROR(VLOOKUP(TEXT(O240,"0"),CONDUCTORES!$A$3:$G$54,7,0),"")</f>
        <v/>
      </c>
      <c r="L240" s="280" t="n"/>
      <c r="M240" s="280" t="n"/>
      <c r="N240" s="333">
        <f>IFERROR(IF(L240*M240=0,"",L240*M240),"")</f>
        <v/>
      </c>
      <c r="O240" s="280" t="n"/>
      <c r="P240" s="332">
        <f>IFERROR(VLOOKUP(TEXT(O240,"0"),CONDUCTORES!$A$3:$G$54,2,0),"")</f>
        <v/>
      </c>
      <c r="Q240" s="332">
        <f>IFERROR(VLOOKUP(TEXT(O240,"0"),CONDUCTORES!$A$3:$H$54,6,0),"")</f>
        <v/>
      </c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375">
        <f>IF(AND(G240&lt;&gt;"",R240&lt;&gt;"",V240&lt;&gt;"",W240&lt;&gt;""),"COMPLETADO","OBSERVADO")</f>
        <v/>
      </c>
    </row>
    <row r="241" ht="15" customHeight="1" s="195">
      <c r="A241" s="334" t="n"/>
      <c r="B241" s="334" t="n"/>
      <c r="C241" s="334" t="n"/>
      <c r="D241" s="334" t="n"/>
      <c r="E241" s="334" t="n"/>
      <c r="F241" s="334" t="n"/>
      <c r="G241" s="334" t="n"/>
      <c r="H241" s="334" t="n"/>
      <c r="I241" s="332">
        <f>IFERROR(VLOOKUP(TEXT(H241,"0"),IPRESS!$A$3:$B$212,2,0),"")</f>
        <v/>
      </c>
      <c r="J241" s="334" t="n"/>
      <c r="K241" s="332">
        <f>IFERROR(VLOOKUP(TEXT(O241,"0"),CONDUCTORES!$A$3:$G$54,7,0),"")</f>
        <v/>
      </c>
      <c r="L241" s="334" t="n"/>
      <c r="M241" s="334" t="n"/>
      <c r="N241" s="333">
        <f>IFERROR(IF(L241*M241=0,"",L241*M241),"")</f>
        <v/>
      </c>
      <c r="O241" s="334" t="n"/>
      <c r="P241" s="332">
        <f>IFERROR(VLOOKUP(TEXT(O241,"0"),CONDUCTORES!$A$3:$G$54,2,0),"")</f>
        <v/>
      </c>
      <c r="Q241" s="332">
        <f>IFERROR(VLOOKUP(TEXT(O241,"0"),CONDUCTORES!$A$3:$H$54,6,0),"")</f>
        <v/>
      </c>
      <c r="R241" s="334" t="n"/>
      <c r="S241" s="334" t="n"/>
      <c r="T241" s="334" t="n"/>
      <c r="U241" s="334" t="n"/>
      <c r="V241" s="334" t="n"/>
      <c r="W241" s="334" t="n"/>
      <c r="X241" s="334" t="n"/>
      <c r="Y241" s="334" t="n"/>
      <c r="Z241" s="375">
        <f>IF(AND(G241&lt;&gt;"",R241&lt;&gt;"",V241&lt;&gt;"",W241&lt;&gt;""),"COMPLETADO","OBSERVADO")</f>
        <v/>
      </c>
    </row>
    <row r="242" ht="15" customHeight="1" s="195">
      <c r="A242" s="280" t="n"/>
      <c r="B242" s="280" t="n"/>
      <c r="C242" s="280" t="n"/>
      <c r="D242" s="280" t="n"/>
      <c r="E242" s="280" t="n"/>
      <c r="F242" s="280" t="n"/>
      <c r="G242" s="280" t="n"/>
      <c r="H242" s="280" t="n"/>
      <c r="I242" s="332">
        <f>IFERROR(VLOOKUP(TEXT(H242,"0"),IPRESS!$A$3:$B$212,2,0),"")</f>
        <v/>
      </c>
      <c r="J242" s="280" t="n"/>
      <c r="K242" s="332">
        <f>IFERROR(VLOOKUP(TEXT(O242,"0"),CONDUCTORES!$A$3:$G$54,7,0),"")</f>
        <v/>
      </c>
      <c r="L242" s="280" t="n"/>
      <c r="M242" s="280" t="n"/>
      <c r="N242" s="333">
        <f>IFERROR(IF(L242*M242=0,"",L242*M242),"")</f>
        <v/>
      </c>
      <c r="O242" s="280" t="n"/>
      <c r="P242" s="332">
        <f>IFERROR(VLOOKUP(TEXT(O242,"0"),CONDUCTORES!$A$3:$G$54,2,0),"")</f>
        <v/>
      </c>
      <c r="Q242" s="332">
        <f>IFERROR(VLOOKUP(TEXT(O242,"0"),CONDUCTORES!$A$3:$H$54,6,0),"")</f>
        <v/>
      </c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375">
        <f>IF(AND(G242&lt;&gt;"",R242&lt;&gt;"",V242&lt;&gt;"",W242&lt;&gt;""),"COMPLETADO","OBSERVADO")</f>
        <v/>
      </c>
    </row>
    <row r="243" ht="15" customHeight="1" s="195">
      <c r="A243" s="334" t="n"/>
      <c r="B243" s="334" t="n"/>
      <c r="C243" s="334" t="n"/>
      <c r="D243" s="334" t="n"/>
      <c r="E243" s="334" t="n"/>
      <c r="F243" s="334" t="n"/>
      <c r="G243" s="334" t="n"/>
      <c r="H243" s="334" t="n"/>
      <c r="I243" s="332">
        <f>IFERROR(VLOOKUP(TEXT(H243,"0"),IPRESS!$A$3:$B$212,2,0),"")</f>
        <v/>
      </c>
      <c r="J243" s="334" t="n"/>
      <c r="K243" s="332">
        <f>IFERROR(VLOOKUP(TEXT(O243,"0"),CONDUCTORES!$A$3:$G$54,7,0),"")</f>
        <v/>
      </c>
      <c r="L243" s="334" t="n"/>
      <c r="M243" s="334" t="n"/>
      <c r="N243" s="333">
        <f>IFERROR(IF(L243*M243=0,"",L243*M243),"")</f>
        <v/>
      </c>
      <c r="O243" s="334" t="n"/>
      <c r="P243" s="332">
        <f>IFERROR(VLOOKUP(TEXT(O243,"0"),CONDUCTORES!$A$3:$G$54,2,0),"")</f>
        <v/>
      </c>
      <c r="Q243" s="332">
        <f>IFERROR(VLOOKUP(TEXT(O243,"0"),CONDUCTORES!$A$3:$H$54,6,0),"")</f>
        <v/>
      </c>
      <c r="R243" s="334" t="n"/>
      <c r="S243" s="334" t="n"/>
      <c r="T243" s="334" t="n"/>
      <c r="U243" s="334" t="n"/>
      <c r="V243" s="334" t="n"/>
      <c r="W243" s="334" t="n"/>
      <c r="X243" s="334" t="n"/>
      <c r="Y243" s="334" t="n"/>
      <c r="Z243" s="375">
        <f>IF(AND(G243&lt;&gt;"",R243&lt;&gt;"",V243&lt;&gt;"",W243&lt;&gt;""),"COMPLETADO","OBSERVADO")</f>
        <v/>
      </c>
    </row>
    <row r="244" ht="15" customHeight="1" s="195">
      <c r="A244" s="280" t="n"/>
      <c r="B244" s="280" t="n"/>
      <c r="C244" s="280" t="n"/>
      <c r="D244" s="280" t="n"/>
      <c r="E244" s="280" t="n"/>
      <c r="F244" s="280" t="n"/>
      <c r="G244" s="280" t="n"/>
      <c r="H244" s="280" t="n"/>
      <c r="I244" s="332">
        <f>IFERROR(VLOOKUP(TEXT(H244,"0"),IPRESS!$A$3:$B$212,2,0),"")</f>
        <v/>
      </c>
      <c r="J244" s="280" t="n"/>
      <c r="K244" s="332">
        <f>IFERROR(VLOOKUP(TEXT(O244,"0"),CONDUCTORES!$A$3:$G$54,7,0),"")</f>
        <v/>
      </c>
      <c r="L244" s="280" t="n"/>
      <c r="M244" s="280" t="n"/>
      <c r="N244" s="333">
        <f>IFERROR(IF(L244*M244=0,"",L244*M244),"")</f>
        <v/>
      </c>
      <c r="O244" s="280" t="n"/>
      <c r="P244" s="332">
        <f>IFERROR(VLOOKUP(TEXT(O244,"0"),CONDUCTORES!$A$3:$G$54,2,0),"")</f>
        <v/>
      </c>
      <c r="Q244" s="332">
        <f>IFERROR(VLOOKUP(TEXT(O244,"0"),CONDUCTORES!$A$3:$H$54,6,0),"")</f>
        <v/>
      </c>
      <c r="R244" s="280" t="n"/>
      <c r="S244" s="280" t="n"/>
      <c r="T244" s="280" t="n"/>
      <c r="U244" s="280" t="n"/>
      <c r="V244" s="280" t="n"/>
      <c r="W244" s="280" t="n"/>
      <c r="X244" s="280" t="n"/>
      <c r="Y244" s="280" t="n"/>
      <c r="Z244" s="375">
        <f>IF(AND(G244&lt;&gt;"",R244&lt;&gt;"",V244&lt;&gt;"",W244&lt;&gt;""),"COMPLETADO","OBSERVADO")</f>
        <v/>
      </c>
    </row>
    <row r="245" ht="15" customHeight="1" s="195">
      <c r="A245" s="334" t="n"/>
      <c r="B245" s="334" t="n"/>
      <c r="C245" s="334" t="n"/>
      <c r="D245" s="334" t="n"/>
      <c r="E245" s="334" t="n"/>
      <c r="F245" s="334" t="n"/>
      <c r="G245" s="334" t="n"/>
      <c r="H245" s="334" t="n"/>
      <c r="I245" s="332">
        <f>IFERROR(VLOOKUP(TEXT(H245,"0"),IPRESS!$A$3:$B$212,2,0),"")</f>
        <v/>
      </c>
      <c r="J245" s="334" t="n"/>
      <c r="K245" s="332">
        <f>IFERROR(VLOOKUP(TEXT(O245,"0"),CONDUCTORES!$A$3:$G$54,7,0),"")</f>
        <v/>
      </c>
      <c r="L245" s="334" t="n"/>
      <c r="M245" s="334" t="n"/>
      <c r="N245" s="333">
        <f>IFERROR(IF(L245*M245=0,"",L245*M245),"")</f>
        <v/>
      </c>
      <c r="O245" s="334" t="n"/>
      <c r="P245" s="332">
        <f>IFERROR(VLOOKUP(TEXT(O245,"0"),CONDUCTORES!$A$3:$G$54,2,0),"")</f>
        <v/>
      </c>
      <c r="Q245" s="332">
        <f>IFERROR(VLOOKUP(TEXT(O245,"0"),CONDUCTORES!$A$3:$H$54,6,0),"")</f>
        <v/>
      </c>
      <c r="R245" s="334" t="n"/>
      <c r="S245" s="334" t="n"/>
      <c r="T245" s="334" t="n"/>
      <c r="U245" s="334" t="n"/>
      <c r="V245" s="334" t="n"/>
      <c r="W245" s="334" t="n"/>
      <c r="X245" s="334" t="n"/>
      <c r="Y245" s="334" t="n"/>
      <c r="Z245" s="375">
        <f>IF(AND(G245&lt;&gt;"",R245&lt;&gt;"",V245&lt;&gt;"",W245&lt;&gt;""),"COMPLETADO","OBSERVADO")</f>
        <v/>
      </c>
    </row>
    <row r="246" ht="15" customHeight="1" s="195">
      <c r="A246" s="280" t="n"/>
      <c r="B246" s="280" t="n"/>
      <c r="C246" s="280" t="n"/>
      <c r="D246" s="280" t="n"/>
      <c r="E246" s="280" t="n"/>
      <c r="F246" s="280" t="n"/>
      <c r="G246" s="280" t="n"/>
      <c r="H246" s="280" t="n"/>
      <c r="I246" s="332">
        <f>IFERROR(VLOOKUP(TEXT(H246,"0"),IPRESS!$A$3:$B$212,2,0),"")</f>
        <v/>
      </c>
      <c r="J246" s="280" t="n"/>
      <c r="K246" s="332">
        <f>IFERROR(VLOOKUP(TEXT(O246,"0"),CONDUCTORES!$A$3:$G$54,7,0),"")</f>
        <v/>
      </c>
      <c r="L246" s="280" t="n"/>
      <c r="M246" s="280" t="n"/>
      <c r="N246" s="333">
        <f>IFERROR(IF(L246*M246=0,"",L246*M246),"")</f>
        <v/>
      </c>
      <c r="O246" s="280" t="n"/>
      <c r="P246" s="332">
        <f>IFERROR(VLOOKUP(TEXT(O246,"0"),CONDUCTORES!$A$3:$G$54,2,0),"")</f>
        <v/>
      </c>
      <c r="Q246" s="332">
        <f>IFERROR(VLOOKUP(TEXT(O246,"0"),CONDUCTORES!$A$3:$H$54,6,0),"")</f>
        <v/>
      </c>
      <c r="R246" s="280" t="n"/>
      <c r="S246" s="280" t="n"/>
      <c r="T246" s="280" t="n"/>
      <c r="U246" s="280" t="n"/>
      <c r="V246" s="280" t="n"/>
      <c r="W246" s="280" t="n"/>
      <c r="X246" s="280" t="n"/>
      <c r="Y246" s="280" t="n"/>
      <c r="Z246" s="375">
        <f>IF(AND(G246&lt;&gt;"",R246&lt;&gt;"",V246&lt;&gt;"",W246&lt;&gt;""),"COMPLETADO","OBSERVADO")</f>
        <v/>
      </c>
    </row>
    <row r="247" ht="15" customHeight="1" s="195">
      <c r="A247" s="334" t="n"/>
      <c r="B247" s="334" t="n"/>
      <c r="C247" s="334" t="n"/>
      <c r="D247" s="334" t="n"/>
      <c r="E247" s="334" t="n"/>
      <c r="F247" s="334" t="n"/>
      <c r="G247" s="334" t="n"/>
      <c r="H247" s="334" t="n"/>
      <c r="I247" s="332">
        <f>IFERROR(VLOOKUP(TEXT(H247,"0"),IPRESS!$A$3:$B$212,2,0),"")</f>
        <v/>
      </c>
      <c r="J247" s="334" t="n"/>
      <c r="K247" s="332">
        <f>IFERROR(VLOOKUP(TEXT(O247,"0"),CONDUCTORES!$A$3:$G$54,7,0),"")</f>
        <v/>
      </c>
      <c r="L247" s="334" t="n"/>
      <c r="M247" s="334" t="n"/>
      <c r="N247" s="333">
        <f>IFERROR(IF(L247*M247=0,"",L247*M247),"")</f>
        <v/>
      </c>
      <c r="O247" s="334" t="n"/>
      <c r="P247" s="332">
        <f>IFERROR(VLOOKUP(TEXT(O247,"0"),CONDUCTORES!$A$3:$G$54,2,0),"")</f>
        <v/>
      </c>
      <c r="Q247" s="332">
        <f>IFERROR(VLOOKUP(TEXT(O247,"0"),CONDUCTORES!$A$3:$H$54,6,0),"")</f>
        <v/>
      </c>
      <c r="R247" s="334" t="n"/>
      <c r="S247" s="334" t="n"/>
      <c r="T247" s="334" t="n"/>
      <c r="U247" s="334" t="n"/>
      <c r="V247" s="334" t="n"/>
      <c r="W247" s="334" t="n"/>
      <c r="X247" s="334" t="n"/>
      <c r="Y247" s="334" t="n"/>
      <c r="Z247" s="375">
        <f>IF(AND(G247&lt;&gt;"",R247&lt;&gt;"",V247&lt;&gt;"",W247&lt;&gt;""),"COMPLETADO","OBSERVADO")</f>
        <v/>
      </c>
    </row>
    <row r="248" ht="15" customHeight="1" s="195">
      <c r="A248" s="280" t="n"/>
      <c r="B248" s="280" t="n"/>
      <c r="C248" s="280" t="n"/>
      <c r="D248" s="280" t="n"/>
      <c r="E248" s="280" t="n"/>
      <c r="F248" s="280" t="n"/>
      <c r="G248" s="280" t="n"/>
      <c r="H248" s="280" t="n"/>
      <c r="I248" s="332">
        <f>IFERROR(VLOOKUP(TEXT(H248,"0"),IPRESS!$A$3:$B$212,2,0),"")</f>
        <v/>
      </c>
      <c r="J248" s="280" t="n"/>
      <c r="K248" s="332">
        <f>IFERROR(VLOOKUP(TEXT(O248,"0"),CONDUCTORES!$A$3:$G$54,7,0),"")</f>
        <v/>
      </c>
      <c r="L248" s="280" t="n"/>
      <c r="M248" s="280" t="n"/>
      <c r="N248" s="333">
        <f>IFERROR(IF(L248*M248=0,"",L248*M248),"")</f>
        <v/>
      </c>
      <c r="O248" s="280" t="n"/>
      <c r="P248" s="332">
        <f>IFERROR(VLOOKUP(TEXT(O248,"0"),CONDUCTORES!$A$3:$G$54,2,0),"")</f>
        <v/>
      </c>
      <c r="Q248" s="332">
        <f>IFERROR(VLOOKUP(TEXT(O248,"0"),CONDUCTORES!$A$3:$H$54,6,0),"")</f>
        <v/>
      </c>
      <c r="R248" s="280" t="n"/>
      <c r="S248" s="280" t="n"/>
      <c r="T248" s="280" t="n"/>
      <c r="U248" s="280" t="n"/>
      <c r="V248" s="280" t="n"/>
      <c r="W248" s="280" t="n"/>
      <c r="X248" s="280" t="n"/>
      <c r="Y248" s="280" t="n"/>
      <c r="Z248" s="375">
        <f>IF(AND(G248&lt;&gt;"",R248&lt;&gt;"",V248&lt;&gt;"",W248&lt;&gt;""),"COMPLETADO","OBSERVADO")</f>
        <v/>
      </c>
    </row>
    <row r="249" ht="15" customHeight="1" s="195">
      <c r="A249" s="334" t="n"/>
      <c r="B249" s="334" t="n"/>
      <c r="C249" s="334" t="n"/>
      <c r="D249" s="334" t="n"/>
      <c r="E249" s="334" t="n"/>
      <c r="F249" s="334" t="n"/>
      <c r="G249" s="334" t="n"/>
      <c r="H249" s="334" t="n"/>
      <c r="I249" s="332">
        <f>IFERROR(VLOOKUP(TEXT(H249,"0"),IPRESS!$A$3:$B$212,2,0),"")</f>
        <v/>
      </c>
      <c r="J249" s="334" t="n"/>
      <c r="K249" s="332">
        <f>IFERROR(VLOOKUP(TEXT(O249,"0"),CONDUCTORES!$A$3:$G$54,7,0),"")</f>
        <v/>
      </c>
      <c r="L249" s="334" t="n"/>
      <c r="M249" s="334" t="n"/>
      <c r="N249" s="333">
        <f>IFERROR(IF(L249*M249=0,"",L249*M249),"")</f>
        <v/>
      </c>
      <c r="O249" s="334" t="n"/>
      <c r="P249" s="332">
        <f>IFERROR(VLOOKUP(TEXT(O249,"0"),CONDUCTORES!$A$3:$G$54,2,0),"")</f>
        <v/>
      </c>
      <c r="Q249" s="332">
        <f>IFERROR(VLOOKUP(TEXT(O249,"0"),CONDUCTORES!$A$3:$H$54,6,0),"")</f>
        <v/>
      </c>
      <c r="R249" s="334" t="n"/>
      <c r="S249" s="334" t="n"/>
      <c r="T249" s="334" t="n"/>
      <c r="U249" s="334" t="n"/>
      <c r="V249" s="334" t="n"/>
      <c r="W249" s="334" t="n"/>
      <c r="X249" s="334" t="n"/>
      <c r="Y249" s="334" t="n"/>
      <c r="Z249" s="375">
        <f>IF(AND(G249&lt;&gt;"",R249&lt;&gt;"",V249&lt;&gt;"",W249&lt;&gt;""),"COMPLETADO","OBSERVADO")</f>
        <v/>
      </c>
    </row>
    <row r="250" ht="15" customHeight="1" s="195">
      <c r="A250" s="280" t="n"/>
      <c r="B250" s="280" t="n"/>
      <c r="C250" s="280" t="n"/>
      <c r="D250" s="280" t="n"/>
      <c r="E250" s="280" t="n"/>
      <c r="F250" s="280" t="n"/>
      <c r="G250" s="280" t="n"/>
      <c r="H250" s="280" t="n"/>
      <c r="I250" s="332">
        <f>IFERROR(VLOOKUP(TEXT(H250,"0"),IPRESS!$A$3:$B$212,2,0),"")</f>
        <v/>
      </c>
      <c r="J250" s="280" t="n"/>
      <c r="K250" s="332">
        <f>IFERROR(VLOOKUP(TEXT(O250,"0"),CONDUCTORES!$A$3:$G$54,7,0),"")</f>
        <v/>
      </c>
      <c r="L250" s="280" t="n"/>
      <c r="M250" s="280" t="n"/>
      <c r="N250" s="333">
        <f>IFERROR(IF(L250*M250=0,"",L250*M250),"")</f>
        <v/>
      </c>
      <c r="O250" s="280" t="n"/>
      <c r="P250" s="332">
        <f>IFERROR(VLOOKUP(TEXT(O250,"0"),CONDUCTORES!$A$3:$G$54,2,0),"")</f>
        <v/>
      </c>
      <c r="Q250" s="332">
        <f>IFERROR(VLOOKUP(TEXT(O250,"0"),CONDUCTORES!$A$3:$H$54,6,0),"")</f>
        <v/>
      </c>
      <c r="R250" s="280" t="n"/>
      <c r="S250" s="280" t="n"/>
      <c r="T250" s="280" t="n"/>
      <c r="U250" s="280" t="n"/>
      <c r="V250" s="280" t="n"/>
      <c r="W250" s="280" t="n"/>
      <c r="X250" s="280" t="n"/>
      <c r="Y250" s="280" t="n"/>
      <c r="Z250" s="375">
        <f>IF(AND(G250&lt;&gt;"",R250&lt;&gt;"",V250&lt;&gt;"",W250&lt;&gt;""),"COMPLETADO","OBSERVADO")</f>
        <v/>
      </c>
    </row>
    <row r="251" ht="15" customHeight="1" s="195">
      <c r="A251" s="334" t="n"/>
      <c r="B251" s="334" t="n"/>
      <c r="C251" s="334" t="n"/>
      <c r="D251" s="334" t="n"/>
      <c r="E251" s="334" t="n"/>
      <c r="F251" s="334" t="n"/>
      <c r="G251" s="334" t="n"/>
      <c r="H251" s="334" t="n"/>
      <c r="I251" s="332">
        <f>IFERROR(VLOOKUP(TEXT(H251,"0"),IPRESS!$A$3:$B$212,2,0),"")</f>
        <v/>
      </c>
      <c r="J251" s="334" t="n"/>
      <c r="K251" s="332">
        <f>IFERROR(VLOOKUP(TEXT(O251,"0"),CONDUCTORES!$A$3:$G$54,7,0),"")</f>
        <v/>
      </c>
      <c r="L251" s="334" t="n"/>
      <c r="M251" s="334" t="n"/>
      <c r="N251" s="333">
        <f>IFERROR(IF(L251*M251=0,"",L251*M251),"")</f>
        <v/>
      </c>
      <c r="O251" s="334" t="n"/>
      <c r="P251" s="332">
        <f>IFERROR(VLOOKUP(TEXT(O251,"0"),CONDUCTORES!$A$3:$G$54,2,0),"")</f>
        <v/>
      </c>
      <c r="Q251" s="332">
        <f>IFERROR(VLOOKUP(TEXT(O251,"0"),CONDUCTORES!$A$3:$H$54,6,0),"")</f>
        <v/>
      </c>
      <c r="R251" s="334" t="n"/>
      <c r="S251" s="334" t="n"/>
      <c r="T251" s="334" t="n"/>
      <c r="U251" s="334" t="n"/>
      <c r="V251" s="334" t="n"/>
      <c r="W251" s="334" t="n"/>
      <c r="X251" s="334" t="n"/>
      <c r="Y251" s="334" t="n"/>
      <c r="Z251" s="375">
        <f>IF(AND(G251&lt;&gt;"",R251&lt;&gt;"",V251&lt;&gt;"",W251&lt;&gt;""),"COMPLETADO","OBSERVADO")</f>
        <v/>
      </c>
    </row>
    <row r="252" ht="15" customHeight="1" s="195">
      <c r="A252" s="280" t="n"/>
      <c r="B252" s="280" t="n"/>
      <c r="C252" s="280" t="n"/>
      <c r="D252" s="280" t="n"/>
      <c r="E252" s="280" t="n"/>
      <c r="F252" s="280" t="n"/>
      <c r="G252" s="280" t="n"/>
      <c r="H252" s="280" t="n"/>
      <c r="I252" s="332">
        <f>IFERROR(VLOOKUP(TEXT(H252,"0"),IPRESS!$A$3:$B$212,2,0),"")</f>
        <v/>
      </c>
      <c r="J252" s="280" t="n"/>
      <c r="K252" s="332">
        <f>IFERROR(VLOOKUP(TEXT(O252,"0"),CONDUCTORES!$A$3:$G$54,7,0),"")</f>
        <v/>
      </c>
      <c r="L252" s="280" t="n"/>
      <c r="M252" s="280" t="n"/>
      <c r="N252" s="333">
        <f>IFERROR(IF(L252*M252=0,"",L252*M252),"")</f>
        <v/>
      </c>
      <c r="O252" s="280" t="n"/>
      <c r="P252" s="332">
        <f>IFERROR(VLOOKUP(TEXT(O252,"0"),CONDUCTORES!$A$3:$G$54,2,0),"")</f>
        <v/>
      </c>
      <c r="Q252" s="332">
        <f>IFERROR(VLOOKUP(TEXT(O252,"0"),CONDUCTORES!$A$3:$H$54,6,0),"")</f>
        <v/>
      </c>
      <c r="R252" s="280" t="n"/>
      <c r="S252" s="280" t="n"/>
      <c r="T252" s="280" t="n"/>
      <c r="U252" s="280" t="n"/>
      <c r="V252" s="280" t="n"/>
      <c r="W252" s="280" t="n"/>
      <c r="X252" s="280" t="n"/>
      <c r="Y252" s="280" t="n"/>
      <c r="Z252" s="375">
        <f>IF(AND(G252&lt;&gt;"",R252&lt;&gt;"",V252&lt;&gt;"",W252&lt;&gt;""),"COMPLETADO","OBSERVADO")</f>
        <v/>
      </c>
    </row>
    <row r="253" ht="15" customHeight="1" s="195">
      <c r="A253" s="334" t="n"/>
      <c r="B253" s="334" t="n"/>
      <c r="C253" s="334" t="n"/>
      <c r="D253" s="334" t="n"/>
      <c r="E253" s="334" t="n"/>
      <c r="F253" s="334" t="n"/>
      <c r="G253" s="334" t="n"/>
      <c r="H253" s="334" t="n"/>
      <c r="I253" s="332">
        <f>IFERROR(VLOOKUP(TEXT(H253,"0"),IPRESS!$A$3:$B$212,2,0),"")</f>
        <v/>
      </c>
      <c r="J253" s="334" t="n"/>
      <c r="K253" s="332">
        <f>IFERROR(VLOOKUP(TEXT(O253,"0"),CONDUCTORES!$A$3:$G$54,7,0),"")</f>
        <v/>
      </c>
      <c r="L253" s="334" t="n"/>
      <c r="M253" s="334" t="n"/>
      <c r="N253" s="333">
        <f>IFERROR(IF(L253*M253=0,"",L253*M253),"")</f>
        <v/>
      </c>
      <c r="O253" s="334" t="n"/>
      <c r="P253" s="332">
        <f>IFERROR(VLOOKUP(TEXT(O253,"0"),CONDUCTORES!$A$3:$G$54,2,0),"")</f>
        <v/>
      </c>
      <c r="Q253" s="332">
        <f>IFERROR(VLOOKUP(TEXT(O253,"0"),CONDUCTORES!$A$3:$H$54,6,0),"")</f>
        <v/>
      </c>
      <c r="R253" s="334" t="n"/>
      <c r="S253" s="334" t="n"/>
      <c r="T253" s="334" t="n"/>
      <c r="U253" s="334" t="n"/>
      <c r="V253" s="334" t="n"/>
      <c r="W253" s="334" t="n"/>
      <c r="X253" s="334" t="n"/>
      <c r="Y253" s="334" t="n"/>
      <c r="Z253" s="375">
        <f>IF(AND(G253&lt;&gt;"",R253&lt;&gt;"",V253&lt;&gt;"",W253&lt;&gt;""),"COMPLETADO","OBSERVADO")</f>
        <v/>
      </c>
    </row>
    <row r="254" ht="15" customHeight="1" s="195">
      <c r="A254" s="280" t="n"/>
      <c r="B254" s="280" t="n"/>
      <c r="C254" s="280" t="n"/>
      <c r="D254" s="280" t="n"/>
      <c r="E254" s="280" t="n"/>
      <c r="F254" s="280" t="n"/>
      <c r="G254" s="280" t="n"/>
      <c r="H254" s="280" t="n"/>
      <c r="I254" s="332">
        <f>IFERROR(VLOOKUP(TEXT(H254,"0"),IPRESS!$A$3:$B$212,2,0),"")</f>
        <v/>
      </c>
      <c r="J254" s="280" t="n"/>
      <c r="K254" s="332">
        <f>IFERROR(VLOOKUP(TEXT(O254,"0"),CONDUCTORES!$A$3:$G$54,7,0),"")</f>
        <v/>
      </c>
      <c r="L254" s="280" t="n"/>
      <c r="M254" s="280" t="n"/>
      <c r="N254" s="333">
        <f>IFERROR(IF(L254*M254=0,"",L254*M254),"")</f>
        <v/>
      </c>
      <c r="O254" s="280" t="n"/>
      <c r="P254" s="332">
        <f>IFERROR(VLOOKUP(TEXT(O254,"0"),CONDUCTORES!$A$3:$G$54,2,0),"")</f>
        <v/>
      </c>
      <c r="Q254" s="332">
        <f>IFERROR(VLOOKUP(TEXT(O254,"0"),CONDUCTORES!$A$3:$H$54,6,0),"")</f>
        <v/>
      </c>
      <c r="R254" s="280" t="n"/>
      <c r="S254" s="280" t="n"/>
      <c r="T254" s="280" t="n"/>
      <c r="U254" s="280" t="n"/>
      <c r="V254" s="280" t="n"/>
      <c r="W254" s="280" t="n"/>
      <c r="X254" s="280" t="n"/>
      <c r="Y254" s="280" t="n"/>
      <c r="Z254" s="375">
        <f>IF(AND(G254&lt;&gt;"",R254&lt;&gt;"",V254&lt;&gt;"",W254&lt;&gt;""),"COMPLETADO","OBSERVADO")</f>
        <v/>
      </c>
    </row>
    <row r="255" ht="15" customHeight="1" s="195">
      <c r="A255" s="334" t="n"/>
      <c r="B255" s="334" t="n"/>
      <c r="C255" s="334" t="n"/>
      <c r="D255" s="334" t="n"/>
      <c r="E255" s="334" t="n"/>
      <c r="F255" s="334" t="n"/>
      <c r="G255" s="334" t="n"/>
      <c r="H255" s="334" t="n"/>
      <c r="I255" s="332">
        <f>IFERROR(VLOOKUP(TEXT(H255,"0"),IPRESS!$A$3:$B$212,2,0),"")</f>
        <v/>
      </c>
      <c r="J255" s="334" t="n"/>
      <c r="K255" s="332">
        <f>IFERROR(VLOOKUP(TEXT(O255,"0"),CONDUCTORES!$A$3:$G$54,7,0),"")</f>
        <v/>
      </c>
      <c r="L255" s="334" t="n"/>
      <c r="M255" s="334" t="n"/>
      <c r="N255" s="333">
        <f>IFERROR(IF(L255*M255=0,"",L255*M255),"")</f>
        <v/>
      </c>
      <c r="O255" s="334" t="n"/>
      <c r="P255" s="332">
        <f>IFERROR(VLOOKUP(TEXT(O255,"0"),CONDUCTORES!$A$3:$G$54,2,0),"")</f>
        <v/>
      </c>
      <c r="Q255" s="332">
        <f>IFERROR(VLOOKUP(TEXT(O255,"0"),CONDUCTORES!$A$3:$H$54,6,0),"")</f>
        <v/>
      </c>
      <c r="R255" s="334" t="n"/>
      <c r="S255" s="334" t="n"/>
      <c r="T255" s="334" t="n"/>
      <c r="U255" s="334" t="n"/>
      <c r="V255" s="334" t="n"/>
      <c r="W255" s="334" t="n"/>
      <c r="X255" s="334" t="n"/>
      <c r="Y255" s="334" t="n"/>
      <c r="Z255" s="375">
        <f>IF(AND(G255&lt;&gt;"",R255&lt;&gt;"",V255&lt;&gt;"",W255&lt;&gt;""),"COMPLETADO","OBSERVADO")</f>
        <v/>
      </c>
    </row>
    <row r="256" ht="15" customHeight="1" s="195">
      <c r="A256" s="280" t="n"/>
      <c r="B256" s="280" t="n"/>
      <c r="C256" s="280" t="n"/>
      <c r="D256" s="280" t="n"/>
      <c r="E256" s="280" t="n"/>
      <c r="F256" s="280" t="n"/>
      <c r="G256" s="280" t="n"/>
      <c r="H256" s="280" t="n"/>
      <c r="I256" s="332">
        <f>IFERROR(VLOOKUP(TEXT(H256,"0"),IPRESS!$A$3:$B$212,2,0),"")</f>
        <v/>
      </c>
      <c r="J256" s="280" t="n"/>
      <c r="K256" s="332">
        <f>IFERROR(VLOOKUP(TEXT(O256,"0"),CONDUCTORES!$A$3:$G$54,7,0),"")</f>
        <v/>
      </c>
      <c r="L256" s="280" t="n"/>
      <c r="M256" s="280" t="n"/>
      <c r="N256" s="333">
        <f>IFERROR(IF(L256*M256=0,"",L256*M256),"")</f>
        <v/>
      </c>
      <c r="O256" s="280" t="n"/>
      <c r="P256" s="332">
        <f>IFERROR(VLOOKUP(TEXT(O256,"0"),CONDUCTORES!$A$3:$G$54,2,0),"")</f>
        <v/>
      </c>
      <c r="Q256" s="332">
        <f>IFERROR(VLOOKUP(TEXT(O256,"0"),CONDUCTORES!$A$3:$H$54,6,0),"")</f>
        <v/>
      </c>
      <c r="R256" s="280" t="n"/>
      <c r="S256" s="280" t="n"/>
      <c r="T256" s="280" t="n"/>
      <c r="U256" s="280" t="n"/>
      <c r="V256" s="280" t="n"/>
      <c r="W256" s="280" t="n"/>
      <c r="X256" s="280" t="n"/>
      <c r="Y256" s="280" t="n"/>
      <c r="Z256" s="375">
        <f>IF(AND(G256&lt;&gt;"",R256&lt;&gt;"",V256&lt;&gt;"",W256&lt;&gt;""),"COMPLETADO","OBSERVADO")</f>
        <v/>
      </c>
    </row>
    <row r="257" ht="15" customHeight="1" s="195">
      <c r="A257" s="334" t="n"/>
      <c r="B257" s="334" t="n"/>
      <c r="C257" s="334" t="n"/>
      <c r="D257" s="334" t="n"/>
      <c r="E257" s="334" t="n"/>
      <c r="F257" s="334" t="n"/>
      <c r="G257" s="334" t="n"/>
      <c r="H257" s="334" t="n"/>
      <c r="I257" s="332">
        <f>IFERROR(VLOOKUP(TEXT(H257,"0"),IPRESS!$A$3:$B$212,2,0),"")</f>
        <v/>
      </c>
      <c r="J257" s="334" t="n"/>
      <c r="K257" s="332">
        <f>IFERROR(VLOOKUP(TEXT(O257,"0"),CONDUCTORES!$A$3:$G$54,7,0),"")</f>
        <v/>
      </c>
      <c r="L257" s="334" t="n"/>
      <c r="M257" s="334" t="n"/>
      <c r="N257" s="333">
        <f>IFERROR(IF(L257*M257=0,"",L257*M257),"")</f>
        <v/>
      </c>
      <c r="O257" s="334" t="n"/>
      <c r="P257" s="332">
        <f>IFERROR(VLOOKUP(TEXT(O257,"0"),CONDUCTORES!$A$3:$G$54,2,0),"")</f>
        <v/>
      </c>
      <c r="Q257" s="332">
        <f>IFERROR(VLOOKUP(TEXT(O257,"0"),CONDUCTORES!$A$3:$H$54,6,0),"")</f>
        <v/>
      </c>
      <c r="R257" s="334" t="n"/>
      <c r="S257" s="334" t="n"/>
      <c r="T257" s="334" t="n"/>
      <c r="U257" s="334" t="n"/>
      <c r="V257" s="334" t="n"/>
      <c r="W257" s="334" t="n"/>
      <c r="X257" s="334" t="n"/>
      <c r="Y257" s="334" t="n"/>
      <c r="Z257" s="375">
        <f>IF(AND(G257&lt;&gt;"",R257&lt;&gt;"",V257&lt;&gt;"",W257&lt;&gt;""),"COMPLETADO","OBSERVADO")</f>
        <v/>
      </c>
    </row>
    <row r="258" ht="15" customHeight="1" s="195">
      <c r="A258" s="280" t="n"/>
      <c r="B258" s="280" t="n"/>
      <c r="C258" s="280" t="n"/>
      <c r="D258" s="280" t="n"/>
      <c r="E258" s="280" t="n"/>
      <c r="F258" s="280" t="n"/>
      <c r="G258" s="280" t="n"/>
      <c r="H258" s="280" t="n"/>
      <c r="I258" s="332">
        <f>IFERROR(VLOOKUP(TEXT(H258,"0"),IPRESS!$A$3:$B$212,2,0),"")</f>
        <v/>
      </c>
      <c r="J258" s="280" t="n"/>
      <c r="K258" s="332">
        <f>IFERROR(VLOOKUP(TEXT(O258,"0"),CONDUCTORES!$A$3:$G$54,7,0),"")</f>
        <v/>
      </c>
      <c r="L258" s="280" t="n"/>
      <c r="M258" s="280" t="n"/>
      <c r="N258" s="333">
        <f>IFERROR(IF(L258*M258=0,"",L258*M258),"")</f>
        <v/>
      </c>
      <c r="O258" s="280" t="n"/>
      <c r="P258" s="332">
        <f>IFERROR(VLOOKUP(TEXT(O258,"0"),CONDUCTORES!$A$3:$G$54,2,0),"")</f>
        <v/>
      </c>
      <c r="Q258" s="332">
        <f>IFERROR(VLOOKUP(TEXT(O258,"0"),CONDUCTORES!$A$3:$H$54,6,0),"")</f>
        <v/>
      </c>
      <c r="R258" s="280" t="n"/>
      <c r="S258" s="280" t="n"/>
      <c r="T258" s="280" t="n"/>
      <c r="U258" s="280" t="n"/>
      <c r="V258" s="280" t="n"/>
      <c r="W258" s="280" t="n"/>
      <c r="X258" s="280" t="n"/>
      <c r="Y258" s="280" t="n"/>
      <c r="Z258" s="375">
        <f>IF(AND(G258&lt;&gt;"",R258&lt;&gt;"",V258&lt;&gt;"",W258&lt;&gt;""),"COMPLETADO","OBSERVADO")</f>
        <v/>
      </c>
    </row>
    <row r="259" ht="15" customHeight="1" s="195">
      <c r="A259" s="334" t="n"/>
      <c r="B259" s="334" t="n"/>
      <c r="C259" s="334" t="n"/>
      <c r="D259" s="334" t="n"/>
      <c r="E259" s="334" t="n"/>
      <c r="F259" s="334" t="n"/>
      <c r="G259" s="334" t="n"/>
      <c r="H259" s="334" t="n"/>
      <c r="I259" s="332">
        <f>IFERROR(VLOOKUP(TEXT(H259,"0"),IPRESS!$A$3:$B$212,2,0),"")</f>
        <v/>
      </c>
      <c r="J259" s="334" t="n"/>
      <c r="K259" s="332">
        <f>IFERROR(VLOOKUP(TEXT(O259,"0"),CONDUCTORES!$A$3:$G$54,7,0),"")</f>
        <v/>
      </c>
      <c r="L259" s="334" t="n"/>
      <c r="M259" s="334" t="n"/>
      <c r="N259" s="333">
        <f>IFERROR(IF(L259*M259=0,"",L259*M259),"")</f>
        <v/>
      </c>
      <c r="O259" s="334" t="n"/>
      <c r="P259" s="332">
        <f>IFERROR(VLOOKUP(TEXT(O259,"0"),CONDUCTORES!$A$3:$G$54,2,0),"")</f>
        <v/>
      </c>
      <c r="Q259" s="332">
        <f>IFERROR(VLOOKUP(TEXT(O259,"0"),CONDUCTORES!$A$3:$H$54,6,0),"")</f>
        <v/>
      </c>
      <c r="R259" s="334" t="n"/>
      <c r="S259" s="334" t="n"/>
      <c r="T259" s="334" t="n"/>
      <c r="U259" s="334" t="n"/>
      <c r="V259" s="334" t="n"/>
      <c r="W259" s="334" t="n"/>
      <c r="X259" s="334" t="n"/>
      <c r="Y259" s="334" t="n"/>
      <c r="Z259" s="375">
        <f>IF(AND(G259&lt;&gt;"",R259&lt;&gt;"",V259&lt;&gt;"",W259&lt;&gt;""),"COMPLETADO","OBSERVADO")</f>
        <v/>
      </c>
    </row>
    <row r="260" ht="15" customHeight="1" s="195">
      <c r="A260" s="280" t="n"/>
      <c r="B260" s="280" t="n"/>
      <c r="C260" s="280" t="n"/>
      <c r="D260" s="280" t="n"/>
      <c r="E260" s="280" t="n"/>
      <c r="F260" s="280" t="n"/>
      <c r="G260" s="280" t="n"/>
      <c r="H260" s="280" t="n"/>
      <c r="I260" s="332">
        <f>IFERROR(VLOOKUP(TEXT(H260,"0"),IPRESS!$A$3:$B$212,2,0),"")</f>
        <v/>
      </c>
      <c r="J260" s="280" t="n"/>
      <c r="K260" s="332">
        <f>IFERROR(VLOOKUP(TEXT(O260,"0"),CONDUCTORES!$A$3:$G$54,7,0),"")</f>
        <v/>
      </c>
      <c r="L260" s="280" t="n"/>
      <c r="M260" s="280" t="n"/>
      <c r="N260" s="333">
        <f>IFERROR(IF(L260*M260=0,"",L260*M260),"")</f>
        <v/>
      </c>
      <c r="O260" s="280" t="n"/>
      <c r="P260" s="332">
        <f>IFERROR(VLOOKUP(TEXT(O260,"0"),CONDUCTORES!$A$3:$G$54,2,0),"")</f>
        <v/>
      </c>
      <c r="Q260" s="332">
        <f>IFERROR(VLOOKUP(TEXT(O260,"0"),CONDUCTORES!$A$3:$H$54,6,0),"")</f>
        <v/>
      </c>
      <c r="R260" s="280" t="n"/>
      <c r="S260" s="280" t="n"/>
      <c r="T260" s="280" t="n"/>
      <c r="U260" s="280" t="n"/>
      <c r="V260" s="280" t="n"/>
      <c r="W260" s="280" t="n"/>
      <c r="X260" s="280" t="n"/>
      <c r="Y260" s="280" t="n"/>
      <c r="Z260" s="375">
        <f>IF(AND(G260&lt;&gt;"",R260&lt;&gt;"",V260&lt;&gt;"",W260&lt;&gt;""),"COMPLETADO","OBSERVADO")</f>
        <v/>
      </c>
    </row>
    <row r="261" ht="15" customHeight="1" s="195">
      <c r="A261" s="334" t="n"/>
      <c r="B261" s="334" t="n"/>
      <c r="C261" s="334" t="n"/>
      <c r="D261" s="334" t="n"/>
      <c r="E261" s="334" t="n"/>
      <c r="F261" s="334" t="n"/>
      <c r="G261" s="334" t="n"/>
      <c r="H261" s="334" t="n"/>
      <c r="I261" s="332">
        <f>IFERROR(VLOOKUP(TEXT(H261,"0"),IPRESS!$A$3:$B$212,2,0),"")</f>
        <v/>
      </c>
      <c r="J261" s="334" t="n"/>
      <c r="K261" s="332">
        <f>IFERROR(VLOOKUP(TEXT(O261,"0"),CONDUCTORES!$A$3:$G$54,7,0),"")</f>
        <v/>
      </c>
      <c r="L261" s="334" t="n"/>
      <c r="M261" s="334" t="n"/>
      <c r="N261" s="333">
        <f>IFERROR(IF(L261*M261=0,"",L261*M261),"")</f>
        <v/>
      </c>
      <c r="O261" s="334" t="n"/>
      <c r="P261" s="332">
        <f>IFERROR(VLOOKUP(TEXT(O261,"0"),CONDUCTORES!$A$3:$G$54,2,0),"")</f>
        <v/>
      </c>
      <c r="Q261" s="332">
        <f>IFERROR(VLOOKUP(TEXT(O261,"0"),CONDUCTORES!$A$3:$H$54,6,0),"")</f>
        <v/>
      </c>
      <c r="R261" s="334" t="n"/>
      <c r="S261" s="334" t="n"/>
      <c r="T261" s="334" t="n"/>
      <c r="U261" s="334" t="n"/>
      <c r="V261" s="334" t="n"/>
      <c r="W261" s="334" t="n"/>
      <c r="X261" s="334" t="n"/>
      <c r="Y261" s="334" t="n"/>
      <c r="Z261" s="375">
        <f>IF(AND(G261&lt;&gt;"",R261&lt;&gt;"",V261&lt;&gt;"",W261&lt;&gt;""),"COMPLETADO","OBSERVADO")</f>
        <v/>
      </c>
    </row>
    <row r="262" ht="15" customHeight="1" s="195">
      <c r="A262" s="280" t="n"/>
      <c r="B262" s="280" t="n"/>
      <c r="C262" s="280" t="n"/>
      <c r="D262" s="280" t="n"/>
      <c r="E262" s="280" t="n"/>
      <c r="F262" s="280" t="n"/>
      <c r="G262" s="280" t="n"/>
      <c r="H262" s="280" t="n"/>
      <c r="I262" s="332">
        <f>IFERROR(VLOOKUP(TEXT(H262,"0"),IPRESS!$A$3:$B$212,2,0),"")</f>
        <v/>
      </c>
      <c r="J262" s="280" t="n"/>
      <c r="K262" s="332">
        <f>IFERROR(VLOOKUP(TEXT(O262,"0"),CONDUCTORES!$A$3:$G$54,7,0),"")</f>
        <v/>
      </c>
      <c r="L262" s="280" t="n"/>
      <c r="M262" s="280" t="n"/>
      <c r="N262" s="333">
        <f>IFERROR(IF(L262*M262=0,"",L262*M262),"")</f>
        <v/>
      </c>
      <c r="O262" s="280" t="n"/>
      <c r="P262" s="332">
        <f>IFERROR(VLOOKUP(TEXT(O262,"0"),CONDUCTORES!$A$3:$G$54,2,0),"")</f>
        <v/>
      </c>
      <c r="Q262" s="332">
        <f>IFERROR(VLOOKUP(TEXT(O262,"0"),CONDUCTORES!$A$3:$H$54,6,0),"")</f>
        <v/>
      </c>
      <c r="R262" s="280" t="n"/>
      <c r="S262" s="280" t="n"/>
      <c r="T262" s="280" t="n"/>
      <c r="U262" s="280" t="n"/>
      <c r="V262" s="280" t="n"/>
      <c r="W262" s="280" t="n"/>
      <c r="X262" s="280" t="n"/>
      <c r="Y262" s="280" t="n"/>
      <c r="Z262" s="375">
        <f>IF(AND(G262&lt;&gt;"",R262&lt;&gt;"",V262&lt;&gt;"",W262&lt;&gt;""),"COMPLETADO","OBSERVADO")</f>
        <v/>
      </c>
    </row>
    <row r="263" ht="15" customHeight="1" s="195">
      <c r="A263" s="334" t="n"/>
      <c r="B263" s="334" t="n"/>
      <c r="C263" s="334" t="n"/>
      <c r="D263" s="334" t="n"/>
      <c r="E263" s="334" t="n"/>
      <c r="F263" s="334" t="n"/>
      <c r="G263" s="334" t="n"/>
      <c r="H263" s="334" t="n"/>
      <c r="I263" s="332">
        <f>IFERROR(VLOOKUP(TEXT(H263,"0"),IPRESS!$A$3:$B$212,2,0),"")</f>
        <v/>
      </c>
      <c r="J263" s="334" t="n"/>
      <c r="K263" s="332">
        <f>IFERROR(VLOOKUP(TEXT(O263,"0"),CONDUCTORES!$A$3:$G$54,7,0),"")</f>
        <v/>
      </c>
      <c r="L263" s="334" t="n"/>
      <c r="M263" s="334" t="n"/>
      <c r="N263" s="333">
        <f>IFERROR(IF(L263*M263=0,"",L263*M263),"")</f>
        <v/>
      </c>
      <c r="O263" s="334" t="n"/>
      <c r="P263" s="332">
        <f>IFERROR(VLOOKUP(TEXT(O263,"0"),CONDUCTORES!$A$3:$G$54,2,0),"")</f>
        <v/>
      </c>
      <c r="Q263" s="332">
        <f>IFERROR(VLOOKUP(TEXT(O263,"0"),CONDUCTORES!$A$3:$H$54,6,0),"")</f>
        <v/>
      </c>
      <c r="R263" s="334" t="n"/>
      <c r="S263" s="334" t="n"/>
      <c r="T263" s="334" t="n"/>
      <c r="U263" s="334" t="n"/>
      <c r="V263" s="334" t="n"/>
      <c r="W263" s="334" t="n"/>
      <c r="X263" s="334" t="n"/>
      <c r="Y263" s="334" t="n"/>
      <c r="Z263" s="375">
        <f>IF(AND(G263&lt;&gt;"",R263&lt;&gt;"",V263&lt;&gt;"",W263&lt;&gt;""),"COMPLETADO","OBSERVADO")</f>
        <v/>
      </c>
    </row>
    <row r="264" ht="15" customHeight="1" s="195">
      <c r="A264" s="280" t="n"/>
      <c r="B264" s="280" t="n"/>
      <c r="C264" s="280" t="n"/>
      <c r="D264" s="280" t="n"/>
      <c r="E264" s="280" t="n"/>
      <c r="F264" s="280" t="n"/>
      <c r="G264" s="280" t="n"/>
      <c r="H264" s="280" t="n"/>
      <c r="I264" s="332">
        <f>IFERROR(VLOOKUP(TEXT(H264,"0"),IPRESS!$A$3:$B$212,2,0),"")</f>
        <v/>
      </c>
      <c r="J264" s="280" t="n"/>
      <c r="K264" s="332">
        <f>IFERROR(VLOOKUP(TEXT(O264,"0"),CONDUCTORES!$A$3:$G$54,7,0),"")</f>
        <v/>
      </c>
      <c r="L264" s="280" t="n"/>
      <c r="M264" s="280" t="n"/>
      <c r="N264" s="333">
        <f>IFERROR(IF(L264*M264=0,"",L264*M264),"")</f>
        <v/>
      </c>
      <c r="O264" s="280" t="n"/>
      <c r="P264" s="332">
        <f>IFERROR(VLOOKUP(TEXT(O264,"0"),CONDUCTORES!$A$3:$G$54,2,0),"")</f>
        <v/>
      </c>
      <c r="Q264" s="332">
        <f>IFERROR(VLOOKUP(TEXT(O264,"0"),CONDUCTORES!$A$3:$H$54,6,0),"")</f>
        <v/>
      </c>
      <c r="R264" s="280" t="n"/>
      <c r="S264" s="280" t="n"/>
      <c r="T264" s="280" t="n"/>
      <c r="U264" s="280" t="n"/>
      <c r="V264" s="280" t="n"/>
      <c r="W264" s="280" t="n"/>
      <c r="X264" s="280" t="n"/>
      <c r="Y264" s="280" t="n"/>
      <c r="Z264" s="375">
        <f>IF(AND(G264&lt;&gt;"",R264&lt;&gt;"",V264&lt;&gt;"",W264&lt;&gt;""),"COMPLETADO","OBSERVADO")</f>
        <v/>
      </c>
    </row>
    <row r="265" ht="15" customHeight="1" s="195">
      <c r="A265" s="334" t="n"/>
      <c r="B265" s="334" t="n"/>
      <c r="C265" s="334" t="n"/>
      <c r="D265" s="334" t="n"/>
      <c r="E265" s="334" t="n"/>
      <c r="F265" s="334" t="n"/>
      <c r="G265" s="334" t="n"/>
      <c r="H265" s="334" t="n"/>
      <c r="I265" s="332">
        <f>IFERROR(VLOOKUP(TEXT(H265,"0"),IPRESS!$A$3:$B$212,2,0),"")</f>
        <v/>
      </c>
      <c r="J265" s="334" t="n"/>
      <c r="K265" s="332">
        <f>IFERROR(VLOOKUP(TEXT(O265,"0"),CONDUCTORES!$A$3:$G$54,7,0),"")</f>
        <v/>
      </c>
      <c r="L265" s="334" t="n"/>
      <c r="M265" s="334" t="n"/>
      <c r="N265" s="333">
        <f>IFERROR(IF(L265*M265=0,"",L265*M265),"")</f>
        <v/>
      </c>
      <c r="O265" s="334" t="n"/>
      <c r="P265" s="332">
        <f>IFERROR(VLOOKUP(TEXT(O265,"0"),CONDUCTORES!$A$3:$G$54,2,0),"")</f>
        <v/>
      </c>
      <c r="Q265" s="332">
        <f>IFERROR(VLOOKUP(TEXT(O265,"0"),CONDUCTORES!$A$3:$H$54,6,0),"")</f>
        <v/>
      </c>
      <c r="R265" s="334" t="n"/>
      <c r="S265" s="334" t="n"/>
      <c r="T265" s="334" t="n"/>
      <c r="U265" s="334" t="n"/>
      <c r="V265" s="334" t="n"/>
      <c r="W265" s="334" t="n"/>
      <c r="X265" s="334" t="n"/>
      <c r="Y265" s="334" t="n"/>
      <c r="Z265" s="375">
        <f>IF(AND(G265&lt;&gt;"",R265&lt;&gt;"",V265&lt;&gt;"",W265&lt;&gt;""),"COMPLETADO","OBSERVADO")</f>
        <v/>
      </c>
    </row>
    <row r="266" ht="15" customHeight="1" s="195">
      <c r="A266" s="280" t="n"/>
      <c r="B266" s="280" t="n"/>
      <c r="C266" s="280" t="n"/>
      <c r="D266" s="280" t="n"/>
      <c r="E266" s="280" t="n"/>
      <c r="F266" s="280" t="n"/>
      <c r="G266" s="280" t="n"/>
      <c r="H266" s="280" t="n"/>
      <c r="I266" s="332">
        <f>IFERROR(VLOOKUP(TEXT(H266,"0"),IPRESS!$A$3:$B$212,2,0),"")</f>
        <v/>
      </c>
      <c r="J266" s="280" t="n"/>
      <c r="K266" s="332">
        <f>IFERROR(VLOOKUP(TEXT(O266,"0"),CONDUCTORES!$A$3:$G$54,7,0),"")</f>
        <v/>
      </c>
      <c r="L266" s="280" t="n"/>
      <c r="M266" s="280" t="n"/>
      <c r="N266" s="333">
        <f>IFERROR(IF(L266*M266=0,"",L266*M266),"")</f>
        <v/>
      </c>
      <c r="O266" s="280" t="n"/>
      <c r="P266" s="332">
        <f>IFERROR(VLOOKUP(TEXT(O266,"0"),CONDUCTORES!$A$3:$G$54,2,0),"")</f>
        <v/>
      </c>
      <c r="Q266" s="332">
        <f>IFERROR(VLOOKUP(TEXT(O266,"0"),CONDUCTORES!$A$3:$H$54,6,0),"")</f>
        <v/>
      </c>
      <c r="R266" s="280" t="n"/>
      <c r="S266" s="280" t="n"/>
      <c r="T266" s="280" t="n"/>
      <c r="U266" s="280" t="n"/>
      <c r="V266" s="280" t="n"/>
      <c r="W266" s="280" t="n"/>
      <c r="X266" s="280" t="n"/>
      <c r="Y266" s="280" t="n"/>
      <c r="Z266" s="375">
        <f>IF(AND(G266&lt;&gt;"",R266&lt;&gt;"",V266&lt;&gt;"",W266&lt;&gt;""),"COMPLETADO","OBSERVADO")</f>
        <v/>
      </c>
    </row>
    <row r="267" ht="15" customHeight="1" s="195">
      <c r="A267" s="334" t="n"/>
      <c r="B267" s="334" t="n"/>
      <c r="C267" s="334" t="n"/>
      <c r="D267" s="334" t="n"/>
      <c r="E267" s="334" t="n"/>
      <c r="F267" s="334" t="n"/>
      <c r="G267" s="334" t="n"/>
      <c r="H267" s="334" t="n"/>
      <c r="I267" s="332">
        <f>IFERROR(VLOOKUP(TEXT(H267,"0"),IPRESS!$A$3:$B$212,2,0),"")</f>
        <v/>
      </c>
      <c r="J267" s="334" t="n"/>
      <c r="K267" s="332">
        <f>IFERROR(VLOOKUP(TEXT(O267,"0"),CONDUCTORES!$A$3:$G$54,7,0),"")</f>
        <v/>
      </c>
      <c r="L267" s="334" t="n"/>
      <c r="M267" s="334" t="n"/>
      <c r="N267" s="333">
        <f>IFERROR(IF(L267*M267=0,"",L267*M267),"")</f>
        <v/>
      </c>
      <c r="O267" s="334" t="n"/>
      <c r="P267" s="332">
        <f>IFERROR(VLOOKUP(TEXT(O267,"0"),CONDUCTORES!$A$3:$G$54,2,0),"")</f>
        <v/>
      </c>
      <c r="Q267" s="332">
        <f>IFERROR(VLOOKUP(TEXT(O267,"0"),CONDUCTORES!$A$3:$H$54,6,0),"")</f>
        <v/>
      </c>
      <c r="R267" s="334" t="n"/>
      <c r="S267" s="334" t="n"/>
      <c r="T267" s="334" t="n"/>
      <c r="U267" s="334" t="n"/>
      <c r="V267" s="334" t="n"/>
      <c r="W267" s="334" t="n"/>
      <c r="X267" s="334" t="n"/>
      <c r="Y267" s="334" t="n"/>
      <c r="Z267" s="375">
        <f>IF(AND(G267&lt;&gt;"",R267&lt;&gt;"",V267&lt;&gt;"",W267&lt;&gt;""),"COMPLETADO","OBSERVADO")</f>
        <v/>
      </c>
    </row>
    <row r="268" ht="15" customHeight="1" s="195">
      <c r="A268" s="280" t="n"/>
      <c r="B268" s="280" t="n"/>
      <c r="C268" s="280" t="n"/>
      <c r="D268" s="280" t="n"/>
      <c r="E268" s="280" t="n"/>
      <c r="F268" s="280" t="n"/>
      <c r="G268" s="280" t="n"/>
      <c r="H268" s="280" t="n"/>
      <c r="I268" s="332">
        <f>IFERROR(VLOOKUP(TEXT(H268,"0"),IPRESS!$A$3:$B$212,2,0),"")</f>
        <v/>
      </c>
      <c r="J268" s="280" t="n"/>
      <c r="K268" s="332">
        <f>IFERROR(VLOOKUP(TEXT(O268,"0"),CONDUCTORES!$A$3:$G$54,7,0),"")</f>
        <v/>
      </c>
      <c r="L268" s="280" t="n"/>
      <c r="M268" s="280" t="n"/>
      <c r="N268" s="333">
        <f>IFERROR(IF(L268*M268=0,"",L268*M268),"")</f>
        <v/>
      </c>
      <c r="O268" s="280" t="n"/>
      <c r="P268" s="332">
        <f>IFERROR(VLOOKUP(TEXT(O268,"0"),CONDUCTORES!$A$3:$G$54,2,0),"")</f>
        <v/>
      </c>
      <c r="Q268" s="332">
        <f>IFERROR(VLOOKUP(TEXT(O268,"0"),CONDUCTORES!$A$3:$H$54,6,0),"")</f>
        <v/>
      </c>
      <c r="R268" s="280" t="n"/>
      <c r="S268" s="280" t="n"/>
      <c r="T268" s="280" t="n"/>
      <c r="U268" s="280" t="n"/>
      <c r="V268" s="280" t="n"/>
      <c r="W268" s="280" t="n"/>
      <c r="X268" s="280" t="n"/>
      <c r="Y268" s="280" t="n"/>
      <c r="Z268" s="375">
        <f>IF(AND(G268&lt;&gt;"",R268&lt;&gt;"",V268&lt;&gt;"",W268&lt;&gt;""),"COMPLETADO","OBSERVADO")</f>
        <v/>
      </c>
    </row>
    <row r="269" ht="15" customHeight="1" s="195">
      <c r="A269" s="334" t="n"/>
      <c r="B269" s="334" t="n"/>
      <c r="C269" s="334" t="n"/>
      <c r="D269" s="334" t="n"/>
      <c r="E269" s="334" t="n"/>
      <c r="F269" s="334" t="n"/>
      <c r="G269" s="334" t="n"/>
      <c r="H269" s="334" t="n"/>
      <c r="I269" s="332">
        <f>IFERROR(VLOOKUP(TEXT(H269,"0"),IPRESS!$A$3:$B$212,2,0),"")</f>
        <v/>
      </c>
      <c r="J269" s="334" t="n"/>
      <c r="K269" s="332">
        <f>IFERROR(VLOOKUP(TEXT(O269,"0"),CONDUCTORES!$A$3:$G$54,7,0),"")</f>
        <v/>
      </c>
      <c r="L269" s="334" t="n"/>
      <c r="M269" s="334" t="n"/>
      <c r="N269" s="333">
        <f>IFERROR(IF(L269*M269=0,"",L269*M269),"")</f>
        <v/>
      </c>
      <c r="O269" s="334" t="n"/>
      <c r="P269" s="332">
        <f>IFERROR(VLOOKUP(TEXT(O269,"0"),CONDUCTORES!$A$3:$G$54,2,0),"")</f>
        <v/>
      </c>
      <c r="Q269" s="332">
        <f>IFERROR(VLOOKUP(TEXT(O269,"0"),CONDUCTORES!$A$3:$H$54,6,0),"")</f>
        <v/>
      </c>
      <c r="R269" s="334" t="n"/>
      <c r="S269" s="334" t="n"/>
      <c r="T269" s="334" t="n"/>
      <c r="U269" s="334" t="n"/>
      <c r="V269" s="334" t="n"/>
      <c r="W269" s="334" t="n"/>
      <c r="X269" s="334" t="n"/>
      <c r="Y269" s="334" t="n"/>
      <c r="Z269" s="375">
        <f>IF(AND(G269&lt;&gt;"",R269&lt;&gt;"",V269&lt;&gt;"",W269&lt;&gt;""),"COMPLETADO","OBSERVADO")</f>
        <v/>
      </c>
    </row>
    <row r="270" ht="15" customHeight="1" s="195">
      <c r="A270" s="280" t="n"/>
      <c r="B270" s="280" t="n"/>
      <c r="C270" s="280" t="n"/>
      <c r="D270" s="280" t="n"/>
      <c r="E270" s="280" t="n"/>
      <c r="F270" s="280" t="n"/>
      <c r="G270" s="280" t="n"/>
      <c r="H270" s="280" t="n"/>
      <c r="I270" s="332">
        <f>IFERROR(VLOOKUP(TEXT(H270,"0"),IPRESS!$A$3:$B$212,2,0),"")</f>
        <v/>
      </c>
      <c r="J270" s="280" t="n"/>
      <c r="K270" s="332">
        <f>IFERROR(VLOOKUP(TEXT(O270,"0"),CONDUCTORES!$A$3:$G$54,7,0),"")</f>
        <v/>
      </c>
      <c r="L270" s="280" t="n"/>
      <c r="M270" s="280" t="n"/>
      <c r="N270" s="333">
        <f>IFERROR(IF(L270*M270=0,"",L270*M270),"")</f>
        <v/>
      </c>
      <c r="O270" s="280" t="n"/>
      <c r="P270" s="332">
        <f>IFERROR(VLOOKUP(TEXT(O270,"0"),CONDUCTORES!$A$3:$G$54,2,0),"")</f>
        <v/>
      </c>
      <c r="Q270" s="332">
        <f>IFERROR(VLOOKUP(TEXT(O270,"0"),CONDUCTORES!$A$3:$H$54,6,0),"")</f>
        <v/>
      </c>
      <c r="R270" s="280" t="n"/>
      <c r="S270" s="280" t="n"/>
      <c r="T270" s="280" t="n"/>
      <c r="U270" s="280" t="n"/>
      <c r="V270" s="280" t="n"/>
      <c r="W270" s="280" t="n"/>
      <c r="X270" s="280" t="n"/>
      <c r="Y270" s="280" t="n"/>
      <c r="Z270" s="375">
        <f>IF(AND(G270&lt;&gt;"",R270&lt;&gt;"",V270&lt;&gt;"",W270&lt;&gt;""),"COMPLETADO","OBSERVADO")</f>
        <v/>
      </c>
    </row>
    <row r="271" ht="15" customHeight="1" s="195">
      <c r="A271" s="334" t="n"/>
      <c r="B271" s="334" t="n"/>
      <c r="C271" s="334" t="n"/>
      <c r="D271" s="334" t="n"/>
      <c r="E271" s="334" t="n"/>
      <c r="F271" s="334" t="n"/>
      <c r="G271" s="334" t="n"/>
      <c r="H271" s="334" t="n"/>
      <c r="I271" s="332">
        <f>IFERROR(VLOOKUP(TEXT(H271,"0"),IPRESS!$A$3:$B$212,2,0),"")</f>
        <v/>
      </c>
      <c r="J271" s="334" t="n"/>
      <c r="K271" s="332">
        <f>IFERROR(VLOOKUP(TEXT(O271,"0"),CONDUCTORES!$A$3:$G$54,7,0),"")</f>
        <v/>
      </c>
      <c r="L271" s="334" t="n"/>
      <c r="M271" s="334" t="n"/>
      <c r="N271" s="333">
        <f>IFERROR(IF(L271*M271=0,"",L271*M271),"")</f>
        <v/>
      </c>
      <c r="O271" s="334" t="n"/>
      <c r="P271" s="332">
        <f>IFERROR(VLOOKUP(TEXT(O271,"0"),CONDUCTORES!$A$3:$G$54,2,0),"")</f>
        <v/>
      </c>
      <c r="Q271" s="332">
        <f>IFERROR(VLOOKUP(TEXT(O271,"0"),CONDUCTORES!$A$3:$H$54,6,0),"")</f>
        <v/>
      </c>
      <c r="R271" s="334" t="n"/>
      <c r="S271" s="334" t="n"/>
      <c r="T271" s="334" t="n"/>
      <c r="U271" s="334" t="n"/>
      <c r="V271" s="334" t="n"/>
      <c r="W271" s="334" t="n"/>
      <c r="X271" s="334" t="n"/>
      <c r="Y271" s="334" t="n"/>
      <c r="Z271" s="375">
        <f>IF(AND(G271&lt;&gt;"",R271&lt;&gt;"",V271&lt;&gt;"",W271&lt;&gt;""),"COMPLETADO","OBSERVADO")</f>
        <v/>
      </c>
    </row>
    <row r="272" ht="15" customHeight="1" s="195">
      <c r="A272" s="280" t="n"/>
      <c r="B272" s="280" t="n"/>
      <c r="C272" s="280" t="n"/>
      <c r="D272" s="280" t="n"/>
      <c r="E272" s="280" t="n"/>
      <c r="F272" s="280" t="n"/>
      <c r="G272" s="280" t="n"/>
      <c r="H272" s="280" t="n"/>
      <c r="I272" s="332">
        <f>IFERROR(VLOOKUP(TEXT(H272,"0"),IPRESS!$A$3:$B$212,2,0),"")</f>
        <v/>
      </c>
      <c r="J272" s="280" t="n"/>
      <c r="K272" s="332">
        <f>IFERROR(VLOOKUP(TEXT(O272,"0"),CONDUCTORES!$A$3:$G$54,7,0),"")</f>
        <v/>
      </c>
      <c r="L272" s="280" t="n"/>
      <c r="M272" s="280" t="n"/>
      <c r="N272" s="333">
        <f>IFERROR(IF(L272*M272=0,"",L272*M272),"")</f>
        <v/>
      </c>
      <c r="O272" s="280" t="n"/>
      <c r="P272" s="332">
        <f>IFERROR(VLOOKUP(TEXT(O272,"0"),CONDUCTORES!$A$3:$G$54,2,0),"")</f>
        <v/>
      </c>
      <c r="Q272" s="332">
        <f>IFERROR(VLOOKUP(TEXT(O272,"0"),CONDUCTORES!$A$3:$H$54,6,0),"")</f>
        <v/>
      </c>
      <c r="R272" s="280" t="n"/>
      <c r="S272" s="280" t="n"/>
      <c r="T272" s="280" t="n"/>
      <c r="U272" s="280" t="n"/>
      <c r="V272" s="280" t="n"/>
      <c r="W272" s="280" t="n"/>
      <c r="X272" s="280" t="n"/>
      <c r="Y272" s="280" t="n"/>
      <c r="Z272" s="375">
        <f>IF(AND(G272&lt;&gt;"",R272&lt;&gt;"",V272&lt;&gt;"",W272&lt;&gt;""),"COMPLETADO","OBSERVADO")</f>
        <v/>
      </c>
    </row>
    <row r="273" ht="15" customHeight="1" s="195">
      <c r="A273" s="334" t="n"/>
      <c r="B273" s="334" t="n"/>
      <c r="C273" s="334" t="n"/>
      <c r="D273" s="334" t="n"/>
      <c r="E273" s="334" t="n"/>
      <c r="F273" s="334" t="n"/>
      <c r="G273" s="334" t="n"/>
      <c r="H273" s="334" t="n"/>
      <c r="I273" s="332">
        <f>IFERROR(VLOOKUP(TEXT(H273,"0"),IPRESS!$A$3:$B$212,2,0),"")</f>
        <v/>
      </c>
      <c r="J273" s="334" t="n"/>
      <c r="K273" s="332">
        <f>IFERROR(VLOOKUP(TEXT(O273,"0"),CONDUCTORES!$A$3:$G$54,7,0),"")</f>
        <v/>
      </c>
      <c r="L273" s="334" t="n"/>
      <c r="M273" s="334" t="n"/>
      <c r="N273" s="333">
        <f>IFERROR(IF(L273*M273=0,"",L273*M273),"")</f>
        <v/>
      </c>
      <c r="O273" s="334" t="n"/>
      <c r="P273" s="332">
        <f>IFERROR(VLOOKUP(TEXT(O273,"0"),CONDUCTORES!$A$3:$G$54,2,0),"")</f>
        <v/>
      </c>
      <c r="Q273" s="332">
        <f>IFERROR(VLOOKUP(TEXT(O273,"0"),CONDUCTORES!$A$3:$H$54,6,0),"")</f>
        <v/>
      </c>
      <c r="R273" s="334" t="n"/>
      <c r="S273" s="334" t="n"/>
      <c r="T273" s="334" t="n"/>
      <c r="U273" s="334" t="n"/>
      <c r="V273" s="334" t="n"/>
      <c r="W273" s="334" t="n"/>
      <c r="X273" s="334" t="n"/>
      <c r="Y273" s="334" t="n"/>
      <c r="Z273" s="375">
        <f>IF(AND(G273&lt;&gt;"",R273&lt;&gt;"",V273&lt;&gt;"",W273&lt;&gt;""),"COMPLETADO","OBSERVADO")</f>
        <v/>
      </c>
    </row>
    <row r="274" ht="15" customHeight="1" s="195">
      <c r="A274" s="280" t="n"/>
      <c r="B274" s="280" t="n"/>
      <c r="C274" s="280" t="n"/>
      <c r="D274" s="280" t="n"/>
      <c r="E274" s="280" t="n"/>
      <c r="F274" s="280" t="n"/>
      <c r="G274" s="280" t="n"/>
      <c r="H274" s="280" t="n"/>
      <c r="I274" s="332">
        <f>IFERROR(VLOOKUP(TEXT(H274,"0"),IPRESS!$A$3:$B$212,2,0),"")</f>
        <v/>
      </c>
      <c r="J274" s="280" t="n"/>
      <c r="K274" s="332">
        <f>IFERROR(VLOOKUP(TEXT(O274,"0"),CONDUCTORES!$A$3:$G$54,7,0),"")</f>
        <v/>
      </c>
      <c r="L274" s="280" t="n"/>
      <c r="M274" s="280" t="n"/>
      <c r="N274" s="333">
        <f>IFERROR(IF(L274*M274=0,"",L274*M274),"")</f>
        <v/>
      </c>
      <c r="O274" s="280" t="n"/>
      <c r="P274" s="332">
        <f>IFERROR(VLOOKUP(TEXT(O274,"0"),CONDUCTORES!$A$3:$G$54,2,0),"")</f>
        <v/>
      </c>
      <c r="Q274" s="332">
        <f>IFERROR(VLOOKUP(TEXT(O274,"0"),CONDUCTORES!$A$3:$H$54,6,0),"")</f>
        <v/>
      </c>
      <c r="R274" s="280" t="n"/>
      <c r="S274" s="280" t="n"/>
      <c r="T274" s="280" t="n"/>
      <c r="U274" s="280" t="n"/>
      <c r="V274" s="280" t="n"/>
      <c r="W274" s="280" t="n"/>
      <c r="X274" s="280" t="n"/>
      <c r="Y274" s="280" t="n"/>
      <c r="Z274" s="375">
        <f>IF(AND(G274&lt;&gt;"",R274&lt;&gt;"",V274&lt;&gt;"",W274&lt;&gt;""),"COMPLETADO","OBSERVADO")</f>
        <v/>
      </c>
    </row>
    <row r="275" ht="15" customHeight="1" s="195">
      <c r="A275" s="334" t="n"/>
      <c r="B275" s="334" t="n"/>
      <c r="C275" s="334" t="n"/>
      <c r="D275" s="334" t="n"/>
      <c r="E275" s="334" t="n"/>
      <c r="F275" s="334" t="n"/>
      <c r="G275" s="334" t="n"/>
      <c r="H275" s="334" t="n"/>
      <c r="I275" s="332">
        <f>IFERROR(VLOOKUP(TEXT(H275,"0"),IPRESS!$A$3:$B$212,2,0),"")</f>
        <v/>
      </c>
      <c r="J275" s="334" t="n"/>
      <c r="K275" s="332">
        <f>IFERROR(VLOOKUP(TEXT(O275,"0"),CONDUCTORES!$A$3:$G$54,7,0),"")</f>
        <v/>
      </c>
      <c r="L275" s="334" t="n"/>
      <c r="M275" s="334" t="n"/>
      <c r="N275" s="333">
        <f>IFERROR(IF(L275*M275=0,"",L275*M275),"")</f>
        <v/>
      </c>
      <c r="O275" s="334" t="n"/>
      <c r="P275" s="332">
        <f>IFERROR(VLOOKUP(TEXT(O275,"0"),CONDUCTORES!$A$3:$G$54,2,0),"")</f>
        <v/>
      </c>
      <c r="Q275" s="332">
        <f>IFERROR(VLOOKUP(TEXT(O275,"0"),CONDUCTORES!$A$3:$H$54,6,0),"")</f>
        <v/>
      </c>
      <c r="R275" s="334" t="n"/>
      <c r="S275" s="334" t="n"/>
      <c r="T275" s="334" t="n"/>
      <c r="U275" s="334" t="n"/>
      <c r="V275" s="334" t="n"/>
      <c r="W275" s="334" t="n"/>
      <c r="X275" s="334" t="n"/>
      <c r="Y275" s="334" t="n"/>
      <c r="Z275" s="375">
        <f>IF(AND(G275&lt;&gt;"",R275&lt;&gt;"",V275&lt;&gt;"",W275&lt;&gt;""),"COMPLETADO","OBSERVADO")</f>
        <v/>
      </c>
    </row>
    <row r="276" ht="15" customHeight="1" s="195">
      <c r="A276" s="280" t="n"/>
      <c r="B276" s="280" t="n"/>
      <c r="C276" s="280" t="n"/>
      <c r="D276" s="280" t="n"/>
      <c r="E276" s="280" t="n"/>
      <c r="F276" s="280" t="n"/>
      <c r="G276" s="280" t="n"/>
      <c r="H276" s="280" t="n"/>
      <c r="I276" s="332">
        <f>IFERROR(VLOOKUP(TEXT(H276,"0"),IPRESS!$A$3:$B$212,2,0),"")</f>
        <v/>
      </c>
      <c r="J276" s="280" t="n"/>
      <c r="K276" s="332">
        <f>IFERROR(VLOOKUP(TEXT(O276,"0"),CONDUCTORES!$A$3:$G$54,7,0),"")</f>
        <v/>
      </c>
      <c r="L276" s="280" t="n"/>
      <c r="M276" s="280" t="n"/>
      <c r="N276" s="333">
        <f>IFERROR(IF(L276*M276=0,"",L276*M276),"")</f>
        <v/>
      </c>
      <c r="O276" s="280" t="n"/>
      <c r="P276" s="332">
        <f>IFERROR(VLOOKUP(TEXT(O276,"0"),CONDUCTORES!$A$3:$G$54,2,0),"")</f>
        <v/>
      </c>
      <c r="Q276" s="332">
        <f>IFERROR(VLOOKUP(TEXT(O276,"0"),CONDUCTORES!$A$3:$H$54,6,0),"")</f>
        <v/>
      </c>
      <c r="R276" s="280" t="n"/>
      <c r="S276" s="280" t="n"/>
      <c r="T276" s="280" t="n"/>
      <c r="U276" s="280" t="n"/>
      <c r="V276" s="280" t="n"/>
      <c r="W276" s="280" t="n"/>
      <c r="X276" s="280" t="n"/>
      <c r="Y276" s="280" t="n"/>
      <c r="Z276" s="375">
        <f>IF(AND(G276&lt;&gt;"",R276&lt;&gt;"",V276&lt;&gt;"",W276&lt;&gt;""),"COMPLETADO","OBSERVADO")</f>
        <v/>
      </c>
    </row>
    <row r="277" ht="15" customHeight="1" s="195">
      <c r="A277" s="334" t="n"/>
      <c r="B277" s="334" t="n"/>
      <c r="C277" s="334" t="n"/>
      <c r="D277" s="334" t="n"/>
      <c r="E277" s="334" t="n"/>
      <c r="F277" s="334" t="n"/>
      <c r="G277" s="334" t="n"/>
      <c r="H277" s="334" t="n"/>
      <c r="I277" s="332">
        <f>IFERROR(VLOOKUP(TEXT(H277,"0"),IPRESS!$A$3:$B$212,2,0),"")</f>
        <v/>
      </c>
      <c r="J277" s="334" t="n"/>
      <c r="K277" s="332">
        <f>IFERROR(VLOOKUP(TEXT(O277,"0"),CONDUCTORES!$A$3:$G$54,7,0),"")</f>
        <v/>
      </c>
      <c r="L277" s="334" t="n"/>
      <c r="M277" s="334" t="n"/>
      <c r="N277" s="333">
        <f>IFERROR(IF(L277*M277=0,"",L277*M277),"")</f>
        <v/>
      </c>
      <c r="O277" s="334" t="n"/>
      <c r="P277" s="332">
        <f>IFERROR(VLOOKUP(TEXT(O277,"0"),CONDUCTORES!$A$3:$G$54,2,0),"")</f>
        <v/>
      </c>
      <c r="Q277" s="332">
        <f>IFERROR(VLOOKUP(TEXT(O277,"0"),CONDUCTORES!$A$3:$H$54,6,0),"")</f>
        <v/>
      </c>
      <c r="R277" s="334" t="n"/>
      <c r="S277" s="334" t="n"/>
      <c r="T277" s="334" t="n"/>
      <c r="U277" s="334" t="n"/>
      <c r="V277" s="334" t="n"/>
      <c r="W277" s="334" t="n"/>
      <c r="X277" s="334" t="n"/>
      <c r="Y277" s="334" t="n"/>
      <c r="Z277" s="375">
        <f>IF(AND(G277&lt;&gt;"",R277&lt;&gt;"",V277&lt;&gt;"",W277&lt;&gt;""),"COMPLETADO","OBSERVADO")</f>
        <v/>
      </c>
    </row>
    <row r="278" ht="15" customHeight="1" s="195">
      <c r="A278" s="280" t="n"/>
      <c r="B278" s="280" t="n"/>
      <c r="C278" s="280" t="n"/>
      <c r="D278" s="280" t="n"/>
      <c r="E278" s="280" t="n"/>
      <c r="F278" s="280" t="n"/>
      <c r="G278" s="280" t="n"/>
      <c r="H278" s="280" t="n"/>
      <c r="I278" s="332">
        <f>IFERROR(VLOOKUP(TEXT(H278,"0"),IPRESS!$A$3:$B$212,2,0),"")</f>
        <v/>
      </c>
      <c r="J278" s="280" t="n"/>
      <c r="K278" s="332">
        <f>IFERROR(VLOOKUP(TEXT(O278,"0"),CONDUCTORES!$A$3:$G$54,7,0),"")</f>
        <v/>
      </c>
      <c r="L278" s="280" t="n"/>
      <c r="M278" s="280" t="n"/>
      <c r="N278" s="333">
        <f>IFERROR(IF(L278*M278=0,"",L278*M278),"")</f>
        <v/>
      </c>
      <c r="O278" s="280" t="n"/>
      <c r="P278" s="332">
        <f>IFERROR(VLOOKUP(TEXT(O278,"0"),CONDUCTORES!$A$3:$G$54,2,0),"")</f>
        <v/>
      </c>
      <c r="Q278" s="332">
        <f>IFERROR(VLOOKUP(TEXT(O278,"0"),CONDUCTORES!$A$3:$H$54,6,0),"")</f>
        <v/>
      </c>
      <c r="R278" s="280" t="n"/>
      <c r="S278" s="280" t="n"/>
      <c r="T278" s="280" t="n"/>
      <c r="U278" s="280" t="n"/>
      <c r="V278" s="280" t="n"/>
      <c r="W278" s="280" t="n"/>
      <c r="X278" s="280" t="n"/>
      <c r="Y278" s="280" t="n"/>
      <c r="Z278" s="375">
        <f>IF(AND(G278&lt;&gt;"",R278&lt;&gt;"",V278&lt;&gt;"",W278&lt;&gt;""),"COMPLETADO","OBSERVADO")</f>
        <v/>
      </c>
    </row>
    <row r="279" ht="15" customHeight="1" s="195">
      <c r="A279" s="334" t="n"/>
      <c r="B279" s="334" t="n"/>
      <c r="C279" s="334" t="n"/>
      <c r="D279" s="334" t="n"/>
      <c r="E279" s="334" t="n"/>
      <c r="F279" s="334" t="n"/>
      <c r="G279" s="334" t="n"/>
      <c r="H279" s="334" t="n"/>
      <c r="I279" s="332">
        <f>IFERROR(VLOOKUP(TEXT(H279,"0"),IPRESS!$A$3:$B$212,2,0),"")</f>
        <v/>
      </c>
      <c r="J279" s="334" t="n"/>
      <c r="K279" s="332">
        <f>IFERROR(VLOOKUP(TEXT(O279,"0"),CONDUCTORES!$A$3:$G$54,7,0),"")</f>
        <v/>
      </c>
      <c r="L279" s="334" t="n"/>
      <c r="M279" s="334" t="n"/>
      <c r="N279" s="333">
        <f>IFERROR(IF(L279*M279=0,"",L279*M279),"")</f>
        <v/>
      </c>
      <c r="O279" s="334" t="n"/>
      <c r="P279" s="332">
        <f>IFERROR(VLOOKUP(TEXT(O279,"0"),CONDUCTORES!$A$3:$G$54,2,0),"")</f>
        <v/>
      </c>
      <c r="Q279" s="332">
        <f>IFERROR(VLOOKUP(TEXT(O279,"0"),CONDUCTORES!$A$3:$H$54,6,0),"")</f>
        <v/>
      </c>
      <c r="R279" s="334" t="n"/>
      <c r="S279" s="334" t="n"/>
      <c r="T279" s="334" t="n"/>
      <c r="U279" s="334" t="n"/>
      <c r="V279" s="334" t="n"/>
      <c r="W279" s="334" t="n"/>
      <c r="X279" s="334" t="n"/>
      <c r="Y279" s="334" t="n"/>
      <c r="Z279" s="375">
        <f>IF(AND(G279&lt;&gt;"",R279&lt;&gt;"",V279&lt;&gt;"",W279&lt;&gt;""),"COMPLETADO","OBSERVADO")</f>
        <v/>
      </c>
    </row>
    <row r="280" ht="15" customHeight="1" s="195">
      <c r="A280" s="280" t="n"/>
      <c r="B280" s="280" t="n"/>
      <c r="C280" s="280" t="n"/>
      <c r="D280" s="280" t="n"/>
      <c r="E280" s="280" t="n"/>
      <c r="F280" s="280" t="n"/>
      <c r="G280" s="280" t="n"/>
      <c r="H280" s="280" t="n"/>
      <c r="I280" s="332">
        <f>IFERROR(VLOOKUP(TEXT(H280,"0"),IPRESS!$A$3:$B$212,2,0),"")</f>
        <v/>
      </c>
      <c r="J280" s="280" t="n"/>
      <c r="K280" s="332">
        <f>IFERROR(VLOOKUP(TEXT(O280,"0"),CONDUCTORES!$A$3:$G$54,7,0),"")</f>
        <v/>
      </c>
      <c r="L280" s="280" t="n"/>
      <c r="M280" s="280" t="n"/>
      <c r="N280" s="333">
        <f>IFERROR(IF(L280*M280=0,"",L280*M280),"")</f>
        <v/>
      </c>
      <c r="O280" s="280" t="n"/>
      <c r="P280" s="332">
        <f>IFERROR(VLOOKUP(TEXT(O280,"0"),CONDUCTORES!$A$3:$G$54,2,0),"")</f>
        <v/>
      </c>
      <c r="Q280" s="332">
        <f>IFERROR(VLOOKUP(TEXT(O280,"0"),CONDUCTORES!$A$3:$H$54,6,0),"")</f>
        <v/>
      </c>
      <c r="R280" s="280" t="n"/>
      <c r="S280" s="280" t="n"/>
      <c r="T280" s="280" t="n"/>
      <c r="U280" s="280" t="n"/>
      <c r="V280" s="280" t="n"/>
      <c r="W280" s="280" t="n"/>
      <c r="X280" s="280" t="n"/>
      <c r="Y280" s="280" t="n"/>
      <c r="Z280" s="375">
        <f>IF(AND(G280&lt;&gt;"",R280&lt;&gt;"",V280&lt;&gt;"",W280&lt;&gt;""),"COMPLETADO","OBSERVADO")</f>
        <v/>
      </c>
    </row>
    <row r="281" ht="15" customHeight="1" s="195">
      <c r="A281" s="334" t="n"/>
      <c r="B281" s="334" t="n"/>
      <c r="C281" s="334" t="n"/>
      <c r="D281" s="334" t="n"/>
      <c r="E281" s="334" t="n"/>
      <c r="F281" s="334" t="n"/>
      <c r="G281" s="334" t="n"/>
      <c r="H281" s="334" t="n"/>
      <c r="I281" s="332">
        <f>IFERROR(VLOOKUP(TEXT(H281,"0"),IPRESS!$A$3:$B$212,2,0),"")</f>
        <v/>
      </c>
      <c r="J281" s="334" t="n"/>
      <c r="K281" s="332">
        <f>IFERROR(VLOOKUP(TEXT(O281,"0"),CONDUCTORES!$A$3:$G$54,7,0),"")</f>
        <v/>
      </c>
      <c r="L281" s="334" t="n"/>
      <c r="M281" s="334" t="n"/>
      <c r="N281" s="333">
        <f>IFERROR(IF(L281*M281=0,"",L281*M281),"")</f>
        <v/>
      </c>
      <c r="O281" s="334" t="n"/>
      <c r="P281" s="332">
        <f>IFERROR(VLOOKUP(TEXT(O281,"0"),CONDUCTORES!$A$3:$G$54,2,0),"")</f>
        <v/>
      </c>
      <c r="Q281" s="332">
        <f>IFERROR(VLOOKUP(TEXT(O281,"0"),CONDUCTORES!$A$3:$H$54,6,0),"")</f>
        <v/>
      </c>
      <c r="R281" s="334" t="n"/>
      <c r="S281" s="334" t="n"/>
      <c r="T281" s="334" t="n"/>
      <c r="U281" s="334" t="n"/>
      <c r="V281" s="334" t="n"/>
      <c r="W281" s="334" t="n"/>
      <c r="X281" s="334" t="n"/>
      <c r="Y281" s="334" t="n"/>
      <c r="Z281" s="375">
        <f>IF(AND(G281&lt;&gt;"",R281&lt;&gt;"",V281&lt;&gt;"",W281&lt;&gt;""),"COMPLETADO","OBSERVADO")</f>
        <v/>
      </c>
    </row>
    <row r="282" ht="15" customHeight="1" s="195">
      <c r="A282" s="280" t="n"/>
      <c r="B282" s="280" t="n"/>
      <c r="C282" s="280" t="n"/>
      <c r="D282" s="280" t="n"/>
      <c r="E282" s="280" t="n"/>
      <c r="F282" s="280" t="n"/>
      <c r="G282" s="280" t="n"/>
      <c r="H282" s="280" t="n"/>
      <c r="I282" s="332">
        <f>IFERROR(VLOOKUP(TEXT(H282,"0"),IPRESS!$A$3:$B$212,2,0),"")</f>
        <v/>
      </c>
      <c r="J282" s="280" t="n"/>
      <c r="K282" s="332">
        <f>IFERROR(VLOOKUP(TEXT(O282,"0"),CONDUCTORES!$A$3:$G$54,7,0),"")</f>
        <v/>
      </c>
      <c r="L282" s="280" t="n"/>
      <c r="M282" s="280" t="n"/>
      <c r="N282" s="333">
        <f>IFERROR(IF(L282*M282=0,"",L282*M282),"")</f>
        <v/>
      </c>
      <c r="O282" s="280" t="n"/>
      <c r="P282" s="332">
        <f>IFERROR(VLOOKUP(TEXT(O282,"0"),CONDUCTORES!$A$3:$G$54,2,0),"")</f>
        <v/>
      </c>
      <c r="Q282" s="332">
        <f>IFERROR(VLOOKUP(TEXT(O282,"0"),CONDUCTORES!$A$3:$H$54,6,0),"")</f>
        <v/>
      </c>
      <c r="R282" s="280" t="n"/>
      <c r="S282" s="280" t="n"/>
      <c r="T282" s="280" t="n"/>
      <c r="U282" s="280" t="n"/>
      <c r="V282" s="280" t="n"/>
      <c r="W282" s="280" t="n"/>
      <c r="X282" s="280" t="n"/>
      <c r="Y282" s="280" t="n"/>
      <c r="Z282" s="375">
        <f>IF(AND(G282&lt;&gt;"",R282&lt;&gt;"",V282&lt;&gt;"",W282&lt;&gt;""),"COMPLETADO","OBSERVADO")</f>
        <v/>
      </c>
    </row>
    <row r="283" ht="15" customHeight="1" s="195">
      <c r="A283" s="334" t="n"/>
      <c r="B283" s="334" t="n"/>
      <c r="C283" s="334" t="n"/>
      <c r="D283" s="334" t="n"/>
      <c r="E283" s="334" t="n"/>
      <c r="F283" s="334" t="n"/>
      <c r="G283" s="334" t="n"/>
      <c r="H283" s="334" t="n"/>
      <c r="I283" s="332">
        <f>IFERROR(VLOOKUP(TEXT(H283,"0"),IPRESS!$A$3:$B$212,2,0),"")</f>
        <v/>
      </c>
      <c r="J283" s="334" t="n"/>
      <c r="K283" s="332">
        <f>IFERROR(VLOOKUP(TEXT(O283,"0"),CONDUCTORES!$A$3:$G$54,7,0),"")</f>
        <v/>
      </c>
      <c r="L283" s="334" t="n"/>
      <c r="M283" s="334" t="n"/>
      <c r="N283" s="333">
        <f>IFERROR(IF(L283*M283=0,"",L283*M283),"")</f>
        <v/>
      </c>
      <c r="O283" s="334" t="n"/>
      <c r="P283" s="332">
        <f>IFERROR(VLOOKUP(TEXT(O283,"0"),CONDUCTORES!$A$3:$G$54,2,0),"")</f>
        <v/>
      </c>
      <c r="Q283" s="332">
        <f>IFERROR(VLOOKUP(TEXT(O283,"0"),CONDUCTORES!$A$3:$H$54,6,0),"")</f>
        <v/>
      </c>
      <c r="R283" s="334" t="n"/>
      <c r="S283" s="334" t="n"/>
      <c r="T283" s="334" t="n"/>
      <c r="U283" s="334" t="n"/>
      <c r="V283" s="334" t="n"/>
      <c r="W283" s="334" t="n"/>
      <c r="X283" s="334" t="n"/>
      <c r="Y283" s="334" t="n"/>
      <c r="Z283" s="375">
        <f>IF(AND(G283&lt;&gt;"",R283&lt;&gt;"",V283&lt;&gt;"",W283&lt;&gt;""),"COMPLETADO","OBSERVADO")</f>
        <v/>
      </c>
    </row>
    <row r="284" ht="15" customHeight="1" s="195">
      <c r="A284" s="280" t="n"/>
      <c r="B284" s="280" t="n"/>
      <c r="C284" s="280" t="n"/>
      <c r="D284" s="280" t="n"/>
      <c r="E284" s="280" t="n"/>
      <c r="F284" s="280" t="n"/>
      <c r="G284" s="280" t="n"/>
      <c r="H284" s="280" t="n"/>
      <c r="I284" s="332">
        <f>IFERROR(VLOOKUP(TEXT(H284,"0"),IPRESS!$A$3:$B$212,2,0),"")</f>
        <v/>
      </c>
      <c r="J284" s="280" t="n"/>
      <c r="K284" s="332">
        <f>IFERROR(VLOOKUP(TEXT(O284,"0"),CONDUCTORES!$A$3:$G$54,7,0),"")</f>
        <v/>
      </c>
      <c r="L284" s="280" t="n"/>
      <c r="M284" s="280" t="n"/>
      <c r="N284" s="333">
        <f>IFERROR(IF(L284*M284=0,"",L284*M284),"")</f>
        <v/>
      </c>
      <c r="O284" s="280" t="n"/>
      <c r="P284" s="332">
        <f>IFERROR(VLOOKUP(TEXT(O284,"0"),CONDUCTORES!$A$3:$G$54,2,0),"")</f>
        <v/>
      </c>
      <c r="Q284" s="332">
        <f>IFERROR(VLOOKUP(TEXT(O284,"0"),CONDUCTORES!$A$3:$H$54,6,0),"")</f>
        <v/>
      </c>
      <c r="R284" s="280" t="n"/>
      <c r="S284" s="280" t="n"/>
      <c r="T284" s="280" t="n"/>
      <c r="U284" s="280" t="n"/>
      <c r="V284" s="280" t="n"/>
      <c r="W284" s="280" t="n"/>
      <c r="X284" s="280" t="n"/>
      <c r="Y284" s="280" t="n"/>
      <c r="Z284" s="375">
        <f>IF(AND(G284&lt;&gt;"",R284&lt;&gt;"",V284&lt;&gt;"",W284&lt;&gt;""),"COMPLETADO","OBSERVADO")</f>
        <v/>
      </c>
    </row>
    <row r="285" ht="15" customHeight="1" s="195">
      <c r="A285" s="334" t="n"/>
      <c r="B285" s="334" t="n"/>
      <c r="C285" s="334" t="n"/>
      <c r="D285" s="334" t="n"/>
      <c r="E285" s="334" t="n"/>
      <c r="F285" s="334" t="n"/>
      <c r="G285" s="334" t="n"/>
      <c r="H285" s="334" t="n"/>
      <c r="I285" s="332">
        <f>IFERROR(VLOOKUP(TEXT(H285,"0"),IPRESS!$A$3:$B$212,2,0),"")</f>
        <v/>
      </c>
      <c r="J285" s="334" t="n"/>
      <c r="K285" s="332">
        <f>IFERROR(VLOOKUP(TEXT(O285,"0"),CONDUCTORES!$A$3:$G$54,7,0),"")</f>
        <v/>
      </c>
      <c r="L285" s="334" t="n"/>
      <c r="M285" s="334" t="n"/>
      <c r="N285" s="333">
        <f>IFERROR(IF(L285*M285=0,"",L285*M285),"")</f>
        <v/>
      </c>
      <c r="O285" s="334" t="n"/>
      <c r="P285" s="332">
        <f>IFERROR(VLOOKUP(TEXT(O285,"0"),CONDUCTORES!$A$3:$G$54,2,0),"")</f>
        <v/>
      </c>
      <c r="Q285" s="332">
        <f>IFERROR(VLOOKUP(TEXT(O285,"0"),CONDUCTORES!$A$3:$H$54,6,0),"")</f>
        <v/>
      </c>
      <c r="R285" s="334" t="n"/>
      <c r="S285" s="334" t="n"/>
      <c r="T285" s="334" t="n"/>
      <c r="U285" s="334" t="n"/>
      <c r="V285" s="334" t="n"/>
      <c r="W285" s="334" t="n"/>
      <c r="X285" s="334" t="n"/>
      <c r="Y285" s="334" t="n"/>
      <c r="Z285" s="375">
        <f>IF(AND(G285&lt;&gt;"",R285&lt;&gt;"",V285&lt;&gt;"",W285&lt;&gt;""),"COMPLETADO","OBSERVADO")</f>
        <v/>
      </c>
    </row>
    <row r="286" ht="15" customHeight="1" s="195">
      <c r="A286" s="280" t="n"/>
      <c r="B286" s="280" t="n"/>
      <c r="C286" s="280" t="n"/>
      <c r="D286" s="280" t="n"/>
      <c r="E286" s="280" t="n"/>
      <c r="F286" s="280" t="n"/>
      <c r="G286" s="280" t="n"/>
      <c r="H286" s="280" t="n"/>
      <c r="I286" s="332">
        <f>IFERROR(VLOOKUP(TEXT(H286,"0"),IPRESS!$A$3:$B$212,2,0),"")</f>
        <v/>
      </c>
      <c r="J286" s="280" t="n"/>
      <c r="K286" s="332">
        <f>IFERROR(VLOOKUP(TEXT(O286,"0"),CONDUCTORES!$A$3:$G$54,7,0),"")</f>
        <v/>
      </c>
      <c r="L286" s="280" t="n"/>
      <c r="M286" s="280" t="n"/>
      <c r="N286" s="333">
        <f>IFERROR(IF(L286*M286=0,"",L286*M286),"")</f>
        <v/>
      </c>
      <c r="O286" s="280" t="n"/>
      <c r="P286" s="332">
        <f>IFERROR(VLOOKUP(TEXT(O286,"0"),CONDUCTORES!$A$3:$G$54,2,0),"")</f>
        <v/>
      </c>
      <c r="Q286" s="332">
        <f>IFERROR(VLOOKUP(TEXT(O286,"0"),CONDUCTORES!$A$3:$H$54,6,0),"")</f>
        <v/>
      </c>
      <c r="R286" s="280" t="n"/>
      <c r="S286" s="280" t="n"/>
      <c r="T286" s="280" t="n"/>
      <c r="U286" s="280" t="n"/>
      <c r="V286" s="280" t="n"/>
      <c r="W286" s="280" t="n"/>
      <c r="X286" s="280" t="n"/>
      <c r="Y286" s="280" t="n"/>
      <c r="Z286" s="375">
        <f>IF(AND(G286&lt;&gt;"",R286&lt;&gt;"",V286&lt;&gt;"",W286&lt;&gt;""),"COMPLETADO","OBSERVADO")</f>
        <v/>
      </c>
    </row>
    <row r="287" ht="15" customHeight="1" s="195">
      <c r="A287" s="334" t="n"/>
      <c r="B287" s="334" t="n"/>
      <c r="C287" s="334" t="n"/>
      <c r="D287" s="334" t="n"/>
      <c r="E287" s="334" t="n"/>
      <c r="F287" s="334" t="n"/>
      <c r="G287" s="334" t="n"/>
      <c r="H287" s="334" t="n"/>
      <c r="I287" s="332">
        <f>IFERROR(VLOOKUP(TEXT(H287,"0"),IPRESS!$A$3:$B$212,2,0),"")</f>
        <v/>
      </c>
      <c r="J287" s="334" t="n"/>
      <c r="K287" s="332">
        <f>IFERROR(VLOOKUP(TEXT(O287,"0"),CONDUCTORES!$A$3:$G$54,7,0),"")</f>
        <v/>
      </c>
      <c r="L287" s="334" t="n"/>
      <c r="M287" s="334" t="n"/>
      <c r="N287" s="333">
        <f>IFERROR(IF(L287*M287=0,"",L287*M287),"")</f>
        <v/>
      </c>
      <c r="O287" s="334" t="n"/>
      <c r="P287" s="332">
        <f>IFERROR(VLOOKUP(TEXT(O287,"0"),CONDUCTORES!$A$3:$G$54,2,0),"")</f>
        <v/>
      </c>
      <c r="Q287" s="332">
        <f>IFERROR(VLOOKUP(TEXT(O287,"0"),CONDUCTORES!$A$3:$H$54,6,0),"")</f>
        <v/>
      </c>
      <c r="R287" s="334" t="n"/>
      <c r="S287" s="334" t="n"/>
      <c r="T287" s="334" t="n"/>
      <c r="U287" s="334" t="n"/>
      <c r="V287" s="334" t="n"/>
      <c r="W287" s="334" t="n"/>
      <c r="X287" s="334" t="n"/>
      <c r="Y287" s="334" t="n"/>
      <c r="Z287" s="375">
        <f>IF(AND(G287&lt;&gt;"",R287&lt;&gt;"",V287&lt;&gt;"",W287&lt;&gt;""),"COMPLETADO","OBSERVADO")</f>
        <v/>
      </c>
    </row>
    <row r="288" ht="15" customHeight="1" s="195">
      <c r="A288" s="280" t="n"/>
      <c r="B288" s="280" t="n"/>
      <c r="C288" s="280" t="n"/>
      <c r="D288" s="280" t="n"/>
      <c r="E288" s="280" t="n"/>
      <c r="F288" s="280" t="n"/>
      <c r="G288" s="280" t="n"/>
      <c r="H288" s="280" t="n"/>
      <c r="I288" s="332">
        <f>IFERROR(VLOOKUP(TEXT(H288,"0"),IPRESS!$A$3:$B$212,2,0),"")</f>
        <v/>
      </c>
      <c r="J288" s="280" t="n"/>
      <c r="K288" s="332">
        <f>IFERROR(VLOOKUP(TEXT(O288,"0"),CONDUCTORES!$A$3:$G$54,7,0),"")</f>
        <v/>
      </c>
      <c r="L288" s="280" t="n"/>
      <c r="M288" s="280" t="n"/>
      <c r="N288" s="333">
        <f>IFERROR(IF(L288*M288=0,"",L288*M288),"")</f>
        <v/>
      </c>
      <c r="O288" s="280" t="n"/>
      <c r="P288" s="332">
        <f>IFERROR(VLOOKUP(TEXT(O288,"0"),CONDUCTORES!$A$3:$G$54,2,0),"")</f>
        <v/>
      </c>
      <c r="Q288" s="332">
        <f>IFERROR(VLOOKUP(TEXT(O288,"0"),CONDUCTORES!$A$3:$H$54,6,0),"")</f>
        <v/>
      </c>
      <c r="R288" s="280" t="n"/>
      <c r="S288" s="280" t="n"/>
      <c r="T288" s="280" t="n"/>
      <c r="U288" s="280" t="n"/>
      <c r="V288" s="280" t="n"/>
      <c r="W288" s="280" t="n"/>
      <c r="X288" s="280" t="n"/>
      <c r="Y288" s="280" t="n"/>
      <c r="Z288" s="375">
        <f>IF(AND(G288&lt;&gt;"",R288&lt;&gt;"",V288&lt;&gt;"",W288&lt;&gt;""),"COMPLETADO","OBSERVADO")</f>
        <v/>
      </c>
    </row>
    <row r="289" ht="15" customHeight="1" s="195">
      <c r="A289" s="334" t="n"/>
      <c r="B289" s="334" t="n"/>
      <c r="C289" s="334" t="n"/>
      <c r="D289" s="334" t="n"/>
      <c r="E289" s="334" t="n"/>
      <c r="F289" s="334" t="n"/>
      <c r="G289" s="334" t="n"/>
      <c r="H289" s="334" t="n"/>
      <c r="I289" s="332">
        <f>IFERROR(VLOOKUP(TEXT(H289,"0"),IPRESS!$A$3:$B$212,2,0),"")</f>
        <v/>
      </c>
      <c r="J289" s="334" t="n"/>
      <c r="K289" s="332">
        <f>IFERROR(VLOOKUP(TEXT(O289,"0"),CONDUCTORES!$A$3:$G$54,7,0),"")</f>
        <v/>
      </c>
      <c r="L289" s="334" t="n"/>
      <c r="M289" s="334" t="n"/>
      <c r="N289" s="333">
        <f>IFERROR(IF(L289*M289=0,"",L289*M289),"")</f>
        <v/>
      </c>
      <c r="O289" s="334" t="n"/>
      <c r="P289" s="332">
        <f>IFERROR(VLOOKUP(TEXT(O289,"0"),CONDUCTORES!$A$3:$G$54,2,0),"")</f>
        <v/>
      </c>
      <c r="Q289" s="332">
        <f>IFERROR(VLOOKUP(TEXT(O289,"0"),CONDUCTORES!$A$3:$H$54,6,0),"")</f>
        <v/>
      </c>
      <c r="R289" s="334" t="n"/>
      <c r="S289" s="334" t="n"/>
      <c r="T289" s="334" t="n"/>
      <c r="U289" s="334" t="n"/>
      <c r="V289" s="334" t="n"/>
      <c r="W289" s="334" t="n"/>
      <c r="X289" s="334" t="n"/>
      <c r="Y289" s="334" t="n"/>
      <c r="Z289" s="375">
        <f>IF(AND(G289&lt;&gt;"",R289&lt;&gt;"",V289&lt;&gt;"",W289&lt;&gt;""),"COMPLETADO","OBSERVADO")</f>
        <v/>
      </c>
    </row>
    <row r="290" ht="15" customHeight="1" s="195">
      <c r="A290" s="280" t="n"/>
      <c r="B290" s="280" t="n"/>
      <c r="C290" s="280" t="n"/>
      <c r="D290" s="280" t="n"/>
      <c r="E290" s="280" t="n"/>
      <c r="F290" s="280" t="n"/>
      <c r="G290" s="280" t="n"/>
      <c r="H290" s="280" t="n"/>
      <c r="I290" s="332">
        <f>IFERROR(VLOOKUP(TEXT(H290,"0"),IPRESS!$A$3:$B$212,2,0),"")</f>
        <v/>
      </c>
      <c r="J290" s="280" t="n"/>
      <c r="K290" s="332">
        <f>IFERROR(VLOOKUP(TEXT(O290,"0"),CONDUCTORES!$A$3:$G$54,7,0),"")</f>
        <v/>
      </c>
      <c r="L290" s="280" t="n"/>
      <c r="M290" s="280" t="n"/>
      <c r="N290" s="333">
        <f>IFERROR(IF(L290*M290=0,"",L290*M290),"")</f>
        <v/>
      </c>
      <c r="O290" s="280" t="n"/>
      <c r="P290" s="332">
        <f>IFERROR(VLOOKUP(TEXT(O290,"0"),CONDUCTORES!$A$3:$G$54,2,0),"")</f>
        <v/>
      </c>
      <c r="Q290" s="332">
        <f>IFERROR(VLOOKUP(TEXT(O290,"0"),CONDUCTORES!$A$3:$H$54,6,0),"")</f>
        <v/>
      </c>
      <c r="R290" s="280" t="n"/>
      <c r="S290" s="280" t="n"/>
      <c r="T290" s="280" t="n"/>
      <c r="U290" s="280" t="n"/>
      <c r="V290" s="280" t="n"/>
      <c r="W290" s="280" t="n"/>
      <c r="X290" s="280" t="n"/>
      <c r="Y290" s="280" t="n"/>
      <c r="Z290" s="375">
        <f>IF(AND(G290&lt;&gt;"",R290&lt;&gt;"",V290&lt;&gt;"",W290&lt;&gt;""),"COMPLETADO","OBSERVADO")</f>
        <v/>
      </c>
    </row>
    <row r="291" ht="15" customHeight="1" s="195">
      <c r="A291" s="334" t="n"/>
      <c r="B291" s="334" t="n"/>
      <c r="C291" s="334" t="n"/>
      <c r="D291" s="334" t="n"/>
      <c r="E291" s="334" t="n"/>
      <c r="F291" s="334" t="n"/>
      <c r="G291" s="334" t="n"/>
      <c r="H291" s="334" t="n"/>
      <c r="I291" s="332">
        <f>IFERROR(VLOOKUP(TEXT(H291,"0"),IPRESS!$A$3:$B$212,2,0),"")</f>
        <v/>
      </c>
      <c r="J291" s="334" t="n"/>
      <c r="K291" s="332">
        <f>IFERROR(VLOOKUP(TEXT(O291,"0"),CONDUCTORES!$A$3:$G$54,7,0),"")</f>
        <v/>
      </c>
      <c r="L291" s="334" t="n"/>
      <c r="M291" s="334" t="n"/>
      <c r="N291" s="333">
        <f>IFERROR(IF(L291*M291=0,"",L291*M291),"")</f>
        <v/>
      </c>
      <c r="O291" s="334" t="n"/>
      <c r="P291" s="332">
        <f>IFERROR(VLOOKUP(TEXT(O291,"0"),CONDUCTORES!$A$3:$G$54,2,0),"")</f>
        <v/>
      </c>
      <c r="Q291" s="332">
        <f>IFERROR(VLOOKUP(TEXT(O291,"0"),CONDUCTORES!$A$3:$H$54,6,0),"")</f>
        <v/>
      </c>
      <c r="R291" s="334" t="n"/>
      <c r="S291" s="334" t="n"/>
      <c r="T291" s="334" t="n"/>
      <c r="U291" s="334" t="n"/>
      <c r="V291" s="334" t="n"/>
      <c r="W291" s="334" t="n"/>
      <c r="X291" s="334" t="n"/>
      <c r="Y291" s="334" t="n"/>
      <c r="Z291" s="375">
        <f>IF(AND(G291&lt;&gt;"",R291&lt;&gt;"",V291&lt;&gt;"",W291&lt;&gt;""),"COMPLETADO","OBSERVADO")</f>
        <v/>
      </c>
    </row>
    <row r="292" ht="15" customHeight="1" s="195">
      <c r="A292" s="280" t="n"/>
      <c r="B292" s="280" t="n"/>
      <c r="C292" s="280" t="n"/>
      <c r="D292" s="280" t="n"/>
      <c r="E292" s="280" t="n"/>
      <c r="F292" s="280" t="n"/>
      <c r="G292" s="280" t="n"/>
      <c r="H292" s="280" t="n"/>
      <c r="I292" s="332">
        <f>IFERROR(VLOOKUP(TEXT(H292,"0"),IPRESS!$A$3:$B$212,2,0),"")</f>
        <v/>
      </c>
      <c r="J292" s="280" t="n"/>
      <c r="K292" s="332">
        <f>IFERROR(VLOOKUP(TEXT(O292,"0"),CONDUCTORES!$A$3:$G$54,7,0),"")</f>
        <v/>
      </c>
      <c r="L292" s="280" t="n"/>
      <c r="M292" s="280" t="n"/>
      <c r="N292" s="333">
        <f>IFERROR(IF(L292*M292=0,"",L292*M292),"")</f>
        <v/>
      </c>
      <c r="O292" s="280" t="n"/>
      <c r="P292" s="332">
        <f>IFERROR(VLOOKUP(TEXT(O292,"0"),CONDUCTORES!$A$3:$G$54,2,0),"")</f>
        <v/>
      </c>
      <c r="Q292" s="332">
        <f>IFERROR(VLOOKUP(TEXT(O292,"0"),CONDUCTORES!$A$3:$H$54,6,0),"")</f>
        <v/>
      </c>
      <c r="R292" s="280" t="n"/>
      <c r="S292" s="280" t="n"/>
      <c r="T292" s="280" t="n"/>
      <c r="U292" s="280" t="n"/>
      <c r="V292" s="280" t="n"/>
      <c r="W292" s="280" t="n"/>
      <c r="X292" s="280" t="n"/>
      <c r="Y292" s="280" t="n"/>
      <c r="Z292" s="375">
        <f>IF(AND(G292&lt;&gt;"",R292&lt;&gt;"",V292&lt;&gt;"",W292&lt;&gt;""),"COMPLETADO","OBSERVADO")</f>
        <v/>
      </c>
    </row>
    <row r="293" ht="15" customHeight="1" s="195">
      <c r="A293" s="334" t="n"/>
      <c r="B293" s="334" t="n"/>
      <c r="C293" s="334" t="n"/>
      <c r="D293" s="334" t="n"/>
      <c r="E293" s="334" t="n"/>
      <c r="F293" s="334" t="n"/>
      <c r="G293" s="334" t="n"/>
      <c r="H293" s="334" t="n"/>
      <c r="I293" s="332">
        <f>IFERROR(VLOOKUP(TEXT(H293,"0"),IPRESS!$A$3:$B$212,2,0),"")</f>
        <v/>
      </c>
      <c r="J293" s="334" t="n"/>
      <c r="K293" s="332">
        <f>IFERROR(VLOOKUP(TEXT(O293,"0"),CONDUCTORES!$A$3:$G$54,7,0),"")</f>
        <v/>
      </c>
      <c r="L293" s="334" t="n"/>
      <c r="M293" s="334" t="n"/>
      <c r="N293" s="333">
        <f>IFERROR(IF(L293*M293=0,"",L293*M293),"")</f>
        <v/>
      </c>
      <c r="O293" s="334" t="n"/>
      <c r="P293" s="332">
        <f>IFERROR(VLOOKUP(TEXT(O293,"0"),CONDUCTORES!$A$3:$G$54,2,0),"")</f>
        <v/>
      </c>
      <c r="Q293" s="332">
        <f>IFERROR(VLOOKUP(TEXT(O293,"0"),CONDUCTORES!$A$3:$H$54,6,0),"")</f>
        <v/>
      </c>
      <c r="R293" s="334" t="n"/>
      <c r="S293" s="334" t="n"/>
      <c r="T293" s="334" t="n"/>
      <c r="U293" s="334" t="n"/>
      <c r="V293" s="334" t="n"/>
      <c r="W293" s="334" t="n"/>
      <c r="X293" s="334" t="n"/>
      <c r="Y293" s="334" t="n"/>
      <c r="Z293" s="375">
        <f>IF(AND(G293&lt;&gt;"",R293&lt;&gt;"",V293&lt;&gt;"",W293&lt;&gt;""),"COMPLETADO","OBSERVADO")</f>
        <v/>
      </c>
    </row>
    <row r="294" ht="15" customHeight="1" s="195">
      <c r="A294" s="280" t="n"/>
      <c r="B294" s="280" t="n"/>
      <c r="C294" s="280" t="n"/>
      <c r="D294" s="280" t="n"/>
      <c r="E294" s="280" t="n"/>
      <c r="F294" s="280" t="n"/>
      <c r="G294" s="280" t="n"/>
      <c r="H294" s="280" t="n"/>
      <c r="I294" s="332">
        <f>IFERROR(VLOOKUP(TEXT(H294,"0"),IPRESS!$A$3:$B$212,2,0),"")</f>
        <v/>
      </c>
      <c r="J294" s="280" t="n"/>
      <c r="K294" s="332">
        <f>IFERROR(VLOOKUP(TEXT(O294,"0"),CONDUCTORES!$A$3:$G$54,7,0),"")</f>
        <v/>
      </c>
      <c r="L294" s="280" t="n"/>
      <c r="M294" s="280" t="n"/>
      <c r="N294" s="333">
        <f>IFERROR(IF(L294*M294=0,"",L294*M294),"")</f>
        <v/>
      </c>
      <c r="O294" s="280" t="n"/>
      <c r="P294" s="332">
        <f>IFERROR(VLOOKUP(TEXT(O294,"0"),CONDUCTORES!$A$3:$G$54,2,0),"")</f>
        <v/>
      </c>
      <c r="Q294" s="332">
        <f>IFERROR(VLOOKUP(TEXT(O294,"0"),CONDUCTORES!$A$3:$H$54,6,0),"")</f>
        <v/>
      </c>
      <c r="R294" s="280" t="n"/>
      <c r="S294" s="280" t="n"/>
      <c r="T294" s="280" t="n"/>
      <c r="U294" s="280" t="n"/>
      <c r="V294" s="280" t="n"/>
      <c r="W294" s="280" t="n"/>
      <c r="X294" s="280" t="n"/>
      <c r="Y294" s="280" t="n"/>
      <c r="Z294" s="375">
        <f>IF(AND(G294&lt;&gt;"",R294&lt;&gt;"",V294&lt;&gt;"",W294&lt;&gt;""),"COMPLETADO","OBSERVADO")</f>
        <v/>
      </c>
    </row>
    <row r="295" ht="15" customHeight="1" s="195">
      <c r="A295" s="334" t="n"/>
      <c r="B295" s="334" t="n"/>
      <c r="C295" s="334" t="n"/>
      <c r="D295" s="334" t="n"/>
      <c r="E295" s="334" t="n"/>
      <c r="F295" s="334" t="n"/>
      <c r="G295" s="334" t="n"/>
      <c r="H295" s="334" t="n"/>
      <c r="I295" s="332">
        <f>IFERROR(VLOOKUP(TEXT(H295,"0"),IPRESS!$A$3:$B$212,2,0),"")</f>
        <v/>
      </c>
      <c r="J295" s="334" t="n"/>
      <c r="K295" s="332">
        <f>IFERROR(VLOOKUP(TEXT(O295,"0"),CONDUCTORES!$A$3:$G$54,7,0),"")</f>
        <v/>
      </c>
      <c r="L295" s="334" t="n"/>
      <c r="M295" s="334" t="n"/>
      <c r="N295" s="333">
        <f>IFERROR(IF(L295*M295=0,"",L295*M295),"")</f>
        <v/>
      </c>
      <c r="O295" s="334" t="n"/>
      <c r="P295" s="332">
        <f>IFERROR(VLOOKUP(TEXT(O295,"0"),CONDUCTORES!$A$3:$G$54,2,0),"")</f>
        <v/>
      </c>
      <c r="Q295" s="332">
        <f>IFERROR(VLOOKUP(TEXT(O295,"0"),CONDUCTORES!$A$3:$H$54,6,0),"")</f>
        <v/>
      </c>
      <c r="R295" s="334" t="n"/>
      <c r="S295" s="334" t="n"/>
      <c r="T295" s="334" t="n"/>
      <c r="U295" s="334" t="n"/>
      <c r="V295" s="334" t="n"/>
      <c r="W295" s="334" t="n"/>
      <c r="X295" s="334" t="n"/>
      <c r="Y295" s="334" t="n"/>
      <c r="Z295" s="375">
        <f>IF(AND(G295&lt;&gt;"",R295&lt;&gt;"",V295&lt;&gt;"",W295&lt;&gt;""),"COMPLETADO","OBSERVADO")</f>
        <v/>
      </c>
    </row>
    <row r="296" ht="15" customHeight="1" s="195">
      <c r="A296" s="280" t="n"/>
      <c r="B296" s="280" t="n"/>
      <c r="C296" s="280" t="n"/>
      <c r="D296" s="280" t="n"/>
      <c r="E296" s="280" t="n"/>
      <c r="F296" s="280" t="n"/>
      <c r="G296" s="280" t="n"/>
      <c r="H296" s="280" t="n"/>
      <c r="I296" s="332">
        <f>IFERROR(VLOOKUP(TEXT(H296,"0"),IPRESS!$A$3:$B$212,2,0),"")</f>
        <v/>
      </c>
      <c r="J296" s="280" t="n"/>
      <c r="K296" s="332">
        <f>IFERROR(VLOOKUP(TEXT(O296,"0"),CONDUCTORES!$A$3:$G$54,7,0),"")</f>
        <v/>
      </c>
      <c r="L296" s="280" t="n"/>
      <c r="M296" s="280" t="n"/>
      <c r="N296" s="333">
        <f>IFERROR(IF(L296*M296=0,"",L296*M296),"")</f>
        <v/>
      </c>
      <c r="O296" s="280" t="n"/>
      <c r="P296" s="332">
        <f>IFERROR(VLOOKUP(TEXT(O296,"0"),CONDUCTORES!$A$3:$G$54,2,0),"")</f>
        <v/>
      </c>
      <c r="Q296" s="332">
        <f>IFERROR(VLOOKUP(TEXT(O296,"0"),CONDUCTORES!$A$3:$H$54,6,0),"")</f>
        <v/>
      </c>
      <c r="R296" s="280" t="n"/>
      <c r="S296" s="280" t="n"/>
      <c r="T296" s="280" t="n"/>
      <c r="U296" s="280" t="n"/>
      <c r="V296" s="280" t="n"/>
      <c r="W296" s="280" t="n"/>
      <c r="X296" s="280" t="n"/>
      <c r="Y296" s="280" t="n"/>
      <c r="Z296" s="375">
        <f>IF(AND(G296&lt;&gt;"",R296&lt;&gt;"",V296&lt;&gt;"",W296&lt;&gt;""),"COMPLETADO","OBSERVADO")</f>
        <v/>
      </c>
    </row>
    <row r="297" ht="15" customHeight="1" s="195">
      <c r="A297" s="334" t="n"/>
      <c r="B297" s="334" t="n"/>
      <c r="C297" s="334" t="n"/>
      <c r="D297" s="334" t="n"/>
      <c r="E297" s="334" t="n"/>
      <c r="F297" s="334" t="n"/>
      <c r="G297" s="334" t="n"/>
      <c r="H297" s="334" t="n"/>
      <c r="I297" s="332">
        <f>IFERROR(VLOOKUP(TEXT(H297,"0"),IPRESS!$A$3:$B$212,2,0),"")</f>
        <v/>
      </c>
      <c r="J297" s="334" t="n"/>
      <c r="K297" s="332">
        <f>IFERROR(VLOOKUP(TEXT(O297,"0"),CONDUCTORES!$A$3:$G$54,7,0),"")</f>
        <v/>
      </c>
      <c r="L297" s="334" t="n"/>
      <c r="M297" s="334" t="n"/>
      <c r="N297" s="333">
        <f>IFERROR(IF(L297*M297=0,"",L297*M297),"")</f>
        <v/>
      </c>
      <c r="O297" s="334" t="n"/>
      <c r="P297" s="332">
        <f>IFERROR(VLOOKUP(TEXT(O297,"0"),CONDUCTORES!$A$3:$G$54,2,0),"")</f>
        <v/>
      </c>
      <c r="Q297" s="332">
        <f>IFERROR(VLOOKUP(TEXT(O297,"0"),CONDUCTORES!$A$3:$H$54,6,0),"")</f>
        <v/>
      </c>
      <c r="R297" s="334" t="n"/>
      <c r="S297" s="334" t="n"/>
      <c r="T297" s="334" t="n"/>
      <c r="U297" s="334" t="n"/>
      <c r="V297" s="334" t="n"/>
      <c r="W297" s="334" t="n"/>
      <c r="X297" s="334" t="n"/>
      <c r="Y297" s="334" t="n"/>
      <c r="Z297" s="375">
        <f>IF(AND(G297&lt;&gt;"",R297&lt;&gt;"",V297&lt;&gt;"",W297&lt;&gt;""),"COMPLETADO","OBSERVADO")</f>
        <v/>
      </c>
    </row>
    <row r="298" ht="15" customHeight="1" s="195">
      <c r="A298" s="280" t="n"/>
      <c r="B298" s="280" t="n"/>
      <c r="C298" s="280" t="n"/>
      <c r="D298" s="280" t="n"/>
      <c r="E298" s="280" t="n"/>
      <c r="F298" s="280" t="n"/>
      <c r="G298" s="280" t="n"/>
      <c r="H298" s="280" t="n"/>
      <c r="I298" s="332">
        <f>IFERROR(VLOOKUP(TEXT(H298,"0"),IPRESS!$A$3:$B$212,2,0),"")</f>
        <v/>
      </c>
      <c r="J298" s="280" t="n"/>
      <c r="K298" s="332">
        <f>IFERROR(VLOOKUP(TEXT(O298,"0"),CONDUCTORES!$A$3:$G$54,7,0),"")</f>
        <v/>
      </c>
      <c r="L298" s="280" t="n"/>
      <c r="M298" s="280" t="n"/>
      <c r="N298" s="333">
        <f>IFERROR(IF(L298*M298=0,"",L298*M298),"")</f>
        <v/>
      </c>
      <c r="O298" s="280" t="n"/>
      <c r="P298" s="332">
        <f>IFERROR(VLOOKUP(TEXT(O298,"0"),CONDUCTORES!$A$3:$G$54,2,0),"")</f>
        <v/>
      </c>
      <c r="Q298" s="332">
        <f>IFERROR(VLOOKUP(TEXT(O298,"0"),CONDUCTORES!$A$3:$H$54,6,0),"")</f>
        <v/>
      </c>
      <c r="R298" s="280" t="n"/>
      <c r="S298" s="280" t="n"/>
      <c r="T298" s="280" t="n"/>
      <c r="U298" s="280" t="n"/>
      <c r="V298" s="280" t="n"/>
      <c r="W298" s="280" t="n"/>
      <c r="X298" s="280" t="n"/>
      <c r="Y298" s="280" t="n"/>
      <c r="Z298" s="375">
        <f>IF(AND(G298&lt;&gt;"",R298&lt;&gt;"",V298&lt;&gt;"",W298&lt;&gt;""),"COMPLETADO","OBSERVADO")</f>
        <v/>
      </c>
    </row>
    <row r="299" ht="15" customHeight="1" s="195">
      <c r="A299" s="334" t="n"/>
      <c r="B299" s="334" t="n"/>
      <c r="C299" s="334" t="n"/>
      <c r="D299" s="334" t="n"/>
      <c r="E299" s="334" t="n"/>
      <c r="F299" s="334" t="n"/>
      <c r="G299" s="334" t="n"/>
      <c r="H299" s="334" t="n"/>
      <c r="I299" s="332">
        <f>IFERROR(VLOOKUP(TEXT(H299,"0"),IPRESS!$A$3:$B$212,2,0),"")</f>
        <v/>
      </c>
      <c r="J299" s="334" t="n"/>
      <c r="K299" s="332">
        <f>IFERROR(VLOOKUP(TEXT(O299,"0"),CONDUCTORES!$A$3:$G$54,7,0),"")</f>
        <v/>
      </c>
      <c r="L299" s="334" t="n"/>
      <c r="M299" s="334" t="n"/>
      <c r="N299" s="333">
        <f>IFERROR(IF(L299*M299=0,"",L299*M299),"")</f>
        <v/>
      </c>
      <c r="O299" s="334" t="n"/>
      <c r="P299" s="332">
        <f>IFERROR(VLOOKUP(TEXT(O299,"0"),CONDUCTORES!$A$3:$G$54,2,0),"")</f>
        <v/>
      </c>
      <c r="Q299" s="332">
        <f>IFERROR(VLOOKUP(TEXT(O299,"0"),CONDUCTORES!$A$3:$H$54,6,0),"")</f>
        <v/>
      </c>
      <c r="R299" s="334" t="n"/>
      <c r="S299" s="334" t="n"/>
      <c r="T299" s="334" t="n"/>
      <c r="U299" s="334" t="n"/>
      <c r="V299" s="334" t="n"/>
      <c r="W299" s="334" t="n"/>
      <c r="X299" s="334" t="n"/>
      <c r="Y299" s="334" t="n"/>
      <c r="Z299" s="375">
        <f>IF(AND(G299&lt;&gt;"",R299&lt;&gt;"",V299&lt;&gt;"",W299&lt;&gt;""),"COMPLETADO","OBSERVADO")</f>
        <v/>
      </c>
    </row>
    <row r="300" ht="15" customHeight="1" s="195">
      <c r="A300" s="280" t="n"/>
      <c r="B300" s="280" t="n"/>
      <c r="C300" s="280" t="n"/>
      <c r="D300" s="280" t="n"/>
      <c r="E300" s="280" t="n"/>
      <c r="F300" s="280" t="n"/>
      <c r="G300" s="280" t="n"/>
      <c r="H300" s="280" t="n"/>
      <c r="I300" s="332">
        <f>IFERROR(VLOOKUP(TEXT(H300,"0"),IPRESS!$A$3:$B$212,2,0),"")</f>
        <v/>
      </c>
      <c r="J300" s="280" t="n"/>
      <c r="K300" s="332">
        <f>IFERROR(VLOOKUP(TEXT(O300,"0"),CONDUCTORES!$A$3:$G$54,7,0),"")</f>
        <v/>
      </c>
      <c r="L300" s="280" t="n"/>
      <c r="M300" s="280" t="n"/>
      <c r="N300" s="333">
        <f>IFERROR(IF(L300*M300=0,"",L300*M300),"")</f>
        <v/>
      </c>
      <c r="O300" s="280" t="n"/>
      <c r="P300" s="332">
        <f>IFERROR(VLOOKUP(TEXT(O300,"0"),CONDUCTORES!$A$3:$G$54,2,0),"")</f>
        <v/>
      </c>
      <c r="Q300" s="332">
        <f>IFERROR(VLOOKUP(TEXT(O300,"0"),CONDUCTORES!$A$3:$H$54,6,0),"")</f>
        <v/>
      </c>
      <c r="R300" s="280" t="n"/>
      <c r="S300" s="280" t="n"/>
      <c r="T300" s="280" t="n"/>
      <c r="U300" s="280" t="n"/>
      <c r="V300" s="280" t="n"/>
      <c r="W300" s="280" t="n"/>
      <c r="X300" s="280" t="n"/>
      <c r="Y300" s="280" t="n"/>
      <c r="Z300" s="375">
        <f>IF(AND(G300&lt;&gt;"",R300&lt;&gt;"",V300&lt;&gt;"",W300&lt;&gt;""),"COMPLETADO","OBSERVADO")</f>
        <v/>
      </c>
    </row>
    <row r="301" ht="15" customHeight="1" s="195">
      <c r="A301" s="334" t="n"/>
      <c r="B301" s="334" t="n"/>
      <c r="C301" s="334" t="n"/>
      <c r="D301" s="334" t="n"/>
      <c r="E301" s="334" t="n"/>
      <c r="F301" s="334" t="n"/>
      <c r="G301" s="334" t="n"/>
      <c r="H301" s="334" t="n"/>
      <c r="I301" s="332">
        <f>IFERROR(VLOOKUP(TEXT(H301,"0"),IPRESS!$A$3:$B$212,2,0),"")</f>
        <v/>
      </c>
      <c r="J301" s="334" t="n"/>
      <c r="K301" s="332">
        <f>IFERROR(VLOOKUP(TEXT(O301,"0"),CONDUCTORES!$A$3:$G$54,7,0),"")</f>
        <v/>
      </c>
      <c r="L301" s="334" t="n"/>
      <c r="M301" s="334" t="n"/>
      <c r="N301" s="333">
        <f>IFERROR(IF(L301*M301=0,"",L301*M301),"")</f>
        <v/>
      </c>
      <c r="O301" s="334" t="n"/>
      <c r="P301" s="332">
        <f>IFERROR(VLOOKUP(TEXT(O301,"0"),CONDUCTORES!$A$3:$G$54,2,0),"")</f>
        <v/>
      </c>
      <c r="Q301" s="332">
        <f>IFERROR(VLOOKUP(TEXT(O301,"0"),CONDUCTORES!$A$3:$H$54,6,0),"")</f>
        <v/>
      </c>
      <c r="R301" s="334" t="n"/>
      <c r="S301" s="334" t="n"/>
      <c r="T301" s="334" t="n"/>
      <c r="U301" s="334" t="n"/>
      <c r="V301" s="334" t="n"/>
      <c r="W301" s="334" t="n"/>
      <c r="X301" s="334" t="n"/>
      <c r="Y301" s="334" t="n"/>
      <c r="Z301" s="375">
        <f>IF(AND(G301&lt;&gt;"",R301&lt;&gt;"",V301&lt;&gt;"",W301&lt;&gt;""),"COMPLETADO","OBSERVADO")</f>
        <v/>
      </c>
    </row>
    <row r="302" ht="15" customHeight="1" s="195">
      <c r="A302" s="280" t="n"/>
      <c r="B302" s="280" t="n"/>
      <c r="C302" s="280" t="n"/>
      <c r="D302" s="280" t="n"/>
      <c r="E302" s="280" t="n"/>
      <c r="F302" s="280" t="n"/>
      <c r="G302" s="280" t="n"/>
      <c r="H302" s="280" t="n"/>
      <c r="I302" s="332">
        <f>IFERROR(VLOOKUP(TEXT(H302,"0"),IPRESS!$A$3:$B$212,2,0),"")</f>
        <v/>
      </c>
      <c r="J302" s="280" t="n"/>
      <c r="K302" s="332">
        <f>IFERROR(VLOOKUP(TEXT(O302,"0"),CONDUCTORES!$A$3:$G$54,7,0),"")</f>
        <v/>
      </c>
      <c r="L302" s="280" t="n"/>
      <c r="M302" s="280" t="n"/>
      <c r="N302" s="333">
        <f>IFERROR(IF(L302*M302=0,"",L302*M302),"")</f>
        <v/>
      </c>
      <c r="O302" s="280" t="n"/>
      <c r="P302" s="332">
        <f>IFERROR(VLOOKUP(TEXT(O302,"0"),CONDUCTORES!$A$3:$G$54,2,0),"")</f>
        <v/>
      </c>
      <c r="Q302" s="332">
        <f>IFERROR(VLOOKUP(TEXT(O302,"0"),CONDUCTORES!$A$3:$H$54,6,0),"")</f>
        <v/>
      </c>
      <c r="R302" s="280" t="n"/>
      <c r="S302" s="280" t="n"/>
      <c r="T302" s="280" t="n"/>
      <c r="U302" s="280" t="n"/>
      <c r="V302" s="280" t="n"/>
      <c r="W302" s="280" t="n"/>
      <c r="X302" s="280" t="n"/>
      <c r="Y302" s="280" t="n"/>
      <c r="Z302" s="375">
        <f>IF(AND(G302&lt;&gt;"",R302&lt;&gt;"",V302&lt;&gt;"",W302&lt;&gt;""),"COMPLETADO","OBSERVADO")</f>
        <v/>
      </c>
    </row>
    <row r="303" ht="15" customHeight="1" s="195">
      <c r="A303" s="334" t="n"/>
      <c r="B303" s="334" t="n"/>
      <c r="C303" s="334" t="n"/>
      <c r="D303" s="334" t="n"/>
      <c r="E303" s="334" t="n"/>
      <c r="F303" s="334" t="n"/>
      <c r="G303" s="334" t="n"/>
      <c r="H303" s="334" t="n"/>
      <c r="I303" s="332">
        <f>IFERROR(VLOOKUP(TEXT(H303,"0"),IPRESS!$A$3:$B$212,2,0),"")</f>
        <v/>
      </c>
      <c r="J303" s="334" t="n"/>
      <c r="K303" s="332">
        <f>IFERROR(VLOOKUP(TEXT(O303,"0"),CONDUCTORES!$A$3:$G$54,7,0),"")</f>
        <v/>
      </c>
      <c r="L303" s="334" t="n"/>
      <c r="M303" s="334" t="n"/>
      <c r="N303" s="333">
        <f>IFERROR(IF(L303*M303=0,"",L303*M303),"")</f>
        <v/>
      </c>
      <c r="O303" s="334" t="n"/>
      <c r="P303" s="332">
        <f>IFERROR(VLOOKUP(TEXT(O303,"0"),CONDUCTORES!$A$3:$G$54,2,0),"")</f>
        <v/>
      </c>
      <c r="Q303" s="332">
        <f>IFERROR(VLOOKUP(TEXT(O303,"0"),CONDUCTORES!$A$3:$H$54,6,0),"")</f>
        <v/>
      </c>
      <c r="R303" s="334" t="n"/>
      <c r="S303" s="334" t="n"/>
      <c r="T303" s="334" t="n"/>
      <c r="U303" s="334" t="n"/>
      <c r="V303" s="334" t="n"/>
      <c r="W303" s="334" t="n"/>
      <c r="X303" s="334" t="n"/>
      <c r="Y303" s="334" t="n"/>
      <c r="Z303" s="375">
        <f>IF(AND(G303&lt;&gt;"",R303&lt;&gt;"",V303&lt;&gt;"",W303&lt;&gt;""),"COMPLETADO","OBSERVADO")</f>
        <v/>
      </c>
    </row>
    <row r="304" ht="15" customHeight="1" s="195">
      <c r="A304" s="280" t="n"/>
      <c r="B304" s="280" t="n"/>
      <c r="C304" s="280" t="n"/>
      <c r="D304" s="280" t="n"/>
      <c r="E304" s="280" t="n"/>
      <c r="F304" s="280" t="n"/>
      <c r="G304" s="280" t="n"/>
      <c r="H304" s="280" t="n"/>
      <c r="I304" s="332">
        <f>IFERROR(VLOOKUP(TEXT(H304,"0"),IPRESS!$A$3:$B$212,2,0),"")</f>
        <v/>
      </c>
      <c r="J304" s="280" t="n"/>
      <c r="K304" s="332">
        <f>IFERROR(VLOOKUP(TEXT(O304,"0"),CONDUCTORES!$A$3:$G$54,7,0),"")</f>
        <v/>
      </c>
      <c r="L304" s="280" t="n"/>
      <c r="M304" s="280" t="n"/>
      <c r="N304" s="333">
        <f>IFERROR(IF(L304*M304=0,"",L304*M304),"")</f>
        <v/>
      </c>
      <c r="O304" s="280" t="n"/>
      <c r="P304" s="332">
        <f>IFERROR(VLOOKUP(TEXT(O304,"0"),CONDUCTORES!$A$3:$G$54,2,0),"")</f>
        <v/>
      </c>
      <c r="Q304" s="332">
        <f>IFERROR(VLOOKUP(TEXT(O304,"0"),CONDUCTORES!$A$3:$H$54,6,0),"")</f>
        <v/>
      </c>
      <c r="R304" s="280" t="n"/>
      <c r="S304" s="280" t="n"/>
      <c r="T304" s="280" t="n"/>
      <c r="U304" s="280" t="n"/>
      <c r="V304" s="280" t="n"/>
      <c r="W304" s="280" t="n"/>
      <c r="X304" s="280" t="n"/>
      <c r="Y304" s="280" t="n"/>
      <c r="Z304" s="375">
        <f>IF(AND(G304&lt;&gt;"",R304&lt;&gt;"",V304&lt;&gt;"",W304&lt;&gt;""),"COMPLETADO","OBSERVADO")</f>
        <v/>
      </c>
    </row>
    <row r="305" ht="15" customHeight="1" s="195">
      <c r="A305" s="334" t="n"/>
      <c r="B305" s="334" t="n"/>
      <c r="C305" s="334" t="n"/>
      <c r="D305" s="334" t="n"/>
      <c r="E305" s="334" t="n"/>
      <c r="F305" s="334" t="n"/>
      <c r="G305" s="334" t="n"/>
      <c r="H305" s="334" t="n"/>
      <c r="I305" s="332">
        <f>IFERROR(VLOOKUP(TEXT(H305,"0"),IPRESS!$A$3:$B$212,2,0),"")</f>
        <v/>
      </c>
      <c r="J305" s="334" t="n"/>
      <c r="K305" s="332">
        <f>IFERROR(VLOOKUP(TEXT(O305,"0"),CONDUCTORES!$A$3:$G$54,7,0),"")</f>
        <v/>
      </c>
      <c r="L305" s="334" t="n"/>
      <c r="M305" s="334" t="n"/>
      <c r="N305" s="333">
        <f>IFERROR(IF(L305*M305=0,"",L305*M305),"")</f>
        <v/>
      </c>
      <c r="O305" s="334" t="n"/>
      <c r="P305" s="332">
        <f>IFERROR(VLOOKUP(TEXT(O305,"0"),CONDUCTORES!$A$3:$G$54,2,0),"")</f>
        <v/>
      </c>
      <c r="Q305" s="332">
        <f>IFERROR(VLOOKUP(TEXT(O305,"0"),CONDUCTORES!$A$3:$H$54,6,0),"")</f>
        <v/>
      </c>
      <c r="R305" s="334" t="n"/>
      <c r="S305" s="334" t="n"/>
      <c r="T305" s="334" t="n"/>
      <c r="U305" s="334" t="n"/>
      <c r="V305" s="334" t="n"/>
      <c r="W305" s="334" t="n"/>
      <c r="X305" s="334" t="n"/>
      <c r="Y305" s="334" t="n"/>
      <c r="Z305" s="375">
        <f>IF(AND(G305&lt;&gt;"",R305&lt;&gt;"",V305&lt;&gt;"",W305&lt;&gt;""),"COMPLETADO","OBSERVADO")</f>
        <v/>
      </c>
    </row>
    <row r="306" ht="15" customHeight="1" s="195">
      <c r="A306" s="280" t="n"/>
      <c r="B306" s="280" t="n"/>
      <c r="C306" s="280" t="n"/>
      <c r="D306" s="280" t="n"/>
      <c r="E306" s="280" t="n"/>
      <c r="F306" s="280" t="n"/>
      <c r="G306" s="280" t="n"/>
      <c r="H306" s="280" t="n"/>
      <c r="I306" s="332">
        <f>IFERROR(VLOOKUP(TEXT(H306,"0"),IPRESS!$A$3:$B$212,2,0),"")</f>
        <v/>
      </c>
      <c r="J306" s="280" t="n"/>
      <c r="K306" s="332">
        <f>IFERROR(VLOOKUP(TEXT(O306,"0"),CONDUCTORES!$A$3:$G$54,7,0),"")</f>
        <v/>
      </c>
      <c r="L306" s="280" t="n"/>
      <c r="M306" s="280" t="n"/>
      <c r="N306" s="333">
        <f>IFERROR(IF(L306*M306=0,"",L306*M306),"")</f>
        <v/>
      </c>
      <c r="O306" s="280" t="n"/>
      <c r="P306" s="332">
        <f>IFERROR(VLOOKUP(TEXT(O306,"0"),CONDUCTORES!$A$3:$G$54,2,0),"")</f>
        <v/>
      </c>
      <c r="Q306" s="332">
        <f>IFERROR(VLOOKUP(TEXT(O306,"0"),CONDUCTORES!$A$3:$H$54,6,0),"")</f>
        <v/>
      </c>
      <c r="R306" s="280" t="n"/>
      <c r="S306" s="280" t="n"/>
      <c r="T306" s="280" t="n"/>
      <c r="U306" s="280" t="n"/>
      <c r="V306" s="280" t="n"/>
      <c r="W306" s="280" t="n"/>
      <c r="X306" s="280" t="n"/>
      <c r="Y306" s="280" t="n"/>
      <c r="Z306" s="375">
        <f>IF(AND(G306&lt;&gt;"",R306&lt;&gt;"",V306&lt;&gt;"",W306&lt;&gt;""),"COMPLETADO","OBSERVADO")</f>
        <v/>
      </c>
    </row>
    <row r="307" ht="15" customHeight="1" s="195">
      <c r="A307" s="334" t="n"/>
      <c r="B307" s="334" t="n"/>
      <c r="C307" s="334" t="n"/>
      <c r="D307" s="334" t="n"/>
      <c r="E307" s="334" t="n"/>
      <c r="F307" s="334" t="n"/>
      <c r="G307" s="334" t="n"/>
      <c r="H307" s="334" t="n"/>
      <c r="I307" s="332">
        <f>IFERROR(VLOOKUP(TEXT(H307,"0"),IPRESS!$A$3:$B$212,2,0),"")</f>
        <v/>
      </c>
      <c r="J307" s="334" t="n"/>
      <c r="K307" s="332">
        <f>IFERROR(VLOOKUP(TEXT(O307,"0"),CONDUCTORES!$A$3:$G$54,7,0),"")</f>
        <v/>
      </c>
      <c r="L307" s="334" t="n"/>
      <c r="M307" s="334" t="n"/>
      <c r="N307" s="333">
        <f>IFERROR(IF(L307*M307=0,"",L307*M307),"")</f>
        <v/>
      </c>
      <c r="O307" s="334" t="n"/>
      <c r="P307" s="332">
        <f>IFERROR(VLOOKUP(TEXT(O307,"0"),CONDUCTORES!$A$3:$G$54,2,0),"")</f>
        <v/>
      </c>
      <c r="Q307" s="332">
        <f>IFERROR(VLOOKUP(TEXT(O307,"0"),CONDUCTORES!$A$3:$H$54,6,0),"")</f>
        <v/>
      </c>
      <c r="R307" s="334" t="n"/>
      <c r="S307" s="334" t="n"/>
      <c r="T307" s="334" t="n"/>
      <c r="U307" s="334" t="n"/>
      <c r="V307" s="334" t="n"/>
      <c r="W307" s="334" t="n"/>
      <c r="X307" s="334" t="n"/>
      <c r="Y307" s="334" t="n"/>
      <c r="Z307" s="375">
        <f>IF(AND(G307&lt;&gt;"",R307&lt;&gt;"",V307&lt;&gt;"",W307&lt;&gt;""),"COMPLETADO","OBSERVADO")</f>
        <v/>
      </c>
    </row>
    <row r="308" ht="15" customHeight="1" s="195">
      <c r="A308" s="280" t="n"/>
      <c r="B308" s="280" t="n"/>
      <c r="C308" s="280" t="n"/>
      <c r="D308" s="280" t="n"/>
      <c r="E308" s="280" t="n"/>
      <c r="F308" s="280" t="n"/>
      <c r="G308" s="280" t="n"/>
      <c r="H308" s="280" t="n"/>
      <c r="I308" s="332">
        <f>IFERROR(VLOOKUP(TEXT(H308,"0"),IPRESS!$A$3:$B$212,2,0),"")</f>
        <v/>
      </c>
      <c r="J308" s="280" t="n"/>
      <c r="K308" s="332">
        <f>IFERROR(VLOOKUP(TEXT(O308,"0"),CONDUCTORES!$A$3:$G$54,7,0),"")</f>
        <v/>
      </c>
      <c r="L308" s="280" t="n"/>
      <c r="M308" s="280" t="n"/>
      <c r="N308" s="333">
        <f>IFERROR(IF(L308*M308=0,"",L308*M308),"")</f>
        <v/>
      </c>
      <c r="O308" s="280" t="n"/>
      <c r="P308" s="332">
        <f>IFERROR(VLOOKUP(TEXT(O308,"0"),CONDUCTORES!$A$3:$G$54,2,0),"")</f>
        <v/>
      </c>
      <c r="Q308" s="332">
        <f>IFERROR(VLOOKUP(TEXT(O308,"0"),CONDUCTORES!$A$3:$H$54,6,0),"")</f>
        <v/>
      </c>
      <c r="R308" s="280" t="n"/>
      <c r="S308" s="280" t="n"/>
      <c r="T308" s="280" t="n"/>
      <c r="U308" s="280" t="n"/>
      <c r="V308" s="280" t="n"/>
      <c r="W308" s="280" t="n"/>
      <c r="X308" s="280" t="n"/>
      <c r="Y308" s="280" t="n"/>
      <c r="Z308" s="375">
        <f>IF(AND(G308&lt;&gt;"",R308&lt;&gt;"",V308&lt;&gt;"",W308&lt;&gt;""),"COMPLETADO","OBSERVADO")</f>
        <v/>
      </c>
    </row>
    <row r="309" ht="15" customHeight="1" s="195">
      <c r="A309" s="334" t="n"/>
      <c r="B309" s="334" t="n"/>
      <c r="C309" s="334" t="n"/>
      <c r="D309" s="334" t="n"/>
      <c r="E309" s="334" t="n"/>
      <c r="F309" s="334" t="n"/>
      <c r="G309" s="334" t="n"/>
      <c r="H309" s="334" t="n"/>
      <c r="I309" s="332">
        <f>IFERROR(VLOOKUP(TEXT(H309,"0"),IPRESS!$A$3:$B$212,2,0),"")</f>
        <v/>
      </c>
      <c r="J309" s="334" t="n"/>
      <c r="K309" s="332">
        <f>IFERROR(VLOOKUP(TEXT(O309,"0"),CONDUCTORES!$A$3:$G$54,7,0),"")</f>
        <v/>
      </c>
      <c r="L309" s="334" t="n"/>
      <c r="M309" s="334" t="n"/>
      <c r="N309" s="333">
        <f>IFERROR(IF(L309*M309=0,"",L309*M309),"")</f>
        <v/>
      </c>
      <c r="O309" s="334" t="n"/>
      <c r="P309" s="332">
        <f>IFERROR(VLOOKUP(TEXT(O309,"0"),CONDUCTORES!$A$3:$G$54,2,0),"")</f>
        <v/>
      </c>
      <c r="Q309" s="332">
        <f>IFERROR(VLOOKUP(TEXT(O309,"0"),CONDUCTORES!$A$3:$H$54,6,0),"")</f>
        <v/>
      </c>
      <c r="R309" s="334" t="n"/>
      <c r="S309" s="334" t="n"/>
      <c r="T309" s="334" t="n"/>
      <c r="U309" s="334" t="n"/>
      <c r="V309" s="334" t="n"/>
      <c r="W309" s="334" t="n"/>
      <c r="X309" s="334" t="n"/>
      <c r="Y309" s="334" t="n"/>
      <c r="Z309" s="375">
        <f>IF(AND(G309&lt;&gt;"",R309&lt;&gt;"",V309&lt;&gt;"",W309&lt;&gt;""),"COMPLETADO","OBSERVADO")</f>
        <v/>
      </c>
    </row>
    <row r="310" ht="15" customHeight="1" s="195">
      <c r="A310" s="280" t="n"/>
      <c r="B310" s="280" t="n"/>
      <c r="C310" s="280" t="n"/>
      <c r="D310" s="280" t="n"/>
      <c r="E310" s="280" t="n"/>
      <c r="F310" s="280" t="n"/>
      <c r="G310" s="280" t="n"/>
      <c r="H310" s="280" t="n"/>
      <c r="I310" s="332">
        <f>IFERROR(VLOOKUP(TEXT(H310,"0"),IPRESS!$A$3:$B$212,2,0),"")</f>
        <v/>
      </c>
      <c r="J310" s="280" t="n"/>
      <c r="K310" s="332">
        <f>IFERROR(VLOOKUP(TEXT(O310,"0"),CONDUCTORES!$A$3:$G$54,7,0),"")</f>
        <v/>
      </c>
      <c r="L310" s="280" t="n"/>
      <c r="M310" s="280" t="n"/>
      <c r="N310" s="333">
        <f>IFERROR(IF(L310*M310=0,"",L310*M310),"")</f>
        <v/>
      </c>
      <c r="O310" s="280" t="n"/>
      <c r="P310" s="332">
        <f>IFERROR(VLOOKUP(TEXT(O310,"0"),CONDUCTORES!$A$3:$G$54,2,0),"")</f>
        <v/>
      </c>
      <c r="Q310" s="332">
        <f>IFERROR(VLOOKUP(TEXT(O310,"0"),CONDUCTORES!$A$3:$H$54,6,0),"")</f>
        <v/>
      </c>
      <c r="R310" s="280" t="n"/>
      <c r="S310" s="280" t="n"/>
      <c r="T310" s="280" t="n"/>
      <c r="U310" s="280" t="n"/>
      <c r="V310" s="280" t="n"/>
      <c r="W310" s="280" t="n"/>
      <c r="X310" s="280" t="n"/>
      <c r="Y310" s="280" t="n"/>
      <c r="Z310" s="375">
        <f>IF(AND(G310&lt;&gt;"",R310&lt;&gt;"",V310&lt;&gt;"",W310&lt;&gt;""),"COMPLETADO","OBSERVADO")</f>
        <v/>
      </c>
    </row>
    <row r="311" ht="15" customHeight="1" s="195">
      <c r="A311" s="334" t="n"/>
      <c r="B311" s="334" t="n"/>
      <c r="C311" s="334" t="n"/>
      <c r="D311" s="334" t="n"/>
      <c r="E311" s="334" t="n"/>
      <c r="F311" s="334" t="n"/>
      <c r="G311" s="334" t="n"/>
      <c r="H311" s="334" t="n"/>
      <c r="I311" s="332">
        <f>IFERROR(VLOOKUP(TEXT(H311,"0"),IPRESS!$A$3:$B$212,2,0),"")</f>
        <v/>
      </c>
      <c r="J311" s="334" t="n"/>
      <c r="K311" s="332">
        <f>IFERROR(VLOOKUP(TEXT(O311,"0"),CONDUCTORES!$A$3:$G$54,7,0),"")</f>
        <v/>
      </c>
      <c r="L311" s="334" t="n"/>
      <c r="M311" s="334" t="n"/>
      <c r="N311" s="333">
        <f>IFERROR(IF(L311*M311=0,"",L311*M311),"")</f>
        <v/>
      </c>
      <c r="O311" s="334" t="n"/>
      <c r="P311" s="332">
        <f>IFERROR(VLOOKUP(TEXT(O311,"0"),CONDUCTORES!$A$3:$G$54,2,0),"")</f>
        <v/>
      </c>
      <c r="Q311" s="332">
        <f>IFERROR(VLOOKUP(TEXT(O311,"0"),CONDUCTORES!$A$3:$H$54,6,0),"")</f>
        <v/>
      </c>
      <c r="R311" s="334" t="n"/>
      <c r="S311" s="334" t="n"/>
      <c r="T311" s="334" t="n"/>
      <c r="U311" s="334" t="n"/>
      <c r="V311" s="334" t="n"/>
      <c r="W311" s="334" t="n"/>
      <c r="X311" s="334" t="n"/>
      <c r="Y311" s="334" t="n"/>
      <c r="Z311" s="375">
        <f>IF(AND(G311&lt;&gt;"",R311&lt;&gt;"",V311&lt;&gt;"",W311&lt;&gt;""),"COMPLETADO","OBSERVADO")</f>
        <v/>
      </c>
    </row>
    <row r="312" ht="15" customHeight="1" s="195">
      <c r="A312" s="280" t="n"/>
      <c r="B312" s="280" t="n"/>
      <c r="C312" s="280" t="n"/>
      <c r="D312" s="280" t="n"/>
      <c r="E312" s="280" t="n"/>
      <c r="F312" s="280" t="n"/>
      <c r="G312" s="280" t="n"/>
      <c r="H312" s="280" t="n"/>
      <c r="I312" s="332">
        <f>IFERROR(VLOOKUP(TEXT(H312,"0"),IPRESS!$A$3:$B$212,2,0),"")</f>
        <v/>
      </c>
      <c r="J312" s="280" t="n"/>
      <c r="K312" s="332">
        <f>IFERROR(VLOOKUP(TEXT(O312,"0"),CONDUCTORES!$A$3:$G$54,7,0),"")</f>
        <v/>
      </c>
      <c r="L312" s="280" t="n"/>
      <c r="M312" s="280" t="n"/>
      <c r="N312" s="333">
        <f>IFERROR(IF(L312*M312=0,"",L312*M312),"")</f>
        <v/>
      </c>
      <c r="O312" s="280" t="n"/>
      <c r="P312" s="332">
        <f>IFERROR(VLOOKUP(TEXT(O312,"0"),CONDUCTORES!$A$3:$G$54,2,0),"")</f>
        <v/>
      </c>
      <c r="Q312" s="332">
        <f>IFERROR(VLOOKUP(TEXT(O312,"0"),CONDUCTORES!$A$3:$H$54,6,0),"")</f>
        <v/>
      </c>
      <c r="R312" s="280" t="n"/>
      <c r="S312" s="280" t="n"/>
      <c r="T312" s="280" t="n"/>
      <c r="U312" s="280" t="n"/>
      <c r="V312" s="280" t="n"/>
      <c r="W312" s="280" t="n"/>
      <c r="X312" s="280" t="n"/>
      <c r="Y312" s="280" t="n"/>
      <c r="Z312" s="375">
        <f>IF(AND(G312&lt;&gt;"",R312&lt;&gt;"",V312&lt;&gt;"",W312&lt;&gt;""),"COMPLETADO","OBSERVADO")</f>
        <v/>
      </c>
    </row>
    <row r="313" ht="15" customHeight="1" s="195">
      <c r="A313" s="334" t="n"/>
      <c r="B313" s="334" t="n"/>
      <c r="C313" s="334" t="n"/>
      <c r="D313" s="334" t="n"/>
      <c r="E313" s="334" t="n"/>
      <c r="F313" s="334" t="n"/>
      <c r="G313" s="334" t="n"/>
      <c r="H313" s="334" t="n"/>
      <c r="I313" s="332">
        <f>IFERROR(VLOOKUP(TEXT(H313,"0"),IPRESS!$A$3:$B$212,2,0),"")</f>
        <v/>
      </c>
      <c r="J313" s="334" t="n"/>
      <c r="K313" s="332">
        <f>IFERROR(VLOOKUP(TEXT(O313,"0"),CONDUCTORES!$A$3:$G$54,7,0),"")</f>
        <v/>
      </c>
      <c r="L313" s="334" t="n"/>
      <c r="M313" s="334" t="n"/>
      <c r="N313" s="333">
        <f>IFERROR(IF(L313*M313=0,"",L313*M313),"")</f>
        <v/>
      </c>
      <c r="O313" s="334" t="n"/>
      <c r="P313" s="332">
        <f>IFERROR(VLOOKUP(TEXT(O313,"0"),CONDUCTORES!$A$3:$G$54,2,0),"")</f>
        <v/>
      </c>
      <c r="Q313" s="332">
        <f>IFERROR(VLOOKUP(TEXT(O313,"0"),CONDUCTORES!$A$3:$H$54,6,0),"")</f>
        <v/>
      </c>
      <c r="R313" s="334" t="n"/>
      <c r="S313" s="334" t="n"/>
      <c r="T313" s="334" t="n"/>
      <c r="U313" s="334" t="n"/>
      <c r="V313" s="334" t="n"/>
      <c r="W313" s="334" t="n"/>
      <c r="X313" s="334" t="n"/>
      <c r="Y313" s="334" t="n"/>
      <c r="Z313" s="375">
        <f>IF(AND(G313&lt;&gt;"",R313&lt;&gt;"",V313&lt;&gt;"",W313&lt;&gt;""),"COMPLETADO","OBSERVADO")</f>
        <v/>
      </c>
    </row>
    <row r="314" ht="15" customHeight="1" s="195">
      <c r="A314" s="280" t="n"/>
      <c r="B314" s="280" t="n"/>
      <c r="C314" s="280" t="n"/>
      <c r="D314" s="280" t="n"/>
      <c r="E314" s="280" t="n"/>
      <c r="F314" s="280" t="n"/>
      <c r="G314" s="280" t="n"/>
      <c r="H314" s="280" t="n"/>
      <c r="I314" s="332">
        <f>IFERROR(VLOOKUP(TEXT(H314,"0"),IPRESS!$A$3:$B$212,2,0),"")</f>
        <v/>
      </c>
      <c r="J314" s="280" t="n"/>
      <c r="K314" s="332">
        <f>IFERROR(VLOOKUP(TEXT(O314,"0"),CONDUCTORES!$A$3:$G$54,7,0),"")</f>
        <v/>
      </c>
      <c r="L314" s="280" t="n"/>
      <c r="M314" s="280" t="n"/>
      <c r="N314" s="333">
        <f>IFERROR(IF(L314*M314=0,"",L314*M314),"")</f>
        <v/>
      </c>
      <c r="O314" s="280" t="n"/>
      <c r="P314" s="332">
        <f>IFERROR(VLOOKUP(TEXT(O314,"0"),CONDUCTORES!$A$3:$G$54,2,0),"")</f>
        <v/>
      </c>
      <c r="Q314" s="332">
        <f>IFERROR(VLOOKUP(TEXT(O314,"0"),CONDUCTORES!$A$3:$H$54,6,0),"")</f>
        <v/>
      </c>
      <c r="R314" s="280" t="n"/>
      <c r="S314" s="280" t="n"/>
      <c r="T314" s="280" t="n"/>
      <c r="U314" s="280" t="n"/>
      <c r="V314" s="280" t="n"/>
      <c r="W314" s="280" t="n"/>
      <c r="X314" s="280" t="n"/>
      <c r="Y314" s="280" t="n"/>
      <c r="Z314" s="375">
        <f>IF(AND(G314&lt;&gt;"",R314&lt;&gt;"",V314&lt;&gt;"",W314&lt;&gt;""),"COMPLETADO","OBSERVADO")</f>
        <v/>
      </c>
    </row>
    <row r="315" ht="15" customHeight="1" s="195">
      <c r="A315" s="334" t="n"/>
      <c r="B315" s="334" t="n"/>
      <c r="C315" s="334" t="n"/>
      <c r="D315" s="334" t="n"/>
      <c r="E315" s="334" t="n"/>
      <c r="F315" s="334" t="n"/>
      <c r="G315" s="334" t="n"/>
      <c r="H315" s="334" t="n"/>
      <c r="I315" s="332">
        <f>IFERROR(VLOOKUP(TEXT(H315,"0"),IPRESS!$A$3:$B$212,2,0),"")</f>
        <v/>
      </c>
      <c r="J315" s="334" t="n"/>
      <c r="K315" s="332">
        <f>IFERROR(VLOOKUP(TEXT(O315,"0"),CONDUCTORES!$A$3:$G$54,7,0),"")</f>
        <v/>
      </c>
      <c r="L315" s="334" t="n"/>
      <c r="M315" s="334" t="n"/>
      <c r="N315" s="333">
        <f>IFERROR(IF(L315*M315=0,"",L315*M315),"")</f>
        <v/>
      </c>
      <c r="O315" s="334" t="n"/>
      <c r="P315" s="332">
        <f>IFERROR(VLOOKUP(TEXT(O315,"0"),CONDUCTORES!$A$3:$G$54,2,0),"")</f>
        <v/>
      </c>
      <c r="Q315" s="332">
        <f>IFERROR(VLOOKUP(TEXT(O315,"0"),CONDUCTORES!$A$3:$H$54,6,0),"")</f>
        <v/>
      </c>
      <c r="R315" s="334" t="n"/>
      <c r="S315" s="334" t="n"/>
      <c r="T315" s="334" t="n"/>
      <c r="U315" s="334" t="n"/>
      <c r="V315" s="334" t="n"/>
      <c r="W315" s="334" t="n"/>
      <c r="X315" s="334" t="n"/>
      <c r="Y315" s="334" t="n"/>
      <c r="Z315" s="375">
        <f>IF(AND(G315&lt;&gt;"",R315&lt;&gt;"",V315&lt;&gt;"",W315&lt;&gt;""),"COMPLETADO","OBSERVADO")</f>
        <v/>
      </c>
    </row>
    <row r="316" ht="15" customHeight="1" s="195">
      <c r="A316" s="280" t="n"/>
      <c r="B316" s="280" t="n"/>
      <c r="C316" s="280" t="n"/>
      <c r="D316" s="280" t="n"/>
      <c r="E316" s="280" t="n"/>
      <c r="F316" s="280" t="n"/>
      <c r="G316" s="280" t="n"/>
      <c r="H316" s="280" t="n"/>
      <c r="I316" s="332">
        <f>IFERROR(VLOOKUP(TEXT(H316,"0"),IPRESS!$A$3:$B$212,2,0),"")</f>
        <v/>
      </c>
      <c r="J316" s="280" t="n"/>
      <c r="K316" s="332">
        <f>IFERROR(VLOOKUP(TEXT(O316,"0"),CONDUCTORES!$A$3:$G$54,7,0),"")</f>
        <v/>
      </c>
      <c r="L316" s="280" t="n"/>
      <c r="M316" s="280" t="n"/>
      <c r="N316" s="333">
        <f>IFERROR(IF(L316*M316=0,"",L316*M316),"")</f>
        <v/>
      </c>
      <c r="O316" s="280" t="n"/>
      <c r="P316" s="332">
        <f>IFERROR(VLOOKUP(TEXT(O316,"0"),CONDUCTORES!$A$3:$G$54,2,0),"")</f>
        <v/>
      </c>
      <c r="Q316" s="332">
        <f>IFERROR(VLOOKUP(TEXT(O316,"0"),CONDUCTORES!$A$3:$H$54,6,0),"")</f>
        <v/>
      </c>
      <c r="R316" s="280" t="n"/>
      <c r="S316" s="280" t="n"/>
      <c r="T316" s="280" t="n"/>
      <c r="U316" s="280" t="n"/>
      <c r="V316" s="280" t="n"/>
      <c r="W316" s="280" t="n"/>
      <c r="X316" s="280" t="n"/>
      <c r="Y316" s="280" t="n"/>
      <c r="Z316" s="375">
        <f>IF(AND(G316&lt;&gt;"",R316&lt;&gt;"",V316&lt;&gt;"",W316&lt;&gt;""),"COMPLETADO","OBSERVADO")</f>
        <v/>
      </c>
    </row>
    <row r="317" ht="15" customHeight="1" s="195">
      <c r="A317" s="334" t="n"/>
      <c r="B317" s="334" t="n"/>
      <c r="C317" s="334" t="n"/>
      <c r="D317" s="334" t="n"/>
      <c r="E317" s="334" t="n"/>
      <c r="F317" s="334" t="n"/>
      <c r="G317" s="334" t="n"/>
      <c r="H317" s="334" t="n"/>
      <c r="I317" s="332">
        <f>IFERROR(VLOOKUP(TEXT(H317,"0"),IPRESS!$A$3:$B$212,2,0),"")</f>
        <v/>
      </c>
      <c r="J317" s="334" t="n"/>
      <c r="K317" s="332">
        <f>IFERROR(VLOOKUP(TEXT(O317,"0"),CONDUCTORES!$A$3:$G$54,7,0),"")</f>
        <v/>
      </c>
      <c r="L317" s="334" t="n"/>
      <c r="M317" s="334" t="n"/>
      <c r="N317" s="333">
        <f>IFERROR(IF(L317*M317=0,"",L317*M317),"")</f>
        <v/>
      </c>
      <c r="O317" s="334" t="n"/>
      <c r="P317" s="332">
        <f>IFERROR(VLOOKUP(TEXT(O317,"0"),CONDUCTORES!$A$3:$G$54,2,0),"")</f>
        <v/>
      </c>
      <c r="Q317" s="332">
        <f>IFERROR(VLOOKUP(TEXT(O317,"0"),CONDUCTORES!$A$3:$H$54,6,0),"")</f>
        <v/>
      </c>
      <c r="R317" s="334" t="n"/>
      <c r="S317" s="334" t="n"/>
      <c r="T317" s="334" t="n"/>
      <c r="U317" s="334" t="n"/>
      <c r="V317" s="334" t="n"/>
      <c r="W317" s="334" t="n"/>
      <c r="X317" s="334" t="n"/>
      <c r="Y317" s="334" t="n"/>
      <c r="Z317" s="375">
        <f>IF(AND(G317&lt;&gt;"",R317&lt;&gt;"",V317&lt;&gt;"",W317&lt;&gt;""),"COMPLETADO","OBSERVADO")</f>
        <v/>
      </c>
    </row>
    <row r="318" ht="15" customHeight="1" s="195">
      <c r="A318" s="280" t="n"/>
      <c r="B318" s="280" t="n"/>
      <c r="C318" s="280" t="n"/>
      <c r="D318" s="280" t="n"/>
      <c r="E318" s="280" t="n"/>
      <c r="F318" s="280" t="n"/>
      <c r="G318" s="280" t="n"/>
      <c r="H318" s="280" t="n"/>
      <c r="I318" s="332">
        <f>IFERROR(VLOOKUP(TEXT(H318,"0"),IPRESS!$A$3:$B$212,2,0),"")</f>
        <v/>
      </c>
      <c r="J318" s="280" t="n"/>
      <c r="K318" s="332">
        <f>IFERROR(VLOOKUP(TEXT(O318,"0"),CONDUCTORES!$A$3:$G$54,7,0),"")</f>
        <v/>
      </c>
      <c r="L318" s="280" t="n"/>
      <c r="M318" s="280" t="n"/>
      <c r="N318" s="333">
        <f>IFERROR(IF(L318*M318=0,"",L318*M318),"")</f>
        <v/>
      </c>
      <c r="O318" s="280" t="n"/>
      <c r="P318" s="332">
        <f>IFERROR(VLOOKUP(TEXT(O318,"0"),CONDUCTORES!$A$3:$G$54,2,0),"")</f>
        <v/>
      </c>
      <c r="Q318" s="332">
        <f>IFERROR(VLOOKUP(TEXT(O318,"0"),CONDUCTORES!$A$3:$H$54,6,0),"")</f>
        <v/>
      </c>
      <c r="R318" s="280" t="n"/>
      <c r="S318" s="280" t="n"/>
      <c r="T318" s="280" t="n"/>
      <c r="U318" s="280" t="n"/>
      <c r="V318" s="280" t="n"/>
      <c r="W318" s="280" t="n"/>
      <c r="X318" s="280" t="n"/>
      <c r="Y318" s="280" t="n"/>
      <c r="Z318" s="375">
        <f>IF(AND(G318&lt;&gt;"",R318&lt;&gt;"",V318&lt;&gt;"",W318&lt;&gt;""),"COMPLETADO","OBSERVADO")</f>
        <v/>
      </c>
    </row>
    <row r="319" ht="15" customHeight="1" s="195">
      <c r="A319" s="334" t="n"/>
      <c r="B319" s="334" t="n"/>
      <c r="C319" s="334" t="n"/>
      <c r="D319" s="334" t="n"/>
      <c r="E319" s="334" t="n"/>
      <c r="F319" s="334" t="n"/>
      <c r="G319" s="334" t="n"/>
      <c r="H319" s="334" t="n"/>
      <c r="I319" s="332">
        <f>IFERROR(VLOOKUP(TEXT(H319,"0"),IPRESS!$A$3:$B$212,2,0),"")</f>
        <v/>
      </c>
      <c r="J319" s="334" t="n"/>
      <c r="K319" s="332">
        <f>IFERROR(VLOOKUP(TEXT(O319,"0"),CONDUCTORES!$A$3:$G$54,7,0),"")</f>
        <v/>
      </c>
      <c r="L319" s="334" t="n"/>
      <c r="M319" s="334" t="n"/>
      <c r="N319" s="333">
        <f>IFERROR(IF(L319*M319=0,"",L319*M319),"")</f>
        <v/>
      </c>
      <c r="O319" s="334" t="n"/>
      <c r="P319" s="332">
        <f>IFERROR(VLOOKUP(TEXT(O319,"0"),CONDUCTORES!$A$3:$G$54,2,0),"")</f>
        <v/>
      </c>
      <c r="Q319" s="332">
        <f>IFERROR(VLOOKUP(TEXT(O319,"0"),CONDUCTORES!$A$3:$H$54,6,0),"")</f>
        <v/>
      </c>
      <c r="R319" s="334" t="n"/>
      <c r="S319" s="334" t="n"/>
      <c r="T319" s="334" t="n"/>
      <c r="U319" s="334" t="n"/>
      <c r="V319" s="334" t="n"/>
      <c r="W319" s="334" t="n"/>
      <c r="X319" s="334" t="n"/>
      <c r="Y319" s="334" t="n"/>
      <c r="Z319" s="375">
        <f>IF(AND(G319&lt;&gt;"",R319&lt;&gt;"",V319&lt;&gt;"",W319&lt;&gt;""),"COMPLETADO","OBSERVADO")</f>
        <v/>
      </c>
    </row>
    <row r="320" ht="15" customHeight="1" s="195">
      <c r="A320" s="280" t="n"/>
      <c r="B320" s="280" t="n"/>
      <c r="C320" s="280" t="n"/>
      <c r="D320" s="280" t="n"/>
      <c r="E320" s="280" t="n"/>
      <c r="F320" s="280" t="n"/>
      <c r="G320" s="280" t="n"/>
      <c r="H320" s="280" t="n"/>
      <c r="I320" s="332">
        <f>IFERROR(VLOOKUP(TEXT(H320,"0"),IPRESS!$A$3:$B$212,2,0),"")</f>
        <v/>
      </c>
      <c r="J320" s="280" t="n"/>
      <c r="K320" s="332">
        <f>IFERROR(VLOOKUP(TEXT(O320,"0"),CONDUCTORES!$A$3:$G$54,7,0),"")</f>
        <v/>
      </c>
      <c r="L320" s="280" t="n"/>
      <c r="M320" s="280" t="n"/>
      <c r="N320" s="333">
        <f>IFERROR(IF(L320*M320=0,"",L320*M320),"")</f>
        <v/>
      </c>
      <c r="O320" s="280" t="n"/>
      <c r="P320" s="332">
        <f>IFERROR(VLOOKUP(TEXT(O320,"0"),CONDUCTORES!$A$3:$G$54,2,0),"")</f>
        <v/>
      </c>
      <c r="Q320" s="332">
        <f>IFERROR(VLOOKUP(TEXT(O320,"0"),CONDUCTORES!$A$3:$H$54,6,0),"")</f>
        <v/>
      </c>
      <c r="R320" s="280" t="n"/>
      <c r="S320" s="280" t="n"/>
      <c r="T320" s="280" t="n"/>
      <c r="U320" s="280" t="n"/>
      <c r="V320" s="280" t="n"/>
      <c r="W320" s="280" t="n"/>
      <c r="X320" s="280" t="n"/>
      <c r="Y320" s="280" t="n"/>
      <c r="Z320" s="375">
        <f>IF(AND(G320&lt;&gt;"",R320&lt;&gt;"",V320&lt;&gt;"",W320&lt;&gt;""),"COMPLETADO","OBSERVADO")</f>
        <v/>
      </c>
    </row>
    <row r="321" ht="15" customHeight="1" s="195">
      <c r="A321" s="334" t="n"/>
      <c r="B321" s="334" t="n"/>
      <c r="C321" s="334" t="n"/>
      <c r="D321" s="334" t="n"/>
      <c r="E321" s="334" t="n"/>
      <c r="F321" s="334" t="n"/>
      <c r="G321" s="334" t="n"/>
      <c r="H321" s="334" t="n"/>
      <c r="I321" s="332">
        <f>IFERROR(VLOOKUP(TEXT(H321,"0"),IPRESS!$A$3:$B$212,2,0),"")</f>
        <v/>
      </c>
      <c r="J321" s="334" t="n"/>
      <c r="K321" s="332">
        <f>IFERROR(VLOOKUP(TEXT(O321,"0"),CONDUCTORES!$A$3:$G$54,7,0),"")</f>
        <v/>
      </c>
      <c r="L321" s="334" t="n"/>
      <c r="M321" s="334" t="n"/>
      <c r="N321" s="333">
        <f>IFERROR(IF(L321*M321=0,"",L321*M321),"")</f>
        <v/>
      </c>
      <c r="O321" s="334" t="n"/>
      <c r="P321" s="332">
        <f>IFERROR(VLOOKUP(TEXT(O321,"0"),CONDUCTORES!$A$3:$G$54,2,0),"")</f>
        <v/>
      </c>
      <c r="Q321" s="332">
        <f>IFERROR(VLOOKUP(TEXT(O321,"0"),CONDUCTORES!$A$3:$H$54,6,0),"")</f>
        <v/>
      </c>
      <c r="R321" s="334" t="n"/>
      <c r="S321" s="334" t="n"/>
      <c r="T321" s="334" t="n"/>
      <c r="U321" s="334" t="n"/>
      <c r="V321" s="334" t="n"/>
      <c r="W321" s="334" t="n"/>
      <c r="X321" s="334" t="n"/>
      <c r="Y321" s="334" t="n"/>
      <c r="Z321" s="375">
        <f>IF(AND(G321&lt;&gt;"",R321&lt;&gt;"",V321&lt;&gt;"",W321&lt;&gt;""),"COMPLETADO","OBSERVADO")</f>
        <v/>
      </c>
    </row>
    <row r="322" ht="15" customHeight="1" s="195">
      <c r="A322" s="280" t="n"/>
      <c r="B322" s="280" t="n"/>
      <c r="C322" s="280" t="n"/>
      <c r="D322" s="280" t="n"/>
      <c r="E322" s="280" t="n"/>
      <c r="F322" s="280" t="n"/>
      <c r="G322" s="280" t="n"/>
      <c r="H322" s="280" t="n"/>
      <c r="I322" s="332">
        <f>IFERROR(VLOOKUP(TEXT(H322,"0"),IPRESS!$A$3:$B$212,2,0),"")</f>
        <v/>
      </c>
      <c r="J322" s="280" t="n"/>
      <c r="K322" s="332">
        <f>IFERROR(VLOOKUP(TEXT(O322,"0"),CONDUCTORES!$A$3:$G$54,7,0),"")</f>
        <v/>
      </c>
      <c r="L322" s="280" t="n"/>
      <c r="M322" s="280" t="n"/>
      <c r="N322" s="333">
        <f>IFERROR(IF(L322*M322=0,"",L322*M322),"")</f>
        <v/>
      </c>
      <c r="O322" s="280" t="n"/>
      <c r="P322" s="332">
        <f>IFERROR(VLOOKUP(TEXT(O322,"0"),CONDUCTORES!$A$3:$G$54,2,0),"")</f>
        <v/>
      </c>
      <c r="Q322" s="332">
        <f>IFERROR(VLOOKUP(TEXT(O322,"0"),CONDUCTORES!$A$3:$H$54,6,0),"")</f>
        <v/>
      </c>
      <c r="R322" s="280" t="n"/>
      <c r="S322" s="280" t="n"/>
      <c r="T322" s="280" t="n"/>
      <c r="U322" s="280" t="n"/>
      <c r="V322" s="280" t="n"/>
      <c r="W322" s="280" t="n"/>
      <c r="X322" s="280" t="n"/>
      <c r="Y322" s="280" t="n"/>
      <c r="Z322" s="375">
        <f>IF(AND(G322&lt;&gt;"",R322&lt;&gt;"",V322&lt;&gt;"",W322&lt;&gt;""),"COMPLETADO","OBSERVADO")</f>
        <v/>
      </c>
    </row>
    <row r="323" ht="15" customHeight="1" s="195">
      <c r="A323" s="334" t="n"/>
      <c r="B323" s="334" t="n"/>
      <c r="C323" s="334" t="n"/>
      <c r="D323" s="334" t="n"/>
      <c r="E323" s="334" t="n"/>
      <c r="F323" s="334" t="n"/>
      <c r="G323" s="334" t="n"/>
      <c r="H323" s="334" t="n"/>
      <c r="I323" s="332">
        <f>IFERROR(VLOOKUP(TEXT(H323,"0"),IPRESS!$A$3:$B$212,2,0),"")</f>
        <v/>
      </c>
      <c r="J323" s="334" t="n"/>
      <c r="K323" s="332">
        <f>IFERROR(VLOOKUP(TEXT(O323,"0"),CONDUCTORES!$A$3:$G$54,7,0),"")</f>
        <v/>
      </c>
      <c r="L323" s="334" t="n"/>
      <c r="M323" s="334" t="n"/>
      <c r="N323" s="333">
        <f>IFERROR(IF(L323*M323=0,"",L323*M323),"")</f>
        <v/>
      </c>
      <c r="O323" s="334" t="n"/>
      <c r="P323" s="332">
        <f>IFERROR(VLOOKUP(TEXT(O323,"0"),CONDUCTORES!$A$3:$G$54,2,0),"")</f>
        <v/>
      </c>
      <c r="Q323" s="332">
        <f>IFERROR(VLOOKUP(TEXT(O323,"0"),CONDUCTORES!$A$3:$H$54,6,0),"")</f>
        <v/>
      </c>
      <c r="R323" s="334" t="n"/>
      <c r="S323" s="334" t="n"/>
      <c r="T323" s="334" t="n"/>
      <c r="U323" s="334" t="n"/>
      <c r="V323" s="334" t="n"/>
      <c r="W323" s="334" t="n"/>
      <c r="X323" s="334" t="n"/>
      <c r="Y323" s="334" t="n"/>
      <c r="Z323" s="375">
        <f>IF(AND(G323&lt;&gt;"",R323&lt;&gt;"",V323&lt;&gt;"",W323&lt;&gt;""),"COMPLETADO","OBSERVADO")</f>
        <v/>
      </c>
    </row>
    <row r="324" ht="15" customHeight="1" s="195">
      <c r="A324" s="280" t="n"/>
      <c r="B324" s="280" t="n"/>
      <c r="C324" s="280" t="n"/>
      <c r="D324" s="280" t="n"/>
      <c r="E324" s="280" t="n"/>
      <c r="F324" s="280" t="n"/>
      <c r="G324" s="280" t="n"/>
      <c r="H324" s="280" t="n"/>
      <c r="I324" s="332">
        <f>IFERROR(VLOOKUP(TEXT(H324,"0"),IPRESS!$A$3:$B$212,2,0),"")</f>
        <v/>
      </c>
      <c r="J324" s="280" t="n"/>
      <c r="K324" s="332">
        <f>IFERROR(VLOOKUP(TEXT(O324,"0"),CONDUCTORES!$A$3:$G$54,7,0),"")</f>
        <v/>
      </c>
      <c r="L324" s="280" t="n"/>
      <c r="M324" s="280" t="n"/>
      <c r="N324" s="333">
        <f>IFERROR(IF(L324*M324=0,"",L324*M324),"")</f>
        <v/>
      </c>
      <c r="O324" s="280" t="n"/>
      <c r="P324" s="332">
        <f>IFERROR(VLOOKUP(TEXT(O324,"0"),CONDUCTORES!$A$3:$G$54,2,0),"")</f>
        <v/>
      </c>
      <c r="Q324" s="332">
        <f>IFERROR(VLOOKUP(TEXT(O324,"0"),CONDUCTORES!$A$3:$H$54,6,0),"")</f>
        <v/>
      </c>
      <c r="R324" s="280" t="n"/>
      <c r="S324" s="280" t="n"/>
      <c r="T324" s="280" t="n"/>
      <c r="U324" s="280" t="n"/>
      <c r="V324" s="280" t="n"/>
      <c r="W324" s="280" t="n"/>
      <c r="X324" s="280" t="n"/>
      <c r="Y324" s="280" t="n"/>
      <c r="Z324" s="375">
        <f>IF(AND(G324&lt;&gt;"",R324&lt;&gt;"",V324&lt;&gt;"",W324&lt;&gt;""),"COMPLETADO","OBSERVADO")</f>
        <v/>
      </c>
    </row>
    <row r="325" ht="15" customHeight="1" s="195">
      <c r="A325" s="334" t="n"/>
      <c r="B325" s="334" t="n"/>
      <c r="C325" s="334" t="n"/>
      <c r="D325" s="334" t="n"/>
      <c r="E325" s="334" t="n"/>
      <c r="F325" s="334" t="n"/>
      <c r="G325" s="334" t="n"/>
      <c r="H325" s="334" t="n"/>
      <c r="I325" s="332">
        <f>IFERROR(VLOOKUP(TEXT(H325,"0"),IPRESS!$A$3:$B$212,2,0),"")</f>
        <v/>
      </c>
      <c r="J325" s="334" t="n"/>
      <c r="K325" s="332">
        <f>IFERROR(VLOOKUP(TEXT(O325,"0"),CONDUCTORES!$A$3:$G$54,7,0),"")</f>
        <v/>
      </c>
      <c r="L325" s="334" t="n"/>
      <c r="M325" s="334" t="n"/>
      <c r="N325" s="333">
        <f>IFERROR(IF(L325*M325=0,"",L325*M325),"")</f>
        <v/>
      </c>
      <c r="O325" s="334" t="n"/>
      <c r="P325" s="332">
        <f>IFERROR(VLOOKUP(TEXT(O325,"0"),CONDUCTORES!$A$3:$G$54,2,0),"")</f>
        <v/>
      </c>
      <c r="Q325" s="332">
        <f>IFERROR(VLOOKUP(TEXT(O325,"0"),CONDUCTORES!$A$3:$H$54,6,0),"")</f>
        <v/>
      </c>
      <c r="R325" s="334" t="n"/>
      <c r="S325" s="334" t="n"/>
      <c r="T325" s="334" t="n"/>
      <c r="U325" s="334" t="n"/>
      <c r="V325" s="334" t="n"/>
      <c r="W325" s="334" t="n"/>
      <c r="X325" s="334" t="n"/>
      <c r="Y325" s="334" t="n"/>
      <c r="Z325" s="375">
        <f>IF(AND(G325&lt;&gt;"",R325&lt;&gt;"",V325&lt;&gt;"",W325&lt;&gt;""),"COMPLETADO","OBSERVADO")</f>
        <v/>
      </c>
    </row>
    <row r="326" ht="15" customHeight="1" s="195">
      <c r="A326" s="280" t="n"/>
      <c r="B326" s="280" t="n"/>
      <c r="C326" s="280" t="n"/>
      <c r="D326" s="280" t="n"/>
      <c r="E326" s="280" t="n"/>
      <c r="F326" s="280" t="n"/>
      <c r="G326" s="280" t="n"/>
      <c r="H326" s="280" t="n"/>
      <c r="I326" s="332">
        <f>IFERROR(VLOOKUP(TEXT(H326,"0"),IPRESS!$A$3:$B$212,2,0),"")</f>
        <v/>
      </c>
      <c r="J326" s="280" t="n"/>
      <c r="K326" s="332">
        <f>IFERROR(VLOOKUP(TEXT(O326,"0"),CONDUCTORES!$A$3:$G$54,7,0),"")</f>
        <v/>
      </c>
      <c r="L326" s="280" t="n"/>
      <c r="M326" s="280" t="n"/>
      <c r="N326" s="333">
        <f>IFERROR(IF(L326*M326=0,"",L326*M326),"")</f>
        <v/>
      </c>
      <c r="O326" s="280" t="n"/>
      <c r="P326" s="332">
        <f>IFERROR(VLOOKUP(TEXT(O326,"0"),CONDUCTORES!$A$3:$G$54,2,0),"")</f>
        <v/>
      </c>
      <c r="Q326" s="332">
        <f>IFERROR(VLOOKUP(TEXT(O326,"0"),CONDUCTORES!$A$3:$H$54,6,0),"")</f>
        <v/>
      </c>
      <c r="R326" s="280" t="n"/>
      <c r="S326" s="280" t="n"/>
      <c r="T326" s="280" t="n"/>
      <c r="U326" s="280" t="n"/>
      <c r="V326" s="280" t="n"/>
      <c r="W326" s="280" t="n"/>
      <c r="X326" s="280" t="n"/>
      <c r="Y326" s="280" t="n"/>
      <c r="Z326" s="375">
        <f>IF(AND(G326&lt;&gt;"",R326&lt;&gt;"",V326&lt;&gt;"",W326&lt;&gt;""),"COMPLETADO","OBSERVADO")</f>
        <v/>
      </c>
    </row>
    <row r="327" ht="15" customHeight="1" s="195">
      <c r="A327" s="334" t="n"/>
      <c r="B327" s="334" t="n"/>
      <c r="C327" s="334" t="n"/>
      <c r="D327" s="334" t="n"/>
      <c r="E327" s="334" t="n"/>
      <c r="F327" s="334" t="n"/>
      <c r="G327" s="334" t="n"/>
      <c r="H327" s="334" t="n"/>
      <c r="I327" s="332">
        <f>IFERROR(VLOOKUP(TEXT(H327,"0"),IPRESS!$A$3:$B$212,2,0),"")</f>
        <v/>
      </c>
      <c r="J327" s="334" t="n"/>
      <c r="K327" s="332">
        <f>IFERROR(VLOOKUP(TEXT(O327,"0"),CONDUCTORES!$A$3:$G$54,7,0),"")</f>
        <v/>
      </c>
      <c r="L327" s="334" t="n"/>
      <c r="M327" s="334" t="n"/>
      <c r="N327" s="333">
        <f>IFERROR(IF(L327*M327=0,"",L327*M327),"")</f>
        <v/>
      </c>
      <c r="O327" s="334" t="n"/>
      <c r="P327" s="332">
        <f>IFERROR(VLOOKUP(TEXT(O327,"0"),CONDUCTORES!$A$3:$G$54,2,0),"")</f>
        <v/>
      </c>
      <c r="Q327" s="332">
        <f>IFERROR(VLOOKUP(TEXT(O327,"0"),CONDUCTORES!$A$3:$H$54,6,0),"")</f>
        <v/>
      </c>
      <c r="R327" s="334" t="n"/>
      <c r="S327" s="334" t="n"/>
      <c r="T327" s="334" t="n"/>
      <c r="U327" s="334" t="n"/>
      <c r="V327" s="334" t="n"/>
      <c r="W327" s="334" t="n"/>
      <c r="X327" s="334" t="n"/>
      <c r="Y327" s="334" t="n"/>
      <c r="Z327" s="375">
        <f>IF(AND(G327&lt;&gt;"",R327&lt;&gt;"",V327&lt;&gt;"",W327&lt;&gt;""),"COMPLETADO","OBSERVADO")</f>
        <v/>
      </c>
    </row>
    <row r="328" ht="15" customHeight="1" s="195">
      <c r="A328" s="280" t="n"/>
      <c r="B328" s="280" t="n"/>
      <c r="C328" s="280" t="n"/>
      <c r="D328" s="280" t="n"/>
      <c r="E328" s="280" t="n"/>
      <c r="F328" s="280" t="n"/>
      <c r="G328" s="280" t="n"/>
      <c r="H328" s="280" t="n"/>
      <c r="I328" s="332">
        <f>IFERROR(VLOOKUP(TEXT(H328,"0"),IPRESS!$A$3:$B$212,2,0),"")</f>
        <v/>
      </c>
      <c r="J328" s="280" t="n"/>
      <c r="K328" s="332">
        <f>IFERROR(VLOOKUP(TEXT(O328,"0"),CONDUCTORES!$A$3:$G$54,7,0),"")</f>
        <v/>
      </c>
      <c r="L328" s="280" t="n"/>
      <c r="M328" s="280" t="n"/>
      <c r="N328" s="333">
        <f>IFERROR(IF(L328*M328=0,"",L328*M328),"")</f>
        <v/>
      </c>
      <c r="O328" s="280" t="n"/>
      <c r="P328" s="332">
        <f>IFERROR(VLOOKUP(TEXT(O328,"0"),CONDUCTORES!$A$3:$G$54,2,0),"")</f>
        <v/>
      </c>
      <c r="Q328" s="332">
        <f>IFERROR(VLOOKUP(TEXT(O328,"0"),CONDUCTORES!$A$3:$H$54,6,0),"")</f>
        <v/>
      </c>
      <c r="R328" s="280" t="n"/>
      <c r="S328" s="280" t="n"/>
      <c r="T328" s="280" t="n"/>
      <c r="U328" s="280" t="n"/>
      <c r="V328" s="280" t="n"/>
      <c r="W328" s="280" t="n"/>
      <c r="X328" s="280" t="n"/>
      <c r="Y328" s="280" t="n"/>
      <c r="Z328" s="375">
        <f>IF(AND(G328&lt;&gt;"",R328&lt;&gt;"",V328&lt;&gt;"",W328&lt;&gt;""),"COMPLETADO","OBSERVADO")</f>
        <v/>
      </c>
    </row>
    <row r="329" ht="15" customHeight="1" s="195">
      <c r="A329" s="334" t="n"/>
      <c r="B329" s="334" t="n"/>
      <c r="C329" s="334" t="n"/>
      <c r="D329" s="334" t="n"/>
      <c r="E329" s="334" t="n"/>
      <c r="F329" s="334" t="n"/>
      <c r="G329" s="334" t="n"/>
      <c r="H329" s="334" t="n"/>
      <c r="I329" s="332">
        <f>IFERROR(VLOOKUP(TEXT(H329,"0"),IPRESS!$A$3:$B$212,2,0),"")</f>
        <v/>
      </c>
      <c r="J329" s="334" t="n"/>
      <c r="K329" s="332">
        <f>IFERROR(VLOOKUP(TEXT(O329,"0"),CONDUCTORES!$A$3:$G$54,7,0),"")</f>
        <v/>
      </c>
      <c r="L329" s="334" t="n"/>
      <c r="M329" s="334" t="n"/>
      <c r="N329" s="333">
        <f>IFERROR(IF(L329*M329=0,"",L329*M329),"")</f>
        <v/>
      </c>
      <c r="O329" s="334" t="n"/>
      <c r="P329" s="332">
        <f>IFERROR(VLOOKUP(TEXT(O329,"0"),CONDUCTORES!$A$3:$G$54,2,0),"")</f>
        <v/>
      </c>
      <c r="Q329" s="332">
        <f>IFERROR(VLOOKUP(TEXT(O329,"0"),CONDUCTORES!$A$3:$H$54,6,0),"")</f>
        <v/>
      </c>
      <c r="R329" s="334" t="n"/>
      <c r="S329" s="334" t="n"/>
      <c r="T329" s="334" t="n"/>
      <c r="U329" s="334" t="n"/>
      <c r="V329" s="334" t="n"/>
      <c r="W329" s="334" t="n"/>
      <c r="X329" s="334" t="n"/>
      <c r="Y329" s="334" t="n"/>
      <c r="Z329" s="375">
        <f>IF(AND(G329&lt;&gt;"",R329&lt;&gt;"",V329&lt;&gt;"",W329&lt;&gt;""),"COMPLETADO","OBSERVADO")</f>
        <v/>
      </c>
    </row>
    <row r="330" ht="15" customHeight="1" s="195">
      <c r="A330" s="280" t="n"/>
      <c r="B330" s="280" t="n"/>
      <c r="C330" s="280" t="n"/>
      <c r="D330" s="280" t="n"/>
      <c r="E330" s="280" t="n"/>
      <c r="F330" s="280" t="n"/>
      <c r="G330" s="280" t="n"/>
      <c r="H330" s="280" t="n"/>
      <c r="I330" s="332">
        <f>IFERROR(VLOOKUP(TEXT(H330,"0"),IPRESS!$A$3:$B$212,2,0),"")</f>
        <v/>
      </c>
      <c r="J330" s="280" t="n"/>
      <c r="K330" s="332">
        <f>IFERROR(VLOOKUP(TEXT(O330,"0"),CONDUCTORES!$A$3:$G$54,7,0),"")</f>
        <v/>
      </c>
      <c r="L330" s="280" t="n"/>
      <c r="M330" s="280" t="n"/>
      <c r="N330" s="333">
        <f>IFERROR(IF(L330*M330=0,"",L330*M330),"")</f>
        <v/>
      </c>
      <c r="O330" s="280" t="n"/>
      <c r="P330" s="332">
        <f>IFERROR(VLOOKUP(TEXT(O330,"0"),CONDUCTORES!$A$3:$G$54,2,0),"")</f>
        <v/>
      </c>
      <c r="Q330" s="332">
        <f>IFERROR(VLOOKUP(TEXT(O330,"0"),CONDUCTORES!$A$3:$H$54,6,0),"")</f>
        <v/>
      </c>
      <c r="R330" s="280" t="n"/>
      <c r="S330" s="280" t="n"/>
      <c r="T330" s="280" t="n"/>
      <c r="U330" s="280" t="n"/>
      <c r="V330" s="280" t="n"/>
      <c r="W330" s="280" t="n"/>
      <c r="X330" s="280" t="n"/>
      <c r="Y330" s="280" t="n"/>
      <c r="Z330" s="375">
        <f>IF(AND(G330&lt;&gt;"",R330&lt;&gt;"",V330&lt;&gt;"",W330&lt;&gt;""),"COMPLETADO","OBSERVADO")</f>
        <v/>
      </c>
    </row>
    <row r="331" ht="15" customHeight="1" s="195">
      <c r="A331" s="334" t="n"/>
      <c r="B331" s="334" t="n"/>
      <c r="C331" s="334" t="n"/>
      <c r="D331" s="334" t="n"/>
      <c r="E331" s="334" t="n"/>
      <c r="F331" s="334" t="n"/>
      <c r="G331" s="334" t="n"/>
      <c r="H331" s="334" t="n"/>
      <c r="I331" s="332">
        <f>IFERROR(VLOOKUP(TEXT(H331,"0"),IPRESS!$A$3:$B$212,2,0),"")</f>
        <v/>
      </c>
      <c r="J331" s="334" t="n"/>
      <c r="K331" s="332">
        <f>IFERROR(VLOOKUP(TEXT(O331,"0"),CONDUCTORES!$A$3:$G$54,7,0),"")</f>
        <v/>
      </c>
      <c r="L331" s="334" t="n"/>
      <c r="M331" s="334" t="n"/>
      <c r="N331" s="333">
        <f>IFERROR(IF(L331*M331=0,"",L331*M331),"")</f>
        <v/>
      </c>
      <c r="O331" s="334" t="n"/>
      <c r="P331" s="332">
        <f>IFERROR(VLOOKUP(TEXT(O331,"0"),CONDUCTORES!$A$3:$G$54,2,0),"")</f>
        <v/>
      </c>
      <c r="Q331" s="332">
        <f>IFERROR(VLOOKUP(TEXT(O331,"0"),CONDUCTORES!$A$3:$H$54,6,0),"")</f>
        <v/>
      </c>
      <c r="R331" s="334" t="n"/>
      <c r="S331" s="334" t="n"/>
      <c r="T331" s="334" t="n"/>
      <c r="U331" s="334" t="n"/>
      <c r="V331" s="334" t="n"/>
      <c r="W331" s="334" t="n"/>
      <c r="X331" s="334" t="n"/>
      <c r="Y331" s="334" t="n"/>
      <c r="Z331" s="375">
        <f>IF(AND(G331&lt;&gt;"",R331&lt;&gt;"",V331&lt;&gt;"",W331&lt;&gt;""),"COMPLETADO","OBSERVADO")</f>
        <v/>
      </c>
    </row>
    <row r="332" ht="15" customHeight="1" s="195">
      <c r="A332" s="280" t="n"/>
      <c r="B332" s="280" t="n"/>
      <c r="C332" s="280" t="n"/>
      <c r="D332" s="280" t="n"/>
      <c r="E332" s="280" t="n"/>
      <c r="F332" s="280" t="n"/>
      <c r="G332" s="280" t="n"/>
      <c r="H332" s="280" t="n"/>
      <c r="I332" s="332">
        <f>IFERROR(VLOOKUP(TEXT(H332,"0"),IPRESS!$A$3:$B$212,2,0),"")</f>
        <v/>
      </c>
      <c r="J332" s="280" t="n"/>
      <c r="K332" s="332">
        <f>IFERROR(VLOOKUP(TEXT(O332,"0"),CONDUCTORES!$A$3:$G$54,7,0),"")</f>
        <v/>
      </c>
      <c r="L332" s="280" t="n"/>
      <c r="M332" s="280" t="n"/>
      <c r="N332" s="333">
        <f>IFERROR(IF(L332*M332=0,"",L332*M332),"")</f>
        <v/>
      </c>
      <c r="O332" s="280" t="n"/>
      <c r="P332" s="332">
        <f>IFERROR(VLOOKUP(TEXT(O332,"0"),CONDUCTORES!$A$3:$G$54,2,0),"")</f>
        <v/>
      </c>
      <c r="Q332" s="332">
        <f>IFERROR(VLOOKUP(TEXT(O332,"0"),CONDUCTORES!$A$3:$H$54,6,0),"")</f>
        <v/>
      </c>
      <c r="R332" s="280" t="n"/>
      <c r="S332" s="280" t="n"/>
      <c r="T332" s="280" t="n"/>
      <c r="U332" s="280" t="n"/>
      <c r="V332" s="280" t="n"/>
      <c r="W332" s="280" t="n"/>
      <c r="X332" s="280" t="n"/>
      <c r="Y332" s="280" t="n"/>
      <c r="Z332" s="375">
        <f>IF(AND(G332&lt;&gt;"",R332&lt;&gt;"",V332&lt;&gt;"",W332&lt;&gt;""),"COMPLETADO","OBSERVADO")</f>
        <v/>
      </c>
    </row>
    <row r="333" ht="15" customHeight="1" s="195">
      <c r="A333" s="334" t="n"/>
      <c r="B333" s="334" t="n"/>
      <c r="C333" s="334" t="n"/>
      <c r="D333" s="334" t="n"/>
      <c r="E333" s="334" t="n"/>
      <c r="F333" s="334" t="n"/>
      <c r="G333" s="334" t="n"/>
      <c r="H333" s="334" t="n"/>
      <c r="I333" s="332">
        <f>IFERROR(VLOOKUP(TEXT(H333,"0"),IPRESS!$A$3:$B$212,2,0),"")</f>
        <v/>
      </c>
      <c r="J333" s="334" t="n"/>
      <c r="K333" s="332">
        <f>IFERROR(VLOOKUP(TEXT(O333,"0"),CONDUCTORES!$A$3:$G$54,7,0),"")</f>
        <v/>
      </c>
      <c r="L333" s="334" t="n"/>
      <c r="M333" s="334" t="n"/>
      <c r="N333" s="333">
        <f>IFERROR(IF(L333*M333=0,"",L333*M333),"")</f>
        <v/>
      </c>
      <c r="O333" s="334" t="n"/>
      <c r="P333" s="332">
        <f>IFERROR(VLOOKUP(TEXT(O333,"0"),CONDUCTORES!$A$3:$G$54,2,0),"")</f>
        <v/>
      </c>
      <c r="Q333" s="332">
        <f>IFERROR(VLOOKUP(TEXT(O333,"0"),CONDUCTORES!$A$3:$H$54,6,0),"")</f>
        <v/>
      </c>
      <c r="R333" s="334" t="n"/>
      <c r="S333" s="334" t="n"/>
      <c r="T333" s="334" t="n"/>
      <c r="U333" s="334" t="n"/>
      <c r="V333" s="334" t="n"/>
      <c r="W333" s="334" t="n"/>
      <c r="X333" s="334" t="n"/>
      <c r="Y333" s="334" t="n"/>
      <c r="Z333" s="375">
        <f>IF(AND(G333&lt;&gt;"",R333&lt;&gt;"",V333&lt;&gt;"",W333&lt;&gt;""),"COMPLETADO","OBSERVADO")</f>
        <v/>
      </c>
    </row>
    <row r="334" ht="15" customHeight="1" s="195">
      <c r="A334" s="280" t="n"/>
      <c r="B334" s="280" t="n"/>
      <c r="C334" s="280" t="n"/>
      <c r="D334" s="280" t="n"/>
      <c r="E334" s="280" t="n"/>
      <c r="F334" s="280" t="n"/>
      <c r="G334" s="280" t="n"/>
      <c r="H334" s="280" t="n"/>
      <c r="I334" s="332">
        <f>IFERROR(VLOOKUP(TEXT(H334,"0"),IPRESS!$A$3:$B$212,2,0),"")</f>
        <v/>
      </c>
      <c r="J334" s="280" t="n"/>
      <c r="K334" s="332">
        <f>IFERROR(VLOOKUP(TEXT(O334,"0"),CONDUCTORES!$A$3:$G$54,7,0),"")</f>
        <v/>
      </c>
      <c r="L334" s="280" t="n"/>
      <c r="M334" s="280" t="n"/>
      <c r="N334" s="333">
        <f>IFERROR(IF(L334*M334=0,"",L334*M334),"")</f>
        <v/>
      </c>
      <c r="O334" s="280" t="n"/>
      <c r="P334" s="332">
        <f>IFERROR(VLOOKUP(TEXT(O334,"0"),CONDUCTORES!$A$3:$G$54,2,0),"")</f>
        <v/>
      </c>
      <c r="Q334" s="332">
        <f>IFERROR(VLOOKUP(TEXT(O334,"0"),CONDUCTORES!$A$3:$H$54,6,0),"")</f>
        <v/>
      </c>
      <c r="R334" s="280" t="n"/>
      <c r="S334" s="280" t="n"/>
      <c r="T334" s="280" t="n"/>
      <c r="U334" s="280" t="n"/>
      <c r="V334" s="280" t="n"/>
      <c r="W334" s="280" t="n"/>
      <c r="X334" s="280" t="n"/>
      <c r="Y334" s="280" t="n"/>
      <c r="Z334" s="375">
        <f>IF(AND(G334&lt;&gt;"",R334&lt;&gt;"",V334&lt;&gt;"",W334&lt;&gt;""),"COMPLETADO","OBSERVADO")</f>
        <v/>
      </c>
    </row>
    <row r="335" ht="15" customHeight="1" s="195">
      <c r="A335" s="334" t="n"/>
      <c r="B335" s="334" t="n"/>
      <c r="C335" s="334" t="n"/>
      <c r="D335" s="334" t="n"/>
      <c r="E335" s="334" t="n"/>
      <c r="F335" s="334" t="n"/>
      <c r="G335" s="334" t="n"/>
      <c r="H335" s="334" t="n"/>
      <c r="I335" s="332">
        <f>IFERROR(VLOOKUP(TEXT(H335,"0"),IPRESS!$A$3:$B$212,2,0),"")</f>
        <v/>
      </c>
      <c r="J335" s="334" t="n"/>
      <c r="K335" s="332">
        <f>IFERROR(VLOOKUP(TEXT(O335,"0"),CONDUCTORES!$A$3:$G$54,7,0),"")</f>
        <v/>
      </c>
      <c r="L335" s="334" t="n"/>
      <c r="M335" s="334" t="n"/>
      <c r="N335" s="333">
        <f>IFERROR(IF(L335*M335=0,"",L335*M335),"")</f>
        <v/>
      </c>
      <c r="O335" s="334" t="n"/>
      <c r="P335" s="332">
        <f>IFERROR(VLOOKUP(TEXT(O335,"0"),CONDUCTORES!$A$3:$G$54,2,0),"")</f>
        <v/>
      </c>
      <c r="Q335" s="332">
        <f>IFERROR(VLOOKUP(TEXT(O335,"0"),CONDUCTORES!$A$3:$H$54,6,0),"")</f>
        <v/>
      </c>
      <c r="R335" s="334" t="n"/>
      <c r="S335" s="334" t="n"/>
      <c r="T335" s="334" t="n"/>
      <c r="U335" s="334" t="n"/>
      <c r="V335" s="334" t="n"/>
      <c r="W335" s="334" t="n"/>
      <c r="X335" s="334" t="n"/>
      <c r="Y335" s="334" t="n"/>
      <c r="Z335" s="375">
        <f>IF(AND(G335&lt;&gt;"",R335&lt;&gt;"",V335&lt;&gt;"",W335&lt;&gt;""),"COMPLETADO","OBSERVADO")</f>
        <v/>
      </c>
    </row>
    <row r="336" ht="15" customHeight="1" s="195">
      <c r="A336" s="280" t="n"/>
      <c r="B336" s="280" t="n"/>
      <c r="C336" s="280" t="n"/>
      <c r="D336" s="280" t="n"/>
      <c r="E336" s="280" t="n"/>
      <c r="F336" s="280" t="n"/>
      <c r="G336" s="280" t="n"/>
      <c r="H336" s="280" t="n"/>
      <c r="I336" s="332">
        <f>IFERROR(VLOOKUP(TEXT(H336,"0"),IPRESS!$A$3:$B$212,2,0),"")</f>
        <v/>
      </c>
      <c r="J336" s="280" t="n"/>
      <c r="K336" s="332">
        <f>IFERROR(VLOOKUP(TEXT(O336,"0"),CONDUCTORES!$A$3:$G$54,7,0),"")</f>
        <v/>
      </c>
      <c r="L336" s="280" t="n"/>
      <c r="M336" s="280" t="n"/>
      <c r="N336" s="333">
        <f>IFERROR(IF(L336*M336=0,"",L336*M336),"")</f>
        <v/>
      </c>
      <c r="O336" s="280" t="n"/>
      <c r="P336" s="332">
        <f>IFERROR(VLOOKUP(TEXT(O336,"0"),CONDUCTORES!$A$3:$G$54,2,0),"")</f>
        <v/>
      </c>
      <c r="Q336" s="332">
        <f>IFERROR(VLOOKUP(TEXT(O336,"0"),CONDUCTORES!$A$3:$H$54,6,0),"")</f>
        <v/>
      </c>
      <c r="R336" s="280" t="n"/>
      <c r="S336" s="280" t="n"/>
      <c r="T336" s="280" t="n"/>
      <c r="U336" s="280" t="n"/>
      <c r="V336" s="280" t="n"/>
      <c r="W336" s="280" t="n"/>
      <c r="X336" s="280" t="n"/>
      <c r="Y336" s="280" t="n"/>
      <c r="Z336" s="375">
        <f>IF(AND(G336&lt;&gt;"",R336&lt;&gt;"",V336&lt;&gt;"",W336&lt;&gt;""),"COMPLETADO","OBSERVADO")</f>
        <v/>
      </c>
    </row>
    <row r="337" ht="15" customHeight="1" s="195">
      <c r="A337" s="334" t="n"/>
      <c r="B337" s="334" t="n"/>
      <c r="C337" s="334" t="n"/>
      <c r="D337" s="334" t="n"/>
      <c r="E337" s="334" t="n"/>
      <c r="F337" s="334" t="n"/>
      <c r="G337" s="334" t="n"/>
      <c r="H337" s="334" t="n"/>
      <c r="I337" s="332">
        <f>IFERROR(VLOOKUP(TEXT(H337,"0"),IPRESS!$A$3:$B$212,2,0),"")</f>
        <v/>
      </c>
      <c r="J337" s="334" t="n"/>
      <c r="K337" s="332">
        <f>IFERROR(VLOOKUP(TEXT(O337,"0"),CONDUCTORES!$A$3:$G$54,7,0),"")</f>
        <v/>
      </c>
      <c r="L337" s="334" t="n"/>
      <c r="M337" s="334" t="n"/>
      <c r="N337" s="333">
        <f>IFERROR(IF(L337*M337=0,"",L337*M337),"")</f>
        <v/>
      </c>
      <c r="O337" s="334" t="n"/>
      <c r="P337" s="332">
        <f>IFERROR(VLOOKUP(TEXT(O337,"0"),CONDUCTORES!$A$3:$G$54,2,0),"")</f>
        <v/>
      </c>
      <c r="Q337" s="332">
        <f>IFERROR(VLOOKUP(TEXT(O337,"0"),CONDUCTORES!$A$3:$H$54,6,0),"")</f>
        <v/>
      </c>
      <c r="R337" s="334" t="n"/>
      <c r="S337" s="334" t="n"/>
      <c r="T337" s="334" t="n"/>
      <c r="U337" s="334" t="n"/>
      <c r="V337" s="334" t="n"/>
      <c r="W337" s="334" t="n"/>
      <c r="X337" s="334" t="n"/>
      <c r="Y337" s="334" t="n"/>
      <c r="Z337" s="375">
        <f>IF(AND(G337&lt;&gt;"",R337&lt;&gt;"",V337&lt;&gt;"",W337&lt;&gt;""),"COMPLETADO","OBSERVADO")</f>
        <v/>
      </c>
    </row>
    <row r="338" ht="15" customHeight="1" s="195">
      <c r="A338" s="280" t="n"/>
      <c r="B338" s="280" t="n"/>
      <c r="C338" s="280" t="n"/>
      <c r="D338" s="280" t="n"/>
      <c r="E338" s="280" t="n"/>
      <c r="F338" s="280" t="n"/>
      <c r="G338" s="280" t="n"/>
      <c r="H338" s="280" t="n"/>
      <c r="I338" s="332">
        <f>IFERROR(VLOOKUP(TEXT(H338,"0"),IPRESS!$A$3:$B$212,2,0),"")</f>
        <v/>
      </c>
      <c r="J338" s="280" t="n"/>
      <c r="K338" s="332">
        <f>IFERROR(VLOOKUP(TEXT(O338,"0"),CONDUCTORES!$A$3:$G$54,7,0),"")</f>
        <v/>
      </c>
      <c r="L338" s="280" t="n"/>
      <c r="M338" s="280" t="n"/>
      <c r="N338" s="333">
        <f>IFERROR(IF(L338*M338=0,"",L338*M338),"")</f>
        <v/>
      </c>
      <c r="O338" s="280" t="n"/>
      <c r="P338" s="332">
        <f>IFERROR(VLOOKUP(TEXT(O338,"0"),CONDUCTORES!$A$3:$G$54,2,0),"")</f>
        <v/>
      </c>
      <c r="Q338" s="332">
        <f>IFERROR(VLOOKUP(TEXT(O338,"0"),CONDUCTORES!$A$3:$H$54,6,0),"")</f>
        <v/>
      </c>
      <c r="R338" s="280" t="n"/>
      <c r="S338" s="280" t="n"/>
      <c r="T338" s="280" t="n"/>
      <c r="U338" s="280" t="n"/>
      <c r="V338" s="280" t="n"/>
      <c r="W338" s="280" t="n"/>
      <c r="X338" s="280" t="n"/>
      <c r="Y338" s="280" t="n"/>
      <c r="Z338" s="375">
        <f>IF(AND(G338&lt;&gt;"",R338&lt;&gt;"",V338&lt;&gt;"",W338&lt;&gt;""),"COMPLETADO","OBSERVADO")</f>
        <v/>
      </c>
    </row>
    <row r="339" ht="15" customHeight="1" s="195">
      <c r="A339" s="334" t="n"/>
      <c r="B339" s="334" t="n"/>
      <c r="C339" s="334" t="n"/>
      <c r="D339" s="334" t="n"/>
      <c r="E339" s="334" t="n"/>
      <c r="F339" s="334" t="n"/>
      <c r="G339" s="334" t="n"/>
      <c r="H339" s="334" t="n"/>
      <c r="I339" s="332">
        <f>IFERROR(VLOOKUP(TEXT(H339,"0"),IPRESS!$A$3:$B$212,2,0),"")</f>
        <v/>
      </c>
      <c r="J339" s="334" t="n"/>
      <c r="K339" s="332">
        <f>IFERROR(VLOOKUP(TEXT(O339,"0"),CONDUCTORES!$A$3:$G$54,7,0),"")</f>
        <v/>
      </c>
      <c r="L339" s="334" t="n"/>
      <c r="M339" s="334" t="n"/>
      <c r="N339" s="333">
        <f>IFERROR(IF(L339*M339=0,"",L339*M339),"")</f>
        <v/>
      </c>
      <c r="O339" s="334" t="n"/>
      <c r="P339" s="332">
        <f>IFERROR(VLOOKUP(TEXT(O339,"0"),CONDUCTORES!$A$3:$G$54,2,0),"")</f>
        <v/>
      </c>
      <c r="Q339" s="332">
        <f>IFERROR(VLOOKUP(TEXT(O339,"0"),CONDUCTORES!$A$3:$H$54,6,0),"")</f>
        <v/>
      </c>
      <c r="R339" s="334" t="n"/>
      <c r="S339" s="334" t="n"/>
      <c r="T339" s="334" t="n"/>
      <c r="U339" s="334" t="n"/>
      <c r="V339" s="334" t="n"/>
      <c r="W339" s="334" t="n"/>
      <c r="X339" s="334" t="n"/>
      <c r="Y339" s="334" t="n"/>
      <c r="Z339" s="375">
        <f>IF(AND(G339&lt;&gt;"",R339&lt;&gt;"",V339&lt;&gt;"",W339&lt;&gt;""),"COMPLETADO","OBSERVADO")</f>
        <v/>
      </c>
    </row>
    <row r="340" ht="15" customHeight="1" s="195">
      <c r="A340" s="280" t="n"/>
      <c r="B340" s="280" t="n"/>
      <c r="C340" s="280" t="n"/>
      <c r="D340" s="280" t="n"/>
      <c r="E340" s="280" t="n"/>
      <c r="F340" s="280" t="n"/>
      <c r="G340" s="280" t="n"/>
      <c r="H340" s="280" t="n"/>
      <c r="I340" s="332">
        <f>IFERROR(VLOOKUP(TEXT(H340,"0"),IPRESS!$A$3:$B$212,2,0),"")</f>
        <v/>
      </c>
      <c r="J340" s="280" t="n"/>
      <c r="K340" s="332">
        <f>IFERROR(VLOOKUP(TEXT(O340,"0"),CONDUCTORES!$A$3:$G$54,7,0),"")</f>
        <v/>
      </c>
      <c r="L340" s="280" t="n"/>
      <c r="M340" s="280" t="n"/>
      <c r="N340" s="333">
        <f>IFERROR(IF(L340*M340=0,"",L340*M340),"")</f>
        <v/>
      </c>
      <c r="O340" s="280" t="n"/>
      <c r="P340" s="332">
        <f>IFERROR(VLOOKUP(TEXT(O340,"0"),CONDUCTORES!$A$3:$G$54,2,0),"")</f>
        <v/>
      </c>
      <c r="Q340" s="332">
        <f>IFERROR(VLOOKUP(TEXT(O340,"0"),CONDUCTORES!$A$3:$H$54,6,0),"")</f>
        <v/>
      </c>
      <c r="R340" s="280" t="n"/>
      <c r="S340" s="280" t="n"/>
      <c r="T340" s="280" t="n"/>
      <c r="U340" s="280" t="n"/>
      <c r="V340" s="280" t="n"/>
      <c r="W340" s="280" t="n"/>
      <c r="X340" s="280" t="n"/>
      <c r="Y340" s="280" t="n"/>
      <c r="Z340" s="375">
        <f>IF(AND(G340&lt;&gt;"",R340&lt;&gt;"",V340&lt;&gt;"",W340&lt;&gt;""),"COMPLETADO","OBSERVADO")</f>
        <v/>
      </c>
    </row>
    <row r="341" ht="15" customHeight="1" s="195">
      <c r="A341" s="334" t="n"/>
      <c r="B341" s="334" t="n"/>
      <c r="C341" s="334" t="n"/>
      <c r="D341" s="334" t="n"/>
      <c r="E341" s="334" t="n"/>
      <c r="F341" s="334" t="n"/>
      <c r="G341" s="334" t="n"/>
      <c r="H341" s="334" t="n"/>
      <c r="I341" s="332">
        <f>IFERROR(VLOOKUP(TEXT(H341,"0"),IPRESS!$A$3:$B$212,2,0),"")</f>
        <v/>
      </c>
      <c r="J341" s="334" t="n"/>
      <c r="K341" s="332">
        <f>IFERROR(VLOOKUP(TEXT(O341,"0"),CONDUCTORES!$A$3:$G$54,7,0),"")</f>
        <v/>
      </c>
      <c r="L341" s="334" t="n"/>
      <c r="M341" s="334" t="n"/>
      <c r="N341" s="333">
        <f>IFERROR(IF(L341*M341=0,"",L341*M341),"")</f>
        <v/>
      </c>
      <c r="O341" s="334" t="n"/>
      <c r="P341" s="332">
        <f>IFERROR(VLOOKUP(TEXT(O341,"0"),CONDUCTORES!$A$3:$G$54,2,0),"")</f>
        <v/>
      </c>
      <c r="Q341" s="332">
        <f>IFERROR(VLOOKUP(TEXT(O341,"0"),CONDUCTORES!$A$3:$H$54,6,0),"")</f>
        <v/>
      </c>
      <c r="R341" s="334" t="n"/>
      <c r="S341" s="334" t="n"/>
      <c r="T341" s="334" t="n"/>
      <c r="U341" s="334" t="n"/>
      <c r="V341" s="334" t="n"/>
      <c r="W341" s="334" t="n"/>
      <c r="X341" s="334" t="n"/>
      <c r="Y341" s="334" t="n"/>
      <c r="Z341" s="375">
        <f>IF(AND(G341&lt;&gt;"",R341&lt;&gt;"",V341&lt;&gt;"",W341&lt;&gt;""),"COMPLETADO","OBSERVADO")</f>
        <v/>
      </c>
    </row>
    <row r="342" ht="15" customHeight="1" s="195">
      <c r="A342" s="280" t="n"/>
      <c r="B342" s="280" t="n"/>
      <c r="C342" s="280" t="n"/>
      <c r="D342" s="280" t="n"/>
      <c r="E342" s="280" t="n"/>
      <c r="F342" s="280" t="n"/>
      <c r="G342" s="280" t="n"/>
      <c r="H342" s="280" t="n"/>
      <c r="I342" s="332">
        <f>IFERROR(VLOOKUP(TEXT(H342,"0"),IPRESS!$A$3:$B$212,2,0),"")</f>
        <v/>
      </c>
      <c r="J342" s="280" t="n"/>
      <c r="K342" s="332">
        <f>IFERROR(VLOOKUP(TEXT(O342,"0"),CONDUCTORES!$A$3:$G$54,7,0),"")</f>
        <v/>
      </c>
      <c r="L342" s="280" t="n"/>
      <c r="M342" s="280" t="n"/>
      <c r="N342" s="333">
        <f>IFERROR(IF(L342*M342=0,"",L342*M342),"")</f>
        <v/>
      </c>
      <c r="O342" s="280" t="n"/>
      <c r="P342" s="332">
        <f>IFERROR(VLOOKUP(TEXT(O342,"0"),CONDUCTORES!$A$3:$G$54,2,0),"")</f>
        <v/>
      </c>
      <c r="Q342" s="332">
        <f>IFERROR(VLOOKUP(TEXT(O342,"0"),CONDUCTORES!$A$3:$H$54,6,0),"")</f>
        <v/>
      </c>
      <c r="R342" s="280" t="n"/>
      <c r="S342" s="280" t="n"/>
      <c r="T342" s="280" t="n"/>
      <c r="U342" s="280" t="n"/>
      <c r="V342" s="280" t="n"/>
      <c r="W342" s="280" t="n"/>
      <c r="X342" s="280" t="n"/>
      <c r="Y342" s="280" t="n"/>
      <c r="Z342" s="375">
        <f>IF(AND(G342&lt;&gt;"",R342&lt;&gt;"",V342&lt;&gt;"",W342&lt;&gt;""),"COMPLETADO","OBSERVADO")</f>
        <v/>
      </c>
    </row>
    <row r="343" ht="15" customHeight="1" s="195">
      <c r="A343" s="334" t="n"/>
      <c r="B343" s="334" t="n"/>
      <c r="C343" s="334" t="n"/>
      <c r="D343" s="334" t="n"/>
      <c r="E343" s="334" t="n"/>
      <c r="F343" s="334" t="n"/>
      <c r="G343" s="334" t="n"/>
      <c r="H343" s="334" t="n"/>
      <c r="I343" s="332">
        <f>IFERROR(VLOOKUP(TEXT(H343,"0"),IPRESS!$A$3:$B$212,2,0),"")</f>
        <v/>
      </c>
      <c r="J343" s="334" t="n"/>
      <c r="K343" s="332">
        <f>IFERROR(VLOOKUP(TEXT(O343,"0"),CONDUCTORES!$A$3:$G$54,7,0),"")</f>
        <v/>
      </c>
      <c r="L343" s="334" t="n"/>
      <c r="M343" s="334" t="n"/>
      <c r="N343" s="333">
        <f>IFERROR(IF(L343*M343=0,"",L343*M343),"")</f>
        <v/>
      </c>
      <c r="O343" s="334" t="n"/>
      <c r="P343" s="332">
        <f>IFERROR(VLOOKUP(TEXT(O343,"0"),CONDUCTORES!$A$3:$G$54,2,0),"")</f>
        <v/>
      </c>
      <c r="Q343" s="332">
        <f>IFERROR(VLOOKUP(TEXT(O343,"0"),CONDUCTORES!$A$3:$H$54,6,0),"")</f>
        <v/>
      </c>
      <c r="R343" s="334" t="n"/>
      <c r="S343" s="334" t="n"/>
      <c r="T343" s="334" t="n"/>
      <c r="U343" s="334" t="n"/>
      <c r="V343" s="334" t="n"/>
      <c r="W343" s="334" t="n"/>
      <c r="X343" s="334" t="n"/>
      <c r="Y343" s="334" t="n"/>
      <c r="Z343" s="375">
        <f>IF(AND(G343&lt;&gt;"",R343&lt;&gt;"",V343&lt;&gt;"",W343&lt;&gt;""),"COMPLETADO","OBSERVADO")</f>
        <v/>
      </c>
    </row>
    <row r="344" ht="15" customHeight="1" s="195">
      <c r="A344" s="280" t="n"/>
      <c r="B344" s="280" t="n"/>
      <c r="C344" s="280" t="n"/>
      <c r="D344" s="280" t="n"/>
      <c r="E344" s="280" t="n"/>
      <c r="F344" s="280" t="n"/>
      <c r="G344" s="280" t="n"/>
      <c r="H344" s="280" t="n"/>
      <c r="I344" s="332">
        <f>IFERROR(VLOOKUP(TEXT(H344,"0"),IPRESS!$A$3:$B$212,2,0),"")</f>
        <v/>
      </c>
      <c r="J344" s="280" t="n"/>
      <c r="K344" s="332">
        <f>IFERROR(VLOOKUP(TEXT(O344,"0"),CONDUCTORES!$A$3:$G$54,7,0),"")</f>
        <v/>
      </c>
      <c r="L344" s="280" t="n"/>
      <c r="M344" s="280" t="n"/>
      <c r="N344" s="333">
        <f>IFERROR(IF(L344*M344=0,"",L344*M344),"")</f>
        <v/>
      </c>
      <c r="O344" s="280" t="n"/>
      <c r="P344" s="332">
        <f>IFERROR(VLOOKUP(TEXT(O344,"0"),CONDUCTORES!$A$3:$G$54,2,0),"")</f>
        <v/>
      </c>
      <c r="Q344" s="332">
        <f>IFERROR(VLOOKUP(TEXT(O344,"0"),CONDUCTORES!$A$3:$H$54,6,0),"")</f>
        <v/>
      </c>
      <c r="R344" s="280" t="n"/>
      <c r="S344" s="280" t="n"/>
      <c r="T344" s="280" t="n"/>
      <c r="U344" s="280" t="n"/>
      <c r="V344" s="280" t="n"/>
      <c r="W344" s="280" t="n"/>
      <c r="X344" s="280" t="n"/>
      <c r="Y344" s="280" t="n"/>
      <c r="Z344" s="375">
        <f>IF(AND(G344&lt;&gt;"",R344&lt;&gt;"",V344&lt;&gt;"",W344&lt;&gt;""),"COMPLETADO","OBSERVADO")</f>
        <v/>
      </c>
    </row>
    <row r="345" ht="15" customHeight="1" s="195">
      <c r="A345" s="334" t="n"/>
      <c r="B345" s="334" t="n"/>
      <c r="C345" s="334" t="n"/>
      <c r="D345" s="334" t="n"/>
      <c r="E345" s="334" t="n"/>
      <c r="F345" s="334" t="n"/>
      <c r="G345" s="334" t="n"/>
      <c r="H345" s="334" t="n"/>
      <c r="I345" s="332">
        <f>IFERROR(VLOOKUP(TEXT(H345,"0"),IPRESS!$A$3:$B$212,2,0),"")</f>
        <v/>
      </c>
      <c r="J345" s="334" t="n"/>
      <c r="K345" s="332">
        <f>IFERROR(VLOOKUP(TEXT(O345,"0"),CONDUCTORES!$A$3:$G$54,7,0),"")</f>
        <v/>
      </c>
      <c r="L345" s="334" t="n"/>
      <c r="M345" s="334" t="n"/>
      <c r="N345" s="333">
        <f>IFERROR(IF(L345*M345=0,"",L345*M345),"")</f>
        <v/>
      </c>
      <c r="O345" s="334" t="n"/>
      <c r="P345" s="332">
        <f>IFERROR(VLOOKUP(TEXT(O345,"0"),CONDUCTORES!$A$3:$G$54,2,0),"")</f>
        <v/>
      </c>
      <c r="Q345" s="332">
        <f>IFERROR(VLOOKUP(TEXT(O345,"0"),CONDUCTORES!$A$3:$H$54,6,0),"")</f>
        <v/>
      </c>
      <c r="R345" s="334" t="n"/>
      <c r="S345" s="334" t="n"/>
      <c r="T345" s="334" t="n"/>
      <c r="U345" s="334" t="n"/>
      <c r="V345" s="334" t="n"/>
      <c r="W345" s="334" t="n"/>
      <c r="X345" s="334" t="n"/>
      <c r="Y345" s="334" t="n"/>
      <c r="Z345" s="375">
        <f>IF(AND(G345&lt;&gt;"",R345&lt;&gt;"",V345&lt;&gt;"",W345&lt;&gt;""),"COMPLETADO","OBSERVADO")</f>
        <v/>
      </c>
    </row>
    <row r="346" ht="15" customHeight="1" s="195">
      <c r="A346" s="280" t="n"/>
      <c r="B346" s="280" t="n"/>
      <c r="C346" s="280" t="n"/>
      <c r="D346" s="280" t="n"/>
      <c r="E346" s="280" t="n"/>
      <c r="F346" s="280" t="n"/>
      <c r="G346" s="280" t="n"/>
      <c r="H346" s="280" t="n"/>
      <c r="I346" s="332">
        <f>IFERROR(VLOOKUP(TEXT(H346,"0"),IPRESS!$A$3:$B$212,2,0),"")</f>
        <v/>
      </c>
      <c r="J346" s="280" t="n"/>
      <c r="K346" s="332">
        <f>IFERROR(VLOOKUP(TEXT(O346,"0"),CONDUCTORES!$A$3:$G$54,7,0),"")</f>
        <v/>
      </c>
      <c r="L346" s="280" t="n"/>
      <c r="M346" s="280" t="n"/>
      <c r="N346" s="333">
        <f>IFERROR(IF(L346*M346=0,"",L346*M346),"")</f>
        <v/>
      </c>
      <c r="O346" s="280" t="n"/>
      <c r="P346" s="332">
        <f>IFERROR(VLOOKUP(TEXT(O346,"0"),CONDUCTORES!$A$3:$G$54,2,0),"")</f>
        <v/>
      </c>
      <c r="Q346" s="332">
        <f>IFERROR(VLOOKUP(TEXT(O346,"0"),CONDUCTORES!$A$3:$H$54,6,0),"")</f>
        <v/>
      </c>
      <c r="R346" s="280" t="n"/>
      <c r="S346" s="280" t="n"/>
      <c r="T346" s="280" t="n"/>
      <c r="U346" s="280" t="n"/>
      <c r="V346" s="280" t="n"/>
      <c r="W346" s="280" t="n"/>
      <c r="X346" s="280" t="n"/>
      <c r="Y346" s="280" t="n"/>
      <c r="Z346" s="375">
        <f>IF(AND(G346&lt;&gt;"",R346&lt;&gt;"",V346&lt;&gt;"",W346&lt;&gt;""),"COMPLETADO","OBSERVADO")</f>
        <v/>
      </c>
    </row>
    <row r="347" ht="15" customHeight="1" s="195">
      <c r="A347" s="334" t="n"/>
      <c r="B347" s="334" t="n"/>
      <c r="C347" s="334" t="n"/>
      <c r="D347" s="334" t="n"/>
      <c r="E347" s="334" t="n"/>
      <c r="F347" s="334" t="n"/>
      <c r="G347" s="334" t="n"/>
      <c r="H347" s="334" t="n"/>
      <c r="I347" s="332">
        <f>IFERROR(VLOOKUP(TEXT(H347,"0"),IPRESS!$A$3:$B$212,2,0),"")</f>
        <v/>
      </c>
      <c r="J347" s="334" t="n"/>
      <c r="K347" s="332">
        <f>IFERROR(VLOOKUP(TEXT(O347,"0"),CONDUCTORES!$A$3:$G$54,7,0),"")</f>
        <v/>
      </c>
      <c r="L347" s="334" t="n"/>
      <c r="M347" s="334" t="n"/>
      <c r="N347" s="333">
        <f>IFERROR(IF(L347*M347=0,"",L347*M347),"")</f>
        <v/>
      </c>
      <c r="O347" s="334" t="n"/>
      <c r="P347" s="332">
        <f>IFERROR(VLOOKUP(TEXT(O347,"0"),CONDUCTORES!$A$3:$G$54,2,0),"")</f>
        <v/>
      </c>
      <c r="Q347" s="332">
        <f>IFERROR(VLOOKUP(TEXT(O347,"0"),CONDUCTORES!$A$3:$H$54,6,0),"")</f>
        <v/>
      </c>
      <c r="R347" s="334" t="n"/>
      <c r="S347" s="334" t="n"/>
      <c r="T347" s="334" t="n"/>
      <c r="U347" s="334" t="n"/>
      <c r="V347" s="334" t="n"/>
      <c r="W347" s="334" t="n"/>
      <c r="X347" s="334" t="n"/>
      <c r="Y347" s="334" t="n"/>
      <c r="Z347" s="375">
        <f>IF(AND(G347&lt;&gt;"",R347&lt;&gt;"",V347&lt;&gt;"",W347&lt;&gt;""),"COMPLETADO","OBSERVADO")</f>
        <v/>
      </c>
    </row>
    <row r="348" ht="15" customHeight="1" s="195">
      <c r="A348" s="280" t="n"/>
      <c r="B348" s="280" t="n"/>
      <c r="C348" s="280" t="n"/>
      <c r="D348" s="280" t="n"/>
      <c r="E348" s="280" t="n"/>
      <c r="F348" s="280" t="n"/>
      <c r="G348" s="280" t="n"/>
      <c r="H348" s="280" t="n"/>
      <c r="I348" s="332">
        <f>IFERROR(VLOOKUP(TEXT(H348,"0"),IPRESS!$A$3:$B$212,2,0),"")</f>
        <v/>
      </c>
      <c r="J348" s="280" t="n"/>
      <c r="K348" s="332">
        <f>IFERROR(VLOOKUP(TEXT(O348,"0"),CONDUCTORES!$A$3:$G$54,7,0),"")</f>
        <v/>
      </c>
      <c r="L348" s="280" t="n"/>
      <c r="M348" s="280" t="n"/>
      <c r="N348" s="333">
        <f>IFERROR(IF(L348*M348=0,"",L348*M348),"")</f>
        <v/>
      </c>
      <c r="O348" s="280" t="n"/>
      <c r="P348" s="332">
        <f>IFERROR(VLOOKUP(TEXT(O348,"0"),CONDUCTORES!$A$3:$G$54,2,0),"")</f>
        <v/>
      </c>
      <c r="Q348" s="332">
        <f>IFERROR(VLOOKUP(TEXT(O348,"0"),CONDUCTORES!$A$3:$H$54,6,0),"")</f>
        <v/>
      </c>
      <c r="R348" s="280" t="n"/>
      <c r="S348" s="280" t="n"/>
      <c r="T348" s="280" t="n"/>
      <c r="U348" s="280" t="n"/>
      <c r="V348" s="280" t="n"/>
      <c r="W348" s="280" t="n"/>
      <c r="X348" s="280" t="n"/>
      <c r="Y348" s="280" t="n"/>
      <c r="Z348" s="375">
        <f>IF(AND(G348&lt;&gt;"",R348&lt;&gt;"",V348&lt;&gt;"",W348&lt;&gt;""),"COMPLETADO","OBSERVADO")</f>
        <v/>
      </c>
    </row>
    <row r="349" ht="15" customHeight="1" s="195">
      <c r="A349" s="334" t="n"/>
      <c r="B349" s="334" t="n"/>
      <c r="C349" s="334" t="n"/>
      <c r="D349" s="334" t="n"/>
      <c r="E349" s="334" t="n"/>
      <c r="F349" s="334" t="n"/>
      <c r="G349" s="334" t="n"/>
      <c r="H349" s="334" t="n"/>
      <c r="I349" s="332">
        <f>IFERROR(VLOOKUP(TEXT(H349,"0"),IPRESS!$A$3:$B$212,2,0),"")</f>
        <v/>
      </c>
      <c r="J349" s="334" t="n"/>
      <c r="K349" s="332">
        <f>IFERROR(VLOOKUP(TEXT(O349,"0"),CONDUCTORES!$A$3:$G$54,7,0),"")</f>
        <v/>
      </c>
      <c r="L349" s="334" t="n"/>
      <c r="M349" s="334" t="n"/>
      <c r="N349" s="333">
        <f>IFERROR(IF(L349*M349=0,"",L349*M349),"")</f>
        <v/>
      </c>
      <c r="O349" s="334" t="n"/>
      <c r="P349" s="332">
        <f>IFERROR(VLOOKUP(TEXT(O349,"0"),CONDUCTORES!$A$3:$G$54,2,0),"")</f>
        <v/>
      </c>
      <c r="Q349" s="332">
        <f>IFERROR(VLOOKUP(TEXT(O349,"0"),CONDUCTORES!$A$3:$H$54,6,0),"")</f>
        <v/>
      </c>
      <c r="R349" s="334" t="n"/>
      <c r="S349" s="334" t="n"/>
      <c r="T349" s="334" t="n"/>
      <c r="U349" s="334" t="n"/>
      <c r="V349" s="334" t="n"/>
      <c r="W349" s="334" t="n"/>
      <c r="X349" s="334" t="n"/>
      <c r="Y349" s="334" t="n"/>
      <c r="Z349" s="375">
        <f>IF(AND(G349&lt;&gt;"",R349&lt;&gt;"",V349&lt;&gt;"",W349&lt;&gt;""),"COMPLETADO","OBSERVADO")</f>
        <v/>
      </c>
    </row>
    <row r="350" ht="15" customHeight="1" s="195">
      <c r="A350" s="280" t="n"/>
      <c r="B350" s="280" t="n"/>
      <c r="C350" s="280" t="n"/>
      <c r="D350" s="280" t="n"/>
      <c r="E350" s="280" t="n"/>
      <c r="F350" s="280" t="n"/>
      <c r="G350" s="280" t="n"/>
      <c r="H350" s="280" t="n"/>
      <c r="I350" s="332">
        <f>IFERROR(VLOOKUP(TEXT(H350,"0"),IPRESS!$A$3:$B$212,2,0),"")</f>
        <v/>
      </c>
      <c r="J350" s="280" t="n"/>
      <c r="K350" s="332">
        <f>IFERROR(VLOOKUP(TEXT(O350,"0"),CONDUCTORES!$A$3:$G$54,7,0),"")</f>
        <v/>
      </c>
      <c r="L350" s="280" t="n"/>
      <c r="M350" s="280" t="n"/>
      <c r="N350" s="333">
        <f>IFERROR(IF(L350*M350=0,"",L350*M350),"")</f>
        <v/>
      </c>
      <c r="O350" s="280" t="n"/>
      <c r="P350" s="332">
        <f>IFERROR(VLOOKUP(TEXT(O350,"0"),CONDUCTORES!$A$3:$G$54,2,0),"")</f>
        <v/>
      </c>
      <c r="Q350" s="332">
        <f>IFERROR(VLOOKUP(TEXT(O350,"0"),CONDUCTORES!$A$3:$H$54,6,0),"")</f>
        <v/>
      </c>
      <c r="R350" s="280" t="n"/>
      <c r="S350" s="280" t="n"/>
      <c r="T350" s="280" t="n"/>
      <c r="U350" s="280" t="n"/>
      <c r="V350" s="280" t="n"/>
      <c r="W350" s="280" t="n"/>
      <c r="X350" s="280" t="n"/>
      <c r="Y350" s="280" t="n"/>
      <c r="Z350" s="375">
        <f>IF(AND(G350&lt;&gt;"",R350&lt;&gt;"",V350&lt;&gt;"",W350&lt;&gt;""),"COMPLETADO","OBSERVADO")</f>
        <v/>
      </c>
    </row>
    <row r="351" ht="15" customHeight="1" s="195">
      <c r="A351" s="334" t="n"/>
      <c r="B351" s="334" t="n"/>
      <c r="C351" s="334" t="n"/>
      <c r="D351" s="334" t="n"/>
      <c r="E351" s="334" t="n"/>
      <c r="F351" s="334" t="n"/>
      <c r="G351" s="334" t="n"/>
      <c r="H351" s="334" t="n"/>
      <c r="I351" s="332">
        <f>IFERROR(VLOOKUP(TEXT(H351,"0"),IPRESS!$A$3:$B$212,2,0),"")</f>
        <v/>
      </c>
      <c r="J351" s="334" t="n"/>
      <c r="K351" s="332">
        <f>IFERROR(VLOOKUP(TEXT(O351,"0"),CONDUCTORES!$A$3:$G$54,7,0),"")</f>
        <v/>
      </c>
      <c r="L351" s="334" t="n"/>
      <c r="M351" s="334" t="n"/>
      <c r="N351" s="333">
        <f>IFERROR(IF(L351*M351=0,"",L351*M351),"")</f>
        <v/>
      </c>
      <c r="O351" s="334" t="n"/>
      <c r="P351" s="332">
        <f>IFERROR(VLOOKUP(TEXT(O351,"0"),CONDUCTORES!$A$3:$G$54,2,0),"")</f>
        <v/>
      </c>
      <c r="Q351" s="332">
        <f>IFERROR(VLOOKUP(TEXT(O351,"0"),CONDUCTORES!$A$3:$H$54,6,0),"")</f>
        <v/>
      </c>
      <c r="R351" s="334" t="n"/>
      <c r="S351" s="334" t="n"/>
      <c r="T351" s="334" t="n"/>
      <c r="U351" s="334" t="n"/>
      <c r="V351" s="334" t="n"/>
      <c r="W351" s="334" t="n"/>
      <c r="X351" s="334" t="n"/>
      <c r="Y351" s="334" t="n"/>
      <c r="Z351" s="375">
        <f>IF(AND(G351&lt;&gt;"",R351&lt;&gt;"",V351&lt;&gt;"",W351&lt;&gt;""),"COMPLETADO","OBSERVADO")</f>
        <v/>
      </c>
    </row>
    <row r="352" ht="15" customHeight="1" s="195">
      <c r="A352" s="280" t="n"/>
      <c r="B352" s="280" t="n"/>
      <c r="C352" s="280" t="n"/>
      <c r="D352" s="280" t="n"/>
      <c r="E352" s="280" t="n"/>
      <c r="F352" s="280" t="n"/>
      <c r="G352" s="280" t="n"/>
      <c r="H352" s="280" t="n"/>
      <c r="I352" s="332">
        <f>IFERROR(VLOOKUP(TEXT(H352,"0"),IPRESS!$A$3:$B$212,2,0),"")</f>
        <v/>
      </c>
      <c r="J352" s="280" t="n"/>
      <c r="K352" s="332">
        <f>IFERROR(VLOOKUP(TEXT(O352,"0"),CONDUCTORES!$A$3:$G$54,7,0),"")</f>
        <v/>
      </c>
      <c r="L352" s="280" t="n"/>
      <c r="M352" s="280" t="n"/>
      <c r="N352" s="333">
        <f>IFERROR(IF(L352*M352=0,"",L352*M352),"")</f>
        <v/>
      </c>
      <c r="O352" s="280" t="n"/>
      <c r="P352" s="332">
        <f>IFERROR(VLOOKUP(TEXT(O352,"0"),CONDUCTORES!$A$3:$G$54,2,0),"")</f>
        <v/>
      </c>
      <c r="Q352" s="332">
        <f>IFERROR(VLOOKUP(TEXT(O352,"0"),CONDUCTORES!$A$3:$H$54,6,0),"")</f>
        <v/>
      </c>
      <c r="R352" s="280" t="n"/>
      <c r="S352" s="280" t="n"/>
      <c r="T352" s="280" t="n"/>
      <c r="U352" s="280" t="n"/>
      <c r="V352" s="280" t="n"/>
      <c r="W352" s="280" t="n"/>
      <c r="X352" s="280" t="n"/>
      <c r="Y352" s="280" t="n"/>
      <c r="Z352" s="375">
        <f>IF(AND(G352&lt;&gt;"",R352&lt;&gt;"",V352&lt;&gt;"",W352&lt;&gt;""),"COMPLETADO","OBSERVADO")</f>
        <v/>
      </c>
    </row>
    <row r="353" ht="15" customHeight="1" s="195">
      <c r="A353" s="334" t="n"/>
      <c r="B353" s="334" t="n"/>
      <c r="C353" s="334" t="n"/>
      <c r="D353" s="334" t="n"/>
      <c r="E353" s="334" t="n"/>
      <c r="F353" s="334" t="n"/>
      <c r="G353" s="334" t="n"/>
      <c r="H353" s="334" t="n"/>
      <c r="I353" s="332">
        <f>IFERROR(VLOOKUP(TEXT(H353,"0"),IPRESS!$A$3:$B$212,2,0),"")</f>
        <v/>
      </c>
      <c r="J353" s="334" t="n"/>
      <c r="K353" s="332">
        <f>IFERROR(VLOOKUP(TEXT(O353,"0"),CONDUCTORES!$A$3:$G$54,7,0),"")</f>
        <v/>
      </c>
      <c r="L353" s="334" t="n"/>
      <c r="M353" s="334" t="n"/>
      <c r="N353" s="333">
        <f>IFERROR(IF(L353*M353=0,"",L353*M353),"")</f>
        <v/>
      </c>
      <c r="O353" s="334" t="n"/>
      <c r="P353" s="332">
        <f>IFERROR(VLOOKUP(TEXT(O353,"0"),CONDUCTORES!$A$3:$G$54,2,0),"")</f>
        <v/>
      </c>
      <c r="Q353" s="332">
        <f>IFERROR(VLOOKUP(TEXT(O353,"0"),CONDUCTORES!$A$3:$H$54,6,0),"")</f>
        <v/>
      </c>
      <c r="R353" s="334" t="n"/>
      <c r="S353" s="334" t="n"/>
      <c r="T353" s="334" t="n"/>
      <c r="U353" s="334" t="n"/>
      <c r="V353" s="334" t="n"/>
      <c r="W353" s="334" t="n"/>
      <c r="X353" s="334" t="n"/>
      <c r="Y353" s="334" t="n"/>
      <c r="Z353" s="375">
        <f>IF(AND(G353&lt;&gt;"",R353&lt;&gt;"",V353&lt;&gt;"",W353&lt;&gt;""),"COMPLETADO","OBSERVADO")</f>
        <v/>
      </c>
    </row>
    <row r="354" ht="15" customHeight="1" s="195">
      <c r="A354" s="280" t="n"/>
      <c r="B354" s="280" t="n"/>
      <c r="C354" s="280" t="n"/>
      <c r="D354" s="280" t="n"/>
      <c r="E354" s="280" t="n"/>
      <c r="F354" s="280" t="n"/>
      <c r="G354" s="280" t="n"/>
      <c r="H354" s="280" t="n"/>
      <c r="I354" s="332">
        <f>IFERROR(VLOOKUP(TEXT(H354,"0"),IPRESS!$A$3:$B$212,2,0),"")</f>
        <v/>
      </c>
      <c r="J354" s="280" t="n"/>
      <c r="K354" s="332">
        <f>IFERROR(VLOOKUP(TEXT(O354,"0"),CONDUCTORES!$A$3:$G$54,7,0),"")</f>
        <v/>
      </c>
      <c r="L354" s="280" t="n"/>
      <c r="M354" s="280" t="n"/>
      <c r="N354" s="333">
        <f>IFERROR(IF(L354*M354=0,"",L354*M354),"")</f>
        <v/>
      </c>
      <c r="O354" s="280" t="n"/>
      <c r="P354" s="332">
        <f>IFERROR(VLOOKUP(TEXT(O354,"0"),CONDUCTORES!$A$3:$G$54,2,0),"")</f>
        <v/>
      </c>
      <c r="Q354" s="332">
        <f>IFERROR(VLOOKUP(TEXT(O354,"0"),CONDUCTORES!$A$3:$H$54,6,0),"")</f>
        <v/>
      </c>
      <c r="R354" s="280" t="n"/>
      <c r="S354" s="280" t="n"/>
      <c r="T354" s="280" t="n"/>
      <c r="U354" s="280" t="n"/>
      <c r="V354" s="280" t="n"/>
      <c r="W354" s="280" t="n"/>
      <c r="X354" s="280" t="n"/>
      <c r="Y354" s="280" t="n"/>
      <c r="Z354" s="375">
        <f>IF(AND(G354&lt;&gt;"",R354&lt;&gt;"",V354&lt;&gt;"",W354&lt;&gt;""),"COMPLETADO","OBSERVADO")</f>
        <v/>
      </c>
    </row>
    <row r="355" ht="15" customHeight="1" s="195">
      <c r="A355" s="334" t="n"/>
      <c r="B355" s="334" t="n"/>
      <c r="C355" s="334" t="n"/>
      <c r="D355" s="334" t="n"/>
      <c r="E355" s="334" t="n"/>
      <c r="F355" s="334" t="n"/>
      <c r="G355" s="334" t="n"/>
      <c r="H355" s="334" t="n"/>
      <c r="I355" s="332">
        <f>IFERROR(VLOOKUP(TEXT(H355,"0"),IPRESS!$A$3:$B$212,2,0),"")</f>
        <v/>
      </c>
      <c r="J355" s="334" t="n"/>
      <c r="K355" s="332">
        <f>IFERROR(VLOOKUP(TEXT(O355,"0"),CONDUCTORES!$A$3:$G$54,7,0),"")</f>
        <v/>
      </c>
      <c r="L355" s="334" t="n"/>
      <c r="M355" s="334" t="n"/>
      <c r="N355" s="333">
        <f>IFERROR(IF(L355*M355=0,"",L355*M355),"")</f>
        <v/>
      </c>
      <c r="O355" s="334" t="n"/>
      <c r="P355" s="332">
        <f>IFERROR(VLOOKUP(TEXT(O355,"0"),CONDUCTORES!$A$3:$G$54,2,0),"")</f>
        <v/>
      </c>
      <c r="Q355" s="332">
        <f>IFERROR(VLOOKUP(TEXT(O355,"0"),CONDUCTORES!$A$3:$H$54,6,0),"")</f>
        <v/>
      </c>
      <c r="R355" s="334" t="n"/>
      <c r="S355" s="334" t="n"/>
      <c r="T355" s="334" t="n"/>
      <c r="U355" s="334" t="n"/>
      <c r="V355" s="334" t="n"/>
      <c r="W355" s="334" t="n"/>
      <c r="X355" s="334" t="n"/>
      <c r="Y355" s="334" t="n"/>
      <c r="Z355" s="375">
        <f>IF(AND(G355&lt;&gt;"",R355&lt;&gt;"",V355&lt;&gt;"",W355&lt;&gt;""),"COMPLETADO","OBSERVADO")</f>
        <v/>
      </c>
    </row>
    <row r="356" ht="15" customHeight="1" s="195">
      <c r="A356" s="280" t="n"/>
      <c r="B356" s="280" t="n"/>
      <c r="C356" s="280" t="n"/>
      <c r="D356" s="280" t="n"/>
      <c r="E356" s="280" t="n"/>
      <c r="F356" s="280" t="n"/>
      <c r="G356" s="280" t="n"/>
      <c r="H356" s="280" t="n"/>
      <c r="I356" s="332">
        <f>IFERROR(VLOOKUP(TEXT(H356,"0"),IPRESS!$A$3:$B$212,2,0),"")</f>
        <v/>
      </c>
      <c r="J356" s="280" t="n"/>
      <c r="K356" s="332">
        <f>IFERROR(VLOOKUP(TEXT(O356,"0"),CONDUCTORES!$A$3:$G$54,7,0),"")</f>
        <v/>
      </c>
      <c r="L356" s="280" t="n"/>
      <c r="M356" s="280" t="n"/>
      <c r="N356" s="333">
        <f>IFERROR(IF(L356*M356=0,"",L356*M356),"")</f>
        <v/>
      </c>
      <c r="O356" s="280" t="n"/>
      <c r="P356" s="332">
        <f>IFERROR(VLOOKUP(TEXT(O356,"0"),CONDUCTORES!$A$3:$G$54,2,0),"")</f>
        <v/>
      </c>
      <c r="Q356" s="332">
        <f>IFERROR(VLOOKUP(TEXT(O356,"0"),CONDUCTORES!$A$3:$H$54,6,0),"")</f>
        <v/>
      </c>
      <c r="R356" s="280" t="n"/>
      <c r="S356" s="280" t="n"/>
      <c r="T356" s="280" t="n"/>
      <c r="U356" s="280" t="n"/>
      <c r="V356" s="280" t="n"/>
      <c r="W356" s="280" t="n"/>
      <c r="X356" s="280" t="n"/>
      <c r="Y356" s="280" t="n"/>
      <c r="Z356" s="375">
        <f>IF(AND(G356&lt;&gt;"",R356&lt;&gt;"",V356&lt;&gt;"",W356&lt;&gt;""),"COMPLETADO","OBSERVADO")</f>
        <v/>
      </c>
    </row>
    <row r="357" ht="15" customHeight="1" s="195">
      <c r="A357" s="334" t="n"/>
      <c r="B357" s="334" t="n"/>
      <c r="C357" s="334" t="n"/>
      <c r="D357" s="334" t="n"/>
      <c r="E357" s="334" t="n"/>
      <c r="F357" s="334" t="n"/>
      <c r="G357" s="334" t="n"/>
      <c r="H357" s="334" t="n"/>
      <c r="I357" s="332">
        <f>IFERROR(VLOOKUP(TEXT(H357,"0"),IPRESS!$A$3:$B$212,2,0),"")</f>
        <v/>
      </c>
      <c r="J357" s="334" t="n"/>
      <c r="K357" s="332">
        <f>IFERROR(VLOOKUP(TEXT(O357,"0"),CONDUCTORES!$A$3:$G$54,7,0),"")</f>
        <v/>
      </c>
      <c r="L357" s="334" t="n"/>
      <c r="M357" s="334" t="n"/>
      <c r="N357" s="333">
        <f>IFERROR(IF(L357*M357=0,"",L357*M357),"")</f>
        <v/>
      </c>
      <c r="O357" s="334" t="n"/>
      <c r="P357" s="332">
        <f>IFERROR(VLOOKUP(TEXT(O357,"0"),CONDUCTORES!$A$3:$G$54,2,0),"")</f>
        <v/>
      </c>
      <c r="Q357" s="332">
        <f>IFERROR(VLOOKUP(TEXT(O357,"0"),CONDUCTORES!$A$3:$H$54,6,0),"")</f>
        <v/>
      </c>
      <c r="R357" s="334" t="n"/>
      <c r="S357" s="334" t="n"/>
      <c r="T357" s="334" t="n"/>
      <c r="U357" s="334" t="n"/>
      <c r="V357" s="334" t="n"/>
      <c r="W357" s="334" t="n"/>
      <c r="X357" s="334" t="n"/>
      <c r="Y357" s="334" t="n"/>
      <c r="Z357" s="375">
        <f>IF(AND(G357&lt;&gt;"",R357&lt;&gt;"",V357&lt;&gt;"",W357&lt;&gt;""),"COMPLETADO","OBSERVADO")</f>
        <v/>
      </c>
    </row>
    <row r="358" ht="15" customHeight="1" s="195">
      <c r="A358" s="280" t="n"/>
      <c r="B358" s="280" t="n"/>
      <c r="C358" s="280" t="n"/>
      <c r="D358" s="280" t="n"/>
      <c r="E358" s="280" t="n"/>
      <c r="F358" s="280" t="n"/>
      <c r="G358" s="280" t="n"/>
      <c r="H358" s="280" t="n"/>
      <c r="I358" s="332">
        <f>IFERROR(VLOOKUP(TEXT(H358,"0"),IPRESS!$A$3:$B$212,2,0),"")</f>
        <v/>
      </c>
      <c r="J358" s="280" t="n"/>
      <c r="K358" s="332">
        <f>IFERROR(VLOOKUP(TEXT(O358,"0"),CONDUCTORES!$A$3:$G$54,7,0),"")</f>
        <v/>
      </c>
      <c r="L358" s="280" t="n"/>
      <c r="M358" s="280" t="n"/>
      <c r="N358" s="333">
        <f>IFERROR(IF(L358*M358=0,"",L358*M358),"")</f>
        <v/>
      </c>
      <c r="O358" s="280" t="n"/>
      <c r="P358" s="332">
        <f>IFERROR(VLOOKUP(TEXT(O358,"0"),CONDUCTORES!$A$3:$G$54,2,0),"")</f>
        <v/>
      </c>
      <c r="Q358" s="332">
        <f>IFERROR(VLOOKUP(TEXT(O358,"0"),CONDUCTORES!$A$3:$H$54,6,0),"")</f>
        <v/>
      </c>
      <c r="R358" s="280" t="n"/>
      <c r="S358" s="280" t="n"/>
      <c r="T358" s="280" t="n"/>
      <c r="U358" s="280" t="n"/>
      <c r="V358" s="280" t="n"/>
      <c r="W358" s="280" t="n"/>
      <c r="X358" s="280" t="n"/>
      <c r="Y358" s="280" t="n"/>
      <c r="Z358" s="375">
        <f>IF(AND(G358&lt;&gt;"",R358&lt;&gt;"",V358&lt;&gt;"",W358&lt;&gt;""),"COMPLETADO","OBSERVADO")</f>
        <v/>
      </c>
    </row>
    <row r="359" ht="15" customHeight="1" s="195">
      <c r="A359" s="334" t="n"/>
      <c r="B359" s="334" t="n"/>
      <c r="C359" s="334" t="n"/>
      <c r="D359" s="334" t="n"/>
      <c r="E359" s="334" t="n"/>
      <c r="F359" s="334" t="n"/>
      <c r="G359" s="334" t="n"/>
      <c r="H359" s="334" t="n"/>
      <c r="I359" s="332">
        <f>IFERROR(VLOOKUP(TEXT(H359,"0"),IPRESS!$A$3:$B$212,2,0),"")</f>
        <v/>
      </c>
      <c r="J359" s="334" t="n"/>
      <c r="K359" s="332">
        <f>IFERROR(VLOOKUP(TEXT(O359,"0"),CONDUCTORES!$A$3:$G$54,7,0),"")</f>
        <v/>
      </c>
      <c r="L359" s="334" t="n"/>
      <c r="M359" s="334" t="n"/>
      <c r="N359" s="333">
        <f>IFERROR(IF(L359*M359=0,"",L359*M359),"")</f>
        <v/>
      </c>
      <c r="O359" s="334" t="n"/>
      <c r="P359" s="332">
        <f>IFERROR(VLOOKUP(TEXT(O359,"0"),CONDUCTORES!$A$3:$G$54,2,0),"")</f>
        <v/>
      </c>
      <c r="Q359" s="332">
        <f>IFERROR(VLOOKUP(TEXT(O359,"0"),CONDUCTORES!$A$3:$H$54,6,0),"")</f>
        <v/>
      </c>
      <c r="R359" s="334" t="n"/>
      <c r="S359" s="334" t="n"/>
      <c r="T359" s="334" t="n"/>
      <c r="U359" s="334" t="n"/>
      <c r="V359" s="334" t="n"/>
      <c r="W359" s="334" t="n"/>
      <c r="X359" s="334" t="n"/>
      <c r="Y359" s="334" t="n"/>
      <c r="Z359" s="375">
        <f>IF(AND(G359&lt;&gt;"",R359&lt;&gt;"",V359&lt;&gt;"",W359&lt;&gt;""),"COMPLETADO","OBSERVADO")</f>
        <v/>
      </c>
    </row>
    <row r="360" ht="15" customHeight="1" s="195">
      <c r="A360" s="280" t="n"/>
      <c r="B360" s="280" t="n"/>
      <c r="C360" s="280" t="n"/>
      <c r="D360" s="280" t="n"/>
      <c r="E360" s="280" t="n"/>
      <c r="F360" s="280" t="n"/>
      <c r="G360" s="280" t="n"/>
      <c r="H360" s="280" t="n"/>
      <c r="I360" s="332">
        <f>IFERROR(VLOOKUP(TEXT(H360,"0"),IPRESS!$A$3:$B$212,2,0),"")</f>
        <v/>
      </c>
      <c r="J360" s="280" t="n"/>
      <c r="K360" s="332">
        <f>IFERROR(VLOOKUP(TEXT(O360,"0"),CONDUCTORES!$A$3:$G$54,7,0),"")</f>
        <v/>
      </c>
      <c r="L360" s="280" t="n"/>
      <c r="M360" s="280" t="n"/>
      <c r="N360" s="333">
        <f>IFERROR(IF(L360*M360=0,"",L360*M360),"")</f>
        <v/>
      </c>
      <c r="O360" s="280" t="n"/>
      <c r="P360" s="332">
        <f>IFERROR(VLOOKUP(TEXT(O360,"0"),CONDUCTORES!$A$3:$G$54,2,0),"")</f>
        <v/>
      </c>
      <c r="Q360" s="332">
        <f>IFERROR(VLOOKUP(TEXT(O360,"0"),CONDUCTORES!$A$3:$H$54,6,0),"")</f>
        <v/>
      </c>
      <c r="R360" s="280" t="n"/>
      <c r="S360" s="280" t="n"/>
      <c r="T360" s="280" t="n"/>
      <c r="U360" s="280" t="n"/>
      <c r="V360" s="280" t="n"/>
      <c r="W360" s="280" t="n"/>
      <c r="X360" s="280" t="n"/>
      <c r="Y360" s="280" t="n"/>
      <c r="Z360" s="375">
        <f>IF(AND(G360&lt;&gt;"",R360&lt;&gt;"",V360&lt;&gt;"",W360&lt;&gt;""),"COMPLETADO","OBSERVADO")</f>
        <v/>
      </c>
    </row>
    <row r="361" ht="15" customHeight="1" s="195">
      <c r="A361" s="334" t="n"/>
      <c r="B361" s="334" t="n"/>
      <c r="C361" s="334" t="n"/>
      <c r="D361" s="334" t="n"/>
      <c r="E361" s="334" t="n"/>
      <c r="F361" s="334" t="n"/>
      <c r="G361" s="334" t="n"/>
      <c r="H361" s="334" t="n"/>
      <c r="I361" s="332">
        <f>IFERROR(VLOOKUP(TEXT(H361,"0"),IPRESS!$A$3:$B$212,2,0),"")</f>
        <v/>
      </c>
      <c r="J361" s="334" t="n"/>
      <c r="K361" s="332">
        <f>IFERROR(VLOOKUP(TEXT(O361,"0"),CONDUCTORES!$A$3:$G$54,7,0),"")</f>
        <v/>
      </c>
      <c r="L361" s="334" t="n"/>
      <c r="M361" s="334" t="n"/>
      <c r="N361" s="333">
        <f>IFERROR(IF(L361*M361=0,"",L361*M361),"")</f>
        <v/>
      </c>
      <c r="O361" s="334" t="n"/>
      <c r="P361" s="332">
        <f>IFERROR(VLOOKUP(TEXT(O361,"0"),CONDUCTORES!$A$3:$G$54,2,0),"")</f>
        <v/>
      </c>
      <c r="Q361" s="332">
        <f>IFERROR(VLOOKUP(TEXT(O361,"0"),CONDUCTORES!$A$3:$H$54,6,0),"")</f>
        <v/>
      </c>
      <c r="R361" s="334" t="n"/>
      <c r="S361" s="334" t="n"/>
      <c r="T361" s="334" t="n"/>
      <c r="U361" s="334" t="n"/>
      <c r="V361" s="334" t="n"/>
      <c r="W361" s="334" t="n"/>
      <c r="X361" s="334" t="n"/>
      <c r="Y361" s="334" t="n"/>
      <c r="Z361" s="375">
        <f>IF(AND(G361&lt;&gt;"",R361&lt;&gt;"",V361&lt;&gt;"",W361&lt;&gt;""),"COMPLETADO","OBSERVADO")</f>
        <v/>
      </c>
    </row>
    <row r="362" ht="15" customHeight="1" s="195">
      <c r="A362" s="280" t="n"/>
      <c r="B362" s="280" t="n"/>
      <c r="C362" s="280" t="n"/>
      <c r="D362" s="280" t="n"/>
      <c r="E362" s="280" t="n"/>
      <c r="F362" s="280" t="n"/>
      <c r="G362" s="280" t="n"/>
      <c r="H362" s="280" t="n"/>
      <c r="I362" s="332">
        <f>IFERROR(VLOOKUP(TEXT(H362,"0"),IPRESS!$A$3:$B$212,2,0),"")</f>
        <v/>
      </c>
      <c r="J362" s="280" t="n"/>
      <c r="K362" s="332">
        <f>IFERROR(VLOOKUP(TEXT(O362,"0"),CONDUCTORES!$A$3:$G$54,7,0),"")</f>
        <v/>
      </c>
      <c r="L362" s="280" t="n"/>
      <c r="M362" s="280" t="n"/>
      <c r="N362" s="333">
        <f>IFERROR(IF(L362*M362=0,"",L362*M362),"")</f>
        <v/>
      </c>
      <c r="O362" s="280" t="n"/>
      <c r="P362" s="332">
        <f>IFERROR(VLOOKUP(TEXT(O362,"0"),CONDUCTORES!$A$3:$G$54,2,0),"")</f>
        <v/>
      </c>
      <c r="Q362" s="332">
        <f>IFERROR(VLOOKUP(TEXT(O362,"0"),CONDUCTORES!$A$3:$H$54,6,0),"")</f>
        <v/>
      </c>
      <c r="R362" s="280" t="n"/>
      <c r="S362" s="280" t="n"/>
      <c r="T362" s="280" t="n"/>
      <c r="U362" s="280" t="n"/>
      <c r="V362" s="280" t="n"/>
      <c r="W362" s="280" t="n"/>
      <c r="X362" s="280" t="n"/>
      <c r="Y362" s="280" t="n"/>
      <c r="Z362" s="375">
        <f>IF(AND(G362&lt;&gt;"",R362&lt;&gt;"",V362&lt;&gt;"",W362&lt;&gt;""),"COMPLETADO","OBSERVADO")</f>
        <v/>
      </c>
    </row>
    <row r="363" ht="15" customHeight="1" s="195">
      <c r="A363" s="334" t="n"/>
      <c r="B363" s="334" t="n"/>
      <c r="C363" s="334" t="n"/>
      <c r="D363" s="334" t="n"/>
      <c r="E363" s="334" t="n"/>
      <c r="F363" s="334" t="n"/>
      <c r="G363" s="334" t="n"/>
      <c r="H363" s="334" t="n"/>
      <c r="I363" s="332">
        <f>IFERROR(VLOOKUP(TEXT(H363,"0"),IPRESS!$A$3:$B$212,2,0),"")</f>
        <v/>
      </c>
      <c r="J363" s="334" t="n"/>
      <c r="K363" s="332">
        <f>IFERROR(VLOOKUP(TEXT(O363,"0"),CONDUCTORES!$A$3:$G$54,7,0),"")</f>
        <v/>
      </c>
      <c r="L363" s="334" t="n"/>
      <c r="M363" s="334" t="n"/>
      <c r="N363" s="333">
        <f>IFERROR(IF(L363*M363=0,"",L363*M363),"")</f>
        <v/>
      </c>
      <c r="O363" s="334" t="n"/>
      <c r="P363" s="332">
        <f>IFERROR(VLOOKUP(TEXT(O363,"0"),CONDUCTORES!$A$3:$G$54,2,0),"")</f>
        <v/>
      </c>
      <c r="Q363" s="332">
        <f>IFERROR(VLOOKUP(TEXT(O363,"0"),CONDUCTORES!$A$3:$H$54,6,0),"")</f>
        <v/>
      </c>
      <c r="R363" s="334" t="n"/>
      <c r="S363" s="334" t="n"/>
      <c r="T363" s="334" t="n"/>
      <c r="U363" s="334" t="n"/>
      <c r="V363" s="334" t="n"/>
      <c r="W363" s="334" t="n"/>
      <c r="X363" s="334" t="n"/>
      <c r="Y363" s="334" t="n"/>
      <c r="Z363" s="375">
        <f>IF(AND(G363&lt;&gt;"",R363&lt;&gt;"",V363&lt;&gt;"",W363&lt;&gt;""),"COMPLETADO","OBSERVADO")</f>
        <v/>
      </c>
    </row>
    <row r="364" ht="15" customHeight="1" s="195">
      <c r="A364" s="280" t="n"/>
      <c r="B364" s="280" t="n"/>
      <c r="C364" s="280" t="n"/>
      <c r="D364" s="280" t="n"/>
      <c r="E364" s="280" t="n"/>
      <c r="F364" s="280" t="n"/>
      <c r="G364" s="280" t="n"/>
      <c r="H364" s="280" t="n"/>
      <c r="I364" s="332">
        <f>IFERROR(VLOOKUP(TEXT(H364,"0"),IPRESS!$A$3:$B$212,2,0),"")</f>
        <v/>
      </c>
      <c r="J364" s="280" t="n"/>
      <c r="K364" s="332">
        <f>IFERROR(VLOOKUP(TEXT(O364,"0"),CONDUCTORES!$A$3:$G$54,7,0),"")</f>
        <v/>
      </c>
      <c r="L364" s="280" t="n"/>
      <c r="M364" s="280" t="n"/>
      <c r="N364" s="333">
        <f>IFERROR(IF(L364*M364=0,"",L364*M364),"")</f>
        <v/>
      </c>
      <c r="O364" s="280" t="n"/>
      <c r="P364" s="332">
        <f>IFERROR(VLOOKUP(TEXT(O364,"0"),CONDUCTORES!$A$3:$G$54,2,0),"")</f>
        <v/>
      </c>
      <c r="Q364" s="332">
        <f>IFERROR(VLOOKUP(TEXT(O364,"0"),CONDUCTORES!$A$3:$H$54,6,0),"")</f>
        <v/>
      </c>
      <c r="R364" s="280" t="n"/>
      <c r="S364" s="280" t="n"/>
      <c r="T364" s="280" t="n"/>
      <c r="U364" s="280" t="n"/>
      <c r="V364" s="280" t="n"/>
      <c r="W364" s="280" t="n"/>
      <c r="X364" s="280" t="n"/>
      <c r="Y364" s="280" t="n"/>
      <c r="Z364" s="375">
        <f>IF(AND(G364&lt;&gt;"",R364&lt;&gt;"",V364&lt;&gt;"",W364&lt;&gt;""),"COMPLETADO","OBSERVADO")</f>
        <v/>
      </c>
    </row>
    <row r="365" ht="15" customHeight="1" s="195">
      <c r="A365" s="334" t="n"/>
      <c r="B365" s="334" t="n"/>
      <c r="C365" s="334" t="n"/>
      <c r="D365" s="334" t="n"/>
      <c r="E365" s="334" t="n"/>
      <c r="F365" s="334" t="n"/>
      <c r="G365" s="334" t="n"/>
      <c r="H365" s="334" t="n"/>
      <c r="I365" s="332">
        <f>IFERROR(VLOOKUP(TEXT(H365,"0"),IPRESS!$A$3:$B$212,2,0),"")</f>
        <v/>
      </c>
      <c r="J365" s="334" t="n"/>
      <c r="K365" s="332">
        <f>IFERROR(VLOOKUP(TEXT(O365,"0"),CONDUCTORES!$A$3:$G$54,7,0),"")</f>
        <v/>
      </c>
      <c r="L365" s="334" t="n"/>
      <c r="M365" s="334" t="n"/>
      <c r="N365" s="333">
        <f>IFERROR(IF(L365*M365=0,"",L365*M365),"")</f>
        <v/>
      </c>
      <c r="O365" s="334" t="n"/>
      <c r="P365" s="332">
        <f>IFERROR(VLOOKUP(TEXT(O365,"0"),CONDUCTORES!$A$3:$G$54,2,0),"")</f>
        <v/>
      </c>
      <c r="Q365" s="332">
        <f>IFERROR(VLOOKUP(TEXT(O365,"0"),CONDUCTORES!$A$3:$H$54,6,0),"")</f>
        <v/>
      </c>
      <c r="R365" s="334" t="n"/>
      <c r="S365" s="334" t="n"/>
      <c r="T365" s="334" t="n"/>
      <c r="U365" s="334" t="n"/>
      <c r="V365" s="334" t="n"/>
      <c r="W365" s="334" t="n"/>
      <c r="X365" s="334" t="n"/>
      <c r="Y365" s="334" t="n"/>
      <c r="Z365" s="375">
        <f>IF(AND(G365&lt;&gt;"",R365&lt;&gt;"",V365&lt;&gt;"",W365&lt;&gt;""),"COMPLETADO","OBSERVADO")</f>
        <v/>
      </c>
    </row>
    <row r="366" ht="15" customHeight="1" s="195">
      <c r="A366" s="280" t="n"/>
      <c r="B366" s="280" t="n"/>
      <c r="C366" s="280" t="n"/>
      <c r="D366" s="280" t="n"/>
      <c r="E366" s="280" t="n"/>
      <c r="F366" s="280" t="n"/>
      <c r="G366" s="280" t="n"/>
      <c r="H366" s="280" t="n"/>
      <c r="I366" s="332">
        <f>IFERROR(VLOOKUP(TEXT(H366,"0"),IPRESS!$A$3:$B$212,2,0),"")</f>
        <v/>
      </c>
      <c r="J366" s="280" t="n"/>
      <c r="K366" s="332">
        <f>IFERROR(VLOOKUP(TEXT(O366,"0"),CONDUCTORES!$A$3:$G$54,7,0),"")</f>
        <v/>
      </c>
      <c r="L366" s="280" t="n"/>
      <c r="M366" s="280" t="n"/>
      <c r="N366" s="333">
        <f>IFERROR(IF(L366*M366=0,"",L366*M366),"")</f>
        <v/>
      </c>
      <c r="O366" s="280" t="n"/>
      <c r="P366" s="332">
        <f>IFERROR(VLOOKUP(TEXT(O366,"0"),CONDUCTORES!$A$3:$G$54,2,0),"")</f>
        <v/>
      </c>
      <c r="Q366" s="332">
        <f>IFERROR(VLOOKUP(TEXT(O366,"0"),CONDUCTORES!$A$3:$H$54,6,0),"")</f>
        <v/>
      </c>
      <c r="R366" s="280" t="n"/>
      <c r="S366" s="280" t="n"/>
      <c r="T366" s="280" t="n"/>
      <c r="U366" s="280" t="n"/>
      <c r="V366" s="280" t="n"/>
      <c r="W366" s="280" t="n"/>
      <c r="X366" s="280" t="n"/>
      <c r="Y366" s="280" t="n"/>
      <c r="Z366" s="375">
        <f>IF(AND(G366&lt;&gt;"",R366&lt;&gt;"",V366&lt;&gt;"",W366&lt;&gt;""),"COMPLETADO","OBSERVADO")</f>
        <v/>
      </c>
    </row>
    <row r="367" ht="15" customHeight="1" s="195">
      <c r="A367" s="334" t="n"/>
      <c r="B367" s="334" t="n"/>
      <c r="C367" s="334" t="n"/>
      <c r="D367" s="334" t="n"/>
      <c r="E367" s="334" t="n"/>
      <c r="F367" s="334" t="n"/>
      <c r="G367" s="334" t="n"/>
      <c r="H367" s="334" t="n"/>
      <c r="I367" s="332">
        <f>IFERROR(VLOOKUP(TEXT(H367,"0"),IPRESS!$A$3:$B$212,2,0),"")</f>
        <v/>
      </c>
      <c r="J367" s="334" t="n"/>
      <c r="K367" s="332">
        <f>IFERROR(VLOOKUP(TEXT(O367,"0"),CONDUCTORES!$A$3:$G$54,7,0),"")</f>
        <v/>
      </c>
      <c r="L367" s="334" t="n"/>
      <c r="M367" s="334" t="n"/>
      <c r="N367" s="333">
        <f>IFERROR(IF(L367*M367=0,"",L367*M367),"")</f>
        <v/>
      </c>
      <c r="O367" s="334" t="n"/>
      <c r="P367" s="332">
        <f>IFERROR(VLOOKUP(TEXT(O367,"0"),CONDUCTORES!$A$3:$G$54,2,0),"")</f>
        <v/>
      </c>
      <c r="Q367" s="332">
        <f>IFERROR(VLOOKUP(TEXT(O367,"0"),CONDUCTORES!$A$3:$H$54,6,0),"")</f>
        <v/>
      </c>
      <c r="R367" s="334" t="n"/>
      <c r="S367" s="334" t="n"/>
      <c r="T367" s="334" t="n"/>
      <c r="U367" s="334" t="n"/>
      <c r="V367" s="334" t="n"/>
      <c r="W367" s="334" t="n"/>
      <c r="X367" s="334" t="n"/>
      <c r="Y367" s="334" t="n"/>
      <c r="Z367" s="375">
        <f>IF(AND(G367&lt;&gt;"",R367&lt;&gt;"",V367&lt;&gt;"",W367&lt;&gt;""),"COMPLETADO","OBSERVADO")</f>
        <v/>
      </c>
    </row>
    <row r="368" ht="15" customHeight="1" s="195">
      <c r="A368" s="280" t="n"/>
      <c r="B368" s="280" t="n"/>
      <c r="C368" s="280" t="n"/>
      <c r="D368" s="280" t="n"/>
      <c r="E368" s="280" t="n"/>
      <c r="F368" s="280" t="n"/>
      <c r="G368" s="280" t="n"/>
      <c r="H368" s="280" t="n"/>
      <c r="I368" s="332">
        <f>IFERROR(VLOOKUP(TEXT(H368,"0"),IPRESS!$A$3:$B$212,2,0),"")</f>
        <v/>
      </c>
      <c r="J368" s="280" t="n"/>
      <c r="K368" s="332">
        <f>IFERROR(VLOOKUP(TEXT(O368,"0"),CONDUCTORES!$A$3:$G$54,7,0),"")</f>
        <v/>
      </c>
      <c r="L368" s="280" t="n"/>
      <c r="M368" s="280" t="n"/>
      <c r="N368" s="333">
        <f>IFERROR(IF(L368*M368=0,"",L368*M368),"")</f>
        <v/>
      </c>
      <c r="O368" s="280" t="n"/>
      <c r="P368" s="332">
        <f>IFERROR(VLOOKUP(TEXT(O368,"0"),CONDUCTORES!$A$3:$G$54,2,0),"")</f>
        <v/>
      </c>
      <c r="Q368" s="332">
        <f>IFERROR(VLOOKUP(TEXT(O368,"0"),CONDUCTORES!$A$3:$H$54,6,0),"")</f>
        <v/>
      </c>
      <c r="R368" s="280" t="n"/>
      <c r="S368" s="280" t="n"/>
      <c r="T368" s="280" t="n"/>
      <c r="U368" s="280" t="n"/>
      <c r="V368" s="280" t="n"/>
      <c r="W368" s="280" t="n"/>
      <c r="X368" s="280" t="n"/>
      <c r="Y368" s="280" t="n"/>
      <c r="Z368" s="375">
        <f>IF(AND(G368&lt;&gt;"",R368&lt;&gt;"",V368&lt;&gt;"",W368&lt;&gt;""),"COMPLETADO","OBSERVADO")</f>
        <v/>
      </c>
    </row>
    <row r="369" ht="15" customHeight="1" s="195">
      <c r="A369" s="334" t="n"/>
      <c r="B369" s="334" t="n"/>
      <c r="C369" s="334" t="n"/>
      <c r="D369" s="334" t="n"/>
      <c r="E369" s="334" t="n"/>
      <c r="F369" s="334" t="n"/>
      <c r="G369" s="334" t="n"/>
      <c r="H369" s="334" t="n"/>
      <c r="I369" s="332">
        <f>IFERROR(VLOOKUP(TEXT(H369,"0"),IPRESS!$A$3:$B$212,2,0),"")</f>
        <v/>
      </c>
      <c r="J369" s="334" t="n"/>
      <c r="K369" s="332">
        <f>IFERROR(VLOOKUP(TEXT(O369,"0"),CONDUCTORES!$A$3:$G$54,7,0),"")</f>
        <v/>
      </c>
      <c r="L369" s="334" t="n"/>
      <c r="M369" s="334" t="n"/>
      <c r="N369" s="333">
        <f>IFERROR(IF(L369*M369=0,"",L369*M369),"")</f>
        <v/>
      </c>
      <c r="O369" s="334" t="n"/>
      <c r="P369" s="332">
        <f>IFERROR(VLOOKUP(TEXT(O369,"0"),CONDUCTORES!$A$3:$G$54,2,0),"")</f>
        <v/>
      </c>
      <c r="Q369" s="332">
        <f>IFERROR(VLOOKUP(TEXT(O369,"0"),CONDUCTORES!$A$3:$H$54,6,0),"")</f>
        <v/>
      </c>
      <c r="R369" s="334" t="n"/>
      <c r="S369" s="334" t="n"/>
      <c r="T369" s="334" t="n"/>
      <c r="U369" s="334" t="n"/>
      <c r="V369" s="334" t="n"/>
      <c r="W369" s="334" t="n"/>
      <c r="X369" s="334" t="n"/>
      <c r="Y369" s="334" t="n"/>
      <c r="Z369" s="375">
        <f>IF(AND(G369&lt;&gt;"",R369&lt;&gt;"",V369&lt;&gt;"",W369&lt;&gt;""),"COMPLETADO","OBSERVADO")</f>
        <v/>
      </c>
    </row>
    <row r="370" ht="15" customHeight="1" s="195">
      <c r="A370" s="280" t="n"/>
      <c r="B370" s="280" t="n"/>
      <c r="C370" s="280" t="n"/>
      <c r="D370" s="280" t="n"/>
      <c r="E370" s="280" t="n"/>
      <c r="F370" s="280" t="n"/>
      <c r="G370" s="280" t="n"/>
      <c r="H370" s="280" t="n"/>
      <c r="I370" s="332">
        <f>IFERROR(VLOOKUP(TEXT(H370,"0"),IPRESS!$A$3:$B$212,2,0),"")</f>
        <v/>
      </c>
      <c r="J370" s="280" t="n"/>
      <c r="K370" s="332">
        <f>IFERROR(VLOOKUP(TEXT(O370,"0"),CONDUCTORES!$A$3:$G$54,7,0),"")</f>
        <v/>
      </c>
      <c r="L370" s="280" t="n"/>
      <c r="M370" s="280" t="n"/>
      <c r="N370" s="333">
        <f>IFERROR(IF(L370*M370=0,"",L370*M370),"")</f>
        <v/>
      </c>
      <c r="O370" s="280" t="n"/>
      <c r="P370" s="332">
        <f>IFERROR(VLOOKUP(TEXT(O370,"0"),CONDUCTORES!$A$3:$G$54,2,0),"")</f>
        <v/>
      </c>
      <c r="Q370" s="332">
        <f>IFERROR(VLOOKUP(TEXT(O370,"0"),CONDUCTORES!$A$3:$H$54,6,0),"")</f>
        <v/>
      </c>
      <c r="R370" s="280" t="n"/>
      <c r="S370" s="280" t="n"/>
      <c r="T370" s="280" t="n"/>
      <c r="U370" s="280" t="n"/>
      <c r="V370" s="280" t="n"/>
      <c r="W370" s="280" t="n"/>
      <c r="X370" s="280" t="n"/>
      <c r="Y370" s="280" t="n"/>
      <c r="Z370" s="375">
        <f>IF(AND(G370&lt;&gt;"",R370&lt;&gt;"",V370&lt;&gt;"",W370&lt;&gt;""),"COMPLETADO","OBSERVADO")</f>
        <v/>
      </c>
    </row>
    <row r="371" ht="15" customHeight="1" s="195">
      <c r="A371" s="334" t="n"/>
      <c r="B371" s="334" t="n"/>
      <c r="C371" s="334" t="n"/>
      <c r="D371" s="334" t="n"/>
      <c r="E371" s="334" t="n"/>
      <c r="F371" s="334" t="n"/>
      <c r="G371" s="334" t="n"/>
      <c r="H371" s="334" t="n"/>
      <c r="I371" s="332">
        <f>IFERROR(VLOOKUP(TEXT(H371,"0"),IPRESS!$A$3:$B$212,2,0),"")</f>
        <v/>
      </c>
      <c r="J371" s="334" t="n"/>
      <c r="K371" s="332">
        <f>IFERROR(VLOOKUP(TEXT(O371,"0"),CONDUCTORES!$A$3:$G$54,7,0),"")</f>
        <v/>
      </c>
      <c r="L371" s="334" t="n"/>
      <c r="M371" s="334" t="n"/>
      <c r="N371" s="333">
        <f>IFERROR(IF(L371*M371=0,"",L371*M371),"")</f>
        <v/>
      </c>
      <c r="O371" s="334" t="n"/>
      <c r="P371" s="332">
        <f>IFERROR(VLOOKUP(TEXT(O371,"0"),CONDUCTORES!$A$3:$G$54,2,0),"")</f>
        <v/>
      </c>
      <c r="Q371" s="332">
        <f>IFERROR(VLOOKUP(TEXT(O371,"0"),CONDUCTORES!$A$3:$H$54,6,0),"")</f>
        <v/>
      </c>
      <c r="R371" s="334" t="n"/>
      <c r="S371" s="334" t="n"/>
      <c r="T371" s="334" t="n"/>
      <c r="U371" s="334" t="n"/>
      <c r="V371" s="334" t="n"/>
      <c r="W371" s="334" t="n"/>
      <c r="X371" s="334" t="n"/>
      <c r="Y371" s="334" t="n"/>
      <c r="Z371" s="375">
        <f>IF(AND(G371&lt;&gt;"",R371&lt;&gt;"",V371&lt;&gt;"",W371&lt;&gt;""),"COMPLETADO","OBSERVADO")</f>
        <v/>
      </c>
    </row>
    <row r="372" ht="15" customHeight="1" s="195">
      <c r="A372" s="280" t="n"/>
      <c r="B372" s="280" t="n"/>
      <c r="C372" s="280" t="n"/>
      <c r="D372" s="280" t="n"/>
      <c r="E372" s="280" t="n"/>
      <c r="F372" s="280" t="n"/>
      <c r="G372" s="280" t="n"/>
      <c r="H372" s="280" t="n"/>
      <c r="I372" s="332">
        <f>IFERROR(VLOOKUP(TEXT(H372,"0"),IPRESS!$A$3:$B$212,2,0),"")</f>
        <v/>
      </c>
      <c r="J372" s="280" t="n"/>
      <c r="K372" s="332">
        <f>IFERROR(VLOOKUP(TEXT(O372,"0"),CONDUCTORES!$A$3:$G$54,7,0),"")</f>
        <v/>
      </c>
      <c r="L372" s="280" t="n"/>
      <c r="M372" s="280" t="n"/>
      <c r="N372" s="333">
        <f>IFERROR(IF(L372*M372=0,"",L372*M372),"")</f>
        <v/>
      </c>
      <c r="O372" s="280" t="n"/>
      <c r="P372" s="332">
        <f>IFERROR(VLOOKUP(TEXT(O372,"0"),CONDUCTORES!$A$3:$G$54,2,0),"")</f>
        <v/>
      </c>
      <c r="Q372" s="332">
        <f>IFERROR(VLOOKUP(TEXT(O372,"0"),CONDUCTORES!$A$3:$H$54,6,0),"")</f>
        <v/>
      </c>
      <c r="R372" s="280" t="n"/>
      <c r="S372" s="280" t="n"/>
      <c r="T372" s="280" t="n"/>
      <c r="U372" s="280" t="n"/>
      <c r="V372" s="280" t="n"/>
      <c r="W372" s="280" t="n"/>
      <c r="X372" s="280" t="n"/>
      <c r="Y372" s="280" t="n"/>
      <c r="Z372" s="375">
        <f>IF(AND(G372&lt;&gt;"",R372&lt;&gt;"",V372&lt;&gt;"",W372&lt;&gt;""),"COMPLETADO","OBSERVADO")</f>
        <v/>
      </c>
    </row>
    <row r="373" ht="15" customHeight="1" s="195">
      <c r="A373" s="334" t="n"/>
      <c r="B373" s="334" t="n"/>
      <c r="C373" s="334" t="n"/>
      <c r="D373" s="334" t="n"/>
      <c r="E373" s="334" t="n"/>
      <c r="F373" s="334" t="n"/>
      <c r="G373" s="334" t="n"/>
      <c r="H373" s="334" t="n"/>
      <c r="I373" s="332">
        <f>IFERROR(VLOOKUP(TEXT(H373,"0"),IPRESS!$A$3:$B$212,2,0),"")</f>
        <v/>
      </c>
      <c r="J373" s="334" t="n"/>
      <c r="K373" s="332">
        <f>IFERROR(VLOOKUP(TEXT(O373,"0"),CONDUCTORES!$A$3:$G$54,7,0),"")</f>
        <v/>
      </c>
      <c r="L373" s="334" t="n"/>
      <c r="M373" s="334" t="n"/>
      <c r="N373" s="333">
        <f>IFERROR(IF(L373*M373=0,"",L373*M373),"")</f>
        <v/>
      </c>
      <c r="O373" s="334" t="n"/>
      <c r="P373" s="332">
        <f>IFERROR(VLOOKUP(TEXT(O373,"0"),CONDUCTORES!$A$3:$G$54,2,0),"")</f>
        <v/>
      </c>
      <c r="Q373" s="332">
        <f>IFERROR(VLOOKUP(TEXT(O373,"0"),CONDUCTORES!$A$3:$H$54,6,0),"")</f>
        <v/>
      </c>
      <c r="R373" s="334" t="n"/>
      <c r="S373" s="334" t="n"/>
      <c r="T373" s="334" t="n"/>
      <c r="U373" s="334" t="n"/>
      <c r="V373" s="334" t="n"/>
      <c r="W373" s="334" t="n"/>
      <c r="X373" s="334" t="n"/>
      <c r="Y373" s="334" t="n"/>
      <c r="Z373" s="375">
        <f>IF(AND(G373&lt;&gt;"",R373&lt;&gt;"",V373&lt;&gt;"",W373&lt;&gt;""),"COMPLETADO","OBSERVADO")</f>
        <v/>
      </c>
    </row>
    <row r="374" ht="15" customHeight="1" s="195">
      <c r="A374" s="280" t="n"/>
      <c r="B374" s="280" t="n"/>
      <c r="C374" s="280" t="n"/>
      <c r="D374" s="280" t="n"/>
      <c r="E374" s="280" t="n"/>
      <c r="F374" s="280" t="n"/>
      <c r="G374" s="280" t="n"/>
      <c r="H374" s="280" t="n"/>
      <c r="I374" s="332">
        <f>IFERROR(VLOOKUP(TEXT(H374,"0"),IPRESS!$A$3:$B$212,2,0),"")</f>
        <v/>
      </c>
      <c r="J374" s="280" t="n"/>
      <c r="K374" s="332">
        <f>IFERROR(VLOOKUP(TEXT(O374,"0"),CONDUCTORES!$A$3:$G$54,7,0),"")</f>
        <v/>
      </c>
      <c r="L374" s="280" t="n"/>
      <c r="M374" s="280" t="n"/>
      <c r="N374" s="333">
        <f>IFERROR(IF(L374*M374=0,"",L374*M374),"")</f>
        <v/>
      </c>
      <c r="O374" s="280" t="n"/>
      <c r="P374" s="332">
        <f>IFERROR(VLOOKUP(TEXT(O374,"0"),CONDUCTORES!$A$3:$G$54,2,0),"")</f>
        <v/>
      </c>
      <c r="Q374" s="332">
        <f>IFERROR(VLOOKUP(TEXT(O374,"0"),CONDUCTORES!$A$3:$H$54,6,0),"")</f>
        <v/>
      </c>
      <c r="R374" s="280" t="n"/>
      <c r="S374" s="280" t="n"/>
      <c r="T374" s="280" t="n"/>
      <c r="U374" s="280" t="n"/>
      <c r="V374" s="280" t="n"/>
      <c r="W374" s="280" t="n"/>
      <c r="X374" s="280" t="n"/>
      <c r="Y374" s="280" t="n"/>
      <c r="Z374" s="375">
        <f>IF(AND(G374&lt;&gt;"",R374&lt;&gt;"",V374&lt;&gt;"",W374&lt;&gt;""),"COMPLETADO","OBSERVADO")</f>
        <v/>
      </c>
    </row>
    <row r="375" ht="15" customHeight="1" s="195">
      <c r="A375" s="334" t="n"/>
      <c r="B375" s="334" t="n"/>
      <c r="C375" s="334" t="n"/>
      <c r="D375" s="334" t="n"/>
      <c r="E375" s="334" t="n"/>
      <c r="F375" s="334" t="n"/>
      <c r="G375" s="334" t="n"/>
      <c r="H375" s="334" t="n"/>
      <c r="I375" s="332">
        <f>IFERROR(VLOOKUP(TEXT(H375,"0"),IPRESS!$A$3:$B$212,2,0),"")</f>
        <v/>
      </c>
      <c r="J375" s="334" t="n"/>
      <c r="K375" s="332">
        <f>IFERROR(VLOOKUP(TEXT(O375,"0"),CONDUCTORES!$A$3:$G$54,7,0),"")</f>
        <v/>
      </c>
      <c r="L375" s="334" t="n"/>
      <c r="M375" s="334" t="n"/>
      <c r="N375" s="333">
        <f>IFERROR(IF(L375*M375=0,"",L375*M375),"")</f>
        <v/>
      </c>
      <c r="O375" s="334" t="n"/>
      <c r="P375" s="332">
        <f>IFERROR(VLOOKUP(TEXT(O375,"0"),CONDUCTORES!$A$3:$G$54,2,0),"")</f>
        <v/>
      </c>
      <c r="Q375" s="332">
        <f>IFERROR(VLOOKUP(TEXT(O375,"0"),CONDUCTORES!$A$3:$H$54,6,0),"")</f>
        <v/>
      </c>
      <c r="R375" s="334" t="n"/>
      <c r="S375" s="334" t="n"/>
      <c r="T375" s="334" t="n"/>
      <c r="U375" s="334" t="n"/>
      <c r="V375" s="334" t="n"/>
      <c r="W375" s="334" t="n"/>
      <c r="X375" s="334" t="n"/>
      <c r="Y375" s="334" t="n"/>
      <c r="Z375" s="375">
        <f>IF(AND(G375&lt;&gt;"",R375&lt;&gt;"",V375&lt;&gt;"",W375&lt;&gt;""),"COMPLETADO","OBSERVADO")</f>
        <v/>
      </c>
    </row>
    <row r="376" ht="15" customHeight="1" s="195">
      <c r="A376" s="280" t="n"/>
      <c r="B376" s="280" t="n"/>
      <c r="C376" s="280" t="n"/>
      <c r="D376" s="280" t="n"/>
      <c r="E376" s="280" t="n"/>
      <c r="F376" s="280" t="n"/>
      <c r="G376" s="280" t="n"/>
      <c r="H376" s="280" t="n"/>
      <c r="I376" s="332">
        <f>IFERROR(VLOOKUP(TEXT(H376,"0"),IPRESS!$A$3:$B$212,2,0),"")</f>
        <v/>
      </c>
      <c r="J376" s="280" t="n"/>
      <c r="K376" s="332">
        <f>IFERROR(VLOOKUP(TEXT(O376,"0"),CONDUCTORES!$A$3:$G$54,7,0),"")</f>
        <v/>
      </c>
      <c r="L376" s="280" t="n"/>
      <c r="M376" s="280" t="n"/>
      <c r="N376" s="333">
        <f>IFERROR(IF(L376*M376=0,"",L376*M376),"")</f>
        <v/>
      </c>
      <c r="O376" s="280" t="n"/>
      <c r="P376" s="332">
        <f>IFERROR(VLOOKUP(TEXT(O376,"0"),CONDUCTORES!$A$3:$G$54,2,0),"")</f>
        <v/>
      </c>
      <c r="Q376" s="332">
        <f>IFERROR(VLOOKUP(TEXT(O376,"0"),CONDUCTORES!$A$3:$H$54,6,0),"")</f>
        <v/>
      </c>
      <c r="R376" s="280" t="n"/>
      <c r="S376" s="280" t="n"/>
      <c r="T376" s="280" t="n"/>
      <c r="U376" s="280" t="n"/>
      <c r="V376" s="280" t="n"/>
      <c r="W376" s="280" t="n"/>
      <c r="X376" s="280" t="n"/>
      <c r="Y376" s="280" t="n"/>
      <c r="Z376" s="375">
        <f>IF(AND(G376&lt;&gt;"",R376&lt;&gt;"",V376&lt;&gt;"",W376&lt;&gt;""),"COMPLETADO","OBSERVADO")</f>
        <v/>
      </c>
    </row>
    <row r="377" ht="15" customHeight="1" s="195">
      <c r="A377" s="334" t="n"/>
      <c r="B377" s="334" t="n"/>
      <c r="C377" s="334" t="n"/>
      <c r="D377" s="334" t="n"/>
      <c r="E377" s="334" t="n"/>
      <c r="F377" s="334" t="n"/>
      <c r="G377" s="334" t="n"/>
      <c r="H377" s="334" t="n"/>
      <c r="I377" s="332">
        <f>IFERROR(VLOOKUP(TEXT(H377,"0"),IPRESS!$A$3:$B$212,2,0),"")</f>
        <v/>
      </c>
      <c r="J377" s="334" t="n"/>
      <c r="K377" s="332">
        <f>IFERROR(VLOOKUP(TEXT(O377,"0"),CONDUCTORES!$A$3:$G$54,7,0),"")</f>
        <v/>
      </c>
      <c r="L377" s="334" t="n"/>
      <c r="M377" s="334" t="n"/>
      <c r="N377" s="333">
        <f>IFERROR(IF(L377*M377=0,"",L377*M377),"")</f>
        <v/>
      </c>
      <c r="O377" s="334" t="n"/>
      <c r="P377" s="332">
        <f>IFERROR(VLOOKUP(TEXT(O377,"0"),CONDUCTORES!$A$3:$G$54,2,0),"")</f>
        <v/>
      </c>
      <c r="Q377" s="332">
        <f>IFERROR(VLOOKUP(TEXT(O377,"0"),CONDUCTORES!$A$3:$H$54,6,0),"")</f>
        <v/>
      </c>
      <c r="R377" s="334" t="n"/>
      <c r="S377" s="334" t="n"/>
      <c r="T377" s="334" t="n"/>
      <c r="U377" s="334" t="n"/>
      <c r="V377" s="334" t="n"/>
      <c r="W377" s="334" t="n"/>
      <c r="X377" s="334" t="n"/>
      <c r="Y377" s="334" t="n"/>
      <c r="Z377" s="375">
        <f>IF(AND(G377&lt;&gt;"",R377&lt;&gt;"",V377&lt;&gt;"",W377&lt;&gt;""),"COMPLETADO","OBSERVADO")</f>
        <v/>
      </c>
    </row>
    <row r="378" ht="15" customHeight="1" s="195">
      <c r="A378" s="280" t="n"/>
      <c r="B378" s="280" t="n"/>
      <c r="C378" s="280" t="n"/>
      <c r="D378" s="280" t="n"/>
      <c r="E378" s="280" t="n"/>
      <c r="F378" s="280" t="n"/>
      <c r="G378" s="280" t="n"/>
      <c r="H378" s="280" t="n"/>
      <c r="I378" s="332">
        <f>IFERROR(VLOOKUP(TEXT(H378,"0"),IPRESS!$A$3:$B$212,2,0),"")</f>
        <v/>
      </c>
      <c r="J378" s="280" t="n"/>
      <c r="K378" s="332">
        <f>IFERROR(VLOOKUP(TEXT(O378,"0"),CONDUCTORES!$A$3:$G$54,7,0),"")</f>
        <v/>
      </c>
      <c r="L378" s="280" t="n"/>
      <c r="M378" s="280" t="n"/>
      <c r="N378" s="333">
        <f>IFERROR(IF(L378*M378=0,"",L378*M378),"")</f>
        <v/>
      </c>
      <c r="O378" s="280" t="n"/>
      <c r="P378" s="332">
        <f>IFERROR(VLOOKUP(TEXT(O378,"0"),CONDUCTORES!$A$3:$G$54,2,0),"")</f>
        <v/>
      </c>
      <c r="Q378" s="332">
        <f>IFERROR(VLOOKUP(TEXT(O378,"0"),CONDUCTORES!$A$3:$H$54,6,0),"")</f>
        <v/>
      </c>
      <c r="R378" s="280" t="n"/>
      <c r="S378" s="280" t="n"/>
      <c r="T378" s="280" t="n"/>
      <c r="U378" s="280" t="n"/>
      <c r="V378" s="280" t="n"/>
      <c r="W378" s="280" t="n"/>
      <c r="X378" s="280" t="n"/>
      <c r="Y378" s="280" t="n"/>
      <c r="Z378" s="375">
        <f>IF(AND(G378&lt;&gt;"",R378&lt;&gt;"",V378&lt;&gt;"",W378&lt;&gt;""),"COMPLETADO","OBSERVADO")</f>
        <v/>
      </c>
    </row>
    <row r="379" ht="15" customHeight="1" s="195">
      <c r="A379" s="334" t="n"/>
      <c r="B379" s="334" t="n"/>
      <c r="C379" s="334" t="n"/>
      <c r="D379" s="334" t="n"/>
      <c r="E379" s="334" t="n"/>
      <c r="F379" s="334" t="n"/>
      <c r="G379" s="334" t="n"/>
      <c r="H379" s="334" t="n"/>
      <c r="I379" s="332">
        <f>IFERROR(VLOOKUP(TEXT(H379,"0"),IPRESS!$A$3:$B$212,2,0),"")</f>
        <v/>
      </c>
      <c r="J379" s="334" t="n"/>
      <c r="K379" s="332">
        <f>IFERROR(VLOOKUP(TEXT(O379,"0"),CONDUCTORES!$A$3:$G$54,7,0),"")</f>
        <v/>
      </c>
      <c r="L379" s="334" t="n"/>
      <c r="M379" s="334" t="n"/>
      <c r="N379" s="333">
        <f>IFERROR(IF(L379*M379=0,"",L379*M379),"")</f>
        <v/>
      </c>
      <c r="O379" s="334" t="n"/>
      <c r="P379" s="332">
        <f>IFERROR(VLOOKUP(TEXT(O379,"0"),CONDUCTORES!$A$3:$G$54,2,0),"")</f>
        <v/>
      </c>
      <c r="Q379" s="332">
        <f>IFERROR(VLOOKUP(TEXT(O379,"0"),CONDUCTORES!$A$3:$H$54,6,0),"")</f>
        <v/>
      </c>
      <c r="R379" s="334" t="n"/>
      <c r="S379" s="334" t="n"/>
      <c r="T379" s="334" t="n"/>
      <c r="U379" s="334" t="n"/>
      <c r="V379" s="334" t="n"/>
      <c r="W379" s="334" t="n"/>
      <c r="X379" s="334" t="n"/>
      <c r="Y379" s="334" t="n"/>
      <c r="Z379" s="375">
        <f>IF(AND(G379&lt;&gt;"",R379&lt;&gt;"",V379&lt;&gt;"",W379&lt;&gt;""),"COMPLETADO","OBSERVADO")</f>
        <v/>
      </c>
    </row>
    <row r="380" ht="15" customHeight="1" s="195">
      <c r="A380" s="280" t="n"/>
      <c r="B380" s="280" t="n"/>
      <c r="C380" s="280" t="n"/>
      <c r="D380" s="280" t="n"/>
      <c r="E380" s="280" t="n"/>
      <c r="F380" s="280" t="n"/>
      <c r="G380" s="280" t="n"/>
      <c r="H380" s="280" t="n"/>
      <c r="I380" s="332">
        <f>IFERROR(VLOOKUP(TEXT(H380,"0"),IPRESS!$A$3:$B$212,2,0),"")</f>
        <v/>
      </c>
      <c r="J380" s="280" t="n"/>
      <c r="K380" s="332">
        <f>IFERROR(VLOOKUP(TEXT(O380,"0"),CONDUCTORES!$A$3:$G$54,7,0),"")</f>
        <v/>
      </c>
      <c r="L380" s="280" t="n"/>
      <c r="M380" s="280" t="n"/>
      <c r="N380" s="333">
        <f>IFERROR(IF(L380*M380=0,"",L380*M380),"")</f>
        <v/>
      </c>
      <c r="O380" s="280" t="n"/>
      <c r="P380" s="332">
        <f>IFERROR(VLOOKUP(TEXT(O380,"0"),CONDUCTORES!$A$3:$G$54,2,0),"")</f>
        <v/>
      </c>
      <c r="Q380" s="332">
        <f>IFERROR(VLOOKUP(TEXT(O380,"0"),CONDUCTORES!$A$3:$H$54,6,0),"")</f>
        <v/>
      </c>
      <c r="R380" s="280" t="n"/>
      <c r="S380" s="280" t="n"/>
      <c r="T380" s="280" t="n"/>
      <c r="U380" s="280" t="n"/>
      <c r="V380" s="280" t="n"/>
      <c r="W380" s="280" t="n"/>
      <c r="X380" s="280" t="n"/>
      <c r="Y380" s="280" t="n"/>
      <c r="Z380" s="375">
        <f>IF(AND(G380&lt;&gt;"",R380&lt;&gt;"",V380&lt;&gt;"",W380&lt;&gt;""),"COMPLETADO","OBSERVADO")</f>
        <v/>
      </c>
    </row>
    <row r="381" ht="15" customHeight="1" s="195">
      <c r="A381" s="334" t="n"/>
      <c r="B381" s="334" t="n"/>
      <c r="C381" s="334" t="n"/>
      <c r="D381" s="334" t="n"/>
      <c r="E381" s="334" t="n"/>
      <c r="F381" s="334" t="n"/>
      <c r="G381" s="334" t="n"/>
      <c r="H381" s="334" t="n"/>
      <c r="I381" s="332">
        <f>IFERROR(VLOOKUP(TEXT(H381,"0"),IPRESS!$A$3:$B$212,2,0),"")</f>
        <v/>
      </c>
      <c r="J381" s="334" t="n"/>
      <c r="K381" s="332">
        <f>IFERROR(VLOOKUP(TEXT(O381,"0"),CONDUCTORES!$A$3:$G$54,7,0),"")</f>
        <v/>
      </c>
      <c r="L381" s="334" t="n"/>
      <c r="M381" s="334" t="n"/>
      <c r="N381" s="333">
        <f>IFERROR(IF(L381*M381=0,"",L381*M381),"")</f>
        <v/>
      </c>
      <c r="O381" s="334" t="n"/>
      <c r="P381" s="332">
        <f>IFERROR(VLOOKUP(TEXT(O381,"0"),CONDUCTORES!$A$3:$G$54,2,0),"")</f>
        <v/>
      </c>
      <c r="Q381" s="332">
        <f>IFERROR(VLOOKUP(TEXT(O381,"0"),CONDUCTORES!$A$3:$H$54,6,0),"")</f>
        <v/>
      </c>
      <c r="R381" s="334" t="n"/>
      <c r="S381" s="334" t="n"/>
      <c r="T381" s="334" t="n"/>
      <c r="U381" s="334" t="n"/>
      <c r="V381" s="334" t="n"/>
      <c r="W381" s="334" t="n"/>
      <c r="X381" s="334" t="n"/>
      <c r="Y381" s="334" t="n"/>
      <c r="Z381" s="375">
        <f>IF(AND(G381&lt;&gt;"",R381&lt;&gt;"",V381&lt;&gt;"",W381&lt;&gt;""),"COMPLETADO","OBSERVADO")</f>
        <v/>
      </c>
    </row>
    <row r="382" ht="15" customHeight="1" s="195">
      <c r="A382" s="280" t="n"/>
      <c r="B382" s="280" t="n"/>
      <c r="C382" s="280" t="n"/>
      <c r="D382" s="280" t="n"/>
      <c r="E382" s="280" t="n"/>
      <c r="F382" s="280" t="n"/>
      <c r="G382" s="280" t="n"/>
      <c r="H382" s="280" t="n"/>
      <c r="I382" s="332">
        <f>IFERROR(VLOOKUP(TEXT(H382,"0"),IPRESS!$A$3:$B$212,2,0),"")</f>
        <v/>
      </c>
      <c r="J382" s="280" t="n"/>
      <c r="K382" s="332">
        <f>IFERROR(VLOOKUP(TEXT(O382,"0"),CONDUCTORES!$A$3:$G$54,7,0),"")</f>
        <v/>
      </c>
      <c r="L382" s="280" t="n"/>
      <c r="M382" s="280" t="n"/>
      <c r="N382" s="333">
        <f>IFERROR(IF(L382*M382=0,"",L382*M382),"")</f>
        <v/>
      </c>
      <c r="O382" s="280" t="n"/>
      <c r="P382" s="332">
        <f>IFERROR(VLOOKUP(TEXT(O382,"0"),CONDUCTORES!$A$3:$G$54,2,0),"")</f>
        <v/>
      </c>
      <c r="Q382" s="332">
        <f>IFERROR(VLOOKUP(TEXT(O382,"0"),CONDUCTORES!$A$3:$H$54,6,0),"")</f>
        <v/>
      </c>
      <c r="R382" s="280" t="n"/>
      <c r="S382" s="280" t="n"/>
      <c r="T382" s="280" t="n"/>
      <c r="U382" s="280" t="n"/>
      <c r="V382" s="280" t="n"/>
      <c r="W382" s="280" t="n"/>
      <c r="X382" s="280" t="n"/>
      <c r="Y382" s="280" t="n"/>
      <c r="Z382" s="375">
        <f>IF(AND(G382&lt;&gt;"",R382&lt;&gt;"",V382&lt;&gt;"",W382&lt;&gt;""),"COMPLETADO","OBSERVADO")</f>
        <v/>
      </c>
    </row>
    <row r="383" ht="15" customHeight="1" s="195">
      <c r="A383" s="334" t="n"/>
      <c r="B383" s="334" t="n"/>
      <c r="C383" s="334" t="n"/>
      <c r="D383" s="334" t="n"/>
      <c r="E383" s="334" t="n"/>
      <c r="F383" s="334" t="n"/>
      <c r="G383" s="334" t="n"/>
      <c r="H383" s="334" t="n"/>
      <c r="I383" s="332">
        <f>IFERROR(VLOOKUP(TEXT(H383,"0"),IPRESS!$A$3:$B$212,2,0),"")</f>
        <v/>
      </c>
      <c r="J383" s="334" t="n"/>
      <c r="K383" s="332">
        <f>IFERROR(VLOOKUP(TEXT(O383,"0"),CONDUCTORES!$A$3:$G$54,7,0),"")</f>
        <v/>
      </c>
      <c r="L383" s="334" t="n"/>
      <c r="M383" s="334" t="n"/>
      <c r="N383" s="333">
        <f>IFERROR(IF(L383*M383=0,"",L383*M383),"")</f>
        <v/>
      </c>
      <c r="O383" s="334" t="n"/>
      <c r="P383" s="332">
        <f>IFERROR(VLOOKUP(TEXT(O383,"0"),CONDUCTORES!$A$3:$G$54,2,0),"")</f>
        <v/>
      </c>
      <c r="Q383" s="332">
        <f>IFERROR(VLOOKUP(TEXT(O383,"0"),CONDUCTORES!$A$3:$H$54,6,0),"")</f>
        <v/>
      </c>
      <c r="R383" s="334" t="n"/>
      <c r="S383" s="334" t="n"/>
      <c r="T383" s="334" t="n"/>
      <c r="U383" s="334" t="n"/>
      <c r="V383" s="334" t="n"/>
      <c r="W383" s="334" t="n"/>
      <c r="X383" s="334" t="n"/>
      <c r="Y383" s="334" t="n"/>
      <c r="Z383" s="375">
        <f>IF(AND(G383&lt;&gt;"",R383&lt;&gt;"",V383&lt;&gt;"",W383&lt;&gt;""),"COMPLETADO","OBSERVADO")</f>
        <v/>
      </c>
    </row>
    <row r="384" ht="15" customHeight="1" s="195">
      <c r="A384" s="280" t="n"/>
      <c r="B384" s="280" t="n"/>
      <c r="C384" s="280" t="n"/>
      <c r="D384" s="280" t="n"/>
      <c r="E384" s="280" t="n"/>
      <c r="F384" s="280" t="n"/>
      <c r="G384" s="280" t="n"/>
      <c r="H384" s="280" t="n"/>
      <c r="I384" s="332">
        <f>IFERROR(VLOOKUP(TEXT(H384,"0"),IPRESS!$A$3:$B$212,2,0),"")</f>
        <v/>
      </c>
      <c r="J384" s="280" t="n"/>
      <c r="K384" s="332">
        <f>IFERROR(VLOOKUP(TEXT(O384,"0"),CONDUCTORES!$A$3:$G$54,7,0),"")</f>
        <v/>
      </c>
      <c r="L384" s="280" t="n"/>
      <c r="M384" s="280" t="n"/>
      <c r="N384" s="333">
        <f>IFERROR(IF(L384*M384=0,"",L384*M384),"")</f>
        <v/>
      </c>
      <c r="O384" s="280" t="n"/>
      <c r="P384" s="332">
        <f>IFERROR(VLOOKUP(TEXT(O384,"0"),CONDUCTORES!$A$3:$G$54,2,0),"")</f>
        <v/>
      </c>
      <c r="Q384" s="332">
        <f>IFERROR(VLOOKUP(TEXT(O384,"0"),CONDUCTORES!$A$3:$H$54,6,0),"")</f>
        <v/>
      </c>
      <c r="R384" s="280" t="n"/>
      <c r="S384" s="280" t="n"/>
      <c r="T384" s="280" t="n"/>
      <c r="U384" s="280" t="n"/>
      <c r="V384" s="280" t="n"/>
      <c r="W384" s="280" t="n"/>
      <c r="X384" s="280" t="n"/>
      <c r="Y384" s="280" t="n"/>
      <c r="Z384" s="375">
        <f>IF(AND(G384&lt;&gt;"",R384&lt;&gt;"",V384&lt;&gt;"",W384&lt;&gt;""),"COMPLETADO","OBSERVADO")</f>
        <v/>
      </c>
    </row>
    <row r="385" ht="15" customHeight="1" s="195">
      <c r="A385" s="334" t="n"/>
      <c r="B385" s="334" t="n"/>
      <c r="C385" s="334" t="n"/>
      <c r="D385" s="334" t="n"/>
      <c r="E385" s="334" t="n"/>
      <c r="F385" s="334" t="n"/>
      <c r="G385" s="334" t="n"/>
      <c r="H385" s="334" t="n"/>
      <c r="I385" s="332">
        <f>IFERROR(VLOOKUP(TEXT(H385,"0"),IPRESS!$A$3:$B$212,2,0),"")</f>
        <v/>
      </c>
      <c r="J385" s="334" t="n"/>
      <c r="K385" s="332">
        <f>IFERROR(VLOOKUP(TEXT(O385,"0"),CONDUCTORES!$A$3:$G$54,7,0),"")</f>
        <v/>
      </c>
      <c r="L385" s="334" t="n"/>
      <c r="M385" s="334" t="n"/>
      <c r="N385" s="333">
        <f>IFERROR(IF(L385*M385=0,"",L385*M385),"")</f>
        <v/>
      </c>
      <c r="O385" s="334" t="n"/>
      <c r="P385" s="332">
        <f>IFERROR(VLOOKUP(TEXT(O385,"0"),CONDUCTORES!$A$3:$G$54,2,0),"")</f>
        <v/>
      </c>
      <c r="Q385" s="332">
        <f>IFERROR(VLOOKUP(TEXT(O385,"0"),CONDUCTORES!$A$3:$H$54,6,0),"")</f>
        <v/>
      </c>
      <c r="R385" s="334" t="n"/>
      <c r="S385" s="334" t="n"/>
      <c r="T385" s="334" t="n"/>
      <c r="U385" s="334" t="n"/>
      <c r="V385" s="334" t="n"/>
      <c r="W385" s="334" t="n"/>
      <c r="X385" s="334" t="n"/>
      <c r="Y385" s="334" t="n"/>
      <c r="Z385" s="375">
        <f>IF(AND(G385&lt;&gt;"",R385&lt;&gt;"",V385&lt;&gt;"",W385&lt;&gt;""),"COMPLETADO","OBSERVADO")</f>
        <v/>
      </c>
    </row>
    <row r="386" ht="15" customHeight="1" s="195">
      <c r="A386" s="280" t="n"/>
      <c r="B386" s="280" t="n"/>
      <c r="C386" s="280" t="n"/>
      <c r="D386" s="280" t="n"/>
      <c r="E386" s="280" t="n"/>
      <c r="F386" s="280" t="n"/>
      <c r="G386" s="280" t="n"/>
      <c r="H386" s="280" t="n"/>
      <c r="I386" s="332">
        <f>IFERROR(VLOOKUP(TEXT(H386,"0"),IPRESS!$A$3:$B$212,2,0),"")</f>
        <v/>
      </c>
      <c r="J386" s="280" t="n"/>
      <c r="K386" s="332">
        <f>IFERROR(VLOOKUP(TEXT(O386,"0"),CONDUCTORES!$A$3:$G$54,7,0),"")</f>
        <v/>
      </c>
      <c r="L386" s="280" t="n"/>
      <c r="M386" s="280" t="n"/>
      <c r="N386" s="333">
        <f>IFERROR(IF(L386*M386=0,"",L386*M386),"")</f>
        <v/>
      </c>
      <c r="O386" s="280" t="n"/>
      <c r="P386" s="332">
        <f>IFERROR(VLOOKUP(TEXT(O386,"0"),CONDUCTORES!$A$3:$G$54,2,0),"")</f>
        <v/>
      </c>
      <c r="Q386" s="332">
        <f>IFERROR(VLOOKUP(TEXT(O386,"0"),CONDUCTORES!$A$3:$H$54,6,0),"")</f>
        <v/>
      </c>
      <c r="R386" s="280" t="n"/>
      <c r="S386" s="280" t="n"/>
      <c r="T386" s="280" t="n"/>
      <c r="U386" s="280" t="n"/>
      <c r="V386" s="280" t="n"/>
      <c r="W386" s="280" t="n"/>
      <c r="X386" s="280" t="n"/>
      <c r="Y386" s="280" t="n"/>
      <c r="Z386" s="375">
        <f>IF(AND(G386&lt;&gt;"",R386&lt;&gt;"",V386&lt;&gt;"",W386&lt;&gt;""),"COMPLETADO","OBSERVADO")</f>
        <v/>
      </c>
    </row>
    <row r="387" ht="15" customHeight="1" s="195">
      <c r="A387" s="334" t="n"/>
      <c r="B387" s="334" t="n"/>
      <c r="C387" s="334" t="n"/>
      <c r="D387" s="334" t="n"/>
      <c r="E387" s="334" t="n"/>
      <c r="F387" s="334" t="n"/>
      <c r="G387" s="334" t="n"/>
      <c r="H387" s="334" t="n"/>
      <c r="I387" s="332">
        <f>IFERROR(VLOOKUP(TEXT(H387,"0"),IPRESS!$A$3:$B$212,2,0),"")</f>
        <v/>
      </c>
      <c r="J387" s="334" t="n"/>
      <c r="K387" s="332">
        <f>IFERROR(VLOOKUP(TEXT(O387,"0"),CONDUCTORES!$A$3:$G$54,7,0),"")</f>
        <v/>
      </c>
      <c r="L387" s="334" t="n"/>
      <c r="M387" s="334" t="n"/>
      <c r="N387" s="333">
        <f>IFERROR(IF(L387*M387=0,"",L387*M387),"")</f>
        <v/>
      </c>
      <c r="O387" s="334" t="n"/>
      <c r="P387" s="332">
        <f>IFERROR(VLOOKUP(TEXT(O387,"0"),CONDUCTORES!$A$3:$G$54,2,0),"")</f>
        <v/>
      </c>
      <c r="Q387" s="332">
        <f>IFERROR(VLOOKUP(TEXT(O387,"0"),CONDUCTORES!$A$3:$H$54,6,0),"")</f>
        <v/>
      </c>
      <c r="R387" s="334" t="n"/>
      <c r="S387" s="334" t="n"/>
      <c r="T387" s="334" t="n"/>
      <c r="U387" s="334" t="n"/>
      <c r="V387" s="334" t="n"/>
      <c r="W387" s="334" t="n"/>
      <c r="X387" s="334" t="n"/>
      <c r="Y387" s="334" t="n"/>
      <c r="Z387" s="375">
        <f>IF(AND(G387&lt;&gt;"",R387&lt;&gt;"",V387&lt;&gt;"",W387&lt;&gt;""),"COMPLETADO","OBSERVADO")</f>
        <v/>
      </c>
    </row>
    <row r="388" ht="15" customHeight="1" s="195">
      <c r="A388" s="280" t="n"/>
      <c r="B388" s="280" t="n"/>
      <c r="C388" s="280" t="n"/>
      <c r="D388" s="280" t="n"/>
      <c r="E388" s="280" t="n"/>
      <c r="F388" s="280" t="n"/>
      <c r="G388" s="280" t="n"/>
      <c r="H388" s="280" t="n"/>
      <c r="I388" s="332">
        <f>IFERROR(VLOOKUP(TEXT(H388,"0"),IPRESS!$A$3:$B$212,2,0),"")</f>
        <v/>
      </c>
      <c r="J388" s="280" t="n"/>
      <c r="K388" s="332">
        <f>IFERROR(VLOOKUP(TEXT(O388,"0"),CONDUCTORES!$A$3:$G$54,7,0),"")</f>
        <v/>
      </c>
      <c r="L388" s="280" t="n"/>
      <c r="M388" s="280" t="n"/>
      <c r="N388" s="333">
        <f>IFERROR(IF(L388*M388=0,"",L388*M388),"")</f>
        <v/>
      </c>
      <c r="O388" s="280" t="n"/>
      <c r="P388" s="332">
        <f>IFERROR(VLOOKUP(TEXT(O388,"0"),CONDUCTORES!$A$3:$G$54,2,0),"")</f>
        <v/>
      </c>
      <c r="Q388" s="332">
        <f>IFERROR(VLOOKUP(TEXT(O388,"0"),CONDUCTORES!$A$3:$H$54,6,0),"")</f>
        <v/>
      </c>
      <c r="R388" s="280" t="n"/>
      <c r="S388" s="280" t="n"/>
      <c r="T388" s="280" t="n"/>
      <c r="U388" s="280" t="n"/>
      <c r="V388" s="280" t="n"/>
      <c r="W388" s="280" t="n"/>
      <c r="X388" s="280" t="n"/>
      <c r="Y388" s="280" t="n"/>
      <c r="Z388" s="375">
        <f>IF(AND(G388&lt;&gt;"",R388&lt;&gt;"",V388&lt;&gt;"",W388&lt;&gt;""),"COMPLETADO","OBSERVADO")</f>
        <v/>
      </c>
    </row>
    <row r="389" ht="15" customHeight="1" s="195">
      <c r="A389" s="334" t="n"/>
      <c r="B389" s="334" t="n"/>
      <c r="C389" s="334" t="n"/>
      <c r="D389" s="334" t="n"/>
      <c r="E389" s="334" t="n"/>
      <c r="F389" s="334" t="n"/>
      <c r="G389" s="334" t="n"/>
      <c r="H389" s="334" t="n"/>
      <c r="I389" s="332">
        <f>IFERROR(VLOOKUP(TEXT(H389,"0"),IPRESS!$A$3:$B$212,2,0),"")</f>
        <v/>
      </c>
      <c r="J389" s="334" t="n"/>
      <c r="K389" s="332">
        <f>IFERROR(VLOOKUP(TEXT(O389,"0"),CONDUCTORES!$A$3:$G$54,7,0),"")</f>
        <v/>
      </c>
      <c r="L389" s="334" t="n"/>
      <c r="M389" s="334" t="n"/>
      <c r="N389" s="333">
        <f>IFERROR(IF(L389*M389=0,"",L389*M389),"")</f>
        <v/>
      </c>
      <c r="O389" s="334" t="n"/>
      <c r="P389" s="332">
        <f>IFERROR(VLOOKUP(TEXT(O389,"0"),CONDUCTORES!$A$3:$G$54,2,0),"")</f>
        <v/>
      </c>
      <c r="Q389" s="332">
        <f>IFERROR(VLOOKUP(TEXT(O389,"0"),CONDUCTORES!$A$3:$H$54,6,0),"")</f>
        <v/>
      </c>
      <c r="R389" s="334" t="n"/>
      <c r="S389" s="334" t="n"/>
      <c r="T389" s="334" t="n"/>
      <c r="U389" s="334" t="n"/>
      <c r="V389" s="334" t="n"/>
      <c r="W389" s="334" t="n"/>
      <c r="X389" s="334" t="n"/>
      <c r="Y389" s="334" t="n"/>
      <c r="Z389" s="375">
        <f>IF(AND(G389&lt;&gt;"",R389&lt;&gt;"",V389&lt;&gt;"",W389&lt;&gt;""),"COMPLETADO","OBSERVADO")</f>
        <v/>
      </c>
    </row>
    <row r="390" ht="15" customHeight="1" s="195">
      <c r="A390" s="280" t="n"/>
      <c r="B390" s="280" t="n"/>
      <c r="C390" s="280" t="n"/>
      <c r="D390" s="280" t="n"/>
      <c r="E390" s="280" t="n"/>
      <c r="F390" s="280" t="n"/>
      <c r="G390" s="280" t="n"/>
      <c r="H390" s="280" t="n"/>
      <c r="I390" s="332">
        <f>IFERROR(VLOOKUP(TEXT(H390,"0"),IPRESS!$A$3:$B$212,2,0),"")</f>
        <v/>
      </c>
      <c r="J390" s="280" t="n"/>
      <c r="K390" s="332">
        <f>IFERROR(VLOOKUP(TEXT(O390,"0"),CONDUCTORES!$A$3:$G$54,7,0),"")</f>
        <v/>
      </c>
      <c r="L390" s="280" t="n"/>
      <c r="M390" s="280" t="n"/>
      <c r="N390" s="333">
        <f>IFERROR(IF(L390*M390=0,"",L390*M390),"")</f>
        <v/>
      </c>
      <c r="O390" s="280" t="n"/>
      <c r="P390" s="332">
        <f>IFERROR(VLOOKUP(TEXT(O390,"0"),CONDUCTORES!$A$3:$G$54,2,0),"")</f>
        <v/>
      </c>
      <c r="Q390" s="332">
        <f>IFERROR(VLOOKUP(TEXT(O390,"0"),CONDUCTORES!$A$3:$H$54,6,0),"")</f>
        <v/>
      </c>
      <c r="R390" s="280" t="n"/>
      <c r="S390" s="280" t="n"/>
      <c r="T390" s="280" t="n"/>
      <c r="U390" s="280" t="n"/>
      <c r="V390" s="280" t="n"/>
      <c r="W390" s="280" t="n"/>
      <c r="X390" s="280" t="n"/>
      <c r="Y390" s="280" t="n"/>
      <c r="Z390" s="375">
        <f>IF(AND(G390&lt;&gt;"",R390&lt;&gt;"",V390&lt;&gt;"",W390&lt;&gt;""),"COMPLETADO","OBSERVADO")</f>
        <v/>
      </c>
    </row>
    <row r="391" ht="15" customHeight="1" s="195">
      <c r="A391" s="334" t="n"/>
      <c r="B391" s="334" t="n"/>
      <c r="C391" s="334" t="n"/>
      <c r="D391" s="334" t="n"/>
      <c r="E391" s="334" t="n"/>
      <c r="F391" s="334" t="n"/>
      <c r="G391" s="334" t="n"/>
      <c r="H391" s="334" t="n"/>
      <c r="I391" s="332">
        <f>IFERROR(VLOOKUP(TEXT(H391,"0"),IPRESS!$A$3:$B$212,2,0),"")</f>
        <v/>
      </c>
      <c r="J391" s="334" t="n"/>
      <c r="K391" s="332">
        <f>IFERROR(VLOOKUP(TEXT(O391,"0"),CONDUCTORES!$A$3:$G$54,7,0),"")</f>
        <v/>
      </c>
      <c r="L391" s="334" t="n"/>
      <c r="M391" s="334" t="n"/>
      <c r="N391" s="333">
        <f>IFERROR(IF(L391*M391=0,"",L391*M391),"")</f>
        <v/>
      </c>
      <c r="O391" s="334" t="n"/>
      <c r="P391" s="332">
        <f>IFERROR(VLOOKUP(TEXT(O391,"0"),CONDUCTORES!$A$3:$G$54,2,0),"")</f>
        <v/>
      </c>
      <c r="Q391" s="332">
        <f>IFERROR(VLOOKUP(TEXT(O391,"0"),CONDUCTORES!$A$3:$H$54,6,0),"")</f>
        <v/>
      </c>
      <c r="R391" s="334" t="n"/>
      <c r="S391" s="334" t="n"/>
      <c r="T391" s="334" t="n"/>
      <c r="U391" s="334" t="n"/>
      <c r="V391" s="334" t="n"/>
      <c r="W391" s="334" t="n"/>
      <c r="X391" s="334" t="n"/>
      <c r="Y391" s="334" t="n"/>
      <c r="Z391" s="375">
        <f>IF(AND(G391&lt;&gt;"",R391&lt;&gt;"",V391&lt;&gt;"",W391&lt;&gt;""),"COMPLETADO","OBSERVADO")</f>
        <v/>
      </c>
    </row>
    <row r="392" ht="15" customHeight="1" s="195">
      <c r="A392" s="280" t="n"/>
      <c r="B392" s="280" t="n"/>
      <c r="C392" s="280" t="n"/>
      <c r="D392" s="280" t="n"/>
      <c r="E392" s="280" t="n"/>
      <c r="F392" s="280" t="n"/>
      <c r="G392" s="280" t="n"/>
      <c r="H392" s="280" t="n"/>
      <c r="I392" s="332">
        <f>IFERROR(VLOOKUP(TEXT(H392,"0"),IPRESS!$A$3:$B$212,2,0),"")</f>
        <v/>
      </c>
      <c r="J392" s="280" t="n"/>
      <c r="K392" s="332">
        <f>IFERROR(VLOOKUP(TEXT(O392,"0"),CONDUCTORES!$A$3:$G$54,7,0),"")</f>
        <v/>
      </c>
      <c r="L392" s="280" t="n"/>
      <c r="M392" s="280" t="n"/>
      <c r="N392" s="333">
        <f>IFERROR(IF(L392*M392=0,"",L392*M392),"")</f>
        <v/>
      </c>
      <c r="O392" s="280" t="n"/>
      <c r="P392" s="332">
        <f>IFERROR(VLOOKUP(TEXT(O392,"0"),CONDUCTORES!$A$3:$G$54,2,0),"")</f>
        <v/>
      </c>
      <c r="Q392" s="332">
        <f>IFERROR(VLOOKUP(TEXT(O392,"0"),CONDUCTORES!$A$3:$H$54,6,0),"")</f>
        <v/>
      </c>
      <c r="R392" s="280" t="n"/>
      <c r="S392" s="280" t="n"/>
      <c r="T392" s="280" t="n"/>
      <c r="U392" s="280" t="n"/>
      <c r="V392" s="280" t="n"/>
      <c r="W392" s="280" t="n"/>
      <c r="X392" s="280" t="n"/>
      <c r="Y392" s="280" t="n"/>
      <c r="Z392" s="375">
        <f>IF(AND(G392&lt;&gt;"",R392&lt;&gt;"",V392&lt;&gt;"",W392&lt;&gt;""),"COMPLETADO","OBSERVADO")</f>
        <v/>
      </c>
    </row>
    <row r="393" ht="15" customHeight="1" s="195">
      <c r="A393" s="334" t="n"/>
      <c r="B393" s="334" t="n"/>
      <c r="C393" s="334" t="n"/>
      <c r="D393" s="334" t="n"/>
      <c r="E393" s="334" t="n"/>
      <c r="F393" s="334" t="n"/>
      <c r="G393" s="334" t="n"/>
      <c r="H393" s="334" t="n"/>
      <c r="I393" s="332">
        <f>IFERROR(VLOOKUP(TEXT(H393,"0"),IPRESS!$A$3:$B$212,2,0),"")</f>
        <v/>
      </c>
      <c r="J393" s="334" t="n"/>
      <c r="K393" s="332">
        <f>IFERROR(VLOOKUP(TEXT(O393,"0"),CONDUCTORES!$A$3:$G$54,7,0),"")</f>
        <v/>
      </c>
      <c r="L393" s="334" t="n"/>
      <c r="M393" s="334" t="n"/>
      <c r="N393" s="333">
        <f>IFERROR(IF(L393*M393=0,"",L393*M393),"")</f>
        <v/>
      </c>
      <c r="O393" s="334" t="n"/>
      <c r="P393" s="332">
        <f>IFERROR(VLOOKUP(TEXT(O393,"0"),CONDUCTORES!$A$3:$G$54,2,0),"")</f>
        <v/>
      </c>
      <c r="Q393" s="332">
        <f>IFERROR(VLOOKUP(TEXT(O393,"0"),CONDUCTORES!$A$3:$H$54,6,0),"")</f>
        <v/>
      </c>
      <c r="R393" s="334" t="n"/>
      <c r="S393" s="334" t="n"/>
      <c r="T393" s="334" t="n"/>
      <c r="U393" s="334" t="n"/>
      <c r="V393" s="334" t="n"/>
      <c r="W393" s="334" t="n"/>
      <c r="X393" s="334" t="n"/>
      <c r="Y393" s="334" t="n"/>
      <c r="Z393" s="375">
        <f>IF(AND(G393&lt;&gt;"",R393&lt;&gt;"",V393&lt;&gt;"",W393&lt;&gt;""),"COMPLETADO","OBSERVADO")</f>
        <v/>
      </c>
    </row>
    <row r="394" ht="15" customHeight="1" s="195">
      <c r="A394" s="280" t="n"/>
      <c r="B394" s="280" t="n"/>
      <c r="C394" s="280" t="n"/>
      <c r="D394" s="280" t="n"/>
      <c r="E394" s="280" t="n"/>
      <c r="F394" s="280" t="n"/>
      <c r="G394" s="280" t="n"/>
      <c r="H394" s="280" t="n"/>
      <c r="I394" s="332">
        <f>IFERROR(VLOOKUP(TEXT(H394,"0"),IPRESS!$A$3:$B$212,2,0),"")</f>
        <v/>
      </c>
      <c r="J394" s="280" t="n"/>
      <c r="K394" s="332">
        <f>IFERROR(VLOOKUP(TEXT(O394,"0"),CONDUCTORES!$A$3:$G$54,7,0),"")</f>
        <v/>
      </c>
      <c r="L394" s="280" t="n"/>
      <c r="M394" s="280" t="n"/>
      <c r="N394" s="333">
        <f>IFERROR(IF(L394*M394=0,"",L394*M394),"")</f>
        <v/>
      </c>
      <c r="O394" s="280" t="n"/>
      <c r="P394" s="332">
        <f>IFERROR(VLOOKUP(TEXT(O394,"0"),CONDUCTORES!$A$3:$G$54,2,0),"")</f>
        <v/>
      </c>
      <c r="Q394" s="332">
        <f>IFERROR(VLOOKUP(TEXT(O394,"0"),CONDUCTORES!$A$3:$H$54,6,0),"")</f>
        <v/>
      </c>
      <c r="R394" s="280" t="n"/>
      <c r="S394" s="280" t="n"/>
      <c r="T394" s="280" t="n"/>
      <c r="U394" s="280" t="n"/>
      <c r="V394" s="280" t="n"/>
      <c r="W394" s="280" t="n"/>
      <c r="X394" s="280" t="n"/>
      <c r="Y394" s="280" t="n"/>
      <c r="Z394" s="375">
        <f>IF(AND(G394&lt;&gt;"",R394&lt;&gt;"",V394&lt;&gt;"",W394&lt;&gt;""),"COMPLETADO","OBSERVADO")</f>
        <v/>
      </c>
    </row>
    <row r="395" ht="15" customHeight="1" s="195">
      <c r="A395" s="334" t="n"/>
      <c r="B395" s="334" t="n"/>
      <c r="C395" s="334" t="n"/>
      <c r="D395" s="334" t="n"/>
      <c r="E395" s="334" t="n"/>
      <c r="F395" s="334" t="n"/>
      <c r="G395" s="334" t="n"/>
      <c r="H395" s="334" t="n"/>
      <c r="I395" s="332">
        <f>IFERROR(VLOOKUP(TEXT(H395,"0"),IPRESS!$A$3:$B$212,2,0),"")</f>
        <v/>
      </c>
      <c r="J395" s="334" t="n"/>
      <c r="K395" s="332">
        <f>IFERROR(VLOOKUP(TEXT(O395,"0"),CONDUCTORES!$A$3:$G$54,7,0),"")</f>
        <v/>
      </c>
      <c r="L395" s="334" t="n"/>
      <c r="M395" s="334" t="n"/>
      <c r="N395" s="333">
        <f>IFERROR(IF(L395*M395=0,"",L395*M395),"")</f>
        <v/>
      </c>
      <c r="O395" s="334" t="n"/>
      <c r="P395" s="332">
        <f>IFERROR(VLOOKUP(TEXT(O395,"0"),CONDUCTORES!$A$3:$G$54,2,0),"")</f>
        <v/>
      </c>
      <c r="Q395" s="332">
        <f>IFERROR(VLOOKUP(TEXT(O395,"0"),CONDUCTORES!$A$3:$H$54,6,0),"")</f>
        <v/>
      </c>
      <c r="R395" s="334" t="n"/>
      <c r="S395" s="334" t="n"/>
      <c r="T395" s="334" t="n"/>
      <c r="U395" s="334" t="n"/>
      <c r="V395" s="334" t="n"/>
      <c r="W395" s="334" t="n"/>
      <c r="X395" s="334" t="n"/>
      <c r="Y395" s="334" t="n"/>
      <c r="Z395" s="375">
        <f>IF(AND(G395&lt;&gt;"",R395&lt;&gt;"",V395&lt;&gt;"",W395&lt;&gt;""),"COMPLETADO","OBSERVADO")</f>
        <v/>
      </c>
    </row>
    <row r="396" ht="15" customHeight="1" s="195">
      <c r="A396" s="280" t="n"/>
      <c r="B396" s="280" t="n"/>
      <c r="C396" s="280" t="n"/>
      <c r="D396" s="280" t="n"/>
      <c r="E396" s="280" t="n"/>
      <c r="F396" s="280" t="n"/>
      <c r="G396" s="280" t="n"/>
      <c r="H396" s="280" t="n"/>
      <c r="I396" s="332">
        <f>IFERROR(VLOOKUP(TEXT(H396,"0"),IPRESS!$A$3:$B$212,2,0),"")</f>
        <v/>
      </c>
      <c r="J396" s="280" t="n"/>
      <c r="K396" s="332">
        <f>IFERROR(VLOOKUP(TEXT(O396,"0"),CONDUCTORES!$A$3:$G$54,7,0),"")</f>
        <v/>
      </c>
      <c r="L396" s="280" t="n"/>
      <c r="M396" s="280" t="n"/>
      <c r="N396" s="333">
        <f>IFERROR(IF(L396*M396=0,"",L396*M396),"")</f>
        <v/>
      </c>
      <c r="O396" s="280" t="n"/>
      <c r="P396" s="332">
        <f>IFERROR(VLOOKUP(TEXT(O396,"0"),CONDUCTORES!$A$3:$G$54,2,0),"")</f>
        <v/>
      </c>
      <c r="Q396" s="332">
        <f>IFERROR(VLOOKUP(TEXT(O396,"0"),CONDUCTORES!$A$3:$H$54,6,0),"")</f>
        <v/>
      </c>
      <c r="R396" s="280" t="n"/>
      <c r="S396" s="280" t="n"/>
      <c r="T396" s="280" t="n"/>
      <c r="U396" s="280" t="n"/>
      <c r="V396" s="280" t="n"/>
      <c r="W396" s="280" t="n"/>
      <c r="X396" s="280" t="n"/>
      <c r="Y396" s="280" t="n"/>
      <c r="Z396" s="375">
        <f>IF(AND(G396&lt;&gt;"",R396&lt;&gt;"",V396&lt;&gt;"",W396&lt;&gt;""),"COMPLETADO","OBSERVADO")</f>
        <v/>
      </c>
    </row>
    <row r="397" ht="15" customHeight="1" s="195">
      <c r="A397" s="334" t="n"/>
      <c r="B397" s="334" t="n"/>
      <c r="C397" s="334" t="n"/>
      <c r="D397" s="334" t="n"/>
      <c r="E397" s="334" t="n"/>
      <c r="F397" s="334" t="n"/>
      <c r="G397" s="334" t="n"/>
      <c r="H397" s="334" t="n"/>
      <c r="I397" s="332">
        <f>IFERROR(VLOOKUP(TEXT(H397,"0"),IPRESS!$A$3:$B$212,2,0),"")</f>
        <v/>
      </c>
      <c r="J397" s="334" t="n"/>
      <c r="K397" s="332">
        <f>IFERROR(VLOOKUP(TEXT(O397,"0"),CONDUCTORES!$A$3:$G$54,7,0),"")</f>
        <v/>
      </c>
      <c r="L397" s="334" t="n"/>
      <c r="M397" s="334" t="n"/>
      <c r="N397" s="333">
        <f>IFERROR(IF(L397*M397=0,"",L397*M397),"")</f>
        <v/>
      </c>
      <c r="O397" s="334" t="n"/>
      <c r="P397" s="332">
        <f>IFERROR(VLOOKUP(TEXT(O397,"0"),CONDUCTORES!$A$3:$G$54,2,0),"")</f>
        <v/>
      </c>
      <c r="Q397" s="332">
        <f>IFERROR(VLOOKUP(TEXT(O397,"0"),CONDUCTORES!$A$3:$H$54,6,0),"")</f>
        <v/>
      </c>
      <c r="R397" s="334" t="n"/>
      <c r="S397" s="334" t="n"/>
      <c r="T397" s="334" t="n"/>
      <c r="U397" s="334" t="n"/>
      <c r="V397" s="334" t="n"/>
      <c r="W397" s="334" t="n"/>
      <c r="X397" s="334" t="n"/>
      <c r="Y397" s="334" t="n"/>
      <c r="Z397" s="375">
        <f>IF(AND(G397&lt;&gt;"",R397&lt;&gt;"",V397&lt;&gt;"",W397&lt;&gt;""),"COMPLETADO","OBSERVADO")</f>
        <v/>
      </c>
    </row>
    <row r="398" ht="15" customHeight="1" s="195">
      <c r="A398" s="280" t="n"/>
      <c r="B398" s="280" t="n"/>
      <c r="C398" s="280" t="n"/>
      <c r="D398" s="280" t="n"/>
      <c r="E398" s="280" t="n"/>
      <c r="F398" s="280" t="n"/>
      <c r="G398" s="280" t="n"/>
      <c r="H398" s="280" t="n"/>
      <c r="I398" s="332">
        <f>IFERROR(VLOOKUP(TEXT(H398,"0"),IPRESS!$A$3:$B$212,2,0),"")</f>
        <v/>
      </c>
      <c r="J398" s="280" t="n"/>
      <c r="K398" s="332">
        <f>IFERROR(VLOOKUP(TEXT(O398,"0"),CONDUCTORES!$A$3:$G$54,7,0),"")</f>
        <v/>
      </c>
      <c r="L398" s="280" t="n"/>
      <c r="M398" s="280" t="n"/>
      <c r="N398" s="333">
        <f>IFERROR(IF(L398*M398=0,"",L398*M398),"")</f>
        <v/>
      </c>
      <c r="O398" s="280" t="n"/>
      <c r="P398" s="332">
        <f>IFERROR(VLOOKUP(TEXT(O398,"0"),CONDUCTORES!$A$3:$G$54,2,0),"")</f>
        <v/>
      </c>
      <c r="Q398" s="332">
        <f>IFERROR(VLOOKUP(TEXT(O398,"0"),CONDUCTORES!$A$3:$H$54,6,0),"")</f>
        <v/>
      </c>
      <c r="R398" s="280" t="n"/>
      <c r="S398" s="280" t="n"/>
      <c r="T398" s="280" t="n"/>
      <c r="U398" s="280" t="n"/>
      <c r="V398" s="280" t="n"/>
      <c r="W398" s="280" t="n"/>
      <c r="X398" s="280" t="n"/>
      <c r="Y398" s="280" t="n"/>
      <c r="Z398" s="375">
        <f>IF(AND(G398&lt;&gt;"",R398&lt;&gt;"",V398&lt;&gt;"",W398&lt;&gt;""),"COMPLETADO","OBSERVADO")</f>
        <v/>
      </c>
    </row>
    <row r="399" ht="15" customHeight="1" s="195">
      <c r="A399" s="334" t="n"/>
      <c r="B399" s="334" t="n"/>
      <c r="C399" s="334" t="n"/>
      <c r="D399" s="334" t="n"/>
      <c r="E399" s="334" t="n"/>
      <c r="F399" s="334" t="n"/>
      <c r="G399" s="334" t="n"/>
      <c r="H399" s="334" t="n"/>
      <c r="I399" s="332">
        <f>IFERROR(VLOOKUP(TEXT(H399,"0"),IPRESS!$A$3:$B$212,2,0),"")</f>
        <v/>
      </c>
      <c r="J399" s="334" t="n"/>
      <c r="K399" s="332">
        <f>IFERROR(VLOOKUP(TEXT(O399,"0"),CONDUCTORES!$A$3:$G$54,7,0),"")</f>
        <v/>
      </c>
      <c r="L399" s="334" t="n"/>
      <c r="M399" s="334" t="n"/>
      <c r="N399" s="333">
        <f>IFERROR(IF(L399*M399=0,"",L399*M399),"")</f>
        <v/>
      </c>
      <c r="O399" s="334" t="n"/>
      <c r="P399" s="332">
        <f>IFERROR(VLOOKUP(TEXT(O399,"0"),CONDUCTORES!$A$3:$G$54,2,0),"")</f>
        <v/>
      </c>
      <c r="Q399" s="332">
        <f>IFERROR(VLOOKUP(TEXT(O399,"0"),CONDUCTORES!$A$3:$H$54,6,0),"")</f>
        <v/>
      </c>
      <c r="R399" s="334" t="n"/>
      <c r="S399" s="334" t="n"/>
      <c r="T399" s="334" t="n"/>
      <c r="U399" s="334" t="n"/>
      <c r="V399" s="334" t="n"/>
      <c r="W399" s="334" t="n"/>
      <c r="X399" s="334" t="n"/>
      <c r="Y399" s="334" t="n"/>
      <c r="Z399" s="375">
        <f>IF(AND(G399&lt;&gt;"",R399&lt;&gt;"",V399&lt;&gt;"",W399&lt;&gt;""),"COMPLETADO","OBSERVADO")</f>
        <v/>
      </c>
    </row>
    <row r="400" ht="15" customHeight="1" s="195">
      <c r="A400" s="280" t="n"/>
      <c r="B400" s="280" t="n"/>
      <c r="C400" s="280" t="n"/>
      <c r="D400" s="280" t="n"/>
      <c r="E400" s="280" t="n"/>
      <c r="F400" s="280" t="n"/>
      <c r="G400" s="280" t="n"/>
      <c r="H400" s="280" t="n"/>
      <c r="I400" s="332">
        <f>IFERROR(VLOOKUP(TEXT(H400,"0"),IPRESS!$A$3:$B$212,2,0),"")</f>
        <v/>
      </c>
      <c r="J400" s="280" t="n"/>
      <c r="K400" s="332">
        <f>IFERROR(VLOOKUP(TEXT(O400,"0"),CONDUCTORES!$A$3:$G$54,7,0),"")</f>
        <v/>
      </c>
      <c r="L400" s="280" t="n"/>
      <c r="M400" s="280" t="n"/>
      <c r="N400" s="333">
        <f>IFERROR(IF(L400*M400=0,"",L400*M400),"")</f>
        <v/>
      </c>
      <c r="O400" s="280" t="n"/>
      <c r="P400" s="332">
        <f>IFERROR(VLOOKUP(TEXT(O400,"0"),CONDUCTORES!$A$3:$G$54,2,0),"")</f>
        <v/>
      </c>
      <c r="Q400" s="332">
        <f>IFERROR(VLOOKUP(TEXT(O400,"0"),CONDUCTORES!$A$3:$H$54,6,0),"")</f>
        <v/>
      </c>
      <c r="R400" s="280" t="n"/>
      <c r="S400" s="280" t="n"/>
      <c r="T400" s="280" t="n"/>
      <c r="U400" s="280" t="n"/>
      <c r="V400" s="280" t="n"/>
      <c r="W400" s="280" t="n"/>
      <c r="X400" s="280" t="n"/>
      <c r="Y400" s="280" t="n"/>
      <c r="Z400" s="375">
        <f>IF(AND(G400&lt;&gt;"",R400&lt;&gt;"",V400&lt;&gt;"",W400&lt;&gt;""),"COMPLETADO","OBSERVADO")</f>
        <v/>
      </c>
    </row>
    <row r="401" ht="15" customHeight="1" s="195">
      <c r="A401" s="334" t="n"/>
      <c r="B401" s="334" t="n"/>
      <c r="C401" s="334" t="n"/>
      <c r="D401" s="334" t="n"/>
      <c r="E401" s="334" t="n"/>
      <c r="F401" s="334" t="n"/>
      <c r="G401" s="334" t="n"/>
      <c r="H401" s="334" t="n"/>
      <c r="I401" s="332">
        <f>IFERROR(VLOOKUP(TEXT(H401,"0"),IPRESS!$A$3:$B$212,2,0),"")</f>
        <v/>
      </c>
      <c r="J401" s="334" t="n"/>
      <c r="K401" s="332">
        <f>IFERROR(VLOOKUP(TEXT(O401,"0"),CONDUCTORES!$A$3:$G$54,7,0),"")</f>
        <v/>
      </c>
      <c r="L401" s="334" t="n"/>
      <c r="M401" s="334" t="n"/>
      <c r="N401" s="333">
        <f>IFERROR(IF(L401*M401=0,"",L401*M401),"")</f>
        <v/>
      </c>
      <c r="O401" s="334" t="n"/>
      <c r="P401" s="332">
        <f>IFERROR(VLOOKUP(TEXT(O401,"0"),CONDUCTORES!$A$3:$G$54,2,0),"")</f>
        <v/>
      </c>
      <c r="Q401" s="332">
        <f>IFERROR(VLOOKUP(TEXT(O401,"0"),CONDUCTORES!$A$3:$H$54,6,0),"")</f>
        <v/>
      </c>
      <c r="R401" s="334" t="n"/>
      <c r="S401" s="334" t="n"/>
      <c r="T401" s="334" t="n"/>
      <c r="U401" s="334" t="n"/>
      <c r="V401" s="334" t="n"/>
      <c r="W401" s="334" t="n"/>
      <c r="X401" s="334" t="n"/>
      <c r="Y401" s="334" t="n"/>
      <c r="Z401" s="375">
        <f>IF(AND(G401&lt;&gt;"",R401&lt;&gt;"",V401&lt;&gt;"",W401&lt;&gt;""),"COMPLETADO","OBSERVADO")</f>
        <v/>
      </c>
    </row>
    <row r="402" ht="15" customHeight="1" s="195">
      <c r="A402" s="280" t="n"/>
      <c r="B402" s="280" t="n"/>
      <c r="C402" s="280" t="n"/>
      <c r="D402" s="280" t="n"/>
      <c r="E402" s="280" t="n"/>
      <c r="F402" s="280" t="n"/>
      <c r="G402" s="280" t="n"/>
      <c r="H402" s="280" t="n"/>
      <c r="I402" s="332">
        <f>IFERROR(VLOOKUP(TEXT(H402,"0"),IPRESS!$A$3:$B$212,2,0),"")</f>
        <v/>
      </c>
      <c r="J402" s="280" t="n"/>
      <c r="K402" s="332">
        <f>IFERROR(VLOOKUP(TEXT(O402,"0"),CONDUCTORES!$A$3:$G$54,7,0),"")</f>
        <v/>
      </c>
      <c r="L402" s="280" t="n"/>
      <c r="M402" s="280" t="n"/>
      <c r="N402" s="333">
        <f>IFERROR(IF(L402*M402=0,"",L402*M402),"")</f>
        <v/>
      </c>
      <c r="O402" s="280" t="n"/>
      <c r="P402" s="332">
        <f>IFERROR(VLOOKUP(TEXT(O402,"0"),CONDUCTORES!$A$3:$G$54,2,0),"")</f>
        <v/>
      </c>
      <c r="Q402" s="332">
        <f>IFERROR(VLOOKUP(TEXT(O402,"0"),CONDUCTORES!$A$3:$H$54,6,0),"")</f>
        <v/>
      </c>
      <c r="R402" s="280" t="n"/>
      <c r="S402" s="280" t="n"/>
      <c r="T402" s="280" t="n"/>
      <c r="U402" s="280" t="n"/>
      <c r="V402" s="280" t="n"/>
      <c r="W402" s="280" t="n"/>
      <c r="X402" s="280" t="n"/>
      <c r="Y402" s="280" t="n"/>
      <c r="Z402" s="375">
        <f>IF(AND(G402&lt;&gt;"",R402&lt;&gt;"",V402&lt;&gt;"",W402&lt;&gt;""),"COMPLETADO","OBSERVADO")</f>
        <v/>
      </c>
    </row>
    <row r="403" ht="15" customHeight="1" s="195">
      <c r="A403" s="334" t="n"/>
      <c r="B403" s="334" t="n"/>
      <c r="C403" s="334" t="n"/>
      <c r="D403" s="334" t="n"/>
      <c r="E403" s="334" t="n"/>
      <c r="F403" s="334" t="n"/>
      <c r="G403" s="334" t="n"/>
      <c r="H403" s="334" t="n"/>
      <c r="I403" s="332">
        <f>IFERROR(VLOOKUP(TEXT(H403,"0"),IPRESS!$A$3:$B$212,2,0),"")</f>
        <v/>
      </c>
      <c r="J403" s="334" t="n"/>
      <c r="K403" s="332">
        <f>IFERROR(VLOOKUP(TEXT(O403,"0"),CONDUCTORES!$A$3:$G$54,7,0),"")</f>
        <v/>
      </c>
      <c r="L403" s="334" t="n"/>
      <c r="M403" s="334" t="n"/>
      <c r="N403" s="333">
        <f>IFERROR(IF(L403*M403=0,"",L403*M403),"")</f>
        <v/>
      </c>
      <c r="O403" s="334" t="n"/>
      <c r="P403" s="332">
        <f>IFERROR(VLOOKUP(TEXT(O403,"0"),CONDUCTORES!$A$3:$G$54,2,0),"")</f>
        <v/>
      </c>
      <c r="Q403" s="332">
        <f>IFERROR(VLOOKUP(TEXT(O403,"0"),CONDUCTORES!$A$3:$H$54,6,0),"")</f>
        <v/>
      </c>
      <c r="R403" s="334" t="n"/>
      <c r="S403" s="334" t="n"/>
      <c r="T403" s="334" t="n"/>
      <c r="U403" s="334" t="n"/>
      <c r="V403" s="334" t="n"/>
      <c r="W403" s="334" t="n"/>
      <c r="X403" s="334" t="n"/>
      <c r="Y403" s="334" t="n"/>
      <c r="Z403" s="375">
        <f>IF(AND(G403&lt;&gt;"",R403&lt;&gt;"",V403&lt;&gt;"",W403&lt;&gt;""),"COMPLETADO","OBSERVADO")</f>
        <v/>
      </c>
    </row>
    <row r="404" ht="15" customHeight="1" s="195">
      <c r="A404" s="280" t="n"/>
      <c r="B404" s="280" t="n"/>
      <c r="C404" s="280" t="n"/>
      <c r="D404" s="280" t="n"/>
      <c r="E404" s="280" t="n"/>
      <c r="F404" s="280" t="n"/>
      <c r="G404" s="280" t="n"/>
      <c r="H404" s="280" t="n"/>
      <c r="I404" s="332">
        <f>IFERROR(VLOOKUP(TEXT(H404,"0"),IPRESS!$A$3:$B$212,2,0),"")</f>
        <v/>
      </c>
      <c r="J404" s="280" t="n"/>
      <c r="K404" s="332">
        <f>IFERROR(VLOOKUP(TEXT(O404,"0"),CONDUCTORES!$A$3:$G$54,7,0),"")</f>
        <v/>
      </c>
      <c r="L404" s="280" t="n"/>
      <c r="M404" s="280" t="n"/>
      <c r="N404" s="333">
        <f>IFERROR(IF(L404*M404=0,"",L404*M404),"")</f>
        <v/>
      </c>
      <c r="O404" s="280" t="n"/>
      <c r="P404" s="332">
        <f>IFERROR(VLOOKUP(TEXT(O404,"0"),CONDUCTORES!$A$3:$G$54,2,0),"")</f>
        <v/>
      </c>
      <c r="Q404" s="332">
        <f>IFERROR(VLOOKUP(TEXT(O404,"0"),CONDUCTORES!$A$3:$H$54,6,0),"")</f>
        <v/>
      </c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375">
        <f>IF(AND(G404&lt;&gt;"",R404&lt;&gt;"",V404&lt;&gt;"",W404&lt;&gt;""),"COMPLETADO","OBSERVADO")</f>
        <v/>
      </c>
    </row>
    <row r="405" ht="15" customHeight="1" s="195">
      <c r="A405" s="334" t="n"/>
      <c r="B405" s="334" t="n"/>
      <c r="C405" s="334" t="n"/>
      <c r="D405" s="334" t="n"/>
      <c r="E405" s="334" t="n"/>
      <c r="F405" s="334" t="n"/>
      <c r="G405" s="334" t="n"/>
      <c r="H405" s="334" t="n"/>
      <c r="I405" s="332">
        <f>IFERROR(VLOOKUP(TEXT(H405,"0"),IPRESS!$A$3:$B$212,2,0),"")</f>
        <v/>
      </c>
      <c r="J405" s="334" t="n"/>
      <c r="K405" s="332">
        <f>IFERROR(VLOOKUP(TEXT(O405,"0"),CONDUCTORES!$A$3:$G$54,7,0),"")</f>
        <v/>
      </c>
      <c r="L405" s="334" t="n"/>
      <c r="M405" s="334" t="n"/>
      <c r="N405" s="333">
        <f>IFERROR(IF(L405*M405=0,"",L405*M405),"")</f>
        <v/>
      </c>
      <c r="O405" s="334" t="n"/>
      <c r="P405" s="332">
        <f>IFERROR(VLOOKUP(TEXT(O405,"0"),CONDUCTORES!$A$3:$G$54,2,0),"")</f>
        <v/>
      </c>
      <c r="Q405" s="332">
        <f>IFERROR(VLOOKUP(TEXT(O405,"0"),CONDUCTORES!$A$3:$H$54,6,0),"")</f>
        <v/>
      </c>
      <c r="R405" s="334" t="n"/>
      <c r="S405" s="334" t="n"/>
      <c r="T405" s="334" t="n"/>
      <c r="U405" s="334" t="n"/>
      <c r="V405" s="334" t="n"/>
      <c r="W405" s="334" t="n"/>
      <c r="X405" s="334" t="n"/>
      <c r="Y405" s="334" t="n"/>
      <c r="Z405" s="375">
        <f>IF(AND(G405&lt;&gt;"",R405&lt;&gt;"",V405&lt;&gt;"",W405&lt;&gt;""),"COMPLETADO","OBSERVADO")</f>
        <v/>
      </c>
    </row>
    <row r="406" ht="15" customHeight="1" s="195">
      <c r="A406" s="280" t="n"/>
      <c r="B406" s="280" t="n"/>
      <c r="C406" s="280" t="n"/>
      <c r="D406" s="280" t="n"/>
      <c r="E406" s="280" t="n"/>
      <c r="F406" s="280" t="n"/>
      <c r="G406" s="280" t="n"/>
      <c r="H406" s="280" t="n"/>
      <c r="I406" s="332">
        <f>IFERROR(VLOOKUP(TEXT(H406,"0"),IPRESS!$A$3:$B$212,2,0),"")</f>
        <v/>
      </c>
      <c r="J406" s="280" t="n"/>
      <c r="K406" s="332">
        <f>IFERROR(VLOOKUP(TEXT(O406,"0"),CONDUCTORES!$A$3:$G$54,7,0),"")</f>
        <v/>
      </c>
      <c r="L406" s="280" t="n"/>
      <c r="M406" s="280" t="n"/>
      <c r="N406" s="333">
        <f>IFERROR(IF(L406*M406=0,"",L406*M406),"")</f>
        <v/>
      </c>
      <c r="O406" s="280" t="n"/>
      <c r="P406" s="332">
        <f>IFERROR(VLOOKUP(TEXT(O406,"0"),CONDUCTORES!$A$3:$G$54,2,0),"")</f>
        <v/>
      </c>
      <c r="Q406" s="332">
        <f>IFERROR(VLOOKUP(TEXT(O406,"0"),CONDUCTORES!$A$3:$H$54,6,0),"")</f>
        <v/>
      </c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375">
        <f>IF(AND(G406&lt;&gt;"",R406&lt;&gt;"",V406&lt;&gt;"",W406&lt;&gt;""),"COMPLETADO","OBSERVADO")</f>
        <v/>
      </c>
    </row>
    <row r="407" ht="15" customHeight="1" s="195">
      <c r="A407" s="334" t="n"/>
      <c r="B407" s="334" t="n"/>
      <c r="C407" s="334" t="n"/>
      <c r="D407" s="334" t="n"/>
      <c r="E407" s="334" t="n"/>
      <c r="F407" s="334" t="n"/>
      <c r="G407" s="334" t="n"/>
      <c r="H407" s="334" t="n"/>
      <c r="I407" s="332">
        <f>IFERROR(VLOOKUP(TEXT(H407,"0"),IPRESS!$A$3:$B$212,2,0),"")</f>
        <v/>
      </c>
      <c r="J407" s="334" t="n"/>
      <c r="K407" s="332">
        <f>IFERROR(VLOOKUP(TEXT(O407,"0"),CONDUCTORES!$A$3:$G$54,7,0),"")</f>
        <v/>
      </c>
      <c r="L407" s="334" t="n"/>
      <c r="M407" s="334" t="n"/>
      <c r="N407" s="333">
        <f>IFERROR(IF(L407*M407=0,"",L407*M407),"")</f>
        <v/>
      </c>
      <c r="O407" s="334" t="n"/>
      <c r="P407" s="332">
        <f>IFERROR(VLOOKUP(TEXT(O407,"0"),CONDUCTORES!$A$3:$G$54,2,0),"")</f>
        <v/>
      </c>
      <c r="Q407" s="332">
        <f>IFERROR(VLOOKUP(TEXT(O407,"0"),CONDUCTORES!$A$3:$H$54,6,0),"")</f>
        <v/>
      </c>
      <c r="R407" s="334" t="n"/>
      <c r="S407" s="334" t="n"/>
      <c r="T407" s="334" t="n"/>
      <c r="U407" s="334" t="n"/>
      <c r="V407" s="334" t="n"/>
      <c r="W407" s="334" t="n"/>
      <c r="X407" s="334" t="n"/>
      <c r="Y407" s="334" t="n"/>
      <c r="Z407" s="375">
        <f>IF(AND(G407&lt;&gt;"",R407&lt;&gt;"",V407&lt;&gt;"",W407&lt;&gt;""),"COMPLETADO","OBSERVADO")</f>
        <v/>
      </c>
    </row>
    <row r="408" ht="15" customHeight="1" s="195">
      <c r="A408" s="280" t="n"/>
      <c r="B408" s="280" t="n"/>
      <c r="C408" s="280" t="n"/>
      <c r="D408" s="280" t="n"/>
      <c r="E408" s="280" t="n"/>
      <c r="F408" s="280" t="n"/>
      <c r="G408" s="280" t="n"/>
      <c r="H408" s="280" t="n"/>
      <c r="I408" s="332">
        <f>IFERROR(VLOOKUP(TEXT(H408,"0"),IPRESS!$A$3:$B$212,2,0),"")</f>
        <v/>
      </c>
      <c r="J408" s="280" t="n"/>
      <c r="K408" s="332">
        <f>IFERROR(VLOOKUP(TEXT(O408,"0"),CONDUCTORES!$A$3:$G$54,7,0),"")</f>
        <v/>
      </c>
      <c r="L408" s="280" t="n"/>
      <c r="M408" s="280" t="n"/>
      <c r="N408" s="333">
        <f>IFERROR(IF(L408*M408=0,"",L408*M408),"")</f>
        <v/>
      </c>
      <c r="O408" s="280" t="n"/>
      <c r="P408" s="332">
        <f>IFERROR(VLOOKUP(TEXT(O408,"0"),CONDUCTORES!$A$3:$G$54,2,0),"")</f>
        <v/>
      </c>
      <c r="Q408" s="332">
        <f>IFERROR(VLOOKUP(TEXT(O408,"0"),CONDUCTORES!$A$3:$H$54,6,0),"")</f>
        <v/>
      </c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375">
        <f>IF(AND(G408&lt;&gt;"",R408&lt;&gt;"",V408&lt;&gt;"",W408&lt;&gt;""),"COMPLETADO","OBSERVADO")</f>
        <v/>
      </c>
    </row>
    <row r="409" ht="15" customHeight="1" s="195">
      <c r="A409" s="334" t="n"/>
      <c r="B409" s="334" t="n"/>
      <c r="C409" s="334" t="n"/>
      <c r="D409" s="334" t="n"/>
      <c r="E409" s="334" t="n"/>
      <c r="F409" s="334" t="n"/>
      <c r="G409" s="334" t="n"/>
      <c r="H409" s="334" t="n"/>
      <c r="I409" s="332">
        <f>IFERROR(VLOOKUP(TEXT(H409,"0"),IPRESS!$A$3:$B$212,2,0),"")</f>
        <v/>
      </c>
      <c r="J409" s="334" t="n"/>
      <c r="K409" s="332">
        <f>IFERROR(VLOOKUP(TEXT(O409,"0"),CONDUCTORES!$A$3:$G$54,7,0),"")</f>
        <v/>
      </c>
      <c r="L409" s="334" t="n"/>
      <c r="M409" s="334" t="n"/>
      <c r="N409" s="333">
        <f>IFERROR(IF(L409*M409=0,"",L409*M409),"")</f>
        <v/>
      </c>
      <c r="O409" s="334" t="n"/>
      <c r="P409" s="332">
        <f>IFERROR(VLOOKUP(TEXT(O409,"0"),CONDUCTORES!$A$3:$G$54,2,0),"")</f>
        <v/>
      </c>
      <c r="Q409" s="332">
        <f>IFERROR(VLOOKUP(TEXT(O409,"0"),CONDUCTORES!$A$3:$H$54,6,0),"")</f>
        <v/>
      </c>
      <c r="R409" s="334" t="n"/>
      <c r="S409" s="334" t="n"/>
      <c r="T409" s="334" t="n"/>
      <c r="U409" s="334" t="n"/>
      <c r="V409" s="334" t="n"/>
      <c r="W409" s="334" t="n"/>
      <c r="X409" s="334" t="n"/>
      <c r="Y409" s="334" t="n"/>
      <c r="Z409" s="375">
        <f>IF(AND(G409&lt;&gt;"",R409&lt;&gt;"",V409&lt;&gt;"",W409&lt;&gt;""),"COMPLETADO","OBSERVADO")</f>
        <v/>
      </c>
    </row>
    <row r="410" ht="15" customHeight="1" s="195">
      <c r="A410" s="280" t="n"/>
      <c r="B410" s="280" t="n"/>
      <c r="C410" s="280" t="n"/>
      <c r="D410" s="280" t="n"/>
      <c r="E410" s="280" t="n"/>
      <c r="F410" s="280" t="n"/>
      <c r="G410" s="280" t="n"/>
      <c r="H410" s="280" t="n"/>
      <c r="I410" s="332">
        <f>IFERROR(VLOOKUP(TEXT(H410,"0"),IPRESS!$A$3:$B$212,2,0),"")</f>
        <v/>
      </c>
      <c r="J410" s="280" t="n"/>
      <c r="K410" s="332">
        <f>IFERROR(VLOOKUP(TEXT(O410,"0"),CONDUCTORES!$A$3:$G$54,7,0),"")</f>
        <v/>
      </c>
      <c r="L410" s="280" t="n"/>
      <c r="M410" s="280" t="n"/>
      <c r="N410" s="333">
        <f>IFERROR(IF(L410*M410=0,"",L410*M410),"")</f>
        <v/>
      </c>
      <c r="O410" s="280" t="n"/>
      <c r="P410" s="332">
        <f>IFERROR(VLOOKUP(TEXT(O410,"0"),CONDUCTORES!$A$3:$G$54,2,0),"")</f>
        <v/>
      </c>
      <c r="Q410" s="332">
        <f>IFERROR(VLOOKUP(TEXT(O410,"0"),CONDUCTORES!$A$3:$H$54,6,0),"")</f>
        <v/>
      </c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375">
        <f>IF(AND(G410&lt;&gt;"",R410&lt;&gt;"",V410&lt;&gt;"",W410&lt;&gt;""),"COMPLETADO","OBSERVADO")</f>
        <v/>
      </c>
    </row>
    <row r="411" ht="15" customHeight="1" s="195">
      <c r="A411" s="334" t="n"/>
      <c r="B411" s="334" t="n"/>
      <c r="C411" s="334" t="n"/>
      <c r="D411" s="334" t="n"/>
      <c r="E411" s="334" t="n"/>
      <c r="F411" s="334" t="n"/>
      <c r="G411" s="334" t="n"/>
      <c r="H411" s="334" t="n"/>
      <c r="I411" s="332">
        <f>IFERROR(VLOOKUP(TEXT(H411,"0"),IPRESS!$A$3:$B$212,2,0),"")</f>
        <v/>
      </c>
      <c r="J411" s="334" t="n"/>
      <c r="K411" s="332">
        <f>IFERROR(VLOOKUP(TEXT(O411,"0"),CONDUCTORES!$A$3:$G$54,7,0),"")</f>
        <v/>
      </c>
      <c r="L411" s="334" t="n"/>
      <c r="M411" s="334" t="n"/>
      <c r="N411" s="333">
        <f>IFERROR(IF(L411*M411=0,"",L411*M411),"")</f>
        <v/>
      </c>
      <c r="O411" s="334" t="n"/>
      <c r="P411" s="332">
        <f>IFERROR(VLOOKUP(TEXT(O411,"0"),CONDUCTORES!$A$3:$G$54,2,0),"")</f>
        <v/>
      </c>
      <c r="Q411" s="332">
        <f>IFERROR(VLOOKUP(TEXT(O411,"0"),CONDUCTORES!$A$3:$H$54,6,0),"")</f>
        <v/>
      </c>
      <c r="R411" s="334" t="n"/>
      <c r="S411" s="334" t="n"/>
      <c r="T411" s="334" t="n"/>
      <c r="U411" s="334" t="n"/>
      <c r="V411" s="334" t="n"/>
      <c r="W411" s="334" t="n"/>
      <c r="X411" s="334" t="n"/>
      <c r="Y411" s="334" t="n"/>
      <c r="Z411" s="375">
        <f>IF(AND(G411&lt;&gt;"",R411&lt;&gt;"",V411&lt;&gt;"",W411&lt;&gt;""),"COMPLETADO","OBSERVADO")</f>
        <v/>
      </c>
    </row>
    <row r="412" ht="15" customHeight="1" s="195">
      <c r="A412" s="280" t="n"/>
      <c r="B412" s="280" t="n"/>
      <c r="C412" s="280" t="n"/>
      <c r="D412" s="280" t="n"/>
      <c r="E412" s="280" t="n"/>
      <c r="F412" s="280" t="n"/>
      <c r="G412" s="280" t="n"/>
      <c r="H412" s="280" t="n"/>
      <c r="I412" s="332">
        <f>IFERROR(VLOOKUP(TEXT(H412,"0"),IPRESS!$A$3:$B$212,2,0),"")</f>
        <v/>
      </c>
      <c r="J412" s="280" t="n"/>
      <c r="K412" s="332">
        <f>IFERROR(VLOOKUP(TEXT(O412,"0"),CONDUCTORES!$A$3:$G$54,7,0),"")</f>
        <v/>
      </c>
      <c r="L412" s="280" t="n"/>
      <c r="M412" s="280" t="n"/>
      <c r="N412" s="333">
        <f>IFERROR(IF(L412*M412=0,"",L412*M412),"")</f>
        <v/>
      </c>
      <c r="O412" s="280" t="n"/>
      <c r="P412" s="332">
        <f>IFERROR(VLOOKUP(TEXT(O412,"0"),CONDUCTORES!$A$3:$G$54,2,0),"")</f>
        <v/>
      </c>
      <c r="Q412" s="332">
        <f>IFERROR(VLOOKUP(TEXT(O412,"0"),CONDUCTORES!$A$3:$H$54,6,0),"")</f>
        <v/>
      </c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375">
        <f>IF(AND(G412&lt;&gt;"",R412&lt;&gt;"",V412&lt;&gt;"",W412&lt;&gt;""),"COMPLETADO","OBSERVADO")</f>
        <v/>
      </c>
    </row>
    <row r="413" ht="15" customHeight="1" s="195">
      <c r="A413" s="334" t="n"/>
      <c r="B413" s="334" t="n"/>
      <c r="C413" s="334" t="n"/>
      <c r="D413" s="334" t="n"/>
      <c r="E413" s="334" t="n"/>
      <c r="F413" s="334" t="n"/>
      <c r="G413" s="334" t="n"/>
      <c r="H413" s="334" t="n"/>
      <c r="I413" s="332">
        <f>IFERROR(VLOOKUP(TEXT(H413,"0"),IPRESS!$A$3:$B$212,2,0),"")</f>
        <v/>
      </c>
      <c r="J413" s="334" t="n"/>
      <c r="K413" s="332">
        <f>IFERROR(VLOOKUP(TEXT(O413,"0"),CONDUCTORES!$A$3:$G$54,7,0),"")</f>
        <v/>
      </c>
      <c r="L413" s="334" t="n"/>
      <c r="M413" s="334" t="n"/>
      <c r="N413" s="333">
        <f>IFERROR(IF(L413*M413=0,"",L413*M413),"")</f>
        <v/>
      </c>
      <c r="O413" s="334" t="n"/>
      <c r="P413" s="332">
        <f>IFERROR(VLOOKUP(TEXT(O413,"0"),CONDUCTORES!$A$3:$G$54,2,0),"")</f>
        <v/>
      </c>
      <c r="Q413" s="332">
        <f>IFERROR(VLOOKUP(TEXT(O413,"0"),CONDUCTORES!$A$3:$H$54,6,0),"")</f>
        <v/>
      </c>
      <c r="R413" s="334" t="n"/>
      <c r="S413" s="334" t="n"/>
      <c r="T413" s="334" t="n"/>
      <c r="U413" s="334" t="n"/>
      <c r="V413" s="334" t="n"/>
      <c r="W413" s="334" t="n"/>
      <c r="X413" s="334" t="n"/>
      <c r="Y413" s="334" t="n"/>
      <c r="Z413" s="375">
        <f>IF(AND(G413&lt;&gt;"",R413&lt;&gt;"",V413&lt;&gt;"",W413&lt;&gt;""),"COMPLETADO","OBSERVADO")</f>
        <v/>
      </c>
    </row>
    <row r="414" ht="15" customHeight="1" s="195">
      <c r="A414" s="280" t="n"/>
      <c r="B414" s="280" t="n"/>
      <c r="C414" s="280" t="n"/>
      <c r="D414" s="280" t="n"/>
      <c r="E414" s="280" t="n"/>
      <c r="F414" s="280" t="n"/>
      <c r="G414" s="280" t="n"/>
      <c r="H414" s="280" t="n"/>
      <c r="I414" s="332">
        <f>IFERROR(VLOOKUP(TEXT(H414,"0"),IPRESS!$A$3:$B$212,2,0),"")</f>
        <v/>
      </c>
      <c r="J414" s="280" t="n"/>
      <c r="K414" s="332">
        <f>IFERROR(VLOOKUP(TEXT(O414,"0"),CONDUCTORES!$A$3:$G$54,7,0),"")</f>
        <v/>
      </c>
      <c r="L414" s="280" t="n"/>
      <c r="M414" s="280" t="n"/>
      <c r="N414" s="333">
        <f>IFERROR(IF(L414*M414=0,"",L414*M414),"")</f>
        <v/>
      </c>
      <c r="O414" s="280" t="n"/>
      <c r="P414" s="332">
        <f>IFERROR(VLOOKUP(TEXT(O414,"0"),CONDUCTORES!$A$3:$G$54,2,0),"")</f>
        <v/>
      </c>
      <c r="Q414" s="332">
        <f>IFERROR(VLOOKUP(TEXT(O414,"0"),CONDUCTORES!$A$3:$H$54,6,0),"")</f>
        <v/>
      </c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375">
        <f>IF(AND(G414&lt;&gt;"",R414&lt;&gt;"",V414&lt;&gt;"",W414&lt;&gt;""),"COMPLETADO","OBSERVADO")</f>
        <v/>
      </c>
    </row>
    <row r="415" ht="15" customHeight="1" s="195">
      <c r="A415" s="334" t="n"/>
      <c r="B415" s="334" t="n"/>
      <c r="C415" s="334" t="n"/>
      <c r="D415" s="334" t="n"/>
      <c r="E415" s="334" t="n"/>
      <c r="F415" s="334" t="n"/>
      <c r="G415" s="334" t="n"/>
      <c r="H415" s="334" t="n"/>
      <c r="I415" s="332">
        <f>IFERROR(VLOOKUP(TEXT(H415,"0"),IPRESS!$A$3:$B$212,2,0),"")</f>
        <v/>
      </c>
      <c r="J415" s="334" t="n"/>
      <c r="K415" s="332">
        <f>IFERROR(VLOOKUP(TEXT(O415,"0"),CONDUCTORES!$A$3:$G$54,7,0),"")</f>
        <v/>
      </c>
      <c r="L415" s="334" t="n"/>
      <c r="M415" s="334" t="n"/>
      <c r="N415" s="333">
        <f>IFERROR(IF(L415*M415=0,"",L415*M415),"")</f>
        <v/>
      </c>
      <c r="O415" s="334" t="n"/>
      <c r="P415" s="332">
        <f>IFERROR(VLOOKUP(TEXT(O415,"0"),CONDUCTORES!$A$3:$G$54,2,0),"")</f>
        <v/>
      </c>
      <c r="Q415" s="332">
        <f>IFERROR(VLOOKUP(TEXT(O415,"0"),CONDUCTORES!$A$3:$H$54,6,0),"")</f>
        <v/>
      </c>
      <c r="R415" s="334" t="n"/>
      <c r="S415" s="334" t="n"/>
      <c r="T415" s="334" t="n"/>
      <c r="U415" s="334" t="n"/>
      <c r="V415" s="334" t="n"/>
      <c r="W415" s="334" t="n"/>
      <c r="X415" s="334" t="n"/>
      <c r="Y415" s="334" t="n"/>
      <c r="Z415" s="375">
        <f>IF(AND(G415&lt;&gt;"",R415&lt;&gt;"",V415&lt;&gt;"",W415&lt;&gt;""),"COMPLETADO","OBSERVADO")</f>
        <v/>
      </c>
    </row>
    <row r="416" ht="15" customHeight="1" s="195">
      <c r="A416" s="280" t="n"/>
      <c r="B416" s="280" t="n"/>
      <c r="C416" s="280" t="n"/>
      <c r="D416" s="280" t="n"/>
      <c r="E416" s="280" t="n"/>
      <c r="F416" s="280" t="n"/>
      <c r="G416" s="280" t="n"/>
      <c r="H416" s="280" t="n"/>
      <c r="I416" s="332">
        <f>IFERROR(VLOOKUP(TEXT(H416,"0"),IPRESS!$A$3:$B$212,2,0),"")</f>
        <v/>
      </c>
      <c r="J416" s="280" t="n"/>
      <c r="K416" s="332">
        <f>IFERROR(VLOOKUP(TEXT(O416,"0"),CONDUCTORES!$A$3:$G$54,7,0),"")</f>
        <v/>
      </c>
      <c r="L416" s="280" t="n"/>
      <c r="M416" s="280" t="n"/>
      <c r="N416" s="333">
        <f>IFERROR(IF(L416*M416=0,"",L416*M416),"")</f>
        <v/>
      </c>
      <c r="O416" s="280" t="n"/>
      <c r="P416" s="332">
        <f>IFERROR(VLOOKUP(TEXT(O416,"0"),CONDUCTORES!$A$3:$G$54,2,0),"")</f>
        <v/>
      </c>
      <c r="Q416" s="332">
        <f>IFERROR(VLOOKUP(TEXT(O416,"0"),CONDUCTORES!$A$3:$H$54,6,0),"")</f>
        <v/>
      </c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375">
        <f>IF(AND(G416&lt;&gt;"",R416&lt;&gt;"",V416&lt;&gt;"",W416&lt;&gt;""),"COMPLETADO","OBSERVADO")</f>
        <v/>
      </c>
    </row>
    <row r="417" ht="15" customHeight="1" s="195">
      <c r="A417" s="334" t="n"/>
      <c r="B417" s="334" t="n"/>
      <c r="C417" s="334" t="n"/>
      <c r="D417" s="334" t="n"/>
      <c r="E417" s="334" t="n"/>
      <c r="F417" s="334" t="n"/>
      <c r="G417" s="334" t="n"/>
      <c r="H417" s="334" t="n"/>
      <c r="I417" s="332">
        <f>IFERROR(VLOOKUP(TEXT(H417,"0"),IPRESS!$A$3:$B$212,2,0),"")</f>
        <v/>
      </c>
      <c r="J417" s="334" t="n"/>
      <c r="K417" s="332">
        <f>IFERROR(VLOOKUP(TEXT(O417,"0"),CONDUCTORES!$A$3:$G$54,7,0),"")</f>
        <v/>
      </c>
      <c r="L417" s="334" t="n"/>
      <c r="M417" s="334" t="n"/>
      <c r="N417" s="333">
        <f>IFERROR(IF(L417*M417=0,"",L417*M417),"")</f>
        <v/>
      </c>
      <c r="O417" s="334" t="n"/>
      <c r="P417" s="332">
        <f>IFERROR(VLOOKUP(TEXT(O417,"0"),CONDUCTORES!$A$3:$G$54,2,0),"")</f>
        <v/>
      </c>
      <c r="Q417" s="332">
        <f>IFERROR(VLOOKUP(TEXT(O417,"0"),CONDUCTORES!$A$3:$H$54,6,0),"")</f>
        <v/>
      </c>
      <c r="R417" s="334" t="n"/>
      <c r="S417" s="334" t="n"/>
      <c r="T417" s="334" t="n"/>
      <c r="U417" s="334" t="n"/>
      <c r="V417" s="334" t="n"/>
      <c r="W417" s="334" t="n"/>
      <c r="X417" s="334" t="n"/>
      <c r="Y417" s="334" t="n"/>
      <c r="Z417" s="375">
        <f>IF(AND(G417&lt;&gt;"",R417&lt;&gt;"",V417&lt;&gt;"",W417&lt;&gt;""),"COMPLETADO","OBSERVADO")</f>
        <v/>
      </c>
    </row>
    <row r="418" ht="15" customHeight="1" s="195">
      <c r="A418" s="280" t="n"/>
      <c r="B418" s="280" t="n"/>
      <c r="C418" s="280" t="n"/>
      <c r="D418" s="280" t="n"/>
      <c r="E418" s="280" t="n"/>
      <c r="F418" s="280" t="n"/>
      <c r="G418" s="280" t="n"/>
      <c r="H418" s="280" t="n"/>
      <c r="I418" s="332">
        <f>IFERROR(VLOOKUP(TEXT(H418,"0"),IPRESS!$A$3:$B$212,2,0),"")</f>
        <v/>
      </c>
      <c r="J418" s="280" t="n"/>
      <c r="K418" s="332">
        <f>IFERROR(VLOOKUP(TEXT(O418,"0"),CONDUCTORES!$A$3:$G$54,7,0),"")</f>
        <v/>
      </c>
      <c r="L418" s="280" t="n"/>
      <c r="M418" s="280" t="n"/>
      <c r="N418" s="333">
        <f>IFERROR(IF(L418*M418=0,"",L418*M418),"")</f>
        <v/>
      </c>
      <c r="O418" s="280" t="n"/>
      <c r="P418" s="332">
        <f>IFERROR(VLOOKUP(TEXT(O418,"0"),CONDUCTORES!$A$3:$G$54,2,0),"")</f>
        <v/>
      </c>
      <c r="Q418" s="332">
        <f>IFERROR(VLOOKUP(TEXT(O418,"0"),CONDUCTORES!$A$3:$H$54,6,0),"")</f>
        <v/>
      </c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375">
        <f>IF(AND(G418&lt;&gt;"",R418&lt;&gt;"",V418&lt;&gt;"",W418&lt;&gt;""),"COMPLETADO","OBSERVADO")</f>
        <v/>
      </c>
    </row>
    <row r="419" ht="15" customHeight="1" s="195">
      <c r="A419" s="334" t="n"/>
      <c r="B419" s="334" t="n"/>
      <c r="C419" s="334" t="n"/>
      <c r="D419" s="334" t="n"/>
      <c r="E419" s="334" t="n"/>
      <c r="F419" s="334" t="n"/>
      <c r="G419" s="334" t="n"/>
      <c r="H419" s="334" t="n"/>
      <c r="I419" s="332">
        <f>IFERROR(VLOOKUP(TEXT(H419,"0"),IPRESS!$A$3:$B$212,2,0),"")</f>
        <v/>
      </c>
      <c r="J419" s="334" t="n"/>
      <c r="K419" s="332">
        <f>IFERROR(VLOOKUP(TEXT(O419,"0"),CONDUCTORES!$A$3:$G$54,7,0),"")</f>
        <v/>
      </c>
      <c r="L419" s="334" t="n"/>
      <c r="M419" s="334" t="n"/>
      <c r="N419" s="333">
        <f>IFERROR(IF(L419*M419=0,"",L419*M419),"")</f>
        <v/>
      </c>
      <c r="O419" s="334" t="n"/>
      <c r="P419" s="332">
        <f>IFERROR(VLOOKUP(TEXT(O419,"0"),CONDUCTORES!$A$3:$G$54,2,0),"")</f>
        <v/>
      </c>
      <c r="Q419" s="332">
        <f>IFERROR(VLOOKUP(TEXT(O419,"0"),CONDUCTORES!$A$3:$H$54,6,0),"")</f>
        <v/>
      </c>
      <c r="R419" s="334" t="n"/>
      <c r="S419" s="334" t="n"/>
      <c r="T419" s="334" t="n"/>
      <c r="U419" s="334" t="n"/>
      <c r="V419" s="334" t="n"/>
      <c r="W419" s="334" t="n"/>
      <c r="X419" s="334" t="n"/>
      <c r="Y419" s="334" t="n"/>
      <c r="Z419" s="375">
        <f>IF(AND(G419&lt;&gt;"",R419&lt;&gt;"",V419&lt;&gt;"",W419&lt;&gt;""),"COMPLETADO","OBSERVADO")</f>
        <v/>
      </c>
    </row>
    <row r="420" ht="15" customHeight="1" s="195">
      <c r="A420" s="280" t="n"/>
      <c r="B420" s="280" t="n"/>
      <c r="C420" s="280" t="n"/>
      <c r="D420" s="280" t="n"/>
      <c r="E420" s="280" t="n"/>
      <c r="F420" s="280" t="n"/>
      <c r="G420" s="280" t="n"/>
      <c r="H420" s="280" t="n"/>
      <c r="I420" s="332">
        <f>IFERROR(VLOOKUP(TEXT(H420,"0"),IPRESS!$A$3:$B$212,2,0),"")</f>
        <v/>
      </c>
      <c r="J420" s="280" t="n"/>
      <c r="K420" s="332">
        <f>IFERROR(VLOOKUP(TEXT(O420,"0"),CONDUCTORES!$A$3:$G$54,7,0),"")</f>
        <v/>
      </c>
      <c r="L420" s="280" t="n"/>
      <c r="M420" s="280" t="n"/>
      <c r="N420" s="333">
        <f>IFERROR(IF(L420*M420=0,"",L420*M420),"")</f>
        <v/>
      </c>
      <c r="O420" s="280" t="n"/>
      <c r="P420" s="332">
        <f>IFERROR(VLOOKUP(TEXT(O420,"0"),CONDUCTORES!$A$3:$G$54,2,0),"")</f>
        <v/>
      </c>
      <c r="Q420" s="332">
        <f>IFERROR(VLOOKUP(TEXT(O420,"0"),CONDUCTORES!$A$3:$H$54,6,0),"")</f>
        <v/>
      </c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375">
        <f>IF(AND(G420&lt;&gt;"",R420&lt;&gt;"",V420&lt;&gt;"",W420&lt;&gt;""),"COMPLETADO","OBSERVADO")</f>
        <v/>
      </c>
    </row>
    <row r="421" ht="15" customHeight="1" s="195">
      <c r="A421" s="334" t="n"/>
      <c r="B421" s="334" t="n"/>
      <c r="C421" s="334" t="n"/>
      <c r="D421" s="334" t="n"/>
      <c r="E421" s="334" t="n"/>
      <c r="F421" s="334" t="n"/>
      <c r="G421" s="334" t="n"/>
      <c r="H421" s="334" t="n"/>
      <c r="I421" s="332">
        <f>IFERROR(VLOOKUP(TEXT(H421,"0"),IPRESS!$A$3:$B$212,2,0),"")</f>
        <v/>
      </c>
      <c r="J421" s="334" t="n"/>
      <c r="K421" s="332">
        <f>IFERROR(VLOOKUP(TEXT(O421,"0"),CONDUCTORES!$A$3:$G$54,7,0),"")</f>
        <v/>
      </c>
      <c r="L421" s="334" t="n"/>
      <c r="M421" s="334" t="n"/>
      <c r="N421" s="333">
        <f>IFERROR(IF(L421*M421=0,"",L421*M421),"")</f>
        <v/>
      </c>
      <c r="O421" s="334" t="n"/>
      <c r="P421" s="332">
        <f>IFERROR(VLOOKUP(TEXT(O421,"0"),CONDUCTORES!$A$3:$G$54,2,0),"")</f>
        <v/>
      </c>
      <c r="Q421" s="332">
        <f>IFERROR(VLOOKUP(TEXT(O421,"0"),CONDUCTORES!$A$3:$H$54,6,0),"")</f>
        <v/>
      </c>
      <c r="R421" s="334" t="n"/>
      <c r="S421" s="334" t="n"/>
      <c r="T421" s="334" t="n"/>
      <c r="U421" s="334" t="n"/>
      <c r="V421" s="334" t="n"/>
      <c r="W421" s="334" t="n"/>
      <c r="X421" s="334" t="n"/>
      <c r="Y421" s="334" t="n"/>
      <c r="Z421" s="375">
        <f>IF(AND(G421&lt;&gt;"",R421&lt;&gt;"",V421&lt;&gt;"",W421&lt;&gt;""),"COMPLETADO","OBSERVADO")</f>
        <v/>
      </c>
    </row>
    <row r="422" ht="15" customHeight="1" s="195">
      <c r="A422" s="280" t="n"/>
      <c r="B422" s="280" t="n"/>
      <c r="C422" s="280" t="n"/>
      <c r="D422" s="280" t="n"/>
      <c r="E422" s="280" t="n"/>
      <c r="F422" s="280" t="n"/>
      <c r="G422" s="280" t="n"/>
      <c r="H422" s="280" t="n"/>
      <c r="I422" s="332">
        <f>IFERROR(VLOOKUP(TEXT(H422,"0"),IPRESS!$A$3:$B$212,2,0),"")</f>
        <v/>
      </c>
      <c r="J422" s="280" t="n"/>
      <c r="K422" s="332">
        <f>IFERROR(VLOOKUP(TEXT(O422,"0"),CONDUCTORES!$A$3:$G$54,7,0),"")</f>
        <v/>
      </c>
      <c r="L422" s="280" t="n"/>
      <c r="M422" s="280" t="n"/>
      <c r="N422" s="333">
        <f>IFERROR(IF(L422*M422=0,"",L422*M422),"")</f>
        <v/>
      </c>
      <c r="O422" s="280" t="n"/>
      <c r="P422" s="332">
        <f>IFERROR(VLOOKUP(TEXT(O422,"0"),CONDUCTORES!$A$3:$G$54,2,0),"")</f>
        <v/>
      </c>
      <c r="Q422" s="332">
        <f>IFERROR(VLOOKUP(TEXT(O422,"0"),CONDUCTORES!$A$3:$H$54,6,0),"")</f>
        <v/>
      </c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375">
        <f>IF(AND(G422&lt;&gt;"",R422&lt;&gt;"",V422&lt;&gt;"",W422&lt;&gt;""),"COMPLETADO","OBSERVADO")</f>
        <v/>
      </c>
    </row>
    <row r="423" ht="15" customHeight="1" s="195">
      <c r="A423" s="334" t="n"/>
      <c r="B423" s="334" t="n"/>
      <c r="C423" s="334" t="n"/>
      <c r="D423" s="334" t="n"/>
      <c r="E423" s="334" t="n"/>
      <c r="F423" s="334" t="n"/>
      <c r="G423" s="334" t="n"/>
      <c r="H423" s="334" t="n"/>
      <c r="I423" s="332">
        <f>IFERROR(VLOOKUP(TEXT(H423,"0"),IPRESS!$A$3:$B$212,2,0),"")</f>
        <v/>
      </c>
      <c r="J423" s="334" t="n"/>
      <c r="K423" s="332">
        <f>IFERROR(VLOOKUP(TEXT(O423,"0"),CONDUCTORES!$A$3:$G$54,7,0),"")</f>
        <v/>
      </c>
      <c r="L423" s="334" t="n"/>
      <c r="M423" s="334" t="n"/>
      <c r="N423" s="333">
        <f>IFERROR(IF(L423*M423=0,"",L423*M423),"")</f>
        <v/>
      </c>
      <c r="O423" s="334" t="n"/>
      <c r="P423" s="332">
        <f>IFERROR(VLOOKUP(TEXT(O423,"0"),CONDUCTORES!$A$3:$G$54,2,0),"")</f>
        <v/>
      </c>
      <c r="Q423" s="332">
        <f>IFERROR(VLOOKUP(TEXT(O423,"0"),CONDUCTORES!$A$3:$H$54,6,0),"")</f>
        <v/>
      </c>
      <c r="R423" s="334" t="n"/>
      <c r="S423" s="334" t="n"/>
      <c r="T423" s="334" t="n"/>
      <c r="U423" s="334" t="n"/>
      <c r="V423" s="334" t="n"/>
      <c r="W423" s="334" t="n"/>
      <c r="X423" s="334" t="n"/>
      <c r="Y423" s="334" t="n"/>
      <c r="Z423" s="375">
        <f>IF(AND(G423&lt;&gt;"",R423&lt;&gt;"",V423&lt;&gt;"",W423&lt;&gt;""),"COMPLETADO","OBSERVADO")</f>
        <v/>
      </c>
    </row>
    <row r="424" ht="15" customHeight="1" s="195">
      <c r="A424" s="280" t="n"/>
      <c r="B424" s="280" t="n"/>
      <c r="C424" s="280" t="n"/>
      <c r="D424" s="280" t="n"/>
      <c r="E424" s="280" t="n"/>
      <c r="F424" s="280" t="n"/>
      <c r="G424" s="280" t="n"/>
      <c r="H424" s="280" t="n"/>
      <c r="I424" s="332">
        <f>IFERROR(VLOOKUP(TEXT(H424,"0"),IPRESS!$A$3:$B$212,2,0),"")</f>
        <v/>
      </c>
      <c r="J424" s="280" t="n"/>
      <c r="K424" s="332">
        <f>IFERROR(VLOOKUP(TEXT(O424,"0"),CONDUCTORES!$A$3:$G$54,7,0),"")</f>
        <v/>
      </c>
      <c r="L424" s="280" t="n"/>
      <c r="M424" s="280" t="n"/>
      <c r="N424" s="333">
        <f>IFERROR(IF(L424*M424=0,"",L424*M424),"")</f>
        <v/>
      </c>
      <c r="O424" s="280" t="n"/>
      <c r="P424" s="332">
        <f>IFERROR(VLOOKUP(TEXT(O424,"0"),CONDUCTORES!$A$3:$G$54,2,0),"")</f>
        <v/>
      </c>
      <c r="Q424" s="332">
        <f>IFERROR(VLOOKUP(TEXT(O424,"0"),CONDUCTORES!$A$3:$H$54,6,0),"")</f>
        <v/>
      </c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375">
        <f>IF(AND(G424&lt;&gt;"",R424&lt;&gt;"",V424&lt;&gt;"",W424&lt;&gt;""),"COMPLETADO","OBSERVADO")</f>
        <v/>
      </c>
    </row>
    <row r="425" ht="15" customHeight="1" s="195">
      <c r="A425" s="334" t="n"/>
      <c r="B425" s="334" t="n"/>
      <c r="C425" s="334" t="n"/>
      <c r="D425" s="334" t="n"/>
      <c r="E425" s="334" t="n"/>
      <c r="F425" s="334" t="n"/>
      <c r="G425" s="334" t="n"/>
      <c r="H425" s="334" t="n"/>
      <c r="I425" s="332">
        <f>IFERROR(VLOOKUP(TEXT(H425,"0"),IPRESS!$A$3:$B$212,2,0),"")</f>
        <v/>
      </c>
      <c r="J425" s="334" t="n"/>
      <c r="K425" s="332">
        <f>IFERROR(VLOOKUP(TEXT(O425,"0"),CONDUCTORES!$A$3:$G$54,7,0),"")</f>
        <v/>
      </c>
      <c r="L425" s="334" t="n"/>
      <c r="M425" s="334" t="n"/>
      <c r="N425" s="333">
        <f>IFERROR(IF(L425*M425=0,"",L425*M425),"")</f>
        <v/>
      </c>
      <c r="O425" s="334" t="n"/>
      <c r="P425" s="332">
        <f>IFERROR(VLOOKUP(TEXT(O425,"0"),CONDUCTORES!$A$3:$G$54,2,0),"")</f>
        <v/>
      </c>
      <c r="Q425" s="332">
        <f>IFERROR(VLOOKUP(TEXT(O425,"0"),CONDUCTORES!$A$3:$H$54,6,0),"")</f>
        <v/>
      </c>
      <c r="R425" s="334" t="n"/>
      <c r="S425" s="334" t="n"/>
      <c r="T425" s="334" t="n"/>
      <c r="U425" s="334" t="n"/>
      <c r="V425" s="334" t="n"/>
      <c r="W425" s="334" t="n"/>
      <c r="X425" s="334" t="n"/>
      <c r="Y425" s="334" t="n"/>
      <c r="Z425" s="375">
        <f>IF(AND(G425&lt;&gt;"",R425&lt;&gt;"",V425&lt;&gt;"",W425&lt;&gt;""),"COMPLETADO","OBSERVADO")</f>
        <v/>
      </c>
    </row>
    <row r="426" ht="15" customHeight="1" s="195">
      <c r="A426" s="280" t="n"/>
      <c r="B426" s="280" t="n"/>
      <c r="C426" s="280" t="n"/>
      <c r="D426" s="280" t="n"/>
      <c r="E426" s="280" t="n"/>
      <c r="F426" s="280" t="n"/>
      <c r="G426" s="280" t="n"/>
      <c r="H426" s="280" t="n"/>
      <c r="I426" s="332">
        <f>IFERROR(VLOOKUP(TEXT(H426,"0"),IPRESS!$A$3:$B$212,2,0),"")</f>
        <v/>
      </c>
      <c r="J426" s="280" t="n"/>
      <c r="K426" s="332">
        <f>IFERROR(VLOOKUP(TEXT(O426,"0"),CONDUCTORES!$A$3:$G$54,7,0),"")</f>
        <v/>
      </c>
      <c r="L426" s="280" t="n"/>
      <c r="M426" s="280" t="n"/>
      <c r="N426" s="333">
        <f>IFERROR(IF(L426*M426=0,"",L426*M426),"")</f>
        <v/>
      </c>
      <c r="O426" s="280" t="n"/>
      <c r="P426" s="332">
        <f>IFERROR(VLOOKUP(TEXT(O426,"0"),CONDUCTORES!$A$3:$G$54,2,0),"")</f>
        <v/>
      </c>
      <c r="Q426" s="332">
        <f>IFERROR(VLOOKUP(TEXT(O426,"0"),CONDUCTORES!$A$3:$H$54,6,0),"")</f>
        <v/>
      </c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375">
        <f>IF(AND(G426&lt;&gt;"",R426&lt;&gt;"",V426&lt;&gt;"",W426&lt;&gt;""),"COMPLETADO","OBSERVADO")</f>
        <v/>
      </c>
    </row>
    <row r="427" ht="15" customHeight="1" s="195">
      <c r="A427" s="334" t="n"/>
      <c r="B427" s="334" t="n"/>
      <c r="C427" s="334" t="n"/>
      <c r="D427" s="334" t="n"/>
      <c r="E427" s="334" t="n"/>
      <c r="F427" s="334" t="n"/>
      <c r="G427" s="334" t="n"/>
      <c r="H427" s="334" t="n"/>
      <c r="I427" s="332">
        <f>IFERROR(VLOOKUP(TEXT(H427,"0"),IPRESS!$A$3:$B$212,2,0),"")</f>
        <v/>
      </c>
      <c r="J427" s="334" t="n"/>
      <c r="K427" s="332">
        <f>IFERROR(VLOOKUP(TEXT(O427,"0"),CONDUCTORES!$A$3:$G$54,7,0),"")</f>
        <v/>
      </c>
      <c r="L427" s="334" t="n"/>
      <c r="M427" s="334" t="n"/>
      <c r="N427" s="333">
        <f>IFERROR(IF(L427*M427=0,"",L427*M427),"")</f>
        <v/>
      </c>
      <c r="O427" s="334" t="n"/>
      <c r="P427" s="332">
        <f>IFERROR(VLOOKUP(TEXT(O427,"0"),CONDUCTORES!$A$3:$G$54,2,0),"")</f>
        <v/>
      </c>
      <c r="Q427" s="332">
        <f>IFERROR(VLOOKUP(TEXT(O427,"0"),CONDUCTORES!$A$3:$H$54,6,0),"")</f>
        <v/>
      </c>
      <c r="R427" s="334" t="n"/>
      <c r="S427" s="334" t="n"/>
      <c r="T427" s="334" t="n"/>
      <c r="U427" s="334" t="n"/>
      <c r="V427" s="334" t="n"/>
      <c r="W427" s="334" t="n"/>
      <c r="X427" s="334" t="n"/>
      <c r="Y427" s="334" t="n"/>
      <c r="Z427" s="375">
        <f>IF(AND(G427&lt;&gt;"",R427&lt;&gt;"",V427&lt;&gt;"",W427&lt;&gt;""),"COMPLETADO","OBSERVADO")</f>
        <v/>
      </c>
    </row>
    <row r="428" ht="15" customHeight="1" s="195">
      <c r="A428" s="280" t="n"/>
      <c r="B428" s="280" t="n"/>
      <c r="C428" s="280" t="n"/>
      <c r="D428" s="280" t="n"/>
      <c r="E428" s="280" t="n"/>
      <c r="F428" s="280" t="n"/>
      <c r="G428" s="280" t="n"/>
      <c r="H428" s="280" t="n"/>
      <c r="I428" s="332">
        <f>IFERROR(VLOOKUP(TEXT(H428,"0"),IPRESS!$A$3:$B$212,2,0),"")</f>
        <v/>
      </c>
      <c r="J428" s="280" t="n"/>
      <c r="K428" s="332">
        <f>IFERROR(VLOOKUP(TEXT(O428,"0"),CONDUCTORES!$A$3:$G$54,7,0),"")</f>
        <v/>
      </c>
      <c r="L428" s="280" t="n"/>
      <c r="M428" s="280" t="n"/>
      <c r="N428" s="333">
        <f>IFERROR(IF(L428*M428=0,"",L428*M428),"")</f>
        <v/>
      </c>
      <c r="O428" s="280" t="n"/>
      <c r="P428" s="332">
        <f>IFERROR(VLOOKUP(TEXT(O428,"0"),CONDUCTORES!$A$3:$G$54,2,0),"")</f>
        <v/>
      </c>
      <c r="Q428" s="332">
        <f>IFERROR(VLOOKUP(TEXT(O428,"0"),CONDUCTORES!$A$3:$H$54,6,0),"")</f>
        <v/>
      </c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375">
        <f>IF(AND(G428&lt;&gt;"",R428&lt;&gt;"",V428&lt;&gt;"",W428&lt;&gt;""),"COMPLETADO","OBSERVADO")</f>
        <v/>
      </c>
    </row>
    <row r="429" ht="15" customHeight="1" s="195">
      <c r="A429" s="334" t="n"/>
      <c r="B429" s="334" t="n"/>
      <c r="C429" s="334" t="n"/>
      <c r="D429" s="334" t="n"/>
      <c r="E429" s="334" t="n"/>
      <c r="F429" s="334" t="n"/>
      <c r="G429" s="334" t="n"/>
      <c r="H429" s="334" t="n"/>
      <c r="I429" s="332">
        <f>IFERROR(VLOOKUP(TEXT(H429,"0"),IPRESS!$A$3:$B$212,2,0),"")</f>
        <v/>
      </c>
      <c r="J429" s="334" t="n"/>
      <c r="K429" s="332">
        <f>IFERROR(VLOOKUP(TEXT(O429,"0"),CONDUCTORES!$A$3:$G$54,7,0),"")</f>
        <v/>
      </c>
      <c r="L429" s="334" t="n"/>
      <c r="M429" s="334" t="n"/>
      <c r="N429" s="333">
        <f>IFERROR(IF(L429*M429=0,"",L429*M429),"")</f>
        <v/>
      </c>
      <c r="O429" s="334" t="n"/>
      <c r="P429" s="332">
        <f>IFERROR(VLOOKUP(TEXT(O429,"0"),CONDUCTORES!$A$3:$G$54,2,0),"")</f>
        <v/>
      </c>
      <c r="Q429" s="332">
        <f>IFERROR(VLOOKUP(TEXT(O429,"0"),CONDUCTORES!$A$3:$H$54,6,0),"")</f>
        <v/>
      </c>
      <c r="R429" s="334" t="n"/>
      <c r="S429" s="334" t="n"/>
      <c r="T429" s="334" t="n"/>
      <c r="U429" s="334" t="n"/>
      <c r="V429" s="334" t="n"/>
      <c r="W429" s="334" t="n"/>
      <c r="X429" s="334" t="n"/>
      <c r="Y429" s="334" t="n"/>
      <c r="Z429" s="375">
        <f>IF(AND(G429&lt;&gt;"",R429&lt;&gt;"",V429&lt;&gt;"",W429&lt;&gt;""),"COMPLETADO","OBSERVADO")</f>
        <v/>
      </c>
    </row>
    <row r="430" ht="15" customHeight="1" s="195">
      <c r="A430" s="280" t="n"/>
      <c r="B430" s="280" t="n"/>
      <c r="C430" s="280" t="n"/>
      <c r="D430" s="280" t="n"/>
      <c r="E430" s="280" t="n"/>
      <c r="F430" s="280" t="n"/>
      <c r="G430" s="280" t="n"/>
      <c r="H430" s="280" t="n"/>
      <c r="I430" s="332">
        <f>IFERROR(VLOOKUP(TEXT(H430,"0"),IPRESS!$A$3:$B$212,2,0),"")</f>
        <v/>
      </c>
      <c r="J430" s="280" t="n"/>
      <c r="K430" s="332">
        <f>IFERROR(VLOOKUP(TEXT(O430,"0"),CONDUCTORES!$A$3:$G$54,7,0),"")</f>
        <v/>
      </c>
      <c r="L430" s="280" t="n"/>
      <c r="M430" s="280" t="n"/>
      <c r="N430" s="333">
        <f>IFERROR(IF(L430*M430=0,"",L430*M430),"")</f>
        <v/>
      </c>
      <c r="O430" s="280" t="n"/>
      <c r="P430" s="332">
        <f>IFERROR(VLOOKUP(TEXT(O430,"0"),CONDUCTORES!$A$3:$G$54,2,0),"")</f>
        <v/>
      </c>
      <c r="Q430" s="332">
        <f>IFERROR(VLOOKUP(TEXT(O430,"0"),CONDUCTORES!$A$3:$H$54,6,0),"")</f>
        <v/>
      </c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375">
        <f>IF(AND(G430&lt;&gt;"",R430&lt;&gt;"",V430&lt;&gt;"",W430&lt;&gt;""),"COMPLETADO","OBSERVADO")</f>
        <v/>
      </c>
    </row>
    <row r="431" ht="15" customHeight="1" s="195">
      <c r="A431" s="334" t="n"/>
      <c r="B431" s="334" t="n"/>
      <c r="C431" s="334" t="n"/>
      <c r="D431" s="334" t="n"/>
      <c r="E431" s="334" t="n"/>
      <c r="F431" s="334" t="n"/>
      <c r="G431" s="334" t="n"/>
      <c r="H431" s="334" t="n"/>
      <c r="I431" s="332">
        <f>IFERROR(VLOOKUP(TEXT(H431,"0"),IPRESS!$A$3:$B$212,2,0),"")</f>
        <v/>
      </c>
      <c r="J431" s="334" t="n"/>
      <c r="K431" s="332">
        <f>IFERROR(VLOOKUP(TEXT(O431,"0"),CONDUCTORES!$A$3:$G$54,7,0),"")</f>
        <v/>
      </c>
      <c r="L431" s="334" t="n"/>
      <c r="M431" s="334" t="n"/>
      <c r="N431" s="333">
        <f>IFERROR(IF(L431*M431=0,"",L431*M431),"")</f>
        <v/>
      </c>
      <c r="O431" s="334" t="n"/>
      <c r="P431" s="332">
        <f>IFERROR(VLOOKUP(TEXT(O431,"0"),CONDUCTORES!$A$3:$G$54,2,0),"")</f>
        <v/>
      </c>
      <c r="Q431" s="332">
        <f>IFERROR(VLOOKUP(TEXT(O431,"0"),CONDUCTORES!$A$3:$H$54,6,0),"")</f>
        <v/>
      </c>
      <c r="R431" s="334" t="n"/>
      <c r="S431" s="334" t="n"/>
      <c r="T431" s="334" t="n"/>
      <c r="U431" s="334" t="n"/>
      <c r="V431" s="334" t="n"/>
      <c r="W431" s="334" t="n"/>
      <c r="X431" s="334" t="n"/>
      <c r="Y431" s="334" t="n"/>
      <c r="Z431" s="375">
        <f>IF(AND(G431&lt;&gt;"",R431&lt;&gt;"",V431&lt;&gt;"",W431&lt;&gt;""),"COMPLETADO","OBSERVADO")</f>
        <v/>
      </c>
    </row>
    <row r="432" ht="15" customHeight="1" s="195">
      <c r="A432" s="280" t="n"/>
      <c r="B432" s="280" t="n"/>
      <c r="C432" s="280" t="n"/>
      <c r="D432" s="280" t="n"/>
      <c r="E432" s="280" t="n"/>
      <c r="F432" s="280" t="n"/>
      <c r="G432" s="280" t="n"/>
      <c r="H432" s="280" t="n"/>
      <c r="I432" s="332">
        <f>IFERROR(VLOOKUP(TEXT(H432,"0"),IPRESS!$A$3:$B$212,2,0),"")</f>
        <v/>
      </c>
      <c r="J432" s="280" t="n"/>
      <c r="K432" s="332">
        <f>IFERROR(VLOOKUP(TEXT(O432,"0"),CONDUCTORES!$A$3:$G$54,7,0),"")</f>
        <v/>
      </c>
      <c r="L432" s="280" t="n"/>
      <c r="M432" s="280" t="n"/>
      <c r="N432" s="333">
        <f>IFERROR(IF(L432*M432=0,"",L432*M432),"")</f>
        <v/>
      </c>
      <c r="O432" s="280" t="n"/>
      <c r="P432" s="332">
        <f>IFERROR(VLOOKUP(TEXT(O432,"0"),CONDUCTORES!$A$3:$G$54,2,0),"")</f>
        <v/>
      </c>
      <c r="Q432" s="332">
        <f>IFERROR(VLOOKUP(TEXT(O432,"0"),CONDUCTORES!$A$3:$H$54,6,0),"")</f>
        <v/>
      </c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375">
        <f>IF(AND(G432&lt;&gt;"",R432&lt;&gt;"",V432&lt;&gt;"",W432&lt;&gt;""),"COMPLETADO","OBSERVADO")</f>
        <v/>
      </c>
    </row>
    <row r="433" ht="15" customHeight="1" s="195">
      <c r="A433" s="334" t="n"/>
      <c r="B433" s="334" t="n"/>
      <c r="C433" s="334" t="n"/>
      <c r="D433" s="334" t="n"/>
      <c r="E433" s="334" t="n"/>
      <c r="F433" s="334" t="n"/>
      <c r="G433" s="334" t="n"/>
      <c r="H433" s="334" t="n"/>
      <c r="I433" s="332">
        <f>IFERROR(VLOOKUP(TEXT(H433,"0"),IPRESS!$A$3:$B$212,2,0),"")</f>
        <v/>
      </c>
      <c r="J433" s="334" t="n"/>
      <c r="K433" s="332">
        <f>IFERROR(VLOOKUP(TEXT(O433,"0"),CONDUCTORES!$A$3:$G$54,7,0),"")</f>
        <v/>
      </c>
      <c r="L433" s="334" t="n"/>
      <c r="M433" s="334" t="n"/>
      <c r="N433" s="333">
        <f>IFERROR(IF(L433*M433=0,"",L433*M433),"")</f>
        <v/>
      </c>
      <c r="O433" s="334" t="n"/>
      <c r="P433" s="332">
        <f>IFERROR(VLOOKUP(TEXT(O433,"0"),CONDUCTORES!$A$3:$G$54,2,0),"")</f>
        <v/>
      </c>
      <c r="Q433" s="332">
        <f>IFERROR(VLOOKUP(TEXT(O433,"0"),CONDUCTORES!$A$3:$H$54,6,0),"")</f>
        <v/>
      </c>
      <c r="R433" s="334" t="n"/>
      <c r="S433" s="334" t="n"/>
      <c r="T433" s="334" t="n"/>
      <c r="U433" s="334" t="n"/>
      <c r="V433" s="334" t="n"/>
      <c r="W433" s="334" t="n"/>
      <c r="X433" s="334" t="n"/>
      <c r="Y433" s="334" t="n"/>
      <c r="Z433" s="375">
        <f>IF(AND(G433&lt;&gt;"",R433&lt;&gt;"",V433&lt;&gt;"",W433&lt;&gt;""),"COMPLETADO","OBSERVADO")</f>
        <v/>
      </c>
    </row>
    <row r="434" ht="15" customHeight="1" s="195">
      <c r="A434" s="280" t="n"/>
      <c r="B434" s="280" t="n"/>
      <c r="C434" s="280" t="n"/>
      <c r="D434" s="280" t="n"/>
      <c r="E434" s="280" t="n"/>
      <c r="F434" s="280" t="n"/>
      <c r="G434" s="280" t="n"/>
      <c r="H434" s="280" t="n"/>
      <c r="I434" s="332">
        <f>IFERROR(VLOOKUP(TEXT(H434,"0"),IPRESS!$A$3:$B$212,2,0),"")</f>
        <v/>
      </c>
      <c r="J434" s="280" t="n"/>
      <c r="K434" s="332">
        <f>IFERROR(VLOOKUP(TEXT(O434,"0"),CONDUCTORES!$A$3:$G$54,7,0),"")</f>
        <v/>
      </c>
      <c r="L434" s="280" t="n"/>
      <c r="M434" s="280" t="n"/>
      <c r="N434" s="333">
        <f>IFERROR(IF(L434*M434=0,"",L434*M434),"")</f>
        <v/>
      </c>
      <c r="O434" s="280" t="n"/>
      <c r="P434" s="332">
        <f>IFERROR(VLOOKUP(TEXT(O434,"0"),CONDUCTORES!$A$3:$G$54,2,0),"")</f>
        <v/>
      </c>
      <c r="Q434" s="332">
        <f>IFERROR(VLOOKUP(TEXT(O434,"0"),CONDUCTORES!$A$3:$H$54,6,0),"")</f>
        <v/>
      </c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375">
        <f>IF(AND(G434&lt;&gt;"",R434&lt;&gt;"",V434&lt;&gt;"",W434&lt;&gt;""),"COMPLETADO","OBSERVADO")</f>
        <v/>
      </c>
    </row>
    <row r="435" ht="15" customHeight="1" s="195">
      <c r="A435" s="334" t="n"/>
      <c r="B435" s="334" t="n"/>
      <c r="C435" s="334" t="n"/>
      <c r="D435" s="334" t="n"/>
      <c r="E435" s="334" t="n"/>
      <c r="F435" s="334" t="n"/>
      <c r="G435" s="334" t="n"/>
      <c r="H435" s="334" t="n"/>
      <c r="I435" s="332">
        <f>IFERROR(VLOOKUP(TEXT(H435,"0"),IPRESS!$A$3:$B$212,2,0),"")</f>
        <v/>
      </c>
      <c r="J435" s="334" t="n"/>
      <c r="K435" s="332">
        <f>IFERROR(VLOOKUP(TEXT(O435,"0"),CONDUCTORES!$A$3:$G$54,7,0),"")</f>
        <v/>
      </c>
      <c r="L435" s="334" t="n"/>
      <c r="M435" s="334" t="n"/>
      <c r="N435" s="333">
        <f>IFERROR(IF(L435*M435=0,"",L435*M435),"")</f>
        <v/>
      </c>
      <c r="O435" s="334" t="n"/>
      <c r="P435" s="332">
        <f>IFERROR(VLOOKUP(TEXT(O435,"0"),CONDUCTORES!$A$3:$G$54,2,0),"")</f>
        <v/>
      </c>
      <c r="Q435" s="332">
        <f>IFERROR(VLOOKUP(TEXT(O435,"0"),CONDUCTORES!$A$3:$H$54,6,0),"")</f>
        <v/>
      </c>
      <c r="R435" s="334" t="n"/>
      <c r="S435" s="334" t="n"/>
      <c r="T435" s="334" t="n"/>
      <c r="U435" s="334" t="n"/>
      <c r="V435" s="334" t="n"/>
      <c r="W435" s="334" t="n"/>
      <c r="X435" s="334" t="n"/>
      <c r="Y435" s="334" t="n"/>
      <c r="Z435" s="375">
        <f>IF(AND(G435&lt;&gt;"",R435&lt;&gt;"",V435&lt;&gt;"",W435&lt;&gt;""),"COMPLETADO","OBSERVADO")</f>
        <v/>
      </c>
    </row>
    <row r="436" ht="15" customHeight="1" s="195">
      <c r="A436" s="280" t="n"/>
      <c r="B436" s="280" t="n"/>
      <c r="C436" s="280" t="n"/>
      <c r="D436" s="280" t="n"/>
      <c r="E436" s="280" t="n"/>
      <c r="F436" s="280" t="n"/>
      <c r="G436" s="280" t="n"/>
      <c r="H436" s="280" t="n"/>
      <c r="I436" s="332">
        <f>IFERROR(VLOOKUP(TEXT(H436,"0"),IPRESS!$A$3:$B$212,2,0),"")</f>
        <v/>
      </c>
      <c r="J436" s="280" t="n"/>
      <c r="K436" s="332">
        <f>IFERROR(VLOOKUP(TEXT(O436,"0"),CONDUCTORES!$A$3:$G$54,7,0),"")</f>
        <v/>
      </c>
      <c r="L436" s="280" t="n"/>
      <c r="M436" s="280" t="n"/>
      <c r="N436" s="333">
        <f>IFERROR(IF(L436*M436=0,"",L436*M436),"")</f>
        <v/>
      </c>
      <c r="O436" s="280" t="n"/>
      <c r="P436" s="332">
        <f>IFERROR(VLOOKUP(TEXT(O436,"0"),CONDUCTORES!$A$3:$G$54,2,0),"")</f>
        <v/>
      </c>
      <c r="Q436" s="332">
        <f>IFERROR(VLOOKUP(TEXT(O436,"0"),CONDUCTORES!$A$3:$H$54,6,0),"")</f>
        <v/>
      </c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375">
        <f>IF(AND(G436&lt;&gt;"",R436&lt;&gt;"",V436&lt;&gt;"",W436&lt;&gt;""),"COMPLETADO","OBSERVADO")</f>
        <v/>
      </c>
    </row>
    <row r="437" ht="15" customHeight="1" s="195">
      <c r="A437" s="334" t="n"/>
      <c r="B437" s="334" t="n"/>
      <c r="C437" s="334" t="n"/>
      <c r="D437" s="334" t="n"/>
      <c r="E437" s="334" t="n"/>
      <c r="F437" s="334" t="n"/>
      <c r="G437" s="334" t="n"/>
      <c r="H437" s="334" t="n"/>
      <c r="I437" s="332">
        <f>IFERROR(VLOOKUP(TEXT(H437,"0"),IPRESS!$A$3:$B$212,2,0),"")</f>
        <v/>
      </c>
      <c r="J437" s="334" t="n"/>
      <c r="K437" s="332">
        <f>IFERROR(VLOOKUP(TEXT(O437,"0"),CONDUCTORES!$A$3:$G$54,7,0),"")</f>
        <v/>
      </c>
      <c r="L437" s="334" t="n"/>
      <c r="M437" s="334" t="n"/>
      <c r="N437" s="333">
        <f>IFERROR(IF(L437*M437=0,"",L437*M437),"")</f>
        <v/>
      </c>
      <c r="O437" s="334" t="n"/>
      <c r="P437" s="332">
        <f>IFERROR(VLOOKUP(TEXT(O437,"0"),CONDUCTORES!$A$3:$G$54,2,0),"")</f>
        <v/>
      </c>
      <c r="Q437" s="332">
        <f>IFERROR(VLOOKUP(TEXT(O437,"0"),CONDUCTORES!$A$3:$H$54,6,0),"")</f>
        <v/>
      </c>
      <c r="R437" s="334" t="n"/>
      <c r="S437" s="334" t="n"/>
      <c r="T437" s="334" t="n"/>
      <c r="U437" s="334" t="n"/>
      <c r="V437" s="334" t="n"/>
      <c r="W437" s="334" t="n"/>
      <c r="X437" s="334" t="n"/>
      <c r="Y437" s="334" t="n"/>
      <c r="Z437" s="375">
        <f>IF(AND(G437&lt;&gt;"",R437&lt;&gt;"",V437&lt;&gt;"",W437&lt;&gt;""),"COMPLETADO","OBSERVADO")</f>
        <v/>
      </c>
    </row>
    <row r="438" ht="15" customHeight="1" s="195">
      <c r="A438" s="280" t="n"/>
      <c r="B438" s="280" t="n"/>
      <c r="C438" s="280" t="n"/>
      <c r="D438" s="280" t="n"/>
      <c r="E438" s="280" t="n"/>
      <c r="F438" s="280" t="n"/>
      <c r="G438" s="280" t="n"/>
      <c r="H438" s="280" t="n"/>
      <c r="I438" s="332">
        <f>IFERROR(VLOOKUP(TEXT(H438,"0"),IPRESS!$A$3:$B$212,2,0),"")</f>
        <v/>
      </c>
      <c r="J438" s="280" t="n"/>
      <c r="K438" s="332">
        <f>IFERROR(VLOOKUP(TEXT(O438,"0"),CONDUCTORES!$A$3:$G$54,7,0),"")</f>
        <v/>
      </c>
      <c r="L438" s="280" t="n"/>
      <c r="M438" s="280" t="n"/>
      <c r="N438" s="333">
        <f>IFERROR(IF(L438*M438=0,"",L438*M438),"")</f>
        <v/>
      </c>
      <c r="O438" s="280" t="n"/>
      <c r="P438" s="332">
        <f>IFERROR(VLOOKUP(TEXT(O438,"0"),CONDUCTORES!$A$3:$G$54,2,0),"")</f>
        <v/>
      </c>
      <c r="Q438" s="332">
        <f>IFERROR(VLOOKUP(TEXT(O438,"0"),CONDUCTORES!$A$3:$H$54,6,0),"")</f>
        <v/>
      </c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375">
        <f>IF(AND(G438&lt;&gt;"",R438&lt;&gt;"",V438&lt;&gt;"",W438&lt;&gt;""),"COMPLETADO","OBSERVADO")</f>
        <v/>
      </c>
    </row>
    <row r="439" ht="15" customHeight="1" s="195">
      <c r="A439" s="334" t="n"/>
      <c r="B439" s="334" t="n"/>
      <c r="C439" s="334" t="n"/>
      <c r="D439" s="334" t="n"/>
      <c r="E439" s="334" t="n"/>
      <c r="F439" s="334" t="n"/>
      <c r="G439" s="334" t="n"/>
      <c r="H439" s="334" t="n"/>
      <c r="I439" s="332">
        <f>IFERROR(VLOOKUP(TEXT(H439,"0"),IPRESS!$A$3:$B$212,2,0),"")</f>
        <v/>
      </c>
      <c r="J439" s="334" t="n"/>
      <c r="K439" s="332">
        <f>IFERROR(VLOOKUP(TEXT(O439,"0"),CONDUCTORES!$A$3:$G$54,7,0),"")</f>
        <v/>
      </c>
      <c r="L439" s="334" t="n"/>
      <c r="M439" s="334" t="n"/>
      <c r="N439" s="333">
        <f>IFERROR(IF(L439*M439=0,"",L439*M439),"")</f>
        <v/>
      </c>
      <c r="O439" s="334" t="n"/>
      <c r="P439" s="332">
        <f>IFERROR(VLOOKUP(TEXT(O439,"0"),CONDUCTORES!$A$3:$G$54,2,0),"")</f>
        <v/>
      </c>
      <c r="Q439" s="332">
        <f>IFERROR(VLOOKUP(TEXT(O439,"0"),CONDUCTORES!$A$3:$H$54,6,0),"")</f>
        <v/>
      </c>
      <c r="R439" s="334" t="n"/>
      <c r="S439" s="334" t="n"/>
      <c r="T439" s="334" t="n"/>
      <c r="U439" s="334" t="n"/>
      <c r="V439" s="334" t="n"/>
      <c r="W439" s="334" t="n"/>
      <c r="X439" s="334" t="n"/>
      <c r="Y439" s="334" t="n"/>
      <c r="Z439" s="375">
        <f>IF(AND(G439&lt;&gt;"",R439&lt;&gt;"",V439&lt;&gt;"",W439&lt;&gt;""),"COMPLETADO","OBSERVADO")</f>
        <v/>
      </c>
    </row>
    <row r="440" ht="15" customHeight="1" s="195">
      <c r="A440" s="280" t="n"/>
      <c r="B440" s="280" t="n"/>
      <c r="C440" s="280" t="n"/>
      <c r="D440" s="280" t="n"/>
      <c r="E440" s="280" t="n"/>
      <c r="F440" s="280" t="n"/>
      <c r="G440" s="280" t="n"/>
      <c r="H440" s="280" t="n"/>
      <c r="I440" s="332">
        <f>IFERROR(VLOOKUP(TEXT(H440,"0"),IPRESS!$A$3:$B$212,2,0),"")</f>
        <v/>
      </c>
      <c r="J440" s="280" t="n"/>
      <c r="K440" s="332">
        <f>IFERROR(VLOOKUP(TEXT(O440,"0"),CONDUCTORES!$A$3:$G$54,7,0),"")</f>
        <v/>
      </c>
      <c r="L440" s="280" t="n"/>
      <c r="M440" s="280" t="n"/>
      <c r="N440" s="333">
        <f>IFERROR(IF(L440*M440=0,"",L440*M440),"")</f>
        <v/>
      </c>
      <c r="O440" s="280" t="n"/>
      <c r="P440" s="332">
        <f>IFERROR(VLOOKUP(TEXT(O440,"0"),CONDUCTORES!$A$3:$G$54,2,0),"")</f>
        <v/>
      </c>
      <c r="Q440" s="332">
        <f>IFERROR(VLOOKUP(TEXT(O440,"0"),CONDUCTORES!$A$3:$H$54,6,0),"")</f>
        <v/>
      </c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375">
        <f>IF(AND(G440&lt;&gt;"",R440&lt;&gt;"",V440&lt;&gt;"",W440&lt;&gt;""),"COMPLETADO","OBSERVADO")</f>
        <v/>
      </c>
    </row>
    <row r="441" ht="15" customHeight="1" s="195">
      <c r="A441" s="334" t="n"/>
      <c r="B441" s="334" t="n"/>
      <c r="C441" s="334" t="n"/>
      <c r="D441" s="334" t="n"/>
      <c r="E441" s="334" t="n"/>
      <c r="F441" s="334" t="n"/>
      <c r="G441" s="334" t="n"/>
      <c r="H441" s="334" t="n"/>
      <c r="I441" s="332">
        <f>IFERROR(VLOOKUP(TEXT(H441,"0"),IPRESS!$A$3:$B$212,2,0),"")</f>
        <v/>
      </c>
      <c r="J441" s="334" t="n"/>
      <c r="K441" s="332">
        <f>IFERROR(VLOOKUP(TEXT(O441,"0"),CONDUCTORES!$A$3:$G$54,7,0),"")</f>
        <v/>
      </c>
      <c r="L441" s="334" t="n"/>
      <c r="M441" s="334" t="n"/>
      <c r="N441" s="333">
        <f>IFERROR(IF(L441*M441=0,"",L441*M441),"")</f>
        <v/>
      </c>
      <c r="O441" s="334" t="n"/>
      <c r="P441" s="332">
        <f>IFERROR(VLOOKUP(TEXT(O441,"0"),CONDUCTORES!$A$3:$G$54,2,0),"")</f>
        <v/>
      </c>
      <c r="Q441" s="332">
        <f>IFERROR(VLOOKUP(TEXT(O441,"0"),CONDUCTORES!$A$3:$H$54,6,0),"")</f>
        <v/>
      </c>
      <c r="R441" s="334" t="n"/>
      <c r="S441" s="334" t="n"/>
      <c r="T441" s="334" t="n"/>
      <c r="U441" s="334" t="n"/>
      <c r="V441" s="334" t="n"/>
      <c r="W441" s="334" t="n"/>
      <c r="X441" s="334" t="n"/>
      <c r="Y441" s="334" t="n"/>
      <c r="Z441" s="375">
        <f>IF(AND(G441&lt;&gt;"",R441&lt;&gt;"",V441&lt;&gt;"",W441&lt;&gt;""),"COMPLETADO","OBSERVADO")</f>
        <v/>
      </c>
    </row>
    <row r="442" ht="15" customHeight="1" s="195">
      <c r="A442" s="280" t="n"/>
      <c r="B442" s="280" t="n"/>
      <c r="C442" s="280" t="n"/>
      <c r="D442" s="280" t="n"/>
      <c r="E442" s="280" t="n"/>
      <c r="F442" s="280" t="n"/>
      <c r="G442" s="280" t="n"/>
      <c r="H442" s="280" t="n"/>
      <c r="I442" s="332">
        <f>IFERROR(VLOOKUP(TEXT(H442,"0"),IPRESS!$A$3:$B$212,2,0),"")</f>
        <v/>
      </c>
      <c r="J442" s="280" t="n"/>
      <c r="K442" s="332">
        <f>IFERROR(VLOOKUP(TEXT(O442,"0"),CONDUCTORES!$A$3:$G$54,7,0),"")</f>
        <v/>
      </c>
      <c r="L442" s="280" t="n"/>
      <c r="M442" s="280" t="n"/>
      <c r="N442" s="333">
        <f>IFERROR(IF(L442*M442=0,"",L442*M442),"")</f>
        <v/>
      </c>
      <c r="O442" s="280" t="n"/>
      <c r="P442" s="332">
        <f>IFERROR(VLOOKUP(TEXT(O442,"0"),CONDUCTORES!$A$3:$G$54,2,0),"")</f>
        <v/>
      </c>
      <c r="Q442" s="332">
        <f>IFERROR(VLOOKUP(TEXT(O442,"0"),CONDUCTORES!$A$3:$H$54,6,0),"")</f>
        <v/>
      </c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375">
        <f>IF(AND(G442&lt;&gt;"",R442&lt;&gt;"",V442&lt;&gt;"",W442&lt;&gt;""),"COMPLETADO","OBSERVADO")</f>
        <v/>
      </c>
    </row>
    <row r="443" ht="15" customHeight="1" s="195">
      <c r="A443" s="334" t="n"/>
      <c r="B443" s="334" t="n"/>
      <c r="C443" s="334" t="n"/>
      <c r="D443" s="334" t="n"/>
      <c r="E443" s="334" t="n"/>
      <c r="F443" s="334" t="n"/>
      <c r="G443" s="334" t="n"/>
      <c r="H443" s="334" t="n"/>
      <c r="I443" s="332">
        <f>IFERROR(VLOOKUP(TEXT(H443,"0"),IPRESS!$A$3:$B$212,2,0),"")</f>
        <v/>
      </c>
      <c r="J443" s="334" t="n"/>
      <c r="K443" s="332">
        <f>IFERROR(VLOOKUP(TEXT(O443,"0"),CONDUCTORES!$A$3:$G$54,7,0),"")</f>
        <v/>
      </c>
      <c r="L443" s="334" t="n"/>
      <c r="M443" s="334" t="n"/>
      <c r="N443" s="333">
        <f>IFERROR(IF(L443*M443=0,"",L443*M443),"")</f>
        <v/>
      </c>
      <c r="O443" s="334" t="n"/>
      <c r="P443" s="332">
        <f>IFERROR(VLOOKUP(TEXT(O443,"0"),CONDUCTORES!$A$3:$G$54,2,0),"")</f>
        <v/>
      </c>
      <c r="Q443" s="332">
        <f>IFERROR(VLOOKUP(TEXT(O443,"0"),CONDUCTORES!$A$3:$H$54,6,0),"")</f>
        <v/>
      </c>
      <c r="R443" s="334" t="n"/>
      <c r="S443" s="334" t="n"/>
      <c r="T443" s="334" t="n"/>
      <c r="U443" s="334" t="n"/>
      <c r="V443" s="334" t="n"/>
      <c r="W443" s="334" t="n"/>
      <c r="X443" s="334" t="n"/>
      <c r="Y443" s="334" t="n"/>
      <c r="Z443" s="375">
        <f>IF(AND(G443&lt;&gt;"",R443&lt;&gt;"",V443&lt;&gt;"",W443&lt;&gt;""),"COMPLETADO","OBSERVADO")</f>
        <v/>
      </c>
    </row>
    <row r="444" ht="15" customHeight="1" s="195">
      <c r="A444" s="280" t="n"/>
      <c r="B444" s="280" t="n"/>
      <c r="C444" s="280" t="n"/>
      <c r="D444" s="280" t="n"/>
      <c r="E444" s="280" t="n"/>
      <c r="F444" s="280" t="n"/>
      <c r="G444" s="280" t="n"/>
      <c r="H444" s="280" t="n"/>
      <c r="I444" s="332">
        <f>IFERROR(VLOOKUP(TEXT(H444,"0"),IPRESS!$A$3:$B$212,2,0),"")</f>
        <v/>
      </c>
      <c r="J444" s="280" t="n"/>
      <c r="K444" s="332">
        <f>IFERROR(VLOOKUP(TEXT(O444,"0"),CONDUCTORES!$A$3:$G$54,7,0),"")</f>
        <v/>
      </c>
      <c r="L444" s="280" t="n"/>
      <c r="M444" s="280" t="n"/>
      <c r="N444" s="333">
        <f>IFERROR(IF(L444*M444=0,"",L444*M444),"")</f>
        <v/>
      </c>
      <c r="O444" s="280" t="n"/>
      <c r="P444" s="332">
        <f>IFERROR(VLOOKUP(TEXT(O444,"0"),CONDUCTORES!$A$3:$G$54,2,0),"")</f>
        <v/>
      </c>
      <c r="Q444" s="332">
        <f>IFERROR(VLOOKUP(TEXT(O444,"0"),CONDUCTORES!$A$3:$H$54,6,0),"")</f>
        <v/>
      </c>
      <c r="R444" s="280" t="n"/>
      <c r="S444" s="280" t="n"/>
      <c r="T444" s="280" t="n"/>
      <c r="U444" s="280" t="n"/>
      <c r="V444" s="280" t="n"/>
      <c r="W444" s="280" t="n"/>
      <c r="X444" s="280" t="n"/>
      <c r="Y444" s="280" t="n"/>
      <c r="Z444" s="375">
        <f>IF(AND(G444&lt;&gt;"",R444&lt;&gt;"",V444&lt;&gt;"",W444&lt;&gt;""),"COMPLETADO","OBSERVADO")</f>
        <v/>
      </c>
    </row>
    <row r="445" ht="15" customHeight="1" s="195">
      <c r="A445" s="334" t="n"/>
      <c r="B445" s="334" t="n"/>
      <c r="C445" s="334" t="n"/>
      <c r="D445" s="334" t="n"/>
      <c r="E445" s="334" t="n"/>
      <c r="F445" s="334" t="n"/>
      <c r="G445" s="334" t="n"/>
      <c r="H445" s="334" t="n"/>
      <c r="I445" s="332">
        <f>IFERROR(VLOOKUP(TEXT(H445,"0"),IPRESS!$A$3:$B$212,2,0),"")</f>
        <v/>
      </c>
      <c r="J445" s="334" t="n"/>
      <c r="K445" s="332">
        <f>IFERROR(VLOOKUP(TEXT(O445,"0"),CONDUCTORES!$A$3:$G$54,7,0),"")</f>
        <v/>
      </c>
      <c r="L445" s="334" t="n"/>
      <c r="M445" s="334" t="n"/>
      <c r="N445" s="333">
        <f>IFERROR(IF(L445*M445=0,"",L445*M445),"")</f>
        <v/>
      </c>
      <c r="O445" s="334" t="n"/>
      <c r="P445" s="332">
        <f>IFERROR(VLOOKUP(TEXT(O445,"0"),CONDUCTORES!$A$3:$G$54,2,0),"")</f>
        <v/>
      </c>
      <c r="Q445" s="332">
        <f>IFERROR(VLOOKUP(TEXT(O445,"0"),CONDUCTORES!$A$3:$H$54,6,0),"")</f>
        <v/>
      </c>
      <c r="R445" s="334" t="n"/>
      <c r="S445" s="334" t="n"/>
      <c r="T445" s="334" t="n"/>
      <c r="U445" s="334" t="n"/>
      <c r="V445" s="334" t="n"/>
      <c r="W445" s="334" t="n"/>
      <c r="X445" s="334" t="n"/>
      <c r="Y445" s="334" t="n"/>
      <c r="Z445" s="375">
        <f>IF(AND(G445&lt;&gt;"",R445&lt;&gt;"",V445&lt;&gt;"",W445&lt;&gt;""),"COMPLETADO","OBSERVADO")</f>
        <v/>
      </c>
    </row>
    <row r="446" ht="15" customHeight="1" s="195">
      <c r="A446" s="280" t="n"/>
      <c r="B446" s="280" t="n"/>
      <c r="C446" s="280" t="n"/>
      <c r="D446" s="280" t="n"/>
      <c r="E446" s="280" t="n"/>
      <c r="F446" s="280" t="n"/>
      <c r="G446" s="280" t="n"/>
      <c r="H446" s="280" t="n"/>
      <c r="I446" s="332">
        <f>IFERROR(VLOOKUP(TEXT(H446,"0"),IPRESS!$A$3:$B$212,2,0),"")</f>
        <v/>
      </c>
      <c r="J446" s="280" t="n"/>
      <c r="K446" s="332">
        <f>IFERROR(VLOOKUP(TEXT(O446,"0"),CONDUCTORES!$A$3:$G$54,7,0),"")</f>
        <v/>
      </c>
      <c r="L446" s="280" t="n"/>
      <c r="M446" s="280" t="n"/>
      <c r="N446" s="333">
        <f>IFERROR(IF(L446*M446=0,"",L446*M446),"")</f>
        <v/>
      </c>
      <c r="O446" s="280" t="n"/>
      <c r="P446" s="332">
        <f>IFERROR(VLOOKUP(TEXT(O446,"0"),CONDUCTORES!$A$3:$G$54,2,0),"")</f>
        <v/>
      </c>
      <c r="Q446" s="332">
        <f>IFERROR(VLOOKUP(TEXT(O446,"0"),CONDUCTORES!$A$3:$H$54,6,0),"")</f>
        <v/>
      </c>
      <c r="R446" s="280" t="n"/>
      <c r="S446" s="280" t="n"/>
      <c r="T446" s="280" t="n"/>
      <c r="U446" s="280" t="n"/>
      <c r="V446" s="280" t="n"/>
      <c r="W446" s="280" t="n"/>
      <c r="X446" s="280" t="n"/>
      <c r="Y446" s="280" t="n"/>
      <c r="Z446" s="375">
        <f>IF(AND(G446&lt;&gt;"",R446&lt;&gt;"",V446&lt;&gt;"",W446&lt;&gt;""),"COMPLETADO","OBSERVADO")</f>
        <v/>
      </c>
    </row>
    <row r="447" ht="15" customHeight="1" s="195">
      <c r="A447" s="334" t="n"/>
      <c r="B447" s="334" t="n"/>
      <c r="C447" s="334" t="n"/>
      <c r="D447" s="334" t="n"/>
      <c r="E447" s="334" t="n"/>
      <c r="F447" s="334" t="n"/>
      <c r="G447" s="334" t="n"/>
      <c r="H447" s="334" t="n"/>
      <c r="I447" s="332">
        <f>IFERROR(VLOOKUP(TEXT(H447,"0"),IPRESS!$A$3:$B$212,2,0),"")</f>
        <v/>
      </c>
      <c r="J447" s="334" t="n"/>
      <c r="K447" s="332">
        <f>IFERROR(VLOOKUP(TEXT(O447,"0"),CONDUCTORES!$A$3:$G$54,7,0),"")</f>
        <v/>
      </c>
      <c r="L447" s="334" t="n"/>
      <c r="M447" s="334" t="n"/>
      <c r="N447" s="333">
        <f>IFERROR(IF(L447*M447=0,"",L447*M447),"")</f>
        <v/>
      </c>
      <c r="O447" s="334" t="n"/>
      <c r="P447" s="332">
        <f>IFERROR(VLOOKUP(TEXT(O447,"0"),CONDUCTORES!$A$3:$G$54,2,0),"")</f>
        <v/>
      </c>
      <c r="Q447" s="332">
        <f>IFERROR(VLOOKUP(TEXT(O447,"0"),CONDUCTORES!$A$3:$H$54,6,0),"")</f>
        <v/>
      </c>
      <c r="R447" s="334" t="n"/>
      <c r="S447" s="334" t="n"/>
      <c r="T447" s="334" t="n"/>
      <c r="U447" s="334" t="n"/>
      <c r="V447" s="334" t="n"/>
      <c r="W447" s="334" t="n"/>
      <c r="X447" s="334" t="n"/>
      <c r="Y447" s="334" t="n"/>
      <c r="Z447" s="375">
        <f>IF(AND(G447&lt;&gt;"",R447&lt;&gt;"",V447&lt;&gt;"",W447&lt;&gt;""),"COMPLETADO","OBSERVADO")</f>
        <v/>
      </c>
    </row>
    <row r="448" ht="15" customHeight="1" s="195">
      <c r="A448" s="280" t="n"/>
      <c r="B448" s="280" t="n"/>
      <c r="C448" s="280" t="n"/>
      <c r="D448" s="280" t="n"/>
      <c r="E448" s="280" t="n"/>
      <c r="F448" s="280" t="n"/>
      <c r="G448" s="280" t="n"/>
      <c r="H448" s="280" t="n"/>
      <c r="I448" s="332">
        <f>IFERROR(VLOOKUP(TEXT(H448,"0"),IPRESS!$A$3:$B$212,2,0),"")</f>
        <v/>
      </c>
      <c r="J448" s="280" t="n"/>
      <c r="K448" s="332">
        <f>IFERROR(VLOOKUP(TEXT(O448,"0"),CONDUCTORES!$A$3:$G$54,7,0),"")</f>
        <v/>
      </c>
      <c r="L448" s="280" t="n"/>
      <c r="M448" s="280" t="n"/>
      <c r="N448" s="333">
        <f>IFERROR(IF(L448*M448=0,"",L448*M448),"")</f>
        <v/>
      </c>
      <c r="O448" s="280" t="n"/>
      <c r="P448" s="332">
        <f>IFERROR(VLOOKUP(TEXT(O448,"0"),CONDUCTORES!$A$3:$G$54,2,0),"")</f>
        <v/>
      </c>
      <c r="Q448" s="332">
        <f>IFERROR(VLOOKUP(TEXT(O448,"0"),CONDUCTORES!$A$3:$H$54,6,0),"")</f>
        <v/>
      </c>
      <c r="R448" s="280" t="n"/>
      <c r="S448" s="280" t="n"/>
      <c r="T448" s="280" t="n"/>
      <c r="U448" s="280" t="n"/>
      <c r="V448" s="280" t="n"/>
      <c r="W448" s="280" t="n"/>
      <c r="X448" s="280" t="n"/>
      <c r="Y448" s="280" t="n"/>
      <c r="Z448" s="375">
        <f>IF(AND(G448&lt;&gt;"",R448&lt;&gt;"",V448&lt;&gt;"",W448&lt;&gt;""),"COMPLETADO","OBSERVADO")</f>
        <v/>
      </c>
    </row>
    <row r="449" ht="15" customHeight="1" s="195">
      <c r="A449" s="334" t="n"/>
      <c r="B449" s="334" t="n"/>
      <c r="C449" s="334" t="n"/>
      <c r="D449" s="334" t="n"/>
      <c r="E449" s="334" t="n"/>
      <c r="F449" s="334" t="n"/>
      <c r="G449" s="334" t="n"/>
      <c r="H449" s="334" t="n"/>
      <c r="I449" s="332">
        <f>IFERROR(VLOOKUP(TEXT(H449,"0"),IPRESS!$A$3:$B$212,2,0),"")</f>
        <v/>
      </c>
      <c r="J449" s="334" t="n"/>
      <c r="K449" s="332">
        <f>IFERROR(VLOOKUP(TEXT(O449,"0"),CONDUCTORES!$A$3:$G$54,7,0),"")</f>
        <v/>
      </c>
      <c r="L449" s="334" t="n"/>
      <c r="M449" s="334" t="n"/>
      <c r="N449" s="333">
        <f>IFERROR(IF(L449*M449=0,"",L449*M449),"")</f>
        <v/>
      </c>
      <c r="O449" s="334" t="n"/>
      <c r="P449" s="332">
        <f>IFERROR(VLOOKUP(TEXT(O449,"0"),CONDUCTORES!$A$3:$G$54,2,0),"")</f>
        <v/>
      </c>
      <c r="Q449" s="332">
        <f>IFERROR(VLOOKUP(TEXT(O449,"0"),CONDUCTORES!$A$3:$H$54,6,0),"")</f>
        <v/>
      </c>
      <c r="R449" s="334" t="n"/>
      <c r="S449" s="334" t="n"/>
      <c r="T449" s="334" t="n"/>
      <c r="U449" s="334" t="n"/>
      <c r="V449" s="334" t="n"/>
      <c r="W449" s="334" t="n"/>
      <c r="X449" s="334" t="n"/>
      <c r="Y449" s="334" t="n"/>
      <c r="Z449" s="375">
        <f>IF(AND(G449&lt;&gt;"",R449&lt;&gt;"",V449&lt;&gt;"",W449&lt;&gt;""),"COMPLETADO","OBSERVADO")</f>
        <v/>
      </c>
    </row>
    <row r="450" ht="15" customHeight="1" s="195">
      <c r="A450" s="280" t="n"/>
      <c r="B450" s="280" t="n"/>
      <c r="C450" s="280" t="n"/>
      <c r="D450" s="280" t="n"/>
      <c r="E450" s="280" t="n"/>
      <c r="F450" s="280" t="n"/>
      <c r="G450" s="280" t="n"/>
      <c r="H450" s="280" t="n"/>
      <c r="I450" s="332">
        <f>IFERROR(VLOOKUP(TEXT(H450,"0"),IPRESS!$A$3:$B$212,2,0),"")</f>
        <v/>
      </c>
      <c r="J450" s="280" t="n"/>
      <c r="K450" s="332">
        <f>IFERROR(VLOOKUP(TEXT(O450,"0"),CONDUCTORES!$A$3:$G$54,7,0),"")</f>
        <v/>
      </c>
      <c r="L450" s="280" t="n"/>
      <c r="M450" s="280" t="n"/>
      <c r="N450" s="333">
        <f>IFERROR(IF(L450*M450=0,"",L450*M450),"")</f>
        <v/>
      </c>
      <c r="O450" s="280" t="n"/>
      <c r="P450" s="332">
        <f>IFERROR(VLOOKUP(TEXT(O450,"0"),CONDUCTORES!$A$3:$G$54,2,0),"")</f>
        <v/>
      </c>
      <c r="Q450" s="332">
        <f>IFERROR(VLOOKUP(TEXT(O450,"0"),CONDUCTORES!$A$3:$H$54,6,0),"")</f>
        <v/>
      </c>
      <c r="R450" s="280" t="n"/>
      <c r="S450" s="280" t="n"/>
      <c r="T450" s="280" t="n"/>
      <c r="U450" s="280" t="n"/>
      <c r="V450" s="280" t="n"/>
      <c r="W450" s="280" t="n"/>
      <c r="X450" s="280" t="n"/>
      <c r="Y450" s="280" t="n"/>
      <c r="Z450" s="375">
        <f>IF(AND(G450&lt;&gt;"",R450&lt;&gt;"",V450&lt;&gt;"",W450&lt;&gt;""),"COMPLETADO","OBSERVADO")</f>
        <v/>
      </c>
    </row>
    <row r="451" ht="15" customHeight="1" s="195">
      <c r="A451" s="334" t="n"/>
      <c r="B451" s="334" t="n"/>
      <c r="C451" s="334" t="n"/>
      <c r="D451" s="334" t="n"/>
      <c r="E451" s="334" t="n"/>
      <c r="F451" s="334" t="n"/>
      <c r="G451" s="334" t="n"/>
      <c r="H451" s="334" t="n"/>
      <c r="I451" s="332">
        <f>IFERROR(VLOOKUP(TEXT(H451,"0"),IPRESS!$A$3:$B$212,2,0),"")</f>
        <v/>
      </c>
      <c r="J451" s="334" t="n"/>
      <c r="K451" s="332">
        <f>IFERROR(VLOOKUP(TEXT(O451,"0"),CONDUCTORES!$A$3:$G$54,7,0),"")</f>
        <v/>
      </c>
      <c r="L451" s="334" t="n"/>
      <c r="M451" s="334" t="n"/>
      <c r="N451" s="333">
        <f>IFERROR(IF(L451*M451=0,"",L451*M451),"")</f>
        <v/>
      </c>
      <c r="O451" s="334" t="n"/>
      <c r="P451" s="332">
        <f>IFERROR(VLOOKUP(TEXT(O451,"0"),CONDUCTORES!$A$3:$G$54,2,0),"")</f>
        <v/>
      </c>
      <c r="Q451" s="332">
        <f>IFERROR(VLOOKUP(TEXT(O451,"0"),CONDUCTORES!$A$3:$H$54,6,0),"")</f>
        <v/>
      </c>
      <c r="R451" s="334" t="n"/>
      <c r="S451" s="334" t="n"/>
      <c r="T451" s="334" t="n"/>
      <c r="U451" s="334" t="n"/>
      <c r="V451" s="334" t="n"/>
      <c r="W451" s="334" t="n"/>
      <c r="X451" s="334" t="n"/>
      <c r="Y451" s="334" t="n"/>
      <c r="Z451" s="375">
        <f>IF(AND(G451&lt;&gt;"",R451&lt;&gt;"",V451&lt;&gt;"",W451&lt;&gt;""),"COMPLETADO","OBSERVADO")</f>
        <v/>
      </c>
    </row>
    <row r="452" ht="15" customHeight="1" s="195">
      <c r="A452" s="280" t="n"/>
      <c r="B452" s="280" t="n"/>
      <c r="C452" s="280" t="n"/>
      <c r="D452" s="280" t="n"/>
      <c r="E452" s="280" t="n"/>
      <c r="F452" s="280" t="n"/>
      <c r="G452" s="280" t="n"/>
      <c r="H452" s="280" t="n"/>
      <c r="I452" s="332">
        <f>IFERROR(VLOOKUP(TEXT(H452,"0"),IPRESS!$A$3:$B$212,2,0),"")</f>
        <v/>
      </c>
      <c r="J452" s="280" t="n"/>
      <c r="K452" s="332">
        <f>IFERROR(VLOOKUP(TEXT(O452,"0"),CONDUCTORES!$A$3:$G$54,7,0),"")</f>
        <v/>
      </c>
      <c r="L452" s="280" t="n"/>
      <c r="M452" s="280" t="n"/>
      <c r="N452" s="333">
        <f>IFERROR(IF(L452*M452=0,"",L452*M452),"")</f>
        <v/>
      </c>
      <c r="O452" s="280" t="n"/>
      <c r="P452" s="332">
        <f>IFERROR(VLOOKUP(TEXT(O452,"0"),CONDUCTORES!$A$3:$G$54,2,0),"")</f>
        <v/>
      </c>
      <c r="Q452" s="332">
        <f>IFERROR(VLOOKUP(TEXT(O452,"0"),CONDUCTORES!$A$3:$H$54,6,0),"")</f>
        <v/>
      </c>
      <c r="R452" s="280" t="n"/>
      <c r="S452" s="280" t="n"/>
      <c r="T452" s="280" t="n"/>
      <c r="U452" s="280" t="n"/>
      <c r="V452" s="280" t="n"/>
      <c r="W452" s="280" t="n"/>
      <c r="X452" s="280" t="n"/>
      <c r="Y452" s="280" t="n"/>
      <c r="Z452" s="375">
        <f>IF(AND(G452&lt;&gt;"",R452&lt;&gt;"",V452&lt;&gt;"",W452&lt;&gt;""),"COMPLETADO","OBSERVADO")</f>
        <v/>
      </c>
    </row>
    <row r="453" ht="15" customHeight="1" s="195">
      <c r="A453" s="334" t="n"/>
      <c r="B453" s="334" t="n"/>
      <c r="C453" s="334" t="n"/>
      <c r="D453" s="334" t="n"/>
      <c r="E453" s="334" t="n"/>
      <c r="F453" s="334" t="n"/>
      <c r="G453" s="334" t="n"/>
      <c r="H453" s="334" t="n"/>
      <c r="I453" s="332">
        <f>IFERROR(VLOOKUP(TEXT(H453,"0"),IPRESS!$A$3:$B$212,2,0),"")</f>
        <v/>
      </c>
      <c r="J453" s="334" t="n"/>
      <c r="K453" s="332">
        <f>IFERROR(VLOOKUP(TEXT(O453,"0"),CONDUCTORES!$A$3:$G$54,7,0),"")</f>
        <v/>
      </c>
      <c r="L453" s="334" t="n"/>
      <c r="M453" s="334" t="n"/>
      <c r="N453" s="333">
        <f>IFERROR(IF(L453*M453=0,"",L453*M453),"")</f>
        <v/>
      </c>
      <c r="O453" s="334" t="n"/>
      <c r="P453" s="332">
        <f>IFERROR(VLOOKUP(TEXT(O453,"0"),CONDUCTORES!$A$3:$G$54,2,0),"")</f>
        <v/>
      </c>
      <c r="Q453" s="332">
        <f>IFERROR(VLOOKUP(TEXT(O453,"0"),CONDUCTORES!$A$3:$H$54,6,0),"")</f>
        <v/>
      </c>
      <c r="R453" s="334" t="n"/>
      <c r="S453" s="334" t="n"/>
      <c r="T453" s="334" t="n"/>
      <c r="U453" s="334" t="n"/>
      <c r="V453" s="334" t="n"/>
      <c r="W453" s="334" t="n"/>
      <c r="X453" s="334" t="n"/>
      <c r="Y453" s="334" t="n"/>
      <c r="Z453" s="375">
        <f>IF(AND(G453&lt;&gt;"",R453&lt;&gt;"",V453&lt;&gt;"",W453&lt;&gt;""),"COMPLETADO","OBSERVADO")</f>
        <v/>
      </c>
    </row>
    <row r="454" ht="15" customHeight="1" s="195">
      <c r="A454" s="280" t="n"/>
      <c r="B454" s="280" t="n"/>
      <c r="C454" s="280" t="n"/>
      <c r="D454" s="280" t="n"/>
      <c r="E454" s="280" t="n"/>
      <c r="F454" s="280" t="n"/>
      <c r="G454" s="280" t="n"/>
      <c r="H454" s="280" t="n"/>
      <c r="I454" s="332">
        <f>IFERROR(VLOOKUP(TEXT(H454,"0"),IPRESS!$A$3:$B$212,2,0),"")</f>
        <v/>
      </c>
      <c r="J454" s="280" t="n"/>
      <c r="K454" s="332">
        <f>IFERROR(VLOOKUP(TEXT(O454,"0"),CONDUCTORES!$A$3:$G$54,7,0),"")</f>
        <v/>
      </c>
      <c r="L454" s="280" t="n"/>
      <c r="M454" s="280" t="n"/>
      <c r="N454" s="333">
        <f>IFERROR(IF(L454*M454=0,"",L454*M454),"")</f>
        <v/>
      </c>
      <c r="O454" s="280" t="n"/>
      <c r="P454" s="332">
        <f>IFERROR(VLOOKUP(TEXT(O454,"0"),CONDUCTORES!$A$3:$G$54,2,0),"")</f>
        <v/>
      </c>
      <c r="Q454" s="332">
        <f>IFERROR(VLOOKUP(TEXT(O454,"0"),CONDUCTORES!$A$3:$H$54,6,0),"")</f>
        <v/>
      </c>
      <c r="R454" s="280" t="n"/>
      <c r="S454" s="280" t="n"/>
      <c r="T454" s="280" t="n"/>
      <c r="U454" s="280" t="n"/>
      <c r="V454" s="280" t="n"/>
      <c r="W454" s="280" t="n"/>
      <c r="X454" s="280" t="n"/>
      <c r="Y454" s="280" t="n"/>
      <c r="Z454" s="375">
        <f>IF(AND(G454&lt;&gt;"",R454&lt;&gt;"",V454&lt;&gt;"",W454&lt;&gt;""),"COMPLETADO","OBSERVADO")</f>
        <v/>
      </c>
    </row>
    <row r="455" ht="15" customHeight="1" s="195">
      <c r="A455" s="334" t="n"/>
      <c r="B455" s="334" t="n"/>
      <c r="C455" s="334" t="n"/>
      <c r="D455" s="334" t="n"/>
      <c r="E455" s="334" t="n"/>
      <c r="F455" s="334" t="n"/>
      <c r="G455" s="334" t="n"/>
      <c r="H455" s="334" t="n"/>
      <c r="I455" s="332">
        <f>IFERROR(VLOOKUP(TEXT(H455,"0"),IPRESS!$A$3:$B$212,2,0),"")</f>
        <v/>
      </c>
      <c r="J455" s="334" t="n"/>
      <c r="K455" s="332">
        <f>IFERROR(VLOOKUP(TEXT(O455,"0"),CONDUCTORES!$A$3:$G$54,7,0),"")</f>
        <v/>
      </c>
      <c r="L455" s="334" t="n"/>
      <c r="M455" s="334" t="n"/>
      <c r="N455" s="333">
        <f>IFERROR(IF(L455*M455=0,"",L455*M455),"")</f>
        <v/>
      </c>
      <c r="O455" s="334" t="n"/>
      <c r="P455" s="332">
        <f>IFERROR(VLOOKUP(TEXT(O455,"0"),CONDUCTORES!$A$3:$G$54,2,0),"")</f>
        <v/>
      </c>
      <c r="Q455" s="332">
        <f>IFERROR(VLOOKUP(TEXT(O455,"0"),CONDUCTORES!$A$3:$H$54,6,0),"")</f>
        <v/>
      </c>
      <c r="R455" s="334" t="n"/>
      <c r="S455" s="334" t="n"/>
      <c r="T455" s="334" t="n"/>
      <c r="U455" s="334" t="n"/>
      <c r="V455" s="334" t="n"/>
      <c r="W455" s="334" t="n"/>
      <c r="X455" s="334" t="n"/>
      <c r="Y455" s="334" t="n"/>
      <c r="Z455" s="375">
        <f>IF(AND(G455&lt;&gt;"",R455&lt;&gt;"",V455&lt;&gt;"",W455&lt;&gt;""),"COMPLETADO","OBSERVADO")</f>
        <v/>
      </c>
    </row>
    <row r="456" ht="15" customHeight="1" s="195">
      <c r="A456" s="280" t="n"/>
      <c r="B456" s="280" t="n"/>
      <c r="C456" s="280" t="n"/>
      <c r="D456" s="280" t="n"/>
      <c r="E456" s="280" t="n"/>
      <c r="F456" s="280" t="n"/>
      <c r="G456" s="280" t="n"/>
      <c r="H456" s="280" t="n"/>
      <c r="I456" s="332">
        <f>IFERROR(VLOOKUP(TEXT(H456,"0"),IPRESS!$A$3:$B$212,2,0),"")</f>
        <v/>
      </c>
      <c r="J456" s="280" t="n"/>
      <c r="K456" s="332">
        <f>IFERROR(VLOOKUP(TEXT(O456,"0"),CONDUCTORES!$A$3:$G$54,7,0),"")</f>
        <v/>
      </c>
      <c r="L456" s="280" t="n"/>
      <c r="M456" s="280" t="n"/>
      <c r="N456" s="333">
        <f>IFERROR(IF(L456*M456=0,"",L456*M456),"")</f>
        <v/>
      </c>
      <c r="O456" s="280" t="n"/>
      <c r="P456" s="332">
        <f>IFERROR(VLOOKUP(TEXT(O456,"0"),CONDUCTORES!$A$3:$G$54,2,0),"")</f>
        <v/>
      </c>
      <c r="Q456" s="332">
        <f>IFERROR(VLOOKUP(TEXT(O456,"0"),CONDUCTORES!$A$3:$H$54,6,0),"")</f>
        <v/>
      </c>
      <c r="R456" s="280" t="n"/>
      <c r="S456" s="280" t="n"/>
      <c r="T456" s="280" t="n"/>
      <c r="U456" s="280" t="n"/>
      <c r="V456" s="280" t="n"/>
      <c r="W456" s="280" t="n"/>
      <c r="X456" s="280" t="n"/>
      <c r="Y456" s="280" t="n"/>
      <c r="Z456" s="375">
        <f>IF(AND(G456&lt;&gt;"",R456&lt;&gt;"",V456&lt;&gt;"",W456&lt;&gt;""),"COMPLETADO","OBSERVADO")</f>
        <v/>
      </c>
    </row>
    <row r="457" ht="15" customHeight="1" s="195">
      <c r="A457" s="334" t="n"/>
      <c r="B457" s="334" t="n"/>
      <c r="C457" s="334" t="n"/>
      <c r="D457" s="334" t="n"/>
      <c r="E457" s="334" t="n"/>
      <c r="F457" s="334" t="n"/>
      <c r="G457" s="334" t="n"/>
      <c r="H457" s="334" t="n"/>
      <c r="I457" s="332">
        <f>IFERROR(VLOOKUP(TEXT(H457,"0"),IPRESS!$A$3:$B$212,2,0),"")</f>
        <v/>
      </c>
      <c r="J457" s="334" t="n"/>
      <c r="K457" s="332">
        <f>IFERROR(VLOOKUP(TEXT(O457,"0"),CONDUCTORES!$A$3:$G$54,7,0),"")</f>
        <v/>
      </c>
      <c r="L457" s="334" t="n"/>
      <c r="M457" s="334" t="n"/>
      <c r="N457" s="333">
        <f>IFERROR(IF(L457*M457=0,"",L457*M457),"")</f>
        <v/>
      </c>
      <c r="O457" s="334" t="n"/>
      <c r="P457" s="332">
        <f>IFERROR(VLOOKUP(TEXT(O457,"0"),CONDUCTORES!$A$3:$G$54,2,0),"")</f>
        <v/>
      </c>
      <c r="Q457" s="332">
        <f>IFERROR(VLOOKUP(TEXT(O457,"0"),CONDUCTORES!$A$3:$H$54,6,0),"")</f>
        <v/>
      </c>
      <c r="R457" s="334" t="n"/>
      <c r="S457" s="334" t="n"/>
      <c r="T457" s="334" t="n"/>
      <c r="U457" s="334" t="n"/>
      <c r="V457" s="334" t="n"/>
      <c r="W457" s="334" t="n"/>
      <c r="X457" s="334" t="n"/>
      <c r="Y457" s="334" t="n"/>
      <c r="Z457" s="375">
        <f>IF(AND(G457&lt;&gt;"",R457&lt;&gt;"",V457&lt;&gt;"",W457&lt;&gt;""),"COMPLETADO","OBSERVADO")</f>
        <v/>
      </c>
    </row>
    <row r="458" ht="15" customHeight="1" s="195">
      <c r="A458" s="280" t="n"/>
      <c r="B458" s="280" t="n"/>
      <c r="C458" s="280" t="n"/>
      <c r="D458" s="280" t="n"/>
      <c r="E458" s="280" t="n"/>
      <c r="F458" s="280" t="n"/>
      <c r="G458" s="280" t="n"/>
      <c r="H458" s="280" t="n"/>
      <c r="I458" s="332">
        <f>IFERROR(VLOOKUP(TEXT(H458,"0"),IPRESS!$A$3:$B$212,2,0),"")</f>
        <v/>
      </c>
      <c r="J458" s="280" t="n"/>
      <c r="K458" s="332">
        <f>IFERROR(VLOOKUP(TEXT(O458,"0"),CONDUCTORES!$A$3:$G$54,7,0),"")</f>
        <v/>
      </c>
      <c r="L458" s="280" t="n"/>
      <c r="M458" s="280" t="n"/>
      <c r="N458" s="333">
        <f>IFERROR(IF(L458*M458=0,"",L458*M458),"")</f>
        <v/>
      </c>
      <c r="O458" s="280" t="n"/>
      <c r="P458" s="332">
        <f>IFERROR(VLOOKUP(TEXT(O458,"0"),CONDUCTORES!$A$3:$G$54,2,0),"")</f>
        <v/>
      </c>
      <c r="Q458" s="332">
        <f>IFERROR(VLOOKUP(TEXT(O458,"0"),CONDUCTORES!$A$3:$H$54,6,0),"")</f>
        <v/>
      </c>
      <c r="R458" s="280" t="n"/>
      <c r="S458" s="280" t="n"/>
      <c r="T458" s="280" t="n"/>
      <c r="U458" s="280" t="n"/>
      <c r="V458" s="280" t="n"/>
      <c r="W458" s="280" t="n"/>
      <c r="X458" s="280" t="n"/>
      <c r="Y458" s="280" t="n"/>
      <c r="Z458" s="375">
        <f>IF(AND(G458&lt;&gt;"",R458&lt;&gt;"",V458&lt;&gt;"",W458&lt;&gt;""),"COMPLETADO","OBSERVADO")</f>
        <v/>
      </c>
    </row>
    <row r="459" ht="15" customHeight="1" s="195">
      <c r="A459" s="334" t="n"/>
      <c r="B459" s="334" t="n"/>
      <c r="C459" s="334" t="n"/>
      <c r="D459" s="334" t="n"/>
      <c r="E459" s="334" t="n"/>
      <c r="F459" s="334" t="n"/>
      <c r="G459" s="334" t="n"/>
      <c r="H459" s="334" t="n"/>
      <c r="I459" s="332">
        <f>IFERROR(VLOOKUP(TEXT(H459,"0"),IPRESS!$A$3:$B$212,2,0),"")</f>
        <v/>
      </c>
      <c r="J459" s="334" t="n"/>
      <c r="K459" s="332">
        <f>IFERROR(VLOOKUP(TEXT(O459,"0"),CONDUCTORES!$A$3:$G$54,7,0),"")</f>
        <v/>
      </c>
      <c r="L459" s="334" t="n"/>
      <c r="M459" s="334" t="n"/>
      <c r="N459" s="333">
        <f>IFERROR(IF(L459*M459=0,"",L459*M459),"")</f>
        <v/>
      </c>
      <c r="O459" s="334" t="n"/>
      <c r="P459" s="332">
        <f>IFERROR(VLOOKUP(TEXT(O459,"0"),CONDUCTORES!$A$3:$G$54,2,0),"")</f>
        <v/>
      </c>
      <c r="Q459" s="332">
        <f>IFERROR(VLOOKUP(TEXT(O459,"0"),CONDUCTORES!$A$3:$H$54,6,0),"")</f>
        <v/>
      </c>
      <c r="R459" s="334" t="n"/>
      <c r="S459" s="334" t="n"/>
      <c r="T459" s="334" t="n"/>
      <c r="U459" s="334" t="n"/>
      <c r="V459" s="334" t="n"/>
      <c r="W459" s="334" t="n"/>
      <c r="X459" s="334" t="n"/>
      <c r="Y459" s="334" t="n"/>
      <c r="Z459" s="375">
        <f>IF(AND(G459&lt;&gt;"",R459&lt;&gt;"",V459&lt;&gt;"",W459&lt;&gt;""),"COMPLETADO","OBSERVADO")</f>
        <v/>
      </c>
    </row>
    <row r="460" ht="15" customHeight="1" s="195">
      <c r="A460" s="280" t="n"/>
      <c r="B460" s="280" t="n"/>
      <c r="C460" s="280" t="n"/>
      <c r="D460" s="280" t="n"/>
      <c r="E460" s="280" t="n"/>
      <c r="F460" s="280" t="n"/>
      <c r="G460" s="280" t="n"/>
      <c r="H460" s="280" t="n"/>
      <c r="I460" s="332">
        <f>IFERROR(VLOOKUP(TEXT(H460,"0"),IPRESS!$A$3:$B$212,2,0),"")</f>
        <v/>
      </c>
      <c r="J460" s="280" t="n"/>
      <c r="K460" s="332">
        <f>IFERROR(VLOOKUP(TEXT(O460,"0"),CONDUCTORES!$A$3:$G$54,7,0),"")</f>
        <v/>
      </c>
      <c r="L460" s="280" t="n"/>
      <c r="M460" s="280" t="n"/>
      <c r="N460" s="333">
        <f>IFERROR(IF(L460*M460=0,"",L460*M460),"")</f>
        <v/>
      </c>
      <c r="O460" s="280" t="n"/>
      <c r="P460" s="332">
        <f>IFERROR(VLOOKUP(TEXT(O460,"0"),CONDUCTORES!$A$3:$G$54,2,0),"")</f>
        <v/>
      </c>
      <c r="Q460" s="332">
        <f>IFERROR(VLOOKUP(TEXT(O460,"0"),CONDUCTORES!$A$3:$H$54,6,0),"")</f>
        <v/>
      </c>
      <c r="R460" s="280" t="n"/>
      <c r="S460" s="280" t="n"/>
      <c r="T460" s="280" t="n"/>
      <c r="U460" s="280" t="n"/>
      <c r="V460" s="280" t="n"/>
      <c r="W460" s="280" t="n"/>
      <c r="X460" s="280" t="n"/>
      <c r="Y460" s="280" t="n"/>
      <c r="Z460" s="375">
        <f>IF(AND(G460&lt;&gt;"",R460&lt;&gt;"",V460&lt;&gt;"",W460&lt;&gt;""),"COMPLETADO","OBSERVADO")</f>
        <v/>
      </c>
    </row>
    <row r="461" ht="15" customHeight="1" s="195">
      <c r="A461" s="334" t="n"/>
      <c r="B461" s="334" t="n"/>
      <c r="C461" s="334" t="n"/>
      <c r="D461" s="334" t="n"/>
      <c r="E461" s="334" t="n"/>
      <c r="F461" s="334" t="n"/>
      <c r="G461" s="334" t="n"/>
      <c r="H461" s="334" t="n"/>
      <c r="I461" s="332">
        <f>IFERROR(VLOOKUP(TEXT(H461,"0"),IPRESS!$A$3:$B$212,2,0),"")</f>
        <v/>
      </c>
      <c r="J461" s="334" t="n"/>
      <c r="K461" s="332">
        <f>IFERROR(VLOOKUP(TEXT(O461,"0"),CONDUCTORES!$A$3:$G$54,7,0),"")</f>
        <v/>
      </c>
      <c r="L461" s="334" t="n"/>
      <c r="M461" s="334" t="n"/>
      <c r="N461" s="333">
        <f>IFERROR(IF(L461*M461=0,"",L461*M461),"")</f>
        <v/>
      </c>
      <c r="O461" s="334" t="n"/>
      <c r="P461" s="332">
        <f>IFERROR(VLOOKUP(TEXT(O461,"0"),CONDUCTORES!$A$3:$G$54,2,0),"")</f>
        <v/>
      </c>
      <c r="Q461" s="332">
        <f>IFERROR(VLOOKUP(TEXT(O461,"0"),CONDUCTORES!$A$3:$H$54,6,0),"")</f>
        <v/>
      </c>
      <c r="R461" s="334" t="n"/>
      <c r="S461" s="334" t="n"/>
      <c r="T461" s="334" t="n"/>
      <c r="U461" s="334" t="n"/>
      <c r="V461" s="334" t="n"/>
      <c r="W461" s="334" t="n"/>
      <c r="X461" s="334" t="n"/>
      <c r="Y461" s="334" t="n"/>
      <c r="Z461" s="375">
        <f>IF(AND(G461&lt;&gt;"",R461&lt;&gt;"",V461&lt;&gt;"",W461&lt;&gt;""),"COMPLETADO","OBSERVADO")</f>
        <v/>
      </c>
    </row>
    <row r="462" ht="15" customHeight="1" s="195">
      <c r="A462" s="280" t="n"/>
      <c r="B462" s="280" t="n"/>
      <c r="C462" s="280" t="n"/>
      <c r="D462" s="280" t="n"/>
      <c r="E462" s="280" t="n"/>
      <c r="F462" s="280" t="n"/>
      <c r="G462" s="280" t="n"/>
      <c r="H462" s="280" t="n"/>
      <c r="I462" s="332">
        <f>IFERROR(VLOOKUP(TEXT(H462,"0"),IPRESS!$A$3:$B$212,2,0),"")</f>
        <v/>
      </c>
      <c r="J462" s="280" t="n"/>
      <c r="K462" s="332">
        <f>IFERROR(VLOOKUP(TEXT(O462,"0"),CONDUCTORES!$A$3:$G$54,7,0),"")</f>
        <v/>
      </c>
      <c r="L462" s="280" t="n"/>
      <c r="M462" s="280" t="n"/>
      <c r="N462" s="333">
        <f>IFERROR(IF(L462*M462=0,"",L462*M462),"")</f>
        <v/>
      </c>
      <c r="O462" s="280" t="n"/>
      <c r="P462" s="332">
        <f>IFERROR(VLOOKUP(TEXT(O462,"0"),CONDUCTORES!$A$3:$G$54,2,0),"")</f>
        <v/>
      </c>
      <c r="Q462" s="332">
        <f>IFERROR(VLOOKUP(TEXT(O462,"0"),CONDUCTORES!$A$3:$H$54,6,0),"")</f>
        <v/>
      </c>
      <c r="R462" s="280" t="n"/>
      <c r="S462" s="280" t="n"/>
      <c r="T462" s="280" t="n"/>
      <c r="U462" s="280" t="n"/>
      <c r="V462" s="280" t="n"/>
      <c r="W462" s="280" t="n"/>
      <c r="X462" s="280" t="n"/>
      <c r="Y462" s="280" t="n"/>
      <c r="Z462" s="375">
        <f>IF(AND(G462&lt;&gt;"",R462&lt;&gt;"",V462&lt;&gt;"",W462&lt;&gt;""),"COMPLETADO","OBSERVADO")</f>
        <v/>
      </c>
    </row>
    <row r="463" ht="15" customHeight="1" s="195">
      <c r="A463" s="334" t="n"/>
      <c r="B463" s="334" t="n"/>
      <c r="C463" s="334" t="n"/>
      <c r="D463" s="334" t="n"/>
      <c r="E463" s="334" t="n"/>
      <c r="F463" s="334" t="n"/>
      <c r="G463" s="334" t="n"/>
      <c r="H463" s="334" t="n"/>
      <c r="I463" s="332">
        <f>IFERROR(VLOOKUP(TEXT(H463,"0"),IPRESS!$A$3:$B$212,2,0),"")</f>
        <v/>
      </c>
      <c r="J463" s="334" t="n"/>
      <c r="K463" s="332">
        <f>IFERROR(VLOOKUP(TEXT(O463,"0"),CONDUCTORES!$A$3:$G$54,7,0),"")</f>
        <v/>
      </c>
      <c r="L463" s="334" t="n"/>
      <c r="M463" s="334" t="n"/>
      <c r="N463" s="333">
        <f>IFERROR(IF(L463*M463=0,"",L463*M463),"")</f>
        <v/>
      </c>
      <c r="O463" s="334" t="n"/>
      <c r="P463" s="332">
        <f>IFERROR(VLOOKUP(TEXT(O463,"0"),CONDUCTORES!$A$3:$G$54,2,0),"")</f>
        <v/>
      </c>
      <c r="Q463" s="332">
        <f>IFERROR(VLOOKUP(TEXT(O463,"0"),CONDUCTORES!$A$3:$H$54,6,0),"")</f>
        <v/>
      </c>
      <c r="R463" s="334" t="n"/>
      <c r="S463" s="334" t="n"/>
      <c r="T463" s="334" t="n"/>
      <c r="U463" s="334" t="n"/>
      <c r="V463" s="334" t="n"/>
      <c r="W463" s="334" t="n"/>
      <c r="X463" s="334" t="n"/>
      <c r="Y463" s="334" t="n"/>
      <c r="Z463" s="375">
        <f>IF(AND(G463&lt;&gt;"",R463&lt;&gt;"",V463&lt;&gt;"",W463&lt;&gt;""),"COMPLETADO","OBSERVADO")</f>
        <v/>
      </c>
    </row>
    <row r="464" ht="15" customHeight="1" s="195">
      <c r="A464" s="280" t="n"/>
      <c r="B464" s="280" t="n"/>
      <c r="C464" s="280" t="n"/>
      <c r="D464" s="280" t="n"/>
      <c r="E464" s="280" t="n"/>
      <c r="F464" s="280" t="n"/>
      <c r="G464" s="280" t="n"/>
      <c r="H464" s="280" t="n"/>
      <c r="I464" s="332">
        <f>IFERROR(VLOOKUP(TEXT(H464,"0"),IPRESS!$A$3:$B$212,2,0),"")</f>
        <v/>
      </c>
      <c r="J464" s="280" t="n"/>
      <c r="K464" s="332">
        <f>IFERROR(VLOOKUP(TEXT(O464,"0"),CONDUCTORES!$A$3:$G$54,7,0),"")</f>
        <v/>
      </c>
      <c r="L464" s="280" t="n"/>
      <c r="M464" s="280" t="n"/>
      <c r="N464" s="333">
        <f>IFERROR(IF(L464*M464=0,"",L464*M464),"")</f>
        <v/>
      </c>
      <c r="O464" s="280" t="n"/>
      <c r="P464" s="332">
        <f>IFERROR(VLOOKUP(TEXT(O464,"0"),CONDUCTORES!$A$3:$G$54,2,0),"")</f>
        <v/>
      </c>
      <c r="Q464" s="332">
        <f>IFERROR(VLOOKUP(TEXT(O464,"0"),CONDUCTORES!$A$3:$H$54,6,0),"")</f>
        <v/>
      </c>
      <c r="R464" s="280" t="n"/>
      <c r="S464" s="280" t="n"/>
      <c r="T464" s="280" t="n"/>
      <c r="U464" s="280" t="n"/>
      <c r="V464" s="280" t="n"/>
      <c r="W464" s="280" t="n"/>
      <c r="X464" s="280" t="n"/>
      <c r="Y464" s="280" t="n"/>
      <c r="Z464" s="375">
        <f>IF(AND(G464&lt;&gt;"",R464&lt;&gt;"",V464&lt;&gt;"",W464&lt;&gt;""),"COMPLETADO","OBSERVADO")</f>
        <v/>
      </c>
    </row>
    <row r="465" ht="15" customHeight="1" s="195">
      <c r="A465" s="334" t="n"/>
      <c r="B465" s="334" t="n"/>
      <c r="C465" s="334" t="n"/>
      <c r="D465" s="334" t="n"/>
      <c r="E465" s="334" t="n"/>
      <c r="F465" s="334" t="n"/>
      <c r="G465" s="334" t="n"/>
      <c r="H465" s="334" t="n"/>
      <c r="I465" s="332">
        <f>IFERROR(VLOOKUP(TEXT(H465,"0"),IPRESS!$A$3:$B$212,2,0),"")</f>
        <v/>
      </c>
      <c r="J465" s="334" t="n"/>
      <c r="K465" s="332">
        <f>IFERROR(VLOOKUP(TEXT(O465,"0"),CONDUCTORES!$A$3:$G$54,7,0),"")</f>
        <v/>
      </c>
      <c r="L465" s="334" t="n"/>
      <c r="M465" s="334" t="n"/>
      <c r="N465" s="333">
        <f>IFERROR(IF(L465*M465=0,"",L465*M465),"")</f>
        <v/>
      </c>
      <c r="O465" s="334" t="n"/>
      <c r="P465" s="332">
        <f>IFERROR(VLOOKUP(TEXT(O465,"0"),CONDUCTORES!$A$3:$G$54,2,0),"")</f>
        <v/>
      </c>
      <c r="Q465" s="332">
        <f>IFERROR(VLOOKUP(TEXT(O465,"0"),CONDUCTORES!$A$3:$H$54,6,0),"")</f>
        <v/>
      </c>
      <c r="R465" s="334" t="n"/>
      <c r="S465" s="334" t="n"/>
      <c r="T465" s="334" t="n"/>
      <c r="U465" s="334" t="n"/>
      <c r="V465" s="334" t="n"/>
      <c r="W465" s="334" t="n"/>
      <c r="X465" s="334" t="n"/>
      <c r="Y465" s="334" t="n"/>
      <c r="Z465" s="375">
        <f>IF(AND(G465&lt;&gt;"",R465&lt;&gt;"",V465&lt;&gt;"",W465&lt;&gt;""),"COMPLETADO","OBSERVADO")</f>
        <v/>
      </c>
    </row>
    <row r="466" ht="15" customHeight="1" s="195">
      <c r="A466" s="280" t="n"/>
      <c r="B466" s="280" t="n"/>
      <c r="C466" s="280" t="n"/>
      <c r="D466" s="280" t="n"/>
      <c r="E466" s="280" t="n"/>
      <c r="F466" s="280" t="n"/>
      <c r="G466" s="280" t="n"/>
      <c r="H466" s="280" t="n"/>
      <c r="I466" s="332">
        <f>IFERROR(VLOOKUP(TEXT(H466,"0"),IPRESS!$A$3:$B$212,2,0),"")</f>
        <v/>
      </c>
      <c r="J466" s="280" t="n"/>
      <c r="K466" s="332">
        <f>IFERROR(VLOOKUP(TEXT(O466,"0"),CONDUCTORES!$A$3:$G$54,7,0),"")</f>
        <v/>
      </c>
      <c r="L466" s="280" t="n"/>
      <c r="M466" s="280" t="n"/>
      <c r="N466" s="333">
        <f>IFERROR(IF(L466*M466=0,"",L466*M466),"")</f>
        <v/>
      </c>
      <c r="O466" s="280" t="n"/>
      <c r="P466" s="332">
        <f>IFERROR(VLOOKUP(TEXT(O466,"0"),CONDUCTORES!$A$3:$G$54,2,0),"")</f>
        <v/>
      </c>
      <c r="Q466" s="332">
        <f>IFERROR(VLOOKUP(TEXT(O466,"0"),CONDUCTORES!$A$3:$H$54,6,0),"")</f>
        <v/>
      </c>
      <c r="R466" s="280" t="n"/>
      <c r="S466" s="280" t="n"/>
      <c r="T466" s="280" t="n"/>
      <c r="U466" s="280" t="n"/>
      <c r="V466" s="280" t="n"/>
      <c r="W466" s="280" t="n"/>
      <c r="X466" s="280" t="n"/>
      <c r="Y466" s="280" t="n"/>
      <c r="Z466" s="375">
        <f>IF(AND(G466&lt;&gt;"",R466&lt;&gt;"",V466&lt;&gt;"",W466&lt;&gt;""),"COMPLETADO","OBSERVADO")</f>
        <v/>
      </c>
    </row>
    <row r="467" ht="15" customHeight="1" s="195">
      <c r="A467" s="334" t="n"/>
      <c r="B467" s="334" t="n"/>
      <c r="C467" s="334" t="n"/>
      <c r="D467" s="334" t="n"/>
      <c r="E467" s="334" t="n"/>
      <c r="F467" s="334" t="n"/>
      <c r="G467" s="334" t="n"/>
      <c r="H467" s="334" t="n"/>
      <c r="I467" s="332">
        <f>IFERROR(VLOOKUP(TEXT(H467,"0"),IPRESS!$A$3:$B$212,2,0),"")</f>
        <v/>
      </c>
      <c r="J467" s="334" t="n"/>
      <c r="K467" s="332">
        <f>IFERROR(VLOOKUP(TEXT(O467,"0"),CONDUCTORES!$A$3:$G$54,7,0),"")</f>
        <v/>
      </c>
      <c r="L467" s="334" t="n"/>
      <c r="M467" s="334" t="n"/>
      <c r="N467" s="333">
        <f>IFERROR(IF(L467*M467=0,"",L467*M467),"")</f>
        <v/>
      </c>
      <c r="O467" s="334" t="n"/>
      <c r="P467" s="332">
        <f>IFERROR(VLOOKUP(TEXT(O467,"0"),CONDUCTORES!$A$3:$G$54,2,0),"")</f>
        <v/>
      </c>
      <c r="Q467" s="332">
        <f>IFERROR(VLOOKUP(TEXT(O467,"0"),CONDUCTORES!$A$3:$H$54,6,0),"")</f>
        <v/>
      </c>
      <c r="R467" s="334" t="n"/>
      <c r="S467" s="334" t="n"/>
      <c r="T467" s="334" t="n"/>
      <c r="U467" s="334" t="n"/>
      <c r="V467" s="334" t="n"/>
      <c r="W467" s="334" t="n"/>
      <c r="X467" s="334" t="n"/>
      <c r="Y467" s="334" t="n"/>
      <c r="Z467" s="375">
        <f>IF(AND(G467&lt;&gt;"",R467&lt;&gt;"",V467&lt;&gt;"",W467&lt;&gt;""),"COMPLETADO","OBSERVADO")</f>
        <v/>
      </c>
    </row>
    <row r="468" ht="15" customHeight="1" s="195">
      <c r="A468" s="280" t="n"/>
      <c r="B468" s="280" t="n"/>
      <c r="C468" s="280" t="n"/>
      <c r="D468" s="280" t="n"/>
      <c r="E468" s="280" t="n"/>
      <c r="F468" s="280" t="n"/>
      <c r="G468" s="280" t="n"/>
      <c r="H468" s="280" t="n"/>
      <c r="I468" s="332">
        <f>IFERROR(VLOOKUP(TEXT(H468,"0"),IPRESS!$A$3:$B$212,2,0),"")</f>
        <v/>
      </c>
      <c r="J468" s="280" t="n"/>
      <c r="K468" s="332">
        <f>IFERROR(VLOOKUP(TEXT(O468,"0"),CONDUCTORES!$A$3:$G$54,7,0),"")</f>
        <v/>
      </c>
      <c r="L468" s="280" t="n"/>
      <c r="M468" s="280" t="n"/>
      <c r="N468" s="333">
        <f>IFERROR(IF(L468*M468=0,"",L468*M468),"")</f>
        <v/>
      </c>
      <c r="O468" s="280" t="n"/>
      <c r="P468" s="332">
        <f>IFERROR(VLOOKUP(TEXT(O468,"0"),CONDUCTORES!$A$3:$G$54,2,0),"")</f>
        <v/>
      </c>
      <c r="Q468" s="332">
        <f>IFERROR(VLOOKUP(TEXT(O468,"0"),CONDUCTORES!$A$3:$H$54,6,0),"")</f>
        <v/>
      </c>
      <c r="R468" s="280" t="n"/>
      <c r="S468" s="280" t="n"/>
      <c r="T468" s="280" t="n"/>
      <c r="U468" s="280" t="n"/>
      <c r="V468" s="280" t="n"/>
      <c r="W468" s="280" t="n"/>
      <c r="X468" s="280" t="n"/>
      <c r="Y468" s="280" t="n"/>
      <c r="Z468" s="375">
        <f>IF(AND(G468&lt;&gt;"",R468&lt;&gt;"",V468&lt;&gt;"",W468&lt;&gt;""),"COMPLETADO","OBSERVADO")</f>
        <v/>
      </c>
    </row>
    <row r="469" ht="15" customHeight="1" s="195">
      <c r="A469" s="334" t="n"/>
      <c r="B469" s="334" t="n"/>
      <c r="C469" s="334" t="n"/>
      <c r="D469" s="334" t="n"/>
      <c r="E469" s="334" t="n"/>
      <c r="F469" s="334" t="n"/>
      <c r="G469" s="334" t="n"/>
      <c r="H469" s="334" t="n"/>
      <c r="I469" s="332">
        <f>IFERROR(VLOOKUP(TEXT(H469,"0"),IPRESS!$A$3:$B$212,2,0),"")</f>
        <v/>
      </c>
      <c r="J469" s="334" t="n"/>
      <c r="K469" s="332">
        <f>IFERROR(VLOOKUP(TEXT(O469,"0"),CONDUCTORES!$A$3:$G$54,7,0),"")</f>
        <v/>
      </c>
      <c r="L469" s="334" t="n"/>
      <c r="M469" s="334" t="n"/>
      <c r="N469" s="333">
        <f>IFERROR(IF(L469*M469=0,"",L469*M469),"")</f>
        <v/>
      </c>
      <c r="O469" s="334" t="n"/>
      <c r="P469" s="332">
        <f>IFERROR(VLOOKUP(TEXT(O469,"0"),CONDUCTORES!$A$3:$G$54,2,0),"")</f>
        <v/>
      </c>
      <c r="Q469" s="332">
        <f>IFERROR(VLOOKUP(TEXT(O469,"0"),CONDUCTORES!$A$3:$H$54,6,0),"")</f>
        <v/>
      </c>
      <c r="R469" s="334" t="n"/>
      <c r="S469" s="334" t="n"/>
      <c r="T469" s="334" t="n"/>
      <c r="U469" s="334" t="n"/>
      <c r="V469" s="334" t="n"/>
      <c r="W469" s="334" t="n"/>
      <c r="X469" s="334" t="n"/>
      <c r="Y469" s="334" t="n"/>
      <c r="Z469" s="375">
        <f>IF(AND(G469&lt;&gt;"",R469&lt;&gt;"",V469&lt;&gt;"",W469&lt;&gt;""),"COMPLETADO","OBSERVADO")</f>
        <v/>
      </c>
    </row>
    <row r="470" ht="15" customHeight="1" s="195">
      <c r="A470" s="280" t="n"/>
      <c r="B470" s="280" t="n"/>
      <c r="C470" s="280" t="n"/>
      <c r="D470" s="280" t="n"/>
      <c r="E470" s="280" t="n"/>
      <c r="F470" s="280" t="n"/>
      <c r="G470" s="280" t="n"/>
      <c r="H470" s="280" t="n"/>
      <c r="I470" s="332">
        <f>IFERROR(VLOOKUP(TEXT(H470,"0"),IPRESS!$A$3:$B$212,2,0),"")</f>
        <v/>
      </c>
      <c r="J470" s="280" t="n"/>
      <c r="K470" s="332">
        <f>IFERROR(VLOOKUP(TEXT(O470,"0"),CONDUCTORES!$A$3:$G$54,7,0),"")</f>
        <v/>
      </c>
      <c r="L470" s="280" t="n"/>
      <c r="M470" s="280" t="n"/>
      <c r="N470" s="333">
        <f>IFERROR(IF(L470*M470=0,"",L470*M470),"")</f>
        <v/>
      </c>
      <c r="O470" s="280" t="n"/>
      <c r="P470" s="332">
        <f>IFERROR(VLOOKUP(TEXT(O470,"0"),CONDUCTORES!$A$3:$G$54,2,0),"")</f>
        <v/>
      </c>
      <c r="Q470" s="332">
        <f>IFERROR(VLOOKUP(TEXT(O470,"0"),CONDUCTORES!$A$3:$H$54,6,0),"")</f>
        <v/>
      </c>
      <c r="R470" s="280" t="n"/>
      <c r="S470" s="280" t="n"/>
      <c r="T470" s="280" t="n"/>
      <c r="U470" s="280" t="n"/>
      <c r="V470" s="280" t="n"/>
      <c r="W470" s="280" t="n"/>
      <c r="X470" s="280" t="n"/>
      <c r="Y470" s="280" t="n"/>
      <c r="Z470" s="375">
        <f>IF(AND(G470&lt;&gt;"",R470&lt;&gt;"",V470&lt;&gt;"",W470&lt;&gt;""),"COMPLETADO","OBSERVADO")</f>
        <v/>
      </c>
    </row>
    <row r="471" ht="15" customHeight="1" s="195">
      <c r="A471" s="334" t="n"/>
      <c r="B471" s="334" t="n"/>
      <c r="C471" s="334" t="n"/>
      <c r="D471" s="334" t="n"/>
      <c r="E471" s="334" t="n"/>
      <c r="F471" s="334" t="n"/>
      <c r="G471" s="334" t="n"/>
      <c r="H471" s="334" t="n"/>
      <c r="I471" s="332">
        <f>IFERROR(VLOOKUP(TEXT(H471,"0"),IPRESS!$A$3:$B$212,2,0),"")</f>
        <v/>
      </c>
      <c r="J471" s="334" t="n"/>
      <c r="K471" s="332">
        <f>IFERROR(VLOOKUP(TEXT(O471,"0"),CONDUCTORES!$A$3:$G$54,7,0),"")</f>
        <v/>
      </c>
      <c r="L471" s="334" t="n"/>
      <c r="M471" s="334" t="n"/>
      <c r="N471" s="333">
        <f>IFERROR(IF(L471*M471=0,"",L471*M471),"")</f>
        <v/>
      </c>
      <c r="O471" s="334" t="n"/>
      <c r="P471" s="332">
        <f>IFERROR(VLOOKUP(TEXT(O471,"0"),CONDUCTORES!$A$3:$G$54,2,0),"")</f>
        <v/>
      </c>
      <c r="Q471" s="332">
        <f>IFERROR(VLOOKUP(TEXT(O471,"0"),CONDUCTORES!$A$3:$H$54,6,0),"")</f>
        <v/>
      </c>
      <c r="R471" s="334" t="n"/>
      <c r="S471" s="334" t="n"/>
      <c r="T471" s="334" t="n"/>
      <c r="U471" s="334" t="n"/>
      <c r="V471" s="334" t="n"/>
      <c r="W471" s="334" t="n"/>
      <c r="X471" s="334" t="n"/>
      <c r="Y471" s="334" t="n"/>
      <c r="Z471" s="375">
        <f>IF(AND(G471&lt;&gt;"",R471&lt;&gt;"",V471&lt;&gt;"",W471&lt;&gt;""),"COMPLETADO","OBSERVADO")</f>
        <v/>
      </c>
    </row>
    <row r="472" ht="15" customHeight="1" s="195">
      <c r="A472" s="280" t="n"/>
      <c r="B472" s="280" t="n"/>
      <c r="C472" s="280" t="n"/>
      <c r="D472" s="280" t="n"/>
      <c r="E472" s="280" t="n"/>
      <c r="F472" s="280" t="n"/>
      <c r="G472" s="280" t="n"/>
      <c r="H472" s="280" t="n"/>
      <c r="I472" s="332">
        <f>IFERROR(VLOOKUP(TEXT(H472,"0"),IPRESS!$A$3:$B$212,2,0),"")</f>
        <v/>
      </c>
      <c r="J472" s="280" t="n"/>
      <c r="K472" s="332">
        <f>IFERROR(VLOOKUP(TEXT(O472,"0"),CONDUCTORES!$A$3:$G$54,7,0),"")</f>
        <v/>
      </c>
      <c r="L472" s="280" t="n"/>
      <c r="M472" s="280" t="n"/>
      <c r="N472" s="333">
        <f>IFERROR(IF(L472*M472=0,"",L472*M472),"")</f>
        <v/>
      </c>
      <c r="O472" s="280" t="n"/>
      <c r="P472" s="332">
        <f>IFERROR(VLOOKUP(TEXT(O472,"0"),CONDUCTORES!$A$3:$G$54,2,0),"")</f>
        <v/>
      </c>
      <c r="Q472" s="332">
        <f>IFERROR(VLOOKUP(TEXT(O472,"0"),CONDUCTORES!$A$3:$H$54,6,0),"")</f>
        <v/>
      </c>
      <c r="R472" s="280" t="n"/>
      <c r="S472" s="280" t="n"/>
      <c r="T472" s="280" t="n"/>
      <c r="U472" s="280" t="n"/>
      <c r="V472" s="280" t="n"/>
      <c r="W472" s="280" t="n"/>
      <c r="X472" s="280" t="n"/>
      <c r="Y472" s="280" t="n"/>
      <c r="Z472" s="375">
        <f>IF(AND(G472&lt;&gt;"",R472&lt;&gt;"",V472&lt;&gt;"",W472&lt;&gt;""),"COMPLETADO","OBSERVADO")</f>
        <v/>
      </c>
    </row>
    <row r="473" ht="15" customHeight="1" s="195">
      <c r="A473" s="334" t="n"/>
      <c r="B473" s="334" t="n"/>
      <c r="C473" s="334" t="n"/>
      <c r="D473" s="334" t="n"/>
      <c r="E473" s="334" t="n"/>
      <c r="F473" s="334" t="n"/>
      <c r="G473" s="334" t="n"/>
      <c r="H473" s="334" t="n"/>
      <c r="I473" s="332">
        <f>IFERROR(VLOOKUP(TEXT(H473,"0"),IPRESS!$A$3:$B$212,2,0),"")</f>
        <v/>
      </c>
      <c r="J473" s="334" t="n"/>
      <c r="K473" s="332">
        <f>IFERROR(VLOOKUP(TEXT(O473,"0"),CONDUCTORES!$A$3:$G$54,7,0),"")</f>
        <v/>
      </c>
      <c r="L473" s="334" t="n"/>
      <c r="M473" s="334" t="n"/>
      <c r="N473" s="333">
        <f>IFERROR(IF(L473*M473=0,"",L473*M473),"")</f>
        <v/>
      </c>
      <c r="O473" s="334" t="n"/>
      <c r="P473" s="332">
        <f>IFERROR(VLOOKUP(TEXT(O473,"0"),CONDUCTORES!$A$3:$G$54,2,0),"")</f>
        <v/>
      </c>
      <c r="Q473" s="332">
        <f>IFERROR(VLOOKUP(TEXT(O473,"0"),CONDUCTORES!$A$3:$H$54,6,0),"")</f>
        <v/>
      </c>
      <c r="R473" s="334" t="n"/>
      <c r="S473" s="334" t="n"/>
      <c r="T473" s="334" t="n"/>
      <c r="U473" s="334" t="n"/>
      <c r="V473" s="334" t="n"/>
      <c r="W473" s="334" t="n"/>
      <c r="X473" s="334" t="n"/>
      <c r="Y473" s="334" t="n"/>
      <c r="Z473" s="375">
        <f>IF(AND(G473&lt;&gt;"",R473&lt;&gt;"",V473&lt;&gt;"",W473&lt;&gt;""),"COMPLETADO","OBSERVADO")</f>
        <v/>
      </c>
    </row>
    <row r="474" ht="15" customHeight="1" s="195">
      <c r="A474" s="280" t="n"/>
      <c r="B474" s="280" t="n"/>
      <c r="C474" s="280" t="n"/>
      <c r="D474" s="280" t="n"/>
      <c r="E474" s="280" t="n"/>
      <c r="F474" s="280" t="n"/>
      <c r="G474" s="280" t="n"/>
      <c r="H474" s="280" t="n"/>
      <c r="I474" s="332">
        <f>IFERROR(VLOOKUP(TEXT(H474,"0"),IPRESS!$A$3:$B$212,2,0),"")</f>
        <v/>
      </c>
      <c r="J474" s="280" t="n"/>
      <c r="K474" s="332">
        <f>IFERROR(VLOOKUP(TEXT(O474,"0"),CONDUCTORES!$A$3:$G$54,7,0),"")</f>
        <v/>
      </c>
      <c r="L474" s="280" t="n"/>
      <c r="M474" s="280" t="n"/>
      <c r="N474" s="333">
        <f>IFERROR(IF(L474*M474=0,"",L474*M474),"")</f>
        <v/>
      </c>
      <c r="O474" s="280" t="n"/>
      <c r="P474" s="332">
        <f>IFERROR(VLOOKUP(TEXT(O474,"0"),CONDUCTORES!$A$3:$G$54,2,0),"")</f>
        <v/>
      </c>
      <c r="Q474" s="332">
        <f>IFERROR(VLOOKUP(TEXT(O474,"0"),CONDUCTORES!$A$3:$H$54,6,0),"")</f>
        <v/>
      </c>
      <c r="R474" s="280" t="n"/>
      <c r="S474" s="280" t="n"/>
      <c r="T474" s="280" t="n"/>
      <c r="U474" s="280" t="n"/>
      <c r="V474" s="280" t="n"/>
      <c r="W474" s="280" t="n"/>
      <c r="X474" s="280" t="n"/>
      <c r="Y474" s="280" t="n"/>
      <c r="Z474" s="375">
        <f>IF(AND(G474&lt;&gt;"",R474&lt;&gt;"",V474&lt;&gt;"",W474&lt;&gt;""),"COMPLETADO","OBSERVADO")</f>
        <v/>
      </c>
    </row>
    <row r="475" ht="15" customHeight="1" s="195">
      <c r="A475" s="334" t="n"/>
      <c r="B475" s="334" t="n"/>
      <c r="C475" s="334" t="n"/>
      <c r="D475" s="334" t="n"/>
      <c r="E475" s="334" t="n"/>
      <c r="F475" s="334" t="n"/>
      <c r="G475" s="334" t="n"/>
      <c r="H475" s="334" t="n"/>
      <c r="I475" s="332">
        <f>IFERROR(VLOOKUP(TEXT(H475,"0"),IPRESS!$A$3:$B$212,2,0),"")</f>
        <v/>
      </c>
      <c r="J475" s="334" t="n"/>
      <c r="K475" s="332">
        <f>IFERROR(VLOOKUP(TEXT(O475,"0"),CONDUCTORES!$A$3:$G$54,7,0),"")</f>
        <v/>
      </c>
      <c r="L475" s="334" t="n"/>
      <c r="M475" s="334" t="n"/>
      <c r="N475" s="333">
        <f>IFERROR(IF(L475*M475=0,"",L475*M475),"")</f>
        <v/>
      </c>
      <c r="O475" s="334" t="n"/>
      <c r="P475" s="332">
        <f>IFERROR(VLOOKUP(TEXT(O475,"0"),CONDUCTORES!$A$3:$G$54,2,0),"")</f>
        <v/>
      </c>
      <c r="Q475" s="332">
        <f>IFERROR(VLOOKUP(TEXT(O475,"0"),CONDUCTORES!$A$3:$H$54,6,0),"")</f>
        <v/>
      </c>
      <c r="R475" s="334" t="n"/>
      <c r="S475" s="334" t="n"/>
      <c r="T475" s="334" t="n"/>
      <c r="U475" s="334" t="n"/>
      <c r="V475" s="334" t="n"/>
      <c r="W475" s="334" t="n"/>
      <c r="X475" s="334" t="n"/>
      <c r="Y475" s="334" t="n"/>
      <c r="Z475" s="375">
        <f>IF(AND(G475&lt;&gt;"",R475&lt;&gt;"",V475&lt;&gt;"",W475&lt;&gt;""),"COMPLETADO","OBSERVADO")</f>
        <v/>
      </c>
    </row>
    <row r="476" ht="15" customHeight="1" s="195">
      <c r="A476" s="280" t="n"/>
      <c r="B476" s="280" t="n"/>
      <c r="C476" s="280" t="n"/>
      <c r="D476" s="280" t="n"/>
      <c r="E476" s="280" t="n"/>
      <c r="F476" s="280" t="n"/>
      <c r="G476" s="280" t="n"/>
      <c r="H476" s="280" t="n"/>
      <c r="I476" s="332">
        <f>IFERROR(VLOOKUP(TEXT(H476,"0"),IPRESS!$A$3:$B$212,2,0),"")</f>
        <v/>
      </c>
      <c r="J476" s="280" t="n"/>
      <c r="K476" s="332">
        <f>IFERROR(VLOOKUP(TEXT(O476,"0"),CONDUCTORES!$A$3:$G$54,7,0),"")</f>
        <v/>
      </c>
      <c r="L476" s="280" t="n"/>
      <c r="M476" s="280" t="n"/>
      <c r="N476" s="333">
        <f>IFERROR(IF(L476*M476=0,"",L476*M476),"")</f>
        <v/>
      </c>
      <c r="O476" s="280" t="n"/>
      <c r="P476" s="332">
        <f>IFERROR(VLOOKUP(TEXT(O476,"0"),CONDUCTORES!$A$3:$G$54,2,0),"")</f>
        <v/>
      </c>
      <c r="Q476" s="332">
        <f>IFERROR(VLOOKUP(TEXT(O476,"0"),CONDUCTORES!$A$3:$H$54,6,0),"")</f>
        <v/>
      </c>
      <c r="R476" s="280" t="n"/>
      <c r="S476" s="280" t="n"/>
      <c r="T476" s="280" t="n"/>
      <c r="U476" s="280" t="n"/>
      <c r="V476" s="280" t="n"/>
      <c r="W476" s="280" t="n"/>
      <c r="X476" s="280" t="n"/>
      <c r="Y476" s="280" t="n"/>
      <c r="Z476" s="375">
        <f>IF(AND(G476&lt;&gt;"",R476&lt;&gt;"",V476&lt;&gt;"",W476&lt;&gt;""),"COMPLETADO","OBSERVADO")</f>
        <v/>
      </c>
    </row>
    <row r="477" ht="15" customHeight="1" s="195">
      <c r="A477" s="334" t="n"/>
      <c r="B477" s="334" t="n"/>
      <c r="C477" s="334" t="n"/>
      <c r="D477" s="334" t="n"/>
      <c r="E477" s="334" t="n"/>
      <c r="F477" s="334" t="n"/>
      <c r="G477" s="334" t="n"/>
      <c r="H477" s="334" t="n"/>
      <c r="I477" s="332">
        <f>IFERROR(VLOOKUP(TEXT(H477,"0"),IPRESS!$A$3:$B$212,2,0),"")</f>
        <v/>
      </c>
      <c r="J477" s="334" t="n"/>
      <c r="K477" s="332">
        <f>IFERROR(VLOOKUP(TEXT(O477,"0"),CONDUCTORES!$A$3:$G$54,7,0),"")</f>
        <v/>
      </c>
      <c r="L477" s="334" t="n"/>
      <c r="M477" s="334" t="n"/>
      <c r="N477" s="333">
        <f>IFERROR(IF(L477*M477=0,"",L477*M477),"")</f>
        <v/>
      </c>
      <c r="O477" s="334" t="n"/>
      <c r="P477" s="332">
        <f>IFERROR(VLOOKUP(TEXT(O477,"0"),CONDUCTORES!$A$3:$G$54,2,0),"")</f>
        <v/>
      </c>
      <c r="Q477" s="332">
        <f>IFERROR(VLOOKUP(TEXT(O477,"0"),CONDUCTORES!$A$3:$H$54,6,0),"")</f>
        <v/>
      </c>
      <c r="R477" s="334" t="n"/>
      <c r="S477" s="334" t="n"/>
      <c r="T477" s="334" t="n"/>
      <c r="U477" s="334" t="n"/>
      <c r="V477" s="334" t="n"/>
      <c r="W477" s="334" t="n"/>
      <c r="X477" s="334" t="n"/>
      <c r="Y477" s="334" t="n"/>
      <c r="Z477" s="375">
        <f>IF(AND(G477&lt;&gt;"",R477&lt;&gt;"",V477&lt;&gt;"",W477&lt;&gt;""),"COMPLETADO","OBSERVADO")</f>
        <v/>
      </c>
    </row>
    <row r="478" ht="15" customHeight="1" s="195">
      <c r="A478" s="280" t="n"/>
      <c r="B478" s="280" t="n"/>
      <c r="C478" s="280" t="n"/>
      <c r="D478" s="280" t="n"/>
      <c r="E478" s="280" t="n"/>
      <c r="F478" s="280" t="n"/>
      <c r="G478" s="280" t="n"/>
      <c r="H478" s="280" t="n"/>
      <c r="I478" s="332">
        <f>IFERROR(VLOOKUP(TEXT(H478,"0"),IPRESS!$A$3:$B$212,2,0),"")</f>
        <v/>
      </c>
      <c r="J478" s="280" t="n"/>
      <c r="K478" s="332">
        <f>IFERROR(VLOOKUP(TEXT(O478,"0"),CONDUCTORES!$A$3:$G$54,7,0),"")</f>
        <v/>
      </c>
      <c r="L478" s="280" t="n"/>
      <c r="M478" s="280" t="n"/>
      <c r="N478" s="333">
        <f>IFERROR(IF(L478*M478=0,"",L478*M478),"")</f>
        <v/>
      </c>
      <c r="O478" s="280" t="n"/>
      <c r="P478" s="332">
        <f>IFERROR(VLOOKUP(TEXT(O478,"0"),CONDUCTORES!$A$3:$G$54,2,0),"")</f>
        <v/>
      </c>
      <c r="Q478" s="332">
        <f>IFERROR(VLOOKUP(TEXT(O478,"0"),CONDUCTORES!$A$3:$H$54,6,0),"")</f>
        <v/>
      </c>
      <c r="R478" s="280" t="n"/>
      <c r="S478" s="280" t="n"/>
      <c r="T478" s="280" t="n"/>
      <c r="U478" s="280" t="n"/>
      <c r="V478" s="280" t="n"/>
      <c r="W478" s="280" t="n"/>
      <c r="X478" s="280" t="n"/>
      <c r="Y478" s="280" t="n"/>
      <c r="Z478" s="375">
        <f>IF(AND(G478&lt;&gt;"",R478&lt;&gt;"",V478&lt;&gt;"",W478&lt;&gt;""),"COMPLETADO","OBSERVADO")</f>
        <v/>
      </c>
    </row>
    <row r="479" ht="15" customHeight="1" s="195">
      <c r="A479" s="334" t="n"/>
      <c r="B479" s="334" t="n"/>
      <c r="C479" s="334" t="n"/>
      <c r="D479" s="334" t="n"/>
      <c r="E479" s="334" t="n"/>
      <c r="F479" s="334" t="n"/>
      <c r="G479" s="334" t="n"/>
      <c r="H479" s="334" t="n"/>
      <c r="I479" s="332">
        <f>IFERROR(VLOOKUP(TEXT(H479,"0"),IPRESS!$A$3:$B$212,2,0),"")</f>
        <v/>
      </c>
      <c r="J479" s="334" t="n"/>
      <c r="K479" s="332">
        <f>IFERROR(VLOOKUP(TEXT(O479,"0"),CONDUCTORES!$A$3:$G$54,7,0),"")</f>
        <v/>
      </c>
      <c r="L479" s="334" t="n"/>
      <c r="M479" s="334" t="n"/>
      <c r="N479" s="333">
        <f>IFERROR(IF(L479*M479=0,"",L479*M479),"")</f>
        <v/>
      </c>
      <c r="O479" s="334" t="n"/>
      <c r="P479" s="332">
        <f>IFERROR(VLOOKUP(TEXT(O479,"0"),CONDUCTORES!$A$3:$G$54,2,0),"")</f>
        <v/>
      </c>
      <c r="Q479" s="332">
        <f>IFERROR(VLOOKUP(TEXT(O479,"0"),CONDUCTORES!$A$3:$H$54,6,0),"")</f>
        <v/>
      </c>
      <c r="R479" s="334" t="n"/>
      <c r="S479" s="334" t="n"/>
      <c r="T479" s="334" t="n"/>
      <c r="U479" s="334" t="n"/>
      <c r="V479" s="334" t="n"/>
      <c r="W479" s="334" t="n"/>
      <c r="X479" s="334" t="n"/>
      <c r="Y479" s="334" t="n"/>
      <c r="Z479" s="375">
        <f>IF(AND(G479&lt;&gt;"",R479&lt;&gt;"",V479&lt;&gt;"",W479&lt;&gt;""),"COMPLETADO","OBSERVADO")</f>
        <v/>
      </c>
    </row>
    <row r="480" ht="15" customHeight="1" s="195">
      <c r="A480" s="280" t="n"/>
      <c r="B480" s="280" t="n"/>
      <c r="C480" s="280" t="n"/>
      <c r="D480" s="280" t="n"/>
      <c r="E480" s="280" t="n"/>
      <c r="F480" s="280" t="n"/>
      <c r="G480" s="280" t="n"/>
      <c r="H480" s="280" t="n"/>
      <c r="I480" s="332">
        <f>IFERROR(VLOOKUP(TEXT(H480,"0"),IPRESS!$A$3:$B$212,2,0),"")</f>
        <v/>
      </c>
      <c r="J480" s="280" t="n"/>
      <c r="K480" s="332">
        <f>IFERROR(VLOOKUP(TEXT(O480,"0"),CONDUCTORES!$A$3:$G$54,7,0),"")</f>
        <v/>
      </c>
      <c r="L480" s="280" t="n"/>
      <c r="M480" s="280" t="n"/>
      <c r="N480" s="333">
        <f>IFERROR(IF(L480*M480=0,"",L480*M480),"")</f>
        <v/>
      </c>
      <c r="O480" s="280" t="n"/>
      <c r="P480" s="332">
        <f>IFERROR(VLOOKUP(TEXT(O480,"0"),CONDUCTORES!$A$3:$G$54,2,0),"")</f>
        <v/>
      </c>
      <c r="Q480" s="332">
        <f>IFERROR(VLOOKUP(TEXT(O480,"0"),CONDUCTORES!$A$3:$H$54,6,0),"")</f>
        <v/>
      </c>
      <c r="R480" s="280" t="n"/>
      <c r="S480" s="280" t="n"/>
      <c r="T480" s="280" t="n"/>
      <c r="U480" s="280" t="n"/>
      <c r="V480" s="280" t="n"/>
      <c r="W480" s="280" t="n"/>
      <c r="X480" s="280" t="n"/>
      <c r="Y480" s="280" t="n"/>
      <c r="Z480" s="375">
        <f>IF(AND(G480&lt;&gt;"",R480&lt;&gt;"",V480&lt;&gt;"",W480&lt;&gt;""),"COMPLETADO","OBSERVADO")</f>
        <v/>
      </c>
    </row>
    <row r="481" ht="15" customHeight="1" s="195">
      <c r="A481" s="334" t="n"/>
      <c r="B481" s="334" t="n"/>
      <c r="C481" s="334" t="n"/>
      <c r="D481" s="334" t="n"/>
      <c r="E481" s="334" t="n"/>
      <c r="F481" s="334" t="n"/>
      <c r="G481" s="334" t="n"/>
      <c r="H481" s="334" t="n"/>
      <c r="I481" s="332">
        <f>IFERROR(VLOOKUP(TEXT(H481,"0"),IPRESS!$A$3:$B$212,2,0),"")</f>
        <v/>
      </c>
      <c r="J481" s="334" t="n"/>
      <c r="K481" s="332">
        <f>IFERROR(VLOOKUP(TEXT(O481,"0"),CONDUCTORES!$A$3:$G$54,7,0),"")</f>
        <v/>
      </c>
      <c r="L481" s="334" t="n"/>
      <c r="M481" s="334" t="n"/>
      <c r="N481" s="333">
        <f>IFERROR(IF(L481*M481=0,"",L481*M481),"")</f>
        <v/>
      </c>
      <c r="O481" s="334" t="n"/>
      <c r="P481" s="332">
        <f>IFERROR(VLOOKUP(TEXT(O481,"0"),CONDUCTORES!$A$3:$G$54,2,0),"")</f>
        <v/>
      </c>
      <c r="Q481" s="332">
        <f>IFERROR(VLOOKUP(TEXT(O481,"0"),CONDUCTORES!$A$3:$H$54,6,0),"")</f>
        <v/>
      </c>
      <c r="R481" s="334" t="n"/>
      <c r="S481" s="334" t="n"/>
      <c r="T481" s="334" t="n"/>
      <c r="U481" s="334" t="n"/>
      <c r="V481" s="334" t="n"/>
      <c r="W481" s="334" t="n"/>
      <c r="X481" s="334" t="n"/>
      <c r="Y481" s="334" t="n"/>
      <c r="Z481" s="375">
        <f>IF(AND(G481&lt;&gt;"",R481&lt;&gt;"",V481&lt;&gt;"",W481&lt;&gt;""),"COMPLETADO","OBSERVADO")</f>
        <v/>
      </c>
    </row>
    <row r="482" ht="15" customHeight="1" s="195">
      <c r="A482" s="280" t="n"/>
      <c r="B482" s="280" t="n"/>
      <c r="C482" s="280" t="n"/>
      <c r="D482" s="280" t="n"/>
      <c r="E482" s="280" t="n"/>
      <c r="F482" s="280" t="n"/>
      <c r="G482" s="280" t="n"/>
      <c r="H482" s="280" t="n"/>
      <c r="I482" s="332">
        <f>IFERROR(VLOOKUP(TEXT(H482,"0"),IPRESS!$A$3:$B$212,2,0),"")</f>
        <v/>
      </c>
      <c r="J482" s="280" t="n"/>
      <c r="K482" s="332">
        <f>IFERROR(VLOOKUP(TEXT(O482,"0"),CONDUCTORES!$A$3:$G$54,7,0),"")</f>
        <v/>
      </c>
      <c r="L482" s="280" t="n"/>
      <c r="M482" s="280" t="n"/>
      <c r="N482" s="333">
        <f>IFERROR(IF(L482*M482=0,"",L482*M482),"")</f>
        <v/>
      </c>
      <c r="O482" s="280" t="n"/>
      <c r="P482" s="332">
        <f>IFERROR(VLOOKUP(TEXT(O482,"0"),CONDUCTORES!$A$3:$G$54,2,0),"")</f>
        <v/>
      </c>
      <c r="Q482" s="332">
        <f>IFERROR(VLOOKUP(TEXT(O482,"0"),CONDUCTORES!$A$3:$H$54,6,0),"")</f>
        <v/>
      </c>
      <c r="R482" s="280" t="n"/>
      <c r="S482" s="280" t="n"/>
      <c r="T482" s="280" t="n"/>
      <c r="U482" s="280" t="n"/>
      <c r="V482" s="280" t="n"/>
      <c r="W482" s="280" t="n"/>
      <c r="X482" s="280" t="n"/>
      <c r="Y482" s="280" t="n"/>
      <c r="Z482" s="375">
        <f>IF(AND(G482&lt;&gt;"",R482&lt;&gt;"",V482&lt;&gt;"",W482&lt;&gt;""),"COMPLETADO","OBSERVADO")</f>
        <v/>
      </c>
    </row>
    <row r="483" ht="15" customHeight="1" s="195">
      <c r="A483" s="334" t="n"/>
      <c r="B483" s="334" t="n"/>
      <c r="C483" s="334" t="n"/>
      <c r="D483" s="334" t="n"/>
      <c r="E483" s="334" t="n"/>
      <c r="F483" s="334" t="n"/>
      <c r="G483" s="334" t="n"/>
      <c r="H483" s="334" t="n"/>
      <c r="I483" s="332">
        <f>IFERROR(VLOOKUP(TEXT(H483,"0"),IPRESS!$A$3:$B$212,2,0),"")</f>
        <v/>
      </c>
      <c r="J483" s="334" t="n"/>
      <c r="K483" s="332">
        <f>IFERROR(VLOOKUP(TEXT(O483,"0"),CONDUCTORES!$A$3:$G$54,7,0),"")</f>
        <v/>
      </c>
      <c r="L483" s="334" t="n"/>
      <c r="M483" s="334" t="n"/>
      <c r="N483" s="333">
        <f>IFERROR(IF(L483*M483=0,"",L483*M483),"")</f>
        <v/>
      </c>
      <c r="O483" s="334" t="n"/>
      <c r="P483" s="332">
        <f>IFERROR(VLOOKUP(TEXT(O483,"0"),CONDUCTORES!$A$3:$G$54,2,0),"")</f>
        <v/>
      </c>
      <c r="Q483" s="332">
        <f>IFERROR(VLOOKUP(TEXT(O483,"0"),CONDUCTORES!$A$3:$H$54,6,0),"")</f>
        <v/>
      </c>
      <c r="R483" s="334" t="n"/>
      <c r="S483" s="334" t="n"/>
      <c r="T483" s="334" t="n"/>
      <c r="U483" s="334" t="n"/>
      <c r="V483" s="334" t="n"/>
      <c r="W483" s="334" t="n"/>
      <c r="X483" s="334" t="n"/>
      <c r="Y483" s="334" t="n"/>
      <c r="Z483" s="375">
        <f>IF(AND(G483&lt;&gt;"",R483&lt;&gt;"",V483&lt;&gt;"",W483&lt;&gt;""),"COMPLETADO","OBSERVADO")</f>
        <v/>
      </c>
    </row>
    <row r="484" ht="15" customHeight="1" s="195">
      <c r="A484" s="280" t="n"/>
      <c r="B484" s="280" t="n"/>
      <c r="C484" s="280" t="n"/>
      <c r="D484" s="280" t="n"/>
      <c r="E484" s="280" t="n"/>
      <c r="F484" s="280" t="n"/>
      <c r="G484" s="280" t="n"/>
      <c r="H484" s="280" t="n"/>
      <c r="I484" s="332">
        <f>IFERROR(VLOOKUP(TEXT(H484,"0"),IPRESS!$A$3:$B$212,2,0),"")</f>
        <v/>
      </c>
      <c r="J484" s="280" t="n"/>
      <c r="K484" s="332">
        <f>IFERROR(VLOOKUP(TEXT(O484,"0"),CONDUCTORES!$A$3:$G$54,7,0),"")</f>
        <v/>
      </c>
      <c r="L484" s="280" t="n"/>
      <c r="M484" s="280" t="n"/>
      <c r="N484" s="333">
        <f>IFERROR(IF(L484*M484=0,"",L484*M484),"")</f>
        <v/>
      </c>
      <c r="O484" s="280" t="n"/>
      <c r="P484" s="332">
        <f>IFERROR(VLOOKUP(TEXT(O484,"0"),CONDUCTORES!$A$3:$G$54,2,0),"")</f>
        <v/>
      </c>
      <c r="Q484" s="332">
        <f>IFERROR(VLOOKUP(TEXT(O484,"0"),CONDUCTORES!$A$3:$H$54,6,0),"")</f>
        <v/>
      </c>
      <c r="R484" s="280" t="n"/>
      <c r="S484" s="280" t="n"/>
      <c r="T484" s="280" t="n"/>
      <c r="U484" s="280" t="n"/>
      <c r="V484" s="280" t="n"/>
      <c r="W484" s="280" t="n"/>
      <c r="X484" s="280" t="n"/>
      <c r="Y484" s="280" t="n"/>
      <c r="Z484" s="375">
        <f>IF(AND(G484&lt;&gt;"",R484&lt;&gt;"",V484&lt;&gt;"",W484&lt;&gt;""),"COMPLETADO","OBSERVADO")</f>
        <v/>
      </c>
    </row>
    <row r="485" ht="15" customHeight="1" s="195">
      <c r="A485" s="334" t="n"/>
      <c r="B485" s="334" t="n"/>
      <c r="C485" s="334" t="n"/>
      <c r="D485" s="334" t="n"/>
      <c r="E485" s="334" t="n"/>
      <c r="F485" s="334" t="n"/>
      <c r="G485" s="334" t="n"/>
      <c r="H485" s="334" t="n"/>
      <c r="I485" s="332">
        <f>IFERROR(VLOOKUP(TEXT(H485,"0"),IPRESS!$A$3:$B$212,2,0),"")</f>
        <v/>
      </c>
      <c r="J485" s="334" t="n"/>
      <c r="K485" s="332">
        <f>IFERROR(VLOOKUP(TEXT(O485,"0"),CONDUCTORES!$A$3:$G$54,7,0),"")</f>
        <v/>
      </c>
      <c r="L485" s="334" t="n"/>
      <c r="M485" s="334" t="n"/>
      <c r="N485" s="333">
        <f>IFERROR(IF(L485*M485=0,"",L485*M485),"")</f>
        <v/>
      </c>
      <c r="O485" s="334" t="n"/>
      <c r="P485" s="332">
        <f>IFERROR(VLOOKUP(TEXT(O485,"0"),CONDUCTORES!$A$3:$G$54,2,0),"")</f>
        <v/>
      </c>
      <c r="Q485" s="332">
        <f>IFERROR(VLOOKUP(TEXT(O485,"0"),CONDUCTORES!$A$3:$H$54,6,0),"")</f>
        <v/>
      </c>
      <c r="R485" s="334" t="n"/>
      <c r="S485" s="334" t="n"/>
      <c r="T485" s="334" t="n"/>
      <c r="U485" s="334" t="n"/>
      <c r="V485" s="334" t="n"/>
      <c r="W485" s="334" t="n"/>
      <c r="X485" s="334" t="n"/>
      <c r="Y485" s="334" t="n"/>
      <c r="Z485" s="375">
        <f>IF(AND(G485&lt;&gt;"",R485&lt;&gt;"",V485&lt;&gt;"",W485&lt;&gt;""),"COMPLETADO","OBSERVADO")</f>
        <v/>
      </c>
    </row>
    <row r="486" ht="15" customHeight="1" s="195">
      <c r="A486" s="280" t="n"/>
      <c r="B486" s="280" t="n"/>
      <c r="C486" s="280" t="n"/>
      <c r="D486" s="280" t="n"/>
      <c r="E486" s="280" t="n"/>
      <c r="F486" s="280" t="n"/>
      <c r="G486" s="280" t="n"/>
      <c r="H486" s="280" t="n"/>
      <c r="I486" s="332">
        <f>IFERROR(VLOOKUP(TEXT(H486,"0"),IPRESS!$A$3:$B$212,2,0),"")</f>
        <v/>
      </c>
      <c r="J486" s="280" t="n"/>
      <c r="K486" s="332">
        <f>IFERROR(VLOOKUP(TEXT(O486,"0"),CONDUCTORES!$A$3:$G$54,7,0),"")</f>
        <v/>
      </c>
      <c r="L486" s="280" t="n"/>
      <c r="M486" s="280" t="n"/>
      <c r="N486" s="333">
        <f>IFERROR(IF(L486*M486=0,"",L486*M486),"")</f>
        <v/>
      </c>
      <c r="O486" s="280" t="n"/>
      <c r="P486" s="332">
        <f>IFERROR(VLOOKUP(TEXT(O486,"0"),CONDUCTORES!$A$3:$G$54,2,0),"")</f>
        <v/>
      </c>
      <c r="Q486" s="332">
        <f>IFERROR(VLOOKUP(TEXT(O486,"0"),CONDUCTORES!$A$3:$H$54,6,0),"")</f>
        <v/>
      </c>
      <c r="R486" s="280" t="n"/>
      <c r="S486" s="280" t="n"/>
      <c r="T486" s="280" t="n"/>
      <c r="U486" s="280" t="n"/>
      <c r="V486" s="280" t="n"/>
      <c r="W486" s="280" t="n"/>
      <c r="X486" s="280" t="n"/>
      <c r="Y486" s="280" t="n"/>
      <c r="Z486" s="375">
        <f>IF(AND(G486&lt;&gt;"",R486&lt;&gt;"",V486&lt;&gt;"",W486&lt;&gt;""),"COMPLETADO","OBSERVADO")</f>
        <v/>
      </c>
    </row>
    <row r="487" ht="15" customHeight="1" s="195">
      <c r="A487" s="334" t="n"/>
      <c r="B487" s="334" t="n"/>
      <c r="C487" s="334" t="n"/>
      <c r="D487" s="334" t="n"/>
      <c r="E487" s="334" t="n"/>
      <c r="F487" s="334" t="n"/>
      <c r="G487" s="334" t="n"/>
      <c r="H487" s="334" t="n"/>
      <c r="I487" s="332">
        <f>IFERROR(VLOOKUP(TEXT(H487,"0"),IPRESS!$A$3:$B$212,2,0),"")</f>
        <v/>
      </c>
      <c r="J487" s="334" t="n"/>
      <c r="K487" s="332">
        <f>IFERROR(VLOOKUP(TEXT(O487,"0"),CONDUCTORES!$A$3:$G$54,7,0),"")</f>
        <v/>
      </c>
      <c r="L487" s="334" t="n"/>
      <c r="M487" s="334" t="n"/>
      <c r="N487" s="333">
        <f>IFERROR(IF(L487*M487=0,"",L487*M487),"")</f>
        <v/>
      </c>
      <c r="O487" s="334" t="n"/>
      <c r="P487" s="332">
        <f>IFERROR(VLOOKUP(TEXT(O487,"0"),CONDUCTORES!$A$3:$G$54,2,0),"")</f>
        <v/>
      </c>
      <c r="Q487" s="332">
        <f>IFERROR(VLOOKUP(TEXT(O487,"0"),CONDUCTORES!$A$3:$H$54,6,0),"")</f>
        <v/>
      </c>
      <c r="R487" s="334" t="n"/>
      <c r="S487" s="334" t="n"/>
      <c r="T487" s="334" t="n"/>
      <c r="U487" s="334" t="n"/>
      <c r="V487" s="334" t="n"/>
      <c r="W487" s="334" t="n"/>
      <c r="X487" s="334" t="n"/>
      <c r="Y487" s="334" t="n"/>
      <c r="Z487" s="375">
        <f>IF(AND(G487&lt;&gt;"",R487&lt;&gt;"",V487&lt;&gt;"",W487&lt;&gt;""),"COMPLETADO","OBSERVADO")</f>
        <v/>
      </c>
    </row>
    <row r="488" ht="15" customHeight="1" s="195">
      <c r="A488" s="280" t="n"/>
      <c r="B488" s="280" t="n"/>
      <c r="C488" s="280" t="n"/>
      <c r="D488" s="280" t="n"/>
      <c r="E488" s="280" t="n"/>
      <c r="F488" s="280" t="n"/>
      <c r="G488" s="280" t="n"/>
      <c r="H488" s="280" t="n"/>
      <c r="I488" s="332">
        <f>IFERROR(VLOOKUP(TEXT(H488,"0"),IPRESS!$A$3:$B$212,2,0),"")</f>
        <v/>
      </c>
      <c r="J488" s="280" t="n"/>
      <c r="K488" s="332">
        <f>IFERROR(VLOOKUP(TEXT(O488,"0"),CONDUCTORES!$A$3:$G$54,7,0),"")</f>
        <v/>
      </c>
      <c r="L488" s="280" t="n"/>
      <c r="M488" s="280" t="n"/>
      <c r="N488" s="333">
        <f>IFERROR(IF(L488*M488=0,"",L488*M488),"")</f>
        <v/>
      </c>
      <c r="O488" s="280" t="n"/>
      <c r="P488" s="332">
        <f>IFERROR(VLOOKUP(TEXT(O488,"0"),CONDUCTORES!$A$3:$G$54,2,0),"")</f>
        <v/>
      </c>
      <c r="Q488" s="332">
        <f>IFERROR(VLOOKUP(TEXT(O488,"0"),CONDUCTORES!$A$3:$H$54,6,0),"")</f>
        <v/>
      </c>
      <c r="R488" s="280" t="n"/>
      <c r="S488" s="280" t="n"/>
      <c r="T488" s="280" t="n"/>
      <c r="U488" s="280" t="n"/>
      <c r="V488" s="280" t="n"/>
      <c r="W488" s="280" t="n"/>
      <c r="X488" s="280" t="n"/>
      <c r="Y488" s="280" t="n"/>
      <c r="Z488" s="375">
        <f>IF(AND(G488&lt;&gt;"",R488&lt;&gt;"",V488&lt;&gt;"",W488&lt;&gt;""),"COMPLETADO","OBSERVADO")</f>
        <v/>
      </c>
    </row>
    <row r="489" ht="15" customHeight="1" s="195">
      <c r="A489" s="334" t="n"/>
      <c r="B489" s="334" t="n"/>
      <c r="C489" s="334" t="n"/>
      <c r="D489" s="334" t="n"/>
      <c r="E489" s="334" t="n"/>
      <c r="F489" s="334" t="n"/>
      <c r="G489" s="334" t="n"/>
      <c r="H489" s="334" t="n"/>
      <c r="I489" s="332">
        <f>IFERROR(VLOOKUP(TEXT(H489,"0"),IPRESS!$A$3:$B$212,2,0),"")</f>
        <v/>
      </c>
      <c r="J489" s="334" t="n"/>
      <c r="K489" s="332">
        <f>IFERROR(VLOOKUP(TEXT(O489,"0"),CONDUCTORES!$A$3:$G$54,7,0),"")</f>
        <v/>
      </c>
      <c r="L489" s="334" t="n"/>
      <c r="M489" s="334" t="n"/>
      <c r="N489" s="333">
        <f>IFERROR(IF(L489*M489=0,"",L489*M489),"")</f>
        <v/>
      </c>
      <c r="O489" s="334" t="n"/>
      <c r="P489" s="332">
        <f>IFERROR(VLOOKUP(TEXT(O489,"0"),CONDUCTORES!$A$3:$G$54,2,0),"")</f>
        <v/>
      </c>
      <c r="Q489" s="332">
        <f>IFERROR(VLOOKUP(TEXT(O489,"0"),CONDUCTORES!$A$3:$H$54,6,0),"")</f>
        <v/>
      </c>
      <c r="R489" s="334" t="n"/>
      <c r="S489" s="334" t="n"/>
      <c r="T489" s="334" t="n"/>
      <c r="U489" s="334" t="n"/>
      <c r="V489" s="334" t="n"/>
      <c r="W489" s="334" t="n"/>
      <c r="X489" s="334" t="n"/>
      <c r="Y489" s="334" t="n"/>
      <c r="Z489" s="375">
        <f>IF(AND(G489&lt;&gt;"",R489&lt;&gt;"",V489&lt;&gt;"",W489&lt;&gt;""),"COMPLETADO","OBSERVADO")</f>
        <v/>
      </c>
    </row>
    <row r="490" ht="15" customHeight="1" s="195">
      <c r="A490" s="280" t="n"/>
      <c r="B490" s="280" t="n"/>
      <c r="C490" s="280" t="n"/>
      <c r="D490" s="280" t="n"/>
      <c r="E490" s="280" t="n"/>
      <c r="F490" s="280" t="n"/>
      <c r="G490" s="280" t="n"/>
      <c r="H490" s="280" t="n"/>
      <c r="I490" s="332">
        <f>IFERROR(VLOOKUP(TEXT(H490,"0"),IPRESS!$A$3:$B$212,2,0),"")</f>
        <v/>
      </c>
      <c r="J490" s="280" t="n"/>
      <c r="K490" s="332">
        <f>IFERROR(VLOOKUP(TEXT(O490,"0"),CONDUCTORES!$A$3:$G$54,7,0),"")</f>
        <v/>
      </c>
      <c r="L490" s="280" t="n"/>
      <c r="M490" s="280" t="n"/>
      <c r="N490" s="333">
        <f>IFERROR(IF(L490*M490=0,"",L490*M490),"")</f>
        <v/>
      </c>
      <c r="O490" s="280" t="n"/>
      <c r="P490" s="332">
        <f>IFERROR(VLOOKUP(TEXT(O490,"0"),CONDUCTORES!$A$3:$G$54,2,0),"")</f>
        <v/>
      </c>
      <c r="Q490" s="332">
        <f>IFERROR(VLOOKUP(TEXT(O490,"0"),CONDUCTORES!$A$3:$H$54,6,0),"")</f>
        <v/>
      </c>
      <c r="R490" s="280" t="n"/>
      <c r="S490" s="280" t="n"/>
      <c r="T490" s="280" t="n"/>
      <c r="U490" s="280" t="n"/>
      <c r="V490" s="280" t="n"/>
      <c r="W490" s="280" t="n"/>
      <c r="X490" s="280" t="n"/>
      <c r="Y490" s="280" t="n"/>
      <c r="Z490" s="375">
        <f>IF(AND(G490&lt;&gt;"",R490&lt;&gt;"",V490&lt;&gt;"",W490&lt;&gt;""),"COMPLETADO","OBSERVADO")</f>
        <v/>
      </c>
    </row>
    <row r="491" ht="15" customHeight="1" s="195">
      <c r="A491" s="334" t="n"/>
      <c r="B491" s="334" t="n"/>
      <c r="C491" s="334" t="n"/>
      <c r="D491" s="334" t="n"/>
      <c r="E491" s="334" t="n"/>
      <c r="F491" s="334" t="n"/>
      <c r="G491" s="334" t="n"/>
      <c r="H491" s="334" t="n"/>
      <c r="I491" s="332">
        <f>IFERROR(VLOOKUP(TEXT(H491,"0"),IPRESS!$A$3:$B$212,2,0),"")</f>
        <v/>
      </c>
      <c r="J491" s="334" t="n"/>
      <c r="K491" s="332">
        <f>IFERROR(VLOOKUP(TEXT(O491,"0"),CONDUCTORES!$A$3:$G$54,7,0),"")</f>
        <v/>
      </c>
      <c r="L491" s="334" t="n"/>
      <c r="M491" s="334" t="n"/>
      <c r="N491" s="333">
        <f>IFERROR(IF(L491*M491=0,"",L491*M491),"")</f>
        <v/>
      </c>
      <c r="O491" s="334" t="n"/>
      <c r="P491" s="332">
        <f>IFERROR(VLOOKUP(TEXT(O491,"0"),CONDUCTORES!$A$3:$G$54,2,0),"")</f>
        <v/>
      </c>
      <c r="Q491" s="332">
        <f>IFERROR(VLOOKUP(TEXT(O491,"0"),CONDUCTORES!$A$3:$H$54,6,0),"")</f>
        <v/>
      </c>
      <c r="R491" s="334" t="n"/>
      <c r="S491" s="334" t="n"/>
      <c r="T491" s="334" t="n"/>
      <c r="U491" s="334" t="n"/>
      <c r="V491" s="334" t="n"/>
      <c r="W491" s="334" t="n"/>
      <c r="X491" s="334" t="n"/>
      <c r="Y491" s="334" t="n"/>
      <c r="Z491" s="375">
        <f>IF(AND(G491&lt;&gt;"",R491&lt;&gt;"",V491&lt;&gt;"",W491&lt;&gt;""),"COMPLETADO","OBSERVADO")</f>
        <v/>
      </c>
    </row>
    <row r="492" ht="15" customHeight="1" s="195">
      <c r="A492" s="280" t="n"/>
      <c r="B492" s="280" t="n"/>
      <c r="C492" s="280" t="n"/>
      <c r="D492" s="280" t="n"/>
      <c r="E492" s="280" t="n"/>
      <c r="F492" s="280" t="n"/>
      <c r="G492" s="280" t="n"/>
      <c r="H492" s="280" t="n"/>
      <c r="I492" s="332">
        <f>IFERROR(VLOOKUP(TEXT(H492,"0"),IPRESS!$A$3:$B$212,2,0),"")</f>
        <v/>
      </c>
      <c r="J492" s="280" t="n"/>
      <c r="K492" s="332">
        <f>IFERROR(VLOOKUP(TEXT(O492,"0"),CONDUCTORES!$A$3:$G$54,7,0),"")</f>
        <v/>
      </c>
      <c r="L492" s="280" t="n"/>
      <c r="M492" s="280" t="n"/>
      <c r="N492" s="333">
        <f>IFERROR(IF(L492*M492=0,"",L492*M492),"")</f>
        <v/>
      </c>
      <c r="O492" s="280" t="n"/>
      <c r="P492" s="332">
        <f>IFERROR(VLOOKUP(TEXT(O492,"0"),CONDUCTORES!$A$3:$G$54,2,0),"")</f>
        <v/>
      </c>
      <c r="Q492" s="332">
        <f>IFERROR(VLOOKUP(TEXT(O492,"0"),CONDUCTORES!$A$3:$H$54,6,0),"")</f>
        <v/>
      </c>
      <c r="R492" s="280" t="n"/>
      <c r="S492" s="280" t="n"/>
      <c r="T492" s="280" t="n"/>
      <c r="U492" s="280" t="n"/>
      <c r="V492" s="280" t="n"/>
      <c r="W492" s="280" t="n"/>
      <c r="X492" s="280" t="n"/>
      <c r="Y492" s="280" t="n"/>
      <c r="Z492" s="375">
        <f>IF(AND(G492&lt;&gt;"",R492&lt;&gt;"",V492&lt;&gt;"",W492&lt;&gt;""),"COMPLETADO","OBSERVADO")</f>
        <v/>
      </c>
    </row>
    <row r="493" ht="15" customHeight="1" s="195">
      <c r="A493" s="334" t="n"/>
      <c r="B493" s="334" t="n"/>
      <c r="C493" s="334" t="n"/>
      <c r="D493" s="334" t="n"/>
      <c r="E493" s="334" t="n"/>
      <c r="F493" s="334" t="n"/>
      <c r="G493" s="334" t="n"/>
      <c r="H493" s="334" t="n"/>
      <c r="I493" s="332">
        <f>IFERROR(VLOOKUP(TEXT(H493,"0"),IPRESS!$A$3:$B$212,2,0),"")</f>
        <v/>
      </c>
      <c r="J493" s="334" t="n"/>
      <c r="K493" s="332">
        <f>IFERROR(VLOOKUP(TEXT(O493,"0"),CONDUCTORES!$A$3:$G$54,7,0),"")</f>
        <v/>
      </c>
      <c r="L493" s="334" t="n"/>
      <c r="M493" s="334" t="n"/>
      <c r="N493" s="333">
        <f>IFERROR(IF(L493*M493=0,"",L493*M493),"")</f>
        <v/>
      </c>
      <c r="O493" s="334" t="n"/>
      <c r="P493" s="332">
        <f>IFERROR(VLOOKUP(TEXT(O493,"0"),CONDUCTORES!$A$3:$G$54,2,0),"")</f>
        <v/>
      </c>
      <c r="Q493" s="332">
        <f>IFERROR(VLOOKUP(TEXT(O493,"0"),CONDUCTORES!$A$3:$H$54,6,0),"")</f>
        <v/>
      </c>
      <c r="R493" s="334" t="n"/>
      <c r="S493" s="334" t="n"/>
      <c r="T493" s="334" t="n"/>
      <c r="U493" s="334" t="n"/>
      <c r="V493" s="334" t="n"/>
      <c r="W493" s="334" t="n"/>
      <c r="X493" s="334" t="n"/>
      <c r="Y493" s="334" t="n"/>
      <c r="Z493" s="375">
        <f>IF(AND(G493&lt;&gt;"",R493&lt;&gt;"",V493&lt;&gt;"",W493&lt;&gt;""),"COMPLETADO","OBSERVADO")</f>
        <v/>
      </c>
    </row>
    <row r="494" ht="15" customHeight="1" s="195">
      <c r="A494" s="280" t="n"/>
      <c r="B494" s="280" t="n"/>
      <c r="C494" s="280" t="n"/>
      <c r="D494" s="280" t="n"/>
      <c r="E494" s="280" t="n"/>
      <c r="F494" s="280" t="n"/>
      <c r="G494" s="280" t="n"/>
      <c r="H494" s="280" t="n"/>
      <c r="I494" s="332">
        <f>IFERROR(VLOOKUP(TEXT(H494,"0"),IPRESS!$A$3:$B$212,2,0),"")</f>
        <v/>
      </c>
      <c r="J494" s="280" t="n"/>
      <c r="K494" s="332">
        <f>IFERROR(VLOOKUP(TEXT(O494,"0"),CONDUCTORES!$A$3:$G$54,7,0),"")</f>
        <v/>
      </c>
      <c r="L494" s="280" t="n"/>
      <c r="M494" s="280" t="n"/>
      <c r="N494" s="333">
        <f>IFERROR(IF(L494*M494=0,"",L494*M494),"")</f>
        <v/>
      </c>
      <c r="O494" s="280" t="n"/>
      <c r="P494" s="332">
        <f>IFERROR(VLOOKUP(TEXT(O494,"0"),CONDUCTORES!$A$3:$G$54,2,0),"")</f>
        <v/>
      </c>
      <c r="Q494" s="332">
        <f>IFERROR(VLOOKUP(TEXT(O494,"0"),CONDUCTORES!$A$3:$H$54,6,0),"")</f>
        <v/>
      </c>
      <c r="R494" s="280" t="n"/>
      <c r="S494" s="280" t="n"/>
      <c r="T494" s="280" t="n"/>
      <c r="U494" s="280" t="n"/>
      <c r="V494" s="280" t="n"/>
      <c r="W494" s="280" t="n"/>
      <c r="X494" s="280" t="n"/>
      <c r="Y494" s="280" t="n"/>
      <c r="Z494" s="375">
        <f>IF(AND(G494&lt;&gt;"",R494&lt;&gt;"",V494&lt;&gt;"",W494&lt;&gt;""),"COMPLETADO","OBSERVADO")</f>
        <v/>
      </c>
    </row>
    <row r="495" ht="15" customHeight="1" s="195">
      <c r="A495" s="334" t="n"/>
      <c r="B495" s="334" t="n"/>
      <c r="C495" s="334" t="n"/>
      <c r="D495" s="334" t="n"/>
      <c r="E495" s="334" t="n"/>
      <c r="F495" s="334" t="n"/>
      <c r="G495" s="334" t="n"/>
      <c r="H495" s="334" t="n"/>
      <c r="I495" s="332">
        <f>IFERROR(VLOOKUP(TEXT(H495,"0"),IPRESS!$A$3:$B$212,2,0),"")</f>
        <v/>
      </c>
      <c r="J495" s="334" t="n"/>
      <c r="K495" s="332">
        <f>IFERROR(VLOOKUP(TEXT(O495,"0"),CONDUCTORES!$A$3:$G$54,7,0),"")</f>
        <v/>
      </c>
      <c r="L495" s="334" t="n"/>
      <c r="M495" s="334" t="n"/>
      <c r="N495" s="333">
        <f>IFERROR(IF(L495*M495=0,"",L495*M495),"")</f>
        <v/>
      </c>
      <c r="O495" s="334" t="n"/>
      <c r="P495" s="332">
        <f>IFERROR(VLOOKUP(TEXT(O495,"0"),CONDUCTORES!$A$3:$G$54,2,0),"")</f>
        <v/>
      </c>
      <c r="Q495" s="332">
        <f>IFERROR(VLOOKUP(TEXT(O495,"0"),CONDUCTORES!$A$3:$H$54,6,0),"")</f>
        <v/>
      </c>
      <c r="R495" s="334" t="n"/>
      <c r="S495" s="334" t="n"/>
      <c r="T495" s="334" t="n"/>
      <c r="U495" s="334" t="n"/>
      <c r="V495" s="334" t="n"/>
      <c r="W495" s="334" t="n"/>
      <c r="X495" s="334" t="n"/>
      <c r="Y495" s="334" t="n"/>
      <c r="Z495" s="375">
        <f>IF(AND(G495&lt;&gt;"",R495&lt;&gt;"",V495&lt;&gt;"",W495&lt;&gt;""),"COMPLETADO","OBSERVADO")</f>
        <v/>
      </c>
    </row>
    <row r="496" ht="15" customHeight="1" s="195">
      <c r="A496" s="280" t="n"/>
      <c r="B496" s="280" t="n"/>
      <c r="C496" s="280" t="n"/>
      <c r="D496" s="280" t="n"/>
      <c r="E496" s="280" t="n"/>
      <c r="F496" s="280" t="n"/>
      <c r="G496" s="280" t="n"/>
      <c r="H496" s="280" t="n"/>
      <c r="I496" s="332">
        <f>IFERROR(VLOOKUP(TEXT(H496,"0"),IPRESS!$A$3:$B$212,2,0),"")</f>
        <v/>
      </c>
      <c r="J496" s="280" t="n"/>
      <c r="K496" s="332">
        <f>IFERROR(VLOOKUP(TEXT(O496,"0"),CONDUCTORES!$A$3:$G$54,7,0),"")</f>
        <v/>
      </c>
      <c r="L496" s="280" t="n"/>
      <c r="M496" s="280" t="n"/>
      <c r="N496" s="333">
        <f>IFERROR(IF(L496*M496=0,"",L496*M496),"")</f>
        <v/>
      </c>
      <c r="O496" s="280" t="n"/>
      <c r="P496" s="332">
        <f>IFERROR(VLOOKUP(TEXT(O496,"0"),CONDUCTORES!$A$3:$G$54,2,0),"")</f>
        <v/>
      </c>
      <c r="Q496" s="332">
        <f>IFERROR(VLOOKUP(TEXT(O496,"0"),CONDUCTORES!$A$3:$H$54,6,0),"")</f>
        <v/>
      </c>
      <c r="R496" s="280" t="n"/>
      <c r="S496" s="280" t="n"/>
      <c r="T496" s="280" t="n"/>
      <c r="U496" s="280" t="n"/>
      <c r="V496" s="280" t="n"/>
      <c r="W496" s="280" t="n"/>
      <c r="X496" s="280" t="n"/>
      <c r="Y496" s="280" t="n"/>
      <c r="Z496" s="375">
        <f>IF(AND(G496&lt;&gt;"",R496&lt;&gt;"",V496&lt;&gt;"",W496&lt;&gt;""),"COMPLETADO","OBSERVADO")</f>
        <v/>
      </c>
    </row>
    <row r="497" ht="15" customHeight="1" s="195">
      <c r="A497" s="334" t="n"/>
      <c r="B497" s="334" t="n"/>
      <c r="C497" s="334" t="n"/>
      <c r="D497" s="334" t="n"/>
      <c r="E497" s="334" t="n"/>
      <c r="F497" s="334" t="n"/>
      <c r="G497" s="334" t="n"/>
      <c r="H497" s="334" t="n"/>
      <c r="I497" s="332">
        <f>IFERROR(VLOOKUP(TEXT(H497,"0"),IPRESS!$A$3:$B$212,2,0),"")</f>
        <v/>
      </c>
      <c r="J497" s="334" t="n"/>
      <c r="K497" s="332">
        <f>IFERROR(VLOOKUP(TEXT(O497,"0"),CONDUCTORES!$A$3:$G$54,7,0),"")</f>
        <v/>
      </c>
      <c r="L497" s="334" t="n"/>
      <c r="M497" s="334" t="n"/>
      <c r="N497" s="333">
        <f>IFERROR(IF(L497*M497=0,"",L497*M497),"")</f>
        <v/>
      </c>
      <c r="O497" s="334" t="n"/>
      <c r="P497" s="332">
        <f>IFERROR(VLOOKUP(TEXT(O497,"0"),CONDUCTORES!$A$3:$G$54,2,0),"")</f>
        <v/>
      </c>
      <c r="Q497" s="332">
        <f>IFERROR(VLOOKUP(TEXT(O497,"0"),CONDUCTORES!$A$3:$H$54,6,0),"")</f>
        <v/>
      </c>
      <c r="R497" s="334" t="n"/>
      <c r="S497" s="334" t="n"/>
      <c r="T497" s="334" t="n"/>
      <c r="U497" s="334" t="n"/>
      <c r="V497" s="334" t="n"/>
      <c r="W497" s="334" t="n"/>
      <c r="X497" s="334" t="n"/>
      <c r="Y497" s="334" t="n"/>
      <c r="Z497" s="375">
        <f>IF(AND(G497&lt;&gt;"",R497&lt;&gt;"",V497&lt;&gt;"",W497&lt;&gt;""),"COMPLETADO","OBSERVADO")</f>
        <v/>
      </c>
    </row>
    <row r="498" ht="15" customHeight="1" s="195">
      <c r="A498" s="280" t="n"/>
      <c r="B498" s="280" t="n"/>
      <c r="C498" s="280" t="n"/>
      <c r="D498" s="280" t="n"/>
      <c r="E498" s="280" t="n"/>
      <c r="F498" s="280" t="n"/>
      <c r="G498" s="280" t="n"/>
      <c r="H498" s="280" t="n"/>
      <c r="I498" s="332">
        <f>IFERROR(VLOOKUP(TEXT(H498,"0"),IPRESS!$A$3:$B$212,2,0),"")</f>
        <v/>
      </c>
      <c r="J498" s="280" t="n"/>
      <c r="K498" s="332">
        <f>IFERROR(VLOOKUP(TEXT(O498,"0"),CONDUCTORES!$A$3:$G$54,7,0),"")</f>
        <v/>
      </c>
      <c r="L498" s="280" t="n"/>
      <c r="M498" s="280" t="n"/>
      <c r="N498" s="333">
        <f>IFERROR(IF(L498*M498=0,"",L498*M498),"")</f>
        <v/>
      </c>
      <c r="O498" s="280" t="n"/>
      <c r="P498" s="332">
        <f>IFERROR(VLOOKUP(TEXT(O498,"0"),CONDUCTORES!$A$3:$G$54,2,0),"")</f>
        <v/>
      </c>
      <c r="Q498" s="332">
        <f>IFERROR(VLOOKUP(TEXT(O498,"0"),CONDUCTORES!$A$3:$H$54,6,0),"")</f>
        <v/>
      </c>
      <c r="R498" s="280" t="n"/>
      <c r="S498" s="280" t="n"/>
      <c r="T498" s="280" t="n"/>
      <c r="U498" s="280" t="n"/>
      <c r="V498" s="280" t="n"/>
      <c r="W498" s="280" t="n"/>
      <c r="X498" s="280" t="n"/>
      <c r="Y498" s="280" t="n"/>
      <c r="Z498" s="375">
        <f>IF(AND(G498&lt;&gt;"",R498&lt;&gt;"",V498&lt;&gt;"",W498&lt;&gt;""),"COMPLETADO","OBSERVADO")</f>
        <v/>
      </c>
    </row>
    <row r="499" ht="15" customHeight="1" s="195">
      <c r="A499" s="334" t="n"/>
      <c r="B499" s="334" t="n"/>
      <c r="C499" s="334" t="n"/>
      <c r="D499" s="334" t="n"/>
      <c r="E499" s="334" t="n"/>
      <c r="F499" s="334" t="n"/>
      <c r="G499" s="334" t="n"/>
      <c r="H499" s="334" t="n"/>
      <c r="I499" s="332">
        <f>IFERROR(VLOOKUP(TEXT(H499,"0"),IPRESS!$A$3:$B$212,2,0),"")</f>
        <v/>
      </c>
      <c r="J499" s="334" t="n"/>
      <c r="K499" s="332">
        <f>IFERROR(VLOOKUP(TEXT(O499,"0"),CONDUCTORES!$A$3:$G$54,7,0),"")</f>
        <v/>
      </c>
      <c r="L499" s="334" t="n"/>
      <c r="M499" s="334" t="n"/>
      <c r="N499" s="333">
        <f>IFERROR(IF(L499*M499=0,"",L499*M499),"")</f>
        <v/>
      </c>
      <c r="O499" s="334" t="n"/>
      <c r="P499" s="332">
        <f>IFERROR(VLOOKUP(TEXT(O499,"0"),CONDUCTORES!$A$3:$G$54,2,0),"")</f>
        <v/>
      </c>
      <c r="Q499" s="332">
        <f>IFERROR(VLOOKUP(TEXT(O499,"0"),CONDUCTORES!$A$3:$H$54,6,0),"")</f>
        <v/>
      </c>
      <c r="R499" s="334" t="n"/>
      <c r="S499" s="334" t="n"/>
      <c r="T499" s="334" t="n"/>
      <c r="U499" s="334" t="n"/>
      <c r="V499" s="334" t="n"/>
      <c r="W499" s="334" t="n"/>
      <c r="X499" s="334" t="n"/>
      <c r="Y499" s="334" t="n"/>
      <c r="Z499" s="375">
        <f>IF(AND(G499&lt;&gt;"",R499&lt;&gt;"",V499&lt;&gt;"",W499&lt;&gt;""),"COMPLETADO","OBSERVADO")</f>
        <v/>
      </c>
    </row>
    <row r="500" ht="15" customHeight="1" s="195">
      <c r="A500" s="280" t="n"/>
      <c r="B500" s="280" t="n"/>
      <c r="C500" s="280" t="n"/>
      <c r="D500" s="280" t="n"/>
      <c r="E500" s="280" t="n"/>
      <c r="F500" s="280" t="n"/>
      <c r="G500" s="280" t="n"/>
      <c r="H500" s="280" t="n"/>
      <c r="I500" s="332">
        <f>IFERROR(VLOOKUP(TEXT(H500,"0"),IPRESS!$A$3:$B$212,2,0),"")</f>
        <v/>
      </c>
      <c r="J500" s="280" t="n"/>
      <c r="K500" s="332">
        <f>IFERROR(VLOOKUP(TEXT(O500,"0"),CONDUCTORES!$A$3:$G$54,7,0),"")</f>
        <v/>
      </c>
      <c r="L500" s="280" t="n"/>
      <c r="M500" s="280" t="n"/>
      <c r="N500" s="333">
        <f>IFERROR(IF(L500*M500=0,"",L500*M500),"")</f>
        <v/>
      </c>
      <c r="O500" s="280" t="n"/>
      <c r="P500" s="332">
        <f>IFERROR(VLOOKUP(TEXT(O500,"0"),CONDUCTORES!$A$3:$G$54,2,0),"")</f>
        <v/>
      </c>
      <c r="Q500" s="332">
        <f>IFERROR(VLOOKUP(TEXT(O500,"0"),CONDUCTORES!$A$3:$H$54,6,0),"")</f>
        <v/>
      </c>
      <c r="R500" s="280" t="n"/>
      <c r="S500" s="280" t="n"/>
      <c r="T500" s="280" t="n"/>
      <c r="U500" s="280" t="n"/>
      <c r="V500" s="280" t="n"/>
      <c r="W500" s="280" t="n"/>
      <c r="X500" s="280" t="n"/>
      <c r="Y500" s="280" t="n"/>
      <c r="Z500" s="375">
        <f>IF(AND(G500&lt;&gt;"",R500&lt;&gt;"",V500&lt;&gt;"",W500&lt;&gt;""),"COMPLETADO","OBSERVADO")</f>
        <v/>
      </c>
    </row>
    <row r="501" ht="15" customHeight="1" s="195">
      <c r="A501" s="334" t="n"/>
      <c r="B501" s="334" t="n"/>
      <c r="C501" s="334" t="n"/>
      <c r="D501" s="334" t="n"/>
      <c r="E501" s="334" t="n"/>
      <c r="F501" s="334" t="n"/>
      <c r="G501" s="334" t="n"/>
      <c r="H501" s="334" t="n"/>
      <c r="I501" s="332">
        <f>IFERROR(VLOOKUP(TEXT(H501,"0"),IPRESS!$A$3:$B$212,2,0),"")</f>
        <v/>
      </c>
      <c r="J501" s="334" t="n"/>
      <c r="K501" s="332">
        <f>IFERROR(VLOOKUP(TEXT(O501,"0"),CONDUCTORES!$A$3:$G$54,7,0),"")</f>
        <v/>
      </c>
      <c r="L501" s="334" t="n"/>
      <c r="M501" s="334" t="n"/>
      <c r="N501" s="333">
        <f>IFERROR(IF(L501*M501=0,"",L501*M501),"")</f>
        <v/>
      </c>
      <c r="O501" s="334" t="n"/>
      <c r="P501" s="332">
        <f>IFERROR(VLOOKUP(TEXT(O501,"0"),CONDUCTORES!$A$3:$G$54,2,0),"")</f>
        <v/>
      </c>
      <c r="Q501" s="332">
        <f>IFERROR(VLOOKUP(TEXT(O501,"0"),CONDUCTORES!$A$3:$H$54,6,0),"")</f>
        <v/>
      </c>
      <c r="R501" s="334" t="n"/>
      <c r="S501" s="334" t="n"/>
      <c r="T501" s="334" t="n"/>
      <c r="U501" s="334" t="n"/>
      <c r="V501" s="334" t="n"/>
      <c r="W501" s="334" t="n"/>
      <c r="X501" s="334" t="n"/>
      <c r="Y501" s="334" t="n"/>
      <c r="Z501" s="375">
        <f>IF(AND(G501&lt;&gt;"",R501&lt;&gt;"",V501&lt;&gt;"",W501&lt;&gt;""),"COMPLETADO","OBSERVADO")</f>
        <v/>
      </c>
    </row>
    <row r="502" ht="15" customHeight="1" s="195">
      <c r="A502" s="280" t="n"/>
      <c r="B502" s="280" t="n"/>
      <c r="C502" s="280" t="n"/>
      <c r="D502" s="280" t="n"/>
      <c r="E502" s="280" t="n"/>
      <c r="F502" s="280" t="n"/>
      <c r="G502" s="280" t="n"/>
      <c r="H502" s="280" t="n"/>
      <c r="I502" s="332">
        <f>IFERROR(VLOOKUP(TEXT(H502,"0"),IPRESS!$A$3:$B$212,2,0),"")</f>
        <v/>
      </c>
      <c r="J502" s="280" t="n"/>
      <c r="K502" s="332">
        <f>IFERROR(VLOOKUP(TEXT(O502,"0"),CONDUCTORES!$A$3:$G$54,7,0),"")</f>
        <v/>
      </c>
      <c r="L502" s="280" t="n"/>
      <c r="M502" s="280" t="n"/>
      <c r="N502" s="333">
        <f>IFERROR(IF(L502*M502=0,"",L502*M502),"")</f>
        <v/>
      </c>
      <c r="O502" s="280" t="n"/>
      <c r="P502" s="332">
        <f>IFERROR(VLOOKUP(TEXT(O502,"0"),CONDUCTORES!$A$3:$G$54,2,0),"")</f>
        <v/>
      </c>
      <c r="Q502" s="332">
        <f>IFERROR(VLOOKUP(TEXT(O502,"0"),CONDUCTORES!$A$3:$H$54,6,0),"")</f>
        <v/>
      </c>
      <c r="R502" s="280" t="n"/>
      <c r="S502" s="280" t="n"/>
      <c r="T502" s="280" t="n"/>
      <c r="U502" s="280" t="n"/>
      <c r="V502" s="280" t="n"/>
      <c r="W502" s="280" t="n"/>
      <c r="X502" s="280" t="n"/>
      <c r="Y502" s="280" t="n"/>
      <c r="Z502" s="375">
        <f>IF(AND(G502&lt;&gt;"",R502&lt;&gt;"",V502&lt;&gt;"",W502&lt;&gt;""),"COMPLETADO","OBSERVADO")</f>
        <v/>
      </c>
    </row>
    <row r="503" ht="15" customHeight="1" s="195">
      <c r="A503" s="334" t="n"/>
      <c r="B503" s="334" t="n"/>
      <c r="C503" s="334" t="n"/>
      <c r="D503" s="334" t="n"/>
      <c r="E503" s="334" t="n"/>
      <c r="F503" s="334" t="n"/>
      <c r="G503" s="334" t="n"/>
      <c r="H503" s="334" t="n"/>
      <c r="I503" s="332">
        <f>IFERROR(VLOOKUP(TEXT(H503,"0"),IPRESS!$A$3:$B$212,2,0),"")</f>
        <v/>
      </c>
      <c r="J503" s="334" t="n"/>
      <c r="K503" s="332">
        <f>IFERROR(VLOOKUP(TEXT(O503,"0"),CONDUCTORES!$A$3:$G$54,7,0),"")</f>
        <v/>
      </c>
      <c r="L503" s="334" t="n"/>
      <c r="M503" s="334" t="n"/>
      <c r="N503" s="333">
        <f>IFERROR(IF(L503*M503=0,"",L503*M503),"")</f>
        <v/>
      </c>
      <c r="O503" s="334" t="n"/>
      <c r="P503" s="332">
        <f>IFERROR(VLOOKUP(TEXT(O503,"0"),CONDUCTORES!$A$3:$G$54,2,0),"")</f>
        <v/>
      </c>
      <c r="Q503" s="332">
        <f>IFERROR(VLOOKUP(TEXT(O503,"0"),CONDUCTORES!$A$3:$H$54,6,0),"")</f>
        <v/>
      </c>
      <c r="R503" s="334" t="n"/>
      <c r="S503" s="334" t="n"/>
      <c r="T503" s="334" t="n"/>
      <c r="U503" s="334" t="n"/>
      <c r="V503" s="334" t="n"/>
      <c r="W503" s="334" t="n"/>
      <c r="X503" s="334" t="n"/>
      <c r="Y503" s="334" t="n"/>
      <c r="Z503" s="375">
        <f>IF(AND(G503&lt;&gt;"",R503&lt;&gt;"",V503&lt;&gt;"",W503&lt;&gt;""),"COMPLETADO","OBSERVADO")</f>
        <v/>
      </c>
    </row>
    <row r="504" ht="15" customHeight="1" s="195">
      <c r="A504" s="280" t="n"/>
      <c r="B504" s="280" t="n"/>
      <c r="C504" s="280" t="n"/>
      <c r="D504" s="280" t="n"/>
      <c r="E504" s="280" t="n"/>
      <c r="F504" s="280" t="n"/>
      <c r="G504" s="280" t="n"/>
      <c r="H504" s="280" t="n"/>
      <c r="I504" s="332">
        <f>IFERROR(VLOOKUP(TEXT(H504,"0"),IPRESS!$A$3:$B$212,2,0),"")</f>
        <v/>
      </c>
      <c r="J504" s="280" t="n"/>
      <c r="K504" s="332">
        <f>IFERROR(VLOOKUP(TEXT(O504,"0"),CONDUCTORES!$A$3:$G$54,7,0),"")</f>
        <v/>
      </c>
      <c r="L504" s="280" t="n"/>
      <c r="M504" s="280" t="n"/>
      <c r="N504" s="333">
        <f>IFERROR(IF(L504*M504=0,"",L504*M504),"")</f>
        <v/>
      </c>
      <c r="O504" s="280" t="n"/>
      <c r="P504" s="332">
        <f>IFERROR(VLOOKUP(TEXT(O504,"0"),CONDUCTORES!$A$3:$G$54,2,0),"")</f>
        <v/>
      </c>
      <c r="Q504" s="332">
        <f>IFERROR(VLOOKUP(TEXT(O504,"0"),CONDUCTORES!$A$3:$H$54,6,0),"")</f>
        <v/>
      </c>
      <c r="R504" s="280" t="n"/>
      <c r="S504" s="280" t="n"/>
      <c r="T504" s="280" t="n"/>
      <c r="U504" s="280" t="n"/>
      <c r="V504" s="280" t="n"/>
      <c r="W504" s="280" t="n"/>
      <c r="X504" s="280" t="n"/>
      <c r="Y504" s="280" t="n"/>
      <c r="Z504" s="375">
        <f>IF(AND(G504&lt;&gt;"",R504&lt;&gt;"",V504&lt;&gt;"",W504&lt;&gt;""),"COMPLETADO","OBSERVADO")</f>
        <v/>
      </c>
    </row>
    <row r="505" ht="15" customHeight="1" s="195">
      <c r="A505" s="334" t="n"/>
      <c r="B505" s="334" t="n"/>
      <c r="C505" s="334" t="n"/>
      <c r="D505" s="334" t="n"/>
      <c r="E505" s="334" t="n"/>
      <c r="F505" s="334" t="n"/>
      <c r="G505" s="334" t="n"/>
      <c r="H505" s="334" t="n"/>
      <c r="I505" s="332">
        <f>IFERROR(VLOOKUP(TEXT(H505,"0"),IPRESS!$A$3:$B$212,2,0),"")</f>
        <v/>
      </c>
      <c r="J505" s="334" t="n"/>
      <c r="K505" s="332">
        <f>IFERROR(VLOOKUP(TEXT(O505,"0"),CONDUCTORES!$A$3:$G$54,7,0),"")</f>
        <v/>
      </c>
      <c r="L505" s="334" t="n"/>
      <c r="M505" s="334" t="n"/>
      <c r="N505" s="333">
        <f>IFERROR(IF(L505*M505=0,"",L505*M505),"")</f>
        <v/>
      </c>
      <c r="O505" s="334" t="n"/>
      <c r="P505" s="332">
        <f>IFERROR(VLOOKUP(TEXT(O505,"0"),CONDUCTORES!$A$3:$G$54,2,0),"")</f>
        <v/>
      </c>
      <c r="Q505" s="332">
        <f>IFERROR(VLOOKUP(TEXT(O505,"0"),CONDUCTORES!$A$3:$H$54,6,0),"")</f>
        <v/>
      </c>
      <c r="R505" s="334" t="n"/>
      <c r="S505" s="334" t="n"/>
      <c r="T505" s="334" t="n"/>
      <c r="U505" s="334" t="n"/>
      <c r="V505" s="334" t="n"/>
      <c r="W505" s="334" t="n"/>
      <c r="X505" s="334" t="n"/>
      <c r="Y505" s="334" t="n"/>
      <c r="Z505" s="375">
        <f>IF(AND(G505&lt;&gt;"",R505&lt;&gt;"",V505&lt;&gt;"",W505&lt;&gt;""),"COMPLETADO","OBSERVADO")</f>
        <v/>
      </c>
    </row>
    <row r="506" ht="21.75" customHeight="1" s="195">
      <c r="A506" s="346" t="inlineStr">
        <is>
          <t>TOTALES DEL MES</t>
        </is>
      </c>
      <c r="M506" s="320">
        <f>SUM(M6:M505)</f>
        <v/>
      </c>
      <c r="N506" s="320">
        <f>SUM(N6:N505)</f>
        <v/>
      </c>
    </row>
    <row r="507" ht="15.75" customHeight="1" s="195"/>
    <row r="508" ht="15.75" customHeight="1" s="195"/>
    <row r="509" ht="15.75" customHeight="1" s="195"/>
    <row r="510" ht="15.75" customHeight="1" s="195"/>
    <row r="511" ht="15.75" customHeight="1" s="195"/>
    <row r="512" ht="15.75" customHeight="1" s="195"/>
    <row r="513" ht="15.75" customHeight="1" s="195"/>
    <row r="514" ht="15.75" customHeight="1" s="195"/>
    <row r="515" ht="15.75" customHeight="1" s="195"/>
    <row r="516" ht="15.75" customHeight="1" s="195"/>
    <row r="517" ht="15.75" customHeight="1" s="195"/>
    <row r="518" ht="15.75" customHeight="1" s="195"/>
    <row r="519" ht="15.75" customHeight="1" s="195"/>
    <row r="520" ht="15.75" customHeight="1" s="195"/>
    <row r="521" ht="15.75" customHeight="1" s="195"/>
    <row r="522" ht="15.75" customHeight="1" s="195"/>
    <row r="523" ht="15.75" customHeight="1" s="195"/>
    <row r="524" ht="15.75" customHeight="1" s="195"/>
    <row r="525" ht="15.75" customHeight="1" s="195"/>
    <row r="526" ht="15.75" customHeight="1" s="195"/>
    <row r="527" ht="15.75" customHeight="1" s="195"/>
    <row r="528" ht="15.75" customHeight="1" s="195"/>
    <row r="529" ht="15.75" customHeight="1" s="195"/>
    <row r="530" ht="15.75" customHeight="1" s="195"/>
    <row r="531" ht="15.75" customHeight="1" s="195"/>
    <row r="532" ht="15.75" customHeight="1" s="195"/>
    <row r="533" ht="15.75" customHeight="1" s="195"/>
    <row r="534" ht="15.75" customHeight="1" s="195"/>
    <row r="535" ht="15.75" customHeight="1" s="195"/>
    <row r="536" ht="15.75" customHeight="1" s="195"/>
    <row r="537" ht="15.75" customHeight="1" s="195"/>
    <row r="538" ht="15.75" customHeight="1" s="195"/>
    <row r="539" ht="15.75" customHeight="1" s="195"/>
    <row r="540" ht="15.75" customHeight="1" s="195"/>
    <row r="541" ht="15.75" customHeight="1" s="195"/>
    <row r="542" ht="15.75" customHeight="1" s="195"/>
    <row r="543" ht="15.75" customHeight="1" s="195"/>
    <row r="544" ht="15.75" customHeight="1" s="195"/>
    <row r="545" ht="15.75" customHeight="1" s="195"/>
    <row r="546" ht="15.75" customHeight="1" s="195"/>
    <row r="547" ht="15.75" customHeight="1" s="195"/>
    <row r="548" ht="15.75" customHeight="1" s="195"/>
    <row r="549" ht="15.75" customHeight="1" s="195"/>
    <row r="550" ht="15.75" customHeight="1" s="195"/>
    <row r="551" ht="15.75" customHeight="1" s="195"/>
    <row r="552" ht="15.75" customHeight="1" s="195"/>
    <row r="553" ht="15.75" customHeight="1" s="195"/>
    <row r="554" ht="15.75" customHeight="1" s="195"/>
    <row r="555" ht="15.75" customHeight="1" s="195"/>
    <row r="556" ht="15.75" customHeight="1" s="195"/>
    <row r="557" ht="15.75" customHeight="1" s="195"/>
    <row r="558" ht="15.75" customHeight="1" s="195"/>
    <row r="559" ht="15.75" customHeight="1" s="195"/>
    <row r="560" ht="15.75" customHeight="1" s="195"/>
    <row r="561" ht="15.75" customHeight="1" s="195"/>
    <row r="562" ht="15.75" customHeight="1" s="195"/>
    <row r="563" ht="15.75" customHeight="1" s="195"/>
    <row r="564" ht="15.75" customHeight="1" s="195"/>
    <row r="565" ht="15.75" customHeight="1" s="195"/>
    <row r="566" ht="15.75" customHeight="1" s="195"/>
    <row r="567" ht="15.75" customHeight="1" s="195"/>
    <row r="568" ht="15.75" customHeight="1" s="195"/>
    <row r="569" ht="15.75" customHeight="1" s="195"/>
    <row r="570" ht="15.75" customHeight="1" s="195"/>
    <row r="571" ht="15.75" customHeight="1" s="195"/>
    <row r="572" ht="15.75" customHeight="1" s="195"/>
    <row r="573" ht="15.75" customHeight="1" s="195"/>
    <row r="574" ht="15.75" customHeight="1" s="195"/>
    <row r="575" ht="15.75" customHeight="1" s="195"/>
    <row r="576" ht="15.75" customHeight="1" s="195"/>
    <row r="577" ht="15.75" customHeight="1" s="195"/>
    <row r="578" ht="15.75" customHeight="1" s="195"/>
    <row r="579" ht="15.75" customHeight="1" s="195"/>
    <row r="580" ht="15.75" customHeight="1" s="195"/>
    <row r="581" ht="15.75" customHeight="1" s="195"/>
    <row r="582" ht="15.75" customHeight="1" s="195"/>
    <row r="583" ht="15.75" customHeight="1" s="195"/>
    <row r="584" ht="15.75" customHeight="1" s="195"/>
    <row r="585" ht="15.75" customHeight="1" s="195"/>
    <row r="586" ht="15.75" customHeight="1" s="195"/>
    <row r="587" ht="15.75" customHeight="1" s="195"/>
    <row r="588" ht="15.75" customHeight="1" s="195"/>
    <row r="589" ht="15.75" customHeight="1" s="195"/>
    <row r="590" ht="15.75" customHeight="1" s="195"/>
    <row r="591" ht="15.75" customHeight="1" s="195"/>
    <row r="592" ht="15.75" customHeight="1" s="195"/>
    <row r="593" ht="15.75" customHeight="1" s="195"/>
    <row r="594" ht="15.75" customHeight="1" s="195"/>
    <row r="595" ht="15.75" customHeight="1" s="195"/>
    <row r="596" ht="15.75" customHeight="1" s="195"/>
    <row r="597" ht="15.75" customHeight="1" s="195"/>
    <row r="598" ht="15.75" customHeight="1" s="195"/>
    <row r="599" ht="15.75" customHeight="1" s="195"/>
    <row r="600" ht="15.75" customHeight="1" s="195"/>
    <row r="601" ht="15.75" customHeight="1" s="195"/>
    <row r="602" ht="15.75" customHeight="1" s="195"/>
    <row r="603" ht="15.75" customHeight="1" s="195"/>
    <row r="604" ht="15.75" customHeight="1" s="195"/>
    <row r="605" ht="15.75" customHeight="1" s="195"/>
    <row r="606" ht="15.75" customHeight="1" s="195"/>
    <row r="607" ht="15.75" customHeight="1" s="195"/>
    <row r="608" ht="15.75" customHeight="1" s="195"/>
    <row r="609" ht="15.75" customHeight="1" s="195"/>
    <row r="610" ht="15.75" customHeight="1" s="195"/>
    <row r="611" ht="15.75" customHeight="1" s="195"/>
    <row r="612" ht="15.75" customHeight="1" s="195"/>
    <row r="613" ht="15.75" customHeight="1" s="195"/>
    <row r="614" ht="15.75" customHeight="1" s="195"/>
    <row r="615" ht="15.75" customHeight="1" s="195"/>
    <row r="616" ht="15.75" customHeight="1" s="195"/>
    <row r="617" ht="15.75" customHeight="1" s="195"/>
    <row r="618" ht="15.75" customHeight="1" s="195"/>
    <row r="619" ht="15.75" customHeight="1" s="195"/>
    <row r="620" ht="15.75" customHeight="1" s="195"/>
    <row r="621" ht="15.75" customHeight="1" s="195"/>
    <row r="622" ht="15.75" customHeight="1" s="195"/>
    <row r="623" ht="15.75" customHeight="1" s="195"/>
    <row r="624" ht="15.75" customHeight="1" s="195"/>
    <row r="625" ht="15.75" customHeight="1" s="195"/>
    <row r="626" ht="15.75" customHeight="1" s="195"/>
    <row r="627" ht="15.75" customHeight="1" s="195"/>
    <row r="628" ht="15.75" customHeight="1" s="195"/>
    <row r="629" ht="15.75" customHeight="1" s="195"/>
    <row r="630" ht="15.75" customHeight="1" s="195"/>
    <row r="631" ht="15.75" customHeight="1" s="195"/>
    <row r="632" ht="15.75" customHeight="1" s="195"/>
    <row r="633" ht="15.75" customHeight="1" s="195"/>
    <row r="634" ht="15.75" customHeight="1" s="195"/>
    <row r="635" ht="15.75" customHeight="1" s="195"/>
    <row r="636" ht="15.75" customHeight="1" s="195"/>
    <row r="637" ht="15.75" customHeight="1" s="195"/>
    <row r="638" ht="15.75" customHeight="1" s="195"/>
    <row r="639" ht="15.75" customHeight="1" s="195"/>
    <row r="640" ht="15.75" customHeight="1" s="195"/>
    <row r="641" ht="15.75" customHeight="1" s="195"/>
    <row r="642" ht="15.75" customHeight="1" s="195"/>
    <row r="643" ht="15.75" customHeight="1" s="195"/>
    <row r="644" ht="15.75" customHeight="1" s="195"/>
    <row r="645" ht="15.75" customHeight="1" s="195"/>
    <row r="646" ht="15.75" customHeight="1" s="195"/>
    <row r="647" ht="15.75" customHeight="1" s="195"/>
    <row r="648" ht="15.75" customHeight="1" s="195"/>
    <row r="649" ht="15.75" customHeight="1" s="195"/>
    <row r="650" ht="15.75" customHeight="1" s="195"/>
    <row r="651" ht="15.75" customHeight="1" s="195"/>
    <row r="652" ht="15.75" customHeight="1" s="195"/>
    <row r="653" ht="15.75" customHeight="1" s="195"/>
    <row r="654" ht="15.75" customHeight="1" s="195"/>
    <row r="655" ht="15.75" customHeight="1" s="195"/>
    <row r="656" ht="15.75" customHeight="1" s="195"/>
    <row r="657" ht="15.75" customHeight="1" s="195"/>
    <row r="658" ht="15.75" customHeight="1" s="195"/>
    <row r="659" ht="15.75" customHeight="1" s="195"/>
    <row r="660" ht="15.75" customHeight="1" s="195"/>
    <row r="661" ht="15.75" customHeight="1" s="195"/>
    <row r="662" ht="15.75" customHeight="1" s="195"/>
    <row r="663" ht="15.75" customHeight="1" s="195"/>
    <row r="664" ht="15.75" customHeight="1" s="195"/>
    <row r="665" ht="15.75" customHeight="1" s="195"/>
    <row r="666" ht="15.75" customHeight="1" s="195"/>
    <row r="667" ht="15.75" customHeight="1" s="195"/>
    <row r="668" ht="15.75" customHeight="1" s="195"/>
    <row r="669" ht="15.75" customHeight="1" s="195"/>
    <row r="670" ht="15.75" customHeight="1" s="195"/>
    <row r="671" ht="15.75" customHeight="1" s="195"/>
    <row r="672" ht="15.75" customHeight="1" s="195"/>
    <row r="673" ht="15.75" customHeight="1" s="195"/>
    <row r="674" ht="15.75" customHeight="1" s="195"/>
    <row r="675" ht="15.75" customHeight="1" s="195"/>
    <row r="676" ht="15.75" customHeight="1" s="195"/>
    <row r="677" ht="15.75" customHeight="1" s="195"/>
    <row r="678" ht="15.75" customHeight="1" s="195"/>
    <row r="679" ht="15.75" customHeight="1" s="195"/>
    <row r="680" ht="15.75" customHeight="1" s="195"/>
    <row r="681" ht="15.75" customHeight="1" s="195"/>
    <row r="682" ht="15.75" customHeight="1" s="195"/>
    <row r="683" ht="15.75" customHeight="1" s="195"/>
    <row r="684" ht="15.75" customHeight="1" s="195"/>
    <row r="685" ht="15.75" customHeight="1" s="195"/>
    <row r="686" ht="15.75" customHeight="1" s="195"/>
    <row r="687" ht="15.75" customHeight="1" s="195"/>
    <row r="688" ht="15.75" customHeight="1" s="195"/>
    <row r="689" ht="15.75" customHeight="1" s="195"/>
    <row r="690" ht="15.75" customHeight="1" s="195"/>
    <row r="691" ht="15.75" customHeight="1" s="195"/>
    <row r="692" ht="15.75" customHeight="1" s="195"/>
    <row r="693" ht="15.75" customHeight="1" s="195"/>
    <row r="694" ht="15.75" customHeight="1" s="195"/>
    <row r="695" ht="15.75" customHeight="1" s="195"/>
    <row r="696" ht="15.75" customHeight="1" s="195"/>
    <row r="697" ht="15.75" customHeight="1" s="195"/>
    <row r="698" ht="15.75" customHeight="1" s="195"/>
    <row r="699" ht="15.75" customHeight="1" s="195"/>
    <row r="700" ht="15.75" customHeight="1" s="195"/>
    <row r="701" ht="15.75" customHeight="1" s="195"/>
    <row r="702" ht="15.75" customHeight="1" s="195"/>
    <row r="703" ht="15.75" customHeight="1" s="195"/>
    <row r="704" ht="15.75" customHeight="1" s="195"/>
    <row r="705" ht="15.75" customHeight="1" s="195"/>
    <row r="706" ht="15.75" customHeight="1" s="195"/>
    <row r="707" ht="15.75" customHeight="1" s="195"/>
    <row r="708" ht="15.75" customHeight="1" s="195"/>
    <row r="709" ht="15.75" customHeight="1" s="195"/>
    <row r="710" ht="15.75" customHeight="1" s="195"/>
    <row r="711" ht="15.75" customHeight="1" s="195"/>
    <row r="712" ht="15.75" customHeight="1" s="195"/>
    <row r="713" ht="15.75" customHeight="1" s="195"/>
    <row r="714" ht="15.75" customHeight="1" s="195"/>
    <row r="715" ht="15.75" customHeight="1" s="195"/>
    <row r="716" ht="15.75" customHeight="1" s="195"/>
    <row r="717" ht="15.75" customHeight="1" s="195"/>
    <row r="718" ht="15.75" customHeight="1" s="195"/>
    <row r="719" ht="15.75" customHeight="1" s="195"/>
    <row r="720" ht="15.75" customHeight="1" s="195"/>
    <row r="721" ht="15.75" customHeight="1" s="195"/>
    <row r="722" ht="15.75" customHeight="1" s="195"/>
    <row r="723" ht="15.75" customHeight="1" s="195"/>
    <row r="724" ht="15.75" customHeight="1" s="195"/>
    <row r="725" ht="15.75" customHeight="1" s="195"/>
    <row r="726" ht="15.75" customHeight="1" s="195"/>
    <row r="727" ht="15.75" customHeight="1" s="195"/>
    <row r="728" ht="15.75" customHeight="1" s="195"/>
    <row r="729" ht="15.75" customHeight="1" s="195"/>
    <row r="730" ht="15.75" customHeight="1" s="195"/>
    <row r="731" ht="15.75" customHeight="1" s="195"/>
    <row r="732" ht="15.75" customHeight="1" s="195"/>
    <row r="733" ht="15.75" customHeight="1" s="195"/>
    <row r="734" ht="15.75" customHeight="1" s="195"/>
    <row r="735" ht="15.75" customHeight="1" s="195"/>
    <row r="736" ht="15.75" customHeight="1" s="195"/>
    <row r="737" ht="15.75" customHeight="1" s="195"/>
    <row r="738" ht="15.75" customHeight="1" s="195"/>
    <row r="739" ht="15.75" customHeight="1" s="195"/>
    <row r="740" ht="15.75" customHeight="1" s="195"/>
    <row r="741" ht="15.75" customHeight="1" s="195"/>
    <row r="742" ht="15.75" customHeight="1" s="195"/>
    <row r="743" ht="15.75" customHeight="1" s="195"/>
    <row r="744" ht="15.75" customHeight="1" s="195"/>
    <row r="745" ht="15.75" customHeight="1" s="195"/>
    <row r="746" ht="15.75" customHeight="1" s="195"/>
    <row r="747" ht="15.75" customHeight="1" s="195"/>
    <row r="748" ht="15.75" customHeight="1" s="195"/>
    <row r="749" ht="15.75" customHeight="1" s="195"/>
    <row r="750" ht="15.75" customHeight="1" s="195"/>
    <row r="751" ht="15.75" customHeight="1" s="195"/>
    <row r="752" ht="15.75" customHeight="1" s="195"/>
    <row r="753" ht="15.75" customHeight="1" s="195"/>
    <row r="754" ht="15.75" customHeight="1" s="195"/>
    <row r="755" ht="15.75" customHeight="1" s="195"/>
    <row r="756" ht="15.75" customHeight="1" s="195"/>
    <row r="757" ht="15.75" customHeight="1" s="195"/>
    <row r="758" ht="15.75" customHeight="1" s="195"/>
    <row r="759" ht="15.75" customHeight="1" s="195"/>
    <row r="760" ht="15.75" customHeight="1" s="195"/>
    <row r="761" ht="15.75" customHeight="1" s="195"/>
    <row r="762" ht="15.75" customHeight="1" s="195"/>
    <row r="763" ht="15.75" customHeight="1" s="195"/>
    <row r="764" ht="15.75" customHeight="1" s="195"/>
    <row r="765" ht="15.75" customHeight="1" s="195"/>
    <row r="766" ht="15.75" customHeight="1" s="195"/>
    <row r="767" ht="15.75" customHeight="1" s="195"/>
    <row r="768" ht="15.75" customHeight="1" s="195"/>
    <row r="769" ht="15.75" customHeight="1" s="195"/>
    <row r="770" ht="15.75" customHeight="1" s="195"/>
    <row r="771" ht="15.75" customHeight="1" s="195"/>
    <row r="772" ht="15.75" customHeight="1" s="195"/>
    <row r="773" ht="15.75" customHeight="1" s="195"/>
    <row r="774" ht="15.75" customHeight="1" s="195"/>
    <row r="775" ht="15.75" customHeight="1" s="195"/>
    <row r="776" ht="15.75" customHeight="1" s="195"/>
    <row r="777" ht="15.75" customHeight="1" s="195"/>
    <row r="778" ht="15.75" customHeight="1" s="195"/>
    <row r="779" ht="15.75" customHeight="1" s="195"/>
    <row r="780" ht="15.75" customHeight="1" s="195"/>
    <row r="781" ht="15.75" customHeight="1" s="195"/>
    <row r="782" ht="15.75" customHeight="1" s="195"/>
    <row r="783" ht="15.75" customHeight="1" s="195"/>
    <row r="784" ht="15.75" customHeight="1" s="195"/>
    <row r="785" ht="15.75" customHeight="1" s="195"/>
    <row r="786" ht="15.75" customHeight="1" s="195"/>
    <row r="787" ht="15.75" customHeight="1" s="195"/>
    <row r="788" ht="15.75" customHeight="1" s="195"/>
    <row r="789" ht="15.75" customHeight="1" s="195"/>
    <row r="790" ht="15.75" customHeight="1" s="195"/>
    <row r="791" ht="15.75" customHeight="1" s="195"/>
    <row r="792" ht="15.75" customHeight="1" s="195"/>
    <row r="793" ht="15.75" customHeight="1" s="195"/>
    <row r="794" ht="15.75" customHeight="1" s="195"/>
    <row r="795" ht="15.75" customHeight="1" s="195"/>
    <row r="796" ht="15.75" customHeight="1" s="195"/>
    <row r="797" ht="15.75" customHeight="1" s="195"/>
    <row r="798" ht="15.75" customHeight="1" s="195"/>
    <row r="799" ht="15.75" customHeight="1" s="195"/>
    <row r="800" ht="15.75" customHeight="1" s="195"/>
    <row r="801" ht="15.75" customHeight="1" s="195"/>
    <row r="802" ht="15.75" customHeight="1" s="195"/>
    <row r="803" ht="15.75" customHeight="1" s="195"/>
    <row r="804" ht="15.75" customHeight="1" s="195"/>
    <row r="805" ht="15.75" customHeight="1" s="195"/>
    <row r="806" ht="15.75" customHeight="1" s="195"/>
    <row r="807" ht="15.75" customHeight="1" s="195"/>
    <row r="808" ht="15.75" customHeight="1" s="195"/>
    <row r="809" ht="15.75" customHeight="1" s="195"/>
    <row r="810" ht="15.75" customHeight="1" s="195"/>
    <row r="811" ht="15.75" customHeight="1" s="195"/>
    <row r="812" ht="15.75" customHeight="1" s="195"/>
    <row r="813" ht="15.75" customHeight="1" s="195"/>
    <row r="814" ht="15.75" customHeight="1" s="195"/>
    <row r="815" ht="15.75" customHeight="1" s="195"/>
    <row r="816" ht="15.75" customHeight="1" s="195"/>
    <row r="817" ht="15.75" customHeight="1" s="195"/>
    <row r="818" ht="15.75" customHeight="1" s="195"/>
    <row r="819" ht="15.75" customHeight="1" s="195"/>
    <row r="820" ht="15.75" customHeight="1" s="195"/>
    <row r="821" ht="15.75" customHeight="1" s="195"/>
    <row r="822" ht="15.75" customHeight="1" s="195"/>
    <row r="823" ht="15.75" customHeight="1" s="195"/>
    <row r="824" ht="15.75" customHeight="1" s="195"/>
    <row r="825" ht="15.75" customHeight="1" s="195"/>
    <row r="826" ht="15.75" customHeight="1" s="195"/>
    <row r="827" ht="15.75" customHeight="1" s="195"/>
    <row r="828" ht="15.75" customHeight="1" s="195"/>
    <row r="829" ht="15.75" customHeight="1" s="195"/>
    <row r="830" ht="15.75" customHeight="1" s="195"/>
    <row r="831" ht="15.75" customHeight="1" s="195"/>
    <row r="832" ht="15.75" customHeight="1" s="195"/>
    <row r="833" ht="15.75" customHeight="1" s="195"/>
    <row r="834" ht="15.75" customHeight="1" s="195"/>
    <row r="835" ht="15.75" customHeight="1" s="195"/>
    <row r="836" ht="15.75" customHeight="1" s="195"/>
    <row r="837" ht="15.75" customHeight="1" s="195"/>
    <row r="838" ht="15.75" customHeight="1" s="195"/>
    <row r="839" ht="15.75" customHeight="1" s="195"/>
    <row r="840" ht="15.75" customHeight="1" s="195"/>
    <row r="841" ht="15.75" customHeight="1" s="195"/>
    <row r="842" ht="15.75" customHeight="1" s="195"/>
    <row r="843" ht="15.75" customHeight="1" s="195"/>
    <row r="844" ht="15.75" customHeight="1" s="195"/>
    <row r="845" ht="15.75" customHeight="1" s="195"/>
    <row r="846" ht="15.75" customHeight="1" s="195"/>
    <row r="847" ht="15.75" customHeight="1" s="195"/>
    <row r="848" ht="15.75" customHeight="1" s="195"/>
    <row r="849" ht="15.75" customHeight="1" s="195"/>
    <row r="850" ht="15.75" customHeight="1" s="195"/>
    <row r="851" ht="15.75" customHeight="1" s="195"/>
    <row r="852" ht="15.75" customHeight="1" s="195"/>
    <row r="853" ht="15.75" customHeight="1" s="195"/>
    <row r="854" ht="15.75" customHeight="1" s="195"/>
    <row r="855" ht="15.75" customHeight="1" s="195"/>
    <row r="856" ht="15.75" customHeight="1" s="195"/>
    <row r="857" ht="15.75" customHeight="1" s="195"/>
    <row r="858" ht="15.75" customHeight="1" s="195"/>
    <row r="859" ht="15.75" customHeight="1" s="195"/>
    <row r="860" ht="15.75" customHeight="1" s="195"/>
    <row r="861" ht="15.75" customHeight="1" s="195"/>
    <row r="862" ht="15.75" customHeight="1" s="195"/>
    <row r="863" ht="15.75" customHeight="1" s="195"/>
    <row r="864" ht="15.75" customHeight="1" s="195"/>
    <row r="865" ht="15.75" customHeight="1" s="195"/>
    <row r="866" ht="15.75" customHeight="1" s="195"/>
    <row r="867" ht="15.75" customHeight="1" s="195"/>
    <row r="868" ht="15.75" customHeight="1" s="195"/>
    <row r="869" ht="15.75" customHeight="1" s="195"/>
    <row r="870" ht="15.75" customHeight="1" s="195"/>
    <row r="871" ht="15.75" customHeight="1" s="195"/>
    <row r="872" ht="15.75" customHeight="1" s="195"/>
    <row r="873" ht="15.75" customHeight="1" s="195"/>
    <row r="874" ht="15.75" customHeight="1" s="195"/>
    <row r="875" ht="15.75" customHeight="1" s="195"/>
    <row r="876" ht="15.75" customHeight="1" s="195"/>
    <row r="877" ht="15.75" customHeight="1" s="195"/>
    <row r="878" ht="15.75" customHeight="1" s="195"/>
    <row r="879" ht="15.75" customHeight="1" s="195"/>
    <row r="880" ht="15.75" customHeight="1" s="195"/>
    <row r="881" ht="15.75" customHeight="1" s="195"/>
    <row r="882" ht="15.75" customHeight="1" s="195"/>
    <row r="883" ht="15.75" customHeight="1" s="195"/>
    <row r="884" ht="15.75" customHeight="1" s="195"/>
    <row r="885" ht="15.75" customHeight="1" s="195"/>
    <row r="886" ht="15.75" customHeight="1" s="195"/>
    <row r="887" ht="15.75" customHeight="1" s="195"/>
    <row r="888" ht="15.75" customHeight="1" s="195"/>
    <row r="889" ht="15.75" customHeight="1" s="195"/>
    <row r="890" ht="15.75" customHeight="1" s="195"/>
    <row r="891" ht="15.75" customHeight="1" s="195"/>
    <row r="892" ht="15.75" customHeight="1" s="195"/>
    <row r="893" ht="15.75" customHeight="1" s="195"/>
    <row r="894" ht="15.75" customHeight="1" s="195"/>
    <row r="895" ht="15.75" customHeight="1" s="195"/>
    <row r="896" ht="15.75" customHeight="1" s="195"/>
    <row r="897" ht="15.75" customHeight="1" s="195"/>
    <row r="898" ht="15.75" customHeight="1" s="195"/>
    <row r="899" ht="15.75" customHeight="1" s="195"/>
    <row r="900" ht="15.75" customHeight="1" s="195"/>
    <row r="901" ht="15.75" customHeight="1" s="195"/>
    <row r="902" ht="15.75" customHeight="1" s="195"/>
    <row r="903" ht="15.75" customHeight="1" s="195"/>
    <row r="904" ht="15.75" customHeight="1" s="195"/>
    <row r="905" ht="15.75" customHeight="1" s="195"/>
    <row r="906" ht="15.75" customHeight="1" s="195"/>
    <row r="907" ht="15.75" customHeight="1" s="195"/>
    <row r="908" ht="15.75" customHeight="1" s="195"/>
    <row r="909" ht="15.75" customHeight="1" s="195"/>
    <row r="910" ht="15.75" customHeight="1" s="195"/>
    <row r="911" ht="15.75" customHeight="1" s="195"/>
    <row r="912" ht="15.75" customHeight="1" s="195"/>
    <row r="913" ht="15.75" customHeight="1" s="195"/>
    <row r="914" ht="15.75" customHeight="1" s="195"/>
    <row r="915" ht="15.75" customHeight="1" s="195"/>
    <row r="916" ht="15.75" customHeight="1" s="195"/>
    <row r="917" ht="15.75" customHeight="1" s="195"/>
    <row r="918" ht="15.75" customHeight="1" s="195"/>
    <row r="919" ht="15.75" customHeight="1" s="195"/>
    <row r="920" ht="15.75" customHeight="1" s="195"/>
    <row r="921" ht="15.75" customHeight="1" s="195"/>
    <row r="922" ht="15.75" customHeight="1" s="195"/>
    <row r="923" ht="15.75" customHeight="1" s="195"/>
    <row r="924" ht="15.75" customHeight="1" s="195"/>
    <row r="925" ht="15.75" customHeight="1" s="195"/>
    <row r="926" ht="15.75" customHeight="1" s="195"/>
    <row r="927" ht="15.75" customHeight="1" s="195"/>
    <row r="928" ht="15.75" customHeight="1" s="195"/>
    <row r="929" ht="15.75" customHeight="1" s="195"/>
    <row r="930" ht="15.75" customHeight="1" s="195"/>
    <row r="931" ht="15.75" customHeight="1" s="195"/>
    <row r="932" ht="15.75" customHeight="1" s="195"/>
    <row r="933" ht="15.75" customHeight="1" s="195"/>
    <row r="934" ht="15.75" customHeight="1" s="195"/>
    <row r="935" ht="15.75" customHeight="1" s="195"/>
    <row r="936" ht="15.75" customHeight="1" s="195"/>
    <row r="937" ht="15.75" customHeight="1" s="195"/>
    <row r="938" ht="15.75" customHeight="1" s="195"/>
    <row r="939" ht="15.75" customHeight="1" s="195"/>
    <row r="940" ht="15.75" customHeight="1" s="195"/>
    <row r="941" ht="15.75" customHeight="1" s="195"/>
    <row r="942" ht="15.75" customHeight="1" s="195"/>
    <row r="943" ht="15.75" customHeight="1" s="195"/>
    <row r="944" ht="15.75" customHeight="1" s="195"/>
    <row r="945" ht="15.75" customHeight="1" s="195"/>
    <row r="946" ht="15.75" customHeight="1" s="195"/>
    <row r="947" ht="15.75" customHeight="1" s="195"/>
    <row r="948" ht="15.75" customHeight="1" s="195"/>
    <row r="949" ht="15.75" customHeight="1" s="195"/>
    <row r="950" ht="15.75" customHeight="1" s="195"/>
    <row r="951" ht="15.75" customHeight="1" s="195"/>
    <row r="952" ht="15.75" customHeight="1" s="195"/>
    <row r="953" ht="15.75" customHeight="1" s="195"/>
    <row r="954" ht="15.75" customHeight="1" s="195"/>
    <row r="955" ht="15.75" customHeight="1" s="195"/>
    <row r="956" ht="15.75" customHeight="1" s="195"/>
    <row r="957" ht="15.75" customHeight="1" s="195"/>
    <row r="958" ht="15.75" customHeight="1" s="195"/>
    <row r="959" ht="15.75" customHeight="1" s="195"/>
    <row r="960" ht="15.75" customHeight="1" s="195"/>
    <row r="961" ht="15.75" customHeight="1" s="195"/>
    <row r="962" ht="15.75" customHeight="1" s="195"/>
    <row r="963" ht="15.75" customHeight="1" s="195"/>
    <row r="964" ht="15.75" customHeight="1" s="195"/>
    <row r="965" ht="15.75" customHeight="1" s="195"/>
    <row r="966" ht="15.75" customHeight="1" s="195"/>
    <row r="967" ht="15.75" customHeight="1" s="195"/>
    <row r="968" ht="15.75" customHeight="1" s="195"/>
    <row r="969" ht="15.75" customHeight="1" s="195"/>
    <row r="970" ht="15.75" customHeight="1" s="195"/>
    <row r="971" ht="15.75" customHeight="1" s="195"/>
    <row r="972" ht="15.75" customHeight="1" s="195"/>
    <row r="973" ht="15.75" customHeight="1" s="195"/>
    <row r="974" ht="15.75" customHeight="1" s="195"/>
    <row r="975" ht="15.75" customHeight="1" s="195"/>
    <row r="976" ht="15.75" customHeight="1" s="195"/>
    <row r="977" ht="15.75" customHeight="1" s="195"/>
    <row r="978" ht="15.75" customHeight="1" s="195"/>
    <row r="979" ht="15.75" customHeight="1" s="195"/>
    <row r="980" ht="15.75" customHeight="1" s="195"/>
    <row r="981" ht="15.75" customHeight="1" s="195"/>
    <row r="982" ht="15.75" customHeight="1" s="195"/>
    <row r="983" ht="15.75" customHeight="1" s="195"/>
    <row r="984" ht="15.75" customHeight="1" s="195"/>
    <row r="985" ht="15.75" customHeight="1" s="195"/>
    <row r="986" ht="15.75" customHeight="1" s="195"/>
    <row r="987" ht="15.75" customHeight="1" s="195"/>
    <row r="988" ht="15.75" customHeight="1" s="195"/>
    <row r="989" ht="15.75" customHeight="1" s="195"/>
    <row r="990" ht="15.75" customHeight="1" s="195"/>
    <row r="991" ht="15.75" customHeight="1" s="195"/>
    <row r="992" ht="15.75" customHeight="1" s="195"/>
    <row r="993" ht="15.75" customHeight="1" s="195"/>
    <row r="994" ht="15.75" customHeight="1" s="195"/>
    <row r="995" ht="15.75" customHeight="1" s="195"/>
    <row r="996" ht="15.75" customHeight="1" s="195"/>
    <row r="997" ht="15.75" customHeight="1" s="195"/>
    <row r="998" ht="15.75" customHeight="1" s="195"/>
    <row r="999" ht="15.75" customHeight="1" s="195"/>
    <row r="1000" ht="15.75" customHeight="1" s="195"/>
  </sheetData>
  <mergeCells count="13">
    <mergeCell ref="D2:F2"/>
    <mergeCell ref="G2:I2"/>
    <mergeCell ref="S2:T2"/>
    <mergeCell ref="J2:L2"/>
    <mergeCell ref="A8:J8"/>
    <mergeCell ref="U2:V2"/>
    <mergeCell ref="A506:G506"/>
    <mergeCell ref="P2:R2"/>
    <mergeCell ref="A1:Y1"/>
    <mergeCell ref="W2:AC2"/>
    <mergeCell ref="A4:Y4"/>
    <mergeCell ref="M2:O2"/>
    <mergeCell ref="A2:C2"/>
  </mergeCells>
  <conditionalFormatting sqref="T6:T505">
    <cfRule type="expression" rank="0" priority="2" equalAverage="0" aboveAverage="0" dxfId="0" text="" percent="0" bottom="0">
      <formula>EXACT(T6,"APROBADO")</formula>
    </cfRule>
    <cfRule type="expression" rank="0" priority="3" equalAverage="0" aboveAverage="0" dxfId="7" text="" percent="0" bottom="0">
      <formula>EXACT(T6,"PENDIENTE")</formula>
    </cfRule>
    <cfRule type="expression" rank="0" priority="4" equalAverage="0" aboveAverage="0" dxfId="0" text="" percent="0" bottom="0">
      <formula>EXACT(T6,"APROBADO")</formula>
    </cfRule>
    <cfRule type="expression" rank="0" priority="5" equalAverage="0" aboveAverage="0" dxfId="7" text="" percent="0" bottom="0">
      <formula>EXACT(T6,"OBSERVADO")</formula>
    </cfRule>
  </conditionalFormatting>
  <conditionalFormatting sqref="K6:K505">
    <cfRule type="expression" rank="0" priority="6" equalAverage="0" aboveAverage="0" dxfId="8" text="" percent="0" bottom="0">
      <formula>EXACT(K6,"GASOLINA")</formula>
    </cfRule>
  </conditionalFormatting>
  <conditionalFormatting sqref="Z6:Z505">
    <cfRule type="expression" rank="0" priority="7" equalAverage="0" aboveAverage="0" dxfId="0" text="" percent="0" bottom="0">
      <formula>EXACT(Z6,"COMPLETADO")</formula>
    </cfRule>
    <cfRule type="expression" rank="0" priority="8" equalAverage="0" aboveAverage="0" dxfId="7" text="" percent="0" bottom="0">
      <formula>EXACT(Z6,"OBSERVADO")</formula>
    </cfRule>
  </conditionalFormatting>
  <conditionalFormatting sqref="T6:T110">
    <cfRule type="expression" rank="0" priority="9" equalAverage="0" aboveAverage="0" dxfId="0" text="" percent="0" bottom="0">
      <formula>EXACT(T6,"APROBADO")</formula>
    </cfRule>
    <cfRule type="expression" rank="0" priority="10" equalAverage="0" aboveAverage="0" dxfId="7" text="" percent="0" bottom="0">
      <formula>EXACT(T6,"OBSERVADO")</formula>
    </cfRule>
  </conditionalFormatting>
  <conditionalFormatting sqref="Z6:Z110">
    <cfRule type="expression" rank="0" priority="11" equalAverage="0" aboveAverage="0" dxfId="0" text="" percent="0" bottom="0">
      <formula>EXACT(Z6,"COMPLETADO")</formula>
    </cfRule>
    <cfRule type="expression" rank="0" priority="12" equalAverage="0" aboveAverage="0" dxfId="7" text="" percent="0" bottom="0">
      <formula>EXACT(Z6,"OBSERVADO")</formula>
    </cfRule>
    <cfRule type="expression" rank="0" priority="13" equalAverage="0" aboveAverage="0" dxfId="0" text="" percent="0" bottom="0">
      <formula>Z6="ENTREGADO"</formula>
    </cfRule>
    <cfRule type="expression" rank="0" priority="14" equalAverage="0" aboveAverage="0" dxfId="7" text="" percent="0" bottom="0">
      <formula>Z6="POR RECOGER"</formula>
    </cfRule>
  </conditionalFormatting>
  <conditionalFormatting sqref="Y6:Y110">
    <cfRule type="expression" rank="0" priority="15" equalAverage="0" aboveAverage="0" dxfId="9" text="" percent="0" bottom="0">
      <formula>Y6&lt;&gt;""</formula>
    </cfRule>
  </conditionalFormatting>
  <dataValidations count="5">
    <dataValidation sqref="Y6:Y110" showDropDown="0" showInputMessage="0" showErrorMessage="0" allowBlank="1" type="list" errorStyle="stop" operator="between">
      <formula1>CONDUCTORES!$H$3:$H$104</formula1>
      <formula2>0</formula2>
    </dataValidation>
    <dataValidation sqref="K6:K505" showDropDown="0" showInputMessage="0" showErrorMessage="0" allowBlank="1" type="list" errorStyle="stop" operator="between">
      <formula1>"PETROLEO,GASOLINA"</formula1>
      <formula2>0</formula2>
    </dataValidation>
    <dataValidation sqref="E6:E7 E9:E505" showDropDown="0" showInputMessage="0" showErrorMessage="0" allowBlank="1" type="list" errorStyle="stop" operator="between">
      <formula1>"DNI,CE,PASAPORTE"</formula1>
      <formula2>0</formula2>
    </dataValidation>
    <dataValidation sqref="T6:T110" showDropDown="0" showInputMessage="0" showErrorMessage="0" allowBlank="1" type="list" errorStyle="stop" operator="between">
      <formula1>"APROBADO,OBSERVADO"</formula1>
      <formula2>0</formula2>
    </dataValidation>
    <dataValidation sqref="T111:T505" showDropDown="0" showInputMessage="1" showErrorMessage="1" allowBlank="1" prompt="Valor no válido - Solo se permite: APROBADO u OBSERVADO" type="list" errorStyle="stop" operator="between">
      <formula1>"APROBADO,OBSERVADO"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C5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baseColWidth="8" defaultColWidth="14.43359375" defaultRowHeight="15" zeroHeight="0" outlineLevelRow="0"/>
  <cols>
    <col width="6" customWidth="1" style="194" min="1" max="1"/>
    <col width="14" customWidth="1" style="194" min="2" max="2"/>
    <col width="8" customWidth="1" style="194" min="3" max="3"/>
    <col width="28" customWidth="1" style="194" min="4" max="4"/>
    <col width="7" customWidth="1" style="194" min="5" max="5"/>
    <col width="14" customWidth="1" style="194" min="6" max="6"/>
    <col width="12" customWidth="1" style="194" min="7" max="7"/>
    <col width="10" customWidth="1" style="194" min="8" max="8"/>
    <col width="30" customWidth="1" style="194" min="9" max="9"/>
    <col width="10" customWidth="1" style="194" min="10" max="10"/>
    <col width="12" customWidth="1" style="194" min="11" max="11"/>
    <col width="10" customWidth="1" style="194" min="12" max="13"/>
    <col width="14" customWidth="1" style="194" min="14" max="15"/>
    <col width="30" customWidth="1" style="194" min="16" max="16"/>
    <col width="12" customWidth="1" style="194" min="17" max="18"/>
    <col width="16" customWidth="1" style="194" min="19" max="19"/>
    <col width="12" customWidth="1" style="194" min="20" max="21"/>
    <col width="14" customWidth="1" style="194" min="22" max="23"/>
    <col width="8" customWidth="1" style="194" min="24" max="24"/>
    <col width="22" customWidth="1" style="194" min="25" max="25"/>
    <col width="14" customWidth="1" style="194" min="26" max="26"/>
    <col width="8.710000000000001" customWidth="1" style="194" min="27" max="29"/>
  </cols>
  <sheetData>
    <row r="1" ht="27.75" customHeight="1" s="195">
      <c r="A1" s="365" t="inlineStr">
        <is>
          <t>REPORTE DE TRASLADO DE PACIENTES SIS DEL MES DE AGOSTO 2026 PARA REPOSICION DE COMBUSTIBLE</t>
        </is>
      </c>
      <c r="Z1" s="365" t="n"/>
      <c r="AA1" s="284" t="n"/>
    </row>
    <row r="2" ht="21.75" customHeight="1" s="195">
      <c r="A2" s="318" t="inlineStr">
        <is>
          <t>TOTAL PETROLEO (gal):</t>
        </is>
      </c>
      <c r="D2" s="366">
        <f>IFERROR(SUMPRODUCT((K6:K110="PETROLEO")*ISNUMBER(M6:M110)*M6:M110),0)</f>
        <v/>
      </c>
      <c r="G2" s="318" t="inlineStr">
        <is>
          <t>TOTAL GASOLINA (gal):</t>
        </is>
      </c>
      <c r="J2" s="366">
        <f>IFERROR(SUMPRODUCT((K6:K110="GASOLINA")*ISNUMBER(M6:M110)*M6:M110),0)</f>
        <v/>
      </c>
      <c r="M2" s="318" t="inlineStr">
        <is>
          <t>TOTAL SOLES S/.:</t>
        </is>
      </c>
      <c r="P2" s="367">
        <f>IFERROR(SUMPRODUCT(ISNUMBER(M6:M110)*L6:L110*M6:M110),0)</f>
        <v/>
      </c>
      <c r="S2" s="318" t="inlineStr">
        <is>
          <t>N TRASLADOS:</t>
        </is>
      </c>
      <c r="U2" s="368">
        <f>SUBTOTAL(2,A6:A110)</f>
        <v/>
      </c>
      <c r="W2" s="281" t="n"/>
    </row>
    <row r="3" ht="3.75" customHeight="1" s="195">
      <c r="A3" s="289" t="n"/>
      <c r="B3" s="289" t="n"/>
      <c r="C3" s="289" t="n"/>
      <c r="D3" s="289" t="n"/>
      <c r="E3" s="289" t="n"/>
      <c r="F3" s="289" t="n"/>
      <c r="G3" s="289" t="n"/>
      <c r="H3" s="289" t="n"/>
      <c r="I3" s="289" t="n"/>
      <c r="J3" s="289" t="n"/>
      <c r="K3" s="289" t="n"/>
      <c r="L3" s="289" t="n"/>
      <c r="M3" s="289" t="n"/>
      <c r="N3" s="289" t="n"/>
      <c r="O3" s="289" t="n"/>
      <c r="P3" s="289" t="n"/>
      <c r="Q3" s="289" t="n"/>
      <c r="R3" s="289" t="n"/>
      <c r="S3" s="289" t="n"/>
      <c r="T3" s="289" t="n"/>
      <c r="U3" s="289" t="n"/>
      <c r="V3" s="289" t="n"/>
      <c r="W3" s="289" t="n"/>
      <c r="X3" s="289" t="n"/>
      <c r="Y3" s="289" t="n"/>
      <c r="Z3" s="289" t="n"/>
      <c r="AA3" s="284" t="n"/>
    </row>
    <row r="4" ht="19.5" customHeight="1" s="195">
      <c r="A4" s="369" t="inlineStr">
        <is>
          <t>COLUMNAS EN AZUL = AUTO (no editar) | Ingrese: N, NRO FORMATO, AFILIADO, TIPO DOC, NRO DOC, FECHA TRASLADO, COD RENAES, COD REFERENCIA, DNI CONDUCTOR, PRECIO GAL, GALONES, FECHA ENTREGA, CIE-10, ESTADO FUA, FECHA DIGITACION, OFICIO, O/C, META, OBSERVACION</t>
        </is>
      </c>
      <c r="Z4" s="369" t="n"/>
      <c r="AA4" s="284" t="n"/>
    </row>
    <row r="5" ht="31.5" customHeight="1" s="195">
      <c r="A5" s="370" t="inlineStr">
        <is>
          <t>N</t>
        </is>
      </c>
      <c r="B5" s="370" t="inlineStr">
        <is>
          <t>NRO FORMATO
ATENCION</t>
        </is>
      </c>
      <c r="C5" s="370" t="inlineStr">
        <is>
          <t>UNIDAD
EJECUTORA</t>
        </is>
      </c>
      <c r="D5" s="370" t="inlineStr">
        <is>
          <t>AFILIADO</t>
        </is>
      </c>
      <c r="E5" s="370" t="inlineStr">
        <is>
          <t>TIPO
DOC</t>
        </is>
      </c>
      <c r="F5" s="370" t="inlineStr">
        <is>
          <t>NRO
DOCUMENTO</t>
        </is>
      </c>
      <c r="G5" s="370" t="inlineStr">
        <is>
          <t>FECHA
TRASLADO</t>
        </is>
      </c>
      <c r="H5" s="370" t="inlineStr">
        <is>
          <t>COD
RENAES</t>
        </is>
      </c>
      <c r="I5" s="371" t="inlineStr">
        <is>
          <t>DESCRIPCION
EESS</t>
        </is>
      </c>
      <c r="J5" s="370" t="inlineStr">
        <is>
          <t>COD EESS
REFERENCIA</t>
        </is>
      </c>
      <c r="K5" s="371" t="inlineStr">
        <is>
          <t>TIPO DE
COMBUSTIBLE</t>
        </is>
      </c>
      <c r="L5" s="370" t="inlineStr">
        <is>
          <t>PRECIO
GAL S/.</t>
        </is>
      </c>
      <c r="M5" s="370" t="inlineStr">
        <is>
          <t>GALONES</t>
        </is>
      </c>
      <c r="N5" s="371" t="inlineStr">
        <is>
          <t>TOTAL
COMBUSTIBLE S/.</t>
        </is>
      </c>
      <c r="O5" s="370" t="inlineStr">
        <is>
          <t>DNI
CONDUCTOR</t>
        </is>
      </c>
      <c r="P5" s="371" t="inlineStr">
        <is>
          <t>NOMBRE
CONDUCTOR</t>
        </is>
      </c>
      <c r="Q5" s="371" t="inlineStr">
        <is>
          <t>PLACA</t>
        </is>
      </c>
      <c r="R5" s="370" t="inlineStr">
        <is>
          <t>FECHA DE
ENTREGA</t>
        </is>
      </c>
      <c r="S5" s="370" t="inlineStr">
        <is>
          <t>CODIGO DE
DIAGNOSTICO</t>
        </is>
      </c>
      <c r="T5" s="370" t="inlineStr">
        <is>
          <t>ESTADO
FUA</t>
        </is>
      </c>
      <c r="U5" s="370" t="inlineStr">
        <is>
          <t>FECHA
DIGITACION</t>
        </is>
      </c>
      <c r="V5" s="370" t="inlineStr">
        <is>
          <t>OFICIO</t>
        </is>
      </c>
      <c r="W5" s="370" t="inlineStr">
        <is>
          <t>O/C</t>
        </is>
      </c>
      <c r="X5" s="370" t="inlineStr">
        <is>
          <t>META</t>
        </is>
      </c>
      <c r="Y5" s="324" t="inlineStr">
        <is>
          <t>DEVOLVER A
(IPRESS DESTINO)</t>
        </is>
      </c>
      <c r="Z5" s="372" t="inlineStr">
        <is>
          <t>ESTADO
COMPLETADO</t>
        </is>
      </c>
      <c r="AA5" s="284" t="n"/>
    </row>
    <row r="6" ht="15.75" customHeight="1" s="195">
      <c r="A6" s="334" t="n"/>
      <c r="B6" s="334" t="n"/>
      <c r="C6" s="334" t="n"/>
      <c r="D6" s="334" t="n"/>
      <c r="E6" s="334" t="n"/>
      <c r="F6" s="334" t="n"/>
      <c r="G6" s="334" t="n"/>
      <c r="H6" s="334" t="n"/>
      <c r="I6" s="332">
        <f>IFERROR(VLOOKUP(TEXT(H6,"0"),IPRESS!$A$3:$B$212,2,0),"")</f>
        <v/>
      </c>
      <c r="J6" s="334" t="n"/>
      <c r="K6" s="332">
        <f>IFERROR(VLOOKUP(TEXT(O6,"0"),CONDUCTORES!$A$3:$G$54,7,0),"")</f>
        <v/>
      </c>
      <c r="L6" s="334" t="n"/>
      <c r="M6" s="334" t="n"/>
      <c r="N6" s="333">
        <f>IFERROR(IF(L6*M6=0,"",L6*M6),"")</f>
        <v/>
      </c>
      <c r="O6" s="334" t="n"/>
      <c r="P6" s="332">
        <f>IFERROR(VLOOKUP(TEXT(O6,"0"),CONDUCTORES!$A$3:$G$54,2,0),"")</f>
        <v/>
      </c>
      <c r="Q6" s="332">
        <f>IFERROR(VLOOKUP(TEXT(O6,"0"),CONDUCTORES!$A$3:$H$54,6,0),"")</f>
        <v/>
      </c>
      <c r="R6" s="334" t="n"/>
      <c r="S6" s="334" t="n"/>
      <c r="T6" s="334" t="n"/>
      <c r="U6" s="334" t="n"/>
      <c r="V6" s="334" t="n"/>
      <c r="W6" s="334" t="n"/>
      <c r="X6" s="334" t="n"/>
      <c r="Y6" s="334" t="n"/>
      <c r="Z6" s="242">
        <f>IF(AND(G6&lt;&gt;"",R6&lt;&gt;"",V6&lt;&gt;"",W6&lt;&gt;""),"COMPLETADO","OBSERVADO")</f>
        <v/>
      </c>
      <c r="AA6" s="284" t="n"/>
    </row>
    <row r="7" ht="15.75" customHeight="1" s="195">
      <c r="A7" s="280" t="n"/>
      <c r="B7" s="280" t="n"/>
      <c r="C7" s="280" t="n"/>
      <c r="D7" s="280" t="n"/>
      <c r="E7" s="280" t="n"/>
      <c r="F7" s="280" t="n"/>
      <c r="G7" s="280" t="n"/>
      <c r="H7" s="280" t="n"/>
      <c r="I7" s="332">
        <f>IFERROR(VLOOKUP(TEXT(H7,"0"),IPRESS!$A$3:$B$212,2,0),"")</f>
        <v/>
      </c>
      <c r="J7" s="280" t="n"/>
      <c r="K7" s="332">
        <f>IFERROR(VLOOKUP(TEXT(O7,"0"),CONDUCTORES!$A$3:$G$54,7,0),"")</f>
        <v/>
      </c>
      <c r="L7" s="280" t="n"/>
      <c r="M7" s="280" t="n"/>
      <c r="N7" s="333">
        <f>IFERROR(IF(L7*M7=0,"",L7*M7),"")</f>
        <v/>
      </c>
      <c r="O7" s="280" t="n"/>
      <c r="P7" s="332">
        <f>IFERROR(VLOOKUP(TEXT(O7,"0"),CONDUCTORES!$A$3:$G$54,2,0),"")</f>
        <v/>
      </c>
      <c r="Q7" s="332">
        <f>IFERROR(VLOOKUP(TEXT(O7,"0"),CONDUCTORES!$A$3:$H$54,6,0),"")</f>
        <v/>
      </c>
      <c r="R7" s="280" t="n"/>
      <c r="S7" s="280" t="n"/>
      <c r="T7" s="280" t="n"/>
      <c r="U7" s="280" t="n"/>
      <c r="V7" s="280" t="n"/>
      <c r="W7" s="280" t="n"/>
      <c r="X7" s="280" t="n"/>
      <c r="Y7" s="280" t="n"/>
      <c r="Z7" s="236">
        <f>IF(AND(G7&lt;&gt;"",R7&lt;&gt;"",V7&lt;&gt;"",W7&lt;&gt;""),"COMPLETADO","OBSERVADO")</f>
        <v/>
      </c>
      <c r="AA7" s="284" t="n"/>
    </row>
    <row r="8" ht="15.75" customHeight="1" s="195">
      <c r="A8" s="334" t="n"/>
      <c r="K8" s="332">
        <f>IFERROR(VLOOKUP(TEXT(O8,"0"),CONDUCTORES!$A$3:$G$54,7,0),"")</f>
        <v/>
      </c>
      <c r="L8" s="334" t="n"/>
      <c r="M8" s="373" t="n"/>
      <c r="N8" s="333">
        <f>IFERROR(IF(L8*M8=0,"",L8*M8),"")</f>
        <v/>
      </c>
      <c r="O8" s="334" t="n"/>
      <c r="P8" s="332">
        <f>IFERROR(VLOOKUP(TEXT(O8,"0"),CONDUCTORES!$A$3:$G$54,2,0),"")</f>
        <v/>
      </c>
      <c r="Q8" s="332">
        <f>IFERROR(VLOOKUP(TEXT(O8,"0"),CONDUCTORES!$A$3:$H$54,6,0),"")</f>
        <v/>
      </c>
      <c r="R8" s="334" t="n"/>
      <c r="S8" s="334" t="n"/>
      <c r="T8" s="334" t="n"/>
      <c r="U8" s="334" t="n"/>
      <c r="V8" s="334" t="n"/>
      <c r="W8" s="334" t="n"/>
      <c r="X8" s="334" t="n"/>
      <c r="Y8" s="334" t="n"/>
      <c r="Z8" s="242">
        <f>IF(AND(G8&lt;&gt;"",R8&lt;&gt;"",V8&lt;&gt;"",W8&lt;&gt;""),"COMPLETADO","OBSERVADO")</f>
        <v/>
      </c>
      <c r="AA8" s="284" t="n"/>
    </row>
    <row r="9" ht="15.75" customHeight="1" s="195">
      <c r="A9" s="280" t="n"/>
      <c r="B9" s="280" t="n"/>
      <c r="C9" s="280" t="n"/>
      <c r="D9" s="280" t="n"/>
      <c r="E9" s="280" t="n"/>
      <c r="F9" s="280" t="n"/>
      <c r="G9" s="280" t="n"/>
      <c r="H9" s="280" t="n"/>
      <c r="I9" s="332">
        <f>IFERROR(VLOOKUP(TEXT(H9,"0"),IPRESS!$A$3:$B$212,2,0),"")</f>
        <v/>
      </c>
      <c r="J9" s="280" t="n"/>
      <c r="K9" s="332">
        <f>IFERROR(VLOOKUP(TEXT(O9,"0"),CONDUCTORES!$A$3:$G$54,7,0),"")</f>
        <v/>
      </c>
      <c r="L9" s="280" t="n"/>
      <c r="M9" s="280" t="n"/>
      <c r="N9" s="333">
        <f>IFERROR(IF(L9*M9=0,"",L9*M9),"")</f>
        <v/>
      </c>
      <c r="O9" s="280" t="n"/>
      <c r="P9" s="332">
        <f>IFERROR(VLOOKUP(TEXT(O9,"0"),CONDUCTORES!$A$3:$G$54,2,0),"")</f>
        <v/>
      </c>
      <c r="Q9" s="332">
        <f>IFERROR(VLOOKUP(TEXT(O9,"0"),CONDUCTORES!$A$3:$H$54,6,0),"")</f>
        <v/>
      </c>
      <c r="R9" s="280" t="n"/>
      <c r="S9" s="280" t="n"/>
      <c r="T9" s="280" t="n"/>
      <c r="U9" s="280" t="n"/>
      <c r="V9" s="280" t="n"/>
      <c r="W9" s="280" t="n"/>
      <c r="X9" s="280" t="n"/>
      <c r="Y9" s="280" t="n"/>
      <c r="Z9" s="236">
        <f>IF(AND(G9&lt;&gt;"",R9&lt;&gt;"",V9&lt;&gt;"",W9&lt;&gt;""),"COMPLETADO","OBSERVADO")</f>
        <v/>
      </c>
      <c r="AA9" s="284" t="n"/>
    </row>
    <row r="10" ht="15.75" customHeight="1" s="195">
      <c r="A10" s="334" t="n"/>
      <c r="B10" s="334" t="n"/>
      <c r="C10" s="334" t="n"/>
      <c r="D10" s="334" t="n"/>
      <c r="E10" s="334" t="n"/>
      <c r="F10" s="334" t="n"/>
      <c r="G10" s="334" t="n"/>
      <c r="H10" s="334" t="n"/>
      <c r="I10" s="332">
        <f>IFERROR(VLOOKUP(TEXT(H10,"0"),IPRESS!$A$3:$B$212,2,0),"")</f>
        <v/>
      </c>
      <c r="J10" s="334" t="n"/>
      <c r="K10" s="332">
        <f>IFERROR(VLOOKUP(TEXT(O10,"0"),CONDUCTORES!$A$3:$G$54,7,0),"")</f>
        <v/>
      </c>
      <c r="L10" s="334" t="n"/>
      <c r="M10" s="334" t="n"/>
      <c r="N10" s="333">
        <f>IFERROR(IF(L10*M10=0,"",L10*M10),"")</f>
        <v/>
      </c>
      <c r="O10" s="334" t="n"/>
      <c r="P10" s="332">
        <f>IFERROR(VLOOKUP(TEXT(O10,"0"),CONDUCTORES!$A$3:$G$54,2,0),"")</f>
        <v/>
      </c>
      <c r="Q10" s="332">
        <f>IFERROR(VLOOKUP(TEXT(O10,"0"),CONDUCTORES!$A$3:$H$54,6,0),"")</f>
        <v/>
      </c>
      <c r="R10" s="334" t="n"/>
      <c r="S10" s="334" t="n"/>
      <c r="T10" s="334" t="n"/>
      <c r="U10" s="334" t="n"/>
      <c r="V10" s="334" t="n"/>
      <c r="W10" s="334" t="n"/>
      <c r="X10" s="334" t="n"/>
      <c r="Y10" s="334" t="n"/>
      <c r="Z10" s="242">
        <f>IF(AND(G10&lt;&gt;"",R10&lt;&gt;"",V10&lt;&gt;"",W10&lt;&gt;""),"COMPLETADO","OBSERVADO")</f>
        <v/>
      </c>
      <c r="AA10" s="284" t="n"/>
    </row>
    <row r="11" ht="15.75" customHeight="1" s="195">
      <c r="A11" s="280" t="n"/>
      <c r="B11" s="280" t="n"/>
      <c r="C11" s="280" t="n"/>
      <c r="D11" s="280" t="n"/>
      <c r="E11" s="280" t="n"/>
      <c r="F11" s="280" t="n"/>
      <c r="G11" s="280" t="n"/>
      <c r="H11" s="280" t="n"/>
      <c r="I11" s="332">
        <f>IFERROR(VLOOKUP(TEXT(H11,"0"),IPRESS!$A$3:$B$212,2,0),"")</f>
        <v/>
      </c>
      <c r="J11" s="280" t="n"/>
      <c r="K11" s="332">
        <f>IFERROR(VLOOKUP(TEXT(O11,"0"),CONDUCTORES!$A$3:$G$54,7,0),"")</f>
        <v/>
      </c>
      <c r="L11" s="280" t="n"/>
      <c r="M11" s="280" t="n"/>
      <c r="N11" s="333">
        <f>IFERROR(IF(L11*M11=0,"",L11*M11),"")</f>
        <v/>
      </c>
      <c r="O11" s="280" t="n"/>
      <c r="P11" s="332">
        <f>IFERROR(VLOOKUP(TEXT(O11,"0"),CONDUCTORES!$A$3:$G$54,2,0),"")</f>
        <v/>
      </c>
      <c r="Q11" s="332">
        <f>IFERROR(VLOOKUP(TEXT(O11,"0"),CONDUCTORES!$A$3:$H$54,6,0),"")</f>
        <v/>
      </c>
      <c r="R11" s="280" t="n"/>
      <c r="S11" s="280" t="n"/>
      <c r="T11" s="280" t="n"/>
      <c r="U11" s="280" t="n"/>
      <c r="V11" s="280" t="n"/>
      <c r="W11" s="280" t="n"/>
      <c r="X11" s="280" t="n"/>
      <c r="Y11" s="280" t="n"/>
      <c r="Z11" s="236">
        <f>IF(AND(G11&lt;&gt;"",R11&lt;&gt;"",V11&lt;&gt;"",W11&lt;&gt;""),"COMPLETADO","OBSERVADO")</f>
        <v/>
      </c>
      <c r="AA11" s="284" t="n"/>
    </row>
    <row r="12" ht="15.75" customHeight="1" s="195">
      <c r="A12" s="334" t="n"/>
      <c r="B12" s="334" t="n"/>
      <c r="C12" s="334" t="n"/>
      <c r="D12" s="334" t="n"/>
      <c r="E12" s="334" t="n"/>
      <c r="F12" s="334" t="n"/>
      <c r="G12" s="334" t="n"/>
      <c r="H12" s="334" t="n"/>
      <c r="I12" s="332">
        <f>IFERROR(VLOOKUP(TEXT(H12,"0"),IPRESS!$A$3:$B$212,2,0),"")</f>
        <v/>
      </c>
      <c r="J12" s="334" t="n"/>
      <c r="K12" s="332">
        <f>IFERROR(VLOOKUP(TEXT(O12,"0"),CONDUCTORES!$A$3:$G$54,7,0),"")</f>
        <v/>
      </c>
      <c r="L12" s="334" t="n"/>
      <c r="M12" s="334" t="n"/>
      <c r="N12" s="333">
        <f>IFERROR(IF(L12*M12=0,"",L12*M12),"")</f>
        <v/>
      </c>
      <c r="O12" s="334" t="n"/>
      <c r="P12" s="332">
        <f>IFERROR(VLOOKUP(TEXT(O12,"0"),CONDUCTORES!$A$3:$G$54,2,0),"")</f>
        <v/>
      </c>
      <c r="Q12" s="332">
        <f>IFERROR(VLOOKUP(TEXT(O12,"0"),CONDUCTORES!$A$3:$H$54,6,0),"")</f>
        <v/>
      </c>
      <c r="R12" s="334" t="n"/>
      <c r="S12" s="334" t="n"/>
      <c r="T12" s="334" t="n"/>
      <c r="U12" s="334" t="n"/>
      <c r="V12" s="334" t="n"/>
      <c r="W12" s="334" t="n"/>
      <c r="X12" s="334" t="n"/>
      <c r="Y12" s="334" t="n"/>
      <c r="Z12" s="242">
        <f>IF(AND(G12&lt;&gt;"",R12&lt;&gt;"",V12&lt;&gt;"",W12&lt;&gt;""),"COMPLETADO","OBSERVADO")</f>
        <v/>
      </c>
      <c r="AA12" s="284" t="n"/>
    </row>
    <row r="13" ht="15.75" customHeight="1" s="195">
      <c r="A13" s="280" t="n"/>
      <c r="B13" s="280" t="n"/>
      <c r="C13" s="280" t="n"/>
      <c r="D13" s="280" t="n"/>
      <c r="E13" s="280" t="n"/>
      <c r="F13" s="280" t="n"/>
      <c r="G13" s="280" t="n"/>
      <c r="H13" s="280" t="n"/>
      <c r="I13" s="332">
        <f>IFERROR(VLOOKUP(TEXT(H13,"0"),IPRESS!$A$3:$B$212,2,0),"")</f>
        <v/>
      </c>
      <c r="J13" s="280" t="n"/>
      <c r="K13" s="332">
        <f>IFERROR(VLOOKUP(TEXT(O13,"0"),CONDUCTORES!$A$3:$G$54,7,0),"")</f>
        <v/>
      </c>
      <c r="L13" s="280" t="n"/>
      <c r="M13" s="280" t="n"/>
      <c r="N13" s="333">
        <f>IFERROR(IF(L13*M13=0,"",L13*M13),"")</f>
        <v/>
      </c>
      <c r="O13" s="280" t="n"/>
      <c r="P13" s="332">
        <f>IFERROR(VLOOKUP(TEXT(O13,"0"),CONDUCTORES!$A$3:$G$54,2,0),"")</f>
        <v/>
      </c>
      <c r="Q13" s="332">
        <f>IFERROR(VLOOKUP(TEXT(O13,"0"),CONDUCTORES!$A$3:$H$54,6,0),"")</f>
        <v/>
      </c>
      <c r="R13" s="280" t="n"/>
      <c r="S13" s="280" t="n"/>
      <c r="T13" s="280" t="n"/>
      <c r="U13" s="280" t="n"/>
      <c r="V13" s="280" t="n"/>
      <c r="W13" s="280" t="n"/>
      <c r="X13" s="280" t="n"/>
      <c r="Y13" s="280" t="n"/>
      <c r="Z13" s="236">
        <f>IF(AND(G13&lt;&gt;"",R13&lt;&gt;"",V13&lt;&gt;"",W13&lt;&gt;""),"COMPLETADO","OBSERVADO")</f>
        <v/>
      </c>
      <c r="AA13" s="284" t="n"/>
    </row>
    <row r="14" ht="15.75" customHeight="1" s="195">
      <c r="A14" s="334" t="n"/>
      <c r="B14" s="334" t="n"/>
      <c r="C14" s="334" t="n"/>
      <c r="D14" s="334" t="n"/>
      <c r="E14" s="334" t="n"/>
      <c r="F14" s="334" t="n"/>
      <c r="G14" s="334" t="n"/>
      <c r="H14" s="334" t="n"/>
      <c r="I14" s="332">
        <f>IFERROR(VLOOKUP(TEXT(H14,"0"),IPRESS!$A$3:$B$212,2,0),"")</f>
        <v/>
      </c>
      <c r="J14" s="334" t="n"/>
      <c r="K14" s="332">
        <f>IFERROR(VLOOKUP(TEXT(O14,"0"),CONDUCTORES!$A$3:$G$54,7,0),"")</f>
        <v/>
      </c>
      <c r="L14" s="334" t="n"/>
      <c r="M14" s="334" t="n"/>
      <c r="N14" s="333">
        <f>IFERROR(IF(L14*M14=0,"",L14*M14),"")</f>
        <v/>
      </c>
      <c r="O14" s="334" t="n"/>
      <c r="P14" s="332">
        <f>IFERROR(VLOOKUP(TEXT(O14,"0"),CONDUCTORES!$A$3:$G$54,2,0),"")</f>
        <v/>
      </c>
      <c r="Q14" s="332">
        <f>IFERROR(VLOOKUP(TEXT(O14,"0"),CONDUCTORES!$A$3:$H$54,6,0),"")</f>
        <v/>
      </c>
      <c r="R14" s="334" t="n"/>
      <c r="S14" s="334" t="n"/>
      <c r="T14" s="334" t="n"/>
      <c r="U14" s="334" t="n"/>
      <c r="V14" s="334" t="n"/>
      <c r="W14" s="334" t="n"/>
      <c r="X14" s="334" t="n"/>
      <c r="Y14" s="334" t="n"/>
      <c r="Z14" s="242">
        <f>IF(AND(G14&lt;&gt;"",R14&lt;&gt;"",V14&lt;&gt;"",W14&lt;&gt;""),"COMPLETADO","OBSERVADO")</f>
        <v/>
      </c>
      <c r="AA14" s="284" t="n"/>
    </row>
    <row r="15" ht="15.75" customHeight="1" s="195">
      <c r="A15" s="280" t="n"/>
      <c r="B15" s="280" t="n"/>
      <c r="C15" s="280" t="n"/>
      <c r="D15" s="280" t="n"/>
      <c r="E15" s="280" t="n"/>
      <c r="F15" s="280" t="n"/>
      <c r="G15" s="280" t="n"/>
      <c r="H15" s="280" t="n"/>
      <c r="I15" s="332">
        <f>IFERROR(VLOOKUP(TEXT(H15,"0"),IPRESS!$A$3:$B$212,2,0),"")</f>
        <v/>
      </c>
      <c r="J15" s="280" t="n"/>
      <c r="K15" s="332">
        <f>IFERROR(VLOOKUP(TEXT(O15,"0"),CONDUCTORES!$A$3:$G$54,7,0),"")</f>
        <v/>
      </c>
      <c r="L15" s="280" t="n"/>
      <c r="M15" s="280" t="n"/>
      <c r="N15" s="333">
        <f>IFERROR(IF(L15*M15=0,"",L15*M15),"")</f>
        <v/>
      </c>
      <c r="O15" s="280" t="n"/>
      <c r="P15" s="332">
        <f>IFERROR(VLOOKUP(TEXT(O15,"0"),CONDUCTORES!$A$3:$G$54,2,0),"")</f>
        <v/>
      </c>
      <c r="Q15" s="332">
        <f>IFERROR(VLOOKUP(TEXT(O15,"0"),CONDUCTORES!$A$3:$H$54,6,0),"")</f>
        <v/>
      </c>
      <c r="R15" s="280" t="n"/>
      <c r="S15" s="280" t="n"/>
      <c r="T15" s="280" t="n"/>
      <c r="U15" s="280" t="n"/>
      <c r="V15" s="280" t="n"/>
      <c r="W15" s="280" t="n"/>
      <c r="X15" s="280" t="n"/>
      <c r="Y15" s="280" t="n"/>
      <c r="Z15" s="236">
        <f>IF(AND(G15&lt;&gt;"",R15&lt;&gt;"",V15&lt;&gt;"",W15&lt;&gt;""),"COMPLETADO","OBSERVADO")</f>
        <v/>
      </c>
      <c r="AA15" s="284" t="n"/>
    </row>
    <row r="16" ht="15.75" customHeight="1" s="195">
      <c r="A16" s="334" t="n"/>
      <c r="B16" s="334" t="n"/>
      <c r="C16" s="334" t="n"/>
      <c r="D16" s="334" t="n"/>
      <c r="E16" s="334" t="n"/>
      <c r="F16" s="334" t="n"/>
      <c r="G16" s="334" t="n"/>
      <c r="H16" s="334" t="n"/>
      <c r="I16" s="332">
        <f>IFERROR(VLOOKUP(TEXT(H16,"0"),IPRESS!$A$3:$B$212,2,0),"")</f>
        <v/>
      </c>
      <c r="J16" s="334" t="n"/>
      <c r="K16" s="332">
        <f>IFERROR(VLOOKUP(TEXT(O16,"0"),CONDUCTORES!$A$3:$G$54,7,0),"")</f>
        <v/>
      </c>
      <c r="L16" s="334" t="n"/>
      <c r="M16" s="334" t="n"/>
      <c r="N16" s="333">
        <f>IFERROR(IF(L16*M16=0,"",L16*M16),"")</f>
        <v/>
      </c>
      <c r="O16" s="334" t="n"/>
      <c r="P16" s="332">
        <f>IFERROR(VLOOKUP(TEXT(O16,"0"),CONDUCTORES!$A$3:$G$54,2,0),"")</f>
        <v/>
      </c>
      <c r="Q16" s="332">
        <f>IFERROR(VLOOKUP(TEXT(O16,"0"),CONDUCTORES!$A$3:$H$54,6,0),"")</f>
        <v/>
      </c>
      <c r="R16" s="334" t="n"/>
      <c r="S16" s="334" t="n"/>
      <c r="T16" s="334" t="n"/>
      <c r="U16" s="334" t="n"/>
      <c r="V16" s="334" t="n"/>
      <c r="W16" s="334" t="n"/>
      <c r="X16" s="334" t="n"/>
      <c r="Y16" s="334" t="n"/>
      <c r="Z16" s="242">
        <f>IF(AND(G16&lt;&gt;"",R16&lt;&gt;"",V16&lt;&gt;"",W16&lt;&gt;""),"COMPLETADO","OBSERVADO")</f>
        <v/>
      </c>
      <c r="AA16" s="284" t="n"/>
    </row>
    <row r="17" ht="15.75" customHeight="1" s="195">
      <c r="A17" s="280" t="n"/>
      <c r="B17" s="280" t="n"/>
      <c r="C17" s="280" t="n"/>
      <c r="D17" s="280" t="n"/>
      <c r="E17" s="280" t="n"/>
      <c r="F17" s="280" t="n"/>
      <c r="G17" s="280" t="n"/>
      <c r="H17" s="280" t="n"/>
      <c r="I17" s="332">
        <f>IFERROR(VLOOKUP(TEXT(H17,"0"),IPRESS!$A$3:$B$212,2,0),"")</f>
        <v/>
      </c>
      <c r="J17" s="280" t="n"/>
      <c r="K17" s="332">
        <f>IFERROR(VLOOKUP(TEXT(O17,"0"),CONDUCTORES!$A$3:$G$54,7,0),"")</f>
        <v/>
      </c>
      <c r="L17" s="280" t="n"/>
      <c r="M17" s="280" t="n"/>
      <c r="N17" s="333">
        <f>IFERROR(IF(L17*M17=0,"",L17*M17),"")</f>
        <v/>
      </c>
      <c r="O17" s="280" t="n"/>
      <c r="P17" s="332">
        <f>IFERROR(VLOOKUP(TEXT(O17,"0"),CONDUCTORES!$A$3:$G$54,2,0),"")</f>
        <v/>
      </c>
      <c r="Q17" s="332">
        <f>IFERROR(VLOOKUP(TEXT(O17,"0"),CONDUCTORES!$A$3:$H$54,6,0),"")</f>
        <v/>
      </c>
      <c r="R17" s="280" t="n"/>
      <c r="S17" s="280" t="n"/>
      <c r="T17" s="280" t="n"/>
      <c r="U17" s="280" t="n"/>
      <c r="V17" s="280" t="n"/>
      <c r="W17" s="280" t="n"/>
      <c r="X17" s="280" t="n"/>
      <c r="Y17" s="280" t="n"/>
      <c r="Z17" s="236">
        <f>IF(AND(G17&lt;&gt;"",R17&lt;&gt;"",V17&lt;&gt;"",W17&lt;&gt;""),"COMPLETADO","OBSERVADO")</f>
        <v/>
      </c>
      <c r="AA17" s="284" t="n"/>
    </row>
    <row r="18" ht="15.75" customHeight="1" s="195">
      <c r="A18" s="334" t="n"/>
      <c r="B18" s="334" t="n"/>
      <c r="C18" s="334" t="n"/>
      <c r="D18" s="334" t="n"/>
      <c r="E18" s="334" t="n"/>
      <c r="F18" s="334" t="n"/>
      <c r="G18" s="334" t="n"/>
      <c r="H18" s="334" t="n"/>
      <c r="I18" s="332">
        <f>IFERROR(VLOOKUP(TEXT(H18,"0"),IPRESS!$A$3:$B$212,2,0),"")</f>
        <v/>
      </c>
      <c r="J18" s="334" t="n"/>
      <c r="K18" s="332">
        <f>IFERROR(VLOOKUP(TEXT(O18,"0"),CONDUCTORES!$A$3:$G$54,7,0),"")</f>
        <v/>
      </c>
      <c r="L18" s="334" t="n"/>
      <c r="M18" s="334" t="n"/>
      <c r="N18" s="333">
        <f>IFERROR(IF(L18*M18=0,"",L18*M18),"")</f>
        <v/>
      </c>
      <c r="O18" s="334" t="n"/>
      <c r="P18" s="332">
        <f>IFERROR(VLOOKUP(TEXT(O18,"0"),CONDUCTORES!$A$3:$G$54,2,0),"")</f>
        <v/>
      </c>
      <c r="Q18" s="332">
        <f>IFERROR(VLOOKUP(TEXT(O18,"0"),CONDUCTORES!$A$3:$H$54,6,0),"")</f>
        <v/>
      </c>
      <c r="R18" s="334" t="n"/>
      <c r="S18" s="334" t="n"/>
      <c r="T18" s="334" t="n"/>
      <c r="U18" s="334" t="n"/>
      <c r="V18" s="334" t="n"/>
      <c r="W18" s="334" t="n"/>
      <c r="X18" s="334" t="n"/>
      <c r="Y18" s="334" t="n"/>
      <c r="Z18" s="242">
        <f>IF(AND(G18&lt;&gt;"",R18&lt;&gt;"",V18&lt;&gt;"",W18&lt;&gt;""),"COMPLETADO","OBSERVADO")</f>
        <v/>
      </c>
      <c r="AA18" s="284" t="n"/>
    </row>
    <row r="19" ht="15.75" customHeight="1" s="195">
      <c r="A19" s="280" t="n"/>
      <c r="B19" s="280" t="n"/>
      <c r="C19" s="280" t="n"/>
      <c r="D19" s="280" t="n"/>
      <c r="E19" s="280" t="n"/>
      <c r="F19" s="280" t="n"/>
      <c r="G19" s="280" t="n"/>
      <c r="H19" s="280" t="n"/>
      <c r="I19" s="332">
        <f>IFERROR(VLOOKUP(TEXT(H19,"0"),IPRESS!$A$3:$B$212,2,0),"")</f>
        <v/>
      </c>
      <c r="J19" s="280" t="n"/>
      <c r="K19" s="332">
        <f>IFERROR(VLOOKUP(TEXT(O19,"0"),CONDUCTORES!$A$3:$G$54,7,0),"")</f>
        <v/>
      </c>
      <c r="L19" s="280" t="n"/>
      <c r="M19" s="280" t="n"/>
      <c r="N19" s="333">
        <f>IFERROR(IF(L19*M19=0,"",L19*M19),"")</f>
        <v/>
      </c>
      <c r="O19" s="280" t="n"/>
      <c r="P19" s="332">
        <f>IFERROR(VLOOKUP(TEXT(O19,"0"),CONDUCTORES!$A$3:$G$54,2,0),"")</f>
        <v/>
      </c>
      <c r="Q19" s="332">
        <f>IFERROR(VLOOKUP(TEXT(O19,"0"),CONDUCTORES!$A$3:$H$54,6,0),"")</f>
        <v/>
      </c>
      <c r="R19" s="280" t="n"/>
      <c r="S19" s="280" t="n"/>
      <c r="T19" s="280" t="n"/>
      <c r="U19" s="280" t="n"/>
      <c r="V19" s="280" t="n"/>
      <c r="W19" s="280" t="n"/>
      <c r="X19" s="280" t="n"/>
      <c r="Y19" s="280" t="n"/>
      <c r="Z19" s="236">
        <f>IF(AND(G19&lt;&gt;"",R19&lt;&gt;"",V19&lt;&gt;"",W19&lt;&gt;""),"COMPLETADO","OBSERVADO")</f>
        <v/>
      </c>
      <c r="AA19" s="284" t="n"/>
    </row>
    <row r="20" ht="15.75" customHeight="1" s="195">
      <c r="A20" s="334" t="n"/>
      <c r="B20" s="334" t="n"/>
      <c r="C20" s="334" t="n"/>
      <c r="D20" s="334" t="n"/>
      <c r="E20" s="334" t="n"/>
      <c r="F20" s="334" t="n"/>
      <c r="G20" s="334" t="n"/>
      <c r="H20" s="334" t="n"/>
      <c r="I20" s="332">
        <f>IFERROR(VLOOKUP(TEXT(H20,"0"),IPRESS!$A$3:$B$212,2,0),"")</f>
        <v/>
      </c>
      <c r="J20" s="334" t="n"/>
      <c r="K20" s="332">
        <f>IFERROR(VLOOKUP(TEXT(O20,"0"),CONDUCTORES!$A$3:$G$54,7,0),"")</f>
        <v/>
      </c>
      <c r="L20" s="334" t="n"/>
      <c r="M20" s="334" t="n"/>
      <c r="N20" s="333">
        <f>IFERROR(IF(L20*M20=0,"",L20*M20),"")</f>
        <v/>
      </c>
      <c r="O20" s="334" t="n"/>
      <c r="P20" s="332">
        <f>IFERROR(VLOOKUP(TEXT(O20,"0"),CONDUCTORES!$A$3:$G$54,2,0),"")</f>
        <v/>
      </c>
      <c r="Q20" s="332">
        <f>IFERROR(VLOOKUP(TEXT(O20,"0"),CONDUCTORES!$A$3:$H$54,6,0),"")</f>
        <v/>
      </c>
      <c r="R20" s="334" t="n"/>
      <c r="S20" s="334" t="n"/>
      <c r="T20" s="334" t="n"/>
      <c r="U20" s="334" t="n"/>
      <c r="V20" s="334" t="n"/>
      <c r="W20" s="334" t="n"/>
      <c r="X20" s="334" t="n"/>
      <c r="Y20" s="334" t="n"/>
      <c r="Z20" s="242">
        <f>IF(AND(G20&lt;&gt;"",R20&lt;&gt;"",V20&lt;&gt;"",W20&lt;&gt;""),"COMPLETADO","OBSERVADO")</f>
        <v/>
      </c>
      <c r="AA20" s="284" t="n"/>
    </row>
    <row r="21" ht="15.75" customHeight="1" s="195">
      <c r="A21" s="280" t="n"/>
      <c r="B21" s="280" t="n"/>
      <c r="C21" s="280" t="n"/>
      <c r="D21" s="280" t="n"/>
      <c r="E21" s="280" t="n"/>
      <c r="F21" s="280" t="n"/>
      <c r="G21" s="280" t="n"/>
      <c r="H21" s="280" t="n"/>
      <c r="I21" s="332">
        <f>IFERROR(VLOOKUP(TEXT(H21,"0"),IPRESS!$A$3:$B$212,2,0),"")</f>
        <v/>
      </c>
      <c r="J21" s="280" t="n"/>
      <c r="K21" s="332">
        <f>IFERROR(VLOOKUP(TEXT(O21,"0"),CONDUCTORES!$A$3:$G$54,7,0),"")</f>
        <v/>
      </c>
      <c r="L21" s="280" t="n"/>
      <c r="M21" s="280" t="n"/>
      <c r="N21" s="333">
        <f>IFERROR(IF(L21*M21=0,"",L21*M21),"")</f>
        <v/>
      </c>
      <c r="O21" s="280" t="n"/>
      <c r="P21" s="332">
        <f>IFERROR(VLOOKUP(TEXT(O21,"0"),CONDUCTORES!$A$3:$G$54,2,0),"")</f>
        <v/>
      </c>
      <c r="Q21" s="332">
        <f>IFERROR(VLOOKUP(TEXT(O21,"0"),CONDUCTORES!$A$3:$H$54,6,0),"")</f>
        <v/>
      </c>
      <c r="R21" s="280" t="n"/>
      <c r="S21" s="280" t="n"/>
      <c r="T21" s="280" t="n"/>
      <c r="U21" s="280" t="n"/>
      <c r="V21" s="280" t="n"/>
      <c r="W21" s="280" t="n"/>
      <c r="X21" s="280" t="n"/>
      <c r="Y21" s="280" t="n"/>
      <c r="Z21" s="236">
        <f>IF(AND(G21&lt;&gt;"",R21&lt;&gt;"",V21&lt;&gt;"",W21&lt;&gt;""),"COMPLETADO","OBSERVADO")</f>
        <v/>
      </c>
      <c r="AA21" s="284" t="n"/>
    </row>
    <row r="22" ht="15.75" customHeight="1" s="195">
      <c r="A22" s="334" t="n"/>
      <c r="B22" s="334" t="n"/>
      <c r="C22" s="334" t="n"/>
      <c r="D22" s="334" t="n"/>
      <c r="E22" s="334" t="n"/>
      <c r="F22" s="334" t="n"/>
      <c r="G22" s="334" t="n"/>
      <c r="H22" s="334" t="n"/>
      <c r="I22" s="332">
        <f>IFERROR(VLOOKUP(TEXT(H22,"0"),IPRESS!$A$3:$B$212,2,0),"")</f>
        <v/>
      </c>
      <c r="J22" s="334" t="n"/>
      <c r="K22" s="332">
        <f>IFERROR(VLOOKUP(TEXT(O22,"0"),CONDUCTORES!$A$3:$G$54,7,0),"")</f>
        <v/>
      </c>
      <c r="L22" s="334" t="n"/>
      <c r="M22" s="334" t="n"/>
      <c r="N22" s="333">
        <f>IFERROR(IF(L22*M22=0,"",L22*M22),"")</f>
        <v/>
      </c>
      <c r="O22" s="334" t="n"/>
      <c r="P22" s="332">
        <f>IFERROR(VLOOKUP(TEXT(O22,"0"),CONDUCTORES!$A$3:$G$54,2,0),"")</f>
        <v/>
      </c>
      <c r="Q22" s="332">
        <f>IFERROR(VLOOKUP(TEXT(O22,"0"),CONDUCTORES!$A$3:$H$54,6,0),"")</f>
        <v/>
      </c>
      <c r="R22" s="334" t="n"/>
      <c r="S22" s="334" t="n"/>
      <c r="T22" s="334" t="n"/>
      <c r="U22" s="334" t="n"/>
      <c r="V22" s="334" t="n"/>
      <c r="W22" s="334" t="n"/>
      <c r="X22" s="334" t="n"/>
      <c r="Y22" s="334" t="n"/>
      <c r="Z22" s="242">
        <f>IF(AND(G22&lt;&gt;"",R22&lt;&gt;"",V22&lt;&gt;"",W22&lt;&gt;""),"COMPLETADO","OBSERVADO")</f>
        <v/>
      </c>
      <c r="AA22" s="284" t="n"/>
    </row>
    <row r="23" ht="15.75" customHeight="1" s="195">
      <c r="A23" s="280" t="n"/>
      <c r="B23" s="280" t="n"/>
      <c r="C23" s="280" t="n"/>
      <c r="D23" s="280" t="n"/>
      <c r="E23" s="280" t="n"/>
      <c r="F23" s="280" t="n"/>
      <c r="G23" s="280" t="n"/>
      <c r="H23" s="280" t="n"/>
      <c r="I23" s="332">
        <f>IFERROR(VLOOKUP(TEXT(H23,"0"),IPRESS!$A$3:$B$212,2,0),"")</f>
        <v/>
      </c>
      <c r="J23" s="280" t="n"/>
      <c r="K23" s="332">
        <f>IFERROR(VLOOKUP(TEXT(O23,"0"),CONDUCTORES!$A$3:$G$54,7,0),"")</f>
        <v/>
      </c>
      <c r="L23" s="280" t="n"/>
      <c r="M23" s="280" t="n"/>
      <c r="N23" s="333">
        <f>IFERROR(IF(L23*M23=0,"",L23*M23),"")</f>
        <v/>
      </c>
      <c r="O23" s="280" t="n"/>
      <c r="P23" s="332">
        <f>IFERROR(VLOOKUP(TEXT(O23,"0"),CONDUCTORES!$A$3:$G$54,2,0),"")</f>
        <v/>
      </c>
      <c r="Q23" s="332">
        <f>IFERROR(VLOOKUP(TEXT(O23,"0"),CONDUCTORES!$A$3:$H$54,6,0),"")</f>
        <v/>
      </c>
      <c r="R23" s="280" t="n"/>
      <c r="S23" s="280" t="n"/>
      <c r="T23" s="280" t="n"/>
      <c r="U23" s="280" t="n"/>
      <c r="V23" s="280" t="n"/>
      <c r="W23" s="280" t="n"/>
      <c r="X23" s="280" t="n"/>
      <c r="Y23" s="280" t="n"/>
      <c r="Z23" s="236">
        <f>IF(AND(G23&lt;&gt;"",R23&lt;&gt;"",V23&lt;&gt;"",W23&lt;&gt;""),"COMPLETADO","OBSERVADO")</f>
        <v/>
      </c>
      <c r="AA23" s="284" t="n"/>
    </row>
    <row r="24" ht="15.75" customHeight="1" s="195">
      <c r="A24" s="334" t="n"/>
      <c r="B24" s="334" t="n"/>
      <c r="C24" s="334" t="n"/>
      <c r="D24" s="334" t="n"/>
      <c r="E24" s="334" t="n"/>
      <c r="F24" s="334" t="n"/>
      <c r="G24" s="334" t="n"/>
      <c r="H24" s="334" t="n"/>
      <c r="I24" s="332">
        <f>IFERROR(VLOOKUP(TEXT(H24,"0"),IPRESS!$A$3:$B$212,2,0),"")</f>
        <v/>
      </c>
      <c r="J24" s="334" t="n"/>
      <c r="K24" s="332">
        <f>IFERROR(VLOOKUP(TEXT(O24,"0"),CONDUCTORES!$A$3:$G$54,7,0),"")</f>
        <v/>
      </c>
      <c r="L24" s="334" t="n"/>
      <c r="M24" s="334" t="n"/>
      <c r="N24" s="333">
        <f>IFERROR(IF(L24*M24=0,"",L24*M24),"")</f>
        <v/>
      </c>
      <c r="O24" s="334" t="n"/>
      <c r="P24" s="332">
        <f>IFERROR(VLOOKUP(TEXT(O24,"0"),CONDUCTORES!$A$3:$G$54,2,0),"")</f>
        <v/>
      </c>
      <c r="Q24" s="332">
        <f>IFERROR(VLOOKUP(TEXT(O24,"0"),CONDUCTORES!$A$3:$H$54,6,0),"")</f>
        <v/>
      </c>
      <c r="R24" s="334" t="n"/>
      <c r="S24" s="334" t="n"/>
      <c r="T24" s="334" t="n"/>
      <c r="U24" s="334" t="n"/>
      <c r="V24" s="334" t="n"/>
      <c r="W24" s="334" t="n"/>
      <c r="X24" s="334" t="n"/>
      <c r="Y24" s="334" t="n"/>
      <c r="Z24" s="242">
        <f>IF(AND(G24&lt;&gt;"",R24&lt;&gt;"",V24&lt;&gt;"",W24&lt;&gt;""),"COMPLETADO","OBSERVADO")</f>
        <v/>
      </c>
      <c r="AA24" s="284" t="n"/>
    </row>
    <row r="25" ht="15.75" customHeight="1" s="195">
      <c r="A25" s="280" t="n"/>
      <c r="B25" s="280" t="n"/>
      <c r="C25" s="280" t="n"/>
      <c r="D25" s="280" t="n"/>
      <c r="E25" s="280" t="n"/>
      <c r="F25" s="280" t="n"/>
      <c r="G25" s="280" t="n"/>
      <c r="H25" s="280" t="n"/>
      <c r="I25" s="332">
        <f>IFERROR(VLOOKUP(TEXT(H25,"0"),IPRESS!$A$3:$B$212,2,0),"")</f>
        <v/>
      </c>
      <c r="J25" s="280" t="n"/>
      <c r="K25" s="332">
        <f>IFERROR(VLOOKUP(TEXT(O25,"0"),CONDUCTORES!$A$3:$G$54,7,0),"")</f>
        <v/>
      </c>
      <c r="L25" s="280" t="n"/>
      <c r="M25" s="280" t="n"/>
      <c r="N25" s="333">
        <f>IFERROR(IF(L25*M25=0,"",L25*M25),"")</f>
        <v/>
      </c>
      <c r="O25" s="280" t="n"/>
      <c r="P25" s="332">
        <f>IFERROR(VLOOKUP(TEXT(O25,"0"),CONDUCTORES!$A$3:$G$54,2,0),"")</f>
        <v/>
      </c>
      <c r="Q25" s="332">
        <f>IFERROR(VLOOKUP(TEXT(O25,"0"),CONDUCTORES!$A$3:$H$54,6,0),"")</f>
        <v/>
      </c>
      <c r="R25" s="280" t="n"/>
      <c r="S25" s="280" t="n"/>
      <c r="T25" s="280" t="n"/>
      <c r="U25" s="280" t="n"/>
      <c r="V25" s="280" t="n"/>
      <c r="W25" s="280" t="n"/>
      <c r="X25" s="280" t="n"/>
      <c r="Y25" s="280" t="n"/>
      <c r="Z25" s="236">
        <f>IF(AND(G25&lt;&gt;"",R25&lt;&gt;"",V25&lt;&gt;"",W25&lt;&gt;""),"COMPLETADO","OBSERVADO")</f>
        <v/>
      </c>
      <c r="AA25" s="284" t="n"/>
    </row>
    <row r="26" ht="15.75" customHeight="1" s="195">
      <c r="A26" s="334" t="n"/>
      <c r="B26" s="334" t="n"/>
      <c r="C26" s="334" t="n"/>
      <c r="D26" s="334" t="n"/>
      <c r="E26" s="334" t="n"/>
      <c r="F26" s="334" t="n"/>
      <c r="G26" s="334" t="n"/>
      <c r="H26" s="334" t="n"/>
      <c r="I26" s="332">
        <f>IFERROR(VLOOKUP(TEXT(H26,"0"),IPRESS!$A$3:$B$212,2,0),"")</f>
        <v/>
      </c>
      <c r="J26" s="334" t="n"/>
      <c r="K26" s="332">
        <f>IFERROR(VLOOKUP(TEXT(O26,"0"),CONDUCTORES!$A$3:$G$54,7,0),"")</f>
        <v/>
      </c>
      <c r="L26" s="334" t="n"/>
      <c r="M26" s="334" t="n"/>
      <c r="N26" s="333">
        <f>IFERROR(IF(L26*M26=0,"",L26*M26),"")</f>
        <v/>
      </c>
      <c r="O26" s="334" t="n"/>
      <c r="P26" s="332">
        <f>IFERROR(VLOOKUP(TEXT(O26,"0"),CONDUCTORES!$A$3:$G$54,2,0),"")</f>
        <v/>
      </c>
      <c r="Q26" s="332">
        <f>IFERROR(VLOOKUP(TEXT(O26,"0"),CONDUCTORES!$A$3:$H$54,6,0),"")</f>
        <v/>
      </c>
      <c r="R26" s="334" t="n"/>
      <c r="S26" s="334" t="n"/>
      <c r="T26" s="334" t="n"/>
      <c r="U26" s="334" t="n"/>
      <c r="V26" s="334" t="n"/>
      <c r="W26" s="334" t="n"/>
      <c r="X26" s="334" t="n"/>
      <c r="Y26" s="334" t="n"/>
      <c r="Z26" s="242">
        <f>IF(AND(G26&lt;&gt;"",R26&lt;&gt;"",V26&lt;&gt;"",W26&lt;&gt;""),"COMPLETADO","OBSERVADO")</f>
        <v/>
      </c>
      <c r="AA26" s="284" t="n"/>
    </row>
    <row r="27" ht="15.75" customHeight="1" s="195">
      <c r="A27" s="280" t="n"/>
      <c r="B27" s="280" t="n"/>
      <c r="C27" s="280" t="n"/>
      <c r="D27" s="280" t="n"/>
      <c r="E27" s="280" t="n"/>
      <c r="F27" s="280" t="n"/>
      <c r="G27" s="280" t="n"/>
      <c r="H27" s="280" t="n"/>
      <c r="I27" s="332">
        <f>IFERROR(VLOOKUP(TEXT(H27,"0"),IPRESS!$A$3:$B$212,2,0),"")</f>
        <v/>
      </c>
      <c r="J27" s="280" t="n"/>
      <c r="K27" s="332">
        <f>IFERROR(VLOOKUP(TEXT(O27,"0"),CONDUCTORES!$A$3:$G$54,7,0),"")</f>
        <v/>
      </c>
      <c r="L27" s="280" t="n"/>
      <c r="M27" s="280" t="n"/>
      <c r="N27" s="333">
        <f>IFERROR(IF(L27*M27=0,"",L27*M27),"")</f>
        <v/>
      </c>
      <c r="O27" s="280" t="n"/>
      <c r="P27" s="332">
        <f>IFERROR(VLOOKUP(TEXT(O27,"0"),CONDUCTORES!$A$3:$G$54,2,0),"")</f>
        <v/>
      </c>
      <c r="Q27" s="332">
        <f>IFERROR(VLOOKUP(TEXT(O27,"0"),CONDUCTORES!$A$3:$H$54,6,0),"")</f>
        <v/>
      </c>
      <c r="R27" s="280" t="n"/>
      <c r="S27" s="280" t="n"/>
      <c r="T27" s="280" t="n"/>
      <c r="U27" s="280" t="n"/>
      <c r="V27" s="280" t="n"/>
      <c r="W27" s="280" t="n"/>
      <c r="X27" s="280" t="n"/>
      <c r="Y27" s="280" t="n"/>
      <c r="Z27" s="236">
        <f>IF(AND(G27&lt;&gt;"",R27&lt;&gt;"",V27&lt;&gt;"",W27&lt;&gt;""),"COMPLETADO","OBSERVADO")</f>
        <v/>
      </c>
      <c r="AA27" s="284" t="n"/>
    </row>
    <row r="28" ht="15.75" customHeight="1" s="195">
      <c r="A28" s="334" t="n"/>
      <c r="B28" s="334" t="n"/>
      <c r="C28" s="334" t="n"/>
      <c r="D28" s="334" t="n"/>
      <c r="E28" s="334" t="n"/>
      <c r="F28" s="334" t="n"/>
      <c r="G28" s="334" t="n"/>
      <c r="H28" s="334" t="n"/>
      <c r="I28" s="332">
        <f>IFERROR(VLOOKUP(TEXT(H28,"0"),IPRESS!$A$3:$B$212,2,0),"")</f>
        <v/>
      </c>
      <c r="J28" s="334" t="n"/>
      <c r="K28" s="332">
        <f>IFERROR(VLOOKUP(TEXT(O28,"0"),CONDUCTORES!$A$3:$G$54,7,0),"")</f>
        <v/>
      </c>
      <c r="L28" s="334" t="n"/>
      <c r="M28" s="334" t="n"/>
      <c r="N28" s="333">
        <f>IFERROR(IF(L28*M28=0,"",L28*M28),"")</f>
        <v/>
      </c>
      <c r="O28" s="334" t="n"/>
      <c r="P28" s="332">
        <f>IFERROR(VLOOKUP(TEXT(O28,"0"),CONDUCTORES!$A$3:$G$54,2,0),"")</f>
        <v/>
      </c>
      <c r="Q28" s="332">
        <f>IFERROR(VLOOKUP(TEXT(O28,"0"),CONDUCTORES!$A$3:$H$54,6,0),"")</f>
        <v/>
      </c>
      <c r="R28" s="334" t="n"/>
      <c r="S28" s="334" t="n"/>
      <c r="T28" s="334" t="n"/>
      <c r="U28" s="334" t="n"/>
      <c r="V28" s="334" t="n"/>
      <c r="W28" s="334" t="n"/>
      <c r="X28" s="334" t="n"/>
      <c r="Y28" s="334" t="n"/>
      <c r="Z28" s="242">
        <f>IF(AND(G28&lt;&gt;"",R28&lt;&gt;"",V28&lt;&gt;"",W28&lt;&gt;""),"COMPLETADO","OBSERVADO")</f>
        <v/>
      </c>
      <c r="AA28" s="284" t="n"/>
    </row>
    <row r="29" ht="15.75" customHeight="1" s="195">
      <c r="A29" s="280" t="n"/>
      <c r="B29" s="280" t="n"/>
      <c r="C29" s="280" t="n"/>
      <c r="D29" s="280" t="n"/>
      <c r="E29" s="280" t="n"/>
      <c r="F29" s="280" t="n"/>
      <c r="G29" s="280" t="n"/>
      <c r="H29" s="280" t="n"/>
      <c r="I29" s="332">
        <f>IFERROR(VLOOKUP(TEXT(H29,"0"),IPRESS!$A$3:$B$212,2,0),"")</f>
        <v/>
      </c>
      <c r="J29" s="280" t="n"/>
      <c r="K29" s="332">
        <f>IFERROR(VLOOKUP(TEXT(O29,"0"),CONDUCTORES!$A$3:$G$54,7,0),"")</f>
        <v/>
      </c>
      <c r="L29" s="280" t="n"/>
      <c r="M29" s="280" t="n"/>
      <c r="N29" s="333">
        <f>IFERROR(IF(L29*M29=0,"",L29*M29),"")</f>
        <v/>
      </c>
      <c r="O29" s="280" t="n"/>
      <c r="P29" s="332">
        <f>IFERROR(VLOOKUP(TEXT(O29,"0"),CONDUCTORES!$A$3:$G$54,2,0),"")</f>
        <v/>
      </c>
      <c r="Q29" s="332">
        <f>IFERROR(VLOOKUP(TEXT(O29,"0"),CONDUCTORES!$A$3:$H$54,6,0),"")</f>
        <v/>
      </c>
      <c r="R29" s="280" t="n"/>
      <c r="S29" s="280" t="n"/>
      <c r="T29" s="280" t="n"/>
      <c r="U29" s="280" t="n"/>
      <c r="V29" s="280" t="n"/>
      <c r="W29" s="280" t="n"/>
      <c r="X29" s="280" t="n"/>
      <c r="Y29" s="280" t="n"/>
      <c r="Z29" s="236">
        <f>IF(AND(G29&lt;&gt;"",R29&lt;&gt;"",V29&lt;&gt;"",W29&lt;&gt;""),"COMPLETADO","OBSERVADO")</f>
        <v/>
      </c>
      <c r="AA29" s="284" t="n"/>
    </row>
    <row r="30" ht="15.75" customHeight="1" s="195">
      <c r="A30" s="334" t="n"/>
      <c r="B30" s="334" t="n"/>
      <c r="C30" s="334" t="n"/>
      <c r="D30" s="334" t="n"/>
      <c r="E30" s="334" t="n"/>
      <c r="F30" s="334" t="n"/>
      <c r="G30" s="334" t="n"/>
      <c r="H30" s="334" t="n"/>
      <c r="I30" s="332">
        <f>IFERROR(VLOOKUP(TEXT(H30,"0"),IPRESS!$A$3:$B$212,2,0),"")</f>
        <v/>
      </c>
      <c r="J30" s="334" t="n"/>
      <c r="K30" s="332">
        <f>IFERROR(VLOOKUP(TEXT(O30,"0"),CONDUCTORES!$A$3:$G$54,7,0),"")</f>
        <v/>
      </c>
      <c r="L30" s="334" t="n"/>
      <c r="M30" s="334" t="n"/>
      <c r="N30" s="333">
        <f>IFERROR(IF(L30*M30=0,"",L30*M30),"")</f>
        <v/>
      </c>
      <c r="O30" s="334" t="n"/>
      <c r="P30" s="332">
        <f>IFERROR(VLOOKUP(TEXT(O30,"0"),CONDUCTORES!$A$3:$G$54,2,0),"")</f>
        <v/>
      </c>
      <c r="Q30" s="332">
        <f>IFERROR(VLOOKUP(TEXT(O30,"0"),CONDUCTORES!$A$3:$H$54,6,0),"")</f>
        <v/>
      </c>
      <c r="R30" s="334" t="n"/>
      <c r="S30" s="334" t="n"/>
      <c r="T30" s="334" t="n"/>
      <c r="U30" s="334" t="n"/>
      <c r="V30" s="334" t="n"/>
      <c r="W30" s="334" t="n"/>
      <c r="X30" s="334" t="n"/>
      <c r="Y30" s="334" t="n"/>
      <c r="Z30" s="242">
        <f>IF(AND(G30&lt;&gt;"",R30&lt;&gt;"",V30&lt;&gt;"",W30&lt;&gt;""),"COMPLETADO","OBSERVADO")</f>
        <v/>
      </c>
      <c r="AA30" s="284" t="n"/>
    </row>
    <row r="31" ht="15.75" customHeight="1" s="195">
      <c r="A31" s="280" t="n"/>
      <c r="B31" s="280" t="n"/>
      <c r="C31" s="280" t="n"/>
      <c r="D31" s="280" t="n"/>
      <c r="E31" s="280" t="n"/>
      <c r="F31" s="280" t="n"/>
      <c r="G31" s="280" t="n"/>
      <c r="H31" s="280" t="n"/>
      <c r="I31" s="332">
        <f>IFERROR(VLOOKUP(TEXT(H31,"0"),IPRESS!$A$3:$B$212,2,0),"")</f>
        <v/>
      </c>
      <c r="J31" s="280" t="n"/>
      <c r="K31" s="332">
        <f>IFERROR(VLOOKUP(TEXT(O31,"0"),CONDUCTORES!$A$3:$G$54,7,0),"")</f>
        <v/>
      </c>
      <c r="L31" s="280" t="n"/>
      <c r="M31" s="280" t="n"/>
      <c r="N31" s="333">
        <f>IFERROR(IF(L31*M31=0,"",L31*M31),"")</f>
        <v/>
      </c>
      <c r="O31" s="280" t="n"/>
      <c r="P31" s="332">
        <f>IFERROR(VLOOKUP(TEXT(O31,"0"),CONDUCTORES!$A$3:$G$54,2,0),"")</f>
        <v/>
      </c>
      <c r="Q31" s="332">
        <f>IFERROR(VLOOKUP(TEXT(O31,"0"),CONDUCTORES!$A$3:$H$54,6,0),"")</f>
        <v/>
      </c>
      <c r="R31" s="280" t="n"/>
      <c r="S31" s="280" t="n"/>
      <c r="T31" s="280" t="n"/>
      <c r="U31" s="280" t="n"/>
      <c r="V31" s="280" t="n"/>
      <c r="W31" s="280" t="n"/>
      <c r="X31" s="280" t="n"/>
      <c r="Y31" s="280" t="n"/>
      <c r="Z31" s="236">
        <f>IF(AND(G31&lt;&gt;"",R31&lt;&gt;"",V31&lt;&gt;"",W31&lt;&gt;""),"COMPLETADO","OBSERVADO")</f>
        <v/>
      </c>
      <c r="AA31" s="284" t="n"/>
    </row>
    <row r="32" ht="15.75" customHeight="1" s="195">
      <c r="A32" s="334" t="n"/>
      <c r="B32" s="334" t="n"/>
      <c r="C32" s="334" t="n"/>
      <c r="D32" s="334" t="n"/>
      <c r="E32" s="334" t="n"/>
      <c r="F32" s="334" t="n"/>
      <c r="G32" s="334" t="n"/>
      <c r="H32" s="334" t="n"/>
      <c r="I32" s="332">
        <f>IFERROR(VLOOKUP(TEXT(H32,"0"),IPRESS!$A$3:$B$212,2,0),"")</f>
        <v/>
      </c>
      <c r="J32" s="334" t="n"/>
      <c r="K32" s="332">
        <f>IFERROR(VLOOKUP(TEXT(O32,"0"),CONDUCTORES!$A$3:$G$54,7,0),"")</f>
        <v/>
      </c>
      <c r="L32" s="334" t="n"/>
      <c r="M32" s="334" t="n"/>
      <c r="N32" s="333">
        <f>IFERROR(IF(L32*M32=0,"",L32*M32),"")</f>
        <v/>
      </c>
      <c r="O32" s="334" t="n"/>
      <c r="P32" s="332">
        <f>IFERROR(VLOOKUP(TEXT(O32,"0"),CONDUCTORES!$A$3:$G$54,2,0),"")</f>
        <v/>
      </c>
      <c r="Q32" s="332">
        <f>IFERROR(VLOOKUP(TEXT(O32,"0"),CONDUCTORES!$A$3:$H$54,6,0),"")</f>
        <v/>
      </c>
      <c r="R32" s="334" t="n"/>
      <c r="S32" s="334" t="n"/>
      <c r="T32" s="334" t="n"/>
      <c r="U32" s="334" t="n"/>
      <c r="V32" s="334" t="n"/>
      <c r="W32" s="334" t="n"/>
      <c r="X32" s="334" t="n"/>
      <c r="Y32" s="334" t="n"/>
      <c r="Z32" s="242">
        <f>IF(AND(G32&lt;&gt;"",R32&lt;&gt;"",V32&lt;&gt;"",W32&lt;&gt;""),"COMPLETADO","OBSERVADO")</f>
        <v/>
      </c>
      <c r="AA32" s="284" t="n"/>
    </row>
    <row r="33" ht="15.75" customHeight="1" s="195">
      <c r="A33" s="280" t="n"/>
      <c r="B33" s="280" t="n"/>
      <c r="C33" s="280" t="n"/>
      <c r="D33" s="280" t="n"/>
      <c r="E33" s="280" t="n"/>
      <c r="F33" s="280" t="n"/>
      <c r="G33" s="280" t="n"/>
      <c r="H33" s="280" t="n"/>
      <c r="I33" s="332">
        <f>IFERROR(VLOOKUP(TEXT(H33,"0"),IPRESS!$A$3:$B$212,2,0),"")</f>
        <v/>
      </c>
      <c r="J33" s="280" t="n"/>
      <c r="K33" s="332">
        <f>IFERROR(VLOOKUP(TEXT(O33,"0"),CONDUCTORES!$A$3:$G$54,7,0),"")</f>
        <v/>
      </c>
      <c r="L33" s="280" t="n"/>
      <c r="M33" s="280" t="n"/>
      <c r="N33" s="333">
        <f>IFERROR(IF(L33*M33=0,"",L33*M33),"")</f>
        <v/>
      </c>
      <c r="O33" s="280" t="n"/>
      <c r="P33" s="332">
        <f>IFERROR(VLOOKUP(TEXT(O33,"0"),CONDUCTORES!$A$3:$G$54,2,0),"")</f>
        <v/>
      </c>
      <c r="Q33" s="332">
        <f>IFERROR(VLOOKUP(TEXT(O33,"0"),CONDUCTORES!$A$3:$H$54,6,0),"")</f>
        <v/>
      </c>
      <c r="R33" s="280" t="n"/>
      <c r="S33" s="280" t="n"/>
      <c r="T33" s="280" t="n"/>
      <c r="U33" s="280" t="n"/>
      <c r="V33" s="280" t="n"/>
      <c r="W33" s="280" t="n"/>
      <c r="X33" s="280" t="n"/>
      <c r="Y33" s="280" t="n"/>
      <c r="Z33" s="236">
        <f>IF(AND(G33&lt;&gt;"",R33&lt;&gt;"",V33&lt;&gt;"",W33&lt;&gt;""),"COMPLETADO","OBSERVADO")</f>
        <v/>
      </c>
      <c r="AA33" s="284" t="n"/>
    </row>
    <row r="34" ht="15.75" customHeight="1" s="195">
      <c r="A34" s="334" t="n"/>
      <c r="B34" s="334" t="n"/>
      <c r="C34" s="334" t="n"/>
      <c r="D34" s="334" t="n"/>
      <c r="E34" s="334" t="n"/>
      <c r="F34" s="334" t="n"/>
      <c r="G34" s="334" t="n"/>
      <c r="H34" s="334" t="n"/>
      <c r="I34" s="332">
        <f>IFERROR(VLOOKUP(TEXT(H34,"0"),IPRESS!$A$3:$B$212,2,0),"")</f>
        <v/>
      </c>
      <c r="J34" s="334" t="n"/>
      <c r="K34" s="332">
        <f>IFERROR(VLOOKUP(TEXT(O34,"0"),CONDUCTORES!$A$3:$G$54,7,0),"")</f>
        <v/>
      </c>
      <c r="L34" s="334" t="n"/>
      <c r="M34" s="334" t="n"/>
      <c r="N34" s="333">
        <f>IFERROR(IF(L34*M34=0,"",L34*M34),"")</f>
        <v/>
      </c>
      <c r="O34" s="334" t="n"/>
      <c r="P34" s="332">
        <f>IFERROR(VLOOKUP(TEXT(O34,"0"),CONDUCTORES!$A$3:$G$54,2,0),"")</f>
        <v/>
      </c>
      <c r="Q34" s="332">
        <f>IFERROR(VLOOKUP(TEXT(O34,"0"),CONDUCTORES!$A$3:$H$54,6,0),"")</f>
        <v/>
      </c>
      <c r="R34" s="334" t="n"/>
      <c r="S34" s="334" t="n"/>
      <c r="T34" s="334" t="n"/>
      <c r="U34" s="334" t="n"/>
      <c r="V34" s="334" t="n"/>
      <c r="W34" s="334" t="n"/>
      <c r="X34" s="334" t="n"/>
      <c r="Y34" s="334" t="n"/>
      <c r="Z34" s="242">
        <f>IF(AND(G34&lt;&gt;"",R34&lt;&gt;"",V34&lt;&gt;"",W34&lt;&gt;""),"COMPLETADO","OBSERVADO")</f>
        <v/>
      </c>
      <c r="AA34" s="284" t="n"/>
    </row>
    <row r="35" ht="15.75" customHeight="1" s="195">
      <c r="A35" s="280" t="n"/>
      <c r="B35" s="280" t="n"/>
      <c r="C35" s="280" t="n"/>
      <c r="D35" s="280" t="n"/>
      <c r="E35" s="280" t="n"/>
      <c r="F35" s="280" t="n"/>
      <c r="G35" s="280" t="n"/>
      <c r="H35" s="280" t="n"/>
      <c r="I35" s="332">
        <f>IFERROR(VLOOKUP(TEXT(H35,"0"),IPRESS!$A$3:$B$212,2,0),"")</f>
        <v/>
      </c>
      <c r="J35" s="280" t="n"/>
      <c r="K35" s="332">
        <f>IFERROR(VLOOKUP(TEXT(O35,"0"),CONDUCTORES!$A$3:$G$54,7,0),"")</f>
        <v/>
      </c>
      <c r="L35" s="280" t="n"/>
      <c r="M35" s="280" t="n"/>
      <c r="N35" s="333">
        <f>IFERROR(IF(L35*M35=0,"",L35*M35),"")</f>
        <v/>
      </c>
      <c r="O35" s="280" t="n"/>
      <c r="P35" s="332">
        <f>IFERROR(VLOOKUP(TEXT(O35,"0"),CONDUCTORES!$A$3:$G$54,2,0),"")</f>
        <v/>
      </c>
      <c r="Q35" s="332">
        <f>IFERROR(VLOOKUP(TEXT(O35,"0"),CONDUCTORES!$A$3:$H$54,6,0),"")</f>
        <v/>
      </c>
      <c r="R35" s="280" t="n"/>
      <c r="S35" s="280" t="n"/>
      <c r="T35" s="280" t="n"/>
      <c r="U35" s="280" t="n"/>
      <c r="V35" s="280" t="n"/>
      <c r="W35" s="280" t="n"/>
      <c r="X35" s="280" t="n"/>
      <c r="Y35" s="280" t="n"/>
      <c r="Z35" s="236">
        <f>IF(AND(G35&lt;&gt;"",R35&lt;&gt;"",V35&lt;&gt;"",W35&lt;&gt;""),"COMPLETADO","OBSERVADO")</f>
        <v/>
      </c>
      <c r="AA35" s="284" t="n"/>
    </row>
    <row r="36" ht="15.75" customHeight="1" s="195">
      <c r="A36" s="334" t="n"/>
      <c r="B36" s="334" t="n"/>
      <c r="C36" s="334" t="n"/>
      <c r="D36" s="334" t="n"/>
      <c r="E36" s="334" t="n"/>
      <c r="F36" s="334" t="n"/>
      <c r="G36" s="334" t="n"/>
      <c r="H36" s="334" t="n"/>
      <c r="I36" s="332">
        <f>IFERROR(VLOOKUP(TEXT(H36,"0"),IPRESS!$A$3:$B$212,2,0),"")</f>
        <v/>
      </c>
      <c r="J36" s="334" t="n"/>
      <c r="K36" s="332">
        <f>IFERROR(VLOOKUP(TEXT(O36,"0"),CONDUCTORES!$A$3:$G$54,7,0),"")</f>
        <v/>
      </c>
      <c r="L36" s="334" t="n"/>
      <c r="M36" s="334" t="n"/>
      <c r="N36" s="333">
        <f>IFERROR(IF(L36*M36=0,"",L36*M36),"")</f>
        <v/>
      </c>
      <c r="O36" s="334" t="n"/>
      <c r="P36" s="332">
        <f>IFERROR(VLOOKUP(TEXT(O36,"0"),CONDUCTORES!$A$3:$G$54,2,0),"")</f>
        <v/>
      </c>
      <c r="Q36" s="332">
        <f>IFERROR(VLOOKUP(TEXT(O36,"0"),CONDUCTORES!$A$3:$H$54,6,0),"")</f>
        <v/>
      </c>
      <c r="R36" s="334" t="n"/>
      <c r="S36" s="334" t="n"/>
      <c r="T36" s="334" t="n"/>
      <c r="U36" s="334" t="n"/>
      <c r="V36" s="334" t="n"/>
      <c r="W36" s="334" t="n"/>
      <c r="X36" s="334" t="n"/>
      <c r="Y36" s="334" t="n"/>
      <c r="Z36" s="242">
        <f>IF(AND(G36&lt;&gt;"",R36&lt;&gt;"",V36&lt;&gt;"",W36&lt;&gt;""),"COMPLETADO","OBSERVADO")</f>
        <v/>
      </c>
      <c r="AA36" s="284" t="n"/>
    </row>
    <row r="37" ht="15.75" customHeight="1" s="195">
      <c r="A37" s="280" t="n"/>
      <c r="B37" s="280" t="n"/>
      <c r="C37" s="280" t="n"/>
      <c r="D37" s="280" t="n"/>
      <c r="E37" s="280" t="n"/>
      <c r="F37" s="280" t="n"/>
      <c r="G37" s="280" t="n"/>
      <c r="H37" s="280" t="n"/>
      <c r="I37" s="332">
        <f>IFERROR(VLOOKUP(TEXT(H37,"0"),IPRESS!$A$3:$B$212,2,0),"")</f>
        <v/>
      </c>
      <c r="J37" s="280" t="n"/>
      <c r="K37" s="332">
        <f>IFERROR(VLOOKUP(TEXT(O37,"0"),CONDUCTORES!$A$3:$G$54,7,0),"")</f>
        <v/>
      </c>
      <c r="L37" s="280" t="n"/>
      <c r="M37" s="280" t="n"/>
      <c r="N37" s="333">
        <f>IFERROR(IF(L37*M37=0,"",L37*M37),"")</f>
        <v/>
      </c>
      <c r="O37" s="280" t="n"/>
      <c r="P37" s="332">
        <f>IFERROR(VLOOKUP(TEXT(O37,"0"),CONDUCTORES!$A$3:$G$54,2,0),"")</f>
        <v/>
      </c>
      <c r="Q37" s="332">
        <f>IFERROR(VLOOKUP(TEXT(O37,"0"),CONDUCTORES!$A$3:$H$54,6,0),"")</f>
        <v/>
      </c>
      <c r="R37" s="280" t="n"/>
      <c r="S37" s="280" t="n"/>
      <c r="T37" s="280" t="n"/>
      <c r="U37" s="280" t="n"/>
      <c r="V37" s="280" t="n"/>
      <c r="W37" s="280" t="n"/>
      <c r="X37" s="280" t="n"/>
      <c r="Y37" s="280" t="n"/>
      <c r="Z37" s="236">
        <f>IF(AND(G37&lt;&gt;"",R37&lt;&gt;"",V37&lt;&gt;"",W37&lt;&gt;""),"COMPLETADO","OBSERVADO")</f>
        <v/>
      </c>
      <c r="AA37" s="284" t="n"/>
    </row>
    <row r="38" ht="15.75" customHeight="1" s="195">
      <c r="A38" s="334" t="n"/>
      <c r="B38" s="334" t="n"/>
      <c r="C38" s="334" t="n"/>
      <c r="D38" s="334" t="n"/>
      <c r="E38" s="334" t="n"/>
      <c r="F38" s="334" t="n"/>
      <c r="G38" s="334" t="n"/>
      <c r="H38" s="334" t="n"/>
      <c r="I38" s="332">
        <f>IFERROR(VLOOKUP(TEXT(H38,"0"),IPRESS!$A$3:$B$212,2,0),"")</f>
        <v/>
      </c>
      <c r="J38" s="334" t="n"/>
      <c r="K38" s="332">
        <f>IFERROR(VLOOKUP(TEXT(O38,"0"),CONDUCTORES!$A$3:$G$54,7,0),"")</f>
        <v/>
      </c>
      <c r="L38" s="334" t="n"/>
      <c r="M38" s="334" t="n"/>
      <c r="N38" s="333">
        <f>IFERROR(IF(L38*M38=0,"",L38*M38),"")</f>
        <v/>
      </c>
      <c r="O38" s="334" t="n"/>
      <c r="P38" s="332">
        <f>IFERROR(VLOOKUP(TEXT(O38,"0"),CONDUCTORES!$A$3:$G$54,2,0),"")</f>
        <v/>
      </c>
      <c r="Q38" s="332">
        <f>IFERROR(VLOOKUP(TEXT(O38,"0"),CONDUCTORES!$A$3:$H$54,6,0),"")</f>
        <v/>
      </c>
      <c r="R38" s="334" t="n"/>
      <c r="S38" s="334" t="n"/>
      <c r="T38" s="334" t="n"/>
      <c r="U38" s="334" t="n"/>
      <c r="V38" s="334" t="n"/>
      <c r="W38" s="334" t="n"/>
      <c r="X38" s="334" t="n"/>
      <c r="Y38" s="334" t="n"/>
      <c r="Z38" s="242">
        <f>IF(AND(G38&lt;&gt;"",R38&lt;&gt;"",V38&lt;&gt;"",W38&lt;&gt;""),"COMPLETADO","OBSERVADO")</f>
        <v/>
      </c>
      <c r="AA38" s="284" t="n"/>
    </row>
    <row r="39" ht="15.75" customHeight="1" s="195">
      <c r="A39" s="280" t="n"/>
      <c r="B39" s="280" t="n"/>
      <c r="C39" s="280" t="n"/>
      <c r="D39" s="280" t="n"/>
      <c r="E39" s="280" t="n"/>
      <c r="F39" s="280" t="n"/>
      <c r="G39" s="280" t="n"/>
      <c r="H39" s="280" t="n"/>
      <c r="I39" s="332">
        <f>IFERROR(VLOOKUP(TEXT(H39,"0"),IPRESS!$A$3:$B$212,2,0),"")</f>
        <v/>
      </c>
      <c r="J39" s="280" t="n"/>
      <c r="K39" s="332">
        <f>IFERROR(VLOOKUP(TEXT(O39,"0"),CONDUCTORES!$A$3:$G$54,7,0),"")</f>
        <v/>
      </c>
      <c r="L39" s="280" t="n"/>
      <c r="M39" s="280" t="n"/>
      <c r="N39" s="333">
        <f>IFERROR(IF(L39*M39=0,"",L39*M39),"")</f>
        <v/>
      </c>
      <c r="O39" s="280" t="n"/>
      <c r="P39" s="332">
        <f>IFERROR(VLOOKUP(TEXT(O39,"0"),CONDUCTORES!$A$3:$G$54,2,0),"")</f>
        <v/>
      </c>
      <c r="Q39" s="332">
        <f>IFERROR(VLOOKUP(TEXT(O39,"0"),CONDUCTORES!$A$3:$H$54,6,0),"")</f>
        <v/>
      </c>
      <c r="R39" s="280" t="n"/>
      <c r="S39" s="280" t="n"/>
      <c r="T39" s="280" t="n"/>
      <c r="U39" s="280" t="n"/>
      <c r="V39" s="280" t="n"/>
      <c r="W39" s="280" t="n"/>
      <c r="X39" s="280" t="n"/>
      <c r="Y39" s="280" t="n"/>
      <c r="Z39" s="236">
        <f>IF(AND(G39&lt;&gt;"",R39&lt;&gt;"",V39&lt;&gt;"",W39&lt;&gt;""),"COMPLETADO","OBSERVADO")</f>
        <v/>
      </c>
      <c r="AA39" s="284" t="n"/>
    </row>
    <row r="40" ht="15.75" customHeight="1" s="195">
      <c r="A40" s="334" t="n"/>
      <c r="B40" s="334" t="n"/>
      <c r="C40" s="334" t="n"/>
      <c r="D40" s="334" t="n"/>
      <c r="E40" s="334" t="n"/>
      <c r="F40" s="334" t="n"/>
      <c r="G40" s="334" t="n"/>
      <c r="H40" s="334" t="n"/>
      <c r="I40" s="332">
        <f>IFERROR(VLOOKUP(TEXT(H40,"0"),IPRESS!$A$3:$B$212,2,0),"")</f>
        <v/>
      </c>
      <c r="J40" s="334" t="n"/>
      <c r="K40" s="332">
        <f>IFERROR(VLOOKUP(TEXT(O40,"0"),CONDUCTORES!$A$3:$G$54,7,0),"")</f>
        <v/>
      </c>
      <c r="L40" s="334" t="n"/>
      <c r="M40" s="334" t="n"/>
      <c r="N40" s="333">
        <f>IFERROR(IF(L40*M40=0,"",L40*M40),"")</f>
        <v/>
      </c>
      <c r="O40" s="334" t="n"/>
      <c r="P40" s="332">
        <f>IFERROR(VLOOKUP(TEXT(O40,"0"),CONDUCTORES!$A$3:$G$54,2,0),"")</f>
        <v/>
      </c>
      <c r="Q40" s="332">
        <f>IFERROR(VLOOKUP(TEXT(O40,"0"),CONDUCTORES!$A$3:$H$54,6,0),"")</f>
        <v/>
      </c>
      <c r="R40" s="334" t="n"/>
      <c r="S40" s="334" t="n"/>
      <c r="T40" s="334" t="n"/>
      <c r="U40" s="334" t="n"/>
      <c r="V40" s="334" t="n"/>
      <c r="W40" s="334" t="n"/>
      <c r="X40" s="334" t="n"/>
      <c r="Y40" s="334" t="n"/>
      <c r="Z40" s="242">
        <f>IF(AND(G40&lt;&gt;"",R40&lt;&gt;"",V40&lt;&gt;"",W40&lt;&gt;""),"COMPLETADO","OBSERVADO")</f>
        <v/>
      </c>
      <c r="AA40" s="284" t="n"/>
    </row>
    <row r="41" ht="15.75" customHeight="1" s="195">
      <c r="A41" s="280" t="n"/>
      <c r="B41" s="280" t="n"/>
      <c r="C41" s="280" t="n"/>
      <c r="D41" s="280" t="n"/>
      <c r="E41" s="280" t="n"/>
      <c r="F41" s="280" t="n"/>
      <c r="G41" s="280" t="n"/>
      <c r="H41" s="280" t="n"/>
      <c r="I41" s="332">
        <f>IFERROR(VLOOKUP(TEXT(H41,"0"),IPRESS!$A$3:$B$212,2,0),"")</f>
        <v/>
      </c>
      <c r="J41" s="280" t="n"/>
      <c r="K41" s="332">
        <f>IFERROR(VLOOKUP(TEXT(O41,"0"),CONDUCTORES!$A$3:$G$54,7,0),"")</f>
        <v/>
      </c>
      <c r="L41" s="280" t="n"/>
      <c r="M41" s="280" t="n"/>
      <c r="N41" s="333">
        <f>IFERROR(IF(L41*M41=0,"",L41*M41),"")</f>
        <v/>
      </c>
      <c r="O41" s="280" t="n"/>
      <c r="P41" s="332">
        <f>IFERROR(VLOOKUP(TEXT(O41,"0"),CONDUCTORES!$A$3:$G$54,2,0),"")</f>
        <v/>
      </c>
      <c r="Q41" s="332">
        <f>IFERROR(VLOOKUP(TEXT(O41,"0"),CONDUCTORES!$A$3:$H$54,6,0),"")</f>
        <v/>
      </c>
      <c r="R41" s="280" t="n"/>
      <c r="S41" s="280" t="n"/>
      <c r="T41" s="280" t="n"/>
      <c r="U41" s="280" t="n"/>
      <c r="V41" s="280" t="n"/>
      <c r="W41" s="280" t="n"/>
      <c r="X41" s="280" t="n"/>
      <c r="Y41" s="280" t="n"/>
      <c r="Z41" s="236">
        <f>IF(AND(G41&lt;&gt;"",R41&lt;&gt;"",V41&lt;&gt;"",W41&lt;&gt;""),"COMPLETADO","OBSERVADO")</f>
        <v/>
      </c>
      <c r="AA41" s="284" t="n"/>
    </row>
    <row r="42" ht="15.75" customHeight="1" s="195">
      <c r="A42" s="334" t="n"/>
      <c r="B42" s="334" t="n"/>
      <c r="C42" s="334" t="n"/>
      <c r="D42" s="334" t="n"/>
      <c r="E42" s="334" t="n"/>
      <c r="F42" s="334" t="n"/>
      <c r="G42" s="334" t="n"/>
      <c r="H42" s="334" t="n"/>
      <c r="I42" s="332">
        <f>IFERROR(VLOOKUP(TEXT(H42,"0"),IPRESS!$A$3:$B$212,2,0),"")</f>
        <v/>
      </c>
      <c r="J42" s="334" t="n"/>
      <c r="K42" s="332">
        <f>IFERROR(VLOOKUP(TEXT(O42,"0"),CONDUCTORES!$A$3:$G$54,7,0),"")</f>
        <v/>
      </c>
      <c r="L42" s="334" t="n"/>
      <c r="M42" s="334" t="n"/>
      <c r="N42" s="333">
        <f>IFERROR(IF(L42*M42=0,"",L42*M42),"")</f>
        <v/>
      </c>
      <c r="O42" s="334" t="n"/>
      <c r="P42" s="332">
        <f>IFERROR(VLOOKUP(TEXT(O42,"0"),CONDUCTORES!$A$3:$G$54,2,0),"")</f>
        <v/>
      </c>
      <c r="Q42" s="332">
        <f>IFERROR(VLOOKUP(TEXT(O42,"0"),CONDUCTORES!$A$3:$H$54,6,0),"")</f>
        <v/>
      </c>
      <c r="R42" s="334" t="n"/>
      <c r="S42" s="334" t="n"/>
      <c r="T42" s="334" t="n"/>
      <c r="U42" s="334" t="n"/>
      <c r="V42" s="334" t="n"/>
      <c r="W42" s="334" t="n"/>
      <c r="X42" s="334" t="n"/>
      <c r="Y42" s="334" t="n"/>
      <c r="Z42" s="242">
        <f>IF(AND(G42&lt;&gt;"",R42&lt;&gt;"",V42&lt;&gt;"",W42&lt;&gt;""),"COMPLETADO","OBSERVADO")</f>
        <v/>
      </c>
      <c r="AA42" s="284" t="n"/>
    </row>
    <row r="43" ht="15.75" customHeight="1" s="195">
      <c r="A43" s="280" t="n"/>
      <c r="B43" s="280" t="n"/>
      <c r="C43" s="280" t="n"/>
      <c r="D43" s="280" t="n"/>
      <c r="E43" s="280" t="n"/>
      <c r="F43" s="280" t="n"/>
      <c r="G43" s="280" t="n"/>
      <c r="H43" s="280" t="n"/>
      <c r="I43" s="332">
        <f>IFERROR(VLOOKUP(TEXT(H43,"0"),IPRESS!$A$3:$B$212,2,0),"")</f>
        <v/>
      </c>
      <c r="J43" s="280" t="n"/>
      <c r="K43" s="332">
        <f>IFERROR(VLOOKUP(TEXT(O43,"0"),CONDUCTORES!$A$3:$G$54,7,0),"")</f>
        <v/>
      </c>
      <c r="L43" s="280" t="n"/>
      <c r="M43" s="280" t="n"/>
      <c r="N43" s="333">
        <f>IFERROR(IF(L43*M43=0,"",L43*M43),"")</f>
        <v/>
      </c>
      <c r="O43" s="280" t="n"/>
      <c r="P43" s="332">
        <f>IFERROR(VLOOKUP(TEXT(O43,"0"),CONDUCTORES!$A$3:$G$54,2,0),"")</f>
        <v/>
      </c>
      <c r="Q43" s="332">
        <f>IFERROR(VLOOKUP(TEXT(O43,"0"),CONDUCTORES!$A$3:$H$54,6,0),"")</f>
        <v/>
      </c>
      <c r="R43" s="280" t="n"/>
      <c r="S43" s="280" t="n"/>
      <c r="T43" s="280" t="n"/>
      <c r="U43" s="280" t="n"/>
      <c r="V43" s="280" t="n"/>
      <c r="W43" s="280" t="n"/>
      <c r="X43" s="280" t="n"/>
      <c r="Y43" s="280" t="n"/>
      <c r="Z43" s="236">
        <f>IF(AND(G43&lt;&gt;"",R43&lt;&gt;"",V43&lt;&gt;"",W43&lt;&gt;""),"COMPLETADO","OBSERVADO")</f>
        <v/>
      </c>
      <c r="AA43" s="284" t="n"/>
    </row>
    <row r="44" ht="15.75" customHeight="1" s="195">
      <c r="A44" s="334" t="n"/>
      <c r="B44" s="334" t="n"/>
      <c r="C44" s="334" t="n"/>
      <c r="D44" s="334" t="n"/>
      <c r="E44" s="334" t="n"/>
      <c r="F44" s="334" t="n"/>
      <c r="G44" s="334" t="n"/>
      <c r="H44" s="334" t="n"/>
      <c r="I44" s="332">
        <f>IFERROR(VLOOKUP(TEXT(H44,"0"),IPRESS!$A$3:$B$212,2,0),"")</f>
        <v/>
      </c>
      <c r="J44" s="334" t="n"/>
      <c r="K44" s="332">
        <f>IFERROR(VLOOKUP(TEXT(O44,"0"),CONDUCTORES!$A$3:$G$54,7,0),"")</f>
        <v/>
      </c>
      <c r="L44" s="334" t="n"/>
      <c r="M44" s="334" t="n"/>
      <c r="N44" s="333">
        <f>IFERROR(IF(L44*M44=0,"",L44*M44),"")</f>
        <v/>
      </c>
      <c r="O44" s="334" t="n"/>
      <c r="P44" s="332">
        <f>IFERROR(VLOOKUP(TEXT(O44,"0"),CONDUCTORES!$A$3:$G$54,2,0),"")</f>
        <v/>
      </c>
      <c r="Q44" s="332">
        <f>IFERROR(VLOOKUP(TEXT(O44,"0"),CONDUCTORES!$A$3:$H$54,6,0),"")</f>
        <v/>
      </c>
      <c r="R44" s="334" t="n"/>
      <c r="S44" s="334" t="n"/>
      <c r="T44" s="334" t="n"/>
      <c r="U44" s="334" t="n"/>
      <c r="V44" s="334" t="n"/>
      <c r="W44" s="334" t="n"/>
      <c r="X44" s="334" t="n"/>
      <c r="Y44" s="334" t="n"/>
      <c r="Z44" s="242">
        <f>IF(AND(G44&lt;&gt;"",R44&lt;&gt;"",V44&lt;&gt;"",W44&lt;&gt;""),"COMPLETADO","OBSERVADO")</f>
        <v/>
      </c>
      <c r="AA44" s="284" t="n"/>
    </row>
    <row r="45" ht="15.75" customHeight="1" s="195">
      <c r="A45" s="280" t="n"/>
      <c r="B45" s="280" t="n"/>
      <c r="C45" s="280" t="n"/>
      <c r="D45" s="280" t="n"/>
      <c r="E45" s="280" t="n"/>
      <c r="F45" s="280" t="n"/>
      <c r="G45" s="280" t="n"/>
      <c r="H45" s="280" t="n"/>
      <c r="I45" s="332">
        <f>IFERROR(VLOOKUP(TEXT(H45,"0"),IPRESS!$A$3:$B$212,2,0),"")</f>
        <v/>
      </c>
      <c r="J45" s="280" t="n"/>
      <c r="K45" s="332">
        <f>IFERROR(VLOOKUP(TEXT(O45,"0"),CONDUCTORES!$A$3:$G$54,7,0),"")</f>
        <v/>
      </c>
      <c r="L45" s="280" t="n"/>
      <c r="M45" s="280" t="n"/>
      <c r="N45" s="333">
        <f>IFERROR(IF(L45*M45=0,"",L45*M45),"")</f>
        <v/>
      </c>
      <c r="O45" s="280" t="n"/>
      <c r="P45" s="332">
        <f>IFERROR(VLOOKUP(TEXT(O45,"0"),CONDUCTORES!$A$3:$G$54,2,0),"")</f>
        <v/>
      </c>
      <c r="Q45" s="332">
        <f>IFERROR(VLOOKUP(TEXT(O45,"0"),CONDUCTORES!$A$3:$H$54,6,0),"")</f>
        <v/>
      </c>
      <c r="R45" s="280" t="n"/>
      <c r="S45" s="280" t="n"/>
      <c r="T45" s="280" t="n"/>
      <c r="U45" s="280" t="n"/>
      <c r="V45" s="280" t="n"/>
      <c r="W45" s="280" t="n"/>
      <c r="X45" s="280" t="n"/>
      <c r="Y45" s="280" t="n"/>
      <c r="Z45" s="236">
        <f>IF(AND(G45&lt;&gt;"",R45&lt;&gt;"",V45&lt;&gt;"",W45&lt;&gt;""),"COMPLETADO","OBSERVADO")</f>
        <v/>
      </c>
      <c r="AA45" s="284" t="n"/>
    </row>
    <row r="46" ht="15.75" customHeight="1" s="195">
      <c r="A46" s="334" t="n"/>
      <c r="B46" s="334" t="n"/>
      <c r="C46" s="334" t="n"/>
      <c r="D46" s="334" t="n"/>
      <c r="E46" s="334" t="n"/>
      <c r="F46" s="334" t="n"/>
      <c r="G46" s="334" t="n"/>
      <c r="H46" s="334" t="n"/>
      <c r="I46" s="332">
        <f>IFERROR(VLOOKUP(TEXT(H46,"0"),IPRESS!$A$3:$B$212,2,0),"")</f>
        <v/>
      </c>
      <c r="J46" s="334" t="n"/>
      <c r="K46" s="332">
        <f>IFERROR(VLOOKUP(TEXT(O46,"0"),CONDUCTORES!$A$3:$G$54,7,0),"")</f>
        <v/>
      </c>
      <c r="L46" s="334" t="n"/>
      <c r="M46" s="334" t="n"/>
      <c r="N46" s="333">
        <f>IFERROR(IF(L46*M46=0,"",L46*M46),"")</f>
        <v/>
      </c>
      <c r="O46" s="334" t="n"/>
      <c r="P46" s="332">
        <f>IFERROR(VLOOKUP(TEXT(O46,"0"),CONDUCTORES!$A$3:$G$54,2,0),"")</f>
        <v/>
      </c>
      <c r="Q46" s="332">
        <f>IFERROR(VLOOKUP(TEXT(O46,"0"),CONDUCTORES!$A$3:$H$54,6,0),"")</f>
        <v/>
      </c>
      <c r="R46" s="334" t="n"/>
      <c r="S46" s="334" t="n"/>
      <c r="T46" s="334" t="n"/>
      <c r="U46" s="334" t="n"/>
      <c r="V46" s="334" t="n"/>
      <c r="W46" s="334" t="n"/>
      <c r="X46" s="334" t="n"/>
      <c r="Y46" s="334" t="n"/>
      <c r="Z46" s="242">
        <f>IF(AND(G46&lt;&gt;"",R46&lt;&gt;"",V46&lt;&gt;"",W46&lt;&gt;""),"COMPLETADO","OBSERVADO")</f>
        <v/>
      </c>
      <c r="AA46" s="284" t="n"/>
    </row>
    <row r="47" ht="15.75" customHeight="1" s="195">
      <c r="A47" s="280" t="n"/>
      <c r="B47" s="280" t="n"/>
      <c r="C47" s="280" t="n"/>
      <c r="D47" s="280" t="n"/>
      <c r="E47" s="280" t="n"/>
      <c r="F47" s="280" t="n"/>
      <c r="G47" s="280" t="n"/>
      <c r="H47" s="280" t="n"/>
      <c r="I47" s="332">
        <f>IFERROR(VLOOKUP(TEXT(H47,"0"),IPRESS!$A$3:$B$212,2,0),"")</f>
        <v/>
      </c>
      <c r="J47" s="280" t="n"/>
      <c r="K47" s="332">
        <f>IFERROR(VLOOKUP(TEXT(O47,"0"),CONDUCTORES!$A$3:$G$54,7,0),"")</f>
        <v/>
      </c>
      <c r="L47" s="280" t="n"/>
      <c r="M47" s="280" t="n"/>
      <c r="N47" s="333">
        <f>IFERROR(IF(L47*M47=0,"",L47*M47),"")</f>
        <v/>
      </c>
      <c r="O47" s="280" t="n"/>
      <c r="P47" s="332">
        <f>IFERROR(VLOOKUP(TEXT(O47,"0"),CONDUCTORES!$A$3:$G$54,2,0),"")</f>
        <v/>
      </c>
      <c r="Q47" s="332">
        <f>IFERROR(VLOOKUP(TEXT(O47,"0"),CONDUCTORES!$A$3:$H$54,6,0),"")</f>
        <v/>
      </c>
      <c r="R47" s="280" t="n"/>
      <c r="S47" s="280" t="n"/>
      <c r="T47" s="280" t="n"/>
      <c r="U47" s="280" t="n"/>
      <c r="V47" s="280" t="n"/>
      <c r="W47" s="280" t="n"/>
      <c r="X47" s="280" t="n"/>
      <c r="Y47" s="280" t="n"/>
      <c r="Z47" s="236">
        <f>IF(AND(G47&lt;&gt;"",R47&lt;&gt;"",V47&lt;&gt;"",W47&lt;&gt;""),"COMPLETADO","OBSERVADO")</f>
        <v/>
      </c>
      <c r="AA47" s="284" t="n"/>
    </row>
    <row r="48" ht="15.75" customHeight="1" s="195">
      <c r="A48" s="334" t="n"/>
      <c r="B48" s="334" t="n"/>
      <c r="C48" s="334" t="n"/>
      <c r="D48" s="334" t="n"/>
      <c r="E48" s="334" t="n"/>
      <c r="F48" s="334" t="n"/>
      <c r="G48" s="334" t="n"/>
      <c r="H48" s="334" t="n"/>
      <c r="I48" s="332">
        <f>IFERROR(VLOOKUP(TEXT(H48,"0"),IPRESS!$A$3:$B$212,2,0),"")</f>
        <v/>
      </c>
      <c r="J48" s="334" t="n"/>
      <c r="K48" s="332">
        <f>IFERROR(VLOOKUP(TEXT(O48,"0"),CONDUCTORES!$A$3:$G$54,7,0),"")</f>
        <v/>
      </c>
      <c r="L48" s="334" t="n"/>
      <c r="M48" s="334" t="n"/>
      <c r="N48" s="333">
        <f>IFERROR(IF(L48*M48=0,"",L48*M48),"")</f>
        <v/>
      </c>
      <c r="O48" s="334" t="n"/>
      <c r="P48" s="332">
        <f>IFERROR(VLOOKUP(TEXT(O48,"0"),CONDUCTORES!$A$3:$G$54,2,0),"")</f>
        <v/>
      </c>
      <c r="Q48" s="332">
        <f>IFERROR(VLOOKUP(TEXT(O48,"0"),CONDUCTORES!$A$3:$H$54,6,0),"")</f>
        <v/>
      </c>
      <c r="R48" s="334" t="n"/>
      <c r="S48" s="334" t="n"/>
      <c r="T48" s="334" t="n"/>
      <c r="U48" s="334" t="n"/>
      <c r="V48" s="334" t="n"/>
      <c r="W48" s="334" t="n"/>
      <c r="X48" s="334" t="n"/>
      <c r="Y48" s="334" t="n"/>
      <c r="Z48" s="242">
        <f>IF(AND(G48&lt;&gt;"",R48&lt;&gt;"",V48&lt;&gt;"",W48&lt;&gt;""),"COMPLETADO","OBSERVADO")</f>
        <v/>
      </c>
      <c r="AA48" s="284" t="n"/>
    </row>
    <row r="49" ht="15.75" customHeight="1" s="195">
      <c r="A49" s="280" t="n"/>
      <c r="B49" s="280" t="n"/>
      <c r="C49" s="280" t="n"/>
      <c r="D49" s="280" t="n"/>
      <c r="E49" s="280" t="n"/>
      <c r="F49" s="280" t="n"/>
      <c r="G49" s="280" t="n"/>
      <c r="H49" s="280" t="n"/>
      <c r="I49" s="332">
        <f>IFERROR(VLOOKUP(TEXT(H49,"0"),IPRESS!$A$3:$B$212,2,0),"")</f>
        <v/>
      </c>
      <c r="J49" s="280" t="n"/>
      <c r="K49" s="332">
        <f>IFERROR(VLOOKUP(TEXT(O49,"0"),CONDUCTORES!$A$3:$G$54,7,0),"")</f>
        <v/>
      </c>
      <c r="L49" s="280" t="n"/>
      <c r="M49" s="280" t="n"/>
      <c r="N49" s="333">
        <f>IFERROR(IF(L49*M49=0,"",L49*M49),"")</f>
        <v/>
      </c>
      <c r="O49" s="280" t="n"/>
      <c r="P49" s="332">
        <f>IFERROR(VLOOKUP(TEXT(O49,"0"),CONDUCTORES!$A$3:$G$54,2,0),"")</f>
        <v/>
      </c>
      <c r="Q49" s="332">
        <f>IFERROR(VLOOKUP(TEXT(O49,"0"),CONDUCTORES!$A$3:$H$54,6,0),"")</f>
        <v/>
      </c>
      <c r="R49" s="280" t="n"/>
      <c r="S49" s="280" t="n"/>
      <c r="T49" s="280" t="n"/>
      <c r="U49" s="280" t="n"/>
      <c r="V49" s="280" t="n"/>
      <c r="W49" s="280" t="n"/>
      <c r="X49" s="280" t="n"/>
      <c r="Y49" s="280" t="n"/>
      <c r="Z49" s="236">
        <f>IF(AND(G49&lt;&gt;"",R49&lt;&gt;"",V49&lt;&gt;"",W49&lt;&gt;""),"COMPLETADO","OBSERVADO")</f>
        <v/>
      </c>
      <c r="AA49" s="284" t="n"/>
    </row>
    <row r="50" ht="15.75" customHeight="1" s="195">
      <c r="A50" s="334" t="n"/>
      <c r="B50" s="334" t="n"/>
      <c r="C50" s="334" t="n"/>
      <c r="D50" s="334" t="n"/>
      <c r="E50" s="334" t="n"/>
      <c r="F50" s="334" t="n"/>
      <c r="G50" s="334" t="n"/>
      <c r="H50" s="334" t="n"/>
      <c r="I50" s="332">
        <f>IFERROR(VLOOKUP(TEXT(H50,"0"),IPRESS!$A$3:$B$212,2,0),"")</f>
        <v/>
      </c>
      <c r="J50" s="334" t="n"/>
      <c r="K50" s="332">
        <f>IFERROR(VLOOKUP(TEXT(O50,"0"),CONDUCTORES!$A$3:$G$54,7,0),"")</f>
        <v/>
      </c>
      <c r="L50" s="334" t="n"/>
      <c r="M50" s="334" t="n"/>
      <c r="N50" s="333">
        <f>IFERROR(IF(L50*M50=0,"",L50*M50),"")</f>
        <v/>
      </c>
      <c r="O50" s="334" t="n"/>
      <c r="P50" s="332">
        <f>IFERROR(VLOOKUP(TEXT(O50,"0"),CONDUCTORES!$A$3:$G$54,2,0),"")</f>
        <v/>
      </c>
      <c r="Q50" s="332">
        <f>IFERROR(VLOOKUP(TEXT(O50,"0"),CONDUCTORES!$A$3:$H$54,6,0),"")</f>
        <v/>
      </c>
      <c r="R50" s="334" t="n"/>
      <c r="S50" s="334" t="n"/>
      <c r="T50" s="334" t="n"/>
      <c r="U50" s="334" t="n"/>
      <c r="V50" s="334" t="n"/>
      <c r="W50" s="334" t="n"/>
      <c r="X50" s="334" t="n"/>
      <c r="Y50" s="334" t="n"/>
      <c r="Z50" s="242">
        <f>IF(AND(G50&lt;&gt;"",R50&lt;&gt;"",V50&lt;&gt;"",W50&lt;&gt;""),"COMPLETADO","OBSERVADO")</f>
        <v/>
      </c>
      <c r="AA50" s="284" t="n"/>
    </row>
    <row r="51" ht="15.75" customHeight="1" s="195">
      <c r="A51" s="280" t="n"/>
      <c r="B51" s="280" t="n"/>
      <c r="C51" s="280" t="n"/>
      <c r="D51" s="280" t="n"/>
      <c r="E51" s="280" t="n"/>
      <c r="F51" s="280" t="n"/>
      <c r="G51" s="280" t="n"/>
      <c r="H51" s="280" t="n"/>
      <c r="I51" s="332">
        <f>IFERROR(VLOOKUP(TEXT(H51,"0"),IPRESS!$A$3:$B$212,2,0),"")</f>
        <v/>
      </c>
      <c r="J51" s="280" t="n"/>
      <c r="K51" s="332">
        <f>IFERROR(VLOOKUP(TEXT(O51,"0"),CONDUCTORES!$A$3:$G$54,7,0),"")</f>
        <v/>
      </c>
      <c r="L51" s="280" t="n"/>
      <c r="M51" s="280" t="n"/>
      <c r="N51" s="333">
        <f>IFERROR(IF(L51*M51=0,"",L51*M51),"")</f>
        <v/>
      </c>
      <c r="O51" s="280" t="n"/>
      <c r="P51" s="332">
        <f>IFERROR(VLOOKUP(TEXT(O51,"0"),CONDUCTORES!$A$3:$G$54,2,0),"")</f>
        <v/>
      </c>
      <c r="Q51" s="332">
        <f>IFERROR(VLOOKUP(TEXT(O51,"0"),CONDUCTORES!$A$3:$H$54,6,0),"")</f>
        <v/>
      </c>
      <c r="R51" s="280" t="n"/>
      <c r="S51" s="280" t="n"/>
      <c r="T51" s="280" t="n"/>
      <c r="U51" s="280" t="n"/>
      <c r="V51" s="280" t="n"/>
      <c r="W51" s="280" t="n"/>
      <c r="X51" s="280" t="n"/>
      <c r="Y51" s="280" t="n"/>
      <c r="Z51" s="236">
        <f>IF(AND(G51&lt;&gt;"",R51&lt;&gt;"",V51&lt;&gt;"",W51&lt;&gt;""),"COMPLETADO","OBSERVADO")</f>
        <v/>
      </c>
      <c r="AA51" s="284" t="n"/>
    </row>
    <row r="52" ht="15.75" customHeight="1" s="195">
      <c r="A52" s="334" t="n"/>
      <c r="B52" s="334" t="n"/>
      <c r="C52" s="334" t="n"/>
      <c r="D52" s="334" t="n"/>
      <c r="E52" s="334" t="n"/>
      <c r="F52" s="334" t="n"/>
      <c r="G52" s="334" t="n"/>
      <c r="H52" s="334" t="n"/>
      <c r="I52" s="332">
        <f>IFERROR(VLOOKUP(TEXT(H52,"0"),IPRESS!$A$3:$B$212,2,0),"")</f>
        <v/>
      </c>
      <c r="J52" s="334" t="n"/>
      <c r="K52" s="332">
        <f>IFERROR(VLOOKUP(TEXT(O52,"0"),CONDUCTORES!$A$3:$G$54,7,0),"")</f>
        <v/>
      </c>
      <c r="L52" s="334" t="n"/>
      <c r="M52" s="334" t="n"/>
      <c r="N52" s="333">
        <f>IFERROR(IF(L52*M52=0,"",L52*M52),"")</f>
        <v/>
      </c>
      <c r="O52" s="334" t="n"/>
      <c r="P52" s="332">
        <f>IFERROR(VLOOKUP(TEXT(O52,"0"),CONDUCTORES!$A$3:$G$54,2,0),"")</f>
        <v/>
      </c>
      <c r="Q52" s="332">
        <f>IFERROR(VLOOKUP(TEXT(O52,"0"),CONDUCTORES!$A$3:$H$54,6,0),"")</f>
        <v/>
      </c>
      <c r="R52" s="334" t="n"/>
      <c r="S52" s="334" t="n"/>
      <c r="T52" s="334" t="n"/>
      <c r="U52" s="334" t="n"/>
      <c r="V52" s="334" t="n"/>
      <c r="W52" s="334" t="n"/>
      <c r="X52" s="334" t="n"/>
      <c r="Y52" s="334" t="n"/>
      <c r="Z52" s="242">
        <f>IF(AND(G52&lt;&gt;"",R52&lt;&gt;"",V52&lt;&gt;"",W52&lt;&gt;""),"COMPLETADO","OBSERVADO")</f>
        <v/>
      </c>
      <c r="AA52" s="284" t="n"/>
    </row>
    <row r="53" ht="15.75" customHeight="1" s="195">
      <c r="A53" s="280" t="n"/>
      <c r="B53" s="280" t="n"/>
      <c r="C53" s="280" t="n"/>
      <c r="D53" s="280" t="n"/>
      <c r="E53" s="280" t="n"/>
      <c r="F53" s="280" t="n"/>
      <c r="G53" s="280" t="n"/>
      <c r="H53" s="280" t="n"/>
      <c r="I53" s="332">
        <f>IFERROR(VLOOKUP(TEXT(H53,"0"),IPRESS!$A$3:$B$212,2,0),"")</f>
        <v/>
      </c>
      <c r="J53" s="280" t="n"/>
      <c r="K53" s="332">
        <f>IFERROR(VLOOKUP(TEXT(O53,"0"),CONDUCTORES!$A$3:$G$54,7,0),"")</f>
        <v/>
      </c>
      <c r="L53" s="280" t="n"/>
      <c r="M53" s="280" t="n"/>
      <c r="N53" s="333">
        <f>IFERROR(IF(L53*M53=0,"",L53*M53),"")</f>
        <v/>
      </c>
      <c r="O53" s="280" t="n"/>
      <c r="P53" s="332">
        <f>IFERROR(VLOOKUP(TEXT(O53,"0"),CONDUCTORES!$A$3:$G$54,2,0),"")</f>
        <v/>
      </c>
      <c r="Q53" s="332">
        <f>IFERROR(VLOOKUP(TEXT(O53,"0"),CONDUCTORES!$A$3:$H$54,6,0),"")</f>
        <v/>
      </c>
      <c r="R53" s="280" t="n"/>
      <c r="S53" s="280" t="n"/>
      <c r="T53" s="280" t="n"/>
      <c r="U53" s="280" t="n"/>
      <c r="V53" s="280" t="n"/>
      <c r="W53" s="280" t="n"/>
      <c r="X53" s="280" t="n"/>
      <c r="Y53" s="280" t="n"/>
      <c r="Z53" s="236">
        <f>IF(AND(G53&lt;&gt;"",R53&lt;&gt;"",V53&lt;&gt;"",W53&lt;&gt;""),"COMPLETADO","OBSERVADO")</f>
        <v/>
      </c>
      <c r="AA53" s="284" t="n"/>
    </row>
    <row r="54" ht="15.75" customHeight="1" s="195">
      <c r="A54" s="334" t="n"/>
      <c r="B54" s="334" t="n"/>
      <c r="C54" s="334" t="n"/>
      <c r="D54" s="334" t="n"/>
      <c r="E54" s="334" t="n"/>
      <c r="F54" s="334" t="n"/>
      <c r="G54" s="334" t="n"/>
      <c r="H54" s="334" t="n"/>
      <c r="I54" s="332">
        <f>IFERROR(VLOOKUP(TEXT(H54,"0"),IPRESS!$A$3:$B$212,2,0),"")</f>
        <v/>
      </c>
      <c r="J54" s="334" t="n"/>
      <c r="K54" s="332">
        <f>IFERROR(VLOOKUP(TEXT(O54,"0"),CONDUCTORES!$A$3:$G$54,7,0),"")</f>
        <v/>
      </c>
      <c r="L54" s="334" t="n"/>
      <c r="M54" s="334" t="n"/>
      <c r="N54" s="333">
        <f>IFERROR(IF(L54*M54=0,"",L54*M54),"")</f>
        <v/>
      </c>
      <c r="O54" s="334" t="n"/>
      <c r="P54" s="332">
        <f>IFERROR(VLOOKUP(TEXT(O54,"0"),CONDUCTORES!$A$3:$G$54,2,0),"")</f>
        <v/>
      </c>
      <c r="Q54" s="332">
        <f>IFERROR(VLOOKUP(TEXT(O54,"0"),CONDUCTORES!$A$3:$H$54,6,0),"")</f>
        <v/>
      </c>
      <c r="R54" s="334" t="n"/>
      <c r="S54" s="334" t="n"/>
      <c r="T54" s="334" t="n"/>
      <c r="U54" s="334" t="n"/>
      <c r="V54" s="334" t="n"/>
      <c r="W54" s="334" t="n"/>
      <c r="X54" s="334" t="n"/>
      <c r="Y54" s="334" t="n"/>
      <c r="Z54" s="242">
        <f>IF(AND(G54&lt;&gt;"",R54&lt;&gt;"",V54&lt;&gt;"",W54&lt;&gt;""),"COMPLETADO","OBSERVADO")</f>
        <v/>
      </c>
      <c r="AA54" s="284" t="n"/>
    </row>
    <row r="55" ht="15.75" customHeight="1" s="195">
      <c r="A55" s="280" t="n"/>
      <c r="B55" s="280" t="n"/>
      <c r="C55" s="280" t="n"/>
      <c r="D55" s="280" t="n"/>
      <c r="E55" s="280" t="n"/>
      <c r="F55" s="280" t="n"/>
      <c r="G55" s="280" t="n"/>
      <c r="H55" s="280" t="n"/>
      <c r="I55" s="332">
        <f>IFERROR(VLOOKUP(TEXT(H55,"0"),IPRESS!$A$3:$B$212,2,0),"")</f>
        <v/>
      </c>
      <c r="J55" s="280" t="n"/>
      <c r="K55" s="332">
        <f>IFERROR(VLOOKUP(TEXT(O55,"0"),CONDUCTORES!$A$3:$G$54,7,0),"")</f>
        <v/>
      </c>
      <c r="L55" s="280" t="n"/>
      <c r="M55" s="280" t="n"/>
      <c r="N55" s="333">
        <f>IFERROR(IF(L55*M55=0,"",L55*M55),"")</f>
        <v/>
      </c>
      <c r="O55" s="280" t="n"/>
      <c r="P55" s="332">
        <f>IFERROR(VLOOKUP(TEXT(O55,"0"),CONDUCTORES!$A$3:$G$54,2,0),"")</f>
        <v/>
      </c>
      <c r="Q55" s="332">
        <f>IFERROR(VLOOKUP(TEXT(O55,"0"),CONDUCTORES!$A$3:$H$54,6,0),"")</f>
        <v/>
      </c>
      <c r="R55" s="280" t="n"/>
      <c r="S55" s="280" t="n"/>
      <c r="T55" s="280" t="n"/>
      <c r="U55" s="280" t="n"/>
      <c r="V55" s="280" t="n"/>
      <c r="W55" s="280" t="n"/>
      <c r="X55" s="280" t="n"/>
      <c r="Y55" s="280" t="n"/>
      <c r="Z55" s="236">
        <f>IF(AND(G55&lt;&gt;"",R55&lt;&gt;"",V55&lt;&gt;"",W55&lt;&gt;""),"COMPLETADO","OBSERVADO")</f>
        <v/>
      </c>
      <c r="AA55" s="284" t="n"/>
    </row>
    <row r="56" ht="15.75" customHeight="1" s="195">
      <c r="A56" s="334" t="n"/>
      <c r="B56" s="334" t="n"/>
      <c r="C56" s="334" t="n"/>
      <c r="D56" s="334" t="n"/>
      <c r="E56" s="334" t="n"/>
      <c r="F56" s="334" t="n"/>
      <c r="G56" s="334" t="n"/>
      <c r="H56" s="334" t="n"/>
      <c r="I56" s="332">
        <f>IFERROR(VLOOKUP(TEXT(H56,"0"),IPRESS!$A$3:$B$212,2,0),"")</f>
        <v/>
      </c>
      <c r="J56" s="334" t="n"/>
      <c r="K56" s="332">
        <f>IFERROR(VLOOKUP(TEXT(O56,"0"),CONDUCTORES!$A$3:$G$54,7,0),"")</f>
        <v/>
      </c>
      <c r="L56" s="334" t="n"/>
      <c r="M56" s="334" t="n"/>
      <c r="N56" s="333">
        <f>IFERROR(IF(L56*M56=0,"",L56*M56),"")</f>
        <v/>
      </c>
      <c r="O56" s="334" t="n"/>
      <c r="P56" s="332">
        <f>IFERROR(VLOOKUP(TEXT(O56,"0"),CONDUCTORES!$A$3:$G$54,2,0),"")</f>
        <v/>
      </c>
      <c r="Q56" s="332">
        <f>IFERROR(VLOOKUP(TEXT(O56,"0"),CONDUCTORES!$A$3:$H$54,6,0),"")</f>
        <v/>
      </c>
      <c r="R56" s="334" t="n"/>
      <c r="S56" s="334" t="n"/>
      <c r="T56" s="334" t="n"/>
      <c r="U56" s="334" t="n"/>
      <c r="V56" s="334" t="n"/>
      <c r="W56" s="334" t="n"/>
      <c r="X56" s="334" t="n"/>
      <c r="Y56" s="334" t="n"/>
      <c r="Z56" s="242">
        <f>IF(AND(G56&lt;&gt;"",R56&lt;&gt;"",V56&lt;&gt;"",W56&lt;&gt;""),"COMPLETADO","OBSERVADO")</f>
        <v/>
      </c>
      <c r="AA56" s="284" t="n"/>
    </row>
    <row r="57" ht="15.75" customHeight="1" s="195">
      <c r="A57" s="280" t="n"/>
      <c r="B57" s="280" t="n"/>
      <c r="C57" s="280" t="n"/>
      <c r="D57" s="280" t="n"/>
      <c r="E57" s="280" t="n"/>
      <c r="F57" s="280" t="n"/>
      <c r="G57" s="280" t="n"/>
      <c r="H57" s="280" t="n"/>
      <c r="I57" s="332">
        <f>IFERROR(VLOOKUP(TEXT(H57,"0"),IPRESS!$A$3:$B$212,2,0),"")</f>
        <v/>
      </c>
      <c r="J57" s="280" t="n"/>
      <c r="K57" s="332">
        <f>IFERROR(VLOOKUP(TEXT(O57,"0"),CONDUCTORES!$A$3:$G$54,7,0),"")</f>
        <v/>
      </c>
      <c r="L57" s="280" t="n"/>
      <c r="M57" s="280" t="n"/>
      <c r="N57" s="333">
        <f>IFERROR(IF(L57*M57=0,"",L57*M57),"")</f>
        <v/>
      </c>
      <c r="O57" s="280" t="n"/>
      <c r="P57" s="332">
        <f>IFERROR(VLOOKUP(TEXT(O57,"0"),CONDUCTORES!$A$3:$G$54,2,0),"")</f>
        <v/>
      </c>
      <c r="Q57" s="332">
        <f>IFERROR(VLOOKUP(TEXT(O57,"0"),CONDUCTORES!$A$3:$H$54,6,0),"")</f>
        <v/>
      </c>
      <c r="R57" s="280" t="n"/>
      <c r="S57" s="280" t="n"/>
      <c r="T57" s="280" t="n"/>
      <c r="U57" s="280" t="n"/>
      <c r="V57" s="280" t="n"/>
      <c r="W57" s="280" t="n"/>
      <c r="X57" s="280" t="n"/>
      <c r="Y57" s="280" t="n"/>
      <c r="Z57" s="236">
        <f>IF(AND(G57&lt;&gt;"",R57&lt;&gt;"",V57&lt;&gt;"",W57&lt;&gt;""),"COMPLETADO","OBSERVADO")</f>
        <v/>
      </c>
      <c r="AA57" s="284" t="n"/>
    </row>
    <row r="58" ht="15.75" customHeight="1" s="195">
      <c r="A58" s="334" t="n"/>
      <c r="B58" s="334" t="n"/>
      <c r="C58" s="334" t="n"/>
      <c r="D58" s="334" t="n"/>
      <c r="E58" s="334" t="n"/>
      <c r="F58" s="334" t="n"/>
      <c r="G58" s="334" t="n"/>
      <c r="H58" s="334" t="n"/>
      <c r="I58" s="332">
        <f>IFERROR(VLOOKUP(TEXT(H58,"0"),IPRESS!$A$3:$B$212,2,0),"")</f>
        <v/>
      </c>
      <c r="J58" s="334" t="n"/>
      <c r="K58" s="332">
        <f>IFERROR(VLOOKUP(TEXT(O58,"0"),CONDUCTORES!$A$3:$G$54,7,0),"")</f>
        <v/>
      </c>
      <c r="L58" s="334" t="n"/>
      <c r="M58" s="334" t="n"/>
      <c r="N58" s="333">
        <f>IFERROR(IF(L58*M58=0,"",L58*M58),"")</f>
        <v/>
      </c>
      <c r="O58" s="334" t="n"/>
      <c r="P58" s="332">
        <f>IFERROR(VLOOKUP(TEXT(O58,"0"),CONDUCTORES!$A$3:$G$54,2,0),"")</f>
        <v/>
      </c>
      <c r="Q58" s="332">
        <f>IFERROR(VLOOKUP(TEXT(O58,"0"),CONDUCTORES!$A$3:$H$54,6,0),"")</f>
        <v/>
      </c>
      <c r="R58" s="334" t="n"/>
      <c r="S58" s="334" t="n"/>
      <c r="T58" s="334" t="n"/>
      <c r="U58" s="334" t="n"/>
      <c r="V58" s="334" t="n"/>
      <c r="W58" s="334" t="n"/>
      <c r="X58" s="334" t="n"/>
      <c r="Y58" s="334" t="n"/>
      <c r="Z58" s="242">
        <f>IF(AND(G58&lt;&gt;"",R58&lt;&gt;"",V58&lt;&gt;"",W58&lt;&gt;""),"COMPLETADO","OBSERVADO")</f>
        <v/>
      </c>
      <c r="AA58" s="284" t="n"/>
    </row>
    <row r="59" ht="15.75" customHeight="1" s="195">
      <c r="A59" s="280" t="n"/>
      <c r="B59" s="280" t="n"/>
      <c r="C59" s="280" t="n"/>
      <c r="D59" s="280" t="n"/>
      <c r="E59" s="280" t="n"/>
      <c r="F59" s="280" t="n"/>
      <c r="G59" s="280" t="n"/>
      <c r="H59" s="280" t="n"/>
      <c r="I59" s="332">
        <f>IFERROR(VLOOKUP(TEXT(H59,"0"),IPRESS!$A$3:$B$212,2,0),"")</f>
        <v/>
      </c>
      <c r="J59" s="280" t="n"/>
      <c r="K59" s="332">
        <f>IFERROR(VLOOKUP(TEXT(O59,"0"),CONDUCTORES!$A$3:$G$54,7,0),"")</f>
        <v/>
      </c>
      <c r="L59" s="280" t="n"/>
      <c r="M59" s="280" t="n"/>
      <c r="N59" s="333">
        <f>IFERROR(IF(L59*M59=0,"",L59*M59),"")</f>
        <v/>
      </c>
      <c r="O59" s="280" t="n"/>
      <c r="P59" s="332">
        <f>IFERROR(VLOOKUP(TEXT(O59,"0"),CONDUCTORES!$A$3:$G$54,2,0),"")</f>
        <v/>
      </c>
      <c r="Q59" s="332">
        <f>IFERROR(VLOOKUP(TEXT(O59,"0"),CONDUCTORES!$A$3:$H$54,6,0),"")</f>
        <v/>
      </c>
      <c r="R59" s="280" t="n"/>
      <c r="S59" s="280" t="n"/>
      <c r="T59" s="280" t="n"/>
      <c r="U59" s="280" t="n"/>
      <c r="V59" s="280" t="n"/>
      <c r="W59" s="280" t="n"/>
      <c r="X59" s="280" t="n"/>
      <c r="Y59" s="280" t="n"/>
      <c r="Z59" s="236">
        <f>IF(AND(G59&lt;&gt;"",R59&lt;&gt;"",V59&lt;&gt;"",W59&lt;&gt;""),"COMPLETADO","OBSERVADO")</f>
        <v/>
      </c>
      <c r="AA59" s="284" t="n"/>
    </row>
    <row r="60" ht="15.75" customHeight="1" s="195">
      <c r="A60" s="334" t="n"/>
      <c r="B60" s="334" t="n"/>
      <c r="C60" s="334" t="n"/>
      <c r="D60" s="334" t="n"/>
      <c r="E60" s="334" t="n"/>
      <c r="F60" s="334" t="n"/>
      <c r="G60" s="334" t="n"/>
      <c r="H60" s="334" t="n"/>
      <c r="I60" s="332">
        <f>IFERROR(VLOOKUP(TEXT(H60,"0"),IPRESS!$A$3:$B$212,2,0),"")</f>
        <v/>
      </c>
      <c r="J60" s="334" t="n"/>
      <c r="K60" s="332">
        <f>IFERROR(VLOOKUP(TEXT(O60,"0"),CONDUCTORES!$A$3:$G$54,7,0),"")</f>
        <v/>
      </c>
      <c r="L60" s="334" t="n"/>
      <c r="M60" s="334" t="n"/>
      <c r="N60" s="333">
        <f>IFERROR(IF(L60*M60=0,"",L60*M60),"")</f>
        <v/>
      </c>
      <c r="O60" s="334" t="n"/>
      <c r="P60" s="332">
        <f>IFERROR(VLOOKUP(TEXT(O60,"0"),CONDUCTORES!$A$3:$G$54,2,0),"")</f>
        <v/>
      </c>
      <c r="Q60" s="332">
        <f>IFERROR(VLOOKUP(TEXT(O60,"0"),CONDUCTORES!$A$3:$H$54,6,0),"")</f>
        <v/>
      </c>
      <c r="R60" s="334" t="n"/>
      <c r="S60" s="334" t="n"/>
      <c r="T60" s="334" t="n"/>
      <c r="U60" s="334" t="n"/>
      <c r="V60" s="334" t="n"/>
      <c r="W60" s="334" t="n"/>
      <c r="X60" s="334" t="n"/>
      <c r="Y60" s="334" t="n"/>
      <c r="Z60" s="242">
        <f>IF(AND(G60&lt;&gt;"",R60&lt;&gt;"",V60&lt;&gt;"",W60&lt;&gt;""),"COMPLETADO","OBSERVADO")</f>
        <v/>
      </c>
      <c r="AA60" s="284" t="n"/>
    </row>
    <row r="61" ht="15.75" customHeight="1" s="195">
      <c r="A61" s="280" t="n"/>
      <c r="B61" s="280" t="n"/>
      <c r="C61" s="280" t="n"/>
      <c r="D61" s="280" t="n"/>
      <c r="E61" s="280" t="n"/>
      <c r="F61" s="280" t="n"/>
      <c r="G61" s="280" t="n"/>
      <c r="H61" s="280" t="n"/>
      <c r="I61" s="332">
        <f>IFERROR(VLOOKUP(TEXT(H61,"0"),IPRESS!$A$3:$B$212,2,0),"")</f>
        <v/>
      </c>
      <c r="J61" s="280" t="n"/>
      <c r="K61" s="332">
        <f>IFERROR(VLOOKUP(TEXT(O61,"0"),CONDUCTORES!$A$3:$G$54,7,0),"")</f>
        <v/>
      </c>
      <c r="L61" s="280" t="n"/>
      <c r="M61" s="280" t="n"/>
      <c r="N61" s="333">
        <f>IFERROR(IF(L61*M61=0,"",L61*M61),"")</f>
        <v/>
      </c>
      <c r="O61" s="280" t="n"/>
      <c r="P61" s="332">
        <f>IFERROR(VLOOKUP(TEXT(O61,"0"),CONDUCTORES!$A$3:$G$54,2,0),"")</f>
        <v/>
      </c>
      <c r="Q61" s="332">
        <f>IFERROR(VLOOKUP(TEXT(O61,"0"),CONDUCTORES!$A$3:$H$54,6,0),"")</f>
        <v/>
      </c>
      <c r="R61" s="280" t="n"/>
      <c r="S61" s="280" t="n"/>
      <c r="T61" s="280" t="n"/>
      <c r="U61" s="280" t="n"/>
      <c r="V61" s="280" t="n"/>
      <c r="W61" s="280" t="n"/>
      <c r="X61" s="280" t="n"/>
      <c r="Y61" s="280" t="n"/>
      <c r="Z61" s="236">
        <f>IF(AND(G61&lt;&gt;"",R61&lt;&gt;"",V61&lt;&gt;"",W61&lt;&gt;""),"COMPLETADO","OBSERVADO")</f>
        <v/>
      </c>
      <c r="AA61" s="284" t="n"/>
    </row>
    <row r="62" ht="15.75" customHeight="1" s="195">
      <c r="A62" s="334" t="n"/>
      <c r="B62" s="334" t="n"/>
      <c r="C62" s="334" t="n"/>
      <c r="D62" s="334" t="n"/>
      <c r="E62" s="334" t="n"/>
      <c r="F62" s="334" t="n"/>
      <c r="G62" s="334" t="n"/>
      <c r="H62" s="334" t="n"/>
      <c r="I62" s="332">
        <f>IFERROR(VLOOKUP(TEXT(H62,"0"),IPRESS!$A$3:$B$212,2,0),"")</f>
        <v/>
      </c>
      <c r="J62" s="334" t="n"/>
      <c r="K62" s="332">
        <f>IFERROR(VLOOKUP(TEXT(O62,"0"),CONDUCTORES!$A$3:$G$54,7,0),"")</f>
        <v/>
      </c>
      <c r="L62" s="334" t="n"/>
      <c r="M62" s="334" t="n"/>
      <c r="N62" s="333">
        <f>IFERROR(IF(L62*M62=0,"",L62*M62),"")</f>
        <v/>
      </c>
      <c r="O62" s="334" t="n"/>
      <c r="P62" s="332">
        <f>IFERROR(VLOOKUP(TEXT(O62,"0"),CONDUCTORES!$A$3:$G$54,2,0),"")</f>
        <v/>
      </c>
      <c r="Q62" s="332">
        <f>IFERROR(VLOOKUP(TEXT(O62,"0"),CONDUCTORES!$A$3:$H$54,6,0),"")</f>
        <v/>
      </c>
      <c r="R62" s="334" t="n"/>
      <c r="S62" s="334" t="n"/>
      <c r="T62" s="334" t="n"/>
      <c r="U62" s="334" t="n"/>
      <c r="V62" s="334" t="n"/>
      <c r="W62" s="334" t="n"/>
      <c r="X62" s="334" t="n"/>
      <c r="Y62" s="334" t="n"/>
      <c r="Z62" s="242">
        <f>IF(AND(G62&lt;&gt;"",R62&lt;&gt;"",V62&lt;&gt;"",W62&lt;&gt;""),"COMPLETADO","OBSERVADO")</f>
        <v/>
      </c>
      <c r="AA62" s="284" t="n"/>
    </row>
    <row r="63" ht="15.75" customHeight="1" s="195">
      <c r="A63" s="280" t="n"/>
      <c r="B63" s="280" t="n"/>
      <c r="C63" s="280" t="n"/>
      <c r="D63" s="280" t="n"/>
      <c r="E63" s="280" t="n"/>
      <c r="F63" s="280" t="n"/>
      <c r="G63" s="280" t="n"/>
      <c r="H63" s="280" t="n"/>
      <c r="I63" s="332">
        <f>IFERROR(VLOOKUP(TEXT(H63,"0"),IPRESS!$A$3:$B$212,2,0),"")</f>
        <v/>
      </c>
      <c r="J63" s="280" t="n"/>
      <c r="K63" s="332">
        <f>IFERROR(VLOOKUP(TEXT(O63,"0"),CONDUCTORES!$A$3:$G$54,7,0),"")</f>
        <v/>
      </c>
      <c r="L63" s="280" t="n"/>
      <c r="M63" s="280" t="n"/>
      <c r="N63" s="333">
        <f>IFERROR(IF(L63*M63=0,"",L63*M63),"")</f>
        <v/>
      </c>
      <c r="O63" s="280" t="n"/>
      <c r="P63" s="332">
        <f>IFERROR(VLOOKUP(TEXT(O63,"0"),CONDUCTORES!$A$3:$G$54,2,0),"")</f>
        <v/>
      </c>
      <c r="Q63" s="332">
        <f>IFERROR(VLOOKUP(TEXT(O63,"0"),CONDUCTORES!$A$3:$H$54,6,0),"")</f>
        <v/>
      </c>
      <c r="R63" s="280" t="n"/>
      <c r="S63" s="280" t="n"/>
      <c r="T63" s="280" t="n"/>
      <c r="U63" s="280" t="n"/>
      <c r="V63" s="280" t="n"/>
      <c r="W63" s="280" t="n"/>
      <c r="X63" s="280" t="n"/>
      <c r="Y63" s="280" t="n"/>
      <c r="Z63" s="236">
        <f>IF(AND(G63&lt;&gt;"",R63&lt;&gt;"",V63&lt;&gt;"",W63&lt;&gt;""),"COMPLETADO","OBSERVADO")</f>
        <v/>
      </c>
      <c r="AA63" s="284" t="n"/>
    </row>
    <row r="64" ht="15.75" customHeight="1" s="195">
      <c r="A64" s="334" t="n"/>
      <c r="B64" s="334" t="n"/>
      <c r="C64" s="334" t="n"/>
      <c r="D64" s="334" t="n"/>
      <c r="E64" s="334" t="n"/>
      <c r="F64" s="334" t="n"/>
      <c r="G64" s="334" t="n"/>
      <c r="H64" s="334" t="n"/>
      <c r="I64" s="332">
        <f>IFERROR(VLOOKUP(TEXT(H64,"0"),IPRESS!$A$3:$B$212,2,0),"")</f>
        <v/>
      </c>
      <c r="J64" s="334" t="n"/>
      <c r="K64" s="332">
        <f>IFERROR(VLOOKUP(TEXT(O64,"0"),CONDUCTORES!$A$3:$G$54,7,0),"")</f>
        <v/>
      </c>
      <c r="L64" s="334" t="n"/>
      <c r="M64" s="334" t="n"/>
      <c r="N64" s="333">
        <f>IFERROR(IF(L64*M64=0,"",L64*M64),"")</f>
        <v/>
      </c>
      <c r="O64" s="334" t="n"/>
      <c r="P64" s="332">
        <f>IFERROR(VLOOKUP(TEXT(O64,"0"),CONDUCTORES!$A$3:$G$54,2,0),"")</f>
        <v/>
      </c>
      <c r="Q64" s="332">
        <f>IFERROR(VLOOKUP(TEXT(O64,"0"),CONDUCTORES!$A$3:$H$54,6,0),"")</f>
        <v/>
      </c>
      <c r="R64" s="334" t="n"/>
      <c r="S64" s="334" t="n"/>
      <c r="T64" s="334" t="n"/>
      <c r="U64" s="334" t="n"/>
      <c r="V64" s="334" t="n"/>
      <c r="W64" s="334" t="n"/>
      <c r="X64" s="334" t="n"/>
      <c r="Y64" s="334" t="n"/>
      <c r="Z64" s="242">
        <f>IF(AND(G64&lt;&gt;"",R64&lt;&gt;"",V64&lt;&gt;"",W64&lt;&gt;""),"COMPLETADO","OBSERVADO")</f>
        <v/>
      </c>
      <c r="AA64" s="284" t="n"/>
    </row>
    <row r="65" ht="15.75" customHeight="1" s="195">
      <c r="A65" s="280" t="n"/>
      <c r="B65" s="280" t="n"/>
      <c r="C65" s="280" t="n"/>
      <c r="D65" s="280" t="n"/>
      <c r="E65" s="280" t="n"/>
      <c r="F65" s="280" t="n"/>
      <c r="G65" s="280" t="n"/>
      <c r="H65" s="280" t="n"/>
      <c r="I65" s="332">
        <f>IFERROR(VLOOKUP(TEXT(H65,"0"),IPRESS!$A$3:$B$212,2,0),"")</f>
        <v/>
      </c>
      <c r="J65" s="280" t="n"/>
      <c r="K65" s="332">
        <f>IFERROR(VLOOKUP(TEXT(O65,"0"),CONDUCTORES!$A$3:$G$54,7,0),"")</f>
        <v/>
      </c>
      <c r="L65" s="280" t="n"/>
      <c r="M65" s="280" t="n"/>
      <c r="N65" s="333">
        <f>IFERROR(IF(L65*M65=0,"",L65*M65),"")</f>
        <v/>
      </c>
      <c r="O65" s="280" t="n"/>
      <c r="P65" s="332">
        <f>IFERROR(VLOOKUP(TEXT(O65,"0"),CONDUCTORES!$A$3:$G$54,2,0),"")</f>
        <v/>
      </c>
      <c r="Q65" s="332">
        <f>IFERROR(VLOOKUP(TEXT(O65,"0"),CONDUCTORES!$A$3:$H$54,6,0),"")</f>
        <v/>
      </c>
      <c r="R65" s="280" t="n"/>
      <c r="S65" s="280" t="n"/>
      <c r="T65" s="280" t="n"/>
      <c r="U65" s="280" t="n"/>
      <c r="V65" s="280" t="n"/>
      <c r="W65" s="280" t="n"/>
      <c r="X65" s="280" t="n"/>
      <c r="Y65" s="280" t="n"/>
      <c r="Z65" s="236">
        <f>IF(AND(G65&lt;&gt;"",R65&lt;&gt;"",V65&lt;&gt;"",W65&lt;&gt;""),"COMPLETADO","OBSERVADO")</f>
        <v/>
      </c>
      <c r="AA65" s="284" t="n"/>
    </row>
    <row r="66" ht="15.75" customHeight="1" s="195">
      <c r="A66" s="334" t="n"/>
      <c r="B66" s="334" t="n"/>
      <c r="C66" s="334" t="n"/>
      <c r="D66" s="334" t="n"/>
      <c r="E66" s="334" t="n"/>
      <c r="F66" s="334" t="n"/>
      <c r="G66" s="334" t="n"/>
      <c r="H66" s="334" t="n"/>
      <c r="I66" s="332">
        <f>IFERROR(VLOOKUP(TEXT(H66,"0"),IPRESS!$A$3:$B$212,2,0),"")</f>
        <v/>
      </c>
      <c r="J66" s="334" t="n"/>
      <c r="K66" s="332">
        <f>IFERROR(VLOOKUP(TEXT(O66,"0"),CONDUCTORES!$A$3:$G$54,7,0),"")</f>
        <v/>
      </c>
      <c r="L66" s="334" t="n"/>
      <c r="M66" s="334" t="n"/>
      <c r="N66" s="333">
        <f>IFERROR(IF(L66*M66=0,"",L66*M66),"")</f>
        <v/>
      </c>
      <c r="O66" s="334" t="n"/>
      <c r="P66" s="332">
        <f>IFERROR(VLOOKUP(TEXT(O66,"0"),CONDUCTORES!$A$3:$G$54,2,0),"")</f>
        <v/>
      </c>
      <c r="Q66" s="332">
        <f>IFERROR(VLOOKUP(TEXT(O66,"0"),CONDUCTORES!$A$3:$H$54,6,0),"")</f>
        <v/>
      </c>
      <c r="R66" s="334" t="n"/>
      <c r="S66" s="334" t="n"/>
      <c r="T66" s="334" t="n"/>
      <c r="U66" s="334" t="n"/>
      <c r="V66" s="334" t="n"/>
      <c r="W66" s="334" t="n"/>
      <c r="X66" s="334" t="n"/>
      <c r="Y66" s="334" t="n"/>
      <c r="Z66" s="242">
        <f>IF(AND(G66&lt;&gt;"",R66&lt;&gt;"",V66&lt;&gt;"",W66&lt;&gt;""),"COMPLETADO","OBSERVADO")</f>
        <v/>
      </c>
      <c r="AA66" s="284" t="n"/>
    </row>
    <row r="67" ht="15.75" customHeight="1" s="195">
      <c r="A67" s="280" t="n"/>
      <c r="B67" s="280" t="n"/>
      <c r="C67" s="280" t="n"/>
      <c r="D67" s="280" t="n"/>
      <c r="E67" s="280" t="n"/>
      <c r="F67" s="280" t="n"/>
      <c r="G67" s="280" t="n"/>
      <c r="H67" s="280" t="n"/>
      <c r="I67" s="332">
        <f>IFERROR(VLOOKUP(TEXT(H67,"0"),IPRESS!$A$3:$B$212,2,0),"")</f>
        <v/>
      </c>
      <c r="J67" s="280" t="n"/>
      <c r="K67" s="332">
        <f>IFERROR(VLOOKUP(TEXT(O67,"0"),CONDUCTORES!$A$3:$G$54,7,0),"")</f>
        <v/>
      </c>
      <c r="L67" s="280" t="n"/>
      <c r="M67" s="280" t="n"/>
      <c r="N67" s="333">
        <f>IFERROR(IF(L67*M67=0,"",L67*M67),"")</f>
        <v/>
      </c>
      <c r="O67" s="280" t="n"/>
      <c r="P67" s="332">
        <f>IFERROR(VLOOKUP(TEXT(O67,"0"),CONDUCTORES!$A$3:$G$54,2,0),"")</f>
        <v/>
      </c>
      <c r="Q67" s="332">
        <f>IFERROR(VLOOKUP(TEXT(O67,"0"),CONDUCTORES!$A$3:$H$54,6,0),"")</f>
        <v/>
      </c>
      <c r="R67" s="280" t="n"/>
      <c r="S67" s="280" t="n"/>
      <c r="T67" s="280" t="n"/>
      <c r="U67" s="280" t="n"/>
      <c r="V67" s="280" t="n"/>
      <c r="W67" s="280" t="n"/>
      <c r="X67" s="280" t="n"/>
      <c r="Y67" s="280" t="n"/>
      <c r="Z67" s="236">
        <f>IF(AND(G67&lt;&gt;"",R67&lt;&gt;"",V67&lt;&gt;"",W67&lt;&gt;""),"COMPLETADO","OBSERVADO")</f>
        <v/>
      </c>
      <c r="AA67" s="284" t="n"/>
    </row>
    <row r="68" ht="15.75" customHeight="1" s="195">
      <c r="A68" s="334" t="n"/>
      <c r="B68" s="334" t="n"/>
      <c r="C68" s="334" t="n"/>
      <c r="D68" s="334" t="n"/>
      <c r="E68" s="334" t="n"/>
      <c r="F68" s="334" t="n"/>
      <c r="G68" s="334" t="n"/>
      <c r="H68" s="334" t="n"/>
      <c r="I68" s="332">
        <f>IFERROR(VLOOKUP(TEXT(H68,"0"),IPRESS!$A$3:$B$212,2,0),"")</f>
        <v/>
      </c>
      <c r="J68" s="334" t="n"/>
      <c r="K68" s="332">
        <f>IFERROR(VLOOKUP(TEXT(O68,"0"),CONDUCTORES!$A$3:$G$54,7,0),"")</f>
        <v/>
      </c>
      <c r="L68" s="334" t="n"/>
      <c r="M68" s="334" t="n"/>
      <c r="N68" s="333">
        <f>IFERROR(IF(L68*M68=0,"",L68*M68),"")</f>
        <v/>
      </c>
      <c r="O68" s="334" t="n"/>
      <c r="P68" s="332">
        <f>IFERROR(VLOOKUP(TEXT(O68,"0"),CONDUCTORES!$A$3:$G$54,2,0),"")</f>
        <v/>
      </c>
      <c r="Q68" s="332">
        <f>IFERROR(VLOOKUP(TEXT(O68,"0"),CONDUCTORES!$A$3:$H$54,6,0),"")</f>
        <v/>
      </c>
      <c r="R68" s="334" t="n"/>
      <c r="S68" s="334" t="n"/>
      <c r="T68" s="334" t="n"/>
      <c r="U68" s="334" t="n"/>
      <c r="V68" s="334" t="n"/>
      <c r="W68" s="334" t="n"/>
      <c r="X68" s="334" t="n"/>
      <c r="Y68" s="334" t="n"/>
      <c r="Z68" s="242">
        <f>IF(AND(G68&lt;&gt;"",R68&lt;&gt;"",V68&lt;&gt;"",W68&lt;&gt;""),"COMPLETADO","OBSERVADO")</f>
        <v/>
      </c>
      <c r="AA68" s="284" t="n"/>
    </row>
    <row r="69" ht="15.75" customHeight="1" s="195">
      <c r="A69" s="280" t="n"/>
      <c r="B69" s="280" t="n"/>
      <c r="C69" s="280" t="n"/>
      <c r="D69" s="280" t="n"/>
      <c r="E69" s="280" t="n"/>
      <c r="F69" s="280" t="n"/>
      <c r="G69" s="280" t="n"/>
      <c r="H69" s="280" t="n"/>
      <c r="I69" s="332">
        <f>IFERROR(VLOOKUP(TEXT(H69,"0"),IPRESS!$A$3:$B$212,2,0),"")</f>
        <v/>
      </c>
      <c r="J69" s="280" t="n"/>
      <c r="K69" s="332">
        <f>IFERROR(VLOOKUP(TEXT(O69,"0"),CONDUCTORES!$A$3:$G$54,7,0),"")</f>
        <v/>
      </c>
      <c r="L69" s="280" t="n"/>
      <c r="M69" s="280" t="n"/>
      <c r="N69" s="333">
        <f>IFERROR(IF(L69*M69=0,"",L69*M69),"")</f>
        <v/>
      </c>
      <c r="O69" s="280" t="n"/>
      <c r="P69" s="332">
        <f>IFERROR(VLOOKUP(TEXT(O69,"0"),CONDUCTORES!$A$3:$G$54,2,0),"")</f>
        <v/>
      </c>
      <c r="Q69" s="332">
        <f>IFERROR(VLOOKUP(TEXT(O69,"0"),CONDUCTORES!$A$3:$H$54,6,0),"")</f>
        <v/>
      </c>
      <c r="R69" s="280" t="n"/>
      <c r="S69" s="280" t="n"/>
      <c r="T69" s="280" t="n"/>
      <c r="U69" s="280" t="n"/>
      <c r="V69" s="280" t="n"/>
      <c r="W69" s="280" t="n"/>
      <c r="X69" s="280" t="n"/>
      <c r="Y69" s="280" t="n"/>
      <c r="Z69" s="236">
        <f>IF(AND(G69&lt;&gt;"",R69&lt;&gt;"",V69&lt;&gt;"",W69&lt;&gt;""),"COMPLETADO","OBSERVADO")</f>
        <v/>
      </c>
      <c r="AA69" s="284" t="n"/>
    </row>
    <row r="70" ht="15.75" customHeight="1" s="195">
      <c r="A70" s="334" t="n"/>
      <c r="B70" s="334" t="n"/>
      <c r="C70" s="334" t="n"/>
      <c r="D70" s="334" t="n"/>
      <c r="E70" s="334" t="n"/>
      <c r="F70" s="334" t="n"/>
      <c r="G70" s="334" t="n"/>
      <c r="H70" s="334" t="n"/>
      <c r="I70" s="332">
        <f>IFERROR(VLOOKUP(TEXT(H70,"0"),IPRESS!$A$3:$B$212,2,0),"")</f>
        <v/>
      </c>
      <c r="J70" s="334" t="n"/>
      <c r="K70" s="332">
        <f>IFERROR(VLOOKUP(TEXT(O70,"0"),CONDUCTORES!$A$3:$G$54,7,0),"")</f>
        <v/>
      </c>
      <c r="L70" s="334" t="n"/>
      <c r="M70" s="334" t="n"/>
      <c r="N70" s="333">
        <f>IFERROR(IF(L70*M70=0,"",L70*M70),"")</f>
        <v/>
      </c>
      <c r="O70" s="334" t="n"/>
      <c r="P70" s="332">
        <f>IFERROR(VLOOKUP(TEXT(O70,"0"),CONDUCTORES!$A$3:$G$54,2,0),"")</f>
        <v/>
      </c>
      <c r="Q70" s="332">
        <f>IFERROR(VLOOKUP(TEXT(O70,"0"),CONDUCTORES!$A$3:$H$54,6,0),"")</f>
        <v/>
      </c>
      <c r="R70" s="334" t="n"/>
      <c r="S70" s="334" t="n"/>
      <c r="T70" s="334" t="n"/>
      <c r="U70" s="334" t="n"/>
      <c r="V70" s="334" t="n"/>
      <c r="W70" s="334" t="n"/>
      <c r="X70" s="334" t="n"/>
      <c r="Y70" s="334" t="n"/>
      <c r="Z70" s="242">
        <f>IF(AND(G70&lt;&gt;"",R70&lt;&gt;"",V70&lt;&gt;"",W70&lt;&gt;""),"COMPLETADO","OBSERVADO")</f>
        <v/>
      </c>
      <c r="AA70" s="284" t="n"/>
    </row>
    <row r="71" ht="15.75" customHeight="1" s="195">
      <c r="A71" s="280" t="n"/>
      <c r="B71" s="280" t="n"/>
      <c r="C71" s="280" t="n"/>
      <c r="D71" s="280" t="n"/>
      <c r="E71" s="280" t="n"/>
      <c r="F71" s="280" t="n"/>
      <c r="G71" s="280" t="n"/>
      <c r="H71" s="280" t="n"/>
      <c r="I71" s="332">
        <f>IFERROR(VLOOKUP(TEXT(H71,"0"),IPRESS!$A$3:$B$212,2,0),"")</f>
        <v/>
      </c>
      <c r="J71" s="280" t="n"/>
      <c r="K71" s="332">
        <f>IFERROR(VLOOKUP(TEXT(O71,"0"),CONDUCTORES!$A$3:$G$54,7,0),"")</f>
        <v/>
      </c>
      <c r="L71" s="280" t="n"/>
      <c r="M71" s="280" t="n"/>
      <c r="N71" s="333">
        <f>IFERROR(IF(L71*M71=0,"",L71*M71),"")</f>
        <v/>
      </c>
      <c r="O71" s="280" t="n"/>
      <c r="P71" s="332">
        <f>IFERROR(VLOOKUP(TEXT(O71,"0"),CONDUCTORES!$A$3:$G$54,2,0),"")</f>
        <v/>
      </c>
      <c r="Q71" s="332">
        <f>IFERROR(VLOOKUP(TEXT(O71,"0"),CONDUCTORES!$A$3:$H$54,6,0),"")</f>
        <v/>
      </c>
      <c r="R71" s="280" t="n"/>
      <c r="S71" s="280" t="n"/>
      <c r="T71" s="280" t="n"/>
      <c r="U71" s="280" t="n"/>
      <c r="V71" s="280" t="n"/>
      <c r="W71" s="280" t="n"/>
      <c r="X71" s="280" t="n"/>
      <c r="Y71" s="280" t="n"/>
      <c r="Z71" s="236">
        <f>IF(AND(G71&lt;&gt;"",R71&lt;&gt;"",V71&lt;&gt;"",W71&lt;&gt;""),"COMPLETADO","OBSERVADO")</f>
        <v/>
      </c>
      <c r="AA71" s="284" t="n"/>
    </row>
    <row r="72" ht="15.75" customHeight="1" s="195">
      <c r="A72" s="334" t="n"/>
      <c r="B72" s="334" t="n"/>
      <c r="C72" s="334" t="n"/>
      <c r="D72" s="334" t="n"/>
      <c r="E72" s="334" t="n"/>
      <c r="F72" s="334" t="n"/>
      <c r="G72" s="334" t="n"/>
      <c r="H72" s="334" t="n"/>
      <c r="I72" s="332">
        <f>IFERROR(VLOOKUP(TEXT(H72,"0"),IPRESS!$A$3:$B$212,2,0),"")</f>
        <v/>
      </c>
      <c r="J72" s="334" t="n"/>
      <c r="K72" s="332">
        <f>IFERROR(VLOOKUP(TEXT(O72,"0"),CONDUCTORES!$A$3:$G$54,7,0),"")</f>
        <v/>
      </c>
      <c r="L72" s="334" t="n"/>
      <c r="M72" s="334" t="n"/>
      <c r="N72" s="333">
        <f>IFERROR(IF(L72*M72=0,"",L72*M72),"")</f>
        <v/>
      </c>
      <c r="O72" s="334" t="n"/>
      <c r="P72" s="332">
        <f>IFERROR(VLOOKUP(TEXT(O72,"0"),CONDUCTORES!$A$3:$G$54,2,0),"")</f>
        <v/>
      </c>
      <c r="Q72" s="332">
        <f>IFERROR(VLOOKUP(TEXT(O72,"0"),CONDUCTORES!$A$3:$H$54,6,0),"")</f>
        <v/>
      </c>
      <c r="R72" s="334" t="n"/>
      <c r="S72" s="334" t="n"/>
      <c r="T72" s="334" t="n"/>
      <c r="U72" s="334" t="n"/>
      <c r="V72" s="334" t="n"/>
      <c r="W72" s="334" t="n"/>
      <c r="X72" s="334" t="n"/>
      <c r="Y72" s="334" t="n"/>
      <c r="Z72" s="242">
        <f>IF(AND(G72&lt;&gt;"",R72&lt;&gt;"",V72&lt;&gt;"",W72&lt;&gt;""),"COMPLETADO","OBSERVADO")</f>
        <v/>
      </c>
      <c r="AA72" s="284" t="n"/>
    </row>
    <row r="73" ht="15.75" customHeight="1" s="195">
      <c r="A73" s="280" t="n"/>
      <c r="B73" s="280" t="n"/>
      <c r="C73" s="280" t="n"/>
      <c r="D73" s="280" t="n"/>
      <c r="E73" s="280" t="n"/>
      <c r="F73" s="280" t="n"/>
      <c r="G73" s="280" t="n"/>
      <c r="H73" s="280" t="n"/>
      <c r="I73" s="332">
        <f>IFERROR(VLOOKUP(TEXT(H73,"0"),IPRESS!$A$3:$B$212,2,0),"")</f>
        <v/>
      </c>
      <c r="J73" s="280" t="n"/>
      <c r="K73" s="332">
        <f>IFERROR(VLOOKUP(TEXT(O73,"0"),CONDUCTORES!$A$3:$G$54,7,0),"")</f>
        <v/>
      </c>
      <c r="L73" s="280" t="n"/>
      <c r="M73" s="280" t="n"/>
      <c r="N73" s="333">
        <f>IFERROR(IF(L73*M73=0,"",L73*M73),"")</f>
        <v/>
      </c>
      <c r="O73" s="280" t="n"/>
      <c r="P73" s="332">
        <f>IFERROR(VLOOKUP(TEXT(O73,"0"),CONDUCTORES!$A$3:$G$54,2,0),"")</f>
        <v/>
      </c>
      <c r="Q73" s="332">
        <f>IFERROR(VLOOKUP(TEXT(O73,"0"),CONDUCTORES!$A$3:$H$54,6,0),"")</f>
        <v/>
      </c>
      <c r="R73" s="280" t="n"/>
      <c r="S73" s="280" t="n"/>
      <c r="T73" s="280" t="n"/>
      <c r="U73" s="280" t="n"/>
      <c r="V73" s="280" t="n"/>
      <c r="W73" s="280" t="n"/>
      <c r="X73" s="280" t="n"/>
      <c r="Y73" s="280" t="n"/>
      <c r="Z73" s="236">
        <f>IF(AND(G73&lt;&gt;"",R73&lt;&gt;"",V73&lt;&gt;"",W73&lt;&gt;""),"COMPLETADO","OBSERVADO")</f>
        <v/>
      </c>
      <c r="AA73" s="284" t="n"/>
    </row>
    <row r="74" ht="15.75" customHeight="1" s="195">
      <c r="A74" s="334" t="n"/>
      <c r="B74" s="334" t="n"/>
      <c r="C74" s="334" t="n"/>
      <c r="D74" s="334" t="n"/>
      <c r="E74" s="334" t="n"/>
      <c r="F74" s="334" t="n"/>
      <c r="G74" s="334" t="n"/>
      <c r="H74" s="334" t="n"/>
      <c r="I74" s="332">
        <f>IFERROR(VLOOKUP(TEXT(H74,"0"),IPRESS!$A$3:$B$212,2,0),"")</f>
        <v/>
      </c>
      <c r="J74" s="334" t="n"/>
      <c r="K74" s="332">
        <f>IFERROR(VLOOKUP(TEXT(O74,"0"),CONDUCTORES!$A$3:$G$54,7,0),"")</f>
        <v/>
      </c>
      <c r="L74" s="334" t="n"/>
      <c r="M74" s="334" t="n"/>
      <c r="N74" s="333">
        <f>IFERROR(IF(L74*M74=0,"",L74*M74),"")</f>
        <v/>
      </c>
      <c r="O74" s="334" t="n"/>
      <c r="P74" s="332">
        <f>IFERROR(VLOOKUP(TEXT(O74,"0"),CONDUCTORES!$A$3:$G$54,2,0),"")</f>
        <v/>
      </c>
      <c r="Q74" s="332">
        <f>IFERROR(VLOOKUP(TEXT(O74,"0"),CONDUCTORES!$A$3:$H$54,6,0),"")</f>
        <v/>
      </c>
      <c r="R74" s="334" t="n"/>
      <c r="S74" s="334" t="n"/>
      <c r="T74" s="334" t="n"/>
      <c r="U74" s="334" t="n"/>
      <c r="V74" s="334" t="n"/>
      <c r="W74" s="334" t="n"/>
      <c r="X74" s="334" t="n"/>
      <c r="Y74" s="334" t="n"/>
      <c r="Z74" s="242">
        <f>IF(AND(G74&lt;&gt;"",R74&lt;&gt;"",V74&lt;&gt;"",W74&lt;&gt;""),"COMPLETADO","OBSERVADO")</f>
        <v/>
      </c>
      <c r="AA74" s="284" t="n"/>
    </row>
    <row r="75" ht="15.75" customHeight="1" s="195">
      <c r="A75" s="280" t="n"/>
      <c r="B75" s="280" t="n"/>
      <c r="C75" s="280" t="n"/>
      <c r="D75" s="280" t="n"/>
      <c r="E75" s="280" t="n"/>
      <c r="F75" s="280" t="n"/>
      <c r="G75" s="280" t="n"/>
      <c r="H75" s="280" t="n"/>
      <c r="I75" s="332">
        <f>IFERROR(VLOOKUP(TEXT(H75,"0"),IPRESS!$A$3:$B$212,2,0),"")</f>
        <v/>
      </c>
      <c r="J75" s="280" t="n"/>
      <c r="K75" s="332">
        <f>IFERROR(VLOOKUP(TEXT(O75,"0"),CONDUCTORES!$A$3:$G$54,7,0),"")</f>
        <v/>
      </c>
      <c r="L75" s="280" t="n"/>
      <c r="M75" s="280" t="n"/>
      <c r="N75" s="333">
        <f>IFERROR(IF(L75*M75=0,"",L75*M75),"")</f>
        <v/>
      </c>
      <c r="O75" s="280" t="n"/>
      <c r="P75" s="332">
        <f>IFERROR(VLOOKUP(TEXT(O75,"0"),CONDUCTORES!$A$3:$G$54,2,0),"")</f>
        <v/>
      </c>
      <c r="Q75" s="332">
        <f>IFERROR(VLOOKUP(TEXT(O75,"0"),CONDUCTORES!$A$3:$H$54,6,0),"")</f>
        <v/>
      </c>
      <c r="R75" s="280" t="n"/>
      <c r="S75" s="280" t="n"/>
      <c r="T75" s="280" t="n"/>
      <c r="U75" s="280" t="n"/>
      <c r="V75" s="280" t="n"/>
      <c r="W75" s="280" t="n"/>
      <c r="X75" s="280" t="n"/>
      <c r="Y75" s="280" t="n"/>
      <c r="Z75" s="236">
        <f>IF(AND(G75&lt;&gt;"",R75&lt;&gt;"",V75&lt;&gt;"",W75&lt;&gt;""),"COMPLETADO","OBSERVADO")</f>
        <v/>
      </c>
      <c r="AA75" s="284" t="n"/>
    </row>
    <row r="76" ht="15.75" customHeight="1" s="195">
      <c r="A76" s="334" t="n"/>
      <c r="B76" s="334" t="n"/>
      <c r="C76" s="334" t="n"/>
      <c r="D76" s="334" t="n"/>
      <c r="E76" s="334" t="n"/>
      <c r="F76" s="334" t="n"/>
      <c r="G76" s="334" t="n"/>
      <c r="H76" s="334" t="n"/>
      <c r="I76" s="332">
        <f>IFERROR(VLOOKUP(TEXT(H76,"0"),IPRESS!$A$3:$B$212,2,0),"")</f>
        <v/>
      </c>
      <c r="J76" s="334" t="n"/>
      <c r="K76" s="332">
        <f>IFERROR(VLOOKUP(TEXT(O76,"0"),CONDUCTORES!$A$3:$G$54,7,0),"")</f>
        <v/>
      </c>
      <c r="L76" s="334" t="n"/>
      <c r="M76" s="334" t="n"/>
      <c r="N76" s="333">
        <f>IFERROR(IF(L76*M76=0,"",L76*M76),"")</f>
        <v/>
      </c>
      <c r="O76" s="334" t="n"/>
      <c r="P76" s="332">
        <f>IFERROR(VLOOKUP(TEXT(O76,"0"),CONDUCTORES!$A$3:$G$54,2,0),"")</f>
        <v/>
      </c>
      <c r="Q76" s="332">
        <f>IFERROR(VLOOKUP(TEXT(O76,"0"),CONDUCTORES!$A$3:$H$54,6,0),"")</f>
        <v/>
      </c>
      <c r="R76" s="334" t="n"/>
      <c r="S76" s="334" t="n"/>
      <c r="T76" s="334" t="n"/>
      <c r="U76" s="334" t="n"/>
      <c r="V76" s="334" t="n"/>
      <c r="W76" s="334" t="n"/>
      <c r="X76" s="334" t="n"/>
      <c r="Y76" s="334" t="n"/>
      <c r="Z76" s="242">
        <f>IF(AND(G76&lt;&gt;"",R76&lt;&gt;"",V76&lt;&gt;"",W76&lt;&gt;""),"COMPLETADO","OBSERVADO")</f>
        <v/>
      </c>
      <c r="AA76" s="284" t="n"/>
    </row>
    <row r="77" ht="15.75" customHeight="1" s="195">
      <c r="A77" s="280" t="n"/>
      <c r="B77" s="280" t="n"/>
      <c r="C77" s="280" t="n"/>
      <c r="D77" s="280" t="n"/>
      <c r="E77" s="280" t="n"/>
      <c r="F77" s="280" t="n"/>
      <c r="G77" s="280" t="n"/>
      <c r="H77" s="280" t="n"/>
      <c r="I77" s="332">
        <f>IFERROR(VLOOKUP(TEXT(H77,"0"),IPRESS!$A$3:$B$212,2,0),"")</f>
        <v/>
      </c>
      <c r="J77" s="280" t="n"/>
      <c r="K77" s="332">
        <f>IFERROR(VLOOKUP(TEXT(O77,"0"),CONDUCTORES!$A$3:$G$54,7,0),"")</f>
        <v/>
      </c>
      <c r="L77" s="280" t="n"/>
      <c r="M77" s="280" t="n"/>
      <c r="N77" s="333">
        <f>IFERROR(IF(L77*M77=0,"",L77*M77),"")</f>
        <v/>
      </c>
      <c r="O77" s="280" t="n"/>
      <c r="P77" s="332">
        <f>IFERROR(VLOOKUP(TEXT(O77,"0"),CONDUCTORES!$A$3:$G$54,2,0),"")</f>
        <v/>
      </c>
      <c r="Q77" s="332">
        <f>IFERROR(VLOOKUP(TEXT(O77,"0"),CONDUCTORES!$A$3:$H$54,6,0),"")</f>
        <v/>
      </c>
      <c r="R77" s="280" t="n"/>
      <c r="S77" s="280" t="n"/>
      <c r="T77" s="280" t="n"/>
      <c r="U77" s="280" t="n"/>
      <c r="V77" s="280" t="n"/>
      <c r="W77" s="280" t="n"/>
      <c r="X77" s="280" t="n"/>
      <c r="Y77" s="280" t="n"/>
      <c r="Z77" s="236">
        <f>IF(AND(G77&lt;&gt;"",R77&lt;&gt;"",V77&lt;&gt;"",W77&lt;&gt;""),"COMPLETADO","OBSERVADO")</f>
        <v/>
      </c>
      <c r="AA77" s="284" t="n"/>
    </row>
    <row r="78" ht="15.75" customHeight="1" s="195">
      <c r="A78" s="334" t="n"/>
      <c r="B78" s="334" t="n"/>
      <c r="C78" s="334" t="n"/>
      <c r="D78" s="334" t="n"/>
      <c r="E78" s="334" t="n"/>
      <c r="F78" s="334" t="n"/>
      <c r="G78" s="334" t="n"/>
      <c r="H78" s="334" t="n"/>
      <c r="I78" s="332">
        <f>IFERROR(VLOOKUP(TEXT(H78,"0"),IPRESS!$A$3:$B$212,2,0),"")</f>
        <v/>
      </c>
      <c r="J78" s="334" t="n"/>
      <c r="K78" s="332">
        <f>IFERROR(VLOOKUP(TEXT(O78,"0"),CONDUCTORES!$A$3:$G$54,7,0),"")</f>
        <v/>
      </c>
      <c r="L78" s="334" t="n"/>
      <c r="M78" s="334" t="n"/>
      <c r="N78" s="333">
        <f>IFERROR(IF(L78*M78=0,"",L78*M78),"")</f>
        <v/>
      </c>
      <c r="O78" s="334" t="n"/>
      <c r="P78" s="332">
        <f>IFERROR(VLOOKUP(TEXT(O78,"0"),CONDUCTORES!$A$3:$G$54,2,0),"")</f>
        <v/>
      </c>
      <c r="Q78" s="332">
        <f>IFERROR(VLOOKUP(TEXT(O78,"0"),CONDUCTORES!$A$3:$H$54,6,0),"")</f>
        <v/>
      </c>
      <c r="R78" s="334" t="n"/>
      <c r="S78" s="334" t="n"/>
      <c r="T78" s="334" t="n"/>
      <c r="U78" s="334" t="n"/>
      <c r="V78" s="334" t="n"/>
      <c r="W78" s="334" t="n"/>
      <c r="X78" s="334" t="n"/>
      <c r="Y78" s="334" t="n"/>
      <c r="Z78" s="242">
        <f>IF(AND(G78&lt;&gt;"",R78&lt;&gt;"",V78&lt;&gt;"",W78&lt;&gt;""),"COMPLETADO","OBSERVADO")</f>
        <v/>
      </c>
      <c r="AA78" s="284" t="n"/>
    </row>
    <row r="79" ht="15.75" customHeight="1" s="195">
      <c r="A79" s="280" t="n"/>
      <c r="B79" s="280" t="n"/>
      <c r="C79" s="280" t="n"/>
      <c r="D79" s="280" t="n"/>
      <c r="E79" s="280" t="n"/>
      <c r="F79" s="280" t="n"/>
      <c r="G79" s="280" t="n"/>
      <c r="H79" s="280" t="n"/>
      <c r="I79" s="332">
        <f>IFERROR(VLOOKUP(TEXT(H79,"0"),IPRESS!$A$3:$B$212,2,0),"")</f>
        <v/>
      </c>
      <c r="J79" s="280" t="n"/>
      <c r="K79" s="332">
        <f>IFERROR(VLOOKUP(TEXT(O79,"0"),CONDUCTORES!$A$3:$G$54,7,0),"")</f>
        <v/>
      </c>
      <c r="L79" s="280" t="n"/>
      <c r="M79" s="280" t="n"/>
      <c r="N79" s="333">
        <f>IFERROR(IF(L79*M79=0,"",L79*M79),"")</f>
        <v/>
      </c>
      <c r="O79" s="280" t="n"/>
      <c r="P79" s="332">
        <f>IFERROR(VLOOKUP(TEXT(O79,"0"),CONDUCTORES!$A$3:$G$54,2,0),"")</f>
        <v/>
      </c>
      <c r="Q79" s="332">
        <f>IFERROR(VLOOKUP(TEXT(O79,"0"),CONDUCTORES!$A$3:$H$54,6,0),"")</f>
        <v/>
      </c>
      <c r="R79" s="280" t="n"/>
      <c r="S79" s="280" t="n"/>
      <c r="T79" s="280" t="n"/>
      <c r="U79" s="280" t="n"/>
      <c r="V79" s="280" t="n"/>
      <c r="W79" s="280" t="n"/>
      <c r="X79" s="280" t="n"/>
      <c r="Y79" s="280" t="n"/>
      <c r="Z79" s="236">
        <f>IF(AND(G79&lt;&gt;"",R79&lt;&gt;"",V79&lt;&gt;"",W79&lt;&gt;""),"COMPLETADO","OBSERVADO")</f>
        <v/>
      </c>
      <c r="AA79" s="284" t="n"/>
    </row>
    <row r="80" ht="15.75" customHeight="1" s="195">
      <c r="A80" s="334" t="n"/>
      <c r="B80" s="334" t="n"/>
      <c r="C80" s="334" t="n"/>
      <c r="D80" s="334" t="n"/>
      <c r="E80" s="334" t="n"/>
      <c r="F80" s="334" t="n"/>
      <c r="G80" s="334" t="n"/>
      <c r="H80" s="334" t="n"/>
      <c r="I80" s="332">
        <f>IFERROR(VLOOKUP(TEXT(H80,"0"),IPRESS!$A$3:$B$212,2,0),"")</f>
        <v/>
      </c>
      <c r="J80" s="334" t="n"/>
      <c r="K80" s="332">
        <f>IFERROR(VLOOKUP(TEXT(O80,"0"),CONDUCTORES!$A$3:$G$54,7,0),"")</f>
        <v/>
      </c>
      <c r="L80" s="334" t="n"/>
      <c r="M80" s="334" t="n"/>
      <c r="N80" s="333">
        <f>IFERROR(IF(L80*M80=0,"",L80*M80),"")</f>
        <v/>
      </c>
      <c r="O80" s="334" t="n"/>
      <c r="P80" s="332">
        <f>IFERROR(VLOOKUP(TEXT(O80,"0"),CONDUCTORES!$A$3:$G$54,2,0),"")</f>
        <v/>
      </c>
      <c r="Q80" s="332">
        <f>IFERROR(VLOOKUP(TEXT(O80,"0"),CONDUCTORES!$A$3:$H$54,6,0),"")</f>
        <v/>
      </c>
      <c r="R80" s="334" t="n"/>
      <c r="S80" s="334" t="n"/>
      <c r="T80" s="334" t="n"/>
      <c r="U80" s="334" t="n"/>
      <c r="V80" s="334" t="n"/>
      <c r="W80" s="334" t="n"/>
      <c r="X80" s="334" t="n"/>
      <c r="Y80" s="334" t="n"/>
      <c r="Z80" s="242">
        <f>IF(AND(G80&lt;&gt;"",R80&lt;&gt;"",V80&lt;&gt;"",W80&lt;&gt;""),"COMPLETADO","OBSERVADO")</f>
        <v/>
      </c>
      <c r="AA80" s="284" t="n"/>
    </row>
    <row r="81" ht="15.75" customHeight="1" s="195">
      <c r="A81" s="280" t="n"/>
      <c r="B81" s="280" t="n"/>
      <c r="C81" s="280" t="n"/>
      <c r="D81" s="280" t="n"/>
      <c r="E81" s="280" t="n"/>
      <c r="F81" s="280" t="n"/>
      <c r="G81" s="280" t="n"/>
      <c r="H81" s="280" t="n"/>
      <c r="I81" s="332">
        <f>IFERROR(VLOOKUP(TEXT(H81,"0"),IPRESS!$A$3:$B$212,2,0),"")</f>
        <v/>
      </c>
      <c r="J81" s="280" t="n"/>
      <c r="K81" s="332">
        <f>IFERROR(VLOOKUP(TEXT(O81,"0"),CONDUCTORES!$A$3:$G$54,7,0),"")</f>
        <v/>
      </c>
      <c r="L81" s="280" t="n"/>
      <c r="M81" s="280" t="n"/>
      <c r="N81" s="333">
        <f>IFERROR(IF(L81*M81=0,"",L81*M81),"")</f>
        <v/>
      </c>
      <c r="O81" s="280" t="n"/>
      <c r="P81" s="332">
        <f>IFERROR(VLOOKUP(TEXT(O81,"0"),CONDUCTORES!$A$3:$G$54,2,0),"")</f>
        <v/>
      </c>
      <c r="Q81" s="332">
        <f>IFERROR(VLOOKUP(TEXT(O81,"0"),CONDUCTORES!$A$3:$H$54,6,0),"")</f>
        <v/>
      </c>
      <c r="R81" s="280" t="n"/>
      <c r="S81" s="280" t="n"/>
      <c r="T81" s="280" t="n"/>
      <c r="U81" s="280" t="n"/>
      <c r="V81" s="280" t="n"/>
      <c r="W81" s="280" t="n"/>
      <c r="X81" s="280" t="n"/>
      <c r="Y81" s="280" t="n"/>
      <c r="Z81" s="236">
        <f>IF(AND(G81&lt;&gt;"",R81&lt;&gt;"",V81&lt;&gt;"",W81&lt;&gt;""),"COMPLETADO","OBSERVADO")</f>
        <v/>
      </c>
      <c r="AA81" s="284" t="n"/>
    </row>
    <row r="82" ht="15.75" customHeight="1" s="195">
      <c r="A82" s="334" t="n"/>
      <c r="B82" s="334" t="n"/>
      <c r="C82" s="334" t="n"/>
      <c r="D82" s="334" t="n"/>
      <c r="E82" s="334" t="n"/>
      <c r="F82" s="334" t="n"/>
      <c r="G82" s="334" t="n"/>
      <c r="H82" s="334" t="n"/>
      <c r="I82" s="332">
        <f>IFERROR(VLOOKUP(TEXT(H82,"0"),IPRESS!$A$3:$B$212,2,0),"")</f>
        <v/>
      </c>
      <c r="J82" s="334" t="n"/>
      <c r="K82" s="332">
        <f>IFERROR(VLOOKUP(TEXT(O82,"0"),CONDUCTORES!$A$3:$G$54,7,0),"")</f>
        <v/>
      </c>
      <c r="L82" s="334" t="n"/>
      <c r="M82" s="334" t="n"/>
      <c r="N82" s="333">
        <f>IFERROR(IF(L82*M82=0,"",L82*M82),"")</f>
        <v/>
      </c>
      <c r="O82" s="334" t="n"/>
      <c r="P82" s="332">
        <f>IFERROR(VLOOKUP(TEXT(O82,"0"),CONDUCTORES!$A$3:$G$54,2,0),"")</f>
        <v/>
      </c>
      <c r="Q82" s="332">
        <f>IFERROR(VLOOKUP(TEXT(O82,"0"),CONDUCTORES!$A$3:$H$54,6,0),"")</f>
        <v/>
      </c>
      <c r="R82" s="334" t="n"/>
      <c r="S82" s="334" t="n"/>
      <c r="T82" s="334" t="n"/>
      <c r="U82" s="334" t="n"/>
      <c r="V82" s="334" t="n"/>
      <c r="W82" s="334" t="n"/>
      <c r="X82" s="334" t="n"/>
      <c r="Y82" s="334" t="n"/>
      <c r="Z82" s="242">
        <f>IF(AND(G82&lt;&gt;"",R82&lt;&gt;"",V82&lt;&gt;"",W82&lt;&gt;""),"COMPLETADO","OBSERVADO")</f>
        <v/>
      </c>
      <c r="AA82" s="284" t="n"/>
    </row>
    <row r="83" ht="15.75" customHeight="1" s="195">
      <c r="A83" s="280" t="n"/>
      <c r="B83" s="280" t="n"/>
      <c r="C83" s="280" t="n"/>
      <c r="D83" s="280" t="n"/>
      <c r="E83" s="280" t="n"/>
      <c r="F83" s="280" t="n"/>
      <c r="G83" s="280" t="n"/>
      <c r="H83" s="280" t="n"/>
      <c r="I83" s="332">
        <f>IFERROR(VLOOKUP(TEXT(H83,"0"),IPRESS!$A$3:$B$212,2,0),"")</f>
        <v/>
      </c>
      <c r="J83" s="280" t="n"/>
      <c r="K83" s="332">
        <f>IFERROR(VLOOKUP(TEXT(O83,"0"),CONDUCTORES!$A$3:$G$54,7,0),"")</f>
        <v/>
      </c>
      <c r="L83" s="280" t="n"/>
      <c r="M83" s="280" t="n"/>
      <c r="N83" s="333">
        <f>IFERROR(IF(L83*M83=0,"",L83*M83),"")</f>
        <v/>
      </c>
      <c r="O83" s="280" t="n"/>
      <c r="P83" s="332">
        <f>IFERROR(VLOOKUP(TEXT(O83,"0"),CONDUCTORES!$A$3:$G$54,2,0),"")</f>
        <v/>
      </c>
      <c r="Q83" s="332">
        <f>IFERROR(VLOOKUP(TEXT(O83,"0"),CONDUCTORES!$A$3:$H$54,6,0),"")</f>
        <v/>
      </c>
      <c r="R83" s="280" t="n"/>
      <c r="S83" s="280" t="n"/>
      <c r="T83" s="280" t="n"/>
      <c r="U83" s="280" t="n"/>
      <c r="V83" s="280" t="n"/>
      <c r="W83" s="280" t="n"/>
      <c r="X83" s="280" t="n"/>
      <c r="Y83" s="280" t="n"/>
      <c r="Z83" s="236">
        <f>IF(AND(G83&lt;&gt;"",R83&lt;&gt;"",V83&lt;&gt;"",W83&lt;&gt;""),"COMPLETADO","OBSERVADO")</f>
        <v/>
      </c>
      <c r="AA83" s="284" t="n"/>
    </row>
    <row r="84" ht="15.75" customHeight="1" s="195">
      <c r="A84" s="334" t="n"/>
      <c r="B84" s="334" t="n"/>
      <c r="C84" s="334" t="n"/>
      <c r="D84" s="334" t="n"/>
      <c r="E84" s="334" t="n"/>
      <c r="F84" s="334" t="n"/>
      <c r="G84" s="334" t="n"/>
      <c r="H84" s="334" t="n"/>
      <c r="I84" s="332">
        <f>IFERROR(VLOOKUP(TEXT(H84,"0"),IPRESS!$A$3:$B$212,2,0),"")</f>
        <v/>
      </c>
      <c r="J84" s="334" t="n"/>
      <c r="K84" s="332">
        <f>IFERROR(VLOOKUP(TEXT(O84,"0"),CONDUCTORES!$A$3:$G$54,7,0),"")</f>
        <v/>
      </c>
      <c r="L84" s="334" t="n"/>
      <c r="M84" s="334" t="n"/>
      <c r="N84" s="333">
        <f>IFERROR(IF(L84*M84=0,"",L84*M84),"")</f>
        <v/>
      </c>
      <c r="O84" s="334" t="n"/>
      <c r="P84" s="332">
        <f>IFERROR(VLOOKUP(TEXT(O84,"0"),CONDUCTORES!$A$3:$G$54,2,0),"")</f>
        <v/>
      </c>
      <c r="Q84" s="332">
        <f>IFERROR(VLOOKUP(TEXT(O84,"0"),CONDUCTORES!$A$3:$H$54,6,0),"")</f>
        <v/>
      </c>
      <c r="R84" s="334" t="n"/>
      <c r="S84" s="334" t="n"/>
      <c r="T84" s="334" t="n"/>
      <c r="U84" s="334" t="n"/>
      <c r="V84" s="334" t="n"/>
      <c r="W84" s="334" t="n"/>
      <c r="X84" s="334" t="n"/>
      <c r="Y84" s="334" t="n"/>
      <c r="Z84" s="242">
        <f>IF(AND(G84&lt;&gt;"",R84&lt;&gt;"",V84&lt;&gt;"",W84&lt;&gt;""),"COMPLETADO","OBSERVADO")</f>
        <v/>
      </c>
      <c r="AA84" s="284" t="n"/>
    </row>
    <row r="85" ht="15.75" customHeight="1" s="195">
      <c r="A85" s="280" t="n"/>
      <c r="B85" s="280" t="n"/>
      <c r="C85" s="280" t="n"/>
      <c r="D85" s="280" t="n"/>
      <c r="E85" s="280" t="n"/>
      <c r="F85" s="280" t="n"/>
      <c r="G85" s="280" t="n"/>
      <c r="H85" s="280" t="n"/>
      <c r="I85" s="332">
        <f>IFERROR(VLOOKUP(TEXT(H85,"0"),IPRESS!$A$3:$B$212,2,0),"")</f>
        <v/>
      </c>
      <c r="J85" s="280" t="n"/>
      <c r="K85" s="332">
        <f>IFERROR(VLOOKUP(TEXT(O85,"0"),CONDUCTORES!$A$3:$G$54,7,0),"")</f>
        <v/>
      </c>
      <c r="L85" s="280" t="n"/>
      <c r="M85" s="280" t="n"/>
      <c r="N85" s="333">
        <f>IFERROR(IF(L85*M85=0,"",L85*M85),"")</f>
        <v/>
      </c>
      <c r="O85" s="280" t="n"/>
      <c r="P85" s="332">
        <f>IFERROR(VLOOKUP(TEXT(O85,"0"),CONDUCTORES!$A$3:$G$54,2,0),"")</f>
        <v/>
      </c>
      <c r="Q85" s="332">
        <f>IFERROR(VLOOKUP(TEXT(O85,"0"),CONDUCTORES!$A$3:$H$54,6,0),"")</f>
        <v/>
      </c>
      <c r="R85" s="280" t="n"/>
      <c r="S85" s="280" t="n"/>
      <c r="T85" s="280" t="n"/>
      <c r="U85" s="280" t="n"/>
      <c r="V85" s="280" t="n"/>
      <c r="W85" s="280" t="n"/>
      <c r="X85" s="280" t="n"/>
      <c r="Y85" s="280" t="n"/>
      <c r="Z85" s="236">
        <f>IF(AND(G85&lt;&gt;"",R85&lt;&gt;"",V85&lt;&gt;"",W85&lt;&gt;""),"COMPLETADO","OBSERVADO")</f>
        <v/>
      </c>
      <c r="AA85" s="284" t="n"/>
    </row>
    <row r="86" ht="15.75" customHeight="1" s="195">
      <c r="A86" s="334" t="n"/>
      <c r="B86" s="334" t="n"/>
      <c r="C86" s="334" t="n"/>
      <c r="D86" s="334" t="n"/>
      <c r="E86" s="334" t="n"/>
      <c r="F86" s="334" t="n"/>
      <c r="G86" s="334" t="n"/>
      <c r="H86" s="334" t="n"/>
      <c r="I86" s="332">
        <f>IFERROR(VLOOKUP(TEXT(H86,"0"),IPRESS!$A$3:$B$212,2,0),"")</f>
        <v/>
      </c>
      <c r="J86" s="334" t="n"/>
      <c r="K86" s="332">
        <f>IFERROR(VLOOKUP(TEXT(O86,"0"),CONDUCTORES!$A$3:$G$54,7,0),"")</f>
        <v/>
      </c>
      <c r="L86" s="334" t="n"/>
      <c r="M86" s="334" t="n"/>
      <c r="N86" s="333">
        <f>IFERROR(IF(L86*M86=0,"",L86*M86),"")</f>
        <v/>
      </c>
      <c r="O86" s="334" t="n"/>
      <c r="P86" s="332">
        <f>IFERROR(VLOOKUP(TEXT(O86,"0"),CONDUCTORES!$A$3:$G$54,2,0),"")</f>
        <v/>
      </c>
      <c r="Q86" s="332">
        <f>IFERROR(VLOOKUP(TEXT(O86,"0"),CONDUCTORES!$A$3:$H$54,6,0),"")</f>
        <v/>
      </c>
      <c r="R86" s="334" t="n"/>
      <c r="S86" s="334" t="n"/>
      <c r="T86" s="334" t="n"/>
      <c r="U86" s="334" t="n"/>
      <c r="V86" s="334" t="n"/>
      <c r="W86" s="334" t="n"/>
      <c r="X86" s="334" t="n"/>
      <c r="Y86" s="334" t="n"/>
      <c r="Z86" s="242">
        <f>IF(AND(G86&lt;&gt;"",R86&lt;&gt;"",V86&lt;&gt;"",W86&lt;&gt;""),"COMPLETADO","OBSERVADO")</f>
        <v/>
      </c>
      <c r="AA86" s="284" t="n"/>
    </row>
    <row r="87" ht="15.75" customHeight="1" s="195">
      <c r="A87" s="280" t="n"/>
      <c r="B87" s="280" t="n"/>
      <c r="C87" s="280" t="n"/>
      <c r="D87" s="280" t="n"/>
      <c r="E87" s="280" t="n"/>
      <c r="F87" s="280" t="n"/>
      <c r="G87" s="280" t="n"/>
      <c r="H87" s="280" t="n"/>
      <c r="I87" s="332">
        <f>IFERROR(VLOOKUP(TEXT(H87,"0"),IPRESS!$A$3:$B$212,2,0),"")</f>
        <v/>
      </c>
      <c r="J87" s="280" t="n"/>
      <c r="K87" s="332">
        <f>IFERROR(VLOOKUP(TEXT(O87,"0"),CONDUCTORES!$A$3:$G$54,7,0),"")</f>
        <v/>
      </c>
      <c r="L87" s="280" t="n"/>
      <c r="M87" s="280" t="n"/>
      <c r="N87" s="333">
        <f>IFERROR(IF(L87*M87=0,"",L87*M87),"")</f>
        <v/>
      </c>
      <c r="O87" s="280" t="n"/>
      <c r="P87" s="332">
        <f>IFERROR(VLOOKUP(TEXT(O87,"0"),CONDUCTORES!$A$3:$G$54,2,0),"")</f>
        <v/>
      </c>
      <c r="Q87" s="332">
        <f>IFERROR(VLOOKUP(TEXT(O87,"0"),CONDUCTORES!$A$3:$H$54,6,0),"")</f>
        <v/>
      </c>
      <c r="R87" s="280" t="n"/>
      <c r="S87" s="280" t="n"/>
      <c r="T87" s="280" t="n"/>
      <c r="U87" s="280" t="n"/>
      <c r="V87" s="280" t="n"/>
      <c r="W87" s="280" t="n"/>
      <c r="X87" s="280" t="n"/>
      <c r="Y87" s="280" t="n"/>
      <c r="Z87" s="236">
        <f>IF(AND(G87&lt;&gt;"",R87&lt;&gt;"",V87&lt;&gt;"",W87&lt;&gt;""),"COMPLETADO","OBSERVADO")</f>
        <v/>
      </c>
      <c r="AA87" s="284" t="n"/>
    </row>
    <row r="88" ht="15.75" customHeight="1" s="195">
      <c r="A88" s="334" t="n"/>
      <c r="B88" s="334" t="n"/>
      <c r="C88" s="334" t="n"/>
      <c r="D88" s="334" t="n"/>
      <c r="E88" s="334" t="n"/>
      <c r="F88" s="334" t="n"/>
      <c r="G88" s="334" t="n"/>
      <c r="H88" s="334" t="n"/>
      <c r="I88" s="332">
        <f>IFERROR(VLOOKUP(TEXT(H88,"0"),IPRESS!$A$3:$B$212,2,0),"")</f>
        <v/>
      </c>
      <c r="J88" s="334" t="n"/>
      <c r="K88" s="332">
        <f>IFERROR(VLOOKUP(TEXT(O88,"0"),CONDUCTORES!$A$3:$G$54,7,0),"")</f>
        <v/>
      </c>
      <c r="L88" s="334" t="n"/>
      <c r="M88" s="334" t="n"/>
      <c r="N88" s="333">
        <f>IFERROR(IF(L88*M88=0,"",L88*M88),"")</f>
        <v/>
      </c>
      <c r="O88" s="334" t="n"/>
      <c r="P88" s="332">
        <f>IFERROR(VLOOKUP(TEXT(O88,"0"),CONDUCTORES!$A$3:$G$54,2,0),"")</f>
        <v/>
      </c>
      <c r="Q88" s="332">
        <f>IFERROR(VLOOKUP(TEXT(O88,"0"),CONDUCTORES!$A$3:$H$54,6,0),"")</f>
        <v/>
      </c>
      <c r="R88" s="334" t="n"/>
      <c r="S88" s="334" t="n"/>
      <c r="T88" s="334" t="n"/>
      <c r="U88" s="334" t="n"/>
      <c r="V88" s="334" t="n"/>
      <c r="W88" s="334" t="n"/>
      <c r="X88" s="334" t="n"/>
      <c r="Y88" s="334" t="n"/>
      <c r="Z88" s="242">
        <f>IF(AND(G88&lt;&gt;"",R88&lt;&gt;"",V88&lt;&gt;"",W88&lt;&gt;""),"COMPLETADO","OBSERVADO")</f>
        <v/>
      </c>
      <c r="AA88" s="284" t="n"/>
    </row>
    <row r="89" ht="15.75" customHeight="1" s="195">
      <c r="A89" s="280" t="n"/>
      <c r="B89" s="280" t="n"/>
      <c r="C89" s="280" t="n"/>
      <c r="D89" s="280" t="n"/>
      <c r="E89" s="280" t="n"/>
      <c r="F89" s="280" t="n"/>
      <c r="G89" s="280" t="n"/>
      <c r="H89" s="280" t="n"/>
      <c r="I89" s="332">
        <f>IFERROR(VLOOKUP(TEXT(H89,"0"),IPRESS!$A$3:$B$212,2,0),"")</f>
        <v/>
      </c>
      <c r="J89" s="280" t="n"/>
      <c r="K89" s="332">
        <f>IFERROR(VLOOKUP(TEXT(O89,"0"),CONDUCTORES!$A$3:$G$54,7,0),"")</f>
        <v/>
      </c>
      <c r="L89" s="280" t="n"/>
      <c r="M89" s="280" t="n"/>
      <c r="N89" s="333">
        <f>IFERROR(IF(L89*M89=0,"",L89*M89),"")</f>
        <v/>
      </c>
      <c r="O89" s="280" t="n"/>
      <c r="P89" s="332">
        <f>IFERROR(VLOOKUP(TEXT(O89,"0"),CONDUCTORES!$A$3:$G$54,2,0),"")</f>
        <v/>
      </c>
      <c r="Q89" s="332">
        <f>IFERROR(VLOOKUP(TEXT(O89,"0"),CONDUCTORES!$A$3:$H$54,6,0),"")</f>
        <v/>
      </c>
      <c r="R89" s="280" t="n"/>
      <c r="S89" s="280" t="n"/>
      <c r="T89" s="280" t="n"/>
      <c r="U89" s="280" t="n"/>
      <c r="V89" s="280" t="n"/>
      <c r="W89" s="280" t="n"/>
      <c r="X89" s="280" t="n"/>
      <c r="Y89" s="280" t="n"/>
      <c r="Z89" s="236">
        <f>IF(AND(G89&lt;&gt;"",R89&lt;&gt;"",V89&lt;&gt;"",W89&lt;&gt;""),"COMPLETADO","OBSERVADO")</f>
        <v/>
      </c>
      <c r="AA89" s="284" t="n"/>
    </row>
    <row r="90" ht="15.75" customHeight="1" s="195">
      <c r="A90" s="334" t="n"/>
      <c r="B90" s="334" t="n"/>
      <c r="C90" s="334" t="n"/>
      <c r="D90" s="334" t="n"/>
      <c r="E90" s="334" t="n"/>
      <c r="F90" s="334" t="n"/>
      <c r="G90" s="334" t="n"/>
      <c r="H90" s="334" t="n"/>
      <c r="I90" s="332">
        <f>IFERROR(VLOOKUP(TEXT(H90,"0"),IPRESS!$A$3:$B$212,2,0),"")</f>
        <v/>
      </c>
      <c r="J90" s="334" t="n"/>
      <c r="K90" s="332">
        <f>IFERROR(VLOOKUP(TEXT(O90,"0"),CONDUCTORES!$A$3:$G$54,7,0),"")</f>
        <v/>
      </c>
      <c r="L90" s="334" t="n"/>
      <c r="M90" s="334" t="n"/>
      <c r="N90" s="333">
        <f>IFERROR(IF(L90*M90=0,"",L90*M90),"")</f>
        <v/>
      </c>
      <c r="O90" s="334" t="n"/>
      <c r="P90" s="332">
        <f>IFERROR(VLOOKUP(TEXT(O90,"0"),CONDUCTORES!$A$3:$G$54,2,0),"")</f>
        <v/>
      </c>
      <c r="Q90" s="332">
        <f>IFERROR(VLOOKUP(TEXT(O90,"0"),CONDUCTORES!$A$3:$H$54,6,0),"")</f>
        <v/>
      </c>
      <c r="R90" s="334" t="n"/>
      <c r="S90" s="334" t="n"/>
      <c r="T90" s="334" t="n"/>
      <c r="U90" s="334" t="n"/>
      <c r="V90" s="334" t="n"/>
      <c r="W90" s="334" t="n"/>
      <c r="X90" s="334" t="n"/>
      <c r="Y90" s="334" t="n"/>
      <c r="Z90" s="242">
        <f>IF(AND(G90&lt;&gt;"",R90&lt;&gt;"",V90&lt;&gt;"",W90&lt;&gt;""),"COMPLETADO","OBSERVADO")</f>
        <v/>
      </c>
      <c r="AA90" s="284" t="n"/>
    </row>
    <row r="91" ht="15.75" customHeight="1" s="195">
      <c r="A91" s="280" t="n"/>
      <c r="B91" s="280" t="n"/>
      <c r="C91" s="280" t="n"/>
      <c r="D91" s="280" t="n"/>
      <c r="E91" s="280" t="n"/>
      <c r="F91" s="280" t="n"/>
      <c r="G91" s="280" t="n"/>
      <c r="H91" s="280" t="n"/>
      <c r="I91" s="332">
        <f>IFERROR(VLOOKUP(TEXT(H91,"0"),IPRESS!$A$3:$B$212,2,0),"")</f>
        <v/>
      </c>
      <c r="J91" s="280" t="n"/>
      <c r="K91" s="332">
        <f>IFERROR(VLOOKUP(TEXT(O91,"0"),CONDUCTORES!$A$3:$G$54,7,0),"")</f>
        <v/>
      </c>
      <c r="L91" s="280" t="n"/>
      <c r="M91" s="280" t="n"/>
      <c r="N91" s="333">
        <f>IFERROR(IF(L91*M91=0,"",L91*M91),"")</f>
        <v/>
      </c>
      <c r="O91" s="280" t="n"/>
      <c r="P91" s="332">
        <f>IFERROR(VLOOKUP(TEXT(O91,"0"),CONDUCTORES!$A$3:$G$54,2,0),"")</f>
        <v/>
      </c>
      <c r="Q91" s="332">
        <f>IFERROR(VLOOKUP(TEXT(O91,"0"),CONDUCTORES!$A$3:$H$54,6,0),"")</f>
        <v/>
      </c>
      <c r="R91" s="280" t="n"/>
      <c r="S91" s="280" t="n"/>
      <c r="T91" s="280" t="n"/>
      <c r="U91" s="280" t="n"/>
      <c r="V91" s="280" t="n"/>
      <c r="W91" s="280" t="n"/>
      <c r="X91" s="280" t="n"/>
      <c r="Y91" s="280" t="n"/>
      <c r="Z91" s="236">
        <f>IF(AND(G91&lt;&gt;"",R91&lt;&gt;"",V91&lt;&gt;"",W91&lt;&gt;""),"COMPLETADO","OBSERVADO")</f>
        <v/>
      </c>
      <c r="AA91" s="284" t="n"/>
    </row>
    <row r="92" ht="15.75" customHeight="1" s="195">
      <c r="A92" s="334" t="n"/>
      <c r="B92" s="334" t="n"/>
      <c r="C92" s="334" t="n"/>
      <c r="D92" s="334" t="n"/>
      <c r="E92" s="334" t="n"/>
      <c r="F92" s="334" t="n"/>
      <c r="G92" s="334" t="n"/>
      <c r="H92" s="334" t="n"/>
      <c r="I92" s="332">
        <f>IFERROR(VLOOKUP(TEXT(H92,"0"),IPRESS!$A$3:$B$212,2,0),"")</f>
        <v/>
      </c>
      <c r="J92" s="334" t="n"/>
      <c r="K92" s="332">
        <f>IFERROR(VLOOKUP(TEXT(O92,"0"),CONDUCTORES!$A$3:$G$54,7,0),"")</f>
        <v/>
      </c>
      <c r="L92" s="334" t="n"/>
      <c r="M92" s="334" t="n"/>
      <c r="N92" s="333">
        <f>IFERROR(IF(L92*M92=0,"",L92*M92),"")</f>
        <v/>
      </c>
      <c r="O92" s="334" t="n"/>
      <c r="P92" s="332">
        <f>IFERROR(VLOOKUP(TEXT(O92,"0"),CONDUCTORES!$A$3:$G$54,2,0),"")</f>
        <v/>
      </c>
      <c r="Q92" s="332">
        <f>IFERROR(VLOOKUP(TEXT(O92,"0"),CONDUCTORES!$A$3:$H$54,6,0),"")</f>
        <v/>
      </c>
      <c r="R92" s="334" t="n"/>
      <c r="S92" s="334" t="n"/>
      <c r="T92" s="334" t="n"/>
      <c r="U92" s="334" t="n"/>
      <c r="V92" s="334" t="n"/>
      <c r="W92" s="334" t="n"/>
      <c r="X92" s="334" t="n"/>
      <c r="Y92" s="334" t="n"/>
      <c r="Z92" s="242">
        <f>IF(AND(G92&lt;&gt;"",R92&lt;&gt;"",V92&lt;&gt;"",W92&lt;&gt;""),"COMPLETADO","OBSERVADO")</f>
        <v/>
      </c>
      <c r="AA92" s="284" t="n"/>
    </row>
    <row r="93" ht="15.75" customHeight="1" s="195">
      <c r="A93" s="280" t="n"/>
      <c r="B93" s="280" t="n"/>
      <c r="C93" s="280" t="n"/>
      <c r="D93" s="280" t="n"/>
      <c r="E93" s="280" t="n"/>
      <c r="F93" s="280" t="n"/>
      <c r="G93" s="280" t="n"/>
      <c r="H93" s="280" t="n"/>
      <c r="I93" s="332">
        <f>IFERROR(VLOOKUP(TEXT(H93,"0"),IPRESS!$A$3:$B$212,2,0),"")</f>
        <v/>
      </c>
      <c r="J93" s="280" t="n"/>
      <c r="K93" s="332">
        <f>IFERROR(VLOOKUP(TEXT(O93,"0"),CONDUCTORES!$A$3:$G$54,7,0),"")</f>
        <v/>
      </c>
      <c r="L93" s="280" t="n"/>
      <c r="M93" s="280" t="n"/>
      <c r="N93" s="333">
        <f>IFERROR(IF(L93*M93=0,"",L93*M93),"")</f>
        <v/>
      </c>
      <c r="O93" s="280" t="n"/>
      <c r="P93" s="332">
        <f>IFERROR(VLOOKUP(TEXT(O93,"0"),CONDUCTORES!$A$3:$G$54,2,0),"")</f>
        <v/>
      </c>
      <c r="Q93" s="332">
        <f>IFERROR(VLOOKUP(TEXT(O93,"0"),CONDUCTORES!$A$3:$H$54,6,0),"")</f>
        <v/>
      </c>
      <c r="R93" s="280" t="n"/>
      <c r="S93" s="280" t="n"/>
      <c r="T93" s="280" t="n"/>
      <c r="U93" s="280" t="n"/>
      <c r="V93" s="280" t="n"/>
      <c r="W93" s="280" t="n"/>
      <c r="X93" s="280" t="n"/>
      <c r="Y93" s="280" t="n"/>
      <c r="Z93" s="236">
        <f>IF(AND(G93&lt;&gt;"",R93&lt;&gt;"",V93&lt;&gt;"",W93&lt;&gt;""),"COMPLETADO","OBSERVADO")</f>
        <v/>
      </c>
      <c r="AA93" s="284" t="n"/>
    </row>
    <row r="94" ht="15.75" customHeight="1" s="195">
      <c r="A94" s="334" t="n"/>
      <c r="B94" s="334" t="n"/>
      <c r="C94" s="334" t="n"/>
      <c r="D94" s="334" t="n"/>
      <c r="E94" s="334" t="n"/>
      <c r="F94" s="334" t="n"/>
      <c r="G94" s="334" t="n"/>
      <c r="H94" s="334" t="n"/>
      <c r="I94" s="332">
        <f>IFERROR(VLOOKUP(TEXT(H94,"0"),IPRESS!$A$3:$B$212,2,0),"")</f>
        <v/>
      </c>
      <c r="J94" s="334" t="n"/>
      <c r="K94" s="332">
        <f>IFERROR(VLOOKUP(TEXT(O94,"0"),CONDUCTORES!$A$3:$G$54,7,0),"")</f>
        <v/>
      </c>
      <c r="L94" s="334" t="n"/>
      <c r="M94" s="334" t="n"/>
      <c r="N94" s="333">
        <f>IFERROR(IF(L94*M94=0,"",L94*M94),"")</f>
        <v/>
      </c>
      <c r="O94" s="334" t="n"/>
      <c r="P94" s="332">
        <f>IFERROR(VLOOKUP(TEXT(O94,"0"),CONDUCTORES!$A$3:$G$54,2,0),"")</f>
        <v/>
      </c>
      <c r="Q94" s="332">
        <f>IFERROR(VLOOKUP(TEXT(O94,"0"),CONDUCTORES!$A$3:$H$54,6,0),"")</f>
        <v/>
      </c>
      <c r="R94" s="334" t="n"/>
      <c r="S94" s="334" t="n"/>
      <c r="T94" s="334" t="n"/>
      <c r="U94" s="334" t="n"/>
      <c r="V94" s="334" t="n"/>
      <c r="W94" s="334" t="n"/>
      <c r="X94" s="334" t="n"/>
      <c r="Y94" s="334" t="n"/>
      <c r="Z94" s="242">
        <f>IF(AND(G94&lt;&gt;"",R94&lt;&gt;"",V94&lt;&gt;"",W94&lt;&gt;""),"COMPLETADO","OBSERVADO")</f>
        <v/>
      </c>
      <c r="AA94" s="284" t="n"/>
    </row>
    <row r="95" ht="15.75" customHeight="1" s="195">
      <c r="A95" s="280" t="n"/>
      <c r="B95" s="280" t="n"/>
      <c r="C95" s="280" t="n"/>
      <c r="D95" s="280" t="n"/>
      <c r="E95" s="280" t="n"/>
      <c r="F95" s="280" t="n"/>
      <c r="G95" s="280" t="n"/>
      <c r="H95" s="280" t="n"/>
      <c r="I95" s="332">
        <f>IFERROR(VLOOKUP(TEXT(H95,"0"),IPRESS!$A$3:$B$212,2,0),"")</f>
        <v/>
      </c>
      <c r="J95" s="280" t="n"/>
      <c r="K95" s="332">
        <f>IFERROR(VLOOKUP(TEXT(O95,"0"),CONDUCTORES!$A$3:$G$54,7,0),"")</f>
        <v/>
      </c>
      <c r="L95" s="280" t="n"/>
      <c r="M95" s="280" t="n"/>
      <c r="N95" s="333">
        <f>IFERROR(IF(L95*M95=0,"",L95*M95),"")</f>
        <v/>
      </c>
      <c r="O95" s="280" t="n"/>
      <c r="P95" s="332">
        <f>IFERROR(VLOOKUP(TEXT(O95,"0"),CONDUCTORES!$A$3:$G$54,2,0),"")</f>
        <v/>
      </c>
      <c r="Q95" s="332">
        <f>IFERROR(VLOOKUP(TEXT(O95,"0"),CONDUCTORES!$A$3:$H$54,6,0),"")</f>
        <v/>
      </c>
      <c r="R95" s="280" t="n"/>
      <c r="S95" s="280" t="n"/>
      <c r="T95" s="280" t="n"/>
      <c r="U95" s="280" t="n"/>
      <c r="V95" s="280" t="n"/>
      <c r="W95" s="280" t="n"/>
      <c r="X95" s="280" t="n"/>
      <c r="Y95" s="280" t="n"/>
      <c r="Z95" s="236">
        <f>IF(AND(G95&lt;&gt;"",R95&lt;&gt;"",V95&lt;&gt;"",W95&lt;&gt;""),"COMPLETADO","OBSERVADO")</f>
        <v/>
      </c>
      <c r="AA95" s="284" t="n"/>
    </row>
    <row r="96" ht="15.75" customHeight="1" s="195">
      <c r="A96" s="334" t="n"/>
      <c r="B96" s="334" t="n"/>
      <c r="C96" s="334" t="n"/>
      <c r="D96" s="334" t="n"/>
      <c r="E96" s="334" t="n"/>
      <c r="F96" s="334" t="n"/>
      <c r="G96" s="334" t="n"/>
      <c r="H96" s="334" t="n"/>
      <c r="I96" s="332">
        <f>IFERROR(VLOOKUP(TEXT(H96,"0"),IPRESS!$A$3:$B$212,2,0),"")</f>
        <v/>
      </c>
      <c r="J96" s="334" t="n"/>
      <c r="K96" s="332">
        <f>IFERROR(VLOOKUP(TEXT(O96,"0"),CONDUCTORES!$A$3:$G$54,7,0),"")</f>
        <v/>
      </c>
      <c r="L96" s="334" t="n"/>
      <c r="M96" s="334" t="n"/>
      <c r="N96" s="333">
        <f>IFERROR(IF(L96*M96=0,"",L96*M96),"")</f>
        <v/>
      </c>
      <c r="O96" s="334" t="n"/>
      <c r="P96" s="332">
        <f>IFERROR(VLOOKUP(TEXT(O96,"0"),CONDUCTORES!$A$3:$G$54,2,0),"")</f>
        <v/>
      </c>
      <c r="Q96" s="332">
        <f>IFERROR(VLOOKUP(TEXT(O96,"0"),CONDUCTORES!$A$3:$H$54,6,0),"")</f>
        <v/>
      </c>
      <c r="R96" s="334" t="n"/>
      <c r="S96" s="334" t="n"/>
      <c r="T96" s="334" t="n"/>
      <c r="U96" s="334" t="n"/>
      <c r="V96" s="334" t="n"/>
      <c r="W96" s="334" t="n"/>
      <c r="X96" s="334" t="n"/>
      <c r="Y96" s="334" t="n"/>
      <c r="Z96" s="242">
        <f>IF(AND(G96&lt;&gt;"",R96&lt;&gt;"",V96&lt;&gt;"",W96&lt;&gt;""),"COMPLETADO","OBSERVADO")</f>
        <v/>
      </c>
      <c r="AA96" s="284" t="n"/>
    </row>
    <row r="97" ht="15.75" customHeight="1" s="195">
      <c r="A97" s="280" t="n"/>
      <c r="B97" s="280" t="n"/>
      <c r="C97" s="280" t="n"/>
      <c r="D97" s="280" t="n"/>
      <c r="E97" s="280" t="n"/>
      <c r="F97" s="280" t="n"/>
      <c r="G97" s="280" t="n"/>
      <c r="H97" s="280" t="n"/>
      <c r="I97" s="332">
        <f>IFERROR(VLOOKUP(TEXT(H97,"0"),IPRESS!$A$3:$B$212,2,0),"")</f>
        <v/>
      </c>
      <c r="J97" s="280" t="n"/>
      <c r="K97" s="332">
        <f>IFERROR(VLOOKUP(TEXT(O97,"0"),CONDUCTORES!$A$3:$G$54,7,0),"")</f>
        <v/>
      </c>
      <c r="L97" s="280" t="n"/>
      <c r="M97" s="280" t="n"/>
      <c r="N97" s="333">
        <f>IFERROR(IF(L97*M97=0,"",L97*M97),"")</f>
        <v/>
      </c>
      <c r="O97" s="280" t="n"/>
      <c r="P97" s="332">
        <f>IFERROR(VLOOKUP(TEXT(O97,"0"),CONDUCTORES!$A$3:$G$54,2,0),"")</f>
        <v/>
      </c>
      <c r="Q97" s="332">
        <f>IFERROR(VLOOKUP(TEXT(O97,"0"),CONDUCTORES!$A$3:$H$54,6,0),"")</f>
        <v/>
      </c>
      <c r="R97" s="280" t="n"/>
      <c r="S97" s="280" t="n"/>
      <c r="T97" s="280" t="n"/>
      <c r="U97" s="280" t="n"/>
      <c r="V97" s="280" t="n"/>
      <c r="W97" s="280" t="n"/>
      <c r="X97" s="280" t="n"/>
      <c r="Y97" s="280" t="n"/>
      <c r="Z97" s="236">
        <f>IF(AND(G97&lt;&gt;"",R97&lt;&gt;"",V97&lt;&gt;"",W97&lt;&gt;""),"COMPLETADO","OBSERVADO")</f>
        <v/>
      </c>
      <c r="AA97" s="284" t="n"/>
    </row>
    <row r="98" ht="15.75" customHeight="1" s="195">
      <c r="A98" s="334" t="n"/>
      <c r="B98" s="334" t="n"/>
      <c r="C98" s="334" t="n"/>
      <c r="D98" s="334" t="n"/>
      <c r="E98" s="334" t="n"/>
      <c r="F98" s="334" t="n"/>
      <c r="G98" s="334" t="n"/>
      <c r="H98" s="334" t="n"/>
      <c r="I98" s="332">
        <f>IFERROR(VLOOKUP(TEXT(H98,"0"),IPRESS!$A$3:$B$212,2,0),"")</f>
        <v/>
      </c>
      <c r="J98" s="334" t="n"/>
      <c r="K98" s="332">
        <f>IFERROR(VLOOKUP(TEXT(O98,"0"),CONDUCTORES!$A$3:$G$54,7,0),"")</f>
        <v/>
      </c>
      <c r="L98" s="334" t="n"/>
      <c r="M98" s="334" t="n"/>
      <c r="N98" s="333">
        <f>IFERROR(IF(L98*M98=0,"",L98*M98),"")</f>
        <v/>
      </c>
      <c r="O98" s="334" t="n"/>
      <c r="P98" s="332">
        <f>IFERROR(VLOOKUP(TEXT(O98,"0"),CONDUCTORES!$A$3:$G$54,2,0),"")</f>
        <v/>
      </c>
      <c r="Q98" s="332">
        <f>IFERROR(VLOOKUP(TEXT(O98,"0"),CONDUCTORES!$A$3:$H$54,6,0),"")</f>
        <v/>
      </c>
      <c r="R98" s="334" t="n"/>
      <c r="S98" s="334" t="n"/>
      <c r="T98" s="334" t="n"/>
      <c r="U98" s="334" t="n"/>
      <c r="V98" s="334" t="n"/>
      <c r="W98" s="334" t="n"/>
      <c r="X98" s="334" t="n"/>
      <c r="Y98" s="334" t="n"/>
      <c r="Z98" s="242">
        <f>IF(AND(G98&lt;&gt;"",R98&lt;&gt;"",V98&lt;&gt;"",W98&lt;&gt;""),"COMPLETADO","OBSERVADO")</f>
        <v/>
      </c>
      <c r="AA98" s="284" t="n"/>
    </row>
    <row r="99" ht="15.75" customHeight="1" s="195">
      <c r="A99" s="280" t="n"/>
      <c r="B99" s="280" t="n"/>
      <c r="C99" s="280" t="n"/>
      <c r="D99" s="280" t="n"/>
      <c r="E99" s="280" t="n"/>
      <c r="F99" s="280" t="n"/>
      <c r="G99" s="280" t="n"/>
      <c r="H99" s="280" t="n"/>
      <c r="I99" s="332">
        <f>IFERROR(VLOOKUP(TEXT(H99,"0"),IPRESS!$A$3:$B$212,2,0),"")</f>
        <v/>
      </c>
      <c r="J99" s="280" t="n"/>
      <c r="K99" s="332">
        <f>IFERROR(VLOOKUP(TEXT(O99,"0"),CONDUCTORES!$A$3:$G$54,7,0),"")</f>
        <v/>
      </c>
      <c r="L99" s="280" t="n"/>
      <c r="M99" s="280" t="n"/>
      <c r="N99" s="333">
        <f>IFERROR(IF(L99*M99=0,"",L99*M99),"")</f>
        <v/>
      </c>
      <c r="O99" s="280" t="n"/>
      <c r="P99" s="332">
        <f>IFERROR(VLOOKUP(TEXT(O99,"0"),CONDUCTORES!$A$3:$G$54,2,0),"")</f>
        <v/>
      </c>
      <c r="Q99" s="332">
        <f>IFERROR(VLOOKUP(TEXT(O99,"0"),CONDUCTORES!$A$3:$H$54,6,0),"")</f>
        <v/>
      </c>
      <c r="R99" s="280" t="n"/>
      <c r="S99" s="280" t="n"/>
      <c r="T99" s="280" t="n"/>
      <c r="U99" s="280" t="n"/>
      <c r="V99" s="280" t="n"/>
      <c r="W99" s="280" t="n"/>
      <c r="X99" s="280" t="n"/>
      <c r="Y99" s="280" t="n"/>
      <c r="Z99" s="236">
        <f>IF(AND(G99&lt;&gt;"",R99&lt;&gt;"",V99&lt;&gt;"",W99&lt;&gt;""),"COMPLETADO","OBSERVADO")</f>
        <v/>
      </c>
      <c r="AA99" s="284" t="n"/>
    </row>
    <row r="100" ht="15.75" customHeight="1" s="195">
      <c r="A100" s="334" t="n"/>
      <c r="B100" s="334" t="n"/>
      <c r="C100" s="334" t="n"/>
      <c r="D100" s="334" t="n"/>
      <c r="E100" s="334" t="n"/>
      <c r="F100" s="334" t="n"/>
      <c r="G100" s="334" t="n"/>
      <c r="H100" s="334" t="n"/>
      <c r="I100" s="332">
        <f>IFERROR(VLOOKUP(TEXT(H100,"0"),IPRESS!$A$3:$B$212,2,0),"")</f>
        <v/>
      </c>
      <c r="J100" s="334" t="n"/>
      <c r="K100" s="332">
        <f>IFERROR(VLOOKUP(TEXT(O100,"0"),CONDUCTORES!$A$3:$G$54,7,0),"")</f>
        <v/>
      </c>
      <c r="L100" s="334" t="n"/>
      <c r="M100" s="334" t="n"/>
      <c r="N100" s="333">
        <f>IFERROR(IF(L100*M100=0,"",L100*M100),"")</f>
        <v/>
      </c>
      <c r="O100" s="334" t="n"/>
      <c r="P100" s="332">
        <f>IFERROR(VLOOKUP(TEXT(O100,"0"),CONDUCTORES!$A$3:$G$54,2,0),"")</f>
        <v/>
      </c>
      <c r="Q100" s="332">
        <f>IFERROR(VLOOKUP(TEXT(O100,"0"),CONDUCTORES!$A$3:$H$54,6,0),"")</f>
        <v/>
      </c>
      <c r="R100" s="334" t="n"/>
      <c r="S100" s="334" t="n"/>
      <c r="T100" s="334" t="n"/>
      <c r="U100" s="334" t="n"/>
      <c r="V100" s="334" t="n"/>
      <c r="W100" s="334" t="n"/>
      <c r="X100" s="334" t="n"/>
      <c r="Y100" s="334" t="n"/>
      <c r="Z100" s="242">
        <f>IF(AND(G100&lt;&gt;"",R100&lt;&gt;"",V100&lt;&gt;"",W100&lt;&gt;""),"COMPLETADO","OBSERVADO")</f>
        <v/>
      </c>
      <c r="AA100" s="284" t="n"/>
    </row>
    <row r="101" ht="15.75" customHeight="1" s="195">
      <c r="A101" s="280" t="n"/>
      <c r="B101" s="280" t="n"/>
      <c r="C101" s="280" t="n"/>
      <c r="D101" s="280" t="n"/>
      <c r="E101" s="280" t="n"/>
      <c r="F101" s="280" t="n"/>
      <c r="G101" s="280" t="n"/>
      <c r="H101" s="280" t="n"/>
      <c r="I101" s="332">
        <f>IFERROR(VLOOKUP(TEXT(H101,"0"),IPRESS!$A$3:$B$212,2,0),"")</f>
        <v/>
      </c>
      <c r="J101" s="280" t="n"/>
      <c r="K101" s="332">
        <f>IFERROR(VLOOKUP(TEXT(O101,"0"),CONDUCTORES!$A$3:$G$54,7,0),"")</f>
        <v/>
      </c>
      <c r="L101" s="280" t="n"/>
      <c r="M101" s="280" t="n"/>
      <c r="N101" s="333">
        <f>IFERROR(IF(L101*M101=0,"",L101*M101),"")</f>
        <v/>
      </c>
      <c r="O101" s="280" t="n"/>
      <c r="P101" s="332">
        <f>IFERROR(VLOOKUP(TEXT(O101,"0"),CONDUCTORES!$A$3:$G$54,2,0),"")</f>
        <v/>
      </c>
      <c r="Q101" s="332">
        <f>IFERROR(VLOOKUP(TEXT(O101,"0"),CONDUCTORES!$A$3:$H$54,6,0),"")</f>
        <v/>
      </c>
      <c r="R101" s="280" t="n"/>
      <c r="S101" s="280" t="n"/>
      <c r="T101" s="280" t="n"/>
      <c r="U101" s="280" t="n"/>
      <c r="V101" s="280" t="n"/>
      <c r="W101" s="280" t="n"/>
      <c r="X101" s="280" t="n"/>
      <c r="Y101" s="280" t="n"/>
      <c r="Z101" s="236">
        <f>IF(AND(G101&lt;&gt;"",R101&lt;&gt;"",V101&lt;&gt;"",W101&lt;&gt;""),"COMPLETADO","OBSERVADO")</f>
        <v/>
      </c>
      <c r="AA101" s="284" t="n"/>
    </row>
    <row r="102" ht="15.75" customHeight="1" s="195">
      <c r="A102" s="334" t="n"/>
      <c r="B102" s="334" t="n"/>
      <c r="C102" s="334" t="n"/>
      <c r="D102" s="334" t="n"/>
      <c r="E102" s="334" t="n"/>
      <c r="F102" s="334" t="n"/>
      <c r="G102" s="334" t="n"/>
      <c r="H102" s="334" t="n"/>
      <c r="I102" s="332">
        <f>IFERROR(VLOOKUP(TEXT(H102,"0"),IPRESS!$A$3:$B$212,2,0),"")</f>
        <v/>
      </c>
      <c r="J102" s="334" t="n"/>
      <c r="K102" s="332">
        <f>IFERROR(VLOOKUP(TEXT(O102,"0"),CONDUCTORES!$A$3:$G$54,7,0),"")</f>
        <v/>
      </c>
      <c r="L102" s="334" t="n"/>
      <c r="M102" s="334" t="n"/>
      <c r="N102" s="333">
        <f>IFERROR(IF(L102*M102=0,"",L102*M102),"")</f>
        <v/>
      </c>
      <c r="O102" s="334" t="n"/>
      <c r="P102" s="332">
        <f>IFERROR(VLOOKUP(TEXT(O102,"0"),CONDUCTORES!$A$3:$G$54,2,0),"")</f>
        <v/>
      </c>
      <c r="Q102" s="332">
        <f>IFERROR(VLOOKUP(TEXT(O102,"0"),CONDUCTORES!$A$3:$H$54,6,0),"")</f>
        <v/>
      </c>
      <c r="R102" s="334" t="n"/>
      <c r="S102" s="334" t="n"/>
      <c r="T102" s="334" t="n"/>
      <c r="U102" s="334" t="n"/>
      <c r="V102" s="334" t="n"/>
      <c r="W102" s="334" t="n"/>
      <c r="X102" s="334" t="n"/>
      <c r="Y102" s="334" t="n"/>
      <c r="Z102" s="242">
        <f>IF(AND(G102&lt;&gt;"",R102&lt;&gt;"",V102&lt;&gt;"",W102&lt;&gt;""),"COMPLETADO","OBSERVADO")</f>
        <v/>
      </c>
      <c r="AA102" s="284" t="n"/>
    </row>
    <row r="103" ht="15.75" customHeight="1" s="195">
      <c r="A103" s="280" t="n"/>
      <c r="B103" s="280" t="n"/>
      <c r="C103" s="280" t="n"/>
      <c r="D103" s="280" t="n"/>
      <c r="E103" s="280" t="n"/>
      <c r="F103" s="280" t="n"/>
      <c r="G103" s="280" t="n"/>
      <c r="H103" s="280" t="n"/>
      <c r="I103" s="332">
        <f>IFERROR(VLOOKUP(TEXT(H103,"0"),IPRESS!$A$3:$B$212,2,0),"")</f>
        <v/>
      </c>
      <c r="J103" s="280" t="n"/>
      <c r="K103" s="332">
        <f>IFERROR(VLOOKUP(TEXT(O103,"0"),CONDUCTORES!$A$3:$G$54,7,0),"")</f>
        <v/>
      </c>
      <c r="L103" s="280" t="n"/>
      <c r="M103" s="280" t="n"/>
      <c r="N103" s="333">
        <f>IFERROR(IF(L103*M103=0,"",L103*M103),"")</f>
        <v/>
      </c>
      <c r="O103" s="280" t="n"/>
      <c r="P103" s="332">
        <f>IFERROR(VLOOKUP(TEXT(O103,"0"),CONDUCTORES!$A$3:$G$54,2,0),"")</f>
        <v/>
      </c>
      <c r="Q103" s="332">
        <f>IFERROR(VLOOKUP(TEXT(O103,"0"),CONDUCTORES!$A$3:$H$54,6,0),"")</f>
        <v/>
      </c>
      <c r="R103" s="280" t="n"/>
      <c r="S103" s="280" t="n"/>
      <c r="T103" s="280" t="n"/>
      <c r="U103" s="280" t="n"/>
      <c r="V103" s="280" t="n"/>
      <c r="W103" s="280" t="n"/>
      <c r="X103" s="280" t="n"/>
      <c r="Y103" s="280" t="n"/>
      <c r="Z103" s="236">
        <f>IF(AND(G103&lt;&gt;"",R103&lt;&gt;"",V103&lt;&gt;"",W103&lt;&gt;""),"COMPLETADO","OBSERVADO")</f>
        <v/>
      </c>
      <c r="AA103" s="284" t="n"/>
    </row>
    <row r="104" ht="15.75" customHeight="1" s="195">
      <c r="A104" s="334" t="n"/>
      <c r="B104" s="334" t="n"/>
      <c r="C104" s="334" t="n"/>
      <c r="D104" s="334" t="n"/>
      <c r="E104" s="334" t="n"/>
      <c r="F104" s="334" t="n"/>
      <c r="G104" s="334" t="n"/>
      <c r="H104" s="334" t="n"/>
      <c r="I104" s="332">
        <f>IFERROR(VLOOKUP(TEXT(H104,"0"),IPRESS!$A$3:$B$212,2,0),"")</f>
        <v/>
      </c>
      <c r="J104" s="334" t="n"/>
      <c r="K104" s="332">
        <f>IFERROR(VLOOKUP(TEXT(O104,"0"),CONDUCTORES!$A$3:$G$54,7,0),"")</f>
        <v/>
      </c>
      <c r="L104" s="334" t="n"/>
      <c r="M104" s="334" t="n"/>
      <c r="N104" s="333">
        <f>IFERROR(IF(L104*M104=0,"",L104*M104),"")</f>
        <v/>
      </c>
      <c r="O104" s="334" t="n"/>
      <c r="P104" s="332">
        <f>IFERROR(VLOOKUP(TEXT(O104,"0"),CONDUCTORES!$A$3:$G$54,2,0),"")</f>
        <v/>
      </c>
      <c r="Q104" s="332">
        <f>IFERROR(VLOOKUP(TEXT(O104,"0"),CONDUCTORES!$A$3:$H$54,6,0),"")</f>
        <v/>
      </c>
      <c r="R104" s="334" t="n"/>
      <c r="S104" s="334" t="n"/>
      <c r="T104" s="334" t="n"/>
      <c r="U104" s="334" t="n"/>
      <c r="V104" s="334" t="n"/>
      <c r="W104" s="334" t="n"/>
      <c r="X104" s="334" t="n"/>
      <c r="Y104" s="334" t="n"/>
      <c r="Z104" s="242">
        <f>IF(AND(G104&lt;&gt;"",R104&lt;&gt;"",V104&lt;&gt;"",W104&lt;&gt;""),"COMPLETADO","OBSERVADO")</f>
        <v/>
      </c>
      <c r="AA104" s="284" t="n"/>
    </row>
    <row r="105" ht="15.75" customHeight="1" s="195">
      <c r="A105" s="280" t="n"/>
      <c r="B105" s="280" t="n"/>
      <c r="C105" s="280" t="n"/>
      <c r="D105" s="280" t="n"/>
      <c r="E105" s="280" t="n"/>
      <c r="F105" s="280" t="n"/>
      <c r="G105" s="280" t="n"/>
      <c r="H105" s="280" t="n"/>
      <c r="I105" s="332">
        <f>IFERROR(VLOOKUP(TEXT(H105,"0"),IPRESS!$A$3:$B$212,2,0),"")</f>
        <v/>
      </c>
      <c r="J105" s="280" t="n"/>
      <c r="K105" s="332">
        <f>IFERROR(VLOOKUP(TEXT(O105,"0"),CONDUCTORES!$A$3:$G$54,7,0),"")</f>
        <v/>
      </c>
      <c r="L105" s="280" t="n"/>
      <c r="M105" s="280" t="n"/>
      <c r="N105" s="333">
        <f>IFERROR(IF(L105*M105=0,"",L105*M105),"")</f>
        <v/>
      </c>
      <c r="O105" s="280" t="n"/>
      <c r="P105" s="332">
        <f>IFERROR(VLOOKUP(TEXT(O105,"0"),CONDUCTORES!$A$3:$G$54,2,0),"")</f>
        <v/>
      </c>
      <c r="Q105" s="332">
        <f>IFERROR(VLOOKUP(TEXT(O105,"0"),CONDUCTORES!$A$3:$H$54,6,0),"")</f>
        <v/>
      </c>
      <c r="R105" s="280" t="n"/>
      <c r="S105" s="280" t="n"/>
      <c r="T105" s="280" t="n"/>
      <c r="U105" s="280" t="n"/>
      <c r="V105" s="280" t="n"/>
      <c r="W105" s="280" t="n"/>
      <c r="X105" s="280" t="n"/>
      <c r="Y105" s="280" t="n"/>
      <c r="Z105" s="236">
        <f>IF(AND(G105&lt;&gt;"",R105&lt;&gt;"",V105&lt;&gt;"",W105&lt;&gt;""),"COMPLETADO","OBSERVADO")</f>
        <v/>
      </c>
      <c r="AA105" s="284" t="n"/>
    </row>
    <row r="106" ht="15.75" customHeight="1" s="195">
      <c r="A106" s="334" t="n"/>
      <c r="B106" s="334" t="n"/>
      <c r="C106" s="334" t="n"/>
      <c r="D106" s="334" t="n"/>
      <c r="E106" s="334" t="n"/>
      <c r="F106" s="334" t="n"/>
      <c r="G106" s="334" t="n"/>
      <c r="H106" s="334" t="n"/>
      <c r="I106" s="332">
        <f>IFERROR(VLOOKUP(TEXT(H106,"0"),IPRESS!$A$3:$B$212,2,0),"")</f>
        <v/>
      </c>
      <c r="J106" s="334" t="n"/>
      <c r="K106" s="332">
        <f>IFERROR(VLOOKUP(TEXT(O106,"0"),CONDUCTORES!$A$3:$G$54,7,0),"")</f>
        <v/>
      </c>
      <c r="L106" s="334" t="n"/>
      <c r="M106" s="334" t="n"/>
      <c r="N106" s="333">
        <f>IFERROR(IF(L106*M106=0,"",L106*M106),"")</f>
        <v/>
      </c>
      <c r="O106" s="334" t="n"/>
      <c r="P106" s="332">
        <f>IFERROR(VLOOKUP(TEXT(O106,"0"),CONDUCTORES!$A$3:$G$54,2,0),"")</f>
        <v/>
      </c>
      <c r="Q106" s="332">
        <f>IFERROR(VLOOKUP(TEXT(O106,"0"),CONDUCTORES!$A$3:$H$54,6,0),"")</f>
        <v/>
      </c>
      <c r="R106" s="334" t="n"/>
      <c r="S106" s="334" t="n"/>
      <c r="T106" s="334" t="n"/>
      <c r="U106" s="334" t="n"/>
      <c r="V106" s="334" t="n"/>
      <c r="W106" s="334" t="n"/>
      <c r="X106" s="334" t="n"/>
      <c r="Y106" s="334" t="n"/>
      <c r="Z106" s="242">
        <f>IF(AND(G106&lt;&gt;"",R106&lt;&gt;"",V106&lt;&gt;"",W106&lt;&gt;""),"COMPLETADO","OBSERVADO")</f>
        <v/>
      </c>
      <c r="AA106" s="284" t="n"/>
    </row>
    <row r="107" ht="15.75" customHeight="1" s="195">
      <c r="A107" s="280" t="n"/>
      <c r="B107" s="280" t="n"/>
      <c r="C107" s="280" t="n"/>
      <c r="D107" s="280" t="n"/>
      <c r="E107" s="280" t="n"/>
      <c r="F107" s="280" t="n"/>
      <c r="G107" s="280" t="n"/>
      <c r="H107" s="280" t="n"/>
      <c r="I107" s="332">
        <f>IFERROR(VLOOKUP(TEXT(H107,"0"),IPRESS!$A$3:$B$212,2,0),"")</f>
        <v/>
      </c>
      <c r="J107" s="280" t="n"/>
      <c r="K107" s="332">
        <f>IFERROR(VLOOKUP(TEXT(O107,"0"),CONDUCTORES!$A$3:$G$54,7,0),"")</f>
        <v/>
      </c>
      <c r="L107" s="280" t="n"/>
      <c r="M107" s="280" t="n"/>
      <c r="N107" s="333">
        <f>IFERROR(IF(L107*M107=0,"",L107*M107),"")</f>
        <v/>
      </c>
      <c r="O107" s="280" t="n"/>
      <c r="P107" s="332">
        <f>IFERROR(VLOOKUP(TEXT(O107,"0"),CONDUCTORES!$A$3:$G$54,2,0),"")</f>
        <v/>
      </c>
      <c r="Q107" s="332">
        <f>IFERROR(VLOOKUP(TEXT(O107,"0"),CONDUCTORES!$A$3:$H$54,6,0),"")</f>
        <v/>
      </c>
      <c r="R107" s="280" t="n"/>
      <c r="S107" s="280" t="n"/>
      <c r="T107" s="280" t="n"/>
      <c r="U107" s="280" t="n"/>
      <c r="V107" s="280" t="n"/>
      <c r="W107" s="280" t="n"/>
      <c r="X107" s="280" t="n"/>
      <c r="Y107" s="280" t="n"/>
      <c r="Z107" s="236">
        <f>IF(AND(G107&lt;&gt;"",R107&lt;&gt;"",V107&lt;&gt;"",W107&lt;&gt;""),"COMPLETADO","OBSERVADO")</f>
        <v/>
      </c>
      <c r="AA107" s="284" t="n"/>
    </row>
    <row r="108" ht="15.75" customHeight="1" s="195">
      <c r="A108" s="334" t="n"/>
      <c r="B108" s="334" t="n"/>
      <c r="C108" s="334" t="n"/>
      <c r="D108" s="334" t="n"/>
      <c r="E108" s="334" t="n"/>
      <c r="F108" s="334" t="n"/>
      <c r="G108" s="334" t="n"/>
      <c r="H108" s="334" t="n"/>
      <c r="I108" s="332">
        <f>IFERROR(VLOOKUP(TEXT(H108,"0"),IPRESS!$A$3:$B$212,2,0),"")</f>
        <v/>
      </c>
      <c r="J108" s="334" t="n"/>
      <c r="K108" s="332">
        <f>IFERROR(VLOOKUP(TEXT(O108,"0"),CONDUCTORES!$A$3:$G$54,7,0),"")</f>
        <v/>
      </c>
      <c r="L108" s="334" t="n"/>
      <c r="M108" s="334" t="n"/>
      <c r="N108" s="333">
        <f>IFERROR(IF(L108*M108=0,"",L108*M108),"")</f>
        <v/>
      </c>
      <c r="O108" s="334" t="n"/>
      <c r="P108" s="332">
        <f>IFERROR(VLOOKUP(TEXT(O108,"0"),CONDUCTORES!$A$3:$G$54,2,0),"")</f>
        <v/>
      </c>
      <c r="Q108" s="332">
        <f>IFERROR(VLOOKUP(TEXT(O108,"0"),CONDUCTORES!$A$3:$H$54,6,0),"")</f>
        <v/>
      </c>
      <c r="R108" s="334" t="n"/>
      <c r="S108" s="334" t="n"/>
      <c r="T108" s="334" t="n"/>
      <c r="U108" s="334" t="n"/>
      <c r="V108" s="334" t="n"/>
      <c r="W108" s="334" t="n"/>
      <c r="X108" s="334" t="n"/>
      <c r="Y108" s="334" t="n"/>
      <c r="Z108" s="242">
        <f>IF(AND(G108&lt;&gt;"",R108&lt;&gt;"",V108&lt;&gt;"",W108&lt;&gt;""),"COMPLETADO","OBSERVADO")</f>
        <v/>
      </c>
      <c r="AA108" s="284" t="n"/>
    </row>
    <row r="109" ht="15.75" customHeight="1" s="195">
      <c r="A109" s="280" t="n"/>
      <c r="B109" s="280" t="n"/>
      <c r="C109" s="280" t="n"/>
      <c r="D109" s="280" t="n"/>
      <c r="E109" s="280" t="n"/>
      <c r="F109" s="280" t="n"/>
      <c r="G109" s="280" t="n"/>
      <c r="H109" s="280" t="n"/>
      <c r="I109" s="332">
        <f>IFERROR(VLOOKUP(TEXT(H109,"0"),IPRESS!$A$3:$B$212,2,0),"")</f>
        <v/>
      </c>
      <c r="J109" s="280" t="n"/>
      <c r="K109" s="332">
        <f>IFERROR(VLOOKUP(TEXT(O109,"0"),CONDUCTORES!$A$3:$G$54,7,0),"")</f>
        <v/>
      </c>
      <c r="L109" s="280" t="n"/>
      <c r="M109" s="280" t="n"/>
      <c r="N109" s="333">
        <f>IFERROR(IF(L109*M109=0,"",L109*M109),"")</f>
        <v/>
      </c>
      <c r="O109" s="280" t="n"/>
      <c r="P109" s="332">
        <f>IFERROR(VLOOKUP(TEXT(O109,"0"),CONDUCTORES!$A$3:$G$54,2,0),"")</f>
        <v/>
      </c>
      <c r="Q109" s="332">
        <f>IFERROR(VLOOKUP(TEXT(O109,"0"),CONDUCTORES!$A$3:$H$54,6,0),"")</f>
        <v/>
      </c>
      <c r="R109" s="280" t="n"/>
      <c r="S109" s="280" t="n"/>
      <c r="T109" s="280" t="n"/>
      <c r="U109" s="280" t="n"/>
      <c r="V109" s="280" t="n"/>
      <c r="W109" s="280" t="n"/>
      <c r="X109" s="280" t="n"/>
      <c r="Y109" s="280" t="n"/>
      <c r="Z109" s="236">
        <f>IF(AND(G109&lt;&gt;"",R109&lt;&gt;"",V109&lt;&gt;"",W109&lt;&gt;""),"COMPLETADO","OBSERVADO")</f>
        <v/>
      </c>
      <c r="AA109" s="284" t="n"/>
    </row>
    <row r="110" ht="15.75" customHeight="1" s="195">
      <c r="A110" s="334" t="n"/>
      <c r="B110" s="334" t="n"/>
      <c r="C110" s="334" t="n"/>
      <c r="D110" s="334" t="n"/>
      <c r="E110" s="334" t="n"/>
      <c r="F110" s="334" t="n"/>
      <c r="G110" s="334" t="n"/>
      <c r="H110" s="334" t="n"/>
      <c r="I110" s="332">
        <f>IFERROR(VLOOKUP(TEXT(H110,"0"),IPRESS!$A$3:$B$212,2,0),"")</f>
        <v/>
      </c>
      <c r="J110" s="334" t="n"/>
      <c r="K110" s="332">
        <f>IFERROR(VLOOKUP(TEXT(O110,"0"),CONDUCTORES!$A$3:$G$54,7,0),"")</f>
        <v/>
      </c>
      <c r="L110" s="334" t="n"/>
      <c r="M110" s="334" t="n"/>
      <c r="N110" s="333">
        <f>IFERROR(IF(L110*M110=0,"",L110*M110),"")</f>
        <v/>
      </c>
      <c r="O110" s="334" t="n"/>
      <c r="P110" s="332">
        <f>IFERROR(VLOOKUP(TEXT(O110,"0"),CONDUCTORES!$A$3:$G$54,2,0),"")</f>
        <v/>
      </c>
      <c r="Q110" s="332">
        <f>IFERROR(VLOOKUP(TEXT(O110,"0"),CONDUCTORES!$A$3:$H$54,6,0),"")</f>
        <v/>
      </c>
      <c r="R110" s="334" t="n"/>
      <c r="S110" s="334" t="n"/>
      <c r="T110" s="334" t="n"/>
      <c r="U110" s="334" t="n"/>
      <c r="V110" s="334" t="n"/>
      <c r="W110" s="334" t="n"/>
      <c r="X110" s="334" t="n"/>
      <c r="Y110" s="334" t="n"/>
      <c r="Z110" s="242">
        <f>IF(AND(G110&lt;&gt;"",R110&lt;&gt;"",V110&lt;&gt;"",W110&lt;&gt;""),"COMPLETADO","OBSERVADO")</f>
        <v/>
      </c>
      <c r="AA110" s="284" t="n"/>
    </row>
    <row r="111" ht="15" customHeight="1" s="195">
      <c r="A111" s="280" t="n"/>
      <c r="B111" s="280" t="n"/>
      <c r="C111" s="280" t="n"/>
      <c r="D111" s="280" t="n"/>
      <c r="E111" s="280" t="n"/>
      <c r="F111" s="280" t="n"/>
      <c r="G111" s="280" t="n"/>
      <c r="H111" s="280" t="n"/>
      <c r="I111" s="280" t="n"/>
      <c r="J111" s="280" t="n"/>
      <c r="K111" s="280" t="n"/>
      <c r="L111" s="280" t="n"/>
      <c r="M111" s="280" t="n"/>
      <c r="N111" s="374" t="n"/>
      <c r="O111" s="280" t="n"/>
      <c r="P111" s="280" t="n"/>
      <c r="Q111" s="280" t="n"/>
      <c r="R111" s="280" t="n"/>
      <c r="S111" s="280" t="n"/>
      <c r="T111" s="280" t="n"/>
      <c r="U111" s="280" t="n"/>
      <c r="V111" s="280" t="n"/>
      <c r="W111" s="280" t="n"/>
      <c r="X111" s="280" t="n"/>
      <c r="Y111" s="280" t="n"/>
      <c r="Z111" s="280" t="n"/>
      <c r="AA111" s="284" t="n"/>
    </row>
    <row r="112" ht="15" customHeight="1" s="195">
      <c r="A112" s="280" t="n"/>
      <c r="B112" s="280" t="n"/>
      <c r="C112" s="280" t="n"/>
      <c r="D112" s="280" t="n"/>
      <c r="E112" s="280" t="n"/>
      <c r="F112" s="280" t="n"/>
      <c r="G112" s="280" t="n"/>
      <c r="H112" s="280" t="n"/>
      <c r="I112" s="280" t="n"/>
      <c r="J112" s="280" t="n"/>
      <c r="K112" s="280" t="n"/>
      <c r="L112" s="280" t="n"/>
      <c r="M112" s="280" t="n"/>
      <c r="N112" s="374" t="n"/>
      <c r="O112" s="280" t="n"/>
      <c r="P112" s="280" t="n"/>
      <c r="Q112" s="280" t="n"/>
      <c r="R112" s="280" t="n"/>
      <c r="S112" s="280" t="n"/>
      <c r="T112" s="280" t="n"/>
      <c r="U112" s="280" t="n"/>
      <c r="V112" s="280" t="n"/>
      <c r="W112" s="280" t="n"/>
      <c r="X112" s="280" t="n"/>
      <c r="Y112" s="280" t="n"/>
      <c r="Z112" s="280" t="n"/>
      <c r="AA112" s="284" t="n"/>
    </row>
    <row r="113" ht="15" customHeight="1" s="195">
      <c r="A113" s="280" t="n"/>
      <c r="B113" s="280" t="n"/>
      <c r="C113" s="280" t="n"/>
      <c r="D113" s="280" t="n"/>
      <c r="E113" s="280" t="n"/>
      <c r="F113" s="280" t="n"/>
      <c r="G113" s="280" t="n"/>
      <c r="H113" s="280" t="n"/>
      <c r="I113" s="280" t="n"/>
      <c r="J113" s="280" t="n"/>
      <c r="K113" s="280" t="n"/>
      <c r="L113" s="280" t="n"/>
      <c r="M113" s="280" t="n"/>
      <c r="N113" s="374" t="n"/>
      <c r="O113" s="280" t="n"/>
      <c r="P113" s="280" t="n"/>
      <c r="Q113" s="280" t="n"/>
      <c r="R113" s="280" t="n"/>
      <c r="S113" s="280" t="n"/>
      <c r="T113" s="280" t="n"/>
      <c r="U113" s="280" t="n"/>
      <c r="V113" s="280" t="n"/>
      <c r="W113" s="280" t="n"/>
      <c r="X113" s="280" t="n"/>
      <c r="Y113" s="280" t="n"/>
      <c r="Z113" s="280" t="n"/>
      <c r="AA113" s="284" t="n"/>
    </row>
    <row r="114" ht="15" customHeight="1" s="195">
      <c r="A114" s="280" t="n"/>
      <c r="B114" s="280" t="n"/>
      <c r="C114" s="280" t="n"/>
      <c r="D114" s="280" t="n"/>
      <c r="E114" s="280" t="n"/>
      <c r="F114" s="280" t="n"/>
      <c r="G114" s="280" t="n"/>
      <c r="H114" s="280" t="n"/>
      <c r="I114" s="280" t="n"/>
      <c r="J114" s="280" t="n"/>
      <c r="K114" s="280" t="n"/>
      <c r="L114" s="280" t="n"/>
      <c r="M114" s="280" t="n"/>
      <c r="N114" s="374" t="n"/>
      <c r="O114" s="280" t="n"/>
      <c r="P114" s="280" t="n"/>
      <c r="Q114" s="280" t="n"/>
      <c r="R114" s="280" t="n"/>
      <c r="S114" s="280" t="n"/>
      <c r="T114" s="280" t="n"/>
      <c r="U114" s="280" t="n"/>
      <c r="V114" s="280" t="n"/>
      <c r="W114" s="280" t="n"/>
      <c r="X114" s="280" t="n"/>
      <c r="Y114" s="280" t="n"/>
      <c r="Z114" s="280" t="n"/>
      <c r="AA114" s="284" t="n"/>
    </row>
    <row r="115" ht="15" customHeight="1" s="195">
      <c r="A115" s="280" t="n"/>
      <c r="B115" s="280" t="n"/>
      <c r="C115" s="280" t="n"/>
      <c r="D115" s="280" t="n"/>
      <c r="E115" s="280" t="n"/>
      <c r="F115" s="280" t="n"/>
      <c r="G115" s="280" t="n"/>
      <c r="H115" s="280" t="n"/>
      <c r="I115" s="280" t="n"/>
      <c r="J115" s="280" t="n"/>
      <c r="K115" s="280" t="n"/>
      <c r="L115" s="280" t="n"/>
      <c r="M115" s="280" t="n"/>
      <c r="N115" s="374" t="n"/>
      <c r="O115" s="280" t="n"/>
      <c r="P115" s="280" t="n"/>
      <c r="Q115" s="280" t="n"/>
      <c r="R115" s="280" t="n"/>
      <c r="S115" s="280" t="n"/>
      <c r="T115" s="280" t="n"/>
      <c r="U115" s="280" t="n"/>
      <c r="V115" s="280" t="n"/>
      <c r="W115" s="280" t="n"/>
      <c r="X115" s="280" t="n"/>
      <c r="Y115" s="280" t="n"/>
      <c r="Z115" s="280" t="n"/>
      <c r="AA115" s="284" t="n"/>
    </row>
    <row r="116" ht="15" customHeight="1" s="195">
      <c r="A116" s="280" t="n"/>
      <c r="B116" s="280" t="n"/>
      <c r="C116" s="280" t="n"/>
      <c r="D116" s="280" t="n"/>
      <c r="E116" s="280" t="n"/>
      <c r="F116" s="280" t="n"/>
      <c r="G116" s="280" t="n"/>
      <c r="H116" s="280" t="n"/>
      <c r="I116" s="280" t="n"/>
      <c r="J116" s="280" t="n"/>
      <c r="K116" s="280" t="n"/>
      <c r="L116" s="280" t="n"/>
      <c r="M116" s="280" t="n"/>
      <c r="N116" s="374" t="n"/>
      <c r="O116" s="280" t="n"/>
      <c r="P116" s="280" t="n"/>
      <c r="Q116" s="280" t="n"/>
      <c r="R116" s="280" t="n"/>
      <c r="S116" s="280" t="n"/>
      <c r="T116" s="280" t="n"/>
      <c r="U116" s="280" t="n"/>
      <c r="V116" s="280" t="n"/>
      <c r="W116" s="280" t="n"/>
      <c r="X116" s="280" t="n"/>
      <c r="Y116" s="280" t="n"/>
      <c r="Z116" s="280" t="n"/>
      <c r="AA116" s="284" t="n"/>
    </row>
    <row r="117" ht="15" customHeight="1" s="195">
      <c r="A117" s="280" t="n"/>
      <c r="B117" s="280" t="n"/>
      <c r="C117" s="280" t="n"/>
      <c r="D117" s="280" t="n"/>
      <c r="E117" s="280" t="n"/>
      <c r="F117" s="280" t="n"/>
      <c r="G117" s="280" t="n"/>
      <c r="H117" s="280" t="n"/>
      <c r="I117" s="280" t="n"/>
      <c r="J117" s="280" t="n"/>
      <c r="K117" s="280" t="n"/>
      <c r="L117" s="280" t="n"/>
      <c r="M117" s="280" t="n"/>
      <c r="N117" s="374" t="n"/>
      <c r="O117" s="280" t="n"/>
      <c r="P117" s="280" t="n"/>
      <c r="Q117" s="280" t="n"/>
      <c r="R117" s="280" t="n"/>
      <c r="S117" s="280" t="n"/>
      <c r="T117" s="280" t="n"/>
      <c r="U117" s="280" t="n"/>
      <c r="V117" s="280" t="n"/>
      <c r="W117" s="280" t="n"/>
      <c r="X117" s="280" t="n"/>
      <c r="Y117" s="280" t="n"/>
      <c r="Z117" s="280" t="n"/>
      <c r="AA117" s="284" t="n"/>
    </row>
    <row r="118" ht="15" customHeight="1" s="195">
      <c r="A118" s="280" t="n"/>
      <c r="B118" s="280" t="n"/>
      <c r="C118" s="280" t="n"/>
      <c r="D118" s="280" t="n"/>
      <c r="E118" s="280" t="n"/>
      <c r="F118" s="280" t="n"/>
      <c r="G118" s="280" t="n"/>
      <c r="H118" s="280" t="n"/>
      <c r="I118" s="280" t="n"/>
      <c r="J118" s="280" t="n"/>
      <c r="K118" s="280" t="n"/>
      <c r="L118" s="280" t="n"/>
      <c r="M118" s="280" t="n"/>
      <c r="N118" s="374" t="n"/>
      <c r="O118" s="280" t="n"/>
      <c r="P118" s="280" t="n"/>
      <c r="Q118" s="280" t="n"/>
      <c r="R118" s="280" t="n"/>
      <c r="S118" s="280" t="n"/>
      <c r="T118" s="280" t="n"/>
      <c r="U118" s="280" t="n"/>
      <c r="V118" s="280" t="n"/>
      <c r="W118" s="280" t="n"/>
      <c r="X118" s="280" t="n"/>
      <c r="Y118" s="280" t="n"/>
      <c r="Z118" s="280" t="n"/>
      <c r="AA118" s="284" t="n"/>
    </row>
    <row r="119" ht="15" customHeight="1" s="195">
      <c r="A119" s="280" t="n"/>
      <c r="B119" s="280" t="n"/>
      <c r="C119" s="280" t="n"/>
      <c r="D119" s="280" t="n"/>
      <c r="E119" s="280" t="n"/>
      <c r="F119" s="280" t="n"/>
      <c r="G119" s="280" t="n"/>
      <c r="H119" s="280" t="n"/>
      <c r="I119" s="280" t="n"/>
      <c r="J119" s="280" t="n"/>
      <c r="K119" s="280" t="n"/>
      <c r="L119" s="280" t="n"/>
      <c r="M119" s="280" t="n"/>
      <c r="N119" s="374" t="n"/>
      <c r="O119" s="280" t="n"/>
      <c r="P119" s="280" t="n"/>
      <c r="Q119" s="280" t="n"/>
      <c r="R119" s="280" t="n"/>
      <c r="S119" s="280" t="n"/>
      <c r="T119" s="280" t="n"/>
      <c r="U119" s="280" t="n"/>
      <c r="V119" s="280" t="n"/>
      <c r="W119" s="280" t="n"/>
      <c r="X119" s="280" t="n"/>
      <c r="Y119" s="280" t="n"/>
      <c r="Z119" s="280" t="n"/>
      <c r="AA119" s="284" t="n"/>
    </row>
    <row r="120" ht="15" customHeight="1" s="195">
      <c r="A120" s="280" t="n"/>
      <c r="B120" s="280" t="n"/>
      <c r="C120" s="280" t="n"/>
      <c r="D120" s="280" t="n"/>
      <c r="E120" s="280" t="n"/>
      <c r="F120" s="280" t="n"/>
      <c r="G120" s="280" t="n"/>
      <c r="H120" s="280" t="n"/>
      <c r="I120" s="332">
        <f>IFERROR(VLOOKUP(TEXT(H120,"0"),IPRESS!$A$3:$B$212,2,0),"")</f>
        <v/>
      </c>
      <c r="J120" s="280" t="n"/>
      <c r="K120" s="332">
        <f>IFERROR(VLOOKUP(TEXT(O120,"0"),CONDUCTORES!$A$3:$G$54,7,0),"")</f>
        <v/>
      </c>
      <c r="L120" s="280" t="n"/>
      <c r="M120" s="280" t="n"/>
      <c r="N120" s="333">
        <f>IFERROR(IF(L120*M120=0,"",L120*M120),"")</f>
        <v/>
      </c>
      <c r="O120" s="280" t="n"/>
      <c r="P120" s="332">
        <f>IFERROR(VLOOKUP(TEXT(O120,"0"),CONDUCTORES!$A$3:$G$54,2,0),"")</f>
        <v/>
      </c>
      <c r="Q120" s="332">
        <f>IFERROR(VLOOKUP(TEXT(O120,"0"),CONDUCTORES!$A$3:$H$54,6,0),"")</f>
        <v/>
      </c>
      <c r="R120" s="280" t="n"/>
      <c r="S120" s="280" t="n"/>
      <c r="T120" s="280" t="n"/>
      <c r="U120" s="280" t="n"/>
      <c r="V120" s="280" t="n"/>
      <c r="W120" s="280" t="n"/>
      <c r="X120" s="280" t="n"/>
      <c r="Y120" s="280" t="n"/>
      <c r="Z120" s="375">
        <f>IF(AND(G120&lt;&gt;"",R120&lt;&gt;"",V120&lt;&gt;"",W120&lt;&gt;""),"COMPLETADO","OBSERVADO")</f>
        <v/>
      </c>
    </row>
    <row r="121" ht="15" customHeight="1" s="195">
      <c r="A121" s="334" t="n"/>
      <c r="B121" s="334" t="n"/>
      <c r="C121" s="334" t="n"/>
      <c r="D121" s="334" t="n"/>
      <c r="E121" s="334" t="n"/>
      <c r="F121" s="334" t="n"/>
      <c r="G121" s="334" t="n"/>
      <c r="H121" s="334" t="n"/>
      <c r="I121" s="332">
        <f>IFERROR(VLOOKUP(TEXT(H121,"0"),IPRESS!$A$3:$B$212,2,0),"")</f>
        <v/>
      </c>
      <c r="J121" s="334" t="n"/>
      <c r="K121" s="332">
        <f>IFERROR(VLOOKUP(TEXT(O121,"0"),CONDUCTORES!$A$3:$G$54,7,0),"")</f>
        <v/>
      </c>
      <c r="L121" s="334" t="n"/>
      <c r="M121" s="334" t="n"/>
      <c r="N121" s="333">
        <f>IFERROR(IF(L121*M121=0,"",L121*M121),"")</f>
        <v/>
      </c>
      <c r="O121" s="334" t="n"/>
      <c r="P121" s="332">
        <f>IFERROR(VLOOKUP(TEXT(O121,"0"),CONDUCTORES!$A$3:$G$54,2,0),"")</f>
        <v/>
      </c>
      <c r="Q121" s="332">
        <f>IFERROR(VLOOKUP(TEXT(O121,"0"),CONDUCTORES!$A$3:$H$54,6,0),"")</f>
        <v/>
      </c>
      <c r="R121" s="334" t="n"/>
      <c r="S121" s="334" t="n"/>
      <c r="T121" s="334" t="n"/>
      <c r="U121" s="334" t="n"/>
      <c r="V121" s="334" t="n"/>
      <c r="W121" s="334" t="n"/>
      <c r="X121" s="334" t="n"/>
      <c r="Y121" s="334" t="n"/>
      <c r="Z121" s="375">
        <f>IF(AND(G121&lt;&gt;"",R121&lt;&gt;"",V121&lt;&gt;"",W121&lt;&gt;""),"COMPLETADO","OBSERVADO")</f>
        <v/>
      </c>
    </row>
    <row r="122" ht="15" customHeight="1" s="195">
      <c r="A122" s="280" t="n"/>
      <c r="B122" s="280" t="n"/>
      <c r="C122" s="280" t="n"/>
      <c r="D122" s="280" t="n"/>
      <c r="E122" s="280" t="n"/>
      <c r="F122" s="280" t="n"/>
      <c r="G122" s="280" t="n"/>
      <c r="H122" s="280" t="n"/>
      <c r="I122" s="332">
        <f>IFERROR(VLOOKUP(TEXT(H122,"0"),IPRESS!$A$3:$B$212,2,0),"")</f>
        <v/>
      </c>
      <c r="J122" s="280" t="n"/>
      <c r="K122" s="332">
        <f>IFERROR(VLOOKUP(TEXT(O122,"0"),CONDUCTORES!$A$3:$G$54,7,0),"")</f>
        <v/>
      </c>
      <c r="L122" s="280" t="n"/>
      <c r="M122" s="280" t="n"/>
      <c r="N122" s="333">
        <f>IFERROR(IF(L122*M122=0,"",L122*M122),"")</f>
        <v/>
      </c>
      <c r="O122" s="280" t="n"/>
      <c r="P122" s="332">
        <f>IFERROR(VLOOKUP(TEXT(O122,"0"),CONDUCTORES!$A$3:$G$54,2,0),"")</f>
        <v/>
      </c>
      <c r="Q122" s="332">
        <f>IFERROR(VLOOKUP(TEXT(O122,"0"),CONDUCTORES!$A$3:$H$54,6,0),"")</f>
        <v/>
      </c>
      <c r="R122" s="280" t="n"/>
      <c r="S122" s="280" t="n"/>
      <c r="T122" s="280" t="n"/>
      <c r="U122" s="280" t="n"/>
      <c r="V122" s="280" t="n"/>
      <c r="W122" s="280" t="n"/>
      <c r="X122" s="280" t="n"/>
      <c r="Y122" s="280" t="n"/>
      <c r="Z122" s="375">
        <f>IF(AND(G122&lt;&gt;"",R122&lt;&gt;"",V122&lt;&gt;"",W122&lt;&gt;""),"COMPLETADO","OBSERVADO")</f>
        <v/>
      </c>
    </row>
    <row r="123" ht="15" customHeight="1" s="195">
      <c r="A123" s="334" t="n"/>
      <c r="B123" s="334" t="n"/>
      <c r="C123" s="334" t="n"/>
      <c r="D123" s="334" t="n"/>
      <c r="E123" s="334" t="n"/>
      <c r="F123" s="334" t="n"/>
      <c r="G123" s="334" t="n"/>
      <c r="H123" s="334" t="n"/>
      <c r="I123" s="332">
        <f>IFERROR(VLOOKUP(TEXT(H123,"0"),IPRESS!$A$3:$B$212,2,0),"")</f>
        <v/>
      </c>
      <c r="J123" s="334" t="n"/>
      <c r="K123" s="332">
        <f>IFERROR(VLOOKUP(TEXT(O123,"0"),CONDUCTORES!$A$3:$G$54,7,0),"")</f>
        <v/>
      </c>
      <c r="L123" s="334" t="n"/>
      <c r="M123" s="334" t="n"/>
      <c r="N123" s="333">
        <f>IFERROR(IF(L123*M123=0,"",L123*M123),"")</f>
        <v/>
      </c>
      <c r="O123" s="334" t="n"/>
      <c r="P123" s="332">
        <f>IFERROR(VLOOKUP(TEXT(O123,"0"),CONDUCTORES!$A$3:$G$54,2,0),"")</f>
        <v/>
      </c>
      <c r="Q123" s="332">
        <f>IFERROR(VLOOKUP(TEXT(O123,"0"),CONDUCTORES!$A$3:$H$54,6,0),"")</f>
        <v/>
      </c>
      <c r="R123" s="334" t="n"/>
      <c r="S123" s="334" t="n"/>
      <c r="T123" s="334" t="n"/>
      <c r="U123" s="334" t="n"/>
      <c r="V123" s="334" t="n"/>
      <c r="W123" s="334" t="n"/>
      <c r="X123" s="334" t="n"/>
      <c r="Y123" s="334" t="n"/>
      <c r="Z123" s="375">
        <f>IF(AND(G123&lt;&gt;"",R123&lt;&gt;"",V123&lt;&gt;"",W123&lt;&gt;""),"COMPLETADO","OBSERVADO")</f>
        <v/>
      </c>
    </row>
    <row r="124" ht="15" customHeight="1" s="195">
      <c r="A124" s="280" t="n"/>
      <c r="B124" s="280" t="n"/>
      <c r="C124" s="280" t="n"/>
      <c r="D124" s="280" t="n"/>
      <c r="E124" s="280" t="n"/>
      <c r="F124" s="280" t="n"/>
      <c r="G124" s="280" t="n"/>
      <c r="H124" s="280" t="n"/>
      <c r="I124" s="332">
        <f>IFERROR(VLOOKUP(TEXT(H124,"0"),IPRESS!$A$3:$B$212,2,0),"")</f>
        <v/>
      </c>
      <c r="J124" s="280" t="n"/>
      <c r="K124" s="332">
        <f>IFERROR(VLOOKUP(TEXT(O124,"0"),CONDUCTORES!$A$3:$G$54,7,0),"")</f>
        <v/>
      </c>
      <c r="L124" s="280" t="n"/>
      <c r="M124" s="280" t="n"/>
      <c r="N124" s="333">
        <f>IFERROR(IF(L124*M124=0,"",L124*M124),"")</f>
        <v/>
      </c>
      <c r="O124" s="280" t="n"/>
      <c r="P124" s="332">
        <f>IFERROR(VLOOKUP(TEXT(O124,"0"),CONDUCTORES!$A$3:$G$54,2,0),"")</f>
        <v/>
      </c>
      <c r="Q124" s="332">
        <f>IFERROR(VLOOKUP(TEXT(O124,"0"),CONDUCTORES!$A$3:$H$54,6,0),"")</f>
        <v/>
      </c>
      <c r="R124" s="280" t="n"/>
      <c r="S124" s="280" t="n"/>
      <c r="T124" s="280" t="n"/>
      <c r="U124" s="280" t="n"/>
      <c r="V124" s="280" t="n"/>
      <c r="W124" s="280" t="n"/>
      <c r="X124" s="280" t="n"/>
      <c r="Y124" s="280" t="n"/>
      <c r="Z124" s="375">
        <f>IF(AND(G124&lt;&gt;"",R124&lt;&gt;"",V124&lt;&gt;"",W124&lt;&gt;""),"COMPLETADO","OBSERVADO")</f>
        <v/>
      </c>
    </row>
    <row r="125" ht="15" customHeight="1" s="195">
      <c r="A125" s="334" t="n"/>
      <c r="B125" s="334" t="n"/>
      <c r="C125" s="334" t="n"/>
      <c r="D125" s="334" t="n"/>
      <c r="E125" s="334" t="n"/>
      <c r="F125" s="334" t="n"/>
      <c r="G125" s="334" t="n"/>
      <c r="H125" s="334" t="n"/>
      <c r="I125" s="332">
        <f>IFERROR(VLOOKUP(TEXT(H125,"0"),IPRESS!$A$3:$B$212,2,0),"")</f>
        <v/>
      </c>
      <c r="J125" s="334" t="n"/>
      <c r="K125" s="332">
        <f>IFERROR(VLOOKUP(TEXT(O125,"0"),CONDUCTORES!$A$3:$G$54,7,0),"")</f>
        <v/>
      </c>
      <c r="L125" s="334" t="n"/>
      <c r="M125" s="334" t="n"/>
      <c r="N125" s="333">
        <f>IFERROR(IF(L125*M125=0,"",L125*M125),"")</f>
        <v/>
      </c>
      <c r="O125" s="334" t="n"/>
      <c r="P125" s="332">
        <f>IFERROR(VLOOKUP(TEXT(O125,"0"),CONDUCTORES!$A$3:$G$54,2,0),"")</f>
        <v/>
      </c>
      <c r="Q125" s="332">
        <f>IFERROR(VLOOKUP(TEXT(O125,"0"),CONDUCTORES!$A$3:$H$54,6,0),"")</f>
        <v/>
      </c>
      <c r="R125" s="334" t="n"/>
      <c r="S125" s="334" t="n"/>
      <c r="T125" s="334" t="n"/>
      <c r="U125" s="334" t="n"/>
      <c r="V125" s="334" t="n"/>
      <c r="W125" s="334" t="n"/>
      <c r="X125" s="334" t="n"/>
      <c r="Y125" s="334" t="n"/>
      <c r="Z125" s="375">
        <f>IF(AND(G125&lt;&gt;"",R125&lt;&gt;"",V125&lt;&gt;"",W125&lt;&gt;""),"COMPLETADO","OBSERVADO")</f>
        <v/>
      </c>
    </row>
    <row r="126" ht="15" customHeight="1" s="195">
      <c r="A126" s="280" t="n"/>
      <c r="B126" s="280" t="n"/>
      <c r="C126" s="280" t="n"/>
      <c r="D126" s="280" t="n"/>
      <c r="E126" s="280" t="n"/>
      <c r="F126" s="280" t="n"/>
      <c r="G126" s="280" t="n"/>
      <c r="H126" s="280" t="n"/>
      <c r="I126" s="332">
        <f>IFERROR(VLOOKUP(TEXT(H126,"0"),IPRESS!$A$3:$B$212,2,0),"")</f>
        <v/>
      </c>
      <c r="J126" s="280" t="n"/>
      <c r="K126" s="332">
        <f>IFERROR(VLOOKUP(TEXT(O126,"0"),CONDUCTORES!$A$3:$G$54,7,0),"")</f>
        <v/>
      </c>
      <c r="L126" s="280" t="n"/>
      <c r="M126" s="280" t="n"/>
      <c r="N126" s="333">
        <f>IFERROR(IF(L126*M126=0,"",L126*M126),"")</f>
        <v/>
      </c>
      <c r="O126" s="280" t="n"/>
      <c r="P126" s="332">
        <f>IFERROR(VLOOKUP(TEXT(O126,"0"),CONDUCTORES!$A$3:$G$54,2,0),"")</f>
        <v/>
      </c>
      <c r="Q126" s="332">
        <f>IFERROR(VLOOKUP(TEXT(O126,"0"),CONDUCTORES!$A$3:$H$54,6,0),"")</f>
        <v/>
      </c>
      <c r="R126" s="280" t="n"/>
      <c r="S126" s="280" t="n"/>
      <c r="T126" s="280" t="n"/>
      <c r="U126" s="280" t="n"/>
      <c r="V126" s="280" t="n"/>
      <c r="W126" s="280" t="n"/>
      <c r="X126" s="280" t="n"/>
      <c r="Y126" s="280" t="n"/>
      <c r="Z126" s="375">
        <f>IF(AND(G126&lt;&gt;"",R126&lt;&gt;"",V126&lt;&gt;"",W126&lt;&gt;""),"COMPLETADO","OBSERVADO")</f>
        <v/>
      </c>
    </row>
    <row r="127" ht="15" customHeight="1" s="195">
      <c r="A127" s="334" t="n"/>
      <c r="B127" s="334" t="n"/>
      <c r="C127" s="334" t="n"/>
      <c r="D127" s="334" t="n"/>
      <c r="E127" s="334" t="n"/>
      <c r="F127" s="334" t="n"/>
      <c r="G127" s="334" t="n"/>
      <c r="H127" s="334" t="n"/>
      <c r="I127" s="332">
        <f>IFERROR(VLOOKUP(TEXT(H127,"0"),IPRESS!$A$3:$B$212,2,0),"")</f>
        <v/>
      </c>
      <c r="J127" s="334" t="n"/>
      <c r="K127" s="332">
        <f>IFERROR(VLOOKUP(TEXT(O127,"0"),CONDUCTORES!$A$3:$G$54,7,0),"")</f>
        <v/>
      </c>
      <c r="L127" s="334" t="n"/>
      <c r="M127" s="334" t="n"/>
      <c r="N127" s="333">
        <f>IFERROR(IF(L127*M127=0,"",L127*M127),"")</f>
        <v/>
      </c>
      <c r="O127" s="334" t="n"/>
      <c r="P127" s="332">
        <f>IFERROR(VLOOKUP(TEXT(O127,"0"),CONDUCTORES!$A$3:$G$54,2,0),"")</f>
        <v/>
      </c>
      <c r="Q127" s="332">
        <f>IFERROR(VLOOKUP(TEXT(O127,"0"),CONDUCTORES!$A$3:$H$54,6,0),"")</f>
        <v/>
      </c>
      <c r="R127" s="334" t="n"/>
      <c r="S127" s="334" t="n"/>
      <c r="T127" s="334" t="n"/>
      <c r="U127" s="334" t="n"/>
      <c r="V127" s="334" t="n"/>
      <c r="W127" s="334" t="n"/>
      <c r="X127" s="334" t="n"/>
      <c r="Y127" s="334" t="n"/>
      <c r="Z127" s="375">
        <f>IF(AND(G127&lt;&gt;"",R127&lt;&gt;"",V127&lt;&gt;"",W127&lt;&gt;""),"COMPLETADO","OBSERVADO")</f>
        <v/>
      </c>
    </row>
    <row r="128" ht="15" customHeight="1" s="195">
      <c r="A128" s="280" t="n"/>
      <c r="B128" s="280" t="n"/>
      <c r="C128" s="280" t="n"/>
      <c r="D128" s="280" t="n"/>
      <c r="E128" s="280" t="n"/>
      <c r="F128" s="280" t="n"/>
      <c r="G128" s="280" t="n"/>
      <c r="H128" s="280" t="n"/>
      <c r="I128" s="332">
        <f>IFERROR(VLOOKUP(TEXT(H128,"0"),IPRESS!$A$3:$B$212,2,0),"")</f>
        <v/>
      </c>
      <c r="J128" s="280" t="n"/>
      <c r="K128" s="332">
        <f>IFERROR(VLOOKUP(TEXT(O128,"0"),CONDUCTORES!$A$3:$G$54,7,0),"")</f>
        <v/>
      </c>
      <c r="L128" s="280" t="n"/>
      <c r="M128" s="280" t="n"/>
      <c r="N128" s="333">
        <f>IFERROR(IF(L128*M128=0,"",L128*M128),"")</f>
        <v/>
      </c>
      <c r="O128" s="280" t="n"/>
      <c r="P128" s="332">
        <f>IFERROR(VLOOKUP(TEXT(O128,"0"),CONDUCTORES!$A$3:$G$54,2,0),"")</f>
        <v/>
      </c>
      <c r="Q128" s="332">
        <f>IFERROR(VLOOKUP(TEXT(O128,"0"),CONDUCTORES!$A$3:$H$54,6,0),"")</f>
        <v/>
      </c>
      <c r="R128" s="280" t="n"/>
      <c r="S128" s="280" t="n"/>
      <c r="T128" s="280" t="n"/>
      <c r="U128" s="280" t="n"/>
      <c r="V128" s="280" t="n"/>
      <c r="W128" s="280" t="n"/>
      <c r="X128" s="280" t="n"/>
      <c r="Y128" s="280" t="n"/>
      <c r="Z128" s="375">
        <f>IF(AND(G128&lt;&gt;"",R128&lt;&gt;"",V128&lt;&gt;"",W128&lt;&gt;""),"COMPLETADO","OBSERVADO")</f>
        <v/>
      </c>
    </row>
    <row r="129" ht="15" customHeight="1" s="195">
      <c r="A129" s="334" t="n"/>
      <c r="B129" s="334" t="n"/>
      <c r="C129" s="334" t="n"/>
      <c r="D129" s="334" t="n"/>
      <c r="E129" s="334" t="n"/>
      <c r="F129" s="334" t="n"/>
      <c r="G129" s="334" t="n"/>
      <c r="H129" s="334" t="n"/>
      <c r="I129" s="332">
        <f>IFERROR(VLOOKUP(TEXT(H129,"0"),IPRESS!$A$3:$B$212,2,0),"")</f>
        <v/>
      </c>
      <c r="J129" s="334" t="n"/>
      <c r="K129" s="332">
        <f>IFERROR(VLOOKUP(TEXT(O129,"0"),CONDUCTORES!$A$3:$G$54,7,0),"")</f>
        <v/>
      </c>
      <c r="L129" s="334" t="n"/>
      <c r="M129" s="334" t="n"/>
      <c r="N129" s="333">
        <f>IFERROR(IF(L129*M129=0,"",L129*M129),"")</f>
        <v/>
      </c>
      <c r="O129" s="334" t="n"/>
      <c r="P129" s="332">
        <f>IFERROR(VLOOKUP(TEXT(O129,"0"),CONDUCTORES!$A$3:$G$54,2,0),"")</f>
        <v/>
      </c>
      <c r="Q129" s="332">
        <f>IFERROR(VLOOKUP(TEXT(O129,"0"),CONDUCTORES!$A$3:$H$54,6,0),"")</f>
        <v/>
      </c>
      <c r="R129" s="334" t="n"/>
      <c r="S129" s="334" t="n"/>
      <c r="T129" s="334" t="n"/>
      <c r="U129" s="334" t="n"/>
      <c r="V129" s="334" t="n"/>
      <c r="W129" s="334" t="n"/>
      <c r="X129" s="334" t="n"/>
      <c r="Y129" s="334" t="n"/>
      <c r="Z129" s="375">
        <f>IF(AND(G129&lt;&gt;"",R129&lt;&gt;"",V129&lt;&gt;"",W129&lt;&gt;""),"COMPLETADO","OBSERVADO")</f>
        <v/>
      </c>
    </row>
    <row r="130" ht="15" customHeight="1" s="195">
      <c r="A130" s="280" t="n"/>
      <c r="B130" s="280" t="n"/>
      <c r="C130" s="280" t="n"/>
      <c r="D130" s="280" t="n"/>
      <c r="E130" s="280" t="n"/>
      <c r="F130" s="280" t="n"/>
      <c r="G130" s="280" t="n"/>
      <c r="H130" s="280" t="n"/>
      <c r="I130" s="332">
        <f>IFERROR(VLOOKUP(TEXT(H130,"0"),IPRESS!$A$3:$B$212,2,0),"")</f>
        <v/>
      </c>
      <c r="J130" s="280" t="n"/>
      <c r="K130" s="332">
        <f>IFERROR(VLOOKUP(TEXT(O130,"0"),CONDUCTORES!$A$3:$G$54,7,0),"")</f>
        <v/>
      </c>
      <c r="L130" s="280" t="n"/>
      <c r="M130" s="280" t="n"/>
      <c r="N130" s="333">
        <f>IFERROR(IF(L130*M130=0,"",L130*M130),"")</f>
        <v/>
      </c>
      <c r="O130" s="280" t="n"/>
      <c r="P130" s="332">
        <f>IFERROR(VLOOKUP(TEXT(O130,"0"),CONDUCTORES!$A$3:$G$54,2,0),"")</f>
        <v/>
      </c>
      <c r="Q130" s="332">
        <f>IFERROR(VLOOKUP(TEXT(O130,"0"),CONDUCTORES!$A$3:$H$54,6,0),"")</f>
        <v/>
      </c>
      <c r="R130" s="280" t="n"/>
      <c r="S130" s="280" t="n"/>
      <c r="T130" s="280" t="n"/>
      <c r="U130" s="280" t="n"/>
      <c r="V130" s="280" t="n"/>
      <c r="W130" s="280" t="n"/>
      <c r="X130" s="280" t="n"/>
      <c r="Y130" s="280" t="n"/>
      <c r="Z130" s="375">
        <f>IF(AND(G130&lt;&gt;"",R130&lt;&gt;"",V130&lt;&gt;"",W130&lt;&gt;""),"COMPLETADO","OBSERVADO")</f>
        <v/>
      </c>
    </row>
    <row r="131" ht="15" customHeight="1" s="195">
      <c r="A131" s="334" t="n"/>
      <c r="B131" s="334" t="n"/>
      <c r="C131" s="334" t="n"/>
      <c r="D131" s="334" t="n"/>
      <c r="E131" s="334" t="n"/>
      <c r="F131" s="334" t="n"/>
      <c r="G131" s="334" t="n"/>
      <c r="H131" s="334" t="n"/>
      <c r="I131" s="332">
        <f>IFERROR(VLOOKUP(TEXT(H131,"0"),IPRESS!$A$3:$B$212,2,0),"")</f>
        <v/>
      </c>
      <c r="J131" s="334" t="n"/>
      <c r="K131" s="332">
        <f>IFERROR(VLOOKUP(TEXT(O131,"0"),CONDUCTORES!$A$3:$G$54,7,0),"")</f>
        <v/>
      </c>
      <c r="L131" s="334" t="n"/>
      <c r="M131" s="334" t="n"/>
      <c r="N131" s="333">
        <f>IFERROR(IF(L131*M131=0,"",L131*M131),"")</f>
        <v/>
      </c>
      <c r="O131" s="334" t="n"/>
      <c r="P131" s="332">
        <f>IFERROR(VLOOKUP(TEXT(O131,"0"),CONDUCTORES!$A$3:$G$54,2,0),"")</f>
        <v/>
      </c>
      <c r="Q131" s="332">
        <f>IFERROR(VLOOKUP(TEXT(O131,"0"),CONDUCTORES!$A$3:$H$54,6,0),"")</f>
        <v/>
      </c>
      <c r="R131" s="334" t="n"/>
      <c r="S131" s="334" t="n"/>
      <c r="T131" s="334" t="n"/>
      <c r="U131" s="334" t="n"/>
      <c r="V131" s="334" t="n"/>
      <c r="W131" s="334" t="n"/>
      <c r="X131" s="334" t="n"/>
      <c r="Y131" s="334" t="n"/>
      <c r="Z131" s="375">
        <f>IF(AND(G131&lt;&gt;"",R131&lt;&gt;"",V131&lt;&gt;"",W131&lt;&gt;""),"COMPLETADO","OBSERVADO")</f>
        <v/>
      </c>
    </row>
    <row r="132" ht="15" customHeight="1" s="195">
      <c r="A132" s="280" t="n"/>
      <c r="B132" s="280" t="n"/>
      <c r="C132" s="280" t="n"/>
      <c r="D132" s="280" t="n"/>
      <c r="E132" s="280" t="n"/>
      <c r="F132" s="280" t="n"/>
      <c r="G132" s="280" t="n"/>
      <c r="H132" s="280" t="n"/>
      <c r="I132" s="332">
        <f>IFERROR(VLOOKUP(TEXT(H132,"0"),IPRESS!$A$3:$B$212,2,0),"")</f>
        <v/>
      </c>
      <c r="J132" s="280" t="n"/>
      <c r="K132" s="332">
        <f>IFERROR(VLOOKUP(TEXT(O132,"0"),CONDUCTORES!$A$3:$G$54,7,0),"")</f>
        <v/>
      </c>
      <c r="L132" s="280" t="n"/>
      <c r="M132" s="280" t="n"/>
      <c r="N132" s="333">
        <f>IFERROR(IF(L132*M132=0,"",L132*M132),"")</f>
        <v/>
      </c>
      <c r="O132" s="280" t="n"/>
      <c r="P132" s="332">
        <f>IFERROR(VLOOKUP(TEXT(O132,"0"),CONDUCTORES!$A$3:$G$54,2,0),"")</f>
        <v/>
      </c>
      <c r="Q132" s="332">
        <f>IFERROR(VLOOKUP(TEXT(O132,"0"),CONDUCTORES!$A$3:$H$54,6,0),"")</f>
        <v/>
      </c>
      <c r="R132" s="280" t="n"/>
      <c r="S132" s="280" t="n"/>
      <c r="T132" s="280" t="n"/>
      <c r="U132" s="280" t="n"/>
      <c r="V132" s="280" t="n"/>
      <c r="W132" s="280" t="n"/>
      <c r="X132" s="280" t="n"/>
      <c r="Y132" s="280" t="n"/>
      <c r="Z132" s="375">
        <f>IF(AND(G132&lt;&gt;"",R132&lt;&gt;"",V132&lt;&gt;"",W132&lt;&gt;""),"COMPLETADO","OBSERVADO")</f>
        <v/>
      </c>
    </row>
    <row r="133" ht="15" customHeight="1" s="195">
      <c r="A133" s="334" t="n"/>
      <c r="B133" s="334" t="n"/>
      <c r="C133" s="334" t="n"/>
      <c r="D133" s="334" t="n"/>
      <c r="E133" s="334" t="n"/>
      <c r="F133" s="334" t="n"/>
      <c r="G133" s="334" t="n"/>
      <c r="H133" s="334" t="n"/>
      <c r="I133" s="332">
        <f>IFERROR(VLOOKUP(TEXT(H133,"0"),IPRESS!$A$3:$B$212,2,0),"")</f>
        <v/>
      </c>
      <c r="J133" s="334" t="n"/>
      <c r="K133" s="332">
        <f>IFERROR(VLOOKUP(TEXT(O133,"0"),CONDUCTORES!$A$3:$G$54,7,0),"")</f>
        <v/>
      </c>
      <c r="L133" s="334" t="n"/>
      <c r="M133" s="334" t="n"/>
      <c r="N133" s="333">
        <f>IFERROR(IF(L133*M133=0,"",L133*M133),"")</f>
        <v/>
      </c>
      <c r="O133" s="334" t="n"/>
      <c r="P133" s="332">
        <f>IFERROR(VLOOKUP(TEXT(O133,"0"),CONDUCTORES!$A$3:$G$54,2,0),"")</f>
        <v/>
      </c>
      <c r="Q133" s="332">
        <f>IFERROR(VLOOKUP(TEXT(O133,"0"),CONDUCTORES!$A$3:$H$54,6,0),"")</f>
        <v/>
      </c>
      <c r="R133" s="334" t="n"/>
      <c r="S133" s="334" t="n"/>
      <c r="T133" s="334" t="n"/>
      <c r="U133" s="334" t="n"/>
      <c r="V133" s="334" t="n"/>
      <c r="W133" s="334" t="n"/>
      <c r="X133" s="334" t="n"/>
      <c r="Y133" s="334" t="n"/>
      <c r="Z133" s="375">
        <f>IF(AND(G133&lt;&gt;"",R133&lt;&gt;"",V133&lt;&gt;"",W133&lt;&gt;""),"COMPLETADO","OBSERVADO")</f>
        <v/>
      </c>
    </row>
    <row r="134" ht="15" customHeight="1" s="195">
      <c r="A134" s="280" t="n"/>
      <c r="B134" s="280" t="n"/>
      <c r="C134" s="280" t="n"/>
      <c r="D134" s="280" t="n"/>
      <c r="E134" s="280" t="n"/>
      <c r="F134" s="280" t="n"/>
      <c r="G134" s="280" t="n"/>
      <c r="H134" s="280" t="n"/>
      <c r="I134" s="332">
        <f>IFERROR(VLOOKUP(TEXT(H134,"0"),IPRESS!$A$3:$B$212,2,0),"")</f>
        <v/>
      </c>
      <c r="J134" s="280" t="n"/>
      <c r="K134" s="332">
        <f>IFERROR(VLOOKUP(TEXT(O134,"0"),CONDUCTORES!$A$3:$G$54,7,0),"")</f>
        <v/>
      </c>
      <c r="L134" s="280" t="n"/>
      <c r="M134" s="280" t="n"/>
      <c r="N134" s="333">
        <f>IFERROR(IF(L134*M134=0,"",L134*M134),"")</f>
        <v/>
      </c>
      <c r="O134" s="280" t="n"/>
      <c r="P134" s="332">
        <f>IFERROR(VLOOKUP(TEXT(O134,"0"),CONDUCTORES!$A$3:$G$54,2,0),"")</f>
        <v/>
      </c>
      <c r="Q134" s="332">
        <f>IFERROR(VLOOKUP(TEXT(O134,"0"),CONDUCTORES!$A$3:$H$54,6,0),"")</f>
        <v/>
      </c>
      <c r="R134" s="280" t="n"/>
      <c r="S134" s="280" t="n"/>
      <c r="T134" s="280" t="n"/>
      <c r="U134" s="280" t="n"/>
      <c r="V134" s="280" t="n"/>
      <c r="W134" s="280" t="n"/>
      <c r="X134" s="280" t="n"/>
      <c r="Y134" s="280" t="n"/>
      <c r="Z134" s="375">
        <f>IF(AND(G134&lt;&gt;"",R134&lt;&gt;"",V134&lt;&gt;"",W134&lt;&gt;""),"COMPLETADO","OBSERVADO")</f>
        <v/>
      </c>
    </row>
    <row r="135" ht="15" customHeight="1" s="195">
      <c r="A135" s="334" t="n"/>
      <c r="B135" s="334" t="n"/>
      <c r="C135" s="334" t="n"/>
      <c r="D135" s="334" t="n"/>
      <c r="E135" s="334" t="n"/>
      <c r="F135" s="334" t="n"/>
      <c r="G135" s="334" t="n"/>
      <c r="H135" s="334" t="n"/>
      <c r="I135" s="332">
        <f>IFERROR(VLOOKUP(TEXT(H135,"0"),IPRESS!$A$3:$B$212,2,0),"")</f>
        <v/>
      </c>
      <c r="J135" s="334" t="n"/>
      <c r="K135" s="332">
        <f>IFERROR(VLOOKUP(TEXT(O135,"0"),CONDUCTORES!$A$3:$G$54,7,0),"")</f>
        <v/>
      </c>
      <c r="L135" s="334" t="n"/>
      <c r="M135" s="334" t="n"/>
      <c r="N135" s="333">
        <f>IFERROR(IF(L135*M135=0,"",L135*M135),"")</f>
        <v/>
      </c>
      <c r="O135" s="334" t="n"/>
      <c r="P135" s="332">
        <f>IFERROR(VLOOKUP(TEXT(O135,"0"),CONDUCTORES!$A$3:$G$54,2,0),"")</f>
        <v/>
      </c>
      <c r="Q135" s="332">
        <f>IFERROR(VLOOKUP(TEXT(O135,"0"),CONDUCTORES!$A$3:$H$54,6,0),"")</f>
        <v/>
      </c>
      <c r="R135" s="334" t="n"/>
      <c r="S135" s="334" t="n"/>
      <c r="T135" s="334" t="n"/>
      <c r="U135" s="334" t="n"/>
      <c r="V135" s="334" t="n"/>
      <c r="W135" s="334" t="n"/>
      <c r="X135" s="334" t="n"/>
      <c r="Y135" s="334" t="n"/>
      <c r="Z135" s="375">
        <f>IF(AND(G135&lt;&gt;"",R135&lt;&gt;"",V135&lt;&gt;"",W135&lt;&gt;""),"COMPLETADO","OBSERVADO")</f>
        <v/>
      </c>
    </row>
    <row r="136" ht="15" customHeight="1" s="195">
      <c r="A136" s="280" t="n"/>
      <c r="B136" s="280" t="n"/>
      <c r="C136" s="280" t="n"/>
      <c r="D136" s="280" t="n"/>
      <c r="E136" s="280" t="n"/>
      <c r="F136" s="280" t="n"/>
      <c r="G136" s="280" t="n"/>
      <c r="H136" s="280" t="n"/>
      <c r="I136" s="332">
        <f>IFERROR(VLOOKUP(TEXT(H136,"0"),IPRESS!$A$3:$B$212,2,0),"")</f>
        <v/>
      </c>
      <c r="J136" s="280" t="n"/>
      <c r="K136" s="332">
        <f>IFERROR(VLOOKUP(TEXT(O136,"0"),CONDUCTORES!$A$3:$G$54,7,0),"")</f>
        <v/>
      </c>
      <c r="L136" s="280" t="n"/>
      <c r="M136" s="280" t="n"/>
      <c r="N136" s="333">
        <f>IFERROR(IF(L136*M136=0,"",L136*M136),"")</f>
        <v/>
      </c>
      <c r="O136" s="280" t="n"/>
      <c r="P136" s="332">
        <f>IFERROR(VLOOKUP(TEXT(O136,"0"),CONDUCTORES!$A$3:$G$54,2,0),"")</f>
        <v/>
      </c>
      <c r="Q136" s="332">
        <f>IFERROR(VLOOKUP(TEXT(O136,"0"),CONDUCTORES!$A$3:$H$54,6,0),"")</f>
        <v/>
      </c>
      <c r="R136" s="280" t="n"/>
      <c r="S136" s="280" t="n"/>
      <c r="T136" s="280" t="n"/>
      <c r="U136" s="280" t="n"/>
      <c r="V136" s="280" t="n"/>
      <c r="W136" s="280" t="n"/>
      <c r="X136" s="280" t="n"/>
      <c r="Y136" s="280" t="n"/>
      <c r="Z136" s="375">
        <f>IF(AND(G136&lt;&gt;"",R136&lt;&gt;"",V136&lt;&gt;"",W136&lt;&gt;""),"COMPLETADO","OBSERVADO")</f>
        <v/>
      </c>
    </row>
    <row r="137" ht="15" customHeight="1" s="195">
      <c r="A137" s="334" t="n"/>
      <c r="B137" s="334" t="n"/>
      <c r="C137" s="334" t="n"/>
      <c r="D137" s="334" t="n"/>
      <c r="E137" s="334" t="n"/>
      <c r="F137" s="334" t="n"/>
      <c r="G137" s="334" t="n"/>
      <c r="H137" s="334" t="n"/>
      <c r="I137" s="332">
        <f>IFERROR(VLOOKUP(TEXT(H137,"0"),IPRESS!$A$3:$B$212,2,0),"")</f>
        <v/>
      </c>
      <c r="J137" s="334" t="n"/>
      <c r="K137" s="332">
        <f>IFERROR(VLOOKUP(TEXT(O137,"0"),CONDUCTORES!$A$3:$G$54,7,0),"")</f>
        <v/>
      </c>
      <c r="L137" s="334" t="n"/>
      <c r="M137" s="334" t="n"/>
      <c r="N137" s="333">
        <f>IFERROR(IF(L137*M137=0,"",L137*M137),"")</f>
        <v/>
      </c>
      <c r="O137" s="334" t="n"/>
      <c r="P137" s="332">
        <f>IFERROR(VLOOKUP(TEXT(O137,"0"),CONDUCTORES!$A$3:$G$54,2,0),"")</f>
        <v/>
      </c>
      <c r="Q137" s="332">
        <f>IFERROR(VLOOKUP(TEXT(O137,"0"),CONDUCTORES!$A$3:$H$54,6,0),"")</f>
        <v/>
      </c>
      <c r="R137" s="334" t="n"/>
      <c r="S137" s="334" t="n"/>
      <c r="T137" s="334" t="n"/>
      <c r="U137" s="334" t="n"/>
      <c r="V137" s="334" t="n"/>
      <c r="W137" s="334" t="n"/>
      <c r="X137" s="334" t="n"/>
      <c r="Y137" s="334" t="n"/>
      <c r="Z137" s="375">
        <f>IF(AND(G137&lt;&gt;"",R137&lt;&gt;"",V137&lt;&gt;"",W137&lt;&gt;""),"COMPLETADO","OBSERVADO")</f>
        <v/>
      </c>
    </row>
    <row r="138" ht="15" customHeight="1" s="195">
      <c r="A138" s="280" t="n"/>
      <c r="B138" s="280" t="n"/>
      <c r="C138" s="280" t="n"/>
      <c r="D138" s="280" t="n"/>
      <c r="E138" s="280" t="n"/>
      <c r="F138" s="280" t="n"/>
      <c r="G138" s="280" t="n"/>
      <c r="H138" s="280" t="n"/>
      <c r="I138" s="332">
        <f>IFERROR(VLOOKUP(TEXT(H138,"0"),IPRESS!$A$3:$B$212,2,0),"")</f>
        <v/>
      </c>
      <c r="J138" s="280" t="n"/>
      <c r="K138" s="332">
        <f>IFERROR(VLOOKUP(TEXT(O138,"0"),CONDUCTORES!$A$3:$G$54,7,0),"")</f>
        <v/>
      </c>
      <c r="L138" s="280" t="n"/>
      <c r="M138" s="280" t="n"/>
      <c r="N138" s="333">
        <f>IFERROR(IF(L138*M138=0,"",L138*M138),"")</f>
        <v/>
      </c>
      <c r="O138" s="280" t="n"/>
      <c r="P138" s="332">
        <f>IFERROR(VLOOKUP(TEXT(O138,"0"),CONDUCTORES!$A$3:$G$54,2,0),"")</f>
        <v/>
      </c>
      <c r="Q138" s="332">
        <f>IFERROR(VLOOKUP(TEXT(O138,"0"),CONDUCTORES!$A$3:$H$54,6,0),"")</f>
        <v/>
      </c>
      <c r="R138" s="280" t="n"/>
      <c r="S138" s="280" t="n"/>
      <c r="T138" s="280" t="n"/>
      <c r="U138" s="280" t="n"/>
      <c r="V138" s="280" t="n"/>
      <c r="W138" s="280" t="n"/>
      <c r="X138" s="280" t="n"/>
      <c r="Y138" s="280" t="n"/>
      <c r="Z138" s="375">
        <f>IF(AND(G138&lt;&gt;"",R138&lt;&gt;"",V138&lt;&gt;"",W138&lt;&gt;""),"COMPLETADO","OBSERVADO")</f>
        <v/>
      </c>
    </row>
    <row r="139" ht="15" customHeight="1" s="195">
      <c r="A139" s="334" t="n"/>
      <c r="B139" s="334" t="n"/>
      <c r="C139" s="334" t="n"/>
      <c r="D139" s="334" t="n"/>
      <c r="E139" s="334" t="n"/>
      <c r="F139" s="334" t="n"/>
      <c r="G139" s="334" t="n"/>
      <c r="H139" s="334" t="n"/>
      <c r="I139" s="332">
        <f>IFERROR(VLOOKUP(TEXT(H139,"0"),IPRESS!$A$3:$B$212,2,0),"")</f>
        <v/>
      </c>
      <c r="J139" s="334" t="n"/>
      <c r="K139" s="332">
        <f>IFERROR(VLOOKUP(TEXT(O139,"0"),CONDUCTORES!$A$3:$G$54,7,0),"")</f>
        <v/>
      </c>
      <c r="L139" s="334" t="n"/>
      <c r="M139" s="334" t="n"/>
      <c r="N139" s="333">
        <f>IFERROR(IF(L139*M139=0,"",L139*M139),"")</f>
        <v/>
      </c>
      <c r="O139" s="334" t="n"/>
      <c r="P139" s="332">
        <f>IFERROR(VLOOKUP(TEXT(O139,"0"),CONDUCTORES!$A$3:$G$54,2,0),"")</f>
        <v/>
      </c>
      <c r="Q139" s="332">
        <f>IFERROR(VLOOKUP(TEXT(O139,"0"),CONDUCTORES!$A$3:$H$54,6,0),"")</f>
        <v/>
      </c>
      <c r="R139" s="334" t="n"/>
      <c r="S139" s="334" t="n"/>
      <c r="T139" s="334" t="n"/>
      <c r="U139" s="334" t="n"/>
      <c r="V139" s="334" t="n"/>
      <c r="W139" s="334" t="n"/>
      <c r="X139" s="334" t="n"/>
      <c r="Y139" s="334" t="n"/>
      <c r="Z139" s="375">
        <f>IF(AND(G139&lt;&gt;"",R139&lt;&gt;"",V139&lt;&gt;"",W139&lt;&gt;""),"COMPLETADO","OBSERVADO")</f>
        <v/>
      </c>
    </row>
    <row r="140" ht="15" customHeight="1" s="195">
      <c r="A140" s="280" t="n"/>
      <c r="B140" s="280" t="n"/>
      <c r="C140" s="280" t="n"/>
      <c r="D140" s="280" t="n"/>
      <c r="E140" s="280" t="n"/>
      <c r="F140" s="280" t="n"/>
      <c r="G140" s="280" t="n"/>
      <c r="H140" s="280" t="n"/>
      <c r="I140" s="332">
        <f>IFERROR(VLOOKUP(TEXT(H140,"0"),IPRESS!$A$3:$B$212,2,0),"")</f>
        <v/>
      </c>
      <c r="J140" s="280" t="n"/>
      <c r="K140" s="332">
        <f>IFERROR(VLOOKUP(TEXT(O140,"0"),CONDUCTORES!$A$3:$G$54,7,0),"")</f>
        <v/>
      </c>
      <c r="L140" s="280" t="n"/>
      <c r="M140" s="280" t="n"/>
      <c r="N140" s="333">
        <f>IFERROR(IF(L140*M140=0,"",L140*M140),"")</f>
        <v/>
      </c>
      <c r="O140" s="280" t="n"/>
      <c r="P140" s="332">
        <f>IFERROR(VLOOKUP(TEXT(O140,"0"),CONDUCTORES!$A$3:$G$54,2,0),"")</f>
        <v/>
      </c>
      <c r="Q140" s="332">
        <f>IFERROR(VLOOKUP(TEXT(O140,"0"),CONDUCTORES!$A$3:$H$54,6,0),"")</f>
        <v/>
      </c>
      <c r="R140" s="280" t="n"/>
      <c r="S140" s="280" t="n"/>
      <c r="T140" s="280" t="n"/>
      <c r="U140" s="280" t="n"/>
      <c r="V140" s="280" t="n"/>
      <c r="W140" s="280" t="n"/>
      <c r="X140" s="280" t="n"/>
      <c r="Y140" s="280" t="n"/>
      <c r="Z140" s="375">
        <f>IF(AND(G140&lt;&gt;"",R140&lt;&gt;"",V140&lt;&gt;"",W140&lt;&gt;""),"COMPLETADO","OBSERVADO")</f>
        <v/>
      </c>
    </row>
    <row r="141" ht="15" customHeight="1" s="195">
      <c r="A141" s="334" t="n"/>
      <c r="B141" s="334" t="n"/>
      <c r="C141" s="334" t="n"/>
      <c r="D141" s="334" t="n"/>
      <c r="E141" s="334" t="n"/>
      <c r="F141" s="334" t="n"/>
      <c r="G141" s="334" t="n"/>
      <c r="H141" s="334" t="n"/>
      <c r="I141" s="332">
        <f>IFERROR(VLOOKUP(TEXT(H141,"0"),IPRESS!$A$3:$B$212,2,0),"")</f>
        <v/>
      </c>
      <c r="J141" s="334" t="n"/>
      <c r="K141" s="332">
        <f>IFERROR(VLOOKUP(TEXT(O141,"0"),CONDUCTORES!$A$3:$G$54,7,0),"")</f>
        <v/>
      </c>
      <c r="L141" s="334" t="n"/>
      <c r="M141" s="334" t="n"/>
      <c r="N141" s="333">
        <f>IFERROR(IF(L141*M141=0,"",L141*M141),"")</f>
        <v/>
      </c>
      <c r="O141" s="334" t="n"/>
      <c r="P141" s="332">
        <f>IFERROR(VLOOKUP(TEXT(O141,"0"),CONDUCTORES!$A$3:$G$54,2,0),"")</f>
        <v/>
      </c>
      <c r="Q141" s="332">
        <f>IFERROR(VLOOKUP(TEXT(O141,"0"),CONDUCTORES!$A$3:$H$54,6,0),"")</f>
        <v/>
      </c>
      <c r="R141" s="334" t="n"/>
      <c r="S141" s="334" t="n"/>
      <c r="T141" s="334" t="n"/>
      <c r="U141" s="334" t="n"/>
      <c r="V141" s="334" t="n"/>
      <c r="W141" s="334" t="n"/>
      <c r="X141" s="334" t="n"/>
      <c r="Y141" s="334" t="n"/>
      <c r="Z141" s="375">
        <f>IF(AND(G141&lt;&gt;"",R141&lt;&gt;"",V141&lt;&gt;"",W141&lt;&gt;""),"COMPLETADO","OBSERVADO")</f>
        <v/>
      </c>
    </row>
    <row r="142" ht="15" customHeight="1" s="195">
      <c r="A142" s="280" t="n"/>
      <c r="B142" s="280" t="n"/>
      <c r="C142" s="280" t="n"/>
      <c r="D142" s="280" t="n"/>
      <c r="E142" s="280" t="n"/>
      <c r="F142" s="280" t="n"/>
      <c r="G142" s="280" t="n"/>
      <c r="H142" s="280" t="n"/>
      <c r="I142" s="332">
        <f>IFERROR(VLOOKUP(TEXT(H142,"0"),IPRESS!$A$3:$B$212,2,0),"")</f>
        <v/>
      </c>
      <c r="J142" s="280" t="n"/>
      <c r="K142" s="332">
        <f>IFERROR(VLOOKUP(TEXT(O142,"0"),CONDUCTORES!$A$3:$G$54,7,0),"")</f>
        <v/>
      </c>
      <c r="L142" s="280" t="n"/>
      <c r="M142" s="280" t="n"/>
      <c r="N142" s="333">
        <f>IFERROR(IF(L142*M142=0,"",L142*M142),"")</f>
        <v/>
      </c>
      <c r="O142" s="280" t="n"/>
      <c r="P142" s="332">
        <f>IFERROR(VLOOKUP(TEXT(O142,"0"),CONDUCTORES!$A$3:$G$54,2,0),"")</f>
        <v/>
      </c>
      <c r="Q142" s="332">
        <f>IFERROR(VLOOKUP(TEXT(O142,"0"),CONDUCTORES!$A$3:$H$54,6,0),"")</f>
        <v/>
      </c>
      <c r="R142" s="280" t="n"/>
      <c r="S142" s="280" t="n"/>
      <c r="T142" s="280" t="n"/>
      <c r="U142" s="280" t="n"/>
      <c r="V142" s="280" t="n"/>
      <c r="W142" s="280" t="n"/>
      <c r="X142" s="280" t="n"/>
      <c r="Y142" s="280" t="n"/>
      <c r="Z142" s="375">
        <f>IF(AND(G142&lt;&gt;"",R142&lt;&gt;"",V142&lt;&gt;"",W142&lt;&gt;""),"COMPLETADO","OBSERVADO")</f>
        <v/>
      </c>
    </row>
    <row r="143" ht="15" customHeight="1" s="195">
      <c r="A143" s="334" t="n"/>
      <c r="B143" s="334" t="n"/>
      <c r="C143" s="334" t="n"/>
      <c r="D143" s="334" t="n"/>
      <c r="E143" s="334" t="n"/>
      <c r="F143" s="334" t="n"/>
      <c r="G143" s="334" t="n"/>
      <c r="H143" s="334" t="n"/>
      <c r="I143" s="332">
        <f>IFERROR(VLOOKUP(TEXT(H143,"0"),IPRESS!$A$3:$B$212,2,0),"")</f>
        <v/>
      </c>
      <c r="J143" s="334" t="n"/>
      <c r="K143" s="332">
        <f>IFERROR(VLOOKUP(TEXT(O143,"0"),CONDUCTORES!$A$3:$G$54,7,0),"")</f>
        <v/>
      </c>
      <c r="L143" s="334" t="n"/>
      <c r="M143" s="334" t="n"/>
      <c r="N143" s="333">
        <f>IFERROR(IF(L143*M143=0,"",L143*M143),"")</f>
        <v/>
      </c>
      <c r="O143" s="334" t="n"/>
      <c r="P143" s="332">
        <f>IFERROR(VLOOKUP(TEXT(O143,"0"),CONDUCTORES!$A$3:$G$54,2,0),"")</f>
        <v/>
      </c>
      <c r="Q143" s="332">
        <f>IFERROR(VLOOKUP(TEXT(O143,"0"),CONDUCTORES!$A$3:$H$54,6,0),"")</f>
        <v/>
      </c>
      <c r="R143" s="334" t="n"/>
      <c r="S143" s="334" t="n"/>
      <c r="T143" s="334" t="n"/>
      <c r="U143" s="334" t="n"/>
      <c r="V143" s="334" t="n"/>
      <c r="W143" s="334" t="n"/>
      <c r="X143" s="334" t="n"/>
      <c r="Y143" s="334" t="n"/>
      <c r="Z143" s="375">
        <f>IF(AND(G143&lt;&gt;"",R143&lt;&gt;"",V143&lt;&gt;"",W143&lt;&gt;""),"COMPLETADO","OBSERVADO")</f>
        <v/>
      </c>
    </row>
    <row r="144" ht="15" customHeight="1" s="195">
      <c r="A144" s="280" t="n"/>
      <c r="B144" s="280" t="n"/>
      <c r="C144" s="280" t="n"/>
      <c r="D144" s="280" t="n"/>
      <c r="E144" s="280" t="n"/>
      <c r="F144" s="280" t="n"/>
      <c r="G144" s="280" t="n"/>
      <c r="H144" s="280" t="n"/>
      <c r="I144" s="332">
        <f>IFERROR(VLOOKUP(TEXT(H144,"0"),IPRESS!$A$3:$B$212,2,0),"")</f>
        <v/>
      </c>
      <c r="J144" s="280" t="n"/>
      <c r="K144" s="332">
        <f>IFERROR(VLOOKUP(TEXT(O144,"0"),CONDUCTORES!$A$3:$G$54,7,0),"")</f>
        <v/>
      </c>
      <c r="L144" s="280" t="n"/>
      <c r="M144" s="280" t="n"/>
      <c r="N144" s="333">
        <f>IFERROR(IF(L144*M144=0,"",L144*M144),"")</f>
        <v/>
      </c>
      <c r="O144" s="280" t="n"/>
      <c r="P144" s="332">
        <f>IFERROR(VLOOKUP(TEXT(O144,"0"),CONDUCTORES!$A$3:$G$54,2,0),"")</f>
        <v/>
      </c>
      <c r="Q144" s="332">
        <f>IFERROR(VLOOKUP(TEXT(O144,"0"),CONDUCTORES!$A$3:$H$54,6,0),"")</f>
        <v/>
      </c>
      <c r="R144" s="280" t="n"/>
      <c r="S144" s="280" t="n"/>
      <c r="T144" s="280" t="n"/>
      <c r="U144" s="280" t="n"/>
      <c r="V144" s="280" t="n"/>
      <c r="W144" s="280" t="n"/>
      <c r="X144" s="280" t="n"/>
      <c r="Y144" s="280" t="n"/>
      <c r="Z144" s="375">
        <f>IF(AND(G144&lt;&gt;"",R144&lt;&gt;"",V144&lt;&gt;"",W144&lt;&gt;""),"COMPLETADO","OBSERVADO")</f>
        <v/>
      </c>
    </row>
    <row r="145" ht="15" customHeight="1" s="195">
      <c r="A145" s="334" t="n"/>
      <c r="B145" s="334" t="n"/>
      <c r="C145" s="334" t="n"/>
      <c r="D145" s="334" t="n"/>
      <c r="E145" s="334" t="n"/>
      <c r="F145" s="334" t="n"/>
      <c r="G145" s="334" t="n"/>
      <c r="H145" s="334" t="n"/>
      <c r="I145" s="332">
        <f>IFERROR(VLOOKUP(TEXT(H145,"0"),IPRESS!$A$3:$B$212,2,0),"")</f>
        <v/>
      </c>
      <c r="J145" s="334" t="n"/>
      <c r="K145" s="332">
        <f>IFERROR(VLOOKUP(TEXT(O145,"0"),CONDUCTORES!$A$3:$G$54,7,0),"")</f>
        <v/>
      </c>
      <c r="L145" s="334" t="n"/>
      <c r="M145" s="334" t="n"/>
      <c r="N145" s="333">
        <f>IFERROR(IF(L145*M145=0,"",L145*M145),"")</f>
        <v/>
      </c>
      <c r="O145" s="334" t="n"/>
      <c r="P145" s="332">
        <f>IFERROR(VLOOKUP(TEXT(O145,"0"),CONDUCTORES!$A$3:$G$54,2,0),"")</f>
        <v/>
      </c>
      <c r="Q145" s="332">
        <f>IFERROR(VLOOKUP(TEXT(O145,"0"),CONDUCTORES!$A$3:$H$54,6,0),"")</f>
        <v/>
      </c>
      <c r="R145" s="334" t="n"/>
      <c r="S145" s="334" t="n"/>
      <c r="T145" s="334" t="n"/>
      <c r="U145" s="334" t="n"/>
      <c r="V145" s="334" t="n"/>
      <c r="W145" s="334" t="n"/>
      <c r="X145" s="334" t="n"/>
      <c r="Y145" s="334" t="n"/>
      <c r="Z145" s="375">
        <f>IF(AND(G145&lt;&gt;"",R145&lt;&gt;"",V145&lt;&gt;"",W145&lt;&gt;""),"COMPLETADO","OBSERVADO")</f>
        <v/>
      </c>
    </row>
    <row r="146" ht="15" customHeight="1" s="195">
      <c r="A146" s="280" t="n"/>
      <c r="B146" s="280" t="n"/>
      <c r="C146" s="280" t="n"/>
      <c r="D146" s="280" t="n"/>
      <c r="E146" s="280" t="n"/>
      <c r="F146" s="280" t="n"/>
      <c r="G146" s="280" t="n"/>
      <c r="H146" s="280" t="n"/>
      <c r="I146" s="332">
        <f>IFERROR(VLOOKUP(TEXT(H146,"0"),IPRESS!$A$3:$B$212,2,0),"")</f>
        <v/>
      </c>
      <c r="J146" s="280" t="n"/>
      <c r="K146" s="332">
        <f>IFERROR(VLOOKUP(TEXT(O146,"0"),CONDUCTORES!$A$3:$G$54,7,0),"")</f>
        <v/>
      </c>
      <c r="L146" s="280" t="n"/>
      <c r="M146" s="280" t="n"/>
      <c r="N146" s="333">
        <f>IFERROR(IF(L146*M146=0,"",L146*M146),"")</f>
        <v/>
      </c>
      <c r="O146" s="280" t="n"/>
      <c r="P146" s="332">
        <f>IFERROR(VLOOKUP(TEXT(O146,"0"),CONDUCTORES!$A$3:$G$54,2,0),"")</f>
        <v/>
      </c>
      <c r="Q146" s="332">
        <f>IFERROR(VLOOKUP(TEXT(O146,"0"),CONDUCTORES!$A$3:$H$54,6,0),"")</f>
        <v/>
      </c>
      <c r="R146" s="280" t="n"/>
      <c r="S146" s="280" t="n"/>
      <c r="T146" s="280" t="n"/>
      <c r="U146" s="280" t="n"/>
      <c r="V146" s="280" t="n"/>
      <c r="W146" s="280" t="n"/>
      <c r="X146" s="280" t="n"/>
      <c r="Y146" s="280" t="n"/>
      <c r="Z146" s="375">
        <f>IF(AND(G146&lt;&gt;"",R146&lt;&gt;"",V146&lt;&gt;"",W146&lt;&gt;""),"COMPLETADO","OBSERVADO")</f>
        <v/>
      </c>
    </row>
    <row r="147" ht="15" customHeight="1" s="195">
      <c r="A147" s="334" t="n"/>
      <c r="B147" s="334" t="n"/>
      <c r="C147" s="334" t="n"/>
      <c r="D147" s="334" t="n"/>
      <c r="E147" s="334" t="n"/>
      <c r="F147" s="334" t="n"/>
      <c r="G147" s="334" t="n"/>
      <c r="H147" s="334" t="n"/>
      <c r="I147" s="332">
        <f>IFERROR(VLOOKUP(TEXT(H147,"0"),IPRESS!$A$3:$B$212,2,0),"")</f>
        <v/>
      </c>
      <c r="J147" s="334" t="n"/>
      <c r="K147" s="332">
        <f>IFERROR(VLOOKUP(TEXT(O147,"0"),CONDUCTORES!$A$3:$G$54,7,0),"")</f>
        <v/>
      </c>
      <c r="L147" s="334" t="n"/>
      <c r="M147" s="334" t="n"/>
      <c r="N147" s="333">
        <f>IFERROR(IF(L147*M147=0,"",L147*M147),"")</f>
        <v/>
      </c>
      <c r="O147" s="334" t="n"/>
      <c r="P147" s="332">
        <f>IFERROR(VLOOKUP(TEXT(O147,"0"),CONDUCTORES!$A$3:$G$54,2,0),"")</f>
        <v/>
      </c>
      <c r="Q147" s="332">
        <f>IFERROR(VLOOKUP(TEXT(O147,"0"),CONDUCTORES!$A$3:$H$54,6,0),"")</f>
        <v/>
      </c>
      <c r="R147" s="334" t="n"/>
      <c r="S147" s="334" t="n"/>
      <c r="T147" s="334" t="n"/>
      <c r="U147" s="334" t="n"/>
      <c r="V147" s="334" t="n"/>
      <c r="W147" s="334" t="n"/>
      <c r="X147" s="334" t="n"/>
      <c r="Y147" s="334" t="n"/>
      <c r="Z147" s="375">
        <f>IF(AND(G147&lt;&gt;"",R147&lt;&gt;"",V147&lt;&gt;"",W147&lt;&gt;""),"COMPLETADO","OBSERVADO")</f>
        <v/>
      </c>
    </row>
    <row r="148" ht="15" customHeight="1" s="195">
      <c r="A148" s="280" t="n"/>
      <c r="B148" s="280" t="n"/>
      <c r="C148" s="280" t="n"/>
      <c r="D148" s="280" t="n"/>
      <c r="E148" s="280" t="n"/>
      <c r="F148" s="280" t="n"/>
      <c r="G148" s="280" t="n"/>
      <c r="H148" s="280" t="n"/>
      <c r="I148" s="332">
        <f>IFERROR(VLOOKUP(TEXT(H148,"0"),IPRESS!$A$3:$B$212,2,0),"")</f>
        <v/>
      </c>
      <c r="J148" s="280" t="n"/>
      <c r="K148" s="332">
        <f>IFERROR(VLOOKUP(TEXT(O148,"0"),CONDUCTORES!$A$3:$G$54,7,0),"")</f>
        <v/>
      </c>
      <c r="L148" s="280" t="n"/>
      <c r="M148" s="280" t="n"/>
      <c r="N148" s="333">
        <f>IFERROR(IF(L148*M148=0,"",L148*M148),"")</f>
        <v/>
      </c>
      <c r="O148" s="280" t="n"/>
      <c r="P148" s="332">
        <f>IFERROR(VLOOKUP(TEXT(O148,"0"),CONDUCTORES!$A$3:$G$54,2,0),"")</f>
        <v/>
      </c>
      <c r="Q148" s="332">
        <f>IFERROR(VLOOKUP(TEXT(O148,"0"),CONDUCTORES!$A$3:$H$54,6,0),"")</f>
        <v/>
      </c>
      <c r="R148" s="280" t="n"/>
      <c r="S148" s="280" t="n"/>
      <c r="T148" s="280" t="n"/>
      <c r="U148" s="280" t="n"/>
      <c r="V148" s="280" t="n"/>
      <c r="W148" s="280" t="n"/>
      <c r="X148" s="280" t="n"/>
      <c r="Y148" s="280" t="n"/>
      <c r="Z148" s="375">
        <f>IF(AND(G148&lt;&gt;"",R148&lt;&gt;"",V148&lt;&gt;"",W148&lt;&gt;""),"COMPLETADO","OBSERVADO")</f>
        <v/>
      </c>
    </row>
    <row r="149" ht="15" customHeight="1" s="195">
      <c r="A149" s="334" t="n"/>
      <c r="B149" s="334" t="n"/>
      <c r="C149" s="334" t="n"/>
      <c r="D149" s="334" t="n"/>
      <c r="E149" s="334" t="n"/>
      <c r="F149" s="334" t="n"/>
      <c r="G149" s="334" t="n"/>
      <c r="H149" s="334" t="n"/>
      <c r="I149" s="332">
        <f>IFERROR(VLOOKUP(TEXT(H149,"0"),IPRESS!$A$3:$B$212,2,0),"")</f>
        <v/>
      </c>
      <c r="J149" s="334" t="n"/>
      <c r="K149" s="332">
        <f>IFERROR(VLOOKUP(TEXT(O149,"0"),CONDUCTORES!$A$3:$G$54,7,0),"")</f>
        <v/>
      </c>
      <c r="L149" s="334" t="n"/>
      <c r="M149" s="334" t="n"/>
      <c r="N149" s="333">
        <f>IFERROR(IF(L149*M149=0,"",L149*M149),"")</f>
        <v/>
      </c>
      <c r="O149" s="334" t="n"/>
      <c r="P149" s="332">
        <f>IFERROR(VLOOKUP(TEXT(O149,"0"),CONDUCTORES!$A$3:$G$54,2,0),"")</f>
        <v/>
      </c>
      <c r="Q149" s="332">
        <f>IFERROR(VLOOKUP(TEXT(O149,"0"),CONDUCTORES!$A$3:$H$54,6,0),"")</f>
        <v/>
      </c>
      <c r="R149" s="334" t="n"/>
      <c r="S149" s="334" t="n"/>
      <c r="T149" s="334" t="n"/>
      <c r="U149" s="334" t="n"/>
      <c r="V149" s="334" t="n"/>
      <c r="W149" s="334" t="n"/>
      <c r="X149" s="334" t="n"/>
      <c r="Y149" s="334" t="n"/>
      <c r="Z149" s="375">
        <f>IF(AND(G149&lt;&gt;"",R149&lt;&gt;"",V149&lt;&gt;"",W149&lt;&gt;""),"COMPLETADO","OBSERVADO")</f>
        <v/>
      </c>
    </row>
    <row r="150" ht="15" customHeight="1" s="195">
      <c r="A150" s="280" t="n"/>
      <c r="B150" s="280" t="n"/>
      <c r="C150" s="280" t="n"/>
      <c r="D150" s="280" t="n"/>
      <c r="E150" s="280" t="n"/>
      <c r="F150" s="280" t="n"/>
      <c r="G150" s="280" t="n"/>
      <c r="H150" s="280" t="n"/>
      <c r="I150" s="332">
        <f>IFERROR(VLOOKUP(TEXT(H150,"0"),IPRESS!$A$3:$B$212,2,0),"")</f>
        <v/>
      </c>
      <c r="J150" s="280" t="n"/>
      <c r="K150" s="332">
        <f>IFERROR(VLOOKUP(TEXT(O150,"0"),CONDUCTORES!$A$3:$G$54,7,0),"")</f>
        <v/>
      </c>
      <c r="L150" s="280" t="n"/>
      <c r="M150" s="280" t="n"/>
      <c r="N150" s="333">
        <f>IFERROR(IF(L150*M150=0,"",L150*M150),"")</f>
        <v/>
      </c>
      <c r="O150" s="280" t="n"/>
      <c r="P150" s="332">
        <f>IFERROR(VLOOKUP(TEXT(O150,"0"),CONDUCTORES!$A$3:$G$54,2,0),"")</f>
        <v/>
      </c>
      <c r="Q150" s="332">
        <f>IFERROR(VLOOKUP(TEXT(O150,"0"),CONDUCTORES!$A$3:$H$54,6,0),"")</f>
        <v/>
      </c>
      <c r="R150" s="280" t="n"/>
      <c r="S150" s="280" t="n"/>
      <c r="T150" s="280" t="n"/>
      <c r="U150" s="280" t="n"/>
      <c r="V150" s="280" t="n"/>
      <c r="W150" s="280" t="n"/>
      <c r="X150" s="280" t="n"/>
      <c r="Y150" s="280" t="n"/>
      <c r="Z150" s="375">
        <f>IF(AND(G150&lt;&gt;"",R150&lt;&gt;"",V150&lt;&gt;"",W150&lt;&gt;""),"COMPLETADO","OBSERVADO")</f>
        <v/>
      </c>
    </row>
    <row r="151" ht="15" customHeight="1" s="195">
      <c r="A151" s="334" t="n"/>
      <c r="B151" s="334" t="n"/>
      <c r="C151" s="334" t="n"/>
      <c r="D151" s="334" t="n"/>
      <c r="E151" s="334" t="n"/>
      <c r="F151" s="334" t="n"/>
      <c r="G151" s="334" t="n"/>
      <c r="H151" s="334" t="n"/>
      <c r="I151" s="332">
        <f>IFERROR(VLOOKUP(TEXT(H151,"0"),IPRESS!$A$3:$B$212,2,0),"")</f>
        <v/>
      </c>
      <c r="J151" s="334" t="n"/>
      <c r="K151" s="332">
        <f>IFERROR(VLOOKUP(TEXT(O151,"0"),CONDUCTORES!$A$3:$G$54,7,0),"")</f>
        <v/>
      </c>
      <c r="L151" s="334" t="n"/>
      <c r="M151" s="334" t="n"/>
      <c r="N151" s="333">
        <f>IFERROR(IF(L151*M151=0,"",L151*M151),"")</f>
        <v/>
      </c>
      <c r="O151" s="334" t="n"/>
      <c r="P151" s="332">
        <f>IFERROR(VLOOKUP(TEXT(O151,"0"),CONDUCTORES!$A$3:$G$54,2,0),"")</f>
        <v/>
      </c>
      <c r="Q151" s="332">
        <f>IFERROR(VLOOKUP(TEXT(O151,"0"),CONDUCTORES!$A$3:$H$54,6,0),"")</f>
        <v/>
      </c>
      <c r="R151" s="334" t="n"/>
      <c r="S151" s="334" t="n"/>
      <c r="T151" s="334" t="n"/>
      <c r="U151" s="334" t="n"/>
      <c r="V151" s="334" t="n"/>
      <c r="W151" s="334" t="n"/>
      <c r="X151" s="334" t="n"/>
      <c r="Y151" s="334" t="n"/>
      <c r="Z151" s="375">
        <f>IF(AND(G151&lt;&gt;"",R151&lt;&gt;"",V151&lt;&gt;"",W151&lt;&gt;""),"COMPLETADO","OBSERVADO")</f>
        <v/>
      </c>
    </row>
    <row r="152" ht="15" customHeight="1" s="195">
      <c r="A152" s="280" t="n"/>
      <c r="B152" s="280" t="n"/>
      <c r="C152" s="280" t="n"/>
      <c r="D152" s="280" t="n"/>
      <c r="E152" s="280" t="n"/>
      <c r="F152" s="280" t="n"/>
      <c r="G152" s="280" t="n"/>
      <c r="H152" s="280" t="n"/>
      <c r="I152" s="332">
        <f>IFERROR(VLOOKUP(TEXT(H152,"0"),IPRESS!$A$3:$B$212,2,0),"")</f>
        <v/>
      </c>
      <c r="J152" s="280" t="n"/>
      <c r="K152" s="332">
        <f>IFERROR(VLOOKUP(TEXT(O152,"0"),CONDUCTORES!$A$3:$G$54,7,0),"")</f>
        <v/>
      </c>
      <c r="L152" s="280" t="n"/>
      <c r="M152" s="280" t="n"/>
      <c r="N152" s="333">
        <f>IFERROR(IF(L152*M152=0,"",L152*M152),"")</f>
        <v/>
      </c>
      <c r="O152" s="280" t="n"/>
      <c r="P152" s="332">
        <f>IFERROR(VLOOKUP(TEXT(O152,"0"),CONDUCTORES!$A$3:$G$54,2,0),"")</f>
        <v/>
      </c>
      <c r="Q152" s="332">
        <f>IFERROR(VLOOKUP(TEXT(O152,"0"),CONDUCTORES!$A$3:$H$54,6,0),"")</f>
        <v/>
      </c>
      <c r="R152" s="280" t="n"/>
      <c r="S152" s="280" t="n"/>
      <c r="T152" s="280" t="n"/>
      <c r="U152" s="280" t="n"/>
      <c r="V152" s="280" t="n"/>
      <c r="W152" s="280" t="n"/>
      <c r="X152" s="280" t="n"/>
      <c r="Y152" s="280" t="n"/>
      <c r="Z152" s="375">
        <f>IF(AND(G152&lt;&gt;"",R152&lt;&gt;"",V152&lt;&gt;"",W152&lt;&gt;""),"COMPLETADO","OBSERVADO")</f>
        <v/>
      </c>
    </row>
    <row r="153" ht="15" customHeight="1" s="195">
      <c r="A153" s="334" t="n"/>
      <c r="B153" s="334" t="n"/>
      <c r="C153" s="334" t="n"/>
      <c r="D153" s="334" t="n"/>
      <c r="E153" s="334" t="n"/>
      <c r="F153" s="334" t="n"/>
      <c r="G153" s="334" t="n"/>
      <c r="H153" s="334" t="n"/>
      <c r="I153" s="332">
        <f>IFERROR(VLOOKUP(TEXT(H153,"0"),IPRESS!$A$3:$B$212,2,0),"")</f>
        <v/>
      </c>
      <c r="J153" s="334" t="n"/>
      <c r="K153" s="332">
        <f>IFERROR(VLOOKUP(TEXT(O153,"0"),CONDUCTORES!$A$3:$G$54,7,0),"")</f>
        <v/>
      </c>
      <c r="L153" s="334" t="n"/>
      <c r="M153" s="334" t="n"/>
      <c r="N153" s="333">
        <f>IFERROR(IF(L153*M153=0,"",L153*M153),"")</f>
        <v/>
      </c>
      <c r="O153" s="334" t="n"/>
      <c r="P153" s="332">
        <f>IFERROR(VLOOKUP(TEXT(O153,"0"),CONDUCTORES!$A$3:$G$54,2,0),"")</f>
        <v/>
      </c>
      <c r="Q153" s="332">
        <f>IFERROR(VLOOKUP(TEXT(O153,"0"),CONDUCTORES!$A$3:$H$54,6,0),"")</f>
        <v/>
      </c>
      <c r="R153" s="334" t="n"/>
      <c r="S153" s="334" t="n"/>
      <c r="T153" s="334" t="n"/>
      <c r="U153" s="334" t="n"/>
      <c r="V153" s="334" t="n"/>
      <c r="W153" s="334" t="n"/>
      <c r="X153" s="334" t="n"/>
      <c r="Y153" s="334" t="n"/>
      <c r="Z153" s="375">
        <f>IF(AND(G153&lt;&gt;"",R153&lt;&gt;"",V153&lt;&gt;"",W153&lt;&gt;""),"COMPLETADO","OBSERVADO")</f>
        <v/>
      </c>
    </row>
    <row r="154" ht="15" customHeight="1" s="195">
      <c r="A154" s="280" t="n"/>
      <c r="B154" s="280" t="n"/>
      <c r="C154" s="280" t="n"/>
      <c r="D154" s="280" t="n"/>
      <c r="E154" s="280" t="n"/>
      <c r="F154" s="280" t="n"/>
      <c r="G154" s="280" t="n"/>
      <c r="H154" s="280" t="n"/>
      <c r="I154" s="332">
        <f>IFERROR(VLOOKUP(TEXT(H154,"0"),IPRESS!$A$3:$B$212,2,0),"")</f>
        <v/>
      </c>
      <c r="J154" s="280" t="n"/>
      <c r="K154" s="332">
        <f>IFERROR(VLOOKUP(TEXT(O154,"0"),CONDUCTORES!$A$3:$G$54,7,0),"")</f>
        <v/>
      </c>
      <c r="L154" s="280" t="n"/>
      <c r="M154" s="280" t="n"/>
      <c r="N154" s="333">
        <f>IFERROR(IF(L154*M154=0,"",L154*M154),"")</f>
        <v/>
      </c>
      <c r="O154" s="280" t="n"/>
      <c r="P154" s="332">
        <f>IFERROR(VLOOKUP(TEXT(O154,"0"),CONDUCTORES!$A$3:$G$54,2,0),"")</f>
        <v/>
      </c>
      <c r="Q154" s="332">
        <f>IFERROR(VLOOKUP(TEXT(O154,"0"),CONDUCTORES!$A$3:$H$54,6,0),"")</f>
        <v/>
      </c>
      <c r="R154" s="280" t="n"/>
      <c r="S154" s="280" t="n"/>
      <c r="T154" s="280" t="n"/>
      <c r="U154" s="280" t="n"/>
      <c r="V154" s="280" t="n"/>
      <c r="W154" s="280" t="n"/>
      <c r="X154" s="280" t="n"/>
      <c r="Y154" s="280" t="n"/>
      <c r="Z154" s="375">
        <f>IF(AND(G154&lt;&gt;"",R154&lt;&gt;"",V154&lt;&gt;"",W154&lt;&gt;""),"COMPLETADO","OBSERVADO")</f>
        <v/>
      </c>
    </row>
    <row r="155" ht="15" customHeight="1" s="195">
      <c r="A155" s="334" t="n"/>
      <c r="B155" s="334" t="n"/>
      <c r="C155" s="334" t="n"/>
      <c r="D155" s="334" t="n"/>
      <c r="E155" s="334" t="n"/>
      <c r="F155" s="334" t="n"/>
      <c r="G155" s="334" t="n"/>
      <c r="H155" s="334" t="n"/>
      <c r="I155" s="332">
        <f>IFERROR(VLOOKUP(TEXT(H155,"0"),IPRESS!$A$3:$B$212,2,0),"")</f>
        <v/>
      </c>
      <c r="J155" s="334" t="n"/>
      <c r="K155" s="332">
        <f>IFERROR(VLOOKUP(TEXT(O155,"0"),CONDUCTORES!$A$3:$G$54,7,0),"")</f>
        <v/>
      </c>
      <c r="L155" s="334" t="n"/>
      <c r="M155" s="334" t="n"/>
      <c r="N155" s="333">
        <f>IFERROR(IF(L155*M155=0,"",L155*M155),"")</f>
        <v/>
      </c>
      <c r="O155" s="334" t="n"/>
      <c r="P155" s="332">
        <f>IFERROR(VLOOKUP(TEXT(O155,"0"),CONDUCTORES!$A$3:$G$54,2,0),"")</f>
        <v/>
      </c>
      <c r="Q155" s="332">
        <f>IFERROR(VLOOKUP(TEXT(O155,"0"),CONDUCTORES!$A$3:$H$54,6,0),"")</f>
        <v/>
      </c>
      <c r="R155" s="334" t="n"/>
      <c r="S155" s="334" t="n"/>
      <c r="T155" s="334" t="n"/>
      <c r="U155" s="334" t="n"/>
      <c r="V155" s="334" t="n"/>
      <c r="W155" s="334" t="n"/>
      <c r="X155" s="334" t="n"/>
      <c r="Y155" s="334" t="n"/>
      <c r="Z155" s="375">
        <f>IF(AND(G155&lt;&gt;"",R155&lt;&gt;"",V155&lt;&gt;"",W155&lt;&gt;""),"COMPLETADO","OBSERVADO")</f>
        <v/>
      </c>
    </row>
    <row r="156" ht="15" customHeight="1" s="195">
      <c r="A156" s="280" t="n"/>
      <c r="B156" s="280" t="n"/>
      <c r="C156" s="280" t="n"/>
      <c r="D156" s="280" t="n"/>
      <c r="E156" s="280" t="n"/>
      <c r="F156" s="280" t="n"/>
      <c r="G156" s="280" t="n"/>
      <c r="H156" s="280" t="n"/>
      <c r="I156" s="332">
        <f>IFERROR(VLOOKUP(TEXT(H156,"0"),IPRESS!$A$3:$B$212,2,0),"")</f>
        <v/>
      </c>
      <c r="J156" s="280" t="n"/>
      <c r="K156" s="332">
        <f>IFERROR(VLOOKUP(TEXT(O156,"0"),CONDUCTORES!$A$3:$G$54,7,0),"")</f>
        <v/>
      </c>
      <c r="L156" s="280" t="n"/>
      <c r="M156" s="280" t="n"/>
      <c r="N156" s="333">
        <f>IFERROR(IF(L156*M156=0,"",L156*M156),"")</f>
        <v/>
      </c>
      <c r="O156" s="280" t="n"/>
      <c r="P156" s="332">
        <f>IFERROR(VLOOKUP(TEXT(O156,"0"),CONDUCTORES!$A$3:$G$54,2,0),"")</f>
        <v/>
      </c>
      <c r="Q156" s="332">
        <f>IFERROR(VLOOKUP(TEXT(O156,"0"),CONDUCTORES!$A$3:$H$54,6,0),"")</f>
        <v/>
      </c>
      <c r="R156" s="280" t="n"/>
      <c r="S156" s="280" t="n"/>
      <c r="T156" s="280" t="n"/>
      <c r="U156" s="280" t="n"/>
      <c r="V156" s="280" t="n"/>
      <c r="W156" s="280" t="n"/>
      <c r="X156" s="280" t="n"/>
      <c r="Y156" s="280" t="n"/>
      <c r="Z156" s="375">
        <f>IF(AND(G156&lt;&gt;"",R156&lt;&gt;"",V156&lt;&gt;"",W156&lt;&gt;""),"COMPLETADO","OBSERVADO")</f>
        <v/>
      </c>
    </row>
    <row r="157" ht="15" customHeight="1" s="195">
      <c r="A157" s="334" t="n"/>
      <c r="B157" s="334" t="n"/>
      <c r="C157" s="334" t="n"/>
      <c r="D157" s="334" t="n"/>
      <c r="E157" s="334" t="n"/>
      <c r="F157" s="334" t="n"/>
      <c r="G157" s="334" t="n"/>
      <c r="H157" s="334" t="n"/>
      <c r="I157" s="332">
        <f>IFERROR(VLOOKUP(TEXT(H157,"0"),IPRESS!$A$3:$B$212,2,0),"")</f>
        <v/>
      </c>
      <c r="J157" s="334" t="n"/>
      <c r="K157" s="332">
        <f>IFERROR(VLOOKUP(TEXT(O157,"0"),CONDUCTORES!$A$3:$G$54,7,0),"")</f>
        <v/>
      </c>
      <c r="L157" s="334" t="n"/>
      <c r="M157" s="334" t="n"/>
      <c r="N157" s="333">
        <f>IFERROR(IF(L157*M157=0,"",L157*M157),"")</f>
        <v/>
      </c>
      <c r="O157" s="334" t="n"/>
      <c r="P157" s="332">
        <f>IFERROR(VLOOKUP(TEXT(O157,"0"),CONDUCTORES!$A$3:$G$54,2,0),"")</f>
        <v/>
      </c>
      <c r="Q157" s="332">
        <f>IFERROR(VLOOKUP(TEXT(O157,"0"),CONDUCTORES!$A$3:$H$54,6,0),"")</f>
        <v/>
      </c>
      <c r="R157" s="334" t="n"/>
      <c r="S157" s="334" t="n"/>
      <c r="T157" s="334" t="n"/>
      <c r="U157" s="334" t="n"/>
      <c r="V157" s="334" t="n"/>
      <c r="W157" s="334" t="n"/>
      <c r="X157" s="334" t="n"/>
      <c r="Y157" s="334" t="n"/>
      <c r="Z157" s="375">
        <f>IF(AND(G157&lt;&gt;"",R157&lt;&gt;"",V157&lt;&gt;"",W157&lt;&gt;""),"COMPLETADO","OBSERVADO")</f>
        <v/>
      </c>
    </row>
    <row r="158" ht="15" customHeight="1" s="195">
      <c r="A158" s="280" t="n"/>
      <c r="B158" s="280" t="n"/>
      <c r="C158" s="280" t="n"/>
      <c r="D158" s="280" t="n"/>
      <c r="E158" s="280" t="n"/>
      <c r="F158" s="280" t="n"/>
      <c r="G158" s="280" t="n"/>
      <c r="H158" s="280" t="n"/>
      <c r="I158" s="332">
        <f>IFERROR(VLOOKUP(TEXT(H158,"0"),IPRESS!$A$3:$B$212,2,0),"")</f>
        <v/>
      </c>
      <c r="J158" s="280" t="n"/>
      <c r="K158" s="332">
        <f>IFERROR(VLOOKUP(TEXT(O158,"0"),CONDUCTORES!$A$3:$G$54,7,0),"")</f>
        <v/>
      </c>
      <c r="L158" s="280" t="n"/>
      <c r="M158" s="280" t="n"/>
      <c r="N158" s="333">
        <f>IFERROR(IF(L158*M158=0,"",L158*M158),"")</f>
        <v/>
      </c>
      <c r="O158" s="280" t="n"/>
      <c r="P158" s="332">
        <f>IFERROR(VLOOKUP(TEXT(O158,"0"),CONDUCTORES!$A$3:$G$54,2,0),"")</f>
        <v/>
      </c>
      <c r="Q158" s="332">
        <f>IFERROR(VLOOKUP(TEXT(O158,"0"),CONDUCTORES!$A$3:$H$54,6,0),"")</f>
        <v/>
      </c>
      <c r="R158" s="280" t="n"/>
      <c r="S158" s="280" t="n"/>
      <c r="T158" s="280" t="n"/>
      <c r="U158" s="280" t="n"/>
      <c r="V158" s="280" t="n"/>
      <c r="W158" s="280" t="n"/>
      <c r="X158" s="280" t="n"/>
      <c r="Y158" s="280" t="n"/>
      <c r="Z158" s="375">
        <f>IF(AND(G158&lt;&gt;"",R158&lt;&gt;"",V158&lt;&gt;"",W158&lt;&gt;""),"COMPLETADO","OBSERVADO")</f>
        <v/>
      </c>
    </row>
    <row r="159" ht="15" customHeight="1" s="195">
      <c r="A159" s="334" t="n"/>
      <c r="B159" s="334" t="n"/>
      <c r="C159" s="334" t="n"/>
      <c r="D159" s="334" t="n"/>
      <c r="E159" s="334" t="n"/>
      <c r="F159" s="334" t="n"/>
      <c r="G159" s="334" t="n"/>
      <c r="H159" s="334" t="n"/>
      <c r="I159" s="332">
        <f>IFERROR(VLOOKUP(TEXT(H159,"0"),IPRESS!$A$3:$B$212,2,0),"")</f>
        <v/>
      </c>
      <c r="J159" s="334" t="n"/>
      <c r="K159" s="332">
        <f>IFERROR(VLOOKUP(TEXT(O159,"0"),CONDUCTORES!$A$3:$G$54,7,0),"")</f>
        <v/>
      </c>
      <c r="L159" s="334" t="n"/>
      <c r="M159" s="334" t="n"/>
      <c r="N159" s="333">
        <f>IFERROR(IF(L159*M159=0,"",L159*M159),"")</f>
        <v/>
      </c>
      <c r="O159" s="334" t="n"/>
      <c r="P159" s="332">
        <f>IFERROR(VLOOKUP(TEXT(O159,"0"),CONDUCTORES!$A$3:$G$54,2,0),"")</f>
        <v/>
      </c>
      <c r="Q159" s="332">
        <f>IFERROR(VLOOKUP(TEXT(O159,"0"),CONDUCTORES!$A$3:$H$54,6,0),"")</f>
        <v/>
      </c>
      <c r="R159" s="334" t="n"/>
      <c r="S159" s="334" t="n"/>
      <c r="T159" s="334" t="n"/>
      <c r="U159" s="334" t="n"/>
      <c r="V159" s="334" t="n"/>
      <c r="W159" s="334" t="n"/>
      <c r="X159" s="334" t="n"/>
      <c r="Y159" s="334" t="n"/>
      <c r="Z159" s="375">
        <f>IF(AND(G159&lt;&gt;"",R159&lt;&gt;"",V159&lt;&gt;"",W159&lt;&gt;""),"COMPLETADO","OBSERVADO")</f>
        <v/>
      </c>
    </row>
    <row r="160" ht="15" customHeight="1" s="195">
      <c r="A160" s="280" t="n"/>
      <c r="B160" s="280" t="n"/>
      <c r="C160" s="280" t="n"/>
      <c r="D160" s="280" t="n"/>
      <c r="E160" s="280" t="n"/>
      <c r="F160" s="280" t="n"/>
      <c r="G160" s="280" t="n"/>
      <c r="H160" s="280" t="n"/>
      <c r="I160" s="332">
        <f>IFERROR(VLOOKUP(TEXT(H160,"0"),IPRESS!$A$3:$B$212,2,0),"")</f>
        <v/>
      </c>
      <c r="J160" s="280" t="n"/>
      <c r="K160" s="332">
        <f>IFERROR(VLOOKUP(TEXT(O160,"0"),CONDUCTORES!$A$3:$G$54,7,0),"")</f>
        <v/>
      </c>
      <c r="L160" s="280" t="n"/>
      <c r="M160" s="280" t="n"/>
      <c r="N160" s="333">
        <f>IFERROR(IF(L160*M160=0,"",L160*M160),"")</f>
        <v/>
      </c>
      <c r="O160" s="280" t="n"/>
      <c r="P160" s="332">
        <f>IFERROR(VLOOKUP(TEXT(O160,"0"),CONDUCTORES!$A$3:$G$54,2,0),"")</f>
        <v/>
      </c>
      <c r="Q160" s="332">
        <f>IFERROR(VLOOKUP(TEXT(O160,"0"),CONDUCTORES!$A$3:$H$54,6,0),"")</f>
        <v/>
      </c>
      <c r="R160" s="280" t="n"/>
      <c r="S160" s="280" t="n"/>
      <c r="T160" s="280" t="n"/>
      <c r="U160" s="280" t="n"/>
      <c r="V160" s="280" t="n"/>
      <c r="W160" s="280" t="n"/>
      <c r="X160" s="280" t="n"/>
      <c r="Y160" s="280" t="n"/>
      <c r="Z160" s="375">
        <f>IF(AND(G160&lt;&gt;"",R160&lt;&gt;"",V160&lt;&gt;"",W160&lt;&gt;""),"COMPLETADO","OBSERVADO")</f>
        <v/>
      </c>
    </row>
    <row r="161" ht="15" customHeight="1" s="195">
      <c r="A161" s="334" t="n"/>
      <c r="B161" s="334" t="n"/>
      <c r="C161" s="334" t="n"/>
      <c r="D161" s="334" t="n"/>
      <c r="E161" s="334" t="n"/>
      <c r="F161" s="334" t="n"/>
      <c r="G161" s="334" t="n"/>
      <c r="H161" s="334" t="n"/>
      <c r="I161" s="332">
        <f>IFERROR(VLOOKUP(TEXT(H161,"0"),IPRESS!$A$3:$B$212,2,0),"")</f>
        <v/>
      </c>
      <c r="J161" s="334" t="n"/>
      <c r="K161" s="332">
        <f>IFERROR(VLOOKUP(TEXT(O161,"0"),CONDUCTORES!$A$3:$G$54,7,0),"")</f>
        <v/>
      </c>
      <c r="L161" s="334" t="n"/>
      <c r="M161" s="334" t="n"/>
      <c r="N161" s="333">
        <f>IFERROR(IF(L161*M161=0,"",L161*M161),"")</f>
        <v/>
      </c>
      <c r="O161" s="334" t="n"/>
      <c r="P161" s="332">
        <f>IFERROR(VLOOKUP(TEXT(O161,"0"),CONDUCTORES!$A$3:$G$54,2,0),"")</f>
        <v/>
      </c>
      <c r="Q161" s="332">
        <f>IFERROR(VLOOKUP(TEXT(O161,"0"),CONDUCTORES!$A$3:$H$54,6,0),"")</f>
        <v/>
      </c>
      <c r="R161" s="334" t="n"/>
      <c r="S161" s="334" t="n"/>
      <c r="T161" s="334" t="n"/>
      <c r="U161" s="334" t="n"/>
      <c r="V161" s="334" t="n"/>
      <c r="W161" s="334" t="n"/>
      <c r="X161" s="334" t="n"/>
      <c r="Y161" s="334" t="n"/>
      <c r="Z161" s="375">
        <f>IF(AND(G161&lt;&gt;"",R161&lt;&gt;"",V161&lt;&gt;"",W161&lt;&gt;""),"COMPLETADO","OBSERVADO")</f>
        <v/>
      </c>
    </row>
    <row r="162" ht="15" customHeight="1" s="195">
      <c r="A162" s="280" t="n"/>
      <c r="B162" s="280" t="n"/>
      <c r="C162" s="280" t="n"/>
      <c r="D162" s="280" t="n"/>
      <c r="E162" s="280" t="n"/>
      <c r="F162" s="280" t="n"/>
      <c r="G162" s="280" t="n"/>
      <c r="H162" s="280" t="n"/>
      <c r="I162" s="332">
        <f>IFERROR(VLOOKUP(TEXT(H162,"0"),IPRESS!$A$3:$B$212,2,0),"")</f>
        <v/>
      </c>
      <c r="J162" s="280" t="n"/>
      <c r="K162" s="332">
        <f>IFERROR(VLOOKUP(TEXT(O162,"0"),CONDUCTORES!$A$3:$G$54,7,0),"")</f>
        <v/>
      </c>
      <c r="L162" s="280" t="n"/>
      <c r="M162" s="280" t="n"/>
      <c r="N162" s="333">
        <f>IFERROR(IF(L162*M162=0,"",L162*M162),"")</f>
        <v/>
      </c>
      <c r="O162" s="280" t="n"/>
      <c r="P162" s="332">
        <f>IFERROR(VLOOKUP(TEXT(O162,"0"),CONDUCTORES!$A$3:$G$54,2,0),"")</f>
        <v/>
      </c>
      <c r="Q162" s="332">
        <f>IFERROR(VLOOKUP(TEXT(O162,"0"),CONDUCTORES!$A$3:$H$54,6,0),"")</f>
        <v/>
      </c>
      <c r="R162" s="280" t="n"/>
      <c r="S162" s="280" t="n"/>
      <c r="T162" s="280" t="n"/>
      <c r="U162" s="280" t="n"/>
      <c r="V162" s="280" t="n"/>
      <c r="W162" s="280" t="n"/>
      <c r="X162" s="280" t="n"/>
      <c r="Y162" s="280" t="n"/>
      <c r="Z162" s="375">
        <f>IF(AND(G162&lt;&gt;"",R162&lt;&gt;"",V162&lt;&gt;"",W162&lt;&gt;""),"COMPLETADO","OBSERVADO")</f>
        <v/>
      </c>
    </row>
    <row r="163" ht="15" customHeight="1" s="195">
      <c r="A163" s="334" t="n"/>
      <c r="B163" s="334" t="n"/>
      <c r="C163" s="334" t="n"/>
      <c r="D163" s="334" t="n"/>
      <c r="E163" s="334" t="n"/>
      <c r="F163" s="334" t="n"/>
      <c r="G163" s="334" t="n"/>
      <c r="H163" s="334" t="n"/>
      <c r="I163" s="332">
        <f>IFERROR(VLOOKUP(TEXT(H163,"0"),IPRESS!$A$3:$B$212,2,0),"")</f>
        <v/>
      </c>
      <c r="J163" s="334" t="n"/>
      <c r="K163" s="332">
        <f>IFERROR(VLOOKUP(TEXT(O163,"0"),CONDUCTORES!$A$3:$G$54,7,0),"")</f>
        <v/>
      </c>
      <c r="L163" s="334" t="n"/>
      <c r="M163" s="334" t="n"/>
      <c r="N163" s="333">
        <f>IFERROR(IF(L163*M163=0,"",L163*M163),"")</f>
        <v/>
      </c>
      <c r="O163" s="334" t="n"/>
      <c r="P163" s="332">
        <f>IFERROR(VLOOKUP(TEXT(O163,"0"),CONDUCTORES!$A$3:$G$54,2,0),"")</f>
        <v/>
      </c>
      <c r="Q163" s="332">
        <f>IFERROR(VLOOKUP(TEXT(O163,"0"),CONDUCTORES!$A$3:$H$54,6,0),"")</f>
        <v/>
      </c>
      <c r="R163" s="334" t="n"/>
      <c r="S163" s="334" t="n"/>
      <c r="T163" s="334" t="n"/>
      <c r="U163" s="334" t="n"/>
      <c r="V163" s="334" t="n"/>
      <c r="W163" s="334" t="n"/>
      <c r="X163" s="334" t="n"/>
      <c r="Y163" s="334" t="n"/>
      <c r="Z163" s="375">
        <f>IF(AND(G163&lt;&gt;"",R163&lt;&gt;"",V163&lt;&gt;"",W163&lt;&gt;""),"COMPLETADO","OBSERVADO")</f>
        <v/>
      </c>
    </row>
    <row r="164" ht="15" customHeight="1" s="195">
      <c r="A164" s="280" t="n"/>
      <c r="B164" s="280" t="n"/>
      <c r="C164" s="280" t="n"/>
      <c r="D164" s="280" t="n"/>
      <c r="E164" s="280" t="n"/>
      <c r="F164" s="280" t="n"/>
      <c r="G164" s="280" t="n"/>
      <c r="H164" s="280" t="n"/>
      <c r="I164" s="332">
        <f>IFERROR(VLOOKUP(TEXT(H164,"0"),IPRESS!$A$3:$B$212,2,0),"")</f>
        <v/>
      </c>
      <c r="J164" s="280" t="n"/>
      <c r="K164" s="332">
        <f>IFERROR(VLOOKUP(TEXT(O164,"0"),CONDUCTORES!$A$3:$G$54,7,0),"")</f>
        <v/>
      </c>
      <c r="L164" s="280" t="n"/>
      <c r="M164" s="280" t="n"/>
      <c r="N164" s="333">
        <f>IFERROR(IF(L164*M164=0,"",L164*M164),"")</f>
        <v/>
      </c>
      <c r="O164" s="280" t="n"/>
      <c r="P164" s="332">
        <f>IFERROR(VLOOKUP(TEXT(O164,"0"),CONDUCTORES!$A$3:$G$54,2,0),"")</f>
        <v/>
      </c>
      <c r="Q164" s="332">
        <f>IFERROR(VLOOKUP(TEXT(O164,"0"),CONDUCTORES!$A$3:$H$54,6,0),"")</f>
        <v/>
      </c>
      <c r="R164" s="280" t="n"/>
      <c r="S164" s="280" t="n"/>
      <c r="T164" s="280" t="n"/>
      <c r="U164" s="280" t="n"/>
      <c r="V164" s="280" t="n"/>
      <c r="W164" s="280" t="n"/>
      <c r="X164" s="280" t="n"/>
      <c r="Y164" s="280" t="n"/>
      <c r="Z164" s="375">
        <f>IF(AND(G164&lt;&gt;"",R164&lt;&gt;"",V164&lt;&gt;"",W164&lt;&gt;""),"COMPLETADO","OBSERVADO")</f>
        <v/>
      </c>
    </row>
    <row r="165" ht="15" customHeight="1" s="195">
      <c r="A165" s="334" t="n"/>
      <c r="B165" s="334" t="n"/>
      <c r="C165" s="334" t="n"/>
      <c r="D165" s="334" t="n"/>
      <c r="E165" s="334" t="n"/>
      <c r="F165" s="334" t="n"/>
      <c r="G165" s="334" t="n"/>
      <c r="H165" s="334" t="n"/>
      <c r="I165" s="332">
        <f>IFERROR(VLOOKUP(TEXT(H165,"0"),IPRESS!$A$3:$B$212,2,0),"")</f>
        <v/>
      </c>
      <c r="J165" s="334" t="n"/>
      <c r="K165" s="332">
        <f>IFERROR(VLOOKUP(TEXT(O165,"0"),CONDUCTORES!$A$3:$G$54,7,0),"")</f>
        <v/>
      </c>
      <c r="L165" s="334" t="n"/>
      <c r="M165" s="334" t="n"/>
      <c r="N165" s="333">
        <f>IFERROR(IF(L165*M165=0,"",L165*M165),"")</f>
        <v/>
      </c>
      <c r="O165" s="334" t="n"/>
      <c r="P165" s="332">
        <f>IFERROR(VLOOKUP(TEXT(O165,"0"),CONDUCTORES!$A$3:$G$54,2,0),"")</f>
        <v/>
      </c>
      <c r="Q165" s="332">
        <f>IFERROR(VLOOKUP(TEXT(O165,"0"),CONDUCTORES!$A$3:$H$54,6,0),"")</f>
        <v/>
      </c>
      <c r="R165" s="334" t="n"/>
      <c r="S165" s="334" t="n"/>
      <c r="T165" s="334" t="n"/>
      <c r="U165" s="334" t="n"/>
      <c r="V165" s="334" t="n"/>
      <c r="W165" s="334" t="n"/>
      <c r="X165" s="334" t="n"/>
      <c r="Y165" s="334" t="n"/>
      <c r="Z165" s="375">
        <f>IF(AND(G165&lt;&gt;"",R165&lt;&gt;"",V165&lt;&gt;"",W165&lt;&gt;""),"COMPLETADO","OBSERVADO")</f>
        <v/>
      </c>
    </row>
    <row r="166" ht="15" customHeight="1" s="195">
      <c r="A166" s="280" t="n"/>
      <c r="B166" s="280" t="n"/>
      <c r="C166" s="280" t="n"/>
      <c r="D166" s="280" t="n"/>
      <c r="E166" s="280" t="n"/>
      <c r="F166" s="280" t="n"/>
      <c r="G166" s="280" t="n"/>
      <c r="H166" s="280" t="n"/>
      <c r="I166" s="332">
        <f>IFERROR(VLOOKUP(TEXT(H166,"0"),IPRESS!$A$3:$B$212,2,0),"")</f>
        <v/>
      </c>
      <c r="J166" s="280" t="n"/>
      <c r="K166" s="332">
        <f>IFERROR(VLOOKUP(TEXT(O166,"0"),CONDUCTORES!$A$3:$G$54,7,0),"")</f>
        <v/>
      </c>
      <c r="L166" s="280" t="n"/>
      <c r="M166" s="280" t="n"/>
      <c r="N166" s="333">
        <f>IFERROR(IF(L166*M166=0,"",L166*M166),"")</f>
        <v/>
      </c>
      <c r="O166" s="280" t="n"/>
      <c r="P166" s="332">
        <f>IFERROR(VLOOKUP(TEXT(O166,"0"),CONDUCTORES!$A$3:$G$54,2,0),"")</f>
        <v/>
      </c>
      <c r="Q166" s="332">
        <f>IFERROR(VLOOKUP(TEXT(O166,"0"),CONDUCTORES!$A$3:$H$54,6,0),"")</f>
        <v/>
      </c>
      <c r="R166" s="280" t="n"/>
      <c r="S166" s="280" t="n"/>
      <c r="T166" s="280" t="n"/>
      <c r="U166" s="280" t="n"/>
      <c r="V166" s="280" t="n"/>
      <c r="W166" s="280" t="n"/>
      <c r="X166" s="280" t="n"/>
      <c r="Y166" s="280" t="n"/>
      <c r="Z166" s="375">
        <f>IF(AND(G166&lt;&gt;"",R166&lt;&gt;"",V166&lt;&gt;"",W166&lt;&gt;""),"COMPLETADO","OBSERVADO")</f>
        <v/>
      </c>
    </row>
    <row r="167" ht="15" customHeight="1" s="195">
      <c r="A167" s="334" t="n"/>
      <c r="B167" s="334" t="n"/>
      <c r="C167" s="334" t="n"/>
      <c r="D167" s="334" t="n"/>
      <c r="E167" s="334" t="n"/>
      <c r="F167" s="334" t="n"/>
      <c r="G167" s="334" t="n"/>
      <c r="H167" s="334" t="n"/>
      <c r="I167" s="332">
        <f>IFERROR(VLOOKUP(TEXT(H167,"0"),IPRESS!$A$3:$B$212,2,0),"")</f>
        <v/>
      </c>
      <c r="J167" s="334" t="n"/>
      <c r="K167" s="332">
        <f>IFERROR(VLOOKUP(TEXT(O167,"0"),CONDUCTORES!$A$3:$G$54,7,0),"")</f>
        <v/>
      </c>
      <c r="L167" s="334" t="n"/>
      <c r="M167" s="334" t="n"/>
      <c r="N167" s="333">
        <f>IFERROR(IF(L167*M167=0,"",L167*M167),"")</f>
        <v/>
      </c>
      <c r="O167" s="334" t="n"/>
      <c r="P167" s="332">
        <f>IFERROR(VLOOKUP(TEXT(O167,"0"),CONDUCTORES!$A$3:$G$54,2,0),"")</f>
        <v/>
      </c>
      <c r="Q167" s="332">
        <f>IFERROR(VLOOKUP(TEXT(O167,"0"),CONDUCTORES!$A$3:$H$54,6,0),"")</f>
        <v/>
      </c>
      <c r="R167" s="334" t="n"/>
      <c r="S167" s="334" t="n"/>
      <c r="T167" s="334" t="n"/>
      <c r="U167" s="334" t="n"/>
      <c r="V167" s="334" t="n"/>
      <c r="W167" s="334" t="n"/>
      <c r="X167" s="334" t="n"/>
      <c r="Y167" s="334" t="n"/>
      <c r="Z167" s="375">
        <f>IF(AND(G167&lt;&gt;"",R167&lt;&gt;"",V167&lt;&gt;"",W167&lt;&gt;""),"COMPLETADO","OBSERVADO")</f>
        <v/>
      </c>
    </row>
    <row r="168" ht="15" customHeight="1" s="195">
      <c r="A168" s="280" t="n"/>
      <c r="B168" s="280" t="n"/>
      <c r="C168" s="280" t="n"/>
      <c r="D168" s="280" t="n"/>
      <c r="E168" s="280" t="n"/>
      <c r="F168" s="280" t="n"/>
      <c r="G168" s="280" t="n"/>
      <c r="H168" s="280" t="n"/>
      <c r="I168" s="332">
        <f>IFERROR(VLOOKUP(TEXT(H168,"0"),IPRESS!$A$3:$B$212,2,0),"")</f>
        <v/>
      </c>
      <c r="J168" s="280" t="n"/>
      <c r="K168" s="332">
        <f>IFERROR(VLOOKUP(TEXT(O168,"0"),CONDUCTORES!$A$3:$G$54,7,0),"")</f>
        <v/>
      </c>
      <c r="L168" s="280" t="n"/>
      <c r="M168" s="280" t="n"/>
      <c r="N168" s="333">
        <f>IFERROR(IF(L168*M168=0,"",L168*M168),"")</f>
        <v/>
      </c>
      <c r="O168" s="280" t="n"/>
      <c r="P168" s="332">
        <f>IFERROR(VLOOKUP(TEXT(O168,"0"),CONDUCTORES!$A$3:$G$54,2,0),"")</f>
        <v/>
      </c>
      <c r="Q168" s="332">
        <f>IFERROR(VLOOKUP(TEXT(O168,"0"),CONDUCTORES!$A$3:$H$54,6,0),"")</f>
        <v/>
      </c>
      <c r="R168" s="280" t="n"/>
      <c r="S168" s="280" t="n"/>
      <c r="T168" s="280" t="n"/>
      <c r="U168" s="280" t="n"/>
      <c r="V168" s="280" t="n"/>
      <c r="W168" s="280" t="n"/>
      <c r="X168" s="280" t="n"/>
      <c r="Y168" s="280" t="n"/>
      <c r="Z168" s="375">
        <f>IF(AND(G168&lt;&gt;"",R168&lt;&gt;"",V168&lt;&gt;"",W168&lt;&gt;""),"COMPLETADO","OBSERVADO")</f>
        <v/>
      </c>
    </row>
    <row r="169" ht="15" customHeight="1" s="195">
      <c r="A169" s="334" t="n"/>
      <c r="B169" s="334" t="n"/>
      <c r="C169" s="334" t="n"/>
      <c r="D169" s="334" t="n"/>
      <c r="E169" s="334" t="n"/>
      <c r="F169" s="334" t="n"/>
      <c r="G169" s="334" t="n"/>
      <c r="H169" s="334" t="n"/>
      <c r="I169" s="332">
        <f>IFERROR(VLOOKUP(TEXT(H169,"0"),IPRESS!$A$3:$B$212,2,0),"")</f>
        <v/>
      </c>
      <c r="J169" s="334" t="n"/>
      <c r="K169" s="332">
        <f>IFERROR(VLOOKUP(TEXT(O169,"0"),CONDUCTORES!$A$3:$G$54,7,0),"")</f>
        <v/>
      </c>
      <c r="L169" s="334" t="n"/>
      <c r="M169" s="334" t="n"/>
      <c r="N169" s="333">
        <f>IFERROR(IF(L169*M169=0,"",L169*M169),"")</f>
        <v/>
      </c>
      <c r="O169" s="334" t="n"/>
      <c r="P169" s="332">
        <f>IFERROR(VLOOKUP(TEXT(O169,"0"),CONDUCTORES!$A$3:$G$54,2,0),"")</f>
        <v/>
      </c>
      <c r="Q169" s="332">
        <f>IFERROR(VLOOKUP(TEXT(O169,"0"),CONDUCTORES!$A$3:$H$54,6,0),"")</f>
        <v/>
      </c>
      <c r="R169" s="334" t="n"/>
      <c r="S169" s="334" t="n"/>
      <c r="T169" s="334" t="n"/>
      <c r="U169" s="334" t="n"/>
      <c r="V169" s="334" t="n"/>
      <c r="W169" s="334" t="n"/>
      <c r="X169" s="334" t="n"/>
      <c r="Y169" s="334" t="n"/>
      <c r="Z169" s="375">
        <f>IF(AND(G169&lt;&gt;"",R169&lt;&gt;"",V169&lt;&gt;"",W169&lt;&gt;""),"COMPLETADO","OBSERVADO")</f>
        <v/>
      </c>
    </row>
    <row r="170" ht="15" customHeight="1" s="195">
      <c r="A170" s="280" t="n"/>
      <c r="B170" s="280" t="n"/>
      <c r="C170" s="280" t="n"/>
      <c r="D170" s="280" t="n"/>
      <c r="E170" s="280" t="n"/>
      <c r="F170" s="280" t="n"/>
      <c r="G170" s="280" t="n"/>
      <c r="H170" s="280" t="n"/>
      <c r="I170" s="332">
        <f>IFERROR(VLOOKUP(TEXT(H170,"0"),IPRESS!$A$3:$B$212,2,0),"")</f>
        <v/>
      </c>
      <c r="J170" s="280" t="n"/>
      <c r="K170" s="332">
        <f>IFERROR(VLOOKUP(TEXT(O170,"0"),CONDUCTORES!$A$3:$G$54,7,0),"")</f>
        <v/>
      </c>
      <c r="L170" s="280" t="n"/>
      <c r="M170" s="280" t="n"/>
      <c r="N170" s="333">
        <f>IFERROR(IF(L170*M170=0,"",L170*M170),"")</f>
        <v/>
      </c>
      <c r="O170" s="280" t="n"/>
      <c r="P170" s="332">
        <f>IFERROR(VLOOKUP(TEXT(O170,"0"),CONDUCTORES!$A$3:$G$54,2,0),"")</f>
        <v/>
      </c>
      <c r="Q170" s="332">
        <f>IFERROR(VLOOKUP(TEXT(O170,"0"),CONDUCTORES!$A$3:$H$54,6,0),"")</f>
        <v/>
      </c>
      <c r="R170" s="280" t="n"/>
      <c r="S170" s="280" t="n"/>
      <c r="T170" s="280" t="n"/>
      <c r="U170" s="280" t="n"/>
      <c r="V170" s="280" t="n"/>
      <c r="W170" s="280" t="n"/>
      <c r="X170" s="280" t="n"/>
      <c r="Y170" s="280" t="n"/>
      <c r="Z170" s="375">
        <f>IF(AND(G170&lt;&gt;"",R170&lt;&gt;"",V170&lt;&gt;"",W170&lt;&gt;""),"COMPLETADO","OBSERVADO")</f>
        <v/>
      </c>
    </row>
    <row r="171" ht="15" customHeight="1" s="195">
      <c r="A171" s="334" t="n"/>
      <c r="B171" s="334" t="n"/>
      <c r="C171" s="334" t="n"/>
      <c r="D171" s="334" t="n"/>
      <c r="E171" s="334" t="n"/>
      <c r="F171" s="334" t="n"/>
      <c r="G171" s="334" t="n"/>
      <c r="H171" s="334" t="n"/>
      <c r="I171" s="332">
        <f>IFERROR(VLOOKUP(TEXT(H171,"0"),IPRESS!$A$3:$B$212,2,0),"")</f>
        <v/>
      </c>
      <c r="J171" s="334" t="n"/>
      <c r="K171" s="332">
        <f>IFERROR(VLOOKUP(TEXT(O171,"0"),CONDUCTORES!$A$3:$G$54,7,0),"")</f>
        <v/>
      </c>
      <c r="L171" s="334" t="n"/>
      <c r="M171" s="334" t="n"/>
      <c r="N171" s="333">
        <f>IFERROR(IF(L171*M171=0,"",L171*M171),"")</f>
        <v/>
      </c>
      <c r="O171" s="334" t="n"/>
      <c r="P171" s="332">
        <f>IFERROR(VLOOKUP(TEXT(O171,"0"),CONDUCTORES!$A$3:$G$54,2,0),"")</f>
        <v/>
      </c>
      <c r="Q171" s="332">
        <f>IFERROR(VLOOKUP(TEXT(O171,"0"),CONDUCTORES!$A$3:$H$54,6,0),"")</f>
        <v/>
      </c>
      <c r="R171" s="334" t="n"/>
      <c r="S171" s="334" t="n"/>
      <c r="T171" s="334" t="n"/>
      <c r="U171" s="334" t="n"/>
      <c r="V171" s="334" t="n"/>
      <c r="W171" s="334" t="n"/>
      <c r="X171" s="334" t="n"/>
      <c r="Y171" s="334" t="n"/>
      <c r="Z171" s="375">
        <f>IF(AND(G171&lt;&gt;"",R171&lt;&gt;"",V171&lt;&gt;"",W171&lt;&gt;""),"COMPLETADO","OBSERVADO")</f>
        <v/>
      </c>
    </row>
    <row r="172" ht="15" customHeight="1" s="195">
      <c r="A172" s="280" t="n"/>
      <c r="B172" s="280" t="n"/>
      <c r="C172" s="280" t="n"/>
      <c r="D172" s="280" t="n"/>
      <c r="E172" s="280" t="n"/>
      <c r="F172" s="280" t="n"/>
      <c r="G172" s="280" t="n"/>
      <c r="H172" s="280" t="n"/>
      <c r="I172" s="332">
        <f>IFERROR(VLOOKUP(TEXT(H172,"0"),IPRESS!$A$3:$B$212,2,0),"")</f>
        <v/>
      </c>
      <c r="J172" s="280" t="n"/>
      <c r="K172" s="332">
        <f>IFERROR(VLOOKUP(TEXT(O172,"0"),CONDUCTORES!$A$3:$G$54,7,0),"")</f>
        <v/>
      </c>
      <c r="L172" s="280" t="n"/>
      <c r="M172" s="280" t="n"/>
      <c r="N172" s="333">
        <f>IFERROR(IF(L172*M172=0,"",L172*M172),"")</f>
        <v/>
      </c>
      <c r="O172" s="280" t="n"/>
      <c r="P172" s="332">
        <f>IFERROR(VLOOKUP(TEXT(O172,"0"),CONDUCTORES!$A$3:$G$54,2,0),"")</f>
        <v/>
      </c>
      <c r="Q172" s="332">
        <f>IFERROR(VLOOKUP(TEXT(O172,"0"),CONDUCTORES!$A$3:$H$54,6,0),"")</f>
        <v/>
      </c>
      <c r="R172" s="280" t="n"/>
      <c r="S172" s="280" t="n"/>
      <c r="T172" s="280" t="n"/>
      <c r="U172" s="280" t="n"/>
      <c r="V172" s="280" t="n"/>
      <c r="W172" s="280" t="n"/>
      <c r="X172" s="280" t="n"/>
      <c r="Y172" s="280" t="n"/>
      <c r="Z172" s="375">
        <f>IF(AND(G172&lt;&gt;"",R172&lt;&gt;"",V172&lt;&gt;"",W172&lt;&gt;""),"COMPLETADO","OBSERVADO")</f>
        <v/>
      </c>
    </row>
    <row r="173" ht="15" customHeight="1" s="195">
      <c r="A173" s="334" t="n"/>
      <c r="B173" s="334" t="n"/>
      <c r="C173" s="334" t="n"/>
      <c r="D173" s="334" t="n"/>
      <c r="E173" s="334" t="n"/>
      <c r="F173" s="334" t="n"/>
      <c r="G173" s="334" t="n"/>
      <c r="H173" s="334" t="n"/>
      <c r="I173" s="332">
        <f>IFERROR(VLOOKUP(TEXT(H173,"0"),IPRESS!$A$3:$B$212,2,0),"")</f>
        <v/>
      </c>
      <c r="J173" s="334" t="n"/>
      <c r="K173" s="332">
        <f>IFERROR(VLOOKUP(TEXT(O173,"0"),CONDUCTORES!$A$3:$G$54,7,0),"")</f>
        <v/>
      </c>
      <c r="L173" s="334" t="n"/>
      <c r="M173" s="334" t="n"/>
      <c r="N173" s="333">
        <f>IFERROR(IF(L173*M173=0,"",L173*M173),"")</f>
        <v/>
      </c>
      <c r="O173" s="334" t="n"/>
      <c r="P173" s="332">
        <f>IFERROR(VLOOKUP(TEXT(O173,"0"),CONDUCTORES!$A$3:$G$54,2,0),"")</f>
        <v/>
      </c>
      <c r="Q173" s="332">
        <f>IFERROR(VLOOKUP(TEXT(O173,"0"),CONDUCTORES!$A$3:$H$54,6,0),"")</f>
        <v/>
      </c>
      <c r="R173" s="334" t="n"/>
      <c r="S173" s="334" t="n"/>
      <c r="T173" s="334" t="n"/>
      <c r="U173" s="334" t="n"/>
      <c r="V173" s="334" t="n"/>
      <c r="W173" s="334" t="n"/>
      <c r="X173" s="334" t="n"/>
      <c r="Y173" s="334" t="n"/>
      <c r="Z173" s="375">
        <f>IF(AND(G173&lt;&gt;"",R173&lt;&gt;"",V173&lt;&gt;"",W173&lt;&gt;""),"COMPLETADO","OBSERVADO")</f>
        <v/>
      </c>
    </row>
    <row r="174" ht="15" customHeight="1" s="195">
      <c r="A174" s="280" t="n"/>
      <c r="B174" s="280" t="n"/>
      <c r="C174" s="280" t="n"/>
      <c r="D174" s="280" t="n"/>
      <c r="E174" s="280" t="n"/>
      <c r="F174" s="280" t="n"/>
      <c r="G174" s="280" t="n"/>
      <c r="H174" s="280" t="n"/>
      <c r="I174" s="332">
        <f>IFERROR(VLOOKUP(TEXT(H174,"0"),IPRESS!$A$3:$B$212,2,0),"")</f>
        <v/>
      </c>
      <c r="J174" s="280" t="n"/>
      <c r="K174" s="332">
        <f>IFERROR(VLOOKUP(TEXT(O174,"0"),CONDUCTORES!$A$3:$G$54,7,0),"")</f>
        <v/>
      </c>
      <c r="L174" s="280" t="n"/>
      <c r="M174" s="280" t="n"/>
      <c r="N174" s="333">
        <f>IFERROR(IF(L174*M174=0,"",L174*M174),"")</f>
        <v/>
      </c>
      <c r="O174" s="280" t="n"/>
      <c r="P174" s="332">
        <f>IFERROR(VLOOKUP(TEXT(O174,"0"),CONDUCTORES!$A$3:$G$54,2,0),"")</f>
        <v/>
      </c>
      <c r="Q174" s="332">
        <f>IFERROR(VLOOKUP(TEXT(O174,"0"),CONDUCTORES!$A$3:$H$54,6,0),"")</f>
        <v/>
      </c>
      <c r="R174" s="280" t="n"/>
      <c r="S174" s="280" t="n"/>
      <c r="T174" s="280" t="n"/>
      <c r="U174" s="280" t="n"/>
      <c r="V174" s="280" t="n"/>
      <c r="W174" s="280" t="n"/>
      <c r="X174" s="280" t="n"/>
      <c r="Y174" s="280" t="n"/>
      <c r="Z174" s="375">
        <f>IF(AND(G174&lt;&gt;"",R174&lt;&gt;"",V174&lt;&gt;"",W174&lt;&gt;""),"COMPLETADO","OBSERVADO")</f>
        <v/>
      </c>
    </row>
    <row r="175" ht="15" customHeight="1" s="195">
      <c r="A175" s="334" t="n"/>
      <c r="B175" s="334" t="n"/>
      <c r="C175" s="334" t="n"/>
      <c r="D175" s="334" t="n"/>
      <c r="E175" s="334" t="n"/>
      <c r="F175" s="334" t="n"/>
      <c r="G175" s="334" t="n"/>
      <c r="H175" s="334" t="n"/>
      <c r="I175" s="332">
        <f>IFERROR(VLOOKUP(TEXT(H175,"0"),IPRESS!$A$3:$B$212,2,0),"")</f>
        <v/>
      </c>
      <c r="J175" s="334" t="n"/>
      <c r="K175" s="332">
        <f>IFERROR(VLOOKUP(TEXT(O175,"0"),CONDUCTORES!$A$3:$G$54,7,0),"")</f>
        <v/>
      </c>
      <c r="L175" s="334" t="n"/>
      <c r="M175" s="334" t="n"/>
      <c r="N175" s="333">
        <f>IFERROR(IF(L175*M175=0,"",L175*M175),"")</f>
        <v/>
      </c>
      <c r="O175" s="334" t="n"/>
      <c r="P175" s="332">
        <f>IFERROR(VLOOKUP(TEXT(O175,"0"),CONDUCTORES!$A$3:$G$54,2,0),"")</f>
        <v/>
      </c>
      <c r="Q175" s="332">
        <f>IFERROR(VLOOKUP(TEXT(O175,"0"),CONDUCTORES!$A$3:$H$54,6,0),"")</f>
        <v/>
      </c>
      <c r="R175" s="334" t="n"/>
      <c r="S175" s="334" t="n"/>
      <c r="T175" s="334" t="n"/>
      <c r="U175" s="334" t="n"/>
      <c r="V175" s="334" t="n"/>
      <c r="W175" s="334" t="n"/>
      <c r="X175" s="334" t="n"/>
      <c r="Y175" s="334" t="n"/>
      <c r="Z175" s="375">
        <f>IF(AND(G175&lt;&gt;"",R175&lt;&gt;"",V175&lt;&gt;"",W175&lt;&gt;""),"COMPLETADO","OBSERVADO")</f>
        <v/>
      </c>
    </row>
    <row r="176" ht="15" customHeight="1" s="195">
      <c r="A176" s="280" t="n"/>
      <c r="B176" s="280" t="n"/>
      <c r="C176" s="280" t="n"/>
      <c r="D176" s="280" t="n"/>
      <c r="E176" s="280" t="n"/>
      <c r="F176" s="280" t="n"/>
      <c r="G176" s="280" t="n"/>
      <c r="H176" s="280" t="n"/>
      <c r="I176" s="332">
        <f>IFERROR(VLOOKUP(TEXT(H176,"0"),IPRESS!$A$3:$B$212,2,0),"")</f>
        <v/>
      </c>
      <c r="J176" s="280" t="n"/>
      <c r="K176" s="332">
        <f>IFERROR(VLOOKUP(TEXT(O176,"0"),CONDUCTORES!$A$3:$G$54,7,0),"")</f>
        <v/>
      </c>
      <c r="L176" s="280" t="n"/>
      <c r="M176" s="280" t="n"/>
      <c r="N176" s="333">
        <f>IFERROR(IF(L176*M176=0,"",L176*M176),"")</f>
        <v/>
      </c>
      <c r="O176" s="280" t="n"/>
      <c r="P176" s="332">
        <f>IFERROR(VLOOKUP(TEXT(O176,"0"),CONDUCTORES!$A$3:$G$54,2,0),"")</f>
        <v/>
      </c>
      <c r="Q176" s="332">
        <f>IFERROR(VLOOKUP(TEXT(O176,"0"),CONDUCTORES!$A$3:$H$54,6,0),"")</f>
        <v/>
      </c>
      <c r="R176" s="280" t="n"/>
      <c r="S176" s="280" t="n"/>
      <c r="T176" s="280" t="n"/>
      <c r="U176" s="280" t="n"/>
      <c r="V176" s="280" t="n"/>
      <c r="W176" s="280" t="n"/>
      <c r="X176" s="280" t="n"/>
      <c r="Y176" s="280" t="n"/>
      <c r="Z176" s="375">
        <f>IF(AND(G176&lt;&gt;"",R176&lt;&gt;"",V176&lt;&gt;"",W176&lt;&gt;""),"COMPLETADO","OBSERVADO")</f>
        <v/>
      </c>
    </row>
    <row r="177" ht="15" customHeight="1" s="195">
      <c r="A177" s="334" t="n"/>
      <c r="B177" s="334" t="n"/>
      <c r="C177" s="334" t="n"/>
      <c r="D177" s="334" t="n"/>
      <c r="E177" s="334" t="n"/>
      <c r="F177" s="334" t="n"/>
      <c r="G177" s="334" t="n"/>
      <c r="H177" s="334" t="n"/>
      <c r="I177" s="332">
        <f>IFERROR(VLOOKUP(TEXT(H177,"0"),IPRESS!$A$3:$B$212,2,0),"")</f>
        <v/>
      </c>
      <c r="J177" s="334" t="n"/>
      <c r="K177" s="332">
        <f>IFERROR(VLOOKUP(TEXT(O177,"0"),CONDUCTORES!$A$3:$G$54,7,0),"")</f>
        <v/>
      </c>
      <c r="L177" s="334" t="n"/>
      <c r="M177" s="334" t="n"/>
      <c r="N177" s="333">
        <f>IFERROR(IF(L177*M177=0,"",L177*M177),"")</f>
        <v/>
      </c>
      <c r="O177" s="334" t="n"/>
      <c r="P177" s="332">
        <f>IFERROR(VLOOKUP(TEXT(O177,"0"),CONDUCTORES!$A$3:$G$54,2,0),"")</f>
        <v/>
      </c>
      <c r="Q177" s="332">
        <f>IFERROR(VLOOKUP(TEXT(O177,"0"),CONDUCTORES!$A$3:$H$54,6,0),"")</f>
        <v/>
      </c>
      <c r="R177" s="334" t="n"/>
      <c r="S177" s="334" t="n"/>
      <c r="T177" s="334" t="n"/>
      <c r="U177" s="334" t="n"/>
      <c r="V177" s="334" t="n"/>
      <c r="W177" s="334" t="n"/>
      <c r="X177" s="334" t="n"/>
      <c r="Y177" s="334" t="n"/>
      <c r="Z177" s="375">
        <f>IF(AND(G177&lt;&gt;"",R177&lt;&gt;"",V177&lt;&gt;"",W177&lt;&gt;""),"COMPLETADO","OBSERVADO")</f>
        <v/>
      </c>
    </row>
    <row r="178" ht="15" customHeight="1" s="195">
      <c r="A178" s="280" t="n"/>
      <c r="B178" s="280" t="n"/>
      <c r="C178" s="280" t="n"/>
      <c r="D178" s="280" t="n"/>
      <c r="E178" s="280" t="n"/>
      <c r="F178" s="280" t="n"/>
      <c r="G178" s="280" t="n"/>
      <c r="H178" s="280" t="n"/>
      <c r="I178" s="332">
        <f>IFERROR(VLOOKUP(TEXT(H178,"0"),IPRESS!$A$3:$B$212,2,0),"")</f>
        <v/>
      </c>
      <c r="J178" s="280" t="n"/>
      <c r="K178" s="332">
        <f>IFERROR(VLOOKUP(TEXT(O178,"0"),CONDUCTORES!$A$3:$G$54,7,0),"")</f>
        <v/>
      </c>
      <c r="L178" s="280" t="n"/>
      <c r="M178" s="280" t="n"/>
      <c r="N178" s="333">
        <f>IFERROR(IF(L178*M178=0,"",L178*M178),"")</f>
        <v/>
      </c>
      <c r="O178" s="280" t="n"/>
      <c r="P178" s="332">
        <f>IFERROR(VLOOKUP(TEXT(O178,"0"),CONDUCTORES!$A$3:$G$54,2,0),"")</f>
        <v/>
      </c>
      <c r="Q178" s="332">
        <f>IFERROR(VLOOKUP(TEXT(O178,"0"),CONDUCTORES!$A$3:$H$54,6,0),"")</f>
        <v/>
      </c>
      <c r="R178" s="280" t="n"/>
      <c r="S178" s="280" t="n"/>
      <c r="T178" s="280" t="n"/>
      <c r="U178" s="280" t="n"/>
      <c r="V178" s="280" t="n"/>
      <c r="W178" s="280" t="n"/>
      <c r="X178" s="280" t="n"/>
      <c r="Y178" s="280" t="n"/>
      <c r="Z178" s="375">
        <f>IF(AND(G178&lt;&gt;"",R178&lt;&gt;"",V178&lt;&gt;"",W178&lt;&gt;""),"COMPLETADO","OBSERVADO")</f>
        <v/>
      </c>
    </row>
    <row r="179" ht="15" customHeight="1" s="195">
      <c r="A179" s="334" t="n"/>
      <c r="B179" s="334" t="n"/>
      <c r="C179" s="334" t="n"/>
      <c r="D179" s="334" t="n"/>
      <c r="E179" s="334" t="n"/>
      <c r="F179" s="334" t="n"/>
      <c r="G179" s="334" t="n"/>
      <c r="H179" s="334" t="n"/>
      <c r="I179" s="332">
        <f>IFERROR(VLOOKUP(TEXT(H179,"0"),IPRESS!$A$3:$B$212,2,0),"")</f>
        <v/>
      </c>
      <c r="J179" s="334" t="n"/>
      <c r="K179" s="332">
        <f>IFERROR(VLOOKUP(TEXT(O179,"0"),CONDUCTORES!$A$3:$G$54,7,0),"")</f>
        <v/>
      </c>
      <c r="L179" s="334" t="n"/>
      <c r="M179" s="334" t="n"/>
      <c r="N179" s="333">
        <f>IFERROR(IF(L179*M179=0,"",L179*M179),"")</f>
        <v/>
      </c>
      <c r="O179" s="334" t="n"/>
      <c r="P179" s="332">
        <f>IFERROR(VLOOKUP(TEXT(O179,"0"),CONDUCTORES!$A$3:$G$54,2,0),"")</f>
        <v/>
      </c>
      <c r="Q179" s="332">
        <f>IFERROR(VLOOKUP(TEXT(O179,"0"),CONDUCTORES!$A$3:$H$54,6,0),"")</f>
        <v/>
      </c>
      <c r="R179" s="334" t="n"/>
      <c r="S179" s="334" t="n"/>
      <c r="T179" s="334" t="n"/>
      <c r="U179" s="334" t="n"/>
      <c r="V179" s="334" t="n"/>
      <c r="W179" s="334" t="n"/>
      <c r="X179" s="334" t="n"/>
      <c r="Y179" s="334" t="n"/>
      <c r="Z179" s="375">
        <f>IF(AND(G179&lt;&gt;"",R179&lt;&gt;"",V179&lt;&gt;"",W179&lt;&gt;""),"COMPLETADO","OBSERVADO")</f>
        <v/>
      </c>
    </row>
    <row r="180" ht="15" customHeight="1" s="195">
      <c r="A180" s="280" t="n"/>
      <c r="B180" s="280" t="n"/>
      <c r="C180" s="280" t="n"/>
      <c r="D180" s="280" t="n"/>
      <c r="E180" s="280" t="n"/>
      <c r="F180" s="280" t="n"/>
      <c r="G180" s="280" t="n"/>
      <c r="H180" s="280" t="n"/>
      <c r="I180" s="332">
        <f>IFERROR(VLOOKUP(TEXT(H180,"0"),IPRESS!$A$3:$B$212,2,0),"")</f>
        <v/>
      </c>
      <c r="J180" s="280" t="n"/>
      <c r="K180" s="332">
        <f>IFERROR(VLOOKUP(TEXT(O180,"0"),CONDUCTORES!$A$3:$G$54,7,0),"")</f>
        <v/>
      </c>
      <c r="L180" s="280" t="n"/>
      <c r="M180" s="280" t="n"/>
      <c r="N180" s="333">
        <f>IFERROR(IF(L180*M180=0,"",L180*M180),"")</f>
        <v/>
      </c>
      <c r="O180" s="280" t="n"/>
      <c r="P180" s="332">
        <f>IFERROR(VLOOKUP(TEXT(O180,"0"),CONDUCTORES!$A$3:$G$54,2,0),"")</f>
        <v/>
      </c>
      <c r="Q180" s="332">
        <f>IFERROR(VLOOKUP(TEXT(O180,"0"),CONDUCTORES!$A$3:$H$54,6,0),"")</f>
        <v/>
      </c>
      <c r="R180" s="280" t="n"/>
      <c r="S180" s="280" t="n"/>
      <c r="T180" s="280" t="n"/>
      <c r="U180" s="280" t="n"/>
      <c r="V180" s="280" t="n"/>
      <c r="W180" s="280" t="n"/>
      <c r="X180" s="280" t="n"/>
      <c r="Y180" s="280" t="n"/>
      <c r="Z180" s="375">
        <f>IF(AND(G180&lt;&gt;"",R180&lt;&gt;"",V180&lt;&gt;"",W180&lt;&gt;""),"COMPLETADO","OBSERVADO")</f>
        <v/>
      </c>
    </row>
    <row r="181" ht="15" customHeight="1" s="195">
      <c r="A181" s="334" t="n"/>
      <c r="B181" s="334" t="n"/>
      <c r="C181" s="334" t="n"/>
      <c r="D181" s="334" t="n"/>
      <c r="E181" s="334" t="n"/>
      <c r="F181" s="334" t="n"/>
      <c r="G181" s="334" t="n"/>
      <c r="H181" s="334" t="n"/>
      <c r="I181" s="332">
        <f>IFERROR(VLOOKUP(TEXT(H181,"0"),IPRESS!$A$3:$B$212,2,0),"")</f>
        <v/>
      </c>
      <c r="J181" s="334" t="n"/>
      <c r="K181" s="332">
        <f>IFERROR(VLOOKUP(TEXT(O181,"0"),CONDUCTORES!$A$3:$G$54,7,0),"")</f>
        <v/>
      </c>
      <c r="L181" s="334" t="n"/>
      <c r="M181" s="334" t="n"/>
      <c r="N181" s="333">
        <f>IFERROR(IF(L181*M181=0,"",L181*M181),"")</f>
        <v/>
      </c>
      <c r="O181" s="334" t="n"/>
      <c r="P181" s="332">
        <f>IFERROR(VLOOKUP(TEXT(O181,"0"),CONDUCTORES!$A$3:$G$54,2,0),"")</f>
        <v/>
      </c>
      <c r="Q181" s="332">
        <f>IFERROR(VLOOKUP(TEXT(O181,"0"),CONDUCTORES!$A$3:$H$54,6,0),"")</f>
        <v/>
      </c>
      <c r="R181" s="334" t="n"/>
      <c r="S181" s="334" t="n"/>
      <c r="T181" s="334" t="n"/>
      <c r="U181" s="334" t="n"/>
      <c r="V181" s="334" t="n"/>
      <c r="W181" s="334" t="n"/>
      <c r="X181" s="334" t="n"/>
      <c r="Y181" s="334" t="n"/>
      <c r="Z181" s="375">
        <f>IF(AND(G181&lt;&gt;"",R181&lt;&gt;"",V181&lt;&gt;"",W181&lt;&gt;""),"COMPLETADO","OBSERVADO")</f>
        <v/>
      </c>
    </row>
    <row r="182" ht="15" customHeight="1" s="195">
      <c r="A182" s="280" t="n"/>
      <c r="B182" s="280" t="n"/>
      <c r="C182" s="280" t="n"/>
      <c r="D182" s="280" t="n"/>
      <c r="E182" s="280" t="n"/>
      <c r="F182" s="280" t="n"/>
      <c r="G182" s="280" t="n"/>
      <c r="H182" s="280" t="n"/>
      <c r="I182" s="332">
        <f>IFERROR(VLOOKUP(TEXT(H182,"0"),IPRESS!$A$3:$B$212,2,0),"")</f>
        <v/>
      </c>
      <c r="J182" s="280" t="n"/>
      <c r="K182" s="332">
        <f>IFERROR(VLOOKUP(TEXT(O182,"0"),CONDUCTORES!$A$3:$G$54,7,0),"")</f>
        <v/>
      </c>
      <c r="L182" s="280" t="n"/>
      <c r="M182" s="280" t="n"/>
      <c r="N182" s="333">
        <f>IFERROR(IF(L182*M182=0,"",L182*M182),"")</f>
        <v/>
      </c>
      <c r="O182" s="280" t="n"/>
      <c r="P182" s="332">
        <f>IFERROR(VLOOKUP(TEXT(O182,"0"),CONDUCTORES!$A$3:$G$54,2,0),"")</f>
        <v/>
      </c>
      <c r="Q182" s="332">
        <f>IFERROR(VLOOKUP(TEXT(O182,"0"),CONDUCTORES!$A$3:$H$54,6,0),"")</f>
        <v/>
      </c>
      <c r="R182" s="280" t="n"/>
      <c r="S182" s="280" t="n"/>
      <c r="T182" s="280" t="n"/>
      <c r="U182" s="280" t="n"/>
      <c r="V182" s="280" t="n"/>
      <c r="W182" s="280" t="n"/>
      <c r="X182" s="280" t="n"/>
      <c r="Y182" s="280" t="n"/>
      <c r="Z182" s="375">
        <f>IF(AND(G182&lt;&gt;"",R182&lt;&gt;"",V182&lt;&gt;"",W182&lt;&gt;""),"COMPLETADO","OBSERVADO")</f>
        <v/>
      </c>
    </row>
    <row r="183" ht="15" customHeight="1" s="195">
      <c r="A183" s="334" t="n"/>
      <c r="B183" s="334" t="n"/>
      <c r="C183" s="334" t="n"/>
      <c r="D183" s="334" t="n"/>
      <c r="E183" s="334" t="n"/>
      <c r="F183" s="334" t="n"/>
      <c r="G183" s="334" t="n"/>
      <c r="H183" s="334" t="n"/>
      <c r="I183" s="332">
        <f>IFERROR(VLOOKUP(TEXT(H183,"0"),IPRESS!$A$3:$B$212,2,0),"")</f>
        <v/>
      </c>
      <c r="J183" s="334" t="n"/>
      <c r="K183" s="332">
        <f>IFERROR(VLOOKUP(TEXT(O183,"0"),CONDUCTORES!$A$3:$G$54,7,0),"")</f>
        <v/>
      </c>
      <c r="L183" s="334" t="n"/>
      <c r="M183" s="334" t="n"/>
      <c r="N183" s="333">
        <f>IFERROR(IF(L183*M183=0,"",L183*M183),"")</f>
        <v/>
      </c>
      <c r="O183" s="334" t="n"/>
      <c r="P183" s="332">
        <f>IFERROR(VLOOKUP(TEXT(O183,"0"),CONDUCTORES!$A$3:$G$54,2,0),"")</f>
        <v/>
      </c>
      <c r="Q183" s="332">
        <f>IFERROR(VLOOKUP(TEXT(O183,"0"),CONDUCTORES!$A$3:$H$54,6,0),"")</f>
        <v/>
      </c>
      <c r="R183" s="334" t="n"/>
      <c r="S183" s="334" t="n"/>
      <c r="T183" s="334" t="n"/>
      <c r="U183" s="334" t="n"/>
      <c r="V183" s="334" t="n"/>
      <c r="W183" s="334" t="n"/>
      <c r="X183" s="334" t="n"/>
      <c r="Y183" s="334" t="n"/>
      <c r="Z183" s="375">
        <f>IF(AND(G183&lt;&gt;"",R183&lt;&gt;"",V183&lt;&gt;"",W183&lt;&gt;""),"COMPLETADO","OBSERVADO")</f>
        <v/>
      </c>
    </row>
    <row r="184" ht="15" customHeight="1" s="195">
      <c r="A184" s="280" t="n"/>
      <c r="B184" s="280" t="n"/>
      <c r="C184" s="280" t="n"/>
      <c r="D184" s="280" t="n"/>
      <c r="E184" s="280" t="n"/>
      <c r="F184" s="280" t="n"/>
      <c r="G184" s="280" t="n"/>
      <c r="H184" s="280" t="n"/>
      <c r="I184" s="332">
        <f>IFERROR(VLOOKUP(TEXT(H184,"0"),IPRESS!$A$3:$B$212,2,0),"")</f>
        <v/>
      </c>
      <c r="J184" s="280" t="n"/>
      <c r="K184" s="332">
        <f>IFERROR(VLOOKUP(TEXT(O184,"0"),CONDUCTORES!$A$3:$G$54,7,0),"")</f>
        <v/>
      </c>
      <c r="L184" s="280" t="n"/>
      <c r="M184" s="280" t="n"/>
      <c r="N184" s="333">
        <f>IFERROR(IF(L184*M184=0,"",L184*M184),"")</f>
        <v/>
      </c>
      <c r="O184" s="280" t="n"/>
      <c r="P184" s="332">
        <f>IFERROR(VLOOKUP(TEXT(O184,"0"),CONDUCTORES!$A$3:$G$54,2,0),"")</f>
        <v/>
      </c>
      <c r="Q184" s="332">
        <f>IFERROR(VLOOKUP(TEXT(O184,"0"),CONDUCTORES!$A$3:$H$54,6,0),"")</f>
        <v/>
      </c>
      <c r="R184" s="280" t="n"/>
      <c r="S184" s="280" t="n"/>
      <c r="T184" s="280" t="n"/>
      <c r="U184" s="280" t="n"/>
      <c r="V184" s="280" t="n"/>
      <c r="W184" s="280" t="n"/>
      <c r="X184" s="280" t="n"/>
      <c r="Y184" s="280" t="n"/>
      <c r="Z184" s="375">
        <f>IF(AND(G184&lt;&gt;"",R184&lt;&gt;"",V184&lt;&gt;"",W184&lt;&gt;""),"COMPLETADO","OBSERVADO")</f>
        <v/>
      </c>
    </row>
    <row r="185" ht="15" customHeight="1" s="195">
      <c r="A185" s="334" t="n"/>
      <c r="B185" s="334" t="n"/>
      <c r="C185" s="334" t="n"/>
      <c r="D185" s="334" t="n"/>
      <c r="E185" s="334" t="n"/>
      <c r="F185" s="334" t="n"/>
      <c r="G185" s="334" t="n"/>
      <c r="H185" s="334" t="n"/>
      <c r="I185" s="332">
        <f>IFERROR(VLOOKUP(TEXT(H185,"0"),IPRESS!$A$3:$B$212,2,0),"")</f>
        <v/>
      </c>
      <c r="J185" s="334" t="n"/>
      <c r="K185" s="332">
        <f>IFERROR(VLOOKUP(TEXT(O185,"0"),CONDUCTORES!$A$3:$G$54,7,0),"")</f>
        <v/>
      </c>
      <c r="L185" s="334" t="n"/>
      <c r="M185" s="334" t="n"/>
      <c r="N185" s="333">
        <f>IFERROR(IF(L185*M185=0,"",L185*M185),"")</f>
        <v/>
      </c>
      <c r="O185" s="334" t="n"/>
      <c r="P185" s="332">
        <f>IFERROR(VLOOKUP(TEXT(O185,"0"),CONDUCTORES!$A$3:$G$54,2,0),"")</f>
        <v/>
      </c>
      <c r="Q185" s="332">
        <f>IFERROR(VLOOKUP(TEXT(O185,"0"),CONDUCTORES!$A$3:$H$54,6,0),"")</f>
        <v/>
      </c>
      <c r="R185" s="334" t="n"/>
      <c r="S185" s="334" t="n"/>
      <c r="T185" s="334" t="n"/>
      <c r="U185" s="334" t="n"/>
      <c r="V185" s="334" t="n"/>
      <c r="W185" s="334" t="n"/>
      <c r="X185" s="334" t="n"/>
      <c r="Y185" s="334" t="n"/>
      <c r="Z185" s="375">
        <f>IF(AND(G185&lt;&gt;"",R185&lt;&gt;"",V185&lt;&gt;"",W185&lt;&gt;""),"COMPLETADO","OBSERVADO")</f>
        <v/>
      </c>
    </row>
    <row r="186" ht="15" customHeight="1" s="195">
      <c r="A186" s="280" t="n"/>
      <c r="B186" s="280" t="n"/>
      <c r="C186" s="280" t="n"/>
      <c r="D186" s="280" t="n"/>
      <c r="E186" s="280" t="n"/>
      <c r="F186" s="280" t="n"/>
      <c r="G186" s="280" t="n"/>
      <c r="H186" s="280" t="n"/>
      <c r="I186" s="332">
        <f>IFERROR(VLOOKUP(TEXT(H186,"0"),IPRESS!$A$3:$B$212,2,0),"")</f>
        <v/>
      </c>
      <c r="J186" s="280" t="n"/>
      <c r="K186" s="332">
        <f>IFERROR(VLOOKUP(TEXT(O186,"0"),CONDUCTORES!$A$3:$G$54,7,0),"")</f>
        <v/>
      </c>
      <c r="L186" s="280" t="n"/>
      <c r="M186" s="280" t="n"/>
      <c r="N186" s="333">
        <f>IFERROR(IF(L186*M186=0,"",L186*M186),"")</f>
        <v/>
      </c>
      <c r="O186" s="280" t="n"/>
      <c r="P186" s="332">
        <f>IFERROR(VLOOKUP(TEXT(O186,"0"),CONDUCTORES!$A$3:$G$54,2,0),"")</f>
        <v/>
      </c>
      <c r="Q186" s="332">
        <f>IFERROR(VLOOKUP(TEXT(O186,"0"),CONDUCTORES!$A$3:$H$54,6,0),"")</f>
        <v/>
      </c>
      <c r="R186" s="280" t="n"/>
      <c r="S186" s="280" t="n"/>
      <c r="T186" s="280" t="n"/>
      <c r="U186" s="280" t="n"/>
      <c r="V186" s="280" t="n"/>
      <c r="W186" s="280" t="n"/>
      <c r="X186" s="280" t="n"/>
      <c r="Y186" s="280" t="n"/>
      <c r="Z186" s="375">
        <f>IF(AND(G186&lt;&gt;"",R186&lt;&gt;"",V186&lt;&gt;"",W186&lt;&gt;""),"COMPLETADO","OBSERVADO")</f>
        <v/>
      </c>
    </row>
    <row r="187" ht="15" customHeight="1" s="195">
      <c r="A187" s="334" t="n"/>
      <c r="B187" s="334" t="n"/>
      <c r="C187" s="334" t="n"/>
      <c r="D187" s="334" t="n"/>
      <c r="E187" s="334" t="n"/>
      <c r="F187" s="334" t="n"/>
      <c r="G187" s="334" t="n"/>
      <c r="H187" s="334" t="n"/>
      <c r="I187" s="332">
        <f>IFERROR(VLOOKUP(TEXT(H187,"0"),IPRESS!$A$3:$B$212,2,0),"")</f>
        <v/>
      </c>
      <c r="J187" s="334" t="n"/>
      <c r="K187" s="332">
        <f>IFERROR(VLOOKUP(TEXT(O187,"0"),CONDUCTORES!$A$3:$G$54,7,0),"")</f>
        <v/>
      </c>
      <c r="L187" s="334" t="n"/>
      <c r="M187" s="334" t="n"/>
      <c r="N187" s="333">
        <f>IFERROR(IF(L187*M187=0,"",L187*M187),"")</f>
        <v/>
      </c>
      <c r="O187" s="334" t="n"/>
      <c r="P187" s="332">
        <f>IFERROR(VLOOKUP(TEXT(O187,"0"),CONDUCTORES!$A$3:$G$54,2,0),"")</f>
        <v/>
      </c>
      <c r="Q187" s="332">
        <f>IFERROR(VLOOKUP(TEXT(O187,"0"),CONDUCTORES!$A$3:$H$54,6,0),"")</f>
        <v/>
      </c>
      <c r="R187" s="334" t="n"/>
      <c r="S187" s="334" t="n"/>
      <c r="T187" s="334" t="n"/>
      <c r="U187" s="334" t="n"/>
      <c r="V187" s="334" t="n"/>
      <c r="W187" s="334" t="n"/>
      <c r="X187" s="334" t="n"/>
      <c r="Y187" s="334" t="n"/>
      <c r="Z187" s="375">
        <f>IF(AND(G187&lt;&gt;"",R187&lt;&gt;"",V187&lt;&gt;"",W187&lt;&gt;""),"COMPLETADO","OBSERVADO")</f>
        <v/>
      </c>
    </row>
    <row r="188" ht="15" customHeight="1" s="195">
      <c r="A188" s="280" t="n"/>
      <c r="B188" s="280" t="n"/>
      <c r="C188" s="280" t="n"/>
      <c r="D188" s="280" t="n"/>
      <c r="E188" s="280" t="n"/>
      <c r="F188" s="280" t="n"/>
      <c r="G188" s="280" t="n"/>
      <c r="H188" s="280" t="n"/>
      <c r="I188" s="332">
        <f>IFERROR(VLOOKUP(TEXT(H188,"0"),IPRESS!$A$3:$B$212,2,0),"")</f>
        <v/>
      </c>
      <c r="J188" s="280" t="n"/>
      <c r="K188" s="332">
        <f>IFERROR(VLOOKUP(TEXT(O188,"0"),CONDUCTORES!$A$3:$G$54,7,0),"")</f>
        <v/>
      </c>
      <c r="L188" s="280" t="n"/>
      <c r="M188" s="280" t="n"/>
      <c r="N188" s="333">
        <f>IFERROR(IF(L188*M188=0,"",L188*M188),"")</f>
        <v/>
      </c>
      <c r="O188" s="280" t="n"/>
      <c r="P188" s="332">
        <f>IFERROR(VLOOKUP(TEXT(O188,"0"),CONDUCTORES!$A$3:$G$54,2,0),"")</f>
        <v/>
      </c>
      <c r="Q188" s="332">
        <f>IFERROR(VLOOKUP(TEXT(O188,"0"),CONDUCTORES!$A$3:$H$54,6,0),"")</f>
        <v/>
      </c>
      <c r="R188" s="280" t="n"/>
      <c r="S188" s="280" t="n"/>
      <c r="T188" s="280" t="n"/>
      <c r="U188" s="280" t="n"/>
      <c r="V188" s="280" t="n"/>
      <c r="W188" s="280" t="n"/>
      <c r="X188" s="280" t="n"/>
      <c r="Y188" s="280" t="n"/>
      <c r="Z188" s="375">
        <f>IF(AND(G188&lt;&gt;"",R188&lt;&gt;"",V188&lt;&gt;"",W188&lt;&gt;""),"COMPLETADO","OBSERVADO")</f>
        <v/>
      </c>
    </row>
    <row r="189" ht="15" customHeight="1" s="195">
      <c r="A189" s="334" t="n"/>
      <c r="B189" s="334" t="n"/>
      <c r="C189" s="334" t="n"/>
      <c r="D189" s="334" t="n"/>
      <c r="E189" s="334" t="n"/>
      <c r="F189" s="334" t="n"/>
      <c r="G189" s="334" t="n"/>
      <c r="H189" s="334" t="n"/>
      <c r="I189" s="332">
        <f>IFERROR(VLOOKUP(TEXT(H189,"0"),IPRESS!$A$3:$B$212,2,0),"")</f>
        <v/>
      </c>
      <c r="J189" s="334" t="n"/>
      <c r="K189" s="332">
        <f>IFERROR(VLOOKUP(TEXT(O189,"0"),CONDUCTORES!$A$3:$G$54,7,0),"")</f>
        <v/>
      </c>
      <c r="L189" s="334" t="n"/>
      <c r="M189" s="334" t="n"/>
      <c r="N189" s="333">
        <f>IFERROR(IF(L189*M189=0,"",L189*M189),"")</f>
        <v/>
      </c>
      <c r="O189" s="334" t="n"/>
      <c r="P189" s="332">
        <f>IFERROR(VLOOKUP(TEXT(O189,"0"),CONDUCTORES!$A$3:$G$54,2,0),"")</f>
        <v/>
      </c>
      <c r="Q189" s="332">
        <f>IFERROR(VLOOKUP(TEXT(O189,"0"),CONDUCTORES!$A$3:$H$54,6,0),"")</f>
        <v/>
      </c>
      <c r="R189" s="334" t="n"/>
      <c r="S189" s="334" t="n"/>
      <c r="T189" s="334" t="n"/>
      <c r="U189" s="334" t="n"/>
      <c r="V189" s="334" t="n"/>
      <c r="W189" s="334" t="n"/>
      <c r="X189" s="334" t="n"/>
      <c r="Y189" s="334" t="n"/>
      <c r="Z189" s="375">
        <f>IF(AND(G189&lt;&gt;"",R189&lt;&gt;"",V189&lt;&gt;"",W189&lt;&gt;""),"COMPLETADO","OBSERVADO")</f>
        <v/>
      </c>
    </row>
    <row r="190" ht="15" customHeight="1" s="195">
      <c r="A190" s="280" t="n"/>
      <c r="B190" s="280" t="n"/>
      <c r="C190" s="280" t="n"/>
      <c r="D190" s="280" t="n"/>
      <c r="E190" s="280" t="n"/>
      <c r="F190" s="280" t="n"/>
      <c r="G190" s="280" t="n"/>
      <c r="H190" s="280" t="n"/>
      <c r="I190" s="332">
        <f>IFERROR(VLOOKUP(TEXT(H190,"0"),IPRESS!$A$3:$B$212,2,0),"")</f>
        <v/>
      </c>
      <c r="J190" s="280" t="n"/>
      <c r="K190" s="332">
        <f>IFERROR(VLOOKUP(TEXT(O190,"0"),CONDUCTORES!$A$3:$G$54,7,0),"")</f>
        <v/>
      </c>
      <c r="L190" s="280" t="n"/>
      <c r="M190" s="280" t="n"/>
      <c r="N190" s="333">
        <f>IFERROR(IF(L190*M190=0,"",L190*M190),"")</f>
        <v/>
      </c>
      <c r="O190" s="280" t="n"/>
      <c r="P190" s="332">
        <f>IFERROR(VLOOKUP(TEXT(O190,"0"),CONDUCTORES!$A$3:$G$54,2,0),"")</f>
        <v/>
      </c>
      <c r="Q190" s="332">
        <f>IFERROR(VLOOKUP(TEXT(O190,"0"),CONDUCTORES!$A$3:$H$54,6,0),"")</f>
        <v/>
      </c>
      <c r="R190" s="280" t="n"/>
      <c r="S190" s="280" t="n"/>
      <c r="T190" s="280" t="n"/>
      <c r="U190" s="280" t="n"/>
      <c r="V190" s="280" t="n"/>
      <c r="W190" s="280" t="n"/>
      <c r="X190" s="280" t="n"/>
      <c r="Y190" s="280" t="n"/>
      <c r="Z190" s="375">
        <f>IF(AND(G190&lt;&gt;"",R190&lt;&gt;"",V190&lt;&gt;"",W190&lt;&gt;""),"COMPLETADO","OBSERVADO")</f>
        <v/>
      </c>
    </row>
    <row r="191" ht="15" customHeight="1" s="195">
      <c r="A191" s="334" t="n"/>
      <c r="B191" s="334" t="n"/>
      <c r="C191" s="334" t="n"/>
      <c r="D191" s="334" t="n"/>
      <c r="E191" s="334" t="n"/>
      <c r="F191" s="334" t="n"/>
      <c r="G191" s="334" t="n"/>
      <c r="H191" s="334" t="n"/>
      <c r="I191" s="332">
        <f>IFERROR(VLOOKUP(TEXT(H191,"0"),IPRESS!$A$3:$B$212,2,0),"")</f>
        <v/>
      </c>
      <c r="J191" s="334" t="n"/>
      <c r="K191" s="332">
        <f>IFERROR(VLOOKUP(TEXT(O191,"0"),CONDUCTORES!$A$3:$G$54,7,0),"")</f>
        <v/>
      </c>
      <c r="L191" s="334" t="n"/>
      <c r="M191" s="334" t="n"/>
      <c r="N191" s="333">
        <f>IFERROR(IF(L191*M191=0,"",L191*M191),"")</f>
        <v/>
      </c>
      <c r="O191" s="334" t="n"/>
      <c r="P191" s="332">
        <f>IFERROR(VLOOKUP(TEXT(O191,"0"),CONDUCTORES!$A$3:$G$54,2,0),"")</f>
        <v/>
      </c>
      <c r="Q191" s="332">
        <f>IFERROR(VLOOKUP(TEXT(O191,"0"),CONDUCTORES!$A$3:$H$54,6,0),"")</f>
        <v/>
      </c>
      <c r="R191" s="334" t="n"/>
      <c r="S191" s="334" t="n"/>
      <c r="T191" s="334" t="n"/>
      <c r="U191" s="334" t="n"/>
      <c r="V191" s="334" t="n"/>
      <c r="W191" s="334" t="n"/>
      <c r="X191" s="334" t="n"/>
      <c r="Y191" s="334" t="n"/>
      <c r="Z191" s="375">
        <f>IF(AND(G191&lt;&gt;"",R191&lt;&gt;"",V191&lt;&gt;"",W191&lt;&gt;""),"COMPLETADO","OBSERVADO")</f>
        <v/>
      </c>
    </row>
    <row r="192" ht="15" customHeight="1" s="195">
      <c r="A192" s="280" t="n"/>
      <c r="B192" s="280" t="n"/>
      <c r="C192" s="280" t="n"/>
      <c r="D192" s="280" t="n"/>
      <c r="E192" s="280" t="n"/>
      <c r="F192" s="280" t="n"/>
      <c r="G192" s="280" t="n"/>
      <c r="H192" s="280" t="n"/>
      <c r="I192" s="332">
        <f>IFERROR(VLOOKUP(TEXT(H192,"0"),IPRESS!$A$3:$B$212,2,0),"")</f>
        <v/>
      </c>
      <c r="J192" s="280" t="n"/>
      <c r="K192" s="332">
        <f>IFERROR(VLOOKUP(TEXT(O192,"0"),CONDUCTORES!$A$3:$G$54,7,0),"")</f>
        <v/>
      </c>
      <c r="L192" s="280" t="n"/>
      <c r="M192" s="280" t="n"/>
      <c r="N192" s="333">
        <f>IFERROR(IF(L192*M192=0,"",L192*M192),"")</f>
        <v/>
      </c>
      <c r="O192" s="280" t="n"/>
      <c r="P192" s="332">
        <f>IFERROR(VLOOKUP(TEXT(O192,"0"),CONDUCTORES!$A$3:$G$54,2,0),"")</f>
        <v/>
      </c>
      <c r="Q192" s="332">
        <f>IFERROR(VLOOKUP(TEXT(O192,"0"),CONDUCTORES!$A$3:$H$54,6,0),"")</f>
        <v/>
      </c>
      <c r="R192" s="280" t="n"/>
      <c r="S192" s="280" t="n"/>
      <c r="T192" s="280" t="n"/>
      <c r="U192" s="280" t="n"/>
      <c r="V192" s="280" t="n"/>
      <c r="W192" s="280" t="n"/>
      <c r="X192" s="280" t="n"/>
      <c r="Y192" s="280" t="n"/>
      <c r="Z192" s="375">
        <f>IF(AND(G192&lt;&gt;"",R192&lt;&gt;"",V192&lt;&gt;"",W192&lt;&gt;""),"COMPLETADO","OBSERVADO")</f>
        <v/>
      </c>
    </row>
    <row r="193" ht="15" customHeight="1" s="195">
      <c r="A193" s="334" t="n"/>
      <c r="B193" s="334" t="n"/>
      <c r="C193" s="334" t="n"/>
      <c r="D193" s="334" t="n"/>
      <c r="E193" s="334" t="n"/>
      <c r="F193" s="334" t="n"/>
      <c r="G193" s="334" t="n"/>
      <c r="H193" s="334" t="n"/>
      <c r="I193" s="332">
        <f>IFERROR(VLOOKUP(TEXT(H193,"0"),IPRESS!$A$3:$B$212,2,0),"")</f>
        <v/>
      </c>
      <c r="J193" s="334" t="n"/>
      <c r="K193" s="332">
        <f>IFERROR(VLOOKUP(TEXT(O193,"0"),CONDUCTORES!$A$3:$G$54,7,0),"")</f>
        <v/>
      </c>
      <c r="L193" s="334" t="n"/>
      <c r="M193" s="334" t="n"/>
      <c r="N193" s="333">
        <f>IFERROR(IF(L193*M193=0,"",L193*M193),"")</f>
        <v/>
      </c>
      <c r="O193" s="334" t="n"/>
      <c r="P193" s="332">
        <f>IFERROR(VLOOKUP(TEXT(O193,"0"),CONDUCTORES!$A$3:$G$54,2,0),"")</f>
        <v/>
      </c>
      <c r="Q193" s="332">
        <f>IFERROR(VLOOKUP(TEXT(O193,"0"),CONDUCTORES!$A$3:$H$54,6,0),"")</f>
        <v/>
      </c>
      <c r="R193" s="334" t="n"/>
      <c r="S193" s="334" t="n"/>
      <c r="T193" s="334" t="n"/>
      <c r="U193" s="334" t="n"/>
      <c r="V193" s="334" t="n"/>
      <c r="W193" s="334" t="n"/>
      <c r="X193" s="334" t="n"/>
      <c r="Y193" s="334" t="n"/>
      <c r="Z193" s="375">
        <f>IF(AND(G193&lt;&gt;"",R193&lt;&gt;"",V193&lt;&gt;"",W193&lt;&gt;""),"COMPLETADO","OBSERVADO")</f>
        <v/>
      </c>
    </row>
    <row r="194" ht="15" customHeight="1" s="195">
      <c r="A194" s="280" t="n"/>
      <c r="B194" s="280" t="n"/>
      <c r="C194" s="280" t="n"/>
      <c r="D194" s="280" t="n"/>
      <c r="E194" s="280" t="n"/>
      <c r="F194" s="280" t="n"/>
      <c r="G194" s="280" t="n"/>
      <c r="H194" s="280" t="n"/>
      <c r="I194" s="332">
        <f>IFERROR(VLOOKUP(TEXT(H194,"0"),IPRESS!$A$3:$B$212,2,0),"")</f>
        <v/>
      </c>
      <c r="J194" s="280" t="n"/>
      <c r="K194" s="332">
        <f>IFERROR(VLOOKUP(TEXT(O194,"0"),CONDUCTORES!$A$3:$G$54,7,0),"")</f>
        <v/>
      </c>
      <c r="L194" s="280" t="n"/>
      <c r="M194" s="280" t="n"/>
      <c r="N194" s="333">
        <f>IFERROR(IF(L194*M194=0,"",L194*M194),"")</f>
        <v/>
      </c>
      <c r="O194" s="280" t="n"/>
      <c r="P194" s="332">
        <f>IFERROR(VLOOKUP(TEXT(O194,"0"),CONDUCTORES!$A$3:$G$54,2,0),"")</f>
        <v/>
      </c>
      <c r="Q194" s="332">
        <f>IFERROR(VLOOKUP(TEXT(O194,"0"),CONDUCTORES!$A$3:$H$54,6,0),"")</f>
        <v/>
      </c>
      <c r="R194" s="280" t="n"/>
      <c r="S194" s="280" t="n"/>
      <c r="T194" s="280" t="n"/>
      <c r="U194" s="280" t="n"/>
      <c r="V194" s="280" t="n"/>
      <c r="W194" s="280" t="n"/>
      <c r="X194" s="280" t="n"/>
      <c r="Y194" s="280" t="n"/>
      <c r="Z194" s="375">
        <f>IF(AND(G194&lt;&gt;"",R194&lt;&gt;"",V194&lt;&gt;"",W194&lt;&gt;""),"COMPLETADO","OBSERVADO")</f>
        <v/>
      </c>
    </row>
    <row r="195" ht="15" customHeight="1" s="195">
      <c r="A195" s="334" t="n"/>
      <c r="B195" s="334" t="n"/>
      <c r="C195" s="334" t="n"/>
      <c r="D195" s="334" t="n"/>
      <c r="E195" s="334" t="n"/>
      <c r="F195" s="334" t="n"/>
      <c r="G195" s="334" t="n"/>
      <c r="H195" s="334" t="n"/>
      <c r="I195" s="332">
        <f>IFERROR(VLOOKUP(TEXT(H195,"0"),IPRESS!$A$3:$B$212,2,0),"")</f>
        <v/>
      </c>
      <c r="J195" s="334" t="n"/>
      <c r="K195" s="332">
        <f>IFERROR(VLOOKUP(TEXT(O195,"0"),CONDUCTORES!$A$3:$G$54,7,0),"")</f>
        <v/>
      </c>
      <c r="L195" s="334" t="n"/>
      <c r="M195" s="334" t="n"/>
      <c r="N195" s="333">
        <f>IFERROR(IF(L195*M195=0,"",L195*M195),"")</f>
        <v/>
      </c>
      <c r="O195" s="334" t="n"/>
      <c r="P195" s="332">
        <f>IFERROR(VLOOKUP(TEXT(O195,"0"),CONDUCTORES!$A$3:$G$54,2,0),"")</f>
        <v/>
      </c>
      <c r="Q195" s="332">
        <f>IFERROR(VLOOKUP(TEXT(O195,"0"),CONDUCTORES!$A$3:$H$54,6,0),"")</f>
        <v/>
      </c>
      <c r="R195" s="334" t="n"/>
      <c r="S195" s="334" t="n"/>
      <c r="T195" s="334" t="n"/>
      <c r="U195" s="334" t="n"/>
      <c r="V195" s="334" t="n"/>
      <c r="W195" s="334" t="n"/>
      <c r="X195" s="334" t="n"/>
      <c r="Y195" s="334" t="n"/>
      <c r="Z195" s="375">
        <f>IF(AND(G195&lt;&gt;"",R195&lt;&gt;"",V195&lt;&gt;"",W195&lt;&gt;""),"COMPLETADO","OBSERVADO")</f>
        <v/>
      </c>
    </row>
    <row r="196" ht="15" customHeight="1" s="195">
      <c r="A196" s="280" t="n"/>
      <c r="B196" s="280" t="n"/>
      <c r="C196" s="280" t="n"/>
      <c r="D196" s="280" t="n"/>
      <c r="E196" s="280" t="n"/>
      <c r="F196" s="280" t="n"/>
      <c r="G196" s="280" t="n"/>
      <c r="H196" s="280" t="n"/>
      <c r="I196" s="332">
        <f>IFERROR(VLOOKUP(TEXT(H196,"0"),IPRESS!$A$3:$B$212,2,0),"")</f>
        <v/>
      </c>
      <c r="J196" s="280" t="n"/>
      <c r="K196" s="332">
        <f>IFERROR(VLOOKUP(TEXT(O196,"0"),CONDUCTORES!$A$3:$G$54,7,0),"")</f>
        <v/>
      </c>
      <c r="L196" s="280" t="n"/>
      <c r="M196" s="280" t="n"/>
      <c r="N196" s="333">
        <f>IFERROR(IF(L196*M196=0,"",L196*M196),"")</f>
        <v/>
      </c>
      <c r="O196" s="280" t="n"/>
      <c r="P196" s="332">
        <f>IFERROR(VLOOKUP(TEXT(O196,"0"),CONDUCTORES!$A$3:$G$54,2,0),"")</f>
        <v/>
      </c>
      <c r="Q196" s="332">
        <f>IFERROR(VLOOKUP(TEXT(O196,"0"),CONDUCTORES!$A$3:$H$54,6,0),"")</f>
        <v/>
      </c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375">
        <f>IF(AND(G196&lt;&gt;"",R196&lt;&gt;"",V196&lt;&gt;"",W196&lt;&gt;""),"COMPLETADO","OBSERVADO")</f>
        <v/>
      </c>
    </row>
    <row r="197" ht="15" customHeight="1" s="195">
      <c r="A197" s="334" t="n"/>
      <c r="B197" s="334" t="n"/>
      <c r="C197" s="334" t="n"/>
      <c r="D197" s="334" t="n"/>
      <c r="E197" s="334" t="n"/>
      <c r="F197" s="334" t="n"/>
      <c r="G197" s="334" t="n"/>
      <c r="H197" s="334" t="n"/>
      <c r="I197" s="332">
        <f>IFERROR(VLOOKUP(TEXT(H197,"0"),IPRESS!$A$3:$B$212,2,0),"")</f>
        <v/>
      </c>
      <c r="J197" s="334" t="n"/>
      <c r="K197" s="332">
        <f>IFERROR(VLOOKUP(TEXT(O197,"0"),CONDUCTORES!$A$3:$G$54,7,0),"")</f>
        <v/>
      </c>
      <c r="L197" s="334" t="n"/>
      <c r="M197" s="334" t="n"/>
      <c r="N197" s="333">
        <f>IFERROR(IF(L197*M197=0,"",L197*M197),"")</f>
        <v/>
      </c>
      <c r="O197" s="334" t="n"/>
      <c r="P197" s="332">
        <f>IFERROR(VLOOKUP(TEXT(O197,"0"),CONDUCTORES!$A$3:$G$54,2,0),"")</f>
        <v/>
      </c>
      <c r="Q197" s="332">
        <f>IFERROR(VLOOKUP(TEXT(O197,"0"),CONDUCTORES!$A$3:$H$54,6,0),"")</f>
        <v/>
      </c>
      <c r="R197" s="334" t="n"/>
      <c r="S197" s="334" t="n"/>
      <c r="T197" s="334" t="n"/>
      <c r="U197" s="334" t="n"/>
      <c r="V197" s="334" t="n"/>
      <c r="W197" s="334" t="n"/>
      <c r="X197" s="334" t="n"/>
      <c r="Y197" s="334" t="n"/>
      <c r="Z197" s="375">
        <f>IF(AND(G197&lt;&gt;"",R197&lt;&gt;"",V197&lt;&gt;"",W197&lt;&gt;""),"COMPLETADO","OBSERVADO")</f>
        <v/>
      </c>
    </row>
    <row r="198" ht="15" customHeight="1" s="195">
      <c r="A198" s="280" t="n"/>
      <c r="B198" s="280" t="n"/>
      <c r="C198" s="280" t="n"/>
      <c r="D198" s="280" t="n"/>
      <c r="E198" s="280" t="n"/>
      <c r="F198" s="280" t="n"/>
      <c r="G198" s="280" t="n"/>
      <c r="H198" s="280" t="n"/>
      <c r="I198" s="332">
        <f>IFERROR(VLOOKUP(TEXT(H198,"0"),IPRESS!$A$3:$B$212,2,0),"")</f>
        <v/>
      </c>
      <c r="J198" s="280" t="n"/>
      <c r="K198" s="332">
        <f>IFERROR(VLOOKUP(TEXT(O198,"0"),CONDUCTORES!$A$3:$G$54,7,0),"")</f>
        <v/>
      </c>
      <c r="L198" s="280" t="n"/>
      <c r="M198" s="280" t="n"/>
      <c r="N198" s="333">
        <f>IFERROR(IF(L198*M198=0,"",L198*M198),"")</f>
        <v/>
      </c>
      <c r="O198" s="280" t="n"/>
      <c r="P198" s="332">
        <f>IFERROR(VLOOKUP(TEXT(O198,"0"),CONDUCTORES!$A$3:$G$54,2,0),"")</f>
        <v/>
      </c>
      <c r="Q198" s="332">
        <f>IFERROR(VLOOKUP(TEXT(O198,"0"),CONDUCTORES!$A$3:$H$54,6,0),"")</f>
        <v/>
      </c>
      <c r="R198" s="280" t="n"/>
      <c r="S198" s="280" t="n"/>
      <c r="T198" s="280" t="n"/>
      <c r="U198" s="280" t="n"/>
      <c r="V198" s="280" t="n"/>
      <c r="W198" s="280" t="n"/>
      <c r="X198" s="280" t="n"/>
      <c r="Y198" s="280" t="n"/>
      <c r="Z198" s="375">
        <f>IF(AND(G198&lt;&gt;"",R198&lt;&gt;"",V198&lt;&gt;"",W198&lt;&gt;""),"COMPLETADO","OBSERVADO")</f>
        <v/>
      </c>
    </row>
    <row r="199" ht="15" customHeight="1" s="195">
      <c r="A199" s="334" t="n"/>
      <c r="B199" s="334" t="n"/>
      <c r="C199" s="334" t="n"/>
      <c r="D199" s="334" t="n"/>
      <c r="E199" s="334" t="n"/>
      <c r="F199" s="334" t="n"/>
      <c r="G199" s="334" t="n"/>
      <c r="H199" s="334" t="n"/>
      <c r="I199" s="332">
        <f>IFERROR(VLOOKUP(TEXT(H199,"0"),IPRESS!$A$3:$B$212,2,0),"")</f>
        <v/>
      </c>
      <c r="J199" s="334" t="n"/>
      <c r="K199" s="332">
        <f>IFERROR(VLOOKUP(TEXT(O199,"0"),CONDUCTORES!$A$3:$G$54,7,0),"")</f>
        <v/>
      </c>
      <c r="L199" s="334" t="n"/>
      <c r="M199" s="334" t="n"/>
      <c r="N199" s="333">
        <f>IFERROR(IF(L199*M199=0,"",L199*M199),"")</f>
        <v/>
      </c>
      <c r="O199" s="334" t="n"/>
      <c r="P199" s="332">
        <f>IFERROR(VLOOKUP(TEXT(O199,"0"),CONDUCTORES!$A$3:$G$54,2,0),"")</f>
        <v/>
      </c>
      <c r="Q199" s="332">
        <f>IFERROR(VLOOKUP(TEXT(O199,"0"),CONDUCTORES!$A$3:$H$54,6,0),"")</f>
        <v/>
      </c>
      <c r="R199" s="334" t="n"/>
      <c r="S199" s="334" t="n"/>
      <c r="T199" s="334" t="n"/>
      <c r="U199" s="334" t="n"/>
      <c r="V199" s="334" t="n"/>
      <c r="W199" s="334" t="n"/>
      <c r="X199" s="334" t="n"/>
      <c r="Y199" s="334" t="n"/>
      <c r="Z199" s="375">
        <f>IF(AND(G199&lt;&gt;"",R199&lt;&gt;"",V199&lt;&gt;"",W199&lt;&gt;""),"COMPLETADO","OBSERVADO")</f>
        <v/>
      </c>
    </row>
    <row r="200" ht="15" customHeight="1" s="195">
      <c r="A200" s="280" t="n"/>
      <c r="B200" s="280" t="n"/>
      <c r="C200" s="280" t="n"/>
      <c r="D200" s="280" t="n"/>
      <c r="E200" s="280" t="n"/>
      <c r="F200" s="280" t="n"/>
      <c r="G200" s="280" t="n"/>
      <c r="H200" s="280" t="n"/>
      <c r="I200" s="332">
        <f>IFERROR(VLOOKUP(TEXT(H200,"0"),IPRESS!$A$3:$B$212,2,0),"")</f>
        <v/>
      </c>
      <c r="J200" s="280" t="n"/>
      <c r="K200" s="332">
        <f>IFERROR(VLOOKUP(TEXT(O200,"0"),CONDUCTORES!$A$3:$G$54,7,0),"")</f>
        <v/>
      </c>
      <c r="L200" s="280" t="n"/>
      <c r="M200" s="280" t="n"/>
      <c r="N200" s="333">
        <f>IFERROR(IF(L200*M200=0,"",L200*M200),"")</f>
        <v/>
      </c>
      <c r="O200" s="280" t="n"/>
      <c r="P200" s="332">
        <f>IFERROR(VLOOKUP(TEXT(O200,"0"),CONDUCTORES!$A$3:$G$54,2,0),"")</f>
        <v/>
      </c>
      <c r="Q200" s="332">
        <f>IFERROR(VLOOKUP(TEXT(O200,"0"),CONDUCTORES!$A$3:$H$54,6,0),"")</f>
        <v/>
      </c>
      <c r="R200" s="280" t="n"/>
      <c r="S200" s="280" t="n"/>
      <c r="T200" s="280" t="n"/>
      <c r="U200" s="280" t="n"/>
      <c r="V200" s="280" t="n"/>
      <c r="W200" s="280" t="n"/>
      <c r="X200" s="280" t="n"/>
      <c r="Y200" s="280" t="n"/>
      <c r="Z200" s="375">
        <f>IF(AND(G200&lt;&gt;"",R200&lt;&gt;"",V200&lt;&gt;"",W200&lt;&gt;""),"COMPLETADO","OBSERVADO")</f>
        <v/>
      </c>
    </row>
    <row r="201" ht="15" customHeight="1" s="195">
      <c r="A201" s="334" t="n"/>
      <c r="B201" s="334" t="n"/>
      <c r="C201" s="334" t="n"/>
      <c r="D201" s="334" t="n"/>
      <c r="E201" s="334" t="n"/>
      <c r="F201" s="334" t="n"/>
      <c r="G201" s="334" t="n"/>
      <c r="H201" s="334" t="n"/>
      <c r="I201" s="332">
        <f>IFERROR(VLOOKUP(TEXT(H201,"0"),IPRESS!$A$3:$B$212,2,0),"")</f>
        <v/>
      </c>
      <c r="J201" s="334" t="n"/>
      <c r="K201" s="332">
        <f>IFERROR(VLOOKUP(TEXT(O201,"0"),CONDUCTORES!$A$3:$G$54,7,0),"")</f>
        <v/>
      </c>
      <c r="L201" s="334" t="n"/>
      <c r="M201" s="334" t="n"/>
      <c r="N201" s="333">
        <f>IFERROR(IF(L201*M201=0,"",L201*M201),"")</f>
        <v/>
      </c>
      <c r="O201" s="334" t="n"/>
      <c r="P201" s="332">
        <f>IFERROR(VLOOKUP(TEXT(O201,"0"),CONDUCTORES!$A$3:$G$54,2,0),"")</f>
        <v/>
      </c>
      <c r="Q201" s="332">
        <f>IFERROR(VLOOKUP(TEXT(O201,"0"),CONDUCTORES!$A$3:$H$54,6,0),"")</f>
        <v/>
      </c>
      <c r="R201" s="334" t="n"/>
      <c r="S201" s="334" t="n"/>
      <c r="T201" s="334" t="n"/>
      <c r="U201" s="334" t="n"/>
      <c r="V201" s="334" t="n"/>
      <c r="W201" s="334" t="n"/>
      <c r="X201" s="334" t="n"/>
      <c r="Y201" s="334" t="n"/>
      <c r="Z201" s="375">
        <f>IF(AND(G201&lt;&gt;"",R201&lt;&gt;"",V201&lt;&gt;"",W201&lt;&gt;""),"COMPLETADO","OBSERVADO")</f>
        <v/>
      </c>
    </row>
    <row r="202" ht="15" customHeight="1" s="195">
      <c r="A202" s="280" t="n"/>
      <c r="B202" s="280" t="n"/>
      <c r="C202" s="280" t="n"/>
      <c r="D202" s="280" t="n"/>
      <c r="E202" s="280" t="n"/>
      <c r="F202" s="280" t="n"/>
      <c r="G202" s="280" t="n"/>
      <c r="H202" s="280" t="n"/>
      <c r="I202" s="332">
        <f>IFERROR(VLOOKUP(TEXT(H202,"0"),IPRESS!$A$3:$B$212,2,0),"")</f>
        <v/>
      </c>
      <c r="J202" s="280" t="n"/>
      <c r="K202" s="332">
        <f>IFERROR(VLOOKUP(TEXT(O202,"0"),CONDUCTORES!$A$3:$G$54,7,0),"")</f>
        <v/>
      </c>
      <c r="L202" s="280" t="n"/>
      <c r="M202" s="280" t="n"/>
      <c r="N202" s="333">
        <f>IFERROR(IF(L202*M202=0,"",L202*M202),"")</f>
        <v/>
      </c>
      <c r="O202" s="280" t="n"/>
      <c r="P202" s="332">
        <f>IFERROR(VLOOKUP(TEXT(O202,"0"),CONDUCTORES!$A$3:$G$54,2,0),"")</f>
        <v/>
      </c>
      <c r="Q202" s="332">
        <f>IFERROR(VLOOKUP(TEXT(O202,"0"),CONDUCTORES!$A$3:$H$54,6,0),"")</f>
        <v/>
      </c>
      <c r="R202" s="280" t="n"/>
      <c r="S202" s="280" t="n"/>
      <c r="T202" s="280" t="n"/>
      <c r="U202" s="280" t="n"/>
      <c r="V202" s="280" t="n"/>
      <c r="W202" s="280" t="n"/>
      <c r="X202" s="280" t="n"/>
      <c r="Y202" s="280" t="n"/>
      <c r="Z202" s="375">
        <f>IF(AND(G202&lt;&gt;"",R202&lt;&gt;"",V202&lt;&gt;"",W202&lt;&gt;""),"COMPLETADO","OBSERVADO")</f>
        <v/>
      </c>
    </row>
    <row r="203" ht="15" customHeight="1" s="195">
      <c r="A203" s="334" t="n"/>
      <c r="B203" s="334" t="n"/>
      <c r="C203" s="334" t="n"/>
      <c r="D203" s="334" t="n"/>
      <c r="E203" s="334" t="n"/>
      <c r="F203" s="334" t="n"/>
      <c r="G203" s="334" t="n"/>
      <c r="H203" s="334" t="n"/>
      <c r="I203" s="332">
        <f>IFERROR(VLOOKUP(TEXT(H203,"0"),IPRESS!$A$3:$B$212,2,0),"")</f>
        <v/>
      </c>
      <c r="J203" s="334" t="n"/>
      <c r="K203" s="332">
        <f>IFERROR(VLOOKUP(TEXT(O203,"0"),CONDUCTORES!$A$3:$G$54,7,0),"")</f>
        <v/>
      </c>
      <c r="L203" s="334" t="n"/>
      <c r="M203" s="334" t="n"/>
      <c r="N203" s="333">
        <f>IFERROR(IF(L203*M203=0,"",L203*M203),"")</f>
        <v/>
      </c>
      <c r="O203" s="334" t="n"/>
      <c r="P203" s="332">
        <f>IFERROR(VLOOKUP(TEXT(O203,"0"),CONDUCTORES!$A$3:$G$54,2,0),"")</f>
        <v/>
      </c>
      <c r="Q203" s="332">
        <f>IFERROR(VLOOKUP(TEXT(O203,"0"),CONDUCTORES!$A$3:$H$54,6,0),"")</f>
        <v/>
      </c>
      <c r="R203" s="334" t="n"/>
      <c r="S203" s="334" t="n"/>
      <c r="T203" s="334" t="n"/>
      <c r="U203" s="334" t="n"/>
      <c r="V203" s="334" t="n"/>
      <c r="W203" s="334" t="n"/>
      <c r="X203" s="334" t="n"/>
      <c r="Y203" s="334" t="n"/>
      <c r="Z203" s="375">
        <f>IF(AND(G203&lt;&gt;"",R203&lt;&gt;"",V203&lt;&gt;"",W203&lt;&gt;""),"COMPLETADO","OBSERVADO")</f>
        <v/>
      </c>
    </row>
    <row r="204" ht="15" customHeight="1" s="195">
      <c r="A204" s="280" t="n"/>
      <c r="B204" s="280" t="n"/>
      <c r="C204" s="280" t="n"/>
      <c r="D204" s="280" t="n"/>
      <c r="E204" s="280" t="n"/>
      <c r="F204" s="280" t="n"/>
      <c r="G204" s="280" t="n"/>
      <c r="H204" s="280" t="n"/>
      <c r="I204" s="332">
        <f>IFERROR(VLOOKUP(TEXT(H204,"0"),IPRESS!$A$3:$B$212,2,0),"")</f>
        <v/>
      </c>
      <c r="J204" s="280" t="n"/>
      <c r="K204" s="332">
        <f>IFERROR(VLOOKUP(TEXT(O204,"0"),CONDUCTORES!$A$3:$G$54,7,0),"")</f>
        <v/>
      </c>
      <c r="L204" s="280" t="n"/>
      <c r="M204" s="280" t="n"/>
      <c r="N204" s="333">
        <f>IFERROR(IF(L204*M204=0,"",L204*M204),"")</f>
        <v/>
      </c>
      <c r="O204" s="280" t="n"/>
      <c r="P204" s="332">
        <f>IFERROR(VLOOKUP(TEXT(O204,"0"),CONDUCTORES!$A$3:$G$54,2,0),"")</f>
        <v/>
      </c>
      <c r="Q204" s="332">
        <f>IFERROR(VLOOKUP(TEXT(O204,"0"),CONDUCTORES!$A$3:$H$54,6,0),"")</f>
        <v/>
      </c>
      <c r="R204" s="280" t="n"/>
      <c r="S204" s="280" t="n"/>
      <c r="T204" s="280" t="n"/>
      <c r="U204" s="280" t="n"/>
      <c r="V204" s="280" t="n"/>
      <c r="W204" s="280" t="n"/>
      <c r="X204" s="280" t="n"/>
      <c r="Y204" s="280" t="n"/>
      <c r="Z204" s="375">
        <f>IF(AND(G204&lt;&gt;"",R204&lt;&gt;"",V204&lt;&gt;"",W204&lt;&gt;""),"COMPLETADO","OBSERVADO")</f>
        <v/>
      </c>
    </row>
    <row r="205" ht="15" customHeight="1" s="195">
      <c r="A205" s="334" t="n"/>
      <c r="B205" s="334" t="n"/>
      <c r="C205" s="334" t="n"/>
      <c r="D205" s="334" t="n"/>
      <c r="E205" s="334" t="n"/>
      <c r="F205" s="334" t="n"/>
      <c r="G205" s="334" t="n"/>
      <c r="H205" s="334" t="n"/>
      <c r="I205" s="332">
        <f>IFERROR(VLOOKUP(TEXT(H205,"0"),IPRESS!$A$3:$B$212,2,0),"")</f>
        <v/>
      </c>
      <c r="J205" s="334" t="n"/>
      <c r="K205" s="332">
        <f>IFERROR(VLOOKUP(TEXT(O205,"0"),CONDUCTORES!$A$3:$G$54,7,0),"")</f>
        <v/>
      </c>
      <c r="L205" s="334" t="n"/>
      <c r="M205" s="334" t="n"/>
      <c r="N205" s="333">
        <f>IFERROR(IF(L205*M205=0,"",L205*M205),"")</f>
        <v/>
      </c>
      <c r="O205" s="334" t="n"/>
      <c r="P205" s="332">
        <f>IFERROR(VLOOKUP(TEXT(O205,"0"),CONDUCTORES!$A$3:$G$54,2,0),"")</f>
        <v/>
      </c>
      <c r="Q205" s="332">
        <f>IFERROR(VLOOKUP(TEXT(O205,"0"),CONDUCTORES!$A$3:$H$54,6,0),"")</f>
        <v/>
      </c>
      <c r="R205" s="334" t="n"/>
      <c r="S205" s="334" t="n"/>
      <c r="T205" s="334" t="n"/>
      <c r="U205" s="334" t="n"/>
      <c r="V205" s="334" t="n"/>
      <c r="W205" s="334" t="n"/>
      <c r="X205" s="334" t="n"/>
      <c r="Y205" s="334" t="n"/>
      <c r="Z205" s="375">
        <f>IF(AND(G205&lt;&gt;"",R205&lt;&gt;"",V205&lt;&gt;"",W205&lt;&gt;""),"COMPLETADO","OBSERVADO")</f>
        <v/>
      </c>
    </row>
    <row r="206" ht="15" customHeight="1" s="195">
      <c r="A206" s="280" t="n"/>
      <c r="B206" s="280" t="n"/>
      <c r="C206" s="280" t="n"/>
      <c r="D206" s="280" t="n"/>
      <c r="E206" s="280" t="n"/>
      <c r="F206" s="280" t="n"/>
      <c r="G206" s="280" t="n"/>
      <c r="H206" s="280" t="n"/>
      <c r="I206" s="332">
        <f>IFERROR(VLOOKUP(TEXT(H206,"0"),IPRESS!$A$3:$B$212,2,0),"")</f>
        <v/>
      </c>
      <c r="J206" s="280" t="n"/>
      <c r="K206" s="332">
        <f>IFERROR(VLOOKUP(TEXT(O206,"0"),CONDUCTORES!$A$3:$G$54,7,0),"")</f>
        <v/>
      </c>
      <c r="L206" s="280" t="n"/>
      <c r="M206" s="280" t="n"/>
      <c r="N206" s="333">
        <f>IFERROR(IF(L206*M206=0,"",L206*M206),"")</f>
        <v/>
      </c>
      <c r="O206" s="280" t="n"/>
      <c r="P206" s="332">
        <f>IFERROR(VLOOKUP(TEXT(O206,"0"),CONDUCTORES!$A$3:$G$54,2,0),"")</f>
        <v/>
      </c>
      <c r="Q206" s="332">
        <f>IFERROR(VLOOKUP(TEXT(O206,"0"),CONDUCTORES!$A$3:$H$54,6,0),"")</f>
        <v/>
      </c>
      <c r="R206" s="280" t="n"/>
      <c r="S206" s="280" t="n"/>
      <c r="T206" s="280" t="n"/>
      <c r="U206" s="280" t="n"/>
      <c r="V206" s="280" t="n"/>
      <c r="W206" s="280" t="n"/>
      <c r="X206" s="280" t="n"/>
      <c r="Y206" s="280" t="n"/>
      <c r="Z206" s="375">
        <f>IF(AND(G206&lt;&gt;"",R206&lt;&gt;"",V206&lt;&gt;"",W206&lt;&gt;""),"COMPLETADO","OBSERVADO")</f>
        <v/>
      </c>
    </row>
    <row r="207" ht="15" customHeight="1" s="195">
      <c r="A207" s="334" t="n"/>
      <c r="B207" s="334" t="n"/>
      <c r="C207" s="334" t="n"/>
      <c r="D207" s="334" t="n"/>
      <c r="E207" s="334" t="n"/>
      <c r="F207" s="334" t="n"/>
      <c r="G207" s="334" t="n"/>
      <c r="H207" s="334" t="n"/>
      <c r="I207" s="332">
        <f>IFERROR(VLOOKUP(TEXT(H207,"0"),IPRESS!$A$3:$B$212,2,0),"")</f>
        <v/>
      </c>
      <c r="J207" s="334" t="n"/>
      <c r="K207" s="332">
        <f>IFERROR(VLOOKUP(TEXT(O207,"0"),CONDUCTORES!$A$3:$G$54,7,0),"")</f>
        <v/>
      </c>
      <c r="L207" s="334" t="n"/>
      <c r="M207" s="334" t="n"/>
      <c r="N207" s="333">
        <f>IFERROR(IF(L207*M207=0,"",L207*M207),"")</f>
        <v/>
      </c>
      <c r="O207" s="334" t="n"/>
      <c r="P207" s="332">
        <f>IFERROR(VLOOKUP(TEXT(O207,"0"),CONDUCTORES!$A$3:$G$54,2,0),"")</f>
        <v/>
      </c>
      <c r="Q207" s="332">
        <f>IFERROR(VLOOKUP(TEXT(O207,"0"),CONDUCTORES!$A$3:$H$54,6,0),"")</f>
        <v/>
      </c>
      <c r="R207" s="334" t="n"/>
      <c r="S207" s="334" t="n"/>
      <c r="T207" s="334" t="n"/>
      <c r="U207" s="334" t="n"/>
      <c r="V207" s="334" t="n"/>
      <c r="W207" s="334" t="n"/>
      <c r="X207" s="334" t="n"/>
      <c r="Y207" s="334" t="n"/>
      <c r="Z207" s="375">
        <f>IF(AND(G207&lt;&gt;"",R207&lt;&gt;"",V207&lt;&gt;"",W207&lt;&gt;""),"COMPLETADO","OBSERVADO")</f>
        <v/>
      </c>
    </row>
    <row r="208" ht="15" customHeight="1" s="195">
      <c r="A208" s="280" t="n"/>
      <c r="B208" s="280" t="n"/>
      <c r="C208" s="280" t="n"/>
      <c r="D208" s="280" t="n"/>
      <c r="E208" s="280" t="n"/>
      <c r="F208" s="280" t="n"/>
      <c r="G208" s="280" t="n"/>
      <c r="H208" s="280" t="n"/>
      <c r="I208" s="332">
        <f>IFERROR(VLOOKUP(TEXT(H208,"0"),IPRESS!$A$3:$B$212,2,0),"")</f>
        <v/>
      </c>
      <c r="J208" s="280" t="n"/>
      <c r="K208" s="332">
        <f>IFERROR(VLOOKUP(TEXT(O208,"0"),CONDUCTORES!$A$3:$G$54,7,0),"")</f>
        <v/>
      </c>
      <c r="L208" s="280" t="n"/>
      <c r="M208" s="280" t="n"/>
      <c r="N208" s="333">
        <f>IFERROR(IF(L208*M208=0,"",L208*M208),"")</f>
        <v/>
      </c>
      <c r="O208" s="280" t="n"/>
      <c r="P208" s="332">
        <f>IFERROR(VLOOKUP(TEXT(O208,"0"),CONDUCTORES!$A$3:$G$54,2,0),"")</f>
        <v/>
      </c>
      <c r="Q208" s="332">
        <f>IFERROR(VLOOKUP(TEXT(O208,"0"),CONDUCTORES!$A$3:$H$54,6,0),"")</f>
        <v/>
      </c>
      <c r="R208" s="280" t="n"/>
      <c r="S208" s="280" t="n"/>
      <c r="T208" s="280" t="n"/>
      <c r="U208" s="280" t="n"/>
      <c r="V208" s="280" t="n"/>
      <c r="W208" s="280" t="n"/>
      <c r="X208" s="280" t="n"/>
      <c r="Y208" s="280" t="n"/>
      <c r="Z208" s="375">
        <f>IF(AND(G208&lt;&gt;"",R208&lt;&gt;"",V208&lt;&gt;"",W208&lt;&gt;""),"COMPLETADO","OBSERVADO")</f>
        <v/>
      </c>
    </row>
    <row r="209" ht="15" customHeight="1" s="195">
      <c r="A209" s="334" t="n"/>
      <c r="B209" s="334" t="n"/>
      <c r="C209" s="334" t="n"/>
      <c r="D209" s="334" t="n"/>
      <c r="E209" s="334" t="n"/>
      <c r="F209" s="334" t="n"/>
      <c r="G209" s="334" t="n"/>
      <c r="H209" s="334" t="n"/>
      <c r="I209" s="332">
        <f>IFERROR(VLOOKUP(TEXT(H209,"0"),IPRESS!$A$3:$B$212,2,0),"")</f>
        <v/>
      </c>
      <c r="J209" s="334" t="n"/>
      <c r="K209" s="332">
        <f>IFERROR(VLOOKUP(TEXT(O209,"0"),CONDUCTORES!$A$3:$G$54,7,0),"")</f>
        <v/>
      </c>
      <c r="L209" s="334" t="n"/>
      <c r="M209" s="334" t="n"/>
      <c r="N209" s="333">
        <f>IFERROR(IF(L209*M209=0,"",L209*M209),"")</f>
        <v/>
      </c>
      <c r="O209" s="334" t="n"/>
      <c r="P209" s="332">
        <f>IFERROR(VLOOKUP(TEXT(O209,"0"),CONDUCTORES!$A$3:$G$54,2,0),"")</f>
        <v/>
      </c>
      <c r="Q209" s="332">
        <f>IFERROR(VLOOKUP(TEXT(O209,"0"),CONDUCTORES!$A$3:$H$54,6,0),"")</f>
        <v/>
      </c>
      <c r="R209" s="334" t="n"/>
      <c r="S209" s="334" t="n"/>
      <c r="T209" s="334" t="n"/>
      <c r="U209" s="334" t="n"/>
      <c r="V209" s="334" t="n"/>
      <c r="W209" s="334" t="n"/>
      <c r="X209" s="334" t="n"/>
      <c r="Y209" s="334" t="n"/>
      <c r="Z209" s="375">
        <f>IF(AND(G209&lt;&gt;"",R209&lt;&gt;"",V209&lt;&gt;"",W209&lt;&gt;""),"COMPLETADO","OBSERVADO")</f>
        <v/>
      </c>
    </row>
    <row r="210" ht="15" customHeight="1" s="195">
      <c r="A210" s="280" t="n"/>
      <c r="B210" s="280" t="n"/>
      <c r="C210" s="280" t="n"/>
      <c r="D210" s="280" t="n"/>
      <c r="E210" s="280" t="n"/>
      <c r="F210" s="280" t="n"/>
      <c r="G210" s="280" t="n"/>
      <c r="H210" s="280" t="n"/>
      <c r="I210" s="332">
        <f>IFERROR(VLOOKUP(TEXT(H210,"0"),IPRESS!$A$3:$B$212,2,0),"")</f>
        <v/>
      </c>
      <c r="J210" s="280" t="n"/>
      <c r="K210" s="332">
        <f>IFERROR(VLOOKUP(TEXT(O210,"0"),CONDUCTORES!$A$3:$G$54,7,0),"")</f>
        <v/>
      </c>
      <c r="L210" s="280" t="n"/>
      <c r="M210" s="280" t="n"/>
      <c r="N210" s="333">
        <f>IFERROR(IF(L210*M210=0,"",L210*M210),"")</f>
        <v/>
      </c>
      <c r="O210" s="280" t="n"/>
      <c r="P210" s="332">
        <f>IFERROR(VLOOKUP(TEXT(O210,"0"),CONDUCTORES!$A$3:$G$54,2,0),"")</f>
        <v/>
      </c>
      <c r="Q210" s="332">
        <f>IFERROR(VLOOKUP(TEXT(O210,"0"),CONDUCTORES!$A$3:$H$54,6,0),"")</f>
        <v/>
      </c>
      <c r="R210" s="280" t="n"/>
      <c r="S210" s="280" t="n"/>
      <c r="T210" s="280" t="n"/>
      <c r="U210" s="280" t="n"/>
      <c r="V210" s="280" t="n"/>
      <c r="W210" s="280" t="n"/>
      <c r="X210" s="280" t="n"/>
      <c r="Y210" s="280" t="n"/>
      <c r="Z210" s="375">
        <f>IF(AND(G210&lt;&gt;"",R210&lt;&gt;"",V210&lt;&gt;"",W210&lt;&gt;""),"COMPLETADO","OBSERVADO")</f>
        <v/>
      </c>
    </row>
    <row r="211" ht="15" customHeight="1" s="195">
      <c r="A211" s="334" t="n"/>
      <c r="B211" s="334" t="n"/>
      <c r="C211" s="334" t="n"/>
      <c r="D211" s="334" t="n"/>
      <c r="E211" s="334" t="n"/>
      <c r="F211" s="334" t="n"/>
      <c r="G211" s="334" t="n"/>
      <c r="H211" s="334" t="n"/>
      <c r="I211" s="332">
        <f>IFERROR(VLOOKUP(TEXT(H211,"0"),IPRESS!$A$3:$B$212,2,0),"")</f>
        <v/>
      </c>
      <c r="J211" s="334" t="n"/>
      <c r="K211" s="332">
        <f>IFERROR(VLOOKUP(TEXT(O211,"0"),CONDUCTORES!$A$3:$G$54,7,0),"")</f>
        <v/>
      </c>
      <c r="L211" s="334" t="n"/>
      <c r="M211" s="334" t="n"/>
      <c r="N211" s="333">
        <f>IFERROR(IF(L211*M211=0,"",L211*M211),"")</f>
        <v/>
      </c>
      <c r="O211" s="334" t="n"/>
      <c r="P211" s="332">
        <f>IFERROR(VLOOKUP(TEXT(O211,"0"),CONDUCTORES!$A$3:$G$54,2,0),"")</f>
        <v/>
      </c>
      <c r="Q211" s="332">
        <f>IFERROR(VLOOKUP(TEXT(O211,"0"),CONDUCTORES!$A$3:$H$54,6,0),"")</f>
        <v/>
      </c>
      <c r="R211" s="334" t="n"/>
      <c r="S211" s="334" t="n"/>
      <c r="T211" s="334" t="n"/>
      <c r="U211" s="334" t="n"/>
      <c r="V211" s="334" t="n"/>
      <c r="W211" s="334" t="n"/>
      <c r="X211" s="334" t="n"/>
      <c r="Y211" s="334" t="n"/>
      <c r="Z211" s="375">
        <f>IF(AND(G211&lt;&gt;"",R211&lt;&gt;"",V211&lt;&gt;"",W211&lt;&gt;""),"COMPLETADO","OBSERVADO")</f>
        <v/>
      </c>
    </row>
    <row r="212" ht="15" customHeight="1" s="195">
      <c r="A212" s="280" t="n"/>
      <c r="B212" s="280" t="n"/>
      <c r="C212" s="280" t="n"/>
      <c r="D212" s="280" t="n"/>
      <c r="E212" s="280" t="n"/>
      <c r="F212" s="280" t="n"/>
      <c r="G212" s="280" t="n"/>
      <c r="H212" s="280" t="n"/>
      <c r="I212" s="332">
        <f>IFERROR(VLOOKUP(TEXT(H212,"0"),IPRESS!$A$3:$B$212,2,0),"")</f>
        <v/>
      </c>
      <c r="J212" s="280" t="n"/>
      <c r="K212" s="332">
        <f>IFERROR(VLOOKUP(TEXT(O212,"0"),CONDUCTORES!$A$3:$G$54,7,0),"")</f>
        <v/>
      </c>
      <c r="L212" s="280" t="n"/>
      <c r="M212" s="280" t="n"/>
      <c r="N212" s="333">
        <f>IFERROR(IF(L212*M212=0,"",L212*M212),"")</f>
        <v/>
      </c>
      <c r="O212" s="280" t="n"/>
      <c r="P212" s="332">
        <f>IFERROR(VLOOKUP(TEXT(O212,"0"),CONDUCTORES!$A$3:$G$54,2,0),"")</f>
        <v/>
      </c>
      <c r="Q212" s="332">
        <f>IFERROR(VLOOKUP(TEXT(O212,"0"),CONDUCTORES!$A$3:$H$54,6,0),"")</f>
        <v/>
      </c>
      <c r="R212" s="280" t="n"/>
      <c r="S212" s="280" t="n"/>
      <c r="T212" s="280" t="n"/>
      <c r="U212" s="280" t="n"/>
      <c r="V212" s="280" t="n"/>
      <c r="W212" s="280" t="n"/>
      <c r="X212" s="280" t="n"/>
      <c r="Y212" s="280" t="n"/>
      <c r="Z212" s="375">
        <f>IF(AND(G212&lt;&gt;"",R212&lt;&gt;"",V212&lt;&gt;"",W212&lt;&gt;""),"COMPLETADO","OBSERVADO")</f>
        <v/>
      </c>
    </row>
    <row r="213" ht="15" customHeight="1" s="195">
      <c r="A213" s="334" t="n"/>
      <c r="B213" s="334" t="n"/>
      <c r="C213" s="334" t="n"/>
      <c r="D213" s="334" t="n"/>
      <c r="E213" s="334" t="n"/>
      <c r="F213" s="334" t="n"/>
      <c r="G213" s="334" t="n"/>
      <c r="H213" s="334" t="n"/>
      <c r="I213" s="332">
        <f>IFERROR(VLOOKUP(TEXT(H213,"0"),IPRESS!$A$3:$B$212,2,0),"")</f>
        <v/>
      </c>
      <c r="J213" s="334" t="n"/>
      <c r="K213" s="332">
        <f>IFERROR(VLOOKUP(TEXT(O213,"0"),CONDUCTORES!$A$3:$G$54,7,0),"")</f>
        <v/>
      </c>
      <c r="L213" s="334" t="n"/>
      <c r="M213" s="334" t="n"/>
      <c r="N213" s="333">
        <f>IFERROR(IF(L213*M213=0,"",L213*M213),"")</f>
        <v/>
      </c>
      <c r="O213" s="334" t="n"/>
      <c r="P213" s="332">
        <f>IFERROR(VLOOKUP(TEXT(O213,"0"),CONDUCTORES!$A$3:$G$54,2,0),"")</f>
        <v/>
      </c>
      <c r="Q213" s="332">
        <f>IFERROR(VLOOKUP(TEXT(O213,"0"),CONDUCTORES!$A$3:$H$54,6,0),"")</f>
        <v/>
      </c>
      <c r="R213" s="334" t="n"/>
      <c r="S213" s="334" t="n"/>
      <c r="T213" s="334" t="n"/>
      <c r="U213" s="334" t="n"/>
      <c r="V213" s="334" t="n"/>
      <c r="W213" s="334" t="n"/>
      <c r="X213" s="334" t="n"/>
      <c r="Y213" s="334" t="n"/>
      <c r="Z213" s="375">
        <f>IF(AND(G213&lt;&gt;"",R213&lt;&gt;"",V213&lt;&gt;"",W213&lt;&gt;""),"COMPLETADO","OBSERVADO")</f>
        <v/>
      </c>
    </row>
    <row r="214" ht="15" customHeight="1" s="195">
      <c r="A214" s="280" t="n"/>
      <c r="B214" s="280" t="n"/>
      <c r="C214" s="280" t="n"/>
      <c r="D214" s="280" t="n"/>
      <c r="E214" s="280" t="n"/>
      <c r="F214" s="280" t="n"/>
      <c r="G214" s="280" t="n"/>
      <c r="H214" s="280" t="n"/>
      <c r="I214" s="332">
        <f>IFERROR(VLOOKUP(TEXT(H214,"0"),IPRESS!$A$3:$B$212,2,0),"")</f>
        <v/>
      </c>
      <c r="J214" s="280" t="n"/>
      <c r="K214" s="332">
        <f>IFERROR(VLOOKUP(TEXT(O214,"0"),CONDUCTORES!$A$3:$G$54,7,0),"")</f>
        <v/>
      </c>
      <c r="L214" s="280" t="n"/>
      <c r="M214" s="280" t="n"/>
      <c r="N214" s="333">
        <f>IFERROR(IF(L214*M214=0,"",L214*M214),"")</f>
        <v/>
      </c>
      <c r="O214" s="280" t="n"/>
      <c r="P214" s="332">
        <f>IFERROR(VLOOKUP(TEXT(O214,"0"),CONDUCTORES!$A$3:$G$54,2,0),"")</f>
        <v/>
      </c>
      <c r="Q214" s="332">
        <f>IFERROR(VLOOKUP(TEXT(O214,"0"),CONDUCTORES!$A$3:$H$54,6,0),"")</f>
        <v/>
      </c>
      <c r="R214" s="280" t="n"/>
      <c r="S214" s="280" t="n"/>
      <c r="T214" s="280" t="n"/>
      <c r="U214" s="280" t="n"/>
      <c r="V214" s="280" t="n"/>
      <c r="W214" s="280" t="n"/>
      <c r="X214" s="280" t="n"/>
      <c r="Y214" s="280" t="n"/>
      <c r="Z214" s="375">
        <f>IF(AND(G214&lt;&gt;"",R214&lt;&gt;"",V214&lt;&gt;"",W214&lt;&gt;""),"COMPLETADO","OBSERVADO")</f>
        <v/>
      </c>
    </row>
    <row r="215" ht="15" customHeight="1" s="195">
      <c r="A215" s="334" t="n"/>
      <c r="B215" s="334" t="n"/>
      <c r="C215" s="334" t="n"/>
      <c r="D215" s="334" t="n"/>
      <c r="E215" s="334" t="n"/>
      <c r="F215" s="334" t="n"/>
      <c r="G215" s="334" t="n"/>
      <c r="H215" s="334" t="n"/>
      <c r="I215" s="332">
        <f>IFERROR(VLOOKUP(TEXT(H215,"0"),IPRESS!$A$3:$B$212,2,0),"")</f>
        <v/>
      </c>
      <c r="J215" s="334" t="n"/>
      <c r="K215" s="332">
        <f>IFERROR(VLOOKUP(TEXT(O215,"0"),CONDUCTORES!$A$3:$G$54,7,0),"")</f>
        <v/>
      </c>
      <c r="L215" s="334" t="n"/>
      <c r="M215" s="334" t="n"/>
      <c r="N215" s="333">
        <f>IFERROR(IF(L215*M215=0,"",L215*M215),"")</f>
        <v/>
      </c>
      <c r="O215" s="334" t="n"/>
      <c r="P215" s="332">
        <f>IFERROR(VLOOKUP(TEXT(O215,"0"),CONDUCTORES!$A$3:$G$54,2,0),"")</f>
        <v/>
      </c>
      <c r="Q215" s="332">
        <f>IFERROR(VLOOKUP(TEXT(O215,"0"),CONDUCTORES!$A$3:$H$54,6,0),"")</f>
        <v/>
      </c>
      <c r="R215" s="334" t="n"/>
      <c r="S215" s="334" t="n"/>
      <c r="T215" s="334" t="n"/>
      <c r="U215" s="334" t="n"/>
      <c r="V215" s="334" t="n"/>
      <c r="W215" s="334" t="n"/>
      <c r="X215" s="334" t="n"/>
      <c r="Y215" s="334" t="n"/>
      <c r="Z215" s="375">
        <f>IF(AND(G215&lt;&gt;"",R215&lt;&gt;"",V215&lt;&gt;"",W215&lt;&gt;""),"COMPLETADO","OBSERVADO")</f>
        <v/>
      </c>
    </row>
    <row r="216" ht="15" customHeight="1" s="195">
      <c r="A216" s="280" t="n"/>
      <c r="B216" s="280" t="n"/>
      <c r="C216" s="280" t="n"/>
      <c r="D216" s="280" t="n"/>
      <c r="E216" s="280" t="n"/>
      <c r="F216" s="280" t="n"/>
      <c r="G216" s="280" t="n"/>
      <c r="H216" s="280" t="n"/>
      <c r="I216" s="332">
        <f>IFERROR(VLOOKUP(TEXT(H216,"0"),IPRESS!$A$3:$B$212,2,0),"")</f>
        <v/>
      </c>
      <c r="J216" s="280" t="n"/>
      <c r="K216" s="332">
        <f>IFERROR(VLOOKUP(TEXT(O216,"0"),CONDUCTORES!$A$3:$G$54,7,0),"")</f>
        <v/>
      </c>
      <c r="L216" s="280" t="n"/>
      <c r="M216" s="280" t="n"/>
      <c r="N216" s="333">
        <f>IFERROR(IF(L216*M216=0,"",L216*M216),"")</f>
        <v/>
      </c>
      <c r="O216" s="280" t="n"/>
      <c r="P216" s="332">
        <f>IFERROR(VLOOKUP(TEXT(O216,"0"),CONDUCTORES!$A$3:$G$54,2,0),"")</f>
        <v/>
      </c>
      <c r="Q216" s="332">
        <f>IFERROR(VLOOKUP(TEXT(O216,"0"),CONDUCTORES!$A$3:$H$54,6,0),"")</f>
        <v/>
      </c>
      <c r="R216" s="280" t="n"/>
      <c r="S216" s="280" t="n"/>
      <c r="T216" s="280" t="n"/>
      <c r="U216" s="280" t="n"/>
      <c r="V216" s="280" t="n"/>
      <c r="W216" s="280" t="n"/>
      <c r="X216" s="280" t="n"/>
      <c r="Y216" s="280" t="n"/>
      <c r="Z216" s="375">
        <f>IF(AND(G216&lt;&gt;"",R216&lt;&gt;"",V216&lt;&gt;"",W216&lt;&gt;""),"COMPLETADO","OBSERVADO")</f>
        <v/>
      </c>
    </row>
    <row r="217" ht="15" customHeight="1" s="195">
      <c r="A217" s="334" t="n"/>
      <c r="B217" s="334" t="n"/>
      <c r="C217" s="334" t="n"/>
      <c r="D217" s="334" t="n"/>
      <c r="E217" s="334" t="n"/>
      <c r="F217" s="334" t="n"/>
      <c r="G217" s="334" t="n"/>
      <c r="H217" s="334" t="n"/>
      <c r="I217" s="332">
        <f>IFERROR(VLOOKUP(TEXT(H217,"0"),IPRESS!$A$3:$B$212,2,0),"")</f>
        <v/>
      </c>
      <c r="J217" s="334" t="n"/>
      <c r="K217" s="332">
        <f>IFERROR(VLOOKUP(TEXT(O217,"0"),CONDUCTORES!$A$3:$G$54,7,0),"")</f>
        <v/>
      </c>
      <c r="L217" s="334" t="n"/>
      <c r="M217" s="334" t="n"/>
      <c r="N217" s="333">
        <f>IFERROR(IF(L217*M217=0,"",L217*M217),"")</f>
        <v/>
      </c>
      <c r="O217" s="334" t="n"/>
      <c r="P217" s="332">
        <f>IFERROR(VLOOKUP(TEXT(O217,"0"),CONDUCTORES!$A$3:$G$54,2,0),"")</f>
        <v/>
      </c>
      <c r="Q217" s="332">
        <f>IFERROR(VLOOKUP(TEXT(O217,"0"),CONDUCTORES!$A$3:$H$54,6,0),"")</f>
        <v/>
      </c>
      <c r="R217" s="334" t="n"/>
      <c r="S217" s="334" t="n"/>
      <c r="T217" s="334" t="n"/>
      <c r="U217" s="334" t="n"/>
      <c r="V217" s="334" t="n"/>
      <c r="W217" s="334" t="n"/>
      <c r="X217" s="334" t="n"/>
      <c r="Y217" s="334" t="n"/>
      <c r="Z217" s="375">
        <f>IF(AND(G217&lt;&gt;"",R217&lt;&gt;"",V217&lt;&gt;"",W217&lt;&gt;""),"COMPLETADO","OBSERVADO")</f>
        <v/>
      </c>
    </row>
    <row r="218" ht="15" customHeight="1" s="195">
      <c r="A218" s="280" t="n"/>
      <c r="B218" s="280" t="n"/>
      <c r="C218" s="280" t="n"/>
      <c r="D218" s="280" t="n"/>
      <c r="E218" s="280" t="n"/>
      <c r="F218" s="280" t="n"/>
      <c r="G218" s="280" t="n"/>
      <c r="H218" s="280" t="n"/>
      <c r="I218" s="332">
        <f>IFERROR(VLOOKUP(TEXT(H218,"0"),IPRESS!$A$3:$B$212,2,0),"")</f>
        <v/>
      </c>
      <c r="J218" s="280" t="n"/>
      <c r="K218" s="332">
        <f>IFERROR(VLOOKUP(TEXT(O218,"0"),CONDUCTORES!$A$3:$G$54,7,0),"")</f>
        <v/>
      </c>
      <c r="L218" s="280" t="n"/>
      <c r="M218" s="280" t="n"/>
      <c r="N218" s="333">
        <f>IFERROR(IF(L218*M218=0,"",L218*M218),"")</f>
        <v/>
      </c>
      <c r="O218" s="280" t="n"/>
      <c r="P218" s="332">
        <f>IFERROR(VLOOKUP(TEXT(O218,"0"),CONDUCTORES!$A$3:$G$54,2,0),"")</f>
        <v/>
      </c>
      <c r="Q218" s="332">
        <f>IFERROR(VLOOKUP(TEXT(O218,"0"),CONDUCTORES!$A$3:$H$54,6,0),"")</f>
        <v/>
      </c>
      <c r="R218" s="280" t="n"/>
      <c r="S218" s="280" t="n"/>
      <c r="T218" s="280" t="n"/>
      <c r="U218" s="280" t="n"/>
      <c r="V218" s="280" t="n"/>
      <c r="W218" s="280" t="n"/>
      <c r="X218" s="280" t="n"/>
      <c r="Y218" s="280" t="n"/>
      <c r="Z218" s="375">
        <f>IF(AND(G218&lt;&gt;"",R218&lt;&gt;"",V218&lt;&gt;"",W218&lt;&gt;""),"COMPLETADO","OBSERVADO")</f>
        <v/>
      </c>
    </row>
    <row r="219" ht="15" customHeight="1" s="195">
      <c r="A219" s="334" t="n"/>
      <c r="B219" s="334" t="n"/>
      <c r="C219" s="334" t="n"/>
      <c r="D219" s="334" t="n"/>
      <c r="E219" s="334" t="n"/>
      <c r="F219" s="334" t="n"/>
      <c r="G219" s="334" t="n"/>
      <c r="H219" s="334" t="n"/>
      <c r="I219" s="332">
        <f>IFERROR(VLOOKUP(TEXT(H219,"0"),IPRESS!$A$3:$B$212,2,0),"")</f>
        <v/>
      </c>
      <c r="J219" s="334" t="n"/>
      <c r="K219" s="332">
        <f>IFERROR(VLOOKUP(TEXT(O219,"0"),CONDUCTORES!$A$3:$G$54,7,0),"")</f>
        <v/>
      </c>
      <c r="L219" s="334" t="n"/>
      <c r="M219" s="334" t="n"/>
      <c r="N219" s="333">
        <f>IFERROR(IF(L219*M219=0,"",L219*M219),"")</f>
        <v/>
      </c>
      <c r="O219" s="334" t="n"/>
      <c r="P219" s="332">
        <f>IFERROR(VLOOKUP(TEXT(O219,"0"),CONDUCTORES!$A$3:$G$54,2,0),"")</f>
        <v/>
      </c>
      <c r="Q219" s="332">
        <f>IFERROR(VLOOKUP(TEXT(O219,"0"),CONDUCTORES!$A$3:$H$54,6,0),"")</f>
        <v/>
      </c>
      <c r="R219" s="334" t="n"/>
      <c r="S219" s="334" t="n"/>
      <c r="T219" s="334" t="n"/>
      <c r="U219" s="334" t="n"/>
      <c r="V219" s="334" t="n"/>
      <c r="W219" s="334" t="n"/>
      <c r="X219" s="334" t="n"/>
      <c r="Y219" s="334" t="n"/>
      <c r="Z219" s="375">
        <f>IF(AND(G219&lt;&gt;"",R219&lt;&gt;"",V219&lt;&gt;"",W219&lt;&gt;""),"COMPLETADO","OBSERVADO")</f>
        <v/>
      </c>
    </row>
    <row r="220" ht="15" customHeight="1" s="195">
      <c r="A220" s="280" t="n"/>
      <c r="B220" s="280" t="n"/>
      <c r="C220" s="280" t="n"/>
      <c r="D220" s="280" t="n"/>
      <c r="E220" s="280" t="n"/>
      <c r="F220" s="280" t="n"/>
      <c r="G220" s="280" t="n"/>
      <c r="H220" s="280" t="n"/>
      <c r="I220" s="332">
        <f>IFERROR(VLOOKUP(TEXT(H220,"0"),IPRESS!$A$3:$B$212,2,0),"")</f>
        <v/>
      </c>
      <c r="J220" s="280" t="n"/>
      <c r="K220" s="332">
        <f>IFERROR(VLOOKUP(TEXT(O220,"0"),CONDUCTORES!$A$3:$G$54,7,0),"")</f>
        <v/>
      </c>
      <c r="L220" s="280" t="n"/>
      <c r="M220" s="280" t="n"/>
      <c r="N220" s="333">
        <f>IFERROR(IF(L220*M220=0,"",L220*M220),"")</f>
        <v/>
      </c>
      <c r="O220" s="280" t="n"/>
      <c r="P220" s="332">
        <f>IFERROR(VLOOKUP(TEXT(O220,"0"),CONDUCTORES!$A$3:$G$54,2,0),"")</f>
        <v/>
      </c>
      <c r="Q220" s="332">
        <f>IFERROR(VLOOKUP(TEXT(O220,"0"),CONDUCTORES!$A$3:$H$54,6,0),"")</f>
        <v/>
      </c>
      <c r="R220" s="280" t="n"/>
      <c r="S220" s="280" t="n"/>
      <c r="T220" s="280" t="n"/>
      <c r="U220" s="280" t="n"/>
      <c r="V220" s="280" t="n"/>
      <c r="W220" s="280" t="n"/>
      <c r="X220" s="280" t="n"/>
      <c r="Y220" s="280" t="n"/>
      <c r="Z220" s="375">
        <f>IF(AND(G220&lt;&gt;"",R220&lt;&gt;"",V220&lt;&gt;"",W220&lt;&gt;""),"COMPLETADO","OBSERVADO")</f>
        <v/>
      </c>
    </row>
    <row r="221" ht="15" customHeight="1" s="195">
      <c r="A221" s="334" t="n"/>
      <c r="B221" s="334" t="n"/>
      <c r="C221" s="334" t="n"/>
      <c r="D221" s="334" t="n"/>
      <c r="E221" s="334" t="n"/>
      <c r="F221" s="334" t="n"/>
      <c r="G221" s="334" t="n"/>
      <c r="H221" s="334" t="n"/>
      <c r="I221" s="332">
        <f>IFERROR(VLOOKUP(TEXT(H221,"0"),IPRESS!$A$3:$B$212,2,0),"")</f>
        <v/>
      </c>
      <c r="J221" s="334" t="n"/>
      <c r="K221" s="332">
        <f>IFERROR(VLOOKUP(TEXT(O221,"0"),CONDUCTORES!$A$3:$G$54,7,0),"")</f>
        <v/>
      </c>
      <c r="L221" s="334" t="n"/>
      <c r="M221" s="334" t="n"/>
      <c r="N221" s="333">
        <f>IFERROR(IF(L221*M221=0,"",L221*M221),"")</f>
        <v/>
      </c>
      <c r="O221" s="334" t="n"/>
      <c r="P221" s="332">
        <f>IFERROR(VLOOKUP(TEXT(O221,"0"),CONDUCTORES!$A$3:$G$54,2,0),"")</f>
        <v/>
      </c>
      <c r="Q221" s="332">
        <f>IFERROR(VLOOKUP(TEXT(O221,"0"),CONDUCTORES!$A$3:$H$54,6,0),"")</f>
        <v/>
      </c>
      <c r="R221" s="334" t="n"/>
      <c r="S221" s="334" t="n"/>
      <c r="T221" s="334" t="n"/>
      <c r="U221" s="334" t="n"/>
      <c r="V221" s="334" t="n"/>
      <c r="W221" s="334" t="n"/>
      <c r="X221" s="334" t="n"/>
      <c r="Y221" s="334" t="n"/>
      <c r="Z221" s="375">
        <f>IF(AND(G221&lt;&gt;"",R221&lt;&gt;"",V221&lt;&gt;"",W221&lt;&gt;""),"COMPLETADO","OBSERVADO")</f>
        <v/>
      </c>
    </row>
    <row r="222" ht="15" customHeight="1" s="195">
      <c r="A222" s="280" t="n"/>
      <c r="B222" s="280" t="n"/>
      <c r="C222" s="280" t="n"/>
      <c r="D222" s="280" t="n"/>
      <c r="E222" s="280" t="n"/>
      <c r="F222" s="280" t="n"/>
      <c r="G222" s="280" t="n"/>
      <c r="H222" s="280" t="n"/>
      <c r="I222" s="332">
        <f>IFERROR(VLOOKUP(TEXT(H222,"0"),IPRESS!$A$3:$B$212,2,0),"")</f>
        <v/>
      </c>
      <c r="J222" s="280" t="n"/>
      <c r="K222" s="332">
        <f>IFERROR(VLOOKUP(TEXT(O222,"0"),CONDUCTORES!$A$3:$G$54,7,0),"")</f>
        <v/>
      </c>
      <c r="L222" s="280" t="n"/>
      <c r="M222" s="280" t="n"/>
      <c r="N222" s="333">
        <f>IFERROR(IF(L222*M222=0,"",L222*M222),"")</f>
        <v/>
      </c>
      <c r="O222" s="280" t="n"/>
      <c r="P222" s="332">
        <f>IFERROR(VLOOKUP(TEXT(O222,"0"),CONDUCTORES!$A$3:$G$54,2,0),"")</f>
        <v/>
      </c>
      <c r="Q222" s="332">
        <f>IFERROR(VLOOKUP(TEXT(O222,"0"),CONDUCTORES!$A$3:$H$54,6,0),"")</f>
        <v/>
      </c>
      <c r="R222" s="280" t="n"/>
      <c r="S222" s="280" t="n"/>
      <c r="T222" s="280" t="n"/>
      <c r="U222" s="280" t="n"/>
      <c r="V222" s="280" t="n"/>
      <c r="W222" s="280" t="n"/>
      <c r="X222" s="280" t="n"/>
      <c r="Y222" s="280" t="n"/>
      <c r="Z222" s="375">
        <f>IF(AND(G222&lt;&gt;"",R222&lt;&gt;"",V222&lt;&gt;"",W222&lt;&gt;""),"COMPLETADO","OBSERVADO")</f>
        <v/>
      </c>
    </row>
    <row r="223" ht="15" customHeight="1" s="195">
      <c r="A223" s="334" t="n"/>
      <c r="B223" s="334" t="n"/>
      <c r="C223" s="334" t="n"/>
      <c r="D223" s="334" t="n"/>
      <c r="E223" s="334" t="n"/>
      <c r="F223" s="334" t="n"/>
      <c r="G223" s="334" t="n"/>
      <c r="H223" s="334" t="n"/>
      <c r="I223" s="332">
        <f>IFERROR(VLOOKUP(TEXT(H223,"0"),IPRESS!$A$3:$B$212,2,0),"")</f>
        <v/>
      </c>
      <c r="J223" s="334" t="n"/>
      <c r="K223" s="332">
        <f>IFERROR(VLOOKUP(TEXT(O223,"0"),CONDUCTORES!$A$3:$G$54,7,0),"")</f>
        <v/>
      </c>
      <c r="L223" s="334" t="n"/>
      <c r="M223" s="334" t="n"/>
      <c r="N223" s="333">
        <f>IFERROR(IF(L223*M223=0,"",L223*M223),"")</f>
        <v/>
      </c>
      <c r="O223" s="334" t="n"/>
      <c r="P223" s="332">
        <f>IFERROR(VLOOKUP(TEXT(O223,"0"),CONDUCTORES!$A$3:$G$54,2,0),"")</f>
        <v/>
      </c>
      <c r="Q223" s="332">
        <f>IFERROR(VLOOKUP(TEXT(O223,"0"),CONDUCTORES!$A$3:$H$54,6,0),"")</f>
        <v/>
      </c>
      <c r="R223" s="334" t="n"/>
      <c r="S223" s="334" t="n"/>
      <c r="T223" s="334" t="n"/>
      <c r="U223" s="334" t="n"/>
      <c r="V223" s="334" t="n"/>
      <c r="W223" s="334" t="n"/>
      <c r="X223" s="334" t="n"/>
      <c r="Y223" s="334" t="n"/>
      <c r="Z223" s="375">
        <f>IF(AND(G223&lt;&gt;"",R223&lt;&gt;"",V223&lt;&gt;"",W223&lt;&gt;""),"COMPLETADO","OBSERVADO")</f>
        <v/>
      </c>
    </row>
    <row r="224" ht="15" customHeight="1" s="195">
      <c r="A224" s="280" t="n"/>
      <c r="B224" s="280" t="n"/>
      <c r="C224" s="280" t="n"/>
      <c r="D224" s="280" t="n"/>
      <c r="E224" s="280" t="n"/>
      <c r="F224" s="280" t="n"/>
      <c r="G224" s="280" t="n"/>
      <c r="H224" s="280" t="n"/>
      <c r="I224" s="332">
        <f>IFERROR(VLOOKUP(TEXT(H224,"0"),IPRESS!$A$3:$B$212,2,0),"")</f>
        <v/>
      </c>
      <c r="J224" s="280" t="n"/>
      <c r="K224" s="332">
        <f>IFERROR(VLOOKUP(TEXT(O224,"0"),CONDUCTORES!$A$3:$G$54,7,0),"")</f>
        <v/>
      </c>
      <c r="L224" s="280" t="n"/>
      <c r="M224" s="280" t="n"/>
      <c r="N224" s="333">
        <f>IFERROR(IF(L224*M224=0,"",L224*M224),"")</f>
        <v/>
      </c>
      <c r="O224" s="280" t="n"/>
      <c r="P224" s="332">
        <f>IFERROR(VLOOKUP(TEXT(O224,"0"),CONDUCTORES!$A$3:$G$54,2,0),"")</f>
        <v/>
      </c>
      <c r="Q224" s="332">
        <f>IFERROR(VLOOKUP(TEXT(O224,"0"),CONDUCTORES!$A$3:$H$54,6,0),"")</f>
        <v/>
      </c>
      <c r="R224" s="280" t="n"/>
      <c r="S224" s="280" t="n"/>
      <c r="T224" s="280" t="n"/>
      <c r="U224" s="280" t="n"/>
      <c r="V224" s="280" t="n"/>
      <c r="W224" s="280" t="n"/>
      <c r="X224" s="280" t="n"/>
      <c r="Y224" s="280" t="n"/>
      <c r="Z224" s="375">
        <f>IF(AND(G224&lt;&gt;"",R224&lt;&gt;"",V224&lt;&gt;"",W224&lt;&gt;""),"COMPLETADO","OBSERVADO")</f>
        <v/>
      </c>
    </row>
    <row r="225" ht="15" customHeight="1" s="195">
      <c r="A225" s="334" t="n"/>
      <c r="B225" s="334" t="n"/>
      <c r="C225" s="334" t="n"/>
      <c r="D225" s="334" t="n"/>
      <c r="E225" s="334" t="n"/>
      <c r="F225" s="334" t="n"/>
      <c r="G225" s="334" t="n"/>
      <c r="H225" s="334" t="n"/>
      <c r="I225" s="332">
        <f>IFERROR(VLOOKUP(TEXT(H225,"0"),IPRESS!$A$3:$B$212,2,0),"")</f>
        <v/>
      </c>
      <c r="J225" s="334" t="n"/>
      <c r="K225" s="332">
        <f>IFERROR(VLOOKUP(TEXT(O225,"0"),CONDUCTORES!$A$3:$G$54,7,0),"")</f>
        <v/>
      </c>
      <c r="L225" s="334" t="n"/>
      <c r="M225" s="334" t="n"/>
      <c r="N225" s="333">
        <f>IFERROR(IF(L225*M225=0,"",L225*M225),"")</f>
        <v/>
      </c>
      <c r="O225" s="334" t="n"/>
      <c r="P225" s="332">
        <f>IFERROR(VLOOKUP(TEXT(O225,"0"),CONDUCTORES!$A$3:$G$54,2,0),"")</f>
        <v/>
      </c>
      <c r="Q225" s="332">
        <f>IFERROR(VLOOKUP(TEXT(O225,"0"),CONDUCTORES!$A$3:$H$54,6,0),"")</f>
        <v/>
      </c>
      <c r="R225" s="334" t="n"/>
      <c r="S225" s="334" t="n"/>
      <c r="T225" s="334" t="n"/>
      <c r="U225" s="334" t="n"/>
      <c r="V225" s="334" t="n"/>
      <c r="W225" s="334" t="n"/>
      <c r="X225" s="334" t="n"/>
      <c r="Y225" s="334" t="n"/>
      <c r="Z225" s="375">
        <f>IF(AND(G225&lt;&gt;"",R225&lt;&gt;"",V225&lt;&gt;"",W225&lt;&gt;""),"COMPLETADO","OBSERVADO")</f>
        <v/>
      </c>
    </row>
    <row r="226" ht="15" customHeight="1" s="195">
      <c r="A226" s="280" t="n"/>
      <c r="B226" s="280" t="n"/>
      <c r="C226" s="280" t="n"/>
      <c r="D226" s="280" t="n"/>
      <c r="E226" s="280" t="n"/>
      <c r="F226" s="280" t="n"/>
      <c r="G226" s="280" t="n"/>
      <c r="H226" s="280" t="n"/>
      <c r="I226" s="332">
        <f>IFERROR(VLOOKUP(TEXT(H226,"0"),IPRESS!$A$3:$B$212,2,0),"")</f>
        <v/>
      </c>
      <c r="J226" s="280" t="n"/>
      <c r="K226" s="332">
        <f>IFERROR(VLOOKUP(TEXT(O226,"0"),CONDUCTORES!$A$3:$G$54,7,0),"")</f>
        <v/>
      </c>
      <c r="L226" s="280" t="n"/>
      <c r="M226" s="280" t="n"/>
      <c r="N226" s="333">
        <f>IFERROR(IF(L226*M226=0,"",L226*M226),"")</f>
        <v/>
      </c>
      <c r="O226" s="280" t="n"/>
      <c r="P226" s="332">
        <f>IFERROR(VLOOKUP(TEXT(O226,"0"),CONDUCTORES!$A$3:$G$54,2,0),"")</f>
        <v/>
      </c>
      <c r="Q226" s="332">
        <f>IFERROR(VLOOKUP(TEXT(O226,"0"),CONDUCTORES!$A$3:$H$54,6,0),"")</f>
        <v/>
      </c>
      <c r="R226" s="280" t="n"/>
      <c r="S226" s="280" t="n"/>
      <c r="T226" s="280" t="n"/>
      <c r="U226" s="280" t="n"/>
      <c r="V226" s="280" t="n"/>
      <c r="W226" s="280" t="n"/>
      <c r="X226" s="280" t="n"/>
      <c r="Y226" s="280" t="n"/>
      <c r="Z226" s="375">
        <f>IF(AND(G226&lt;&gt;"",R226&lt;&gt;"",V226&lt;&gt;"",W226&lt;&gt;""),"COMPLETADO","OBSERVADO")</f>
        <v/>
      </c>
    </row>
    <row r="227" ht="15" customHeight="1" s="195">
      <c r="A227" s="334" t="n"/>
      <c r="B227" s="334" t="n"/>
      <c r="C227" s="334" t="n"/>
      <c r="D227" s="334" t="n"/>
      <c r="E227" s="334" t="n"/>
      <c r="F227" s="334" t="n"/>
      <c r="G227" s="334" t="n"/>
      <c r="H227" s="334" t="n"/>
      <c r="I227" s="332">
        <f>IFERROR(VLOOKUP(TEXT(H227,"0"),IPRESS!$A$3:$B$212,2,0),"")</f>
        <v/>
      </c>
      <c r="J227" s="334" t="n"/>
      <c r="K227" s="332">
        <f>IFERROR(VLOOKUP(TEXT(O227,"0"),CONDUCTORES!$A$3:$G$54,7,0),"")</f>
        <v/>
      </c>
      <c r="L227" s="334" t="n"/>
      <c r="M227" s="334" t="n"/>
      <c r="N227" s="333">
        <f>IFERROR(IF(L227*M227=0,"",L227*M227),"")</f>
        <v/>
      </c>
      <c r="O227" s="334" t="n"/>
      <c r="P227" s="332">
        <f>IFERROR(VLOOKUP(TEXT(O227,"0"),CONDUCTORES!$A$3:$G$54,2,0),"")</f>
        <v/>
      </c>
      <c r="Q227" s="332">
        <f>IFERROR(VLOOKUP(TEXT(O227,"0"),CONDUCTORES!$A$3:$H$54,6,0),"")</f>
        <v/>
      </c>
      <c r="R227" s="334" t="n"/>
      <c r="S227" s="334" t="n"/>
      <c r="T227" s="334" t="n"/>
      <c r="U227" s="334" t="n"/>
      <c r="V227" s="334" t="n"/>
      <c r="W227" s="334" t="n"/>
      <c r="X227" s="334" t="n"/>
      <c r="Y227" s="334" t="n"/>
      <c r="Z227" s="375">
        <f>IF(AND(G227&lt;&gt;"",R227&lt;&gt;"",V227&lt;&gt;"",W227&lt;&gt;""),"COMPLETADO","OBSERVADO")</f>
        <v/>
      </c>
    </row>
    <row r="228" ht="15" customHeight="1" s="195">
      <c r="A228" s="280" t="n"/>
      <c r="B228" s="280" t="n"/>
      <c r="C228" s="280" t="n"/>
      <c r="D228" s="280" t="n"/>
      <c r="E228" s="280" t="n"/>
      <c r="F228" s="280" t="n"/>
      <c r="G228" s="280" t="n"/>
      <c r="H228" s="280" t="n"/>
      <c r="I228" s="332">
        <f>IFERROR(VLOOKUP(TEXT(H228,"0"),IPRESS!$A$3:$B$212,2,0),"")</f>
        <v/>
      </c>
      <c r="J228" s="280" t="n"/>
      <c r="K228" s="332">
        <f>IFERROR(VLOOKUP(TEXT(O228,"0"),CONDUCTORES!$A$3:$G$54,7,0),"")</f>
        <v/>
      </c>
      <c r="L228" s="280" t="n"/>
      <c r="M228" s="280" t="n"/>
      <c r="N228" s="333">
        <f>IFERROR(IF(L228*M228=0,"",L228*M228),"")</f>
        <v/>
      </c>
      <c r="O228" s="280" t="n"/>
      <c r="P228" s="332">
        <f>IFERROR(VLOOKUP(TEXT(O228,"0"),CONDUCTORES!$A$3:$G$54,2,0),"")</f>
        <v/>
      </c>
      <c r="Q228" s="332">
        <f>IFERROR(VLOOKUP(TEXT(O228,"0"),CONDUCTORES!$A$3:$H$54,6,0),"")</f>
        <v/>
      </c>
      <c r="R228" s="280" t="n"/>
      <c r="S228" s="280" t="n"/>
      <c r="T228" s="280" t="n"/>
      <c r="U228" s="280" t="n"/>
      <c r="V228" s="280" t="n"/>
      <c r="W228" s="280" t="n"/>
      <c r="X228" s="280" t="n"/>
      <c r="Y228" s="280" t="n"/>
      <c r="Z228" s="375">
        <f>IF(AND(G228&lt;&gt;"",R228&lt;&gt;"",V228&lt;&gt;"",W228&lt;&gt;""),"COMPLETADO","OBSERVADO")</f>
        <v/>
      </c>
    </row>
    <row r="229" ht="15" customHeight="1" s="195">
      <c r="A229" s="334" t="n"/>
      <c r="B229" s="334" t="n"/>
      <c r="C229" s="334" t="n"/>
      <c r="D229" s="334" t="n"/>
      <c r="E229" s="334" t="n"/>
      <c r="F229" s="334" t="n"/>
      <c r="G229" s="334" t="n"/>
      <c r="H229" s="334" t="n"/>
      <c r="I229" s="332">
        <f>IFERROR(VLOOKUP(TEXT(H229,"0"),IPRESS!$A$3:$B$212,2,0),"")</f>
        <v/>
      </c>
      <c r="J229" s="334" t="n"/>
      <c r="K229" s="332">
        <f>IFERROR(VLOOKUP(TEXT(O229,"0"),CONDUCTORES!$A$3:$G$54,7,0),"")</f>
        <v/>
      </c>
      <c r="L229" s="334" t="n"/>
      <c r="M229" s="334" t="n"/>
      <c r="N229" s="333">
        <f>IFERROR(IF(L229*M229=0,"",L229*M229),"")</f>
        <v/>
      </c>
      <c r="O229" s="334" t="n"/>
      <c r="P229" s="332">
        <f>IFERROR(VLOOKUP(TEXT(O229,"0"),CONDUCTORES!$A$3:$G$54,2,0),"")</f>
        <v/>
      </c>
      <c r="Q229" s="332">
        <f>IFERROR(VLOOKUP(TEXT(O229,"0"),CONDUCTORES!$A$3:$H$54,6,0),"")</f>
        <v/>
      </c>
      <c r="R229" s="334" t="n"/>
      <c r="S229" s="334" t="n"/>
      <c r="T229" s="334" t="n"/>
      <c r="U229" s="334" t="n"/>
      <c r="V229" s="334" t="n"/>
      <c r="W229" s="334" t="n"/>
      <c r="X229" s="334" t="n"/>
      <c r="Y229" s="334" t="n"/>
      <c r="Z229" s="375">
        <f>IF(AND(G229&lt;&gt;"",R229&lt;&gt;"",V229&lt;&gt;"",W229&lt;&gt;""),"COMPLETADO","OBSERVADO")</f>
        <v/>
      </c>
    </row>
    <row r="230" ht="15" customHeight="1" s="195">
      <c r="A230" s="280" t="n"/>
      <c r="B230" s="280" t="n"/>
      <c r="C230" s="280" t="n"/>
      <c r="D230" s="280" t="n"/>
      <c r="E230" s="280" t="n"/>
      <c r="F230" s="280" t="n"/>
      <c r="G230" s="280" t="n"/>
      <c r="H230" s="280" t="n"/>
      <c r="I230" s="332">
        <f>IFERROR(VLOOKUP(TEXT(H230,"0"),IPRESS!$A$3:$B$212,2,0),"")</f>
        <v/>
      </c>
      <c r="J230" s="280" t="n"/>
      <c r="K230" s="332">
        <f>IFERROR(VLOOKUP(TEXT(O230,"0"),CONDUCTORES!$A$3:$G$54,7,0),"")</f>
        <v/>
      </c>
      <c r="L230" s="280" t="n"/>
      <c r="M230" s="280" t="n"/>
      <c r="N230" s="333">
        <f>IFERROR(IF(L230*M230=0,"",L230*M230),"")</f>
        <v/>
      </c>
      <c r="O230" s="280" t="n"/>
      <c r="P230" s="332">
        <f>IFERROR(VLOOKUP(TEXT(O230,"0"),CONDUCTORES!$A$3:$G$54,2,0),"")</f>
        <v/>
      </c>
      <c r="Q230" s="332">
        <f>IFERROR(VLOOKUP(TEXT(O230,"0"),CONDUCTORES!$A$3:$H$54,6,0),"")</f>
        <v/>
      </c>
      <c r="R230" s="280" t="n"/>
      <c r="S230" s="280" t="n"/>
      <c r="T230" s="280" t="n"/>
      <c r="U230" s="280" t="n"/>
      <c r="V230" s="280" t="n"/>
      <c r="W230" s="280" t="n"/>
      <c r="X230" s="280" t="n"/>
      <c r="Y230" s="280" t="n"/>
      <c r="Z230" s="375">
        <f>IF(AND(G230&lt;&gt;"",R230&lt;&gt;"",V230&lt;&gt;"",W230&lt;&gt;""),"COMPLETADO","OBSERVADO")</f>
        <v/>
      </c>
    </row>
    <row r="231" ht="15" customHeight="1" s="195">
      <c r="A231" s="334" t="n"/>
      <c r="B231" s="334" t="n"/>
      <c r="C231" s="334" t="n"/>
      <c r="D231" s="334" t="n"/>
      <c r="E231" s="334" t="n"/>
      <c r="F231" s="334" t="n"/>
      <c r="G231" s="334" t="n"/>
      <c r="H231" s="334" t="n"/>
      <c r="I231" s="332">
        <f>IFERROR(VLOOKUP(TEXT(H231,"0"),IPRESS!$A$3:$B$212,2,0),"")</f>
        <v/>
      </c>
      <c r="J231" s="334" t="n"/>
      <c r="K231" s="332">
        <f>IFERROR(VLOOKUP(TEXT(O231,"0"),CONDUCTORES!$A$3:$G$54,7,0),"")</f>
        <v/>
      </c>
      <c r="L231" s="334" t="n"/>
      <c r="M231" s="334" t="n"/>
      <c r="N231" s="333">
        <f>IFERROR(IF(L231*M231=0,"",L231*M231),"")</f>
        <v/>
      </c>
      <c r="O231" s="334" t="n"/>
      <c r="P231" s="332">
        <f>IFERROR(VLOOKUP(TEXT(O231,"0"),CONDUCTORES!$A$3:$G$54,2,0),"")</f>
        <v/>
      </c>
      <c r="Q231" s="332">
        <f>IFERROR(VLOOKUP(TEXT(O231,"0"),CONDUCTORES!$A$3:$H$54,6,0),"")</f>
        <v/>
      </c>
      <c r="R231" s="334" t="n"/>
      <c r="S231" s="334" t="n"/>
      <c r="T231" s="334" t="n"/>
      <c r="U231" s="334" t="n"/>
      <c r="V231" s="334" t="n"/>
      <c r="W231" s="334" t="n"/>
      <c r="X231" s="334" t="n"/>
      <c r="Y231" s="334" t="n"/>
      <c r="Z231" s="375">
        <f>IF(AND(G231&lt;&gt;"",R231&lt;&gt;"",V231&lt;&gt;"",W231&lt;&gt;""),"COMPLETADO","OBSERVADO")</f>
        <v/>
      </c>
    </row>
    <row r="232" ht="15" customHeight="1" s="195">
      <c r="A232" s="280" t="n"/>
      <c r="B232" s="280" t="n"/>
      <c r="C232" s="280" t="n"/>
      <c r="D232" s="280" t="n"/>
      <c r="E232" s="280" t="n"/>
      <c r="F232" s="280" t="n"/>
      <c r="G232" s="280" t="n"/>
      <c r="H232" s="280" t="n"/>
      <c r="I232" s="332">
        <f>IFERROR(VLOOKUP(TEXT(H232,"0"),IPRESS!$A$3:$B$212,2,0),"")</f>
        <v/>
      </c>
      <c r="J232" s="280" t="n"/>
      <c r="K232" s="332">
        <f>IFERROR(VLOOKUP(TEXT(O232,"0"),CONDUCTORES!$A$3:$G$54,7,0),"")</f>
        <v/>
      </c>
      <c r="L232" s="280" t="n"/>
      <c r="M232" s="280" t="n"/>
      <c r="N232" s="333">
        <f>IFERROR(IF(L232*M232=0,"",L232*M232),"")</f>
        <v/>
      </c>
      <c r="O232" s="280" t="n"/>
      <c r="P232" s="332">
        <f>IFERROR(VLOOKUP(TEXT(O232,"0"),CONDUCTORES!$A$3:$G$54,2,0),"")</f>
        <v/>
      </c>
      <c r="Q232" s="332">
        <f>IFERROR(VLOOKUP(TEXT(O232,"0"),CONDUCTORES!$A$3:$H$54,6,0),"")</f>
        <v/>
      </c>
      <c r="R232" s="280" t="n"/>
      <c r="S232" s="280" t="n"/>
      <c r="T232" s="280" t="n"/>
      <c r="U232" s="280" t="n"/>
      <c r="V232" s="280" t="n"/>
      <c r="W232" s="280" t="n"/>
      <c r="X232" s="280" t="n"/>
      <c r="Y232" s="280" t="n"/>
      <c r="Z232" s="375">
        <f>IF(AND(G232&lt;&gt;"",R232&lt;&gt;"",V232&lt;&gt;"",W232&lt;&gt;""),"COMPLETADO","OBSERVADO")</f>
        <v/>
      </c>
    </row>
    <row r="233" ht="15" customHeight="1" s="195">
      <c r="A233" s="334" t="n"/>
      <c r="B233" s="334" t="n"/>
      <c r="C233" s="334" t="n"/>
      <c r="D233" s="334" t="n"/>
      <c r="E233" s="334" t="n"/>
      <c r="F233" s="334" t="n"/>
      <c r="G233" s="334" t="n"/>
      <c r="H233" s="334" t="n"/>
      <c r="I233" s="332">
        <f>IFERROR(VLOOKUP(TEXT(H233,"0"),IPRESS!$A$3:$B$212,2,0),"")</f>
        <v/>
      </c>
      <c r="J233" s="334" t="n"/>
      <c r="K233" s="332">
        <f>IFERROR(VLOOKUP(TEXT(O233,"0"),CONDUCTORES!$A$3:$G$54,7,0),"")</f>
        <v/>
      </c>
      <c r="L233" s="334" t="n"/>
      <c r="M233" s="334" t="n"/>
      <c r="N233" s="333">
        <f>IFERROR(IF(L233*M233=0,"",L233*M233),"")</f>
        <v/>
      </c>
      <c r="O233" s="334" t="n"/>
      <c r="P233" s="332">
        <f>IFERROR(VLOOKUP(TEXT(O233,"0"),CONDUCTORES!$A$3:$G$54,2,0),"")</f>
        <v/>
      </c>
      <c r="Q233" s="332">
        <f>IFERROR(VLOOKUP(TEXT(O233,"0"),CONDUCTORES!$A$3:$H$54,6,0),"")</f>
        <v/>
      </c>
      <c r="R233" s="334" t="n"/>
      <c r="S233" s="334" t="n"/>
      <c r="T233" s="334" t="n"/>
      <c r="U233" s="334" t="n"/>
      <c r="V233" s="334" t="n"/>
      <c r="W233" s="334" t="n"/>
      <c r="X233" s="334" t="n"/>
      <c r="Y233" s="334" t="n"/>
      <c r="Z233" s="375">
        <f>IF(AND(G233&lt;&gt;"",R233&lt;&gt;"",V233&lt;&gt;"",W233&lt;&gt;""),"COMPLETADO","OBSERVADO")</f>
        <v/>
      </c>
    </row>
    <row r="234" ht="15" customHeight="1" s="195">
      <c r="A234" s="280" t="n"/>
      <c r="B234" s="280" t="n"/>
      <c r="C234" s="280" t="n"/>
      <c r="D234" s="280" t="n"/>
      <c r="E234" s="280" t="n"/>
      <c r="F234" s="280" t="n"/>
      <c r="G234" s="280" t="n"/>
      <c r="H234" s="280" t="n"/>
      <c r="I234" s="332">
        <f>IFERROR(VLOOKUP(TEXT(H234,"0"),IPRESS!$A$3:$B$212,2,0),"")</f>
        <v/>
      </c>
      <c r="J234" s="280" t="n"/>
      <c r="K234" s="332">
        <f>IFERROR(VLOOKUP(TEXT(O234,"0"),CONDUCTORES!$A$3:$G$54,7,0),"")</f>
        <v/>
      </c>
      <c r="L234" s="280" t="n"/>
      <c r="M234" s="280" t="n"/>
      <c r="N234" s="333">
        <f>IFERROR(IF(L234*M234=0,"",L234*M234),"")</f>
        <v/>
      </c>
      <c r="O234" s="280" t="n"/>
      <c r="P234" s="332">
        <f>IFERROR(VLOOKUP(TEXT(O234,"0"),CONDUCTORES!$A$3:$G$54,2,0),"")</f>
        <v/>
      </c>
      <c r="Q234" s="332">
        <f>IFERROR(VLOOKUP(TEXT(O234,"0"),CONDUCTORES!$A$3:$H$54,6,0),"")</f>
        <v/>
      </c>
      <c r="R234" s="280" t="n"/>
      <c r="S234" s="280" t="n"/>
      <c r="T234" s="280" t="n"/>
      <c r="U234" s="280" t="n"/>
      <c r="V234" s="280" t="n"/>
      <c r="W234" s="280" t="n"/>
      <c r="X234" s="280" t="n"/>
      <c r="Y234" s="280" t="n"/>
      <c r="Z234" s="375">
        <f>IF(AND(G234&lt;&gt;"",R234&lt;&gt;"",V234&lt;&gt;"",W234&lt;&gt;""),"COMPLETADO","OBSERVADO")</f>
        <v/>
      </c>
    </row>
    <row r="235" ht="15" customHeight="1" s="195">
      <c r="A235" s="334" t="n"/>
      <c r="B235" s="334" t="n"/>
      <c r="C235" s="334" t="n"/>
      <c r="D235" s="334" t="n"/>
      <c r="E235" s="334" t="n"/>
      <c r="F235" s="334" t="n"/>
      <c r="G235" s="334" t="n"/>
      <c r="H235" s="334" t="n"/>
      <c r="I235" s="332">
        <f>IFERROR(VLOOKUP(TEXT(H235,"0"),IPRESS!$A$3:$B$212,2,0),"")</f>
        <v/>
      </c>
      <c r="J235" s="334" t="n"/>
      <c r="K235" s="332">
        <f>IFERROR(VLOOKUP(TEXT(O235,"0"),CONDUCTORES!$A$3:$G$54,7,0),"")</f>
        <v/>
      </c>
      <c r="L235" s="334" t="n"/>
      <c r="M235" s="334" t="n"/>
      <c r="N235" s="333">
        <f>IFERROR(IF(L235*M235=0,"",L235*M235),"")</f>
        <v/>
      </c>
      <c r="O235" s="334" t="n"/>
      <c r="P235" s="332">
        <f>IFERROR(VLOOKUP(TEXT(O235,"0"),CONDUCTORES!$A$3:$G$54,2,0),"")</f>
        <v/>
      </c>
      <c r="Q235" s="332">
        <f>IFERROR(VLOOKUP(TEXT(O235,"0"),CONDUCTORES!$A$3:$H$54,6,0),"")</f>
        <v/>
      </c>
      <c r="R235" s="334" t="n"/>
      <c r="S235" s="334" t="n"/>
      <c r="T235" s="334" t="n"/>
      <c r="U235" s="334" t="n"/>
      <c r="V235" s="334" t="n"/>
      <c r="W235" s="334" t="n"/>
      <c r="X235" s="334" t="n"/>
      <c r="Y235" s="334" t="n"/>
      <c r="Z235" s="375">
        <f>IF(AND(G235&lt;&gt;"",R235&lt;&gt;"",V235&lt;&gt;"",W235&lt;&gt;""),"COMPLETADO","OBSERVADO")</f>
        <v/>
      </c>
    </row>
    <row r="236" ht="15" customHeight="1" s="195">
      <c r="A236" s="280" t="n"/>
      <c r="B236" s="280" t="n"/>
      <c r="C236" s="280" t="n"/>
      <c r="D236" s="280" t="n"/>
      <c r="E236" s="280" t="n"/>
      <c r="F236" s="280" t="n"/>
      <c r="G236" s="280" t="n"/>
      <c r="H236" s="280" t="n"/>
      <c r="I236" s="332">
        <f>IFERROR(VLOOKUP(TEXT(H236,"0"),IPRESS!$A$3:$B$212,2,0),"")</f>
        <v/>
      </c>
      <c r="J236" s="280" t="n"/>
      <c r="K236" s="332">
        <f>IFERROR(VLOOKUP(TEXT(O236,"0"),CONDUCTORES!$A$3:$G$54,7,0),"")</f>
        <v/>
      </c>
      <c r="L236" s="280" t="n"/>
      <c r="M236" s="280" t="n"/>
      <c r="N236" s="333">
        <f>IFERROR(IF(L236*M236=0,"",L236*M236),"")</f>
        <v/>
      </c>
      <c r="O236" s="280" t="n"/>
      <c r="P236" s="332">
        <f>IFERROR(VLOOKUP(TEXT(O236,"0"),CONDUCTORES!$A$3:$G$54,2,0),"")</f>
        <v/>
      </c>
      <c r="Q236" s="332">
        <f>IFERROR(VLOOKUP(TEXT(O236,"0"),CONDUCTORES!$A$3:$H$54,6,0),"")</f>
        <v/>
      </c>
      <c r="R236" s="280" t="n"/>
      <c r="S236" s="280" t="n"/>
      <c r="T236" s="280" t="n"/>
      <c r="U236" s="280" t="n"/>
      <c r="V236" s="280" t="n"/>
      <c r="W236" s="280" t="n"/>
      <c r="X236" s="280" t="n"/>
      <c r="Y236" s="280" t="n"/>
      <c r="Z236" s="375">
        <f>IF(AND(G236&lt;&gt;"",R236&lt;&gt;"",V236&lt;&gt;"",W236&lt;&gt;""),"COMPLETADO","OBSERVADO")</f>
        <v/>
      </c>
    </row>
    <row r="237" ht="15" customHeight="1" s="195">
      <c r="A237" s="334" t="n"/>
      <c r="B237" s="334" t="n"/>
      <c r="C237" s="334" t="n"/>
      <c r="D237" s="334" t="n"/>
      <c r="E237" s="334" t="n"/>
      <c r="F237" s="334" t="n"/>
      <c r="G237" s="334" t="n"/>
      <c r="H237" s="334" t="n"/>
      <c r="I237" s="332">
        <f>IFERROR(VLOOKUP(TEXT(H237,"0"),IPRESS!$A$3:$B$212,2,0),"")</f>
        <v/>
      </c>
      <c r="J237" s="334" t="n"/>
      <c r="K237" s="332">
        <f>IFERROR(VLOOKUP(TEXT(O237,"0"),CONDUCTORES!$A$3:$G$54,7,0),"")</f>
        <v/>
      </c>
      <c r="L237" s="334" t="n"/>
      <c r="M237" s="334" t="n"/>
      <c r="N237" s="333">
        <f>IFERROR(IF(L237*M237=0,"",L237*M237),"")</f>
        <v/>
      </c>
      <c r="O237" s="334" t="n"/>
      <c r="P237" s="332">
        <f>IFERROR(VLOOKUP(TEXT(O237,"0"),CONDUCTORES!$A$3:$G$54,2,0),"")</f>
        <v/>
      </c>
      <c r="Q237" s="332">
        <f>IFERROR(VLOOKUP(TEXT(O237,"0"),CONDUCTORES!$A$3:$H$54,6,0),"")</f>
        <v/>
      </c>
      <c r="R237" s="334" t="n"/>
      <c r="S237" s="334" t="n"/>
      <c r="T237" s="334" t="n"/>
      <c r="U237" s="334" t="n"/>
      <c r="V237" s="334" t="n"/>
      <c r="W237" s="334" t="n"/>
      <c r="X237" s="334" t="n"/>
      <c r="Y237" s="334" t="n"/>
      <c r="Z237" s="375">
        <f>IF(AND(G237&lt;&gt;"",R237&lt;&gt;"",V237&lt;&gt;"",W237&lt;&gt;""),"COMPLETADO","OBSERVADO")</f>
        <v/>
      </c>
    </row>
    <row r="238" ht="15" customHeight="1" s="195">
      <c r="A238" s="280" t="n"/>
      <c r="B238" s="280" t="n"/>
      <c r="C238" s="280" t="n"/>
      <c r="D238" s="280" t="n"/>
      <c r="E238" s="280" t="n"/>
      <c r="F238" s="280" t="n"/>
      <c r="G238" s="280" t="n"/>
      <c r="H238" s="280" t="n"/>
      <c r="I238" s="332">
        <f>IFERROR(VLOOKUP(TEXT(H238,"0"),IPRESS!$A$3:$B$212,2,0),"")</f>
        <v/>
      </c>
      <c r="J238" s="280" t="n"/>
      <c r="K238" s="332">
        <f>IFERROR(VLOOKUP(TEXT(O238,"0"),CONDUCTORES!$A$3:$G$54,7,0),"")</f>
        <v/>
      </c>
      <c r="L238" s="280" t="n"/>
      <c r="M238" s="280" t="n"/>
      <c r="N238" s="333">
        <f>IFERROR(IF(L238*M238=0,"",L238*M238),"")</f>
        <v/>
      </c>
      <c r="O238" s="280" t="n"/>
      <c r="P238" s="332">
        <f>IFERROR(VLOOKUP(TEXT(O238,"0"),CONDUCTORES!$A$3:$G$54,2,0),"")</f>
        <v/>
      </c>
      <c r="Q238" s="332">
        <f>IFERROR(VLOOKUP(TEXT(O238,"0"),CONDUCTORES!$A$3:$H$54,6,0),"")</f>
        <v/>
      </c>
      <c r="R238" s="280" t="n"/>
      <c r="S238" s="280" t="n"/>
      <c r="T238" s="280" t="n"/>
      <c r="U238" s="280" t="n"/>
      <c r="V238" s="280" t="n"/>
      <c r="W238" s="280" t="n"/>
      <c r="X238" s="280" t="n"/>
      <c r="Y238" s="280" t="n"/>
      <c r="Z238" s="375">
        <f>IF(AND(G238&lt;&gt;"",R238&lt;&gt;"",V238&lt;&gt;"",W238&lt;&gt;""),"COMPLETADO","OBSERVADO")</f>
        <v/>
      </c>
    </row>
    <row r="239" ht="15" customHeight="1" s="195">
      <c r="A239" s="334" t="n"/>
      <c r="B239" s="334" t="n"/>
      <c r="C239" s="334" t="n"/>
      <c r="D239" s="334" t="n"/>
      <c r="E239" s="334" t="n"/>
      <c r="F239" s="334" t="n"/>
      <c r="G239" s="334" t="n"/>
      <c r="H239" s="334" t="n"/>
      <c r="I239" s="332">
        <f>IFERROR(VLOOKUP(TEXT(H239,"0"),IPRESS!$A$3:$B$212,2,0),"")</f>
        <v/>
      </c>
      <c r="J239" s="334" t="n"/>
      <c r="K239" s="332">
        <f>IFERROR(VLOOKUP(TEXT(O239,"0"),CONDUCTORES!$A$3:$G$54,7,0),"")</f>
        <v/>
      </c>
      <c r="L239" s="334" t="n"/>
      <c r="M239" s="334" t="n"/>
      <c r="N239" s="333">
        <f>IFERROR(IF(L239*M239=0,"",L239*M239),"")</f>
        <v/>
      </c>
      <c r="O239" s="334" t="n"/>
      <c r="P239" s="332">
        <f>IFERROR(VLOOKUP(TEXT(O239,"0"),CONDUCTORES!$A$3:$G$54,2,0),"")</f>
        <v/>
      </c>
      <c r="Q239" s="332">
        <f>IFERROR(VLOOKUP(TEXT(O239,"0"),CONDUCTORES!$A$3:$H$54,6,0),"")</f>
        <v/>
      </c>
      <c r="R239" s="334" t="n"/>
      <c r="S239" s="334" t="n"/>
      <c r="T239" s="334" t="n"/>
      <c r="U239" s="334" t="n"/>
      <c r="V239" s="334" t="n"/>
      <c r="W239" s="334" t="n"/>
      <c r="X239" s="334" t="n"/>
      <c r="Y239" s="334" t="n"/>
      <c r="Z239" s="375">
        <f>IF(AND(G239&lt;&gt;"",R239&lt;&gt;"",V239&lt;&gt;"",W239&lt;&gt;""),"COMPLETADO","OBSERVADO")</f>
        <v/>
      </c>
    </row>
    <row r="240" ht="15" customHeight="1" s="195">
      <c r="A240" s="280" t="n"/>
      <c r="B240" s="280" t="n"/>
      <c r="C240" s="280" t="n"/>
      <c r="D240" s="280" t="n"/>
      <c r="E240" s="280" t="n"/>
      <c r="F240" s="280" t="n"/>
      <c r="G240" s="280" t="n"/>
      <c r="H240" s="280" t="n"/>
      <c r="I240" s="332">
        <f>IFERROR(VLOOKUP(TEXT(H240,"0"),IPRESS!$A$3:$B$212,2,0),"")</f>
        <v/>
      </c>
      <c r="J240" s="280" t="n"/>
      <c r="K240" s="332">
        <f>IFERROR(VLOOKUP(TEXT(O240,"0"),CONDUCTORES!$A$3:$G$54,7,0),"")</f>
        <v/>
      </c>
      <c r="L240" s="280" t="n"/>
      <c r="M240" s="280" t="n"/>
      <c r="N240" s="333">
        <f>IFERROR(IF(L240*M240=0,"",L240*M240),"")</f>
        <v/>
      </c>
      <c r="O240" s="280" t="n"/>
      <c r="P240" s="332">
        <f>IFERROR(VLOOKUP(TEXT(O240,"0"),CONDUCTORES!$A$3:$G$54,2,0),"")</f>
        <v/>
      </c>
      <c r="Q240" s="332">
        <f>IFERROR(VLOOKUP(TEXT(O240,"0"),CONDUCTORES!$A$3:$H$54,6,0),"")</f>
        <v/>
      </c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375">
        <f>IF(AND(G240&lt;&gt;"",R240&lt;&gt;"",V240&lt;&gt;"",W240&lt;&gt;""),"COMPLETADO","OBSERVADO")</f>
        <v/>
      </c>
    </row>
    <row r="241" ht="15" customHeight="1" s="195">
      <c r="A241" s="334" t="n"/>
      <c r="B241" s="334" t="n"/>
      <c r="C241" s="334" t="n"/>
      <c r="D241" s="334" t="n"/>
      <c r="E241" s="334" t="n"/>
      <c r="F241" s="334" t="n"/>
      <c r="G241" s="334" t="n"/>
      <c r="H241" s="334" t="n"/>
      <c r="I241" s="332">
        <f>IFERROR(VLOOKUP(TEXT(H241,"0"),IPRESS!$A$3:$B$212,2,0),"")</f>
        <v/>
      </c>
      <c r="J241" s="334" t="n"/>
      <c r="K241" s="332">
        <f>IFERROR(VLOOKUP(TEXT(O241,"0"),CONDUCTORES!$A$3:$G$54,7,0),"")</f>
        <v/>
      </c>
      <c r="L241" s="334" t="n"/>
      <c r="M241" s="334" t="n"/>
      <c r="N241" s="333">
        <f>IFERROR(IF(L241*M241=0,"",L241*M241),"")</f>
        <v/>
      </c>
      <c r="O241" s="334" t="n"/>
      <c r="P241" s="332">
        <f>IFERROR(VLOOKUP(TEXT(O241,"0"),CONDUCTORES!$A$3:$G$54,2,0),"")</f>
        <v/>
      </c>
      <c r="Q241" s="332">
        <f>IFERROR(VLOOKUP(TEXT(O241,"0"),CONDUCTORES!$A$3:$H$54,6,0),"")</f>
        <v/>
      </c>
      <c r="R241" s="334" t="n"/>
      <c r="S241" s="334" t="n"/>
      <c r="T241" s="334" t="n"/>
      <c r="U241" s="334" t="n"/>
      <c r="V241" s="334" t="n"/>
      <c r="W241" s="334" t="n"/>
      <c r="X241" s="334" t="n"/>
      <c r="Y241" s="334" t="n"/>
      <c r="Z241" s="375">
        <f>IF(AND(G241&lt;&gt;"",R241&lt;&gt;"",V241&lt;&gt;"",W241&lt;&gt;""),"COMPLETADO","OBSERVADO")</f>
        <v/>
      </c>
    </row>
    <row r="242" ht="15" customHeight="1" s="195">
      <c r="A242" s="280" t="n"/>
      <c r="B242" s="280" t="n"/>
      <c r="C242" s="280" t="n"/>
      <c r="D242" s="280" t="n"/>
      <c r="E242" s="280" t="n"/>
      <c r="F242" s="280" t="n"/>
      <c r="G242" s="280" t="n"/>
      <c r="H242" s="280" t="n"/>
      <c r="I242" s="332">
        <f>IFERROR(VLOOKUP(TEXT(H242,"0"),IPRESS!$A$3:$B$212,2,0),"")</f>
        <v/>
      </c>
      <c r="J242" s="280" t="n"/>
      <c r="K242" s="332">
        <f>IFERROR(VLOOKUP(TEXT(O242,"0"),CONDUCTORES!$A$3:$G$54,7,0),"")</f>
        <v/>
      </c>
      <c r="L242" s="280" t="n"/>
      <c r="M242" s="280" t="n"/>
      <c r="N242" s="333">
        <f>IFERROR(IF(L242*M242=0,"",L242*M242),"")</f>
        <v/>
      </c>
      <c r="O242" s="280" t="n"/>
      <c r="P242" s="332">
        <f>IFERROR(VLOOKUP(TEXT(O242,"0"),CONDUCTORES!$A$3:$G$54,2,0),"")</f>
        <v/>
      </c>
      <c r="Q242" s="332">
        <f>IFERROR(VLOOKUP(TEXT(O242,"0"),CONDUCTORES!$A$3:$H$54,6,0),"")</f>
        <v/>
      </c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375">
        <f>IF(AND(G242&lt;&gt;"",R242&lt;&gt;"",V242&lt;&gt;"",W242&lt;&gt;""),"COMPLETADO","OBSERVADO")</f>
        <v/>
      </c>
    </row>
    <row r="243" ht="15" customHeight="1" s="195">
      <c r="A243" s="334" t="n"/>
      <c r="B243" s="334" t="n"/>
      <c r="C243" s="334" t="n"/>
      <c r="D243" s="334" t="n"/>
      <c r="E243" s="334" t="n"/>
      <c r="F243" s="334" t="n"/>
      <c r="G243" s="334" t="n"/>
      <c r="H243" s="334" t="n"/>
      <c r="I243" s="332">
        <f>IFERROR(VLOOKUP(TEXT(H243,"0"),IPRESS!$A$3:$B$212,2,0),"")</f>
        <v/>
      </c>
      <c r="J243" s="334" t="n"/>
      <c r="K243" s="332">
        <f>IFERROR(VLOOKUP(TEXT(O243,"0"),CONDUCTORES!$A$3:$G$54,7,0),"")</f>
        <v/>
      </c>
      <c r="L243" s="334" t="n"/>
      <c r="M243" s="334" t="n"/>
      <c r="N243" s="333">
        <f>IFERROR(IF(L243*M243=0,"",L243*M243),"")</f>
        <v/>
      </c>
      <c r="O243" s="334" t="n"/>
      <c r="P243" s="332">
        <f>IFERROR(VLOOKUP(TEXT(O243,"0"),CONDUCTORES!$A$3:$G$54,2,0),"")</f>
        <v/>
      </c>
      <c r="Q243" s="332">
        <f>IFERROR(VLOOKUP(TEXT(O243,"0"),CONDUCTORES!$A$3:$H$54,6,0),"")</f>
        <v/>
      </c>
      <c r="R243" s="334" t="n"/>
      <c r="S243" s="334" t="n"/>
      <c r="T243" s="334" t="n"/>
      <c r="U243" s="334" t="n"/>
      <c r="V243" s="334" t="n"/>
      <c r="W243" s="334" t="n"/>
      <c r="X243" s="334" t="n"/>
      <c r="Y243" s="334" t="n"/>
      <c r="Z243" s="375">
        <f>IF(AND(G243&lt;&gt;"",R243&lt;&gt;"",V243&lt;&gt;"",W243&lt;&gt;""),"COMPLETADO","OBSERVADO")</f>
        <v/>
      </c>
    </row>
    <row r="244" ht="15" customHeight="1" s="195">
      <c r="A244" s="280" t="n"/>
      <c r="B244" s="280" t="n"/>
      <c r="C244" s="280" t="n"/>
      <c r="D244" s="280" t="n"/>
      <c r="E244" s="280" t="n"/>
      <c r="F244" s="280" t="n"/>
      <c r="G244" s="280" t="n"/>
      <c r="H244" s="280" t="n"/>
      <c r="I244" s="332">
        <f>IFERROR(VLOOKUP(TEXT(H244,"0"),IPRESS!$A$3:$B$212,2,0),"")</f>
        <v/>
      </c>
      <c r="J244" s="280" t="n"/>
      <c r="K244" s="332">
        <f>IFERROR(VLOOKUP(TEXT(O244,"0"),CONDUCTORES!$A$3:$G$54,7,0),"")</f>
        <v/>
      </c>
      <c r="L244" s="280" t="n"/>
      <c r="M244" s="280" t="n"/>
      <c r="N244" s="333">
        <f>IFERROR(IF(L244*M244=0,"",L244*M244),"")</f>
        <v/>
      </c>
      <c r="O244" s="280" t="n"/>
      <c r="P244" s="332">
        <f>IFERROR(VLOOKUP(TEXT(O244,"0"),CONDUCTORES!$A$3:$G$54,2,0),"")</f>
        <v/>
      </c>
      <c r="Q244" s="332">
        <f>IFERROR(VLOOKUP(TEXT(O244,"0"),CONDUCTORES!$A$3:$H$54,6,0),"")</f>
        <v/>
      </c>
      <c r="R244" s="280" t="n"/>
      <c r="S244" s="280" t="n"/>
      <c r="T244" s="280" t="n"/>
      <c r="U244" s="280" t="n"/>
      <c r="V244" s="280" t="n"/>
      <c r="W244" s="280" t="n"/>
      <c r="X244" s="280" t="n"/>
      <c r="Y244" s="280" t="n"/>
      <c r="Z244" s="375">
        <f>IF(AND(G244&lt;&gt;"",R244&lt;&gt;"",V244&lt;&gt;"",W244&lt;&gt;""),"COMPLETADO","OBSERVADO")</f>
        <v/>
      </c>
    </row>
    <row r="245" ht="15" customHeight="1" s="195">
      <c r="A245" s="334" t="n"/>
      <c r="B245" s="334" t="n"/>
      <c r="C245" s="334" t="n"/>
      <c r="D245" s="334" t="n"/>
      <c r="E245" s="334" t="n"/>
      <c r="F245" s="334" t="n"/>
      <c r="G245" s="334" t="n"/>
      <c r="H245" s="334" t="n"/>
      <c r="I245" s="332">
        <f>IFERROR(VLOOKUP(TEXT(H245,"0"),IPRESS!$A$3:$B$212,2,0),"")</f>
        <v/>
      </c>
      <c r="J245" s="334" t="n"/>
      <c r="K245" s="332">
        <f>IFERROR(VLOOKUP(TEXT(O245,"0"),CONDUCTORES!$A$3:$G$54,7,0),"")</f>
        <v/>
      </c>
      <c r="L245" s="334" t="n"/>
      <c r="M245" s="334" t="n"/>
      <c r="N245" s="333">
        <f>IFERROR(IF(L245*M245=0,"",L245*M245),"")</f>
        <v/>
      </c>
      <c r="O245" s="334" t="n"/>
      <c r="P245" s="332">
        <f>IFERROR(VLOOKUP(TEXT(O245,"0"),CONDUCTORES!$A$3:$G$54,2,0),"")</f>
        <v/>
      </c>
      <c r="Q245" s="332">
        <f>IFERROR(VLOOKUP(TEXT(O245,"0"),CONDUCTORES!$A$3:$H$54,6,0),"")</f>
        <v/>
      </c>
      <c r="R245" s="334" t="n"/>
      <c r="S245" s="334" t="n"/>
      <c r="T245" s="334" t="n"/>
      <c r="U245" s="334" t="n"/>
      <c r="V245" s="334" t="n"/>
      <c r="W245" s="334" t="n"/>
      <c r="X245" s="334" t="n"/>
      <c r="Y245" s="334" t="n"/>
      <c r="Z245" s="375">
        <f>IF(AND(G245&lt;&gt;"",R245&lt;&gt;"",V245&lt;&gt;"",W245&lt;&gt;""),"COMPLETADO","OBSERVADO")</f>
        <v/>
      </c>
    </row>
    <row r="246" ht="15" customHeight="1" s="195">
      <c r="A246" s="280" t="n"/>
      <c r="B246" s="280" t="n"/>
      <c r="C246" s="280" t="n"/>
      <c r="D246" s="280" t="n"/>
      <c r="E246" s="280" t="n"/>
      <c r="F246" s="280" t="n"/>
      <c r="G246" s="280" t="n"/>
      <c r="H246" s="280" t="n"/>
      <c r="I246" s="332">
        <f>IFERROR(VLOOKUP(TEXT(H246,"0"),IPRESS!$A$3:$B$212,2,0),"")</f>
        <v/>
      </c>
      <c r="J246" s="280" t="n"/>
      <c r="K246" s="332">
        <f>IFERROR(VLOOKUP(TEXT(O246,"0"),CONDUCTORES!$A$3:$G$54,7,0),"")</f>
        <v/>
      </c>
      <c r="L246" s="280" t="n"/>
      <c r="M246" s="280" t="n"/>
      <c r="N246" s="333">
        <f>IFERROR(IF(L246*M246=0,"",L246*M246),"")</f>
        <v/>
      </c>
      <c r="O246" s="280" t="n"/>
      <c r="P246" s="332">
        <f>IFERROR(VLOOKUP(TEXT(O246,"0"),CONDUCTORES!$A$3:$G$54,2,0),"")</f>
        <v/>
      </c>
      <c r="Q246" s="332">
        <f>IFERROR(VLOOKUP(TEXT(O246,"0"),CONDUCTORES!$A$3:$H$54,6,0),"")</f>
        <v/>
      </c>
      <c r="R246" s="280" t="n"/>
      <c r="S246" s="280" t="n"/>
      <c r="T246" s="280" t="n"/>
      <c r="U246" s="280" t="n"/>
      <c r="V246" s="280" t="n"/>
      <c r="W246" s="280" t="n"/>
      <c r="X246" s="280" t="n"/>
      <c r="Y246" s="280" t="n"/>
      <c r="Z246" s="375">
        <f>IF(AND(G246&lt;&gt;"",R246&lt;&gt;"",V246&lt;&gt;"",W246&lt;&gt;""),"COMPLETADO","OBSERVADO")</f>
        <v/>
      </c>
    </row>
    <row r="247" ht="15" customHeight="1" s="195">
      <c r="A247" s="334" t="n"/>
      <c r="B247" s="334" t="n"/>
      <c r="C247" s="334" t="n"/>
      <c r="D247" s="334" t="n"/>
      <c r="E247" s="334" t="n"/>
      <c r="F247" s="334" t="n"/>
      <c r="G247" s="334" t="n"/>
      <c r="H247" s="334" t="n"/>
      <c r="I247" s="332">
        <f>IFERROR(VLOOKUP(TEXT(H247,"0"),IPRESS!$A$3:$B$212,2,0),"")</f>
        <v/>
      </c>
      <c r="J247" s="334" t="n"/>
      <c r="K247" s="332">
        <f>IFERROR(VLOOKUP(TEXT(O247,"0"),CONDUCTORES!$A$3:$G$54,7,0),"")</f>
        <v/>
      </c>
      <c r="L247" s="334" t="n"/>
      <c r="M247" s="334" t="n"/>
      <c r="N247" s="333">
        <f>IFERROR(IF(L247*M247=0,"",L247*M247),"")</f>
        <v/>
      </c>
      <c r="O247" s="334" t="n"/>
      <c r="P247" s="332">
        <f>IFERROR(VLOOKUP(TEXT(O247,"0"),CONDUCTORES!$A$3:$G$54,2,0),"")</f>
        <v/>
      </c>
      <c r="Q247" s="332">
        <f>IFERROR(VLOOKUP(TEXT(O247,"0"),CONDUCTORES!$A$3:$H$54,6,0),"")</f>
        <v/>
      </c>
      <c r="R247" s="334" t="n"/>
      <c r="S247" s="334" t="n"/>
      <c r="T247" s="334" t="n"/>
      <c r="U247" s="334" t="n"/>
      <c r="V247" s="334" t="n"/>
      <c r="W247" s="334" t="n"/>
      <c r="X247" s="334" t="n"/>
      <c r="Y247" s="334" t="n"/>
      <c r="Z247" s="375">
        <f>IF(AND(G247&lt;&gt;"",R247&lt;&gt;"",V247&lt;&gt;"",W247&lt;&gt;""),"COMPLETADO","OBSERVADO")</f>
        <v/>
      </c>
    </row>
    <row r="248" ht="15" customHeight="1" s="195">
      <c r="A248" s="280" t="n"/>
      <c r="B248" s="280" t="n"/>
      <c r="C248" s="280" t="n"/>
      <c r="D248" s="280" t="n"/>
      <c r="E248" s="280" t="n"/>
      <c r="F248" s="280" t="n"/>
      <c r="G248" s="280" t="n"/>
      <c r="H248" s="280" t="n"/>
      <c r="I248" s="332">
        <f>IFERROR(VLOOKUP(TEXT(H248,"0"),IPRESS!$A$3:$B$212,2,0),"")</f>
        <v/>
      </c>
      <c r="J248" s="280" t="n"/>
      <c r="K248" s="332">
        <f>IFERROR(VLOOKUP(TEXT(O248,"0"),CONDUCTORES!$A$3:$G$54,7,0),"")</f>
        <v/>
      </c>
      <c r="L248" s="280" t="n"/>
      <c r="M248" s="280" t="n"/>
      <c r="N248" s="333">
        <f>IFERROR(IF(L248*M248=0,"",L248*M248),"")</f>
        <v/>
      </c>
      <c r="O248" s="280" t="n"/>
      <c r="P248" s="332">
        <f>IFERROR(VLOOKUP(TEXT(O248,"0"),CONDUCTORES!$A$3:$G$54,2,0),"")</f>
        <v/>
      </c>
      <c r="Q248" s="332">
        <f>IFERROR(VLOOKUP(TEXT(O248,"0"),CONDUCTORES!$A$3:$H$54,6,0),"")</f>
        <v/>
      </c>
      <c r="R248" s="280" t="n"/>
      <c r="S248" s="280" t="n"/>
      <c r="T248" s="280" t="n"/>
      <c r="U248" s="280" t="n"/>
      <c r="V248" s="280" t="n"/>
      <c r="W248" s="280" t="n"/>
      <c r="X248" s="280" t="n"/>
      <c r="Y248" s="280" t="n"/>
      <c r="Z248" s="375">
        <f>IF(AND(G248&lt;&gt;"",R248&lt;&gt;"",V248&lt;&gt;"",W248&lt;&gt;""),"COMPLETADO","OBSERVADO")</f>
        <v/>
      </c>
    </row>
    <row r="249" ht="15" customHeight="1" s="195">
      <c r="A249" s="334" t="n"/>
      <c r="B249" s="334" t="n"/>
      <c r="C249" s="334" t="n"/>
      <c r="D249" s="334" t="n"/>
      <c r="E249" s="334" t="n"/>
      <c r="F249" s="334" t="n"/>
      <c r="G249" s="334" t="n"/>
      <c r="H249" s="334" t="n"/>
      <c r="I249" s="332">
        <f>IFERROR(VLOOKUP(TEXT(H249,"0"),IPRESS!$A$3:$B$212,2,0),"")</f>
        <v/>
      </c>
      <c r="J249" s="334" t="n"/>
      <c r="K249" s="332">
        <f>IFERROR(VLOOKUP(TEXT(O249,"0"),CONDUCTORES!$A$3:$G$54,7,0),"")</f>
        <v/>
      </c>
      <c r="L249" s="334" t="n"/>
      <c r="M249" s="334" t="n"/>
      <c r="N249" s="333">
        <f>IFERROR(IF(L249*M249=0,"",L249*M249),"")</f>
        <v/>
      </c>
      <c r="O249" s="334" t="n"/>
      <c r="P249" s="332">
        <f>IFERROR(VLOOKUP(TEXT(O249,"0"),CONDUCTORES!$A$3:$G$54,2,0),"")</f>
        <v/>
      </c>
      <c r="Q249" s="332">
        <f>IFERROR(VLOOKUP(TEXT(O249,"0"),CONDUCTORES!$A$3:$H$54,6,0),"")</f>
        <v/>
      </c>
      <c r="R249" s="334" t="n"/>
      <c r="S249" s="334" t="n"/>
      <c r="T249" s="334" t="n"/>
      <c r="U249" s="334" t="n"/>
      <c r="V249" s="334" t="n"/>
      <c r="W249" s="334" t="n"/>
      <c r="X249" s="334" t="n"/>
      <c r="Y249" s="334" t="n"/>
      <c r="Z249" s="375">
        <f>IF(AND(G249&lt;&gt;"",R249&lt;&gt;"",V249&lt;&gt;"",W249&lt;&gt;""),"COMPLETADO","OBSERVADO")</f>
        <v/>
      </c>
    </row>
    <row r="250" ht="15" customHeight="1" s="195">
      <c r="A250" s="280" t="n"/>
      <c r="B250" s="280" t="n"/>
      <c r="C250" s="280" t="n"/>
      <c r="D250" s="280" t="n"/>
      <c r="E250" s="280" t="n"/>
      <c r="F250" s="280" t="n"/>
      <c r="G250" s="280" t="n"/>
      <c r="H250" s="280" t="n"/>
      <c r="I250" s="332">
        <f>IFERROR(VLOOKUP(TEXT(H250,"0"),IPRESS!$A$3:$B$212,2,0),"")</f>
        <v/>
      </c>
      <c r="J250" s="280" t="n"/>
      <c r="K250" s="332">
        <f>IFERROR(VLOOKUP(TEXT(O250,"0"),CONDUCTORES!$A$3:$G$54,7,0),"")</f>
        <v/>
      </c>
      <c r="L250" s="280" t="n"/>
      <c r="M250" s="280" t="n"/>
      <c r="N250" s="333">
        <f>IFERROR(IF(L250*M250=0,"",L250*M250),"")</f>
        <v/>
      </c>
      <c r="O250" s="280" t="n"/>
      <c r="P250" s="332">
        <f>IFERROR(VLOOKUP(TEXT(O250,"0"),CONDUCTORES!$A$3:$G$54,2,0),"")</f>
        <v/>
      </c>
      <c r="Q250" s="332">
        <f>IFERROR(VLOOKUP(TEXT(O250,"0"),CONDUCTORES!$A$3:$H$54,6,0),"")</f>
        <v/>
      </c>
      <c r="R250" s="280" t="n"/>
      <c r="S250" s="280" t="n"/>
      <c r="T250" s="280" t="n"/>
      <c r="U250" s="280" t="n"/>
      <c r="V250" s="280" t="n"/>
      <c r="W250" s="280" t="n"/>
      <c r="X250" s="280" t="n"/>
      <c r="Y250" s="280" t="n"/>
      <c r="Z250" s="375">
        <f>IF(AND(G250&lt;&gt;"",R250&lt;&gt;"",V250&lt;&gt;"",W250&lt;&gt;""),"COMPLETADO","OBSERVADO")</f>
        <v/>
      </c>
    </row>
    <row r="251" ht="15" customHeight="1" s="195">
      <c r="A251" s="334" t="n"/>
      <c r="B251" s="334" t="n"/>
      <c r="C251" s="334" t="n"/>
      <c r="D251" s="334" t="n"/>
      <c r="E251" s="334" t="n"/>
      <c r="F251" s="334" t="n"/>
      <c r="G251" s="334" t="n"/>
      <c r="H251" s="334" t="n"/>
      <c r="I251" s="332">
        <f>IFERROR(VLOOKUP(TEXT(H251,"0"),IPRESS!$A$3:$B$212,2,0),"")</f>
        <v/>
      </c>
      <c r="J251" s="334" t="n"/>
      <c r="K251" s="332">
        <f>IFERROR(VLOOKUP(TEXT(O251,"0"),CONDUCTORES!$A$3:$G$54,7,0),"")</f>
        <v/>
      </c>
      <c r="L251" s="334" t="n"/>
      <c r="M251" s="334" t="n"/>
      <c r="N251" s="333">
        <f>IFERROR(IF(L251*M251=0,"",L251*M251),"")</f>
        <v/>
      </c>
      <c r="O251" s="334" t="n"/>
      <c r="P251" s="332">
        <f>IFERROR(VLOOKUP(TEXT(O251,"0"),CONDUCTORES!$A$3:$G$54,2,0),"")</f>
        <v/>
      </c>
      <c r="Q251" s="332">
        <f>IFERROR(VLOOKUP(TEXT(O251,"0"),CONDUCTORES!$A$3:$H$54,6,0),"")</f>
        <v/>
      </c>
      <c r="R251" s="334" t="n"/>
      <c r="S251" s="334" t="n"/>
      <c r="T251" s="334" t="n"/>
      <c r="U251" s="334" t="n"/>
      <c r="V251" s="334" t="n"/>
      <c r="W251" s="334" t="n"/>
      <c r="X251" s="334" t="n"/>
      <c r="Y251" s="334" t="n"/>
      <c r="Z251" s="375">
        <f>IF(AND(G251&lt;&gt;"",R251&lt;&gt;"",V251&lt;&gt;"",W251&lt;&gt;""),"COMPLETADO","OBSERVADO")</f>
        <v/>
      </c>
    </row>
    <row r="252" ht="15" customHeight="1" s="195">
      <c r="A252" s="280" t="n"/>
      <c r="B252" s="280" t="n"/>
      <c r="C252" s="280" t="n"/>
      <c r="D252" s="280" t="n"/>
      <c r="E252" s="280" t="n"/>
      <c r="F252" s="280" t="n"/>
      <c r="G252" s="280" t="n"/>
      <c r="H252" s="280" t="n"/>
      <c r="I252" s="332">
        <f>IFERROR(VLOOKUP(TEXT(H252,"0"),IPRESS!$A$3:$B$212,2,0),"")</f>
        <v/>
      </c>
      <c r="J252" s="280" t="n"/>
      <c r="K252" s="332">
        <f>IFERROR(VLOOKUP(TEXT(O252,"0"),CONDUCTORES!$A$3:$G$54,7,0),"")</f>
        <v/>
      </c>
      <c r="L252" s="280" t="n"/>
      <c r="M252" s="280" t="n"/>
      <c r="N252" s="333">
        <f>IFERROR(IF(L252*M252=0,"",L252*M252),"")</f>
        <v/>
      </c>
      <c r="O252" s="280" t="n"/>
      <c r="P252" s="332">
        <f>IFERROR(VLOOKUP(TEXT(O252,"0"),CONDUCTORES!$A$3:$G$54,2,0),"")</f>
        <v/>
      </c>
      <c r="Q252" s="332">
        <f>IFERROR(VLOOKUP(TEXT(O252,"0"),CONDUCTORES!$A$3:$H$54,6,0),"")</f>
        <v/>
      </c>
      <c r="R252" s="280" t="n"/>
      <c r="S252" s="280" t="n"/>
      <c r="T252" s="280" t="n"/>
      <c r="U252" s="280" t="n"/>
      <c r="V252" s="280" t="n"/>
      <c r="W252" s="280" t="n"/>
      <c r="X252" s="280" t="n"/>
      <c r="Y252" s="280" t="n"/>
      <c r="Z252" s="375">
        <f>IF(AND(G252&lt;&gt;"",R252&lt;&gt;"",V252&lt;&gt;"",W252&lt;&gt;""),"COMPLETADO","OBSERVADO")</f>
        <v/>
      </c>
    </row>
    <row r="253" ht="15" customHeight="1" s="195">
      <c r="A253" s="334" t="n"/>
      <c r="B253" s="334" t="n"/>
      <c r="C253" s="334" t="n"/>
      <c r="D253" s="334" t="n"/>
      <c r="E253" s="334" t="n"/>
      <c r="F253" s="334" t="n"/>
      <c r="G253" s="334" t="n"/>
      <c r="H253" s="334" t="n"/>
      <c r="I253" s="332">
        <f>IFERROR(VLOOKUP(TEXT(H253,"0"),IPRESS!$A$3:$B$212,2,0),"")</f>
        <v/>
      </c>
      <c r="J253" s="334" t="n"/>
      <c r="K253" s="332">
        <f>IFERROR(VLOOKUP(TEXT(O253,"0"),CONDUCTORES!$A$3:$G$54,7,0),"")</f>
        <v/>
      </c>
      <c r="L253" s="334" t="n"/>
      <c r="M253" s="334" t="n"/>
      <c r="N253" s="333">
        <f>IFERROR(IF(L253*M253=0,"",L253*M253),"")</f>
        <v/>
      </c>
      <c r="O253" s="334" t="n"/>
      <c r="P253" s="332">
        <f>IFERROR(VLOOKUP(TEXT(O253,"0"),CONDUCTORES!$A$3:$G$54,2,0),"")</f>
        <v/>
      </c>
      <c r="Q253" s="332">
        <f>IFERROR(VLOOKUP(TEXT(O253,"0"),CONDUCTORES!$A$3:$H$54,6,0),"")</f>
        <v/>
      </c>
      <c r="R253" s="334" t="n"/>
      <c r="S253" s="334" t="n"/>
      <c r="T253" s="334" t="n"/>
      <c r="U253" s="334" t="n"/>
      <c r="V253" s="334" t="n"/>
      <c r="W253" s="334" t="n"/>
      <c r="X253" s="334" t="n"/>
      <c r="Y253" s="334" t="n"/>
      <c r="Z253" s="375">
        <f>IF(AND(G253&lt;&gt;"",R253&lt;&gt;"",V253&lt;&gt;"",W253&lt;&gt;""),"COMPLETADO","OBSERVADO")</f>
        <v/>
      </c>
    </row>
    <row r="254" ht="15" customHeight="1" s="195">
      <c r="A254" s="280" t="n"/>
      <c r="B254" s="280" t="n"/>
      <c r="C254" s="280" t="n"/>
      <c r="D254" s="280" t="n"/>
      <c r="E254" s="280" t="n"/>
      <c r="F254" s="280" t="n"/>
      <c r="G254" s="280" t="n"/>
      <c r="H254" s="280" t="n"/>
      <c r="I254" s="332">
        <f>IFERROR(VLOOKUP(TEXT(H254,"0"),IPRESS!$A$3:$B$212,2,0),"")</f>
        <v/>
      </c>
      <c r="J254" s="280" t="n"/>
      <c r="K254" s="332">
        <f>IFERROR(VLOOKUP(TEXT(O254,"0"),CONDUCTORES!$A$3:$G$54,7,0),"")</f>
        <v/>
      </c>
      <c r="L254" s="280" t="n"/>
      <c r="M254" s="280" t="n"/>
      <c r="N254" s="333">
        <f>IFERROR(IF(L254*M254=0,"",L254*M254),"")</f>
        <v/>
      </c>
      <c r="O254" s="280" t="n"/>
      <c r="P254" s="332">
        <f>IFERROR(VLOOKUP(TEXT(O254,"0"),CONDUCTORES!$A$3:$G$54,2,0),"")</f>
        <v/>
      </c>
      <c r="Q254" s="332">
        <f>IFERROR(VLOOKUP(TEXT(O254,"0"),CONDUCTORES!$A$3:$H$54,6,0),"")</f>
        <v/>
      </c>
      <c r="R254" s="280" t="n"/>
      <c r="S254" s="280" t="n"/>
      <c r="T254" s="280" t="n"/>
      <c r="U254" s="280" t="n"/>
      <c r="V254" s="280" t="n"/>
      <c r="W254" s="280" t="n"/>
      <c r="X254" s="280" t="n"/>
      <c r="Y254" s="280" t="n"/>
      <c r="Z254" s="375">
        <f>IF(AND(G254&lt;&gt;"",R254&lt;&gt;"",V254&lt;&gt;"",W254&lt;&gt;""),"COMPLETADO","OBSERVADO")</f>
        <v/>
      </c>
    </row>
    <row r="255" ht="15" customHeight="1" s="195">
      <c r="A255" s="334" t="n"/>
      <c r="B255" s="334" t="n"/>
      <c r="C255" s="334" t="n"/>
      <c r="D255" s="334" t="n"/>
      <c r="E255" s="334" t="n"/>
      <c r="F255" s="334" t="n"/>
      <c r="G255" s="334" t="n"/>
      <c r="H255" s="334" t="n"/>
      <c r="I255" s="332">
        <f>IFERROR(VLOOKUP(TEXT(H255,"0"),IPRESS!$A$3:$B$212,2,0),"")</f>
        <v/>
      </c>
      <c r="J255" s="334" t="n"/>
      <c r="K255" s="332">
        <f>IFERROR(VLOOKUP(TEXT(O255,"0"),CONDUCTORES!$A$3:$G$54,7,0),"")</f>
        <v/>
      </c>
      <c r="L255" s="334" t="n"/>
      <c r="M255" s="334" t="n"/>
      <c r="N255" s="333">
        <f>IFERROR(IF(L255*M255=0,"",L255*M255),"")</f>
        <v/>
      </c>
      <c r="O255" s="334" t="n"/>
      <c r="P255" s="332">
        <f>IFERROR(VLOOKUP(TEXT(O255,"0"),CONDUCTORES!$A$3:$G$54,2,0),"")</f>
        <v/>
      </c>
      <c r="Q255" s="332">
        <f>IFERROR(VLOOKUP(TEXT(O255,"0"),CONDUCTORES!$A$3:$H$54,6,0),"")</f>
        <v/>
      </c>
      <c r="R255" s="334" t="n"/>
      <c r="S255" s="334" t="n"/>
      <c r="T255" s="334" t="n"/>
      <c r="U255" s="334" t="n"/>
      <c r="V255" s="334" t="n"/>
      <c r="W255" s="334" t="n"/>
      <c r="X255" s="334" t="n"/>
      <c r="Y255" s="334" t="n"/>
      <c r="Z255" s="375">
        <f>IF(AND(G255&lt;&gt;"",R255&lt;&gt;"",V255&lt;&gt;"",W255&lt;&gt;""),"COMPLETADO","OBSERVADO")</f>
        <v/>
      </c>
    </row>
    <row r="256" ht="15" customHeight="1" s="195">
      <c r="A256" s="280" t="n"/>
      <c r="B256" s="280" t="n"/>
      <c r="C256" s="280" t="n"/>
      <c r="D256" s="280" t="n"/>
      <c r="E256" s="280" t="n"/>
      <c r="F256" s="280" t="n"/>
      <c r="G256" s="280" t="n"/>
      <c r="H256" s="280" t="n"/>
      <c r="I256" s="332">
        <f>IFERROR(VLOOKUP(TEXT(H256,"0"),IPRESS!$A$3:$B$212,2,0),"")</f>
        <v/>
      </c>
      <c r="J256" s="280" t="n"/>
      <c r="K256" s="332">
        <f>IFERROR(VLOOKUP(TEXT(O256,"0"),CONDUCTORES!$A$3:$G$54,7,0),"")</f>
        <v/>
      </c>
      <c r="L256" s="280" t="n"/>
      <c r="M256" s="280" t="n"/>
      <c r="N256" s="333">
        <f>IFERROR(IF(L256*M256=0,"",L256*M256),"")</f>
        <v/>
      </c>
      <c r="O256" s="280" t="n"/>
      <c r="P256" s="332">
        <f>IFERROR(VLOOKUP(TEXT(O256,"0"),CONDUCTORES!$A$3:$G$54,2,0),"")</f>
        <v/>
      </c>
      <c r="Q256" s="332">
        <f>IFERROR(VLOOKUP(TEXT(O256,"0"),CONDUCTORES!$A$3:$H$54,6,0),"")</f>
        <v/>
      </c>
      <c r="R256" s="280" t="n"/>
      <c r="S256" s="280" t="n"/>
      <c r="T256" s="280" t="n"/>
      <c r="U256" s="280" t="n"/>
      <c r="V256" s="280" t="n"/>
      <c r="W256" s="280" t="n"/>
      <c r="X256" s="280" t="n"/>
      <c r="Y256" s="280" t="n"/>
      <c r="Z256" s="375">
        <f>IF(AND(G256&lt;&gt;"",R256&lt;&gt;"",V256&lt;&gt;"",W256&lt;&gt;""),"COMPLETADO","OBSERVADO")</f>
        <v/>
      </c>
    </row>
    <row r="257" ht="15" customHeight="1" s="195">
      <c r="A257" s="334" t="n"/>
      <c r="B257" s="334" t="n"/>
      <c r="C257" s="334" t="n"/>
      <c r="D257" s="334" t="n"/>
      <c r="E257" s="334" t="n"/>
      <c r="F257" s="334" t="n"/>
      <c r="G257" s="334" t="n"/>
      <c r="H257" s="334" t="n"/>
      <c r="I257" s="332">
        <f>IFERROR(VLOOKUP(TEXT(H257,"0"),IPRESS!$A$3:$B$212,2,0),"")</f>
        <v/>
      </c>
      <c r="J257" s="334" t="n"/>
      <c r="K257" s="332">
        <f>IFERROR(VLOOKUP(TEXT(O257,"0"),CONDUCTORES!$A$3:$G$54,7,0),"")</f>
        <v/>
      </c>
      <c r="L257" s="334" t="n"/>
      <c r="M257" s="334" t="n"/>
      <c r="N257" s="333">
        <f>IFERROR(IF(L257*M257=0,"",L257*M257),"")</f>
        <v/>
      </c>
      <c r="O257" s="334" t="n"/>
      <c r="P257" s="332">
        <f>IFERROR(VLOOKUP(TEXT(O257,"0"),CONDUCTORES!$A$3:$G$54,2,0),"")</f>
        <v/>
      </c>
      <c r="Q257" s="332">
        <f>IFERROR(VLOOKUP(TEXT(O257,"0"),CONDUCTORES!$A$3:$H$54,6,0),"")</f>
        <v/>
      </c>
      <c r="R257" s="334" t="n"/>
      <c r="S257" s="334" t="n"/>
      <c r="T257" s="334" t="n"/>
      <c r="U257" s="334" t="n"/>
      <c r="V257" s="334" t="n"/>
      <c r="W257" s="334" t="n"/>
      <c r="X257" s="334" t="n"/>
      <c r="Y257" s="334" t="n"/>
      <c r="Z257" s="375">
        <f>IF(AND(G257&lt;&gt;"",R257&lt;&gt;"",V257&lt;&gt;"",W257&lt;&gt;""),"COMPLETADO","OBSERVADO")</f>
        <v/>
      </c>
    </row>
    <row r="258" ht="15" customHeight="1" s="195">
      <c r="A258" s="280" t="n"/>
      <c r="B258" s="280" t="n"/>
      <c r="C258" s="280" t="n"/>
      <c r="D258" s="280" t="n"/>
      <c r="E258" s="280" t="n"/>
      <c r="F258" s="280" t="n"/>
      <c r="G258" s="280" t="n"/>
      <c r="H258" s="280" t="n"/>
      <c r="I258" s="332">
        <f>IFERROR(VLOOKUP(TEXT(H258,"0"),IPRESS!$A$3:$B$212,2,0),"")</f>
        <v/>
      </c>
      <c r="J258" s="280" t="n"/>
      <c r="K258" s="332">
        <f>IFERROR(VLOOKUP(TEXT(O258,"0"),CONDUCTORES!$A$3:$G$54,7,0),"")</f>
        <v/>
      </c>
      <c r="L258" s="280" t="n"/>
      <c r="M258" s="280" t="n"/>
      <c r="N258" s="333">
        <f>IFERROR(IF(L258*M258=0,"",L258*M258),"")</f>
        <v/>
      </c>
      <c r="O258" s="280" t="n"/>
      <c r="P258" s="332">
        <f>IFERROR(VLOOKUP(TEXT(O258,"0"),CONDUCTORES!$A$3:$G$54,2,0),"")</f>
        <v/>
      </c>
      <c r="Q258" s="332">
        <f>IFERROR(VLOOKUP(TEXT(O258,"0"),CONDUCTORES!$A$3:$H$54,6,0),"")</f>
        <v/>
      </c>
      <c r="R258" s="280" t="n"/>
      <c r="S258" s="280" t="n"/>
      <c r="T258" s="280" t="n"/>
      <c r="U258" s="280" t="n"/>
      <c r="V258" s="280" t="n"/>
      <c r="W258" s="280" t="n"/>
      <c r="X258" s="280" t="n"/>
      <c r="Y258" s="280" t="n"/>
      <c r="Z258" s="375">
        <f>IF(AND(G258&lt;&gt;"",R258&lt;&gt;"",V258&lt;&gt;"",W258&lt;&gt;""),"COMPLETADO","OBSERVADO")</f>
        <v/>
      </c>
    </row>
    <row r="259" ht="15" customHeight="1" s="195">
      <c r="A259" s="334" t="n"/>
      <c r="B259" s="334" t="n"/>
      <c r="C259" s="334" t="n"/>
      <c r="D259" s="334" t="n"/>
      <c r="E259" s="334" t="n"/>
      <c r="F259" s="334" t="n"/>
      <c r="G259" s="334" t="n"/>
      <c r="H259" s="334" t="n"/>
      <c r="I259" s="332">
        <f>IFERROR(VLOOKUP(TEXT(H259,"0"),IPRESS!$A$3:$B$212,2,0),"")</f>
        <v/>
      </c>
      <c r="J259" s="334" t="n"/>
      <c r="K259" s="332">
        <f>IFERROR(VLOOKUP(TEXT(O259,"0"),CONDUCTORES!$A$3:$G$54,7,0),"")</f>
        <v/>
      </c>
      <c r="L259" s="334" t="n"/>
      <c r="M259" s="334" t="n"/>
      <c r="N259" s="333">
        <f>IFERROR(IF(L259*M259=0,"",L259*M259),"")</f>
        <v/>
      </c>
      <c r="O259" s="334" t="n"/>
      <c r="P259" s="332">
        <f>IFERROR(VLOOKUP(TEXT(O259,"0"),CONDUCTORES!$A$3:$G$54,2,0),"")</f>
        <v/>
      </c>
      <c r="Q259" s="332">
        <f>IFERROR(VLOOKUP(TEXT(O259,"0"),CONDUCTORES!$A$3:$H$54,6,0),"")</f>
        <v/>
      </c>
      <c r="R259" s="334" t="n"/>
      <c r="S259" s="334" t="n"/>
      <c r="T259" s="334" t="n"/>
      <c r="U259" s="334" t="n"/>
      <c r="V259" s="334" t="n"/>
      <c r="W259" s="334" t="n"/>
      <c r="X259" s="334" t="n"/>
      <c r="Y259" s="334" t="n"/>
      <c r="Z259" s="375">
        <f>IF(AND(G259&lt;&gt;"",R259&lt;&gt;"",V259&lt;&gt;"",W259&lt;&gt;""),"COMPLETADO","OBSERVADO")</f>
        <v/>
      </c>
    </row>
    <row r="260" ht="15" customHeight="1" s="195">
      <c r="A260" s="280" t="n"/>
      <c r="B260" s="280" t="n"/>
      <c r="C260" s="280" t="n"/>
      <c r="D260" s="280" t="n"/>
      <c r="E260" s="280" t="n"/>
      <c r="F260" s="280" t="n"/>
      <c r="G260" s="280" t="n"/>
      <c r="H260" s="280" t="n"/>
      <c r="I260" s="332">
        <f>IFERROR(VLOOKUP(TEXT(H260,"0"),IPRESS!$A$3:$B$212,2,0),"")</f>
        <v/>
      </c>
      <c r="J260" s="280" t="n"/>
      <c r="K260" s="332">
        <f>IFERROR(VLOOKUP(TEXT(O260,"0"),CONDUCTORES!$A$3:$G$54,7,0),"")</f>
        <v/>
      </c>
      <c r="L260" s="280" t="n"/>
      <c r="M260" s="280" t="n"/>
      <c r="N260" s="333">
        <f>IFERROR(IF(L260*M260=0,"",L260*M260),"")</f>
        <v/>
      </c>
      <c r="O260" s="280" t="n"/>
      <c r="P260" s="332">
        <f>IFERROR(VLOOKUP(TEXT(O260,"0"),CONDUCTORES!$A$3:$G$54,2,0),"")</f>
        <v/>
      </c>
      <c r="Q260" s="332">
        <f>IFERROR(VLOOKUP(TEXT(O260,"0"),CONDUCTORES!$A$3:$H$54,6,0),"")</f>
        <v/>
      </c>
      <c r="R260" s="280" t="n"/>
      <c r="S260" s="280" t="n"/>
      <c r="T260" s="280" t="n"/>
      <c r="U260" s="280" t="n"/>
      <c r="V260" s="280" t="n"/>
      <c r="W260" s="280" t="n"/>
      <c r="X260" s="280" t="n"/>
      <c r="Y260" s="280" t="n"/>
      <c r="Z260" s="375">
        <f>IF(AND(G260&lt;&gt;"",R260&lt;&gt;"",V260&lt;&gt;"",W260&lt;&gt;""),"COMPLETADO","OBSERVADO")</f>
        <v/>
      </c>
    </row>
    <row r="261" ht="15" customHeight="1" s="195">
      <c r="A261" s="334" t="n"/>
      <c r="B261" s="334" t="n"/>
      <c r="C261" s="334" t="n"/>
      <c r="D261" s="334" t="n"/>
      <c r="E261" s="334" t="n"/>
      <c r="F261" s="334" t="n"/>
      <c r="G261" s="334" t="n"/>
      <c r="H261" s="334" t="n"/>
      <c r="I261" s="332">
        <f>IFERROR(VLOOKUP(TEXT(H261,"0"),IPRESS!$A$3:$B$212,2,0),"")</f>
        <v/>
      </c>
      <c r="J261" s="334" t="n"/>
      <c r="K261" s="332">
        <f>IFERROR(VLOOKUP(TEXT(O261,"0"),CONDUCTORES!$A$3:$G$54,7,0),"")</f>
        <v/>
      </c>
      <c r="L261" s="334" t="n"/>
      <c r="M261" s="334" t="n"/>
      <c r="N261" s="333">
        <f>IFERROR(IF(L261*M261=0,"",L261*M261),"")</f>
        <v/>
      </c>
      <c r="O261" s="334" t="n"/>
      <c r="P261" s="332">
        <f>IFERROR(VLOOKUP(TEXT(O261,"0"),CONDUCTORES!$A$3:$G$54,2,0),"")</f>
        <v/>
      </c>
      <c r="Q261" s="332">
        <f>IFERROR(VLOOKUP(TEXT(O261,"0"),CONDUCTORES!$A$3:$H$54,6,0),"")</f>
        <v/>
      </c>
      <c r="R261" s="334" t="n"/>
      <c r="S261" s="334" t="n"/>
      <c r="T261" s="334" t="n"/>
      <c r="U261" s="334" t="n"/>
      <c r="V261" s="334" t="n"/>
      <c r="W261" s="334" t="n"/>
      <c r="X261" s="334" t="n"/>
      <c r="Y261" s="334" t="n"/>
      <c r="Z261" s="375">
        <f>IF(AND(G261&lt;&gt;"",R261&lt;&gt;"",V261&lt;&gt;"",W261&lt;&gt;""),"COMPLETADO","OBSERVADO")</f>
        <v/>
      </c>
    </row>
    <row r="262" ht="15" customHeight="1" s="195">
      <c r="A262" s="280" t="n"/>
      <c r="B262" s="280" t="n"/>
      <c r="C262" s="280" t="n"/>
      <c r="D262" s="280" t="n"/>
      <c r="E262" s="280" t="n"/>
      <c r="F262" s="280" t="n"/>
      <c r="G262" s="280" t="n"/>
      <c r="H262" s="280" t="n"/>
      <c r="I262" s="332">
        <f>IFERROR(VLOOKUP(TEXT(H262,"0"),IPRESS!$A$3:$B$212,2,0),"")</f>
        <v/>
      </c>
      <c r="J262" s="280" t="n"/>
      <c r="K262" s="332">
        <f>IFERROR(VLOOKUP(TEXT(O262,"0"),CONDUCTORES!$A$3:$G$54,7,0),"")</f>
        <v/>
      </c>
      <c r="L262" s="280" t="n"/>
      <c r="M262" s="280" t="n"/>
      <c r="N262" s="333">
        <f>IFERROR(IF(L262*M262=0,"",L262*M262),"")</f>
        <v/>
      </c>
      <c r="O262" s="280" t="n"/>
      <c r="P262" s="332">
        <f>IFERROR(VLOOKUP(TEXT(O262,"0"),CONDUCTORES!$A$3:$G$54,2,0),"")</f>
        <v/>
      </c>
      <c r="Q262" s="332">
        <f>IFERROR(VLOOKUP(TEXT(O262,"0"),CONDUCTORES!$A$3:$H$54,6,0),"")</f>
        <v/>
      </c>
      <c r="R262" s="280" t="n"/>
      <c r="S262" s="280" t="n"/>
      <c r="T262" s="280" t="n"/>
      <c r="U262" s="280" t="n"/>
      <c r="V262" s="280" t="n"/>
      <c r="W262" s="280" t="n"/>
      <c r="X262" s="280" t="n"/>
      <c r="Y262" s="280" t="n"/>
      <c r="Z262" s="375">
        <f>IF(AND(G262&lt;&gt;"",R262&lt;&gt;"",V262&lt;&gt;"",W262&lt;&gt;""),"COMPLETADO","OBSERVADO")</f>
        <v/>
      </c>
    </row>
    <row r="263" ht="15" customHeight="1" s="195">
      <c r="A263" s="334" t="n"/>
      <c r="B263" s="334" t="n"/>
      <c r="C263" s="334" t="n"/>
      <c r="D263" s="334" t="n"/>
      <c r="E263" s="334" t="n"/>
      <c r="F263" s="334" t="n"/>
      <c r="G263" s="334" t="n"/>
      <c r="H263" s="334" t="n"/>
      <c r="I263" s="332">
        <f>IFERROR(VLOOKUP(TEXT(H263,"0"),IPRESS!$A$3:$B$212,2,0),"")</f>
        <v/>
      </c>
      <c r="J263" s="334" t="n"/>
      <c r="K263" s="332">
        <f>IFERROR(VLOOKUP(TEXT(O263,"0"),CONDUCTORES!$A$3:$G$54,7,0),"")</f>
        <v/>
      </c>
      <c r="L263" s="334" t="n"/>
      <c r="M263" s="334" t="n"/>
      <c r="N263" s="333">
        <f>IFERROR(IF(L263*M263=0,"",L263*M263),"")</f>
        <v/>
      </c>
      <c r="O263" s="334" t="n"/>
      <c r="P263" s="332">
        <f>IFERROR(VLOOKUP(TEXT(O263,"0"),CONDUCTORES!$A$3:$G$54,2,0),"")</f>
        <v/>
      </c>
      <c r="Q263" s="332">
        <f>IFERROR(VLOOKUP(TEXT(O263,"0"),CONDUCTORES!$A$3:$H$54,6,0),"")</f>
        <v/>
      </c>
      <c r="R263" s="334" t="n"/>
      <c r="S263" s="334" t="n"/>
      <c r="T263" s="334" t="n"/>
      <c r="U263" s="334" t="n"/>
      <c r="V263" s="334" t="n"/>
      <c r="W263" s="334" t="n"/>
      <c r="X263" s="334" t="n"/>
      <c r="Y263" s="334" t="n"/>
      <c r="Z263" s="375">
        <f>IF(AND(G263&lt;&gt;"",R263&lt;&gt;"",V263&lt;&gt;"",W263&lt;&gt;""),"COMPLETADO","OBSERVADO")</f>
        <v/>
      </c>
    </row>
    <row r="264" ht="15" customHeight="1" s="195">
      <c r="A264" s="280" t="n"/>
      <c r="B264" s="280" t="n"/>
      <c r="C264" s="280" t="n"/>
      <c r="D264" s="280" t="n"/>
      <c r="E264" s="280" t="n"/>
      <c r="F264" s="280" t="n"/>
      <c r="G264" s="280" t="n"/>
      <c r="H264" s="280" t="n"/>
      <c r="I264" s="332">
        <f>IFERROR(VLOOKUP(TEXT(H264,"0"),IPRESS!$A$3:$B$212,2,0),"")</f>
        <v/>
      </c>
      <c r="J264" s="280" t="n"/>
      <c r="K264" s="332">
        <f>IFERROR(VLOOKUP(TEXT(O264,"0"),CONDUCTORES!$A$3:$G$54,7,0),"")</f>
        <v/>
      </c>
      <c r="L264" s="280" t="n"/>
      <c r="M264" s="280" t="n"/>
      <c r="N264" s="333">
        <f>IFERROR(IF(L264*M264=0,"",L264*M264),"")</f>
        <v/>
      </c>
      <c r="O264" s="280" t="n"/>
      <c r="P264" s="332">
        <f>IFERROR(VLOOKUP(TEXT(O264,"0"),CONDUCTORES!$A$3:$G$54,2,0),"")</f>
        <v/>
      </c>
      <c r="Q264" s="332">
        <f>IFERROR(VLOOKUP(TEXT(O264,"0"),CONDUCTORES!$A$3:$H$54,6,0),"")</f>
        <v/>
      </c>
      <c r="R264" s="280" t="n"/>
      <c r="S264" s="280" t="n"/>
      <c r="T264" s="280" t="n"/>
      <c r="U264" s="280" t="n"/>
      <c r="V264" s="280" t="n"/>
      <c r="W264" s="280" t="n"/>
      <c r="X264" s="280" t="n"/>
      <c r="Y264" s="280" t="n"/>
      <c r="Z264" s="375">
        <f>IF(AND(G264&lt;&gt;"",R264&lt;&gt;"",V264&lt;&gt;"",W264&lt;&gt;""),"COMPLETADO","OBSERVADO")</f>
        <v/>
      </c>
    </row>
    <row r="265" ht="15" customHeight="1" s="195">
      <c r="A265" s="334" t="n"/>
      <c r="B265" s="334" t="n"/>
      <c r="C265" s="334" t="n"/>
      <c r="D265" s="334" t="n"/>
      <c r="E265" s="334" t="n"/>
      <c r="F265" s="334" t="n"/>
      <c r="G265" s="334" t="n"/>
      <c r="H265" s="334" t="n"/>
      <c r="I265" s="332">
        <f>IFERROR(VLOOKUP(TEXT(H265,"0"),IPRESS!$A$3:$B$212,2,0),"")</f>
        <v/>
      </c>
      <c r="J265" s="334" t="n"/>
      <c r="K265" s="332">
        <f>IFERROR(VLOOKUP(TEXT(O265,"0"),CONDUCTORES!$A$3:$G$54,7,0),"")</f>
        <v/>
      </c>
      <c r="L265" s="334" t="n"/>
      <c r="M265" s="334" t="n"/>
      <c r="N265" s="333">
        <f>IFERROR(IF(L265*M265=0,"",L265*M265),"")</f>
        <v/>
      </c>
      <c r="O265" s="334" t="n"/>
      <c r="P265" s="332">
        <f>IFERROR(VLOOKUP(TEXT(O265,"0"),CONDUCTORES!$A$3:$G$54,2,0),"")</f>
        <v/>
      </c>
      <c r="Q265" s="332">
        <f>IFERROR(VLOOKUP(TEXT(O265,"0"),CONDUCTORES!$A$3:$H$54,6,0),"")</f>
        <v/>
      </c>
      <c r="R265" s="334" t="n"/>
      <c r="S265" s="334" t="n"/>
      <c r="T265" s="334" t="n"/>
      <c r="U265" s="334" t="n"/>
      <c r="V265" s="334" t="n"/>
      <c r="W265" s="334" t="n"/>
      <c r="X265" s="334" t="n"/>
      <c r="Y265" s="334" t="n"/>
      <c r="Z265" s="375">
        <f>IF(AND(G265&lt;&gt;"",R265&lt;&gt;"",V265&lt;&gt;"",W265&lt;&gt;""),"COMPLETADO","OBSERVADO")</f>
        <v/>
      </c>
    </row>
    <row r="266" ht="15" customHeight="1" s="195">
      <c r="A266" s="280" t="n"/>
      <c r="B266" s="280" t="n"/>
      <c r="C266" s="280" t="n"/>
      <c r="D266" s="280" t="n"/>
      <c r="E266" s="280" t="n"/>
      <c r="F266" s="280" t="n"/>
      <c r="G266" s="280" t="n"/>
      <c r="H266" s="280" t="n"/>
      <c r="I266" s="332">
        <f>IFERROR(VLOOKUP(TEXT(H266,"0"),IPRESS!$A$3:$B$212,2,0),"")</f>
        <v/>
      </c>
      <c r="J266" s="280" t="n"/>
      <c r="K266" s="332">
        <f>IFERROR(VLOOKUP(TEXT(O266,"0"),CONDUCTORES!$A$3:$G$54,7,0),"")</f>
        <v/>
      </c>
      <c r="L266" s="280" t="n"/>
      <c r="M266" s="280" t="n"/>
      <c r="N266" s="333">
        <f>IFERROR(IF(L266*M266=0,"",L266*M266),"")</f>
        <v/>
      </c>
      <c r="O266" s="280" t="n"/>
      <c r="P266" s="332">
        <f>IFERROR(VLOOKUP(TEXT(O266,"0"),CONDUCTORES!$A$3:$G$54,2,0),"")</f>
        <v/>
      </c>
      <c r="Q266" s="332">
        <f>IFERROR(VLOOKUP(TEXT(O266,"0"),CONDUCTORES!$A$3:$H$54,6,0),"")</f>
        <v/>
      </c>
      <c r="R266" s="280" t="n"/>
      <c r="S266" s="280" t="n"/>
      <c r="T266" s="280" t="n"/>
      <c r="U266" s="280" t="n"/>
      <c r="V266" s="280" t="n"/>
      <c r="W266" s="280" t="n"/>
      <c r="X266" s="280" t="n"/>
      <c r="Y266" s="280" t="n"/>
      <c r="Z266" s="375">
        <f>IF(AND(G266&lt;&gt;"",R266&lt;&gt;"",V266&lt;&gt;"",W266&lt;&gt;""),"COMPLETADO","OBSERVADO")</f>
        <v/>
      </c>
    </row>
    <row r="267" ht="15" customHeight="1" s="195">
      <c r="A267" s="334" t="n"/>
      <c r="B267" s="334" t="n"/>
      <c r="C267" s="334" t="n"/>
      <c r="D267" s="334" t="n"/>
      <c r="E267" s="334" t="n"/>
      <c r="F267" s="334" t="n"/>
      <c r="G267" s="334" t="n"/>
      <c r="H267" s="334" t="n"/>
      <c r="I267" s="332">
        <f>IFERROR(VLOOKUP(TEXT(H267,"0"),IPRESS!$A$3:$B$212,2,0),"")</f>
        <v/>
      </c>
      <c r="J267" s="334" t="n"/>
      <c r="K267" s="332">
        <f>IFERROR(VLOOKUP(TEXT(O267,"0"),CONDUCTORES!$A$3:$G$54,7,0),"")</f>
        <v/>
      </c>
      <c r="L267" s="334" t="n"/>
      <c r="M267" s="334" t="n"/>
      <c r="N267" s="333">
        <f>IFERROR(IF(L267*M267=0,"",L267*M267),"")</f>
        <v/>
      </c>
      <c r="O267" s="334" t="n"/>
      <c r="P267" s="332">
        <f>IFERROR(VLOOKUP(TEXT(O267,"0"),CONDUCTORES!$A$3:$G$54,2,0),"")</f>
        <v/>
      </c>
      <c r="Q267" s="332">
        <f>IFERROR(VLOOKUP(TEXT(O267,"0"),CONDUCTORES!$A$3:$H$54,6,0),"")</f>
        <v/>
      </c>
      <c r="R267" s="334" t="n"/>
      <c r="S267" s="334" t="n"/>
      <c r="T267" s="334" t="n"/>
      <c r="U267" s="334" t="n"/>
      <c r="V267" s="334" t="n"/>
      <c r="W267" s="334" t="n"/>
      <c r="X267" s="334" t="n"/>
      <c r="Y267" s="334" t="n"/>
      <c r="Z267" s="375">
        <f>IF(AND(G267&lt;&gt;"",R267&lt;&gt;"",V267&lt;&gt;"",W267&lt;&gt;""),"COMPLETADO","OBSERVADO")</f>
        <v/>
      </c>
    </row>
    <row r="268" ht="15" customHeight="1" s="195">
      <c r="A268" s="280" t="n"/>
      <c r="B268" s="280" t="n"/>
      <c r="C268" s="280" t="n"/>
      <c r="D268" s="280" t="n"/>
      <c r="E268" s="280" t="n"/>
      <c r="F268" s="280" t="n"/>
      <c r="G268" s="280" t="n"/>
      <c r="H268" s="280" t="n"/>
      <c r="I268" s="332">
        <f>IFERROR(VLOOKUP(TEXT(H268,"0"),IPRESS!$A$3:$B$212,2,0),"")</f>
        <v/>
      </c>
      <c r="J268" s="280" t="n"/>
      <c r="K268" s="332">
        <f>IFERROR(VLOOKUP(TEXT(O268,"0"),CONDUCTORES!$A$3:$G$54,7,0),"")</f>
        <v/>
      </c>
      <c r="L268" s="280" t="n"/>
      <c r="M268" s="280" t="n"/>
      <c r="N268" s="333">
        <f>IFERROR(IF(L268*M268=0,"",L268*M268),"")</f>
        <v/>
      </c>
      <c r="O268" s="280" t="n"/>
      <c r="P268" s="332">
        <f>IFERROR(VLOOKUP(TEXT(O268,"0"),CONDUCTORES!$A$3:$G$54,2,0),"")</f>
        <v/>
      </c>
      <c r="Q268" s="332">
        <f>IFERROR(VLOOKUP(TEXT(O268,"0"),CONDUCTORES!$A$3:$H$54,6,0),"")</f>
        <v/>
      </c>
      <c r="R268" s="280" t="n"/>
      <c r="S268" s="280" t="n"/>
      <c r="T268" s="280" t="n"/>
      <c r="U268" s="280" t="n"/>
      <c r="V268" s="280" t="n"/>
      <c r="W268" s="280" t="n"/>
      <c r="X268" s="280" t="n"/>
      <c r="Y268" s="280" t="n"/>
      <c r="Z268" s="375">
        <f>IF(AND(G268&lt;&gt;"",R268&lt;&gt;"",V268&lt;&gt;"",W268&lt;&gt;""),"COMPLETADO","OBSERVADO")</f>
        <v/>
      </c>
    </row>
    <row r="269" ht="15" customHeight="1" s="195">
      <c r="A269" s="334" t="n"/>
      <c r="B269" s="334" t="n"/>
      <c r="C269" s="334" t="n"/>
      <c r="D269" s="334" t="n"/>
      <c r="E269" s="334" t="n"/>
      <c r="F269" s="334" t="n"/>
      <c r="G269" s="334" t="n"/>
      <c r="H269" s="334" t="n"/>
      <c r="I269" s="332">
        <f>IFERROR(VLOOKUP(TEXT(H269,"0"),IPRESS!$A$3:$B$212,2,0),"")</f>
        <v/>
      </c>
      <c r="J269" s="334" t="n"/>
      <c r="K269" s="332">
        <f>IFERROR(VLOOKUP(TEXT(O269,"0"),CONDUCTORES!$A$3:$G$54,7,0),"")</f>
        <v/>
      </c>
      <c r="L269" s="334" t="n"/>
      <c r="M269" s="334" t="n"/>
      <c r="N269" s="333">
        <f>IFERROR(IF(L269*M269=0,"",L269*M269),"")</f>
        <v/>
      </c>
      <c r="O269" s="334" t="n"/>
      <c r="P269" s="332">
        <f>IFERROR(VLOOKUP(TEXT(O269,"0"),CONDUCTORES!$A$3:$G$54,2,0),"")</f>
        <v/>
      </c>
      <c r="Q269" s="332">
        <f>IFERROR(VLOOKUP(TEXT(O269,"0"),CONDUCTORES!$A$3:$H$54,6,0),"")</f>
        <v/>
      </c>
      <c r="R269" s="334" t="n"/>
      <c r="S269" s="334" t="n"/>
      <c r="T269" s="334" t="n"/>
      <c r="U269" s="334" t="n"/>
      <c r="V269" s="334" t="n"/>
      <c r="W269" s="334" t="n"/>
      <c r="X269" s="334" t="n"/>
      <c r="Y269" s="334" t="n"/>
      <c r="Z269" s="375">
        <f>IF(AND(G269&lt;&gt;"",R269&lt;&gt;"",V269&lt;&gt;"",W269&lt;&gt;""),"COMPLETADO","OBSERVADO")</f>
        <v/>
      </c>
    </row>
    <row r="270" ht="15" customHeight="1" s="195">
      <c r="A270" s="280" t="n"/>
      <c r="B270" s="280" t="n"/>
      <c r="C270" s="280" t="n"/>
      <c r="D270" s="280" t="n"/>
      <c r="E270" s="280" t="n"/>
      <c r="F270" s="280" t="n"/>
      <c r="G270" s="280" t="n"/>
      <c r="H270" s="280" t="n"/>
      <c r="I270" s="332">
        <f>IFERROR(VLOOKUP(TEXT(H270,"0"),IPRESS!$A$3:$B$212,2,0),"")</f>
        <v/>
      </c>
      <c r="J270" s="280" t="n"/>
      <c r="K270" s="332">
        <f>IFERROR(VLOOKUP(TEXT(O270,"0"),CONDUCTORES!$A$3:$G$54,7,0),"")</f>
        <v/>
      </c>
      <c r="L270" s="280" t="n"/>
      <c r="M270" s="280" t="n"/>
      <c r="N270" s="333">
        <f>IFERROR(IF(L270*M270=0,"",L270*M270),"")</f>
        <v/>
      </c>
      <c r="O270" s="280" t="n"/>
      <c r="P270" s="332">
        <f>IFERROR(VLOOKUP(TEXT(O270,"0"),CONDUCTORES!$A$3:$G$54,2,0),"")</f>
        <v/>
      </c>
      <c r="Q270" s="332">
        <f>IFERROR(VLOOKUP(TEXT(O270,"0"),CONDUCTORES!$A$3:$H$54,6,0),"")</f>
        <v/>
      </c>
      <c r="R270" s="280" t="n"/>
      <c r="S270" s="280" t="n"/>
      <c r="T270" s="280" t="n"/>
      <c r="U270" s="280" t="n"/>
      <c r="V270" s="280" t="n"/>
      <c r="W270" s="280" t="n"/>
      <c r="X270" s="280" t="n"/>
      <c r="Y270" s="280" t="n"/>
      <c r="Z270" s="375">
        <f>IF(AND(G270&lt;&gt;"",R270&lt;&gt;"",V270&lt;&gt;"",W270&lt;&gt;""),"COMPLETADO","OBSERVADO")</f>
        <v/>
      </c>
    </row>
    <row r="271" ht="15" customHeight="1" s="195">
      <c r="A271" s="334" t="n"/>
      <c r="B271" s="334" t="n"/>
      <c r="C271" s="334" t="n"/>
      <c r="D271" s="334" t="n"/>
      <c r="E271" s="334" t="n"/>
      <c r="F271" s="334" t="n"/>
      <c r="G271" s="334" t="n"/>
      <c r="H271" s="334" t="n"/>
      <c r="I271" s="332">
        <f>IFERROR(VLOOKUP(TEXT(H271,"0"),IPRESS!$A$3:$B$212,2,0),"")</f>
        <v/>
      </c>
      <c r="J271" s="334" t="n"/>
      <c r="K271" s="332">
        <f>IFERROR(VLOOKUP(TEXT(O271,"0"),CONDUCTORES!$A$3:$G$54,7,0),"")</f>
        <v/>
      </c>
      <c r="L271" s="334" t="n"/>
      <c r="M271" s="334" t="n"/>
      <c r="N271" s="333">
        <f>IFERROR(IF(L271*M271=0,"",L271*M271),"")</f>
        <v/>
      </c>
      <c r="O271" s="334" t="n"/>
      <c r="P271" s="332">
        <f>IFERROR(VLOOKUP(TEXT(O271,"0"),CONDUCTORES!$A$3:$G$54,2,0),"")</f>
        <v/>
      </c>
      <c r="Q271" s="332">
        <f>IFERROR(VLOOKUP(TEXT(O271,"0"),CONDUCTORES!$A$3:$H$54,6,0),"")</f>
        <v/>
      </c>
      <c r="R271" s="334" t="n"/>
      <c r="S271" s="334" t="n"/>
      <c r="T271" s="334" t="n"/>
      <c r="U271" s="334" t="n"/>
      <c r="V271" s="334" t="n"/>
      <c r="W271" s="334" t="n"/>
      <c r="X271" s="334" t="n"/>
      <c r="Y271" s="334" t="n"/>
      <c r="Z271" s="375">
        <f>IF(AND(G271&lt;&gt;"",R271&lt;&gt;"",V271&lt;&gt;"",W271&lt;&gt;""),"COMPLETADO","OBSERVADO")</f>
        <v/>
      </c>
    </row>
    <row r="272" ht="15" customHeight="1" s="195">
      <c r="A272" s="280" t="n"/>
      <c r="B272" s="280" t="n"/>
      <c r="C272" s="280" t="n"/>
      <c r="D272" s="280" t="n"/>
      <c r="E272" s="280" t="n"/>
      <c r="F272" s="280" t="n"/>
      <c r="G272" s="280" t="n"/>
      <c r="H272" s="280" t="n"/>
      <c r="I272" s="332">
        <f>IFERROR(VLOOKUP(TEXT(H272,"0"),IPRESS!$A$3:$B$212,2,0),"")</f>
        <v/>
      </c>
      <c r="J272" s="280" t="n"/>
      <c r="K272" s="332">
        <f>IFERROR(VLOOKUP(TEXT(O272,"0"),CONDUCTORES!$A$3:$G$54,7,0),"")</f>
        <v/>
      </c>
      <c r="L272" s="280" t="n"/>
      <c r="M272" s="280" t="n"/>
      <c r="N272" s="333">
        <f>IFERROR(IF(L272*M272=0,"",L272*M272),"")</f>
        <v/>
      </c>
      <c r="O272" s="280" t="n"/>
      <c r="P272" s="332">
        <f>IFERROR(VLOOKUP(TEXT(O272,"0"),CONDUCTORES!$A$3:$G$54,2,0),"")</f>
        <v/>
      </c>
      <c r="Q272" s="332">
        <f>IFERROR(VLOOKUP(TEXT(O272,"0"),CONDUCTORES!$A$3:$H$54,6,0),"")</f>
        <v/>
      </c>
      <c r="R272" s="280" t="n"/>
      <c r="S272" s="280" t="n"/>
      <c r="T272" s="280" t="n"/>
      <c r="U272" s="280" t="n"/>
      <c r="V272" s="280" t="n"/>
      <c r="W272" s="280" t="n"/>
      <c r="X272" s="280" t="n"/>
      <c r="Y272" s="280" t="n"/>
      <c r="Z272" s="375">
        <f>IF(AND(G272&lt;&gt;"",R272&lt;&gt;"",V272&lt;&gt;"",W272&lt;&gt;""),"COMPLETADO","OBSERVADO")</f>
        <v/>
      </c>
    </row>
    <row r="273" ht="15" customHeight="1" s="195">
      <c r="A273" s="334" t="n"/>
      <c r="B273" s="334" t="n"/>
      <c r="C273" s="334" t="n"/>
      <c r="D273" s="334" t="n"/>
      <c r="E273" s="334" t="n"/>
      <c r="F273" s="334" t="n"/>
      <c r="G273" s="334" t="n"/>
      <c r="H273" s="334" t="n"/>
      <c r="I273" s="332">
        <f>IFERROR(VLOOKUP(TEXT(H273,"0"),IPRESS!$A$3:$B$212,2,0),"")</f>
        <v/>
      </c>
      <c r="J273" s="334" t="n"/>
      <c r="K273" s="332">
        <f>IFERROR(VLOOKUP(TEXT(O273,"0"),CONDUCTORES!$A$3:$G$54,7,0),"")</f>
        <v/>
      </c>
      <c r="L273" s="334" t="n"/>
      <c r="M273" s="334" t="n"/>
      <c r="N273" s="333">
        <f>IFERROR(IF(L273*M273=0,"",L273*M273),"")</f>
        <v/>
      </c>
      <c r="O273" s="334" t="n"/>
      <c r="P273" s="332">
        <f>IFERROR(VLOOKUP(TEXT(O273,"0"),CONDUCTORES!$A$3:$G$54,2,0),"")</f>
        <v/>
      </c>
      <c r="Q273" s="332">
        <f>IFERROR(VLOOKUP(TEXT(O273,"0"),CONDUCTORES!$A$3:$H$54,6,0),"")</f>
        <v/>
      </c>
      <c r="R273" s="334" t="n"/>
      <c r="S273" s="334" t="n"/>
      <c r="T273" s="334" t="n"/>
      <c r="U273" s="334" t="n"/>
      <c r="V273" s="334" t="n"/>
      <c r="W273" s="334" t="n"/>
      <c r="X273" s="334" t="n"/>
      <c r="Y273" s="334" t="n"/>
      <c r="Z273" s="375">
        <f>IF(AND(G273&lt;&gt;"",R273&lt;&gt;"",V273&lt;&gt;"",W273&lt;&gt;""),"COMPLETADO","OBSERVADO")</f>
        <v/>
      </c>
    </row>
    <row r="274" ht="15" customHeight="1" s="195">
      <c r="A274" s="280" t="n"/>
      <c r="B274" s="280" t="n"/>
      <c r="C274" s="280" t="n"/>
      <c r="D274" s="280" t="n"/>
      <c r="E274" s="280" t="n"/>
      <c r="F274" s="280" t="n"/>
      <c r="G274" s="280" t="n"/>
      <c r="H274" s="280" t="n"/>
      <c r="I274" s="332">
        <f>IFERROR(VLOOKUP(TEXT(H274,"0"),IPRESS!$A$3:$B$212,2,0),"")</f>
        <v/>
      </c>
      <c r="J274" s="280" t="n"/>
      <c r="K274" s="332">
        <f>IFERROR(VLOOKUP(TEXT(O274,"0"),CONDUCTORES!$A$3:$G$54,7,0),"")</f>
        <v/>
      </c>
      <c r="L274" s="280" t="n"/>
      <c r="M274" s="280" t="n"/>
      <c r="N274" s="333">
        <f>IFERROR(IF(L274*M274=0,"",L274*M274),"")</f>
        <v/>
      </c>
      <c r="O274" s="280" t="n"/>
      <c r="P274" s="332">
        <f>IFERROR(VLOOKUP(TEXT(O274,"0"),CONDUCTORES!$A$3:$G$54,2,0),"")</f>
        <v/>
      </c>
      <c r="Q274" s="332">
        <f>IFERROR(VLOOKUP(TEXT(O274,"0"),CONDUCTORES!$A$3:$H$54,6,0),"")</f>
        <v/>
      </c>
      <c r="R274" s="280" t="n"/>
      <c r="S274" s="280" t="n"/>
      <c r="T274" s="280" t="n"/>
      <c r="U274" s="280" t="n"/>
      <c r="V274" s="280" t="n"/>
      <c r="W274" s="280" t="n"/>
      <c r="X274" s="280" t="n"/>
      <c r="Y274" s="280" t="n"/>
      <c r="Z274" s="375">
        <f>IF(AND(G274&lt;&gt;"",R274&lt;&gt;"",V274&lt;&gt;"",W274&lt;&gt;""),"COMPLETADO","OBSERVADO")</f>
        <v/>
      </c>
    </row>
    <row r="275" ht="15" customHeight="1" s="195">
      <c r="A275" s="334" t="n"/>
      <c r="B275" s="334" t="n"/>
      <c r="C275" s="334" t="n"/>
      <c r="D275" s="334" t="n"/>
      <c r="E275" s="334" t="n"/>
      <c r="F275" s="334" t="n"/>
      <c r="G275" s="334" t="n"/>
      <c r="H275" s="334" t="n"/>
      <c r="I275" s="332">
        <f>IFERROR(VLOOKUP(TEXT(H275,"0"),IPRESS!$A$3:$B$212,2,0),"")</f>
        <v/>
      </c>
      <c r="J275" s="334" t="n"/>
      <c r="K275" s="332">
        <f>IFERROR(VLOOKUP(TEXT(O275,"0"),CONDUCTORES!$A$3:$G$54,7,0),"")</f>
        <v/>
      </c>
      <c r="L275" s="334" t="n"/>
      <c r="M275" s="334" t="n"/>
      <c r="N275" s="333">
        <f>IFERROR(IF(L275*M275=0,"",L275*M275),"")</f>
        <v/>
      </c>
      <c r="O275" s="334" t="n"/>
      <c r="P275" s="332">
        <f>IFERROR(VLOOKUP(TEXT(O275,"0"),CONDUCTORES!$A$3:$G$54,2,0),"")</f>
        <v/>
      </c>
      <c r="Q275" s="332">
        <f>IFERROR(VLOOKUP(TEXT(O275,"0"),CONDUCTORES!$A$3:$H$54,6,0),"")</f>
        <v/>
      </c>
      <c r="R275" s="334" t="n"/>
      <c r="S275" s="334" t="n"/>
      <c r="T275" s="334" t="n"/>
      <c r="U275" s="334" t="n"/>
      <c r="V275" s="334" t="n"/>
      <c r="W275" s="334" t="n"/>
      <c r="X275" s="334" t="n"/>
      <c r="Y275" s="334" t="n"/>
      <c r="Z275" s="375">
        <f>IF(AND(G275&lt;&gt;"",R275&lt;&gt;"",V275&lt;&gt;"",W275&lt;&gt;""),"COMPLETADO","OBSERVADO")</f>
        <v/>
      </c>
    </row>
    <row r="276" ht="15" customHeight="1" s="195">
      <c r="A276" s="280" t="n"/>
      <c r="B276" s="280" t="n"/>
      <c r="C276" s="280" t="n"/>
      <c r="D276" s="280" t="n"/>
      <c r="E276" s="280" t="n"/>
      <c r="F276" s="280" t="n"/>
      <c r="G276" s="280" t="n"/>
      <c r="H276" s="280" t="n"/>
      <c r="I276" s="332">
        <f>IFERROR(VLOOKUP(TEXT(H276,"0"),IPRESS!$A$3:$B$212,2,0),"")</f>
        <v/>
      </c>
      <c r="J276" s="280" t="n"/>
      <c r="K276" s="332">
        <f>IFERROR(VLOOKUP(TEXT(O276,"0"),CONDUCTORES!$A$3:$G$54,7,0),"")</f>
        <v/>
      </c>
      <c r="L276" s="280" t="n"/>
      <c r="M276" s="280" t="n"/>
      <c r="N276" s="333">
        <f>IFERROR(IF(L276*M276=0,"",L276*M276),"")</f>
        <v/>
      </c>
      <c r="O276" s="280" t="n"/>
      <c r="P276" s="332">
        <f>IFERROR(VLOOKUP(TEXT(O276,"0"),CONDUCTORES!$A$3:$G$54,2,0),"")</f>
        <v/>
      </c>
      <c r="Q276" s="332">
        <f>IFERROR(VLOOKUP(TEXT(O276,"0"),CONDUCTORES!$A$3:$H$54,6,0),"")</f>
        <v/>
      </c>
      <c r="R276" s="280" t="n"/>
      <c r="S276" s="280" t="n"/>
      <c r="T276" s="280" t="n"/>
      <c r="U276" s="280" t="n"/>
      <c r="V276" s="280" t="n"/>
      <c r="W276" s="280" t="n"/>
      <c r="X276" s="280" t="n"/>
      <c r="Y276" s="280" t="n"/>
      <c r="Z276" s="375">
        <f>IF(AND(G276&lt;&gt;"",R276&lt;&gt;"",V276&lt;&gt;"",W276&lt;&gt;""),"COMPLETADO","OBSERVADO")</f>
        <v/>
      </c>
    </row>
    <row r="277" ht="15" customHeight="1" s="195">
      <c r="A277" s="334" t="n"/>
      <c r="B277" s="334" t="n"/>
      <c r="C277" s="334" t="n"/>
      <c r="D277" s="334" t="n"/>
      <c r="E277" s="334" t="n"/>
      <c r="F277" s="334" t="n"/>
      <c r="G277" s="334" t="n"/>
      <c r="H277" s="334" t="n"/>
      <c r="I277" s="332">
        <f>IFERROR(VLOOKUP(TEXT(H277,"0"),IPRESS!$A$3:$B$212,2,0),"")</f>
        <v/>
      </c>
      <c r="J277" s="334" t="n"/>
      <c r="K277" s="332">
        <f>IFERROR(VLOOKUP(TEXT(O277,"0"),CONDUCTORES!$A$3:$G$54,7,0),"")</f>
        <v/>
      </c>
      <c r="L277" s="334" t="n"/>
      <c r="M277" s="334" t="n"/>
      <c r="N277" s="333">
        <f>IFERROR(IF(L277*M277=0,"",L277*M277),"")</f>
        <v/>
      </c>
      <c r="O277" s="334" t="n"/>
      <c r="P277" s="332">
        <f>IFERROR(VLOOKUP(TEXT(O277,"0"),CONDUCTORES!$A$3:$G$54,2,0),"")</f>
        <v/>
      </c>
      <c r="Q277" s="332">
        <f>IFERROR(VLOOKUP(TEXT(O277,"0"),CONDUCTORES!$A$3:$H$54,6,0),"")</f>
        <v/>
      </c>
      <c r="R277" s="334" t="n"/>
      <c r="S277" s="334" t="n"/>
      <c r="T277" s="334" t="n"/>
      <c r="U277" s="334" t="n"/>
      <c r="V277" s="334" t="n"/>
      <c r="W277" s="334" t="n"/>
      <c r="X277" s="334" t="n"/>
      <c r="Y277" s="334" t="n"/>
      <c r="Z277" s="375">
        <f>IF(AND(G277&lt;&gt;"",R277&lt;&gt;"",V277&lt;&gt;"",W277&lt;&gt;""),"COMPLETADO","OBSERVADO")</f>
        <v/>
      </c>
    </row>
    <row r="278" ht="15" customHeight="1" s="195">
      <c r="A278" s="280" t="n"/>
      <c r="B278" s="280" t="n"/>
      <c r="C278" s="280" t="n"/>
      <c r="D278" s="280" t="n"/>
      <c r="E278" s="280" t="n"/>
      <c r="F278" s="280" t="n"/>
      <c r="G278" s="280" t="n"/>
      <c r="H278" s="280" t="n"/>
      <c r="I278" s="332">
        <f>IFERROR(VLOOKUP(TEXT(H278,"0"),IPRESS!$A$3:$B$212,2,0),"")</f>
        <v/>
      </c>
      <c r="J278" s="280" t="n"/>
      <c r="K278" s="332">
        <f>IFERROR(VLOOKUP(TEXT(O278,"0"),CONDUCTORES!$A$3:$G$54,7,0),"")</f>
        <v/>
      </c>
      <c r="L278" s="280" t="n"/>
      <c r="M278" s="280" t="n"/>
      <c r="N278" s="333">
        <f>IFERROR(IF(L278*M278=0,"",L278*M278),"")</f>
        <v/>
      </c>
      <c r="O278" s="280" t="n"/>
      <c r="P278" s="332">
        <f>IFERROR(VLOOKUP(TEXT(O278,"0"),CONDUCTORES!$A$3:$G$54,2,0),"")</f>
        <v/>
      </c>
      <c r="Q278" s="332">
        <f>IFERROR(VLOOKUP(TEXT(O278,"0"),CONDUCTORES!$A$3:$H$54,6,0),"")</f>
        <v/>
      </c>
      <c r="R278" s="280" t="n"/>
      <c r="S278" s="280" t="n"/>
      <c r="T278" s="280" t="n"/>
      <c r="U278" s="280" t="n"/>
      <c r="V278" s="280" t="n"/>
      <c r="W278" s="280" t="n"/>
      <c r="X278" s="280" t="n"/>
      <c r="Y278" s="280" t="n"/>
      <c r="Z278" s="375">
        <f>IF(AND(G278&lt;&gt;"",R278&lt;&gt;"",V278&lt;&gt;"",W278&lt;&gt;""),"COMPLETADO","OBSERVADO")</f>
        <v/>
      </c>
    </row>
    <row r="279" ht="15" customHeight="1" s="195">
      <c r="A279" s="334" t="n"/>
      <c r="B279" s="334" t="n"/>
      <c r="C279" s="334" t="n"/>
      <c r="D279" s="334" t="n"/>
      <c r="E279" s="334" t="n"/>
      <c r="F279" s="334" t="n"/>
      <c r="G279" s="334" t="n"/>
      <c r="H279" s="334" t="n"/>
      <c r="I279" s="332">
        <f>IFERROR(VLOOKUP(TEXT(H279,"0"),IPRESS!$A$3:$B$212,2,0),"")</f>
        <v/>
      </c>
      <c r="J279" s="334" t="n"/>
      <c r="K279" s="332">
        <f>IFERROR(VLOOKUP(TEXT(O279,"0"),CONDUCTORES!$A$3:$G$54,7,0),"")</f>
        <v/>
      </c>
      <c r="L279" s="334" t="n"/>
      <c r="M279" s="334" t="n"/>
      <c r="N279" s="333">
        <f>IFERROR(IF(L279*M279=0,"",L279*M279),"")</f>
        <v/>
      </c>
      <c r="O279" s="334" t="n"/>
      <c r="P279" s="332">
        <f>IFERROR(VLOOKUP(TEXT(O279,"0"),CONDUCTORES!$A$3:$G$54,2,0),"")</f>
        <v/>
      </c>
      <c r="Q279" s="332">
        <f>IFERROR(VLOOKUP(TEXT(O279,"0"),CONDUCTORES!$A$3:$H$54,6,0),"")</f>
        <v/>
      </c>
      <c r="R279" s="334" t="n"/>
      <c r="S279" s="334" t="n"/>
      <c r="T279" s="334" t="n"/>
      <c r="U279" s="334" t="n"/>
      <c r="V279" s="334" t="n"/>
      <c r="W279" s="334" t="n"/>
      <c r="X279" s="334" t="n"/>
      <c r="Y279" s="334" t="n"/>
      <c r="Z279" s="375">
        <f>IF(AND(G279&lt;&gt;"",R279&lt;&gt;"",V279&lt;&gt;"",W279&lt;&gt;""),"COMPLETADO","OBSERVADO")</f>
        <v/>
      </c>
    </row>
    <row r="280" ht="15" customHeight="1" s="195">
      <c r="A280" s="280" t="n"/>
      <c r="B280" s="280" t="n"/>
      <c r="C280" s="280" t="n"/>
      <c r="D280" s="280" t="n"/>
      <c r="E280" s="280" t="n"/>
      <c r="F280" s="280" t="n"/>
      <c r="G280" s="280" t="n"/>
      <c r="H280" s="280" t="n"/>
      <c r="I280" s="332">
        <f>IFERROR(VLOOKUP(TEXT(H280,"0"),IPRESS!$A$3:$B$212,2,0),"")</f>
        <v/>
      </c>
      <c r="J280" s="280" t="n"/>
      <c r="K280" s="332">
        <f>IFERROR(VLOOKUP(TEXT(O280,"0"),CONDUCTORES!$A$3:$G$54,7,0),"")</f>
        <v/>
      </c>
      <c r="L280" s="280" t="n"/>
      <c r="M280" s="280" t="n"/>
      <c r="N280" s="333">
        <f>IFERROR(IF(L280*M280=0,"",L280*M280),"")</f>
        <v/>
      </c>
      <c r="O280" s="280" t="n"/>
      <c r="P280" s="332">
        <f>IFERROR(VLOOKUP(TEXT(O280,"0"),CONDUCTORES!$A$3:$G$54,2,0),"")</f>
        <v/>
      </c>
      <c r="Q280" s="332">
        <f>IFERROR(VLOOKUP(TEXT(O280,"0"),CONDUCTORES!$A$3:$H$54,6,0),"")</f>
        <v/>
      </c>
      <c r="R280" s="280" t="n"/>
      <c r="S280" s="280" t="n"/>
      <c r="T280" s="280" t="n"/>
      <c r="U280" s="280" t="n"/>
      <c r="V280" s="280" t="n"/>
      <c r="W280" s="280" t="n"/>
      <c r="X280" s="280" t="n"/>
      <c r="Y280" s="280" t="n"/>
      <c r="Z280" s="375">
        <f>IF(AND(G280&lt;&gt;"",R280&lt;&gt;"",V280&lt;&gt;"",W280&lt;&gt;""),"COMPLETADO","OBSERVADO")</f>
        <v/>
      </c>
    </row>
    <row r="281" ht="15" customHeight="1" s="195">
      <c r="A281" s="334" t="n"/>
      <c r="B281" s="334" t="n"/>
      <c r="C281" s="334" t="n"/>
      <c r="D281" s="334" t="n"/>
      <c r="E281" s="334" t="n"/>
      <c r="F281" s="334" t="n"/>
      <c r="G281" s="334" t="n"/>
      <c r="H281" s="334" t="n"/>
      <c r="I281" s="332">
        <f>IFERROR(VLOOKUP(TEXT(H281,"0"),IPRESS!$A$3:$B$212,2,0),"")</f>
        <v/>
      </c>
      <c r="J281" s="334" t="n"/>
      <c r="K281" s="332">
        <f>IFERROR(VLOOKUP(TEXT(O281,"0"),CONDUCTORES!$A$3:$G$54,7,0),"")</f>
        <v/>
      </c>
      <c r="L281" s="334" t="n"/>
      <c r="M281" s="334" t="n"/>
      <c r="N281" s="333">
        <f>IFERROR(IF(L281*M281=0,"",L281*M281),"")</f>
        <v/>
      </c>
      <c r="O281" s="334" t="n"/>
      <c r="P281" s="332">
        <f>IFERROR(VLOOKUP(TEXT(O281,"0"),CONDUCTORES!$A$3:$G$54,2,0),"")</f>
        <v/>
      </c>
      <c r="Q281" s="332">
        <f>IFERROR(VLOOKUP(TEXT(O281,"0"),CONDUCTORES!$A$3:$H$54,6,0),"")</f>
        <v/>
      </c>
      <c r="R281" s="334" t="n"/>
      <c r="S281" s="334" t="n"/>
      <c r="T281" s="334" t="n"/>
      <c r="U281" s="334" t="n"/>
      <c r="V281" s="334" t="n"/>
      <c r="W281" s="334" t="n"/>
      <c r="X281" s="334" t="n"/>
      <c r="Y281" s="334" t="n"/>
      <c r="Z281" s="375">
        <f>IF(AND(G281&lt;&gt;"",R281&lt;&gt;"",V281&lt;&gt;"",W281&lt;&gt;""),"COMPLETADO","OBSERVADO")</f>
        <v/>
      </c>
    </row>
    <row r="282" ht="15" customHeight="1" s="195">
      <c r="A282" s="280" t="n"/>
      <c r="B282" s="280" t="n"/>
      <c r="C282" s="280" t="n"/>
      <c r="D282" s="280" t="n"/>
      <c r="E282" s="280" t="n"/>
      <c r="F282" s="280" t="n"/>
      <c r="G282" s="280" t="n"/>
      <c r="H282" s="280" t="n"/>
      <c r="I282" s="332">
        <f>IFERROR(VLOOKUP(TEXT(H282,"0"),IPRESS!$A$3:$B$212,2,0),"")</f>
        <v/>
      </c>
      <c r="J282" s="280" t="n"/>
      <c r="K282" s="332">
        <f>IFERROR(VLOOKUP(TEXT(O282,"0"),CONDUCTORES!$A$3:$G$54,7,0),"")</f>
        <v/>
      </c>
      <c r="L282" s="280" t="n"/>
      <c r="M282" s="280" t="n"/>
      <c r="N282" s="333">
        <f>IFERROR(IF(L282*M282=0,"",L282*M282),"")</f>
        <v/>
      </c>
      <c r="O282" s="280" t="n"/>
      <c r="P282" s="332">
        <f>IFERROR(VLOOKUP(TEXT(O282,"0"),CONDUCTORES!$A$3:$G$54,2,0),"")</f>
        <v/>
      </c>
      <c r="Q282" s="332">
        <f>IFERROR(VLOOKUP(TEXT(O282,"0"),CONDUCTORES!$A$3:$H$54,6,0),"")</f>
        <v/>
      </c>
      <c r="R282" s="280" t="n"/>
      <c r="S282" s="280" t="n"/>
      <c r="T282" s="280" t="n"/>
      <c r="U282" s="280" t="n"/>
      <c r="V282" s="280" t="n"/>
      <c r="W282" s="280" t="n"/>
      <c r="X282" s="280" t="n"/>
      <c r="Y282" s="280" t="n"/>
      <c r="Z282" s="375">
        <f>IF(AND(G282&lt;&gt;"",R282&lt;&gt;"",V282&lt;&gt;"",W282&lt;&gt;""),"COMPLETADO","OBSERVADO")</f>
        <v/>
      </c>
    </row>
    <row r="283" ht="15" customHeight="1" s="195">
      <c r="A283" s="334" t="n"/>
      <c r="B283" s="334" t="n"/>
      <c r="C283" s="334" t="n"/>
      <c r="D283" s="334" t="n"/>
      <c r="E283" s="334" t="n"/>
      <c r="F283" s="334" t="n"/>
      <c r="G283" s="334" t="n"/>
      <c r="H283" s="334" t="n"/>
      <c r="I283" s="332">
        <f>IFERROR(VLOOKUP(TEXT(H283,"0"),IPRESS!$A$3:$B$212,2,0),"")</f>
        <v/>
      </c>
      <c r="J283" s="334" t="n"/>
      <c r="K283" s="332">
        <f>IFERROR(VLOOKUP(TEXT(O283,"0"),CONDUCTORES!$A$3:$G$54,7,0),"")</f>
        <v/>
      </c>
      <c r="L283" s="334" t="n"/>
      <c r="M283" s="334" t="n"/>
      <c r="N283" s="333">
        <f>IFERROR(IF(L283*M283=0,"",L283*M283),"")</f>
        <v/>
      </c>
      <c r="O283" s="334" t="n"/>
      <c r="P283" s="332">
        <f>IFERROR(VLOOKUP(TEXT(O283,"0"),CONDUCTORES!$A$3:$G$54,2,0),"")</f>
        <v/>
      </c>
      <c r="Q283" s="332">
        <f>IFERROR(VLOOKUP(TEXT(O283,"0"),CONDUCTORES!$A$3:$H$54,6,0),"")</f>
        <v/>
      </c>
      <c r="R283" s="334" t="n"/>
      <c r="S283" s="334" t="n"/>
      <c r="T283" s="334" t="n"/>
      <c r="U283" s="334" t="n"/>
      <c r="V283" s="334" t="n"/>
      <c r="W283" s="334" t="n"/>
      <c r="X283" s="334" t="n"/>
      <c r="Y283" s="334" t="n"/>
      <c r="Z283" s="375">
        <f>IF(AND(G283&lt;&gt;"",R283&lt;&gt;"",V283&lt;&gt;"",W283&lt;&gt;""),"COMPLETADO","OBSERVADO")</f>
        <v/>
      </c>
    </row>
    <row r="284" ht="15" customHeight="1" s="195">
      <c r="A284" s="280" t="n"/>
      <c r="B284" s="280" t="n"/>
      <c r="C284" s="280" t="n"/>
      <c r="D284" s="280" t="n"/>
      <c r="E284" s="280" t="n"/>
      <c r="F284" s="280" t="n"/>
      <c r="G284" s="280" t="n"/>
      <c r="H284" s="280" t="n"/>
      <c r="I284" s="332">
        <f>IFERROR(VLOOKUP(TEXT(H284,"0"),IPRESS!$A$3:$B$212,2,0),"")</f>
        <v/>
      </c>
      <c r="J284" s="280" t="n"/>
      <c r="K284" s="332">
        <f>IFERROR(VLOOKUP(TEXT(O284,"0"),CONDUCTORES!$A$3:$G$54,7,0),"")</f>
        <v/>
      </c>
      <c r="L284" s="280" t="n"/>
      <c r="M284" s="280" t="n"/>
      <c r="N284" s="333">
        <f>IFERROR(IF(L284*M284=0,"",L284*M284),"")</f>
        <v/>
      </c>
      <c r="O284" s="280" t="n"/>
      <c r="P284" s="332">
        <f>IFERROR(VLOOKUP(TEXT(O284,"0"),CONDUCTORES!$A$3:$G$54,2,0),"")</f>
        <v/>
      </c>
      <c r="Q284" s="332">
        <f>IFERROR(VLOOKUP(TEXT(O284,"0"),CONDUCTORES!$A$3:$H$54,6,0),"")</f>
        <v/>
      </c>
      <c r="R284" s="280" t="n"/>
      <c r="S284" s="280" t="n"/>
      <c r="T284" s="280" t="n"/>
      <c r="U284" s="280" t="n"/>
      <c r="V284" s="280" t="n"/>
      <c r="W284" s="280" t="n"/>
      <c r="X284" s="280" t="n"/>
      <c r="Y284" s="280" t="n"/>
      <c r="Z284" s="375">
        <f>IF(AND(G284&lt;&gt;"",R284&lt;&gt;"",V284&lt;&gt;"",W284&lt;&gt;""),"COMPLETADO","OBSERVADO")</f>
        <v/>
      </c>
    </row>
    <row r="285" ht="15" customHeight="1" s="195">
      <c r="A285" s="334" t="n"/>
      <c r="B285" s="334" t="n"/>
      <c r="C285" s="334" t="n"/>
      <c r="D285" s="334" t="n"/>
      <c r="E285" s="334" t="n"/>
      <c r="F285" s="334" t="n"/>
      <c r="G285" s="334" t="n"/>
      <c r="H285" s="334" t="n"/>
      <c r="I285" s="332">
        <f>IFERROR(VLOOKUP(TEXT(H285,"0"),IPRESS!$A$3:$B$212,2,0),"")</f>
        <v/>
      </c>
      <c r="J285" s="334" t="n"/>
      <c r="K285" s="332">
        <f>IFERROR(VLOOKUP(TEXT(O285,"0"),CONDUCTORES!$A$3:$G$54,7,0),"")</f>
        <v/>
      </c>
      <c r="L285" s="334" t="n"/>
      <c r="M285" s="334" t="n"/>
      <c r="N285" s="333">
        <f>IFERROR(IF(L285*M285=0,"",L285*M285),"")</f>
        <v/>
      </c>
      <c r="O285" s="334" t="n"/>
      <c r="P285" s="332">
        <f>IFERROR(VLOOKUP(TEXT(O285,"0"),CONDUCTORES!$A$3:$G$54,2,0),"")</f>
        <v/>
      </c>
      <c r="Q285" s="332">
        <f>IFERROR(VLOOKUP(TEXT(O285,"0"),CONDUCTORES!$A$3:$H$54,6,0),"")</f>
        <v/>
      </c>
      <c r="R285" s="334" t="n"/>
      <c r="S285" s="334" t="n"/>
      <c r="T285" s="334" t="n"/>
      <c r="U285" s="334" t="n"/>
      <c r="V285" s="334" t="n"/>
      <c r="W285" s="334" t="n"/>
      <c r="X285" s="334" t="n"/>
      <c r="Y285" s="334" t="n"/>
      <c r="Z285" s="375">
        <f>IF(AND(G285&lt;&gt;"",R285&lt;&gt;"",V285&lt;&gt;"",W285&lt;&gt;""),"COMPLETADO","OBSERVADO")</f>
        <v/>
      </c>
    </row>
    <row r="286" ht="15" customHeight="1" s="195">
      <c r="A286" s="280" t="n"/>
      <c r="B286" s="280" t="n"/>
      <c r="C286" s="280" t="n"/>
      <c r="D286" s="280" t="n"/>
      <c r="E286" s="280" t="n"/>
      <c r="F286" s="280" t="n"/>
      <c r="G286" s="280" t="n"/>
      <c r="H286" s="280" t="n"/>
      <c r="I286" s="332">
        <f>IFERROR(VLOOKUP(TEXT(H286,"0"),IPRESS!$A$3:$B$212,2,0),"")</f>
        <v/>
      </c>
      <c r="J286" s="280" t="n"/>
      <c r="K286" s="332">
        <f>IFERROR(VLOOKUP(TEXT(O286,"0"),CONDUCTORES!$A$3:$G$54,7,0),"")</f>
        <v/>
      </c>
      <c r="L286" s="280" t="n"/>
      <c r="M286" s="280" t="n"/>
      <c r="N286" s="333">
        <f>IFERROR(IF(L286*M286=0,"",L286*M286),"")</f>
        <v/>
      </c>
      <c r="O286" s="280" t="n"/>
      <c r="P286" s="332">
        <f>IFERROR(VLOOKUP(TEXT(O286,"0"),CONDUCTORES!$A$3:$G$54,2,0),"")</f>
        <v/>
      </c>
      <c r="Q286" s="332">
        <f>IFERROR(VLOOKUP(TEXT(O286,"0"),CONDUCTORES!$A$3:$H$54,6,0),"")</f>
        <v/>
      </c>
      <c r="R286" s="280" t="n"/>
      <c r="S286" s="280" t="n"/>
      <c r="T286" s="280" t="n"/>
      <c r="U286" s="280" t="n"/>
      <c r="V286" s="280" t="n"/>
      <c r="W286" s="280" t="n"/>
      <c r="X286" s="280" t="n"/>
      <c r="Y286" s="280" t="n"/>
      <c r="Z286" s="375">
        <f>IF(AND(G286&lt;&gt;"",R286&lt;&gt;"",V286&lt;&gt;"",W286&lt;&gt;""),"COMPLETADO","OBSERVADO")</f>
        <v/>
      </c>
    </row>
    <row r="287" ht="15" customHeight="1" s="195">
      <c r="A287" s="334" t="n"/>
      <c r="B287" s="334" t="n"/>
      <c r="C287" s="334" t="n"/>
      <c r="D287" s="334" t="n"/>
      <c r="E287" s="334" t="n"/>
      <c r="F287" s="334" t="n"/>
      <c r="G287" s="334" t="n"/>
      <c r="H287" s="334" t="n"/>
      <c r="I287" s="332">
        <f>IFERROR(VLOOKUP(TEXT(H287,"0"),IPRESS!$A$3:$B$212,2,0),"")</f>
        <v/>
      </c>
      <c r="J287" s="334" t="n"/>
      <c r="K287" s="332">
        <f>IFERROR(VLOOKUP(TEXT(O287,"0"),CONDUCTORES!$A$3:$G$54,7,0),"")</f>
        <v/>
      </c>
      <c r="L287" s="334" t="n"/>
      <c r="M287" s="334" t="n"/>
      <c r="N287" s="333">
        <f>IFERROR(IF(L287*M287=0,"",L287*M287),"")</f>
        <v/>
      </c>
      <c r="O287" s="334" t="n"/>
      <c r="P287" s="332">
        <f>IFERROR(VLOOKUP(TEXT(O287,"0"),CONDUCTORES!$A$3:$G$54,2,0),"")</f>
        <v/>
      </c>
      <c r="Q287" s="332">
        <f>IFERROR(VLOOKUP(TEXT(O287,"0"),CONDUCTORES!$A$3:$H$54,6,0),"")</f>
        <v/>
      </c>
      <c r="R287" s="334" t="n"/>
      <c r="S287" s="334" t="n"/>
      <c r="T287" s="334" t="n"/>
      <c r="U287" s="334" t="n"/>
      <c r="V287" s="334" t="n"/>
      <c r="W287" s="334" t="n"/>
      <c r="X287" s="334" t="n"/>
      <c r="Y287" s="334" t="n"/>
      <c r="Z287" s="375">
        <f>IF(AND(G287&lt;&gt;"",R287&lt;&gt;"",V287&lt;&gt;"",W287&lt;&gt;""),"COMPLETADO","OBSERVADO")</f>
        <v/>
      </c>
    </row>
    <row r="288" ht="15" customHeight="1" s="195">
      <c r="A288" s="280" t="n"/>
      <c r="B288" s="280" t="n"/>
      <c r="C288" s="280" t="n"/>
      <c r="D288" s="280" t="n"/>
      <c r="E288" s="280" t="n"/>
      <c r="F288" s="280" t="n"/>
      <c r="G288" s="280" t="n"/>
      <c r="H288" s="280" t="n"/>
      <c r="I288" s="332">
        <f>IFERROR(VLOOKUP(TEXT(H288,"0"),IPRESS!$A$3:$B$212,2,0),"")</f>
        <v/>
      </c>
      <c r="J288" s="280" t="n"/>
      <c r="K288" s="332">
        <f>IFERROR(VLOOKUP(TEXT(O288,"0"),CONDUCTORES!$A$3:$G$54,7,0),"")</f>
        <v/>
      </c>
      <c r="L288" s="280" t="n"/>
      <c r="M288" s="280" t="n"/>
      <c r="N288" s="333">
        <f>IFERROR(IF(L288*M288=0,"",L288*M288),"")</f>
        <v/>
      </c>
      <c r="O288" s="280" t="n"/>
      <c r="P288" s="332">
        <f>IFERROR(VLOOKUP(TEXT(O288,"0"),CONDUCTORES!$A$3:$G$54,2,0),"")</f>
        <v/>
      </c>
      <c r="Q288" s="332">
        <f>IFERROR(VLOOKUP(TEXT(O288,"0"),CONDUCTORES!$A$3:$H$54,6,0),"")</f>
        <v/>
      </c>
      <c r="R288" s="280" t="n"/>
      <c r="S288" s="280" t="n"/>
      <c r="T288" s="280" t="n"/>
      <c r="U288" s="280" t="n"/>
      <c r="V288" s="280" t="n"/>
      <c r="W288" s="280" t="n"/>
      <c r="X288" s="280" t="n"/>
      <c r="Y288" s="280" t="n"/>
      <c r="Z288" s="375">
        <f>IF(AND(G288&lt;&gt;"",R288&lt;&gt;"",V288&lt;&gt;"",W288&lt;&gt;""),"COMPLETADO","OBSERVADO")</f>
        <v/>
      </c>
    </row>
    <row r="289" ht="15" customHeight="1" s="195">
      <c r="A289" s="334" t="n"/>
      <c r="B289" s="334" t="n"/>
      <c r="C289" s="334" t="n"/>
      <c r="D289" s="334" t="n"/>
      <c r="E289" s="334" t="n"/>
      <c r="F289" s="334" t="n"/>
      <c r="G289" s="334" t="n"/>
      <c r="H289" s="334" t="n"/>
      <c r="I289" s="332">
        <f>IFERROR(VLOOKUP(TEXT(H289,"0"),IPRESS!$A$3:$B$212,2,0),"")</f>
        <v/>
      </c>
      <c r="J289" s="334" t="n"/>
      <c r="K289" s="332">
        <f>IFERROR(VLOOKUP(TEXT(O289,"0"),CONDUCTORES!$A$3:$G$54,7,0),"")</f>
        <v/>
      </c>
      <c r="L289" s="334" t="n"/>
      <c r="M289" s="334" t="n"/>
      <c r="N289" s="333">
        <f>IFERROR(IF(L289*M289=0,"",L289*M289),"")</f>
        <v/>
      </c>
      <c r="O289" s="334" t="n"/>
      <c r="P289" s="332">
        <f>IFERROR(VLOOKUP(TEXT(O289,"0"),CONDUCTORES!$A$3:$G$54,2,0),"")</f>
        <v/>
      </c>
      <c r="Q289" s="332">
        <f>IFERROR(VLOOKUP(TEXT(O289,"0"),CONDUCTORES!$A$3:$H$54,6,0),"")</f>
        <v/>
      </c>
      <c r="R289" s="334" t="n"/>
      <c r="S289" s="334" t="n"/>
      <c r="T289" s="334" t="n"/>
      <c r="U289" s="334" t="n"/>
      <c r="V289" s="334" t="n"/>
      <c r="W289" s="334" t="n"/>
      <c r="X289" s="334" t="n"/>
      <c r="Y289" s="334" t="n"/>
      <c r="Z289" s="375">
        <f>IF(AND(G289&lt;&gt;"",R289&lt;&gt;"",V289&lt;&gt;"",W289&lt;&gt;""),"COMPLETADO","OBSERVADO")</f>
        <v/>
      </c>
    </row>
    <row r="290" ht="15" customHeight="1" s="195">
      <c r="A290" s="280" t="n"/>
      <c r="B290" s="280" t="n"/>
      <c r="C290" s="280" t="n"/>
      <c r="D290" s="280" t="n"/>
      <c r="E290" s="280" t="n"/>
      <c r="F290" s="280" t="n"/>
      <c r="G290" s="280" t="n"/>
      <c r="H290" s="280" t="n"/>
      <c r="I290" s="332">
        <f>IFERROR(VLOOKUP(TEXT(H290,"0"),IPRESS!$A$3:$B$212,2,0),"")</f>
        <v/>
      </c>
      <c r="J290" s="280" t="n"/>
      <c r="K290" s="332">
        <f>IFERROR(VLOOKUP(TEXT(O290,"0"),CONDUCTORES!$A$3:$G$54,7,0),"")</f>
        <v/>
      </c>
      <c r="L290" s="280" t="n"/>
      <c r="M290" s="280" t="n"/>
      <c r="N290" s="333">
        <f>IFERROR(IF(L290*M290=0,"",L290*M290),"")</f>
        <v/>
      </c>
      <c r="O290" s="280" t="n"/>
      <c r="P290" s="332">
        <f>IFERROR(VLOOKUP(TEXT(O290,"0"),CONDUCTORES!$A$3:$G$54,2,0),"")</f>
        <v/>
      </c>
      <c r="Q290" s="332">
        <f>IFERROR(VLOOKUP(TEXT(O290,"0"),CONDUCTORES!$A$3:$H$54,6,0),"")</f>
        <v/>
      </c>
      <c r="R290" s="280" t="n"/>
      <c r="S290" s="280" t="n"/>
      <c r="T290" s="280" t="n"/>
      <c r="U290" s="280" t="n"/>
      <c r="V290" s="280" t="n"/>
      <c r="W290" s="280" t="n"/>
      <c r="X290" s="280" t="n"/>
      <c r="Y290" s="280" t="n"/>
      <c r="Z290" s="375">
        <f>IF(AND(G290&lt;&gt;"",R290&lt;&gt;"",V290&lt;&gt;"",W290&lt;&gt;""),"COMPLETADO","OBSERVADO")</f>
        <v/>
      </c>
    </row>
    <row r="291" ht="15" customHeight="1" s="195">
      <c r="A291" s="334" t="n"/>
      <c r="B291" s="334" t="n"/>
      <c r="C291" s="334" t="n"/>
      <c r="D291" s="334" t="n"/>
      <c r="E291" s="334" t="n"/>
      <c r="F291" s="334" t="n"/>
      <c r="G291" s="334" t="n"/>
      <c r="H291" s="334" t="n"/>
      <c r="I291" s="332">
        <f>IFERROR(VLOOKUP(TEXT(H291,"0"),IPRESS!$A$3:$B$212,2,0),"")</f>
        <v/>
      </c>
      <c r="J291" s="334" t="n"/>
      <c r="K291" s="332">
        <f>IFERROR(VLOOKUP(TEXT(O291,"0"),CONDUCTORES!$A$3:$G$54,7,0),"")</f>
        <v/>
      </c>
      <c r="L291" s="334" t="n"/>
      <c r="M291" s="334" t="n"/>
      <c r="N291" s="333">
        <f>IFERROR(IF(L291*M291=0,"",L291*M291),"")</f>
        <v/>
      </c>
      <c r="O291" s="334" t="n"/>
      <c r="P291" s="332">
        <f>IFERROR(VLOOKUP(TEXT(O291,"0"),CONDUCTORES!$A$3:$G$54,2,0),"")</f>
        <v/>
      </c>
      <c r="Q291" s="332">
        <f>IFERROR(VLOOKUP(TEXT(O291,"0"),CONDUCTORES!$A$3:$H$54,6,0),"")</f>
        <v/>
      </c>
      <c r="R291" s="334" t="n"/>
      <c r="S291" s="334" t="n"/>
      <c r="T291" s="334" t="n"/>
      <c r="U291" s="334" t="n"/>
      <c r="V291" s="334" t="n"/>
      <c r="W291" s="334" t="n"/>
      <c r="X291" s="334" t="n"/>
      <c r="Y291" s="334" t="n"/>
      <c r="Z291" s="375">
        <f>IF(AND(G291&lt;&gt;"",R291&lt;&gt;"",V291&lt;&gt;"",W291&lt;&gt;""),"COMPLETADO","OBSERVADO")</f>
        <v/>
      </c>
    </row>
    <row r="292" ht="15" customHeight="1" s="195">
      <c r="A292" s="280" t="n"/>
      <c r="B292" s="280" t="n"/>
      <c r="C292" s="280" t="n"/>
      <c r="D292" s="280" t="n"/>
      <c r="E292" s="280" t="n"/>
      <c r="F292" s="280" t="n"/>
      <c r="G292" s="280" t="n"/>
      <c r="H292" s="280" t="n"/>
      <c r="I292" s="332">
        <f>IFERROR(VLOOKUP(TEXT(H292,"0"),IPRESS!$A$3:$B$212,2,0),"")</f>
        <v/>
      </c>
      <c r="J292" s="280" t="n"/>
      <c r="K292" s="332">
        <f>IFERROR(VLOOKUP(TEXT(O292,"0"),CONDUCTORES!$A$3:$G$54,7,0),"")</f>
        <v/>
      </c>
      <c r="L292" s="280" t="n"/>
      <c r="M292" s="280" t="n"/>
      <c r="N292" s="333">
        <f>IFERROR(IF(L292*M292=0,"",L292*M292),"")</f>
        <v/>
      </c>
      <c r="O292" s="280" t="n"/>
      <c r="P292" s="332">
        <f>IFERROR(VLOOKUP(TEXT(O292,"0"),CONDUCTORES!$A$3:$G$54,2,0),"")</f>
        <v/>
      </c>
      <c r="Q292" s="332">
        <f>IFERROR(VLOOKUP(TEXT(O292,"0"),CONDUCTORES!$A$3:$H$54,6,0),"")</f>
        <v/>
      </c>
      <c r="R292" s="280" t="n"/>
      <c r="S292" s="280" t="n"/>
      <c r="T292" s="280" t="n"/>
      <c r="U292" s="280" t="n"/>
      <c r="V292" s="280" t="n"/>
      <c r="W292" s="280" t="n"/>
      <c r="X292" s="280" t="n"/>
      <c r="Y292" s="280" t="n"/>
      <c r="Z292" s="375">
        <f>IF(AND(G292&lt;&gt;"",R292&lt;&gt;"",V292&lt;&gt;"",W292&lt;&gt;""),"COMPLETADO","OBSERVADO")</f>
        <v/>
      </c>
    </row>
    <row r="293" ht="15" customHeight="1" s="195">
      <c r="A293" s="334" t="n"/>
      <c r="B293" s="334" t="n"/>
      <c r="C293" s="334" t="n"/>
      <c r="D293" s="334" t="n"/>
      <c r="E293" s="334" t="n"/>
      <c r="F293" s="334" t="n"/>
      <c r="G293" s="334" t="n"/>
      <c r="H293" s="334" t="n"/>
      <c r="I293" s="332">
        <f>IFERROR(VLOOKUP(TEXT(H293,"0"),IPRESS!$A$3:$B$212,2,0),"")</f>
        <v/>
      </c>
      <c r="J293" s="334" t="n"/>
      <c r="K293" s="332">
        <f>IFERROR(VLOOKUP(TEXT(O293,"0"),CONDUCTORES!$A$3:$G$54,7,0),"")</f>
        <v/>
      </c>
      <c r="L293" s="334" t="n"/>
      <c r="M293" s="334" t="n"/>
      <c r="N293" s="333">
        <f>IFERROR(IF(L293*M293=0,"",L293*M293),"")</f>
        <v/>
      </c>
      <c r="O293" s="334" t="n"/>
      <c r="P293" s="332">
        <f>IFERROR(VLOOKUP(TEXT(O293,"0"),CONDUCTORES!$A$3:$G$54,2,0),"")</f>
        <v/>
      </c>
      <c r="Q293" s="332">
        <f>IFERROR(VLOOKUP(TEXT(O293,"0"),CONDUCTORES!$A$3:$H$54,6,0),"")</f>
        <v/>
      </c>
      <c r="R293" s="334" t="n"/>
      <c r="S293" s="334" t="n"/>
      <c r="T293" s="334" t="n"/>
      <c r="U293" s="334" t="n"/>
      <c r="V293" s="334" t="n"/>
      <c r="W293" s="334" t="n"/>
      <c r="X293" s="334" t="n"/>
      <c r="Y293" s="334" t="n"/>
      <c r="Z293" s="375">
        <f>IF(AND(G293&lt;&gt;"",R293&lt;&gt;"",V293&lt;&gt;"",W293&lt;&gt;""),"COMPLETADO","OBSERVADO")</f>
        <v/>
      </c>
    </row>
    <row r="294" ht="15" customHeight="1" s="195">
      <c r="A294" s="280" t="n"/>
      <c r="B294" s="280" t="n"/>
      <c r="C294" s="280" t="n"/>
      <c r="D294" s="280" t="n"/>
      <c r="E294" s="280" t="n"/>
      <c r="F294" s="280" t="n"/>
      <c r="G294" s="280" t="n"/>
      <c r="H294" s="280" t="n"/>
      <c r="I294" s="332">
        <f>IFERROR(VLOOKUP(TEXT(H294,"0"),IPRESS!$A$3:$B$212,2,0),"")</f>
        <v/>
      </c>
      <c r="J294" s="280" t="n"/>
      <c r="K294" s="332">
        <f>IFERROR(VLOOKUP(TEXT(O294,"0"),CONDUCTORES!$A$3:$G$54,7,0),"")</f>
        <v/>
      </c>
      <c r="L294" s="280" t="n"/>
      <c r="M294" s="280" t="n"/>
      <c r="N294" s="333">
        <f>IFERROR(IF(L294*M294=0,"",L294*M294),"")</f>
        <v/>
      </c>
      <c r="O294" s="280" t="n"/>
      <c r="P294" s="332">
        <f>IFERROR(VLOOKUP(TEXT(O294,"0"),CONDUCTORES!$A$3:$G$54,2,0),"")</f>
        <v/>
      </c>
      <c r="Q294" s="332">
        <f>IFERROR(VLOOKUP(TEXT(O294,"0"),CONDUCTORES!$A$3:$H$54,6,0),"")</f>
        <v/>
      </c>
      <c r="R294" s="280" t="n"/>
      <c r="S294" s="280" t="n"/>
      <c r="T294" s="280" t="n"/>
      <c r="U294" s="280" t="n"/>
      <c r="V294" s="280" t="n"/>
      <c r="W294" s="280" t="n"/>
      <c r="X294" s="280" t="n"/>
      <c r="Y294" s="280" t="n"/>
      <c r="Z294" s="375">
        <f>IF(AND(G294&lt;&gt;"",R294&lt;&gt;"",V294&lt;&gt;"",W294&lt;&gt;""),"COMPLETADO","OBSERVADO")</f>
        <v/>
      </c>
    </row>
    <row r="295" ht="15" customHeight="1" s="195">
      <c r="A295" s="334" t="n"/>
      <c r="B295" s="334" t="n"/>
      <c r="C295" s="334" t="n"/>
      <c r="D295" s="334" t="n"/>
      <c r="E295" s="334" t="n"/>
      <c r="F295" s="334" t="n"/>
      <c r="G295" s="334" t="n"/>
      <c r="H295" s="334" t="n"/>
      <c r="I295" s="332">
        <f>IFERROR(VLOOKUP(TEXT(H295,"0"),IPRESS!$A$3:$B$212,2,0),"")</f>
        <v/>
      </c>
      <c r="J295" s="334" t="n"/>
      <c r="K295" s="332">
        <f>IFERROR(VLOOKUP(TEXT(O295,"0"),CONDUCTORES!$A$3:$G$54,7,0),"")</f>
        <v/>
      </c>
      <c r="L295" s="334" t="n"/>
      <c r="M295" s="334" t="n"/>
      <c r="N295" s="333">
        <f>IFERROR(IF(L295*M295=0,"",L295*M295),"")</f>
        <v/>
      </c>
      <c r="O295" s="334" t="n"/>
      <c r="P295" s="332">
        <f>IFERROR(VLOOKUP(TEXT(O295,"0"),CONDUCTORES!$A$3:$G$54,2,0),"")</f>
        <v/>
      </c>
      <c r="Q295" s="332">
        <f>IFERROR(VLOOKUP(TEXT(O295,"0"),CONDUCTORES!$A$3:$H$54,6,0),"")</f>
        <v/>
      </c>
      <c r="R295" s="334" t="n"/>
      <c r="S295" s="334" t="n"/>
      <c r="T295" s="334" t="n"/>
      <c r="U295" s="334" t="n"/>
      <c r="V295" s="334" t="n"/>
      <c r="W295" s="334" t="n"/>
      <c r="X295" s="334" t="n"/>
      <c r="Y295" s="334" t="n"/>
      <c r="Z295" s="375">
        <f>IF(AND(G295&lt;&gt;"",R295&lt;&gt;"",V295&lt;&gt;"",W295&lt;&gt;""),"COMPLETADO","OBSERVADO")</f>
        <v/>
      </c>
    </row>
    <row r="296" ht="15" customHeight="1" s="195">
      <c r="A296" s="280" t="n"/>
      <c r="B296" s="280" t="n"/>
      <c r="C296" s="280" t="n"/>
      <c r="D296" s="280" t="n"/>
      <c r="E296" s="280" t="n"/>
      <c r="F296" s="280" t="n"/>
      <c r="G296" s="280" t="n"/>
      <c r="H296" s="280" t="n"/>
      <c r="I296" s="332">
        <f>IFERROR(VLOOKUP(TEXT(H296,"0"),IPRESS!$A$3:$B$212,2,0),"")</f>
        <v/>
      </c>
      <c r="J296" s="280" t="n"/>
      <c r="K296" s="332">
        <f>IFERROR(VLOOKUP(TEXT(O296,"0"),CONDUCTORES!$A$3:$G$54,7,0),"")</f>
        <v/>
      </c>
      <c r="L296" s="280" t="n"/>
      <c r="M296" s="280" t="n"/>
      <c r="N296" s="333">
        <f>IFERROR(IF(L296*M296=0,"",L296*M296),"")</f>
        <v/>
      </c>
      <c r="O296" s="280" t="n"/>
      <c r="P296" s="332">
        <f>IFERROR(VLOOKUP(TEXT(O296,"0"),CONDUCTORES!$A$3:$G$54,2,0),"")</f>
        <v/>
      </c>
      <c r="Q296" s="332">
        <f>IFERROR(VLOOKUP(TEXT(O296,"0"),CONDUCTORES!$A$3:$H$54,6,0),"")</f>
        <v/>
      </c>
      <c r="R296" s="280" t="n"/>
      <c r="S296" s="280" t="n"/>
      <c r="T296" s="280" t="n"/>
      <c r="U296" s="280" t="n"/>
      <c r="V296" s="280" t="n"/>
      <c r="W296" s="280" t="n"/>
      <c r="X296" s="280" t="n"/>
      <c r="Y296" s="280" t="n"/>
      <c r="Z296" s="375">
        <f>IF(AND(G296&lt;&gt;"",R296&lt;&gt;"",V296&lt;&gt;"",W296&lt;&gt;""),"COMPLETADO","OBSERVADO")</f>
        <v/>
      </c>
    </row>
    <row r="297" ht="15" customHeight="1" s="195">
      <c r="A297" s="334" t="n"/>
      <c r="B297" s="334" t="n"/>
      <c r="C297" s="334" t="n"/>
      <c r="D297" s="334" t="n"/>
      <c r="E297" s="334" t="n"/>
      <c r="F297" s="334" t="n"/>
      <c r="G297" s="334" t="n"/>
      <c r="H297" s="334" t="n"/>
      <c r="I297" s="332">
        <f>IFERROR(VLOOKUP(TEXT(H297,"0"),IPRESS!$A$3:$B$212,2,0),"")</f>
        <v/>
      </c>
      <c r="J297" s="334" t="n"/>
      <c r="K297" s="332">
        <f>IFERROR(VLOOKUP(TEXT(O297,"0"),CONDUCTORES!$A$3:$G$54,7,0),"")</f>
        <v/>
      </c>
      <c r="L297" s="334" t="n"/>
      <c r="M297" s="334" t="n"/>
      <c r="N297" s="333">
        <f>IFERROR(IF(L297*M297=0,"",L297*M297),"")</f>
        <v/>
      </c>
      <c r="O297" s="334" t="n"/>
      <c r="P297" s="332">
        <f>IFERROR(VLOOKUP(TEXT(O297,"0"),CONDUCTORES!$A$3:$G$54,2,0),"")</f>
        <v/>
      </c>
      <c r="Q297" s="332">
        <f>IFERROR(VLOOKUP(TEXT(O297,"0"),CONDUCTORES!$A$3:$H$54,6,0),"")</f>
        <v/>
      </c>
      <c r="R297" s="334" t="n"/>
      <c r="S297" s="334" t="n"/>
      <c r="T297" s="334" t="n"/>
      <c r="U297" s="334" t="n"/>
      <c r="V297" s="334" t="n"/>
      <c r="W297" s="334" t="n"/>
      <c r="X297" s="334" t="n"/>
      <c r="Y297" s="334" t="n"/>
      <c r="Z297" s="375">
        <f>IF(AND(G297&lt;&gt;"",R297&lt;&gt;"",V297&lt;&gt;"",W297&lt;&gt;""),"COMPLETADO","OBSERVADO")</f>
        <v/>
      </c>
    </row>
    <row r="298" ht="15" customHeight="1" s="195">
      <c r="A298" s="280" t="n"/>
      <c r="B298" s="280" t="n"/>
      <c r="C298" s="280" t="n"/>
      <c r="D298" s="280" t="n"/>
      <c r="E298" s="280" t="n"/>
      <c r="F298" s="280" t="n"/>
      <c r="G298" s="280" t="n"/>
      <c r="H298" s="280" t="n"/>
      <c r="I298" s="332">
        <f>IFERROR(VLOOKUP(TEXT(H298,"0"),IPRESS!$A$3:$B$212,2,0),"")</f>
        <v/>
      </c>
      <c r="J298" s="280" t="n"/>
      <c r="K298" s="332">
        <f>IFERROR(VLOOKUP(TEXT(O298,"0"),CONDUCTORES!$A$3:$G$54,7,0),"")</f>
        <v/>
      </c>
      <c r="L298" s="280" t="n"/>
      <c r="M298" s="280" t="n"/>
      <c r="N298" s="333">
        <f>IFERROR(IF(L298*M298=0,"",L298*M298),"")</f>
        <v/>
      </c>
      <c r="O298" s="280" t="n"/>
      <c r="P298" s="332">
        <f>IFERROR(VLOOKUP(TEXT(O298,"0"),CONDUCTORES!$A$3:$G$54,2,0),"")</f>
        <v/>
      </c>
      <c r="Q298" s="332">
        <f>IFERROR(VLOOKUP(TEXT(O298,"0"),CONDUCTORES!$A$3:$H$54,6,0),"")</f>
        <v/>
      </c>
      <c r="R298" s="280" t="n"/>
      <c r="S298" s="280" t="n"/>
      <c r="T298" s="280" t="n"/>
      <c r="U298" s="280" t="n"/>
      <c r="V298" s="280" t="n"/>
      <c r="W298" s="280" t="n"/>
      <c r="X298" s="280" t="n"/>
      <c r="Y298" s="280" t="n"/>
      <c r="Z298" s="375">
        <f>IF(AND(G298&lt;&gt;"",R298&lt;&gt;"",V298&lt;&gt;"",W298&lt;&gt;""),"COMPLETADO","OBSERVADO")</f>
        <v/>
      </c>
    </row>
    <row r="299" ht="15" customHeight="1" s="195">
      <c r="A299" s="334" t="n"/>
      <c r="B299" s="334" t="n"/>
      <c r="C299" s="334" t="n"/>
      <c r="D299" s="334" t="n"/>
      <c r="E299" s="334" t="n"/>
      <c r="F299" s="334" t="n"/>
      <c r="G299" s="334" t="n"/>
      <c r="H299" s="334" t="n"/>
      <c r="I299" s="332">
        <f>IFERROR(VLOOKUP(TEXT(H299,"0"),IPRESS!$A$3:$B$212,2,0),"")</f>
        <v/>
      </c>
      <c r="J299" s="334" t="n"/>
      <c r="K299" s="332">
        <f>IFERROR(VLOOKUP(TEXT(O299,"0"),CONDUCTORES!$A$3:$G$54,7,0),"")</f>
        <v/>
      </c>
      <c r="L299" s="334" t="n"/>
      <c r="M299" s="334" t="n"/>
      <c r="N299" s="333">
        <f>IFERROR(IF(L299*M299=0,"",L299*M299),"")</f>
        <v/>
      </c>
      <c r="O299" s="334" t="n"/>
      <c r="P299" s="332">
        <f>IFERROR(VLOOKUP(TEXT(O299,"0"),CONDUCTORES!$A$3:$G$54,2,0),"")</f>
        <v/>
      </c>
      <c r="Q299" s="332">
        <f>IFERROR(VLOOKUP(TEXT(O299,"0"),CONDUCTORES!$A$3:$H$54,6,0),"")</f>
        <v/>
      </c>
      <c r="R299" s="334" t="n"/>
      <c r="S299" s="334" t="n"/>
      <c r="T299" s="334" t="n"/>
      <c r="U299" s="334" t="n"/>
      <c r="V299" s="334" t="n"/>
      <c r="W299" s="334" t="n"/>
      <c r="X299" s="334" t="n"/>
      <c r="Y299" s="334" t="n"/>
      <c r="Z299" s="375">
        <f>IF(AND(G299&lt;&gt;"",R299&lt;&gt;"",V299&lt;&gt;"",W299&lt;&gt;""),"COMPLETADO","OBSERVADO")</f>
        <v/>
      </c>
    </row>
    <row r="300" ht="15" customHeight="1" s="195">
      <c r="A300" s="280" t="n"/>
      <c r="B300" s="280" t="n"/>
      <c r="C300" s="280" t="n"/>
      <c r="D300" s="280" t="n"/>
      <c r="E300" s="280" t="n"/>
      <c r="F300" s="280" t="n"/>
      <c r="G300" s="280" t="n"/>
      <c r="H300" s="280" t="n"/>
      <c r="I300" s="332">
        <f>IFERROR(VLOOKUP(TEXT(H300,"0"),IPRESS!$A$3:$B$212,2,0),"")</f>
        <v/>
      </c>
      <c r="J300" s="280" t="n"/>
      <c r="K300" s="332">
        <f>IFERROR(VLOOKUP(TEXT(O300,"0"),CONDUCTORES!$A$3:$G$54,7,0),"")</f>
        <v/>
      </c>
      <c r="L300" s="280" t="n"/>
      <c r="M300" s="280" t="n"/>
      <c r="N300" s="333">
        <f>IFERROR(IF(L300*M300=0,"",L300*M300),"")</f>
        <v/>
      </c>
      <c r="O300" s="280" t="n"/>
      <c r="P300" s="332">
        <f>IFERROR(VLOOKUP(TEXT(O300,"0"),CONDUCTORES!$A$3:$G$54,2,0),"")</f>
        <v/>
      </c>
      <c r="Q300" s="332">
        <f>IFERROR(VLOOKUP(TEXT(O300,"0"),CONDUCTORES!$A$3:$H$54,6,0),"")</f>
        <v/>
      </c>
      <c r="R300" s="280" t="n"/>
      <c r="S300" s="280" t="n"/>
      <c r="T300" s="280" t="n"/>
      <c r="U300" s="280" t="n"/>
      <c r="V300" s="280" t="n"/>
      <c r="W300" s="280" t="n"/>
      <c r="X300" s="280" t="n"/>
      <c r="Y300" s="280" t="n"/>
      <c r="Z300" s="375">
        <f>IF(AND(G300&lt;&gt;"",R300&lt;&gt;"",V300&lt;&gt;"",W300&lt;&gt;""),"COMPLETADO","OBSERVADO")</f>
        <v/>
      </c>
    </row>
    <row r="301" ht="15" customHeight="1" s="195">
      <c r="A301" s="334" t="n"/>
      <c r="B301" s="334" t="n"/>
      <c r="C301" s="334" t="n"/>
      <c r="D301" s="334" t="n"/>
      <c r="E301" s="334" t="n"/>
      <c r="F301" s="334" t="n"/>
      <c r="G301" s="334" t="n"/>
      <c r="H301" s="334" t="n"/>
      <c r="I301" s="332">
        <f>IFERROR(VLOOKUP(TEXT(H301,"0"),IPRESS!$A$3:$B$212,2,0),"")</f>
        <v/>
      </c>
      <c r="J301" s="334" t="n"/>
      <c r="K301" s="332">
        <f>IFERROR(VLOOKUP(TEXT(O301,"0"),CONDUCTORES!$A$3:$G$54,7,0),"")</f>
        <v/>
      </c>
      <c r="L301" s="334" t="n"/>
      <c r="M301" s="334" t="n"/>
      <c r="N301" s="333">
        <f>IFERROR(IF(L301*M301=0,"",L301*M301),"")</f>
        <v/>
      </c>
      <c r="O301" s="334" t="n"/>
      <c r="P301" s="332">
        <f>IFERROR(VLOOKUP(TEXT(O301,"0"),CONDUCTORES!$A$3:$G$54,2,0),"")</f>
        <v/>
      </c>
      <c r="Q301" s="332">
        <f>IFERROR(VLOOKUP(TEXT(O301,"0"),CONDUCTORES!$A$3:$H$54,6,0),"")</f>
        <v/>
      </c>
      <c r="R301" s="334" t="n"/>
      <c r="S301" s="334" t="n"/>
      <c r="T301" s="334" t="n"/>
      <c r="U301" s="334" t="n"/>
      <c r="V301" s="334" t="n"/>
      <c r="W301" s="334" t="n"/>
      <c r="X301" s="334" t="n"/>
      <c r="Y301" s="334" t="n"/>
      <c r="Z301" s="375">
        <f>IF(AND(G301&lt;&gt;"",R301&lt;&gt;"",V301&lt;&gt;"",W301&lt;&gt;""),"COMPLETADO","OBSERVADO")</f>
        <v/>
      </c>
    </row>
    <row r="302" ht="15" customHeight="1" s="195">
      <c r="A302" s="280" t="n"/>
      <c r="B302" s="280" t="n"/>
      <c r="C302" s="280" t="n"/>
      <c r="D302" s="280" t="n"/>
      <c r="E302" s="280" t="n"/>
      <c r="F302" s="280" t="n"/>
      <c r="G302" s="280" t="n"/>
      <c r="H302" s="280" t="n"/>
      <c r="I302" s="332">
        <f>IFERROR(VLOOKUP(TEXT(H302,"0"),IPRESS!$A$3:$B$212,2,0),"")</f>
        <v/>
      </c>
      <c r="J302" s="280" t="n"/>
      <c r="K302" s="332">
        <f>IFERROR(VLOOKUP(TEXT(O302,"0"),CONDUCTORES!$A$3:$G$54,7,0),"")</f>
        <v/>
      </c>
      <c r="L302" s="280" t="n"/>
      <c r="M302" s="280" t="n"/>
      <c r="N302" s="333">
        <f>IFERROR(IF(L302*M302=0,"",L302*M302),"")</f>
        <v/>
      </c>
      <c r="O302" s="280" t="n"/>
      <c r="P302" s="332">
        <f>IFERROR(VLOOKUP(TEXT(O302,"0"),CONDUCTORES!$A$3:$G$54,2,0),"")</f>
        <v/>
      </c>
      <c r="Q302" s="332">
        <f>IFERROR(VLOOKUP(TEXT(O302,"0"),CONDUCTORES!$A$3:$H$54,6,0),"")</f>
        <v/>
      </c>
      <c r="R302" s="280" t="n"/>
      <c r="S302" s="280" t="n"/>
      <c r="T302" s="280" t="n"/>
      <c r="U302" s="280" t="n"/>
      <c r="V302" s="280" t="n"/>
      <c r="W302" s="280" t="n"/>
      <c r="X302" s="280" t="n"/>
      <c r="Y302" s="280" t="n"/>
      <c r="Z302" s="375">
        <f>IF(AND(G302&lt;&gt;"",R302&lt;&gt;"",V302&lt;&gt;"",W302&lt;&gt;""),"COMPLETADO","OBSERVADO")</f>
        <v/>
      </c>
    </row>
    <row r="303" ht="15" customHeight="1" s="195">
      <c r="A303" s="334" t="n"/>
      <c r="B303" s="334" t="n"/>
      <c r="C303" s="334" t="n"/>
      <c r="D303" s="334" t="n"/>
      <c r="E303" s="334" t="n"/>
      <c r="F303" s="334" t="n"/>
      <c r="G303" s="334" t="n"/>
      <c r="H303" s="334" t="n"/>
      <c r="I303" s="332">
        <f>IFERROR(VLOOKUP(TEXT(H303,"0"),IPRESS!$A$3:$B$212,2,0),"")</f>
        <v/>
      </c>
      <c r="J303" s="334" t="n"/>
      <c r="K303" s="332">
        <f>IFERROR(VLOOKUP(TEXT(O303,"0"),CONDUCTORES!$A$3:$G$54,7,0),"")</f>
        <v/>
      </c>
      <c r="L303" s="334" t="n"/>
      <c r="M303" s="334" t="n"/>
      <c r="N303" s="333">
        <f>IFERROR(IF(L303*M303=0,"",L303*M303),"")</f>
        <v/>
      </c>
      <c r="O303" s="334" t="n"/>
      <c r="P303" s="332">
        <f>IFERROR(VLOOKUP(TEXT(O303,"0"),CONDUCTORES!$A$3:$G$54,2,0),"")</f>
        <v/>
      </c>
      <c r="Q303" s="332">
        <f>IFERROR(VLOOKUP(TEXT(O303,"0"),CONDUCTORES!$A$3:$H$54,6,0),"")</f>
        <v/>
      </c>
      <c r="R303" s="334" t="n"/>
      <c r="S303" s="334" t="n"/>
      <c r="T303" s="334" t="n"/>
      <c r="U303" s="334" t="n"/>
      <c r="V303" s="334" t="n"/>
      <c r="W303" s="334" t="n"/>
      <c r="X303" s="334" t="n"/>
      <c r="Y303" s="334" t="n"/>
      <c r="Z303" s="375">
        <f>IF(AND(G303&lt;&gt;"",R303&lt;&gt;"",V303&lt;&gt;"",W303&lt;&gt;""),"COMPLETADO","OBSERVADO")</f>
        <v/>
      </c>
    </row>
    <row r="304" ht="15" customHeight="1" s="195">
      <c r="A304" s="280" t="n"/>
      <c r="B304" s="280" t="n"/>
      <c r="C304" s="280" t="n"/>
      <c r="D304" s="280" t="n"/>
      <c r="E304" s="280" t="n"/>
      <c r="F304" s="280" t="n"/>
      <c r="G304" s="280" t="n"/>
      <c r="H304" s="280" t="n"/>
      <c r="I304" s="332">
        <f>IFERROR(VLOOKUP(TEXT(H304,"0"),IPRESS!$A$3:$B$212,2,0),"")</f>
        <v/>
      </c>
      <c r="J304" s="280" t="n"/>
      <c r="K304" s="332">
        <f>IFERROR(VLOOKUP(TEXT(O304,"0"),CONDUCTORES!$A$3:$G$54,7,0),"")</f>
        <v/>
      </c>
      <c r="L304" s="280" t="n"/>
      <c r="M304" s="280" t="n"/>
      <c r="N304" s="333">
        <f>IFERROR(IF(L304*M304=0,"",L304*M304),"")</f>
        <v/>
      </c>
      <c r="O304" s="280" t="n"/>
      <c r="P304" s="332">
        <f>IFERROR(VLOOKUP(TEXT(O304,"0"),CONDUCTORES!$A$3:$G$54,2,0),"")</f>
        <v/>
      </c>
      <c r="Q304" s="332">
        <f>IFERROR(VLOOKUP(TEXT(O304,"0"),CONDUCTORES!$A$3:$H$54,6,0),"")</f>
        <v/>
      </c>
      <c r="R304" s="280" t="n"/>
      <c r="S304" s="280" t="n"/>
      <c r="T304" s="280" t="n"/>
      <c r="U304" s="280" t="n"/>
      <c r="V304" s="280" t="n"/>
      <c r="W304" s="280" t="n"/>
      <c r="X304" s="280" t="n"/>
      <c r="Y304" s="280" t="n"/>
      <c r="Z304" s="375">
        <f>IF(AND(G304&lt;&gt;"",R304&lt;&gt;"",V304&lt;&gt;"",W304&lt;&gt;""),"COMPLETADO","OBSERVADO")</f>
        <v/>
      </c>
    </row>
    <row r="305" ht="15" customHeight="1" s="195">
      <c r="A305" s="334" t="n"/>
      <c r="B305" s="334" t="n"/>
      <c r="C305" s="334" t="n"/>
      <c r="D305" s="334" t="n"/>
      <c r="E305" s="334" t="n"/>
      <c r="F305" s="334" t="n"/>
      <c r="G305" s="334" t="n"/>
      <c r="H305" s="334" t="n"/>
      <c r="I305" s="332">
        <f>IFERROR(VLOOKUP(TEXT(H305,"0"),IPRESS!$A$3:$B$212,2,0),"")</f>
        <v/>
      </c>
      <c r="J305" s="334" t="n"/>
      <c r="K305" s="332">
        <f>IFERROR(VLOOKUP(TEXT(O305,"0"),CONDUCTORES!$A$3:$G$54,7,0),"")</f>
        <v/>
      </c>
      <c r="L305" s="334" t="n"/>
      <c r="M305" s="334" t="n"/>
      <c r="N305" s="333">
        <f>IFERROR(IF(L305*M305=0,"",L305*M305),"")</f>
        <v/>
      </c>
      <c r="O305" s="334" t="n"/>
      <c r="P305" s="332">
        <f>IFERROR(VLOOKUP(TEXT(O305,"0"),CONDUCTORES!$A$3:$G$54,2,0),"")</f>
        <v/>
      </c>
      <c r="Q305" s="332">
        <f>IFERROR(VLOOKUP(TEXT(O305,"0"),CONDUCTORES!$A$3:$H$54,6,0),"")</f>
        <v/>
      </c>
      <c r="R305" s="334" t="n"/>
      <c r="S305" s="334" t="n"/>
      <c r="T305" s="334" t="n"/>
      <c r="U305" s="334" t="n"/>
      <c r="V305" s="334" t="n"/>
      <c r="W305" s="334" t="n"/>
      <c r="X305" s="334" t="n"/>
      <c r="Y305" s="334" t="n"/>
      <c r="Z305" s="375">
        <f>IF(AND(G305&lt;&gt;"",R305&lt;&gt;"",V305&lt;&gt;"",W305&lt;&gt;""),"COMPLETADO","OBSERVADO")</f>
        <v/>
      </c>
    </row>
    <row r="306" ht="15" customHeight="1" s="195">
      <c r="A306" s="280" t="n"/>
      <c r="B306" s="280" t="n"/>
      <c r="C306" s="280" t="n"/>
      <c r="D306" s="280" t="n"/>
      <c r="E306" s="280" t="n"/>
      <c r="F306" s="280" t="n"/>
      <c r="G306" s="280" t="n"/>
      <c r="H306" s="280" t="n"/>
      <c r="I306" s="332">
        <f>IFERROR(VLOOKUP(TEXT(H306,"0"),IPRESS!$A$3:$B$212,2,0),"")</f>
        <v/>
      </c>
      <c r="J306" s="280" t="n"/>
      <c r="K306" s="332">
        <f>IFERROR(VLOOKUP(TEXT(O306,"0"),CONDUCTORES!$A$3:$G$54,7,0),"")</f>
        <v/>
      </c>
      <c r="L306" s="280" t="n"/>
      <c r="M306" s="280" t="n"/>
      <c r="N306" s="333">
        <f>IFERROR(IF(L306*M306=0,"",L306*M306),"")</f>
        <v/>
      </c>
      <c r="O306" s="280" t="n"/>
      <c r="P306" s="332">
        <f>IFERROR(VLOOKUP(TEXT(O306,"0"),CONDUCTORES!$A$3:$G$54,2,0),"")</f>
        <v/>
      </c>
      <c r="Q306" s="332">
        <f>IFERROR(VLOOKUP(TEXT(O306,"0"),CONDUCTORES!$A$3:$H$54,6,0),"")</f>
        <v/>
      </c>
      <c r="R306" s="280" t="n"/>
      <c r="S306" s="280" t="n"/>
      <c r="T306" s="280" t="n"/>
      <c r="U306" s="280" t="n"/>
      <c r="V306" s="280" t="n"/>
      <c r="W306" s="280" t="n"/>
      <c r="X306" s="280" t="n"/>
      <c r="Y306" s="280" t="n"/>
      <c r="Z306" s="375">
        <f>IF(AND(G306&lt;&gt;"",R306&lt;&gt;"",V306&lt;&gt;"",W306&lt;&gt;""),"COMPLETADO","OBSERVADO")</f>
        <v/>
      </c>
    </row>
    <row r="307" ht="15" customHeight="1" s="195">
      <c r="A307" s="334" t="n"/>
      <c r="B307" s="334" t="n"/>
      <c r="C307" s="334" t="n"/>
      <c r="D307" s="334" t="n"/>
      <c r="E307" s="334" t="n"/>
      <c r="F307" s="334" t="n"/>
      <c r="G307" s="334" t="n"/>
      <c r="H307" s="334" t="n"/>
      <c r="I307" s="332">
        <f>IFERROR(VLOOKUP(TEXT(H307,"0"),IPRESS!$A$3:$B$212,2,0),"")</f>
        <v/>
      </c>
      <c r="J307" s="334" t="n"/>
      <c r="K307" s="332">
        <f>IFERROR(VLOOKUP(TEXT(O307,"0"),CONDUCTORES!$A$3:$G$54,7,0),"")</f>
        <v/>
      </c>
      <c r="L307" s="334" t="n"/>
      <c r="M307" s="334" t="n"/>
      <c r="N307" s="333">
        <f>IFERROR(IF(L307*M307=0,"",L307*M307),"")</f>
        <v/>
      </c>
      <c r="O307" s="334" t="n"/>
      <c r="P307" s="332">
        <f>IFERROR(VLOOKUP(TEXT(O307,"0"),CONDUCTORES!$A$3:$G$54,2,0),"")</f>
        <v/>
      </c>
      <c r="Q307" s="332">
        <f>IFERROR(VLOOKUP(TEXT(O307,"0"),CONDUCTORES!$A$3:$H$54,6,0),"")</f>
        <v/>
      </c>
      <c r="R307" s="334" t="n"/>
      <c r="S307" s="334" t="n"/>
      <c r="T307" s="334" t="n"/>
      <c r="U307" s="334" t="n"/>
      <c r="V307" s="334" t="n"/>
      <c r="W307" s="334" t="n"/>
      <c r="X307" s="334" t="n"/>
      <c r="Y307" s="334" t="n"/>
      <c r="Z307" s="375">
        <f>IF(AND(G307&lt;&gt;"",R307&lt;&gt;"",V307&lt;&gt;"",W307&lt;&gt;""),"COMPLETADO","OBSERVADO")</f>
        <v/>
      </c>
    </row>
    <row r="308" ht="15" customHeight="1" s="195">
      <c r="A308" s="280" t="n"/>
      <c r="B308" s="280" t="n"/>
      <c r="C308" s="280" t="n"/>
      <c r="D308" s="280" t="n"/>
      <c r="E308" s="280" t="n"/>
      <c r="F308" s="280" t="n"/>
      <c r="G308" s="280" t="n"/>
      <c r="H308" s="280" t="n"/>
      <c r="I308" s="332">
        <f>IFERROR(VLOOKUP(TEXT(H308,"0"),IPRESS!$A$3:$B$212,2,0),"")</f>
        <v/>
      </c>
      <c r="J308" s="280" t="n"/>
      <c r="K308" s="332">
        <f>IFERROR(VLOOKUP(TEXT(O308,"0"),CONDUCTORES!$A$3:$G$54,7,0),"")</f>
        <v/>
      </c>
      <c r="L308" s="280" t="n"/>
      <c r="M308" s="280" t="n"/>
      <c r="N308" s="333">
        <f>IFERROR(IF(L308*M308=0,"",L308*M308),"")</f>
        <v/>
      </c>
      <c r="O308" s="280" t="n"/>
      <c r="P308" s="332">
        <f>IFERROR(VLOOKUP(TEXT(O308,"0"),CONDUCTORES!$A$3:$G$54,2,0),"")</f>
        <v/>
      </c>
      <c r="Q308" s="332">
        <f>IFERROR(VLOOKUP(TEXT(O308,"0"),CONDUCTORES!$A$3:$H$54,6,0),"")</f>
        <v/>
      </c>
      <c r="R308" s="280" t="n"/>
      <c r="S308" s="280" t="n"/>
      <c r="T308" s="280" t="n"/>
      <c r="U308" s="280" t="n"/>
      <c r="V308" s="280" t="n"/>
      <c r="W308" s="280" t="n"/>
      <c r="X308" s="280" t="n"/>
      <c r="Y308" s="280" t="n"/>
      <c r="Z308" s="375">
        <f>IF(AND(G308&lt;&gt;"",R308&lt;&gt;"",V308&lt;&gt;"",W308&lt;&gt;""),"COMPLETADO","OBSERVADO")</f>
        <v/>
      </c>
    </row>
    <row r="309" ht="15" customHeight="1" s="195">
      <c r="A309" s="334" t="n"/>
      <c r="B309" s="334" t="n"/>
      <c r="C309" s="334" t="n"/>
      <c r="D309" s="334" t="n"/>
      <c r="E309" s="334" t="n"/>
      <c r="F309" s="334" t="n"/>
      <c r="G309" s="334" t="n"/>
      <c r="H309" s="334" t="n"/>
      <c r="I309" s="332">
        <f>IFERROR(VLOOKUP(TEXT(H309,"0"),IPRESS!$A$3:$B$212,2,0),"")</f>
        <v/>
      </c>
      <c r="J309" s="334" t="n"/>
      <c r="K309" s="332">
        <f>IFERROR(VLOOKUP(TEXT(O309,"0"),CONDUCTORES!$A$3:$G$54,7,0),"")</f>
        <v/>
      </c>
      <c r="L309" s="334" t="n"/>
      <c r="M309" s="334" t="n"/>
      <c r="N309" s="333">
        <f>IFERROR(IF(L309*M309=0,"",L309*M309),"")</f>
        <v/>
      </c>
      <c r="O309" s="334" t="n"/>
      <c r="P309" s="332">
        <f>IFERROR(VLOOKUP(TEXT(O309,"0"),CONDUCTORES!$A$3:$G$54,2,0),"")</f>
        <v/>
      </c>
      <c r="Q309" s="332">
        <f>IFERROR(VLOOKUP(TEXT(O309,"0"),CONDUCTORES!$A$3:$H$54,6,0),"")</f>
        <v/>
      </c>
      <c r="R309" s="334" t="n"/>
      <c r="S309" s="334" t="n"/>
      <c r="T309" s="334" t="n"/>
      <c r="U309" s="334" t="n"/>
      <c r="V309" s="334" t="n"/>
      <c r="W309" s="334" t="n"/>
      <c r="X309" s="334" t="n"/>
      <c r="Y309" s="334" t="n"/>
      <c r="Z309" s="375">
        <f>IF(AND(G309&lt;&gt;"",R309&lt;&gt;"",V309&lt;&gt;"",W309&lt;&gt;""),"COMPLETADO","OBSERVADO")</f>
        <v/>
      </c>
    </row>
    <row r="310" ht="15" customHeight="1" s="195">
      <c r="A310" s="280" t="n"/>
      <c r="B310" s="280" t="n"/>
      <c r="C310" s="280" t="n"/>
      <c r="D310" s="280" t="n"/>
      <c r="E310" s="280" t="n"/>
      <c r="F310" s="280" t="n"/>
      <c r="G310" s="280" t="n"/>
      <c r="H310" s="280" t="n"/>
      <c r="I310" s="332">
        <f>IFERROR(VLOOKUP(TEXT(H310,"0"),IPRESS!$A$3:$B$212,2,0),"")</f>
        <v/>
      </c>
      <c r="J310" s="280" t="n"/>
      <c r="K310" s="332">
        <f>IFERROR(VLOOKUP(TEXT(O310,"0"),CONDUCTORES!$A$3:$G$54,7,0),"")</f>
        <v/>
      </c>
      <c r="L310" s="280" t="n"/>
      <c r="M310" s="280" t="n"/>
      <c r="N310" s="333">
        <f>IFERROR(IF(L310*M310=0,"",L310*M310),"")</f>
        <v/>
      </c>
      <c r="O310" s="280" t="n"/>
      <c r="P310" s="332">
        <f>IFERROR(VLOOKUP(TEXT(O310,"0"),CONDUCTORES!$A$3:$G$54,2,0),"")</f>
        <v/>
      </c>
      <c r="Q310" s="332">
        <f>IFERROR(VLOOKUP(TEXT(O310,"0"),CONDUCTORES!$A$3:$H$54,6,0),"")</f>
        <v/>
      </c>
      <c r="R310" s="280" t="n"/>
      <c r="S310" s="280" t="n"/>
      <c r="T310" s="280" t="n"/>
      <c r="U310" s="280" t="n"/>
      <c r="V310" s="280" t="n"/>
      <c r="W310" s="280" t="n"/>
      <c r="X310" s="280" t="n"/>
      <c r="Y310" s="280" t="n"/>
      <c r="Z310" s="375">
        <f>IF(AND(G310&lt;&gt;"",R310&lt;&gt;"",V310&lt;&gt;"",W310&lt;&gt;""),"COMPLETADO","OBSERVADO")</f>
        <v/>
      </c>
    </row>
    <row r="311" ht="15" customHeight="1" s="195">
      <c r="A311" s="334" t="n"/>
      <c r="B311" s="334" t="n"/>
      <c r="C311" s="334" t="n"/>
      <c r="D311" s="334" t="n"/>
      <c r="E311" s="334" t="n"/>
      <c r="F311" s="334" t="n"/>
      <c r="G311" s="334" t="n"/>
      <c r="H311" s="334" t="n"/>
      <c r="I311" s="332">
        <f>IFERROR(VLOOKUP(TEXT(H311,"0"),IPRESS!$A$3:$B$212,2,0),"")</f>
        <v/>
      </c>
      <c r="J311" s="334" t="n"/>
      <c r="K311" s="332">
        <f>IFERROR(VLOOKUP(TEXT(O311,"0"),CONDUCTORES!$A$3:$G$54,7,0),"")</f>
        <v/>
      </c>
      <c r="L311" s="334" t="n"/>
      <c r="M311" s="334" t="n"/>
      <c r="N311" s="333">
        <f>IFERROR(IF(L311*M311=0,"",L311*M311),"")</f>
        <v/>
      </c>
      <c r="O311" s="334" t="n"/>
      <c r="P311" s="332">
        <f>IFERROR(VLOOKUP(TEXT(O311,"0"),CONDUCTORES!$A$3:$G$54,2,0),"")</f>
        <v/>
      </c>
      <c r="Q311" s="332">
        <f>IFERROR(VLOOKUP(TEXT(O311,"0"),CONDUCTORES!$A$3:$H$54,6,0),"")</f>
        <v/>
      </c>
      <c r="R311" s="334" t="n"/>
      <c r="S311" s="334" t="n"/>
      <c r="T311" s="334" t="n"/>
      <c r="U311" s="334" t="n"/>
      <c r="V311" s="334" t="n"/>
      <c r="W311" s="334" t="n"/>
      <c r="X311" s="334" t="n"/>
      <c r="Y311" s="334" t="n"/>
      <c r="Z311" s="375">
        <f>IF(AND(G311&lt;&gt;"",R311&lt;&gt;"",V311&lt;&gt;"",W311&lt;&gt;""),"COMPLETADO","OBSERVADO")</f>
        <v/>
      </c>
    </row>
    <row r="312" ht="15" customHeight="1" s="195">
      <c r="A312" s="280" t="n"/>
      <c r="B312" s="280" t="n"/>
      <c r="C312" s="280" t="n"/>
      <c r="D312" s="280" t="n"/>
      <c r="E312" s="280" t="n"/>
      <c r="F312" s="280" t="n"/>
      <c r="G312" s="280" t="n"/>
      <c r="H312" s="280" t="n"/>
      <c r="I312" s="332">
        <f>IFERROR(VLOOKUP(TEXT(H312,"0"),IPRESS!$A$3:$B$212,2,0),"")</f>
        <v/>
      </c>
      <c r="J312" s="280" t="n"/>
      <c r="K312" s="332">
        <f>IFERROR(VLOOKUP(TEXT(O312,"0"),CONDUCTORES!$A$3:$G$54,7,0),"")</f>
        <v/>
      </c>
      <c r="L312" s="280" t="n"/>
      <c r="M312" s="280" t="n"/>
      <c r="N312" s="333">
        <f>IFERROR(IF(L312*M312=0,"",L312*M312),"")</f>
        <v/>
      </c>
      <c r="O312" s="280" t="n"/>
      <c r="P312" s="332">
        <f>IFERROR(VLOOKUP(TEXT(O312,"0"),CONDUCTORES!$A$3:$G$54,2,0),"")</f>
        <v/>
      </c>
      <c r="Q312" s="332">
        <f>IFERROR(VLOOKUP(TEXT(O312,"0"),CONDUCTORES!$A$3:$H$54,6,0),"")</f>
        <v/>
      </c>
      <c r="R312" s="280" t="n"/>
      <c r="S312" s="280" t="n"/>
      <c r="T312" s="280" t="n"/>
      <c r="U312" s="280" t="n"/>
      <c r="V312" s="280" t="n"/>
      <c r="W312" s="280" t="n"/>
      <c r="X312" s="280" t="n"/>
      <c r="Y312" s="280" t="n"/>
      <c r="Z312" s="375">
        <f>IF(AND(G312&lt;&gt;"",R312&lt;&gt;"",V312&lt;&gt;"",W312&lt;&gt;""),"COMPLETADO","OBSERVADO")</f>
        <v/>
      </c>
    </row>
    <row r="313" ht="15" customHeight="1" s="195">
      <c r="A313" s="334" t="n"/>
      <c r="B313" s="334" t="n"/>
      <c r="C313" s="334" t="n"/>
      <c r="D313" s="334" t="n"/>
      <c r="E313" s="334" t="n"/>
      <c r="F313" s="334" t="n"/>
      <c r="G313" s="334" t="n"/>
      <c r="H313" s="334" t="n"/>
      <c r="I313" s="332">
        <f>IFERROR(VLOOKUP(TEXT(H313,"0"),IPRESS!$A$3:$B$212,2,0),"")</f>
        <v/>
      </c>
      <c r="J313" s="334" t="n"/>
      <c r="K313" s="332">
        <f>IFERROR(VLOOKUP(TEXT(O313,"0"),CONDUCTORES!$A$3:$G$54,7,0),"")</f>
        <v/>
      </c>
      <c r="L313" s="334" t="n"/>
      <c r="M313" s="334" t="n"/>
      <c r="N313" s="333">
        <f>IFERROR(IF(L313*M313=0,"",L313*M313),"")</f>
        <v/>
      </c>
      <c r="O313" s="334" t="n"/>
      <c r="P313" s="332">
        <f>IFERROR(VLOOKUP(TEXT(O313,"0"),CONDUCTORES!$A$3:$G$54,2,0),"")</f>
        <v/>
      </c>
      <c r="Q313" s="332">
        <f>IFERROR(VLOOKUP(TEXT(O313,"0"),CONDUCTORES!$A$3:$H$54,6,0),"")</f>
        <v/>
      </c>
      <c r="R313" s="334" t="n"/>
      <c r="S313" s="334" t="n"/>
      <c r="T313" s="334" t="n"/>
      <c r="U313" s="334" t="n"/>
      <c r="V313" s="334" t="n"/>
      <c r="W313" s="334" t="n"/>
      <c r="X313" s="334" t="n"/>
      <c r="Y313" s="334" t="n"/>
      <c r="Z313" s="375">
        <f>IF(AND(G313&lt;&gt;"",R313&lt;&gt;"",V313&lt;&gt;"",W313&lt;&gt;""),"COMPLETADO","OBSERVADO")</f>
        <v/>
      </c>
    </row>
    <row r="314" ht="15" customHeight="1" s="195">
      <c r="A314" s="280" t="n"/>
      <c r="B314" s="280" t="n"/>
      <c r="C314" s="280" t="n"/>
      <c r="D314" s="280" t="n"/>
      <c r="E314" s="280" t="n"/>
      <c r="F314" s="280" t="n"/>
      <c r="G314" s="280" t="n"/>
      <c r="H314" s="280" t="n"/>
      <c r="I314" s="332">
        <f>IFERROR(VLOOKUP(TEXT(H314,"0"),IPRESS!$A$3:$B$212,2,0),"")</f>
        <v/>
      </c>
      <c r="J314" s="280" t="n"/>
      <c r="K314" s="332">
        <f>IFERROR(VLOOKUP(TEXT(O314,"0"),CONDUCTORES!$A$3:$G$54,7,0),"")</f>
        <v/>
      </c>
      <c r="L314" s="280" t="n"/>
      <c r="M314" s="280" t="n"/>
      <c r="N314" s="333">
        <f>IFERROR(IF(L314*M314=0,"",L314*M314),"")</f>
        <v/>
      </c>
      <c r="O314" s="280" t="n"/>
      <c r="P314" s="332">
        <f>IFERROR(VLOOKUP(TEXT(O314,"0"),CONDUCTORES!$A$3:$G$54,2,0),"")</f>
        <v/>
      </c>
      <c r="Q314" s="332">
        <f>IFERROR(VLOOKUP(TEXT(O314,"0"),CONDUCTORES!$A$3:$H$54,6,0),"")</f>
        <v/>
      </c>
      <c r="R314" s="280" t="n"/>
      <c r="S314" s="280" t="n"/>
      <c r="T314" s="280" t="n"/>
      <c r="U314" s="280" t="n"/>
      <c r="V314" s="280" t="n"/>
      <c r="W314" s="280" t="n"/>
      <c r="X314" s="280" t="n"/>
      <c r="Y314" s="280" t="n"/>
      <c r="Z314" s="375">
        <f>IF(AND(G314&lt;&gt;"",R314&lt;&gt;"",V314&lt;&gt;"",W314&lt;&gt;""),"COMPLETADO","OBSERVADO")</f>
        <v/>
      </c>
    </row>
    <row r="315" ht="15" customHeight="1" s="195">
      <c r="A315" s="334" t="n"/>
      <c r="B315" s="334" t="n"/>
      <c r="C315" s="334" t="n"/>
      <c r="D315" s="334" t="n"/>
      <c r="E315" s="334" t="n"/>
      <c r="F315" s="334" t="n"/>
      <c r="G315" s="334" t="n"/>
      <c r="H315" s="334" t="n"/>
      <c r="I315" s="332">
        <f>IFERROR(VLOOKUP(TEXT(H315,"0"),IPRESS!$A$3:$B$212,2,0),"")</f>
        <v/>
      </c>
      <c r="J315" s="334" t="n"/>
      <c r="K315" s="332">
        <f>IFERROR(VLOOKUP(TEXT(O315,"0"),CONDUCTORES!$A$3:$G$54,7,0),"")</f>
        <v/>
      </c>
      <c r="L315" s="334" t="n"/>
      <c r="M315" s="334" t="n"/>
      <c r="N315" s="333">
        <f>IFERROR(IF(L315*M315=0,"",L315*M315),"")</f>
        <v/>
      </c>
      <c r="O315" s="334" t="n"/>
      <c r="P315" s="332">
        <f>IFERROR(VLOOKUP(TEXT(O315,"0"),CONDUCTORES!$A$3:$G$54,2,0),"")</f>
        <v/>
      </c>
      <c r="Q315" s="332">
        <f>IFERROR(VLOOKUP(TEXT(O315,"0"),CONDUCTORES!$A$3:$H$54,6,0),"")</f>
        <v/>
      </c>
      <c r="R315" s="334" t="n"/>
      <c r="S315" s="334" t="n"/>
      <c r="T315" s="334" t="n"/>
      <c r="U315" s="334" t="n"/>
      <c r="V315" s="334" t="n"/>
      <c r="W315" s="334" t="n"/>
      <c r="X315" s="334" t="n"/>
      <c r="Y315" s="334" t="n"/>
      <c r="Z315" s="375">
        <f>IF(AND(G315&lt;&gt;"",R315&lt;&gt;"",V315&lt;&gt;"",W315&lt;&gt;""),"COMPLETADO","OBSERVADO")</f>
        <v/>
      </c>
    </row>
    <row r="316" ht="15" customHeight="1" s="195">
      <c r="A316" s="280" t="n"/>
      <c r="B316" s="280" t="n"/>
      <c r="C316" s="280" t="n"/>
      <c r="D316" s="280" t="n"/>
      <c r="E316" s="280" t="n"/>
      <c r="F316" s="280" t="n"/>
      <c r="G316" s="280" t="n"/>
      <c r="H316" s="280" t="n"/>
      <c r="I316" s="332">
        <f>IFERROR(VLOOKUP(TEXT(H316,"0"),IPRESS!$A$3:$B$212,2,0),"")</f>
        <v/>
      </c>
      <c r="J316" s="280" t="n"/>
      <c r="K316" s="332">
        <f>IFERROR(VLOOKUP(TEXT(O316,"0"),CONDUCTORES!$A$3:$G$54,7,0),"")</f>
        <v/>
      </c>
      <c r="L316" s="280" t="n"/>
      <c r="M316" s="280" t="n"/>
      <c r="N316" s="333">
        <f>IFERROR(IF(L316*M316=0,"",L316*M316),"")</f>
        <v/>
      </c>
      <c r="O316" s="280" t="n"/>
      <c r="P316" s="332">
        <f>IFERROR(VLOOKUP(TEXT(O316,"0"),CONDUCTORES!$A$3:$G$54,2,0),"")</f>
        <v/>
      </c>
      <c r="Q316" s="332">
        <f>IFERROR(VLOOKUP(TEXT(O316,"0"),CONDUCTORES!$A$3:$H$54,6,0),"")</f>
        <v/>
      </c>
      <c r="R316" s="280" t="n"/>
      <c r="S316" s="280" t="n"/>
      <c r="T316" s="280" t="n"/>
      <c r="U316" s="280" t="n"/>
      <c r="V316" s="280" t="n"/>
      <c r="W316" s="280" t="n"/>
      <c r="X316" s="280" t="n"/>
      <c r="Y316" s="280" t="n"/>
      <c r="Z316" s="375">
        <f>IF(AND(G316&lt;&gt;"",R316&lt;&gt;"",V316&lt;&gt;"",W316&lt;&gt;""),"COMPLETADO","OBSERVADO")</f>
        <v/>
      </c>
    </row>
    <row r="317" ht="15" customHeight="1" s="195">
      <c r="A317" s="334" t="n"/>
      <c r="B317" s="334" t="n"/>
      <c r="C317" s="334" t="n"/>
      <c r="D317" s="334" t="n"/>
      <c r="E317" s="334" t="n"/>
      <c r="F317" s="334" t="n"/>
      <c r="G317" s="334" t="n"/>
      <c r="H317" s="334" t="n"/>
      <c r="I317" s="332">
        <f>IFERROR(VLOOKUP(TEXT(H317,"0"),IPRESS!$A$3:$B$212,2,0),"")</f>
        <v/>
      </c>
      <c r="J317" s="334" t="n"/>
      <c r="K317" s="332">
        <f>IFERROR(VLOOKUP(TEXT(O317,"0"),CONDUCTORES!$A$3:$G$54,7,0),"")</f>
        <v/>
      </c>
      <c r="L317" s="334" t="n"/>
      <c r="M317" s="334" t="n"/>
      <c r="N317" s="333">
        <f>IFERROR(IF(L317*M317=0,"",L317*M317),"")</f>
        <v/>
      </c>
      <c r="O317" s="334" t="n"/>
      <c r="P317" s="332">
        <f>IFERROR(VLOOKUP(TEXT(O317,"0"),CONDUCTORES!$A$3:$G$54,2,0),"")</f>
        <v/>
      </c>
      <c r="Q317" s="332">
        <f>IFERROR(VLOOKUP(TEXT(O317,"0"),CONDUCTORES!$A$3:$H$54,6,0),"")</f>
        <v/>
      </c>
      <c r="R317" s="334" t="n"/>
      <c r="S317" s="334" t="n"/>
      <c r="T317" s="334" t="n"/>
      <c r="U317" s="334" t="n"/>
      <c r="V317" s="334" t="n"/>
      <c r="W317" s="334" t="n"/>
      <c r="X317" s="334" t="n"/>
      <c r="Y317" s="334" t="n"/>
      <c r="Z317" s="375">
        <f>IF(AND(G317&lt;&gt;"",R317&lt;&gt;"",V317&lt;&gt;"",W317&lt;&gt;""),"COMPLETADO","OBSERVADO")</f>
        <v/>
      </c>
    </row>
    <row r="318" ht="15" customHeight="1" s="195">
      <c r="A318" s="280" t="n"/>
      <c r="B318" s="280" t="n"/>
      <c r="C318" s="280" t="n"/>
      <c r="D318" s="280" t="n"/>
      <c r="E318" s="280" t="n"/>
      <c r="F318" s="280" t="n"/>
      <c r="G318" s="280" t="n"/>
      <c r="H318" s="280" t="n"/>
      <c r="I318" s="332">
        <f>IFERROR(VLOOKUP(TEXT(H318,"0"),IPRESS!$A$3:$B$212,2,0),"")</f>
        <v/>
      </c>
      <c r="J318" s="280" t="n"/>
      <c r="K318" s="332">
        <f>IFERROR(VLOOKUP(TEXT(O318,"0"),CONDUCTORES!$A$3:$G$54,7,0),"")</f>
        <v/>
      </c>
      <c r="L318" s="280" t="n"/>
      <c r="M318" s="280" t="n"/>
      <c r="N318" s="333">
        <f>IFERROR(IF(L318*M318=0,"",L318*M318),"")</f>
        <v/>
      </c>
      <c r="O318" s="280" t="n"/>
      <c r="P318" s="332">
        <f>IFERROR(VLOOKUP(TEXT(O318,"0"),CONDUCTORES!$A$3:$G$54,2,0),"")</f>
        <v/>
      </c>
      <c r="Q318" s="332">
        <f>IFERROR(VLOOKUP(TEXT(O318,"0"),CONDUCTORES!$A$3:$H$54,6,0),"")</f>
        <v/>
      </c>
      <c r="R318" s="280" t="n"/>
      <c r="S318" s="280" t="n"/>
      <c r="T318" s="280" t="n"/>
      <c r="U318" s="280" t="n"/>
      <c r="V318" s="280" t="n"/>
      <c r="W318" s="280" t="n"/>
      <c r="X318" s="280" t="n"/>
      <c r="Y318" s="280" t="n"/>
      <c r="Z318" s="375">
        <f>IF(AND(G318&lt;&gt;"",R318&lt;&gt;"",V318&lt;&gt;"",W318&lt;&gt;""),"COMPLETADO","OBSERVADO")</f>
        <v/>
      </c>
    </row>
    <row r="319" ht="15" customHeight="1" s="195">
      <c r="A319" s="334" t="n"/>
      <c r="B319" s="334" t="n"/>
      <c r="C319" s="334" t="n"/>
      <c r="D319" s="334" t="n"/>
      <c r="E319" s="334" t="n"/>
      <c r="F319" s="334" t="n"/>
      <c r="G319" s="334" t="n"/>
      <c r="H319" s="334" t="n"/>
      <c r="I319" s="332">
        <f>IFERROR(VLOOKUP(TEXT(H319,"0"),IPRESS!$A$3:$B$212,2,0),"")</f>
        <v/>
      </c>
      <c r="J319" s="334" t="n"/>
      <c r="K319" s="332">
        <f>IFERROR(VLOOKUP(TEXT(O319,"0"),CONDUCTORES!$A$3:$G$54,7,0),"")</f>
        <v/>
      </c>
      <c r="L319" s="334" t="n"/>
      <c r="M319" s="334" t="n"/>
      <c r="N319" s="333">
        <f>IFERROR(IF(L319*M319=0,"",L319*M319),"")</f>
        <v/>
      </c>
      <c r="O319" s="334" t="n"/>
      <c r="P319" s="332">
        <f>IFERROR(VLOOKUP(TEXT(O319,"0"),CONDUCTORES!$A$3:$G$54,2,0),"")</f>
        <v/>
      </c>
      <c r="Q319" s="332">
        <f>IFERROR(VLOOKUP(TEXT(O319,"0"),CONDUCTORES!$A$3:$H$54,6,0),"")</f>
        <v/>
      </c>
      <c r="R319" s="334" t="n"/>
      <c r="S319" s="334" t="n"/>
      <c r="T319" s="334" t="n"/>
      <c r="U319" s="334" t="n"/>
      <c r="V319" s="334" t="n"/>
      <c r="W319" s="334" t="n"/>
      <c r="X319" s="334" t="n"/>
      <c r="Y319" s="334" t="n"/>
      <c r="Z319" s="375">
        <f>IF(AND(G319&lt;&gt;"",R319&lt;&gt;"",V319&lt;&gt;"",W319&lt;&gt;""),"COMPLETADO","OBSERVADO")</f>
        <v/>
      </c>
    </row>
    <row r="320" ht="15" customHeight="1" s="195">
      <c r="A320" s="280" t="n"/>
      <c r="B320" s="280" t="n"/>
      <c r="C320" s="280" t="n"/>
      <c r="D320" s="280" t="n"/>
      <c r="E320" s="280" t="n"/>
      <c r="F320" s="280" t="n"/>
      <c r="G320" s="280" t="n"/>
      <c r="H320" s="280" t="n"/>
      <c r="I320" s="332">
        <f>IFERROR(VLOOKUP(TEXT(H320,"0"),IPRESS!$A$3:$B$212,2,0),"")</f>
        <v/>
      </c>
      <c r="J320" s="280" t="n"/>
      <c r="K320" s="332">
        <f>IFERROR(VLOOKUP(TEXT(O320,"0"),CONDUCTORES!$A$3:$G$54,7,0),"")</f>
        <v/>
      </c>
      <c r="L320" s="280" t="n"/>
      <c r="M320" s="280" t="n"/>
      <c r="N320" s="333">
        <f>IFERROR(IF(L320*M320=0,"",L320*M320),"")</f>
        <v/>
      </c>
      <c r="O320" s="280" t="n"/>
      <c r="P320" s="332">
        <f>IFERROR(VLOOKUP(TEXT(O320,"0"),CONDUCTORES!$A$3:$G$54,2,0),"")</f>
        <v/>
      </c>
      <c r="Q320" s="332">
        <f>IFERROR(VLOOKUP(TEXT(O320,"0"),CONDUCTORES!$A$3:$H$54,6,0),"")</f>
        <v/>
      </c>
      <c r="R320" s="280" t="n"/>
      <c r="S320" s="280" t="n"/>
      <c r="T320" s="280" t="n"/>
      <c r="U320" s="280" t="n"/>
      <c r="V320" s="280" t="n"/>
      <c r="W320" s="280" t="n"/>
      <c r="X320" s="280" t="n"/>
      <c r="Y320" s="280" t="n"/>
      <c r="Z320" s="375">
        <f>IF(AND(G320&lt;&gt;"",R320&lt;&gt;"",V320&lt;&gt;"",W320&lt;&gt;""),"COMPLETADO","OBSERVADO")</f>
        <v/>
      </c>
    </row>
    <row r="321" ht="15" customHeight="1" s="195">
      <c r="A321" s="334" t="n"/>
      <c r="B321" s="334" t="n"/>
      <c r="C321" s="334" t="n"/>
      <c r="D321" s="334" t="n"/>
      <c r="E321" s="334" t="n"/>
      <c r="F321" s="334" t="n"/>
      <c r="G321" s="334" t="n"/>
      <c r="H321" s="334" t="n"/>
      <c r="I321" s="332">
        <f>IFERROR(VLOOKUP(TEXT(H321,"0"),IPRESS!$A$3:$B$212,2,0),"")</f>
        <v/>
      </c>
      <c r="J321" s="334" t="n"/>
      <c r="K321" s="332">
        <f>IFERROR(VLOOKUP(TEXT(O321,"0"),CONDUCTORES!$A$3:$G$54,7,0),"")</f>
        <v/>
      </c>
      <c r="L321" s="334" t="n"/>
      <c r="M321" s="334" t="n"/>
      <c r="N321" s="333">
        <f>IFERROR(IF(L321*M321=0,"",L321*M321),"")</f>
        <v/>
      </c>
      <c r="O321" s="334" t="n"/>
      <c r="P321" s="332">
        <f>IFERROR(VLOOKUP(TEXT(O321,"0"),CONDUCTORES!$A$3:$G$54,2,0),"")</f>
        <v/>
      </c>
      <c r="Q321" s="332">
        <f>IFERROR(VLOOKUP(TEXT(O321,"0"),CONDUCTORES!$A$3:$H$54,6,0),"")</f>
        <v/>
      </c>
      <c r="R321" s="334" t="n"/>
      <c r="S321" s="334" t="n"/>
      <c r="T321" s="334" t="n"/>
      <c r="U321" s="334" t="n"/>
      <c r="V321" s="334" t="n"/>
      <c r="W321" s="334" t="n"/>
      <c r="X321" s="334" t="n"/>
      <c r="Y321" s="334" t="n"/>
      <c r="Z321" s="375">
        <f>IF(AND(G321&lt;&gt;"",R321&lt;&gt;"",V321&lt;&gt;"",W321&lt;&gt;""),"COMPLETADO","OBSERVADO")</f>
        <v/>
      </c>
    </row>
    <row r="322" ht="15" customHeight="1" s="195">
      <c r="A322" s="280" t="n"/>
      <c r="B322" s="280" t="n"/>
      <c r="C322" s="280" t="n"/>
      <c r="D322" s="280" t="n"/>
      <c r="E322" s="280" t="n"/>
      <c r="F322" s="280" t="n"/>
      <c r="G322" s="280" t="n"/>
      <c r="H322" s="280" t="n"/>
      <c r="I322" s="332">
        <f>IFERROR(VLOOKUP(TEXT(H322,"0"),IPRESS!$A$3:$B$212,2,0),"")</f>
        <v/>
      </c>
      <c r="J322" s="280" t="n"/>
      <c r="K322" s="332">
        <f>IFERROR(VLOOKUP(TEXT(O322,"0"),CONDUCTORES!$A$3:$G$54,7,0),"")</f>
        <v/>
      </c>
      <c r="L322" s="280" t="n"/>
      <c r="M322" s="280" t="n"/>
      <c r="N322" s="333">
        <f>IFERROR(IF(L322*M322=0,"",L322*M322),"")</f>
        <v/>
      </c>
      <c r="O322" s="280" t="n"/>
      <c r="P322" s="332">
        <f>IFERROR(VLOOKUP(TEXT(O322,"0"),CONDUCTORES!$A$3:$G$54,2,0),"")</f>
        <v/>
      </c>
      <c r="Q322" s="332">
        <f>IFERROR(VLOOKUP(TEXT(O322,"0"),CONDUCTORES!$A$3:$H$54,6,0),"")</f>
        <v/>
      </c>
      <c r="R322" s="280" t="n"/>
      <c r="S322" s="280" t="n"/>
      <c r="T322" s="280" t="n"/>
      <c r="U322" s="280" t="n"/>
      <c r="V322" s="280" t="n"/>
      <c r="W322" s="280" t="n"/>
      <c r="X322" s="280" t="n"/>
      <c r="Y322" s="280" t="n"/>
      <c r="Z322" s="375">
        <f>IF(AND(G322&lt;&gt;"",R322&lt;&gt;"",V322&lt;&gt;"",W322&lt;&gt;""),"COMPLETADO","OBSERVADO")</f>
        <v/>
      </c>
    </row>
    <row r="323" ht="15" customHeight="1" s="195">
      <c r="A323" s="334" t="n"/>
      <c r="B323" s="334" t="n"/>
      <c r="C323" s="334" t="n"/>
      <c r="D323" s="334" t="n"/>
      <c r="E323" s="334" t="n"/>
      <c r="F323" s="334" t="n"/>
      <c r="G323" s="334" t="n"/>
      <c r="H323" s="334" t="n"/>
      <c r="I323" s="332">
        <f>IFERROR(VLOOKUP(TEXT(H323,"0"),IPRESS!$A$3:$B$212,2,0),"")</f>
        <v/>
      </c>
      <c r="J323" s="334" t="n"/>
      <c r="K323" s="332">
        <f>IFERROR(VLOOKUP(TEXT(O323,"0"),CONDUCTORES!$A$3:$G$54,7,0),"")</f>
        <v/>
      </c>
      <c r="L323" s="334" t="n"/>
      <c r="M323" s="334" t="n"/>
      <c r="N323" s="333">
        <f>IFERROR(IF(L323*M323=0,"",L323*M323),"")</f>
        <v/>
      </c>
      <c r="O323" s="334" t="n"/>
      <c r="P323" s="332">
        <f>IFERROR(VLOOKUP(TEXT(O323,"0"),CONDUCTORES!$A$3:$G$54,2,0),"")</f>
        <v/>
      </c>
      <c r="Q323" s="332">
        <f>IFERROR(VLOOKUP(TEXT(O323,"0"),CONDUCTORES!$A$3:$H$54,6,0),"")</f>
        <v/>
      </c>
      <c r="R323" s="334" t="n"/>
      <c r="S323" s="334" t="n"/>
      <c r="T323" s="334" t="n"/>
      <c r="U323" s="334" t="n"/>
      <c r="V323" s="334" t="n"/>
      <c r="W323" s="334" t="n"/>
      <c r="X323" s="334" t="n"/>
      <c r="Y323" s="334" t="n"/>
      <c r="Z323" s="375">
        <f>IF(AND(G323&lt;&gt;"",R323&lt;&gt;"",V323&lt;&gt;"",W323&lt;&gt;""),"COMPLETADO","OBSERVADO")</f>
        <v/>
      </c>
    </row>
    <row r="324" ht="15" customHeight="1" s="195">
      <c r="A324" s="280" t="n"/>
      <c r="B324" s="280" t="n"/>
      <c r="C324" s="280" t="n"/>
      <c r="D324" s="280" t="n"/>
      <c r="E324" s="280" t="n"/>
      <c r="F324" s="280" t="n"/>
      <c r="G324" s="280" t="n"/>
      <c r="H324" s="280" t="n"/>
      <c r="I324" s="332">
        <f>IFERROR(VLOOKUP(TEXT(H324,"0"),IPRESS!$A$3:$B$212,2,0),"")</f>
        <v/>
      </c>
      <c r="J324" s="280" t="n"/>
      <c r="K324" s="332">
        <f>IFERROR(VLOOKUP(TEXT(O324,"0"),CONDUCTORES!$A$3:$G$54,7,0),"")</f>
        <v/>
      </c>
      <c r="L324" s="280" t="n"/>
      <c r="M324" s="280" t="n"/>
      <c r="N324" s="333">
        <f>IFERROR(IF(L324*M324=0,"",L324*M324),"")</f>
        <v/>
      </c>
      <c r="O324" s="280" t="n"/>
      <c r="P324" s="332">
        <f>IFERROR(VLOOKUP(TEXT(O324,"0"),CONDUCTORES!$A$3:$G$54,2,0),"")</f>
        <v/>
      </c>
      <c r="Q324" s="332">
        <f>IFERROR(VLOOKUP(TEXT(O324,"0"),CONDUCTORES!$A$3:$H$54,6,0),"")</f>
        <v/>
      </c>
      <c r="R324" s="280" t="n"/>
      <c r="S324" s="280" t="n"/>
      <c r="T324" s="280" t="n"/>
      <c r="U324" s="280" t="n"/>
      <c r="V324" s="280" t="n"/>
      <c r="W324" s="280" t="n"/>
      <c r="X324" s="280" t="n"/>
      <c r="Y324" s="280" t="n"/>
      <c r="Z324" s="375">
        <f>IF(AND(G324&lt;&gt;"",R324&lt;&gt;"",V324&lt;&gt;"",W324&lt;&gt;""),"COMPLETADO","OBSERVADO")</f>
        <v/>
      </c>
    </row>
    <row r="325" ht="15" customHeight="1" s="195">
      <c r="A325" s="334" t="n"/>
      <c r="B325" s="334" t="n"/>
      <c r="C325" s="334" t="n"/>
      <c r="D325" s="334" t="n"/>
      <c r="E325" s="334" t="n"/>
      <c r="F325" s="334" t="n"/>
      <c r="G325" s="334" t="n"/>
      <c r="H325" s="334" t="n"/>
      <c r="I325" s="332">
        <f>IFERROR(VLOOKUP(TEXT(H325,"0"),IPRESS!$A$3:$B$212,2,0),"")</f>
        <v/>
      </c>
      <c r="J325" s="334" t="n"/>
      <c r="K325" s="332">
        <f>IFERROR(VLOOKUP(TEXT(O325,"0"),CONDUCTORES!$A$3:$G$54,7,0),"")</f>
        <v/>
      </c>
      <c r="L325" s="334" t="n"/>
      <c r="M325" s="334" t="n"/>
      <c r="N325" s="333">
        <f>IFERROR(IF(L325*M325=0,"",L325*M325),"")</f>
        <v/>
      </c>
      <c r="O325" s="334" t="n"/>
      <c r="P325" s="332">
        <f>IFERROR(VLOOKUP(TEXT(O325,"0"),CONDUCTORES!$A$3:$G$54,2,0),"")</f>
        <v/>
      </c>
      <c r="Q325" s="332">
        <f>IFERROR(VLOOKUP(TEXT(O325,"0"),CONDUCTORES!$A$3:$H$54,6,0),"")</f>
        <v/>
      </c>
      <c r="R325" s="334" t="n"/>
      <c r="S325" s="334" t="n"/>
      <c r="T325" s="334" t="n"/>
      <c r="U325" s="334" t="n"/>
      <c r="V325" s="334" t="n"/>
      <c r="W325" s="334" t="n"/>
      <c r="X325" s="334" t="n"/>
      <c r="Y325" s="334" t="n"/>
      <c r="Z325" s="375">
        <f>IF(AND(G325&lt;&gt;"",R325&lt;&gt;"",V325&lt;&gt;"",W325&lt;&gt;""),"COMPLETADO","OBSERVADO")</f>
        <v/>
      </c>
    </row>
    <row r="326" ht="15" customHeight="1" s="195">
      <c r="A326" s="280" t="n"/>
      <c r="B326" s="280" t="n"/>
      <c r="C326" s="280" t="n"/>
      <c r="D326" s="280" t="n"/>
      <c r="E326" s="280" t="n"/>
      <c r="F326" s="280" t="n"/>
      <c r="G326" s="280" t="n"/>
      <c r="H326" s="280" t="n"/>
      <c r="I326" s="332">
        <f>IFERROR(VLOOKUP(TEXT(H326,"0"),IPRESS!$A$3:$B$212,2,0),"")</f>
        <v/>
      </c>
      <c r="J326" s="280" t="n"/>
      <c r="K326" s="332">
        <f>IFERROR(VLOOKUP(TEXT(O326,"0"),CONDUCTORES!$A$3:$G$54,7,0),"")</f>
        <v/>
      </c>
      <c r="L326" s="280" t="n"/>
      <c r="M326" s="280" t="n"/>
      <c r="N326" s="333">
        <f>IFERROR(IF(L326*M326=0,"",L326*M326),"")</f>
        <v/>
      </c>
      <c r="O326" s="280" t="n"/>
      <c r="P326" s="332">
        <f>IFERROR(VLOOKUP(TEXT(O326,"0"),CONDUCTORES!$A$3:$G$54,2,0),"")</f>
        <v/>
      </c>
      <c r="Q326" s="332">
        <f>IFERROR(VLOOKUP(TEXT(O326,"0"),CONDUCTORES!$A$3:$H$54,6,0),"")</f>
        <v/>
      </c>
      <c r="R326" s="280" t="n"/>
      <c r="S326" s="280" t="n"/>
      <c r="T326" s="280" t="n"/>
      <c r="U326" s="280" t="n"/>
      <c r="V326" s="280" t="n"/>
      <c r="W326" s="280" t="n"/>
      <c r="X326" s="280" t="n"/>
      <c r="Y326" s="280" t="n"/>
      <c r="Z326" s="375">
        <f>IF(AND(G326&lt;&gt;"",R326&lt;&gt;"",V326&lt;&gt;"",W326&lt;&gt;""),"COMPLETADO","OBSERVADO")</f>
        <v/>
      </c>
    </row>
    <row r="327" ht="15" customHeight="1" s="195">
      <c r="A327" s="334" t="n"/>
      <c r="B327" s="334" t="n"/>
      <c r="C327" s="334" t="n"/>
      <c r="D327" s="334" t="n"/>
      <c r="E327" s="334" t="n"/>
      <c r="F327" s="334" t="n"/>
      <c r="G327" s="334" t="n"/>
      <c r="H327" s="334" t="n"/>
      <c r="I327" s="332">
        <f>IFERROR(VLOOKUP(TEXT(H327,"0"),IPRESS!$A$3:$B$212,2,0),"")</f>
        <v/>
      </c>
      <c r="J327" s="334" t="n"/>
      <c r="K327" s="332">
        <f>IFERROR(VLOOKUP(TEXT(O327,"0"),CONDUCTORES!$A$3:$G$54,7,0),"")</f>
        <v/>
      </c>
      <c r="L327" s="334" t="n"/>
      <c r="M327" s="334" t="n"/>
      <c r="N327" s="333">
        <f>IFERROR(IF(L327*M327=0,"",L327*M327),"")</f>
        <v/>
      </c>
      <c r="O327" s="334" t="n"/>
      <c r="P327" s="332">
        <f>IFERROR(VLOOKUP(TEXT(O327,"0"),CONDUCTORES!$A$3:$G$54,2,0),"")</f>
        <v/>
      </c>
      <c r="Q327" s="332">
        <f>IFERROR(VLOOKUP(TEXT(O327,"0"),CONDUCTORES!$A$3:$H$54,6,0),"")</f>
        <v/>
      </c>
      <c r="R327" s="334" t="n"/>
      <c r="S327" s="334" t="n"/>
      <c r="T327" s="334" t="n"/>
      <c r="U327" s="334" t="n"/>
      <c r="V327" s="334" t="n"/>
      <c r="W327" s="334" t="n"/>
      <c r="X327" s="334" t="n"/>
      <c r="Y327" s="334" t="n"/>
      <c r="Z327" s="375">
        <f>IF(AND(G327&lt;&gt;"",R327&lt;&gt;"",V327&lt;&gt;"",W327&lt;&gt;""),"COMPLETADO","OBSERVADO")</f>
        <v/>
      </c>
    </row>
    <row r="328" ht="15" customHeight="1" s="195">
      <c r="A328" s="280" t="n"/>
      <c r="B328" s="280" t="n"/>
      <c r="C328" s="280" t="n"/>
      <c r="D328" s="280" t="n"/>
      <c r="E328" s="280" t="n"/>
      <c r="F328" s="280" t="n"/>
      <c r="G328" s="280" t="n"/>
      <c r="H328" s="280" t="n"/>
      <c r="I328" s="332">
        <f>IFERROR(VLOOKUP(TEXT(H328,"0"),IPRESS!$A$3:$B$212,2,0),"")</f>
        <v/>
      </c>
      <c r="J328" s="280" t="n"/>
      <c r="K328" s="332">
        <f>IFERROR(VLOOKUP(TEXT(O328,"0"),CONDUCTORES!$A$3:$G$54,7,0),"")</f>
        <v/>
      </c>
      <c r="L328" s="280" t="n"/>
      <c r="M328" s="280" t="n"/>
      <c r="N328" s="333">
        <f>IFERROR(IF(L328*M328=0,"",L328*M328),"")</f>
        <v/>
      </c>
      <c r="O328" s="280" t="n"/>
      <c r="P328" s="332">
        <f>IFERROR(VLOOKUP(TEXT(O328,"0"),CONDUCTORES!$A$3:$G$54,2,0),"")</f>
        <v/>
      </c>
      <c r="Q328" s="332">
        <f>IFERROR(VLOOKUP(TEXT(O328,"0"),CONDUCTORES!$A$3:$H$54,6,0),"")</f>
        <v/>
      </c>
      <c r="R328" s="280" t="n"/>
      <c r="S328" s="280" t="n"/>
      <c r="T328" s="280" t="n"/>
      <c r="U328" s="280" t="n"/>
      <c r="V328" s="280" t="n"/>
      <c r="W328" s="280" t="n"/>
      <c r="X328" s="280" t="n"/>
      <c r="Y328" s="280" t="n"/>
      <c r="Z328" s="375">
        <f>IF(AND(G328&lt;&gt;"",R328&lt;&gt;"",V328&lt;&gt;"",W328&lt;&gt;""),"COMPLETADO","OBSERVADO")</f>
        <v/>
      </c>
    </row>
    <row r="329" ht="15" customHeight="1" s="195">
      <c r="A329" s="334" t="n"/>
      <c r="B329" s="334" t="n"/>
      <c r="C329" s="334" t="n"/>
      <c r="D329" s="334" t="n"/>
      <c r="E329" s="334" t="n"/>
      <c r="F329" s="334" t="n"/>
      <c r="G329" s="334" t="n"/>
      <c r="H329" s="334" t="n"/>
      <c r="I329" s="332">
        <f>IFERROR(VLOOKUP(TEXT(H329,"0"),IPRESS!$A$3:$B$212,2,0),"")</f>
        <v/>
      </c>
      <c r="J329" s="334" t="n"/>
      <c r="K329" s="332">
        <f>IFERROR(VLOOKUP(TEXT(O329,"0"),CONDUCTORES!$A$3:$G$54,7,0),"")</f>
        <v/>
      </c>
      <c r="L329" s="334" t="n"/>
      <c r="M329" s="334" t="n"/>
      <c r="N329" s="333">
        <f>IFERROR(IF(L329*M329=0,"",L329*M329),"")</f>
        <v/>
      </c>
      <c r="O329" s="334" t="n"/>
      <c r="P329" s="332">
        <f>IFERROR(VLOOKUP(TEXT(O329,"0"),CONDUCTORES!$A$3:$G$54,2,0),"")</f>
        <v/>
      </c>
      <c r="Q329" s="332">
        <f>IFERROR(VLOOKUP(TEXT(O329,"0"),CONDUCTORES!$A$3:$H$54,6,0),"")</f>
        <v/>
      </c>
      <c r="R329" s="334" t="n"/>
      <c r="S329" s="334" t="n"/>
      <c r="T329" s="334" t="n"/>
      <c r="U329" s="334" t="n"/>
      <c r="V329" s="334" t="n"/>
      <c r="W329" s="334" t="n"/>
      <c r="X329" s="334" t="n"/>
      <c r="Y329" s="334" t="n"/>
      <c r="Z329" s="375">
        <f>IF(AND(G329&lt;&gt;"",R329&lt;&gt;"",V329&lt;&gt;"",W329&lt;&gt;""),"COMPLETADO","OBSERVADO")</f>
        <v/>
      </c>
    </row>
    <row r="330" ht="15" customHeight="1" s="195">
      <c r="A330" s="280" t="n"/>
      <c r="B330" s="280" t="n"/>
      <c r="C330" s="280" t="n"/>
      <c r="D330" s="280" t="n"/>
      <c r="E330" s="280" t="n"/>
      <c r="F330" s="280" t="n"/>
      <c r="G330" s="280" t="n"/>
      <c r="H330" s="280" t="n"/>
      <c r="I330" s="332">
        <f>IFERROR(VLOOKUP(TEXT(H330,"0"),IPRESS!$A$3:$B$212,2,0),"")</f>
        <v/>
      </c>
      <c r="J330" s="280" t="n"/>
      <c r="K330" s="332">
        <f>IFERROR(VLOOKUP(TEXT(O330,"0"),CONDUCTORES!$A$3:$G$54,7,0),"")</f>
        <v/>
      </c>
      <c r="L330" s="280" t="n"/>
      <c r="M330" s="280" t="n"/>
      <c r="N330" s="333">
        <f>IFERROR(IF(L330*M330=0,"",L330*M330),"")</f>
        <v/>
      </c>
      <c r="O330" s="280" t="n"/>
      <c r="P330" s="332">
        <f>IFERROR(VLOOKUP(TEXT(O330,"0"),CONDUCTORES!$A$3:$G$54,2,0),"")</f>
        <v/>
      </c>
      <c r="Q330" s="332">
        <f>IFERROR(VLOOKUP(TEXT(O330,"0"),CONDUCTORES!$A$3:$H$54,6,0),"")</f>
        <v/>
      </c>
      <c r="R330" s="280" t="n"/>
      <c r="S330" s="280" t="n"/>
      <c r="T330" s="280" t="n"/>
      <c r="U330" s="280" t="n"/>
      <c r="V330" s="280" t="n"/>
      <c r="W330" s="280" t="n"/>
      <c r="X330" s="280" t="n"/>
      <c r="Y330" s="280" t="n"/>
      <c r="Z330" s="375">
        <f>IF(AND(G330&lt;&gt;"",R330&lt;&gt;"",V330&lt;&gt;"",W330&lt;&gt;""),"COMPLETADO","OBSERVADO")</f>
        <v/>
      </c>
    </row>
    <row r="331" ht="15" customHeight="1" s="195">
      <c r="A331" s="334" t="n"/>
      <c r="B331" s="334" t="n"/>
      <c r="C331" s="334" t="n"/>
      <c r="D331" s="334" t="n"/>
      <c r="E331" s="334" t="n"/>
      <c r="F331" s="334" t="n"/>
      <c r="G331" s="334" t="n"/>
      <c r="H331" s="334" t="n"/>
      <c r="I331" s="332">
        <f>IFERROR(VLOOKUP(TEXT(H331,"0"),IPRESS!$A$3:$B$212,2,0),"")</f>
        <v/>
      </c>
      <c r="J331" s="334" t="n"/>
      <c r="K331" s="332">
        <f>IFERROR(VLOOKUP(TEXT(O331,"0"),CONDUCTORES!$A$3:$G$54,7,0),"")</f>
        <v/>
      </c>
      <c r="L331" s="334" t="n"/>
      <c r="M331" s="334" t="n"/>
      <c r="N331" s="333">
        <f>IFERROR(IF(L331*M331=0,"",L331*M331),"")</f>
        <v/>
      </c>
      <c r="O331" s="334" t="n"/>
      <c r="P331" s="332">
        <f>IFERROR(VLOOKUP(TEXT(O331,"0"),CONDUCTORES!$A$3:$G$54,2,0),"")</f>
        <v/>
      </c>
      <c r="Q331" s="332">
        <f>IFERROR(VLOOKUP(TEXT(O331,"0"),CONDUCTORES!$A$3:$H$54,6,0),"")</f>
        <v/>
      </c>
      <c r="R331" s="334" t="n"/>
      <c r="S331" s="334" t="n"/>
      <c r="T331" s="334" t="n"/>
      <c r="U331" s="334" t="n"/>
      <c r="V331" s="334" t="n"/>
      <c r="W331" s="334" t="n"/>
      <c r="X331" s="334" t="n"/>
      <c r="Y331" s="334" t="n"/>
      <c r="Z331" s="375">
        <f>IF(AND(G331&lt;&gt;"",R331&lt;&gt;"",V331&lt;&gt;"",W331&lt;&gt;""),"COMPLETADO","OBSERVADO")</f>
        <v/>
      </c>
    </row>
    <row r="332" ht="15" customHeight="1" s="195">
      <c r="A332" s="280" t="n"/>
      <c r="B332" s="280" t="n"/>
      <c r="C332" s="280" t="n"/>
      <c r="D332" s="280" t="n"/>
      <c r="E332" s="280" t="n"/>
      <c r="F332" s="280" t="n"/>
      <c r="G332" s="280" t="n"/>
      <c r="H332" s="280" t="n"/>
      <c r="I332" s="332">
        <f>IFERROR(VLOOKUP(TEXT(H332,"0"),IPRESS!$A$3:$B$212,2,0),"")</f>
        <v/>
      </c>
      <c r="J332" s="280" t="n"/>
      <c r="K332" s="332">
        <f>IFERROR(VLOOKUP(TEXT(O332,"0"),CONDUCTORES!$A$3:$G$54,7,0),"")</f>
        <v/>
      </c>
      <c r="L332" s="280" t="n"/>
      <c r="M332" s="280" t="n"/>
      <c r="N332" s="333">
        <f>IFERROR(IF(L332*M332=0,"",L332*M332),"")</f>
        <v/>
      </c>
      <c r="O332" s="280" t="n"/>
      <c r="P332" s="332">
        <f>IFERROR(VLOOKUP(TEXT(O332,"0"),CONDUCTORES!$A$3:$G$54,2,0),"")</f>
        <v/>
      </c>
      <c r="Q332" s="332">
        <f>IFERROR(VLOOKUP(TEXT(O332,"0"),CONDUCTORES!$A$3:$H$54,6,0),"")</f>
        <v/>
      </c>
      <c r="R332" s="280" t="n"/>
      <c r="S332" s="280" t="n"/>
      <c r="T332" s="280" t="n"/>
      <c r="U332" s="280" t="n"/>
      <c r="V332" s="280" t="n"/>
      <c r="W332" s="280" t="n"/>
      <c r="X332" s="280" t="n"/>
      <c r="Y332" s="280" t="n"/>
      <c r="Z332" s="375">
        <f>IF(AND(G332&lt;&gt;"",R332&lt;&gt;"",V332&lt;&gt;"",W332&lt;&gt;""),"COMPLETADO","OBSERVADO")</f>
        <v/>
      </c>
    </row>
    <row r="333" ht="15" customHeight="1" s="195">
      <c r="A333" s="334" t="n"/>
      <c r="B333" s="334" t="n"/>
      <c r="C333" s="334" t="n"/>
      <c r="D333" s="334" t="n"/>
      <c r="E333" s="334" t="n"/>
      <c r="F333" s="334" t="n"/>
      <c r="G333" s="334" t="n"/>
      <c r="H333" s="334" t="n"/>
      <c r="I333" s="332">
        <f>IFERROR(VLOOKUP(TEXT(H333,"0"),IPRESS!$A$3:$B$212,2,0),"")</f>
        <v/>
      </c>
      <c r="J333" s="334" t="n"/>
      <c r="K333" s="332">
        <f>IFERROR(VLOOKUP(TEXT(O333,"0"),CONDUCTORES!$A$3:$G$54,7,0),"")</f>
        <v/>
      </c>
      <c r="L333" s="334" t="n"/>
      <c r="M333" s="334" t="n"/>
      <c r="N333" s="333">
        <f>IFERROR(IF(L333*M333=0,"",L333*M333),"")</f>
        <v/>
      </c>
      <c r="O333" s="334" t="n"/>
      <c r="P333" s="332">
        <f>IFERROR(VLOOKUP(TEXT(O333,"0"),CONDUCTORES!$A$3:$G$54,2,0),"")</f>
        <v/>
      </c>
      <c r="Q333" s="332">
        <f>IFERROR(VLOOKUP(TEXT(O333,"0"),CONDUCTORES!$A$3:$H$54,6,0),"")</f>
        <v/>
      </c>
      <c r="R333" s="334" t="n"/>
      <c r="S333" s="334" t="n"/>
      <c r="T333" s="334" t="n"/>
      <c r="U333" s="334" t="n"/>
      <c r="V333" s="334" t="n"/>
      <c r="W333" s="334" t="n"/>
      <c r="X333" s="334" t="n"/>
      <c r="Y333" s="334" t="n"/>
      <c r="Z333" s="375">
        <f>IF(AND(G333&lt;&gt;"",R333&lt;&gt;"",V333&lt;&gt;"",W333&lt;&gt;""),"COMPLETADO","OBSERVADO")</f>
        <v/>
      </c>
    </row>
    <row r="334" ht="15" customHeight="1" s="195">
      <c r="A334" s="280" t="n"/>
      <c r="B334" s="280" t="n"/>
      <c r="C334" s="280" t="n"/>
      <c r="D334" s="280" t="n"/>
      <c r="E334" s="280" t="n"/>
      <c r="F334" s="280" t="n"/>
      <c r="G334" s="280" t="n"/>
      <c r="H334" s="280" t="n"/>
      <c r="I334" s="332">
        <f>IFERROR(VLOOKUP(TEXT(H334,"0"),IPRESS!$A$3:$B$212,2,0),"")</f>
        <v/>
      </c>
      <c r="J334" s="280" t="n"/>
      <c r="K334" s="332">
        <f>IFERROR(VLOOKUP(TEXT(O334,"0"),CONDUCTORES!$A$3:$G$54,7,0),"")</f>
        <v/>
      </c>
      <c r="L334" s="280" t="n"/>
      <c r="M334" s="280" t="n"/>
      <c r="N334" s="333">
        <f>IFERROR(IF(L334*M334=0,"",L334*M334),"")</f>
        <v/>
      </c>
      <c r="O334" s="280" t="n"/>
      <c r="P334" s="332">
        <f>IFERROR(VLOOKUP(TEXT(O334,"0"),CONDUCTORES!$A$3:$G$54,2,0),"")</f>
        <v/>
      </c>
      <c r="Q334" s="332">
        <f>IFERROR(VLOOKUP(TEXT(O334,"0"),CONDUCTORES!$A$3:$H$54,6,0),"")</f>
        <v/>
      </c>
      <c r="R334" s="280" t="n"/>
      <c r="S334" s="280" t="n"/>
      <c r="T334" s="280" t="n"/>
      <c r="U334" s="280" t="n"/>
      <c r="V334" s="280" t="n"/>
      <c r="W334" s="280" t="n"/>
      <c r="X334" s="280" t="n"/>
      <c r="Y334" s="280" t="n"/>
      <c r="Z334" s="375">
        <f>IF(AND(G334&lt;&gt;"",R334&lt;&gt;"",V334&lt;&gt;"",W334&lt;&gt;""),"COMPLETADO","OBSERVADO")</f>
        <v/>
      </c>
    </row>
    <row r="335" ht="15" customHeight="1" s="195">
      <c r="A335" s="334" t="n"/>
      <c r="B335" s="334" t="n"/>
      <c r="C335" s="334" t="n"/>
      <c r="D335" s="334" t="n"/>
      <c r="E335" s="334" t="n"/>
      <c r="F335" s="334" t="n"/>
      <c r="G335" s="334" t="n"/>
      <c r="H335" s="334" t="n"/>
      <c r="I335" s="332">
        <f>IFERROR(VLOOKUP(TEXT(H335,"0"),IPRESS!$A$3:$B$212,2,0),"")</f>
        <v/>
      </c>
      <c r="J335" s="334" t="n"/>
      <c r="K335" s="332">
        <f>IFERROR(VLOOKUP(TEXT(O335,"0"),CONDUCTORES!$A$3:$G$54,7,0),"")</f>
        <v/>
      </c>
      <c r="L335" s="334" t="n"/>
      <c r="M335" s="334" t="n"/>
      <c r="N335" s="333">
        <f>IFERROR(IF(L335*M335=0,"",L335*M335),"")</f>
        <v/>
      </c>
      <c r="O335" s="334" t="n"/>
      <c r="P335" s="332">
        <f>IFERROR(VLOOKUP(TEXT(O335,"0"),CONDUCTORES!$A$3:$G$54,2,0),"")</f>
        <v/>
      </c>
      <c r="Q335" s="332">
        <f>IFERROR(VLOOKUP(TEXT(O335,"0"),CONDUCTORES!$A$3:$H$54,6,0),"")</f>
        <v/>
      </c>
      <c r="R335" s="334" t="n"/>
      <c r="S335" s="334" t="n"/>
      <c r="T335" s="334" t="n"/>
      <c r="U335" s="334" t="n"/>
      <c r="V335" s="334" t="n"/>
      <c r="W335" s="334" t="n"/>
      <c r="X335" s="334" t="n"/>
      <c r="Y335" s="334" t="n"/>
      <c r="Z335" s="375">
        <f>IF(AND(G335&lt;&gt;"",R335&lt;&gt;"",V335&lt;&gt;"",W335&lt;&gt;""),"COMPLETADO","OBSERVADO")</f>
        <v/>
      </c>
    </row>
    <row r="336" ht="15" customHeight="1" s="195">
      <c r="A336" s="280" t="n"/>
      <c r="B336" s="280" t="n"/>
      <c r="C336" s="280" t="n"/>
      <c r="D336" s="280" t="n"/>
      <c r="E336" s="280" t="n"/>
      <c r="F336" s="280" t="n"/>
      <c r="G336" s="280" t="n"/>
      <c r="H336" s="280" t="n"/>
      <c r="I336" s="332">
        <f>IFERROR(VLOOKUP(TEXT(H336,"0"),IPRESS!$A$3:$B$212,2,0),"")</f>
        <v/>
      </c>
      <c r="J336" s="280" t="n"/>
      <c r="K336" s="332">
        <f>IFERROR(VLOOKUP(TEXT(O336,"0"),CONDUCTORES!$A$3:$G$54,7,0),"")</f>
        <v/>
      </c>
      <c r="L336" s="280" t="n"/>
      <c r="M336" s="280" t="n"/>
      <c r="N336" s="333">
        <f>IFERROR(IF(L336*M336=0,"",L336*M336),"")</f>
        <v/>
      </c>
      <c r="O336" s="280" t="n"/>
      <c r="P336" s="332">
        <f>IFERROR(VLOOKUP(TEXT(O336,"0"),CONDUCTORES!$A$3:$G$54,2,0),"")</f>
        <v/>
      </c>
      <c r="Q336" s="332">
        <f>IFERROR(VLOOKUP(TEXT(O336,"0"),CONDUCTORES!$A$3:$H$54,6,0),"")</f>
        <v/>
      </c>
      <c r="R336" s="280" t="n"/>
      <c r="S336" s="280" t="n"/>
      <c r="T336" s="280" t="n"/>
      <c r="U336" s="280" t="n"/>
      <c r="V336" s="280" t="n"/>
      <c r="W336" s="280" t="n"/>
      <c r="X336" s="280" t="n"/>
      <c r="Y336" s="280" t="n"/>
      <c r="Z336" s="375">
        <f>IF(AND(G336&lt;&gt;"",R336&lt;&gt;"",V336&lt;&gt;"",W336&lt;&gt;""),"COMPLETADO","OBSERVADO")</f>
        <v/>
      </c>
    </row>
    <row r="337" ht="15" customHeight="1" s="195">
      <c r="A337" s="334" t="n"/>
      <c r="B337" s="334" t="n"/>
      <c r="C337" s="334" t="n"/>
      <c r="D337" s="334" t="n"/>
      <c r="E337" s="334" t="n"/>
      <c r="F337" s="334" t="n"/>
      <c r="G337" s="334" t="n"/>
      <c r="H337" s="334" t="n"/>
      <c r="I337" s="332">
        <f>IFERROR(VLOOKUP(TEXT(H337,"0"),IPRESS!$A$3:$B$212,2,0),"")</f>
        <v/>
      </c>
      <c r="J337" s="334" t="n"/>
      <c r="K337" s="332">
        <f>IFERROR(VLOOKUP(TEXT(O337,"0"),CONDUCTORES!$A$3:$G$54,7,0),"")</f>
        <v/>
      </c>
      <c r="L337" s="334" t="n"/>
      <c r="M337" s="334" t="n"/>
      <c r="N337" s="333">
        <f>IFERROR(IF(L337*M337=0,"",L337*M337),"")</f>
        <v/>
      </c>
      <c r="O337" s="334" t="n"/>
      <c r="P337" s="332">
        <f>IFERROR(VLOOKUP(TEXT(O337,"0"),CONDUCTORES!$A$3:$G$54,2,0),"")</f>
        <v/>
      </c>
      <c r="Q337" s="332">
        <f>IFERROR(VLOOKUP(TEXT(O337,"0"),CONDUCTORES!$A$3:$H$54,6,0),"")</f>
        <v/>
      </c>
      <c r="R337" s="334" t="n"/>
      <c r="S337" s="334" t="n"/>
      <c r="T337" s="334" t="n"/>
      <c r="U337" s="334" t="n"/>
      <c r="V337" s="334" t="n"/>
      <c r="W337" s="334" t="n"/>
      <c r="X337" s="334" t="n"/>
      <c r="Y337" s="334" t="n"/>
      <c r="Z337" s="375">
        <f>IF(AND(G337&lt;&gt;"",R337&lt;&gt;"",V337&lt;&gt;"",W337&lt;&gt;""),"COMPLETADO","OBSERVADO")</f>
        <v/>
      </c>
    </row>
    <row r="338" ht="15" customHeight="1" s="195">
      <c r="A338" s="280" t="n"/>
      <c r="B338" s="280" t="n"/>
      <c r="C338" s="280" t="n"/>
      <c r="D338" s="280" t="n"/>
      <c r="E338" s="280" t="n"/>
      <c r="F338" s="280" t="n"/>
      <c r="G338" s="280" t="n"/>
      <c r="H338" s="280" t="n"/>
      <c r="I338" s="332">
        <f>IFERROR(VLOOKUP(TEXT(H338,"0"),IPRESS!$A$3:$B$212,2,0),"")</f>
        <v/>
      </c>
      <c r="J338" s="280" t="n"/>
      <c r="K338" s="332">
        <f>IFERROR(VLOOKUP(TEXT(O338,"0"),CONDUCTORES!$A$3:$G$54,7,0),"")</f>
        <v/>
      </c>
      <c r="L338" s="280" t="n"/>
      <c r="M338" s="280" t="n"/>
      <c r="N338" s="333">
        <f>IFERROR(IF(L338*M338=0,"",L338*M338),"")</f>
        <v/>
      </c>
      <c r="O338" s="280" t="n"/>
      <c r="P338" s="332">
        <f>IFERROR(VLOOKUP(TEXT(O338,"0"),CONDUCTORES!$A$3:$G$54,2,0),"")</f>
        <v/>
      </c>
      <c r="Q338" s="332">
        <f>IFERROR(VLOOKUP(TEXT(O338,"0"),CONDUCTORES!$A$3:$H$54,6,0),"")</f>
        <v/>
      </c>
      <c r="R338" s="280" t="n"/>
      <c r="S338" s="280" t="n"/>
      <c r="T338" s="280" t="n"/>
      <c r="U338" s="280" t="n"/>
      <c r="V338" s="280" t="n"/>
      <c r="W338" s="280" t="n"/>
      <c r="X338" s="280" t="n"/>
      <c r="Y338" s="280" t="n"/>
      <c r="Z338" s="375">
        <f>IF(AND(G338&lt;&gt;"",R338&lt;&gt;"",V338&lt;&gt;"",W338&lt;&gt;""),"COMPLETADO","OBSERVADO")</f>
        <v/>
      </c>
    </row>
    <row r="339" ht="15" customHeight="1" s="195">
      <c r="A339" s="334" t="n"/>
      <c r="B339" s="334" t="n"/>
      <c r="C339" s="334" t="n"/>
      <c r="D339" s="334" t="n"/>
      <c r="E339" s="334" t="n"/>
      <c r="F339" s="334" t="n"/>
      <c r="G339" s="334" t="n"/>
      <c r="H339" s="334" t="n"/>
      <c r="I339" s="332">
        <f>IFERROR(VLOOKUP(TEXT(H339,"0"),IPRESS!$A$3:$B$212,2,0),"")</f>
        <v/>
      </c>
      <c r="J339" s="334" t="n"/>
      <c r="K339" s="332">
        <f>IFERROR(VLOOKUP(TEXT(O339,"0"),CONDUCTORES!$A$3:$G$54,7,0),"")</f>
        <v/>
      </c>
      <c r="L339" s="334" t="n"/>
      <c r="M339" s="334" t="n"/>
      <c r="N339" s="333">
        <f>IFERROR(IF(L339*M339=0,"",L339*M339),"")</f>
        <v/>
      </c>
      <c r="O339" s="334" t="n"/>
      <c r="P339" s="332">
        <f>IFERROR(VLOOKUP(TEXT(O339,"0"),CONDUCTORES!$A$3:$G$54,2,0),"")</f>
        <v/>
      </c>
      <c r="Q339" s="332">
        <f>IFERROR(VLOOKUP(TEXT(O339,"0"),CONDUCTORES!$A$3:$H$54,6,0),"")</f>
        <v/>
      </c>
      <c r="R339" s="334" t="n"/>
      <c r="S339" s="334" t="n"/>
      <c r="T339" s="334" t="n"/>
      <c r="U339" s="334" t="n"/>
      <c r="V339" s="334" t="n"/>
      <c r="W339" s="334" t="n"/>
      <c r="X339" s="334" t="n"/>
      <c r="Y339" s="334" t="n"/>
      <c r="Z339" s="375">
        <f>IF(AND(G339&lt;&gt;"",R339&lt;&gt;"",V339&lt;&gt;"",W339&lt;&gt;""),"COMPLETADO","OBSERVADO")</f>
        <v/>
      </c>
    </row>
    <row r="340" ht="15" customHeight="1" s="195">
      <c r="A340" s="280" t="n"/>
      <c r="B340" s="280" t="n"/>
      <c r="C340" s="280" t="n"/>
      <c r="D340" s="280" t="n"/>
      <c r="E340" s="280" t="n"/>
      <c r="F340" s="280" t="n"/>
      <c r="G340" s="280" t="n"/>
      <c r="H340" s="280" t="n"/>
      <c r="I340" s="332">
        <f>IFERROR(VLOOKUP(TEXT(H340,"0"),IPRESS!$A$3:$B$212,2,0),"")</f>
        <v/>
      </c>
      <c r="J340" s="280" t="n"/>
      <c r="K340" s="332">
        <f>IFERROR(VLOOKUP(TEXT(O340,"0"),CONDUCTORES!$A$3:$G$54,7,0),"")</f>
        <v/>
      </c>
      <c r="L340" s="280" t="n"/>
      <c r="M340" s="280" t="n"/>
      <c r="N340" s="333">
        <f>IFERROR(IF(L340*M340=0,"",L340*M340),"")</f>
        <v/>
      </c>
      <c r="O340" s="280" t="n"/>
      <c r="P340" s="332">
        <f>IFERROR(VLOOKUP(TEXT(O340,"0"),CONDUCTORES!$A$3:$G$54,2,0),"")</f>
        <v/>
      </c>
      <c r="Q340" s="332">
        <f>IFERROR(VLOOKUP(TEXT(O340,"0"),CONDUCTORES!$A$3:$H$54,6,0),"")</f>
        <v/>
      </c>
      <c r="R340" s="280" t="n"/>
      <c r="S340" s="280" t="n"/>
      <c r="T340" s="280" t="n"/>
      <c r="U340" s="280" t="n"/>
      <c r="V340" s="280" t="n"/>
      <c r="W340" s="280" t="n"/>
      <c r="X340" s="280" t="n"/>
      <c r="Y340" s="280" t="n"/>
      <c r="Z340" s="375">
        <f>IF(AND(G340&lt;&gt;"",R340&lt;&gt;"",V340&lt;&gt;"",W340&lt;&gt;""),"COMPLETADO","OBSERVADO")</f>
        <v/>
      </c>
    </row>
    <row r="341" ht="15" customHeight="1" s="195">
      <c r="A341" s="334" t="n"/>
      <c r="B341" s="334" t="n"/>
      <c r="C341" s="334" t="n"/>
      <c r="D341" s="334" t="n"/>
      <c r="E341" s="334" t="n"/>
      <c r="F341" s="334" t="n"/>
      <c r="G341" s="334" t="n"/>
      <c r="H341" s="334" t="n"/>
      <c r="I341" s="332">
        <f>IFERROR(VLOOKUP(TEXT(H341,"0"),IPRESS!$A$3:$B$212,2,0),"")</f>
        <v/>
      </c>
      <c r="J341" s="334" t="n"/>
      <c r="K341" s="332">
        <f>IFERROR(VLOOKUP(TEXT(O341,"0"),CONDUCTORES!$A$3:$G$54,7,0),"")</f>
        <v/>
      </c>
      <c r="L341" s="334" t="n"/>
      <c r="M341" s="334" t="n"/>
      <c r="N341" s="333">
        <f>IFERROR(IF(L341*M341=0,"",L341*M341),"")</f>
        <v/>
      </c>
      <c r="O341" s="334" t="n"/>
      <c r="P341" s="332">
        <f>IFERROR(VLOOKUP(TEXT(O341,"0"),CONDUCTORES!$A$3:$G$54,2,0),"")</f>
        <v/>
      </c>
      <c r="Q341" s="332">
        <f>IFERROR(VLOOKUP(TEXT(O341,"0"),CONDUCTORES!$A$3:$H$54,6,0),"")</f>
        <v/>
      </c>
      <c r="R341" s="334" t="n"/>
      <c r="S341" s="334" t="n"/>
      <c r="T341" s="334" t="n"/>
      <c r="U341" s="334" t="n"/>
      <c r="V341" s="334" t="n"/>
      <c r="W341" s="334" t="n"/>
      <c r="X341" s="334" t="n"/>
      <c r="Y341" s="334" t="n"/>
      <c r="Z341" s="375">
        <f>IF(AND(G341&lt;&gt;"",R341&lt;&gt;"",V341&lt;&gt;"",W341&lt;&gt;""),"COMPLETADO","OBSERVADO")</f>
        <v/>
      </c>
    </row>
    <row r="342" ht="15" customHeight="1" s="195">
      <c r="A342" s="280" t="n"/>
      <c r="B342" s="280" t="n"/>
      <c r="C342" s="280" t="n"/>
      <c r="D342" s="280" t="n"/>
      <c r="E342" s="280" t="n"/>
      <c r="F342" s="280" t="n"/>
      <c r="G342" s="280" t="n"/>
      <c r="H342" s="280" t="n"/>
      <c r="I342" s="332">
        <f>IFERROR(VLOOKUP(TEXT(H342,"0"),IPRESS!$A$3:$B$212,2,0),"")</f>
        <v/>
      </c>
      <c r="J342" s="280" t="n"/>
      <c r="K342" s="332">
        <f>IFERROR(VLOOKUP(TEXT(O342,"0"),CONDUCTORES!$A$3:$G$54,7,0),"")</f>
        <v/>
      </c>
      <c r="L342" s="280" t="n"/>
      <c r="M342" s="280" t="n"/>
      <c r="N342" s="333">
        <f>IFERROR(IF(L342*M342=0,"",L342*M342),"")</f>
        <v/>
      </c>
      <c r="O342" s="280" t="n"/>
      <c r="P342" s="332">
        <f>IFERROR(VLOOKUP(TEXT(O342,"0"),CONDUCTORES!$A$3:$G$54,2,0),"")</f>
        <v/>
      </c>
      <c r="Q342" s="332">
        <f>IFERROR(VLOOKUP(TEXT(O342,"0"),CONDUCTORES!$A$3:$H$54,6,0),"")</f>
        <v/>
      </c>
      <c r="R342" s="280" t="n"/>
      <c r="S342" s="280" t="n"/>
      <c r="T342" s="280" t="n"/>
      <c r="U342" s="280" t="n"/>
      <c r="V342" s="280" t="n"/>
      <c r="W342" s="280" t="n"/>
      <c r="X342" s="280" t="n"/>
      <c r="Y342" s="280" t="n"/>
      <c r="Z342" s="375">
        <f>IF(AND(G342&lt;&gt;"",R342&lt;&gt;"",V342&lt;&gt;"",W342&lt;&gt;""),"COMPLETADO","OBSERVADO")</f>
        <v/>
      </c>
    </row>
    <row r="343" ht="15" customHeight="1" s="195">
      <c r="A343" s="334" t="n"/>
      <c r="B343" s="334" t="n"/>
      <c r="C343" s="334" t="n"/>
      <c r="D343" s="334" t="n"/>
      <c r="E343" s="334" t="n"/>
      <c r="F343" s="334" t="n"/>
      <c r="G343" s="334" t="n"/>
      <c r="H343" s="334" t="n"/>
      <c r="I343" s="332">
        <f>IFERROR(VLOOKUP(TEXT(H343,"0"),IPRESS!$A$3:$B$212,2,0),"")</f>
        <v/>
      </c>
      <c r="J343" s="334" t="n"/>
      <c r="K343" s="332">
        <f>IFERROR(VLOOKUP(TEXT(O343,"0"),CONDUCTORES!$A$3:$G$54,7,0),"")</f>
        <v/>
      </c>
      <c r="L343" s="334" t="n"/>
      <c r="M343" s="334" t="n"/>
      <c r="N343" s="333">
        <f>IFERROR(IF(L343*M343=0,"",L343*M343),"")</f>
        <v/>
      </c>
      <c r="O343" s="334" t="n"/>
      <c r="P343" s="332">
        <f>IFERROR(VLOOKUP(TEXT(O343,"0"),CONDUCTORES!$A$3:$G$54,2,0),"")</f>
        <v/>
      </c>
      <c r="Q343" s="332">
        <f>IFERROR(VLOOKUP(TEXT(O343,"0"),CONDUCTORES!$A$3:$H$54,6,0),"")</f>
        <v/>
      </c>
      <c r="R343" s="334" t="n"/>
      <c r="S343" s="334" t="n"/>
      <c r="T343" s="334" t="n"/>
      <c r="U343" s="334" t="n"/>
      <c r="V343" s="334" t="n"/>
      <c r="W343" s="334" t="n"/>
      <c r="X343" s="334" t="n"/>
      <c r="Y343" s="334" t="n"/>
      <c r="Z343" s="375">
        <f>IF(AND(G343&lt;&gt;"",R343&lt;&gt;"",V343&lt;&gt;"",W343&lt;&gt;""),"COMPLETADO","OBSERVADO")</f>
        <v/>
      </c>
    </row>
    <row r="344" ht="15" customHeight="1" s="195">
      <c r="A344" s="280" t="n"/>
      <c r="B344" s="280" t="n"/>
      <c r="C344" s="280" t="n"/>
      <c r="D344" s="280" t="n"/>
      <c r="E344" s="280" t="n"/>
      <c r="F344" s="280" t="n"/>
      <c r="G344" s="280" t="n"/>
      <c r="H344" s="280" t="n"/>
      <c r="I344" s="332">
        <f>IFERROR(VLOOKUP(TEXT(H344,"0"),IPRESS!$A$3:$B$212,2,0),"")</f>
        <v/>
      </c>
      <c r="J344" s="280" t="n"/>
      <c r="K344" s="332">
        <f>IFERROR(VLOOKUP(TEXT(O344,"0"),CONDUCTORES!$A$3:$G$54,7,0),"")</f>
        <v/>
      </c>
      <c r="L344" s="280" t="n"/>
      <c r="M344" s="280" t="n"/>
      <c r="N344" s="333">
        <f>IFERROR(IF(L344*M344=0,"",L344*M344),"")</f>
        <v/>
      </c>
      <c r="O344" s="280" t="n"/>
      <c r="P344" s="332">
        <f>IFERROR(VLOOKUP(TEXT(O344,"0"),CONDUCTORES!$A$3:$G$54,2,0),"")</f>
        <v/>
      </c>
      <c r="Q344" s="332">
        <f>IFERROR(VLOOKUP(TEXT(O344,"0"),CONDUCTORES!$A$3:$H$54,6,0),"")</f>
        <v/>
      </c>
      <c r="R344" s="280" t="n"/>
      <c r="S344" s="280" t="n"/>
      <c r="T344" s="280" t="n"/>
      <c r="U344" s="280" t="n"/>
      <c r="V344" s="280" t="n"/>
      <c r="W344" s="280" t="n"/>
      <c r="X344" s="280" t="n"/>
      <c r="Y344" s="280" t="n"/>
      <c r="Z344" s="375">
        <f>IF(AND(G344&lt;&gt;"",R344&lt;&gt;"",V344&lt;&gt;"",W344&lt;&gt;""),"COMPLETADO","OBSERVADO")</f>
        <v/>
      </c>
    </row>
    <row r="345" ht="15" customHeight="1" s="195">
      <c r="A345" s="334" t="n"/>
      <c r="B345" s="334" t="n"/>
      <c r="C345" s="334" t="n"/>
      <c r="D345" s="334" t="n"/>
      <c r="E345" s="334" t="n"/>
      <c r="F345" s="334" t="n"/>
      <c r="G345" s="334" t="n"/>
      <c r="H345" s="334" t="n"/>
      <c r="I345" s="332">
        <f>IFERROR(VLOOKUP(TEXT(H345,"0"),IPRESS!$A$3:$B$212,2,0),"")</f>
        <v/>
      </c>
      <c r="J345" s="334" t="n"/>
      <c r="K345" s="332">
        <f>IFERROR(VLOOKUP(TEXT(O345,"0"),CONDUCTORES!$A$3:$G$54,7,0),"")</f>
        <v/>
      </c>
      <c r="L345" s="334" t="n"/>
      <c r="M345" s="334" t="n"/>
      <c r="N345" s="333">
        <f>IFERROR(IF(L345*M345=0,"",L345*M345),"")</f>
        <v/>
      </c>
      <c r="O345" s="334" t="n"/>
      <c r="P345" s="332">
        <f>IFERROR(VLOOKUP(TEXT(O345,"0"),CONDUCTORES!$A$3:$G$54,2,0),"")</f>
        <v/>
      </c>
      <c r="Q345" s="332">
        <f>IFERROR(VLOOKUP(TEXT(O345,"0"),CONDUCTORES!$A$3:$H$54,6,0),"")</f>
        <v/>
      </c>
      <c r="R345" s="334" t="n"/>
      <c r="S345" s="334" t="n"/>
      <c r="T345" s="334" t="n"/>
      <c r="U345" s="334" t="n"/>
      <c r="V345" s="334" t="n"/>
      <c r="W345" s="334" t="n"/>
      <c r="X345" s="334" t="n"/>
      <c r="Y345" s="334" t="n"/>
      <c r="Z345" s="375">
        <f>IF(AND(G345&lt;&gt;"",R345&lt;&gt;"",V345&lt;&gt;"",W345&lt;&gt;""),"COMPLETADO","OBSERVADO")</f>
        <v/>
      </c>
    </row>
    <row r="346" ht="15" customHeight="1" s="195">
      <c r="A346" s="280" t="n"/>
      <c r="B346" s="280" t="n"/>
      <c r="C346" s="280" t="n"/>
      <c r="D346" s="280" t="n"/>
      <c r="E346" s="280" t="n"/>
      <c r="F346" s="280" t="n"/>
      <c r="G346" s="280" t="n"/>
      <c r="H346" s="280" t="n"/>
      <c r="I346" s="332">
        <f>IFERROR(VLOOKUP(TEXT(H346,"0"),IPRESS!$A$3:$B$212,2,0),"")</f>
        <v/>
      </c>
      <c r="J346" s="280" t="n"/>
      <c r="K346" s="332">
        <f>IFERROR(VLOOKUP(TEXT(O346,"0"),CONDUCTORES!$A$3:$G$54,7,0),"")</f>
        <v/>
      </c>
      <c r="L346" s="280" t="n"/>
      <c r="M346" s="280" t="n"/>
      <c r="N346" s="333">
        <f>IFERROR(IF(L346*M346=0,"",L346*M346),"")</f>
        <v/>
      </c>
      <c r="O346" s="280" t="n"/>
      <c r="P346" s="332">
        <f>IFERROR(VLOOKUP(TEXT(O346,"0"),CONDUCTORES!$A$3:$G$54,2,0),"")</f>
        <v/>
      </c>
      <c r="Q346" s="332">
        <f>IFERROR(VLOOKUP(TEXT(O346,"0"),CONDUCTORES!$A$3:$H$54,6,0),"")</f>
        <v/>
      </c>
      <c r="R346" s="280" t="n"/>
      <c r="S346" s="280" t="n"/>
      <c r="T346" s="280" t="n"/>
      <c r="U346" s="280" t="n"/>
      <c r="V346" s="280" t="n"/>
      <c r="W346" s="280" t="n"/>
      <c r="X346" s="280" t="n"/>
      <c r="Y346" s="280" t="n"/>
      <c r="Z346" s="375">
        <f>IF(AND(G346&lt;&gt;"",R346&lt;&gt;"",V346&lt;&gt;"",W346&lt;&gt;""),"COMPLETADO","OBSERVADO")</f>
        <v/>
      </c>
    </row>
    <row r="347" ht="15" customHeight="1" s="195">
      <c r="A347" s="334" t="n"/>
      <c r="B347" s="334" t="n"/>
      <c r="C347" s="334" t="n"/>
      <c r="D347" s="334" t="n"/>
      <c r="E347" s="334" t="n"/>
      <c r="F347" s="334" t="n"/>
      <c r="G347" s="334" t="n"/>
      <c r="H347" s="334" t="n"/>
      <c r="I347" s="332">
        <f>IFERROR(VLOOKUP(TEXT(H347,"0"),IPRESS!$A$3:$B$212,2,0),"")</f>
        <v/>
      </c>
      <c r="J347" s="334" t="n"/>
      <c r="K347" s="332">
        <f>IFERROR(VLOOKUP(TEXT(O347,"0"),CONDUCTORES!$A$3:$G$54,7,0),"")</f>
        <v/>
      </c>
      <c r="L347" s="334" t="n"/>
      <c r="M347" s="334" t="n"/>
      <c r="N347" s="333">
        <f>IFERROR(IF(L347*M347=0,"",L347*M347),"")</f>
        <v/>
      </c>
      <c r="O347" s="334" t="n"/>
      <c r="P347" s="332">
        <f>IFERROR(VLOOKUP(TEXT(O347,"0"),CONDUCTORES!$A$3:$G$54,2,0),"")</f>
        <v/>
      </c>
      <c r="Q347" s="332">
        <f>IFERROR(VLOOKUP(TEXT(O347,"0"),CONDUCTORES!$A$3:$H$54,6,0),"")</f>
        <v/>
      </c>
      <c r="R347" s="334" t="n"/>
      <c r="S347" s="334" t="n"/>
      <c r="T347" s="334" t="n"/>
      <c r="U347" s="334" t="n"/>
      <c r="V347" s="334" t="n"/>
      <c r="W347" s="334" t="n"/>
      <c r="X347" s="334" t="n"/>
      <c r="Y347" s="334" t="n"/>
      <c r="Z347" s="375">
        <f>IF(AND(G347&lt;&gt;"",R347&lt;&gt;"",V347&lt;&gt;"",W347&lt;&gt;""),"COMPLETADO","OBSERVADO")</f>
        <v/>
      </c>
    </row>
    <row r="348" ht="15" customHeight="1" s="195">
      <c r="A348" s="280" t="n"/>
      <c r="B348" s="280" t="n"/>
      <c r="C348" s="280" t="n"/>
      <c r="D348" s="280" t="n"/>
      <c r="E348" s="280" t="n"/>
      <c r="F348" s="280" t="n"/>
      <c r="G348" s="280" t="n"/>
      <c r="H348" s="280" t="n"/>
      <c r="I348" s="332">
        <f>IFERROR(VLOOKUP(TEXT(H348,"0"),IPRESS!$A$3:$B$212,2,0),"")</f>
        <v/>
      </c>
      <c r="J348" s="280" t="n"/>
      <c r="K348" s="332">
        <f>IFERROR(VLOOKUP(TEXT(O348,"0"),CONDUCTORES!$A$3:$G$54,7,0),"")</f>
        <v/>
      </c>
      <c r="L348" s="280" t="n"/>
      <c r="M348" s="280" t="n"/>
      <c r="N348" s="333">
        <f>IFERROR(IF(L348*M348=0,"",L348*M348),"")</f>
        <v/>
      </c>
      <c r="O348" s="280" t="n"/>
      <c r="P348" s="332">
        <f>IFERROR(VLOOKUP(TEXT(O348,"0"),CONDUCTORES!$A$3:$G$54,2,0),"")</f>
        <v/>
      </c>
      <c r="Q348" s="332">
        <f>IFERROR(VLOOKUP(TEXT(O348,"0"),CONDUCTORES!$A$3:$H$54,6,0),"")</f>
        <v/>
      </c>
      <c r="R348" s="280" t="n"/>
      <c r="S348" s="280" t="n"/>
      <c r="T348" s="280" t="n"/>
      <c r="U348" s="280" t="n"/>
      <c r="V348" s="280" t="n"/>
      <c r="W348" s="280" t="n"/>
      <c r="X348" s="280" t="n"/>
      <c r="Y348" s="280" t="n"/>
      <c r="Z348" s="375">
        <f>IF(AND(G348&lt;&gt;"",R348&lt;&gt;"",V348&lt;&gt;"",W348&lt;&gt;""),"COMPLETADO","OBSERVADO")</f>
        <v/>
      </c>
    </row>
    <row r="349" ht="15" customHeight="1" s="195">
      <c r="A349" s="334" t="n"/>
      <c r="B349" s="334" t="n"/>
      <c r="C349" s="334" t="n"/>
      <c r="D349" s="334" t="n"/>
      <c r="E349" s="334" t="n"/>
      <c r="F349" s="334" t="n"/>
      <c r="G349" s="334" t="n"/>
      <c r="H349" s="334" t="n"/>
      <c r="I349" s="332">
        <f>IFERROR(VLOOKUP(TEXT(H349,"0"),IPRESS!$A$3:$B$212,2,0),"")</f>
        <v/>
      </c>
      <c r="J349" s="334" t="n"/>
      <c r="K349" s="332">
        <f>IFERROR(VLOOKUP(TEXT(O349,"0"),CONDUCTORES!$A$3:$G$54,7,0),"")</f>
        <v/>
      </c>
      <c r="L349" s="334" t="n"/>
      <c r="M349" s="334" t="n"/>
      <c r="N349" s="333">
        <f>IFERROR(IF(L349*M349=0,"",L349*M349),"")</f>
        <v/>
      </c>
      <c r="O349" s="334" t="n"/>
      <c r="P349" s="332">
        <f>IFERROR(VLOOKUP(TEXT(O349,"0"),CONDUCTORES!$A$3:$G$54,2,0),"")</f>
        <v/>
      </c>
      <c r="Q349" s="332">
        <f>IFERROR(VLOOKUP(TEXT(O349,"0"),CONDUCTORES!$A$3:$H$54,6,0),"")</f>
        <v/>
      </c>
      <c r="R349" s="334" t="n"/>
      <c r="S349" s="334" t="n"/>
      <c r="T349" s="334" t="n"/>
      <c r="U349" s="334" t="n"/>
      <c r="V349" s="334" t="n"/>
      <c r="W349" s="334" t="n"/>
      <c r="X349" s="334" t="n"/>
      <c r="Y349" s="334" t="n"/>
      <c r="Z349" s="375">
        <f>IF(AND(G349&lt;&gt;"",R349&lt;&gt;"",V349&lt;&gt;"",W349&lt;&gt;""),"COMPLETADO","OBSERVADO")</f>
        <v/>
      </c>
    </row>
    <row r="350" ht="15" customHeight="1" s="195">
      <c r="A350" s="280" t="n"/>
      <c r="B350" s="280" t="n"/>
      <c r="C350" s="280" t="n"/>
      <c r="D350" s="280" t="n"/>
      <c r="E350" s="280" t="n"/>
      <c r="F350" s="280" t="n"/>
      <c r="G350" s="280" t="n"/>
      <c r="H350" s="280" t="n"/>
      <c r="I350" s="332">
        <f>IFERROR(VLOOKUP(TEXT(H350,"0"),IPRESS!$A$3:$B$212,2,0),"")</f>
        <v/>
      </c>
      <c r="J350" s="280" t="n"/>
      <c r="K350" s="332">
        <f>IFERROR(VLOOKUP(TEXT(O350,"0"),CONDUCTORES!$A$3:$G$54,7,0),"")</f>
        <v/>
      </c>
      <c r="L350" s="280" t="n"/>
      <c r="M350" s="280" t="n"/>
      <c r="N350" s="333">
        <f>IFERROR(IF(L350*M350=0,"",L350*M350),"")</f>
        <v/>
      </c>
      <c r="O350" s="280" t="n"/>
      <c r="P350" s="332">
        <f>IFERROR(VLOOKUP(TEXT(O350,"0"),CONDUCTORES!$A$3:$G$54,2,0),"")</f>
        <v/>
      </c>
      <c r="Q350" s="332">
        <f>IFERROR(VLOOKUP(TEXT(O350,"0"),CONDUCTORES!$A$3:$H$54,6,0),"")</f>
        <v/>
      </c>
      <c r="R350" s="280" t="n"/>
      <c r="S350" s="280" t="n"/>
      <c r="T350" s="280" t="n"/>
      <c r="U350" s="280" t="n"/>
      <c r="V350" s="280" t="n"/>
      <c r="W350" s="280" t="n"/>
      <c r="X350" s="280" t="n"/>
      <c r="Y350" s="280" t="n"/>
      <c r="Z350" s="375">
        <f>IF(AND(G350&lt;&gt;"",R350&lt;&gt;"",V350&lt;&gt;"",W350&lt;&gt;""),"COMPLETADO","OBSERVADO")</f>
        <v/>
      </c>
    </row>
    <row r="351" ht="15" customHeight="1" s="195">
      <c r="A351" s="334" t="n"/>
      <c r="B351" s="334" t="n"/>
      <c r="C351" s="334" t="n"/>
      <c r="D351" s="334" t="n"/>
      <c r="E351" s="334" t="n"/>
      <c r="F351" s="334" t="n"/>
      <c r="G351" s="334" t="n"/>
      <c r="H351" s="334" t="n"/>
      <c r="I351" s="332">
        <f>IFERROR(VLOOKUP(TEXT(H351,"0"),IPRESS!$A$3:$B$212,2,0),"")</f>
        <v/>
      </c>
      <c r="J351" s="334" t="n"/>
      <c r="K351" s="332">
        <f>IFERROR(VLOOKUP(TEXT(O351,"0"),CONDUCTORES!$A$3:$G$54,7,0),"")</f>
        <v/>
      </c>
      <c r="L351" s="334" t="n"/>
      <c r="M351" s="334" t="n"/>
      <c r="N351" s="333">
        <f>IFERROR(IF(L351*M351=0,"",L351*M351),"")</f>
        <v/>
      </c>
      <c r="O351" s="334" t="n"/>
      <c r="P351" s="332">
        <f>IFERROR(VLOOKUP(TEXT(O351,"0"),CONDUCTORES!$A$3:$G$54,2,0),"")</f>
        <v/>
      </c>
      <c r="Q351" s="332">
        <f>IFERROR(VLOOKUP(TEXT(O351,"0"),CONDUCTORES!$A$3:$H$54,6,0),"")</f>
        <v/>
      </c>
      <c r="R351" s="334" t="n"/>
      <c r="S351" s="334" t="n"/>
      <c r="T351" s="334" t="n"/>
      <c r="U351" s="334" t="n"/>
      <c r="V351" s="334" t="n"/>
      <c r="W351" s="334" t="n"/>
      <c r="X351" s="334" t="n"/>
      <c r="Y351" s="334" t="n"/>
      <c r="Z351" s="375">
        <f>IF(AND(G351&lt;&gt;"",R351&lt;&gt;"",V351&lt;&gt;"",W351&lt;&gt;""),"COMPLETADO","OBSERVADO")</f>
        <v/>
      </c>
    </row>
    <row r="352" ht="15" customHeight="1" s="195">
      <c r="A352" s="280" t="n"/>
      <c r="B352" s="280" t="n"/>
      <c r="C352" s="280" t="n"/>
      <c r="D352" s="280" t="n"/>
      <c r="E352" s="280" t="n"/>
      <c r="F352" s="280" t="n"/>
      <c r="G352" s="280" t="n"/>
      <c r="H352" s="280" t="n"/>
      <c r="I352" s="332">
        <f>IFERROR(VLOOKUP(TEXT(H352,"0"),IPRESS!$A$3:$B$212,2,0),"")</f>
        <v/>
      </c>
      <c r="J352" s="280" t="n"/>
      <c r="K352" s="332">
        <f>IFERROR(VLOOKUP(TEXT(O352,"0"),CONDUCTORES!$A$3:$G$54,7,0),"")</f>
        <v/>
      </c>
      <c r="L352" s="280" t="n"/>
      <c r="M352" s="280" t="n"/>
      <c r="N352" s="333">
        <f>IFERROR(IF(L352*M352=0,"",L352*M352),"")</f>
        <v/>
      </c>
      <c r="O352" s="280" t="n"/>
      <c r="P352" s="332">
        <f>IFERROR(VLOOKUP(TEXT(O352,"0"),CONDUCTORES!$A$3:$G$54,2,0),"")</f>
        <v/>
      </c>
      <c r="Q352" s="332">
        <f>IFERROR(VLOOKUP(TEXT(O352,"0"),CONDUCTORES!$A$3:$H$54,6,0),"")</f>
        <v/>
      </c>
      <c r="R352" s="280" t="n"/>
      <c r="S352" s="280" t="n"/>
      <c r="T352" s="280" t="n"/>
      <c r="U352" s="280" t="n"/>
      <c r="V352" s="280" t="n"/>
      <c r="W352" s="280" t="n"/>
      <c r="X352" s="280" t="n"/>
      <c r="Y352" s="280" t="n"/>
      <c r="Z352" s="375">
        <f>IF(AND(G352&lt;&gt;"",R352&lt;&gt;"",V352&lt;&gt;"",W352&lt;&gt;""),"COMPLETADO","OBSERVADO")</f>
        <v/>
      </c>
    </row>
    <row r="353" ht="15" customHeight="1" s="195">
      <c r="A353" s="334" t="n"/>
      <c r="B353" s="334" t="n"/>
      <c r="C353" s="334" t="n"/>
      <c r="D353" s="334" t="n"/>
      <c r="E353" s="334" t="n"/>
      <c r="F353" s="334" t="n"/>
      <c r="G353" s="334" t="n"/>
      <c r="H353" s="334" t="n"/>
      <c r="I353" s="332">
        <f>IFERROR(VLOOKUP(TEXT(H353,"0"),IPRESS!$A$3:$B$212,2,0),"")</f>
        <v/>
      </c>
      <c r="J353" s="334" t="n"/>
      <c r="K353" s="332">
        <f>IFERROR(VLOOKUP(TEXT(O353,"0"),CONDUCTORES!$A$3:$G$54,7,0),"")</f>
        <v/>
      </c>
      <c r="L353" s="334" t="n"/>
      <c r="M353" s="334" t="n"/>
      <c r="N353" s="333">
        <f>IFERROR(IF(L353*M353=0,"",L353*M353),"")</f>
        <v/>
      </c>
      <c r="O353" s="334" t="n"/>
      <c r="P353" s="332">
        <f>IFERROR(VLOOKUP(TEXT(O353,"0"),CONDUCTORES!$A$3:$G$54,2,0),"")</f>
        <v/>
      </c>
      <c r="Q353" s="332">
        <f>IFERROR(VLOOKUP(TEXT(O353,"0"),CONDUCTORES!$A$3:$H$54,6,0),"")</f>
        <v/>
      </c>
      <c r="R353" s="334" t="n"/>
      <c r="S353" s="334" t="n"/>
      <c r="T353" s="334" t="n"/>
      <c r="U353" s="334" t="n"/>
      <c r="V353" s="334" t="n"/>
      <c r="W353" s="334" t="n"/>
      <c r="X353" s="334" t="n"/>
      <c r="Y353" s="334" t="n"/>
      <c r="Z353" s="375">
        <f>IF(AND(G353&lt;&gt;"",R353&lt;&gt;"",V353&lt;&gt;"",W353&lt;&gt;""),"COMPLETADO","OBSERVADO")</f>
        <v/>
      </c>
    </row>
    <row r="354" ht="15" customHeight="1" s="195">
      <c r="A354" s="280" t="n"/>
      <c r="B354" s="280" t="n"/>
      <c r="C354" s="280" t="n"/>
      <c r="D354" s="280" t="n"/>
      <c r="E354" s="280" t="n"/>
      <c r="F354" s="280" t="n"/>
      <c r="G354" s="280" t="n"/>
      <c r="H354" s="280" t="n"/>
      <c r="I354" s="332">
        <f>IFERROR(VLOOKUP(TEXT(H354,"0"),IPRESS!$A$3:$B$212,2,0),"")</f>
        <v/>
      </c>
      <c r="J354" s="280" t="n"/>
      <c r="K354" s="332">
        <f>IFERROR(VLOOKUP(TEXT(O354,"0"),CONDUCTORES!$A$3:$G$54,7,0),"")</f>
        <v/>
      </c>
      <c r="L354" s="280" t="n"/>
      <c r="M354" s="280" t="n"/>
      <c r="N354" s="333">
        <f>IFERROR(IF(L354*M354=0,"",L354*M354),"")</f>
        <v/>
      </c>
      <c r="O354" s="280" t="n"/>
      <c r="P354" s="332">
        <f>IFERROR(VLOOKUP(TEXT(O354,"0"),CONDUCTORES!$A$3:$G$54,2,0),"")</f>
        <v/>
      </c>
      <c r="Q354" s="332">
        <f>IFERROR(VLOOKUP(TEXT(O354,"0"),CONDUCTORES!$A$3:$H$54,6,0),"")</f>
        <v/>
      </c>
      <c r="R354" s="280" t="n"/>
      <c r="S354" s="280" t="n"/>
      <c r="T354" s="280" t="n"/>
      <c r="U354" s="280" t="n"/>
      <c r="V354" s="280" t="n"/>
      <c r="W354" s="280" t="n"/>
      <c r="X354" s="280" t="n"/>
      <c r="Y354" s="280" t="n"/>
      <c r="Z354" s="375">
        <f>IF(AND(G354&lt;&gt;"",R354&lt;&gt;"",V354&lt;&gt;"",W354&lt;&gt;""),"COMPLETADO","OBSERVADO")</f>
        <v/>
      </c>
    </row>
    <row r="355" ht="15" customHeight="1" s="195">
      <c r="A355" s="334" t="n"/>
      <c r="B355" s="334" t="n"/>
      <c r="C355" s="334" t="n"/>
      <c r="D355" s="334" t="n"/>
      <c r="E355" s="334" t="n"/>
      <c r="F355" s="334" t="n"/>
      <c r="G355" s="334" t="n"/>
      <c r="H355" s="334" t="n"/>
      <c r="I355" s="332">
        <f>IFERROR(VLOOKUP(TEXT(H355,"0"),IPRESS!$A$3:$B$212,2,0),"")</f>
        <v/>
      </c>
      <c r="J355" s="334" t="n"/>
      <c r="K355" s="332">
        <f>IFERROR(VLOOKUP(TEXT(O355,"0"),CONDUCTORES!$A$3:$G$54,7,0),"")</f>
        <v/>
      </c>
      <c r="L355" s="334" t="n"/>
      <c r="M355" s="334" t="n"/>
      <c r="N355" s="333">
        <f>IFERROR(IF(L355*M355=0,"",L355*M355),"")</f>
        <v/>
      </c>
      <c r="O355" s="334" t="n"/>
      <c r="P355" s="332">
        <f>IFERROR(VLOOKUP(TEXT(O355,"0"),CONDUCTORES!$A$3:$G$54,2,0),"")</f>
        <v/>
      </c>
      <c r="Q355" s="332">
        <f>IFERROR(VLOOKUP(TEXT(O355,"0"),CONDUCTORES!$A$3:$H$54,6,0),"")</f>
        <v/>
      </c>
      <c r="R355" s="334" t="n"/>
      <c r="S355" s="334" t="n"/>
      <c r="T355" s="334" t="n"/>
      <c r="U355" s="334" t="n"/>
      <c r="V355" s="334" t="n"/>
      <c r="W355" s="334" t="n"/>
      <c r="X355" s="334" t="n"/>
      <c r="Y355" s="334" t="n"/>
      <c r="Z355" s="375">
        <f>IF(AND(G355&lt;&gt;"",R355&lt;&gt;"",V355&lt;&gt;"",W355&lt;&gt;""),"COMPLETADO","OBSERVADO")</f>
        <v/>
      </c>
    </row>
    <row r="356" ht="15" customHeight="1" s="195">
      <c r="A356" s="280" t="n"/>
      <c r="B356" s="280" t="n"/>
      <c r="C356" s="280" t="n"/>
      <c r="D356" s="280" t="n"/>
      <c r="E356" s="280" t="n"/>
      <c r="F356" s="280" t="n"/>
      <c r="G356" s="280" t="n"/>
      <c r="H356" s="280" t="n"/>
      <c r="I356" s="332">
        <f>IFERROR(VLOOKUP(TEXT(H356,"0"),IPRESS!$A$3:$B$212,2,0),"")</f>
        <v/>
      </c>
      <c r="J356" s="280" t="n"/>
      <c r="K356" s="332">
        <f>IFERROR(VLOOKUP(TEXT(O356,"0"),CONDUCTORES!$A$3:$G$54,7,0),"")</f>
        <v/>
      </c>
      <c r="L356" s="280" t="n"/>
      <c r="M356" s="280" t="n"/>
      <c r="N356" s="333">
        <f>IFERROR(IF(L356*M356=0,"",L356*M356),"")</f>
        <v/>
      </c>
      <c r="O356" s="280" t="n"/>
      <c r="P356" s="332">
        <f>IFERROR(VLOOKUP(TEXT(O356,"0"),CONDUCTORES!$A$3:$G$54,2,0),"")</f>
        <v/>
      </c>
      <c r="Q356" s="332">
        <f>IFERROR(VLOOKUP(TEXT(O356,"0"),CONDUCTORES!$A$3:$H$54,6,0),"")</f>
        <v/>
      </c>
      <c r="R356" s="280" t="n"/>
      <c r="S356" s="280" t="n"/>
      <c r="T356" s="280" t="n"/>
      <c r="U356" s="280" t="n"/>
      <c r="V356" s="280" t="n"/>
      <c r="W356" s="280" t="n"/>
      <c r="X356" s="280" t="n"/>
      <c r="Y356" s="280" t="n"/>
      <c r="Z356" s="375">
        <f>IF(AND(G356&lt;&gt;"",R356&lt;&gt;"",V356&lt;&gt;"",W356&lt;&gt;""),"COMPLETADO","OBSERVADO")</f>
        <v/>
      </c>
    </row>
    <row r="357" ht="15" customHeight="1" s="195">
      <c r="A357" s="334" t="n"/>
      <c r="B357" s="334" t="n"/>
      <c r="C357" s="334" t="n"/>
      <c r="D357" s="334" t="n"/>
      <c r="E357" s="334" t="n"/>
      <c r="F357" s="334" t="n"/>
      <c r="G357" s="334" t="n"/>
      <c r="H357" s="334" t="n"/>
      <c r="I357" s="332">
        <f>IFERROR(VLOOKUP(TEXT(H357,"0"),IPRESS!$A$3:$B$212,2,0),"")</f>
        <v/>
      </c>
      <c r="J357" s="334" t="n"/>
      <c r="K357" s="332">
        <f>IFERROR(VLOOKUP(TEXT(O357,"0"),CONDUCTORES!$A$3:$G$54,7,0),"")</f>
        <v/>
      </c>
      <c r="L357" s="334" t="n"/>
      <c r="M357" s="334" t="n"/>
      <c r="N357" s="333">
        <f>IFERROR(IF(L357*M357=0,"",L357*M357),"")</f>
        <v/>
      </c>
      <c r="O357" s="334" t="n"/>
      <c r="P357" s="332">
        <f>IFERROR(VLOOKUP(TEXT(O357,"0"),CONDUCTORES!$A$3:$G$54,2,0),"")</f>
        <v/>
      </c>
      <c r="Q357" s="332">
        <f>IFERROR(VLOOKUP(TEXT(O357,"0"),CONDUCTORES!$A$3:$H$54,6,0),"")</f>
        <v/>
      </c>
      <c r="R357" s="334" t="n"/>
      <c r="S357" s="334" t="n"/>
      <c r="T357" s="334" t="n"/>
      <c r="U357" s="334" t="n"/>
      <c r="V357" s="334" t="n"/>
      <c r="W357" s="334" t="n"/>
      <c r="X357" s="334" t="n"/>
      <c r="Y357" s="334" t="n"/>
      <c r="Z357" s="375">
        <f>IF(AND(G357&lt;&gt;"",R357&lt;&gt;"",V357&lt;&gt;"",W357&lt;&gt;""),"COMPLETADO","OBSERVADO")</f>
        <v/>
      </c>
    </row>
    <row r="358" ht="15" customHeight="1" s="195">
      <c r="A358" s="280" t="n"/>
      <c r="B358" s="280" t="n"/>
      <c r="C358" s="280" t="n"/>
      <c r="D358" s="280" t="n"/>
      <c r="E358" s="280" t="n"/>
      <c r="F358" s="280" t="n"/>
      <c r="G358" s="280" t="n"/>
      <c r="H358" s="280" t="n"/>
      <c r="I358" s="332">
        <f>IFERROR(VLOOKUP(TEXT(H358,"0"),IPRESS!$A$3:$B$212,2,0),"")</f>
        <v/>
      </c>
      <c r="J358" s="280" t="n"/>
      <c r="K358" s="332">
        <f>IFERROR(VLOOKUP(TEXT(O358,"0"),CONDUCTORES!$A$3:$G$54,7,0),"")</f>
        <v/>
      </c>
      <c r="L358" s="280" t="n"/>
      <c r="M358" s="280" t="n"/>
      <c r="N358" s="333">
        <f>IFERROR(IF(L358*M358=0,"",L358*M358),"")</f>
        <v/>
      </c>
      <c r="O358" s="280" t="n"/>
      <c r="P358" s="332">
        <f>IFERROR(VLOOKUP(TEXT(O358,"0"),CONDUCTORES!$A$3:$G$54,2,0),"")</f>
        <v/>
      </c>
      <c r="Q358" s="332">
        <f>IFERROR(VLOOKUP(TEXT(O358,"0"),CONDUCTORES!$A$3:$H$54,6,0),"")</f>
        <v/>
      </c>
      <c r="R358" s="280" t="n"/>
      <c r="S358" s="280" t="n"/>
      <c r="T358" s="280" t="n"/>
      <c r="U358" s="280" t="n"/>
      <c r="V358" s="280" t="n"/>
      <c r="W358" s="280" t="n"/>
      <c r="X358" s="280" t="n"/>
      <c r="Y358" s="280" t="n"/>
      <c r="Z358" s="375">
        <f>IF(AND(G358&lt;&gt;"",R358&lt;&gt;"",V358&lt;&gt;"",W358&lt;&gt;""),"COMPLETADO","OBSERVADO")</f>
        <v/>
      </c>
    </row>
    <row r="359" ht="15" customHeight="1" s="195">
      <c r="A359" s="334" t="n"/>
      <c r="B359" s="334" t="n"/>
      <c r="C359" s="334" t="n"/>
      <c r="D359" s="334" t="n"/>
      <c r="E359" s="334" t="n"/>
      <c r="F359" s="334" t="n"/>
      <c r="G359" s="334" t="n"/>
      <c r="H359" s="334" t="n"/>
      <c r="I359" s="332">
        <f>IFERROR(VLOOKUP(TEXT(H359,"0"),IPRESS!$A$3:$B$212,2,0),"")</f>
        <v/>
      </c>
      <c r="J359" s="334" t="n"/>
      <c r="K359" s="332">
        <f>IFERROR(VLOOKUP(TEXT(O359,"0"),CONDUCTORES!$A$3:$G$54,7,0),"")</f>
        <v/>
      </c>
      <c r="L359" s="334" t="n"/>
      <c r="M359" s="334" t="n"/>
      <c r="N359" s="333">
        <f>IFERROR(IF(L359*M359=0,"",L359*M359),"")</f>
        <v/>
      </c>
      <c r="O359" s="334" t="n"/>
      <c r="P359" s="332">
        <f>IFERROR(VLOOKUP(TEXT(O359,"0"),CONDUCTORES!$A$3:$G$54,2,0),"")</f>
        <v/>
      </c>
      <c r="Q359" s="332">
        <f>IFERROR(VLOOKUP(TEXT(O359,"0"),CONDUCTORES!$A$3:$H$54,6,0),"")</f>
        <v/>
      </c>
      <c r="R359" s="334" t="n"/>
      <c r="S359" s="334" t="n"/>
      <c r="T359" s="334" t="n"/>
      <c r="U359" s="334" t="n"/>
      <c r="V359" s="334" t="n"/>
      <c r="W359" s="334" t="n"/>
      <c r="X359" s="334" t="n"/>
      <c r="Y359" s="334" t="n"/>
      <c r="Z359" s="375">
        <f>IF(AND(G359&lt;&gt;"",R359&lt;&gt;"",V359&lt;&gt;"",W359&lt;&gt;""),"COMPLETADO","OBSERVADO")</f>
        <v/>
      </c>
    </row>
    <row r="360" ht="15" customHeight="1" s="195">
      <c r="A360" s="280" t="n"/>
      <c r="B360" s="280" t="n"/>
      <c r="C360" s="280" t="n"/>
      <c r="D360" s="280" t="n"/>
      <c r="E360" s="280" t="n"/>
      <c r="F360" s="280" t="n"/>
      <c r="G360" s="280" t="n"/>
      <c r="H360" s="280" t="n"/>
      <c r="I360" s="332">
        <f>IFERROR(VLOOKUP(TEXT(H360,"0"),IPRESS!$A$3:$B$212,2,0),"")</f>
        <v/>
      </c>
      <c r="J360" s="280" t="n"/>
      <c r="K360" s="332">
        <f>IFERROR(VLOOKUP(TEXT(O360,"0"),CONDUCTORES!$A$3:$G$54,7,0),"")</f>
        <v/>
      </c>
      <c r="L360" s="280" t="n"/>
      <c r="M360" s="280" t="n"/>
      <c r="N360" s="333">
        <f>IFERROR(IF(L360*M360=0,"",L360*M360),"")</f>
        <v/>
      </c>
      <c r="O360" s="280" t="n"/>
      <c r="P360" s="332">
        <f>IFERROR(VLOOKUP(TEXT(O360,"0"),CONDUCTORES!$A$3:$G$54,2,0),"")</f>
        <v/>
      </c>
      <c r="Q360" s="332">
        <f>IFERROR(VLOOKUP(TEXT(O360,"0"),CONDUCTORES!$A$3:$H$54,6,0),"")</f>
        <v/>
      </c>
      <c r="R360" s="280" t="n"/>
      <c r="S360" s="280" t="n"/>
      <c r="T360" s="280" t="n"/>
      <c r="U360" s="280" t="n"/>
      <c r="V360" s="280" t="n"/>
      <c r="W360" s="280" t="n"/>
      <c r="X360" s="280" t="n"/>
      <c r="Y360" s="280" t="n"/>
      <c r="Z360" s="375">
        <f>IF(AND(G360&lt;&gt;"",R360&lt;&gt;"",V360&lt;&gt;"",W360&lt;&gt;""),"COMPLETADO","OBSERVADO")</f>
        <v/>
      </c>
    </row>
    <row r="361" ht="15" customHeight="1" s="195">
      <c r="A361" s="334" t="n"/>
      <c r="B361" s="334" t="n"/>
      <c r="C361" s="334" t="n"/>
      <c r="D361" s="334" t="n"/>
      <c r="E361" s="334" t="n"/>
      <c r="F361" s="334" t="n"/>
      <c r="G361" s="334" t="n"/>
      <c r="H361" s="334" t="n"/>
      <c r="I361" s="332">
        <f>IFERROR(VLOOKUP(TEXT(H361,"0"),IPRESS!$A$3:$B$212,2,0),"")</f>
        <v/>
      </c>
      <c r="J361" s="334" t="n"/>
      <c r="K361" s="332">
        <f>IFERROR(VLOOKUP(TEXT(O361,"0"),CONDUCTORES!$A$3:$G$54,7,0),"")</f>
        <v/>
      </c>
      <c r="L361" s="334" t="n"/>
      <c r="M361" s="334" t="n"/>
      <c r="N361" s="333">
        <f>IFERROR(IF(L361*M361=0,"",L361*M361),"")</f>
        <v/>
      </c>
      <c r="O361" s="334" t="n"/>
      <c r="P361" s="332">
        <f>IFERROR(VLOOKUP(TEXT(O361,"0"),CONDUCTORES!$A$3:$G$54,2,0),"")</f>
        <v/>
      </c>
      <c r="Q361" s="332">
        <f>IFERROR(VLOOKUP(TEXT(O361,"0"),CONDUCTORES!$A$3:$H$54,6,0),"")</f>
        <v/>
      </c>
      <c r="R361" s="334" t="n"/>
      <c r="S361" s="334" t="n"/>
      <c r="T361" s="334" t="n"/>
      <c r="U361" s="334" t="n"/>
      <c r="V361" s="334" t="n"/>
      <c r="W361" s="334" t="n"/>
      <c r="X361" s="334" t="n"/>
      <c r="Y361" s="334" t="n"/>
      <c r="Z361" s="375">
        <f>IF(AND(G361&lt;&gt;"",R361&lt;&gt;"",V361&lt;&gt;"",W361&lt;&gt;""),"COMPLETADO","OBSERVADO")</f>
        <v/>
      </c>
    </row>
    <row r="362" ht="15" customHeight="1" s="195">
      <c r="A362" s="280" t="n"/>
      <c r="B362" s="280" t="n"/>
      <c r="C362" s="280" t="n"/>
      <c r="D362" s="280" t="n"/>
      <c r="E362" s="280" t="n"/>
      <c r="F362" s="280" t="n"/>
      <c r="G362" s="280" t="n"/>
      <c r="H362" s="280" t="n"/>
      <c r="I362" s="332">
        <f>IFERROR(VLOOKUP(TEXT(H362,"0"),IPRESS!$A$3:$B$212,2,0),"")</f>
        <v/>
      </c>
      <c r="J362" s="280" t="n"/>
      <c r="K362" s="332">
        <f>IFERROR(VLOOKUP(TEXT(O362,"0"),CONDUCTORES!$A$3:$G$54,7,0),"")</f>
        <v/>
      </c>
      <c r="L362" s="280" t="n"/>
      <c r="M362" s="280" t="n"/>
      <c r="N362" s="333">
        <f>IFERROR(IF(L362*M362=0,"",L362*M362),"")</f>
        <v/>
      </c>
      <c r="O362" s="280" t="n"/>
      <c r="P362" s="332">
        <f>IFERROR(VLOOKUP(TEXT(O362,"0"),CONDUCTORES!$A$3:$G$54,2,0),"")</f>
        <v/>
      </c>
      <c r="Q362" s="332">
        <f>IFERROR(VLOOKUP(TEXT(O362,"0"),CONDUCTORES!$A$3:$H$54,6,0),"")</f>
        <v/>
      </c>
      <c r="R362" s="280" t="n"/>
      <c r="S362" s="280" t="n"/>
      <c r="T362" s="280" t="n"/>
      <c r="U362" s="280" t="n"/>
      <c r="V362" s="280" t="n"/>
      <c r="W362" s="280" t="n"/>
      <c r="X362" s="280" t="n"/>
      <c r="Y362" s="280" t="n"/>
      <c r="Z362" s="375">
        <f>IF(AND(G362&lt;&gt;"",R362&lt;&gt;"",V362&lt;&gt;"",W362&lt;&gt;""),"COMPLETADO","OBSERVADO")</f>
        <v/>
      </c>
    </row>
    <row r="363" ht="15" customHeight="1" s="195">
      <c r="A363" s="334" t="n"/>
      <c r="B363" s="334" t="n"/>
      <c r="C363" s="334" t="n"/>
      <c r="D363" s="334" t="n"/>
      <c r="E363" s="334" t="n"/>
      <c r="F363" s="334" t="n"/>
      <c r="G363" s="334" t="n"/>
      <c r="H363" s="334" t="n"/>
      <c r="I363" s="332">
        <f>IFERROR(VLOOKUP(TEXT(H363,"0"),IPRESS!$A$3:$B$212,2,0),"")</f>
        <v/>
      </c>
      <c r="J363" s="334" t="n"/>
      <c r="K363" s="332">
        <f>IFERROR(VLOOKUP(TEXT(O363,"0"),CONDUCTORES!$A$3:$G$54,7,0),"")</f>
        <v/>
      </c>
      <c r="L363" s="334" t="n"/>
      <c r="M363" s="334" t="n"/>
      <c r="N363" s="333">
        <f>IFERROR(IF(L363*M363=0,"",L363*M363),"")</f>
        <v/>
      </c>
      <c r="O363" s="334" t="n"/>
      <c r="P363" s="332">
        <f>IFERROR(VLOOKUP(TEXT(O363,"0"),CONDUCTORES!$A$3:$G$54,2,0),"")</f>
        <v/>
      </c>
      <c r="Q363" s="332">
        <f>IFERROR(VLOOKUP(TEXT(O363,"0"),CONDUCTORES!$A$3:$H$54,6,0),"")</f>
        <v/>
      </c>
      <c r="R363" s="334" t="n"/>
      <c r="S363" s="334" t="n"/>
      <c r="T363" s="334" t="n"/>
      <c r="U363" s="334" t="n"/>
      <c r="V363" s="334" t="n"/>
      <c r="W363" s="334" t="n"/>
      <c r="X363" s="334" t="n"/>
      <c r="Y363" s="334" t="n"/>
      <c r="Z363" s="375">
        <f>IF(AND(G363&lt;&gt;"",R363&lt;&gt;"",V363&lt;&gt;"",W363&lt;&gt;""),"COMPLETADO","OBSERVADO")</f>
        <v/>
      </c>
    </row>
    <row r="364" ht="15" customHeight="1" s="195">
      <c r="A364" s="280" t="n"/>
      <c r="B364" s="280" t="n"/>
      <c r="C364" s="280" t="n"/>
      <c r="D364" s="280" t="n"/>
      <c r="E364" s="280" t="n"/>
      <c r="F364" s="280" t="n"/>
      <c r="G364" s="280" t="n"/>
      <c r="H364" s="280" t="n"/>
      <c r="I364" s="332">
        <f>IFERROR(VLOOKUP(TEXT(H364,"0"),IPRESS!$A$3:$B$212,2,0),"")</f>
        <v/>
      </c>
      <c r="J364" s="280" t="n"/>
      <c r="K364" s="332">
        <f>IFERROR(VLOOKUP(TEXT(O364,"0"),CONDUCTORES!$A$3:$G$54,7,0),"")</f>
        <v/>
      </c>
      <c r="L364" s="280" t="n"/>
      <c r="M364" s="280" t="n"/>
      <c r="N364" s="333">
        <f>IFERROR(IF(L364*M364=0,"",L364*M364),"")</f>
        <v/>
      </c>
      <c r="O364" s="280" t="n"/>
      <c r="P364" s="332">
        <f>IFERROR(VLOOKUP(TEXT(O364,"0"),CONDUCTORES!$A$3:$G$54,2,0),"")</f>
        <v/>
      </c>
      <c r="Q364" s="332">
        <f>IFERROR(VLOOKUP(TEXT(O364,"0"),CONDUCTORES!$A$3:$H$54,6,0),"")</f>
        <v/>
      </c>
      <c r="R364" s="280" t="n"/>
      <c r="S364" s="280" t="n"/>
      <c r="T364" s="280" t="n"/>
      <c r="U364" s="280" t="n"/>
      <c r="V364" s="280" t="n"/>
      <c r="W364" s="280" t="n"/>
      <c r="X364" s="280" t="n"/>
      <c r="Y364" s="280" t="n"/>
      <c r="Z364" s="375">
        <f>IF(AND(G364&lt;&gt;"",R364&lt;&gt;"",V364&lt;&gt;"",W364&lt;&gt;""),"COMPLETADO","OBSERVADO")</f>
        <v/>
      </c>
    </row>
    <row r="365" ht="15" customHeight="1" s="195">
      <c r="A365" s="334" t="n"/>
      <c r="B365" s="334" t="n"/>
      <c r="C365" s="334" t="n"/>
      <c r="D365" s="334" t="n"/>
      <c r="E365" s="334" t="n"/>
      <c r="F365" s="334" t="n"/>
      <c r="G365" s="334" t="n"/>
      <c r="H365" s="334" t="n"/>
      <c r="I365" s="332">
        <f>IFERROR(VLOOKUP(TEXT(H365,"0"),IPRESS!$A$3:$B$212,2,0),"")</f>
        <v/>
      </c>
      <c r="J365" s="334" t="n"/>
      <c r="K365" s="332">
        <f>IFERROR(VLOOKUP(TEXT(O365,"0"),CONDUCTORES!$A$3:$G$54,7,0),"")</f>
        <v/>
      </c>
      <c r="L365" s="334" t="n"/>
      <c r="M365" s="334" t="n"/>
      <c r="N365" s="333">
        <f>IFERROR(IF(L365*M365=0,"",L365*M365),"")</f>
        <v/>
      </c>
      <c r="O365" s="334" t="n"/>
      <c r="P365" s="332">
        <f>IFERROR(VLOOKUP(TEXT(O365,"0"),CONDUCTORES!$A$3:$G$54,2,0),"")</f>
        <v/>
      </c>
      <c r="Q365" s="332">
        <f>IFERROR(VLOOKUP(TEXT(O365,"0"),CONDUCTORES!$A$3:$H$54,6,0),"")</f>
        <v/>
      </c>
      <c r="R365" s="334" t="n"/>
      <c r="S365" s="334" t="n"/>
      <c r="T365" s="334" t="n"/>
      <c r="U365" s="334" t="n"/>
      <c r="V365" s="334" t="n"/>
      <c r="W365" s="334" t="n"/>
      <c r="X365" s="334" t="n"/>
      <c r="Y365" s="334" t="n"/>
      <c r="Z365" s="375">
        <f>IF(AND(G365&lt;&gt;"",R365&lt;&gt;"",V365&lt;&gt;"",W365&lt;&gt;""),"COMPLETADO","OBSERVADO")</f>
        <v/>
      </c>
    </row>
    <row r="366" ht="15" customHeight="1" s="195">
      <c r="A366" s="280" t="n"/>
      <c r="B366" s="280" t="n"/>
      <c r="C366" s="280" t="n"/>
      <c r="D366" s="280" t="n"/>
      <c r="E366" s="280" t="n"/>
      <c r="F366" s="280" t="n"/>
      <c r="G366" s="280" t="n"/>
      <c r="H366" s="280" t="n"/>
      <c r="I366" s="332">
        <f>IFERROR(VLOOKUP(TEXT(H366,"0"),IPRESS!$A$3:$B$212,2,0),"")</f>
        <v/>
      </c>
      <c r="J366" s="280" t="n"/>
      <c r="K366" s="332">
        <f>IFERROR(VLOOKUP(TEXT(O366,"0"),CONDUCTORES!$A$3:$G$54,7,0),"")</f>
        <v/>
      </c>
      <c r="L366" s="280" t="n"/>
      <c r="M366" s="280" t="n"/>
      <c r="N366" s="333">
        <f>IFERROR(IF(L366*M366=0,"",L366*M366),"")</f>
        <v/>
      </c>
      <c r="O366" s="280" t="n"/>
      <c r="P366" s="332">
        <f>IFERROR(VLOOKUP(TEXT(O366,"0"),CONDUCTORES!$A$3:$G$54,2,0),"")</f>
        <v/>
      </c>
      <c r="Q366" s="332">
        <f>IFERROR(VLOOKUP(TEXT(O366,"0"),CONDUCTORES!$A$3:$H$54,6,0),"")</f>
        <v/>
      </c>
      <c r="R366" s="280" t="n"/>
      <c r="S366" s="280" t="n"/>
      <c r="T366" s="280" t="n"/>
      <c r="U366" s="280" t="n"/>
      <c r="V366" s="280" t="n"/>
      <c r="W366" s="280" t="n"/>
      <c r="X366" s="280" t="n"/>
      <c r="Y366" s="280" t="n"/>
      <c r="Z366" s="375">
        <f>IF(AND(G366&lt;&gt;"",R366&lt;&gt;"",V366&lt;&gt;"",W366&lt;&gt;""),"COMPLETADO","OBSERVADO")</f>
        <v/>
      </c>
    </row>
    <row r="367" ht="15" customHeight="1" s="195">
      <c r="A367" s="334" t="n"/>
      <c r="B367" s="334" t="n"/>
      <c r="C367" s="334" t="n"/>
      <c r="D367" s="334" t="n"/>
      <c r="E367" s="334" t="n"/>
      <c r="F367" s="334" t="n"/>
      <c r="G367" s="334" t="n"/>
      <c r="H367" s="334" t="n"/>
      <c r="I367" s="332">
        <f>IFERROR(VLOOKUP(TEXT(H367,"0"),IPRESS!$A$3:$B$212,2,0),"")</f>
        <v/>
      </c>
      <c r="J367" s="334" t="n"/>
      <c r="K367" s="332">
        <f>IFERROR(VLOOKUP(TEXT(O367,"0"),CONDUCTORES!$A$3:$G$54,7,0),"")</f>
        <v/>
      </c>
      <c r="L367" s="334" t="n"/>
      <c r="M367" s="334" t="n"/>
      <c r="N367" s="333">
        <f>IFERROR(IF(L367*M367=0,"",L367*M367),"")</f>
        <v/>
      </c>
      <c r="O367" s="334" t="n"/>
      <c r="P367" s="332">
        <f>IFERROR(VLOOKUP(TEXT(O367,"0"),CONDUCTORES!$A$3:$G$54,2,0),"")</f>
        <v/>
      </c>
      <c r="Q367" s="332">
        <f>IFERROR(VLOOKUP(TEXT(O367,"0"),CONDUCTORES!$A$3:$H$54,6,0),"")</f>
        <v/>
      </c>
      <c r="R367" s="334" t="n"/>
      <c r="S367" s="334" t="n"/>
      <c r="T367" s="334" t="n"/>
      <c r="U367" s="334" t="n"/>
      <c r="V367" s="334" t="n"/>
      <c r="W367" s="334" t="n"/>
      <c r="X367" s="334" t="n"/>
      <c r="Y367" s="334" t="n"/>
      <c r="Z367" s="375">
        <f>IF(AND(G367&lt;&gt;"",R367&lt;&gt;"",V367&lt;&gt;"",W367&lt;&gt;""),"COMPLETADO","OBSERVADO")</f>
        <v/>
      </c>
    </row>
    <row r="368" ht="15" customHeight="1" s="195">
      <c r="A368" s="280" t="n"/>
      <c r="B368" s="280" t="n"/>
      <c r="C368" s="280" t="n"/>
      <c r="D368" s="280" t="n"/>
      <c r="E368" s="280" t="n"/>
      <c r="F368" s="280" t="n"/>
      <c r="G368" s="280" t="n"/>
      <c r="H368" s="280" t="n"/>
      <c r="I368" s="332">
        <f>IFERROR(VLOOKUP(TEXT(H368,"0"),IPRESS!$A$3:$B$212,2,0),"")</f>
        <v/>
      </c>
      <c r="J368" s="280" t="n"/>
      <c r="K368" s="332">
        <f>IFERROR(VLOOKUP(TEXT(O368,"0"),CONDUCTORES!$A$3:$G$54,7,0),"")</f>
        <v/>
      </c>
      <c r="L368" s="280" t="n"/>
      <c r="M368" s="280" t="n"/>
      <c r="N368" s="333">
        <f>IFERROR(IF(L368*M368=0,"",L368*M368),"")</f>
        <v/>
      </c>
      <c r="O368" s="280" t="n"/>
      <c r="P368" s="332">
        <f>IFERROR(VLOOKUP(TEXT(O368,"0"),CONDUCTORES!$A$3:$G$54,2,0),"")</f>
        <v/>
      </c>
      <c r="Q368" s="332">
        <f>IFERROR(VLOOKUP(TEXT(O368,"0"),CONDUCTORES!$A$3:$H$54,6,0),"")</f>
        <v/>
      </c>
      <c r="R368" s="280" t="n"/>
      <c r="S368" s="280" t="n"/>
      <c r="T368" s="280" t="n"/>
      <c r="U368" s="280" t="n"/>
      <c r="V368" s="280" t="n"/>
      <c r="W368" s="280" t="n"/>
      <c r="X368" s="280" t="n"/>
      <c r="Y368" s="280" t="n"/>
      <c r="Z368" s="375">
        <f>IF(AND(G368&lt;&gt;"",R368&lt;&gt;"",V368&lt;&gt;"",W368&lt;&gt;""),"COMPLETADO","OBSERVADO")</f>
        <v/>
      </c>
    </row>
    <row r="369" ht="15" customHeight="1" s="195">
      <c r="A369" s="334" t="n"/>
      <c r="B369" s="334" t="n"/>
      <c r="C369" s="334" t="n"/>
      <c r="D369" s="334" t="n"/>
      <c r="E369" s="334" t="n"/>
      <c r="F369" s="334" t="n"/>
      <c r="G369" s="334" t="n"/>
      <c r="H369" s="334" t="n"/>
      <c r="I369" s="332">
        <f>IFERROR(VLOOKUP(TEXT(H369,"0"),IPRESS!$A$3:$B$212,2,0),"")</f>
        <v/>
      </c>
      <c r="J369" s="334" t="n"/>
      <c r="K369" s="332">
        <f>IFERROR(VLOOKUP(TEXT(O369,"0"),CONDUCTORES!$A$3:$G$54,7,0),"")</f>
        <v/>
      </c>
      <c r="L369" s="334" t="n"/>
      <c r="M369" s="334" t="n"/>
      <c r="N369" s="333">
        <f>IFERROR(IF(L369*M369=0,"",L369*M369),"")</f>
        <v/>
      </c>
      <c r="O369" s="334" t="n"/>
      <c r="P369" s="332">
        <f>IFERROR(VLOOKUP(TEXT(O369,"0"),CONDUCTORES!$A$3:$G$54,2,0),"")</f>
        <v/>
      </c>
      <c r="Q369" s="332">
        <f>IFERROR(VLOOKUP(TEXT(O369,"0"),CONDUCTORES!$A$3:$H$54,6,0),"")</f>
        <v/>
      </c>
      <c r="R369" s="334" t="n"/>
      <c r="S369" s="334" t="n"/>
      <c r="T369" s="334" t="n"/>
      <c r="U369" s="334" t="n"/>
      <c r="V369" s="334" t="n"/>
      <c r="W369" s="334" t="n"/>
      <c r="X369" s="334" t="n"/>
      <c r="Y369" s="334" t="n"/>
      <c r="Z369" s="375">
        <f>IF(AND(G369&lt;&gt;"",R369&lt;&gt;"",V369&lt;&gt;"",W369&lt;&gt;""),"COMPLETADO","OBSERVADO")</f>
        <v/>
      </c>
    </row>
    <row r="370" ht="15" customHeight="1" s="195">
      <c r="A370" s="280" t="n"/>
      <c r="B370" s="280" t="n"/>
      <c r="C370" s="280" t="n"/>
      <c r="D370" s="280" t="n"/>
      <c r="E370" s="280" t="n"/>
      <c r="F370" s="280" t="n"/>
      <c r="G370" s="280" t="n"/>
      <c r="H370" s="280" t="n"/>
      <c r="I370" s="332">
        <f>IFERROR(VLOOKUP(TEXT(H370,"0"),IPRESS!$A$3:$B$212,2,0),"")</f>
        <v/>
      </c>
      <c r="J370" s="280" t="n"/>
      <c r="K370" s="332">
        <f>IFERROR(VLOOKUP(TEXT(O370,"0"),CONDUCTORES!$A$3:$G$54,7,0),"")</f>
        <v/>
      </c>
      <c r="L370" s="280" t="n"/>
      <c r="M370" s="280" t="n"/>
      <c r="N370" s="333">
        <f>IFERROR(IF(L370*M370=0,"",L370*M370),"")</f>
        <v/>
      </c>
      <c r="O370" s="280" t="n"/>
      <c r="P370" s="332">
        <f>IFERROR(VLOOKUP(TEXT(O370,"0"),CONDUCTORES!$A$3:$G$54,2,0),"")</f>
        <v/>
      </c>
      <c r="Q370" s="332">
        <f>IFERROR(VLOOKUP(TEXT(O370,"0"),CONDUCTORES!$A$3:$H$54,6,0),"")</f>
        <v/>
      </c>
      <c r="R370" s="280" t="n"/>
      <c r="S370" s="280" t="n"/>
      <c r="T370" s="280" t="n"/>
      <c r="U370" s="280" t="n"/>
      <c r="V370" s="280" t="n"/>
      <c r="W370" s="280" t="n"/>
      <c r="X370" s="280" t="n"/>
      <c r="Y370" s="280" t="n"/>
      <c r="Z370" s="375">
        <f>IF(AND(G370&lt;&gt;"",R370&lt;&gt;"",V370&lt;&gt;"",W370&lt;&gt;""),"COMPLETADO","OBSERVADO")</f>
        <v/>
      </c>
    </row>
    <row r="371" ht="15" customHeight="1" s="195">
      <c r="A371" s="334" t="n"/>
      <c r="B371" s="334" t="n"/>
      <c r="C371" s="334" t="n"/>
      <c r="D371" s="334" t="n"/>
      <c r="E371" s="334" t="n"/>
      <c r="F371" s="334" t="n"/>
      <c r="G371" s="334" t="n"/>
      <c r="H371" s="334" t="n"/>
      <c r="I371" s="332">
        <f>IFERROR(VLOOKUP(TEXT(H371,"0"),IPRESS!$A$3:$B$212,2,0),"")</f>
        <v/>
      </c>
      <c r="J371" s="334" t="n"/>
      <c r="K371" s="332">
        <f>IFERROR(VLOOKUP(TEXT(O371,"0"),CONDUCTORES!$A$3:$G$54,7,0),"")</f>
        <v/>
      </c>
      <c r="L371" s="334" t="n"/>
      <c r="M371" s="334" t="n"/>
      <c r="N371" s="333">
        <f>IFERROR(IF(L371*M371=0,"",L371*M371),"")</f>
        <v/>
      </c>
      <c r="O371" s="334" t="n"/>
      <c r="P371" s="332">
        <f>IFERROR(VLOOKUP(TEXT(O371,"0"),CONDUCTORES!$A$3:$G$54,2,0),"")</f>
        <v/>
      </c>
      <c r="Q371" s="332">
        <f>IFERROR(VLOOKUP(TEXT(O371,"0"),CONDUCTORES!$A$3:$H$54,6,0),"")</f>
        <v/>
      </c>
      <c r="R371" s="334" t="n"/>
      <c r="S371" s="334" t="n"/>
      <c r="T371" s="334" t="n"/>
      <c r="U371" s="334" t="n"/>
      <c r="V371" s="334" t="n"/>
      <c r="W371" s="334" t="n"/>
      <c r="X371" s="334" t="n"/>
      <c r="Y371" s="334" t="n"/>
      <c r="Z371" s="375">
        <f>IF(AND(G371&lt;&gt;"",R371&lt;&gt;"",V371&lt;&gt;"",W371&lt;&gt;""),"COMPLETADO","OBSERVADO")</f>
        <v/>
      </c>
    </row>
    <row r="372" ht="15" customHeight="1" s="195">
      <c r="A372" s="280" t="n"/>
      <c r="B372" s="280" t="n"/>
      <c r="C372" s="280" t="n"/>
      <c r="D372" s="280" t="n"/>
      <c r="E372" s="280" t="n"/>
      <c r="F372" s="280" t="n"/>
      <c r="G372" s="280" t="n"/>
      <c r="H372" s="280" t="n"/>
      <c r="I372" s="332">
        <f>IFERROR(VLOOKUP(TEXT(H372,"0"),IPRESS!$A$3:$B$212,2,0),"")</f>
        <v/>
      </c>
      <c r="J372" s="280" t="n"/>
      <c r="K372" s="332">
        <f>IFERROR(VLOOKUP(TEXT(O372,"0"),CONDUCTORES!$A$3:$G$54,7,0),"")</f>
        <v/>
      </c>
      <c r="L372" s="280" t="n"/>
      <c r="M372" s="280" t="n"/>
      <c r="N372" s="333">
        <f>IFERROR(IF(L372*M372=0,"",L372*M372),"")</f>
        <v/>
      </c>
      <c r="O372" s="280" t="n"/>
      <c r="P372" s="332">
        <f>IFERROR(VLOOKUP(TEXT(O372,"0"),CONDUCTORES!$A$3:$G$54,2,0),"")</f>
        <v/>
      </c>
      <c r="Q372" s="332">
        <f>IFERROR(VLOOKUP(TEXT(O372,"0"),CONDUCTORES!$A$3:$H$54,6,0),"")</f>
        <v/>
      </c>
      <c r="R372" s="280" t="n"/>
      <c r="S372" s="280" t="n"/>
      <c r="T372" s="280" t="n"/>
      <c r="U372" s="280" t="n"/>
      <c r="V372" s="280" t="n"/>
      <c r="W372" s="280" t="n"/>
      <c r="X372" s="280" t="n"/>
      <c r="Y372" s="280" t="n"/>
      <c r="Z372" s="375">
        <f>IF(AND(G372&lt;&gt;"",R372&lt;&gt;"",V372&lt;&gt;"",W372&lt;&gt;""),"COMPLETADO","OBSERVADO")</f>
        <v/>
      </c>
    </row>
    <row r="373" ht="15" customHeight="1" s="195">
      <c r="A373" s="334" t="n"/>
      <c r="B373" s="334" t="n"/>
      <c r="C373" s="334" t="n"/>
      <c r="D373" s="334" t="n"/>
      <c r="E373" s="334" t="n"/>
      <c r="F373" s="334" t="n"/>
      <c r="G373" s="334" t="n"/>
      <c r="H373" s="334" t="n"/>
      <c r="I373" s="332">
        <f>IFERROR(VLOOKUP(TEXT(H373,"0"),IPRESS!$A$3:$B$212,2,0),"")</f>
        <v/>
      </c>
      <c r="J373" s="334" t="n"/>
      <c r="K373" s="332">
        <f>IFERROR(VLOOKUP(TEXT(O373,"0"),CONDUCTORES!$A$3:$G$54,7,0),"")</f>
        <v/>
      </c>
      <c r="L373" s="334" t="n"/>
      <c r="M373" s="334" t="n"/>
      <c r="N373" s="333">
        <f>IFERROR(IF(L373*M373=0,"",L373*M373),"")</f>
        <v/>
      </c>
      <c r="O373" s="334" t="n"/>
      <c r="P373" s="332">
        <f>IFERROR(VLOOKUP(TEXT(O373,"0"),CONDUCTORES!$A$3:$G$54,2,0),"")</f>
        <v/>
      </c>
      <c r="Q373" s="332">
        <f>IFERROR(VLOOKUP(TEXT(O373,"0"),CONDUCTORES!$A$3:$H$54,6,0),"")</f>
        <v/>
      </c>
      <c r="R373" s="334" t="n"/>
      <c r="S373" s="334" t="n"/>
      <c r="T373" s="334" t="n"/>
      <c r="U373" s="334" t="n"/>
      <c r="V373" s="334" t="n"/>
      <c r="W373" s="334" t="n"/>
      <c r="X373" s="334" t="n"/>
      <c r="Y373" s="334" t="n"/>
      <c r="Z373" s="375">
        <f>IF(AND(G373&lt;&gt;"",R373&lt;&gt;"",V373&lt;&gt;"",W373&lt;&gt;""),"COMPLETADO","OBSERVADO")</f>
        <v/>
      </c>
    </row>
    <row r="374" ht="15" customHeight="1" s="195">
      <c r="A374" s="280" t="n"/>
      <c r="B374" s="280" t="n"/>
      <c r="C374" s="280" t="n"/>
      <c r="D374" s="280" t="n"/>
      <c r="E374" s="280" t="n"/>
      <c r="F374" s="280" t="n"/>
      <c r="G374" s="280" t="n"/>
      <c r="H374" s="280" t="n"/>
      <c r="I374" s="332">
        <f>IFERROR(VLOOKUP(TEXT(H374,"0"),IPRESS!$A$3:$B$212,2,0),"")</f>
        <v/>
      </c>
      <c r="J374" s="280" t="n"/>
      <c r="K374" s="332">
        <f>IFERROR(VLOOKUP(TEXT(O374,"0"),CONDUCTORES!$A$3:$G$54,7,0),"")</f>
        <v/>
      </c>
      <c r="L374" s="280" t="n"/>
      <c r="M374" s="280" t="n"/>
      <c r="N374" s="333">
        <f>IFERROR(IF(L374*M374=0,"",L374*M374),"")</f>
        <v/>
      </c>
      <c r="O374" s="280" t="n"/>
      <c r="P374" s="332">
        <f>IFERROR(VLOOKUP(TEXT(O374,"0"),CONDUCTORES!$A$3:$G$54,2,0),"")</f>
        <v/>
      </c>
      <c r="Q374" s="332">
        <f>IFERROR(VLOOKUP(TEXT(O374,"0"),CONDUCTORES!$A$3:$H$54,6,0),"")</f>
        <v/>
      </c>
      <c r="R374" s="280" t="n"/>
      <c r="S374" s="280" t="n"/>
      <c r="T374" s="280" t="n"/>
      <c r="U374" s="280" t="n"/>
      <c r="V374" s="280" t="n"/>
      <c r="W374" s="280" t="n"/>
      <c r="X374" s="280" t="n"/>
      <c r="Y374" s="280" t="n"/>
      <c r="Z374" s="375">
        <f>IF(AND(G374&lt;&gt;"",R374&lt;&gt;"",V374&lt;&gt;"",W374&lt;&gt;""),"COMPLETADO","OBSERVADO")</f>
        <v/>
      </c>
    </row>
    <row r="375" ht="15" customHeight="1" s="195">
      <c r="A375" s="334" t="n"/>
      <c r="B375" s="334" t="n"/>
      <c r="C375" s="334" t="n"/>
      <c r="D375" s="334" t="n"/>
      <c r="E375" s="334" t="n"/>
      <c r="F375" s="334" t="n"/>
      <c r="G375" s="334" t="n"/>
      <c r="H375" s="334" t="n"/>
      <c r="I375" s="332">
        <f>IFERROR(VLOOKUP(TEXT(H375,"0"),IPRESS!$A$3:$B$212,2,0),"")</f>
        <v/>
      </c>
      <c r="J375" s="334" t="n"/>
      <c r="K375" s="332">
        <f>IFERROR(VLOOKUP(TEXT(O375,"0"),CONDUCTORES!$A$3:$G$54,7,0),"")</f>
        <v/>
      </c>
      <c r="L375" s="334" t="n"/>
      <c r="M375" s="334" t="n"/>
      <c r="N375" s="333">
        <f>IFERROR(IF(L375*M375=0,"",L375*M375),"")</f>
        <v/>
      </c>
      <c r="O375" s="334" t="n"/>
      <c r="P375" s="332">
        <f>IFERROR(VLOOKUP(TEXT(O375,"0"),CONDUCTORES!$A$3:$G$54,2,0),"")</f>
        <v/>
      </c>
      <c r="Q375" s="332">
        <f>IFERROR(VLOOKUP(TEXT(O375,"0"),CONDUCTORES!$A$3:$H$54,6,0),"")</f>
        <v/>
      </c>
      <c r="R375" s="334" t="n"/>
      <c r="S375" s="334" t="n"/>
      <c r="T375" s="334" t="n"/>
      <c r="U375" s="334" t="n"/>
      <c r="V375" s="334" t="n"/>
      <c r="W375" s="334" t="n"/>
      <c r="X375" s="334" t="n"/>
      <c r="Y375" s="334" t="n"/>
      <c r="Z375" s="375">
        <f>IF(AND(G375&lt;&gt;"",R375&lt;&gt;"",V375&lt;&gt;"",W375&lt;&gt;""),"COMPLETADO","OBSERVADO")</f>
        <v/>
      </c>
    </row>
    <row r="376" ht="15" customHeight="1" s="195">
      <c r="A376" s="280" t="n"/>
      <c r="B376" s="280" t="n"/>
      <c r="C376" s="280" t="n"/>
      <c r="D376" s="280" t="n"/>
      <c r="E376" s="280" t="n"/>
      <c r="F376" s="280" t="n"/>
      <c r="G376" s="280" t="n"/>
      <c r="H376" s="280" t="n"/>
      <c r="I376" s="332">
        <f>IFERROR(VLOOKUP(TEXT(H376,"0"),IPRESS!$A$3:$B$212,2,0),"")</f>
        <v/>
      </c>
      <c r="J376" s="280" t="n"/>
      <c r="K376" s="332">
        <f>IFERROR(VLOOKUP(TEXT(O376,"0"),CONDUCTORES!$A$3:$G$54,7,0),"")</f>
        <v/>
      </c>
      <c r="L376" s="280" t="n"/>
      <c r="M376" s="280" t="n"/>
      <c r="N376" s="333">
        <f>IFERROR(IF(L376*M376=0,"",L376*M376),"")</f>
        <v/>
      </c>
      <c r="O376" s="280" t="n"/>
      <c r="P376" s="332">
        <f>IFERROR(VLOOKUP(TEXT(O376,"0"),CONDUCTORES!$A$3:$G$54,2,0),"")</f>
        <v/>
      </c>
      <c r="Q376" s="332">
        <f>IFERROR(VLOOKUP(TEXT(O376,"0"),CONDUCTORES!$A$3:$H$54,6,0),"")</f>
        <v/>
      </c>
      <c r="R376" s="280" t="n"/>
      <c r="S376" s="280" t="n"/>
      <c r="T376" s="280" t="n"/>
      <c r="U376" s="280" t="n"/>
      <c r="V376" s="280" t="n"/>
      <c r="W376" s="280" t="n"/>
      <c r="X376" s="280" t="n"/>
      <c r="Y376" s="280" t="n"/>
      <c r="Z376" s="375">
        <f>IF(AND(G376&lt;&gt;"",R376&lt;&gt;"",V376&lt;&gt;"",W376&lt;&gt;""),"COMPLETADO","OBSERVADO")</f>
        <v/>
      </c>
    </row>
    <row r="377" ht="15" customHeight="1" s="195">
      <c r="A377" s="334" t="n"/>
      <c r="B377" s="334" t="n"/>
      <c r="C377" s="334" t="n"/>
      <c r="D377" s="334" t="n"/>
      <c r="E377" s="334" t="n"/>
      <c r="F377" s="334" t="n"/>
      <c r="G377" s="334" t="n"/>
      <c r="H377" s="334" t="n"/>
      <c r="I377" s="332">
        <f>IFERROR(VLOOKUP(TEXT(H377,"0"),IPRESS!$A$3:$B$212,2,0),"")</f>
        <v/>
      </c>
      <c r="J377" s="334" t="n"/>
      <c r="K377" s="332">
        <f>IFERROR(VLOOKUP(TEXT(O377,"0"),CONDUCTORES!$A$3:$G$54,7,0),"")</f>
        <v/>
      </c>
      <c r="L377" s="334" t="n"/>
      <c r="M377" s="334" t="n"/>
      <c r="N377" s="333">
        <f>IFERROR(IF(L377*M377=0,"",L377*M377),"")</f>
        <v/>
      </c>
      <c r="O377" s="334" t="n"/>
      <c r="P377" s="332">
        <f>IFERROR(VLOOKUP(TEXT(O377,"0"),CONDUCTORES!$A$3:$G$54,2,0),"")</f>
        <v/>
      </c>
      <c r="Q377" s="332">
        <f>IFERROR(VLOOKUP(TEXT(O377,"0"),CONDUCTORES!$A$3:$H$54,6,0),"")</f>
        <v/>
      </c>
      <c r="R377" s="334" t="n"/>
      <c r="S377" s="334" t="n"/>
      <c r="T377" s="334" t="n"/>
      <c r="U377" s="334" t="n"/>
      <c r="V377" s="334" t="n"/>
      <c r="W377" s="334" t="n"/>
      <c r="X377" s="334" t="n"/>
      <c r="Y377" s="334" t="n"/>
      <c r="Z377" s="375">
        <f>IF(AND(G377&lt;&gt;"",R377&lt;&gt;"",V377&lt;&gt;"",W377&lt;&gt;""),"COMPLETADO","OBSERVADO")</f>
        <v/>
      </c>
    </row>
    <row r="378" ht="15" customHeight="1" s="195">
      <c r="A378" s="280" t="n"/>
      <c r="B378" s="280" t="n"/>
      <c r="C378" s="280" t="n"/>
      <c r="D378" s="280" t="n"/>
      <c r="E378" s="280" t="n"/>
      <c r="F378" s="280" t="n"/>
      <c r="G378" s="280" t="n"/>
      <c r="H378" s="280" t="n"/>
      <c r="I378" s="332">
        <f>IFERROR(VLOOKUP(TEXT(H378,"0"),IPRESS!$A$3:$B$212,2,0),"")</f>
        <v/>
      </c>
      <c r="J378" s="280" t="n"/>
      <c r="K378" s="332">
        <f>IFERROR(VLOOKUP(TEXT(O378,"0"),CONDUCTORES!$A$3:$G$54,7,0),"")</f>
        <v/>
      </c>
      <c r="L378" s="280" t="n"/>
      <c r="M378" s="280" t="n"/>
      <c r="N378" s="333">
        <f>IFERROR(IF(L378*M378=0,"",L378*M378),"")</f>
        <v/>
      </c>
      <c r="O378" s="280" t="n"/>
      <c r="P378" s="332">
        <f>IFERROR(VLOOKUP(TEXT(O378,"0"),CONDUCTORES!$A$3:$G$54,2,0),"")</f>
        <v/>
      </c>
      <c r="Q378" s="332">
        <f>IFERROR(VLOOKUP(TEXT(O378,"0"),CONDUCTORES!$A$3:$H$54,6,0),"")</f>
        <v/>
      </c>
      <c r="R378" s="280" t="n"/>
      <c r="S378" s="280" t="n"/>
      <c r="T378" s="280" t="n"/>
      <c r="U378" s="280" t="n"/>
      <c r="V378" s="280" t="n"/>
      <c r="W378" s="280" t="n"/>
      <c r="X378" s="280" t="n"/>
      <c r="Y378" s="280" t="n"/>
      <c r="Z378" s="375">
        <f>IF(AND(G378&lt;&gt;"",R378&lt;&gt;"",V378&lt;&gt;"",W378&lt;&gt;""),"COMPLETADO","OBSERVADO")</f>
        <v/>
      </c>
    </row>
    <row r="379" ht="15" customHeight="1" s="195">
      <c r="A379" s="334" t="n"/>
      <c r="B379" s="334" t="n"/>
      <c r="C379" s="334" t="n"/>
      <c r="D379" s="334" t="n"/>
      <c r="E379" s="334" t="n"/>
      <c r="F379" s="334" t="n"/>
      <c r="G379" s="334" t="n"/>
      <c r="H379" s="334" t="n"/>
      <c r="I379" s="332">
        <f>IFERROR(VLOOKUP(TEXT(H379,"0"),IPRESS!$A$3:$B$212,2,0),"")</f>
        <v/>
      </c>
      <c r="J379" s="334" t="n"/>
      <c r="K379" s="332">
        <f>IFERROR(VLOOKUP(TEXT(O379,"0"),CONDUCTORES!$A$3:$G$54,7,0),"")</f>
        <v/>
      </c>
      <c r="L379" s="334" t="n"/>
      <c r="M379" s="334" t="n"/>
      <c r="N379" s="333">
        <f>IFERROR(IF(L379*M379=0,"",L379*M379),"")</f>
        <v/>
      </c>
      <c r="O379" s="334" t="n"/>
      <c r="P379" s="332">
        <f>IFERROR(VLOOKUP(TEXT(O379,"0"),CONDUCTORES!$A$3:$G$54,2,0),"")</f>
        <v/>
      </c>
      <c r="Q379" s="332">
        <f>IFERROR(VLOOKUP(TEXT(O379,"0"),CONDUCTORES!$A$3:$H$54,6,0),"")</f>
        <v/>
      </c>
      <c r="R379" s="334" t="n"/>
      <c r="S379" s="334" t="n"/>
      <c r="T379" s="334" t="n"/>
      <c r="U379" s="334" t="n"/>
      <c r="V379" s="334" t="n"/>
      <c r="W379" s="334" t="n"/>
      <c r="X379" s="334" t="n"/>
      <c r="Y379" s="334" t="n"/>
      <c r="Z379" s="375">
        <f>IF(AND(G379&lt;&gt;"",R379&lt;&gt;"",V379&lt;&gt;"",W379&lt;&gt;""),"COMPLETADO","OBSERVADO")</f>
        <v/>
      </c>
    </row>
    <row r="380" ht="15" customHeight="1" s="195">
      <c r="A380" s="280" t="n"/>
      <c r="B380" s="280" t="n"/>
      <c r="C380" s="280" t="n"/>
      <c r="D380" s="280" t="n"/>
      <c r="E380" s="280" t="n"/>
      <c r="F380" s="280" t="n"/>
      <c r="G380" s="280" t="n"/>
      <c r="H380" s="280" t="n"/>
      <c r="I380" s="332">
        <f>IFERROR(VLOOKUP(TEXT(H380,"0"),IPRESS!$A$3:$B$212,2,0),"")</f>
        <v/>
      </c>
      <c r="J380" s="280" t="n"/>
      <c r="K380" s="332">
        <f>IFERROR(VLOOKUP(TEXT(O380,"0"),CONDUCTORES!$A$3:$G$54,7,0),"")</f>
        <v/>
      </c>
      <c r="L380" s="280" t="n"/>
      <c r="M380" s="280" t="n"/>
      <c r="N380" s="333">
        <f>IFERROR(IF(L380*M380=0,"",L380*M380),"")</f>
        <v/>
      </c>
      <c r="O380" s="280" t="n"/>
      <c r="P380" s="332">
        <f>IFERROR(VLOOKUP(TEXT(O380,"0"),CONDUCTORES!$A$3:$G$54,2,0),"")</f>
        <v/>
      </c>
      <c r="Q380" s="332">
        <f>IFERROR(VLOOKUP(TEXT(O380,"0"),CONDUCTORES!$A$3:$H$54,6,0),"")</f>
        <v/>
      </c>
      <c r="R380" s="280" t="n"/>
      <c r="S380" s="280" t="n"/>
      <c r="T380" s="280" t="n"/>
      <c r="U380" s="280" t="n"/>
      <c r="V380" s="280" t="n"/>
      <c r="W380" s="280" t="n"/>
      <c r="X380" s="280" t="n"/>
      <c r="Y380" s="280" t="n"/>
      <c r="Z380" s="375">
        <f>IF(AND(G380&lt;&gt;"",R380&lt;&gt;"",V380&lt;&gt;"",W380&lt;&gt;""),"COMPLETADO","OBSERVADO")</f>
        <v/>
      </c>
    </row>
    <row r="381" ht="15" customHeight="1" s="195">
      <c r="A381" s="334" t="n"/>
      <c r="B381" s="334" t="n"/>
      <c r="C381" s="334" t="n"/>
      <c r="D381" s="334" t="n"/>
      <c r="E381" s="334" t="n"/>
      <c r="F381" s="334" t="n"/>
      <c r="G381" s="334" t="n"/>
      <c r="H381" s="334" t="n"/>
      <c r="I381" s="332">
        <f>IFERROR(VLOOKUP(TEXT(H381,"0"),IPRESS!$A$3:$B$212,2,0),"")</f>
        <v/>
      </c>
      <c r="J381" s="334" t="n"/>
      <c r="K381" s="332">
        <f>IFERROR(VLOOKUP(TEXT(O381,"0"),CONDUCTORES!$A$3:$G$54,7,0),"")</f>
        <v/>
      </c>
      <c r="L381" s="334" t="n"/>
      <c r="M381" s="334" t="n"/>
      <c r="N381" s="333">
        <f>IFERROR(IF(L381*M381=0,"",L381*M381),"")</f>
        <v/>
      </c>
      <c r="O381" s="334" t="n"/>
      <c r="P381" s="332">
        <f>IFERROR(VLOOKUP(TEXT(O381,"0"),CONDUCTORES!$A$3:$G$54,2,0),"")</f>
        <v/>
      </c>
      <c r="Q381" s="332">
        <f>IFERROR(VLOOKUP(TEXT(O381,"0"),CONDUCTORES!$A$3:$H$54,6,0),"")</f>
        <v/>
      </c>
      <c r="R381" s="334" t="n"/>
      <c r="S381" s="334" t="n"/>
      <c r="T381" s="334" t="n"/>
      <c r="U381" s="334" t="n"/>
      <c r="V381" s="334" t="n"/>
      <c r="W381" s="334" t="n"/>
      <c r="X381" s="334" t="n"/>
      <c r="Y381" s="334" t="n"/>
      <c r="Z381" s="375">
        <f>IF(AND(G381&lt;&gt;"",R381&lt;&gt;"",V381&lt;&gt;"",W381&lt;&gt;""),"COMPLETADO","OBSERVADO")</f>
        <v/>
      </c>
    </row>
    <row r="382" ht="15" customHeight="1" s="195">
      <c r="A382" s="280" t="n"/>
      <c r="B382" s="280" t="n"/>
      <c r="C382" s="280" t="n"/>
      <c r="D382" s="280" t="n"/>
      <c r="E382" s="280" t="n"/>
      <c r="F382" s="280" t="n"/>
      <c r="G382" s="280" t="n"/>
      <c r="H382" s="280" t="n"/>
      <c r="I382" s="332">
        <f>IFERROR(VLOOKUP(TEXT(H382,"0"),IPRESS!$A$3:$B$212,2,0),"")</f>
        <v/>
      </c>
      <c r="J382" s="280" t="n"/>
      <c r="K382" s="332">
        <f>IFERROR(VLOOKUP(TEXT(O382,"0"),CONDUCTORES!$A$3:$G$54,7,0),"")</f>
        <v/>
      </c>
      <c r="L382" s="280" t="n"/>
      <c r="M382" s="280" t="n"/>
      <c r="N382" s="333">
        <f>IFERROR(IF(L382*M382=0,"",L382*M382),"")</f>
        <v/>
      </c>
      <c r="O382" s="280" t="n"/>
      <c r="P382" s="332">
        <f>IFERROR(VLOOKUP(TEXT(O382,"0"),CONDUCTORES!$A$3:$G$54,2,0),"")</f>
        <v/>
      </c>
      <c r="Q382" s="332">
        <f>IFERROR(VLOOKUP(TEXT(O382,"0"),CONDUCTORES!$A$3:$H$54,6,0),"")</f>
        <v/>
      </c>
      <c r="R382" s="280" t="n"/>
      <c r="S382" s="280" t="n"/>
      <c r="T382" s="280" t="n"/>
      <c r="U382" s="280" t="n"/>
      <c r="V382" s="280" t="n"/>
      <c r="W382" s="280" t="n"/>
      <c r="X382" s="280" t="n"/>
      <c r="Y382" s="280" t="n"/>
      <c r="Z382" s="375">
        <f>IF(AND(G382&lt;&gt;"",R382&lt;&gt;"",V382&lt;&gt;"",W382&lt;&gt;""),"COMPLETADO","OBSERVADO")</f>
        <v/>
      </c>
    </row>
    <row r="383" ht="15" customHeight="1" s="195">
      <c r="A383" s="334" t="n"/>
      <c r="B383" s="334" t="n"/>
      <c r="C383" s="334" t="n"/>
      <c r="D383" s="334" t="n"/>
      <c r="E383" s="334" t="n"/>
      <c r="F383" s="334" t="n"/>
      <c r="G383" s="334" t="n"/>
      <c r="H383" s="334" t="n"/>
      <c r="I383" s="332">
        <f>IFERROR(VLOOKUP(TEXT(H383,"0"),IPRESS!$A$3:$B$212,2,0),"")</f>
        <v/>
      </c>
      <c r="J383" s="334" t="n"/>
      <c r="K383" s="332">
        <f>IFERROR(VLOOKUP(TEXT(O383,"0"),CONDUCTORES!$A$3:$G$54,7,0),"")</f>
        <v/>
      </c>
      <c r="L383" s="334" t="n"/>
      <c r="M383" s="334" t="n"/>
      <c r="N383" s="333">
        <f>IFERROR(IF(L383*M383=0,"",L383*M383),"")</f>
        <v/>
      </c>
      <c r="O383" s="334" t="n"/>
      <c r="P383" s="332">
        <f>IFERROR(VLOOKUP(TEXT(O383,"0"),CONDUCTORES!$A$3:$G$54,2,0),"")</f>
        <v/>
      </c>
      <c r="Q383" s="332">
        <f>IFERROR(VLOOKUP(TEXT(O383,"0"),CONDUCTORES!$A$3:$H$54,6,0),"")</f>
        <v/>
      </c>
      <c r="R383" s="334" t="n"/>
      <c r="S383" s="334" t="n"/>
      <c r="T383" s="334" t="n"/>
      <c r="U383" s="334" t="n"/>
      <c r="V383" s="334" t="n"/>
      <c r="W383" s="334" t="n"/>
      <c r="X383" s="334" t="n"/>
      <c r="Y383" s="334" t="n"/>
      <c r="Z383" s="375">
        <f>IF(AND(G383&lt;&gt;"",R383&lt;&gt;"",V383&lt;&gt;"",W383&lt;&gt;""),"COMPLETADO","OBSERVADO")</f>
        <v/>
      </c>
    </row>
    <row r="384" ht="15" customHeight="1" s="195">
      <c r="A384" s="280" t="n"/>
      <c r="B384" s="280" t="n"/>
      <c r="C384" s="280" t="n"/>
      <c r="D384" s="280" t="n"/>
      <c r="E384" s="280" t="n"/>
      <c r="F384" s="280" t="n"/>
      <c r="G384" s="280" t="n"/>
      <c r="H384" s="280" t="n"/>
      <c r="I384" s="332">
        <f>IFERROR(VLOOKUP(TEXT(H384,"0"),IPRESS!$A$3:$B$212,2,0),"")</f>
        <v/>
      </c>
      <c r="J384" s="280" t="n"/>
      <c r="K384" s="332">
        <f>IFERROR(VLOOKUP(TEXT(O384,"0"),CONDUCTORES!$A$3:$G$54,7,0),"")</f>
        <v/>
      </c>
      <c r="L384" s="280" t="n"/>
      <c r="M384" s="280" t="n"/>
      <c r="N384" s="333">
        <f>IFERROR(IF(L384*M384=0,"",L384*M384),"")</f>
        <v/>
      </c>
      <c r="O384" s="280" t="n"/>
      <c r="P384" s="332">
        <f>IFERROR(VLOOKUP(TEXT(O384,"0"),CONDUCTORES!$A$3:$G$54,2,0),"")</f>
        <v/>
      </c>
      <c r="Q384" s="332">
        <f>IFERROR(VLOOKUP(TEXT(O384,"0"),CONDUCTORES!$A$3:$H$54,6,0),"")</f>
        <v/>
      </c>
      <c r="R384" s="280" t="n"/>
      <c r="S384" s="280" t="n"/>
      <c r="T384" s="280" t="n"/>
      <c r="U384" s="280" t="n"/>
      <c r="V384" s="280" t="n"/>
      <c r="W384" s="280" t="n"/>
      <c r="X384" s="280" t="n"/>
      <c r="Y384" s="280" t="n"/>
      <c r="Z384" s="375">
        <f>IF(AND(G384&lt;&gt;"",R384&lt;&gt;"",V384&lt;&gt;"",W384&lt;&gt;""),"COMPLETADO","OBSERVADO")</f>
        <v/>
      </c>
    </row>
    <row r="385" ht="15" customHeight="1" s="195">
      <c r="A385" s="334" t="n"/>
      <c r="B385" s="334" t="n"/>
      <c r="C385" s="334" t="n"/>
      <c r="D385" s="334" t="n"/>
      <c r="E385" s="334" t="n"/>
      <c r="F385" s="334" t="n"/>
      <c r="G385" s="334" t="n"/>
      <c r="H385" s="334" t="n"/>
      <c r="I385" s="332">
        <f>IFERROR(VLOOKUP(TEXT(H385,"0"),IPRESS!$A$3:$B$212,2,0),"")</f>
        <v/>
      </c>
      <c r="J385" s="334" t="n"/>
      <c r="K385" s="332">
        <f>IFERROR(VLOOKUP(TEXT(O385,"0"),CONDUCTORES!$A$3:$G$54,7,0),"")</f>
        <v/>
      </c>
      <c r="L385" s="334" t="n"/>
      <c r="M385" s="334" t="n"/>
      <c r="N385" s="333">
        <f>IFERROR(IF(L385*M385=0,"",L385*M385),"")</f>
        <v/>
      </c>
      <c r="O385" s="334" t="n"/>
      <c r="P385" s="332">
        <f>IFERROR(VLOOKUP(TEXT(O385,"0"),CONDUCTORES!$A$3:$G$54,2,0),"")</f>
        <v/>
      </c>
      <c r="Q385" s="332">
        <f>IFERROR(VLOOKUP(TEXT(O385,"0"),CONDUCTORES!$A$3:$H$54,6,0),"")</f>
        <v/>
      </c>
      <c r="R385" s="334" t="n"/>
      <c r="S385" s="334" t="n"/>
      <c r="T385" s="334" t="n"/>
      <c r="U385" s="334" t="n"/>
      <c r="V385" s="334" t="n"/>
      <c r="W385" s="334" t="n"/>
      <c r="X385" s="334" t="n"/>
      <c r="Y385" s="334" t="n"/>
      <c r="Z385" s="375">
        <f>IF(AND(G385&lt;&gt;"",R385&lt;&gt;"",V385&lt;&gt;"",W385&lt;&gt;""),"COMPLETADO","OBSERVADO")</f>
        <v/>
      </c>
    </row>
    <row r="386" ht="15" customHeight="1" s="195">
      <c r="A386" s="280" t="n"/>
      <c r="B386" s="280" t="n"/>
      <c r="C386" s="280" t="n"/>
      <c r="D386" s="280" t="n"/>
      <c r="E386" s="280" t="n"/>
      <c r="F386" s="280" t="n"/>
      <c r="G386" s="280" t="n"/>
      <c r="H386" s="280" t="n"/>
      <c r="I386" s="332">
        <f>IFERROR(VLOOKUP(TEXT(H386,"0"),IPRESS!$A$3:$B$212,2,0),"")</f>
        <v/>
      </c>
      <c r="J386" s="280" t="n"/>
      <c r="K386" s="332">
        <f>IFERROR(VLOOKUP(TEXT(O386,"0"),CONDUCTORES!$A$3:$G$54,7,0),"")</f>
        <v/>
      </c>
      <c r="L386" s="280" t="n"/>
      <c r="M386" s="280" t="n"/>
      <c r="N386" s="333">
        <f>IFERROR(IF(L386*M386=0,"",L386*M386),"")</f>
        <v/>
      </c>
      <c r="O386" s="280" t="n"/>
      <c r="P386" s="332">
        <f>IFERROR(VLOOKUP(TEXT(O386,"0"),CONDUCTORES!$A$3:$G$54,2,0),"")</f>
        <v/>
      </c>
      <c r="Q386" s="332">
        <f>IFERROR(VLOOKUP(TEXT(O386,"0"),CONDUCTORES!$A$3:$H$54,6,0),"")</f>
        <v/>
      </c>
      <c r="R386" s="280" t="n"/>
      <c r="S386" s="280" t="n"/>
      <c r="T386" s="280" t="n"/>
      <c r="U386" s="280" t="n"/>
      <c r="V386" s="280" t="n"/>
      <c r="W386" s="280" t="n"/>
      <c r="X386" s="280" t="n"/>
      <c r="Y386" s="280" t="n"/>
      <c r="Z386" s="375">
        <f>IF(AND(G386&lt;&gt;"",R386&lt;&gt;"",V386&lt;&gt;"",W386&lt;&gt;""),"COMPLETADO","OBSERVADO")</f>
        <v/>
      </c>
    </row>
    <row r="387" ht="15" customHeight="1" s="195">
      <c r="A387" s="334" t="n"/>
      <c r="B387" s="334" t="n"/>
      <c r="C387" s="334" t="n"/>
      <c r="D387" s="334" t="n"/>
      <c r="E387" s="334" t="n"/>
      <c r="F387" s="334" t="n"/>
      <c r="G387" s="334" t="n"/>
      <c r="H387" s="334" t="n"/>
      <c r="I387" s="332">
        <f>IFERROR(VLOOKUP(TEXT(H387,"0"),IPRESS!$A$3:$B$212,2,0),"")</f>
        <v/>
      </c>
      <c r="J387" s="334" t="n"/>
      <c r="K387" s="332">
        <f>IFERROR(VLOOKUP(TEXT(O387,"0"),CONDUCTORES!$A$3:$G$54,7,0),"")</f>
        <v/>
      </c>
      <c r="L387" s="334" t="n"/>
      <c r="M387" s="334" t="n"/>
      <c r="N387" s="333">
        <f>IFERROR(IF(L387*M387=0,"",L387*M387),"")</f>
        <v/>
      </c>
      <c r="O387" s="334" t="n"/>
      <c r="P387" s="332">
        <f>IFERROR(VLOOKUP(TEXT(O387,"0"),CONDUCTORES!$A$3:$G$54,2,0),"")</f>
        <v/>
      </c>
      <c r="Q387" s="332">
        <f>IFERROR(VLOOKUP(TEXT(O387,"0"),CONDUCTORES!$A$3:$H$54,6,0),"")</f>
        <v/>
      </c>
      <c r="R387" s="334" t="n"/>
      <c r="S387" s="334" t="n"/>
      <c r="T387" s="334" t="n"/>
      <c r="U387" s="334" t="n"/>
      <c r="V387" s="334" t="n"/>
      <c r="W387" s="334" t="n"/>
      <c r="X387" s="334" t="n"/>
      <c r="Y387" s="334" t="n"/>
      <c r="Z387" s="375">
        <f>IF(AND(G387&lt;&gt;"",R387&lt;&gt;"",V387&lt;&gt;"",W387&lt;&gt;""),"COMPLETADO","OBSERVADO")</f>
        <v/>
      </c>
    </row>
    <row r="388" ht="15" customHeight="1" s="195">
      <c r="A388" s="280" t="n"/>
      <c r="B388" s="280" t="n"/>
      <c r="C388" s="280" t="n"/>
      <c r="D388" s="280" t="n"/>
      <c r="E388" s="280" t="n"/>
      <c r="F388" s="280" t="n"/>
      <c r="G388" s="280" t="n"/>
      <c r="H388" s="280" t="n"/>
      <c r="I388" s="332">
        <f>IFERROR(VLOOKUP(TEXT(H388,"0"),IPRESS!$A$3:$B$212,2,0),"")</f>
        <v/>
      </c>
      <c r="J388" s="280" t="n"/>
      <c r="K388" s="332">
        <f>IFERROR(VLOOKUP(TEXT(O388,"0"),CONDUCTORES!$A$3:$G$54,7,0),"")</f>
        <v/>
      </c>
      <c r="L388" s="280" t="n"/>
      <c r="M388" s="280" t="n"/>
      <c r="N388" s="333">
        <f>IFERROR(IF(L388*M388=0,"",L388*M388),"")</f>
        <v/>
      </c>
      <c r="O388" s="280" t="n"/>
      <c r="P388" s="332">
        <f>IFERROR(VLOOKUP(TEXT(O388,"0"),CONDUCTORES!$A$3:$G$54,2,0),"")</f>
        <v/>
      </c>
      <c r="Q388" s="332">
        <f>IFERROR(VLOOKUP(TEXT(O388,"0"),CONDUCTORES!$A$3:$H$54,6,0),"")</f>
        <v/>
      </c>
      <c r="R388" s="280" t="n"/>
      <c r="S388" s="280" t="n"/>
      <c r="T388" s="280" t="n"/>
      <c r="U388" s="280" t="n"/>
      <c r="V388" s="280" t="n"/>
      <c r="W388" s="280" t="n"/>
      <c r="X388" s="280" t="n"/>
      <c r="Y388" s="280" t="n"/>
      <c r="Z388" s="375">
        <f>IF(AND(G388&lt;&gt;"",R388&lt;&gt;"",V388&lt;&gt;"",W388&lt;&gt;""),"COMPLETADO","OBSERVADO")</f>
        <v/>
      </c>
    </row>
    <row r="389" ht="15" customHeight="1" s="195">
      <c r="A389" s="334" t="n"/>
      <c r="B389" s="334" t="n"/>
      <c r="C389" s="334" t="n"/>
      <c r="D389" s="334" t="n"/>
      <c r="E389" s="334" t="n"/>
      <c r="F389" s="334" t="n"/>
      <c r="G389" s="334" t="n"/>
      <c r="H389" s="334" t="n"/>
      <c r="I389" s="332">
        <f>IFERROR(VLOOKUP(TEXT(H389,"0"),IPRESS!$A$3:$B$212,2,0),"")</f>
        <v/>
      </c>
      <c r="J389" s="334" t="n"/>
      <c r="K389" s="332">
        <f>IFERROR(VLOOKUP(TEXT(O389,"0"),CONDUCTORES!$A$3:$G$54,7,0),"")</f>
        <v/>
      </c>
      <c r="L389" s="334" t="n"/>
      <c r="M389" s="334" t="n"/>
      <c r="N389" s="333">
        <f>IFERROR(IF(L389*M389=0,"",L389*M389),"")</f>
        <v/>
      </c>
      <c r="O389" s="334" t="n"/>
      <c r="P389" s="332">
        <f>IFERROR(VLOOKUP(TEXT(O389,"0"),CONDUCTORES!$A$3:$G$54,2,0),"")</f>
        <v/>
      </c>
      <c r="Q389" s="332">
        <f>IFERROR(VLOOKUP(TEXT(O389,"0"),CONDUCTORES!$A$3:$H$54,6,0),"")</f>
        <v/>
      </c>
      <c r="R389" s="334" t="n"/>
      <c r="S389" s="334" t="n"/>
      <c r="T389" s="334" t="n"/>
      <c r="U389" s="334" t="n"/>
      <c r="V389" s="334" t="n"/>
      <c r="W389" s="334" t="n"/>
      <c r="X389" s="334" t="n"/>
      <c r="Y389" s="334" t="n"/>
      <c r="Z389" s="375">
        <f>IF(AND(G389&lt;&gt;"",R389&lt;&gt;"",V389&lt;&gt;"",W389&lt;&gt;""),"COMPLETADO","OBSERVADO")</f>
        <v/>
      </c>
    </row>
    <row r="390" ht="15" customHeight="1" s="195">
      <c r="A390" s="280" t="n"/>
      <c r="B390" s="280" t="n"/>
      <c r="C390" s="280" t="n"/>
      <c r="D390" s="280" t="n"/>
      <c r="E390" s="280" t="n"/>
      <c r="F390" s="280" t="n"/>
      <c r="G390" s="280" t="n"/>
      <c r="H390" s="280" t="n"/>
      <c r="I390" s="332">
        <f>IFERROR(VLOOKUP(TEXT(H390,"0"),IPRESS!$A$3:$B$212,2,0),"")</f>
        <v/>
      </c>
      <c r="J390" s="280" t="n"/>
      <c r="K390" s="332">
        <f>IFERROR(VLOOKUP(TEXT(O390,"0"),CONDUCTORES!$A$3:$G$54,7,0),"")</f>
        <v/>
      </c>
      <c r="L390" s="280" t="n"/>
      <c r="M390" s="280" t="n"/>
      <c r="N390" s="333">
        <f>IFERROR(IF(L390*M390=0,"",L390*M390),"")</f>
        <v/>
      </c>
      <c r="O390" s="280" t="n"/>
      <c r="P390" s="332">
        <f>IFERROR(VLOOKUP(TEXT(O390,"0"),CONDUCTORES!$A$3:$G$54,2,0),"")</f>
        <v/>
      </c>
      <c r="Q390" s="332">
        <f>IFERROR(VLOOKUP(TEXT(O390,"0"),CONDUCTORES!$A$3:$H$54,6,0),"")</f>
        <v/>
      </c>
      <c r="R390" s="280" t="n"/>
      <c r="S390" s="280" t="n"/>
      <c r="T390" s="280" t="n"/>
      <c r="U390" s="280" t="n"/>
      <c r="V390" s="280" t="n"/>
      <c r="W390" s="280" t="n"/>
      <c r="X390" s="280" t="n"/>
      <c r="Y390" s="280" t="n"/>
      <c r="Z390" s="375">
        <f>IF(AND(G390&lt;&gt;"",R390&lt;&gt;"",V390&lt;&gt;"",W390&lt;&gt;""),"COMPLETADO","OBSERVADO")</f>
        <v/>
      </c>
    </row>
    <row r="391" ht="15" customHeight="1" s="195">
      <c r="A391" s="334" t="n"/>
      <c r="B391" s="334" t="n"/>
      <c r="C391" s="334" t="n"/>
      <c r="D391" s="334" t="n"/>
      <c r="E391" s="334" t="n"/>
      <c r="F391" s="334" t="n"/>
      <c r="G391" s="334" t="n"/>
      <c r="H391" s="334" t="n"/>
      <c r="I391" s="332">
        <f>IFERROR(VLOOKUP(TEXT(H391,"0"),IPRESS!$A$3:$B$212,2,0),"")</f>
        <v/>
      </c>
      <c r="J391" s="334" t="n"/>
      <c r="K391" s="332">
        <f>IFERROR(VLOOKUP(TEXT(O391,"0"),CONDUCTORES!$A$3:$G$54,7,0),"")</f>
        <v/>
      </c>
      <c r="L391" s="334" t="n"/>
      <c r="M391" s="334" t="n"/>
      <c r="N391" s="333">
        <f>IFERROR(IF(L391*M391=0,"",L391*M391),"")</f>
        <v/>
      </c>
      <c r="O391" s="334" t="n"/>
      <c r="P391" s="332">
        <f>IFERROR(VLOOKUP(TEXT(O391,"0"),CONDUCTORES!$A$3:$G$54,2,0),"")</f>
        <v/>
      </c>
      <c r="Q391" s="332">
        <f>IFERROR(VLOOKUP(TEXT(O391,"0"),CONDUCTORES!$A$3:$H$54,6,0),"")</f>
        <v/>
      </c>
      <c r="R391" s="334" t="n"/>
      <c r="S391" s="334" t="n"/>
      <c r="T391" s="334" t="n"/>
      <c r="U391" s="334" t="n"/>
      <c r="V391" s="334" t="n"/>
      <c r="W391" s="334" t="n"/>
      <c r="X391" s="334" t="n"/>
      <c r="Y391" s="334" t="n"/>
      <c r="Z391" s="375">
        <f>IF(AND(G391&lt;&gt;"",R391&lt;&gt;"",V391&lt;&gt;"",W391&lt;&gt;""),"COMPLETADO","OBSERVADO")</f>
        <v/>
      </c>
    </row>
    <row r="392" ht="15" customHeight="1" s="195">
      <c r="A392" s="280" t="n"/>
      <c r="B392" s="280" t="n"/>
      <c r="C392" s="280" t="n"/>
      <c r="D392" s="280" t="n"/>
      <c r="E392" s="280" t="n"/>
      <c r="F392" s="280" t="n"/>
      <c r="G392" s="280" t="n"/>
      <c r="H392" s="280" t="n"/>
      <c r="I392" s="332">
        <f>IFERROR(VLOOKUP(TEXT(H392,"0"),IPRESS!$A$3:$B$212,2,0),"")</f>
        <v/>
      </c>
      <c r="J392" s="280" t="n"/>
      <c r="K392" s="332">
        <f>IFERROR(VLOOKUP(TEXT(O392,"0"),CONDUCTORES!$A$3:$G$54,7,0),"")</f>
        <v/>
      </c>
      <c r="L392" s="280" t="n"/>
      <c r="M392" s="280" t="n"/>
      <c r="N392" s="333">
        <f>IFERROR(IF(L392*M392=0,"",L392*M392),"")</f>
        <v/>
      </c>
      <c r="O392" s="280" t="n"/>
      <c r="P392" s="332">
        <f>IFERROR(VLOOKUP(TEXT(O392,"0"),CONDUCTORES!$A$3:$G$54,2,0),"")</f>
        <v/>
      </c>
      <c r="Q392" s="332">
        <f>IFERROR(VLOOKUP(TEXT(O392,"0"),CONDUCTORES!$A$3:$H$54,6,0),"")</f>
        <v/>
      </c>
      <c r="R392" s="280" t="n"/>
      <c r="S392" s="280" t="n"/>
      <c r="T392" s="280" t="n"/>
      <c r="U392" s="280" t="n"/>
      <c r="V392" s="280" t="n"/>
      <c r="W392" s="280" t="n"/>
      <c r="X392" s="280" t="n"/>
      <c r="Y392" s="280" t="n"/>
      <c r="Z392" s="375">
        <f>IF(AND(G392&lt;&gt;"",R392&lt;&gt;"",V392&lt;&gt;"",W392&lt;&gt;""),"COMPLETADO","OBSERVADO")</f>
        <v/>
      </c>
    </row>
    <row r="393" ht="15" customHeight="1" s="195">
      <c r="A393" s="334" t="n"/>
      <c r="B393" s="334" t="n"/>
      <c r="C393" s="334" t="n"/>
      <c r="D393" s="334" t="n"/>
      <c r="E393" s="334" t="n"/>
      <c r="F393" s="334" t="n"/>
      <c r="G393" s="334" t="n"/>
      <c r="H393" s="334" t="n"/>
      <c r="I393" s="332">
        <f>IFERROR(VLOOKUP(TEXT(H393,"0"),IPRESS!$A$3:$B$212,2,0),"")</f>
        <v/>
      </c>
      <c r="J393" s="334" t="n"/>
      <c r="K393" s="332">
        <f>IFERROR(VLOOKUP(TEXT(O393,"0"),CONDUCTORES!$A$3:$G$54,7,0),"")</f>
        <v/>
      </c>
      <c r="L393" s="334" t="n"/>
      <c r="M393" s="334" t="n"/>
      <c r="N393" s="333">
        <f>IFERROR(IF(L393*M393=0,"",L393*M393),"")</f>
        <v/>
      </c>
      <c r="O393" s="334" t="n"/>
      <c r="P393" s="332">
        <f>IFERROR(VLOOKUP(TEXT(O393,"0"),CONDUCTORES!$A$3:$G$54,2,0),"")</f>
        <v/>
      </c>
      <c r="Q393" s="332">
        <f>IFERROR(VLOOKUP(TEXT(O393,"0"),CONDUCTORES!$A$3:$H$54,6,0),"")</f>
        <v/>
      </c>
      <c r="R393" s="334" t="n"/>
      <c r="S393" s="334" t="n"/>
      <c r="T393" s="334" t="n"/>
      <c r="U393" s="334" t="n"/>
      <c r="V393" s="334" t="n"/>
      <c r="W393" s="334" t="n"/>
      <c r="X393" s="334" t="n"/>
      <c r="Y393" s="334" t="n"/>
      <c r="Z393" s="375">
        <f>IF(AND(G393&lt;&gt;"",R393&lt;&gt;"",V393&lt;&gt;"",W393&lt;&gt;""),"COMPLETADO","OBSERVADO")</f>
        <v/>
      </c>
    </row>
    <row r="394" ht="15" customHeight="1" s="195">
      <c r="A394" s="280" t="n"/>
      <c r="B394" s="280" t="n"/>
      <c r="C394" s="280" t="n"/>
      <c r="D394" s="280" t="n"/>
      <c r="E394" s="280" t="n"/>
      <c r="F394" s="280" t="n"/>
      <c r="G394" s="280" t="n"/>
      <c r="H394" s="280" t="n"/>
      <c r="I394" s="332">
        <f>IFERROR(VLOOKUP(TEXT(H394,"0"),IPRESS!$A$3:$B$212,2,0),"")</f>
        <v/>
      </c>
      <c r="J394" s="280" t="n"/>
      <c r="K394" s="332">
        <f>IFERROR(VLOOKUP(TEXT(O394,"0"),CONDUCTORES!$A$3:$G$54,7,0),"")</f>
        <v/>
      </c>
      <c r="L394" s="280" t="n"/>
      <c r="M394" s="280" t="n"/>
      <c r="N394" s="333">
        <f>IFERROR(IF(L394*M394=0,"",L394*M394),"")</f>
        <v/>
      </c>
      <c r="O394" s="280" t="n"/>
      <c r="P394" s="332">
        <f>IFERROR(VLOOKUP(TEXT(O394,"0"),CONDUCTORES!$A$3:$G$54,2,0),"")</f>
        <v/>
      </c>
      <c r="Q394" s="332">
        <f>IFERROR(VLOOKUP(TEXT(O394,"0"),CONDUCTORES!$A$3:$H$54,6,0),"")</f>
        <v/>
      </c>
      <c r="R394" s="280" t="n"/>
      <c r="S394" s="280" t="n"/>
      <c r="T394" s="280" t="n"/>
      <c r="U394" s="280" t="n"/>
      <c r="V394" s="280" t="n"/>
      <c r="W394" s="280" t="n"/>
      <c r="X394" s="280" t="n"/>
      <c r="Y394" s="280" t="n"/>
      <c r="Z394" s="375">
        <f>IF(AND(G394&lt;&gt;"",R394&lt;&gt;"",V394&lt;&gt;"",W394&lt;&gt;""),"COMPLETADO","OBSERVADO")</f>
        <v/>
      </c>
    </row>
    <row r="395" ht="15" customHeight="1" s="195">
      <c r="A395" s="334" t="n"/>
      <c r="B395" s="334" t="n"/>
      <c r="C395" s="334" t="n"/>
      <c r="D395" s="334" t="n"/>
      <c r="E395" s="334" t="n"/>
      <c r="F395" s="334" t="n"/>
      <c r="G395" s="334" t="n"/>
      <c r="H395" s="334" t="n"/>
      <c r="I395" s="332">
        <f>IFERROR(VLOOKUP(TEXT(H395,"0"),IPRESS!$A$3:$B$212,2,0),"")</f>
        <v/>
      </c>
      <c r="J395" s="334" t="n"/>
      <c r="K395" s="332">
        <f>IFERROR(VLOOKUP(TEXT(O395,"0"),CONDUCTORES!$A$3:$G$54,7,0),"")</f>
        <v/>
      </c>
      <c r="L395" s="334" t="n"/>
      <c r="M395" s="334" t="n"/>
      <c r="N395" s="333">
        <f>IFERROR(IF(L395*M395=0,"",L395*M395),"")</f>
        <v/>
      </c>
      <c r="O395" s="334" t="n"/>
      <c r="P395" s="332">
        <f>IFERROR(VLOOKUP(TEXT(O395,"0"),CONDUCTORES!$A$3:$G$54,2,0),"")</f>
        <v/>
      </c>
      <c r="Q395" s="332">
        <f>IFERROR(VLOOKUP(TEXT(O395,"0"),CONDUCTORES!$A$3:$H$54,6,0),"")</f>
        <v/>
      </c>
      <c r="R395" s="334" t="n"/>
      <c r="S395" s="334" t="n"/>
      <c r="T395" s="334" t="n"/>
      <c r="U395" s="334" t="n"/>
      <c r="V395" s="334" t="n"/>
      <c r="W395" s="334" t="n"/>
      <c r="X395" s="334" t="n"/>
      <c r="Y395" s="334" t="n"/>
      <c r="Z395" s="375">
        <f>IF(AND(G395&lt;&gt;"",R395&lt;&gt;"",V395&lt;&gt;"",W395&lt;&gt;""),"COMPLETADO","OBSERVADO")</f>
        <v/>
      </c>
    </row>
    <row r="396" ht="15" customHeight="1" s="195">
      <c r="A396" s="280" t="n"/>
      <c r="B396" s="280" t="n"/>
      <c r="C396" s="280" t="n"/>
      <c r="D396" s="280" t="n"/>
      <c r="E396" s="280" t="n"/>
      <c r="F396" s="280" t="n"/>
      <c r="G396" s="280" t="n"/>
      <c r="H396" s="280" t="n"/>
      <c r="I396" s="332">
        <f>IFERROR(VLOOKUP(TEXT(H396,"0"),IPRESS!$A$3:$B$212,2,0),"")</f>
        <v/>
      </c>
      <c r="J396" s="280" t="n"/>
      <c r="K396" s="332">
        <f>IFERROR(VLOOKUP(TEXT(O396,"0"),CONDUCTORES!$A$3:$G$54,7,0),"")</f>
        <v/>
      </c>
      <c r="L396" s="280" t="n"/>
      <c r="M396" s="280" t="n"/>
      <c r="N396" s="333">
        <f>IFERROR(IF(L396*M396=0,"",L396*M396),"")</f>
        <v/>
      </c>
      <c r="O396" s="280" t="n"/>
      <c r="P396" s="332">
        <f>IFERROR(VLOOKUP(TEXT(O396,"0"),CONDUCTORES!$A$3:$G$54,2,0),"")</f>
        <v/>
      </c>
      <c r="Q396" s="332">
        <f>IFERROR(VLOOKUP(TEXT(O396,"0"),CONDUCTORES!$A$3:$H$54,6,0),"")</f>
        <v/>
      </c>
      <c r="R396" s="280" t="n"/>
      <c r="S396" s="280" t="n"/>
      <c r="T396" s="280" t="n"/>
      <c r="U396" s="280" t="n"/>
      <c r="V396" s="280" t="n"/>
      <c r="W396" s="280" t="n"/>
      <c r="X396" s="280" t="n"/>
      <c r="Y396" s="280" t="n"/>
      <c r="Z396" s="375">
        <f>IF(AND(G396&lt;&gt;"",R396&lt;&gt;"",V396&lt;&gt;"",W396&lt;&gt;""),"COMPLETADO","OBSERVADO")</f>
        <v/>
      </c>
    </row>
    <row r="397" ht="15" customHeight="1" s="195">
      <c r="A397" s="334" t="n"/>
      <c r="B397" s="334" t="n"/>
      <c r="C397" s="334" t="n"/>
      <c r="D397" s="334" t="n"/>
      <c r="E397" s="334" t="n"/>
      <c r="F397" s="334" t="n"/>
      <c r="G397" s="334" t="n"/>
      <c r="H397" s="334" t="n"/>
      <c r="I397" s="332">
        <f>IFERROR(VLOOKUP(TEXT(H397,"0"),IPRESS!$A$3:$B$212,2,0),"")</f>
        <v/>
      </c>
      <c r="J397" s="334" t="n"/>
      <c r="K397" s="332">
        <f>IFERROR(VLOOKUP(TEXT(O397,"0"),CONDUCTORES!$A$3:$G$54,7,0),"")</f>
        <v/>
      </c>
      <c r="L397" s="334" t="n"/>
      <c r="M397" s="334" t="n"/>
      <c r="N397" s="333">
        <f>IFERROR(IF(L397*M397=0,"",L397*M397),"")</f>
        <v/>
      </c>
      <c r="O397" s="334" t="n"/>
      <c r="P397" s="332">
        <f>IFERROR(VLOOKUP(TEXT(O397,"0"),CONDUCTORES!$A$3:$G$54,2,0),"")</f>
        <v/>
      </c>
      <c r="Q397" s="332">
        <f>IFERROR(VLOOKUP(TEXT(O397,"0"),CONDUCTORES!$A$3:$H$54,6,0),"")</f>
        <v/>
      </c>
      <c r="R397" s="334" t="n"/>
      <c r="S397" s="334" t="n"/>
      <c r="T397" s="334" t="n"/>
      <c r="U397" s="334" t="n"/>
      <c r="V397" s="334" t="n"/>
      <c r="W397" s="334" t="n"/>
      <c r="X397" s="334" t="n"/>
      <c r="Y397" s="334" t="n"/>
      <c r="Z397" s="375">
        <f>IF(AND(G397&lt;&gt;"",R397&lt;&gt;"",V397&lt;&gt;"",W397&lt;&gt;""),"COMPLETADO","OBSERVADO")</f>
        <v/>
      </c>
    </row>
    <row r="398" ht="15" customHeight="1" s="195">
      <c r="A398" s="280" t="n"/>
      <c r="B398" s="280" t="n"/>
      <c r="C398" s="280" t="n"/>
      <c r="D398" s="280" t="n"/>
      <c r="E398" s="280" t="n"/>
      <c r="F398" s="280" t="n"/>
      <c r="G398" s="280" t="n"/>
      <c r="H398" s="280" t="n"/>
      <c r="I398" s="332">
        <f>IFERROR(VLOOKUP(TEXT(H398,"0"),IPRESS!$A$3:$B$212,2,0),"")</f>
        <v/>
      </c>
      <c r="J398" s="280" t="n"/>
      <c r="K398" s="332">
        <f>IFERROR(VLOOKUP(TEXT(O398,"0"),CONDUCTORES!$A$3:$G$54,7,0),"")</f>
        <v/>
      </c>
      <c r="L398" s="280" t="n"/>
      <c r="M398" s="280" t="n"/>
      <c r="N398" s="333">
        <f>IFERROR(IF(L398*M398=0,"",L398*M398),"")</f>
        <v/>
      </c>
      <c r="O398" s="280" t="n"/>
      <c r="P398" s="332">
        <f>IFERROR(VLOOKUP(TEXT(O398,"0"),CONDUCTORES!$A$3:$G$54,2,0),"")</f>
        <v/>
      </c>
      <c r="Q398" s="332">
        <f>IFERROR(VLOOKUP(TEXT(O398,"0"),CONDUCTORES!$A$3:$H$54,6,0),"")</f>
        <v/>
      </c>
      <c r="R398" s="280" t="n"/>
      <c r="S398" s="280" t="n"/>
      <c r="T398" s="280" t="n"/>
      <c r="U398" s="280" t="n"/>
      <c r="V398" s="280" t="n"/>
      <c r="W398" s="280" t="n"/>
      <c r="X398" s="280" t="n"/>
      <c r="Y398" s="280" t="n"/>
      <c r="Z398" s="375">
        <f>IF(AND(G398&lt;&gt;"",R398&lt;&gt;"",V398&lt;&gt;"",W398&lt;&gt;""),"COMPLETADO","OBSERVADO")</f>
        <v/>
      </c>
    </row>
    <row r="399" ht="15" customHeight="1" s="195">
      <c r="A399" s="334" t="n"/>
      <c r="B399" s="334" t="n"/>
      <c r="C399" s="334" t="n"/>
      <c r="D399" s="334" t="n"/>
      <c r="E399" s="334" t="n"/>
      <c r="F399" s="334" t="n"/>
      <c r="G399" s="334" t="n"/>
      <c r="H399" s="334" t="n"/>
      <c r="I399" s="332">
        <f>IFERROR(VLOOKUP(TEXT(H399,"0"),IPRESS!$A$3:$B$212,2,0),"")</f>
        <v/>
      </c>
      <c r="J399" s="334" t="n"/>
      <c r="K399" s="332">
        <f>IFERROR(VLOOKUP(TEXT(O399,"0"),CONDUCTORES!$A$3:$G$54,7,0),"")</f>
        <v/>
      </c>
      <c r="L399" s="334" t="n"/>
      <c r="M399" s="334" t="n"/>
      <c r="N399" s="333">
        <f>IFERROR(IF(L399*M399=0,"",L399*M399),"")</f>
        <v/>
      </c>
      <c r="O399" s="334" t="n"/>
      <c r="P399" s="332">
        <f>IFERROR(VLOOKUP(TEXT(O399,"0"),CONDUCTORES!$A$3:$G$54,2,0),"")</f>
        <v/>
      </c>
      <c r="Q399" s="332">
        <f>IFERROR(VLOOKUP(TEXT(O399,"0"),CONDUCTORES!$A$3:$H$54,6,0),"")</f>
        <v/>
      </c>
      <c r="R399" s="334" t="n"/>
      <c r="S399" s="334" t="n"/>
      <c r="T399" s="334" t="n"/>
      <c r="U399" s="334" t="n"/>
      <c r="V399" s="334" t="n"/>
      <c r="W399" s="334" t="n"/>
      <c r="X399" s="334" t="n"/>
      <c r="Y399" s="334" t="n"/>
      <c r="Z399" s="375">
        <f>IF(AND(G399&lt;&gt;"",R399&lt;&gt;"",V399&lt;&gt;"",W399&lt;&gt;""),"COMPLETADO","OBSERVADO")</f>
        <v/>
      </c>
    </row>
    <row r="400" ht="15" customHeight="1" s="195">
      <c r="A400" s="280" t="n"/>
      <c r="B400" s="280" t="n"/>
      <c r="C400" s="280" t="n"/>
      <c r="D400" s="280" t="n"/>
      <c r="E400" s="280" t="n"/>
      <c r="F400" s="280" t="n"/>
      <c r="G400" s="280" t="n"/>
      <c r="H400" s="280" t="n"/>
      <c r="I400" s="332">
        <f>IFERROR(VLOOKUP(TEXT(H400,"0"),IPRESS!$A$3:$B$212,2,0),"")</f>
        <v/>
      </c>
      <c r="J400" s="280" t="n"/>
      <c r="K400" s="332">
        <f>IFERROR(VLOOKUP(TEXT(O400,"0"),CONDUCTORES!$A$3:$G$54,7,0),"")</f>
        <v/>
      </c>
      <c r="L400" s="280" t="n"/>
      <c r="M400" s="280" t="n"/>
      <c r="N400" s="333">
        <f>IFERROR(IF(L400*M400=0,"",L400*M400),"")</f>
        <v/>
      </c>
      <c r="O400" s="280" t="n"/>
      <c r="P400" s="332">
        <f>IFERROR(VLOOKUP(TEXT(O400,"0"),CONDUCTORES!$A$3:$G$54,2,0),"")</f>
        <v/>
      </c>
      <c r="Q400" s="332">
        <f>IFERROR(VLOOKUP(TEXT(O400,"0"),CONDUCTORES!$A$3:$H$54,6,0),"")</f>
        <v/>
      </c>
      <c r="R400" s="280" t="n"/>
      <c r="S400" s="280" t="n"/>
      <c r="T400" s="280" t="n"/>
      <c r="U400" s="280" t="n"/>
      <c r="V400" s="280" t="n"/>
      <c r="W400" s="280" t="n"/>
      <c r="X400" s="280" t="n"/>
      <c r="Y400" s="280" t="n"/>
      <c r="Z400" s="375">
        <f>IF(AND(G400&lt;&gt;"",R400&lt;&gt;"",V400&lt;&gt;"",W400&lt;&gt;""),"COMPLETADO","OBSERVADO")</f>
        <v/>
      </c>
    </row>
    <row r="401" ht="15" customHeight="1" s="195">
      <c r="A401" s="334" t="n"/>
      <c r="B401" s="334" t="n"/>
      <c r="C401" s="334" t="n"/>
      <c r="D401" s="334" t="n"/>
      <c r="E401" s="334" t="n"/>
      <c r="F401" s="334" t="n"/>
      <c r="G401" s="334" t="n"/>
      <c r="H401" s="334" t="n"/>
      <c r="I401" s="332">
        <f>IFERROR(VLOOKUP(TEXT(H401,"0"),IPRESS!$A$3:$B$212,2,0),"")</f>
        <v/>
      </c>
      <c r="J401" s="334" t="n"/>
      <c r="K401" s="332">
        <f>IFERROR(VLOOKUP(TEXT(O401,"0"),CONDUCTORES!$A$3:$G$54,7,0),"")</f>
        <v/>
      </c>
      <c r="L401" s="334" t="n"/>
      <c r="M401" s="334" t="n"/>
      <c r="N401" s="333">
        <f>IFERROR(IF(L401*M401=0,"",L401*M401),"")</f>
        <v/>
      </c>
      <c r="O401" s="334" t="n"/>
      <c r="P401" s="332">
        <f>IFERROR(VLOOKUP(TEXT(O401,"0"),CONDUCTORES!$A$3:$G$54,2,0),"")</f>
        <v/>
      </c>
      <c r="Q401" s="332">
        <f>IFERROR(VLOOKUP(TEXT(O401,"0"),CONDUCTORES!$A$3:$H$54,6,0),"")</f>
        <v/>
      </c>
      <c r="R401" s="334" t="n"/>
      <c r="S401" s="334" t="n"/>
      <c r="T401" s="334" t="n"/>
      <c r="U401" s="334" t="n"/>
      <c r="V401" s="334" t="n"/>
      <c r="W401" s="334" t="n"/>
      <c r="X401" s="334" t="n"/>
      <c r="Y401" s="334" t="n"/>
      <c r="Z401" s="375">
        <f>IF(AND(G401&lt;&gt;"",R401&lt;&gt;"",V401&lt;&gt;"",W401&lt;&gt;""),"COMPLETADO","OBSERVADO")</f>
        <v/>
      </c>
    </row>
    <row r="402" ht="15" customHeight="1" s="195">
      <c r="A402" s="280" t="n"/>
      <c r="B402" s="280" t="n"/>
      <c r="C402" s="280" t="n"/>
      <c r="D402" s="280" t="n"/>
      <c r="E402" s="280" t="n"/>
      <c r="F402" s="280" t="n"/>
      <c r="G402" s="280" t="n"/>
      <c r="H402" s="280" t="n"/>
      <c r="I402" s="332">
        <f>IFERROR(VLOOKUP(TEXT(H402,"0"),IPRESS!$A$3:$B$212,2,0),"")</f>
        <v/>
      </c>
      <c r="J402" s="280" t="n"/>
      <c r="K402" s="332">
        <f>IFERROR(VLOOKUP(TEXT(O402,"0"),CONDUCTORES!$A$3:$G$54,7,0),"")</f>
        <v/>
      </c>
      <c r="L402" s="280" t="n"/>
      <c r="M402" s="280" t="n"/>
      <c r="N402" s="333">
        <f>IFERROR(IF(L402*M402=0,"",L402*M402),"")</f>
        <v/>
      </c>
      <c r="O402" s="280" t="n"/>
      <c r="P402" s="332">
        <f>IFERROR(VLOOKUP(TEXT(O402,"0"),CONDUCTORES!$A$3:$G$54,2,0),"")</f>
        <v/>
      </c>
      <c r="Q402" s="332">
        <f>IFERROR(VLOOKUP(TEXT(O402,"0"),CONDUCTORES!$A$3:$H$54,6,0),"")</f>
        <v/>
      </c>
      <c r="R402" s="280" t="n"/>
      <c r="S402" s="280" t="n"/>
      <c r="T402" s="280" t="n"/>
      <c r="U402" s="280" t="n"/>
      <c r="V402" s="280" t="n"/>
      <c r="W402" s="280" t="n"/>
      <c r="X402" s="280" t="n"/>
      <c r="Y402" s="280" t="n"/>
      <c r="Z402" s="375">
        <f>IF(AND(G402&lt;&gt;"",R402&lt;&gt;"",V402&lt;&gt;"",W402&lt;&gt;""),"COMPLETADO","OBSERVADO")</f>
        <v/>
      </c>
    </row>
    <row r="403" ht="15" customHeight="1" s="195">
      <c r="A403" s="334" t="n"/>
      <c r="B403" s="334" t="n"/>
      <c r="C403" s="334" t="n"/>
      <c r="D403" s="334" t="n"/>
      <c r="E403" s="334" t="n"/>
      <c r="F403" s="334" t="n"/>
      <c r="G403" s="334" t="n"/>
      <c r="H403" s="334" t="n"/>
      <c r="I403" s="332">
        <f>IFERROR(VLOOKUP(TEXT(H403,"0"),IPRESS!$A$3:$B$212,2,0),"")</f>
        <v/>
      </c>
      <c r="J403" s="334" t="n"/>
      <c r="K403" s="332">
        <f>IFERROR(VLOOKUP(TEXT(O403,"0"),CONDUCTORES!$A$3:$G$54,7,0),"")</f>
        <v/>
      </c>
      <c r="L403" s="334" t="n"/>
      <c r="M403" s="334" t="n"/>
      <c r="N403" s="333">
        <f>IFERROR(IF(L403*M403=0,"",L403*M403),"")</f>
        <v/>
      </c>
      <c r="O403" s="334" t="n"/>
      <c r="P403" s="332">
        <f>IFERROR(VLOOKUP(TEXT(O403,"0"),CONDUCTORES!$A$3:$G$54,2,0),"")</f>
        <v/>
      </c>
      <c r="Q403" s="332">
        <f>IFERROR(VLOOKUP(TEXT(O403,"0"),CONDUCTORES!$A$3:$H$54,6,0),"")</f>
        <v/>
      </c>
      <c r="R403" s="334" t="n"/>
      <c r="S403" s="334" t="n"/>
      <c r="T403" s="334" t="n"/>
      <c r="U403" s="334" t="n"/>
      <c r="V403" s="334" t="n"/>
      <c r="W403" s="334" t="n"/>
      <c r="X403" s="334" t="n"/>
      <c r="Y403" s="334" t="n"/>
      <c r="Z403" s="375">
        <f>IF(AND(G403&lt;&gt;"",R403&lt;&gt;"",V403&lt;&gt;"",W403&lt;&gt;""),"COMPLETADO","OBSERVADO")</f>
        <v/>
      </c>
    </row>
    <row r="404" ht="15" customHeight="1" s="195">
      <c r="A404" s="280" t="n"/>
      <c r="B404" s="280" t="n"/>
      <c r="C404" s="280" t="n"/>
      <c r="D404" s="280" t="n"/>
      <c r="E404" s="280" t="n"/>
      <c r="F404" s="280" t="n"/>
      <c r="G404" s="280" t="n"/>
      <c r="H404" s="280" t="n"/>
      <c r="I404" s="332">
        <f>IFERROR(VLOOKUP(TEXT(H404,"0"),IPRESS!$A$3:$B$212,2,0),"")</f>
        <v/>
      </c>
      <c r="J404" s="280" t="n"/>
      <c r="K404" s="332">
        <f>IFERROR(VLOOKUP(TEXT(O404,"0"),CONDUCTORES!$A$3:$G$54,7,0),"")</f>
        <v/>
      </c>
      <c r="L404" s="280" t="n"/>
      <c r="M404" s="280" t="n"/>
      <c r="N404" s="333">
        <f>IFERROR(IF(L404*M404=0,"",L404*M404),"")</f>
        <v/>
      </c>
      <c r="O404" s="280" t="n"/>
      <c r="P404" s="332">
        <f>IFERROR(VLOOKUP(TEXT(O404,"0"),CONDUCTORES!$A$3:$G$54,2,0),"")</f>
        <v/>
      </c>
      <c r="Q404" s="332">
        <f>IFERROR(VLOOKUP(TEXT(O404,"0"),CONDUCTORES!$A$3:$H$54,6,0),"")</f>
        <v/>
      </c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375">
        <f>IF(AND(G404&lt;&gt;"",R404&lt;&gt;"",V404&lt;&gt;"",W404&lt;&gt;""),"COMPLETADO","OBSERVADO")</f>
        <v/>
      </c>
    </row>
    <row r="405" ht="15" customHeight="1" s="195">
      <c r="A405" s="334" t="n"/>
      <c r="B405" s="334" t="n"/>
      <c r="C405" s="334" t="n"/>
      <c r="D405" s="334" t="n"/>
      <c r="E405" s="334" t="n"/>
      <c r="F405" s="334" t="n"/>
      <c r="G405" s="334" t="n"/>
      <c r="H405" s="334" t="n"/>
      <c r="I405" s="332">
        <f>IFERROR(VLOOKUP(TEXT(H405,"0"),IPRESS!$A$3:$B$212,2,0),"")</f>
        <v/>
      </c>
      <c r="J405" s="334" t="n"/>
      <c r="K405" s="332">
        <f>IFERROR(VLOOKUP(TEXT(O405,"0"),CONDUCTORES!$A$3:$G$54,7,0),"")</f>
        <v/>
      </c>
      <c r="L405" s="334" t="n"/>
      <c r="M405" s="334" t="n"/>
      <c r="N405" s="333">
        <f>IFERROR(IF(L405*M405=0,"",L405*M405),"")</f>
        <v/>
      </c>
      <c r="O405" s="334" t="n"/>
      <c r="P405" s="332">
        <f>IFERROR(VLOOKUP(TEXT(O405,"0"),CONDUCTORES!$A$3:$G$54,2,0),"")</f>
        <v/>
      </c>
      <c r="Q405" s="332">
        <f>IFERROR(VLOOKUP(TEXT(O405,"0"),CONDUCTORES!$A$3:$H$54,6,0),"")</f>
        <v/>
      </c>
      <c r="R405" s="334" t="n"/>
      <c r="S405" s="334" t="n"/>
      <c r="T405" s="334" t="n"/>
      <c r="U405" s="334" t="n"/>
      <c r="V405" s="334" t="n"/>
      <c r="W405" s="334" t="n"/>
      <c r="X405" s="334" t="n"/>
      <c r="Y405" s="334" t="n"/>
      <c r="Z405" s="375">
        <f>IF(AND(G405&lt;&gt;"",R405&lt;&gt;"",V405&lt;&gt;"",W405&lt;&gt;""),"COMPLETADO","OBSERVADO")</f>
        <v/>
      </c>
    </row>
    <row r="406" ht="15" customHeight="1" s="195">
      <c r="A406" s="280" t="n"/>
      <c r="B406" s="280" t="n"/>
      <c r="C406" s="280" t="n"/>
      <c r="D406" s="280" t="n"/>
      <c r="E406" s="280" t="n"/>
      <c r="F406" s="280" t="n"/>
      <c r="G406" s="280" t="n"/>
      <c r="H406" s="280" t="n"/>
      <c r="I406" s="332">
        <f>IFERROR(VLOOKUP(TEXT(H406,"0"),IPRESS!$A$3:$B$212,2,0),"")</f>
        <v/>
      </c>
      <c r="J406" s="280" t="n"/>
      <c r="K406" s="332">
        <f>IFERROR(VLOOKUP(TEXT(O406,"0"),CONDUCTORES!$A$3:$G$54,7,0),"")</f>
        <v/>
      </c>
      <c r="L406" s="280" t="n"/>
      <c r="M406" s="280" t="n"/>
      <c r="N406" s="333">
        <f>IFERROR(IF(L406*M406=0,"",L406*M406),"")</f>
        <v/>
      </c>
      <c r="O406" s="280" t="n"/>
      <c r="P406" s="332">
        <f>IFERROR(VLOOKUP(TEXT(O406,"0"),CONDUCTORES!$A$3:$G$54,2,0),"")</f>
        <v/>
      </c>
      <c r="Q406" s="332">
        <f>IFERROR(VLOOKUP(TEXT(O406,"0"),CONDUCTORES!$A$3:$H$54,6,0),"")</f>
        <v/>
      </c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375">
        <f>IF(AND(G406&lt;&gt;"",R406&lt;&gt;"",V406&lt;&gt;"",W406&lt;&gt;""),"COMPLETADO","OBSERVADO")</f>
        <v/>
      </c>
    </row>
    <row r="407" ht="15" customHeight="1" s="195">
      <c r="A407" s="334" t="n"/>
      <c r="B407" s="334" t="n"/>
      <c r="C407" s="334" t="n"/>
      <c r="D407" s="334" t="n"/>
      <c r="E407" s="334" t="n"/>
      <c r="F407" s="334" t="n"/>
      <c r="G407" s="334" t="n"/>
      <c r="H407" s="334" t="n"/>
      <c r="I407" s="332">
        <f>IFERROR(VLOOKUP(TEXT(H407,"0"),IPRESS!$A$3:$B$212,2,0),"")</f>
        <v/>
      </c>
      <c r="J407" s="334" t="n"/>
      <c r="K407" s="332">
        <f>IFERROR(VLOOKUP(TEXT(O407,"0"),CONDUCTORES!$A$3:$G$54,7,0),"")</f>
        <v/>
      </c>
      <c r="L407" s="334" t="n"/>
      <c r="M407" s="334" t="n"/>
      <c r="N407" s="333">
        <f>IFERROR(IF(L407*M407=0,"",L407*M407),"")</f>
        <v/>
      </c>
      <c r="O407" s="334" t="n"/>
      <c r="P407" s="332">
        <f>IFERROR(VLOOKUP(TEXT(O407,"0"),CONDUCTORES!$A$3:$G$54,2,0),"")</f>
        <v/>
      </c>
      <c r="Q407" s="332">
        <f>IFERROR(VLOOKUP(TEXT(O407,"0"),CONDUCTORES!$A$3:$H$54,6,0),"")</f>
        <v/>
      </c>
      <c r="R407" s="334" t="n"/>
      <c r="S407" s="334" t="n"/>
      <c r="T407" s="334" t="n"/>
      <c r="U407" s="334" t="n"/>
      <c r="V407" s="334" t="n"/>
      <c r="W407" s="334" t="n"/>
      <c r="X407" s="334" t="n"/>
      <c r="Y407" s="334" t="n"/>
      <c r="Z407" s="375">
        <f>IF(AND(G407&lt;&gt;"",R407&lt;&gt;"",V407&lt;&gt;"",W407&lt;&gt;""),"COMPLETADO","OBSERVADO")</f>
        <v/>
      </c>
    </row>
    <row r="408" ht="15" customHeight="1" s="195">
      <c r="A408" s="280" t="n"/>
      <c r="B408" s="280" t="n"/>
      <c r="C408" s="280" t="n"/>
      <c r="D408" s="280" t="n"/>
      <c r="E408" s="280" t="n"/>
      <c r="F408" s="280" t="n"/>
      <c r="G408" s="280" t="n"/>
      <c r="H408" s="280" t="n"/>
      <c r="I408" s="332">
        <f>IFERROR(VLOOKUP(TEXT(H408,"0"),IPRESS!$A$3:$B$212,2,0),"")</f>
        <v/>
      </c>
      <c r="J408" s="280" t="n"/>
      <c r="K408" s="332">
        <f>IFERROR(VLOOKUP(TEXT(O408,"0"),CONDUCTORES!$A$3:$G$54,7,0),"")</f>
        <v/>
      </c>
      <c r="L408" s="280" t="n"/>
      <c r="M408" s="280" t="n"/>
      <c r="N408" s="333">
        <f>IFERROR(IF(L408*M408=0,"",L408*M408),"")</f>
        <v/>
      </c>
      <c r="O408" s="280" t="n"/>
      <c r="P408" s="332">
        <f>IFERROR(VLOOKUP(TEXT(O408,"0"),CONDUCTORES!$A$3:$G$54,2,0),"")</f>
        <v/>
      </c>
      <c r="Q408" s="332">
        <f>IFERROR(VLOOKUP(TEXT(O408,"0"),CONDUCTORES!$A$3:$H$54,6,0),"")</f>
        <v/>
      </c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375">
        <f>IF(AND(G408&lt;&gt;"",R408&lt;&gt;"",V408&lt;&gt;"",W408&lt;&gt;""),"COMPLETADO","OBSERVADO")</f>
        <v/>
      </c>
    </row>
    <row r="409" ht="15" customHeight="1" s="195">
      <c r="A409" s="334" t="n"/>
      <c r="B409" s="334" t="n"/>
      <c r="C409" s="334" t="n"/>
      <c r="D409" s="334" t="n"/>
      <c r="E409" s="334" t="n"/>
      <c r="F409" s="334" t="n"/>
      <c r="G409" s="334" t="n"/>
      <c r="H409" s="334" t="n"/>
      <c r="I409" s="332">
        <f>IFERROR(VLOOKUP(TEXT(H409,"0"),IPRESS!$A$3:$B$212,2,0),"")</f>
        <v/>
      </c>
      <c r="J409" s="334" t="n"/>
      <c r="K409" s="332">
        <f>IFERROR(VLOOKUP(TEXT(O409,"0"),CONDUCTORES!$A$3:$G$54,7,0),"")</f>
        <v/>
      </c>
      <c r="L409" s="334" t="n"/>
      <c r="M409" s="334" t="n"/>
      <c r="N409" s="333">
        <f>IFERROR(IF(L409*M409=0,"",L409*M409),"")</f>
        <v/>
      </c>
      <c r="O409" s="334" t="n"/>
      <c r="P409" s="332">
        <f>IFERROR(VLOOKUP(TEXT(O409,"0"),CONDUCTORES!$A$3:$G$54,2,0),"")</f>
        <v/>
      </c>
      <c r="Q409" s="332">
        <f>IFERROR(VLOOKUP(TEXT(O409,"0"),CONDUCTORES!$A$3:$H$54,6,0),"")</f>
        <v/>
      </c>
      <c r="R409" s="334" t="n"/>
      <c r="S409" s="334" t="n"/>
      <c r="T409" s="334" t="n"/>
      <c r="U409" s="334" t="n"/>
      <c r="V409" s="334" t="n"/>
      <c r="W409" s="334" t="n"/>
      <c r="X409" s="334" t="n"/>
      <c r="Y409" s="334" t="n"/>
      <c r="Z409" s="375">
        <f>IF(AND(G409&lt;&gt;"",R409&lt;&gt;"",V409&lt;&gt;"",W409&lt;&gt;""),"COMPLETADO","OBSERVADO")</f>
        <v/>
      </c>
    </row>
    <row r="410" ht="15" customHeight="1" s="195">
      <c r="A410" s="280" t="n"/>
      <c r="B410" s="280" t="n"/>
      <c r="C410" s="280" t="n"/>
      <c r="D410" s="280" t="n"/>
      <c r="E410" s="280" t="n"/>
      <c r="F410" s="280" t="n"/>
      <c r="G410" s="280" t="n"/>
      <c r="H410" s="280" t="n"/>
      <c r="I410" s="332">
        <f>IFERROR(VLOOKUP(TEXT(H410,"0"),IPRESS!$A$3:$B$212,2,0),"")</f>
        <v/>
      </c>
      <c r="J410" s="280" t="n"/>
      <c r="K410" s="332">
        <f>IFERROR(VLOOKUP(TEXT(O410,"0"),CONDUCTORES!$A$3:$G$54,7,0),"")</f>
        <v/>
      </c>
      <c r="L410" s="280" t="n"/>
      <c r="M410" s="280" t="n"/>
      <c r="N410" s="333">
        <f>IFERROR(IF(L410*M410=0,"",L410*M410),"")</f>
        <v/>
      </c>
      <c r="O410" s="280" t="n"/>
      <c r="P410" s="332">
        <f>IFERROR(VLOOKUP(TEXT(O410,"0"),CONDUCTORES!$A$3:$G$54,2,0),"")</f>
        <v/>
      </c>
      <c r="Q410" s="332">
        <f>IFERROR(VLOOKUP(TEXT(O410,"0"),CONDUCTORES!$A$3:$H$54,6,0),"")</f>
        <v/>
      </c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375">
        <f>IF(AND(G410&lt;&gt;"",R410&lt;&gt;"",V410&lt;&gt;"",W410&lt;&gt;""),"COMPLETADO","OBSERVADO")</f>
        <v/>
      </c>
    </row>
    <row r="411" ht="15" customHeight="1" s="195">
      <c r="A411" s="334" t="n"/>
      <c r="B411" s="334" t="n"/>
      <c r="C411" s="334" t="n"/>
      <c r="D411" s="334" t="n"/>
      <c r="E411" s="334" t="n"/>
      <c r="F411" s="334" t="n"/>
      <c r="G411" s="334" t="n"/>
      <c r="H411" s="334" t="n"/>
      <c r="I411" s="332">
        <f>IFERROR(VLOOKUP(TEXT(H411,"0"),IPRESS!$A$3:$B$212,2,0),"")</f>
        <v/>
      </c>
      <c r="J411" s="334" t="n"/>
      <c r="K411" s="332">
        <f>IFERROR(VLOOKUP(TEXT(O411,"0"),CONDUCTORES!$A$3:$G$54,7,0),"")</f>
        <v/>
      </c>
      <c r="L411" s="334" t="n"/>
      <c r="M411" s="334" t="n"/>
      <c r="N411" s="333">
        <f>IFERROR(IF(L411*M411=0,"",L411*M411),"")</f>
        <v/>
      </c>
      <c r="O411" s="334" t="n"/>
      <c r="P411" s="332">
        <f>IFERROR(VLOOKUP(TEXT(O411,"0"),CONDUCTORES!$A$3:$G$54,2,0),"")</f>
        <v/>
      </c>
      <c r="Q411" s="332">
        <f>IFERROR(VLOOKUP(TEXT(O411,"0"),CONDUCTORES!$A$3:$H$54,6,0),"")</f>
        <v/>
      </c>
      <c r="R411" s="334" t="n"/>
      <c r="S411" s="334" t="n"/>
      <c r="T411" s="334" t="n"/>
      <c r="U411" s="334" t="n"/>
      <c r="V411" s="334" t="n"/>
      <c r="W411" s="334" t="n"/>
      <c r="X411" s="334" t="n"/>
      <c r="Y411" s="334" t="n"/>
      <c r="Z411" s="375">
        <f>IF(AND(G411&lt;&gt;"",R411&lt;&gt;"",V411&lt;&gt;"",W411&lt;&gt;""),"COMPLETADO","OBSERVADO")</f>
        <v/>
      </c>
    </row>
    <row r="412" ht="15" customHeight="1" s="195">
      <c r="A412" s="280" t="n"/>
      <c r="B412" s="280" t="n"/>
      <c r="C412" s="280" t="n"/>
      <c r="D412" s="280" t="n"/>
      <c r="E412" s="280" t="n"/>
      <c r="F412" s="280" t="n"/>
      <c r="G412" s="280" t="n"/>
      <c r="H412" s="280" t="n"/>
      <c r="I412" s="332">
        <f>IFERROR(VLOOKUP(TEXT(H412,"0"),IPRESS!$A$3:$B$212,2,0),"")</f>
        <v/>
      </c>
      <c r="J412" s="280" t="n"/>
      <c r="K412" s="332">
        <f>IFERROR(VLOOKUP(TEXT(O412,"0"),CONDUCTORES!$A$3:$G$54,7,0),"")</f>
        <v/>
      </c>
      <c r="L412" s="280" t="n"/>
      <c r="M412" s="280" t="n"/>
      <c r="N412" s="333">
        <f>IFERROR(IF(L412*M412=0,"",L412*M412),"")</f>
        <v/>
      </c>
      <c r="O412" s="280" t="n"/>
      <c r="P412" s="332">
        <f>IFERROR(VLOOKUP(TEXT(O412,"0"),CONDUCTORES!$A$3:$G$54,2,0),"")</f>
        <v/>
      </c>
      <c r="Q412" s="332">
        <f>IFERROR(VLOOKUP(TEXT(O412,"0"),CONDUCTORES!$A$3:$H$54,6,0),"")</f>
        <v/>
      </c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375">
        <f>IF(AND(G412&lt;&gt;"",R412&lt;&gt;"",V412&lt;&gt;"",W412&lt;&gt;""),"COMPLETADO","OBSERVADO")</f>
        <v/>
      </c>
    </row>
    <row r="413" ht="15" customHeight="1" s="195">
      <c r="A413" s="334" t="n"/>
      <c r="B413" s="334" t="n"/>
      <c r="C413" s="334" t="n"/>
      <c r="D413" s="334" t="n"/>
      <c r="E413" s="334" t="n"/>
      <c r="F413" s="334" t="n"/>
      <c r="G413" s="334" t="n"/>
      <c r="H413" s="334" t="n"/>
      <c r="I413" s="332">
        <f>IFERROR(VLOOKUP(TEXT(H413,"0"),IPRESS!$A$3:$B$212,2,0),"")</f>
        <v/>
      </c>
      <c r="J413" s="334" t="n"/>
      <c r="K413" s="332">
        <f>IFERROR(VLOOKUP(TEXT(O413,"0"),CONDUCTORES!$A$3:$G$54,7,0),"")</f>
        <v/>
      </c>
      <c r="L413" s="334" t="n"/>
      <c r="M413" s="334" t="n"/>
      <c r="N413" s="333">
        <f>IFERROR(IF(L413*M413=0,"",L413*M413),"")</f>
        <v/>
      </c>
      <c r="O413" s="334" t="n"/>
      <c r="P413" s="332">
        <f>IFERROR(VLOOKUP(TEXT(O413,"0"),CONDUCTORES!$A$3:$G$54,2,0),"")</f>
        <v/>
      </c>
      <c r="Q413" s="332">
        <f>IFERROR(VLOOKUP(TEXT(O413,"0"),CONDUCTORES!$A$3:$H$54,6,0),"")</f>
        <v/>
      </c>
      <c r="R413" s="334" t="n"/>
      <c r="S413" s="334" t="n"/>
      <c r="T413" s="334" t="n"/>
      <c r="U413" s="334" t="n"/>
      <c r="V413" s="334" t="n"/>
      <c r="W413" s="334" t="n"/>
      <c r="X413" s="334" t="n"/>
      <c r="Y413" s="334" t="n"/>
      <c r="Z413" s="375">
        <f>IF(AND(G413&lt;&gt;"",R413&lt;&gt;"",V413&lt;&gt;"",W413&lt;&gt;""),"COMPLETADO","OBSERVADO")</f>
        <v/>
      </c>
    </row>
    <row r="414" ht="15" customHeight="1" s="195">
      <c r="A414" s="280" t="n"/>
      <c r="B414" s="280" t="n"/>
      <c r="C414" s="280" t="n"/>
      <c r="D414" s="280" t="n"/>
      <c r="E414" s="280" t="n"/>
      <c r="F414" s="280" t="n"/>
      <c r="G414" s="280" t="n"/>
      <c r="H414" s="280" t="n"/>
      <c r="I414" s="332">
        <f>IFERROR(VLOOKUP(TEXT(H414,"0"),IPRESS!$A$3:$B$212,2,0),"")</f>
        <v/>
      </c>
      <c r="J414" s="280" t="n"/>
      <c r="K414" s="332">
        <f>IFERROR(VLOOKUP(TEXT(O414,"0"),CONDUCTORES!$A$3:$G$54,7,0),"")</f>
        <v/>
      </c>
      <c r="L414" s="280" t="n"/>
      <c r="M414" s="280" t="n"/>
      <c r="N414" s="333">
        <f>IFERROR(IF(L414*M414=0,"",L414*M414),"")</f>
        <v/>
      </c>
      <c r="O414" s="280" t="n"/>
      <c r="P414" s="332">
        <f>IFERROR(VLOOKUP(TEXT(O414,"0"),CONDUCTORES!$A$3:$G$54,2,0),"")</f>
        <v/>
      </c>
      <c r="Q414" s="332">
        <f>IFERROR(VLOOKUP(TEXT(O414,"0"),CONDUCTORES!$A$3:$H$54,6,0),"")</f>
        <v/>
      </c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375">
        <f>IF(AND(G414&lt;&gt;"",R414&lt;&gt;"",V414&lt;&gt;"",W414&lt;&gt;""),"COMPLETADO","OBSERVADO")</f>
        <v/>
      </c>
    </row>
    <row r="415" ht="15" customHeight="1" s="195">
      <c r="A415" s="334" t="n"/>
      <c r="B415" s="334" t="n"/>
      <c r="C415" s="334" t="n"/>
      <c r="D415" s="334" t="n"/>
      <c r="E415" s="334" t="n"/>
      <c r="F415" s="334" t="n"/>
      <c r="G415" s="334" t="n"/>
      <c r="H415" s="334" t="n"/>
      <c r="I415" s="332">
        <f>IFERROR(VLOOKUP(TEXT(H415,"0"),IPRESS!$A$3:$B$212,2,0),"")</f>
        <v/>
      </c>
      <c r="J415" s="334" t="n"/>
      <c r="K415" s="332">
        <f>IFERROR(VLOOKUP(TEXT(O415,"0"),CONDUCTORES!$A$3:$G$54,7,0),"")</f>
        <v/>
      </c>
      <c r="L415" s="334" t="n"/>
      <c r="M415" s="334" t="n"/>
      <c r="N415" s="333">
        <f>IFERROR(IF(L415*M415=0,"",L415*M415),"")</f>
        <v/>
      </c>
      <c r="O415" s="334" t="n"/>
      <c r="P415" s="332">
        <f>IFERROR(VLOOKUP(TEXT(O415,"0"),CONDUCTORES!$A$3:$G$54,2,0),"")</f>
        <v/>
      </c>
      <c r="Q415" s="332">
        <f>IFERROR(VLOOKUP(TEXT(O415,"0"),CONDUCTORES!$A$3:$H$54,6,0),"")</f>
        <v/>
      </c>
      <c r="R415" s="334" t="n"/>
      <c r="S415" s="334" t="n"/>
      <c r="T415" s="334" t="n"/>
      <c r="U415" s="334" t="n"/>
      <c r="V415" s="334" t="n"/>
      <c r="W415" s="334" t="n"/>
      <c r="X415" s="334" t="n"/>
      <c r="Y415" s="334" t="n"/>
      <c r="Z415" s="375">
        <f>IF(AND(G415&lt;&gt;"",R415&lt;&gt;"",V415&lt;&gt;"",W415&lt;&gt;""),"COMPLETADO","OBSERVADO")</f>
        <v/>
      </c>
    </row>
    <row r="416" ht="15" customHeight="1" s="195">
      <c r="A416" s="280" t="n"/>
      <c r="B416" s="280" t="n"/>
      <c r="C416" s="280" t="n"/>
      <c r="D416" s="280" t="n"/>
      <c r="E416" s="280" t="n"/>
      <c r="F416" s="280" t="n"/>
      <c r="G416" s="280" t="n"/>
      <c r="H416" s="280" t="n"/>
      <c r="I416" s="332">
        <f>IFERROR(VLOOKUP(TEXT(H416,"0"),IPRESS!$A$3:$B$212,2,0),"")</f>
        <v/>
      </c>
      <c r="J416" s="280" t="n"/>
      <c r="K416" s="332">
        <f>IFERROR(VLOOKUP(TEXT(O416,"0"),CONDUCTORES!$A$3:$G$54,7,0),"")</f>
        <v/>
      </c>
      <c r="L416" s="280" t="n"/>
      <c r="M416" s="280" t="n"/>
      <c r="N416" s="333">
        <f>IFERROR(IF(L416*M416=0,"",L416*M416),"")</f>
        <v/>
      </c>
      <c r="O416" s="280" t="n"/>
      <c r="P416" s="332">
        <f>IFERROR(VLOOKUP(TEXT(O416,"0"),CONDUCTORES!$A$3:$G$54,2,0),"")</f>
        <v/>
      </c>
      <c r="Q416" s="332">
        <f>IFERROR(VLOOKUP(TEXT(O416,"0"),CONDUCTORES!$A$3:$H$54,6,0),"")</f>
        <v/>
      </c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375">
        <f>IF(AND(G416&lt;&gt;"",R416&lt;&gt;"",V416&lt;&gt;"",W416&lt;&gt;""),"COMPLETADO","OBSERVADO")</f>
        <v/>
      </c>
    </row>
    <row r="417" ht="15" customHeight="1" s="195">
      <c r="A417" s="334" t="n"/>
      <c r="B417" s="334" t="n"/>
      <c r="C417" s="334" t="n"/>
      <c r="D417" s="334" t="n"/>
      <c r="E417" s="334" t="n"/>
      <c r="F417" s="334" t="n"/>
      <c r="G417" s="334" t="n"/>
      <c r="H417" s="334" t="n"/>
      <c r="I417" s="332">
        <f>IFERROR(VLOOKUP(TEXT(H417,"0"),IPRESS!$A$3:$B$212,2,0),"")</f>
        <v/>
      </c>
      <c r="J417" s="334" t="n"/>
      <c r="K417" s="332">
        <f>IFERROR(VLOOKUP(TEXT(O417,"0"),CONDUCTORES!$A$3:$G$54,7,0),"")</f>
        <v/>
      </c>
      <c r="L417" s="334" t="n"/>
      <c r="M417" s="334" t="n"/>
      <c r="N417" s="333">
        <f>IFERROR(IF(L417*M417=0,"",L417*M417),"")</f>
        <v/>
      </c>
      <c r="O417" s="334" t="n"/>
      <c r="P417" s="332">
        <f>IFERROR(VLOOKUP(TEXT(O417,"0"),CONDUCTORES!$A$3:$G$54,2,0),"")</f>
        <v/>
      </c>
      <c r="Q417" s="332">
        <f>IFERROR(VLOOKUP(TEXT(O417,"0"),CONDUCTORES!$A$3:$H$54,6,0),"")</f>
        <v/>
      </c>
      <c r="R417" s="334" t="n"/>
      <c r="S417" s="334" t="n"/>
      <c r="T417" s="334" t="n"/>
      <c r="U417" s="334" t="n"/>
      <c r="V417" s="334" t="n"/>
      <c r="W417" s="334" t="n"/>
      <c r="X417" s="334" t="n"/>
      <c r="Y417" s="334" t="n"/>
      <c r="Z417" s="375">
        <f>IF(AND(G417&lt;&gt;"",R417&lt;&gt;"",V417&lt;&gt;"",W417&lt;&gt;""),"COMPLETADO","OBSERVADO")</f>
        <v/>
      </c>
    </row>
    <row r="418" ht="15" customHeight="1" s="195">
      <c r="A418" s="280" t="n"/>
      <c r="B418" s="280" t="n"/>
      <c r="C418" s="280" t="n"/>
      <c r="D418" s="280" t="n"/>
      <c r="E418" s="280" t="n"/>
      <c r="F418" s="280" t="n"/>
      <c r="G418" s="280" t="n"/>
      <c r="H418" s="280" t="n"/>
      <c r="I418" s="332">
        <f>IFERROR(VLOOKUP(TEXT(H418,"0"),IPRESS!$A$3:$B$212,2,0),"")</f>
        <v/>
      </c>
      <c r="J418" s="280" t="n"/>
      <c r="K418" s="332">
        <f>IFERROR(VLOOKUP(TEXT(O418,"0"),CONDUCTORES!$A$3:$G$54,7,0),"")</f>
        <v/>
      </c>
      <c r="L418" s="280" t="n"/>
      <c r="M418" s="280" t="n"/>
      <c r="N418" s="333">
        <f>IFERROR(IF(L418*M418=0,"",L418*M418),"")</f>
        <v/>
      </c>
      <c r="O418" s="280" t="n"/>
      <c r="P418" s="332">
        <f>IFERROR(VLOOKUP(TEXT(O418,"0"),CONDUCTORES!$A$3:$G$54,2,0),"")</f>
        <v/>
      </c>
      <c r="Q418" s="332">
        <f>IFERROR(VLOOKUP(TEXT(O418,"0"),CONDUCTORES!$A$3:$H$54,6,0),"")</f>
        <v/>
      </c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375">
        <f>IF(AND(G418&lt;&gt;"",R418&lt;&gt;"",V418&lt;&gt;"",W418&lt;&gt;""),"COMPLETADO","OBSERVADO")</f>
        <v/>
      </c>
    </row>
    <row r="419" ht="15" customHeight="1" s="195">
      <c r="A419" s="334" t="n"/>
      <c r="B419" s="334" t="n"/>
      <c r="C419" s="334" t="n"/>
      <c r="D419" s="334" t="n"/>
      <c r="E419" s="334" t="n"/>
      <c r="F419" s="334" t="n"/>
      <c r="G419" s="334" t="n"/>
      <c r="H419" s="334" t="n"/>
      <c r="I419" s="332">
        <f>IFERROR(VLOOKUP(TEXT(H419,"0"),IPRESS!$A$3:$B$212,2,0),"")</f>
        <v/>
      </c>
      <c r="J419" s="334" t="n"/>
      <c r="K419" s="332">
        <f>IFERROR(VLOOKUP(TEXT(O419,"0"),CONDUCTORES!$A$3:$G$54,7,0),"")</f>
        <v/>
      </c>
      <c r="L419" s="334" t="n"/>
      <c r="M419" s="334" t="n"/>
      <c r="N419" s="333">
        <f>IFERROR(IF(L419*M419=0,"",L419*M419),"")</f>
        <v/>
      </c>
      <c r="O419" s="334" t="n"/>
      <c r="P419" s="332">
        <f>IFERROR(VLOOKUP(TEXT(O419,"0"),CONDUCTORES!$A$3:$G$54,2,0),"")</f>
        <v/>
      </c>
      <c r="Q419" s="332">
        <f>IFERROR(VLOOKUP(TEXT(O419,"0"),CONDUCTORES!$A$3:$H$54,6,0),"")</f>
        <v/>
      </c>
      <c r="R419" s="334" t="n"/>
      <c r="S419" s="334" t="n"/>
      <c r="T419" s="334" t="n"/>
      <c r="U419" s="334" t="n"/>
      <c r="V419" s="334" t="n"/>
      <c r="W419" s="334" t="n"/>
      <c r="X419" s="334" t="n"/>
      <c r="Y419" s="334" t="n"/>
      <c r="Z419" s="375">
        <f>IF(AND(G419&lt;&gt;"",R419&lt;&gt;"",V419&lt;&gt;"",W419&lt;&gt;""),"COMPLETADO","OBSERVADO")</f>
        <v/>
      </c>
    </row>
    <row r="420" ht="15" customHeight="1" s="195">
      <c r="A420" s="280" t="n"/>
      <c r="B420" s="280" t="n"/>
      <c r="C420" s="280" t="n"/>
      <c r="D420" s="280" t="n"/>
      <c r="E420" s="280" t="n"/>
      <c r="F420" s="280" t="n"/>
      <c r="G420" s="280" t="n"/>
      <c r="H420" s="280" t="n"/>
      <c r="I420" s="332">
        <f>IFERROR(VLOOKUP(TEXT(H420,"0"),IPRESS!$A$3:$B$212,2,0),"")</f>
        <v/>
      </c>
      <c r="J420" s="280" t="n"/>
      <c r="K420" s="332">
        <f>IFERROR(VLOOKUP(TEXT(O420,"0"),CONDUCTORES!$A$3:$G$54,7,0),"")</f>
        <v/>
      </c>
      <c r="L420" s="280" t="n"/>
      <c r="M420" s="280" t="n"/>
      <c r="N420" s="333">
        <f>IFERROR(IF(L420*M420=0,"",L420*M420),"")</f>
        <v/>
      </c>
      <c r="O420" s="280" t="n"/>
      <c r="P420" s="332">
        <f>IFERROR(VLOOKUP(TEXT(O420,"0"),CONDUCTORES!$A$3:$G$54,2,0),"")</f>
        <v/>
      </c>
      <c r="Q420" s="332">
        <f>IFERROR(VLOOKUP(TEXT(O420,"0"),CONDUCTORES!$A$3:$H$54,6,0),"")</f>
        <v/>
      </c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375">
        <f>IF(AND(G420&lt;&gt;"",R420&lt;&gt;"",V420&lt;&gt;"",W420&lt;&gt;""),"COMPLETADO","OBSERVADO")</f>
        <v/>
      </c>
    </row>
    <row r="421" ht="15" customHeight="1" s="195">
      <c r="A421" s="334" t="n"/>
      <c r="B421" s="334" t="n"/>
      <c r="C421" s="334" t="n"/>
      <c r="D421" s="334" t="n"/>
      <c r="E421" s="334" t="n"/>
      <c r="F421" s="334" t="n"/>
      <c r="G421" s="334" t="n"/>
      <c r="H421" s="334" t="n"/>
      <c r="I421" s="332">
        <f>IFERROR(VLOOKUP(TEXT(H421,"0"),IPRESS!$A$3:$B$212,2,0),"")</f>
        <v/>
      </c>
      <c r="J421" s="334" t="n"/>
      <c r="K421" s="332">
        <f>IFERROR(VLOOKUP(TEXT(O421,"0"),CONDUCTORES!$A$3:$G$54,7,0),"")</f>
        <v/>
      </c>
      <c r="L421" s="334" t="n"/>
      <c r="M421" s="334" t="n"/>
      <c r="N421" s="333">
        <f>IFERROR(IF(L421*M421=0,"",L421*M421),"")</f>
        <v/>
      </c>
      <c r="O421" s="334" t="n"/>
      <c r="P421" s="332">
        <f>IFERROR(VLOOKUP(TEXT(O421,"0"),CONDUCTORES!$A$3:$G$54,2,0),"")</f>
        <v/>
      </c>
      <c r="Q421" s="332">
        <f>IFERROR(VLOOKUP(TEXT(O421,"0"),CONDUCTORES!$A$3:$H$54,6,0),"")</f>
        <v/>
      </c>
      <c r="R421" s="334" t="n"/>
      <c r="S421" s="334" t="n"/>
      <c r="T421" s="334" t="n"/>
      <c r="U421" s="334" t="n"/>
      <c r="V421" s="334" t="n"/>
      <c r="W421" s="334" t="n"/>
      <c r="X421" s="334" t="n"/>
      <c r="Y421" s="334" t="n"/>
      <c r="Z421" s="375">
        <f>IF(AND(G421&lt;&gt;"",R421&lt;&gt;"",V421&lt;&gt;"",W421&lt;&gt;""),"COMPLETADO","OBSERVADO")</f>
        <v/>
      </c>
    </row>
    <row r="422" ht="15" customHeight="1" s="195">
      <c r="A422" s="280" t="n"/>
      <c r="B422" s="280" t="n"/>
      <c r="C422" s="280" t="n"/>
      <c r="D422" s="280" t="n"/>
      <c r="E422" s="280" t="n"/>
      <c r="F422" s="280" t="n"/>
      <c r="G422" s="280" t="n"/>
      <c r="H422" s="280" t="n"/>
      <c r="I422" s="332">
        <f>IFERROR(VLOOKUP(TEXT(H422,"0"),IPRESS!$A$3:$B$212,2,0),"")</f>
        <v/>
      </c>
      <c r="J422" s="280" t="n"/>
      <c r="K422" s="332">
        <f>IFERROR(VLOOKUP(TEXT(O422,"0"),CONDUCTORES!$A$3:$G$54,7,0),"")</f>
        <v/>
      </c>
      <c r="L422" s="280" t="n"/>
      <c r="M422" s="280" t="n"/>
      <c r="N422" s="333">
        <f>IFERROR(IF(L422*M422=0,"",L422*M422),"")</f>
        <v/>
      </c>
      <c r="O422" s="280" t="n"/>
      <c r="P422" s="332">
        <f>IFERROR(VLOOKUP(TEXT(O422,"0"),CONDUCTORES!$A$3:$G$54,2,0),"")</f>
        <v/>
      </c>
      <c r="Q422" s="332">
        <f>IFERROR(VLOOKUP(TEXT(O422,"0"),CONDUCTORES!$A$3:$H$54,6,0),"")</f>
        <v/>
      </c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375">
        <f>IF(AND(G422&lt;&gt;"",R422&lt;&gt;"",V422&lt;&gt;"",W422&lt;&gt;""),"COMPLETADO","OBSERVADO")</f>
        <v/>
      </c>
    </row>
    <row r="423" ht="15" customHeight="1" s="195">
      <c r="A423" s="334" t="n"/>
      <c r="B423" s="334" t="n"/>
      <c r="C423" s="334" t="n"/>
      <c r="D423" s="334" t="n"/>
      <c r="E423" s="334" t="n"/>
      <c r="F423" s="334" t="n"/>
      <c r="G423" s="334" t="n"/>
      <c r="H423" s="334" t="n"/>
      <c r="I423" s="332">
        <f>IFERROR(VLOOKUP(TEXT(H423,"0"),IPRESS!$A$3:$B$212,2,0),"")</f>
        <v/>
      </c>
      <c r="J423" s="334" t="n"/>
      <c r="K423" s="332">
        <f>IFERROR(VLOOKUP(TEXT(O423,"0"),CONDUCTORES!$A$3:$G$54,7,0),"")</f>
        <v/>
      </c>
      <c r="L423" s="334" t="n"/>
      <c r="M423" s="334" t="n"/>
      <c r="N423" s="333">
        <f>IFERROR(IF(L423*M423=0,"",L423*M423),"")</f>
        <v/>
      </c>
      <c r="O423" s="334" t="n"/>
      <c r="P423" s="332">
        <f>IFERROR(VLOOKUP(TEXT(O423,"0"),CONDUCTORES!$A$3:$G$54,2,0),"")</f>
        <v/>
      </c>
      <c r="Q423" s="332">
        <f>IFERROR(VLOOKUP(TEXT(O423,"0"),CONDUCTORES!$A$3:$H$54,6,0),"")</f>
        <v/>
      </c>
      <c r="R423" s="334" t="n"/>
      <c r="S423" s="334" t="n"/>
      <c r="T423" s="334" t="n"/>
      <c r="U423" s="334" t="n"/>
      <c r="V423" s="334" t="n"/>
      <c r="W423" s="334" t="n"/>
      <c r="X423" s="334" t="n"/>
      <c r="Y423" s="334" t="n"/>
      <c r="Z423" s="375">
        <f>IF(AND(G423&lt;&gt;"",R423&lt;&gt;"",V423&lt;&gt;"",W423&lt;&gt;""),"COMPLETADO","OBSERVADO")</f>
        <v/>
      </c>
    </row>
    <row r="424" ht="15" customHeight="1" s="195">
      <c r="A424" s="280" t="n"/>
      <c r="B424" s="280" t="n"/>
      <c r="C424" s="280" t="n"/>
      <c r="D424" s="280" t="n"/>
      <c r="E424" s="280" t="n"/>
      <c r="F424" s="280" t="n"/>
      <c r="G424" s="280" t="n"/>
      <c r="H424" s="280" t="n"/>
      <c r="I424" s="332">
        <f>IFERROR(VLOOKUP(TEXT(H424,"0"),IPRESS!$A$3:$B$212,2,0),"")</f>
        <v/>
      </c>
      <c r="J424" s="280" t="n"/>
      <c r="K424" s="332">
        <f>IFERROR(VLOOKUP(TEXT(O424,"0"),CONDUCTORES!$A$3:$G$54,7,0),"")</f>
        <v/>
      </c>
      <c r="L424" s="280" t="n"/>
      <c r="M424" s="280" t="n"/>
      <c r="N424" s="333">
        <f>IFERROR(IF(L424*M424=0,"",L424*M424),"")</f>
        <v/>
      </c>
      <c r="O424" s="280" t="n"/>
      <c r="P424" s="332">
        <f>IFERROR(VLOOKUP(TEXT(O424,"0"),CONDUCTORES!$A$3:$G$54,2,0),"")</f>
        <v/>
      </c>
      <c r="Q424" s="332">
        <f>IFERROR(VLOOKUP(TEXT(O424,"0"),CONDUCTORES!$A$3:$H$54,6,0),"")</f>
        <v/>
      </c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375">
        <f>IF(AND(G424&lt;&gt;"",R424&lt;&gt;"",V424&lt;&gt;"",W424&lt;&gt;""),"COMPLETADO","OBSERVADO")</f>
        <v/>
      </c>
    </row>
    <row r="425" ht="15" customHeight="1" s="195">
      <c r="A425" s="334" t="n"/>
      <c r="B425" s="334" t="n"/>
      <c r="C425" s="334" t="n"/>
      <c r="D425" s="334" t="n"/>
      <c r="E425" s="334" t="n"/>
      <c r="F425" s="334" t="n"/>
      <c r="G425" s="334" t="n"/>
      <c r="H425" s="334" t="n"/>
      <c r="I425" s="332">
        <f>IFERROR(VLOOKUP(TEXT(H425,"0"),IPRESS!$A$3:$B$212,2,0),"")</f>
        <v/>
      </c>
      <c r="J425" s="334" t="n"/>
      <c r="K425" s="332">
        <f>IFERROR(VLOOKUP(TEXT(O425,"0"),CONDUCTORES!$A$3:$G$54,7,0),"")</f>
        <v/>
      </c>
      <c r="L425" s="334" t="n"/>
      <c r="M425" s="334" t="n"/>
      <c r="N425" s="333">
        <f>IFERROR(IF(L425*M425=0,"",L425*M425),"")</f>
        <v/>
      </c>
      <c r="O425" s="334" t="n"/>
      <c r="P425" s="332">
        <f>IFERROR(VLOOKUP(TEXT(O425,"0"),CONDUCTORES!$A$3:$G$54,2,0),"")</f>
        <v/>
      </c>
      <c r="Q425" s="332">
        <f>IFERROR(VLOOKUP(TEXT(O425,"0"),CONDUCTORES!$A$3:$H$54,6,0),"")</f>
        <v/>
      </c>
      <c r="R425" s="334" t="n"/>
      <c r="S425" s="334" t="n"/>
      <c r="T425" s="334" t="n"/>
      <c r="U425" s="334" t="n"/>
      <c r="V425" s="334" t="n"/>
      <c r="W425" s="334" t="n"/>
      <c r="X425" s="334" t="n"/>
      <c r="Y425" s="334" t="n"/>
      <c r="Z425" s="375">
        <f>IF(AND(G425&lt;&gt;"",R425&lt;&gt;"",V425&lt;&gt;"",W425&lt;&gt;""),"COMPLETADO","OBSERVADO")</f>
        <v/>
      </c>
    </row>
    <row r="426" ht="15" customHeight="1" s="195">
      <c r="A426" s="280" t="n"/>
      <c r="B426" s="280" t="n"/>
      <c r="C426" s="280" t="n"/>
      <c r="D426" s="280" t="n"/>
      <c r="E426" s="280" t="n"/>
      <c r="F426" s="280" t="n"/>
      <c r="G426" s="280" t="n"/>
      <c r="H426" s="280" t="n"/>
      <c r="I426" s="332">
        <f>IFERROR(VLOOKUP(TEXT(H426,"0"),IPRESS!$A$3:$B$212,2,0),"")</f>
        <v/>
      </c>
      <c r="J426" s="280" t="n"/>
      <c r="K426" s="332">
        <f>IFERROR(VLOOKUP(TEXT(O426,"0"),CONDUCTORES!$A$3:$G$54,7,0),"")</f>
        <v/>
      </c>
      <c r="L426" s="280" t="n"/>
      <c r="M426" s="280" t="n"/>
      <c r="N426" s="333">
        <f>IFERROR(IF(L426*M426=0,"",L426*M426),"")</f>
        <v/>
      </c>
      <c r="O426" s="280" t="n"/>
      <c r="P426" s="332">
        <f>IFERROR(VLOOKUP(TEXT(O426,"0"),CONDUCTORES!$A$3:$G$54,2,0),"")</f>
        <v/>
      </c>
      <c r="Q426" s="332">
        <f>IFERROR(VLOOKUP(TEXT(O426,"0"),CONDUCTORES!$A$3:$H$54,6,0),"")</f>
        <v/>
      </c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375">
        <f>IF(AND(G426&lt;&gt;"",R426&lt;&gt;"",V426&lt;&gt;"",W426&lt;&gt;""),"COMPLETADO","OBSERVADO")</f>
        <v/>
      </c>
    </row>
    <row r="427" ht="15" customHeight="1" s="195">
      <c r="A427" s="334" t="n"/>
      <c r="B427" s="334" t="n"/>
      <c r="C427" s="334" t="n"/>
      <c r="D427" s="334" t="n"/>
      <c r="E427" s="334" t="n"/>
      <c r="F427" s="334" t="n"/>
      <c r="G427" s="334" t="n"/>
      <c r="H427" s="334" t="n"/>
      <c r="I427" s="332">
        <f>IFERROR(VLOOKUP(TEXT(H427,"0"),IPRESS!$A$3:$B$212,2,0),"")</f>
        <v/>
      </c>
      <c r="J427" s="334" t="n"/>
      <c r="K427" s="332">
        <f>IFERROR(VLOOKUP(TEXT(O427,"0"),CONDUCTORES!$A$3:$G$54,7,0),"")</f>
        <v/>
      </c>
      <c r="L427" s="334" t="n"/>
      <c r="M427" s="334" t="n"/>
      <c r="N427" s="333">
        <f>IFERROR(IF(L427*M427=0,"",L427*M427),"")</f>
        <v/>
      </c>
      <c r="O427" s="334" t="n"/>
      <c r="P427" s="332">
        <f>IFERROR(VLOOKUP(TEXT(O427,"0"),CONDUCTORES!$A$3:$G$54,2,0),"")</f>
        <v/>
      </c>
      <c r="Q427" s="332">
        <f>IFERROR(VLOOKUP(TEXT(O427,"0"),CONDUCTORES!$A$3:$H$54,6,0),"")</f>
        <v/>
      </c>
      <c r="R427" s="334" t="n"/>
      <c r="S427" s="334" t="n"/>
      <c r="T427" s="334" t="n"/>
      <c r="U427" s="334" t="n"/>
      <c r="V427" s="334" t="n"/>
      <c r="W427" s="334" t="n"/>
      <c r="X427" s="334" t="n"/>
      <c r="Y427" s="334" t="n"/>
      <c r="Z427" s="375">
        <f>IF(AND(G427&lt;&gt;"",R427&lt;&gt;"",V427&lt;&gt;"",W427&lt;&gt;""),"COMPLETADO","OBSERVADO")</f>
        <v/>
      </c>
    </row>
    <row r="428" ht="15" customHeight="1" s="195">
      <c r="A428" s="280" t="n"/>
      <c r="B428" s="280" t="n"/>
      <c r="C428" s="280" t="n"/>
      <c r="D428" s="280" t="n"/>
      <c r="E428" s="280" t="n"/>
      <c r="F428" s="280" t="n"/>
      <c r="G428" s="280" t="n"/>
      <c r="H428" s="280" t="n"/>
      <c r="I428" s="332">
        <f>IFERROR(VLOOKUP(TEXT(H428,"0"),IPRESS!$A$3:$B$212,2,0),"")</f>
        <v/>
      </c>
      <c r="J428" s="280" t="n"/>
      <c r="K428" s="332">
        <f>IFERROR(VLOOKUP(TEXT(O428,"0"),CONDUCTORES!$A$3:$G$54,7,0),"")</f>
        <v/>
      </c>
      <c r="L428" s="280" t="n"/>
      <c r="M428" s="280" t="n"/>
      <c r="N428" s="333">
        <f>IFERROR(IF(L428*M428=0,"",L428*M428),"")</f>
        <v/>
      </c>
      <c r="O428" s="280" t="n"/>
      <c r="P428" s="332">
        <f>IFERROR(VLOOKUP(TEXT(O428,"0"),CONDUCTORES!$A$3:$G$54,2,0),"")</f>
        <v/>
      </c>
      <c r="Q428" s="332">
        <f>IFERROR(VLOOKUP(TEXT(O428,"0"),CONDUCTORES!$A$3:$H$54,6,0),"")</f>
        <v/>
      </c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375">
        <f>IF(AND(G428&lt;&gt;"",R428&lt;&gt;"",V428&lt;&gt;"",W428&lt;&gt;""),"COMPLETADO","OBSERVADO")</f>
        <v/>
      </c>
    </row>
    <row r="429" ht="15" customHeight="1" s="195">
      <c r="A429" s="334" t="n"/>
      <c r="B429" s="334" t="n"/>
      <c r="C429" s="334" t="n"/>
      <c r="D429" s="334" t="n"/>
      <c r="E429" s="334" t="n"/>
      <c r="F429" s="334" t="n"/>
      <c r="G429" s="334" t="n"/>
      <c r="H429" s="334" t="n"/>
      <c r="I429" s="332">
        <f>IFERROR(VLOOKUP(TEXT(H429,"0"),IPRESS!$A$3:$B$212,2,0),"")</f>
        <v/>
      </c>
      <c r="J429" s="334" t="n"/>
      <c r="K429" s="332">
        <f>IFERROR(VLOOKUP(TEXT(O429,"0"),CONDUCTORES!$A$3:$G$54,7,0),"")</f>
        <v/>
      </c>
      <c r="L429" s="334" t="n"/>
      <c r="M429" s="334" t="n"/>
      <c r="N429" s="333">
        <f>IFERROR(IF(L429*M429=0,"",L429*M429),"")</f>
        <v/>
      </c>
      <c r="O429" s="334" t="n"/>
      <c r="P429" s="332">
        <f>IFERROR(VLOOKUP(TEXT(O429,"0"),CONDUCTORES!$A$3:$G$54,2,0),"")</f>
        <v/>
      </c>
      <c r="Q429" s="332">
        <f>IFERROR(VLOOKUP(TEXT(O429,"0"),CONDUCTORES!$A$3:$H$54,6,0),"")</f>
        <v/>
      </c>
      <c r="R429" s="334" t="n"/>
      <c r="S429" s="334" t="n"/>
      <c r="T429" s="334" t="n"/>
      <c r="U429" s="334" t="n"/>
      <c r="V429" s="334" t="n"/>
      <c r="W429" s="334" t="n"/>
      <c r="X429" s="334" t="n"/>
      <c r="Y429" s="334" t="n"/>
      <c r="Z429" s="375">
        <f>IF(AND(G429&lt;&gt;"",R429&lt;&gt;"",V429&lt;&gt;"",W429&lt;&gt;""),"COMPLETADO","OBSERVADO")</f>
        <v/>
      </c>
    </row>
    <row r="430" ht="15" customHeight="1" s="195">
      <c r="A430" s="280" t="n"/>
      <c r="B430" s="280" t="n"/>
      <c r="C430" s="280" t="n"/>
      <c r="D430" s="280" t="n"/>
      <c r="E430" s="280" t="n"/>
      <c r="F430" s="280" t="n"/>
      <c r="G430" s="280" t="n"/>
      <c r="H430" s="280" t="n"/>
      <c r="I430" s="332">
        <f>IFERROR(VLOOKUP(TEXT(H430,"0"),IPRESS!$A$3:$B$212,2,0),"")</f>
        <v/>
      </c>
      <c r="J430" s="280" t="n"/>
      <c r="K430" s="332">
        <f>IFERROR(VLOOKUP(TEXT(O430,"0"),CONDUCTORES!$A$3:$G$54,7,0),"")</f>
        <v/>
      </c>
      <c r="L430" s="280" t="n"/>
      <c r="M430" s="280" t="n"/>
      <c r="N430" s="333">
        <f>IFERROR(IF(L430*M430=0,"",L430*M430),"")</f>
        <v/>
      </c>
      <c r="O430" s="280" t="n"/>
      <c r="P430" s="332">
        <f>IFERROR(VLOOKUP(TEXT(O430,"0"),CONDUCTORES!$A$3:$G$54,2,0),"")</f>
        <v/>
      </c>
      <c r="Q430" s="332">
        <f>IFERROR(VLOOKUP(TEXT(O430,"0"),CONDUCTORES!$A$3:$H$54,6,0),"")</f>
        <v/>
      </c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375">
        <f>IF(AND(G430&lt;&gt;"",R430&lt;&gt;"",V430&lt;&gt;"",W430&lt;&gt;""),"COMPLETADO","OBSERVADO")</f>
        <v/>
      </c>
    </row>
    <row r="431" ht="15" customHeight="1" s="195">
      <c r="A431" s="334" t="n"/>
      <c r="B431" s="334" t="n"/>
      <c r="C431" s="334" t="n"/>
      <c r="D431" s="334" t="n"/>
      <c r="E431" s="334" t="n"/>
      <c r="F431" s="334" t="n"/>
      <c r="G431" s="334" t="n"/>
      <c r="H431" s="334" t="n"/>
      <c r="I431" s="332">
        <f>IFERROR(VLOOKUP(TEXT(H431,"0"),IPRESS!$A$3:$B$212,2,0),"")</f>
        <v/>
      </c>
      <c r="J431" s="334" t="n"/>
      <c r="K431" s="332">
        <f>IFERROR(VLOOKUP(TEXT(O431,"0"),CONDUCTORES!$A$3:$G$54,7,0),"")</f>
        <v/>
      </c>
      <c r="L431" s="334" t="n"/>
      <c r="M431" s="334" t="n"/>
      <c r="N431" s="333">
        <f>IFERROR(IF(L431*M431=0,"",L431*M431),"")</f>
        <v/>
      </c>
      <c r="O431" s="334" t="n"/>
      <c r="P431" s="332">
        <f>IFERROR(VLOOKUP(TEXT(O431,"0"),CONDUCTORES!$A$3:$G$54,2,0),"")</f>
        <v/>
      </c>
      <c r="Q431" s="332">
        <f>IFERROR(VLOOKUP(TEXT(O431,"0"),CONDUCTORES!$A$3:$H$54,6,0),"")</f>
        <v/>
      </c>
      <c r="R431" s="334" t="n"/>
      <c r="S431" s="334" t="n"/>
      <c r="T431" s="334" t="n"/>
      <c r="U431" s="334" t="n"/>
      <c r="V431" s="334" t="n"/>
      <c r="W431" s="334" t="n"/>
      <c r="X431" s="334" t="n"/>
      <c r="Y431" s="334" t="n"/>
      <c r="Z431" s="375">
        <f>IF(AND(G431&lt;&gt;"",R431&lt;&gt;"",V431&lt;&gt;"",W431&lt;&gt;""),"COMPLETADO","OBSERVADO")</f>
        <v/>
      </c>
    </row>
    <row r="432" ht="15" customHeight="1" s="195">
      <c r="A432" s="280" t="n"/>
      <c r="B432" s="280" t="n"/>
      <c r="C432" s="280" t="n"/>
      <c r="D432" s="280" t="n"/>
      <c r="E432" s="280" t="n"/>
      <c r="F432" s="280" t="n"/>
      <c r="G432" s="280" t="n"/>
      <c r="H432" s="280" t="n"/>
      <c r="I432" s="332">
        <f>IFERROR(VLOOKUP(TEXT(H432,"0"),IPRESS!$A$3:$B$212,2,0),"")</f>
        <v/>
      </c>
      <c r="J432" s="280" t="n"/>
      <c r="K432" s="332">
        <f>IFERROR(VLOOKUP(TEXT(O432,"0"),CONDUCTORES!$A$3:$G$54,7,0),"")</f>
        <v/>
      </c>
      <c r="L432" s="280" t="n"/>
      <c r="M432" s="280" t="n"/>
      <c r="N432" s="333">
        <f>IFERROR(IF(L432*M432=0,"",L432*M432),"")</f>
        <v/>
      </c>
      <c r="O432" s="280" t="n"/>
      <c r="P432" s="332">
        <f>IFERROR(VLOOKUP(TEXT(O432,"0"),CONDUCTORES!$A$3:$G$54,2,0),"")</f>
        <v/>
      </c>
      <c r="Q432" s="332">
        <f>IFERROR(VLOOKUP(TEXT(O432,"0"),CONDUCTORES!$A$3:$H$54,6,0),"")</f>
        <v/>
      </c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375">
        <f>IF(AND(G432&lt;&gt;"",R432&lt;&gt;"",V432&lt;&gt;"",W432&lt;&gt;""),"COMPLETADO","OBSERVADO")</f>
        <v/>
      </c>
    </row>
    <row r="433" ht="15" customHeight="1" s="195">
      <c r="A433" s="334" t="n"/>
      <c r="B433" s="334" t="n"/>
      <c r="C433" s="334" t="n"/>
      <c r="D433" s="334" t="n"/>
      <c r="E433" s="334" t="n"/>
      <c r="F433" s="334" t="n"/>
      <c r="G433" s="334" t="n"/>
      <c r="H433" s="334" t="n"/>
      <c r="I433" s="332">
        <f>IFERROR(VLOOKUP(TEXT(H433,"0"),IPRESS!$A$3:$B$212,2,0),"")</f>
        <v/>
      </c>
      <c r="J433" s="334" t="n"/>
      <c r="K433" s="332">
        <f>IFERROR(VLOOKUP(TEXT(O433,"0"),CONDUCTORES!$A$3:$G$54,7,0),"")</f>
        <v/>
      </c>
      <c r="L433" s="334" t="n"/>
      <c r="M433" s="334" t="n"/>
      <c r="N433" s="333">
        <f>IFERROR(IF(L433*M433=0,"",L433*M433),"")</f>
        <v/>
      </c>
      <c r="O433" s="334" t="n"/>
      <c r="P433" s="332">
        <f>IFERROR(VLOOKUP(TEXT(O433,"0"),CONDUCTORES!$A$3:$G$54,2,0),"")</f>
        <v/>
      </c>
      <c r="Q433" s="332">
        <f>IFERROR(VLOOKUP(TEXT(O433,"0"),CONDUCTORES!$A$3:$H$54,6,0),"")</f>
        <v/>
      </c>
      <c r="R433" s="334" t="n"/>
      <c r="S433" s="334" t="n"/>
      <c r="T433" s="334" t="n"/>
      <c r="U433" s="334" t="n"/>
      <c r="V433" s="334" t="n"/>
      <c r="W433" s="334" t="n"/>
      <c r="X433" s="334" t="n"/>
      <c r="Y433" s="334" t="n"/>
      <c r="Z433" s="375">
        <f>IF(AND(G433&lt;&gt;"",R433&lt;&gt;"",V433&lt;&gt;"",W433&lt;&gt;""),"COMPLETADO","OBSERVADO")</f>
        <v/>
      </c>
    </row>
    <row r="434" ht="15" customHeight="1" s="195">
      <c r="A434" s="280" t="n"/>
      <c r="B434" s="280" t="n"/>
      <c r="C434" s="280" t="n"/>
      <c r="D434" s="280" t="n"/>
      <c r="E434" s="280" t="n"/>
      <c r="F434" s="280" t="n"/>
      <c r="G434" s="280" t="n"/>
      <c r="H434" s="280" t="n"/>
      <c r="I434" s="332">
        <f>IFERROR(VLOOKUP(TEXT(H434,"0"),IPRESS!$A$3:$B$212,2,0),"")</f>
        <v/>
      </c>
      <c r="J434" s="280" t="n"/>
      <c r="K434" s="332">
        <f>IFERROR(VLOOKUP(TEXT(O434,"0"),CONDUCTORES!$A$3:$G$54,7,0),"")</f>
        <v/>
      </c>
      <c r="L434" s="280" t="n"/>
      <c r="M434" s="280" t="n"/>
      <c r="N434" s="333">
        <f>IFERROR(IF(L434*M434=0,"",L434*M434),"")</f>
        <v/>
      </c>
      <c r="O434" s="280" t="n"/>
      <c r="P434" s="332">
        <f>IFERROR(VLOOKUP(TEXT(O434,"0"),CONDUCTORES!$A$3:$G$54,2,0),"")</f>
        <v/>
      </c>
      <c r="Q434" s="332">
        <f>IFERROR(VLOOKUP(TEXT(O434,"0"),CONDUCTORES!$A$3:$H$54,6,0),"")</f>
        <v/>
      </c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375">
        <f>IF(AND(G434&lt;&gt;"",R434&lt;&gt;"",V434&lt;&gt;"",W434&lt;&gt;""),"COMPLETADO","OBSERVADO")</f>
        <v/>
      </c>
    </row>
    <row r="435" ht="15" customHeight="1" s="195">
      <c r="A435" s="334" t="n"/>
      <c r="B435" s="334" t="n"/>
      <c r="C435" s="334" t="n"/>
      <c r="D435" s="334" t="n"/>
      <c r="E435" s="334" t="n"/>
      <c r="F435" s="334" t="n"/>
      <c r="G435" s="334" t="n"/>
      <c r="H435" s="334" t="n"/>
      <c r="I435" s="332">
        <f>IFERROR(VLOOKUP(TEXT(H435,"0"),IPRESS!$A$3:$B$212,2,0),"")</f>
        <v/>
      </c>
      <c r="J435" s="334" t="n"/>
      <c r="K435" s="332">
        <f>IFERROR(VLOOKUP(TEXT(O435,"0"),CONDUCTORES!$A$3:$G$54,7,0),"")</f>
        <v/>
      </c>
      <c r="L435" s="334" t="n"/>
      <c r="M435" s="334" t="n"/>
      <c r="N435" s="333">
        <f>IFERROR(IF(L435*M435=0,"",L435*M435),"")</f>
        <v/>
      </c>
      <c r="O435" s="334" t="n"/>
      <c r="P435" s="332">
        <f>IFERROR(VLOOKUP(TEXT(O435,"0"),CONDUCTORES!$A$3:$G$54,2,0),"")</f>
        <v/>
      </c>
      <c r="Q435" s="332">
        <f>IFERROR(VLOOKUP(TEXT(O435,"0"),CONDUCTORES!$A$3:$H$54,6,0),"")</f>
        <v/>
      </c>
      <c r="R435" s="334" t="n"/>
      <c r="S435" s="334" t="n"/>
      <c r="T435" s="334" t="n"/>
      <c r="U435" s="334" t="n"/>
      <c r="V435" s="334" t="n"/>
      <c r="W435" s="334" t="n"/>
      <c r="X435" s="334" t="n"/>
      <c r="Y435" s="334" t="n"/>
      <c r="Z435" s="375">
        <f>IF(AND(G435&lt;&gt;"",R435&lt;&gt;"",V435&lt;&gt;"",W435&lt;&gt;""),"COMPLETADO","OBSERVADO")</f>
        <v/>
      </c>
    </row>
    <row r="436" ht="15" customHeight="1" s="195">
      <c r="A436" s="280" t="n"/>
      <c r="B436" s="280" t="n"/>
      <c r="C436" s="280" t="n"/>
      <c r="D436" s="280" t="n"/>
      <c r="E436" s="280" t="n"/>
      <c r="F436" s="280" t="n"/>
      <c r="G436" s="280" t="n"/>
      <c r="H436" s="280" t="n"/>
      <c r="I436" s="332">
        <f>IFERROR(VLOOKUP(TEXT(H436,"0"),IPRESS!$A$3:$B$212,2,0),"")</f>
        <v/>
      </c>
      <c r="J436" s="280" t="n"/>
      <c r="K436" s="332">
        <f>IFERROR(VLOOKUP(TEXT(O436,"0"),CONDUCTORES!$A$3:$G$54,7,0),"")</f>
        <v/>
      </c>
      <c r="L436" s="280" t="n"/>
      <c r="M436" s="280" t="n"/>
      <c r="N436" s="333">
        <f>IFERROR(IF(L436*M436=0,"",L436*M436),"")</f>
        <v/>
      </c>
      <c r="O436" s="280" t="n"/>
      <c r="P436" s="332">
        <f>IFERROR(VLOOKUP(TEXT(O436,"0"),CONDUCTORES!$A$3:$G$54,2,0),"")</f>
        <v/>
      </c>
      <c r="Q436" s="332">
        <f>IFERROR(VLOOKUP(TEXT(O436,"0"),CONDUCTORES!$A$3:$H$54,6,0),"")</f>
        <v/>
      </c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375">
        <f>IF(AND(G436&lt;&gt;"",R436&lt;&gt;"",V436&lt;&gt;"",W436&lt;&gt;""),"COMPLETADO","OBSERVADO")</f>
        <v/>
      </c>
    </row>
    <row r="437" ht="15" customHeight="1" s="195">
      <c r="A437" s="334" t="n"/>
      <c r="B437" s="334" t="n"/>
      <c r="C437" s="334" t="n"/>
      <c r="D437" s="334" t="n"/>
      <c r="E437" s="334" t="n"/>
      <c r="F437" s="334" t="n"/>
      <c r="G437" s="334" t="n"/>
      <c r="H437" s="334" t="n"/>
      <c r="I437" s="332">
        <f>IFERROR(VLOOKUP(TEXT(H437,"0"),IPRESS!$A$3:$B$212,2,0),"")</f>
        <v/>
      </c>
      <c r="J437" s="334" t="n"/>
      <c r="K437" s="332">
        <f>IFERROR(VLOOKUP(TEXT(O437,"0"),CONDUCTORES!$A$3:$G$54,7,0),"")</f>
        <v/>
      </c>
      <c r="L437" s="334" t="n"/>
      <c r="M437" s="334" t="n"/>
      <c r="N437" s="333">
        <f>IFERROR(IF(L437*M437=0,"",L437*M437),"")</f>
        <v/>
      </c>
      <c r="O437" s="334" t="n"/>
      <c r="P437" s="332">
        <f>IFERROR(VLOOKUP(TEXT(O437,"0"),CONDUCTORES!$A$3:$G$54,2,0),"")</f>
        <v/>
      </c>
      <c r="Q437" s="332">
        <f>IFERROR(VLOOKUP(TEXT(O437,"0"),CONDUCTORES!$A$3:$H$54,6,0),"")</f>
        <v/>
      </c>
      <c r="R437" s="334" t="n"/>
      <c r="S437" s="334" t="n"/>
      <c r="T437" s="334" t="n"/>
      <c r="U437" s="334" t="n"/>
      <c r="V437" s="334" t="n"/>
      <c r="W437" s="334" t="n"/>
      <c r="X437" s="334" t="n"/>
      <c r="Y437" s="334" t="n"/>
      <c r="Z437" s="375">
        <f>IF(AND(G437&lt;&gt;"",R437&lt;&gt;"",V437&lt;&gt;"",W437&lt;&gt;""),"COMPLETADO","OBSERVADO")</f>
        <v/>
      </c>
    </row>
    <row r="438" ht="15" customHeight="1" s="195">
      <c r="A438" s="280" t="n"/>
      <c r="B438" s="280" t="n"/>
      <c r="C438" s="280" t="n"/>
      <c r="D438" s="280" t="n"/>
      <c r="E438" s="280" t="n"/>
      <c r="F438" s="280" t="n"/>
      <c r="G438" s="280" t="n"/>
      <c r="H438" s="280" t="n"/>
      <c r="I438" s="332">
        <f>IFERROR(VLOOKUP(TEXT(H438,"0"),IPRESS!$A$3:$B$212,2,0),"")</f>
        <v/>
      </c>
      <c r="J438" s="280" t="n"/>
      <c r="K438" s="332">
        <f>IFERROR(VLOOKUP(TEXT(O438,"0"),CONDUCTORES!$A$3:$G$54,7,0),"")</f>
        <v/>
      </c>
      <c r="L438" s="280" t="n"/>
      <c r="M438" s="280" t="n"/>
      <c r="N438" s="333">
        <f>IFERROR(IF(L438*M438=0,"",L438*M438),"")</f>
        <v/>
      </c>
      <c r="O438" s="280" t="n"/>
      <c r="P438" s="332">
        <f>IFERROR(VLOOKUP(TEXT(O438,"0"),CONDUCTORES!$A$3:$G$54,2,0),"")</f>
        <v/>
      </c>
      <c r="Q438" s="332">
        <f>IFERROR(VLOOKUP(TEXT(O438,"0"),CONDUCTORES!$A$3:$H$54,6,0),"")</f>
        <v/>
      </c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375">
        <f>IF(AND(G438&lt;&gt;"",R438&lt;&gt;"",V438&lt;&gt;"",W438&lt;&gt;""),"COMPLETADO","OBSERVADO")</f>
        <v/>
      </c>
    </row>
    <row r="439" ht="15" customHeight="1" s="195">
      <c r="A439" s="334" t="n"/>
      <c r="B439" s="334" t="n"/>
      <c r="C439" s="334" t="n"/>
      <c r="D439" s="334" t="n"/>
      <c r="E439" s="334" t="n"/>
      <c r="F439" s="334" t="n"/>
      <c r="G439" s="334" t="n"/>
      <c r="H439" s="334" t="n"/>
      <c r="I439" s="332">
        <f>IFERROR(VLOOKUP(TEXT(H439,"0"),IPRESS!$A$3:$B$212,2,0),"")</f>
        <v/>
      </c>
      <c r="J439" s="334" t="n"/>
      <c r="K439" s="332">
        <f>IFERROR(VLOOKUP(TEXT(O439,"0"),CONDUCTORES!$A$3:$G$54,7,0),"")</f>
        <v/>
      </c>
      <c r="L439" s="334" t="n"/>
      <c r="M439" s="334" t="n"/>
      <c r="N439" s="333">
        <f>IFERROR(IF(L439*M439=0,"",L439*M439),"")</f>
        <v/>
      </c>
      <c r="O439" s="334" t="n"/>
      <c r="P439" s="332">
        <f>IFERROR(VLOOKUP(TEXT(O439,"0"),CONDUCTORES!$A$3:$G$54,2,0),"")</f>
        <v/>
      </c>
      <c r="Q439" s="332">
        <f>IFERROR(VLOOKUP(TEXT(O439,"0"),CONDUCTORES!$A$3:$H$54,6,0),"")</f>
        <v/>
      </c>
      <c r="R439" s="334" t="n"/>
      <c r="S439" s="334" t="n"/>
      <c r="T439" s="334" t="n"/>
      <c r="U439" s="334" t="n"/>
      <c r="V439" s="334" t="n"/>
      <c r="W439" s="334" t="n"/>
      <c r="X439" s="334" t="n"/>
      <c r="Y439" s="334" t="n"/>
      <c r="Z439" s="375">
        <f>IF(AND(G439&lt;&gt;"",R439&lt;&gt;"",V439&lt;&gt;"",W439&lt;&gt;""),"COMPLETADO","OBSERVADO")</f>
        <v/>
      </c>
    </row>
    <row r="440" ht="15" customHeight="1" s="195">
      <c r="A440" s="280" t="n"/>
      <c r="B440" s="280" t="n"/>
      <c r="C440" s="280" t="n"/>
      <c r="D440" s="280" t="n"/>
      <c r="E440" s="280" t="n"/>
      <c r="F440" s="280" t="n"/>
      <c r="G440" s="280" t="n"/>
      <c r="H440" s="280" t="n"/>
      <c r="I440" s="332">
        <f>IFERROR(VLOOKUP(TEXT(H440,"0"),IPRESS!$A$3:$B$212,2,0),"")</f>
        <v/>
      </c>
      <c r="J440" s="280" t="n"/>
      <c r="K440" s="332">
        <f>IFERROR(VLOOKUP(TEXT(O440,"0"),CONDUCTORES!$A$3:$G$54,7,0),"")</f>
        <v/>
      </c>
      <c r="L440" s="280" t="n"/>
      <c r="M440" s="280" t="n"/>
      <c r="N440" s="333">
        <f>IFERROR(IF(L440*M440=0,"",L440*M440),"")</f>
        <v/>
      </c>
      <c r="O440" s="280" t="n"/>
      <c r="P440" s="332">
        <f>IFERROR(VLOOKUP(TEXT(O440,"0"),CONDUCTORES!$A$3:$G$54,2,0),"")</f>
        <v/>
      </c>
      <c r="Q440" s="332">
        <f>IFERROR(VLOOKUP(TEXT(O440,"0"),CONDUCTORES!$A$3:$H$54,6,0),"")</f>
        <v/>
      </c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375">
        <f>IF(AND(G440&lt;&gt;"",R440&lt;&gt;"",V440&lt;&gt;"",W440&lt;&gt;""),"COMPLETADO","OBSERVADO")</f>
        <v/>
      </c>
    </row>
    <row r="441" ht="15" customHeight="1" s="195">
      <c r="A441" s="334" t="n"/>
      <c r="B441" s="334" t="n"/>
      <c r="C441" s="334" t="n"/>
      <c r="D441" s="334" t="n"/>
      <c r="E441" s="334" t="n"/>
      <c r="F441" s="334" t="n"/>
      <c r="G441" s="334" t="n"/>
      <c r="H441" s="334" t="n"/>
      <c r="I441" s="332">
        <f>IFERROR(VLOOKUP(TEXT(H441,"0"),IPRESS!$A$3:$B$212,2,0),"")</f>
        <v/>
      </c>
      <c r="J441" s="334" t="n"/>
      <c r="K441" s="332">
        <f>IFERROR(VLOOKUP(TEXT(O441,"0"),CONDUCTORES!$A$3:$G$54,7,0),"")</f>
        <v/>
      </c>
      <c r="L441" s="334" t="n"/>
      <c r="M441" s="334" t="n"/>
      <c r="N441" s="333">
        <f>IFERROR(IF(L441*M441=0,"",L441*M441),"")</f>
        <v/>
      </c>
      <c r="O441" s="334" t="n"/>
      <c r="P441" s="332">
        <f>IFERROR(VLOOKUP(TEXT(O441,"0"),CONDUCTORES!$A$3:$G$54,2,0),"")</f>
        <v/>
      </c>
      <c r="Q441" s="332">
        <f>IFERROR(VLOOKUP(TEXT(O441,"0"),CONDUCTORES!$A$3:$H$54,6,0),"")</f>
        <v/>
      </c>
      <c r="R441" s="334" t="n"/>
      <c r="S441" s="334" t="n"/>
      <c r="T441" s="334" t="n"/>
      <c r="U441" s="334" t="n"/>
      <c r="V441" s="334" t="n"/>
      <c r="W441" s="334" t="n"/>
      <c r="X441" s="334" t="n"/>
      <c r="Y441" s="334" t="n"/>
      <c r="Z441" s="375">
        <f>IF(AND(G441&lt;&gt;"",R441&lt;&gt;"",V441&lt;&gt;"",W441&lt;&gt;""),"COMPLETADO","OBSERVADO")</f>
        <v/>
      </c>
    </row>
    <row r="442" ht="15" customHeight="1" s="195">
      <c r="A442" s="280" t="n"/>
      <c r="B442" s="280" t="n"/>
      <c r="C442" s="280" t="n"/>
      <c r="D442" s="280" t="n"/>
      <c r="E442" s="280" t="n"/>
      <c r="F442" s="280" t="n"/>
      <c r="G442" s="280" t="n"/>
      <c r="H442" s="280" t="n"/>
      <c r="I442" s="332">
        <f>IFERROR(VLOOKUP(TEXT(H442,"0"),IPRESS!$A$3:$B$212,2,0),"")</f>
        <v/>
      </c>
      <c r="J442" s="280" t="n"/>
      <c r="K442" s="332">
        <f>IFERROR(VLOOKUP(TEXT(O442,"0"),CONDUCTORES!$A$3:$G$54,7,0),"")</f>
        <v/>
      </c>
      <c r="L442" s="280" t="n"/>
      <c r="M442" s="280" t="n"/>
      <c r="N442" s="333">
        <f>IFERROR(IF(L442*M442=0,"",L442*M442),"")</f>
        <v/>
      </c>
      <c r="O442" s="280" t="n"/>
      <c r="P442" s="332">
        <f>IFERROR(VLOOKUP(TEXT(O442,"0"),CONDUCTORES!$A$3:$G$54,2,0),"")</f>
        <v/>
      </c>
      <c r="Q442" s="332">
        <f>IFERROR(VLOOKUP(TEXT(O442,"0"),CONDUCTORES!$A$3:$H$54,6,0),"")</f>
        <v/>
      </c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375">
        <f>IF(AND(G442&lt;&gt;"",R442&lt;&gt;"",V442&lt;&gt;"",W442&lt;&gt;""),"COMPLETADO","OBSERVADO")</f>
        <v/>
      </c>
    </row>
    <row r="443" ht="15" customHeight="1" s="195">
      <c r="A443" s="334" t="n"/>
      <c r="B443" s="334" t="n"/>
      <c r="C443" s="334" t="n"/>
      <c r="D443" s="334" t="n"/>
      <c r="E443" s="334" t="n"/>
      <c r="F443" s="334" t="n"/>
      <c r="G443" s="334" t="n"/>
      <c r="H443" s="334" t="n"/>
      <c r="I443" s="332">
        <f>IFERROR(VLOOKUP(TEXT(H443,"0"),IPRESS!$A$3:$B$212,2,0),"")</f>
        <v/>
      </c>
      <c r="J443" s="334" t="n"/>
      <c r="K443" s="332">
        <f>IFERROR(VLOOKUP(TEXT(O443,"0"),CONDUCTORES!$A$3:$G$54,7,0),"")</f>
        <v/>
      </c>
      <c r="L443" s="334" t="n"/>
      <c r="M443" s="334" t="n"/>
      <c r="N443" s="333">
        <f>IFERROR(IF(L443*M443=0,"",L443*M443),"")</f>
        <v/>
      </c>
      <c r="O443" s="334" t="n"/>
      <c r="P443" s="332">
        <f>IFERROR(VLOOKUP(TEXT(O443,"0"),CONDUCTORES!$A$3:$G$54,2,0),"")</f>
        <v/>
      </c>
      <c r="Q443" s="332">
        <f>IFERROR(VLOOKUP(TEXT(O443,"0"),CONDUCTORES!$A$3:$H$54,6,0),"")</f>
        <v/>
      </c>
      <c r="R443" s="334" t="n"/>
      <c r="S443" s="334" t="n"/>
      <c r="T443" s="334" t="n"/>
      <c r="U443" s="334" t="n"/>
      <c r="V443" s="334" t="n"/>
      <c r="W443" s="334" t="n"/>
      <c r="X443" s="334" t="n"/>
      <c r="Y443" s="334" t="n"/>
      <c r="Z443" s="375">
        <f>IF(AND(G443&lt;&gt;"",R443&lt;&gt;"",V443&lt;&gt;"",W443&lt;&gt;""),"COMPLETADO","OBSERVADO")</f>
        <v/>
      </c>
    </row>
    <row r="444" ht="15" customHeight="1" s="195">
      <c r="A444" s="280" t="n"/>
      <c r="B444" s="280" t="n"/>
      <c r="C444" s="280" t="n"/>
      <c r="D444" s="280" t="n"/>
      <c r="E444" s="280" t="n"/>
      <c r="F444" s="280" t="n"/>
      <c r="G444" s="280" t="n"/>
      <c r="H444" s="280" t="n"/>
      <c r="I444" s="332">
        <f>IFERROR(VLOOKUP(TEXT(H444,"0"),IPRESS!$A$3:$B$212,2,0),"")</f>
        <v/>
      </c>
      <c r="J444" s="280" t="n"/>
      <c r="K444" s="332">
        <f>IFERROR(VLOOKUP(TEXT(O444,"0"),CONDUCTORES!$A$3:$G$54,7,0),"")</f>
        <v/>
      </c>
      <c r="L444" s="280" t="n"/>
      <c r="M444" s="280" t="n"/>
      <c r="N444" s="333">
        <f>IFERROR(IF(L444*M444=0,"",L444*M444),"")</f>
        <v/>
      </c>
      <c r="O444" s="280" t="n"/>
      <c r="P444" s="332">
        <f>IFERROR(VLOOKUP(TEXT(O444,"0"),CONDUCTORES!$A$3:$G$54,2,0),"")</f>
        <v/>
      </c>
      <c r="Q444" s="332">
        <f>IFERROR(VLOOKUP(TEXT(O444,"0"),CONDUCTORES!$A$3:$H$54,6,0),"")</f>
        <v/>
      </c>
      <c r="R444" s="280" t="n"/>
      <c r="S444" s="280" t="n"/>
      <c r="T444" s="280" t="n"/>
      <c r="U444" s="280" t="n"/>
      <c r="V444" s="280" t="n"/>
      <c r="W444" s="280" t="n"/>
      <c r="X444" s="280" t="n"/>
      <c r="Y444" s="280" t="n"/>
      <c r="Z444" s="375">
        <f>IF(AND(G444&lt;&gt;"",R444&lt;&gt;"",V444&lt;&gt;"",W444&lt;&gt;""),"COMPLETADO","OBSERVADO")</f>
        <v/>
      </c>
    </row>
    <row r="445" ht="15" customHeight="1" s="195">
      <c r="A445" s="334" t="n"/>
      <c r="B445" s="334" t="n"/>
      <c r="C445" s="334" t="n"/>
      <c r="D445" s="334" t="n"/>
      <c r="E445" s="334" t="n"/>
      <c r="F445" s="334" t="n"/>
      <c r="G445" s="334" t="n"/>
      <c r="H445" s="334" t="n"/>
      <c r="I445" s="332">
        <f>IFERROR(VLOOKUP(TEXT(H445,"0"),IPRESS!$A$3:$B$212,2,0),"")</f>
        <v/>
      </c>
      <c r="J445" s="334" t="n"/>
      <c r="K445" s="332">
        <f>IFERROR(VLOOKUP(TEXT(O445,"0"),CONDUCTORES!$A$3:$G$54,7,0),"")</f>
        <v/>
      </c>
      <c r="L445" s="334" t="n"/>
      <c r="M445" s="334" t="n"/>
      <c r="N445" s="333">
        <f>IFERROR(IF(L445*M445=0,"",L445*M445),"")</f>
        <v/>
      </c>
      <c r="O445" s="334" t="n"/>
      <c r="P445" s="332">
        <f>IFERROR(VLOOKUP(TEXT(O445,"0"),CONDUCTORES!$A$3:$G$54,2,0),"")</f>
        <v/>
      </c>
      <c r="Q445" s="332">
        <f>IFERROR(VLOOKUP(TEXT(O445,"0"),CONDUCTORES!$A$3:$H$54,6,0),"")</f>
        <v/>
      </c>
      <c r="R445" s="334" t="n"/>
      <c r="S445" s="334" t="n"/>
      <c r="T445" s="334" t="n"/>
      <c r="U445" s="334" t="n"/>
      <c r="V445" s="334" t="n"/>
      <c r="W445" s="334" t="n"/>
      <c r="X445" s="334" t="n"/>
      <c r="Y445" s="334" t="n"/>
      <c r="Z445" s="375">
        <f>IF(AND(G445&lt;&gt;"",R445&lt;&gt;"",V445&lt;&gt;"",W445&lt;&gt;""),"COMPLETADO","OBSERVADO")</f>
        <v/>
      </c>
    </row>
    <row r="446" ht="15" customHeight="1" s="195">
      <c r="A446" s="280" t="n"/>
      <c r="B446" s="280" t="n"/>
      <c r="C446" s="280" t="n"/>
      <c r="D446" s="280" t="n"/>
      <c r="E446" s="280" t="n"/>
      <c r="F446" s="280" t="n"/>
      <c r="G446" s="280" t="n"/>
      <c r="H446" s="280" t="n"/>
      <c r="I446" s="332">
        <f>IFERROR(VLOOKUP(TEXT(H446,"0"),IPRESS!$A$3:$B$212,2,0),"")</f>
        <v/>
      </c>
      <c r="J446" s="280" t="n"/>
      <c r="K446" s="332">
        <f>IFERROR(VLOOKUP(TEXT(O446,"0"),CONDUCTORES!$A$3:$G$54,7,0),"")</f>
        <v/>
      </c>
      <c r="L446" s="280" t="n"/>
      <c r="M446" s="280" t="n"/>
      <c r="N446" s="333">
        <f>IFERROR(IF(L446*M446=0,"",L446*M446),"")</f>
        <v/>
      </c>
      <c r="O446" s="280" t="n"/>
      <c r="P446" s="332">
        <f>IFERROR(VLOOKUP(TEXT(O446,"0"),CONDUCTORES!$A$3:$G$54,2,0),"")</f>
        <v/>
      </c>
      <c r="Q446" s="332">
        <f>IFERROR(VLOOKUP(TEXT(O446,"0"),CONDUCTORES!$A$3:$H$54,6,0),"")</f>
        <v/>
      </c>
      <c r="R446" s="280" t="n"/>
      <c r="S446" s="280" t="n"/>
      <c r="T446" s="280" t="n"/>
      <c r="U446" s="280" t="n"/>
      <c r="V446" s="280" t="n"/>
      <c r="W446" s="280" t="n"/>
      <c r="X446" s="280" t="n"/>
      <c r="Y446" s="280" t="n"/>
      <c r="Z446" s="375">
        <f>IF(AND(G446&lt;&gt;"",R446&lt;&gt;"",V446&lt;&gt;"",W446&lt;&gt;""),"COMPLETADO","OBSERVADO")</f>
        <v/>
      </c>
    </row>
    <row r="447" ht="15" customHeight="1" s="195">
      <c r="A447" s="334" t="n"/>
      <c r="B447" s="334" t="n"/>
      <c r="C447" s="334" t="n"/>
      <c r="D447" s="334" t="n"/>
      <c r="E447" s="334" t="n"/>
      <c r="F447" s="334" t="n"/>
      <c r="G447" s="334" t="n"/>
      <c r="H447" s="334" t="n"/>
      <c r="I447" s="332">
        <f>IFERROR(VLOOKUP(TEXT(H447,"0"),IPRESS!$A$3:$B$212,2,0),"")</f>
        <v/>
      </c>
      <c r="J447" s="334" t="n"/>
      <c r="K447" s="332">
        <f>IFERROR(VLOOKUP(TEXT(O447,"0"),CONDUCTORES!$A$3:$G$54,7,0),"")</f>
        <v/>
      </c>
      <c r="L447" s="334" t="n"/>
      <c r="M447" s="334" t="n"/>
      <c r="N447" s="333">
        <f>IFERROR(IF(L447*M447=0,"",L447*M447),"")</f>
        <v/>
      </c>
      <c r="O447" s="334" t="n"/>
      <c r="P447" s="332">
        <f>IFERROR(VLOOKUP(TEXT(O447,"0"),CONDUCTORES!$A$3:$G$54,2,0),"")</f>
        <v/>
      </c>
      <c r="Q447" s="332">
        <f>IFERROR(VLOOKUP(TEXT(O447,"0"),CONDUCTORES!$A$3:$H$54,6,0),"")</f>
        <v/>
      </c>
      <c r="R447" s="334" t="n"/>
      <c r="S447" s="334" t="n"/>
      <c r="T447" s="334" t="n"/>
      <c r="U447" s="334" t="n"/>
      <c r="V447" s="334" t="n"/>
      <c r="W447" s="334" t="n"/>
      <c r="X447" s="334" t="n"/>
      <c r="Y447" s="334" t="n"/>
      <c r="Z447" s="375">
        <f>IF(AND(G447&lt;&gt;"",R447&lt;&gt;"",V447&lt;&gt;"",W447&lt;&gt;""),"COMPLETADO","OBSERVADO")</f>
        <v/>
      </c>
    </row>
    <row r="448" ht="15" customHeight="1" s="195">
      <c r="A448" s="280" t="n"/>
      <c r="B448" s="280" t="n"/>
      <c r="C448" s="280" t="n"/>
      <c r="D448" s="280" t="n"/>
      <c r="E448" s="280" t="n"/>
      <c r="F448" s="280" t="n"/>
      <c r="G448" s="280" t="n"/>
      <c r="H448" s="280" t="n"/>
      <c r="I448" s="332">
        <f>IFERROR(VLOOKUP(TEXT(H448,"0"),IPRESS!$A$3:$B$212,2,0),"")</f>
        <v/>
      </c>
      <c r="J448" s="280" t="n"/>
      <c r="K448" s="332">
        <f>IFERROR(VLOOKUP(TEXT(O448,"0"),CONDUCTORES!$A$3:$G$54,7,0),"")</f>
        <v/>
      </c>
      <c r="L448" s="280" t="n"/>
      <c r="M448" s="280" t="n"/>
      <c r="N448" s="333">
        <f>IFERROR(IF(L448*M448=0,"",L448*M448),"")</f>
        <v/>
      </c>
      <c r="O448" s="280" t="n"/>
      <c r="P448" s="332">
        <f>IFERROR(VLOOKUP(TEXT(O448,"0"),CONDUCTORES!$A$3:$G$54,2,0),"")</f>
        <v/>
      </c>
      <c r="Q448" s="332">
        <f>IFERROR(VLOOKUP(TEXT(O448,"0"),CONDUCTORES!$A$3:$H$54,6,0),"")</f>
        <v/>
      </c>
      <c r="R448" s="280" t="n"/>
      <c r="S448" s="280" t="n"/>
      <c r="T448" s="280" t="n"/>
      <c r="U448" s="280" t="n"/>
      <c r="V448" s="280" t="n"/>
      <c r="W448" s="280" t="n"/>
      <c r="X448" s="280" t="n"/>
      <c r="Y448" s="280" t="n"/>
      <c r="Z448" s="375">
        <f>IF(AND(G448&lt;&gt;"",R448&lt;&gt;"",V448&lt;&gt;"",W448&lt;&gt;""),"COMPLETADO","OBSERVADO")</f>
        <v/>
      </c>
    </row>
    <row r="449" ht="15" customHeight="1" s="195">
      <c r="A449" s="334" t="n"/>
      <c r="B449" s="334" t="n"/>
      <c r="C449" s="334" t="n"/>
      <c r="D449" s="334" t="n"/>
      <c r="E449" s="334" t="n"/>
      <c r="F449" s="334" t="n"/>
      <c r="G449" s="334" t="n"/>
      <c r="H449" s="334" t="n"/>
      <c r="I449" s="332">
        <f>IFERROR(VLOOKUP(TEXT(H449,"0"),IPRESS!$A$3:$B$212,2,0),"")</f>
        <v/>
      </c>
      <c r="J449" s="334" t="n"/>
      <c r="K449" s="332">
        <f>IFERROR(VLOOKUP(TEXT(O449,"0"),CONDUCTORES!$A$3:$G$54,7,0),"")</f>
        <v/>
      </c>
      <c r="L449" s="334" t="n"/>
      <c r="M449" s="334" t="n"/>
      <c r="N449" s="333">
        <f>IFERROR(IF(L449*M449=0,"",L449*M449),"")</f>
        <v/>
      </c>
      <c r="O449" s="334" t="n"/>
      <c r="P449" s="332">
        <f>IFERROR(VLOOKUP(TEXT(O449,"0"),CONDUCTORES!$A$3:$G$54,2,0),"")</f>
        <v/>
      </c>
      <c r="Q449" s="332">
        <f>IFERROR(VLOOKUP(TEXT(O449,"0"),CONDUCTORES!$A$3:$H$54,6,0),"")</f>
        <v/>
      </c>
      <c r="R449" s="334" t="n"/>
      <c r="S449" s="334" t="n"/>
      <c r="T449" s="334" t="n"/>
      <c r="U449" s="334" t="n"/>
      <c r="V449" s="334" t="n"/>
      <c r="W449" s="334" t="n"/>
      <c r="X449" s="334" t="n"/>
      <c r="Y449" s="334" t="n"/>
      <c r="Z449" s="375">
        <f>IF(AND(G449&lt;&gt;"",R449&lt;&gt;"",V449&lt;&gt;"",W449&lt;&gt;""),"COMPLETADO","OBSERVADO")</f>
        <v/>
      </c>
    </row>
    <row r="450" ht="15" customHeight="1" s="195">
      <c r="A450" s="280" t="n"/>
      <c r="B450" s="280" t="n"/>
      <c r="C450" s="280" t="n"/>
      <c r="D450" s="280" t="n"/>
      <c r="E450" s="280" t="n"/>
      <c r="F450" s="280" t="n"/>
      <c r="G450" s="280" t="n"/>
      <c r="H450" s="280" t="n"/>
      <c r="I450" s="332">
        <f>IFERROR(VLOOKUP(TEXT(H450,"0"),IPRESS!$A$3:$B$212,2,0),"")</f>
        <v/>
      </c>
      <c r="J450" s="280" t="n"/>
      <c r="K450" s="332">
        <f>IFERROR(VLOOKUP(TEXT(O450,"0"),CONDUCTORES!$A$3:$G$54,7,0),"")</f>
        <v/>
      </c>
      <c r="L450" s="280" t="n"/>
      <c r="M450" s="280" t="n"/>
      <c r="N450" s="333">
        <f>IFERROR(IF(L450*M450=0,"",L450*M450),"")</f>
        <v/>
      </c>
      <c r="O450" s="280" t="n"/>
      <c r="P450" s="332">
        <f>IFERROR(VLOOKUP(TEXT(O450,"0"),CONDUCTORES!$A$3:$G$54,2,0),"")</f>
        <v/>
      </c>
      <c r="Q450" s="332">
        <f>IFERROR(VLOOKUP(TEXT(O450,"0"),CONDUCTORES!$A$3:$H$54,6,0),"")</f>
        <v/>
      </c>
      <c r="R450" s="280" t="n"/>
      <c r="S450" s="280" t="n"/>
      <c r="T450" s="280" t="n"/>
      <c r="U450" s="280" t="n"/>
      <c r="V450" s="280" t="n"/>
      <c r="W450" s="280" t="n"/>
      <c r="X450" s="280" t="n"/>
      <c r="Y450" s="280" t="n"/>
      <c r="Z450" s="375">
        <f>IF(AND(G450&lt;&gt;"",R450&lt;&gt;"",V450&lt;&gt;"",W450&lt;&gt;""),"COMPLETADO","OBSERVADO")</f>
        <v/>
      </c>
    </row>
    <row r="451" ht="15" customHeight="1" s="195">
      <c r="A451" s="334" t="n"/>
      <c r="B451" s="334" t="n"/>
      <c r="C451" s="334" t="n"/>
      <c r="D451" s="334" t="n"/>
      <c r="E451" s="334" t="n"/>
      <c r="F451" s="334" t="n"/>
      <c r="G451" s="334" t="n"/>
      <c r="H451" s="334" t="n"/>
      <c r="I451" s="332">
        <f>IFERROR(VLOOKUP(TEXT(H451,"0"),IPRESS!$A$3:$B$212,2,0),"")</f>
        <v/>
      </c>
      <c r="J451" s="334" t="n"/>
      <c r="K451" s="332">
        <f>IFERROR(VLOOKUP(TEXT(O451,"0"),CONDUCTORES!$A$3:$G$54,7,0),"")</f>
        <v/>
      </c>
      <c r="L451" s="334" t="n"/>
      <c r="M451" s="334" t="n"/>
      <c r="N451" s="333">
        <f>IFERROR(IF(L451*M451=0,"",L451*M451),"")</f>
        <v/>
      </c>
      <c r="O451" s="334" t="n"/>
      <c r="P451" s="332">
        <f>IFERROR(VLOOKUP(TEXT(O451,"0"),CONDUCTORES!$A$3:$G$54,2,0),"")</f>
        <v/>
      </c>
      <c r="Q451" s="332">
        <f>IFERROR(VLOOKUP(TEXT(O451,"0"),CONDUCTORES!$A$3:$H$54,6,0),"")</f>
        <v/>
      </c>
      <c r="R451" s="334" t="n"/>
      <c r="S451" s="334" t="n"/>
      <c r="T451" s="334" t="n"/>
      <c r="U451" s="334" t="n"/>
      <c r="V451" s="334" t="n"/>
      <c r="W451" s="334" t="n"/>
      <c r="X451" s="334" t="n"/>
      <c r="Y451" s="334" t="n"/>
      <c r="Z451" s="375">
        <f>IF(AND(G451&lt;&gt;"",R451&lt;&gt;"",V451&lt;&gt;"",W451&lt;&gt;""),"COMPLETADO","OBSERVADO")</f>
        <v/>
      </c>
    </row>
    <row r="452" ht="15" customHeight="1" s="195">
      <c r="A452" s="280" t="n"/>
      <c r="B452" s="280" t="n"/>
      <c r="C452" s="280" t="n"/>
      <c r="D452" s="280" t="n"/>
      <c r="E452" s="280" t="n"/>
      <c r="F452" s="280" t="n"/>
      <c r="G452" s="280" t="n"/>
      <c r="H452" s="280" t="n"/>
      <c r="I452" s="332">
        <f>IFERROR(VLOOKUP(TEXT(H452,"0"),IPRESS!$A$3:$B$212,2,0),"")</f>
        <v/>
      </c>
      <c r="J452" s="280" t="n"/>
      <c r="K452" s="332">
        <f>IFERROR(VLOOKUP(TEXT(O452,"0"),CONDUCTORES!$A$3:$G$54,7,0),"")</f>
        <v/>
      </c>
      <c r="L452" s="280" t="n"/>
      <c r="M452" s="280" t="n"/>
      <c r="N452" s="333">
        <f>IFERROR(IF(L452*M452=0,"",L452*M452),"")</f>
        <v/>
      </c>
      <c r="O452" s="280" t="n"/>
      <c r="P452" s="332">
        <f>IFERROR(VLOOKUP(TEXT(O452,"0"),CONDUCTORES!$A$3:$G$54,2,0),"")</f>
        <v/>
      </c>
      <c r="Q452" s="332">
        <f>IFERROR(VLOOKUP(TEXT(O452,"0"),CONDUCTORES!$A$3:$H$54,6,0),"")</f>
        <v/>
      </c>
      <c r="R452" s="280" t="n"/>
      <c r="S452" s="280" t="n"/>
      <c r="T452" s="280" t="n"/>
      <c r="U452" s="280" t="n"/>
      <c r="V452" s="280" t="n"/>
      <c r="W452" s="280" t="n"/>
      <c r="X452" s="280" t="n"/>
      <c r="Y452" s="280" t="n"/>
      <c r="Z452" s="375">
        <f>IF(AND(G452&lt;&gt;"",R452&lt;&gt;"",V452&lt;&gt;"",W452&lt;&gt;""),"COMPLETADO","OBSERVADO")</f>
        <v/>
      </c>
    </row>
    <row r="453" ht="15" customHeight="1" s="195">
      <c r="A453" s="334" t="n"/>
      <c r="B453" s="334" t="n"/>
      <c r="C453" s="334" t="n"/>
      <c r="D453" s="334" t="n"/>
      <c r="E453" s="334" t="n"/>
      <c r="F453" s="334" t="n"/>
      <c r="G453" s="334" t="n"/>
      <c r="H453" s="334" t="n"/>
      <c r="I453" s="332">
        <f>IFERROR(VLOOKUP(TEXT(H453,"0"),IPRESS!$A$3:$B$212,2,0),"")</f>
        <v/>
      </c>
      <c r="J453" s="334" t="n"/>
      <c r="K453" s="332">
        <f>IFERROR(VLOOKUP(TEXT(O453,"0"),CONDUCTORES!$A$3:$G$54,7,0),"")</f>
        <v/>
      </c>
      <c r="L453" s="334" t="n"/>
      <c r="M453" s="334" t="n"/>
      <c r="N453" s="333">
        <f>IFERROR(IF(L453*M453=0,"",L453*M453),"")</f>
        <v/>
      </c>
      <c r="O453" s="334" t="n"/>
      <c r="P453" s="332">
        <f>IFERROR(VLOOKUP(TEXT(O453,"0"),CONDUCTORES!$A$3:$G$54,2,0),"")</f>
        <v/>
      </c>
      <c r="Q453" s="332">
        <f>IFERROR(VLOOKUP(TEXT(O453,"0"),CONDUCTORES!$A$3:$H$54,6,0),"")</f>
        <v/>
      </c>
      <c r="R453" s="334" t="n"/>
      <c r="S453" s="334" t="n"/>
      <c r="T453" s="334" t="n"/>
      <c r="U453" s="334" t="n"/>
      <c r="V453" s="334" t="n"/>
      <c r="W453" s="334" t="n"/>
      <c r="X453" s="334" t="n"/>
      <c r="Y453" s="334" t="n"/>
      <c r="Z453" s="375">
        <f>IF(AND(G453&lt;&gt;"",R453&lt;&gt;"",V453&lt;&gt;"",W453&lt;&gt;""),"COMPLETADO","OBSERVADO")</f>
        <v/>
      </c>
    </row>
    <row r="454" ht="15" customHeight="1" s="195">
      <c r="A454" s="280" t="n"/>
      <c r="B454" s="280" t="n"/>
      <c r="C454" s="280" t="n"/>
      <c r="D454" s="280" t="n"/>
      <c r="E454" s="280" t="n"/>
      <c r="F454" s="280" t="n"/>
      <c r="G454" s="280" t="n"/>
      <c r="H454" s="280" t="n"/>
      <c r="I454" s="332">
        <f>IFERROR(VLOOKUP(TEXT(H454,"0"),IPRESS!$A$3:$B$212,2,0),"")</f>
        <v/>
      </c>
      <c r="J454" s="280" t="n"/>
      <c r="K454" s="332">
        <f>IFERROR(VLOOKUP(TEXT(O454,"0"),CONDUCTORES!$A$3:$G$54,7,0),"")</f>
        <v/>
      </c>
      <c r="L454" s="280" t="n"/>
      <c r="M454" s="280" t="n"/>
      <c r="N454" s="333">
        <f>IFERROR(IF(L454*M454=0,"",L454*M454),"")</f>
        <v/>
      </c>
      <c r="O454" s="280" t="n"/>
      <c r="P454" s="332">
        <f>IFERROR(VLOOKUP(TEXT(O454,"0"),CONDUCTORES!$A$3:$G$54,2,0),"")</f>
        <v/>
      </c>
      <c r="Q454" s="332">
        <f>IFERROR(VLOOKUP(TEXT(O454,"0"),CONDUCTORES!$A$3:$H$54,6,0),"")</f>
        <v/>
      </c>
      <c r="R454" s="280" t="n"/>
      <c r="S454" s="280" t="n"/>
      <c r="T454" s="280" t="n"/>
      <c r="U454" s="280" t="n"/>
      <c r="V454" s="280" t="n"/>
      <c r="W454" s="280" t="n"/>
      <c r="X454" s="280" t="n"/>
      <c r="Y454" s="280" t="n"/>
      <c r="Z454" s="375">
        <f>IF(AND(G454&lt;&gt;"",R454&lt;&gt;"",V454&lt;&gt;"",W454&lt;&gt;""),"COMPLETADO","OBSERVADO")</f>
        <v/>
      </c>
    </row>
    <row r="455" ht="15" customHeight="1" s="195">
      <c r="A455" s="334" t="n"/>
      <c r="B455" s="334" t="n"/>
      <c r="C455" s="334" t="n"/>
      <c r="D455" s="334" t="n"/>
      <c r="E455" s="334" t="n"/>
      <c r="F455" s="334" t="n"/>
      <c r="G455" s="334" t="n"/>
      <c r="H455" s="334" t="n"/>
      <c r="I455" s="332">
        <f>IFERROR(VLOOKUP(TEXT(H455,"0"),IPRESS!$A$3:$B$212,2,0),"")</f>
        <v/>
      </c>
      <c r="J455" s="334" t="n"/>
      <c r="K455" s="332">
        <f>IFERROR(VLOOKUP(TEXT(O455,"0"),CONDUCTORES!$A$3:$G$54,7,0),"")</f>
        <v/>
      </c>
      <c r="L455" s="334" t="n"/>
      <c r="M455" s="334" t="n"/>
      <c r="N455" s="333">
        <f>IFERROR(IF(L455*M455=0,"",L455*M455),"")</f>
        <v/>
      </c>
      <c r="O455" s="334" t="n"/>
      <c r="P455" s="332">
        <f>IFERROR(VLOOKUP(TEXT(O455,"0"),CONDUCTORES!$A$3:$G$54,2,0),"")</f>
        <v/>
      </c>
      <c r="Q455" s="332">
        <f>IFERROR(VLOOKUP(TEXT(O455,"0"),CONDUCTORES!$A$3:$H$54,6,0),"")</f>
        <v/>
      </c>
      <c r="R455" s="334" t="n"/>
      <c r="S455" s="334" t="n"/>
      <c r="T455" s="334" t="n"/>
      <c r="U455" s="334" t="n"/>
      <c r="V455" s="334" t="n"/>
      <c r="W455" s="334" t="n"/>
      <c r="X455" s="334" t="n"/>
      <c r="Y455" s="334" t="n"/>
      <c r="Z455" s="375">
        <f>IF(AND(G455&lt;&gt;"",R455&lt;&gt;"",V455&lt;&gt;"",W455&lt;&gt;""),"COMPLETADO","OBSERVADO")</f>
        <v/>
      </c>
    </row>
    <row r="456" ht="15" customHeight="1" s="195">
      <c r="A456" s="280" t="n"/>
      <c r="B456" s="280" t="n"/>
      <c r="C456" s="280" t="n"/>
      <c r="D456" s="280" t="n"/>
      <c r="E456" s="280" t="n"/>
      <c r="F456" s="280" t="n"/>
      <c r="G456" s="280" t="n"/>
      <c r="H456" s="280" t="n"/>
      <c r="I456" s="332">
        <f>IFERROR(VLOOKUP(TEXT(H456,"0"),IPRESS!$A$3:$B$212,2,0),"")</f>
        <v/>
      </c>
      <c r="J456" s="280" t="n"/>
      <c r="K456" s="332">
        <f>IFERROR(VLOOKUP(TEXT(O456,"0"),CONDUCTORES!$A$3:$G$54,7,0),"")</f>
        <v/>
      </c>
      <c r="L456" s="280" t="n"/>
      <c r="M456" s="280" t="n"/>
      <c r="N456" s="333">
        <f>IFERROR(IF(L456*M456=0,"",L456*M456),"")</f>
        <v/>
      </c>
      <c r="O456" s="280" t="n"/>
      <c r="P456" s="332">
        <f>IFERROR(VLOOKUP(TEXT(O456,"0"),CONDUCTORES!$A$3:$G$54,2,0),"")</f>
        <v/>
      </c>
      <c r="Q456" s="332">
        <f>IFERROR(VLOOKUP(TEXT(O456,"0"),CONDUCTORES!$A$3:$H$54,6,0),"")</f>
        <v/>
      </c>
      <c r="R456" s="280" t="n"/>
      <c r="S456" s="280" t="n"/>
      <c r="T456" s="280" t="n"/>
      <c r="U456" s="280" t="n"/>
      <c r="V456" s="280" t="n"/>
      <c r="W456" s="280" t="n"/>
      <c r="X456" s="280" t="n"/>
      <c r="Y456" s="280" t="n"/>
      <c r="Z456" s="375">
        <f>IF(AND(G456&lt;&gt;"",R456&lt;&gt;"",V456&lt;&gt;"",W456&lt;&gt;""),"COMPLETADO","OBSERVADO")</f>
        <v/>
      </c>
    </row>
    <row r="457" ht="15" customHeight="1" s="195">
      <c r="A457" s="334" t="n"/>
      <c r="B457" s="334" t="n"/>
      <c r="C457" s="334" t="n"/>
      <c r="D457" s="334" t="n"/>
      <c r="E457" s="334" t="n"/>
      <c r="F457" s="334" t="n"/>
      <c r="G457" s="334" t="n"/>
      <c r="H457" s="334" t="n"/>
      <c r="I457" s="332">
        <f>IFERROR(VLOOKUP(TEXT(H457,"0"),IPRESS!$A$3:$B$212,2,0),"")</f>
        <v/>
      </c>
      <c r="J457" s="334" t="n"/>
      <c r="K457" s="332">
        <f>IFERROR(VLOOKUP(TEXT(O457,"0"),CONDUCTORES!$A$3:$G$54,7,0),"")</f>
        <v/>
      </c>
      <c r="L457" s="334" t="n"/>
      <c r="M457" s="334" t="n"/>
      <c r="N457" s="333">
        <f>IFERROR(IF(L457*M457=0,"",L457*M457),"")</f>
        <v/>
      </c>
      <c r="O457" s="334" t="n"/>
      <c r="P457" s="332">
        <f>IFERROR(VLOOKUP(TEXT(O457,"0"),CONDUCTORES!$A$3:$G$54,2,0),"")</f>
        <v/>
      </c>
      <c r="Q457" s="332">
        <f>IFERROR(VLOOKUP(TEXT(O457,"0"),CONDUCTORES!$A$3:$H$54,6,0),"")</f>
        <v/>
      </c>
      <c r="R457" s="334" t="n"/>
      <c r="S457" s="334" t="n"/>
      <c r="T457" s="334" t="n"/>
      <c r="U457" s="334" t="n"/>
      <c r="V457" s="334" t="n"/>
      <c r="W457" s="334" t="n"/>
      <c r="X457" s="334" t="n"/>
      <c r="Y457" s="334" t="n"/>
      <c r="Z457" s="375">
        <f>IF(AND(G457&lt;&gt;"",R457&lt;&gt;"",V457&lt;&gt;"",W457&lt;&gt;""),"COMPLETADO","OBSERVADO")</f>
        <v/>
      </c>
    </row>
    <row r="458" ht="15" customHeight="1" s="195">
      <c r="A458" s="280" t="n"/>
      <c r="B458" s="280" t="n"/>
      <c r="C458" s="280" t="n"/>
      <c r="D458" s="280" t="n"/>
      <c r="E458" s="280" t="n"/>
      <c r="F458" s="280" t="n"/>
      <c r="G458" s="280" t="n"/>
      <c r="H458" s="280" t="n"/>
      <c r="I458" s="332">
        <f>IFERROR(VLOOKUP(TEXT(H458,"0"),IPRESS!$A$3:$B$212,2,0),"")</f>
        <v/>
      </c>
      <c r="J458" s="280" t="n"/>
      <c r="K458" s="332">
        <f>IFERROR(VLOOKUP(TEXT(O458,"0"),CONDUCTORES!$A$3:$G$54,7,0),"")</f>
        <v/>
      </c>
      <c r="L458" s="280" t="n"/>
      <c r="M458" s="280" t="n"/>
      <c r="N458" s="333">
        <f>IFERROR(IF(L458*M458=0,"",L458*M458),"")</f>
        <v/>
      </c>
      <c r="O458" s="280" t="n"/>
      <c r="P458" s="332">
        <f>IFERROR(VLOOKUP(TEXT(O458,"0"),CONDUCTORES!$A$3:$G$54,2,0),"")</f>
        <v/>
      </c>
      <c r="Q458" s="332">
        <f>IFERROR(VLOOKUP(TEXT(O458,"0"),CONDUCTORES!$A$3:$H$54,6,0),"")</f>
        <v/>
      </c>
      <c r="R458" s="280" t="n"/>
      <c r="S458" s="280" t="n"/>
      <c r="T458" s="280" t="n"/>
      <c r="U458" s="280" t="n"/>
      <c r="V458" s="280" t="n"/>
      <c r="W458" s="280" t="n"/>
      <c r="X458" s="280" t="n"/>
      <c r="Y458" s="280" t="n"/>
      <c r="Z458" s="375">
        <f>IF(AND(G458&lt;&gt;"",R458&lt;&gt;"",V458&lt;&gt;"",W458&lt;&gt;""),"COMPLETADO","OBSERVADO")</f>
        <v/>
      </c>
    </row>
    <row r="459" ht="15" customHeight="1" s="195">
      <c r="A459" s="334" t="n"/>
      <c r="B459" s="334" t="n"/>
      <c r="C459" s="334" t="n"/>
      <c r="D459" s="334" t="n"/>
      <c r="E459" s="334" t="n"/>
      <c r="F459" s="334" t="n"/>
      <c r="G459" s="334" t="n"/>
      <c r="H459" s="334" t="n"/>
      <c r="I459" s="332">
        <f>IFERROR(VLOOKUP(TEXT(H459,"0"),IPRESS!$A$3:$B$212,2,0),"")</f>
        <v/>
      </c>
      <c r="J459" s="334" t="n"/>
      <c r="K459" s="332">
        <f>IFERROR(VLOOKUP(TEXT(O459,"0"),CONDUCTORES!$A$3:$G$54,7,0),"")</f>
        <v/>
      </c>
      <c r="L459" s="334" t="n"/>
      <c r="M459" s="334" t="n"/>
      <c r="N459" s="333">
        <f>IFERROR(IF(L459*M459=0,"",L459*M459),"")</f>
        <v/>
      </c>
      <c r="O459" s="334" t="n"/>
      <c r="P459" s="332">
        <f>IFERROR(VLOOKUP(TEXT(O459,"0"),CONDUCTORES!$A$3:$G$54,2,0),"")</f>
        <v/>
      </c>
      <c r="Q459" s="332">
        <f>IFERROR(VLOOKUP(TEXT(O459,"0"),CONDUCTORES!$A$3:$H$54,6,0),"")</f>
        <v/>
      </c>
      <c r="R459" s="334" t="n"/>
      <c r="S459" s="334" t="n"/>
      <c r="T459" s="334" t="n"/>
      <c r="U459" s="334" t="n"/>
      <c r="V459" s="334" t="n"/>
      <c r="W459" s="334" t="n"/>
      <c r="X459" s="334" t="n"/>
      <c r="Y459" s="334" t="n"/>
      <c r="Z459" s="375">
        <f>IF(AND(G459&lt;&gt;"",R459&lt;&gt;"",V459&lt;&gt;"",W459&lt;&gt;""),"COMPLETADO","OBSERVADO")</f>
        <v/>
      </c>
    </row>
    <row r="460" ht="15" customHeight="1" s="195">
      <c r="A460" s="280" t="n"/>
      <c r="B460" s="280" t="n"/>
      <c r="C460" s="280" t="n"/>
      <c r="D460" s="280" t="n"/>
      <c r="E460" s="280" t="n"/>
      <c r="F460" s="280" t="n"/>
      <c r="G460" s="280" t="n"/>
      <c r="H460" s="280" t="n"/>
      <c r="I460" s="332">
        <f>IFERROR(VLOOKUP(TEXT(H460,"0"),IPRESS!$A$3:$B$212,2,0),"")</f>
        <v/>
      </c>
      <c r="J460" s="280" t="n"/>
      <c r="K460" s="332">
        <f>IFERROR(VLOOKUP(TEXT(O460,"0"),CONDUCTORES!$A$3:$G$54,7,0),"")</f>
        <v/>
      </c>
      <c r="L460" s="280" t="n"/>
      <c r="M460" s="280" t="n"/>
      <c r="N460" s="333">
        <f>IFERROR(IF(L460*M460=0,"",L460*M460),"")</f>
        <v/>
      </c>
      <c r="O460" s="280" t="n"/>
      <c r="P460" s="332">
        <f>IFERROR(VLOOKUP(TEXT(O460,"0"),CONDUCTORES!$A$3:$G$54,2,0),"")</f>
        <v/>
      </c>
      <c r="Q460" s="332">
        <f>IFERROR(VLOOKUP(TEXT(O460,"0"),CONDUCTORES!$A$3:$H$54,6,0),"")</f>
        <v/>
      </c>
      <c r="R460" s="280" t="n"/>
      <c r="S460" s="280" t="n"/>
      <c r="T460" s="280" t="n"/>
      <c r="U460" s="280" t="n"/>
      <c r="V460" s="280" t="n"/>
      <c r="W460" s="280" t="n"/>
      <c r="X460" s="280" t="n"/>
      <c r="Y460" s="280" t="n"/>
      <c r="Z460" s="375">
        <f>IF(AND(G460&lt;&gt;"",R460&lt;&gt;"",V460&lt;&gt;"",W460&lt;&gt;""),"COMPLETADO","OBSERVADO")</f>
        <v/>
      </c>
    </row>
    <row r="461" ht="15" customHeight="1" s="195">
      <c r="A461" s="334" t="n"/>
      <c r="B461" s="334" t="n"/>
      <c r="C461" s="334" t="n"/>
      <c r="D461" s="334" t="n"/>
      <c r="E461" s="334" t="n"/>
      <c r="F461" s="334" t="n"/>
      <c r="G461" s="334" t="n"/>
      <c r="H461" s="334" t="n"/>
      <c r="I461" s="332">
        <f>IFERROR(VLOOKUP(TEXT(H461,"0"),IPRESS!$A$3:$B$212,2,0),"")</f>
        <v/>
      </c>
      <c r="J461" s="334" t="n"/>
      <c r="K461" s="332">
        <f>IFERROR(VLOOKUP(TEXT(O461,"0"),CONDUCTORES!$A$3:$G$54,7,0),"")</f>
        <v/>
      </c>
      <c r="L461" s="334" t="n"/>
      <c r="M461" s="334" t="n"/>
      <c r="N461" s="333">
        <f>IFERROR(IF(L461*M461=0,"",L461*M461),"")</f>
        <v/>
      </c>
      <c r="O461" s="334" t="n"/>
      <c r="P461" s="332">
        <f>IFERROR(VLOOKUP(TEXT(O461,"0"),CONDUCTORES!$A$3:$G$54,2,0),"")</f>
        <v/>
      </c>
      <c r="Q461" s="332">
        <f>IFERROR(VLOOKUP(TEXT(O461,"0"),CONDUCTORES!$A$3:$H$54,6,0),"")</f>
        <v/>
      </c>
      <c r="R461" s="334" t="n"/>
      <c r="S461" s="334" t="n"/>
      <c r="T461" s="334" t="n"/>
      <c r="U461" s="334" t="n"/>
      <c r="V461" s="334" t="n"/>
      <c r="W461" s="334" t="n"/>
      <c r="X461" s="334" t="n"/>
      <c r="Y461" s="334" t="n"/>
      <c r="Z461" s="375">
        <f>IF(AND(G461&lt;&gt;"",R461&lt;&gt;"",V461&lt;&gt;"",W461&lt;&gt;""),"COMPLETADO","OBSERVADO")</f>
        <v/>
      </c>
    </row>
    <row r="462" ht="15" customHeight="1" s="195">
      <c r="A462" s="280" t="n"/>
      <c r="B462" s="280" t="n"/>
      <c r="C462" s="280" t="n"/>
      <c r="D462" s="280" t="n"/>
      <c r="E462" s="280" t="n"/>
      <c r="F462" s="280" t="n"/>
      <c r="G462" s="280" t="n"/>
      <c r="H462" s="280" t="n"/>
      <c r="I462" s="332">
        <f>IFERROR(VLOOKUP(TEXT(H462,"0"),IPRESS!$A$3:$B$212,2,0),"")</f>
        <v/>
      </c>
      <c r="J462" s="280" t="n"/>
      <c r="K462" s="332">
        <f>IFERROR(VLOOKUP(TEXT(O462,"0"),CONDUCTORES!$A$3:$G$54,7,0),"")</f>
        <v/>
      </c>
      <c r="L462" s="280" t="n"/>
      <c r="M462" s="280" t="n"/>
      <c r="N462" s="333">
        <f>IFERROR(IF(L462*M462=0,"",L462*M462),"")</f>
        <v/>
      </c>
      <c r="O462" s="280" t="n"/>
      <c r="P462" s="332">
        <f>IFERROR(VLOOKUP(TEXT(O462,"0"),CONDUCTORES!$A$3:$G$54,2,0),"")</f>
        <v/>
      </c>
      <c r="Q462" s="332">
        <f>IFERROR(VLOOKUP(TEXT(O462,"0"),CONDUCTORES!$A$3:$H$54,6,0),"")</f>
        <v/>
      </c>
      <c r="R462" s="280" t="n"/>
      <c r="S462" s="280" t="n"/>
      <c r="T462" s="280" t="n"/>
      <c r="U462" s="280" t="n"/>
      <c r="V462" s="280" t="n"/>
      <c r="W462" s="280" t="n"/>
      <c r="X462" s="280" t="n"/>
      <c r="Y462" s="280" t="n"/>
      <c r="Z462" s="375">
        <f>IF(AND(G462&lt;&gt;"",R462&lt;&gt;"",V462&lt;&gt;"",W462&lt;&gt;""),"COMPLETADO","OBSERVADO")</f>
        <v/>
      </c>
    </row>
    <row r="463" ht="15" customHeight="1" s="195">
      <c r="A463" s="334" t="n"/>
      <c r="B463" s="334" t="n"/>
      <c r="C463" s="334" t="n"/>
      <c r="D463" s="334" t="n"/>
      <c r="E463" s="334" t="n"/>
      <c r="F463" s="334" t="n"/>
      <c r="G463" s="334" t="n"/>
      <c r="H463" s="334" t="n"/>
      <c r="I463" s="332">
        <f>IFERROR(VLOOKUP(TEXT(H463,"0"),IPRESS!$A$3:$B$212,2,0),"")</f>
        <v/>
      </c>
      <c r="J463" s="334" t="n"/>
      <c r="K463" s="332">
        <f>IFERROR(VLOOKUP(TEXT(O463,"0"),CONDUCTORES!$A$3:$G$54,7,0),"")</f>
        <v/>
      </c>
      <c r="L463" s="334" t="n"/>
      <c r="M463" s="334" t="n"/>
      <c r="N463" s="333">
        <f>IFERROR(IF(L463*M463=0,"",L463*M463),"")</f>
        <v/>
      </c>
      <c r="O463" s="334" t="n"/>
      <c r="P463" s="332">
        <f>IFERROR(VLOOKUP(TEXT(O463,"0"),CONDUCTORES!$A$3:$G$54,2,0),"")</f>
        <v/>
      </c>
      <c r="Q463" s="332">
        <f>IFERROR(VLOOKUP(TEXT(O463,"0"),CONDUCTORES!$A$3:$H$54,6,0),"")</f>
        <v/>
      </c>
      <c r="R463" s="334" t="n"/>
      <c r="S463" s="334" t="n"/>
      <c r="T463" s="334" t="n"/>
      <c r="U463" s="334" t="n"/>
      <c r="V463" s="334" t="n"/>
      <c r="W463" s="334" t="n"/>
      <c r="X463" s="334" t="n"/>
      <c r="Y463" s="334" t="n"/>
      <c r="Z463" s="375">
        <f>IF(AND(G463&lt;&gt;"",R463&lt;&gt;"",V463&lt;&gt;"",W463&lt;&gt;""),"COMPLETADO","OBSERVADO")</f>
        <v/>
      </c>
    </row>
    <row r="464" ht="15" customHeight="1" s="195">
      <c r="A464" s="280" t="n"/>
      <c r="B464" s="280" t="n"/>
      <c r="C464" s="280" t="n"/>
      <c r="D464" s="280" t="n"/>
      <c r="E464" s="280" t="n"/>
      <c r="F464" s="280" t="n"/>
      <c r="G464" s="280" t="n"/>
      <c r="H464" s="280" t="n"/>
      <c r="I464" s="332">
        <f>IFERROR(VLOOKUP(TEXT(H464,"0"),IPRESS!$A$3:$B$212,2,0),"")</f>
        <v/>
      </c>
      <c r="J464" s="280" t="n"/>
      <c r="K464" s="332">
        <f>IFERROR(VLOOKUP(TEXT(O464,"0"),CONDUCTORES!$A$3:$G$54,7,0),"")</f>
        <v/>
      </c>
      <c r="L464" s="280" t="n"/>
      <c r="M464" s="280" t="n"/>
      <c r="N464" s="333">
        <f>IFERROR(IF(L464*M464=0,"",L464*M464),"")</f>
        <v/>
      </c>
      <c r="O464" s="280" t="n"/>
      <c r="P464" s="332">
        <f>IFERROR(VLOOKUP(TEXT(O464,"0"),CONDUCTORES!$A$3:$G$54,2,0),"")</f>
        <v/>
      </c>
      <c r="Q464" s="332">
        <f>IFERROR(VLOOKUP(TEXT(O464,"0"),CONDUCTORES!$A$3:$H$54,6,0),"")</f>
        <v/>
      </c>
      <c r="R464" s="280" t="n"/>
      <c r="S464" s="280" t="n"/>
      <c r="T464" s="280" t="n"/>
      <c r="U464" s="280" t="n"/>
      <c r="V464" s="280" t="n"/>
      <c r="W464" s="280" t="n"/>
      <c r="X464" s="280" t="n"/>
      <c r="Y464" s="280" t="n"/>
      <c r="Z464" s="375">
        <f>IF(AND(G464&lt;&gt;"",R464&lt;&gt;"",V464&lt;&gt;"",W464&lt;&gt;""),"COMPLETADO","OBSERVADO")</f>
        <v/>
      </c>
    </row>
    <row r="465" ht="15" customHeight="1" s="195">
      <c r="A465" s="334" t="n"/>
      <c r="B465" s="334" t="n"/>
      <c r="C465" s="334" t="n"/>
      <c r="D465" s="334" t="n"/>
      <c r="E465" s="334" t="n"/>
      <c r="F465" s="334" t="n"/>
      <c r="G465" s="334" t="n"/>
      <c r="H465" s="334" t="n"/>
      <c r="I465" s="332">
        <f>IFERROR(VLOOKUP(TEXT(H465,"0"),IPRESS!$A$3:$B$212,2,0),"")</f>
        <v/>
      </c>
      <c r="J465" s="334" t="n"/>
      <c r="K465" s="332">
        <f>IFERROR(VLOOKUP(TEXT(O465,"0"),CONDUCTORES!$A$3:$G$54,7,0),"")</f>
        <v/>
      </c>
      <c r="L465" s="334" t="n"/>
      <c r="M465" s="334" t="n"/>
      <c r="N465" s="333">
        <f>IFERROR(IF(L465*M465=0,"",L465*M465),"")</f>
        <v/>
      </c>
      <c r="O465" s="334" t="n"/>
      <c r="P465" s="332">
        <f>IFERROR(VLOOKUP(TEXT(O465,"0"),CONDUCTORES!$A$3:$G$54,2,0),"")</f>
        <v/>
      </c>
      <c r="Q465" s="332">
        <f>IFERROR(VLOOKUP(TEXT(O465,"0"),CONDUCTORES!$A$3:$H$54,6,0),"")</f>
        <v/>
      </c>
      <c r="R465" s="334" t="n"/>
      <c r="S465" s="334" t="n"/>
      <c r="T465" s="334" t="n"/>
      <c r="U465" s="334" t="n"/>
      <c r="V465" s="334" t="n"/>
      <c r="W465" s="334" t="n"/>
      <c r="X465" s="334" t="n"/>
      <c r="Y465" s="334" t="n"/>
      <c r="Z465" s="375">
        <f>IF(AND(G465&lt;&gt;"",R465&lt;&gt;"",V465&lt;&gt;"",W465&lt;&gt;""),"COMPLETADO","OBSERVADO")</f>
        <v/>
      </c>
    </row>
    <row r="466" ht="15" customHeight="1" s="195">
      <c r="A466" s="280" t="n"/>
      <c r="B466" s="280" t="n"/>
      <c r="C466" s="280" t="n"/>
      <c r="D466" s="280" t="n"/>
      <c r="E466" s="280" t="n"/>
      <c r="F466" s="280" t="n"/>
      <c r="G466" s="280" t="n"/>
      <c r="H466" s="280" t="n"/>
      <c r="I466" s="332">
        <f>IFERROR(VLOOKUP(TEXT(H466,"0"),IPRESS!$A$3:$B$212,2,0),"")</f>
        <v/>
      </c>
      <c r="J466" s="280" t="n"/>
      <c r="K466" s="332">
        <f>IFERROR(VLOOKUP(TEXT(O466,"0"),CONDUCTORES!$A$3:$G$54,7,0),"")</f>
        <v/>
      </c>
      <c r="L466" s="280" t="n"/>
      <c r="M466" s="280" t="n"/>
      <c r="N466" s="333">
        <f>IFERROR(IF(L466*M466=0,"",L466*M466),"")</f>
        <v/>
      </c>
      <c r="O466" s="280" t="n"/>
      <c r="P466" s="332">
        <f>IFERROR(VLOOKUP(TEXT(O466,"0"),CONDUCTORES!$A$3:$G$54,2,0),"")</f>
        <v/>
      </c>
      <c r="Q466" s="332">
        <f>IFERROR(VLOOKUP(TEXT(O466,"0"),CONDUCTORES!$A$3:$H$54,6,0),"")</f>
        <v/>
      </c>
      <c r="R466" s="280" t="n"/>
      <c r="S466" s="280" t="n"/>
      <c r="T466" s="280" t="n"/>
      <c r="U466" s="280" t="n"/>
      <c r="V466" s="280" t="n"/>
      <c r="W466" s="280" t="n"/>
      <c r="X466" s="280" t="n"/>
      <c r="Y466" s="280" t="n"/>
      <c r="Z466" s="375">
        <f>IF(AND(G466&lt;&gt;"",R466&lt;&gt;"",V466&lt;&gt;"",W466&lt;&gt;""),"COMPLETADO","OBSERVADO")</f>
        <v/>
      </c>
    </row>
    <row r="467" ht="15" customHeight="1" s="195">
      <c r="A467" s="334" t="n"/>
      <c r="B467" s="334" t="n"/>
      <c r="C467" s="334" t="n"/>
      <c r="D467" s="334" t="n"/>
      <c r="E467" s="334" t="n"/>
      <c r="F467" s="334" t="n"/>
      <c r="G467" s="334" t="n"/>
      <c r="H467" s="334" t="n"/>
      <c r="I467" s="332">
        <f>IFERROR(VLOOKUP(TEXT(H467,"0"),IPRESS!$A$3:$B$212,2,0),"")</f>
        <v/>
      </c>
      <c r="J467" s="334" t="n"/>
      <c r="K467" s="332">
        <f>IFERROR(VLOOKUP(TEXT(O467,"0"),CONDUCTORES!$A$3:$G$54,7,0),"")</f>
        <v/>
      </c>
      <c r="L467" s="334" t="n"/>
      <c r="M467" s="334" t="n"/>
      <c r="N467" s="333">
        <f>IFERROR(IF(L467*M467=0,"",L467*M467),"")</f>
        <v/>
      </c>
      <c r="O467" s="334" t="n"/>
      <c r="P467" s="332">
        <f>IFERROR(VLOOKUP(TEXT(O467,"0"),CONDUCTORES!$A$3:$G$54,2,0),"")</f>
        <v/>
      </c>
      <c r="Q467" s="332">
        <f>IFERROR(VLOOKUP(TEXT(O467,"0"),CONDUCTORES!$A$3:$H$54,6,0),"")</f>
        <v/>
      </c>
      <c r="R467" s="334" t="n"/>
      <c r="S467" s="334" t="n"/>
      <c r="T467" s="334" t="n"/>
      <c r="U467" s="334" t="n"/>
      <c r="V467" s="334" t="n"/>
      <c r="W467" s="334" t="n"/>
      <c r="X467" s="334" t="n"/>
      <c r="Y467" s="334" t="n"/>
      <c r="Z467" s="375">
        <f>IF(AND(G467&lt;&gt;"",R467&lt;&gt;"",V467&lt;&gt;"",W467&lt;&gt;""),"COMPLETADO","OBSERVADO")</f>
        <v/>
      </c>
    </row>
    <row r="468" ht="15" customHeight="1" s="195">
      <c r="A468" s="280" t="n"/>
      <c r="B468" s="280" t="n"/>
      <c r="C468" s="280" t="n"/>
      <c r="D468" s="280" t="n"/>
      <c r="E468" s="280" t="n"/>
      <c r="F468" s="280" t="n"/>
      <c r="G468" s="280" t="n"/>
      <c r="H468" s="280" t="n"/>
      <c r="I468" s="332">
        <f>IFERROR(VLOOKUP(TEXT(H468,"0"),IPRESS!$A$3:$B$212,2,0),"")</f>
        <v/>
      </c>
      <c r="J468" s="280" t="n"/>
      <c r="K468" s="332">
        <f>IFERROR(VLOOKUP(TEXT(O468,"0"),CONDUCTORES!$A$3:$G$54,7,0),"")</f>
        <v/>
      </c>
      <c r="L468" s="280" t="n"/>
      <c r="M468" s="280" t="n"/>
      <c r="N468" s="333">
        <f>IFERROR(IF(L468*M468=0,"",L468*M468),"")</f>
        <v/>
      </c>
      <c r="O468" s="280" t="n"/>
      <c r="P468" s="332">
        <f>IFERROR(VLOOKUP(TEXT(O468,"0"),CONDUCTORES!$A$3:$G$54,2,0),"")</f>
        <v/>
      </c>
      <c r="Q468" s="332">
        <f>IFERROR(VLOOKUP(TEXT(O468,"0"),CONDUCTORES!$A$3:$H$54,6,0),"")</f>
        <v/>
      </c>
      <c r="R468" s="280" t="n"/>
      <c r="S468" s="280" t="n"/>
      <c r="T468" s="280" t="n"/>
      <c r="U468" s="280" t="n"/>
      <c r="V468" s="280" t="n"/>
      <c r="W468" s="280" t="n"/>
      <c r="X468" s="280" t="n"/>
      <c r="Y468" s="280" t="n"/>
      <c r="Z468" s="375">
        <f>IF(AND(G468&lt;&gt;"",R468&lt;&gt;"",V468&lt;&gt;"",W468&lt;&gt;""),"COMPLETADO","OBSERVADO")</f>
        <v/>
      </c>
    </row>
    <row r="469" ht="15" customHeight="1" s="195">
      <c r="A469" s="334" t="n"/>
      <c r="B469" s="334" t="n"/>
      <c r="C469" s="334" t="n"/>
      <c r="D469" s="334" t="n"/>
      <c r="E469" s="334" t="n"/>
      <c r="F469" s="334" t="n"/>
      <c r="G469" s="334" t="n"/>
      <c r="H469" s="334" t="n"/>
      <c r="I469" s="332">
        <f>IFERROR(VLOOKUP(TEXT(H469,"0"),IPRESS!$A$3:$B$212,2,0),"")</f>
        <v/>
      </c>
      <c r="J469" s="334" t="n"/>
      <c r="K469" s="332">
        <f>IFERROR(VLOOKUP(TEXT(O469,"0"),CONDUCTORES!$A$3:$G$54,7,0),"")</f>
        <v/>
      </c>
      <c r="L469" s="334" t="n"/>
      <c r="M469" s="334" t="n"/>
      <c r="N469" s="333">
        <f>IFERROR(IF(L469*M469=0,"",L469*M469),"")</f>
        <v/>
      </c>
      <c r="O469" s="334" t="n"/>
      <c r="P469" s="332">
        <f>IFERROR(VLOOKUP(TEXT(O469,"0"),CONDUCTORES!$A$3:$G$54,2,0),"")</f>
        <v/>
      </c>
      <c r="Q469" s="332">
        <f>IFERROR(VLOOKUP(TEXT(O469,"0"),CONDUCTORES!$A$3:$H$54,6,0),"")</f>
        <v/>
      </c>
      <c r="R469" s="334" t="n"/>
      <c r="S469" s="334" t="n"/>
      <c r="T469" s="334" t="n"/>
      <c r="U469" s="334" t="n"/>
      <c r="V469" s="334" t="n"/>
      <c r="W469" s="334" t="n"/>
      <c r="X469" s="334" t="n"/>
      <c r="Y469" s="334" t="n"/>
      <c r="Z469" s="375">
        <f>IF(AND(G469&lt;&gt;"",R469&lt;&gt;"",V469&lt;&gt;"",W469&lt;&gt;""),"COMPLETADO","OBSERVADO")</f>
        <v/>
      </c>
    </row>
    <row r="470" ht="15" customHeight="1" s="195">
      <c r="A470" s="280" t="n"/>
      <c r="B470" s="280" t="n"/>
      <c r="C470" s="280" t="n"/>
      <c r="D470" s="280" t="n"/>
      <c r="E470" s="280" t="n"/>
      <c r="F470" s="280" t="n"/>
      <c r="G470" s="280" t="n"/>
      <c r="H470" s="280" t="n"/>
      <c r="I470" s="332">
        <f>IFERROR(VLOOKUP(TEXT(H470,"0"),IPRESS!$A$3:$B$212,2,0),"")</f>
        <v/>
      </c>
      <c r="J470" s="280" t="n"/>
      <c r="K470" s="332">
        <f>IFERROR(VLOOKUP(TEXT(O470,"0"),CONDUCTORES!$A$3:$G$54,7,0),"")</f>
        <v/>
      </c>
      <c r="L470" s="280" t="n"/>
      <c r="M470" s="280" t="n"/>
      <c r="N470" s="333">
        <f>IFERROR(IF(L470*M470=0,"",L470*M470),"")</f>
        <v/>
      </c>
      <c r="O470" s="280" t="n"/>
      <c r="P470" s="332">
        <f>IFERROR(VLOOKUP(TEXT(O470,"0"),CONDUCTORES!$A$3:$G$54,2,0),"")</f>
        <v/>
      </c>
      <c r="Q470" s="332">
        <f>IFERROR(VLOOKUP(TEXT(O470,"0"),CONDUCTORES!$A$3:$H$54,6,0),"")</f>
        <v/>
      </c>
      <c r="R470" s="280" t="n"/>
      <c r="S470" s="280" t="n"/>
      <c r="T470" s="280" t="n"/>
      <c r="U470" s="280" t="n"/>
      <c r="V470" s="280" t="n"/>
      <c r="W470" s="280" t="n"/>
      <c r="X470" s="280" t="n"/>
      <c r="Y470" s="280" t="n"/>
      <c r="Z470" s="375">
        <f>IF(AND(G470&lt;&gt;"",R470&lt;&gt;"",V470&lt;&gt;"",W470&lt;&gt;""),"COMPLETADO","OBSERVADO")</f>
        <v/>
      </c>
    </row>
    <row r="471" ht="15" customHeight="1" s="195">
      <c r="A471" s="334" t="n"/>
      <c r="B471" s="334" t="n"/>
      <c r="C471" s="334" t="n"/>
      <c r="D471" s="334" t="n"/>
      <c r="E471" s="334" t="n"/>
      <c r="F471" s="334" t="n"/>
      <c r="G471" s="334" t="n"/>
      <c r="H471" s="334" t="n"/>
      <c r="I471" s="332">
        <f>IFERROR(VLOOKUP(TEXT(H471,"0"),IPRESS!$A$3:$B$212,2,0),"")</f>
        <v/>
      </c>
      <c r="J471" s="334" t="n"/>
      <c r="K471" s="332">
        <f>IFERROR(VLOOKUP(TEXT(O471,"0"),CONDUCTORES!$A$3:$G$54,7,0),"")</f>
        <v/>
      </c>
      <c r="L471" s="334" t="n"/>
      <c r="M471" s="334" t="n"/>
      <c r="N471" s="333">
        <f>IFERROR(IF(L471*M471=0,"",L471*M471),"")</f>
        <v/>
      </c>
      <c r="O471" s="334" t="n"/>
      <c r="P471" s="332">
        <f>IFERROR(VLOOKUP(TEXT(O471,"0"),CONDUCTORES!$A$3:$G$54,2,0),"")</f>
        <v/>
      </c>
      <c r="Q471" s="332">
        <f>IFERROR(VLOOKUP(TEXT(O471,"0"),CONDUCTORES!$A$3:$H$54,6,0),"")</f>
        <v/>
      </c>
      <c r="R471" s="334" t="n"/>
      <c r="S471" s="334" t="n"/>
      <c r="T471" s="334" t="n"/>
      <c r="U471" s="334" t="n"/>
      <c r="V471" s="334" t="n"/>
      <c r="W471" s="334" t="n"/>
      <c r="X471" s="334" t="n"/>
      <c r="Y471" s="334" t="n"/>
      <c r="Z471" s="375">
        <f>IF(AND(G471&lt;&gt;"",R471&lt;&gt;"",V471&lt;&gt;"",W471&lt;&gt;""),"COMPLETADO","OBSERVADO")</f>
        <v/>
      </c>
    </row>
    <row r="472" ht="15" customHeight="1" s="195">
      <c r="A472" s="280" t="n"/>
      <c r="B472" s="280" t="n"/>
      <c r="C472" s="280" t="n"/>
      <c r="D472" s="280" t="n"/>
      <c r="E472" s="280" t="n"/>
      <c r="F472" s="280" t="n"/>
      <c r="G472" s="280" t="n"/>
      <c r="H472" s="280" t="n"/>
      <c r="I472" s="332">
        <f>IFERROR(VLOOKUP(TEXT(H472,"0"),IPRESS!$A$3:$B$212,2,0),"")</f>
        <v/>
      </c>
      <c r="J472" s="280" t="n"/>
      <c r="K472" s="332">
        <f>IFERROR(VLOOKUP(TEXT(O472,"0"),CONDUCTORES!$A$3:$G$54,7,0),"")</f>
        <v/>
      </c>
      <c r="L472" s="280" t="n"/>
      <c r="M472" s="280" t="n"/>
      <c r="N472" s="333">
        <f>IFERROR(IF(L472*M472=0,"",L472*M472),"")</f>
        <v/>
      </c>
      <c r="O472" s="280" t="n"/>
      <c r="P472" s="332">
        <f>IFERROR(VLOOKUP(TEXT(O472,"0"),CONDUCTORES!$A$3:$G$54,2,0),"")</f>
        <v/>
      </c>
      <c r="Q472" s="332">
        <f>IFERROR(VLOOKUP(TEXT(O472,"0"),CONDUCTORES!$A$3:$H$54,6,0),"")</f>
        <v/>
      </c>
      <c r="R472" s="280" t="n"/>
      <c r="S472" s="280" t="n"/>
      <c r="T472" s="280" t="n"/>
      <c r="U472" s="280" t="n"/>
      <c r="V472" s="280" t="n"/>
      <c r="W472" s="280" t="n"/>
      <c r="X472" s="280" t="n"/>
      <c r="Y472" s="280" t="n"/>
      <c r="Z472" s="375">
        <f>IF(AND(G472&lt;&gt;"",R472&lt;&gt;"",V472&lt;&gt;"",W472&lt;&gt;""),"COMPLETADO","OBSERVADO")</f>
        <v/>
      </c>
    </row>
    <row r="473" ht="15" customHeight="1" s="195">
      <c r="A473" s="334" t="n"/>
      <c r="B473" s="334" t="n"/>
      <c r="C473" s="334" t="n"/>
      <c r="D473" s="334" t="n"/>
      <c r="E473" s="334" t="n"/>
      <c r="F473" s="334" t="n"/>
      <c r="G473" s="334" t="n"/>
      <c r="H473" s="334" t="n"/>
      <c r="I473" s="332">
        <f>IFERROR(VLOOKUP(TEXT(H473,"0"),IPRESS!$A$3:$B$212,2,0),"")</f>
        <v/>
      </c>
      <c r="J473" s="334" t="n"/>
      <c r="K473" s="332">
        <f>IFERROR(VLOOKUP(TEXT(O473,"0"),CONDUCTORES!$A$3:$G$54,7,0),"")</f>
        <v/>
      </c>
      <c r="L473" s="334" t="n"/>
      <c r="M473" s="334" t="n"/>
      <c r="N473" s="333">
        <f>IFERROR(IF(L473*M473=0,"",L473*M473),"")</f>
        <v/>
      </c>
      <c r="O473" s="334" t="n"/>
      <c r="P473" s="332">
        <f>IFERROR(VLOOKUP(TEXT(O473,"0"),CONDUCTORES!$A$3:$G$54,2,0),"")</f>
        <v/>
      </c>
      <c r="Q473" s="332">
        <f>IFERROR(VLOOKUP(TEXT(O473,"0"),CONDUCTORES!$A$3:$H$54,6,0),"")</f>
        <v/>
      </c>
      <c r="R473" s="334" t="n"/>
      <c r="S473" s="334" t="n"/>
      <c r="T473" s="334" t="n"/>
      <c r="U473" s="334" t="n"/>
      <c r="V473" s="334" t="n"/>
      <c r="W473" s="334" t="n"/>
      <c r="X473" s="334" t="n"/>
      <c r="Y473" s="334" t="n"/>
      <c r="Z473" s="375">
        <f>IF(AND(G473&lt;&gt;"",R473&lt;&gt;"",V473&lt;&gt;"",W473&lt;&gt;""),"COMPLETADO","OBSERVADO")</f>
        <v/>
      </c>
    </row>
    <row r="474" ht="15" customHeight="1" s="195">
      <c r="A474" s="280" t="n"/>
      <c r="B474" s="280" t="n"/>
      <c r="C474" s="280" t="n"/>
      <c r="D474" s="280" t="n"/>
      <c r="E474" s="280" t="n"/>
      <c r="F474" s="280" t="n"/>
      <c r="G474" s="280" t="n"/>
      <c r="H474" s="280" t="n"/>
      <c r="I474" s="332">
        <f>IFERROR(VLOOKUP(TEXT(H474,"0"),IPRESS!$A$3:$B$212,2,0),"")</f>
        <v/>
      </c>
      <c r="J474" s="280" t="n"/>
      <c r="K474" s="332">
        <f>IFERROR(VLOOKUP(TEXT(O474,"0"),CONDUCTORES!$A$3:$G$54,7,0),"")</f>
        <v/>
      </c>
      <c r="L474" s="280" t="n"/>
      <c r="M474" s="280" t="n"/>
      <c r="N474" s="333">
        <f>IFERROR(IF(L474*M474=0,"",L474*M474),"")</f>
        <v/>
      </c>
      <c r="O474" s="280" t="n"/>
      <c r="P474" s="332">
        <f>IFERROR(VLOOKUP(TEXT(O474,"0"),CONDUCTORES!$A$3:$G$54,2,0),"")</f>
        <v/>
      </c>
      <c r="Q474" s="332">
        <f>IFERROR(VLOOKUP(TEXT(O474,"0"),CONDUCTORES!$A$3:$H$54,6,0),"")</f>
        <v/>
      </c>
      <c r="R474" s="280" t="n"/>
      <c r="S474" s="280" t="n"/>
      <c r="T474" s="280" t="n"/>
      <c r="U474" s="280" t="n"/>
      <c r="V474" s="280" t="n"/>
      <c r="W474" s="280" t="n"/>
      <c r="X474" s="280" t="n"/>
      <c r="Y474" s="280" t="n"/>
      <c r="Z474" s="375">
        <f>IF(AND(G474&lt;&gt;"",R474&lt;&gt;"",V474&lt;&gt;"",W474&lt;&gt;""),"COMPLETADO","OBSERVADO")</f>
        <v/>
      </c>
    </row>
    <row r="475" ht="15" customHeight="1" s="195">
      <c r="A475" s="334" t="n"/>
      <c r="B475" s="334" t="n"/>
      <c r="C475" s="334" t="n"/>
      <c r="D475" s="334" t="n"/>
      <c r="E475" s="334" t="n"/>
      <c r="F475" s="334" t="n"/>
      <c r="G475" s="334" t="n"/>
      <c r="H475" s="334" t="n"/>
      <c r="I475" s="332">
        <f>IFERROR(VLOOKUP(TEXT(H475,"0"),IPRESS!$A$3:$B$212,2,0),"")</f>
        <v/>
      </c>
      <c r="J475" s="334" t="n"/>
      <c r="K475" s="332">
        <f>IFERROR(VLOOKUP(TEXT(O475,"0"),CONDUCTORES!$A$3:$G$54,7,0),"")</f>
        <v/>
      </c>
      <c r="L475" s="334" t="n"/>
      <c r="M475" s="334" t="n"/>
      <c r="N475" s="333">
        <f>IFERROR(IF(L475*M475=0,"",L475*M475),"")</f>
        <v/>
      </c>
      <c r="O475" s="334" t="n"/>
      <c r="P475" s="332">
        <f>IFERROR(VLOOKUP(TEXT(O475,"0"),CONDUCTORES!$A$3:$G$54,2,0),"")</f>
        <v/>
      </c>
      <c r="Q475" s="332">
        <f>IFERROR(VLOOKUP(TEXT(O475,"0"),CONDUCTORES!$A$3:$H$54,6,0),"")</f>
        <v/>
      </c>
      <c r="R475" s="334" t="n"/>
      <c r="S475" s="334" t="n"/>
      <c r="T475" s="334" t="n"/>
      <c r="U475" s="334" t="n"/>
      <c r="V475" s="334" t="n"/>
      <c r="W475" s="334" t="n"/>
      <c r="X475" s="334" t="n"/>
      <c r="Y475" s="334" t="n"/>
      <c r="Z475" s="375">
        <f>IF(AND(G475&lt;&gt;"",R475&lt;&gt;"",V475&lt;&gt;"",W475&lt;&gt;""),"COMPLETADO","OBSERVADO")</f>
        <v/>
      </c>
    </row>
    <row r="476" ht="15" customHeight="1" s="195">
      <c r="A476" s="280" t="n"/>
      <c r="B476" s="280" t="n"/>
      <c r="C476" s="280" t="n"/>
      <c r="D476" s="280" t="n"/>
      <c r="E476" s="280" t="n"/>
      <c r="F476" s="280" t="n"/>
      <c r="G476" s="280" t="n"/>
      <c r="H476" s="280" t="n"/>
      <c r="I476" s="332">
        <f>IFERROR(VLOOKUP(TEXT(H476,"0"),IPRESS!$A$3:$B$212,2,0),"")</f>
        <v/>
      </c>
      <c r="J476" s="280" t="n"/>
      <c r="K476" s="332">
        <f>IFERROR(VLOOKUP(TEXT(O476,"0"),CONDUCTORES!$A$3:$G$54,7,0),"")</f>
        <v/>
      </c>
      <c r="L476" s="280" t="n"/>
      <c r="M476" s="280" t="n"/>
      <c r="N476" s="333">
        <f>IFERROR(IF(L476*M476=0,"",L476*M476),"")</f>
        <v/>
      </c>
      <c r="O476" s="280" t="n"/>
      <c r="P476" s="332">
        <f>IFERROR(VLOOKUP(TEXT(O476,"0"),CONDUCTORES!$A$3:$G$54,2,0),"")</f>
        <v/>
      </c>
      <c r="Q476" s="332">
        <f>IFERROR(VLOOKUP(TEXT(O476,"0"),CONDUCTORES!$A$3:$H$54,6,0),"")</f>
        <v/>
      </c>
      <c r="R476" s="280" t="n"/>
      <c r="S476" s="280" t="n"/>
      <c r="T476" s="280" t="n"/>
      <c r="U476" s="280" t="n"/>
      <c r="V476" s="280" t="n"/>
      <c r="W476" s="280" t="n"/>
      <c r="X476" s="280" t="n"/>
      <c r="Y476" s="280" t="n"/>
      <c r="Z476" s="375">
        <f>IF(AND(G476&lt;&gt;"",R476&lt;&gt;"",V476&lt;&gt;"",W476&lt;&gt;""),"COMPLETADO","OBSERVADO")</f>
        <v/>
      </c>
    </row>
    <row r="477" ht="15" customHeight="1" s="195">
      <c r="A477" s="334" t="n"/>
      <c r="B477" s="334" t="n"/>
      <c r="C477" s="334" t="n"/>
      <c r="D477" s="334" t="n"/>
      <c r="E477" s="334" t="n"/>
      <c r="F477" s="334" t="n"/>
      <c r="G477" s="334" t="n"/>
      <c r="H477" s="334" t="n"/>
      <c r="I477" s="332">
        <f>IFERROR(VLOOKUP(TEXT(H477,"0"),IPRESS!$A$3:$B$212,2,0),"")</f>
        <v/>
      </c>
      <c r="J477" s="334" t="n"/>
      <c r="K477" s="332">
        <f>IFERROR(VLOOKUP(TEXT(O477,"0"),CONDUCTORES!$A$3:$G$54,7,0),"")</f>
        <v/>
      </c>
      <c r="L477" s="334" t="n"/>
      <c r="M477" s="334" t="n"/>
      <c r="N477" s="333">
        <f>IFERROR(IF(L477*M477=0,"",L477*M477),"")</f>
        <v/>
      </c>
      <c r="O477" s="334" t="n"/>
      <c r="P477" s="332">
        <f>IFERROR(VLOOKUP(TEXT(O477,"0"),CONDUCTORES!$A$3:$G$54,2,0),"")</f>
        <v/>
      </c>
      <c r="Q477" s="332">
        <f>IFERROR(VLOOKUP(TEXT(O477,"0"),CONDUCTORES!$A$3:$H$54,6,0),"")</f>
        <v/>
      </c>
      <c r="R477" s="334" t="n"/>
      <c r="S477" s="334" t="n"/>
      <c r="T477" s="334" t="n"/>
      <c r="U477" s="334" t="n"/>
      <c r="V477" s="334" t="n"/>
      <c r="W477" s="334" t="n"/>
      <c r="X477" s="334" t="n"/>
      <c r="Y477" s="334" t="n"/>
      <c r="Z477" s="375">
        <f>IF(AND(G477&lt;&gt;"",R477&lt;&gt;"",V477&lt;&gt;"",W477&lt;&gt;""),"COMPLETADO","OBSERVADO")</f>
        <v/>
      </c>
    </row>
    <row r="478" ht="15" customHeight="1" s="195">
      <c r="A478" s="280" t="n"/>
      <c r="B478" s="280" t="n"/>
      <c r="C478" s="280" t="n"/>
      <c r="D478" s="280" t="n"/>
      <c r="E478" s="280" t="n"/>
      <c r="F478" s="280" t="n"/>
      <c r="G478" s="280" t="n"/>
      <c r="H478" s="280" t="n"/>
      <c r="I478" s="332">
        <f>IFERROR(VLOOKUP(TEXT(H478,"0"),IPRESS!$A$3:$B$212,2,0),"")</f>
        <v/>
      </c>
      <c r="J478" s="280" t="n"/>
      <c r="K478" s="332">
        <f>IFERROR(VLOOKUP(TEXT(O478,"0"),CONDUCTORES!$A$3:$G$54,7,0),"")</f>
        <v/>
      </c>
      <c r="L478" s="280" t="n"/>
      <c r="M478" s="280" t="n"/>
      <c r="N478" s="333">
        <f>IFERROR(IF(L478*M478=0,"",L478*M478),"")</f>
        <v/>
      </c>
      <c r="O478" s="280" t="n"/>
      <c r="P478" s="332">
        <f>IFERROR(VLOOKUP(TEXT(O478,"0"),CONDUCTORES!$A$3:$G$54,2,0),"")</f>
        <v/>
      </c>
      <c r="Q478" s="332">
        <f>IFERROR(VLOOKUP(TEXT(O478,"0"),CONDUCTORES!$A$3:$H$54,6,0),"")</f>
        <v/>
      </c>
      <c r="R478" s="280" t="n"/>
      <c r="S478" s="280" t="n"/>
      <c r="T478" s="280" t="n"/>
      <c r="U478" s="280" t="n"/>
      <c r="V478" s="280" t="n"/>
      <c r="W478" s="280" t="n"/>
      <c r="X478" s="280" t="n"/>
      <c r="Y478" s="280" t="n"/>
      <c r="Z478" s="375">
        <f>IF(AND(G478&lt;&gt;"",R478&lt;&gt;"",V478&lt;&gt;"",W478&lt;&gt;""),"COMPLETADO","OBSERVADO")</f>
        <v/>
      </c>
    </row>
    <row r="479" ht="15" customHeight="1" s="195">
      <c r="A479" s="334" t="n"/>
      <c r="B479" s="334" t="n"/>
      <c r="C479" s="334" t="n"/>
      <c r="D479" s="334" t="n"/>
      <c r="E479" s="334" t="n"/>
      <c r="F479" s="334" t="n"/>
      <c r="G479" s="334" t="n"/>
      <c r="H479" s="334" t="n"/>
      <c r="I479" s="332">
        <f>IFERROR(VLOOKUP(TEXT(H479,"0"),IPRESS!$A$3:$B$212,2,0),"")</f>
        <v/>
      </c>
      <c r="J479" s="334" t="n"/>
      <c r="K479" s="332">
        <f>IFERROR(VLOOKUP(TEXT(O479,"0"),CONDUCTORES!$A$3:$G$54,7,0),"")</f>
        <v/>
      </c>
      <c r="L479" s="334" t="n"/>
      <c r="M479" s="334" t="n"/>
      <c r="N479" s="333">
        <f>IFERROR(IF(L479*M479=0,"",L479*M479),"")</f>
        <v/>
      </c>
      <c r="O479" s="334" t="n"/>
      <c r="P479" s="332">
        <f>IFERROR(VLOOKUP(TEXT(O479,"0"),CONDUCTORES!$A$3:$G$54,2,0),"")</f>
        <v/>
      </c>
      <c r="Q479" s="332">
        <f>IFERROR(VLOOKUP(TEXT(O479,"0"),CONDUCTORES!$A$3:$H$54,6,0),"")</f>
        <v/>
      </c>
      <c r="R479" s="334" t="n"/>
      <c r="S479" s="334" t="n"/>
      <c r="T479" s="334" t="n"/>
      <c r="U479" s="334" t="n"/>
      <c r="V479" s="334" t="n"/>
      <c r="W479" s="334" t="n"/>
      <c r="X479" s="334" t="n"/>
      <c r="Y479" s="334" t="n"/>
      <c r="Z479" s="375">
        <f>IF(AND(G479&lt;&gt;"",R479&lt;&gt;"",V479&lt;&gt;"",W479&lt;&gt;""),"COMPLETADO","OBSERVADO")</f>
        <v/>
      </c>
    </row>
    <row r="480" ht="15" customHeight="1" s="195">
      <c r="A480" s="280" t="n"/>
      <c r="B480" s="280" t="n"/>
      <c r="C480" s="280" t="n"/>
      <c r="D480" s="280" t="n"/>
      <c r="E480" s="280" t="n"/>
      <c r="F480" s="280" t="n"/>
      <c r="G480" s="280" t="n"/>
      <c r="H480" s="280" t="n"/>
      <c r="I480" s="332">
        <f>IFERROR(VLOOKUP(TEXT(H480,"0"),IPRESS!$A$3:$B$212,2,0),"")</f>
        <v/>
      </c>
      <c r="J480" s="280" t="n"/>
      <c r="K480" s="332">
        <f>IFERROR(VLOOKUP(TEXT(O480,"0"),CONDUCTORES!$A$3:$G$54,7,0),"")</f>
        <v/>
      </c>
      <c r="L480" s="280" t="n"/>
      <c r="M480" s="280" t="n"/>
      <c r="N480" s="333">
        <f>IFERROR(IF(L480*M480=0,"",L480*M480),"")</f>
        <v/>
      </c>
      <c r="O480" s="280" t="n"/>
      <c r="P480" s="332">
        <f>IFERROR(VLOOKUP(TEXT(O480,"0"),CONDUCTORES!$A$3:$G$54,2,0),"")</f>
        <v/>
      </c>
      <c r="Q480" s="332">
        <f>IFERROR(VLOOKUP(TEXT(O480,"0"),CONDUCTORES!$A$3:$H$54,6,0),"")</f>
        <v/>
      </c>
      <c r="R480" s="280" t="n"/>
      <c r="S480" s="280" t="n"/>
      <c r="T480" s="280" t="n"/>
      <c r="U480" s="280" t="n"/>
      <c r="V480" s="280" t="n"/>
      <c r="W480" s="280" t="n"/>
      <c r="X480" s="280" t="n"/>
      <c r="Y480" s="280" t="n"/>
      <c r="Z480" s="375">
        <f>IF(AND(G480&lt;&gt;"",R480&lt;&gt;"",V480&lt;&gt;"",W480&lt;&gt;""),"COMPLETADO","OBSERVADO")</f>
        <v/>
      </c>
    </row>
    <row r="481" ht="15" customHeight="1" s="195">
      <c r="A481" s="334" t="n"/>
      <c r="B481" s="334" t="n"/>
      <c r="C481" s="334" t="n"/>
      <c r="D481" s="334" t="n"/>
      <c r="E481" s="334" t="n"/>
      <c r="F481" s="334" t="n"/>
      <c r="G481" s="334" t="n"/>
      <c r="H481" s="334" t="n"/>
      <c r="I481" s="332">
        <f>IFERROR(VLOOKUP(TEXT(H481,"0"),IPRESS!$A$3:$B$212,2,0),"")</f>
        <v/>
      </c>
      <c r="J481" s="334" t="n"/>
      <c r="K481" s="332">
        <f>IFERROR(VLOOKUP(TEXT(O481,"0"),CONDUCTORES!$A$3:$G$54,7,0),"")</f>
        <v/>
      </c>
      <c r="L481" s="334" t="n"/>
      <c r="M481" s="334" t="n"/>
      <c r="N481" s="333">
        <f>IFERROR(IF(L481*M481=0,"",L481*M481),"")</f>
        <v/>
      </c>
      <c r="O481" s="334" t="n"/>
      <c r="P481" s="332">
        <f>IFERROR(VLOOKUP(TEXT(O481,"0"),CONDUCTORES!$A$3:$G$54,2,0),"")</f>
        <v/>
      </c>
      <c r="Q481" s="332">
        <f>IFERROR(VLOOKUP(TEXT(O481,"0"),CONDUCTORES!$A$3:$H$54,6,0),"")</f>
        <v/>
      </c>
      <c r="R481" s="334" t="n"/>
      <c r="S481" s="334" t="n"/>
      <c r="T481" s="334" t="n"/>
      <c r="U481" s="334" t="n"/>
      <c r="V481" s="334" t="n"/>
      <c r="W481" s="334" t="n"/>
      <c r="X481" s="334" t="n"/>
      <c r="Y481" s="334" t="n"/>
      <c r="Z481" s="375">
        <f>IF(AND(G481&lt;&gt;"",R481&lt;&gt;"",V481&lt;&gt;"",W481&lt;&gt;""),"COMPLETADO","OBSERVADO")</f>
        <v/>
      </c>
    </row>
    <row r="482" ht="15" customHeight="1" s="195">
      <c r="A482" s="280" t="n"/>
      <c r="B482" s="280" t="n"/>
      <c r="C482" s="280" t="n"/>
      <c r="D482" s="280" t="n"/>
      <c r="E482" s="280" t="n"/>
      <c r="F482" s="280" t="n"/>
      <c r="G482" s="280" t="n"/>
      <c r="H482" s="280" t="n"/>
      <c r="I482" s="332">
        <f>IFERROR(VLOOKUP(TEXT(H482,"0"),IPRESS!$A$3:$B$212,2,0),"")</f>
        <v/>
      </c>
      <c r="J482" s="280" t="n"/>
      <c r="K482" s="332">
        <f>IFERROR(VLOOKUP(TEXT(O482,"0"),CONDUCTORES!$A$3:$G$54,7,0),"")</f>
        <v/>
      </c>
      <c r="L482" s="280" t="n"/>
      <c r="M482" s="280" t="n"/>
      <c r="N482" s="333">
        <f>IFERROR(IF(L482*M482=0,"",L482*M482),"")</f>
        <v/>
      </c>
      <c r="O482" s="280" t="n"/>
      <c r="P482" s="332">
        <f>IFERROR(VLOOKUP(TEXT(O482,"0"),CONDUCTORES!$A$3:$G$54,2,0),"")</f>
        <v/>
      </c>
      <c r="Q482" s="332">
        <f>IFERROR(VLOOKUP(TEXT(O482,"0"),CONDUCTORES!$A$3:$H$54,6,0),"")</f>
        <v/>
      </c>
      <c r="R482" s="280" t="n"/>
      <c r="S482" s="280" t="n"/>
      <c r="T482" s="280" t="n"/>
      <c r="U482" s="280" t="n"/>
      <c r="V482" s="280" t="n"/>
      <c r="W482" s="280" t="n"/>
      <c r="X482" s="280" t="n"/>
      <c r="Y482" s="280" t="n"/>
      <c r="Z482" s="375">
        <f>IF(AND(G482&lt;&gt;"",R482&lt;&gt;"",V482&lt;&gt;"",W482&lt;&gt;""),"COMPLETADO","OBSERVADO")</f>
        <v/>
      </c>
    </row>
    <row r="483" ht="15" customHeight="1" s="195">
      <c r="A483" s="334" t="n"/>
      <c r="B483" s="334" t="n"/>
      <c r="C483" s="334" t="n"/>
      <c r="D483" s="334" t="n"/>
      <c r="E483" s="334" t="n"/>
      <c r="F483" s="334" t="n"/>
      <c r="G483" s="334" t="n"/>
      <c r="H483" s="334" t="n"/>
      <c r="I483" s="332">
        <f>IFERROR(VLOOKUP(TEXT(H483,"0"),IPRESS!$A$3:$B$212,2,0),"")</f>
        <v/>
      </c>
      <c r="J483" s="334" t="n"/>
      <c r="K483" s="332">
        <f>IFERROR(VLOOKUP(TEXT(O483,"0"),CONDUCTORES!$A$3:$G$54,7,0),"")</f>
        <v/>
      </c>
      <c r="L483" s="334" t="n"/>
      <c r="M483" s="334" t="n"/>
      <c r="N483" s="333">
        <f>IFERROR(IF(L483*M483=0,"",L483*M483),"")</f>
        <v/>
      </c>
      <c r="O483" s="334" t="n"/>
      <c r="P483" s="332">
        <f>IFERROR(VLOOKUP(TEXT(O483,"0"),CONDUCTORES!$A$3:$G$54,2,0),"")</f>
        <v/>
      </c>
      <c r="Q483" s="332">
        <f>IFERROR(VLOOKUP(TEXT(O483,"0"),CONDUCTORES!$A$3:$H$54,6,0),"")</f>
        <v/>
      </c>
      <c r="R483" s="334" t="n"/>
      <c r="S483" s="334" t="n"/>
      <c r="T483" s="334" t="n"/>
      <c r="U483" s="334" t="n"/>
      <c r="V483" s="334" t="n"/>
      <c r="W483" s="334" t="n"/>
      <c r="X483" s="334" t="n"/>
      <c r="Y483" s="334" t="n"/>
      <c r="Z483" s="375">
        <f>IF(AND(G483&lt;&gt;"",R483&lt;&gt;"",V483&lt;&gt;"",W483&lt;&gt;""),"COMPLETADO","OBSERVADO")</f>
        <v/>
      </c>
    </row>
    <row r="484" ht="15" customHeight="1" s="195">
      <c r="A484" s="280" t="n"/>
      <c r="B484" s="280" t="n"/>
      <c r="C484" s="280" t="n"/>
      <c r="D484" s="280" t="n"/>
      <c r="E484" s="280" t="n"/>
      <c r="F484" s="280" t="n"/>
      <c r="G484" s="280" t="n"/>
      <c r="H484" s="280" t="n"/>
      <c r="I484" s="332">
        <f>IFERROR(VLOOKUP(TEXT(H484,"0"),IPRESS!$A$3:$B$212,2,0),"")</f>
        <v/>
      </c>
      <c r="J484" s="280" t="n"/>
      <c r="K484" s="332">
        <f>IFERROR(VLOOKUP(TEXT(O484,"0"),CONDUCTORES!$A$3:$G$54,7,0),"")</f>
        <v/>
      </c>
      <c r="L484" s="280" t="n"/>
      <c r="M484" s="280" t="n"/>
      <c r="N484" s="333">
        <f>IFERROR(IF(L484*M484=0,"",L484*M484),"")</f>
        <v/>
      </c>
      <c r="O484" s="280" t="n"/>
      <c r="P484" s="332">
        <f>IFERROR(VLOOKUP(TEXT(O484,"0"),CONDUCTORES!$A$3:$G$54,2,0),"")</f>
        <v/>
      </c>
      <c r="Q484" s="332">
        <f>IFERROR(VLOOKUP(TEXT(O484,"0"),CONDUCTORES!$A$3:$H$54,6,0),"")</f>
        <v/>
      </c>
      <c r="R484" s="280" t="n"/>
      <c r="S484" s="280" t="n"/>
      <c r="T484" s="280" t="n"/>
      <c r="U484" s="280" t="n"/>
      <c r="V484" s="280" t="n"/>
      <c r="W484" s="280" t="n"/>
      <c r="X484" s="280" t="n"/>
      <c r="Y484" s="280" t="n"/>
      <c r="Z484" s="375">
        <f>IF(AND(G484&lt;&gt;"",R484&lt;&gt;"",V484&lt;&gt;"",W484&lt;&gt;""),"COMPLETADO","OBSERVADO")</f>
        <v/>
      </c>
    </row>
    <row r="485" ht="15" customHeight="1" s="195">
      <c r="A485" s="334" t="n"/>
      <c r="B485" s="334" t="n"/>
      <c r="C485" s="334" t="n"/>
      <c r="D485" s="334" t="n"/>
      <c r="E485" s="334" t="n"/>
      <c r="F485" s="334" t="n"/>
      <c r="G485" s="334" t="n"/>
      <c r="H485" s="334" t="n"/>
      <c r="I485" s="332">
        <f>IFERROR(VLOOKUP(TEXT(H485,"0"),IPRESS!$A$3:$B$212,2,0),"")</f>
        <v/>
      </c>
      <c r="J485" s="334" t="n"/>
      <c r="K485" s="332">
        <f>IFERROR(VLOOKUP(TEXT(O485,"0"),CONDUCTORES!$A$3:$G$54,7,0),"")</f>
        <v/>
      </c>
      <c r="L485" s="334" t="n"/>
      <c r="M485" s="334" t="n"/>
      <c r="N485" s="333">
        <f>IFERROR(IF(L485*M485=0,"",L485*M485),"")</f>
        <v/>
      </c>
      <c r="O485" s="334" t="n"/>
      <c r="P485" s="332">
        <f>IFERROR(VLOOKUP(TEXT(O485,"0"),CONDUCTORES!$A$3:$G$54,2,0),"")</f>
        <v/>
      </c>
      <c r="Q485" s="332">
        <f>IFERROR(VLOOKUP(TEXT(O485,"0"),CONDUCTORES!$A$3:$H$54,6,0),"")</f>
        <v/>
      </c>
      <c r="R485" s="334" t="n"/>
      <c r="S485" s="334" t="n"/>
      <c r="T485" s="334" t="n"/>
      <c r="U485" s="334" t="n"/>
      <c r="V485" s="334" t="n"/>
      <c r="W485" s="334" t="n"/>
      <c r="X485" s="334" t="n"/>
      <c r="Y485" s="334" t="n"/>
      <c r="Z485" s="375">
        <f>IF(AND(G485&lt;&gt;"",R485&lt;&gt;"",V485&lt;&gt;"",W485&lt;&gt;""),"COMPLETADO","OBSERVADO")</f>
        <v/>
      </c>
    </row>
    <row r="486" ht="15" customHeight="1" s="195">
      <c r="A486" s="280" t="n"/>
      <c r="B486" s="280" t="n"/>
      <c r="C486" s="280" t="n"/>
      <c r="D486" s="280" t="n"/>
      <c r="E486" s="280" t="n"/>
      <c r="F486" s="280" t="n"/>
      <c r="G486" s="280" t="n"/>
      <c r="H486" s="280" t="n"/>
      <c r="I486" s="332">
        <f>IFERROR(VLOOKUP(TEXT(H486,"0"),IPRESS!$A$3:$B$212,2,0),"")</f>
        <v/>
      </c>
      <c r="J486" s="280" t="n"/>
      <c r="K486" s="332">
        <f>IFERROR(VLOOKUP(TEXT(O486,"0"),CONDUCTORES!$A$3:$G$54,7,0),"")</f>
        <v/>
      </c>
      <c r="L486" s="280" t="n"/>
      <c r="M486" s="280" t="n"/>
      <c r="N486" s="333">
        <f>IFERROR(IF(L486*M486=0,"",L486*M486),"")</f>
        <v/>
      </c>
      <c r="O486" s="280" t="n"/>
      <c r="P486" s="332">
        <f>IFERROR(VLOOKUP(TEXT(O486,"0"),CONDUCTORES!$A$3:$G$54,2,0),"")</f>
        <v/>
      </c>
      <c r="Q486" s="332">
        <f>IFERROR(VLOOKUP(TEXT(O486,"0"),CONDUCTORES!$A$3:$H$54,6,0),"")</f>
        <v/>
      </c>
      <c r="R486" s="280" t="n"/>
      <c r="S486" s="280" t="n"/>
      <c r="T486" s="280" t="n"/>
      <c r="U486" s="280" t="n"/>
      <c r="V486" s="280" t="n"/>
      <c r="W486" s="280" t="n"/>
      <c r="X486" s="280" t="n"/>
      <c r="Y486" s="280" t="n"/>
      <c r="Z486" s="375">
        <f>IF(AND(G486&lt;&gt;"",R486&lt;&gt;"",V486&lt;&gt;"",W486&lt;&gt;""),"COMPLETADO","OBSERVADO")</f>
        <v/>
      </c>
    </row>
    <row r="487" ht="15" customHeight="1" s="195">
      <c r="A487" s="334" t="n"/>
      <c r="B487" s="334" t="n"/>
      <c r="C487" s="334" t="n"/>
      <c r="D487" s="334" t="n"/>
      <c r="E487" s="334" t="n"/>
      <c r="F487" s="334" t="n"/>
      <c r="G487" s="334" t="n"/>
      <c r="H487" s="334" t="n"/>
      <c r="I487" s="332">
        <f>IFERROR(VLOOKUP(TEXT(H487,"0"),IPRESS!$A$3:$B$212,2,0),"")</f>
        <v/>
      </c>
      <c r="J487" s="334" t="n"/>
      <c r="K487" s="332">
        <f>IFERROR(VLOOKUP(TEXT(O487,"0"),CONDUCTORES!$A$3:$G$54,7,0),"")</f>
        <v/>
      </c>
      <c r="L487" s="334" t="n"/>
      <c r="M487" s="334" t="n"/>
      <c r="N487" s="333">
        <f>IFERROR(IF(L487*M487=0,"",L487*M487),"")</f>
        <v/>
      </c>
      <c r="O487" s="334" t="n"/>
      <c r="P487" s="332">
        <f>IFERROR(VLOOKUP(TEXT(O487,"0"),CONDUCTORES!$A$3:$G$54,2,0),"")</f>
        <v/>
      </c>
      <c r="Q487" s="332">
        <f>IFERROR(VLOOKUP(TEXT(O487,"0"),CONDUCTORES!$A$3:$H$54,6,0),"")</f>
        <v/>
      </c>
      <c r="R487" s="334" t="n"/>
      <c r="S487" s="334" t="n"/>
      <c r="T487" s="334" t="n"/>
      <c r="U487" s="334" t="n"/>
      <c r="V487" s="334" t="n"/>
      <c r="W487" s="334" t="n"/>
      <c r="X487" s="334" t="n"/>
      <c r="Y487" s="334" t="n"/>
      <c r="Z487" s="375">
        <f>IF(AND(G487&lt;&gt;"",R487&lt;&gt;"",V487&lt;&gt;"",W487&lt;&gt;""),"COMPLETADO","OBSERVADO")</f>
        <v/>
      </c>
    </row>
    <row r="488" ht="15" customHeight="1" s="195">
      <c r="A488" s="280" t="n"/>
      <c r="B488" s="280" t="n"/>
      <c r="C488" s="280" t="n"/>
      <c r="D488" s="280" t="n"/>
      <c r="E488" s="280" t="n"/>
      <c r="F488" s="280" t="n"/>
      <c r="G488" s="280" t="n"/>
      <c r="H488" s="280" t="n"/>
      <c r="I488" s="332">
        <f>IFERROR(VLOOKUP(TEXT(H488,"0"),IPRESS!$A$3:$B$212,2,0),"")</f>
        <v/>
      </c>
      <c r="J488" s="280" t="n"/>
      <c r="K488" s="332">
        <f>IFERROR(VLOOKUP(TEXT(O488,"0"),CONDUCTORES!$A$3:$G$54,7,0),"")</f>
        <v/>
      </c>
      <c r="L488" s="280" t="n"/>
      <c r="M488" s="280" t="n"/>
      <c r="N488" s="333">
        <f>IFERROR(IF(L488*M488=0,"",L488*M488),"")</f>
        <v/>
      </c>
      <c r="O488" s="280" t="n"/>
      <c r="P488" s="332">
        <f>IFERROR(VLOOKUP(TEXT(O488,"0"),CONDUCTORES!$A$3:$G$54,2,0),"")</f>
        <v/>
      </c>
      <c r="Q488" s="332">
        <f>IFERROR(VLOOKUP(TEXT(O488,"0"),CONDUCTORES!$A$3:$H$54,6,0),"")</f>
        <v/>
      </c>
      <c r="R488" s="280" t="n"/>
      <c r="S488" s="280" t="n"/>
      <c r="T488" s="280" t="n"/>
      <c r="U488" s="280" t="n"/>
      <c r="V488" s="280" t="n"/>
      <c r="W488" s="280" t="n"/>
      <c r="X488" s="280" t="n"/>
      <c r="Y488" s="280" t="n"/>
      <c r="Z488" s="375">
        <f>IF(AND(G488&lt;&gt;"",R488&lt;&gt;"",V488&lt;&gt;"",W488&lt;&gt;""),"COMPLETADO","OBSERVADO")</f>
        <v/>
      </c>
    </row>
    <row r="489" ht="15" customHeight="1" s="195">
      <c r="A489" s="334" t="n"/>
      <c r="B489" s="334" t="n"/>
      <c r="C489" s="334" t="n"/>
      <c r="D489" s="334" t="n"/>
      <c r="E489" s="334" t="n"/>
      <c r="F489" s="334" t="n"/>
      <c r="G489" s="334" t="n"/>
      <c r="H489" s="334" t="n"/>
      <c r="I489" s="332">
        <f>IFERROR(VLOOKUP(TEXT(H489,"0"),IPRESS!$A$3:$B$212,2,0),"")</f>
        <v/>
      </c>
      <c r="J489" s="334" t="n"/>
      <c r="K489" s="332">
        <f>IFERROR(VLOOKUP(TEXT(O489,"0"),CONDUCTORES!$A$3:$G$54,7,0),"")</f>
        <v/>
      </c>
      <c r="L489" s="334" t="n"/>
      <c r="M489" s="334" t="n"/>
      <c r="N489" s="333">
        <f>IFERROR(IF(L489*M489=0,"",L489*M489),"")</f>
        <v/>
      </c>
      <c r="O489" s="334" t="n"/>
      <c r="P489" s="332">
        <f>IFERROR(VLOOKUP(TEXT(O489,"0"),CONDUCTORES!$A$3:$G$54,2,0),"")</f>
        <v/>
      </c>
      <c r="Q489" s="332">
        <f>IFERROR(VLOOKUP(TEXT(O489,"0"),CONDUCTORES!$A$3:$H$54,6,0),"")</f>
        <v/>
      </c>
      <c r="R489" s="334" t="n"/>
      <c r="S489" s="334" t="n"/>
      <c r="T489" s="334" t="n"/>
      <c r="U489" s="334" t="n"/>
      <c r="V489" s="334" t="n"/>
      <c r="W489" s="334" t="n"/>
      <c r="X489" s="334" t="n"/>
      <c r="Y489" s="334" t="n"/>
      <c r="Z489" s="375">
        <f>IF(AND(G489&lt;&gt;"",R489&lt;&gt;"",V489&lt;&gt;"",W489&lt;&gt;""),"COMPLETADO","OBSERVADO")</f>
        <v/>
      </c>
    </row>
    <row r="490" ht="15" customHeight="1" s="195">
      <c r="A490" s="280" t="n"/>
      <c r="B490" s="280" t="n"/>
      <c r="C490" s="280" t="n"/>
      <c r="D490" s="280" t="n"/>
      <c r="E490" s="280" t="n"/>
      <c r="F490" s="280" t="n"/>
      <c r="G490" s="280" t="n"/>
      <c r="H490" s="280" t="n"/>
      <c r="I490" s="332">
        <f>IFERROR(VLOOKUP(TEXT(H490,"0"),IPRESS!$A$3:$B$212,2,0),"")</f>
        <v/>
      </c>
      <c r="J490" s="280" t="n"/>
      <c r="K490" s="332">
        <f>IFERROR(VLOOKUP(TEXT(O490,"0"),CONDUCTORES!$A$3:$G$54,7,0),"")</f>
        <v/>
      </c>
      <c r="L490" s="280" t="n"/>
      <c r="M490" s="280" t="n"/>
      <c r="N490" s="333">
        <f>IFERROR(IF(L490*M490=0,"",L490*M490),"")</f>
        <v/>
      </c>
      <c r="O490" s="280" t="n"/>
      <c r="P490" s="332">
        <f>IFERROR(VLOOKUP(TEXT(O490,"0"),CONDUCTORES!$A$3:$G$54,2,0),"")</f>
        <v/>
      </c>
      <c r="Q490" s="332">
        <f>IFERROR(VLOOKUP(TEXT(O490,"0"),CONDUCTORES!$A$3:$H$54,6,0),"")</f>
        <v/>
      </c>
      <c r="R490" s="280" t="n"/>
      <c r="S490" s="280" t="n"/>
      <c r="T490" s="280" t="n"/>
      <c r="U490" s="280" t="n"/>
      <c r="V490" s="280" t="n"/>
      <c r="W490" s="280" t="n"/>
      <c r="X490" s="280" t="n"/>
      <c r="Y490" s="280" t="n"/>
      <c r="Z490" s="375">
        <f>IF(AND(G490&lt;&gt;"",R490&lt;&gt;"",V490&lt;&gt;"",W490&lt;&gt;""),"COMPLETADO","OBSERVADO")</f>
        <v/>
      </c>
    </row>
    <row r="491" ht="15" customHeight="1" s="195">
      <c r="A491" s="334" t="n"/>
      <c r="B491" s="334" t="n"/>
      <c r="C491" s="334" t="n"/>
      <c r="D491" s="334" t="n"/>
      <c r="E491" s="334" t="n"/>
      <c r="F491" s="334" t="n"/>
      <c r="G491" s="334" t="n"/>
      <c r="H491" s="334" t="n"/>
      <c r="I491" s="332">
        <f>IFERROR(VLOOKUP(TEXT(H491,"0"),IPRESS!$A$3:$B$212,2,0),"")</f>
        <v/>
      </c>
      <c r="J491" s="334" t="n"/>
      <c r="K491" s="332">
        <f>IFERROR(VLOOKUP(TEXT(O491,"0"),CONDUCTORES!$A$3:$G$54,7,0),"")</f>
        <v/>
      </c>
      <c r="L491" s="334" t="n"/>
      <c r="M491" s="334" t="n"/>
      <c r="N491" s="333">
        <f>IFERROR(IF(L491*M491=0,"",L491*M491),"")</f>
        <v/>
      </c>
      <c r="O491" s="334" t="n"/>
      <c r="P491" s="332">
        <f>IFERROR(VLOOKUP(TEXT(O491,"0"),CONDUCTORES!$A$3:$G$54,2,0),"")</f>
        <v/>
      </c>
      <c r="Q491" s="332">
        <f>IFERROR(VLOOKUP(TEXT(O491,"0"),CONDUCTORES!$A$3:$H$54,6,0),"")</f>
        <v/>
      </c>
      <c r="R491" s="334" t="n"/>
      <c r="S491" s="334" t="n"/>
      <c r="T491" s="334" t="n"/>
      <c r="U491" s="334" t="n"/>
      <c r="V491" s="334" t="n"/>
      <c r="W491" s="334" t="n"/>
      <c r="X491" s="334" t="n"/>
      <c r="Y491" s="334" t="n"/>
      <c r="Z491" s="375">
        <f>IF(AND(G491&lt;&gt;"",R491&lt;&gt;"",V491&lt;&gt;"",W491&lt;&gt;""),"COMPLETADO","OBSERVADO")</f>
        <v/>
      </c>
    </row>
    <row r="492" ht="15" customHeight="1" s="195">
      <c r="A492" s="280" t="n"/>
      <c r="B492" s="280" t="n"/>
      <c r="C492" s="280" t="n"/>
      <c r="D492" s="280" t="n"/>
      <c r="E492" s="280" t="n"/>
      <c r="F492" s="280" t="n"/>
      <c r="G492" s="280" t="n"/>
      <c r="H492" s="280" t="n"/>
      <c r="I492" s="332">
        <f>IFERROR(VLOOKUP(TEXT(H492,"0"),IPRESS!$A$3:$B$212,2,0),"")</f>
        <v/>
      </c>
      <c r="J492" s="280" t="n"/>
      <c r="K492" s="332">
        <f>IFERROR(VLOOKUP(TEXT(O492,"0"),CONDUCTORES!$A$3:$G$54,7,0),"")</f>
        <v/>
      </c>
      <c r="L492" s="280" t="n"/>
      <c r="M492" s="280" t="n"/>
      <c r="N492" s="333">
        <f>IFERROR(IF(L492*M492=0,"",L492*M492),"")</f>
        <v/>
      </c>
      <c r="O492" s="280" t="n"/>
      <c r="P492" s="332">
        <f>IFERROR(VLOOKUP(TEXT(O492,"0"),CONDUCTORES!$A$3:$G$54,2,0),"")</f>
        <v/>
      </c>
      <c r="Q492" s="332">
        <f>IFERROR(VLOOKUP(TEXT(O492,"0"),CONDUCTORES!$A$3:$H$54,6,0),"")</f>
        <v/>
      </c>
      <c r="R492" s="280" t="n"/>
      <c r="S492" s="280" t="n"/>
      <c r="T492" s="280" t="n"/>
      <c r="U492" s="280" t="n"/>
      <c r="V492" s="280" t="n"/>
      <c r="W492" s="280" t="n"/>
      <c r="X492" s="280" t="n"/>
      <c r="Y492" s="280" t="n"/>
      <c r="Z492" s="375">
        <f>IF(AND(G492&lt;&gt;"",R492&lt;&gt;"",V492&lt;&gt;"",W492&lt;&gt;""),"COMPLETADO","OBSERVADO")</f>
        <v/>
      </c>
    </row>
    <row r="493" ht="15" customHeight="1" s="195">
      <c r="A493" s="334" t="n"/>
      <c r="B493" s="334" t="n"/>
      <c r="C493" s="334" t="n"/>
      <c r="D493" s="334" t="n"/>
      <c r="E493" s="334" t="n"/>
      <c r="F493" s="334" t="n"/>
      <c r="G493" s="334" t="n"/>
      <c r="H493" s="334" t="n"/>
      <c r="I493" s="332">
        <f>IFERROR(VLOOKUP(TEXT(H493,"0"),IPRESS!$A$3:$B$212,2,0),"")</f>
        <v/>
      </c>
      <c r="J493" s="334" t="n"/>
      <c r="K493" s="332">
        <f>IFERROR(VLOOKUP(TEXT(O493,"0"),CONDUCTORES!$A$3:$G$54,7,0),"")</f>
        <v/>
      </c>
      <c r="L493" s="334" t="n"/>
      <c r="M493" s="334" t="n"/>
      <c r="N493" s="333">
        <f>IFERROR(IF(L493*M493=0,"",L493*M493),"")</f>
        <v/>
      </c>
      <c r="O493" s="334" t="n"/>
      <c r="P493" s="332">
        <f>IFERROR(VLOOKUP(TEXT(O493,"0"),CONDUCTORES!$A$3:$G$54,2,0),"")</f>
        <v/>
      </c>
      <c r="Q493" s="332">
        <f>IFERROR(VLOOKUP(TEXT(O493,"0"),CONDUCTORES!$A$3:$H$54,6,0),"")</f>
        <v/>
      </c>
      <c r="R493" s="334" t="n"/>
      <c r="S493" s="334" t="n"/>
      <c r="T493" s="334" t="n"/>
      <c r="U493" s="334" t="n"/>
      <c r="V493" s="334" t="n"/>
      <c r="W493" s="334" t="n"/>
      <c r="X493" s="334" t="n"/>
      <c r="Y493" s="334" t="n"/>
      <c r="Z493" s="375">
        <f>IF(AND(G493&lt;&gt;"",R493&lt;&gt;"",V493&lt;&gt;"",W493&lt;&gt;""),"COMPLETADO","OBSERVADO")</f>
        <v/>
      </c>
    </row>
    <row r="494" ht="15" customHeight="1" s="195">
      <c r="A494" s="280" t="n"/>
      <c r="B494" s="280" t="n"/>
      <c r="C494" s="280" t="n"/>
      <c r="D494" s="280" t="n"/>
      <c r="E494" s="280" t="n"/>
      <c r="F494" s="280" t="n"/>
      <c r="G494" s="280" t="n"/>
      <c r="H494" s="280" t="n"/>
      <c r="I494" s="332">
        <f>IFERROR(VLOOKUP(TEXT(H494,"0"),IPRESS!$A$3:$B$212,2,0),"")</f>
        <v/>
      </c>
      <c r="J494" s="280" t="n"/>
      <c r="K494" s="332">
        <f>IFERROR(VLOOKUP(TEXT(O494,"0"),CONDUCTORES!$A$3:$G$54,7,0),"")</f>
        <v/>
      </c>
      <c r="L494" s="280" t="n"/>
      <c r="M494" s="280" t="n"/>
      <c r="N494" s="333">
        <f>IFERROR(IF(L494*M494=0,"",L494*M494),"")</f>
        <v/>
      </c>
      <c r="O494" s="280" t="n"/>
      <c r="P494" s="332">
        <f>IFERROR(VLOOKUP(TEXT(O494,"0"),CONDUCTORES!$A$3:$G$54,2,0),"")</f>
        <v/>
      </c>
      <c r="Q494" s="332">
        <f>IFERROR(VLOOKUP(TEXT(O494,"0"),CONDUCTORES!$A$3:$H$54,6,0),"")</f>
        <v/>
      </c>
      <c r="R494" s="280" t="n"/>
      <c r="S494" s="280" t="n"/>
      <c r="T494" s="280" t="n"/>
      <c r="U494" s="280" t="n"/>
      <c r="V494" s="280" t="n"/>
      <c r="W494" s="280" t="n"/>
      <c r="X494" s="280" t="n"/>
      <c r="Y494" s="280" t="n"/>
      <c r="Z494" s="375">
        <f>IF(AND(G494&lt;&gt;"",R494&lt;&gt;"",V494&lt;&gt;"",W494&lt;&gt;""),"COMPLETADO","OBSERVADO")</f>
        <v/>
      </c>
    </row>
    <row r="495" ht="15" customHeight="1" s="195">
      <c r="A495" s="334" t="n"/>
      <c r="B495" s="334" t="n"/>
      <c r="C495" s="334" t="n"/>
      <c r="D495" s="334" t="n"/>
      <c r="E495" s="334" t="n"/>
      <c r="F495" s="334" t="n"/>
      <c r="G495" s="334" t="n"/>
      <c r="H495" s="334" t="n"/>
      <c r="I495" s="332">
        <f>IFERROR(VLOOKUP(TEXT(H495,"0"),IPRESS!$A$3:$B$212,2,0),"")</f>
        <v/>
      </c>
      <c r="J495" s="334" t="n"/>
      <c r="K495" s="332">
        <f>IFERROR(VLOOKUP(TEXT(O495,"0"),CONDUCTORES!$A$3:$G$54,7,0),"")</f>
        <v/>
      </c>
      <c r="L495" s="334" t="n"/>
      <c r="M495" s="334" t="n"/>
      <c r="N495" s="333">
        <f>IFERROR(IF(L495*M495=0,"",L495*M495),"")</f>
        <v/>
      </c>
      <c r="O495" s="334" t="n"/>
      <c r="P495" s="332">
        <f>IFERROR(VLOOKUP(TEXT(O495,"0"),CONDUCTORES!$A$3:$G$54,2,0),"")</f>
        <v/>
      </c>
      <c r="Q495" s="332">
        <f>IFERROR(VLOOKUP(TEXT(O495,"0"),CONDUCTORES!$A$3:$H$54,6,0),"")</f>
        <v/>
      </c>
      <c r="R495" s="334" t="n"/>
      <c r="S495" s="334" t="n"/>
      <c r="T495" s="334" t="n"/>
      <c r="U495" s="334" t="n"/>
      <c r="V495" s="334" t="n"/>
      <c r="W495" s="334" t="n"/>
      <c r="X495" s="334" t="n"/>
      <c r="Y495" s="334" t="n"/>
      <c r="Z495" s="375">
        <f>IF(AND(G495&lt;&gt;"",R495&lt;&gt;"",V495&lt;&gt;"",W495&lt;&gt;""),"COMPLETADO","OBSERVADO")</f>
        <v/>
      </c>
    </row>
    <row r="496" ht="15" customHeight="1" s="195">
      <c r="A496" s="280" t="n"/>
      <c r="B496" s="280" t="n"/>
      <c r="C496" s="280" t="n"/>
      <c r="D496" s="280" t="n"/>
      <c r="E496" s="280" t="n"/>
      <c r="F496" s="280" t="n"/>
      <c r="G496" s="280" t="n"/>
      <c r="H496" s="280" t="n"/>
      <c r="I496" s="332">
        <f>IFERROR(VLOOKUP(TEXT(H496,"0"),IPRESS!$A$3:$B$212,2,0),"")</f>
        <v/>
      </c>
      <c r="J496" s="280" t="n"/>
      <c r="K496" s="332">
        <f>IFERROR(VLOOKUP(TEXT(O496,"0"),CONDUCTORES!$A$3:$G$54,7,0),"")</f>
        <v/>
      </c>
      <c r="L496" s="280" t="n"/>
      <c r="M496" s="280" t="n"/>
      <c r="N496" s="333">
        <f>IFERROR(IF(L496*M496=0,"",L496*M496),"")</f>
        <v/>
      </c>
      <c r="O496" s="280" t="n"/>
      <c r="P496" s="332">
        <f>IFERROR(VLOOKUP(TEXT(O496,"0"),CONDUCTORES!$A$3:$G$54,2,0),"")</f>
        <v/>
      </c>
      <c r="Q496" s="332">
        <f>IFERROR(VLOOKUP(TEXT(O496,"0"),CONDUCTORES!$A$3:$H$54,6,0),"")</f>
        <v/>
      </c>
      <c r="R496" s="280" t="n"/>
      <c r="S496" s="280" t="n"/>
      <c r="T496" s="280" t="n"/>
      <c r="U496" s="280" t="n"/>
      <c r="V496" s="280" t="n"/>
      <c r="W496" s="280" t="n"/>
      <c r="X496" s="280" t="n"/>
      <c r="Y496" s="280" t="n"/>
      <c r="Z496" s="375">
        <f>IF(AND(G496&lt;&gt;"",R496&lt;&gt;"",V496&lt;&gt;"",W496&lt;&gt;""),"COMPLETADO","OBSERVADO")</f>
        <v/>
      </c>
    </row>
    <row r="497" ht="15" customHeight="1" s="195">
      <c r="A497" s="334" t="n"/>
      <c r="B497" s="334" t="n"/>
      <c r="C497" s="334" t="n"/>
      <c r="D497" s="334" t="n"/>
      <c r="E497" s="334" t="n"/>
      <c r="F497" s="334" t="n"/>
      <c r="G497" s="334" t="n"/>
      <c r="H497" s="334" t="n"/>
      <c r="I497" s="332">
        <f>IFERROR(VLOOKUP(TEXT(H497,"0"),IPRESS!$A$3:$B$212,2,0),"")</f>
        <v/>
      </c>
      <c r="J497" s="334" t="n"/>
      <c r="K497" s="332">
        <f>IFERROR(VLOOKUP(TEXT(O497,"0"),CONDUCTORES!$A$3:$G$54,7,0),"")</f>
        <v/>
      </c>
      <c r="L497" s="334" t="n"/>
      <c r="M497" s="334" t="n"/>
      <c r="N497" s="333">
        <f>IFERROR(IF(L497*M497=0,"",L497*M497),"")</f>
        <v/>
      </c>
      <c r="O497" s="334" t="n"/>
      <c r="P497" s="332">
        <f>IFERROR(VLOOKUP(TEXT(O497,"0"),CONDUCTORES!$A$3:$G$54,2,0),"")</f>
        <v/>
      </c>
      <c r="Q497" s="332">
        <f>IFERROR(VLOOKUP(TEXT(O497,"0"),CONDUCTORES!$A$3:$H$54,6,0),"")</f>
        <v/>
      </c>
      <c r="R497" s="334" t="n"/>
      <c r="S497" s="334" t="n"/>
      <c r="T497" s="334" t="n"/>
      <c r="U497" s="334" t="n"/>
      <c r="V497" s="334" t="n"/>
      <c r="W497" s="334" t="n"/>
      <c r="X497" s="334" t="n"/>
      <c r="Y497" s="334" t="n"/>
      <c r="Z497" s="375">
        <f>IF(AND(G497&lt;&gt;"",R497&lt;&gt;"",V497&lt;&gt;"",W497&lt;&gt;""),"COMPLETADO","OBSERVADO")</f>
        <v/>
      </c>
    </row>
    <row r="498" ht="15" customHeight="1" s="195">
      <c r="A498" s="280" t="n"/>
      <c r="B498" s="280" t="n"/>
      <c r="C498" s="280" t="n"/>
      <c r="D498" s="280" t="n"/>
      <c r="E498" s="280" t="n"/>
      <c r="F498" s="280" t="n"/>
      <c r="G498" s="280" t="n"/>
      <c r="H498" s="280" t="n"/>
      <c r="I498" s="332">
        <f>IFERROR(VLOOKUP(TEXT(H498,"0"),IPRESS!$A$3:$B$212,2,0),"")</f>
        <v/>
      </c>
      <c r="J498" s="280" t="n"/>
      <c r="K498" s="332">
        <f>IFERROR(VLOOKUP(TEXT(O498,"0"),CONDUCTORES!$A$3:$G$54,7,0),"")</f>
        <v/>
      </c>
      <c r="L498" s="280" t="n"/>
      <c r="M498" s="280" t="n"/>
      <c r="N498" s="333">
        <f>IFERROR(IF(L498*M498=0,"",L498*M498),"")</f>
        <v/>
      </c>
      <c r="O498" s="280" t="n"/>
      <c r="P498" s="332">
        <f>IFERROR(VLOOKUP(TEXT(O498,"0"),CONDUCTORES!$A$3:$G$54,2,0),"")</f>
        <v/>
      </c>
      <c r="Q498" s="332">
        <f>IFERROR(VLOOKUP(TEXT(O498,"0"),CONDUCTORES!$A$3:$H$54,6,0),"")</f>
        <v/>
      </c>
      <c r="R498" s="280" t="n"/>
      <c r="S498" s="280" t="n"/>
      <c r="T498" s="280" t="n"/>
      <c r="U498" s="280" t="n"/>
      <c r="V498" s="280" t="n"/>
      <c r="W498" s="280" t="n"/>
      <c r="X498" s="280" t="n"/>
      <c r="Y498" s="280" t="n"/>
      <c r="Z498" s="375">
        <f>IF(AND(G498&lt;&gt;"",R498&lt;&gt;"",V498&lt;&gt;"",W498&lt;&gt;""),"COMPLETADO","OBSERVADO")</f>
        <v/>
      </c>
    </row>
    <row r="499" ht="15" customHeight="1" s="195">
      <c r="A499" s="334" t="n"/>
      <c r="B499" s="334" t="n"/>
      <c r="C499" s="334" t="n"/>
      <c r="D499" s="334" t="n"/>
      <c r="E499" s="334" t="n"/>
      <c r="F499" s="334" t="n"/>
      <c r="G499" s="334" t="n"/>
      <c r="H499" s="334" t="n"/>
      <c r="I499" s="332">
        <f>IFERROR(VLOOKUP(TEXT(H499,"0"),IPRESS!$A$3:$B$212,2,0),"")</f>
        <v/>
      </c>
      <c r="J499" s="334" t="n"/>
      <c r="K499" s="332">
        <f>IFERROR(VLOOKUP(TEXT(O499,"0"),CONDUCTORES!$A$3:$G$54,7,0),"")</f>
        <v/>
      </c>
      <c r="L499" s="334" t="n"/>
      <c r="M499" s="334" t="n"/>
      <c r="N499" s="333">
        <f>IFERROR(IF(L499*M499=0,"",L499*M499),"")</f>
        <v/>
      </c>
      <c r="O499" s="334" t="n"/>
      <c r="P499" s="332">
        <f>IFERROR(VLOOKUP(TEXT(O499,"0"),CONDUCTORES!$A$3:$G$54,2,0),"")</f>
        <v/>
      </c>
      <c r="Q499" s="332">
        <f>IFERROR(VLOOKUP(TEXT(O499,"0"),CONDUCTORES!$A$3:$H$54,6,0),"")</f>
        <v/>
      </c>
      <c r="R499" s="334" t="n"/>
      <c r="S499" s="334" t="n"/>
      <c r="T499" s="334" t="n"/>
      <c r="U499" s="334" t="n"/>
      <c r="V499" s="334" t="n"/>
      <c r="W499" s="334" t="n"/>
      <c r="X499" s="334" t="n"/>
      <c r="Y499" s="334" t="n"/>
      <c r="Z499" s="375">
        <f>IF(AND(G499&lt;&gt;"",R499&lt;&gt;"",V499&lt;&gt;"",W499&lt;&gt;""),"COMPLETADO","OBSERVADO")</f>
        <v/>
      </c>
    </row>
    <row r="500" ht="15" customHeight="1" s="195">
      <c r="A500" s="280" t="n"/>
      <c r="B500" s="280" t="n"/>
      <c r="C500" s="280" t="n"/>
      <c r="D500" s="280" t="n"/>
      <c r="E500" s="280" t="n"/>
      <c r="F500" s="280" t="n"/>
      <c r="G500" s="280" t="n"/>
      <c r="H500" s="280" t="n"/>
      <c r="I500" s="332">
        <f>IFERROR(VLOOKUP(TEXT(H500,"0"),IPRESS!$A$3:$B$212,2,0),"")</f>
        <v/>
      </c>
      <c r="J500" s="280" t="n"/>
      <c r="K500" s="332">
        <f>IFERROR(VLOOKUP(TEXT(O500,"0"),CONDUCTORES!$A$3:$G$54,7,0),"")</f>
        <v/>
      </c>
      <c r="L500" s="280" t="n"/>
      <c r="M500" s="280" t="n"/>
      <c r="N500" s="333">
        <f>IFERROR(IF(L500*M500=0,"",L500*M500),"")</f>
        <v/>
      </c>
      <c r="O500" s="280" t="n"/>
      <c r="P500" s="332">
        <f>IFERROR(VLOOKUP(TEXT(O500,"0"),CONDUCTORES!$A$3:$G$54,2,0),"")</f>
        <v/>
      </c>
      <c r="Q500" s="332">
        <f>IFERROR(VLOOKUP(TEXT(O500,"0"),CONDUCTORES!$A$3:$H$54,6,0),"")</f>
        <v/>
      </c>
      <c r="R500" s="280" t="n"/>
      <c r="S500" s="280" t="n"/>
      <c r="T500" s="280" t="n"/>
      <c r="U500" s="280" t="n"/>
      <c r="V500" s="280" t="n"/>
      <c r="W500" s="280" t="n"/>
      <c r="X500" s="280" t="n"/>
      <c r="Y500" s="280" t="n"/>
      <c r="Z500" s="375">
        <f>IF(AND(G500&lt;&gt;"",R500&lt;&gt;"",V500&lt;&gt;"",W500&lt;&gt;""),"COMPLETADO","OBSERVADO")</f>
        <v/>
      </c>
    </row>
    <row r="501" ht="15" customHeight="1" s="195">
      <c r="A501" s="334" t="n"/>
      <c r="B501" s="334" t="n"/>
      <c r="C501" s="334" t="n"/>
      <c r="D501" s="334" t="n"/>
      <c r="E501" s="334" t="n"/>
      <c r="F501" s="334" t="n"/>
      <c r="G501" s="334" t="n"/>
      <c r="H501" s="334" t="n"/>
      <c r="I501" s="332">
        <f>IFERROR(VLOOKUP(TEXT(H501,"0"),IPRESS!$A$3:$B$212,2,0),"")</f>
        <v/>
      </c>
      <c r="J501" s="334" t="n"/>
      <c r="K501" s="332">
        <f>IFERROR(VLOOKUP(TEXT(O501,"0"),CONDUCTORES!$A$3:$G$54,7,0),"")</f>
        <v/>
      </c>
      <c r="L501" s="334" t="n"/>
      <c r="M501" s="334" t="n"/>
      <c r="N501" s="333">
        <f>IFERROR(IF(L501*M501=0,"",L501*M501),"")</f>
        <v/>
      </c>
      <c r="O501" s="334" t="n"/>
      <c r="P501" s="332">
        <f>IFERROR(VLOOKUP(TEXT(O501,"0"),CONDUCTORES!$A$3:$G$54,2,0),"")</f>
        <v/>
      </c>
      <c r="Q501" s="332">
        <f>IFERROR(VLOOKUP(TEXT(O501,"0"),CONDUCTORES!$A$3:$H$54,6,0),"")</f>
        <v/>
      </c>
      <c r="R501" s="334" t="n"/>
      <c r="S501" s="334" t="n"/>
      <c r="T501" s="334" t="n"/>
      <c r="U501" s="334" t="n"/>
      <c r="V501" s="334" t="n"/>
      <c r="W501" s="334" t="n"/>
      <c r="X501" s="334" t="n"/>
      <c r="Y501" s="334" t="n"/>
      <c r="Z501" s="375">
        <f>IF(AND(G501&lt;&gt;"",R501&lt;&gt;"",V501&lt;&gt;"",W501&lt;&gt;""),"COMPLETADO","OBSERVADO")</f>
        <v/>
      </c>
    </row>
    <row r="502" ht="15" customHeight="1" s="195">
      <c r="A502" s="280" t="n"/>
      <c r="B502" s="280" t="n"/>
      <c r="C502" s="280" t="n"/>
      <c r="D502" s="280" t="n"/>
      <c r="E502" s="280" t="n"/>
      <c r="F502" s="280" t="n"/>
      <c r="G502" s="280" t="n"/>
      <c r="H502" s="280" t="n"/>
      <c r="I502" s="332">
        <f>IFERROR(VLOOKUP(TEXT(H502,"0"),IPRESS!$A$3:$B$212,2,0),"")</f>
        <v/>
      </c>
      <c r="J502" s="280" t="n"/>
      <c r="K502" s="332">
        <f>IFERROR(VLOOKUP(TEXT(O502,"0"),CONDUCTORES!$A$3:$G$54,7,0),"")</f>
        <v/>
      </c>
      <c r="L502" s="280" t="n"/>
      <c r="M502" s="280" t="n"/>
      <c r="N502" s="333">
        <f>IFERROR(IF(L502*M502=0,"",L502*M502),"")</f>
        <v/>
      </c>
      <c r="O502" s="280" t="n"/>
      <c r="P502" s="332">
        <f>IFERROR(VLOOKUP(TEXT(O502,"0"),CONDUCTORES!$A$3:$G$54,2,0),"")</f>
        <v/>
      </c>
      <c r="Q502" s="332">
        <f>IFERROR(VLOOKUP(TEXT(O502,"0"),CONDUCTORES!$A$3:$H$54,6,0),"")</f>
        <v/>
      </c>
      <c r="R502" s="280" t="n"/>
      <c r="S502" s="280" t="n"/>
      <c r="T502" s="280" t="n"/>
      <c r="U502" s="280" t="n"/>
      <c r="V502" s="280" t="n"/>
      <c r="W502" s="280" t="n"/>
      <c r="X502" s="280" t="n"/>
      <c r="Y502" s="280" t="n"/>
      <c r="Z502" s="375">
        <f>IF(AND(G502&lt;&gt;"",R502&lt;&gt;"",V502&lt;&gt;"",W502&lt;&gt;""),"COMPLETADO","OBSERVADO")</f>
        <v/>
      </c>
    </row>
    <row r="503" ht="15" customHeight="1" s="195">
      <c r="A503" s="334" t="n"/>
      <c r="B503" s="334" t="n"/>
      <c r="C503" s="334" t="n"/>
      <c r="D503" s="334" t="n"/>
      <c r="E503" s="334" t="n"/>
      <c r="F503" s="334" t="n"/>
      <c r="G503" s="334" t="n"/>
      <c r="H503" s="334" t="n"/>
      <c r="I503" s="332">
        <f>IFERROR(VLOOKUP(TEXT(H503,"0"),IPRESS!$A$3:$B$212,2,0),"")</f>
        <v/>
      </c>
      <c r="J503" s="334" t="n"/>
      <c r="K503" s="332">
        <f>IFERROR(VLOOKUP(TEXT(O503,"0"),CONDUCTORES!$A$3:$G$54,7,0),"")</f>
        <v/>
      </c>
      <c r="L503" s="334" t="n"/>
      <c r="M503" s="334" t="n"/>
      <c r="N503" s="333">
        <f>IFERROR(IF(L503*M503=0,"",L503*M503),"")</f>
        <v/>
      </c>
      <c r="O503" s="334" t="n"/>
      <c r="P503" s="332">
        <f>IFERROR(VLOOKUP(TEXT(O503,"0"),CONDUCTORES!$A$3:$G$54,2,0),"")</f>
        <v/>
      </c>
      <c r="Q503" s="332">
        <f>IFERROR(VLOOKUP(TEXT(O503,"0"),CONDUCTORES!$A$3:$H$54,6,0),"")</f>
        <v/>
      </c>
      <c r="R503" s="334" t="n"/>
      <c r="S503" s="334" t="n"/>
      <c r="T503" s="334" t="n"/>
      <c r="U503" s="334" t="n"/>
      <c r="V503" s="334" t="n"/>
      <c r="W503" s="334" t="n"/>
      <c r="X503" s="334" t="n"/>
      <c r="Y503" s="334" t="n"/>
      <c r="Z503" s="375">
        <f>IF(AND(G503&lt;&gt;"",R503&lt;&gt;"",V503&lt;&gt;"",W503&lt;&gt;""),"COMPLETADO","OBSERVADO")</f>
        <v/>
      </c>
    </row>
    <row r="504" ht="15" customHeight="1" s="195">
      <c r="A504" s="280" t="n"/>
      <c r="B504" s="280" t="n"/>
      <c r="C504" s="280" t="n"/>
      <c r="D504" s="280" t="n"/>
      <c r="E504" s="280" t="n"/>
      <c r="F504" s="280" t="n"/>
      <c r="G504" s="280" t="n"/>
      <c r="H504" s="280" t="n"/>
      <c r="I504" s="332">
        <f>IFERROR(VLOOKUP(TEXT(H504,"0"),IPRESS!$A$3:$B$212,2,0),"")</f>
        <v/>
      </c>
      <c r="J504" s="280" t="n"/>
      <c r="K504" s="332">
        <f>IFERROR(VLOOKUP(TEXT(O504,"0"),CONDUCTORES!$A$3:$G$54,7,0),"")</f>
        <v/>
      </c>
      <c r="L504" s="280" t="n"/>
      <c r="M504" s="280" t="n"/>
      <c r="N504" s="333">
        <f>IFERROR(IF(L504*M504=0,"",L504*M504),"")</f>
        <v/>
      </c>
      <c r="O504" s="280" t="n"/>
      <c r="P504" s="332">
        <f>IFERROR(VLOOKUP(TEXT(O504,"0"),CONDUCTORES!$A$3:$G$54,2,0),"")</f>
        <v/>
      </c>
      <c r="Q504" s="332">
        <f>IFERROR(VLOOKUP(TEXT(O504,"0"),CONDUCTORES!$A$3:$H$54,6,0),"")</f>
        <v/>
      </c>
      <c r="R504" s="280" t="n"/>
      <c r="S504" s="280" t="n"/>
      <c r="T504" s="280" t="n"/>
      <c r="U504" s="280" t="n"/>
      <c r="V504" s="280" t="n"/>
      <c r="W504" s="280" t="n"/>
      <c r="X504" s="280" t="n"/>
      <c r="Y504" s="280" t="n"/>
      <c r="Z504" s="375">
        <f>IF(AND(G504&lt;&gt;"",R504&lt;&gt;"",V504&lt;&gt;"",W504&lt;&gt;""),"COMPLETADO","OBSERVADO")</f>
        <v/>
      </c>
    </row>
    <row r="505" ht="15" customHeight="1" s="195">
      <c r="A505" s="334" t="n"/>
      <c r="B505" s="334" t="n"/>
      <c r="C505" s="334" t="n"/>
      <c r="D505" s="334" t="n"/>
      <c r="E505" s="334" t="n"/>
      <c r="F505" s="334" t="n"/>
      <c r="G505" s="334" t="n"/>
      <c r="H505" s="334" t="n"/>
      <c r="I505" s="332">
        <f>IFERROR(VLOOKUP(TEXT(H505,"0"),IPRESS!$A$3:$B$212,2,0),"")</f>
        <v/>
      </c>
      <c r="J505" s="334" t="n"/>
      <c r="K505" s="332">
        <f>IFERROR(VLOOKUP(TEXT(O505,"0"),CONDUCTORES!$A$3:$G$54,7,0),"")</f>
        <v/>
      </c>
      <c r="L505" s="334" t="n"/>
      <c r="M505" s="334" t="n"/>
      <c r="N505" s="333">
        <f>IFERROR(IF(L505*M505=0,"",L505*M505),"")</f>
        <v/>
      </c>
      <c r="O505" s="334" t="n"/>
      <c r="P505" s="332">
        <f>IFERROR(VLOOKUP(TEXT(O505,"0"),CONDUCTORES!$A$3:$G$54,2,0),"")</f>
        <v/>
      </c>
      <c r="Q505" s="332">
        <f>IFERROR(VLOOKUP(TEXT(O505,"0"),CONDUCTORES!$A$3:$H$54,6,0),"")</f>
        <v/>
      </c>
      <c r="R505" s="334" t="n"/>
      <c r="S505" s="334" t="n"/>
      <c r="T505" s="334" t="n"/>
      <c r="U505" s="334" t="n"/>
      <c r="V505" s="334" t="n"/>
      <c r="W505" s="334" t="n"/>
      <c r="X505" s="334" t="n"/>
      <c r="Y505" s="334" t="n"/>
      <c r="Z505" s="375">
        <f>IF(AND(G505&lt;&gt;"",R505&lt;&gt;"",V505&lt;&gt;"",W505&lt;&gt;""),"COMPLETADO","OBSERVADO")</f>
        <v/>
      </c>
    </row>
    <row r="506" ht="21.75" customHeight="1" s="195">
      <c r="A506" s="346" t="inlineStr">
        <is>
          <t>TOTALES DEL MES</t>
        </is>
      </c>
      <c r="M506" s="320">
        <f>SUM(M6:M505)</f>
        <v/>
      </c>
      <c r="N506" s="320">
        <f>SUM(N6:N505)</f>
        <v/>
      </c>
    </row>
    <row r="507" ht="15.75" customHeight="1" s="195"/>
    <row r="508" ht="15.75" customHeight="1" s="195"/>
    <row r="509" ht="15.75" customHeight="1" s="195"/>
    <row r="510" ht="15.75" customHeight="1" s="195"/>
    <row r="511" ht="15.75" customHeight="1" s="195"/>
    <row r="512" ht="15.75" customHeight="1" s="195"/>
    <row r="513" ht="15.75" customHeight="1" s="195"/>
    <row r="514" ht="15.75" customHeight="1" s="195"/>
    <row r="515" ht="15.75" customHeight="1" s="195"/>
    <row r="516" ht="15.75" customHeight="1" s="195"/>
    <row r="517" ht="15.75" customHeight="1" s="195"/>
    <row r="518" ht="15.75" customHeight="1" s="195"/>
    <row r="519" ht="15.75" customHeight="1" s="195"/>
    <row r="520" ht="15.75" customHeight="1" s="195"/>
    <row r="521" ht="15.75" customHeight="1" s="195"/>
    <row r="522" ht="15.75" customHeight="1" s="195"/>
    <row r="523" ht="15.75" customHeight="1" s="195"/>
    <row r="524" ht="15.75" customHeight="1" s="195"/>
    <row r="525" ht="15.75" customHeight="1" s="195"/>
    <row r="526" ht="15.75" customHeight="1" s="195"/>
    <row r="527" ht="15.75" customHeight="1" s="195"/>
    <row r="528" ht="15.75" customHeight="1" s="195"/>
    <row r="529" ht="15.75" customHeight="1" s="195"/>
    <row r="530" ht="15.75" customHeight="1" s="195"/>
    <row r="531" ht="15.75" customHeight="1" s="195"/>
    <row r="532" ht="15.75" customHeight="1" s="195"/>
    <row r="533" ht="15.75" customHeight="1" s="195"/>
    <row r="534" ht="15.75" customHeight="1" s="195"/>
    <row r="535" ht="15.75" customHeight="1" s="195"/>
    <row r="536" ht="15.75" customHeight="1" s="195"/>
    <row r="537" ht="15.75" customHeight="1" s="195"/>
    <row r="538" ht="15.75" customHeight="1" s="195"/>
    <row r="539" ht="15.75" customHeight="1" s="195"/>
    <row r="540" ht="15.75" customHeight="1" s="195"/>
    <row r="541" ht="15.75" customHeight="1" s="195"/>
    <row r="542" ht="15.75" customHeight="1" s="195"/>
    <row r="543" ht="15.75" customHeight="1" s="195"/>
    <row r="544" ht="15.75" customHeight="1" s="195"/>
    <row r="545" ht="15.75" customHeight="1" s="195"/>
    <row r="546" ht="15.75" customHeight="1" s="195"/>
    <row r="547" ht="15.75" customHeight="1" s="195"/>
    <row r="548" ht="15.75" customHeight="1" s="195"/>
    <row r="549" ht="15.75" customHeight="1" s="195"/>
    <row r="550" ht="15.75" customHeight="1" s="195"/>
    <row r="551" ht="15.75" customHeight="1" s="195"/>
    <row r="552" ht="15.75" customHeight="1" s="195"/>
    <row r="553" ht="15.75" customHeight="1" s="195"/>
    <row r="554" ht="15.75" customHeight="1" s="195"/>
    <row r="555" ht="15.75" customHeight="1" s="195"/>
    <row r="556" ht="15.75" customHeight="1" s="195"/>
    <row r="557" ht="15.75" customHeight="1" s="195"/>
    <row r="558" ht="15.75" customHeight="1" s="195"/>
    <row r="559" ht="15.75" customHeight="1" s="195"/>
    <row r="560" ht="15.75" customHeight="1" s="195"/>
    <row r="561" ht="15.75" customHeight="1" s="195"/>
    <row r="562" ht="15.75" customHeight="1" s="195"/>
    <row r="563" ht="15.75" customHeight="1" s="195"/>
    <row r="564" ht="15.75" customHeight="1" s="195"/>
    <row r="565" ht="15.75" customHeight="1" s="195"/>
    <row r="566" ht="15.75" customHeight="1" s="195"/>
    <row r="567" ht="15.75" customHeight="1" s="195"/>
    <row r="568" ht="15.75" customHeight="1" s="195"/>
    <row r="569" ht="15.75" customHeight="1" s="195"/>
    <row r="570" ht="15.75" customHeight="1" s="195"/>
    <row r="571" ht="15.75" customHeight="1" s="195"/>
    <row r="572" ht="15.75" customHeight="1" s="195"/>
    <row r="573" ht="15.75" customHeight="1" s="195"/>
    <row r="574" ht="15.75" customHeight="1" s="195"/>
    <row r="575" ht="15.75" customHeight="1" s="195"/>
    <row r="576" ht="15.75" customHeight="1" s="195"/>
    <row r="577" ht="15.75" customHeight="1" s="195"/>
    <row r="578" ht="15.75" customHeight="1" s="195"/>
    <row r="579" ht="15.75" customHeight="1" s="195"/>
    <row r="580" ht="15.75" customHeight="1" s="195"/>
    <row r="581" ht="15.75" customHeight="1" s="195"/>
    <row r="582" ht="15.75" customHeight="1" s="195"/>
    <row r="583" ht="15.75" customHeight="1" s="195"/>
    <row r="584" ht="15.75" customHeight="1" s="195"/>
    <row r="585" ht="15.75" customHeight="1" s="195"/>
    <row r="586" ht="15.75" customHeight="1" s="195"/>
    <row r="587" ht="15.75" customHeight="1" s="195"/>
    <row r="588" ht="15.75" customHeight="1" s="195"/>
    <row r="589" ht="15.75" customHeight="1" s="195"/>
    <row r="590" ht="15.75" customHeight="1" s="195"/>
    <row r="591" ht="15.75" customHeight="1" s="195"/>
    <row r="592" ht="15.75" customHeight="1" s="195"/>
    <row r="593" ht="15.75" customHeight="1" s="195"/>
    <row r="594" ht="15.75" customHeight="1" s="195"/>
    <row r="595" ht="15.75" customHeight="1" s="195"/>
    <row r="596" ht="15.75" customHeight="1" s="195"/>
    <row r="597" ht="15.75" customHeight="1" s="195"/>
    <row r="598" ht="15.75" customHeight="1" s="195"/>
    <row r="599" ht="15.75" customHeight="1" s="195"/>
    <row r="600" ht="15.75" customHeight="1" s="195"/>
    <row r="601" ht="15.75" customHeight="1" s="195"/>
    <row r="602" ht="15.75" customHeight="1" s="195"/>
    <row r="603" ht="15.75" customHeight="1" s="195"/>
    <row r="604" ht="15.75" customHeight="1" s="195"/>
    <row r="605" ht="15.75" customHeight="1" s="195"/>
    <row r="606" ht="15.75" customHeight="1" s="195"/>
    <row r="607" ht="15.75" customHeight="1" s="195"/>
    <row r="608" ht="15.75" customHeight="1" s="195"/>
    <row r="609" ht="15.75" customHeight="1" s="195"/>
    <row r="610" ht="15.75" customHeight="1" s="195"/>
    <row r="611" ht="15.75" customHeight="1" s="195"/>
    <row r="612" ht="15.75" customHeight="1" s="195"/>
    <row r="613" ht="15.75" customHeight="1" s="195"/>
    <row r="614" ht="15.75" customHeight="1" s="195"/>
    <row r="615" ht="15.75" customHeight="1" s="195"/>
    <row r="616" ht="15.75" customHeight="1" s="195"/>
    <row r="617" ht="15.75" customHeight="1" s="195"/>
    <row r="618" ht="15.75" customHeight="1" s="195"/>
    <row r="619" ht="15.75" customHeight="1" s="195"/>
    <row r="620" ht="15.75" customHeight="1" s="195"/>
    <row r="621" ht="15.75" customHeight="1" s="195"/>
    <row r="622" ht="15.75" customHeight="1" s="195"/>
    <row r="623" ht="15.75" customHeight="1" s="195"/>
    <row r="624" ht="15.75" customHeight="1" s="195"/>
    <row r="625" ht="15.75" customHeight="1" s="195"/>
    <row r="626" ht="15.75" customHeight="1" s="195"/>
    <row r="627" ht="15.75" customHeight="1" s="195"/>
    <row r="628" ht="15.75" customHeight="1" s="195"/>
    <row r="629" ht="15.75" customHeight="1" s="195"/>
    <row r="630" ht="15.75" customHeight="1" s="195"/>
    <row r="631" ht="15.75" customHeight="1" s="195"/>
    <row r="632" ht="15.75" customHeight="1" s="195"/>
    <row r="633" ht="15.75" customHeight="1" s="195"/>
    <row r="634" ht="15.75" customHeight="1" s="195"/>
    <row r="635" ht="15.75" customHeight="1" s="195"/>
    <row r="636" ht="15.75" customHeight="1" s="195"/>
    <row r="637" ht="15.75" customHeight="1" s="195"/>
    <row r="638" ht="15.75" customHeight="1" s="195"/>
    <row r="639" ht="15.75" customHeight="1" s="195"/>
    <row r="640" ht="15.75" customHeight="1" s="195"/>
    <row r="641" ht="15.75" customHeight="1" s="195"/>
    <row r="642" ht="15.75" customHeight="1" s="195"/>
    <row r="643" ht="15.75" customHeight="1" s="195"/>
    <row r="644" ht="15.75" customHeight="1" s="195"/>
    <row r="645" ht="15.75" customHeight="1" s="195"/>
    <row r="646" ht="15.75" customHeight="1" s="195"/>
    <row r="647" ht="15.75" customHeight="1" s="195"/>
    <row r="648" ht="15.75" customHeight="1" s="195"/>
    <row r="649" ht="15.75" customHeight="1" s="195"/>
    <row r="650" ht="15.75" customHeight="1" s="195"/>
    <row r="651" ht="15.75" customHeight="1" s="195"/>
    <row r="652" ht="15.75" customHeight="1" s="195"/>
    <row r="653" ht="15.75" customHeight="1" s="195"/>
    <row r="654" ht="15.75" customHeight="1" s="195"/>
    <row r="655" ht="15.75" customHeight="1" s="195"/>
    <row r="656" ht="15.75" customHeight="1" s="195"/>
    <row r="657" ht="15.75" customHeight="1" s="195"/>
    <row r="658" ht="15.75" customHeight="1" s="195"/>
    <row r="659" ht="15.75" customHeight="1" s="195"/>
    <row r="660" ht="15.75" customHeight="1" s="195"/>
    <row r="661" ht="15.75" customHeight="1" s="195"/>
    <row r="662" ht="15.75" customHeight="1" s="195"/>
    <row r="663" ht="15.75" customHeight="1" s="195"/>
    <row r="664" ht="15.75" customHeight="1" s="195"/>
    <row r="665" ht="15.75" customHeight="1" s="195"/>
    <row r="666" ht="15.75" customHeight="1" s="195"/>
    <row r="667" ht="15.75" customHeight="1" s="195"/>
    <row r="668" ht="15.75" customHeight="1" s="195"/>
    <row r="669" ht="15.75" customHeight="1" s="195"/>
    <row r="670" ht="15.75" customHeight="1" s="195"/>
    <row r="671" ht="15.75" customHeight="1" s="195"/>
    <row r="672" ht="15.75" customHeight="1" s="195"/>
    <row r="673" ht="15.75" customHeight="1" s="195"/>
    <row r="674" ht="15.75" customHeight="1" s="195"/>
    <row r="675" ht="15.75" customHeight="1" s="195"/>
    <row r="676" ht="15.75" customHeight="1" s="195"/>
    <row r="677" ht="15.75" customHeight="1" s="195"/>
    <row r="678" ht="15.75" customHeight="1" s="195"/>
    <row r="679" ht="15.75" customHeight="1" s="195"/>
    <row r="680" ht="15.75" customHeight="1" s="195"/>
    <row r="681" ht="15.75" customHeight="1" s="195"/>
    <row r="682" ht="15.75" customHeight="1" s="195"/>
    <row r="683" ht="15.75" customHeight="1" s="195"/>
    <row r="684" ht="15.75" customHeight="1" s="195"/>
    <row r="685" ht="15.75" customHeight="1" s="195"/>
    <row r="686" ht="15.75" customHeight="1" s="195"/>
    <row r="687" ht="15.75" customHeight="1" s="195"/>
    <row r="688" ht="15.75" customHeight="1" s="195"/>
    <row r="689" ht="15.75" customHeight="1" s="195"/>
    <row r="690" ht="15.75" customHeight="1" s="195"/>
    <row r="691" ht="15.75" customHeight="1" s="195"/>
    <row r="692" ht="15.75" customHeight="1" s="195"/>
    <row r="693" ht="15.75" customHeight="1" s="195"/>
    <row r="694" ht="15.75" customHeight="1" s="195"/>
    <row r="695" ht="15.75" customHeight="1" s="195"/>
    <row r="696" ht="15.75" customHeight="1" s="195"/>
    <row r="697" ht="15.75" customHeight="1" s="195"/>
    <row r="698" ht="15.75" customHeight="1" s="195"/>
    <row r="699" ht="15.75" customHeight="1" s="195"/>
    <row r="700" ht="15.75" customHeight="1" s="195"/>
    <row r="701" ht="15.75" customHeight="1" s="195"/>
    <row r="702" ht="15.75" customHeight="1" s="195"/>
    <row r="703" ht="15.75" customHeight="1" s="195"/>
    <row r="704" ht="15.75" customHeight="1" s="195"/>
    <row r="705" ht="15.75" customHeight="1" s="195"/>
    <row r="706" ht="15.75" customHeight="1" s="195"/>
    <row r="707" ht="15.75" customHeight="1" s="195"/>
    <row r="708" ht="15.75" customHeight="1" s="195"/>
    <row r="709" ht="15.75" customHeight="1" s="195"/>
    <row r="710" ht="15.75" customHeight="1" s="195"/>
    <row r="711" ht="15.75" customHeight="1" s="195"/>
    <row r="712" ht="15.75" customHeight="1" s="195"/>
    <row r="713" ht="15.75" customHeight="1" s="195"/>
    <row r="714" ht="15.75" customHeight="1" s="195"/>
    <row r="715" ht="15.75" customHeight="1" s="195"/>
    <row r="716" ht="15.75" customHeight="1" s="195"/>
    <row r="717" ht="15.75" customHeight="1" s="195"/>
    <row r="718" ht="15.75" customHeight="1" s="195"/>
    <row r="719" ht="15.75" customHeight="1" s="195"/>
    <row r="720" ht="15.75" customHeight="1" s="195"/>
    <row r="721" ht="15.75" customHeight="1" s="195"/>
    <row r="722" ht="15.75" customHeight="1" s="195"/>
    <row r="723" ht="15.75" customHeight="1" s="195"/>
    <row r="724" ht="15.75" customHeight="1" s="195"/>
    <row r="725" ht="15.75" customHeight="1" s="195"/>
    <row r="726" ht="15.75" customHeight="1" s="195"/>
    <row r="727" ht="15.75" customHeight="1" s="195"/>
    <row r="728" ht="15.75" customHeight="1" s="195"/>
    <row r="729" ht="15.75" customHeight="1" s="195"/>
    <row r="730" ht="15.75" customHeight="1" s="195"/>
    <row r="731" ht="15.75" customHeight="1" s="195"/>
    <row r="732" ht="15.75" customHeight="1" s="195"/>
    <row r="733" ht="15.75" customHeight="1" s="195"/>
    <row r="734" ht="15.75" customHeight="1" s="195"/>
    <row r="735" ht="15.75" customHeight="1" s="195"/>
    <row r="736" ht="15.75" customHeight="1" s="195"/>
    <row r="737" ht="15.75" customHeight="1" s="195"/>
    <row r="738" ht="15.75" customHeight="1" s="195"/>
    <row r="739" ht="15.75" customHeight="1" s="195"/>
    <row r="740" ht="15.75" customHeight="1" s="195"/>
    <row r="741" ht="15.75" customHeight="1" s="195"/>
    <row r="742" ht="15.75" customHeight="1" s="195"/>
    <row r="743" ht="15.75" customHeight="1" s="195"/>
    <row r="744" ht="15.75" customHeight="1" s="195"/>
    <row r="745" ht="15.75" customHeight="1" s="195"/>
    <row r="746" ht="15.75" customHeight="1" s="195"/>
    <row r="747" ht="15.75" customHeight="1" s="195"/>
    <row r="748" ht="15.75" customHeight="1" s="195"/>
    <row r="749" ht="15.75" customHeight="1" s="195"/>
    <row r="750" ht="15.75" customHeight="1" s="195"/>
    <row r="751" ht="15.75" customHeight="1" s="195"/>
    <row r="752" ht="15.75" customHeight="1" s="195"/>
    <row r="753" ht="15.75" customHeight="1" s="195"/>
    <row r="754" ht="15.75" customHeight="1" s="195"/>
    <row r="755" ht="15.75" customHeight="1" s="195"/>
    <row r="756" ht="15.75" customHeight="1" s="195"/>
    <row r="757" ht="15.75" customHeight="1" s="195"/>
    <row r="758" ht="15.75" customHeight="1" s="195"/>
    <row r="759" ht="15.75" customHeight="1" s="195"/>
    <row r="760" ht="15.75" customHeight="1" s="195"/>
    <row r="761" ht="15.75" customHeight="1" s="195"/>
    <row r="762" ht="15.75" customHeight="1" s="195"/>
    <row r="763" ht="15.75" customHeight="1" s="195"/>
    <row r="764" ht="15.75" customHeight="1" s="195"/>
    <row r="765" ht="15.75" customHeight="1" s="195"/>
    <row r="766" ht="15.75" customHeight="1" s="195"/>
    <row r="767" ht="15.75" customHeight="1" s="195"/>
    <row r="768" ht="15.75" customHeight="1" s="195"/>
    <row r="769" ht="15.75" customHeight="1" s="195"/>
    <row r="770" ht="15.75" customHeight="1" s="195"/>
    <row r="771" ht="15.75" customHeight="1" s="195"/>
    <row r="772" ht="15.75" customHeight="1" s="195"/>
    <row r="773" ht="15.75" customHeight="1" s="195"/>
    <row r="774" ht="15.75" customHeight="1" s="195"/>
    <row r="775" ht="15.75" customHeight="1" s="195"/>
    <row r="776" ht="15.75" customHeight="1" s="195"/>
    <row r="777" ht="15.75" customHeight="1" s="195"/>
    <row r="778" ht="15.75" customHeight="1" s="195"/>
    <row r="779" ht="15.75" customHeight="1" s="195"/>
    <row r="780" ht="15.75" customHeight="1" s="195"/>
    <row r="781" ht="15.75" customHeight="1" s="195"/>
    <row r="782" ht="15.75" customHeight="1" s="195"/>
    <row r="783" ht="15.75" customHeight="1" s="195"/>
    <row r="784" ht="15.75" customHeight="1" s="195"/>
    <row r="785" ht="15.75" customHeight="1" s="195"/>
    <row r="786" ht="15.75" customHeight="1" s="195"/>
    <row r="787" ht="15.75" customHeight="1" s="195"/>
    <row r="788" ht="15.75" customHeight="1" s="195"/>
    <row r="789" ht="15.75" customHeight="1" s="195"/>
    <row r="790" ht="15.75" customHeight="1" s="195"/>
    <row r="791" ht="15.75" customHeight="1" s="195"/>
    <row r="792" ht="15.75" customHeight="1" s="195"/>
    <row r="793" ht="15.75" customHeight="1" s="195"/>
    <row r="794" ht="15.75" customHeight="1" s="195"/>
    <row r="795" ht="15.75" customHeight="1" s="195"/>
    <row r="796" ht="15.75" customHeight="1" s="195"/>
    <row r="797" ht="15.75" customHeight="1" s="195"/>
    <row r="798" ht="15.75" customHeight="1" s="195"/>
    <row r="799" ht="15.75" customHeight="1" s="195"/>
    <row r="800" ht="15.75" customHeight="1" s="195"/>
    <row r="801" ht="15.75" customHeight="1" s="195"/>
    <row r="802" ht="15.75" customHeight="1" s="195"/>
    <row r="803" ht="15.75" customHeight="1" s="195"/>
    <row r="804" ht="15.75" customHeight="1" s="195"/>
    <row r="805" ht="15.75" customHeight="1" s="195"/>
    <row r="806" ht="15.75" customHeight="1" s="195"/>
    <row r="807" ht="15.75" customHeight="1" s="195"/>
    <row r="808" ht="15.75" customHeight="1" s="195"/>
    <row r="809" ht="15.75" customHeight="1" s="195"/>
    <row r="810" ht="15.75" customHeight="1" s="195"/>
    <row r="811" ht="15.75" customHeight="1" s="195"/>
    <row r="812" ht="15.75" customHeight="1" s="195"/>
    <row r="813" ht="15.75" customHeight="1" s="195"/>
    <row r="814" ht="15.75" customHeight="1" s="195"/>
    <row r="815" ht="15.75" customHeight="1" s="195"/>
    <row r="816" ht="15.75" customHeight="1" s="195"/>
    <row r="817" ht="15.75" customHeight="1" s="195"/>
    <row r="818" ht="15.75" customHeight="1" s="195"/>
    <row r="819" ht="15.75" customHeight="1" s="195"/>
    <row r="820" ht="15.75" customHeight="1" s="195"/>
    <row r="821" ht="15.75" customHeight="1" s="195"/>
    <row r="822" ht="15.75" customHeight="1" s="195"/>
    <row r="823" ht="15.75" customHeight="1" s="195"/>
    <row r="824" ht="15.75" customHeight="1" s="195"/>
    <row r="825" ht="15.75" customHeight="1" s="195"/>
    <row r="826" ht="15.75" customHeight="1" s="195"/>
    <row r="827" ht="15.75" customHeight="1" s="195"/>
    <row r="828" ht="15.75" customHeight="1" s="195"/>
    <row r="829" ht="15.75" customHeight="1" s="195"/>
    <row r="830" ht="15.75" customHeight="1" s="195"/>
    <row r="831" ht="15.75" customHeight="1" s="195"/>
    <row r="832" ht="15.75" customHeight="1" s="195"/>
    <row r="833" ht="15.75" customHeight="1" s="195"/>
    <row r="834" ht="15.75" customHeight="1" s="195"/>
    <row r="835" ht="15.75" customHeight="1" s="195"/>
    <row r="836" ht="15.75" customHeight="1" s="195"/>
    <row r="837" ht="15.75" customHeight="1" s="195"/>
    <row r="838" ht="15.75" customHeight="1" s="195"/>
    <row r="839" ht="15.75" customHeight="1" s="195"/>
    <row r="840" ht="15.75" customHeight="1" s="195"/>
    <row r="841" ht="15.75" customHeight="1" s="195"/>
    <row r="842" ht="15.75" customHeight="1" s="195"/>
    <row r="843" ht="15.75" customHeight="1" s="195"/>
    <row r="844" ht="15.75" customHeight="1" s="195"/>
    <row r="845" ht="15.75" customHeight="1" s="195"/>
    <row r="846" ht="15.75" customHeight="1" s="195"/>
    <row r="847" ht="15.75" customHeight="1" s="195"/>
    <row r="848" ht="15.75" customHeight="1" s="195"/>
    <row r="849" ht="15.75" customHeight="1" s="195"/>
    <row r="850" ht="15.75" customHeight="1" s="195"/>
    <row r="851" ht="15.75" customHeight="1" s="195"/>
    <row r="852" ht="15.75" customHeight="1" s="195"/>
    <row r="853" ht="15.75" customHeight="1" s="195"/>
    <row r="854" ht="15.75" customHeight="1" s="195"/>
    <row r="855" ht="15.75" customHeight="1" s="195"/>
    <row r="856" ht="15.75" customHeight="1" s="195"/>
    <row r="857" ht="15.75" customHeight="1" s="195"/>
    <row r="858" ht="15.75" customHeight="1" s="195"/>
    <row r="859" ht="15.75" customHeight="1" s="195"/>
    <row r="860" ht="15.75" customHeight="1" s="195"/>
    <row r="861" ht="15.75" customHeight="1" s="195"/>
    <row r="862" ht="15.75" customHeight="1" s="195"/>
    <row r="863" ht="15.75" customHeight="1" s="195"/>
    <row r="864" ht="15.75" customHeight="1" s="195"/>
    <row r="865" ht="15.75" customHeight="1" s="195"/>
    <row r="866" ht="15.75" customHeight="1" s="195"/>
    <row r="867" ht="15.75" customHeight="1" s="195"/>
    <row r="868" ht="15.75" customHeight="1" s="195"/>
    <row r="869" ht="15.75" customHeight="1" s="195"/>
    <row r="870" ht="15.75" customHeight="1" s="195"/>
    <row r="871" ht="15.75" customHeight="1" s="195"/>
    <row r="872" ht="15.75" customHeight="1" s="195"/>
    <row r="873" ht="15.75" customHeight="1" s="195"/>
    <row r="874" ht="15.75" customHeight="1" s="195"/>
    <row r="875" ht="15.75" customHeight="1" s="195"/>
    <row r="876" ht="15.75" customHeight="1" s="195"/>
    <row r="877" ht="15.75" customHeight="1" s="195"/>
    <row r="878" ht="15.75" customHeight="1" s="195"/>
    <row r="879" ht="15.75" customHeight="1" s="195"/>
    <row r="880" ht="15.75" customHeight="1" s="195"/>
    <row r="881" ht="15.75" customHeight="1" s="195"/>
    <row r="882" ht="15.75" customHeight="1" s="195"/>
    <row r="883" ht="15.75" customHeight="1" s="195"/>
    <row r="884" ht="15.75" customHeight="1" s="195"/>
    <row r="885" ht="15.75" customHeight="1" s="195"/>
    <row r="886" ht="15.75" customHeight="1" s="195"/>
    <row r="887" ht="15.75" customHeight="1" s="195"/>
    <row r="888" ht="15.75" customHeight="1" s="195"/>
    <row r="889" ht="15.75" customHeight="1" s="195"/>
    <row r="890" ht="15.75" customHeight="1" s="195"/>
    <row r="891" ht="15.75" customHeight="1" s="195"/>
    <row r="892" ht="15.75" customHeight="1" s="195"/>
    <row r="893" ht="15.75" customHeight="1" s="195"/>
    <row r="894" ht="15.75" customHeight="1" s="195"/>
    <row r="895" ht="15.75" customHeight="1" s="195"/>
    <row r="896" ht="15.75" customHeight="1" s="195"/>
    <row r="897" ht="15.75" customHeight="1" s="195"/>
    <row r="898" ht="15.75" customHeight="1" s="195"/>
    <row r="899" ht="15.75" customHeight="1" s="195"/>
    <row r="900" ht="15.75" customHeight="1" s="195"/>
    <row r="901" ht="15.75" customHeight="1" s="195"/>
    <row r="902" ht="15.75" customHeight="1" s="195"/>
    <row r="903" ht="15.75" customHeight="1" s="195"/>
    <row r="904" ht="15.75" customHeight="1" s="195"/>
    <row r="905" ht="15.75" customHeight="1" s="195"/>
    <row r="906" ht="15.75" customHeight="1" s="195"/>
    <row r="907" ht="15.75" customHeight="1" s="195"/>
    <row r="908" ht="15.75" customHeight="1" s="195"/>
    <row r="909" ht="15.75" customHeight="1" s="195"/>
    <row r="910" ht="15.75" customHeight="1" s="195"/>
    <row r="911" ht="15.75" customHeight="1" s="195"/>
    <row r="912" ht="15.75" customHeight="1" s="195"/>
    <row r="913" ht="15.75" customHeight="1" s="195"/>
    <row r="914" ht="15.75" customHeight="1" s="195"/>
    <row r="915" ht="15.75" customHeight="1" s="195"/>
    <row r="916" ht="15.75" customHeight="1" s="195"/>
    <row r="917" ht="15.75" customHeight="1" s="195"/>
    <row r="918" ht="15.75" customHeight="1" s="195"/>
    <row r="919" ht="15.75" customHeight="1" s="195"/>
    <row r="920" ht="15.75" customHeight="1" s="195"/>
    <row r="921" ht="15.75" customHeight="1" s="195"/>
    <row r="922" ht="15.75" customHeight="1" s="195"/>
    <row r="923" ht="15.75" customHeight="1" s="195"/>
    <row r="924" ht="15.75" customHeight="1" s="195"/>
    <row r="925" ht="15.75" customHeight="1" s="195"/>
    <row r="926" ht="15.75" customHeight="1" s="195"/>
    <row r="927" ht="15.75" customHeight="1" s="195"/>
    <row r="928" ht="15.75" customHeight="1" s="195"/>
    <row r="929" ht="15.75" customHeight="1" s="195"/>
    <row r="930" ht="15.75" customHeight="1" s="195"/>
    <row r="931" ht="15.75" customHeight="1" s="195"/>
    <row r="932" ht="15.75" customHeight="1" s="195"/>
    <row r="933" ht="15.75" customHeight="1" s="195"/>
    <row r="934" ht="15.75" customHeight="1" s="195"/>
    <row r="935" ht="15.75" customHeight="1" s="195"/>
    <row r="936" ht="15.75" customHeight="1" s="195"/>
    <row r="937" ht="15.75" customHeight="1" s="195"/>
    <row r="938" ht="15.75" customHeight="1" s="195"/>
    <row r="939" ht="15.75" customHeight="1" s="195"/>
    <row r="940" ht="15.75" customHeight="1" s="195"/>
    <row r="941" ht="15.75" customHeight="1" s="195"/>
    <row r="942" ht="15.75" customHeight="1" s="195"/>
    <row r="943" ht="15.75" customHeight="1" s="195"/>
    <row r="944" ht="15.75" customHeight="1" s="195"/>
    <row r="945" ht="15.75" customHeight="1" s="195"/>
    <row r="946" ht="15.75" customHeight="1" s="195"/>
    <row r="947" ht="15.75" customHeight="1" s="195"/>
    <row r="948" ht="15.75" customHeight="1" s="195"/>
    <row r="949" ht="15.75" customHeight="1" s="195"/>
    <row r="950" ht="15.75" customHeight="1" s="195"/>
    <row r="951" ht="15.75" customHeight="1" s="195"/>
    <row r="952" ht="15.75" customHeight="1" s="195"/>
    <row r="953" ht="15.75" customHeight="1" s="195"/>
    <row r="954" ht="15.75" customHeight="1" s="195"/>
    <row r="955" ht="15.75" customHeight="1" s="195"/>
    <row r="956" ht="15.75" customHeight="1" s="195"/>
    <row r="957" ht="15.75" customHeight="1" s="195"/>
    <row r="958" ht="15.75" customHeight="1" s="195"/>
    <row r="959" ht="15.75" customHeight="1" s="195"/>
    <row r="960" ht="15.75" customHeight="1" s="195"/>
    <row r="961" ht="15.75" customHeight="1" s="195"/>
    <row r="962" ht="15.75" customHeight="1" s="195"/>
    <row r="963" ht="15.75" customHeight="1" s="195"/>
    <row r="964" ht="15.75" customHeight="1" s="195"/>
    <row r="965" ht="15.75" customHeight="1" s="195"/>
    <row r="966" ht="15.75" customHeight="1" s="195"/>
    <row r="967" ht="15.75" customHeight="1" s="195"/>
    <row r="968" ht="15.75" customHeight="1" s="195"/>
    <row r="969" ht="15.75" customHeight="1" s="195"/>
    <row r="970" ht="15.75" customHeight="1" s="195"/>
    <row r="971" ht="15.75" customHeight="1" s="195"/>
    <row r="972" ht="15.75" customHeight="1" s="195"/>
    <row r="973" ht="15.75" customHeight="1" s="195"/>
    <row r="974" ht="15.75" customHeight="1" s="195"/>
    <row r="975" ht="15.75" customHeight="1" s="195"/>
    <row r="976" ht="15.75" customHeight="1" s="195"/>
    <row r="977" ht="15.75" customHeight="1" s="195"/>
    <row r="978" ht="15.75" customHeight="1" s="195"/>
    <row r="979" ht="15.75" customHeight="1" s="195"/>
    <row r="980" ht="15.75" customHeight="1" s="195"/>
    <row r="981" ht="15.75" customHeight="1" s="195"/>
    <row r="982" ht="15.75" customHeight="1" s="195"/>
    <row r="983" ht="15.75" customHeight="1" s="195"/>
    <row r="984" ht="15.75" customHeight="1" s="195"/>
    <row r="985" ht="15.75" customHeight="1" s="195"/>
    <row r="986" ht="15.75" customHeight="1" s="195"/>
    <row r="987" ht="15.75" customHeight="1" s="195"/>
    <row r="988" ht="15.75" customHeight="1" s="195"/>
    <row r="989" ht="15.75" customHeight="1" s="195"/>
    <row r="990" ht="15.75" customHeight="1" s="195"/>
    <row r="991" ht="15.75" customHeight="1" s="195"/>
    <row r="992" ht="15.75" customHeight="1" s="195"/>
    <row r="993" ht="15.75" customHeight="1" s="195"/>
    <row r="994" ht="15.75" customHeight="1" s="195"/>
    <row r="995" ht="15.75" customHeight="1" s="195"/>
    <row r="996" ht="15.75" customHeight="1" s="195"/>
    <row r="997" ht="15.75" customHeight="1" s="195"/>
    <row r="998" ht="15.75" customHeight="1" s="195"/>
    <row r="999" ht="15.75" customHeight="1" s="195"/>
    <row r="1000" ht="15.75" customHeight="1" s="195"/>
  </sheetData>
  <mergeCells count="13">
    <mergeCell ref="D2:F2"/>
    <mergeCell ref="G2:I2"/>
    <mergeCell ref="S2:T2"/>
    <mergeCell ref="J2:L2"/>
    <mergeCell ref="A8:J8"/>
    <mergeCell ref="U2:V2"/>
    <mergeCell ref="A506:G506"/>
    <mergeCell ref="P2:R2"/>
    <mergeCell ref="A1:Y1"/>
    <mergeCell ref="W2:AC2"/>
    <mergeCell ref="A4:Y4"/>
    <mergeCell ref="M2:O2"/>
    <mergeCell ref="A2:C2"/>
  </mergeCells>
  <conditionalFormatting sqref="T6:T505">
    <cfRule type="expression" rank="0" priority="2" equalAverage="0" aboveAverage="0" dxfId="0" text="" percent="0" bottom="0">
      <formula>EXACT(T6,"APROBADO")</formula>
    </cfRule>
    <cfRule type="expression" rank="0" priority="3" equalAverage="0" aboveAverage="0" dxfId="7" text="" percent="0" bottom="0">
      <formula>EXACT(T6,"PENDIENTE")</formula>
    </cfRule>
    <cfRule type="expression" rank="0" priority="4" equalAverage="0" aboveAverage="0" dxfId="0" text="" percent="0" bottom="0">
      <formula>EXACT(T6,"APROBADO")</formula>
    </cfRule>
    <cfRule type="expression" rank="0" priority="5" equalAverage="0" aboveAverage="0" dxfId="7" text="" percent="0" bottom="0">
      <formula>EXACT(T6,"OBSERVADO")</formula>
    </cfRule>
  </conditionalFormatting>
  <conditionalFormatting sqref="K6:K505">
    <cfRule type="expression" rank="0" priority="6" equalAverage="0" aboveAverage="0" dxfId="8" text="" percent="0" bottom="0">
      <formula>EXACT(K6,"GASOLINA")</formula>
    </cfRule>
  </conditionalFormatting>
  <conditionalFormatting sqref="Z6:Z505">
    <cfRule type="expression" rank="0" priority="7" equalAverage="0" aboveAverage="0" dxfId="0" text="" percent="0" bottom="0">
      <formula>EXACT(Z6,"COMPLETADO")</formula>
    </cfRule>
    <cfRule type="expression" rank="0" priority="8" equalAverage="0" aboveAverage="0" dxfId="7" text="" percent="0" bottom="0">
      <formula>EXACT(Z6,"OBSERVADO")</formula>
    </cfRule>
  </conditionalFormatting>
  <conditionalFormatting sqref="T6:T110">
    <cfRule type="expression" rank="0" priority="9" equalAverage="0" aboveAverage="0" dxfId="0" text="" percent="0" bottom="0">
      <formula>EXACT(T6,"APROBADO")</formula>
    </cfRule>
    <cfRule type="expression" rank="0" priority="10" equalAverage="0" aboveAverage="0" dxfId="7" text="" percent="0" bottom="0">
      <formula>EXACT(T6,"OBSERVADO")</formula>
    </cfRule>
  </conditionalFormatting>
  <conditionalFormatting sqref="Z6:Z110">
    <cfRule type="expression" rank="0" priority="11" equalAverage="0" aboveAverage="0" dxfId="0" text="" percent="0" bottom="0">
      <formula>EXACT(Z6,"COMPLETADO")</formula>
    </cfRule>
    <cfRule type="expression" rank="0" priority="12" equalAverage="0" aboveAverage="0" dxfId="7" text="" percent="0" bottom="0">
      <formula>EXACT(Z6,"OBSERVADO")</formula>
    </cfRule>
    <cfRule type="expression" rank="0" priority="13" equalAverage="0" aboveAverage="0" dxfId="0" text="" percent="0" bottom="0">
      <formula>Z6="ENTREGADO"</formula>
    </cfRule>
    <cfRule type="expression" rank="0" priority="14" equalAverage="0" aboveAverage="0" dxfId="7" text="" percent="0" bottom="0">
      <formula>Z6="POR RECOGER"</formula>
    </cfRule>
  </conditionalFormatting>
  <conditionalFormatting sqref="Y6:Y110">
    <cfRule type="expression" rank="0" priority="15" equalAverage="0" aboveAverage="0" dxfId="9" text="" percent="0" bottom="0">
      <formula>Y6&lt;&gt;""</formula>
    </cfRule>
  </conditionalFormatting>
  <dataValidations count="5">
    <dataValidation sqref="Y6:Y110" showDropDown="0" showInputMessage="0" showErrorMessage="0" allowBlank="1" type="list" errorStyle="stop" operator="between">
      <formula1>CONDUCTORES!$H$3:$H$104</formula1>
      <formula2>0</formula2>
    </dataValidation>
    <dataValidation sqref="K6:K505" showDropDown="0" showInputMessage="0" showErrorMessage="0" allowBlank="1" type="list" errorStyle="stop" operator="between">
      <formula1>"PETROLEO,GASOLINA"</formula1>
      <formula2>0</formula2>
    </dataValidation>
    <dataValidation sqref="E6:E7 E9:E505" showDropDown="0" showInputMessage="0" showErrorMessage="0" allowBlank="1" type="list" errorStyle="stop" operator="between">
      <formula1>"DNI,CE,PASAPORTE"</formula1>
      <formula2>0</formula2>
    </dataValidation>
    <dataValidation sqref="T6:T110" showDropDown="0" showInputMessage="0" showErrorMessage="0" allowBlank="1" type="list" errorStyle="stop" operator="between">
      <formula1>"APROBADO,OBSERVADO"</formula1>
      <formula2>0</formula2>
    </dataValidation>
    <dataValidation sqref="T111:T505" showDropDown="0" showInputMessage="1" showErrorMessage="1" allowBlank="1" prompt="Valor no válido - Solo se permite: APROBADO u OBSERVADO" type="list" errorStyle="stop" operator="between">
      <formula1>"APROBADO,OBSERVADO"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C5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baseColWidth="8" defaultColWidth="14.43359375" defaultRowHeight="15" zeroHeight="0" outlineLevelRow="0"/>
  <cols>
    <col width="6" customWidth="1" style="194" min="1" max="1"/>
    <col width="14" customWidth="1" style="194" min="2" max="2"/>
    <col width="8" customWidth="1" style="194" min="3" max="3"/>
    <col width="28" customWidth="1" style="194" min="4" max="4"/>
    <col width="7" customWidth="1" style="194" min="5" max="5"/>
    <col width="14" customWidth="1" style="194" min="6" max="6"/>
    <col width="12" customWidth="1" style="194" min="7" max="7"/>
    <col width="10" customWidth="1" style="194" min="8" max="8"/>
    <col width="30" customWidth="1" style="194" min="9" max="9"/>
    <col width="10" customWidth="1" style="194" min="10" max="10"/>
    <col width="12" customWidth="1" style="194" min="11" max="11"/>
    <col width="10" customWidth="1" style="194" min="12" max="13"/>
    <col width="14" customWidth="1" style="194" min="14" max="15"/>
    <col width="30" customWidth="1" style="194" min="16" max="16"/>
    <col width="12" customWidth="1" style="194" min="17" max="18"/>
    <col width="16" customWidth="1" style="194" min="19" max="19"/>
    <col width="12" customWidth="1" style="194" min="20" max="21"/>
    <col width="14" customWidth="1" style="194" min="22" max="23"/>
    <col width="8" customWidth="1" style="194" min="24" max="24"/>
    <col width="22" customWidth="1" style="194" min="25" max="25"/>
    <col width="14" customWidth="1" style="194" min="26" max="26"/>
    <col width="8.710000000000001" customWidth="1" style="194" min="27" max="29"/>
  </cols>
  <sheetData>
    <row r="1" ht="27.75" customHeight="1" s="195">
      <c r="A1" s="365" t="inlineStr">
        <is>
          <t>REPORTE DE TRASLADO DE PACIENTES SIS DEL MES DE SETIEMBRE 2026 PARA REPOSICION DE COMBUSTIBLE</t>
        </is>
      </c>
      <c r="Z1" s="365" t="n"/>
      <c r="AA1" s="284" t="n"/>
    </row>
    <row r="2" ht="21.75" customHeight="1" s="195">
      <c r="A2" s="318" t="inlineStr">
        <is>
          <t>TOTAL PETROLEO (gal):</t>
        </is>
      </c>
      <c r="D2" s="366">
        <f>IFERROR(SUMPRODUCT((K6:K110="PETROLEO")*ISNUMBER(M6:M110)*M6:M110),0)</f>
        <v/>
      </c>
      <c r="G2" s="318" t="inlineStr">
        <is>
          <t>TOTAL GASOLINA (gal):</t>
        </is>
      </c>
      <c r="J2" s="366">
        <f>IFERROR(SUMPRODUCT((K6:K110="GASOLINA")*ISNUMBER(M6:M110)*M6:M110),0)</f>
        <v/>
      </c>
      <c r="M2" s="318" t="inlineStr">
        <is>
          <t>TOTAL SOLES S/.:</t>
        </is>
      </c>
      <c r="P2" s="367">
        <f>IFERROR(SUMPRODUCT(ISNUMBER(M6:M110)*L6:L110*M6:M110),0)</f>
        <v/>
      </c>
      <c r="S2" s="318" t="inlineStr">
        <is>
          <t>N TRASLADOS:</t>
        </is>
      </c>
      <c r="U2" s="368">
        <f>SUBTOTAL(2,A6:A110)</f>
        <v/>
      </c>
      <c r="W2" s="281" t="n"/>
    </row>
    <row r="3" ht="3.75" customHeight="1" s="195">
      <c r="A3" s="289" t="n"/>
      <c r="B3" s="289" t="n"/>
      <c r="C3" s="289" t="n"/>
      <c r="D3" s="289" t="n"/>
      <c r="E3" s="289" t="n"/>
      <c r="F3" s="289" t="n"/>
      <c r="G3" s="289" t="n"/>
      <c r="H3" s="289" t="n"/>
      <c r="I3" s="289" t="n"/>
      <c r="J3" s="289" t="n"/>
      <c r="K3" s="289" t="n"/>
      <c r="L3" s="289" t="n"/>
      <c r="M3" s="289" t="n"/>
      <c r="N3" s="289" t="n"/>
      <c r="O3" s="289" t="n"/>
      <c r="P3" s="289" t="n"/>
      <c r="Q3" s="289" t="n"/>
      <c r="R3" s="289" t="n"/>
      <c r="S3" s="289" t="n"/>
      <c r="T3" s="289" t="n"/>
      <c r="U3" s="289" t="n"/>
      <c r="V3" s="289" t="n"/>
      <c r="W3" s="289" t="n"/>
      <c r="X3" s="289" t="n"/>
      <c r="Y3" s="289" t="n"/>
      <c r="Z3" s="289" t="n"/>
      <c r="AA3" s="284" t="n"/>
    </row>
    <row r="4" ht="19.5" customHeight="1" s="195">
      <c r="A4" s="369" t="inlineStr">
        <is>
          <t>COLUMNAS EN AZUL = AUTO (no editar) | Ingrese: N, NRO FORMATO, AFILIADO, TIPO DOC, NRO DOC, FECHA TRASLADO, COD RENAES, COD REFERENCIA, DNI CONDUCTOR, PRECIO GAL, GALONES, FECHA ENTREGA, CIE-10, ESTADO FUA, FECHA DIGITACION, OFICIO, O/C, META, OBSERVACION</t>
        </is>
      </c>
      <c r="Z4" s="369" t="n"/>
      <c r="AA4" s="284" t="n"/>
    </row>
    <row r="5" ht="31.5" customHeight="1" s="195">
      <c r="A5" s="370" t="inlineStr">
        <is>
          <t>N</t>
        </is>
      </c>
      <c r="B5" s="370" t="inlineStr">
        <is>
          <t>NRO FORMATO
ATENCION</t>
        </is>
      </c>
      <c r="C5" s="370" t="inlineStr">
        <is>
          <t>UNIDAD
EJECUTORA</t>
        </is>
      </c>
      <c r="D5" s="370" t="inlineStr">
        <is>
          <t>AFILIADO</t>
        </is>
      </c>
      <c r="E5" s="370" t="inlineStr">
        <is>
          <t>TIPO
DOC</t>
        </is>
      </c>
      <c r="F5" s="370" t="inlineStr">
        <is>
          <t>NRO
DOCUMENTO</t>
        </is>
      </c>
      <c r="G5" s="370" t="inlineStr">
        <is>
          <t>FECHA
TRASLADO</t>
        </is>
      </c>
      <c r="H5" s="370" t="inlineStr">
        <is>
          <t>COD
RENAES</t>
        </is>
      </c>
      <c r="I5" s="371" t="inlineStr">
        <is>
          <t>DESCRIPCION
EESS</t>
        </is>
      </c>
      <c r="J5" s="370" t="inlineStr">
        <is>
          <t>COD EESS
REFERENCIA</t>
        </is>
      </c>
      <c r="K5" s="371" t="inlineStr">
        <is>
          <t>TIPO DE
COMBUSTIBLE</t>
        </is>
      </c>
      <c r="L5" s="370" t="inlineStr">
        <is>
          <t>PRECIO
GAL S/.</t>
        </is>
      </c>
      <c r="M5" s="370" t="inlineStr">
        <is>
          <t>GALONES</t>
        </is>
      </c>
      <c r="N5" s="371" t="inlineStr">
        <is>
          <t>TOTAL
COMBUSTIBLE S/.</t>
        </is>
      </c>
      <c r="O5" s="370" t="inlineStr">
        <is>
          <t>DNI
CONDUCTOR</t>
        </is>
      </c>
      <c r="P5" s="371" t="inlineStr">
        <is>
          <t>NOMBRE
CONDUCTOR</t>
        </is>
      </c>
      <c r="Q5" s="371" t="inlineStr">
        <is>
          <t>PLACA</t>
        </is>
      </c>
      <c r="R5" s="370" t="inlineStr">
        <is>
          <t>FECHA DE
ENTREGA</t>
        </is>
      </c>
      <c r="S5" s="370" t="inlineStr">
        <is>
          <t>CODIGO DE
DIAGNOSTICO</t>
        </is>
      </c>
      <c r="T5" s="370" t="inlineStr">
        <is>
          <t>ESTADO
FUA</t>
        </is>
      </c>
      <c r="U5" s="370" t="inlineStr">
        <is>
          <t>FECHA
DIGITACION</t>
        </is>
      </c>
      <c r="V5" s="370" t="inlineStr">
        <is>
          <t>OFICIO</t>
        </is>
      </c>
      <c r="W5" s="370" t="inlineStr">
        <is>
          <t>O/C</t>
        </is>
      </c>
      <c r="X5" s="370" t="inlineStr">
        <is>
          <t>META</t>
        </is>
      </c>
      <c r="Y5" s="324" t="inlineStr">
        <is>
          <t>DEVOLVER A
(IPRESS DESTINO)</t>
        </is>
      </c>
      <c r="Z5" s="372" t="inlineStr">
        <is>
          <t>ESTADO
COMPLETADO</t>
        </is>
      </c>
      <c r="AA5" s="284" t="n"/>
    </row>
    <row r="6" ht="15.75" customHeight="1" s="195">
      <c r="A6" s="334" t="n"/>
      <c r="B6" s="334" t="n"/>
      <c r="C6" s="334" t="n"/>
      <c r="D6" s="334" t="n"/>
      <c r="E6" s="334" t="n"/>
      <c r="F6" s="334" t="n"/>
      <c r="G6" s="334" t="n"/>
      <c r="H6" s="334" t="n"/>
      <c r="I6" s="332">
        <f>IFERROR(VLOOKUP(TEXT(H6,"0"),IPRESS!$A$3:$B$212,2,0),"")</f>
        <v/>
      </c>
      <c r="J6" s="334" t="n"/>
      <c r="K6" s="332">
        <f>IFERROR(VLOOKUP(TEXT(O6,"0"),CONDUCTORES!$A$3:$G$54,7,0),"")</f>
        <v/>
      </c>
      <c r="L6" s="334" t="n"/>
      <c r="M6" s="334" t="n"/>
      <c r="N6" s="333">
        <f>IFERROR(IF(L6*M6=0,"",L6*M6),"")</f>
        <v/>
      </c>
      <c r="O6" s="334" t="n"/>
      <c r="P6" s="332">
        <f>IFERROR(VLOOKUP(TEXT(O6,"0"),CONDUCTORES!$A$3:$G$54,2,0),"")</f>
        <v/>
      </c>
      <c r="Q6" s="332">
        <f>IFERROR(VLOOKUP(TEXT(O6,"0"),CONDUCTORES!$A$3:$H$54,6,0),"")</f>
        <v/>
      </c>
      <c r="R6" s="334" t="n"/>
      <c r="S6" s="334" t="n"/>
      <c r="T6" s="334" t="n"/>
      <c r="U6" s="334" t="n"/>
      <c r="V6" s="334" t="n"/>
      <c r="W6" s="334" t="n"/>
      <c r="X6" s="334" t="n"/>
      <c r="Y6" s="334" t="n"/>
      <c r="Z6" s="242">
        <f>IF(AND(G6&lt;&gt;"",R6&lt;&gt;"",V6&lt;&gt;"",W6&lt;&gt;""),"COMPLETADO","OBSERVADO")</f>
        <v/>
      </c>
      <c r="AA6" s="284" t="n"/>
    </row>
    <row r="7" ht="15.75" customHeight="1" s="195">
      <c r="A7" s="280" t="n"/>
      <c r="B7" s="280" t="n"/>
      <c r="C7" s="280" t="n"/>
      <c r="D7" s="280" t="n"/>
      <c r="E7" s="280" t="n"/>
      <c r="F7" s="280" t="n"/>
      <c r="G7" s="280" t="n"/>
      <c r="H7" s="280" t="n"/>
      <c r="I7" s="332">
        <f>IFERROR(VLOOKUP(TEXT(H7,"0"),IPRESS!$A$3:$B$212,2,0),"")</f>
        <v/>
      </c>
      <c r="J7" s="280" t="n"/>
      <c r="K7" s="332">
        <f>IFERROR(VLOOKUP(TEXT(O7,"0"),CONDUCTORES!$A$3:$G$54,7,0),"")</f>
        <v/>
      </c>
      <c r="L7" s="280" t="n"/>
      <c r="M7" s="280" t="n"/>
      <c r="N7" s="333">
        <f>IFERROR(IF(L7*M7=0,"",L7*M7),"")</f>
        <v/>
      </c>
      <c r="O7" s="280" t="n"/>
      <c r="P7" s="332">
        <f>IFERROR(VLOOKUP(TEXT(O7,"0"),CONDUCTORES!$A$3:$G$54,2,0),"")</f>
        <v/>
      </c>
      <c r="Q7" s="332">
        <f>IFERROR(VLOOKUP(TEXT(O7,"0"),CONDUCTORES!$A$3:$H$54,6,0),"")</f>
        <v/>
      </c>
      <c r="R7" s="280" t="n"/>
      <c r="S7" s="280" t="n"/>
      <c r="T7" s="280" t="n"/>
      <c r="U7" s="280" t="n"/>
      <c r="V7" s="280" t="n"/>
      <c r="W7" s="280" t="n"/>
      <c r="X7" s="280" t="n"/>
      <c r="Y7" s="280" t="n"/>
      <c r="Z7" s="236">
        <f>IF(AND(G7&lt;&gt;"",R7&lt;&gt;"",V7&lt;&gt;"",W7&lt;&gt;""),"COMPLETADO","OBSERVADO")</f>
        <v/>
      </c>
      <c r="AA7" s="284" t="n"/>
    </row>
    <row r="8" ht="15.75" customHeight="1" s="195">
      <c r="A8" s="334" t="n"/>
      <c r="K8" s="332">
        <f>IFERROR(VLOOKUP(TEXT(O8,"0"),CONDUCTORES!$A$3:$G$54,7,0),"")</f>
        <v/>
      </c>
      <c r="L8" s="334" t="n"/>
      <c r="M8" s="373" t="n"/>
      <c r="N8" s="333">
        <f>IFERROR(IF(L8*M8=0,"",L8*M8),"")</f>
        <v/>
      </c>
      <c r="O8" s="334" t="n"/>
      <c r="P8" s="332">
        <f>IFERROR(VLOOKUP(TEXT(O8,"0"),CONDUCTORES!$A$3:$G$54,2,0),"")</f>
        <v/>
      </c>
      <c r="Q8" s="332">
        <f>IFERROR(VLOOKUP(TEXT(O8,"0"),CONDUCTORES!$A$3:$H$54,6,0),"")</f>
        <v/>
      </c>
      <c r="R8" s="334" t="n"/>
      <c r="S8" s="334" t="n"/>
      <c r="T8" s="334" t="n"/>
      <c r="U8" s="334" t="n"/>
      <c r="V8" s="334" t="n"/>
      <c r="W8" s="334" t="n"/>
      <c r="X8" s="334" t="n"/>
      <c r="Y8" s="334" t="n"/>
      <c r="Z8" s="242">
        <f>IF(AND(G8&lt;&gt;"",R8&lt;&gt;"",V8&lt;&gt;"",W8&lt;&gt;""),"COMPLETADO","OBSERVADO")</f>
        <v/>
      </c>
      <c r="AA8" s="284" t="n"/>
    </row>
    <row r="9" ht="15.75" customHeight="1" s="195">
      <c r="A9" s="280" t="n"/>
      <c r="B9" s="280" t="n"/>
      <c r="C9" s="280" t="n"/>
      <c r="D9" s="280" t="n"/>
      <c r="E9" s="280" t="n"/>
      <c r="F9" s="280" t="n"/>
      <c r="G9" s="280" t="n"/>
      <c r="H9" s="280" t="n"/>
      <c r="I9" s="332">
        <f>IFERROR(VLOOKUP(TEXT(H9,"0"),IPRESS!$A$3:$B$212,2,0),"")</f>
        <v/>
      </c>
      <c r="J9" s="280" t="n"/>
      <c r="K9" s="332">
        <f>IFERROR(VLOOKUP(TEXT(O9,"0"),CONDUCTORES!$A$3:$G$54,7,0),"")</f>
        <v/>
      </c>
      <c r="L9" s="280" t="n"/>
      <c r="M9" s="280" t="n"/>
      <c r="N9" s="333">
        <f>IFERROR(IF(L9*M9=0,"",L9*M9),"")</f>
        <v/>
      </c>
      <c r="O9" s="280" t="n"/>
      <c r="P9" s="332">
        <f>IFERROR(VLOOKUP(TEXT(O9,"0"),CONDUCTORES!$A$3:$G$54,2,0),"")</f>
        <v/>
      </c>
      <c r="Q9" s="332">
        <f>IFERROR(VLOOKUP(TEXT(O9,"0"),CONDUCTORES!$A$3:$H$54,6,0),"")</f>
        <v/>
      </c>
      <c r="R9" s="280" t="n"/>
      <c r="S9" s="280" t="n"/>
      <c r="T9" s="280" t="n"/>
      <c r="U9" s="280" t="n"/>
      <c r="V9" s="280" t="n"/>
      <c r="W9" s="280" t="n"/>
      <c r="X9" s="280" t="n"/>
      <c r="Y9" s="280" t="n"/>
      <c r="Z9" s="236">
        <f>IF(AND(G9&lt;&gt;"",R9&lt;&gt;"",V9&lt;&gt;"",W9&lt;&gt;""),"COMPLETADO","OBSERVADO")</f>
        <v/>
      </c>
      <c r="AA9" s="284" t="n"/>
    </row>
    <row r="10" ht="15.75" customHeight="1" s="195">
      <c r="A10" s="334" t="n"/>
      <c r="B10" s="334" t="n"/>
      <c r="C10" s="334" t="n"/>
      <c r="D10" s="334" t="n"/>
      <c r="E10" s="334" t="n"/>
      <c r="F10" s="334" t="n"/>
      <c r="G10" s="334" t="n"/>
      <c r="H10" s="334" t="n"/>
      <c r="I10" s="332">
        <f>IFERROR(VLOOKUP(TEXT(H10,"0"),IPRESS!$A$3:$B$212,2,0),"")</f>
        <v/>
      </c>
      <c r="J10" s="334" t="n"/>
      <c r="K10" s="332">
        <f>IFERROR(VLOOKUP(TEXT(O10,"0"),CONDUCTORES!$A$3:$G$54,7,0),"")</f>
        <v/>
      </c>
      <c r="L10" s="334" t="n"/>
      <c r="M10" s="334" t="n"/>
      <c r="N10" s="333">
        <f>IFERROR(IF(L10*M10=0,"",L10*M10),"")</f>
        <v/>
      </c>
      <c r="O10" s="334" t="n"/>
      <c r="P10" s="332">
        <f>IFERROR(VLOOKUP(TEXT(O10,"0"),CONDUCTORES!$A$3:$G$54,2,0),"")</f>
        <v/>
      </c>
      <c r="Q10" s="332">
        <f>IFERROR(VLOOKUP(TEXT(O10,"0"),CONDUCTORES!$A$3:$H$54,6,0),"")</f>
        <v/>
      </c>
      <c r="R10" s="334" t="n"/>
      <c r="S10" s="334" t="n"/>
      <c r="T10" s="334" t="n"/>
      <c r="U10" s="334" t="n"/>
      <c r="V10" s="334" t="n"/>
      <c r="W10" s="334" t="n"/>
      <c r="X10" s="334" t="n"/>
      <c r="Y10" s="334" t="n"/>
      <c r="Z10" s="242">
        <f>IF(AND(G10&lt;&gt;"",R10&lt;&gt;"",V10&lt;&gt;"",W10&lt;&gt;""),"COMPLETADO","OBSERVADO")</f>
        <v/>
      </c>
      <c r="AA10" s="284" t="n"/>
    </row>
    <row r="11" ht="15.75" customHeight="1" s="195">
      <c r="A11" s="280" t="n"/>
      <c r="B11" s="280" t="n"/>
      <c r="C11" s="280" t="n"/>
      <c r="D11" s="280" t="n"/>
      <c r="E11" s="280" t="n"/>
      <c r="F11" s="280" t="n"/>
      <c r="G11" s="280" t="n"/>
      <c r="H11" s="280" t="n"/>
      <c r="I11" s="332">
        <f>IFERROR(VLOOKUP(TEXT(H11,"0"),IPRESS!$A$3:$B$212,2,0),"")</f>
        <v/>
      </c>
      <c r="J11" s="280" t="n"/>
      <c r="K11" s="332">
        <f>IFERROR(VLOOKUP(TEXT(O11,"0"),CONDUCTORES!$A$3:$G$54,7,0),"")</f>
        <v/>
      </c>
      <c r="L11" s="280" t="n"/>
      <c r="M11" s="280" t="n"/>
      <c r="N11" s="333">
        <f>IFERROR(IF(L11*M11=0,"",L11*M11),"")</f>
        <v/>
      </c>
      <c r="O11" s="280" t="n"/>
      <c r="P11" s="332">
        <f>IFERROR(VLOOKUP(TEXT(O11,"0"),CONDUCTORES!$A$3:$G$54,2,0),"")</f>
        <v/>
      </c>
      <c r="Q11" s="332">
        <f>IFERROR(VLOOKUP(TEXT(O11,"0"),CONDUCTORES!$A$3:$H$54,6,0),"")</f>
        <v/>
      </c>
      <c r="R11" s="280" t="n"/>
      <c r="S11" s="280" t="n"/>
      <c r="T11" s="280" t="n"/>
      <c r="U11" s="280" t="n"/>
      <c r="V11" s="280" t="n"/>
      <c r="W11" s="280" t="n"/>
      <c r="X11" s="280" t="n"/>
      <c r="Y11" s="280" t="n"/>
      <c r="Z11" s="236">
        <f>IF(AND(G11&lt;&gt;"",R11&lt;&gt;"",V11&lt;&gt;"",W11&lt;&gt;""),"COMPLETADO","OBSERVADO")</f>
        <v/>
      </c>
      <c r="AA11" s="284" t="n"/>
    </row>
    <row r="12" ht="15.75" customHeight="1" s="195">
      <c r="A12" s="334" t="n"/>
      <c r="B12" s="334" t="n"/>
      <c r="C12" s="334" t="n"/>
      <c r="D12" s="334" t="n"/>
      <c r="E12" s="334" t="n"/>
      <c r="F12" s="334" t="n"/>
      <c r="G12" s="334" t="n"/>
      <c r="H12" s="334" t="n"/>
      <c r="I12" s="332">
        <f>IFERROR(VLOOKUP(TEXT(H12,"0"),IPRESS!$A$3:$B$212,2,0),"")</f>
        <v/>
      </c>
      <c r="J12" s="334" t="n"/>
      <c r="K12" s="332">
        <f>IFERROR(VLOOKUP(TEXT(O12,"0"),CONDUCTORES!$A$3:$G$54,7,0),"")</f>
        <v/>
      </c>
      <c r="L12" s="334" t="n"/>
      <c r="M12" s="334" t="n"/>
      <c r="N12" s="333">
        <f>IFERROR(IF(L12*M12=0,"",L12*M12),"")</f>
        <v/>
      </c>
      <c r="O12" s="334" t="n"/>
      <c r="P12" s="332">
        <f>IFERROR(VLOOKUP(TEXT(O12,"0"),CONDUCTORES!$A$3:$G$54,2,0),"")</f>
        <v/>
      </c>
      <c r="Q12" s="332">
        <f>IFERROR(VLOOKUP(TEXT(O12,"0"),CONDUCTORES!$A$3:$H$54,6,0),"")</f>
        <v/>
      </c>
      <c r="R12" s="334" t="n"/>
      <c r="S12" s="334" t="n"/>
      <c r="T12" s="334" t="n"/>
      <c r="U12" s="334" t="n"/>
      <c r="V12" s="334" t="n"/>
      <c r="W12" s="334" t="n"/>
      <c r="X12" s="334" t="n"/>
      <c r="Y12" s="334" t="n"/>
      <c r="Z12" s="242">
        <f>IF(AND(G12&lt;&gt;"",R12&lt;&gt;"",V12&lt;&gt;"",W12&lt;&gt;""),"COMPLETADO","OBSERVADO")</f>
        <v/>
      </c>
      <c r="AA12" s="284" t="n"/>
    </row>
    <row r="13" ht="15.75" customHeight="1" s="195">
      <c r="A13" s="280" t="n"/>
      <c r="B13" s="280" t="n"/>
      <c r="C13" s="280" t="n"/>
      <c r="D13" s="280" t="n"/>
      <c r="E13" s="280" t="n"/>
      <c r="F13" s="280" t="n"/>
      <c r="G13" s="280" t="n"/>
      <c r="H13" s="280" t="n"/>
      <c r="I13" s="332">
        <f>IFERROR(VLOOKUP(TEXT(H13,"0"),IPRESS!$A$3:$B$212,2,0),"")</f>
        <v/>
      </c>
      <c r="J13" s="280" t="n"/>
      <c r="K13" s="332">
        <f>IFERROR(VLOOKUP(TEXT(O13,"0"),CONDUCTORES!$A$3:$G$54,7,0),"")</f>
        <v/>
      </c>
      <c r="L13" s="280" t="n"/>
      <c r="M13" s="280" t="n"/>
      <c r="N13" s="333">
        <f>IFERROR(IF(L13*M13=0,"",L13*M13),"")</f>
        <v/>
      </c>
      <c r="O13" s="280" t="n"/>
      <c r="P13" s="332">
        <f>IFERROR(VLOOKUP(TEXT(O13,"0"),CONDUCTORES!$A$3:$G$54,2,0),"")</f>
        <v/>
      </c>
      <c r="Q13" s="332">
        <f>IFERROR(VLOOKUP(TEXT(O13,"0"),CONDUCTORES!$A$3:$H$54,6,0),"")</f>
        <v/>
      </c>
      <c r="R13" s="280" t="n"/>
      <c r="S13" s="280" t="n"/>
      <c r="T13" s="280" t="n"/>
      <c r="U13" s="280" t="n"/>
      <c r="V13" s="280" t="n"/>
      <c r="W13" s="280" t="n"/>
      <c r="X13" s="280" t="n"/>
      <c r="Y13" s="280" t="n"/>
      <c r="Z13" s="236">
        <f>IF(AND(G13&lt;&gt;"",R13&lt;&gt;"",V13&lt;&gt;"",W13&lt;&gt;""),"COMPLETADO","OBSERVADO")</f>
        <v/>
      </c>
      <c r="AA13" s="284" t="n"/>
    </row>
    <row r="14" ht="15.75" customHeight="1" s="195">
      <c r="A14" s="334" t="n"/>
      <c r="B14" s="334" t="n"/>
      <c r="C14" s="334" t="n"/>
      <c r="D14" s="334" t="n"/>
      <c r="E14" s="334" t="n"/>
      <c r="F14" s="334" t="n"/>
      <c r="G14" s="334" t="n"/>
      <c r="H14" s="334" t="n"/>
      <c r="I14" s="332">
        <f>IFERROR(VLOOKUP(TEXT(H14,"0"),IPRESS!$A$3:$B$212,2,0),"")</f>
        <v/>
      </c>
      <c r="J14" s="334" t="n"/>
      <c r="K14" s="332">
        <f>IFERROR(VLOOKUP(TEXT(O14,"0"),CONDUCTORES!$A$3:$G$54,7,0),"")</f>
        <v/>
      </c>
      <c r="L14" s="334" t="n"/>
      <c r="M14" s="334" t="n"/>
      <c r="N14" s="333">
        <f>IFERROR(IF(L14*M14=0,"",L14*M14),"")</f>
        <v/>
      </c>
      <c r="O14" s="334" t="n"/>
      <c r="P14" s="332">
        <f>IFERROR(VLOOKUP(TEXT(O14,"0"),CONDUCTORES!$A$3:$G$54,2,0),"")</f>
        <v/>
      </c>
      <c r="Q14" s="332">
        <f>IFERROR(VLOOKUP(TEXT(O14,"0"),CONDUCTORES!$A$3:$H$54,6,0),"")</f>
        <v/>
      </c>
      <c r="R14" s="334" t="n"/>
      <c r="S14" s="334" t="n"/>
      <c r="T14" s="334" t="n"/>
      <c r="U14" s="334" t="n"/>
      <c r="V14" s="334" t="n"/>
      <c r="W14" s="334" t="n"/>
      <c r="X14" s="334" t="n"/>
      <c r="Y14" s="334" t="n"/>
      <c r="Z14" s="242">
        <f>IF(AND(G14&lt;&gt;"",R14&lt;&gt;"",V14&lt;&gt;"",W14&lt;&gt;""),"COMPLETADO","OBSERVADO")</f>
        <v/>
      </c>
      <c r="AA14" s="284" t="n"/>
    </row>
    <row r="15" ht="15.75" customHeight="1" s="195">
      <c r="A15" s="280" t="n"/>
      <c r="B15" s="280" t="n"/>
      <c r="C15" s="280" t="n"/>
      <c r="D15" s="280" t="n"/>
      <c r="E15" s="280" t="n"/>
      <c r="F15" s="280" t="n"/>
      <c r="G15" s="280" t="n"/>
      <c r="H15" s="280" t="n"/>
      <c r="I15" s="332">
        <f>IFERROR(VLOOKUP(TEXT(H15,"0"),IPRESS!$A$3:$B$212,2,0),"")</f>
        <v/>
      </c>
      <c r="J15" s="280" t="n"/>
      <c r="K15" s="332">
        <f>IFERROR(VLOOKUP(TEXT(O15,"0"),CONDUCTORES!$A$3:$G$54,7,0),"")</f>
        <v/>
      </c>
      <c r="L15" s="280" t="n"/>
      <c r="M15" s="280" t="n"/>
      <c r="N15" s="333">
        <f>IFERROR(IF(L15*M15=0,"",L15*M15),"")</f>
        <v/>
      </c>
      <c r="O15" s="280" t="n"/>
      <c r="P15" s="332">
        <f>IFERROR(VLOOKUP(TEXT(O15,"0"),CONDUCTORES!$A$3:$G$54,2,0),"")</f>
        <v/>
      </c>
      <c r="Q15" s="332">
        <f>IFERROR(VLOOKUP(TEXT(O15,"0"),CONDUCTORES!$A$3:$H$54,6,0),"")</f>
        <v/>
      </c>
      <c r="R15" s="280" t="n"/>
      <c r="S15" s="280" t="n"/>
      <c r="T15" s="280" t="n"/>
      <c r="U15" s="280" t="n"/>
      <c r="V15" s="280" t="n"/>
      <c r="W15" s="280" t="n"/>
      <c r="X15" s="280" t="n"/>
      <c r="Y15" s="280" t="n"/>
      <c r="Z15" s="236">
        <f>IF(AND(G15&lt;&gt;"",R15&lt;&gt;"",V15&lt;&gt;"",W15&lt;&gt;""),"COMPLETADO","OBSERVADO")</f>
        <v/>
      </c>
      <c r="AA15" s="284" t="n"/>
    </row>
    <row r="16" ht="15.75" customHeight="1" s="195">
      <c r="A16" s="334" t="n"/>
      <c r="B16" s="334" t="n"/>
      <c r="C16" s="334" t="n"/>
      <c r="D16" s="334" t="n"/>
      <c r="E16" s="334" t="n"/>
      <c r="F16" s="334" t="n"/>
      <c r="G16" s="334" t="n"/>
      <c r="H16" s="334" t="n"/>
      <c r="I16" s="332">
        <f>IFERROR(VLOOKUP(TEXT(H16,"0"),IPRESS!$A$3:$B$212,2,0),"")</f>
        <v/>
      </c>
      <c r="J16" s="334" t="n"/>
      <c r="K16" s="332">
        <f>IFERROR(VLOOKUP(TEXT(O16,"0"),CONDUCTORES!$A$3:$G$54,7,0),"")</f>
        <v/>
      </c>
      <c r="L16" s="334" t="n"/>
      <c r="M16" s="334" t="n"/>
      <c r="N16" s="333">
        <f>IFERROR(IF(L16*M16=0,"",L16*M16),"")</f>
        <v/>
      </c>
      <c r="O16" s="334" t="n"/>
      <c r="P16" s="332">
        <f>IFERROR(VLOOKUP(TEXT(O16,"0"),CONDUCTORES!$A$3:$G$54,2,0),"")</f>
        <v/>
      </c>
      <c r="Q16" s="332">
        <f>IFERROR(VLOOKUP(TEXT(O16,"0"),CONDUCTORES!$A$3:$H$54,6,0),"")</f>
        <v/>
      </c>
      <c r="R16" s="334" t="n"/>
      <c r="S16" s="334" t="n"/>
      <c r="T16" s="334" t="n"/>
      <c r="U16" s="334" t="n"/>
      <c r="V16" s="334" t="n"/>
      <c r="W16" s="334" t="n"/>
      <c r="X16" s="334" t="n"/>
      <c r="Y16" s="334" t="n"/>
      <c r="Z16" s="242">
        <f>IF(AND(G16&lt;&gt;"",R16&lt;&gt;"",V16&lt;&gt;"",W16&lt;&gt;""),"COMPLETADO","OBSERVADO")</f>
        <v/>
      </c>
      <c r="AA16" s="284" t="n"/>
    </row>
    <row r="17" ht="15.75" customHeight="1" s="195">
      <c r="A17" s="280" t="n"/>
      <c r="B17" s="280" t="n"/>
      <c r="C17" s="280" t="n"/>
      <c r="D17" s="280" t="n"/>
      <c r="E17" s="280" t="n"/>
      <c r="F17" s="280" t="n"/>
      <c r="G17" s="280" t="n"/>
      <c r="H17" s="280" t="n"/>
      <c r="I17" s="332">
        <f>IFERROR(VLOOKUP(TEXT(H17,"0"),IPRESS!$A$3:$B$212,2,0),"")</f>
        <v/>
      </c>
      <c r="J17" s="280" t="n"/>
      <c r="K17" s="332">
        <f>IFERROR(VLOOKUP(TEXT(O17,"0"),CONDUCTORES!$A$3:$G$54,7,0),"")</f>
        <v/>
      </c>
      <c r="L17" s="280" t="n"/>
      <c r="M17" s="280" t="n"/>
      <c r="N17" s="333">
        <f>IFERROR(IF(L17*M17=0,"",L17*M17),"")</f>
        <v/>
      </c>
      <c r="O17" s="280" t="n"/>
      <c r="P17" s="332">
        <f>IFERROR(VLOOKUP(TEXT(O17,"0"),CONDUCTORES!$A$3:$G$54,2,0),"")</f>
        <v/>
      </c>
      <c r="Q17" s="332">
        <f>IFERROR(VLOOKUP(TEXT(O17,"0"),CONDUCTORES!$A$3:$H$54,6,0),"")</f>
        <v/>
      </c>
      <c r="R17" s="280" t="n"/>
      <c r="S17" s="280" t="n"/>
      <c r="T17" s="280" t="n"/>
      <c r="U17" s="280" t="n"/>
      <c r="V17" s="280" t="n"/>
      <c r="W17" s="280" t="n"/>
      <c r="X17" s="280" t="n"/>
      <c r="Y17" s="280" t="n"/>
      <c r="Z17" s="236">
        <f>IF(AND(G17&lt;&gt;"",R17&lt;&gt;"",V17&lt;&gt;"",W17&lt;&gt;""),"COMPLETADO","OBSERVADO")</f>
        <v/>
      </c>
      <c r="AA17" s="284" t="n"/>
    </row>
    <row r="18" ht="15.75" customHeight="1" s="195">
      <c r="A18" s="334" t="n"/>
      <c r="B18" s="334" t="n"/>
      <c r="C18" s="334" t="n"/>
      <c r="D18" s="334" t="n"/>
      <c r="E18" s="334" t="n"/>
      <c r="F18" s="334" t="n"/>
      <c r="G18" s="334" t="n"/>
      <c r="H18" s="334" t="n"/>
      <c r="I18" s="332">
        <f>IFERROR(VLOOKUP(TEXT(H18,"0"),IPRESS!$A$3:$B$212,2,0),"")</f>
        <v/>
      </c>
      <c r="J18" s="334" t="n"/>
      <c r="K18" s="332">
        <f>IFERROR(VLOOKUP(TEXT(O18,"0"),CONDUCTORES!$A$3:$G$54,7,0),"")</f>
        <v/>
      </c>
      <c r="L18" s="334" t="n"/>
      <c r="M18" s="334" t="n"/>
      <c r="N18" s="333">
        <f>IFERROR(IF(L18*M18=0,"",L18*M18),"")</f>
        <v/>
      </c>
      <c r="O18" s="334" t="n"/>
      <c r="P18" s="332">
        <f>IFERROR(VLOOKUP(TEXT(O18,"0"),CONDUCTORES!$A$3:$G$54,2,0),"")</f>
        <v/>
      </c>
      <c r="Q18" s="332">
        <f>IFERROR(VLOOKUP(TEXT(O18,"0"),CONDUCTORES!$A$3:$H$54,6,0),"")</f>
        <v/>
      </c>
      <c r="R18" s="334" t="n"/>
      <c r="S18" s="334" t="n"/>
      <c r="T18" s="334" t="n"/>
      <c r="U18" s="334" t="n"/>
      <c r="V18" s="334" t="n"/>
      <c r="W18" s="334" t="n"/>
      <c r="X18" s="334" t="n"/>
      <c r="Y18" s="334" t="n"/>
      <c r="Z18" s="242">
        <f>IF(AND(G18&lt;&gt;"",R18&lt;&gt;"",V18&lt;&gt;"",W18&lt;&gt;""),"COMPLETADO","OBSERVADO")</f>
        <v/>
      </c>
      <c r="AA18" s="284" t="n"/>
    </row>
    <row r="19" ht="15.75" customHeight="1" s="195">
      <c r="A19" s="280" t="n"/>
      <c r="B19" s="280" t="n"/>
      <c r="C19" s="280" t="n"/>
      <c r="D19" s="280" t="n"/>
      <c r="E19" s="280" t="n"/>
      <c r="F19" s="280" t="n"/>
      <c r="G19" s="280" t="n"/>
      <c r="H19" s="280" t="n"/>
      <c r="I19" s="332">
        <f>IFERROR(VLOOKUP(TEXT(H19,"0"),IPRESS!$A$3:$B$212,2,0),"")</f>
        <v/>
      </c>
      <c r="J19" s="280" t="n"/>
      <c r="K19" s="332">
        <f>IFERROR(VLOOKUP(TEXT(O19,"0"),CONDUCTORES!$A$3:$G$54,7,0),"")</f>
        <v/>
      </c>
      <c r="L19" s="280" t="n"/>
      <c r="M19" s="280" t="n"/>
      <c r="N19" s="333">
        <f>IFERROR(IF(L19*M19=0,"",L19*M19),"")</f>
        <v/>
      </c>
      <c r="O19" s="280" t="n"/>
      <c r="P19" s="332">
        <f>IFERROR(VLOOKUP(TEXT(O19,"0"),CONDUCTORES!$A$3:$G$54,2,0),"")</f>
        <v/>
      </c>
      <c r="Q19" s="332">
        <f>IFERROR(VLOOKUP(TEXT(O19,"0"),CONDUCTORES!$A$3:$H$54,6,0),"")</f>
        <v/>
      </c>
      <c r="R19" s="280" t="n"/>
      <c r="S19" s="280" t="n"/>
      <c r="T19" s="280" t="n"/>
      <c r="U19" s="280" t="n"/>
      <c r="V19" s="280" t="n"/>
      <c r="W19" s="280" t="n"/>
      <c r="X19" s="280" t="n"/>
      <c r="Y19" s="280" t="n"/>
      <c r="Z19" s="236">
        <f>IF(AND(G19&lt;&gt;"",R19&lt;&gt;"",V19&lt;&gt;"",W19&lt;&gt;""),"COMPLETADO","OBSERVADO")</f>
        <v/>
      </c>
      <c r="AA19" s="284" t="n"/>
    </row>
    <row r="20" ht="15.75" customHeight="1" s="195">
      <c r="A20" s="334" t="n"/>
      <c r="B20" s="334" t="n"/>
      <c r="C20" s="334" t="n"/>
      <c r="D20" s="334" t="n"/>
      <c r="E20" s="334" t="n"/>
      <c r="F20" s="334" t="n"/>
      <c r="G20" s="334" t="n"/>
      <c r="H20" s="334" t="n"/>
      <c r="I20" s="332">
        <f>IFERROR(VLOOKUP(TEXT(H20,"0"),IPRESS!$A$3:$B$212,2,0),"")</f>
        <v/>
      </c>
      <c r="J20" s="334" t="n"/>
      <c r="K20" s="332">
        <f>IFERROR(VLOOKUP(TEXT(O20,"0"),CONDUCTORES!$A$3:$G$54,7,0),"")</f>
        <v/>
      </c>
      <c r="L20" s="334" t="n"/>
      <c r="M20" s="334" t="n"/>
      <c r="N20" s="333">
        <f>IFERROR(IF(L20*M20=0,"",L20*M20),"")</f>
        <v/>
      </c>
      <c r="O20" s="334" t="n"/>
      <c r="P20" s="332">
        <f>IFERROR(VLOOKUP(TEXT(O20,"0"),CONDUCTORES!$A$3:$G$54,2,0),"")</f>
        <v/>
      </c>
      <c r="Q20" s="332">
        <f>IFERROR(VLOOKUP(TEXT(O20,"0"),CONDUCTORES!$A$3:$H$54,6,0),"")</f>
        <v/>
      </c>
      <c r="R20" s="334" t="n"/>
      <c r="S20" s="334" t="n"/>
      <c r="T20" s="334" t="n"/>
      <c r="U20" s="334" t="n"/>
      <c r="V20" s="334" t="n"/>
      <c r="W20" s="334" t="n"/>
      <c r="X20" s="334" t="n"/>
      <c r="Y20" s="334" t="n"/>
      <c r="Z20" s="242">
        <f>IF(AND(G20&lt;&gt;"",R20&lt;&gt;"",V20&lt;&gt;"",W20&lt;&gt;""),"COMPLETADO","OBSERVADO")</f>
        <v/>
      </c>
      <c r="AA20" s="284" t="n"/>
    </row>
    <row r="21" ht="15.75" customHeight="1" s="195">
      <c r="A21" s="280" t="n"/>
      <c r="B21" s="280" t="n"/>
      <c r="C21" s="280" t="n"/>
      <c r="D21" s="280" t="n"/>
      <c r="E21" s="280" t="n"/>
      <c r="F21" s="280" t="n"/>
      <c r="G21" s="280" t="n"/>
      <c r="H21" s="280" t="n"/>
      <c r="I21" s="332">
        <f>IFERROR(VLOOKUP(TEXT(H21,"0"),IPRESS!$A$3:$B$212,2,0),"")</f>
        <v/>
      </c>
      <c r="J21" s="280" t="n"/>
      <c r="K21" s="332">
        <f>IFERROR(VLOOKUP(TEXT(O21,"0"),CONDUCTORES!$A$3:$G$54,7,0),"")</f>
        <v/>
      </c>
      <c r="L21" s="280" t="n"/>
      <c r="M21" s="280" t="n"/>
      <c r="N21" s="333">
        <f>IFERROR(IF(L21*M21=0,"",L21*M21),"")</f>
        <v/>
      </c>
      <c r="O21" s="280" t="n"/>
      <c r="P21" s="332">
        <f>IFERROR(VLOOKUP(TEXT(O21,"0"),CONDUCTORES!$A$3:$G$54,2,0),"")</f>
        <v/>
      </c>
      <c r="Q21" s="332">
        <f>IFERROR(VLOOKUP(TEXT(O21,"0"),CONDUCTORES!$A$3:$H$54,6,0),"")</f>
        <v/>
      </c>
      <c r="R21" s="280" t="n"/>
      <c r="S21" s="280" t="n"/>
      <c r="T21" s="280" t="n"/>
      <c r="U21" s="280" t="n"/>
      <c r="V21" s="280" t="n"/>
      <c r="W21" s="280" t="n"/>
      <c r="X21" s="280" t="n"/>
      <c r="Y21" s="280" t="n"/>
      <c r="Z21" s="236">
        <f>IF(AND(G21&lt;&gt;"",R21&lt;&gt;"",V21&lt;&gt;"",W21&lt;&gt;""),"COMPLETADO","OBSERVADO")</f>
        <v/>
      </c>
      <c r="AA21" s="284" t="n"/>
    </row>
    <row r="22" ht="15.75" customHeight="1" s="195">
      <c r="A22" s="334" t="n"/>
      <c r="B22" s="334" t="n"/>
      <c r="C22" s="334" t="n"/>
      <c r="D22" s="334" t="n"/>
      <c r="E22" s="334" t="n"/>
      <c r="F22" s="334" t="n"/>
      <c r="G22" s="334" t="n"/>
      <c r="H22" s="334" t="n"/>
      <c r="I22" s="332">
        <f>IFERROR(VLOOKUP(TEXT(H22,"0"),IPRESS!$A$3:$B$212,2,0),"")</f>
        <v/>
      </c>
      <c r="J22" s="334" t="n"/>
      <c r="K22" s="332">
        <f>IFERROR(VLOOKUP(TEXT(O22,"0"),CONDUCTORES!$A$3:$G$54,7,0),"")</f>
        <v/>
      </c>
      <c r="L22" s="334" t="n"/>
      <c r="M22" s="334" t="n"/>
      <c r="N22" s="333">
        <f>IFERROR(IF(L22*M22=0,"",L22*M22),"")</f>
        <v/>
      </c>
      <c r="O22" s="334" t="n"/>
      <c r="P22" s="332">
        <f>IFERROR(VLOOKUP(TEXT(O22,"0"),CONDUCTORES!$A$3:$G$54,2,0),"")</f>
        <v/>
      </c>
      <c r="Q22" s="332">
        <f>IFERROR(VLOOKUP(TEXT(O22,"0"),CONDUCTORES!$A$3:$H$54,6,0),"")</f>
        <v/>
      </c>
      <c r="R22" s="334" t="n"/>
      <c r="S22" s="334" t="n"/>
      <c r="T22" s="334" t="n"/>
      <c r="U22" s="334" t="n"/>
      <c r="V22" s="334" t="n"/>
      <c r="W22" s="334" t="n"/>
      <c r="X22" s="334" t="n"/>
      <c r="Y22" s="334" t="n"/>
      <c r="Z22" s="242">
        <f>IF(AND(G22&lt;&gt;"",R22&lt;&gt;"",V22&lt;&gt;"",W22&lt;&gt;""),"COMPLETADO","OBSERVADO")</f>
        <v/>
      </c>
      <c r="AA22" s="284" t="n"/>
    </row>
    <row r="23" ht="15.75" customHeight="1" s="195">
      <c r="A23" s="280" t="n"/>
      <c r="B23" s="280" t="n"/>
      <c r="C23" s="280" t="n"/>
      <c r="D23" s="280" t="n"/>
      <c r="E23" s="280" t="n"/>
      <c r="F23" s="280" t="n"/>
      <c r="G23" s="280" t="n"/>
      <c r="H23" s="280" t="n"/>
      <c r="I23" s="332">
        <f>IFERROR(VLOOKUP(TEXT(H23,"0"),IPRESS!$A$3:$B$212,2,0),"")</f>
        <v/>
      </c>
      <c r="J23" s="280" t="n"/>
      <c r="K23" s="332">
        <f>IFERROR(VLOOKUP(TEXT(O23,"0"),CONDUCTORES!$A$3:$G$54,7,0),"")</f>
        <v/>
      </c>
      <c r="L23" s="280" t="n"/>
      <c r="M23" s="280" t="n"/>
      <c r="N23" s="333">
        <f>IFERROR(IF(L23*M23=0,"",L23*M23),"")</f>
        <v/>
      </c>
      <c r="O23" s="280" t="n"/>
      <c r="P23" s="332">
        <f>IFERROR(VLOOKUP(TEXT(O23,"0"),CONDUCTORES!$A$3:$G$54,2,0),"")</f>
        <v/>
      </c>
      <c r="Q23" s="332">
        <f>IFERROR(VLOOKUP(TEXT(O23,"0"),CONDUCTORES!$A$3:$H$54,6,0),"")</f>
        <v/>
      </c>
      <c r="R23" s="280" t="n"/>
      <c r="S23" s="280" t="n"/>
      <c r="T23" s="280" t="n"/>
      <c r="U23" s="280" t="n"/>
      <c r="V23" s="280" t="n"/>
      <c r="W23" s="280" t="n"/>
      <c r="X23" s="280" t="n"/>
      <c r="Y23" s="280" t="n"/>
      <c r="Z23" s="236">
        <f>IF(AND(G23&lt;&gt;"",R23&lt;&gt;"",V23&lt;&gt;"",W23&lt;&gt;""),"COMPLETADO","OBSERVADO")</f>
        <v/>
      </c>
      <c r="AA23" s="284" t="n"/>
    </row>
    <row r="24" ht="15.75" customHeight="1" s="195">
      <c r="A24" s="334" t="n"/>
      <c r="B24" s="334" t="n"/>
      <c r="C24" s="334" t="n"/>
      <c r="D24" s="334" t="n"/>
      <c r="E24" s="334" t="n"/>
      <c r="F24" s="334" t="n"/>
      <c r="G24" s="334" t="n"/>
      <c r="H24" s="334" t="n"/>
      <c r="I24" s="332">
        <f>IFERROR(VLOOKUP(TEXT(H24,"0"),IPRESS!$A$3:$B$212,2,0),"")</f>
        <v/>
      </c>
      <c r="J24" s="334" t="n"/>
      <c r="K24" s="332">
        <f>IFERROR(VLOOKUP(TEXT(O24,"0"),CONDUCTORES!$A$3:$G$54,7,0),"")</f>
        <v/>
      </c>
      <c r="L24" s="334" t="n"/>
      <c r="M24" s="334" t="n"/>
      <c r="N24" s="333">
        <f>IFERROR(IF(L24*M24=0,"",L24*M24),"")</f>
        <v/>
      </c>
      <c r="O24" s="334" t="n"/>
      <c r="P24" s="332">
        <f>IFERROR(VLOOKUP(TEXT(O24,"0"),CONDUCTORES!$A$3:$G$54,2,0),"")</f>
        <v/>
      </c>
      <c r="Q24" s="332">
        <f>IFERROR(VLOOKUP(TEXT(O24,"0"),CONDUCTORES!$A$3:$H$54,6,0),"")</f>
        <v/>
      </c>
      <c r="R24" s="334" t="n"/>
      <c r="S24" s="334" t="n"/>
      <c r="T24" s="334" t="n"/>
      <c r="U24" s="334" t="n"/>
      <c r="V24" s="334" t="n"/>
      <c r="W24" s="334" t="n"/>
      <c r="X24" s="334" t="n"/>
      <c r="Y24" s="334" t="n"/>
      <c r="Z24" s="242">
        <f>IF(AND(G24&lt;&gt;"",R24&lt;&gt;"",V24&lt;&gt;"",W24&lt;&gt;""),"COMPLETADO","OBSERVADO")</f>
        <v/>
      </c>
      <c r="AA24" s="284" t="n"/>
    </row>
    <row r="25" ht="15.75" customHeight="1" s="195">
      <c r="A25" s="280" t="n"/>
      <c r="B25" s="280" t="n"/>
      <c r="C25" s="280" t="n"/>
      <c r="D25" s="280" t="n"/>
      <c r="E25" s="280" t="n"/>
      <c r="F25" s="280" t="n"/>
      <c r="G25" s="280" t="n"/>
      <c r="H25" s="280" t="n"/>
      <c r="I25" s="332">
        <f>IFERROR(VLOOKUP(TEXT(H25,"0"),IPRESS!$A$3:$B$212,2,0),"")</f>
        <v/>
      </c>
      <c r="J25" s="280" t="n"/>
      <c r="K25" s="332">
        <f>IFERROR(VLOOKUP(TEXT(O25,"0"),CONDUCTORES!$A$3:$G$54,7,0),"")</f>
        <v/>
      </c>
      <c r="L25" s="280" t="n"/>
      <c r="M25" s="280" t="n"/>
      <c r="N25" s="333">
        <f>IFERROR(IF(L25*M25=0,"",L25*M25),"")</f>
        <v/>
      </c>
      <c r="O25" s="280" t="n"/>
      <c r="P25" s="332">
        <f>IFERROR(VLOOKUP(TEXT(O25,"0"),CONDUCTORES!$A$3:$G$54,2,0),"")</f>
        <v/>
      </c>
      <c r="Q25" s="332">
        <f>IFERROR(VLOOKUP(TEXT(O25,"0"),CONDUCTORES!$A$3:$H$54,6,0),"")</f>
        <v/>
      </c>
      <c r="R25" s="280" t="n"/>
      <c r="S25" s="280" t="n"/>
      <c r="T25" s="280" t="n"/>
      <c r="U25" s="280" t="n"/>
      <c r="V25" s="280" t="n"/>
      <c r="W25" s="280" t="n"/>
      <c r="X25" s="280" t="n"/>
      <c r="Y25" s="280" t="n"/>
      <c r="Z25" s="236">
        <f>IF(AND(G25&lt;&gt;"",R25&lt;&gt;"",V25&lt;&gt;"",W25&lt;&gt;""),"COMPLETADO","OBSERVADO")</f>
        <v/>
      </c>
      <c r="AA25" s="284" t="n"/>
    </row>
    <row r="26" ht="15.75" customHeight="1" s="195">
      <c r="A26" s="334" t="n"/>
      <c r="B26" s="334" t="n"/>
      <c r="C26" s="334" t="n"/>
      <c r="D26" s="334" t="n"/>
      <c r="E26" s="334" t="n"/>
      <c r="F26" s="334" t="n"/>
      <c r="G26" s="334" t="n"/>
      <c r="H26" s="334" t="n"/>
      <c r="I26" s="332">
        <f>IFERROR(VLOOKUP(TEXT(H26,"0"),IPRESS!$A$3:$B$212,2,0),"")</f>
        <v/>
      </c>
      <c r="J26" s="334" t="n"/>
      <c r="K26" s="332">
        <f>IFERROR(VLOOKUP(TEXT(O26,"0"),CONDUCTORES!$A$3:$G$54,7,0),"")</f>
        <v/>
      </c>
      <c r="L26" s="334" t="n"/>
      <c r="M26" s="334" t="n"/>
      <c r="N26" s="333">
        <f>IFERROR(IF(L26*M26=0,"",L26*M26),"")</f>
        <v/>
      </c>
      <c r="O26" s="334" t="n"/>
      <c r="P26" s="332">
        <f>IFERROR(VLOOKUP(TEXT(O26,"0"),CONDUCTORES!$A$3:$G$54,2,0),"")</f>
        <v/>
      </c>
      <c r="Q26" s="332">
        <f>IFERROR(VLOOKUP(TEXT(O26,"0"),CONDUCTORES!$A$3:$H$54,6,0),"")</f>
        <v/>
      </c>
      <c r="R26" s="334" t="n"/>
      <c r="S26" s="334" t="n"/>
      <c r="T26" s="334" t="n"/>
      <c r="U26" s="334" t="n"/>
      <c r="V26" s="334" t="n"/>
      <c r="W26" s="334" t="n"/>
      <c r="X26" s="334" t="n"/>
      <c r="Y26" s="334" t="n"/>
      <c r="Z26" s="242">
        <f>IF(AND(G26&lt;&gt;"",R26&lt;&gt;"",V26&lt;&gt;"",W26&lt;&gt;""),"COMPLETADO","OBSERVADO")</f>
        <v/>
      </c>
      <c r="AA26" s="284" t="n"/>
    </row>
    <row r="27" ht="15.75" customHeight="1" s="195">
      <c r="A27" s="280" t="n"/>
      <c r="B27" s="280" t="n"/>
      <c r="C27" s="280" t="n"/>
      <c r="D27" s="280" t="n"/>
      <c r="E27" s="280" t="n"/>
      <c r="F27" s="280" t="n"/>
      <c r="G27" s="280" t="n"/>
      <c r="H27" s="280" t="n"/>
      <c r="I27" s="332">
        <f>IFERROR(VLOOKUP(TEXT(H27,"0"),IPRESS!$A$3:$B$212,2,0),"")</f>
        <v/>
      </c>
      <c r="J27" s="280" t="n"/>
      <c r="K27" s="332">
        <f>IFERROR(VLOOKUP(TEXT(O27,"0"),CONDUCTORES!$A$3:$G$54,7,0),"")</f>
        <v/>
      </c>
      <c r="L27" s="280" t="n"/>
      <c r="M27" s="280" t="n"/>
      <c r="N27" s="333">
        <f>IFERROR(IF(L27*M27=0,"",L27*M27),"")</f>
        <v/>
      </c>
      <c r="O27" s="280" t="n"/>
      <c r="P27" s="332">
        <f>IFERROR(VLOOKUP(TEXT(O27,"0"),CONDUCTORES!$A$3:$G$54,2,0),"")</f>
        <v/>
      </c>
      <c r="Q27" s="332">
        <f>IFERROR(VLOOKUP(TEXT(O27,"0"),CONDUCTORES!$A$3:$H$54,6,0),"")</f>
        <v/>
      </c>
      <c r="R27" s="280" t="n"/>
      <c r="S27" s="280" t="n"/>
      <c r="T27" s="280" t="n"/>
      <c r="U27" s="280" t="n"/>
      <c r="V27" s="280" t="n"/>
      <c r="W27" s="280" t="n"/>
      <c r="X27" s="280" t="n"/>
      <c r="Y27" s="280" t="n"/>
      <c r="Z27" s="236">
        <f>IF(AND(G27&lt;&gt;"",R27&lt;&gt;"",V27&lt;&gt;"",W27&lt;&gt;""),"COMPLETADO","OBSERVADO")</f>
        <v/>
      </c>
      <c r="AA27" s="284" t="n"/>
    </row>
    <row r="28" ht="15.75" customHeight="1" s="195">
      <c r="A28" s="334" t="n"/>
      <c r="B28" s="334" t="n"/>
      <c r="C28" s="334" t="n"/>
      <c r="D28" s="334" t="n"/>
      <c r="E28" s="334" t="n"/>
      <c r="F28" s="334" t="n"/>
      <c r="G28" s="334" t="n"/>
      <c r="H28" s="334" t="n"/>
      <c r="I28" s="332">
        <f>IFERROR(VLOOKUP(TEXT(H28,"0"),IPRESS!$A$3:$B$212,2,0),"")</f>
        <v/>
      </c>
      <c r="J28" s="334" t="n"/>
      <c r="K28" s="332">
        <f>IFERROR(VLOOKUP(TEXT(O28,"0"),CONDUCTORES!$A$3:$G$54,7,0),"")</f>
        <v/>
      </c>
      <c r="L28" s="334" t="n"/>
      <c r="M28" s="334" t="n"/>
      <c r="N28" s="333">
        <f>IFERROR(IF(L28*M28=0,"",L28*M28),"")</f>
        <v/>
      </c>
      <c r="O28" s="334" t="n"/>
      <c r="P28" s="332">
        <f>IFERROR(VLOOKUP(TEXT(O28,"0"),CONDUCTORES!$A$3:$G$54,2,0),"")</f>
        <v/>
      </c>
      <c r="Q28" s="332">
        <f>IFERROR(VLOOKUP(TEXT(O28,"0"),CONDUCTORES!$A$3:$H$54,6,0),"")</f>
        <v/>
      </c>
      <c r="R28" s="334" t="n"/>
      <c r="S28" s="334" t="n"/>
      <c r="T28" s="334" t="n"/>
      <c r="U28" s="334" t="n"/>
      <c r="V28" s="334" t="n"/>
      <c r="W28" s="334" t="n"/>
      <c r="X28" s="334" t="n"/>
      <c r="Y28" s="334" t="n"/>
      <c r="Z28" s="242">
        <f>IF(AND(G28&lt;&gt;"",R28&lt;&gt;"",V28&lt;&gt;"",W28&lt;&gt;""),"COMPLETADO","OBSERVADO")</f>
        <v/>
      </c>
      <c r="AA28" s="284" t="n"/>
    </row>
    <row r="29" ht="15.75" customHeight="1" s="195">
      <c r="A29" s="280" t="n"/>
      <c r="B29" s="280" t="n"/>
      <c r="C29" s="280" t="n"/>
      <c r="D29" s="280" t="n"/>
      <c r="E29" s="280" t="n"/>
      <c r="F29" s="280" t="n"/>
      <c r="G29" s="280" t="n"/>
      <c r="H29" s="280" t="n"/>
      <c r="I29" s="332">
        <f>IFERROR(VLOOKUP(TEXT(H29,"0"),IPRESS!$A$3:$B$212,2,0),"")</f>
        <v/>
      </c>
      <c r="J29" s="280" t="n"/>
      <c r="K29" s="332">
        <f>IFERROR(VLOOKUP(TEXT(O29,"0"),CONDUCTORES!$A$3:$G$54,7,0),"")</f>
        <v/>
      </c>
      <c r="L29" s="280" t="n"/>
      <c r="M29" s="280" t="n"/>
      <c r="N29" s="333">
        <f>IFERROR(IF(L29*M29=0,"",L29*M29),"")</f>
        <v/>
      </c>
      <c r="O29" s="280" t="n"/>
      <c r="P29" s="332">
        <f>IFERROR(VLOOKUP(TEXT(O29,"0"),CONDUCTORES!$A$3:$G$54,2,0),"")</f>
        <v/>
      </c>
      <c r="Q29" s="332">
        <f>IFERROR(VLOOKUP(TEXT(O29,"0"),CONDUCTORES!$A$3:$H$54,6,0),"")</f>
        <v/>
      </c>
      <c r="R29" s="280" t="n"/>
      <c r="S29" s="280" t="n"/>
      <c r="T29" s="280" t="n"/>
      <c r="U29" s="280" t="n"/>
      <c r="V29" s="280" t="n"/>
      <c r="W29" s="280" t="n"/>
      <c r="X29" s="280" t="n"/>
      <c r="Y29" s="280" t="n"/>
      <c r="Z29" s="236">
        <f>IF(AND(G29&lt;&gt;"",R29&lt;&gt;"",V29&lt;&gt;"",W29&lt;&gt;""),"COMPLETADO","OBSERVADO")</f>
        <v/>
      </c>
      <c r="AA29" s="284" t="n"/>
    </row>
    <row r="30" ht="15.75" customHeight="1" s="195">
      <c r="A30" s="334" t="n"/>
      <c r="B30" s="334" t="n"/>
      <c r="C30" s="334" t="n"/>
      <c r="D30" s="334" t="n"/>
      <c r="E30" s="334" t="n"/>
      <c r="F30" s="334" t="n"/>
      <c r="G30" s="334" t="n"/>
      <c r="H30" s="334" t="n"/>
      <c r="I30" s="332">
        <f>IFERROR(VLOOKUP(TEXT(H30,"0"),IPRESS!$A$3:$B$212,2,0),"")</f>
        <v/>
      </c>
      <c r="J30" s="334" t="n"/>
      <c r="K30" s="332">
        <f>IFERROR(VLOOKUP(TEXT(O30,"0"),CONDUCTORES!$A$3:$G$54,7,0),"")</f>
        <v/>
      </c>
      <c r="L30" s="334" t="n"/>
      <c r="M30" s="334" t="n"/>
      <c r="N30" s="333">
        <f>IFERROR(IF(L30*M30=0,"",L30*M30),"")</f>
        <v/>
      </c>
      <c r="O30" s="334" t="n"/>
      <c r="P30" s="332">
        <f>IFERROR(VLOOKUP(TEXT(O30,"0"),CONDUCTORES!$A$3:$G$54,2,0),"")</f>
        <v/>
      </c>
      <c r="Q30" s="332">
        <f>IFERROR(VLOOKUP(TEXT(O30,"0"),CONDUCTORES!$A$3:$H$54,6,0),"")</f>
        <v/>
      </c>
      <c r="R30" s="334" t="n"/>
      <c r="S30" s="334" t="n"/>
      <c r="T30" s="334" t="n"/>
      <c r="U30" s="334" t="n"/>
      <c r="V30" s="334" t="n"/>
      <c r="W30" s="334" t="n"/>
      <c r="X30" s="334" t="n"/>
      <c r="Y30" s="334" t="n"/>
      <c r="Z30" s="242">
        <f>IF(AND(G30&lt;&gt;"",R30&lt;&gt;"",V30&lt;&gt;"",W30&lt;&gt;""),"COMPLETADO","OBSERVADO")</f>
        <v/>
      </c>
      <c r="AA30" s="284" t="n"/>
    </row>
    <row r="31" ht="15.75" customHeight="1" s="195">
      <c r="A31" s="280" t="n"/>
      <c r="B31" s="280" t="n"/>
      <c r="C31" s="280" t="n"/>
      <c r="D31" s="280" t="n"/>
      <c r="E31" s="280" t="n"/>
      <c r="F31" s="280" t="n"/>
      <c r="G31" s="280" t="n"/>
      <c r="H31" s="280" t="n"/>
      <c r="I31" s="332">
        <f>IFERROR(VLOOKUP(TEXT(H31,"0"),IPRESS!$A$3:$B$212,2,0),"")</f>
        <v/>
      </c>
      <c r="J31" s="280" t="n"/>
      <c r="K31" s="332">
        <f>IFERROR(VLOOKUP(TEXT(O31,"0"),CONDUCTORES!$A$3:$G$54,7,0),"")</f>
        <v/>
      </c>
      <c r="L31" s="280" t="n"/>
      <c r="M31" s="280" t="n"/>
      <c r="N31" s="333">
        <f>IFERROR(IF(L31*M31=0,"",L31*M31),"")</f>
        <v/>
      </c>
      <c r="O31" s="280" t="n"/>
      <c r="P31" s="332">
        <f>IFERROR(VLOOKUP(TEXT(O31,"0"),CONDUCTORES!$A$3:$G$54,2,0),"")</f>
        <v/>
      </c>
      <c r="Q31" s="332">
        <f>IFERROR(VLOOKUP(TEXT(O31,"0"),CONDUCTORES!$A$3:$H$54,6,0),"")</f>
        <v/>
      </c>
      <c r="R31" s="280" t="n"/>
      <c r="S31" s="280" t="n"/>
      <c r="T31" s="280" t="n"/>
      <c r="U31" s="280" t="n"/>
      <c r="V31" s="280" t="n"/>
      <c r="W31" s="280" t="n"/>
      <c r="X31" s="280" t="n"/>
      <c r="Y31" s="280" t="n"/>
      <c r="Z31" s="236">
        <f>IF(AND(G31&lt;&gt;"",R31&lt;&gt;"",V31&lt;&gt;"",W31&lt;&gt;""),"COMPLETADO","OBSERVADO")</f>
        <v/>
      </c>
      <c r="AA31" s="284" t="n"/>
    </row>
    <row r="32" ht="15.75" customHeight="1" s="195">
      <c r="A32" s="334" t="n"/>
      <c r="B32" s="334" t="n"/>
      <c r="C32" s="334" t="n"/>
      <c r="D32" s="334" t="n"/>
      <c r="E32" s="334" t="n"/>
      <c r="F32" s="334" t="n"/>
      <c r="G32" s="334" t="n"/>
      <c r="H32" s="334" t="n"/>
      <c r="I32" s="332">
        <f>IFERROR(VLOOKUP(TEXT(H32,"0"),IPRESS!$A$3:$B$212,2,0),"")</f>
        <v/>
      </c>
      <c r="J32" s="334" t="n"/>
      <c r="K32" s="332">
        <f>IFERROR(VLOOKUP(TEXT(O32,"0"),CONDUCTORES!$A$3:$G$54,7,0),"")</f>
        <v/>
      </c>
      <c r="L32" s="334" t="n"/>
      <c r="M32" s="334" t="n"/>
      <c r="N32" s="333">
        <f>IFERROR(IF(L32*M32=0,"",L32*M32),"")</f>
        <v/>
      </c>
      <c r="O32" s="334" t="n"/>
      <c r="P32" s="332">
        <f>IFERROR(VLOOKUP(TEXT(O32,"0"),CONDUCTORES!$A$3:$G$54,2,0),"")</f>
        <v/>
      </c>
      <c r="Q32" s="332">
        <f>IFERROR(VLOOKUP(TEXT(O32,"0"),CONDUCTORES!$A$3:$H$54,6,0),"")</f>
        <v/>
      </c>
      <c r="R32" s="334" t="n"/>
      <c r="S32" s="334" t="n"/>
      <c r="T32" s="334" t="n"/>
      <c r="U32" s="334" t="n"/>
      <c r="V32" s="334" t="n"/>
      <c r="W32" s="334" t="n"/>
      <c r="X32" s="334" t="n"/>
      <c r="Y32" s="334" t="n"/>
      <c r="Z32" s="242">
        <f>IF(AND(G32&lt;&gt;"",R32&lt;&gt;"",V32&lt;&gt;"",W32&lt;&gt;""),"COMPLETADO","OBSERVADO")</f>
        <v/>
      </c>
      <c r="AA32" s="284" t="n"/>
    </row>
    <row r="33" ht="15.75" customHeight="1" s="195">
      <c r="A33" s="280" t="n"/>
      <c r="B33" s="280" t="n"/>
      <c r="C33" s="280" t="n"/>
      <c r="D33" s="280" t="n"/>
      <c r="E33" s="280" t="n"/>
      <c r="F33" s="280" t="n"/>
      <c r="G33" s="280" t="n"/>
      <c r="H33" s="280" t="n"/>
      <c r="I33" s="332">
        <f>IFERROR(VLOOKUP(TEXT(H33,"0"),IPRESS!$A$3:$B$212,2,0),"")</f>
        <v/>
      </c>
      <c r="J33" s="280" t="n"/>
      <c r="K33" s="332">
        <f>IFERROR(VLOOKUP(TEXT(O33,"0"),CONDUCTORES!$A$3:$G$54,7,0),"")</f>
        <v/>
      </c>
      <c r="L33" s="280" t="n"/>
      <c r="M33" s="280" t="n"/>
      <c r="N33" s="333">
        <f>IFERROR(IF(L33*M33=0,"",L33*M33),"")</f>
        <v/>
      </c>
      <c r="O33" s="280" t="n"/>
      <c r="P33" s="332">
        <f>IFERROR(VLOOKUP(TEXT(O33,"0"),CONDUCTORES!$A$3:$G$54,2,0),"")</f>
        <v/>
      </c>
      <c r="Q33" s="332">
        <f>IFERROR(VLOOKUP(TEXT(O33,"0"),CONDUCTORES!$A$3:$H$54,6,0),"")</f>
        <v/>
      </c>
      <c r="R33" s="280" t="n"/>
      <c r="S33" s="280" t="n"/>
      <c r="T33" s="280" t="n"/>
      <c r="U33" s="280" t="n"/>
      <c r="V33" s="280" t="n"/>
      <c r="W33" s="280" t="n"/>
      <c r="X33" s="280" t="n"/>
      <c r="Y33" s="280" t="n"/>
      <c r="Z33" s="236">
        <f>IF(AND(G33&lt;&gt;"",R33&lt;&gt;"",V33&lt;&gt;"",W33&lt;&gt;""),"COMPLETADO","OBSERVADO")</f>
        <v/>
      </c>
      <c r="AA33" s="284" t="n"/>
    </row>
    <row r="34" ht="15.75" customHeight="1" s="195">
      <c r="A34" s="334" t="n"/>
      <c r="B34" s="334" t="n"/>
      <c r="C34" s="334" t="n"/>
      <c r="D34" s="334" t="n"/>
      <c r="E34" s="334" t="n"/>
      <c r="F34" s="334" t="n"/>
      <c r="G34" s="334" t="n"/>
      <c r="H34" s="334" t="n"/>
      <c r="I34" s="332">
        <f>IFERROR(VLOOKUP(TEXT(H34,"0"),IPRESS!$A$3:$B$212,2,0),"")</f>
        <v/>
      </c>
      <c r="J34" s="334" t="n"/>
      <c r="K34" s="332">
        <f>IFERROR(VLOOKUP(TEXT(O34,"0"),CONDUCTORES!$A$3:$G$54,7,0),"")</f>
        <v/>
      </c>
      <c r="L34" s="334" t="n"/>
      <c r="M34" s="334" t="n"/>
      <c r="N34" s="333">
        <f>IFERROR(IF(L34*M34=0,"",L34*M34),"")</f>
        <v/>
      </c>
      <c r="O34" s="334" t="n"/>
      <c r="P34" s="332">
        <f>IFERROR(VLOOKUP(TEXT(O34,"0"),CONDUCTORES!$A$3:$G$54,2,0),"")</f>
        <v/>
      </c>
      <c r="Q34" s="332">
        <f>IFERROR(VLOOKUP(TEXT(O34,"0"),CONDUCTORES!$A$3:$H$54,6,0),"")</f>
        <v/>
      </c>
      <c r="R34" s="334" t="n"/>
      <c r="S34" s="334" t="n"/>
      <c r="T34" s="334" t="n"/>
      <c r="U34" s="334" t="n"/>
      <c r="V34" s="334" t="n"/>
      <c r="W34" s="334" t="n"/>
      <c r="X34" s="334" t="n"/>
      <c r="Y34" s="334" t="n"/>
      <c r="Z34" s="242">
        <f>IF(AND(G34&lt;&gt;"",R34&lt;&gt;"",V34&lt;&gt;"",W34&lt;&gt;""),"COMPLETADO","OBSERVADO")</f>
        <v/>
      </c>
      <c r="AA34" s="284" t="n"/>
    </row>
    <row r="35" ht="15.75" customHeight="1" s="195">
      <c r="A35" s="280" t="n"/>
      <c r="B35" s="280" t="n"/>
      <c r="C35" s="280" t="n"/>
      <c r="D35" s="280" t="n"/>
      <c r="E35" s="280" t="n"/>
      <c r="F35" s="280" t="n"/>
      <c r="G35" s="280" t="n"/>
      <c r="H35" s="280" t="n"/>
      <c r="I35" s="332">
        <f>IFERROR(VLOOKUP(TEXT(H35,"0"),IPRESS!$A$3:$B$212,2,0),"")</f>
        <v/>
      </c>
      <c r="J35" s="280" t="n"/>
      <c r="K35" s="332">
        <f>IFERROR(VLOOKUP(TEXT(O35,"0"),CONDUCTORES!$A$3:$G$54,7,0),"")</f>
        <v/>
      </c>
      <c r="L35" s="280" t="n"/>
      <c r="M35" s="280" t="n"/>
      <c r="N35" s="333">
        <f>IFERROR(IF(L35*M35=0,"",L35*M35),"")</f>
        <v/>
      </c>
      <c r="O35" s="280" t="n"/>
      <c r="P35" s="332">
        <f>IFERROR(VLOOKUP(TEXT(O35,"0"),CONDUCTORES!$A$3:$G$54,2,0),"")</f>
        <v/>
      </c>
      <c r="Q35" s="332">
        <f>IFERROR(VLOOKUP(TEXT(O35,"0"),CONDUCTORES!$A$3:$H$54,6,0),"")</f>
        <v/>
      </c>
      <c r="R35" s="280" t="n"/>
      <c r="S35" s="280" t="n"/>
      <c r="T35" s="280" t="n"/>
      <c r="U35" s="280" t="n"/>
      <c r="V35" s="280" t="n"/>
      <c r="W35" s="280" t="n"/>
      <c r="X35" s="280" t="n"/>
      <c r="Y35" s="280" t="n"/>
      <c r="Z35" s="236">
        <f>IF(AND(G35&lt;&gt;"",R35&lt;&gt;"",V35&lt;&gt;"",W35&lt;&gt;""),"COMPLETADO","OBSERVADO")</f>
        <v/>
      </c>
      <c r="AA35" s="284" t="n"/>
    </row>
    <row r="36" ht="15.75" customHeight="1" s="195">
      <c r="A36" s="334" t="n"/>
      <c r="B36" s="334" t="n"/>
      <c r="C36" s="334" t="n"/>
      <c r="D36" s="334" t="n"/>
      <c r="E36" s="334" t="n"/>
      <c r="F36" s="334" t="n"/>
      <c r="G36" s="334" t="n"/>
      <c r="H36" s="334" t="n"/>
      <c r="I36" s="332">
        <f>IFERROR(VLOOKUP(TEXT(H36,"0"),IPRESS!$A$3:$B$212,2,0),"")</f>
        <v/>
      </c>
      <c r="J36" s="334" t="n"/>
      <c r="K36" s="332">
        <f>IFERROR(VLOOKUP(TEXT(O36,"0"),CONDUCTORES!$A$3:$G$54,7,0),"")</f>
        <v/>
      </c>
      <c r="L36" s="334" t="n"/>
      <c r="M36" s="334" t="n"/>
      <c r="N36" s="333">
        <f>IFERROR(IF(L36*M36=0,"",L36*M36),"")</f>
        <v/>
      </c>
      <c r="O36" s="334" t="n"/>
      <c r="P36" s="332">
        <f>IFERROR(VLOOKUP(TEXT(O36,"0"),CONDUCTORES!$A$3:$G$54,2,0),"")</f>
        <v/>
      </c>
      <c r="Q36" s="332">
        <f>IFERROR(VLOOKUP(TEXT(O36,"0"),CONDUCTORES!$A$3:$H$54,6,0),"")</f>
        <v/>
      </c>
      <c r="R36" s="334" t="n"/>
      <c r="S36" s="334" t="n"/>
      <c r="T36" s="334" t="n"/>
      <c r="U36" s="334" t="n"/>
      <c r="V36" s="334" t="n"/>
      <c r="W36" s="334" t="n"/>
      <c r="X36" s="334" t="n"/>
      <c r="Y36" s="334" t="n"/>
      <c r="Z36" s="242">
        <f>IF(AND(G36&lt;&gt;"",R36&lt;&gt;"",V36&lt;&gt;"",W36&lt;&gt;""),"COMPLETADO","OBSERVADO")</f>
        <v/>
      </c>
      <c r="AA36" s="284" t="n"/>
    </row>
    <row r="37" ht="15.75" customHeight="1" s="195">
      <c r="A37" s="280" t="n"/>
      <c r="B37" s="280" t="n"/>
      <c r="C37" s="280" t="n"/>
      <c r="D37" s="280" t="n"/>
      <c r="E37" s="280" t="n"/>
      <c r="F37" s="280" t="n"/>
      <c r="G37" s="280" t="n"/>
      <c r="H37" s="280" t="n"/>
      <c r="I37" s="332">
        <f>IFERROR(VLOOKUP(TEXT(H37,"0"),IPRESS!$A$3:$B$212,2,0),"")</f>
        <v/>
      </c>
      <c r="J37" s="280" t="n"/>
      <c r="K37" s="332">
        <f>IFERROR(VLOOKUP(TEXT(O37,"0"),CONDUCTORES!$A$3:$G$54,7,0),"")</f>
        <v/>
      </c>
      <c r="L37" s="280" t="n"/>
      <c r="M37" s="280" t="n"/>
      <c r="N37" s="333">
        <f>IFERROR(IF(L37*M37=0,"",L37*M37),"")</f>
        <v/>
      </c>
      <c r="O37" s="280" t="n"/>
      <c r="P37" s="332">
        <f>IFERROR(VLOOKUP(TEXT(O37,"0"),CONDUCTORES!$A$3:$G$54,2,0),"")</f>
        <v/>
      </c>
      <c r="Q37" s="332">
        <f>IFERROR(VLOOKUP(TEXT(O37,"0"),CONDUCTORES!$A$3:$H$54,6,0),"")</f>
        <v/>
      </c>
      <c r="R37" s="280" t="n"/>
      <c r="S37" s="280" t="n"/>
      <c r="T37" s="280" t="n"/>
      <c r="U37" s="280" t="n"/>
      <c r="V37" s="280" t="n"/>
      <c r="W37" s="280" t="n"/>
      <c r="X37" s="280" t="n"/>
      <c r="Y37" s="280" t="n"/>
      <c r="Z37" s="236">
        <f>IF(AND(G37&lt;&gt;"",R37&lt;&gt;"",V37&lt;&gt;"",W37&lt;&gt;""),"COMPLETADO","OBSERVADO")</f>
        <v/>
      </c>
      <c r="AA37" s="284" t="n"/>
    </row>
    <row r="38" ht="15.75" customHeight="1" s="195">
      <c r="A38" s="334" t="n"/>
      <c r="B38" s="334" t="n"/>
      <c r="C38" s="334" t="n"/>
      <c r="D38" s="334" t="n"/>
      <c r="E38" s="334" t="n"/>
      <c r="F38" s="334" t="n"/>
      <c r="G38" s="334" t="n"/>
      <c r="H38" s="334" t="n"/>
      <c r="I38" s="332">
        <f>IFERROR(VLOOKUP(TEXT(H38,"0"),IPRESS!$A$3:$B$212,2,0),"")</f>
        <v/>
      </c>
      <c r="J38" s="334" t="n"/>
      <c r="K38" s="332">
        <f>IFERROR(VLOOKUP(TEXT(O38,"0"),CONDUCTORES!$A$3:$G$54,7,0),"")</f>
        <v/>
      </c>
      <c r="L38" s="334" t="n"/>
      <c r="M38" s="334" t="n"/>
      <c r="N38" s="333">
        <f>IFERROR(IF(L38*M38=0,"",L38*M38),"")</f>
        <v/>
      </c>
      <c r="O38" s="334" t="n"/>
      <c r="P38" s="332">
        <f>IFERROR(VLOOKUP(TEXT(O38,"0"),CONDUCTORES!$A$3:$G$54,2,0),"")</f>
        <v/>
      </c>
      <c r="Q38" s="332">
        <f>IFERROR(VLOOKUP(TEXT(O38,"0"),CONDUCTORES!$A$3:$H$54,6,0),"")</f>
        <v/>
      </c>
      <c r="R38" s="334" t="n"/>
      <c r="S38" s="334" t="n"/>
      <c r="T38" s="334" t="n"/>
      <c r="U38" s="334" t="n"/>
      <c r="V38" s="334" t="n"/>
      <c r="W38" s="334" t="n"/>
      <c r="X38" s="334" t="n"/>
      <c r="Y38" s="334" t="n"/>
      <c r="Z38" s="242">
        <f>IF(AND(G38&lt;&gt;"",R38&lt;&gt;"",V38&lt;&gt;"",W38&lt;&gt;""),"COMPLETADO","OBSERVADO")</f>
        <v/>
      </c>
      <c r="AA38" s="284" t="n"/>
    </row>
    <row r="39" ht="15.75" customHeight="1" s="195">
      <c r="A39" s="280" t="n"/>
      <c r="B39" s="280" t="n"/>
      <c r="C39" s="280" t="n"/>
      <c r="D39" s="280" t="n"/>
      <c r="E39" s="280" t="n"/>
      <c r="F39" s="280" t="n"/>
      <c r="G39" s="280" t="n"/>
      <c r="H39" s="280" t="n"/>
      <c r="I39" s="332">
        <f>IFERROR(VLOOKUP(TEXT(H39,"0"),IPRESS!$A$3:$B$212,2,0),"")</f>
        <v/>
      </c>
      <c r="J39" s="280" t="n"/>
      <c r="K39" s="332">
        <f>IFERROR(VLOOKUP(TEXT(O39,"0"),CONDUCTORES!$A$3:$G$54,7,0),"")</f>
        <v/>
      </c>
      <c r="L39" s="280" t="n"/>
      <c r="M39" s="280" t="n"/>
      <c r="N39" s="333">
        <f>IFERROR(IF(L39*M39=0,"",L39*M39),"")</f>
        <v/>
      </c>
      <c r="O39" s="280" t="n"/>
      <c r="P39" s="332">
        <f>IFERROR(VLOOKUP(TEXT(O39,"0"),CONDUCTORES!$A$3:$G$54,2,0),"")</f>
        <v/>
      </c>
      <c r="Q39" s="332">
        <f>IFERROR(VLOOKUP(TEXT(O39,"0"),CONDUCTORES!$A$3:$H$54,6,0),"")</f>
        <v/>
      </c>
      <c r="R39" s="280" t="n"/>
      <c r="S39" s="280" t="n"/>
      <c r="T39" s="280" t="n"/>
      <c r="U39" s="280" t="n"/>
      <c r="V39" s="280" t="n"/>
      <c r="W39" s="280" t="n"/>
      <c r="X39" s="280" t="n"/>
      <c r="Y39" s="280" t="n"/>
      <c r="Z39" s="236">
        <f>IF(AND(G39&lt;&gt;"",R39&lt;&gt;"",V39&lt;&gt;"",W39&lt;&gt;""),"COMPLETADO","OBSERVADO")</f>
        <v/>
      </c>
      <c r="AA39" s="284" t="n"/>
    </row>
    <row r="40" ht="15.75" customHeight="1" s="195">
      <c r="A40" s="334" t="n"/>
      <c r="B40" s="334" t="n"/>
      <c r="C40" s="334" t="n"/>
      <c r="D40" s="334" t="n"/>
      <c r="E40" s="334" t="n"/>
      <c r="F40" s="334" t="n"/>
      <c r="G40" s="334" t="n"/>
      <c r="H40" s="334" t="n"/>
      <c r="I40" s="332">
        <f>IFERROR(VLOOKUP(TEXT(H40,"0"),IPRESS!$A$3:$B$212,2,0),"")</f>
        <v/>
      </c>
      <c r="J40" s="334" t="n"/>
      <c r="K40" s="332">
        <f>IFERROR(VLOOKUP(TEXT(O40,"0"),CONDUCTORES!$A$3:$G$54,7,0),"")</f>
        <v/>
      </c>
      <c r="L40" s="334" t="n"/>
      <c r="M40" s="334" t="n"/>
      <c r="N40" s="333">
        <f>IFERROR(IF(L40*M40=0,"",L40*M40),"")</f>
        <v/>
      </c>
      <c r="O40" s="334" t="n"/>
      <c r="P40" s="332">
        <f>IFERROR(VLOOKUP(TEXT(O40,"0"),CONDUCTORES!$A$3:$G$54,2,0),"")</f>
        <v/>
      </c>
      <c r="Q40" s="332">
        <f>IFERROR(VLOOKUP(TEXT(O40,"0"),CONDUCTORES!$A$3:$H$54,6,0),"")</f>
        <v/>
      </c>
      <c r="R40" s="334" t="n"/>
      <c r="S40" s="334" t="n"/>
      <c r="T40" s="334" t="n"/>
      <c r="U40" s="334" t="n"/>
      <c r="V40" s="334" t="n"/>
      <c r="W40" s="334" t="n"/>
      <c r="X40" s="334" t="n"/>
      <c r="Y40" s="334" t="n"/>
      <c r="Z40" s="242">
        <f>IF(AND(G40&lt;&gt;"",R40&lt;&gt;"",V40&lt;&gt;"",W40&lt;&gt;""),"COMPLETADO","OBSERVADO")</f>
        <v/>
      </c>
      <c r="AA40" s="284" t="n"/>
    </row>
    <row r="41" ht="15.75" customHeight="1" s="195">
      <c r="A41" s="280" t="n"/>
      <c r="B41" s="280" t="n"/>
      <c r="C41" s="280" t="n"/>
      <c r="D41" s="280" t="n"/>
      <c r="E41" s="280" t="n"/>
      <c r="F41" s="280" t="n"/>
      <c r="G41" s="280" t="n"/>
      <c r="H41" s="280" t="n"/>
      <c r="I41" s="332">
        <f>IFERROR(VLOOKUP(TEXT(H41,"0"),IPRESS!$A$3:$B$212,2,0),"")</f>
        <v/>
      </c>
      <c r="J41" s="280" t="n"/>
      <c r="K41" s="332">
        <f>IFERROR(VLOOKUP(TEXT(O41,"0"),CONDUCTORES!$A$3:$G$54,7,0),"")</f>
        <v/>
      </c>
      <c r="L41" s="280" t="n"/>
      <c r="M41" s="280" t="n"/>
      <c r="N41" s="333">
        <f>IFERROR(IF(L41*M41=0,"",L41*M41),"")</f>
        <v/>
      </c>
      <c r="O41" s="280" t="n"/>
      <c r="P41" s="332">
        <f>IFERROR(VLOOKUP(TEXT(O41,"0"),CONDUCTORES!$A$3:$G$54,2,0),"")</f>
        <v/>
      </c>
      <c r="Q41" s="332">
        <f>IFERROR(VLOOKUP(TEXT(O41,"0"),CONDUCTORES!$A$3:$H$54,6,0),"")</f>
        <v/>
      </c>
      <c r="R41" s="280" t="n"/>
      <c r="S41" s="280" t="n"/>
      <c r="T41" s="280" t="n"/>
      <c r="U41" s="280" t="n"/>
      <c r="V41" s="280" t="n"/>
      <c r="W41" s="280" t="n"/>
      <c r="X41" s="280" t="n"/>
      <c r="Y41" s="280" t="n"/>
      <c r="Z41" s="236">
        <f>IF(AND(G41&lt;&gt;"",R41&lt;&gt;"",V41&lt;&gt;"",W41&lt;&gt;""),"COMPLETADO","OBSERVADO")</f>
        <v/>
      </c>
      <c r="AA41" s="284" t="n"/>
    </row>
    <row r="42" ht="15.75" customHeight="1" s="195">
      <c r="A42" s="334" t="n"/>
      <c r="B42" s="334" t="n"/>
      <c r="C42" s="334" t="n"/>
      <c r="D42" s="334" t="n"/>
      <c r="E42" s="334" t="n"/>
      <c r="F42" s="334" t="n"/>
      <c r="G42" s="334" t="n"/>
      <c r="H42" s="334" t="n"/>
      <c r="I42" s="332">
        <f>IFERROR(VLOOKUP(TEXT(H42,"0"),IPRESS!$A$3:$B$212,2,0),"")</f>
        <v/>
      </c>
      <c r="J42" s="334" t="n"/>
      <c r="K42" s="332">
        <f>IFERROR(VLOOKUP(TEXT(O42,"0"),CONDUCTORES!$A$3:$G$54,7,0),"")</f>
        <v/>
      </c>
      <c r="L42" s="334" t="n"/>
      <c r="M42" s="334" t="n"/>
      <c r="N42" s="333">
        <f>IFERROR(IF(L42*M42=0,"",L42*M42),"")</f>
        <v/>
      </c>
      <c r="O42" s="334" t="n"/>
      <c r="P42" s="332">
        <f>IFERROR(VLOOKUP(TEXT(O42,"0"),CONDUCTORES!$A$3:$G$54,2,0),"")</f>
        <v/>
      </c>
      <c r="Q42" s="332">
        <f>IFERROR(VLOOKUP(TEXT(O42,"0"),CONDUCTORES!$A$3:$H$54,6,0),"")</f>
        <v/>
      </c>
      <c r="R42" s="334" t="n"/>
      <c r="S42" s="334" t="n"/>
      <c r="T42" s="334" t="n"/>
      <c r="U42" s="334" t="n"/>
      <c r="V42" s="334" t="n"/>
      <c r="W42" s="334" t="n"/>
      <c r="X42" s="334" t="n"/>
      <c r="Y42" s="334" t="n"/>
      <c r="Z42" s="242">
        <f>IF(AND(G42&lt;&gt;"",R42&lt;&gt;"",V42&lt;&gt;"",W42&lt;&gt;""),"COMPLETADO","OBSERVADO")</f>
        <v/>
      </c>
      <c r="AA42" s="284" t="n"/>
    </row>
    <row r="43" ht="15.75" customHeight="1" s="195">
      <c r="A43" s="280" t="n"/>
      <c r="B43" s="280" t="n"/>
      <c r="C43" s="280" t="n"/>
      <c r="D43" s="280" t="n"/>
      <c r="E43" s="280" t="n"/>
      <c r="F43" s="280" t="n"/>
      <c r="G43" s="280" t="n"/>
      <c r="H43" s="280" t="n"/>
      <c r="I43" s="332">
        <f>IFERROR(VLOOKUP(TEXT(H43,"0"),IPRESS!$A$3:$B$212,2,0),"")</f>
        <v/>
      </c>
      <c r="J43" s="280" t="n"/>
      <c r="K43" s="332">
        <f>IFERROR(VLOOKUP(TEXT(O43,"0"),CONDUCTORES!$A$3:$G$54,7,0),"")</f>
        <v/>
      </c>
      <c r="L43" s="280" t="n"/>
      <c r="M43" s="280" t="n"/>
      <c r="N43" s="333">
        <f>IFERROR(IF(L43*M43=0,"",L43*M43),"")</f>
        <v/>
      </c>
      <c r="O43" s="280" t="n"/>
      <c r="P43" s="332">
        <f>IFERROR(VLOOKUP(TEXT(O43,"0"),CONDUCTORES!$A$3:$G$54,2,0),"")</f>
        <v/>
      </c>
      <c r="Q43" s="332">
        <f>IFERROR(VLOOKUP(TEXT(O43,"0"),CONDUCTORES!$A$3:$H$54,6,0),"")</f>
        <v/>
      </c>
      <c r="R43" s="280" t="n"/>
      <c r="S43" s="280" t="n"/>
      <c r="T43" s="280" t="n"/>
      <c r="U43" s="280" t="n"/>
      <c r="V43" s="280" t="n"/>
      <c r="W43" s="280" t="n"/>
      <c r="X43" s="280" t="n"/>
      <c r="Y43" s="280" t="n"/>
      <c r="Z43" s="236">
        <f>IF(AND(G43&lt;&gt;"",R43&lt;&gt;"",V43&lt;&gt;"",W43&lt;&gt;""),"COMPLETADO","OBSERVADO")</f>
        <v/>
      </c>
      <c r="AA43" s="284" t="n"/>
    </row>
    <row r="44" ht="15.75" customHeight="1" s="195">
      <c r="A44" s="334" t="n"/>
      <c r="B44" s="334" t="n"/>
      <c r="C44" s="334" t="n"/>
      <c r="D44" s="334" t="n"/>
      <c r="E44" s="334" t="n"/>
      <c r="F44" s="334" t="n"/>
      <c r="G44" s="334" t="n"/>
      <c r="H44" s="334" t="n"/>
      <c r="I44" s="332">
        <f>IFERROR(VLOOKUP(TEXT(H44,"0"),IPRESS!$A$3:$B$212,2,0),"")</f>
        <v/>
      </c>
      <c r="J44" s="334" t="n"/>
      <c r="K44" s="332">
        <f>IFERROR(VLOOKUP(TEXT(O44,"0"),CONDUCTORES!$A$3:$G$54,7,0),"")</f>
        <v/>
      </c>
      <c r="L44" s="334" t="n"/>
      <c r="M44" s="334" t="n"/>
      <c r="N44" s="333">
        <f>IFERROR(IF(L44*M44=0,"",L44*M44),"")</f>
        <v/>
      </c>
      <c r="O44" s="334" t="n"/>
      <c r="P44" s="332">
        <f>IFERROR(VLOOKUP(TEXT(O44,"0"),CONDUCTORES!$A$3:$G$54,2,0),"")</f>
        <v/>
      </c>
      <c r="Q44" s="332">
        <f>IFERROR(VLOOKUP(TEXT(O44,"0"),CONDUCTORES!$A$3:$H$54,6,0),"")</f>
        <v/>
      </c>
      <c r="R44" s="334" t="n"/>
      <c r="S44" s="334" t="n"/>
      <c r="T44" s="334" t="n"/>
      <c r="U44" s="334" t="n"/>
      <c r="V44" s="334" t="n"/>
      <c r="W44" s="334" t="n"/>
      <c r="X44" s="334" t="n"/>
      <c r="Y44" s="334" t="n"/>
      <c r="Z44" s="242">
        <f>IF(AND(G44&lt;&gt;"",R44&lt;&gt;"",V44&lt;&gt;"",W44&lt;&gt;""),"COMPLETADO","OBSERVADO")</f>
        <v/>
      </c>
      <c r="AA44" s="284" t="n"/>
    </row>
    <row r="45" ht="15.75" customHeight="1" s="195">
      <c r="A45" s="280" t="n"/>
      <c r="B45" s="280" t="n"/>
      <c r="C45" s="280" t="n"/>
      <c r="D45" s="280" t="n"/>
      <c r="E45" s="280" t="n"/>
      <c r="F45" s="280" t="n"/>
      <c r="G45" s="280" t="n"/>
      <c r="H45" s="280" t="n"/>
      <c r="I45" s="332">
        <f>IFERROR(VLOOKUP(TEXT(H45,"0"),IPRESS!$A$3:$B$212,2,0),"")</f>
        <v/>
      </c>
      <c r="J45" s="280" t="n"/>
      <c r="K45" s="332">
        <f>IFERROR(VLOOKUP(TEXT(O45,"0"),CONDUCTORES!$A$3:$G$54,7,0),"")</f>
        <v/>
      </c>
      <c r="L45" s="280" t="n"/>
      <c r="M45" s="280" t="n"/>
      <c r="N45" s="333">
        <f>IFERROR(IF(L45*M45=0,"",L45*M45),"")</f>
        <v/>
      </c>
      <c r="O45" s="280" t="n"/>
      <c r="P45" s="332">
        <f>IFERROR(VLOOKUP(TEXT(O45,"0"),CONDUCTORES!$A$3:$G$54,2,0),"")</f>
        <v/>
      </c>
      <c r="Q45" s="332">
        <f>IFERROR(VLOOKUP(TEXT(O45,"0"),CONDUCTORES!$A$3:$H$54,6,0),"")</f>
        <v/>
      </c>
      <c r="R45" s="280" t="n"/>
      <c r="S45" s="280" t="n"/>
      <c r="T45" s="280" t="n"/>
      <c r="U45" s="280" t="n"/>
      <c r="V45" s="280" t="n"/>
      <c r="W45" s="280" t="n"/>
      <c r="X45" s="280" t="n"/>
      <c r="Y45" s="280" t="n"/>
      <c r="Z45" s="236">
        <f>IF(AND(G45&lt;&gt;"",R45&lt;&gt;"",V45&lt;&gt;"",W45&lt;&gt;""),"COMPLETADO","OBSERVADO")</f>
        <v/>
      </c>
      <c r="AA45" s="284" t="n"/>
    </row>
    <row r="46" ht="15.75" customHeight="1" s="195">
      <c r="A46" s="334" t="n"/>
      <c r="B46" s="334" t="n"/>
      <c r="C46" s="334" t="n"/>
      <c r="D46" s="334" t="n"/>
      <c r="E46" s="334" t="n"/>
      <c r="F46" s="334" t="n"/>
      <c r="G46" s="334" t="n"/>
      <c r="H46" s="334" t="n"/>
      <c r="I46" s="332">
        <f>IFERROR(VLOOKUP(TEXT(H46,"0"),IPRESS!$A$3:$B$212,2,0),"")</f>
        <v/>
      </c>
      <c r="J46" s="334" t="n"/>
      <c r="K46" s="332">
        <f>IFERROR(VLOOKUP(TEXT(O46,"0"),CONDUCTORES!$A$3:$G$54,7,0),"")</f>
        <v/>
      </c>
      <c r="L46" s="334" t="n"/>
      <c r="M46" s="334" t="n"/>
      <c r="N46" s="333">
        <f>IFERROR(IF(L46*M46=0,"",L46*M46),"")</f>
        <v/>
      </c>
      <c r="O46" s="334" t="n"/>
      <c r="P46" s="332">
        <f>IFERROR(VLOOKUP(TEXT(O46,"0"),CONDUCTORES!$A$3:$G$54,2,0),"")</f>
        <v/>
      </c>
      <c r="Q46" s="332">
        <f>IFERROR(VLOOKUP(TEXT(O46,"0"),CONDUCTORES!$A$3:$H$54,6,0),"")</f>
        <v/>
      </c>
      <c r="R46" s="334" t="n"/>
      <c r="S46" s="334" t="n"/>
      <c r="T46" s="334" t="n"/>
      <c r="U46" s="334" t="n"/>
      <c r="V46" s="334" t="n"/>
      <c r="W46" s="334" t="n"/>
      <c r="X46" s="334" t="n"/>
      <c r="Y46" s="334" t="n"/>
      <c r="Z46" s="242">
        <f>IF(AND(G46&lt;&gt;"",R46&lt;&gt;"",V46&lt;&gt;"",W46&lt;&gt;""),"COMPLETADO","OBSERVADO")</f>
        <v/>
      </c>
      <c r="AA46" s="284" t="n"/>
    </row>
    <row r="47" ht="15.75" customHeight="1" s="195">
      <c r="A47" s="280" t="n"/>
      <c r="B47" s="280" t="n"/>
      <c r="C47" s="280" t="n"/>
      <c r="D47" s="280" t="n"/>
      <c r="E47" s="280" t="n"/>
      <c r="F47" s="280" t="n"/>
      <c r="G47" s="280" t="n"/>
      <c r="H47" s="280" t="n"/>
      <c r="I47" s="332">
        <f>IFERROR(VLOOKUP(TEXT(H47,"0"),IPRESS!$A$3:$B$212,2,0),"")</f>
        <v/>
      </c>
      <c r="J47" s="280" t="n"/>
      <c r="K47" s="332">
        <f>IFERROR(VLOOKUP(TEXT(O47,"0"),CONDUCTORES!$A$3:$G$54,7,0),"")</f>
        <v/>
      </c>
      <c r="L47" s="280" t="n"/>
      <c r="M47" s="280" t="n"/>
      <c r="N47" s="333">
        <f>IFERROR(IF(L47*M47=0,"",L47*M47),"")</f>
        <v/>
      </c>
      <c r="O47" s="280" t="n"/>
      <c r="P47" s="332">
        <f>IFERROR(VLOOKUP(TEXT(O47,"0"),CONDUCTORES!$A$3:$G$54,2,0),"")</f>
        <v/>
      </c>
      <c r="Q47" s="332">
        <f>IFERROR(VLOOKUP(TEXT(O47,"0"),CONDUCTORES!$A$3:$H$54,6,0),"")</f>
        <v/>
      </c>
      <c r="R47" s="280" t="n"/>
      <c r="S47" s="280" t="n"/>
      <c r="T47" s="280" t="n"/>
      <c r="U47" s="280" t="n"/>
      <c r="V47" s="280" t="n"/>
      <c r="W47" s="280" t="n"/>
      <c r="X47" s="280" t="n"/>
      <c r="Y47" s="280" t="n"/>
      <c r="Z47" s="236">
        <f>IF(AND(G47&lt;&gt;"",R47&lt;&gt;"",V47&lt;&gt;"",W47&lt;&gt;""),"COMPLETADO","OBSERVADO")</f>
        <v/>
      </c>
      <c r="AA47" s="284" t="n"/>
    </row>
    <row r="48" ht="15.75" customHeight="1" s="195">
      <c r="A48" s="334" t="n"/>
      <c r="B48" s="334" t="n"/>
      <c r="C48" s="334" t="n"/>
      <c r="D48" s="334" t="n"/>
      <c r="E48" s="334" t="n"/>
      <c r="F48" s="334" t="n"/>
      <c r="G48" s="334" t="n"/>
      <c r="H48" s="334" t="n"/>
      <c r="I48" s="332">
        <f>IFERROR(VLOOKUP(TEXT(H48,"0"),IPRESS!$A$3:$B$212,2,0),"")</f>
        <v/>
      </c>
      <c r="J48" s="334" t="n"/>
      <c r="K48" s="332">
        <f>IFERROR(VLOOKUP(TEXT(O48,"0"),CONDUCTORES!$A$3:$G$54,7,0),"")</f>
        <v/>
      </c>
      <c r="L48" s="334" t="n"/>
      <c r="M48" s="334" t="n"/>
      <c r="N48" s="333">
        <f>IFERROR(IF(L48*M48=0,"",L48*M48),"")</f>
        <v/>
      </c>
      <c r="O48" s="334" t="n"/>
      <c r="P48" s="332">
        <f>IFERROR(VLOOKUP(TEXT(O48,"0"),CONDUCTORES!$A$3:$G$54,2,0),"")</f>
        <v/>
      </c>
      <c r="Q48" s="332">
        <f>IFERROR(VLOOKUP(TEXT(O48,"0"),CONDUCTORES!$A$3:$H$54,6,0),"")</f>
        <v/>
      </c>
      <c r="R48" s="334" t="n"/>
      <c r="S48" s="334" t="n"/>
      <c r="T48" s="334" t="n"/>
      <c r="U48" s="334" t="n"/>
      <c r="V48" s="334" t="n"/>
      <c r="W48" s="334" t="n"/>
      <c r="X48" s="334" t="n"/>
      <c r="Y48" s="334" t="n"/>
      <c r="Z48" s="242">
        <f>IF(AND(G48&lt;&gt;"",R48&lt;&gt;"",V48&lt;&gt;"",W48&lt;&gt;""),"COMPLETADO","OBSERVADO")</f>
        <v/>
      </c>
      <c r="AA48" s="284" t="n"/>
    </row>
    <row r="49" ht="15.75" customHeight="1" s="195">
      <c r="A49" s="280" t="n"/>
      <c r="B49" s="280" t="n"/>
      <c r="C49" s="280" t="n"/>
      <c r="D49" s="280" t="n"/>
      <c r="E49" s="280" t="n"/>
      <c r="F49" s="280" t="n"/>
      <c r="G49" s="280" t="n"/>
      <c r="H49" s="280" t="n"/>
      <c r="I49" s="332">
        <f>IFERROR(VLOOKUP(TEXT(H49,"0"),IPRESS!$A$3:$B$212,2,0),"")</f>
        <v/>
      </c>
      <c r="J49" s="280" t="n"/>
      <c r="K49" s="332">
        <f>IFERROR(VLOOKUP(TEXT(O49,"0"),CONDUCTORES!$A$3:$G$54,7,0),"")</f>
        <v/>
      </c>
      <c r="L49" s="280" t="n"/>
      <c r="M49" s="280" t="n"/>
      <c r="N49" s="333">
        <f>IFERROR(IF(L49*M49=0,"",L49*M49),"")</f>
        <v/>
      </c>
      <c r="O49" s="280" t="n"/>
      <c r="P49" s="332">
        <f>IFERROR(VLOOKUP(TEXT(O49,"0"),CONDUCTORES!$A$3:$G$54,2,0),"")</f>
        <v/>
      </c>
      <c r="Q49" s="332">
        <f>IFERROR(VLOOKUP(TEXT(O49,"0"),CONDUCTORES!$A$3:$H$54,6,0),"")</f>
        <v/>
      </c>
      <c r="R49" s="280" t="n"/>
      <c r="S49" s="280" t="n"/>
      <c r="T49" s="280" t="n"/>
      <c r="U49" s="280" t="n"/>
      <c r="V49" s="280" t="n"/>
      <c r="W49" s="280" t="n"/>
      <c r="X49" s="280" t="n"/>
      <c r="Y49" s="280" t="n"/>
      <c r="Z49" s="236">
        <f>IF(AND(G49&lt;&gt;"",R49&lt;&gt;"",V49&lt;&gt;"",W49&lt;&gt;""),"COMPLETADO","OBSERVADO")</f>
        <v/>
      </c>
      <c r="AA49" s="284" t="n"/>
    </row>
    <row r="50" ht="15.75" customHeight="1" s="195">
      <c r="A50" s="334" t="n"/>
      <c r="B50" s="334" t="n"/>
      <c r="C50" s="334" t="n"/>
      <c r="D50" s="334" t="n"/>
      <c r="E50" s="334" t="n"/>
      <c r="F50" s="334" t="n"/>
      <c r="G50" s="334" t="n"/>
      <c r="H50" s="334" t="n"/>
      <c r="I50" s="332">
        <f>IFERROR(VLOOKUP(TEXT(H50,"0"),IPRESS!$A$3:$B$212,2,0),"")</f>
        <v/>
      </c>
      <c r="J50" s="334" t="n"/>
      <c r="K50" s="332">
        <f>IFERROR(VLOOKUP(TEXT(O50,"0"),CONDUCTORES!$A$3:$G$54,7,0),"")</f>
        <v/>
      </c>
      <c r="L50" s="334" t="n"/>
      <c r="M50" s="334" t="n"/>
      <c r="N50" s="333">
        <f>IFERROR(IF(L50*M50=0,"",L50*M50),"")</f>
        <v/>
      </c>
      <c r="O50" s="334" t="n"/>
      <c r="P50" s="332">
        <f>IFERROR(VLOOKUP(TEXT(O50,"0"),CONDUCTORES!$A$3:$G$54,2,0),"")</f>
        <v/>
      </c>
      <c r="Q50" s="332">
        <f>IFERROR(VLOOKUP(TEXT(O50,"0"),CONDUCTORES!$A$3:$H$54,6,0),"")</f>
        <v/>
      </c>
      <c r="R50" s="334" t="n"/>
      <c r="S50" s="334" t="n"/>
      <c r="T50" s="334" t="n"/>
      <c r="U50" s="334" t="n"/>
      <c r="V50" s="334" t="n"/>
      <c r="W50" s="334" t="n"/>
      <c r="X50" s="334" t="n"/>
      <c r="Y50" s="334" t="n"/>
      <c r="Z50" s="242">
        <f>IF(AND(G50&lt;&gt;"",R50&lt;&gt;"",V50&lt;&gt;"",W50&lt;&gt;""),"COMPLETADO","OBSERVADO")</f>
        <v/>
      </c>
      <c r="AA50" s="284" t="n"/>
    </row>
    <row r="51" ht="15.75" customHeight="1" s="195">
      <c r="A51" s="280" t="n"/>
      <c r="B51" s="280" t="n"/>
      <c r="C51" s="280" t="n"/>
      <c r="D51" s="280" t="n"/>
      <c r="E51" s="280" t="n"/>
      <c r="F51" s="280" t="n"/>
      <c r="G51" s="280" t="n"/>
      <c r="H51" s="280" t="n"/>
      <c r="I51" s="332">
        <f>IFERROR(VLOOKUP(TEXT(H51,"0"),IPRESS!$A$3:$B$212,2,0),"")</f>
        <v/>
      </c>
      <c r="J51" s="280" t="n"/>
      <c r="K51" s="332">
        <f>IFERROR(VLOOKUP(TEXT(O51,"0"),CONDUCTORES!$A$3:$G$54,7,0),"")</f>
        <v/>
      </c>
      <c r="L51" s="280" t="n"/>
      <c r="M51" s="280" t="n"/>
      <c r="N51" s="333">
        <f>IFERROR(IF(L51*M51=0,"",L51*M51),"")</f>
        <v/>
      </c>
      <c r="O51" s="280" t="n"/>
      <c r="P51" s="332">
        <f>IFERROR(VLOOKUP(TEXT(O51,"0"),CONDUCTORES!$A$3:$G$54,2,0),"")</f>
        <v/>
      </c>
      <c r="Q51" s="332">
        <f>IFERROR(VLOOKUP(TEXT(O51,"0"),CONDUCTORES!$A$3:$H$54,6,0),"")</f>
        <v/>
      </c>
      <c r="R51" s="280" t="n"/>
      <c r="S51" s="280" t="n"/>
      <c r="T51" s="280" t="n"/>
      <c r="U51" s="280" t="n"/>
      <c r="V51" s="280" t="n"/>
      <c r="W51" s="280" t="n"/>
      <c r="X51" s="280" t="n"/>
      <c r="Y51" s="280" t="n"/>
      <c r="Z51" s="236">
        <f>IF(AND(G51&lt;&gt;"",R51&lt;&gt;"",V51&lt;&gt;"",W51&lt;&gt;""),"COMPLETADO","OBSERVADO")</f>
        <v/>
      </c>
      <c r="AA51" s="284" t="n"/>
    </row>
    <row r="52" ht="15.75" customHeight="1" s="195">
      <c r="A52" s="334" t="n"/>
      <c r="B52" s="334" t="n"/>
      <c r="C52" s="334" t="n"/>
      <c r="D52" s="334" t="n"/>
      <c r="E52" s="334" t="n"/>
      <c r="F52" s="334" t="n"/>
      <c r="G52" s="334" t="n"/>
      <c r="H52" s="334" t="n"/>
      <c r="I52" s="332">
        <f>IFERROR(VLOOKUP(TEXT(H52,"0"),IPRESS!$A$3:$B$212,2,0),"")</f>
        <v/>
      </c>
      <c r="J52" s="334" t="n"/>
      <c r="K52" s="332">
        <f>IFERROR(VLOOKUP(TEXT(O52,"0"),CONDUCTORES!$A$3:$G$54,7,0),"")</f>
        <v/>
      </c>
      <c r="L52" s="334" t="n"/>
      <c r="M52" s="334" t="n"/>
      <c r="N52" s="333">
        <f>IFERROR(IF(L52*M52=0,"",L52*M52),"")</f>
        <v/>
      </c>
      <c r="O52" s="334" t="n"/>
      <c r="P52" s="332">
        <f>IFERROR(VLOOKUP(TEXT(O52,"0"),CONDUCTORES!$A$3:$G$54,2,0),"")</f>
        <v/>
      </c>
      <c r="Q52" s="332">
        <f>IFERROR(VLOOKUP(TEXT(O52,"0"),CONDUCTORES!$A$3:$H$54,6,0),"")</f>
        <v/>
      </c>
      <c r="R52" s="334" t="n"/>
      <c r="S52" s="334" t="n"/>
      <c r="T52" s="334" t="n"/>
      <c r="U52" s="334" t="n"/>
      <c r="V52" s="334" t="n"/>
      <c r="W52" s="334" t="n"/>
      <c r="X52" s="334" t="n"/>
      <c r="Y52" s="334" t="n"/>
      <c r="Z52" s="242">
        <f>IF(AND(G52&lt;&gt;"",R52&lt;&gt;"",V52&lt;&gt;"",W52&lt;&gt;""),"COMPLETADO","OBSERVADO")</f>
        <v/>
      </c>
      <c r="AA52" s="284" t="n"/>
    </row>
    <row r="53" ht="15.75" customHeight="1" s="195">
      <c r="A53" s="280" t="n"/>
      <c r="B53" s="280" t="n"/>
      <c r="C53" s="280" t="n"/>
      <c r="D53" s="280" t="n"/>
      <c r="E53" s="280" t="n"/>
      <c r="F53" s="280" t="n"/>
      <c r="G53" s="280" t="n"/>
      <c r="H53" s="280" t="n"/>
      <c r="I53" s="332">
        <f>IFERROR(VLOOKUP(TEXT(H53,"0"),IPRESS!$A$3:$B$212,2,0),"")</f>
        <v/>
      </c>
      <c r="J53" s="280" t="n"/>
      <c r="K53" s="332">
        <f>IFERROR(VLOOKUP(TEXT(O53,"0"),CONDUCTORES!$A$3:$G$54,7,0),"")</f>
        <v/>
      </c>
      <c r="L53" s="280" t="n"/>
      <c r="M53" s="280" t="n"/>
      <c r="N53" s="333">
        <f>IFERROR(IF(L53*M53=0,"",L53*M53),"")</f>
        <v/>
      </c>
      <c r="O53" s="280" t="n"/>
      <c r="P53" s="332">
        <f>IFERROR(VLOOKUP(TEXT(O53,"0"),CONDUCTORES!$A$3:$G$54,2,0),"")</f>
        <v/>
      </c>
      <c r="Q53" s="332">
        <f>IFERROR(VLOOKUP(TEXT(O53,"0"),CONDUCTORES!$A$3:$H$54,6,0),"")</f>
        <v/>
      </c>
      <c r="R53" s="280" t="n"/>
      <c r="S53" s="280" t="n"/>
      <c r="T53" s="280" t="n"/>
      <c r="U53" s="280" t="n"/>
      <c r="V53" s="280" t="n"/>
      <c r="W53" s="280" t="n"/>
      <c r="X53" s="280" t="n"/>
      <c r="Y53" s="280" t="n"/>
      <c r="Z53" s="236">
        <f>IF(AND(G53&lt;&gt;"",R53&lt;&gt;"",V53&lt;&gt;"",W53&lt;&gt;""),"COMPLETADO","OBSERVADO")</f>
        <v/>
      </c>
      <c r="AA53" s="284" t="n"/>
    </row>
    <row r="54" ht="15.75" customHeight="1" s="195">
      <c r="A54" s="334" t="n"/>
      <c r="B54" s="334" t="n"/>
      <c r="C54" s="334" t="n"/>
      <c r="D54" s="334" t="n"/>
      <c r="E54" s="334" t="n"/>
      <c r="F54" s="334" t="n"/>
      <c r="G54" s="334" t="n"/>
      <c r="H54" s="334" t="n"/>
      <c r="I54" s="332">
        <f>IFERROR(VLOOKUP(TEXT(H54,"0"),IPRESS!$A$3:$B$212,2,0),"")</f>
        <v/>
      </c>
      <c r="J54" s="334" t="n"/>
      <c r="K54" s="332">
        <f>IFERROR(VLOOKUP(TEXT(O54,"0"),CONDUCTORES!$A$3:$G$54,7,0),"")</f>
        <v/>
      </c>
      <c r="L54" s="334" t="n"/>
      <c r="M54" s="334" t="n"/>
      <c r="N54" s="333">
        <f>IFERROR(IF(L54*M54=0,"",L54*M54),"")</f>
        <v/>
      </c>
      <c r="O54" s="334" t="n"/>
      <c r="P54" s="332">
        <f>IFERROR(VLOOKUP(TEXT(O54,"0"),CONDUCTORES!$A$3:$G$54,2,0),"")</f>
        <v/>
      </c>
      <c r="Q54" s="332">
        <f>IFERROR(VLOOKUP(TEXT(O54,"0"),CONDUCTORES!$A$3:$H$54,6,0),"")</f>
        <v/>
      </c>
      <c r="R54" s="334" t="n"/>
      <c r="S54" s="334" t="n"/>
      <c r="T54" s="334" t="n"/>
      <c r="U54" s="334" t="n"/>
      <c r="V54" s="334" t="n"/>
      <c r="W54" s="334" t="n"/>
      <c r="X54" s="334" t="n"/>
      <c r="Y54" s="334" t="n"/>
      <c r="Z54" s="242">
        <f>IF(AND(G54&lt;&gt;"",R54&lt;&gt;"",V54&lt;&gt;"",W54&lt;&gt;""),"COMPLETADO","OBSERVADO")</f>
        <v/>
      </c>
      <c r="AA54" s="284" t="n"/>
    </row>
    <row r="55" ht="15.75" customHeight="1" s="195">
      <c r="A55" s="280" t="n"/>
      <c r="B55" s="280" t="n"/>
      <c r="C55" s="280" t="n"/>
      <c r="D55" s="280" t="n"/>
      <c r="E55" s="280" t="n"/>
      <c r="F55" s="280" t="n"/>
      <c r="G55" s="280" t="n"/>
      <c r="H55" s="280" t="n"/>
      <c r="I55" s="332">
        <f>IFERROR(VLOOKUP(TEXT(H55,"0"),IPRESS!$A$3:$B$212,2,0),"")</f>
        <v/>
      </c>
      <c r="J55" s="280" t="n"/>
      <c r="K55" s="332">
        <f>IFERROR(VLOOKUP(TEXT(O55,"0"),CONDUCTORES!$A$3:$G$54,7,0),"")</f>
        <v/>
      </c>
      <c r="L55" s="280" t="n"/>
      <c r="M55" s="280" t="n"/>
      <c r="N55" s="333">
        <f>IFERROR(IF(L55*M55=0,"",L55*M55),"")</f>
        <v/>
      </c>
      <c r="O55" s="280" t="n"/>
      <c r="P55" s="332">
        <f>IFERROR(VLOOKUP(TEXT(O55,"0"),CONDUCTORES!$A$3:$G$54,2,0),"")</f>
        <v/>
      </c>
      <c r="Q55" s="332">
        <f>IFERROR(VLOOKUP(TEXT(O55,"0"),CONDUCTORES!$A$3:$H$54,6,0),"")</f>
        <v/>
      </c>
      <c r="R55" s="280" t="n"/>
      <c r="S55" s="280" t="n"/>
      <c r="T55" s="280" t="n"/>
      <c r="U55" s="280" t="n"/>
      <c r="V55" s="280" t="n"/>
      <c r="W55" s="280" t="n"/>
      <c r="X55" s="280" t="n"/>
      <c r="Y55" s="280" t="n"/>
      <c r="Z55" s="236">
        <f>IF(AND(G55&lt;&gt;"",R55&lt;&gt;"",V55&lt;&gt;"",W55&lt;&gt;""),"COMPLETADO","OBSERVADO")</f>
        <v/>
      </c>
      <c r="AA55" s="284" t="n"/>
    </row>
    <row r="56" ht="15.75" customHeight="1" s="195">
      <c r="A56" s="334" t="n"/>
      <c r="B56" s="334" t="n"/>
      <c r="C56" s="334" t="n"/>
      <c r="D56" s="334" t="n"/>
      <c r="E56" s="334" t="n"/>
      <c r="F56" s="334" t="n"/>
      <c r="G56" s="334" t="n"/>
      <c r="H56" s="334" t="n"/>
      <c r="I56" s="332">
        <f>IFERROR(VLOOKUP(TEXT(H56,"0"),IPRESS!$A$3:$B$212,2,0),"")</f>
        <v/>
      </c>
      <c r="J56" s="334" t="n"/>
      <c r="K56" s="332">
        <f>IFERROR(VLOOKUP(TEXT(O56,"0"),CONDUCTORES!$A$3:$G$54,7,0),"")</f>
        <v/>
      </c>
      <c r="L56" s="334" t="n"/>
      <c r="M56" s="334" t="n"/>
      <c r="N56" s="333">
        <f>IFERROR(IF(L56*M56=0,"",L56*M56),"")</f>
        <v/>
      </c>
      <c r="O56" s="334" t="n"/>
      <c r="P56" s="332">
        <f>IFERROR(VLOOKUP(TEXT(O56,"0"),CONDUCTORES!$A$3:$G$54,2,0),"")</f>
        <v/>
      </c>
      <c r="Q56" s="332">
        <f>IFERROR(VLOOKUP(TEXT(O56,"0"),CONDUCTORES!$A$3:$H$54,6,0),"")</f>
        <v/>
      </c>
      <c r="R56" s="334" t="n"/>
      <c r="S56" s="334" t="n"/>
      <c r="T56" s="334" t="n"/>
      <c r="U56" s="334" t="n"/>
      <c r="V56" s="334" t="n"/>
      <c r="W56" s="334" t="n"/>
      <c r="X56" s="334" t="n"/>
      <c r="Y56" s="334" t="n"/>
      <c r="Z56" s="242">
        <f>IF(AND(G56&lt;&gt;"",R56&lt;&gt;"",V56&lt;&gt;"",W56&lt;&gt;""),"COMPLETADO","OBSERVADO")</f>
        <v/>
      </c>
      <c r="AA56" s="284" t="n"/>
    </row>
    <row r="57" ht="15.75" customHeight="1" s="195">
      <c r="A57" s="280" t="n"/>
      <c r="B57" s="280" t="n"/>
      <c r="C57" s="280" t="n"/>
      <c r="D57" s="280" t="n"/>
      <c r="E57" s="280" t="n"/>
      <c r="F57" s="280" t="n"/>
      <c r="G57" s="280" t="n"/>
      <c r="H57" s="280" t="n"/>
      <c r="I57" s="332">
        <f>IFERROR(VLOOKUP(TEXT(H57,"0"),IPRESS!$A$3:$B$212,2,0),"")</f>
        <v/>
      </c>
      <c r="J57" s="280" t="n"/>
      <c r="K57" s="332">
        <f>IFERROR(VLOOKUP(TEXT(O57,"0"),CONDUCTORES!$A$3:$G$54,7,0),"")</f>
        <v/>
      </c>
      <c r="L57" s="280" t="n"/>
      <c r="M57" s="280" t="n"/>
      <c r="N57" s="333">
        <f>IFERROR(IF(L57*M57=0,"",L57*M57),"")</f>
        <v/>
      </c>
      <c r="O57" s="280" t="n"/>
      <c r="P57" s="332">
        <f>IFERROR(VLOOKUP(TEXT(O57,"0"),CONDUCTORES!$A$3:$G$54,2,0),"")</f>
        <v/>
      </c>
      <c r="Q57" s="332">
        <f>IFERROR(VLOOKUP(TEXT(O57,"0"),CONDUCTORES!$A$3:$H$54,6,0),"")</f>
        <v/>
      </c>
      <c r="R57" s="280" t="n"/>
      <c r="S57" s="280" t="n"/>
      <c r="T57" s="280" t="n"/>
      <c r="U57" s="280" t="n"/>
      <c r="V57" s="280" t="n"/>
      <c r="W57" s="280" t="n"/>
      <c r="X57" s="280" t="n"/>
      <c r="Y57" s="280" t="n"/>
      <c r="Z57" s="236">
        <f>IF(AND(G57&lt;&gt;"",R57&lt;&gt;"",V57&lt;&gt;"",W57&lt;&gt;""),"COMPLETADO","OBSERVADO")</f>
        <v/>
      </c>
      <c r="AA57" s="284" t="n"/>
    </row>
    <row r="58" ht="15.75" customHeight="1" s="195">
      <c r="A58" s="334" t="n"/>
      <c r="B58" s="334" t="n"/>
      <c r="C58" s="334" t="n"/>
      <c r="D58" s="334" t="n"/>
      <c r="E58" s="334" t="n"/>
      <c r="F58" s="334" t="n"/>
      <c r="G58" s="334" t="n"/>
      <c r="H58" s="334" t="n"/>
      <c r="I58" s="332">
        <f>IFERROR(VLOOKUP(TEXT(H58,"0"),IPRESS!$A$3:$B$212,2,0),"")</f>
        <v/>
      </c>
      <c r="J58" s="334" t="n"/>
      <c r="K58" s="332">
        <f>IFERROR(VLOOKUP(TEXT(O58,"0"),CONDUCTORES!$A$3:$G$54,7,0),"")</f>
        <v/>
      </c>
      <c r="L58" s="334" t="n"/>
      <c r="M58" s="334" t="n"/>
      <c r="N58" s="333">
        <f>IFERROR(IF(L58*M58=0,"",L58*M58),"")</f>
        <v/>
      </c>
      <c r="O58" s="334" t="n"/>
      <c r="P58" s="332">
        <f>IFERROR(VLOOKUP(TEXT(O58,"0"),CONDUCTORES!$A$3:$G$54,2,0),"")</f>
        <v/>
      </c>
      <c r="Q58" s="332">
        <f>IFERROR(VLOOKUP(TEXT(O58,"0"),CONDUCTORES!$A$3:$H$54,6,0),"")</f>
        <v/>
      </c>
      <c r="R58" s="334" t="n"/>
      <c r="S58" s="334" t="n"/>
      <c r="T58" s="334" t="n"/>
      <c r="U58" s="334" t="n"/>
      <c r="V58" s="334" t="n"/>
      <c r="W58" s="334" t="n"/>
      <c r="X58" s="334" t="n"/>
      <c r="Y58" s="334" t="n"/>
      <c r="Z58" s="242">
        <f>IF(AND(G58&lt;&gt;"",R58&lt;&gt;"",V58&lt;&gt;"",W58&lt;&gt;""),"COMPLETADO","OBSERVADO")</f>
        <v/>
      </c>
      <c r="AA58" s="284" t="n"/>
    </row>
    <row r="59" ht="15.75" customHeight="1" s="195">
      <c r="A59" s="280" t="n"/>
      <c r="B59" s="280" t="n"/>
      <c r="C59" s="280" t="n"/>
      <c r="D59" s="280" t="n"/>
      <c r="E59" s="280" t="n"/>
      <c r="F59" s="280" t="n"/>
      <c r="G59" s="280" t="n"/>
      <c r="H59" s="280" t="n"/>
      <c r="I59" s="332">
        <f>IFERROR(VLOOKUP(TEXT(H59,"0"),IPRESS!$A$3:$B$212,2,0),"")</f>
        <v/>
      </c>
      <c r="J59" s="280" t="n"/>
      <c r="K59" s="332">
        <f>IFERROR(VLOOKUP(TEXT(O59,"0"),CONDUCTORES!$A$3:$G$54,7,0),"")</f>
        <v/>
      </c>
      <c r="L59" s="280" t="n"/>
      <c r="M59" s="280" t="n"/>
      <c r="N59" s="333">
        <f>IFERROR(IF(L59*M59=0,"",L59*M59),"")</f>
        <v/>
      </c>
      <c r="O59" s="280" t="n"/>
      <c r="P59" s="332">
        <f>IFERROR(VLOOKUP(TEXT(O59,"0"),CONDUCTORES!$A$3:$G$54,2,0),"")</f>
        <v/>
      </c>
      <c r="Q59" s="332">
        <f>IFERROR(VLOOKUP(TEXT(O59,"0"),CONDUCTORES!$A$3:$H$54,6,0),"")</f>
        <v/>
      </c>
      <c r="R59" s="280" t="n"/>
      <c r="S59" s="280" t="n"/>
      <c r="T59" s="280" t="n"/>
      <c r="U59" s="280" t="n"/>
      <c r="V59" s="280" t="n"/>
      <c r="W59" s="280" t="n"/>
      <c r="X59" s="280" t="n"/>
      <c r="Y59" s="280" t="n"/>
      <c r="Z59" s="236">
        <f>IF(AND(G59&lt;&gt;"",R59&lt;&gt;"",V59&lt;&gt;"",W59&lt;&gt;""),"COMPLETADO","OBSERVADO")</f>
        <v/>
      </c>
      <c r="AA59" s="284" t="n"/>
    </row>
    <row r="60" ht="15.75" customHeight="1" s="195">
      <c r="A60" s="334" t="n"/>
      <c r="B60" s="334" t="n"/>
      <c r="C60" s="334" t="n"/>
      <c r="D60" s="334" t="n"/>
      <c r="E60" s="334" t="n"/>
      <c r="F60" s="334" t="n"/>
      <c r="G60" s="334" t="n"/>
      <c r="H60" s="334" t="n"/>
      <c r="I60" s="332">
        <f>IFERROR(VLOOKUP(TEXT(H60,"0"),IPRESS!$A$3:$B$212,2,0),"")</f>
        <v/>
      </c>
      <c r="J60" s="334" t="n"/>
      <c r="K60" s="332">
        <f>IFERROR(VLOOKUP(TEXT(O60,"0"),CONDUCTORES!$A$3:$G$54,7,0),"")</f>
        <v/>
      </c>
      <c r="L60" s="334" t="n"/>
      <c r="M60" s="334" t="n"/>
      <c r="N60" s="333">
        <f>IFERROR(IF(L60*M60=0,"",L60*M60),"")</f>
        <v/>
      </c>
      <c r="O60" s="334" t="n"/>
      <c r="P60" s="332">
        <f>IFERROR(VLOOKUP(TEXT(O60,"0"),CONDUCTORES!$A$3:$G$54,2,0),"")</f>
        <v/>
      </c>
      <c r="Q60" s="332">
        <f>IFERROR(VLOOKUP(TEXT(O60,"0"),CONDUCTORES!$A$3:$H$54,6,0),"")</f>
        <v/>
      </c>
      <c r="R60" s="334" t="n"/>
      <c r="S60" s="334" t="n"/>
      <c r="T60" s="334" t="n"/>
      <c r="U60" s="334" t="n"/>
      <c r="V60" s="334" t="n"/>
      <c r="W60" s="334" t="n"/>
      <c r="X60" s="334" t="n"/>
      <c r="Y60" s="334" t="n"/>
      <c r="Z60" s="242">
        <f>IF(AND(G60&lt;&gt;"",R60&lt;&gt;"",V60&lt;&gt;"",W60&lt;&gt;""),"COMPLETADO","OBSERVADO")</f>
        <v/>
      </c>
      <c r="AA60" s="284" t="n"/>
    </row>
    <row r="61" ht="15.75" customHeight="1" s="195">
      <c r="A61" s="280" t="n"/>
      <c r="B61" s="280" t="n"/>
      <c r="C61" s="280" t="n"/>
      <c r="D61" s="280" t="n"/>
      <c r="E61" s="280" t="n"/>
      <c r="F61" s="280" t="n"/>
      <c r="G61" s="280" t="n"/>
      <c r="H61" s="280" t="n"/>
      <c r="I61" s="332">
        <f>IFERROR(VLOOKUP(TEXT(H61,"0"),IPRESS!$A$3:$B$212,2,0),"")</f>
        <v/>
      </c>
      <c r="J61" s="280" t="n"/>
      <c r="K61" s="332">
        <f>IFERROR(VLOOKUP(TEXT(O61,"0"),CONDUCTORES!$A$3:$G$54,7,0),"")</f>
        <v/>
      </c>
      <c r="L61" s="280" t="n"/>
      <c r="M61" s="280" t="n"/>
      <c r="N61" s="333">
        <f>IFERROR(IF(L61*M61=0,"",L61*M61),"")</f>
        <v/>
      </c>
      <c r="O61" s="280" t="n"/>
      <c r="P61" s="332">
        <f>IFERROR(VLOOKUP(TEXT(O61,"0"),CONDUCTORES!$A$3:$G$54,2,0),"")</f>
        <v/>
      </c>
      <c r="Q61" s="332">
        <f>IFERROR(VLOOKUP(TEXT(O61,"0"),CONDUCTORES!$A$3:$H$54,6,0),"")</f>
        <v/>
      </c>
      <c r="R61" s="280" t="n"/>
      <c r="S61" s="280" t="n"/>
      <c r="T61" s="280" t="n"/>
      <c r="U61" s="280" t="n"/>
      <c r="V61" s="280" t="n"/>
      <c r="W61" s="280" t="n"/>
      <c r="X61" s="280" t="n"/>
      <c r="Y61" s="280" t="n"/>
      <c r="Z61" s="236">
        <f>IF(AND(G61&lt;&gt;"",R61&lt;&gt;"",V61&lt;&gt;"",W61&lt;&gt;""),"COMPLETADO","OBSERVADO")</f>
        <v/>
      </c>
      <c r="AA61" s="284" t="n"/>
    </row>
    <row r="62" ht="15.75" customHeight="1" s="195">
      <c r="A62" s="334" t="n"/>
      <c r="B62" s="334" t="n"/>
      <c r="C62" s="334" t="n"/>
      <c r="D62" s="334" t="n"/>
      <c r="E62" s="334" t="n"/>
      <c r="F62" s="334" t="n"/>
      <c r="G62" s="334" t="n"/>
      <c r="H62" s="334" t="n"/>
      <c r="I62" s="332">
        <f>IFERROR(VLOOKUP(TEXT(H62,"0"),IPRESS!$A$3:$B$212,2,0),"")</f>
        <v/>
      </c>
      <c r="J62" s="334" t="n"/>
      <c r="K62" s="332">
        <f>IFERROR(VLOOKUP(TEXT(O62,"0"),CONDUCTORES!$A$3:$G$54,7,0),"")</f>
        <v/>
      </c>
      <c r="L62" s="334" t="n"/>
      <c r="M62" s="334" t="n"/>
      <c r="N62" s="333">
        <f>IFERROR(IF(L62*M62=0,"",L62*M62),"")</f>
        <v/>
      </c>
      <c r="O62" s="334" t="n"/>
      <c r="P62" s="332">
        <f>IFERROR(VLOOKUP(TEXT(O62,"0"),CONDUCTORES!$A$3:$G$54,2,0),"")</f>
        <v/>
      </c>
      <c r="Q62" s="332">
        <f>IFERROR(VLOOKUP(TEXT(O62,"0"),CONDUCTORES!$A$3:$H$54,6,0),"")</f>
        <v/>
      </c>
      <c r="R62" s="334" t="n"/>
      <c r="S62" s="334" t="n"/>
      <c r="T62" s="334" t="n"/>
      <c r="U62" s="334" t="n"/>
      <c r="V62" s="334" t="n"/>
      <c r="W62" s="334" t="n"/>
      <c r="X62" s="334" t="n"/>
      <c r="Y62" s="334" t="n"/>
      <c r="Z62" s="242">
        <f>IF(AND(G62&lt;&gt;"",R62&lt;&gt;"",V62&lt;&gt;"",W62&lt;&gt;""),"COMPLETADO","OBSERVADO")</f>
        <v/>
      </c>
      <c r="AA62" s="284" t="n"/>
    </row>
    <row r="63" ht="15.75" customHeight="1" s="195">
      <c r="A63" s="280" t="n"/>
      <c r="B63" s="280" t="n"/>
      <c r="C63" s="280" t="n"/>
      <c r="D63" s="280" t="n"/>
      <c r="E63" s="280" t="n"/>
      <c r="F63" s="280" t="n"/>
      <c r="G63" s="280" t="n"/>
      <c r="H63" s="280" t="n"/>
      <c r="I63" s="332">
        <f>IFERROR(VLOOKUP(TEXT(H63,"0"),IPRESS!$A$3:$B$212,2,0),"")</f>
        <v/>
      </c>
      <c r="J63" s="280" t="n"/>
      <c r="K63" s="332">
        <f>IFERROR(VLOOKUP(TEXT(O63,"0"),CONDUCTORES!$A$3:$G$54,7,0),"")</f>
        <v/>
      </c>
      <c r="L63" s="280" t="n"/>
      <c r="M63" s="280" t="n"/>
      <c r="N63" s="333">
        <f>IFERROR(IF(L63*M63=0,"",L63*M63),"")</f>
        <v/>
      </c>
      <c r="O63" s="280" t="n"/>
      <c r="P63" s="332">
        <f>IFERROR(VLOOKUP(TEXT(O63,"0"),CONDUCTORES!$A$3:$G$54,2,0),"")</f>
        <v/>
      </c>
      <c r="Q63" s="332">
        <f>IFERROR(VLOOKUP(TEXT(O63,"0"),CONDUCTORES!$A$3:$H$54,6,0),"")</f>
        <v/>
      </c>
      <c r="R63" s="280" t="n"/>
      <c r="S63" s="280" t="n"/>
      <c r="T63" s="280" t="n"/>
      <c r="U63" s="280" t="n"/>
      <c r="V63" s="280" t="n"/>
      <c r="W63" s="280" t="n"/>
      <c r="X63" s="280" t="n"/>
      <c r="Y63" s="280" t="n"/>
      <c r="Z63" s="236">
        <f>IF(AND(G63&lt;&gt;"",R63&lt;&gt;"",V63&lt;&gt;"",W63&lt;&gt;""),"COMPLETADO","OBSERVADO")</f>
        <v/>
      </c>
      <c r="AA63" s="284" t="n"/>
    </row>
    <row r="64" ht="15.75" customHeight="1" s="195">
      <c r="A64" s="334" t="n"/>
      <c r="B64" s="334" t="n"/>
      <c r="C64" s="334" t="n"/>
      <c r="D64" s="334" t="n"/>
      <c r="E64" s="334" t="n"/>
      <c r="F64" s="334" t="n"/>
      <c r="G64" s="334" t="n"/>
      <c r="H64" s="334" t="n"/>
      <c r="I64" s="332">
        <f>IFERROR(VLOOKUP(TEXT(H64,"0"),IPRESS!$A$3:$B$212,2,0),"")</f>
        <v/>
      </c>
      <c r="J64" s="334" t="n"/>
      <c r="K64" s="332">
        <f>IFERROR(VLOOKUP(TEXT(O64,"0"),CONDUCTORES!$A$3:$G$54,7,0),"")</f>
        <v/>
      </c>
      <c r="L64" s="334" t="n"/>
      <c r="M64" s="334" t="n"/>
      <c r="N64" s="333">
        <f>IFERROR(IF(L64*M64=0,"",L64*M64),"")</f>
        <v/>
      </c>
      <c r="O64" s="334" t="n"/>
      <c r="P64" s="332">
        <f>IFERROR(VLOOKUP(TEXT(O64,"0"),CONDUCTORES!$A$3:$G$54,2,0),"")</f>
        <v/>
      </c>
      <c r="Q64" s="332">
        <f>IFERROR(VLOOKUP(TEXT(O64,"0"),CONDUCTORES!$A$3:$H$54,6,0),"")</f>
        <v/>
      </c>
      <c r="R64" s="334" t="n"/>
      <c r="S64" s="334" t="n"/>
      <c r="T64" s="334" t="n"/>
      <c r="U64" s="334" t="n"/>
      <c r="V64" s="334" t="n"/>
      <c r="W64" s="334" t="n"/>
      <c r="X64" s="334" t="n"/>
      <c r="Y64" s="334" t="n"/>
      <c r="Z64" s="242">
        <f>IF(AND(G64&lt;&gt;"",R64&lt;&gt;"",V64&lt;&gt;"",W64&lt;&gt;""),"COMPLETADO","OBSERVADO")</f>
        <v/>
      </c>
      <c r="AA64" s="284" t="n"/>
    </row>
    <row r="65" ht="15.75" customHeight="1" s="195">
      <c r="A65" s="280" t="n"/>
      <c r="B65" s="280" t="n"/>
      <c r="C65" s="280" t="n"/>
      <c r="D65" s="280" t="n"/>
      <c r="E65" s="280" t="n"/>
      <c r="F65" s="280" t="n"/>
      <c r="G65" s="280" t="n"/>
      <c r="H65" s="280" t="n"/>
      <c r="I65" s="332">
        <f>IFERROR(VLOOKUP(TEXT(H65,"0"),IPRESS!$A$3:$B$212,2,0),"")</f>
        <v/>
      </c>
      <c r="J65" s="280" t="n"/>
      <c r="K65" s="332">
        <f>IFERROR(VLOOKUP(TEXT(O65,"0"),CONDUCTORES!$A$3:$G$54,7,0),"")</f>
        <v/>
      </c>
      <c r="L65" s="280" t="n"/>
      <c r="M65" s="280" t="n"/>
      <c r="N65" s="333">
        <f>IFERROR(IF(L65*M65=0,"",L65*M65),"")</f>
        <v/>
      </c>
      <c r="O65" s="280" t="n"/>
      <c r="P65" s="332">
        <f>IFERROR(VLOOKUP(TEXT(O65,"0"),CONDUCTORES!$A$3:$G$54,2,0),"")</f>
        <v/>
      </c>
      <c r="Q65" s="332">
        <f>IFERROR(VLOOKUP(TEXT(O65,"0"),CONDUCTORES!$A$3:$H$54,6,0),"")</f>
        <v/>
      </c>
      <c r="R65" s="280" t="n"/>
      <c r="S65" s="280" t="n"/>
      <c r="T65" s="280" t="n"/>
      <c r="U65" s="280" t="n"/>
      <c r="V65" s="280" t="n"/>
      <c r="W65" s="280" t="n"/>
      <c r="X65" s="280" t="n"/>
      <c r="Y65" s="280" t="n"/>
      <c r="Z65" s="236">
        <f>IF(AND(G65&lt;&gt;"",R65&lt;&gt;"",V65&lt;&gt;"",W65&lt;&gt;""),"COMPLETADO","OBSERVADO")</f>
        <v/>
      </c>
      <c r="AA65" s="284" t="n"/>
    </row>
    <row r="66" ht="15.75" customHeight="1" s="195">
      <c r="A66" s="334" t="n"/>
      <c r="B66" s="334" t="n"/>
      <c r="C66" s="334" t="n"/>
      <c r="D66" s="334" t="n"/>
      <c r="E66" s="334" t="n"/>
      <c r="F66" s="334" t="n"/>
      <c r="G66" s="334" t="n"/>
      <c r="H66" s="334" t="n"/>
      <c r="I66" s="332">
        <f>IFERROR(VLOOKUP(TEXT(H66,"0"),IPRESS!$A$3:$B$212,2,0),"")</f>
        <v/>
      </c>
      <c r="J66" s="334" t="n"/>
      <c r="K66" s="332">
        <f>IFERROR(VLOOKUP(TEXT(O66,"0"),CONDUCTORES!$A$3:$G$54,7,0),"")</f>
        <v/>
      </c>
      <c r="L66" s="334" t="n"/>
      <c r="M66" s="334" t="n"/>
      <c r="N66" s="333">
        <f>IFERROR(IF(L66*M66=0,"",L66*M66),"")</f>
        <v/>
      </c>
      <c r="O66" s="334" t="n"/>
      <c r="P66" s="332">
        <f>IFERROR(VLOOKUP(TEXT(O66,"0"),CONDUCTORES!$A$3:$G$54,2,0),"")</f>
        <v/>
      </c>
      <c r="Q66" s="332">
        <f>IFERROR(VLOOKUP(TEXT(O66,"0"),CONDUCTORES!$A$3:$H$54,6,0),"")</f>
        <v/>
      </c>
      <c r="R66" s="334" t="n"/>
      <c r="S66" s="334" t="n"/>
      <c r="T66" s="334" t="n"/>
      <c r="U66" s="334" t="n"/>
      <c r="V66" s="334" t="n"/>
      <c r="W66" s="334" t="n"/>
      <c r="X66" s="334" t="n"/>
      <c r="Y66" s="334" t="n"/>
      <c r="Z66" s="242">
        <f>IF(AND(G66&lt;&gt;"",R66&lt;&gt;"",V66&lt;&gt;"",W66&lt;&gt;""),"COMPLETADO","OBSERVADO")</f>
        <v/>
      </c>
      <c r="AA66" s="284" t="n"/>
    </row>
    <row r="67" ht="15.75" customHeight="1" s="195">
      <c r="A67" s="280" t="n"/>
      <c r="B67" s="280" t="n"/>
      <c r="C67" s="280" t="n"/>
      <c r="D67" s="280" t="n"/>
      <c r="E67" s="280" t="n"/>
      <c r="F67" s="280" t="n"/>
      <c r="G67" s="280" t="n"/>
      <c r="H67" s="280" t="n"/>
      <c r="I67" s="332">
        <f>IFERROR(VLOOKUP(TEXT(H67,"0"),IPRESS!$A$3:$B$212,2,0),"")</f>
        <v/>
      </c>
      <c r="J67" s="280" t="n"/>
      <c r="K67" s="332">
        <f>IFERROR(VLOOKUP(TEXT(O67,"0"),CONDUCTORES!$A$3:$G$54,7,0),"")</f>
        <v/>
      </c>
      <c r="L67" s="280" t="n"/>
      <c r="M67" s="280" t="n"/>
      <c r="N67" s="333">
        <f>IFERROR(IF(L67*M67=0,"",L67*M67),"")</f>
        <v/>
      </c>
      <c r="O67" s="280" t="n"/>
      <c r="P67" s="332">
        <f>IFERROR(VLOOKUP(TEXT(O67,"0"),CONDUCTORES!$A$3:$G$54,2,0),"")</f>
        <v/>
      </c>
      <c r="Q67" s="332">
        <f>IFERROR(VLOOKUP(TEXT(O67,"0"),CONDUCTORES!$A$3:$H$54,6,0),"")</f>
        <v/>
      </c>
      <c r="R67" s="280" t="n"/>
      <c r="S67" s="280" t="n"/>
      <c r="T67" s="280" t="n"/>
      <c r="U67" s="280" t="n"/>
      <c r="V67" s="280" t="n"/>
      <c r="W67" s="280" t="n"/>
      <c r="X67" s="280" t="n"/>
      <c r="Y67" s="280" t="n"/>
      <c r="Z67" s="236">
        <f>IF(AND(G67&lt;&gt;"",R67&lt;&gt;"",V67&lt;&gt;"",W67&lt;&gt;""),"COMPLETADO","OBSERVADO")</f>
        <v/>
      </c>
      <c r="AA67" s="284" t="n"/>
    </row>
    <row r="68" ht="15.75" customHeight="1" s="195">
      <c r="A68" s="334" t="n"/>
      <c r="B68" s="334" t="n"/>
      <c r="C68" s="334" t="n"/>
      <c r="D68" s="334" t="n"/>
      <c r="E68" s="334" t="n"/>
      <c r="F68" s="334" t="n"/>
      <c r="G68" s="334" t="n"/>
      <c r="H68" s="334" t="n"/>
      <c r="I68" s="332">
        <f>IFERROR(VLOOKUP(TEXT(H68,"0"),IPRESS!$A$3:$B$212,2,0),"")</f>
        <v/>
      </c>
      <c r="J68" s="334" t="n"/>
      <c r="K68" s="332">
        <f>IFERROR(VLOOKUP(TEXT(O68,"0"),CONDUCTORES!$A$3:$G$54,7,0),"")</f>
        <v/>
      </c>
      <c r="L68" s="334" t="n"/>
      <c r="M68" s="334" t="n"/>
      <c r="N68" s="333">
        <f>IFERROR(IF(L68*M68=0,"",L68*M68),"")</f>
        <v/>
      </c>
      <c r="O68" s="334" t="n"/>
      <c r="P68" s="332">
        <f>IFERROR(VLOOKUP(TEXT(O68,"0"),CONDUCTORES!$A$3:$G$54,2,0),"")</f>
        <v/>
      </c>
      <c r="Q68" s="332">
        <f>IFERROR(VLOOKUP(TEXT(O68,"0"),CONDUCTORES!$A$3:$H$54,6,0),"")</f>
        <v/>
      </c>
      <c r="R68" s="334" t="n"/>
      <c r="S68" s="334" t="n"/>
      <c r="T68" s="334" t="n"/>
      <c r="U68" s="334" t="n"/>
      <c r="V68" s="334" t="n"/>
      <c r="W68" s="334" t="n"/>
      <c r="X68" s="334" t="n"/>
      <c r="Y68" s="334" t="n"/>
      <c r="Z68" s="242">
        <f>IF(AND(G68&lt;&gt;"",R68&lt;&gt;"",V68&lt;&gt;"",W68&lt;&gt;""),"COMPLETADO","OBSERVADO")</f>
        <v/>
      </c>
      <c r="AA68" s="284" t="n"/>
    </row>
    <row r="69" ht="15.75" customHeight="1" s="195">
      <c r="A69" s="280" t="n"/>
      <c r="B69" s="280" t="n"/>
      <c r="C69" s="280" t="n"/>
      <c r="D69" s="280" t="n"/>
      <c r="E69" s="280" t="n"/>
      <c r="F69" s="280" t="n"/>
      <c r="G69" s="280" t="n"/>
      <c r="H69" s="280" t="n"/>
      <c r="I69" s="332">
        <f>IFERROR(VLOOKUP(TEXT(H69,"0"),IPRESS!$A$3:$B$212,2,0),"")</f>
        <v/>
      </c>
      <c r="J69" s="280" t="n"/>
      <c r="K69" s="332">
        <f>IFERROR(VLOOKUP(TEXT(O69,"0"),CONDUCTORES!$A$3:$G$54,7,0),"")</f>
        <v/>
      </c>
      <c r="L69" s="280" t="n"/>
      <c r="M69" s="280" t="n"/>
      <c r="N69" s="333">
        <f>IFERROR(IF(L69*M69=0,"",L69*M69),"")</f>
        <v/>
      </c>
      <c r="O69" s="280" t="n"/>
      <c r="P69" s="332">
        <f>IFERROR(VLOOKUP(TEXT(O69,"0"),CONDUCTORES!$A$3:$G$54,2,0),"")</f>
        <v/>
      </c>
      <c r="Q69" s="332">
        <f>IFERROR(VLOOKUP(TEXT(O69,"0"),CONDUCTORES!$A$3:$H$54,6,0),"")</f>
        <v/>
      </c>
      <c r="R69" s="280" t="n"/>
      <c r="S69" s="280" t="n"/>
      <c r="T69" s="280" t="n"/>
      <c r="U69" s="280" t="n"/>
      <c r="V69" s="280" t="n"/>
      <c r="W69" s="280" t="n"/>
      <c r="X69" s="280" t="n"/>
      <c r="Y69" s="280" t="n"/>
      <c r="Z69" s="236">
        <f>IF(AND(G69&lt;&gt;"",R69&lt;&gt;"",V69&lt;&gt;"",W69&lt;&gt;""),"COMPLETADO","OBSERVADO")</f>
        <v/>
      </c>
      <c r="AA69" s="284" t="n"/>
    </row>
    <row r="70" ht="15.75" customHeight="1" s="195">
      <c r="A70" s="334" t="n"/>
      <c r="B70" s="334" t="n"/>
      <c r="C70" s="334" t="n"/>
      <c r="D70" s="334" t="n"/>
      <c r="E70" s="334" t="n"/>
      <c r="F70" s="334" t="n"/>
      <c r="G70" s="334" t="n"/>
      <c r="H70" s="334" t="n"/>
      <c r="I70" s="332">
        <f>IFERROR(VLOOKUP(TEXT(H70,"0"),IPRESS!$A$3:$B$212,2,0),"")</f>
        <v/>
      </c>
      <c r="J70" s="334" t="n"/>
      <c r="K70" s="332">
        <f>IFERROR(VLOOKUP(TEXT(O70,"0"),CONDUCTORES!$A$3:$G$54,7,0),"")</f>
        <v/>
      </c>
      <c r="L70" s="334" t="n"/>
      <c r="M70" s="334" t="n"/>
      <c r="N70" s="333">
        <f>IFERROR(IF(L70*M70=0,"",L70*M70),"")</f>
        <v/>
      </c>
      <c r="O70" s="334" t="n"/>
      <c r="P70" s="332">
        <f>IFERROR(VLOOKUP(TEXT(O70,"0"),CONDUCTORES!$A$3:$G$54,2,0),"")</f>
        <v/>
      </c>
      <c r="Q70" s="332">
        <f>IFERROR(VLOOKUP(TEXT(O70,"0"),CONDUCTORES!$A$3:$H$54,6,0),"")</f>
        <v/>
      </c>
      <c r="R70" s="334" t="n"/>
      <c r="S70" s="334" t="n"/>
      <c r="T70" s="334" t="n"/>
      <c r="U70" s="334" t="n"/>
      <c r="V70" s="334" t="n"/>
      <c r="W70" s="334" t="n"/>
      <c r="X70" s="334" t="n"/>
      <c r="Y70" s="334" t="n"/>
      <c r="Z70" s="242">
        <f>IF(AND(G70&lt;&gt;"",R70&lt;&gt;"",V70&lt;&gt;"",W70&lt;&gt;""),"COMPLETADO","OBSERVADO")</f>
        <v/>
      </c>
      <c r="AA70" s="284" t="n"/>
    </row>
    <row r="71" ht="15.75" customHeight="1" s="195">
      <c r="A71" s="280" t="n"/>
      <c r="B71" s="280" t="n"/>
      <c r="C71" s="280" t="n"/>
      <c r="D71" s="280" t="n"/>
      <c r="E71" s="280" t="n"/>
      <c r="F71" s="280" t="n"/>
      <c r="G71" s="280" t="n"/>
      <c r="H71" s="280" t="n"/>
      <c r="I71" s="332">
        <f>IFERROR(VLOOKUP(TEXT(H71,"0"),IPRESS!$A$3:$B$212,2,0),"")</f>
        <v/>
      </c>
      <c r="J71" s="280" t="n"/>
      <c r="K71" s="332">
        <f>IFERROR(VLOOKUP(TEXT(O71,"0"),CONDUCTORES!$A$3:$G$54,7,0),"")</f>
        <v/>
      </c>
      <c r="L71" s="280" t="n"/>
      <c r="M71" s="280" t="n"/>
      <c r="N71" s="333">
        <f>IFERROR(IF(L71*M71=0,"",L71*M71),"")</f>
        <v/>
      </c>
      <c r="O71" s="280" t="n"/>
      <c r="P71" s="332">
        <f>IFERROR(VLOOKUP(TEXT(O71,"0"),CONDUCTORES!$A$3:$G$54,2,0),"")</f>
        <v/>
      </c>
      <c r="Q71" s="332">
        <f>IFERROR(VLOOKUP(TEXT(O71,"0"),CONDUCTORES!$A$3:$H$54,6,0),"")</f>
        <v/>
      </c>
      <c r="R71" s="280" t="n"/>
      <c r="S71" s="280" t="n"/>
      <c r="T71" s="280" t="n"/>
      <c r="U71" s="280" t="n"/>
      <c r="V71" s="280" t="n"/>
      <c r="W71" s="280" t="n"/>
      <c r="X71" s="280" t="n"/>
      <c r="Y71" s="280" t="n"/>
      <c r="Z71" s="236">
        <f>IF(AND(G71&lt;&gt;"",R71&lt;&gt;"",V71&lt;&gt;"",W71&lt;&gt;""),"COMPLETADO","OBSERVADO")</f>
        <v/>
      </c>
      <c r="AA71" s="284" t="n"/>
    </row>
    <row r="72" ht="15.75" customHeight="1" s="195">
      <c r="A72" s="334" t="n"/>
      <c r="B72" s="334" t="n"/>
      <c r="C72" s="334" t="n"/>
      <c r="D72" s="334" t="n"/>
      <c r="E72" s="334" t="n"/>
      <c r="F72" s="334" t="n"/>
      <c r="G72" s="334" t="n"/>
      <c r="H72" s="334" t="n"/>
      <c r="I72" s="332">
        <f>IFERROR(VLOOKUP(TEXT(H72,"0"),IPRESS!$A$3:$B$212,2,0),"")</f>
        <v/>
      </c>
      <c r="J72" s="334" t="n"/>
      <c r="K72" s="332">
        <f>IFERROR(VLOOKUP(TEXT(O72,"0"),CONDUCTORES!$A$3:$G$54,7,0),"")</f>
        <v/>
      </c>
      <c r="L72" s="334" t="n"/>
      <c r="M72" s="334" t="n"/>
      <c r="N72" s="333">
        <f>IFERROR(IF(L72*M72=0,"",L72*M72),"")</f>
        <v/>
      </c>
      <c r="O72" s="334" t="n"/>
      <c r="P72" s="332">
        <f>IFERROR(VLOOKUP(TEXT(O72,"0"),CONDUCTORES!$A$3:$G$54,2,0),"")</f>
        <v/>
      </c>
      <c r="Q72" s="332">
        <f>IFERROR(VLOOKUP(TEXT(O72,"0"),CONDUCTORES!$A$3:$H$54,6,0),"")</f>
        <v/>
      </c>
      <c r="R72" s="334" t="n"/>
      <c r="S72" s="334" t="n"/>
      <c r="T72" s="334" t="n"/>
      <c r="U72" s="334" t="n"/>
      <c r="V72" s="334" t="n"/>
      <c r="W72" s="334" t="n"/>
      <c r="X72" s="334" t="n"/>
      <c r="Y72" s="334" t="n"/>
      <c r="Z72" s="242">
        <f>IF(AND(G72&lt;&gt;"",R72&lt;&gt;"",V72&lt;&gt;"",W72&lt;&gt;""),"COMPLETADO","OBSERVADO")</f>
        <v/>
      </c>
      <c r="AA72" s="284" t="n"/>
    </row>
    <row r="73" ht="15.75" customHeight="1" s="195">
      <c r="A73" s="280" t="n"/>
      <c r="B73" s="280" t="n"/>
      <c r="C73" s="280" t="n"/>
      <c r="D73" s="280" t="n"/>
      <c r="E73" s="280" t="n"/>
      <c r="F73" s="280" t="n"/>
      <c r="G73" s="280" t="n"/>
      <c r="H73" s="280" t="n"/>
      <c r="I73" s="332">
        <f>IFERROR(VLOOKUP(TEXT(H73,"0"),IPRESS!$A$3:$B$212,2,0),"")</f>
        <v/>
      </c>
      <c r="J73" s="280" t="n"/>
      <c r="K73" s="332">
        <f>IFERROR(VLOOKUP(TEXT(O73,"0"),CONDUCTORES!$A$3:$G$54,7,0),"")</f>
        <v/>
      </c>
      <c r="L73" s="280" t="n"/>
      <c r="M73" s="280" t="n"/>
      <c r="N73" s="333">
        <f>IFERROR(IF(L73*M73=0,"",L73*M73),"")</f>
        <v/>
      </c>
      <c r="O73" s="280" t="n"/>
      <c r="P73" s="332">
        <f>IFERROR(VLOOKUP(TEXT(O73,"0"),CONDUCTORES!$A$3:$G$54,2,0),"")</f>
        <v/>
      </c>
      <c r="Q73" s="332">
        <f>IFERROR(VLOOKUP(TEXT(O73,"0"),CONDUCTORES!$A$3:$H$54,6,0),"")</f>
        <v/>
      </c>
      <c r="R73" s="280" t="n"/>
      <c r="S73" s="280" t="n"/>
      <c r="T73" s="280" t="n"/>
      <c r="U73" s="280" t="n"/>
      <c r="V73" s="280" t="n"/>
      <c r="W73" s="280" t="n"/>
      <c r="X73" s="280" t="n"/>
      <c r="Y73" s="280" t="n"/>
      <c r="Z73" s="236">
        <f>IF(AND(G73&lt;&gt;"",R73&lt;&gt;"",V73&lt;&gt;"",W73&lt;&gt;""),"COMPLETADO","OBSERVADO")</f>
        <v/>
      </c>
      <c r="AA73" s="284" t="n"/>
    </row>
    <row r="74" ht="15.75" customHeight="1" s="195">
      <c r="A74" s="334" t="n"/>
      <c r="B74" s="334" t="n"/>
      <c r="C74" s="334" t="n"/>
      <c r="D74" s="334" t="n"/>
      <c r="E74" s="334" t="n"/>
      <c r="F74" s="334" t="n"/>
      <c r="G74" s="334" t="n"/>
      <c r="H74" s="334" t="n"/>
      <c r="I74" s="332">
        <f>IFERROR(VLOOKUP(TEXT(H74,"0"),IPRESS!$A$3:$B$212,2,0),"")</f>
        <v/>
      </c>
      <c r="J74" s="334" t="n"/>
      <c r="K74" s="332">
        <f>IFERROR(VLOOKUP(TEXT(O74,"0"),CONDUCTORES!$A$3:$G$54,7,0),"")</f>
        <v/>
      </c>
      <c r="L74" s="334" t="n"/>
      <c r="M74" s="334" t="n"/>
      <c r="N74" s="333">
        <f>IFERROR(IF(L74*M74=0,"",L74*M74),"")</f>
        <v/>
      </c>
      <c r="O74" s="334" t="n"/>
      <c r="P74" s="332">
        <f>IFERROR(VLOOKUP(TEXT(O74,"0"),CONDUCTORES!$A$3:$G$54,2,0),"")</f>
        <v/>
      </c>
      <c r="Q74" s="332">
        <f>IFERROR(VLOOKUP(TEXT(O74,"0"),CONDUCTORES!$A$3:$H$54,6,0),"")</f>
        <v/>
      </c>
      <c r="R74" s="334" t="n"/>
      <c r="S74" s="334" t="n"/>
      <c r="T74" s="334" t="n"/>
      <c r="U74" s="334" t="n"/>
      <c r="V74" s="334" t="n"/>
      <c r="W74" s="334" t="n"/>
      <c r="X74" s="334" t="n"/>
      <c r="Y74" s="334" t="n"/>
      <c r="Z74" s="242">
        <f>IF(AND(G74&lt;&gt;"",R74&lt;&gt;"",V74&lt;&gt;"",W74&lt;&gt;""),"COMPLETADO","OBSERVADO")</f>
        <v/>
      </c>
      <c r="AA74" s="284" t="n"/>
    </row>
    <row r="75" ht="15.75" customHeight="1" s="195">
      <c r="A75" s="280" t="n"/>
      <c r="B75" s="280" t="n"/>
      <c r="C75" s="280" t="n"/>
      <c r="D75" s="280" t="n"/>
      <c r="E75" s="280" t="n"/>
      <c r="F75" s="280" t="n"/>
      <c r="G75" s="280" t="n"/>
      <c r="H75" s="280" t="n"/>
      <c r="I75" s="332">
        <f>IFERROR(VLOOKUP(TEXT(H75,"0"),IPRESS!$A$3:$B$212,2,0),"")</f>
        <v/>
      </c>
      <c r="J75" s="280" t="n"/>
      <c r="K75" s="332">
        <f>IFERROR(VLOOKUP(TEXT(O75,"0"),CONDUCTORES!$A$3:$G$54,7,0),"")</f>
        <v/>
      </c>
      <c r="L75" s="280" t="n"/>
      <c r="M75" s="280" t="n"/>
      <c r="N75" s="333">
        <f>IFERROR(IF(L75*M75=0,"",L75*M75),"")</f>
        <v/>
      </c>
      <c r="O75" s="280" t="n"/>
      <c r="P75" s="332">
        <f>IFERROR(VLOOKUP(TEXT(O75,"0"),CONDUCTORES!$A$3:$G$54,2,0),"")</f>
        <v/>
      </c>
      <c r="Q75" s="332">
        <f>IFERROR(VLOOKUP(TEXT(O75,"0"),CONDUCTORES!$A$3:$H$54,6,0),"")</f>
        <v/>
      </c>
      <c r="R75" s="280" t="n"/>
      <c r="S75" s="280" t="n"/>
      <c r="T75" s="280" t="n"/>
      <c r="U75" s="280" t="n"/>
      <c r="V75" s="280" t="n"/>
      <c r="W75" s="280" t="n"/>
      <c r="X75" s="280" t="n"/>
      <c r="Y75" s="280" t="n"/>
      <c r="Z75" s="236">
        <f>IF(AND(G75&lt;&gt;"",R75&lt;&gt;"",V75&lt;&gt;"",W75&lt;&gt;""),"COMPLETADO","OBSERVADO")</f>
        <v/>
      </c>
      <c r="AA75" s="284" t="n"/>
    </row>
    <row r="76" ht="15.75" customHeight="1" s="195">
      <c r="A76" s="334" t="n"/>
      <c r="B76" s="334" t="n"/>
      <c r="C76" s="334" t="n"/>
      <c r="D76" s="334" t="n"/>
      <c r="E76" s="334" t="n"/>
      <c r="F76" s="334" t="n"/>
      <c r="G76" s="334" t="n"/>
      <c r="H76" s="334" t="n"/>
      <c r="I76" s="332">
        <f>IFERROR(VLOOKUP(TEXT(H76,"0"),IPRESS!$A$3:$B$212,2,0),"")</f>
        <v/>
      </c>
      <c r="J76" s="334" t="n"/>
      <c r="K76" s="332">
        <f>IFERROR(VLOOKUP(TEXT(O76,"0"),CONDUCTORES!$A$3:$G$54,7,0),"")</f>
        <v/>
      </c>
      <c r="L76" s="334" t="n"/>
      <c r="M76" s="334" t="n"/>
      <c r="N76" s="333">
        <f>IFERROR(IF(L76*M76=0,"",L76*M76),"")</f>
        <v/>
      </c>
      <c r="O76" s="334" t="n"/>
      <c r="P76" s="332">
        <f>IFERROR(VLOOKUP(TEXT(O76,"0"),CONDUCTORES!$A$3:$G$54,2,0),"")</f>
        <v/>
      </c>
      <c r="Q76" s="332">
        <f>IFERROR(VLOOKUP(TEXT(O76,"0"),CONDUCTORES!$A$3:$H$54,6,0),"")</f>
        <v/>
      </c>
      <c r="R76" s="334" t="n"/>
      <c r="S76" s="334" t="n"/>
      <c r="T76" s="334" t="n"/>
      <c r="U76" s="334" t="n"/>
      <c r="V76" s="334" t="n"/>
      <c r="W76" s="334" t="n"/>
      <c r="X76" s="334" t="n"/>
      <c r="Y76" s="334" t="n"/>
      <c r="Z76" s="242">
        <f>IF(AND(G76&lt;&gt;"",R76&lt;&gt;"",V76&lt;&gt;"",W76&lt;&gt;""),"COMPLETADO","OBSERVADO")</f>
        <v/>
      </c>
      <c r="AA76" s="284" t="n"/>
    </row>
    <row r="77" ht="15.75" customHeight="1" s="195">
      <c r="A77" s="280" t="n"/>
      <c r="B77" s="280" t="n"/>
      <c r="C77" s="280" t="n"/>
      <c r="D77" s="280" t="n"/>
      <c r="E77" s="280" t="n"/>
      <c r="F77" s="280" t="n"/>
      <c r="G77" s="280" t="n"/>
      <c r="H77" s="280" t="n"/>
      <c r="I77" s="332">
        <f>IFERROR(VLOOKUP(TEXT(H77,"0"),IPRESS!$A$3:$B$212,2,0),"")</f>
        <v/>
      </c>
      <c r="J77" s="280" t="n"/>
      <c r="K77" s="332">
        <f>IFERROR(VLOOKUP(TEXT(O77,"0"),CONDUCTORES!$A$3:$G$54,7,0),"")</f>
        <v/>
      </c>
      <c r="L77" s="280" t="n"/>
      <c r="M77" s="280" t="n"/>
      <c r="N77" s="333">
        <f>IFERROR(IF(L77*M77=0,"",L77*M77),"")</f>
        <v/>
      </c>
      <c r="O77" s="280" t="n"/>
      <c r="P77" s="332">
        <f>IFERROR(VLOOKUP(TEXT(O77,"0"),CONDUCTORES!$A$3:$G$54,2,0),"")</f>
        <v/>
      </c>
      <c r="Q77" s="332">
        <f>IFERROR(VLOOKUP(TEXT(O77,"0"),CONDUCTORES!$A$3:$H$54,6,0),"")</f>
        <v/>
      </c>
      <c r="R77" s="280" t="n"/>
      <c r="S77" s="280" t="n"/>
      <c r="T77" s="280" t="n"/>
      <c r="U77" s="280" t="n"/>
      <c r="V77" s="280" t="n"/>
      <c r="W77" s="280" t="n"/>
      <c r="X77" s="280" t="n"/>
      <c r="Y77" s="280" t="n"/>
      <c r="Z77" s="236">
        <f>IF(AND(G77&lt;&gt;"",R77&lt;&gt;"",V77&lt;&gt;"",W77&lt;&gt;""),"COMPLETADO","OBSERVADO")</f>
        <v/>
      </c>
      <c r="AA77" s="284" t="n"/>
    </row>
    <row r="78" ht="15.75" customHeight="1" s="195">
      <c r="A78" s="334" t="n"/>
      <c r="B78" s="334" t="n"/>
      <c r="C78" s="334" t="n"/>
      <c r="D78" s="334" t="n"/>
      <c r="E78" s="334" t="n"/>
      <c r="F78" s="334" t="n"/>
      <c r="G78" s="334" t="n"/>
      <c r="H78" s="334" t="n"/>
      <c r="I78" s="332">
        <f>IFERROR(VLOOKUP(TEXT(H78,"0"),IPRESS!$A$3:$B$212,2,0),"")</f>
        <v/>
      </c>
      <c r="J78" s="334" t="n"/>
      <c r="K78" s="332">
        <f>IFERROR(VLOOKUP(TEXT(O78,"0"),CONDUCTORES!$A$3:$G$54,7,0),"")</f>
        <v/>
      </c>
      <c r="L78" s="334" t="n"/>
      <c r="M78" s="334" t="n"/>
      <c r="N78" s="333">
        <f>IFERROR(IF(L78*M78=0,"",L78*M78),"")</f>
        <v/>
      </c>
      <c r="O78" s="334" t="n"/>
      <c r="P78" s="332">
        <f>IFERROR(VLOOKUP(TEXT(O78,"0"),CONDUCTORES!$A$3:$G$54,2,0),"")</f>
        <v/>
      </c>
      <c r="Q78" s="332">
        <f>IFERROR(VLOOKUP(TEXT(O78,"0"),CONDUCTORES!$A$3:$H$54,6,0),"")</f>
        <v/>
      </c>
      <c r="R78" s="334" t="n"/>
      <c r="S78" s="334" t="n"/>
      <c r="T78" s="334" t="n"/>
      <c r="U78" s="334" t="n"/>
      <c r="V78" s="334" t="n"/>
      <c r="W78" s="334" t="n"/>
      <c r="X78" s="334" t="n"/>
      <c r="Y78" s="334" t="n"/>
      <c r="Z78" s="242">
        <f>IF(AND(G78&lt;&gt;"",R78&lt;&gt;"",V78&lt;&gt;"",W78&lt;&gt;""),"COMPLETADO","OBSERVADO")</f>
        <v/>
      </c>
      <c r="AA78" s="284" t="n"/>
    </row>
    <row r="79" ht="15.75" customHeight="1" s="195">
      <c r="A79" s="280" t="n"/>
      <c r="B79" s="280" t="n"/>
      <c r="C79" s="280" t="n"/>
      <c r="D79" s="280" t="n"/>
      <c r="E79" s="280" t="n"/>
      <c r="F79" s="280" t="n"/>
      <c r="G79" s="280" t="n"/>
      <c r="H79" s="280" t="n"/>
      <c r="I79" s="332">
        <f>IFERROR(VLOOKUP(TEXT(H79,"0"),IPRESS!$A$3:$B$212,2,0),"")</f>
        <v/>
      </c>
      <c r="J79" s="280" t="n"/>
      <c r="K79" s="332">
        <f>IFERROR(VLOOKUP(TEXT(O79,"0"),CONDUCTORES!$A$3:$G$54,7,0),"")</f>
        <v/>
      </c>
      <c r="L79" s="280" t="n"/>
      <c r="M79" s="280" t="n"/>
      <c r="N79" s="333">
        <f>IFERROR(IF(L79*M79=0,"",L79*M79),"")</f>
        <v/>
      </c>
      <c r="O79" s="280" t="n"/>
      <c r="P79" s="332">
        <f>IFERROR(VLOOKUP(TEXT(O79,"0"),CONDUCTORES!$A$3:$G$54,2,0),"")</f>
        <v/>
      </c>
      <c r="Q79" s="332">
        <f>IFERROR(VLOOKUP(TEXT(O79,"0"),CONDUCTORES!$A$3:$H$54,6,0),"")</f>
        <v/>
      </c>
      <c r="R79" s="280" t="n"/>
      <c r="S79" s="280" t="n"/>
      <c r="T79" s="280" t="n"/>
      <c r="U79" s="280" t="n"/>
      <c r="V79" s="280" t="n"/>
      <c r="W79" s="280" t="n"/>
      <c r="X79" s="280" t="n"/>
      <c r="Y79" s="280" t="n"/>
      <c r="Z79" s="236">
        <f>IF(AND(G79&lt;&gt;"",R79&lt;&gt;"",V79&lt;&gt;"",W79&lt;&gt;""),"COMPLETADO","OBSERVADO")</f>
        <v/>
      </c>
      <c r="AA79" s="284" t="n"/>
    </row>
    <row r="80" ht="15.75" customHeight="1" s="195">
      <c r="A80" s="334" t="n"/>
      <c r="B80" s="334" t="n"/>
      <c r="C80" s="334" t="n"/>
      <c r="D80" s="334" t="n"/>
      <c r="E80" s="334" t="n"/>
      <c r="F80" s="334" t="n"/>
      <c r="G80" s="334" t="n"/>
      <c r="H80" s="334" t="n"/>
      <c r="I80" s="332">
        <f>IFERROR(VLOOKUP(TEXT(H80,"0"),IPRESS!$A$3:$B$212,2,0),"")</f>
        <v/>
      </c>
      <c r="J80" s="334" t="n"/>
      <c r="K80" s="332">
        <f>IFERROR(VLOOKUP(TEXT(O80,"0"),CONDUCTORES!$A$3:$G$54,7,0),"")</f>
        <v/>
      </c>
      <c r="L80" s="334" t="n"/>
      <c r="M80" s="334" t="n"/>
      <c r="N80" s="333">
        <f>IFERROR(IF(L80*M80=0,"",L80*M80),"")</f>
        <v/>
      </c>
      <c r="O80" s="334" t="n"/>
      <c r="P80" s="332">
        <f>IFERROR(VLOOKUP(TEXT(O80,"0"),CONDUCTORES!$A$3:$G$54,2,0),"")</f>
        <v/>
      </c>
      <c r="Q80" s="332">
        <f>IFERROR(VLOOKUP(TEXT(O80,"0"),CONDUCTORES!$A$3:$H$54,6,0),"")</f>
        <v/>
      </c>
      <c r="R80" s="334" t="n"/>
      <c r="S80" s="334" t="n"/>
      <c r="T80" s="334" t="n"/>
      <c r="U80" s="334" t="n"/>
      <c r="V80" s="334" t="n"/>
      <c r="W80" s="334" t="n"/>
      <c r="X80" s="334" t="n"/>
      <c r="Y80" s="334" t="n"/>
      <c r="Z80" s="242">
        <f>IF(AND(G80&lt;&gt;"",R80&lt;&gt;"",V80&lt;&gt;"",W80&lt;&gt;""),"COMPLETADO","OBSERVADO")</f>
        <v/>
      </c>
      <c r="AA80" s="284" t="n"/>
    </row>
    <row r="81" ht="15.75" customHeight="1" s="195">
      <c r="A81" s="280" t="n"/>
      <c r="B81" s="280" t="n"/>
      <c r="C81" s="280" t="n"/>
      <c r="D81" s="280" t="n"/>
      <c r="E81" s="280" t="n"/>
      <c r="F81" s="280" t="n"/>
      <c r="G81" s="280" t="n"/>
      <c r="H81" s="280" t="n"/>
      <c r="I81" s="332">
        <f>IFERROR(VLOOKUP(TEXT(H81,"0"),IPRESS!$A$3:$B$212,2,0),"")</f>
        <v/>
      </c>
      <c r="J81" s="280" t="n"/>
      <c r="K81" s="332">
        <f>IFERROR(VLOOKUP(TEXT(O81,"0"),CONDUCTORES!$A$3:$G$54,7,0),"")</f>
        <v/>
      </c>
      <c r="L81" s="280" t="n"/>
      <c r="M81" s="280" t="n"/>
      <c r="N81" s="333">
        <f>IFERROR(IF(L81*M81=0,"",L81*M81),"")</f>
        <v/>
      </c>
      <c r="O81" s="280" t="n"/>
      <c r="P81" s="332">
        <f>IFERROR(VLOOKUP(TEXT(O81,"0"),CONDUCTORES!$A$3:$G$54,2,0),"")</f>
        <v/>
      </c>
      <c r="Q81" s="332">
        <f>IFERROR(VLOOKUP(TEXT(O81,"0"),CONDUCTORES!$A$3:$H$54,6,0),"")</f>
        <v/>
      </c>
      <c r="R81" s="280" t="n"/>
      <c r="S81" s="280" t="n"/>
      <c r="T81" s="280" t="n"/>
      <c r="U81" s="280" t="n"/>
      <c r="V81" s="280" t="n"/>
      <c r="W81" s="280" t="n"/>
      <c r="X81" s="280" t="n"/>
      <c r="Y81" s="280" t="n"/>
      <c r="Z81" s="236">
        <f>IF(AND(G81&lt;&gt;"",R81&lt;&gt;"",V81&lt;&gt;"",W81&lt;&gt;""),"COMPLETADO","OBSERVADO")</f>
        <v/>
      </c>
      <c r="AA81" s="284" t="n"/>
    </row>
    <row r="82" ht="15.75" customHeight="1" s="195">
      <c r="A82" s="334" t="n"/>
      <c r="B82" s="334" t="n"/>
      <c r="C82" s="334" t="n"/>
      <c r="D82" s="334" t="n"/>
      <c r="E82" s="334" t="n"/>
      <c r="F82" s="334" t="n"/>
      <c r="G82" s="334" t="n"/>
      <c r="H82" s="334" t="n"/>
      <c r="I82" s="332">
        <f>IFERROR(VLOOKUP(TEXT(H82,"0"),IPRESS!$A$3:$B$212,2,0),"")</f>
        <v/>
      </c>
      <c r="J82" s="334" t="n"/>
      <c r="K82" s="332">
        <f>IFERROR(VLOOKUP(TEXT(O82,"0"),CONDUCTORES!$A$3:$G$54,7,0),"")</f>
        <v/>
      </c>
      <c r="L82" s="334" t="n"/>
      <c r="M82" s="334" t="n"/>
      <c r="N82" s="333">
        <f>IFERROR(IF(L82*M82=0,"",L82*M82),"")</f>
        <v/>
      </c>
      <c r="O82" s="334" t="n"/>
      <c r="P82" s="332">
        <f>IFERROR(VLOOKUP(TEXT(O82,"0"),CONDUCTORES!$A$3:$G$54,2,0),"")</f>
        <v/>
      </c>
      <c r="Q82" s="332">
        <f>IFERROR(VLOOKUP(TEXT(O82,"0"),CONDUCTORES!$A$3:$H$54,6,0),"")</f>
        <v/>
      </c>
      <c r="R82" s="334" t="n"/>
      <c r="S82" s="334" t="n"/>
      <c r="T82" s="334" t="n"/>
      <c r="U82" s="334" t="n"/>
      <c r="V82" s="334" t="n"/>
      <c r="W82" s="334" t="n"/>
      <c r="X82" s="334" t="n"/>
      <c r="Y82" s="334" t="n"/>
      <c r="Z82" s="242">
        <f>IF(AND(G82&lt;&gt;"",R82&lt;&gt;"",V82&lt;&gt;"",W82&lt;&gt;""),"COMPLETADO","OBSERVADO")</f>
        <v/>
      </c>
      <c r="AA82" s="284" t="n"/>
    </row>
    <row r="83" ht="15.75" customHeight="1" s="195">
      <c r="A83" s="280" t="n"/>
      <c r="B83" s="280" t="n"/>
      <c r="C83" s="280" t="n"/>
      <c r="D83" s="280" t="n"/>
      <c r="E83" s="280" t="n"/>
      <c r="F83" s="280" t="n"/>
      <c r="G83" s="280" t="n"/>
      <c r="H83" s="280" t="n"/>
      <c r="I83" s="332">
        <f>IFERROR(VLOOKUP(TEXT(H83,"0"),IPRESS!$A$3:$B$212,2,0),"")</f>
        <v/>
      </c>
      <c r="J83" s="280" t="n"/>
      <c r="K83" s="332">
        <f>IFERROR(VLOOKUP(TEXT(O83,"0"),CONDUCTORES!$A$3:$G$54,7,0),"")</f>
        <v/>
      </c>
      <c r="L83" s="280" t="n"/>
      <c r="M83" s="280" t="n"/>
      <c r="N83" s="333">
        <f>IFERROR(IF(L83*M83=0,"",L83*M83),"")</f>
        <v/>
      </c>
      <c r="O83" s="280" t="n"/>
      <c r="P83" s="332">
        <f>IFERROR(VLOOKUP(TEXT(O83,"0"),CONDUCTORES!$A$3:$G$54,2,0),"")</f>
        <v/>
      </c>
      <c r="Q83" s="332">
        <f>IFERROR(VLOOKUP(TEXT(O83,"0"),CONDUCTORES!$A$3:$H$54,6,0),"")</f>
        <v/>
      </c>
      <c r="R83" s="280" t="n"/>
      <c r="S83" s="280" t="n"/>
      <c r="T83" s="280" t="n"/>
      <c r="U83" s="280" t="n"/>
      <c r="V83" s="280" t="n"/>
      <c r="W83" s="280" t="n"/>
      <c r="X83" s="280" t="n"/>
      <c r="Y83" s="280" t="n"/>
      <c r="Z83" s="236">
        <f>IF(AND(G83&lt;&gt;"",R83&lt;&gt;"",V83&lt;&gt;"",W83&lt;&gt;""),"COMPLETADO","OBSERVADO")</f>
        <v/>
      </c>
      <c r="AA83" s="284" t="n"/>
    </row>
    <row r="84" ht="15.75" customHeight="1" s="195">
      <c r="A84" s="334" t="n"/>
      <c r="B84" s="334" t="n"/>
      <c r="C84" s="334" t="n"/>
      <c r="D84" s="334" t="n"/>
      <c r="E84" s="334" t="n"/>
      <c r="F84" s="334" t="n"/>
      <c r="G84" s="334" t="n"/>
      <c r="H84" s="334" t="n"/>
      <c r="I84" s="332">
        <f>IFERROR(VLOOKUP(TEXT(H84,"0"),IPRESS!$A$3:$B$212,2,0),"")</f>
        <v/>
      </c>
      <c r="J84" s="334" t="n"/>
      <c r="K84" s="332">
        <f>IFERROR(VLOOKUP(TEXT(O84,"0"),CONDUCTORES!$A$3:$G$54,7,0),"")</f>
        <v/>
      </c>
      <c r="L84" s="334" t="n"/>
      <c r="M84" s="334" t="n"/>
      <c r="N84" s="333">
        <f>IFERROR(IF(L84*M84=0,"",L84*M84),"")</f>
        <v/>
      </c>
      <c r="O84" s="334" t="n"/>
      <c r="P84" s="332">
        <f>IFERROR(VLOOKUP(TEXT(O84,"0"),CONDUCTORES!$A$3:$G$54,2,0),"")</f>
        <v/>
      </c>
      <c r="Q84" s="332">
        <f>IFERROR(VLOOKUP(TEXT(O84,"0"),CONDUCTORES!$A$3:$H$54,6,0),"")</f>
        <v/>
      </c>
      <c r="R84" s="334" t="n"/>
      <c r="S84" s="334" t="n"/>
      <c r="T84" s="334" t="n"/>
      <c r="U84" s="334" t="n"/>
      <c r="V84" s="334" t="n"/>
      <c r="W84" s="334" t="n"/>
      <c r="X84" s="334" t="n"/>
      <c r="Y84" s="334" t="n"/>
      <c r="Z84" s="242">
        <f>IF(AND(G84&lt;&gt;"",R84&lt;&gt;"",V84&lt;&gt;"",W84&lt;&gt;""),"COMPLETADO","OBSERVADO")</f>
        <v/>
      </c>
      <c r="AA84" s="284" t="n"/>
    </row>
    <row r="85" ht="15.75" customHeight="1" s="195">
      <c r="A85" s="280" t="n"/>
      <c r="B85" s="280" t="n"/>
      <c r="C85" s="280" t="n"/>
      <c r="D85" s="280" t="n"/>
      <c r="E85" s="280" t="n"/>
      <c r="F85" s="280" t="n"/>
      <c r="G85" s="280" t="n"/>
      <c r="H85" s="280" t="n"/>
      <c r="I85" s="332">
        <f>IFERROR(VLOOKUP(TEXT(H85,"0"),IPRESS!$A$3:$B$212,2,0),"")</f>
        <v/>
      </c>
      <c r="J85" s="280" t="n"/>
      <c r="K85" s="332">
        <f>IFERROR(VLOOKUP(TEXT(O85,"0"),CONDUCTORES!$A$3:$G$54,7,0),"")</f>
        <v/>
      </c>
      <c r="L85" s="280" t="n"/>
      <c r="M85" s="280" t="n"/>
      <c r="N85" s="333">
        <f>IFERROR(IF(L85*M85=0,"",L85*M85),"")</f>
        <v/>
      </c>
      <c r="O85" s="280" t="n"/>
      <c r="P85" s="332">
        <f>IFERROR(VLOOKUP(TEXT(O85,"0"),CONDUCTORES!$A$3:$G$54,2,0),"")</f>
        <v/>
      </c>
      <c r="Q85" s="332">
        <f>IFERROR(VLOOKUP(TEXT(O85,"0"),CONDUCTORES!$A$3:$H$54,6,0),"")</f>
        <v/>
      </c>
      <c r="R85" s="280" t="n"/>
      <c r="S85" s="280" t="n"/>
      <c r="T85" s="280" t="n"/>
      <c r="U85" s="280" t="n"/>
      <c r="V85" s="280" t="n"/>
      <c r="W85" s="280" t="n"/>
      <c r="X85" s="280" t="n"/>
      <c r="Y85" s="280" t="n"/>
      <c r="Z85" s="236">
        <f>IF(AND(G85&lt;&gt;"",R85&lt;&gt;"",V85&lt;&gt;"",W85&lt;&gt;""),"COMPLETADO","OBSERVADO")</f>
        <v/>
      </c>
      <c r="AA85" s="284" t="n"/>
    </row>
    <row r="86" ht="15.75" customHeight="1" s="195">
      <c r="A86" s="334" t="n"/>
      <c r="B86" s="334" t="n"/>
      <c r="C86" s="334" t="n"/>
      <c r="D86" s="334" t="n"/>
      <c r="E86" s="334" t="n"/>
      <c r="F86" s="334" t="n"/>
      <c r="G86" s="334" t="n"/>
      <c r="H86" s="334" t="n"/>
      <c r="I86" s="332">
        <f>IFERROR(VLOOKUP(TEXT(H86,"0"),IPRESS!$A$3:$B$212,2,0),"")</f>
        <v/>
      </c>
      <c r="J86" s="334" t="n"/>
      <c r="K86" s="332">
        <f>IFERROR(VLOOKUP(TEXT(O86,"0"),CONDUCTORES!$A$3:$G$54,7,0),"")</f>
        <v/>
      </c>
      <c r="L86" s="334" t="n"/>
      <c r="M86" s="334" t="n"/>
      <c r="N86" s="333">
        <f>IFERROR(IF(L86*M86=0,"",L86*M86),"")</f>
        <v/>
      </c>
      <c r="O86" s="334" t="n"/>
      <c r="P86" s="332">
        <f>IFERROR(VLOOKUP(TEXT(O86,"0"),CONDUCTORES!$A$3:$G$54,2,0),"")</f>
        <v/>
      </c>
      <c r="Q86" s="332">
        <f>IFERROR(VLOOKUP(TEXT(O86,"0"),CONDUCTORES!$A$3:$H$54,6,0),"")</f>
        <v/>
      </c>
      <c r="R86" s="334" t="n"/>
      <c r="S86" s="334" t="n"/>
      <c r="T86" s="334" t="n"/>
      <c r="U86" s="334" t="n"/>
      <c r="V86" s="334" t="n"/>
      <c r="W86" s="334" t="n"/>
      <c r="X86" s="334" t="n"/>
      <c r="Y86" s="334" t="n"/>
      <c r="Z86" s="242">
        <f>IF(AND(G86&lt;&gt;"",R86&lt;&gt;"",V86&lt;&gt;"",W86&lt;&gt;""),"COMPLETADO","OBSERVADO")</f>
        <v/>
      </c>
      <c r="AA86" s="284" t="n"/>
    </row>
    <row r="87" ht="15.75" customHeight="1" s="195">
      <c r="A87" s="280" t="n"/>
      <c r="B87" s="280" t="n"/>
      <c r="C87" s="280" t="n"/>
      <c r="D87" s="280" t="n"/>
      <c r="E87" s="280" t="n"/>
      <c r="F87" s="280" t="n"/>
      <c r="G87" s="280" t="n"/>
      <c r="H87" s="280" t="n"/>
      <c r="I87" s="332">
        <f>IFERROR(VLOOKUP(TEXT(H87,"0"),IPRESS!$A$3:$B$212,2,0),"")</f>
        <v/>
      </c>
      <c r="J87" s="280" t="n"/>
      <c r="K87" s="332">
        <f>IFERROR(VLOOKUP(TEXT(O87,"0"),CONDUCTORES!$A$3:$G$54,7,0),"")</f>
        <v/>
      </c>
      <c r="L87" s="280" t="n"/>
      <c r="M87" s="280" t="n"/>
      <c r="N87" s="333">
        <f>IFERROR(IF(L87*M87=0,"",L87*M87),"")</f>
        <v/>
      </c>
      <c r="O87" s="280" t="n"/>
      <c r="P87" s="332">
        <f>IFERROR(VLOOKUP(TEXT(O87,"0"),CONDUCTORES!$A$3:$G$54,2,0),"")</f>
        <v/>
      </c>
      <c r="Q87" s="332">
        <f>IFERROR(VLOOKUP(TEXT(O87,"0"),CONDUCTORES!$A$3:$H$54,6,0),"")</f>
        <v/>
      </c>
      <c r="R87" s="280" t="n"/>
      <c r="S87" s="280" t="n"/>
      <c r="T87" s="280" t="n"/>
      <c r="U87" s="280" t="n"/>
      <c r="V87" s="280" t="n"/>
      <c r="W87" s="280" t="n"/>
      <c r="X87" s="280" t="n"/>
      <c r="Y87" s="280" t="n"/>
      <c r="Z87" s="236">
        <f>IF(AND(G87&lt;&gt;"",R87&lt;&gt;"",V87&lt;&gt;"",W87&lt;&gt;""),"COMPLETADO","OBSERVADO")</f>
        <v/>
      </c>
      <c r="AA87" s="284" t="n"/>
    </row>
    <row r="88" ht="15.75" customHeight="1" s="195">
      <c r="A88" s="334" t="n"/>
      <c r="B88" s="334" t="n"/>
      <c r="C88" s="334" t="n"/>
      <c r="D88" s="334" t="n"/>
      <c r="E88" s="334" t="n"/>
      <c r="F88" s="334" t="n"/>
      <c r="G88" s="334" t="n"/>
      <c r="H88" s="334" t="n"/>
      <c r="I88" s="332">
        <f>IFERROR(VLOOKUP(TEXT(H88,"0"),IPRESS!$A$3:$B$212,2,0),"")</f>
        <v/>
      </c>
      <c r="J88" s="334" t="n"/>
      <c r="K88" s="332">
        <f>IFERROR(VLOOKUP(TEXT(O88,"0"),CONDUCTORES!$A$3:$G$54,7,0),"")</f>
        <v/>
      </c>
      <c r="L88" s="334" t="n"/>
      <c r="M88" s="334" t="n"/>
      <c r="N88" s="333">
        <f>IFERROR(IF(L88*M88=0,"",L88*M88),"")</f>
        <v/>
      </c>
      <c r="O88" s="334" t="n"/>
      <c r="P88" s="332">
        <f>IFERROR(VLOOKUP(TEXT(O88,"0"),CONDUCTORES!$A$3:$G$54,2,0),"")</f>
        <v/>
      </c>
      <c r="Q88" s="332">
        <f>IFERROR(VLOOKUP(TEXT(O88,"0"),CONDUCTORES!$A$3:$H$54,6,0),"")</f>
        <v/>
      </c>
      <c r="R88" s="334" t="n"/>
      <c r="S88" s="334" t="n"/>
      <c r="T88" s="334" t="n"/>
      <c r="U88" s="334" t="n"/>
      <c r="V88" s="334" t="n"/>
      <c r="W88" s="334" t="n"/>
      <c r="X88" s="334" t="n"/>
      <c r="Y88" s="334" t="n"/>
      <c r="Z88" s="242">
        <f>IF(AND(G88&lt;&gt;"",R88&lt;&gt;"",V88&lt;&gt;"",W88&lt;&gt;""),"COMPLETADO","OBSERVADO")</f>
        <v/>
      </c>
      <c r="AA88" s="284" t="n"/>
    </row>
    <row r="89" ht="15.75" customHeight="1" s="195">
      <c r="A89" s="280" t="n"/>
      <c r="B89" s="280" t="n"/>
      <c r="C89" s="280" t="n"/>
      <c r="D89" s="280" t="n"/>
      <c r="E89" s="280" t="n"/>
      <c r="F89" s="280" t="n"/>
      <c r="G89" s="280" t="n"/>
      <c r="H89" s="280" t="n"/>
      <c r="I89" s="332">
        <f>IFERROR(VLOOKUP(TEXT(H89,"0"),IPRESS!$A$3:$B$212,2,0),"")</f>
        <v/>
      </c>
      <c r="J89" s="280" t="n"/>
      <c r="K89" s="332">
        <f>IFERROR(VLOOKUP(TEXT(O89,"0"),CONDUCTORES!$A$3:$G$54,7,0),"")</f>
        <v/>
      </c>
      <c r="L89" s="280" t="n"/>
      <c r="M89" s="280" t="n"/>
      <c r="N89" s="333">
        <f>IFERROR(IF(L89*M89=0,"",L89*M89),"")</f>
        <v/>
      </c>
      <c r="O89" s="280" t="n"/>
      <c r="P89" s="332">
        <f>IFERROR(VLOOKUP(TEXT(O89,"0"),CONDUCTORES!$A$3:$G$54,2,0),"")</f>
        <v/>
      </c>
      <c r="Q89" s="332">
        <f>IFERROR(VLOOKUP(TEXT(O89,"0"),CONDUCTORES!$A$3:$H$54,6,0),"")</f>
        <v/>
      </c>
      <c r="R89" s="280" t="n"/>
      <c r="S89" s="280" t="n"/>
      <c r="T89" s="280" t="n"/>
      <c r="U89" s="280" t="n"/>
      <c r="V89" s="280" t="n"/>
      <c r="W89" s="280" t="n"/>
      <c r="X89" s="280" t="n"/>
      <c r="Y89" s="280" t="n"/>
      <c r="Z89" s="236">
        <f>IF(AND(G89&lt;&gt;"",R89&lt;&gt;"",V89&lt;&gt;"",W89&lt;&gt;""),"COMPLETADO","OBSERVADO")</f>
        <v/>
      </c>
      <c r="AA89" s="284" t="n"/>
    </row>
    <row r="90" ht="15.75" customHeight="1" s="195">
      <c r="A90" s="334" t="n"/>
      <c r="B90" s="334" t="n"/>
      <c r="C90" s="334" t="n"/>
      <c r="D90" s="334" t="n"/>
      <c r="E90" s="334" t="n"/>
      <c r="F90" s="334" t="n"/>
      <c r="G90" s="334" t="n"/>
      <c r="H90" s="334" t="n"/>
      <c r="I90" s="332">
        <f>IFERROR(VLOOKUP(TEXT(H90,"0"),IPRESS!$A$3:$B$212,2,0),"")</f>
        <v/>
      </c>
      <c r="J90" s="334" t="n"/>
      <c r="K90" s="332">
        <f>IFERROR(VLOOKUP(TEXT(O90,"0"),CONDUCTORES!$A$3:$G$54,7,0),"")</f>
        <v/>
      </c>
      <c r="L90" s="334" t="n"/>
      <c r="M90" s="334" t="n"/>
      <c r="N90" s="333">
        <f>IFERROR(IF(L90*M90=0,"",L90*M90),"")</f>
        <v/>
      </c>
      <c r="O90" s="334" t="n"/>
      <c r="P90" s="332">
        <f>IFERROR(VLOOKUP(TEXT(O90,"0"),CONDUCTORES!$A$3:$G$54,2,0),"")</f>
        <v/>
      </c>
      <c r="Q90" s="332">
        <f>IFERROR(VLOOKUP(TEXT(O90,"0"),CONDUCTORES!$A$3:$H$54,6,0),"")</f>
        <v/>
      </c>
      <c r="R90" s="334" t="n"/>
      <c r="S90" s="334" t="n"/>
      <c r="T90" s="334" t="n"/>
      <c r="U90" s="334" t="n"/>
      <c r="V90" s="334" t="n"/>
      <c r="W90" s="334" t="n"/>
      <c r="X90" s="334" t="n"/>
      <c r="Y90" s="334" t="n"/>
      <c r="Z90" s="242">
        <f>IF(AND(G90&lt;&gt;"",R90&lt;&gt;"",V90&lt;&gt;"",W90&lt;&gt;""),"COMPLETADO","OBSERVADO")</f>
        <v/>
      </c>
      <c r="AA90" s="284" t="n"/>
    </row>
    <row r="91" ht="15.75" customHeight="1" s="195">
      <c r="A91" s="280" t="n"/>
      <c r="B91" s="280" t="n"/>
      <c r="C91" s="280" t="n"/>
      <c r="D91" s="280" t="n"/>
      <c r="E91" s="280" t="n"/>
      <c r="F91" s="280" t="n"/>
      <c r="G91" s="280" t="n"/>
      <c r="H91" s="280" t="n"/>
      <c r="I91" s="332">
        <f>IFERROR(VLOOKUP(TEXT(H91,"0"),IPRESS!$A$3:$B$212,2,0),"")</f>
        <v/>
      </c>
      <c r="J91" s="280" t="n"/>
      <c r="K91" s="332">
        <f>IFERROR(VLOOKUP(TEXT(O91,"0"),CONDUCTORES!$A$3:$G$54,7,0),"")</f>
        <v/>
      </c>
      <c r="L91" s="280" t="n"/>
      <c r="M91" s="280" t="n"/>
      <c r="N91" s="333">
        <f>IFERROR(IF(L91*M91=0,"",L91*M91),"")</f>
        <v/>
      </c>
      <c r="O91" s="280" t="n"/>
      <c r="P91" s="332">
        <f>IFERROR(VLOOKUP(TEXT(O91,"0"),CONDUCTORES!$A$3:$G$54,2,0),"")</f>
        <v/>
      </c>
      <c r="Q91" s="332">
        <f>IFERROR(VLOOKUP(TEXT(O91,"0"),CONDUCTORES!$A$3:$H$54,6,0),"")</f>
        <v/>
      </c>
      <c r="R91" s="280" t="n"/>
      <c r="S91" s="280" t="n"/>
      <c r="T91" s="280" t="n"/>
      <c r="U91" s="280" t="n"/>
      <c r="V91" s="280" t="n"/>
      <c r="W91" s="280" t="n"/>
      <c r="X91" s="280" t="n"/>
      <c r="Y91" s="280" t="n"/>
      <c r="Z91" s="236">
        <f>IF(AND(G91&lt;&gt;"",R91&lt;&gt;"",V91&lt;&gt;"",W91&lt;&gt;""),"COMPLETADO","OBSERVADO")</f>
        <v/>
      </c>
      <c r="AA91" s="284" t="n"/>
    </row>
    <row r="92" ht="15.75" customHeight="1" s="195">
      <c r="A92" s="334" t="n"/>
      <c r="B92" s="334" t="n"/>
      <c r="C92" s="334" t="n"/>
      <c r="D92" s="334" t="n"/>
      <c r="E92" s="334" t="n"/>
      <c r="F92" s="334" t="n"/>
      <c r="G92" s="334" t="n"/>
      <c r="H92" s="334" t="n"/>
      <c r="I92" s="332">
        <f>IFERROR(VLOOKUP(TEXT(H92,"0"),IPRESS!$A$3:$B$212,2,0),"")</f>
        <v/>
      </c>
      <c r="J92" s="334" t="n"/>
      <c r="K92" s="332">
        <f>IFERROR(VLOOKUP(TEXT(O92,"0"),CONDUCTORES!$A$3:$G$54,7,0),"")</f>
        <v/>
      </c>
      <c r="L92" s="334" t="n"/>
      <c r="M92" s="334" t="n"/>
      <c r="N92" s="333">
        <f>IFERROR(IF(L92*M92=0,"",L92*M92),"")</f>
        <v/>
      </c>
      <c r="O92" s="334" t="n"/>
      <c r="P92" s="332">
        <f>IFERROR(VLOOKUP(TEXT(O92,"0"),CONDUCTORES!$A$3:$G$54,2,0),"")</f>
        <v/>
      </c>
      <c r="Q92" s="332">
        <f>IFERROR(VLOOKUP(TEXT(O92,"0"),CONDUCTORES!$A$3:$H$54,6,0),"")</f>
        <v/>
      </c>
      <c r="R92" s="334" t="n"/>
      <c r="S92" s="334" t="n"/>
      <c r="T92" s="334" t="n"/>
      <c r="U92" s="334" t="n"/>
      <c r="V92" s="334" t="n"/>
      <c r="W92" s="334" t="n"/>
      <c r="X92" s="334" t="n"/>
      <c r="Y92" s="334" t="n"/>
      <c r="Z92" s="242">
        <f>IF(AND(G92&lt;&gt;"",R92&lt;&gt;"",V92&lt;&gt;"",W92&lt;&gt;""),"COMPLETADO","OBSERVADO")</f>
        <v/>
      </c>
      <c r="AA92" s="284" t="n"/>
    </row>
    <row r="93" ht="15.75" customHeight="1" s="195">
      <c r="A93" s="280" t="n"/>
      <c r="B93" s="280" t="n"/>
      <c r="C93" s="280" t="n"/>
      <c r="D93" s="280" t="n"/>
      <c r="E93" s="280" t="n"/>
      <c r="F93" s="280" t="n"/>
      <c r="G93" s="280" t="n"/>
      <c r="H93" s="280" t="n"/>
      <c r="I93" s="332">
        <f>IFERROR(VLOOKUP(TEXT(H93,"0"),IPRESS!$A$3:$B$212,2,0),"")</f>
        <v/>
      </c>
      <c r="J93" s="280" t="n"/>
      <c r="K93" s="332">
        <f>IFERROR(VLOOKUP(TEXT(O93,"0"),CONDUCTORES!$A$3:$G$54,7,0),"")</f>
        <v/>
      </c>
      <c r="L93" s="280" t="n"/>
      <c r="M93" s="280" t="n"/>
      <c r="N93" s="333">
        <f>IFERROR(IF(L93*M93=0,"",L93*M93),"")</f>
        <v/>
      </c>
      <c r="O93" s="280" t="n"/>
      <c r="P93" s="332">
        <f>IFERROR(VLOOKUP(TEXT(O93,"0"),CONDUCTORES!$A$3:$G$54,2,0),"")</f>
        <v/>
      </c>
      <c r="Q93" s="332">
        <f>IFERROR(VLOOKUP(TEXT(O93,"0"),CONDUCTORES!$A$3:$H$54,6,0),"")</f>
        <v/>
      </c>
      <c r="R93" s="280" t="n"/>
      <c r="S93" s="280" t="n"/>
      <c r="T93" s="280" t="n"/>
      <c r="U93" s="280" t="n"/>
      <c r="V93" s="280" t="n"/>
      <c r="W93" s="280" t="n"/>
      <c r="X93" s="280" t="n"/>
      <c r="Y93" s="280" t="n"/>
      <c r="Z93" s="236">
        <f>IF(AND(G93&lt;&gt;"",R93&lt;&gt;"",V93&lt;&gt;"",W93&lt;&gt;""),"COMPLETADO","OBSERVADO")</f>
        <v/>
      </c>
      <c r="AA93" s="284" t="n"/>
    </row>
    <row r="94" ht="15.75" customHeight="1" s="195">
      <c r="A94" s="334" t="n"/>
      <c r="B94" s="334" t="n"/>
      <c r="C94" s="334" t="n"/>
      <c r="D94" s="334" t="n"/>
      <c r="E94" s="334" t="n"/>
      <c r="F94" s="334" t="n"/>
      <c r="G94" s="334" t="n"/>
      <c r="H94" s="334" t="n"/>
      <c r="I94" s="332">
        <f>IFERROR(VLOOKUP(TEXT(H94,"0"),IPRESS!$A$3:$B$212,2,0),"")</f>
        <v/>
      </c>
      <c r="J94" s="334" t="n"/>
      <c r="K94" s="332">
        <f>IFERROR(VLOOKUP(TEXT(O94,"0"),CONDUCTORES!$A$3:$G$54,7,0),"")</f>
        <v/>
      </c>
      <c r="L94" s="334" t="n"/>
      <c r="M94" s="334" t="n"/>
      <c r="N94" s="333">
        <f>IFERROR(IF(L94*M94=0,"",L94*M94),"")</f>
        <v/>
      </c>
      <c r="O94" s="334" t="n"/>
      <c r="P94" s="332">
        <f>IFERROR(VLOOKUP(TEXT(O94,"0"),CONDUCTORES!$A$3:$G$54,2,0),"")</f>
        <v/>
      </c>
      <c r="Q94" s="332">
        <f>IFERROR(VLOOKUP(TEXT(O94,"0"),CONDUCTORES!$A$3:$H$54,6,0),"")</f>
        <v/>
      </c>
      <c r="R94" s="334" t="n"/>
      <c r="S94" s="334" t="n"/>
      <c r="T94" s="334" t="n"/>
      <c r="U94" s="334" t="n"/>
      <c r="V94" s="334" t="n"/>
      <c r="W94" s="334" t="n"/>
      <c r="X94" s="334" t="n"/>
      <c r="Y94" s="334" t="n"/>
      <c r="Z94" s="242">
        <f>IF(AND(G94&lt;&gt;"",R94&lt;&gt;"",V94&lt;&gt;"",W94&lt;&gt;""),"COMPLETADO","OBSERVADO")</f>
        <v/>
      </c>
      <c r="AA94" s="284" t="n"/>
    </row>
    <row r="95" ht="15.75" customHeight="1" s="195">
      <c r="A95" s="280" t="n"/>
      <c r="B95" s="280" t="n"/>
      <c r="C95" s="280" t="n"/>
      <c r="D95" s="280" t="n"/>
      <c r="E95" s="280" t="n"/>
      <c r="F95" s="280" t="n"/>
      <c r="G95" s="280" t="n"/>
      <c r="H95" s="280" t="n"/>
      <c r="I95" s="332">
        <f>IFERROR(VLOOKUP(TEXT(H95,"0"),IPRESS!$A$3:$B$212,2,0),"")</f>
        <v/>
      </c>
      <c r="J95" s="280" t="n"/>
      <c r="K95" s="332">
        <f>IFERROR(VLOOKUP(TEXT(O95,"0"),CONDUCTORES!$A$3:$G$54,7,0),"")</f>
        <v/>
      </c>
      <c r="L95" s="280" t="n"/>
      <c r="M95" s="280" t="n"/>
      <c r="N95" s="333">
        <f>IFERROR(IF(L95*M95=0,"",L95*M95),"")</f>
        <v/>
      </c>
      <c r="O95" s="280" t="n"/>
      <c r="P95" s="332">
        <f>IFERROR(VLOOKUP(TEXT(O95,"0"),CONDUCTORES!$A$3:$G$54,2,0),"")</f>
        <v/>
      </c>
      <c r="Q95" s="332">
        <f>IFERROR(VLOOKUP(TEXT(O95,"0"),CONDUCTORES!$A$3:$H$54,6,0),"")</f>
        <v/>
      </c>
      <c r="R95" s="280" t="n"/>
      <c r="S95" s="280" t="n"/>
      <c r="T95" s="280" t="n"/>
      <c r="U95" s="280" t="n"/>
      <c r="V95" s="280" t="n"/>
      <c r="W95" s="280" t="n"/>
      <c r="X95" s="280" t="n"/>
      <c r="Y95" s="280" t="n"/>
      <c r="Z95" s="236">
        <f>IF(AND(G95&lt;&gt;"",R95&lt;&gt;"",V95&lt;&gt;"",W95&lt;&gt;""),"COMPLETADO","OBSERVADO")</f>
        <v/>
      </c>
      <c r="AA95" s="284" t="n"/>
    </row>
    <row r="96" ht="15.75" customHeight="1" s="195">
      <c r="A96" s="334" t="n"/>
      <c r="B96" s="334" t="n"/>
      <c r="C96" s="334" t="n"/>
      <c r="D96" s="334" t="n"/>
      <c r="E96" s="334" t="n"/>
      <c r="F96" s="334" t="n"/>
      <c r="G96" s="334" t="n"/>
      <c r="H96" s="334" t="n"/>
      <c r="I96" s="332">
        <f>IFERROR(VLOOKUP(TEXT(H96,"0"),IPRESS!$A$3:$B$212,2,0),"")</f>
        <v/>
      </c>
      <c r="J96" s="334" t="n"/>
      <c r="K96" s="332">
        <f>IFERROR(VLOOKUP(TEXT(O96,"0"),CONDUCTORES!$A$3:$G$54,7,0),"")</f>
        <v/>
      </c>
      <c r="L96" s="334" t="n"/>
      <c r="M96" s="334" t="n"/>
      <c r="N96" s="333">
        <f>IFERROR(IF(L96*M96=0,"",L96*M96),"")</f>
        <v/>
      </c>
      <c r="O96" s="334" t="n"/>
      <c r="P96" s="332">
        <f>IFERROR(VLOOKUP(TEXT(O96,"0"),CONDUCTORES!$A$3:$G$54,2,0),"")</f>
        <v/>
      </c>
      <c r="Q96" s="332">
        <f>IFERROR(VLOOKUP(TEXT(O96,"0"),CONDUCTORES!$A$3:$H$54,6,0),"")</f>
        <v/>
      </c>
      <c r="R96" s="334" t="n"/>
      <c r="S96" s="334" t="n"/>
      <c r="T96" s="334" t="n"/>
      <c r="U96" s="334" t="n"/>
      <c r="V96" s="334" t="n"/>
      <c r="W96" s="334" t="n"/>
      <c r="X96" s="334" t="n"/>
      <c r="Y96" s="334" t="n"/>
      <c r="Z96" s="242">
        <f>IF(AND(G96&lt;&gt;"",R96&lt;&gt;"",V96&lt;&gt;"",W96&lt;&gt;""),"COMPLETADO","OBSERVADO")</f>
        <v/>
      </c>
      <c r="AA96" s="284" t="n"/>
    </row>
    <row r="97" ht="15.75" customHeight="1" s="195">
      <c r="A97" s="280" t="n"/>
      <c r="B97" s="280" t="n"/>
      <c r="C97" s="280" t="n"/>
      <c r="D97" s="280" t="n"/>
      <c r="E97" s="280" t="n"/>
      <c r="F97" s="280" t="n"/>
      <c r="G97" s="280" t="n"/>
      <c r="H97" s="280" t="n"/>
      <c r="I97" s="332">
        <f>IFERROR(VLOOKUP(TEXT(H97,"0"),IPRESS!$A$3:$B$212,2,0),"")</f>
        <v/>
      </c>
      <c r="J97" s="280" t="n"/>
      <c r="K97" s="332">
        <f>IFERROR(VLOOKUP(TEXT(O97,"0"),CONDUCTORES!$A$3:$G$54,7,0),"")</f>
        <v/>
      </c>
      <c r="L97" s="280" t="n"/>
      <c r="M97" s="280" t="n"/>
      <c r="N97" s="333">
        <f>IFERROR(IF(L97*M97=0,"",L97*M97),"")</f>
        <v/>
      </c>
      <c r="O97" s="280" t="n"/>
      <c r="P97" s="332">
        <f>IFERROR(VLOOKUP(TEXT(O97,"0"),CONDUCTORES!$A$3:$G$54,2,0),"")</f>
        <v/>
      </c>
      <c r="Q97" s="332">
        <f>IFERROR(VLOOKUP(TEXT(O97,"0"),CONDUCTORES!$A$3:$H$54,6,0),"")</f>
        <v/>
      </c>
      <c r="R97" s="280" t="n"/>
      <c r="S97" s="280" t="n"/>
      <c r="T97" s="280" t="n"/>
      <c r="U97" s="280" t="n"/>
      <c r="V97" s="280" t="n"/>
      <c r="W97" s="280" t="n"/>
      <c r="X97" s="280" t="n"/>
      <c r="Y97" s="280" t="n"/>
      <c r="Z97" s="236">
        <f>IF(AND(G97&lt;&gt;"",R97&lt;&gt;"",V97&lt;&gt;"",W97&lt;&gt;""),"COMPLETADO","OBSERVADO")</f>
        <v/>
      </c>
      <c r="AA97" s="284" t="n"/>
    </row>
    <row r="98" ht="15.75" customHeight="1" s="195">
      <c r="A98" s="334" t="n"/>
      <c r="B98" s="334" t="n"/>
      <c r="C98" s="334" t="n"/>
      <c r="D98" s="334" t="n"/>
      <c r="E98" s="334" t="n"/>
      <c r="F98" s="334" t="n"/>
      <c r="G98" s="334" t="n"/>
      <c r="H98" s="334" t="n"/>
      <c r="I98" s="332">
        <f>IFERROR(VLOOKUP(TEXT(H98,"0"),IPRESS!$A$3:$B$212,2,0),"")</f>
        <v/>
      </c>
      <c r="J98" s="334" t="n"/>
      <c r="K98" s="332">
        <f>IFERROR(VLOOKUP(TEXT(O98,"0"),CONDUCTORES!$A$3:$G$54,7,0),"")</f>
        <v/>
      </c>
      <c r="L98" s="334" t="n"/>
      <c r="M98" s="334" t="n"/>
      <c r="N98" s="333">
        <f>IFERROR(IF(L98*M98=0,"",L98*M98),"")</f>
        <v/>
      </c>
      <c r="O98" s="334" t="n"/>
      <c r="P98" s="332">
        <f>IFERROR(VLOOKUP(TEXT(O98,"0"),CONDUCTORES!$A$3:$G$54,2,0),"")</f>
        <v/>
      </c>
      <c r="Q98" s="332">
        <f>IFERROR(VLOOKUP(TEXT(O98,"0"),CONDUCTORES!$A$3:$H$54,6,0),"")</f>
        <v/>
      </c>
      <c r="R98" s="334" t="n"/>
      <c r="S98" s="334" t="n"/>
      <c r="T98" s="334" t="n"/>
      <c r="U98" s="334" t="n"/>
      <c r="V98" s="334" t="n"/>
      <c r="W98" s="334" t="n"/>
      <c r="X98" s="334" t="n"/>
      <c r="Y98" s="334" t="n"/>
      <c r="Z98" s="242">
        <f>IF(AND(G98&lt;&gt;"",R98&lt;&gt;"",V98&lt;&gt;"",W98&lt;&gt;""),"COMPLETADO","OBSERVADO")</f>
        <v/>
      </c>
      <c r="AA98" s="284" t="n"/>
    </row>
    <row r="99" ht="15.75" customHeight="1" s="195">
      <c r="A99" s="280" t="n"/>
      <c r="B99" s="280" t="n"/>
      <c r="C99" s="280" t="n"/>
      <c r="D99" s="280" t="n"/>
      <c r="E99" s="280" t="n"/>
      <c r="F99" s="280" t="n"/>
      <c r="G99" s="280" t="n"/>
      <c r="H99" s="280" t="n"/>
      <c r="I99" s="332">
        <f>IFERROR(VLOOKUP(TEXT(H99,"0"),IPRESS!$A$3:$B$212,2,0),"")</f>
        <v/>
      </c>
      <c r="J99" s="280" t="n"/>
      <c r="K99" s="332">
        <f>IFERROR(VLOOKUP(TEXT(O99,"0"),CONDUCTORES!$A$3:$G$54,7,0),"")</f>
        <v/>
      </c>
      <c r="L99" s="280" t="n"/>
      <c r="M99" s="280" t="n"/>
      <c r="N99" s="333">
        <f>IFERROR(IF(L99*M99=0,"",L99*M99),"")</f>
        <v/>
      </c>
      <c r="O99" s="280" t="n"/>
      <c r="P99" s="332">
        <f>IFERROR(VLOOKUP(TEXT(O99,"0"),CONDUCTORES!$A$3:$G$54,2,0),"")</f>
        <v/>
      </c>
      <c r="Q99" s="332">
        <f>IFERROR(VLOOKUP(TEXT(O99,"0"),CONDUCTORES!$A$3:$H$54,6,0),"")</f>
        <v/>
      </c>
      <c r="R99" s="280" t="n"/>
      <c r="S99" s="280" t="n"/>
      <c r="T99" s="280" t="n"/>
      <c r="U99" s="280" t="n"/>
      <c r="V99" s="280" t="n"/>
      <c r="W99" s="280" t="n"/>
      <c r="X99" s="280" t="n"/>
      <c r="Y99" s="280" t="n"/>
      <c r="Z99" s="236">
        <f>IF(AND(G99&lt;&gt;"",R99&lt;&gt;"",V99&lt;&gt;"",W99&lt;&gt;""),"COMPLETADO","OBSERVADO")</f>
        <v/>
      </c>
      <c r="AA99" s="284" t="n"/>
    </row>
    <row r="100" ht="15.75" customHeight="1" s="195">
      <c r="A100" s="334" t="n"/>
      <c r="B100" s="334" t="n"/>
      <c r="C100" s="334" t="n"/>
      <c r="D100" s="334" t="n"/>
      <c r="E100" s="334" t="n"/>
      <c r="F100" s="334" t="n"/>
      <c r="G100" s="334" t="n"/>
      <c r="H100" s="334" t="n"/>
      <c r="I100" s="332">
        <f>IFERROR(VLOOKUP(TEXT(H100,"0"),IPRESS!$A$3:$B$212,2,0),"")</f>
        <v/>
      </c>
      <c r="J100" s="334" t="n"/>
      <c r="K100" s="332">
        <f>IFERROR(VLOOKUP(TEXT(O100,"0"),CONDUCTORES!$A$3:$G$54,7,0),"")</f>
        <v/>
      </c>
      <c r="L100" s="334" t="n"/>
      <c r="M100" s="334" t="n"/>
      <c r="N100" s="333">
        <f>IFERROR(IF(L100*M100=0,"",L100*M100),"")</f>
        <v/>
      </c>
      <c r="O100" s="334" t="n"/>
      <c r="P100" s="332">
        <f>IFERROR(VLOOKUP(TEXT(O100,"0"),CONDUCTORES!$A$3:$G$54,2,0),"")</f>
        <v/>
      </c>
      <c r="Q100" s="332">
        <f>IFERROR(VLOOKUP(TEXT(O100,"0"),CONDUCTORES!$A$3:$H$54,6,0),"")</f>
        <v/>
      </c>
      <c r="R100" s="334" t="n"/>
      <c r="S100" s="334" t="n"/>
      <c r="T100" s="334" t="n"/>
      <c r="U100" s="334" t="n"/>
      <c r="V100" s="334" t="n"/>
      <c r="W100" s="334" t="n"/>
      <c r="X100" s="334" t="n"/>
      <c r="Y100" s="334" t="n"/>
      <c r="Z100" s="242">
        <f>IF(AND(G100&lt;&gt;"",R100&lt;&gt;"",V100&lt;&gt;"",W100&lt;&gt;""),"COMPLETADO","OBSERVADO")</f>
        <v/>
      </c>
      <c r="AA100" s="284" t="n"/>
    </row>
    <row r="101" ht="15.75" customHeight="1" s="195">
      <c r="A101" s="280" t="n"/>
      <c r="B101" s="280" t="n"/>
      <c r="C101" s="280" t="n"/>
      <c r="D101" s="280" t="n"/>
      <c r="E101" s="280" t="n"/>
      <c r="F101" s="280" t="n"/>
      <c r="G101" s="280" t="n"/>
      <c r="H101" s="280" t="n"/>
      <c r="I101" s="332">
        <f>IFERROR(VLOOKUP(TEXT(H101,"0"),IPRESS!$A$3:$B$212,2,0),"")</f>
        <v/>
      </c>
      <c r="J101" s="280" t="n"/>
      <c r="K101" s="332">
        <f>IFERROR(VLOOKUP(TEXT(O101,"0"),CONDUCTORES!$A$3:$G$54,7,0),"")</f>
        <v/>
      </c>
      <c r="L101" s="280" t="n"/>
      <c r="M101" s="280" t="n"/>
      <c r="N101" s="333">
        <f>IFERROR(IF(L101*M101=0,"",L101*M101),"")</f>
        <v/>
      </c>
      <c r="O101" s="280" t="n"/>
      <c r="P101" s="332">
        <f>IFERROR(VLOOKUP(TEXT(O101,"0"),CONDUCTORES!$A$3:$G$54,2,0),"")</f>
        <v/>
      </c>
      <c r="Q101" s="332">
        <f>IFERROR(VLOOKUP(TEXT(O101,"0"),CONDUCTORES!$A$3:$H$54,6,0),"")</f>
        <v/>
      </c>
      <c r="R101" s="280" t="n"/>
      <c r="S101" s="280" t="n"/>
      <c r="T101" s="280" t="n"/>
      <c r="U101" s="280" t="n"/>
      <c r="V101" s="280" t="n"/>
      <c r="W101" s="280" t="n"/>
      <c r="X101" s="280" t="n"/>
      <c r="Y101" s="280" t="n"/>
      <c r="Z101" s="236">
        <f>IF(AND(G101&lt;&gt;"",R101&lt;&gt;"",V101&lt;&gt;"",W101&lt;&gt;""),"COMPLETADO","OBSERVADO")</f>
        <v/>
      </c>
      <c r="AA101" s="284" t="n"/>
    </row>
    <row r="102" ht="15.75" customHeight="1" s="195">
      <c r="A102" s="334" t="n"/>
      <c r="B102" s="334" t="n"/>
      <c r="C102" s="334" t="n"/>
      <c r="D102" s="334" t="n"/>
      <c r="E102" s="334" t="n"/>
      <c r="F102" s="334" t="n"/>
      <c r="G102" s="334" t="n"/>
      <c r="H102" s="334" t="n"/>
      <c r="I102" s="332">
        <f>IFERROR(VLOOKUP(TEXT(H102,"0"),IPRESS!$A$3:$B$212,2,0),"")</f>
        <v/>
      </c>
      <c r="J102" s="334" t="n"/>
      <c r="K102" s="332">
        <f>IFERROR(VLOOKUP(TEXT(O102,"0"),CONDUCTORES!$A$3:$G$54,7,0),"")</f>
        <v/>
      </c>
      <c r="L102" s="334" t="n"/>
      <c r="M102" s="334" t="n"/>
      <c r="N102" s="333">
        <f>IFERROR(IF(L102*M102=0,"",L102*M102),"")</f>
        <v/>
      </c>
      <c r="O102" s="334" t="n"/>
      <c r="P102" s="332">
        <f>IFERROR(VLOOKUP(TEXT(O102,"0"),CONDUCTORES!$A$3:$G$54,2,0),"")</f>
        <v/>
      </c>
      <c r="Q102" s="332">
        <f>IFERROR(VLOOKUP(TEXT(O102,"0"),CONDUCTORES!$A$3:$H$54,6,0),"")</f>
        <v/>
      </c>
      <c r="R102" s="334" t="n"/>
      <c r="S102" s="334" t="n"/>
      <c r="T102" s="334" t="n"/>
      <c r="U102" s="334" t="n"/>
      <c r="V102" s="334" t="n"/>
      <c r="W102" s="334" t="n"/>
      <c r="X102" s="334" t="n"/>
      <c r="Y102" s="334" t="n"/>
      <c r="Z102" s="242">
        <f>IF(AND(G102&lt;&gt;"",R102&lt;&gt;"",V102&lt;&gt;"",W102&lt;&gt;""),"COMPLETADO","OBSERVADO")</f>
        <v/>
      </c>
      <c r="AA102" s="284" t="n"/>
    </row>
    <row r="103" ht="15.75" customHeight="1" s="195">
      <c r="A103" s="280" t="n"/>
      <c r="B103" s="280" t="n"/>
      <c r="C103" s="280" t="n"/>
      <c r="D103" s="280" t="n"/>
      <c r="E103" s="280" t="n"/>
      <c r="F103" s="280" t="n"/>
      <c r="G103" s="280" t="n"/>
      <c r="H103" s="280" t="n"/>
      <c r="I103" s="332">
        <f>IFERROR(VLOOKUP(TEXT(H103,"0"),IPRESS!$A$3:$B$212,2,0),"")</f>
        <v/>
      </c>
      <c r="J103" s="280" t="n"/>
      <c r="K103" s="332">
        <f>IFERROR(VLOOKUP(TEXT(O103,"0"),CONDUCTORES!$A$3:$G$54,7,0),"")</f>
        <v/>
      </c>
      <c r="L103" s="280" t="n"/>
      <c r="M103" s="280" t="n"/>
      <c r="N103" s="333">
        <f>IFERROR(IF(L103*M103=0,"",L103*M103),"")</f>
        <v/>
      </c>
      <c r="O103" s="280" t="n"/>
      <c r="P103" s="332">
        <f>IFERROR(VLOOKUP(TEXT(O103,"0"),CONDUCTORES!$A$3:$G$54,2,0),"")</f>
        <v/>
      </c>
      <c r="Q103" s="332">
        <f>IFERROR(VLOOKUP(TEXT(O103,"0"),CONDUCTORES!$A$3:$H$54,6,0),"")</f>
        <v/>
      </c>
      <c r="R103" s="280" t="n"/>
      <c r="S103" s="280" t="n"/>
      <c r="T103" s="280" t="n"/>
      <c r="U103" s="280" t="n"/>
      <c r="V103" s="280" t="n"/>
      <c r="W103" s="280" t="n"/>
      <c r="X103" s="280" t="n"/>
      <c r="Y103" s="280" t="n"/>
      <c r="Z103" s="236">
        <f>IF(AND(G103&lt;&gt;"",R103&lt;&gt;"",V103&lt;&gt;"",W103&lt;&gt;""),"COMPLETADO","OBSERVADO")</f>
        <v/>
      </c>
      <c r="AA103" s="284" t="n"/>
    </row>
    <row r="104" ht="15.75" customHeight="1" s="195">
      <c r="A104" s="334" t="n"/>
      <c r="B104" s="334" t="n"/>
      <c r="C104" s="334" t="n"/>
      <c r="D104" s="334" t="n"/>
      <c r="E104" s="334" t="n"/>
      <c r="F104" s="334" t="n"/>
      <c r="G104" s="334" t="n"/>
      <c r="H104" s="334" t="n"/>
      <c r="I104" s="332">
        <f>IFERROR(VLOOKUP(TEXT(H104,"0"),IPRESS!$A$3:$B$212,2,0),"")</f>
        <v/>
      </c>
      <c r="J104" s="334" t="n"/>
      <c r="K104" s="332">
        <f>IFERROR(VLOOKUP(TEXT(O104,"0"),CONDUCTORES!$A$3:$G$54,7,0),"")</f>
        <v/>
      </c>
      <c r="L104" s="334" t="n"/>
      <c r="M104" s="334" t="n"/>
      <c r="N104" s="333">
        <f>IFERROR(IF(L104*M104=0,"",L104*M104),"")</f>
        <v/>
      </c>
      <c r="O104" s="334" t="n"/>
      <c r="P104" s="332">
        <f>IFERROR(VLOOKUP(TEXT(O104,"0"),CONDUCTORES!$A$3:$G$54,2,0),"")</f>
        <v/>
      </c>
      <c r="Q104" s="332">
        <f>IFERROR(VLOOKUP(TEXT(O104,"0"),CONDUCTORES!$A$3:$H$54,6,0),"")</f>
        <v/>
      </c>
      <c r="R104" s="334" t="n"/>
      <c r="S104" s="334" t="n"/>
      <c r="T104" s="334" t="n"/>
      <c r="U104" s="334" t="n"/>
      <c r="V104" s="334" t="n"/>
      <c r="W104" s="334" t="n"/>
      <c r="X104" s="334" t="n"/>
      <c r="Y104" s="334" t="n"/>
      <c r="Z104" s="242">
        <f>IF(AND(G104&lt;&gt;"",R104&lt;&gt;"",V104&lt;&gt;"",W104&lt;&gt;""),"COMPLETADO","OBSERVADO")</f>
        <v/>
      </c>
      <c r="AA104" s="284" t="n"/>
    </row>
    <row r="105" ht="15.75" customHeight="1" s="195">
      <c r="A105" s="280" t="n"/>
      <c r="B105" s="280" t="n"/>
      <c r="C105" s="280" t="n"/>
      <c r="D105" s="280" t="n"/>
      <c r="E105" s="280" t="n"/>
      <c r="F105" s="280" t="n"/>
      <c r="G105" s="280" t="n"/>
      <c r="H105" s="280" t="n"/>
      <c r="I105" s="332">
        <f>IFERROR(VLOOKUP(TEXT(H105,"0"),IPRESS!$A$3:$B$212,2,0),"")</f>
        <v/>
      </c>
      <c r="J105" s="280" t="n"/>
      <c r="K105" s="332">
        <f>IFERROR(VLOOKUP(TEXT(O105,"0"),CONDUCTORES!$A$3:$G$54,7,0),"")</f>
        <v/>
      </c>
      <c r="L105" s="280" t="n"/>
      <c r="M105" s="280" t="n"/>
      <c r="N105" s="333">
        <f>IFERROR(IF(L105*M105=0,"",L105*M105),"")</f>
        <v/>
      </c>
      <c r="O105" s="280" t="n"/>
      <c r="P105" s="332">
        <f>IFERROR(VLOOKUP(TEXT(O105,"0"),CONDUCTORES!$A$3:$G$54,2,0),"")</f>
        <v/>
      </c>
      <c r="Q105" s="332">
        <f>IFERROR(VLOOKUP(TEXT(O105,"0"),CONDUCTORES!$A$3:$H$54,6,0),"")</f>
        <v/>
      </c>
      <c r="R105" s="280" t="n"/>
      <c r="S105" s="280" t="n"/>
      <c r="T105" s="280" t="n"/>
      <c r="U105" s="280" t="n"/>
      <c r="V105" s="280" t="n"/>
      <c r="W105" s="280" t="n"/>
      <c r="X105" s="280" t="n"/>
      <c r="Y105" s="280" t="n"/>
      <c r="Z105" s="236">
        <f>IF(AND(G105&lt;&gt;"",R105&lt;&gt;"",V105&lt;&gt;"",W105&lt;&gt;""),"COMPLETADO","OBSERVADO")</f>
        <v/>
      </c>
      <c r="AA105" s="284" t="n"/>
    </row>
    <row r="106" ht="15.75" customHeight="1" s="195">
      <c r="A106" s="334" t="n"/>
      <c r="B106" s="334" t="n"/>
      <c r="C106" s="334" t="n"/>
      <c r="D106" s="334" t="n"/>
      <c r="E106" s="334" t="n"/>
      <c r="F106" s="334" t="n"/>
      <c r="G106" s="334" t="n"/>
      <c r="H106" s="334" t="n"/>
      <c r="I106" s="332">
        <f>IFERROR(VLOOKUP(TEXT(H106,"0"),IPRESS!$A$3:$B$212,2,0),"")</f>
        <v/>
      </c>
      <c r="J106" s="334" t="n"/>
      <c r="K106" s="332">
        <f>IFERROR(VLOOKUP(TEXT(O106,"0"),CONDUCTORES!$A$3:$G$54,7,0),"")</f>
        <v/>
      </c>
      <c r="L106" s="334" t="n"/>
      <c r="M106" s="334" t="n"/>
      <c r="N106" s="333">
        <f>IFERROR(IF(L106*M106=0,"",L106*M106),"")</f>
        <v/>
      </c>
      <c r="O106" s="334" t="n"/>
      <c r="P106" s="332">
        <f>IFERROR(VLOOKUP(TEXT(O106,"0"),CONDUCTORES!$A$3:$G$54,2,0),"")</f>
        <v/>
      </c>
      <c r="Q106" s="332">
        <f>IFERROR(VLOOKUP(TEXT(O106,"0"),CONDUCTORES!$A$3:$H$54,6,0),"")</f>
        <v/>
      </c>
      <c r="R106" s="334" t="n"/>
      <c r="S106" s="334" t="n"/>
      <c r="T106" s="334" t="n"/>
      <c r="U106" s="334" t="n"/>
      <c r="V106" s="334" t="n"/>
      <c r="W106" s="334" t="n"/>
      <c r="X106" s="334" t="n"/>
      <c r="Y106" s="334" t="n"/>
      <c r="Z106" s="242">
        <f>IF(AND(G106&lt;&gt;"",R106&lt;&gt;"",V106&lt;&gt;"",W106&lt;&gt;""),"COMPLETADO","OBSERVADO")</f>
        <v/>
      </c>
      <c r="AA106" s="284" t="n"/>
    </row>
    <row r="107" ht="15.75" customHeight="1" s="195">
      <c r="A107" s="280" t="n"/>
      <c r="B107" s="280" t="n"/>
      <c r="C107" s="280" t="n"/>
      <c r="D107" s="280" t="n"/>
      <c r="E107" s="280" t="n"/>
      <c r="F107" s="280" t="n"/>
      <c r="G107" s="280" t="n"/>
      <c r="H107" s="280" t="n"/>
      <c r="I107" s="332">
        <f>IFERROR(VLOOKUP(TEXT(H107,"0"),IPRESS!$A$3:$B$212,2,0),"")</f>
        <v/>
      </c>
      <c r="J107" s="280" t="n"/>
      <c r="K107" s="332">
        <f>IFERROR(VLOOKUP(TEXT(O107,"0"),CONDUCTORES!$A$3:$G$54,7,0),"")</f>
        <v/>
      </c>
      <c r="L107" s="280" t="n"/>
      <c r="M107" s="280" t="n"/>
      <c r="N107" s="333">
        <f>IFERROR(IF(L107*M107=0,"",L107*M107),"")</f>
        <v/>
      </c>
      <c r="O107" s="280" t="n"/>
      <c r="P107" s="332">
        <f>IFERROR(VLOOKUP(TEXT(O107,"0"),CONDUCTORES!$A$3:$G$54,2,0),"")</f>
        <v/>
      </c>
      <c r="Q107" s="332">
        <f>IFERROR(VLOOKUP(TEXT(O107,"0"),CONDUCTORES!$A$3:$H$54,6,0),"")</f>
        <v/>
      </c>
      <c r="R107" s="280" t="n"/>
      <c r="S107" s="280" t="n"/>
      <c r="T107" s="280" t="n"/>
      <c r="U107" s="280" t="n"/>
      <c r="V107" s="280" t="n"/>
      <c r="W107" s="280" t="n"/>
      <c r="X107" s="280" t="n"/>
      <c r="Y107" s="280" t="n"/>
      <c r="Z107" s="236">
        <f>IF(AND(G107&lt;&gt;"",R107&lt;&gt;"",V107&lt;&gt;"",W107&lt;&gt;""),"COMPLETADO","OBSERVADO")</f>
        <v/>
      </c>
      <c r="AA107" s="284" t="n"/>
    </row>
    <row r="108" ht="15.75" customHeight="1" s="195">
      <c r="A108" s="334" t="n"/>
      <c r="B108" s="334" t="n"/>
      <c r="C108" s="334" t="n"/>
      <c r="D108" s="334" t="n"/>
      <c r="E108" s="334" t="n"/>
      <c r="F108" s="334" t="n"/>
      <c r="G108" s="334" t="n"/>
      <c r="H108" s="334" t="n"/>
      <c r="I108" s="332">
        <f>IFERROR(VLOOKUP(TEXT(H108,"0"),IPRESS!$A$3:$B$212,2,0),"")</f>
        <v/>
      </c>
      <c r="J108" s="334" t="n"/>
      <c r="K108" s="332">
        <f>IFERROR(VLOOKUP(TEXT(O108,"0"),CONDUCTORES!$A$3:$G$54,7,0),"")</f>
        <v/>
      </c>
      <c r="L108" s="334" t="n"/>
      <c r="M108" s="334" t="n"/>
      <c r="N108" s="333">
        <f>IFERROR(IF(L108*M108=0,"",L108*M108),"")</f>
        <v/>
      </c>
      <c r="O108" s="334" t="n"/>
      <c r="P108" s="332">
        <f>IFERROR(VLOOKUP(TEXT(O108,"0"),CONDUCTORES!$A$3:$G$54,2,0),"")</f>
        <v/>
      </c>
      <c r="Q108" s="332">
        <f>IFERROR(VLOOKUP(TEXT(O108,"0"),CONDUCTORES!$A$3:$H$54,6,0),"")</f>
        <v/>
      </c>
      <c r="R108" s="334" t="n"/>
      <c r="S108" s="334" t="n"/>
      <c r="T108" s="334" t="n"/>
      <c r="U108" s="334" t="n"/>
      <c r="V108" s="334" t="n"/>
      <c r="W108" s="334" t="n"/>
      <c r="X108" s="334" t="n"/>
      <c r="Y108" s="334" t="n"/>
      <c r="Z108" s="242">
        <f>IF(AND(G108&lt;&gt;"",R108&lt;&gt;"",V108&lt;&gt;"",W108&lt;&gt;""),"COMPLETADO","OBSERVADO")</f>
        <v/>
      </c>
      <c r="AA108" s="284" t="n"/>
    </row>
    <row r="109" ht="15.75" customHeight="1" s="195">
      <c r="A109" s="280" t="n"/>
      <c r="B109" s="280" t="n"/>
      <c r="C109" s="280" t="n"/>
      <c r="D109" s="280" t="n"/>
      <c r="E109" s="280" t="n"/>
      <c r="F109" s="280" t="n"/>
      <c r="G109" s="280" t="n"/>
      <c r="H109" s="280" t="n"/>
      <c r="I109" s="332">
        <f>IFERROR(VLOOKUP(TEXT(H109,"0"),IPRESS!$A$3:$B$212,2,0),"")</f>
        <v/>
      </c>
      <c r="J109" s="280" t="n"/>
      <c r="K109" s="332">
        <f>IFERROR(VLOOKUP(TEXT(O109,"0"),CONDUCTORES!$A$3:$G$54,7,0),"")</f>
        <v/>
      </c>
      <c r="L109" s="280" t="n"/>
      <c r="M109" s="280" t="n"/>
      <c r="N109" s="333">
        <f>IFERROR(IF(L109*M109=0,"",L109*M109),"")</f>
        <v/>
      </c>
      <c r="O109" s="280" t="n"/>
      <c r="P109" s="332">
        <f>IFERROR(VLOOKUP(TEXT(O109,"0"),CONDUCTORES!$A$3:$G$54,2,0),"")</f>
        <v/>
      </c>
      <c r="Q109" s="332">
        <f>IFERROR(VLOOKUP(TEXT(O109,"0"),CONDUCTORES!$A$3:$H$54,6,0),"")</f>
        <v/>
      </c>
      <c r="R109" s="280" t="n"/>
      <c r="S109" s="280" t="n"/>
      <c r="T109" s="280" t="n"/>
      <c r="U109" s="280" t="n"/>
      <c r="V109" s="280" t="n"/>
      <c r="W109" s="280" t="n"/>
      <c r="X109" s="280" t="n"/>
      <c r="Y109" s="280" t="n"/>
      <c r="Z109" s="236">
        <f>IF(AND(G109&lt;&gt;"",R109&lt;&gt;"",V109&lt;&gt;"",W109&lt;&gt;""),"COMPLETADO","OBSERVADO")</f>
        <v/>
      </c>
      <c r="AA109" s="284" t="n"/>
    </row>
    <row r="110" ht="15.75" customHeight="1" s="195">
      <c r="A110" s="334" t="n"/>
      <c r="B110" s="334" t="n"/>
      <c r="C110" s="334" t="n"/>
      <c r="D110" s="334" t="n"/>
      <c r="E110" s="334" t="n"/>
      <c r="F110" s="334" t="n"/>
      <c r="G110" s="334" t="n"/>
      <c r="H110" s="334" t="n"/>
      <c r="I110" s="332">
        <f>IFERROR(VLOOKUP(TEXT(H110,"0"),IPRESS!$A$3:$B$212,2,0),"")</f>
        <v/>
      </c>
      <c r="J110" s="334" t="n"/>
      <c r="K110" s="332">
        <f>IFERROR(VLOOKUP(TEXT(O110,"0"),CONDUCTORES!$A$3:$G$54,7,0),"")</f>
        <v/>
      </c>
      <c r="L110" s="334" t="n"/>
      <c r="M110" s="334" t="n"/>
      <c r="N110" s="333">
        <f>IFERROR(IF(L110*M110=0,"",L110*M110),"")</f>
        <v/>
      </c>
      <c r="O110" s="334" t="n"/>
      <c r="P110" s="332">
        <f>IFERROR(VLOOKUP(TEXT(O110,"0"),CONDUCTORES!$A$3:$G$54,2,0),"")</f>
        <v/>
      </c>
      <c r="Q110" s="332">
        <f>IFERROR(VLOOKUP(TEXT(O110,"0"),CONDUCTORES!$A$3:$H$54,6,0),"")</f>
        <v/>
      </c>
      <c r="R110" s="334" t="n"/>
      <c r="S110" s="334" t="n"/>
      <c r="T110" s="334" t="n"/>
      <c r="U110" s="334" t="n"/>
      <c r="V110" s="334" t="n"/>
      <c r="W110" s="334" t="n"/>
      <c r="X110" s="334" t="n"/>
      <c r="Y110" s="334" t="n"/>
      <c r="Z110" s="242">
        <f>IF(AND(G110&lt;&gt;"",R110&lt;&gt;"",V110&lt;&gt;"",W110&lt;&gt;""),"COMPLETADO","OBSERVADO")</f>
        <v/>
      </c>
      <c r="AA110" s="284" t="n"/>
    </row>
    <row r="111" ht="15" customHeight="1" s="195">
      <c r="A111" s="280" t="n"/>
      <c r="B111" s="280" t="n"/>
      <c r="C111" s="280" t="n"/>
      <c r="D111" s="280" t="n"/>
      <c r="E111" s="280" t="n"/>
      <c r="F111" s="280" t="n"/>
      <c r="G111" s="280" t="n"/>
      <c r="H111" s="280" t="n"/>
      <c r="I111" s="280" t="n"/>
      <c r="J111" s="280" t="n"/>
      <c r="K111" s="280" t="n"/>
      <c r="L111" s="280" t="n"/>
      <c r="M111" s="280" t="n"/>
      <c r="N111" s="374" t="n"/>
      <c r="O111" s="280" t="n"/>
      <c r="P111" s="280" t="n"/>
      <c r="Q111" s="280" t="n"/>
      <c r="R111" s="280" t="n"/>
      <c r="S111" s="280" t="n"/>
      <c r="T111" s="280" t="n"/>
      <c r="U111" s="280" t="n"/>
      <c r="V111" s="280" t="n"/>
      <c r="W111" s="280" t="n"/>
      <c r="X111" s="280" t="n"/>
      <c r="Y111" s="280" t="n"/>
      <c r="Z111" s="280" t="n"/>
      <c r="AA111" s="284" t="n"/>
    </row>
    <row r="112" ht="15" customHeight="1" s="195">
      <c r="A112" s="280" t="n"/>
      <c r="B112" s="280" t="n"/>
      <c r="C112" s="280" t="n"/>
      <c r="D112" s="280" t="n"/>
      <c r="E112" s="280" t="n"/>
      <c r="F112" s="280" t="n"/>
      <c r="G112" s="280" t="n"/>
      <c r="H112" s="280" t="n"/>
      <c r="I112" s="280" t="n"/>
      <c r="J112" s="280" t="n"/>
      <c r="K112" s="280" t="n"/>
      <c r="L112" s="280" t="n"/>
      <c r="M112" s="280" t="n"/>
      <c r="N112" s="374" t="n"/>
      <c r="O112" s="280" t="n"/>
      <c r="P112" s="280" t="n"/>
      <c r="Q112" s="280" t="n"/>
      <c r="R112" s="280" t="n"/>
      <c r="S112" s="280" t="n"/>
      <c r="T112" s="280" t="n"/>
      <c r="U112" s="280" t="n"/>
      <c r="V112" s="280" t="n"/>
      <c r="W112" s="280" t="n"/>
      <c r="X112" s="280" t="n"/>
      <c r="Y112" s="280" t="n"/>
      <c r="Z112" s="280" t="n"/>
      <c r="AA112" s="284" t="n"/>
    </row>
    <row r="113" ht="15" customHeight="1" s="195">
      <c r="A113" s="280" t="n"/>
      <c r="B113" s="280" t="n"/>
      <c r="C113" s="280" t="n"/>
      <c r="D113" s="280" t="n"/>
      <c r="E113" s="280" t="n"/>
      <c r="F113" s="280" t="n"/>
      <c r="G113" s="280" t="n"/>
      <c r="H113" s="280" t="n"/>
      <c r="I113" s="280" t="n"/>
      <c r="J113" s="280" t="n"/>
      <c r="K113" s="280" t="n"/>
      <c r="L113" s="280" t="n"/>
      <c r="M113" s="280" t="n"/>
      <c r="N113" s="374" t="n"/>
      <c r="O113" s="280" t="n"/>
      <c r="P113" s="280" t="n"/>
      <c r="Q113" s="280" t="n"/>
      <c r="R113" s="280" t="n"/>
      <c r="S113" s="280" t="n"/>
      <c r="T113" s="280" t="n"/>
      <c r="U113" s="280" t="n"/>
      <c r="V113" s="280" t="n"/>
      <c r="W113" s="280" t="n"/>
      <c r="X113" s="280" t="n"/>
      <c r="Y113" s="280" t="n"/>
      <c r="Z113" s="280" t="n"/>
      <c r="AA113" s="284" t="n"/>
    </row>
    <row r="114" ht="15" customHeight="1" s="195">
      <c r="A114" s="280" t="n"/>
      <c r="B114" s="280" t="n"/>
      <c r="C114" s="280" t="n"/>
      <c r="D114" s="280" t="n"/>
      <c r="E114" s="280" t="n"/>
      <c r="F114" s="280" t="n"/>
      <c r="G114" s="280" t="n"/>
      <c r="H114" s="280" t="n"/>
      <c r="I114" s="280" t="n"/>
      <c r="J114" s="280" t="n"/>
      <c r="K114" s="280" t="n"/>
      <c r="L114" s="280" t="n"/>
      <c r="M114" s="280" t="n"/>
      <c r="N114" s="374" t="n"/>
      <c r="O114" s="280" t="n"/>
      <c r="P114" s="280" t="n"/>
      <c r="Q114" s="280" t="n"/>
      <c r="R114" s="280" t="n"/>
      <c r="S114" s="280" t="n"/>
      <c r="T114" s="280" t="n"/>
      <c r="U114" s="280" t="n"/>
      <c r="V114" s="280" t="n"/>
      <c r="W114" s="280" t="n"/>
      <c r="X114" s="280" t="n"/>
      <c r="Y114" s="280" t="n"/>
      <c r="Z114" s="280" t="n"/>
      <c r="AA114" s="284" t="n"/>
    </row>
    <row r="115" ht="15" customHeight="1" s="195">
      <c r="A115" s="280" t="n"/>
      <c r="B115" s="280" t="n"/>
      <c r="C115" s="280" t="n"/>
      <c r="D115" s="280" t="n"/>
      <c r="E115" s="280" t="n"/>
      <c r="F115" s="280" t="n"/>
      <c r="G115" s="280" t="n"/>
      <c r="H115" s="280" t="n"/>
      <c r="I115" s="280" t="n"/>
      <c r="J115" s="280" t="n"/>
      <c r="K115" s="280" t="n"/>
      <c r="L115" s="280" t="n"/>
      <c r="M115" s="280" t="n"/>
      <c r="N115" s="374" t="n"/>
      <c r="O115" s="280" t="n"/>
      <c r="P115" s="280" t="n"/>
      <c r="Q115" s="280" t="n"/>
      <c r="R115" s="280" t="n"/>
      <c r="S115" s="280" t="n"/>
      <c r="T115" s="280" t="n"/>
      <c r="U115" s="280" t="n"/>
      <c r="V115" s="280" t="n"/>
      <c r="W115" s="280" t="n"/>
      <c r="X115" s="280" t="n"/>
      <c r="Y115" s="280" t="n"/>
      <c r="Z115" s="280" t="n"/>
      <c r="AA115" s="284" t="n"/>
    </row>
    <row r="116" ht="15" customHeight="1" s="195">
      <c r="A116" s="280" t="n"/>
      <c r="B116" s="280" t="n"/>
      <c r="C116" s="280" t="n"/>
      <c r="D116" s="280" t="n"/>
      <c r="E116" s="280" t="n"/>
      <c r="F116" s="280" t="n"/>
      <c r="G116" s="280" t="n"/>
      <c r="H116" s="280" t="n"/>
      <c r="I116" s="280" t="n"/>
      <c r="J116" s="280" t="n"/>
      <c r="K116" s="280" t="n"/>
      <c r="L116" s="280" t="n"/>
      <c r="M116" s="280" t="n"/>
      <c r="N116" s="374" t="n"/>
      <c r="O116" s="280" t="n"/>
      <c r="P116" s="280" t="n"/>
      <c r="Q116" s="280" t="n"/>
      <c r="R116" s="280" t="n"/>
      <c r="S116" s="280" t="n"/>
      <c r="T116" s="280" t="n"/>
      <c r="U116" s="280" t="n"/>
      <c r="V116" s="280" t="n"/>
      <c r="W116" s="280" t="n"/>
      <c r="X116" s="280" t="n"/>
      <c r="Y116" s="280" t="n"/>
      <c r="Z116" s="280" t="n"/>
      <c r="AA116" s="284" t="n"/>
    </row>
    <row r="117" ht="15" customHeight="1" s="195">
      <c r="A117" s="280" t="n"/>
      <c r="B117" s="280" t="n"/>
      <c r="C117" s="280" t="n"/>
      <c r="D117" s="280" t="n"/>
      <c r="E117" s="280" t="n"/>
      <c r="F117" s="280" t="n"/>
      <c r="G117" s="280" t="n"/>
      <c r="H117" s="280" t="n"/>
      <c r="I117" s="280" t="n"/>
      <c r="J117" s="280" t="n"/>
      <c r="K117" s="280" t="n"/>
      <c r="L117" s="280" t="n"/>
      <c r="M117" s="280" t="n"/>
      <c r="N117" s="374" t="n"/>
      <c r="O117" s="280" t="n"/>
      <c r="P117" s="280" t="n"/>
      <c r="Q117" s="280" t="n"/>
      <c r="R117" s="280" t="n"/>
      <c r="S117" s="280" t="n"/>
      <c r="T117" s="280" t="n"/>
      <c r="U117" s="280" t="n"/>
      <c r="V117" s="280" t="n"/>
      <c r="W117" s="280" t="n"/>
      <c r="X117" s="280" t="n"/>
      <c r="Y117" s="280" t="n"/>
      <c r="Z117" s="280" t="n"/>
      <c r="AA117" s="284" t="n"/>
    </row>
    <row r="118" ht="15" customHeight="1" s="195">
      <c r="A118" s="280" t="n"/>
      <c r="B118" s="280" t="n"/>
      <c r="C118" s="280" t="n"/>
      <c r="D118" s="280" t="n"/>
      <c r="E118" s="280" t="n"/>
      <c r="F118" s="280" t="n"/>
      <c r="G118" s="280" t="n"/>
      <c r="H118" s="280" t="n"/>
      <c r="I118" s="280" t="n"/>
      <c r="J118" s="280" t="n"/>
      <c r="K118" s="280" t="n"/>
      <c r="L118" s="280" t="n"/>
      <c r="M118" s="280" t="n"/>
      <c r="N118" s="374" t="n"/>
      <c r="O118" s="280" t="n"/>
      <c r="P118" s="280" t="n"/>
      <c r="Q118" s="280" t="n"/>
      <c r="R118" s="280" t="n"/>
      <c r="S118" s="280" t="n"/>
      <c r="T118" s="280" t="n"/>
      <c r="U118" s="280" t="n"/>
      <c r="V118" s="280" t="n"/>
      <c r="W118" s="280" t="n"/>
      <c r="X118" s="280" t="n"/>
      <c r="Y118" s="280" t="n"/>
      <c r="Z118" s="280" t="n"/>
      <c r="AA118" s="284" t="n"/>
    </row>
    <row r="119" ht="15" customHeight="1" s="195">
      <c r="A119" s="280" t="n"/>
      <c r="B119" s="280" t="n"/>
      <c r="C119" s="280" t="n"/>
      <c r="D119" s="280" t="n"/>
      <c r="E119" s="280" t="n"/>
      <c r="F119" s="280" t="n"/>
      <c r="G119" s="280" t="n"/>
      <c r="H119" s="280" t="n"/>
      <c r="I119" s="280" t="n"/>
      <c r="J119" s="280" t="n"/>
      <c r="K119" s="280" t="n"/>
      <c r="L119" s="280" t="n"/>
      <c r="M119" s="280" t="n"/>
      <c r="N119" s="374" t="n"/>
      <c r="O119" s="280" t="n"/>
      <c r="P119" s="280" t="n"/>
      <c r="Q119" s="280" t="n"/>
      <c r="R119" s="280" t="n"/>
      <c r="S119" s="280" t="n"/>
      <c r="T119" s="280" t="n"/>
      <c r="U119" s="280" t="n"/>
      <c r="V119" s="280" t="n"/>
      <c r="W119" s="280" t="n"/>
      <c r="X119" s="280" t="n"/>
      <c r="Y119" s="280" t="n"/>
      <c r="Z119" s="280" t="n"/>
      <c r="AA119" s="284" t="n"/>
    </row>
    <row r="120" ht="15" customHeight="1" s="195">
      <c r="A120" s="280" t="n"/>
      <c r="B120" s="280" t="n"/>
      <c r="C120" s="280" t="n"/>
      <c r="D120" s="280" t="n"/>
      <c r="E120" s="280" t="n"/>
      <c r="F120" s="280" t="n"/>
      <c r="G120" s="280" t="n"/>
      <c r="H120" s="280" t="n"/>
      <c r="I120" s="332">
        <f>IFERROR(VLOOKUP(TEXT(H120,"0"),IPRESS!$A$3:$B$212,2,0),"")</f>
        <v/>
      </c>
      <c r="J120" s="280" t="n"/>
      <c r="K120" s="332">
        <f>IFERROR(VLOOKUP(TEXT(O120,"0"),CONDUCTORES!$A$3:$G$54,7,0),"")</f>
        <v/>
      </c>
      <c r="L120" s="280" t="n"/>
      <c r="M120" s="280" t="n"/>
      <c r="N120" s="333">
        <f>IFERROR(IF(L120*M120=0,"",L120*M120),"")</f>
        <v/>
      </c>
      <c r="O120" s="280" t="n"/>
      <c r="P120" s="332">
        <f>IFERROR(VLOOKUP(TEXT(O120,"0"),CONDUCTORES!$A$3:$G$54,2,0),"")</f>
        <v/>
      </c>
      <c r="Q120" s="332">
        <f>IFERROR(VLOOKUP(TEXT(O120,"0"),CONDUCTORES!$A$3:$H$54,6,0),"")</f>
        <v/>
      </c>
      <c r="R120" s="280" t="n"/>
      <c r="S120" s="280" t="n"/>
      <c r="T120" s="280" t="n"/>
      <c r="U120" s="280" t="n"/>
      <c r="V120" s="280" t="n"/>
      <c r="W120" s="280" t="n"/>
      <c r="X120" s="280" t="n"/>
      <c r="Y120" s="280" t="n"/>
      <c r="Z120" s="375">
        <f>IF(AND(G120&lt;&gt;"",R120&lt;&gt;"",V120&lt;&gt;"",W120&lt;&gt;""),"COMPLETADO","OBSERVADO")</f>
        <v/>
      </c>
    </row>
    <row r="121" ht="15" customHeight="1" s="195">
      <c r="A121" s="334" t="n"/>
      <c r="B121" s="334" t="n"/>
      <c r="C121" s="334" t="n"/>
      <c r="D121" s="334" t="n"/>
      <c r="E121" s="334" t="n"/>
      <c r="F121" s="334" t="n"/>
      <c r="G121" s="334" t="n"/>
      <c r="H121" s="334" t="n"/>
      <c r="I121" s="332">
        <f>IFERROR(VLOOKUP(TEXT(H121,"0"),IPRESS!$A$3:$B$212,2,0),"")</f>
        <v/>
      </c>
      <c r="J121" s="334" t="n"/>
      <c r="K121" s="332">
        <f>IFERROR(VLOOKUP(TEXT(O121,"0"),CONDUCTORES!$A$3:$G$54,7,0),"")</f>
        <v/>
      </c>
      <c r="L121" s="334" t="n"/>
      <c r="M121" s="334" t="n"/>
      <c r="N121" s="333">
        <f>IFERROR(IF(L121*M121=0,"",L121*M121),"")</f>
        <v/>
      </c>
      <c r="O121" s="334" t="n"/>
      <c r="P121" s="332">
        <f>IFERROR(VLOOKUP(TEXT(O121,"0"),CONDUCTORES!$A$3:$G$54,2,0),"")</f>
        <v/>
      </c>
      <c r="Q121" s="332">
        <f>IFERROR(VLOOKUP(TEXT(O121,"0"),CONDUCTORES!$A$3:$H$54,6,0),"")</f>
        <v/>
      </c>
      <c r="R121" s="334" t="n"/>
      <c r="S121" s="334" t="n"/>
      <c r="T121" s="334" t="n"/>
      <c r="U121" s="334" t="n"/>
      <c r="V121" s="334" t="n"/>
      <c r="W121" s="334" t="n"/>
      <c r="X121" s="334" t="n"/>
      <c r="Y121" s="334" t="n"/>
      <c r="Z121" s="375">
        <f>IF(AND(G121&lt;&gt;"",R121&lt;&gt;"",V121&lt;&gt;"",W121&lt;&gt;""),"COMPLETADO","OBSERVADO")</f>
        <v/>
      </c>
    </row>
    <row r="122" ht="15" customHeight="1" s="195">
      <c r="A122" s="280" t="n"/>
      <c r="B122" s="280" t="n"/>
      <c r="C122" s="280" t="n"/>
      <c r="D122" s="280" t="n"/>
      <c r="E122" s="280" t="n"/>
      <c r="F122" s="280" t="n"/>
      <c r="G122" s="280" t="n"/>
      <c r="H122" s="280" t="n"/>
      <c r="I122" s="332">
        <f>IFERROR(VLOOKUP(TEXT(H122,"0"),IPRESS!$A$3:$B$212,2,0),"")</f>
        <v/>
      </c>
      <c r="J122" s="280" t="n"/>
      <c r="K122" s="332">
        <f>IFERROR(VLOOKUP(TEXT(O122,"0"),CONDUCTORES!$A$3:$G$54,7,0),"")</f>
        <v/>
      </c>
      <c r="L122" s="280" t="n"/>
      <c r="M122" s="280" t="n"/>
      <c r="N122" s="333">
        <f>IFERROR(IF(L122*M122=0,"",L122*M122),"")</f>
        <v/>
      </c>
      <c r="O122" s="280" t="n"/>
      <c r="P122" s="332">
        <f>IFERROR(VLOOKUP(TEXT(O122,"0"),CONDUCTORES!$A$3:$G$54,2,0),"")</f>
        <v/>
      </c>
      <c r="Q122" s="332">
        <f>IFERROR(VLOOKUP(TEXT(O122,"0"),CONDUCTORES!$A$3:$H$54,6,0),"")</f>
        <v/>
      </c>
      <c r="R122" s="280" t="n"/>
      <c r="S122" s="280" t="n"/>
      <c r="T122" s="280" t="n"/>
      <c r="U122" s="280" t="n"/>
      <c r="V122" s="280" t="n"/>
      <c r="W122" s="280" t="n"/>
      <c r="X122" s="280" t="n"/>
      <c r="Y122" s="280" t="n"/>
      <c r="Z122" s="375">
        <f>IF(AND(G122&lt;&gt;"",R122&lt;&gt;"",V122&lt;&gt;"",W122&lt;&gt;""),"COMPLETADO","OBSERVADO")</f>
        <v/>
      </c>
    </row>
    <row r="123" ht="15" customHeight="1" s="195">
      <c r="A123" s="334" t="n"/>
      <c r="B123" s="334" t="n"/>
      <c r="C123" s="334" t="n"/>
      <c r="D123" s="334" t="n"/>
      <c r="E123" s="334" t="n"/>
      <c r="F123" s="334" t="n"/>
      <c r="G123" s="334" t="n"/>
      <c r="H123" s="334" t="n"/>
      <c r="I123" s="332">
        <f>IFERROR(VLOOKUP(TEXT(H123,"0"),IPRESS!$A$3:$B$212,2,0),"")</f>
        <v/>
      </c>
      <c r="J123" s="334" t="n"/>
      <c r="K123" s="332">
        <f>IFERROR(VLOOKUP(TEXT(O123,"0"),CONDUCTORES!$A$3:$G$54,7,0),"")</f>
        <v/>
      </c>
      <c r="L123" s="334" t="n"/>
      <c r="M123" s="334" t="n"/>
      <c r="N123" s="333">
        <f>IFERROR(IF(L123*M123=0,"",L123*M123),"")</f>
        <v/>
      </c>
      <c r="O123" s="334" t="n"/>
      <c r="P123" s="332">
        <f>IFERROR(VLOOKUP(TEXT(O123,"0"),CONDUCTORES!$A$3:$G$54,2,0),"")</f>
        <v/>
      </c>
      <c r="Q123" s="332">
        <f>IFERROR(VLOOKUP(TEXT(O123,"0"),CONDUCTORES!$A$3:$H$54,6,0),"")</f>
        <v/>
      </c>
      <c r="R123" s="334" t="n"/>
      <c r="S123" s="334" t="n"/>
      <c r="T123" s="334" t="n"/>
      <c r="U123" s="334" t="n"/>
      <c r="V123" s="334" t="n"/>
      <c r="W123" s="334" t="n"/>
      <c r="X123" s="334" t="n"/>
      <c r="Y123" s="334" t="n"/>
      <c r="Z123" s="375">
        <f>IF(AND(G123&lt;&gt;"",R123&lt;&gt;"",V123&lt;&gt;"",W123&lt;&gt;""),"COMPLETADO","OBSERVADO")</f>
        <v/>
      </c>
    </row>
    <row r="124" ht="15" customHeight="1" s="195">
      <c r="A124" s="280" t="n"/>
      <c r="B124" s="280" t="n"/>
      <c r="C124" s="280" t="n"/>
      <c r="D124" s="280" t="n"/>
      <c r="E124" s="280" t="n"/>
      <c r="F124" s="280" t="n"/>
      <c r="G124" s="280" t="n"/>
      <c r="H124" s="280" t="n"/>
      <c r="I124" s="332">
        <f>IFERROR(VLOOKUP(TEXT(H124,"0"),IPRESS!$A$3:$B$212,2,0),"")</f>
        <v/>
      </c>
      <c r="J124" s="280" t="n"/>
      <c r="K124" s="332">
        <f>IFERROR(VLOOKUP(TEXT(O124,"0"),CONDUCTORES!$A$3:$G$54,7,0),"")</f>
        <v/>
      </c>
      <c r="L124" s="280" t="n"/>
      <c r="M124" s="280" t="n"/>
      <c r="N124" s="333">
        <f>IFERROR(IF(L124*M124=0,"",L124*M124),"")</f>
        <v/>
      </c>
      <c r="O124" s="280" t="n"/>
      <c r="P124" s="332">
        <f>IFERROR(VLOOKUP(TEXT(O124,"0"),CONDUCTORES!$A$3:$G$54,2,0),"")</f>
        <v/>
      </c>
      <c r="Q124" s="332">
        <f>IFERROR(VLOOKUP(TEXT(O124,"0"),CONDUCTORES!$A$3:$H$54,6,0),"")</f>
        <v/>
      </c>
      <c r="R124" s="280" t="n"/>
      <c r="S124" s="280" t="n"/>
      <c r="T124" s="280" t="n"/>
      <c r="U124" s="280" t="n"/>
      <c r="V124" s="280" t="n"/>
      <c r="W124" s="280" t="n"/>
      <c r="X124" s="280" t="n"/>
      <c r="Y124" s="280" t="n"/>
      <c r="Z124" s="375">
        <f>IF(AND(G124&lt;&gt;"",R124&lt;&gt;"",V124&lt;&gt;"",W124&lt;&gt;""),"COMPLETADO","OBSERVADO")</f>
        <v/>
      </c>
    </row>
    <row r="125" ht="15" customHeight="1" s="195">
      <c r="A125" s="334" t="n"/>
      <c r="B125" s="334" t="n"/>
      <c r="C125" s="334" t="n"/>
      <c r="D125" s="334" t="n"/>
      <c r="E125" s="334" t="n"/>
      <c r="F125" s="334" t="n"/>
      <c r="G125" s="334" t="n"/>
      <c r="H125" s="334" t="n"/>
      <c r="I125" s="332">
        <f>IFERROR(VLOOKUP(TEXT(H125,"0"),IPRESS!$A$3:$B$212,2,0),"")</f>
        <v/>
      </c>
      <c r="J125" s="334" t="n"/>
      <c r="K125" s="332">
        <f>IFERROR(VLOOKUP(TEXT(O125,"0"),CONDUCTORES!$A$3:$G$54,7,0),"")</f>
        <v/>
      </c>
      <c r="L125" s="334" t="n"/>
      <c r="M125" s="334" t="n"/>
      <c r="N125" s="333">
        <f>IFERROR(IF(L125*M125=0,"",L125*M125),"")</f>
        <v/>
      </c>
      <c r="O125" s="334" t="n"/>
      <c r="P125" s="332">
        <f>IFERROR(VLOOKUP(TEXT(O125,"0"),CONDUCTORES!$A$3:$G$54,2,0),"")</f>
        <v/>
      </c>
      <c r="Q125" s="332">
        <f>IFERROR(VLOOKUP(TEXT(O125,"0"),CONDUCTORES!$A$3:$H$54,6,0),"")</f>
        <v/>
      </c>
      <c r="R125" s="334" t="n"/>
      <c r="S125" s="334" t="n"/>
      <c r="T125" s="334" t="n"/>
      <c r="U125" s="334" t="n"/>
      <c r="V125" s="334" t="n"/>
      <c r="W125" s="334" t="n"/>
      <c r="X125" s="334" t="n"/>
      <c r="Y125" s="334" t="n"/>
      <c r="Z125" s="375">
        <f>IF(AND(G125&lt;&gt;"",R125&lt;&gt;"",V125&lt;&gt;"",W125&lt;&gt;""),"COMPLETADO","OBSERVADO")</f>
        <v/>
      </c>
    </row>
    <row r="126" ht="15" customHeight="1" s="195">
      <c r="A126" s="280" t="n"/>
      <c r="B126" s="280" t="n"/>
      <c r="C126" s="280" t="n"/>
      <c r="D126" s="280" t="n"/>
      <c r="E126" s="280" t="n"/>
      <c r="F126" s="280" t="n"/>
      <c r="G126" s="280" t="n"/>
      <c r="H126" s="280" t="n"/>
      <c r="I126" s="332">
        <f>IFERROR(VLOOKUP(TEXT(H126,"0"),IPRESS!$A$3:$B$212,2,0),"")</f>
        <v/>
      </c>
      <c r="J126" s="280" t="n"/>
      <c r="K126" s="332">
        <f>IFERROR(VLOOKUP(TEXT(O126,"0"),CONDUCTORES!$A$3:$G$54,7,0),"")</f>
        <v/>
      </c>
      <c r="L126" s="280" t="n"/>
      <c r="M126" s="280" t="n"/>
      <c r="N126" s="333">
        <f>IFERROR(IF(L126*M126=0,"",L126*M126),"")</f>
        <v/>
      </c>
      <c r="O126" s="280" t="n"/>
      <c r="P126" s="332">
        <f>IFERROR(VLOOKUP(TEXT(O126,"0"),CONDUCTORES!$A$3:$G$54,2,0),"")</f>
        <v/>
      </c>
      <c r="Q126" s="332">
        <f>IFERROR(VLOOKUP(TEXT(O126,"0"),CONDUCTORES!$A$3:$H$54,6,0),"")</f>
        <v/>
      </c>
      <c r="R126" s="280" t="n"/>
      <c r="S126" s="280" t="n"/>
      <c r="T126" s="280" t="n"/>
      <c r="U126" s="280" t="n"/>
      <c r="V126" s="280" t="n"/>
      <c r="W126" s="280" t="n"/>
      <c r="X126" s="280" t="n"/>
      <c r="Y126" s="280" t="n"/>
      <c r="Z126" s="375">
        <f>IF(AND(G126&lt;&gt;"",R126&lt;&gt;"",V126&lt;&gt;"",W126&lt;&gt;""),"COMPLETADO","OBSERVADO")</f>
        <v/>
      </c>
    </row>
    <row r="127" ht="15" customHeight="1" s="195">
      <c r="A127" s="334" t="n"/>
      <c r="B127" s="334" t="n"/>
      <c r="C127" s="334" t="n"/>
      <c r="D127" s="334" t="n"/>
      <c r="E127" s="334" t="n"/>
      <c r="F127" s="334" t="n"/>
      <c r="G127" s="334" t="n"/>
      <c r="H127" s="334" t="n"/>
      <c r="I127" s="332">
        <f>IFERROR(VLOOKUP(TEXT(H127,"0"),IPRESS!$A$3:$B$212,2,0),"")</f>
        <v/>
      </c>
      <c r="J127" s="334" t="n"/>
      <c r="K127" s="332">
        <f>IFERROR(VLOOKUP(TEXT(O127,"0"),CONDUCTORES!$A$3:$G$54,7,0),"")</f>
        <v/>
      </c>
      <c r="L127" s="334" t="n"/>
      <c r="M127" s="334" t="n"/>
      <c r="N127" s="333">
        <f>IFERROR(IF(L127*M127=0,"",L127*M127),"")</f>
        <v/>
      </c>
      <c r="O127" s="334" t="n"/>
      <c r="P127" s="332">
        <f>IFERROR(VLOOKUP(TEXT(O127,"0"),CONDUCTORES!$A$3:$G$54,2,0),"")</f>
        <v/>
      </c>
      <c r="Q127" s="332">
        <f>IFERROR(VLOOKUP(TEXT(O127,"0"),CONDUCTORES!$A$3:$H$54,6,0),"")</f>
        <v/>
      </c>
      <c r="R127" s="334" t="n"/>
      <c r="S127" s="334" t="n"/>
      <c r="T127" s="334" t="n"/>
      <c r="U127" s="334" t="n"/>
      <c r="V127" s="334" t="n"/>
      <c r="W127" s="334" t="n"/>
      <c r="X127" s="334" t="n"/>
      <c r="Y127" s="334" t="n"/>
      <c r="Z127" s="375">
        <f>IF(AND(G127&lt;&gt;"",R127&lt;&gt;"",V127&lt;&gt;"",W127&lt;&gt;""),"COMPLETADO","OBSERVADO")</f>
        <v/>
      </c>
    </row>
    <row r="128" ht="15" customHeight="1" s="195">
      <c r="A128" s="280" t="n"/>
      <c r="B128" s="280" t="n"/>
      <c r="C128" s="280" t="n"/>
      <c r="D128" s="280" t="n"/>
      <c r="E128" s="280" t="n"/>
      <c r="F128" s="280" t="n"/>
      <c r="G128" s="280" t="n"/>
      <c r="H128" s="280" t="n"/>
      <c r="I128" s="332">
        <f>IFERROR(VLOOKUP(TEXT(H128,"0"),IPRESS!$A$3:$B$212,2,0),"")</f>
        <v/>
      </c>
      <c r="J128" s="280" t="n"/>
      <c r="K128" s="332">
        <f>IFERROR(VLOOKUP(TEXT(O128,"0"),CONDUCTORES!$A$3:$G$54,7,0),"")</f>
        <v/>
      </c>
      <c r="L128" s="280" t="n"/>
      <c r="M128" s="280" t="n"/>
      <c r="N128" s="333">
        <f>IFERROR(IF(L128*M128=0,"",L128*M128),"")</f>
        <v/>
      </c>
      <c r="O128" s="280" t="n"/>
      <c r="P128" s="332">
        <f>IFERROR(VLOOKUP(TEXT(O128,"0"),CONDUCTORES!$A$3:$G$54,2,0),"")</f>
        <v/>
      </c>
      <c r="Q128" s="332">
        <f>IFERROR(VLOOKUP(TEXT(O128,"0"),CONDUCTORES!$A$3:$H$54,6,0),"")</f>
        <v/>
      </c>
      <c r="R128" s="280" t="n"/>
      <c r="S128" s="280" t="n"/>
      <c r="T128" s="280" t="n"/>
      <c r="U128" s="280" t="n"/>
      <c r="V128" s="280" t="n"/>
      <c r="W128" s="280" t="n"/>
      <c r="X128" s="280" t="n"/>
      <c r="Y128" s="280" t="n"/>
      <c r="Z128" s="375">
        <f>IF(AND(G128&lt;&gt;"",R128&lt;&gt;"",V128&lt;&gt;"",W128&lt;&gt;""),"COMPLETADO","OBSERVADO")</f>
        <v/>
      </c>
    </row>
    <row r="129" ht="15" customHeight="1" s="195">
      <c r="A129" s="334" t="n"/>
      <c r="B129" s="334" t="n"/>
      <c r="C129" s="334" t="n"/>
      <c r="D129" s="334" t="n"/>
      <c r="E129" s="334" t="n"/>
      <c r="F129" s="334" t="n"/>
      <c r="G129" s="334" t="n"/>
      <c r="H129" s="334" t="n"/>
      <c r="I129" s="332">
        <f>IFERROR(VLOOKUP(TEXT(H129,"0"),IPRESS!$A$3:$B$212,2,0),"")</f>
        <v/>
      </c>
      <c r="J129" s="334" t="n"/>
      <c r="K129" s="332">
        <f>IFERROR(VLOOKUP(TEXT(O129,"0"),CONDUCTORES!$A$3:$G$54,7,0),"")</f>
        <v/>
      </c>
      <c r="L129" s="334" t="n"/>
      <c r="M129" s="334" t="n"/>
      <c r="N129" s="333">
        <f>IFERROR(IF(L129*M129=0,"",L129*M129),"")</f>
        <v/>
      </c>
      <c r="O129" s="334" t="n"/>
      <c r="P129" s="332">
        <f>IFERROR(VLOOKUP(TEXT(O129,"0"),CONDUCTORES!$A$3:$G$54,2,0),"")</f>
        <v/>
      </c>
      <c r="Q129" s="332">
        <f>IFERROR(VLOOKUP(TEXT(O129,"0"),CONDUCTORES!$A$3:$H$54,6,0),"")</f>
        <v/>
      </c>
      <c r="R129" s="334" t="n"/>
      <c r="S129" s="334" t="n"/>
      <c r="T129" s="334" t="n"/>
      <c r="U129" s="334" t="n"/>
      <c r="V129" s="334" t="n"/>
      <c r="W129" s="334" t="n"/>
      <c r="X129" s="334" t="n"/>
      <c r="Y129" s="334" t="n"/>
      <c r="Z129" s="375">
        <f>IF(AND(G129&lt;&gt;"",R129&lt;&gt;"",V129&lt;&gt;"",W129&lt;&gt;""),"COMPLETADO","OBSERVADO")</f>
        <v/>
      </c>
    </row>
    <row r="130" ht="15" customHeight="1" s="195">
      <c r="A130" s="280" t="n"/>
      <c r="B130" s="280" t="n"/>
      <c r="C130" s="280" t="n"/>
      <c r="D130" s="280" t="n"/>
      <c r="E130" s="280" t="n"/>
      <c r="F130" s="280" t="n"/>
      <c r="G130" s="280" t="n"/>
      <c r="H130" s="280" t="n"/>
      <c r="I130" s="332">
        <f>IFERROR(VLOOKUP(TEXT(H130,"0"),IPRESS!$A$3:$B$212,2,0),"")</f>
        <v/>
      </c>
      <c r="J130" s="280" t="n"/>
      <c r="K130" s="332">
        <f>IFERROR(VLOOKUP(TEXT(O130,"0"),CONDUCTORES!$A$3:$G$54,7,0),"")</f>
        <v/>
      </c>
      <c r="L130" s="280" t="n"/>
      <c r="M130" s="280" t="n"/>
      <c r="N130" s="333">
        <f>IFERROR(IF(L130*M130=0,"",L130*M130),"")</f>
        <v/>
      </c>
      <c r="O130" s="280" t="n"/>
      <c r="P130" s="332">
        <f>IFERROR(VLOOKUP(TEXT(O130,"0"),CONDUCTORES!$A$3:$G$54,2,0),"")</f>
        <v/>
      </c>
      <c r="Q130" s="332">
        <f>IFERROR(VLOOKUP(TEXT(O130,"0"),CONDUCTORES!$A$3:$H$54,6,0),"")</f>
        <v/>
      </c>
      <c r="R130" s="280" t="n"/>
      <c r="S130" s="280" t="n"/>
      <c r="T130" s="280" t="n"/>
      <c r="U130" s="280" t="n"/>
      <c r="V130" s="280" t="n"/>
      <c r="W130" s="280" t="n"/>
      <c r="X130" s="280" t="n"/>
      <c r="Y130" s="280" t="n"/>
      <c r="Z130" s="375">
        <f>IF(AND(G130&lt;&gt;"",R130&lt;&gt;"",V130&lt;&gt;"",W130&lt;&gt;""),"COMPLETADO","OBSERVADO")</f>
        <v/>
      </c>
    </row>
    <row r="131" ht="15" customHeight="1" s="195">
      <c r="A131" s="334" t="n"/>
      <c r="B131" s="334" t="n"/>
      <c r="C131" s="334" t="n"/>
      <c r="D131" s="334" t="n"/>
      <c r="E131" s="334" t="n"/>
      <c r="F131" s="334" t="n"/>
      <c r="G131" s="334" t="n"/>
      <c r="H131" s="334" t="n"/>
      <c r="I131" s="332">
        <f>IFERROR(VLOOKUP(TEXT(H131,"0"),IPRESS!$A$3:$B$212,2,0),"")</f>
        <v/>
      </c>
      <c r="J131" s="334" t="n"/>
      <c r="K131" s="332">
        <f>IFERROR(VLOOKUP(TEXT(O131,"0"),CONDUCTORES!$A$3:$G$54,7,0),"")</f>
        <v/>
      </c>
      <c r="L131" s="334" t="n"/>
      <c r="M131" s="334" t="n"/>
      <c r="N131" s="333">
        <f>IFERROR(IF(L131*M131=0,"",L131*M131),"")</f>
        <v/>
      </c>
      <c r="O131" s="334" t="n"/>
      <c r="P131" s="332">
        <f>IFERROR(VLOOKUP(TEXT(O131,"0"),CONDUCTORES!$A$3:$G$54,2,0),"")</f>
        <v/>
      </c>
      <c r="Q131" s="332">
        <f>IFERROR(VLOOKUP(TEXT(O131,"0"),CONDUCTORES!$A$3:$H$54,6,0),"")</f>
        <v/>
      </c>
      <c r="R131" s="334" t="n"/>
      <c r="S131" s="334" t="n"/>
      <c r="T131" s="334" t="n"/>
      <c r="U131" s="334" t="n"/>
      <c r="V131" s="334" t="n"/>
      <c r="W131" s="334" t="n"/>
      <c r="X131" s="334" t="n"/>
      <c r="Y131" s="334" t="n"/>
      <c r="Z131" s="375">
        <f>IF(AND(G131&lt;&gt;"",R131&lt;&gt;"",V131&lt;&gt;"",W131&lt;&gt;""),"COMPLETADO","OBSERVADO")</f>
        <v/>
      </c>
    </row>
    <row r="132" ht="15" customHeight="1" s="195">
      <c r="A132" s="280" t="n"/>
      <c r="B132" s="280" t="n"/>
      <c r="C132" s="280" t="n"/>
      <c r="D132" s="280" t="n"/>
      <c r="E132" s="280" t="n"/>
      <c r="F132" s="280" t="n"/>
      <c r="G132" s="280" t="n"/>
      <c r="H132" s="280" t="n"/>
      <c r="I132" s="332">
        <f>IFERROR(VLOOKUP(TEXT(H132,"0"),IPRESS!$A$3:$B$212,2,0),"")</f>
        <v/>
      </c>
      <c r="J132" s="280" t="n"/>
      <c r="K132" s="332">
        <f>IFERROR(VLOOKUP(TEXT(O132,"0"),CONDUCTORES!$A$3:$G$54,7,0),"")</f>
        <v/>
      </c>
      <c r="L132" s="280" t="n"/>
      <c r="M132" s="280" t="n"/>
      <c r="N132" s="333">
        <f>IFERROR(IF(L132*M132=0,"",L132*M132),"")</f>
        <v/>
      </c>
      <c r="O132" s="280" t="n"/>
      <c r="P132" s="332">
        <f>IFERROR(VLOOKUP(TEXT(O132,"0"),CONDUCTORES!$A$3:$G$54,2,0),"")</f>
        <v/>
      </c>
      <c r="Q132" s="332">
        <f>IFERROR(VLOOKUP(TEXT(O132,"0"),CONDUCTORES!$A$3:$H$54,6,0),"")</f>
        <v/>
      </c>
      <c r="R132" s="280" t="n"/>
      <c r="S132" s="280" t="n"/>
      <c r="T132" s="280" t="n"/>
      <c r="U132" s="280" t="n"/>
      <c r="V132" s="280" t="n"/>
      <c r="W132" s="280" t="n"/>
      <c r="X132" s="280" t="n"/>
      <c r="Y132" s="280" t="n"/>
      <c r="Z132" s="375">
        <f>IF(AND(G132&lt;&gt;"",R132&lt;&gt;"",V132&lt;&gt;"",W132&lt;&gt;""),"COMPLETADO","OBSERVADO")</f>
        <v/>
      </c>
    </row>
    <row r="133" ht="15" customHeight="1" s="195">
      <c r="A133" s="334" t="n"/>
      <c r="B133" s="334" t="n"/>
      <c r="C133" s="334" t="n"/>
      <c r="D133" s="334" t="n"/>
      <c r="E133" s="334" t="n"/>
      <c r="F133" s="334" t="n"/>
      <c r="G133" s="334" t="n"/>
      <c r="H133" s="334" t="n"/>
      <c r="I133" s="332">
        <f>IFERROR(VLOOKUP(TEXT(H133,"0"),IPRESS!$A$3:$B$212,2,0),"")</f>
        <v/>
      </c>
      <c r="J133" s="334" t="n"/>
      <c r="K133" s="332">
        <f>IFERROR(VLOOKUP(TEXT(O133,"0"),CONDUCTORES!$A$3:$G$54,7,0),"")</f>
        <v/>
      </c>
      <c r="L133" s="334" t="n"/>
      <c r="M133" s="334" t="n"/>
      <c r="N133" s="333">
        <f>IFERROR(IF(L133*M133=0,"",L133*M133),"")</f>
        <v/>
      </c>
      <c r="O133" s="334" t="n"/>
      <c r="P133" s="332">
        <f>IFERROR(VLOOKUP(TEXT(O133,"0"),CONDUCTORES!$A$3:$G$54,2,0),"")</f>
        <v/>
      </c>
      <c r="Q133" s="332">
        <f>IFERROR(VLOOKUP(TEXT(O133,"0"),CONDUCTORES!$A$3:$H$54,6,0),"")</f>
        <v/>
      </c>
      <c r="R133" s="334" t="n"/>
      <c r="S133" s="334" t="n"/>
      <c r="T133" s="334" t="n"/>
      <c r="U133" s="334" t="n"/>
      <c r="V133" s="334" t="n"/>
      <c r="W133" s="334" t="n"/>
      <c r="X133" s="334" t="n"/>
      <c r="Y133" s="334" t="n"/>
      <c r="Z133" s="375">
        <f>IF(AND(G133&lt;&gt;"",R133&lt;&gt;"",V133&lt;&gt;"",W133&lt;&gt;""),"COMPLETADO","OBSERVADO")</f>
        <v/>
      </c>
    </row>
    <row r="134" ht="15" customHeight="1" s="195">
      <c r="A134" s="280" t="n"/>
      <c r="B134" s="280" t="n"/>
      <c r="C134" s="280" t="n"/>
      <c r="D134" s="280" t="n"/>
      <c r="E134" s="280" t="n"/>
      <c r="F134" s="280" t="n"/>
      <c r="G134" s="280" t="n"/>
      <c r="H134" s="280" t="n"/>
      <c r="I134" s="332">
        <f>IFERROR(VLOOKUP(TEXT(H134,"0"),IPRESS!$A$3:$B$212,2,0),"")</f>
        <v/>
      </c>
      <c r="J134" s="280" t="n"/>
      <c r="K134" s="332">
        <f>IFERROR(VLOOKUP(TEXT(O134,"0"),CONDUCTORES!$A$3:$G$54,7,0),"")</f>
        <v/>
      </c>
      <c r="L134" s="280" t="n"/>
      <c r="M134" s="280" t="n"/>
      <c r="N134" s="333">
        <f>IFERROR(IF(L134*M134=0,"",L134*M134),"")</f>
        <v/>
      </c>
      <c r="O134" s="280" t="n"/>
      <c r="P134" s="332">
        <f>IFERROR(VLOOKUP(TEXT(O134,"0"),CONDUCTORES!$A$3:$G$54,2,0),"")</f>
        <v/>
      </c>
      <c r="Q134" s="332">
        <f>IFERROR(VLOOKUP(TEXT(O134,"0"),CONDUCTORES!$A$3:$H$54,6,0),"")</f>
        <v/>
      </c>
      <c r="R134" s="280" t="n"/>
      <c r="S134" s="280" t="n"/>
      <c r="T134" s="280" t="n"/>
      <c r="U134" s="280" t="n"/>
      <c r="V134" s="280" t="n"/>
      <c r="W134" s="280" t="n"/>
      <c r="X134" s="280" t="n"/>
      <c r="Y134" s="280" t="n"/>
      <c r="Z134" s="375">
        <f>IF(AND(G134&lt;&gt;"",R134&lt;&gt;"",V134&lt;&gt;"",W134&lt;&gt;""),"COMPLETADO","OBSERVADO")</f>
        <v/>
      </c>
    </row>
    <row r="135" ht="15" customHeight="1" s="195">
      <c r="A135" s="334" t="n"/>
      <c r="B135" s="334" t="n"/>
      <c r="C135" s="334" t="n"/>
      <c r="D135" s="334" t="n"/>
      <c r="E135" s="334" t="n"/>
      <c r="F135" s="334" t="n"/>
      <c r="G135" s="334" t="n"/>
      <c r="H135" s="334" t="n"/>
      <c r="I135" s="332">
        <f>IFERROR(VLOOKUP(TEXT(H135,"0"),IPRESS!$A$3:$B$212,2,0),"")</f>
        <v/>
      </c>
      <c r="J135" s="334" t="n"/>
      <c r="K135" s="332">
        <f>IFERROR(VLOOKUP(TEXT(O135,"0"),CONDUCTORES!$A$3:$G$54,7,0),"")</f>
        <v/>
      </c>
      <c r="L135" s="334" t="n"/>
      <c r="M135" s="334" t="n"/>
      <c r="N135" s="333">
        <f>IFERROR(IF(L135*M135=0,"",L135*M135),"")</f>
        <v/>
      </c>
      <c r="O135" s="334" t="n"/>
      <c r="P135" s="332">
        <f>IFERROR(VLOOKUP(TEXT(O135,"0"),CONDUCTORES!$A$3:$G$54,2,0),"")</f>
        <v/>
      </c>
      <c r="Q135" s="332">
        <f>IFERROR(VLOOKUP(TEXT(O135,"0"),CONDUCTORES!$A$3:$H$54,6,0),"")</f>
        <v/>
      </c>
      <c r="R135" s="334" t="n"/>
      <c r="S135" s="334" t="n"/>
      <c r="T135" s="334" t="n"/>
      <c r="U135" s="334" t="n"/>
      <c r="V135" s="334" t="n"/>
      <c r="W135" s="334" t="n"/>
      <c r="X135" s="334" t="n"/>
      <c r="Y135" s="334" t="n"/>
      <c r="Z135" s="375">
        <f>IF(AND(G135&lt;&gt;"",R135&lt;&gt;"",V135&lt;&gt;"",W135&lt;&gt;""),"COMPLETADO","OBSERVADO")</f>
        <v/>
      </c>
    </row>
    <row r="136" ht="15" customHeight="1" s="195">
      <c r="A136" s="280" t="n"/>
      <c r="B136" s="280" t="n"/>
      <c r="C136" s="280" t="n"/>
      <c r="D136" s="280" t="n"/>
      <c r="E136" s="280" t="n"/>
      <c r="F136" s="280" t="n"/>
      <c r="G136" s="280" t="n"/>
      <c r="H136" s="280" t="n"/>
      <c r="I136" s="332">
        <f>IFERROR(VLOOKUP(TEXT(H136,"0"),IPRESS!$A$3:$B$212,2,0),"")</f>
        <v/>
      </c>
      <c r="J136" s="280" t="n"/>
      <c r="K136" s="332">
        <f>IFERROR(VLOOKUP(TEXT(O136,"0"),CONDUCTORES!$A$3:$G$54,7,0),"")</f>
        <v/>
      </c>
      <c r="L136" s="280" t="n"/>
      <c r="M136" s="280" t="n"/>
      <c r="N136" s="333">
        <f>IFERROR(IF(L136*M136=0,"",L136*M136),"")</f>
        <v/>
      </c>
      <c r="O136" s="280" t="n"/>
      <c r="P136" s="332">
        <f>IFERROR(VLOOKUP(TEXT(O136,"0"),CONDUCTORES!$A$3:$G$54,2,0),"")</f>
        <v/>
      </c>
      <c r="Q136" s="332">
        <f>IFERROR(VLOOKUP(TEXT(O136,"0"),CONDUCTORES!$A$3:$H$54,6,0),"")</f>
        <v/>
      </c>
      <c r="R136" s="280" t="n"/>
      <c r="S136" s="280" t="n"/>
      <c r="T136" s="280" t="n"/>
      <c r="U136" s="280" t="n"/>
      <c r="V136" s="280" t="n"/>
      <c r="W136" s="280" t="n"/>
      <c r="X136" s="280" t="n"/>
      <c r="Y136" s="280" t="n"/>
      <c r="Z136" s="375">
        <f>IF(AND(G136&lt;&gt;"",R136&lt;&gt;"",V136&lt;&gt;"",W136&lt;&gt;""),"COMPLETADO","OBSERVADO")</f>
        <v/>
      </c>
    </row>
    <row r="137" ht="15" customHeight="1" s="195">
      <c r="A137" s="334" t="n"/>
      <c r="B137" s="334" t="n"/>
      <c r="C137" s="334" t="n"/>
      <c r="D137" s="334" t="n"/>
      <c r="E137" s="334" t="n"/>
      <c r="F137" s="334" t="n"/>
      <c r="G137" s="334" t="n"/>
      <c r="H137" s="334" t="n"/>
      <c r="I137" s="332">
        <f>IFERROR(VLOOKUP(TEXT(H137,"0"),IPRESS!$A$3:$B$212,2,0),"")</f>
        <v/>
      </c>
      <c r="J137" s="334" t="n"/>
      <c r="K137" s="332">
        <f>IFERROR(VLOOKUP(TEXT(O137,"0"),CONDUCTORES!$A$3:$G$54,7,0),"")</f>
        <v/>
      </c>
      <c r="L137" s="334" t="n"/>
      <c r="M137" s="334" t="n"/>
      <c r="N137" s="333">
        <f>IFERROR(IF(L137*M137=0,"",L137*M137),"")</f>
        <v/>
      </c>
      <c r="O137" s="334" t="n"/>
      <c r="P137" s="332">
        <f>IFERROR(VLOOKUP(TEXT(O137,"0"),CONDUCTORES!$A$3:$G$54,2,0),"")</f>
        <v/>
      </c>
      <c r="Q137" s="332">
        <f>IFERROR(VLOOKUP(TEXT(O137,"0"),CONDUCTORES!$A$3:$H$54,6,0),"")</f>
        <v/>
      </c>
      <c r="R137" s="334" t="n"/>
      <c r="S137" s="334" t="n"/>
      <c r="T137" s="334" t="n"/>
      <c r="U137" s="334" t="n"/>
      <c r="V137" s="334" t="n"/>
      <c r="W137" s="334" t="n"/>
      <c r="X137" s="334" t="n"/>
      <c r="Y137" s="334" t="n"/>
      <c r="Z137" s="375">
        <f>IF(AND(G137&lt;&gt;"",R137&lt;&gt;"",V137&lt;&gt;"",W137&lt;&gt;""),"COMPLETADO","OBSERVADO")</f>
        <v/>
      </c>
    </row>
    <row r="138" ht="15" customHeight="1" s="195">
      <c r="A138" s="280" t="n"/>
      <c r="B138" s="280" t="n"/>
      <c r="C138" s="280" t="n"/>
      <c r="D138" s="280" t="n"/>
      <c r="E138" s="280" t="n"/>
      <c r="F138" s="280" t="n"/>
      <c r="G138" s="280" t="n"/>
      <c r="H138" s="280" t="n"/>
      <c r="I138" s="332">
        <f>IFERROR(VLOOKUP(TEXT(H138,"0"),IPRESS!$A$3:$B$212,2,0),"")</f>
        <v/>
      </c>
      <c r="J138" s="280" t="n"/>
      <c r="K138" s="332">
        <f>IFERROR(VLOOKUP(TEXT(O138,"0"),CONDUCTORES!$A$3:$G$54,7,0),"")</f>
        <v/>
      </c>
      <c r="L138" s="280" t="n"/>
      <c r="M138" s="280" t="n"/>
      <c r="N138" s="333">
        <f>IFERROR(IF(L138*M138=0,"",L138*M138),"")</f>
        <v/>
      </c>
      <c r="O138" s="280" t="n"/>
      <c r="P138" s="332">
        <f>IFERROR(VLOOKUP(TEXT(O138,"0"),CONDUCTORES!$A$3:$G$54,2,0),"")</f>
        <v/>
      </c>
      <c r="Q138" s="332">
        <f>IFERROR(VLOOKUP(TEXT(O138,"0"),CONDUCTORES!$A$3:$H$54,6,0),"")</f>
        <v/>
      </c>
      <c r="R138" s="280" t="n"/>
      <c r="S138" s="280" t="n"/>
      <c r="T138" s="280" t="n"/>
      <c r="U138" s="280" t="n"/>
      <c r="V138" s="280" t="n"/>
      <c r="W138" s="280" t="n"/>
      <c r="X138" s="280" t="n"/>
      <c r="Y138" s="280" t="n"/>
      <c r="Z138" s="375">
        <f>IF(AND(G138&lt;&gt;"",R138&lt;&gt;"",V138&lt;&gt;"",W138&lt;&gt;""),"COMPLETADO","OBSERVADO")</f>
        <v/>
      </c>
    </row>
    <row r="139" ht="15" customHeight="1" s="195">
      <c r="A139" s="334" t="n"/>
      <c r="B139" s="334" t="n"/>
      <c r="C139" s="334" t="n"/>
      <c r="D139" s="334" t="n"/>
      <c r="E139" s="334" t="n"/>
      <c r="F139" s="334" t="n"/>
      <c r="G139" s="334" t="n"/>
      <c r="H139" s="334" t="n"/>
      <c r="I139" s="332">
        <f>IFERROR(VLOOKUP(TEXT(H139,"0"),IPRESS!$A$3:$B$212,2,0),"")</f>
        <v/>
      </c>
      <c r="J139" s="334" t="n"/>
      <c r="K139" s="332">
        <f>IFERROR(VLOOKUP(TEXT(O139,"0"),CONDUCTORES!$A$3:$G$54,7,0),"")</f>
        <v/>
      </c>
      <c r="L139" s="334" t="n"/>
      <c r="M139" s="334" t="n"/>
      <c r="N139" s="333">
        <f>IFERROR(IF(L139*M139=0,"",L139*M139),"")</f>
        <v/>
      </c>
      <c r="O139" s="334" t="n"/>
      <c r="P139" s="332">
        <f>IFERROR(VLOOKUP(TEXT(O139,"0"),CONDUCTORES!$A$3:$G$54,2,0),"")</f>
        <v/>
      </c>
      <c r="Q139" s="332">
        <f>IFERROR(VLOOKUP(TEXT(O139,"0"),CONDUCTORES!$A$3:$H$54,6,0),"")</f>
        <v/>
      </c>
      <c r="R139" s="334" t="n"/>
      <c r="S139" s="334" t="n"/>
      <c r="T139" s="334" t="n"/>
      <c r="U139" s="334" t="n"/>
      <c r="V139" s="334" t="n"/>
      <c r="W139" s="334" t="n"/>
      <c r="X139" s="334" t="n"/>
      <c r="Y139" s="334" t="n"/>
      <c r="Z139" s="375">
        <f>IF(AND(G139&lt;&gt;"",R139&lt;&gt;"",V139&lt;&gt;"",W139&lt;&gt;""),"COMPLETADO","OBSERVADO")</f>
        <v/>
      </c>
    </row>
    <row r="140" ht="15" customHeight="1" s="195">
      <c r="A140" s="280" t="n"/>
      <c r="B140" s="280" t="n"/>
      <c r="C140" s="280" t="n"/>
      <c r="D140" s="280" t="n"/>
      <c r="E140" s="280" t="n"/>
      <c r="F140" s="280" t="n"/>
      <c r="G140" s="280" t="n"/>
      <c r="H140" s="280" t="n"/>
      <c r="I140" s="332">
        <f>IFERROR(VLOOKUP(TEXT(H140,"0"),IPRESS!$A$3:$B$212,2,0),"")</f>
        <v/>
      </c>
      <c r="J140" s="280" t="n"/>
      <c r="K140" s="332">
        <f>IFERROR(VLOOKUP(TEXT(O140,"0"),CONDUCTORES!$A$3:$G$54,7,0),"")</f>
        <v/>
      </c>
      <c r="L140" s="280" t="n"/>
      <c r="M140" s="280" t="n"/>
      <c r="N140" s="333">
        <f>IFERROR(IF(L140*M140=0,"",L140*M140),"")</f>
        <v/>
      </c>
      <c r="O140" s="280" t="n"/>
      <c r="P140" s="332">
        <f>IFERROR(VLOOKUP(TEXT(O140,"0"),CONDUCTORES!$A$3:$G$54,2,0),"")</f>
        <v/>
      </c>
      <c r="Q140" s="332">
        <f>IFERROR(VLOOKUP(TEXT(O140,"0"),CONDUCTORES!$A$3:$H$54,6,0),"")</f>
        <v/>
      </c>
      <c r="R140" s="280" t="n"/>
      <c r="S140" s="280" t="n"/>
      <c r="T140" s="280" t="n"/>
      <c r="U140" s="280" t="n"/>
      <c r="V140" s="280" t="n"/>
      <c r="W140" s="280" t="n"/>
      <c r="X140" s="280" t="n"/>
      <c r="Y140" s="280" t="n"/>
      <c r="Z140" s="375">
        <f>IF(AND(G140&lt;&gt;"",R140&lt;&gt;"",V140&lt;&gt;"",W140&lt;&gt;""),"COMPLETADO","OBSERVADO")</f>
        <v/>
      </c>
    </row>
    <row r="141" ht="15" customHeight="1" s="195">
      <c r="A141" s="334" t="n"/>
      <c r="B141" s="334" t="n"/>
      <c r="C141" s="334" t="n"/>
      <c r="D141" s="334" t="n"/>
      <c r="E141" s="334" t="n"/>
      <c r="F141" s="334" t="n"/>
      <c r="G141" s="334" t="n"/>
      <c r="H141" s="334" t="n"/>
      <c r="I141" s="332">
        <f>IFERROR(VLOOKUP(TEXT(H141,"0"),IPRESS!$A$3:$B$212,2,0),"")</f>
        <v/>
      </c>
      <c r="J141" s="334" t="n"/>
      <c r="K141" s="332">
        <f>IFERROR(VLOOKUP(TEXT(O141,"0"),CONDUCTORES!$A$3:$G$54,7,0),"")</f>
        <v/>
      </c>
      <c r="L141" s="334" t="n"/>
      <c r="M141" s="334" t="n"/>
      <c r="N141" s="333">
        <f>IFERROR(IF(L141*M141=0,"",L141*M141),"")</f>
        <v/>
      </c>
      <c r="O141" s="334" t="n"/>
      <c r="P141" s="332">
        <f>IFERROR(VLOOKUP(TEXT(O141,"0"),CONDUCTORES!$A$3:$G$54,2,0),"")</f>
        <v/>
      </c>
      <c r="Q141" s="332">
        <f>IFERROR(VLOOKUP(TEXT(O141,"0"),CONDUCTORES!$A$3:$H$54,6,0),"")</f>
        <v/>
      </c>
      <c r="R141" s="334" t="n"/>
      <c r="S141" s="334" t="n"/>
      <c r="T141" s="334" t="n"/>
      <c r="U141" s="334" t="n"/>
      <c r="V141" s="334" t="n"/>
      <c r="W141" s="334" t="n"/>
      <c r="X141" s="334" t="n"/>
      <c r="Y141" s="334" t="n"/>
      <c r="Z141" s="375">
        <f>IF(AND(G141&lt;&gt;"",R141&lt;&gt;"",V141&lt;&gt;"",W141&lt;&gt;""),"COMPLETADO","OBSERVADO")</f>
        <v/>
      </c>
    </row>
    <row r="142" ht="15" customHeight="1" s="195">
      <c r="A142" s="280" t="n"/>
      <c r="B142" s="280" t="n"/>
      <c r="C142" s="280" t="n"/>
      <c r="D142" s="280" t="n"/>
      <c r="E142" s="280" t="n"/>
      <c r="F142" s="280" t="n"/>
      <c r="G142" s="280" t="n"/>
      <c r="H142" s="280" t="n"/>
      <c r="I142" s="332">
        <f>IFERROR(VLOOKUP(TEXT(H142,"0"),IPRESS!$A$3:$B$212,2,0),"")</f>
        <v/>
      </c>
      <c r="J142" s="280" t="n"/>
      <c r="K142" s="332">
        <f>IFERROR(VLOOKUP(TEXT(O142,"0"),CONDUCTORES!$A$3:$G$54,7,0),"")</f>
        <v/>
      </c>
      <c r="L142" s="280" t="n"/>
      <c r="M142" s="280" t="n"/>
      <c r="N142" s="333">
        <f>IFERROR(IF(L142*M142=0,"",L142*M142),"")</f>
        <v/>
      </c>
      <c r="O142" s="280" t="n"/>
      <c r="P142" s="332">
        <f>IFERROR(VLOOKUP(TEXT(O142,"0"),CONDUCTORES!$A$3:$G$54,2,0),"")</f>
        <v/>
      </c>
      <c r="Q142" s="332">
        <f>IFERROR(VLOOKUP(TEXT(O142,"0"),CONDUCTORES!$A$3:$H$54,6,0),"")</f>
        <v/>
      </c>
      <c r="R142" s="280" t="n"/>
      <c r="S142" s="280" t="n"/>
      <c r="T142" s="280" t="n"/>
      <c r="U142" s="280" t="n"/>
      <c r="V142" s="280" t="n"/>
      <c r="W142" s="280" t="n"/>
      <c r="X142" s="280" t="n"/>
      <c r="Y142" s="280" t="n"/>
      <c r="Z142" s="375">
        <f>IF(AND(G142&lt;&gt;"",R142&lt;&gt;"",V142&lt;&gt;"",W142&lt;&gt;""),"COMPLETADO","OBSERVADO")</f>
        <v/>
      </c>
    </row>
    <row r="143" ht="15" customHeight="1" s="195">
      <c r="A143" s="334" t="n"/>
      <c r="B143" s="334" t="n"/>
      <c r="C143" s="334" t="n"/>
      <c r="D143" s="334" t="n"/>
      <c r="E143" s="334" t="n"/>
      <c r="F143" s="334" t="n"/>
      <c r="G143" s="334" t="n"/>
      <c r="H143" s="334" t="n"/>
      <c r="I143" s="332">
        <f>IFERROR(VLOOKUP(TEXT(H143,"0"),IPRESS!$A$3:$B$212,2,0),"")</f>
        <v/>
      </c>
      <c r="J143" s="334" t="n"/>
      <c r="K143" s="332">
        <f>IFERROR(VLOOKUP(TEXT(O143,"0"),CONDUCTORES!$A$3:$G$54,7,0),"")</f>
        <v/>
      </c>
      <c r="L143" s="334" t="n"/>
      <c r="M143" s="334" t="n"/>
      <c r="N143" s="333">
        <f>IFERROR(IF(L143*M143=0,"",L143*M143),"")</f>
        <v/>
      </c>
      <c r="O143" s="334" t="n"/>
      <c r="P143" s="332">
        <f>IFERROR(VLOOKUP(TEXT(O143,"0"),CONDUCTORES!$A$3:$G$54,2,0),"")</f>
        <v/>
      </c>
      <c r="Q143" s="332">
        <f>IFERROR(VLOOKUP(TEXT(O143,"0"),CONDUCTORES!$A$3:$H$54,6,0),"")</f>
        <v/>
      </c>
      <c r="R143" s="334" t="n"/>
      <c r="S143" s="334" t="n"/>
      <c r="T143" s="334" t="n"/>
      <c r="U143" s="334" t="n"/>
      <c r="V143" s="334" t="n"/>
      <c r="W143" s="334" t="n"/>
      <c r="X143" s="334" t="n"/>
      <c r="Y143" s="334" t="n"/>
      <c r="Z143" s="375">
        <f>IF(AND(G143&lt;&gt;"",R143&lt;&gt;"",V143&lt;&gt;"",W143&lt;&gt;""),"COMPLETADO","OBSERVADO")</f>
        <v/>
      </c>
    </row>
    <row r="144" ht="15" customHeight="1" s="195">
      <c r="A144" s="280" t="n"/>
      <c r="B144" s="280" t="n"/>
      <c r="C144" s="280" t="n"/>
      <c r="D144" s="280" t="n"/>
      <c r="E144" s="280" t="n"/>
      <c r="F144" s="280" t="n"/>
      <c r="G144" s="280" t="n"/>
      <c r="H144" s="280" t="n"/>
      <c r="I144" s="332">
        <f>IFERROR(VLOOKUP(TEXT(H144,"0"),IPRESS!$A$3:$B$212,2,0),"")</f>
        <v/>
      </c>
      <c r="J144" s="280" t="n"/>
      <c r="K144" s="332">
        <f>IFERROR(VLOOKUP(TEXT(O144,"0"),CONDUCTORES!$A$3:$G$54,7,0),"")</f>
        <v/>
      </c>
      <c r="L144" s="280" t="n"/>
      <c r="M144" s="280" t="n"/>
      <c r="N144" s="333">
        <f>IFERROR(IF(L144*M144=0,"",L144*M144),"")</f>
        <v/>
      </c>
      <c r="O144" s="280" t="n"/>
      <c r="P144" s="332">
        <f>IFERROR(VLOOKUP(TEXT(O144,"0"),CONDUCTORES!$A$3:$G$54,2,0),"")</f>
        <v/>
      </c>
      <c r="Q144" s="332">
        <f>IFERROR(VLOOKUP(TEXT(O144,"0"),CONDUCTORES!$A$3:$H$54,6,0),"")</f>
        <v/>
      </c>
      <c r="R144" s="280" t="n"/>
      <c r="S144" s="280" t="n"/>
      <c r="T144" s="280" t="n"/>
      <c r="U144" s="280" t="n"/>
      <c r="V144" s="280" t="n"/>
      <c r="W144" s="280" t="n"/>
      <c r="X144" s="280" t="n"/>
      <c r="Y144" s="280" t="n"/>
      <c r="Z144" s="375">
        <f>IF(AND(G144&lt;&gt;"",R144&lt;&gt;"",V144&lt;&gt;"",W144&lt;&gt;""),"COMPLETADO","OBSERVADO")</f>
        <v/>
      </c>
    </row>
    <row r="145" ht="15" customHeight="1" s="195">
      <c r="A145" s="334" t="n"/>
      <c r="B145" s="334" t="n"/>
      <c r="C145" s="334" t="n"/>
      <c r="D145" s="334" t="n"/>
      <c r="E145" s="334" t="n"/>
      <c r="F145" s="334" t="n"/>
      <c r="G145" s="334" t="n"/>
      <c r="H145" s="334" t="n"/>
      <c r="I145" s="332">
        <f>IFERROR(VLOOKUP(TEXT(H145,"0"),IPRESS!$A$3:$B$212,2,0),"")</f>
        <v/>
      </c>
      <c r="J145" s="334" t="n"/>
      <c r="K145" s="332">
        <f>IFERROR(VLOOKUP(TEXT(O145,"0"),CONDUCTORES!$A$3:$G$54,7,0),"")</f>
        <v/>
      </c>
      <c r="L145" s="334" t="n"/>
      <c r="M145" s="334" t="n"/>
      <c r="N145" s="333">
        <f>IFERROR(IF(L145*M145=0,"",L145*M145),"")</f>
        <v/>
      </c>
      <c r="O145" s="334" t="n"/>
      <c r="P145" s="332">
        <f>IFERROR(VLOOKUP(TEXT(O145,"0"),CONDUCTORES!$A$3:$G$54,2,0),"")</f>
        <v/>
      </c>
      <c r="Q145" s="332">
        <f>IFERROR(VLOOKUP(TEXT(O145,"0"),CONDUCTORES!$A$3:$H$54,6,0),"")</f>
        <v/>
      </c>
      <c r="R145" s="334" t="n"/>
      <c r="S145" s="334" t="n"/>
      <c r="T145" s="334" t="n"/>
      <c r="U145" s="334" t="n"/>
      <c r="V145" s="334" t="n"/>
      <c r="W145" s="334" t="n"/>
      <c r="X145" s="334" t="n"/>
      <c r="Y145" s="334" t="n"/>
      <c r="Z145" s="375">
        <f>IF(AND(G145&lt;&gt;"",R145&lt;&gt;"",V145&lt;&gt;"",W145&lt;&gt;""),"COMPLETADO","OBSERVADO")</f>
        <v/>
      </c>
    </row>
    <row r="146" ht="15" customHeight="1" s="195">
      <c r="A146" s="280" t="n"/>
      <c r="B146" s="280" t="n"/>
      <c r="C146" s="280" t="n"/>
      <c r="D146" s="280" t="n"/>
      <c r="E146" s="280" t="n"/>
      <c r="F146" s="280" t="n"/>
      <c r="G146" s="280" t="n"/>
      <c r="H146" s="280" t="n"/>
      <c r="I146" s="332">
        <f>IFERROR(VLOOKUP(TEXT(H146,"0"),IPRESS!$A$3:$B$212,2,0),"")</f>
        <v/>
      </c>
      <c r="J146" s="280" t="n"/>
      <c r="K146" s="332">
        <f>IFERROR(VLOOKUP(TEXT(O146,"0"),CONDUCTORES!$A$3:$G$54,7,0),"")</f>
        <v/>
      </c>
      <c r="L146" s="280" t="n"/>
      <c r="M146" s="280" t="n"/>
      <c r="N146" s="333">
        <f>IFERROR(IF(L146*M146=0,"",L146*M146),"")</f>
        <v/>
      </c>
      <c r="O146" s="280" t="n"/>
      <c r="P146" s="332">
        <f>IFERROR(VLOOKUP(TEXT(O146,"0"),CONDUCTORES!$A$3:$G$54,2,0),"")</f>
        <v/>
      </c>
      <c r="Q146" s="332">
        <f>IFERROR(VLOOKUP(TEXT(O146,"0"),CONDUCTORES!$A$3:$H$54,6,0),"")</f>
        <v/>
      </c>
      <c r="R146" s="280" t="n"/>
      <c r="S146" s="280" t="n"/>
      <c r="T146" s="280" t="n"/>
      <c r="U146" s="280" t="n"/>
      <c r="V146" s="280" t="n"/>
      <c r="W146" s="280" t="n"/>
      <c r="X146" s="280" t="n"/>
      <c r="Y146" s="280" t="n"/>
      <c r="Z146" s="375">
        <f>IF(AND(G146&lt;&gt;"",R146&lt;&gt;"",V146&lt;&gt;"",W146&lt;&gt;""),"COMPLETADO","OBSERVADO")</f>
        <v/>
      </c>
    </row>
    <row r="147" ht="15" customHeight="1" s="195">
      <c r="A147" s="334" t="n"/>
      <c r="B147" s="334" t="n"/>
      <c r="C147" s="334" t="n"/>
      <c r="D147" s="334" t="n"/>
      <c r="E147" s="334" t="n"/>
      <c r="F147" s="334" t="n"/>
      <c r="G147" s="334" t="n"/>
      <c r="H147" s="334" t="n"/>
      <c r="I147" s="332">
        <f>IFERROR(VLOOKUP(TEXT(H147,"0"),IPRESS!$A$3:$B$212,2,0),"")</f>
        <v/>
      </c>
      <c r="J147" s="334" t="n"/>
      <c r="K147" s="332">
        <f>IFERROR(VLOOKUP(TEXT(O147,"0"),CONDUCTORES!$A$3:$G$54,7,0),"")</f>
        <v/>
      </c>
      <c r="L147" s="334" t="n"/>
      <c r="M147" s="334" t="n"/>
      <c r="N147" s="333">
        <f>IFERROR(IF(L147*M147=0,"",L147*M147),"")</f>
        <v/>
      </c>
      <c r="O147" s="334" t="n"/>
      <c r="P147" s="332">
        <f>IFERROR(VLOOKUP(TEXT(O147,"0"),CONDUCTORES!$A$3:$G$54,2,0),"")</f>
        <v/>
      </c>
      <c r="Q147" s="332">
        <f>IFERROR(VLOOKUP(TEXT(O147,"0"),CONDUCTORES!$A$3:$H$54,6,0),"")</f>
        <v/>
      </c>
      <c r="R147" s="334" t="n"/>
      <c r="S147" s="334" t="n"/>
      <c r="T147" s="334" t="n"/>
      <c r="U147" s="334" t="n"/>
      <c r="V147" s="334" t="n"/>
      <c r="W147" s="334" t="n"/>
      <c r="X147" s="334" t="n"/>
      <c r="Y147" s="334" t="n"/>
      <c r="Z147" s="375">
        <f>IF(AND(G147&lt;&gt;"",R147&lt;&gt;"",V147&lt;&gt;"",W147&lt;&gt;""),"COMPLETADO","OBSERVADO")</f>
        <v/>
      </c>
    </row>
    <row r="148" ht="15" customHeight="1" s="195">
      <c r="A148" s="280" t="n"/>
      <c r="B148" s="280" t="n"/>
      <c r="C148" s="280" t="n"/>
      <c r="D148" s="280" t="n"/>
      <c r="E148" s="280" t="n"/>
      <c r="F148" s="280" t="n"/>
      <c r="G148" s="280" t="n"/>
      <c r="H148" s="280" t="n"/>
      <c r="I148" s="332">
        <f>IFERROR(VLOOKUP(TEXT(H148,"0"),IPRESS!$A$3:$B$212,2,0),"")</f>
        <v/>
      </c>
      <c r="J148" s="280" t="n"/>
      <c r="K148" s="332">
        <f>IFERROR(VLOOKUP(TEXT(O148,"0"),CONDUCTORES!$A$3:$G$54,7,0),"")</f>
        <v/>
      </c>
      <c r="L148" s="280" t="n"/>
      <c r="M148" s="280" t="n"/>
      <c r="N148" s="333">
        <f>IFERROR(IF(L148*M148=0,"",L148*M148),"")</f>
        <v/>
      </c>
      <c r="O148" s="280" t="n"/>
      <c r="P148" s="332">
        <f>IFERROR(VLOOKUP(TEXT(O148,"0"),CONDUCTORES!$A$3:$G$54,2,0),"")</f>
        <v/>
      </c>
      <c r="Q148" s="332">
        <f>IFERROR(VLOOKUP(TEXT(O148,"0"),CONDUCTORES!$A$3:$H$54,6,0),"")</f>
        <v/>
      </c>
      <c r="R148" s="280" t="n"/>
      <c r="S148" s="280" t="n"/>
      <c r="T148" s="280" t="n"/>
      <c r="U148" s="280" t="n"/>
      <c r="V148" s="280" t="n"/>
      <c r="W148" s="280" t="n"/>
      <c r="X148" s="280" t="n"/>
      <c r="Y148" s="280" t="n"/>
      <c r="Z148" s="375">
        <f>IF(AND(G148&lt;&gt;"",R148&lt;&gt;"",V148&lt;&gt;"",W148&lt;&gt;""),"COMPLETADO","OBSERVADO")</f>
        <v/>
      </c>
    </row>
    <row r="149" ht="15" customHeight="1" s="195">
      <c r="A149" s="334" t="n"/>
      <c r="B149" s="334" t="n"/>
      <c r="C149" s="334" t="n"/>
      <c r="D149" s="334" t="n"/>
      <c r="E149" s="334" t="n"/>
      <c r="F149" s="334" t="n"/>
      <c r="G149" s="334" t="n"/>
      <c r="H149" s="334" t="n"/>
      <c r="I149" s="332">
        <f>IFERROR(VLOOKUP(TEXT(H149,"0"),IPRESS!$A$3:$B$212,2,0),"")</f>
        <v/>
      </c>
      <c r="J149" s="334" t="n"/>
      <c r="K149" s="332">
        <f>IFERROR(VLOOKUP(TEXT(O149,"0"),CONDUCTORES!$A$3:$G$54,7,0),"")</f>
        <v/>
      </c>
      <c r="L149" s="334" t="n"/>
      <c r="M149" s="334" t="n"/>
      <c r="N149" s="333">
        <f>IFERROR(IF(L149*M149=0,"",L149*M149),"")</f>
        <v/>
      </c>
      <c r="O149" s="334" t="n"/>
      <c r="P149" s="332">
        <f>IFERROR(VLOOKUP(TEXT(O149,"0"),CONDUCTORES!$A$3:$G$54,2,0),"")</f>
        <v/>
      </c>
      <c r="Q149" s="332">
        <f>IFERROR(VLOOKUP(TEXT(O149,"0"),CONDUCTORES!$A$3:$H$54,6,0),"")</f>
        <v/>
      </c>
      <c r="R149" s="334" t="n"/>
      <c r="S149" s="334" t="n"/>
      <c r="T149" s="334" t="n"/>
      <c r="U149" s="334" t="n"/>
      <c r="V149" s="334" t="n"/>
      <c r="W149" s="334" t="n"/>
      <c r="X149" s="334" t="n"/>
      <c r="Y149" s="334" t="n"/>
      <c r="Z149" s="375">
        <f>IF(AND(G149&lt;&gt;"",R149&lt;&gt;"",V149&lt;&gt;"",W149&lt;&gt;""),"COMPLETADO","OBSERVADO")</f>
        <v/>
      </c>
    </row>
    <row r="150" ht="15" customHeight="1" s="195">
      <c r="A150" s="280" t="n"/>
      <c r="B150" s="280" t="n"/>
      <c r="C150" s="280" t="n"/>
      <c r="D150" s="280" t="n"/>
      <c r="E150" s="280" t="n"/>
      <c r="F150" s="280" t="n"/>
      <c r="G150" s="280" t="n"/>
      <c r="H150" s="280" t="n"/>
      <c r="I150" s="332">
        <f>IFERROR(VLOOKUP(TEXT(H150,"0"),IPRESS!$A$3:$B$212,2,0),"")</f>
        <v/>
      </c>
      <c r="J150" s="280" t="n"/>
      <c r="K150" s="332">
        <f>IFERROR(VLOOKUP(TEXT(O150,"0"),CONDUCTORES!$A$3:$G$54,7,0),"")</f>
        <v/>
      </c>
      <c r="L150" s="280" t="n"/>
      <c r="M150" s="280" t="n"/>
      <c r="N150" s="333">
        <f>IFERROR(IF(L150*M150=0,"",L150*M150),"")</f>
        <v/>
      </c>
      <c r="O150" s="280" t="n"/>
      <c r="P150" s="332">
        <f>IFERROR(VLOOKUP(TEXT(O150,"0"),CONDUCTORES!$A$3:$G$54,2,0),"")</f>
        <v/>
      </c>
      <c r="Q150" s="332">
        <f>IFERROR(VLOOKUP(TEXT(O150,"0"),CONDUCTORES!$A$3:$H$54,6,0),"")</f>
        <v/>
      </c>
      <c r="R150" s="280" t="n"/>
      <c r="S150" s="280" t="n"/>
      <c r="T150" s="280" t="n"/>
      <c r="U150" s="280" t="n"/>
      <c r="V150" s="280" t="n"/>
      <c r="W150" s="280" t="n"/>
      <c r="X150" s="280" t="n"/>
      <c r="Y150" s="280" t="n"/>
      <c r="Z150" s="375">
        <f>IF(AND(G150&lt;&gt;"",R150&lt;&gt;"",V150&lt;&gt;"",W150&lt;&gt;""),"COMPLETADO","OBSERVADO")</f>
        <v/>
      </c>
    </row>
    <row r="151" ht="15" customHeight="1" s="195">
      <c r="A151" s="334" t="n"/>
      <c r="B151" s="334" t="n"/>
      <c r="C151" s="334" t="n"/>
      <c r="D151" s="334" t="n"/>
      <c r="E151" s="334" t="n"/>
      <c r="F151" s="334" t="n"/>
      <c r="G151" s="334" t="n"/>
      <c r="H151" s="334" t="n"/>
      <c r="I151" s="332">
        <f>IFERROR(VLOOKUP(TEXT(H151,"0"),IPRESS!$A$3:$B$212,2,0),"")</f>
        <v/>
      </c>
      <c r="J151" s="334" t="n"/>
      <c r="K151" s="332">
        <f>IFERROR(VLOOKUP(TEXT(O151,"0"),CONDUCTORES!$A$3:$G$54,7,0),"")</f>
        <v/>
      </c>
      <c r="L151" s="334" t="n"/>
      <c r="M151" s="334" t="n"/>
      <c r="N151" s="333">
        <f>IFERROR(IF(L151*M151=0,"",L151*M151),"")</f>
        <v/>
      </c>
      <c r="O151" s="334" t="n"/>
      <c r="P151" s="332">
        <f>IFERROR(VLOOKUP(TEXT(O151,"0"),CONDUCTORES!$A$3:$G$54,2,0),"")</f>
        <v/>
      </c>
      <c r="Q151" s="332">
        <f>IFERROR(VLOOKUP(TEXT(O151,"0"),CONDUCTORES!$A$3:$H$54,6,0),"")</f>
        <v/>
      </c>
      <c r="R151" s="334" t="n"/>
      <c r="S151" s="334" t="n"/>
      <c r="T151" s="334" t="n"/>
      <c r="U151" s="334" t="n"/>
      <c r="V151" s="334" t="n"/>
      <c r="W151" s="334" t="n"/>
      <c r="X151" s="334" t="n"/>
      <c r="Y151" s="334" t="n"/>
      <c r="Z151" s="375">
        <f>IF(AND(G151&lt;&gt;"",R151&lt;&gt;"",V151&lt;&gt;"",W151&lt;&gt;""),"COMPLETADO","OBSERVADO")</f>
        <v/>
      </c>
    </row>
    <row r="152" ht="15" customHeight="1" s="195">
      <c r="A152" s="280" t="n"/>
      <c r="B152" s="280" t="n"/>
      <c r="C152" s="280" t="n"/>
      <c r="D152" s="280" t="n"/>
      <c r="E152" s="280" t="n"/>
      <c r="F152" s="280" t="n"/>
      <c r="G152" s="280" t="n"/>
      <c r="H152" s="280" t="n"/>
      <c r="I152" s="332">
        <f>IFERROR(VLOOKUP(TEXT(H152,"0"),IPRESS!$A$3:$B$212,2,0),"")</f>
        <v/>
      </c>
      <c r="J152" s="280" t="n"/>
      <c r="K152" s="332">
        <f>IFERROR(VLOOKUP(TEXT(O152,"0"),CONDUCTORES!$A$3:$G$54,7,0),"")</f>
        <v/>
      </c>
      <c r="L152" s="280" t="n"/>
      <c r="M152" s="280" t="n"/>
      <c r="N152" s="333">
        <f>IFERROR(IF(L152*M152=0,"",L152*M152),"")</f>
        <v/>
      </c>
      <c r="O152" s="280" t="n"/>
      <c r="P152" s="332">
        <f>IFERROR(VLOOKUP(TEXT(O152,"0"),CONDUCTORES!$A$3:$G$54,2,0),"")</f>
        <v/>
      </c>
      <c r="Q152" s="332">
        <f>IFERROR(VLOOKUP(TEXT(O152,"0"),CONDUCTORES!$A$3:$H$54,6,0),"")</f>
        <v/>
      </c>
      <c r="R152" s="280" t="n"/>
      <c r="S152" s="280" t="n"/>
      <c r="T152" s="280" t="n"/>
      <c r="U152" s="280" t="n"/>
      <c r="V152" s="280" t="n"/>
      <c r="W152" s="280" t="n"/>
      <c r="X152" s="280" t="n"/>
      <c r="Y152" s="280" t="n"/>
      <c r="Z152" s="375">
        <f>IF(AND(G152&lt;&gt;"",R152&lt;&gt;"",V152&lt;&gt;"",W152&lt;&gt;""),"COMPLETADO","OBSERVADO")</f>
        <v/>
      </c>
    </row>
    <row r="153" ht="15" customHeight="1" s="195">
      <c r="A153" s="334" t="n"/>
      <c r="B153" s="334" t="n"/>
      <c r="C153" s="334" t="n"/>
      <c r="D153" s="334" t="n"/>
      <c r="E153" s="334" t="n"/>
      <c r="F153" s="334" t="n"/>
      <c r="G153" s="334" t="n"/>
      <c r="H153" s="334" t="n"/>
      <c r="I153" s="332">
        <f>IFERROR(VLOOKUP(TEXT(H153,"0"),IPRESS!$A$3:$B$212,2,0),"")</f>
        <v/>
      </c>
      <c r="J153" s="334" t="n"/>
      <c r="K153" s="332">
        <f>IFERROR(VLOOKUP(TEXT(O153,"0"),CONDUCTORES!$A$3:$G$54,7,0),"")</f>
        <v/>
      </c>
      <c r="L153" s="334" t="n"/>
      <c r="M153" s="334" t="n"/>
      <c r="N153" s="333">
        <f>IFERROR(IF(L153*M153=0,"",L153*M153),"")</f>
        <v/>
      </c>
      <c r="O153" s="334" t="n"/>
      <c r="P153" s="332">
        <f>IFERROR(VLOOKUP(TEXT(O153,"0"),CONDUCTORES!$A$3:$G$54,2,0),"")</f>
        <v/>
      </c>
      <c r="Q153" s="332">
        <f>IFERROR(VLOOKUP(TEXT(O153,"0"),CONDUCTORES!$A$3:$H$54,6,0),"")</f>
        <v/>
      </c>
      <c r="R153" s="334" t="n"/>
      <c r="S153" s="334" t="n"/>
      <c r="T153" s="334" t="n"/>
      <c r="U153" s="334" t="n"/>
      <c r="V153" s="334" t="n"/>
      <c r="W153" s="334" t="n"/>
      <c r="X153" s="334" t="n"/>
      <c r="Y153" s="334" t="n"/>
      <c r="Z153" s="375">
        <f>IF(AND(G153&lt;&gt;"",R153&lt;&gt;"",V153&lt;&gt;"",W153&lt;&gt;""),"COMPLETADO","OBSERVADO")</f>
        <v/>
      </c>
    </row>
    <row r="154" ht="15" customHeight="1" s="195">
      <c r="A154" s="280" t="n"/>
      <c r="B154" s="280" t="n"/>
      <c r="C154" s="280" t="n"/>
      <c r="D154" s="280" t="n"/>
      <c r="E154" s="280" t="n"/>
      <c r="F154" s="280" t="n"/>
      <c r="G154" s="280" t="n"/>
      <c r="H154" s="280" t="n"/>
      <c r="I154" s="332">
        <f>IFERROR(VLOOKUP(TEXT(H154,"0"),IPRESS!$A$3:$B$212,2,0),"")</f>
        <v/>
      </c>
      <c r="J154" s="280" t="n"/>
      <c r="K154" s="332">
        <f>IFERROR(VLOOKUP(TEXT(O154,"0"),CONDUCTORES!$A$3:$G$54,7,0),"")</f>
        <v/>
      </c>
      <c r="L154" s="280" t="n"/>
      <c r="M154" s="280" t="n"/>
      <c r="N154" s="333">
        <f>IFERROR(IF(L154*M154=0,"",L154*M154),"")</f>
        <v/>
      </c>
      <c r="O154" s="280" t="n"/>
      <c r="P154" s="332">
        <f>IFERROR(VLOOKUP(TEXT(O154,"0"),CONDUCTORES!$A$3:$G$54,2,0),"")</f>
        <v/>
      </c>
      <c r="Q154" s="332">
        <f>IFERROR(VLOOKUP(TEXT(O154,"0"),CONDUCTORES!$A$3:$H$54,6,0),"")</f>
        <v/>
      </c>
      <c r="R154" s="280" t="n"/>
      <c r="S154" s="280" t="n"/>
      <c r="T154" s="280" t="n"/>
      <c r="U154" s="280" t="n"/>
      <c r="V154" s="280" t="n"/>
      <c r="W154" s="280" t="n"/>
      <c r="X154" s="280" t="n"/>
      <c r="Y154" s="280" t="n"/>
      <c r="Z154" s="375">
        <f>IF(AND(G154&lt;&gt;"",R154&lt;&gt;"",V154&lt;&gt;"",W154&lt;&gt;""),"COMPLETADO","OBSERVADO")</f>
        <v/>
      </c>
    </row>
    <row r="155" ht="15" customHeight="1" s="195">
      <c r="A155" s="334" t="n"/>
      <c r="B155" s="334" t="n"/>
      <c r="C155" s="334" t="n"/>
      <c r="D155" s="334" t="n"/>
      <c r="E155" s="334" t="n"/>
      <c r="F155" s="334" t="n"/>
      <c r="G155" s="334" t="n"/>
      <c r="H155" s="334" t="n"/>
      <c r="I155" s="332">
        <f>IFERROR(VLOOKUP(TEXT(H155,"0"),IPRESS!$A$3:$B$212,2,0),"")</f>
        <v/>
      </c>
      <c r="J155" s="334" t="n"/>
      <c r="K155" s="332">
        <f>IFERROR(VLOOKUP(TEXT(O155,"0"),CONDUCTORES!$A$3:$G$54,7,0),"")</f>
        <v/>
      </c>
      <c r="L155" s="334" t="n"/>
      <c r="M155" s="334" t="n"/>
      <c r="N155" s="333">
        <f>IFERROR(IF(L155*M155=0,"",L155*M155),"")</f>
        <v/>
      </c>
      <c r="O155" s="334" t="n"/>
      <c r="P155" s="332">
        <f>IFERROR(VLOOKUP(TEXT(O155,"0"),CONDUCTORES!$A$3:$G$54,2,0),"")</f>
        <v/>
      </c>
      <c r="Q155" s="332">
        <f>IFERROR(VLOOKUP(TEXT(O155,"0"),CONDUCTORES!$A$3:$H$54,6,0),"")</f>
        <v/>
      </c>
      <c r="R155" s="334" t="n"/>
      <c r="S155" s="334" t="n"/>
      <c r="T155" s="334" t="n"/>
      <c r="U155" s="334" t="n"/>
      <c r="V155" s="334" t="n"/>
      <c r="W155" s="334" t="n"/>
      <c r="X155" s="334" t="n"/>
      <c r="Y155" s="334" t="n"/>
      <c r="Z155" s="375">
        <f>IF(AND(G155&lt;&gt;"",R155&lt;&gt;"",V155&lt;&gt;"",W155&lt;&gt;""),"COMPLETADO","OBSERVADO")</f>
        <v/>
      </c>
    </row>
    <row r="156" ht="15" customHeight="1" s="195">
      <c r="A156" s="280" t="n"/>
      <c r="B156" s="280" t="n"/>
      <c r="C156" s="280" t="n"/>
      <c r="D156" s="280" t="n"/>
      <c r="E156" s="280" t="n"/>
      <c r="F156" s="280" t="n"/>
      <c r="G156" s="280" t="n"/>
      <c r="H156" s="280" t="n"/>
      <c r="I156" s="332">
        <f>IFERROR(VLOOKUP(TEXT(H156,"0"),IPRESS!$A$3:$B$212,2,0),"")</f>
        <v/>
      </c>
      <c r="J156" s="280" t="n"/>
      <c r="K156" s="332">
        <f>IFERROR(VLOOKUP(TEXT(O156,"0"),CONDUCTORES!$A$3:$G$54,7,0),"")</f>
        <v/>
      </c>
      <c r="L156" s="280" t="n"/>
      <c r="M156" s="280" t="n"/>
      <c r="N156" s="333">
        <f>IFERROR(IF(L156*M156=0,"",L156*M156),"")</f>
        <v/>
      </c>
      <c r="O156" s="280" t="n"/>
      <c r="P156" s="332">
        <f>IFERROR(VLOOKUP(TEXT(O156,"0"),CONDUCTORES!$A$3:$G$54,2,0),"")</f>
        <v/>
      </c>
      <c r="Q156" s="332">
        <f>IFERROR(VLOOKUP(TEXT(O156,"0"),CONDUCTORES!$A$3:$H$54,6,0),"")</f>
        <v/>
      </c>
      <c r="R156" s="280" t="n"/>
      <c r="S156" s="280" t="n"/>
      <c r="T156" s="280" t="n"/>
      <c r="U156" s="280" t="n"/>
      <c r="V156" s="280" t="n"/>
      <c r="W156" s="280" t="n"/>
      <c r="X156" s="280" t="n"/>
      <c r="Y156" s="280" t="n"/>
      <c r="Z156" s="375">
        <f>IF(AND(G156&lt;&gt;"",R156&lt;&gt;"",V156&lt;&gt;"",W156&lt;&gt;""),"COMPLETADO","OBSERVADO")</f>
        <v/>
      </c>
    </row>
    <row r="157" ht="15" customHeight="1" s="195">
      <c r="A157" s="334" t="n"/>
      <c r="B157" s="334" t="n"/>
      <c r="C157" s="334" t="n"/>
      <c r="D157" s="334" t="n"/>
      <c r="E157" s="334" t="n"/>
      <c r="F157" s="334" t="n"/>
      <c r="G157" s="334" t="n"/>
      <c r="H157" s="334" t="n"/>
      <c r="I157" s="332">
        <f>IFERROR(VLOOKUP(TEXT(H157,"0"),IPRESS!$A$3:$B$212,2,0),"")</f>
        <v/>
      </c>
      <c r="J157" s="334" t="n"/>
      <c r="K157" s="332">
        <f>IFERROR(VLOOKUP(TEXT(O157,"0"),CONDUCTORES!$A$3:$G$54,7,0),"")</f>
        <v/>
      </c>
      <c r="L157" s="334" t="n"/>
      <c r="M157" s="334" t="n"/>
      <c r="N157" s="333">
        <f>IFERROR(IF(L157*M157=0,"",L157*M157),"")</f>
        <v/>
      </c>
      <c r="O157" s="334" t="n"/>
      <c r="P157" s="332">
        <f>IFERROR(VLOOKUP(TEXT(O157,"0"),CONDUCTORES!$A$3:$G$54,2,0),"")</f>
        <v/>
      </c>
      <c r="Q157" s="332">
        <f>IFERROR(VLOOKUP(TEXT(O157,"0"),CONDUCTORES!$A$3:$H$54,6,0),"")</f>
        <v/>
      </c>
      <c r="R157" s="334" t="n"/>
      <c r="S157" s="334" t="n"/>
      <c r="T157" s="334" t="n"/>
      <c r="U157" s="334" t="n"/>
      <c r="V157" s="334" t="n"/>
      <c r="W157" s="334" t="n"/>
      <c r="X157" s="334" t="n"/>
      <c r="Y157" s="334" t="n"/>
      <c r="Z157" s="375">
        <f>IF(AND(G157&lt;&gt;"",R157&lt;&gt;"",V157&lt;&gt;"",W157&lt;&gt;""),"COMPLETADO","OBSERVADO")</f>
        <v/>
      </c>
    </row>
    <row r="158" ht="15" customHeight="1" s="195">
      <c r="A158" s="280" t="n"/>
      <c r="B158" s="280" t="n"/>
      <c r="C158" s="280" t="n"/>
      <c r="D158" s="280" t="n"/>
      <c r="E158" s="280" t="n"/>
      <c r="F158" s="280" t="n"/>
      <c r="G158" s="280" t="n"/>
      <c r="H158" s="280" t="n"/>
      <c r="I158" s="332">
        <f>IFERROR(VLOOKUP(TEXT(H158,"0"),IPRESS!$A$3:$B$212,2,0),"")</f>
        <v/>
      </c>
      <c r="J158" s="280" t="n"/>
      <c r="K158" s="332">
        <f>IFERROR(VLOOKUP(TEXT(O158,"0"),CONDUCTORES!$A$3:$G$54,7,0),"")</f>
        <v/>
      </c>
      <c r="L158" s="280" t="n"/>
      <c r="M158" s="280" t="n"/>
      <c r="N158" s="333">
        <f>IFERROR(IF(L158*M158=0,"",L158*M158),"")</f>
        <v/>
      </c>
      <c r="O158" s="280" t="n"/>
      <c r="P158" s="332">
        <f>IFERROR(VLOOKUP(TEXT(O158,"0"),CONDUCTORES!$A$3:$G$54,2,0),"")</f>
        <v/>
      </c>
      <c r="Q158" s="332">
        <f>IFERROR(VLOOKUP(TEXT(O158,"0"),CONDUCTORES!$A$3:$H$54,6,0),"")</f>
        <v/>
      </c>
      <c r="R158" s="280" t="n"/>
      <c r="S158" s="280" t="n"/>
      <c r="T158" s="280" t="n"/>
      <c r="U158" s="280" t="n"/>
      <c r="V158" s="280" t="n"/>
      <c r="W158" s="280" t="n"/>
      <c r="X158" s="280" t="n"/>
      <c r="Y158" s="280" t="n"/>
      <c r="Z158" s="375">
        <f>IF(AND(G158&lt;&gt;"",R158&lt;&gt;"",V158&lt;&gt;"",W158&lt;&gt;""),"COMPLETADO","OBSERVADO")</f>
        <v/>
      </c>
    </row>
    <row r="159" ht="15" customHeight="1" s="195">
      <c r="A159" s="334" t="n"/>
      <c r="B159" s="334" t="n"/>
      <c r="C159" s="334" t="n"/>
      <c r="D159" s="334" t="n"/>
      <c r="E159" s="334" t="n"/>
      <c r="F159" s="334" t="n"/>
      <c r="G159" s="334" t="n"/>
      <c r="H159" s="334" t="n"/>
      <c r="I159" s="332">
        <f>IFERROR(VLOOKUP(TEXT(H159,"0"),IPRESS!$A$3:$B$212,2,0),"")</f>
        <v/>
      </c>
      <c r="J159" s="334" t="n"/>
      <c r="K159" s="332">
        <f>IFERROR(VLOOKUP(TEXT(O159,"0"),CONDUCTORES!$A$3:$G$54,7,0),"")</f>
        <v/>
      </c>
      <c r="L159" s="334" t="n"/>
      <c r="M159" s="334" t="n"/>
      <c r="N159" s="333">
        <f>IFERROR(IF(L159*M159=0,"",L159*M159),"")</f>
        <v/>
      </c>
      <c r="O159" s="334" t="n"/>
      <c r="P159" s="332">
        <f>IFERROR(VLOOKUP(TEXT(O159,"0"),CONDUCTORES!$A$3:$G$54,2,0),"")</f>
        <v/>
      </c>
      <c r="Q159" s="332">
        <f>IFERROR(VLOOKUP(TEXT(O159,"0"),CONDUCTORES!$A$3:$H$54,6,0),"")</f>
        <v/>
      </c>
      <c r="R159" s="334" t="n"/>
      <c r="S159" s="334" t="n"/>
      <c r="T159" s="334" t="n"/>
      <c r="U159" s="334" t="n"/>
      <c r="V159" s="334" t="n"/>
      <c r="W159" s="334" t="n"/>
      <c r="X159" s="334" t="n"/>
      <c r="Y159" s="334" t="n"/>
      <c r="Z159" s="375">
        <f>IF(AND(G159&lt;&gt;"",R159&lt;&gt;"",V159&lt;&gt;"",W159&lt;&gt;""),"COMPLETADO","OBSERVADO")</f>
        <v/>
      </c>
    </row>
    <row r="160" ht="15" customHeight="1" s="195">
      <c r="A160" s="280" t="n"/>
      <c r="B160" s="280" t="n"/>
      <c r="C160" s="280" t="n"/>
      <c r="D160" s="280" t="n"/>
      <c r="E160" s="280" t="n"/>
      <c r="F160" s="280" t="n"/>
      <c r="G160" s="280" t="n"/>
      <c r="H160" s="280" t="n"/>
      <c r="I160" s="332">
        <f>IFERROR(VLOOKUP(TEXT(H160,"0"),IPRESS!$A$3:$B$212,2,0),"")</f>
        <v/>
      </c>
      <c r="J160" s="280" t="n"/>
      <c r="K160" s="332">
        <f>IFERROR(VLOOKUP(TEXT(O160,"0"),CONDUCTORES!$A$3:$G$54,7,0),"")</f>
        <v/>
      </c>
      <c r="L160" s="280" t="n"/>
      <c r="M160" s="280" t="n"/>
      <c r="N160" s="333">
        <f>IFERROR(IF(L160*M160=0,"",L160*M160),"")</f>
        <v/>
      </c>
      <c r="O160" s="280" t="n"/>
      <c r="P160" s="332">
        <f>IFERROR(VLOOKUP(TEXT(O160,"0"),CONDUCTORES!$A$3:$G$54,2,0),"")</f>
        <v/>
      </c>
      <c r="Q160" s="332">
        <f>IFERROR(VLOOKUP(TEXT(O160,"0"),CONDUCTORES!$A$3:$H$54,6,0),"")</f>
        <v/>
      </c>
      <c r="R160" s="280" t="n"/>
      <c r="S160" s="280" t="n"/>
      <c r="T160" s="280" t="n"/>
      <c r="U160" s="280" t="n"/>
      <c r="V160" s="280" t="n"/>
      <c r="W160" s="280" t="n"/>
      <c r="X160" s="280" t="n"/>
      <c r="Y160" s="280" t="n"/>
      <c r="Z160" s="375">
        <f>IF(AND(G160&lt;&gt;"",R160&lt;&gt;"",V160&lt;&gt;"",W160&lt;&gt;""),"COMPLETADO","OBSERVADO")</f>
        <v/>
      </c>
    </row>
    <row r="161" ht="15" customHeight="1" s="195">
      <c r="A161" s="334" t="n"/>
      <c r="B161" s="334" t="n"/>
      <c r="C161" s="334" t="n"/>
      <c r="D161" s="334" t="n"/>
      <c r="E161" s="334" t="n"/>
      <c r="F161" s="334" t="n"/>
      <c r="G161" s="334" t="n"/>
      <c r="H161" s="334" t="n"/>
      <c r="I161" s="332">
        <f>IFERROR(VLOOKUP(TEXT(H161,"0"),IPRESS!$A$3:$B$212,2,0),"")</f>
        <v/>
      </c>
      <c r="J161" s="334" t="n"/>
      <c r="K161" s="332">
        <f>IFERROR(VLOOKUP(TEXT(O161,"0"),CONDUCTORES!$A$3:$G$54,7,0),"")</f>
        <v/>
      </c>
      <c r="L161" s="334" t="n"/>
      <c r="M161" s="334" t="n"/>
      <c r="N161" s="333">
        <f>IFERROR(IF(L161*M161=0,"",L161*M161),"")</f>
        <v/>
      </c>
      <c r="O161" s="334" t="n"/>
      <c r="P161" s="332">
        <f>IFERROR(VLOOKUP(TEXT(O161,"0"),CONDUCTORES!$A$3:$G$54,2,0),"")</f>
        <v/>
      </c>
      <c r="Q161" s="332">
        <f>IFERROR(VLOOKUP(TEXT(O161,"0"),CONDUCTORES!$A$3:$H$54,6,0),"")</f>
        <v/>
      </c>
      <c r="R161" s="334" t="n"/>
      <c r="S161" s="334" t="n"/>
      <c r="T161" s="334" t="n"/>
      <c r="U161" s="334" t="n"/>
      <c r="V161" s="334" t="n"/>
      <c r="W161" s="334" t="n"/>
      <c r="X161" s="334" t="n"/>
      <c r="Y161" s="334" t="n"/>
      <c r="Z161" s="375">
        <f>IF(AND(G161&lt;&gt;"",R161&lt;&gt;"",V161&lt;&gt;"",W161&lt;&gt;""),"COMPLETADO","OBSERVADO")</f>
        <v/>
      </c>
    </row>
    <row r="162" ht="15" customHeight="1" s="195">
      <c r="A162" s="280" t="n"/>
      <c r="B162" s="280" t="n"/>
      <c r="C162" s="280" t="n"/>
      <c r="D162" s="280" t="n"/>
      <c r="E162" s="280" t="n"/>
      <c r="F162" s="280" t="n"/>
      <c r="G162" s="280" t="n"/>
      <c r="H162" s="280" t="n"/>
      <c r="I162" s="332">
        <f>IFERROR(VLOOKUP(TEXT(H162,"0"),IPRESS!$A$3:$B$212,2,0),"")</f>
        <v/>
      </c>
      <c r="J162" s="280" t="n"/>
      <c r="K162" s="332">
        <f>IFERROR(VLOOKUP(TEXT(O162,"0"),CONDUCTORES!$A$3:$G$54,7,0),"")</f>
        <v/>
      </c>
      <c r="L162" s="280" t="n"/>
      <c r="M162" s="280" t="n"/>
      <c r="N162" s="333">
        <f>IFERROR(IF(L162*M162=0,"",L162*M162),"")</f>
        <v/>
      </c>
      <c r="O162" s="280" t="n"/>
      <c r="P162" s="332">
        <f>IFERROR(VLOOKUP(TEXT(O162,"0"),CONDUCTORES!$A$3:$G$54,2,0),"")</f>
        <v/>
      </c>
      <c r="Q162" s="332">
        <f>IFERROR(VLOOKUP(TEXT(O162,"0"),CONDUCTORES!$A$3:$H$54,6,0),"")</f>
        <v/>
      </c>
      <c r="R162" s="280" t="n"/>
      <c r="S162" s="280" t="n"/>
      <c r="T162" s="280" t="n"/>
      <c r="U162" s="280" t="n"/>
      <c r="V162" s="280" t="n"/>
      <c r="W162" s="280" t="n"/>
      <c r="X162" s="280" t="n"/>
      <c r="Y162" s="280" t="n"/>
      <c r="Z162" s="375">
        <f>IF(AND(G162&lt;&gt;"",R162&lt;&gt;"",V162&lt;&gt;"",W162&lt;&gt;""),"COMPLETADO","OBSERVADO")</f>
        <v/>
      </c>
    </row>
    <row r="163" ht="15" customHeight="1" s="195">
      <c r="A163" s="334" t="n"/>
      <c r="B163" s="334" t="n"/>
      <c r="C163" s="334" t="n"/>
      <c r="D163" s="334" t="n"/>
      <c r="E163" s="334" t="n"/>
      <c r="F163" s="334" t="n"/>
      <c r="G163" s="334" t="n"/>
      <c r="H163" s="334" t="n"/>
      <c r="I163" s="332">
        <f>IFERROR(VLOOKUP(TEXT(H163,"0"),IPRESS!$A$3:$B$212,2,0),"")</f>
        <v/>
      </c>
      <c r="J163" s="334" t="n"/>
      <c r="K163" s="332">
        <f>IFERROR(VLOOKUP(TEXT(O163,"0"),CONDUCTORES!$A$3:$G$54,7,0),"")</f>
        <v/>
      </c>
      <c r="L163" s="334" t="n"/>
      <c r="M163" s="334" t="n"/>
      <c r="N163" s="333">
        <f>IFERROR(IF(L163*M163=0,"",L163*M163),"")</f>
        <v/>
      </c>
      <c r="O163" s="334" t="n"/>
      <c r="P163" s="332">
        <f>IFERROR(VLOOKUP(TEXT(O163,"0"),CONDUCTORES!$A$3:$G$54,2,0),"")</f>
        <v/>
      </c>
      <c r="Q163" s="332">
        <f>IFERROR(VLOOKUP(TEXT(O163,"0"),CONDUCTORES!$A$3:$H$54,6,0),"")</f>
        <v/>
      </c>
      <c r="R163" s="334" t="n"/>
      <c r="S163" s="334" t="n"/>
      <c r="T163" s="334" t="n"/>
      <c r="U163" s="334" t="n"/>
      <c r="V163" s="334" t="n"/>
      <c r="W163" s="334" t="n"/>
      <c r="X163" s="334" t="n"/>
      <c r="Y163" s="334" t="n"/>
      <c r="Z163" s="375">
        <f>IF(AND(G163&lt;&gt;"",R163&lt;&gt;"",V163&lt;&gt;"",W163&lt;&gt;""),"COMPLETADO","OBSERVADO")</f>
        <v/>
      </c>
    </row>
    <row r="164" ht="15" customHeight="1" s="195">
      <c r="A164" s="280" t="n"/>
      <c r="B164" s="280" t="n"/>
      <c r="C164" s="280" t="n"/>
      <c r="D164" s="280" t="n"/>
      <c r="E164" s="280" t="n"/>
      <c r="F164" s="280" t="n"/>
      <c r="G164" s="280" t="n"/>
      <c r="H164" s="280" t="n"/>
      <c r="I164" s="332">
        <f>IFERROR(VLOOKUP(TEXT(H164,"0"),IPRESS!$A$3:$B$212,2,0),"")</f>
        <v/>
      </c>
      <c r="J164" s="280" t="n"/>
      <c r="K164" s="332">
        <f>IFERROR(VLOOKUP(TEXT(O164,"0"),CONDUCTORES!$A$3:$G$54,7,0),"")</f>
        <v/>
      </c>
      <c r="L164" s="280" t="n"/>
      <c r="M164" s="280" t="n"/>
      <c r="N164" s="333">
        <f>IFERROR(IF(L164*M164=0,"",L164*M164),"")</f>
        <v/>
      </c>
      <c r="O164" s="280" t="n"/>
      <c r="P164" s="332">
        <f>IFERROR(VLOOKUP(TEXT(O164,"0"),CONDUCTORES!$A$3:$G$54,2,0),"")</f>
        <v/>
      </c>
      <c r="Q164" s="332">
        <f>IFERROR(VLOOKUP(TEXT(O164,"0"),CONDUCTORES!$A$3:$H$54,6,0),"")</f>
        <v/>
      </c>
      <c r="R164" s="280" t="n"/>
      <c r="S164" s="280" t="n"/>
      <c r="T164" s="280" t="n"/>
      <c r="U164" s="280" t="n"/>
      <c r="V164" s="280" t="n"/>
      <c r="W164" s="280" t="n"/>
      <c r="X164" s="280" t="n"/>
      <c r="Y164" s="280" t="n"/>
      <c r="Z164" s="375">
        <f>IF(AND(G164&lt;&gt;"",R164&lt;&gt;"",V164&lt;&gt;"",W164&lt;&gt;""),"COMPLETADO","OBSERVADO")</f>
        <v/>
      </c>
    </row>
    <row r="165" ht="15" customHeight="1" s="195">
      <c r="A165" s="334" t="n"/>
      <c r="B165" s="334" t="n"/>
      <c r="C165" s="334" t="n"/>
      <c r="D165" s="334" t="n"/>
      <c r="E165" s="334" t="n"/>
      <c r="F165" s="334" t="n"/>
      <c r="G165" s="334" t="n"/>
      <c r="H165" s="334" t="n"/>
      <c r="I165" s="332">
        <f>IFERROR(VLOOKUP(TEXT(H165,"0"),IPRESS!$A$3:$B$212,2,0),"")</f>
        <v/>
      </c>
      <c r="J165" s="334" t="n"/>
      <c r="K165" s="332">
        <f>IFERROR(VLOOKUP(TEXT(O165,"0"),CONDUCTORES!$A$3:$G$54,7,0),"")</f>
        <v/>
      </c>
      <c r="L165" s="334" t="n"/>
      <c r="M165" s="334" t="n"/>
      <c r="N165" s="333">
        <f>IFERROR(IF(L165*M165=0,"",L165*M165),"")</f>
        <v/>
      </c>
      <c r="O165" s="334" t="n"/>
      <c r="P165" s="332">
        <f>IFERROR(VLOOKUP(TEXT(O165,"0"),CONDUCTORES!$A$3:$G$54,2,0),"")</f>
        <v/>
      </c>
      <c r="Q165" s="332">
        <f>IFERROR(VLOOKUP(TEXT(O165,"0"),CONDUCTORES!$A$3:$H$54,6,0),"")</f>
        <v/>
      </c>
      <c r="R165" s="334" t="n"/>
      <c r="S165" s="334" t="n"/>
      <c r="T165" s="334" t="n"/>
      <c r="U165" s="334" t="n"/>
      <c r="V165" s="334" t="n"/>
      <c r="W165" s="334" t="n"/>
      <c r="X165" s="334" t="n"/>
      <c r="Y165" s="334" t="n"/>
      <c r="Z165" s="375">
        <f>IF(AND(G165&lt;&gt;"",R165&lt;&gt;"",V165&lt;&gt;"",W165&lt;&gt;""),"COMPLETADO","OBSERVADO")</f>
        <v/>
      </c>
    </row>
    <row r="166" ht="15" customHeight="1" s="195">
      <c r="A166" s="280" t="n"/>
      <c r="B166" s="280" t="n"/>
      <c r="C166" s="280" t="n"/>
      <c r="D166" s="280" t="n"/>
      <c r="E166" s="280" t="n"/>
      <c r="F166" s="280" t="n"/>
      <c r="G166" s="280" t="n"/>
      <c r="H166" s="280" t="n"/>
      <c r="I166" s="332">
        <f>IFERROR(VLOOKUP(TEXT(H166,"0"),IPRESS!$A$3:$B$212,2,0),"")</f>
        <v/>
      </c>
      <c r="J166" s="280" t="n"/>
      <c r="K166" s="332">
        <f>IFERROR(VLOOKUP(TEXT(O166,"0"),CONDUCTORES!$A$3:$G$54,7,0),"")</f>
        <v/>
      </c>
      <c r="L166" s="280" t="n"/>
      <c r="M166" s="280" t="n"/>
      <c r="N166" s="333">
        <f>IFERROR(IF(L166*M166=0,"",L166*M166),"")</f>
        <v/>
      </c>
      <c r="O166" s="280" t="n"/>
      <c r="P166" s="332">
        <f>IFERROR(VLOOKUP(TEXT(O166,"0"),CONDUCTORES!$A$3:$G$54,2,0),"")</f>
        <v/>
      </c>
      <c r="Q166" s="332">
        <f>IFERROR(VLOOKUP(TEXT(O166,"0"),CONDUCTORES!$A$3:$H$54,6,0),"")</f>
        <v/>
      </c>
      <c r="R166" s="280" t="n"/>
      <c r="S166" s="280" t="n"/>
      <c r="T166" s="280" t="n"/>
      <c r="U166" s="280" t="n"/>
      <c r="V166" s="280" t="n"/>
      <c r="W166" s="280" t="n"/>
      <c r="X166" s="280" t="n"/>
      <c r="Y166" s="280" t="n"/>
      <c r="Z166" s="375">
        <f>IF(AND(G166&lt;&gt;"",R166&lt;&gt;"",V166&lt;&gt;"",W166&lt;&gt;""),"COMPLETADO","OBSERVADO")</f>
        <v/>
      </c>
    </row>
    <row r="167" ht="15" customHeight="1" s="195">
      <c r="A167" s="334" t="n"/>
      <c r="B167" s="334" t="n"/>
      <c r="C167" s="334" t="n"/>
      <c r="D167" s="334" t="n"/>
      <c r="E167" s="334" t="n"/>
      <c r="F167" s="334" t="n"/>
      <c r="G167" s="334" t="n"/>
      <c r="H167" s="334" t="n"/>
      <c r="I167" s="332">
        <f>IFERROR(VLOOKUP(TEXT(H167,"0"),IPRESS!$A$3:$B$212,2,0),"")</f>
        <v/>
      </c>
      <c r="J167" s="334" t="n"/>
      <c r="K167" s="332">
        <f>IFERROR(VLOOKUP(TEXT(O167,"0"),CONDUCTORES!$A$3:$G$54,7,0),"")</f>
        <v/>
      </c>
      <c r="L167" s="334" t="n"/>
      <c r="M167" s="334" t="n"/>
      <c r="N167" s="333">
        <f>IFERROR(IF(L167*M167=0,"",L167*M167),"")</f>
        <v/>
      </c>
      <c r="O167" s="334" t="n"/>
      <c r="P167" s="332">
        <f>IFERROR(VLOOKUP(TEXT(O167,"0"),CONDUCTORES!$A$3:$G$54,2,0),"")</f>
        <v/>
      </c>
      <c r="Q167" s="332">
        <f>IFERROR(VLOOKUP(TEXT(O167,"0"),CONDUCTORES!$A$3:$H$54,6,0),"")</f>
        <v/>
      </c>
      <c r="R167" s="334" t="n"/>
      <c r="S167" s="334" t="n"/>
      <c r="T167" s="334" t="n"/>
      <c r="U167" s="334" t="n"/>
      <c r="V167" s="334" t="n"/>
      <c r="W167" s="334" t="n"/>
      <c r="X167" s="334" t="n"/>
      <c r="Y167" s="334" t="n"/>
      <c r="Z167" s="375">
        <f>IF(AND(G167&lt;&gt;"",R167&lt;&gt;"",V167&lt;&gt;"",W167&lt;&gt;""),"COMPLETADO","OBSERVADO")</f>
        <v/>
      </c>
    </row>
    <row r="168" ht="15" customHeight="1" s="195">
      <c r="A168" s="280" t="n"/>
      <c r="B168" s="280" t="n"/>
      <c r="C168" s="280" t="n"/>
      <c r="D168" s="280" t="n"/>
      <c r="E168" s="280" t="n"/>
      <c r="F168" s="280" t="n"/>
      <c r="G168" s="280" t="n"/>
      <c r="H168" s="280" t="n"/>
      <c r="I168" s="332">
        <f>IFERROR(VLOOKUP(TEXT(H168,"0"),IPRESS!$A$3:$B$212,2,0),"")</f>
        <v/>
      </c>
      <c r="J168" s="280" t="n"/>
      <c r="K168" s="332">
        <f>IFERROR(VLOOKUP(TEXT(O168,"0"),CONDUCTORES!$A$3:$G$54,7,0),"")</f>
        <v/>
      </c>
      <c r="L168" s="280" t="n"/>
      <c r="M168" s="280" t="n"/>
      <c r="N168" s="333">
        <f>IFERROR(IF(L168*M168=0,"",L168*M168),"")</f>
        <v/>
      </c>
      <c r="O168" s="280" t="n"/>
      <c r="P168" s="332">
        <f>IFERROR(VLOOKUP(TEXT(O168,"0"),CONDUCTORES!$A$3:$G$54,2,0),"")</f>
        <v/>
      </c>
      <c r="Q168" s="332">
        <f>IFERROR(VLOOKUP(TEXT(O168,"0"),CONDUCTORES!$A$3:$H$54,6,0),"")</f>
        <v/>
      </c>
      <c r="R168" s="280" t="n"/>
      <c r="S168" s="280" t="n"/>
      <c r="T168" s="280" t="n"/>
      <c r="U168" s="280" t="n"/>
      <c r="V168" s="280" t="n"/>
      <c r="W168" s="280" t="n"/>
      <c r="X168" s="280" t="n"/>
      <c r="Y168" s="280" t="n"/>
      <c r="Z168" s="375">
        <f>IF(AND(G168&lt;&gt;"",R168&lt;&gt;"",V168&lt;&gt;"",W168&lt;&gt;""),"COMPLETADO","OBSERVADO")</f>
        <v/>
      </c>
    </row>
    <row r="169" ht="15" customHeight="1" s="195">
      <c r="A169" s="334" t="n"/>
      <c r="B169" s="334" t="n"/>
      <c r="C169" s="334" t="n"/>
      <c r="D169" s="334" t="n"/>
      <c r="E169" s="334" t="n"/>
      <c r="F169" s="334" t="n"/>
      <c r="G169" s="334" t="n"/>
      <c r="H169" s="334" t="n"/>
      <c r="I169" s="332">
        <f>IFERROR(VLOOKUP(TEXT(H169,"0"),IPRESS!$A$3:$B$212,2,0),"")</f>
        <v/>
      </c>
      <c r="J169" s="334" t="n"/>
      <c r="K169" s="332">
        <f>IFERROR(VLOOKUP(TEXT(O169,"0"),CONDUCTORES!$A$3:$G$54,7,0),"")</f>
        <v/>
      </c>
      <c r="L169" s="334" t="n"/>
      <c r="M169" s="334" t="n"/>
      <c r="N169" s="333">
        <f>IFERROR(IF(L169*M169=0,"",L169*M169),"")</f>
        <v/>
      </c>
      <c r="O169" s="334" t="n"/>
      <c r="P169" s="332">
        <f>IFERROR(VLOOKUP(TEXT(O169,"0"),CONDUCTORES!$A$3:$G$54,2,0),"")</f>
        <v/>
      </c>
      <c r="Q169" s="332">
        <f>IFERROR(VLOOKUP(TEXT(O169,"0"),CONDUCTORES!$A$3:$H$54,6,0),"")</f>
        <v/>
      </c>
      <c r="R169" s="334" t="n"/>
      <c r="S169" s="334" t="n"/>
      <c r="T169" s="334" t="n"/>
      <c r="U169" s="334" t="n"/>
      <c r="V169" s="334" t="n"/>
      <c r="W169" s="334" t="n"/>
      <c r="X169" s="334" t="n"/>
      <c r="Y169" s="334" t="n"/>
      <c r="Z169" s="375">
        <f>IF(AND(G169&lt;&gt;"",R169&lt;&gt;"",V169&lt;&gt;"",W169&lt;&gt;""),"COMPLETADO","OBSERVADO")</f>
        <v/>
      </c>
    </row>
    <row r="170" ht="15" customHeight="1" s="195">
      <c r="A170" s="280" t="n"/>
      <c r="B170" s="280" t="n"/>
      <c r="C170" s="280" t="n"/>
      <c r="D170" s="280" t="n"/>
      <c r="E170" s="280" t="n"/>
      <c r="F170" s="280" t="n"/>
      <c r="G170" s="280" t="n"/>
      <c r="H170" s="280" t="n"/>
      <c r="I170" s="332">
        <f>IFERROR(VLOOKUP(TEXT(H170,"0"),IPRESS!$A$3:$B$212,2,0),"")</f>
        <v/>
      </c>
      <c r="J170" s="280" t="n"/>
      <c r="K170" s="332">
        <f>IFERROR(VLOOKUP(TEXT(O170,"0"),CONDUCTORES!$A$3:$G$54,7,0),"")</f>
        <v/>
      </c>
      <c r="L170" s="280" t="n"/>
      <c r="M170" s="280" t="n"/>
      <c r="N170" s="333">
        <f>IFERROR(IF(L170*M170=0,"",L170*M170),"")</f>
        <v/>
      </c>
      <c r="O170" s="280" t="n"/>
      <c r="P170" s="332">
        <f>IFERROR(VLOOKUP(TEXT(O170,"0"),CONDUCTORES!$A$3:$G$54,2,0),"")</f>
        <v/>
      </c>
      <c r="Q170" s="332">
        <f>IFERROR(VLOOKUP(TEXT(O170,"0"),CONDUCTORES!$A$3:$H$54,6,0),"")</f>
        <v/>
      </c>
      <c r="R170" s="280" t="n"/>
      <c r="S170" s="280" t="n"/>
      <c r="T170" s="280" t="n"/>
      <c r="U170" s="280" t="n"/>
      <c r="V170" s="280" t="n"/>
      <c r="W170" s="280" t="n"/>
      <c r="X170" s="280" t="n"/>
      <c r="Y170" s="280" t="n"/>
      <c r="Z170" s="375">
        <f>IF(AND(G170&lt;&gt;"",R170&lt;&gt;"",V170&lt;&gt;"",W170&lt;&gt;""),"COMPLETADO","OBSERVADO")</f>
        <v/>
      </c>
    </row>
    <row r="171" ht="15" customHeight="1" s="195">
      <c r="A171" s="334" t="n"/>
      <c r="B171" s="334" t="n"/>
      <c r="C171" s="334" t="n"/>
      <c r="D171" s="334" t="n"/>
      <c r="E171" s="334" t="n"/>
      <c r="F171" s="334" t="n"/>
      <c r="G171" s="334" t="n"/>
      <c r="H171" s="334" t="n"/>
      <c r="I171" s="332">
        <f>IFERROR(VLOOKUP(TEXT(H171,"0"),IPRESS!$A$3:$B$212,2,0),"")</f>
        <v/>
      </c>
      <c r="J171" s="334" t="n"/>
      <c r="K171" s="332">
        <f>IFERROR(VLOOKUP(TEXT(O171,"0"),CONDUCTORES!$A$3:$G$54,7,0),"")</f>
        <v/>
      </c>
      <c r="L171" s="334" t="n"/>
      <c r="M171" s="334" t="n"/>
      <c r="N171" s="333">
        <f>IFERROR(IF(L171*M171=0,"",L171*M171),"")</f>
        <v/>
      </c>
      <c r="O171" s="334" t="n"/>
      <c r="P171" s="332">
        <f>IFERROR(VLOOKUP(TEXT(O171,"0"),CONDUCTORES!$A$3:$G$54,2,0),"")</f>
        <v/>
      </c>
      <c r="Q171" s="332">
        <f>IFERROR(VLOOKUP(TEXT(O171,"0"),CONDUCTORES!$A$3:$H$54,6,0),"")</f>
        <v/>
      </c>
      <c r="R171" s="334" t="n"/>
      <c r="S171" s="334" t="n"/>
      <c r="T171" s="334" t="n"/>
      <c r="U171" s="334" t="n"/>
      <c r="V171" s="334" t="n"/>
      <c r="W171" s="334" t="n"/>
      <c r="X171" s="334" t="n"/>
      <c r="Y171" s="334" t="n"/>
      <c r="Z171" s="375">
        <f>IF(AND(G171&lt;&gt;"",R171&lt;&gt;"",V171&lt;&gt;"",W171&lt;&gt;""),"COMPLETADO","OBSERVADO")</f>
        <v/>
      </c>
    </row>
    <row r="172" ht="15" customHeight="1" s="195">
      <c r="A172" s="280" t="n"/>
      <c r="B172" s="280" t="n"/>
      <c r="C172" s="280" t="n"/>
      <c r="D172" s="280" t="n"/>
      <c r="E172" s="280" t="n"/>
      <c r="F172" s="280" t="n"/>
      <c r="G172" s="280" t="n"/>
      <c r="H172" s="280" t="n"/>
      <c r="I172" s="332">
        <f>IFERROR(VLOOKUP(TEXT(H172,"0"),IPRESS!$A$3:$B$212,2,0),"")</f>
        <v/>
      </c>
      <c r="J172" s="280" t="n"/>
      <c r="K172" s="332">
        <f>IFERROR(VLOOKUP(TEXT(O172,"0"),CONDUCTORES!$A$3:$G$54,7,0),"")</f>
        <v/>
      </c>
      <c r="L172" s="280" t="n"/>
      <c r="M172" s="280" t="n"/>
      <c r="N172" s="333">
        <f>IFERROR(IF(L172*M172=0,"",L172*M172),"")</f>
        <v/>
      </c>
      <c r="O172" s="280" t="n"/>
      <c r="P172" s="332">
        <f>IFERROR(VLOOKUP(TEXT(O172,"0"),CONDUCTORES!$A$3:$G$54,2,0),"")</f>
        <v/>
      </c>
      <c r="Q172" s="332">
        <f>IFERROR(VLOOKUP(TEXT(O172,"0"),CONDUCTORES!$A$3:$H$54,6,0),"")</f>
        <v/>
      </c>
      <c r="R172" s="280" t="n"/>
      <c r="S172" s="280" t="n"/>
      <c r="T172" s="280" t="n"/>
      <c r="U172" s="280" t="n"/>
      <c r="V172" s="280" t="n"/>
      <c r="W172" s="280" t="n"/>
      <c r="X172" s="280" t="n"/>
      <c r="Y172" s="280" t="n"/>
      <c r="Z172" s="375">
        <f>IF(AND(G172&lt;&gt;"",R172&lt;&gt;"",V172&lt;&gt;"",W172&lt;&gt;""),"COMPLETADO","OBSERVADO")</f>
        <v/>
      </c>
    </row>
    <row r="173" ht="15" customHeight="1" s="195">
      <c r="A173" s="334" t="n"/>
      <c r="B173" s="334" t="n"/>
      <c r="C173" s="334" t="n"/>
      <c r="D173" s="334" t="n"/>
      <c r="E173" s="334" t="n"/>
      <c r="F173" s="334" t="n"/>
      <c r="G173" s="334" t="n"/>
      <c r="H173" s="334" t="n"/>
      <c r="I173" s="332">
        <f>IFERROR(VLOOKUP(TEXT(H173,"0"),IPRESS!$A$3:$B$212,2,0),"")</f>
        <v/>
      </c>
      <c r="J173" s="334" t="n"/>
      <c r="K173" s="332">
        <f>IFERROR(VLOOKUP(TEXT(O173,"0"),CONDUCTORES!$A$3:$G$54,7,0),"")</f>
        <v/>
      </c>
      <c r="L173" s="334" t="n"/>
      <c r="M173" s="334" t="n"/>
      <c r="N173" s="333">
        <f>IFERROR(IF(L173*M173=0,"",L173*M173),"")</f>
        <v/>
      </c>
      <c r="O173" s="334" t="n"/>
      <c r="P173" s="332">
        <f>IFERROR(VLOOKUP(TEXT(O173,"0"),CONDUCTORES!$A$3:$G$54,2,0),"")</f>
        <v/>
      </c>
      <c r="Q173" s="332">
        <f>IFERROR(VLOOKUP(TEXT(O173,"0"),CONDUCTORES!$A$3:$H$54,6,0),"")</f>
        <v/>
      </c>
      <c r="R173" s="334" t="n"/>
      <c r="S173" s="334" t="n"/>
      <c r="T173" s="334" t="n"/>
      <c r="U173" s="334" t="n"/>
      <c r="V173" s="334" t="n"/>
      <c r="W173" s="334" t="n"/>
      <c r="X173" s="334" t="n"/>
      <c r="Y173" s="334" t="n"/>
      <c r="Z173" s="375">
        <f>IF(AND(G173&lt;&gt;"",R173&lt;&gt;"",V173&lt;&gt;"",W173&lt;&gt;""),"COMPLETADO","OBSERVADO")</f>
        <v/>
      </c>
    </row>
    <row r="174" ht="15" customHeight="1" s="195">
      <c r="A174" s="280" t="n"/>
      <c r="B174" s="280" t="n"/>
      <c r="C174" s="280" t="n"/>
      <c r="D174" s="280" t="n"/>
      <c r="E174" s="280" t="n"/>
      <c r="F174" s="280" t="n"/>
      <c r="G174" s="280" t="n"/>
      <c r="H174" s="280" t="n"/>
      <c r="I174" s="332">
        <f>IFERROR(VLOOKUP(TEXT(H174,"0"),IPRESS!$A$3:$B$212,2,0),"")</f>
        <v/>
      </c>
      <c r="J174" s="280" t="n"/>
      <c r="K174" s="332">
        <f>IFERROR(VLOOKUP(TEXT(O174,"0"),CONDUCTORES!$A$3:$G$54,7,0),"")</f>
        <v/>
      </c>
      <c r="L174" s="280" t="n"/>
      <c r="M174" s="280" t="n"/>
      <c r="N174" s="333">
        <f>IFERROR(IF(L174*M174=0,"",L174*M174),"")</f>
        <v/>
      </c>
      <c r="O174" s="280" t="n"/>
      <c r="P174" s="332">
        <f>IFERROR(VLOOKUP(TEXT(O174,"0"),CONDUCTORES!$A$3:$G$54,2,0),"")</f>
        <v/>
      </c>
      <c r="Q174" s="332">
        <f>IFERROR(VLOOKUP(TEXT(O174,"0"),CONDUCTORES!$A$3:$H$54,6,0),"")</f>
        <v/>
      </c>
      <c r="R174" s="280" t="n"/>
      <c r="S174" s="280" t="n"/>
      <c r="T174" s="280" t="n"/>
      <c r="U174" s="280" t="n"/>
      <c r="V174" s="280" t="n"/>
      <c r="W174" s="280" t="n"/>
      <c r="X174" s="280" t="n"/>
      <c r="Y174" s="280" t="n"/>
      <c r="Z174" s="375">
        <f>IF(AND(G174&lt;&gt;"",R174&lt;&gt;"",V174&lt;&gt;"",W174&lt;&gt;""),"COMPLETADO","OBSERVADO")</f>
        <v/>
      </c>
    </row>
    <row r="175" ht="15" customHeight="1" s="195">
      <c r="A175" s="334" t="n"/>
      <c r="B175" s="334" t="n"/>
      <c r="C175" s="334" t="n"/>
      <c r="D175" s="334" t="n"/>
      <c r="E175" s="334" t="n"/>
      <c r="F175" s="334" t="n"/>
      <c r="G175" s="334" t="n"/>
      <c r="H175" s="334" t="n"/>
      <c r="I175" s="332">
        <f>IFERROR(VLOOKUP(TEXT(H175,"0"),IPRESS!$A$3:$B$212,2,0),"")</f>
        <v/>
      </c>
      <c r="J175" s="334" t="n"/>
      <c r="K175" s="332">
        <f>IFERROR(VLOOKUP(TEXT(O175,"0"),CONDUCTORES!$A$3:$G$54,7,0),"")</f>
        <v/>
      </c>
      <c r="L175" s="334" t="n"/>
      <c r="M175" s="334" t="n"/>
      <c r="N175" s="333">
        <f>IFERROR(IF(L175*M175=0,"",L175*M175),"")</f>
        <v/>
      </c>
      <c r="O175" s="334" t="n"/>
      <c r="P175" s="332">
        <f>IFERROR(VLOOKUP(TEXT(O175,"0"),CONDUCTORES!$A$3:$G$54,2,0),"")</f>
        <v/>
      </c>
      <c r="Q175" s="332">
        <f>IFERROR(VLOOKUP(TEXT(O175,"0"),CONDUCTORES!$A$3:$H$54,6,0),"")</f>
        <v/>
      </c>
      <c r="R175" s="334" t="n"/>
      <c r="S175" s="334" t="n"/>
      <c r="T175" s="334" t="n"/>
      <c r="U175" s="334" t="n"/>
      <c r="V175" s="334" t="n"/>
      <c r="W175" s="334" t="n"/>
      <c r="X175" s="334" t="n"/>
      <c r="Y175" s="334" t="n"/>
      <c r="Z175" s="375">
        <f>IF(AND(G175&lt;&gt;"",R175&lt;&gt;"",V175&lt;&gt;"",W175&lt;&gt;""),"COMPLETADO","OBSERVADO")</f>
        <v/>
      </c>
    </row>
    <row r="176" ht="15" customHeight="1" s="195">
      <c r="A176" s="280" t="n"/>
      <c r="B176" s="280" t="n"/>
      <c r="C176" s="280" t="n"/>
      <c r="D176" s="280" t="n"/>
      <c r="E176" s="280" t="n"/>
      <c r="F176" s="280" t="n"/>
      <c r="G176" s="280" t="n"/>
      <c r="H176" s="280" t="n"/>
      <c r="I176" s="332">
        <f>IFERROR(VLOOKUP(TEXT(H176,"0"),IPRESS!$A$3:$B$212,2,0),"")</f>
        <v/>
      </c>
      <c r="J176" s="280" t="n"/>
      <c r="K176" s="332">
        <f>IFERROR(VLOOKUP(TEXT(O176,"0"),CONDUCTORES!$A$3:$G$54,7,0),"")</f>
        <v/>
      </c>
      <c r="L176" s="280" t="n"/>
      <c r="M176" s="280" t="n"/>
      <c r="N176" s="333">
        <f>IFERROR(IF(L176*M176=0,"",L176*M176),"")</f>
        <v/>
      </c>
      <c r="O176" s="280" t="n"/>
      <c r="P176" s="332">
        <f>IFERROR(VLOOKUP(TEXT(O176,"0"),CONDUCTORES!$A$3:$G$54,2,0),"")</f>
        <v/>
      </c>
      <c r="Q176" s="332">
        <f>IFERROR(VLOOKUP(TEXT(O176,"0"),CONDUCTORES!$A$3:$H$54,6,0),"")</f>
        <v/>
      </c>
      <c r="R176" s="280" t="n"/>
      <c r="S176" s="280" t="n"/>
      <c r="T176" s="280" t="n"/>
      <c r="U176" s="280" t="n"/>
      <c r="V176" s="280" t="n"/>
      <c r="W176" s="280" t="n"/>
      <c r="X176" s="280" t="n"/>
      <c r="Y176" s="280" t="n"/>
      <c r="Z176" s="375">
        <f>IF(AND(G176&lt;&gt;"",R176&lt;&gt;"",V176&lt;&gt;"",W176&lt;&gt;""),"COMPLETADO","OBSERVADO")</f>
        <v/>
      </c>
    </row>
    <row r="177" ht="15" customHeight="1" s="195">
      <c r="A177" s="334" t="n"/>
      <c r="B177" s="334" t="n"/>
      <c r="C177" s="334" t="n"/>
      <c r="D177" s="334" t="n"/>
      <c r="E177" s="334" t="n"/>
      <c r="F177" s="334" t="n"/>
      <c r="G177" s="334" t="n"/>
      <c r="H177" s="334" t="n"/>
      <c r="I177" s="332">
        <f>IFERROR(VLOOKUP(TEXT(H177,"0"),IPRESS!$A$3:$B$212,2,0),"")</f>
        <v/>
      </c>
      <c r="J177" s="334" t="n"/>
      <c r="K177" s="332">
        <f>IFERROR(VLOOKUP(TEXT(O177,"0"),CONDUCTORES!$A$3:$G$54,7,0),"")</f>
        <v/>
      </c>
      <c r="L177" s="334" t="n"/>
      <c r="M177" s="334" t="n"/>
      <c r="N177" s="333">
        <f>IFERROR(IF(L177*M177=0,"",L177*M177),"")</f>
        <v/>
      </c>
      <c r="O177" s="334" t="n"/>
      <c r="P177" s="332">
        <f>IFERROR(VLOOKUP(TEXT(O177,"0"),CONDUCTORES!$A$3:$G$54,2,0),"")</f>
        <v/>
      </c>
      <c r="Q177" s="332">
        <f>IFERROR(VLOOKUP(TEXT(O177,"0"),CONDUCTORES!$A$3:$H$54,6,0),"")</f>
        <v/>
      </c>
      <c r="R177" s="334" t="n"/>
      <c r="S177" s="334" t="n"/>
      <c r="T177" s="334" t="n"/>
      <c r="U177" s="334" t="n"/>
      <c r="V177" s="334" t="n"/>
      <c r="W177" s="334" t="n"/>
      <c r="X177" s="334" t="n"/>
      <c r="Y177" s="334" t="n"/>
      <c r="Z177" s="375">
        <f>IF(AND(G177&lt;&gt;"",R177&lt;&gt;"",V177&lt;&gt;"",W177&lt;&gt;""),"COMPLETADO","OBSERVADO")</f>
        <v/>
      </c>
    </row>
    <row r="178" ht="15" customHeight="1" s="195">
      <c r="A178" s="280" t="n"/>
      <c r="B178" s="280" t="n"/>
      <c r="C178" s="280" t="n"/>
      <c r="D178" s="280" t="n"/>
      <c r="E178" s="280" t="n"/>
      <c r="F178" s="280" t="n"/>
      <c r="G178" s="280" t="n"/>
      <c r="H178" s="280" t="n"/>
      <c r="I178" s="332">
        <f>IFERROR(VLOOKUP(TEXT(H178,"0"),IPRESS!$A$3:$B$212,2,0),"")</f>
        <v/>
      </c>
      <c r="J178" s="280" t="n"/>
      <c r="K178" s="332">
        <f>IFERROR(VLOOKUP(TEXT(O178,"0"),CONDUCTORES!$A$3:$G$54,7,0),"")</f>
        <v/>
      </c>
      <c r="L178" s="280" t="n"/>
      <c r="M178" s="280" t="n"/>
      <c r="N178" s="333">
        <f>IFERROR(IF(L178*M178=0,"",L178*M178),"")</f>
        <v/>
      </c>
      <c r="O178" s="280" t="n"/>
      <c r="P178" s="332">
        <f>IFERROR(VLOOKUP(TEXT(O178,"0"),CONDUCTORES!$A$3:$G$54,2,0),"")</f>
        <v/>
      </c>
      <c r="Q178" s="332">
        <f>IFERROR(VLOOKUP(TEXT(O178,"0"),CONDUCTORES!$A$3:$H$54,6,0),"")</f>
        <v/>
      </c>
      <c r="R178" s="280" t="n"/>
      <c r="S178" s="280" t="n"/>
      <c r="T178" s="280" t="n"/>
      <c r="U178" s="280" t="n"/>
      <c r="V178" s="280" t="n"/>
      <c r="W178" s="280" t="n"/>
      <c r="X178" s="280" t="n"/>
      <c r="Y178" s="280" t="n"/>
      <c r="Z178" s="375">
        <f>IF(AND(G178&lt;&gt;"",R178&lt;&gt;"",V178&lt;&gt;"",W178&lt;&gt;""),"COMPLETADO","OBSERVADO")</f>
        <v/>
      </c>
    </row>
    <row r="179" ht="15" customHeight="1" s="195">
      <c r="A179" s="334" t="n"/>
      <c r="B179" s="334" t="n"/>
      <c r="C179" s="334" t="n"/>
      <c r="D179" s="334" t="n"/>
      <c r="E179" s="334" t="n"/>
      <c r="F179" s="334" t="n"/>
      <c r="G179" s="334" t="n"/>
      <c r="H179" s="334" t="n"/>
      <c r="I179" s="332">
        <f>IFERROR(VLOOKUP(TEXT(H179,"0"),IPRESS!$A$3:$B$212,2,0),"")</f>
        <v/>
      </c>
      <c r="J179" s="334" t="n"/>
      <c r="K179" s="332">
        <f>IFERROR(VLOOKUP(TEXT(O179,"0"),CONDUCTORES!$A$3:$G$54,7,0),"")</f>
        <v/>
      </c>
      <c r="L179" s="334" t="n"/>
      <c r="M179" s="334" t="n"/>
      <c r="N179" s="333">
        <f>IFERROR(IF(L179*M179=0,"",L179*M179),"")</f>
        <v/>
      </c>
      <c r="O179" s="334" t="n"/>
      <c r="P179" s="332">
        <f>IFERROR(VLOOKUP(TEXT(O179,"0"),CONDUCTORES!$A$3:$G$54,2,0),"")</f>
        <v/>
      </c>
      <c r="Q179" s="332">
        <f>IFERROR(VLOOKUP(TEXT(O179,"0"),CONDUCTORES!$A$3:$H$54,6,0),"")</f>
        <v/>
      </c>
      <c r="R179" s="334" t="n"/>
      <c r="S179" s="334" t="n"/>
      <c r="T179" s="334" t="n"/>
      <c r="U179" s="334" t="n"/>
      <c r="V179" s="334" t="n"/>
      <c r="W179" s="334" t="n"/>
      <c r="X179" s="334" t="n"/>
      <c r="Y179" s="334" t="n"/>
      <c r="Z179" s="375">
        <f>IF(AND(G179&lt;&gt;"",R179&lt;&gt;"",V179&lt;&gt;"",W179&lt;&gt;""),"COMPLETADO","OBSERVADO")</f>
        <v/>
      </c>
    </row>
    <row r="180" ht="15" customHeight="1" s="195">
      <c r="A180" s="280" t="n"/>
      <c r="B180" s="280" t="n"/>
      <c r="C180" s="280" t="n"/>
      <c r="D180" s="280" t="n"/>
      <c r="E180" s="280" t="n"/>
      <c r="F180" s="280" t="n"/>
      <c r="G180" s="280" t="n"/>
      <c r="H180" s="280" t="n"/>
      <c r="I180" s="332">
        <f>IFERROR(VLOOKUP(TEXT(H180,"0"),IPRESS!$A$3:$B$212,2,0),"")</f>
        <v/>
      </c>
      <c r="J180" s="280" t="n"/>
      <c r="K180" s="332">
        <f>IFERROR(VLOOKUP(TEXT(O180,"0"),CONDUCTORES!$A$3:$G$54,7,0),"")</f>
        <v/>
      </c>
      <c r="L180" s="280" t="n"/>
      <c r="M180" s="280" t="n"/>
      <c r="N180" s="333">
        <f>IFERROR(IF(L180*M180=0,"",L180*M180),"")</f>
        <v/>
      </c>
      <c r="O180" s="280" t="n"/>
      <c r="P180" s="332">
        <f>IFERROR(VLOOKUP(TEXT(O180,"0"),CONDUCTORES!$A$3:$G$54,2,0),"")</f>
        <v/>
      </c>
      <c r="Q180" s="332">
        <f>IFERROR(VLOOKUP(TEXT(O180,"0"),CONDUCTORES!$A$3:$H$54,6,0),"")</f>
        <v/>
      </c>
      <c r="R180" s="280" t="n"/>
      <c r="S180" s="280" t="n"/>
      <c r="T180" s="280" t="n"/>
      <c r="U180" s="280" t="n"/>
      <c r="V180" s="280" t="n"/>
      <c r="W180" s="280" t="n"/>
      <c r="X180" s="280" t="n"/>
      <c r="Y180" s="280" t="n"/>
      <c r="Z180" s="375">
        <f>IF(AND(G180&lt;&gt;"",R180&lt;&gt;"",V180&lt;&gt;"",W180&lt;&gt;""),"COMPLETADO","OBSERVADO")</f>
        <v/>
      </c>
    </row>
    <row r="181" ht="15" customHeight="1" s="195">
      <c r="A181" s="334" t="n"/>
      <c r="B181" s="334" t="n"/>
      <c r="C181" s="334" t="n"/>
      <c r="D181" s="334" t="n"/>
      <c r="E181" s="334" t="n"/>
      <c r="F181" s="334" t="n"/>
      <c r="G181" s="334" t="n"/>
      <c r="H181" s="334" t="n"/>
      <c r="I181" s="332">
        <f>IFERROR(VLOOKUP(TEXT(H181,"0"),IPRESS!$A$3:$B$212,2,0),"")</f>
        <v/>
      </c>
      <c r="J181" s="334" t="n"/>
      <c r="K181" s="332">
        <f>IFERROR(VLOOKUP(TEXT(O181,"0"),CONDUCTORES!$A$3:$G$54,7,0),"")</f>
        <v/>
      </c>
      <c r="L181" s="334" t="n"/>
      <c r="M181" s="334" t="n"/>
      <c r="N181" s="333">
        <f>IFERROR(IF(L181*M181=0,"",L181*M181),"")</f>
        <v/>
      </c>
      <c r="O181" s="334" t="n"/>
      <c r="P181" s="332">
        <f>IFERROR(VLOOKUP(TEXT(O181,"0"),CONDUCTORES!$A$3:$G$54,2,0),"")</f>
        <v/>
      </c>
      <c r="Q181" s="332">
        <f>IFERROR(VLOOKUP(TEXT(O181,"0"),CONDUCTORES!$A$3:$H$54,6,0),"")</f>
        <v/>
      </c>
      <c r="R181" s="334" t="n"/>
      <c r="S181" s="334" t="n"/>
      <c r="T181" s="334" t="n"/>
      <c r="U181" s="334" t="n"/>
      <c r="V181" s="334" t="n"/>
      <c r="W181" s="334" t="n"/>
      <c r="X181" s="334" t="n"/>
      <c r="Y181" s="334" t="n"/>
      <c r="Z181" s="375">
        <f>IF(AND(G181&lt;&gt;"",R181&lt;&gt;"",V181&lt;&gt;"",W181&lt;&gt;""),"COMPLETADO","OBSERVADO")</f>
        <v/>
      </c>
    </row>
    <row r="182" ht="15" customHeight="1" s="195">
      <c r="A182" s="280" t="n"/>
      <c r="B182" s="280" t="n"/>
      <c r="C182" s="280" t="n"/>
      <c r="D182" s="280" t="n"/>
      <c r="E182" s="280" t="n"/>
      <c r="F182" s="280" t="n"/>
      <c r="G182" s="280" t="n"/>
      <c r="H182" s="280" t="n"/>
      <c r="I182" s="332">
        <f>IFERROR(VLOOKUP(TEXT(H182,"0"),IPRESS!$A$3:$B$212,2,0),"")</f>
        <v/>
      </c>
      <c r="J182" s="280" t="n"/>
      <c r="K182" s="332">
        <f>IFERROR(VLOOKUP(TEXT(O182,"0"),CONDUCTORES!$A$3:$G$54,7,0),"")</f>
        <v/>
      </c>
      <c r="L182" s="280" t="n"/>
      <c r="M182" s="280" t="n"/>
      <c r="N182" s="333">
        <f>IFERROR(IF(L182*M182=0,"",L182*M182),"")</f>
        <v/>
      </c>
      <c r="O182" s="280" t="n"/>
      <c r="P182" s="332">
        <f>IFERROR(VLOOKUP(TEXT(O182,"0"),CONDUCTORES!$A$3:$G$54,2,0),"")</f>
        <v/>
      </c>
      <c r="Q182" s="332">
        <f>IFERROR(VLOOKUP(TEXT(O182,"0"),CONDUCTORES!$A$3:$H$54,6,0),"")</f>
        <v/>
      </c>
      <c r="R182" s="280" t="n"/>
      <c r="S182" s="280" t="n"/>
      <c r="T182" s="280" t="n"/>
      <c r="U182" s="280" t="n"/>
      <c r="V182" s="280" t="n"/>
      <c r="W182" s="280" t="n"/>
      <c r="X182" s="280" t="n"/>
      <c r="Y182" s="280" t="n"/>
      <c r="Z182" s="375">
        <f>IF(AND(G182&lt;&gt;"",R182&lt;&gt;"",V182&lt;&gt;"",W182&lt;&gt;""),"COMPLETADO","OBSERVADO")</f>
        <v/>
      </c>
    </row>
    <row r="183" ht="15" customHeight="1" s="195">
      <c r="A183" s="334" t="n"/>
      <c r="B183" s="334" t="n"/>
      <c r="C183" s="334" t="n"/>
      <c r="D183" s="334" t="n"/>
      <c r="E183" s="334" t="n"/>
      <c r="F183" s="334" t="n"/>
      <c r="G183" s="334" t="n"/>
      <c r="H183" s="334" t="n"/>
      <c r="I183" s="332">
        <f>IFERROR(VLOOKUP(TEXT(H183,"0"),IPRESS!$A$3:$B$212,2,0),"")</f>
        <v/>
      </c>
      <c r="J183" s="334" t="n"/>
      <c r="K183" s="332">
        <f>IFERROR(VLOOKUP(TEXT(O183,"0"),CONDUCTORES!$A$3:$G$54,7,0),"")</f>
        <v/>
      </c>
      <c r="L183" s="334" t="n"/>
      <c r="M183" s="334" t="n"/>
      <c r="N183" s="333">
        <f>IFERROR(IF(L183*M183=0,"",L183*M183),"")</f>
        <v/>
      </c>
      <c r="O183" s="334" t="n"/>
      <c r="P183" s="332">
        <f>IFERROR(VLOOKUP(TEXT(O183,"0"),CONDUCTORES!$A$3:$G$54,2,0),"")</f>
        <v/>
      </c>
      <c r="Q183" s="332">
        <f>IFERROR(VLOOKUP(TEXT(O183,"0"),CONDUCTORES!$A$3:$H$54,6,0),"")</f>
        <v/>
      </c>
      <c r="R183" s="334" t="n"/>
      <c r="S183" s="334" t="n"/>
      <c r="T183" s="334" t="n"/>
      <c r="U183" s="334" t="n"/>
      <c r="V183" s="334" t="n"/>
      <c r="W183" s="334" t="n"/>
      <c r="X183" s="334" t="n"/>
      <c r="Y183" s="334" t="n"/>
      <c r="Z183" s="375">
        <f>IF(AND(G183&lt;&gt;"",R183&lt;&gt;"",V183&lt;&gt;"",W183&lt;&gt;""),"COMPLETADO","OBSERVADO")</f>
        <v/>
      </c>
    </row>
    <row r="184" ht="15" customHeight="1" s="195">
      <c r="A184" s="280" t="n"/>
      <c r="B184" s="280" t="n"/>
      <c r="C184" s="280" t="n"/>
      <c r="D184" s="280" t="n"/>
      <c r="E184" s="280" t="n"/>
      <c r="F184" s="280" t="n"/>
      <c r="G184" s="280" t="n"/>
      <c r="H184" s="280" t="n"/>
      <c r="I184" s="332">
        <f>IFERROR(VLOOKUP(TEXT(H184,"0"),IPRESS!$A$3:$B$212,2,0),"")</f>
        <v/>
      </c>
      <c r="J184" s="280" t="n"/>
      <c r="K184" s="332">
        <f>IFERROR(VLOOKUP(TEXT(O184,"0"),CONDUCTORES!$A$3:$G$54,7,0),"")</f>
        <v/>
      </c>
      <c r="L184" s="280" t="n"/>
      <c r="M184" s="280" t="n"/>
      <c r="N184" s="333">
        <f>IFERROR(IF(L184*M184=0,"",L184*M184),"")</f>
        <v/>
      </c>
      <c r="O184" s="280" t="n"/>
      <c r="P184" s="332">
        <f>IFERROR(VLOOKUP(TEXT(O184,"0"),CONDUCTORES!$A$3:$G$54,2,0),"")</f>
        <v/>
      </c>
      <c r="Q184" s="332">
        <f>IFERROR(VLOOKUP(TEXT(O184,"0"),CONDUCTORES!$A$3:$H$54,6,0),"")</f>
        <v/>
      </c>
      <c r="R184" s="280" t="n"/>
      <c r="S184" s="280" t="n"/>
      <c r="T184" s="280" t="n"/>
      <c r="U184" s="280" t="n"/>
      <c r="V184" s="280" t="n"/>
      <c r="W184" s="280" t="n"/>
      <c r="X184" s="280" t="n"/>
      <c r="Y184" s="280" t="n"/>
      <c r="Z184" s="375">
        <f>IF(AND(G184&lt;&gt;"",R184&lt;&gt;"",V184&lt;&gt;"",W184&lt;&gt;""),"COMPLETADO","OBSERVADO")</f>
        <v/>
      </c>
    </row>
    <row r="185" ht="15" customHeight="1" s="195">
      <c r="A185" s="334" t="n"/>
      <c r="B185" s="334" t="n"/>
      <c r="C185" s="334" t="n"/>
      <c r="D185" s="334" t="n"/>
      <c r="E185" s="334" t="n"/>
      <c r="F185" s="334" t="n"/>
      <c r="G185" s="334" t="n"/>
      <c r="H185" s="334" t="n"/>
      <c r="I185" s="332">
        <f>IFERROR(VLOOKUP(TEXT(H185,"0"),IPRESS!$A$3:$B$212,2,0),"")</f>
        <v/>
      </c>
      <c r="J185" s="334" t="n"/>
      <c r="K185" s="332">
        <f>IFERROR(VLOOKUP(TEXT(O185,"0"),CONDUCTORES!$A$3:$G$54,7,0),"")</f>
        <v/>
      </c>
      <c r="L185" s="334" t="n"/>
      <c r="M185" s="334" t="n"/>
      <c r="N185" s="333">
        <f>IFERROR(IF(L185*M185=0,"",L185*M185),"")</f>
        <v/>
      </c>
      <c r="O185" s="334" t="n"/>
      <c r="P185" s="332">
        <f>IFERROR(VLOOKUP(TEXT(O185,"0"),CONDUCTORES!$A$3:$G$54,2,0),"")</f>
        <v/>
      </c>
      <c r="Q185" s="332">
        <f>IFERROR(VLOOKUP(TEXT(O185,"0"),CONDUCTORES!$A$3:$H$54,6,0),"")</f>
        <v/>
      </c>
      <c r="R185" s="334" t="n"/>
      <c r="S185" s="334" t="n"/>
      <c r="T185" s="334" t="n"/>
      <c r="U185" s="334" t="n"/>
      <c r="V185" s="334" t="n"/>
      <c r="W185" s="334" t="n"/>
      <c r="X185" s="334" t="n"/>
      <c r="Y185" s="334" t="n"/>
      <c r="Z185" s="375">
        <f>IF(AND(G185&lt;&gt;"",R185&lt;&gt;"",V185&lt;&gt;"",W185&lt;&gt;""),"COMPLETADO","OBSERVADO")</f>
        <v/>
      </c>
    </row>
    <row r="186" ht="15" customHeight="1" s="195">
      <c r="A186" s="280" t="n"/>
      <c r="B186" s="280" t="n"/>
      <c r="C186" s="280" t="n"/>
      <c r="D186" s="280" t="n"/>
      <c r="E186" s="280" t="n"/>
      <c r="F186" s="280" t="n"/>
      <c r="G186" s="280" t="n"/>
      <c r="H186" s="280" t="n"/>
      <c r="I186" s="332">
        <f>IFERROR(VLOOKUP(TEXT(H186,"0"),IPRESS!$A$3:$B$212,2,0),"")</f>
        <v/>
      </c>
      <c r="J186" s="280" t="n"/>
      <c r="K186" s="332">
        <f>IFERROR(VLOOKUP(TEXT(O186,"0"),CONDUCTORES!$A$3:$G$54,7,0),"")</f>
        <v/>
      </c>
      <c r="L186" s="280" t="n"/>
      <c r="M186" s="280" t="n"/>
      <c r="N186" s="333">
        <f>IFERROR(IF(L186*M186=0,"",L186*M186),"")</f>
        <v/>
      </c>
      <c r="O186" s="280" t="n"/>
      <c r="P186" s="332">
        <f>IFERROR(VLOOKUP(TEXT(O186,"0"),CONDUCTORES!$A$3:$G$54,2,0),"")</f>
        <v/>
      </c>
      <c r="Q186" s="332">
        <f>IFERROR(VLOOKUP(TEXT(O186,"0"),CONDUCTORES!$A$3:$H$54,6,0),"")</f>
        <v/>
      </c>
      <c r="R186" s="280" t="n"/>
      <c r="S186" s="280" t="n"/>
      <c r="T186" s="280" t="n"/>
      <c r="U186" s="280" t="n"/>
      <c r="V186" s="280" t="n"/>
      <c r="W186" s="280" t="n"/>
      <c r="X186" s="280" t="n"/>
      <c r="Y186" s="280" t="n"/>
      <c r="Z186" s="375">
        <f>IF(AND(G186&lt;&gt;"",R186&lt;&gt;"",V186&lt;&gt;"",W186&lt;&gt;""),"COMPLETADO","OBSERVADO")</f>
        <v/>
      </c>
    </row>
    <row r="187" ht="15" customHeight="1" s="195">
      <c r="A187" s="334" t="n"/>
      <c r="B187" s="334" t="n"/>
      <c r="C187" s="334" t="n"/>
      <c r="D187" s="334" t="n"/>
      <c r="E187" s="334" t="n"/>
      <c r="F187" s="334" t="n"/>
      <c r="G187" s="334" t="n"/>
      <c r="H187" s="334" t="n"/>
      <c r="I187" s="332">
        <f>IFERROR(VLOOKUP(TEXT(H187,"0"),IPRESS!$A$3:$B$212,2,0),"")</f>
        <v/>
      </c>
      <c r="J187" s="334" t="n"/>
      <c r="K187" s="332">
        <f>IFERROR(VLOOKUP(TEXT(O187,"0"),CONDUCTORES!$A$3:$G$54,7,0),"")</f>
        <v/>
      </c>
      <c r="L187" s="334" t="n"/>
      <c r="M187" s="334" t="n"/>
      <c r="N187" s="333">
        <f>IFERROR(IF(L187*M187=0,"",L187*M187),"")</f>
        <v/>
      </c>
      <c r="O187" s="334" t="n"/>
      <c r="P187" s="332">
        <f>IFERROR(VLOOKUP(TEXT(O187,"0"),CONDUCTORES!$A$3:$G$54,2,0),"")</f>
        <v/>
      </c>
      <c r="Q187" s="332">
        <f>IFERROR(VLOOKUP(TEXT(O187,"0"),CONDUCTORES!$A$3:$H$54,6,0),"")</f>
        <v/>
      </c>
      <c r="R187" s="334" t="n"/>
      <c r="S187" s="334" t="n"/>
      <c r="T187" s="334" t="n"/>
      <c r="U187" s="334" t="n"/>
      <c r="V187" s="334" t="n"/>
      <c r="W187" s="334" t="n"/>
      <c r="X187" s="334" t="n"/>
      <c r="Y187" s="334" t="n"/>
      <c r="Z187" s="375">
        <f>IF(AND(G187&lt;&gt;"",R187&lt;&gt;"",V187&lt;&gt;"",W187&lt;&gt;""),"COMPLETADO","OBSERVADO")</f>
        <v/>
      </c>
    </row>
    <row r="188" ht="15" customHeight="1" s="195">
      <c r="A188" s="280" t="n"/>
      <c r="B188" s="280" t="n"/>
      <c r="C188" s="280" t="n"/>
      <c r="D188" s="280" t="n"/>
      <c r="E188" s="280" t="n"/>
      <c r="F188" s="280" t="n"/>
      <c r="G188" s="280" t="n"/>
      <c r="H188" s="280" t="n"/>
      <c r="I188" s="332">
        <f>IFERROR(VLOOKUP(TEXT(H188,"0"),IPRESS!$A$3:$B$212,2,0),"")</f>
        <v/>
      </c>
      <c r="J188" s="280" t="n"/>
      <c r="K188" s="332">
        <f>IFERROR(VLOOKUP(TEXT(O188,"0"),CONDUCTORES!$A$3:$G$54,7,0),"")</f>
        <v/>
      </c>
      <c r="L188" s="280" t="n"/>
      <c r="M188" s="280" t="n"/>
      <c r="N188" s="333">
        <f>IFERROR(IF(L188*M188=0,"",L188*M188),"")</f>
        <v/>
      </c>
      <c r="O188" s="280" t="n"/>
      <c r="P188" s="332">
        <f>IFERROR(VLOOKUP(TEXT(O188,"0"),CONDUCTORES!$A$3:$G$54,2,0),"")</f>
        <v/>
      </c>
      <c r="Q188" s="332">
        <f>IFERROR(VLOOKUP(TEXT(O188,"0"),CONDUCTORES!$A$3:$H$54,6,0),"")</f>
        <v/>
      </c>
      <c r="R188" s="280" t="n"/>
      <c r="S188" s="280" t="n"/>
      <c r="T188" s="280" t="n"/>
      <c r="U188" s="280" t="n"/>
      <c r="V188" s="280" t="n"/>
      <c r="W188" s="280" t="n"/>
      <c r="X188" s="280" t="n"/>
      <c r="Y188" s="280" t="n"/>
      <c r="Z188" s="375">
        <f>IF(AND(G188&lt;&gt;"",R188&lt;&gt;"",V188&lt;&gt;"",W188&lt;&gt;""),"COMPLETADO","OBSERVADO")</f>
        <v/>
      </c>
    </row>
    <row r="189" ht="15" customHeight="1" s="195">
      <c r="A189" s="334" t="n"/>
      <c r="B189" s="334" t="n"/>
      <c r="C189" s="334" t="n"/>
      <c r="D189" s="334" t="n"/>
      <c r="E189" s="334" t="n"/>
      <c r="F189" s="334" t="n"/>
      <c r="G189" s="334" t="n"/>
      <c r="H189" s="334" t="n"/>
      <c r="I189" s="332">
        <f>IFERROR(VLOOKUP(TEXT(H189,"0"),IPRESS!$A$3:$B$212,2,0),"")</f>
        <v/>
      </c>
      <c r="J189" s="334" t="n"/>
      <c r="K189" s="332">
        <f>IFERROR(VLOOKUP(TEXT(O189,"0"),CONDUCTORES!$A$3:$G$54,7,0),"")</f>
        <v/>
      </c>
      <c r="L189" s="334" t="n"/>
      <c r="M189" s="334" t="n"/>
      <c r="N189" s="333">
        <f>IFERROR(IF(L189*M189=0,"",L189*M189),"")</f>
        <v/>
      </c>
      <c r="O189" s="334" t="n"/>
      <c r="P189" s="332">
        <f>IFERROR(VLOOKUP(TEXT(O189,"0"),CONDUCTORES!$A$3:$G$54,2,0),"")</f>
        <v/>
      </c>
      <c r="Q189" s="332">
        <f>IFERROR(VLOOKUP(TEXT(O189,"0"),CONDUCTORES!$A$3:$H$54,6,0),"")</f>
        <v/>
      </c>
      <c r="R189" s="334" t="n"/>
      <c r="S189" s="334" t="n"/>
      <c r="T189" s="334" t="n"/>
      <c r="U189" s="334" t="n"/>
      <c r="V189" s="334" t="n"/>
      <c r="W189" s="334" t="n"/>
      <c r="X189" s="334" t="n"/>
      <c r="Y189" s="334" t="n"/>
      <c r="Z189" s="375">
        <f>IF(AND(G189&lt;&gt;"",R189&lt;&gt;"",V189&lt;&gt;"",W189&lt;&gt;""),"COMPLETADO","OBSERVADO")</f>
        <v/>
      </c>
    </row>
    <row r="190" ht="15" customHeight="1" s="195">
      <c r="A190" s="280" t="n"/>
      <c r="B190" s="280" t="n"/>
      <c r="C190" s="280" t="n"/>
      <c r="D190" s="280" t="n"/>
      <c r="E190" s="280" t="n"/>
      <c r="F190" s="280" t="n"/>
      <c r="G190" s="280" t="n"/>
      <c r="H190" s="280" t="n"/>
      <c r="I190" s="332">
        <f>IFERROR(VLOOKUP(TEXT(H190,"0"),IPRESS!$A$3:$B$212,2,0),"")</f>
        <v/>
      </c>
      <c r="J190" s="280" t="n"/>
      <c r="K190" s="332">
        <f>IFERROR(VLOOKUP(TEXT(O190,"0"),CONDUCTORES!$A$3:$G$54,7,0),"")</f>
        <v/>
      </c>
      <c r="L190" s="280" t="n"/>
      <c r="M190" s="280" t="n"/>
      <c r="N190" s="333">
        <f>IFERROR(IF(L190*M190=0,"",L190*M190),"")</f>
        <v/>
      </c>
      <c r="O190" s="280" t="n"/>
      <c r="P190" s="332">
        <f>IFERROR(VLOOKUP(TEXT(O190,"0"),CONDUCTORES!$A$3:$G$54,2,0),"")</f>
        <v/>
      </c>
      <c r="Q190" s="332">
        <f>IFERROR(VLOOKUP(TEXT(O190,"0"),CONDUCTORES!$A$3:$H$54,6,0),"")</f>
        <v/>
      </c>
      <c r="R190" s="280" t="n"/>
      <c r="S190" s="280" t="n"/>
      <c r="T190" s="280" t="n"/>
      <c r="U190" s="280" t="n"/>
      <c r="V190" s="280" t="n"/>
      <c r="W190" s="280" t="n"/>
      <c r="X190" s="280" t="n"/>
      <c r="Y190" s="280" t="n"/>
      <c r="Z190" s="375">
        <f>IF(AND(G190&lt;&gt;"",R190&lt;&gt;"",V190&lt;&gt;"",W190&lt;&gt;""),"COMPLETADO","OBSERVADO")</f>
        <v/>
      </c>
    </row>
    <row r="191" ht="15" customHeight="1" s="195">
      <c r="A191" s="334" t="n"/>
      <c r="B191" s="334" t="n"/>
      <c r="C191" s="334" t="n"/>
      <c r="D191" s="334" t="n"/>
      <c r="E191" s="334" t="n"/>
      <c r="F191" s="334" t="n"/>
      <c r="G191" s="334" t="n"/>
      <c r="H191" s="334" t="n"/>
      <c r="I191" s="332">
        <f>IFERROR(VLOOKUP(TEXT(H191,"0"),IPRESS!$A$3:$B$212,2,0),"")</f>
        <v/>
      </c>
      <c r="J191" s="334" t="n"/>
      <c r="K191" s="332">
        <f>IFERROR(VLOOKUP(TEXT(O191,"0"),CONDUCTORES!$A$3:$G$54,7,0),"")</f>
        <v/>
      </c>
      <c r="L191" s="334" t="n"/>
      <c r="M191" s="334" t="n"/>
      <c r="N191" s="333">
        <f>IFERROR(IF(L191*M191=0,"",L191*M191),"")</f>
        <v/>
      </c>
      <c r="O191" s="334" t="n"/>
      <c r="P191" s="332">
        <f>IFERROR(VLOOKUP(TEXT(O191,"0"),CONDUCTORES!$A$3:$G$54,2,0),"")</f>
        <v/>
      </c>
      <c r="Q191" s="332">
        <f>IFERROR(VLOOKUP(TEXT(O191,"0"),CONDUCTORES!$A$3:$H$54,6,0),"")</f>
        <v/>
      </c>
      <c r="R191" s="334" t="n"/>
      <c r="S191" s="334" t="n"/>
      <c r="T191" s="334" t="n"/>
      <c r="U191" s="334" t="n"/>
      <c r="V191" s="334" t="n"/>
      <c r="W191" s="334" t="n"/>
      <c r="X191" s="334" t="n"/>
      <c r="Y191" s="334" t="n"/>
      <c r="Z191" s="375">
        <f>IF(AND(G191&lt;&gt;"",R191&lt;&gt;"",V191&lt;&gt;"",W191&lt;&gt;""),"COMPLETADO","OBSERVADO")</f>
        <v/>
      </c>
    </row>
    <row r="192" ht="15" customHeight="1" s="195">
      <c r="A192" s="280" t="n"/>
      <c r="B192" s="280" t="n"/>
      <c r="C192" s="280" t="n"/>
      <c r="D192" s="280" t="n"/>
      <c r="E192" s="280" t="n"/>
      <c r="F192" s="280" t="n"/>
      <c r="G192" s="280" t="n"/>
      <c r="H192" s="280" t="n"/>
      <c r="I192" s="332">
        <f>IFERROR(VLOOKUP(TEXT(H192,"0"),IPRESS!$A$3:$B$212,2,0),"")</f>
        <v/>
      </c>
      <c r="J192" s="280" t="n"/>
      <c r="K192" s="332">
        <f>IFERROR(VLOOKUP(TEXT(O192,"0"),CONDUCTORES!$A$3:$G$54,7,0),"")</f>
        <v/>
      </c>
      <c r="L192" s="280" t="n"/>
      <c r="M192" s="280" t="n"/>
      <c r="N192" s="333">
        <f>IFERROR(IF(L192*M192=0,"",L192*M192),"")</f>
        <v/>
      </c>
      <c r="O192" s="280" t="n"/>
      <c r="P192" s="332">
        <f>IFERROR(VLOOKUP(TEXT(O192,"0"),CONDUCTORES!$A$3:$G$54,2,0),"")</f>
        <v/>
      </c>
      <c r="Q192" s="332">
        <f>IFERROR(VLOOKUP(TEXT(O192,"0"),CONDUCTORES!$A$3:$H$54,6,0),"")</f>
        <v/>
      </c>
      <c r="R192" s="280" t="n"/>
      <c r="S192" s="280" t="n"/>
      <c r="T192" s="280" t="n"/>
      <c r="U192" s="280" t="n"/>
      <c r="V192" s="280" t="n"/>
      <c r="W192" s="280" t="n"/>
      <c r="X192" s="280" t="n"/>
      <c r="Y192" s="280" t="n"/>
      <c r="Z192" s="375">
        <f>IF(AND(G192&lt;&gt;"",R192&lt;&gt;"",V192&lt;&gt;"",W192&lt;&gt;""),"COMPLETADO","OBSERVADO")</f>
        <v/>
      </c>
    </row>
    <row r="193" ht="15" customHeight="1" s="195">
      <c r="A193" s="334" t="n"/>
      <c r="B193" s="334" t="n"/>
      <c r="C193" s="334" t="n"/>
      <c r="D193" s="334" t="n"/>
      <c r="E193" s="334" t="n"/>
      <c r="F193" s="334" t="n"/>
      <c r="G193" s="334" t="n"/>
      <c r="H193" s="334" t="n"/>
      <c r="I193" s="332">
        <f>IFERROR(VLOOKUP(TEXT(H193,"0"),IPRESS!$A$3:$B$212,2,0),"")</f>
        <v/>
      </c>
      <c r="J193" s="334" t="n"/>
      <c r="K193" s="332">
        <f>IFERROR(VLOOKUP(TEXT(O193,"0"),CONDUCTORES!$A$3:$G$54,7,0),"")</f>
        <v/>
      </c>
      <c r="L193" s="334" t="n"/>
      <c r="M193" s="334" t="n"/>
      <c r="N193" s="333">
        <f>IFERROR(IF(L193*M193=0,"",L193*M193),"")</f>
        <v/>
      </c>
      <c r="O193" s="334" t="n"/>
      <c r="P193" s="332">
        <f>IFERROR(VLOOKUP(TEXT(O193,"0"),CONDUCTORES!$A$3:$G$54,2,0),"")</f>
        <v/>
      </c>
      <c r="Q193" s="332">
        <f>IFERROR(VLOOKUP(TEXT(O193,"0"),CONDUCTORES!$A$3:$H$54,6,0),"")</f>
        <v/>
      </c>
      <c r="R193" s="334" t="n"/>
      <c r="S193" s="334" t="n"/>
      <c r="T193" s="334" t="n"/>
      <c r="U193" s="334" t="n"/>
      <c r="V193" s="334" t="n"/>
      <c r="W193" s="334" t="n"/>
      <c r="X193" s="334" t="n"/>
      <c r="Y193" s="334" t="n"/>
      <c r="Z193" s="375">
        <f>IF(AND(G193&lt;&gt;"",R193&lt;&gt;"",V193&lt;&gt;"",W193&lt;&gt;""),"COMPLETADO","OBSERVADO")</f>
        <v/>
      </c>
    </row>
    <row r="194" ht="15" customHeight="1" s="195">
      <c r="A194" s="280" t="n"/>
      <c r="B194" s="280" t="n"/>
      <c r="C194" s="280" t="n"/>
      <c r="D194" s="280" t="n"/>
      <c r="E194" s="280" t="n"/>
      <c r="F194" s="280" t="n"/>
      <c r="G194" s="280" t="n"/>
      <c r="H194" s="280" t="n"/>
      <c r="I194" s="332">
        <f>IFERROR(VLOOKUP(TEXT(H194,"0"),IPRESS!$A$3:$B$212,2,0),"")</f>
        <v/>
      </c>
      <c r="J194" s="280" t="n"/>
      <c r="K194" s="332">
        <f>IFERROR(VLOOKUP(TEXT(O194,"0"),CONDUCTORES!$A$3:$G$54,7,0),"")</f>
        <v/>
      </c>
      <c r="L194" s="280" t="n"/>
      <c r="M194" s="280" t="n"/>
      <c r="N194" s="333">
        <f>IFERROR(IF(L194*M194=0,"",L194*M194),"")</f>
        <v/>
      </c>
      <c r="O194" s="280" t="n"/>
      <c r="P194" s="332">
        <f>IFERROR(VLOOKUP(TEXT(O194,"0"),CONDUCTORES!$A$3:$G$54,2,0),"")</f>
        <v/>
      </c>
      <c r="Q194" s="332">
        <f>IFERROR(VLOOKUP(TEXT(O194,"0"),CONDUCTORES!$A$3:$H$54,6,0),"")</f>
        <v/>
      </c>
      <c r="R194" s="280" t="n"/>
      <c r="S194" s="280" t="n"/>
      <c r="T194" s="280" t="n"/>
      <c r="U194" s="280" t="n"/>
      <c r="V194" s="280" t="n"/>
      <c r="W194" s="280" t="n"/>
      <c r="X194" s="280" t="n"/>
      <c r="Y194" s="280" t="n"/>
      <c r="Z194" s="375">
        <f>IF(AND(G194&lt;&gt;"",R194&lt;&gt;"",V194&lt;&gt;"",W194&lt;&gt;""),"COMPLETADO","OBSERVADO")</f>
        <v/>
      </c>
    </row>
    <row r="195" ht="15" customHeight="1" s="195">
      <c r="A195" s="334" t="n"/>
      <c r="B195" s="334" t="n"/>
      <c r="C195" s="334" t="n"/>
      <c r="D195" s="334" t="n"/>
      <c r="E195" s="334" t="n"/>
      <c r="F195" s="334" t="n"/>
      <c r="G195" s="334" t="n"/>
      <c r="H195" s="334" t="n"/>
      <c r="I195" s="332">
        <f>IFERROR(VLOOKUP(TEXT(H195,"0"),IPRESS!$A$3:$B$212,2,0),"")</f>
        <v/>
      </c>
      <c r="J195" s="334" t="n"/>
      <c r="K195" s="332">
        <f>IFERROR(VLOOKUP(TEXT(O195,"0"),CONDUCTORES!$A$3:$G$54,7,0),"")</f>
        <v/>
      </c>
      <c r="L195" s="334" t="n"/>
      <c r="M195" s="334" t="n"/>
      <c r="N195" s="333">
        <f>IFERROR(IF(L195*M195=0,"",L195*M195),"")</f>
        <v/>
      </c>
      <c r="O195" s="334" t="n"/>
      <c r="P195" s="332">
        <f>IFERROR(VLOOKUP(TEXT(O195,"0"),CONDUCTORES!$A$3:$G$54,2,0),"")</f>
        <v/>
      </c>
      <c r="Q195" s="332">
        <f>IFERROR(VLOOKUP(TEXT(O195,"0"),CONDUCTORES!$A$3:$H$54,6,0),"")</f>
        <v/>
      </c>
      <c r="R195" s="334" t="n"/>
      <c r="S195" s="334" t="n"/>
      <c r="T195" s="334" t="n"/>
      <c r="U195" s="334" t="n"/>
      <c r="V195" s="334" t="n"/>
      <c r="W195" s="334" t="n"/>
      <c r="X195" s="334" t="n"/>
      <c r="Y195" s="334" t="n"/>
      <c r="Z195" s="375">
        <f>IF(AND(G195&lt;&gt;"",R195&lt;&gt;"",V195&lt;&gt;"",W195&lt;&gt;""),"COMPLETADO","OBSERVADO")</f>
        <v/>
      </c>
    </row>
    <row r="196" ht="15" customHeight="1" s="195">
      <c r="A196" s="280" t="n"/>
      <c r="B196" s="280" t="n"/>
      <c r="C196" s="280" t="n"/>
      <c r="D196" s="280" t="n"/>
      <c r="E196" s="280" t="n"/>
      <c r="F196" s="280" t="n"/>
      <c r="G196" s="280" t="n"/>
      <c r="H196" s="280" t="n"/>
      <c r="I196" s="332">
        <f>IFERROR(VLOOKUP(TEXT(H196,"0"),IPRESS!$A$3:$B$212,2,0),"")</f>
        <v/>
      </c>
      <c r="J196" s="280" t="n"/>
      <c r="K196" s="332">
        <f>IFERROR(VLOOKUP(TEXT(O196,"0"),CONDUCTORES!$A$3:$G$54,7,0),"")</f>
        <v/>
      </c>
      <c r="L196" s="280" t="n"/>
      <c r="M196" s="280" t="n"/>
      <c r="N196" s="333">
        <f>IFERROR(IF(L196*M196=0,"",L196*M196),"")</f>
        <v/>
      </c>
      <c r="O196" s="280" t="n"/>
      <c r="P196" s="332">
        <f>IFERROR(VLOOKUP(TEXT(O196,"0"),CONDUCTORES!$A$3:$G$54,2,0),"")</f>
        <v/>
      </c>
      <c r="Q196" s="332">
        <f>IFERROR(VLOOKUP(TEXT(O196,"0"),CONDUCTORES!$A$3:$H$54,6,0),"")</f>
        <v/>
      </c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375">
        <f>IF(AND(G196&lt;&gt;"",R196&lt;&gt;"",V196&lt;&gt;"",W196&lt;&gt;""),"COMPLETADO","OBSERVADO")</f>
        <v/>
      </c>
    </row>
    <row r="197" ht="15" customHeight="1" s="195">
      <c r="A197" s="334" t="n"/>
      <c r="B197" s="334" t="n"/>
      <c r="C197" s="334" t="n"/>
      <c r="D197" s="334" t="n"/>
      <c r="E197" s="334" t="n"/>
      <c r="F197" s="334" t="n"/>
      <c r="G197" s="334" t="n"/>
      <c r="H197" s="334" t="n"/>
      <c r="I197" s="332">
        <f>IFERROR(VLOOKUP(TEXT(H197,"0"),IPRESS!$A$3:$B$212,2,0),"")</f>
        <v/>
      </c>
      <c r="J197" s="334" t="n"/>
      <c r="K197" s="332">
        <f>IFERROR(VLOOKUP(TEXT(O197,"0"),CONDUCTORES!$A$3:$G$54,7,0),"")</f>
        <v/>
      </c>
      <c r="L197" s="334" t="n"/>
      <c r="M197" s="334" t="n"/>
      <c r="N197" s="333">
        <f>IFERROR(IF(L197*M197=0,"",L197*M197),"")</f>
        <v/>
      </c>
      <c r="O197" s="334" t="n"/>
      <c r="P197" s="332">
        <f>IFERROR(VLOOKUP(TEXT(O197,"0"),CONDUCTORES!$A$3:$G$54,2,0),"")</f>
        <v/>
      </c>
      <c r="Q197" s="332">
        <f>IFERROR(VLOOKUP(TEXT(O197,"0"),CONDUCTORES!$A$3:$H$54,6,0),"")</f>
        <v/>
      </c>
      <c r="R197" s="334" t="n"/>
      <c r="S197" s="334" t="n"/>
      <c r="T197" s="334" t="n"/>
      <c r="U197" s="334" t="n"/>
      <c r="V197" s="334" t="n"/>
      <c r="W197" s="334" t="n"/>
      <c r="X197" s="334" t="n"/>
      <c r="Y197" s="334" t="n"/>
      <c r="Z197" s="375">
        <f>IF(AND(G197&lt;&gt;"",R197&lt;&gt;"",V197&lt;&gt;"",W197&lt;&gt;""),"COMPLETADO","OBSERVADO")</f>
        <v/>
      </c>
    </row>
    <row r="198" ht="15" customHeight="1" s="195">
      <c r="A198" s="280" t="n"/>
      <c r="B198" s="280" t="n"/>
      <c r="C198" s="280" t="n"/>
      <c r="D198" s="280" t="n"/>
      <c r="E198" s="280" t="n"/>
      <c r="F198" s="280" t="n"/>
      <c r="G198" s="280" t="n"/>
      <c r="H198" s="280" t="n"/>
      <c r="I198" s="332">
        <f>IFERROR(VLOOKUP(TEXT(H198,"0"),IPRESS!$A$3:$B$212,2,0),"")</f>
        <v/>
      </c>
      <c r="J198" s="280" t="n"/>
      <c r="K198" s="332">
        <f>IFERROR(VLOOKUP(TEXT(O198,"0"),CONDUCTORES!$A$3:$G$54,7,0),"")</f>
        <v/>
      </c>
      <c r="L198" s="280" t="n"/>
      <c r="M198" s="280" t="n"/>
      <c r="N198" s="333">
        <f>IFERROR(IF(L198*M198=0,"",L198*M198),"")</f>
        <v/>
      </c>
      <c r="O198" s="280" t="n"/>
      <c r="P198" s="332">
        <f>IFERROR(VLOOKUP(TEXT(O198,"0"),CONDUCTORES!$A$3:$G$54,2,0),"")</f>
        <v/>
      </c>
      <c r="Q198" s="332">
        <f>IFERROR(VLOOKUP(TEXT(O198,"0"),CONDUCTORES!$A$3:$H$54,6,0),"")</f>
        <v/>
      </c>
      <c r="R198" s="280" t="n"/>
      <c r="S198" s="280" t="n"/>
      <c r="T198" s="280" t="n"/>
      <c r="U198" s="280" t="n"/>
      <c r="V198" s="280" t="n"/>
      <c r="W198" s="280" t="n"/>
      <c r="X198" s="280" t="n"/>
      <c r="Y198" s="280" t="n"/>
      <c r="Z198" s="375">
        <f>IF(AND(G198&lt;&gt;"",R198&lt;&gt;"",V198&lt;&gt;"",W198&lt;&gt;""),"COMPLETADO","OBSERVADO")</f>
        <v/>
      </c>
    </row>
    <row r="199" ht="15" customHeight="1" s="195">
      <c r="A199" s="334" t="n"/>
      <c r="B199" s="334" t="n"/>
      <c r="C199" s="334" t="n"/>
      <c r="D199" s="334" t="n"/>
      <c r="E199" s="334" t="n"/>
      <c r="F199" s="334" t="n"/>
      <c r="G199" s="334" t="n"/>
      <c r="H199" s="334" t="n"/>
      <c r="I199" s="332">
        <f>IFERROR(VLOOKUP(TEXT(H199,"0"),IPRESS!$A$3:$B$212,2,0),"")</f>
        <v/>
      </c>
      <c r="J199" s="334" t="n"/>
      <c r="K199" s="332">
        <f>IFERROR(VLOOKUP(TEXT(O199,"0"),CONDUCTORES!$A$3:$G$54,7,0),"")</f>
        <v/>
      </c>
      <c r="L199" s="334" t="n"/>
      <c r="M199" s="334" t="n"/>
      <c r="N199" s="333">
        <f>IFERROR(IF(L199*M199=0,"",L199*M199),"")</f>
        <v/>
      </c>
      <c r="O199" s="334" t="n"/>
      <c r="P199" s="332">
        <f>IFERROR(VLOOKUP(TEXT(O199,"0"),CONDUCTORES!$A$3:$G$54,2,0),"")</f>
        <v/>
      </c>
      <c r="Q199" s="332">
        <f>IFERROR(VLOOKUP(TEXT(O199,"0"),CONDUCTORES!$A$3:$H$54,6,0),"")</f>
        <v/>
      </c>
      <c r="R199" s="334" t="n"/>
      <c r="S199" s="334" t="n"/>
      <c r="T199" s="334" t="n"/>
      <c r="U199" s="334" t="n"/>
      <c r="V199" s="334" t="n"/>
      <c r="W199" s="334" t="n"/>
      <c r="X199" s="334" t="n"/>
      <c r="Y199" s="334" t="n"/>
      <c r="Z199" s="375">
        <f>IF(AND(G199&lt;&gt;"",R199&lt;&gt;"",V199&lt;&gt;"",W199&lt;&gt;""),"COMPLETADO","OBSERVADO")</f>
        <v/>
      </c>
    </row>
    <row r="200" ht="15" customHeight="1" s="195">
      <c r="A200" s="280" t="n"/>
      <c r="B200" s="280" t="n"/>
      <c r="C200" s="280" t="n"/>
      <c r="D200" s="280" t="n"/>
      <c r="E200" s="280" t="n"/>
      <c r="F200" s="280" t="n"/>
      <c r="G200" s="280" t="n"/>
      <c r="H200" s="280" t="n"/>
      <c r="I200" s="332">
        <f>IFERROR(VLOOKUP(TEXT(H200,"0"),IPRESS!$A$3:$B$212,2,0),"")</f>
        <v/>
      </c>
      <c r="J200" s="280" t="n"/>
      <c r="K200" s="332">
        <f>IFERROR(VLOOKUP(TEXT(O200,"0"),CONDUCTORES!$A$3:$G$54,7,0),"")</f>
        <v/>
      </c>
      <c r="L200" s="280" t="n"/>
      <c r="M200" s="280" t="n"/>
      <c r="N200" s="333">
        <f>IFERROR(IF(L200*M200=0,"",L200*M200),"")</f>
        <v/>
      </c>
      <c r="O200" s="280" t="n"/>
      <c r="P200" s="332">
        <f>IFERROR(VLOOKUP(TEXT(O200,"0"),CONDUCTORES!$A$3:$G$54,2,0),"")</f>
        <v/>
      </c>
      <c r="Q200" s="332">
        <f>IFERROR(VLOOKUP(TEXT(O200,"0"),CONDUCTORES!$A$3:$H$54,6,0),"")</f>
        <v/>
      </c>
      <c r="R200" s="280" t="n"/>
      <c r="S200" s="280" t="n"/>
      <c r="T200" s="280" t="n"/>
      <c r="U200" s="280" t="n"/>
      <c r="V200" s="280" t="n"/>
      <c r="W200" s="280" t="n"/>
      <c r="X200" s="280" t="n"/>
      <c r="Y200" s="280" t="n"/>
      <c r="Z200" s="375">
        <f>IF(AND(G200&lt;&gt;"",R200&lt;&gt;"",V200&lt;&gt;"",W200&lt;&gt;""),"COMPLETADO","OBSERVADO")</f>
        <v/>
      </c>
    </row>
    <row r="201" ht="15" customHeight="1" s="195">
      <c r="A201" s="334" t="n"/>
      <c r="B201" s="334" t="n"/>
      <c r="C201" s="334" t="n"/>
      <c r="D201" s="334" t="n"/>
      <c r="E201" s="334" t="n"/>
      <c r="F201" s="334" t="n"/>
      <c r="G201" s="334" t="n"/>
      <c r="H201" s="334" t="n"/>
      <c r="I201" s="332">
        <f>IFERROR(VLOOKUP(TEXT(H201,"0"),IPRESS!$A$3:$B$212,2,0),"")</f>
        <v/>
      </c>
      <c r="J201" s="334" t="n"/>
      <c r="K201" s="332">
        <f>IFERROR(VLOOKUP(TEXT(O201,"0"),CONDUCTORES!$A$3:$G$54,7,0),"")</f>
        <v/>
      </c>
      <c r="L201" s="334" t="n"/>
      <c r="M201" s="334" t="n"/>
      <c r="N201" s="333">
        <f>IFERROR(IF(L201*M201=0,"",L201*M201),"")</f>
        <v/>
      </c>
      <c r="O201" s="334" t="n"/>
      <c r="P201" s="332">
        <f>IFERROR(VLOOKUP(TEXT(O201,"0"),CONDUCTORES!$A$3:$G$54,2,0),"")</f>
        <v/>
      </c>
      <c r="Q201" s="332">
        <f>IFERROR(VLOOKUP(TEXT(O201,"0"),CONDUCTORES!$A$3:$H$54,6,0),"")</f>
        <v/>
      </c>
      <c r="R201" s="334" t="n"/>
      <c r="S201" s="334" t="n"/>
      <c r="T201" s="334" t="n"/>
      <c r="U201" s="334" t="n"/>
      <c r="V201" s="334" t="n"/>
      <c r="W201" s="334" t="n"/>
      <c r="X201" s="334" t="n"/>
      <c r="Y201" s="334" t="n"/>
      <c r="Z201" s="375">
        <f>IF(AND(G201&lt;&gt;"",R201&lt;&gt;"",V201&lt;&gt;"",W201&lt;&gt;""),"COMPLETADO","OBSERVADO")</f>
        <v/>
      </c>
    </row>
    <row r="202" ht="15" customHeight="1" s="195">
      <c r="A202" s="280" t="n"/>
      <c r="B202" s="280" t="n"/>
      <c r="C202" s="280" t="n"/>
      <c r="D202" s="280" t="n"/>
      <c r="E202" s="280" t="n"/>
      <c r="F202" s="280" t="n"/>
      <c r="G202" s="280" t="n"/>
      <c r="H202" s="280" t="n"/>
      <c r="I202" s="332">
        <f>IFERROR(VLOOKUP(TEXT(H202,"0"),IPRESS!$A$3:$B$212,2,0),"")</f>
        <v/>
      </c>
      <c r="J202" s="280" t="n"/>
      <c r="K202" s="332">
        <f>IFERROR(VLOOKUP(TEXT(O202,"0"),CONDUCTORES!$A$3:$G$54,7,0),"")</f>
        <v/>
      </c>
      <c r="L202" s="280" t="n"/>
      <c r="M202" s="280" t="n"/>
      <c r="N202" s="333">
        <f>IFERROR(IF(L202*M202=0,"",L202*M202),"")</f>
        <v/>
      </c>
      <c r="O202" s="280" t="n"/>
      <c r="P202" s="332">
        <f>IFERROR(VLOOKUP(TEXT(O202,"0"),CONDUCTORES!$A$3:$G$54,2,0),"")</f>
        <v/>
      </c>
      <c r="Q202" s="332">
        <f>IFERROR(VLOOKUP(TEXT(O202,"0"),CONDUCTORES!$A$3:$H$54,6,0),"")</f>
        <v/>
      </c>
      <c r="R202" s="280" t="n"/>
      <c r="S202" s="280" t="n"/>
      <c r="T202" s="280" t="n"/>
      <c r="U202" s="280" t="n"/>
      <c r="V202" s="280" t="n"/>
      <c r="W202" s="280" t="n"/>
      <c r="X202" s="280" t="n"/>
      <c r="Y202" s="280" t="n"/>
      <c r="Z202" s="375">
        <f>IF(AND(G202&lt;&gt;"",R202&lt;&gt;"",V202&lt;&gt;"",W202&lt;&gt;""),"COMPLETADO","OBSERVADO")</f>
        <v/>
      </c>
    </row>
    <row r="203" ht="15" customHeight="1" s="195">
      <c r="A203" s="334" t="n"/>
      <c r="B203" s="334" t="n"/>
      <c r="C203" s="334" t="n"/>
      <c r="D203" s="334" t="n"/>
      <c r="E203" s="334" t="n"/>
      <c r="F203" s="334" t="n"/>
      <c r="G203" s="334" t="n"/>
      <c r="H203" s="334" t="n"/>
      <c r="I203" s="332">
        <f>IFERROR(VLOOKUP(TEXT(H203,"0"),IPRESS!$A$3:$B$212,2,0),"")</f>
        <v/>
      </c>
      <c r="J203" s="334" t="n"/>
      <c r="K203" s="332">
        <f>IFERROR(VLOOKUP(TEXT(O203,"0"),CONDUCTORES!$A$3:$G$54,7,0),"")</f>
        <v/>
      </c>
      <c r="L203" s="334" t="n"/>
      <c r="M203" s="334" t="n"/>
      <c r="N203" s="333">
        <f>IFERROR(IF(L203*M203=0,"",L203*M203),"")</f>
        <v/>
      </c>
      <c r="O203" s="334" t="n"/>
      <c r="P203" s="332">
        <f>IFERROR(VLOOKUP(TEXT(O203,"0"),CONDUCTORES!$A$3:$G$54,2,0),"")</f>
        <v/>
      </c>
      <c r="Q203" s="332">
        <f>IFERROR(VLOOKUP(TEXT(O203,"0"),CONDUCTORES!$A$3:$H$54,6,0),"")</f>
        <v/>
      </c>
      <c r="R203" s="334" t="n"/>
      <c r="S203" s="334" t="n"/>
      <c r="T203" s="334" t="n"/>
      <c r="U203" s="334" t="n"/>
      <c r="V203" s="334" t="n"/>
      <c r="W203" s="334" t="n"/>
      <c r="X203" s="334" t="n"/>
      <c r="Y203" s="334" t="n"/>
      <c r="Z203" s="375">
        <f>IF(AND(G203&lt;&gt;"",R203&lt;&gt;"",V203&lt;&gt;"",W203&lt;&gt;""),"COMPLETADO","OBSERVADO")</f>
        <v/>
      </c>
    </row>
    <row r="204" ht="15" customHeight="1" s="195">
      <c r="A204" s="280" t="n"/>
      <c r="B204" s="280" t="n"/>
      <c r="C204" s="280" t="n"/>
      <c r="D204" s="280" t="n"/>
      <c r="E204" s="280" t="n"/>
      <c r="F204" s="280" t="n"/>
      <c r="G204" s="280" t="n"/>
      <c r="H204" s="280" t="n"/>
      <c r="I204" s="332">
        <f>IFERROR(VLOOKUP(TEXT(H204,"0"),IPRESS!$A$3:$B$212,2,0),"")</f>
        <v/>
      </c>
      <c r="J204" s="280" t="n"/>
      <c r="K204" s="332">
        <f>IFERROR(VLOOKUP(TEXT(O204,"0"),CONDUCTORES!$A$3:$G$54,7,0),"")</f>
        <v/>
      </c>
      <c r="L204" s="280" t="n"/>
      <c r="M204" s="280" t="n"/>
      <c r="N204" s="333">
        <f>IFERROR(IF(L204*M204=0,"",L204*M204),"")</f>
        <v/>
      </c>
      <c r="O204" s="280" t="n"/>
      <c r="P204" s="332">
        <f>IFERROR(VLOOKUP(TEXT(O204,"0"),CONDUCTORES!$A$3:$G$54,2,0),"")</f>
        <v/>
      </c>
      <c r="Q204" s="332">
        <f>IFERROR(VLOOKUP(TEXT(O204,"0"),CONDUCTORES!$A$3:$H$54,6,0),"")</f>
        <v/>
      </c>
      <c r="R204" s="280" t="n"/>
      <c r="S204" s="280" t="n"/>
      <c r="T204" s="280" t="n"/>
      <c r="U204" s="280" t="n"/>
      <c r="V204" s="280" t="n"/>
      <c r="W204" s="280" t="n"/>
      <c r="X204" s="280" t="n"/>
      <c r="Y204" s="280" t="n"/>
      <c r="Z204" s="375">
        <f>IF(AND(G204&lt;&gt;"",R204&lt;&gt;"",V204&lt;&gt;"",W204&lt;&gt;""),"COMPLETADO","OBSERVADO")</f>
        <v/>
      </c>
    </row>
    <row r="205" ht="15" customHeight="1" s="195">
      <c r="A205" s="334" t="n"/>
      <c r="B205" s="334" t="n"/>
      <c r="C205" s="334" t="n"/>
      <c r="D205" s="334" t="n"/>
      <c r="E205" s="334" t="n"/>
      <c r="F205" s="334" t="n"/>
      <c r="G205" s="334" t="n"/>
      <c r="H205" s="334" t="n"/>
      <c r="I205" s="332">
        <f>IFERROR(VLOOKUP(TEXT(H205,"0"),IPRESS!$A$3:$B$212,2,0),"")</f>
        <v/>
      </c>
      <c r="J205" s="334" t="n"/>
      <c r="K205" s="332">
        <f>IFERROR(VLOOKUP(TEXT(O205,"0"),CONDUCTORES!$A$3:$G$54,7,0),"")</f>
        <v/>
      </c>
      <c r="L205" s="334" t="n"/>
      <c r="M205" s="334" t="n"/>
      <c r="N205" s="333">
        <f>IFERROR(IF(L205*M205=0,"",L205*M205),"")</f>
        <v/>
      </c>
      <c r="O205" s="334" t="n"/>
      <c r="P205" s="332">
        <f>IFERROR(VLOOKUP(TEXT(O205,"0"),CONDUCTORES!$A$3:$G$54,2,0),"")</f>
        <v/>
      </c>
      <c r="Q205" s="332">
        <f>IFERROR(VLOOKUP(TEXT(O205,"0"),CONDUCTORES!$A$3:$H$54,6,0),"")</f>
        <v/>
      </c>
      <c r="R205" s="334" t="n"/>
      <c r="S205" s="334" t="n"/>
      <c r="T205" s="334" t="n"/>
      <c r="U205" s="334" t="n"/>
      <c r="V205" s="334" t="n"/>
      <c r="W205" s="334" t="n"/>
      <c r="X205" s="334" t="n"/>
      <c r="Y205" s="334" t="n"/>
      <c r="Z205" s="375">
        <f>IF(AND(G205&lt;&gt;"",R205&lt;&gt;"",V205&lt;&gt;"",W205&lt;&gt;""),"COMPLETADO","OBSERVADO")</f>
        <v/>
      </c>
    </row>
    <row r="206" ht="15" customHeight="1" s="195">
      <c r="A206" s="280" t="n"/>
      <c r="B206" s="280" t="n"/>
      <c r="C206" s="280" t="n"/>
      <c r="D206" s="280" t="n"/>
      <c r="E206" s="280" t="n"/>
      <c r="F206" s="280" t="n"/>
      <c r="G206" s="280" t="n"/>
      <c r="H206" s="280" t="n"/>
      <c r="I206" s="332">
        <f>IFERROR(VLOOKUP(TEXT(H206,"0"),IPRESS!$A$3:$B$212,2,0),"")</f>
        <v/>
      </c>
      <c r="J206" s="280" t="n"/>
      <c r="K206" s="332">
        <f>IFERROR(VLOOKUP(TEXT(O206,"0"),CONDUCTORES!$A$3:$G$54,7,0),"")</f>
        <v/>
      </c>
      <c r="L206" s="280" t="n"/>
      <c r="M206" s="280" t="n"/>
      <c r="N206" s="333">
        <f>IFERROR(IF(L206*M206=0,"",L206*M206),"")</f>
        <v/>
      </c>
      <c r="O206" s="280" t="n"/>
      <c r="P206" s="332">
        <f>IFERROR(VLOOKUP(TEXT(O206,"0"),CONDUCTORES!$A$3:$G$54,2,0),"")</f>
        <v/>
      </c>
      <c r="Q206" s="332">
        <f>IFERROR(VLOOKUP(TEXT(O206,"0"),CONDUCTORES!$A$3:$H$54,6,0),"")</f>
        <v/>
      </c>
      <c r="R206" s="280" t="n"/>
      <c r="S206" s="280" t="n"/>
      <c r="T206" s="280" t="n"/>
      <c r="U206" s="280" t="n"/>
      <c r="V206" s="280" t="n"/>
      <c r="W206" s="280" t="n"/>
      <c r="X206" s="280" t="n"/>
      <c r="Y206" s="280" t="n"/>
      <c r="Z206" s="375">
        <f>IF(AND(G206&lt;&gt;"",R206&lt;&gt;"",V206&lt;&gt;"",W206&lt;&gt;""),"COMPLETADO","OBSERVADO")</f>
        <v/>
      </c>
    </row>
    <row r="207" ht="15" customHeight="1" s="195">
      <c r="A207" s="334" t="n"/>
      <c r="B207" s="334" t="n"/>
      <c r="C207" s="334" t="n"/>
      <c r="D207" s="334" t="n"/>
      <c r="E207" s="334" t="n"/>
      <c r="F207" s="334" t="n"/>
      <c r="G207" s="334" t="n"/>
      <c r="H207" s="334" t="n"/>
      <c r="I207" s="332">
        <f>IFERROR(VLOOKUP(TEXT(H207,"0"),IPRESS!$A$3:$B$212,2,0),"")</f>
        <v/>
      </c>
      <c r="J207" s="334" t="n"/>
      <c r="K207" s="332">
        <f>IFERROR(VLOOKUP(TEXT(O207,"0"),CONDUCTORES!$A$3:$G$54,7,0),"")</f>
        <v/>
      </c>
      <c r="L207" s="334" t="n"/>
      <c r="M207" s="334" t="n"/>
      <c r="N207" s="333">
        <f>IFERROR(IF(L207*M207=0,"",L207*M207),"")</f>
        <v/>
      </c>
      <c r="O207" s="334" t="n"/>
      <c r="P207" s="332">
        <f>IFERROR(VLOOKUP(TEXT(O207,"0"),CONDUCTORES!$A$3:$G$54,2,0),"")</f>
        <v/>
      </c>
      <c r="Q207" s="332">
        <f>IFERROR(VLOOKUP(TEXT(O207,"0"),CONDUCTORES!$A$3:$H$54,6,0),"")</f>
        <v/>
      </c>
      <c r="R207" s="334" t="n"/>
      <c r="S207" s="334" t="n"/>
      <c r="T207" s="334" t="n"/>
      <c r="U207" s="334" t="n"/>
      <c r="V207" s="334" t="n"/>
      <c r="W207" s="334" t="n"/>
      <c r="X207" s="334" t="n"/>
      <c r="Y207" s="334" t="n"/>
      <c r="Z207" s="375">
        <f>IF(AND(G207&lt;&gt;"",R207&lt;&gt;"",V207&lt;&gt;"",W207&lt;&gt;""),"COMPLETADO","OBSERVADO")</f>
        <v/>
      </c>
    </row>
    <row r="208" ht="15" customHeight="1" s="195">
      <c r="A208" s="280" t="n"/>
      <c r="B208" s="280" t="n"/>
      <c r="C208" s="280" t="n"/>
      <c r="D208" s="280" t="n"/>
      <c r="E208" s="280" t="n"/>
      <c r="F208" s="280" t="n"/>
      <c r="G208" s="280" t="n"/>
      <c r="H208" s="280" t="n"/>
      <c r="I208" s="332">
        <f>IFERROR(VLOOKUP(TEXT(H208,"0"),IPRESS!$A$3:$B$212,2,0),"")</f>
        <v/>
      </c>
      <c r="J208" s="280" t="n"/>
      <c r="K208" s="332">
        <f>IFERROR(VLOOKUP(TEXT(O208,"0"),CONDUCTORES!$A$3:$G$54,7,0),"")</f>
        <v/>
      </c>
      <c r="L208" s="280" t="n"/>
      <c r="M208" s="280" t="n"/>
      <c r="N208" s="333">
        <f>IFERROR(IF(L208*M208=0,"",L208*M208),"")</f>
        <v/>
      </c>
      <c r="O208" s="280" t="n"/>
      <c r="P208" s="332">
        <f>IFERROR(VLOOKUP(TEXT(O208,"0"),CONDUCTORES!$A$3:$G$54,2,0),"")</f>
        <v/>
      </c>
      <c r="Q208" s="332">
        <f>IFERROR(VLOOKUP(TEXT(O208,"0"),CONDUCTORES!$A$3:$H$54,6,0),"")</f>
        <v/>
      </c>
      <c r="R208" s="280" t="n"/>
      <c r="S208" s="280" t="n"/>
      <c r="T208" s="280" t="n"/>
      <c r="U208" s="280" t="n"/>
      <c r="V208" s="280" t="n"/>
      <c r="W208" s="280" t="n"/>
      <c r="X208" s="280" t="n"/>
      <c r="Y208" s="280" t="n"/>
      <c r="Z208" s="375">
        <f>IF(AND(G208&lt;&gt;"",R208&lt;&gt;"",V208&lt;&gt;"",W208&lt;&gt;""),"COMPLETADO","OBSERVADO")</f>
        <v/>
      </c>
    </row>
    <row r="209" ht="15" customHeight="1" s="195">
      <c r="A209" s="334" t="n"/>
      <c r="B209" s="334" t="n"/>
      <c r="C209" s="334" t="n"/>
      <c r="D209" s="334" t="n"/>
      <c r="E209" s="334" t="n"/>
      <c r="F209" s="334" t="n"/>
      <c r="G209" s="334" t="n"/>
      <c r="H209" s="334" t="n"/>
      <c r="I209" s="332">
        <f>IFERROR(VLOOKUP(TEXT(H209,"0"),IPRESS!$A$3:$B$212,2,0),"")</f>
        <v/>
      </c>
      <c r="J209" s="334" t="n"/>
      <c r="K209" s="332">
        <f>IFERROR(VLOOKUP(TEXT(O209,"0"),CONDUCTORES!$A$3:$G$54,7,0),"")</f>
        <v/>
      </c>
      <c r="L209" s="334" t="n"/>
      <c r="M209" s="334" t="n"/>
      <c r="N209" s="333">
        <f>IFERROR(IF(L209*M209=0,"",L209*M209),"")</f>
        <v/>
      </c>
      <c r="O209" s="334" t="n"/>
      <c r="P209" s="332">
        <f>IFERROR(VLOOKUP(TEXT(O209,"0"),CONDUCTORES!$A$3:$G$54,2,0),"")</f>
        <v/>
      </c>
      <c r="Q209" s="332">
        <f>IFERROR(VLOOKUP(TEXT(O209,"0"),CONDUCTORES!$A$3:$H$54,6,0),"")</f>
        <v/>
      </c>
      <c r="R209" s="334" t="n"/>
      <c r="S209" s="334" t="n"/>
      <c r="T209" s="334" t="n"/>
      <c r="U209" s="334" t="n"/>
      <c r="V209" s="334" t="n"/>
      <c r="W209" s="334" t="n"/>
      <c r="X209" s="334" t="n"/>
      <c r="Y209" s="334" t="n"/>
      <c r="Z209" s="375">
        <f>IF(AND(G209&lt;&gt;"",R209&lt;&gt;"",V209&lt;&gt;"",W209&lt;&gt;""),"COMPLETADO","OBSERVADO")</f>
        <v/>
      </c>
    </row>
    <row r="210" ht="15" customHeight="1" s="195">
      <c r="A210" s="280" t="n"/>
      <c r="B210" s="280" t="n"/>
      <c r="C210" s="280" t="n"/>
      <c r="D210" s="280" t="n"/>
      <c r="E210" s="280" t="n"/>
      <c r="F210" s="280" t="n"/>
      <c r="G210" s="280" t="n"/>
      <c r="H210" s="280" t="n"/>
      <c r="I210" s="332">
        <f>IFERROR(VLOOKUP(TEXT(H210,"0"),IPRESS!$A$3:$B$212,2,0),"")</f>
        <v/>
      </c>
      <c r="J210" s="280" t="n"/>
      <c r="K210" s="332">
        <f>IFERROR(VLOOKUP(TEXT(O210,"0"),CONDUCTORES!$A$3:$G$54,7,0),"")</f>
        <v/>
      </c>
      <c r="L210" s="280" t="n"/>
      <c r="M210" s="280" t="n"/>
      <c r="N210" s="333">
        <f>IFERROR(IF(L210*M210=0,"",L210*M210),"")</f>
        <v/>
      </c>
      <c r="O210" s="280" t="n"/>
      <c r="P210" s="332">
        <f>IFERROR(VLOOKUP(TEXT(O210,"0"),CONDUCTORES!$A$3:$G$54,2,0),"")</f>
        <v/>
      </c>
      <c r="Q210" s="332">
        <f>IFERROR(VLOOKUP(TEXT(O210,"0"),CONDUCTORES!$A$3:$H$54,6,0),"")</f>
        <v/>
      </c>
      <c r="R210" s="280" t="n"/>
      <c r="S210" s="280" t="n"/>
      <c r="T210" s="280" t="n"/>
      <c r="U210" s="280" t="n"/>
      <c r="V210" s="280" t="n"/>
      <c r="W210" s="280" t="n"/>
      <c r="X210" s="280" t="n"/>
      <c r="Y210" s="280" t="n"/>
      <c r="Z210" s="375">
        <f>IF(AND(G210&lt;&gt;"",R210&lt;&gt;"",V210&lt;&gt;"",W210&lt;&gt;""),"COMPLETADO","OBSERVADO")</f>
        <v/>
      </c>
    </row>
    <row r="211" ht="15" customHeight="1" s="195">
      <c r="A211" s="334" t="n"/>
      <c r="B211" s="334" t="n"/>
      <c r="C211" s="334" t="n"/>
      <c r="D211" s="334" t="n"/>
      <c r="E211" s="334" t="n"/>
      <c r="F211" s="334" t="n"/>
      <c r="G211" s="334" t="n"/>
      <c r="H211" s="334" t="n"/>
      <c r="I211" s="332">
        <f>IFERROR(VLOOKUP(TEXT(H211,"0"),IPRESS!$A$3:$B$212,2,0),"")</f>
        <v/>
      </c>
      <c r="J211" s="334" t="n"/>
      <c r="K211" s="332">
        <f>IFERROR(VLOOKUP(TEXT(O211,"0"),CONDUCTORES!$A$3:$G$54,7,0),"")</f>
        <v/>
      </c>
      <c r="L211" s="334" t="n"/>
      <c r="M211" s="334" t="n"/>
      <c r="N211" s="333">
        <f>IFERROR(IF(L211*M211=0,"",L211*M211),"")</f>
        <v/>
      </c>
      <c r="O211" s="334" t="n"/>
      <c r="P211" s="332">
        <f>IFERROR(VLOOKUP(TEXT(O211,"0"),CONDUCTORES!$A$3:$G$54,2,0),"")</f>
        <v/>
      </c>
      <c r="Q211" s="332">
        <f>IFERROR(VLOOKUP(TEXT(O211,"0"),CONDUCTORES!$A$3:$H$54,6,0),"")</f>
        <v/>
      </c>
      <c r="R211" s="334" t="n"/>
      <c r="S211" s="334" t="n"/>
      <c r="T211" s="334" t="n"/>
      <c r="U211" s="334" t="n"/>
      <c r="V211" s="334" t="n"/>
      <c r="W211" s="334" t="n"/>
      <c r="X211" s="334" t="n"/>
      <c r="Y211" s="334" t="n"/>
      <c r="Z211" s="375">
        <f>IF(AND(G211&lt;&gt;"",R211&lt;&gt;"",V211&lt;&gt;"",W211&lt;&gt;""),"COMPLETADO","OBSERVADO")</f>
        <v/>
      </c>
    </row>
    <row r="212" ht="15" customHeight="1" s="195">
      <c r="A212" s="280" t="n"/>
      <c r="B212" s="280" t="n"/>
      <c r="C212" s="280" t="n"/>
      <c r="D212" s="280" t="n"/>
      <c r="E212" s="280" t="n"/>
      <c r="F212" s="280" t="n"/>
      <c r="G212" s="280" t="n"/>
      <c r="H212" s="280" t="n"/>
      <c r="I212" s="332">
        <f>IFERROR(VLOOKUP(TEXT(H212,"0"),IPRESS!$A$3:$B$212,2,0),"")</f>
        <v/>
      </c>
      <c r="J212" s="280" t="n"/>
      <c r="K212" s="332">
        <f>IFERROR(VLOOKUP(TEXT(O212,"0"),CONDUCTORES!$A$3:$G$54,7,0),"")</f>
        <v/>
      </c>
      <c r="L212" s="280" t="n"/>
      <c r="M212" s="280" t="n"/>
      <c r="N212" s="333">
        <f>IFERROR(IF(L212*M212=0,"",L212*M212),"")</f>
        <v/>
      </c>
      <c r="O212" s="280" t="n"/>
      <c r="P212" s="332">
        <f>IFERROR(VLOOKUP(TEXT(O212,"0"),CONDUCTORES!$A$3:$G$54,2,0),"")</f>
        <v/>
      </c>
      <c r="Q212" s="332">
        <f>IFERROR(VLOOKUP(TEXT(O212,"0"),CONDUCTORES!$A$3:$H$54,6,0),"")</f>
        <v/>
      </c>
      <c r="R212" s="280" t="n"/>
      <c r="S212" s="280" t="n"/>
      <c r="T212" s="280" t="n"/>
      <c r="U212" s="280" t="n"/>
      <c r="V212" s="280" t="n"/>
      <c r="W212" s="280" t="n"/>
      <c r="X212" s="280" t="n"/>
      <c r="Y212" s="280" t="n"/>
      <c r="Z212" s="375">
        <f>IF(AND(G212&lt;&gt;"",R212&lt;&gt;"",V212&lt;&gt;"",W212&lt;&gt;""),"COMPLETADO","OBSERVADO")</f>
        <v/>
      </c>
    </row>
    <row r="213" ht="15" customHeight="1" s="195">
      <c r="A213" s="334" t="n"/>
      <c r="B213" s="334" t="n"/>
      <c r="C213" s="334" t="n"/>
      <c r="D213" s="334" t="n"/>
      <c r="E213" s="334" t="n"/>
      <c r="F213" s="334" t="n"/>
      <c r="G213" s="334" t="n"/>
      <c r="H213" s="334" t="n"/>
      <c r="I213" s="332">
        <f>IFERROR(VLOOKUP(TEXT(H213,"0"),IPRESS!$A$3:$B$212,2,0),"")</f>
        <v/>
      </c>
      <c r="J213" s="334" t="n"/>
      <c r="K213" s="332">
        <f>IFERROR(VLOOKUP(TEXT(O213,"0"),CONDUCTORES!$A$3:$G$54,7,0),"")</f>
        <v/>
      </c>
      <c r="L213" s="334" t="n"/>
      <c r="M213" s="334" t="n"/>
      <c r="N213" s="333">
        <f>IFERROR(IF(L213*M213=0,"",L213*M213),"")</f>
        <v/>
      </c>
      <c r="O213" s="334" t="n"/>
      <c r="P213" s="332">
        <f>IFERROR(VLOOKUP(TEXT(O213,"0"),CONDUCTORES!$A$3:$G$54,2,0),"")</f>
        <v/>
      </c>
      <c r="Q213" s="332">
        <f>IFERROR(VLOOKUP(TEXT(O213,"0"),CONDUCTORES!$A$3:$H$54,6,0),"")</f>
        <v/>
      </c>
      <c r="R213" s="334" t="n"/>
      <c r="S213" s="334" t="n"/>
      <c r="T213" s="334" t="n"/>
      <c r="U213" s="334" t="n"/>
      <c r="V213" s="334" t="n"/>
      <c r="W213" s="334" t="n"/>
      <c r="X213" s="334" t="n"/>
      <c r="Y213" s="334" t="n"/>
      <c r="Z213" s="375">
        <f>IF(AND(G213&lt;&gt;"",R213&lt;&gt;"",V213&lt;&gt;"",W213&lt;&gt;""),"COMPLETADO","OBSERVADO")</f>
        <v/>
      </c>
    </row>
    <row r="214" ht="15" customHeight="1" s="195">
      <c r="A214" s="280" t="n"/>
      <c r="B214" s="280" t="n"/>
      <c r="C214" s="280" t="n"/>
      <c r="D214" s="280" t="n"/>
      <c r="E214" s="280" t="n"/>
      <c r="F214" s="280" t="n"/>
      <c r="G214" s="280" t="n"/>
      <c r="H214" s="280" t="n"/>
      <c r="I214" s="332">
        <f>IFERROR(VLOOKUP(TEXT(H214,"0"),IPRESS!$A$3:$B$212,2,0),"")</f>
        <v/>
      </c>
      <c r="J214" s="280" t="n"/>
      <c r="K214" s="332">
        <f>IFERROR(VLOOKUP(TEXT(O214,"0"),CONDUCTORES!$A$3:$G$54,7,0),"")</f>
        <v/>
      </c>
      <c r="L214" s="280" t="n"/>
      <c r="M214" s="280" t="n"/>
      <c r="N214" s="333">
        <f>IFERROR(IF(L214*M214=0,"",L214*M214),"")</f>
        <v/>
      </c>
      <c r="O214" s="280" t="n"/>
      <c r="P214" s="332">
        <f>IFERROR(VLOOKUP(TEXT(O214,"0"),CONDUCTORES!$A$3:$G$54,2,0),"")</f>
        <v/>
      </c>
      <c r="Q214" s="332">
        <f>IFERROR(VLOOKUP(TEXT(O214,"0"),CONDUCTORES!$A$3:$H$54,6,0),"")</f>
        <v/>
      </c>
      <c r="R214" s="280" t="n"/>
      <c r="S214" s="280" t="n"/>
      <c r="T214" s="280" t="n"/>
      <c r="U214" s="280" t="n"/>
      <c r="V214" s="280" t="n"/>
      <c r="W214" s="280" t="n"/>
      <c r="X214" s="280" t="n"/>
      <c r="Y214" s="280" t="n"/>
      <c r="Z214" s="375">
        <f>IF(AND(G214&lt;&gt;"",R214&lt;&gt;"",V214&lt;&gt;"",W214&lt;&gt;""),"COMPLETADO","OBSERVADO")</f>
        <v/>
      </c>
    </row>
    <row r="215" ht="15" customHeight="1" s="195">
      <c r="A215" s="334" t="n"/>
      <c r="B215" s="334" t="n"/>
      <c r="C215" s="334" t="n"/>
      <c r="D215" s="334" t="n"/>
      <c r="E215" s="334" t="n"/>
      <c r="F215" s="334" t="n"/>
      <c r="G215" s="334" t="n"/>
      <c r="H215" s="334" t="n"/>
      <c r="I215" s="332">
        <f>IFERROR(VLOOKUP(TEXT(H215,"0"),IPRESS!$A$3:$B$212,2,0),"")</f>
        <v/>
      </c>
      <c r="J215" s="334" t="n"/>
      <c r="K215" s="332">
        <f>IFERROR(VLOOKUP(TEXT(O215,"0"),CONDUCTORES!$A$3:$G$54,7,0),"")</f>
        <v/>
      </c>
      <c r="L215" s="334" t="n"/>
      <c r="M215" s="334" t="n"/>
      <c r="N215" s="333">
        <f>IFERROR(IF(L215*M215=0,"",L215*M215),"")</f>
        <v/>
      </c>
      <c r="O215" s="334" t="n"/>
      <c r="P215" s="332">
        <f>IFERROR(VLOOKUP(TEXT(O215,"0"),CONDUCTORES!$A$3:$G$54,2,0),"")</f>
        <v/>
      </c>
      <c r="Q215" s="332">
        <f>IFERROR(VLOOKUP(TEXT(O215,"0"),CONDUCTORES!$A$3:$H$54,6,0),"")</f>
        <v/>
      </c>
      <c r="R215" s="334" t="n"/>
      <c r="S215" s="334" t="n"/>
      <c r="T215" s="334" t="n"/>
      <c r="U215" s="334" t="n"/>
      <c r="V215" s="334" t="n"/>
      <c r="W215" s="334" t="n"/>
      <c r="X215" s="334" t="n"/>
      <c r="Y215" s="334" t="n"/>
      <c r="Z215" s="375">
        <f>IF(AND(G215&lt;&gt;"",R215&lt;&gt;"",V215&lt;&gt;"",W215&lt;&gt;""),"COMPLETADO","OBSERVADO")</f>
        <v/>
      </c>
    </row>
    <row r="216" ht="15" customHeight="1" s="195">
      <c r="A216" s="280" t="n"/>
      <c r="B216" s="280" t="n"/>
      <c r="C216" s="280" t="n"/>
      <c r="D216" s="280" t="n"/>
      <c r="E216" s="280" t="n"/>
      <c r="F216" s="280" t="n"/>
      <c r="G216" s="280" t="n"/>
      <c r="H216" s="280" t="n"/>
      <c r="I216" s="332">
        <f>IFERROR(VLOOKUP(TEXT(H216,"0"),IPRESS!$A$3:$B$212,2,0),"")</f>
        <v/>
      </c>
      <c r="J216" s="280" t="n"/>
      <c r="K216" s="332">
        <f>IFERROR(VLOOKUP(TEXT(O216,"0"),CONDUCTORES!$A$3:$G$54,7,0),"")</f>
        <v/>
      </c>
      <c r="L216" s="280" t="n"/>
      <c r="M216" s="280" t="n"/>
      <c r="N216" s="333">
        <f>IFERROR(IF(L216*M216=0,"",L216*M216),"")</f>
        <v/>
      </c>
      <c r="O216" s="280" t="n"/>
      <c r="P216" s="332">
        <f>IFERROR(VLOOKUP(TEXT(O216,"0"),CONDUCTORES!$A$3:$G$54,2,0),"")</f>
        <v/>
      </c>
      <c r="Q216" s="332">
        <f>IFERROR(VLOOKUP(TEXT(O216,"0"),CONDUCTORES!$A$3:$H$54,6,0),"")</f>
        <v/>
      </c>
      <c r="R216" s="280" t="n"/>
      <c r="S216" s="280" t="n"/>
      <c r="T216" s="280" t="n"/>
      <c r="U216" s="280" t="n"/>
      <c r="V216" s="280" t="n"/>
      <c r="W216" s="280" t="n"/>
      <c r="X216" s="280" t="n"/>
      <c r="Y216" s="280" t="n"/>
      <c r="Z216" s="375">
        <f>IF(AND(G216&lt;&gt;"",R216&lt;&gt;"",V216&lt;&gt;"",W216&lt;&gt;""),"COMPLETADO","OBSERVADO")</f>
        <v/>
      </c>
    </row>
    <row r="217" ht="15" customHeight="1" s="195">
      <c r="A217" s="334" t="n"/>
      <c r="B217" s="334" t="n"/>
      <c r="C217" s="334" t="n"/>
      <c r="D217" s="334" t="n"/>
      <c r="E217" s="334" t="n"/>
      <c r="F217" s="334" t="n"/>
      <c r="G217" s="334" t="n"/>
      <c r="H217" s="334" t="n"/>
      <c r="I217" s="332">
        <f>IFERROR(VLOOKUP(TEXT(H217,"0"),IPRESS!$A$3:$B$212,2,0),"")</f>
        <v/>
      </c>
      <c r="J217" s="334" t="n"/>
      <c r="K217" s="332">
        <f>IFERROR(VLOOKUP(TEXT(O217,"0"),CONDUCTORES!$A$3:$G$54,7,0),"")</f>
        <v/>
      </c>
      <c r="L217" s="334" t="n"/>
      <c r="M217" s="334" t="n"/>
      <c r="N217" s="333">
        <f>IFERROR(IF(L217*M217=0,"",L217*M217),"")</f>
        <v/>
      </c>
      <c r="O217" s="334" t="n"/>
      <c r="P217" s="332">
        <f>IFERROR(VLOOKUP(TEXT(O217,"0"),CONDUCTORES!$A$3:$G$54,2,0),"")</f>
        <v/>
      </c>
      <c r="Q217" s="332">
        <f>IFERROR(VLOOKUP(TEXT(O217,"0"),CONDUCTORES!$A$3:$H$54,6,0),"")</f>
        <v/>
      </c>
      <c r="R217" s="334" t="n"/>
      <c r="S217" s="334" t="n"/>
      <c r="T217" s="334" t="n"/>
      <c r="U217" s="334" t="n"/>
      <c r="V217" s="334" t="n"/>
      <c r="W217" s="334" t="n"/>
      <c r="X217" s="334" t="n"/>
      <c r="Y217" s="334" t="n"/>
      <c r="Z217" s="375">
        <f>IF(AND(G217&lt;&gt;"",R217&lt;&gt;"",V217&lt;&gt;"",W217&lt;&gt;""),"COMPLETADO","OBSERVADO")</f>
        <v/>
      </c>
    </row>
    <row r="218" ht="15" customHeight="1" s="195">
      <c r="A218" s="280" t="n"/>
      <c r="B218" s="280" t="n"/>
      <c r="C218" s="280" t="n"/>
      <c r="D218" s="280" t="n"/>
      <c r="E218" s="280" t="n"/>
      <c r="F218" s="280" t="n"/>
      <c r="G218" s="280" t="n"/>
      <c r="H218" s="280" t="n"/>
      <c r="I218" s="332">
        <f>IFERROR(VLOOKUP(TEXT(H218,"0"),IPRESS!$A$3:$B$212,2,0),"")</f>
        <v/>
      </c>
      <c r="J218" s="280" t="n"/>
      <c r="K218" s="332">
        <f>IFERROR(VLOOKUP(TEXT(O218,"0"),CONDUCTORES!$A$3:$G$54,7,0),"")</f>
        <v/>
      </c>
      <c r="L218" s="280" t="n"/>
      <c r="M218" s="280" t="n"/>
      <c r="N218" s="333">
        <f>IFERROR(IF(L218*M218=0,"",L218*M218),"")</f>
        <v/>
      </c>
      <c r="O218" s="280" t="n"/>
      <c r="P218" s="332">
        <f>IFERROR(VLOOKUP(TEXT(O218,"0"),CONDUCTORES!$A$3:$G$54,2,0),"")</f>
        <v/>
      </c>
      <c r="Q218" s="332">
        <f>IFERROR(VLOOKUP(TEXT(O218,"0"),CONDUCTORES!$A$3:$H$54,6,0),"")</f>
        <v/>
      </c>
      <c r="R218" s="280" t="n"/>
      <c r="S218" s="280" t="n"/>
      <c r="T218" s="280" t="n"/>
      <c r="U218" s="280" t="n"/>
      <c r="V218" s="280" t="n"/>
      <c r="W218" s="280" t="n"/>
      <c r="X218" s="280" t="n"/>
      <c r="Y218" s="280" t="n"/>
      <c r="Z218" s="375">
        <f>IF(AND(G218&lt;&gt;"",R218&lt;&gt;"",V218&lt;&gt;"",W218&lt;&gt;""),"COMPLETADO","OBSERVADO")</f>
        <v/>
      </c>
    </row>
    <row r="219" ht="15" customHeight="1" s="195">
      <c r="A219" s="334" t="n"/>
      <c r="B219" s="334" t="n"/>
      <c r="C219" s="334" t="n"/>
      <c r="D219" s="334" t="n"/>
      <c r="E219" s="334" t="n"/>
      <c r="F219" s="334" t="n"/>
      <c r="G219" s="334" t="n"/>
      <c r="H219" s="334" t="n"/>
      <c r="I219" s="332">
        <f>IFERROR(VLOOKUP(TEXT(H219,"0"),IPRESS!$A$3:$B$212,2,0),"")</f>
        <v/>
      </c>
      <c r="J219" s="334" t="n"/>
      <c r="K219" s="332">
        <f>IFERROR(VLOOKUP(TEXT(O219,"0"),CONDUCTORES!$A$3:$G$54,7,0),"")</f>
        <v/>
      </c>
      <c r="L219" s="334" t="n"/>
      <c r="M219" s="334" t="n"/>
      <c r="N219" s="333">
        <f>IFERROR(IF(L219*M219=0,"",L219*M219),"")</f>
        <v/>
      </c>
      <c r="O219" s="334" t="n"/>
      <c r="P219" s="332">
        <f>IFERROR(VLOOKUP(TEXT(O219,"0"),CONDUCTORES!$A$3:$G$54,2,0),"")</f>
        <v/>
      </c>
      <c r="Q219" s="332">
        <f>IFERROR(VLOOKUP(TEXT(O219,"0"),CONDUCTORES!$A$3:$H$54,6,0),"")</f>
        <v/>
      </c>
      <c r="R219" s="334" t="n"/>
      <c r="S219" s="334" t="n"/>
      <c r="T219" s="334" t="n"/>
      <c r="U219" s="334" t="n"/>
      <c r="V219" s="334" t="n"/>
      <c r="W219" s="334" t="n"/>
      <c r="X219" s="334" t="n"/>
      <c r="Y219" s="334" t="n"/>
      <c r="Z219" s="375">
        <f>IF(AND(G219&lt;&gt;"",R219&lt;&gt;"",V219&lt;&gt;"",W219&lt;&gt;""),"COMPLETADO","OBSERVADO")</f>
        <v/>
      </c>
    </row>
    <row r="220" ht="15" customHeight="1" s="195">
      <c r="A220" s="280" t="n"/>
      <c r="B220" s="280" t="n"/>
      <c r="C220" s="280" t="n"/>
      <c r="D220" s="280" t="n"/>
      <c r="E220" s="280" t="n"/>
      <c r="F220" s="280" t="n"/>
      <c r="G220" s="280" t="n"/>
      <c r="H220" s="280" t="n"/>
      <c r="I220" s="332">
        <f>IFERROR(VLOOKUP(TEXT(H220,"0"),IPRESS!$A$3:$B$212,2,0),"")</f>
        <v/>
      </c>
      <c r="J220" s="280" t="n"/>
      <c r="K220" s="332">
        <f>IFERROR(VLOOKUP(TEXT(O220,"0"),CONDUCTORES!$A$3:$G$54,7,0),"")</f>
        <v/>
      </c>
      <c r="L220" s="280" t="n"/>
      <c r="M220" s="280" t="n"/>
      <c r="N220" s="333">
        <f>IFERROR(IF(L220*M220=0,"",L220*M220),"")</f>
        <v/>
      </c>
      <c r="O220" s="280" t="n"/>
      <c r="P220" s="332">
        <f>IFERROR(VLOOKUP(TEXT(O220,"0"),CONDUCTORES!$A$3:$G$54,2,0),"")</f>
        <v/>
      </c>
      <c r="Q220" s="332">
        <f>IFERROR(VLOOKUP(TEXT(O220,"0"),CONDUCTORES!$A$3:$H$54,6,0),"")</f>
        <v/>
      </c>
      <c r="R220" s="280" t="n"/>
      <c r="S220" s="280" t="n"/>
      <c r="T220" s="280" t="n"/>
      <c r="U220" s="280" t="n"/>
      <c r="V220" s="280" t="n"/>
      <c r="W220" s="280" t="n"/>
      <c r="X220" s="280" t="n"/>
      <c r="Y220" s="280" t="n"/>
      <c r="Z220" s="375">
        <f>IF(AND(G220&lt;&gt;"",R220&lt;&gt;"",V220&lt;&gt;"",W220&lt;&gt;""),"COMPLETADO","OBSERVADO")</f>
        <v/>
      </c>
    </row>
    <row r="221" ht="15" customHeight="1" s="195">
      <c r="A221" s="334" t="n"/>
      <c r="B221" s="334" t="n"/>
      <c r="C221" s="334" t="n"/>
      <c r="D221" s="334" t="n"/>
      <c r="E221" s="334" t="n"/>
      <c r="F221" s="334" t="n"/>
      <c r="G221" s="334" t="n"/>
      <c r="H221" s="334" t="n"/>
      <c r="I221" s="332">
        <f>IFERROR(VLOOKUP(TEXT(H221,"0"),IPRESS!$A$3:$B$212,2,0),"")</f>
        <v/>
      </c>
      <c r="J221" s="334" t="n"/>
      <c r="K221" s="332">
        <f>IFERROR(VLOOKUP(TEXT(O221,"0"),CONDUCTORES!$A$3:$G$54,7,0),"")</f>
        <v/>
      </c>
      <c r="L221" s="334" t="n"/>
      <c r="M221" s="334" t="n"/>
      <c r="N221" s="333">
        <f>IFERROR(IF(L221*M221=0,"",L221*M221),"")</f>
        <v/>
      </c>
      <c r="O221" s="334" t="n"/>
      <c r="P221" s="332">
        <f>IFERROR(VLOOKUP(TEXT(O221,"0"),CONDUCTORES!$A$3:$G$54,2,0),"")</f>
        <v/>
      </c>
      <c r="Q221" s="332">
        <f>IFERROR(VLOOKUP(TEXT(O221,"0"),CONDUCTORES!$A$3:$H$54,6,0),"")</f>
        <v/>
      </c>
      <c r="R221" s="334" t="n"/>
      <c r="S221" s="334" t="n"/>
      <c r="T221" s="334" t="n"/>
      <c r="U221" s="334" t="n"/>
      <c r="V221" s="334" t="n"/>
      <c r="W221" s="334" t="n"/>
      <c r="X221" s="334" t="n"/>
      <c r="Y221" s="334" t="n"/>
      <c r="Z221" s="375">
        <f>IF(AND(G221&lt;&gt;"",R221&lt;&gt;"",V221&lt;&gt;"",W221&lt;&gt;""),"COMPLETADO","OBSERVADO")</f>
        <v/>
      </c>
    </row>
    <row r="222" ht="15" customHeight="1" s="195">
      <c r="A222" s="280" t="n"/>
      <c r="B222" s="280" t="n"/>
      <c r="C222" s="280" t="n"/>
      <c r="D222" s="280" t="n"/>
      <c r="E222" s="280" t="n"/>
      <c r="F222" s="280" t="n"/>
      <c r="G222" s="280" t="n"/>
      <c r="H222" s="280" t="n"/>
      <c r="I222" s="332">
        <f>IFERROR(VLOOKUP(TEXT(H222,"0"),IPRESS!$A$3:$B$212,2,0),"")</f>
        <v/>
      </c>
      <c r="J222" s="280" t="n"/>
      <c r="K222" s="332">
        <f>IFERROR(VLOOKUP(TEXT(O222,"0"),CONDUCTORES!$A$3:$G$54,7,0),"")</f>
        <v/>
      </c>
      <c r="L222" s="280" t="n"/>
      <c r="M222" s="280" t="n"/>
      <c r="N222" s="333">
        <f>IFERROR(IF(L222*M222=0,"",L222*M222),"")</f>
        <v/>
      </c>
      <c r="O222" s="280" t="n"/>
      <c r="P222" s="332">
        <f>IFERROR(VLOOKUP(TEXT(O222,"0"),CONDUCTORES!$A$3:$G$54,2,0),"")</f>
        <v/>
      </c>
      <c r="Q222" s="332">
        <f>IFERROR(VLOOKUP(TEXT(O222,"0"),CONDUCTORES!$A$3:$H$54,6,0),"")</f>
        <v/>
      </c>
      <c r="R222" s="280" t="n"/>
      <c r="S222" s="280" t="n"/>
      <c r="T222" s="280" t="n"/>
      <c r="U222" s="280" t="n"/>
      <c r="V222" s="280" t="n"/>
      <c r="W222" s="280" t="n"/>
      <c r="X222" s="280" t="n"/>
      <c r="Y222" s="280" t="n"/>
      <c r="Z222" s="375">
        <f>IF(AND(G222&lt;&gt;"",R222&lt;&gt;"",V222&lt;&gt;"",W222&lt;&gt;""),"COMPLETADO","OBSERVADO")</f>
        <v/>
      </c>
    </row>
    <row r="223" ht="15" customHeight="1" s="195">
      <c r="A223" s="334" t="n"/>
      <c r="B223" s="334" t="n"/>
      <c r="C223" s="334" t="n"/>
      <c r="D223" s="334" t="n"/>
      <c r="E223" s="334" t="n"/>
      <c r="F223" s="334" t="n"/>
      <c r="G223" s="334" t="n"/>
      <c r="H223" s="334" t="n"/>
      <c r="I223" s="332">
        <f>IFERROR(VLOOKUP(TEXT(H223,"0"),IPRESS!$A$3:$B$212,2,0),"")</f>
        <v/>
      </c>
      <c r="J223" s="334" t="n"/>
      <c r="K223" s="332">
        <f>IFERROR(VLOOKUP(TEXT(O223,"0"),CONDUCTORES!$A$3:$G$54,7,0),"")</f>
        <v/>
      </c>
      <c r="L223" s="334" t="n"/>
      <c r="M223" s="334" t="n"/>
      <c r="N223" s="333">
        <f>IFERROR(IF(L223*M223=0,"",L223*M223),"")</f>
        <v/>
      </c>
      <c r="O223" s="334" t="n"/>
      <c r="P223" s="332">
        <f>IFERROR(VLOOKUP(TEXT(O223,"0"),CONDUCTORES!$A$3:$G$54,2,0),"")</f>
        <v/>
      </c>
      <c r="Q223" s="332">
        <f>IFERROR(VLOOKUP(TEXT(O223,"0"),CONDUCTORES!$A$3:$H$54,6,0),"")</f>
        <v/>
      </c>
      <c r="R223" s="334" t="n"/>
      <c r="S223" s="334" t="n"/>
      <c r="T223" s="334" t="n"/>
      <c r="U223" s="334" t="n"/>
      <c r="V223" s="334" t="n"/>
      <c r="W223" s="334" t="n"/>
      <c r="X223" s="334" t="n"/>
      <c r="Y223" s="334" t="n"/>
      <c r="Z223" s="375">
        <f>IF(AND(G223&lt;&gt;"",R223&lt;&gt;"",V223&lt;&gt;"",W223&lt;&gt;""),"COMPLETADO","OBSERVADO")</f>
        <v/>
      </c>
    </row>
    <row r="224" ht="15" customHeight="1" s="195">
      <c r="A224" s="280" t="n"/>
      <c r="B224" s="280" t="n"/>
      <c r="C224" s="280" t="n"/>
      <c r="D224" s="280" t="n"/>
      <c r="E224" s="280" t="n"/>
      <c r="F224" s="280" t="n"/>
      <c r="G224" s="280" t="n"/>
      <c r="H224" s="280" t="n"/>
      <c r="I224" s="332">
        <f>IFERROR(VLOOKUP(TEXT(H224,"0"),IPRESS!$A$3:$B$212,2,0),"")</f>
        <v/>
      </c>
      <c r="J224" s="280" t="n"/>
      <c r="K224" s="332">
        <f>IFERROR(VLOOKUP(TEXT(O224,"0"),CONDUCTORES!$A$3:$G$54,7,0),"")</f>
        <v/>
      </c>
      <c r="L224" s="280" t="n"/>
      <c r="M224" s="280" t="n"/>
      <c r="N224" s="333">
        <f>IFERROR(IF(L224*M224=0,"",L224*M224),"")</f>
        <v/>
      </c>
      <c r="O224" s="280" t="n"/>
      <c r="P224" s="332">
        <f>IFERROR(VLOOKUP(TEXT(O224,"0"),CONDUCTORES!$A$3:$G$54,2,0),"")</f>
        <v/>
      </c>
      <c r="Q224" s="332">
        <f>IFERROR(VLOOKUP(TEXT(O224,"0"),CONDUCTORES!$A$3:$H$54,6,0),"")</f>
        <v/>
      </c>
      <c r="R224" s="280" t="n"/>
      <c r="S224" s="280" t="n"/>
      <c r="T224" s="280" t="n"/>
      <c r="U224" s="280" t="n"/>
      <c r="V224" s="280" t="n"/>
      <c r="W224" s="280" t="n"/>
      <c r="X224" s="280" t="n"/>
      <c r="Y224" s="280" t="n"/>
      <c r="Z224" s="375">
        <f>IF(AND(G224&lt;&gt;"",R224&lt;&gt;"",V224&lt;&gt;"",W224&lt;&gt;""),"COMPLETADO","OBSERVADO")</f>
        <v/>
      </c>
    </row>
    <row r="225" ht="15" customHeight="1" s="195">
      <c r="A225" s="334" t="n"/>
      <c r="B225" s="334" t="n"/>
      <c r="C225" s="334" t="n"/>
      <c r="D225" s="334" t="n"/>
      <c r="E225" s="334" t="n"/>
      <c r="F225" s="334" t="n"/>
      <c r="G225" s="334" t="n"/>
      <c r="H225" s="334" t="n"/>
      <c r="I225" s="332">
        <f>IFERROR(VLOOKUP(TEXT(H225,"0"),IPRESS!$A$3:$B$212,2,0),"")</f>
        <v/>
      </c>
      <c r="J225" s="334" t="n"/>
      <c r="K225" s="332">
        <f>IFERROR(VLOOKUP(TEXT(O225,"0"),CONDUCTORES!$A$3:$G$54,7,0),"")</f>
        <v/>
      </c>
      <c r="L225" s="334" t="n"/>
      <c r="M225" s="334" t="n"/>
      <c r="N225" s="333">
        <f>IFERROR(IF(L225*M225=0,"",L225*M225),"")</f>
        <v/>
      </c>
      <c r="O225" s="334" t="n"/>
      <c r="P225" s="332">
        <f>IFERROR(VLOOKUP(TEXT(O225,"0"),CONDUCTORES!$A$3:$G$54,2,0),"")</f>
        <v/>
      </c>
      <c r="Q225" s="332">
        <f>IFERROR(VLOOKUP(TEXT(O225,"0"),CONDUCTORES!$A$3:$H$54,6,0),"")</f>
        <v/>
      </c>
      <c r="R225" s="334" t="n"/>
      <c r="S225" s="334" t="n"/>
      <c r="T225" s="334" t="n"/>
      <c r="U225" s="334" t="n"/>
      <c r="V225" s="334" t="n"/>
      <c r="W225" s="334" t="n"/>
      <c r="X225" s="334" t="n"/>
      <c r="Y225" s="334" t="n"/>
      <c r="Z225" s="375">
        <f>IF(AND(G225&lt;&gt;"",R225&lt;&gt;"",V225&lt;&gt;"",W225&lt;&gt;""),"COMPLETADO","OBSERVADO")</f>
        <v/>
      </c>
    </row>
    <row r="226" ht="15" customHeight="1" s="195">
      <c r="A226" s="280" t="n"/>
      <c r="B226" s="280" t="n"/>
      <c r="C226" s="280" t="n"/>
      <c r="D226" s="280" t="n"/>
      <c r="E226" s="280" t="n"/>
      <c r="F226" s="280" t="n"/>
      <c r="G226" s="280" t="n"/>
      <c r="H226" s="280" t="n"/>
      <c r="I226" s="332">
        <f>IFERROR(VLOOKUP(TEXT(H226,"0"),IPRESS!$A$3:$B$212,2,0),"")</f>
        <v/>
      </c>
      <c r="J226" s="280" t="n"/>
      <c r="K226" s="332">
        <f>IFERROR(VLOOKUP(TEXT(O226,"0"),CONDUCTORES!$A$3:$G$54,7,0),"")</f>
        <v/>
      </c>
      <c r="L226" s="280" t="n"/>
      <c r="M226" s="280" t="n"/>
      <c r="N226" s="333">
        <f>IFERROR(IF(L226*M226=0,"",L226*M226),"")</f>
        <v/>
      </c>
      <c r="O226" s="280" t="n"/>
      <c r="P226" s="332">
        <f>IFERROR(VLOOKUP(TEXT(O226,"0"),CONDUCTORES!$A$3:$G$54,2,0),"")</f>
        <v/>
      </c>
      <c r="Q226" s="332">
        <f>IFERROR(VLOOKUP(TEXT(O226,"0"),CONDUCTORES!$A$3:$H$54,6,0),"")</f>
        <v/>
      </c>
      <c r="R226" s="280" t="n"/>
      <c r="S226" s="280" t="n"/>
      <c r="T226" s="280" t="n"/>
      <c r="U226" s="280" t="n"/>
      <c r="V226" s="280" t="n"/>
      <c r="W226" s="280" t="n"/>
      <c r="X226" s="280" t="n"/>
      <c r="Y226" s="280" t="n"/>
      <c r="Z226" s="375">
        <f>IF(AND(G226&lt;&gt;"",R226&lt;&gt;"",V226&lt;&gt;"",W226&lt;&gt;""),"COMPLETADO","OBSERVADO")</f>
        <v/>
      </c>
    </row>
    <row r="227" ht="15" customHeight="1" s="195">
      <c r="A227" s="334" t="n"/>
      <c r="B227" s="334" t="n"/>
      <c r="C227" s="334" t="n"/>
      <c r="D227" s="334" t="n"/>
      <c r="E227" s="334" t="n"/>
      <c r="F227" s="334" t="n"/>
      <c r="G227" s="334" t="n"/>
      <c r="H227" s="334" t="n"/>
      <c r="I227" s="332">
        <f>IFERROR(VLOOKUP(TEXT(H227,"0"),IPRESS!$A$3:$B$212,2,0),"")</f>
        <v/>
      </c>
      <c r="J227" s="334" t="n"/>
      <c r="K227" s="332">
        <f>IFERROR(VLOOKUP(TEXT(O227,"0"),CONDUCTORES!$A$3:$G$54,7,0),"")</f>
        <v/>
      </c>
      <c r="L227" s="334" t="n"/>
      <c r="M227" s="334" t="n"/>
      <c r="N227" s="333">
        <f>IFERROR(IF(L227*M227=0,"",L227*M227),"")</f>
        <v/>
      </c>
      <c r="O227" s="334" t="n"/>
      <c r="P227" s="332">
        <f>IFERROR(VLOOKUP(TEXT(O227,"0"),CONDUCTORES!$A$3:$G$54,2,0),"")</f>
        <v/>
      </c>
      <c r="Q227" s="332">
        <f>IFERROR(VLOOKUP(TEXT(O227,"0"),CONDUCTORES!$A$3:$H$54,6,0),"")</f>
        <v/>
      </c>
      <c r="R227" s="334" t="n"/>
      <c r="S227" s="334" t="n"/>
      <c r="T227" s="334" t="n"/>
      <c r="U227" s="334" t="n"/>
      <c r="V227" s="334" t="n"/>
      <c r="W227" s="334" t="n"/>
      <c r="X227" s="334" t="n"/>
      <c r="Y227" s="334" t="n"/>
      <c r="Z227" s="375">
        <f>IF(AND(G227&lt;&gt;"",R227&lt;&gt;"",V227&lt;&gt;"",W227&lt;&gt;""),"COMPLETADO","OBSERVADO")</f>
        <v/>
      </c>
    </row>
    <row r="228" ht="15" customHeight="1" s="195">
      <c r="A228" s="280" t="n"/>
      <c r="B228" s="280" t="n"/>
      <c r="C228" s="280" t="n"/>
      <c r="D228" s="280" t="n"/>
      <c r="E228" s="280" t="n"/>
      <c r="F228" s="280" t="n"/>
      <c r="G228" s="280" t="n"/>
      <c r="H228" s="280" t="n"/>
      <c r="I228" s="332">
        <f>IFERROR(VLOOKUP(TEXT(H228,"0"),IPRESS!$A$3:$B$212,2,0),"")</f>
        <v/>
      </c>
      <c r="J228" s="280" t="n"/>
      <c r="K228" s="332">
        <f>IFERROR(VLOOKUP(TEXT(O228,"0"),CONDUCTORES!$A$3:$G$54,7,0),"")</f>
        <v/>
      </c>
      <c r="L228" s="280" t="n"/>
      <c r="M228" s="280" t="n"/>
      <c r="N228" s="333">
        <f>IFERROR(IF(L228*M228=0,"",L228*M228),"")</f>
        <v/>
      </c>
      <c r="O228" s="280" t="n"/>
      <c r="P228" s="332">
        <f>IFERROR(VLOOKUP(TEXT(O228,"0"),CONDUCTORES!$A$3:$G$54,2,0),"")</f>
        <v/>
      </c>
      <c r="Q228" s="332">
        <f>IFERROR(VLOOKUP(TEXT(O228,"0"),CONDUCTORES!$A$3:$H$54,6,0),"")</f>
        <v/>
      </c>
      <c r="R228" s="280" t="n"/>
      <c r="S228" s="280" t="n"/>
      <c r="T228" s="280" t="n"/>
      <c r="U228" s="280" t="n"/>
      <c r="V228" s="280" t="n"/>
      <c r="W228" s="280" t="n"/>
      <c r="X228" s="280" t="n"/>
      <c r="Y228" s="280" t="n"/>
      <c r="Z228" s="375">
        <f>IF(AND(G228&lt;&gt;"",R228&lt;&gt;"",V228&lt;&gt;"",W228&lt;&gt;""),"COMPLETADO","OBSERVADO")</f>
        <v/>
      </c>
    </row>
    <row r="229" ht="15" customHeight="1" s="195">
      <c r="A229" s="334" t="n"/>
      <c r="B229" s="334" t="n"/>
      <c r="C229" s="334" t="n"/>
      <c r="D229" s="334" t="n"/>
      <c r="E229" s="334" t="n"/>
      <c r="F229" s="334" t="n"/>
      <c r="G229" s="334" t="n"/>
      <c r="H229" s="334" t="n"/>
      <c r="I229" s="332">
        <f>IFERROR(VLOOKUP(TEXT(H229,"0"),IPRESS!$A$3:$B$212,2,0),"")</f>
        <v/>
      </c>
      <c r="J229" s="334" t="n"/>
      <c r="K229" s="332">
        <f>IFERROR(VLOOKUP(TEXT(O229,"0"),CONDUCTORES!$A$3:$G$54,7,0),"")</f>
        <v/>
      </c>
      <c r="L229" s="334" t="n"/>
      <c r="M229" s="334" t="n"/>
      <c r="N229" s="333">
        <f>IFERROR(IF(L229*M229=0,"",L229*M229),"")</f>
        <v/>
      </c>
      <c r="O229" s="334" t="n"/>
      <c r="P229" s="332">
        <f>IFERROR(VLOOKUP(TEXT(O229,"0"),CONDUCTORES!$A$3:$G$54,2,0),"")</f>
        <v/>
      </c>
      <c r="Q229" s="332">
        <f>IFERROR(VLOOKUP(TEXT(O229,"0"),CONDUCTORES!$A$3:$H$54,6,0),"")</f>
        <v/>
      </c>
      <c r="R229" s="334" t="n"/>
      <c r="S229" s="334" t="n"/>
      <c r="T229" s="334" t="n"/>
      <c r="U229" s="334" t="n"/>
      <c r="V229" s="334" t="n"/>
      <c r="W229" s="334" t="n"/>
      <c r="X229" s="334" t="n"/>
      <c r="Y229" s="334" t="n"/>
      <c r="Z229" s="375">
        <f>IF(AND(G229&lt;&gt;"",R229&lt;&gt;"",V229&lt;&gt;"",W229&lt;&gt;""),"COMPLETADO","OBSERVADO")</f>
        <v/>
      </c>
    </row>
    <row r="230" ht="15" customHeight="1" s="195">
      <c r="A230" s="280" t="n"/>
      <c r="B230" s="280" t="n"/>
      <c r="C230" s="280" t="n"/>
      <c r="D230" s="280" t="n"/>
      <c r="E230" s="280" t="n"/>
      <c r="F230" s="280" t="n"/>
      <c r="G230" s="280" t="n"/>
      <c r="H230" s="280" t="n"/>
      <c r="I230" s="332">
        <f>IFERROR(VLOOKUP(TEXT(H230,"0"),IPRESS!$A$3:$B$212,2,0),"")</f>
        <v/>
      </c>
      <c r="J230" s="280" t="n"/>
      <c r="K230" s="332">
        <f>IFERROR(VLOOKUP(TEXT(O230,"0"),CONDUCTORES!$A$3:$G$54,7,0),"")</f>
        <v/>
      </c>
      <c r="L230" s="280" t="n"/>
      <c r="M230" s="280" t="n"/>
      <c r="N230" s="333">
        <f>IFERROR(IF(L230*M230=0,"",L230*M230),"")</f>
        <v/>
      </c>
      <c r="O230" s="280" t="n"/>
      <c r="P230" s="332">
        <f>IFERROR(VLOOKUP(TEXT(O230,"0"),CONDUCTORES!$A$3:$G$54,2,0),"")</f>
        <v/>
      </c>
      <c r="Q230" s="332">
        <f>IFERROR(VLOOKUP(TEXT(O230,"0"),CONDUCTORES!$A$3:$H$54,6,0),"")</f>
        <v/>
      </c>
      <c r="R230" s="280" t="n"/>
      <c r="S230" s="280" t="n"/>
      <c r="T230" s="280" t="n"/>
      <c r="U230" s="280" t="n"/>
      <c r="V230" s="280" t="n"/>
      <c r="W230" s="280" t="n"/>
      <c r="X230" s="280" t="n"/>
      <c r="Y230" s="280" t="n"/>
      <c r="Z230" s="375">
        <f>IF(AND(G230&lt;&gt;"",R230&lt;&gt;"",V230&lt;&gt;"",W230&lt;&gt;""),"COMPLETADO","OBSERVADO")</f>
        <v/>
      </c>
    </row>
    <row r="231" ht="15" customHeight="1" s="195">
      <c r="A231" s="334" t="n"/>
      <c r="B231" s="334" t="n"/>
      <c r="C231" s="334" t="n"/>
      <c r="D231" s="334" t="n"/>
      <c r="E231" s="334" t="n"/>
      <c r="F231" s="334" t="n"/>
      <c r="G231" s="334" t="n"/>
      <c r="H231" s="334" t="n"/>
      <c r="I231" s="332">
        <f>IFERROR(VLOOKUP(TEXT(H231,"0"),IPRESS!$A$3:$B$212,2,0),"")</f>
        <v/>
      </c>
      <c r="J231" s="334" t="n"/>
      <c r="K231" s="332">
        <f>IFERROR(VLOOKUP(TEXT(O231,"0"),CONDUCTORES!$A$3:$G$54,7,0),"")</f>
        <v/>
      </c>
      <c r="L231" s="334" t="n"/>
      <c r="M231" s="334" t="n"/>
      <c r="N231" s="333">
        <f>IFERROR(IF(L231*M231=0,"",L231*M231),"")</f>
        <v/>
      </c>
      <c r="O231" s="334" t="n"/>
      <c r="P231" s="332">
        <f>IFERROR(VLOOKUP(TEXT(O231,"0"),CONDUCTORES!$A$3:$G$54,2,0),"")</f>
        <v/>
      </c>
      <c r="Q231" s="332">
        <f>IFERROR(VLOOKUP(TEXT(O231,"0"),CONDUCTORES!$A$3:$H$54,6,0),"")</f>
        <v/>
      </c>
      <c r="R231" s="334" t="n"/>
      <c r="S231" s="334" t="n"/>
      <c r="T231" s="334" t="n"/>
      <c r="U231" s="334" t="n"/>
      <c r="V231" s="334" t="n"/>
      <c r="W231" s="334" t="n"/>
      <c r="X231" s="334" t="n"/>
      <c r="Y231" s="334" t="n"/>
      <c r="Z231" s="375">
        <f>IF(AND(G231&lt;&gt;"",R231&lt;&gt;"",V231&lt;&gt;"",W231&lt;&gt;""),"COMPLETADO","OBSERVADO")</f>
        <v/>
      </c>
    </row>
    <row r="232" ht="15" customHeight="1" s="195">
      <c r="A232" s="280" t="n"/>
      <c r="B232" s="280" t="n"/>
      <c r="C232" s="280" t="n"/>
      <c r="D232" s="280" t="n"/>
      <c r="E232" s="280" t="n"/>
      <c r="F232" s="280" t="n"/>
      <c r="G232" s="280" t="n"/>
      <c r="H232" s="280" t="n"/>
      <c r="I232" s="332">
        <f>IFERROR(VLOOKUP(TEXT(H232,"0"),IPRESS!$A$3:$B$212,2,0),"")</f>
        <v/>
      </c>
      <c r="J232" s="280" t="n"/>
      <c r="K232" s="332">
        <f>IFERROR(VLOOKUP(TEXT(O232,"0"),CONDUCTORES!$A$3:$G$54,7,0),"")</f>
        <v/>
      </c>
      <c r="L232" s="280" t="n"/>
      <c r="M232" s="280" t="n"/>
      <c r="N232" s="333">
        <f>IFERROR(IF(L232*M232=0,"",L232*M232),"")</f>
        <v/>
      </c>
      <c r="O232" s="280" t="n"/>
      <c r="P232" s="332">
        <f>IFERROR(VLOOKUP(TEXT(O232,"0"),CONDUCTORES!$A$3:$G$54,2,0),"")</f>
        <v/>
      </c>
      <c r="Q232" s="332">
        <f>IFERROR(VLOOKUP(TEXT(O232,"0"),CONDUCTORES!$A$3:$H$54,6,0),"")</f>
        <v/>
      </c>
      <c r="R232" s="280" t="n"/>
      <c r="S232" s="280" t="n"/>
      <c r="T232" s="280" t="n"/>
      <c r="U232" s="280" t="n"/>
      <c r="V232" s="280" t="n"/>
      <c r="W232" s="280" t="n"/>
      <c r="X232" s="280" t="n"/>
      <c r="Y232" s="280" t="n"/>
      <c r="Z232" s="375">
        <f>IF(AND(G232&lt;&gt;"",R232&lt;&gt;"",V232&lt;&gt;"",W232&lt;&gt;""),"COMPLETADO","OBSERVADO")</f>
        <v/>
      </c>
    </row>
    <row r="233" ht="15" customHeight="1" s="195">
      <c r="A233" s="334" t="n"/>
      <c r="B233" s="334" t="n"/>
      <c r="C233" s="334" t="n"/>
      <c r="D233" s="334" t="n"/>
      <c r="E233" s="334" t="n"/>
      <c r="F233" s="334" t="n"/>
      <c r="G233" s="334" t="n"/>
      <c r="H233" s="334" t="n"/>
      <c r="I233" s="332">
        <f>IFERROR(VLOOKUP(TEXT(H233,"0"),IPRESS!$A$3:$B$212,2,0),"")</f>
        <v/>
      </c>
      <c r="J233" s="334" t="n"/>
      <c r="K233" s="332">
        <f>IFERROR(VLOOKUP(TEXT(O233,"0"),CONDUCTORES!$A$3:$G$54,7,0),"")</f>
        <v/>
      </c>
      <c r="L233" s="334" t="n"/>
      <c r="M233" s="334" t="n"/>
      <c r="N233" s="333">
        <f>IFERROR(IF(L233*M233=0,"",L233*M233),"")</f>
        <v/>
      </c>
      <c r="O233" s="334" t="n"/>
      <c r="P233" s="332">
        <f>IFERROR(VLOOKUP(TEXT(O233,"0"),CONDUCTORES!$A$3:$G$54,2,0),"")</f>
        <v/>
      </c>
      <c r="Q233" s="332">
        <f>IFERROR(VLOOKUP(TEXT(O233,"0"),CONDUCTORES!$A$3:$H$54,6,0),"")</f>
        <v/>
      </c>
      <c r="R233" s="334" t="n"/>
      <c r="S233" s="334" t="n"/>
      <c r="T233" s="334" t="n"/>
      <c r="U233" s="334" t="n"/>
      <c r="V233" s="334" t="n"/>
      <c r="W233" s="334" t="n"/>
      <c r="X233" s="334" t="n"/>
      <c r="Y233" s="334" t="n"/>
      <c r="Z233" s="375">
        <f>IF(AND(G233&lt;&gt;"",R233&lt;&gt;"",V233&lt;&gt;"",W233&lt;&gt;""),"COMPLETADO","OBSERVADO")</f>
        <v/>
      </c>
    </row>
    <row r="234" ht="15" customHeight="1" s="195">
      <c r="A234" s="280" t="n"/>
      <c r="B234" s="280" t="n"/>
      <c r="C234" s="280" t="n"/>
      <c r="D234" s="280" t="n"/>
      <c r="E234" s="280" t="n"/>
      <c r="F234" s="280" t="n"/>
      <c r="G234" s="280" t="n"/>
      <c r="H234" s="280" t="n"/>
      <c r="I234" s="332">
        <f>IFERROR(VLOOKUP(TEXT(H234,"0"),IPRESS!$A$3:$B$212,2,0),"")</f>
        <v/>
      </c>
      <c r="J234" s="280" t="n"/>
      <c r="K234" s="332">
        <f>IFERROR(VLOOKUP(TEXT(O234,"0"),CONDUCTORES!$A$3:$G$54,7,0),"")</f>
        <v/>
      </c>
      <c r="L234" s="280" t="n"/>
      <c r="M234" s="280" t="n"/>
      <c r="N234" s="333">
        <f>IFERROR(IF(L234*M234=0,"",L234*M234),"")</f>
        <v/>
      </c>
      <c r="O234" s="280" t="n"/>
      <c r="P234" s="332">
        <f>IFERROR(VLOOKUP(TEXT(O234,"0"),CONDUCTORES!$A$3:$G$54,2,0),"")</f>
        <v/>
      </c>
      <c r="Q234" s="332">
        <f>IFERROR(VLOOKUP(TEXT(O234,"0"),CONDUCTORES!$A$3:$H$54,6,0),"")</f>
        <v/>
      </c>
      <c r="R234" s="280" t="n"/>
      <c r="S234" s="280" t="n"/>
      <c r="T234" s="280" t="n"/>
      <c r="U234" s="280" t="n"/>
      <c r="V234" s="280" t="n"/>
      <c r="W234" s="280" t="n"/>
      <c r="X234" s="280" t="n"/>
      <c r="Y234" s="280" t="n"/>
      <c r="Z234" s="375">
        <f>IF(AND(G234&lt;&gt;"",R234&lt;&gt;"",V234&lt;&gt;"",W234&lt;&gt;""),"COMPLETADO","OBSERVADO")</f>
        <v/>
      </c>
    </row>
    <row r="235" ht="15" customHeight="1" s="195">
      <c r="A235" s="334" t="n"/>
      <c r="B235" s="334" t="n"/>
      <c r="C235" s="334" t="n"/>
      <c r="D235" s="334" t="n"/>
      <c r="E235" s="334" t="n"/>
      <c r="F235" s="334" t="n"/>
      <c r="G235" s="334" t="n"/>
      <c r="H235" s="334" t="n"/>
      <c r="I235" s="332">
        <f>IFERROR(VLOOKUP(TEXT(H235,"0"),IPRESS!$A$3:$B$212,2,0),"")</f>
        <v/>
      </c>
      <c r="J235" s="334" t="n"/>
      <c r="K235" s="332">
        <f>IFERROR(VLOOKUP(TEXT(O235,"0"),CONDUCTORES!$A$3:$G$54,7,0),"")</f>
        <v/>
      </c>
      <c r="L235" s="334" t="n"/>
      <c r="M235" s="334" t="n"/>
      <c r="N235" s="333">
        <f>IFERROR(IF(L235*M235=0,"",L235*M235),"")</f>
        <v/>
      </c>
      <c r="O235" s="334" t="n"/>
      <c r="P235" s="332">
        <f>IFERROR(VLOOKUP(TEXT(O235,"0"),CONDUCTORES!$A$3:$G$54,2,0),"")</f>
        <v/>
      </c>
      <c r="Q235" s="332">
        <f>IFERROR(VLOOKUP(TEXT(O235,"0"),CONDUCTORES!$A$3:$H$54,6,0),"")</f>
        <v/>
      </c>
      <c r="R235" s="334" t="n"/>
      <c r="S235" s="334" t="n"/>
      <c r="T235" s="334" t="n"/>
      <c r="U235" s="334" t="n"/>
      <c r="V235" s="334" t="n"/>
      <c r="W235" s="334" t="n"/>
      <c r="X235" s="334" t="n"/>
      <c r="Y235" s="334" t="n"/>
      <c r="Z235" s="375">
        <f>IF(AND(G235&lt;&gt;"",R235&lt;&gt;"",V235&lt;&gt;"",W235&lt;&gt;""),"COMPLETADO","OBSERVADO")</f>
        <v/>
      </c>
    </row>
    <row r="236" ht="15" customHeight="1" s="195">
      <c r="A236" s="280" t="n"/>
      <c r="B236" s="280" t="n"/>
      <c r="C236" s="280" t="n"/>
      <c r="D236" s="280" t="n"/>
      <c r="E236" s="280" t="n"/>
      <c r="F236" s="280" t="n"/>
      <c r="G236" s="280" t="n"/>
      <c r="H236" s="280" t="n"/>
      <c r="I236" s="332">
        <f>IFERROR(VLOOKUP(TEXT(H236,"0"),IPRESS!$A$3:$B$212,2,0),"")</f>
        <v/>
      </c>
      <c r="J236" s="280" t="n"/>
      <c r="K236" s="332">
        <f>IFERROR(VLOOKUP(TEXT(O236,"0"),CONDUCTORES!$A$3:$G$54,7,0),"")</f>
        <v/>
      </c>
      <c r="L236" s="280" t="n"/>
      <c r="M236" s="280" t="n"/>
      <c r="N236" s="333">
        <f>IFERROR(IF(L236*M236=0,"",L236*M236),"")</f>
        <v/>
      </c>
      <c r="O236" s="280" t="n"/>
      <c r="P236" s="332">
        <f>IFERROR(VLOOKUP(TEXT(O236,"0"),CONDUCTORES!$A$3:$G$54,2,0),"")</f>
        <v/>
      </c>
      <c r="Q236" s="332">
        <f>IFERROR(VLOOKUP(TEXT(O236,"0"),CONDUCTORES!$A$3:$H$54,6,0),"")</f>
        <v/>
      </c>
      <c r="R236" s="280" t="n"/>
      <c r="S236" s="280" t="n"/>
      <c r="T236" s="280" t="n"/>
      <c r="U236" s="280" t="n"/>
      <c r="V236" s="280" t="n"/>
      <c r="W236" s="280" t="n"/>
      <c r="X236" s="280" t="n"/>
      <c r="Y236" s="280" t="n"/>
      <c r="Z236" s="375">
        <f>IF(AND(G236&lt;&gt;"",R236&lt;&gt;"",V236&lt;&gt;"",W236&lt;&gt;""),"COMPLETADO","OBSERVADO")</f>
        <v/>
      </c>
    </row>
    <row r="237" ht="15" customHeight="1" s="195">
      <c r="A237" s="334" t="n"/>
      <c r="B237" s="334" t="n"/>
      <c r="C237" s="334" t="n"/>
      <c r="D237" s="334" t="n"/>
      <c r="E237" s="334" t="n"/>
      <c r="F237" s="334" t="n"/>
      <c r="G237" s="334" t="n"/>
      <c r="H237" s="334" t="n"/>
      <c r="I237" s="332">
        <f>IFERROR(VLOOKUP(TEXT(H237,"0"),IPRESS!$A$3:$B$212,2,0),"")</f>
        <v/>
      </c>
      <c r="J237" s="334" t="n"/>
      <c r="K237" s="332">
        <f>IFERROR(VLOOKUP(TEXT(O237,"0"),CONDUCTORES!$A$3:$G$54,7,0),"")</f>
        <v/>
      </c>
      <c r="L237" s="334" t="n"/>
      <c r="M237" s="334" t="n"/>
      <c r="N237" s="333">
        <f>IFERROR(IF(L237*M237=0,"",L237*M237),"")</f>
        <v/>
      </c>
      <c r="O237" s="334" t="n"/>
      <c r="P237" s="332">
        <f>IFERROR(VLOOKUP(TEXT(O237,"0"),CONDUCTORES!$A$3:$G$54,2,0),"")</f>
        <v/>
      </c>
      <c r="Q237" s="332">
        <f>IFERROR(VLOOKUP(TEXT(O237,"0"),CONDUCTORES!$A$3:$H$54,6,0),"")</f>
        <v/>
      </c>
      <c r="R237" s="334" t="n"/>
      <c r="S237" s="334" t="n"/>
      <c r="T237" s="334" t="n"/>
      <c r="U237" s="334" t="n"/>
      <c r="V237" s="334" t="n"/>
      <c r="W237" s="334" t="n"/>
      <c r="X237" s="334" t="n"/>
      <c r="Y237" s="334" t="n"/>
      <c r="Z237" s="375">
        <f>IF(AND(G237&lt;&gt;"",R237&lt;&gt;"",V237&lt;&gt;"",W237&lt;&gt;""),"COMPLETADO","OBSERVADO")</f>
        <v/>
      </c>
    </row>
    <row r="238" ht="15" customHeight="1" s="195">
      <c r="A238" s="280" t="n"/>
      <c r="B238" s="280" t="n"/>
      <c r="C238" s="280" t="n"/>
      <c r="D238" s="280" t="n"/>
      <c r="E238" s="280" t="n"/>
      <c r="F238" s="280" t="n"/>
      <c r="G238" s="280" t="n"/>
      <c r="H238" s="280" t="n"/>
      <c r="I238" s="332">
        <f>IFERROR(VLOOKUP(TEXT(H238,"0"),IPRESS!$A$3:$B$212,2,0),"")</f>
        <v/>
      </c>
      <c r="J238" s="280" t="n"/>
      <c r="K238" s="332">
        <f>IFERROR(VLOOKUP(TEXT(O238,"0"),CONDUCTORES!$A$3:$G$54,7,0),"")</f>
        <v/>
      </c>
      <c r="L238" s="280" t="n"/>
      <c r="M238" s="280" t="n"/>
      <c r="N238" s="333">
        <f>IFERROR(IF(L238*M238=0,"",L238*M238),"")</f>
        <v/>
      </c>
      <c r="O238" s="280" t="n"/>
      <c r="P238" s="332">
        <f>IFERROR(VLOOKUP(TEXT(O238,"0"),CONDUCTORES!$A$3:$G$54,2,0),"")</f>
        <v/>
      </c>
      <c r="Q238" s="332">
        <f>IFERROR(VLOOKUP(TEXT(O238,"0"),CONDUCTORES!$A$3:$H$54,6,0),"")</f>
        <v/>
      </c>
      <c r="R238" s="280" t="n"/>
      <c r="S238" s="280" t="n"/>
      <c r="T238" s="280" t="n"/>
      <c r="U238" s="280" t="n"/>
      <c r="V238" s="280" t="n"/>
      <c r="W238" s="280" t="n"/>
      <c r="X238" s="280" t="n"/>
      <c r="Y238" s="280" t="n"/>
      <c r="Z238" s="375">
        <f>IF(AND(G238&lt;&gt;"",R238&lt;&gt;"",V238&lt;&gt;"",W238&lt;&gt;""),"COMPLETADO","OBSERVADO")</f>
        <v/>
      </c>
    </row>
    <row r="239" ht="15" customHeight="1" s="195">
      <c r="A239" s="334" t="n"/>
      <c r="B239" s="334" t="n"/>
      <c r="C239" s="334" t="n"/>
      <c r="D239" s="334" t="n"/>
      <c r="E239" s="334" t="n"/>
      <c r="F239" s="334" t="n"/>
      <c r="G239" s="334" t="n"/>
      <c r="H239" s="334" t="n"/>
      <c r="I239" s="332">
        <f>IFERROR(VLOOKUP(TEXT(H239,"0"),IPRESS!$A$3:$B$212,2,0),"")</f>
        <v/>
      </c>
      <c r="J239" s="334" t="n"/>
      <c r="K239" s="332">
        <f>IFERROR(VLOOKUP(TEXT(O239,"0"),CONDUCTORES!$A$3:$G$54,7,0),"")</f>
        <v/>
      </c>
      <c r="L239" s="334" t="n"/>
      <c r="M239" s="334" t="n"/>
      <c r="N239" s="333">
        <f>IFERROR(IF(L239*M239=0,"",L239*M239),"")</f>
        <v/>
      </c>
      <c r="O239" s="334" t="n"/>
      <c r="P239" s="332">
        <f>IFERROR(VLOOKUP(TEXT(O239,"0"),CONDUCTORES!$A$3:$G$54,2,0),"")</f>
        <v/>
      </c>
      <c r="Q239" s="332">
        <f>IFERROR(VLOOKUP(TEXT(O239,"0"),CONDUCTORES!$A$3:$H$54,6,0),"")</f>
        <v/>
      </c>
      <c r="R239" s="334" t="n"/>
      <c r="S239" s="334" t="n"/>
      <c r="T239" s="334" t="n"/>
      <c r="U239" s="334" t="n"/>
      <c r="V239" s="334" t="n"/>
      <c r="W239" s="334" t="n"/>
      <c r="X239" s="334" t="n"/>
      <c r="Y239" s="334" t="n"/>
      <c r="Z239" s="375">
        <f>IF(AND(G239&lt;&gt;"",R239&lt;&gt;"",V239&lt;&gt;"",W239&lt;&gt;""),"COMPLETADO","OBSERVADO")</f>
        <v/>
      </c>
    </row>
    <row r="240" ht="15" customHeight="1" s="195">
      <c r="A240" s="280" t="n"/>
      <c r="B240" s="280" t="n"/>
      <c r="C240" s="280" t="n"/>
      <c r="D240" s="280" t="n"/>
      <c r="E240" s="280" t="n"/>
      <c r="F240" s="280" t="n"/>
      <c r="G240" s="280" t="n"/>
      <c r="H240" s="280" t="n"/>
      <c r="I240" s="332">
        <f>IFERROR(VLOOKUP(TEXT(H240,"0"),IPRESS!$A$3:$B$212,2,0),"")</f>
        <v/>
      </c>
      <c r="J240" s="280" t="n"/>
      <c r="K240" s="332">
        <f>IFERROR(VLOOKUP(TEXT(O240,"0"),CONDUCTORES!$A$3:$G$54,7,0),"")</f>
        <v/>
      </c>
      <c r="L240" s="280" t="n"/>
      <c r="M240" s="280" t="n"/>
      <c r="N240" s="333">
        <f>IFERROR(IF(L240*M240=0,"",L240*M240),"")</f>
        <v/>
      </c>
      <c r="O240" s="280" t="n"/>
      <c r="P240" s="332">
        <f>IFERROR(VLOOKUP(TEXT(O240,"0"),CONDUCTORES!$A$3:$G$54,2,0),"")</f>
        <v/>
      </c>
      <c r="Q240" s="332">
        <f>IFERROR(VLOOKUP(TEXT(O240,"0"),CONDUCTORES!$A$3:$H$54,6,0),"")</f>
        <v/>
      </c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375">
        <f>IF(AND(G240&lt;&gt;"",R240&lt;&gt;"",V240&lt;&gt;"",W240&lt;&gt;""),"COMPLETADO","OBSERVADO")</f>
        <v/>
      </c>
    </row>
    <row r="241" ht="15" customHeight="1" s="195">
      <c r="A241" s="334" t="n"/>
      <c r="B241" s="334" t="n"/>
      <c r="C241" s="334" t="n"/>
      <c r="D241" s="334" t="n"/>
      <c r="E241" s="334" t="n"/>
      <c r="F241" s="334" t="n"/>
      <c r="G241" s="334" t="n"/>
      <c r="H241" s="334" t="n"/>
      <c r="I241" s="332">
        <f>IFERROR(VLOOKUP(TEXT(H241,"0"),IPRESS!$A$3:$B$212,2,0),"")</f>
        <v/>
      </c>
      <c r="J241" s="334" t="n"/>
      <c r="K241" s="332">
        <f>IFERROR(VLOOKUP(TEXT(O241,"0"),CONDUCTORES!$A$3:$G$54,7,0),"")</f>
        <v/>
      </c>
      <c r="L241" s="334" t="n"/>
      <c r="M241" s="334" t="n"/>
      <c r="N241" s="333">
        <f>IFERROR(IF(L241*M241=0,"",L241*M241),"")</f>
        <v/>
      </c>
      <c r="O241" s="334" t="n"/>
      <c r="P241" s="332">
        <f>IFERROR(VLOOKUP(TEXT(O241,"0"),CONDUCTORES!$A$3:$G$54,2,0),"")</f>
        <v/>
      </c>
      <c r="Q241" s="332">
        <f>IFERROR(VLOOKUP(TEXT(O241,"0"),CONDUCTORES!$A$3:$H$54,6,0),"")</f>
        <v/>
      </c>
      <c r="R241" s="334" t="n"/>
      <c r="S241" s="334" t="n"/>
      <c r="T241" s="334" t="n"/>
      <c r="U241" s="334" t="n"/>
      <c r="V241" s="334" t="n"/>
      <c r="W241" s="334" t="n"/>
      <c r="X241" s="334" t="n"/>
      <c r="Y241" s="334" t="n"/>
      <c r="Z241" s="375">
        <f>IF(AND(G241&lt;&gt;"",R241&lt;&gt;"",V241&lt;&gt;"",W241&lt;&gt;""),"COMPLETADO","OBSERVADO")</f>
        <v/>
      </c>
    </row>
    <row r="242" ht="15" customHeight="1" s="195">
      <c r="A242" s="280" t="n"/>
      <c r="B242" s="280" t="n"/>
      <c r="C242" s="280" t="n"/>
      <c r="D242" s="280" t="n"/>
      <c r="E242" s="280" t="n"/>
      <c r="F242" s="280" t="n"/>
      <c r="G242" s="280" t="n"/>
      <c r="H242" s="280" t="n"/>
      <c r="I242" s="332">
        <f>IFERROR(VLOOKUP(TEXT(H242,"0"),IPRESS!$A$3:$B$212,2,0),"")</f>
        <v/>
      </c>
      <c r="J242" s="280" t="n"/>
      <c r="K242" s="332">
        <f>IFERROR(VLOOKUP(TEXT(O242,"0"),CONDUCTORES!$A$3:$G$54,7,0),"")</f>
        <v/>
      </c>
      <c r="L242" s="280" t="n"/>
      <c r="M242" s="280" t="n"/>
      <c r="N242" s="333">
        <f>IFERROR(IF(L242*M242=0,"",L242*M242),"")</f>
        <v/>
      </c>
      <c r="O242" s="280" t="n"/>
      <c r="P242" s="332">
        <f>IFERROR(VLOOKUP(TEXT(O242,"0"),CONDUCTORES!$A$3:$G$54,2,0),"")</f>
        <v/>
      </c>
      <c r="Q242" s="332">
        <f>IFERROR(VLOOKUP(TEXT(O242,"0"),CONDUCTORES!$A$3:$H$54,6,0),"")</f>
        <v/>
      </c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375">
        <f>IF(AND(G242&lt;&gt;"",R242&lt;&gt;"",V242&lt;&gt;"",W242&lt;&gt;""),"COMPLETADO","OBSERVADO")</f>
        <v/>
      </c>
    </row>
    <row r="243" ht="15" customHeight="1" s="195">
      <c r="A243" s="334" t="n"/>
      <c r="B243" s="334" t="n"/>
      <c r="C243" s="334" t="n"/>
      <c r="D243" s="334" t="n"/>
      <c r="E243" s="334" t="n"/>
      <c r="F243" s="334" t="n"/>
      <c r="G243" s="334" t="n"/>
      <c r="H243" s="334" t="n"/>
      <c r="I243" s="332">
        <f>IFERROR(VLOOKUP(TEXT(H243,"0"),IPRESS!$A$3:$B$212,2,0),"")</f>
        <v/>
      </c>
      <c r="J243" s="334" t="n"/>
      <c r="K243" s="332">
        <f>IFERROR(VLOOKUP(TEXT(O243,"0"),CONDUCTORES!$A$3:$G$54,7,0),"")</f>
        <v/>
      </c>
      <c r="L243" s="334" t="n"/>
      <c r="M243" s="334" t="n"/>
      <c r="N243" s="333">
        <f>IFERROR(IF(L243*M243=0,"",L243*M243),"")</f>
        <v/>
      </c>
      <c r="O243" s="334" t="n"/>
      <c r="P243" s="332">
        <f>IFERROR(VLOOKUP(TEXT(O243,"0"),CONDUCTORES!$A$3:$G$54,2,0),"")</f>
        <v/>
      </c>
      <c r="Q243" s="332">
        <f>IFERROR(VLOOKUP(TEXT(O243,"0"),CONDUCTORES!$A$3:$H$54,6,0),"")</f>
        <v/>
      </c>
      <c r="R243" s="334" t="n"/>
      <c r="S243" s="334" t="n"/>
      <c r="T243" s="334" t="n"/>
      <c r="U243" s="334" t="n"/>
      <c r="V243" s="334" t="n"/>
      <c r="W243" s="334" t="n"/>
      <c r="X243" s="334" t="n"/>
      <c r="Y243" s="334" t="n"/>
      <c r="Z243" s="375">
        <f>IF(AND(G243&lt;&gt;"",R243&lt;&gt;"",V243&lt;&gt;"",W243&lt;&gt;""),"COMPLETADO","OBSERVADO")</f>
        <v/>
      </c>
    </row>
    <row r="244" ht="15" customHeight="1" s="195">
      <c r="A244" s="280" t="n"/>
      <c r="B244" s="280" t="n"/>
      <c r="C244" s="280" t="n"/>
      <c r="D244" s="280" t="n"/>
      <c r="E244" s="280" t="n"/>
      <c r="F244" s="280" t="n"/>
      <c r="G244" s="280" t="n"/>
      <c r="H244" s="280" t="n"/>
      <c r="I244" s="332">
        <f>IFERROR(VLOOKUP(TEXT(H244,"0"),IPRESS!$A$3:$B$212,2,0),"")</f>
        <v/>
      </c>
      <c r="J244" s="280" t="n"/>
      <c r="K244" s="332">
        <f>IFERROR(VLOOKUP(TEXT(O244,"0"),CONDUCTORES!$A$3:$G$54,7,0),"")</f>
        <v/>
      </c>
      <c r="L244" s="280" t="n"/>
      <c r="M244" s="280" t="n"/>
      <c r="N244" s="333">
        <f>IFERROR(IF(L244*M244=0,"",L244*M244),"")</f>
        <v/>
      </c>
      <c r="O244" s="280" t="n"/>
      <c r="P244" s="332">
        <f>IFERROR(VLOOKUP(TEXT(O244,"0"),CONDUCTORES!$A$3:$G$54,2,0),"")</f>
        <v/>
      </c>
      <c r="Q244" s="332">
        <f>IFERROR(VLOOKUP(TEXT(O244,"0"),CONDUCTORES!$A$3:$H$54,6,0),"")</f>
        <v/>
      </c>
      <c r="R244" s="280" t="n"/>
      <c r="S244" s="280" t="n"/>
      <c r="T244" s="280" t="n"/>
      <c r="U244" s="280" t="n"/>
      <c r="V244" s="280" t="n"/>
      <c r="W244" s="280" t="n"/>
      <c r="X244" s="280" t="n"/>
      <c r="Y244" s="280" t="n"/>
      <c r="Z244" s="375">
        <f>IF(AND(G244&lt;&gt;"",R244&lt;&gt;"",V244&lt;&gt;"",W244&lt;&gt;""),"COMPLETADO","OBSERVADO")</f>
        <v/>
      </c>
    </row>
    <row r="245" ht="15" customHeight="1" s="195">
      <c r="A245" s="334" t="n"/>
      <c r="B245" s="334" t="n"/>
      <c r="C245" s="334" t="n"/>
      <c r="D245" s="334" t="n"/>
      <c r="E245" s="334" t="n"/>
      <c r="F245" s="334" t="n"/>
      <c r="G245" s="334" t="n"/>
      <c r="H245" s="334" t="n"/>
      <c r="I245" s="332">
        <f>IFERROR(VLOOKUP(TEXT(H245,"0"),IPRESS!$A$3:$B$212,2,0),"")</f>
        <v/>
      </c>
      <c r="J245" s="334" t="n"/>
      <c r="K245" s="332">
        <f>IFERROR(VLOOKUP(TEXT(O245,"0"),CONDUCTORES!$A$3:$G$54,7,0),"")</f>
        <v/>
      </c>
      <c r="L245" s="334" t="n"/>
      <c r="M245" s="334" t="n"/>
      <c r="N245" s="333">
        <f>IFERROR(IF(L245*M245=0,"",L245*M245),"")</f>
        <v/>
      </c>
      <c r="O245" s="334" t="n"/>
      <c r="P245" s="332">
        <f>IFERROR(VLOOKUP(TEXT(O245,"0"),CONDUCTORES!$A$3:$G$54,2,0),"")</f>
        <v/>
      </c>
      <c r="Q245" s="332">
        <f>IFERROR(VLOOKUP(TEXT(O245,"0"),CONDUCTORES!$A$3:$H$54,6,0),"")</f>
        <v/>
      </c>
      <c r="R245" s="334" t="n"/>
      <c r="S245" s="334" t="n"/>
      <c r="T245" s="334" t="n"/>
      <c r="U245" s="334" t="n"/>
      <c r="V245" s="334" t="n"/>
      <c r="W245" s="334" t="n"/>
      <c r="X245" s="334" t="n"/>
      <c r="Y245" s="334" t="n"/>
      <c r="Z245" s="375">
        <f>IF(AND(G245&lt;&gt;"",R245&lt;&gt;"",V245&lt;&gt;"",W245&lt;&gt;""),"COMPLETADO","OBSERVADO")</f>
        <v/>
      </c>
    </row>
    <row r="246" ht="15" customHeight="1" s="195">
      <c r="A246" s="280" t="n"/>
      <c r="B246" s="280" t="n"/>
      <c r="C246" s="280" t="n"/>
      <c r="D246" s="280" t="n"/>
      <c r="E246" s="280" t="n"/>
      <c r="F246" s="280" t="n"/>
      <c r="G246" s="280" t="n"/>
      <c r="H246" s="280" t="n"/>
      <c r="I246" s="332">
        <f>IFERROR(VLOOKUP(TEXT(H246,"0"),IPRESS!$A$3:$B$212,2,0),"")</f>
        <v/>
      </c>
      <c r="J246" s="280" t="n"/>
      <c r="K246" s="332">
        <f>IFERROR(VLOOKUP(TEXT(O246,"0"),CONDUCTORES!$A$3:$G$54,7,0),"")</f>
        <v/>
      </c>
      <c r="L246" s="280" t="n"/>
      <c r="M246" s="280" t="n"/>
      <c r="N246" s="333">
        <f>IFERROR(IF(L246*M246=0,"",L246*M246),"")</f>
        <v/>
      </c>
      <c r="O246" s="280" t="n"/>
      <c r="P246" s="332">
        <f>IFERROR(VLOOKUP(TEXT(O246,"0"),CONDUCTORES!$A$3:$G$54,2,0),"")</f>
        <v/>
      </c>
      <c r="Q246" s="332">
        <f>IFERROR(VLOOKUP(TEXT(O246,"0"),CONDUCTORES!$A$3:$H$54,6,0),"")</f>
        <v/>
      </c>
      <c r="R246" s="280" t="n"/>
      <c r="S246" s="280" t="n"/>
      <c r="T246" s="280" t="n"/>
      <c r="U246" s="280" t="n"/>
      <c r="V246" s="280" t="n"/>
      <c r="W246" s="280" t="n"/>
      <c r="X246" s="280" t="n"/>
      <c r="Y246" s="280" t="n"/>
      <c r="Z246" s="375">
        <f>IF(AND(G246&lt;&gt;"",R246&lt;&gt;"",V246&lt;&gt;"",W246&lt;&gt;""),"COMPLETADO","OBSERVADO")</f>
        <v/>
      </c>
    </row>
    <row r="247" ht="15" customHeight="1" s="195">
      <c r="A247" s="334" t="n"/>
      <c r="B247" s="334" t="n"/>
      <c r="C247" s="334" t="n"/>
      <c r="D247" s="334" t="n"/>
      <c r="E247" s="334" t="n"/>
      <c r="F247" s="334" t="n"/>
      <c r="G247" s="334" t="n"/>
      <c r="H247" s="334" t="n"/>
      <c r="I247" s="332">
        <f>IFERROR(VLOOKUP(TEXT(H247,"0"),IPRESS!$A$3:$B$212,2,0),"")</f>
        <v/>
      </c>
      <c r="J247" s="334" t="n"/>
      <c r="K247" s="332">
        <f>IFERROR(VLOOKUP(TEXT(O247,"0"),CONDUCTORES!$A$3:$G$54,7,0),"")</f>
        <v/>
      </c>
      <c r="L247" s="334" t="n"/>
      <c r="M247" s="334" t="n"/>
      <c r="N247" s="333">
        <f>IFERROR(IF(L247*M247=0,"",L247*M247),"")</f>
        <v/>
      </c>
      <c r="O247" s="334" t="n"/>
      <c r="P247" s="332">
        <f>IFERROR(VLOOKUP(TEXT(O247,"0"),CONDUCTORES!$A$3:$G$54,2,0),"")</f>
        <v/>
      </c>
      <c r="Q247" s="332">
        <f>IFERROR(VLOOKUP(TEXT(O247,"0"),CONDUCTORES!$A$3:$H$54,6,0),"")</f>
        <v/>
      </c>
      <c r="R247" s="334" t="n"/>
      <c r="S247" s="334" t="n"/>
      <c r="T247" s="334" t="n"/>
      <c r="U247" s="334" t="n"/>
      <c r="V247" s="334" t="n"/>
      <c r="W247" s="334" t="n"/>
      <c r="X247" s="334" t="n"/>
      <c r="Y247" s="334" t="n"/>
      <c r="Z247" s="375">
        <f>IF(AND(G247&lt;&gt;"",R247&lt;&gt;"",V247&lt;&gt;"",W247&lt;&gt;""),"COMPLETADO","OBSERVADO")</f>
        <v/>
      </c>
    </row>
    <row r="248" ht="15" customHeight="1" s="195">
      <c r="A248" s="280" t="n"/>
      <c r="B248" s="280" t="n"/>
      <c r="C248" s="280" t="n"/>
      <c r="D248" s="280" t="n"/>
      <c r="E248" s="280" t="n"/>
      <c r="F248" s="280" t="n"/>
      <c r="G248" s="280" t="n"/>
      <c r="H248" s="280" t="n"/>
      <c r="I248" s="332">
        <f>IFERROR(VLOOKUP(TEXT(H248,"0"),IPRESS!$A$3:$B$212,2,0),"")</f>
        <v/>
      </c>
      <c r="J248" s="280" t="n"/>
      <c r="K248" s="332">
        <f>IFERROR(VLOOKUP(TEXT(O248,"0"),CONDUCTORES!$A$3:$G$54,7,0),"")</f>
        <v/>
      </c>
      <c r="L248" s="280" t="n"/>
      <c r="M248" s="280" t="n"/>
      <c r="N248" s="333">
        <f>IFERROR(IF(L248*M248=0,"",L248*M248),"")</f>
        <v/>
      </c>
      <c r="O248" s="280" t="n"/>
      <c r="P248" s="332">
        <f>IFERROR(VLOOKUP(TEXT(O248,"0"),CONDUCTORES!$A$3:$G$54,2,0),"")</f>
        <v/>
      </c>
      <c r="Q248" s="332">
        <f>IFERROR(VLOOKUP(TEXT(O248,"0"),CONDUCTORES!$A$3:$H$54,6,0),"")</f>
        <v/>
      </c>
      <c r="R248" s="280" t="n"/>
      <c r="S248" s="280" t="n"/>
      <c r="T248" s="280" t="n"/>
      <c r="U248" s="280" t="n"/>
      <c r="V248" s="280" t="n"/>
      <c r="W248" s="280" t="n"/>
      <c r="X248" s="280" t="n"/>
      <c r="Y248" s="280" t="n"/>
      <c r="Z248" s="375">
        <f>IF(AND(G248&lt;&gt;"",R248&lt;&gt;"",V248&lt;&gt;"",W248&lt;&gt;""),"COMPLETADO","OBSERVADO")</f>
        <v/>
      </c>
    </row>
    <row r="249" ht="15" customHeight="1" s="195">
      <c r="A249" s="334" t="n"/>
      <c r="B249" s="334" t="n"/>
      <c r="C249" s="334" t="n"/>
      <c r="D249" s="334" t="n"/>
      <c r="E249" s="334" t="n"/>
      <c r="F249" s="334" t="n"/>
      <c r="G249" s="334" t="n"/>
      <c r="H249" s="334" t="n"/>
      <c r="I249" s="332">
        <f>IFERROR(VLOOKUP(TEXT(H249,"0"),IPRESS!$A$3:$B$212,2,0),"")</f>
        <v/>
      </c>
      <c r="J249" s="334" t="n"/>
      <c r="K249" s="332">
        <f>IFERROR(VLOOKUP(TEXT(O249,"0"),CONDUCTORES!$A$3:$G$54,7,0),"")</f>
        <v/>
      </c>
      <c r="L249" s="334" t="n"/>
      <c r="M249" s="334" t="n"/>
      <c r="N249" s="333">
        <f>IFERROR(IF(L249*M249=0,"",L249*M249),"")</f>
        <v/>
      </c>
      <c r="O249" s="334" t="n"/>
      <c r="P249" s="332">
        <f>IFERROR(VLOOKUP(TEXT(O249,"0"),CONDUCTORES!$A$3:$G$54,2,0),"")</f>
        <v/>
      </c>
      <c r="Q249" s="332">
        <f>IFERROR(VLOOKUP(TEXT(O249,"0"),CONDUCTORES!$A$3:$H$54,6,0),"")</f>
        <v/>
      </c>
      <c r="R249" s="334" t="n"/>
      <c r="S249" s="334" t="n"/>
      <c r="T249" s="334" t="n"/>
      <c r="U249" s="334" t="n"/>
      <c r="V249" s="334" t="n"/>
      <c r="W249" s="334" t="n"/>
      <c r="X249" s="334" t="n"/>
      <c r="Y249" s="334" t="n"/>
      <c r="Z249" s="375">
        <f>IF(AND(G249&lt;&gt;"",R249&lt;&gt;"",V249&lt;&gt;"",W249&lt;&gt;""),"COMPLETADO","OBSERVADO")</f>
        <v/>
      </c>
    </row>
    <row r="250" ht="15" customHeight="1" s="195">
      <c r="A250" s="280" t="n"/>
      <c r="B250" s="280" t="n"/>
      <c r="C250" s="280" t="n"/>
      <c r="D250" s="280" t="n"/>
      <c r="E250" s="280" t="n"/>
      <c r="F250" s="280" t="n"/>
      <c r="G250" s="280" t="n"/>
      <c r="H250" s="280" t="n"/>
      <c r="I250" s="332">
        <f>IFERROR(VLOOKUP(TEXT(H250,"0"),IPRESS!$A$3:$B$212,2,0),"")</f>
        <v/>
      </c>
      <c r="J250" s="280" t="n"/>
      <c r="K250" s="332">
        <f>IFERROR(VLOOKUP(TEXT(O250,"0"),CONDUCTORES!$A$3:$G$54,7,0),"")</f>
        <v/>
      </c>
      <c r="L250" s="280" t="n"/>
      <c r="M250" s="280" t="n"/>
      <c r="N250" s="333">
        <f>IFERROR(IF(L250*M250=0,"",L250*M250),"")</f>
        <v/>
      </c>
      <c r="O250" s="280" t="n"/>
      <c r="P250" s="332">
        <f>IFERROR(VLOOKUP(TEXT(O250,"0"),CONDUCTORES!$A$3:$G$54,2,0),"")</f>
        <v/>
      </c>
      <c r="Q250" s="332">
        <f>IFERROR(VLOOKUP(TEXT(O250,"0"),CONDUCTORES!$A$3:$H$54,6,0),"")</f>
        <v/>
      </c>
      <c r="R250" s="280" t="n"/>
      <c r="S250" s="280" t="n"/>
      <c r="T250" s="280" t="n"/>
      <c r="U250" s="280" t="n"/>
      <c r="V250" s="280" t="n"/>
      <c r="W250" s="280" t="n"/>
      <c r="X250" s="280" t="n"/>
      <c r="Y250" s="280" t="n"/>
      <c r="Z250" s="375">
        <f>IF(AND(G250&lt;&gt;"",R250&lt;&gt;"",V250&lt;&gt;"",W250&lt;&gt;""),"COMPLETADO","OBSERVADO")</f>
        <v/>
      </c>
    </row>
    <row r="251" ht="15" customHeight="1" s="195">
      <c r="A251" s="334" t="n"/>
      <c r="B251" s="334" t="n"/>
      <c r="C251" s="334" t="n"/>
      <c r="D251" s="334" t="n"/>
      <c r="E251" s="334" t="n"/>
      <c r="F251" s="334" t="n"/>
      <c r="G251" s="334" t="n"/>
      <c r="H251" s="334" t="n"/>
      <c r="I251" s="332">
        <f>IFERROR(VLOOKUP(TEXT(H251,"0"),IPRESS!$A$3:$B$212,2,0),"")</f>
        <v/>
      </c>
      <c r="J251" s="334" t="n"/>
      <c r="K251" s="332">
        <f>IFERROR(VLOOKUP(TEXT(O251,"0"),CONDUCTORES!$A$3:$G$54,7,0),"")</f>
        <v/>
      </c>
      <c r="L251" s="334" t="n"/>
      <c r="M251" s="334" t="n"/>
      <c r="N251" s="333">
        <f>IFERROR(IF(L251*M251=0,"",L251*M251),"")</f>
        <v/>
      </c>
      <c r="O251" s="334" t="n"/>
      <c r="P251" s="332">
        <f>IFERROR(VLOOKUP(TEXT(O251,"0"),CONDUCTORES!$A$3:$G$54,2,0),"")</f>
        <v/>
      </c>
      <c r="Q251" s="332">
        <f>IFERROR(VLOOKUP(TEXT(O251,"0"),CONDUCTORES!$A$3:$H$54,6,0),"")</f>
        <v/>
      </c>
      <c r="R251" s="334" t="n"/>
      <c r="S251" s="334" t="n"/>
      <c r="T251" s="334" t="n"/>
      <c r="U251" s="334" t="n"/>
      <c r="V251" s="334" t="n"/>
      <c r="W251" s="334" t="n"/>
      <c r="X251" s="334" t="n"/>
      <c r="Y251" s="334" t="n"/>
      <c r="Z251" s="375">
        <f>IF(AND(G251&lt;&gt;"",R251&lt;&gt;"",V251&lt;&gt;"",W251&lt;&gt;""),"COMPLETADO","OBSERVADO")</f>
        <v/>
      </c>
    </row>
    <row r="252" ht="15" customHeight="1" s="195">
      <c r="A252" s="280" t="n"/>
      <c r="B252" s="280" t="n"/>
      <c r="C252" s="280" t="n"/>
      <c r="D252" s="280" t="n"/>
      <c r="E252" s="280" t="n"/>
      <c r="F252" s="280" t="n"/>
      <c r="G252" s="280" t="n"/>
      <c r="H252" s="280" t="n"/>
      <c r="I252" s="332">
        <f>IFERROR(VLOOKUP(TEXT(H252,"0"),IPRESS!$A$3:$B$212,2,0),"")</f>
        <v/>
      </c>
      <c r="J252" s="280" t="n"/>
      <c r="K252" s="332">
        <f>IFERROR(VLOOKUP(TEXT(O252,"0"),CONDUCTORES!$A$3:$G$54,7,0),"")</f>
        <v/>
      </c>
      <c r="L252" s="280" t="n"/>
      <c r="M252" s="280" t="n"/>
      <c r="N252" s="333">
        <f>IFERROR(IF(L252*M252=0,"",L252*M252),"")</f>
        <v/>
      </c>
      <c r="O252" s="280" t="n"/>
      <c r="P252" s="332">
        <f>IFERROR(VLOOKUP(TEXT(O252,"0"),CONDUCTORES!$A$3:$G$54,2,0),"")</f>
        <v/>
      </c>
      <c r="Q252" s="332">
        <f>IFERROR(VLOOKUP(TEXT(O252,"0"),CONDUCTORES!$A$3:$H$54,6,0),"")</f>
        <v/>
      </c>
      <c r="R252" s="280" t="n"/>
      <c r="S252" s="280" t="n"/>
      <c r="T252" s="280" t="n"/>
      <c r="U252" s="280" t="n"/>
      <c r="V252" s="280" t="n"/>
      <c r="W252" s="280" t="n"/>
      <c r="X252" s="280" t="n"/>
      <c r="Y252" s="280" t="n"/>
      <c r="Z252" s="375">
        <f>IF(AND(G252&lt;&gt;"",R252&lt;&gt;"",V252&lt;&gt;"",W252&lt;&gt;""),"COMPLETADO","OBSERVADO")</f>
        <v/>
      </c>
    </row>
    <row r="253" ht="15" customHeight="1" s="195">
      <c r="A253" s="334" t="n"/>
      <c r="B253" s="334" t="n"/>
      <c r="C253" s="334" t="n"/>
      <c r="D253" s="334" t="n"/>
      <c r="E253" s="334" t="n"/>
      <c r="F253" s="334" t="n"/>
      <c r="G253" s="334" t="n"/>
      <c r="H253" s="334" t="n"/>
      <c r="I253" s="332">
        <f>IFERROR(VLOOKUP(TEXT(H253,"0"),IPRESS!$A$3:$B$212,2,0),"")</f>
        <v/>
      </c>
      <c r="J253" s="334" t="n"/>
      <c r="K253" s="332">
        <f>IFERROR(VLOOKUP(TEXT(O253,"0"),CONDUCTORES!$A$3:$G$54,7,0),"")</f>
        <v/>
      </c>
      <c r="L253" s="334" t="n"/>
      <c r="M253" s="334" t="n"/>
      <c r="N253" s="333">
        <f>IFERROR(IF(L253*M253=0,"",L253*M253),"")</f>
        <v/>
      </c>
      <c r="O253" s="334" t="n"/>
      <c r="P253" s="332">
        <f>IFERROR(VLOOKUP(TEXT(O253,"0"),CONDUCTORES!$A$3:$G$54,2,0),"")</f>
        <v/>
      </c>
      <c r="Q253" s="332">
        <f>IFERROR(VLOOKUP(TEXT(O253,"0"),CONDUCTORES!$A$3:$H$54,6,0),"")</f>
        <v/>
      </c>
      <c r="R253" s="334" t="n"/>
      <c r="S253" s="334" t="n"/>
      <c r="T253" s="334" t="n"/>
      <c r="U253" s="334" t="n"/>
      <c r="V253" s="334" t="n"/>
      <c r="W253" s="334" t="n"/>
      <c r="X253" s="334" t="n"/>
      <c r="Y253" s="334" t="n"/>
      <c r="Z253" s="375">
        <f>IF(AND(G253&lt;&gt;"",R253&lt;&gt;"",V253&lt;&gt;"",W253&lt;&gt;""),"COMPLETADO","OBSERVADO")</f>
        <v/>
      </c>
    </row>
    <row r="254" ht="15" customHeight="1" s="195">
      <c r="A254" s="280" t="n"/>
      <c r="B254" s="280" t="n"/>
      <c r="C254" s="280" t="n"/>
      <c r="D254" s="280" t="n"/>
      <c r="E254" s="280" t="n"/>
      <c r="F254" s="280" t="n"/>
      <c r="G254" s="280" t="n"/>
      <c r="H254" s="280" t="n"/>
      <c r="I254" s="332">
        <f>IFERROR(VLOOKUP(TEXT(H254,"0"),IPRESS!$A$3:$B$212,2,0),"")</f>
        <v/>
      </c>
      <c r="J254" s="280" t="n"/>
      <c r="K254" s="332">
        <f>IFERROR(VLOOKUP(TEXT(O254,"0"),CONDUCTORES!$A$3:$G$54,7,0),"")</f>
        <v/>
      </c>
      <c r="L254" s="280" t="n"/>
      <c r="M254" s="280" t="n"/>
      <c r="N254" s="333">
        <f>IFERROR(IF(L254*M254=0,"",L254*M254),"")</f>
        <v/>
      </c>
      <c r="O254" s="280" t="n"/>
      <c r="P254" s="332">
        <f>IFERROR(VLOOKUP(TEXT(O254,"0"),CONDUCTORES!$A$3:$G$54,2,0),"")</f>
        <v/>
      </c>
      <c r="Q254" s="332">
        <f>IFERROR(VLOOKUP(TEXT(O254,"0"),CONDUCTORES!$A$3:$H$54,6,0),"")</f>
        <v/>
      </c>
      <c r="R254" s="280" t="n"/>
      <c r="S254" s="280" t="n"/>
      <c r="T254" s="280" t="n"/>
      <c r="U254" s="280" t="n"/>
      <c r="V254" s="280" t="n"/>
      <c r="W254" s="280" t="n"/>
      <c r="X254" s="280" t="n"/>
      <c r="Y254" s="280" t="n"/>
      <c r="Z254" s="375">
        <f>IF(AND(G254&lt;&gt;"",R254&lt;&gt;"",V254&lt;&gt;"",W254&lt;&gt;""),"COMPLETADO","OBSERVADO")</f>
        <v/>
      </c>
    </row>
    <row r="255" ht="15" customHeight="1" s="195">
      <c r="A255" s="334" t="n"/>
      <c r="B255" s="334" t="n"/>
      <c r="C255" s="334" t="n"/>
      <c r="D255" s="334" t="n"/>
      <c r="E255" s="334" t="n"/>
      <c r="F255" s="334" t="n"/>
      <c r="G255" s="334" t="n"/>
      <c r="H255" s="334" t="n"/>
      <c r="I255" s="332">
        <f>IFERROR(VLOOKUP(TEXT(H255,"0"),IPRESS!$A$3:$B$212,2,0),"")</f>
        <v/>
      </c>
      <c r="J255" s="334" t="n"/>
      <c r="K255" s="332">
        <f>IFERROR(VLOOKUP(TEXT(O255,"0"),CONDUCTORES!$A$3:$G$54,7,0),"")</f>
        <v/>
      </c>
      <c r="L255" s="334" t="n"/>
      <c r="M255" s="334" t="n"/>
      <c r="N255" s="333">
        <f>IFERROR(IF(L255*M255=0,"",L255*M255),"")</f>
        <v/>
      </c>
      <c r="O255" s="334" t="n"/>
      <c r="P255" s="332">
        <f>IFERROR(VLOOKUP(TEXT(O255,"0"),CONDUCTORES!$A$3:$G$54,2,0),"")</f>
        <v/>
      </c>
      <c r="Q255" s="332">
        <f>IFERROR(VLOOKUP(TEXT(O255,"0"),CONDUCTORES!$A$3:$H$54,6,0),"")</f>
        <v/>
      </c>
      <c r="R255" s="334" t="n"/>
      <c r="S255" s="334" t="n"/>
      <c r="T255" s="334" t="n"/>
      <c r="U255" s="334" t="n"/>
      <c r="V255" s="334" t="n"/>
      <c r="W255" s="334" t="n"/>
      <c r="X255" s="334" t="n"/>
      <c r="Y255" s="334" t="n"/>
      <c r="Z255" s="375">
        <f>IF(AND(G255&lt;&gt;"",R255&lt;&gt;"",V255&lt;&gt;"",W255&lt;&gt;""),"COMPLETADO","OBSERVADO")</f>
        <v/>
      </c>
    </row>
    <row r="256" ht="15" customHeight="1" s="195">
      <c r="A256" s="280" t="n"/>
      <c r="B256" s="280" t="n"/>
      <c r="C256" s="280" t="n"/>
      <c r="D256" s="280" t="n"/>
      <c r="E256" s="280" t="n"/>
      <c r="F256" s="280" t="n"/>
      <c r="G256" s="280" t="n"/>
      <c r="H256" s="280" t="n"/>
      <c r="I256" s="332">
        <f>IFERROR(VLOOKUP(TEXT(H256,"0"),IPRESS!$A$3:$B$212,2,0),"")</f>
        <v/>
      </c>
      <c r="J256" s="280" t="n"/>
      <c r="K256" s="332">
        <f>IFERROR(VLOOKUP(TEXT(O256,"0"),CONDUCTORES!$A$3:$G$54,7,0),"")</f>
        <v/>
      </c>
      <c r="L256" s="280" t="n"/>
      <c r="M256" s="280" t="n"/>
      <c r="N256" s="333">
        <f>IFERROR(IF(L256*M256=0,"",L256*M256),"")</f>
        <v/>
      </c>
      <c r="O256" s="280" t="n"/>
      <c r="P256" s="332">
        <f>IFERROR(VLOOKUP(TEXT(O256,"0"),CONDUCTORES!$A$3:$G$54,2,0),"")</f>
        <v/>
      </c>
      <c r="Q256" s="332">
        <f>IFERROR(VLOOKUP(TEXT(O256,"0"),CONDUCTORES!$A$3:$H$54,6,0),"")</f>
        <v/>
      </c>
      <c r="R256" s="280" t="n"/>
      <c r="S256" s="280" t="n"/>
      <c r="T256" s="280" t="n"/>
      <c r="U256" s="280" t="n"/>
      <c r="V256" s="280" t="n"/>
      <c r="W256" s="280" t="n"/>
      <c r="X256" s="280" t="n"/>
      <c r="Y256" s="280" t="n"/>
      <c r="Z256" s="375">
        <f>IF(AND(G256&lt;&gt;"",R256&lt;&gt;"",V256&lt;&gt;"",W256&lt;&gt;""),"COMPLETADO","OBSERVADO")</f>
        <v/>
      </c>
    </row>
    <row r="257" ht="15" customHeight="1" s="195">
      <c r="A257" s="334" t="n"/>
      <c r="B257" s="334" t="n"/>
      <c r="C257" s="334" t="n"/>
      <c r="D257" s="334" t="n"/>
      <c r="E257" s="334" t="n"/>
      <c r="F257" s="334" t="n"/>
      <c r="G257" s="334" t="n"/>
      <c r="H257" s="334" t="n"/>
      <c r="I257" s="332">
        <f>IFERROR(VLOOKUP(TEXT(H257,"0"),IPRESS!$A$3:$B$212,2,0),"")</f>
        <v/>
      </c>
      <c r="J257" s="334" t="n"/>
      <c r="K257" s="332">
        <f>IFERROR(VLOOKUP(TEXT(O257,"0"),CONDUCTORES!$A$3:$G$54,7,0),"")</f>
        <v/>
      </c>
      <c r="L257" s="334" t="n"/>
      <c r="M257" s="334" t="n"/>
      <c r="N257" s="333">
        <f>IFERROR(IF(L257*M257=0,"",L257*M257),"")</f>
        <v/>
      </c>
      <c r="O257" s="334" t="n"/>
      <c r="P257" s="332">
        <f>IFERROR(VLOOKUP(TEXT(O257,"0"),CONDUCTORES!$A$3:$G$54,2,0),"")</f>
        <v/>
      </c>
      <c r="Q257" s="332">
        <f>IFERROR(VLOOKUP(TEXT(O257,"0"),CONDUCTORES!$A$3:$H$54,6,0),"")</f>
        <v/>
      </c>
      <c r="R257" s="334" t="n"/>
      <c r="S257" s="334" t="n"/>
      <c r="T257" s="334" t="n"/>
      <c r="U257" s="334" t="n"/>
      <c r="V257" s="334" t="n"/>
      <c r="W257" s="334" t="n"/>
      <c r="X257" s="334" t="n"/>
      <c r="Y257" s="334" t="n"/>
      <c r="Z257" s="375">
        <f>IF(AND(G257&lt;&gt;"",R257&lt;&gt;"",V257&lt;&gt;"",W257&lt;&gt;""),"COMPLETADO","OBSERVADO")</f>
        <v/>
      </c>
    </row>
    <row r="258" ht="15" customHeight="1" s="195">
      <c r="A258" s="280" t="n"/>
      <c r="B258" s="280" t="n"/>
      <c r="C258" s="280" t="n"/>
      <c r="D258" s="280" t="n"/>
      <c r="E258" s="280" t="n"/>
      <c r="F258" s="280" t="n"/>
      <c r="G258" s="280" t="n"/>
      <c r="H258" s="280" t="n"/>
      <c r="I258" s="332">
        <f>IFERROR(VLOOKUP(TEXT(H258,"0"),IPRESS!$A$3:$B$212,2,0),"")</f>
        <v/>
      </c>
      <c r="J258" s="280" t="n"/>
      <c r="K258" s="332">
        <f>IFERROR(VLOOKUP(TEXT(O258,"0"),CONDUCTORES!$A$3:$G$54,7,0),"")</f>
        <v/>
      </c>
      <c r="L258" s="280" t="n"/>
      <c r="M258" s="280" t="n"/>
      <c r="N258" s="333">
        <f>IFERROR(IF(L258*M258=0,"",L258*M258),"")</f>
        <v/>
      </c>
      <c r="O258" s="280" t="n"/>
      <c r="P258" s="332">
        <f>IFERROR(VLOOKUP(TEXT(O258,"0"),CONDUCTORES!$A$3:$G$54,2,0),"")</f>
        <v/>
      </c>
      <c r="Q258" s="332">
        <f>IFERROR(VLOOKUP(TEXT(O258,"0"),CONDUCTORES!$A$3:$H$54,6,0),"")</f>
        <v/>
      </c>
      <c r="R258" s="280" t="n"/>
      <c r="S258" s="280" t="n"/>
      <c r="T258" s="280" t="n"/>
      <c r="U258" s="280" t="n"/>
      <c r="V258" s="280" t="n"/>
      <c r="W258" s="280" t="n"/>
      <c r="X258" s="280" t="n"/>
      <c r="Y258" s="280" t="n"/>
      <c r="Z258" s="375">
        <f>IF(AND(G258&lt;&gt;"",R258&lt;&gt;"",V258&lt;&gt;"",W258&lt;&gt;""),"COMPLETADO","OBSERVADO")</f>
        <v/>
      </c>
    </row>
    <row r="259" ht="15" customHeight="1" s="195">
      <c r="A259" s="334" t="n"/>
      <c r="B259" s="334" t="n"/>
      <c r="C259" s="334" t="n"/>
      <c r="D259" s="334" t="n"/>
      <c r="E259" s="334" t="n"/>
      <c r="F259" s="334" t="n"/>
      <c r="G259" s="334" t="n"/>
      <c r="H259" s="334" t="n"/>
      <c r="I259" s="332">
        <f>IFERROR(VLOOKUP(TEXT(H259,"0"),IPRESS!$A$3:$B$212,2,0),"")</f>
        <v/>
      </c>
      <c r="J259" s="334" t="n"/>
      <c r="K259" s="332">
        <f>IFERROR(VLOOKUP(TEXT(O259,"0"),CONDUCTORES!$A$3:$G$54,7,0),"")</f>
        <v/>
      </c>
      <c r="L259" s="334" t="n"/>
      <c r="M259" s="334" t="n"/>
      <c r="N259" s="333">
        <f>IFERROR(IF(L259*M259=0,"",L259*M259),"")</f>
        <v/>
      </c>
      <c r="O259" s="334" t="n"/>
      <c r="P259" s="332">
        <f>IFERROR(VLOOKUP(TEXT(O259,"0"),CONDUCTORES!$A$3:$G$54,2,0),"")</f>
        <v/>
      </c>
      <c r="Q259" s="332">
        <f>IFERROR(VLOOKUP(TEXT(O259,"0"),CONDUCTORES!$A$3:$H$54,6,0),"")</f>
        <v/>
      </c>
      <c r="R259" s="334" t="n"/>
      <c r="S259" s="334" t="n"/>
      <c r="T259" s="334" t="n"/>
      <c r="U259" s="334" t="n"/>
      <c r="V259" s="334" t="n"/>
      <c r="W259" s="334" t="n"/>
      <c r="X259" s="334" t="n"/>
      <c r="Y259" s="334" t="n"/>
      <c r="Z259" s="375">
        <f>IF(AND(G259&lt;&gt;"",R259&lt;&gt;"",V259&lt;&gt;"",W259&lt;&gt;""),"COMPLETADO","OBSERVADO")</f>
        <v/>
      </c>
    </row>
    <row r="260" ht="15" customHeight="1" s="195">
      <c r="A260" s="280" t="n"/>
      <c r="B260" s="280" t="n"/>
      <c r="C260" s="280" t="n"/>
      <c r="D260" s="280" t="n"/>
      <c r="E260" s="280" t="n"/>
      <c r="F260" s="280" t="n"/>
      <c r="G260" s="280" t="n"/>
      <c r="H260" s="280" t="n"/>
      <c r="I260" s="332">
        <f>IFERROR(VLOOKUP(TEXT(H260,"0"),IPRESS!$A$3:$B$212,2,0),"")</f>
        <v/>
      </c>
      <c r="J260" s="280" t="n"/>
      <c r="K260" s="332">
        <f>IFERROR(VLOOKUP(TEXT(O260,"0"),CONDUCTORES!$A$3:$G$54,7,0),"")</f>
        <v/>
      </c>
      <c r="L260" s="280" t="n"/>
      <c r="M260" s="280" t="n"/>
      <c r="N260" s="333">
        <f>IFERROR(IF(L260*M260=0,"",L260*M260),"")</f>
        <v/>
      </c>
      <c r="O260" s="280" t="n"/>
      <c r="P260" s="332">
        <f>IFERROR(VLOOKUP(TEXT(O260,"0"),CONDUCTORES!$A$3:$G$54,2,0),"")</f>
        <v/>
      </c>
      <c r="Q260" s="332">
        <f>IFERROR(VLOOKUP(TEXT(O260,"0"),CONDUCTORES!$A$3:$H$54,6,0),"")</f>
        <v/>
      </c>
      <c r="R260" s="280" t="n"/>
      <c r="S260" s="280" t="n"/>
      <c r="T260" s="280" t="n"/>
      <c r="U260" s="280" t="n"/>
      <c r="V260" s="280" t="n"/>
      <c r="W260" s="280" t="n"/>
      <c r="X260" s="280" t="n"/>
      <c r="Y260" s="280" t="n"/>
      <c r="Z260" s="375">
        <f>IF(AND(G260&lt;&gt;"",R260&lt;&gt;"",V260&lt;&gt;"",W260&lt;&gt;""),"COMPLETADO","OBSERVADO")</f>
        <v/>
      </c>
    </row>
    <row r="261" ht="15" customHeight="1" s="195">
      <c r="A261" s="334" t="n"/>
      <c r="B261" s="334" t="n"/>
      <c r="C261" s="334" t="n"/>
      <c r="D261" s="334" t="n"/>
      <c r="E261" s="334" t="n"/>
      <c r="F261" s="334" t="n"/>
      <c r="G261" s="334" t="n"/>
      <c r="H261" s="334" t="n"/>
      <c r="I261" s="332">
        <f>IFERROR(VLOOKUP(TEXT(H261,"0"),IPRESS!$A$3:$B$212,2,0),"")</f>
        <v/>
      </c>
      <c r="J261" s="334" t="n"/>
      <c r="K261" s="332">
        <f>IFERROR(VLOOKUP(TEXT(O261,"0"),CONDUCTORES!$A$3:$G$54,7,0),"")</f>
        <v/>
      </c>
      <c r="L261" s="334" t="n"/>
      <c r="M261" s="334" t="n"/>
      <c r="N261" s="333">
        <f>IFERROR(IF(L261*M261=0,"",L261*M261),"")</f>
        <v/>
      </c>
      <c r="O261" s="334" t="n"/>
      <c r="P261" s="332">
        <f>IFERROR(VLOOKUP(TEXT(O261,"0"),CONDUCTORES!$A$3:$G$54,2,0),"")</f>
        <v/>
      </c>
      <c r="Q261" s="332">
        <f>IFERROR(VLOOKUP(TEXT(O261,"0"),CONDUCTORES!$A$3:$H$54,6,0),"")</f>
        <v/>
      </c>
      <c r="R261" s="334" t="n"/>
      <c r="S261" s="334" t="n"/>
      <c r="T261" s="334" t="n"/>
      <c r="U261" s="334" t="n"/>
      <c r="V261" s="334" t="n"/>
      <c r="W261" s="334" t="n"/>
      <c r="X261" s="334" t="n"/>
      <c r="Y261" s="334" t="n"/>
      <c r="Z261" s="375">
        <f>IF(AND(G261&lt;&gt;"",R261&lt;&gt;"",V261&lt;&gt;"",W261&lt;&gt;""),"COMPLETADO","OBSERVADO")</f>
        <v/>
      </c>
    </row>
    <row r="262" ht="15" customHeight="1" s="195">
      <c r="A262" s="280" t="n"/>
      <c r="B262" s="280" t="n"/>
      <c r="C262" s="280" t="n"/>
      <c r="D262" s="280" t="n"/>
      <c r="E262" s="280" t="n"/>
      <c r="F262" s="280" t="n"/>
      <c r="G262" s="280" t="n"/>
      <c r="H262" s="280" t="n"/>
      <c r="I262" s="332">
        <f>IFERROR(VLOOKUP(TEXT(H262,"0"),IPRESS!$A$3:$B$212,2,0),"")</f>
        <v/>
      </c>
      <c r="J262" s="280" t="n"/>
      <c r="K262" s="332">
        <f>IFERROR(VLOOKUP(TEXT(O262,"0"),CONDUCTORES!$A$3:$G$54,7,0),"")</f>
        <v/>
      </c>
      <c r="L262" s="280" t="n"/>
      <c r="M262" s="280" t="n"/>
      <c r="N262" s="333">
        <f>IFERROR(IF(L262*M262=0,"",L262*M262),"")</f>
        <v/>
      </c>
      <c r="O262" s="280" t="n"/>
      <c r="P262" s="332">
        <f>IFERROR(VLOOKUP(TEXT(O262,"0"),CONDUCTORES!$A$3:$G$54,2,0),"")</f>
        <v/>
      </c>
      <c r="Q262" s="332">
        <f>IFERROR(VLOOKUP(TEXT(O262,"0"),CONDUCTORES!$A$3:$H$54,6,0),"")</f>
        <v/>
      </c>
      <c r="R262" s="280" t="n"/>
      <c r="S262" s="280" t="n"/>
      <c r="T262" s="280" t="n"/>
      <c r="U262" s="280" t="n"/>
      <c r="V262" s="280" t="n"/>
      <c r="W262" s="280" t="n"/>
      <c r="X262" s="280" t="n"/>
      <c r="Y262" s="280" t="n"/>
      <c r="Z262" s="375">
        <f>IF(AND(G262&lt;&gt;"",R262&lt;&gt;"",V262&lt;&gt;"",W262&lt;&gt;""),"COMPLETADO","OBSERVADO")</f>
        <v/>
      </c>
    </row>
    <row r="263" ht="15" customHeight="1" s="195">
      <c r="A263" s="334" t="n"/>
      <c r="B263" s="334" t="n"/>
      <c r="C263" s="334" t="n"/>
      <c r="D263" s="334" t="n"/>
      <c r="E263" s="334" t="n"/>
      <c r="F263" s="334" t="n"/>
      <c r="G263" s="334" t="n"/>
      <c r="H263" s="334" t="n"/>
      <c r="I263" s="332">
        <f>IFERROR(VLOOKUP(TEXT(H263,"0"),IPRESS!$A$3:$B$212,2,0),"")</f>
        <v/>
      </c>
      <c r="J263" s="334" t="n"/>
      <c r="K263" s="332">
        <f>IFERROR(VLOOKUP(TEXT(O263,"0"),CONDUCTORES!$A$3:$G$54,7,0),"")</f>
        <v/>
      </c>
      <c r="L263" s="334" t="n"/>
      <c r="M263" s="334" t="n"/>
      <c r="N263" s="333">
        <f>IFERROR(IF(L263*M263=0,"",L263*M263),"")</f>
        <v/>
      </c>
      <c r="O263" s="334" t="n"/>
      <c r="P263" s="332">
        <f>IFERROR(VLOOKUP(TEXT(O263,"0"),CONDUCTORES!$A$3:$G$54,2,0),"")</f>
        <v/>
      </c>
      <c r="Q263" s="332">
        <f>IFERROR(VLOOKUP(TEXT(O263,"0"),CONDUCTORES!$A$3:$H$54,6,0),"")</f>
        <v/>
      </c>
      <c r="R263" s="334" t="n"/>
      <c r="S263" s="334" t="n"/>
      <c r="T263" s="334" t="n"/>
      <c r="U263" s="334" t="n"/>
      <c r="V263" s="334" t="n"/>
      <c r="W263" s="334" t="n"/>
      <c r="X263" s="334" t="n"/>
      <c r="Y263" s="334" t="n"/>
      <c r="Z263" s="375">
        <f>IF(AND(G263&lt;&gt;"",R263&lt;&gt;"",V263&lt;&gt;"",W263&lt;&gt;""),"COMPLETADO","OBSERVADO")</f>
        <v/>
      </c>
    </row>
    <row r="264" ht="15" customHeight="1" s="195">
      <c r="A264" s="280" t="n"/>
      <c r="B264" s="280" t="n"/>
      <c r="C264" s="280" t="n"/>
      <c r="D264" s="280" t="n"/>
      <c r="E264" s="280" t="n"/>
      <c r="F264" s="280" t="n"/>
      <c r="G264" s="280" t="n"/>
      <c r="H264" s="280" t="n"/>
      <c r="I264" s="332">
        <f>IFERROR(VLOOKUP(TEXT(H264,"0"),IPRESS!$A$3:$B$212,2,0),"")</f>
        <v/>
      </c>
      <c r="J264" s="280" t="n"/>
      <c r="K264" s="332">
        <f>IFERROR(VLOOKUP(TEXT(O264,"0"),CONDUCTORES!$A$3:$G$54,7,0),"")</f>
        <v/>
      </c>
      <c r="L264" s="280" t="n"/>
      <c r="M264" s="280" t="n"/>
      <c r="N264" s="333">
        <f>IFERROR(IF(L264*M264=0,"",L264*M264),"")</f>
        <v/>
      </c>
      <c r="O264" s="280" t="n"/>
      <c r="P264" s="332">
        <f>IFERROR(VLOOKUP(TEXT(O264,"0"),CONDUCTORES!$A$3:$G$54,2,0),"")</f>
        <v/>
      </c>
      <c r="Q264" s="332">
        <f>IFERROR(VLOOKUP(TEXT(O264,"0"),CONDUCTORES!$A$3:$H$54,6,0),"")</f>
        <v/>
      </c>
      <c r="R264" s="280" t="n"/>
      <c r="S264" s="280" t="n"/>
      <c r="T264" s="280" t="n"/>
      <c r="U264" s="280" t="n"/>
      <c r="V264" s="280" t="n"/>
      <c r="W264" s="280" t="n"/>
      <c r="X264" s="280" t="n"/>
      <c r="Y264" s="280" t="n"/>
      <c r="Z264" s="375">
        <f>IF(AND(G264&lt;&gt;"",R264&lt;&gt;"",V264&lt;&gt;"",W264&lt;&gt;""),"COMPLETADO","OBSERVADO")</f>
        <v/>
      </c>
    </row>
    <row r="265" ht="15" customHeight="1" s="195">
      <c r="A265" s="334" t="n"/>
      <c r="B265" s="334" t="n"/>
      <c r="C265" s="334" t="n"/>
      <c r="D265" s="334" t="n"/>
      <c r="E265" s="334" t="n"/>
      <c r="F265" s="334" t="n"/>
      <c r="G265" s="334" t="n"/>
      <c r="H265" s="334" t="n"/>
      <c r="I265" s="332">
        <f>IFERROR(VLOOKUP(TEXT(H265,"0"),IPRESS!$A$3:$B$212,2,0),"")</f>
        <v/>
      </c>
      <c r="J265" s="334" t="n"/>
      <c r="K265" s="332">
        <f>IFERROR(VLOOKUP(TEXT(O265,"0"),CONDUCTORES!$A$3:$G$54,7,0),"")</f>
        <v/>
      </c>
      <c r="L265" s="334" t="n"/>
      <c r="M265" s="334" t="n"/>
      <c r="N265" s="333">
        <f>IFERROR(IF(L265*M265=0,"",L265*M265),"")</f>
        <v/>
      </c>
      <c r="O265" s="334" t="n"/>
      <c r="P265" s="332">
        <f>IFERROR(VLOOKUP(TEXT(O265,"0"),CONDUCTORES!$A$3:$G$54,2,0),"")</f>
        <v/>
      </c>
      <c r="Q265" s="332">
        <f>IFERROR(VLOOKUP(TEXT(O265,"0"),CONDUCTORES!$A$3:$H$54,6,0),"")</f>
        <v/>
      </c>
      <c r="R265" s="334" t="n"/>
      <c r="S265" s="334" t="n"/>
      <c r="T265" s="334" t="n"/>
      <c r="U265" s="334" t="n"/>
      <c r="V265" s="334" t="n"/>
      <c r="W265" s="334" t="n"/>
      <c r="X265" s="334" t="n"/>
      <c r="Y265" s="334" t="n"/>
      <c r="Z265" s="375">
        <f>IF(AND(G265&lt;&gt;"",R265&lt;&gt;"",V265&lt;&gt;"",W265&lt;&gt;""),"COMPLETADO","OBSERVADO")</f>
        <v/>
      </c>
    </row>
    <row r="266" ht="15" customHeight="1" s="195">
      <c r="A266" s="280" t="n"/>
      <c r="B266" s="280" t="n"/>
      <c r="C266" s="280" t="n"/>
      <c r="D266" s="280" t="n"/>
      <c r="E266" s="280" t="n"/>
      <c r="F266" s="280" t="n"/>
      <c r="G266" s="280" t="n"/>
      <c r="H266" s="280" t="n"/>
      <c r="I266" s="332">
        <f>IFERROR(VLOOKUP(TEXT(H266,"0"),IPRESS!$A$3:$B$212,2,0),"")</f>
        <v/>
      </c>
      <c r="J266" s="280" t="n"/>
      <c r="K266" s="332">
        <f>IFERROR(VLOOKUP(TEXT(O266,"0"),CONDUCTORES!$A$3:$G$54,7,0),"")</f>
        <v/>
      </c>
      <c r="L266" s="280" t="n"/>
      <c r="M266" s="280" t="n"/>
      <c r="N266" s="333">
        <f>IFERROR(IF(L266*M266=0,"",L266*M266),"")</f>
        <v/>
      </c>
      <c r="O266" s="280" t="n"/>
      <c r="P266" s="332">
        <f>IFERROR(VLOOKUP(TEXT(O266,"0"),CONDUCTORES!$A$3:$G$54,2,0),"")</f>
        <v/>
      </c>
      <c r="Q266" s="332">
        <f>IFERROR(VLOOKUP(TEXT(O266,"0"),CONDUCTORES!$A$3:$H$54,6,0),"")</f>
        <v/>
      </c>
      <c r="R266" s="280" t="n"/>
      <c r="S266" s="280" t="n"/>
      <c r="T266" s="280" t="n"/>
      <c r="U266" s="280" t="n"/>
      <c r="V266" s="280" t="n"/>
      <c r="W266" s="280" t="n"/>
      <c r="X266" s="280" t="n"/>
      <c r="Y266" s="280" t="n"/>
      <c r="Z266" s="375">
        <f>IF(AND(G266&lt;&gt;"",R266&lt;&gt;"",V266&lt;&gt;"",W266&lt;&gt;""),"COMPLETADO","OBSERVADO")</f>
        <v/>
      </c>
    </row>
    <row r="267" ht="15" customHeight="1" s="195">
      <c r="A267" s="334" t="n"/>
      <c r="B267" s="334" t="n"/>
      <c r="C267" s="334" t="n"/>
      <c r="D267" s="334" t="n"/>
      <c r="E267" s="334" t="n"/>
      <c r="F267" s="334" t="n"/>
      <c r="G267" s="334" t="n"/>
      <c r="H267" s="334" t="n"/>
      <c r="I267" s="332">
        <f>IFERROR(VLOOKUP(TEXT(H267,"0"),IPRESS!$A$3:$B$212,2,0),"")</f>
        <v/>
      </c>
      <c r="J267" s="334" t="n"/>
      <c r="K267" s="332">
        <f>IFERROR(VLOOKUP(TEXT(O267,"0"),CONDUCTORES!$A$3:$G$54,7,0),"")</f>
        <v/>
      </c>
      <c r="L267" s="334" t="n"/>
      <c r="M267" s="334" t="n"/>
      <c r="N267" s="333">
        <f>IFERROR(IF(L267*M267=0,"",L267*M267),"")</f>
        <v/>
      </c>
      <c r="O267" s="334" t="n"/>
      <c r="P267" s="332">
        <f>IFERROR(VLOOKUP(TEXT(O267,"0"),CONDUCTORES!$A$3:$G$54,2,0),"")</f>
        <v/>
      </c>
      <c r="Q267" s="332">
        <f>IFERROR(VLOOKUP(TEXT(O267,"0"),CONDUCTORES!$A$3:$H$54,6,0),"")</f>
        <v/>
      </c>
      <c r="R267" s="334" t="n"/>
      <c r="S267" s="334" t="n"/>
      <c r="T267" s="334" t="n"/>
      <c r="U267" s="334" t="n"/>
      <c r="V267" s="334" t="n"/>
      <c r="W267" s="334" t="n"/>
      <c r="X267" s="334" t="n"/>
      <c r="Y267" s="334" t="n"/>
      <c r="Z267" s="375">
        <f>IF(AND(G267&lt;&gt;"",R267&lt;&gt;"",V267&lt;&gt;"",W267&lt;&gt;""),"COMPLETADO","OBSERVADO")</f>
        <v/>
      </c>
    </row>
    <row r="268" ht="15" customHeight="1" s="195">
      <c r="A268" s="280" t="n"/>
      <c r="B268" s="280" t="n"/>
      <c r="C268" s="280" t="n"/>
      <c r="D268" s="280" t="n"/>
      <c r="E268" s="280" t="n"/>
      <c r="F268" s="280" t="n"/>
      <c r="G268" s="280" t="n"/>
      <c r="H268" s="280" t="n"/>
      <c r="I268" s="332">
        <f>IFERROR(VLOOKUP(TEXT(H268,"0"),IPRESS!$A$3:$B$212,2,0),"")</f>
        <v/>
      </c>
      <c r="J268" s="280" t="n"/>
      <c r="K268" s="332">
        <f>IFERROR(VLOOKUP(TEXT(O268,"0"),CONDUCTORES!$A$3:$G$54,7,0),"")</f>
        <v/>
      </c>
      <c r="L268" s="280" t="n"/>
      <c r="M268" s="280" t="n"/>
      <c r="N268" s="333">
        <f>IFERROR(IF(L268*M268=0,"",L268*M268),"")</f>
        <v/>
      </c>
      <c r="O268" s="280" t="n"/>
      <c r="P268" s="332">
        <f>IFERROR(VLOOKUP(TEXT(O268,"0"),CONDUCTORES!$A$3:$G$54,2,0),"")</f>
        <v/>
      </c>
      <c r="Q268" s="332">
        <f>IFERROR(VLOOKUP(TEXT(O268,"0"),CONDUCTORES!$A$3:$H$54,6,0),"")</f>
        <v/>
      </c>
      <c r="R268" s="280" t="n"/>
      <c r="S268" s="280" t="n"/>
      <c r="T268" s="280" t="n"/>
      <c r="U268" s="280" t="n"/>
      <c r="V268" s="280" t="n"/>
      <c r="W268" s="280" t="n"/>
      <c r="X268" s="280" t="n"/>
      <c r="Y268" s="280" t="n"/>
      <c r="Z268" s="375">
        <f>IF(AND(G268&lt;&gt;"",R268&lt;&gt;"",V268&lt;&gt;"",W268&lt;&gt;""),"COMPLETADO","OBSERVADO")</f>
        <v/>
      </c>
    </row>
    <row r="269" ht="15" customHeight="1" s="195">
      <c r="A269" s="334" t="n"/>
      <c r="B269" s="334" t="n"/>
      <c r="C269" s="334" t="n"/>
      <c r="D269" s="334" t="n"/>
      <c r="E269" s="334" t="n"/>
      <c r="F269" s="334" t="n"/>
      <c r="G269" s="334" t="n"/>
      <c r="H269" s="334" t="n"/>
      <c r="I269" s="332">
        <f>IFERROR(VLOOKUP(TEXT(H269,"0"),IPRESS!$A$3:$B$212,2,0),"")</f>
        <v/>
      </c>
      <c r="J269" s="334" t="n"/>
      <c r="K269" s="332">
        <f>IFERROR(VLOOKUP(TEXT(O269,"0"),CONDUCTORES!$A$3:$G$54,7,0),"")</f>
        <v/>
      </c>
      <c r="L269" s="334" t="n"/>
      <c r="M269" s="334" t="n"/>
      <c r="N269" s="333">
        <f>IFERROR(IF(L269*M269=0,"",L269*M269),"")</f>
        <v/>
      </c>
      <c r="O269" s="334" t="n"/>
      <c r="P269" s="332">
        <f>IFERROR(VLOOKUP(TEXT(O269,"0"),CONDUCTORES!$A$3:$G$54,2,0),"")</f>
        <v/>
      </c>
      <c r="Q269" s="332">
        <f>IFERROR(VLOOKUP(TEXT(O269,"0"),CONDUCTORES!$A$3:$H$54,6,0),"")</f>
        <v/>
      </c>
      <c r="R269" s="334" t="n"/>
      <c r="S269" s="334" t="n"/>
      <c r="T269" s="334" t="n"/>
      <c r="U269" s="334" t="n"/>
      <c r="V269" s="334" t="n"/>
      <c r="W269" s="334" t="n"/>
      <c r="X269" s="334" t="n"/>
      <c r="Y269" s="334" t="n"/>
      <c r="Z269" s="375">
        <f>IF(AND(G269&lt;&gt;"",R269&lt;&gt;"",V269&lt;&gt;"",W269&lt;&gt;""),"COMPLETADO","OBSERVADO")</f>
        <v/>
      </c>
    </row>
    <row r="270" ht="15" customHeight="1" s="195">
      <c r="A270" s="280" t="n"/>
      <c r="B270" s="280" t="n"/>
      <c r="C270" s="280" t="n"/>
      <c r="D270" s="280" t="n"/>
      <c r="E270" s="280" t="n"/>
      <c r="F270" s="280" t="n"/>
      <c r="G270" s="280" t="n"/>
      <c r="H270" s="280" t="n"/>
      <c r="I270" s="332">
        <f>IFERROR(VLOOKUP(TEXT(H270,"0"),IPRESS!$A$3:$B$212,2,0),"")</f>
        <v/>
      </c>
      <c r="J270" s="280" t="n"/>
      <c r="K270" s="332">
        <f>IFERROR(VLOOKUP(TEXT(O270,"0"),CONDUCTORES!$A$3:$G$54,7,0),"")</f>
        <v/>
      </c>
      <c r="L270" s="280" t="n"/>
      <c r="M270" s="280" t="n"/>
      <c r="N270" s="333">
        <f>IFERROR(IF(L270*M270=0,"",L270*M270),"")</f>
        <v/>
      </c>
      <c r="O270" s="280" t="n"/>
      <c r="P270" s="332">
        <f>IFERROR(VLOOKUP(TEXT(O270,"0"),CONDUCTORES!$A$3:$G$54,2,0),"")</f>
        <v/>
      </c>
      <c r="Q270" s="332">
        <f>IFERROR(VLOOKUP(TEXT(O270,"0"),CONDUCTORES!$A$3:$H$54,6,0),"")</f>
        <v/>
      </c>
      <c r="R270" s="280" t="n"/>
      <c r="S270" s="280" t="n"/>
      <c r="T270" s="280" t="n"/>
      <c r="U270" s="280" t="n"/>
      <c r="V270" s="280" t="n"/>
      <c r="W270" s="280" t="n"/>
      <c r="X270" s="280" t="n"/>
      <c r="Y270" s="280" t="n"/>
      <c r="Z270" s="375">
        <f>IF(AND(G270&lt;&gt;"",R270&lt;&gt;"",V270&lt;&gt;"",W270&lt;&gt;""),"COMPLETADO","OBSERVADO")</f>
        <v/>
      </c>
    </row>
    <row r="271" ht="15" customHeight="1" s="195">
      <c r="A271" s="334" t="n"/>
      <c r="B271" s="334" t="n"/>
      <c r="C271" s="334" t="n"/>
      <c r="D271" s="334" t="n"/>
      <c r="E271" s="334" t="n"/>
      <c r="F271" s="334" t="n"/>
      <c r="G271" s="334" t="n"/>
      <c r="H271" s="334" t="n"/>
      <c r="I271" s="332">
        <f>IFERROR(VLOOKUP(TEXT(H271,"0"),IPRESS!$A$3:$B$212,2,0),"")</f>
        <v/>
      </c>
      <c r="J271" s="334" t="n"/>
      <c r="K271" s="332">
        <f>IFERROR(VLOOKUP(TEXT(O271,"0"),CONDUCTORES!$A$3:$G$54,7,0),"")</f>
        <v/>
      </c>
      <c r="L271" s="334" t="n"/>
      <c r="M271" s="334" t="n"/>
      <c r="N271" s="333">
        <f>IFERROR(IF(L271*M271=0,"",L271*M271),"")</f>
        <v/>
      </c>
      <c r="O271" s="334" t="n"/>
      <c r="P271" s="332">
        <f>IFERROR(VLOOKUP(TEXT(O271,"0"),CONDUCTORES!$A$3:$G$54,2,0),"")</f>
        <v/>
      </c>
      <c r="Q271" s="332">
        <f>IFERROR(VLOOKUP(TEXT(O271,"0"),CONDUCTORES!$A$3:$H$54,6,0),"")</f>
        <v/>
      </c>
      <c r="R271" s="334" t="n"/>
      <c r="S271" s="334" t="n"/>
      <c r="T271" s="334" t="n"/>
      <c r="U271" s="334" t="n"/>
      <c r="V271" s="334" t="n"/>
      <c r="W271" s="334" t="n"/>
      <c r="X271" s="334" t="n"/>
      <c r="Y271" s="334" t="n"/>
      <c r="Z271" s="375">
        <f>IF(AND(G271&lt;&gt;"",R271&lt;&gt;"",V271&lt;&gt;"",W271&lt;&gt;""),"COMPLETADO","OBSERVADO")</f>
        <v/>
      </c>
    </row>
    <row r="272" ht="15" customHeight="1" s="195">
      <c r="A272" s="280" t="n"/>
      <c r="B272" s="280" t="n"/>
      <c r="C272" s="280" t="n"/>
      <c r="D272" s="280" t="n"/>
      <c r="E272" s="280" t="n"/>
      <c r="F272" s="280" t="n"/>
      <c r="G272" s="280" t="n"/>
      <c r="H272" s="280" t="n"/>
      <c r="I272" s="332">
        <f>IFERROR(VLOOKUP(TEXT(H272,"0"),IPRESS!$A$3:$B$212,2,0),"")</f>
        <v/>
      </c>
      <c r="J272" s="280" t="n"/>
      <c r="K272" s="332">
        <f>IFERROR(VLOOKUP(TEXT(O272,"0"),CONDUCTORES!$A$3:$G$54,7,0),"")</f>
        <v/>
      </c>
      <c r="L272" s="280" t="n"/>
      <c r="M272" s="280" t="n"/>
      <c r="N272" s="333">
        <f>IFERROR(IF(L272*M272=0,"",L272*M272),"")</f>
        <v/>
      </c>
      <c r="O272" s="280" t="n"/>
      <c r="P272" s="332">
        <f>IFERROR(VLOOKUP(TEXT(O272,"0"),CONDUCTORES!$A$3:$G$54,2,0),"")</f>
        <v/>
      </c>
      <c r="Q272" s="332">
        <f>IFERROR(VLOOKUP(TEXT(O272,"0"),CONDUCTORES!$A$3:$H$54,6,0),"")</f>
        <v/>
      </c>
      <c r="R272" s="280" t="n"/>
      <c r="S272" s="280" t="n"/>
      <c r="T272" s="280" t="n"/>
      <c r="U272" s="280" t="n"/>
      <c r="V272" s="280" t="n"/>
      <c r="W272" s="280" t="n"/>
      <c r="X272" s="280" t="n"/>
      <c r="Y272" s="280" t="n"/>
      <c r="Z272" s="375">
        <f>IF(AND(G272&lt;&gt;"",R272&lt;&gt;"",V272&lt;&gt;"",W272&lt;&gt;""),"COMPLETADO","OBSERVADO")</f>
        <v/>
      </c>
    </row>
    <row r="273" ht="15" customHeight="1" s="195">
      <c r="A273" s="334" t="n"/>
      <c r="B273" s="334" t="n"/>
      <c r="C273" s="334" t="n"/>
      <c r="D273" s="334" t="n"/>
      <c r="E273" s="334" t="n"/>
      <c r="F273" s="334" t="n"/>
      <c r="G273" s="334" t="n"/>
      <c r="H273" s="334" t="n"/>
      <c r="I273" s="332">
        <f>IFERROR(VLOOKUP(TEXT(H273,"0"),IPRESS!$A$3:$B$212,2,0),"")</f>
        <v/>
      </c>
      <c r="J273" s="334" t="n"/>
      <c r="K273" s="332">
        <f>IFERROR(VLOOKUP(TEXT(O273,"0"),CONDUCTORES!$A$3:$G$54,7,0),"")</f>
        <v/>
      </c>
      <c r="L273" s="334" t="n"/>
      <c r="M273" s="334" t="n"/>
      <c r="N273" s="333">
        <f>IFERROR(IF(L273*M273=0,"",L273*M273),"")</f>
        <v/>
      </c>
      <c r="O273" s="334" t="n"/>
      <c r="P273" s="332">
        <f>IFERROR(VLOOKUP(TEXT(O273,"0"),CONDUCTORES!$A$3:$G$54,2,0),"")</f>
        <v/>
      </c>
      <c r="Q273" s="332">
        <f>IFERROR(VLOOKUP(TEXT(O273,"0"),CONDUCTORES!$A$3:$H$54,6,0),"")</f>
        <v/>
      </c>
      <c r="R273" s="334" t="n"/>
      <c r="S273" s="334" t="n"/>
      <c r="T273" s="334" t="n"/>
      <c r="U273" s="334" t="n"/>
      <c r="V273" s="334" t="n"/>
      <c r="W273" s="334" t="n"/>
      <c r="X273" s="334" t="n"/>
      <c r="Y273" s="334" t="n"/>
      <c r="Z273" s="375">
        <f>IF(AND(G273&lt;&gt;"",R273&lt;&gt;"",V273&lt;&gt;"",W273&lt;&gt;""),"COMPLETADO","OBSERVADO")</f>
        <v/>
      </c>
    </row>
    <row r="274" ht="15" customHeight="1" s="195">
      <c r="A274" s="280" t="n"/>
      <c r="B274" s="280" t="n"/>
      <c r="C274" s="280" t="n"/>
      <c r="D274" s="280" t="n"/>
      <c r="E274" s="280" t="n"/>
      <c r="F274" s="280" t="n"/>
      <c r="G274" s="280" t="n"/>
      <c r="H274" s="280" t="n"/>
      <c r="I274" s="332">
        <f>IFERROR(VLOOKUP(TEXT(H274,"0"),IPRESS!$A$3:$B$212,2,0),"")</f>
        <v/>
      </c>
      <c r="J274" s="280" t="n"/>
      <c r="K274" s="332">
        <f>IFERROR(VLOOKUP(TEXT(O274,"0"),CONDUCTORES!$A$3:$G$54,7,0),"")</f>
        <v/>
      </c>
      <c r="L274" s="280" t="n"/>
      <c r="M274" s="280" t="n"/>
      <c r="N274" s="333">
        <f>IFERROR(IF(L274*M274=0,"",L274*M274),"")</f>
        <v/>
      </c>
      <c r="O274" s="280" t="n"/>
      <c r="P274" s="332">
        <f>IFERROR(VLOOKUP(TEXT(O274,"0"),CONDUCTORES!$A$3:$G$54,2,0),"")</f>
        <v/>
      </c>
      <c r="Q274" s="332">
        <f>IFERROR(VLOOKUP(TEXT(O274,"0"),CONDUCTORES!$A$3:$H$54,6,0),"")</f>
        <v/>
      </c>
      <c r="R274" s="280" t="n"/>
      <c r="S274" s="280" t="n"/>
      <c r="T274" s="280" t="n"/>
      <c r="U274" s="280" t="n"/>
      <c r="V274" s="280" t="n"/>
      <c r="W274" s="280" t="n"/>
      <c r="X274" s="280" t="n"/>
      <c r="Y274" s="280" t="n"/>
      <c r="Z274" s="375">
        <f>IF(AND(G274&lt;&gt;"",R274&lt;&gt;"",V274&lt;&gt;"",W274&lt;&gt;""),"COMPLETADO","OBSERVADO")</f>
        <v/>
      </c>
    </row>
    <row r="275" ht="15" customHeight="1" s="195">
      <c r="A275" s="334" t="n"/>
      <c r="B275" s="334" t="n"/>
      <c r="C275" s="334" t="n"/>
      <c r="D275" s="334" t="n"/>
      <c r="E275" s="334" t="n"/>
      <c r="F275" s="334" t="n"/>
      <c r="G275" s="334" t="n"/>
      <c r="H275" s="334" t="n"/>
      <c r="I275" s="332">
        <f>IFERROR(VLOOKUP(TEXT(H275,"0"),IPRESS!$A$3:$B$212,2,0),"")</f>
        <v/>
      </c>
      <c r="J275" s="334" t="n"/>
      <c r="K275" s="332">
        <f>IFERROR(VLOOKUP(TEXT(O275,"0"),CONDUCTORES!$A$3:$G$54,7,0),"")</f>
        <v/>
      </c>
      <c r="L275" s="334" t="n"/>
      <c r="M275" s="334" t="n"/>
      <c r="N275" s="333">
        <f>IFERROR(IF(L275*M275=0,"",L275*M275),"")</f>
        <v/>
      </c>
      <c r="O275" s="334" t="n"/>
      <c r="P275" s="332">
        <f>IFERROR(VLOOKUP(TEXT(O275,"0"),CONDUCTORES!$A$3:$G$54,2,0),"")</f>
        <v/>
      </c>
      <c r="Q275" s="332">
        <f>IFERROR(VLOOKUP(TEXT(O275,"0"),CONDUCTORES!$A$3:$H$54,6,0),"")</f>
        <v/>
      </c>
      <c r="R275" s="334" t="n"/>
      <c r="S275" s="334" t="n"/>
      <c r="T275" s="334" t="n"/>
      <c r="U275" s="334" t="n"/>
      <c r="V275" s="334" t="n"/>
      <c r="W275" s="334" t="n"/>
      <c r="X275" s="334" t="n"/>
      <c r="Y275" s="334" t="n"/>
      <c r="Z275" s="375">
        <f>IF(AND(G275&lt;&gt;"",R275&lt;&gt;"",V275&lt;&gt;"",W275&lt;&gt;""),"COMPLETADO","OBSERVADO")</f>
        <v/>
      </c>
    </row>
    <row r="276" ht="15" customHeight="1" s="195">
      <c r="A276" s="280" t="n"/>
      <c r="B276" s="280" t="n"/>
      <c r="C276" s="280" t="n"/>
      <c r="D276" s="280" t="n"/>
      <c r="E276" s="280" t="n"/>
      <c r="F276" s="280" t="n"/>
      <c r="G276" s="280" t="n"/>
      <c r="H276" s="280" t="n"/>
      <c r="I276" s="332">
        <f>IFERROR(VLOOKUP(TEXT(H276,"0"),IPRESS!$A$3:$B$212,2,0),"")</f>
        <v/>
      </c>
      <c r="J276" s="280" t="n"/>
      <c r="K276" s="332">
        <f>IFERROR(VLOOKUP(TEXT(O276,"0"),CONDUCTORES!$A$3:$G$54,7,0),"")</f>
        <v/>
      </c>
      <c r="L276" s="280" t="n"/>
      <c r="M276" s="280" t="n"/>
      <c r="N276" s="333">
        <f>IFERROR(IF(L276*M276=0,"",L276*M276),"")</f>
        <v/>
      </c>
      <c r="O276" s="280" t="n"/>
      <c r="P276" s="332">
        <f>IFERROR(VLOOKUP(TEXT(O276,"0"),CONDUCTORES!$A$3:$G$54,2,0),"")</f>
        <v/>
      </c>
      <c r="Q276" s="332">
        <f>IFERROR(VLOOKUP(TEXT(O276,"0"),CONDUCTORES!$A$3:$H$54,6,0),"")</f>
        <v/>
      </c>
      <c r="R276" s="280" t="n"/>
      <c r="S276" s="280" t="n"/>
      <c r="T276" s="280" t="n"/>
      <c r="U276" s="280" t="n"/>
      <c r="V276" s="280" t="n"/>
      <c r="W276" s="280" t="n"/>
      <c r="X276" s="280" t="n"/>
      <c r="Y276" s="280" t="n"/>
      <c r="Z276" s="375">
        <f>IF(AND(G276&lt;&gt;"",R276&lt;&gt;"",V276&lt;&gt;"",W276&lt;&gt;""),"COMPLETADO","OBSERVADO")</f>
        <v/>
      </c>
    </row>
    <row r="277" ht="15" customHeight="1" s="195">
      <c r="A277" s="334" t="n"/>
      <c r="B277" s="334" t="n"/>
      <c r="C277" s="334" t="n"/>
      <c r="D277" s="334" t="n"/>
      <c r="E277" s="334" t="n"/>
      <c r="F277" s="334" t="n"/>
      <c r="G277" s="334" t="n"/>
      <c r="H277" s="334" t="n"/>
      <c r="I277" s="332">
        <f>IFERROR(VLOOKUP(TEXT(H277,"0"),IPRESS!$A$3:$B$212,2,0),"")</f>
        <v/>
      </c>
      <c r="J277" s="334" t="n"/>
      <c r="K277" s="332">
        <f>IFERROR(VLOOKUP(TEXT(O277,"0"),CONDUCTORES!$A$3:$G$54,7,0),"")</f>
        <v/>
      </c>
      <c r="L277" s="334" t="n"/>
      <c r="M277" s="334" t="n"/>
      <c r="N277" s="333">
        <f>IFERROR(IF(L277*M277=0,"",L277*M277),"")</f>
        <v/>
      </c>
      <c r="O277" s="334" t="n"/>
      <c r="P277" s="332">
        <f>IFERROR(VLOOKUP(TEXT(O277,"0"),CONDUCTORES!$A$3:$G$54,2,0),"")</f>
        <v/>
      </c>
      <c r="Q277" s="332">
        <f>IFERROR(VLOOKUP(TEXT(O277,"0"),CONDUCTORES!$A$3:$H$54,6,0),"")</f>
        <v/>
      </c>
      <c r="R277" s="334" t="n"/>
      <c r="S277" s="334" t="n"/>
      <c r="T277" s="334" t="n"/>
      <c r="U277" s="334" t="n"/>
      <c r="V277" s="334" t="n"/>
      <c r="W277" s="334" t="n"/>
      <c r="X277" s="334" t="n"/>
      <c r="Y277" s="334" t="n"/>
      <c r="Z277" s="375">
        <f>IF(AND(G277&lt;&gt;"",R277&lt;&gt;"",V277&lt;&gt;"",W277&lt;&gt;""),"COMPLETADO","OBSERVADO")</f>
        <v/>
      </c>
    </row>
    <row r="278" ht="15" customHeight="1" s="195">
      <c r="A278" s="280" t="n"/>
      <c r="B278" s="280" t="n"/>
      <c r="C278" s="280" t="n"/>
      <c r="D278" s="280" t="n"/>
      <c r="E278" s="280" t="n"/>
      <c r="F278" s="280" t="n"/>
      <c r="G278" s="280" t="n"/>
      <c r="H278" s="280" t="n"/>
      <c r="I278" s="332">
        <f>IFERROR(VLOOKUP(TEXT(H278,"0"),IPRESS!$A$3:$B$212,2,0),"")</f>
        <v/>
      </c>
      <c r="J278" s="280" t="n"/>
      <c r="K278" s="332">
        <f>IFERROR(VLOOKUP(TEXT(O278,"0"),CONDUCTORES!$A$3:$G$54,7,0),"")</f>
        <v/>
      </c>
      <c r="L278" s="280" t="n"/>
      <c r="M278" s="280" t="n"/>
      <c r="N278" s="333">
        <f>IFERROR(IF(L278*M278=0,"",L278*M278),"")</f>
        <v/>
      </c>
      <c r="O278" s="280" t="n"/>
      <c r="P278" s="332">
        <f>IFERROR(VLOOKUP(TEXT(O278,"0"),CONDUCTORES!$A$3:$G$54,2,0),"")</f>
        <v/>
      </c>
      <c r="Q278" s="332">
        <f>IFERROR(VLOOKUP(TEXT(O278,"0"),CONDUCTORES!$A$3:$H$54,6,0),"")</f>
        <v/>
      </c>
      <c r="R278" s="280" t="n"/>
      <c r="S278" s="280" t="n"/>
      <c r="T278" s="280" t="n"/>
      <c r="U278" s="280" t="n"/>
      <c r="V278" s="280" t="n"/>
      <c r="W278" s="280" t="n"/>
      <c r="X278" s="280" t="n"/>
      <c r="Y278" s="280" t="n"/>
      <c r="Z278" s="375">
        <f>IF(AND(G278&lt;&gt;"",R278&lt;&gt;"",V278&lt;&gt;"",W278&lt;&gt;""),"COMPLETADO","OBSERVADO")</f>
        <v/>
      </c>
    </row>
    <row r="279" ht="15" customHeight="1" s="195">
      <c r="A279" s="334" t="n"/>
      <c r="B279" s="334" t="n"/>
      <c r="C279" s="334" t="n"/>
      <c r="D279" s="334" t="n"/>
      <c r="E279" s="334" t="n"/>
      <c r="F279" s="334" t="n"/>
      <c r="G279" s="334" t="n"/>
      <c r="H279" s="334" t="n"/>
      <c r="I279" s="332">
        <f>IFERROR(VLOOKUP(TEXT(H279,"0"),IPRESS!$A$3:$B$212,2,0),"")</f>
        <v/>
      </c>
      <c r="J279" s="334" t="n"/>
      <c r="K279" s="332">
        <f>IFERROR(VLOOKUP(TEXT(O279,"0"),CONDUCTORES!$A$3:$G$54,7,0),"")</f>
        <v/>
      </c>
      <c r="L279" s="334" t="n"/>
      <c r="M279" s="334" t="n"/>
      <c r="N279" s="333">
        <f>IFERROR(IF(L279*M279=0,"",L279*M279),"")</f>
        <v/>
      </c>
      <c r="O279" s="334" t="n"/>
      <c r="P279" s="332">
        <f>IFERROR(VLOOKUP(TEXT(O279,"0"),CONDUCTORES!$A$3:$G$54,2,0),"")</f>
        <v/>
      </c>
      <c r="Q279" s="332">
        <f>IFERROR(VLOOKUP(TEXT(O279,"0"),CONDUCTORES!$A$3:$H$54,6,0),"")</f>
        <v/>
      </c>
      <c r="R279" s="334" t="n"/>
      <c r="S279" s="334" t="n"/>
      <c r="T279" s="334" t="n"/>
      <c r="U279" s="334" t="n"/>
      <c r="V279" s="334" t="n"/>
      <c r="W279" s="334" t="n"/>
      <c r="X279" s="334" t="n"/>
      <c r="Y279" s="334" t="n"/>
      <c r="Z279" s="375">
        <f>IF(AND(G279&lt;&gt;"",R279&lt;&gt;"",V279&lt;&gt;"",W279&lt;&gt;""),"COMPLETADO","OBSERVADO")</f>
        <v/>
      </c>
    </row>
    <row r="280" ht="15" customHeight="1" s="195">
      <c r="A280" s="280" t="n"/>
      <c r="B280" s="280" t="n"/>
      <c r="C280" s="280" t="n"/>
      <c r="D280" s="280" t="n"/>
      <c r="E280" s="280" t="n"/>
      <c r="F280" s="280" t="n"/>
      <c r="G280" s="280" t="n"/>
      <c r="H280" s="280" t="n"/>
      <c r="I280" s="332">
        <f>IFERROR(VLOOKUP(TEXT(H280,"0"),IPRESS!$A$3:$B$212,2,0),"")</f>
        <v/>
      </c>
      <c r="J280" s="280" t="n"/>
      <c r="K280" s="332">
        <f>IFERROR(VLOOKUP(TEXT(O280,"0"),CONDUCTORES!$A$3:$G$54,7,0),"")</f>
        <v/>
      </c>
      <c r="L280" s="280" t="n"/>
      <c r="M280" s="280" t="n"/>
      <c r="N280" s="333">
        <f>IFERROR(IF(L280*M280=0,"",L280*M280),"")</f>
        <v/>
      </c>
      <c r="O280" s="280" t="n"/>
      <c r="P280" s="332">
        <f>IFERROR(VLOOKUP(TEXT(O280,"0"),CONDUCTORES!$A$3:$G$54,2,0),"")</f>
        <v/>
      </c>
      <c r="Q280" s="332">
        <f>IFERROR(VLOOKUP(TEXT(O280,"0"),CONDUCTORES!$A$3:$H$54,6,0),"")</f>
        <v/>
      </c>
      <c r="R280" s="280" t="n"/>
      <c r="S280" s="280" t="n"/>
      <c r="T280" s="280" t="n"/>
      <c r="U280" s="280" t="n"/>
      <c r="V280" s="280" t="n"/>
      <c r="W280" s="280" t="n"/>
      <c r="X280" s="280" t="n"/>
      <c r="Y280" s="280" t="n"/>
      <c r="Z280" s="375">
        <f>IF(AND(G280&lt;&gt;"",R280&lt;&gt;"",V280&lt;&gt;"",W280&lt;&gt;""),"COMPLETADO","OBSERVADO")</f>
        <v/>
      </c>
    </row>
    <row r="281" ht="15" customHeight="1" s="195">
      <c r="A281" s="334" t="n"/>
      <c r="B281" s="334" t="n"/>
      <c r="C281" s="334" t="n"/>
      <c r="D281" s="334" t="n"/>
      <c r="E281" s="334" t="n"/>
      <c r="F281" s="334" t="n"/>
      <c r="G281" s="334" t="n"/>
      <c r="H281" s="334" t="n"/>
      <c r="I281" s="332">
        <f>IFERROR(VLOOKUP(TEXT(H281,"0"),IPRESS!$A$3:$B$212,2,0),"")</f>
        <v/>
      </c>
      <c r="J281" s="334" t="n"/>
      <c r="K281" s="332">
        <f>IFERROR(VLOOKUP(TEXT(O281,"0"),CONDUCTORES!$A$3:$G$54,7,0),"")</f>
        <v/>
      </c>
      <c r="L281" s="334" t="n"/>
      <c r="M281" s="334" t="n"/>
      <c r="N281" s="333">
        <f>IFERROR(IF(L281*M281=0,"",L281*M281),"")</f>
        <v/>
      </c>
      <c r="O281" s="334" t="n"/>
      <c r="P281" s="332">
        <f>IFERROR(VLOOKUP(TEXT(O281,"0"),CONDUCTORES!$A$3:$G$54,2,0),"")</f>
        <v/>
      </c>
      <c r="Q281" s="332">
        <f>IFERROR(VLOOKUP(TEXT(O281,"0"),CONDUCTORES!$A$3:$H$54,6,0),"")</f>
        <v/>
      </c>
      <c r="R281" s="334" t="n"/>
      <c r="S281" s="334" t="n"/>
      <c r="T281" s="334" t="n"/>
      <c r="U281" s="334" t="n"/>
      <c r="V281" s="334" t="n"/>
      <c r="W281" s="334" t="n"/>
      <c r="X281" s="334" t="n"/>
      <c r="Y281" s="334" t="n"/>
      <c r="Z281" s="375">
        <f>IF(AND(G281&lt;&gt;"",R281&lt;&gt;"",V281&lt;&gt;"",W281&lt;&gt;""),"COMPLETADO","OBSERVADO")</f>
        <v/>
      </c>
    </row>
    <row r="282" ht="15" customHeight="1" s="195">
      <c r="A282" s="280" t="n"/>
      <c r="B282" s="280" t="n"/>
      <c r="C282" s="280" t="n"/>
      <c r="D282" s="280" t="n"/>
      <c r="E282" s="280" t="n"/>
      <c r="F282" s="280" t="n"/>
      <c r="G282" s="280" t="n"/>
      <c r="H282" s="280" t="n"/>
      <c r="I282" s="332">
        <f>IFERROR(VLOOKUP(TEXT(H282,"0"),IPRESS!$A$3:$B$212,2,0),"")</f>
        <v/>
      </c>
      <c r="J282" s="280" t="n"/>
      <c r="K282" s="332">
        <f>IFERROR(VLOOKUP(TEXT(O282,"0"),CONDUCTORES!$A$3:$G$54,7,0),"")</f>
        <v/>
      </c>
      <c r="L282" s="280" t="n"/>
      <c r="M282" s="280" t="n"/>
      <c r="N282" s="333">
        <f>IFERROR(IF(L282*M282=0,"",L282*M282),"")</f>
        <v/>
      </c>
      <c r="O282" s="280" t="n"/>
      <c r="P282" s="332">
        <f>IFERROR(VLOOKUP(TEXT(O282,"0"),CONDUCTORES!$A$3:$G$54,2,0),"")</f>
        <v/>
      </c>
      <c r="Q282" s="332">
        <f>IFERROR(VLOOKUP(TEXT(O282,"0"),CONDUCTORES!$A$3:$H$54,6,0),"")</f>
        <v/>
      </c>
      <c r="R282" s="280" t="n"/>
      <c r="S282" s="280" t="n"/>
      <c r="T282" s="280" t="n"/>
      <c r="U282" s="280" t="n"/>
      <c r="V282" s="280" t="n"/>
      <c r="W282" s="280" t="n"/>
      <c r="X282" s="280" t="n"/>
      <c r="Y282" s="280" t="n"/>
      <c r="Z282" s="375">
        <f>IF(AND(G282&lt;&gt;"",R282&lt;&gt;"",V282&lt;&gt;"",W282&lt;&gt;""),"COMPLETADO","OBSERVADO")</f>
        <v/>
      </c>
    </row>
    <row r="283" ht="15" customHeight="1" s="195">
      <c r="A283" s="334" t="n"/>
      <c r="B283" s="334" t="n"/>
      <c r="C283" s="334" t="n"/>
      <c r="D283" s="334" t="n"/>
      <c r="E283" s="334" t="n"/>
      <c r="F283" s="334" t="n"/>
      <c r="G283" s="334" t="n"/>
      <c r="H283" s="334" t="n"/>
      <c r="I283" s="332">
        <f>IFERROR(VLOOKUP(TEXT(H283,"0"),IPRESS!$A$3:$B$212,2,0),"")</f>
        <v/>
      </c>
      <c r="J283" s="334" t="n"/>
      <c r="K283" s="332">
        <f>IFERROR(VLOOKUP(TEXT(O283,"0"),CONDUCTORES!$A$3:$G$54,7,0),"")</f>
        <v/>
      </c>
      <c r="L283" s="334" t="n"/>
      <c r="M283" s="334" t="n"/>
      <c r="N283" s="333">
        <f>IFERROR(IF(L283*M283=0,"",L283*M283),"")</f>
        <v/>
      </c>
      <c r="O283" s="334" t="n"/>
      <c r="P283" s="332">
        <f>IFERROR(VLOOKUP(TEXT(O283,"0"),CONDUCTORES!$A$3:$G$54,2,0),"")</f>
        <v/>
      </c>
      <c r="Q283" s="332">
        <f>IFERROR(VLOOKUP(TEXT(O283,"0"),CONDUCTORES!$A$3:$H$54,6,0),"")</f>
        <v/>
      </c>
      <c r="R283" s="334" t="n"/>
      <c r="S283" s="334" t="n"/>
      <c r="T283" s="334" t="n"/>
      <c r="U283" s="334" t="n"/>
      <c r="V283" s="334" t="n"/>
      <c r="W283" s="334" t="n"/>
      <c r="X283" s="334" t="n"/>
      <c r="Y283" s="334" t="n"/>
      <c r="Z283" s="375">
        <f>IF(AND(G283&lt;&gt;"",R283&lt;&gt;"",V283&lt;&gt;"",W283&lt;&gt;""),"COMPLETADO","OBSERVADO")</f>
        <v/>
      </c>
    </row>
    <row r="284" ht="15" customHeight="1" s="195">
      <c r="A284" s="280" t="n"/>
      <c r="B284" s="280" t="n"/>
      <c r="C284" s="280" t="n"/>
      <c r="D284" s="280" t="n"/>
      <c r="E284" s="280" t="n"/>
      <c r="F284" s="280" t="n"/>
      <c r="G284" s="280" t="n"/>
      <c r="H284" s="280" t="n"/>
      <c r="I284" s="332">
        <f>IFERROR(VLOOKUP(TEXT(H284,"0"),IPRESS!$A$3:$B$212,2,0),"")</f>
        <v/>
      </c>
      <c r="J284" s="280" t="n"/>
      <c r="K284" s="332">
        <f>IFERROR(VLOOKUP(TEXT(O284,"0"),CONDUCTORES!$A$3:$G$54,7,0),"")</f>
        <v/>
      </c>
      <c r="L284" s="280" t="n"/>
      <c r="M284" s="280" t="n"/>
      <c r="N284" s="333">
        <f>IFERROR(IF(L284*M284=0,"",L284*M284),"")</f>
        <v/>
      </c>
      <c r="O284" s="280" t="n"/>
      <c r="P284" s="332">
        <f>IFERROR(VLOOKUP(TEXT(O284,"0"),CONDUCTORES!$A$3:$G$54,2,0),"")</f>
        <v/>
      </c>
      <c r="Q284" s="332">
        <f>IFERROR(VLOOKUP(TEXT(O284,"0"),CONDUCTORES!$A$3:$H$54,6,0),"")</f>
        <v/>
      </c>
      <c r="R284" s="280" t="n"/>
      <c r="S284" s="280" t="n"/>
      <c r="T284" s="280" t="n"/>
      <c r="U284" s="280" t="n"/>
      <c r="V284" s="280" t="n"/>
      <c r="W284" s="280" t="n"/>
      <c r="X284" s="280" t="n"/>
      <c r="Y284" s="280" t="n"/>
      <c r="Z284" s="375">
        <f>IF(AND(G284&lt;&gt;"",R284&lt;&gt;"",V284&lt;&gt;"",W284&lt;&gt;""),"COMPLETADO","OBSERVADO")</f>
        <v/>
      </c>
    </row>
    <row r="285" ht="15" customHeight="1" s="195">
      <c r="A285" s="334" t="n"/>
      <c r="B285" s="334" t="n"/>
      <c r="C285" s="334" t="n"/>
      <c r="D285" s="334" t="n"/>
      <c r="E285" s="334" t="n"/>
      <c r="F285" s="334" t="n"/>
      <c r="G285" s="334" t="n"/>
      <c r="H285" s="334" t="n"/>
      <c r="I285" s="332">
        <f>IFERROR(VLOOKUP(TEXT(H285,"0"),IPRESS!$A$3:$B$212,2,0),"")</f>
        <v/>
      </c>
      <c r="J285" s="334" t="n"/>
      <c r="K285" s="332">
        <f>IFERROR(VLOOKUP(TEXT(O285,"0"),CONDUCTORES!$A$3:$G$54,7,0),"")</f>
        <v/>
      </c>
      <c r="L285" s="334" t="n"/>
      <c r="M285" s="334" t="n"/>
      <c r="N285" s="333">
        <f>IFERROR(IF(L285*M285=0,"",L285*M285),"")</f>
        <v/>
      </c>
      <c r="O285" s="334" t="n"/>
      <c r="P285" s="332">
        <f>IFERROR(VLOOKUP(TEXT(O285,"0"),CONDUCTORES!$A$3:$G$54,2,0),"")</f>
        <v/>
      </c>
      <c r="Q285" s="332">
        <f>IFERROR(VLOOKUP(TEXT(O285,"0"),CONDUCTORES!$A$3:$H$54,6,0),"")</f>
        <v/>
      </c>
      <c r="R285" s="334" t="n"/>
      <c r="S285" s="334" t="n"/>
      <c r="T285" s="334" t="n"/>
      <c r="U285" s="334" t="n"/>
      <c r="V285" s="334" t="n"/>
      <c r="W285" s="334" t="n"/>
      <c r="X285" s="334" t="n"/>
      <c r="Y285" s="334" t="n"/>
      <c r="Z285" s="375">
        <f>IF(AND(G285&lt;&gt;"",R285&lt;&gt;"",V285&lt;&gt;"",W285&lt;&gt;""),"COMPLETADO","OBSERVADO")</f>
        <v/>
      </c>
    </row>
    <row r="286" ht="15" customHeight="1" s="195">
      <c r="A286" s="280" t="n"/>
      <c r="B286" s="280" t="n"/>
      <c r="C286" s="280" t="n"/>
      <c r="D286" s="280" t="n"/>
      <c r="E286" s="280" t="n"/>
      <c r="F286" s="280" t="n"/>
      <c r="G286" s="280" t="n"/>
      <c r="H286" s="280" t="n"/>
      <c r="I286" s="332">
        <f>IFERROR(VLOOKUP(TEXT(H286,"0"),IPRESS!$A$3:$B$212,2,0),"")</f>
        <v/>
      </c>
      <c r="J286" s="280" t="n"/>
      <c r="K286" s="332">
        <f>IFERROR(VLOOKUP(TEXT(O286,"0"),CONDUCTORES!$A$3:$G$54,7,0),"")</f>
        <v/>
      </c>
      <c r="L286" s="280" t="n"/>
      <c r="M286" s="280" t="n"/>
      <c r="N286" s="333">
        <f>IFERROR(IF(L286*M286=0,"",L286*M286),"")</f>
        <v/>
      </c>
      <c r="O286" s="280" t="n"/>
      <c r="P286" s="332">
        <f>IFERROR(VLOOKUP(TEXT(O286,"0"),CONDUCTORES!$A$3:$G$54,2,0),"")</f>
        <v/>
      </c>
      <c r="Q286" s="332">
        <f>IFERROR(VLOOKUP(TEXT(O286,"0"),CONDUCTORES!$A$3:$H$54,6,0),"")</f>
        <v/>
      </c>
      <c r="R286" s="280" t="n"/>
      <c r="S286" s="280" t="n"/>
      <c r="T286" s="280" t="n"/>
      <c r="U286" s="280" t="n"/>
      <c r="V286" s="280" t="n"/>
      <c r="W286" s="280" t="n"/>
      <c r="X286" s="280" t="n"/>
      <c r="Y286" s="280" t="n"/>
      <c r="Z286" s="375">
        <f>IF(AND(G286&lt;&gt;"",R286&lt;&gt;"",V286&lt;&gt;"",W286&lt;&gt;""),"COMPLETADO","OBSERVADO")</f>
        <v/>
      </c>
    </row>
    <row r="287" ht="15" customHeight="1" s="195">
      <c r="A287" s="334" t="n"/>
      <c r="B287" s="334" t="n"/>
      <c r="C287" s="334" t="n"/>
      <c r="D287" s="334" t="n"/>
      <c r="E287" s="334" t="n"/>
      <c r="F287" s="334" t="n"/>
      <c r="G287" s="334" t="n"/>
      <c r="H287" s="334" t="n"/>
      <c r="I287" s="332">
        <f>IFERROR(VLOOKUP(TEXT(H287,"0"),IPRESS!$A$3:$B$212,2,0),"")</f>
        <v/>
      </c>
      <c r="J287" s="334" t="n"/>
      <c r="K287" s="332">
        <f>IFERROR(VLOOKUP(TEXT(O287,"0"),CONDUCTORES!$A$3:$G$54,7,0),"")</f>
        <v/>
      </c>
      <c r="L287" s="334" t="n"/>
      <c r="M287" s="334" t="n"/>
      <c r="N287" s="333">
        <f>IFERROR(IF(L287*M287=0,"",L287*M287),"")</f>
        <v/>
      </c>
      <c r="O287" s="334" t="n"/>
      <c r="P287" s="332">
        <f>IFERROR(VLOOKUP(TEXT(O287,"0"),CONDUCTORES!$A$3:$G$54,2,0),"")</f>
        <v/>
      </c>
      <c r="Q287" s="332">
        <f>IFERROR(VLOOKUP(TEXT(O287,"0"),CONDUCTORES!$A$3:$H$54,6,0),"")</f>
        <v/>
      </c>
      <c r="R287" s="334" t="n"/>
      <c r="S287" s="334" t="n"/>
      <c r="T287" s="334" t="n"/>
      <c r="U287" s="334" t="n"/>
      <c r="V287" s="334" t="n"/>
      <c r="W287" s="334" t="n"/>
      <c r="X287" s="334" t="n"/>
      <c r="Y287" s="334" t="n"/>
      <c r="Z287" s="375">
        <f>IF(AND(G287&lt;&gt;"",R287&lt;&gt;"",V287&lt;&gt;"",W287&lt;&gt;""),"COMPLETADO","OBSERVADO")</f>
        <v/>
      </c>
    </row>
    <row r="288" ht="15" customHeight="1" s="195">
      <c r="A288" s="280" t="n"/>
      <c r="B288" s="280" t="n"/>
      <c r="C288" s="280" t="n"/>
      <c r="D288" s="280" t="n"/>
      <c r="E288" s="280" t="n"/>
      <c r="F288" s="280" t="n"/>
      <c r="G288" s="280" t="n"/>
      <c r="H288" s="280" t="n"/>
      <c r="I288" s="332">
        <f>IFERROR(VLOOKUP(TEXT(H288,"0"),IPRESS!$A$3:$B$212,2,0),"")</f>
        <v/>
      </c>
      <c r="J288" s="280" t="n"/>
      <c r="K288" s="332">
        <f>IFERROR(VLOOKUP(TEXT(O288,"0"),CONDUCTORES!$A$3:$G$54,7,0),"")</f>
        <v/>
      </c>
      <c r="L288" s="280" t="n"/>
      <c r="M288" s="280" t="n"/>
      <c r="N288" s="333">
        <f>IFERROR(IF(L288*M288=0,"",L288*M288),"")</f>
        <v/>
      </c>
      <c r="O288" s="280" t="n"/>
      <c r="P288" s="332">
        <f>IFERROR(VLOOKUP(TEXT(O288,"0"),CONDUCTORES!$A$3:$G$54,2,0),"")</f>
        <v/>
      </c>
      <c r="Q288" s="332">
        <f>IFERROR(VLOOKUP(TEXT(O288,"0"),CONDUCTORES!$A$3:$H$54,6,0),"")</f>
        <v/>
      </c>
      <c r="R288" s="280" t="n"/>
      <c r="S288" s="280" t="n"/>
      <c r="T288" s="280" t="n"/>
      <c r="U288" s="280" t="n"/>
      <c r="V288" s="280" t="n"/>
      <c r="W288" s="280" t="n"/>
      <c r="X288" s="280" t="n"/>
      <c r="Y288" s="280" t="n"/>
      <c r="Z288" s="375">
        <f>IF(AND(G288&lt;&gt;"",R288&lt;&gt;"",V288&lt;&gt;"",W288&lt;&gt;""),"COMPLETADO","OBSERVADO")</f>
        <v/>
      </c>
    </row>
    <row r="289" ht="15" customHeight="1" s="195">
      <c r="A289" s="334" t="n"/>
      <c r="B289" s="334" t="n"/>
      <c r="C289" s="334" t="n"/>
      <c r="D289" s="334" t="n"/>
      <c r="E289" s="334" t="n"/>
      <c r="F289" s="334" t="n"/>
      <c r="G289" s="334" t="n"/>
      <c r="H289" s="334" t="n"/>
      <c r="I289" s="332">
        <f>IFERROR(VLOOKUP(TEXT(H289,"0"),IPRESS!$A$3:$B$212,2,0),"")</f>
        <v/>
      </c>
      <c r="J289" s="334" t="n"/>
      <c r="K289" s="332">
        <f>IFERROR(VLOOKUP(TEXT(O289,"0"),CONDUCTORES!$A$3:$G$54,7,0),"")</f>
        <v/>
      </c>
      <c r="L289" s="334" t="n"/>
      <c r="M289" s="334" t="n"/>
      <c r="N289" s="333">
        <f>IFERROR(IF(L289*M289=0,"",L289*M289),"")</f>
        <v/>
      </c>
      <c r="O289" s="334" t="n"/>
      <c r="P289" s="332">
        <f>IFERROR(VLOOKUP(TEXT(O289,"0"),CONDUCTORES!$A$3:$G$54,2,0),"")</f>
        <v/>
      </c>
      <c r="Q289" s="332">
        <f>IFERROR(VLOOKUP(TEXT(O289,"0"),CONDUCTORES!$A$3:$H$54,6,0),"")</f>
        <v/>
      </c>
      <c r="R289" s="334" t="n"/>
      <c r="S289" s="334" t="n"/>
      <c r="T289" s="334" t="n"/>
      <c r="U289" s="334" t="n"/>
      <c r="V289" s="334" t="n"/>
      <c r="W289" s="334" t="n"/>
      <c r="X289" s="334" t="n"/>
      <c r="Y289" s="334" t="n"/>
      <c r="Z289" s="375">
        <f>IF(AND(G289&lt;&gt;"",R289&lt;&gt;"",V289&lt;&gt;"",W289&lt;&gt;""),"COMPLETADO","OBSERVADO")</f>
        <v/>
      </c>
    </row>
    <row r="290" ht="15" customHeight="1" s="195">
      <c r="A290" s="280" t="n"/>
      <c r="B290" s="280" t="n"/>
      <c r="C290" s="280" t="n"/>
      <c r="D290" s="280" t="n"/>
      <c r="E290" s="280" t="n"/>
      <c r="F290" s="280" t="n"/>
      <c r="G290" s="280" t="n"/>
      <c r="H290" s="280" t="n"/>
      <c r="I290" s="332">
        <f>IFERROR(VLOOKUP(TEXT(H290,"0"),IPRESS!$A$3:$B$212,2,0),"")</f>
        <v/>
      </c>
      <c r="J290" s="280" t="n"/>
      <c r="K290" s="332">
        <f>IFERROR(VLOOKUP(TEXT(O290,"0"),CONDUCTORES!$A$3:$G$54,7,0),"")</f>
        <v/>
      </c>
      <c r="L290" s="280" t="n"/>
      <c r="M290" s="280" t="n"/>
      <c r="N290" s="333">
        <f>IFERROR(IF(L290*M290=0,"",L290*M290),"")</f>
        <v/>
      </c>
      <c r="O290" s="280" t="n"/>
      <c r="P290" s="332">
        <f>IFERROR(VLOOKUP(TEXT(O290,"0"),CONDUCTORES!$A$3:$G$54,2,0),"")</f>
        <v/>
      </c>
      <c r="Q290" s="332">
        <f>IFERROR(VLOOKUP(TEXT(O290,"0"),CONDUCTORES!$A$3:$H$54,6,0),"")</f>
        <v/>
      </c>
      <c r="R290" s="280" t="n"/>
      <c r="S290" s="280" t="n"/>
      <c r="T290" s="280" t="n"/>
      <c r="U290" s="280" t="n"/>
      <c r="V290" s="280" t="n"/>
      <c r="W290" s="280" t="n"/>
      <c r="X290" s="280" t="n"/>
      <c r="Y290" s="280" t="n"/>
      <c r="Z290" s="375">
        <f>IF(AND(G290&lt;&gt;"",R290&lt;&gt;"",V290&lt;&gt;"",W290&lt;&gt;""),"COMPLETADO","OBSERVADO")</f>
        <v/>
      </c>
    </row>
    <row r="291" ht="15" customHeight="1" s="195">
      <c r="A291" s="334" t="n"/>
      <c r="B291" s="334" t="n"/>
      <c r="C291" s="334" t="n"/>
      <c r="D291" s="334" t="n"/>
      <c r="E291" s="334" t="n"/>
      <c r="F291" s="334" t="n"/>
      <c r="G291" s="334" t="n"/>
      <c r="H291" s="334" t="n"/>
      <c r="I291" s="332">
        <f>IFERROR(VLOOKUP(TEXT(H291,"0"),IPRESS!$A$3:$B$212,2,0),"")</f>
        <v/>
      </c>
      <c r="J291" s="334" t="n"/>
      <c r="K291" s="332">
        <f>IFERROR(VLOOKUP(TEXT(O291,"0"),CONDUCTORES!$A$3:$G$54,7,0),"")</f>
        <v/>
      </c>
      <c r="L291" s="334" t="n"/>
      <c r="M291" s="334" t="n"/>
      <c r="N291" s="333">
        <f>IFERROR(IF(L291*M291=0,"",L291*M291),"")</f>
        <v/>
      </c>
      <c r="O291" s="334" t="n"/>
      <c r="P291" s="332">
        <f>IFERROR(VLOOKUP(TEXT(O291,"0"),CONDUCTORES!$A$3:$G$54,2,0),"")</f>
        <v/>
      </c>
      <c r="Q291" s="332">
        <f>IFERROR(VLOOKUP(TEXT(O291,"0"),CONDUCTORES!$A$3:$H$54,6,0),"")</f>
        <v/>
      </c>
      <c r="R291" s="334" t="n"/>
      <c r="S291" s="334" t="n"/>
      <c r="T291" s="334" t="n"/>
      <c r="U291" s="334" t="n"/>
      <c r="V291" s="334" t="n"/>
      <c r="W291" s="334" t="n"/>
      <c r="X291" s="334" t="n"/>
      <c r="Y291" s="334" t="n"/>
      <c r="Z291" s="375">
        <f>IF(AND(G291&lt;&gt;"",R291&lt;&gt;"",V291&lt;&gt;"",W291&lt;&gt;""),"COMPLETADO","OBSERVADO")</f>
        <v/>
      </c>
    </row>
    <row r="292" ht="15" customHeight="1" s="195">
      <c r="A292" s="280" t="n"/>
      <c r="B292" s="280" t="n"/>
      <c r="C292" s="280" t="n"/>
      <c r="D292" s="280" t="n"/>
      <c r="E292" s="280" t="n"/>
      <c r="F292" s="280" t="n"/>
      <c r="G292" s="280" t="n"/>
      <c r="H292" s="280" t="n"/>
      <c r="I292" s="332">
        <f>IFERROR(VLOOKUP(TEXT(H292,"0"),IPRESS!$A$3:$B$212,2,0),"")</f>
        <v/>
      </c>
      <c r="J292" s="280" t="n"/>
      <c r="K292" s="332">
        <f>IFERROR(VLOOKUP(TEXT(O292,"0"),CONDUCTORES!$A$3:$G$54,7,0),"")</f>
        <v/>
      </c>
      <c r="L292" s="280" t="n"/>
      <c r="M292" s="280" t="n"/>
      <c r="N292" s="333">
        <f>IFERROR(IF(L292*M292=0,"",L292*M292),"")</f>
        <v/>
      </c>
      <c r="O292" s="280" t="n"/>
      <c r="P292" s="332">
        <f>IFERROR(VLOOKUP(TEXT(O292,"0"),CONDUCTORES!$A$3:$G$54,2,0),"")</f>
        <v/>
      </c>
      <c r="Q292" s="332">
        <f>IFERROR(VLOOKUP(TEXT(O292,"0"),CONDUCTORES!$A$3:$H$54,6,0),"")</f>
        <v/>
      </c>
      <c r="R292" s="280" t="n"/>
      <c r="S292" s="280" t="n"/>
      <c r="T292" s="280" t="n"/>
      <c r="U292" s="280" t="n"/>
      <c r="V292" s="280" t="n"/>
      <c r="W292" s="280" t="n"/>
      <c r="X292" s="280" t="n"/>
      <c r="Y292" s="280" t="n"/>
      <c r="Z292" s="375">
        <f>IF(AND(G292&lt;&gt;"",R292&lt;&gt;"",V292&lt;&gt;"",W292&lt;&gt;""),"COMPLETADO","OBSERVADO")</f>
        <v/>
      </c>
    </row>
    <row r="293" ht="15" customHeight="1" s="195">
      <c r="A293" s="334" t="n"/>
      <c r="B293" s="334" t="n"/>
      <c r="C293" s="334" t="n"/>
      <c r="D293" s="334" t="n"/>
      <c r="E293" s="334" t="n"/>
      <c r="F293" s="334" t="n"/>
      <c r="G293" s="334" t="n"/>
      <c r="H293" s="334" t="n"/>
      <c r="I293" s="332">
        <f>IFERROR(VLOOKUP(TEXT(H293,"0"),IPRESS!$A$3:$B$212,2,0),"")</f>
        <v/>
      </c>
      <c r="J293" s="334" t="n"/>
      <c r="K293" s="332">
        <f>IFERROR(VLOOKUP(TEXT(O293,"0"),CONDUCTORES!$A$3:$G$54,7,0),"")</f>
        <v/>
      </c>
      <c r="L293" s="334" t="n"/>
      <c r="M293" s="334" t="n"/>
      <c r="N293" s="333">
        <f>IFERROR(IF(L293*M293=0,"",L293*M293),"")</f>
        <v/>
      </c>
      <c r="O293" s="334" t="n"/>
      <c r="P293" s="332">
        <f>IFERROR(VLOOKUP(TEXT(O293,"0"),CONDUCTORES!$A$3:$G$54,2,0),"")</f>
        <v/>
      </c>
      <c r="Q293" s="332">
        <f>IFERROR(VLOOKUP(TEXT(O293,"0"),CONDUCTORES!$A$3:$H$54,6,0),"")</f>
        <v/>
      </c>
      <c r="R293" s="334" t="n"/>
      <c r="S293" s="334" t="n"/>
      <c r="T293" s="334" t="n"/>
      <c r="U293" s="334" t="n"/>
      <c r="V293" s="334" t="n"/>
      <c r="W293" s="334" t="n"/>
      <c r="X293" s="334" t="n"/>
      <c r="Y293" s="334" t="n"/>
      <c r="Z293" s="375">
        <f>IF(AND(G293&lt;&gt;"",R293&lt;&gt;"",V293&lt;&gt;"",W293&lt;&gt;""),"COMPLETADO","OBSERVADO")</f>
        <v/>
      </c>
    </row>
    <row r="294" ht="15" customHeight="1" s="195">
      <c r="A294" s="280" t="n"/>
      <c r="B294" s="280" t="n"/>
      <c r="C294" s="280" t="n"/>
      <c r="D294" s="280" t="n"/>
      <c r="E294" s="280" t="n"/>
      <c r="F294" s="280" t="n"/>
      <c r="G294" s="280" t="n"/>
      <c r="H294" s="280" t="n"/>
      <c r="I294" s="332">
        <f>IFERROR(VLOOKUP(TEXT(H294,"0"),IPRESS!$A$3:$B$212,2,0),"")</f>
        <v/>
      </c>
      <c r="J294" s="280" t="n"/>
      <c r="K294" s="332">
        <f>IFERROR(VLOOKUP(TEXT(O294,"0"),CONDUCTORES!$A$3:$G$54,7,0),"")</f>
        <v/>
      </c>
      <c r="L294" s="280" t="n"/>
      <c r="M294" s="280" t="n"/>
      <c r="N294" s="333">
        <f>IFERROR(IF(L294*M294=0,"",L294*M294),"")</f>
        <v/>
      </c>
      <c r="O294" s="280" t="n"/>
      <c r="P294" s="332">
        <f>IFERROR(VLOOKUP(TEXT(O294,"0"),CONDUCTORES!$A$3:$G$54,2,0),"")</f>
        <v/>
      </c>
      <c r="Q294" s="332">
        <f>IFERROR(VLOOKUP(TEXT(O294,"0"),CONDUCTORES!$A$3:$H$54,6,0),"")</f>
        <v/>
      </c>
      <c r="R294" s="280" t="n"/>
      <c r="S294" s="280" t="n"/>
      <c r="T294" s="280" t="n"/>
      <c r="U294" s="280" t="n"/>
      <c r="V294" s="280" t="n"/>
      <c r="W294" s="280" t="n"/>
      <c r="X294" s="280" t="n"/>
      <c r="Y294" s="280" t="n"/>
      <c r="Z294" s="375">
        <f>IF(AND(G294&lt;&gt;"",R294&lt;&gt;"",V294&lt;&gt;"",W294&lt;&gt;""),"COMPLETADO","OBSERVADO")</f>
        <v/>
      </c>
    </row>
    <row r="295" ht="15" customHeight="1" s="195">
      <c r="A295" s="334" t="n"/>
      <c r="B295" s="334" t="n"/>
      <c r="C295" s="334" t="n"/>
      <c r="D295" s="334" t="n"/>
      <c r="E295" s="334" t="n"/>
      <c r="F295" s="334" t="n"/>
      <c r="G295" s="334" t="n"/>
      <c r="H295" s="334" t="n"/>
      <c r="I295" s="332">
        <f>IFERROR(VLOOKUP(TEXT(H295,"0"),IPRESS!$A$3:$B$212,2,0),"")</f>
        <v/>
      </c>
      <c r="J295" s="334" t="n"/>
      <c r="K295" s="332">
        <f>IFERROR(VLOOKUP(TEXT(O295,"0"),CONDUCTORES!$A$3:$G$54,7,0),"")</f>
        <v/>
      </c>
      <c r="L295" s="334" t="n"/>
      <c r="M295" s="334" t="n"/>
      <c r="N295" s="333">
        <f>IFERROR(IF(L295*M295=0,"",L295*M295),"")</f>
        <v/>
      </c>
      <c r="O295" s="334" t="n"/>
      <c r="P295" s="332">
        <f>IFERROR(VLOOKUP(TEXT(O295,"0"),CONDUCTORES!$A$3:$G$54,2,0),"")</f>
        <v/>
      </c>
      <c r="Q295" s="332">
        <f>IFERROR(VLOOKUP(TEXT(O295,"0"),CONDUCTORES!$A$3:$H$54,6,0),"")</f>
        <v/>
      </c>
      <c r="R295" s="334" t="n"/>
      <c r="S295" s="334" t="n"/>
      <c r="T295" s="334" t="n"/>
      <c r="U295" s="334" t="n"/>
      <c r="V295" s="334" t="n"/>
      <c r="W295" s="334" t="n"/>
      <c r="X295" s="334" t="n"/>
      <c r="Y295" s="334" t="n"/>
      <c r="Z295" s="375">
        <f>IF(AND(G295&lt;&gt;"",R295&lt;&gt;"",V295&lt;&gt;"",W295&lt;&gt;""),"COMPLETADO","OBSERVADO")</f>
        <v/>
      </c>
    </row>
    <row r="296" ht="15" customHeight="1" s="195">
      <c r="A296" s="280" t="n"/>
      <c r="B296" s="280" t="n"/>
      <c r="C296" s="280" t="n"/>
      <c r="D296" s="280" t="n"/>
      <c r="E296" s="280" t="n"/>
      <c r="F296" s="280" t="n"/>
      <c r="G296" s="280" t="n"/>
      <c r="H296" s="280" t="n"/>
      <c r="I296" s="332">
        <f>IFERROR(VLOOKUP(TEXT(H296,"0"),IPRESS!$A$3:$B$212,2,0),"")</f>
        <v/>
      </c>
      <c r="J296" s="280" t="n"/>
      <c r="K296" s="332">
        <f>IFERROR(VLOOKUP(TEXT(O296,"0"),CONDUCTORES!$A$3:$G$54,7,0),"")</f>
        <v/>
      </c>
      <c r="L296" s="280" t="n"/>
      <c r="M296" s="280" t="n"/>
      <c r="N296" s="333">
        <f>IFERROR(IF(L296*M296=0,"",L296*M296),"")</f>
        <v/>
      </c>
      <c r="O296" s="280" t="n"/>
      <c r="P296" s="332">
        <f>IFERROR(VLOOKUP(TEXT(O296,"0"),CONDUCTORES!$A$3:$G$54,2,0),"")</f>
        <v/>
      </c>
      <c r="Q296" s="332">
        <f>IFERROR(VLOOKUP(TEXT(O296,"0"),CONDUCTORES!$A$3:$H$54,6,0),"")</f>
        <v/>
      </c>
      <c r="R296" s="280" t="n"/>
      <c r="S296" s="280" t="n"/>
      <c r="T296" s="280" t="n"/>
      <c r="U296" s="280" t="n"/>
      <c r="V296" s="280" t="n"/>
      <c r="W296" s="280" t="n"/>
      <c r="X296" s="280" t="n"/>
      <c r="Y296" s="280" t="n"/>
      <c r="Z296" s="375">
        <f>IF(AND(G296&lt;&gt;"",R296&lt;&gt;"",V296&lt;&gt;"",W296&lt;&gt;""),"COMPLETADO","OBSERVADO")</f>
        <v/>
      </c>
    </row>
    <row r="297" ht="15" customHeight="1" s="195">
      <c r="A297" s="334" t="n"/>
      <c r="B297" s="334" t="n"/>
      <c r="C297" s="334" t="n"/>
      <c r="D297" s="334" t="n"/>
      <c r="E297" s="334" t="n"/>
      <c r="F297" s="334" t="n"/>
      <c r="G297" s="334" t="n"/>
      <c r="H297" s="334" t="n"/>
      <c r="I297" s="332">
        <f>IFERROR(VLOOKUP(TEXT(H297,"0"),IPRESS!$A$3:$B$212,2,0),"")</f>
        <v/>
      </c>
      <c r="J297" s="334" t="n"/>
      <c r="K297" s="332">
        <f>IFERROR(VLOOKUP(TEXT(O297,"0"),CONDUCTORES!$A$3:$G$54,7,0),"")</f>
        <v/>
      </c>
      <c r="L297" s="334" t="n"/>
      <c r="M297" s="334" t="n"/>
      <c r="N297" s="333">
        <f>IFERROR(IF(L297*M297=0,"",L297*M297),"")</f>
        <v/>
      </c>
      <c r="O297" s="334" t="n"/>
      <c r="P297" s="332">
        <f>IFERROR(VLOOKUP(TEXT(O297,"0"),CONDUCTORES!$A$3:$G$54,2,0),"")</f>
        <v/>
      </c>
      <c r="Q297" s="332">
        <f>IFERROR(VLOOKUP(TEXT(O297,"0"),CONDUCTORES!$A$3:$H$54,6,0),"")</f>
        <v/>
      </c>
      <c r="R297" s="334" t="n"/>
      <c r="S297" s="334" t="n"/>
      <c r="T297" s="334" t="n"/>
      <c r="U297" s="334" t="n"/>
      <c r="V297" s="334" t="n"/>
      <c r="W297" s="334" t="n"/>
      <c r="X297" s="334" t="n"/>
      <c r="Y297" s="334" t="n"/>
      <c r="Z297" s="375">
        <f>IF(AND(G297&lt;&gt;"",R297&lt;&gt;"",V297&lt;&gt;"",W297&lt;&gt;""),"COMPLETADO","OBSERVADO")</f>
        <v/>
      </c>
    </row>
    <row r="298" ht="15" customHeight="1" s="195">
      <c r="A298" s="280" t="n"/>
      <c r="B298" s="280" t="n"/>
      <c r="C298" s="280" t="n"/>
      <c r="D298" s="280" t="n"/>
      <c r="E298" s="280" t="n"/>
      <c r="F298" s="280" t="n"/>
      <c r="G298" s="280" t="n"/>
      <c r="H298" s="280" t="n"/>
      <c r="I298" s="332">
        <f>IFERROR(VLOOKUP(TEXT(H298,"0"),IPRESS!$A$3:$B$212,2,0),"")</f>
        <v/>
      </c>
      <c r="J298" s="280" t="n"/>
      <c r="K298" s="332">
        <f>IFERROR(VLOOKUP(TEXT(O298,"0"),CONDUCTORES!$A$3:$G$54,7,0),"")</f>
        <v/>
      </c>
      <c r="L298" s="280" t="n"/>
      <c r="M298" s="280" t="n"/>
      <c r="N298" s="333">
        <f>IFERROR(IF(L298*M298=0,"",L298*M298),"")</f>
        <v/>
      </c>
      <c r="O298" s="280" t="n"/>
      <c r="P298" s="332">
        <f>IFERROR(VLOOKUP(TEXT(O298,"0"),CONDUCTORES!$A$3:$G$54,2,0),"")</f>
        <v/>
      </c>
      <c r="Q298" s="332">
        <f>IFERROR(VLOOKUP(TEXT(O298,"0"),CONDUCTORES!$A$3:$H$54,6,0),"")</f>
        <v/>
      </c>
      <c r="R298" s="280" t="n"/>
      <c r="S298" s="280" t="n"/>
      <c r="T298" s="280" t="n"/>
      <c r="U298" s="280" t="n"/>
      <c r="V298" s="280" t="n"/>
      <c r="W298" s="280" t="n"/>
      <c r="X298" s="280" t="n"/>
      <c r="Y298" s="280" t="n"/>
      <c r="Z298" s="375">
        <f>IF(AND(G298&lt;&gt;"",R298&lt;&gt;"",V298&lt;&gt;"",W298&lt;&gt;""),"COMPLETADO","OBSERVADO")</f>
        <v/>
      </c>
    </row>
    <row r="299" ht="15" customHeight="1" s="195">
      <c r="A299" s="334" t="n"/>
      <c r="B299" s="334" t="n"/>
      <c r="C299" s="334" t="n"/>
      <c r="D299" s="334" t="n"/>
      <c r="E299" s="334" t="n"/>
      <c r="F299" s="334" t="n"/>
      <c r="G299" s="334" t="n"/>
      <c r="H299" s="334" t="n"/>
      <c r="I299" s="332">
        <f>IFERROR(VLOOKUP(TEXT(H299,"0"),IPRESS!$A$3:$B$212,2,0),"")</f>
        <v/>
      </c>
      <c r="J299" s="334" t="n"/>
      <c r="K299" s="332">
        <f>IFERROR(VLOOKUP(TEXT(O299,"0"),CONDUCTORES!$A$3:$G$54,7,0),"")</f>
        <v/>
      </c>
      <c r="L299" s="334" t="n"/>
      <c r="M299" s="334" t="n"/>
      <c r="N299" s="333">
        <f>IFERROR(IF(L299*M299=0,"",L299*M299),"")</f>
        <v/>
      </c>
      <c r="O299" s="334" t="n"/>
      <c r="P299" s="332">
        <f>IFERROR(VLOOKUP(TEXT(O299,"0"),CONDUCTORES!$A$3:$G$54,2,0),"")</f>
        <v/>
      </c>
      <c r="Q299" s="332">
        <f>IFERROR(VLOOKUP(TEXT(O299,"0"),CONDUCTORES!$A$3:$H$54,6,0),"")</f>
        <v/>
      </c>
      <c r="R299" s="334" t="n"/>
      <c r="S299" s="334" t="n"/>
      <c r="T299" s="334" t="n"/>
      <c r="U299" s="334" t="n"/>
      <c r="V299" s="334" t="n"/>
      <c r="W299" s="334" t="n"/>
      <c r="X299" s="334" t="n"/>
      <c r="Y299" s="334" t="n"/>
      <c r="Z299" s="375">
        <f>IF(AND(G299&lt;&gt;"",R299&lt;&gt;"",V299&lt;&gt;"",W299&lt;&gt;""),"COMPLETADO","OBSERVADO")</f>
        <v/>
      </c>
    </row>
    <row r="300" ht="15" customHeight="1" s="195">
      <c r="A300" s="280" t="n"/>
      <c r="B300" s="280" t="n"/>
      <c r="C300" s="280" t="n"/>
      <c r="D300" s="280" t="n"/>
      <c r="E300" s="280" t="n"/>
      <c r="F300" s="280" t="n"/>
      <c r="G300" s="280" t="n"/>
      <c r="H300" s="280" t="n"/>
      <c r="I300" s="332">
        <f>IFERROR(VLOOKUP(TEXT(H300,"0"),IPRESS!$A$3:$B$212,2,0),"")</f>
        <v/>
      </c>
      <c r="J300" s="280" t="n"/>
      <c r="K300" s="332">
        <f>IFERROR(VLOOKUP(TEXT(O300,"0"),CONDUCTORES!$A$3:$G$54,7,0),"")</f>
        <v/>
      </c>
      <c r="L300" s="280" t="n"/>
      <c r="M300" s="280" t="n"/>
      <c r="N300" s="333">
        <f>IFERROR(IF(L300*M300=0,"",L300*M300),"")</f>
        <v/>
      </c>
      <c r="O300" s="280" t="n"/>
      <c r="P300" s="332">
        <f>IFERROR(VLOOKUP(TEXT(O300,"0"),CONDUCTORES!$A$3:$G$54,2,0),"")</f>
        <v/>
      </c>
      <c r="Q300" s="332">
        <f>IFERROR(VLOOKUP(TEXT(O300,"0"),CONDUCTORES!$A$3:$H$54,6,0),"")</f>
        <v/>
      </c>
      <c r="R300" s="280" t="n"/>
      <c r="S300" s="280" t="n"/>
      <c r="T300" s="280" t="n"/>
      <c r="U300" s="280" t="n"/>
      <c r="V300" s="280" t="n"/>
      <c r="W300" s="280" t="n"/>
      <c r="X300" s="280" t="n"/>
      <c r="Y300" s="280" t="n"/>
      <c r="Z300" s="375">
        <f>IF(AND(G300&lt;&gt;"",R300&lt;&gt;"",V300&lt;&gt;"",W300&lt;&gt;""),"COMPLETADO","OBSERVADO")</f>
        <v/>
      </c>
    </row>
    <row r="301" ht="15" customHeight="1" s="195">
      <c r="A301" s="334" t="n"/>
      <c r="B301" s="334" t="n"/>
      <c r="C301" s="334" t="n"/>
      <c r="D301" s="334" t="n"/>
      <c r="E301" s="334" t="n"/>
      <c r="F301" s="334" t="n"/>
      <c r="G301" s="334" t="n"/>
      <c r="H301" s="334" t="n"/>
      <c r="I301" s="332">
        <f>IFERROR(VLOOKUP(TEXT(H301,"0"),IPRESS!$A$3:$B$212,2,0),"")</f>
        <v/>
      </c>
      <c r="J301" s="334" t="n"/>
      <c r="K301" s="332">
        <f>IFERROR(VLOOKUP(TEXT(O301,"0"),CONDUCTORES!$A$3:$G$54,7,0),"")</f>
        <v/>
      </c>
      <c r="L301" s="334" t="n"/>
      <c r="M301" s="334" t="n"/>
      <c r="N301" s="333">
        <f>IFERROR(IF(L301*M301=0,"",L301*M301),"")</f>
        <v/>
      </c>
      <c r="O301" s="334" t="n"/>
      <c r="P301" s="332">
        <f>IFERROR(VLOOKUP(TEXT(O301,"0"),CONDUCTORES!$A$3:$G$54,2,0),"")</f>
        <v/>
      </c>
      <c r="Q301" s="332">
        <f>IFERROR(VLOOKUP(TEXT(O301,"0"),CONDUCTORES!$A$3:$H$54,6,0),"")</f>
        <v/>
      </c>
      <c r="R301" s="334" t="n"/>
      <c r="S301" s="334" t="n"/>
      <c r="T301" s="334" t="n"/>
      <c r="U301" s="334" t="n"/>
      <c r="V301" s="334" t="n"/>
      <c r="W301" s="334" t="n"/>
      <c r="X301" s="334" t="n"/>
      <c r="Y301" s="334" t="n"/>
      <c r="Z301" s="375">
        <f>IF(AND(G301&lt;&gt;"",R301&lt;&gt;"",V301&lt;&gt;"",W301&lt;&gt;""),"COMPLETADO","OBSERVADO")</f>
        <v/>
      </c>
    </row>
    <row r="302" ht="15" customHeight="1" s="195">
      <c r="A302" s="280" t="n"/>
      <c r="B302" s="280" t="n"/>
      <c r="C302" s="280" t="n"/>
      <c r="D302" s="280" t="n"/>
      <c r="E302" s="280" t="n"/>
      <c r="F302" s="280" t="n"/>
      <c r="G302" s="280" t="n"/>
      <c r="H302" s="280" t="n"/>
      <c r="I302" s="332">
        <f>IFERROR(VLOOKUP(TEXT(H302,"0"),IPRESS!$A$3:$B$212,2,0),"")</f>
        <v/>
      </c>
      <c r="J302" s="280" t="n"/>
      <c r="K302" s="332">
        <f>IFERROR(VLOOKUP(TEXT(O302,"0"),CONDUCTORES!$A$3:$G$54,7,0),"")</f>
        <v/>
      </c>
      <c r="L302" s="280" t="n"/>
      <c r="M302" s="280" t="n"/>
      <c r="N302" s="333">
        <f>IFERROR(IF(L302*M302=0,"",L302*M302),"")</f>
        <v/>
      </c>
      <c r="O302" s="280" t="n"/>
      <c r="P302" s="332">
        <f>IFERROR(VLOOKUP(TEXT(O302,"0"),CONDUCTORES!$A$3:$G$54,2,0),"")</f>
        <v/>
      </c>
      <c r="Q302" s="332">
        <f>IFERROR(VLOOKUP(TEXT(O302,"0"),CONDUCTORES!$A$3:$H$54,6,0),"")</f>
        <v/>
      </c>
      <c r="R302" s="280" t="n"/>
      <c r="S302" s="280" t="n"/>
      <c r="T302" s="280" t="n"/>
      <c r="U302" s="280" t="n"/>
      <c r="V302" s="280" t="n"/>
      <c r="W302" s="280" t="n"/>
      <c r="X302" s="280" t="n"/>
      <c r="Y302" s="280" t="n"/>
      <c r="Z302" s="375">
        <f>IF(AND(G302&lt;&gt;"",R302&lt;&gt;"",V302&lt;&gt;"",W302&lt;&gt;""),"COMPLETADO","OBSERVADO")</f>
        <v/>
      </c>
    </row>
    <row r="303" ht="15" customHeight="1" s="195">
      <c r="A303" s="334" t="n"/>
      <c r="B303" s="334" t="n"/>
      <c r="C303" s="334" t="n"/>
      <c r="D303" s="334" t="n"/>
      <c r="E303" s="334" t="n"/>
      <c r="F303" s="334" t="n"/>
      <c r="G303" s="334" t="n"/>
      <c r="H303" s="334" t="n"/>
      <c r="I303" s="332">
        <f>IFERROR(VLOOKUP(TEXT(H303,"0"),IPRESS!$A$3:$B$212,2,0),"")</f>
        <v/>
      </c>
      <c r="J303" s="334" t="n"/>
      <c r="K303" s="332">
        <f>IFERROR(VLOOKUP(TEXT(O303,"0"),CONDUCTORES!$A$3:$G$54,7,0),"")</f>
        <v/>
      </c>
      <c r="L303" s="334" t="n"/>
      <c r="M303" s="334" t="n"/>
      <c r="N303" s="333">
        <f>IFERROR(IF(L303*M303=0,"",L303*M303),"")</f>
        <v/>
      </c>
      <c r="O303" s="334" t="n"/>
      <c r="P303" s="332">
        <f>IFERROR(VLOOKUP(TEXT(O303,"0"),CONDUCTORES!$A$3:$G$54,2,0),"")</f>
        <v/>
      </c>
      <c r="Q303" s="332">
        <f>IFERROR(VLOOKUP(TEXT(O303,"0"),CONDUCTORES!$A$3:$H$54,6,0),"")</f>
        <v/>
      </c>
      <c r="R303" s="334" t="n"/>
      <c r="S303" s="334" t="n"/>
      <c r="T303" s="334" t="n"/>
      <c r="U303" s="334" t="n"/>
      <c r="V303" s="334" t="n"/>
      <c r="W303" s="334" t="n"/>
      <c r="X303" s="334" t="n"/>
      <c r="Y303" s="334" t="n"/>
      <c r="Z303" s="375">
        <f>IF(AND(G303&lt;&gt;"",R303&lt;&gt;"",V303&lt;&gt;"",W303&lt;&gt;""),"COMPLETADO","OBSERVADO")</f>
        <v/>
      </c>
    </row>
    <row r="304" ht="15" customHeight="1" s="195">
      <c r="A304" s="280" t="n"/>
      <c r="B304" s="280" t="n"/>
      <c r="C304" s="280" t="n"/>
      <c r="D304" s="280" t="n"/>
      <c r="E304" s="280" t="n"/>
      <c r="F304" s="280" t="n"/>
      <c r="G304" s="280" t="n"/>
      <c r="H304" s="280" t="n"/>
      <c r="I304" s="332">
        <f>IFERROR(VLOOKUP(TEXT(H304,"0"),IPRESS!$A$3:$B$212,2,0),"")</f>
        <v/>
      </c>
      <c r="J304" s="280" t="n"/>
      <c r="K304" s="332">
        <f>IFERROR(VLOOKUP(TEXT(O304,"0"),CONDUCTORES!$A$3:$G$54,7,0),"")</f>
        <v/>
      </c>
      <c r="L304" s="280" t="n"/>
      <c r="M304" s="280" t="n"/>
      <c r="N304" s="333">
        <f>IFERROR(IF(L304*M304=0,"",L304*M304),"")</f>
        <v/>
      </c>
      <c r="O304" s="280" t="n"/>
      <c r="P304" s="332">
        <f>IFERROR(VLOOKUP(TEXT(O304,"0"),CONDUCTORES!$A$3:$G$54,2,0),"")</f>
        <v/>
      </c>
      <c r="Q304" s="332">
        <f>IFERROR(VLOOKUP(TEXT(O304,"0"),CONDUCTORES!$A$3:$H$54,6,0),"")</f>
        <v/>
      </c>
      <c r="R304" s="280" t="n"/>
      <c r="S304" s="280" t="n"/>
      <c r="T304" s="280" t="n"/>
      <c r="U304" s="280" t="n"/>
      <c r="V304" s="280" t="n"/>
      <c r="W304" s="280" t="n"/>
      <c r="X304" s="280" t="n"/>
      <c r="Y304" s="280" t="n"/>
      <c r="Z304" s="375">
        <f>IF(AND(G304&lt;&gt;"",R304&lt;&gt;"",V304&lt;&gt;"",W304&lt;&gt;""),"COMPLETADO","OBSERVADO")</f>
        <v/>
      </c>
    </row>
    <row r="305" ht="15" customHeight="1" s="195">
      <c r="A305" s="334" t="n"/>
      <c r="B305" s="334" t="n"/>
      <c r="C305" s="334" t="n"/>
      <c r="D305" s="334" t="n"/>
      <c r="E305" s="334" t="n"/>
      <c r="F305" s="334" t="n"/>
      <c r="G305" s="334" t="n"/>
      <c r="H305" s="334" t="n"/>
      <c r="I305" s="332">
        <f>IFERROR(VLOOKUP(TEXT(H305,"0"),IPRESS!$A$3:$B$212,2,0),"")</f>
        <v/>
      </c>
      <c r="J305" s="334" t="n"/>
      <c r="K305" s="332">
        <f>IFERROR(VLOOKUP(TEXT(O305,"0"),CONDUCTORES!$A$3:$G$54,7,0),"")</f>
        <v/>
      </c>
      <c r="L305" s="334" t="n"/>
      <c r="M305" s="334" t="n"/>
      <c r="N305" s="333">
        <f>IFERROR(IF(L305*M305=0,"",L305*M305),"")</f>
        <v/>
      </c>
      <c r="O305" s="334" t="n"/>
      <c r="P305" s="332">
        <f>IFERROR(VLOOKUP(TEXT(O305,"0"),CONDUCTORES!$A$3:$G$54,2,0),"")</f>
        <v/>
      </c>
      <c r="Q305" s="332">
        <f>IFERROR(VLOOKUP(TEXT(O305,"0"),CONDUCTORES!$A$3:$H$54,6,0),"")</f>
        <v/>
      </c>
      <c r="R305" s="334" t="n"/>
      <c r="S305" s="334" t="n"/>
      <c r="T305" s="334" t="n"/>
      <c r="U305" s="334" t="n"/>
      <c r="V305" s="334" t="n"/>
      <c r="W305" s="334" t="n"/>
      <c r="X305" s="334" t="n"/>
      <c r="Y305" s="334" t="n"/>
      <c r="Z305" s="375">
        <f>IF(AND(G305&lt;&gt;"",R305&lt;&gt;"",V305&lt;&gt;"",W305&lt;&gt;""),"COMPLETADO","OBSERVADO")</f>
        <v/>
      </c>
    </row>
    <row r="306" ht="15" customHeight="1" s="195">
      <c r="A306" s="280" t="n"/>
      <c r="B306" s="280" t="n"/>
      <c r="C306" s="280" t="n"/>
      <c r="D306" s="280" t="n"/>
      <c r="E306" s="280" t="n"/>
      <c r="F306" s="280" t="n"/>
      <c r="G306" s="280" t="n"/>
      <c r="H306" s="280" t="n"/>
      <c r="I306" s="332">
        <f>IFERROR(VLOOKUP(TEXT(H306,"0"),IPRESS!$A$3:$B$212,2,0),"")</f>
        <v/>
      </c>
      <c r="J306" s="280" t="n"/>
      <c r="K306" s="332">
        <f>IFERROR(VLOOKUP(TEXT(O306,"0"),CONDUCTORES!$A$3:$G$54,7,0),"")</f>
        <v/>
      </c>
      <c r="L306" s="280" t="n"/>
      <c r="M306" s="280" t="n"/>
      <c r="N306" s="333">
        <f>IFERROR(IF(L306*M306=0,"",L306*M306),"")</f>
        <v/>
      </c>
      <c r="O306" s="280" t="n"/>
      <c r="P306" s="332">
        <f>IFERROR(VLOOKUP(TEXT(O306,"0"),CONDUCTORES!$A$3:$G$54,2,0),"")</f>
        <v/>
      </c>
      <c r="Q306" s="332">
        <f>IFERROR(VLOOKUP(TEXT(O306,"0"),CONDUCTORES!$A$3:$H$54,6,0),"")</f>
        <v/>
      </c>
      <c r="R306" s="280" t="n"/>
      <c r="S306" s="280" t="n"/>
      <c r="T306" s="280" t="n"/>
      <c r="U306" s="280" t="n"/>
      <c r="V306" s="280" t="n"/>
      <c r="W306" s="280" t="n"/>
      <c r="X306" s="280" t="n"/>
      <c r="Y306" s="280" t="n"/>
      <c r="Z306" s="375">
        <f>IF(AND(G306&lt;&gt;"",R306&lt;&gt;"",V306&lt;&gt;"",W306&lt;&gt;""),"COMPLETADO","OBSERVADO")</f>
        <v/>
      </c>
    </row>
    <row r="307" ht="15" customHeight="1" s="195">
      <c r="A307" s="334" t="n"/>
      <c r="B307" s="334" t="n"/>
      <c r="C307" s="334" t="n"/>
      <c r="D307" s="334" t="n"/>
      <c r="E307" s="334" t="n"/>
      <c r="F307" s="334" t="n"/>
      <c r="G307" s="334" t="n"/>
      <c r="H307" s="334" t="n"/>
      <c r="I307" s="332">
        <f>IFERROR(VLOOKUP(TEXT(H307,"0"),IPRESS!$A$3:$B$212,2,0),"")</f>
        <v/>
      </c>
      <c r="J307" s="334" t="n"/>
      <c r="K307" s="332">
        <f>IFERROR(VLOOKUP(TEXT(O307,"0"),CONDUCTORES!$A$3:$G$54,7,0),"")</f>
        <v/>
      </c>
      <c r="L307" s="334" t="n"/>
      <c r="M307" s="334" t="n"/>
      <c r="N307" s="333">
        <f>IFERROR(IF(L307*M307=0,"",L307*M307),"")</f>
        <v/>
      </c>
      <c r="O307" s="334" t="n"/>
      <c r="P307" s="332">
        <f>IFERROR(VLOOKUP(TEXT(O307,"0"),CONDUCTORES!$A$3:$G$54,2,0),"")</f>
        <v/>
      </c>
      <c r="Q307" s="332">
        <f>IFERROR(VLOOKUP(TEXT(O307,"0"),CONDUCTORES!$A$3:$H$54,6,0),"")</f>
        <v/>
      </c>
      <c r="R307" s="334" t="n"/>
      <c r="S307" s="334" t="n"/>
      <c r="T307" s="334" t="n"/>
      <c r="U307" s="334" t="n"/>
      <c r="V307" s="334" t="n"/>
      <c r="W307" s="334" t="n"/>
      <c r="X307" s="334" t="n"/>
      <c r="Y307" s="334" t="n"/>
      <c r="Z307" s="375">
        <f>IF(AND(G307&lt;&gt;"",R307&lt;&gt;"",V307&lt;&gt;"",W307&lt;&gt;""),"COMPLETADO","OBSERVADO")</f>
        <v/>
      </c>
    </row>
    <row r="308" ht="15" customHeight="1" s="195">
      <c r="A308" s="280" t="n"/>
      <c r="B308" s="280" t="n"/>
      <c r="C308" s="280" t="n"/>
      <c r="D308" s="280" t="n"/>
      <c r="E308" s="280" t="n"/>
      <c r="F308" s="280" t="n"/>
      <c r="G308" s="280" t="n"/>
      <c r="H308" s="280" t="n"/>
      <c r="I308" s="332">
        <f>IFERROR(VLOOKUP(TEXT(H308,"0"),IPRESS!$A$3:$B$212,2,0),"")</f>
        <v/>
      </c>
      <c r="J308" s="280" t="n"/>
      <c r="K308" s="332">
        <f>IFERROR(VLOOKUP(TEXT(O308,"0"),CONDUCTORES!$A$3:$G$54,7,0),"")</f>
        <v/>
      </c>
      <c r="L308" s="280" t="n"/>
      <c r="M308" s="280" t="n"/>
      <c r="N308" s="333">
        <f>IFERROR(IF(L308*M308=0,"",L308*M308),"")</f>
        <v/>
      </c>
      <c r="O308" s="280" t="n"/>
      <c r="P308" s="332">
        <f>IFERROR(VLOOKUP(TEXT(O308,"0"),CONDUCTORES!$A$3:$G$54,2,0),"")</f>
        <v/>
      </c>
      <c r="Q308" s="332">
        <f>IFERROR(VLOOKUP(TEXT(O308,"0"),CONDUCTORES!$A$3:$H$54,6,0),"")</f>
        <v/>
      </c>
      <c r="R308" s="280" t="n"/>
      <c r="S308" s="280" t="n"/>
      <c r="T308" s="280" t="n"/>
      <c r="U308" s="280" t="n"/>
      <c r="V308" s="280" t="n"/>
      <c r="W308" s="280" t="n"/>
      <c r="X308" s="280" t="n"/>
      <c r="Y308" s="280" t="n"/>
      <c r="Z308" s="375">
        <f>IF(AND(G308&lt;&gt;"",R308&lt;&gt;"",V308&lt;&gt;"",W308&lt;&gt;""),"COMPLETADO","OBSERVADO")</f>
        <v/>
      </c>
    </row>
    <row r="309" ht="15" customHeight="1" s="195">
      <c r="A309" s="334" t="n"/>
      <c r="B309" s="334" t="n"/>
      <c r="C309" s="334" t="n"/>
      <c r="D309" s="334" t="n"/>
      <c r="E309" s="334" t="n"/>
      <c r="F309" s="334" t="n"/>
      <c r="G309" s="334" t="n"/>
      <c r="H309" s="334" t="n"/>
      <c r="I309" s="332">
        <f>IFERROR(VLOOKUP(TEXT(H309,"0"),IPRESS!$A$3:$B$212,2,0),"")</f>
        <v/>
      </c>
      <c r="J309" s="334" t="n"/>
      <c r="K309" s="332">
        <f>IFERROR(VLOOKUP(TEXT(O309,"0"),CONDUCTORES!$A$3:$G$54,7,0),"")</f>
        <v/>
      </c>
      <c r="L309" s="334" t="n"/>
      <c r="M309" s="334" t="n"/>
      <c r="N309" s="333">
        <f>IFERROR(IF(L309*M309=0,"",L309*M309),"")</f>
        <v/>
      </c>
      <c r="O309" s="334" t="n"/>
      <c r="P309" s="332">
        <f>IFERROR(VLOOKUP(TEXT(O309,"0"),CONDUCTORES!$A$3:$G$54,2,0),"")</f>
        <v/>
      </c>
      <c r="Q309" s="332">
        <f>IFERROR(VLOOKUP(TEXT(O309,"0"),CONDUCTORES!$A$3:$H$54,6,0),"")</f>
        <v/>
      </c>
      <c r="R309" s="334" t="n"/>
      <c r="S309" s="334" t="n"/>
      <c r="T309" s="334" t="n"/>
      <c r="U309" s="334" t="n"/>
      <c r="V309" s="334" t="n"/>
      <c r="W309" s="334" t="n"/>
      <c r="X309" s="334" t="n"/>
      <c r="Y309" s="334" t="n"/>
      <c r="Z309" s="375">
        <f>IF(AND(G309&lt;&gt;"",R309&lt;&gt;"",V309&lt;&gt;"",W309&lt;&gt;""),"COMPLETADO","OBSERVADO")</f>
        <v/>
      </c>
    </row>
    <row r="310" ht="15" customHeight="1" s="195">
      <c r="A310" s="280" t="n"/>
      <c r="B310" s="280" t="n"/>
      <c r="C310" s="280" t="n"/>
      <c r="D310" s="280" t="n"/>
      <c r="E310" s="280" t="n"/>
      <c r="F310" s="280" t="n"/>
      <c r="G310" s="280" t="n"/>
      <c r="H310" s="280" t="n"/>
      <c r="I310" s="332">
        <f>IFERROR(VLOOKUP(TEXT(H310,"0"),IPRESS!$A$3:$B$212,2,0),"")</f>
        <v/>
      </c>
      <c r="J310" s="280" t="n"/>
      <c r="K310" s="332">
        <f>IFERROR(VLOOKUP(TEXT(O310,"0"),CONDUCTORES!$A$3:$G$54,7,0),"")</f>
        <v/>
      </c>
      <c r="L310" s="280" t="n"/>
      <c r="M310" s="280" t="n"/>
      <c r="N310" s="333">
        <f>IFERROR(IF(L310*M310=0,"",L310*M310),"")</f>
        <v/>
      </c>
      <c r="O310" s="280" t="n"/>
      <c r="P310" s="332">
        <f>IFERROR(VLOOKUP(TEXT(O310,"0"),CONDUCTORES!$A$3:$G$54,2,0),"")</f>
        <v/>
      </c>
      <c r="Q310" s="332">
        <f>IFERROR(VLOOKUP(TEXT(O310,"0"),CONDUCTORES!$A$3:$H$54,6,0),"")</f>
        <v/>
      </c>
      <c r="R310" s="280" t="n"/>
      <c r="S310" s="280" t="n"/>
      <c r="T310" s="280" t="n"/>
      <c r="U310" s="280" t="n"/>
      <c r="V310" s="280" t="n"/>
      <c r="W310" s="280" t="n"/>
      <c r="X310" s="280" t="n"/>
      <c r="Y310" s="280" t="n"/>
      <c r="Z310" s="375">
        <f>IF(AND(G310&lt;&gt;"",R310&lt;&gt;"",V310&lt;&gt;"",W310&lt;&gt;""),"COMPLETADO","OBSERVADO")</f>
        <v/>
      </c>
    </row>
    <row r="311" ht="15" customHeight="1" s="195">
      <c r="A311" s="334" t="n"/>
      <c r="B311" s="334" t="n"/>
      <c r="C311" s="334" t="n"/>
      <c r="D311" s="334" t="n"/>
      <c r="E311" s="334" t="n"/>
      <c r="F311" s="334" t="n"/>
      <c r="G311" s="334" t="n"/>
      <c r="H311" s="334" t="n"/>
      <c r="I311" s="332">
        <f>IFERROR(VLOOKUP(TEXT(H311,"0"),IPRESS!$A$3:$B$212,2,0),"")</f>
        <v/>
      </c>
      <c r="J311" s="334" t="n"/>
      <c r="K311" s="332">
        <f>IFERROR(VLOOKUP(TEXT(O311,"0"),CONDUCTORES!$A$3:$G$54,7,0),"")</f>
        <v/>
      </c>
      <c r="L311" s="334" t="n"/>
      <c r="M311" s="334" t="n"/>
      <c r="N311" s="333">
        <f>IFERROR(IF(L311*M311=0,"",L311*M311),"")</f>
        <v/>
      </c>
      <c r="O311" s="334" t="n"/>
      <c r="P311" s="332">
        <f>IFERROR(VLOOKUP(TEXT(O311,"0"),CONDUCTORES!$A$3:$G$54,2,0),"")</f>
        <v/>
      </c>
      <c r="Q311" s="332">
        <f>IFERROR(VLOOKUP(TEXT(O311,"0"),CONDUCTORES!$A$3:$H$54,6,0),"")</f>
        <v/>
      </c>
      <c r="R311" s="334" t="n"/>
      <c r="S311" s="334" t="n"/>
      <c r="T311" s="334" t="n"/>
      <c r="U311" s="334" t="n"/>
      <c r="V311" s="334" t="n"/>
      <c r="W311" s="334" t="n"/>
      <c r="X311" s="334" t="n"/>
      <c r="Y311" s="334" t="n"/>
      <c r="Z311" s="375">
        <f>IF(AND(G311&lt;&gt;"",R311&lt;&gt;"",V311&lt;&gt;"",W311&lt;&gt;""),"COMPLETADO","OBSERVADO")</f>
        <v/>
      </c>
    </row>
    <row r="312" ht="15" customHeight="1" s="195">
      <c r="A312" s="280" t="n"/>
      <c r="B312" s="280" t="n"/>
      <c r="C312" s="280" t="n"/>
      <c r="D312" s="280" t="n"/>
      <c r="E312" s="280" t="n"/>
      <c r="F312" s="280" t="n"/>
      <c r="G312" s="280" t="n"/>
      <c r="H312" s="280" t="n"/>
      <c r="I312" s="332">
        <f>IFERROR(VLOOKUP(TEXT(H312,"0"),IPRESS!$A$3:$B$212,2,0),"")</f>
        <v/>
      </c>
      <c r="J312" s="280" t="n"/>
      <c r="K312" s="332">
        <f>IFERROR(VLOOKUP(TEXT(O312,"0"),CONDUCTORES!$A$3:$G$54,7,0),"")</f>
        <v/>
      </c>
      <c r="L312" s="280" t="n"/>
      <c r="M312" s="280" t="n"/>
      <c r="N312" s="333">
        <f>IFERROR(IF(L312*M312=0,"",L312*M312),"")</f>
        <v/>
      </c>
      <c r="O312" s="280" t="n"/>
      <c r="P312" s="332">
        <f>IFERROR(VLOOKUP(TEXT(O312,"0"),CONDUCTORES!$A$3:$G$54,2,0),"")</f>
        <v/>
      </c>
      <c r="Q312" s="332">
        <f>IFERROR(VLOOKUP(TEXT(O312,"0"),CONDUCTORES!$A$3:$H$54,6,0),"")</f>
        <v/>
      </c>
      <c r="R312" s="280" t="n"/>
      <c r="S312" s="280" t="n"/>
      <c r="T312" s="280" t="n"/>
      <c r="U312" s="280" t="n"/>
      <c r="V312" s="280" t="n"/>
      <c r="W312" s="280" t="n"/>
      <c r="X312" s="280" t="n"/>
      <c r="Y312" s="280" t="n"/>
      <c r="Z312" s="375">
        <f>IF(AND(G312&lt;&gt;"",R312&lt;&gt;"",V312&lt;&gt;"",W312&lt;&gt;""),"COMPLETADO","OBSERVADO")</f>
        <v/>
      </c>
    </row>
    <row r="313" ht="15" customHeight="1" s="195">
      <c r="A313" s="334" t="n"/>
      <c r="B313" s="334" t="n"/>
      <c r="C313" s="334" t="n"/>
      <c r="D313" s="334" t="n"/>
      <c r="E313" s="334" t="n"/>
      <c r="F313" s="334" t="n"/>
      <c r="G313" s="334" t="n"/>
      <c r="H313" s="334" t="n"/>
      <c r="I313" s="332">
        <f>IFERROR(VLOOKUP(TEXT(H313,"0"),IPRESS!$A$3:$B$212,2,0),"")</f>
        <v/>
      </c>
      <c r="J313" s="334" t="n"/>
      <c r="K313" s="332">
        <f>IFERROR(VLOOKUP(TEXT(O313,"0"),CONDUCTORES!$A$3:$G$54,7,0),"")</f>
        <v/>
      </c>
      <c r="L313" s="334" t="n"/>
      <c r="M313" s="334" t="n"/>
      <c r="N313" s="333">
        <f>IFERROR(IF(L313*M313=0,"",L313*M313),"")</f>
        <v/>
      </c>
      <c r="O313" s="334" t="n"/>
      <c r="P313" s="332">
        <f>IFERROR(VLOOKUP(TEXT(O313,"0"),CONDUCTORES!$A$3:$G$54,2,0),"")</f>
        <v/>
      </c>
      <c r="Q313" s="332">
        <f>IFERROR(VLOOKUP(TEXT(O313,"0"),CONDUCTORES!$A$3:$H$54,6,0),"")</f>
        <v/>
      </c>
      <c r="R313" s="334" t="n"/>
      <c r="S313" s="334" t="n"/>
      <c r="T313" s="334" t="n"/>
      <c r="U313" s="334" t="n"/>
      <c r="V313" s="334" t="n"/>
      <c r="W313" s="334" t="n"/>
      <c r="X313" s="334" t="n"/>
      <c r="Y313" s="334" t="n"/>
      <c r="Z313" s="375">
        <f>IF(AND(G313&lt;&gt;"",R313&lt;&gt;"",V313&lt;&gt;"",W313&lt;&gt;""),"COMPLETADO","OBSERVADO")</f>
        <v/>
      </c>
    </row>
    <row r="314" ht="15" customHeight="1" s="195">
      <c r="A314" s="280" t="n"/>
      <c r="B314" s="280" t="n"/>
      <c r="C314" s="280" t="n"/>
      <c r="D314" s="280" t="n"/>
      <c r="E314" s="280" t="n"/>
      <c r="F314" s="280" t="n"/>
      <c r="G314" s="280" t="n"/>
      <c r="H314" s="280" t="n"/>
      <c r="I314" s="332">
        <f>IFERROR(VLOOKUP(TEXT(H314,"0"),IPRESS!$A$3:$B$212,2,0),"")</f>
        <v/>
      </c>
      <c r="J314" s="280" t="n"/>
      <c r="K314" s="332">
        <f>IFERROR(VLOOKUP(TEXT(O314,"0"),CONDUCTORES!$A$3:$G$54,7,0),"")</f>
        <v/>
      </c>
      <c r="L314" s="280" t="n"/>
      <c r="M314" s="280" t="n"/>
      <c r="N314" s="333">
        <f>IFERROR(IF(L314*M314=0,"",L314*M314),"")</f>
        <v/>
      </c>
      <c r="O314" s="280" t="n"/>
      <c r="P314" s="332">
        <f>IFERROR(VLOOKUP(TEXT(O314,"0"),CONDUCTORES!$A$3:$G$54,2,0),"")</f>
        <v/>
      </c>
      <c r="Q314" s="332">
        <f>IFERROR(VLOOKUP(TEXT(O314,"0"),CONDUCTORES!$A$3:$H$54,6,0),"")</f>
        <v/>
      </c>
      <c r="R314" s="280" t="n"/>
      <c r="S314" s="280" t="n"/>
      <c r="T314" s="280" t="n"/>
      <c r="U314" s="280" t="n"/>
      <c r="V314" s="280" t="n"/>
      <c r="W314" s="280" t="n"/>
      <c r="X314" s="280" t="n"/>
      <c r="Y314" s="280" t="n"/>
      <c r="Z314" s="375">
        <f>IF(AND(G314&lt;&gt;"",R314&lt;&gt;"",V314&lt;&gt;"",W314&lt;&gt;""),"COMPLETADO","OBSERVADO")</f>
        <v/>
      </c>
    </row>
    <row r="315" ht="15" customHeight="1" s="195">
      <c r="A315" s="334" t="n"/>
      <c r="B315" s="334" t="n"/>
      <c r="C315" s="334" t="n"/>
      <c r="D315" s="334" t="n"/>
      <c r="E315" s="334" t="n"/>
      <c r="F315" s="334" t="n"/>
      <c r="G315" s="334" t="n"/>
      <c r="H315" s="334" t="n"/>
      <c r="I315" s="332">
        <f>IFERROR(VLOOKUP(TEXT(H315,"0"),IPRESS!$A$3:$B$212,2,0),"")</f>
        <v/>
      </c>
      <c r="J315" s="334" t="n"/>
      <c r="K315" s="332">
        <f>IFERROR(VLOOKUP(TEXT(O315,"0"),CONDUCTORES!$A$3:$G$54,7,0),"")</f>
        <v/>
      </c>
      <c r="L315" s="334" t="n"/>
      <c r="M315" s="334" t="n"/>
      <c r="N315" s="333">
        <f>IFERROR(IF(L315*M315=0,"",L315*M315),"")</f>
        <v/>
      </c>
      <c r="O315" s="334" t="n"/>
      <c r="P315" s="332">
        <f>IFERROR(VLOOKUP(TEXT(O315,"0"),CONDUCTORES!$A$3:$G$54,2,0),"")</f>
        <v/>
      </c>
      <c r="Q315" s="332">
        <f>IFERROR(VLOOKUP(TEXT(O315,"0"),CONDUCTORES!$A$3:$H$54,6,0),"")</f>
        <v/>
      </c>
      <c r="R315" s="334" t="n"/>
      <c r="S315" s="334" t="n"/>
      <c r="T315" s="334" t="n"/>
      <c r="U315" s="334" t="n"/>
      <c r="V315" s="334" t="n"/>
      <c r="W315" s="334" t="n"/>
      <c r="X315" s="334" t="n"/>
      <c r="Y315" s="334" t="n"/>
      <c r="Z315" s="375">
        <f>IF(AND(G315&lt;&gt;"",R315&lt;&gt;"",V315&lt;&gt;"",W315&lt;&gt;""),"COMPLETADO","OBSERVADO")</f>
        <v/>
      </c>
    </row>
    <row r="316" ht="15" customHeight="1" s="195">
      <c r="A316" s="280" t="n"/>
      <c r="B316" s="280" t="n"/>
      <c r="C316" s="280" t="n"/>
      <c r="D316" s="280" t="n"/>
      <c r="E316" s="280" t="n"/>
      <c r="F316" s="280" t="n"/>
      <c r="G316" s="280" t="n"/>
      <c r="H316" s="280" t="n"/>
      <c r="I316" s="332">
        <f>IFERROR(VLOOKUP(TEXT(H316,"0"),IPRESS!$A$3:$B$212,2,0),"")</f>
        <v/>
      </c>
      <c r="J316" s="280" t="n"/>
      <c r="K316" s="332">
        <f>IFERROR(VLOOKUP(TEXT(O316,"0"),CONDUCTORES!$A$3:$G$54,7,0),"")</f>
        <v/>
      </c>
      <c r="L316" s="280" t="n"/>
      <c r="M316" s="280" t="n"/>
      <c r="N316" s="333">
        <f>IFERROR(IF(L316*M316=0,"",L316*M316),"")</f>
        <v/>
      </c>
      <c r="O316" s="280" t="n"/>
      <c r="P316" s="332">
        <f>IFERROR(VLOOKUP(TEXT(O316,"0"),CONDUCTORES!$A$3:$G$54,2,0),"")</f>
        <v/>
      </c>
      <c r="Q316" s="332">
        <f>IFERROR(VLOOKUP(TEXT(O316,"0"),CONDUCTORES!$A$3:$H$54,6,0),"")</f>
        <v/>
      </c>
      <c r="R316" s="280" t="n"/>
      <c r="S316" s="280" t="n"/>
      <c r="T316" s="280" t="n"/>
      <c r="U316" s="280" t="n"/>
      <c r="V316" s="280" t="n"/>
      <c r="W316" s="280" t="n"/>
      <c r="X316" s="280" t="n"/>
      <c r="Y316" s="280" t="n"/>
      <c r="Z316" s="375">
        <f>IF(AND(G316&lt;&gt;"",R316&lt;&gt;"",V316&lt;&gt;"",W316&lt;&gt;""),"COMPLETADO","OBSERVADO")</f>
        <v/>
      </c>
    </row>
    <row r="317" ht="15" customHeight="1" s="195">
      <c r="A317" s="334" t="n"/>
      <c r="B317" s="334" t="n"/>
      <c r="C317" s="334" t="n"/>
      <c r="D317" s="334" t="n"/>
      <c r="E317" s="334" t="n"/>
      <c r="F317" s="334" t="n"/>
      <c r="G317" s="334" t="n"/>
      <c r="H317" s="334" t="n"/>
      <c r="I317" s="332">
        <f>IFERROR(VLOOKUP(TEXT(H317,"0"),IPRESS!$A$3:$B$212,2,0),"")</f>
        <v/>
      </c>
      <c r="J317" s="334" t="n"/>
      <c r="K317" s="332">
        <f>IFERROR(VLOOKUP(TEXT(O317,"0"),CONDUCTORES!$A$3:$G$54,7,0),"")</f>
        <v/>
      </c>
      <c r="L317" s="334" t="n"/>
      <c r="M317" s="334" t="n"/>
      <c r="N317" s="333">
        <f>IFERROR(IF(L317*M317=0,"",L317*M317),"")</f>
        <v/>
      </c>
      <c r="O317" s="334" t="n"/>
      <c r="P317" s="332">
        <f>IFERROR(VLOOKUP(TEXT(O317,"0"),CONDUCTORES!$A$3:$G$54,2,0),"")</f>
        <v/>
      </c>
      <c r="Q317" s="332">
        <f>IFERROR(VLOOKUP(TEXT(O317,"0"),CONDUCTORES!$A$3:$H$54,6,0),"")</f>
        <v/>
      </c>
      <c r="R317" s="334" t="n"/>
      <c r="S317" s="334" t="n"/>
      <c r="T317" s="334" t="n"/>
      <c r="U317" s="334" t="n"/>
      <c r="V317" s="334" t="n"/>
      <c r="W317" s="334" t="n"/>
      <c r="X317" s="334" t="n"/>
      <c r="Y317" s="334" t="n"/>
      <c r="Z317" s="375">
        <f>IF(AND(G317&lt;&gt;"",R317&lt;&gt;"",V317&lt;&gt;"",W317&lt;&gt;""),"COMPLETADO","OBSERVADO")</f>
        <v/>
      </c>
    </row>
    <row r="318" ht="15" customHeight="1" s="195">
      <c r="A318" s="280" t="n"/>
      <c r="B318" s="280" t="n"/>
      <c r="C318" s="280" t="n"/>
      <c r="D318" s="280" t="n"/>
      <c r="E318" s="280" t="n"/>
      <c r="F318" s="280" t="n"/>
      <c r="G318" s="280" t="n"/>
      <c r="H318" s="280" t="n"/>
      <c r="I318" s="332">
        <f>IFERROR(VLOOKUP(TEXT(H318,"0"),IPRESS!$A$3:$B$212,2,0),"")</f>
        <v/>
      </c>
      <c r="J318" s="280" t="n"/>
      <c r="K318" s="332">
        <f>IFERROR(VLOOKUP(TEXT(O318,"0"),CONDUCTORES!$A$3:$G$54,7,0),"")</f>
        <v/>
      </c>
      <c r="L318" s="280" t="n"/>
      <c r="M318" s="280" t="n"/>
      <c r="N318" s="333">
        <f>IFERROR(IF(L318*M318=0,"",L318*M318),"")</f>
        <v/>
      </c>
      <c r="O318" s="280" t="n"/>
      <c r="P318" s="332">
        <f>IFERROR(VLOOKUP(TEXT(O318,"0"),CONDUCTORES!$A$3:$G$54,2,0),"")</f>
        <v/>
      </c>
      <c r="Q318" s="332">
        <f>IFERROR(VLOOKUP(TEXT(O318,"0"),CONDUCTORES!$A$3:$H$54,6,0),"")</f>
        <v/>
      </c>
      <c r="R318" s="280" t="n"/>
      <c r="S318" s="280" t="n"/>
      <c r="T318" s="280" t="n"/>
      <c r="U318" s="280" t="n"/>
      <c r="V318" s="280" t="n"/>
      <c r="W318" s="280" t="n"/>
      <c r="X318" s="280" t="n"/>
      <c r="Y318" s="280" t="n"/>
      <c r="Z318" s="375">
        <f>IF(AND(G318&lt;&gt;"",R318&lt;&gt;"",V318&lt;&gt;"",W318&lt;&gt;""),"COMPLETADO","OBSERVADO")</f>
        <v/>
      </c>
    </row>
    <row r="319" ht="15" customHeight="1" s="195">
      <c r="A319" s="334" t="n"/>
      <c r="B319" s="334" t="n"/>
      <c r="C319" s="334" t="n"/>
      <c r="D319" s="334" t="n"/>
      <c r="E319" s="334" t="n"/>
      <c r="F319" s="334" t="n"/>
      <c r="G319" s="334" t="n"/>
      <c r="H319" s="334" t="n"/>
      <c r="I319" s="332">
        <f>IFERROR(VLOOKUP(TEXT(H319,"0"),IPRESS!$A$3:$B$212,2,0),"")</f>
        <v/>
      </c>
      <c r="J319" s="334" t="n"/>
      <c r="K319" s="332">
        <f>IFERROR(VLOOKUP(TEXT(O319,"0"),CONDUCTORES!$A$3:$G$54,7,0),"")</f>
        <v/>
      </c>
      <c r="L319" s="334" t="n"/>
      <c r="M319" s="334" t="n"/>
      <c r="N319" s="333">
        <f>IFERROR(IF(L319*M319=0,"",L319*M319),"")</f>
        <v/>
      </c>
      <c r="O319" s="334" t="n"/>
      <c r="P319" s="332">
        <f>IFERROR(VLOOKUP(TEXT(O319,"0"),CONDUCTORES!$A$3:$G$54,2,0),"")</f>
        <v/>
      </c>
      <c r="Q319" s="332">
        <f>IFERROR(VLOOKUP(TEXT(O319,"0"),CONDUCTORES!$A$3:$H$54,6,0),"")</f>
        <v/>
      </c>
      <c r="R319" s="334" t="n"/>
      <c r="S319" s="334" t="n"/>
      <c r="T319" s="334" t="n"/>
      <c r="U319" s="334" t="n"/>
      <c r="V319" s="334" t="n"/>
      <c r="W319" s="334" t="n"/>
      <c r="X319" s="334" t="n"/>
      <c r="Y319" s="334" t="n"/>
      <c r="Z319" s="375">
        <f>IF(AND(G319&lt;&gt;"",R319&lt;&gt;"",V319&lt;&gt;"",W319&lt;&gt;""),"COMPLETADO","OBSERVADO")</f>
        <v/>
      </c>
    </row>
    <row r="320" ht="15" customHeight="1" s="195">
      <c r="A320" s="280" t="n"/>
      <c r="B320" s="280" t="n"/>
      <c r="C320" s="280" t="n"/>
      <c r="D320" s="280" t="n"/>
      <c r="E320" s="280" t="n"/>
      <c r="F320" s="280" t="n"/>
      <c r="G320" s="280" t="n"/>
      <c r="H320" s="280" t="n"/>
      <c r="I320" s="332">
        <f>IFERROR(VLOOKUP(TEXT(H320,"0"),IPRESS!$A$3:$B$212,2,0),"")</f>
        <v/>
      </c>
      <c r="J320" s="280" t="n"/>
      <c r="K320" s="332">
        <f>IFERROR(VLOOKUP(TEXT(O320,"0"),CONDUCTORES!$A$3:$G$54,7,0),"")</f>
        <v/>
      </c>
      <c r="L320" s="280" t="n"/>
      <c r="M320" s="280" t="n"/>
      <c r="N320" s="333">
        <f>IFERROR(IF(L320*M320=0,"",L320*M320),"")</f>
        <v/>
      </c>
      <c r="O320" s="280" t="n"/>
      <c r="P320" s="332">
        <f>IFERROR(VLOOKUP(TEXT(O320,"0"),CONDUCTORES!$A$3:$G$54,2,0),"")</f>
        <v/>
      </c>
      <c r="Q320" s="332">
        <f>IFERROR(VLOOKUP(TEXT(O320,"0"),CONDUCTORES!$A$3:$H$54,6,0),"")</f>
        <v/>
      </c>
      <c r="R320" s="280" t="n"/>
      <c r="S320" s="280" t="n"/>
      <c r="T320" s="280" t="n"/>
      <c r="U320" s="280" t="n"/>
      <c r="V320" s="280" t="n"/>
      <c r="W320" s="280" t="n"/>
      <c r="X320" s="280" t="n"/>
      <c r="Y320" s="280" t="n"/>
      <c r="Z320" s="375">
        <f>IF(AND(G320&lt;&gt;"",R320&lt;&gt;"",V320&lt;&gt;"",W320&lt;&gt;""),"COMPLETADO","OBSERVADO")</f>
        <v/>
      </c>
    </row>
    <row r="321" ht="15" customHeight="1" s="195">
      <c r="A321" s="334" t="n"/>
      <c r="B321" s="334" t="n"/>
      <c r="C321" s="334" t="n"/>
      <c r="D321" s="334" t="n"/>
      <c r="E321" s="334" t="n"/>
      <c r="F321" s="334" t="n"/>
      <c r="G321" s="334" t="n"/>
      <c r="H321" s="334" t="n"/>
      <c r="I321" s="332">
        <f>IFERROR(VLOOKUP(TEXT(H321,"0"),IPRESS!$A$3:$B$212,2,0),"")</f>
        <v/>
      </c>
      <c r="J321" s="334" t="n"/>
      <c r="K321" s="332">
        <f>IFERROR(VLOOKUP(TEXT(O321,"0"),CONDUCTORES!$A$3:$G$54,7,0),"")</f>
        <v/>
      </c>
      <c r="L321" s="334" t="n"/>
      <c r="M321" s="334" t="n"/>
      <c r="N321" s="333">
        <f>IFERROR(IF(L321*M321=0,"",L321*M321),"")</f>
        <v/>
      </c>
      <c r="O321" s="334" t="n"/>
      <c r="P321" s="332">
        <f>IFERROR(VLOOKUP(TEXT(O321,"0"),CONDUCTORES!$A$3:$G$54,2,0),"")</f>
        <v/>
      </c>
      <c r="Q321" s="332">
        <f>IFERROR(VLOOKUP(TEXT(O321,"0"),CONDUCTORES!$A$3:$H$54,6,0),"")</f>
        <v/>
      </c>
      <c r="R321" s="334" t="n"/>
      <c r="S321" s="334" t="n"/>
      <c r="T321" s="334" t="n"/>
      <c r="U321" s="334" t="n"/>
      <c r="V321" s="334" t="n"/>
      <c r="W321" s="334" t="n"/>
      <c r="X321" s="334" t="n"/>
      <c r="Y321" s="334" t="n"/>
      <c r="Z321" s="375">
        <f>IF(AND(G321&lt;&gt;"",R321&lt;&gt;"",V321&lt;&gt;"",W321&lt;&gt;""),"COMPLETADO","OBSERVADO")</f>
        <v/>
      </c>
    </row>
    <row r="322" ht="15" customHeight="1" s="195">
      <c r="A322" s="280" t="n"/>
      <c r="B322" s="280" t="n"/>
      <c r="C322" s="280" t="n"/>
      <c r="D322" s="280" t="n"/>
      <c r="E322" s="280" t="n"/>
      <c r="F322" s="280" t="n"/>
      <c r="G322" s="280" t="n"/>
      <c r="H322" s="280" t="n"/>
      <c r="I322" s="332">
        <f>IFERROR(VLOOKUP(TEXT(H322,"0"),IPRESS!$A$3:$B$212,2,0),"")</f>
        <v/>
      </c>
      <c r="J322" s="280" t="n"/>
      <c r="K322" s="332">
        <f>IFERROR(VLOOKUP(TEXT(O322,"0"),CONDUCTORES!$A$3:$G$54,7,0),"")</f>
        <v/>
      </c>
      <c r="L322" s="280" t="n"/>
      <c r="M322" s="280" t="n"/>
      <c r="N322" s="333">
        <f>IFERROR(IF(L322*M322=0,"",L322*M322),"")</f>
        <v/>
      </c>
      <c r="O322" s="280" t="n"/>
      <c r="P322" s="332">
        <f>IFERROR(VLOOKUP(TEXT(O322,"0"),CONDUCTORES!$A$3:$G$54,2,0),"")</f>
        <v/>
      </c>
      <c r="Q322" s="332">
        <f>IFERROR(VLOOKUP(TEXT(O322,"0"),CONDUCTORES!$A$3:$H$54,6,0),"")</f>
        <v/>
      </c>
      <c r="R322" s="280" t="n"/>
      <c r="S322" s="280" t="n"/>
      <c r="T322" s="280" t="n"/>
      <c r="U322" s="280" t="n"/>
      <c r="V322" s="280" t="n"/>
      <c r="W322" s="280" t="n"/>
      <c r="X322" s="280" t="n"/>
      <c r="Y322" s="280" t="n"/>
      <c r="Z322" s="375">
        <f>IF(AND(G322&lt;&gt;"",R322&lt;&gt;"",V322&lt;&gt;"",W322&lt;&gt;""),"COMPLETADO","OBSERVADO")</f>
        <v/>
      </c>
    </row>
    <row r="323" ht="15" customHeight="1" s="195">
      <c r="A323" s="334" t="n"/>
      <c r="B323" s="334" t="n"/>
      <c r="C323" s="334" t="n"/>
      <c r="D323" s="334" t="n"/>
      <c r="E323" s="334" t="n"/>
      <c r="F323" s="334" t="n"/>
      <c r="G323" s="334" t="n"/>
      <c r="H323" s="334" t="n"/>
      <c r="I323" s="332">
        <f>IFERROR(VLOOKUP(TEXT(H323,"0"),IPRESS!$A$3:$B$212,2,0),"")</f>
        <v/>
      </c>
      <c r="J323" s="334" t="n"/>
      <c r="K323" s="332">
        <f>IFERROR(VLOOKUP(TEXT(O323,"0"),CONDUCTORES!$A$3:$G$54,7,0),"")</f>
        <v/>
      </c>
      <c r="L323" s="334" t="n"/>
      <c r="M323" s="334" t="n"/>
      <c r="N323" s="333">
        <f>IFERROR(IF(L323*M323=0,"",L323*M323),"")</f>
        <v/>
      </c>
      <c r="O323" s="334" t="n"/>
      <c r="P323" s="332">
        <f>IFERROR(VLOOKUP(TEXT(O323,"0"),CONDUCTORES!$A$3:$G$54,2,0),"")</f>
        <v/>
      </c>
      <c r="Q323" s="332">
        <f>IFERROR(VLOOKUP(TEXT(O323,"0"),CONDUCTORES!$A$3:$H$54,6,0),"")</f>
        <v/>
      </c>
      <c r="R323" s="334" t="n"/>
      <c r="S323" s="334" t="n"/>
      <c r="T323" s="334" t="n"/>
      <c r="U323" s="334" t="n"/>
      <c r="V323" s="334" t="n"/>
      <c r="W323" s="334" t="n"/>
      <c r="X323" s="334" t="n"/>
      <c r="Y323" s="334" t="n"/>
      <c r="Z323" s="375">
        <f>IF(AND(G323&lt;&gt;"",R323&lt;&gt;"",V323&lt;&gt;"",W323&lt;&gt;""),"COMPLETADO","OBSERVADO")</f>
        <v/>
      </c>
    </row>
    <row r="324" ht="15" customHeight="1" s="195">
      <c r="A324" s="280" t="n"/>
      <c r="B324" s="280" t="n"/>
      <c r="C324" s="280" t="n"/>
      <c r="D324" s="280" t="n"/>
      <c r="E324" s="280" t="n"/>
      <c r="F324" s="280" t="n"/>
      <c r="G324" s="280" t="n"/>
      <c r="H324" s="280" t="n"/>
      <c r="I324" s="332">
        <f>IFERROR(VLOOKUP(TEXT(H324,"0"),IPRESS!$A$3:$B$212,2,0),"")</f>
        <v/>
      </c>
      <c r="J324" s="280" t="n"/>
      <c r="K324" s="332">
        <f>IFERROR(VLOOKUP(TEXT(O324,"0"),CONDUCTORES!$A$3:$G$54,7,0),"")</f>
        <v/>
      </c>
      <c r="L324" s="280" t="n"/>
      <c r="M324" s="280" t="n"/>
      <c r="N324" s="333">
        <f>IFERROR(IF(L324*M324=0,"",L324*M324),"")</f>
        <v/>
      </c>
      <c r="O324" s="280" t="n"/>
      <c r="P324" s="332">
        <f>IFERROR(VLOOKUP(TEXT(O324,"0"),CONDUCTORES!$A$3:$G$54,2,0),"")</f>
        <v/>
      </c>
      <c r="Q324" s="332">
        <f>IFERROR(VLOOKUP(TEXT(O324,"0"),CONDUCTORES!$A$3:$H$54,6,0),"")</f>
        <v/>
      </c>
      <c r="R324" s="280" t="n"/>
      <c r="S324" s="280" t="n"/>
      <c r="T324" s="280" t="n"/>
      <c r="U324" s="280" t="n"/>
      <c r="V324" s="280" t="n"/>
      <c r="W324" s="280" t="n"/>
      <c r="X324" s="280" t="n"/>
      <c r="Y324" s="280" t="n"/>
      <c r="Z324" s="375">
        <f>IF(AND(G324&lt;&gt;"",R324&lt;&gt;"",V324&lt;&gt;"",W324&lt;&gt;""),"COMPLETADO","OBSERVADO")</f>
        <v/>
      </c>
    </row>
    <row r="325" ht="15" customHeight="1" s="195">
      <c r="A325" s="334" t="n"/>
      <c r="B325" s="334" t="n"/>
      <c r="C325" s="334" t="n"/>
      <c r="D325" s="334" t="n"/>
      <c r="E325" s="334" t="n"/>
      <c r="F325" s="334" t="n"/>
      <c r="G325" s="334" t="n"/>
      <c r="H325" s="334" t="n"/>
      <c r="I325" s="332">
        <f>IFERROR(VLOOKUP(TEXT(H325,"0"),IPRESS!$A$3:$B$212,2,0),"")</f>
        <v/>
      </c>
      <c r="J325" s="334" t="n"/>
      <c r="K325" s="332">
        <f>IFERROR(VLOOKUP(TEXT(O325,"0"),CONDUCTORES!$A$3:$G$54,7,0),"")</f>
        <v/>
      </c>
      <c r="L325" s="334" t="n"/>
      <c r="M325" s="334" t="n"/>
      <c r="N325" s="333">
        <f>IFERROR(IF(L325*M325=0,"",L325*M325),"")</f>
        <v/>
      </c>
      <c r="O325" s="334" t="n"/>
      <c r="P325" s="332">
        <f>IFERROR(VLOOKUP(TEXT(O325,"0"),CONDUCTORES!$A$3:$G$54,2,0),"")</f>
        <v/>
      </c>
      <c r="Q325" s="332">
        <f>IFERROR(VLOOKUP(TEXT(O325,"0"),CONDUCTORES!$A$3:$H$54,6,0),"")</f>
        <v/>
      </c>
      <c r="R325" s="334" t="n"/>
      <c r="S325" s="334" t="n"/>
      <c r="T325" s="334" t="n"/>
      <c r="U325" s="334" t="n"/>
      <c r="V325" s="334" t="n"/>
      <c r="W325" s="334" t="n"/>
      <c r="X325" s="334" t="n"/>
      <c r="Y325" s="334" t="n"/>
      <c r="Z325" s="375">
        <f>IF(AND(G325&lt;&gt;"",R325&lt;&gt;"",V325&lt;&gt;"",W325&lt;&gt;""),"COMPLETADO","OBSERVADO")</f>
        <v/>
      </c>
    </row>
    <row r="326" ht="15" customHeight="1" s="195">
      <c r="A326" s="280" t="n"/>
      <c r="B326" s="280" t="n"/>
      <c r="C326" s="280" t="n"/>
      <c r="D326" s="280" t="n"/>
      <c r="E326" s="280" t="n"/>
      <c r="F326" s="280" t="n"/>
      <c r="G326" s="280" t="n"/>
      <c r="H326" s="280" t="n"/>
      <c r="I326" s="332">
        <f>IFERROR(VLOOKUP(TEXT(H326,"0"),IPRESS!$A$3:$B$212,2,0),"")</f>
        <v/>
      </c>
      <c r="J326" s="280" t="n"/>
      <c r="K326" s="332">
        <f>IFERROR(VLOOKUP(TEXT(O326,"0"),CONDUCTORES!$A$3:$G$54,7,0),"")</f>
        <v/>
      </c>
      <c r="L326" s="280" t="n"/>
      <c r="M326" s="280" t="n"/>
      <c r="N326" s="333">
        <f>IFERROR(IF(L326*M326=0,"",L326*M326),"")</f>
        <v/>
      </c>
      <c r="O326" s="280" t="n"/>
      <c r="P326" s="332">
        <f>IFERROR(VLOOKUP(TEXT(O326,"0"),CONDUCTORES!$A$3:$G$54,2,0),"")</f>
        <v/>
      </c>
      <c r="Q326" s="332">
        <f>IFERROR(VLOOKUP(TEXT(O326,"0"),CONDUCTORES!$A$3:$H$54,6,0),"")</f>
        <v/>
      </c>
      <c r="R326" s="280" t="n"/>
      <c r="S326" s="280" t="n"/>
      <c r="T326" s="280" t="n"/>
      <c r="U326" s="280" t="n"/>
      <c r="V326" s="280" t="n"/>
      <c r="W326" s="280" t="n"/>
      <c r="X326" s="280" t="n"/>
      <c r="Y326" s="280" t="n"/>
      <c r="Z326" s="375">
        <f>IF(AND(G326&lt;&gt;"",R326&lt;&gt;"",V326&lt;&gt;"",W326&lt;&gt;""),"COMPLETADO","OBSERVADO")</f>
        <v/>
      </c>
    </row>
    <row r="327" ht="15" customHeight="1" s="195">
      <c r="A327" s="334" t="n"/>
      <c r="B327" s="334" t="n"/>
      <c r="C327" s="334" t="n"/>
      <c r="D327" s="334" t="n"/>
      <c r="E327" s="334" t="n"/>
      <c r="F327" s="334" t="n"/>
      <c r="G327" s="334" t="n"/>
      <c r="H327" s="334" t="n"/>
      <c r="I327" s="332">
        <f>IFERROR(VLOOKUP(TEXT(H327,"0"),IPRESS!$A$3:$B$212,2,0),"")</f>
        <v/>
      </c>
      <c r="J327" s="334" t="n"/>
      <c r="K327" s="332">
        <f>IFERROR(VLOOKUP(TEXT(O327,"0"),CONDUCTORES!$A$3:$G$54,7,0),"")</f>
        <v/>
      </c>
      <c r="L327" s="334" t="n"/>
      <c r="M327" s="334" t="n"/>
      <c r="N327" s="333">
        <f>IFERROR(IF(L327*M327=0,"",L327*M327),"")</f>
        <v/>
      </c>
      <c r="O327" s="334" t="n"/>
      <c r="P327" s="332">
        <f>IFERROR(VLOOKUP(TEXT(O327,"0"),CONDUCTORES!$A$3:$G$54,2,0),"")</f>
        <v/>
      </c>
      <c r="Q327" s="332">
        <f>IFERROR(VLOOKUP(TEXT(O327,"0"),CONDUCTORES!$A$3:$H$54,6,0),"")</f>
        <v/>
      </c>
      <c r="R327" s="334" t="n"/>
      <c r="S327" s="334" t="n"/>
      <c r="T327" s="334" t="n"/>
      <c r="U327" s="334" t="n"/>
      <c r="V327" s="334" t="n"/>
      <c r="W327" s="334" t="n"/>
      <c r="X327" s="334" t="n"/>
      <c r="Y327" s="334" t="n"/>
      <c r="Z327" s="375">
        <f>IF(AND(G327&lt;&gt;"",R327&lt;&gt;"",V327&lt;&gt;"",W327&lt;&gt;""),"COMPLETADO","OBSERVADO")</f>
        <v/>
      </c>
    </row>
    <row r="328" ht="15" customHeight="1" s="195">
      <c r="A328" s="280" t="n"/>
      <c r="B328" s="280" t="n"/>
      <c r="C328" s="280" t="n"/>
      <c r="D328" s="280" t="n"/>
      <c r="E328" s="280" t="n"/>
      <c r="F328" s="280" t="n"/>
      <c r="G328" s="280" t="n"/>
      <c r="H328" s="280" t="n"/>
      <c r="I328" s="332">
        <f>IFERROR(VLOOKUP(TEXT(H328,"0"),IPRESS!$A$3:$B$212,2,0),"")</f>
        <v/>
      </c>
      <c r="J328" s="280" t="n"/>
      <c r="K328" s="332">
        <f>IFERROR(VLOOKUP(TEXT(O328,"0"),CONDUCTORES!$A$3:$G$54,7,0),"")</f>
        <v/>
      </c>
      <c r="L328" s="280" t="n"/>
      <c r="M328" s="280" t="n"/>
      <c r="N328" s="333">
        <f>IFERROR(IF(L328*M328=0,"",L328*M328),"")</f>
        <v/>
      </c>
      <c r="O328" s="280" t="n"/>
      <c r="P328" s="332">
        <f>IFERROR(VLOOKUP(TEXT(O328,"0"),CONDUCTORES!$A$3:$G$54,2,0),"")</f>
        <v/>
      </c>
      <c r="Q328" s="332">
        <f>IFERROR(VLOOKUP(TEXT(O328,"0"),CONDUCTORES!$A$3:$H$54,6,0),"")</f>
        <v/>
      </c>
      <c r="R328" s="280" t="n"/>
      <c r="S328" s="280" t="n"/>
      <c r="T328" s="280" t="n"/>
      <c r="U328" s="280" t="n"/>
      <c r="V328" s="280" t="n"/>
      <c r="W328" s="280" t="n"/>
      <c r="X328" s="280" t="n"/>
      <c r="Y328" s="280" t="n"/>
      <c r="Z328" s="375">
        <f>IF(AND(G328&lt;&gt;"",R328&lt;&gt;"",V328&lt;&gt;"",W328&lt;&gt;""),"COMPLETADO","OBSERVADO")</f>
        <v/>
      </c>
    </row>
    <row r="329" ht="15" customHeight="1" s="195">
      <c r="A329" s="334" t="n"/>
      <c r="B329" s="334" t="n"/>
      <c r="C329" s="334" t="n"/>
      <c r="D329" s="334" t="n"/>
      <c r="E329" s="334" t="n"/>
      <c r="F329" s="334" t="n"/>
      <c r="G329" s="334" t="n"/>
      <c r="H329" s="334" t="n"/>
      <c r="I329" s="332">
        <f>IFERROR(VLOOKUP(TEXT(H329,"0"),IPRESS!$A$3:$B$212,2,0),"")</f>
        <v/>
      </c>
      <c r="J329" s="334" t="n"/>
      <c r="K329" s="332">
        <f>IFERROR(VLOOKUP(TEXT(O329,"0"),CONDUCTORES!$A$3:$G$54,7,0),"")</f>
        <v/>
      </c>
      <c r="L329" s="334" t="n"/>
      <c r="M329" s="334" t="n"/>
      <c r="N329" s="333">
        <f>IFERROR(IF(L329*M329=0,"",L329*M329),"")</f>
        <v/>
      </c>
      <c r="O329" s="334" t="n"/>
      <c r="P329" s="332">
        <f>IFERROR(VLOOKUP(TEXT(O329,"0"),CONDUCTORES!$A$3:$G$54,2,0),"")</f>
        <v/>
      </c>
      <c r="Q329" s="332">
        <f>IFERROR(VLOOKUP(TEXT(O329,"0"),CONDUCTORES!$A$3:$H$54,6,0),"")</f>
        <v/>
      </c>
      <c r="R329" s="334" t="n"/>
      <c r="S329" s="334" t="n"/>
      <c r="T329" s="334" t="n"/>
      <c r="U329" s="334" t="n"/>
      <c r="V329" s="334" t="n"/>
      <c r="W329" s="334" t="n"/>
      <c r="X329" s="334" t="n"/>
      <c r="Y329" s="334" t="n"/>
      <c r="Z329" s="375">
        <f>IF(AND(G329&lt;&gt;"",R329&lt;&gt;"",V329&lt;&gt;"",W329&lt;&gt;""),"COMPLETADO","OBSERVADO")</f>
        <v/>
      </c>
    </row>
    <row r="330" ht="15" customHeight="1" s="195">
      <c r="A330" s="280" t="n"/>
      <c r="B330" s="280" t="n"/>
      <c r="C330" s="280" t="n"/>
      <c r="D330" s="280" t="n"/>
      <c r="E330" s="280" t="n"/>
      <c r="F330" s="280" t="n"/>
      <c r="G330" s="280" t="n"/>
      <c r="H330" s="280" t="n"/>
      <c r="I330" s="332">
        <f>IFERROR(VLOOKUP(TEXT(H330,"0"),IPRESS!$A$3:$B$212,2,0),"")</f>
        <v/>
      </c>
      <c r="J330" s="280" t="n"/>
      <c r="K330" s="332">
        <f>IFERROR(VLOOKUP(TEXT(O330,"0"),CONDUCTORES!$A$3:$G$54,7,0),"")</f>
        <v/>
      </c>
      <c r="L330" s="280" t="n"/>
      <c r="M330" s="280" t="n"/>
      <c r="N330" s="333">
        <f>IFERROR(IF(L330*M330=0,"",L330*M330),"")</f>
        <v/>
      </c>
      <c r="O330" s="280" t="n"/>
      <c r="P330" s="332">
        <f>IFERROR(VLOOKUP(TEXT(O330,"0"),CONDUCTORES!$A$3:$G$54,2,0),"")</f>
        <v/>
      </c>
      <c r="Q330" s="332">
        <f>IFERROR(VLOOKUP(TEXT(O330,"0"),CONDUCTORES!$A$3:$H$54,6,0),"")</f>
        <v/>
      </c>
      <c r="R330" s="280" t="n"/>
      <c r="S330" s="280" t="n"/>
      <c r="T330" s="280" t="n"/>
      <c r="U330" s="280" t="n"/>
      <c r="V330" s="280" t="n"/>
      <c r="W330" s="280" t="n"/>
      <c r="X330" s="280" t="n"/>
      <c r="Y330" s="280" t="n"/>
      <c r="Z330" s="375">
        <f>IF(AND(G330&lt;&gt;"",R330&lt;&gt;"",V330&lt;&gt;"",W330&lt;&gt;""),"COMPLETADO","OBSERVADO")</f>
        <v/>
      </c>
    </row>
    <row r="331" ht="15" customHeight="1" s="195">
      <c r="A331" s="334" t="n"/>
      <c r="B331" s="334" t="n"/>
      <c r="C331" s="334" t="n"/>
      <c r="D331" s="334" t="n"/>
      <c r="E331" s="334" t="n"/>
      <c r="F331" s="334" t="n"/>
      <c r="G331" s="334" t="n"/>
      <c r="H331" s="334" t="n"/>
      <c r="I331" s="332">
        <f>IFERROR(VLOOKUP(TEXT(H331,"0"),IPRESS!$A$3:$B$212,2,0),"")</f>
        <v/>
      </c>
      <c r="J331" s="334" t="n"/>
      <c r="K331" s="332">
        <f>IFERROR(VLOOKUP(TEXT(O331,"0"),CONDUCTORES!$A$3:$G$54,7,0),"")</f>
        <v/>
      </c>
      <c r="L331" s="334" t="n"/>
      <c r="M331" s="334" t="n"/>
      <c r="N331" s="333">
        <f>IFERROR(IF(L331*M331=0,"",L331*M331),"")</f>
        <v/>
      </c>
      <c r="O331" s="334" t="n"/>
      <c r="P331" s="332">
        <f>IFERROR(VLOOKUP(TEXT(O331,"0"),CONDUCTORES!$A$3:$G$54,2,0),"")</f>
        <v/>
      </c>
      <c r="Q331" s="332">
        <f>IFERROR(VLOOKUP(TEXT(O331,"0"),CONDUCTORES!$A$3:$H$54,6,0),"")</f>
        <v/>
      </c>
      <c r="R331" s="334" t="n"/>
      <c r="S331" s="334" t="n"/>
      <c r="T331" s="334" t="n"/>
      <c r="U331" s="334" t="n"/>
      <c r="V331" s="334" t="n"/>
      <c r="W331" s="334" t="n"/>
      <c r="X331" s="334" t="n"/>
      <c r="Y331" s="334" t="n"/>
      <c r="Z331" s="375">
        <f>IF(AND(G331&lt;&gt;"",R331&lt;&gt;"",V331&lt;&gt;"",W331&lt;&gt;""),"COMPLETADO","OBSERVADO")</f>
        <v/>
      </c>
    </row>
    <row r="332" ht="15" customHeight="1" s="195">
      <c r="A332" s="280" t="n"/>
      <c r="B332" s="280" t="n"/>
      <c r="C332" s="280" t="n"/>
      <c r="D332" s="280" t="n"/>
      <c r="E332" s="280" t="n"/>
      <c r="F332" s="280" t="n"/>
      <c r="G332" s="280" t="n"/>
      <c r="H332" s="280" t="n"/>
      <c r="I332" s="332">
        <f>IFERROR(VLOOKUP(TEXT(H332,"0"),IPRESS!$A$3:$B$212,2,0),"")</f>
        <v/>
      </c>
      <c r="J332" s="280" t="n"/>
      <c r="K332" s="332">
        <f>IFERROR(VLOOKUP(TEXT(O332,"0"),CONDUCTORES!$A$3:$G$54,7,0),"")</f>
        <v/>
      </c>
      <c r="L332" s="280" t="n"/>
      <c r="M332" s="280" t="n"/>
      <c r="N332" s="333">
        <f>IFERROR(IF(L332*M332=0,"",L332*M332),"")</f>
        <v/>
      </c>
      <c r="O332" s="280" t="n"/>
      <c r="P332" s="332">
        <f>IFERROR(VLOOKUP(TEXT(O332,"0"),CONDUCTORES!$A$3:$G$54,2,0),"")</f>
        <v/>
      </c>
      <c r="Q332" s="332">
        <f>IFERROR(VLOOKUP(TEXT(O332,"0"),CONDUCTORES!$A$3:$H$54,6,0),"")</f>
        <v/>
      </c>
      <c r="R332" s="280" t="n"/>
      <c r="S332" s="280" t="n"/>
      <c r="T332" s="280" t="n"/>
      <c r="U332" s="280" t="n"/>
      <c r="V332" s="280" t="n"/>
      <c r="W332" s="280" t="n"/>
      <c r="X332" s="280" t="n"/>
      <c r="Y332" s="280" t="n"/>
      <c r="Z332" s="375">
        <f>IF(AND(G332&lt;&gt;"",R332&lt;&gt;"",V332&lt;&gt;"",W332&lt;&gt;""),"COMPLETADO","OBSERVADO")</f>
        <v/>
      </c>
    </row>
    <row r="333" ht="15" customHeight="1" s="195">
      <c r="A333" s="334" t="n"/>
      <c r="B333" s="334" t="n"/>
      <c r="C333" s="334" t="n"/>
      <c r="D333" s="334" t="n"/>
      <c r="E333" s="334" t="n"/>
      <c r="F333" s="334" t="n"/>
      <c r="G333" s="334" t="n"/>
      <c r="H333" s="334" t="n"/>
      <c r="I333" s="332">
        <f>IFERROR(VLOOKUP(TEXT(H333,"0"),IPRESS!$A$3:$B$212,2,0),"")</f>
        <v/>
      </c>
      <c r="J333" s="334" t="n"/>
      <c r="K333" s="332">
        <f>IFERROR(VLOOKUP(TEXT(O333,"0"),CONDUCTORES!$A$3:$G$54,7,0),"")</f>
        <v/>
      </c>
      <c r="L333" s="334" t="n"/>
      <c r="M333" s="334" t="n"/>
      <c r="N333" s="333">
        <f>IFERROR(IF(L333*M333=0,"",L333*M333),"")</f>
        <v/>
      </c>
      <c r="O333" s="334" t="n"/>
      <c r="P333" s="332">
        <f>IFERROR(VLOOKUP(TEXT(O333,"0"),CONDUCTORES!$A$3:$G$54,2,0),"")</f>
        <v/>
      </c>
      <c r="Q333" s="332">
        <f>IFERROR(VLOOKUP(TEXT(O333,"0"),CONDUCTORES!$A$3:$H$54,6,0),"")</f>
        <v/>
      </c>
      <c r="R333" s="334" t="n"/>
      <c r="S333" s="334" t="n"/>
      <c r="T333" s="334" t="n"/>
      <c r="U333" s="334" t="n"/>
      <c r="V333" s="334" t="n"/>
      <c r="W333" s="334" t="n"/>
      <c r="X333" s="334" t="n"/>
      <c r="Y333" s="334" t="n"/>
      <c r="Z333" s="375">
        <f>IF(AND(G333&lt;&gt;"",R333&lt;&gt;"",V333&lt;&gt;"",W333&lt;&gt;""),"COMPLETADO","OBSERVADO")</f>
        <v/>
      </c>
    </row>
    <row r="334" ht="15" customHeight="1" s="195">
      <c r="A334" s="280" t="n"/>
      <c r="B334" s="280" t="n"/>
      <c r="C334" s="280" t="n"/>
      <c r="D334" s="280" t="n"/>
      <c r="E334" s="280" t="n"/>
      <c r="F334" s="280" t="n"/>
      <c r="G334" s="280" t="n"/>
      <c r="H334" s="280" t="n"/>
      <c r="I334" s="332">
        <f>IFERROR(VLOOKUP(TEXT(H334,"0"),IPRESS!$A$3:$B$212,2,0),"")</f>
        <v/>
      </c>
      <c r="J334" s="280" t="n"/>
      <c r="K334" s="332">
        <f>IFERROR(VLOOKUP(TEXT(O334,"0"),CONDUCTORES!$A$3:$G$54,7,0),"")</f>
        <v/>
      </c>
      <c r="L334" s="280" t="n"/>
      <c r="M334" s="280" t="n"/>
      <c r="N334" s="333">
        <f>IFERROR(IF(L334*M334=0,"",L334*M334),"")</f>
        <v/>
      </c>
      <c r="O334" s="280" t="n"/>
      <c r="P334" s="332">
        <f>IFERROR(VLOOKUP(TEXT(O334,"0"),CONDUCTORES!$A$3:$G$54,2,0),"")</f>
        <v/>
      </c>
      <c r="Q334" s="332">
        <f>IFERROR(VLOOKUP(TEXT(O334,"0"),CONDUCTORES!$A$3:$H$54,6,0),"")</f>
        <v/>
      </c>
      <c r="R334" s="280" t="n"/>
      <c r="S334" s="280" t="n"/>
      <c r="T334" s="280" t="n"/>
      <c r="U334" s="280" t="n"/>
      <c r="V334" s="280" t="n"/>
      <c r="W334" s="280" t="n"/>
      <c r="X334" s="280" t="n"/>
      <c r="Y334" s="280" t="n"/>
      <c r="Z334" s="375">
        <f>IF(AND(G334&lt;&gt;"",R334&lt;&gt;"",V334&lt;&gt;"",W334&lt;&gt;""),"COMPLETADO","OBSERVADO")</f>
        <v/>
      </c>
    </row>
    <row r="335" ht="15" customHeight="1" s="195">
      <c r="A335" s="334" t="n"/>
      <c r="B335" s="334" t="n"/>
      <c r="C335" s="334" t="n"/>
      <c r="D335" s="334" t="n"/>
      <c r="E335" s="334" t="n"/>
      <c r="F335" s="334" t="n"/>
      <c r="G335" s="334" t="n"/>
      <c r="H335" s="334" t="n"/>
      <c r="I335" s="332">
        <f>IFERROR(VLOOKUP(TEXT(H335,"0"),IPRESS!$A$3:$B$212,2,0),"")</f>
        <v/>
      </c>
      <c r="J335" s="334" t="n"/>
      <c r="K335" s="332">
        <f>IFERROR(VLOOKUP(TEXT(O335,"0"),CONDUCTORES!$A$3:$G$54,7,0),"")</f>
        <v/>
      </c>
      <c r="L335" s="334" t="n"/>
      <c r="M335" s="334" t="n"/>
      <c r="N335" s="333">
        <f>IFERROR(IF(L335*M335=0,"",L335*M335),"")</f>
        <v/>
      </c>
      <c r="O335" s="334" t="n"/>
      <c r="P335" s="332">
        <f>IFERROR(VLOOKUP(TEXT(O335,"0"),CONDUCTORES!$A$3:$G$54,2,0),"")</f>
        <v/>
      </c>
      <c r="Q335" s="332">
        <f>IFERROR(VLOOKUP(TEXT(O335,"0"),CONDUCTORES!$A$3:$H$54,6,0),"")</f>
        <v/>
      </c>
      <c r="R335" s="334" t="n"/>
      <c r="S335" s="334" t="n"/>
      <c r="T335" s="334" t="n"/>
      <c r="U335" s="334" t="n"/>
      <c r="V335" s="334" t="n"/>
      <c r="W335" s="334" t="n"/>
      <c r="X335" s="334" t="n"/>
      <c r="Y335" s="334" t="n"/>
      <c r="Z335" s="375">
        <f>IF(AND(G335&lt;&gt;"",R335&lt;&gt;"",V335&lt;&gt;"",W335&lt;&gt;""),"COMPLETADO","OBSERVADO")</f>
        <v/>
      </c>
    </row>
    <row r="336" ht="15" customHeight="1" s="195">
      <c r="A336" s="280" t="n"/>
      <c r="B336" s="280" t="n"/>
      <c r="C336" s="280" t="n"/>
      <c r="D336" s="280" t="n"/>
      <c r="E336" s="280" t="n"/>
      <c r="F336" s="280" t="n"/>
      <c r="G336" s="280" t="n"/>
      <c r="H336" s="280" t="n"/>
      <c r="I336" s="332">
        <f>IFERROR(VLOOKUP(TEXT(H336,"0"),IPRESS!$A$3:$B$212,2,0),"")</f>
        <v/>
      </c>
      <c r="J336" s="280" t="n"/>
      <c r="K336" s="332">
        <f>IFERROR(VLOOKUP(TEXT(O336,"0"),CONDUCTORES!$A$3:$G$54,7,0),"")</f>
        <v/>
      </c>
      <c r="L336" s="280" t="n"/>
      <c r="M336" s="280" t="n"/>
      <c r="N336" s="333">
        <f>IFERROR(IF(L336*M336=0,"",L336*M336),"")</f>
        <v/>
      </c>
      <c r="O336" s="280" t="n"/>
      <c r="P336" s="332">
        <f>IFERROR(VLOOKUP(TEXT(O336,"0"),CONDUCTORES!$A$3:$G$54,2,0),"")</f>
        <v/>
      </c>
      <c r="Q336" s="332">
        <f>IFERROR(VLOOKUP(TEXT(O336,"0"),CONDUCTORES!$A$3:$H$54,6,0),"")</f>
        <v/>
      </c>
      <c r="R336" s="280" t="n"/>
      <c r="S336" s="280" t="n"/>
      <c r="T336" s="280" t="n"/>
      <c r="U336" s="280" t="n"/>
      <c r="V336" s="280" t="n"/>
      <c r="W336" s="280" t="n"/>
      <c r="X336" s="280" t="n"/>
      <c r="Y336" s="280" t="n"/>
      <c r="Z336" s="375">
        <f>IF(AND(G336&lt;&gt;"",R336&lt;&gt;"",V336&lt;&gt;"",W336&lt;&gt;""),"COMPLETADO","OBSERVADO")</f>
        <v/>
      </c>
    </row>
    <row r="337" ht="15" customHeight="1" s="195">
      <c r="A337" s="334" t="n"/>
      <c r="B337" s="334" t="n"/>
      <c r="C337" s="334" t="n"/>
      <c r="D337" s="334" t="n"/>
      <c r="E337" s="334" t="n"/>
      <c r="F337" s="334" t="n"/>
      <c r="G337" s="334" t="n"/>
      <c r="H337" s="334" t="n"/>
      <c r="I337" s="332">
        <f>IFERROR(VLOOKUP(TEXT(H337,"0"),IPRESS!$A$3:$B$212,2,0),"")</f>
        <v/>
      </c>
      <c r="J337" s="334" t="n"/>
      <c r="K337" s="332">
        <f>IFERROR(VLOOKUP(TEXT(O337,"0"),CONDUCTORES!$A$3:$G$54,7,0),"")</f>
        <v/>
      </c>
      <c r="L337" s="334" t="n"/>
      <c r="M337" s="334" t="n"/>
      <c r="N337" s="333">
        <f>IFERROR(IF(L337*M337=0,"",L337*M337),"")</f>
        <v/>
      </c>
      <c r="O337" s="334" t="n"/>
      <c r="P337" s="332">
        <f>IFERROR(VLOOKUP(TEXT(O337,"0"),CONDUCTORES!$A$3:$G$54,2,0),"")</f>
        <v/>
      </c>
      <c r="Q337" s="332">
        <f>IFERROR(VLOOKUP(TEXT(O337,"0"),CONDUCTORES!$A$3:$H$54,6,0),"")</f>
        <v/>
      </c>
      <c r="R337" s="334" t="n"/>
      <c r="S337" s="334" t="n"/>
      <c r="T337" s="334" t="n"/>
      <c r="U337" s="334" t="n"/>
      <c r="V337" s="334" t="n"/>
      <c r="W337" s="334" t="n"/>
      <c r="X337" s="334" t="n"/>
      <c r="Y337" s="334" t="n"/>
      <c r="Z337" s="375">
        <f>IF(AND(G337&lt;&gt;"",R337&lt;&gt;"",V337&lt;&gt;"",W337&lt;&gt;""),"COMPLETADO","OBSERVADO")</f>
        <v/>
      </c>
    </row>
    <row r="338" ht="15" customHeight="1" s="195">
      <c r="A338" s="280" t="n"/>
      <c r="B338" s="280" t="n"/>
      <c r="C338" s="280" t="n"/>
      <c r="D338" s="280" t="n"/>
      <c r="E338" s="280" t="n"/>
      <c r="F338" s="280" t="n"/>
      <c r="G338" s="280" t="n"/>
      <c r="H338" s="280" t="n"/>
      <c r="I338" s="332">
        <f>IFERROR(VLOOKUP(TEXT(H338,"0"),IPRESS!$A$3:$B$212,2,0),"")</f>
        <v/>
      </c>
      <c r="J338" s="280" t="n"/>
      <c r="K338" s="332">
        <f>IFERROR(VLOOKUP(TEXT(O338,"0"),CONDUCTORES!$A$3:$G$54,7,0),"")</f>
        <v/>
      </c>
      <c r="L338" s="280" t="n"/>
      <c r="M338" s="280" t="n"/>
      <c r="N338" s="333">
        <f>IFERROR(IF(L338*M338=0,"",L338*M338),"")</f>
        <v/>
      </c>
      <c r="O338" s="280" t="n"/>
      <c r="P338" s="332">
        <f>IFERROR(VLOOKUP(TEXT(O338,"0"),CONDUCTORES!$A$3:$G$54,2,0),"")</f>
        <v/>
      </c>
      <c r="Q338" s="332">
        <f>IFERROR(VLOOKUP(TEXT(O338,"0"),CONDUCTORES!$A$3:$H$54,6,0),"")</f>
        <v/>
      </c>
      <c r="R338" s="280" t="n"/>
      <c r="S338" s="280" t="n"/>
      <c r="T338" s="280" t="n"/>
      <c r="U338" s="280" t="n"/>
      <c r="V338" s="280" t="n"/>
      <c r="W338" s="280" t="n"/>
      <c r="X338" s="280" t="n"/>
      <c r="Y338" s="280" t="n"/>
      <c r="Z338" s="375">
        <f>IF(AND(G338&lt;&gt;"",R338&lt;&gt;"",V338&lt;&gt;"",W338&lt;&gt;""),"COMPLETADO","OBSERVADO")</f>
        <v/>
      </c>
    </row>
    <row r="339" ht="15" customHeight="1" s="195">
      <c r="A339" s="334" t="n"/>
      <c r="B339" s="334" t="n"/>
      <c r="C339" s="334" t="n"/>
      <c r="D339" s="334" t="n"/>
      <c r="E339" s="334" t="n"/>
      <c r="F339" s="334" t="n"/>
      <c r="G339" s="334" t="n"/>
      <c r="H339" s="334" t="n"/>
      <c r="I339" s="332">
        <f>IFERROR(VLOOKUP(TEXT(H339,"0"),IPRESS!$A$3:$B$212,2,0),"")</f>
        <v/>
      </c>
      <c r="J339" s="334" t="n"/>
      <c r="K339" s="332">
        <f>IFERROR(VLOOKUP(TEXT(O339,"0"),CONDUCTORES!$A$3:$G$54,7,0),"")</f>
        <v/>
      </c>
      <c r="L339" s="334" t="n"/>
      <c r="M339" s="334" t="n"/>
      <c r="N339" s="333">
        <f>IFERROR(IF(L339*M339=0,"",L339*M339),"")</f>
        <v/>
      </c>
      <c r="O339" s="334" t="n"/>
      <c r="P339" s="332">
        <f>IFERROR(VLOOKUP(TEXT(O339,"0"),CONDUCTORES!$A$3:$G$54,2,0),"")</f>
        <v/>
      </c>
      <c r="Q339" s="332">
        <f>IFERROR(VLOOKUP(TEXT(O339,"0"),CONDUCTORES!$A$3:$H$54,6,0),"")</f>
        <v/>
      </c>
      <c r="R339" s="334" t="n"/>
      <c r="S339" s="334" t="n"/>
      <c r="T339" s="334" t="n"/>
      <c r="U339" s="334" t="n"/>
      <c r="V339" s="334" t="n"/>
      <c r="W339" s="334" t="n"/>
      <c r="X339" s="334" t="n"/>
      <c r="Y339" s="334" t="n"/>
      <c r="Z339" s="375">
        <f>IF(AND(G339&lt;&gt;"",R339&lt;&gt;"",V339&lt;&gt;"",W339&lt;&gt;""),"COMPLETADO","OBSERVADO")</f>
        <v/>
      </c>
    </row>
    <row r="340" ht="15" customHeight="1" s="195">
      <c r="A340" s="280" t="n"/>
      <c r="B340" s="280" t="n"/>
      <c r="C340" s="280" t="n"/>
      <c r="D340" s="280" t="n"/>
      <c r="E340" s="280" t="n"/>
      <c r="F340" s="280" t="n"/>
      <c r="G340" s="280" t="n"/>
      <c r="H340" s="280" t="n"/>
      <c r="I340" s="332">
        <f>IFERROR(VLOOKUP(TEXT(H340,"0"),IPRESS!$A$3:$B$212,2,0),"")</f>
        <v/>
      </c>
      <c r="J340" s="280" t="n"/>
      <c r="K340" s="332">
        <f>IFERROR(VLOOKUP(TEXT(O340,"0"),CONDUCTORES!$A$3:$G$54,7,0),"")</f>
        <v/>
      </c>
      <c r="L340" s="280" t="n"/>
      <c r="M340" s="280" t="n"/>
      <c r="N340" s="333">
        <f>IFERROR(IF(L340*M340=0,"",L340*M340),"")</f>
        <v/>
      </c>
      <c r="O340" s="280" t="n"/>
      <c r="P340" s="332">
        <f>IFERROR(VLOOKUP(TEXT(O340,"0"),CONDUCTORES!$A$3:$G$54,2,0),"")</f>
        <v/>
      </c>
      <c r="Q340" s="332">
        <f>IFERROR(VLOOKUP(TEXT(O340,"0"),CONDUCTORES!$A$3:$H$54,6,0),"")</f>
        <v/>
      </c>
      <c r="R340" s="280" t="n"/>
      <c r="S340" s="280" t="n"/>
      <c r="T340" s="280" t="n"/>
      <c r="U340" s="280" t="n"/>
      <c r="V340" s="280" t="n"/>
      <c r="W340" s="280" t="n"/>
      <c r="X340" s="280" t="n"/>
      <c r="Y340" s="280" t="n"/>
      <c r="Z340" s="375">
        <f>IF(AND(G340&lt;&gt;"",R340&lt;&gt;"",V340&lt;&gt;"",W340&lt;&gt;""),"COMPLETADO","OBSERVADO")</f>
        <v/>
      </c>
    </row>
    <row r="341" ht="15" customHeight="1" s="195">
      <c r="A341" s="334" t="n"/>
      <c r="B341" s="334" t="n"/>
      <c r="C341" s="334" t="n"/>
      <c r="D341" s="334" t="n"/>
      <c r="E341" s="334" t="n"/>
      <c r="F341" s="334" t="n"/>
      <c r="G341" s="334" t="n"/>
      <c r="H341" s="334" t="n"/>
      <c r="I341" s="332">
        <f>IFERROR(VLOOKUP(TEXT(H341,"0"),IPRESS!$A$3:$B$212,2,0),"")</f>
        <v/>
      </c>
      <c r="J341" s="334" t="n"/>
      <c r="K341" s="332">
        <f>IFERROR(VLOOKUP(TEXT(O341,"0"),CONDUCTORES!$A$3:$G$54,7,0),"")</f>
        <v/>
      </c>
      <c r="L341" s="334" t="n"/>
      <c r="M341" s="334" t="n"/>
      <c r="N341" s="333">
        <f>IFERROR(IF(L341*M341=0,"",L341*M341),"")</f>
        <v/>
      </c>
      <c r="O341" s="334" t="n"/>
      <c r="P341" s="332">
        <f>IFERROR(VLOOKUP(TEXT(O341,"0"),CONDUCTORES!$A$3:$G$54,2,0),"")</f>
        <v/>
      </c>
      <c r="Q341" s="332">
        <f>IFERROR(VLOOKUP(TEXT(O341,"0"),CONDUCTORES!$A$3:$H$54,6,0),"")</f>
        <v/>
      </c>
      <c r="R341" s="334" t="n"/>
      <c r="S341" s="334" t="n"/>
      <c r="T341" s="334" t="n"/>
      <c r="U341" s="334" t="n"/>
      <c r="V341" s="334" t="n"/>
      <c r="W341" s="334" t="n"/>
      <c r="X341" s="334" t="n"/>
      <c r="Y341" s="334" t="n"/>
      <c r="Z341" s="375">
        <f>IF(AND(G341&lt;&gt;"",R341&lt;&gt;"",V341&lt;&gt;"",W341&lt;&gt;""),"COMPLETADO","OBSERVADO")</f>
        <v/>
      </c>
    </row>
    <row r="342" ht="15" customHeight="1" s="195">
      <c r="A342" s="280" t="n"/>
      <c r="B342" s="280" t="n"/>
      <c r="C342" s="280" t="n"/>
      <c r="D342" s="280" t="n"/>
      <c r="E342" s="280" t="n"/>
      <c r="F342" s="280" t="n"/>
      <c r="G342" s="280" t="n"/>
      <c r="H342" s="280" t="n"/>
      <c r="I342" s="332">
        <f>IFERROR(VLOOKUP(TEXT(H342,"0"),IPRESS!$A$3:$B$212,2,0),"")</f>
        <v/>
      </c>
      <c r="J342" s="280" t="n"/>
      <c r="K342" s="332">
        <f>IFERROR(VLOOKUP(TEXT(O342,"0"),CONDUCTORES!$A$3:$G$54,7,0),"")</f>
        <v/>
      </c>
      <c r="L342" s="280" t="n"/>
      <c r="M342" s="280" t="n"/>
      <c r="N342" s="333">
        <f>IFERROR(IF(L342*M342=0,"",L342*M342),"")</f>
        <v/>
      </c>
      <c r="O342" s="280" t="n"/>
      <c r="P342" s="332">
        <f>IFERROR(VLOOKUP(TEXT(O342,"0"),CONDUCTORES!$A$3:$G$54,2,0),"")</f>
        <v/>
      </c>
      <c r="Q342" s="332">
        <f>IFERROR(VLOOKUP(TEXT(O342,"0"),CONDUCTORES!$A$3:$H$54,6,0),"")</f>
        <v/>
      </c>
      <c r="R342" s="280" t="n"/>
      <c r="S342" s="280" t="n"/>
      <c r="T342" s="280" t="n"/>
      <c r="U342" s="280" t="n"/>
      <c r="V342" s="280" t="n"/>
      <c r="W342" s="280" t="n"/>
      <c r="X342" s="280" t="n"/>
      <c r="Y342" s="280" t="n"/>
      <c r="Z342" s="375">
        <f>IF(AND(G342&lt;&gt;"",R342&lt;&gt;"",V342&lt;&gt;"",W342&lt;&gt;""),"COMPLETADO","OBSERVADO")</f>
        <v/>
      </c>
    </row>
    <row r="343" ht="15" customHeight="1" s="195">
      <c r="A343" s="334" t="n"/>
      <c r="B343" s="334" t="n"/>
      <c r="C343" s="334" t="n"/>
      <c r="D343" s="334" t="n"/>
      <c r="E343" s="334" t="n"/>
      <c r="F343" s="334" t="n"/>
      <c r="G343" s="334" t="n"/>
      <c r="H343" s="334" t="n"/>
      <c r="I343" s="332">
        <f>IFERROR(VLOOKUP(TEXT(H343,"0"),IPRESS!$A$3:$B$212,2,0),"")</f>
        <v/>
      </c>
      <c r="J343" s="334" t="n"/>
      <c r="K343" s="332">
        <f>IFERROR(VLOOKUP(TEXT(O343,"0"),CONDUCTORES!$A$3:$G$54,7,0),"")</f>
        <v/>
      </c>
      <c r="L343" s="334" t="n"/>
      <c r="M343" s="334" t="n"/>
      <c r="N343" s="333">
        <f>IFERROR(IF(L343*M343=0,"",L343*M343),"")</f>
        <v/>
      </c>
      <c r="O343" s="334" t="n"/>
      <c r="P343" s="332">
        <f>IFERROR(VLOOKUP(TEXT(O343,"0"),CONDUCTORES!$A$3:$G$54,2,0),"")</f>
        <v/>
      </c>
      <c r="Q343" s="332">
        <f>IFERROR(VLOOKUP(TEXT(O343,"0"),CONDUCTORES!$A$3:$H$54,6,0),"")</f>
        <v/>
      </c>
      <c r="R343" s="334" t="n"/>
      <c r="S343" s="334" t="n"/>
      <c r="T343" s="334" t="n"/>
      <c r="U343" s="334" t="n"/>
      <c r="V343" s="334" t="n"/>
      <c r="W343" s="334" t="n"/>
      <c r="X343" s="334" t="n"/>
      <c r="Y343" s="334" t="n"/>
      <c r="Z343" s="375">
        <f>IF(AND(G343&lt;&gt;"",R343&lt;&gt;"",V343&lt;&gt;"",W343&lt;&gt;""),"COMPLETADO","OBSERVADO")</f>
        <v/>
      </c>
    </row>
    <row r="344" ht="15" customHeight="1" s="195">
      <c r="A344" s="280" t="n"/>
      <c r="B344" s="280" t="n"/>
      <c r="C344" s="280" t="n"/>
      <c r="D344" s="280" t="n"/>
      <c r="E344" s="280" t="n"/>
      <c r="F344" s="280" t="n"/>
      <c r="G344" s="280" t="n"/>
      <c r="H344" s="280" t="n"/>
      <c r="I344" s="332">
        <f>IFERROR(VLOOKUP(TEXT(H344,"0"),IPRESS!$A$3:$B$212,2,0),"")</f>
        <v/>
      </c>
      <c r="J344" s="280" t="n"/>
      <c r="K344" s="332">
        <f>IFERROR(VLOOKUP(TEXT(O344,"0"),CONDUCTORES!$A$3:$G$54,7,0),"")</f>
        <v/>
      </c>
      <c r="L344" s="280" t="n"/>
      <c r="M344" s="280" t="n"/>
      <c r="N344" s="333">
        <f>IFERROR(IF(L344*M344=0,"",L344*M344),"")</f>
        <v/>
      </c>
      <c r="O344" s="280" t="n"/>
      <c r="P344" s="332">
        <f>IFERROR(VLOOKUP(TEXT(O344,"0"),CONDUCTORES!$A$3:$G$54,2,0),"")</f>
        <v/>
      </c>
      <c r="Q344" s="332">
        <f>IFERROR(VLOOKUP(TEXT(O344,"0"),CONDUCTORES!$A$3:$H$54,6,0),"")</f>
        <v/>
      </c>
      <c r="R344" s="280" t="n"/>
      <c r="S344" s="280" t="n"/>
      <c r="T344" s="280" t="n"/>
      <c r="U344" s="280" t="n"/>
      <c r="V344" s="280" t="n"/>
      <c r="W344" s="280" t="n"/>
      <c r="X344" s="280" t="n"/>
      <c r="Y344" s="280" t="n"/>
      <c r="Z344" s="375">
        <f>IF(AND(G344&lt;&gt;"",R344&lt;&gt;"",V344&lt;&gt;"",W344&lt;&gt;""),"COMPLETADO","OBSERVADO")</f>
        <v/>
      </c>
    </row>
    <row r="345" ht="15" customHeight="1" s="195">
      <c r="A345" s="334" t="n"/>
      <c r="B345" s="334" t="n"/>
      <c r="C345" s="334" t="n"/>
      <c r="D345" s="334" t="n"/>
      <c r="E345" s="334" t="n"/>
      <c r="F345" s="334" t="n"/>
      <c r="G345" s="334" t="n"/>
      <c r="H345" s="334" t="n"/>
      <c r="I345" s="332">
        <f>IFERROR(VLOOKUP(TEXT(H345,"0"),IPRESS!$A$3:$B$212,2,0),"")</f>
        <v/>
      </c>
      <c r="J345" s="334" t="n"/>
      <c r="K345" s="332">
        <f>IFERROR(VLOOKUP(TEXT(O345,"0"),CONDUCTORES!$A$3:$G$54,7,0),"")</f>
        <v/>
      </c>
      <c r="L345" s="334" t="n"/>
      <c r="M345" s="334" t="n"/>
      <c r="N345" s="333">
        <f>IFERROR(IF(L345*M345=0,"",L345*M345),"")</f>
        <v/>
      </c>
      <c r="O345" s="334" t="n"/>
      <c r="P345" s="332">
        <f>IFERROR(VLOOKUP(TEXT(O345,"0"),CONDUCTORES!$A$3:$G$54,2,0),"")</f>
        <v/>
      </c>
      <c r="Q345" s="332">
        <f>IFERROR(VLOOKUP(TEXT(O345,"0"),CONDUCTORES!$A$3:$H$54,6,0),"")</f>
        <v/>
      </c>
      <c r="R345" s="334" t="n"/>
      <c r="S345" s="334" t="n"/>
      <c r="T345" s="334" t="n"/>
      <c r="U345" s="334" t="n"/>
      <c r="V345" s="334" t="n"/>
      <c r="W345" s="334" t="n"/>
      <c r="X345" s="334" t="n"/>
      <c r="Y345" s="334" t="n"/>
      <c r="Z345" s="375">
        <f>IF(AND(G345&lt;&gt;"",R345&lt;&gt;"",V345&lt;&gt;"",W345&lt;&gt;""),"COMPLETADO","OBSERVADO")</f>
        <v/>
      </c>
    </row>
    <row r="346" ht="15" customHeight="1" s="195">
      <c r="A346" s="280" t="n"/>
      <c r="B346" s="280" t="n"/>
      <c r="C346" s="280" t="n"/>
      <c r="D346" s="280" t="n"/>
      <c r="E346" s="280" t="n"/>
      <c r="F346" s="280" t="n"/>
      <c r="G346" s="280" t="n"/>
      <c r="H346" s="280" t="n"/>
      <c r="I346" s="332">
        <f>IFERROR(VLOOKUP(TEXT(H346,"0"),IPRESS!$A$3:$B$212,2,0),"")</f>
        <v/>
      </c>
      <c r="J346" s="280" t="n"/>
      <c r="K346" s="332">
        <f>IFERROR(VLOOKUP(TEXT(O346,"0"),CONDUCTORES!$A$3:$G$54,7,0),"")</f>
        <v/>
      </c>
      <c r="L346" s="280" t="n"/>
      <c r="M346" s="280" t="n"/>
      <c r="N346" s="333">
        <f>IFERROR(IF(L346*M346=0,"",L346*M346),"")</f>
        <v/>
      </c>
      <c r="O346" s="280" t="n"/>
      <c r="P346" s="332">
        <f>IFERROR(VLOOKUP(TEXT(O346,"0"),CONDUCTORES!$A$3:$G$54,2,0),"")</f>
        <v/>
      </c>
      <c r="Q346" s="332">
        <f>IFERROR(VLOOKUP(TEXT(O346,"0"),CONDUCTORES!$A$3:$H$54,6,0),"")</f>
        <v/>
      </c>
      <c r="R346" s="280" t="n"/>
      <c r="S346" s="280" t="n"/>
      <c r="T346" s="280" t="n"/>
      <c r="U346" s="280" t="n"/>
      <c r="V346" s="280" t="n"/>
      <c r="W346" s="280" t="n"/>
      <c r="X346" s="280" t="n"/>
      <c r="Y346" s="280" t="n"/>
      <c r="Z346" s="375">
        <f>IF(AND(G346&lt;&gt;"",R346&lt;&gt;"",V346&lt;&gt;"",W346&lt;&gt;""),"COMPLETADO","OBSERVADO")</f>
        <v/>
      </c>
    </row>
    <row r="347" ht="15" customHeight="1" s="195">
      <c r="A347" s="334" t="n"/>
      <c r="B347" s="334" t="n"/>
      <c r="C347" s="334" t="n"/>
      <c r="D347" s="334" t="n"/>
      <c r="E347" s="334" t="n"/>
      <c r="F347" s="334" t="n"/>
      <c r="G347" s="334" t="n"/>
      <c r="H347" s="334" t="n"/>
      <c r="I347" s="332">
        <f>IFERROR(VLOOKUP(TEXT(H347,"0"),IPRESS!$A$3:$B$212,2,0),"")</f>
        <v/>
      </c>
      <c r="J347" s="334" t="n"/>
      <c r="K347" s="332">
        <f>IFERROR(VLOOKUP(TEXT(O347,"0"),CONDUCTORES!$A$3:$G$54,7,0),"")</f>
        <v/>
      </c>
      <c r="L347" s="334" t="n"/>
      <c r="M347" s="334" t="n"/>
      <c r="N347" s="333">
        <f>IFERROR(IF(L347*M347=0,"",L347*M347),"")</f>
        <v/>
      </c>
      <c r="O347" s="334" t="n"/>
      <c r="P347" s="332">
        <f>IFERROR(VLOOKUP(TEXT(O347,"0"),CONDUCTORES!$A$3:$G$54,2,0),"")</f>
        <v/>
      </c>
      <c r="Q347" s="332">
        <f>IFERROR(VLOOKUP(TEXT(O347,"0"),CONDUCTORES!$A$3:$H$54,6,0),"")</f>
        <v/>
      </c>
      <c r="R347" s="334" t="n"/>
      <c r="S347" s="334" t="n"/>
      <c r="T347" s="334" t="n"/>
      <c r="U347" s="334" t="n"/>
      <c r="V347" s="334" t="n"/>
      <c r="W347" s="334" t="n"/>
      <c r="X347" s="334" t="n"/>
      <c r="Y347" s="334" t="n"/>
      <c r="Z347" s="375">
        <f>IF(AND(G347&lt;&gt;"",R347&lt;&gt;"",V347&lt;&gt;"",W347&lt;&gt;""),"COMPLETADO","OBSERVADO")</f>
        <v/>
      </c>
    </row>
    <row r="348" ht="15" customHeight="1" s="195">
      <c r="A348" s="280" t="n"/>
      <c r="B348" s="280" t="n"/>
      <c r="C348" s="280" t="n"/>
      <c r="D348" s="280" t="n"/>
      <c r="E348" s="280" t="n"/>
      <c r="F348" s="280" t="n"/>
      <c r="G348" s="280" t="n"/>
      <c r="H348" s="280" t="n"/>
      <c r="I348" s="332">
        <f>IFERROR(VLOOKUP(TEXT(H348,"0"),IPRESS!$A$3:$B$212,2,0),"")</f>
        <v/>
      </c>
      <c r="J348" s="280" t="n"/>
      <c r="K348" s="332">
        <f>IFERROR(VLOOKUP(TEXT(O348,"0"),CONDUCTORES!$A$3:$G$54,7,0),"")</f>
        <v/>
      </c>
      <c r="L348" s="280" t="n"/>
      <c r="M348" s="280" t="n"/>
      <c r="N348" s="333">
        <f>IFERROR(IF(L348*M348=0,"",L348*M348),"")</f>
        <v/>
      </c>
      <c r="O348" s="280" t="n"/>
      <c r="P348" s="332">
        <f>IFERROR(VLOOKUP(TEXT(O348,"0"),CONDUCTORES!$A$3:$G$54,2,0),"")</f>
        <v/>
      </c>
      <c r="Q348" s="332">
        <f>IFERROR(VLOOKUP(TEXT(O348,"0"),CONDUCTORES!$A$3:$H$54,6,0),"")</f>
        <v/>
      </c>
      <c r="R348" s="280" t="n"/>
      <c r="S348" s="280" t="n"/>
      <c r="T348" s="280" t="n"/>
      <c r="U348" s="280" t="n"/>
      <c r="V348" s="280" t="n"/>
      <c r="W348" s="280" t="n"/>
      <c r="X348" s="280" t="n"/>
      <c r="Y348" s="280" t="n"/>
      <c r="Z348" s="375">
        <f>IF(AND(G348&lt;&gt;"",R348&lt;&gt;"",V348&lt;&gt;"",W348&lt;&gt;""),"COMPLETADO","OBSERVADO")</f>
        <v/>
      </c>
    </row>
    <row r="349" ht="15" customHeight="1" s="195">
      <c r="A349" s="334" t="n"/>
      <c r="B349" s="334" t="n"/>
      <c r="C349" s="334" t="n"/>
      <c r="D349" s="334" t="n"/>
      <c r="E349" s="334" t="n"/>
      <c r="F349" s="334" t="n"/>
      <c r="G349" s="334" t="n"/>
      <c r="H349" s="334" t="n"/>
      <c r="I349" s="332">
        <f>IFERROR(VLOOKUP(TEXT(H349,"0"),IPRESS!$A$3:$B$212,2,0),"")</f>
        <v/>
      </c>
      <c r="J349" s="334" t="n"/>
      <c r="K349" s="332">
        <f>IFERROR(VLOOKUP(TEXT(O349,"0"),CONDUCTORES!$A$3:$G$54,7,0),"")</f>
        <v/>
      </c>
      <c r="L349" s="334" t="n"/>
      <c r="M349" s="334" t="n"/>
      <c r="N349" s="333">
        <f>IFERROR(IF(L349*M349=0,"",L349*M349),"")</f>
        <v/>
      </c>
      <c r="O349" s="334" t="n"/>
      <c r="P349" s="332">
        <f>IFERROR(VLOOKUP(TEXT(O349,"0"),CONDUCTORES!$A$3:$G$54,2,0),"")</f>
        <v/>
      </c>
      <c r="Q349" s="332">
        <f>IFERROR(VLOOKUP(TEXT(O349,"0"),CONDUCTORES!$A$3:$H$54,6,0),"")</f>
        <v/>
      </c>
      <c r="R349" s="334" t="n"/>
      <c r="S349" s="334" t="n"/>
      <c r="T349" s="334" t="n"/>
      <c r="U349" s="334" t="n"/>
      <c r="V349" s="334" t="n"/>
      <c r="W349" s="334" t="n"/>
      <c r="X349" s="334" t="n"/>
      <c r="Y349" s="334" t="n"/>
      <c r="Z349" s="375">
        <f>IF(AND(G349&lt;&gt;"",R349&lt;&gt;"",V349&lt;&gt;"",W349&lt;&gt;""),"COMPLETADO","OBSERVADO")</f>
        <v/>
      </c>
    </row>
    <row r="350" ht="15" customHeight="1" s="195">
      <c r="A350" s="280" t="n"/>
      <c r="B350" s="280" t="n"/>
      <c r="C350" s="280" t="n"/>
      <c r="D350" s="280" t="n"/>
      <c r="E350" s="280" t="n"/>
      <c r="F350" s="280" t="n"/>
      <c r="G350" s="280" t="n"/>
      <c r="H350" s="280" t="n"/>
      <c r="I350" s="332">
        <f>IFERROR(VLOOKUP(TEXT(H350,"0"),IPRESS!$A$3:$B$212,2,0),"")</f>
        <v/>
      </c>
      <c r="J350" s="280" t="n"/>
      <c r="K350" s="332">
        <f>IFERROR(VLOOKUP(TEXT(O350,"0"),CONDUCTORES!$A$3:$G$54,7,0),"")</f>
        <v/>
      </c>
      <c r="L350" s="280" t="n"/>
      <c r="M350" s="280" t="n"/>
      <c r="N350" s="333">
        <f>IFERROR(IF(L350*M350=0,"",L350*M350),"")</f>
        <v/>
      </c>
      <c r="O350" s="280" t="n"/>
      <c r="P350" s="332">
        <f>IFERROR(VLOOKUP(TEXT(O350,"0"),CONDUCTORES!$A$3:$G$54,2,0),"")</f>
        <v/>
      </c>
      <c r="Q350" s="332">
        <f>IFERROR(VLOOKUP(TEXT(O350,"0"),CONDUCTORES!$A$3:$H$54,6,0),"")</f>
        <v/>
      </c>
      <c r="R350" s="280" t="n"/>
      <c r="S350" s="280" t="n"/>
      <c r="T350" s="280" t="n"/>
      <c r="U350" s="280" t="n"/>
      <c r="V350" s="280" t="n"/>
      <c r="W350" s="280" t="n"/>
      <c r="X350" s="280" t="n"/>
      <c r="Y350" s="280" t="n"/>
      <c r="Z350" s="375">
        <f>IF(AND(G350&lt;&gt;"",R350&lt;&gt;"",V350&lt;&gt;"",W350&lt;&gt;""),"COMPLETADO","OBSERVADO")</f>
        <v/>
      </c>
    </row>
    <row r="351" ht="15" customHeight="1" s="195">
      <c r="A351" s="334" t="n"/>
      <c r="B351" s="334" t="n"/>
      <c r="C351" s="334" t="n"/>
      <c r="D351" s="334" t="n"/>
      <c r="E351" s="334" t="n"/>
      <c r="F351" s="334" t="n"/>
      <c r="G351" s="334" t="n"/>
      <c r="H351" s="334" t="n"/>
      <c r="I351" s="332">
        <f>IFERROR(VLOOKUP(TEXT(H351,"0"),IPRESS!$A$3:$B$212,2,0),"")</f>
        <v/>
      </c>
      <c r="J351" s="334" t="n"/>
      <c r="K351" s="332">
        <f>IFERROR(VLOOKUP(TEXT(O351,"0"),CONDUCTORES!$A$3:$G$54,7,0),"")</f>
        <v/>
      </c>
      <c r="L351" s="334" t="n"/>
      <c r="M351" s="334" t="n"/>
      <c r="N351" s="333">
        <f>IFERROR(IF(L351*M351=0,"",L351*M351),"")</f>
        <v/>
      </c>
      <c r="O351" s="334" t="n"/>
      <c r="P351" s="332">
        <f>IFERROR(VLOOKUP(TEXT(O351,"0"),CONDUCTORES!$A$3:$G$54,2,0),"")</f>
        <v/>
      </c>
      <c r="Q351" s="332">
        <f>IFERROR(VLOOKUP(TEXT(O351,"0"),CONDUCTORES!$A$3:$H$54,6,0),"")</f>
        <v/>
      </c>
      <c r="R351" s="334" t="n"/>
      <c r="S351" s="334" t="n"/>
      <c r="T351" s="334" t="n"/>
      <c r="U351" s="334" t="n"/>
      <c r="V351" s="334" t="n"/>
      <c r="W351" s="334" t="n"/>
      <c r="X351" s="334" t="n"/>
      <c r="Y351" s="334" t="n"/>
      <c r="Z351" s="375">
        <f>IF(AND(G351&lt;&gt;"",R351&lt;&gt;"",V351&lt;&gt;"",W351&lt;&gt;""),"COMPLETADO","OBSERVADO")</f>
        <v/>
      </c>
    </row>
    <row r="352" ht="15" customHeight="1" s="195">
      <c r="A352" s="280" t="n"/>
      <c r="B352" s="280" t="n"/>
      <c r="C352" s="280" t="n"/>
      <c r="D352" s="280" t="n"/>
      <c r="E352" s="280" t="n"/>
      <c r="F352" s="280" t="n"/>
      <c r="G352" s="280" t="n"/>
      <c r="H352" s="280" t="n"/>
      <c r="I352" s="332">
        <f>IFERROR(VLOOKUP(TEXT(H352,"0"),IPRESS!$A$3:$B$212,2,0),"")</f>
        <v/>
      </c>
      <c r="J352" s="280" t="n"/>
      <c r="K352" s="332">
        <f>IFERROR(VLOOKUP(TEXT(O352,"0"),CONDUCTORES!$A$3:$G$54,7,0),"")</f>
        <v/>
      </c>
      <c r="L352" s="280" t="n"/>
      <c r="M352" s="280" t="n"/>
      <c r="N352" s="333">
        <f>IFERROR(IF(L352*M352=0,"",L352*M352),"")</f>
        <v/>
      </c>
      <c r="O352" s="280" t="n"/>
      <c r="P352" s="332">
        <f>IFERROR(VLOOKUP(TEXT(O352,"0"),CONDUCTORES!$A$3:$G$54,2,0),"")</f>
        <v/>
      </c>
      <c r="Q352" s="332">
        <f>IFERROR(VLOOKUP(TEXT(O352,"0"),CONDUCTORES!$A$3:$H$54,6,0),"")</f>
        <v/>
      </c>
      <c r="R352" s="280" t="n"/>
      <c r="S352" s="280" t="n"/>
      <c r="T352" s="280" t="n"/>
      <c r="U352" s="280" t="n"/>
      <c r="V352" s="280" t="n"/>
      <c r="W352" s="280" t="n"/>
      <c r="X352" s="280" t="n"/>
      <c r="Y352" s="280" t="n"/>
      <c r="Z352" s="375">
        <f>IF(AND(G352&lt;&gt;"",R352&lt;&gt;"",V352&lt;&gt;"",W352&lt;&gt;""),"COMPLETADO","OBSERVADO")</f>
        <v/>
      </c>
    </row>
    <row r="353" ht="15" customHeight="1" s="195">
      <c r="A353" s="334" t="n"/>
      <c r="B353" s="334" t="n"/>
      <c r="C353" s="334" t="n"/>
      <c r="D353" s="334" t="n"/>
      <c r="E353" s="334" t="n"/>
      <c r="F353" s="334" t="n"/>
      <c r="G353" s="334" t="n"/>
      <c r="H353" s="334" t="n"/>
      <c r="I353" s="332">
        <f>IFERROR(VLOOKUP(TEXT(H353,"0"),IPRESS!$A$3:$B$212,2,0),"")</f>
        <v/>
      </c>
      <c r="J353" s="334" t="n"/>
      <c r="K353" s="332">
        <f>IFERROR(VLOOKUP(TEXT(O353,"0"),CONDUCTORES!$A$3:$G$54,7,0),"")</f>
        <v/>
      </c>
      <c r="L353" s="334" t="n"/>
      <c r="M353" s="334" t="n"/>
      <c r="N353" s="333">
        <f>IFERROR(IF(L353*M353=0,"",L353*M353),"")</f>
        <v/>
      </c>
      <c r="O353" s="334" t="n"/>
      <c r="P353" s="332">
        <f>IFERROR(VLOOKUP(TEXT(O353,"0"),CONDUCTORES!$A$3:$G$54,2,0),"")</f>
        <v/>
      </c>
      <c r="Q353" s="332">
        <f>IFERROR(VLOOKUP(TEXT(O353,"0"),CONDUCTORES!$A$3:$H$54,6,0),"")</f>
        <v/>
      </c>
      <c r="R353" s="334" t="n"/>
      <c r="S353" s="334" t="n"/>
      <c r="T353" s="334" t="n"/>
      <c r="U353" s="334" t="n"/>
      <c r="V353" s="334" t="n"/>
      <c r="W353" s="334" t="n"/>
      <c r="X353" s="334" t="n"/>
      <c r="Y353" s="334" t="n"/>
      <c r="Z353" s="375">
        <f>IF(AND(G353&lt;&gt;"",R353&lt;&gt;"",V353&lt;&gt;"",W353&lt;&gt;""),"COMPLETADO","OBSERVADO")</f>
        <v/>
      </c>
    </row>
    <row r="354" ht="15" customHeight="1" s="195">
      <c r="A354" s="280" t="n"/>
      <c r="B354" s="280" t="n"/>
      <c r="C354" s="280" t="n"/>
      <c r="D354" s="280" t="n"/>
      <c r="E354" s="280" t="n"/>
      <c r="F354" s="280" t="n"/>
      <c r="G354" s="280" t="n"/>
      <c r="H354" s="280" t="n"/>
      <c r="I354" s="332">
        <f>IFERROR(VLOOKUP(TEXT(H354,"0"),IPRESS!$A$3:$B$212,2,0),"")</f>
        <v/>
      </c>
      <c r="J354" s="280" t="n"/>
      <c r="K354" s="332">
        <f>IFERROR(VLOOKUP(TEXT(O354,"0"),CONDUCTORES!$A$3:$G$54,7,0),"")</f>
        <v/>
      </c>
      <c r="L354" s="280" t="n"/>
      <c r="M354" s="280" t="n"/>
      <c r="N354" s="333">
        <f>IFERROR(IF(L354*M354=0,"",L354*M354),"")</f>
        <v/>
      </c>
      <c r="O354" s="280" t="n"/>
      <c r="P354" s="332">
        <f>IFERROR(VLOOKUP(TEXT(O354,"0"),CONDUCTORES!$A$3:$G$54,2,0),"")</f>
        <v/>
      </c>
      <c r="Q354" s="332">
        <f>IFERROR(VLOOKUP(TEXT(O354,"0"),CONDUCTORES!$A$3:$H$54,6,0),"")</f>
        <v/>
      </c>
      <c r="R354" s="280" t="n"/>
      <c r="S354" s="280" t="n"/>
      <c r="T354" s="280" t="n"/>
      <c r="U354" s="280" t="n"/>
      <c r="V354" s="280" t="n"/>
      <c r="W354" s="280" t="n"/>
      <c r="X354" s="280" t="n"/>
      <c r="Y354" s="280" t="n"/>
      <c r="Z354" s="375">
        <f>IF(AND(G354&lt;&gt;"",R354&lt;&gt;"",V354&lt;&gt;"",W354&lt;&gt;""),"COMPLETADO","OBSERVADO")</f>
        <v/>
      </c>
    </row>
    <row r="355" ht="15" customHeight="1" s="195">
      <c r="A355" s="334" t="n"/>
      <c r="B355" s="334" t="n"/>
      <c r="C355" s="334" t="n"/>
      <c r="D355" s="334" t="n"/>
      <c r="E355" s="334" t="n"/>
      <c r="F355" s="334" t="n"/>
      <c r="G355" s="334" t="n"/>
      <c r="H355" s="334" t="n"/>
      <c r="I355" s="332">
        <f>IFERROR(VLOOKUP(TEXT(H355,"0"),IPRESS!$A$3:$B$212,2,0),"")</f>
        <v/>
      </c>
      <c r="J355" s="334" t="n"/>
      <c r="K355" s="332">
        <f>IFERROR(VLOOKUP(TEXT(O355,"0"),CONDUCTORES!$A$3:$G$54,7,0),"")</f>
        <v/>
      </c>
      <c r="L355" s="334" t="n"/>
      <c r="M355" s="334" t="n"/>
      <c r="N355" s="333">
        <f>IFERROR(IF(L355*M355=0,"",L355*M355),"")</f>
        <v/>
      </c>
      <c r="O355" s="334" t="n"/>
      <c r="P355" s="332">
        <f>IFERROR(VLOOKUP(TEXT(O355,"0"),CONDUCTORES!$A$3:$G$54,2,0),"")</f>
        <v/>
      </c>
      <c r="Q355" s="332">
        <f>IFERROR(VLOOKUP(TEXT(O355,"0"),CONDUCTORES!$A$3:$H$54,6,0),"")</f>
        <v/>
      </c>
      <c r="R355" s="334" t="n"/>
      <c r="S355" s="334" t="n"/>
      <c r="T355" s="334" t="n"/>
      <c r="U355" s="334" t="n"/>
      <c r="V355" s="334" t="n"/>
      <c r="W355" s="334" t="n"/>
      <c r="X355" s="334" t="n"/>
      <c r="Y355" s="334" t="n"/>
      <c r="Z355" s="375">
        <f>IF(AND(G355&lt;&gt;"",R355&lt;&gt;"",V355&lt;&gt;"",W355&lt;&gt;""),"COMPLETADO","OBSERVADO")</f>
        <v/>
      </c>
    </row>
    <row r="356" ht="15" customHeight="1" s="195">
      <c r="A356" s="280" t="n"/>
      <c r="B356" s="280" t="n"/>
      <c r="C356" s="280" t="n"/>
      <c r="D356" s="280" t="n"/>
      <c r="E356" s="280" t="n"/>
      <c r="F356" s="280" t="n"/>
      <c r="G356" s="280" t="n"/>
      <c r="H356" s="280" t="n"/>
      <c r="I356" s="332">
        <f>IFERROR(VLOOKUP(TEXT(H356,"0"),IPRESS!$A$3:$B$212,2,0),"")</f>
        <v/>
      </c>
      <c r="J356" s="280" t="n"/>
      <c r="K356" s="332">
        <f>IFERROR(VLOOKUP(TEXT(O356,"0"),CONDUCTORES!$A$3:$G$54,7,0),"")</f>
        <v/>
      </c>
      <c r="L356" s="280" t="n"/>
      <c r="M356" s="280" t="n"/>
      <c r="N356" s="333">
        <f>IFERROR(IF(L356*M356=0,"",L356*M356),"")</f>
        <v/>
      </c>
      <c r="O356" s="280" t="n"/>
      <c r="P356" s="332">
        <f>IFERROR(VLOOKUP(TEXT(O356,"0"),CONDUCTORES!$A$3:$G$54,2,0),"")</f>
        <v/>
      </c>
      <c r="Q356" s="332">
        <f>IFERROR(VLOOKUP(TEXT(O356,"0"),CONDUCTORES!$A$3:$H$54,6,0),"")</f>
        <v/>
      </c>
      <c r="R356" s="280" t="n"/>
      <c r="S356" s="280" t="n"/>
      <c r="T356" s="280" t="n"/>
      <c r="U356" s="280" t="n"/>
      <c r="V356" s="280" t="n"/>
      <c r="W356" s="280" t="n"/>
      <c r="X356" s="280" t="n"/>
      <c r="Y356" s="280" t="n"/>
      <c r="Z356" s="375">
        <f>IF(AND(G356&lt;&gt;"",R356&lt;&gt;"",V356&lt;&gt;"",W356&lt;&gt;""),"COMPLETADO","OBSERVADO")</f>
        <v/>
      </c>
    </row>
    <row r="357" ht="15" customHeight="1" s="195">
      <c r="A357" s="334" t="n"/>
      <c r="B357" s="334" t="n"/>
      <c r="C357" s="334" t="n"/>
      <c r="D357" s="334" t="n"/>
      <c r="E357" s="334" t="n"/>
      <c r="F357" s="334" t="n"/>
      <c r="G357" s="334" t="n"/>
      <c r="H357" s="334" t="n"/>
      <c r="I357" s="332">
        <f>IFERROR(VLOOKUP(TEXT(H357,"0"),IPRESS!$A$3:$B$212,2,0),"")</f>
        <v/>
      </c>
      <c r="J357" s="334" t="n"/>
      <c r="K357" s="332">
        <f>IFERROR(VLOOKUP(TEXT(O357,"0"),CONDUCTORES!$A$3:$G$54,7,0),"")</f>
        <v/>
      </c>
      <c r="L357" s="334" t="n"/>
      <c r="M357" s="334" t="n"/>
      <c r="N357" s="333">
        <f>IFERROR(IF(L357*M357=0,"",L357*M357),"")</f>
        <v/>
      </c>
      <c r="O357" s="334" t="n"/>
      <c r="P357" s="332">
        <f>IFERROR(VLOOKUP(TEXT(O357,"0"),CONDUCTORES!$A$3:$G$54,2,0),"")</f>
        <v/>
      </c>
      <c r="Q357" s="332">
        <f>IFERROR(VLOOKUP(TEXT(O357,"0"),CONDUCTORES!$A$3:$H$54,6,0),"")</f>
        <v/>
      </c>
      <c r="R357" s="334" t="n"/>
      <c r="S357" s="334" t="n"/>
      <c r="T357" s="334" t="n"/>
      <c r="U357" s="334" t="n"/>
      <c r="V357" s="334" t="n"/>
      <c r="W357" s="334" t="n"/>
      <c r="X357" s="334" t="n"/>
      <c r="Y357" s="334" t="n"/>
      <c r="Z357" s="375">
        <f>IF(AND(G357&lt;&gt;"",R357&lt;&gt;"",V357&lt;&gt;"",W357&lt;&gt;""),"COMPLETADO","OBSERVADO")</f>
        <v/>
      </c>
    </row>
    <row r="358" ht="15" customHeight="1" s="195">
      <c r="A358" s="280" t="n"/>
      <c r="B358" s="280" t="n"/>
      <c r="C358" s="280" t="n"/>
      <c r="D358" s="280" t="n"/>
      <c r="E358" s="280" t="n"/>
      <c r="F358" s="280" t="n"/>
      <c r="G358" s="280" t="n"/>
      <c r="H358" s="280" t="n"/>
      <c r="I358" s="332">
        <f>IFERROR(VLOOKUP(TEXT(H358,"0"),IPRESS!$A$3:$B$212,2,0),"")</f>
        <v/>
      </c>
      <c r="J358" s="280" t="n"/>
      <c r="K358" s="332">
        <f>IFERROR(VLOOKUP(TEXT(O358,"0"),CONDUCTORES!$A$3:$G$54,7,0),"")</f>
        <v/>
      </c>
      <c r="L358" s="280" t="n"/>
      <c r="M358" s="280" t="n"/>
      <c r="N358" s="333">
        <f>IFERROR(IF(L358*M358=0,"",L358*M358),"")</f>
        <v/>
      </c>
      <c r="O358" s="280" t="n"/>
      <c r="P358" s="332">
        <f>IFERROR(VLOOKUP(TEXT(O358,"0"),CONDUCTORES!$A$3:$G$54,2,0),"")</f>
        <v/>
      </c>
      <c r="Q358" s="332">
        <f>IFERROR(VLOOKUP(TEXT(O358,"0"),CONDUCTORES!$A$3:$H$54,6,0),"")</f>
        <v/>
      </c>
      <c r="R358" s="280" t="n"/>
      <c r="S358" s="280" t="n"/>
      <c r="T358" s="280" t="n"/>
      <c r="U358" s="280" t="n"/>
      <c r="V358" s="280" t="n"/>
      <c r="W358" s="280" t="n"/>
      <c r="X358" s="280" t="n"/>
      <c r="Y358" s="280" t="n"/>
      <c r="Z358" s="375">
        <f>IF(AND(G358&lt;&gt;"",R358&lt;&gt;"",V358&lt;&gt;"",W358&lt;&gt;""),"COMPLETADO","OBSERVADO")</f>
        <v/>
      </c>
    </row>
    <row r="359" ht="15" customHeight="1" s="195">
      <c r="A359" s="334" t="n"/>
      <c r="B359" s="334" t="n"/>
      <c r="C359" s="334" t="n"/>
      <c r="D359" s="334" t="n"/>
      <c r="E359" s="334" t="n"/>
      <c r="F359" s="334" t="n"/>
      <c r="G359" s="334" t="n"/>
      <c r="H359" s="334" t="n"/>
      <c r="I359" s="332">
        <f>IFERROR(VLOOKUP(TEXT(H359,"0"),IPRESS!$A$3:$B$212,2,0),"")</f>
        <v/>
      </c>
      <c r="J359" s="334" t="n"/>
      <c r="K359" s="332">
        <f>IFERROR(VLOOKUP(TEXT(O359,"0"),CONDUCTORES!$A$3:$G$54,7,0),"")</f>
        <v/>
      </c>
      <c r="L359" s="334" t="n"/>
      <c r="M359" s="334" t="n"/>
      <c r="N359" s="333">
        <f>IFERROR(IF(L359*M359=0,"",L359*M359),"")</f>
        <v/>
      </c>
      <c r="O359" s="334" t="n"/>
      <c r="P359" s="332">
        <f>IFERROR(VLOOKUP(TEXT(O359,"0"),CONDUCTORES!$A$3:$G$54,2,0),"")</f>
        <v/>
      </c>
      <c r="Q359" s="332">
        <f>IFERROR(VLOOKUP(TEXT(O359,"0"),CONDUCTORES!$A$3:$H$54,6,0),"")</f>
        <v/>
      </c>
      <c r="R359" s="334" t="n"/>
      <c r="S359" s="334" t="n"/>
      <c r="T359" s="334" t="n"/>
      <c r="U359" s="334" t="n"/>
      <c r="V359" s="334" t="n"/>
      <c r="W359" s="334" t="n"/>
      <c r="X359" s="334" t="n"/>
      <c r="Y359" s="334" t="n"/>
      <c r="Z359" s="375">
        <f>IF(AND(G359&lt;&gt;"",R359&lt;&gt;"",V359&lt;&gt;"",W359&lt;&gt;""),"COMPLETADO","OBSERVADO")</f>
        <v/>
      </c>
    </row>
    <row r="360" ht="15" customHeight="1" s="195">
      <c r="A360" s="280" t="n"/>
      <c r="B360" s="280" t="n"/>
      <c r="C360" s="280" t="n"/>
      <c r="D360" s="280" t="n"/>
      <c r="E360" s="280" t="n"/>
      <c r="F360" s="280" t="n"/>
      <c r="G360" s="280" t="n"/>
      <c r="H360" s="280" t="n"/>
      <c r="I360" s="332">
        <f>IFERROR(VLOOKUP(TEXT(H360,"0"),IPRESS!$A$3:$B$212,2,0),"")</f>
        <v/>
      </c>
      <c r="J360" s="280" t="n"/>
      <c r="K360" s="332">
        <f>IFERROR(VLOOKUP(TEXT(O360,"0"),CONDUCTORES!$A$3:$G$54,7,0),"")</f>
        <v/>
      </c>
      <c r="L360" s="280" t="n"/>
      <c r="M360" s="280" t="n"/>
      <c r="N360" s="333">
        <f>IFERROR(IF(L360*M360=0,"",L360*M360),"")</f>
        <v/>
      </c>
      <c r="O360" s="280" t="n"/>
      <c r="P360" s="332">
        <f>IFERROR(VLOOKUP(TEXT(O360,"0"),CONDUCTORES!$A$3:$G$54,2,0),"")</f>
        <v/>
      </c>
      <c r="Q360" s="332">
        <f>IFERROR(VLOOKUP(TEXT(O360,"0"),CONDUCTORES!$A$3:$H$54,6,0),"")</f>
        <v/>
      </c>
      <c r="R360" s="280" t="n"/>
      <c r="S360" s="280" t="n"/>
      <c r="T360" s="280" t="n"/>
      <c r="U360" s="280" t="n"/>
      <c r="V360" s="280" t="n"/>
      <c r="W360" s="280" t="n"/>
      <c r="X360" s="280" t="n"/>
      <c r="Y360" s="280" t="n"/>
      <c r="Z360" s="375">
        <f>IF(AND(G360&lt;&gt;"",R360&lt;&gt;"",V360&lt;&gt;"",W360&lt;&gt;""),"COMPLETADO","OBSERVADO")</f>
        <v/>
      </c>
    </row>
    <row r="361" ht="15" customHeight="1" s="195">
      <c r="A361" s="334" t="n"/>
      <c r="B361" s="334" t="n"/>
      <c r="C361" s="334" t="n"/>
      <c r="D361" s="334" t="n"/>
      <c r="E361" s="334" t="n"/>
      <c r="F361" s="334" t="n"/>
      <c r="G361" s="334" t="n"/>
      <c r="H361" s="334" t="n"/>
      <c r="I361" s="332">
        <f>IFERROR(VLOOKUP(TEXT(H361,"0"),IPRESS!$A$3:$B$212,2,0),"")</f>
        <v/>
      </c>
      <c r="J361" s="334" t="n"/>
      <c r="K361" s="332">
        <f>IFERROR(VLOOKUP(TEXT(O361,"0"),CONDUCTORES!$A$3:$G$54,7,0),"")</f>
        <v/>
      </c>
      <c r="L361" s="334" t="n"/>
      <c r="M361" s="334" t="n"/>
      <c r="N361" s="333">
        <f>IFERROR(IF(L361*M361=0,"",L361*M361),"")</f>
        <v/>
      </c>
      <c r="O361" s="334" t="n"/>
      <c r="P361" s="332">
        <f>IFERROR(VLOOKUP(TEXT(O361,"0"),CONDUCTORES!$A$3:$G$54,2,0),"")</f>
        <v/>
      </c>
      <c r="Q361" s="332">
        <f>IFERROR(VLOOKUP(TEXT(O361,"0"),CONDUCTORES!$A$3:$H$54,6,0),"")</f>
        <v/>
      </c>
      <c r="R361" s="334" t="n"/>
      <c r="S361" s="334" t="n"/>
      <c r="T361" s="334" t="n"/>
      <c r="U361" s="334" t="n"/>
      <c r="V361" s="334" t="n"/>
      <c r="W361" s="334" t="n"/>
      <c r="X361" s="334" t="n"/>
      <c r="Y361" s="334" t="n"/>
      <c r="Z361" s="375">
        <f>IF(AND(G361&lt;&gt;"",R361&lt;&gt;"",V361&lt;&gt;"",W361&lt;&gt;""),"COMPLETADO","OBSERVADO")</f>
        <v/>
      </c>
    </row>
    <row r="362" ht="15" customHeight="1" s="195">
      <c r="A362" s="280" t="n"/>
      <c r="B362" s="280" t="n"/>
      <c r="C362" s="280" t="n"/>
      <c r="D362" s="280" t="n"/>
      <c r="E362" s="280" t="n"/>
      <c r="F362" s="280" t="n"/>
      <c r="G362" s="280" t="n"/>
      <c r="H362" s="280" t="n"/>
      <c r="I362" s="332">
        <f>IFERROR(VLOOKUP(TEXT(H362,"0"),IPRESS!$A$3:$B$212,2,0),"")</f>
        <v/>
      </c>
      <c r="J362" s="280" t="n"/>
      <c r="K362" s="332">
        <f>IFERROR(VLOOKUP(TEXT(O362,"0"),CONDUCTORES!$A$3:$G$54,7,0),"")</f>
        <v/>
      </c>
      <c r="L362" s="280" t="n"/>
      <c r="M362" s="280" t="n"/>
      <c r="N362" s="333">
        <f>IFERROR(IF(L362*M362=0,"",L362*M362),"")</f>
        <v/>
      </c>
      <c r="O362" s="280" t="n"/>
      <c r="P362" s="332">
        <f>IFERROR(VLOOKUP(TEXT(O362,"0"),CONDUCTORES!$A$3:$G$54,2,0),"")</f>
        <v/>
      </c>
      <c r="Q362" s="332">
        <f>IFERROR(VLOOKUP(TEXT(O362,"0"),CONDUCTORES!$A$3:$H$54,6,0),"")</f>
        <v/>
      </c>
      <c r="R362" s="280" t="n"/>
      <c r="S362" s="280" t="n"/>
      <c r="T362" s="280" t="n"/>
      <c r="U362" s="280" t="n"/>
      <c r="V362" s="280" t="n"/>
      <c r="W362" s="280" t="n"/>
      <c r="X362" s="280" t="n"/>
      <c r="Y362" s="280" t="n"/>
      <c r="Z362" s="375">
        <f>IF(AND(G362&lt;&gt;"",R362&lt;&gt;"",V362&lt;&gt;"",W362&lt;&gt;""),"COMPLETADO","OBSERVADO")</f>
        <v/>
      </c>
    </row>
    <row r="363" ht="15" customHeight="1" s="195">
      <c r="A363" s="334" t="n"/>
      <c r="B363" s="334" t="n"/>
      <c r="C363" s="334" t="n"/>
      <c r="D363" s="334" t="n"/>
      <c r="E363" s="334" t="n"/>
      <c r="F363" s="334" t="n"/>
      <c r="G363" s="334" t="n"/>
      <c r="H363" s="334" t="n"/>
      <c r="I363" s="332">
        <f>IFERROR(VLOOKUP(TEXT(H363,"0"),IPRESS!$A$3:$B$212,2,0),"")</f>
        <v/>
      </c>
      <c r="J363" s="334" t="n"/>
      <c r="K363" s="332">
        <f>IFERROR(VLOOKUP(TEXT(O363,"0"),CONDUCTORES!$A$3:$G$54,7,0),"")</f>
        <v/>
      </c>
      <c r="L363" s="334" t="n"/>
      <c r="M363" s="334" t="n"/>
      <c r="N363" s="333">
        <f>IFERROR(IF(L363*M363=0,"",L363*M363),"")</f>
        <v/>
      </c>
      <c r="O363" s="334" t="n"/>
      <c r="P363" s="332">
        <f>IFERROR(VLOOKUP(TEXT(O363,"0"),CONDUCTORES!$A$3:$G$54,2,0),"")</f>
        <v/>
      </c>
      <c r="Q363" s="332">
        <f>IFERROR(VLOOKUP(TEXT(O363,"0"),CONDUCTORES!$A$3:$H$54,6,0),"")</f>
        <v/>
      </c>
      <c r="R363" s="334" t="n"/>
      <c r="S363" s="334" t="n"/>
      <c r="T363" s="334" t="n"/>
      <c r="U363" s="334" t="n"/>
      <c r="V363" s="334" t="n"/>
      <c r="W363" s="334" t="n"/>
      <c r="X363" s="334" t="n"/>
      <c r="Y363" s="334" t="n"/>
      <c r="Z363" s="375">
        <f>IF(AND(G363&lt;&gt;"",R363&lt;&gt;"",V363&lt;&gt;"",W363&lt;&gt;""),"COMPLETADO","OBSERVADO")</f>
        <v/>
      </c>
    </row>
    <row r="364" ht="15" customHeight="1" s="195">
      <c r="A364" s="280" t="n"/>
      <c r="B364" s="280" t="n"/>
      <c r="C364" s="280" t="n"/>
      <c r="D364" s="280" t="n"/>
      <c r="E364" s="280" t="n"/>
      <c r="F364" s="280" t="n"/>
      <c r="G364" s="280" t="n"/>
      <c r="H364" s="280" t="n"/>
      <c r="I364" s="332">
        <f>IFERROR(VLOOKUP(TEXT(H364,"0"),IPRESS!$A$3:$B$212,2,0),"")</f>
        <v/>
      </c>
      <c r="J364" s="280" t="n"/>
      <c r="K364" s="332">
        <f>IFERROR(VLOOKUP(TEXT(O364,"0"),CONDUCTORES!$A$3:$G$54,7,0),"")</f>
        <v/>
      </c>
      <c r="L364" s="280" t="n"/>
      <c r="M364" s="280" t="n"/>
      <c r="N364" s="333">
        <f>IFERROR(IF(L364*M364=0,"",L364*M364),"")</f>
        <v/>
      </c>
      <c r="O364" s="280" t="n"/>
      <c r="P364" s="332">
        <f>IFERROR(VLOOKUP(TEXT(O364,"0"),CONDUCTORES!$A$3:$G$54,2,0),"")</f>
        <v/>
      </c>
      <c r="Q364" s="332">
        <f>IFERROR(VLOOKUP(TEXT(O364,"0"),CONDUCTORES!$A$3:$H$54,6,0),"")</f>
        <v/>
      </c>
      <c r="R364" s="280" t="n"/>
      <c r="S364" s="280" t="n"/>
      <c r="T364" s="280" t="n"/>
      <c r="U364" s="280" t="n"/>
      <c r="V364" s="280" t="n"/>
      <c r="W364" s="280" t="n"/>
      <c r="X364" s="280" t="n"/>
      <c r="Y364" s="280" t="n"/>
      <c r="Z364" s="375">
        <f>IF(AND(G364&lt;&gt;"",R364&lt;&gt;"",V364&lt;&gt;"",W364&lt;&gt;""),"COMPLETADO","OBSERVADO")</f>
        <v/>
      </c>
    </row>
    <row r="365" ht="15" customHeight="1" s="195">
      <c r="A365" s="334" t="n"/>
      <c r="B365" s="334" t="n"/>
      <c r="C365" s="334" t="n"/>
      <c r="D365" s="334" t="n"/>
      <c r="E365" s="334" t="n"/>
      <c r="F365" s="334" t="n"/>
      <c r="G365" s="334" t="n"/>
      <c r="H365" s="334" t="n"/>
      <c r="I365" s="332">
        <f>IFERROR(VLOOKUP(TEXT(H365,"0"),IPRESS!$A$3:$B$212,2,0),"")</f>
        <v/>
      </c>
      <c r="J365" s="334" t="n"/>
      <c r="K365" s="332">
        <f>IFERROR(VLOOKUP(TEXT(O365,"0"),CONDUCTORES!$A$3:$G$54,7,0),"")</f>
        <v/>
      </c>
      <c r="L365" s="334" t="n"/>
      <c r="M365" s="334" t="n"/>
      <c r="N365" s="333">
        <f>IFERROR(IF(L365*M365=0,"",L365*M365),"")</f>
        <v/>
      </c>
      <c r="O365" s="334" t="n"/>
      <c r="P365" s="332">
        <f>IFERROR(VLOOKUP(TEXT(O365,"0"),CONDUCTORES!$A$3:$G$54,2,0),"")</f>
        <v/>
      </c>
      <c r="Q365" s="332">
        <f>IFERROR(VLOOKUP(TEXT(O365,"0"),CONDUCTORES!$A$3:$H$54,6,0),"")</f>
        <v/>
      </c>
      <c r="R365" s="334" t="n"/>
      <c r="S365" s="334" t="n"/>
      <c r="T365" s="334" t="n"/>
      <c r="U365" s="334" t="n"/>
      <c r="V365" s="334" t="n"/>
      <c r="W365" s="334" t="n"/>
      <c r="X365" s="334" t="n"/>
      <c r="Y365" s="334" t="n"/>
      <c r="Z365" s="375">
        <f>IF(AND(G365&lt;&gt;"",R365&lt;&gt;"",V365&lt;&gt;"",W365&lt;&gt;""),"COMPLETADO","OBSERVADO")</f>
        <v/>
      </c>
    </row>
    <row r="366" ht="15" customHeight="1" s="195">
      <c r="A366" s="280" t="n"/>
      <c r="B366" s="280" t="n"/>
      <c r="C366" s="280" t="n"/>
      <c r="D366" s="280" t="n"/>
      <c r="E366" s="280" t="n"/>
      <c r="F366" s="280" t="n"/>
      <c r="G366" s="280" t="n"/>
      <c r="H366" s="280" t="n"/>
      <c r="I366" s="332">
        <f>IFERROR(VLOOKUP(TEXT(H366,"0"),IPRESS!$A$3:$B$212,2,0),"")</f>
        <v/>
      </c>
      <c r="J366" s="280" t="n"/>
      <c r="K366" s="332">
        <f>IFERROR(VLOOKUP(TEXT(O366,"0"),CONDUCTORES!$A$3:$G$54,7,0),"")</f>
        <v/>
      </c>
      <c r="L366" s="280" t="n"/>
      <c r="M366" s="280" t="n"/>
      <c r="N366" s="333">
        <f>IFERROR(IF(L366*M366=0,"",L366*M366),"")</f>
        <v/>
      </c>
      <c r="O366" s="280" t="n"/>
      <c r="P366" s="332">
        <f>IFERROR(VLOOKUP(TEXT(O366,"0"),CONDUCTORES!$A$3:$G$54,2,0),"")</f>
        <v/>
      </c>
      <c r="Q366" s="332">
        <f>IFERROR(VLOOKUP(TEXT(O366,"0"),CONDUCTORES!$A$3:$H$54,6,0),"")</f>
        <v/>
      </c>
      <c r="R366" s="280" t="n"/>
      <c r="S366" s="280" t="n"/>
      <c r="T366" s="280" t="n"/>
      <c r="U366" s="280" t="n"/>
      <c r="V366" s="280" t="n"/>
      <c r="W366" s="280" t="n"/>
      <c r="X366" s="280" t="n"/>
      <c r="Y366" s="280" t="n"/>
      <c r="Z366" s="375">
        <f>IF(AND(G366&lt;&gt;"",R366&lt;&gt;"",V366&lt;&gt;"",W366&lt;&gt;""),"COMPLETADO","OBSERVADO")</f>
        <v/>
      </c>
    </row>
    <row r="367" ht="15" customHeight="1" s="195">
      <c r="A367" s="334" t="n"/>
      <c r="B367" s="334" t="n"/>
      <c r="C367" s="334" t="n"/>
      <c r="D367" s="334" t="n"/>
      <c r="E367" s="334" t="n"/>
      <c r="F367" s="334" t="n"/>
      <c r="G367" s="334" t="n"/>
      <c r="H367" s="334" t="n"/>
      <c r="I367" s="332">
        <f>IFERROR(VLOOKUP(TEXT(H367,"0"),IPRESS!$A$3:$B$212,2,0),"")</f>
        <v/>
      </c>
      <c r="J367" s="334" t="n"/>
      <c r="K367" s="332">
        <f>IFERROR(VLOOKUP(TEXT(O367,"0"),CONDUCTORES!$A$3:$G$54,7,0),"")</f>
        <v/>
      </c>
      <c r="L367" s="334" t="n"/>
      <c r="M367" s="334" t="n"/>
      <c r="N367" s="333">
        <f>IFERROR(IF(L367*M367=0,"",L367*M367),"")</f>
        <v/>
      </c>
      <c r="O367" s="334" t="n"/>
      <c r="P367" s="332">
        <f>IFERROR(VLOOKUP(TEXT(O367,"0"),CONDUCTORES!$A$3:$G$54,2,0),"")</f>
        <v/>
      </c>
      <c r="Q367" s="332">
        <f>IFERROR(VLOOKUP(TEXT(O367,"0"),CONDUCTORES!$A$3:$H$54,6,0),"")</f>
        <v/>
      </c>
      <c r="R367" s="334" t="n"/>
      <c r="S367" s="334" t="n"/>
      <c r="T367" s="334" t="n"/>
      <c r="U367" s="334" t="n"/>
      <c r="V367" s="334" t="n"/>
      <c r="W367" s="334" t="n"/>
      <c r="X367" s="334" t="n"/>
      <c r="Y367" s="334" t="n"/>
      <c r="Z367" s="375">
        <f>IF(AND(G367&lt;&gt;"",R367&lt;&gt;"",V367&lt;&gt;"",W367&lt;&gt;""),"COMPLETADO","OBSERVADO")</f>
        <v/>
      </c>
    </row>
    <row r="368" ht="15" customHeight="1" s="195">
      <c r="A368" s="280" t="n"/>
      <c r="B368" s="280" t="n"/>
      <c r="C368" s="280" t="n"/>
      <c r="D368" s="280" t="n"/>
      <c r="E368" s="280" t="n"/>
      <c r="F368" s="280" t="n"/>
      <c r="G368" s="280" t="n"/>
      <c r="H368" s="280" t="n"/>
      <c r="I368" s="332">
        <f>IFERROR(VLOOKUP(TEXT(H368,"0"),IPRESS!$A$3:$B$212,2,0),"")</f>
        <v/>
      </c>
      <c r="J368" s="280" t="n"/>
      <c r="K368" s="332">
        <f>IFERROR(VLOOKUP(TEXT(O368,"0"),CONDUCTORES!$A$3:$G$54,7,0),"")</f>
        <v/>
      </c>
      <c r="L368" s="280" t="n"/>
      <c r="M368" s="280" t="n"/>
      <c r="N368" s="333">
        <f>IFERROR(IF(L368*M368=0,"",L368*M368),"")</f>
        <v/>
      </c>
      <c r="O368" s="280" t="n"/>
      <c r="P368" s="332">
        <f>IFERROR(VLOOKUP(TEXT(O368,"0"),CONDUCTORES!$A$3:$G$54,2,0),"")</f>
        <v/>
      </c>
      <c r="Q368" s="332">
        <f>IFERROR(VLOOKUP(TEXT(O368,"0"),CONDUCTORES!$A$3:$H$54,6,0),"")</f>
        <v/>
      </c>
      <c r="R368" s="280" t="n"/>
      <c r="S368" s="280" t="n"/>
      <c r="T368" s="280" t="n"/>
      <c r="U368" s="280" t="n"/>
      <c r="V368" s="280" t="n"/>
      <c r="W368" s="280" t="n"/>
      <c r="X368" s="280" t="n"/>
      <c r="Y368" s="280" t="n"/>
      <c r="Z368" s="375">
        <f>IF(AND(G368&lt;&gt;"",R368&lt;&gt;"",V368&lt;&gt;"",W368&lt;&gt;""),"COMPLETADO","OBSERVADO")</f>
        <v/>
      </c>
    </row>
    <row r="369" ht="15" customHeight="1" s="195">
      <c r="A369" s="334" t="n"/>
      <c r="B369" s="334" t="n"/>
      <c r="C369" s="334" t="n"/>
      <c r="D369" s="334" t="n"/>
      <c r="E369" s="334" t="n"/>
      <c r="F369" s="334" t="n"/>
      <c r="G369" s="334" t="n"/>
      <c r="H369" s="334" t="n"/>
      <c r="I369" s="332">
        <f>IFERROR(VLOOKUP(TEXT(H369,"0"),IPRESS!$A$3:$B$212,2,0),"")</f>
        <v/>
      </c>
      <c r="J369" s="334" t="n"/>
      <c r="K369" s="332">
        <f>IFERROR(VLOOKUP(TEXT(O369,"0"),CONDUCTORES!$A$3:$G$54,7,0),"")</f>
        <v/>
      </c>
      <c r="L369" s="334" t="n"/>
      <c r="M369" s="334" t="n"/>
      <c r="N369" s="333">
        <f>IFERROR(IF(L369*M369=0,"",L369*M369),"")</f>
        <v/>
      </c>
      <c r="O369" s="334" t="n"/>
      <c r="P369" s="332">
        <f>IFERROR(VLOOKUP(TEXT(O369,"0"),CONDUCTORES!$A$3:$G$54,2,0),"")</f>
        <v/>
      </c>
      <c r="Q369" s="332">
        <f>IFERROR(VLOOKUP(TEXT(O369,"0"),CONDUCTORES!$A$3:$H$54,6,0),"")</f>
        <v/>
      </c>
      <c r="R369" s="334" t="n"/>
      <c r="S369" s="334" t="n"/>
      <c r="T369" s="334" t="n"/>
      <c r="U369" s="334" t="n"/>
      <c r="V369" s="334" t="n"/>
      <c r="W369" s="334" t="n"/>
      <c r="X369" s="334" t="n"/>
      <c r="Y369" s="334" t="n"/>
      <c r="Z369" s="375">
        <f>IF(AND(G369&lt;&gt;"",R369&lt;&gt;"",V369&lt;&gt;"",W369&lt;&gt;""),"COMPLETADO","OBSERVADO")</f>
        <v/>
      </c>
    </row>
    <row r="370" ht="15" customHeight="1" s="195">
      <c r="A370" s="280" t="n"/>
      <c r="B370" s="280" t="n"/>
      <c r="C370" s="280" t="n"/>
      <c r="D370" s="280" t="n"/>
      <c r="E370" s="280" t="n"/>
      <c r="F370" s="280" t="n"/>
      <c r="G370" s="280" t="n"/>
      <c r="H370" s="280" t="n"/>
      <c r="I370" s="332">
        <f>IFERROR(VLOOKUP(TEXT(H370,"0"),IPRESS!$A$3:$B$212,2,0),"")</f>
        <v/>
      </c>
      <c r="J370" s="280" t="n"/>
      <c r="K370" s="332">
        <f>IFERROR(VLOOKUP(TEXT(O370,"0"),CONDUCTORES!$A$3:$G$54,7,0),"")</f>
        <v/>
      </c>
      <c r="L370" s="280" t="n"/>
      <c r="M370" s="280" t="n"/>
      <c r="N370" s="333">
        <f>IFERROR(IF(L370*M370=0,"",L370*M370),"")</f>
        <v/>
      </c>
      <c r="O370" s="280" t="n"/>
      <c r="P370" s="332">
        <f>IFERROR(VLOOKUP(TEXT(O370,"0"),CONDUCTORES!$A$3:$G$54,2,0),"")</f>
        <v/>
      </c>
      <c r="Q370" s="332">
        <f>IFERROR(VLOOKUP(TEXT(O370,"0"),CONDUCTORES!$A$3:$H$54,6,0),"")</f>
        <v/>
      </c>
      <c r="R370" s="280" t="n"/>
      <c r="S370" s="280" t="n"/>
      <c r="T370" s="280" t="n"/>
      <c r="U370" s="280" t="n"/>
      <c r="V370" s="280" t="n"/>
      <c r="W370" s="280" t="n"/>
      <c r="X370" s="280" t="n"/>
      <c r="Y370" s="280" t="n"/>
      <c r="Z370" s="375">
        <f>IF(AND(G370&lt;&gt;"",R370&lt;&gt;"",V370&lt;&gt;"",W370&lt;&gt;""),"COMPLETADO","OBSERVADO")</f>
        <v/>
      </c>
    </row>
    <row r="371" ht="15" customHeight="1" s="195">
      <c r="A371" s="334" t="n"/>
      <c r="B371" s="334" t="n"/>
      <c r="C371" s="334" t="n"/>
      <c r="D371" s="334" t="n"/>
      <c r="E371" s="334" t="n"/>
      <c r="F371" s="334" t="n"/>
      <c r="G371" s="334" t="n"/>
      <c r="H371" s="334" t="n"/>
      <c r="I371" s="332">
        <f>IFERROR(VLOOKUP(TEXT(H371,"0"),IPRESS!$A$3:$B$212,2,0),"")</f>
        <v/>
      </c>
      <c r="J371" s="334" t="n"/>
      <c r="K371" s="332">
        <f>IFERROR(VLOOKUP(TEXT(O371,"0"),CONDUCTORES!$A$3:$G$54,7,0),"")</f>
        <v/>
      </c>
      <c r="L371" s="334" t="n"/>
      <c r="M371" s="334" t="n"/>
      <c r="N371" s="333">
        <f>IFERROR(IF(L371*M371=0,"",L371*M371),"")</f>
        <v/>
      </c>
      <c r="O371" s="334" t="n"/>
      <c r="P371" s="332">
        <f>IFERROR(VLOOKUP(TEXT(O371,"0"),CONDUCTORES!$A$3:$G$54,2,0),"")</f>
        <v/>
      </c>
      <c r="Q371" s="332">
        <f>IFERROR(VLOOKUP(TEXT(O371,"0"),CONDUCTORES!$A$3:$H$54,6,0),"")</f>
        <v/>
      </c>
      <c r="R371" s="334" t="n"/>
      <c r="S371" s="334" t="n"/>
      <c r="T371" s="334" t="n"/>
      <c r="U371" s="334" t="n"/>
      <c r="V371" s="334" t="n"/>
      <c r="W371" s="334" t="n"/>
      <c r="X371" s="334" t="n"/>
      <c r="Y371" s="334" t="n"/>
      <c r="Z371" s="375">
        <f>IF(AND(G371&lt;&gt;"",R371&lt;&gt;"",V371&lt;&gt;"",W371&lt;&gt;""),"COMPLETADO","OBSERVADO")</f>
        <v/>
      </c>
    </row>
    <row r="372" ht="15" customHeight="1" s="195">
      <c r="A372" s="280" t="n"/>
      <c r="B372" s="280" t="n"/>
      <c r="C372" s="280" t="n"/>
      <c r="D372" s="280" t="n"/>
      <c r="E372" s="280" t="n"/>
      <c r="F372" s="280" t="n"/>
      <c r="G372" s="280" t="n"/>
      <c r="H372" s="280" t="n"/>
      <c r="I372" s="332">
        <f>IFERROR(VLOOKUP(TEXT(H372,"0"),IPRESS!$A$3:$B$212,2,0),"")</f>
        <v/>
      </c>
      <c r="J372" s="280" t="n"/>
      <c r="K372" s="332">
        <f>IFERROR(VLOOKUP(TEXT(O372,"0"),CONDUCTORES!$A$3:$G$54,7,0),"")</f>
        <v/>
      </c>
      <c r="L372" s="280" t="n"/>
      <c r="M372" s="280" t="n"/>
      <c r="N372" s="333">
        <f>IFERROR(IF(L372*M372=0,"",L372*M372),"")</f>
        <v/>
      </c>
      <c r="O372" s="280" t="n"/>
      <c r="P372" s="332">
        <f>IFERROR(VLOOKUP(TEXT(O372,"0"),CONDUCTORES!$A$3:$G$54,2,0),"")</f>
        <v/>
      </c>
      <c r="Q372" s="332">
        <f>IFERROR(VLOOKUP(TEXT(O372,"0"),CONDUCTORES!$A$3:$H$54,6,0),"")</f>
        <v/>
      </c>
      <c r="R372" s="280" t="n"/>
      <c r="S372" s="280" t="n"/>
      <c r="T372" s="280" t="n"/>
      <c r="U372" s="280" t="n"/>
      <c r="V372" s="280" t="n"/>
      <c r="W372" s="280" t="n"/>
      <c r="X372" s="280" t="n"/>
      <c r="Y372" s="280" t="n"/>
      <c r="Z372" s="375">
        <f>IF(AND(G372&lt;&gt;"",R372&lt;&gt;"",V372&lt;&gt;"",W372&lt;&gt;""),"COMPLETADO","OBSERVADO")</f>
        <v/>
      </c>
    </row>
    <row r="373" ht="15" customHeight="1" s="195">
      <c r="A373" s="334" t="n"/>
      <c r="B373" s="334" t="n"/>
      <c r="C373" s="334" t="n"/>
      <c r="D373" s="334" t="n"/>
      <c r="E373" s="334" t="n"/>
      <c r="F373" s="334" t="n"/>
      <c r="G373" s="334" t="n"/>
      <c r="H373" s="334" t="n"/>
      <c r="I373" s="332">
        <f>IFERROR(VLOOKUP(TEXT(H373,"0"),IPRESS!$A$3:$B$212,2,0),"")</f>
        <v/>
      </c>
      <c r="J373" s="334" t="n"/>
      <c r="K373" s="332">
        <f>IFERROR(VLOOKUP(TEXT(O373,"0"),CONDUCTORES!$A$3:$G$54,7,0),"")</f>
        <v/>
      </c>
      <c r="L373" s="334" t="n"/>
      <c r="M373" s="334" t="n"/>
      <c r="N373" s="333">
        <f>IFERROR(IF(L373*M373=0,"",L373*M373),"")</f>
        <v/>
      </c>
      <c r="O373" s="334" t="n"/>
      <c r="P373" s="332">
        <f>IFERROR(VLOOKUP(TEXT(O373,"0"),CONDUCTORES!$A$3:$G$54,2,0),"")</f>
        <v/>
      </c>
      <c r="Q373" s="332">
        <f>IFERROR(VLOOKUP(TEXT(O373,"0"),CONDUCTORES!$A$3:$H$54,6,0),"")</f>
        <v/>
      </c>
      <c r="R373" s="334" t="n"/>
      <c r="S373" s="334" t="n"/>
      <c r="T373" s="334" t="n"/>
      <c r="U373" s="334" t="n"/>
      <c r="V373" s="334" t="n"/>
      <c r="W373" s="334" t="n"/>
      <c r="X373" s="334" t="n"/>
      <c r="Y373" s="334" t="n"/>
      <c r="Z373" s="375">
        <f>IF(AND(G373&lt;&gt;"",R373&lt;&gt;"",V373&lt;&gt;"",W373&lt;&gt;""),"COMPLETADO","OBSERVADO")</f>
        <v/>
      </c>
    </row>
    <row r="374" ht="15" customHeight="1" s="195">
      <c r="A374" s="280" t="n"/>
      <c r="B374" s="280" t="n"/>
      <c r="C374" s="280" t="n"/>
      <c r="D374" s="280" t="n"/>
      <c r="E374" s="280" t="n"/>
      <c r="F374" s="280" t="n"/>
      <c r="G374" s="280" t="n"/>
      <c r="H374" s="280" t="n"/>
      <c r="I374" s="332">
        <f>IFERROR(VLOOKUP(TEXT(H374,"0"),IPRESS!$A$3:$B$212,2,0),"")</f>
        <v/>
      </c>
      <c r="J374" s="280" t="n"/>
      <c r="K374" s="332">
        <f>IFERROR(VLOOKUP(TEXT(O374,"0"),CONDUCTORES!$A$3:$G$54,7,0),"")</f>
        <v/>
      </c>
      <c r="L374" s="280" t="n"/>
      <c r="M374" s="280" t="n"/>
      <c r="N374" s="333">
        <f>IFERROR(IF(L374*M374=0,"",L374*M374),"")</f>
        <v/>
      </c>
      <c r="O374" s="280" t="n"/>
      <c r="P374" s="332">
        <f>IFERROR(VLOOKUP(TEXT(O374,"0"),CONDUCTORES!$A$3:$G$54,2,0),"")</f>
        <v/>
      </c>
      <c r="Q374" s="332">
        <f>IFERROR(VLOOKUP(TEXT(O374,"0"),CONDUCTORES!$A$3:$H$54,6,0),"")</f>
        <v/>
      </c>
      <c r="R374" s="280" t="n"/>
      <c r="S374" s="280" t="n"/>
      <c r="T374" s="280" t="n"/>
      <c r="U374" s="280" t="n"/>
      <c r="V374" s="280" t="n"/>
      <c r="W374" s="280" t="n"/>
      <c r="X374" s="280" t="n"/>
      <c r="Y374" s="280" t="n"/>
      <c r="Z374" s="375">
        <f>IF(AND(G374&lt;&gt;"",R374&lt;&gt;"",V374&lt;&gt;"",W374&lt;&gt;""),"COMPLETADO","OBSERVADO")</f>
        <v/>
      </c>
    </row>
    <row r="375" ht="15" customHeight="1" s="195">
      <c r="A375" s="334" t="n"/>
      <c r="B375" s="334" t="n"/>
      <c r="C375" s="334" t="n"/>
      <c r="D375" s="334" t="n"/>
      <c r="E375" s="334" t="n"/>
      <c r="F375" s="334" t="n"/>
      <c r="G375" s="334" t="n"/>
      <c r="H375" s="334" t="n"/>
      <c r="I375" s="332">
        <f>IFERROR(VLOOKUP(TEXT(H375,"0"),IPRESS!$A$3:$B$212,2,0),"")</f>
        <v/>
      </c>
      <c r="J375" s="334" t="n"/>
      <c r="K375" s="332">
        <f>IFERROR(VLOOKUP(TEXT(O375,"0"),CONDUCTORES!$A$3:$G$54,7,0),"")</f>
        <v/>
      </c>
      <c r="L375" s="334" t="n"/>
      <c r="M375" s="334" t="n"/>
      <c r="N375" s="333">
        <f>IFERROR(IF(L375*M375=0,"",L375*M375),"")</f>
        <v/>
      </c>
      <c r="O375" s="334" t="n"/>
      <c r="P375" s="332">
        <f>IFERROR(VLOOKUP(TEXT(O375,"0"),CONDUCTORES!$A$3:$G$54,2,0),"")</f>
        <v/>
      </c>
      <c r="Q375" s="332">
        <f>IFERROR(VLOOKUP(TEXT(O375,"0"),CONDUCTORES!$A$3:$H$54,6,0),"")</f>
        <v/>
      </c>
      <c r="R375" s="334" t="n"/>
      <c r="S375" s="334" t="n"/>
      <c r="T375" s="334" t="n"/>
      <c r="U375" s="334" t="n"/>
      <c r="V375" s="334" t="n"/>
      <c r="W375" s="334" t="n"/>
      <c r="X375" s="334" t="n"/>
      <c r="Y375" s="334" t="n"/>
      <c r="Z375" s="375">
        <f>IF(AND(G375&lt;&gt;"",R375&lt;&gt;"",V375&lt;&gt;"",W375&lt;&gt;""),"COMPLETADO","OBSERVADO")</f>
        <v/>
      </c>
    </row>
    <row r="376" ht="15" customHeight="1" s="195">
      <c r="A376" s="280" t="n"/>
      <c r="B376" s="280" t="n"/>
      <c r="C376" s="280" t="n"/>
      <c r="D376" s="280" t="n"/>
      <c r="E376" s="280" t="n"/>
      <c r="F376" s="280" t="n"/>
      <c r="G376" s="280" t="n"/>
      <c r="H376" s="280" t="n"/>
      <c r="I376" s="332">
        <f>IFERROR(VLOOKUP(TEXT(H376,"0"),IPRESS!$A$3:$B$212,2,0),"")</f>
        <v/>
      </c>
      <c r="J376" s="280" t="n"/>
      <c r="K376" s="332">
        <f>IFERROR(VLOOKUP(TEXT(O376,"0"),CONDUCTORES!$A$3:$G$54,7,0),"")</f>
        <v/>
      </c>
      <c r="L376" s="280" t="n"/>
      <c r="M376" s="280" t="n"/>
      <c r="N376" s="333">
        <f>IFERROR(IF(L376*M376=0,"",L376*M376),"")</f>
        <v/>
      </c>
      <c r="O376" s="280" t="n"/>
      <c r="P376" s="332">
        <f>IFERROR(VLOOKUP(TEXT(O376,"0"),CONDUCTORES!$A$3:$G$54,2,0),"")</f>
        <v/>
      </c>
      <c r="Q376" s="332">
        <f>IFERROR(VLOOKUP(TEXT(O376,"0"),CONDUCTORES!$A$3:$H$54,6,0),"")</f>
        <v/>
      </c>
      <c r="R376" s="280" t="n"/>
      <c r="S376" s="280" t="n"/>
      <c r="T376" s="280" t="n"/>
      <c r="U376" s="280" t="n"/>
      <c r="V376" s="280" t="n"/>
      <c r="W376" s="280" t="n"/>
      <c r="X376" s="280" t="n"/>
      <c r="Y376" s="280" t="n"/>
      <c r="Z376" s="375">
        <f>IF(AND(G376&lt;&gt;"",R376&lt;&gt;"",V376&lt;&gt;"",W376&lt;&gt;""),"COMPLETADO","OBSERVADO")</f>
        <v/>
      </c>
    </row>
    <row r="377" ht="15" customHeight="1" s="195">
      <c r="A377" s="334" t="n"/>
      <c r="B377" s="334" t="n"/>
      <c r="C377" s="334" t="n"/>
      <c r="D377" s="334" t="n"/>
      <c r="E377" s="334" t="n"/>
      <c r="F377" s="334" t="n"/>
      <c r="G377" s="334" t="n"/>
      <c r="H377" s="334" t="n"/>
      <c r="I377" s="332">
        <f>IFERROR(VLOOKUP(TEXT(H377,"0"),IPRESS!$A$3:$B$212,2,0),"")</f>
        <v/>
      </c>
      <c r="J377" s="334" t="n"/>
      <c r="K377" s="332">
        <f>IFERROR(VLOOKUP(TEXT(O377,"0"),CONDUCTORES!$A$3:$G$54,7,0),"")</f>
        <v/>
      </c>
      <c r="L377" s="334" t="n"/>
      <c r="M377" s="334" t="n"/>
      <c r="N377" s="333">
        <f>IFERROR(IF(L377*M377=0,"",L377*M377),"")</f>
        <v/>
      </c>
      <c r="O377" s="334" t="n"/>
      <c r="P377" s="332">
        <f>IFERROR(VLOOKUP(TEXT(O377,"0"),CONDUCTORES!$A$3:$G$54,2,0),"")</f>
        <v/>
      </c>
      <c r="Q377" s="332">
        <f>IFERROR(VLOOKUP(TEXT(O377,"0"),CONDUCTORES!$A$3:$H$54,6,0),"")</f>
        <v/>
      </c>
      <c r="R377" s="334" t="n"/>
      <c r="S377" s="334" t="n"/>
      <c r="T377" s="334" t="n"/>
      <c r="U377" s="334" t="n"/>
      <c r="V377" s="334" t="n"/>
      <c r="W377" s="334" t="n"/>
      <c r="X377" s="334" t="n"/>
      <c r="Y377" s="334" t="n"/>
      <c r="Z377" s="375">
        <f>IF(AND(G377&lt;&gt;"",R377&lt;&gt;"",V377&lt;&gt;"",W377&lt;&gt;""),"COMPLETADO","OBSERVADO")</f>
        <v/>
      </c>
    </row>
    <row r="378" ht="15" customHeight="1" s="195">
      <c r="A378" s="280" t="n"/>
      <c r="B378" s="280" t="n"/>
      <c r="C378" s="280" t="n"/>
      <c r="D378" s="280" t="n"/>
      <c r="E378" s="280" t="n"/>
      <c r="F378" s="280" t="n"/>
      <c r="G378" s="280" t="n"/>
      <c r="H378" s="280" t="n"/>
      <c r="I378" s="332">
        <f>IFERROR(VLOOKUP(TEXT(H378,"0"),IPRESS!$A$3:$B$212,2,0),"")</f>
        <v/>
      </c>
      <c r="J378" s="280" t="n"/>
      <c r="K378" s="332">
        <f>IFERROR(VLOOKUP(TEXT(O378,"0"),CONDUCTORES!$A$3:$G$54,7,0),"")</f>
        <v/>
      </c>
      <c r="L378" s="280" t="n"/>
      <c r="M378" s="280" t="n"/>
      <c r="N378" s="333">
        <f>IFERROR(IF(L378*M378=0,"",L378*M378),"")</f>
        <v/>
      </c>
      <c r="O378" s="280" t="n"/>
      <c r="P378" s="332">
        <f>IFERROR(VLOOKUP(TEXT(O378,"0"),CONDUCTORES!$A$3:$G$54,2,0),"")</f>
        <v/>
      </c>
      <c r="Q378" s="332">
        <f>IFERROR(VLOOKUP(TEXT(O378,"0"),CONDUCTORES!$A$3:$H$54,6,0),"")</f>
        <v/>
      </c>
      <c r="R378" s="280" t="n"/>
      <c r="S378" s="280" t="n"/>
      <c r="T378" s="280" t="n"/>
      <c r="U378" s="280" t="n"/>
      <c r="V378" s="280" t="n"/>
      <c r="W378" s="280" t="n"/>
      <c r="X378" s="280" t="n"/>
      <c r="Y378" s="280" t="n"/>
      <c r="Z378" s="375">
        <f>IF(AND(G378&lt;&gt;"",R378&lt;&gt;"",V378&lt;&gt;"",W378&lt;&gt;""),"COMPLETADO","OBSERVADO")</f>
        <v/>
      </c>
    </row>
    <row r="379" ht="15" customHeight="1" s="195">
      <c r="A379" s="334" t="n"/>
      <c r="B379" s="334" t="n"/>
      <c r="C379" s="334" t="n"/>
      <c r="D379" s="334" t="n"/>
      <c r="E379" s="334" t="n"/>
      <c r="F379" s="334" t="n"/>
      <c r="G379" s="334" t="n"/>
      <c r="H379" s="334" t="n"/>
      <c r="I379" s="332">
        <f>IFERROR(VLOOKUP(TEXT(H379,"0"),IPRESS!$A$3:$B$212,2,0),"")</f>
        <v/>
      </c>
      <c r="J379" s="334" t="n"/>
      <c r="K379" s="332">
        <f>IFERROR(VLOOKUP(TEXT(O379,"0"),CONDUCTORES!$A$3:$G$54,7,0),"")</f>
        <v/>
      </c>
      <c r="L379" s="334" t="n"/>
      <c r="M379" s="334" t="n"/>
      <c r="N379" s="333">
        <f>IFERROR(IF(L379*M379=0,"",L379*M379),"")</f>
        <v/>
      </c>
      <c r="O379" s="334" t="n"/>
      <c r="P379" s="332">
        <f>IFERROR(VLOOKUP(TEXT(O379,"0"),CONDUCTORES!$A$3:$G$54,2,0),"")</f>
        <v/>
      </c>
      <c r="Q379" s="332">
        <f>IFERROR(VLOOKUP(TEXT(O379,"0"),CONDUCTORES!$A$3:$H$54,6,0),"")</f>
        <v/>
      </c>
      <c r="R379" s="334" t="n"/>
      <c r="S379" s="334" t="n"/>
      <c r="T379" s="334" t="n"/>
      <c r="U379" s="334" t="n"/>
      <c r="V379" s="334" t="n"/>
      <c r="W379" s="334" t="n"/>
      <c r="X379" s="334" t="n"/>
      <c r="Y379" s="334" t="n"/>
      <c r="Z379" s="375">
        <f>IF(AND(G379&lt;&gt;"",R379&lt;&gt;"",V379&lt;&gt;"",W379&lt;&gt;""),"COMPLETADO","OBSERVADO")</f>
        <v/>
      </c>
    </row>
    <row r="380" ht="15" customHeight="1" s="195">
      <c r="A380" s="280" t="n"/>
      <c r="B380" s="280" t="n"/>
      <c r="C380" s="280" t="n"/>
      <c r="D380" s="280" t="n"/>
      <c r="E380" s="280" t="n"/>
      <c r="F380" s="280" t="n"/>
      <c r="G380" s="280" t="n"/>
      <c r="H380" s="280" t="n"/>
      <c r="I380" s="332">
        <f>IFERROR(VLOOKUP(TEXT(H380,"0"),IPRESS!$A$3:$B$212,2,0),"")</f>
        <v/>
      </c>
      <c r="J380" s="280" t="n"/>
      <c r="K380" s="332">
        <f>IFERROR(VLOOKUP(TEXT(O380,"0"),CONDUCTORES!$A$3:$G$54,7,0),"")</f>
        <v/>
      </c>
      <c r="L380" s="280" t="n"/>
      <c r="M380" s="280" t="n"/>
      <c r="N380" s="333">
        <f>IFERROR(IF(L380*M380=0,"",L380*M380),"")</f>
        <v/>
      </c>
      <c r="O380" s="280" t="n"/>
      <c r="P380" s="332">
        <f>IFERROR(VLOOKUP(TEXT(O380,"0"),CONDUCTORES!$A$3:$G$54,2,0),"")</f>
        <v/>
      </c>
      <c r="Q380" s="332">
        <f>IFERROR(VLOOKUP(TEXT(O380,"0"),CONDUCTORES!$A$3:$H$54,6,0),"")</f>
        <v/>
      </c>
      <c r="R380" s="280" t="n"/>
      <c r="S380" s="280" t="n"/>
      <c r="T380" s="280" t="n"/>
      <c r="U380" s="280" t="n"/>
      <c r="V380" s="280" t="n"/>
      <c r="W380" s="280" t="n"/>
      <c r="X380" s="280" t="n"/>
      <c r="Y380" s="280" t="n"/>
      <c r="Z380" s="375">
        <f>IF(AND(G380&lt;&gt;"",R380&lt;&gt;"",V380&lt;&gt;"",W380&lt;&gt;""),"COMPLETADO","OBSERVADO")</f>
        <v/>
      </c>
    </row>
    <row r="381" ht="15" customHeight="1" s="195">
      <c r="A381" s="334" t="n"/>
      <c r="B381" s="334" t="n"/>
      <c r="C381" s="334" t="n"/>
      <c r="D381" s="334" t="n"/>
      <c r="E381" s="334" t="n"/>
      <c r="F381" s="334" t="n"/>
      <c r="G381" s="334" t="n"/>
      <c r="H381" s="334" t="n"/>
      <c r="I381" s="332">
        <f>IFERROR(VLOOKUP(TEXT(H381,"0"),IPRESS!$A$3:$B$212,2,0),"")</f>
        <v/>
      </c>
      <c r="J381" s="334" t="n"/>
      <c r="K381" s="332">
        <f>IFERROR(VLOOKUP(TEXT(O381,"0"),CONDUCTORES!$A$3:$G$54,7,0),"")</f>
        <v/>
      </c>
      <c r="L381" s="334" t="n"/>
      <c r="M381" s="334" t="n"/>
      <c r="N381" s="333">
        <f>IFERROR(IF(L381*M381=0,"",L381*M381),"")</f>
        <v/>
      </c>
      <c r="O381" s="334" t="n"/>
      <c r="P381" s="332">
        <f>IFERROR(VLOOKUP(TEXT(O381,"0"),CONDUCTORES!$A$3:$G$54,2,0),"")</f>
        <v/>
      </c>
      <c r="Q381" s="332">
        <f>IFERROR(VLOOKUP(TEXT(O381,"0"),CONDUCTORES!$A$3:$H$54,6,0),"")</f>
        <v/>
      </c>
      <c r="R381" s="334" t="n"/>
      <c r="S381" s="334" t="n"/>
      <c r="T381" s="334" t="n"/>
      <c r="U381" s="334" t="n"/>
      <c r="V381" s="334" t="n"/>
      <c r="W381" s="334" t="n"/>
      <c r="X381" s="334" t="n"/>
      <c r="Y381" s="334" t="n"/>
      <c r="Z381" s="375">
        <f>IF(AND(G381&lt;&gt;"",R381&lt;&gt;"",V381&lt;&gt;"",W381&lt;&gt;""),"COMPLETADO","OBSERVADO")</f>
        <v/>
      </c>
    </row>
    <row r="382" ht="15" customHeight="1" s="195">
      <c r="A382" s="280" t="n"/>
      <c r="B382" s="280" t="n"/>
      <c r="C382" s="280" t="n"/>
      <c r="D382" s="280" t="n"/>
      <c r="E382" s="280" t="n"/>
      <c r="F382" s="280" t="n"/>
      <c r="G382" s="280" t="n"/>
      <c r="H382" s="280" t="n"/>
      <c r="I382" s="332">
        <f>IFERROR(VLOOKUP(TEXT(H382,"0"),IPRESS!$A$3:$B$212,2,0),"")</f>
        <v/>
      </c>
      <c r="J382" s="280" t="n"/>
      <c r="K382" s="332">
        <f>IFERROR(VLOOKUP(TEXT(O382,"0"),CONDUCTORES!$A$3:$G$54,7,0),"")</f>
        <v/>
      </c>
      <c r="L382" s="280" t="n"/>
      <c r="M382" s="280" t="n"/>
      <c r="N382" s="333">
        <f>IFERROR(IF(L382*M382=0,"",L382*M382),"")</f>
        <v/>
      </c>
      <c r="O382" s="280" t="n"/>
      <c r="P382" s="332">
        <f>IFERROR(VLOOKUP(TEXT(O382,"0"),CONDUCTORES!$A$3:$G$54,2,0),"")</f>
        <v/>
      </c>
      <c r="Q382" s="332">
        <f>IFERROR(VLOOKUP(TEXT(O382,"0"),CONDUCTORES!$A$3:$H$54,6,0),"")</f>
        <v/>
      </c>
      <c r="R382" s="280" t="n"/>
      <c r="S382" s="280" t="n"/>
      <c r="T382" s="280" t="n"/>
      <c r="U382" s="280" t="n"/>
      <c r="V382" s="280" t="n"/>
      <c r="W382" s="280" t="n"/>
      <c r="X382" s="280" t="n"/>
      <c r="Y382" s="280" t="n"/>
      <c r="Z382" s="375">
        <f>IF(AND(G382&lt;&gt;"",R382&lt;&gt;"",V382&lt;&gt;"",W382&lt;&gt;""),"COMPLETADO","OBSERVADO")</f>
        <v/>
      </c>
    </row>
    <row r="383" ht="15" customHeight="1" s="195">
      <c r="A383" s="334" t="n"/>
      <c r="B383" s="334" t="n"/>
      <c r="C383" s="334" t="n"/>
      <c r="D383" s="334" t="n"/>
      <c r="E383" s="334" t="n"/>
      <c r="F383" s="334" t="n"/>
      <c r="G383" s="334" t="n"/>
      <c r="H383" s="334" t="n"/>
      <c r="I383" s="332">
        <f>IFERROR(VLOOKUP(TEXT(H383,"0"),IPRESS!$A$3:$B$212,2,0),"")</f>
        <v/>
      </c>
      <c r="J383" s="334" t="n"/>
      <c r="K383" s="332">
        <f>IFERROR(VLOOKUP(TEXT(O383,"0"),CONDUCTORES!$A$3:$G$54,7,0),"")</f>
        <v/>
      </c>
      <c r="L383" s="334" t="n"/>
      <c r="M383" s="334" t="n"/>
      <c r="N383" s="333">
        <f>IFERROR(IF(L383*M383=0,"",L383*M383),"")</f>
        <v/>
      </c>
      <c r="O383" s="334" t="n"/>
      <c r="P383" s="332">
        <f>IFERROR(VLOOKUP(TEXT(O383,"0"),CONDUCTORES!$A$3:$G$54,2,0),"")</f>
        <v/>
      </c>
      <c r="Q383" s="332">
        <f>IFERROR(VLOOKUP(TEXT(O383,"0"),CONDUCTORES!$A$3:$H$54,6,0),"")</f>
        <v/>
      </c>
      <c r="R383" s="334" t="n"/>
      <c r="S383" s="334" t="n"/>
      <c r="T383" s="334" t="n"/>
      <c r="U383" s="334" t="n"/>
      <c r="V383" s="334" t="n"/>
      <c r="W383" s="334" t="n"/>
      <c r="X383" s="334" t="n"/>
      <c r="Y383" s="334" t="n"/>
      <c r="Z383" s="375">
        <f>IF(AND(G383&lt;&gt;"",R383&lt;&gt;"",V383&lt;&gt;"",W383&lt;&gt;""),"COMPLETADO","OBSERVADO")</f>
        <v/>
      </c>
    </row>
    <row r="384" ht="15" customHeight="1" s="195">
      <c r="A384" s="280" t="n"/>
      <c r="B384" s="280" t="n"/>
      <c r="C384" s="280" t="n"/>
      <c r="D384" s="280" t="n"/>
      <c r="E384" s="280" t="n"/>
      <c r="F384" s="280" t="n"/>
      <c r="G384" s="280" t="n"/>
      <c r="H384" s="280" t="n"/>
      <c r="I384" s="332">
        <f>IFERROR(VLOOKUP(TEXT(H384,"0"),IPRESS!$A$3:$B$212,2,0),"")</f>
        <v/>
      </c>
      <c r="J384" s="280" t="n"/>
      <c r="K384" s="332">
        <f>IFERROR(VLOOKUP(TEXT(O384,"0"),CONDUCTORES!$A$3:$G$54,7,0),"")</f>
        <v/>
      </c>
      <c r="L384" s="280" t="n"/>
      <c r="M384" s="280" t="n"/>
      <c r="N384" s="333">
        <f>IFERROR(IF(L384*M384=0,"",L384*M384),"")</f>
        <v/>
      </c>
      <c r="O384" s="280" t="n"/>
      <c r="P384" s="332">
        <f>IFERROR(VLOOKUP(TEXT(O384,"0"),CONDUCTORES!$A$3:$G$54,2,0),"")</f>
        <v/>
      </c>
      <c r="Q384" s="332">
        <f>IFERROR(VLOOKUP(TEXT(O384,"0"),CONDUCTORES!$A$3:$H$54,6,0),"")</f>
        <v/>
      </c>
      <c r="R384" s="280" t="n"/>
      <c r="S384" s="280" t="n"/>
      <c r="T384" s="280" t="n"/>
      <c r="U384" s="280" t="n"/>
      <c r="V384" s="280" t="n"/>
      <c r="W384" s="280" t="n"/>
      <c r="X384" s="280" t="n"/>
      <c r="Y384" s="280" t="n"/>
      <c r="Z384" s="375">
        <f>IF(AND(G384&lt;&gt;"",R384&lt;&gt;"",V384&lt;&gt;"",W384&lt;&gt;""),"COMPLETADO","OBSERVADO")</f>
        <v/>
      </c>
    </row>
    <row r="385" ht="15" customHeight="1" s="195">
      <c r="A385" s="334" t="n"/>
      <c r="B385" s="334" t="n"/>
      <c r="C385" s="334" t="n"/>
      <c r="D385" s="334" t="n"/>
      <c r="E385" s="334" t="n"/>
      <c r="F385" s="334" t="n"/>
      <c r="G385" s="334" t="n"/>
      <c r="H385" s="334" t="n"/>
      <c r="I385" s="332">
        <f>IFERROR(VLOOKUP(TEXT(H385,"0"),IPRESS!$A$3:$B$212,2,0),"")</f>
        <v/>
      </c>
      <c r="J385" s="334" t="n"/>
      <c r="K385" s="332">
        <f>IFERROR(VLOOKUP(TEXT(O385,"0"),CONDUCTORES!$A$3:$G$54,7,0),"")</f>
        <v/>
      </c>
      <c r="L385" s="334" t="n"/>
      <c r="M385" s="334" t="n"/>
      <c r="N385" s="333">
        <f>IFERROR(IF(L385*M385=0,"",L385*M385),"")</f>
        <v/>
      </c>
      <c r="O385" s="334" t="n"/>
      <c r="P385" s="332">
        <f>IFERROR(VLOOKUP(TEXT(O385,"0"),CONDUCTORES!$A$3:$G$54,2,0),"")</f>
        <v/>
      </c>
      <c r="Q385" s="332">
        <f>IFERROR(VLOOKUP(TEXT(O385,"0"),CONDUCTORES!$A$3:$H$54,6,0),"")</f>
        <v/>
      </c>
      <c r="R385" s="334" t="n"/>
      <c r="S385" s="334" t="n"/>
      <c r="T385" s="334" t="n"/>
      <c r="U385" s="334" t="n"/>
      <c r="V385" s="334" t="n"/>
      <c r="W385" s="334" t="n"/>
      <c r="X385" s="334" t="n"/>
      <c r="Y385" s="334" t="n"/>
      <c r="Z385" s="375">
        <f>IF(AND(G385&lt;&gt;"",R385&lt;&gt;"",V385&lt;&gt;"",W385&lt;&gt;""),"COMPLETADO","OBSERVADO")</f>
        <v/>
      </c>
    </row>
    <row r="386" ht="15" customHeight="1" s="195">
      <c r="A386" s="280" t="n"/>
      <c r="B386" s="280" t="n"/>
      <c r="C386" s="280" t="n"/>
      <c r="D386" s="280" t="n"/>
      <c r="E386" s="280" t="n"/>
      <c r="F386" s="280" t="n"/>
      <c r="G386" s="280" t="n"/>
      <c r="H386" s="280" t="n"/>
      <c r="I386" s="332">
        <f>IFERROR(VLOOKUP(TEXT(H386,"0"),IPRESS!$A$3:$B$212,2,0),"")</f>
        <v/>
      </c>
      <c r="J386" s="280" t="n"/>
      <c r="K386" s="332">
        <f>IFERROR(VLOOKUP(TEXT(O386,"0"),CONDUCTORES!$A$3:$G$54,7,0),"")</f>
        <v/>
      </c>
      <c r="L386" s="280" t="n"/>
      <c r="M386" s="280" t="n"/>
      <c r="N386" s="333">
        <f>IFERROR(IF(L386*M386=0,"",L386*M386),"")</f>
        <v/>
      </c>
      <c r="O386" s="280" t="n"/>
      <c r="P386" s="332">
        <f>IFERROR(VLOOKUP(TEXT(O386,"0"),CONDUCTORES!$A$3:$G$54,2,0),"")</f>
        <v/>
      </c>
      <c r="Q386" s="332">
        <f>IFERROR(VLOOKUP(TEXT(O386,"0"),CONDUCTORES!$A$3:$H$54,6,0),"")</f>
        <v/>
      </c>
      <c r="R386" s="280" t="n"/>
      <c r="S386" s="280" t="n"/>
      <c r="T386" s="280" t="n"/>
      <c r="U386" s="280" t="n"/>
      <c r="V386" s="280" t="n"/>
      <c r="W386" s="280" t="n"/>
      <c r="X386" s="280" t="n"/>
      <c r="Y386" s="280" t="n"/>
      <c r="Z386" s="375">
        <f>IF(AND(G386&lt;&gt;"",R386&lt;&gt;"",V386&lt;&gt;"",W386&lt;&gt;""),"COMPLETADO","OBSERVADO")</f>
        <v/>
      </c>
    </row>
    <row r="387" ht="15" customHeight="1" s="195">
      <c r="A387" s="334" t="n"/>
      <c r="B387" s="334" t="n"/>
      <c r="C387" s="334" t="n"/>
      <c r="D387" s="334" t="n"/>
      <c r="E387" s="334" t="n"/>
      <c r="F387" s="334" t="n"/>
      <c r="G387" s="334" t="n"/>
      <c r="H387" s="334" t="n"/>
      <c r="I387" s="332">
        <f>IFERROR(VLOOKUP(TEXT(H387,"0"),IPRESS!$A$3:$B$212,2,0),"")</f>
        <v/>
      </c>
      <c r="J387" s="334" t="n"/>
      <c r="K387" s="332">
        <f>IFERROR(VLOOKUP(TEXT(O387,"0"),CONDUCTORES!$A$3:$G$54,7,0),"")</f>
        <v/>
      </c>
      <c r="L387" s="334" t="n"/>
      <c r="M387" s="334" t="n"/>
      <c r="N387" s="333">
        <f>IFERROR(IF(L387*M387=0,"",L387*M387),"")</f>
        <v/>
      </c>
      <c r="O387" s="334" t="n"/>
      <c r="P387" s="332">
        <f>IFERROR(VLOOKUP(TEXT(O387,"0"),CONDUCTORES!$A$3:$G$54,2,0),"")</f>
        <v/>
      </c>
      <c r="Q387" s="332">
        <f>IFERROR(VLOOKUP(TEXT(O387,"0"),CONDUCTORES!$A$3:$H$54,6,0),"")</f>
        <v/>
      </c>
      <c r="R387" s="334" t="n"/>
      <c r="S387" s="334" t="n"/>
      <c r="T387" s="334" t="n"/>
      <c r="U387" s="334" t="n"/>
      <c r="V387" s="334" t="n"/>
      <c r="W387" s="334" t="n"/>
      <c r="X387" s="334" t="n"/>
      <c r="Y387" s="334" t="n"/>
      <c r="Z387" s="375">
        <f>IF(AND(G387&lt;&gt;"",R387&lt;&gt;"",V387&lt;&gt;"",W387&lt;&gt;""),"COMPLETADO","OBSERVADO")</f>
        <v/>
      </c>
    </row>
    <row r="388" ht="15" customHeight="1" s="195">
      <c r="A388" s="280" t="n"/>
      <c r="B388" s="280" t="n"/>
      <c r="C388" s="280" t="n"/>
      <c r="D388" s="280" t="n"/>
      <c r="E388" s="280" t="n"/>
      <c r="F388" s="280" t="n"/>
      <c r="G388" s="280" t="n"/>
      <c r="H388" s="280" t="n"/>
      <c r="I388" s="332">
        <f>IFERROR(VLOOKUP(TEXT(H388,"0"),IPRESS!$A$3:$B$212,2,0),"")</f>
        <v/>
      </c>
      <c r="J388" s="280" t="n"/>
      <c r="K388" s="332">
        <f>IFERROR(VLOOKUP(TEXT(O388,"0"),CONDUCTORES!$A$3:$G$54,7,0),"")</f>
        <v/>
      </c>
      <c r="L388" s="280" t="n"/>
      <c r="M388" s="280" t="n"/>
      <c r="N388" s="333">
        <f>IFERROR(IF(L388*M388=0,"",L388*M388),"")</f>
        <v/>
      </c>
      <c r="O388" s="280" t="n"/>
      <c r="P388" s="332">
        <f>IFERROR(VLOOKUP(TEXT(O388,"0"),CONDUCTORES!$A$3:$G$54,2,0),"")</f>
        <v/>
      </c>
      <c r="Q388" s="332">
        <f>IFERROR(VLOOKUP(TEXT(O388,"0"),CONDUCTORES!$A$3:$H$54,6,0),"")</f>
        <v/>
      </c>
      <c r="R388" s="280" t="n"/>
      <c r="S388" s="280" t="n"/>
      <c r="T388" s="280" t="n"/>
      <c r="U388" s="280" t="n"/>
      <c r="V388" s="280" t="n"/>
      <c r="W388" s="280" t="n"/>
      <c r="X388" s="280" t="n"/>
      <c r="Y388" s="280" t="n"/>
      <c r="Z388" s="375">
        <f>IF(AND(G388&lt;&gt;"",R388&lt;&gt;"",V388&lt;&gt;"",W388&lt;&gt;""),"COMPLETADO","OBSERVADO")</f>
        <v/>
      </c>
    </row>
    <row r="389" ht="15" customHeight="1" s="195">
      <c r="A389" s="334" t="n"/>
      <c r="B389" s="334" t="n"/>
      <c r="C389" s="334" t="n"/>
      <c r="D389" s="334" t="n"/>
      <c r="E389" s="334" t="n"/>
      <c r="F389" s="334" t="n"/>
      <c r="G389" s="334" t="n"/>
      <c r="H389" s="334" t="n"/>
      <c r="I389" s="332">
        <f>IFERROR(VLOOKUP(TEXT(H389,"0"),IPRESS!$A$3:$B$212,2,0),"")</f>
        <v/>
      </c>
      <c r="J389" s="334" t="n"/>
      <c r="K389" s="332">
        <f>IFERROR(VLOOKUP(TEXT(O389,"0"),CONDUCTORES!$A$3:$G$54,7,0),"")</f>
        <v/>
      </c>
      <c r="L389" s="334" t="n"/>
      <c r="M389" s="334" t="n"/>
      <c r="N389" s="333">
        <f>IFERROR(IF(L389*M389=0,"",L389*M389),"")</f>
        <v/>
      </c>
      <c r="O389" s="334" t="n"/>
      <c r="P389" s="332">
        <f>IFERROR(VLOOKUP(TEXT(O389,"0"),CONDUCTORES!$A$3:$G$54,2,0),"")</f>
        <v/>
      </c>
      <c r="Q389" s="332">
        <f>IFERROR(VLOOKUP(TEXT(O389,"0"),CONDUCTORES!$A$3:$H$54,6,0),"")</f>
        <v/>
      </c>
      <c r="R389" s="334" t="n"/>
      <c r="S389" s="334" t="n"/>
      <c r="T389" s="334" t="n"/>
      <c r="U389" s="334" t="n"/>
      <c r="V389" s="334" t="n"/>
      <c r="W389" s="334" t="n"/>
      <c r="X389" s="334" t="n"/>
      <c r="Y389" s="334" t="n"/>
      <c r="Z389" s="375">
        <f>IF(AND(G389&lt;&gt;"",R389&lt;&gt;"",V389&lt;&gt;"",W389&lt;&gt;""),"COMPLETADO","OBSERVADO")</f>
        <v/>
      </c>
    </row>
    <row r="390" ht="15" customHeight="1" s="195">
      <c r="A390" s="280" t="n"/>
      <c r="B390" s="280" t="n"/>
      <c r="C390" s="280" t="n"/>
      <c r="D390" s="280" t="n"/>
      <c r="E390" s="280" t="n"/>
      <c r="F390" s="280" t="n"/>
      <c r="G390" s="280" t="n"/>
      <c r="H390" s="280" t="n"/>
      <c r="I390" s="332">
        <f>IFERROR(VLOOKUP(TEXT(H390,"0"),IPRESS!$A$3:$B$212,2,0),"")</f>
        <v/>
      </c>
      <c r="J390" s="280" t="n"/>
      <c r="K390" s="332">
        <f>IFERROR(VLOOKUP(TEXT(O390,"0"),CONDUCTORES!$A$3:$G$54,7,0),"")</f>
        <v/>
      </c>
      <c r="L390" s="280" t="n"/>
      <c r="M390" s="280" t="n"/>
      <c r="N390" s="333">
        <f>IFERROR(IF(L390*M390=0,"",L390*M390),"")</f>
        <v/>
      </c>
      <c r="O390" s="280" t="n"/>
      <c r="P390" s="332">
        <f>IFERROR(VLOOKUP(TEXT(O390,"0"),CONDUCTORES!$A$3:$G$54,2,0),"")</f>
        <v/>
      </c>
      <c r="Q390" s="332">
        <f>IFERROR(VLOOKUP(TEXT(O390,"0"),CONDUCTORES!$A$3:$H$54,6,0),"")</f>
        <v/>
      </c>
      <c r="R390" s="280" t="n"/>
      <c r="S390" s="280" t="n"/>
      <c r="T390" s="280" t="n"/>
      <c r="U390" s="280" t="n"/>
      <c r="V390" s="280" t="n"/>
      <c r="W390" s="280" t="n"/>
      <c r="X390" s="280" t="n"/>
      <c r="Y390" s="280" t="n"/>
      <c r="Z390" s="375">
        <f>IF(AND(G390&lt;&gt;"",R390&lt;&gt;"",V390&lt;&gt;"",W390&lt;&gt;""),"COMPLETADO","OBSERVADO")</f>
        <v/>
      </c>
    </row>
    <row r="391" ht="15" customHeight="1" s="195">
      <c r="A391" s="334" t="n"/>
      <c r="B391" s="334" t="n"/>
      <c r="C391" s="334" t="n"/>
      <c r="D391" s="334" t="n"/>
      <c r="E391" s="334" t="n"/>
      <c r="F391" s="334" t="n"/>
      <c r="G391" s="334" t="n"/>
      <c r="H391" s="334" t="n"/>
      <c r="I391" s="332">
        <f>IFERROR(VLOOKUP(TEXT(H391,"0"),IPRESS!$A$3:$B$212,2,0),"")</f>
        <v/>
      </c>
      <c r="J391" s="334" t="n"/>
      <c r="K391" s="332">
        <f>IFERROR(VLOOKUP(TEXT(O391,"0"),CONDUCTORES!$A$3:$G$54,7,0),"")</f>
        <v/>
      </c>
      <c r="L391" s="334" t="n"/>
      <c r="M391" s="334" t="n"/>
      <c r="N391" s="333">
        <f>IFERROR(IF(L391*M391=0,"",L391*M391),"")</f>
        <v/>
      </c>
      <c r="O391" s="334" t="n"/>
      <c r="P391" s="332">
        <f>IFERROR(VLOOKUP(TEXT(O391,"0"),CONDUCTORES!$A$3:$G$54,2,0),"")</f>
        <v/>
      </c>
      <c r="Q391" s="332">
        <f>IFERROR(VLOOKUP(TEXT(O391,"0"),CONDUCTORES!$A$3:$H$54,6,0),"")</f>
        <v/>
      </c>
      <c r="R391" s="334" t="n"/>
      <c r="S391" s="334" t="n"/>
      <c r="T391" s="334" t="n"/>
      <c r="U391" s="334" t="n"/>
      <c r="V391" s="334" t="n"/>
      <c r="W391" s="334" t="n"/>
      <c r="X391" s="334" t="n"/>
      <c r="Y391" s="334" t="n"/>
      <c r="Z391" s="375">
        <f>IF(AND(G391&lt;&gt;"",R391&lt;&gt;"",V391&lt;&gt;"",W391&lt;&gt;""),"COMPLETADO","OBSERVADO")</f>
        <v/>
      </c>
    </row>
    <row r="392" ht="15" customHeight="1" s="195">
      <c r="A392" s="280" t="n"/>
      <c r="B392" s="280" t="n"/>
      <c r="C392" s="280" t="n"/>
      <c r="D392" s="280" t="n"/>
      <c r="E392" s="280" t="n"/>
      <c r="F392" s="280" t="n"/>
      <c r="G392" s="280" t="n"/>
      <c r="H392" s="280" t="n"/>
      <c r="I392" s="332">
        <f>IFERROR(VLOOKUP(TEXT(H392,"0"),IPRESS!$A$3:$B$212,2,0),"")</f>
        <v/>
      </c>
      <c r="J392" s="280" t="n"/>
      <c r="K392" s="332">
        <f>IFERROR(VLOOKUP(TEXT(O392,"0"),CONDUCTORES!$A$3:$G$54,7,0),"")</f>
        <v/>
      </c>
      <c r="L392" s="280" t="n"/>
      <c r="M392" s="280" t="n"/>
      <c r="N392" s="333">
        <f>IFERROR(IF(L392*M392=0,"",L392*M392),"")</f>
        <v/>
      </c>
      <c r="O392" s="280" t="n"/>
      <c r="P392" s="332">
        <f>IFERROR(VLOOKUP(TEXT(O392,"0"),CONDUCTORES!$A$3:$G$54,2,0),"")</f>
        <v/>
      </c>
      <c r="Q392" s="332">
        <f>IFERROR(VLOOKUP(TEXT(O392,"0"),CONDUCTORES!$A$3:$H$54,6,0),"")</f>
        <v/>
      </c>
      <c r="R392" s="280" t="n"/>
      <c r="S392" s="280" t="n"/>
      <c r="T392" s="280" t="n"/>
      <c r="U392" s="280" t="n"/>
      <c r="V392" s="280" t="n"/>
      <c r="W392" s="280" t="n"/>
      <c r="X392" s="280" t="n"/>
      <c r="Y392" s="280" t="n"/>
      <c r="Z392" s="375">
        <f>IF(AND(G392&lt;&gt;"",R392&lt;&gt;"",V392&lt;&gt;"",W392&lt;&gt;""),"COMPLETADO","OBSERVADO")</f>
        <v/>
      </c>
    </row>
    <row r="393" ht="15" customHeight="1" s="195">
      <c r="A393" s="334" t="n"/>
      <c r="B393" s="334" t="n"/>
      <c r="C393" s="334" t="n"/>
      <c r="D393" s="334" t="n"/>
      <c r="E393" s="334" t="n"/>
      <c r="F393" s="334" t="n"/>
      <c r="G393" s="334" t="n"/>
      <c r="H393" s="334" t="n"/>
      <c r="I393" s="332">
        <f>IFERROR(VLOOKUP(TEXT(H393,"0"),IPRESS!$A$3:$B$212,2,0),"")</f>
        <v/>
      </c>
      <c r="J393" s="334" t="n"/>
      <c r="K393" s="332">
        <f>IFERROR(VLOOKUP(TEXT(O393,"0"),CONDUCTORES!$A$3:$G$54,7,0),"")</f>
        <v/>
      </c>
      <c r="L393" s="334" t="n"/>
      <c r="M393" s="334" t="n"/>
      <c r="N393" s="333">
        <f>IFERROR(IF(L393*M393=0,"",L393*M393),"")</f>
        <v/>
      </c>
      <c r="O393" s="334" t="n"/>
      <c r="P393" s="332">
        <f>IFERROR(VLOOKUP(TEXT(O393,"0"),CONDUCTORES!$A$3:$G$54,2,0),"")</f>
        <v/>
      </c>
      <c r="Q393" s="332">
        <f>IFERROR(VLOOKUP(TEXT(O393,"0"),CONDUCTORES!$A$3:$H$54,6,0),"")</f>
        <v/>
      </c>
      <c r="R393" s="334" t="n"/>
      <c r="S393" s="334" t="n"/>
      <c r="T393" s="334" t="n"/>
      <c r="U393" s="334" t="n"/>
      <c r="V393" s="334" t="n"/>
      <c r="W393" s="334" t="n"/>
      <c r="X393" s="334" t="n"/>
      <c r="Y393" s="334" t="n"/>
      <c r="Z393" s="375">
        <f>IF(AND(G393&lt;&gt;"",R393&lt;&gt;"",V393&lt;&gt;"",W393&lt;&gt;""),"COMPLETADO","OBSERVADO")</f>
        <v/>
      </c>
    </row>
    <row r="394" ht="15" customHeight="1" s="195">
      <c r="A394" s="280" t="n"/>
      <c r="B394" s="280" t="n"/>
      <c r="C394" s="280" t="n"/>
      <c r="D394" s="280" t="n"/>
      <c r="E394" s="280" t="n"/>
      <c r="F394" s="280" t="n"/>
      <c r="G394" s="280" t="n"/>
      <c r="H394" s="280" t="n"/>
      <c r="I394" s="332">
        <f>IFERROR(VLOOKUP(TEXT(H394,"0"),IPRESS!$A$3:$B$212,2,0),"")</f>
        <v/>
      </c>
      <c r="J394" s="280" t="n"/>
      <c r="K394" s="332">
        <f>IFERROR(VLOOKUP(TEXT(O394,"0"),CONDUCTORES!$A$3:$G$54,7,0),"")</f>
        <v/>
      </c>
      <c r="L394" s="280" t="n"/>
      <c r="M394" s="280" t="n"/>
      <c r="N394" s="333">
        <f>IFERROR(IF(L394*M394=0,"",L394*M394),"")</f>
        <v/>
      </c>
      <c r="O394" s="280" t="n"/>
      <c r="P394" s="332">
        <f>IFERROR(VLOOKUP(TEXT(O394,"0"),CONDUCTORES!$A$3:$G$54,2,0),"")</f>
        <v/>
      </c>
      <c r="Q394" s="332">
        <f>IFERROR(VLOOKUP(TEXT(O394,"0"),CONDUCTORES!$A$3:$H$54,6,0),"")</f>
        <v/>
      </c>
      <c r="R394" s="280" t="n"/>
      <c r="S394" s="280" t="n"/>
      <c r="T394" s="280" t="n"/>
      <c r="U394" s="280" t="n"/>
      <c r="V394" s="280" t="n"/>
      <c r="W394" s="280" t="n"/>
      <c r="X394" s="280" t="n"/>
      <c r="Y394" s="280" t="n"/>
      <c r="Z394" s="375">
        <f>IF(AND(G394&lt;&gt;"",R394&lt;&gt;"",V394&lt;&gt;"",W394&lt;&gt;""),"COMPLETADO","OBSERVADO")</f>
        <v/>
      </c>
    </row>
    <row r="395" ht="15" customHeight="1" s="195">
      <c r="A395" s="334" t="n"/>
      <c r="B395" s="334" t="n"/>
      <c r="C395" s="334" t="n"/>
      <c r="D395" s="334" t="n"/>
      <c r="E395" s="334" t="n"/>
      <c r="F395" s="334" t="n"/>
      <c r="G395" s="334" t="n"/>
      <c r="H395" s="334" t="n"/>
      <c r="I395" s="332">
        <f>IFERROR(VLOOKUP(TEXT(H395,"0"),IPRESS!$A$3:$B$212,2,0),"")</f>
        <v/>
      </c>
      <c r="J395" s="334" t="n"/>
      <c r="K395" s="332">
        <f>IFERROR(VLOOKUP(TEXT(O395,"0"),CONDUCTORES!$A$3:$G$54,7,0),"")</f>
        <v/>
      </c>
      <c r="L395" s="334" t="n"/>
      <c r="M395" s="334" t="n"/>
      <c r="N395" s="333">
        <f>IFERROR(IF(L395*M395=0,"",L395*M395),"")</f>
        <v/>
      </c>
      <c r="O395" s="334" t="n"/>
      <c r="P395" s="332">
        <f>IFERROR(VLOOKUP(TEXT(O395,"0"),CONDUCTORES!$A$3:$G$54,2,0),"")</f>
        <v/>
      </c>
      <c r="Q395" s="332">
        <f>IFERROR(VLOOKUP(TEXT(O395,"0"),CONDUCTORES!$A$3:$H$54,6,0),"")</f>
        <v/>
      </c>
      <c r="R395" s="334" t="n"/>
      <c r="S395" s="334" t="n"/>
      <c r="T395" s="334" t="n"/>
      <c r="U395" s="334" t="n"/>
      <c r="V395" s="334" t="n"/>
      <c r="W395" s="334" t="n"/>
      <c r="X395" s="334" t="n"/>
      <c r="Y395" s="334" t="n"/>
      <c r="Z395" s="375">
        <f>IF(AND(G395&lt;&gt;"",R395&lt;&gt;"",V395&lt;&gt;"",W395&lt;&gt;""),"COMPLETADO","OBSERVADO")</f>
        <v/>
      </c>
    </row>
    <row r="396" ht="15" customHeight="1" s="195">
      <c r="A396" s="280" t="n"/>
      <c r="B396" s="280" t="n"/>
      <c r="C396" s="280" t="n"/>
      <c r="D396" s="280" t="n"/>
      <c r="E396" s="280" t="n"/>
      <c r="F396" s="280" t="n"/>
      <c r="G396" s="280" t="n"/>
      <c r="H396" s="280" t="n"/>
      <c r="I396" s="332">
        <f>IFERROR(VLOOKUP(TEXT(H396,"0"),IPRESS!$A$3:$B$212,2,0),"")</f>
        <v/>
      </c>
      <c r="J396" s="280" t="n"/>
      <c r="K396" s="332">
        <f>IFERROR(VLOOKUP(TEXT(O396,"0"),CONDUCTORES!$A$3:$G$54,7,0),"")</f>
        <v/>
      </c>
      <c r="L396" s="280" t="n"/>
      <c r="M396" s="280" t="n"/>
      <c r="N396" s="333">
        <f>IFERROR(IF(L396*M396=0,"",L396*M396),"")</f>
        <v/>
      </c>
      <c r="O396" s="280" t="n"/>
      <c r="P396" s="332">
        <f>IFERROR(VLOOKUP(TEXT(O396,"0"),CONDUCTORES!$A$3:$G$54,2,0),"")</f>
        <v/>
      </c>
      <c r="Q396" s="332">
        <f>IFERROR(VLOOKUP(TEXT(O396,"0"),CONDUCTORES!$A$3:$H$54,6,0),"")</f>
        <v/>
      </c>
      <c r="R396" s="280" t="n"/>
      <c r="S396" s="280" t="n"/>
      <c r="T396" s="280" t="n"/>
      <c r="U396" s="280" t="n"/>
      <c r="V396" s="280" t="n"/>
      <c r="W396" s="280" t="n"/>
      <c r="X396" s="280" t="n"/>
      <c r="Y396" s="280" t="n"/>
      <c r="Z396" s="375">
        <f>IF(AND(G396&lt;&gt;"",R396&lt;&gt;"",V396&lt;&gt;"",W396&lt;&gt;""),"COMPLETADO","OBSERVADO")</f>
        <v/>
      </c>
    </row>
    <row r="397" ht="15" customHeight="1" s="195">
      <c r="A397" s="334" t="n"/>
      <c r="B397" s="334" t="n"/>
      <c r="C397" s="334" t="n"/>
      <c r="D397" s="334" t="n"/>
      <c r="E397" s="334" t="n"/>
      <c r="F397" s="334" t="n"/>
      <c r="G397" s="334" t="n"/>
      <c r="H397" s="334" t="n"/>
      <c r="I397" s="332">
        <f>IFERROR(VLOOKUP(TEXT(H397,"0"),IPRESS!$A$3:$B$212,2,0),"")</f>
        <v/>
      </c>
      <c r="J397" s="334" t="n"/>
      <c r="K397" s="332">
        <f>IFERROR(VLOOKUP(TEXT(O397,"0"),CONDUCTORES!$A$3:$G$54,7,0),"")</f>
        <v/>
      </c>
      <c r="L397" s="334" t="n"/>
      <c r="M397" s="334" t="n"/>
      <c r="N397" s="333">
        <f>IFERROR(IF(L397*M397=0,"",L397*M397),"")</f>
        <v/>
      </c>
      <c r="O397" s="334" t="n"/>
      <c r="P397" s="332">
        <f>IFERROR(VLOOKUP(TEXT(O397,"0"),CONDUCTORES!$A$3:$G$54,2,0),"")</f>
        <v/>
      </c>
      <c r="Q397" s="332">
        <f>IFERROR(VLOOKUP(TEXT(O397,"0"),CONDUCTORES!$A$3:$H$54,6,0),"")</f>
        <v/>
      </c>
      <c r="R397" s="334" t="n"/>
      <c r="S397" s="334" t="n"/>
      <c r="T397" s="334" t="n"/>
      <c r="U397" s="334" t="n"/>
      <c r="V397" s="334" t="n"/>
      <c r="W397" s="334" t="n"/>
      <c r="X397" s="334" t="n"/>
      <c r="Y397" s="334" t="n"/>
      <c r="Z397" s="375">
        <f>IF(AND(G397&lt;&gt;"",R397&lt;&gt;"",V397&lt;&gt;"",W397&lt;&gt;""),"COMPLETADO","OBSERVADO")</f>
        <v/>
      </c>
    </row>
    <row r="398" ht="15" customHeight="1" s="195">
      <c r="A398" s="280" t="n"/>
      <c r="B398" s="280" t="n"/>
      <c r="C398" s="280" t="n"/>
      <c r="D398" s="280" t="n"/>
      <c r="E398" s="280" t="n"/>
      <c r="F398" s="280" t="n"/>
      <c r="G398" s="280" t="n"/>
      <c r="H398" s="280" t="n"/>
      <c r="I398" s="332">
        <f>IFERROR(VLOOKUP(TEXT(H398,"0"),IPRESS!$A$3:$B$212,2,0),"")</f>
        <v/>
      </c>
      <c r="J398" s="280" t="n"/>
      <c r="K398" s="332">
        <f>IFERROR(VLOOKUP(TEXT(O398,"0"),CONDUCTORES!$A$3:$G$54,7,0),"")</f>
        <v/>
      </c>
      <c r="L398" s="280" t="n"/>
      <c r="M398" s="280" t="n"/>
      <c r="N398" s="333">
        <f>IFERROR(IF(L398*M398=0,"",L398*M398),"")</f>
        <v/>
      </c>
      <c r="O398" s="280" t="n"/>
      <c r="P398" s="332">
        <f>IFERROR(VLOOKUP(TEXT(O398,"0"),CONDUCTORES!$A$3:$G$54,2,0),"")</f>
        <v/>
      </c>
      <c r="Q398" s="332">
        <f>IFERROR(VLOOKUP(TEXT(O398,"0"),CONDUCTORES!$A$3:$H$54,6,0),"")</f>
        <v/>
      </c>
      <c r="R398" s="280" t="n"/>
      <c r="S398" s="280" t="n"/>
      <c r="T398" s="280" t="n"/>
      <c r="U398" s="280" t="n"/>
      <c r="V398" s="280" t="n"/>
      <c r="W398" s="280" t="n"/>
      <c r="X398" s="280" t="n"/>
      <c r="Y398" s="280" t="n"/>
      <c r="Z398" s="375">
        <f>IF(AND(G398&lt;&gt;"",R398&lt;&gt;"",V398&lt;&gt;"",W398&lt;&gt;""),"COMPLETADO","OBSERVADO")</f>
        <v/>
      </c>
    </row>
    <row r="399" ht="15" customHeight="1" s="195">
      <c r="A399" s="334" t="n"/>
      <c r="B399" s="334" t="n"/>
      <c r="C399" s="334" t="n"/>
      <c r="D399" s="334" t="n"/>
      <c r="E399" s="334" t="n"/>
      <c r="F399" s="334" t="n"/>
      <c r="G399" s="334" t="n"/>
      <c r="H399" s="334" t="n"/>
      <c r="I399" s="332">
        <f>IFERROR(VLOOKUP(TEXT(H399,"0"),IPRESS!$A$3:$B$212,2,0),"")</f>
        <v/>
      </c>
      <c r="J399" s="334" t="n"/>
      <c r="K399" s="332">
        <f>IFERROR(VLOOKUP(TEXT(O399,"0"),CONDUCTORES!$A$3:$G$54,7,0),"")</f>
        <v/>
      </c>
      <c r="L399" s="334" t="n"/>
      <c r="M399" s="334" t="n"/>
      <c r="N399" s="333">
        <f>IFERROR(IF(L399*M399=0,"",L399*M399),"")</f>
        <v/>
      </c>
      <c r="O399" s="334" t="n"/>
      <c r="P399" s="332">
        <f>IFERROR(VLOOKUP(TEXT(O399,"0"),CONDUCTORES!$A$3:$G$54,2,0),"")</f>
        <v/>
      </c>
      <c r="Q399" s="332">
        <f>IFERROR(VLOOKUP(TEXT(O399,"0"),CONDUCTORES!$A$3:$H$54,6,0),"")</f>
        <v/>
      </c>
      <c r="R399" s="334" t="n"/>
      <c r="S399" s="334" t="n"/>
      <c r="T399" s="334" t="n"/>
      <c r="U399" s="334" t="n"/>
      <c r="V399" s="334" t="n"/>
      <c r="W399" s="334" t="n"/>
      <c r="X399" s="334" t="n"/>
      <c r="Y399" s="334" t="n"/>
      <c r="Z399" s="375">
        <f>IF(AND(G399&lt;&gt;"",R399&lt;&gt;"",V399&lt;&gt;"",W399&lt;&gt;""),"COMPLETADO","OBSERVADO")</f>
        <v/>
      </c>
    </row>
    <row r="400" ht="15" customHeight="1" s="195">
      <c r="A400" s="280" t="n"/>
      <c r="B400" s="280" t="n"/>
      <c r="C400" s="280" t="n"/>
      <c r="D400" s="280" t="n"/>
      <c r="E400" s="280" t="n"/>
      <c r="F400" s="280" t="n"/>
      <c r="G400" s="280" t="n"/>
      <c r="H400" s="280" t="n"/>
      <c r="I400" s="332">
        <f>IFERROR(VLOOKUP(TEXT(H400,"0"),IPRESS!$A$3:$B$212,2,0),"")</f>
        <v/>
      </c>
      <c r="J400" s="280" t="n"/>
      <c r="K400" s="332">
        <f>IFERROR(VLOOKUP(TEXT(O400,"0"),CONDUCTORES!$A$3:$G$54,7,0),"")</f>
        <v/>
      </c>
      <c r="L400" s="280" t="n"/>
      <c r="M400" s="280" t="n"/>
      <c r="N400" s="333">
        <f>IFERROR(IF(L400*M400=0,"",L400*M400),"")</f>
        <v/>
      </c>
      <c r="O400" s="280" t="n"/>
      <c r="P400" s="332">
        <f>IFERROR(VLOOKUP(TEXT(O400,"0"),CONDUCTORES!$A$3:$G$54,2,0),"")</f>
        <v/>
      </c>
      <c r="Q400" s="332">
        <f>IFERROR(VLOOKUP(TEXT(O400,"0"),CONDUCTORES!$A$3:$H$54,6,0),"")</f>
        <v/>
      </c>
      <c r="R400" s="280" t="n"/>
      <c r="S400" s="280" t="n"/>
      <c r="T400" s="280" t="n"/>
      <c r="U400" s="280" t="n"/>
      <c r="V400" s="280" t="n"/>
      <c r="W400" s="280" t="n"/>
      <c r="X400" s="280" t="n"/>
      <c r="Y400" s="280" t="n"/>
      <c r="Z400" s="375">
        <f>IF(AND(G400&lt;&gt;"",R400&lt;&gt;"",V400&lt;&gt;"",W400&lt;&gt;""),"COMPLETADO","OBSERVADO")</f>
        <v/>
      </c>
    </row>
    <row r="401" ht="15" customHeight="1" s="195">
      <c r="A401" s="334" t="n"/>
      <c r="B401" s="334" t="n"/>
      <c r="C401" s="334" t="n"/>
      <c r="D401" s="334" t="n"/>
      <c r="E401" s="334" t="n"/>
      <c r="F401" s="334" t="n"/>
      <c r="G401" s="334" t="n"/>
      <c r="H401" s="334" t="n"/>
      <c r="I401" s="332">
        <f>IFERROR(VLOOKUP(TEXT(H401,"0"),IPRESS!$A$3:$B$212,2,0),"")</f>
        <v/>
      </c>
      <c r="J401" s="334" t="n"/>
      <c r="K401" s="332">
        <f>IFERROR(VLOOKUP(TEXT(O401,"0"),CONDUCTORES!$A$3:$G$54,7,0),"")</f>
        <v/>
      </c>
      <c r="L401" s="334" t="n"/>
      <c r="M401" s="334" t="n"/>
      <c r="N401" s="333">
        <f>IFERROR(IF(L401*M401=0,"",L401*M401),"")</f>
        <v/>
      </c>
      <c r="O401" s="334" t="n"/>
      <c r="P401" s="332">
        <f>IFERROR(VLOOKUP(TEXT(O401,"0"),CONDUCTORES!$A$3:$G$54,2,0),"")</f>
        <v/>
      </c>
      <c r="Q401" s="332">
        <f>IFERROR(VLOOKUP(TEXT(O401,"0"),CONDUCTORES!$A$3:$H$54,6,0),"")</f>
        <v/>
      </c>
      <c r="R401" s="334" t="n"/>
      <c r="S401" s="334" t="n"/>
      <c r="T401" s="334" t="n"/>
      <c r="U401" s="334" t="n"/>
      <c r="V401" s="334" t="n"/>
      <c r="W401" s="334" t="n"/>
      <c r="X401" s="334" t="n"/>
      <c r="Y401" s="334" t="n"/>
      <c r="Z401" s="375">
        <f>IF(AND(G401&lt;&gt;"",R401&lt;&gt;"",V401&lt;&gt;"",W401&lt;&gt;""),"COMPLETADO","OBSERVADO")</f>
        <v/>
      </c>
    </row>
    <row r="402" ht="15" customHeight="1" s="195">
      <c r="A402" s="280" t="n"/>
      <c r="B402" s="280" t="n"/>
      <c r="C402" s="280" t="n"/>
      <c r="D402" s="280" t="n"/>
      <c r="E402" s="280" t="n"/>
      <c r="F402" s="280" t="n"/>
      <c r="G402" s="280" t="n"/>
      <c r="H402" s="280" t="n"/>
      <c r="I402" s="332">
        <f>IFERROR(VLOOKUP(TEXT(H402,"0"),IPRESS!$A$3:$B$212,2,0),"")</f>
        <v/>
      </c>
      <c r="J402" s="280" t="n"/>
      <c r="K402" s="332">
        <f>IFERROR(VLOOKUP(TEXT(O402,"0"),CONDUCTORES!$A$3:$G$54,7,0),"")</f>
        <v/>
      </c>
      <c r="L402" s="280" t="n"/>
      <c r="M402" s="280" t="n"/>
      <c r="N402" s="333">
        <f>IFERROR(IF(L402*M402=0,"",L402*M402),"")</f>
        <v/>
      </c>
      <c r="O402" s="280" t="n"/>
      <c r="P402" s="332">
        <f>IFERROR(VLOOKUP(TEXT(O402,"0"),CONDUCTORES!$A$3:$G$54,2,0),"")</f>
        <v/>
      </c>
      <c r="Q402" s="332">
        <f>IFERROR(VLOOKUP(TEXT(O402,"0"),CONDUCTORES!$A$3:$H$54,6,0),"")</f>
        <v/>
      </c>
      <c r="R402" s="280" t="n"/>
      <c r="S402" s="280" t="n"/>
      <c r="T402" s="280" t="n"/>
      <c r="U402" s="280" t="n"/>
      <c r="V402" s="280" t="n"/>
      <c r="W402" s="280" t="n"/>
      <c r="X402" s="280" t="n"/>
      <c r="Y402" s="280" t="n"/>
      <c r="Z402" s="375">
        <f>IF(AND(G402&lt;&gt;"",R402&lt;&gt;"",V402&lt;&gt;"",W402&lt;&gt;""),"COMPLETADO","OBSERVADO")</f>
        <v/>
      </c>
    </row>
    <row r="403" ht="15" customHeight="1" s="195">
      <c r="A403" s="334" t="n"/>
      <c r="B403" s="334" t="n"/>
      <c r="C403" s="334" t="n"/>
      <c r="D403" s="334" t="n"/>
      <c r="E403" s="334" t="n"/>
      <c r="F403" s="334" t="n"/>
      <c r="G403" s="334" t="n"/>
      <c r="H403" s="334" t="n"/>
      <c r="I403" s="332">
        <f>IFERROR(VLOOKUP(TEXT(H403,"0"),IPRESS!$A$3:$B$212,2,0),"")</f>
        <v/>
      </c>
      <c r="J403" s="334" t="n"/>
      <c r="K403" s="332">
        <f>IFERROR(VLOOKUP(TEXT(O403,"0"),CONDUCTORES!$A$3:$G$54,7,0),"")</f>
        <v/>
      </c>
      <c r="L403" s="334" t="n"/>
      <c r="M403" s="334" t="n"/>
      <c r="N403" s="333">
        <f>IFERROR(IF(L403*M403=0,"",L403*M403),"")</f>
        <v/>
      </c>
      <c r="O403" s="334" t="n"/>
      <c r="P403" s="332">
        <f>IFERROR(VLOOKUP(TEXT(O403,"0"),CONDUCTORES!$A$3:$G$54,2,0),"")</f>
        <v/>
      </c>
      <c r="Q403" s="332">
        <f>IFERROR(VLOOKUP(TEXT(O403,"0"),CONDUCTORES!$A$3:$H$54,6,0),"")</f>
        <v/>
      </c>
      <c r="R403" s="334" t="n"/>
      <c r="S403" s="334" t="n"/>
      <c r="T403" s="334" t="n"/>
      <c r="U403" s="334" t="n"/>
      <c r="V403" s="334" t="n"/>
      <c r="W403" s="334" t="n"/>
      <c r="X403" s="334" t="n"/>
      <c r="Y403" s="334" t="n"/>
      <c r="Z403" s="375">
        <f>IF(AND(G403&lt;&gt;"",R403&lt;&gt;"",V403&lt;&gt;"",W403&lt;&gt;""),"COMPLETADO","OBSERVADO")</f>
        <v/>
      </c>
    </row>
    <row r="404" ht="15" customHeight="1" s="195">
      <c r="A404" s="280" t="n"/>
      <c r="B404" s="280" t="n"/>
      <c r="C404" s="280" t="n"/>
      <c r="D404" s="280" t="n"/>
      <c r="E404" s="280" t="n"/>
      <c r="F404" s="280" t="n"/>
      <c r="G404" s="280" t="n"/>
      <c r="H404" s="280" t="n"/>
      <c r="I404" s="332">
        <f>IFERROR(VLOOKUP(TEXT(H404,"0"),IPRESS!$A$3:$B$212,2,0),"")</f>
        <v/>
      </c>
      <c r="J404" s="280" t="n"/>
      <c r="K404" s="332">
        <f>IFERROR(VLOOKUP(TEXT(O404,"0"),CONDUCTORES!$A$3:$G$54,7,0),"")</f>
        <v/>
      </c>
      <c r="L404" s="280" t="n"/>
      <c r="M404" s="280" t="n"/>
      <c r="N404" s="333">
        <f>IFERROR(IF(L404*M404=0,"",L404*M404),"")</f>
        <v/>
      </c>
      <c r="O404" s="280" t="n"/>
      <c r="P404" s="332">
        <f>IFERROR(VLOOKUP(TEXT(O404,"0"),CONDUCTORES!$A$3:$G$54,2,0),"")</f>
        <v/>
      </c>
      <c r="Q404" s="332">
        <f>IFERROR(VLOOKUP(TEXT(O404,"0"),CONDUCTORES!$A$3:$H$54,6,0),"")</f>
        <v/>
      </c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375">
        <f>IF(AND(G404&lt;&gt;"",R404&lt;&gt;"",V404&lt;&gt;"",W404&lt;&gt;""),"COMPLETADO","OBSERVADO")</f>
        <v/>
      </c>
    </row>
    <row r="405" ht="15" customHeight="1" s="195">
      <c r="A405" s="334" t="n"/>
      <c r="B405" s="334" t="n"/>
      <c r="C405" s="334" t="n"/>
      <c r="D405" s="334" t="n"/>
      <c r="E405" s="334" t="n"/>
      <c r="F405" s="334" t="n"/>
      <c r="G405" s="334" t="n"/>
      <c r="H405" s="334" t="n"/>
      <c r="I405" s="332">
        <f>IFERROR(VLOOKUP(TEXT(H405,"0"),IPRESS!$A$3:$B$212,2,0),"")</f>
        <v/>
      </c>
      <c r="J405" s="334" t="n"/>
      <c r="K405" s="332">
        <f>IFERROR(VLOOKUP(TEXT(O405,"0"),CONDUCTORES!$A$3:$G$54,7,0),"")</f>
        <v/>
      </c>
      <c r="L405" s="334" t="n"/>
      <c r="M405" s="334" t="n"/>
      <c r="N405" s="333">
        <f>IFERROR(IF(L405*M405=0,"",L405*M405),"")</f>
        <v/>
      </c>
      <c r="O405" s="334" t="n"/>
      <c r="P405" s="332">
        <f>IFERROR(VLOOKUP(TEXT(O405,"0"),CONDUCTORES!$A$3:$G$54,2,0),"")</f>
        <v/>
      </c>
      <c r="Q405" s="332">
        <f>IFERROR(VLOOKUP(TEXT(O405,"0"),CONDUCTORES!$A$3:$H$54,6,0),"")</f>
        <v/>
      </c>
      <c r="R405" s="334" t="n"/>
      <c r="S405" s="334" t="n"/>
      <c r="T405" s="334" t="n"/>
      <c r="U405" s="334" t="n"/>
      <c r="V405" s="334" t="n"/>
      <c r="W405" s="334" t="n"/>
      <c r="X405" s="334" t="n"/>
      <c r="Y405" s="334" t="n"/>
      <c r="Z405" s="375">
        <f>IF(AND(G405&lt;&gt;"",R405&lt;&gt;"",V405&lt;&gt;"",W405&lt;&gt;""),"COMPLETADO","OBSERVADO")</f>
        <v/>
      </c>
    </row>
    <row r="406" ht="15" customHeight="1" s="195">
      <c r="A406" s="280" t="n"/>
      <c r="B406" s="280" t="n"/>
      <c r="C406" s="280" t="n"/>
      <c r="D406" s="280" t="n"/>
      <c r="E406" s="280" t="n"/>
      <c r="F406" s="280" t="n"/>
      <c r="G406" s="280" t="n"/>
      <c r="H406" s="280" t="n"/>
      <c r="I406" s="332">
        <f>IFERROR(VLOOKUP(TEXT(H406,"0"),IPRESS!$A$3:$B$212,2,0),"")</f>
        <v/>
      </c>
      <c r="J406" s="280" t="n"/>
      <c r="K406" s="332">
        <f>IFERROR(VLOOKUP(TEXT(O406,"0"),CONDUCTORES!$A$3:$G$54,7,0),"")</f>
        <v/>
      </c>
      <c r="L406" s="280" t="n"/>
      <c r="M406" s="280" t="n"/>
      <c r="N406" s="333">
        <f>IFERROR(IF(L406*M406=0,"",L406*M406),"")</f>
        <v/>
      </c>
      <c r="O406" s="280" t="n"/>
      <c r="P406" s="332">
        <f>IFERROR(VLOOKUP(TEXT(O406,"0"),CONDUCTORES!$A$3:$G$54,2,0),"")</f>
        <v/>
      </c>
      <c r="Q406" s="332">
        <f>IFERROR(VLOOKUP(TEXT(O406,"0"),CONDUCTORES!$A$3:$H$54,6,0),"")</f>
        <v/>
      </c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375">
        <f>IF(AND(G406&lt;&gt;"",R406&lt;&gt;"",V406&lt;&gt;"",W406&lt;&gt;""),"COMPLETADO","OBSERVADO")</f>
        <v/>
      </c>
    </row>
    <row r="407" ht="15" customHeight="1" s="195">
      <c r="A407" s="334" t="n"/>
      <c r="B407" s="334" t="n"/>
      <c r="C407" s="334" t="n"/>
      <c r="D407" s="334" t="n"/>
      <c r="E407" s="334" t="n"/>
      <c r="F407" s="334" t="n"/>
      <c r="G407" s="334" t="n"/>
      <c r="H407" s="334" t="n"/>
      <c r="I407" s="332">
        <f>IFERROR(VLOOKUP(TEXT(H407,"0"),IPRESS!$A$3:$B$212,2,0),"")</f>
        <v/>
      </c>
      <c r="J407" s="334" t="n"/>
      <c r="K407" s="332">
        <f>IFERROR(VLOOKUP(TEXT(O407,"0"),CONDUCTORES!$A$3:$G$54,7,0),"")</f>
        <v/>
      </c>
      <c r="L407" s="334" t="n"/>
      <c r="M407" s="334" t="n"/>
      <c r="N407" s="333">
        <f>IFERROR(IF(L407*M407=0,"",L407*M407),"")</f>
        <v/>
      </c>
      <c r="O407" s="334" t="n"/>
      <c r="P407" s="332">
        <f>IFERROR(VLOOKUP(TEXT(O407,"0"),CONDUCTORES!$A$3:$G$54,2,0),"")</f>
        <v/>
      </c>
      <c r="Q407" s="332">
        <f>IFERROR(VLOOKUP(TEXT(O407,"0"),CONDUCTORES!$A$3:$H$54,6,0),"")</f>
        <v/>
      </c>
      <c r="R407" s="334" t="n"/>
      <c r="S407" s="334" t="n"/>
      <c r="T407" s="334" t="n"/>
      <c r="U407" s="334" t="n"/>
      <c r="V407" s="334" t="n"/>
      <c r="W407" s="334" t="n"/>
      <c r="X407" s="334" t="n"/>
      <c r="Y407" s="334" t="n"/>
      <c r="Z407" s="375">
        <f>IF(AND(G407&lt;&gt;"",R407&lt;&gt;"",V407&lt;&gt;"",W407&lt;&gt;""),"COMPLETADO","OBSERVADO")</f>
        <v/>
      </c>
    </row>
    <row r="408" ht="15" customHeight="1" s="195">
      <c r="A408" s="280" t="n"/>
      <c r="B408" s="280" t="n"/>
      <c r="C408" s="280" t="n"/>
      <c r="D408" s="280" t="n"/>
      <c r="E408" s="280" t="n"/>
      <c r="F408" s="280" t="n"/>
      <c r="G408" s="280" t="n"/>
      <c r="H408" s="280" t="n"/>
      <c r="I408" s="332">
        <f>IFERROR(VLOOKUP(TEXT(H408,"0"),IPRESS!$A$3:$B$212,2,0),"")</f>
        <v/>
      </c>
      <c r="J408" s="280" t="n"/>
      <c r="K408" s="332">
        <f>IFERROR(VLOOKUP(TEXT(O408,"0"),CONDUCTORES!$A$3:$G$54,7,0),"")</f>
        <v/>
      </c>
      <c r="L408" s="280" t="n"/>
      <c r="M408" s="280" t="n"/>
      <c r="N408" s="333">
        <f>IFERROR(IF(L408*M408=0,"",L408*M408),"")</f>
        <v/>
      </c>
      <c r="O408" s="280" t="n"/>
      <c r="P408" s="332">
        <f>IFERROR(VLOOKUP(TEXT(O408,"0"),CONDUCTORES!$A$3:$G$54,2,0),"")</f>
        <v/>
      </c>
      <c r="Q408" s="332">
        <f>IFERROR(VLOOKUP(TEXT(O408,"0"),CONDUCTORES!$A$3:$H$54,6,0),"")</f>
        <v/>
      </c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375">
        <f>IF(AND(G408&lt;&gt;"",R408&lt;&gt;"",V408&lt;&gt;"",W408&lt;&gt;""),"COMPLETADO","OBSERVADO")</f>
        <v/>
      </c>
    </row>
    <row r="409" ht="15" customHeight="1" s="195">
      <c r="A409" s="334" t="n"/>
      <c r="B409" s="334" t="n"/>
      <c r="C409" s="334" t="n"/>
      <c r="D409" s="334" t="n"/>
      <c r="E409" s="334" t="n"/>
      <c r="F409" s="334" t="n"/>
      <c r="G409" s="334" t="n"/>
      <c r="H409" s="334" t="n"/>
      <c r="I409" s="332">
        <f>IFERROR(VLOOKUP(TEXT(H409,"0"),IPRESS!$A$3:$B$212,2,0),"")</f>
        <v/>
      </c>
      <c r="J409" s="334" t="n"/>
      <c r="K409" s="332">
        <f>IFERROR(VLOOKUP(TEXT(O409,"0"),CONDUCTORES!$A$3:$G$54,7,0),"")</f>
        <v/>
      </c>
      <c r="L409" s="334" t="n"/>
      <c r="M409" s="334" t="n"/>
      <c r="N409" s="333">
        <f>IFERROR(IF(L409*M409=0,"",L409*M409),"")</f>
        <v/>
      </c>
      <c r="O409" s="334" t="n"/>
      <c r="P409" s="332">
        <f>IFERROR(VLOOKUP(TEXT(O409,"0"),CONDUCTORES!$A$3:$G$54,2,0),"")</f>
        <v/>
      </c>
      <c r="Q409" s="332">
        <f>IFERROR(VLOOKUP(TEXT(O409,"0"),CONDUCTORES!$A$3:$H$54,6,0),"")</f>
        <v/>
      </c>
      <c r="R409" s="334" t="n"/>
      <c r="S409" s="334" t="n"/>
      <c r="T409" s="334" t="n"/>
      <c r="U409" s="334" t="n"/>
      <c r="V409" s="334" t="n"/>
      <c r="W409" s="334" t="n"/>
      <c r="X409" s="334" t="n"/>
      <c r="Y409" s="334" t="n"/>
      <c r="Z409" s="375">
        <f>IF(AND(G409&lt;&gt;"",R409&lt;&gt;"",V409&lt;&gt;"",W409&lt;&gt;""),"COMPLETADO","OBSERVADO")</f>
        <v/>
      </c>
    </row>
    <row r="410" ht="15" customHeight="1" s="195">
      <c r="A410" s="280" t="n"/>
      <c r="B410" s="280" t="n"/>
      <c r="C410" s="280" t="n"/>
      <c r="D410" s="280" t="n"/>
      <c r="E410" s="280" t="n"/>
      <c r="F410" s="280" t="n"/>
      <c r="G410" s="280" t="n"/>
      <c r="H410" s="280" t="n"/>
      <c r="I410" s="332">
        <f>IFERROR(VLOOKUP(TEXT(H410,"0"),IPRESS!$A$3:$B$212,2,0),"")</f>
        <v/>
      </c>
      <c r="J410" s="280" t="n"/>
      <c r="K410" s="332">
        <f>IFERROR(VLOOKUP(TEXT(O410,"0"),CONDUCTORES!$A$3:$G$54,7,0),"")</f>
        <v/>
      </c>
      <c r="L410" s="280" t="n"/>
      <c r="M410" s="280" t="n"/>
      <c r="N410" s="333">
        <f>IFERROR(IF(L410*M410=0,"",L410*M410),"")</f>
        <v/>
      </c>
      <c r="O410" s="280" t="n"/>
      <c r="P410" s="332">
        <f>IFERROR(VLOOKUP(TEXT(O410,"0"),CONDUCTORES!$A$3:$G$54,2,0),"")</f>
        <v/>
      </c>
      <c r="Q410" s="332">
        <f>IFERROR(VLOOKUP(TEXT(O410,"0"),CONDUCTORES!$A$3:$H$54,6,0),"")</f>
        <v/>
      </c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375">
        <f>IF(AND(G410&lt;&gt;"",R410&lt;&gt;"",V410&lt;&gt;"",W410&lt;&gt;""),"COMPLETADO","OBSERVADO")</f>
        <v/>
      </c>
    </row>
    <row r="411" ht="15" customHeight="1" s="195">
      <c r="A411" s="334" t="n"/>
      <c r="B411" s="334" t="n"/>
      <c r="C411" s="334" t="n"/>
      <c r="D411" s="334" t="n"/>
      <c r="E411" s="334" t="n"/>
      <c r="F411" s="334" t="n"/>
      <c r="G411" s="334" t="n"/>
      <c r="H411" s="334" t="n"/>
      <c r="I411" s="332">
        <f>IFERROR(VLOOKUP(TEXT(H411,"0"),IPRESS!$A$3:$B$212,2,0),"")</f>
        <v/>
      </c>
      <c r="J411" s="334" t="n"/>
      <c r="K411" s="332">
        <f>IFERROR(VLOOKUP(TEXT(O411,"0"),CONDUCTORES!$A$3:$G$54,7,0),"")</f>
        <v/>
      </c>
      <c r="L411" s="334" t="n"/>
      <c r="M411" s="334" t="n"/>
      <c r="N411" s="333">
        <f>IFERROR(IF(L411*M411=0,"",L411*M411),"")</f>
        <v/>
      </c>
      <c r="O411" s="334" t="n"/>
      <c r="P411" s="332">
        <f>IFERROR(VLOOKUP(TEXT(O411,"0"),CONDUCTORES!$A$3:$G$54,2,0),"")</f>
        <v/>
      </c>
      <c r="Q411" s="332">
        <f>IFERROR(VLOOKUP(TEXT(O411,"0"),CONDUCTORES!$A$3:$H$54,6,0),"")</f>
        <v/>
      </c>
      <c r="R411" s="334" t="n"/>
      <c r="S411" s="334" t="n"/>
      <c r="T411" s="334" t="n"/>
      <c r="U411" s="334" t="n"/>
      <c r="V411" s="334" t="n"/>
      <c r="W411" s="334" t="n"/>
      <c r="X411" s="334" t="n"/>
      <c r="Y411" s="334" t="n"/>
      <c r="Z411" s="375">
        <f>IF(AND(G411&lt;&gt;"",R411&lt;&gt;"",V411&lt;&gt;"",W411&lt;&gt;""),"COMPLETADO","OBSERVADO")</f>
        <v/>
      </c>
    </row>
    <row r="412" ht="15" customHeight="1" s="195">
      <c r="A412" s="280" t="n"/>
      <c r="B412" s="280" t="n"/>
      <c r="C412" s="280" t="n"/>
      <c r="D412" s="280" t="n"/>
      <c r="E412" s="280" t="n"/>
      <c r="F412" s="280" t="n"/>
      <c r="G412" s="280" t="n"/>
      <c r="H412" s="280" t="n"/>
      <c r="I412" s="332">
        <f>IFERROR(VLOOKUP(TEXT(H412,"0"),IPRESS!$A$3:$B$212,2,0),"")</f>
        <v/>
      </c>
      <c r="J412" s="280" t="n"/>
      <c r="K412" s="332">
        <f>IFERROR(VLOOKUP(TEXT(O412,"0"),CONDUCTORES!$A$3:$G$54,7,0),"")</f>
        <v/>
      </c>
      <c r="L412" s="280" t="n"/>
      <c r="M412" s="280" t="n"/>
      <c r="N412" s="333">
        <f>IFERROR(IF(L412*M412=0,"",L412*M412),"")</f>
        <v/>
      </c>
      <c r="O412" s="280" t="n"/>
      <c r="P412" s="332">
        <f>IFERROR(VLOOKUP(TEXT(O412,"0"),CONDUCTORES!$A$3:$G$54,2,0),"")</f>
        <v/>
      </c>
      <c r="Q412" s="332">
        <f>IFERROR(VLOOKUP(TEXT(O412,"0"),CONDUCTORES!$A$3:$H$54,6,0),"")</f>
        <v/>
      </c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375">
        <f>IF(AND(G412&lt;&gt;"",R412&lt;&gt;"",V412&lt;&gt;"",W412&lt;&gt;""),"COMPLETADO","OBSERVADO")</f>
        <v/>
      </c>
    </row>
    <row r="413" ht="15" customHeight="1" s="195">
      <c r="A413" s="334" t="n"/>
      <c r="B413" s="334" t="n"/>
      <c r="C413" s="334" t="n"/>
      <c r="D413" s="334" t="n"/>
      <c r="E413" s="334" t="n"/>
      <c r="F413" s="334" t="n"/>
      <c r="G413" s="334" t="n"/>
      <c r="H413" s="334" t="n"/>
      <c r="I413" s="332">
        <f>IFERROR(VLOOKUP(TEXT(H413,"0"),IPRESS!$A$3:$B$212,2,0),"")</f>
        <v/>
      </c>
      <c r="J413" s="334" t="n"/>
      <c r="K413" s="332">
        <f>IFERROR(VLOOKUP(TEXT(O413,"0"),CONDUCTORES!$A$3:$G$54,7,0),"")</f>
        <v/>
      </c>
      <c r="L413" s="334" t="n"/>
      <c r="M413" s="334" t="n"/>
      <c r="N413" s="333">
        <f>IFERROR(IF(L413*M413=0,"",L413*M413),"")</f>
        <v/>
      </c>
      <c r="O413" s="334" t="n"/>
      <c r="P413" s="332">
        <f>IFERROR(VLOOKUP(TEXT(O413,"0"),CONDUCTORES!$A$3:$G$54,2,0),"")</f>
        <v/>
      </c>
      <c r="Q413" s="332">
        <f>IFERROR(VLOOKUP(TEXT(O413,"0"),CONDUCTORES!$A$3:$H$54,6,0),"")</f>
        <v/>
      </c>
      <c r="R413" s="334" t="n"/>
      <c r="S413" s="334" t="n"/>
      <c r="T413" s="334" t="n"/>
      <c r="U413" s="334" t="n"/>
      <c r="V413" s="334" t="n"/>
      <c r="W413" s="334" t="n"/>
      <c r="X413" s="334" t="n"/>
      <c r="Y413" s="334" t="n"/>
      <c r="Z413" s="375">
        <f>IF(AND(G413&lt;&gt;"",R413&lt;&gt;"",V413&lt;&gt;"",W413&lt;&gt;""),"COMPLETADO","OBSERVADO")</f>
        <v/>
      </c>
    </row>
    <row r="414" ht="15" customHeight="1" s="195">
      <c r="A414" s="280" t="n"/>
      <c r="B414" s="280" t="n"/>
      <c r="C414" s="280" t="n"/>
      <c r="D414" s="280" t="n"/>
      <c r="E414" s="280" t="n"/>
      <c r="F414" s="280" t="n"/>
      <c r="G414" s="280" t="n"/>
      <c r="H414" s="280" t="n"/>
      <c r="I414" s="332">
        <f>IFERROR(VLOOKUP(TEXT(H414,"0"),IPRESS!$A$3:$B$212,2,0),"")</f>
        <v/>
      </c>
      <c r="J414" s="280" t="n"/>
      <c r="K414" s="332">
        <f>IFERROR(VLOOKUP(TEXT(O414,"0"),CONDUCTORES!$A$3:$G$54,7,0),"")</f>
        <v/>
      </c>
      <c r="L414" s="280" t="n"/>
      <c r="M414" s="280" t="n"/>
      <c r="N414" s="333">
        <f>IFERROR(IF(L414*M414=0,"",L414*M414),"")</f>
        <v/>
      </c>
      <c r="O414" s="280" t="n"/>
      <c r="P414" s="332">
        <f>IFERROR(VLOOKUP(TEXT(O414,"0"),CONDUCTORES!$A$3:$G$54,2,0),"")</f>
        <v/>
      </c>
      <c r="Q414" s="332">
        <f>IFERROR(VLOOKUP(TEXT(O414,"0"),CONDUCTORES!$A$3:$H$54,6,0),"")</f>
        <v/>
      </c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375">
        <f>IF(AND(G414&lt;&gt;"",R414&lt;&gt;"",V414&lt;&gt;"",W414&lt;&gt;""),"COMPLETADO","OBSERVADO")</f>
        <v/>
      </c>
    </row>
    <row r="415" ht="15" customHeight="1" s="195">
      <c r="A415" s="334" t="n"/>
      <c r="B415" s="334" t="n"/>
      <c r="C415" s="334" t="n"/>
      <c r="D415" s="334" t="n"/>
      <c r="E415" s="334" t="n"/>
      <c r="F415" s="334" t="n"/>
      <c r="G415" s="334" t="n"/>
      <c r="H415" s="334" t="n"/>
      <c r="I415" s="332">
        <f>IFERROR(VLOOKUP(TEXT(H415,"0"),IPRESS!$A$3:$B$212,2,0),"")</f>
        <v/>
      </c>
      <c r="J415" s="334" t="n"/>
      <c r="K415" s="332">
        <f>IFERROR(VLOOKUP(TEXT(O415,"0"),CONDUCTORES!$A$3:$G$54,7,0),"")</f>
        <v/>
      </c>
      <c r="L415" s="334" t="n"/>
      <c r="M415" s="334" t="n"/>
      <c r="N415" s="333">
        <f>IFERROR(IF(L415*M415=0,"",L415*M415),"")</f>
        <v/>
      </c>
      <c r="O415" s="334" t="n"/>
      <c r="P415" s="332">
        <f>IFERROR(VLOOKUP(TEXT(O415,"0"),CONDUCTORES!$A$3:$G$54,2,0),"")</f>
        <v/>
      </c>
      <c r="Q415" s="332">
        <f>IFERROR(VLOOKUP(TEXT(O415,"0"),CONDUCTORES!$A$3:$H$54,6,0),"")</f>
        <v/>
      </c>
      <c r="R415" s="334" t="n"/>
      <c r="S415" s="334" t="n"/>
      <c r="T415" s="334" t="n"/>
      <c r="U415" s="334" t="n"/>
      <c r="V415" s="334" t="n"/>
      <c r="W415" s="334" t="n"/>
      <c r="X415" s="334" t="n"/>
      <c r="Y415" s="334" t="n"/>
      <c r="Z415" s="375">
        <f>IF(AND(G415&lt;&gt;"",R415&lt;&gt;"",V415&lt;&gt;"",W415&lt;&gt;""),"COMPLETADO","OBSERVADO")</f>
        <v/>
      </c>
    </row>
    <row r="416" ht="15" customHeight="1" s="195">
      <c r="A416" s="280" t="n"/>
      <c r="B416" s="280" t="n"/>
      <c r="C416" s="280" t="n"/>
      <c r="D416" s="280" t="n"/>
      <c r="E416" s="280" t="n"/>
      <c r="F416" s="280" t="n"/>
      <c r="G416" s="280" t="n"/>
      <c r="H416" s="280" t="n"/>
      <c r="I416" s="332">
        <f>IFERROR(VLOOKUP(TEXT(H416,"0"),IPRESS!$A$3:$B$212,2,0),"")</f>
        <v/>
      </c>
      <c r="J416" s="280" t="n"/>
      <c r="K416" s="332">
        <f>IFERROR(VLOOKUP(TEXT(O416,"0"),CONDUCTORES!$A$3:$G$54,7,0),"")</f>
        <v/>
      </c>
      <c r="L416" s="280" t="n"/>
      <c r="M416" s="280" t="n"/>
      <c r="N416" s="333">
        <f>IFERROR(IF(L416*M416=0,"",L416*M416),"")</f>
        <v/>
      </c>
      <c r="O416" s="280" t="n"/>
      <c r="P416" s="332">
        <f>IFERROR(VLOOKUP(TEXT(O416,"0"),CONDUCTORES!$A$3:$G$54,2,0),"")</f>
        <v/>
      </c>
      <c r="Q416" s="332">
        <f>IFERROR(VLOOKUP(TEXT(O416,"0"),CONDUCTORES!$A$3:$H$54,6,0),"")</f>
        <v/>
      </c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375">
        <f>IF(AND(G416&lt;&gt;"",R416&lt;&gt;"",V416&lt;&gt;"",W416&lt;&gt;""),"COMPLETADO","OBSERVADO")</f>
        <v/>
      </c>
    </row>
    <row r="417" ht="15" customHeight="1" s="195">
      <c r="A417" s="334" t="n"/>
      <c r="B417" s="334" t="n"/>
      <c r="C417" s="334" t="n"/>
      <c r="D417" s="334" t="n"/>
      <c r="E417" s="334" t="n"/>
      <c r="F417" s="334" t="n"/>
      <c r="G417" s="334" t="n"/>
      <c r="H417" s="334" t="n"/>
      <c r="I417" s="332">
        <f>IFERROR(VLOOKUP(TEXT(H417,"0"),IPRESS!$A$3:$B$212,2,0),"")</f>
        <v/>
      </c>
      <c r="J417" s="334" t="n"/>
      <c r="K417" s="332">
        <f>IFERROR(VLOOKUP(TEXT(O417,"0"),CONDUCTORES!$A$3:$G$54,7,0),"")</f>
        <v/>
      </c>
      <c r="L417" s="334" t="n"/>
      <c r="M417" s="334" t="n"/>
      <c r="N417" s="333">
        <f>IFERROR(IF(L417*M417=0,"",L417*M417),"")</f>
        <v/>
      </c>
      <c r="O417" s="334" t="n"/>
      <c r="P417" s="332">
        <f>IFERROR(VLOOKUP(TEXT(O417,"0"),CONDUCTORES!$A$3:$G$54,2,0),"")</f>
        <v/>
      </c>
      <c r="Q417" s="332">
        <f>IFERROR(VLOOKUP(TEXT(O417,"0"),CONDUCTORES!$A$3:$H$54,6,0),"")</f>
        <v/>
      </c>
      <c r="R417" s="334" t="n"/>
      <c r="S417" s="334" t="n"/>
      <c r="T417" s="334" t="n"/>
      <c r="U417" s="334" t="n"/>
      <c r="V417" s="334" t="n"/>
      <c r="W417" s="334" t="n"/>
      <c r="X417" s="334" t="n"/>
      <c r="Y417" s="334" t="n"/>
      <c r="Z417" s="375">
        <f>IF(AND(G417&lt;&gt;"",R417&lt;&gt;"",V417&lt;&gt;"",W417&lt;&gt;""),"COMPLETADO","OBSERVADO")</f>
        <v/>
      </c>
    </row>
    <row r="418" ht="15" customHeight="1" s="195">
      <c r="A418" s="280" t="n"/>
      <c r="B418" s="280" t="n"/>
      <c r="C418" s="280" t="n"/>
      <c r="D418" s="280" t="n"/>
      <c r="E418" s="280" t="n"/>
      <c r="F418" s="280" t="n"/>
      <c r="G418" s="280" t="n"/>
      <c r="H418" s="280" t="n"/>
      <c r="I418" s="332">
        <f>IFERROR(VLOOKUP(TEXT(H418,"0"),IPRESS!$A$3:$B$212,2,0),"")</f>
        <v/>
      </c>
      <c r="J418" s="280" t="n"/>
      <c r="K418" s="332">
        <f>IFERROR(VLOOKUP(TEXT(O418,"0"),CONDUCTORES!$A$3:$G$54,7,0),"")</f>
        <v/>
      </c>
      <c r="L418" s="280" t="n"/>
      <c r="M418" s="280" t="n"/>
      <c r="N418" s="333">
        <f>IFERROR(IF(L418*M418=0,"",L418*M418),"")</f>
        <v/>
      </c>
      <c r="O418" s="280" t="n"/>
      <c r="P418" s="332">
        <f>IFERROR(VLOOKUP(TEXT(O418,"0"),CONDUCTORES!$A$3:$G$54,2,0),"")</f>
        <v/>
      </c>
      <c r="Q418" s="332">
        <f>IFERROR(VLOOKUP(TEXT(O418,"0"),CONDUCTORES!$A$3:$H$54,6,0),"")</f>
        <v/>
      </c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375">
        <f>IF(AND(G418&lt;&gt;"",R418&lt;&gt;"",V418&lt;&gt;"",W418&lt;&gt;""),"COMPLETADO","OBSERVADO")</f>
        <v/>
      </c>
    </row>
    <row r="419" ht="15" customHeight="1" s="195">
      <c r="A419" s="334" t="n"/>
      <c r="B419" s="334" t="n"/>
      <c r="C419" s="334" t="n"/>
      <c r="D419" s="334" t="n"/>
      <c r="E419" s="334" t="n"/>
      <c r="F419" s="334" t="n"/>
      <c r="G419" s="334" t="n"/>
      <c r="H419" s="334" t="n"/>
      <c r="I419" s="332">
        <f>IFERROR(VLOOKUP(TEXT(H419,"0"),IPRESS!$A$3:$B$212,2,0),"")</f>
        <v/>
      </c>
      <c r="J419" s="334" t="n"/>
      <c r="K419" s="332">
        <f>IFERROR(VLOOKUP(TEXT(O419,"0"),CONDUCTORES!$A$3:$G$54,7,0),"")</f>
        <v/>
      </c>
      <c r="L419" s="334" t="n"/>
      <c r="M419" s="334" t="n"/>
      <c r="N419" s="333">
        <f>IFERROR(IF(L419*M419=0,"",L419*M419),"")</f>
        <v/>
      </c>
      <c r="O419" s="334" t="n"/>
      <c r="P419" s="332">
        <f>IFERROR(VLOOKUP(TEXT(O419,"0"),CONDUCTORES!$A$3:$G$54,2,0),"")</f>
        <v/>
      </c>
      <c r="Q419" s="332">
        <f>IFERROR(VLOOKUP(TEXT(O419,"0"),CONDUCTORES!$A$3:$H$54,6,0),"")</f>
        <v/>
      </c>
      <c r="R419" s="334" t="n"/>
      <c r="S419" s="334" t="n"/>
      <c r="T419" s="334" t="n"/>
      <c r="U419" s="334" t="n"/>
      <c r="V419" s="334" t="n"/>
      <c r="W419" s="334" t="n"/>
      <c r="X419" s="334" t="n"/>
      <c r="Y419" s="334" t="n"/>
      <c r="Z419" s="375">
        <f>IF(AND(G419&lt;&gt;"",R419&lt;&gt;"",V419&lt;&gt;"",W419&lt;&gt;""),"COMPLETADO","OBSERVADO")</f>
        <v/>
      </c>
    </row>
    <row r="420" ht="15" customHeight="1" s="195">
      <c r="A420" s="280" t="n"/>
      <c r="B420" s="280" t="n"/>
      <c r="C420" s="280" t="n"/>
      <c r="D420" s="280" t="n"/>
      <c r="E420" s="280" t="n"/>
      <c r="F420" s="280" t="n"/>
      <c r="G420" s="280" t="n"/>
      <c r="H420" s="280" t="n"/>
      <c r="I420" s="332">
        <f>IFERROR(VLOOKUP(TEXT(H420,"0"),IPRESS!$A$3:$B$212,2,0),"")</f>
        <v/>
      </c>
      <c r="J420" s="280" t="n"/>
      <c r="K420" s="332">
        <f>IFERROR(VLOOKUP(TEXT(O420,"0"),CONDUCTORES!$A$3:$G$54,7,0),"")</f>
        <v/>
      </c>
      <c r="L420" s="280" t="n"/>
      <c r="M420" s="280" t="n"/>
      <c r="N420" s="333">
        <f>IFERROR(IF(L420*M420=0,"",L420*M420),"")</f>
        <v/>
      </c>
      <c r="O420" s="280" t="n"/>
      <c r="P420" s="332">
        <f>IFERROR(VLOOKUP(TEXT(O420,"0"),CONDUCTORES!$A$3:$G$54,2,0),"")</f>
        <v/>
      </c>
      <c r="Q420" s="332">
        <f>IFERROR(VLOOKUP(TEXT(O420,"0"),CONDUCTORES!$A$3:$H$54,6,0),"")</f>
        <v/>
      </c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375">
        <f>IF(AND(G420&lt;&gt;"",R420&lt;&gt;"",V420&lt;&gt;"",W420&lt;&gt;""),"COMPLETADO","OBSERVADO")</f>
        <v/>
      </c>
    </row>
    <row r="421" ht="15" customHeight="1" s="195">
      <c r="A421" s="334" t="n"/>
      <c r="B421" s="334" t="n"/>
      <c r="C421" s="334" t="n"/>
      <c r="D421" s="334" t="n"/>
      <c r="E421" s="334" t="n"/>
      <c r="F421" s="334" t="n"/>
      <c r="G421" s="334" t="n"/>
      <c r="H421" s="334" t="n"/>
      <c r="I421" s="332">
        <f>IFERROR(VLOOKUP(TEXT(H421,"0"),IPRESS!$A$3:$B$212,2,0),"")</f>
        <v/>
      </c>
      <c r="J421" s="334" t="n"/>
      <c r="K421" s="332">
        <f>IFERROR(VLOOKUP(TEXT(O421,"0"),CONDUCTORES!$A$3:$G$54,7,0),"")</f>
        <v/>
      </c>
      <c r="L421" s="334" t="n"/>
      <c r="M421" s="334" t="n"/>
      <c r="N421" s="333">
        <f>IFERROR(IF(L421*M421=0,"",L421*M421),"")</f>
        <v/>
      </c>
      <c r="O421" s="334" t="n"/>
      <c r="P421" s="332">
        <f>IFERROR(VLOOKUP(TEXT(O421,"0"),CONDUCTORES!$A$3:$G$54,2,0),"")</f>
        <v/>
      </c>
      <c r="Q421" s="332">
        <f>IFERROR(VLOOKUP(TEXT(O421,"0"),CONDUCTORES!$A$3:$H$54,6,0),"")</f>
        <v/>
      </c>
      <c r="R421" s="334" t="n"/>
      <c r="S421" s="334" t="n"/>
      <c r="T421" s="334" t="n"/>
      <c r="U421" s="334" t="n"/>
      <c r="V421" s="334" t="n"/>
      <c r="W421" s="334" t="n"/>
      <c r="X421" s="334" t="n"/>
      <c r="Y421" s="334" t="n"/>
      <c r="Z421" s="375">
        <f>IF(AND(G421&lt;&gt;"",R421&lt;&gt;"",V421&lt;&gt;"",W421&lt;&gt;""),"COMPLETADO","OBSERVADO")</f>
        <v/>
      </c>
    </row>
    <row r="422" ht="15" customHeight="1" s="195">
      <c r="A422" s="280" t="n"/>
      <c r="B422" s="280" t="n"/>
      <c r="C422" s="280" t="n"/>
      <c r="D422" s="280" t="n"/>
      <c r="E422" s="280" t="n"/>
      <c r="F422" s="280" t="n"/>
      <c r="G422" s="280" t="n"/>
      <c r="H422" s="280" t="n"/>
      <c r="I422" s="332">
        <f>IFERROR(VLOOKUP(TEXT(H422,"0"),IPRESS!$A$3:$B$212,2,0),"")</f>
        <v/>
      </c>
      <c r="J422" s="280" t="n"/>
      <c r="K422" s="332">
        <f>IFERROR(VLOOKUP(TEXT(O422,"0"),CONDUCTORES!$A$3:$G$54,7,0),"")</f>
        <v/>
      </c>
      <c r="L422" s="280" t="n"/>
      <c r="M422" s="280" t="n"/>
      <c r="N422" s="333">
        <f>IFERROR(IF(L422*M422=0,"",L422*M422),"")</f>
        <v/>
      </c>
      <c r="O422" s="280" t="n"/>
      <c r="P422" s="332">
        <f>IFERROR(VLOOKUP(TEXT(O422,"0"),CONDUCTORES!$A$3:$G$54,2,0),"")</f>
        <v/>
      </c>
      <c r="Q422" s="332">
        <f>IFERROR(VLOOKUP(TEXT(O422,"0"),CONDUCTORES!$A$3:$H$54,6,0),"")</f>
        <v/>
      </c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375">
        <f>IF(AND(G422&lt;&gt;"",R422&lt;&gt;"",V422&lt;&gt;"",W422&lt;&gt;""),"COMPLETADO","OBSERVADO")</f>
        <v/>
      </c>
    </row>
    <row r="423" ht="15" customHeight="1" s="195">
      <c r="A423" s="334" t="n"/>
      <c r="B423" s="334" t="n"/>
      <c r="C423" s="334" t="n"/>
      <c r="D423" s="334" t="n"/>
      <c r="E423" s="334" t="n"/>
      <c r="F423" s="334" t="n"/>
      <c r="G423" s="334" t="n"/>
      <c r="H423" s="334" t="n"/>
      <c r="I423" s="332">
        <f>IFERROR(VLOOKUP(TEXT(H423,"0"),IPRESS!$A$3:$B$212,2,0),"")</f>
        <v/>
      </c>
      <c r="J423" s="334" t="n"/>
      <c r="K423" s="332">
        <f>IFERROR(VLOOKUP(TEXT(O423,"0"),CONDUCTORES!$A$3:$G$54,7,0),"")</f>
        <v/>
      </c>
      <c r="L423" s="334" t="n"/>
      <c r="M423" s="334" t="n"/>
      <c r="N423" s="333">
        <f>IFERROR(IF(L423*M423=0,"",L423*M423),"")</f>
        <v/>
      </c>
      <c r="O423" s="334" t="n"/>
      <c r="P423" s="332">
        <f>IFERROR(VLOOKUP(TEXT(O423,"0"),CONDUCTORES!$A$3:$G$54,2,0),"")</f>
        <v/>
      </c>
      <c r="Q423" s="332">
        <f>IFERROR(VLOOKUP(TEXT(O423,"0"),CONDUCTORES!$A$3:$H$54,6,0),"")</f>
        <v/>
      </c>
      <c r="R423" s="334" t="n"/>
      <c r="S423" s="334" t="n"/>
      <c r="T423" s="334" t="n"/>
      <c r="U423" s="334" t="n"/>
      <c r="V423" s="334" t="n"/>
      <c r="W423" s="334" t="n"/>
      <c r="X423" s="334" t="n"/>
      <c r="Y423" s="334" t="n"/>
      <c r="Z423" s="375">
        <f>IF(AND(G423&lt;&gt;"",R423&lt;&gt;"",V423&lt;&gt;"",W423&lt;&gt;""),"COMPLETADO","OBSERVADO")</f>
        <v/>
      </c>
    </row>
    <row r="424" ht="15" customHeight="1" s="195">
      <c r="A424" s="280" t="n"/>
      <c r="B424" s="280" t="n"/>
      <c r="C424" s="280" t="n"/>
      <c r="D424" s="280" t="n"/>
      <c r="E424" s="280" t="n"/>
      <c r="F424" s="280" t="n"/>
      <c r="G424" s="280" t="n"/>
      <c r="H424" s="280" t="n"/>
      <c r="I424" s="332">
        <f>IFERROR(VLOOKUP(TEXT(H424,"0"),IPRESS!$A$3:$B$212,2,0),"")</f>
        <v/>
      </c>
      <c r="J424" s="280" t="n"/>
      <c r="K424" s="332">
        <f>IFERROR(VLOOKUP(TEXT(O424,"0"),CONDUCTORES!$A$3:$G$54,7,0),"")</f>
        <v/>
      </c>
      <c r="L424" s="280" t="n"/>
      <c r="M424" s="280" t="n"/>
      <c r="N424" s="333">
        <f>IFERROR(IF(L424*M424=0,"",L424*M424),"")</f>
        <v/>
      </c>
      <c r="O424" s="280" t="n"/>
      <c r="P424" s="332">
        <f>IFERROR(VLOOKUP(TEXT(O424,"0"),CONDUCTORES!$A$3:$G$54,2,0),"")</f>
        <v/>
      </c>
      <c r="Q424" s="332">
        <f>IFERROR(VLOOKUP(TEXT(O424,"0"),CONDUCTORES!$A$3:$H$54,6,0),"")</f>
        <v/>
      </c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375">
        <f>IF(AND(G424&lt;&gt;"",R424&lt;&gt;"",V424&lt;&gt;"",W424&lt;&gt;""),"COMPLETADO","OBSERVADO")</f>
        <v/>
      </c>
    </row>
    <row r="425" ht="15" customHeight="1" s="195">
      <c r="A425" s="334" t="n"/>
      <c r="B425" s="334" t="n"/>
      <c r="C425" s="334" t="n"/>
      <c r="D425" s="334" t="n"/>
      <c r="E425" s="334" t="n"/>
      <c r="F425" s="334" t="n"/>
      <c r="G425" s="334" t="n"/>
      <c r="H425" s="334" t="n"/>
      <c r="I425" s="332">
        <f>IFERROR(VLOOKUP(TEXT(H425,"0"),IPRESS!$A$3:$B$212,2,0),"")</f>
        <v/>
      </c>
      <c r="J425" s="334" t="n"/>
      <c r="K425" s="332">
        <f>IFERROR(VLOOKUP(TEXT(O425,"0"),CONDUCTORES!$A$3:$G$54,7,0),"")</f>
        <v/>
      </c>
      <c r="L425" s="334" t="n"/>
      <c r="M425" s="334" t="n"/>
      <c r="N425" s="333">
        <f>IFERROR(IF(L425*M425=0,"",L425*M425),"")</f>
        <v/>
      </c>
      <c r="O425" s="334" t="n"/>
      <c r="P425" s="332">
        <f>IFERROR(VLOOKUP(TEXT(O425,"0"),CONDUCTORES!$A$3:$G$54,2,0),"")</f>
        <v/>
      </c>
      <c r="Q425" s="332">
        <f>IFERROR(VLOOKUP(TEXT(O425,"0"),CONDUCTORES!$A$3:$H$54,6,0),"")</f>
        <v/>
      </c>
      <c r="R425" s="334" t="n"/>
      <c r="S425" s="334" t="n"/>
      <c r="T425" s="334" t="n"/>
      <c r="U425" s="334" t="n"/>
      <c r="V425" s="334" t="n"/>
      <c r="W425" s="334" t="n"/>
      <c r="X425" s="334" t="n"/>
      <c r="Y425" s="334" t="n"/>
      <c r="Z425" s="375">
        <f>IF(AND(G425&lt;&gt;"",R425&lt;&gt;"",V425&lt;&gt;"",W425&lt;&gt;""),"COMPLETADO","OBSERVADO")</f>
        <v/>
      </c>
    </row>
    <row r="426" ht="15" customHeight="1" s="195">
      <c r="A426" s="280" t="n"/>
      <c r="B426" s="280" t="n"/>
      <c r="C426" s="280" t="n"/>
      <c r="D426" s="280" t="n"/>
      <c r="E426" s="280" t="n"/>
      <c r="F426" s="280" t="n"/>
      <c r="G426" s="280" t="n"/>
      <c r="H426" s="280" t="n"/>
      <c r="I426" s="332">
        <f>IFERROR(VLOOKUP(TEXT(H426,"0"),IPRESS!$A$3:$B$212,2,0),"")</f>
        <v/>
      </c>
      <c r="J426" s="280" t="n"/>
      <c r="K426" s="332">
        <f>IFERROR(VLOOKUP(TEXT(O426,"0"),CONDUCTORES!$A$3:$G$54,7,0),"")</f>
        <v/>
      </c>
      <c r="L426" s="280" t="n"/>
      <c r="M426" s="280" t="n"/>
      <c r="N426" s="333">
        <f>IFERROR(IF(L426*M426=0,"",L426*M426),"")</f>
        <v/>
      </c>
      <c r="O426" s="280" t="n"/>
      <c r="P426" s="332">
        <f>IFERROR(VLOOKUP(TEXT(O426,"0"),CONDUCTORES!$A$3:$G$54,2,0),"")</f>
        <v/>
      </c>
      <c r="Q426" s="332">
        <f>IFERROR(VLOOKUP(TEXT(O426,"0"),CONDUCTORES!$A$3:$H$54,6,0),"")</f>
        <v/>
      </c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375">
        <f>IF(AND(G426&lt;&gt;"",R426&lt;&gt;"",V426&lt;&gt;"",W426&lt;&gt;""),"COMPLETADO","OBSERVADO")</f>
        <v/>
      </c>
    </row>
    <row r="427" ht="15" customHeight="1" s="195">
      <c r="A427" s="334" t="n"/>
      <c r="B427" s="334" t="n"/>
      <c r="C427" s="334" t="n"/>
      <c r="D427" s="334" t="n"/>
      <c r="E427" s="334" t="n"/>
      <c r="F427" s="334" t="n"/>
      <c r="G427" s="334" t="n"/>
      <c r="H427" s="334" t="n"/>
      <c r="I427" s="332">
        <f>IFERROR(VLOOKUP(TEXT(H427,"0"),IPRESS!$A$3:$B$212,2,0),"")</f>
        <v/>
      </c>
      <c r="J427" s="334" t="n"/>
      <c r="K427" s="332">
        <f>IFERROR(VLOOKUP(TEXT(O427,"0"),CONDUCTORES!$A$3:$G$54,7,0),"")</f>
        <v/>
      </c>
      <c r="L427" s="334" t="n"/>
      <c r="M427" s="334" t="n"/>
      <c r="N427" s="333">
        <f>IFERROR(IF(L427*M427=0,"",L427*M427),"")</f>
        <v/>
      </c>
      <c r="O427" s="334" t="n"/>
      <c r="P427" s="332">
        <f>IFERROR(VLOOKUP(TEXT(O427,"0"),CONDUCTORES!$A$3:$G$54,2,0),"")</f>
        <v/>
      </c>
      <c r="Q427" s="332">
        <f>IFERROR(VLOOKUP(TEXT(O427,"0"),CONDUCTORES!$A$3:$H$54,6,0),"")</f>
        <v/>
      </c>
      <c r="R427" s="334" t="n"/>
      <c r="S427" s="334" t="n"/>
      <c r="T427" s="334" t="n"/>
      <c r="U427" s="334" t="n"/>
      <c r="V427" s="334" t="n"/>
      <c r="W427" s="334" t="n"/>
      <c r="X427" s="334" t="n"/>
      <c r="Y427" s="334" t="n"/>
      <c r="Z427" s="375">
        <f>IF(AND(G427&lt;&gt;"",R427&lt;&gt;"",V427&lt;&gt;"",W427&lt;&gt;""),"COMPLETADO","OBSERVADO")</f>
        <v/>
      </c>
    </row>
    <row r="428" ht="15" customHeight="1" s="195">
      <c r="A428" s="280" t="n"/>
      <c r="B428" s="280" t="n"/>
      <c r="C428" s="280" t="n"/>
      <c r="D428" s="280" t="n"/>
      <c r="E428" s="280" t="n"/>
      <c r="F428" s="280" t="n"/>
      <c r="G428" s="280" t="n"/>
      <c r="H428" s="280" t="n"/>
      <c r="I428" s="332">
        <f>IFERROR(VLOOKUP(TEXT(H428,"0"),IPRESS!$A$3:$B$212,2,0),"")</f>
        <v/>
      </c>
      <c r="J428" s="280" t="n"/>
      <c r="K428" s="332">
        <f>IFERROR(VLOOKUP(TEXT(O428,"0"),CONDUCTORES!$A$3:$G$54,7,0),"")</f>
        <v/>
      </c>
      <c r="L428" s="280" t="n"/>
      <c r="M428" s="280" t="n"/>
      <c r="N428" s="333">
        <f>IFERROR(IF(L428*M428=0,"",L428*M428),"")</f>
        <v/>
      </c>
      <c r="O428" s="280" t="n"/>
      <c r="P428" s="332">
        <f>IFERROR(VLOOKUP(TEXT(O428,"0"),CONDUCTORES!$A$3:$G$54,2,0),"")</f>
        <v/>
      </c>
      <c r="Q428" s="332">
        <f>IFERROR(VLOOKUP(TEXT(O428,"0"),CONDUCTORES!$A$3:$H$54,6,0),"")</f>
        <v/>
      </c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375">
        <f>IF(AND(G428&lt;&gt;"",R428&lt;&gt;"",V428&lt;&gt;"",W428&lt;&gt;""),"COMPLETADO","OBSERVADO")</f>
        <v/>
      </c>
    </row>
    <row r="429" ht="15" customHeight="1" s="195">
      <c r="A429" s="334" t="n"/>
      <c r="B429" s="334" t="n"/>
      <c r="C429" s="334" t="n"/>
      <c r="D429" s="334" t="n"/>
      <c r="E429" s="334" t="n"/>
      <c r="F429" s="334" t="n"/>
      <c r="G429" s="334" t="n"/>
      <c r="H429" s="334" t="n"/>
      <c r="I429" s="332">
        <f>IFERROR(VLOOKUP(TEXT(H429,"0"),IPRESS!$A$3:$B$212,2,0),"")</f>
        <v/>
      </c>
      <c r="J429" s="334" t="n"/>
      <c r="K429" s="332">
        <f>IFERROR(VLOOKUP(TEXT(O429,"0"),CONDUCTORES!$A$3:$G$54,7,0),"")</f>
        <v/>
      </c>
      <c r="L429" s="334" t="n"/>
      <c r="M429" s="334" t="n"/>
      <c r="N429" s="333">
        <f>IFERROR(IF(L429*M429=0,"",L429*M429),"")</f>
        <v/>
      </c>
      <c r="O429" s="334" t="n"/>
      <c r="P429" s="332">
        <f>IFERROR(VLOOKUP(TEXT(O429,"0"),CONDUCTORES!$A$3:$G$54,2,0),"")</f>
        <v/>
      </c>
      <c r="Q429" s="332">
        <f>IFERROR(VLOOKUP(TEXT(O429,"0"),CONDUCTORES!$A$3:$H$54,6,0),"")</f>
        <v/>
      </c>
      <c r="R429" s="334" t="n"/>
      <c r="S429" s="334" t="n"/>
      <c r="T429" s="334" t="n"/>
      <c r="U429" s="334" t="n"/>
      <c r="V429" s="334" t="n"/>
      <c r="W429" s="334" t="n"/>
      <c r="X429" s="334" t="n"/>
      <c r="Y429" s="334" t="n"/>
      <c r="Z429" s="375">
        <f>IF(AND(G429&lt;&gt;"",R429&lt;&gt;"",V429&lt;&gt;"",W429&lt;&gt;""),"COMPLETADO","OBSERVADO")</f>
        <v/>
      </c>
    </row>
    <row r="430" ht="15" customHeight="1" s="195">
      <c r="A430" s="280" t="n"/>
      <c r="B430" s="280" t="n"/>
      <c r="C430" s="280" t="n"/>
      <c r="D430" s="280" t="n"/>
      <c r="E430" s="280" t="n"/>
      <c r="F430" s="280" t="n"/>
      <c r="G430" s="280" t="n"/>
      <c r="H430" s="280" t="n"/>
      <c r="I430" s="332">
        <f>IFERROR(VLOOKUP(TEXT(H430,"0"),IPRESS!$A$3:$B$212,2,0),"")</f>
        <v/>
      </c>
      <c r="J430" s="280" t="n"/>
      <c r="K430" s="332">
        <f>IFERROR(VLOOKUP(TEXT(O430,"0"),CONDUCTORES!$A$3:$G$54,7,0),"")</f>
        <v/>
      </c>
      <c r="L430" s="280" t="n"/>
      <c r="M430" s="280" t="n"/>
      <c r="N430" s="333">
        <f>IFERROR(IF(L430*M430=0,"",L430*M430),"")</f>
        <v/>
      </c>
      <c r="O430" s="280" t="n"/>
      <c r="P430" s="332">
        <f>IFERROR(VLOOKUP(TEXT(O430,"0"),CONDUCTORES!$A$3:$G$54,2,0),"")</f>
        <v/>
      </c>
      <c r="Q430" s="332">
        <f>IFERROR(VLOOKUP(TEXT(O430,"0"),CONDUCTORES!$A$3:$H$54,6,0),"")</f>
        <v/>
      </c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375">
        <f>IF(AND(G430&lt;&gt;"",R430&lt;&gt;"",V430&lt;&gt;"",W430&lt;&gt;""),"COMPLETADO","OBSERVADO")</f>
        <v/>
      </c>
    </row>
    <row r="431" ht="15" customHeight="1" s="195">
      <c r="A431" s="334" t="n"/>
      <c r="B431" s="334" t="n"/>
      <c r="C431" s="334" t="n"/>
      <c r="D431" s="334" t="n"/>
      <c r="E431" s="334" t="n"/>
      <c r="F431" s="334" t="n"/>
      <c r="G431" s="334" t="n"/>
      <c r="H431" s="334" t="n"/>
      <c r="I431" s="332">
        <f>IFERROR(VLOOKUP(TEXT(H431,"0"),IPRESS!$A$3:$B$212,2,0),"")</f>
        <v/>
      </c>
      <c r="J431" s="334" t="n"/>
      <c r="K431" s="332">
        <f>IFERROR(VLOOKUP(TEXT(O431,"0"),CONDUCTORES!$A$3:$G$54,7,0),"")</f>
        <v/>
      </c>
      <c r="L431" s="334" t="n"/>
      <c r="M431" s="334" t="n"/>
      <c r="N431" s="333">
        <f>IFERROR(IF(L431*M431=0,"",L431*M431),"")</f>
        <v/>
      </c>
      <c r="O431" s="334" t="n"/>
      <c r="P431" s="332">
        <f>IFERROR(VLOOKUP(TEXT(O431,"0"),CONDUCTORES!$A$3:$G$54,2,0),"")</f>
        <v/>
      </c>
      <c r="Q431" s="332">
        <f>IFERROR(VLOOKUP(TEXT(O431,"0"),CONDUCTORES!$A$3:$H$54,6,0),"")</f>
        <v/>
      </c>
      <c r="R431" s="334" t="n"/>
      <c r="S431" s="334" t="n"/>
      <c r="T431" s="334" t="n"/>
      <c r="U431" s="334" t="n"/>
      <c r="V431" s="334" t="n"/>
      <c r="W431" s="334" t="n"/>
      <c r="X431" s="334" t="n"/>
      <c r="Y431" s="334" t="n"/>
      <c r="Z431" s="375">
        <f>IF(AND(G431&lt;&gt;"",R431&lt;&gt;"",V431&lt;&gt;"",W431&lt;&gt;""),"COMPLETADO","OBSERVADO")</f>
        <v/>
      </c>
    </row>
    <row r="432" ht="15" customHeight="1" s="195">
      <c r="A432" s="280" t="n"/>
      <c r="B432" s="280" t="n"/>
      <c r="C432" s="280" t="n"/>
      <c r="D432" s="280" t="n"/>
      <c r="E432" s="280" t="n"/>
      <c r="F432" s="280" t="n"/>
      <c r="G432" s="280" t="n"/>
      <c r="H432" s="280" t="n"/>
      <c r="I432" s="332">
        <f>IFERROR(VLOOKUP(TEXT(H432,"0"),IPRESS!$A$3:$B$212,2,0),"")</f>
        <v/>
      </c>
      <c r="J432" s="280" t="n"/>
      <c r="K432" s="332">
        <f>IFERROR(VLOOKUP(TEXT(O432,"0"),CONDUCTORES!$A$3:$G$54,7,0),"")</f>
        <v/>
      </c>
      <c r="L432" s="280" t="n"/>
      <c r="M432" s="280" t="n"/>
      <c r="N432" s="333">
        <f>IFERROR(IF(L432*M432=0,"",L432*M432),"")</f>
        <v/>
      </c>
      <c r="O432" s="280" t="n"/>
      <c r="P432" s="332">
        <f>IFERROR(VLOOKUP(TEXT(O432,"0"),CONDUCTORES!$A$3:$G$54,2,0),"")</f>
        <v/>
      </c>
      <c r="Q432" s="332">
        <f>IFERROR(VLOOKUP(TEXT(O432,"0"),CONDUCTORES!$A$3:$H$54,6,0),"")</f>
        <v/>
      </c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375">
        <f>IF(AND(G432&lt;&gt;"",R432&lt;&gt;"",V432&lt;&gt;"",W432&lt;&gt;""),"COMPLETADO","OBSERVADO")</f>
        <v/>
      </c>
    </row>
    <row r="433" ht="15" customHeight="1" s="195">
      <c r="A433" s="334" t="n"/>
      <c r="B433" s="334" t="n"/>
      <c r="C433" s="334" t="n"/>
      <c r="D433" s="334" t="n"/>
      <c r="E433" s="334" t="n"/>
      <c r="F433" s="334" t="n"/>
      <c r="G433" s="334" t="n"/>
      <c r="H433" s="334" t="n"/>
      <c r="I433" s="332">
        <f>IFERROR(VLOOKUP(TEXT(H433,"0"),IPRESS!$A$3:$B$212,2,0),"")</f>
        <v/>
      </c>
      <c r="J433" s="334" t="n"/>
      <c r="K433" s="332">
        <f>IFERROR(VLOOKUP(TEXT(O433,"0"),CONDUCTORES!$A$3:$G$54,7,0),"")</f>
        <v/>
      </c>
      <c r="L433" s="334" t="n"/>
      <c r="M433" s="334" t="n"/>
      <c r="N433" s="333">
        <f>IFERROR(IF(L433*M433=0,"",L433*M433),"")</f>
        <v/>
      </c>
      <c r="O433" s="334" t="n"/>
      <c r="P433" s="332">
        <f>IFERROR(VLOOKUP(TEXT(O433,"0"),CONDUCTORES!$A$3:$G$54,2,0),"")</f>
        <v/>
      </c>
      <c r="Q433" s="332">
        <f>IFERROR(VLOOKUP(TEXT(O433,"0"),CONDUCTORES!$A$3:$H$54,6,0),"")</f>
        <v/>
      </c>
      <c r="R433" s="334" t="n"/>
      <c r="S433" s="334" t="n"/>
      <c r="T433" s="334" t="n"/>
      <c r="U433" s="334" t="n"/>
      <c r="V433" s="334" t="n"/>
      <c r="W433" s="334" t="n"/>
      <c r="X433" s="334" t="n"/>
      <c r="Y433" s="334" t="n"/>
      <c r="Z433" s="375">
        <f>IF(AND(G433&lt;&gt;"",R433&lt;&gt;"",V433&lt;&gt;"",W433&lt;&gt;""),"COMPLETADO","OBSERVADO")</f>
        <v/>
      </c>
    </row>
    <row r="434" ht="15" customHeight="1" s="195">
      <c r="A434" s="280" t="n"/>
      <c r="B434" s="280" t="n"/>
      <c r="C434" s="280" t="n"/>
      <c r="D434" s="280" t="n"/>
      <c r="E434" s="280" t="n"/>
      <c r="F434" s="280" t="n"/>
      <c r="G434" s="280" t="n"/>
      <c r="H434" s="280" t="n"/>
      <c r="I434" s="332">
        <f>IFERROR(VLOOKUP(TEXT(H434,"0"),IPRESS!$A$3:$B$212,2,0),"")</f>
        <v/>
      </c>
      <c r="J434" s="280" t="n"/>
      <c r="K434" s="332">
        <f>IFERROR(VLOOKUP(TEXT(O434,"0"),CONDUCTORES!$A$3:$G$54,7,0),"")</f>
        <v/>
      </c>
      <c r="L434" s="280" t="n"/>
      <c r="M434" s="280" t="n"/>
      <c r="N434" s="333">
        <f>IFERROR(IF(L434*M434=0,"",L434*M434),"")</f>
        <v/>
      </c>
      <c r="O434" s="280" t="n"/>
      <c r="P434" s="332">
        <f>IFERROR(VLOOKUP(TEXT(O434,"0"),CONDUCTORES!$A$3:$G$54,2,0),"")</f>
        <v/>
      </c>
      <c r="Q434" s="332">
        <f>IFERROR(VLOOKUP(TEXT(O434,"0"),CONDUCTORES!$A$3:$H$54,6,0),"")</f>
        <v/>
      </c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375">
        <f>IF(AND(G434&lt;&gt;"",R434&lt;&gt;"",V434&lt;&gt;"",W434&lt;&gt;""),"COMPLETADO","OBSERVADO")</f>
        <v/>
      </c>
    </row>
    <row r="435" ht="15" customHeight="1" s="195">
      <c r="A435" s="334" t="n"/>
      <c r="B435" s="334" t="n"/>
      <c r="C435" s="334" t="n"/>
      <c r="D435" s="334" t="n"/>
      <c r="E435" s="334" t="n"/>
      <c r="F435" s="334" t="n"/>
      <c r="G435" s="334" t="n"/>
      <c r="H435" s="334" t="n"/>
      <c r="I435" s="332">
        <f>IFERROR(VLOOKUP(TEXT(H435,"0"),IPRESS!$A$3:$B$212,2,0),"")</f>
        <v/>
      </c>
      <c r="J435" s="334" t="n"/>
      <c r="K435" s="332">
        <f>IFERROR(VLOOKUP(TEXT(O435,"0"),CONDUCTORES!$A$3:$G$54,7,0),"")</f>
        <v/>
      </c>
      <c r="L435" s="334" t="n"/>
      <c r="M435" s="334" t="n"/>
      <c r="N435" s="333">
        <f>IFERROR(IF(L435*M435=0,"",L435*M435),"")</f>
        <v/>
      </c>
      <c r="O435" s="334" t="n"/>
      <c r="P435" s="332">
        <f>IFERROR(VLOOKUP(TEXT(O435,"0"),CONDUCTORES!$A$3:$G$54,2,0),"")</f>
        <v/>
      </c>
      <c r="Q435" s="332">
        <f>IFERROR(VLOOKUP(TEXT(O435,"0"),CONDUCTORES!$A$3:$H$54,6,0),"")</f>
        <v/>
      </c>
      <c r="R435" s="334" t="n"/>
      <c r="S435" s="334" t="n"/>
      <c r="T435" s="334" t="n"/>
      <c r="U435" s="334" t="n"/>
      <c r="V435" s="334" t="n"/>
      <c r="W435" s="334" t="n"/>
      <c r="X435" s="334" t="n"/>
      <c r="Y435" s="334" t="n"/>
      <c r="Z435" s="375">
        <f>IF(AND(G435&lt;&gt;"",R435&lt;&gt;"",V435&lt;&gt;"",W435&lt;&gt;""),"COMPLETADO","OBSERVADO")</f>
        <v/>
      </c>
    </row>
    <row r="436" ht="15" customHeight="1" s="195">
      <c r="A436" s="280" t="n"/>
      <c r="B436" s="280" t="n"/>
      <c r="C436" s="280" t="n"/>
      <c r="D436" s="280" t="n"/>
      <c r="E436" s="280" t="n"/>
      <c r="F436" s="280" t="n"/>
      <c r="G436" s="280" t="n"/>
      <c r="H436" s="280" t="n"/>
      <c r="I436" s="332">
        <f>IFERROR(VLOOKUP(TEXT(H436,"0"),IPRESS!$A$3:$B$212,2,0),"")</f>
        <v/>
      </c>
      <c r="J436" s="280" t="n"/>
      <c r="K436" s="332">
        <f>IFERROR(VLOOKUP(TEXT(O436,"0"),CONDUCTORES!$A$3:$G$54,7,0),"")</f>
        <v/>
      </c>
      <c r="L436" s="280" t="n"/>
      <c r="M436" s="280" t="n"/>
      <c r="N436" s="333">
        <f>IFERROR(IF(L436*M436=0,"",L436*M436),"")</f>
        <v/>
      </c>
      <c r="O436" s="280" t="n"/>
      <c r="P436" s="332">
        <f>IFERROR(VLOOKUP(TEXT(O436,"0"),CONDUCTORES!$A$3:$G$54,2,0),"")</f>
        <v/>
      </c>
      <c r="Q436" s="332">
        <f>IFERROR(VLOOKUP(TEXT(O436,"0"),CONDUCTORES!$A$3:$H$54,6,0),"")</f>
        <v/>
      </c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375">
        <f>IF(AND(G436&lt;&gt;"",R436&lt;&gt;"",V436&lt;&gt;"",W436&lt;&gt;""),"COMPLETADO","OBSERVADO")</f>
        <v/>
      </c>
    </row>
    <row r="437" ht="15" customHeight="1" s="195">
      <c r="A437" s="334" t="n"/>
      <c r="B437" s="334" t="n"/>
      <c r="C437" s="334" t="n"/>
      <c r="D437" s="334" t="n"/>
      <c r="E437" s="334" t="n"/>
      <c r="F437" s="334" t="n"/>
      <c r="G437" s="334" t="n"/>
      <c r="H437" s="334" t="n"/>
      <c r="I437" s="332">
        <f>IFERROR(VLOOKUP(TEXT(H437,"0"),IPRESS!$A$3:$B$212,2,0),"")</f>
        <v/>
      </c>
      <c r="J437" s="334" t="n"/>
      <c r="K437" s="332">
        <f>IFERROR(VLOOKUP(TEXT(O437,"0"),CONDUCTORES!$A$3:$G$54,7,0),"")</f>
        <v/>
      </c>
      <c r="L437" s="334" t="n"/>
      <c r="M437" s="334" t="n"/>
      <c r="N437" s="333">
        <f>IFERROR(IF(L437*M437=0,"",L437*M437),"")</f>
        <v/>
      </c>
      <c r="O437" s="334" t="n"/>
      <c r="P437" s="332">
        <f>IFERROR(VLOOKUP(TEXT(O437,"0"),CONDUCTORES!$A$3:$G$54,2,0),"")</f>
        <v/>
      </c>
      <c r="Q437" s="332">
        <f>IFERROR(VLOOKUP(TEXT(O437,"0"),CONDUCTORES!$A$3:$H$54,6,0),"")</f>
        <v/>
      </c>
      <c r="R437" s="334" t="n"/>
      <c r="S437" s="334" t="n"/>
      <c r="T437" s="334" t="n"/>
      <c r="U437" s="334" t="n"/>
      <c r="V437" s="334" t="n"/>
      <c r="W437" s="334" t="n"/>
      <c r="X437" s="334" t="n"/>
      <c r="Y437" s="334" t="n"/>
      <c r="Z437" s="375">
        <f>IF(AND(G437&lt;&gt;"",R437&lt;&gt;"",V437&lt;&gt;"",W437&lt;&gt;""),"COMPLETADO","OBSERVADO")</f>
        <v/>
      </c>
    </row>
    <row r="438" ht="15" customHeight="1" s="195">
      <c r="A438" s="280" t="n"/>
      <c r="B438" s="280" t="n"/>
      <c r="C438" s="280" t="n"/>
      <c r="D438" s="280" t="n"/>
      <c r="E438" s="280" t="n"/>
      <c r="F438" s="280" t="n"/>
      <c r="G438" s="280" t="n"/>
      <c r="H438" s="280" t="n"/>
      <c r="I438" s="332">
        <f>IFERROR(VLOOKUP(TEXT(H438,"0"),IPRESS!$A$3:$B$212,2,0),"")</f>
        <v/>
      </c>
      <c r="J438" s="280" t="n"/>
      <c r="K438" s="332">
        <f>IFERROR(VLOOKUP(TEXT(O438,"0"),CONDUCTORES!$A$3:$G$54,7,0),"")</f>
        <v/>
      </c>
      <c r="L438" s="280" t="n"/>
      <c r="M438" s="280" t="n"/>
      <c r="N438" s="333">
        <f>IFERROR(IF(L438*M438=0,"",L438*M438),"")</f>
        <v/>
      </c>
      <c r="O438" s="280" t="n"/>
      <c r="P438" s="332">
        <f>IFERROR(VLOOKUP(TEXT(O438,"0"),CONDUCTORES!$A$3:$G$54,2,0),"")</f>
        <v/>
      </c>
      <c r="Q438" s="332">
        <f>IFERROR(VLOOKUP(TEXT(O438,"0"),CONDUCTORES!$A$3:$H$54,6,0),"")</f>
        <v/>
      </c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375">
        <f>IF(AND(G438&lt;&gt;"",R438&lt;&gt;"",V438&lt;&gt;"",W438&lt;&gt;""),"COMPLETADO","OBSERVADO")</f>
        <v/>
      </c>
    </row>
    <row r="439" ht="15" customHeight="1" s="195">
      <c r="A439" s="334" t="n"/>
      <c r="B439" s="334" t="n"/>
      <c r="C439" s="334" t="n"/>
      <c r="D439" s="334" t="n"/>
      <c r="E439" s="334" t="n"/>
      <c r="F439" s="334" t="n"/>
      <c r="G439" s="334" t="n"/>
      <c r="H439" s="334" t="n"/>
      <c r="I439" s="332">
        <f>IFERROR(VLOOKUP(TEXT(H439,"0"),IPRESS!$A$3:$B$212,2,0),"")</f>
        <v/>
      </c>
      <c r="J439" s="334" t="n"/>
      <c r="K439" s="332">
        <f>IFERROR(VLOOKUP(TEXT(O439,"0"),CONDUCTORES!$A$3:$G$54,7,0),"")</f>
        <v/>
      </c>
      <c r="L439" s="334" t="n"/>
      <c r="M439" s="334" t="n"/>
      <c r="N439" s="333">
        <f>IFERROR(IF(L439*M439=0,"",L439*M439),"")</f>
        <v/>
      </c>
      <c r="O439" s="334" t="n"/>
      <c r="P439" s="332">
        <f>IFERROR(VLOOKUP(TEXT(O439,"0"),CONDUCTORES!$A$3:$G$54,2,0),"")</f>
        <v/>
      </c>
      <c r="Q439" s="332">
        <f>IFERROR(VLOOKUP(TEXT(O439,"0"),CONDUCTORES!$A$3:$H$54,6,0),"")</f>
        <v/>
      </c>
      <c r="R439" s="334" t="n"/>
      <c r="S439" s="334" t="n"/>
      <c r="T439" s="334" t="n"/>
      <c r="U439" s="334" t="n"/>
      <c r="V439" s="334" t="n"/>
      <c r="W439" s="334" t="n"/>
      <c r="X439" s="334" t="n"/>
      <c r="Y439" s="334" t="n"/>
      <c r="Z439" s="375">
        <f>IF(AND(G439&lt;&gt;"",R439&lt;&gt;"",V439&lt;&gt;"",W439&lt;&gt;""),"COMPLETADO","OBSERVADO")</f>
        <v/>
      </c>
    </row>
    <row r="440" ht="15" customHeight="1" s="195">
      <c r="A440" s="280" t="n"/>
      <c r="B440" s="280" t="n"/>
      <c r="C440" s="280" t="n"/>
      <c r="D440" s="280" t="n"/>
      <c r="E440" s="280" t="n"/>
      <c r="F440" s="280" t="n"/>
      <c r="G440" s="280" t="n"/>
      <c r="H440" s="280" t="n"/>
      <c r="I440" s="332">
        <f>IFERROR(VLOOKUP(TEXT(H440,"0"),IPRESS!$A$3:$B$212,2,0),"")</f>
        <v/>
      </c>
      <c r="J440" s="280" t="n"/>
      <c r="K440" s="332">
        <f>IFERROR(VLOOKUP(TEXT(O440,"0"),CONDUCTORES!$A$3:$G$54,7,0),"")</f>
        <v/>
      </c>
      <c r="L440" s="280" t="n"/>
      <c r="M440" s="280" t="n"/>
      <c r="N440" s="333">
        <f>IFERROR(IF(L440*M440=0,"",L440*M440),"")</f>
        <v/>
      </c>
      <c r="O440" s="280" t="n"/>
      <c r="P440" s="332">
        <f>IFERROR(VLOOKUP(TEXT(O440,"0"),CONDUCTORES!$A$3:$G$54,2,0),"")</f>
        <v/>
      </c>
      <c r="Q440" s="332">
        <f>IFERROR(VLOOKUP(TEXT(O440,"0"),CONDUCTORES!$A$3:$H$54,6,0),"")</f>
        <v/>
      </c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375">
        <f>IF(AND(G440&lt;&gt;"",R440&lt;&gt;"",V440&lt;&gt;"",W440&lt;&gt;""),"COMPLETADO","OBSERVADO")</f>
        <v/>
      </c>
    </row>
    <row r="441" ht="15" customHeight="1" s="195">
      <c r="A441" s="334" t="n"/>
      <c r="B441" s="334" t="n"/>
      <c r="C441" s="334" t="n"/>
      <c r="D441" s="334" t="n"/>
      <c r="E441" s="334" t="n"/>
      <c r="F441" s="334" t="n"/>
      <c r="G441" s="334" t="n"/>
      <c r="H441" s="334" t="n"/>
      <c r="I441" s="332">
        <f>IFERROR(VLOOKUP(TEXT(H441,"0"),IPRESS!$A$3:$B$212,2,0),"")</f>
        <v/>
      </c>
      <c r="J441" s="334" t="n"/>
      <c r="K441" s="332">
        <f>IFERROR(VLOOKUP(TEXT(O441,"0"),CONDUCTORES!$A$3:$G$54,7,0),"")</f>
        <v/>
      </c>
      <c r="L441" s="334" t="n"/>
      <c r="M441" s="334" t="n"/>
      <c r="N441" s="333">
        <f>IFERROR(IF(L441*M441=0,"",L441*M441),"")</f>
        <v/>
      </c>
      <c r="O441" s="334" t="n"/>
      <c r="P441" s="332">
        <f>IFERROR(VLOOKUP(TEXT(O441,"0"),CONDUCTORES!$A$3:$G$54,2,0),"")</f>
        <v/>
      </c>
      <c r="Q441" s="332">
        <f>IFERROR(VLOOKUP(TEXT(O441,"0"),CONDUCTORES!$A$3:$H$54,6,0),"")</f>
        <v/>
      </c>
      <c r="R441" s="334" t="n"/>
      <c r="S441" s="334" t="n"/>
      <c r="T441" s="334" t="n"/>
      <c r="U441" s="334" t="n"/>
      <c r="V441" s="334" t="n"/>
      <c r="W441" s="334" t="n"/>
      <c r="X441" s="334" t="n"/>
      <c r="Y441" s="334" t="n"/>
      <c r="Z441" s="375">
        <f>IF(AND(G441&lt;&gt;"",R441&lt;&gt;"",V441&lt;&gt;"",W441&lt;&gt;""),"COMPLETADO","OBSERVADO")</f>
        <v/>
      </c>
    </row>
    <row r="442" ht="15" customHeight="1" s="195">
      <c r="A442" s="280" t="n"/>
      <c r="B442" s="280" t="n"/>
      <c r="C442" s="280" t="n"/>
      <c r="D442" s="280" t="n"/>
      <c r="E442" s="280" t="n"/>
      <c r="F442" s="280" t="n"/>
      <c r="G442" s="280" t="n"/>
      <c r="H442" s="280" t="n"/>
      <c r="I442" s="332">
        <f>IFERROR(VLOOKUP(TEXT(H442,"0"),IPRESS!$A$3:$B$212,2,0),"")</f>
        <v/>
      </c>
      <c r="J442" s="280" t="n"/>
      <c r="K442" s="332">
        <f>IFERROR(VLOOKUP(TEXT(O442,"0"),CONDUCTORES!$A$3:$G$54,7,0),"")</f>
        <v/>
      </c>
      <c r="L442" s="280" t="n"/>
      <c r="M442" s="280" t="n"/>
      <c r="N442" s="333">
        <f>IFERROR(IF(L442*M442=0,"",L442*M442),"")</f>
        <v/>
      </c>
      <c r="O442" s="280" t="n"/>
      <c r="P442" s="332">
        <f>IFERROR(VLOOKUP(TEXT(O442,"0"),CONDUCTORES!$A$3:$G$54,2,0),"")</f>
        <v/>
      </c>
      <c r="Q442" s="332">
        <f>IFERROR(VLOOKUP(TEXT(O442,"0"),CONDUCTORES!$A$3:$H$54,6,0),"")</f>
        <v/>
      </c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375">
        <f>IF(AND(G442&lt;&gt;"",R442&lt;&gt;"",V442&lt;&gt;"",W442&lt;&gt;""),"COMPLETADO","OBSERVADO")</f>
        <v/>
      </c>
    </row>
    <row r="443" ht="15" customHeight="1" s="195">
      <c r="A443" s="334" t="n"/>
      <c r="B443" s="334" t="n"/>
      <c r="C443" s="334" t="n"/>
      <c r="D443" s="334" t="n"/>
      <c r="E443" s="334" t="n"/>
      <c r="F443" s="334" t="n"/>
      <c r="G443" s="334" t="n"/>
      <c r="H443" s="334" t="n"/>
      <c r="I443" s="332">
        <f>IFERROR(VLOOKUP(TEXT(H443,"0"),IPRESS!$A$3:$B$212,2,0),"")</f>
        <v/>
      </c>
      <c r="J443" s="334" t="n"/>
      <c r="K443" s="332">
        <f>IFERROR(VLOOKUP(TEXT(O443,"0"),CONDUCTORES!$A$3:$G$54,7,0),"")</f>
        <v/>
      </c>
      <c r="L443" s="334" t="n"/>
      <c r="M443" s="334" t="n"/>
      <c r="N443" s="333">
        <f>IFERROR(IF(L443*M443=0,"",L443*M443),"")</f>
        <v/>
      </c>
      <c r="O443" s="334" t="n"/>
      <c r="P443" s="332">
        <f>IFERROR(VLOOKUP(TEXT(O443,"0"),CONDUCTORES!$A$3:$G$54,2,0),"")</f>
        <v/>
      </c>
      <c r="Q443" s="332">
        <f>IFERROR(VLOOKUP(TEXT(O443,"0"),CONDUCTORES!$A$3:$H$54,6,0),"")</f>
        <v/>
      </c>
      <c r="R443" s="334" t="n"/>
      <c r="S443" s="334" t="n"/>
      <c r="T443" s="334" t="n"/>
      <c r="U443" s="334" t="n"/>
      <c r="V443" s="334" t="n"/>
      <c r="W443" s="334" t="n"/>
      <c r="X443" s="334" t="n"/>
      <c r="Y443" s="334" t="n"/>
      <c r="Z443" s="375">
        <f>IF(AND(G443&lt;&gt;"",R443&lt;&gt;"",V443&lt;&gt;"",W443&lt;&gt;""),"COMPLETADO","OBSERVADO")</f>
        <v/>
      </c>
    </row>
    <row r="444" ht="15" customHeight="1" s="195">
      <c r="A444" s="280" t="n"/>
      <c r="B444" s="280" t="n"/>
      <c r="C444" s="280" t="n"/>
      <c r="D444" s="280" t="n"/>
      <c r="E444" s="280" t="n"/>
      <c r="F444" s="280" t="n"/>
      <c r="G444" s="280" t="n"/>
      <c r="H444" s="280" t="n"/>
      <c r="I444" s="332">
        <f>IFERROR(VLOOKUP(TEXT(H444,"0"),IPRESS!$A$3:$B$212,2,0),"")</f>
        <v/>
      </c>
      <c r="J444" s="280" t="n"/>
      <c r="K444" s="332">
        <f>IFERROR(VLOOKUP(TEXT(O444,"0"),CONDUCTORES!$A$3:$G$54,7,0),"")</f>
        <v/>
      </c>
      <c r="L444" s="280" t="n"/>
      <c r="M444" s="280" t="n"/>
      <c r="N444" s="333">
        <f>IFERROR(IF(L444*M444=0,"",L444*M444),"")</f>
        <v/>
      </c>
      <c r="O444" s="280" t="n"/>
      <c r="P444" s="332">
        <f>IFERROR(VLOOKUP(TEXT(O444,"0"),CONDUCTORES!$A$3:$G$54,2,0),"")</f>
        <v/>
      </c>
      <c r="Q444" s="332">
        <f>IFERROR(VLOOKUP(TEXT(O444,"0"),CONDUCTORES!$A$3:$H$54,6,0),"")</f>
        <v/>
      </c>
      <c r="R444" s="280" t="n"/>
      <c r="S444" s="280" t="n"/>
      <c r="T444" s="280" t="n"/>
      <c r="U444" s="280" t="n"/>
      <c r="V444" s="280" t="n"/>
      <c r="W444" s="280" t="n"/>
      <c r="X444" s="280" t="n"/>
      <c r="Y444" s="280" t="n"/>
      <c r="Z444" s="375">
        <f>IF(AND(G444&lt;&gt;"",R444&lt;&gt;"",V444&lt;&gt;"",W444&lt;&gt;""),"COMPLETADO","OBSERVADO")</f>
        <v/>
      </c>
    </row>
    <row r="445" ht="15" customHeight="1" s="195">
      <c r="A445" s="334" t="n"/>
      <c r="B445" s="334" t="n"/>
      <c r="C445" s="334" t="n"/>
      <c r="D445" s="334" t="n"/>
      <c r="E445" s="334" t="n"/>
      <c r="F445" s="334" t="n"/>
      <c r="G445" s="334" t="n"/>
      <c r="H445" s="334" t="n"/>
      <c r="I445" s="332">
        <f>IFERROR(VLOOKUP(TEXT(H445,"0"),IPRESS!$A$3:$B$212,2,0),"")</f>
        <v/>
      </c>
      <c r="J445" s="334" t="n"/>
      <c r="K445" s="332">
        <f>IFERROR(VLOOKUP(TEXT(O445,"0"),CONDUCTORES!$A$3:$G$54,7,0),"")</f>
        <v/>
      </c>
      <c r="L445" s="334" t="n"/>
      <c r="M445" s="334" t="n"/>
      <c r="N445" s="333">
        <f>IFERROR(IF(L445*M445=0,"",L445*M445),"")</f>
        <v/>
      </c>
      <c r="O445" s="334" t="n"/>
      <c r="P445" s="332">
        <f>IFERROR(VLOOKUP(TEXT(O445,"0"),CONDUCTORES!$A$3:$G$54,2,0),"")</f>
        <v/>
      </c>
      <c r="Q445" s="332">
        <f>IFERROR(VLOOKUP(TEXT(O445,"0"),CONDUCTORES!$A$3:$H$54,6,0),"")</f>
        <v/>
      </c>
      <c r="R445" s="334" t="n"/>
      <c r="S445" s="334" t="n"/>
      <c r="T445" s="334" t="n"/>
      <c r="U445" s="334" t="n"/>
      <c r="V445" s="334" t="n"/>
      <c r="W445" s="334" t="n"/>
      <c r="X445" s="334" t="n"/>
      <c r="Y445" s="334" t="n"/>
      <c r="Z445" s="375">
        <f>IF(AND(G445&lt;&gt;"",R445&lt;&gt;"",V445&lt;&gt;"",W445&lt;&gt;""),"COMPLETADO","OBSERVADO")</f>
        <v/>
      </c>
    </row>
    <row r="446" ht="15" customHeight="1" s="195">
      <c r="A446" s="280" t="n"/>
      <c r="B446" s="280" t="n"/>
      <c r="C446" s="280" t="n"/>
      <c r="D446" s="280" t="n"/>
      <c r="E446" s="280" t="n"/>
      <c r="F446" s="280" t="n"/>
      <c r="G446" s="280" t="n"/>
      <c r="H446" s="280" t="n"/>
      <c r="I446" s="332">
        <f>IFERROR(VLOOKUP(TEXT(H446,"0"),IPRESS!$A$3:$B$212,2,0),"")</f>
        <v/>
      </c>
      <c r="J446" s="280" t="n"/>
      <c r="K446" s="332">
        <f>IFERROR(VLOOKUP(TEXT(O446,"0"),CONDUCTORES!$A$3:$G$54,7,0),"")</f>
        <v/>
      </c>
      <c r="L446" s="280" t="n"/>
      <c r="M446" s="280" t="n"/>
      <c r="N446" s="333">
        <f>IFERROR(IF(L446*M446=0,"",L446*M446),"")</f>
        <v/>
      </c>
      <c r="O446" s="280" t="n"/>
      <c r="P446" s="332">
        <f>IFERROR(VLOOKUP(TEXT(O446,"0"),CONDUCTORES!$A$3:$G$54,2,0),"")</f>
        <v/>
      </c>
      <c r="Q446" s="332">
        <f>IFERROR(VLOOKUP(TEXT(O446,"0"),CONDUCTORES!$A$3:$H$54,6,0),"")</f>
        <v/>
      </c>
      <c r="R446" s="280" t="n"/>
      <c r="S446" s="280" t="n"/>
      <c r="T446" s="280" t="n"/>
      <c r="U446" s="280" t="n"/>
      <c r="V446" s="280" t="n"/>
      <c r="W446" s="280" t="n"/>
      <c r="X446" s="280" t="n"/>
      <c r="Y446" s="280" t="n"/>
      <c r="Z446" s="375">
        <f>IF(AND(G446&lt;&gt;"",R446&lt;&gt;"",V446&lt;&gt;"",W446&lt;&gt;""),"COMPLETADO","OBSERVADO")</f>
        <v/>
      </c>
    </row>
    <row r="447" ht="15" customHeight="1" s="195">
      <c r="A447" s="334" t="n"/>
      <c r="B447" s="334" t="n"/>
      <c r="C447" s="334" t="n"/>
      <c r="D447" s="334" t="n"/>
      <c r="E447" s="334" t="n"/>
      <c r="F447" s="334" t="n"/>
      <c r="G447" s="334" t="n"/>
      <c r="H447" s="334" t="n"/>
      <c r="I447" s="332">
        <f>IFERROR(VLOOKUP(TEXT(H447,"0"),IPRESS!$A$3:$B$212,2,0),"")</f>
        <v/>
      </c>
      <c r="J447" s="334" t="n"/>
      <c r="K447" s="332">
        <f>IFERROR(VLOOKUP(TEXT(O447,"0"),CONDUCTORES!$A$3:$G$54,7,0),"")</f>
        <v/>
      </c>
      <c r="L447" s="334" t="n"/>
      <c r="M447" s="334" t="n"/>
      <c r="N447" s="333">
        <f>IFERROR(IF(L447*M447=0,"",L447*M447),"")</f>
        <v/>
      </c>
      <c r="O447" s="334" t="n"/>
      <c r="P447" s="332">
        <f>IFERROR(VLOOKUP(TEXT(O447,"0"),CONDUCTORES!$A$3:$G$54,2,0),"")</f>
        <v/>
      </c>
      <c r="Q447" s="332">
        <f>IFERROR(VLOOKUP(TEXT(O447,"0"),CONDUCTORES!$A$3:$H$54,6,0),"")</f>
        <v/>
      </c>
      <c r="R447" s="334" t="n"/>
      <c r="S447" s="334" t="n"/>
      <c r="T447" s="334" t="n"/>
      <c r="U447" s="334" t="n"/>
      <c r="V447" s="334" t="n"/>
      <c r="W447" s="334" t="n"/>
      <c r="X447" s="334" t="n"/>
      <c r="Y447" s="334" t="n"/>
      <c r="Z447" s="375">
        <f>IF(AND(G447&lt;&gt;"",R447&lt;&gt;"",V447&lt;&gt;"",W447&lt;&gt;""),"COMPLETADO","OBSERVADO")</f>
        <v/>
      </c>
    </row>
    <row r="448" ht="15" customHeight="1" s="195">
      <c r="A448" s="280" t="n"/>
      <c r="B448" s="280" t="n"/>
      <c r="C448" s="280" t="n"/>
      <c r="D448" s="280" t="n"/>
      <c r="E448" s="280" t="n"/>
      <c r="F448" s="280" t="n"/>
      <c r="G448" s="280" t="n"/>
      <c r="H448" s="280" t="n"/>
      <c r="I448" s="332">
        <f>IFERROR(VLOOKUP(TEXT(H448,"0"),IPRESS!$A$3:$B$212,2,0),"")</f>
        <v/>
      </c>
      <c r="J448" s="280" t="n"/>
      <c r="K448" s="332">
        <f>IFERROR(VLOOKUP(TEXT(O448,"0"),CONDUCTORES!$A$3:$G$54,7,0),"")</f>
        <v/>
      </c>
      <c r="L448" s="280" t="n"/>
      <c r="M448" s="280" t="n"/>
      <c r="N448" s="333">
        <f>IFERROR(IF(L448*M448=0,"",L448*M448),"")</f>
        <v/>
      </c>
      <c r="O448" s="280" t="n"/>
      <c r="P448" s="332">
        <f>IFERROR(VLOOKUP(TEXT(O448,"0"),CONDUCTORES!$A$3:$G$54,2,0),"")</f>
        <v/>
      </c>
      <c r="Q448" s="332">
        <f>IFERROR(VLOOKUP(TEXT(O448,"0"),CONDUCTORES!$A$3:$H$54,6,0),"")</f>
        <v/>
      </c>
      <c r="R448" s="280" t="n"/>
      <c r="S448" s="280" t="n"/>
      <c r="T448" s="280" t="n"/>
      <c r="U448" s="280" t="n"/>
      <c r="V448" s="280" t="n"/>
      <c r="W448" s="280" t="n"/>
      <c r="X448" s="280" t="n"/>
      <c r="Y448" s="280" t="n"/>
      <c r="Z448" s="375">
        <f>IF(AND(G448&lt;&gt;"",R448&lt;&gt;"",V448&lt;&gt;"",W448&lt;&gt;""),"COMPLETADO","OBSERVADO")</f>
        <v/>
      </c>
    </row>
    <row r="449" ht="15" customHeight="1" s="195">
      <c r="A449" s="334" t="n"/>
      <c r="B449" s="334" t="n"/>
      <c r="C449" s="334" t="n"/>
      <c r="D449" s="334" t="n"/>
      <c r="E449" s="334" t="n"/>
      <c r="F449" s="334" t="n"/>
      <c r="G449" s="334" t="n"/>
      <c r="H449" s="334" t="n"/>
      <c r="I449" s="332">
        <f>IFERROR(VLOOKUP(TEXT(H449,"0"),IPRESS!$A$3:$B$212,2,0),"")</f>
        <v/>
      </c>
      <c r="J449" s="334" t="n"/>
      <c r="K449" s="332">
        <f>IFERROR(VLOOKUP(TEXT(O449,"0"),CONDUCTORES!$A$3:$G$54,7,0),"")</f>
        <v/>
      </c>
      <c r="L449" s="334" t="n"/>
      <c r="M449" s="334" t="n"/>
      <c r="N449" s="333">
        <f>IFERROR(IF(L449*M449=0,"",L449*M449),"")</f>
        <v/>
      </c>
      <c r="O449" s="334" t="n"/>
      <c r="P449" s="332">
        <f>IFERROR(VLOOKUP(TEXT(O449,"0"),CONDUCTORES!$A$3:$G$54,2,0),"")</f>
        <v/>
      </c>
      <c r="Q449" s="332">
        <f>IFERROR(VLOOKUP(TEXT(O449,"0"),CONDUCTORES!$A$3:$H$54,6,0),"")</f>
        <v/>
      </c>
      <c r="R449" s="334" t="n"/>
      <c r="S449" s="334" t="n"/>
      <c r="T449" s="334" t="n"/>
      <c r="U449" s="334" t="n"/>
      <c r="V449" s="334" t="n"/>
      <c r="W449" s="334" t="n"/>
      <c r="X449" s="334" t="n"/>
      <c r="Y449" s="334" t="n"/>
      <c r="Z449" s="375">
        <f>IF(AND(G449&lt;&gt;"",R449&lt;&gt;"",V449&lt;&gt;"",W449&lt;&gt;""),"COMPLETADO","OBSERVADO")</f>
        <v/>
      </c>
    </row>
    <row r="450" ht="15" customHeight="1" s="195">
      <c r="A450" s="280" t="n"/>
      <c r="B450" s="280" t="n"/>
      <c r="C450" s="280" t="n"/>
      <c r="D450" s="280" t="n"/>
      <c r="E450" s="280" t="n"/>
      <c r="F450" s="280" t="n"/>
      <c r="G450" s="280" t="n"/>
      <c r="H450" s="280" t="n"/>
      <c r="I450" s="332">
        <f>IFERROR(VLOOKUP(TEXT(H450,"0"),IPRESS!$A$3:$B$212,2,0),"")</f>
        <v/>
      </c>
      <c r="J450" s="280" t="n"/>
      <c r="K450" s="332">
        <f>IFERROR(VLOOKUP(TEXT(O450,"0"),CONDUCTORES!$A$3:$G$54,7,0),"")</f>
        <v/>
      </c>
      <c r="L450" s="280" t="n"/>
      <c r="M450" s="280" t="n"/>
      <c r="N450" s="333">
        <f>IFERROR(IF(L450*M450=0,"",L450*M450),"")</f>
        <v/>
      </c>
      <c r="O450" s="280" t="n"/>
      <c r="P450" s="332">
        <f>IFERROR(VLOOKUP(TEXT(O450,"0"),CONDUCTORES!$A$3:$G$54,2,0),"")</f>
        <v/>
      </c>
      <c r="Q450" s="332">
        <f>IFERROR(VLOOKUP(TEXT(O450,"0"),CONDUCTORES!$A$3:$H$54,6,0),"")</f>
        <v/>
      </c>
      <c r="R450" s="280" t="n"/>
      <c r="S450" s="280" t="n"/>
      <c r="T450" s="280" t="n"/>
      <c r="U450" s="280" t="n"/>
      <c r="V450" s="280" t="n"/>
      <c r="W450" s="280" t="n"/>
      <c r="X450" s="280" t="n"/>
      <c r="Y450" s="280" t="n"/>
      <c r="Z450" s="375">
        <f>IF(AND(G450&lt;&gt;"",R450&lt;&gt;"",V450&lt;&gt;"",W450&lt;&gt;""),"COMPLETADO","OBSERVADO")</f>
        <v/>
      </c>
    </row>
    <row r="451" ht="15" customHeight="1" s="195">
      <c r="A451" s="334" t="n"/>
      <c r="B451" s="334" t="n"/>
      <c r="C451" s="334" t="n"/>
      <c r="D451" s="334" t="n"/>
      <c r="E451" s="334" t="n"/>
      <c r="F451" s="334" t="n"/>
      <c r="G451" s="334" t="n"/>
      <c r="H451" s="334" t="n"/>
      <c r="I451" s="332">
        <f>IFERROR(VLOOKUP(TEXT(H451,"0"),IPRESS!$A$3:$B$212,2,0),"")</f>
        <v/>
      </c>
      <c r="J451" s="334" t="n"/>
      <c r="K451" s="332">
        <f>IFERROR(VLOOKUP(TEXT(O451,"0"),CONDUCTORES!$A$3:$G$54,7,0),"")</f>
        <v/>
      </c>
      <c r="L451" s="334" t="n"/>
      <c r="M451" s="334" t="n"/>
      <c r="N451" s="333">
        <f>IFERROR(IF(L451*M451=0,"",L451*M451),"")</f>
        <v/>
      </c>
      <c r="O451" s="334" t="n"/>
      <c r="P451" s="332">
        <f>IFERROR(VLOOKUP(TEXT(O451,"0"),CONDUCTORES!$A$3:$G$54,2,0),"")</f>
        <v/>
      </c>
      <c r="Q451" s="332">
        <f>IFERROR(VLOOKUP(TEXT(O451,"0"),CONDUCTORES!$A$3:$H$54,6,0),"")</f>
        <v/>
      </c>
      <c r="R451" s="334" t="n"/>
      <c r="S451" s="334" t="n"/>
      <c r="T451" s="334" t="n"/>
      <c r="U451" s="334" t="n"/>
      <c r="V451" s="334" t="n"/>
      <c r="W451" s="334" t="n"/>
      <c r="X451" s="334" t="n"/>
      <c r="Y451" s="334" t="n"/>
      <c r="Z451" s="375">
        <f>IF(AND(G451&lt;&gt;"",R451&lt;&gt;"",V451&lt;&gt;"",W451&lt;&gt;""),"COMPLETADO","OBSERVADO")</f>
        <v/>
      </c>
    </row>
    <row r="452" ht="15" customHeight="1" s="195">
      <c r="A452" s="280" t="n"/>
      <c r="B452" s="280" t="n"/>
      <c r="C452" s="280" t="n"/>
      <c r="D452" s="280" t="n"/>
      <c r="E452" s="280" t="n"/>
      <c r="F452" s="280" t="n"/>
      <c r="G452" s="280" t="n"/>
      <c r="H452" s="280" t="n"/>
      <c r="I452" s="332">
        <f>IFERROR(VLOOKUP(TEXT(H452,"0"),IPRESS!$A$3:$B$212,2,0),"")</f>
        <v/>
      </c>
      <c r="J452" s="280" t="n"/>
      <c r="K452" s="332">
        <f>IFERROR(VLOOKUP(TEXT(O452,"0"),CONDUCTORES!$A$3:$G$54,7,0),"")</f>
        <v/>
      </c>
      <c r="L452" s="280" t="n"/>
      <c r="M452" s="280" t="n"/>
      <c r="N452" s="333">
        <f>IFERROR(IF(L452*M452=0,"",L452*M452),"")</f>
        <v/>
      </c>
      <c r="O452" s="280" t="n"/>
      <c r="P452" s="332">
        <f>IFERROR(VLOOKUP(TEXT(O452,"0"),CONDUCTORES!$A$3:$G$54,2,0),"")</f>
        <v/>
      </c>
      <c r="Q452" s="332">
        <f>IFERROR(VLOOKUP(TEXT(O452,"0"),CONDUCTORES!$A$3:$H$54,6,0),"")</f>
        <v/>
      </c>
      <c r="R452" s="280" t="n"/>
      <c r="S452" s="280" t="n"/>
      <c r="T452" s="280" t="n"/>
      <c r="U452" s="280" t="n"/>
      <c r="V452" s="280" t="n"/>
      <c r="W452" s="280" t="n"/>
      <c r="X452" s="280" t="n"/>
      <c r="Y452" s="280" t="n"/>
      <c r="Z452" s="375">
        <f>IF(AND(G452&lt;&gt;"",R452&lt;&gt;"",V452&lt;&gt;"",W452&lt;&gt;""),"COMPLETADO","OBSERVADO")</f>
        <v/>
      </c>
    </row>
    <row r="453" ht="15" customHeight="1" s="195">
      <c r="A453" s="334" t="n"/>
      <c r="B453" s="334" t="n"/>
      <c r="C453" s="334" t="n"/>
      <c r="D453" s="334" t="n"/>
      <c r="E453" s="334" t="n"/>
      <c r="F453" s="334" t="n"/>
      <c r="G453" s="334" t="n"/>
      <c r="H453" s="334" t="n"/>
      <c r="I453" s="332">
        <f>IFERROR(VLOOKUP(TEXT(H453,"0"),IPRESS!$A$3:$B$212,2,0),"")</f>
        <v/>
      </c>
      <c r="J453" s="334" t="n"/>
      <c r="K453" s="332">
        <f>IFERROR(VLOOKUP(TEXT(O453,"0"),CONDUCTORES!$A$3:$G$54,7,0),"")</f>
        <v/>
      </c>
      <c r="L453" s="334" t="n"/>
      <c r="M453" s="334" t="n"/>
      <c r="N453" s="333">
        <f>IFERROR(IF(L453*M453=0,"",L453*M453),"")</f>
        <v/>
      </c>
      <c r="O453" s="334" t="n"/>
      <c r="P453" s="332">
        <f>IFERROR(VLOOKUP(TEXT(O453,"0"),CONDUCTORES!$A$3:$G$54,2,0),"")</f>
        <v/>
      </c>
      <c r="Q453" s="332">
        <f>IFERROR(VLOOKUP(TEXT(O453,"0"),CONDUCTORES!$A$3:$H$54,6,0),"")</f>
        <v/>
      </c>
      <c r="R453" s="334" t="n"/>
      <c r="S453" s="334" t="n"/>
      <c r="T453" s="334" t="n"/>
      <c r="U453" s="334" t="n"/>
      <c r="V453" s="334" t="n"/>
      <c r="W453" s="334" t="n"/>
      <c r="X453" s="334" t="n"/>
      <c r="Y453" s="334" t="n"/>
      <c r="Z453" s="375">
        <f>IF(AND(G453&lt;&gt;"",R453&lt;&gt;"",V453&lt;&gt;"",W453&lt;&gt;""),"COMPLETADO","OBSERVADO")</f>
        <v/>
      </c>
    </row>
    <row r="454" ht="15" customHeight="1" s="195">
      <c r="A454" s="280" t="n"/>
      <c r="B454" s="280" t="n"/>
      <c r="C454" s="280" t="n"/>
      <c r="D454" s="280" t="n"/>
      <c r="E454" s="280" t="n"/>
      <c r="F454" s="280" t="n"/>
      <c r="G454" s="280" t="n"/>
      <c r="H454" s="280" t="n"/>
      <c r="I454" s="332">
        <f>IFERROR(VLOOKUP(TEXT(H454,"0"),IPRESS!$A$3:$B$212,2,0),"")</f>
        <v/>
      </c>
      <c r="J454" s="280" t="n"/>
      <c r="K454" s="332">
        <f>IFERROR(VLOOKUP(TEXT(O454,"0"),CONDUCTORES!$A$3:$G$54,7,0),"")</f>
        <v/>
      </c>
      <c r="L454" s="280" t="n"/>
      <c r="M454" s="280" t="n"/>
      <c r="N454" s="333">
        <f>IFERROR(IF(L454*M454=0,"",L454*M454),"")</f>
        <v/>
      </c>
      <c r="O454" s="280" t="n"/>
      <c r="P454" s="332">
        <f>IFERROR(VLOOKUP(TEXT(O454,"0"),CONDUCTORES!$A$3:$G$54,2,0),"")</f>
        <v/>
      </c>
      <c r="Q454" s="332">
        <f>IFERROR(VLOOKUP(TEXT(O454,"0"),CONDUCTORES!$A$3:$H$54,6,0),"")</f>
        <v/>
      </c>
      <c r="R454" s="280" t="n"/>
      <c r="S454" s="280" t="n"/>
      <c r="T454" s="280" t="n"/>
      <c r="U454" s="280" t="n"/>
      <c r="V454" s="280" t="n"/>
      <c r="W454" s="280" t="n"/>
      <c r="X454" s="280" t="n"/>
      <c r="Y454" s="280" t="n"/>
      <c r="Z454" s="375">
        <f>IF(AND(G454&lt;&gt;"",R454&lt;&gt;"",V454&lt;&gt;"",W454&lt;&gt;""),"COMPLETADO","OBSERVADO")</f>
        <v/>
      </c>
    </row>
    <row r="455" ht="15" customHeight="1" s="195">
      <c r="A455" s="334" t="n"/>
      <c r="B455" s="334" t="n"/>
      <c r="C455" s="334" t="n"/>
      <c r="D455" s="334" t="n"/>
      <c r="E455" s="334" t="n"/>
      <c r="F455" s="334" t="n"/>
      <c r="G455" s="334" t="n"/>
      <c r="H455" s="334" t="n"/>
      <c r="I455" s="332">
        <f>IFERROR(VLOOKUP(TEXT(H455,"0"),IPRESS!$A$3:$B$212,2,0),"")</f>
        <v/>
      </c>
      <c r="J455" s="334" t="n"/>
      <c r="K455" s="332">
        <f>IFERROR(VLOOKUP(TEXT(O455,"0"),CONDUCTORES!$A$3:$G$54,7,0),"")</f>
        <v/>
      </c>
      <c r="L455" s="334" t="n"/>
      <c r="M455" s="334" t="n"/>
      <c r="N455" s="333">
        <f>IFERROR(IF(L455*M455=0,"",L455*M455),"")</f>
        <v/>
      </c>
      <c r="O455" s="334" t="n"/>
      <c r="P455" s="332">
        <f>IFERROR(VLOOKUP(TEXT(O455,"0"),CONDUCTORES!$A$3:$G$54,2,0),"")</f>
        <v/>
      </c>
      <c r="Q455" s="332">
        <f>IFERROR(VLOOKUP(TEXT(O455,"0"),CONDUCTORES!$A$3:$H$54,6,0),"")</f>
        <v/>
      </c>
      <c r="R455" s="334" t="n"/>
      <c r="S455" s="334" t="n"/>
      <c r="T455" s="334" t="n"/>
      <c r="U455" s="334" t="n"/>
      <c r="V455" s="334" t="n"/>
      <c r="W455" s="334" t="n"/>
      <c r="X455" s="334" t="n"/>
      <c r="Y455" s="334" t="n"/>
      <c r="Z455" s="375">
        <f>IF(AND(G455&lt;&gt;"",R455&lt;&gt;"",V455&lt;&gt;"",W455&lt;&gt;""),"COMPLETADO","OBSERVADO")</f>
        <v/>
      </c>
    </row>
    <row r="456" ht="15" customHeight="1" s="195">
      <c r="A456" s="280" t="n"/>
      <c r="B456" s="280" t="n"/>
      <c r="C456" s="280" t="n"/>
      <c r="D456" s="280" t="n"/>
      <c r="E456" s="280" t="n"/>
      <c r="F456" s="280" t="n"/>
      <c r="G456" s="280" t="n"/>
      <c r="H456" s="280" t="n"/>
      <c r="I456" s="332">
        <f>IFERROR(VLOOKUP(TEXT(H456,"0"),IPRESS!$A$3:$B$212,2,0),"")</f>
        <v/>
      </c>
      <c r="J456" s="280" t="n"/>
      <c r="K456" s="332">
        <f>IFERROR(VLOOKUP(TEXT(O456,"0"),CONDUCTORES!$A$3:$G$54,7,0),"")</f>
        <v/>
      </c>
      <c r="L456" s="280" t="n"/>
      <c r="M456" s="280" t="n"/>
      <c r="N456" s="333">
        <f>IFERROR(IF(L456*M456=0,"",L456*M456),"")</f>
        <v/>
      </c>
      <c r="O456" s="280" t="n"/>
      <c r="P456" s="332">
        <f>IFERROR(VLOOKUP(TEXT(O456,"0"),CONDUCTORES!$A$3:$G$54,2,0),"")</f>
        <v/>
      </c>
      <c r="Q456" s="332">
        <f>IFERROR(VLOOKUP(TEXT(O456,"0"),CONDUCTORES!$A$3:$H$54,6,0),"")</f>
        <v/>
      </c>
      <c r="R456" s="280" t="n"/>
      <c r="S456" s="280" t="n"/>
      <c r="T456" s="280" t="n"/>
      <c r="U456" s="280" t="n"/>
      <c r="V456" s="280" t="n"/>
      <c r="W456" s="280" t="n"/>
      <c r="X456" s="280" t="n"/>
      <c r="Y456" s="280" t="n"/>
      <c r="Z456" s="375">
        <f>IF(AND(G456&lt;&gt;"",R456&lt;&gt;"",V456&lt;&gt;"",W456&lt;&gt;""),"COMPLETADO","OBSERVADO")</f>
        <v/>
      </c>
    </row>
    <row r="457" ht="15" customHeight="1" s="195">
      <c r="A457" s="334" t="n"/>
      <c r="B457" s="334" t="n"/>
      <c r="C457" s="334" t="n"/>
      <c r="D457" s="334" t="n"/>
      <c r="E457" s="334" t="n"/>
      <c r="F457" s="334" t="n"/>
      <c r="G457" s="334" t="n"/>
      <c r="H457" s="334" t="n"/>
      <c r="I457" s="332">
        <f>IFERROR(VLOOKUP(TEXT(H457,"0"),IPRESS!$A$3:$B$212,2,0),"")</f>
        <v/>
      </c>
      <c r="J457" s="334" t="n"/>
      <c r="K457" s="332">
        <f>IFERROR(VLOOKUP(TEXT(O457,"0"),CONDUCTORES!$A$3:$G$54,7,0),"")</f>
        <v/>
      </c>
      <c r="L457" s="334" t="n"/>
      <c r="M457" s="334" t="n"/>
      <c r="N457" s="333">
        <f>IFERROR(IF(L457*M457=0,"",L457*M457),"")</f>
        <v/>
      </c>
      <c r="O457" s="334" t="n"/>
      <c r="P457" s="332">
        <f>IFERROR(VLOOKUP(TEXT(O457,"0"),CONDUCTORES!$A$3:$G$54,2,0),"")</f>
        <v/>
      </c>
      <c r="Q457" s="332">
        <f>IFERROR(VLOOKUP(TEXT(O457,"0"),CONDUCTORES!$A$3:$H$54,6,0),"")</f>
        <v/>
      </c>
      <c r="R457" s="334" t="n"/>
      <c r="S457" s="334" t="n"/>
      <c r="T457" s="334" t="n"/>
      <c r="U457" s="334" t="n"/>
      <c r="V457" s="334" t="n"/>
      <c r="W457" s="334" t="n"/>
      <c r="X457" s="334" t="n"/>
      <c r="Y457" s="334" t="n"/>
      <c r="Z457" s="375">
        <f>IF(AND(G457&lt;&gt;"",R457&lt;&gt;"",V457&lt;&gt;"",W457&lt;&gt;""),"COMPLETADO","OBSERVADO")</f>
        <v/>
      </c>
    </row>
    <row r="458" ht="15" customHeight="1" s="195">
      <c r="A458" s="280" t="n"/>
      <c r="B458" s="280" t="n"/>
      <c r="C458" s="280" t="n"/>
      <c r="D458" s="280" t="n"/>
      <c r="E458" s="280" t="n"/>
      <c r="F458" s="280" t="n"/>
      <c r="G458" s="280" t="n"/>
      <c r="H458" s="280" t="n"/>
      <c r="I458" s="332">
        <f>IFERROR(VLOOKUP(TEXT(H458,"0"),IPRESS!$A$3:$B$212,2,0),"")</f>
        <v/>
      </c>
      <c r="J458" s="280" t="n"/>
      <c r="K458" s="332">
        <f>IFERROR(VLOOKUP(TEXT(O458,"0"),CONDUCTORES!$A$3:$G$54,7,0),"")</f>
        <v/>
      </c>
      <c r="L458" s="280" t="n"/>
      <c r="M458" s="280" t="n"/>
      <c r="N458" s="333">
        <f>IFERROR(IF(L458*M458=0,"",L458*M458),"")</f>
        <v/>
      </c>
      <c r="O458" s="280" t="n"/>
      <c r="P458" s="332">
        <f>IFERROR(VLOOKUP(TEXT(O458,"0"),CONDUCTORES!$A$3:$G$54,2,0),"")</f>
        <v/>
      </c>
      <c r="Q458" s="332">
        <f>IFERROR(VLOOKUP(TEXT(O458,"0"),CONDUCTORES!$A$3:$H$54,6,0),"")</f>
        <v/>
      </c>
      <c r="R458" s="280" t="n"/>
      <c r="S458" s="280" t="n"/>
      <c r="T458" s="280" t="n"/>
      <c r="U458" s="280" t="n"/>
      <c r="V458" s="280" t="n"/>
      <c r="W458" s="280" t="n"/>
      <c r="X458" s="280" t="n"/>
      <c r="Y458" s="280" t="n"/>
      <c r="Z458" s="375">
        <f>IF(AND(G458&lt;&gt;"",R458&lt;&gt;"",V458&lt;&gt;"",W458&lt;&gt;""),"COMPLETADO","OBSERVADO")</f>
        <v/>
      </c>
    </row>
    <row r="459" ht="15" customHeight="1" s="195">
      <c r="A459" s="334" t="n"/>
      <c r="B459" s="334" t="n"/>
      <c r="C459" s="334" t="n"/>
      <c r="D459" s="334" t="n"/>
      <c r="E459" s="334" t="n"/>
      <c r="F459" s="334" t="n"/>
      <c r="G459" s="334" t="n"/>
      <c r="H459" s="334" t="n"/>
      <c r="I459" s="332">
        <f>IFERROR(VLOOKUP(TEXT(H459,"0"),IPRESS!$A$3:$B$212,2,0),"")</f>
        <v/>
      </c>
      <c r="J459" s="334" t="n"/>
      <c r="K459" s="332">
        <f>IFERROR(VLOOKUP(TEXT(O459,"0"),CONDUCTORES!$A$3:$G$54,7,0),"")</f>
        <v/>
      </c>
      <c r="L459" s="334" t="n"/>
      <c r="M459" s="334" t="n"/>
      <c r="N459" s="333">
        <f>IFERROR(IF(L459*M459=0,"",L459*M459),"")</f>
        <v/>
      </c>
      <c r="O459" s="334" t="n"/>
      <c r="P459" s="332">
        <f>IFERROR(VLOOKUP(TEXT(O459,"0"),CONDUCTORES!$A$3:$G$54,2,0),"")</f>
        <v/>
      </c>
      <c r="Q459" s="332">
        <f>IFERROR(VLOOKUP(TEXT(O459,"0"),CONDUCTORES!$A$3:$H$54,6,0),"")</f>
        <v/>
      </c>
      <c r="R459" s="334" t="n"/>
      <c r="S459" s="334" t="n"/>
      <c r="T459" s="334" t="n"/>
      <c r="U459" s="334" t="n"/>
      <c r="V459" s="334" t="n"/>
      <c r="W459" s="334" t="n"/>
      <c r="X459" s="334" t="n"/>
      <c r="Y459" s="334" t="n"/>
      <c r="Z459" s="375">
        <f>IF(AND(G459&lt;&gt;"",R459&lt;&gt;"",V459&lt;&gt;"",W459&lt;&gt;""),"COMPLETADO","OBSERVADO")</f>
        <v/>
      </c>
    </row>
    <row r="460" ht="15" customHeight="1" s="195">
      <c r="A460" s="280" t="n"/>
      <c r="B460" s="280" t="n"/>
      <c r="C460" s="280" t="n"/>
      <c r="D460" s="280" t="n"/>
      <c r="E460" s="280" t="n"/>
      <c r="F460" s="280" t="n"/>
      <c r="G460" s="280" t="n"/>
      <c r="H460" s="280" t="n"/>
      <c r="I460" s="332">
        <f>IFERROR(VLOOKUP(TEXT(H460,"0"),IPRESS!$A$3:$B$212,2,0),"")</f>
        <v/>
      </c>
      <c r="J460" s="280" t="n"/>
      <c r="K460" s="332">
        <f>IFERROR(VLOOKUP(TEXT(O460,"0"),CONDUCTORES!$A$3:$G$54,7,0),"")</f>
        <v/>
      </c>
      <c r="L460" s="280" t="n"/>
      <c r="M460" s="280" t="n"/>
      <c r="N460" s="333">
        <f>IFERROR(IF(L460*M460=0,"",L460*M460),"")</f>
        <v/>
      </c>
      <c r="O460" s="280" t="n"/>
      <c r="P460" s="332">
        <f>IFERROR(VLOOKUP(TEXT(O460,"0"),CONDUCTORES!$A$3:$G$54,2,0),"")</f>
        <v/>
      </c>
      <c r="Q460" s="332">
        <f>IFERROR(VLOOKUP(TEXT(O460,"0"),CONDUCTORES!$A$3:$H$54,6,0),"")</f>
        <v/>
      </c>
      <c r="R460" s="280" t="n"/>
      <c r="S460" s="280" t="n"/>
      <c r="T460" s="280" t="n"/>
      <c r="U460" s="280" t="n"/>
      <c r="V460" s="280" t="n"/>
      <c r="W460" s="280" t="n"/>
      <c r="X460" s="280" t="n"/>
      <c r="Y460" s="280" t="n"/>
      <c r="Z460" s="375">
        <f>IF(AND(G460&lt;&gt;"",R460&lt;&gt;"",V460&lt;&gt;"",W460&lt;&gt;""),"COMPLETADO","OBSERVADO")</f>
        <v/>
      </c>
    </row>
    <row r="461" ht="15" customHeight="1" s="195">
      <c r="A461" s="334" t="n"/>
      <c r="B461" s="334" t="n"/>
      <c r="C461" s="334" t="n"/>
      <c r="D461" s="334" t="n"/>
      <c r="E461" s="334" t="n"/>
      <c r="F461" s="334" t="n"/>
      <c r="G461" s="334" t="n"/>
      <c r="H461" s="334" t="n"/>
      <c r="I461" s="332">
        <f>IFERROR(VLOOKUP(TEXT(H461,"0"),IPRESS!$A$3:$B$212,2,0),"")</f>
        <v/>
      </c>
      <c r="J461" s="334" t="n"/>
      <c r="K461" s="332">
        <f>IFERROR(VLOOKUP(TEXT(O461,"0"),CONDUCTORES!$A$3:$G$54,7,0),"")</f>
        <v/>
      </c>
      <c r="L461" s="334" t="n"/>
      <c r="M461" s="334" t="n"/>
      <c r="N461" s="333">
        <f>IFERROR(IF(L461*M461=0,"",L461*M461),"")</f>
        <v/>
      </c>
      <c r="O461" s="334" t="n"/>
      <c r="P461" s="332">
        <f>IFERROR(VLOOKUP(TEXT(O461,"0"),CONDUCTORES!$A$3:$G$54,2,0),"")</f>
        <v/>
      </c>
      <c r="Q461" s="332">
        <f>IFERROR(VLOOKUP(TEXT(O461,"0"),CONDUCTORES!$A$3:$H$54,6,0),"")</f>
        <v/>
      </c>
      <c r="R461" s="334" t="n"/>
      <c r="S461" s="334" t="n"/>
      <c r="T461" s="334" t="n"/>
      <c r="U461" s="334" t="n"/>
      <c r="V461" s="334" t="n"/>
      <c r="W461" s="334" t="n"/>
      <c r="X461" s="334" t="n"/>
      <c r="Y461" s="334" t="n"/>
      <c r="Z461" s="375">
        <f>IF(AND(G461&lt;&gt;"",R461&lt;&gt;"",V461&lt;&gt;"",W461&lt;&gt;""),"COMPLETADO","OBSERVADO")</f>
        <v/>
      </c>
    </row>
    <row r="462" ht="15" customHeight="1" s="195">
      <c r="A462" s="280" t="n"/>
      <c r="B462" s="280" t="n"/>
      <c r="C462" s="280" t="n"/>
      <c r="D462" s="280" t="n"/>
      <c r="E462" s="280" t="n"/>
      <c r="F462" s="280" t="n"/>
      <c r="G462" s="280" t="n"/>
      <c r="H462" s="280" t="n"/>
      <c r="I462" s="332">
        <f>IFERROR(VLOOKUP(TEXT(H462,"0"),IPRESS!$A$3:$B$212,2,0),"")</f>
        <v/>
      </c>
      <c r="J462" s="280" t="n"/>
      <c r="K462" s="332">
        <f>IFERROR(VLOOKUP(TEXT(O462,"0"),CONDUCTORES!$A$3:$G$54,7,0),"")</f>
        <v/>
      </c>
      <c r="L462" s="280" t="n"/>
      <c r="M462" s="280" t="n"/>
      <c r="N462" s="333">
        <f>IFERROR(IF(L462*M462=0,"",L462*M462),"")</f>
        <v/>
      </c>
      <c r="O462" s="280" t="n"/>
      <c r="P462" s="332">
        <f>IFERROR(VLOOKUP(TEXT(O462,"0"),CONDUCTORES!$A$3:$G$54,2,0),"")</f>
        <v/>
      </c>
      <c r="Q462" s="332">
        <f>IFERROR(VLOOKUP(TEXT(O462,"0"),CONDUCTORES!$A$3:$H$54,6,0),"")</f>
        <v/>
      </c>
      <c r="R462" s="280" t="n"/>
      <c r="S462" s="280" t="n"/>
      <c r="T462" s="280" t="n"/>
      <c r="U462" s="280" t="n"/>
      <c r="V462" s="280" t="n"/>
      <c r="W462" s="280" t="n"/>
      <c r="X462" s="280" t="n"/>
      <c r="Y462" s="280" t="n"/>
      <c r="Z462" s="375">
        <f>IF(AND(G462&lt;&gt;"",R462&lt;&gt;"",V462&lt;&gt;"",W462&lt;&gt;""),"COMPLETADO","OBSERVADO")</f>
        <v/>
      </c>
    </row>
    <row r="463" ht="15" customHeight="1" s="195">
      <c r="A463" s="334" t="n"/>
      <c r="B463" s="334" t="n"/>
      <c r="C463" s="334" t="n"/>
      <c r="D463" s="334" t="n"/>
      <c r="E463" s="334" t="n"/>
      <c r="F463" s="334" t="n"/>
      <c r="G463" s="334" t="n"/>
      <c r="H463" s="334" t="n"/>
      <c r="I463" s="332">
        <f>IFERROR(VLOOKUP(TEXT(H463,"0"),IPRESS!$A$3:$B$212,2,0),"")</f>
        <v/>
      </c>
      <c r="J463" s="334" t="n"/>
      <c r="K463" s="332">
        <f>IFERROR(VLOOKUP(TEXT(O463,"0"),CONDUCTORES!$A$3:$G$54,7,0),"")</f>
        <v/>
      </c>
      <c r="L463" s="334" t="n"/>
      <c r="M463" s="334" t="n"/>
      <c r="N463" s="333">
        <f>IFERROR(IF(L463*M463=0,"",L463*M463),"")</f>
        <v/>
      </c>
      <c r="O463" s="334" t="n"/>
      <c r="P463" s="332">
        <f>IFERROR(VLOOKUP(TEXT(O463,"0"),CONDUCTORES!$A$3:$G$54,2,0),"")</f>
        <v/>
      </c>
      <c r="Q463" s="332">
        <f>IFERROR(VLOOKUP(TEXT(O463,"0"),CONDUCTORES!$A$3:$H$54,6,0),"")</f>
        <v/>
      </c>
      <c r="R463" s="334" t="n"/>
      <c r="S463" s="334" t="n"/>
      <c r="T463" s="334" t="n"/>
      <c r="U463" s="334" t="n"/>
      <c r="V463" s="334" t="n"/>
      <c r="W463" s="334" t="n"/>
      <c r="X463" s="334" t="n"/>
      <c r="Y463" s="334" t="n"/>
      <c r="Z463" s="375">
        <f>IF(AND(G463&lt;&gt;"",R463&lt;&gt;"",V463&lt;&gt;"",W463&lt;&gt;""),"COMPLETADO","OBSERVADO")</f>
        <v/>
      </c>
    </row>
    <row r="464" ht="15" customHeight="1" s="195">
      <c r="A464" s="280" t="n"/>
      <c r="B464" s="280" t="n"/>
      <c r="C464" s="280" t="n"/>
      <c r="D464" s="280" t="n"/>
      <c r="E464" s="280" t="n"/>
      <c r="F464" s="280" t="n"/>
      <c r="G464" s="280" t="n"/>
      <c r="H464" s="280" t="n"/>
      <c r="I464" s="332">
        <f>IFERROR(VLOOKUP(TEXT(H464,"0"),IPRESS!$A$3:$B$212,2,0),"")</f>
        <v/>
      </c>
      <c r="J464" s="280" t="n"/>
      <c r="K464" s="332">
        <f>IFERROR(VLOOKUP(TEXT(O464,"0"),CONDUCTORES!$A$3:$G$54,7,0),"")</f>
        <v/>
      </c>
      <c r="L464" s="280" t="n"/>
      <c r="M464" s="280" t="n"/>
      <c r="N464" s="333">
        <f>IFERROR(IF(L464*M464=0,"",L464*M464),"")</f>
        <v/>
      </c>
      <c r="O464" s="280" t="n"/>
      <c r="P464" s="332">
        <f>IFERROR(VLOOKUP(TEXT(O464,"0"),CONDUCTORES!$A$3:$G$54,2,0),"")</f>
        <v/>
      </c>
      <c r="Q464" s="332">
        <f>IFERROR(VLOOKUP(TEXT(O464,"0"),CONDUCTORES!$A$3:$H$54,6,0),"")</f>
        <v/>
      </c>
      <c r="R464" s="280" t="n"/>
      <c r="S464" s="280" t="n"/>
      <c r="T464" s="280" t="n"/>
      <c r="U464" s="280" t="n"/>
      <c r="V464" s="280" t="n"/>
      <c r="W464" s="280" t="n"/>
      <c r="X464" s="280" t="n"/>
      <c r="Y464" s="280" t="n"/>
      <c r="Z464" s="375">
        <f>IF(AND(G464&lt;&gt;"",R464&lt;&gt;"",V464&lt;&gt;"",W464&lt;&gt;""),"COMPLETADO","OBSERVADO")</f>
        <v/>
      </c>
    </row>
    <row r="465" ht="15" customHeight="1" s="195">
      <c r="A465" s="334" t="n"/>
      <c r="B465" s="334" t="n"/>
      <c r="C465" s="334" t="n"/>
      <c r="D465" s="334" t="n"/>
      <c r="E465" s="334" t="n"/>
      <c r="F465" s="334" t="n"/>
      <c r="G465" s="334" t="n"/>
      <c r="H465" s="334" t="n"/>
      <c r="I465" s="332">
        <f>IFERROR(VLOOKUP(TEXT(H465,"0"),IPRESS!$A$3:$B$212,2,0),"")</f>
        <v/>
      </c>
      <c r="J465" s="334" t="n"/>
      <c r="K465" s="332">
        <f>IFERROR(VLOOKUP(TEXT(O465,"0"),CONDUCTORES!$A$3:$G$54,7,0),"")</f>
        <v/>
      </c>
      <c r="L465" s="334" t="n"/>
      <c r="M465" s="334" t="n"/>
      <c r="N465" s="333">
        <f>IFERROR(IF(L465*M465=0,"",L465*M465),"")</f>
        <v/>
      </c>
      <c r="O465" s="334" t="n"/>
      <c r="P465" s="332">
        <f>IFERROR(VLOOKUP(TEXT(O465,"0"),CONDUCTORES!$A$3:$G$54,2,0),"")</f>
        <v/>
      </c>
      <c r="Q465" s="332">
        <f>IFERROR(VLOOKUP(TEXT(O465,"0"),CONDUCTORES!$A$3:$H$54,6,0),"")</f>
        <v/>
      </c>
      <c r="R465" s="334" t="n"/>
      <c r="S465" s="334" t="n"/>
      <c r="T465" s="334" t="n"/>
      <c r="U465" s="334" t="n"/>
      <c r="V465" s="334" t="n"/>
      <c r="W465" s="334" t="n"/>
      <c r="X465" s="334" t="n"/>
      <c r="Y465" s="334" t="n"/>
      <c r="Z465" s="375">
        <f>IF(AND(G465&lt;&gt;"",R465&lt;&gt;"",V465&lt;&gt;"",W465&lt;&gt;""),"COMPLETADO","OBSERVADO")</f>
        <v/>
      </c>
    </row>
    <row r="466" ht="15" customHeight="1" s="195">
      <c r="A466" s="280" t="n"/>
      <c r="B466" s="280" t="n"/>
      <c r="C466" s="280" t="n"/>
      <c r="D466" s="280" t="n"/>
      <c r="E466" s="280" t="n"/>
      <c r="F466" s="280" t="n"/>
      <c r="G466" s="280" t="n"/>
      <c r="H466" s="280" t="n"/>
      <c r="I466" s="332">
        <f>IFERROR(VLOOKUP(TEXT(H466,"0"),IPRESS!$A$3:$B$212,2,0),"")</f>
        <v/>
      </c>
      <c r="J466" s="280" t="n"/>
      <c r="K466" s="332">
        <f>IFERROR(VLOOKUP(TEXT(O466,"0"),CONDUCTORES!$A$3:$G$54,7,0),"")</f>
        <v/>
      </c>
      <c r="L466" s="280" t="n"/>
      <c r="M466" s="280" t="n"/>
      <c r="N466" s="333">
        <f>IFERROR(IF(L466*M466=0,"",L466*M466),"")</f>
        <v/>
      </c>
      <c r="O466" s="280" t="n"/>
      <c r="P466" s="332">
        <f>IFERROR(VLOOKUP(TEXT(O466,"0"),CONDUCTORES!$A$3:$G$54,2,0),"")</f>
        <v/>
      </c>
      <c r="Q466" s="332">
        <f>IFERROR(VLOOKUP(TEXT(O466,"0"),CONDUCTORES!$A$3:$H$54,6,0),"")</f>
        <v/>
      </c>
      <c r="R466" s="280" t="n"/>
      <c r="S466" s="280" t="n"/>
      <c r="T466" s="280" t="n"/>
      <c r="U466" s="280" t="n"/>
      <c r="V466" s="280" t="n"/>
      <c r="W466" s="280" t="n"/>
      <c r="X466" s="280" t="n"/>
      <c r="Y466" s="280" t="n"/>
      <c r="Z466" s="375">
        <f>IF(AND(G466&lt;&gt;"",R466&lt;&gt;"",V466&lt;&gt;"",W466&lt;&gt;""),"COMPLETADO","OBSERVADO")</f>
        <v/>
      </c>
    </row>
    <row r="467" ht="15" customHeight="1" s="195">
      <c r="A467" s="334" t="n"/>
      <c r="B467" s="334" t="n"/>
      <c r="C467" s="334" t="n"/>
      <c r="D467" s="334" t="n"/>
      <c r="E467" s="334" t="n"/>
      <c r="F467" s="334" t="n"/>
      <c r="G467" s="334" t="n"/>
      <c r="H467" s="334" t="n"/>
      <c r="I467" s="332">
        <f>IFERROR(VLOOKUP(TEXT(H467,"0"),IPRESS!$A$3:$B$212,2,0),"")</f>
        <v/>
      </c>
      <c r="J467" s="334" t="n"/>
      <c r="K467" s="332">
        <f>IFERROR(VLOOKUP(TEXT(O467,"0"),CONDUCTORES!$A$3:$G$54,7,0),"")</f>
        <v/>
      </c>
      <c r="L467" s="334" t="n"/>
      <c r="M467" s="334" t="n"/>
      <c r="N467" s="333">
        <f>IFERROR(IF(L467*M467=0,"",L467*M467),"")</f>
        <v/>
      </c>
      <c r="O467" s="334" t="n"/>
      <c r="P467" s="332">
        <f>IFERROR(VLOOKUP(TEXT(O467,"0"),CONDUCTORES!$A$3:$G$54,2,0),"")</f>
        <v/>
      </c>
      <c r="Q467" s="332">
        <f>IFERROR(VLOOKUP(TEXT(O467,"0"),CONDUCTORES!$A$3:$H$54,6,0),"")</f>
        <v/>
      </c>
      <c r="R467" s="334" t="n"/>
      <c r="S467" s="334" t="n"/>
      <c r="T467" s="334" t="n"/>
      <c r="U467" s="334" t="n"/>
      <c r="V467" s="334" t="n"/>
      <c r="W467" s="334" t="n"/>
      <c r="X467" s="334" t="n"/>
      <c r="Y467" s="334" t="n"/>
      <c r="Z467" s="375">
        <f>IF(AND(G467&lt;&gt;"",R467&lt;&gt;"",V467&lt;&gt;"",W467&lt;&gt;""),"COMPLETADO","OBSERVADO")</f>
        <v/>
      </c>
    </row>
    <row r="468" ht="15" customHeight="1" s="195">
      <c r="A468" s="280" t="n"/>
      <c r="B468" s="280" t="n"/>
      <c r="C468" s="280" t="n"/>
      <c r="D468" s="280" t="n"/>
      <c r="E468" s="280" t="n"/>
      <c r="F468" s="280" t="n"/>
      <c r="G468" s="280" t="n"/>
      <c r="H468" s="280" t="n"/>
      <c r="I468" s="332">
        <f>IFERROR(VLOOKUP(TEXT(H468,"0"),IPRESS!$A$3:$B$212,2,0),"")</f>
        <v/>
      </c>
      <c r="J468" s="280" t="n"/>
      <c r="K468" s="332">
        <f>IFERROR(VLOOKUP(TEXT(O468,"0"),CONDUCTORES!$A$3:$G$54,7,0),"")</f>
        <v/>
      </c>
      <c r="L468" s="280" t="n"/>
      <c r="M468" s="280" t="n"/>
      <c r="N468" s="333">
        <f>IFERROR(IF(L468*M468=0,"",L468*M468),"")</f>
        <v/>
      </c>
      <c r="O468" s="280" t="n"/>
      <c r="P468" s="332">
        <f>IFERROR(VLOOKUP(TEXT(O468,"0"),CONDUCTORES!$A$3:$G$54,2,0),"")</f>
        <v/>
      </c>
      <c r="Q468" s="332">
        <f>IFERROR(VLOOKUP(TEXT(O468,"0"),CONDUCTORES!$A$3:$H$54,6,0),"")</f>
        <v/>
      </c>
      <c r="R468" s="280" t="n"/>
      <c r="S468" s="280" t="n"/>
      <c r="T468" s="280" t="n"/>
      <c r="U468" s="280" t="n"/>
      <c r="V468" s="280" t="n"/>
      <c r="W468" s="280" t="n"/>
      <c r="X468" s="280" t="n"/>
      <c r="Y468" s="280" t="n"/>
      <c r="Z468" s="375">
        <f>IF(AND(G468&lt;&gt;"",R468&lt;&gt;"",V468&lt;&gt;"",W468&lt;&gt;""),"COMPLETADO","OBSERVADO")</f>
        <v/>
      </c>
    </row>
    <row r="469" ht="15" customHeight="1" s="195">
      <c r="A469" s="334" t="n"/>
      <c r="B469" s="334" t="n"/>
      <c r="C469" s="334" t="n"/>
      <c r="D469" s="334" t="n"/>
      <c r="E469" s="334" t="n"/>
      <c r="F469" s="334" t="n"/>
      <c r="G469" s="334" t="n"/>
      <c r="H469" s="334" t="n"/>
      <c r="I469" s="332">
        <f>IFERROR(VLOOKUP(TEXT(H469,"0"),IPRESS!$A$3:$B$212,2,0),"")</f>
        <v/>
      </c>
      <c r="J469" s="334" t="n"/>
      <c r="K469" s="332">
        <f>IFERROR(VLOOKUP(TEXT(O469,"0"),CONDUCTORES!$A$3:$G$54,7,0),"")</f>
        <v/>
      </c>
      <c r="L469" s="334" t="n"/>
      <c r="M469" s="334" t="n"/>
      <c r="N469" s="333">
        <f>IFERROR(IF(L469*M469=0,"",L469*M469),"")</f>
        <v/>
      </c>
      <c r="O469" s="334" t="n"/>
      <c r="P469" s="332">
        <f>IFERROR(VLOOKUP(TEXT(O469,"0"),CONDUCTORES!$A$3:$G$54,2,0),"")</f>
        <v/>
      </c>
      <c r="Q469" s="332">
        <f>IFERROR(VLOOKUP(TEXT(O469,"0"),CONDUCTORES!$A$3:$H$54,6,0),"")</f>
        <v/>
      </c>
      <c r="R469" s="334" t="n"/>
      <c r="S469" s="334" t="n"/>
      <c r="T469" s="334" t="n"/>
      <c r="U469" s="334" t="n"/>
      <c r="V469" s="334" t="n"/>
      <c r="W469" s="334" t="n"/>
      <c r="X469" s="334" t="n"/>
      <c r="Y469" s="334" t="n"/>
      <c r="Z469" s="375">
        <f>IF(AND(G469&lt;&gt;"",R469&lt;&gt;"",V469&lt;&gt;"",W469&lt;&gt;""),"COMPLETADO","OBSERVADO")</f>
        <v/>
      </c>
    </row>
    <row r="470" ht="15" customHeight="1" s="195">
      <c r="A470" s="280" t="n"/>
      <c r="B470" s="280" t="n"/>
      <c r="C470" s="280" t="n"/>
      <c r="D470" s="280" t="n"/>
      <c r="E470" s="280" t="n"/>
      <c r="F470" s="280" t="n"/>
      <c r="G470" s="280" t="n"/>
      <c r="H470" s="280" t="n"/>
      <c r="I470" s="332">
        <f>IFERROR(VLOOKUP(TEXT(H470,"0"),IPRESS!$A$3:$B$212,2,0),"")</f>
        <v/>
      </c>
      <c r="J470" s="280" t="n"/>
      <c r="K470" s="332">
        <f>IFERROR(VLOOKUP(TEXT(O470,"0"),CONDUCTORES!$A$3:$G$54,7,0),"")</f>
        <v/>
      </c>
      <c r="L470" s="280" t="n"/>
      <c r="M470" s="280" t="n"/>
      <c r="N470" s="333">
        <f>IFERROR(IF(L470*M470=0,"",L470*M470),"")</f>
        <v/>
      </c>
      <c r="O470" s="280" t="n"/>
      <c r="P470" s="332">
        <f>IFERROR(VLOOKUP(TEXT(O470,"0"),CONDUCTORES!$A$3:$G$54,2,0),"")</f>
        <v/>
      </c>
      <c r="Q470" s="332">
        <f>IFERROR(VLOOKUP(TEXT(O470,"0"),CONDUCTORES!$A$3:$H$54,6,0),"")</f>
        <v/>
      </c>
      <c r="R470" s="280" t="n"/>
      <c r="S470" s="280" t="n"/>
      <c r="T470" s="280" t="n"/>
      <c r="U470" s="280" t="n"/>
      <c r="V470" s="280" t="n"/>
      <c r="W470" s="280" t="n"/>
      <c r="X470" s="280" t="n"/>
      <c r="Y470" s="280" t="n"/>
      <c r="Z470" s="375">
        <f>IF(AND(G470&lt;&gt;"",R470&lt;&gt;"",V470&lt;&gt;"",W470&lt;&gt;""),"COMPLETADO","OBSERVADO")</f>
        <v/>
      </c>
    </row>
    <row r="471" ht="15" customHeight="1" s="195">
      <c r="A471" s="334" t="n"/>
      <c r="B471" s="334" t="n"/>
      <c r="C471" s="334" t="n"/>
      <c r="D471" s="334" t="n"/>
      <c r="E471" s="334" t="n"/>
      <c r="F471" s="334" t="n"/>
      <c r="G471" s="334" t="n"/>
      <c r="H471" s="334" t="n"/>
      <c r="I471" s="332">
        <f>IFERROR(VLOOKUP(TEXT(H471,"0"),IPRESS!$A$3:$B$212,2,0),"")</f>
        <v/>
      </c>
      <c r="J471" s="334" t="n"/>
      <c r="K471" s="332">
        <f>IFERROR(VLOOKUP(TEXT(O471,"0"),CONDUCTORES!$A$3:$G$54,7,0),"")</f>
        <v/>
      </c>
      <c r="L471" s="334" t="n"/>
      <c r="M471" s="334" t="n"/>
      <c r="N471" s="333">
        <f>IFERROR(IF(L471*M471=0,"",L471*M471),"")</f>
        <v/>
      </c>
      <c r="O471" s="334" t="n"/>
      <c r="P471" s="332">
        <f>IFERROR(VLOOKUP(TEXT(O471,"0"),CONDUCTORES!$A$3:$G$54,2,0),"")</f>
        <v/>
      </c>
      <c r="Q471" s="332">
        <f>IFERROR(VLOOKUP(TEXT(O471,"0"),CONDUCTORES!$A$3:$H$54,6,0),"")</f>
        <v/>
      </c>
      <c r="R471" s="334" t="n"/>
      <c r="S471" s="334" t="n"/>
      <c r="T471" s="334" t="n"/>
      <c r="U471" s="334" t="n"/>
      <c r="V471" s="334" t="n"/>
      <c r="W471" s="334" t="n"/>
      <c r="X471" s="334" t="n"/>
      <c r="Y471" s="334" t="n"/>
      <c r="Z471" s="375">
        <f>IF(AND(G471&lt;&gt;"",R471&lt;&gt;"",V471&lt;&gt;"",W471&lt;&gt;""),"COMPLETADO","OBSERVADO")</f>
        <v/>
      </c>
    </row>
    <row r="472" ht="15" customHeight="1" s="195">
      <c r="A472" s="280" t="n"/>
      <c r="B472" s="280" t="n"/>
      <c r="C472" s="280" t="n"/>
      <c r="D472" s="280" t="n"/>
      <c r="E472" s="280" t="n"/>
      <c r="F472" s="280" t="n"/>
      <c r="G472" s="280" t="n"/>
      <c r="H472" s="280" t="n"/>
      <c r="I472" s="332">
        <f>IFERROR(VLOOKUP(TEXT(H472,"0"),IPRESS!$A$3:$B$212,2,0),"")</f>
        <v/>
      </c>
      <c r="J472" s="280" t="n"/>
      <c r="K472" s="332">
        <f>IFERROR(VLOOKUP(TEXT(O472,"0"),CONDUCTORES!$A$3:$G$54,7,0),"")</f>
        <v/>
      </c>
      <c r="L472" s="280" t="n"/>
      <c r="M472" s="280" t="n"/>
      <c r="N472" s="333">
        <f>IFERROR(IF(L472*M472=0,"",L472*M472),"")</f>
        <v/>
      </c>
      <c r="O472" s="280" t="n"/>
      <c r="P472" s="332">
        <f>IFERROR(VLOOKUP(TEXT(O472,"0"),CONDUCTORES!$A$3:$G$54,2,0),"")</f>
        <v/>
      </c>
      <c r="Q472" s="332">
        <f>IFERROR(VLOOKUP(TEXT(O472,"0"),CONDUCTORES!$A$3:$H$54,6,0),"")</f>
        <v/>
      </c>
      <c r="R472" s="280" t="n"/>
      <c r="S472" s="280" t="n"/>
      <c r="T472" s="280" t="n"/>
      <c r="U472" s="280" t="n"/>
      <c r="V472" s="280" t="n"/>
      <c r="W472" s="280" t="n"/>
      <c r="X472" s="280" t="n"/>
      <c r="Y472" s="280" t="n"/>
      <c r="Z472" s="375">
        <f>IF(AND(G472&lt;&gt;"",R472&lt;&gt;"",V472&lt;&gt;"",W472&lt;&gt;""),"COMPLETADO","OBSERVADO")</f>
        <v/>
      </c>
    </row>
    <row r="473" ht="15" customHeight="1" s="195">
      <c r="A473" s="334" t="n"/>
      <c r="B473" s="334" t="n"/>
      <c r="C473" s="334" t="n"/>
      <c r="D473" s="334" t="n"/>
      <c r="E473" s="334" t="n"/>
      <c r="F473" s="334" t="n"/>
      <c r="G473" s="334" t="n"/>
      <c r="H473" s="334" t="n"/>
      <c r="I473" s="332">
        <f>IFERROR(VLOOKUP(TEXT(H473,"0"),IPRESS!$A$3:$B$212,2,0),"")</f>
        <v/>
      </c>
      <c r="J473" s="334" t="n"/>
      <c r="K473" s="332">
        <f>IFERROR(VLOOKUP(TEXT(O473,"0"),CONDUCTORES!$A$3:$G$54,7,0),"")</f>
        <v/>
      </c>
      <c r="L473" s="334" t="n"/>
      <c r="M473" s="334" t="n"/>
      <c r="N473" s="333">
        <f>IFERROR(IF(L473*M473=0,"",L473*M473),"")</f>
        <v/>
      </c>
      <c r="O473" s="334" t="n"/>
      <c r="P473" s="332">
        <f>IFERROR(VLOOKUP(TEXT(O473,"0"),CONDUCTORES!$A$3:$G$54,2,0),"")</f>
        <v/>
      </c>
      <c r="Q473" s="332">
        <f>IFERROR(VLOOKUP(TEXT(O473,"0"),CONDUCTORES!$A$3:$H$54,6,0),"")</f>
        <v/>
      </c>
      <c r="R473" s="334" t="n"/>
      <c r="S473" s="334" t="n"/>
      <c r="T473" s="334" t="n"/>
      <c r="U473" s="334" t="n"/>
      <c r="V473" s="334" t="n"/>
      <c r="W473" s="334" t="n"/>
      <c r="X473" s="334" t="n"/>
      <c r="Y473" s="334" t="n"/>
      <c r="Z473" s="375">
        <f>IF(AND(G473&lt;&gt;"",R473&lt;&gt;"",V473&lt;&gt;"",W473&lt;&gt;""),"COMPLETADO","OBSERVADO")</f>
        <v/>
      </c>
    </row>
    <row r="474" ht="15" customHeight="1" s="195">
      <c r="A474" s="280" t="n"/>
      <c r="B474" s="280" t="n"/>
      <c r="C474" s="280" t="n"/>
      <c r="D474" s="280" t="n"/>
      <c r="E474" s="280" t="n"/>
      <c r="F474" s="280" t="n"/>
      <c r="G474" s="280" t="n"/>
      <c r="H474" s="280" t="n"/>
      <c r="I474" s="332">
        <f>IFERROR(VLOOKUP(TEXT(H474,"0"),IPRESS!$A$3:$B$212,2,0),"")</f>
        <v/>
      </c>
      <c r="J474" s="280" t="n"/>
      <c r="K474" s="332">
        <f>IFERROR(VLOOKUP(TEXT(O474,"0"),CONDUCTORES!$A$3:$G$54,7,0),"")</f>
        <v/>
      </c>
      <c r="L474" s="280" t="n"/>
      <c r="M474" s="280" t="n"/>
      <c r="N474" s="333">
        <f>IFERROR(IF(L474*M474=0,"",L474*M474),"")</f>
        <v/>
      </c>
      <c r="O474" s="280" t="n"/>
      <c r="P474" s="332">
        <f>IFERROR(VLOOKUP(TEXT(O474,"0"),CONDUCTORES!$A$3:$G$54,2,0),"")</f>
        <v/>
      </c>
      <c r="Q474" s="332">
        <f>IFERROR(VLOOKUP(TEXT(O474,"0"),CONDUCTORES!$A$3:$H$54,6,0),"")</f>
        <v/>
      </c>
      <c r="R474" s="280" t="n"/>
      <c r="S474" s="280" t="n"/>
      <c r="T474" s="280" t="n"/>
      <c r="U474" s="280" t="n"/>
      <c r="V474" s="280" t="n"/>
      <c r="W474" s="280" t="n"/>
      <c r="X474" s="280" t="n"/>
      <c r="Y474" s="280" t="n"/>
      <c r="Z474" s="375">
        <f>IF(AND(G474&lt;&gt;"",R474&lt;&gt;"",V474&lt;&gt;"",W474&lt;&gt;""),"COMPLETADO","OBSERVADO")</f>
        <v/>
      </c>
    </row>
    <row r="475" ht="15" customHeight="1" s="195">
      <c r="A475" s="334" t="n"/>
      <c r="B475" s="334" t="n"/>
      <c r="C475" s="334" t="n"/>
      <c r="D475" s="334" t="n"/>
      <c r="E475" s="334" t="n"/>
      <c r="F475" s="334" t="n"/>
      <c r="G475" s="334" t="n"/>
      <c r="H475" s="334" t="n"/>
      <c r="I475" s="332">
        <f>IFERROR(VLOOKUP(TEXT(H475,"0"),IPRESS!$A$3:$B$212,2,0),"")</f>
        <v/>
      </c>
      <c r="J475" s="334" t="n"/>
      <c r="K475" s="332">
        <f>IFERROR(VLOOKUP(TEXT(O475,"0"),CONDUCTORES!$A$3:$G$54,7,0),"")</f>
        <v/>
      </c>
      <c r="L475" s="334" t="n"/>
      <c r="M475" s="334" t="n"/>
      <c r="N475" s="333">
        <f>IFERROR(IF(L475*M475=0,"",L475*M475),"")</f>
        <v/>
      </c>
      <c r="O475" s="334" t="n"/>
      <c r="P475" s="332">
        <f>IFERROR(VLOOKUP(TEXT(O475,"0"),CONDUCTORES!$A$3:$G$54,2,0),"")</f>
        <v/>
      </c>
      <c r="Q475" s="332">
        <f>IFERROR(VLOOKUP(TEXT(O475,"0"),CONDUCTORES!$A$3:$H$54,6,0),"")</f>
        <v/>
      </c>
      <c r="R475" s="334" t="n"/>
      <c r="S475" s="334" t="n"/>
      <c r="T475" s="334" t="n"/>
      <c r="U475" s="334" t="n"/>
      <c r="V475" s="334" t="n"/>
      <c r="W475" s="334" t="n"/>
      <c r="X475" s="334" t="n"/>
      <c r="Y475" s="334" t="n"/>
      <c r="Z475" s="375">
        <f>IF(AND(G475&lt;&gt;"",R475&lt;&gt;"",V475&lt;&gt;"",W475&lt;&gt;""),"COMPLETADO","OBSERVADO")</f>
        <v/>
      </c>
    </row>
    <row r="476" ht="15" customHeight="1" s="195">
      <c r="A476" s="280" t="n"/>
      <c r="B476" s="280" t="n"/>
      <c r="C476" s="280" t="n"/>
      <c r="D476" s="280" t="n"/>
      <c r="E476" s="280" t="n"/>
      <c r="F476" s="280" t="n"/>
      <c r="G476" s="280" t="n"/>
      <c r="H476" s="280" t="n"/>
      <c r="I476" s="332">
        <f>IFERROR(VLOOKUP(TEXT(H476,"0"),IPRESS!$A$3:$B$212,2,0),"")</f>
        <v/>
      </c>
      <c r="J476" s="280" t="n"/>
      <c r="K476" s="332">
        <f>IFERROR(VLOOKUP(TEXT(O476,"0"),CONDUCTORES!$A$3:$G$54,7,0),"")</f>
        <v/>
      </c>
      <c r="L476" s="280" t="n"/>
      <c r="M476" s="280" t="n"/>
      <c r="N476" s="333">
        <f>IFERROR(IF(L476*M476=0,"",L476*M476),"")</f>
        <v/>
      </c>
      <c r="O476" s="280" t="n"/>
      <c r="P476" s="332">
        <f>IFERROR(VLOOKUP(TEXT(O476,"0"),CONDUCTORES!$A$3:$G$54,2,0),"")</f>
        <v/>
      </c>
      <c r="Q476" s="332">
        <f>IFERROR(VLOOKUP(TEXT(O476,"0"),CONDUCTORES!$A$3:$H$54,6,0),"")</f>
        <v/>
      </c>
      <c r="R476" s="280" t="n"/>
      <c r="S476" s="280" t="n"/>
      <c r="T476" s="280" t="n"/>
      <c r="U476" s="280" t="n"/>
      <c r="V476" s="280" t="n"/>
      <c r="W476" s="280" t="n"/>
      <c r="X476" s="280" t="n"/>
      <c r="Y476" s="280" t="n"/>
      <c r="Z476" s="375">
        <f>IF(AND(G476&lt;&gt;"",R476&lt;&gt;"",V476&lt;&gt;"",W476&lt;&gt;""),"COMPLETADO","OBSERVADO")</f>
        <v/>
      </c>
    </row>
    <row r="477" ht="15" customHeight="1" s="195">
      <c r="A477" s="334" t="n"/>
      <c r="B477" s="334" t="n"/>
      <c r="C477" s="334" t="n"/>
      <c r="D477" s="334" t="n"/>
      <c r="E477" s="334" t="n"/>
      <c r="F477" s="334" t="n"/>
      <c r="G477" s="334" t="n"/>
      <c r="H477" s="334" t="n"/>
      <c r="I477" s="332">
        <f>IFERROR(VLOOKUP(TEXT(H477,"0"),IPRESS!$A$3:$B$212,2,0),"")</f>
        <v/>
      </c>
      <c r="J477" s="334" t="n"/>
      <c r="K477" s="332">
        <f>IFERROR(VLOOKUP(TEXT(O477,"0"),CONDUCTORES!$A$3:$G$54,7,0),"")</f>
        <v/>
      </c>
      <c r="L477" s="334" t="n"/>
      <c r="M477" s="334" t="n"/>
      <c r="N477" s="333">
        <f>IFERROR(IF(L477*M477=0,"",L477*M477),"")</f>
        <v/>
      </c>
      <c r="O477" s="334" t="n"/>
      <c r="P477" s="332">
        <f>IFERROR(VLOOKUP(TEXT(O477,"0"),CONDUCTORES!$A$3:$G$54,2,0),"")</f>
        <v/>
      </c>
      <c r="Q477" s="332">
        <f>IFERROR(VLOOKUP(TEXT(O477,"0"),CONDUCTORES!$A$3:$H$54,6,0),"")</f>
        <v/>
      </c>
      <c r="R477" s="334" t="n"/>
      <c r="S477" s="334" t="n"/>
      <c r="T477" s="334" t="n"/>
      <c r="U477" s="334" t="n"/>
      <c r="V477" s="334" t="n"/>
      <c r="W477" s="334" t="n"/>
      <c r="X477" s="334" t="n"/>
      <c r="Y477" s="334" t="n"/>
      <c r="Z477" s="375">
        <f>IF(AND(G477&lt;&gt;"",R477&lt;&gt;"",V477&lt;&gt;"",W477&lt;&gt;""),"COMPLETADO","OBSERVADO")</f>
        <v/>
      </c>
    </row>
    <row r="478" ht="15" customHeight="1" s="195">
      <c r="A478" s="280" t="n"/>
      <c r="B478" s="280" t="n"/>
      <c r="C478" s="280" t="n"/>
      <c r="D478" s="280" t="n"/>
      <c r="E478" s="280" t="n"/>
      <c r="F478" s="280" t="n"/>
      <c r="G478" s="280" t="n"/>
      <c r="H478" s="280" t="n"/>
      <c r="I478" s="332">
        <f>IFERROR(VLOOKUP(TEXT(H478,"0"),IPRESS!$A$3:$B$212,2,0),"")</f>
        <v/>
      </c>
      <c r="J478" s="280" t="n"/>
      <c r="K478" s="332">
        <f>IFERROR(VLOOKUP(TEXT(O478,"0"),CONDUCTORES!$A$3:$G$54,7,0),"")</f>
        <v/>
      </c>
      <c r="L478" s="280" t="n"/>
      <c r="M478" s="280" t="n"/>
      <c r="N478" s="333">
        <f>IFERROR(IF(L478*M478=0,"",L478*M478),"")</f>
        <v/>
      </c>
      <c r="O478" s="280" t="n"/>
      <c r="P478" s="332">
        <f>IFERROR(VLOOKUP(TEXT(O478,"0"),CONDUCTORES!$A$3:$G$54,2,0),"")</f>
        <v/>
      </c>
      <c r="Q478" s="332">
        <f>IFERROR(VLOOKUP(TEXT(O478,"0"),CONDUCTORES!$A$3:$H$54,6,0),"")</f>
        <v/>
      </c>
      <c r="R478" s="280" t="n"/>
      <c r="S478" s="280" t="n"/>
      <c r="T478" s="280" t="n"/>
      <c r="U478" s="280" t="n"/>
      <c r="V478" s="280" t="n"/>
      <c r="W478" s="280" t="n"/>
      <c r="X478" s="280" t="n"/>
      <c r="Y478" s="280" t="n"/>
      <c r="Z478" s="375">
        <f>IF(AND(G478&lt;&gt;"",R478&lt;&gt;"",V478&lt;&gt;"",W478&lt;&gt;""),"COMPLETADO","OBSERVADO")</f>
        <v/>
      </c>
    </row>
    <row r="479" ht="15" customHeight="1" s="195">
      <c r="A479" s="334" t="n"/>
      <c r="B479" s="334" t="n"/>
      <c r="C479" s="334" t="n"/>
      <c r="D479" s="334" t="n"/>
      <c r="E479" s="334" t="n"/>
      <c r="F479" s="334" t="n"/>
      <c r="G479" s="334" t="n"/>
      <c r="H479" s="334" t="n"/>
      <c r="I479" s="332">
        <f>IFERROR(VLOOKUP(TEXT(H479,"0"),IPRESS!$A$3:$B$212,2,0),"")</f>
        <v/>
      </c>
      <c r="J479" s="334" t="n"/>
      <c r="K479" s="332">
        <f>IFERROR(VLOOKUP(TEXT(O479,"0"),CONDUCTORES!$A$3:$G$54,7,0),"")</f>
        <v/>
      </c>
      <c r="L479" s="334" t="n"/>
      <c r="M479" s="334" t="n"/>
      <c r="N479" s="333">
        <f>IFERROR(IF(L479*M479=0,"",L479*M479),"")</f>
        <v/>
      </c>
      <c r="O479" s="334" t="n"/>
      <c r="P479" s="332">
        <f>IFERROR(VLOOKUP(TEXT(O479,"0"),CONDUCTORES!$A$3:$G$54,2,0),"")</f>
        <v/>
      </c>
      <c r="Q479" s="332">
        <f>IFERROR(VLOOKUP(TEXT(O479,"0"),CONDUCTORES!$A$3:$H$54,6,0),"")</f>
        <v/>
      </c>
      <c r="R479" s="334" t="n"/>
      <c r="S479" s="334" t="n"/>
      <c r="T479" s="334" t="n"/>
      <c r="U479" s="334" t="n"/>
      <c r="V479" s="334" t="n"/>
      <c r="W479" s="334" t="n"/>
      <c r="X479" s="334" t="n"/>
      <c r="Y479" s="334" t="n"/>
      <c r="Z479" s="375">
        <f>IF(AND(G479&lt;&gt;"",R479&lt;&gt;"",V479&lt;&gt;"",W479&lt;&gt;""),"COMPLETADO","OBSERVADO")</f>
        <v/>
      </c>
    </row>
    <row r="480" ht="15" customHeight="1" s="195">
      <c r="A480" s="280" t="n"/>
      <c r="B480" s="280" t="n"/>
      <c r="C480" s="280" t="n"/>
      <c r="D480" s="280" t="n"/>
      <c r="E480" s="280" t="n"/>
      <c r="F480" s="280" t="n"/>
      <c r="G480" s="280" t="n"/>
      <c r="H480" s="280" t="n"/>
      <c r="I480" s="332">
        <f>IFERROR(VLOOKUP(TEXT(H480,"0"),IPRESS!$A$3:$B$212,2,0),"")</f>
        <v/>
      </c>
      <c r="J480" s="280" t="n"/>
      <c r="K480" s="332">
        <f>IFERROR(VLOOKUP(TEXT(O480,"0"),CONDUCTORES!$A$3:$G$54,7,0),"")</f>
        <v/>
      </c>
      <c r="L480" s="280" t="n"/>
      <c r="M480" s="280" t="n"/>
      <c r="N480" s="333">
        <f>IFERROR(IF(L480*M480=0,"",L480*M480),"")</f>
        <v/>
      </c>
      <c r="O480" s="280" t="n"/>
      <c r="P480" s="332">
        <f>IFERROR(VLOOKUP(TEXT(O480,"0"),CONDUCTORES!$A$3:$G$54,2,0),"")</f>
        <v/>
      </c>
      <c r="Q480" s="332">
        <f>IFERROR(VLOOKUP(TEXT(O480,"0"),CONDUCTORES!$A$3:$H$54,6,0),"")</f>
        <v/>
      </c>
      <c r="R480" s="280" t="n"/>
      <c r="S480" s="280" t="n"/>
      <c r="T480" s="280" t="n"/>
      <c r="U480" s="280" t="n"/>
      <c r="V480" s="280" t="n"/>
      <c r="W480" s="280" t="n"/>
      <c r="X480" s="280" t="n"/>
      <c r="Y480" s="280" t="n"/>
      <c r="Z480" s="375">
        <f>IF(AND(G480&lt;&gt;"",R480&lt;&gt;"",V480&lt;&gt;"",W480&lt;&gt;""),"COMPLETADO","OBSERVADO")</f>
        <v/>
      </c>
    </row>
    <row r="481" ht="15" customHeight="1" s="195">
      <c r="A481" s="334" t="n"/>
      <c r="B481" s="334" t="n"/>
      <c r="C481" s="334" t="n"/>
      <c r="D481" s="334" t="n"/>
      <c r="E481" s="334" t="n"/>
      <c r="F481" s="334" t="n"/>
      <c r="G481" s="334" t="n"/>
      <c r="H481" s="334" t="n"/>
      <c r="I481" s="332">
        <f>IFERROR(VLOOKUP(TEXT(H481,"0"),IPRESS!$A$3:$B$212,2,0),"")</f>
        <v/>
      </c>
      <c r="J481" s="334" t="n"/>
      <c r="K481" s="332">
        <f>IFERROR(VLOOKUP(TEXT(O481,"0"),CONDUCTORES!$A$3:$G$54,7,0),"")</f>
        <v/>
      </c>
      <c r="L481" s="334" t="n"/>
      <c r="M481" s="334" t="n"/>
      <c r="N481" s="333">
        <f>IFERROR(IF(L481*M481=0,"",L481*M481),"")</f>
        <v/>
      </c>
      <c r="O481" s="334" t="n"/>
      <c r="P481" s="332">
        <f>IFERROR(VLOOKUP(TEXT(O481,"0"),CONDUCTORES!$A$3:$G$54,2,0),"")</f>
        <v/>
      </c>
      <c r="Q481" s="332">
        <f>IFERROR(VLOOKUP(TEXT(O481,"0"),CONDUCTORES!$A$3:$H$54,6,0),"")</f>
        <v/>
      </c>
      <c r="R481" s="334" t="n"/>
      <c r="S481" s="334" t="n"/>
      <c r="T481" s="334" t="n"/>
      <c r="U481" s="334" t="n"/>
      <c r="V481" s="334" t="n"/>
      <c r="W481" s="334" t="n"/>
      <c r="X481" s="334" t="n"/>
      <c r="Y481" s="334" t="n"/>
      <c r="Z481" s="375">
        <f>IF(AND(G481&lt;&gt;"",R481&lt;&gt;"",V481&lt;&gt;"",W481&lt;&gt;""),"COMPLETADO","OBSERVADO")</f>
        <v/>
      </c>
    </row>
    <row r="482" ht="15" customHeight="1" s="195">
      <c r="A482" s="280" t="n"/>
      <c r="B482" s="280" t="n"/>
      <c r="C482" s="280" t="n"/>
      <c r="D482" s="280" t="n"/>
      <c r="E482" s="280" t="n"/>
      <c r="F482" s="280" t="n"/>
      <c r="G482" s="280" t="n"/>
      <c r="H482" s="280" t="n"/>
      <c r="I482" s="332">
        <f>IFERROR(VLOOKUP(TEXT(H482,"0"),IPRESS!$A$3:$B$212,2,0),"")</f>
        <v/>
      </c>
      <c r="J482" s="280" t="n"/>
      <c r="K482" s="332">
        <f>IFERROR(VLOOKUP(TEXT(O482,"0"),CONDUCTORES!$A$3:$G$54,7,0),"")</f>
        <v/>
      </c>
      <c r="L482" s="280" t="n"/>
      <c r="M482" s="280" t="n"/>
      <c r="N482" s="333">
        <f>IFERROR(IF(L482*M482=0,"",L482*M482),"")</f>
        <v/>
      </c>
      <c r="O482" s="280" t="n"/>
      <c r="P482" s="332">
        <f>IFERROR(VLOOKUP(TEXT(O482,"0"),CONDUCTORES!$A$3:$G$54,2,0),"")</f>
        <v/>
      </c>
      <c r="Q482" s="332">
        <f>IFERROR(VLOOKUP(TEXT(O482,"0"),CONDUCTORES!$A$3:$H$54,6,0),"")</f>
        <v/>
      </c>
      <c r="R482" s="280" t="n"/>
      <c r="S482" s="280" t="n"/>
      <c r="T482" s="280" t="n"/>
      <c r="U482" s="280" t="n"/>
      <c r="V482" s="280" t="n"/>
      <c r="W482" s="280" t="n"/>
      <c r="X482" s="280" t="n"/>
      <c r="Y482" s="280" t="n"/>
      <c r="Z482" s="375">
        <f>IF(AND(G482&lt;&gt;"",R482&lt;&gt;"",V482&lt;&gt;"",W482&lt;&gt;""),"COMPLETADO","OBSERVADO")</f>
        <v/>
      </c>
    </row>
    <row r="483" ht="15" customHeight="1" s="195">
      <c r="A483" s="334" t="n"/>
      <c r="B483" s="334" t="n"/>
      <c r="C483" s="334" t="n"/>
      <c r="D483" s="334" t="n"/>
      <c r="E483" s="334" t="n"/>
      <c r="F483" s="334" t="n"/>
      <c r="G483" s="334" t="n"/>
      <c r="H483" s="334" t="n"/>
      <c r="I483" s="332">
        <f>IFERROR(VLOOKUP(TEXT(H483,"0"),IPRESS!$A$3:$B$212,2,0),"")</f>
        <v/>
      </c>
      <c r="J483" s="334" t="n"/>
      <c r="K483" s="332">
        <f>IFERROR(VLOOKUP(TEXT(O483,"0"),CONDUCTORES!$A$3:$G$54,7,0),"")</f>
        <v/>
      </c>
      <c r="L483" s="334" t="n"/>
      <c r="M483" s="334" t="n"/>
      <c r="N483" s="333">
        <f>IFERROR(IF(L483*M483=0,"",L483*M483),"")</f>
        <v/>
      </c>
      <c r="O483" s="334" t="n"/>
      <c r="P483" s="332">
        <f>IFERROR(VLOOKUP(TEXT(O483,"0"),CONDUCTORES!$A$3:$G$54,2,0),"")</f>
        <v/>
      </c>
      <c r="Q483" s="332">
        <f>IFERROR(VLOOKUP(TEXT(O483,"0"),CONDUCTORES!$A$3:$H$54,6,0),"")</f>
        <v/>
      </c>
      <c r="R483" s="334" t="n"/>
      <c r="S483" s="334" t="n"/>
      <c r="T483" s="334" t="n"/>
      <c r="U483" s="334" t="n"/>
      <c r="V483" s="334" t="n"/>
      <c r="W483" s="334" t="n"/>
      <c r="X483" s="334" t="n"/>
      <c r="Y483" s="334" t="n"/>
      <c r="Z483" s="375">
        <f>IF(AND(G483&lt;&gt;"",R483&lt;&gt;"",V483&lt;&gt;"",W483&lt;&gt;""),"COMPLETADO","OBSERVADO")</f>
        <v/>
      </c>
    </row>
    <row r="484" ht="15" customHeight="1" s="195">
      <c r="A484" s="280" t="n"/>
      <c r="B484" s="280" t="n"/>
      <c r="C484" s="280" t="n"/>
      <c r="D484" s="280" t="n"/>
      <c r="E484" s="280" t="n"/>
      <c r="F484" s="280" t="n"/>
      <c r="G484" s="280" t="n"/>
      <c r="H484" s="280" t="n"/>
      <c r="I484" s="332">
        <f>IFERROR(VLOOKUP(TEXT(H484,"0"),IPRESS!$A$3:$B$212,2,0),"")</f>
        <v/>
      </c>
      <c r="J484" s="280" t="n"/>
      <c r="K484" s="332">
        <f>IFERROR(VLOOKUP(TEXT(O484,"0"),CONDUCTORES!$A$3:$G$54,7,0),"")</f>
        <v/>
      </c>
      <c r="L484" s="280" t="n"/>
      <c r="M484" s="280" t="n"/>
      <c r="N484" s="333">
        <f>IFERROR(IF(L484*M484=0,"",L484*M484),"")</f>
        <v/>
      </c>
      <c r="O484" s="280" t="n"/>
      <c r="P484" s="332">
        <f>IFERROR(VLOOKUP(TEXT(O484,"0"),CONDUCTORES!$A$3:$G$54,2,0),"")</f>
        <v/>
      </c>
      <c r="Q484" s="332">
        <f>IFERROR(VLOOKUP(TEXT(O484,"0"),CONDUCTORES!$A$3:$H$54,6,0),"")</f>
        <v/>
      </c>
      <c r="R484" s="280" t="n"/>
      <c r="S484" s="280" t="n"/>
      <c r="T484" s="280" t="n"/>
      <c r="U484" s="280" t="n"/>
      <c r="V484" s="280" t="n"/>
      <c r="W484" s="280" t="n"/>
      <c r="X484" s="280" t="n"/>
      <c r="Y484" s="280" t="n"/>
      <c r="Z484" s="375">
        <f>IF(AND(G484&lt;&gt;"",R484&lt;&gt;"",V484&lt;&gt;"",W484&lt;&gt;""),"COMPLETADO","OBSERVADO")</f>
        <v/>
      </c>
    </row>
    <row r="485" ht="15" customHeight="1" s="195">
      <c r="A485" s="334" t="n"/>
      <c r="B485" s="334" t="n"/>
      <c r="C485" s="334" t="n"/>
      <c r="D485" s="334" t="n"/>
      <c r="E485" s="334" t="n"/>
      <c r="F485" s="334" t="n"/>
      <c r="G485" s="334" t="n"/>
      <c r="H485" s="334" t="n"/>
      <c r="I485" s="332">
        <f>IFERROR(VLOOKUP(TEXT(H485,"0"),IPRESS!$A$3:$B$212,2,0),"")</f>
        <v/>
      </c>
      <c r="J485" s="334" t="n"/>
      <c r="K485" s="332">
        <f>IFERROR(VLOOKUP(TEXT(O485,"0"),CONDUCTORES!$A$3:$G$54,7,0),"")</f>
        <v/>
      </c>
      <c r="L485" s="334" t="n"/>
      <c r="M485" s="334" t="n"/>
      <c r="N485" s="333">
        <f>IFERROR(IF(L485*M485=0,"",L485*M485),"")</f>
        <v/>
      </c>
      <c r="O485" s="334" t="n"/>
      <c r="P485" s="332">
        <f>IFERROR(VLOOKUP(TEXT(O485,"0"),CONDUCTORES!$A$3:$G$54,2,0),"")</f>
        <v/>
      </c>
      <c r="Q485" s="332">
        <f>IFERROR(VLOOKUP(TEXT(O485,"0"),CONDUCTORES!$A$3:$H$54,6,0),"")</f>
        <v/>
      </c>
      <c r="R485" s="334" t="n"/>
      <c r="S485" s="334" t="n"/>
      <c r="T485" s="334" t="n"/>
      <c r="U485" s="334" t="n"/>
      <c r="V485" s="334" t="n"/>
      <c r="W485" s="334" t="n"/>
      <c r="X485" s="334" t="n"/>
      <c r="Y485" s="334" t="n"/>
      <c r="Z485" s="375">
        <f>IF(AND(G485&lt;&gt;"",R485&lt;&gt;"",V485&lt;&gt;"",W485&lt;&gt;""),"COMPLETADO","OBSERVADO")</f>
        <v/>
      </c>
    </row>
    <row r="486" ht="15" customHeight="1" s="195">
      <c r="A486" s="280" t="n"/>
      <c r="B486" s="280" t="n"/>
      <c r="C486" s="280" t="n"/>
      <c r="D486" s="280" t="n"/>
      <c r="E486" s="280" t="n"/>
      <c r="F486" s="280" t="n"/>
      <c r="G486" s="280" t="n"/>
      <c r="H486" s="280" t="n"/>
      <c r="I486" s="332">
        <f>IFERROR(VLOOKUP(TEXT(H486,"0"),IPRESS!$A$3:$B$212,2,0),"")</f>
        <v/>
      </c>
      <c r="J486" s="280" t="n"/>
      <c r="K486" s="332">
        <f>IFERROR(VLOOKUP(TEXT(O486,"0"),CONDUCTORES!$A$3:$G$54,7,0),"")</f>
        <v/>
      </c>
      <c r="L486" s="280" t="n"/>
      <c r="M486" s="280" t="n"/>
      <c r="N486" s="333">
        <f>IFERROR(IF(L486*M486=0,"",L486*M486),"")</f>
        <v/>
      </c>
      <c r="O486" s="280" t="n"/>
      <c r="P486" s="332">
        <f>IFERROR(VLOOKUP(TEXT(O486,"0"),CONDUCTORES!$A$3:$G$54,2,0),"")</f>
        <v/>
      </c>
      <c r="Q486" s="332">
        <f>IFERROR(VLOOKUP(TEXT(O486,"0"),CONDUCTORES!$A$3:$H$54,6,0),"")</f>
        <v/>
      </c>
      <c r="R486" s="280" t="n"/>
      <c r="S486" s="280" t="n"/>
      <c r="T486" s="280" t="n"/>
      <c r="U486" s="280" t="n"/>
      <c r="V486" s="280" t="n"/>
      <c r="W486" s="280" t="n"/>
      <c r="X486" s="280" t="n"/>
      <c r="Y486" s="280" t="n"/>
      <c r="Z486" s="375">
        <f>IF(AND(G486&lt;&gt;"",R486&lt;&gt;"",V486&lt;&gt;"",W486&lt;&gt;""),"COMPLETADO","OBSERVADO")</f>
        <v/>
      </c>
    </row>
    <row r="487" ht="15" customHeight="1" s="195">
      <c r="A487" s="334" t="n"/>
      <c r="B487" s="334" t="n"/>
      <c r="C487" s="334" t="n"/>
      <c r="D487" s="334" t="n"/>
      <c r="E487" s="334" t="n"/>
      <c r="F487" s="334" t="n"/>
      <c r="G487" s="334" t="n"/>
      <c r="H487" s="334" t="n"/>
      <c r="I487" s="332">
        <f>IFERROR(VLOOKUP(TEXT(H487,"0"),IPRESS!$A$3:$B$212,2,0),"")</f>
        <v/>
      </c>
      <c r="J487" s="334" t="n"/>
      <c r="K487" s="332">
        <f>IFERROR(VLOOKUP(TEXT(O487,"0"),CONDUCTORES!$A$3:$G$54,7,0),"")</f>
        <v/>
      </c>
      <c r="L487" s="334" t="n"/>
      <c r="M487" s="334" t="n"/>
      <c r="N487" s="333">
        <f>IFERROR(IF(L487*M487=0,"",L487*M487),"")</f>
        <v/>
      </c>
      <c r="O487" s="334" t="n"/>
      <c r="P487" s="332">
        <f>IFERROR(VLOOKUP(TEXT(O487,"0"),CONDUCTORES!$A$3:$G$54,2,0),"")</f>
        <v/>
      </c>
      <c r="Q487" s="332">
        <f>IFERROR(VLOOKUP(TEXT(O487,"0"),CONDUCTORES!$A$3:$H$54,6,0),"")</f>
        <v/>
      </c>
      <c r="R487" s="334" t="n"/>
      <c r="S487" s="334" t="n"/>
      <c r="T487" s="334" t="n"/>
      <c r="U487" s="334" t="n"/>
      <c r="V487" s="334" t="n"/>
      <c r="W487" s="334" t="n"/>
      <c r="X487" s="334" t="n"/>
      <c r="Y487" s="334" t="n"/>
      <c r="Z487" s="375">
        <f>IF(AND(G487&lt;&gt;"",R487&lt;&gt;"",V487&lt;&gt;"",W487&lt;&gt;""),"COMPLETADO","OBSERVADO")</f>
        <v/>
      </c>
    </row>
    <row r="488" ht="15" customHeight="1" s="195">
      <c r="A488" s="280" t="n"/>
      <c r="B488" s="280" t="n"/>
      <c r="C488" s="280" t="n"/>
      <c r="D488" s="280" t="n"/>
      <c r="E488" s="280" t="n"/>
      <c r="F488" s="280" t="n"/>
      <c r="G488" s="280" t="n"/>
      <c r="H488" s="280" t="n"/>
      <c r="I488" s="332">
        <f>IFERROR(VLOOKUP(TEXT(H488,"0"),IPRESS!$A$3:$B$212,2,0),"")</f>
        <v/>
      </c>
      <c r="J488" s="280" t="n"/>
      <c r="K488" s="332">
        <f>IFERROR(VLOOKUP(TEXT(O488,"0"),CONDUCTORES!$A$3:$G$54,7,0),"")</f>
        <v/>
      </c>
      <c r="L488" s="280" t="n"/>
      <c r="M488" s="280" t="n"/>
      <c r="N488" s="333">
        <f>IFERROR(IF(L488*M488=0,"",L488*M488),"")</f>
        <v/>
      </c>
      <c r="O488" s="280" t="n"/>
      <c r="P488" s="332">
        <f>IFERROR(VLOOKUP(TEXT(O488,"0"),CONDUCTORES!$A$3:$G$54,2,0),"")</f>
        <v/>
      </c>
      <c r="Q488" s="332">
        <f>IFERROR(VLOOKUP(TEXT(O488,"0"),CONDUCTORES!$A$3:$H$54,6,0),"")</f>
        <v/>
      </c>
      <c r="R488" s="280" t="n"/>
      <c r="S488" s="280" t="n"/>
      <c r="T488" s="280" t="n"/>
      <c r="U488" s="280" t="n"/>
      <c r="V488" s="280" t="n"/>
      <c r="W488" s="280" t="n"/>
      <c r="X488" s="280" t="n"/>
      <c r="Y488" s="280" t="n"/>
      <c r="Z488" s="375">
        <f>IF(AND(G488&lt;&gt;"",R488&lt;&gt;"",V488&lt;&gt;"",W488&lt;&gt;""),"COMPLETADO","OBSERVADO")</f>
        <v/>
      </c>
    </row>
    <row r="489" ht="15" customHeight="1" s="195">
      <c r="A489" s="334" t="n"/>
      <c r="B489" s="334" t="n"/>
      <c r="C489" s="334" t="n"/>
      <c r="D489" s="334" t="n"/>
      <c r="E489" s="334" t="n"/>
      <c r="F489" s="334" t="n"/>
      <c r="G489" s="334" t="n"/>
      <c r="H489" s="334" t="n"/>
      <c r="I489" s="332">
        <f>IFERROR(VLOOKUP(TEXT(H489,"0"),IPRESS!$A$3:$B$212,2,0),"")</f>
        <v/>
      </c>
      <c r="J489" s="334" t="n"/>
      <c r="K489" s="332">
        <f>IFERROR(VLOOKUP(TEXT(O489,"0"),CONDUCTORES!$A$3:$G$54,7,0),"")</f>
        <v/>
      </c>
      <c r="L489" s="334" t="n"/>
      <c r="M489" s="334" t="n"/>
      <c r="N489" s="333">
        <f>IFERROR(IF(L489*M489=0,"",L489*M489),"")</f>
        <v/>
      </c>
      <c r="O489" s="334" t="n"/>
      <c r="P489" s="332">
        <f>IFERROR(VLOOKUP(TEXT(O489,"0"),CONDUCTORES!$A$3:$G$54,2,0),"")</f>
        <v/>
      </c>
      <c r="Q489" s="332">
        <f>IFERROR(VLOOKUP(TEXT(O489,"0"),CONDUCTORES!$A$3:$H$54,6,0),"")</f>
        <v/>
      </c>
      <c r="R489" s="334" t="n"/>
      <c r="S489" s="334" t="n"/>
      <c r="T489" s="334" t="n"/>
      <c r="U489" s="334" t="n"/>
      <c r="V489" s="334" t="n"/>
      <c r="W489" s="334" t="n"/>
      <c r="X489" s="334" t="n"/>
      <c r="Y489" s="334" t="n"/>
      <c r="Z489" s="375">
        <f>IF(AND(G489&lt;&gt;"",R489&lt;&gt;"",V489&lt;&gt;"",W489&lt;&gt;""),"COMPLETADO","OBSERVADO")</f>
        <v/>
      </c>
    </row>
    <row r="490" ht="15" customHeight="1" s="195">
      <c r="A490" s="280" t="n"/>
      <c r="B490" s="280" t="n"/>
      <c r="C490" s="280" t="n"/>
      <c r="D490" s="280" t="n"/>
      <c r="E490" s="280" t="n"/>
      <c r="F490" s="280" t="n"/>
      <c r="G490" s="280" t="n"/>
      <c r="H490" s="280" t="n"/>
      <c r="I490" s="332">
        <f>IFERROR(VLOOKUP(TEXT(H490,"0"),IPRESS!$A$3:$B$212,2,0),"")</f>
        <v/>
      </c>
      <c r="J490" s="280" t="n"/>
      <c r="K490" s="332">
        <f>IFERROR(VLOOKUP(TEXT(O490,"0"),CONDUCTORES!$A$3:$G$54,7,0),"")</f>
        <v/>
      </c>
      <c r="L490" s="280" t="n"/>
      <c r="M490" s="280" t="n"/>
      <c r="N490" s="333">
        <f>IFERROR(IF(L490*M490=0,"",L490*M490),"")</f>
        <v/>
      </c>
      <c r="O490" s="280" t="n"/>
      <c r="P490" s="332">
        <f>IFERROR(VLOOKUP(TEXT(O490,"0"),CONDUCTORES!$A$3:$G$54,2,0),"")</f>
        <v/>
      </c>
      <c r="Q490" s="332">
        <f>IFERROR(VLOOKUP(TEXT(O490,"0"),CONDUCTORES!$A$3:$H$54,6,0),"")</f>
        <v/>
      </c>
      <c r="R490" s="280" t="n"/>
      <c r="S490" s="280" t="n"/>
      <c r="T490" s="280" t="n"/>
      <c r="U490" s="280" t="n"/>
      <c r="V490" s="280" t="n"/>
      <c r="W490" s="280" t="n"/>
      <c r="X490" s="280" t="n"/>
      <c r="Y490" s="280" t="n"/>
      <c r="Z490" s="375">
        <f>IF(AND(G490&lt;&gt;"",R490&lt;&gt;"",V490&lt;&gt;"",W490&lt;&gt;""),"COMPLETADO","OBSERVADO")</f>
        <v/>
      </c>
    </row>
    <row r="491" ht="15" customHeight="1" s="195">
      <c r="A491" s="334" t="n"/>
      <c r="B491" s="334" t="n"/>
      <c r="C491" s="334" t="n"/>
      <c r="D491" s="334" t="n"/>
      <c r="E491" s="334" t="n"/>
      <c r="F491" s="334" t="n"/>
      <c r="G491" s="334" t="n"/>
      <c r="H491" s="334" t="n"/>
      <c r="I491" s="332">
        <f>IFERROR(VLOOKUP(TEXT(H491,"0"),IPRESS!$A$3:$B$212,2,0),"")</f>
        <v/>
      </c>
      <c r="J491" s="334" t="n"/>
      <c r="K491" s="332">
        <f>IFERROR(VLOOKUP(TEXT(O491,"0"),CONDUCTORES!$A$3:$G$54,7,0),"")</f>
        <v/>
      </c>
      <c r="L491" s="334" t="n"/>
      <c r="M491" s="334" t="n"/>
      <c r="N491" s="333">
        <f>IFERROR(IF(L491*M491=0,"",L491*M491),"")</f>
        <v/>
      </c>
      <c r="O491" s="334" t="n"/>
      <c r="P491" s="332">
        <f>IFERROR(VLOOKUP(TEXT(O491,"0"),CONDUCTORES!$A$3:$G$54,2,0),"")</f>
        <v/>
      </c>
      <c r="Q491" s="332">
        <f>IFERROR(VLOOKUP(TEXT(O491,"0"),CONDUCTORES!$A$3:$H$54,6,0),"")</f>
        <v/>
      </c>
      <c r="R491" s="334" t="n"/>
      <c r="S491" s="334" t="n"/>
      <c r="T491" s="334" t="n"/>
      <c r="U491" s="334" t="n"/>
      <c r="V491" s="334" t="n"/>
      <c r="W491" s="334" t="n"/>
      <c r="X491" s="334" t="n"/>
      <c r="Y491" s="334" t="n"/>
      <c r="Z491" s="375">
        <f>IF(AND(G491&lt;&gt;"",R491&lt;&gt;"",V491&lt;&gt;"",W491&lt;&gt;""),"COMPLETADO","OBSERVADO")</f>
        <v/>
      </c>
    </row>
    <row r="492" ht="15" customHeight="1" s="195">
      <c r="A492" s="280" t="n"/>
      <c r="B492" s="280" t="n"/>
      <c r="C492" s="280" t="n"/>
      <c r="D492" s="280" t="n"/>
      <c r="E492" s="280" t="n"/>
      <c r="F492" s="280" t="n"/>
      <c r="G492" s="280" t="n"/>
      <c r="H492" s="280" t="n"/>
      <c r="I492" s="332">
        <f>IFERROR(VLOOKUP(TEXT(H492,"0"),IPRESS!$A$3:$B$212,2,0),"")</f>
        <v/>
      </c>
      <c r="J492" s="280" t="n"/>
      <c r="K492" s="332">
        <f>IFERROR(VLOOKUP(TEXT(O492,"0"),CONDUCTORES!$A$3:$G$54,7,0),"")</f>
        <v/>
      </c>
      <c r="L492" s="280" t="n"/>
      <c r="M492" s="280" t="n"/>
      <c r="N492" s="333">
        <f>IFERROR(IF(L492*M492=0,"",L492*M492),"")</f>
        <v/>
      </c>
      <c r="O492" s="280" t="n"/>
      <c r="P492" s="332">
        <f>IFERROR(VLOOKUP(TEXT(O492,"0"),CONDUCTORES!$A$3:$G$54,2,0),"")</f>
        <v/>
      </c>
      <c r="Q492" s="332">
        <f>IFERROR(VLOOKUP(TEXT(O492,"0"),CONDUCTORES!$A$3:$H$54,6,0),"")</f>
        <v/>
      </c>
      <c r="R492" s="280" t="n"/>
      <c r="S492" s="280" t="n"/>
      <c r="T492" s="280" t="n"/>
      <c r="U492" s="280" t="n"/>
      <c r="V492" s="280" t="n"/>
      <c r="W492" s="280" t="n"/>
      <c r="X492" s="280" t="n"/>
      <c r="Y492" s="280" t="n"/>
      <c r="Z492" s="375">
        <f>IF(AND(G492&lt;&gt;"",R492&lt;&gt;"",V492&lt;&gt;"",W492&lt;&gt;""),"COMPLETADO","OBSERVADO")</f>
        <v/>
      </c>
    </row>
    <row r="493" ht="15" customHeight="1" s="195">
      <c r="A493" s="334" t="n"/>
      <c r="B493" s="334" t="n"/>
      <c r="C493" s="334" t="n"/>
      <c r="D493" s="334" t="n"/>
      <c r="E493" s="334" t="n"/>
      <c r="F493" s="334" t="n"/>
      <c r="G493" s="334" t="n"/>
      <c r="H493" s="334" t="n"/>
      <c r="I493" s="332">
        <f>IFERROR(VLOOKUP(TEXT(H493,"0"),IPRESS!$A$3:$B$212,2,0),"")</f>
        <v/>
      </c>
      <c r="J493" s="334" t="n"/>
      <c r="K493" s="332">
        <f>IFERROR(VLOOKUP(TEXT(O493,"0"),CONDUCTORES!$A$3:$G$54,7,0),"")</f>
        <v/>
      </c>
      <c r="L493" s="334" t="n"/>
      <c r="M493" s="334" t="n"/>
      <c r="N493" s="333">
        <f>IFERROR(IF(L493*M493=0,"",L493*M493),"")</f>
        <v/>
      </c>
      <c r="O493" s="334" t="n"/>
      <c r="P493" s="332">
        <f>IFERROR(VLOOKUP(TEXT(O493,"0"),CONDUCTORES!$A$3:$G$54,2,0),"")</f>
        <v/>
      </c>
      <c r="Q493" s="332">
        <f>IFERROR(VLOOKUP(TEXT(O493,"0"),CONDUCTORES!$A$3:$H$54,6,0),"")</f>
        <v/>
      </c>
      <c r="R493" s="334" t="n"/>
      <c r="S493" s="334" t="n"/>
      <c r="T493" s="334" t="n"/>
      <c r="U493" s="334" t="n"/>
      <c r="V493" s="334" t="n"/>
      <c r="W493" s="334" t="n"/>
      <c r="X493" s="334" t="n"/>
      <c r="Y493" s="334" t="n"/>
      <c r="Z493" s="375">
        <f>IF(AND(G493&lt;&gt;"",R493&lt;&gt;"",V493&lt;&gt;"",W493&lt;&gt;""),"COMPLETADO","OBSERVADO")</f>
        <v/>
      </c>
    </row>
    <row r="494" ht="15" customHeight="1" s="195">
      <c r="A494" s="280" t="n"/>
      <c r="B494" s="280" t="n"/>
      <c r="C494" s="280" t="n"/>
      <c r="D494" s="280" t="n"/>
      <c r="E494" s="280" t="n"/>
      <c r="F494" s="280" t="n"/>
      <c r="G494" s="280" t="n"/>
      <c r="H494" s="280" t="n"/>
      <c r="I494" s="332">
        <f>IFERROR(VLOOKUP(TEXT(H494,"0"),IPRESS!$A$3:$B$212,2,0),"")</f>
        <v/>
      </c>
      <c r="J494" s="280" t="n"/>
      <c r="K494" s="332">
        <f>IFERROR(VLOOKUP(TEXT(O494,"0"),CONDUCTORES!$A$3:$G$54,7,0),"")</f>
        <v/>
      </c>
      <c r="L494" s="280" t="n"/>
      <c r="M494" s="280" t="n"/>
      <c r="N494" s="333">
        <f>IFERROR(IF(L494*M494=0,"",L494*M494),"")</f>
        <v/>
      </c>
      <c r="O494" s="280" t="n"/>
      <c r="P494" s="332">
        <f>IFERROR(VLOOKUP(TEXT(O494,"0"),CONDUCTORES!$A$3:$G$54,2,0),"")</f>
        <v/>
      </c>
      <c r="Q494" s="332">
        <f>IFERROR(VLOOKUP(TEXT(O494,"0"),CONDUCTORES!$A$3:$H$54,6,0),"")</f>
        <v/>
      </c>
      <c r="R494" s="280" t="n"/>
      <c r="S494" s="280" t="n"/>
      <c r="T494" s="280" t="n"/>
      <c r="U494" s="280" t="n"/>
      <c r="V494" s="280" t="n"/>
      <c r="W494" s="280" t="n"/>
      <c r="X494" s="280" t="n"/>
      <c r="Y494" s="280" t="n"/>
      <c r="Z494" s="375">
        <f>IF(AND(G494&lt;&gt;"",R494&lt;&gt;"",V494&lt;&gt;"",W494&lt;&gt;""),"COMPLETADO","OBSERVADO")</f>
        <v/>
      </c>
    </row>
    <row r="495" ht="15" customHeight="1" s="195">
      <c r="A495" s="334" t="n"/>
      <c r="B495" s="334" t="n"/>
      <c r="C495" s="334" t="n"/>
      <c r="D495" s="334" t="n"/>
      <c r="E495" s="334" t="n"/>
      <c r="F495" s="334" t="n"/>
      <c r="G495" s="334" t="n"/>
      <c r="H495" s="334" t="n"/>
      <c r="I495" s="332">
        <f>IFERROR(VLOOKUP(TEXT(H495,"0"),IPRESS!$A$3:$B$212,2,0),"")</f>
        <v/>
      </c>
      <c r="J495" s="334" t="n"/>
      <c r="K495" s="332">
        <f>IFERROR(VLOOKUP(TEXT(O495,"0"),CONDUCTORES!$A$3:$G$54,7,0),"")</f>
        <v/>
      </c>
      <c r="L495" s="334" t="n"/>
      <c r="M495" s="334" t="n"/>
      <c r="N495" s="333">
        <f>IFERROR(IF(L495*M495=0,"",L495*M495),"")</f>
        <v/>
      </c>
      <c r="O495" s="334" t="n"/>
      <c r="P495" s="332">
        <f>IFERROR(VLOOKUP(TEXT(O495,"0"),CONDUCTORES!$A$3:$G$54,2,0),"")</f>
        <v/>
      </c>
      <c r="Q495" s="332">
        <f>IFERROR(VLOOKUP(TEXT(O495,"0"),CONDUCTORES!$A$3:$H$54,6,0),"")</f>
        <v/>
      </c>
      <c r="R495" s="334" t="n"/>
      <c r="S495" s="334" t="n"/>
      <c r="T495" s="334" t="n"/>
      <c r="U495" s="334" t="n"/>
      <c r="V495" s="334" t="n"/>
      <c r="W495" s="334" t="n"/>
      <c r="X495" s="334" t="n"/>
      <c r="Y495" s="334" t="n"/>
      <c r="Z495" s="375">
        <f>IF(AND(G495&lt;&gt;"",R495&lt;&gt;"",V495&lt;&gt;"",W495&lt;&gt;""),"COMPLETADO","OBSERVADO")</f>
        <v/>
      </c>
    </row>
    <row r="496" ht="15" customHeight="1" s="195">
      <c r="A496" s="280" t="n"/>
      <c r="B496" s="280" t="n"/>
      <c r="C496" s="280" t="n"/>
      <c r="D496" s="280" t="n"/>
      <c r="E496" s="280" t="n"/>
      <c r="F496" s="280" t="n"/>
      <c r="G496" s="280" t="n"/>
      <c r="H496" s="280" t="n"/>
      <c r="I496" s="332">
        <f>IFERROR(VLOOKUP(TEXT(H496,"0"),IPRESS!$A$3:$B$212,2,0),"")</f>
        <v/>
      </c>
      <c r="J496" s="280" t="n"/>
      <c r="K496" s="332">
        <f>IFERROR(VLOOKUP(TEXT(O496,"0"),CONDUCTORES!$A$3:$G$54,7,0),"")</f>
        <v/>
      </c>
      <c r="L496" s="280" t="n"/>
      <c r="M496" s="280" t="n"/>
      <c r="N496" s="333">
        <f>IFERROR(IF(L496*M496=0,"",L496*M496),"")</f>
        <v/>
      </c>
      <c r="O496" s="280" t="n"/>
      <c r="P496" s="332">
        <f>IFERROR(VLOOKUP(TEXT(O496,"0"),CONDUCTORES!$A$3:$G$54,2,0),"")</f>
        <v/>
      </c>
      <c r="Q496" s="332">
        <f>IFERROR(VLOOKUP(TEXT(O496,"0"),CONDUCTORES!$A$3:$H$54,6,0),"")</f>
        <v/>
      </c>
      <c r="R496" s="280" t="n"/>
      <c r="S496" s="280" t="n"/>
      <c r="T496" s="280" t="n"/>
      <c r="U496" s="280" t="n"/>
      <c r="V496" s="280" t="n"/>
      <c r="W496" s="280" t="n"/>
      <c r="X496" s="280" t="n"/>
      <c r="Y496" s="280" t="n"/>
      <c r="Z496" s="375">
        <f>IF(AND(G496&lt;&gt;"",R496&lt;&gt;"",V496&lt;&gt;"",W496&lt;&gt;""),"COMPLETADO","OBSERVADO")</f>
        <v/>
      </c>
    </row>
    <row r="497" ht="15" customHeight="1" s="195">
      <c r="A497" s="334" t="n"/>
      <c r="B497" s="334" t="n"/>
      <c r="C497" s="334" t="n"/>
      <c r="D497" s="334" t="n"/>
      <c r="E497" s="334" t="n"/>
      <c r="F497" s="334" t="n"/>
      <c r="G497" s="334" t="n"/>
      <c r="H497" s="334" t="n"/>
      <c r="I497" s="332">
        <f>IFERROR(VLOOKUP(TEXT(H497,"0"),IPRESS!$A$3:$B$212,2,0),"")</f>
        <v/>
      </c>
      <c r="J497" s="334" t="n"/>
      <c r="K497" s="332">
        <f>IFERROR(VLOOKUP(TEXT(O497,"0"),CONDUCTORES!$A$3:$G$54,7,0),"")</f>
        <v/>
      </c>
      <c r="L497" s="334" t="n"/>
      <c r="M497" s="334" t="n"/>
      <c r="N497" s="333">
        <f>IFERROR(IF(L497*M497=0,"",L497*M497),"")</f>
        <v/>
      </c>
      <c r="O497" s="334" t="n"/>
      <c r="P497" s="332">
        <f>IFERROR(VLOOKUP(TEXT(O497,"0"),CONDUCTORES!$A$3:$G$54,2,0),"")</f>
        <v/>
      </c>
      <c r="Q497" s="332">
        <f>IFERROR(VLOOKUP(TEXT(O497,"0"),CONDUCTORES!$A$3:$H$54,6,0),"")</f>
        <v/>
      </c>
      <c r="R497" s="334" t="n"/>
      <c r="S497" s="334" t="n"/>
      <c r="T497" s="334" t="n"/>
      <c r="U497" s="334" t="n"/>
      <c r="V497" s="334" t="n"/>
      <c r="W497" s="334" t="n"/>
      <c r="X497" s="334" t="n"/>
      <c r="Y497" s="334" t="n"/>
      <c r="Z497" s="375">
        <f>IF(AND(G497&lt;&gt;"",R497&lt;&gt;"",V497&lt;&gt;"",W497&lt;&gt;""),"COMPLETADO","OBSERVADO")</f>
        <v/>
      </c>
    </row>
    <row r="498" ht="15" customHeight="1" s="195">
      <c r="A498" s="280" t="n"/>
      <c r="B498" s="280" t="n"/>
      <c r="C498" s="280" t="n"/>
      <c r="D498" s="280" t="n"/>
      <c r="E498" s="280" t="n"/>
      <c r="F498" s="280" t="n"/>
      <c r="G498" s="280" t="n"/>
      <c r="H498" s="280" t="n"/>
      <c r="I498" s="332">
        <f>IFERROR(VLOOKUP(TEXT(H498,"0"),IPRESS!$A$3:$B$212,2,0),"")</f>
        <v/>
      </c>
      <c r="J498" s="280" t="n"/>
      <c r="K498" s="332">
        <f>IFERROR(VLOOKUP(TEXT(O498,"0"),CONDUCTORES!$A$3:$G$54,7,0),"")</f>
        <v/>
      </c>
      <c r="L498" s="280" t="n"/>
      <c r="M498" s="280" t="n"/>
      <c r="N498" s="333">
        <f>IFERROR(IF(L498*M498=0,"",L498*M498),"")</f>
        <v/>
      </c>
      <c r="O498" s="280" t="n"/>
      <c r="P498" s="332">
        <f>IFERROR(VLOOKUP(TEXT(O498,"0"),CONDUCTORES!$A$3:$G$54,2,0),"")</f>
        <v/>
      </c>
      <c r="Q498" s="332">
        <f>IFERROR(VLOOKUP(TEXT(O498,"0"),CONDUCTORES!$A$3:$H$54,6,0),"")</f>
        <v/>
      </c>
      <c r="R498" s="280" t="n"/>
      <c r="S498" s="280" t="n"/>
      <c r="T498" s="280" t="n"/>
      <c r="U498" s="280" t="n"/>
      <c r="V498" s="280" t="n"/>
      <c r="W498" s="280" t="n"/>
      <c r="X498" s="280" t="n"/>
      <c r="Y498" s="280" t="n"/>
      <c r="Z498" s="375">
        <f>IF(AND(G498&lt;&gt;"",R498&lt;&gt;"",V498&lt;&gt;"",W498&lt;&gt;""),"COMPLETADO","OBSERVADO")</f>
        <v/>
      </c>
    </row>
    <row r="499" ht="15" customHeight="1" s="195">
      <c r="A499" s="334" t="n"/>
      <c r="B499" s="334" t="n"/>
      <c r="C499" s="334" t="n"/>
      <c r="D499" s="334" t="n"/>
      <c r="E499" s="334" t="n"/>
      <c r="F499" s="334" t="n"/>
      <c r="G499" s="334" t="n"/>
      <c r="H499" s="334" t="n"/>
      <c r="I499" s="332">
        <f>IFERROR(VLOOKUP(TEXT(H499,"0"),IPRESS!$A$3:$B$212,2,0),"")</f>
        <v/>
      </c>
      <c r="J499" s="334" t="n"/>
      <c r="K499" s="332">
        <f>IFERROR(VLOOKUP(TEXT(O499,"0"),CONDUCTORES!$A$3:$G$54,7,0),"")</f>
        <v/>
      </c>
      <c r="L499" s="334" t="n"/>
      <c r="M499" s="334" t="n"/>
      <c r="N499" s="333">
        <f>IFERROR(IF(L499*M499=0,"",L499*M499),"")</f>
        <v/>
      </c>
      <c r="O499" s="334" t="n"/>
      <c r="P499" s="332">
        <f>IFERROR(VLOOKUP(TEXT(O499,"0"),CONDUCTORES!$A$3:$G$54,2,0),"")</f>
        <v/>
      </c>
      <c r="Q499" s="332">
        <f>IFERROR(VLOOKUP(TEXT(O499,"0"),CONDUCTORES!$A$3:$H$54,6,0),"")</f>
        <v/>
      </c>
      <c r="R499" s="334" t="n"/>
      <c r="S499" s="334" t="n"/>
      <c r="T499" s="334" t="n"/>
      <c r="U499" s="334" t="n"/>
      <c r="V499" s="334" t="n"/>
      <c r="W499" s="334" t="n"/>
      <c r="X499" s="334" t="n"/>
      <c r="Y499" s="334" t="n"/>
      <c r="Z499" s="375">
        <f>IF(AND(G499&lt;&gt;"",R499&lt;&gt;"",V499&lt;&gt;"",W499&lt;&gt;""),"COMPLETADO","OBSERVADO")</f>
        <v/>
      </c>
    </row>
    <row r="500" ht="15" customHeight="1" s="195">
      <c r="A500" s="280" t="n"/>
      <c r="B500" s="280" t="n"/>
      <c r="C500" s="280" t="n"/>
      <c r="D500" s="280" t="n"/>
      <c r="E500" s="280" t="n"/>
      <c r="F500" s="280" t="n"/>
      <c r="G500" s="280" t="n"/>
      <c r="H500" s="280" t="n"/>
      <c r="I500" s="332">
        <f>IFERROR(VLOOKUP(TEXT(H500,"0"),IPRESS!$A$3:$B$212,2,0),"")</f>
        <v/>
      </c>
      <c r="J500" s="280" t="n"/>
      <c r="K500" s="332">
        <f>IFERROR(VLOOKUP(TEXT(O500,"0"),CONDUCTORES!$A$3:$G$54,7,0),"")</f>
        <v/>
      </c>
      <c r="L500" s="280" t="n"/>
      <c r="M500" s="280" t="n"/>
      <c r="N500" s="333">
        <f>IFERROR(IF(L500*M500=0,"",L500*M500),"")</f>
        <v/>
      </c>
      <c r="O500" s="280" t="n"/>
      <c r="P500" s="332">
        <f>IFERROR(VLOOKUP(TEXT(O500,"0"),CONDUCTORES!$A$3:$G$54,2,0),"")</f>
        <v/>
      </c>
      <c r="Q500" s="332">
        <f>IFERROR(VLOOKUP(TEXT(O500,"0"),CONDUCTORES!$A$3:$H$54,6,0),"")</f>
        <v/>
      </c>
      <c r="R500" s="280" t="n"/>
      <c r="S500" s="280" t="n"/>
      <c r="T500" s="280" t="n"/>
      <c r="U500" s="280" t="n"/>
      <c r="V500" s="280" t="n"/>
      <c r="W500" s="280" t="n"/>
      <c r="X500" s="280" t="n"/>
      <c r="Y500" s="280" t="n"/>
      <c r="Z500" s="375">
        <f>IF(AND(G500&lt;&gt;"",R500&lt;&gt;"",V500&lt;&gt;"",W500&lt;&gt;""),"COMPLETADO","OBSERVADO")</f>
        <v/>
      </c>
    </row>
    <row r="501" ht="15" customHeight="1" s="195">
      <c r="A501" s="334" t="n"/>
      <c r="B501" s="334" t="n"/>
      <c r="C501" s="334" t="n"/>
      <c r="D501" s="334" t="n"/>
      <c r="E501" s="334" t="n"/>
      <c r="F501" s="334" t="n"/>
      <c r="G501" s="334" t="n"/>
      <c r="H501" s="334" t="n"/>
      <c r="I501" s="332">
        <f>IFERROR(VLOOKUP(TEXT(H501,"0"),IPRESS!$A$3:$B$212,2,0),"")</f>
        <v/>
      </c>
      <c r="J501" s="334" t="n"/>
      <c r="K501" s="332">
        <f>IFERROR(VLOOKUP(TEXT(O501,"0"),CONDUCTORES!$A$3:$G$54,7,0),"")</f>
        <v/>
      </c>
      <c r="L501" s="334" t="n"/>
      <c r="M501" s="334" t="n"/>
      <c r="N501" s="333">
        <f>IFERROR(IF(L501*M501=0,"",L501*M501),"")</f>
        <v/>
      </c>
      <c r="O501" s="334" t="n"/>
      <c r="P501" s="332">
        <f>IFERROR(VLOOKUP(TEXT(O501,"0"),CONDUCTORES!$A$3:$G$54,2,0),"")</f>
        <v/>
      </c>
      <c r="Q501" s="332">
        <f>IFERROR(VLOOKUP(TEXT(O501,"0"),CONDUCTORES!$A$3:$H$54,6,0),"")</f>
        <v/>
      </c>
      <c r="R501" s="334" t="n"/>
      <c r="S501" s="334" t="n"/>
      <c r="T501" s="334" t="n"/>
      <c r="U501" s="334" t="n"/>
      <c r="V501" s="334" t="n"/>
      <c r="W501" s="334" t="n"/>
      <c r="X501" s="334" t="n"/>
      <c r="Y501" s="334" t="n"/>
      <c r="Z501" s="375">
        <f>IF(AND(G501&lt;&gt;"",R501&lt;&gt;"",V501&lt;&gt;"",W501&lt;&gt;""),"COMPLETADO","OBSERVADO")</f>
        <v/>
      </c>
    </row>
    <row r="502" ht="15" customHeight="1" s="195">
      <c r="A502" s="280" t="n"/>
      <c r="B502" s="280" t="n"/>
      <c r="C502" s="280" t="n"/>
      <c r="D502" s="280" t="n"/>
      <c r="E502" s="280" t="n"/>
      <c r="F502" s="280" t="n"/>
      <c r="G502" s="280" t="n"/>
      <c r="H502" s="280" t="n"/>
      <c r="I502" s="332">
        <f>IFERROR(VLOOKUP(TEXT(H502,"0"),IPRESS!$A$3:$B$212,2,0),"")</f>
        <v/>
      </c>
      <c r="J502" s="280" t="n"/>
      <c r="K502" s="332">
        <f>IFERROR(VLOOKUP(TEXT(O502,"0"),CONDUCTORES!$A$3:$G$54,7,0),"")</f>
        <v/>
      </c>
      <c r="L502" s="280" t="n"/>
      <c r="M502" s="280" t="n"/>
      <c r="N502" s="333">
        <f>IFERROR(IF(L502*M502=0,"",L502*M502),"")</f>
        <v/>
      </c>
      <c r="O502" s="280" t="n"/>
      <c r="P502" s="332">
        <f>IFERROR(VLOOKUP(TEXT(O502,"0"),CONDUCTORES!$A$3:$G$54,2,0),"")</f>
        <v/>
      </c>
      <c r="Q502" s="332">
        <f>IFERROR(VLOOKUP(TEXT(O502,"0"),CONDUCTORES!$A$3:$H$54,6,0),"")</f>
        <v/>
      </c>
      <c r="R502" s="280" t="n"/>
      <c r="S502" s="280" t="n"/>
      <c r="T502" s="280" t="n"/>
      <c r="U502" s="280" t="n"/>
      <c r="V502" s="280" t="n"/>
      <c r="W502" s="280" t="n"/>
      <c r="X502" s="280" t="n"/>
      <c r="Y502" s="280" t="n"/>
      <c r="Z502" s="375">
        <f>IF(AND(G502&lt;&gt;"",R502&lt;&gt;"",V502&lt;&gt;"",W502&lt;&gt;""),"COMPLETADO","OBSERVADO")</f>
        <v/>
      </c>
    </row>
    <row r="503" ht="15" customHeight="1" s="195">
      <c r="A503" s="334" t="n"/>
      <c r="B503" s="334" t="n"/>
      <c r="C503" s="334" t="n"/>
      <c r="D503" s="334" t="n"/>
      <c r="E503" s="334" t="n"/>
      <c r="F503" s="334" t="n"/>
      <c r="G503" s="334" t="n"/>
      <c r="H503" s="334" t="n"/>
      <c r="I503" s="332">
        <f>IFERROR(VLOOKUP(TEXT(H503,"0"),IPRESS!$A$3:$B$212,2,0),"")</f>
        <v/>
      </c>
      <c r="J503" s="334" t="n"/>
      <c r="K503" s="332">
        <f>IFERROR(VLOOKUP(TEXT(O503,"0"),CONDUCTORES!$A$3:$G$54,7,0),"")</f>
        <v/>
      </c>
      <c r="L503" s="334" t="n"/>
      <c r="M503" s="334" t="n"/>
      <c r="N503" s="333">
        <f>IFERROR(IF(L503*M503=0,"",L503*M503),"")</f>
        <v/>
      </c>
      <c r="O503" s="334" t="n"/>
      <c r="P503" s="332">
        <f>IFERROR(VLOOKUP(TEXT(O503,"0"),CONDUCTORES!$A$3:$G$54,2,0),"")</f>
        <v/>
      </c>
      <c r="Q503" s="332">
        <f>IFERROR(VLOOKUP(TEXT(O503,"0"),CONDUCTORES!$A$3:$H$54,6,0),"")</f>
        <v/>
      </c>
      <c r="R503" s="334" t="n"/>
      <c r="S503" s="334" t="n"/>
      <c r="T503" s="334" t="n"/>
      <c r="U503" s="334" t="n"/>
      <c r="V503" s="334" t="n"/>
      <c r="W503" s="334" t="n"/>
      <c r="X503" s="334" t="n"/>
      <c r="Y503" s="334" t="n"/>
      <c r="Z503" s="375">
        <f>IF(AND(G503&lt;&gt;"",R503&lt;&gt;"",V503&lt;&gt;"",W503&lt;&gt;""),"COMPLETADO","OBSERVADO")</f>
        <v/>
      </c>
    </row>
    <row r="504" ht="15" customHeight="1" s="195">
      <c r="A504" s="280" t="n"/>
      <c r="B504" s="280" t="n"/>
      <c r="C504" s="280" t="n"/>
      <c r="D504" s="280" t="n"/>
      <c r="E504" s="280" t="n"/>
      <c r="F504" s="280" t="n"/>
      <c r="G504" s="280" t="n"/>
      <c r="H504" s="280" t="n"/>
      <c r="I504" s="332">
        <f>IFERROR(VLOOKUP(TEXT(H504,"0"),IPRESS!$A$3:$B$212,2,0),"")</f>
        <v/>
      </c>
      <c r="J504" s="280" t="n"/>
      <c r="K504" s="332">
        <f>IFERROR(VLOOKUP(TEXT(O504,"0"),CONDUCTORES!$A$3:$G$54,7,0),"")</f>
        <v/>
      </c>
      <c r="L504" s="280" t="n"/>
      <c r="M504" s="280" t="n"/>
      <c r="N504" s="333">
        <f>IFERROR(IF(L504*M504=0,"",L504*M504),"")</f>
        <v/>
      </c>
      <c r="O504" s="280" t="n"/>
      <c r="P504" s="332">
        <f>IFERROR(VLOOKUP(TEXT(O504,"0"),CONDUCTORES!$A$3:$G$54,2,0),"")</f>
        <v/>
      </c>
      <c r="Q504" s="332">
        <f>IFERROR(VLOOKUP(TEXT(O504,"0"),CONDUCTORES!$A$3:$H$54,6,0),"")</f>
        <v/>
      </c>
      <c r="R504" s="280" t="n"/>
      <c r="S504" s="280" t="n"/>
      <c r="T504" s="280" t="n"/>
      <c r="U504" s="280" t="n"/>
      <c r="V504" s="280" t="n"/>
      <c r="W504" s="280" t="n"/>
      <c r="X504" s="280" t="n"/>
      <c r="Y504" s="280" t="n"/>
      <c r="Z504" s="375">
        <f>IF(AND(G504&lt;&gt;"",R504&lt;&gt;"",V504&lt;&gt;"",W504&lt;&gt;""),"COMPLETADO","OBSERVADO")</f>
        <v/>
      </c>
    </row>
    <row r="505" ht="15" customHeight="1" s="195">
      <c r="A505" s="334" t="n"/>
      <c r="B505" s="334" t="n"/>
      <c r="C505" s="334" t="n"/>
      <c r="D505" s="334" t="n"/>
      <c r="E505" s="334" t="n"/>
      <c r="F505" s="334" t="n"/>
      <c r="G505" s="334" t="n"/>
      <c r="H505" s="334" t="n"/>
      <c r="I505" s="332">
        <f>IFERROR(VLOOKUP(TEXT(H505,"0"),IPRESS!$A$3:$B$212,2,0),"")</f>
        <v/>
      </c>
      <c r="J505" s="334" t="n"/>
      <c r="K505" s="332">
        <f>IFERROR(VLOOKUP(TEXT(O505,"0"),CONDUCTORES!$A$3:$G$54,7,0),"")</f>
        <v/>
      </c>
      <c r="L505" s="334" t="n"/>
      <c r="M505" s="334" t="n"/>
      <c r="N505" s="333">
        <f>IFERROR(IF(L505*M505=0,"",L505*M505),"")</f>
        <v/>
      </c>
      <c r="O505" s="334" t="n"/>
      <c r="P505" s="332">
        <f>IFERROR(VLOOKUP(TEXT(O505,"0"),CONDUCTORES!$A$3:$G$54,2,0),"")</f>
        <v/>
      </c>
      <c r="Q505" s="332">
        <f>IFERROR(VLOOKUP(TEXT(O505,"0"),CONDUCTORES!$A$3:$H$54,6,0),"")</f>
        <v/>
      </c>
      <c r="R505" s="334" t="n"/>
      <c r="S505" s="334" t="n"/>
      <c r="T505" s="334" t="n"/>
      <c r="U505" s="334" t="n"/>
      <c r="V505" s="334" t="n"/>
      <c r="W505" s="334" t="n"/>
      <c r="X505" s="334" t="n"/>
      <c r="Y505" s="334" t="n"/>
      <c r="Z505" s="375">
        <f>IF(AND(G505&lt;&gt;"",R505&lt;&gt;"",V505&lt;&gt;"",W505&lt;&gt;""),"COMPLETADO","OBSERVADO")</f>
        <v/>
      </c>
    </row>
    <row r="506" ht="21.75" customHeight="1" s="195">
      <c r="A506" s="346" t="inlineStr">
        <is>
          <t>TOTALES DEL MES</t>
        </is>
      </c>
      <c r="M506" s="320">
        <f>SUM(M6:M505)</f>
        <v/>
      </c>
      <c r="N506" s="320">
        <f>SUM(N6:N505)</f>
        <v/>
      </c>
    </row>
    <row r="507" ht="15.75" customHeight="1" s="195"/>
    <row r="508" ht="15.75" customHeight="1" s="195"/>
    <row r="509" ht="15.75" customHeight="1" s="195"/>
    <row r="510" ht="15.75" customHeight="1" s="195"/>
    <row r="511" ht="15.75" customHeight="1" s="195"/>
    <row r="512" ht="15.75" customHeight="1" s="195"/>
    <row r="513" ht="15.75" customHeight="1" s="195"/>
    <row r="514" ht="15.75" customHeight="1" s="195"/>
    <row r="515" ht="15.75" customHeight="1" s="195"/>
    <row r="516" ht="15.75" customHeight="1" s="195"/>
    <row r="517" ht="15.75" customHeight="1" s="195"/>
    <row r="518" ht="15.75" customHeight="1" s="195"/>
    <row r="519" ht="15.75" customHeight="1" s="195"/>
    <row r="520" ht="15.75" customHeight="1" s="195"/>
    <row r="521" ht="15.75" customHeight="1" s="195"/>
    <row r="522" ht="15.75" customHeight="1" s="195"/>
    <row r="523" ht="15.75" customHeight="1" s="195"/>
    <row r="524" ht="15.75" customHeight="1" s="195"/>
    <row r="525" ht="15.75" customHeight="1" s="195"/>
    <row r="526" ht="15.75" customHeight="1" s="195"/>
    <row r="527" ht="15.75" customHeight="1" s="195"/>
    <row r="528" ht="15.75" customHeight="1" s="195"/>
    <row r="529" ht="15.75" customHeight="1" s="195"/>
    <row r="530" ht="15.75" customHeight="1" s="195"/>
    <row r="531" ht="15.75" customHeight="1" s="195"/>
    <row r="532" ht="15.75" customHeight="1" s="195"/>
    <row r="533" ht="15.75" customHeight="1" s="195"/>
    <row r="534" ht="15.75" customHeight="1" s="195"/>
    <row r="535" ht="15.75" customHeight="1" s="195"/>
    <row r="536" ht="15.75" customHeight="1" s="195"/>
    <row r="537" ht="15.75" customHeight="1" s="195"/>
    <row r="538" ht="15.75" customHeight="1" s="195"/>
    <row r="539" ht="15.75" customHeight="1" s="195"/>
    <row r="540" ht="15.75" customHeight="1" s="195"/>
    <row r="541" ht="15.75" customHeight="1" s="195"/>
    <row r="542" ht="15.75" customHeight="1" s="195"/>
    <row r="543" ht="15.75" customHeight="1" s="195"/>
    <row r="544" ht="15.75" customHeight="1" s="195"/>
    <row r="545" ht="15.75" customHeight="1" s="195"/>
    <row r="546" ht="15.75" customHeight="1" s="195"/>
    <row r="547" ht="15.75" customHeight="1" s="195"/>
    <row r="548" ht="15.75" customHeight="1" s="195"/>
    <row r="549" ht="15.75" customHeight="1" s="195"/>
    <row r="550" ht="15.75" customHeight="1" s="195"/>
    <row r="551" ht="15.75" customHeight="1" s="195"/>
    <row r="552" ht="15.75" customHeight="1" s="195"/>
    <row r="553" ht="15.75" customHeight="1" s="195"/>
    <row r="554" ht="15.75" customHeight="1" s="195"/>
    <row r="555" ht="15.75" customHeight="1" s="195"/>
    <row r="556" ht="15.75" customHeight="1" s="195"/>
    <row r="557" ht="15.75" customHeight="1" s="195"/>
    <row r="558" ht="15.75" customHeight="1" s="195"/>
    <row r="559" ht="15.75" customHeight="1" s="195"/>
    <row r="560" ht="15.75" customHeight="1" s="195"/>
    <row r="561" ht="15.75" customHeight="1" s="195"/>
    <row r="562" ht="15.75" customHeight="1" s="195"/>
    <row r="563" ht="15.75" customHeight="1" s="195"/>
    <row r="564" ht="15.75" customHeight="1" s="195"/>
    <row r="565" ht="15.75" customHeight="1" s="195"/>
    <row r="566" ht="15.75" customHeight="1" s="195"/>
    <row r="567" ht="15.75" customHeight="1" s="195"/>
    <row r="568" ht="15.75" customHeight="1" s="195"/>
    <row r="569" ht="15.75" customHeight="1" s="195"/>
    <row r="570" ht="15.75" customHeight="1" s="195"/>
    <row r="571" ht="15.75" customHeight="1" s="195"/>
    <row r="572" ht="15.75" customHeight="1" s="195"/>
    <row r="573" ht="15.75" customHeight="1" s="195"/>
    <row r="574" ht="15.75" customHeight="1" s="195"/>
    <row r="575" ht="15.75" customHeight="1" s="195"/>
    <row r="576" ht="15.75" customHeight="1" s="195"/>
    <row r="577" ht="15.75" customHeight="1" s="195"/>
    <row r="578" ht="15.75" customHeight="1" s="195"/>
    <row r="579" ht="15.75" customHeight="1" s="195"/>
    <row r="580" ht="15.75" customHeight="1" s="195"/>
    <row r="581" ht="15.75" customHeight="1" s="195"/>
    <row r="582" ht="15.75" customHeight="1" s="195"/>
    <row r="583" ht="15.75" customHeight="1" s="195"/>
    <row r="584" ht="15.75" customHeight="1" s="195"/>
    <row r="585" ht="15.75" customHeight="1" s="195"/>
    <row r="586" ht="15.75" customHeight="1" s="195"/>
    <row r="587" ht="15.75" customHeight="1" s="195"/>
    <row r="588" ht="15.75" customHeight="1" s="195"/>
    <row r="589" ht="15.75" customHeight="1" s="195"/>
    <row r="590" ht="15.75" customHeight="1" s="195"/>
    <row r="591" ht="15.75" customHeight="1" s="195"/>
    <row r="592" ht="15.75" customHeight="1" s="195"/>
    <row r="593" ht="15.75" customHeight="1" s="195"/>
    <row r="594" ht="15.75" customHeight="1" s="195"/>
    <row r="595" ht="15.75" customHeight="1" s="195"/>
    <row r="596" ht="15.75" customHeight="1" s="195"/>
    <row r="597" ht="15.75" customHeight="1" s="195"/>
    <row r="598" ht="15.75" customHeight="1" s="195"/>
    <row r="599" ht="15.75" customHeight="1" s="195"/>
    <row r="600" ht="15.75" customHeight="1" s="195"/>
    <row r="601" ht="15.75" customHeight="1" s="195"/>
    <row r="602" ht="15.75" customHeight="1" s="195"/>
    <row r="603" ht="15.75" customHeight="1" s="195"/>
    <row r="604" ht="15.75" customHeight="1" s="195"/>
    <row r="605" ht="15.75" customHeight="1" s="195"/>
    <row r="606" ht="15.75" customHeight="1" s="195"/>
    <row r="607" ht="15.75" customHeight="1" s="195"/>
    <row r="608" ht="15.75" customHeight="1" s="195"/>
    <row r="609" ht="15.75" customHeight="1" s="195"/>
    <row r="610" ht="15.75" customHeight="1" s="195"/>
    <row r="611" ht="15.75" customHeight="1" s="195"/>
    <row r="612" ht="15.75" customHeight="1" s="195"/>
    <row r="613" ht="15.75" customHeight="1" s="195"/>
    <row r="614" ht="15.75" customHeight="1" s="195"/>
    <row r="615" ht="15.75" customHeight="1" s="195"/>
    <row r="616" ht="15.75" customHeight="1" s="195"/>
    <row r="617" ht="15.75" customHeight="1" s="195"/>
    <row r="618" ht="15.75" customHeight="1" s="195"/>
    <row r="619" ht="15.75" customHeight="1" s="195"/>
    <row r="620" ht="15.75" customHeight="1" s="195"/>
    <row r="621" ht="15.75" customHeight="1" s="195"/>
    <row r="622" ht="15.75" customHeight="1" s="195"/>
    <row r="623" ht="15.75" customHeight="1" s="195"/>
    <row r="624" ht="15.75" customHeight="1" s="195"/>
    <row r="625" ht="15.75" customHeight="1" s="195"/>
    <row r="626" ht="15.75" customHeight="1" s="195"/>
    <row r="627" ht="15.75" customHeight="1" s="195"/>
    <row r="628" ht="15.75" customHeight="1" s="195"/>
    <row r="629" ht="15.75" customHeight="1" s="195"/>
    <row r="630" ht="15.75" customHeight="1" s="195"/>
    <row r="631" ht="15.75" customHeight="1" s="195"/>
    <row r="632" ht="15.75" customHeight="1" s="195"/>
    <row r="633" ht="15.75" customHeight="1" s="195"/>
    <row r="634" ht="15.75" customHeight="1" s="195"/>
    <row r="635" ht="15.75" customHeight="1" s="195"/>
    <row r="636" ht="15.75" customHeight="1" s="195"/>
    <row r="637" ht="15.75" customHeight="1" s="195"/>
    <row r="638" ht="15.75" customHeight="1" s="195"/>
    <row r="639" ht="15.75" customHeight="1" s="195"/>
    <row r="640" ht="15.75" customHeight="1" s="195"/>
    <row r="641" ht="15.75" customHeight="1" s="195"/>
    <row r="642" ht="15.75" customHeight="1" s="195"/>
    <row r="643" ht="15.75" customHeight="1" s="195"/>
    <row r="644" ht="15.75" customHeight="1" s="195"/>
    <row r="645" ht="15.75" customHeight="1" s="195"/>
    <row r="646" ht="15.75" customHeight="1" s="195"/>
    <row r="647" ht="15.75" customHeight="1" s="195"/>
    <row r="648" ht="15.75" customHeight="1" s="195"/>
    <row r="649" ht="15.75" customHeight="1" s="195"/>
    <row r="650" ht="15.75" customHeight="1" s="195"/>
    <row r="651" ht="15.75" customHeight="1" s="195"/>
    <row r="652" ht="15.75" customHeight="1" s="195"/>
    <row r="653" ht="15.75" customHeight="1" s="195"/>
    <row r="654" ht="15.75" customHeight="1" s="195"/>
    <row r="655" ht="15.75" customHeight="1" s="195"/>
    <row r="656" ht="15.75" customHeight="1" s="195"/>
    <row r="657" ht="15.75" customHeight="1" s="195"/>
    <row r="658" ht="15.75" customHeight="1" s="195"/>
    <row r="659" ht="15.75" customHeight="1" s="195"/>
    <row r="660" ht="15.75" customHeight="1" s="195"/>
    <row r="661" ht="15.75" customHeight="1" s="195"/>
    <row r="662" ht="15.75" customHeight="1" s="195"/>
    <row r="663" ht="15.75" customHeight="1" s="195"/>
    <row r="664" ht="15.75" customHeight="1" s="195"/>
    <row r="665" ht="15.75" customHeight="1" s="195"/>
    <row r="666" ht="15.75" customHeight="1" s="195"/>
    <row r="667" ht="15.75" customHeight="1" s="195"/>
    <row r="668" ht="15.75" customHeight="1" s="195"/>
    <row r="669" ht="15.75" customHeight="1" s="195"/>
    <row r="670" ht="15.75" customHeight="1" s="195"/>
    <row r="671" ht="15.75" customHeight="1" s="195"/>
    <row r="672" ht="15.75" customHeight="1" s="195"/>
    <row r="673" ht="15.75" customHeight="1" s="195"/>
    <row r="674" ht="15.75" customHeight="1" s="195"/>
    <row r="675" ht="15.75" customHeight="1" s="195"/>
    <row r="676" ht="15.75" customHeight="1" s="195"/>
    <row r="677" ht="15.75" customHeight="1" s="195"/>
    <row r="678" ht="15.75" customHeight="1" s="195"/>
    <row r="679" ht="15.75" customHeight="1" s="195"/>
    <row r="680" ht="15.75" customHeight="1" s="195"/>
    <row r="681" ht="15.75" customHeight="1" s="195"/>
    <row r="682" ht="15.75" customHeight="1" s="195"/>
    <row r="683" ht="15.75" customHeight="1" s="195"/>
    <row r="684" ht="15.75" customHeight="1" s="195"/>
    <row r="685" ht="15.75" customHeight="1" s="195"/>
    <row r="686" ht="15.75" customHeight="1" s="195"/>
    <row r="687" ht="15.75" customHeight="1" s="195"/>
    <row r="688" ht="15.75" customHeight="1" s="195"/>
    <row r="689" ht="15.75" customHeight="1" s="195"/>
    <row r="690" ht="15.75" customHeight="1" s="195"/>
    <row r="691" ht="15.75" customHeight="1" s="195"/>
    <row r="692" ht="15.75" customHeight="1" s="195"/>
    <row r="693" ht="15.75" customHeight="1" s="195"/>
    <row r="694" ht="15.75" customHeight="1" s="195"/>
    <row r="695" ht="15.75" customHeight="1" s="195"/>
    <row r="696" ht="15.75" customHeight="1" s="195"/>
    <row r="697" ht="15.75" customHeight="1" s="195"/>
    <row r="698" ht="15.75" customHeight="1" s="195"/>
    <row r="699" ht="15.75" customHeight="1" s="195"/>
    <row r="700" ht="15.75" customHeight="1" s="195"/>
    <row r="701" ht="15.75" customHeight="1" s="195"/>
    <row r="702" ht="15.75" customHeight="1" s="195"/>
    <row r="703" ht="15.75" customHeight="1" s="195"/>
    <row r="704" ht="15.75" customHeight="1" s="195"/>
    <row r="705" ht="15.75" customHeight="1" s="195"/>
    <row r="706" ht="15.75" customHeight="1" s="195"/>
    <row r="707" ht="15.75" customHeight="1" s="195"/>
    <row r="708" ht="15.75" customHeight="1" s="195"/>
    <row r="709" ht="15.75" customHeight="1" s="195"/>
    <row r="710" ht="15.75" customHeight="1" s="195"/>
    <row r="711" ht="15.75" customHeight="1" s="195"/>
    <row r="712" ht="15.75" customHeight="1" s="195"/>
    <row r="713" ht="15.75" customHeight="1" s="195"/>
    <row r="714" ht="15.75" customHeight="1" s="195"/>
    <row r="715" ht="15.75" customHeight="1" s="195"/>
    <row r="716" ht="15.75" customHeight="1" s="195"/>
    <row r="717" ht="15.75" customHeight="1" s="195"/>
    <row r="718" ht="15.75" customHeight="1" s="195"/>
    <row r="719" ht="15.75" customHeight="1" s="195"/>
    <row r="720" ht="15.75" customHeight="1" s="195"/>
    <row r="721" ht="15.75" customHeight="1" s="195"/>
    <row r="722" ht="15.75" customHeight="1" s="195"/>
    <row r="723" ht="15.75" customHeight="1" s="195"/>
    <row r="724" ht="15.75" customHeight="1" s="195"/>
    <row r="725" ht="15.75" customHeight="1" s="195"/>
    <row r="726" ht="15.75" customHeight="1" s="195"/>
    <row r="727" ht="15.75" customHeight="1" s="195"/>
    <row r="728" ht="15.75" customHeight="1" s="195"/>
    <row r="729" ht="15.75" customHeight="1" s="195"/>
    <row r="730" ht="15.75" customHeight="1" s="195"/>
    <row r="731" ht="15.75" customHeight="1" s="195"/>
    <row r="732" ht="15.75" customHeight="1" s="195"/>
    <row r="733" ht="15.75" customHeight="1" s="195"/>
    <row r="734" ht="15.75" customHeight="1" s="195"/>
    <row r="735" ht="15.75" customHeight="1" s="195"/>
    <row r="736" ht="15.75" customHeight="1" s="195"/>
    <row r="737" ht="15.75" customHeight="1" s="195"/>
    <row r="738" ht="15.75" customHeight="1" s="195"/>
    <row r="739" ht="15.75" customHeight="1" s="195"/>
    <row r="740" ht="15.75" customHeight="1" s="195"/>
    <row r="741" ht="15.75" customHeight="1" s="195"/>
    <row r="742" ht="15.75" customHeight="1" s="195"/>
    <row r="743" ht="15.75" customHeight="1" s="195"/>
    <row r="744" ht="15.75" customHeight="1" s="195"/>
    <row r="745" ht="15.75" customHeight="1" s="195"/>
    <row r="746" ht="15.75" customHeight="1" s="195"/>
    <row r="747" ht="15.75" customHeight="1" s="195"/>
    <row r="748" ht="15.75" customHeight="1" s="195"/>
    <row r="749" ht="15.75" customHeight="1" s="195"/>
    <row r="750" ht="15.75" customHeight="1" s="195"/>
    <row r="751" ht="15.75" customHeight="1" s="195"/>
    <row r="752" ht="15.75" customHeight="1" s="195"/>
    <row r="753" ht="15.75" customHeight="1" s="195"/>
    <row r="754" ht="15.75" customHeight="1" s="195"/>
    <row r="755" ht="15.75" customHeight="1" s="195"/>
    <row r="756" ht="15.75" customHeight="1" s="195"/>
    <row r="757" ht="15.75" customHeight="1" s="195"/>
    <row r="758" ht="15.75" customHeight="1" s="195"/>
    <row r="759" ht="15.75" customHeight="1" s="195"/>
    <row r="760" ht="15.75" customHeight="1" s="195"/>
    <row r="761" ht="15.75" customHeight="1" s="195"/>
    <row r="762" ht="15.75" customHeight="1" s="195"/>
    <row r="763" ht="15.75" customHeight="1" s="195"/>
    <row r="764" ht="15.75" customHeight="1" s="195"/>
    <row r="765" ht="15.75" customHeight="1" s="195"/>
    <row r="766" ht="15.75" customHeight="1" s="195"/>
    <row r="767" ht="15.75" customHeight="1" s="195"/>
    <row r="768" ht="15.75" customHeight="1" s="195"/>
    <row r="769" ht="15.75" customHeight="1" s="195"/>
    <row r="770" ht="15.75" customHeight="1" s="195"/>
    <row r="771" ht="15.75" customHeight="1" s="195"/>
    <row r="772" ht="15.75" customHeight="1" s="195"/>
    <row r="773" ht="15.75" customHeight="1" s="195"/>
    <row r="774" ht="15.75" customHeight="1" s="195"/>
    <row r="775" ht="15.75" customHeight="1" s="195"/>
    <row r="776" ht="15.75" customHeight="1" s="195"/>
    <row r="777" ht="15.75" customHeight="1" s="195"/>
    <row r="778" ht="15.75" customHeight="1" s="195"/>
    <row r="779" ht="15.75" customHeight="1" s="195"/>
    <row r="780" ht="15.75" customHeight="1" s="195"/>
    <row r="781" ht="15.75" customHeight="1" s="195"/>
    <row r="782" ht="15.75" customHeight="1" s="195"/>
    <row r="783" ht="15.75" customHeight="1" s="195"/>
    <row r="784" ht="15.75" customHeight="1" s="195"/>
    <row r="785" ht="15.75" customHeight="1" s="195"/>
    <row r="786" ht="15.75" customHeight="1" s="195"/>
    <row r="787" ht="15.75" customHeight="1" s="195"/>
    <row r="788" ht="15.75" customHeight="1" s="195"/>
    <row r="789" ht="15.75" customHeight="1" s="195"/>
    <row r="790" ht="15.75" customHeight="1" s="195"/>
    <row r="791" ht="15.75" customHeight="1" s="195"/>
    <row r="792" ht="15.75" customHeight="1" s="195"/>
    <row r="793" ht="15.75" customHeight="1" s="195"/>
    <row r="794" ht="15.75" customHeight="1" s="195"/>
    <row r="795" ht="15.75" customHeight="1" s="195"/>
    <row r="796" ht="15.75" customHeight="1" s="195"/>
    <row r="797" ht="15.75" customHeight="1" s="195"/>
    <row r="798" ht="15.75" customHeight="1" s="195"/>
    <row r="799" ht="15.75" customHeight="1" s="195"/>
    <row r="800" ht="15.75" customHeight="1" s="195"/>
    <row r="801" ht="15.75" customHeight="1" s="195"/>
    <row r="802" ht="15.75" customHeight="1" s="195"/>
    <row r="803" ht="15.75" customHeight="1" s="195"/>
    <row r="804" ht="15.75" customHeight="1" s="195"/>
    <row r="805" ht="15.75" customHeight="1" s="195"/>
    <row r="806" ht="15.75" customHeight="1" s="195"/>
    <row r="807" ht="15.75" customHeight="1" s="195"/>
    <row r="808" ht="15.75" customHeight="1" s="195"/>
    <row r="809" ht="15.75" customHeight="1" s="195"/>
    <row r="810" ht="15.75" customHeight="1" s="195"/>
    <row r="811" ht="15.75" customHeight="1" s="195"/>
    <row r="812" ht="15.75" customHeight="1" s="195"/>
    <row r="813" ht="15.75" customHeight="1" s="195"/>
    <row r="814" ht="15.75" customHeight="1" s="195"/>
    <row r="815" ht="15.75" customHeight="1" s="195"/>
    <row r="816" ht="15.75" customHeight="1" s="195"/>
    <row r="817" ht="15.75" customHeight="1" s="195"/>
    <row r="818" ht="15.75" customHeight="1" s="195"/>
    <row r="819" ht="15.75" customHeight="1" s="195"/>
    <row r="820" ht="15.75" customHeight="1" s="195"/>
    <row r="821" ht="15.75" customHeight="1" s="195"/>
    <row r="822" ht="15.75" customHeight="1" s="195"/>
    <row r="823" ht="15.75" customHeight="1" s="195"/>
    <row r="824" ht="15.75" customHeight="1" s="195"/>
    <row r="825" ht="15.75" customHeight="1" s="195"/>
    <row r="826" ht="15.75" customHeight="1" s="195"/>
    <row r="827" ht="15.75" customHeight="1" s="195"/>
    <row r="828" ht="15.75" customHeight="1" s="195"/>
    <row r="829" ht="15.75" customHeight="1" s="195"/>
    <row r="830" ht="15.75" customHeight="1" s="195"/>
    <row r="831" ht="15.75" customHeight="1" s="195"/>
    <row r="832" ht="15.75" customHeight="1" s="195"/>
    <row r="833" ht="15.75" customHeight="1" s="195"/>
    <row r="834" ht="15.75" customHeight="1" s="195"/>
    <row r="835" ht="15.75" customHeight="1" s="195"/>
    <row r="836" ht="15.75" customHeight="1" s="195"/>
    <row r="837" ht="15.75" customHeight="1" s="195"/>
    <row r="838" ht="15.75" customHeight="1" s="195"/>
    <row r="839" ht="15.75" customHeight="1" s="195"/>
    <row r="840" ht="15.75" customHeight="1" s="195"/>
    <row r="841" ht="15.75" customHeight="1" s="195"/>
    <row r="842" ht="15.75" customHeight="1" s="195"/>
    <row r="843" ht="15.75" customHeight="1" s="195"/>
    <row r="844" ht="15.75" customHeight="1" s="195"/>
    <row r="845" ht="15.75" customHeight="1" s="195"/>
    <row r="846" ht="15.75" customHeight="1" s="195"/>
    <row r="847" ht="15.75" customHeight="1" s="195"/>
    <row r="848" ht="15.75" customHeight="1" s="195"/>
    <row r="849" ht="15.75" customHeight="1" s="195"/>
    <row r="850" ht="15.75" customHeight="1" s="195"/>
    <row r="851" ht="15.75" customHeight="1" s="195"/>
    <row r="852" ht="15.75" customHeight="1" s="195"/>
    <row r="853" ht="15.75" customHeight="1" s="195"/>
    <row r="854" ht="15.75" customHeight="1" s="195"/>
    <row r="855" ht="15.75" customHeight="1" s="195"/>
    <row r="856" ht="15.75" customHeight="1" s="195"/>
    <row r="857" ht="15.75" customHeight="1" s="195"/>
    <row r="858" ht="15.75" customHeight="1" s="195"/>
    <row r="859" ht="15.75" customHeight="1" s="195"/>
    <row r="860" ht="15.75" customHeight="1" s="195"/>
    <row r="861" ht="15.75" customHeight="1" s="195"/>
    <row r="862" ht="15.75" customHeight="1" s="195"/>
    <row r="863" ht="15.75" customHeight="1" s="195"/>
    <row r="864" ht="15.75" customHeight="1" s="195"/>
    <row r="865" ht="15.75" customHeight="1" s="195"/>
    <row r="866" ht="15.75" customHeight="1" s="195"/>
    <row r="867" ht="15.75" customHeight="1" s="195"/>
    <row r="868" ht="15.75" customHeight="1" s="195"/>
    <row r="869" ht="15.75" customHeight="1" s="195"/>
    <row r="870" ht="15.75" customHeight="1" s="195"/>
    <row r="871" ht="15.75" customHeight="1" s="195"/>
    <row r="872" ht="15.75" customHeight="1" s="195"/>
    <row r="873" ht="15.75" customHeight="1" s="195"/>
    <row r="874" ht="15.75" customHeight="1" s="195"/>
    <row r="875" ht="15.75" customHeight="1" s="195"/>
    <row r="876" ht="15.75" customHeight="1" s="195"/>
    <row r="877" ht="15.75" customHeight="1" s="195"/>
    <row r="878" ht="15.75" customHeight="1" s="195"/>
    <row r="879" ht="15.75" customHeight="1" s="195"/>
    <row r="880" ht="15.75" customHeight="1" s="195"/>
    <row r="881" ht="15.75" customHeight="1" s="195"/>
    <row r="882" ht="15.75" customHeight="1" s="195"/>
    <row r="883" ht="15.75" customHeight="1" s="195"/>
    <row r="884" ht="15.75" customHeight="1" s="195"/>
    <row r="885" ht="15.75" customHeight="1" s="195"/>
    <row r="886" ht="15.75" customHeight="1" s="195"/>
    <row r="887" ht="15.75" customHeight="1" s="195"/>
    <row r="888" ht="15.75" customHeight="1" s="195"/>
    <row r="889" ht="15.75" customHeight="1" s="195"/>
    <row r="890" ht="15.75" customHeight="1" s="195"/>
    <row r="891" ht="15.75" customHeight="1" s="195"/>
    <row r="892" ht="15.75" customHeight="1" s="195"/>
    <row r="893" ht="15.75" customHeight="1" s="195"/>
    <row r="894" ht="15.75" customHeight="1" s="195"/>
    <row r="895" ht="15.75" customHeight="1" s="195"/>
    <row r="896" ht="15.75" customHeight="1" s="195"/>
    <row r="897" ht="15.75" customHeight="1" s="195"/>
    <row r="898" ht="15.75" customHeight="1" s="195"/>
    <row r="899" ht="15.75" customHeight="1" s="195"/>
    <row r="900" ht="15.75" customHeight="1" s="195"/>
    <row r="901" ht="15.75" customHeight="1" s="195"/>
    <row r="902" ht="15.75" customHeight="1" s="195"/>
    <row r="903" ht="15.75" customHeight="1" s="195"/>
    <row r="904" ht="15.75" customHeight="1" s="195"/>
    <row r="905" ht="15.75" customHeight="1" s="195"/>
    <row r="906" ht="15.75" customHeight="1" s="195"/>
    <row r="907" ht="15.75" customHeight="1" s="195"/>
    <row r="908" ht="15.75" customHeight="1" s="195"/>
    <row r="909" ht="15.75" customHeight="1" s="195"/>
    <row r="910" ht="15.75" customHeight="1" s="195"/>
    <row r="911" ht="15.75" customHeight="1" s="195"/>
    <row r="912" ht="15.75" customHeight="1" s="195"/>
    <row r="913" ht="15.75" customHeight="1" s="195"/>
    <row r="914" ht="15.75" customHeight="1" s="195"/>
    <row r="915" ht="15.75" customHeight="1" s="195"/>
    <row r="916" ht="15.75" customHeight="1" s="195"/>
    <row r="917" ht="15.75" customHeight="1" s="195"/>
    <row r="918" ht="15.75" customHeight="1" s="195"/>
    <row r="919" ht="15.75" customHeight="1" s="195"/>
    <row r="920" ht="15.75" customHeight="1" s="195"/>
    <row r="921" ht="15.75" customHeight="1" s="195"/>
    <row r="922" ht="15.75" customHeight="1" s="195"/>
    <row r="923" ht="15.75" customHeight="1" s="195"/>
    <row r="924" ht="15.75" customHeight="1" s="195"/>
    <row r="925" ht="15.75" customHeight="1" s="195"/>
    <row r="926" ht="15.75" customHeight="1" s="195"/>
    <row r="927" ht="15.75" customHeight="1" s="195"/>
    <row r="928" ht="15.75" customHeight="1" s="195"/>
    <row r="929" ht="15.75" customHeight="1" s="195"/>
    <row r="930" ht="15.75" customHeight="1" s="195"/>
    <row r="931" ht="15.75" customHeight="1" s="195"/>
    <row r="932" ht="15.75" customHeight="1" s="195"/>
    <row r="933" ht="15.75" customHeight="1" s="195"/>
    <row r="934" ht="15.75" customHeight="1" s="195"/>
    <row r="935" ht="15.75" customHeight="1" s="195"/>
    <row r="936" ht="15.75" customHeight="1" s="195"/>
    <row r="937" ht="15.75" customHeight="1" s="195"/>
    <row r="938" ht="15.75" customHeight="1" s="195"/>
    <row r="939" ht="15.75" customHeight="1" s="195"/>
    <row r="940" ht="15.75" customHeight="1" s="195"/>
    <row r="941" ht="15.75" customHeight="1" s="195"/>
    <row r="942" ht="15.75" customHeight="1" s="195"/>
    <row r="943" ht="15.75" customHeight="1" s="195"/>
    <row r="944" ht="15.75" customHeight="1" s="195"/>
    <row r="945" ht="15.75" customHeight="1" s="195"/>
    <row r="946" ht="15.75" customHeight="1" s="195"/>
    <row r="947" ht="15.75" customHeight="1" s="195"/>
    <row r="948" ht="15.75" customHeight="1" s="195"/>
    <row r="949" ht="15.75" customHeight="1" s="195"/>
    <row r="950" ht="15.75" customHeight="1" s="195"/>
    <row r="951" ht="15.75" customHeight="1" s="195"/>
    <row r="952" ht="15.75" customHeight="1" s="195"/>
    <row r="953" ht="15.75" customHeight="1" s="195"/>
    <row r="954" ht="15.75" customHeight="1" s="195"/>
    <row r="955" ht="15.75" customHeight="1" s="195"/>
    <row r="956" ht="15.75" customHeight="1" s="195"/>
    <row r="957" ht="15.75" customHeight="1" s="195"/>
    <row r="958" ht="15.75" customHeight="1" s="195"/>
    <row r="959" ht="15.75" customHeight="1" s="195"/>
    <row r="960" ht="15.75" customHeight="1" s="195"/>
    <row r="961" ht="15.75" customHeight="1" s="195"/>
    <row r="962" ht="15.75" customHeight="1" s="195"/>
    <row r="963" ht="15.75" customHeight="1" s="195"/>
    <row r="964" ht="15.75" customHeight="1" s="195"/>
    <row r="965" ht="15.75" customHeight="1" s="195"/>
    <row r="966" ht="15.75" customHeight="1" s="195"/>
    <row r="967" ht="15.75" customHeight="1" s="195"/>
    <row r="968" ht="15.75" customHeight="1" s="195"/>
    <row r="969" ht="15.75" customHeight="1" s="195"/>
    <row r="970" ht="15.75" customHeight="1" s="195"/>
    <row r="971" ht="15.75" customHeight="1" s="195"/>
    <row r="972" ht="15.75" customHeight="1" s="195"/>
    <row r="973" ht="15.75" customHeight="1" s="195"/>
    <row r="974" ht="15.75" customHeight="1" s="195"/>
    <row r="975" ht="15.75" customHeight="1" s="195"/>
    <row r="976" ht="15.75" customHeight="1" s="195"/>
    <row r="977" ht="15.75" customHeight="1" s="195"/>
    <row r="978" ht="15.75" customHeight="1" s="195"/>
    <row r="979" ht="15.75" customHeight="1" s="195"/>
    <row r="980" ht="15.75" customHeight="1" s="195"/>
    <row r="981" ht="15.75" customHeight="1" s="195"/>
    <row r="982" ht="15.75" customHeight="1" s="195"/>
    <row r="983" ht="15.75" customHeight="1" s="195"/>
    <row r="984" ht="15.75" customHeight="1" s="195"/>
    <row r="985" ht="15.75" customHeight="1" s="195"/>
    <row r="986" ht="15.75" customHeight="1" s="195"/>
    <row r="987" ht="15.75" customHeight="1" s="195"/>
    <row r="988" ht="15.75" customHeight="1" s="195"/>
    <row r="989" ht="15.75" customHeight="1" s="195"/>
    <row r="990" ht="15.75" customHeight="1" s="195"/>
    <row r="991" ht="15.75" customHeight="1" s="195"/>
    <row r="992" ht="15.75" customHeight="1" s="195"/>
    <row r="993" ht="15.75" customHeight="1" s="195"/>
    <row r="994" ht="15.75" customHeight="1" s="195"/>
    <row r="995" ht="15.75" customHeight="1" s="195"/>
    <row r="996" ht="15.75" customHeight="1" s="195"/>
    <row r="997" ht="15.75" customHeight="1" s="195"/>
    <row r="998" ht="15.75" customHeight="1" s="195"/>
    <row r="999" ht="15.75" customHeight="1" s="195"/>
    <row r="1000" ht="15.75" customHeight="1" s="195"/>
  </sheetData>
  <mergeCells count="13">
    <mergeCell ref="D2:F2"/>
    <mergeCell ref="G2:I2"/>
    <mergeCell ref="S2:T2"/>
    <mergeCell ref="J2:L2"/>
    <mergeCell ref="A8:J8"/>
    <mergeCell ref="U2:V2"/>
    <mergeCell ref="A506:G506"/>
    <mergeCell ref="P2:R2"/>
    <mergeCell ref="A1:Y1"/>
    <mergeCell ref="W2:AC2"/>
    <mergeCell ref="A4:Y4"/>
    <mergeCell ref="M2:O2"/>
    <mergeCell ref="A2:C2"/>
  </mergeCells>
  <conditionalFormatting sqref="T6:T505">
    <cfRule type="expression" rank="0" priority="2" equalAverage="0" aboveAverage="0" dxfId="0" text="" percent="0" bottom="0">
      <formula>EXACT(T6,"APROBADO")</formula>
    </cfRule>
    <cfRule type="expression" rank="0" priority="3" equalAverage="0" aboveAverage="0" dxfId="7" text="" percent="0" bottom="0">
      <formula>EXACT(T6,"PENDIENTE")</formula>
    </cfRule>
    <cfRule type="expression" rank="0" priority="4" equalAverage="0" aboveAverage="0" dxfId="0" text="" percent="0" bottom="0">
      <formula>EXACT(T6,"APROBADO")</formula>
    </cfRule>
    <cfRule type="expression" rank="0" priority="5" equalAverage="0" aboveAverage="0" dxfId="7" text="" percent="0" bottom="0">
      <formula>EXACT(T6,"OBSERVADO")</formula>
    </cfRule>
  </conditionalFormatting>
  <conditionalFormatting sqref="K6:K505">
    <cfRule type="expression" rank="0" priority="6" equalAverage="0" aboveAverage="0" dxfId="8" text="" percent="0" bottom="0">
      <formula>EXACT(K6,"GASOLINA")</formula>
    </cfRule>
  </conditionalFormatting>
  <conditionalFormatting sqref="Z6:Z505">
    <cfRule type="expression" rank="0" priority="7" equalAverage="0" aboveAverage="0" dxfId="0" text="" percent="0" bottom="0">
      <formula>EXACT(Z6,"COMPLETADO")</formula>
    </cfRule>
    <cfRule type="expression" rank="0" priority="8" equalAverage="0" aboveAverage="0" dxfId="7" text="" percent="0" bottom="0">
      <formula>EXACT(Z6,"OBSERVADO")</formula>
    </cfRule>
  </conditionalFormatting>
  <conditionalFormatting sqref="T6:T110">
    <cfRule type="expression" rank="0" priority="9" equalAverage="0" aboveAverage="0" dxfId="0" text="" percent="0" bottom="0">
      <formula>EXACT(T6,"APROBADO")</formula>
    </cfRule>
    <cfRule type="expression" rank="0" priority="10" equalAverage="0" aboveAverage="0" dxfId="7" text="" percent="0" bottom="0">
      <formula>EXACT(T6,"OBSERVADO")</formula>
    </cfRule>
  </conditionalFormatting>
  <conditionalFormatting sqref="Z6:Z110">
    <cfRule type="expression" rank="0" priority="11" equalAverage="0" aboveAverage="0" dxfId="0" text="" percent="0" bottom="0">
      <formula>EXACT(Z6,"COMPLETADO")</formula>
    </cfRule>
    <cfRule type="expression" rank="0" priority="12" equalAverage="0" aboveAverage="0" dxfId="7" text="" percent="0" bottom="0">
      <formula>EXACT(Z6,"OBSERVADO")</formula>
    </cfRule>
    <cfRule type="expression" rank="0" priority="13" equalAverage="0" aboveAverage="0" dxfId="0" text="" percent="0" bottom="0">
      <formula>Z6="ENTREGADO"</formula>
    </cfRule>
    <cfRule type="expression" rank="0" priority="14" equalAverage="0" aboveAverage="0" dxfId="7" text="" percent="0" bottom="0">
      <formula>Z6="POR RECOGER"</formula>
    </cfRule>
  </conditionalFormatting>
  <conditionalFormatting sqref="Y6:Y110">
    <cfRule type="expression" rank="0" priority="15" equalAverage="0" aboveAverage="0" dxfId="9" text="" percent="0" bottom="0">
      <formula>Y6&lt;&gt;""</formula>
    </cfRule>
  </conditionalFormatting>
  <dataValidations count="5">
    <dataValidation sqref="Y6:Y110" showDropDown="0" showInputMessage="0" showErrorMessage="0" allowBlank="1" type="list" errorStyle="stop" operator="between">
      <formula1>CONDUCTORES!$H$3:$H$104</formula1>
      <formula2>0</formula2>
    </dataValidation>
    <dataValidation sqref="K6:K505" showDropDown="0" showInputMessage="0" showErrorMessage="0" allowBlank="1" type="list" errorStyle="stop" operator="between">
      <formula1>"PETROLEO,GASOLINA"</formula1>
      <formula2>0</formula2>
    </dataValidation>
    <dataValidation sqref="E6:E7 E9:E505" showDropDown="0" showInputMessage="0" showErrorMessage="0" allowBlank="1" type="list" errorStyle="stop" operator="between">
      <formula1>"DNI,CE,PASAPORTE"</formula1>
      <formula2>0</formula2>
    </dataValidation>
    <dataValidation sqref="T6:T110" showDropDown="0" showInputMessage="0" showErrorMessage="0" allowBlank="1" type="list" errorStyle="stop" operator="between">
      <formula1>"APROBADO,OBSERVADO"</formula1>
      <formula2>0</formula2>
    </dataValidation>
    <dataValidation sqref="T111:T505" showDropDown="0" showInputMessage="1" showErrorMessage="1" allowBlank="1" prompt="Valor no válido - Solo se permite: APROBADO u OBSERVADO" type="list" errorStyle="stop" operator="between">
      <formula1>"APROBADO,OBSERVADO"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C5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baseColWidth="8" defaultColWidth="14.43359375" defaultRowHeight="15" zeroHeight="0" outlineLevelRow="0"/>
  <cols>
    <col width="6" customWidth="1" style="194" min="1" max="1"/>
    <col width="14" customWidth="1" style="194" min="2" max="2"/>
    <col width="8" customWidth="1" style="194" min="3" max="3"/>
    <col width="28" customWidth="1" style="194" min="4" max="4"/>
    <col width="7" customWidth="1" style="194" min="5" max="5"/>
    <col width="14" customWidth="1" style="194" min="6" max="6"/>
    <col width="12" customWidth="1" style="194" min="7" max="7"/>
    <col width="10" customWidth="1" style="194" min="8" max="8"/>
    <col width="30" customWidth="1" style="194" min="9" max="9"/>
    <col width="10" customWidth="1" style="194" min="10" max="10"/>
    <col width="12" customWidth="1" style="194" min="11" max="11"/>
    <col width="10" customWidth="1" style="194" min="12" max="13"/>
    <col width="14" customWidth="1" style="194" min="14" max="15"/>
    <col width="30" customWidth="1" style="194" min="16" max="16"/>
    <col width="12" customWidth="1" style="194" min="17" max="18"/>
    <col width="16" customWidth="1" style="194" min="19" max="19"/>
    <col width="12" customWidth="1" style="194" min="20" max="21"/>
    <col width="14" customWidth="1" style="194" min="22" max="23"/>
    <col width="8" customWidth="1" style="194" min="24" max="24"/>
    <col width="22" customWidth="1" style="194" min="25" max="25"/>
    <col width="14" customWidth="1" style="194" min="26" max="26"/>
    <col width="8.710000000000001" customWidth="1" style="194" min="27" max="29"/>
  </cols>
  <sheetData>
    <row r="1" ht="27.75" customHeight="1" s="195">
      <c r="A1" s="365" t="inlineStr">
        <is>
          <t>REPORTE DE TRASLADO DE PACIENTES SIS DEL MES DE OCTUBRE 2026 PARA REPOSICION DE COMBUSTIBLE</t>
        </is>
      </c>
      <c r="Z1" s="365" t="n"/>
      <c r="AA1" s="284" t="n"/>
    </row>
    <row r="2" ht="21.75" customHeight="1" s="195">
      <c r="A2" s="318" t="inlineStr">
        <is>
          <t>TOTAL PETROLEO (gal):</t>
        </is>
      </c>
      <c r="D2" s="366">
        <f>IFERROR(SUMPRODUCT((K6:K110="PETROLEO")*ISNUMBER(M6:M110)*M6:M110),0)</f>
        <v/>
      </c>
      <c r="G2" s="318" t="inlineStr">
        <is>
          <t>TOTAL GASOLINA (gal):</t>
        </is>
      </c>
      <c r="J2" s="366">
        <f>IFERROR(SUMPRODUCT((K6:K110="GASOLINA")*ISNUMBER(M6:M110)*M6:M110),0)</f>
        <v/>
      </c>
      <c r="M2" s="318" t="inlineStr">
        <is>
          <t>TOTAL SOLES S/.:</t>
        </is>
      </c>
      <c r="P2" s="367">
        <f>IFERROR(SUMPRODUCT(ISNUMBER(M6:M110)*L6:L110*M6:M110),0)</f>
        <v/>
      </c>
      <c r="S2" s="318" t="inlineStr">
        <is>
          <t>N TRASLADOS:</t>
        </is>
      </c>
      <c r="U2" s="368">
        <f>SUBTOTAL(2,A6:A110)</f>
        <v/>
      </c>
      <c r="W2" s="281" t="n"/>
    </row>
    <row r="3" ht="3.75" customHeight="1" s="195">
      <c r="A3" s="289" t="n"/>
      <c r="B3" s="289" t="n"/>
      <c r="C3" s="289" t="n"/>
      <c r="D3" s="289" t="n"/>
      <c r="E3" s="289" t="n"/>
      <c r="F3" s="289" t="n"/>
      <c r="G3" s="289" t="n"/>
      <c r="H3" s="289" t="n"/>
      <c r="I3" s="289" t="n"/>
      <c r="J3" s="289" t="n"/>
      <c r="K3" s="289" t="n"/>
      <c r="L3" s="289" t="n"/>
      <c r="M3" s="289" t="n"/>
      <c r="N3" s="289" t="n"/>
      <c r="O3" s="289" t="n"/>
      <c r="P3" s="289" t="n"/>
      <c r="Q3" s="289" t="n"/>
      <c r="R3" s="289" t="n"/>
      <c r="S3" s="289" t="n"/>
      <c r="T3" s="289" t="n"/>
      <c r="U3" s="289" t="n"/>
      <c r="V3" s="289" t="n"/>
      <c r="W3" s="289" t="n"/>
      <c r="X3" s="289" t="n"/>
      <c r="Y3" s="289" t="n"/>
      <c r="Z3" s="289" t="n"/>
      <c r="AA3" s="284" t="n"/>
    </row>
    <row r="4" ht="19.5" customHeight="1" s="195">
      <c r="A4" s="369" t="inlineStr">
        <is>
          <t>COLUMNAS EN AZUL = AUTO (no editar) | Ingrese: N, NRO FORMATO, AFILIADO, TIPO DOC, NRO DOC, FECHA TRASLADO, COD RENAES, COD REFERENCIA, DNI CONDUCTOR, PRECIO GAL, GALONES, FECHA ENTREGA, CIE-10, ESTADO FUA, FECHA DIGITACION, OFICIO, O/C, META, OBSERVACION</t>
        </is>
      </c>
      <c r="Z4" s="369" t="n"/>
      <c r="AA4" s="284" t="n"/>
    </row>
    <row r="5" ht="31.5" customHeight="1" s="195">
      <c r="A5" s="370" t="inlineStr">
        <is>
          <t>N</t>
        </is>
      </c>
      <c r="B5" s="370" t="inlineStr">
        <is>
          <t>NRO FORMATO
ATENCION</t>
        </is>
      </c>
      <c r="C5" s="370" t="inlineStr">
        <is>
          <t>UNIDAD
EJECUTORA</t>
        </is>
      </c>
      <c r="D5" s="370" t="inlineStr">
        <is>
          <t>AFILIADO</t>
        </is>
      </c>
      <c r="E5" s="370" t="inlineStr">
        <is>
          <t>TIPO
DOC</t>
        </is>
      </c>
      <c r="F5" s="370" t="inlineStr">
        <is>
          <t>NRO
DOCUMENTO</t>
        </is>
      </c>
      <c r="G5" s="370" t="inlineStr">
        <is>
          <t>FECHA
TRASLADO</t>
        </is>
      </c>
      <c r="H5" s="370" t="inlineStr">
        <is>
          <t>COD
RENAES</t>
        </is>
      </c>
      <c r="I5" s="371" t="inlineStr">
        <is>
          <t>DESCRIPCION
EESS</t>
        </is>
      </c>
      <c r="J5" s="370" t="inlineStr">
        <is>
          <t>COD EESS
REFERENCIA</t>
        </is>
      </c>
      <c r="K5" s="371" t="inlineStr">
        <is>
          <t>TIPO DE
COMBUSTIBLE</t>
        </is>
      </c>
      <c r="L5" s="370" t="inlineStr">
        <is>
          <t>PRECIO
GAL S/.</t>
        </is>
      </c>
      <c r="M5" s="370" t="inlineStr">
        <is>
          <t>GALONES</t>
        </is>
      </c>
      <c r="N5" s="371" t="inlineStr">
        <is>
          <t>TOTAL
COMBUSTIBLE S/.</t>
        </is>
      </c>
      <c r="O5" s="370" t="inlineStr">
        <is>
          <t>DNI
CONDUCTOR</t>
        </is>
      </c>
      <c r="P5" s="371" t="inlineStr">
        <is>
          <t>NOMBRE
CONDUCTOR</t>
        </is>
      </c>
      <c r="Q5" s="371" t="inlineStr">
        <is>
          <t>PLACA</t>
        </is>
      </c>
      <c r="R5" s="370" t="inlineStr">
        <is>
          <t>FECHA DE
ENTREGA</t>
        </is>
      </c>
      <c r="S5" s="370" t="inlineStr">
        <is>
          <t>CODIGO DE
DIAGNOSTICO</t>
        </is>
      </c>
      <c r="T5" s="370" t="inlineStr">
        <is>
          <t>ESTADO
FUA</t>
        </is>
      </c>
      <c r="U5" s="370" t="inlineStr">
        <is>
          <t>FECHA
DIGITACION</t>
        </is>
      </c>
      <c r="V5" s="370" t="inlineStr">
        <is>
          <t>OFICIO</t>
        </is>
      </c>
      <c r="W5" s="370" t="inlineStr">
        <is>
          <t>O/C</t>
        </is>
      </c>
      <c r="X5" s="370" t="inlineStr">
        <is>
          <t>META</t>
        </is>
      </c>
      <c r="Y5" s="324" t="inlineStr">
        <is>
          <t>DEVOLVER A
(IPRESS DESTINO)</t>
        </is>
      </c>
      <c r="Z5" s="372" t="inlineStr">
        <is>
          <t>ESTADO
COMPLETADO</t>
        </is>
      </c>
      <c r="AA5" s="284" t="n"/>
    </row>
    <row r="6" ht="15.75" customHeight="1" s="195">
      <c r="A6" s="334" t="n"/>
      <c r="B6" s="334" t="n"/>
      <c r="C6" s="334" t="n"/>
      <c r="D6" s="334" t="n"/>
      <c r="E6" s="334" t="n"/>
      <c r="F6" s="334" t="n"/>
      <c r="G6" s="334" t="n"/>
      <c r="H6" s="334" t="n"/>
      <c r="I6" s="332">
        <f>IFERROR(VLOOKUP(TEXT(H6,"0"),IPRESS!$A$3:$B$212,2,0),"")</f>
        <v/>
      </c>
      <c r="J6" s="334" t="n"/>
      <c r="K6" s="332">
        <f>IFERROR(VLOOKUP(TEXT(O6,"0"),CONDUCTORES!$A$3:$G$54,7,0),"")</f>
        <v/>
      </c>
      <c r="L6" s="334" t="n"/>
      <c r="M6" s="334" t="n"/>
      <c r="N6" s="333">
        <f>IFERROR(IF(L6*M6=0,"",L6*M6),"")</f>
        <v/>
      </c>
      <c r="O6" s="334" t="n"/>
      <c r="P6" s="332">
        <f>IFERROR(VLOOKUP(TEXT(O6,"0"),CONDUCTORES!$A$3:$G$54,2,0),"")</f>
        <v/>
      </c>
      <c r="Q6" s="332">
        <f>IFERROR(VLOOKUP(TEXT(O6,"0"),CONDUCTORES!$A$3:$H$54,6,0),"")</f>
        <v/>
      </c>
      <c r="R6" s="334" t="n"/>
      <c r="S6" s="334" t="n"/>
      <c r="T6" s="334" t="n"/>
      <c r="U6" s="334" t="n"/>
      <c r="V6" s="334" t="n"/>
      <c r="W6" s="334" t="n"/>
      <c r="X6" s="334" t="n"/>
      <c r="Y6" s="334" t="n"/>
      <c r="Z6" s="242">
        <f>IF(AND(G6&lt;&gt;"",R6&lt;&gt;"",V6&lt;&gt;"",W6&lt;&gt;""),"COMPLETADO","OBSERVADO")</f>
        <v/>
      </c>
      <c r="AA6" s="284" t="n"/>
    </row>
    <row r="7" ht="15.75" customHeight="1" s="195">
      <c r="A7" s="280" t="n"/>
      <c r="B7" s="280" t="n"/>
      <c r="C7" s="280" t="n"/>
      <c r="D7" s="280" t="n"/>
      <c r="E7" s="280" t="n"/>
      <c r="F7" s="280" t="n"/>
      <c r="G7" s="280" t="n"/>
      <c r="H7" s="280" t="n"/>
      <c r="I7" s="332">
        <f>IFERROR(VLOOKUP(TEXT(H7,"0"),IPRESS!$A$3:$B$212,2,0),"")</f>
        <v/>
      </c>
      <c r="J7" s="280" t="n"/>
      <c r="K7" s="332">
        <f>IFERROR(VLOOKUP(TEXT(O7,"0"),CONDUCTORES!$A$3:$G$54,7,0),"")</f>
        <v/>
      </c>
      <c r="L7" s="280" t="n"/>
      <c r="M7" s="280" t="n"/>
      <c r="N7" s="333">
        <f>IFERROR(IF(L7*M7=0,"",L7*M7),"")</f>
        <v/>
      </c>
      <c r="O7" s="280" t="n"/>
      <c r="P7" s="332">
        <f>IFERROR(VLOOKUP(TEXT(O7,"0"),CONDUCTORES!$A$3:$G$54,2,0),"")</f>
        <v/>
      </c>
      <c r="Q7" s="332">
        <f>IFERROR(VLOOKUP(TEXT(O7,"0"),CONDUCTORES!$A$3:$H$54,6,0),"")</f>
        <v/>
      </c>
      <c r="R7" s="280" t="n"/>
      <c r="S7" s="280" t="n"/>
      <c r="T7" s="280" t="n"/>
      <c r="U7" s="280" t="n"/>
      <c r="V7" s="280" t="n"/>
      <c r="W7" s="280" t="n"/>
      <c r="X7" s="280" t="n"/>
      <c r="Y7" s="280" t="n"/>
      <c r="Z7" s="236">
        <f>IF(AND(G7&lt;&gt;"",R7&lt;&gt;"",V7&lt;&gt;"",W7&lt;&gt;""),"COMPLETADO","OBSERVADO")</f>
        <v/>
      </c>
      <c r="AA7" s="284" t="n"/>
    </row>
    <row r="8" ht="15.75" customHeight="1" s="195">
      <c r="A8" s="334" t="n"/>
      <c r="K8" s="332">
        <f>IFERROR(VLOOKUP(TEXT(O8,"0"),CONDUCTORES!$A$3:$G$54,7,0),"")</f>
        <v/>
      </c>
      <c r="L8" s="334" t="n"/>
      <c r="M8" s="373" t="n"/>
      <c r="N8" s="333">
        <f>IFERROR(IF(L8*M8=0,"",L8*M8),"")</f>
        <v/>
      </c>
      <c r="O8" s="334" t="n"/>
      <c r="P8" s="332">
        <f>IFERROR(VLOOKUP(TEXT(O8,"0"),CONDUCTORES!$A$3:$G$54,2,0),"")</f>
        <v/>
      </c>
      <c r="Q8" s="332">
        <f>IFERROR(VLOOKUP(TEXT(O8,"0"),CONDUCTORES!$A$3:$H$54,6,0),"")</f>
        <v/>
      </c>
      <c r="R8" s="334" t="n"/>
      <c r="S8" s="334" t="n"/>
      <c r="T8" s="334" t="n"/>
      <c r="U8" s="334" t="n"/>
      <c r="V8" s="334" t="n"/>
      <c r="W8" s="334" t="n"/>
      <c r="X8" s="334" t="n"/>
      <c r="Y8" s="334" t="n"/>
      <c r="Z8" s="242">
        <f>IF(AND(G8&lt;&gt;"",R8&lt;&gt;"",V8&lt;&gt;"",W8&lt;&gt;""),"COMPLETADO","OBSERVADO")</f>
        <v/>
      </c>
      <c r="AA8" s="284" t="n"/>
    </row>
    <row r="9" ht="15.75" customHeight="1" s="195">
      <c r="A9" s="280" t="n"/>
      <c r="B9" s="280" t="n"/>
      <c r="C9" s="280" t="n"/>
      <c r="D9" s="280" t="n"/>
      <c r="E9" s="280" t="n"/>
      <c r="F9" s="280" t="n"/>
      <c r="G9" s="280" t="n"/>
      <c r="H9" s="280" t="n"/>
      <c r="I9" s="332">
        <f>IFERROR(VLOOKUP(TEXT(H9,"0"),IPRESS!$A$3:$B$212,2,0),"")</f>
        <v/>
      </c>
      <c r="J9" s="280" t="n"/>
      <c r="K9" s="332">
        <f>IFERROR(VLOOKUP(TEXT(O9,"0"),CONDUCTORES!$A$3:$G$54,7,0),"")</f>
        <v/>
      </c>
      <c r="L9" s="280" t="n"/>
      <c r="M9" s="280" t="n"/>
      <c r="N9" s="333">
        <f>IFERROR(IF(L9*M9=0,"",L9*M9),"")</f>
        <v/>
      </c>
      <c r="O9" s="280" t="n"/>
      <c r="P9" s="332">
        <f>IFERROR(VLOOKUP(TEXT(O9,"0"),CONDUCTORES!$A$3:$G$54,2,0),"")</f>
        <v/>
      </c>
      <c r="Q9" s="332">
        <f>IFERROR(VLOOKUP(TEXT(O9,"0"),CONDUCTORES!$A$3:$H$54,6,0),"")</f>
        <v/>
      </c>
      <c r="R9" s="280" t="n"/>
      <c r="S9" s="280" t="n"/>
      <c r="T9" s="280" t="n"/>
      <c r="U9" s="280" t="n"/>
      <c r="V9" s="280" t="n"/>
      <c r="W9" s="280" t="n"/>
      <c r="X9" s="280" t="n"/>
      <c r="Y9" s="280" t="n"/>
      <c r="Z9" s="236">
        <f>IF(AND(G9&lt;&gt;"",R9&lt;&gt;"",V9&lt;&gt;"",W9&lt;&gt;""),"COMPLETADO","OBSERVADO")</f>
        <v/>
      </c>
      <c r="AA9" s="284" t="n"/>
    </row>
    <row r="10" ht="15.75" customHeight="1" s="195">
      <c r="A10" s="334" t="n"/>
      <c r="B10" s="334" t="n"/>
      <c r="C10" s="334" t="n"/>
      <c r="D10" s="334" t="n"/>
      <c r="E10" s="334" t="n"/>
      <c r="F10" s="334" t="n"/>
      <c r="G10" s="334" t="n"/>
      <c r="H10" s="334" t="n"/>
      <c r="I10" s="332">
        <f>IFERROR(VLOOKUP(TEXT(H10,"0"),IPRESS!$A$3:$B$212,2,0),"")</f>
        <v/>
      </c>
      <c r="J10" s="334" t="n"/>
      <c r="K10" s="332">
        <f>IFERROR(VLOOKUP(TEXT(O10,"0"),CONDUCTORES!$A$3:$G$54,7,0),"")</f>
        <v/>
      </c>
      <c r="L10" s="334" t="n"/>
      <c r="M10" s="334" t="n"/>
      <c r="N10" s="333">
        <f>IFERROR(IF(L10*M10=0,"",L10*M10),"")</f>
        <v/>
      </c>
      <c r="O10" s="334" t="n"/>
      <c r="P10" s="332">
        <f>IFERROR(VLOOKUP(TEXT(O10,"0"),CONDUCTORES!$A$3:$G$54,2,0),"")</f>
        <v/>
      </c>
      <c r="Q10" s="332">
        <f>IFERROR(VLOOKUP(TEXT(O10,"0"),CONDUCTORES!$A$3:$H$54,6,0),"")</f>
        <v/>
      </c>
      <c r="R10" s="334" t="n"/>
      <c r="S10" s="334" t="n"/>
      <c r="T10" s="334" t="n"/>
      <c r="U10" s="334" t="n"/>
      <c r="V10" s="334" t="n"/>
      <c r="W10" s="334" t="n"/>
      <c r="X10" s="334" t="n"/>
      <c r="Y10" s="334" t="n"/>
      <c r="Z10" s="242">
        <f>IF(AND(G10&lt;&gt;"",R10&lt;&gt;"",V10&lt;&gt;"",W10&lt;&gt;""),"COMPLETADO","OBSERVADO")</f>
        <v/>
      </c>
      <c r="AA10" s="284" t="n"/>
    </row>
    <row r="11" ht="15.75" customHeight="1" s="195">
      <c r="A11" s="280" t="n"/>
      <c r="B11" s="280" t="n"/>
      <c r="C11" s="280" t="n"/>
      <c r="D11" s="280" t="n"/>
      <c r="E11" s="280" t="n"/>
      <c r="F11" s="280" t="n"/>
      <c r="G11" s="280" t="n"/>
      <c r="H11" s="280" t="n"/>
      <c r="I11" s="332">
        <f>IFERROR(VLOOKUP(TEXT(H11,"0"),IPRESS!$A$3:$B$212,2,0),"")</f>
        <v/>
      </c>
      <c r="J11" s="280" t="n"/>
      <c r="K11" s="332">
        <f>IFERROR(VLOOKUP(TEXT(O11,"0"),CONDUCTORES!$A$3:$G$54,7,0),"")</f>
        <v/>
      </c>
      <c r="L11" s="280" t="n"/>
      <c r="M11" s="280" t="n"/>
      <c r="N11" s="333">
        <f>IFERROR(IF(L11*M11=0,"",L11*M11),"")</f>
        <v/>
      </c>
      <c r="O11" s="280" t="n"/>
      <c r="P11" s="332">
        <f>IFERROR(VLOOKUP(TEXT(O11,"0"),CONDUCTORES!$A$3:$G$54,2,0),"")</f>
        <v/>
      </c>
      <c r="Q11" s="332">
        <f>IFERROR(VLOOKUP(TEXT(O11,"0"),CONDUCTORES!$A$3:$H$54,6,0),"")</f>
        <v/>
      </c>
      <c r="R11" s="280" t="n"/>
      <c r="S11" s="280" t="n"/>
      <c r="T11" s="280" t="n"/>
      <c r="U11" s="280" t="n"/>
      <c r="V11" s="280" t="n"/>
      <c r="W11" s="280" t="n"/>
      <c r="X11" s="280" t="n"/>
      <c r="Y11" s="280" t="n"/>
      <c r="Z11" s="236">
        <f>IF(AND(G11&lt;&gt;"",R11&lt;&gt;"",V11&lt;&gt;"",W11&lt;&gt;""),"COMPLETADO","OBSERVADO")</f>
        <v/>
      </c>
      <c r="AA11" s="284" t="n"/>
    </row>
    <row r="12" ht="15.75" customHeight="1" s="195">
      <c r="A12" s="334" t="n"/>
      <c r="B12" s="334" t="n"/>
      <c r="C12" s="334" t="n"/>
      <c r="D12" s="334" t="n"/>
      <c r="E12" s="334" t="n"/>
      <c r="F12" s="334" t="n"/>
      <c r="G12" s="334" t="n"/>
      <c r="H12" s="334" t="n"/>
      <c r="I12" s="332">
        <f>IFERROR(VLOOKUP(TEXT(H12,"0"),IPRESS!$A$3:$B$212,2,0),"")</f>
        <v/>
      </c>
      <c r="J12" s="334" t="n"/>
      <c r="K12" s="332">
        <f>IFERROR(VLOOKUP(TEXT(O12,"0"),CONDUCTORES!$A$3:$G$54,7,0),"")</f>
        <v/>
      </c>
      <c r="L12" s="334" t="n"/>
      <c r="M12" s="334" t="n"/>
      <c r="N12" s="333">
        <f>IFERROR(IF(L12*M12=0,"",L12*M12),"")</f>
        <v/>
      </c>
      <c r="O12" s="334" t="n"/>
      <c r="P12" s="332">
        <f>IFERROR(VLOOKUP(TEXT(O12,"0"),CONDUCTORES!$A$3:$G$54,2,0),"")</f>
        <v/>
      </c>
      <c r="Q12" s="332">
        <f>IFERROR(VLOOKUP(TEXT(O12,"0"),CONDUCTORES!$A$3:$H$54,6,0),"")</f>
        <v/>
      </c>
      <c r="R12" s="334" t="n"/>
      <c r="S12" s="334" t="n"/>
      <c r="T12" s="334" t="n"/>
      <c r="U12" s="334" t="n"/>
      <c r="V12" s="334" t="n"/>
      <c r="W12" s="334" t="n"/>
      <c r="X12" s="334" t="n"/>
      <c r="Y12" s="334" t="n"/>
      <c r="Z12" s="242">
        <f>IF(AND(G12&lt;&gt;"",R12&lt;&gt;"",V12&lt;&gt;"",W12&lt;&gt;""),"COMPLETADO","OBSERVADO")</f>
        <v/>
      </c>
      <c r="AA12" s="284" t="n"/>
    </row>
    <row r="13" ht="15.75" customHeight="1" s="195">
      <c r="A13" s="280" t="n"/>
      <c r="B13" s="280" t="n"/>
      <c r="C13" s="280" t="n"/>
      <c r="D13" s="280" t="n"/>
      <c r="E13" s="280" t="n"/>
      <c r="F13" s="280" t="n"/>
      <c r="G13" s="280" t="n"/>
      <c r="H13" s="280" t="n"/>
      <c r="I13" s="332">
        <f>IFERROR(VLOOKUP(TEXT(H13,"0"),IPRESS!$A$3:$B$212,2,0),"")</f>
        <v/>
      </c>
      <c r="J13" s="280" t="n"/>
      <c r="K13" s="332">
        <f>IFERROR(VLOOKUP(TEXT(O13,"0"),CONDUCTORES!$A$3:$G$54,7,0),"")</f>
        <v/>
      </c>
      <c r="L13" s="280" t="n"/>
      <c r="M13" s="280" t="n"/>
      <c r="N13" s="333">
        <f>IFERROR(IF(L13*M13=0,"",L13*M13),"")</f>
        <v/>
      </c>
      <c r="O13" s="280" t="n"/>
      <c r="P13" s="332">
        <f>IFERROR(VLOOKUP(TEXT(O13,"0"),CONDUCTORES!$A$3:$G$54,2,0),"")</f>
        <v/>
      </c>
      <c r="Q13" s="332">
        <f>IFERROR(VLOOKUP(TEXT(O13,"0"),CONDUCTORES!$A$3:$H$54,6,0),"")</f>
        <v/>
      </c>
      <c r="R13" s="280" t="n"/>
      <c r="S13" s="280" t="n"/>
      <c r="T13" s="280" t="n"/>
      <c r="U13" s="280" t="n"/>
      <c r="V13" s="280" t="n"/>
      <c r="W13" s="280" t="n"/>
      <c r="X13" s="280" t="n"/>
      <c r="Y13" s="280" t="n"/>
      <c r="Z13" s="236">
        <f>IF(AND(G13&lt;&gt;"",R13&lt;&gt;"",V13&lt;&gt;"",W13&lt;&gt;""),"COMPLETADO","OBSERVADO")</f>
        <v/>
      </c>
      <c r="AA13" s="284" t="n"/>
    </row>
    <row r="14" ht="15.75" customHeight="1" s="195">
      <c r="A14" s="334" t="n"/>
      <c r="B14" s="334" t="n"/>
      <c r="C14" s="334" t="n"/>
      <c r="D14" s="334" t="n"/>
      <c r="E14" s="334" t="n"/>
      <c r="F14" s="334" t="n"/>
      <c r="G14" s="334" t="n"/>
      <c r="H14" s="334" t="n"/>
      <c r="I14" s="332">
        <f>IFERROR(VLOOKUP(TEXT(H14,"0"),IPRESS!$A$3:$B$212,2,0),"")</f>
        <v/>
      </c>
      <c r="J14" s="334" t="n"/>
      <c r="K14" s="332">
        <f>IFERROR(VLOOKUP(TEXT(O14,"0"),CONDUCTORES!$A$3:$G$54,7,0),"")</f>
        <v/>
      </c>
      <c r="L14" s="334" t="n"/>
      <c r="M14" s="334" t="n"/>
      <c r="N14" s="333">
        <f>IFERROR(IF(L14*M14=0,"",L14*M14),"")</f>
        <v/>
      </c>
      <c r="O14" s="334" t="n"/>
      <c r="P14" s="332">
        <f>IFERROR(VLOOKUP(TEXT(O14,"0"),CONDUCTORES!$A$3:$G$54,2,0),"")</f>
        <v/>
      </c>
      <c r="Q14" s="332">
        <f>IFERROR(VLOOKUP(TEXT(O14,"0"),CONDUCTORES!$A$3:$H$54,6,0),"")</f>
        <v/>
      </c>
      <c r="R14" s="334" t="n"/>
      <c r="S14" s="334" t="n"/>
      <c r="T14" s="334" t="n"/>
      <c r="U14" s="334" t="n"/>
      <c r="V14" s="334" t="n"/>
      <c r="W14" s="334" t="n"/>
      <c r="X14" s="334" t="n"/>
      <c r="Y14" s="334" t="n"/>
      <c r="Z14" s="242">
        <f>IF(AND(G14&lt;&gt;"",R14&lt;&gt;"",V14&lt;&gt;"",W14&lt;&gt;""),"COMPLETADO","OBSERVADO")</f>
        <v/>
      </c>
      <c r="AA14" s="284" t="n"/>
    </row>
    <row r="15" ht="15.75" customHeight="1" s="195">
      <c r="A15" s="280" t="n"/>
      <c r="B15" s="280" t="n"/>
      <c r="C15" s="280" t="n"/>
      <c r="D15" s="280" t="n"/>
      <c r="E15" s="280" t="n"/>
      <c r="F15" s="280" t="n"/>
      <c r="G15" s="280" t="n"/>
      <c r="H15" s="280" t="n"/>
      <c r="I15" s="332">
        <f>IFERROR(VLOOKUP(TEXT(H15,"0"),IPRESS!$A$3:$B$212,2,0),"")</f>
        <v/>
      </c>
      <c r="J15" s="280" t="n"/>
      <c r="K15" s="332">
        <f>IFERROR(VLOOKUP(TEXT(O15,"0"),CONDUCTORES!$A$3:$G$54,7,0),"")</f>
        <v/>
      </c>
      <c r="L15" s="280" t="n"/>
      <c r="M15" s="280" t="n"/>
      <c r="N15" s="333">
        <f>IFERROR(IF(L15*M15=0,"",L15*M15),"")</f>
        <v/>
      </c>
      <c r="O15" s="280" t="n"/>
      <c r="P15" s="332">
        <f>IFERROR(VLOOKUP(TEXT(O15,"0"),CONDUCTORES!$A$3:$G$54,2,0),"")</f>
        <v/>
      </c>
      <c r="Q15" s="332">
        <f>IFERROR(VLOOKUP(TEXT(O15,"0"),CONDUCTORES!$A$3:$H$54,6,0),"")</f>
        <v/>
      </c>
      <c r="R15" s="280" t="n"/>
      <c r="S15" s="280" t="n"/>
      <c r="T15" s="280" t="n"/>
      <c r="U15" s="280" t="n"/>
      <c r="V15" s="280" t="n"/>
      <c r="W15" s="280" t="n"/>
      <c r="X15" s="280" t="n"/>
      <c r="Y15" s="280" t="n"/>
      <c r="Z15" s="236">
        <f>IF(AND(G15&lt;&gt;"",R15&lt;&gt;"",V15&lt;&gt;"",W15&lt;&gt;""),"COMPLETADO","OBSERVADO")</f>
        <v/>
      </c>
      <c r="AA15" s="284" t="n"/>
    </row>
    <row r="16" ht="15.75" customHeight="1" s="195">
      <c r="A16" s="334" t="n"/>
      <c r="B16" s="334" t="n"/>
      <c r="C16" s="334" t="n"/>
      <c r="D16" s="334" t="n"/>
      <c r="E16" s="334" t="n"/>
      <c r="F16" s="334" t="n"/>
      <c r="G16" s="334" t="n"/>
      <c r="H16" s="334" t="n"/>
      <c r="I16" s="332">
        <f>IFERROR(VLOOKUP(TEXT(H16,"0"),IPRESS!$A$3:$B$212,2,0),"")</f>
        <v/>
      </c>
      <c r="J16" s="334" t="n"/>
      <c r="K16" s="332">
        <f>IFERROR(VLOOKUP(TEXT(O16,"0"),CONDUCTORES!$A$3:$G$54,7,0),"")</f>
        <v/>
      </c>
      <c r="L16" s="334" t="n"/>
      <c r="M16" s="334" t="n"/>
      <c r="N16" s="333">
        <f>IFERROR(IF(L16*M16=0,"",L16*M16),"")</f>
        <v/>
      </c>
      <c r="O16" s="334" t="n"/>
      <c r="P16" s="332">
        <f>IFERROR(VLOOKUP(TEXT(O16,"0"),CONDUCTORES!$A$3:$G$54,2,0),"")</f>
        <v/>
      </c>
      <c r="Q16" s="332">
        <f>IFERROR(VLOOKUP(TEXT(O16,"0"),CONDUCTORES!$A$3:$H$54,6,0),"")</f>
        <v/>
      </c>
      <c r="R16" s="334" t="n"/>
      <c r="S16" s="334" t="n"/>
      <c r="T16" s="334" t="n"/>
      <c r="U16" s="334" t="n"/>
      <c r="V16" s="334" t="n"/>
      <c r="W16" s="334" t="n"/>
      <c r="X16" s="334" t="n"/>
      <c r="Y16" s="334" t="n"/>
      <c r="Z16" s="242">
        <f>IF(AND(G16&lt;&gt;"",R16&lt;&gt;"",V16&lt;&gt;"",W16&lt;&gt;""),"COMPLETADO","OBSERVADO")</f>
        <v/>
      </c>
      <c r="AA16" s="284" t="n"/>
    </row>
    <row r="17" ht="15.75" customHeight="1" s="195">
      <c r="A17" s="280" t="n"/>
      <c r="B17" s="280" t="n"/>
      <c r="C17" s="280" t="n"/>
      <c r="D17" s="280" t="n"/>
      <c r="E17" s="280" t="n"/>
      <c r="F17" s="280" t="n"/>
      <c r="G17" s="280" t="n"/>
      <c r="H17" s="280" t="n"/>
      <c r="I17" s="332">
        <f>IFERROR(VLOOKUP(TEXT(H17,"0"),IPRESS!$A$3:$B$212,2,0),"")</f>
        <v/>
      </c>
      <c r="J17" s="280" t="n"/>
      <c r="K17" s="332">
        <f>IFERROR(VLOOKUP(TEXT(O17,"0"),CONDUCTORES!$A$3:$G$54,7,0),"")</f>
        <v/>
      </c>
      <c r="L17" s="280" t="n"/>
      <c r="M17" s="280" t="n"/>
      <c r="N17" s="333">
        <f>IFERROR(IF(L17*M17=0,"",L17*M17),"")</f>
        <v/>
      </c>
      <c r="O17" s="280" t="n"/>
      <c r="P17" s="332">
        <f>IFERROR(VLOOKUP(TEXT(O17,"0"),CONDUCTORES!$A$3:$G$54,2,0),"")</f>
        <v/>
      </c>
      <c r="Q17" s="332">
        <f>IFERROR(VLOOKUP(TEXT(O17,"0"),CONDUCTORES!$A$3:$H$54,6,0),"")</f>
        <v/>
      </c>
      <c r="R17" s="280" t="n"/>
      <c r="S17" s="280" t="n"/>
      <c r="T17" s="280" t="n"/>
      <c r="U17" s="280" t="n"/>
      <c r="V17" s="280" t="n"/>
      <c r="W17" s="280" t="n"/>
      <c r="X17" s="280" t="n"/>
      <c r="Y17" s="280" t="n"/>
      <c r="Z17" s="236">
        <f>IF(AND(G17&lt;&gt;"",R17&lt;&gt;"",V17&lt;&gt;"",W17&lt;&gt;""),"COMPLETADO","OBSERVADO")</f>
        <v/>
      </c>
      <c r="AA17" s="284" t="n"/>
    </row>
    <row r="18" ht="15.75" customHeight="1" s="195">
      <c r="A18" s="334" t="n"/>
      <c r="B18" s="334" t="n"/>
      <c r="C18" s="334" t="n"/>
      <c r="D18" s="334" t="n"/>
      <c r="E18" s="334" t="n"/>
      <c r="F18" s="334" t="n"/>
      <c r="G18" s="334" t="n"/>
      <c r="H18" s="334" t="n"/>
      <c r="I18" s="332">
        <f>IFERROR(VLOOKUP(TEXT(H18,"0"),IPRESS!$A$3:$B$212,2,0),"")</f>
        <v/>
      </c>
      <c r="J18" s="334" t="n"/>
      <c r="K18" s="332">
        <f>IFERROR(VLOOKUP(TEXT(O18,"0"),CONDUCTORES!$A$3:$G$54,7,0),"")</f>
        <v/>
      </c>
      <c r="L18" s="334" t="n"/>
      <c r="M18" s="334" t="n"/>
      <c r="N18" s="333">
        <f>IFERROR(IF(L18*M18=0,"",L18*M18),"")</f>
        <v/>
      </c>
      <c r="O18" s="334" t="n"/>
      <c r="P18" s="332">
        <f>IFERROR(VLOOKUP(TEXT(O18,"0"),CONDUCTORES!$A$3:$G$54,2,0),"")</f>
        <v/>
      </c>
      <c r="Q18" s="332">
        <f>IFERROR(VLOOKUP(TEXT(O18,"0"),CONDUCTORES!$A$3:$H$54,6,0),"")</f>
        <v/>
      </c>
      <c r="R18" s="334" t="n"/>
      <c r="S18" s="334" t="n"/>
      <c r="T18" s="334" t="n"/>
      <c r="U18" s="334" t="n"/>
      <c r="V18" s="334" t="n"/>
      <c r="W18" s="334" t="n"/>
      <c r="X18" s="334" t="n"/>
      <c r="Y18" s="334" t="n"/>
      <c r="Z18" s="242">
        <f>IF(AND(G18&lt;&gt;"",R18&lt;&gt;"",V18&lt;&gt;"",W18&lt;&gt;""),"COMPLETADO","OBSERVADO")</f>
        <v/>
      </c>
      <c r="AA18" s="284" t="n"/>
    </row>
    <row r="19" ht="15.75" customHeight="1" s="195">
      <c r="A19" s="280" t="n"/>
      <c r="B19" s="280" t="n"/>
      <c r="C19" s="280" t="n"/>
      <c r="D19" s="280" t="n"/>
      <c r="E19" s="280" t="n"/>
      <c r="F19" s="280" t="n"/>
      <c r="G19" s="280" t="n"/>
      <c r="H19" s="280" t="n"/>
      <c r="I19" s="332">
        <f>IFERROR(VLOOKUP(TEXT(H19,"0"),IPRESS!$A$3:$B$212,2,0),"")</f>
        <v/>
      </c>
      <c r="J19" s="280" t="n"/>
      <c r="K19" s="332">
        <f>IFERROR(VLOOKUP(TEXT(O19,"0"),CONDUCTORES!$A$3:$G$54,7,0),"")</f>
        <v/>
      </c>
      <c r="L19" s="280" t="n"/>
      <c r="M19" s="280" t="n"/>
      <c r="N19" s="333">
        <f>IFERROR(IF(L19*M19=0,"",L19*M19),"")</f>
        <v/>
      </c>
      <c r="O19" s="280" t="n"/>
      <c r="P19" s="332">
        <f>IFERROR(VLOOKUP(TEXT(O19,"0"),CONDUCTORES!$A$3:$G$54,2,0),"")</f>
        <v/>
      </c>
      <c r="Q19" s="332">
        <f>IFERROR(VLOOKUP(TEXT(O19,"0"),CONDUCTORES!$A$3:$H$54,6,0),"")</f>
        <v/>
      </c>
      <c r="R19" s="280" t="n"/>
      <c r="S19" s="280" t="n"/>
      <c r="T19" s="280" t="n"/>
      <c r="U19" s="280" t="n"/>
      <c r="V19" s="280" t="n"/>
      <c r="W19" s="280" t="n"/>
      <c r="X19" s="280" t="n"/>
      <c r="Y19" s="280" t="n"/>
      <c r="Z19" s="236">
        <f>IF(AND(G19&lt;&gt;"",R19&lt;&gt;"",V19&lt;&gt;"",W19&lt;&gt;""),"COMPLETADO","OBSERVADO")</f>
        <v/>
      </c>
      <c r="AA19" s="284" t="n"/>
    </row>
    <row r="20" ht="15.75" customHeight="1" s="195">
      <c r="A20" s="334" t="n"/>
      <c r="B20" s="334" t="n"/>
      <c r="C20" s="334" t="n"/>
      <c r="D20" s="334" t="n"/>
      <c r="E20" s="334" t="n"/>
      <c r="F20" s="334" t="n"/>
      <c r="G20" s="334" t="n"/>
      <c r="H20" s="334" t="n"/>
      <c r="I20" s="332">
        <f>IFERROR(VLOOKUP(TEXT(H20,"0"),IPRESS!$A$3:$B$212,2,0),"")</f>
        <v/>
      </c>
      <c r="J20" s="334" t="n"/>
      <c r="K20" s="332">
        <f>IFERROR(VLOOKUP(TEXT(O20,"0"),CONDUCTORES!$A$3:$G$54,7,0),"")</f>
        <v/>
      </c>
      <c r="L20" s="334" t="n"/>
      <c r="M20" s="334" t="n"/>
      <c r="N20" s="333">
        <f>IFERROR(IF(L20*M20=0,"",L20*M20),"")</f>
        <v/>
      </c>
      <c r="O20" s="334" t="n"/>
      <c r="P20" s="332">
        <f>IFERROR(VLOOKUP(TEXT(O20,"0"),CONDUCTORES!$A$3:$G$54,2,0),"")</f>
        <v/>
      </c>
      <c r="Q20" s="332">
        <f>IFERROR(VLOOKUP(TEXT(O20,"0"),CONDUCTORES!$A$3:$H$54,6,0),"")</f>
        <v/>
      </c>
      <c r="R20" s="334" t="n"/>
      <c r="S20" s="334" t="n"/>
      <c r="T20" s="334" t="n"/>
      <c r="U20" s="334" t="n"/>
      <c r="V20" s="334" t="n"/>
      <c r="W20" s="334" t="n"/>
      <c r="X20" s="334" t="n"/>
      <c r="Y20" s="334" t="n"/>
      <c r="Z20" s="242">
        <f>IF(AND(G20&lt;&gt;"",R20&lt;&gt;"",V20&lt;&gt;"",W20&lt;&gt;""),"COMPLETADO","OBSERVADO")</f>
        <v/>
      </c>
      <c r="AA20" s="284" t="n"/>
    </row>
    <row r="21" ht="15.75" customHeight="1" s="195">
      <c r="A21" s="280" t="n"/>
      <c r="B21" s="280" t="n"/>
      <c r="C21" s="280" t="n"/>
      <c r="D21" s="280" t="n"/>
      <c r="E21" s="280" t="n"/>
      <c r="F21" s="280" t="n"/>
      <c r="G21" s="280" t="n"/>
      <c r="H21" s="280" t="n"/>
      <c r="I21" s="332">
        <f>IFERROR(VLOOKUP(TEXT(H21,"0"),IPRESS!$A$3:$B$212,2,0),"")</f>
        <v/>
      </c>
      <c r="J21" s="280" t="n"/>
      <c r="K21" s="332">
        <f>IFERROR(VLOOKUP(TEXT(O21,"0"),CONDUCTORES!$A$3:$G$54,7,0),"")</f>
        <v/>
      </c>
      <c r="L21" s="280" t="n"/>
      <c r="M21" s="280" t="n"/>
      <c r="N21" s="333">
        <f>IFERROR(IF(L21*M21=0,"",L21*M21),"")</f>
        <v/>
      </c>
      <c r="O21" s="280" t="n"/>
      <c r="P21" s="332">
        <f>IFERROR(VLOOKUP(TEXT(O21,"0"),CONDUCTORES!$A$3:$G$54,2,0),"")</f>
        <v/>
      </c>
      <c r="Q21" s="332">
        <f>IFERROR(VLOOKUP(TEXT(O21,"0"),CONDUCTORES!$A$3:$H$54,6,0),"")</f>
        <v/>
      </c>
      <c r="R21" s="280" t="n"/>
      <c r="S21" s="280" t="n"/>
      <c r="T21" s="280" t="n"/>
      <c r="U21" s="280" t="n"/>
      <c r="V21" s="280" t="n"/>
      <c r="W21" s="280" t="n"/>
      <c r="X21" s="280" t="n"/>
      <c r="Y21" s="280" t="n"/>
      <c r="Z21" s="236">
        <f>IF(AND(G21&lt;&gt;"",R21&lt;&gt;"",V21&lt;&gt;"",W21&lt;&gt;""),"COMPLETADO","OBSERVADO")</f>
        <v/>
      </c>
      <c r="AA21" s="284" t="n"/>
    </row>
    <row r="22" ht="15.75" customHeight="1" s="195">
      <c r="A22" s="334" t="n"/>
      <c r="B22" s="334" t="n"/>
      <c r="C22" s="334" t="n"/>
      <c r="D22" s="334" t="n"/>
      <c r="E22" s="334" t="n"/>
      <c r="F22" s="334" t="n"/>
      <c r="G22" s="334" t="n"/>
      <c r="H22" s="334" t="n"/>
      <c r="I22" s="332">
        <f>IFERROR(VLOOKUP(TEXT(H22,"0"),IPRESS!$A$3:$B$212,2,0),"")</f>
        <v/>
      </c>
      <c r="J22" s="334" t="n"/>
      <c r="K22" s="332">
        <f>IFERROR(VLOOKUP(TEXT(O22,"0"),CONDUCTORES!$A$3:$G$54,7,0),"")</f>
        <v/>
      </c>
      <c r="L22" s="334" t="n"/>
      <c r="M22" s="334" t="n"/>
      <c r="N22" s="333">
        <f>IFERROR(IF(L22*M22=0,"",L22*M22),"")</f>
        <v/>
      </c>
      <c r="O22" s="334" t="n"/>
      <c r="P22" s="332">
        <f>IFERROR(VLOOKUP(TEXT(O22,"0"),CONDUCTORES!$A$3:$G$54,2,0),"")</f>
        <v/>
      </c>
      <c r="Q22" s="332">
        <f>IFERROR(VLOOKUP(TEXT(O22,"0"),CONDUCTORES!$A$3:$H$54,6,0),"")</f>
        <v/>
      </c>
      <c r="R22" s="334" t="n"/>
      <c r="S22" s="334" t="n"/>
      <c r="T22" s="334" t="n"/>
      <c r="U22" s="334" t="n"/>
      <c r="V22" s="334" t="n"/>
      <c r="W22" s="334" t="n"/>
      <c r="X22" s="334" t="n"/>
      <c r="Y22" s="334" t="n"/>
      <c r="Z22" s="242">
        <f>IF(AND(G22&lt;&gt;"",R22&lt;&gt;"",V22&lt;&gt;"",W22&lt;&gt;""),"COMPLETADO","OBSERVADO")</f>
        <v/>
      </c>
      <c r="AA22" s="284" t="n"/>
    </row>
    <row r="23" ht="15.75" customHeight="1" s="195">
      <c r="A23" s="280" t="n"/>
      <c r="B23" s="280" t="n"/>
      <c r="C23" s="280" t="n"/>
      <c r="D23" s="280" t="n"/>
      <c r="E23" s="280" t="n"/>
      <c r="F23" s="280" t="n"/>
      <c r="G23" s="280" t="n"/>
      <c r="H23" s="280" t="n"/>
      <c r="I23" s="332">
        <f>IFERROR(VLOOKUP(TEXT(H23,"0"),IPRESS!$A$3:$B$212,2,0),"")</f>
        <v/>
      </c>
      <c r="J23" s="280" t="n"/>
      <c r="K23" s="332">
        <f>IFERROR(VLOOKUP(TEXT(O23,"0"),CONDUCTORES!$A$3:$G$54,7,0),"")</f>
        <v/>
      </c>
      <c r="L23" s="280" t="n"/>
      <c r="M23" s="280" t="n"/>
      <c r="N23" s="333">
        <f>IFERROR(IF(L23*M23=0,"",L23*M23),"")</f>
        <v/>
      </c>
      <c r="O23" s="280" t="n"/>
      <c r="P23" s="332">
        <f>IFERROR(VLOOKUP(TEXT(O23,"0"),CONDUCTORES!$A$3:$G$54,2,0),"")</f>
        <v/>
      </c>
      <c r="Q23" s="332">
        <f>IFERROR(VLOOKUP(TEXT(O23,"0"),CONDUCTORES!$A$3:$H$54,6,0),"")</f>
        <v/>
      </c>
      <c r="R23" s="280" t="n"/>
      <c r="S23" s="280" t="n"/>
      <c r="T23" s="280" t="n"/>
      <c r="U23" s="280" t="n"/>
      <c r="V23" s="280" t="n"/>
      <c r="W23" s="280" t="n"/>
      <c r="X23" s="280" t="n"/>
      <c r="Y23" s="280" t="n"/>
      <c r="Z23" s="236">
        <f>IF(AND(G23&lt;&gt;"",R23&lt;&gt;"",V23&lt;&gt;"",W23&lt;&gt;""),"COMPLETADO","OBSERVADO")</f>
        <v/>
      </c>
      <c r="AA23" s="284" t="n"/>
    </row>
    <row r="24" ht="15.75" customHeight="1" s="195">
      <c r="A24" s="334" t="n"/>
      <c r="B24" s="334" t="n"/>
      <c r="C24" s="334" t="n"/>
      <c r="D24" s="334" t="n"/>
      <c r="E24" s="334" t="n"/>
      <c r="F24" s="334" t="n"/>
      <c r="G24" s="334" t="n"/>
      <c r="H24" s="334" t="n"/>
      <c r="I24" s="332">
        <f>IFERROR(VLOOKUP(TEXT(H24,"0"),IPRESS!$A$3:$B$212,2,0),"")</f>
        <v/>
      </c>
      <c r="J24" s="334" t="n"/>
      <c r="K24" s="332">
        <f>IFERROR(VLOOKUP(TEXT(O24,"0"),CONDUCTORES!$A$3:$G$54,7,0),"")</f>
        <v/>
      </c>
      <c r="L24" s="334" t="n"/>
      <c r="M24" s="334" t="n"/>
      <c r="N24" s="333">
        <f>IFERROR(IF(L24*M24=0,"",L24*M24),"")</f>
        <v/>
      </c>
      <c r="O24" s="334" t="n"/>
      <c r="P24" s="332">
        <f>IFERROR(VLOOKUP(TEXT(O24,"0"),CONDUCTORES!$A$3:$G$54,2,0),"")</f>
        <v/>
      </c>
      <c r="Q24" s="332">
        <f>IFERROR(VLOOKUP(TEXT(O24,"0"),CONDUCTORES!$A$3:$H$54,6,0),"")</f>
        <v/>
      </c>
      <c r="R24" s="334" t="n"/>
      <c r="S24" s="334" t="n"/>
      <c r="T24" s="334" t="n"/>
      <c r="U24" s="334" t="n"/>
      <c r="V24" s="334" t="n"/>
      <c r="W24" s="334" t="n"/>
      <c r="X24" s="334" t="n"/>
      <c r="Y24" s="334" t="n"/>
      <c r="Z24" s="242">
        <f>IF(AND(G24&lt;&gt;"",R24&lt;&gt;"",V24&lt;&gt;"",W24&lt;&gt;""),"COMPLETADO","OBSERVADO")</f>
        <v/>
      </c>
      <c r="AA24" s="284" t="n"/>
    </row>
    <row r="25" ht="15.75" customHeight="1" s="195">
      <c r="A25" s="280" t="n"/>
      <c r="B25" s="280" t="n"/>
      <c r="C25" s="280" t="n"/>
      <c r="D25" s="280" t="n"/>
      <c r="E25" s="280" t="n"/>
      <c r="F25" s="280" t="n"/>
      <c r="G25" s="280" t="n"/>
      <c r="H25" s="280" t="n"/>
      <c r="I25" s="332">
        <f>IFERROR(VLOOKUP(TEXT(H25,"0"),IPRESS!$A$3:$B$212,2,0),"")</f>
        <v/>
      </c>
      <c r="J25" s="280" t="n"/>
      <c r="K25" s="332">
        <f>IFERROR(VLOOKUP(TEXT(O25,"0"),CONDUCTORES!$A$3:$G$54,7,0),"")</f>
        <v/>
      </c>
      <c r="L25" s="280" t="n"/>
      <c r="M25" s="280" t="n"/>
      <c r="N25" s="333">
        <f>IFERROR(IF(L25*M25=0,"",L25*M25),"")</f>
        <v/>
      </c>
      <c r="O25" s="280" t="n"/>
      <c r="P25" s="332">
        <f>IFERROR(VLOOKUP(TEXT(O25,"0"),CONDUCTORES!$A$3:$G$54,2,0),"")</f>
        <v/>
      </c>
      <c r="Q25" s="332">
        <f>IFERROR(VLOOKUP(TEXT(O25,"0"),CONDUCTORES!$A$3:$H$54,6,0),"")</f>
        <v/>
      </c>
      <c r="R25" s="280" t="n"/>
      <c r="S25" s="280" t="n"/>
      <c r="T25" s="280" t="n"/>
      <c r="U25" s="280" t="n"/>
      <c r="V25" s="280" t="n"/>
      <c r="W25" s="280" t="n"/>
      <c r="X25" s="280" t="n"/>
      <c r="Y25" s="280" t="n"/>
      <c r="Z25" s="236">
        <f>IF(AND(G25&lt;&gt;"",R25&lt;&gt;"",V25&lt;&gt;"",W25&lt;&gt;""),"COMPLETADO","OBSERVADO")</f>
        <v/>
      </c>
      <c r="AA25" s="284" t="n"/>
    </row>
    <row r="26" ht="15.75" customHeight="1" s="195">
      <c r="A26" s="334" t="n"/>
      <c r="B26" s="334" t="n"/>
      <c r="C26" s="334" t="n"/>
      <c r="D26" s="334" t="n"/>
      <c r="E26" s="334" t="n"/>
      <c r="F26" s="334" t="n"/>
      <c r="G26" s="334" t="n"/>
      <c r="H26" s="334" t="n"/>
      <c r="I26" s="332">
        <f>IFERROR(VLOOKUP(TEXT(H26,"0"),IPRESS!$A$3:$B$212,2,0),"")</f>
        <v/>
      </c>
      <c r="J26" s="334" t="n"/>
      <c r="K26" s="332">
        <f>IFERROR(VLOOKUP(TEXT(O26,"0"),CONDUCTORES!$A$3:$G$54,7,0),"")</f>
        <v/>
      </c>
      <c r="L26" s="334" t="n"/>
      <c r="M26" s="334" t="n"/>
      <c r="N26" s="333">
        <f>IFERROR(IF(L26*M26=0,"",L26*M26),"")</f>
        <v/>
      </c>
      <c r="O26" s="334" t="n"/>
      <c r="P26" s="332">
        <f>IFERROR(VLOOKUP(TEXT(O26,"0"),CONDUCTORES!$A$3:$G$54,2,0),"")</f>
        <v/>
      </c>
      <c r="Q26" s="332">
        <f>IFERROR(VLOOKUP(TEXT(O26,"0"),CONDUCTORES!$A$3:$H$54,6,0),"")</f>
        <v/>
      </c>
      <c r="R26" s="334" t="n"/>
      <c r="S26" s="334" t="n"/>
      <c r="T26" s="334" t="n"/>
      <c r="U26" s="334" t="n"/>
      <c r="V26" s="334" t="n"/>
      <c r="W26" s="334" t="n"/>
      <c r="X26" s="334" t="n"/>
      <c r="Y26" s="334" t="n"/>
      <c r="Z26" s="242">
        <f>IF(AND(G26&lt;&gt;"",R26&lt;&gt;"",V26&lt;&gt;"",W26&lt;&gt;""),"COMPLETADO","OBSERVADO")</f>
        <v/>
      </c>
      <c r="AA26" s="284" t="n"/>
    </row>
    <row r="27" ht="15.75" customHeight="1" s="195">
      <c r="A27" s="280" t="n"/>
      <c r="B27" s="280" t="n"/>
      <c r="C27" s="280" t="n"/>
      <c r="D27" s="280" t="n"/>
      <c r="E27" s="280" t="n"/>
      <c r="F27" s="280" t="n"/>
      <c r="G27" s="280" t="n"/>
      <c r="H27" s="280" t="n"/>
      <c r="I27" s="332">
        <f>IFERROR(VLOOKUP(TEXT(H27,"0"),IPRESS!$A$3:$B$212,2,0),"")</f>
        <v/>
      </c>
      <c r="J27" s="280" t="n"/>
      <c r="K27" s="332">
        <f>IFERROR(VLOOKUP(TEXT(O27,"0"),CONDUCTORES!$A$3:$G$54,7,0),"")</f>
        <v/>
      </c>
      <c r="L27" s="280" t="n"/>
      <c r="M27" s="280" t="n"/>
      <c r="N27" s="333">
        <f>IFERROR(IF(L27*M27=0,"",L27*M27),"")</f>
        <v/>
      </c>
      <c r="O27" s="280" t="n"/>
      <c r="P27" s="332">
        <f>IFERROR(VLOOKUP(TEXT(O27,"0"),CONDUCTORES!$A$3:$G$54,2,0),"")</f>
        <v/>
      </c>
      <c r="Q27" s="332">
        <f>IFERROR(VLOOKUP(TEXT(O27,"0"),CONDUCTORES!$A$3:$H$54,6,0),"")</f>
        <v/>
      </c>
      <c r="R27" s="280" t="n"/>
      <c r="S27" s="280" t="n"/>
      <c r="T27" s="280" t="n"/>
      <c r="U27" s="280" t="n"/>
      <c r="V27" s="280" t="n"/>
      <c r="W27" s="280" t="n"/>
      <c r="X27" s="280" t="n"/>
      <c r="Y27" s="280" t="n"/>
      <c r="Z27" s="236">
        <f>IF(AND(G27&lt;&gt;"",R27&lt;&gt;"",V27&lt;&gt;"",W27&lt;&gt;""),"COMPLETADO","OBSERVADO")</f>
        <v/>
      </c>
      <c r="AA27" s="284" t="n"/>
    </row>
    <row r="28" ht="15.75" customHeight="1" s="195">
      <c r="A28" s="334" t="n"/>
      <c r="B28" s="334" t="n"/>
      <c r="C28" s="334" t="n"/>
      <c r="D28" s="334" t="n"/>
      <c r="E28" s="334" t="n"/>
      <c r="F28" s="334" t="n"/>
      <c r="G28" s="334" t="n"/>
      <c r="H28" s="334" t="n"/>
      <c r="I28" s="332">
        <f>IFERROR(VLOOKUP(TEXT(H28,"0"),IPRESS!$A$3:$B$212,2,0),"")</f>
        <v/>
      </c>
      <c r="J28" s="334" t="n"/>
      <c r="K28" s="332">
        <f>IFERROR(VLOOKUP(TEXT(O28,"0"),CONDUCTORES!$A$3:$G$54,7,0),"")</f>
        <v/>
      </c>
      <c r="L28" s="334" t="n"/>
      <c r="M28" s="334" t="n"/>
      <c r="N28" s="333">
        <f>IFERROR(IF(L28*M28=0,"",L28*M28),"")</f>
        <v/>
      </c>
      <c r="O28" s="334" t="n"/>
      <c r="P28" s="332">
        <f>IFERROR(VLOOKUP(TEXT(O28,"0"),CONDUCTORES!$A$3:$G$54,2,0),"")</f>
        <v/>
      </c>
      <c r="Q28" s="332">
        <f>IFERROR(VLOOKUP(TEXT(O28,"0"),CONDUCTORES!$A$3:$H$54,6,0),"")</f>
        <v/>
      </c>
      <c r="R28" s="334" t="n"/>
      <c r="S28" s="334" t="n"/>
      <c r="T28" s="334" t="n"/>
      <c r="U28" s="334" t="n"/>
      <c r="V28" s="334" t="n"/>
      <c r="W28" s="334" t="n"/>
      <c r="X28" s="334" t="n"/>
      <c r="Y28" s="334" t="n"/>
      <c r="Z28" s="242">
        <f>IF(AND(G28&lt;&gt;"",R28&lt;&gt;"",V28&lt;&gt;"",W28&lt;&gt;""),"COMPLETADO","OBSERVADO")</f>
        <v/>
      </c>
      <c r="AA28" s="284" t="n"/>
    </row>
    <row r="29" ht="15.75" customHeight="1" s="195">
      <c r="A29" s="280" t="n"/>
      <c r="B29" s="280" t="n"/>
      <c r="C29" s="280" t="n"/>
      <c r="D29" s="280" t="n"/>
      <c r="E29" s="280" t="n"/>
      <c r="F29" s="280" t="n"/>
      <c r="G29" s="280" t="n"/>
      <c r="H29" s="280" t="n"/>
      <c r="I29" s="332">
        <f>IFERROR(VLOOKUP(TEXT(H29,"0"),IPRESS!$A$3:$B$212,2,0),"")</f>
        <v/>
      </c>
      <c r="J29" s="280" t="n"/>
      <c r="K29" s="332">
        <f>IFERROR(VLOOKUP(TEXT(O29,"0"),CONDUCTORES!$A$3:$G$54,7,0),"")</f>
        <v/>
      </c>
      <c r="L29" s="280" t="n"/>
      <c r="M29" s="280" t="n"/>
      <c r="N29" s="333">
        <f>IFERROR(IF(L29*M29=0,"",L29*M29),"")</f>
        <v/>
      </c>
      <c r="O29" s="280" t="n"/>
      <c r="P29" s="332">
        <f>IFERROR(VLOOKUP(TEXT(O29,"0"),CONDUCTORES!$A$3:$G$54,2,0),"")</f>
        <v/>
      </c>
      <c r="Q29" s="332">
        <f>IFERROR(VLOOKUP(TEXT(O29,"0"),CONDUCTORES!$A$3:$H$54,6,0),"")</f>
        <v/>
      </c>
      <c r="R29" s="280" t="n"/>
      <c r="S29" s="280" t="n"/>
      <c r="T29" s="280" t="n"/>
      <c r="U29" s="280" t="n"/>
      <c r="V29" s="280" t="n"/>
      <c r="W29" s="280" t="n"/>
      <c r="X29" s="280" t="n"/>
      <c r="Y29" s="280" t="n"/>
      <c r="Z29" s="236">
        <f>IF(AND(G29&lt;&gt;"",R29&lt;&gt;"",V29&lt;&gt;"",W29&lt;&gt;""),"COMPLETADO","OBSERVADO")</f>
        <v/>
      </c>
      <c r="AA29" s="284" t="n"/>
    </row>
    <row r="30" ht="15.75" customHeight="1" s="195">
      <c r="A30" s="334" t="n"/>
      <c r="B30" s="334" t="n"/>
      <c r="C30" s="334" t="n"/>
      <c r="D30" s="334" t="n"/>
      <c r="E30" s="334" t="n"/>
      <c r="F30" s="334" t="n"/>
      <c r="G30" s="334" t="n"/>
      <c r="H30" s="334" t="n"/>
      <c r="I30" s="332">
        <f>IFERROR(VLOOKUP(TEXT(H30,"0"),IPRESS!$A$3:$B$212,2,0),"")</f>
        <v/>
      </c>
      <c r="J30" s="334" t="n"/>
      <c r="K30" s="332">
        <f>IFERROR(VLOOKUP(TEXT(O30,"0"),CONDUCTORES!$A$3:$G$54,7,0),"")</f>
        <v/>
      </c>
      <c r="L30" s="334" t="n"/>
      <c r="M30" s="334" t="n"/>
      <c r="N30" s="333">
        <f>IFERROR(IF(L30*M30=0,"",L30*M30),"")</f>
        <v/>
      </c>
      <c r="O30" s="334" t="n"/>
      <c r="P30" s="332">
        <f>IFERROR(VLOOKUP(TEXT(O30,"0"),CONDUCTORES!$A$3:$G$54,2,0),"")</f>
        <v/>
      </c>
      <c r="Q30" s="332">
        <f>IFERROR(VLOOKUP(TEXT(O30,"0"),CONDUCTORES!$A$3:$H$54,6,0),"")</f>
        <v/>
      </c>
      <c r="R30" s="334" t="n"/>
      <c r="S30" s="334" t="n"/>
      <c r="T30" s="334" t="n"/>
      <c r="U30" s="334" t="n"/>
      <c r="V30" s="334" t="n"/>
      <c r="W30" s="334" t="n"/>
      <c r="X30" s="334" t="n"/>
      <c r="Y30" s="334" t="n"/>
      <c r="Z30" s="242">
        <f>IF(AND(G30&lt;&gt;"",R30&lt;&gt;"",V30&lt;&gt;"",W30&lt;&gt;""),"COMPLETADO","OBSERVADO")</f>
        <v/>
      </c>
      <c r="AA30" s="284" t="n"/>
    </row>
    <row r="31" ht="15.75" customHeight="1" s="195">
      <c r="A31" s="280" t="n"/>
      <c r="B31" s="280" t="n"/>
      <c r="C31" s="280" t="n"/>
      <c r="D31" s="280" t="n"/>
      <c r="E31" s="280" t="n"/>
      <c r="F31" s="280" t="n"/>
      <c r="G31" s="280" t="n"/>
      <c r="H31" s="280" t="n"/>
      <c r="I31" s="332">
        <f>IFERROR(VLOOKUP(TEXT(H31,"0"),IPRESS!$A$3:$B$212,2,0),"")</f>
        <v/>
      </c>
      <c r="J31" s="280" t="n"/>
      <c r="K31" s="332">
        <f>IFERROR(VLOOKUP(TEXT(O31,"0"),CONDUCTORES!$A$3:$G$54,7,0),"")</f>
        <v/>
      </c>
      <c r="L31" s="280" t="n"/>
      <c r="M31" s="280" t="n"/>
      <c r="N31" s="333">
        <f>IFERROR(IF(L31*M31=0,"",L31*M31),"")</f>
        <v/>
      </c>
      <c r="O31" s="280" t="n"/>
      <c r="P31" s="332">
        <f>IFERROR(VLOOKUP(TEXT(O31,"0"),CONDUCTORES!$A$3:$G$54,2,0),"")</f>
        <v/>
      </c>
      <c r="Q31" s="332">
        <f>IFERROR(VLOOKUP(TEXT(O31,"0"),CONDUCTORES!$A$3:$H$54,6,0),"")</f>
        <v/>
      </c>
      <c r="R31" s="280" t="n"/>
      <c r="S31" s="280" t="n"/>
      <c r="T31" s="280" t="n"/>
      <c r="U31" s="280" t="n"/>
      <c r="V31" s="280" t="n"/>
      <c r="W31" s="280" t="n"/>
      <c r="X31" s="280" t="n"/>
      <c r="Y31" s="280" t="n"/>
      <c r="Z31" s="236">
        <f>IF(AND(G31&lt;&gt;"",R31&lt;&gt;"",V31&lt;&gt;"",W31&lt;&gt;""),"COMPLETADO","OBSERVADO")</f>
        <v/>
      </c>
      <c r="AA31" s="284" t="n"/>
    </row>
    <row r="32" ht="15.75" customHeight="1" s="195">
      <c r="A32" s="334" t="n"/>
      <c r="B32" s="334" t="n"/>
      <c r="C32" s="334" t="n"/>
      <c r="D32" s="334" t="n"/>
      <c r="E32" s="334" t="n"/>
      <c r="F32" s="334" t="n"/>
      <c r="G32" s="334" t="n"/>
      <c r="H32" s="334" t="n"/>
      <c r="I32" s="332">
        <f>IFERROR(VLOOKUP(TEXT(H32,"0"),IPRESS!$A$3:$B$212,2,0),"")</f>
        <v/>
      </c>
      <c r="J32" s="334" t="n"/>
      <c r="K32" s="332">
        <f>IFERROR(VLOOKUP(TEXT(O32,"0"),CONDUCTORES!$A$3:$G$54,7,0),"")</f>
        <v/>
      </c>
      <c r="L32" s="334" t="n"/>
      <c r="M32" s="334" t="n"/>
      <c r="N32" s="333">
        <f>IFERROR(IF(L32*M32=0,"",L32*M32),"")</f>
        <v/>
      </c>
      <c r="O32" s="334" t="n"/>
      <c r="P32" s="332">
        <f>IFERROR(VLOOKUP(TEXT(O32,"0"),CONDUCTORES!$A$3:$G$54,2,0),"")</f>
        <v/>
      </c>
      <c r="Q32" s="332">
        <f>IFERROR(VLOOKUP(TEXT(O32,"0"),CONDUCTORES!$A$3:$H$54,6,0),"")</f>
        <v/>
      </c>
      <c r="R32" s="334" t="n"/>
      <c r="S32" s="334" t="n"/>
      <c r="T32" s="334" t="n"/>
      <c r="U32" s="334" t="n"/>
      <c r="V32" s="334" t="n"/>
      <c r="W32" s="334" t="n"/>
      <c r="X32" s="334" t="n"/>
      <c r="Y32" s="334" t="n"/>
      <c r="Z32" s="242">
        <f>IF(AND(G32&lt;&gt;"",R32&lt;&gt;"",V32&lt;&gt;"",W32&lt;&gt;""),"COMPLETADO","OBSERVADO")</f>
        <v/>
      </c>
      <c r="AA32" s="284" t="n"/>
    </row>
    <row r="33" ht="15.75" customHeight="1" s="195">
      <c r="A33" s="280" t="n"/>
      <c r="B33" s="280" t="n"/>
      <c r="C33" s="280" t="n"/>
      <c r="D33" s="280" t="n"/>
      <c r="E33" s="280" t="n"/>
      <c r="F33" s="280" t="n"/>
      <c r="G33" s="280" t="n"/>
      <c r="H33" s="280" t="n"/>
      <c r="I33" s="332">
        <f>IFERROR(VLOOKUP(TEXT(H33,"0"),IPRESS!$A$3:$B$212,2,0),"")</f>
        <v/>
      </c>
      <c r="J33" s="280" t="n"/>
      <c r="K33" s="332">
        <f>IFERROR(VLOOKUP(TEXT(O33,"0"),CONDUCTORES!$A$3:$G$54,7,0),"")</f>
        <v/>
      </c>
      <c r="L33" s="280" t="n"/>
      <c r="M33" s="280" t="n"/>
      <c r="N33" s="333">
        <f>IFERROR(IF(L33*M33=0,"",L33*M33),"")</f>
        <v/>
      </c>
      <c r="O33" s="280" t="n"/>
      <c r="P33" s="332">
        <f>IFERROR(VLOOKUP(TEXT(O33,"0"),CONDUCTORES!$A$3:$G$54,2,0),"")</f>
        <v/>
      </c>
      <c r="Q33" s="332">
        <f>IFERROR(VLOOKUP(TEXT(O33,"0"),CONDUCTORES!$A$3:$H$54,6,0),"")</f>
        <v/>
      </c>
      <c r="R33" s="280" t="n"/>
      <c r="S33" s="280" t="n"/>
      <c r="T33" s="280" t="n"/>
      <c r="U33" s="280" t="n"/>
      <c r="V33" s="280" t="n"/>
      <c r="W33" s="280" t="n"/>
      <c r="X33" s="280" t="n"/>
      <c r="Y33" s="280" t="n"/>
      <c r="Z33" s="236">
        <f>IF(AND(G33&lt;&gt;"",R33&lt;&gt;"",V33&lt;&gt;"",W33&lt;&gt;""),"COMPLETADO","OBSERVADO")</f>
        <v/>
      </c>
      <c r="AA33" s="284" t="n"/>
    </row>
    <row r="34" ht="15.75" customHeight="1" s="195">
      <c r="A34" s="334" t="n"/>
      <c r="B34" s="334" t="n"/>
      <c r="C34" s="334" t="n"/>
      <c r="D34" s="334" t="n"/>
      <c r="E34" s="334" t="n"/>
      <c r="F34" s="334" t="n"/>
      <c r="G34" s="334" t="n"/>
      <c r="H34" s="334" t="n"/>
      <c r="I34" s="332">
        <f>IFERROR(VLOOKUP(TEXT(H34,"0"),IPRESS!$A$3:$B$212,2,0),"")</f>
        <v/>
      </c>
      <c r="J34" s="334" t="n"/>
      <c r="K34" s="332">
        <f>IFERROR(VLOOKUP(TEXT(O34,"0"),CONDUCTORES!$A$3:$G$54,7,0),"")</f>
        <v/>
      </c>
      <c r="L34" s="334" t="n"/>
      <c r="M34" s="334" t="n"/>
      <c r="N34" s="333">
        <f>IFERROR(IF(L34*M34=0,"",L34*M34),"")</f>
        <v/>
      </c>
      <c r="O34" s="334" t="n"/>
      <c r="P34" s="332">
        <f>IFERROR(VLOOKUP(TEXT(O34,"0"),CONDUCTORES!$A$3:$G$54,2,0),"")</f>
        <v/>
      </c>
      <c r="Q34" s="332">
        <f>IFERROR(VLOOKUP(TEXT(O34,"0"),CONDUCTORES!$A$3:$H$54,6,0),"")</f>
        <v/>
      </c>
      <c r="R34" s="334" t="n"/>
      <c r="S34" s="334" t="n"/>
      <c r="T34" s="334" t="n"/>
      <c r="U34" s="334" t="n"/>
      <c r="V34" s="334" t="n"/>
      <c r="W34" s="334" t="n"/>
      <c r="X34" s="334" t="n"/>
      <c r="Y34" s="334" t="n"/>
      <c r="Z34" s="242">
        <f>IF(AND(G34&lt;&gt;"",R34&lt;&gt;"",V34&lt;&gt;"",W34&lt;&gt;""),"COMPLETADO","OBSERVADO")</f>
        <v/>
      </c>
      <c r="AA34" s="284" t="n"/>
    </row>
    <row r="35" ht="15.75" customHeight="1" s="195">
      <c r="A35" s="280" t="n"/>
      <c r="B35" s="280" t="n"/>
      <c r="C35" s="280" t="n"/>
      <c r="D35" s="280" t="n"/>
      <c r="E35" s="280" t="n"/>
      <c r="F35" s="280" t="n"/>
      <c r="G35" s="280" t="n"/>
      <c r="H35" s="280" t="n"/>
      <c r="I35" s="332">
        <f>IFERROR(VLOOKUP(TEXT(H35,"0"),IPRESS!$A$3:$B$212,2,0),"")</f>
        <v/>
      </c>
      <c r="J35" s="280" t="n"/>
      <c r="K35" s="332">
        <f>IFERROR(VLOOKUP(TEXT(O35,"0"),CONDUCTORES!$A$3:$G$54,7,0),"")</f>
        <v/>
      </c>
      <c r="L35" s="280" t="n"/>
      <c r="M35" s="280" t="n"/>
      <c r="N35" s="333">
        <f>IFERROR(IF(L35*M35=0,"",L35*M35),"")</f>
        <v/>
      </c>
      <c r="O35" s="280" t="n"/>
      <c r="P35" s="332">
        <f>IFERROR(VLOOKUP(TEXT(O35,"0"),CONDUCTORES!$A$3:$G$54,2,0),"")</f>
        <v/>
      </c>
      <c r="Q35" s="332">
        <f>IFERROR(VLOOKUP(TEXT(O35,"0"),CONDUCTORES!$A$3:$H$54,6,0),"")</f>
        <v/>
      </c>
      <c r="R35" s="280" t="n"/>
      <c r="S35" s="280" t="n"/>
      <c r="T35" s="280" t="n"/>
      <c r="U35" s="280" t="n"/>
      <c r="V35" s="280" t="n"/>
      <c r="W35" s="280" t="n"/>
      <c r="X35" s="280" t="n"/>
      <c r="Y35" s="280" t="n"/>
      <c r="Z35" s="236">
        <f>IF(AND(G35&lt;&gt;"",R35&lt;&gt;"",V35&lt;&gt;"",W35&lt;&gt;""),"COMPLETADO","OBSERVADO")</f>
        <v/>
      </c>
      <c r="AA35" s="284" t="n"/>
    </row>
    <row r="36" ht="15.75" customHeight="1" s="195">
      <c r="A36" s="334" t="n"/>
      <c r="B36" s="334" t="n"/>
      <c r="C36" s="334" t="n"/>
      <c r="D36" s="334" t="n"/>
      <c r="E36" s="334" t="n"/>
      <c r="F36" s="334" t="n"/>
      <c r="G36" s="334" t="n"/>
      <c r="H36" s="334" t="n"/>
      <c r="I36" s="332">
        <f>IFERROR(VLOOKUP(TEXT(H36,"0"),IPRESS!$A$3:$B$212,2,0),"")</f>
        <v/>
      </c>
      <c r="J36" s="334" t="n"/>
      <c r="K36" s="332">
        <f>IFERROR(VLOOKUP(TEXT(O36,"0"),CONDUCTORES!$A$3:$G$54,7,0),"")</f>
        <v/>
      </c>
      <c r="L36" s="334" t="n"/>
      <c r="M36" s="334" t="n"/>
      <c r="N36" s="333">
        <f>IFERROR(IF(L36*M36=0,"",L36*M36),"")</f>
        <v/>
      </c>
      <c r="O36" s="334" t="n"/>
      <c r="P36" s="332">
        <f>IFERROR(VLOOKUP(TEXT(O36,"0"),CONDUCTORES!$A$3:$G$54,2,0),"")</f>
        <v/>
      </c>
      <c r="Q36" s="332">
        <f>IFERROR(VLOOKUP(TEXT(O36,"0"),CONDUCTORES!$A$3:$H$54,6,0),"")</f>
        <v/>
      </c>
      <c r="R36" s="334" t="n"/>
      <c r="S36" s="334" t="n"/>
      <c r="T36" s="334" t="n"/>
      <c r="U36" s="334" t="n"/>
      <c r="V36" s="334" t="n"/>
      <c r="W36" s="334" t="n"/>
      <c r="X36" s="334" t="n"/>
      <c r="Y36" s="334" t="n"/>
      <c r="Z36" s="242">
        <f>IF(AND(G36&lt;&gt;"",R36&lt;&gt;"",V36&lt;&gt;"",W36&lt;&gt;""),"COMPLETADO","OBSERVADO")</f>
        <v/>
      </c>
      <c r="AA36" s="284" t="n"/>
    </row>
    <row r="37" ht="15.75" customHeight="1" s="195">
      <c r="A37" s="280" t="n"/>
      <c r="B37" s="280" t="n"/>
      <c r="C37" s="280" t="n"/>
      <c r="D37" s="280" t="n"/>
      <c r="E37" s="280" t="n"/>
      <c r="F37" s="280" t="n"/>
      <c r="G37" s="280" t="n"/>
      <c r="H37" s="280" t="n"/>
      <c r="I37" s="332">
        <f>IFERROR(VLOOKUP(TEXT(H37,"0"),IPRESS!$A$3:$B$212,2,0),"")</f>
        <v/>
      </c>
      <c r="J37" s="280" t="n"/>
      <c r="K37" s="332">
        <f>IFERROR(VLOOKUP(TEXT(O37,"0"),CONDUCTORES!$A$3:$G$54,7,0),"")</f>
        <v/>
      </c>
      <c r="L37" s="280" t="n"/>
      <c r="M37" s="280" t="n"/>
      <c r="N37" s="333">
        <f>IFERROR(IF(L37*M37=0,"",L37*M37),"")</f>
        <v/>
      </c>
      <c r="O37" s="280" t="n"/>
      <c r="P37" s="332">
        <f>IFERROR(VLOOKUP(TEXT(O37,"0"),CONDUCTORES!$A$3:$G$54,2,0),"")</f>
        <v/>
      </c>
      <c r="Q37" s="332">
        <f>IFERROR(VLOOKUP(TEXT(O37,"0"),CONDUCTORES!$A$3:$H$54,6,0),"")</f>
        <v/>
      </c>
      <c r="R37" s="280" t="n"/>
      <c r="S37" s="280" t="n"/>
      <c r="T37" s="280" t="n"/>
      <c r="U37" s="280" t="n"/>
      <c r="V37" s="280" t="n"/>
      <c r="W37" s="280" t="n"/>
      <c r="X37" s="280" t="n"/>
      <c r="Y37" s="280" t="n"/>
      <c r="Z37" s="236">
        <f>IF(AND(G37&lt;&gt;"",R37&lt;&gt;"",V37&lt;&gt;"",W37&lt;&gt;""),"COMPLETADO","OBSERVADO")</f>
        <v/>
      </c>
      <c r="AA37" s="284" t="n"/>
    </row>
    <row r="38" ht="15.75" customHeight="1" s="195">
      <c r="A38" s="334" t="n"/>
      <c r="B38" s="334" t="n"/>
      <c r="C38" s="334" t="n"/>
      <c r="D38" s="334" t="n"/>
      <c r="E38" s="334" t="n"/>
      <c r="F38" s="334" t="n"/>
      <c r="G38" s="334" t="n"/>
      <c r="H38" s="334" t="n"/>
      <c r="I38" s="332">
        <f>IFERROR(VLOOKUP(TEXT(H38,"0"),IPRESS!$A$3:$B$212,2,0),"")</f>
        <v/>
      </c>
      <c r="J38" s="334" t="n"/>
      <c r="K38" s="332">
        <f>IFERROR(VLOOKUP(TEXT(O38,"0"),CONDUCTORES!$A$3:$G$54,7,0),"")</f>
        <v/>
      </c>
      <c r="L38" s="334" t="n"/>
      <c r="M38" s="334" t="n"/>
      <c r="N38" s="333">
        <f>IFERROR(IF(L38*M38=0,"",L38*M38),"")</f>
        <v/>
      </c>
      <c r="O38" s="334" t="n"/>
      <c r="P38" s="332">
        <f>IFERROR(VLOOKUP(TEXT(O38,"0"),CONDUCTORES!$A$3:$G$54,2,0),"")</f>
        <v/>
      </c>
      <c r="Q38" s="332">
        <f>IFERROR(VLOOKUP(TEXT(O38,"0"),CONDUCTORES!$A$3:$H$54,6,0),"")</f>
        <v/>
      </c>
      <c r="R38" s="334" t="n"/>
      <c r="S38" s="334" t="n"/>
      <c r="T38" s="334" t="n"/>
      <c r="U38" s="334" t="n"/>
      <c r="V38" s="334" t="n"/>
      <c r="W38" s="334" t="n"/>
      <c r="X38" s="334" t="n"/>
      <c r="Y38" s="334" t="n"/>
      <c r="Z38" s="242">
        <f>IF(AND(G38&lt;&gt;"",R38&lt;&gt;"",V38&lt;&gt;"",W38&lt;&gt;""),"COMPLETADO","OBSERVADO")</f>
        <v/>
      </c>
      <c r="AA38" s="284" t="n"/>
    </row>
    <row r="39" ht="15.75" customHeight="1" s="195">
      <c r="A39" s="280" t="n"/>
      <c r="B39" s="280" t="n"/>
      <c r="C39" s="280" t="n"/>
      <c r="D39" s="280" t="n"/>
      <c r="E39" s="280" t="n"/>
      <c r="F39" s="280" t="n"/>
      <c r="G39" s="280" t="n"/>
      <c r="H39" s="280" t="n"/>
      <c r="I39" s="332">
        <f>IFERROR(VLOOKUP(TEXT(H39,"0"),IPRESS!$A$3:$B$212,2,0),"")</f>
        <v/>
      </c>
      <c r="J39" s="280" t="n"/>
      <c r="K39" s="332">
        <f>IFERROR(VLOOKUP(TEXT(O39,"0"),CONDUCTORES!$A$3:$G$54,7,0),"")</f>
        <v/>
      </c>
      <c r="L39" s="280" t="n"/>
      <c r="M39" s="280" t="n"/>
      <c r="N39" s="333">
        <f>IFERROR(IF(L39*M39=0,"",L39*M39),"")</f>
        <v/>
      </c>
      <c r="O39" s="280" t="n"/>
      <c r="P39" s="332">
        <f>IFERROR(VLOOKUP(TEXT(O39,"0"),CONDUCTORES!$A$3:$G$54,2,0),"")</f>
        <v/>
      </c>
      <c r="Q39" s="332">
        <f>IFERROR(VLOOKUP(TEXT(O39,"0"),CONDUCTORES!$A$3:$H$54,6,0),"")</f>
        <v/>
      </c>
      <c r="R39" s="280" t="n"/>
      <c r="S39" s="280" t="n"/>
      <c r="T39" s="280" t="n"/>
      <c r="U39" s="280" t="n"/>
      <c r="V39" s="280" t="n"/>
      <c r="W39" s="280" t="n"/>
      <c r="X39" s="280" t="n"/>
      <c r="Y39" s="280" t="n"/>
      <c r="Z39" s="236">
        <f>IF(AND(G39&lt;&gt;"",R39&lt;&gt;"",V39&lt;&gt;"",W39&lt;&gt;""),"COMPLETADO","OBSERVADO")</f>
        <v/>
      </c>
      <c r="AA39" s="284" t="n"/>
    </row>
    <row r="40" ht="15.75" customHeight="1" s="195">
      <c r="A40" s="334" t="n"/>
      <c r="B40" s="334" t="n"/>
      <c r="C40" s="334" t="n"/>
      <c r="D40" s="334" t="n"/>
      <c r="E40" s="334" t="n"/>
      <c r="F40" s="334" t="n"/>
      <c r="G40" s="334" t="n"/>
      <c r="H40" s="334" t="n"/>
      <c r="I40" s="332">
        <f>IFERROR(VLOOKUP(TEXT(H40,"0"),IPRESS!$A$3:$B$212,2,0),"")</f>
        <v/>
      </c>
      <c r="J40" s="334" t="n"/>
      <c r="K40" s="332">
        <f>IFERROR(VLOOKUP(TEXT(O40,"0"),CONDUCTORES!$A$3:$G$54,7,0),"")</f>
        <v/>
      </c>
      <c r="L40" s="334" t="n"/>
      <c r="M40" s="334" t="n"/>
      <c r="N40" s="333">
        <f>IFERROR(IF(L40*M40=0,"",L40*M40),"")</f>
        <v/>
      </c>
      <c r="O40" s="334" t="n"/>
      <c r="P40" s="332">
        <f>IFERROR(VLOOKUP(TEXT(O40,"0"),CONDUCTORES!$A$3:$G$54,2,0),"")</f>
        <v/>
      </c>
      <c r="Q40" s="332">
        <f>IFERROR(VLOOKUP(TEXT(O40,"0"),CONDUCTORES!$A$3:$H$54,6,0),"")</f>
        <v/>
      </c>
      <c r="R40" s="334" t="n"/>
      <c r="S40" s="334" t="n"/>
      <c r="T40" s="334" t="n"/>
      <c r="U40" s="334" t="n"/>
      <c r="V40" s="334" t="n"/>
      <c r="W40" s="334" t="n"/>
      <c r="X40" s="334" t="n"/>
      <c r="Y40" s="334" t="n"/>
      <c r="Z40" s="242">
        <f>IF(AND(G40&lt;&gt;"",R40&lt;&gt;"",V40&lt;&gt;"",W40&lt;&gt;""),"COMPLETADO","OBSERVADO")</f>
        <v/>
      </c>
      <c r="AA40" s="284" t="n"/>
    </row>
    <row r="41" ht="15.75" customHeight="1" s="195">
      <c r="A41" s="280" t="n"/>
      <c r="B41" s="280" t="n"/>
      <c r="C41" s="280" t="n"/>
      <c r="D41" s="280" t="n"/>
      <c r="E41" s="280" t="n"/>
      <c r="F41" s="280" t="n"/>
      <c r="G41" s="280" t="n"/>
      <c r="H41" s="280" t="n"/>
      <c r="I41" s="332">
        <f>IFERROR(VLOOKUP(TEXT(H41,"0"),IPRESS!$A$3:$B$212,2,0),"")</f>
        <v/>
      </c>
      <c r="J41" s="280" t="n"/>
      <c r="K41" s="332">
        <f>IFERROR(VLOOKUP(TEXT(O41,"0"),CONDUCTORES!$A$3:$G$54,7,0),"")</f>
        <v/>
      </c>
      <c r="L41" s="280" t="n"/>
      <c r="M41" s="280" t="n"/>
      <c r="N41" s="333">
        <f>IFERROR(IF(L41*M41=0,"",L41*M41),"")</f>
        <v/>
      </c>
      <c r="O41" s="280" t="n"/>
      <c r="P41" s="332">
        <f>IFERROR(VLOOKUP(TEXT(O41,"0"),CONDUCTORES!$A$3:$G$54,2,0),"")</f>
        <v/>
      </c>
      <c r="Q41" s="332">
        <f>IFERROR(VLOOKUP(TEXT(O41,"0"),CONDUCTORES!$A$3:$H$54,6,0),"")</f>
        <v/>
      </c>
      <c r="R41" s="280" t="n"/>
      <c r="S41" s="280" t="n"/>
      <c r="T41" s="280" t="n"/>
      <c r="U41" s="280" t="n"/>
      <c r="V41" s="280" t="n"/>
      <c r="W41" s="280" t="n"/>
      <c r="X41" s="280" t="n"/>
      <c r="Y41" s="280" t="n"/>
      <c r="Z41" s="236">
        <f>IF(AND(G41&lt;&gt;"",R41&lt;&gt;"",V41&lt;&gt;"",W41&lt;&gt;""),"COMPLETADO","OBSERVADO")</f>
        <v/>
      </c>
      <c r="AA41" s="284" t="n"/>
    </row>
    <row r="42" ht="15.75" customHeight="1" s="195">
      <c r="A42" s="334" t="n"/>
      <c r="B42" s="334" t="n"/>
      <c r="C42" s="334" t="n"/>
      <c r="D42" s="334" t="n"/>
      <c r="E42" s="334" t="n"/>
      <c r="F42" s="334" t="n"/>
      <c r="G42" s="334" t="n"/>
      <c r="H42" s="334" t="n"/>
      <c r="I42" s="332">
        <f>IFERROR(VLOOKUP(TEXT(H42,"0"),IPRESS!$A$3:$B$212,2,0),"")</f>
        <v/>
      </c>
      <c r="J42" s="334" t="n"/>
      <c r="K42" s="332">
        <f>IFERROR(VLOOKUP(TEXT(O42,"0"),CONDUCTORES!$A$3:$G$54,7,0),"")</f>
        <v/>
      </c>
      <c r="L42" s="334" t="n"/>
      <c r="M42" s="334" t="n"/>
      <c r="N42" s="333">
        <f>IFERROR(IF(L42*M42=0,"",L42*M42),"")</f>
        <v/>
      </c>
      <c r="O42" s="334" t="n"/>
      <c r="P42" s="332">
        <f>IFERROR(VLOOKUP(TEXT(O42,"0"),CONDUCTORES!$A$3:$G$54,2,0),"")</f>
        <v/>
      </c>
      <c r="Q42" s="332">
        <f>IFERROR(VLOOKUP(TEXT(O42,"0"),CONDUCTORES!$A$3:$H$54,6,0),"")</f>
        <v/>
      </c>
      <c r="R42" s="334" t="n"/>
      <c r="S42" s="334" t="n"/>
      <c r="T42" s="334" t="n"/>
      <c r="U42" s="334" t="n"/>
      <c r="V42" s="334" t="n"/>
      <c r="W42" s="334" t="n"/>
      <c r="X42" s="334" t="n"/>
      <c r="Y42" s="334" t="n"/>
      <c r="Z42" s="242">
        <f>IF(AND(G42&lt;&gt;"",R42&lt;&gt;"",V42&lt;&gt;"",W42&lt;&gt;""),"COMPLETADO","OBSERVADO")</f>
        <v/>
      </c>
      <c r="AA42" s="284" t="n"/>
    </row>
    <row r="43" ht="15.75" customHeight="1" s="195">
      <c r="A43" s="280" t="n"/>
      <c r="B43" s="280" t="n"/>
      <c r="C43" s="280" t="n"/>
      <c r="D43" s="280" t="n"/>
      <c r="E43" s="280" t="n"/>
      <c r="F43" s="280" t="n"/>
      <c r="G43" s="280" t="n"/>
      <c r="H43" s="280" t="n"/>
      <c r="I43" s="332">
        <f>IFERROR(VLOOKUP(TEXT(H43,"0"),IPRESS!$A$3:$B$212,2,0),"")</f>
        <v/>
      </c>
      <c r="J43" s="280" t="n"/>
      <c r="K43" s="332">
        <f>IFERROR(VLOOKUP(TEXT(O43,"0"),CONDUCTORES!$A$3:$G$54,7,0),"")</f>
        <v/>
      </c>
      <c r="L43" s="280" t="n"/>
      <c r="M43" s="280" t="n"/>
      <c r="N43" s="333">
        <f>IFERROR(IF(L43*M43=0,"",L43*M43),"")</f>
        <v/>
      </c>
      <c r="O43" s="280" t="n"/>
      <c r="P43" s="332">
        <f>IFERROR(VLOOKUP(TEXT(O43,"0"),CONDUCTORES!$A$3:$G$54,2,0),"")</f>
        <v/>
      </c>
      <c r="Q43" s="332">
        <f>IFERROR(VLOOKUP(TEXT(O43,"0"),CONDUCTORES!$A$3:$H$54,6,0),"")</f>
        <v/>
      </c>
      <c r="R43" s="280" t="n"/>
      <c r="S43" s="280" t="n"/>
      <c r="T43" s="280" t="n"/>
      <c r="U43" s="280" t="n"/>
      <c r="V43" s="280" t="n"/>
      <c r="W43" s="280" t="n"/>
      <c r="X43" s="280" t="n"/>
      <c r="Y43" s="280" t="n"/>
      <c r="Z43" s="236">
        <f>IF(AND(G43&lt;&gt;"",R43&lt;&gt;"",V43&lt;&gt;"",W43&lt;&gt;""),"COMPLETADO","OBSERVADO")</f>
        <v/>
      </c>
      <c r="AA43" s="284" t="n"/>
    </row>
    <row r="44" ht="15.75" customHeight="1" s="195">
      <c r="A44" s="334" t="n"/>
      <c r="B44" s="334" t="n"/>
      <c r="C44" s="334" t="n"/>
      <c r="D44" s="334" t="n"/>
      <c r="E44" s="334" t="n"/>
      <c r="F44" s="334" t="n"/>
      <c r="G44" s="334" t="n"/>
      <c r="H44" s="334" t="n"/>
      <c r="I44" s="332">
        <f>IFERROR(VLOOKUP(TEXT(H44,"0"),IPRESS!$A$3:$B$212,2,0),"")</f>
        <v/>
      </c>
      <c r="J44" s="334" t="n"/>
      <c r="K44" s="332">
        <f>IFERROR(VLOOKUP(TEXT(O44,"0"),CONDUCTORES!$A$3:$G$54,7,0),"")</f>
        <v/>
      </c>
      <c r="L44" s="334" t="n"/>
      <c r="M44" s="334" t="n"/>
      <c r="N44" s="333">
        <f>IFERROR(IF(L44*M44=0,"",L44*M44),"")</f>
        <v/>
      </c>
      <c r="O44" s="334" t="n"/>
      <c r="P44" s="332">
        <f>IFERROR(VLOOKUP(TEXT(O44,"0"),CONDUCTORES!$A$3:$G$54,2,0),"")</f>
        <v/>
      </c>
      <c r="Q44" s="332">
        <f>IFERROR(VLOOKUP(TEXT(O44,"0"),CONDUCTORES!$A$3:$H$54,6,0),"")</f>
        <v/>
      </c>
      <c r="R44" s="334" t="n"/>
      <c r="S44" s="334" t="n"/>
      <c r="T44" s="334" t="n"/>
      <c r="U44" s="334" t="n"/>
      <c r="V44" s="334" t="n"/>
      <c r="W44" s="334" t="n"/>
      <c r="X44" s="334" t="n"/>
      <c r="Y44" s="334" t="n"/>
      <c r="Z44" s="242">
        <f>IF(AND(G44&lt;&gt;"",R44&lt;&gt;"",V44&lt;&gt;"",W44&lt;&gt;""),"COMPLETADO","OBSERVADO")</f>
        <v/>
      </c>
      <c r="AA44" s="284" t="n"/>
    </row>
    <row r="45" ht="15.75" customHeight="1" s="195">
      <c r="A45" s="280" t="n"/>
      <c r="B45" s="280" t="n"/>
      <c r="C45" s="280" t="n"/>
      <c r="D45" s="280" t="n"/>
      <c r="E45" s="280" t="n"/>
      <c r="F45" s="280" t="n"/>
      <c r="G45" s="280" t="n"/>
      <c r="H45" s="280" t="n"/>
      <c r="I45" s="332">
        <f>IFERROR(VLOOKUP(TEXT(H45,"0"),IPRESS!$A$3:$B$212,2,0),"")</f>
        <v/>
      </c>
      <c r="J45" s="280" t="n"/>
      <c r="K45" s="332">
        <f>IFERROR(VLOOKUP(TEXT(O45,"0"),CONDUCTORES!$A$3:$G$54,7,0),"")</f>
        <v/>
      </c>
      <c r="L45" s="280" t="n"/>
      <c r="M45" s="280" t="n"/>
      <c r="N45" s="333">
        <f>IFERROR(IF(L45*M45=0,"",L45*M45),"")</f>
        <v/>
      </c>
      <c r="O45" s="280" t="n"/>
      <c r="P45" s="332">
        <f>IFERROR(VLOOKUP(TEXT(O45,"0"),CONDUCTORES!$A$3:$G$54,2,0),"")</f>
        <v/>
      </c>
      <c r="Q45" s="332">
        <f>IFERROR(VLOOKUP(TEXT(O45,"0"),CONDUCTORES!$A$3:$H$54,6,0),"")</f>
        <v/>
      </c>
      <c r="R45" s="280" t="n"/>
      <c r="S45" s="280" t="n"/>
      <c r="T45" s="280" t="n"/>
      <c r="U45" s="280" t="n"/>
      <c r="V45" s="280" t="n"/>
      <c r="W45" s="280" t="n"/>
      <c r="X45" s="280" t="n"/>
      <c r="Y45" s="280" t="n"/>
      <c r="Z45" s="236">
        <f>IF(AND(G45&lt;&gt;"",R45&lt;&gt;"",V45&lt;&gt;"",W45&lt;&gt;""),"COMPLETADO","OBSERVADO")</f>
        <v/>
      </c>
      <c r="AA45" s="284" t="n"/>
    </row>
    <row r="46" ht="15.75" customHeight="1" s="195">
      <c r="A46" s="334" t="n"/>
      <c r="B46" s="334" t="n"/>
      <c r="C46" s="334" t="n"/>
      <c r="D46" s="334" t="n"/>
      <c r="E46" s="334" t="n"/>
      <c r="F46" s="334" t="n"/>
      <c r="G46" s="334" t="n"/>
      <c r="H46" s="334" t="n"/>
      <c r="I46" s="332">
        <f>IFERROR(VLOOKUP(TEXT(H46,"0"),IPRESS!$A$3:$B$212,2,0),"")</f>
        <v/>
      </c>
      <c r="J46" s="334" t="n"/>
      <c r="K46" s="332">
        <f>IFERROR(VLOOKUP(TEXT(O46,"0"),CONDUCTORES!$A$3:$G$54,7,0),"")</f>
        <v/>
      </c>
      <c r="L46" s="334" t="n"/>
      <c r="M46" s="334" t="n"/>
      <c r="N46" s="333">
        <f>IFERROR(IF(L46*M46=0,"",L46*M46),"")</f>
        <v/>
      </c>
      <c r="O46" s="334" t="n"/>
      <c r="P46" s="332">
        <f>IFERROR(VLOOKUP(TEXT(O46,"0"),CONDUCTORES!$A$3:$G$54,2,0),"")</f>
        <v/>
      </c>
      <c r="Q46" s="332">
        <f>IFERROR(VLOOKUP(TEXT(O46,"0"),CONDUCTORES!$A$3:$H$54,6,0),"")</f>
        <v/>
      </c>
      <c r="R46" s="334" t="n"/>
      <c r="S46" s="334" t="n"/>
      <c r="T46" s="334" t="n"/>
      <c r="U46" s="334" t="n"/>
      <c r="V46" s="334" t="n"/>
      <c r="W46" s="334" t="n"/>
      <c r="X46" s="334" t="n"/>
      <c r="Y46" s="334" t="n"/>
      <c r="Z46" s="242">
        <f>IF(AND(G46&lt;&gt;"",R46&lt;&gt;"",V46&lt;&gt;"",W46&lt;&gt;""),"COMPLETADO","OBSERVADO")</f>
        <v/>
      </c>
      <c r="AA46" s="284" t="n"/>
    </row>
    <row r="47" ht="15.75" customHeight="1" s="195">
      <c r="A47" s="280" t="n"/>
      <c r="B47" s="280" t="n"/>
      <c r="C47" s="280" t="n"/>
      <c r="D47" s="280" t="n"/>
      <c r="E47" s="280" t="n"/>
      <c r="F47" s="280" t="n"/>
      <c r="G47" s="280" t="n"/>
      <c r="H47" s="280" t="n"/>
      <c r="I47" s="332">
        <f>IFERROR(VLOOKUP(TEXT(H47,"0"),IPRESS!$A$3:$B$212,2,0),"")</f>
        <v/>
      </c>
      <c r="J47" s="280" t="n"/>
      <c r="K47" s="332">
        <f>IFERROR(VLOOKUP(TEXT(O47,"0"),CONDUCTORES!$A$3:$G$54,7,0),"")</f>
        <v/>
      </c>
      <c r="L47" s="280" t="n"/>
      <c r="M47" s="280" t="n"/>
      <c r="N47" s="333">
        <f>IFERROR(IF(L47*M47=0,"",L47*M47),"")</f>
        <v/>
      </c>
      <c r="O47" s="280" t="n"/>
      <c r="P47" s="332">
        <f>IFERROR(VLOOKUP(TEXT(O47,"0"),CONDUCTORES!$A$3:$G$54,2,0),"")</f>
        <v/>
      </c>
      <c r="Q47" s="332">
        <f>IFERROR(VLOOKUP(TEXT(O47,"0"),CONDUCTORES!$A$3:$H$54,6,0),"")</f>
        <v/>
      </c>
      <c r="R47" s="280" t="n"/>
      <c r="S47" s="280" t="n"/>
      <c r="T47" s="280" t="n"/>
      <c r="U47" s="280" t="n"/>
      <c r="V47" s="280" t="n"/>
      <c r="W47" s="280" t="n"/>
      <c r="X47" s="280" t="n"/>
      <c r="Y47" s="280" t="n"/>
      <c r="Z47" s="236">
        <f>IF(AND(G47&lt;&gt;"",R47&lt;&gt;"",V47&lt;&gt;"",W47&lt;&gt;""),"COMPLETADO","OBSERVADO")</f>
        <v/>
      </c>
      <c r="AA47" s="284" t="n"/>
    </row>
    <row r="48" ht="15.75" customHeight="1" s="195">
      <c r="A48" s="334" t="n"/>
      <c r="B48" s="334" t="n"/>
      <c r="C48" s="334" t="n"/>
      <c r="D48" s="334" t="n"/>
      <c r="E48" s="334" t="n"/>
      <c r="F48" s="334" t="n"/>
      <c r="G48" s="334" t="n"/>
      <c r="H48" s="334" t="n"/>
      <c r="I48" s="332">
        <f>IFERROR(VLOOKUP(TEXT(H48,"0"),IPRESS!$A$3:$B$212,2,0),"")</f>
        <v/>
      </c>
      <c r="J48" s="334" t="n"/>
      <c r="K48" s="332">
        <f>IFERROR(VLOOKUP(TEXT(O48,"0"),CONDUCTORES!$A$3:$G$54,7,0),"")</f>
        <v/>
      </c>
      <c r="L48" s="334" t="n"/>
      <c r="M48" s="334" t="n"/>
      <c r="N48" s="333">
        <f>IFERROR(IF(L48*M48=0,"",L48*M48),"")</f>
        <v/>
      </c>
      <c r="O48" s="334" t="n"/>
      <c r="P48" s="332">
        <f>IFERROR(VLOOKUP(TEXT(O48,"0"),CONDUCTORES!$A$3:$G$54,2,0),"")</f>
        <v/>
      </c>
      <c r="Q48" s="332">
        <f>IFERROR(VLOOKUP(TEXT(O48,"0"),CONDUCTORES!$A$3:$H$54,6,0),"")</f>
        <v/>
      </c>
      <c r="R48" s="334" t="n"/>
      <c r="S48" s="334" t="n"/>
      <c r="T48" s="334" t="n"/>
      <c r="U48" s="334" t="n"/>
      <c r="V48" s="334" t="n"/>
      <c r="W48" s="334" t="n"/>
      <c r="X48" s="334" t="n"/>
      <c r="Y48" s="334" t="n"/>
      <c r="Z48" s="242">
        <f>IF(AND(G48&lt;&gt;"",R48&lt;&gt;"",V48&lt;&gt;"",W48&lt;&gt;""),"COMPLETADO","OBSERVADO")</f>
        <v/>
      </c>
      <c r="AA48" s="284" t="n"/>
    </row>
    <row r="49" ht="15.75" customHeight="1" s="195">
      <c r="A49" s="280" t="n"/>
      <c r="B49" s="280" t="n"/>
      <c r="C49" s="280" t="n"/>
      <c r="D49" s="280" t="n"/>
      <c r="E49" s="280" t="n"/>
      <c r="F49" s="280" t="n"/>
      <c r="G49" s="280" t="n"/>
      <c r="H49" s="280" t="n"/>
      <c r="I49" s="332">
        <f>IFERROR(VLOOKUP(TEXT(H49,"0"),IPRESS!$A$3:$B$212,2,0),"")</f>
        <v/>
      </c>
      <c r="J49" s="280" t="n"/>
      <c r="K49" s="332">
        <f>IFERROR(VLOOKUP(TEXT(O49,"0"),CONDUCTORES!$A$3:$G$54,7,0),"")</f>
        <v/>
      </c>
      <c r="L49" s="280" t="n"/>
      <c r="M49" s="280" t="n"/>
      <c r="N49" s="333">
        <f>IFERROR(IF(L49*M49=0,"",L49*M49),"")</f>
        <v/>
      </c>
      <c r="O49" s="280" t="n"/>
      <c r="P49" s="332">
        <f>IFERROR(VLOOKUP(TEXT(O49,"0"),CONDUCTORES!$A$3:$G$54,2,0),"")</f>
        <v/>
      </c>
      <c r="Q49" s="332">
        <f>IFERROR(VLOOKUP(TEXT(O49,"0"),CONDUCTORES!$A$3:$H$54,6,0),"")</f>
        <v/>
      </c>
      <c r="R49" s="280" t="n"/>
      <c r="S49" s="280" t="n"/>
      <c r="T49" s="280" t="n"/>
      <c r="U49" s="280" t="n"/>
      <c r="V49" s="280" t="n"/>
      <c r="W49" s="280" t="n"/>
      <c r="X49" s="280" t="n"/>
      <c r="Y49" s="280" t="n"/>
      <c r="Z49" s="236">
        <f>IF(AND(G49&lt;&gt;"",R49&lt;&gt;"",V49&lt;&gt;"",W49&lt;&gt;""),"COMPLETADO","OBSERVADO")</f>
        <v/>
      </c>
      <c r="AA49" s="284" t="n"/>
    </row>
    <row r="50" ht="15.75" customHeight="1" s="195">
      <c r="A50" s="334" t="n"/>
      <c r="B50" s="334" t="n"/>
      <c r="C50" s="334" t="n"/>
      <c r="D50" s="334" t="n"/>
      <c r="E50" s="334" t="n"/>
      <c r="F50" s="334" t="n"/>
      <c r="G50" s="334" t="n"/>
      <c r="H50" s="334" t="n"/>
      <c r="I50" s="332">
        <f>IFERROR(VLOOKUP(TEXT(H50,"0"),IPRESS!$A$3:$B$212,2,0),"")</f>
        <v/>
      </c>
      <c r="J50" s="334" t="n"/>
      <c r="K50" s="332">
        <f>IFERROR(VLOOKUP(TEXT(O50,"0"),CONDUCTORES!$A$3:$G$54,7,0),"")</f>
        <v/>
      </c>
      <c r="L50" s="334" t="n"/>
      <c r="M50" s="334" t="n"/>
      <c r="N50" s="333">
        <f>IFERROR(IF(L50*M50=0,"",L50*M50),"")</f>
        <v/>
      </c>
      <c r="O50" s="334" t="n"/>
      <c r="P50" s="332">
        <f>IFERROR(VLOOKUP(TEXT(O50,"0"),CONDUCTORES!$A$3:$G$54,2,0),"")</f>
        <v/>
      </c>
      <c r="Q50" s="332">
        <f>IFERROR(VLOOKUP(TEXT(O50,"0"),CONDUCTORES!$A$3:$H$54,6,0),"")</f>
        <v/>
      </c>
      <c r="R50" s="334" t="n"/>
      <c r="S50" s="334" t="n"/>
      <c r="T50" s="334" t="n"/>
      <c r="U50" s="334" t="n"/>
      <c r="V50" s="334" t="n"/>
      <c r="W50" s="334" t="n"/>
      <c r="X50" s="334" t="n"/>
      <c r="Y50" s="334" t="n"/>
      <c r="Z50" s="242">
        <f>IF(AND(G50&lt;&gt;"",R50&lt;&gt;"",V50&lt;&gt;"",W50&lt;&gt;""),"COMPLETADO","OBSERVADO")</f>
        <v/>
      </c>
      <c r="AA50" s="284" t="n"/>
    </row>
    <row r="51" ht="15.75" customHeight="1" s="195">
      <c r="A51" s="280" t="n"/>
      <c r="B51" s="280" t="n"/>
      <c r="C51" s="280" t="n"/>
      <c r="D51" s="280" t="n"/>
      <c r="E51" s="280" t="n"/>
      <c r="F51" s="280" t="n"/>
      <c r="G51" s="280" t="n"/>
      <c r="H51" s="280" t="n"/>
      <c r="I51" s="332">
        <f>IFERROR(VLOOKUP(TEXT(H51,"0"),IPRESS!$A$3:$B$212,2,0),"")</f>
        <v/>
      </c>
      <c r="J51" s="280" t="n"/>
      <c r="K51" s="332">
        <f>IFERROR(VLOOKUP(TEXT(O51,"0"),CONDUCTORES!$A$3:$G$54,7,0),"")</f>
        <v/>
      </c>
      <c r="L51" s="280" t="n"/>
      <c r="M51" s="280" t="n"/>
      <c r="N51" s="333">
        <f>IFERROR(IF(L51*M51=0,"",L51*M51),"")</f>
        <v/>
      </c>
      <c r="O51" s="280" t="n"/>
      <c r="P51" s="332">
        <f>IFERROR(VLOOKUP(TEXT(O51,"0"),CONDUCTORES!$A$3:$G$54,2,0),"")</f>
        <v/>
      </c>
      <c r="Q51" s="332">
        <f>IFERROR(VLOOKUP(TEXT(O51,"0"),CONDUCTORES!$A$3:$H$54,6,0),"")</f>
        <v/>
      </c>
      <c r="R51" s="280" t="n"/>
      <c r="S51" s="280" t="n"/>
      <c r="T51" s="280" t="n"/>
      <c r="U51" s="280" t="n"/>
      <c r="V51" s="280" t="n"/>
      <c r="W51" s="280" t="n"/>
      <c r="X51" s="280" t="n"/>
      <c r="Y51" s="280" t="n"/>
      <c r="Z51" s="236">
        <f>IF(AND(G51&lt;&gt;"",R51&lt;&gt;"",V51&lt;&gt;"",W51&lt;&gt;""),"COMPLETADO","OBSERVADO")</f>
        <v/>
      </c>
      <c r="AA51" s="284" t="n"/>
    </row>
    <row r="52" ht="15.75" customHeight="1" s="195">
      <c r="A52" s="334" t="n"/>
      <c r="B52" s="334" t="n"/>
      <c r="C52" s="334" t="n"/>
      <c r="D52" s="334" t="n"/>
      <c r="E52" s="334" t="n"/>
      <c r="F52" s="334" t="n"/>
      <c r="G52" s="334" t="n"/>
      <c r="H52" s="334" t="n"/>
      <c r="I52" s="332">
        <f>IFERROR(VLOOKUP(TEXT(H52,"0"),IPRESS!$A$3:$B$212,2,0),"")</f>
        <v/>
      </c>
      <c r="J52" s="334" t="n"/>
      <c r="K52" s="332">
        <f>IFERROR(VLOOKUP(TEXT(O52,"0"),CONDUCTORES!$A$3:$G$54,7,0),"")</f>
        <v/>
      </c>
      <c r="L52" s="334" t="n"/>
      <c r="M52" s="334" t="n"/>
      <c r="N52" s="333">
        <f>IFERROR(IF(L52*M52=0,"",L52*M52),"")</f>
        <v/>
      </c>
      <c r="O52" s="334" t="n"/>
      <c r="P52" s="332">
        <f>IFERROR(VLOOKUP(TEXT(O52,"0"),CONDUCTORES!$A$3:$G$54,2,0),"")</f>
        <v/>
      </c>
      <c r="Q52" s="332">
        <f>IFERROR(VLOOKUP(TEXT(O52,"0"),CONDUCTORES!$A$3:$H$54,6,0),"")</f>
        <v/>
      </c>
      <c r="R52" s="334" t="n"/>
      <c r="S52" s="334" t="n"/>
      <c r="T52" s="334" t="n"/>
      <c r="U52" s="334" t="n"/>
      <c r="V52" s="334" t="n"/>
      <c r="W52" s="334" t="n"/>
      <c r="X52" s="334" t="n"/>
      <c r="Y52" s="334" t="n"/>
      <c r="Z52" s="242">
        <f>IF(AND(G52&lt;&gt;"",R52&lt;&gt;"",V52&lt;&gt;"",W52&lt;&gt;""),"COMPLETADO","OBSERVADO")</f>
        <v/>
      </c>
      <c r="AA52" s="284" t="n"/>
    </row>
    <row r="53" ht="15.75" customHeight="1" s="195">
      <c r="A53" s="280" t="n"/>
      <c r="B53" s="280" t="n"/>
      <c r="C53" s="280" t="n"/>
      <c r="D53" s="280" t="n"/>
      <c r="E53" s="280" t="n"/>
      <c r="F53" s="280" t="n"/>
      <c r="G53" s="280" t="n"/>
      <c r="H53" s="280" t="n"/>
      <c r="I53" s="332">
        <f>IFERROR(VLOOKUP(TEXT(H53,"0"),IPRESS!$A$3:$B$212,2,0),"")</f>
        <v/>
      </c>
      <c r="J53" s="280" t="n"/>
      <c r="K53" s="332">
        <f>IFERROR(VLOOKUP(TEXT(O53,"0"),CONDUCTORES!$A$3:$G$54,7,0),"")</f>
        <v/>
      </c>
      <c r="L53" s="280" t="n"/>
      <c r="M53" s="280" t="n"/>
      <c r="N53" s="333">
        <f>IFERROR(IF(L53*M53=0,"",L53*M53),"")</f>
        <v/>
      </c>
      <c r="O53" s="280" t="n"/>
      <c r="P53" s="332">
        <f>IFERROR(VLOOKUP(TEXT(O53,"0"),CONDUCTORES!$A$3:$G$54,2,0),"")</f>
        <v/>
      </c>
      <c r="Q53" s="332">
        <f>IFERROR(VLOOKUP(TEXT(O53,"0"),CONDUCTORES!$A$3:$H$54,6,0),"")</f>
        <v/>
      </c>
      <c r="R53" s="280" t="n"/>
      <c r="S53" s="280" t="n"/>
      <c r="T53" s="280" t="n"/>
      <c r="U53" s="280" t="n"/>
      <c r="V53" s="280" t="n"/>
      <c r="W53" s="280" t="n"/>
      <c r="X53" s="280" t="n"/>
      <c r="Y53" s="280" t="n"/>
      <c r="Z53" s="236">
        <f>IF(AND(G53&lt;&gt;"",R53&lt;&gt;"",V53&lt;&gt;"",W53&lt;&gt;""),"COMPLETADO","OBSERVADO")</f>
        <v/>
      </c>
      <c r="AA53" s="284" t="n"/>
    </row>
    <row r="54" ht="15.75" customHeight="1" s="195">
      <c r="A54" s="334" t="n"/>
      <c r="B54" s="334" t="n"/>
      <c r="C54" s="334" t="n"/>
      <c r="D54" s="334" t="n"/>
      <c r="E54" s="334" t="n"/>
      <c r="F54" s="334" t="n"/>
      <c r="G54" s="334" t="n"/>
      <c r="H54" s="334" t="n"/>
      <c r="I54" s="332">
        <f>IFERROR(VLOOKUP(TEXT(H54,"0"),IPRESS!$A$3:$B$212,2,0),"")</f>
        <v/>
      </c>
      <c r="J54" s="334" t="n"/>
      <c r="K54" s="332">
        <f>IFERROR(VLOOKUP(TEXT(O54,"0"),CONDUCTORES!$A$3:$G$54,7,0),"")</f>
        <v/>
      </c>
      <c r="L54" s="334" t="n"/>
      <c r="M54" s="334" t="n"/>
      <c r="N54" s="333">
        <f>IFERROR(IF(L54*M54=0,"",L54*M54),"")</f>
        <v/>
      </c>
      <c r="O54" s="334" t="n"/>
      <c r="P54" s="332">
        <f>IFERROR(VLOOKUP(TEXT(O54,"0"),CONDUCTORES!$A$3:$G$54,2,0),"")</f>
        <v/>
      </c>
      <c r="Q54" s="332">
        <f>IFERROR(VLOOKUP(TEXT(O54,"0"),CONDUCTORES!$A$3:$H$54,6,0),"")</f>
        <v/>
      </c>
      <c r="R54" s="334" t="n"/>
      <c r="S54" s="334" t="n"/>
      <c r="T54" s="334" t="n"/>
      <c r="U54" s="334" t="n"/>
      <c r="V54" s="334" t="n"/>
      <c r="W54" s="334" t="n"/>
      <c r="X54" s="334" t="n"/>
      <c r="Y54" s="334" t="n"/>
      <c r="Z54" s="242">
        <f>IF(AND(G54&lt;&gt;"",R54&lt;&gt;"",V54&lt;&gt;"",W54&lt;&gt;""),"COMPLETADO","OBSERVADO")</f>
        <v/>
      </c>
      <c r="AA54" s="284" t="n"/>
    </row>
    <row r="55" ht="15.75" customHeight="1" s="195">
      <c r="A55" s="280" t="n"/>
      <c r="B55" s="280" t="n"/>
      <c r="C55" s="280" t="n"/>
      <c r="D55" s="280" t="n"/>
      <c r="E55" s="280" t="n"/>
      <c r="F55" s="280" t="n"/>
      <c r="G55" s="280" t="n"/>
      <c r="H55" s="280" t="n"/>
      <c r="I55" s="332">
        <f>IFERROR(VLOOKUP(TEXT(H55,"0"),IPRESS!$A$3:$B$212,2,0),"")</f>
        <v/>
      </c>
      <c r="J55" s="280" t="n"/>
      <c r="K55" s="332">
        <f>IFERROR(VLOOKUP(TEXT(O55,"0"),CONDUCTORES!$A$3:$G$54,7,0),"")</f>
        <v/>
      </c>
      <c r="L55" s="280" t="n"/>
      <c r="M55" s="280" t="n"/>
      <c r="N55" s="333">
        <f>IFERROR(IF(L55*M55=0,"",L55*M55),"")</f>
        <v/>
      </c>
      <c r="O55" s="280" t="n"/>
      <c r="P55" s="332">
        <f>IFERROR(VLOOKUP(TEXT(O55,"0"),CONDUCTORES!$A$3:$G$54,2,0),"")</f>
        <v/>
      </c>
      <c r="Q55" s="332">
        <f>IFERROR(VLOOKUP(TEXT(O55,"0"),CONDUCTORES!$A$3:$H$54,6,0),"")</f>
        <v/>
      </c>
      <c r="R55" s="280" t="n"/>
      <c r="S55" s="280" t="n"/>
      <c r="T55" s="280" t="n"/>
      <c r="U55" s="280" t="n"/>
      <c r="V55" s="280" t="n"/>
      <c r="W55" s="280" t="n"/>
      <c r="X55" s="280" t="n"/>
      <c r="Y55" s="280" t="n"/>
      <c r="Z55" s="236">
        <f>IF(AND(G55&lt;&gt;"",R55&lt;&gt;"",V55&lt;&gt;"",W55&lt;&gt;""),"COMPLETADO","OBSERVADO")</f>
        <v/>
      </c>
      <c r="AA55" s="284" t="n"/>
    </row>
    <row r="56" ht="15.75" customHeight="1" s="195">
      <c r="A56" s="334" t="n"/>
      <c r="B56" s="334" t="n"/>
      <c r="C56" s="334" t="n"/>
      <c r="D56" s="334" t="n"/>
      <c r="E56" s="334" t="n"/>
      <c r="F56" s="334" t="n"/>
      <c r="G56" s="334" t="n"/>
      <c r="H56" s="334" t="n"/>
      <c r="I56" s="332">
        <f>IFERROR(VLOOKUP(TEXT(H56,"0"),IPRESS!$A$3:$B$212,2,0),"")</f>
        <v/>
      </c>
      <c r="J56" s="334" t="n"/>
      <c r="K56" s="332">
        <f>IFERROR(VLOOKUP(TEXT(O56,"0"),CONDUCTORES!$A$3:$G$54,7,0),"")</f>
        <v/>
      </c>
      <c r="L56" s="334" t="n"/>
      <c r="M56" s="334" t="n"/>
      <c r="N56" s="333">
        <f>IFERROR(IF(L56*M56=0,"",L56*M56),"")</f>
        <v/>
      </c>
      <c r="O56" s="334" t="n"/>
      <c r="P56" s="332">
        <f>IFERROR(VLOOKUP(TEXT(O56,"0"),CONDUCTORES!$A$3:$G$54,2,0),"")</f>
        <v/>
      </c>
      <c r="Q56" s="332">
        <f>IFERROR(VLOOKUP(TEXT(O56,"0"),CONDUCTORES!$A$3:$H$54,6,0),"")</f>
        <v/>
      </c>
      <c r="R56" s="334" t="n"/>
      <c r="S56" s="334" t="n"/>
      <c r="T56" s="334" t="n"/>
      <c r="U56" s="334" t="n"/>
      <c r="V56" s="334" t="n"/>
      <c r="W56" s="334" t="n"/>
      <c r="X56" s="334" t="n"/>
      <c r="Y56" s="334" t="n"/>
      <c r="Z56" s="242">
        <f>IF(AND(G56&lt;&gt;"",R56&lt;&gt;"",V56&lt;&gt;"",W56&lt;&gt;""),"COMPLETADO","OBSERVADO")</f>
        <v/>
      </c>
      <c r="AA56" s="284" t="n"/>
    </row>
    <row r="57" ht="15.75" customHeight="1" s="195">
      <c r="A57" s="280" t="n"/>
      <c r="B57" s="280" t="n"/>
      <c r="C57" s="280" t="n"/>
      <c r="D57" s="280" t="n"/>
      <c r="E57" s="280" t="n"/>
      <c r="F57" s="280" t="n"/>
      <c r="G57" s="280" t="n"/>
      <c r="H57" s="280" t="n"/>
      <c r="I57" s="332">
        <f>IFERROR(VLOOKUP(TEXT(H57,"0"),IPRESS!$A$3:$B$212,2,0),"")</f>
        <v/>
      </c>
      <c r="J57" s="280" t="n"/>
      <c r="K57" s="332">
        <f>IFERROR(VLOOKUP(TEXT(O57,"0"),CONDUCTORES!$A$3:$G$54,7,0),"")</f>
        <v/>
      </c>
      <c r="L57" s="280" t="n"/>
      <c r="M57" s="280" t="n"/>
      <c r="N57" s="333">
        <f>IFERROR(IF(L57*M57=0,"",L57*M57),"")</f>
        <v/>
      </c>
      <c r="O57" s="280" t="n"/>
      <c r="P57" s="332">
        <f>IFERROR(VLOOKUP(TEXT(O57,"0"),CONDUCTORES!$A$3:$G$54,2,0),"")</f>
        <v/>
      </c>
      <c r="Q57" s="332">
        <f>IFERROR(VLOOKUP(TEXT(O57,"0"),CONDUCTORES!$A$3:$H$54,6,0),"")</f>
        <v/>
      </c>
      <c r="R57" s="280" t="n"/>
      <c r="S57" s="280" t="n"/>
      <c r="T57" s="280" t="n"/>
      <c r="U57" s="280" t="n"/>
      <c r="V57" s="280" t="n"/>
      <c r="W57" s="280" t="n"/>
      <c r="X57" s="280" t="n"/>
      <c r="Y57" s="280" t="n"/>
      <c r="Z57" s="236">
        <f>IF(AND(G57&lt;&gt;"",R57&lt;&gt;"",V57&lt;&gt;"",W57&lt;&gt;""),"COMPLETADO","OBSERVADO")</f>
        <v/>
      </c>
      <c r="AA57" s="284" t="n"/>
    </row>
    <row r="58" ht="15.75" customHeight="1" s="195">
      <c r="A58" s="334" t="n"/>
      <c r="B58" s="334" t="n"/>
      <c r="C58" s="334" t="n"/>
      <c r="D58" s="334" t="n"/>
      <c r="E58" s="334" t="n"/>
      <c r="F58" s="334" t="n"/>
      <c r="G58" s="334" t="n"/>
      <c r="H58" s="334" t="n"/>
      <c r="I58" s="332">
        <f>IFERROR(VLOOKUP(TEXT(H58,"0"),IPRESS!$A$3:$B$212,2,0),"")</f>
        <v/>
      </c>
      <c r="J58" s="334" t="n"/>
      <c r="K58" s="332">
        <f>IFERROR(VLOOKUP(TEXT(O58,"0"),CONDUCTORES!$A$3:$G$54,7,0),"")</f>
        <v/>
      </c>
      <c r="L58" s="334" t="n"/>
      <c r="M58" s="334" t="n"/>
      <c r="N58" s="333">
        <f>IFERROR(IF(L58*M58=0,"",L58*M58),"")</f>
        <v/>
      </c>
      <c r="O58" s="334" t="n"/>
      <c r="P58" s="332">
        <f>IFERROR(VLOOKUP(TEXT(O58,"0"),CONDUCTORES!$A$3:$G$54,2,0),"")</f>
        <v/>
      </c>
      <c r="Q58" s="332">
        <f>IFERROR(VLOOKUP(TEXT(O58,"0"),CONDUCTORES!$A$3:$H$54,6,0),"")</f>
        <v/>
      </c>
      <c r="R58" s="334" t="n"/>
      <c r="S58" s="334" t="n"/>
      <c r="T58" s="334" t="n"/>
      <c r="U58" s="334" t="n"/>
      <c r="V58" s="334" t="n"/>
      <c r="W58" s="334" t="n"/>
      <c r="X58" s="334" t="n"/>
      <c r="Y58" s="334" t="n"/>
      <c r="Z58" s="242">
        <f>IF(AND(G58&lt;&gt;"",R58&lt;&gt;"",V58&lt;&gt;"",W58&lt;&gt;""),"COMPLETADO","OBSERVADO")</f>
        <v/>
      </c>
      <c r="AA58" s="284" t="n"/>
    </row>
    <row r="59" ht="15.75" customHeight="1" s="195">
      <c r="A59" s="280" t="n"/>
      <c r="B59" s="280" t="n"/>
      <c r="C59" s="280" t="n"/>
      <c r="D59" s="280" t="n"/>
      <c r="E59" s="280" t="n"/>
      <c r="F59" s="280" t="n"/>
      <c r="G59" s="280" t="n"/>
      <c r="H59" s="280" t="n"/>
      <c r="I59" s="332">
        <f>IFERROR(VLOOKUP(TEXT(H59,"0"),IPRESS!$A$3:$B$212,2,0),"")</f>
        <v/>
      </c>
      <c r="J59" s="280" t="n"/>
      <c r="K59" s="332">
        <f>IFERROR(VLOOKUP(TEXT(O59,"0"),CONDUCTORES!$A$3:$G$54,7,0),"")</f>
        <v/>
      </c>
      <c r="L59" s="280" t="n"/>
      <c r="M59" s="280" t="n"/>
      <c r="N59" s="333">
        <f>IFERROR(IF(L59*M59=0,"",L59*M59),"")</f>
        <v/>
      </c>
      <c r="O59" s="280" t="n"/>
      <c r="P59" s="332">
        <f>IFERROR(VLOOKUP(TEXT(O59,"0"),CONDUCTORES!$A$3:$G$54,2,0),"")</f>
        <v/>
      </c>
      <c r="Q59" s="332">
        <f>IFERROR(VLOOKUP(TEXT(O59,"0"),CONDUCTORES!$A$3:$H$54,6,0),"")</f>
        <v/>
      </c>
      <c r="R59" s="280" t="n"/>
      <c r="S59" s="280" t="n"/>
      <c r="T59" s="280" t="n"/>
      <c r="U59" s="280" t="n"/>
      <c r="V59" s="280" t="n"/>
      <c r="W59" s="280" t="n"/>
      <c r="X59" s="280" t="n"/>
      <c r="Y59" s="280" t="n"/>
      <c r="Z59" s="236">
        <f>IF(AND(G59&lt;&gt;"",R59&lt;&gt;"",V59&lt;&gt;"",W59&lt;&gt;""),"COMPLETADO","OBSERVADO")</f>
        <v/>
      </c>
      <c r="AA59" s="284" t="n"/>
    </row>
    <row r="60" ht="15.75" customHeight="1" s="195">
      <c r="A60" s="334" t="n"/>
      <c r="B60" s="334" t="n"/>
      <c r="C60" s="334" t="n"/>
      <c r="D60" s="334" t="n"/>
      <c r="E60" s="334" t="n"/>
      <c r="F60" s="334" t="n"/>
      <c r="G60" s="334" t="n"/>
      <c r="H60" s="334" t="n"/>
      <c r="I60" s="332">
        <f>IFERROR(VLOOKUP(TEXT(H60,"0"),IPRESS!$A$3:$B$212,2,0),"")</f>
        <v/>
      </c>
      <c r="J60" s="334" t="n"/>
      <c r="K60" s="332">
        <f>IFERROR(VLOOKUP(TEXT(O60,"0"),CONDUCTORES!$A$3:$G$54,7,0),"")</f>
        <v/>
      </c>
      <c r="L60" s="334" t="n"/>
      <c r="M60" s="334" t="n"/>
      <c r="N60" s="333">
        <f>IFERROR(IF(L60*M60=0,"",L60*M60),"")</f>
        <v/>
      </c>
      <c r="O60" s="334" t="n"/>
      <c r="P60" s="332">
        <f>IFERROR(VLOOKUP(TEXT(O60,"0"),CONDUCTORES!$A$3:$G$54,2,0),"")</f>
        <v/>
      </c>
      <c r="Q60" s="332">
        <f>IFERROR(VLOOKUP(TEXT(O60,"0"),CONDUCTORES!$A$3:$H$54,6,0),"")</f>
        <v/>
      </c>
      <c r="R60" s="334" t="n"/>
      <c r="S60" s="334" t="n"/>
      <c r="T60" s="334" t="n"/>
      <c r="U60" s="334" t="n"/>
      <c r="V60" s="334" t="n"/>
      <c r="W60" s="334" t="n"/>
      <c r="X60" s="334" t="n"/>
      <c r="Y60" s="334" t="n"/>
      <c r="Z60" s="242">
        <f>IF(AND(G60&lt;&gt;"",R60&lt;&gt;"",V60&lt;&gt;"",W60&lt;&gt;""),"COMPLETADO","OBSERVADO")</f>
        <v/>
      </c>
      <c r="AA60" s="284" t="n"/>
    </row>
    <row r="61" ht="15.75" customHeight="1" s="195">
      <c r="A61" s="280" t="n"/>
      <c r="B61" s="280" t="n"/>
      <c r="C61" s="280" t="n"/>
      <c r="D61" s="280" t="n"/>
      <c r="E61" s="280" t="n"/>
      <c r="F61" s="280" t="n"/>
      <c r="G61" s="280" t="n"/>
      <c r="H61" s="280" t="n"/>
      <c r="I61" s="332">
        <f>IFERROR(VLOOKUP(TEXT(H61,"0"),IPRESS!$A$3:$B$212,2,0),"")</f>
        <v/>
      </c>
      <c r="J61" s="280" t="n"/>
      <c r="K61" s="332">
        <f>IFERROR(VLOOKUP(TEXT(O61,"0"),CONDUCTORES!$A$3:$G$54,7,0),"")</f>
        <v/>
      </c>
      <c r="L61" s="280" t="n"/>
      <c r="M61" s="280" t="n"/>
      <c r="N61" s="333">
        <f>IFERROR(IF(L61*M61=0,"",L61*M61),"")</f>
        <v/>
      </c>
      <c r="O61" s="280" t="n"/>
      <c r="P61" s="332">
        <f>IFERROR(VLOOKUP(TEXT(O61,"0"),CONDUCTORES!$A$3:$G$54,2,0),"")</f>
        <v/>
      </c>
      <c r="Q61" s="332">
        <f>IFERROR(VLOOKUP(TEXT(O61,"0"),CONDUCTORES!$A$3:$H$54,6,0),"")</f>
        <v/>
      </c>
      <c r="R61" s="280" t="n"/>
      <c r="S61" s="280" t="n"/>
      <c r="T61" s="280" t="n"/>
      <c r="U61" s="280" t="n"/>
      <c r="V61" s="280" t="n"/>
      <c r="W61" s="280" t="n"/>
      <c r="X61" s="280" t="n"/>
      <c r="Y61" s="280" t="n"/>
      <c r="Z61" s="236">
        <f>IF(AND(G61&lt;&gt;"",R61&lt;&gt;"",V61&lt;&gt;"",W61&lt;&gt;""),"COMPLETADO","OBSERVADO")</f>
        <v/>
      </c>
      <c r="AA61" s="284" t="n"/>
    </row>
    <row r="62" ht="15.75" customHeight="1" s="195">
      <c r="A62" s="334" t="n"/>
      <c r="B62" s="334" t="n"/>
      <c r="C62" s="334" t="n"/>
      <c r="D62" s="334" t="n"/>
      <c r="E62" s="334" t="n"/>
      <c r="F62" s="334" t="n"/>
      <c r="G62" s="334" t="n"/>
      <c r="H62" s="334" t="n"/>
      <c r="I62" s="332">
        <f>IFERROR(VLOOKUP(TEXT(H62,"0"),IPRESS!$A$3:$B$212,2,0),"")</f>
        <v/>
      </c>
      <c r="J62" s="334" t="n"/>
      <c r="K62" s="332">
        <f>IFERROR(VLOOKUP(TEXT(O62,"0"),CONDUCTORES!$A$3:$G$54,7,0),"")</f>
        <v/>
      </c>
      <c r="L62" s="334" t="n"/>
      <c r="M62" s="334" t="n"/>
      <c r="N62" s="333">
        <f>IFERROR(IF(L62*M62=0,"",L62*M62),"")</f>
        <v/>
      </c>
      <c r="O62" s="334" t="n"/>
      <c r="P62" s="332">
        <f>IFERROR(VLOOKUP(TEXT(O62,"0"),CONDUCTORES!$A$3:$G$54,2,0),"")</f>
        <v/>
      </c>
      <c r="Q62" s="332">
        <f>IFERROR(VLOOKUP(TEXT(O62,"0"),CONDUCTORES!$A$3:$H$54,6,0),"")</f>
        <v/>
      </c>
      <c r="R62" s="334" t="n"/>
      <c r="S62" s="334" t="n"/>
      <c r="T62" s="334" t="n"/>
      <c r="U62" s="334" t="n"/>
      <c r="V62" s="334" t="n"/>
      <c r="W62" s="334" t="n"/>
      <c r="X62" s="334" t="n"/>
      <c r="Y62" s="334" t="n"/>
      <c r="Z62" s="242">
        <f>IF(AND(G62&lt;&gt;"",R62&lt;&gt;"",V62&lt;&gt;"",W62&lt;&gt;""),"COMPLETADO","OBSERVADO")</f>
        <v/>
      </c>
      <c r="AA62" s="284" t="n"/>
    </row>
    <row r="63" ht="15.75" customHeight="1" s="195">
      <c r="A63" s="280" t="n"/>
      <c r="B63" s="280" t="n"/>
      <c r="C63" s="280" t="n"/>
      <c r="D63" s="280" t="n"/>
      <c r="E63" s="280" t="n"/>
      <c r="F63" s="280" t="n"/>
      <c r="G63" s="280" t="n"/>
      <c r="H63" s="280" t="n"/>
      <c r="I63" s="332">
        <f>IFERROR(VLOOKUP(TEXT(H63,"0"),IPRESS!$A$3:$B$212,2,0),"")</f>
        <v/>
      </c>
      <c r="J63" s="280" t="n"/>
      <c r="K63" s="332">
        <f>IFERROR(VLOOKUP(TEXT(O63,"0"),CONDUCTORES!$A$3:$G$54,7,0),"")</f>
        <v/>
      </c>
      <c r="L63" s="280" t="n"/>
      <c r="M63" s="280" t="n"/>
      <c r="N63" s="333">
        <f>IFERROR(IF(L63*M63=0,"",L63*M63),"")</f>
        <v/>
      </c>
      <c r="O63" s="280" t="n"/>
      <c r="P63" s="332">
        <f>IFERROR(VLOOKUP(TEXT(O63,"0"),CONDUCTORES!$A$3:$G$54,2,0),"")</f>
        <v/>
      </c>
      <c r="Q63" s="332">
        <f>IFERROR(VLOOKUP(TEXT(O63,"0"),CONDUCTORES!$A$3:$H$54,6,0),"")</f>
        <v/>
      </c>
      <c r="R63" s="280" t="n"/>
      <c r="S63" s="280" t="n"/>
      <c r="T63" s="280" t="n"/>
      <c r="U63" s="280" t="n"/>
      <c r="V63" s="280" t="n"/>
      <c r="W63" s="280" t="n"/>
      <c r="X63" s="280" t="n"/>
      <c r="Y63" s="280" t="n"/>
      <c r="Z63" s="236">
        <f>IF(AND(G63&lt;&gt;"",R63&lt;&gt;"",V63&lt;&gt;"",W63&lt;&gt;""),"COMPLETADO","OBSERVADO")</f>
        <v/>
      </c>
      <c r="AA63" s="284" t="n"/>
    </row>
    <row r="64" ht="15.75" customHeight="1" s="195">
      <c r="A64" s="334" t="n"/>
      <c r="B64" s="334" t="n"/>
      <c r="C64" s="334" t="n"/>
      <c r="D64" s="334" t="n"/>
      <c r="E64" s="334" t="n"/>
      <c r="F64" s="334" t="n"/>
      <c r="G64" s="334" t="n"/>
      <c r="H64" s="334" t="n"/>
      <c r="I64" s="332">
        <f>IFERROR(VLOOKUP(TEXT(H64,"0"),IPRESS!$A$3:$B$212,2,0),"")</f>
        <v/>
      </c>
      <c r="J64" s="334" t="n"/>
      <c r="K64" s="332">
        <f>IFERROR(VLOOKUP(TEXT(O64,"0"),CONDUCTORES!$A$3:$G$54,7,0),"")</f>
        <v/>
      </c>
      <c r="L64" s="334" t="n"/>
      <c r="M64" s="334" t="n"/>
      <c r="N64" s="333">
        <f>IFERROR(IF(L64*M64=0,"",L64*M64),"")</f>
        <v/>
      </c>
      <c r="O64" s="334" t="n"/>
      <c r="P64" s="332">
        <f>IFERROR(VLOOKUP(TEXT(O64,"0"),CONDUCTORES!$A$3:$G$54,2,0),"")</f>
        <v/>
      </c>
      <c r="Q64" s="332">
        <f>IFERROR(VLOOKUP(TEXT(O64,"0"),CONDUCTORES!$A$3:$H$54,6,0),"")</f>
        <v/>
      </c>
      <c r="R64" s="334" t="n"/>
      <c r="S64" s="334" t="n"/>
      <c r="T64" s="334" t="n"/>
      <c r="U64" s="334" t="n"/>
      <c r="V64" s="334" t="n"/>
      <c r="W64" s="334" t="n"/>
      <c r="X64" s="334" t="n"/>
      <c r="Y64" s="334" t="n"/>
      <c r="Z64" s="242">
        <f>IF(AND(G64&lt;&gt;"",R64&lt;&gt;"",V64&lt;&gt;"",W64&lt;&gt;""),"COMPLETADO","OBSERVADO")</f>
        <v/>
      </c>
      <c r="AA64" s="284" t="n"/>
    </row>
    <row r="65" ht="15.75" customHeight="1" s="195">
      <c r="A65" s="280" t="n"/>
      <c r="B65" s="280" t="n"/>
      <c r="C65" s="280" t="n"/>
      <c r="D65" s="280" t="n"/>
      <c r="E65" s="280" t="n"/>
      <c r="F65" s="280" t="n"/>
      <c r="G65" s="280" t="n"/>
      <c r="H65" s="280" t="n"/>
      <c r="I65" s="332">
        <f>IFERROR(VLOOKUP(TEXT(H65,"0"),IPRESS!$A$3:$B$212,2,0),"")</f>
        <v/>
      </c>
      <c r="J65" s="280" t="n"/>
      <c r="K65" s="332">
        <f>IFERROR(VLOOKUP(TEXT(O65,"0"),CONDUCTORES!$A$3:$G$54,7,0),"")</f>
        <v/>
      </c>
      <c r="L65" s="280" t="n"/>
      <c r="M65" s="280" t="n"/>
      <c r="N65" s="333">
        <f>IFERROR(IF(L65*M65=0,"",L65*M65),"")</f>
        <v/>
      </c>
      <c r="O65" s="280" t="n"/>
      <c r="P65" s="332">
        <f>IFERROR(VLOOKUP(TEXT(O65,"0"),CONDUCTORES!$A$3:$G$54,2,0),"")</f>
        <v/>
      </c>
      <c r="Q65" s="332">
        <f>IFERROR(VLOOKUP(TEXT(O65,"0"),CONDUCTORES!$A$3:$H$54,6,0),"")</f>
        <v/>
      </c>
      <c r="R65" s="280" t="n"/>
      <c r="S65" s="280" t="n"/>
      <c r="T65" s="280" t="n"/>
      <c r="U65" s="280" t="n"/>
      <c r="V65" s="280" t="n"/>
      <c r="W65" s="280" t="n"/>
      <c r="X65" s="280" t="n"/>
      <c r="Y65" s="280" t="n"/>
      <c r="Z65" s="236">
        <f>IF(AND(G65&lt;&gt;"",R65&lt;&gt;"",V65&lt;&gt;"",W65&lt;&gt;""),"COMPLETADO","OBSERVADO")</f>
        <v/>
      </c>
      <c r="AA65" s="284" t="n"/>
    </row>
    <row r="66" ht="15.75" customHeight="1" s="195">
      <c r="A66" s="334" t="n"/>
      <c r="B66" s="334" t="n"/>
      <c r="C66" s="334" t="n"/>
      <c r="D66" s="334" t="n"/>
      <c r="E66" s="334" t="n"/>
      <c r="F66" s="334" t="n"/>
      <c r="G66" s="334" t="n"/>
      <c r="H66" s="334" t="n"/>
      <c r="I66" s="332">
        <f>IFERROR(VLOOKUP(TEXT(H66,"0"),IPRESS!$A$3:$B$212,2,0),"")</f>
        <v/>
      </c>
      <c r="J66" s="334" t="n"/>
      <c r="K66" s="332">
        <f>IFERROR(VLOOKUP(TEXT(O66,"0"),CONDUCTORES!$A$3:$G$54,7,0),"")</f>
        <v/>
      </c>
      <c r="L66" s="334" t="n"/>
      <c r="M66" s="334" t="n"/>
      <c r="N66" s="333">
        <f>IFERROR(IF(L66*M66=0,"",L66*M66),"")</f>
        <v/>
      </c>
      <c r="O66" s="334" t="n"/>
      <c r="P66" s="332">
        <f>IFERROR(VLOOKUP(TEXT(O66,"0"),CONDUCTORES!$A$3:$G$54,2,0),"")</f>
        <v/>
      </c>
      <c r="Q66" s="332">
        <f>IFERROR(VLOOKUP(TEXT(O66,"0"),CONDUCTORES!$A$3:$H$54,6,0),"")</f>
        <v/>
      </c>
      <c r="R66" s="334" t="n"/>
      <c r="S66" s="334" t="n"/>
      <c r="T66" s="334" t="n"/>
      <c r="U66" s="334" t="n"/>
      <c r="V66" s="334" t="n"/>
      <c r="W66" s="334" t="n"/>
      <c r="X66" s="334" t="n"/>
      <c r="Y66" s="334" t="n"/>
      <c r="Z66" s="242">
        <f>IF(AND(G66&lt;&gt;"",R66&lt;&gt;"",V66&lt;&gt;"",W66&lt;&gt;""),"COMPLETADO","OBSERVADO")</f>
        <v/>
      </c>
      <c r="AA66" s="284" t="n"/>
    </row>
    <row r="67" ht="15.75" customHeight="1" s="195">
      <c r="A67" s="280" t="n"/>
      <c r="B67" s="280" t="n"/>
      <c r="C67" s="280" t="n"/>
      <c r="D67" s="280" t="n"/>
      <c r="E67" s="280" t="n"/>
      <c r="F67" s="280" t="n"/>
      <c r="G67" s="280" t="n"/>
      <c r="H67" s="280" t="n"/>
      <c r="I67" s="332">
        <f>IFERROR(VLOOKUP(TEXT(H67,"0"),IPRESS!$A$3:$B$212,2,0),"")</f>
        <v/>
      </c>
      <c r="J67" s="280" t="n"/>
      <c r="K67" s="332">
        <f>IFERROR(VLOOKUP(TEXT(O67,"0"),CONDUCTORES!$A$3:$G$54,7,0),"")</f>
        <v/>
      </c>
      <c r="L67" s="280" t="n"/>
      <c r="M67" s="280" t="n"/>
      <c r="N67" s="333">
        <f>IFERROR(IF(L67*M67=0,"",L67*M67),"")</f>
        <v/>
      </c>
      <c r="O67" s="280" t="n"/>
      <c r="P67" s="332">
        <f>IFERROR(VLOOKUP(TEXT(O67,"0"),CONDUCTORES!$A$3:$G$54,2,0),"")</f>
        <v/>
      </c>
      <c r="Q67" s="332">
        <f>IFERROR(VLOOKUP(TEXT(O67,"0"),CONDUCTORES!$A$3:$H$54,6,0),"")</f>
        <v/>
      </c>
      <c r="R67" s="280" t="n"/>
      <c r="S67" s="280" t="n"/>
      <c r="T67" s="280" t="n"/>
      <c r="U67" s="280" t="n"/>
      <c r="V67" s="280" t="n"/>
      <c r="W67" s="280" t="n"/>
      <c r="X67" s="280" t="n"/>
      <c r="Y67" s="280" t="n"/>
      <c r="Z67" s="236">
        <f>IF(AND(G67&lt;&gt;"",R67&lt;&gt;"",V67&lt;&gt;"",W67&lt;&gt;""),"COMPLETADO","OBSERVADO")</f>
        <v/>
      </c>
      <c r="AA67" s="284" t="n"/>
    </row>
    <row r="68" ht="15.75" customHeight="1" s="195">
      <c r="A68" s="334" t="n"/>
      <c r="B68" s="334" t="n"/>
      <c r="C68" s="334" t="n"/>
      <c r="D68" s="334" t="n"/>
      <c r="E68" s="334" t="n"/>
      <c r="F68" s="334" t="n"/>
      <c r="G68" s="334" t="n"/>
      <c r="H68" s="334" t="n"/>
      <c r="I68" s="332">
        <f>IFERROR(VLOOKUP(TEXT(H68,"0"),IPRESS!$A$3:$B$212,2,0),"")</f>
        <v/>
      </c>
      <c r="J68" s="334" t="n"/>
      <c r="K68" s="332">
        <f>IFERROR(VLOOKUP(TEXT(O68,"0"),CONDUCTORES!$A$3:$G$54,7,0),"")</f>
        <v/>
      </c>
      <c r="L68" s="334" t="n"/>
      <c r="M68" s="334" t="n"/>
      <c r="N68" s="333">
        <f>IFERROR(IF(L68*M68=0,"",L68*M68),"")</f>
        <v/>
      </c>
      <c r="O68" s="334" t="n"/>
      <c r="P68" s="332">
        <f>IFERROR(VLOOKUP(TEXT(O68,"0"),CONDUCTORES!$A$3:$G$54,2,0),"")</f>
        <v/>
      </c>
      <c r="Q68" s="332">
        <f>IFERROR(VLOOKUP(TEXT(O68,"0"),CONDUCTORES!$A$3:$H$54,6,0),"")</f>
        <v/>
      </c>
      <c r="R68" s="334" t="n"/>
      <c r="S68" s="334" t="n"/>
      <c r="T68" s="334" t="n"/>
      <c r="U68" s="334" t="n"/>
      <c r="V68" s="334" t="n"/>
      <c r="W68" s="334" t="n"/>
      <c r="X68" s="334" t="n"/>
      <c r="Y68" s="334" t="n"/>
      <c r="Z68" s="242">
        <f>IF(AND(G68&lt;&gt;"",R68&lt;&gt;"",V68&lt;&gt;"",W68&lt;&gt;""),"COMPLETADO","OBSERVADO")</f>
        <v/>
      </c>
      <c r="AA68" s="284" t="n"/>
    </row>
    <row r="69" ht="15.75" customHeight="1" s="195">
      <c r="A69" s="280" t="n"/>
      <c r="B69" s="280" t="n"/>
      <c r="C69" s="280" t="n"/>
      <c r="D69" s="280" t="n"/>
      <c r="E69" s="280" t="n"/>
      <c r="F69" s="280" t="n"/>
      <c r="G69" s="280" t="n"/>
      <c r="H69" s="280" t="n"/>
      <c r="I69" s="332">
        <f>IFERROR(VLOOKUP(TEXT(H69,"0"),IPRESS!$A$3:$B$212,2,0),"")</f>
        <v/>
      </c>
      <c r="J69" s="280" t="n"/>
      <c r="K69" s="332">
        <f>IFERROR(VLOOKUP(TEXT(O69,"0"),CONDUCTORES!$A$3:$G$54,7,0),"")</f>
        <v/>
      </c>
      <c r="L69" s="280" t="n"/>
      <c r="M69" s="280" t="n"/>
      <c r="N69" s="333">
        <f>IFERROR(IF(L69*M69=0,"",L69*M69),"")</f>
        <v/>
      </c>
      <c r="O69" s="280" t="n"/>
      <c r="P69" s="332">
        <f>IFERROR(VLOOKUP(TEXT(O69,"0"),CONDUCTORES!$A$3:$G$54,2,0),"")</f>
        <v/>
      </c>
      <c r="Q69" s="332">
        <f>IFERROR(VLOOKUP(TEXT(O69,"0"),CONDUCTORES!$A$3:$H$54,6,0),"")</f>
        <v/>
      </c>
      <c r="R69" s="280" t="n"/>
      <c r="S69" s="280" t="n"/>
      <c r="T69" s="280" t="n"/>
      <c r="U69" s="280" t="n"/>
      <c r="V69" s="280" t="n"/>
      <c r="W69" s="280" t="n"/>
      <c r="X69" s="280" t="n"/>
      <c r="Y69" s="280" t="n"/>
      <c r="Z69" s="236">
        <f>IF(AND(G69&lt;&gt;"",R69&lt;&gt;"",V69&lt;&gt;"",W69&lt;&gt;""),"COMPLETADO","OBSERVADO")</f>
        <v/>
      </c>
      <c r="AA69" s="284" t="n"/>
    </row>
    <row r="70" ht="15.75" customHeight="1" s="195">
      <c r="A70" s="334" t="n"/>
      <c r="B70" s="334" t="n"/>
      <c r="C70" s="334" t="n"/>
      <c r="D70" s="334" t="n"/>
      <c r="E70" s="334" t="n"/>
      <c r="F70" s="334" t="n"/>
      <c r="G70" s="334" t="n"/>
      <c r="H70" s="334" t="n"/>
      <c r="I70" s="332">
        <f>IFERROR(VLOOKUP(TEXT(H70,"0"),IPRESS!$A$3:$B$212,2,0),"")</f>
        <v/>
      </c>
      <c r="J70" s="334" t="n"/>
      <c r="K70" s="332">
        <f>IFERROR(VLOOKUP(TEXT(O70,"0"),CONDUCTORES!$A$3:$G$54,7,0),"")</f>
        <v/>
      </c>
      <c r="L70" s="334" t="n"/>
      <c r="M70" s="334" t="n"/>
      <c r="N70" s="333">
        <f>IFERROR(IF(L70*M70=0,"",L70*M70),"")</f>
        <v/>
      </c>
      <c r="O70" s="334" t="n"/>
      <c r="P70" s="332">
        <f>IFERROR(VLOOKUP(TEXT(O70,"0"),CONDUCTORES!$A$3:$G$54,2,0),"")</f>
        <v/>
      </c>
      <c r="Q70" s="332">
        <f>IFERROR(VLOOKUP(TEXT(O70,"0"),CONDUCTORES!$A$3:$H$54,6,0),"")</f>
        <v/>
      </c>
      <c r="R70" s="334" t="n"/>
      <c r="S70" s="334" t="n"/>
      <c r="T70" s="334" t="n"/>
      <c r="U70" s="334" t="n"/>
      <c r="V70" s="334" t="n"/>
      <c r="W70" s="334" t="n"/>
      <c r="X70" s="334" t="n"/>
      <c r="Y70" s="334" t="n"/>
      <c r="Z70" s="242">
        <f>IF(AND(G70&lt;&gt;"",R70&lt;&gt;"",V70&lt;&gt;"",W70&lt;&gt;""),"COMPLETADO","OBSERVADO")</f>
        <v/>
      </c>
      <c r="AA70" s="284" t="n"/>
    </row>
    <row r="71" ht="15.75" customHeight="1" s="195">
      <c r="A71" s="280" t="n"/>
      <c r="B71" s="280" t="n"/>
      <c r="C71" s="280" t="n"/>
      <c r="D71" s="280" t="n"/>
      <c r="E71" s="280" t="n"/>
      <c r="F71" s="280" t="n"/>
      <c r="G71" s="280" t="n"/>
      <c r="H71" s="280" t="n"/>
      <c r="I71" s="332">
        <f>IFERROR(VLOOKUP(TEXT(H71,"0"),IPRESS!$A$3:$B$212,2,0),"")</f>
        <v/>
      </c>
      <c r="J71" s="280" t="n"/>
      <c r="K71" s="332">
        <f>IFERROR(VLOOKUP(TEXT(O71,"0"),CONDUCTORES!$A$3:$G$54,7,0),"")</f>
        <v/>
      </c>
      <c r="L71" s="280" t="n"/>
      <c r="M71" s="280" t="n"/>
      <c r="N71" s="333">
        <f>IFERROR(IF(L71*M71=0,"",L71*M71),"")</f>
        <v/>
      </c>
      <c r="O71" s="280" t="n"/>
      <c r="P71" s="332">
        <f>IFERROR(VLOOKUP(TEXT(O71,"0"),CONDUCTORES!$A$3:$G$54,2,0),"")</f>
        <v/>
      </c>
      <c r="Q71" s="332">
        <f>IFERROR(VLOOKUP(TEXT(O71,"0"),CONDUCTORES!$A$3:$H$54,6,0),"")</f>
        <v/>
      </c>
      <c r="R71" s="280" t="n"/>
      <c r="S71" s="280" t="n"/>
      <c r="T71" s="280" t="n"/>
      <c r="U71" s="280" t="n"/>
      <c r="V71" s="280" t="n"/>
      <c r="W71" s="280" t="n"/>
      <c r="X71" s="280" t="n"/>
      <c r="Y71" s="280" t="n"/>
      <c r="Z71" s="236">
        <f>IF(AND(G71&lt;&gt;"",R71&lt;&gt;"",V71&lt;&gt;"",W71&lt;&gt;""),"COMPLETADO","OBSERVADO")</f>
        <v/>
      </c>
      <c r="AA71" s="284" t="n"/>
    </row>
    <row r="72" ht="15.75" customHeight="1" s="195">
      <c r="A72" s="334" t="n"/>
      <c r="B72" s="334" t="n"/>
      <c r="C72" s="334" t="n"/>
      <c r="D72" s="334" t="n"/>
      <c r="E72" s="334" t="n"/>
      <c r="F72" s="334" t="n"/>
      <c r="G72" s="334" t="n"/>
      <c r="H72" s="334" t="n"/>
      <c r="I72" s="332">
        <f>IFERROR(VLOOKUP(TEXT(H72,"0"),IPRESS!$A$3:$B$212,2,0),"")</f>
        <v/>
      </c>
      <c r="J72" s="334" t="n"/>
      <c r="K72" s="332">
        <f>IFERROR(VLOOKUP(TEXT(O72,"0"),CONDUCTORES!$A$3:$G$54,7,0),"")</f>
        <v/>
      </c>
      <c r="L72" s="334" t="n"/>
      <c r="M72" s="334" t="n"/>
      <c r="N72" s="333">
        <f>IFERROR(IF(L72*M72=0,"",L72*M72),"")</f>
        <v/>
      </c>
      <c r="O72" s="334" t="n"/>
      <c r="P72" s="332">
        <f>IFERROR(VLOOKUP(TEXT(O72,"0"),CONDUCTORES!$A$3:$G$54,2,0),"")</f>
        <v/>
      </c>
      <c r="Q72" s="332">
        <f>IFERROR(VLOOKUP(TEXT(O72,"0"),CONDUCTORES!$A$3:$H$54,6,0),"")</f>
        <v/>
      </c>
      <c r="R72" s="334" t="n"/>
      <c r="S72" s="334" t="n"/>
      <c r="T72" s="334" t="n"/>
      <c r="U72" s="334" t="n"/>
      <c r="V72" s="334" t="n"/>
      <c r="W72" s="334" t="n"/>
      <c r="X72" s="334" t="n"/>
      <c r="Y72" s="334" t="n"/>
      <c r="Z72" s="242">
        <f>IF(AND(G72&lt;&gt;"",R72&lt;&gt;"",V72&lt;&gt;"",W72&lt;&gt;""),"COMPLETADO","OBSERVADO")</f>
        <v/>
      </c>
      <c r="AA72" s="284" t="n"/>
    </row>
    <row r="73" ht="15.75" customHeight="1" s="195">
      <c r="A73" s="280" t="n"/>
      <c r="B73" s="280" t="n"/>
      <c r="C73" s="280" t="n"/>
      <c r="D73" s="280" t="n"/>
      <c r="E73" s="280" t="n"/>
      <c r="F73" s="280" t="n"/>
      <c r="G73" s="280" t="n"/>
      <c r="H73" s="280" t="n"/>
      <c r="I73" s="332">
        <f>IFERROR(VLOOKUP(TEXT(H73,"0"),IPRESS!$A$3:$B$212,2,0),"")</f>
        <v/>
      </c>
      <c r="J73" s="280" t="n"/>
      <c r="K73" s="332">
        <f>IFERROR(VLOOKUP(TEXT(O73,"0"),CONDUCTORES!$A$3:$G$54,7,0),"")</f>
        <v/>
      </c>
      <c r="L73" s="280" t="n"/>
      <c r="M73" s="280" t="n"/>
      <c r="N73" s="333">
        <f>IFERROR(IF(L73*M73=0,"",L73*M73),"")</f>
        <v/>
      </c>
      <c r="O73" s="280" t="n"/>
      <c r="P73" s="332">
        <f>IFERROR(VLOOKUP(TEXT(O73,"0"),CONDUCTORES!$A$3:$G$54,2,0),"")</f>
        <v/>
      </c>
      <c r="Q73" s="332">
        <f>IFERROR(VLOOKUP(TEXT(O73,"0"),CONDUCTORES!$A$3:$H$54,6,0),"")</f>
        <v/>
      </c>
      <c r="R73" s="280" t="n"/>
      <c r="S73" s="280" t="n"/>
      <c r="T73" s="280" t="n"/>
      <c r="U73" s="280" t="n"/>
      <c r="V73" s="280" t="n"/>
      <c r="W73" s="280" t="n"/>
      <c r="X73" s="280" t="n"/>
      <c r="Y73" s="280" t="n"/>
      <c r="Z73" s="236">
        <f>IF(AND(G73&lt;&gt;"",R73&lt;&gt;"",V73&lt;&gt;"",W73&lt;&gt;""),"COMPLETADO","OBSERVADO")</f>
        <v/>
      </c>
      <c r="AA73" s="284" t="n"/>
    </row>
    <row r="74" ht="15.75" customHeight="1" s="195">
      <c r="A74" s="334" t="n"/>
      <c r="B74" s="334" t="n"/>
      <c r="C74" s="334" t="n"/>
      <c r="D74" s="334" t="n"/>
      <c r="E74" s="334" t="n"/>
      <c r="F74" s="334" t="n"/>
      <c r="G74" s="334" t="n"/>
      <c r="H74" s="334" t="n"/>
      <c r="I74" s="332">
        <f>IFERROR(VLOOKUP(TEXT(H74,"0"),IPRESS!$A$3:$B$212,2,0),"")</f>
        <v/>
      </c>
      <c r="J74" s="334" t="n"/>
      <c r="K74" s="332">
        <f>IFERROR(VLOOKUP(TEXT(O74,"0"),CONDUCTORES!$A$3:$G$54,7,0),"")</f>
        <v/>
      </c>
      <c r="L74" s="334" t="n"/>
      <c r="M74" s="334" t="n"/>
      <c r="N74" s="333">
        <f>IFERROR(IF(L74*M74=0,"",L74*M74),"")</f>
        <v/>
      </c>
      <c r="O74" s="334" t="n"/>
      <c r="P74" s="332">
        <f>IFERROR(VLOOKUP(TEXT(O74,"0"),CONDUCTORES!$A$3:$G$54,2,0),"")</f>
        <v/>
      </c>
      <c r="Q74" s="332">
        <f>IFERROR(VLOOKUP(TEXT(O74,"0"),CONDUCTORES!$A$3:$H$54,6,0),"")</f>
        <v/>
      </c>
      <c r="R74" s="334" t="n"/>
      <c r="S74" s="334" t="n"/>
      <c r="T74" s="334" t="n"/>
      <c r="U74" s="334" t="n"/>
      <c r="V74" s="334" t="n"/>
      <c r="W74" s="334" t="n"/>
      <c r="X74" s="334" t="n"/>
      <c r="Y74" s="334" t="n"/>
      <c r="Z74" s="242">
        <f>IF(AND(G74&lt;&gt;"",R74&lt;&gt;"",V74&lt;&gt;"",W74&lt;&gt;""),"COMPLETADO","OBSERVADO")</f>
        <v/>
      </c>
      <c r="AA74" s="284" t="n"/>
    </row>
    <row r="75" ht="15.75" customHeight="1" s="195">
      <c r="A75" s="280" t="n"/>
      <c r="B75" s="280" t="n"/>
      <c r="C75" s="280" t="n"/>
      <c r="D75" s="280" t="n"/>
      <c r="E75" s="280" t="n"/>
      <c r="F75" s="280" t="n"/>
      <c r="G75" s="280" t="n"/>
      <c r="H75" s="280" t="n"/>
      <c r="I75" s="332">
        <f>IFERROR(VLOOKUP(TEXT(H75,"0"),IPRESS!$A$3:$B$212,2,0),"")</f>
        <v/>
      </c>
      <c r="J75" s="280" t="n"/>
      <c r="K75" s="332">
        <f>IFERROR(VLOOKUP(TEXT(O75,"0"),CONDUCTORES!$A$3:$G$54,7,0),"")</f>
        <v/>
      </c>
      <c r="L75" s="280" t="n"/>
      <c r="M75" s="280" t="n"/>
      <c r="N75" s="333">
        <f>IFERROR(IF(L75*M75=0,"",L75*M75),"")</f>
        <v/>
      </c>
      <c r="O75" s="280" t="n"/>
      <c r="P75" s="332">
        <f>IFERROR(VLOOKUP(TEXT(O75,"0"),CONDUCTORES!$A$3:$G$54,2,0),"")</f>
        <v/>
      </c>
      <c r="Q75" s="332">
        <f>IFERROR(VLOOKUP(TEXT(O75,"0"),CONDUCTORES!$A$3:$H$54,6,0),"")</f>
        <v/>
      </c>
      <c r="R75" s="280" t="n"/>
      <c r="S75" s="280" t="n"/>
      <c r="T75" s="280" t="n"/>
      <c r="U75" s="280" t="n"/>
      <c r="V75" s="280" t="n"/>
      <c r="W75" s="280" t="n"/>
      <c r="X75" s="280" t="n"/>
      <c r="Y75" s="280" t="n"/>
      <c r="Z75" s="236">
        <f>IF(AND(G75&lt;&gt;"",R75&lt;&gt;"",V75&lt;&gt;"",W75&lt;&gt;""),"COMPLETADO","OBSERVADO")</f>
        <v/>
      </c>
      <c r="AA75" s="284" t="n"/>
    </row>
    <row r="76" ht="15.75" customHeight="1" s="195">
      <c r="A76" s="334" t="n"/>
      <c r="B76" s="334" t="n"/>
      <c r="C76" s="334" t="n"/>
      <c r="D76" s="334" t="n"/>
      <c r="E76" s="334" t="n"/>
      <c r="F76" s="334" t="n"/>
      <c r="G76" s="334" t="n"/>
      <c r="H76" s="334" t="n"/>
      <c r="I76" s="332">
        <f>IFERROR(VLOOKUP(TEXT(H76,"0"),IPRESS!$A$3:$B$212,2,0),"")</f>
        <v/>
      </c>
      <c r="J76" s="334" t="n"/>
      <c r="K76" s="332">
        <f>IFERROR(VLOOKUP(TEXT(O76,"0"),CONDUCTORES!$A$3:$G$54,7,0),"")</f>
        <v/>
      </c>
      <c r="L76" s="334" t="n"/>
      <c r="M76" s="334" t="n"/>
      <c r="N76" s="333">
        <f>IFERROR(IF(L76*M76=0,"",L76*M76),"")</f>
        <v/>
      </c>
      <c r="O76" s="334" t="n"/>
      <c r="P76" s="332">
        <f>IFERROR(VLOOKUP(TEXT(O76,"0"),CONDUCTORES!$A$3:$G$54,2,0),"")</f>
        <v/>
      </c>
      <c r="Q76" s="332">
        <f>IFERROR(VLOOKUP(TEXT(O76,"0"),CONDUCTORES!$A$3:$H$54,6,0),"")</f>
        <v/>
      </c>
      <c r="R76" s="334" t="n"/>
      <c r="S76" s="334" t="n"/>
      <c r="T76" s="334" t="n"/>
      <c r="U76" s="334" t="n"/>
      <c r="V76" s="334" t="n"/>
      <c r="W76" s="334" t="n"/>
      <c r="X76" s="334" t="n"/>
      <c r="Y76" s="334" t="n"/>
      <c r="Z76" s="242">
        <f>IF(AND(G76&lt;&gt;"",R76&lt;&gt;"",V76&lt;&gt;"",W76&lt;&gt;""),"COMPLETADO","OBSERVADO")</f>
        <v/>
      </c>
      <c r="AA76" s="284" t="n"/>
    </row>
    <row r="77" ht="15.75" customHeight="1" s="195">
      <c r="A77" s="280" t="n"/>
      <c r="B77" s="280" t="n"/>
      <c r="C77" s="280" t="n"/>
      <c r="D77" s="280" t="n"/>
      <c r="E77" s="280" t="n"/>
      <c r="F77" s="280" t="n"/>
      <c r="G77" s="280" t="n"/>
      <c r="H77" s="280" t="n"/>
      <c r="I77" s="332">
        <f>IFERROR(VLOOKUP(TEXT(H77,"0"),IPRESS!$A$3:$B$212,2,0),"")</f>
        <v/>
      </c>
      <c r="J77" s="280" t="n"/>
      <c r="K77" s="332">
        <f>IFERROR(VLOOKUP(TEXT(O77,"0"),CONDUCTORES!$A$3:$G$54,7,0),"")</f>
        <v/>
      </c>
      <c r="L77" s="280" t="n"/>
      <c r="M77" s="280" t="n"/>
      <c r="N77" s="333">
        <f>IFERROR(IF(L77*M77=0,"",L77*M77),"")</f>
        <v/>
      </c>
      <c r="O77" s="280" t="n"/>
      <c r="P77" s="332">
        <f>IFERROR(VLOOKUP(TEXT(O77,"0"),CONDUCTORES!$A$3:$G$54,2,0),"")</f>
        <v/>
      </c>
      <c r="Q77" s="332">
        <f>IFERROR(VLOOKUP(TEXT(O77,"0"),CONDUCTORES!$A$3:$H$54,6,0),"")</f>
        <v/>
      </c>
      <c r="R77" s="280" t="n"/>
      <c r="S77" s="280" t="n"/>
      <c r="T77" s="280" t="n"/>
      <c r="U77" s="280" t="n"/>
      <c r="V77" s="280" t="n"/>
      <c r="W77" s="280" t="n"/>
      <c r="X77" s="280" t="n"/>
      <c r="Y77" s="280" t="n"/>
      <c r="Z77" s="236">
        <f>IF(AND(G77&lt;&gt;"",R77&lt;&gt;"",V77&lt;&gt;"",W77&lt;&gt;""),"COMPLETADO","OBSERVADO")</f>
        <v/>
      </c>
      <c r="AA77" s="284" t="n"/>
    </row>
    <row r="78" ht="15.75" customHeight="1" s="195">
      <c r="A78" s="334" t="n"/>
      <c r="B78" s="334" t="n"/>
      <c r="C78" s="334" t="n"/>
      <c r="D78" s="334" t="n"/>
      <c r="E78" s="334" t="n"/>
      <c r="F78" s="334" t="n"/>
      <c r="G78" s="334" t="n"/>
      <c r="H78" s="334" t="n"/>
      <c r="I78" s="332">
        <f>IFERROR(VLOOKUP(TEXT(H78,"0"),IPRESS!$A$3:$B$212,2,0),"")</f>
        <v/>
      </c>
      <c r="J78" s="334" t="n"/>
      <c r="K78" s="332">
        <f>IFERROR(VLOOKUP(TEXT(O78,"0"),CONDUCTORES!$A$3:$G$54,7,0),"")</f>
        <v/>
      </c>
      <c r="L78" s="334" t="n"/>
      <c r="M78" s="334" t="n"/>
      <c r="N78" s="333">
        <f>IFERROR(IF(L78*M78=0,"",L78*M78),"")</f>
        <v/>
      </c>
      <c r="O78" s="334" t="n"/>
      <c r="P78" s="332">
        <f>IFERROR(VLOOKUP(TEXT(O78,"0"),CONDUCTORES!$A$3:$G$54,2,0),"")</f>
        <v/>
      </c>
      <c r="Q78" s="332">
        <f>IFERROR(VLOOKUP(TEXT(O78,"0"),CONDUCTORES!$A$3:$H$54,6,0),"")</f>
        <v/>
      </c>
      <c r="R78" s="334" t="n"/>
      <c r="S78" s="334" t="n"/>
      <c r="T78" s="334" t="n"/>
      <c r="U78" s="334" t="n"/>
      <c r="V78" s="334" t="n"/>
      <c r="W78" s="334" t="n"/>
      <c r="X78" s="334" t="n"/>
      <c r="Y78" s="334" t="n"/>
      <c r="Z78" s="242">
        <f>IF(AND(G78&lt;&gt;"",R78&lt;&gt;"",V78&lt;&gt;"",W78&lt;&gt;""),"COMPLETADO","OBSERVADO")</f>
        <v/>
      </c>
      <c r="AA78" s="284" t="n"/>
    </row>
    <row r="79" ht="15.75" customHeight="1" s="195">
      <c r="A79" s="280" t="n"/>
      <c r="B79" s="280" t="n"/>
      <c r="C79" s="280" t="n"/>
      <c r="D79" s="280" t="n"/>
      <c r="E79" s="280" t="n"/>
      <c r="F79" s="280" t="n"/>
      <c r="G79" s="280" t="n"/>
      <c r="H79" s="280" t="n"/>
      <c r="I79" s="332">
        <f>IFERROR(VLOOKUP(TEXT(H79,"0"),IPRESS!$A$3:$B$212,2,0),"")</f>
        <v/>
      </c>
      <c r="J79" s="280" t="n"/>
      <c r="K79" s="332">
        <f>IFERROR(VLOOKUP(TEXT(O79,"0"),CONDUCTORES!$A$3:$G$54,7,0),"")</f>
        <v/>
      </c>
      <c r="L79" s="280" t="n"/>
      <c r="M79" s="280" t="n"/>
      <c r="N79" s="333">
        <f>IFERROR(IF(L79*M79=0,"",L79*M79),"")</f>
        <v/>
      </c>
      <c r="O79" s="280" t="n"/>
      <c r="P79" s="332">
        <f>IFERROR(VLOOKUP(TEXT(O79,"0"),CONDUCTORES!$A$3:$G$54,2,0),"")</f>
        <v/>
      </c>
      <c r="Q79" s="332">
        <f>IFERROR(VLOOKUP(TEXT(O79,"0"),CONDUCTORES!$A$3:$H$54,6,0),"")</f>
        <v/>
      </c>
      <c r="R79" s="280" t="n"/>
      <c r="S79" s="280" t="n"/>
      <c r="T79" s="280" t="n"/>
      <c r="U79" s="280" t="n"/>
      <c r="V79" s="280" t="n"/>
      <c r="W79" s="280" t="n"/>
      <c r="X79" s="280" t="n"/>
      <c r="Y79" s="280" t="n"/>
      <c r="Z79" s="236">
        <f>IF(AND(G79&lt;&gt;"",R79&lt;&gt;"",V79&lt;&gt;"",W79&lt;&gt;""),"COMPLETADO","OBSERVADO")</f>
        <v/>
      </c>
      <c r="AA79" s="284" t="n"/>
    </row>
    <row r="80" ht="15.75" customHeight="1" s="195">
      <c r="A80" s="334" t="n"/>
      <c r="B80" s="334" t="n"/>
      <c r="C80" s="334" t="n"/>
      <c r="D80" s="334" t="n"/>
      <c r="E80" s="334" t="n"/>
      <c r="F80" s="334" t="n"/>
      <c r="G80" s="334" t="n"/>
      <c r="H80" s="334" t="n"/>
      <c r="I80" s="332">
        <f>IFERROR(VLOOKUP(TEXT(H80,"0"),IPRESS!$A$3:$B$212,2,0),"")</f>
        <v/>
      </c>
      <c r="J80" s="334" t="n"/>
      <c r="K80" s="332">
        <f>IFERROR(VLOOKUP(TEXT(O80,"0"),CONDUCTORES!$A$3:$G$54,7,0),"")</f>
        <v/>
      </c>
      <c r="L80" s="334" t="n"/>
      <c r="M80" s="334" t="n"/>
      <c r="N80" s="333">
        <f>IFERROR(IF(L80*M80=0,"",L80*M80),"")</f>
        <v/>
      </c>
      <c r="O80" s="334" t="n"/>
      <c r="P80" s="332">
        <f>IFERROR(VLOOKUP(TEXT(O80,"0"),CONDUCTORES!$A$3:$G$54,2,0),"")</f>
        <v/>
      </c>
      <c r="Q80" s="332">
        <f>IFERROR(VLOOKUP(TEXT(O80,"0"),CONDUCTORES!$A$3:$H$54,6,0),"")</f>
        <v/>
      </c>
      <c r="R80" s="334" t="n"/>
      <c r="S80" s="334" t="n"/>
      <c r="T80" s="334" t="n"/>
      <c r="U80" s="334" t="n"/>
      <c r="V80" s="334" t="n"/>
      <c r="W80" s="334" t="n"/>
      <c r="X80" s="334" t="n"/>
      <c r="Y80" s="334" t="n"/>
      <c r="Z80" s="242">
        <f>IF(AND(G80&lt;&gt;"",R80&lt;&gt;"",V80&lt;&gt;"",W80&lt;&gt;""),"COMPLETADO","OBSERVADO")</f>
        <v/>
      </c>
      <c r="AA80" s="284" t="n"/>
    </row>
    <row r="81" ht="15.75" customHeight="1" s="195">
      <c r="A81" s="280" t="n"/>
      <c r="B81" s="280" t="n"/>
      <c r="C81" s="280" t="n"/>
      <c r="D81" s="280" t="n"/>
      <c r="E81" s="280" t="n"/>
      <c r="F81" s="280" t="n"/>
      <c r="G81" s="280" t="n"/>
      <c r="H81" s="280" t="n"/>
      <c r="I81" s="332">
        <f>IFERROR(VLOOKUP(TEXT(H81,"0"),IPRESS!$A$3:$B$212,2,0),"")</f>
        <v/>
      </c>
      <c r="J81" s="280" t="n"/>
      <c r="K81" s="332">
        <f>IFERROR(VLOOKUP(TEXT(O81,"0"),CONDUCTORES!$A$3:$G$54,7,0),"")</f>
        <v/>
      </c>
      <c r="L81" s="280" t="n"/>
      <c r="M81" s="280" t="n"/>
      <c r="N81" s="333">
        <f>IFERROR(IF(L81*M81=0,"",L81*M81),"")</f>
        <v/>
      </c>
      <c r="O81" s="280" t="n"/>
      <c r="P81" s="332">
        <f>IFERROR(VLOOKUP(TEXT(O81,"0"),CONDUCTORES!$A$3:$G$54,2,0),"")</f>
        <v/>
      </c>
      <c r="Q81" s="332">
        <f>IFERROR(VLOOKUP(TEXT(O81,"0"),CONDUCTORES!$A$3:$H$54,6,0),"")</f>
        <v/>
      </c>
      <c r="R81" s="280" t="n"/>
      <c r="S81" s="280" t="n"/>
      <c r="T81" s="280" t="n"/>
      <c r="U81" s="280" t="n"/>
      <c r="V81" s="280" t="n"/>
      <c r="W81" s="280" t="n"/>
      <c r="X81" s="280" t="n"/>
      <c r="Y81" s="280" t="n"/>
      <c r="Z81" s="236">
        <f>IF(AND(G81&lt;&gt;"",R81&lt;&gt;"",V81&lt;&gt;"",W81&lt;&gt;""),"COMPLETADO","OBSERVADO")</f>
        <v/>
      </c>
      <c r="AA81" s="284" t="n"/>
    </row>
    <row r="82" ht="15.75" customHeight="1" s="195">
      <c r="A82" s="334" t="n"/>
      <c r="B82" s="334" t="n"/>
      <c r="C82" s="334" t="n"/>
      <c r="D82" s="334" t="n"/>
      <c r="E82" s="334" t="n"/>
      <c r="F82" s="334" t="n"/>
      <c r="G82" s="334" t="n"/>
      <c r="H82" s="334" t="n"/>
      <c r="I82" s="332">
        <f>IFERROR(VLOOKUP(TEXT(H82,"0"),IPRESS!$A$3:$B$212,2,0),"")</f>
        <v/>
      </c>
      <c r="J82" s="334" t="n"/>
      <c r="K82" s="332">
        <f>IFERROR(VLOOKUP(TEXT(O82,"0"),CONDUCTORES!$A$3:$G$54,7,0),"")</f>
        <v/>
      </c>
      <c r="L82" s="334" t="n"/>
      <c r="M82" s="334" t="n"/>
      <c r="N82" s="333">
        <f>IFERROR(IF(L82*M82=0,"",L82*M82),"")</f>
        <v/>
      </c>
      <c r="O82" s="334" t="n"/>
      <c r="P82" s="332">
        <f>IFERROR(VLOOKUP(TEXT(O82,"0"),CONDUCTORES!$A$3:$G$54,2,0),"")</f>
        <v/>
      </c>
      <c r="Q82" s="332">
        <f>IFERROR(VLOOKUP(TEXT(O82,"0"),CONDUCTORES!$A$3:$H$54,6,0),"")</f>
        <v/>
      </c>
      <c r="R82" s="334" t="n"/>
      <c r="S82" s="334" t="n"/>
      <c r="T82" s="334" t="n"/>
      <c r="U82" s="334" t="n"/>
      <c r="V82" s="334" t="n"/>
      <c r="W82" s="334" t="n"/>
      <c r="X82" s="334" t="n"/>
      <c r="Y82" s="334" t="n"/>
      <c r="Z82" s="242">
        <f>IF(AND(G82&lt;&gt;"",R82&lt;&gt;"",V82&lt;&gt;"",W82&lt;&gt;""),"COMPLETADO","OBSERVADO")</f>
        <v/>
      </c>
      <c r="AA82" s="284" t="n"/>
    </row>
    <row r="83" ht="15.75" customHeight="1" s="195">
      <c r="A83" s="280" t="n"/>
      <c r="B83" s="280" t="n"/>
      <c r="C83" s="280" t="n"/>
      <c r="D83" s="280" t="n"/>
      <c r="E83" s="280" t="n"/>
      <c r="F83" s="280" t="n"/>
      <c r="G83" s="280" t="n"/>
      <c r="H83" s="280" t="n"/>
      <c r="I83" s="332">
        <f>IFERROR(VLOOKUP(TEXT(H83,"0"),IPRESS!$A$3:$B$212,2,0),"")</f>
        <v/>
      </c>
      <c r="J83" s="280" t="n"/>
      <c r="K83" s="332">
        <f>IFERROR(VLOOKUP(TEXT(O83,"0"),CONDUCTORES!$A$3:$G$54,7,0),"")</f>
        <v/>
      </c>
      <c r="L83" s="280" t="n"/>
      <c r="M83" s="280" t="n"/>
      <c r="N83" s="333">
        <f>IFERROR(IF(L83*M83=0,"",L83*M83),"")</f>
        <v/>
      </c>
      <c r="O83" s="280" t="n"/>
      <c r="P83" s="332">
        <f>IFERROR(VLOOKUP(TEXT(O83,"0"),CONDUCTORES!$A$3:$G$54,2,0),"")</f>
        <v/>
      </c>
      <c r="Q83" s="332">
        <f>IFERROR(VLOOKUP(TEXT(O83,"0"),CONDUCTORES!$A$3:$H$54,6,0),"")</f>
        <v/>
      </c>
      <c r="R83" s="280" t="n"/>
      <c r="S83" s="280" t="n"/>
      <c r="T83" s="280" t="n"/>
      <c r="U83" s="280" t="n"/>
      <c r="V83" s="280" t="n"/>
      <c r="W83" s="280" t="n"/>
      <c r="X83" s="280" t="n"/>
      <c r="Y83" s="280" t="n"/>
      <c r="Z83" s="236">
        <f>IF(AND(G83&lt;&gt;"",R83&lt;&gt;"",V83&lt;&gt;"",W83&lt;&gt;""),"COMPLETADO","OBSERVADO")</f>
        <v/>
      </c>
      <c r="AA83" s="284" t="n"/>
    </row>
    <row r="84" ht="15.75" customHeight="1" s="195">
      <c r="A84" s="334" t="n"/>
      <c r="B84" s="334" t="n"/>
      <c r="C84" s="334" t="n"/>
      <c r="D84" s="334" t="n"/>
      <c r="E84" s="334" t="n"/>
      <c r="F84" s="334" t="n"/>
      <c r="G84" s="334" t="n"/>
      <c r="H84" s="334" t="n"/>
      <c r="I84" s="332">
        <f>IFERROR(VLOOKUP(TEXT(H84,"0"),IPRESS!$A$3:$B$212,2,0),"")</f>
        <v/>
      </c>
      <c r="J84" s="334" t="n"/>
      <c r="K84" s="332">
        <f>IFERROR(VLOOKUP(TEXT(O84,"0"),CONDUCTORES!$A$3:$G$54,7,0),"")</f>
        <v/>
      </c>
      <c r="L84" s="334" t="n"/>
      <c r="M84" s="334" t="n"/>
      <c r="N84" s="333">
        <f>IFERROR(IF(L84*M84=0,"",L84*M84),"")</f>
        <v/>
      </c>
      <c r="O84" s="334" t="n"/>
      <c r="P84" s="332">
        <f>IFERROR(VLOOKUP(TEXT(O84,"0"),CONDUCTORES!$A$3:$G$54,2,0),"")</f>
        <v/>
      </c>
      <c r="Q84" s="332">
        <f>IFERROR(VLOOKUP(TEXT(O84,"0"),CONDUCTORES!$A$3:$H$54,6,0),"")</f>
        <v/>
      </c>
      <c r="R84" s="334" t="n"/>
      <c r="S84" s="334" t="n"/>
      <c r="T84" s="334" t="n"/>
      <c r="U84" s="334" t="n"/>
      <c r="V84" s="334" t="n"/>
      <c r="W84" s="334" t="n"/>
      <c r="X84" s="334" t="n"/>
      <c r="Y84" s="334" t="n"/>
      <c r="Z84" s="242">
        <f>IF(AND(G84&lt;&gt;"",R84&lt;&gt;"",V84&lt;&gt;"",W84&lt;&gt;""),"COMPLETADO","OBSERVADO")</f>
        <v/>
      </c>
      <c r="AA84" s="284" t="n"/>
    </row>
    <row r="85" ht="15.75" customHeight="1" s="195">
      <c r="A85" s="280" t="n"/>
      <c r="B85" s="280" t="n"/>
      <c r="C85" s="280" t="n"/>
      <c r="D85" s="280" t="n"/>
      <c r="E85" s="280" t="n"/>
      <c r="F85" s="280" t="n"/>
      <c r="G85" s="280" t="n"/>
      <c r="H85" s="280" t="n"/>
      <c r="I85" s="332">
        <f>IFERROR(VLOOKUP(TEXT(H85,"0"),IPRESS!$A$3:$B$212,2,0),"")</f>
        <v/>
      </c>
      <c r="J85" s="280" t="n"/>
      <c r="K85" s="332">
        <f>IFERROR(VLOOKUP(TEXT(O85,"0"),CONDUCTORES!$A$3:$G$54,7,0),"")</f>
        <v/>
      </c>
      <c r="L85" s="280" t="n"/>
      <c r="M85" s="280" t="n"/>
      <c r="N85" s="333">
        <f>IFERROR(IF(L85*M85=0,"",L85*M85),"")</f>
        <v/>
      </c>
      <c r="O85" s="280" t="n"/>
      <c r="P85" s="332">
        <f>IFERROR(VLOOKUP(TEXT(O85,"0"),CONDUCTORES!$A$3:$G$54,2,0),"")</f>
        <v/>
      </c>
      <c r="Q85" s="332">
        <f>IFERROR(VLOOKUP(TEXT(O85,"0"),CONDUCTORES!$A$3:$H$54,6,0),"")</f>
        <v/>
      </c>
      <c r="R85" s="280" t="n"/>
      <c r="S85" s="280" t="n"/>
      <c r="T85" s="280" t="n"/>
      <c r="U85" s="280" t="n"/>
      <c r="V85" s="280" t="n"/>
      <c r="W85" s="280" t="n"/>
      <c r="X85" s="280" t="n"/>
      <c r="Y85" s="280" t="n"/>
      <c r="Z85" s="236">
        <f>IF(AND(G85&lt;&gt;"",R85&lt;&gt;"",V85&lt;&gt;"",W85&lt;&gt;""),"COMPLETADO","OBSERVADO")</f>
        <v/>
      </c>
      <c r="AA85" s="284" t="n"/>
    </row>
    <row r="86" ht="15.75" customHeight="1" s="195">
      <c r="A86" s="334" t="n"/>
      <c r="B86" s="334" t="n"/>
      <c r="C86" s="334" t="n"/>
      <c r="D86" s="334" t="n"/>
      <c r="E86" s="334" t="n"/>
      <c r="F86" s="334" t="n"/>
      <c r="G86" s="334" t="n"/>
      <c r="H86" s="334" t="n"/>
      <c r="I86" s="332">
        <f>IFERROR(VLOOKUP(TEXT(H86,"0"),IPRESS!$A$3:$B$212,2,0),"")</f>
        <v/>
      </c>
      <c r="J86" s="334" t="n"/>
      <c r="K86" s="332">
        <f>IFERROR(VLOOKUP(TEXT(O86,"0"),CONDUCTORES!$A$3:$G$54,7,0),"")</f>
        <v/>
      </c>
      <c r="L86" s="334" t="n"/>
      <c r="M86" s="334" t="n"/>
      <c r="N86" s="333">
        <f>IFERROR(IF(L86*M86=0,"",L86*M86),"")</f>
        <v/>
      </c>
      <c r="O86" s="334" t="n"/>
      <c r="P86" s="332">
        <f>IFERROR(VLOOKUP(TEXT(O86,"0"),CONDUCTORES!$A$3:$G$54,2,0),"")</f>
        <v/>
      </c>
      <c r="Q86" s="332">
        <f>IFERROR(VLOOKUP(TEXT(O86,"0"),CONDUCTORES!$A$3:$H$54,6,0),"")</f>
        <v/>
      </c>
      <c r="R86" s="334" t="n"/>
      <c r="S86" s="334" t="n"/>
      <c r="T86" s="334" t="n"/>
      <c r="U86" s="334" t="n"/>
      <c r="V86" s="334" t="n"/>
      <c r="W86" s="334" t="n"/>
      <c r="X86" s="334" t="n"/>
      <c r="Y86" s="334" t="n"/>
      <c r="Z86" s="242">
        <f>IF(AND(G86&lt;&gt;"",R86&lt;&gt;"",V86&lt;&gt;"",W86&lt;&gt;""),"COMPLETADO","OBSERVADO")</f>
        <v/>
      </c>
      <c r="AA86" s="284" t="n"/>
    </row>
    <row r="87" ht="15.75" customHeight="1" s="195">
      <c r="A87" s="280" t="n"/>
      <c r="B87" s="280" t="n"/>
      <c r="C87" s="280" t="n"/>
      <c r="D87" s="280" t="n"/>
      <c r="E87" s="280" t="n"/>
      <c r="F87" s="280" t="n"/>
      <c r="G87" s="280" t="n"/>
      <c r="H87" s="280" t="n"/>
      <c r="I87" s="332">
        <f>IFERROR(VLOOKUP(TEXT(H87,"0"),IPRESS!$A$3:$B$212,2,0),"")</f>
        <v/>
      </c>
      <c r="J87" s="280" t="n"/>
      <c r="K87" s="332">
        <f>IFERROR(VLOOKUP(TEXT(O87,"0"),CONDUCTORES!$A$3:$G$54,7,0),"")</f>
        <v/>
      </c>
      <c r="L87" s="280" t="n"/>
      <c r="M87" s="280" t="n"/>
      <c r="N87" s="333">
        <f>IFERROR(IF(L87*M87=0,"",L87*M87),"")</f>
        <v/>
      </c>
      <c r="O87" s="280" t="n"/>
      <c r="P87" s="332">
        <f>IFERROR(VLOOKUP(TEXT(O87,"0"),CONDUCTORES!$A$3:$G$54,2,0),"")</f>
        <v/>
      </c>
      <c r="Q87" s="332">
        <f>IFERROR(VLOOKUP(TEXT(O87,"0"),CONDUCTORES!$A$3:$H$54,6,0),"")</f>
        <v/>
      </c>
      <c r="R87" s="280" t="n"/>
      <c r="S87" s="280" t="n"/>
      <c r="T87" s="280" t="n"/>
      <c r="U87" s="280" t="n"/>
      <c r="V87" s="280" t="n"/>
      <c r="W87" s="280" t="n"/>
      <c r="X87" s="280" t="n"/>
      <c r="Y87" s="280" t="n"/>
      <c r="Z87" s="236">
        <f>IF(AND(G87&lt;&gt;"",R87&lt;&gt;"",V87&lt;&gt;"",W87&lt;&gt;""),"COMPLETADO","OBSERVADO")</f>
        <v/>
      </c>
      <c r="AA87" s="284" t="n"/>
    </row>
    <row r="88" ht="15.75" customHeight="1" s="195">
      <c r="A88" s="334" t="n"/>
      <c r="B88" s="334" t="n"/>
      <c r="C88" s="334" t="n"/>
      <c r="D88" s="334" t="n"/>
      <c r="E88" s="334" t="n"/>
      <c r="F88" s="334" t="n"/>
      <c r="G88" s="334" t="n"/>
      <c r="H88" s="334" t="n"/>
      <c r="I88" s="332">
        <f>IFERROR(VLOOKUP(TEXT(H88,"0"),IPRESS!$A$3:$B$212,2,0),"")</f>
        <v/>
      </c>
      <c r="J88" s="334" t="n"/>
      <c r="K88" s="332">
        <f>IFERROR(VLOOKUP(TEXT(O88,"0"),CONDUCTORES!$A$3:$G$54,7,0),"")</f>
        <v/>
      </c>
      <c r="L88" s="334" t="n"/>
      <c r="M88" s="334" t="n"/>
      <c r="N88" s="333">
        <f>IFERROR(IF(L88*M88=0,"",L88*M88),"")</f>
        <v/>
      </c>
      <c r="O88" s="334" t="n"/>
      <c r="P88" s="332">
        <f>IFERROR(VLOOKUP(TEXT(O88,"0"),CONDUCTORES!$A$3:$G$54,2,0),"")</f>
        <v/>
      </c>
      <c r="Q88" s="332">
        <f>IFERROR(VLOOKUP(TEXT(O88,"0"),CONDUCTORES!$A$3:$H$54,6,0),"")</f>
        <v/>
      </c>
      <c r="R88" s="334" t="n"/>
      <c r="S88" s="334" t="n"/>
      <c r="T88" s="334" t="n"/>
      <c r="U88" s="334" t="n"/>
      <c r="V88" s="334" t="n"/>
      <c r="W88" s="334" t="n"/>
      <c r="X88" s="334" t="n"/>
      <c r="Y88" s="334" t="n"/>
      <c r="Z88" s="242">
        <f>IF(AND(G88&lt;&gt;"",R88&lt;&gt;"",V88&lt;&gt;"",W88&lt;&gt;""),"COMPLETADO","OBSERVADO")</f>
        <v/>
      </c>
      <c r="AA88" s="284" t="n"/>
    </row>
    <row r="89" ht="15.75" customHeight="1" s="195">
      <c r="A89" s="280" t="n"/>
      <c r="B89" s="280" t="n"/>
      <c r="C89" s="280" t="n"/>
      <c r="D89" s="280" t="n"/>
      <c r="E89" s="280" t="n"/>
      <c r="F89" s="280" t="n"/>
      <c r="G89" s="280" t="n"/>
      <c r="H89" s="280" t="n"/>
      <c r="I89" s="332">
        <f>IFERROR(VLOOKUP(TEXT(H89,"0"),IPRESS!$A$3:$B$212,2,0),"")</f>
        <v/>
      </c>
      <c r="J89" s="280" t="n"/>
      <c r="K89" s="332">
        <f>IFERROR(VLOOKUP(TEXT(O89,"0"),CONDUCTORES!$A$3:$G$54,7,0),"")</f>
        <v/>
      </c>
      <c r="L89" s="280" t="n"/>
      <c r="M89" s="280" t="n"/>
      <c r="N89" s="333">
        <f>IFERROR(IF(L89*M89=0,"",L89*M89),"")</f>
        <v/>
      </c>
      <c r="O89" s="280" t="n"/>
      <c r="P89" s="332">
        <f>IFERROR(VLOOKUP(TEXT(O89,"0"),CONDUCTORES!$A$3:$G$54,2,0),"")</f>
        <v/>
      </c>
      <c r="Q89" s="332">
        <f>IFERROR(VLOOKUP(TEXT(O89,"0"),CONDUCTORES!$A$3:$H$54,6,0),"")</f>
        <v/>
      </c>
      <c r="R89" s="280" t="n"/>
      <c r="S89" s="280" t="n"/>
      <c r="T89" s="280" t="n"/>
      <c r="U89" s="280" t="n"/>
      <c r="V89" s="280" t="n"/>
      <c r="W89" s="280" t="n"/>
      <c r="X89" s="280" t="n"/>
      <c r="Y89" s="280" t="n"/>
      <c r="Z89" s="236">
        <f>IF(AND(G89&lt;&gt;"",R89&lt;&gt;"",V89&lt;&gt;"",W89&lt;&gt;""),"COMPLETADO","OBSERVADO")</f>
        <v/>
      </c>
      <c r="AA89" s="284" t="n"/>
    </row>
    <row r="90" ht="15.75" customHeight="1" s="195">
      <c r="A90" s="334" t="n"/>
      <c r="B90" s="334" t="n"/>
      <c r="C90" s="334" t="n"/>
      <c r="D90" s="334" t="n"/>
      <c r="E90" s="334" t="n"/>
      <c r="F90" s="334" t="n"/>
      <c r="G90" s="334" t="n"/>
      <c r="H90" s="334" t="n"/>
      <c r="I90" s="332">
        <f>IFERROR(VLOOKUP(TEXT(H90,"0"),IPRESS!$A$3:$B$212,2,0),"")</f>
        <v/>
      </c>
      <c r="J90" s="334" t="n"/>
      <c r="K90" s="332">
        <f>IFERROR(VLOOKUP(TEXT(O90,"0"),CONDUCTORES!$A$3:$G$54,7,0),"")</f>
        <v/>
      </c>
      <c r="L90" s="334" t="n"/>
      <c r="M90" s="334" t="n"/>
      <c r="N90" s="333">
        <f>IFERROR(IF(L90*M90=0,"",L90*M90),"")</f>
        <v/>
      </c>
      <c r="O90" s="334" t="n"/>
      <c r="P90" s="332">
        <f>IFERROR(VLOOKUP(TEXT(O90,"0"),CONDUCTORES!$A$3:$G$54,2,0),"")</f>
        <v/>
      </c>
      <c r="Q90" s="332">
        <f>IFERROR(VLOOKUP(TEXT(O90,"0"),CONDUCTORES!$A$3:$H$54,6,0),"")</f>
        <v/>
      </c>
      <c r="R90" s="334" t="n"/>
      <c r="S90" s="334" t="n"/>
      <c r="T90" s="334" t="n"/>
      <c r="U90" s="334" t="n"/>
      <c r="V90" s="334" t="n"/>
      <c r="W90" s="334" t="n"/>
      <c r="X90" s="334" t="n"/>
      <c r="Y90" s="334" t="n"/>
      <c r="Z90" s="242">
        <f>IF(AND(G90&lt;&gt;"",R90&lt;&gt;"",V90&lt;&gt;"",W90&lt;&gt;""),"COMPLETADO","OBSERVADO")</f>
        <v/>
      </c>
      <c r="AA90" s="284" t="n"/>
    </row>
    <row r="91" ht="15.75" customHeight="1" s="195">
      <c r="A91" s="280" t="n"/>
      <c r="B91" s="280" t="n"/>
      <c r="C91" s="280" t="n"/>
      <c r="D91" s="280" t="n"/>
      <c r="E91" s="280" t="n"/>
      <c r="F91" s="280" t="n"/>
      <c r="G91" s="280" t="n"/>
      <c r="H91" s="280" t="n"/>
      <c r="I91" s="332">
        <f>IFERROR(VLOOKUP(TEXT(H91,"0"),IPRESS!$A$3:$B$212,2,0),"")</f>
        <v/>
      </c>
      <c r="J91" s="280" t="n"/>
      <c r="K91" s="332">
        <f>IFERROR(VLOOKUP(TEXT(O91,"0"),CONDUCTORES!$A$3:$G$54,7,0),"")</f>
        <v/>
      </c>
      <c r="L91" s="280" t="n"/>
      <c r="M91" s="280" t="n"/>
      <c r="N91" s="333">
        <f>IFERROR(IF(L91*M91=0,"",L91*M91),"")</f>
        <v/>
      </c>
      <c r="O91" s="280" t="n"/>
      <c r="P91" s="332">
        <f>IFERROR(VLOOKUP(TEXT(O91,"0"),CONDUCTORES!$A$3:$G$54,2,0),"")</f>
        <v/>
      </c>
      <c r="Q91" s="332">
        <f>IFERROR(VLOOKUP(TEXT(O91,"0"),CONDUCTORES!$A$3:$H$54,6,0),"")</f>
        <v/>
      </c>
      <c r="R91" s="280" t="n"/>
      <c r="S91" s="280" t="n"/>
      <c r="T91" s="280" t="n"/>
      <c r="U91" s="280" t="n"/>
      <c r="V91" s="280" t="n"/>
      <c r="W91" s="280" t="n"/>
      <c r="X91" s="280" t="n"/>
      <c r="Y91" s="280" t="n"/>
      <c r="Z91" s="236">
        <f>IF(AND(G91&lt;&gt;"",R91&lt;&gt;"",V91&lt;&gt;"",W91&lt;&gt;""),"COMPLETADO","OBSERVADO")</f>
        <v/>
      </c>
      <c r="AA91" s="284" t="n"/>
    </row>
    <row r="92" ht="15.75" customHeight="1" s="195">
      <c r="A92" s="334" t="n"/>
      <c r="B92" s="334" t="n"/>
      <c r="C92" s="334" t="n"/>
      <c r="D92" s="334" t="n"/>
      <c r="E92" s="334" t="n"/>
      <c r="F92" s="334" t="n"/>
      <c r="G92" s="334" t="n"/>
      <c r="H92" s="334" t="n"/>
      <c r="I92" s="332">
        <f>IFERROR(VLOOKUP(TEXT(H92,"0"),IPRESS!$A$3:$B$212,2,0),"")</f>
        <v/>
      </c>
      <c r="J92" s="334" t="n"/>
      <c r="K92" s="332">
        <f>IFERROR(VLOOKUP(TEXT(O92,"0"),CONDUCTORES!$A$3:$G$54,7,0),"")</f>
        <v/>
      </c>
      <c r="L92" s="334" t="n"/>
      <c r="M92" s="334" t="n"/>
      <c r="N92" s="333">
        <f>IFERROR(IF(L92*M92=0,"",L92*M92),"")</f>
        <v/>
      </c>
      <c r="O92" s="334" t="n"/>
      <c r="P92" s="332">
        <f>IFERROR(VLOOKUP(TEXT(O92,"0"),CONDUCTORES!$A$3:$G$54,2,0),"")</f>
        <v/>
      </c>
      <c r="Q92" s="332">
        <f>IFERROR(VLOOKUP(TEXT(O92,"0"),CONDUCTORES!$A$3:$H$54,6,0),"")</f>
        <v/>
      </c>
      <c r="R92" s="334" t="n"/>
      <c r="S92" s="334" t="n"/>
      <c r="T92" s="334" t="n"/>
      <c r="U92" s="334" t="n"/>
      <c r="V92" s="334" t="n"/>
      <c r="W92" s="334" t="n"/>
      <c r="X92" s="334" t="n"/>
      <c r="Y92" s="334" t="n"/>
      <c r="Z92" s="242">
        <f>IF(AND(G92&lt;&gt;"",R92&lt;&gt;"",V92&lt;&gt;"",W92&lt;&gt;""),"COMPLETADO","OBSERVADO")</f>
        <v/>
      </c>
      <c r="AA92" s="284" t="n"/>
    </row>
    <row r="93" ht="15.75" customHeight="1" s="195">
      <c r="A93" s="280" t="n"/>
      <c r="B93" s="280" t="n"/>
      <c r="C93" s="280" t="n"/>
      <c r="D93" s="280" t="n"/>
      <c r="E93" s="280" t="n"/>
      <c r="F93" s="280" t="n"/>
      <c r="G93" s="280" t="n"/>
      <c r="H93" s="280" t="n"/>
      <c r="I93" s="332">
        <f>IFERROR(VLOOKUP(TEXT(H93,"0"),IPRESS!$A$3:$B$212,2,0),"")</f>
        <v/>
      </c>
      <c r="J93" s="280" t="n"/>
      <c r="K93" s="332">
        <f>IFERROR(VLOOKUP(TEXT(O93,"0"),CONDUCTORES!$A$3:$G$54,7,0),"")</f>
        <v/>
      </c>
      <c r="L93" s="280" t="n"/>
      <c r="M93" s="280" t="n"/>
      <c r="N93" s="333">
        <f>IFERROR(IF(L93*M93=0,"",L93*M93),"")</f>
        <v/>
      </c>
      <c r="O93" s="280" t="n"/>
      <c r="P93" s="332">
        <f>IFERROR(VLOOKUP(TEXT(O93,"0"),CONDUCTORES!$A$3:$G$54,2,0),"")</f>
        <v/>
      </c>
      <c r="Q93" s="332">
        <f>IFERROR(VLOOKUP(TEXT(O93,"0"),CONDUCTORES!$A$3:$H$54,6,0),"")</f>
        <v/>
      </c>
      <c r="R93" s="280" t="n"/>
      <c r="S93" s="280" t="n"/>
      <c r="T93" s="280" t="n"/>
      <c r="U93" s="280" t="n"/>
      <c r="V93" s="280" t="n"/>
      <c r="W93" s="280" t="n"/>
      <c r="X93" s="280" t="n"/>
      <c r="Y93" s="280" t="n"/>
      <c r="Z93" s="236">
        <f>IF(AND(G93&lt;&gt;"",R93&lt;&gt;"",V93&lt;&gt;"",W93&lt;&gt;""),"COMPLETADO","OBSERVADO")</f>
        <v/>
      </c>
      <c r="AA93" s="284" t="n"/>
    </row>
    <row r="94" ht="15.75" customHeight="1" s="195">
      <c r="A94" s="334" t="n"/>
      <c r="B94" s="334" t="n"/>
      <c r="C94" s="334" t="n"/>
      <c r="D94" s="334" t="n"/>
      <c r="E94" s="334" t="n"/>
      <c r="F94" s="334" t="n"/>
      <c r="G94" s="334" t="n"/>
      <c r="H94" s="334" t="n"/>
      <c r="I94" s="332">
        <f>IFERROR(VLOOKUP(TEXT(H94,"0"),IPRESS!$A$3:$B$212,2,0),"")</f>
        <v/>
      </c>
      <c r="J94" s="334" t="n"/>
      <c r="K94" s="332">
        <f>IFERROR(VLOOKUP(TEXT(O94,"0"),CONDUCTORES!$A$3:$G$54,7,0),"")</f>
        <v/>
      </c>
      <c r="L94" s="334" t="n"/>
      <c r="M94" s="334" t="n"/>
      <c r="N94" s="333">
        <f>IFERROR(IF(L94*M94=0,"",L94*M94),"")</f>
        <v/>
      </c>
      <c r="O94" s="334" t="n"/>
      <c r="P94" s="332">
        <f>IFERROR(VLOOKUP(TEXT(O94,"0"),CONDUCTORES!$A$3:$G$54,2,0),"")</f>
        <v/>
      </c>
      <c r="Q94" s="332">
        <f>IFERROR(VLOOKUP(TEXT(O94,"0"),CONDUCTORES!$A$3:$H$54,6,0),"")</f>
        <v/>
      </c>
      <c r="R94" s="334" t="n"/>
      <c r="S94" s="334" t="n"/>
      <c r="T94" s="334" t="n"/>
      <c r="U94" s="334" t="n"/>
      <c r="V94" s="334" t="n"/>
      <c r="W94" s="334" t="n"/>
      <c r="X94" s="334" t="n"/>
      <c r="Y94" s="334" t="n"/>
      <c r="Z94" s="242">
        <f>IF(AND(G94&lt;&gt;"",R94&lt;&gt;"",V94&lt;&gt;"",W94&lt;&gt;""),"COMPLETADO","OBSERVADO")</f>
        <v/>
      </c>
      <c r="AA94" s="284" t="n"/>
    </row>
    <row r="95" ht="15.75" customHeight="1" s="195">
      <c r="A95" s="280" t="n"/>
      <c r="B95" s="280" t="n"/>
      <c r="C95" s="280" t="n"/>
      <c r="D95" s="280" t="n"/>
      <c r="E95" s="280" t="n"/>
      <c r="F95" s="280" t="n"/>
      <c r="G95" s="280" t="n"/>
      <c r="H95" s="280" t="n"/>
      <c r="I95" s="332">
        <f>IFERROR(VLOOKUP(TEXT(H95,"0"),IPRESS!$A$3:$B$212,2,0),"")</f>
        <v/>
      </c>
      <c r="J95" s="280" t="n"/>
      <c r="K95" s="332">
        <f>IFERROR(VLOOKUP(TEXT(O95,"0"),CONDUCTORES!$A$3:$G$54,7,0),"")</f>
        <v/>
      </c>
      <c r="L95" s="280" t="n"/>
      <c r="M95" s="280" t="n"/>
      <c r="N95" s="333">
        <f>IFERROR(IF(L95*M95=0,"",L95*M95),"")</f>
        <v/>
      </c>
      <c r="O95" s="280" t="n"/>
      <c r="P95" s="332">
        <f>IFERROR(VLOOKUP(TEXT(O95,"0"),CONDUCTORES!$A$3:$G$54,2,0),"")</f>
        <v/>
      </c>
      <c r="Q95" s="332">
        <f>IFERROR(VLOOKUP(TEXT(O95,"0"),CONDUCTORES!$A$3:$H$54,6,0),"")</f>
        <v/>
      </c>
      <c r="R95" s="280" t="n"/>
      <c r="S95" s="280" t="n"/>
      <c r="T95" s="280" t="n"/>
      <c r="U95" s="280" t="n"/>
      <c r="V95" s="280" t="n"/>
      <c r="W95" s="280" t="n"/>
      <c r="X95" s="280" t="n"/>
      <c r="Y95" s="280" t="n"/>
      <c r="Z95" s="236">
        <f>IF(AND(G95&lt;&gt;"",R95&lt;&gt;"",V95&lt;&gt;"",W95&lt;&gt;""),"COMPLETADO","OBSERVADO")</f>
        <v/>
      </c>
      <c r="AA95" s="284" t="n"/>
    </row>
    <row r="96" ht="15.75" customHeight="1" s="195">
      <c r="A96" s="334" t="n"/>
      <c r="B96" s="334" t="n"/>
      <c r="C96" s="334" t="n"/>
      <c r="D96" s="334" t="n"/>
      <c r="E96" s="334" t="n"/>
      <c r="F96" s="334" t="n"/>
      <c r="G96" s="334" t="n"/>
      <c r="H96" s="334" t="n"/>
      <c r="I96" s="332">
        <f>IFERROR(VLOOKUP(TEXT(H96,"0"),IPRESS!$A$3:$B$212,2,0),"")</f>
        <v/>
      </c>
      <c r="J96" s="334" t="n"/>
      <c r="K96" s="332">
        <f>IFERROR(VLOOKUP(TEXT(O96,"0"),CONDUCTORES!$A$3:$G$54,7,0),"")</f>
        <v/>
      </c>
      <c r="L96" s="334" t="n"/>
      <c r="M96" s="334" t="n"/>
      <c r="N96" s="333">
        <f>IFERROR(IF(L96*M96=0,"",L96*M96),"")</f>
        <v/>
      </c>
      <c r="O96" s="334" t="n"/>
      <c r="P96" s="332">
        <f>IFERROR(VLOOKUP(TEXT(O96,"0"),CONDUCTORES!$A$3:$G$54,2,0),"")</f>
        <v/>
      </c>
      <c r="Q96" s="332">
        <f>IFERROR(VLOOKUP(TEXT(O96,"0"),CONDUCTORES!$A$3:$H$54,6,0),"")</f>
        <v/>
      </c>
      <c r="R96" s="334" t="n"/>
      <c r="S96" s="334" t="n"/>
      <c r="T96" s="334" t="n"/>
      <c r="U96" s="334" t="n"/>
      <c r="V96" s="334" t="n"/>
      <c r="W96" s="334" t="n"/>
      <c r="X96" s="334" t="n"/>
      <c r="Y96" s="334" t="n"/>
      <c r="Z96" s="242">
        <f>IF(AND(G96&lt;&gt;"",R96&lt;&gt;"",V96&lt;&gt;"",W96&lt;&gt;""),"COMPLETADO","OBSERVADO")</f>
        <v/>
      </c>
      <c r="AA96" s="284" t="n"/>
    </row>
    <row r="97" ht="15.75" customHeight="1" s="195">
      <c r="A97" s="280" t="n"/>
      <c r="B97" s="280" t="n"/>
      <c r="C97" s="280" t="n"/>
      <c r="D97" s="280" t="n"/>
      <c r="E97" s="280" t="n"/>
      <c r="F97" s="280" t="n"/>
      <c r="G97" s="280" t="n"/>
      <c r="H97" s="280" t="n"/>
      <c r="I97" s="332">
        <f>IFERROR(VLOOKUP(TEXT(H97,"0"),IPRESS!$A$3:$B$212,2,0),"")</f>
        <v/>
      </c>
      <c r="J97" s="280" t="n"/>
      <c r="K97" s="332">
        <f>IFERROR(VLOOKUP(TEXT(O97,"0"),CONDUCTORES!$A$3:$G$54,7,0),"")</f>
        <v/>
      </c>
      <c r="L97" s="280" t="n"/>
      <c r="M97" s="280" t="n"/>
      <c r="N97" s="333">
        <f>IFERROR(IF(L97*M97=0,"",L97*M97),"")</f>
        <v/>
      </c>
      <c r="O97" s="280" t="n"/>
      <c r="P97" s="332">
        <f>IFERROR(VLOOKUP(TEXT(O97,"0"),CONDUCTORES!$A$3:$G$54,2,0),"")</f>
        <v/>
      </c>
      <c r="Q97" s="332">
        <f>IFERROR(VLOOKUP(TEXT(O97,"0"),CONDUCTORES!$A$3:$H$54,6,0),"")</f>
        <v/>
      </c>
      <c r="R97" s="280" t="n"/>
      <c r="S97" s="280" t="n"/>
      <c r="T97" s="280" t="n"/>
      <c r="U97" s="280" t="n"/>
      <c r="V97" s="280" t="n"/>
      <c r="W97" s="280" t="n"/>
      <c r="X97" s="280" t="n"/>
      <c r="Y97" s="280" t="n"/>
      <c r="Z97" s="236">
        <f>IF(AND(G97&lt;&gt;"",R97&lt;&gt;"",V97&lt;&gt;"",W97&lt;&gt;""),"COMPLETADO","OBSERVADO")</f>
        <v/>
      </c>
      <c r="AA97" s="284" t="n"/>
    </row>
    <row r="98" ht="15.75" customHeight="1" s="195">
      <c r="A98" s="334" t="n"/>
      <c r="B98" s="334" t="n"/>
      <c r="C98" s="334" t="n"/>
      <c r="D98" s="334" t="n"/>
      <c r="E98" s="334" t="n"/>
      <c r="F98" s="334" t="n"/>
      <c r="G98" s="334" t="n"/>
      <c r="H98" s="334" t="n"/>
      <c r="I98" s="332">
        <f>IFERROR(VLOOKUP(TEXT(H98,"0"),IPRESS!$A$3:$B$212,2,0),"")</f>
        <v/>
      </c>
      <c r="J98" s="334" t="n"/>
      <c r="K98" s="332">
        <f>IFERROR(VLOOKUP(TEXT(O98,"0"),CONDUCTORES!$A$3:$G$54,7,0),"")</f>
        <v/>
      </c>
      <c r="L98" s="334" t="n"/>
      <c r="M98" s="334" t="n"/>
      <c r="N98" s="333">
        <f>IFERROR(IF(L98*M98=0,"",L98*M98),"")</f>
        <v/>
      </c>
      <c r="O98" s="334" t="n"/>
      <c r="P98" s="332">
        <f>IFERROR(VLOOKUP(TEXT(O98,"0"),CONDUCTORES!$A$3:$G$54,2,0),"")</f>
        <v/>
      </c>
      <c r="Q98" s="332">
        <f>IFERROR(VLOOKUP(TEXT(O98,"0"),CONDUCTORES!$A$3:$H$54,6,0),"")</f>
        <v/>
      </c>
      <c r="R98" s="334" t="n"/>
      <c r="S98" s="334" t="n"/>
      <c r="T98" s="334" t="n"/>
      <c r="U98" s="334" t="n"/>
      <c r="V98" s="334" t="n"/>
      <c r="W98" s="334" t="n"/>
      <c r="X98" s="334" t="n"/>
      <c r="Y98" s="334" t="n"/>
      <c r="Z98" s="242">
        <f>IF(AND(G98&lt;&gt;"",R98&lt;&gt;"",V98&lt;&gt;"",W98&lt;&gt;""),"COMPLETADO","OBSERVADO")</f>
        <v/>
      </c>
      <c r="AA98" s="284" t="n"/>
    </row>
    <row r="99" ht="15.75" customHeight="1" s="195">
      <c r="A99" s="280" t="n"/>
      <c r="B99" s="280" t="n"/>
      <c r="C99" s="280" t="n"/>
      <c r="D99" s="280" t="n"/>
      <c r="E99" s="280" t="n"/>
      <c r="F99" s="280" t="n"/>
      <c r="G99" s="280" t="n"/>
      <c r="H99" s="280" t="n"/>
      <c r="I99" s="332">
        <f>IFERROR(VLOOKUP(TEXT(H99,"0"),IPRESS!$A$3:$B$212,2,0),"")</f>
        <v/>
      </c>
      <c r="J99" s="280" t="n"/>
      <c r="K99" s="332">
        <f>IFERROR(VLOOKUP(TEXT(O99,"0"),CONDUCTORES!$A$3:$G$54,7,0),"")</f>
        <v/>
      </c>
      <c r="L99" s="280" t="n"/>
      <c r="M99" s="280" t="n"/>
      <c r="N99" s="333">
        <f>IFERROR(IF(L99*M99=0,"",L99*M99),"")</f>
        <v/>
      </c>
      <c r="O99" s="280" t="n"/>
      <c r="P99" s="332">
        <f>IFERROR(VLOOKUP(TEXT(O99,"0"),CONDUCTORES!$A$3:$G$54,2,0),"")</f>
        <v/>
      </c>
      <c r="Q99" s="332">
        <f>IFERROR(VLOOKUP(TEXT(O99,"0"),CONDUCTORES!$A$3:$H$54,6,0),"")</f>
        <v/>
      </c>
      <c r="R99" s="280" t="n"/>
      <c r="S99" s="280" t="n"/>
      <c r="T99" s="280" t="n"/>
      <c r="U99" s="280" t="n"/>
      <c r="V99" s="280" t="n"/>
      <c r="W99" s="280" t="n"/>
      <c r="X99" s="280" t="n"/>
      <c r="Y99" s="280" t="n"/>
      <c r="Z99" s="236">
        <f>IF(AND(G99&lt;&gt;"",R99&lt;&gt;"",V99&lt;&gt;"",W99&lt;&gt;""),"COMPLETADO","OBSERVADO")</f>
        <v/>
      </c>
      <c r="AA99" s="284" t="n"/>
    </row>
    <row r="100" ht="15.75" customHeight="1" s="195">
      <c r="A100" s="334" t="n"/>
      <c r="B100" s="334" t="n"/>
      <c r="C100" s="334" t="n"/>
      <c r="D100" s="334" t="n"/>
      <c r="E100" s="334" t="n"/>
      <c r="F100" s="334" t="n"/>
      <c r="G100" s="334" t="n"/>
      <c r="H100" s="334" t="n"/>
      <c r="I100" s="332">
        <f>IFERROR(VLOOKUP(TEXT(H100,"0"),IPRESS!$A$3:$B$212,2,0),"")</f>
        <v/>
      </c>
      <c r="J100" s="334" t="n"/>
      <c r="K100" s="332">
        <f>IFERROR(VLOOKUP(TEXT(O100,"0"),CONDUCTORES!$A$3:$G$54,7,0),"")</f>
        <v/>
      </c>
      <c r="L100" s="334" t="n"/>
      <c r="M100" s="334" t="n"/>
      <c r="N100" s="333">
        <f>IFERROR(IF(L100*M100=0,"",L100*M100),"")</f>
        <v/>
      </c>
      <c r="O100" s="334" t="n"/>
      <c r="P100" s="332">
        <f>IFERROR(VLOOKUP(TEXT(O100,"0"),CONDUCTORES!$A$3:$G$54,2,0),"")</f>
        <v/>
      </c>
      <c r="Q100" s="332">
        <f>IFERROR(VLOOKUP(TEXT(O100,"0"),CONDUCTORES!$A$3:$H$54,6,0),"")</f>
        <v/>
      </c>
      <c r="R100" s="334" t="n"/>
      <c r="S100" s="334" t="n"/>
      <c r="T100" s="334" t="n"/>
      <c r="U100" s="334" t="n"/>
      <c r="V100" s="334" t="n"/>
      <c r="W100" s="334" t="n"/>
      <c r="X100" s="334" t="n"/>
      <c r="Y100" s="334" t="n"/>
      <c r="Z100" s="242">
        <f>IF(AND(G100&lt;&gt;"",R100&lt;&gt;"",V100&lt;&gt;"",W100&lt;&gt;""),"COMPLETADO","OBSERVADO")</f>
        <v/>
      </c>
      <c r="AA100" s="284" t="n"/>
    </row>
    <row r="101" ht="15.75" customHeight="1" s="195">
      <c r="A101" s="280" t="n"/>
      <c r="B101" s="280" t="n"/>
      <c r="C101" s="280" t="n"/>
      <c r="D101" s="280" t="n"/>
      <c r="E101" s="280" t="n"/>
      <c r="F101" s="280" t="n"/>
      <c r="G101" s="280" t="n"/>
      <c r="H101" s="280" t="n"/>
      <c r="I101" s="332">
        <f>IFERROR(VLOOKUP(TEXT(H101,"0"),IPRESS!$A$3:$B$212,2,0),"")</f>
        <v/>
      </c>
      <c r="J101" s="280" t="n"/>
      <c r="K101" s="332">
        <f>IFERROR(VLOOKUP(TEXT(O101,"0"),CONDUCTORES!$A$3:$G$54,7,0),"")</f>
        <v/>
      </c>
      <c r="L101" s="280" t="n"/>
      <c r="M101" s="280" t="n"/>
      <c r="N101" s="333">
        <f>IFERROR(IF(L101*M101=0,"",L101*M101),"")</f>
        <v/>
      </c>
      <c r="O101" s="280" t="n"/>
      <c r="P101" s="332">
        <f>IFERROR(VLOOKUP(TEXT(O101,"0"),CONDUCTORES!$A$3:$G$54,2,0),"")</f>
        <v/>
      </c>
      <c r="Q101" s="332">
        <f>IFERROR(VLOOKUP(TEXT(O101,"0"),CONDUCTORES!$A$3:$H$54,6,0),"")</f>
        <v/>
      </c>
      <c r="R101" s="280" t="n"/>
      <c r="S101" s="280" t="n"/>
      <c r="T101" s="280" t="n"/>
      <c r="U101" s="280" t="n"/>
      <c r="V101" s="280" t="n"/>
      <c r="W101" s="280" t="n"/>
      <c r="X101" s="280" t="n"/>
      <c r="Y101" s="280" t="n"/>
      <c r="Z101" s="236">
        <f>IF(AND(G101&lt;&gt;"",R101&lt;&gt;"",V101&lt;&gt;"",W101&lt;&gt;""),"COMPLETADO","OBSERVADO")</f>
        <v/>
      </c>
      <c r="AA101" s="284" t="n"/>
    </row>
    <row r="102" ht="15.75" customHeight="1" s="195">
      <c r="A102" s="334" t="n"/>
      <c r="B102" s="334" t="n"/>
      <c r="C102" s="334" t="n"/>
      <c r="D102" s="334" t="n"/>
      <c r="E102" s="334" t="n"/>
      <c r="F102" s="334" t="n"/>
      <c r="G102" s="334" t="n"/>
      <c r="H102" s="334" t="n"/>
      <c r="I102" s="332">
        <f>IFERROR(VLOOKUP(TEXT(H102,"0"),IPRESS!$A$3:$B$212,2,0),"")</f>
        <v/>
      </c>
      <c r="J102" s="334" t="n"/>
      <c r="K102" s="332">
        <f>IFERROR(VLOOKUP(TEXT(O102,"0"),CONDUCTORES!$A$3:$G$54,7,0),"")</f>
        <v/>
      </c>
      <c r="L102" s="334" t="n"/>
      <c r="M102" s="334" t="n"/>
      <c r="N102" s="333">
        <f>IFERROR(IF(L102*M102=0,"",L102*M102),"")</f>
        <v/>
      </c>
      <c r="O102" s="334" t="n"/>
      <c r="P102" s="332">
        <f>IFERROR(VLOOKUP(TEXT(O102,"0"),CONDUCTORES!$A$3:$G$54,2,0),"")</f>
        <v/>
      </c>
      <c r="Q102" s="332">
        <f>IFERROR(VLOOKUP(TEXT(O102,"0"),CONDUCTORES!$A$3:$H$54,6,0),"")</f>
        <v/>
      </c>
      <c r="R102" s="334" t="n"/>
      <c r="S102" s="334" t="n"/>
      <c r="T102" s="334" t="n"/>
      <c r="U102" s="334" t="n"/>
      <c r="V102" s="334" t="n"/>
      <c r="W102" s="334" t="n"/>
      <c r="X102" s="334" t="n"/>
      <c r="Y102" s="334" t="n"/>
      <c r="Z102" s="242">
        <f>IF(AND(G102&lt;&gt;"",R102&lt;&gt;"",V102&lt;&gt;"",W102&lt;&gt;""),"COMPLETADO","OBSERVADO")</f>
        <v/>
      </c>
      <c r="AA102" s="284" t="n"/>
    </row>
    <row r="103" ht="15.75" customHeight="1" s="195">
      <c r="A103" s="280" t="n"/>
      <c r="B103" s="280" t="n"/>
      <c r="C103" s="280" t="n"/>
      <c r="D103" s="280" t="n"/>
      <c r="E103" s="280" t="n"/>
      <c r="F103" s="280" t="n"/>
      <c r="G103" s="280" t="n"/>
      <c r="H103" s="280" t="n"/>
      <c r="I103" s="332">
        <f>IFERROR(VLOOKUP(TEXT(H103,"0"),IPRESS!$A$3:$B$212,2,0),"")</f>
        <v/>
      </c>
      <c r="J103" s="280" t="n"/>
      <c r="K103" s="332">
        <f>IFERROR(VLOOKUP(TEXT(O103,"0"),CONDUCTORES!$A$3:$G$54,7,0),"")</f>
        <v/>
      </c>
      <c r="L103" s="280" t="n"/>
      <c r="M103" s="280" t="n"/>
      <c r="N103" s="333">
        <f>IFERROR(IF(L103*M103=0,"",L103*M103),"")</f>
        <v/>
      </c>
      <c r="O103" s="280" t="n"/>
      <c r="P103" s="332">
        <f>IFERROR(VLOOKUP(TEXT(O103,"0"),CONDUCTORES!$A$3:$G$54,2,0),"")</f>
        <v/>
      </c>
      <c r="Q103" s="332">
        <f>IFERROR(VLOOKUP(TEXT(O103,"0"),CONDUCTORES!$A$3:$H$54,6,0),"")</f>
        <v/>
      </c>
      <c r="R103" s="280" t="n"/>
      <c r="S103" s="280" t="n"/>
      <c r="T103" s="280" t="n"/>
      <c r="U103" s="280" t="n"/>
      <c r="V103" s="280" t="n"/>
      <c r="W103" s="280" t="n"/>
      <c r="X103" s="280" t="n"/>
      <c r="Y103" s="280" t="n"/>
      <c r="Z103" s="236">
        <f>IF(AND(G103&lt;&gt;"",R103&lt;&gt;"",V103&lt;&gt;"",W103&lt;&gt;""),"COMPLETADO","OBSERVADO")</f>
        <v/>
      </c>
      <c r="AA103" s="284" t="n"/>
    </row>
    <row r="104" ht="15.75" customHeight="1" s="195">
      <c r="A104" s="334" t="n"/>
      <c r="B104" s="334" t="n"/>
      <c r="C104" s="334" t="n"/>
      <c r="D104" s="334" t="n"/>
      <c r="E104" s="334" t="n"/>
      <c r="F104" s="334" t="n"/>
      <c r="G104" s="334" t="n"/>
      <c r="H104" s="334" t="n"/>
      <c r="I104" s="332">
        <f>IFERROR(VLOOKUP(TEXT(H104,"0"),IPRESS!$A$3:$B$212,2,0),"")</f>
        <v/>
      </c>
      <c r="J104" s="334" t="n"/>
      <c r="K104" s="332">
        <f>IFERROR(VLOOKUP(TEXT(O104,"0"),CONDUCTORES!$A$3:$G$54,7,0),"")</f>
        <v/>
      </c>
      <c r="L104" s="334" t="n"/>
      <c r="M104" s="334" t="n"/>
      <c r="N104" s="333">
        <f>IFERROR(IF(L104*M104=0,"",L104*M104),"")</f>
        <v/>
      </c>
      <c r="O104" s="334" t="n"/>
      <c r="P104" s="332">
        <f>IFERROR(VLOOKUP(TEXT(O104,"0"),CONDUCTORES!$A$3:$G$54,2,0),"")</f>
        <v/>
      </c>
      <c r="Q104" s="332">
        <f>IFERROR(VLOOKUP(TEXT(O104,"0"),CONDUCTORES!$A$3:$H$54,6,0),"")</f>
        <v/>
      </c>
      <c r="R104" s="334" t="n"/>
      <c r="S104" s="334" t="n"/>
      <c r="T104" s="334" t="n"/>
      <c r="U104" s="334" t="n"/>
      <c r="V104" s="334" t="n"/>
      <c r="W104" s="334" t="n"/>
      <c r="X104" s="334" t="n"/>
      <c r="Y104" s="334" t="n"/>
      <c r="Z104" s="242">
        <f>IF(AND(G104&lt;&gt;"",R104&lt;&gt;"",V104&lt;&gt;"",W104&lt;&gt;""),"COMPLETADO","OBSERVADO")</f>
        <v/>
      </c>
      <c r="AA104" s="284" t="n"/>
    </row>
    <row r="105" ht="15.75" customHeight="1" s="195">
      <c r="A105" s="280" t="n"/>
      <c r="B105" s="280" t="n"/>
      <c r="C105" s="280" t="n"/>
      <c r="D105" s="280" t="n"/>
      <c r="E105" s="280" t="n"/>
      <c r="F105" s="280" t="n"/>
      <c r="G105" s="280" t="n"/>
      <c r="H105" s="280" t="n"/>
      <c r="I105" s="332">
        <f>IFERROR(VLOOKUP(TEXT(H105,"0"),IPRESS!$A$3:$B$212,2,0),"")</f>
        <v/>
      </c>
      <c r="J105" s="280" t="n"/>
      <c r="K105" s="332">
        <f>IFERROR(VLOOKUP(TEXT(O105,"0"),CONDUCTORES!$A$3:$G$54,7,0),"")</f>
        <v/>
      </c>
      <c r="L105" s="280" t="n"/>
      <c r="M105" s="280" t="n"/>
      <c r="N105" s="333">
        <f>IFERROR(IF(L105*M105=0,"",L105*M105),"")</f>
        <v/>
      </c>
      <c r="O105" s="280" t="n"/>
      <c r="P105" s="332">
        <f>IFERROR(VLOOKUP(TEXT(O105,"0"),CONDUCTORES!$A$3:$G$54,2,0),"")</f>
        <v/>
      </c>
      <c r="Q105" s="332">
        <f>IFERROR(VLOOKUP(TEXT(O105,"0"),CONDUCTORES!$A$3:$H$54,6,0),"")</f>
        <v/>
      </c>
      <c r="R105" s="280" t="n"/>
      <c r="S105" s="280" t="n"/>
      <c r="T105" s="280" t="n"/>
      <c r="U105" s="280" t="n"/>
      <c r="V105" s="280" t="n"/>
      <c r="W105" s="280" t="n"/>
      <c r="X105" s="280" t="n"/>
      <c r="Y105" s="280" t="n"/>
      <c r="Z105" s="236">
        <f>IF(AND(G105&lt;&gt;"",R105&lt;&gt;"",V105&lt;&gt;"",W105&lt;&gt;""),"COMPLETADO","OBSERVADO")</f>
        <v/>
      </c>
      <c r="AA105" s="284" t="n"/>
    </row>
    <row r="106" ht="15.75" customHeight="1" s="195">
      <c r="A106" s="334" t="n"/>
      <c r="B106" s="334" t="n"/>
      <c r="C106" s="334" t="n"/>
      <c r="D106" s="334" t="n"/>
      <c r="E106" s="334" t="n"/>
      <c r="F106" s="334" t="n"/>
      <c r="G106" s="334" t="n"/>
      <c r="H106" s="334" t="n"/>
      <c r="I106" s="332">
        <f>IFERROR(VLOOKUP(TEXT(H106,"0"),IPRESS!$A$3:$B$212,2,0),"")</f>
        <v/>
      </c>
      <c r="J106" s="334" t="n"/>
      <c r="K106" s="332">
        <f>IFERROR(VLOOKUP(TEXT(O106,"0"),CONDUCTORES!$A$3:$G$54,7,0),"")</f>
        <v/>
      </c>
      <c r="L106" s="334" t="n"/>
      <c r="M106" s="334" t="n"/>
      <c r="N106" s="333">
        <f>IFERROR(IF(L106*M106=0,"",L106*M106),"")</f>
        <v/>
      </c>
      <c r="O106" s="334" t="n"/>
      <c r="P106" s="332">
        <f>IFERROR(VLOOKUP(TEXT(O106,"0"),CONDUCTORES!$A$3:$G$54,2,0),"")</f>
        <v/>
      </c>
      <c r="Q106" s="332">
        <f>IFERROR(VLOOKUP(TEXT(O106,"0"),CONDUCTORES!$A$3:$H$54,6,0),"")</f>
        <v/>
      </c>
      <c r="R106" s="334" t="n"/>
      <c r="S106" s="334" t="n"/>
      <c r="T106" s="334" t="n"/>
      <c r="U106" s="334" t="n"/>
      <c r="V106" s="334" t="n"/>
      <c r="W106" s="334" t="n"/>
      <c r="X106" s="334" t="n"/>
      <c r="Y106" s="334" t="n"/>
      <c r="Z106" s="242">
        <f>IF(AND(G106&lt;&gt;"",R106&lt;&gt;"",V106&lt;&gt;"",W106&lt;&gt;""),"COMPLETADO","OBSERVADO")</f>
        <v/>
      </c>
      <c r="AA106" s="284" t="n"/>
    </row>
    <row r="107" ht="15.75" customHeight="1" s="195">
      <c r="A107" s="280" t="n"/>
      <c r="B107" s="280" t="n"/>
      <c r="C107" s="280" t="n"/>
      <c r="D107" s="280" t="n"/>
      <c r="E107" s="280" t="n"/>
      <c r="F107" s="280" t="n"/>
      <c r="G107" s="280" t="n"/>
      <c r="H107" s="280" t="n"/>
      <c r="I107" s="332">
        <f>IFERROR(VLOOKUP(TEXT(H107,"0"),IPRESS!$A$3:$B$212,2,0),"")</f>
        <v/>
      </c>
      <c r="J107" s="280" t="n"/>
      <c r="K107" s="332">
        <f>IFERROR(VLOOKUP(TEXT(O107,"0"),CONDUCTORES!$A$3:$G$54,7,0),"")</f>
        <v/>
      </c>
      <c r="L107" s="280" t="n"/>
      <c r="M107" s="280" t="n"/>
      <c r="N107" s="333">
        <f>IFERROR(IF(L107*M107=0,"",L107*M107),"")</f>
        <v/>
      </c>
      <c r="O107" s="280" t="n"/>
      <c r="P107" s="332">
        <f>IFERROR(VLOOKUP(TEXT(O107,"0"),CONDUCTORES!$A$3:$G$54,2,0),"")</f>
        <v/>
      </c>
      <c r="Q107" s="332">
        <f>IFERROR(VLOOKUP(TEXT(O107,"0"),CONDUCTORES!$A$3:$H$54,6,0),"")</f>
        <v/>
      </c>
      <c r="R107" s="280" t="n"/>
      <c r="S107" s="280" t="n"/>
      <c r="T107" s="280" t="n"/>
      <c r="U107" s="280" t="n"/>
      <c r="V107" s="280" t="n"/>
      <c r="W107" s="280" t="n"/>
      <c r="X107" s="280" t="n"/>
      <c r="Y107" s="280" t="n"/>
      <c r="Z107" s="236">
        <f>IF(AND(G107&lt;&gt;"",R107&lt;&gt;"",V107&lt;&gt;"",W107&lt;&gt;""),"COMPLETADO","OBSERVADO")</f>
        <v/>
      </c>
      <c r="AA107" s="284" t="n"/>
    </row>
    <row r="108" ht="15.75" customHeight="1" s="195">
      <c r="A108" s="334" t="n"/>
      <c r="B108" s="334" t="n"/>
      <c r="C108" s="334" t="n"/>
      <c r="D108" s="334" t="n"/>
      <c r="E108" s="334" t="n"/>
      <c r="F108" s="334" t="n"/>
      <c r="G108" s="334" t="n"/>
      <c r="H108" s="334" t="n"/>
      <c r="I108" s="332">
        <f>IFERROR(VLOOKUP(TEXT(H108,"0"),IPRESS!$A$3:$B$212,2,0),"")</f>
        <v/>
      </c>
      <c r="J108" s="334" t="n"/>
      <c r="K108" s="332">
        <f>IFERROR(VLOOKUP(TEXT(O108,"0"),CONDUCTORES!$A$3:$G$54,7,0),"")</f>
        <v/>
      </c>
      <c r="L108" s="334" t="n"/>
      <c r="M108" s="334" t="n"/>
      <c r="N108" s="333">
        <f>IFERROR(IF(L108*M108=0,"",L108*M108),"")</f>
        <v/>
      </c>
      <c r="O108" s="334" t="n"/>
      <c r="P108" s="332">
        <f>IFERROR(VLOOKUP(TEXT(O108,"0"),CONDUCTORES!$A$3:$G$54,2,0),"")</f>
        <v/>
      </c>
      <c r="Q108" s="332">
        <f>IFERROR(VLOOKUP(TEXT(O108,"0"),CONDUCTORES!$A$3:$H$54,6,0),"")</f>
        <v/>
      </c>
      <c r="R108" s="334" t="n"/>
      <c r="S108" s="334" t="n"/>
      <c r="T108" s="334" t="n"/>
      <c r="U108" s="334" t="n"/>
      <c r="V108" s="334" t="n"/>
      <c r="W108" s="334" t="n"/>
      <c r="X108" s="334" t="n"/>
      <c r="Y108" s="334" t="n"/>
      <c r="Z108" s="242">
        <f>IF(AND(G108&lt;&gt;"",R108&lt;&gt;"",V108&lt;&gt;"",W108&lt;&gt;""),"COMPLETADO","OBSERVADO")</f>
        <v/>
      </c>
      <c r="AA108" s="284" t="n"/>
    </row>
    <row r="109" ht="15.75" customHeight="1" s="195">
      <c r="A109" s="280" t="n"/>
      <c r="B109" s="280" t="n"/>
      <c r="C109" s="280" t="n"/>
      <c r="D109" s="280" t="n"/>
      <c r="E109" s="280" t="n"/>
      <c r="F109" s="280" t="n"/>
      <c r="G109" s="280" t="n"/>
      <c r="H109" s="280" t="n"/>
      <c r="I109" s="332">
        <f>IFERROR(VLOOKUP(TEXT(H109,"0"),IPRESS!$A$3:$B$212,2,0),"")</f>
        <v/>
      </c>
      <c r="J109" s="280" t="n"/>
      <c r="K109" s="332">
        <f>IFERROR(VLOOKUP(TEXT(O109,"0"),CONDUCTORES!$A$3:$G$54,7,0),"")</f>
        <v/>
      </c>
      <c r="L109" s="280" t="n"/>
      <c r="M109" s="280" t="n"/>
      <c r="N109" s="333">
        <f>IFERROR(IF(L109*M109=0,"",L109*M109),"")</f>
        <v/>
      </c>
      <c r="O109" s="280" t="n"/>
      <c r="P109" s="332">
        <f>IFERROR(VLOOKUP(TEXT(O109,"0"),CONDUCTORES!$A$3:$G$54,2,0),"")</f>
        <v/>
      </c>
      <c r="Q109" s="332">
        <f>IFERROR(VLOOKUP(TEXT(O109,"0"),CONDUCTORES!$A$3:$H$54,6,0),"")</f>
        <v/>
      </c>
      <c r="R109" s="280" t="n"/>
      <c r="S109" s="280" t="n"/>
      <c r="T109" s="280" t="n"/>
      <c r="U109" s="280" t="n"/>
      <c r="V109" s="280" t="n"/>
      <c r="W109" s="280" t="n"/>
      <c r="X109" s="280" t="n"/>
      <c r="Y109" s="280" t="n"/>
      <c r="Z109" s="236">
        <f>IF(AND(G109&lt;&gt;"",R109&lt;&gt;"",V109&lt;&gt;"",W109&lt;&gt;""),"COMPLETADO","OBSERVADO")</f>
        <v/>
      </c>
      <c r="AA109" s="284" t="n"/>
    </row>
    <row r="110" ht="15.75" customHeight="1" s="195">
      <c r="A110" s="334" t="n"/>
      <c r="B110" s="334" t="n"/>
      <c r="C110" s="334" t="n"/>
      <c r="D110" s="334" t="n"/>
      <c r="E110" s="334" t="n"/>
      <c r="F110" s="334" t="n"/>
      <c r="G110" s="334" t="n"/>
      <c r="H110" s="334" t="n"/>
      <c r="I110" s="332">
        <f>IFERROR(VLOOKUP(TEXT(H110,"0"),IPRESS!$A$3:$B$212,2,0),"")</f>
        <v/>
      </c>
      <c r="J110" s="334" t="n"/>
      <c r="K110" s="332">
        <f>IFERROR(VLOOKUP(TEXT(O110,"0"),CONDUCTORES!$A$3:$G$54,7,0),"")</f>
        <v/>
      </c>
      <c r="L110" s="334" t="n"/>
      <c r="M110" s="334" t="n"/>
      <c r="N110" s="333">
        <f>IFERROR(IF(L110*M110=0,"",L110*M110),"")</f>
        <v/>
      </c>
      <c r="O110" s="334" t="n"/>
      <c r="P110" s="332">
        <f>IFERROR(VLOOKUP(TEXT(O110,"0"),CONDUCTORES!$A$3:$G$54,2,0),"")</f>
        <v/>
      </c>
      <c r="Q110" s="332">
        <f>IFERROR(VLOOKUP(TEXT(O110,"0"),CONDUCTORES!$A$3:$H$54,6,0),"")</f>
        <v/>
      </c>
      <c r="R110" s="334" t="n"/>
      <c r="S110" s="334" t="n"/>
      <c r="T110" s="334" t="n"/>
      <c r="U110" s="334" t="n"/>
      <c r="V110" s="334" t="n"/>
      <c r="W110" s="334" t="n"/>
      <c r="X110" s="334" t="n"/>
      <c r="Y110" s="334" t="n"/>
      <c r="Z110" s="242">
        <f>IF(AND(G110&lt;&gt;"",R110&lt;&gt;"",V110&lt;&gt;"",W110&lt;&gt;""),"COMPLETADO","OBSERVADO")</f>
        <v/>
      </c>
      <c r="AA110" s="284" t="n"/>
    </row>
    <row r="111" ht="15" customHeight="1" s="195">
      <c r="A111" s="280" t="n"/>
      <c r="B111" s="280" t="n"/>
      <c r="C111" s="280" t="n"/>
      <c r="D111" s="280" t="n"/>
      <c r="E111" s="280" t="n"/>
      <c r="F111" s="280" t="n"/>
      <c r="G111" s="280" t="n"/>
      <c r="H111" s="280" t="n"/>
      <c r="I111" s="280" t="n"/>
      <c r="J111" s="280" t="n"/>
      <c r="K111" s="280" t="n"/>
      <c r="L111" s="280" t="n"/>
      <c r="M111" s="280" t="n"/>
      <c r="N111" s="374" t="n"/>
      <c r="O111" s="280" t="n"/>
      <c r="P111" s="280" t="n"/>
      <c r="Q111" s="280" t="n"/>
      <c r="R111" s="280" t="n"/>
      <c r="S111" s="280" t="n"/>
      <c r="T111" s="280" t="n"/>
      <c r="U111" s="280" t="n"/>
      <c r="V111" s="280" t="n"/>
      <c r="W111" s="280" t="n"/>
      <c r="X111" s="280" t="n"/>
      <c r="Y111" s="280" t="n"/>
      <c r="Z111" s="280" t="n"/>
      <c r="AA111" s="284" t="n"/>
    </row>
    <row r="112" ht="15" customHeight="1" s="195">
      <c r="A112" s="280" t="n"/>
      <c r="B112" s="280" t="n"/>
      <c r="C112" s="280" t="n"/>
      <c r="D112" s="280" t="n"/>
      <c r="E112" s="280" t="n"/>
      <c r="F112" s="280" t="n"/>
      <c r="G112" s="280" t="n"/>
      <c r="H112" s="280" t="n"/>
      <c r="I112" s="280" t="n"/>
      <c r="J112" s="280" t="n"/>
      <c r="K112" s="280" t="n"/>
      <c r="L112" s="280" t="n"/>
      <c r="M112" s="280" t="n"/>
      <c r="N112" s="374" t="n"/>
      <c r="O112" s="280" t="n"/>
      <c r="P112" s="280" t="n"/>
      <c r="Q112" s="280" t="n"/>
      <c r="R112" s="280" t="n"/>
      <c r="S112" s="280" t="n"/>
      <c r="T112" s="280" t="n"/>
      <c r="U112" s="280" t="n"/>
      <c r="V112" s="280" t="n"/>
      <c r="W112" s="280" t="n"/>
      <c r="X112" s="280" t="n"/>
      <c r="Y112" s="280" t="n"/>
      <c r="Z112" s="280" t="n"/>
      <c r="AA112" s="284" t="n"/>
    </row>
    <row r="113" ht="15" customHeight="1" s="195">
      <c r="A113" s="280" t="n"/>
      <c r="B113" s="280" t="n"/>
      <c r="C113" s="280" t="n"/>
      <c r="D113" s="280" t="n"/>
      <c r="E113" s="280" t="n"/>
      <c r="F113" s="280" t="n"/>
      <c r="G113" s="280" t="n"/>
      <c r="H113" s="280" t="n"/>
      <c r="I113" s="280" t="n"/>
      <c r="J113" s="280" t="n"/>
      <c r="K113" s="280" t="n"/>
      <c r="L113" s="280" t="n"/>
      <c r="M113" s="280" t="n"/>
      <c r="N113" s="374" t="n"/>
      <c r="O113" s="280" t="n"/>
      <c r="P113" s="280" t="n"/>
      <c r="Q113" s="280" t="n"/>
      <c r="R113" s="280" t="n"/>
      <c r="S113" s="280" t="n"/>
      <c r="T113" s="280" t="n"/>
      <c r="U113" s="280" t="n"/>
      <c r="V113" s="280" t="n"/>
      <c r="W113" s="280" t="n"/>
      <c r="X113" s="280" t="n"/>
      <c r="Y113" s="280" t="n"/>
      <c r="Z113" s="280" t="n"/>
      <c r="AA113" s="284" t="n"/>
    </row>
    <row r="114" ht="15" customHeight="1" s="195">
      <c r="A114" s="280" t="n"/>
      <c r="B114" s="280" t="n"/>
      <c r="C114" s="280" t="n"/>
      <c r="D114" s="280" t="n"/>
      <c r="E114" s="280" t="n"/>
      <c r="F114" s="280" t="n"/>
      <c r="G114" s="280" t="n"/>
      <c r="H114" s="280" t="n"/>
      <c r="I114" s="280" t="n"/>
      <c r="J114" s="280" t="n"/>
      <c r="K114" s="280" t="n"/>
      <c r="L114" s="280" t="n"/>
      <c r="M114" s="280" t="n"/>
      <c r="N114" s="374" t="n"/>
      <c r="O114" s="280" t="n"/>
      <c r="P114" s="280" t="n"/>
      <c r="Q114" s="280" t="n"/>
      <c r="R114" s="280" t="n"/>
      <c r="S114" s="280" t="n"/>
      <c r="T114" s="280" t="n"/>
      <c r="U114" s="280" t="n"/>
      <c r="V114" s="280" t="n"/>
      <c r="W114" s="280" t="n"/>
      <c r="X114" s="280" t="n"/>
      <c r="Y114" s="280" t="n"/>
      <c r="Z114" s="280" t="n"/>
      <c r="AA114" s="284" t="n"/>
    </row>
    <row r="115" ht="15" customHeight="1" s="195">
      <c r="A115" s="280" t="n"/>
      <c r="B115" s="280" t="n"/>
      <c r="C115" s="280" t="n"/>
      <c r="D115" s="280" t="n"/>
      <c r="E115" s="280" t="n"/>
      <c r="F115" s="280" t="n"/>
      <c r="G115" s="280" t="n"/>
      <c r="H115" s="280" t="n"/>
      <c r="I115" s="280" t="n"/>
      <c r="J115" s="280" t="n"/>
      <c r="K115" s="280" t="n"/>
      <c r="L115" s="280" t="n"/>
      <c r="M115" s="280" t="n"/>
      <c r="N115" s="374" t="n"/>
      <c r="O115" s="280" t="n"/>
      <c r="P115" s="280" t="n"/>
      <c r="Q115" s="280" t="n"/>
      <c r="R115" s="280" t="n"/>
      <c r="S115" s="280" t="n"/>
      <c r="T115" s="280" t="n"/>
      <c r="U115" s="280" t="n"/>
      <c r="V115" s="280" t="n"/>
      <c r="W115" s="280" t="n"/>
      <c r="X115" s="280" t="n"/>
      <c r="Y115" s="280" t="n"/>
      <c r="Z115" s="280" t="n"/>
      <c r="AA115" s="284" t="n"/>
    </row>
    <row r="116" ht="15" customHeight="1" s="195">
      <c r="A116" s="280" t="n"/>
      <c r="B116" s="280" t="n"/>
      <c r="C116" s="280" t="n"/>
      <c r="D116" s="280" t="n"/>
      <c r="E116" s="280" t="n"/>
      <c r="F116" s="280" t="n"/>
      <c r="G116" s="280" t="n"/>
      <c r="H116" s="280" t="n"/>
      <c r="I116" s="280" t="n"/>
      <c r="J116" s="280" t="n"/>
      <c r="K116" s="280" t="n"/>
      <c r="L116" s="280" t="n"/>
      <c r="M116" s="280" t="n"/>
      <c r="N116" s="374" t="n"/>
      <c r="O116" s="280" t="n"/>
      <c r="P116" s="280" t="n"/>
      <c r="Q116" s="280" t="n"/>
      <c r="R116" s="280" t="n"/>
      <c r="S116" s="280" t="n"/>
      <c r="T116" s="280" t="n"/>
      <c r="U116" s="280" t="n"/>
      <c r="V116" s="280" t="n"/>
      <c r="W116" s="280" t="n"/>
      <c r="X116" s="280" t="n"/>
      <c r="Y116" s="280" t="n"/>
      <c r="Z116" s="280" t="n"/>
      <c r="AA116" s="284" t="n"/>
    </row>
    <row r="117" ht="15" customHeight="1" s="195">
      <c r="A117" s="280" t="n"/>
      <c r="B117" s="280" t="n"/>
      <c r="C117" s="280" t="n"/>
      <c r="D117" s="280" t="n"/>
      <c r="E117" s="280" t="n"/>
      <c r="F117" s="280" t="n"/>
      <c r="G117" s="280" t="n"/>
      <c r="H117" s="280" t="n"/>
      <c r="I117" s="280" t="n"/>
      <c r="J117" s="280" t="n"/>
      <c r="K117" s="280" t="n"/>
      <c r="L117" s="280" t="n"/>
      <c r="M117" s="280" t="n"/>
      <c r="N117" s="374" t="n"/>
      <c r="O117" s="280" t="n"/>
      <c r="P117" s="280" t="n"/>
      <c r="Q117" s="280" t="n"/>
      <c r="R117" s="280" t="n"/>
      <c r="S117" s="280" t="n"/>
      <c r="T117" s="280" t="n"/>
      <c r="U117" s="280" t="n"/>
      <c r="V117" s="280" t="n"/>
      <c r="W117" s="280" t="n"/>
      <c r="X117" s="280" t="n"/>
      <c r="Y117" s="280" t="n"/>
      <c r="Z117" s="280" t="n"/>
      <c r="AA117" s="284" t="n"/>
    </row>
    <row r="118" ht="15" customHeight="1" s="195">
      <c r="A118" s="280" t="n"/>
      <c r="B118" s="280" t="n"/>
      <c r="C118" s="280" t="n"/>
      <c r="D118" s="280" t="n"/>
      <c r="E118" s="280" t="n"/>
      <c r="F118" s="280" t="n"/>
      <c r="G118" s="280" t="n"/>
      <c r="H118" s="280" t="n"/>
      <c r="I118" s="280" t="n"/>
      <c r="J118" s="280" t="n"/>
      <c r="K118" s="280" t="n"/>
      <c r="L118" s="280" t="n"/>
      <c r="M118" s="280" t="n"/>
      <c r="N118" s="374" t="n"/>
      <c r="O118" s="280" t="n"/>
      <c r="P118" s="280" t="n"/>
      <c r="Q118" s="280" t="n"/>
      <c r="R118" s="280" t="n"/>
      <c r="S118" s="280" t="n"/>
      <c r="T118" s="280" t="n"/>
      <c r="U118" s="280" t="n"/>
      <c r="V118" s="280" t="n"/>
      <c r="W118" s="280" t="n"/>
      <c r="X118" s="280" t="n"/>
      <c r="Y118" s="280" t="n"/>
      <c r="Z118" s="280" t="n"/>
      <c r="AA118" s="284" t="n"/>
    </row>
    <row r="119" ht="15" customHeight="1" s="195">
      <c r="A119" s="280" t="n"/>
      <c r="B119" s="280" t="n"/>
      <c r="C119" s="280" t="n"/>
      <c r="D119" s="280" t="n"/>
      <c r="E119" s="280" t="n"/>
      <c r="F119" s="280" t="n"/>
      <c r="G119" s="280" t="n"/>
      <c r="H119" s="280" t="n"/>
      <c r="I119" s="280" t="n"/>
      <c r="J119" s="280" t="n"/>
      <c r="K119" s="280" t="n"/>
      <c r="L119" s="280" t="n"/>
      <c r="M119" s="280" t="n"/>
      <c r="N119" s="374" t="n"/>
      <c r="O119" s="280" t="n"/>
      <c r="P119" s="280" t="n"/>
      <c r="Q119" s="280" t="n"/>
      <c r="R119" s="280" t="n"/>
      <c r="S119" s="280" t="n"/>
      <c r="T119" s="280" t="n"/>
      <c r="U119" s="280" t="n"/>
      <c r="V119" s="280" t="n"/>
      <c r="W119" s="280" t="n"/>
      <c r="X119" s="280" t="n"/>
      <c r="Y119" s="280" t="n"/>
      <c r="Z119" s="280" t="n"/>
      <c r="AA119" s="284" t="n"/>
    </row>
    <row r="120" ht="15" customHeight="1" s="195">
      <c r="A120" s="280" t="n"/>
      <c r="B120" s="280" t="n"/>
      <c r="C120" s="280" t="n"/>
      <c r="D120" s="280" t="n"/>
      <c r="E120" s="280" t="n"/>
      <c r="F120" s="280" t="n"/>
      <c r="G120" s="280" t="n"/>
      <c r="H120" s="280" t="n"/>
      <c r="I120" s="332">
        <f>IFERROR(VLOOKUP(TEXT(H120,"0"),IPRESS!$A$3:$B$212,2,0),"")</f>
        <v/>
      </c>
      <c r="J120" s="280" t="n"/>
      <c r="K120" s="332">
        <f>IFERROR(VLOOKUP(TEXT(O120,"0"),CONDUCTORES!$A$3:$G$54,7,0),"")</f>
        <v/>
      </c>
      <c r="L120" s="280" t="n"/>
      <c r="M120" s="280" t="n"/>
      <c r="N120" s="333">
        <f>IFERROR(IF(L120*M120=0,"",L120*M120),"")</f>
        <v/>
      </c>
      <c r="O120" s="280" t="n"/>
      <c r="P120" s="332">
        <f>IFERROR(VLOOKUP(TEXT(O120,"0"),CONDUCTORES!$A$3:$G$54,2,0),"")</f>
        <v/>
      </c>
      <c r="Q120" s="332">
        <f>IFERROR(VLOOKUP(TEXT(O120,"0"),CONDUCTORES!$A$3:$H$54,6,0),"")</f>
        <v/>
      </c>
      <c r="R120" s="280" t="n"/>
      <c r="S120" s="280" t="n"/>
      <c r="T120" s="280" t="n"/>
      <c r="U120" s="280" t="n"/>
      <c r="V120" s="280" t="n"/>
      <c r="W120" s="280" t="n"/>
      <c r="X120" s="280" t="n"/>
      <c r="Y120" s="280" t="n"/>
      <c r="Z120" s="375">
        <f>IF(AND(G120&lt;&gt;"",R120&lt;&gt;"",V120&lt;&gt;"",W120&lt;&gt;""),"COMPLETADO","OBSERVADO")</f>
        <v/>
      </c>
    </row>
    <row r="121" ht="15" customHeight="1" s="195">
      <c r="A121" s="334" t="n"/>
      <c r="B121" s="334" t="n"/>
      <c r="C121" s="334" t="n"/>
      <c r="D121" s="334" t="n"/>
      <c r="E121" s="334" t="n"/>
      <c r="F121" s="334" t="n"/>
      <c r="G121" s="334" t="n"/>
      <c r="H121" s="334" t="n"/>
      <c r="I121" s="332">
        <f>IFERROR(VLOOKUP(TEXT(H121,"0"),IPRESS!$A$3:$B$212,2,0),"")</f>
        <v/>
      </c>
      <c r="J121" s="334" t="n"/>
      <c r="K121" s="332">
        <f>IFERROR(VLOOKUP(TEXT(O121,"0"),CONDUCTORES!$A$3:$G$54,7,0),"")</f>
        <v/>
      </c>
      <c r="L121" s="334" t="n"/>
      <c r="M121" s="334" t="n"/>
      <c r="N121" s="333">
        <f>IFERROR(IF(L121*M121=0,"",L121*M121),"")</f>
        <v/>
      </c>
      <c r="O121" s="334" t="n"/>
      <c r="P121" s="332">
        <f>IFERROR(VLOOKUP(TEXT(O121,"0"),CONDUCTORES!$A$3:$G$54,2,0),"")</f>
        <v/>
      </c>
      <c r="Q121" s="332">
        <f>IFERROR(VLOOKUP(TEXT(O121,"0"),CONDUCTORES!$A$3:$H$54,6,0),"")</f>
        <v/>
      </c>
      <c r="R121" s="334" t="n"/>
      <c r="S121" s="334" t="n"/>
      <c r="T121" s="334" t="n"/>
      <c r="U121" s="334" t="n"/>
      <c r="V121" s="334" t="n"/>
      <c r="W121" s="334" t="n"/>
      <c r="X121" s="334" t="n"/>
      <c r="Y121" s="334" t="n"/>
      <c r="Z121" s="375">
        <f>IF(AND(G121&lt;&gt;"",R121&lt;&gt;"",V121&lt;&gt;"",W121&lt;&gt;""),"COMPLETADO","OBSERVADO")</f>
        <v/>
      </c>
    </row>
    <row r="122" ht="15" customHeight="1" s="195">
      <c r="A122" s="280" t="n"/>
      <c r="B122" s="280" t="n"/>
      <c r="C122" s="280" t="n"/>
      <c r="D122" s="280" t="n"/>
      <c r="E122" s="280" t="n"/>
      <c r="F122" s="280" t="n"/>
      <c r="G122" s="280" t="n"/>
      <c r="H122" s="280" t="n"/>
      <c r="I122" s="332">
        <f>IFERROR(VLOOKUP(TEXT(H122,"0"),IPRESS!$A$3:$B$212,2,0),"")</f>
        <v/>
      </c>
      <c r="J122" s="280" t="n"/>
      <c r="K122" s="332">
        <f>IFERROR(VLOOKUP(TEXT(O122,"0"),CONDUCTORES!$A$3:$G$54,7,0),"")</f>
        <v/>
      </c>
      <c r="L122" s="280" t="n"/>
      <c r="M122" s="280" t="n"/>
      <c r="N122" s="333">
        <f>IFERROR(IF(L122*M122=0,"",L122*M122),"")</f>
        <v/>
      </c>
      <c r="O122" s="280" t="n"/>
      <c r="P122" s="332">
        <f>IFERROR(VLOOKUP(TEXT(O122,"0"),CONDUCTORES!$A$3:$G$54,2,0),"")</f>
        <v/>
      </c>
      <c r="Q122" s="332">
        <f>IFERROR(VLOOKUP(TEXT(O122,"0"),CONDUCTORES!$A$3:$H$54,6,0),"")</f>
        <v/>
      </c>
      <c r="R122" s="280" t="n"/>
      <c r="S122" s="280" t="n"/>
      <c r="T122" s="280" t="n"/>
      <c r="U122" s="280" t="n"/>
      <c r="V122" s="280" t="n"/>
      <c r="W122" s="280" t="n"/>
      <c r="X122" s="280" t="n"/>
      <c r="Y122" s="280" t="n"/>
      <c r="Z122" s="375">
        <f>IF(AND(G122&lt;&gt;"",R122&lt;&gt;"",V122&lt;&gt;"",W122&lt;&gt;""),"COMPLETADO","OBSERVADO")</f>
        <v/>
      </c>
    </row>
    <row r="123" ht="15" customHeight="1" s="195">
      <c r="A123" s="334" t="n"/>
      <c r="B123" s="334" t="n"/>
      <c r="C123" s="334" t="n"/>
      <c r="D123" s="334" t="n"/>
      <c r="E123" s="334" t="n"/>
      <c r="F123" s="334" t="n"/>
      <c r="G123" s="334" t="n"/>
      <c r="H123" s="334" t="n"/>
      <c r="I123" s="332">
        <f>IFERROR(VLOOKUP(TEXT(H123,"0"),IPRESS!$A$3:$B$212,2,0),"")</f>
        <v/>
      </c>
      <c r="J123" s="334" t="n"/>
      <c r="K123" s="332">
        <f>IFERROR(VLOOKUP(TEXT(O123,"0"),CONDUCTORES!$A$3:$G$54,7,0),"")</f>
        <v/>
      </c>
      <c r="L123" s="334" t="n"/>
      <c r="M123" s="334" t="n"/>
      <c r="N123" s="333">
        <f>IFERROR(IF(L123*M123=0,"",L123*M123),"")</f>
        <v/>
      </c>
      <c r="O123" s="334" t="n"/>
      <c r="P123" s="332">
        <f>IFERROR(VLOOKUP(TEXT(O123,"0"),CONDUCTORES!$A$3:$G$54,2,0),"")</f>
        <v/>
      </c>
      <c r="Q123" s="332">
        <f>IFERROR(VLOOKUP(TEXT(O123,"0"),CONDUCTORES!$A$3:$H$54,6,0),"")</f>
        <v/>
      </c>
      <c r="R123" s="334" t="n"/>
      <c r="S123" s="334" t="n"/>
      <c r="T123" s="334" t="n"/>
      <c r="U123" s="334" t="n"/>
      <c r="V123" s="334" t="n"/>
      <c r="W123" s="334" t="n"/>
      <c r="X123" s="334" t="n"/>
      <c r="Y123" s="334" t="n"/>
      <c r="Z123" s="375">
        <f>IF(AND(G123&lt;&gt;"",R123&lt;&gt;"",V123&lt;&gt;"",W123&lt;&gt;""),"COMPLETADO","OBSERVADO")</f>
        <v/>
      </c>
    </row>
    <row r="124" ht="15" customHeight="1" s="195">
      <c r="A124" s="280" t="n"/>
      <c r="B124" s="280" t="n"/>
      <c r="C124" s="280" t="n"/>
      <c r="D124" s="280" t="n"/>
      <c r="E124" s="280" t="n"/>
      <c r="F124" s="280" t="n"/>
      <c r="G124" s="280" t="n"/>
      <c r="H124" s="280" t="n"/>
      <c r="I124" s="332">
        <f>IFERROR(VLOOKUP(TEXT(H124,"0"),IPRESS!$A$3:$B$212,2,0),"")</f>
        <v/>
      </c>
      <c r="J124" s="280" t="n"/>
      <c r="K124" s="332">
        <f>IFERROR(VLOOKUP(TEXT(O124,"0"),CONDUCTORES!$A$3:$G$54,7,0),"")</f>
        <v/>
      </c>
      <c r="L124" s="280" t="n"/>
      <c r="M124" s="280" t="n"/>
      <c r="N124" s="333">
        <f>IFERROR(IF(L124*M124=0,"",L124*M124),"")</f>
        <v/>
      </c>
      <c r="O124" s="280" t="n"/>
      <c r="P124" s="332">
        <f>IFERROR(VLOOKUP(TEXT(O124,"0"),CONDUCTORES!$A$3:$G$54,2,0),"")</f>
        <v/>
      </c>
      <c r="Q124" s="332">
        <f>IFERROR(VLOOKUP(TEXT(O124,"0"),CONDUCTORES!$A$3:$H$54,6,0),"")</f>
        <v/>
      </c>
      <c r="R124" s="280" t="n"/>
      <c r="S124" s="280" t="n"/>
      <c r="T124" s="280" t="n"/>
      <c r="U124" s="280" t="n"/>
      <c r="V124" s="280" t="n"/>
      <c r="W124" s="280" t="n"/>
      <c r="X124" s="280" t="n"/>
      <c r="Y124" s="280" t="n"/>
      <c r="Z124" s="375">
        <f>IF(AND(G124&lt;&gt;"",R124&lt;&gt;"",V124&lt;&gt;"",W124&lt;&gt;""),"COMPLETADO","OBSERVADO")</f>
        <v/>
      </c>
    </row>
    <row r="125" ht="15" customHeight="1" s="195">
      <c r="A125" s="334" t="n"/>
      <c r="B125" s="334" t="n"/>
      <c r="C125" s="334" t="n"/>
      <c r="D125" s="334" t="n"/>
      <c r="E125" s="334" t="n"/>
      <c r="F125" s="334" t="n"/>
      <c r="G125" s="334" t="n"/>
      <c r="H125" s="334" t="n"/>
      <c r="I125" s="332">
        <f>IFERROR(VLOOKUP(TEXT(H125,"0"),IPRESS!$A$3:$B$212,2,0),"")</f>
        <v/>
      </c>
      <c r="J125" s="334" t="n"/>
      <c r="K125" s="332">
        <f>IFERROR(VLOOKUP(TEXT(O125,"0"),CONDUCTORES!$A$3:$G$54,7,0),"")</f>
        <v/>
      </c>
      <c r="L125" s="334" t="n"/>
      <c r="M125" s="334" t="n"/>
      <c r="N125" s="333">
        <f>IFERROR(IF(L125*M125=0,"",L125*M125),"")</f>
        <v/>
      </c>
      <c r="O125" s="334" t="n"/>
      <c r="P125" s="332">
        <f>IFERROR(VLOOKUP(TEXT(O125,"0"),CONDUCTORES!$A$3:$G$54,2,0),"")</f>
        <v/>
      </c>
      <c r="Q125" s="332">
        <f>IFERROR(VLOOKUP(TEXT(O125,"0"),CONDUCTORES!$A$3:$H$54,6,0),"")</f>
        <v/>
      </c>
      <c r="R125" s="334" t="n"/>
      <c r="S125" s="334" t="n"/>
      <c r="T125" s="334" t="n"/>
      <c r="U125" s="334" t="n"/>
      <c r="V125" s="334" t="n"/>
      <c r="W125" s="334" t="n"/>
      <c r="X125" s="334" t="n"/>
      <c r="Y125" s="334" t="n"/>
      <c r="Z125" s="375">
        <f>IF(AND(G125&lt;&gt;"",R125&lt;&gt;"",V125&lt;&gt;"",W125&lt;&gt;""),"COMPLETADO","OBSERVADO")</f>
        <v/>
      </c>
    </row>
    <row r="126" ht="15" customHeight="1" s="195">
      <c r="A126" s="280" t="n"/>
      <c r="B126" s="280" t="n"/>
      <c r="C126" s="280" t="n"/>
      <c r="D126" s="280" t="n"/>
      <c r="E126" s="280" t="n"/>
      <c r="F126" s="280" t="n"/>
      <c r="G126" s="280" t="n"/>
      <c r="H126" s="280" t="n"/>
      <c r="I126" s="332">
        <f>IFERROR(VLOOKUP(TEXT(H126,"0"),IPRESS!$A$3:$B$212,2,0),"")</f>
        <v/>
      </c>
      <c r="J126" s="280" t="n"/>
      <c r="K126" s="332">
        <f>IFERROR(VLOOKUP(TEXT(O126,"0"),CONDUCTORES!$A$3:$G$54,7,0),"")</f>
        <v/>
      </c>
      <c r="L126" s="280" t="n"/>
      <c r="M126" s="280" t="n"/>
      <c r="N126" s="333">
        <f>IFERROR(IF(L126*M126=0,"",L126*M126),"")</f>
        <v/>
      </c>
      <c r="O126" s="280" t="n"/>
      <c r="P126" s="332">
        <f>IFERROR(VLOOKUP(TEXT(O126,"0"),CONDUCTORES!$A$3:$G$54,2,0),"")</f>
        <v/>
      </c>
      <c r="Q126" s="332">
        <f>IFERROR(VLOOKUP(TEXT(O126,"0"),CONDUCTORES!$A$3:$H$54,6,0),"")</f>
        <v/>
      </c>
      <c r="R126" s="280" t="n"/>
      <c r="S126" s="280" t="n"/>
      <c r="T126" s="280" t="n"/>
      <c r="U126" s="280" t="n"/>
      <c r="V126" s="280" t="n"/>
      <c r="W126" s="280" t="n"/>
      <c r="X126" s="280" t="n"/>
      <c r="Y126" s="280" t="n"/>
      <c r="Z126" s="375">
        <f>IF(AND(G126&lt;&gt;"",R126&lt;&gt;"",V126&lt;&gt;"",W126&lt;&gt;""),"COMPLETADO","OBSERVADO")</f>
        <v/>
      </c>
    </row>
    <row r="127" ht="15" customHeight="1" s="195">
      <c r="A127" s="334" t="n"/>
      <c r="B127" s="334" t="n"/>
      <c r="C127" s="334" t="n"/>
      <c r="D127" s="334" t="n"/>
      <c r="E127" s="334" t="n"/>
      <c r="F127" s="334" t="n"/>
      <c r="G127" s="334" t="n"/>
      <c r="H127" s="334" t="n"/>
      <c r="I127" s="332">
        <f>IFERROR(VLOOKUP(TEXT(H127,"0"),IPRESS!$A$3:$B$212,2,0),"")</f>
        <v/>
      </c>
      <c r="J127" s="334" t="n"/>
      <c r="K127" s="332">
        <f>IFERROR(VLOOKUP(TEXT(O127,"0"),CONDUCTORES!$A$3:$G$54,7,0),"")</f>
        <v/>
      </c>
      <c r="L127" s="334" t="n"/>
      <c r="M127" s="334" t="n"/>
      <c r="N127" s="333">
        <f>IFERROR(IF(L127*M127=0,"",L127*M127),"")</f>
        <v/>
      </c>
      <c r="O127" s="334" t="n"/>
      <c r="P127" s="332">
        <f>IFERROR(VLOOKUP(TEXT(O127,"0"),CONDUCTORES!$A$3:$G$54,2,0),"")</f>
        <v/>
      </c>
      <c r="Q127" s="332">
        <f>IFERROR(VLOOKUP(TEXT(O127,"0"),CONDUCTORES!$A$3:$H$54,6,0),"")</f>
        <v/>
      </c>
      <c r="R127" s="334" t="n"/>
      <c r="S127" s="334" t="n"/>
      <c r="T127" s="334" t="n"/>
      <c r="U127" s="334" t="n"/>
      <c r="V127" s="334" t="n"/>
      <c r="W127" s="334" t="n"/>
      <c r="X127" s="334" t="n"/>
      <c r="Y127" s="334" t="n"/>
      <c r="Z127" s="375">
        <f>IF(AND(G127&lt;&gt;"",R127&lt;&gt;"",V127&lt;&gt;"",W127&lt;&gt;""),"COMPLETADO","OBSERVADO")</f>
        <v/>
      </c>
    </row>
    <row r="128" ht="15" customHeight="1" s="195">
      <c r="A128" s="280" t="n"/>
      <c r="B128" s="280" t="n"/>
      <c r="C128" s="280" t="n"/>
      <c r="D128" s="280" t="n"/>
      <c r="E128" s="280" t="n"/>
      <c r="F128" s="280" t="n"/>
      <c r="G128" s="280" t="n"/>
      <c r="H128" s="280" t="n"/>
      <c r="I128" s="332">
        <f>IFERROR(VLOOKUP(TEXT(H128,"0"),IPRESS!$A$3:$B$212,2,0),"")</f>
        <v/>
      </c>
      <c r="J128" s="280" t="n"/>
      <c r="K128" s="332">
        <f>IFERROR(VLOOKUP(TEXT(O128,"0"),CONDUCTORES!$A$3:$G$54,7,0),"")</f>
        <v/>
      </c>
      <c r="L128" s="280" t="n"/>
      <c r="M128" s="280" t="n"/>
      <c r="N128" s="333">
        <f>IFERROR(IF(L128*M128=0,"",L128*M128),"")</f>
        <v/>
      </c>
      <c r="O128" s="280" t="n"/>
      <c r="P128" s="332">
        <f>IFERROR(VLOOKUP(TEXT(O128,"0"),CONDUCTORES!$A$3:$G$54,2,0),"")</f>
        <v/>
      </c>
      <c r="Q128" s="332">
        <f>IFERROR(VLOOKUP(TEXT(O128,"0"),CONDUCTORES!$A$3:$H$54,6,0),"")</f>
        <v/>
      </c>
      <c r="R128" s="280" t="n"/>
      <c r="S128" s="280" t="n"/>
      <c r="T128" s="280" t="n"/>
      <c r="U128" s="280" t="n"/>
      <c r="V128" s="280" t="n"/>
      <c r="W128" s="280" t="n"/>
      <c r="X128" s="280" t="n"/>
      <c r="Y128" s="280" t="n"/>
      <c r="Z128" s="375">
        <f>IF(AND(G128&lt;&gt;"",R128&lt;&gt;"",V128&lt;&gt;"",W128&lt;&gt;""),"COMPLETADO","OBSERVADO")</f>
        <v/>
      </c>
    </row>
    <row r="129" ht="15" customHeight="1" s="195">
      <c r="A129" s="334" t="n"/>
      <c r="B129" s="334" t="n"/>
      <c r="C129" s="334" t="n"/>
      <c r="D129" s="334" t="n"/>
      <c r="E129" s="334" t="n"/>
      <c r="F129" s="334" t="n"/>
      <c r="G129" s="334" t="n"/>
      <c r="H129" s="334" t="n"/>
      <c r="I129" s="332">
        <f>IFERROR(VLOOKUP(TEXT(H129,"0"),IPRESS!$A$3:$B$212,2,0),"")</f>
        <v/>
      </c>
      <c r="J129" s="334" t="n"/>
      <c r="K129" s="332">
        <f>IFERROR(VLOOKUP(TEXT(O129,"0"),CONDUCTORES!$A$3:$G$54,7,0),"")</f>
        <v/>
      </c>
      <c r="L129" s="334" t="n"/>
      <c r="M129" s="334" t="n"/>
      <c r="N129" s="333">
        <f>IFERROR(IF(L129*M129=0,"",L129*M129),"")</f>
        <v/>
      </c>
      <c r="O129" s="334" t="n"/>
      <c r="P129" s="332">
        <f>IFERROR(VLOOKUP(TEXT(O129,"0"),CONDUCTORES!$A$3:$G$54,2,0),"")</f>
        <v/>
      </c>
      <c r="Q129" s="332">
        <f>IFERROR(VLOOKUP(TEXT(O129,"0"),CONDUCTORES!$A$3:$H$54,6,0),"")</f>
        <v/>
      </c>
      <c r="R129" s="334" t="n"/>
      <c r="S129" s="334" t="n"/>
      <c r="T129" s="334" t="n"/>
      <c r="U129" s="334" t="n"/>
      <c r="V129" s="334" t="n"/>
      <c r="W129" s="334" t="n"/>
      <c r="X129" s="334" t="n"/>
      <c r="Y129" s="334" t="n"/>
      <c r="Z129" s="375">
        <f>IF(AND(G129&lt;&gt;"",R129&lt;&gt;"",V129&lt;&gt;"",W129&lt;&gt;""),"COMPLETADO","OBSERVADO")</f>
        <v/>
      </c>
    </row>
    <row r="130" ht="15" customHeight="1" s="195">
      <c r="A130" s="280" t="n"/>
      <c r="B130" s="280" t="n"/>
      <c r="C130" s="280" t="n"/>
      <c r="D130" s="280" t="n"/>
      <c r="E130" s="280" t="n"/>
      <c r="F130" s="280" t="n"/>
      <c r="G130" s="280" t="n"/>
      <c r="H130" s="280" t="n"/>
      <c r="I130" s="332">
        <f>IFERROR(VLOOKUP(TEXT(H130,"0"),IPRESS!$A$3:$B$212,2,0),"")</f>
        <v/>
      </c>
      <c r="J130" s="280" t="n"/>
      <c r="K130" s="332">
        <f>IFERROR(VLOOKUP(TEXT(O130,"0"),CONDUCTORES!$A$3:$G$54,7,0),"")</f>
        <v/>
      </c>
      <c r="L130" s="280" t="n"/>
      <c r="M130" s="280" t="n"/>
      <c r="N130" s="333">
        <f>IFERROR(IF(L130*M130=0,"",L130*M130),"")</f>
        <v/>
      </c>
      <c r="O130" s="280" t="n"/>
      <c r="P130" s="332">
        <f>IFERROR(VLOOKUP(TEXT(O130,"0"),CONDUCTORES!$A$3:$G$54,2,0),"")</f>
        <v/>
      </c>
      <c r="Q130" s="332">
        <f>IFERROR(VLOOKUP(TEXT(O130,"0"),CONDUCTORES!$A$3:$H$54,6,0),"")</f>
        <v/>
      </c>
      <c r="R130" s="280" t="n"/>
      <c r="S130" s="280" t="n"/>
      <c r="T130" s="280" t="n"/>
      <c r="U130" s="280" t="n"/>
      <c r="V130" s="280" t="n"/>
      <c r="W130" s="280" t="n"/>
      <c r="X130" s="280" t="n"/>
      <c r="Y130" s="280" t="n"/>
      <c r="Z130" s="375">
        <f>IF(AND(G130&lt;&gt;"",R130&lt;&gt;"",V130&lt;&gt;"",W130&lt;&gt;""),"COMPLETADO","OBSERVADO")</f>
        <v/>
      </c>
    </row>
    <row r="131" ht="15" customHeight="1" s="195">
      <c r="A131" s="334" t="n"/>
      <c r="B131" s="334" t="n"/>
      <c r="C131" s="334" t="n"/>
      <c r="D131" s="334" t="n"/>
      <c r="E131" s="334" t="n"/>
      <c r="F131" s="334" t="n"/>
      <c r="G131" s="334" t="n"/>
      <c r="H131" s="334" t="n"/>
      <c r="I131" s="332">
        <f>IFERROR(VLOOKUP(TEXT(H131,"0"),IPRESS!$A$3:$B$212,2,0),"")</f>
        <v/>
      </c>
      <c r="J131" s="334" t="n"/>
      <c r="K131" s="332">
        <f>IFERROR(VLOOKUP(TEXT(O131,"0"),CONDUCTORES!$A$3:$G$54,7,0),"")</f>
        <v/>
      </c>
      <c r="L131" s="334" t="n"/>
      <c r="M131" s="334" t="n"/>
      <c r="N131" s="333">
        <f>IFERROR(IF(L131*M131=0,"",L131*M131),"")</f>
        <v/>
      </c>
      <c r="O131" s="334" t="n"/>
      <c r="P131" s="332">
        <f>IFERROR(VLOOKUP(TEXT(O131,"0"),CONDUCTORES!$A$3:$G$54,2,0),"")</f>
        <v/>
      </c>
      <c r="Q131" s="332">
        <f>IFERROR(VLOOKUP(TEXT(O131,"0"),CONDUCTORES!$A$3:$H$54,6,0),"")</f>
        <v/>
      </c>
      <c r="R131" s="334" t="n"/>
      <c r="S131" s="334" t="n"/>
      <c r="T131" s="334" t="n"/>
      <c r="U131" s="334" t="n"/>
      <c r="V131" s="334" t="n"/>
      <c r="W131" s="334" t="n"/>
      <c r="X131" s="334" t="n"/>
      <c r="Y131" s="334" t="n"/>
      <c r="Z131" s="375">
        <f>IF(AND(G131&lt;&gt;"",R131&lt;&gt;"",V131&lt;&gt;"",W131&lt;&gt;""),"COMPLETADO","OBSERVADO")</f>
        <v/>
      </c>
    </row>
    <row r="132" ht="15" customHeight="1" s="195">
      <c r="A132" s="280" t="n"/>
      <c r="B132" s="280" t="n"/>
      <c r="C132" s="280" t="n"/>
      <c r="D132" s="280" t="n"/>
      <c r="E132" s="280" t="n"/>
      <c r="F132" s="280" t="n"/>
      <c r="G132" s="280" t="n"/>
      <c r="H132" s="280" t="n"/>
      <c r="I132" s="332">
        <f>IFERROR(VLOOKUP(TEXT(H132,"0"),IPRESS!$A$3:$B$212,2,0),"")</f>
        <v/>
      </c>
      <c r="J132" s="280" t="n"/>
      <c r="K132" s="332">
        <f>IFERROR(VLOOKUP(TEXT(O132,"0"),CONDUCTORES!$A$3:$G$54,7,0),"")</f>
        <v/>
      </c>
      <c r="L132" s="280" t="n"/>
      <c r="M132" s="280" t="n"/>
      <c r="N132" s="333">
        <f>IFERROR(IF(L132*M132=0,"",L132*M132),"")</f>
        <v/>
      </c>
      <c r="O132" s="280" t="n"/>
      <c r="P132" s="332">
        <f>IFERROR(VLOOKUP(TEXT(O132,"0"),CONDUCTORES!$A$3:$G$54,2,0),"")</f>
        <v/>
      </c>
      <c r="Q132" s="332">
        <f>IFERROR(VLOOKUP(TEXT(O132,"0"),CONDUCTORES!$A$3:$H$54,6,0),"")</f>
        <v/>
      </c>
      <c r="R132" s="280" t="n"/>
      <c r="S132" s="280" t="n"/>
      <c r="T132" s="280" t="n"/>
      <c r="U132" s="280" t="n"/>
      <c r="V132" s="280" t="n"/>
      <c r="W132" s="280" t="n"/>
      <c r="X132" s="280" t="n"/>
      <c r="Y132" s="280" t="n"/>
      <c r="Z132" s="375">
        <f>IF(AND(G132&lt;&gt;"",R132&lt;&gt;"",V132&lt;&gt;"",W132&lt;&gt;""),"COMPLETADO","OBSERVADO")</f>
        <v/>
      </c>
    </row>
    <row r="133" ht="15" customHeight="1" s="195">
      <c r="A133" s="334" t="n"/>
      <c r="B133" s="334" t="n"/>
      <c r="C133" s="334" t="n"/>
      <c r="D133" s="334" t="n"/>
      <c r="E133" s="334" t="n"/>
      <c r="F133" s="334" t="n"/>
      <c r="G133" s="334" t="n"/>
      <c r="H133" s="334" t="n"/>
      <c r="I133" s="332">
        <f>IFERROR(VLOOKUP(TEXT(H133,"0"),IPRESS!$A$3:$B$212,2,0),"")</f>
        <v/>
      </c>
      <c r="J133" s="334" t="n"/>
      <c r="K133" s="332">
        <f>IFERROR(VLOOKUP(TEXT(O133,"0"),CONDUCTORES!$A$3:$G$54,7,0),"")</f>
        <v/>
      </c>
      <c r="L133" s="334" t="n"/>
      <c r="M133" s="334" t="n"/>
      <c r="N133" s="333">
        <f>IFERROR(IF(L133*M133=0,"",L133*M133),"")</f>
        <v/>
      </c>
      <c r="O133" s="334" t="n"/>
      <c r="P133" s="332">
        <f>IFERROR(VLOOKUP(TEXT(O133,"0"),CONDUCTORES!$A$3:$G$54,2,0),"")</f>
        <v/>
      </c>
      <c r="Q133" s="332">
        <f>IFERROR(VLOOKUP(TEXT(O133,"0"),CONDUCTORES!$A$3:$H$54,6,0),"")</f>
        <v/>
      </c>
      <c r="R133" s="334" t="n"/>
      <c r="S133" s="334" t="n"/>
      <c r="T133" s="334" t="n"/>
      <c r="U133" s="334" t="n"/>
      <c r="V133" s="334" t="n"/>
      <c r="W133" s="334" t="n"/>
      <c r="X133" s="334" t="n"/>
      <c r="Y133" s="334" t="n"/>
      <c r="Z133" s="375">
        <f>IF(AND(G133&lt;&gt;"",R133&lt;&gt;"",V133&lt;&gt;"",W133&lt;&gt;""),"COMPLETADO","OBSERVADO")</f>
        <v/>
      </c>
    </row>
    <row r="134" ht="15" customHeight="1" s="195">
      <c r="A134" s="280" t="n"/>
      <c r="B134" s="280" t="n"/>
      <c r="C134" s="280" t="n"/>
      <c r="D134" s="280" t="n"/>
      <c r="E134" s="280" t="n"/>
      <c r="F134" s="280" t="n"/>
      <c r="G134" s="280" t="n"/>
      <c r="H134" s="280" t="n"/>
      <c r="I134" s="332">
        <f>IFERROR(VLOOKUP(TEXT(H134,"0"),IPRESS!$A$3:$B$212,2,0),"")</f>
        <v/>
      </c>
      <c r="J134" s="280" t="n"/>
      <c r="K134" s="332">
        <f>IFERROR(VLOOKUP(TEXT(O134,"0"),CONDUCTORES!$A$3:$G$54,7,0),"")</f>
        <v/>
      </c>
      <c r="L134" s="280" t="n"/>
      <c r="M134" s="280" t="n"/>
      <c r="N134" s="333">
        <f>IFERROR(IF(L134*M134=0,"",L134*M134),"")</f>
        <v/>
      </c>
      <c r="O134" s="280" t="n"/>
      <c r="P134" s="332">
        <f>IFERROR(VLOOKUP(TEXT(O134,"0"),CONDUCTORES!$A$3:$G$54,2,0),"")</f>
        <v/>
      </c>
      <c r="Q134" s="332">
        <f>IFERROR(VLOOKUP(TEXT(O134,"0"),CONDUCTORES!$A$3:$H$54,6,0),"")</f>
        <v/>
      </c>
      <c r="R134" s="280" t="n"/>
      <c r="S134" s="280" t="n"/>
      <c r="T134" s="280" t="n"/>
      <c r="U134" s="280" t="n"/>
      <c r="V134" s="280" t="n"/>
      <c r="W134" s="280" t="n"/>
      <c r="X134" s="280" t="n"/>
      <c r="Y134" s="280" t="n"/>
      <c r="Z134" s="375">
        <f>IF(AND(G134&lt;&gt;"",R134&lt;&gt;"",V134&lt;&gt;"",W134&lt;&gt;""),"COMPLETADO","OBSERVADO")</f>
        <v/>
      </c>
    </row>
    <row r="135" ht="15" customHeight="1" s="195">
      <c r="A135" s="334" t="n"/>
      <c r="B135" s="334" t="n"/>
      <c r="C135" s="334" t="n"/>
      <c r="D135" s="334" t="n"/>
      <c r="E135" s="334" t="n"/>
      <c r="F135" s="334" t="n"/>
      <c r="G135" s="334" t="n"/>
      <c r="H135" s="334" t="n"/>
      <c r="I135" s="332">
        <f>IFERROR(VLOOKUP(TEXT(H135,"0"),IPRESS!$A$3:$B$212,2,0),"")</f>
        <v/>
      </c>
      <c r="J135" s="334" t="n"/>
      <c r="K135" s="332">
        <f>IFERROR(VLOOKUP(TEXT(O135,"0"),CONDUCTORES!$A$3:$G$54,7,0),"")</f>
        <v/>
      </c>
      <c r="L135" s="334" t="n"/>
      <c r="M135" s="334" t="n"/>
      <c r="N135" s="333">
        <f>IFERROR(IF(L135*M135=0,"",L135*M135),"")</f>
        <v/>
      </c>
      <c r="O135" s="334" t="n"/>
      <c r="P135" s="332">
        <f>IFERROR(VLOOKUP(TEXT(O135,"0"),CONDUCTORES!$A$3:$G$54,2,0),"")</f>
        <v/>
      </c>
      <c r="Q135" s="332">
        <f>IFERROR(VLOOKUP(TEXT(O135,"0"),CONDUCTORES!$A$3:$H$54,6,0),"")</f>
        <v/>
      </c>
      <c r="R135" s="334" t="n"/>
      <c r="S135" s="334" t="n"/>
      <c r="T135" s="334" t="n"/>
      <c r="U135" s="334" t="n"/>
      <c r="V135" s="334" t="n"/>
      <c r="W135" s="334" t="n"/>
      <c r="X135" s="334" t="n"/>
      <c r="Y135" s="334" t="n"/>
      <c r="Z135" s="375">
        <f>IF(AND(G135&lt;&gt;"",R135&lt;&gt;"",V135&lt;&gt;"",W135&lt;&gt;""),"COMPLETADO","OBSERVADO")</f>
        <v/>
      </c>
    </row>
    <row r="136" ht="15" customHeight="1" s="195">
      <c r="A136" s="280" t="n"/>
      <c r="B136" s="280" t="n"/>
      <c r="C136" s="280" t="n"/>
      <c r="D136" s="280" t="n"/>
      <c r="E136" s="280" t="n"/>
      <c r="F136" s="280" t="n"/>
      <c r="G136" s="280" t="n"/>
      <c r="H136" s="280" t="n"/>
      <c r="I136" s="332">
        <f>IFERROR(VLOOKUP(TEXT(H136,"0"),IPRESS!$A$3:$B$212,2,0),"")</f>
        <v/>
      </c>
      <c r="J136" s="280" t="n"/>
      <c r="K136" s="332">
        <f>IFERROR(VLOOKUP(TEXT(O136,"0"),CONDUCTORES!$A$3:$G$54,7,0),"")</f>
        <v/>
      </c>
      <c r="L136" s="280" t="n"/>
      <c r="M136" s="280" t="n"/>
      <c r="N136" s="333">
        <f>IFERROR(IF(L136*M136=0,"",L136*M136),"")</f>
        <v/>
      </c>
      <c r="O136" s="280" t="n"/>
      <c r="P136" s="332">
        <f>IFERROR(VLOOKUP(TEXT(O136,"0"),CONDUCTORES!$A$3:$G$54,2,0),"")</f>
        <v/>
      </c>
      <c r="Q136" s="332">
        <f>IFERROR(VLOOKUP(TEXT(O136,"0"),CONDUCTORES!$A$3:$H$54,6,0),"")</f>
        <v/>
      </c>
      <c r="R136" s="280" t="n"/>
      <c r="S136" s="280" t="n"/>
      <c r="T136" s="280" t="n"/>
      <c r="U136" s="280" t="n"/>
      <c r="V136" s="280" t="n"/>
      <c r="W136" s="280" t="n"/>
      <c r="X136" s="280" t="n"/>
      <c r="Y136" s="280" t="n"/>
      <c r="Z136" s="375">
        <f>IF(AND(G136&lt;&gt;"",R136&lt;&gt;"",V136&lt;&gt;"",W136&lt;&gt;""),"COMPLETADO","OBSERVADO")</f>
        <v/>
      </c>
    </row>
    <row r="137" ht="15" customHeight="1" s="195">
      <c r="A137" s="334" t="n"/>
      <c r="B137" s="334" t="n"/>
      <c r="C137" s="334" t="n"/>
      <c r="D137" s="334" t="n"/>
      <c r="E137" s="334" t="n"/>
      <c r="F137" s="334" t="n"/>
      <c r="G137" s="334" t="n"/>
      <c r="H137" s="334" t="n"/>
      <c r="I137" s="332">
        <f>IFERROR(VLOOKUP(TEXT(H137,"0"),IPRESS!$A$3:$B$212,2,0),"")</f>
        <v/>
      </c>
      <c r="J137" s="334" t="n"/>
      <c r="K137" s="332">
        <f>IFERROR(VLOOKUP(TEXT(O137,"0"),CONDUCTORES!$A$3:$G$54,7,0),"")</f>
        <v/>
      </c>
      <c r="L137" s="334" t="n"/>
      <c r="M137" s="334" t="n"/>
      <c r="N137" s="333">
        <f>IFERROR(IF(L137*M137=0,"",L137*M137),"")</f>
        <v/>
      </c>
      <c r="O137" s="334" t="n"/>
      <c r="P137" s="332">
        <f>IFERROR(VLOOKUP(TEXT(O137,"0"),CONDUCTORES!$A$3:$G$54,2,0),"")</f>
        <v/>
      </c>
      <c r="Q137" s="332">
        <f>IFERROR(VLOOKUP(TEXT(O137,"0"),CONDUCTORES!$A$3:$H$54,6,0),"")</f>
        <v/>
      </c>
      <c r="R137" s="334" t="n"/>
      <c r="S137" s="334" t="n"/>
      <c r="T137" s="334" t="n"/>
      <c r="U137" s="334" t="n"/>
      <c r="V137" s="334" t="n"/>
      <c r="W137" s="334" t="n"/>
      <c r="X137" s="334" t="n"/>
      <c r="Y137" s="334" t="n"/>
      <c r="Z137" s="375">
        <f>IF(AND(G137&lt;&gt;"",R137&lt;&gt;"",V137&lt;&gt;"",W137&lt;&gt;""),"COMPLETADO","OBSERVADO")</f>
        <v/>
      </c>
    </row>
    <row r="138" ht="15" customHeight="1" s="195">
      <c r="A138" s="280" t="n"/>
      <c r="B138" s="280" t="n"/>
      <c r="C138" s="280" t="n"/>
      <c r="D138" s="280" t="n"/>
      <c r="E138" s="280" t="n"/>
      <c r="F138" s="280" t="n"/>
      <c r="G138" s="280" t="n"/>
      <c r="H138" s="280" t="n"/>
      <c r="I138" s="332">
        <f>IFERROR(VLOOKUP(TEXT(H138,"0"),IPRESS!$A$3:$B$212,2,0),"")</f>
        <v/>
      </c>
      <c r="J138" s="280" t="n"/>
      <c r="K138" s="332">
        <f>IFERROR(VLOOKUP(TEXT(O138,"0"),CONDUCTORES!$A$3:$G$54,7,0),"")</f>
        <v/>
      </c>
      <c r="L138" s="280" t="n"/>
      <c r="M138" s="280" t="n"/>
      <c r="N138" s="333">
        <f>IFERROR(IF(L138*M138=0,"",L138*M138),"")</f>
        <v/>
      </c>
      <c r="O138" s="280" t="n"/>
      <c r="P138" s="332">
        <f>IFERROR(VLOOKUP(TEXT(O138,"0"),CONDUCTORES!$A$3:$G$54,2,0),"")</f>
        <v/>
      </c>
      <c r="Q138" s="332">
        <f>IFERROR(VLOOKUP(TEXT(O138,"0"),CONDUCTORES!$A$3:$H$54,6,0),"")</f>
        <v/>
      </c>
      <c r="R138" s="280" t="n"/>
      <c r="S138" s="280" t="n"/>
      <c r="T138" s="280" t="n"/>
      <c r="U138" s="280" t="n"/>
      <c r="V138" s="280" t="n"/>
      <c r="W138" s="280" t="n"/>
      <c r="X138" s="280" t="n"/>
      <c r="Y138" s="280" t="n"/>
      <c r="Z138" s="375">
        <f>IF(AND(G138&lt;&gt;"",R138&lt;&gt;"",V138&lt;&gt;"",W138&lt;&gt;""),"COMPLETADO","OBSERVADO")</f>
        <v/>
      </c>
    </row>
    <row r="139" ht="15" customHeight="1" s="195">
      <c r="A139" s="334" t="n"/>
      <c r="B139" s="334" t="n"/>
      <c r="C139" s="334" t="n"/>
      <c r="D139" s="334" t="n"/>
      <c r="E139" s="334" t="n"/>
      <c r="F139" s="334" t="n"/>
      <c r="G139" s="334" t="n"/>
      <c r="H139" s="334" t="n"/>
      <c r="I139" s="332">
        <f>IFERROR(VLOOKUP(TEXT(H139,"0"),IPRESS!$A$3:$B$212,2,0),"")</f>
        <v/>
      </c>
      <c r="J139" s="334" t="n"/>
      <c r="K139" s="332">
        <f>IFERROR(VLOOKUP(TEXT(O139,"0"),CONDUCTORES!$A$3:$G$54,7,0),"")</f>
        <v/>
      </c>
      <c r="L139" s="334" t="n"/>
      <c r="M139" s="334" t="n"/>
      <c r="N139" s="333">
        <f>IFERROR(IF(L139*M139=0,"",L139*M139),"")</f>
        <v/>
      </c>
      <c r="O139" s="334" t="n"/>
      <c r="P139" s="332">
        <f>IFERROR(VLOOKUP(TEXT(O139,"0"),CONDUCTORES!$A$3:$G$54,2,0),"")</f>
        <v/>
      </c>
      <c r="Q139" s="332">
        <f>IFERROR(VLOOKUP(TEXT(O139,"0"),CONDUCTORES!$A$3:$H$54,6,0),"")</f>
        <v/>
      </c>
      <c r="R139" s="334" t="n"/>
      <c r="S139" s="334" t="n"/>
      <c r="T139" s="334" t="n"/>
      <c r="U139" s="334" t="n"/>
      <c r="V139" s="334" t="n"/>
      <c r="W139" s="334" t="n"/>
      <c r="X139" s="334" t="n"/>
      <c r="Y139" s="334" t="n"/>
      <c r="Z139" s="375">
        <f>IF(AND(G139&lt;&gt;"",R139&lt;&gt;"",V139&lt;&gt;"",W139&lt;&gt;""),"COMPLETADO","OBSERVADO")</f>
        <v/>
      </c>
    </row>
    <row r="140" ht="15" customHeight="1" s="195">
      <c r="A140" s="280" t="n"/>
      <c r="B140" s="280" t="n"/>
      <c r="C140" s="280" t="n"/>
      <c r="D140" s="280" t="n"/>
      <c r="E140" s="280" t="n"/>
      <c r="F140" s="280" t="n"/>
      <c r="G140" s="280" t="n"/>
      <c r="H140" s="280" t="n"/>
      <c r="I140" s="332">
        <f>IFERROR(VLOOKUP(TEXT(H140,"0"),IPRESS!$A$3:$B$212,2,0),"")</f>
        <v/>
      </c>
      <c r="J140" s="280" t="n"/>
      <c r="K140" s="332">
        <f>IFERROR(VLOOKUP(TEXT(O140,"0"),CONDUCTORES!$A$3:$G$54,7,0),"")</f>
        <v/>
      </c>
      <c r="L140" s="280" t="n"/>
      <c r="M140" s="280" t="n"/>
      <c r="N140" s="333">
        <f>IFERROR(IF(L140*M140=0,"",L140*M140),"")</f>
        <v/>
      </c>
      <c r="O140" s="280" t="n"/>
      <c r="P140" s="332">
        <f>IFERROR(VLOOKUP(TEXT(O140,"0"),CONDUCTORES!$A$3:$G$54,2,0),"")</f>
        <v/>
      </c>
      <c r="Q140" s="332">
        <f>IFERROR(VLOOKUP(TEXT(O140,"0"),CONDUCTORES!$A$3:$H$54,6,0),"")</f>
        <v/>
      </c>
      <c r="R140" s="280" t="n"/>
      <c r="S140" s="280" t="n"/>
      <c r="T140" s="280" t="n"/>
      <c r="U140" s="280" t="n"/>
      <c r="V140" s="280" t="n"/>
      <c r="W140" s="280" t="n"/>
      <c r="X140" s="280" t="n"/>
      <c r="Y140" s="280" t="n"/>
      <c r="Z140" s="375">
        <f>IF(AND(G140&lt;&gt;"",R140&lt;&gt;"",V140&lt;&gt;"",W140&lt;&gt;""),"COMPLETADO","OBSERVADO")</f>
        <v/>
      </c>
    </row>
    <row r="141" ht="15" customHeight="1" s="195">
      <c r="A141" s="334" t="n"/>
      <c r="B141" s="334" t="n"/>
      <c r="C141" s="334" t="n"/>
      <c r="D141" s="334" t="n"/>
      <c r="E141" s="334" t="n"/>
      <c r="F141" s="334" t="n"/>
      <c r="G141" s="334" t="n"/>
      <c r="H141" s="334" t="n"/>
      <c r="I141" s="332">
        <f>IFERROR(VLOOKUP(TEXT(H141,"0"),IPRESS!$A$3:$B$212,2,0),"")</f>
        <v/>
      </c>
      <c r="J141" s="334" t="n"/>
      <c r="K141" s="332">
        <f>IFERROR(VLOOKUP(TEXT(O141,"0"),CONDUCTORES!$A$3:$G$54,7,0),"")</f>
        <v/>
      </c>
      <c r="L141" s="334" t="n"/>
      <c r="M141" s="334" t="n"/>
      <c r="N141" s="333">
        <f>IFERROR(IF(L141*M141=0,"",L141*M141),"")</f>
        <v/>
      </c>
      <c r="O141" s="334" t="n"/>
      <c r="P141" s="332">
        <f>IFERROR(VLOOKUP(TEXT(O141,"0"),CONDUCTORES!$A$3:$G$54,2,0),"")</f>
        <v/>
      </c>
      <c r="Q141" s="332">
        <f>IFERROR(VLOOKUP(TEXT(O141,"0"),CONDUCTORES!$A$3:$H$54,6,0),"")</f>
        <v/>
      </c>
      <c r="R141" s="334" t="n"/>
      <c r="S141" s="334" t="n"/>
      <c r="T141" s="334" t="n"/>
      <c r="U141" s="334" t="n"/>
      <c r="V141" s="334" t="n"/>
      <c r="W141" s="334" t="n"/>
      <c r="X141" s="334" t="n"/>
      <c r="Y141" s="334" t="n"/>
      <c r="Z141" s="375">
        <f>IF(AND(G141&lt;&gt;"",R141&lt;&gt;"",V141&lt;&gt;"",W141&lt;&gt;""),"COMPLETADO","OBSERVADO")</f>
        <v/>
      </c>
    </row>
    <row r="142" ht="15" customHeight="1" s="195">
      <c r="A142" s="280" t="n"/>
      <c r="B142" s="280" t="n"/>
      <c r="C142" s="280" t="n"/>
      <c r="D142" s="280" t="n"/>
      <c r="E142" s="280" t="n"/>
      <c r="F142" s="280" t="n"/>
      <c r="G142" s="280" t="n"/>
      <c r="H142" s="280" t="n"/>
      <c r="I142" s="332">
        <f>IFERROR(VLOOKUP(TEXT(H142,"0"),IPRESS!$A$3:$B$212,2,0),"")</f>
        <v/>
      </c>
      <c r="J142" s="280" t="n"/>
      <c r="K142" s="332">
        <f>IFERROR(VLOOKUP(TEXT(O142,"0"),CONDUCTORES!$A$3:$G$54,7,0),"")</f>
        <v/>
      </c>
      <c r="L142" s="280" t="n"/>
      <c r="M142" s="280" t="n"/>
      <c r="N142" s="333">
        <f>IFERROR(IF(L142*M142=0,"",L142*M142),"")</f>
        <v/>
      </c>
      <c r="O142" s="280" t="n"/>
      <c r="P142" s="332">
        <f>IFERROR(VLOOKUP(TEXT(O142,"0"),CONDUCTORES!$A$3:$G$54,2,0),"")</f>
        <v/>
      </c>
      <c r="Q142" s="332">
        <f>IFERROR(VLOOKUP(TEXT(O142,"0"),CONDUCTORES!$A$3:$H$54,6,0),"")</f>
        <v/>
      </c>
      <c r="R142" s="280" t="n"/>
      <c r="S142" s="280" t="n"/>
      <c r="T142" s="280" t="n"/>
      <c r="U142" s="280" t="n"/>
      <c r="V142" s="280" t="n"/>
      <c r="W142" s="280" t="n"/>
      <c r="X142" s="280" t="n"/>
      <c r="Y142" s="280" t="n"/>
      <c r="Z142" s="375">
        <f>IF(AND(G142&lt;&gt;"",R142&lt;&gt;"",V142&lt;&gt;"",W142&lt;&gt;""),"COMPLETADO","OBSERVADO")</f>
        <v/>
      </c>
    </row>
    <row r="143" ht="15" customHeight="1" s="195">
      <c r="A143" s="334" t="n"/>
      <c r="B143" s="334" t="n"/>
      <c r="C143" s="334" t="n"/>
      <c r="D143" s="334" t="n"/>
      <c r="E143" s="334" t="n"/>
      <c r="F143" s="334" t="n"/>
      <c r="G143" s="334" t="n"/>
      <c r="H143" s="334" t="n"/>
      <c r="I143" s="332">
        <f>IFERROR(VLOOKUP(TEXT(H143,"0"),IPRESS!$A$3:$B$212,2,0),"")</f>
        <v/>
      </c>
      <c r="J143" s="334" t="n"/>
      <c r="K143" s="332">
        <f>IFERROR(VLOOKUP(TEXT(O143,"0"),CONDUCTORES!$A$3:$G$54,7,0),"")</f>
        <v/>
      </c>
      <c r="L143" s="334" t="n"/>
      <c r="M143" s="334" t="n"/>
      <c r="N143" s="333">
        <f>IFERROR(IF(L143*M143=0,"",L143*M143),"")</f>
        <v/>
      </c>
      <c r="O143" s="334" t="n"/>
      <c r="P143" s="332">
        <f>IFERROR(VLOOKUP(TEXT(O143,"0"),CONDUCTORES!$A$3:$G$54,2,0),"")</f>
        <v/>
      </c>
      <c r="Q143" s="332">
        <f>IFERROR(VLOOKUP(TEXT(O143,"0"),CONDUCTORES!$A$3:$H$54,6,0),"")</f>
        <v/>
      </c>
      <c r="R143" s="334" t="n"/>
      <c r="S143" s="334" t="n"/>
      <c r="T143" s="334" t="n"/>
      <c r="U143" s="334" t="n"/>
      <c r="V143" s="334" t="n"/>
      <c r="W143" s="334" t="n"/>
      <c r="X143" s="334" t="n"/>
      <c r="Y143" s="334" t="n"/>
      <c r="Z143" s="375">
        <f>IF(AND(G143&lt;&gt;"",R143&lt;&gt;"",V143&lt;&gt;"",W143&lt;&gt;""),"COMPLETADO","OBSERVADO")</f>
        <v/>
      </c>
    </row>
    <row r="144" ht="15" customHeight="1" s="195">
      <c r="A144" s="280" t="n"/>
      <c r="B144" s="280" t="n"/>
      <c r="C144" s="280" t="n"/>
      <c r="D144" s="280" t="n"/>
      <c r="E144" s="280" t="n"/>
      <c r="F144" s="280" t="n"/>
      <c r="G144" s="280" t="n"/>
      <c r="H144" s="280" t="n"/>
      <c r="I144" s="332">
        <f>IFERROR(VLOOKUP(TEXT(H144,"0"),IPRESS!$A$3:$B$212,2,0),"")</f>
        <v/>
      </c>
      <c r="J144" s="280" t="n"/>
      <c r="K144" s="332">
        <f>IFERROR(VLOOKUP(TEXT(O144,"0"),CONDUCTORES!$A$3:$G$54,7,0),"")</f>
        <v/>
      </c>
      <c r="L144" s="280" t="n"/>
      <c r="M144" s="280" t="n"/>
      <c r="N144" s="333">
        <f>IFERROR(IF(L144*M144=0,"",L144*M144),"")</f>
        <v/>
      </c>
      <c r="O144" s="280" t="n"/>
      <c r="P144" s="332">
        <f>IFERROR(VLOOKUP(TEXT(O144,"0"),CONDUCTORES!$A$3:$G$54,2,0),"")</f>
        <v/>
      </c>
      <c r="Q144" s="332">
        <f>IFERROR(VLOOKUP(TEXT(O144,"0"),CONDUCTORES!$A$3:$H$54,6,0),"")</f>
        <v/>
      </c>
      <c r="R144" s="280" t="n"/>
      <c r="S144" s="280" t="n"/>
      <c r="T144" s="280" t="n"/>
      <c r="U144" s="280" t="n"/>
      <c r="V144" s="280" t="n"/>
      <c r="W144" s="280" t="n"/>
      <c r="X144" s="280" t="n"/>
      <c r="Y144" s="280" t="n"/>
      <c r="Z144" s="375">
        <f>IF(AND(G144&lt;&gt;"",R144&lt;&gt;"",V144&lt;&gt;"",W144&lt;&gt;""),"COMPLETADO","OBSERVADO")</f>
        <v/>
      </c>
    </row>
    <row r="145" ht="15" customHeight="1" s="195">
      <c r="A145" s="334" t="n"/>
      <c r="B145" s="334" t="n"/>
      <c r="C145" s="334" t="n"/>
      <c r="D145" s="334" t="n"/>
      <c r="E145" s="334" t="n"/>
      <c r="F145" s="334" t="n"/>
      <c r="G145" s="334" t="n"/>
      <c r="H145" s="334" t="n"/>
      <c r="I145" s="332">
        <f>IFERROR(VLOOKUP(TEXT(H145,"0"),IPRESS!$A$3:$B$212,2,0),"")</f>
        <v/>
      </c>
      <c r="J145" s="334" t="n"/>
      <c r="K145" s="332">
        <f>IFERROR(VLOOKUP(TEXT(O145,"0"),CONDUCTORES!$A$3:$G$54,7,0),"")</f>
        <v/>
      </c>
      <c r="L145" s="334" t="n"/>
      <c r="M145" s="334" t="n"/>
      <c r="N145" s="333">
        <f>IFERROR(IF(L145*M145=0,"",L145*M145),"")</f>
        <v/>
      </c>
      <c r="O145" s="334" t="n"/>
      <c r="P145" s="332">
        <f>IFERROR(VLOOKUP(TEXT(O145,"0"),CONDUCTORES!$A$3:$G$54,2,0),"")</f>
        <v/>
      </c>
      <c r="Q145" s="332">
        <f>IFERROR(VLOOKUP(TEXT(O145,"0"),CONDUCTORES!$A$3:$H$54,6,0),"")</f>
        <v/>
      </c>
      <c r="R145" s="334" t="n"/>
      <c r="S145" s="334" t="n"/>
      <c r="T145" s="334" t="n"/>
      <c r="U145" s="334" t="n"/>
      <c r="V145" s="334" t="n"/>
      <c r="W145" s="334" t="n"/>
      <c r="X145" s="334" t="n"/>
      <c r="Y145" s="334" t="n"/>
      <c r="Z145" s="375">
        <f>IF(AND(G145&lt;&gt;"",R145&lt;&gt;"",V145&lt;&gt;"",W145&lt;&gt;""),"COMPLETADO","OBSERVADO")</f>
        <v/>
      </c>
    </row>
    <row r="146" ht="15" customHeight="1" s="195">
      <c r="A146" s="280" t="n"/>
      <c r="B146" s="280" t="n"/>
      <c r="C146" s="280" t="n"/>
      <c r="D146" s="280" t="n"/>
      <c r="E146" s="280" t="n"/>
      <c r="F146" s="280" t="n"/>
      <c r="G146" s="280" t="n"/>
      <c r="H146" s="280" t="n"/>
      <c r="I146" s="332">
        <f>IFERROR(VLOOKUP(TEXT(H146,"0"),IPRESS!$A$3:$B$212,2,0),"")</f>
        <v/>
      </c>
      <c r="J146" s="280" t="n"/>
      <c r="K146" s="332">
        <f>IFERROR(VLOOKUP(TEXT(O146,"0"),CONDUCTORES!$A$3:$G$54,7,0),"")</f>
        <v/>
      </c>
      <c r="L146" s="280" t="n"/>
      <c r="M146" s="280" t="n"/>
      <c r="N146" s="333">
        <f>IFERROR(IF(L146*M146=0,"",L146*M146),"")</f>
        <v/>
      </c>
      <c r="O146" s="280" t="n"/>
      <c r="P146" s="332">
        <f>IFERROR(VLOOKUP(TEXT(O146,"0"),CONDUCTORES!$A$3:$G$54,2,0),"")</f>
        <v/>
      </c>
      <c r="Q146" s="332">
        <f>IFERROR(VLOOKUP(TEXT(O146,"0"),CONDUCTORES!$A$3:$H$54,6,0),"")</f>
        <v/>
      </c>
      <c r="R146" s="280" t="n"/>
      <c r="S146" s="280" t="n"/>
      <c r="T146" s="280" t="n"/>
      <c r="U146" s="280" t="n"/>
      <c r="V146" s="280" t="n"/>
      <c r="W146" s="280" t="n"/>
      <c r="X146" s="280" t="n"/>
      <c r="Y146" s="280" t="n"/>
      <c r="Z146" s="375">
        <f>IF(AND(G146&lt;&gt;"",R146&lt;&gt;"",V146&lt;&gt;"",W146&lt;&gt;""),"COMPLETADO","OBSERVADO")</f>
        <v/>
      </c>
    </row>
    <row r="147" ht="15" customHeight="1" s="195">
      <c r="A147" s="334" t="n"/>
      <c r="B147" s="334" t="n"/>
      <c r="C147" s="334" t="n"/>
      <c r="D147" s="334" t="n"/>
      <c r="E147" s="334" t="n"/>
      <c r="F147" s="334" t="n"/>
      <c r="G147" s="334" t="n"/>
      <c r="H147" s="334" t="n"/>
      <c r="I147" s="332">
        <f>IFERROR(VLOOKUP(TEXT(H147,"0"),IPRESS!$A$3:$B$212,2,0),"")</f>
        <v/>
      </c>
      <c r="J147" s="334" t="n"/>
      <c r="K147" s="332">
        <f>IFERROR(VLOOKUP(TEXT(O147,"0"),CONDUCTORES!$A$3:$G$54,7,0),"")</f>
        <v/>
      </c>
      <c r="L147" s="334" t="n"/>
      <c r="M147" s="334" t="n"/>
      <c r="N147" s="333">
        <f>IFERROR(IF(L147*M147=0,"",L147*M147),"")</f>
        <v/>
      </c>
      <c r="O147" s="334" t="n"/>
      <c r="P147" s="332">
        <f>IFERROR(VLOOKUP(TEXT(O147,"0"),CONDUCTORES!$A$3:$G$54,2,0),"")</f>
        <v/>
      </c>
      <c r="Q147" s="332">
        <f>IFERROR(VLOOKUP(TEXT(O147,"0"),CONDUCTORES!$A$3:$H$54,6,0),"")</f>
        <v/>
      </c>
      <c r="R147" s="334" t="n"/>
      <c r="S147" s="334" t="n"/>
      <c r="T147" s="334" t="n"/>
      <c r="U147" s="334" t="n"/>
      <c r="V147" s="334" t="n"/>
      <c r="W147" s="334" t="n"/>
      <c r="X147" s="334" t="n"/>
      <c r="Y147" s="334" t="n"/>
      <c r="Z147" s="375">
        <f>IF(AND(G147&lt;&gt;"",R147&lt;&gt;"",V147&lt;&gt;"",W147&lt;&gt;""),"COMPLETADO","OBSERVADO")</f>
        <v/>
      </c>
    </row>
    <row r="148" ht="15" customHeight="1" s="195">
      <c r="A148" s="280" t="n"/>
      <c r="B148" s="280" t="n"/>
      <c r="C148" s="280" t="n"/>
      <c r="D148" s="280" t="n"/>
      <c r="E148" s="280" t="n"/>
      <c r="F148" s="280" t="n"/>
      <c r="G148" s="280" t="n"/>
      <c r="H148" s="280" t="n"/>
      <c r="I148" s="332">
        <f>IFERROR(VLOOKUP(TEXT(H148,"0"),IPRESS!$A$3:$B$212,2,0),"")</f>
        <v/>
      </c>
      <c r="J148" s="280" t="n"/>
      <c r="K148" s="332">
        <f>IFERROR(VLOOKUP(TEXT(O148,"0"),CONDUCTORES!$A$3:$G$54,7,0),"")</f>
        <v/>
      </c>
      <c r="L148" s="280" t="n"/>
      <c r="M148" s="280" t="n"/>
      <c r="N148" s="333">
        <f>IFERROR(IF(L148*M148=0,"",L148*M148),"")</f>
        <v/>
      </c>
      <c r="O148" s="280" t="n"/>
      <c r="P148" s="332">
        <f>IFERROR(VLOOKUP(TEXT(O148,"0"),CONDUCTORES!$A$3:$G$54,2,0),"")</f>
        <v/>
      </c>
      <c r="Q148" s="332">
        <f>IFERROR(VLOOKUP(TEXT(O148,"0"),CONDUCTORES!$A$3:$H$54,6,0),"")</f>
        <v/>
      </c>
      <c r="R148" s="280" t="n"/>
      <c r="S148" s="280" t="n"/>
      <c r="T148" s="280" t="n"/>
      <c r="U148" s="280" t="n"/>
      <c r="V148" s="280" t="n"/>
      <c r="W148" s="280" t="n"/>
      <c r="X148" s="280" t="n"/>
      <c r="Y148" s="280" t="n"/>
      <c r="Z148" s="375">
        <f>IF(AND(G148&lt;&gt;"",R148&lt;&gt;"",V148&lt;&gt;"",W148&lt;&gt;""),"COMPLETADO","OBSERVADO")</f>
        <v/>
      </c>
    </row>
    <row r="149" ht="15" customHeight="1" s="195">
      <c r="A149" s="334" t="n"/>
      <c r="B149" s="334" t="n"/>
      <c r="C149" s="334" t="n"/>
      <c r="D149" s="334" t="n"/>
      <c r="E149" s="334" t="n"/>
      <c r="F149" s="334" t="n"/>
      <c r="G149" s="334" t="n"/>
      <c r="H149" s="334" t="n"/>
      <c r="I149" s="332">
        <f>IFERROR(VLOOKUP(TEXT(H149,"0"),IPRESS!$A$3:$B$212,2,0),"")</f>
        <v/>
      </c>
      <c r="J149" s="334" t="n"/>
      <c r="K149" s="332">
        <f>IFERROR(VLOOKUP(TEXT(O149,"0"),CONDUCTORES!$A$3:$G$54,7,0),"")</f>
        <v/>
      </c>
      <c r="L149" s="334" t="n"/>
      <c r="M149" s="334" t="n"/>
      <c r="N149" s="333">
        <f>IFERROR(IF(L149*M149=0,"",L149*M149),"")</f>
        <v/>
      </c>
      <c r="O149" s="334" t="n"/>
      <c r="P149" s="332">
        <f>IFERROR(VLOOKUP(TEXT(O149,"0"),CONDUCTORES!$A$3:$G$54,2,0),"")</f>
        <v/>
      </c>
      <c r="Q149" s="332">
        <f>IFERROR(VLOOKUP(TEXT(O149,"0"),CONDUCTORES!$A$3:$H$54,6,0),"")</f>
        <v/>
      </c>
      <c r="R149" s="334" t="n"/>
      <c r="S149" s="334" t="n"/>
      <c r="T149" s="334" t="n"/>
      <c r="U149" s="334" t="n"/>
      <c r="V149" s="334" t="n"/>
      <c r="W149" s="334" t="n"/>
      <c r="X149" s="334" t="n"/>
      <c r="Y149" s="334" t="n"/>
      <c r="Z149" s="375">
        <f>IF(AND(G149&lt;&gt;"",R149&lt;&gt;"",V149&lt;&gt;"",W149&lt;&gt;""),"COMPLETADO","OBSERVADO")</f>
        <v/>
      </c>
    </row>
    <row r="150" ht="15" customHeight="1" s="195">
      <c r="A150" s="280" t="n"/>
      <c r="B150" s="280" t="n"/>
      <c r="C150" s="280" t="n"/>
      <c r="D150" s="280" t="n"/>
      <c r="E150" s="280" t="n"/>
      <c r="F150" s="280" t="n"/>
      <c r="G150" s="280" t="n"/>
      <c r="H150" s="280" t="n"/>
      <c r="I150" s="332">
        <f>IFERROR(VLOOKUP(TEXT(H150,"0"),IPRESS!$A$3:$B$212,2,0),"")</f>
        <v/>
      </c>
      <c r="J150" s="280" t="n"/>
      <c r="K150" s="332">
        <f>IFERROR(VLOOKUP(TEXT(O150,"0"),CONDUCTORES!$A$3:$G$54,7,0),"")</f>
        <v/>
      </c>
      <c r="L150" s="280" t="n"/>
      <c r="M150" s="280" t="n"/>
      <c r="N150" s="333">
        <f>IFERROR(IF(L150*M150=0,"",L150*M150),"")</f>
        <v/>
      </c>
      <c r="O150" s="280" t="n"/>
      <c r="P150" s="332">
        <f>IFERROR(VLOOKUP(TEXT(O150,"0"),CONDUCTORES!$A$3:$G$54,2,0),"")</f>
        <v/>
      </c>
      <c r="Q150" s="332">
        <f>IFERROR(VLOOKUP(TEXT(O150,"0"),CONDUCTORES!$A$3:$H$54,6,0),"")</f>
        <v/>
      </c>
      <c r="R150" s="280" t="n"/>
      <c r="S150" s="280" t="n"/>
      <c r="T150" s="280" t="n"/>
      <c r="U150" s="280" t="n"/>
      <c r="V150" s="280" t="n"/>
      <c r="W150" s="280" t="n"/>
      <c r="X150" s="280" t="n"/>
      <c r="Y150" s="280" t="n"/>
      <c r="Z150" s="375">
        <f>IF(AND(G150&lt;&gt;"",R150&lt;&gt;"",V150&lt;&gt;"",W150&lt;&gt;""),"COMPLETADO","OBSERVADO")</f>
        <v/>
      </c>
    </row>
    <row r="151" ht="15" customHeight="1" s="195">
      <c r="A151" s="334" t="n"/>
      <c r="B151" s="334" t="n"/>
      <c r="C151" s="334" t="n"/>
      <c r="D151" s="334" t="n"/>
      <c r="E151" s="334" t="n"/>
      <c r="F151" s="334" t="n"/>
      <c r="G151" s="334" t="n"/>
      <c r="H151" s="334" t="n"/>
      <c r="I151" s="332">
        <f>IFERROR(VLOOKUP(TEXT(H151,"0"),IPRESS!$A$3:$B$212,2,0),"")</f>
        <v/>
      </c>
      <c r="J151" s="334" t="n"/>
      <c r="K151" s="332">
        <f>IFERROR(VLOOKUP(TEXT(O151,"0"),CONDUCTORES!$A$3:$G$54,7,0),"")</f>
        <v/>
      </c>
      <c r="L151" s="334" t="n"/>
      <c r="M151" s="334" t="n"/>
      <c r="N151" s="333">
        <f>IFERROR(IF(L151*M151=0,"",L151*M151),"")</f>
        <v/>
      </c>
      <c r="O151" s="334" t="n"/>
      <c r="P151" s="332">
        <f>IFERROR(VLOOKUP(TEXT(O151,"0"),CONDUCTORES!$A$3:$G$54,2,0),"")</f>
        <v/>
      </c>
      <c r="Q151" s="332">
        <f>IFERROR(VLOOKUP(TEXT(O151,"0"),CONDUCTORES!$A$3:$H$54,6,0),"")</f>
        <v/>
      </c>
      <c r="R151" s="334" t="n"/>
      <c r="S151" s="334" t="n"/>
      <c r="T151" s="334" t="n"/>
      <c r="U151" s="334" t="n"/>
      <c r="V151" s="334" t="n"/>
      <c r="W151" s="334" t="n"/>
      <c r="X151" s="334" t="n"/>
      <c r="Y151" s="334" t="n"/>
      <c r="Z151" s="375">
        <f>IF(AND(G151&lt;&gt;"",R151&lt;&gt;"",V151&lt;&gt;"",W151&lt;&gt;""),"COMPLETADO","OBSERVADO")</f>
        <v/>
      </c>
    </row>
    <row r="152" ht="15" customHeight="1" s="195">
      <c r="A152" s="280" t="n"/>
      <c r="B152" s="280" t="n"/>
      <c r="C152" s="280" t="n"/>
      <c r="D152" s="280" t="n"/>
      <c r="E152" s="280" t="n"/>
      <c r="F152" s="280" t="n"/>
      <c r="G152" s="280" t="n"/>
      <c r="H152" s="280" t="n"/>
      <c r="I152" s="332">
        <f>IFERROR(VLOOKUP(TEXT(H152,"0"),IPRESS!$A$3:$B$212,2,0),"")</f>
        <v/>
      </c>
      <c r="J152" s="280" t="n"/>
      <c r="K152" s="332">
        <f>IFERROR(VLOOKUP(TEXT(O152,"0"),CONDUCTORES!$A$3:$G$54,7,0),"")</f>
        <v/>
      </c>
      <c r="L152" s="280" t="n"/>
      <c r="M152" s="280" t="n"/>
      <c r="N152" s="333">
        <f>IFERROR(IF(L152*M152=0,"",L152*M152),"")</f>
        <v/>
      </c>
      <c r="O152" s="280" t="n"/>
      <c r="P152" s="332">
        <f>IFERROR(VLOOKUP(TEXT(O152,"0"),CONDUCTORES!$A$3:$G$54,2,0),"")</f>
        <v/>
      </c>
      <c r="Q152" s="332">
        <f>IFERROR(VLOOKUP(TEXT(O152,"0"),CONDUCTORES!$A$3:$H$54,6,0),"")</f>
        <v/>
      </c>
      <c r="R152" s="280" t="n"/>
      <c r="S152" s="280" t="n"/>
      <c r="T152" s="280" t="n"/>
      <c r="U152" s="280" t="n"/>
      <c r="V152" s="280" t="n"/>
      <c r="W152" s="280" t="n"/>
      <c r="X152" s="280" t="n"/>
      <c r="Y152" s="280" t="n"/>
      <c r="Z152" s="375">
        <f>IF(AND(G152&lt;&gt;"",R152&lt;&gt;"",V152&lt;&gt;"",W152&lt;&gt;""),"COMPLETADO","OBSERVADO")</f>
        <v/>
      </c>
    </row>
    <row r="153" ht="15" customHeight="1" s="195">
      <c r="A153" s="334" t="n"/>
      <c r="B153" s="334" t="n"/>
      <c r="C153" s="334" t="n"/>
      <c r="D153" s="334" t="n"/>
      <c r="E153" s="334" t="n"/>
      <c r="F153" s="334" t="n"/>
      <c r="G153" s="334" t="n"/>
      <c r="H153" s="334" t="n"/>
      <c r="I153" s="332">
        <f>IFERROR(VLOOKUP(TEXT(H153,"0"),IPRESS!$A$3:$B$212,2,0),"")</f>
        <v/>
      </c>
      <c r="J153" s="334" t="n"/>
      <c r="K153" s="332">
        <f>IFERROR(VLOOKUP(TEXT(O153,"0"),CONDUCTORES!$A$3:$G$54,7,0),"")</f>
        <v/>
      </c>
      <c r="L153" s="334" t="n"/>
      <c r="M153" s="334" t="n"/>
      <c r="N153" s="333">
        <f>IFERROR(IF(L153*M153=0,"",L153*M153),"")</f>
        <v/>
      </c>
      <c r="O153" s="334" t="n"/>
      <c r="P153" s="332">
        <f>IFERROR(VLOOKUP(TEXT(O153,"0"),CONDUCTORES!$A$3:$G$54,2,0),"")</f>
        <v/>
      </c>
      <c r="Q153" s="332">
        <f>IFERROR(VLOOKUP(TEXT(O153,"0"),CONDUCTORES!$A$3:$H$54,6,0),"")</f>
        <v/>
      </c>
      <c r="R153" s="334" t="n"/>
      <c r="S153" s="334" t="n"/>
      <c r="T153" s="334" t="n"/>
      <c r="U153" s="334" t="n"/>
      <c r="V153" s="334" t="n"/>
      <c r="W153" s="334" t="n"/>
      <c r="X153" s="334" t="n"/>
      <c r="Y153" s="334" t="n"/>
      <c r="Z153" s="375">
        <f>IF(AND(G153&lt;&gt;"",R153&lt;&gt;"",V153&lt;&gt;"",W153&lt;&gt;""),"COMPLETADO","OBSERVADO")</f>
        <v/>
      </c>
    </row>
    <row r="154" ht="15" customHeight="1" s="195">
      <c r="A154" s="280" t="n"/>
      <c r="B154" s="280" t="n"/>
      <c r="C154" s="280" t="n"/>
      <c r="D154" s="280" t="n"/>
      <c r="E154" s="280" t="n"/>
      <c r="F154" s="280" t="n"/>
      <c r="G154" s="280" t="n"/>
      <c r="H154" s="280" t="n"/>
      <c r="I154" s="332">
        <f>IFERROR(VLOOKUP(TEXT(H154,"0"),IPRESS!$A$3:$B$212,2,0),"")</f>
        <v/>
      </c>
      <c r="J154" s="280" t="n"/>
      <c r="K154" s="332">
        <f>IFERROR(VLOOKUP(TEXT(O154,"0"),CONDUCTORES!$A$3:$G$54,7,0),"")</f>
        <v/>
      </c>
      <c r="L154" s="280" t="n"/>
      <c r="M154" s="280" t="n"/>
      <c r="N154" s="333">
        <f>IFERROR(IF(L154*M154=0,"",L154*M154),"")</f>
        <v/>
      </c>
      <c r="O154" s="280" t="n"/>
      <c r="P154" s="332">
        <f>IFERROR(VLOOKUP(TEXT(O154,"0"),CONDUCTORES!$A$3:$G$54,2,0),"")</f>
        <v/>
      </c>
      <c r="Q154" s="332">
        <f>IFERROR(VLOOKUP(TEXT(O154,"0"),CONDUCTORES!$A$3:$H$54,6,0),"")</f>
        <v/>
      </c>
      <c r="R154" s="280" t="n"/>
      <c r="S154" s="280" t="n"/>
      <c r="T154" s="280" t="n"/>
      <c r="U154" s="280" t="n"/>
      <c r="V154" s="280" t="n"/>
      <c r="W154" s="280" t="n"/>
      <c r="X154" s="280" t="n"/>
      <c r="Y154" s="280" t="n"/>
      <c r="Z154" s="375">
        <f>IF(AND(G154&lt;&gt;"",R154&lt;&gt;"",V154&lt;&gt;"",W154&lt;&gt;""),"COMPLETADO","OBSERVADO")</f>
        <v/>
      </c>
    </row>
    <row r="155" ht="15" customHeight="1" s="195">
      <c r="A155" s="334" t="n"/>
      <c r="B155" s="334" t="n"/>
      <c r="C155" s="334" t="n"/>
      <c r="D155" s="334" t="n"/>
      <c r="E155" s="334" t="n"/>
      <c r="F155" s="334" t="n"/>
      <c r="G155" s="334" t="n"/>
      <c r="H155" s="334" t="n"/>
      <c r="I155" s="332">
        <f>IFERROR(VLOOKUP(TEXT(H155,"0"),IPRESS!$A$3:$B$212,2,0),"")</f>
        <v/>
      </c>
      <c r="J155" s="334" t="n"/>
      <c r="K155" s="332">
        <f>IFERROR(VLOOKUP(TEXT(O155,"0"),CONDUCTORES!$A$3:$G$54,7,0),"")</f>
        <v/>
      </c>
      <c r="L155" s="334" t="n"/>
      <c r="M155" s="334" t="n"/>
      <c r="N155" s="333">
        <f>IFERROR(IF(L155*M155=0,"",L155*M155),"")</f>
        <v/>
      </c>
      <c r="O155" s="334" t="n"/>
      <c r="P155" s="332">
        <f>IFERROR(VLOOKUP(TEXT(O155,"0"),CONDUCTORES!$A$3:$G$54,2,0),"")</f>
        <v/>
      </c>
      <c r="Q155" s="332">
        <f>IFERROR(VLOOKUP(TEXT(O155,"0"),CONDUCTORES!$A$3:$H$54,6,0),"")</f>
        <v/>
      </c>
      <c r="R155" s="334" t="n"/>
      <c r="S155" s="334" t="n"/>
      <c r="T155" s="334" t="n"/>
      <c r="U155" s="334" t="n"/>
      <c r="V155" s="334" t="n"/>
      <c r="W155" s="334" t="n"/>
      <c r="X155" s="334" t="n"/>
      <c r="Y155" s="334" t="n"/>
      <c r="Z155" s="375">
        <f>IF(AND(G155&lt;&gt;"",R155&lt;&gt;"",V155&lt;&gt;"",W155&lt;&gt;""),"COMPLETADO","OBSERVADO")</f>
        <v/>
      </c>
    </row>
    <row r="156" ht="15" customHeight="1" s="195">
      <c r="A156" s="280" t="n"/>
      <c r="B156" s="280" t="n"/>
      <c r="C156" s="280" t="n"/>
      <c r="D156" s="280" t="n"/>
      <c r="E156" s="280" t="n"/>
      <c r="F156" s="280" t="n"/>
      <c r="G156" s="280" t="n"/>
      <c r="H156" s="280" t="n"/>
      <c r="I156" s="332">
        <f>IFERROR(VLOOKUP(TEXT(H156,"0"),IPRESS!$A$3:$B$212,2,0),"")</f>
        <v/>
      </c>
      <c r="J156" s="280" t="n"/>
      <c r="K156" s="332">
        <f>IFERROR(VLOOKUP(TEXT(O156,"0"),CONDUCTORES!$A$3:$G$54,7,0),"")</f>
        <v/>
      </c>
      <c r="L156" s="280" t="n"/>
      <c r="M156" s="280" t="n"/>
      <c r="N156" s="333">
        <f>IFERROR(IF(L156*M156=0,"",L156*M156),"")</f>
        <v/>
      </c>
      <c r="O156" s="280" t="n"/>
      <c r="P156" s="332">
        <f>IFERROR(VLOOKUP(TEXT(O156,"0"),CONDUCTORES!$A$3:$G$54,2,0),"")</f>
        <v/>
      </c>
      <c r="Q156" s="332">
        <f>IFERROR(VLOOKUP(TEXT(O156,"0"),CONDUCTORES!$A$3:$H$54,6,0),"")</f>
        <v/>
      </c>
      <c r="R156" s="280" t="n"/>
      <c r="S156" s="280" t="n"/>
      <c r="T156" s="280" t="n"/>
      <c r="U156" s="280" t="n"/>
      <c r="V156" s="280" t="n"/>
      <c r="W156" s="280" t="n"/>
      <c r="X156" s="280" t="n"/>
      <c r="Y156" s="280" t="n"/>
      <c r="Z156" s="375">
        <f>IF(AND(G156&lt;&gt;"",R156&lt;&gt;"",V156&lt;&gt;"",W156&lt;&gt;""),"COMPLETADO","OBSERVADO")</f>
        <v/>
      </c>
    </row>
    <row r="157" ht="15" customHeight="1" s="195">
      <c r="A157" s="334" t="n"/>
      <c r="B157" s="334" t="n"/>
      <c r="C157" s="334" t="n"/>
      <c r="D157" s="334" t="n"/>
      <c r="E157" s="334" t="n"/>
      <c r="F157" s="334" t="n"/>
      <c r="G157" s="334" t="n"/>
      <c r="H157" s="334" t="n"/>
      <c r="I157" s="332">
        <f>IFERROR(VLOOKUP(TEXT(H157,"0"),IPRESS!$A$3:$B$212,2,0),"")</f>
        <v/>
      </c>
      <c r="J157" s="334" t="n"/>
      <c r="K157" s="332">
        <f>IFERROR(VLOOKUP(TEXT(O157,"0"),CONDUCTORES!$A$3:$G$54,7,0),"")</f>
        <v/>
      </c>
      <c r="L157" s="334" t="n"/>
      <c r="M157" s="334" t="n"/>
      <c r="N157" s="333">
        <f>IFERROR(IF(L157*M157=0,"",L157*M157),"")</f>
        <v/>
      </c>
      <c r="O157" s="334" t="n"/>
      <c r="P157" s="332">
        <f>IFERROR(VLOOKUP(TEXT(O157,"0"),CONDUCTORES!$A$3:$G$54,2,0),"")</f>
        <v/>
      </c>
      <c r="Q157" s="332">
        <f>IFERROR(VLOOKUP(TEXT(O157,"0"),CONDUCTORES!$A$3:$H$54,6,0),"")</f>
        <v/>
      </c>
      <c r="R157" s="334" t="n"/>
      <c r="S157" s="334" t="n"/>
      <c r="T157" s="334" t="n"/>
      <c r="U157" s="334" t="n"/>
      <c r="V157" s="334" t="n"/>
      <c r="W157" s="334" t="n"/>
      <c r="X157" s="334" t="n"/>
      <c r="Y157" s="334" t="n"/>
      <c r="Z157" s="375">
        <f>IF(AND(G157&lt;&gt;"",R157&lt;&gt;"",V157&lt;&gt;"",W157&lt;&gt;""),"COMPLETADO","OBSERVADO")</f>
        <v/>
      </c>
    </row>
    <row r="158" ht="15" customHeight="1" s="195">
      <c r="A158" s="280" t="n"/>
      <c r="B158" s="280" t="n"/>
      <c r="C158" s="280" t="n"/>
      <c r="D158" s="280" t="n"/>
      <c r="E158" s="280" t="n"/>
      <c r="F158" s="280" t="n"/>
      <c r="G158" s="280" t="n"/>
      <c r="H158" s="280" t="n"/>
      <c r="I158" s="332">
        <f>IFERROR(VLOOKUP(TEXT(H158,"0"),IPRESS!$A$3:$B$212,2,0),"")</f>
        <v/>
      </c>
      <c r="J158" s="280" t="n"/>
      <c r="K158" s="332">
        <f>IFERROR(VLOOKUP(TEXT(O158,"0"),CONDUCTORES!$A$3:$G$54,7,0),"")</f>
        <v/>
      </c>
      <c r="L158" s="280" t="n"/>
      <c r="M158" s="280" t="n"/>
      <c r="N158" s="333">
        <f>IFERROR(IF(L158*M158=0,"",L158*M158),"")</f>
        <v/>
      </c>
      <c r="O158" s="280" t="n"/>
      <c r="P158" s="332">
        <f>IFERROR(VLOOKUP(TEXT(O158,"0"),CONDUCTORES!$A$3:$G$54,2,0),"")</f>
        <v/>
      </c>
      <c r="Q158" s="332">
        <f>IFERROR(VLOOKUP(TEXT(O158,"0"),CONDUCTORES!$A$3:$H$54,6,0),"")</f>
        <v/>
      </c>
      <c r="R158" s="280" t="n"/>
      <c r="S158" s="280" t="n"/>
      <c r="T158" s="280" t="n"/>
      <c r="U158" s="280" t="n"/>
      <c r="V158" s="280" t="n"/>
      <c r="W158" s="280" t="n"/>
      <c r="X158" s="280" t="n"/>
      <c r="Y158" s="280" t="n"/>
      <c r="Z158" s="375">
        <f>IF(AND(G158&lt;&gt;"",R158&lt;&gt;"",V158&lt;&gt;"",W158&lt;&gt;""),"COMPLETADO","OBSERVADO")</f>
        <v/>
      </c>
    </row>
    <row r="159" ht="15" customHeight="1" s="195">
      <c r="A159" s="334" t="n"/>
      <c r="B159" s="334" t="n"/>
      <c r="C159" s="334" t="n"/>
      <c r="D159" s="334" t="n"/>
      <c r="E159" s="334" t="n"/>
      <c r="F159" s="334" t="n"/>
      <c r="G159" s="334" t="n"/>
      <c r="H159" s="334" t="n"/>
      <c r="I159" s="332">
        <f>IFERROR(VLOOKUP(TEXT(H159,"0"),IPRESS!$A$3:$B$212,2,0),"")</f>
        <v/>
      </c>
      <c r="J159" s="334" t="n"/>
      <c r="K159" s="332">
        <f>IFERROR(VLOOKUP(TEXT(O159,"0"),CONDUCTORES!$A$3:$G$54,7,0),"")</f>
        <v/>
      </c>
      <c r="L159" s="334" t="n"/>
      <c r="M159" s="334" t="n"/>
      <c r="N159" s="333">
        <f>IFERROR(IF(L159*M159=0,"",L159*M159),"")</f>
        <v/>
      </c>
      <c r="O159" s="334" t="n"/>
      <c r="P159" s="332">
        <f>IFERROR(VLOOKUP(TEXT(O159,"0"),CONDUCTORES!$A$3:$G$54,2,0),"")</f>
        <v/>
      </c>
      <c r="Q159" s="332">
        <f>IFERROR(VLOOKUP(TEXT(O159,"0"),CONDUCTORES!$A$3:$H$54,6,0),"")</f>
        <v/>
      </c>
      <c r="R159" s="334" t="n"/>
      <c r="S159" s="334" t="n"/>
      <c r="T159" s="334" t="n"/>
      <c r="U159" s="334" t="n"/>
      <c r="V159" s="334" t="n"/>
      <c r="W159" s="334" t="n"/>
      <c r="X159" s="334" t="n"/>
      <c r="Y159" s="334" t="n"/>
      <c r="Z159" s="375">
        <f>IF(AND(G159&lt;&gt;"",R159&lt;&gt;"",V159&lt;&gt;"",W159&lt;&gt;""),"COMPLETADO","OBSERVADO")</f>
        <v/>
      </c>
    </row>
    <row r="160" ht="15" customHeight="1" s="195">
      <c r="A160" s="280" t="n"/>
      <c r="B160" s="280" t="n"/>
      <c r="C160" s="280" t="n"/>
      <c r="D160" s="280" t="n"/>
      <c r="E160" s="280" t="n"/>
      <c r="F160" s="280" t="n"/>
      <c r="G160" s="280" t="n"/>
      <c r="H160" s="280" t="n"/>
      <c r="I160" s="332">
        <f>IFERROR(VLOOKUP(TEXT(H160,"0"),IPRESS!$A$3:$B$212,2,0),"")</f>
        <v/>
      </c>
      <c r="J160" s="280" t="n"/>
      <c r="K160" s="332">
        <f>IFERROR(VLOOKUP(TEXT(O160,"0"),CONDUCTORES!$A$3:$G$54,7,0),"")</f>
        <v/>
      </c>
      <c r="L160" s="280" t="n"/>
      <c r="M160" s="280" t="n"/>
      <c r="N160" s="333">
        <f>IFERROR(IF(L160*M160=0,"",L160*M160),"")</f>
        <v/>
      </c>
      <c r="O160" s="280" t="n"/>
      <c r="P160" s="332">
        <f>IFERROR(VLOOKUP(TEXT(O160,"0"),CONDUCTORES!$A$3:$G$54,2,0),"")</f>
        <v/>
      </c>
      <c r="Q160" s="332">
        <f>IFERROR(VLOOKUP(TEXT(O160,"0"),CONDUCTORES!$A$3:$H$54,6,0),"")</f>
        <v/>
      </c>
      <c r="R160" s="280" t="n"/>
      <c r="S160" s="280" t="n"/>
      <c r="T160" s="280" t="n"/>
      <c r="U160" s="280" t="n"/>
      <c r="V160" s="280" t="n"/>
      <c r="W160" s="280" t="n"/>
      <c r="X160" s="280" t="n"/>
      <c r="Y160" s="280" t="n"/>
      <c r="Z160" s="375">
        <f>IF(AND(G160&lt;&gt;"",R160&lt;&gt;"",V160&lt;&gt;"",W160&lt;&gt;""),"COMPLETADO","OBSERVADO")</f>
        <v/>
      </c>
    </row>
    <row r="161" ht="15" customHeight="1" s="195">
      <c r="A161" s="334" t="n"/>
      <c r="B161" s="334" t="n"/>
      <c r="C161" s="334" t="n"/>
      <c r="D161" s="334" t="n"/>
      <c r="E161" s="334" t="n"/>
      <c r="F161" s="334" t="n"/>
      <c r="G161" s="334" t="n"/>
      <c r="H161" s="334" t="n"/>
      <c r="I161" s="332">
        <f>IFERROR(VLOOKUP(TEXT(H161,"0"),IPRESS!$A$3:$B$212,2,0),"")</f>
        <v/>
      </c>
      <c r="J161" s="334" t="n"/>
      <c r="K161" s="332">
        <f>IFERROR(VLOOKUP(TEXT(O161,"0"),CONDUCTORES!$A$3:$G$54,7,0),"")</f>
        <v/>
      </c>
      <c r="L161" s="334" t="n"/>
      <c r="M161" s="334" t="n"/>
      <c r="N161" s="333">
        <f>IFERROR(IF(L161*M161=0,"",L161*M161),"")</f>
        <v/>
      </c>
      <c r="O161" s="334" t="n"/>
      <c r="P161" s="332">
        <f>IFERROR(VLOOKUP(TEXT(O161,"0"),CONDUCTORES!$A$3:$G$54,2,0),"")</f>
        <v/>
      </c>
      <c r="Q161" s="332">
        <f>IFERROR(VLOOKUP(TEXT(O161,"0"),CONDUCTORES!$A$3:$H$54,6,0),"")</f>
        <v/>
      </c>
      <c r="R161" s="334" t="n"/>
      <c r="S161" s="334" t="n"/>
      <c r="T161" s="334" t="n"/>
      <c r="U161" s="334" t="n"/>
      <c r="V161" s="334" t="n"/>
      <c r="W161" s="334" t="n"/>
      <c r="X161" s="334" t="n"/>
      <c r="Y161" s="334" t="n"/>
      <c r="Z161" s="375">
        <f>IF(AND(G161&lt;&gt;"",R161&lt;&gt;"",V161&lt;&gt;"",W161&lt;&gt;""),"COMPLETADO","OBSERVADO")</f>
        <v/>
      </c>
    </row>
    <row r="162" ht="15" customHeight="1" s="195">
      <c r="A162" s="280" t="n"/>
      <c r="B162" s="280" t="n"/>
      <c r="C162" s="280" t="n"/>
      <c r="D162" s="280" t="n"/>
      <c r="E162" s="280" t="n"/>
      <c r="F162" s="280" t="n"/>
      <c r="G162" s="280" t="n"/>
      <c r="H162" s="280" t="n"/>
      <c r="I162" s="332">
        <f>IFERROR(VLOOKUP(TEXT(H162,"0"),IPRESS!$A$3:$B$212,2,0),"")</f>
        <v/>
      </c>
      <c r="J162" s="280" t="n"/>
      <c r="K162" s="332">
        <f>IFERROR(VLOOKUP(TEXT(O162,"0"),CONDUCTORES!$A$3:$G$54,7,0),"")</f>
        <v/>
      </c>
      <c r="L162" s="280" t="n"/>
      <c r="M162" s="280" t="n"/>
      <c r="N162" s="333">
        <f>IFERROR(IF(L162*M162=0,"",L162*M162),"")</f>
        <v/>
      </c>
      <c r="O162" s="280" t="n"/>
      <c r="P162" s="332">
        <f>IFERROR(VLOOKUP(TEXT(O162,"0"),CONDUCTORES!$A$3:$G$54,2,0),"")</f>
        <v/>
      </c>
      <c r="Q162" s="332">
        <f>IFERROR(VLOOKUP(TEXT(O162,"0"),CONDUCTORES!$A$3:$H$54,6,0),"")</f>
        <v/>
      </c>
      <c r="R162" s="280" t="n"/>
      <c r="S162" s="280" t="n"/>
      <c r="T162" s="280" t="n"/>
      <c r="U162" s="280" t="n"/>
      <c r="V162" s="280" t="n"/>
      <c r="W162" s="280" t="n"/>
      <c r="X162" s="280" t="n"/>
      <c r="Y162" s="280" t="n"/>
      <c r="Z162" s="375">
        <f>IF(AND(G162&lt;&gt;"",R162&lt;&gt;"",V162&lt;&gt;"",W162&lt;&gt;""),"COMPLETADO","OBSERVADO")</f>
        <v/>
      </c>
    </row>
    <row r="163" ht="15" customHeight="1" s="195">
      <c r="A163" s="334" t="n"/>
      <c r="B163" s="334" t="n"/>
      <c r="C163" s="334" t="n"/>
      <c r="D163" s="334" t="n"/>
      <c r="E163" s="334" t="n"/>
      <c r="F163" s="334" t="n"/>
      <c r="G163" s="334" t="n"/>
      <c r="H163" s="334" t="n"/>
      <c r="I163" s="332">
        <f>IFERROR(VLOOKUP(TEXT(H163,"0"),IPRESS!$A$3:$B$212,2,0),"")</f>
        <v/>
      </c>
      <c r="J163" s="334" t="n"/>
      <c r="K163" s="332">
        <f>IFERROR(VLOOKUP(TEXT(O163,"0"),CONDUCTORES!$A$3:$G$54,7,0),"")</f>
        <v/>
      </c>
      <c r="L163" s="334" t="n"/>
      <c r="M163" s="334" t="n"/>
      <c r="N163" s="333">
        <f>IFERROR(IF(L163*M163=0,"",L163*M163),"")</f>
        <v/>
      </c>
      <c r="O163" s="334" t="n"/>
      <c r="P163" s="332">
        <f>IFERROR(VLOOKUP(TEXT(O163,"0"),CONDUCTORES!$A$3:$G$54,2,0),"")</f>
        <v/>
      </c>
      <c r="Q163" s="332">
        <f>IFERROR(VLOOKUP(TEXT(O163,"0"),CONDUCTORES!$A$3:$H$54,6,0),"")</f>
        <v/>
      </c>
      <c r="R163" s="334" t="n"/>
      <c r="S163" s="334" t="n"/>
      <c r="T163" s="334" t="n"/>
      <c r="U163" s="334" t="n"/>
      <c r="V163" s="334" t="n"/>
      <c r="W163" s="334" t="n"/>
      <c r="X163" s="334" t="n"/>
      <c r="Y163" s="334" t="n"/>
      <c r="Z163" s="375">
        <f>IF(AND(G163&lt;&gt;"",R163&lt;&gt;"",V163&lt;&gt;"",W163&lt;&gt;""),"COMPLETADO","OBSERVADO")</f>
        <v/>
      </c>
    </row>
    <row r="164" ht="15" customHeight="1" s="195">
      <c r="A164" s="280" t="n"/>
      <c r="B164" s="280" t="n"/>
      <c r="C164" s="280" t="n"/>
      <c r="D164" s="280" t="n"/>
      <c r="E164" s="280" t="n"/>
      <c r="F164" s="280" t="n"/>
      <c r="G164" s="280" t="n"/>
      <c r="H164" s="280" t="n"/>
      <c r="I164" s="332">
        <f>IFERROR(VLOOKUP(TEXT(H164,"0"),IPRESS!$A$3:$B$212,2,0),"")</f>
        <v/>
      </c>
      <c r="J164" s="280" t="n"/>
      <c r="K164" s="332">
        <f>IFERROR(VLOOKUP(TEXT(O164,"0"),CONDUCTORES!$A$3:$G$54,7,0),"")</f>
        <v/>
      </c>
      <c r="L164" s="280" t="n"/>
      <c r="M164" s="280" t="n"/>
      <c r="N164" s="333">
        <f>IFERROR(IF(L164*M164=0,"",L164*M164),"")</f>
        <v/>
      </c>
      <c r="O164" s="280" t="n"/>
      <c r="P164" s="332">
        <f>IFERROR(VLOOKUP(TEXT(O164,"0"),CONDUCTORES!$A$3:$G$54,2,0),"")</f>
        <v/>
      </c>
      <c r="Q164" s="332">
        <f>IFERROR(VLOOKUP(TEXT(O164,"0"),CONDUCTORES!$A$3:$H$54,6,0),"")</f>
        <v/>
      </c>
      <c r="R164" s="280" t="n"/>
      <c r="S164" s="280" t="n"/>
      <c r="T164" s="280" t="n"/>
      <c r="U164" s="280" t="n"/>
      <c r="V164" s="280" t="n"/>
      <c r="W164" s="280" t="n"/>
      <c r="X164" s="280" t="n"/>
      <c r="Y164" s="280" t="n"/>
      <c r="Z164" s="375">
        <f>IF(AND(G164&lt;&gt;"",R164&lt;&gt;"",V164&lt;&gt;"",W164&lt;&gt;""),"COMPLETADO","OBSERVADO")</f>
        <v/>
      </c>
    </row>
    <row r="165" ht="15" customHeight="1" s="195">
      <c r="A165" s="334" t="n"/>
      <c r="B165" s="334" t="n"/>
      <c r="C165" s="334" t="n"/>
      <c r="D165" s="334" t="n"/>
      <c r="E165" s="334" t="n"/>
      <c r="F165" s="334" t="n"/>
      <c r="G165" s="334" t="n"/>
      <c r="H165" s="334" t="n"/>
      <c r="I165" s="332">
        <f>IFERROR(VLOOKUP(TEXT(H165,"0"),IPRESS!$A$3:$B$212,2,0),"")</f>
        <v/>
      </c>
      <c r="J165" s="334" t="n"/>
      <c r="K165" s="332">
        <f>IFERROR(VLOOKUP(TEXT(O165,"0"),CONDUCTORES!$A$3:$G$54,7,0),"")</f>
        <v/>
      </c>
      <c r="L165" s="334" t="n"/>
      <c r="M165" s="334" t="n"/>
      <c r="N165" s="333">
        <f>IFERROR(IF(L165*M165=0,"",L165*M165),"")</f>
        <v/>
      </c>
      <c r="O165" s="334" t="n"/>
      <c r="P165" s="332">
        <f>IFERROR(VLOOKUP(TEXT(O165,"0"),CONDUCTORES!$A$3:$G$54,2,0),"")</f>
        <v/>
      </c>
      <c r="Q165" s="332">
        <f>IFERROR(VLOOKUP(TEXT(O165,"0"),CONDUCTORES!$A$3:$H$54,6,0),"")</f>
        <v/>
      </c>
      <c r="R165" s="334" t="n"/>
      <c r="S165" s="334" t="n"/>
      <c r="T165" s="334" t="n"/>
      <c r="U165" s="334" t="n"/>
      <c r="V165" s="334" t="n"/>
      <c r="W165" s="334" t="n"/>
      <c r="X165" s="334" t="n"/>
      <c r="Y165" s="334" t="n"/>
      <c r="Z165" s="375">
        <f>IF(AND(G165&lt;&gt;"",R165&lt;&gt;"",V165&lt;&gt;"",W165&lt;&gt;""),"COMPLETADO","OBSERVADO")</f>
        <v/>
      </c>
    </row>
    <row r="166" ht="15" customHeight="1" s="195">
      <c r="A166" s="280" t="n"/>
      <c r="B166" s="280" t="n"/>
      <c r="C166" s="280" t="n"/>
      <c r="D166" s="280" t="n"/>
      <c r="E166" s="280" t="n"/>
      <c r="F166" s="280" t="n"/>
      <c r="G166" s="280" t="n"/>
      <c r="H166" s="280" t="n"/>
      <c r="I166" s="332">
        <f>IFERROR(VLOOKUP(TEXT(H166,"0"),IPRESS!$A$3:$B$212,2,0),"")</f>
        <v/>
      </c>
      <c r="J166" s="280" t="n"/>
      <c r="K166" s="332">
        <f>IFERROR(VLOOKUP(TEXT(O166,"0"),CONDUCTORES!$A$3:$G$54,7,0),"")</f>
        <v/>
      </c>
      <c r="L166" s="280" t="n"/>
      <c r="M166" s="280" t="n"/>
      <c r="N166" s="333">
        <f>IFERROR(IF(L166*M166=0,"",L166*M166),"")</f>
        <v/>
      </c>
      <c r="O166" s="280" t="n"/>
      <c r="P166" s="332">
        <f>IFERROR(VLOOKUP(TEXT(O166,"0"),CONDUCTORES!$A$3:$G$54,2,0),"")</f>
        <v/>
      </c>
      <c r="Q166" s="332">
        <f>IFERROR(VLOOKUP(TEXT(O166,"0"),CONDUCTORES!$A$3:$H$54,6,0),"")</f>
        <v/>
      </c>
      <c r="R166" s="280" t="n"/>
      <c r="S166" s="280" t="n"/>
      <c r="T166" s="280" t="n"/>
      <c r="U166" s="280" t="n"/>
      <c r="V166" s="280" t="n"/>
      <c r="W166" s="280" t="n"/>
      <c r="X166" s="280" t="n"/>
      <c r="Y166" s="280" t="n"/>
      <c r="Z166" s="375">
        <f>IF(AND(G166&lt;&gt;"",R166&lt;&gt;"",V166&lt;&gt;"",W166&lt;&gt;""),"COMPLETADO","OBSERVADO")</f>
        <v/>
      </c>
    </row>
    <row r="167" ht="15" customHeight="1" s="195">
      <c r="A167" s="334" t="n"/>
      <c r="B167" s="334" t="n"/>
      <c r="C167" s="334" t="n"/>
      <c r="D167" s="334" t="n"/>
      <c r="E167" s="334" t="n"/>
      <c r="F167" s="334" t="n"/>
      <c r="G167" s="334" t="n"/>
      <c r="H167" s="334" t="n"/>
      <c r="I167" s="332">
        <f>IFERROR(VLOOKUP(TEXT(H167,"0"),IPRESS!$A$3:$B$212,2,0),"")</f>
        <v/>
      </c>
      <c r="J167" s="334" t="n"/>
      <c r="K167" s="332">
        <f>IFERROR(VLOOKUP(TEXT(O167,"0"),CONDUCTORES!$A$3:$G$54,7,0),"")</f>
        <v/>
      </c>
      <c r="L167" s="334" t="n"/>
      <c r="M167" s="334" t="n"/>
      <c r="N167" s="333">
        <f>IFERROR(IF(L167*M167=0,"",L167*M167),"")</f>
        <v/>
      </c>
      <c r="O167" s="334" t="n"/>
      <c r="P167" s="332">
        <f>IFERROR(VLOOKUP(TEXT(O167,"0"),CONDUCTORES!$A$3:$G$54,2,0),"")</f>
        <v/>
      </c>
      <c r="Q167" s="332">
        <f>IFERROR(VLOOKUP(TEXT(O167,"0"),CONDUCTORES!$A$3:$H$54,6,0),"")</f>
        <v/>
      </c>
      <c r="R167" s="334" t="n"/>
      <c r="S167" s="334" t="n"/>
      <c r="T167" s="334" t="n"/>
      <c r="U167" s="334" t="n"/>
      <c r="V167" s="334" t="n"/>
      <c r="W167" s="334" t="n"/>
      <c r="X167" s="334" t="n"/>
      <c r="Y167" s="334" t="n"/>
      <c r="Z167" s="375">
        <f>IF(AND(G167&lt;&gt;"",R167&lt;&gt;"",V167&lt;&gt;"",W167&lt;&gt;""),"COMPLETADO","OBSERVADO")</f>
        <v/>
      </c>
    </row>
    <row r="168" ht="15" customHeight="1" s="195">
      <c r="A168" s="280" t="n"/>
      <c r="B168" s="280" t="n"/>
      <c r="C168" s="280" t="n"/>
      <c r="D168" s="280" t="n"/>
      <c r="E168" s="280" t="n"/>
      <c r="F168" s="280" t="n"/>
      <c r="G168" s="280" t="n"/>
      <c r="H168" s="280" t="n"/>
      <c r="I168" s="332">
        <f>IFERROR(VLOOKUP(TEXT(H168,"0"),IPRESS!$A$3:$B$212,2,0),"")</f>
        <v/>
      </c>
      <c r="J168" s="280" t="n"/>
      <c r="K168" s="332">
        <f>IFERROR(VLOOKUP(TEXT(O168,"0"),CONDUCTORES!$A$3:$G$54,7,0),"")</f>
        <v/>
      </c>
      <c r="L168" s="280" t="n"/>
      <c r="M168" s="280" t="n"/>
      <c r="N168" s="333">
        <f>IFERROR(IF(L168*M168=0,"",L168*M168),"")</f>
        <v/>
      </c>
      <c r="O168" s="280" t="n"/>
      <c r="P168" s="332">
        <f>IFERROR(VLOOKUP(TEXT(O168,"0"),CONDUCTORES!$A$3:$G$54,2,0),"")</f>
        <v/>
      </c>
      <c r="Q168" s="332">
        <f>IFERROR(VLOOKUP(TEXT(O168,"0"),CONDUCTORES!$A$3:$H$54,6,0),"")</f>
        <v/>
      </c>
      <c r="R168" s="280" t="n"/>
      <c r="S168" s="280" t="n"/>
      <c r="T168" s="280" t="n"/>
      <c r="U168" s="280" t="n"/>
      <c r="V168" s="280" t="n"/>
      <c r="W168" s="280" t="n"/>
      <c r="X168" s="280" t="n"/>
      <c r="Y168" s="280" t="n"/>
      <c r="Z168" s="375">
        <f>IF(AND(G168&lt;&gt;"",R168&lt;&gt;"",V168&lt;&gt;"",W168&lt;&gt;""),"COMPLETADO","OBSERVADO")</f>
        <v/>
      </c>
    </row>
    <row r="169" ht="15" customHeight="1" s="195">
      <c r="A169" s="334" t="n"/>
      <c r="B169" s="334" t="n"/>
      <c r="C169" s="334" t="n"/>
      <c r="D169" s="334" t="n"/>
      <c r="E169" s="334" t="n"/>
      <c r="F169" s="334" t="n"/>
      <c r="G169" s="334" t="n"/>
      <c r="H169" s="334" t="n"/>
      <c r="I169" s="332">
        <f>IFERROR(VLOOKUP(TEXT(H169,"0"),IPRESS!$A$3:$B$212,2,0),"")</f>
        <v/>
      </c>
      <c r="J169" s="334" t="n"/>
      <c r="K169" s="332">
        <f>IFERROR(VLOOKUP(TEXT(O169,"0"),CONDUCTORES!$A$3:$G$54,7,0),"")</f>
        <v/>
      </c>
      <c r="L169" s="334" t="n"/>
      <c r="M169" s="334" t="n"/>
      <c r="N169" s="333">
        <f>IFERROR(IF(L169*M169=0,"",L169*M169),"")</f>
        <v/>
      </c>
      <c r="O169" s="334" t="n"/>
      <c r="P169" s="332">
        <f>IFERROR(VLOOKUP(TEXT(O169,"0"),CONDUCTORES!$A$3:$G$54,2,0),"")</f>
        <v/>
      </c>
      <c r="Q169" s="332">
        <f>IFERROR(VLOOKUP(TEXT(O169,"0"),CONDUCTORES!$A$3:$H$54,6,0),"")</f>
        <v/>
      </c>
      <c r="R169" s="334" t="n"/>
      <c r="S169" s="334" t="n"/>
      <c r="T169" s="334" t="n"/>
      <c r="U169" s="334" t="n"/>
      <c r="V169" s="334" t="n"/>
      <c r="W169" s="334" t="n"/>
      <c r="X169" s="334" t="n"/>
      <c r="Y169" s="334" t="n"/>
      <c r="Z169" s="375">
        <f>IF(AND(G169&lt;&gt;"",R169&lt;&gt;"",V169&lt;&gt;"",W169&lt;&gt;""),"COMPLETADO","OBSERVADO")</f>
        <v/>
      </c>
    </row>
    <row r="170" ht="15" customHeight="1" s="195">
      <c r="A170" s="280" t="n"/>
      <c r="B170" s="280" t="n"/>
      <c r="C170" s="280" t="n"/>
      <c r="D170" s="280" t="n"/>
      <c r="E170" s="280" t="n"/>
      <c r="F170" s="280" t="n"/>
      <c r="G170" s="280" t="n"/>
      <c r="H170" s="280" t="n"/>
      <c r="I170" s="332">
        <f>IFERROR(VLOOKUP(TEXT(H170,"0"),IPRESS!$A$3:$B$212,2,0),"")</f>
        <v/>
      </c>
      <c r="J170" s="280" t="n"/>
      <c r="K170" s="332">
        <f>IFERROR(VLOOKUP(TEXT(O170,"0"),CONDUCTORES!$A$3:$G$54,7,0),"")</f>
        <v/>
      </c>
      <c r="L170" s="280" t="n"/>
      <c r="M170" s="280" t="n"/>
      <c r="N170" s="333">
        <f>IFERROR(IF(L170*M170=0,"",L170*M170),"")</f>
        <v/>
      </c>
      <c r="O170" s="280" t="n"/>
      <c r="P170" s="332">
        <f>IFERROR(VLOOKUP(TEXT(O170,"0"),CONDUCTORES!$A$3:$G$54,2,0),"")</f>
        <v/>
      </c>
      <c r="Q170" s="332">
        <f>IFERROR(VLOOKUP(TEXT(O170,"0"),CONDUCTORES!$A$3:$H$54,6,0),"")</f>
        <v/>
      </c>
      <c r="R170" s="280" t="n"/>
      <c r="S170" s="280" t="n"/>
      <c r="T170" s="280" t="n"/>
      <c r="U170" s="280" t="n"/>
      <c r="V170" s="280" t="n"/>
      <c r="W170" s="280" t="n"/>
      <c r="X170" s="280" t="n"/>
      <c r="Y170" s="280" t="n"/>
      <c r="Z170" s="375">
        <f>IF(AND(G170&lt;&gt;"",R170&lt;&gt;"",V170&lt;&gt;"",W170&lt;&gt;""),"COMPLETADO","OBSERVADO")</f>
        <v/>
      </c>
    </row>
    <row r="171" ht="15" customHeight="1" s="195">
      <c r="A171" s="334" t="n"/>
      <c r="B171" s="334" t="n"/>
      <c r="C171" s="334" t="n"/>
      <c r="D171" s="334" t="n"/>
      <c r="E171" s="334" t="n"/>
      <c r="F171" s="334" t="n"/>
      <c r="G171" s="334" t="n"/>
      <c r="H171" s="334" t="n"/>
      <c r="I171" s="332">
        <f>IFERROR(VLOOKUP(TEXT(H171,"0"),IPRESS!$A$3:$B$212,2,0),"")</f>
        <v/>
      </c>
      <c r="J171" s="334" t="n"/>
      <c r="K171" s="332">
        <f>IFERROR(VLOOKUP(TEXT(O171,"0"),CONDUCTORES!$A$3:$G$54,7,0),"")</f>
        <v/>
      </c>
      <c r="L171" s="334" t="n"/>
      <c r="M171" s="334" t="n"/>
      <c r="N171" s="333">
        <f>IFERROR(IF(L171*M171=0,"",L171*M171),"")</f>
        <v/>
      </c>
      <c r="O171" s="334" t="n"/>
      <c r="P171" s="332">
        <f>IFERROR(VLOOKUP(TEXT(O171,"0"),CONDUCTORES!$A$3:$G$54,2,0),"")</f>
        <v/>
      </c>
      <c r="Q171" s="332">
        <f>IFERROR(VLOOKUP(TEXT(O171,"0"),CONDUCTORES!$A$3:$H$54,6,0),"")</f>
        <v/>
      </c>
      <c r="R171" s="334" t="n"/>
      <c r="S171" s="334" t="n"/>
      <c r="T171" s="334" t="n"/>
      <c r="U171" s="334" t="n"/>
      <c r="V171" s="334" t="n"/>
      <c r="W171" s="334" t="n"/>
      <c r="X171" s="334" t="n"/>
      <c r="Y171" s="334" t="n"/>
      <c r="Z171" s="375">
        <f>IF(AND(G171&lt;&gt;"",R171&lt;&gt;"",V171&lt;&gt;"",W171&lt;&gt;""),"COMPLETADO","OBSERVADO")</f>
        <v/>
      </c>
    </row>
    <row r="172" ht="15" customHeight="1" s="195">
      <c r="A172" s="280" t="n"/>
      <c r="B172" s="280" t="n"/>
      <c r="C172" s="280" t="n"/>
      <c r="D172" s="280" t="n"/>
      <c r="E172" s="280" t="n"/>
      <c r="F172" s="280" t="n"/>
      <c r="G172" s="280" t="n"/>
      <c r="H172" s="280" t="n"/>
      <c r="I172" s="332">
        <f>IFERROR(VLOOKUP(TEXT(H172,"0"),IPRESS!$A$3:$B$212,2,0),"")</f>
        <v/>
      </c>
      <c r="J172" s="280" t="n"/>
      <c r="K172" s="332">
        <f>IFERROR(VLOOKUP(TEXT(O172,"0"),CONDUCTORES!$A$3:$G$54,7,0),"")</f>
        <v/>
      </c>
      <c r="L172" s="280" t="n"/>
      <c r="M172" s="280" t="n"/>
      <c r="N172" s="333">
        <f>IFERROR(IF(L172*M172=0,"",L172*M172),"")</f>
        <v/>
      </c>
      <c r="O172" s="280" t="n"/>
      <c r="P172" s="332">
        <f>IFERROR(VLOOKUP(TEXT(O172,"0"),CONDUCTORES!$A$3:$G$54,2,0),"")</f>
        <v/>
      </c>
      <c r="Q172" s="332">
        <f>IFERROR(VLOOKUP(TEXT(O172,"0"),CONDUCTORES!$A$3:$H$54,6,0),"")</f>
        <v/>
      </c>
      <c r="R172" s="280" t="n"/>
      <c r="S172" s="280" t="n"/>
      <c r="T172" s="280" t="n"/>
      <c r="U172" s="280" t="n"/>
      <c r="V172" s="280" t="n"/>
      <c r="W172" s="280" t="n"/>
      <c r="X172" s="280" t="n"/>
      <c r="Y172" s="280" t="n"/>
      <c r="Z172" s="375">
        <f>IF(AND(G172&lt;&gt;"",R172&lt;&gt;"",V172&lt;&gt;"",W172&lt;&gt;""),"COMPLETADO","OBSERVADO")</f>
        <v/>
      </c>
    </row>
    <row r="173" ht="15" customHeight="1" s="195">
      <c r="A173" s="334" t="n"/>
      <c r="B173" s="334" t="n"/>
      <c r="C173" s="334" t="n"/>
      <c r="D173" s="334" t="n"/>
      <c r="E173" s="334" t="n"/>
      <c r="F173" s="334" t="n"/>
      <c r="G173" s="334" t="n"/>
      <c r="H173" s="334" t="n"/>
      <c r="I173" s="332">
        <f>IFERROR(VLOOKUP(TEXT(H173,"0"),IPRESS!$A$3:$B$212,2,0),"")</f>
        <v/>
      </c>
      <c r="J173" s="334" t="n"/>
      <c r="K173" s="332">
        <f>IFERROR(VLOOKUP(TEXT(O173,"0"),CONDUCTORES!$A$3:$G$54,7,0),"")</f>
        <v/>
      </c>
      <c r="L173" s="334" t="n"/>
      <c r="M173" s="334" t="n"/>
      <c r="N173" s="333">
        <f>IFERROR(IF(L173*M173=0,"",L173*M173),"")</f>
        <v/>
      </c>
      <c r="O173" s="334" t="n"/>
      <c r="P173" s="332">
        <f>IFERROR(VLOOKUP(TEXT(O173,"0"),CONDUCTORES!$A$3:$G$54,2,0),"")</f>
        <v/>
      </c>
      <c r="Q173" s="332">
        <f>IFERROR(VLOOKUP(TEXT(O173,"0"),CONDUCTORES!$A$3:$H$54,6,0),"")</f>
        <v/>
      </c>
      <c r="R173" s="334" t="n"/>
      <c r="S173" s="334" t="n"/>
      <c r="T173" s="334" t="n"/>
      <c r="U173" s="334" t="n"/>
      <c r="V173" s="334" t="n"/>
      <c r="W173" s="334" t="n"/>
      <c r="X173" s="334" t="n"/>
      <c r="Y173" s="334" t="n"/>
      <c r="Z173" s="375">
        <f>IF(AND(G173&lt;&gt;"",R173&lt;&gt;"",V173&lt;&gt;"",W173&lt;&gt;""),"COMPLETADO","OBSERVADO")</f>
        <v/>
      </c>
    </row>
    <row r="174" ht="15" customHeight="1" s="195">
      <c r="A174" s="280" t="n"/>
      <c r="B174" s="280" t="n"/>
      <c r="C174" s="280" t="n"/>
      <c r="D174" s="280" t="n"/>
      <c r="E174" s="280" t="n"/>
      <c r="F174" s="280" t="n"/>
      <c r="G174" s="280" t="n"/>
      <c r="H174" s="280" t="n"/>
      <c r="I174" s="332">
        <f>IFERROR(VLOOKUP(TEXT(H174,"0"),IPRESS!$A$3:$B$212,2,0),"")</f>
        <v/>
      </c>
      <c r="J174" s="280" t="n"/>
      <c r="K174" s="332">
        <f>IFERROR(VLOOKUP(TEXT(O174,"0"),CONDUCTORES!$A$3:$G$54,7,0),"")</f>
        <v/>
      </c>
      <c r="L174" s="280" t="n"/>
      <c r="M174" s="280" t="n"/>
      <c r="N174" s="333">
        <f>IFERROR(IF(L174*M174=0,"",L174*M174),"")</f>
        <v/>
      </c>
      <c r="O174" s="280" t="n"/>
      <c r="P174" s="332">
        <f>IFERROR(VLOOKUP(TEXT(O174,"0"),CONDUCTORES!$A$3:$G$54,2,0),"")</f>
        <v/>
      </c>
      <c r="Q174" s="332">
        <f>IFERROR(VLOOKUP(TEXT(O174,"0"),CONDUCTORES!$A$3:$H$54,6,0),"")</f>
        <v/>
      </c>
      <c r="R174" s="280" t="n"/>
      <c r="S174" s="280" t="n"/>
      <c r="T174" s="280" t="n"/>
      <c r="U174" s="280" t="n"/>
      <c r="V174" s="280" t="n"/>
      <c r="W174" s="280" t="n"/>
      <c r="X174" s="280" t="n"/>
      <c r="Y174" s="280" t="n"/>
      <c r="Z174" s="375">
        <f>IF(AND(G174&lt;&gt;"",R174&lt;&gt;"",V174&lt;&gt;"",W174&lt;&gt;""),"COMPLETADO","OBSERVADO")</f>
        <v/>
      </c>
    </row>
    <row r="175" ht="15" customHeight="1" s="195">
      <c r="A175" s="334" t="n"/>
      <c r="B175" s="334" t="n"/>
      <c r="C175" s="334" t="n"/>
      <c r="D175" s="334" t="n"/>
      <c r="E175" s="334" t="n"/>
      <c r="F175" s="334" t="n"/>
      <c r="G175" s="334" t="n"/>
      <c r="H175" s="334" t="n"/>
      <c r="I175" s="332">
        <f>IFERROR(VLOOKUP(TEXT(H175,"0"),IPRESS!$A$3:$B$212,2,0),"")</f>
        <v/>
      </c>
      <c r="J175" s="334" t="n"/>
      <c r="K175" s="332">
        <f>IFERROR(VLOOKUP(TEXT(O175,"0"),CONDUCTORES!$A$3:$G$54,7,0),"")</f>
        <v/>
      </c>
      <c r="L175" s="334" t="n"/>
      <c r="M175" s="334" t="n"/>
      <c r="N175" s="333">
        <f>IFERROR(IF(L175*M175=0,"",L175*M175),"")</f>
        <v/>
      </c>
      <c r="O175" s="334" t="n"/>
      <c r="P175" s="332">
        <f>IFERROR(VLOOKUP(TEXT(O175,"0"),CONDUCTORES!$A$3:$G$54,2,0),"")</f>
        <v/>
      </c>
      <c r="Q175" s="332">
        <f>IFERROR(VLOOKUP(TEXT(O175,"0"),CONDUCTORES!$A$3:$H$54,6,0),"")</f>
        <v/>
      </c>
      <c r="R175" s="334" t="n"/>
      <c r="S175" s="334" t="n"/>
      <c r="T175" s="334" t="n"/>
      <c r="U175" s="334" t="n"/>
      <c r="V175" s="334" t="n"/>
      <c r="W175" s="334" t="n"/>
      <c r="X175" s="334" t="n"/>
      <c r="Y175" s="334" t="n"/>
      <c r="Z175" s="375">
        <f>IF(AND(G175&lt;&gt;"",R175&lt;&gt;"",V175&lt;&gt;"",W175&lt;&gt;""),"COMPLETADO","OBSERVADO")</f>
        <v/>
      </c>
    </row>
    <row r="176" ht="15" customHeight="1" s="195">
      <c r="A176" s="280" t="n"/>
      <c r="B176" s="280" t="n"/>
      <c r="C176" s="280" t="n"/>
      <c r="D176" s="280" t="n"/>
      <c r="E176" s="280" t="n"/>
      <c r="F176" s="280" t="n"/>
      <c r="G176" s="280" t="n"/>
      <c r="H176" s="280" t="n"/>
      <c r="I176" s="332">
        <f>IFERROR(VLOOKUP(TEXT(H176,"0"),IPRESS!$A$3:$B$212,2,0),"")</f>
        <v/>
      </c>
      <c r="J176" s="280" t="n"/>
      <c r="K176" s="332">
        <f>IFERROR(VLOOKUP(TEXT(O176,"0"),CONDUCTORES!$A$3:$G$54,7,0),"")</f>
        <v/>
      </c>
      <c r="L176" s="280" t="n"/>
      <c r="M176" s="280" t="n"/>
      <c r="N176" s="333">
        <f>IFERROR(IF(L176*M176=0,"",L176*M176),"")</f>
        <v/>
      </c>
      <c r="O176" s="280" t="n"/>
      <c r="P176" s="332">
        <f>IFERROR(VLOOKUP(TEXT(O176,"0"),CONDUCTORES!$A$3:$G$54,2,0),"")</f>
        <v/>
      </c>
      <c r="Q176" s="332">
        <f>IFERROR(VLOOKUP(TEXT(O176,"0"),CONDUCTORES!$A$3:$H$54,6,0),"")</f>
        <v/>
      </c>
      <c r="R176" s="280" t="n"/>
      <c r="S176" s="280" t="n"/>
      <c r="T176" s="280" t="n"/>
      <c r="U176" s="280" t="n"/>
      <c r="V176" s="280" t="n"/>
      <c r="W176" s="280" t="n"/>
      <c r="X176" s="280" t="n"/>
      <c r="Y176" s="280" t="n"/>
      <c r="Z176" s="375">
        <f>IF(AND(G176&lt;&gt;"",R176&lt;&gt;"",V176&lt;&gt;"",W176&lt;&gt;""),"COMPLETADO","OBSERVADO")</f>
        <v/>
      </c>
    </row>
    <row r="177" ht="15" customHeight="1" s="195">
      <c r="A177" s="334" t="n"/>
      <c r="B177" s="334" t="n"/>
      <c r="C177" s="334" t="n"/>
      <c r="D177" s="334" t="n"/>
      <c r="E177" s="334" t="n"/>
      <c r="F177" s="334" t="n"/>
      <c r="G177" s="334" t="n"/>
      <c r="H177" s="334" t="n"/>
      <c r="I177" s="332">
        <f>IFERROR(VLOOKUP(TEXT(H177,"0"),IPRESS!$A$3:$B$212,2,0),"")</f>
        <v/>
      </c>
      <c r="J177" s="334" t="n"/>
      <c r="K177" s="332">
        <f>IFERROR(VLOOKUP(TEXT(O177,"0"),CONDUCTORES!$A$3:$G$54,7,0),"")</f>
        <v/>
      </c>
      <c r="L177" s="334" t="n"/>
      <c r="M177" s="334" t="n"/>
      <c r="N177" s="333">
        <f>IFERROR(IF(L177*M177=0,"",L177*M177),"")</f>
        <v/>
      </c>
      <c r="O177" s="334" t="n"/>
      <c r="P177" s="332">
        <f>IFERROR(VLOOKUP(TEXT(O177,"0"),CONDUCTORES!$A$3:$G$54,2,0),"")</f>
        <v/>
      </c>
      <c r="Q177" s="332">
        <f>IFERROR(VLOOKUP(TEXT(O177,"0"),CONDUCTORES!$A$3:$H$54,6,0),"")</f>
        <v/>
      </c>
      <c r="R177" s="334" t="n"/>
      <c r="S177" s="334" t="n"/>
      <c r="T177" s="334" t="n"/>
      <c r="U177" s="334" t="n"/>
      <c r="V177" s="334" t="n"/>
      <c r="W177" s="334" t="n"/>
      <c r="X177" s="334" t="n"/>
      <c r="Y177" s="334" t="n"/>
      <c r="Z177" s="375">
        <f>IF(AND(G177&lt;&gt;"",R177&lt;&gt;"",V177&lt;&gt;"",W177&lt;&gt;""),"COMPLETADO","OBSERVADO")</f>
        <v/>
      </c>
    </row>
    <row r="178" ht="15" customHeight="1" s="195">
      <c r="A178" s="280" t="n"/>
      <c r="B178" s="280" t="n"/>
      <c r="C178" s="280" t="n"/>
      <c r="D178" s="280" t="n"/>
      <c r="E178" s="280" t="n"/>
      <c r="F178" s="280" t="n"/>
      <c r="G178" s="280" t="n"/>
      <c r="H178" s="280" t="n"/>
      <c r="I178" s="332">
        <f>IFERROR(VLOOKUP(TEXT(H178,"0"),IPRESS!$A$3:$B$212,2,0),"")</f>
        <v/>
      </c>
      <c r="J178" s="280" t="n"/>
      <c r="K178" s="332">
        <f>IFERROR(VLOOKUP(TEXT(O178,"0"),CONDUCTORES!$A$3:$G$54,7,0),"")</f>
        <v/>
      </c>
      <c r="L178" s="280" t="n"/>
      <c r="M178" s="280" t="n"/>
      <c r="N178" s="333">
        <f>IFERROR(IF(L178*M178=0,"",L178*M178),"")</f>
        <v/>
      </c>
      <c r="O178" s="280" t="n"/>
      <c r="P178" s="332">
        <f>IFERROR(VLOOKUP(TEXT(O178,"0"),CONDUCTORES!$A$3:$G$54,2,0),"")</f>
        <v/>
      </c>
      <c r="Q178" s="332">
        <f>IFERROR(VLOOKUP(TEXT(O178,"0"),CONDUCTORES!$A$3:$H$54,6,0),"")</f>
        <v/>
      </c>
      <c r="R178" s="280" t="n"/>
      <c r="S178" s="280" t="n"/>
      <c r="T178" s="280" t="n"/>
      <c r="U178" s="280" t="n"/>
      <c r="V178" s="280" t="n"/>
      <c r="W178" s="280" t="n"/>
      <c r="X178" s="280" t="n"/>
      <c r="Y178" s="280" t="n"/>
      <c r="Z178" s="375">
        <f>IF(AND(G178&lt;&gt;"",R178&lt;&gt;"",V178&lt;&gt;"",W178&lt;&gt;""),"COMPLETADO","OBSERVADO")</f>
        <v/>
      </c>
    </row>
    <row r="179" ht="15" customHeight="1" s="195">
      <c r="A179" s="334" t="n"/>
      <c r="B179" s="334" t="n"/>
      <c r="C179" s="334" t="n"/>
      <c r="D179" s="334" t="n"/>
      <c r="E179" s="334" t="n"/>
      <c r="F179" s="334" t="n"/>
      <c r="G179" s="334" t="n"/>
      <c r="H179" s="334" t="n"/>
      <c r="I179" s="332">
        <f>IFERROR(VLOOKUP(TEXT(H179,"0"),IPRESS!$A$3:$B$212,2,0),"")</f>
        <v/>
      </c>
      <c r="J179" s="334" t="n"/>
      <c r="K179" s="332">
        <f>IFERROR(VLOOKUP(TEXT(O179,"0"),CONDUCTORES!$A$3:$G$54,7,0),"")</f>
        <v/>
      </c>
      <c r="L179" s="334" t="n"/>
      <c r="M179" s="334" t="n"/>
      <c r="N179" s="333">
        <f>IFERROR(IF(L179*M179=0,"",L179*M179),"")</f>
        <v/>
      </c>
      <c r="O179" s="334" t="n"/>
      <c r="P179" s="332">
        <f>IFERROR(VLOOKUP(TEXT(O179,"0"),CONDUCTORES!$A$3:$G$54,2,0),"")</f>
        <v/>
      </c>
      <c r="Q179" s="332">
        <f>IFERROR(VLOOKUP(TEXT(O179,"0"),CONDUCTORES!$A$3:$H$54,6,0),"")</f>
        <v/>
      </c>
      <c r="R179" s="334" t="n"/>
      <c r="S179" s="334" t="n"/>
      <c r="T179" s="334" t="n"/>
      <c r="U179" s="334" t="n"/>
      <c r="V179" s="334" t="n"/>
      <c r="W179" s="334" t="n"/>
      <c r="X179" s="334" t="n"/>
      <c r="Y179" s="334" t="n"/>
      <c r="Z179" s="375">
        <f>IF(AND(G179&lt;&gt;"",R179&lt;&gt;"",V179&lt;&gt;"",W179&lt;&gt;""),"COMPLETADO","OBSERVADO")</f>
        <v/>
      </c>
    </row>
    <row r="180" ht="15" customHeight="1" s="195">
      <c r="A180" s="280" t="n"/>
      <c r="B180" s="280" t="n"/>
      <c r="C180" s="280" t="n"/>
      <c r="D180" s="280" t="n"/>
      <c r="E180" s="280" t="n"/>
      <c r="F180" s="280" t="n"/>
      <c r="G180" s="280" t="n"/>
      <c r="H180" s="280" t="n"/>
      <c r="I180" s="332">
        <f>IFERROR(VLOOKUP(TEXT(H180,"0"),IPRESS!$A$3:$B$212,2,0),"")</f>
        <v/>
      </c>
      <c r="J180" s="280" t="n"/>
      <c r="K180" s="332">
        <f>IFERROR(VLOOKUP(TEXT(O180,"0"),CONDUCTORES!$A$3:$G$54,7,0),"")</f>
        <v/>
      </c>
      <c r="L180" s="280" t="n"/>
      <c r="M180" s="280" t="n"/>
      <c r="N180" s="333">
        <f>IFERROR(IF(L180*M180=0,"",L180*M180),"")</f>
        <v/>
      </c>
      <c r="O180" s="280" t="n"/>
      <c r="P180" s="332">
        <f>IFERROR(VLOOKUP(TEXT(O180,"0"),CONDUCTORES!$A$3:$G$54,2,0),"")</f>
        <v/>
      </c>
      <c r="Q180" s="332">
        <f>IFERROR(VLOOKUP(TEXT(O180,"0"),CONDUCTORES!$A$3:$H$54,6,0),"")</f>
        <v/>
      </c>
      <c r="R180" s="280" t="n"/>
      <c r="S180" s="280" t="n"/>
      <c r="T180" s="280" t="n"/>
      <c r="U180" s="280" t="n"/>
      <c r="V180" s="280" t="n"/>
      <c r="W180" s="280" t="n"/>
      <c r="X180" s="280" t="n"/>
      <c r="Y180" s="280" t="n"/>
      <c r="Z180" s="375">
        <f>IF(AND(G180&lt;&gt;"",R180&lt;&gt;"",V180&lt;&gt;"",W180&lt;&gt;""),"COMPLETADO","OBSERVADO")</f>
        <v/>
      </c>
    </row>
    <row r="181" ht="15" customHeight="1" s="195">
      <c r="A181" s="334" t="n"/>
      <c r="B181" s="334" t="n"/>
      <c r="C181" s="334" t="n"/>
      <c r="D181" s="334" t="n"/>
      <c r="E181" s="334" t="n"/>
      <c r="F181" s="334" t="n"/>
      <c r="G181" s="334" t="n"/>
      <c r="H181" s="334" t="n"/>
      <c r="I181" s="332">
        <f>IFERROR(VLOOKUP(TEXT(H181,"0"),IPRESS!$A$3:$B$212,2,0),"")</f>
        <v/>
      </c>
      <c r="J181" s="334" t="n"/>
      <c r="K181" s="332">
        <f>IFERROR(VLOOKUP(TEXT(O181,"0"),CONDUCTORES!$A$3:$G$54,7,0),"")</f>
        <v/>
      </c>
      <c r="L181" s="334" t="n"/>
      <c r="M181" s="334" t="n"/>
      <c r="N181" s="333">
        <f>IFERROR(IF(L181*M181=0,"",L181*M181),"")</f>
        <v/>
      </c>
      <c r="O181" s="334" t="n"/>
      <c r="P181" s="332">
        <f>IFERROR(VLOOKUP(TEXT(O181,"0"),CONDUCTORES!$A$3:$G$54,2,0),"")</f>
        <v/>
      </c>
      <c r="Q181" s="332">
        <f>IFERROR(VLOOKUP(TEXT(O181,"0"),CONDUCTORES!$A$3:$H$54,6,0),"")</f>
        <v/>
      </c>
      <c r="R181" s="334" t="n"/>
      <c r="S181" s="334" t="n"/>
      <c r="T181" s="334" t="n"/>
      <c r="U181" s="334" t="n"/>
      <c r="V181" s="334" t="n"/>
      <c r="W181" s="334" t="n"/>
      <c r="X181" s="334" t="n"/>
      <c r="Y181" s="334" t="n"/>
      <c r="Z181" s="375">
        <f>IF(AND(G181&lt;&gt;"",R181&lt;&gt;"",V181&lt;&gt;"",W181&lt;&gt;""),"COMPLETADO","OBSERVADO")</f>
        <v/>
      </c>
    </row>
    <row r="182" ht="15" customHeight="1" s="195">
      <c r="A182" s="280" t="n"/>
      <c r="B182" s="280" t="n"/>
      <c r="C182" s="280" t="n"/>
      <c r="D182" s="280" t="n"/>
      <c r="E182" s="280" t="n"/>
      <c r="F182" s="280" t="n"/>
      <c r="G182" s="280" t="n"/>
      <c r="H182" s="280" t="n"/>
      <c r="I182" s="332">
        <f>IFERROR(VLOOKUP(TEXT(H182,"0"),IPRESS!$A$3:$B$212,2,0),"")</f>
        <v/>
      </c>
      <c r="J182" s="280" t="n"/>
      <c r="K182" s="332">
        <f>IFERROR(VLOOKUP(TEXT(O182,"0"),CONDUCTORES!$A$3:$G$54,7,0),"")</f>
        <v/>
      </c>
      <c r="L182" s="280" t="n"/>
      <c r="M182" s="280" t="n"/>
      <c r="N182" s="333">
        <f>IFERROR(IF(L182*M182=0,"",L182*M182),"")</f>
        <v/>
      </c>
      <c r="O182" s="280" t="n"/>
      <c r="P182" s="332">
        <f>IFERROR(VLOOKUP(TEXT(O182,"0"),CONDUCTORES!$A$3:$G$54,2,0),"")</f>
        <v/>
      </c>
      <c r="Q182" s="332">
        <f>IFERROR(VLOOKUP(TEXT(O182,"0"),CONDUCTORES!$A$3:$H$54,6,0),"")</f>
        <v/>
      </c>
      <c r="R182" s="280" t="n"/>
      <c r="S182" s="280" t="n"/>
      <c r="T182" s="280" t="n"/>
      <c r="U182" s="280" t="n"/>
      <c r="V182" s="280" t="n"/>
      <c r="W182" s="280" t="n"/>
      <c r="X182" s="280" t="n"/>
      <c r="Y182" s="280" t="n"/>
      <c r="Z182" s="375">
        <f>IF(AND(G182&lt;&gt;"",R182&lt;&gt;"",V182&lt;&gt;"",W182&lt;&gt;""),"COMPLETADO","OBSERVADO")</f>
        <v/>
      </c>
    </row>
    <row r="183" ht="15" customHeight="1" s="195">
      <c r="A183" s="334" t="n"/>
      <c r="B183" s="334" t="n"/>
      <c r="C183" s="334" t="n"/>
      <c r="D183" s="334" t="n"/>
      <c r="E183" s="334" t="n"/>
      <c r="F183" s="334" t="n"/>
      <c r="G183" s="334" t="n"/>
      <c r="H183" s="334" t="n"/>
      <c r="I183" s="332">
        <f>IFERROR(VLOOKUP(TEXT(H183,"0"),IPRESS!$A$3:$B$212,2,0),"")</f>
        <v/>
      </c>
      <c r="J183" s="334" t="n"/>
      <c r="K183" s="332">
        <f>IFERROR(VLOOKUP(TEXT(O183,"0"),CONDUCTORES!$A$3:$G$54,7,0),"")</f>
        <v/>
      </c>
      <c r="L183" s="334" t="n"/>
      <c r="M183" s="334" t="n"/>
      <c r="N183" s="333">
        <f>IFERROR(IF(L183*M183=0,"",L183*M183),"")</f>
        <v/>
      </c>
      <c r="O183" s="334" t="n"/>
      <c r="P183" s="332">
        <f>IFERROR(VLOOKUP(TEXT(O183,"0"),CONDUCTORES!$A$3:$G$54,2,0),"")</f>
        <v/>
      </c>
      <c r="Q183" s="332">
        <f>IFERROR(VLOOKUP(TEXT(O183,"0"),CONDUCTORES!$A$3:$H$54,6,0),"")</f>
        <v/>
      </c>
      <c r="R183" s="334" t="n"/>
      <c r="S183" s="334" t="n"/>
      <c r="T183" s="334" t="n"/>
      <c r="U183" s="334" t="n"/>
      <c r="V183" s="334" t="n"/>
      <c r="W183" s="334" t="n"/>
      <c r="X183" s="334" t="n"/>
      <c r="Y183" s="334" t="n"/>
      <c r="Z183" s="375">
        <f>IF(AND(G183&lt;&gt;"",R183&lt;&gt;"",V183&lt;&gt;"",W183&lt;&gt;""),"COMPLETADO","OBSERVADO")</f>
        <v/>
      </c>
    </row>
    <row r="184" ht="15" customHeight="1" s="195">
      <c r="A184" s="280" t="n"/>
      <c r="B184" s="280" t="n"/>
      <c r="C184" s="280" t="n"/>
      <c r="D184" s="280" t="n"/>
      <c r="E184" s="280" t="n"/>
      <c r="F184" s="280" t="n"/>
      <c r="G184" s="280" t="n"/>
      <c r="H184" s="280" t="n"/>
      <c r="I184" s="332">
        <f>IFERROR(VLOOKUP(TEXT(H184,"0"),IPRESS!$A$3:$B$212,2,0),"")</f>
        <v/>
      </c>
      <c r="J184" s="280" t="n"/>
      <c r="K184" s="332">
        <f>IFERROR(VLOOKUP(TEXT(O184,"0"),CONDUCTORES!$A$3:$G$54,7,0),"")</f>
        <v/>
      </c>
      <c r="L184" s="280" t="n"/>
      <c r="M184" s="280" t="n"/>
      <c r="N184" s="333">
        <f>IFERROR(IF(L184*M184=0,"",L184*M184),"")</f>
        <v/>
      </c>
      <c r="O184" s="280" t="n"/>
      <c r="P184" s="332">
        <f>IFERROR(VLOOKUP(TEXT(O184,"0"),CONDUCTORES!$A$3:$G$54,2,0),"")</f>
        <v/>
      </c>
      <c r="Q184" s="332">
        <f>IFERROR(VLOOKUP(TEXT(O184,"0"),CONDUCTORES!$A$3:$H$54,6,0),"")</f>
        <v/>
      </c>
      <c r="R184" s="280" t="n"/>
      <c r="S184" s="280" t="n"/>
      <c r="T184" s="280" t="n"/>
      <c r="U184" s="280" t="n"/>
      <c r="V184" s="280" t="n"/>
      <c r="W184" s="280" t="n"/>
      <c r="X184" s="280" t="n"/>
      <c r="Y184" s="280" t="n"/>
      <c r="Z184" s="375">
        <f>IF(AND(G184&lt;&gt;"",R184&lt;&gt;"",V184&lt;&gt;"",W184&lt;&gt;""),"COMPLETADO","OBSERVADO")</f>
        <v/>
      </c>
    </row>
    <row r="185" ht="15" customHeight="1" s="195">
      <c r="A185" s="334" t="n"/>
      <c r="B185" s="334" t="n"/>
      <c r="C185" s="334" t="n"/>
      <c r="D185" s="334" t="n"/>
      <c r="E185" s="334" t="n"/>
      <c r="F185" s="334" t="n"/>
      <c r="G185" s="334" t="n"/>
      <c r="H185" s="334" t="n"/>
      <c r="I185" s="332">
        <f>IFERROR(VLOOKUP(TEXT(H185,"0"),IPRESS!$A$3:$B$212,2,0),"")</f>
        <v/>
      </c>
      <c r="J185" s="334" t="n"/>
      <c r="K185" s="332">
        <f>IFERROR(VLOOKUP(TEXT(O185,"0"),CONDUCTORES!$A$3:$G$54,7,0),"")</f>
        <v/>
      </c>
      <c r="L185" s="334" t="n"/>
      <c r="M185" s="334" t="n"/>
      <c r="N185" s="333">
        <f>IFERROR(IF(L185*M185=0,"",L185*M185),"")</f>
        <v/>
      </c>
      <c r="O185" s="334" t="n"/>
      <c r="P185" s="332">
        <f>IFERROR(VLOOKUP(TEXT(O185,"0"),CONDUCTORES!$A$3:$G$54,2,0),"")</f>
        <v/>
      </c>
      <c r="Q185" s="332">
        <f>IFERROR(VLOOKUP(TEXT(O185,"0"),CONDUCTORES!$A$3:$H$54,6,0),"")</f>
        <v/>
      </c>
      <c r="R185" s="334" t="n"/>
      <c r="S185" s="334" t="n"/>
      <c r="T185" s="334" t="n"/>
      <c r="U185" s="334" t="n"/>
      <c r="V185" s="334" t="n"/>
      <c r="W185" s="334" t="n"/>
      <c r="X185" s="334" t="n"/>
      <c r="Y185" s="334" t="n"/>
      <c r="Z185" s="375">
        <f>IF(AND(G185&lt;&gt;"",R185&lt;&gt;"",V185&lt;&gt;"",W185&lt;&gt;""),"COMPLETADO","OBSERVADO")</f>
        <v/>
      </c>
    </row>
    <row r="186" ht="15" customHeight="1" s="195">
      <c r="A186" s="280" t="n"/>
      <c r="B186" s="280" t="n"/>
      <c r="C186" s="280" t="n"/>
      <c r="D186" s="280" t="n"/>
      <c r="E186" s="280" t="n"/>
      <c r="F186" s="280" t="n"/>
      <c r="G186" s="280" t="n"/>
      <c r="H186" s="280" t="n"/>
      <c r="I186" s="332">
        <f>IFERROR(VLOOKUP(TEXT(H186,"0"),IPRESS!$A$3:$B$212,2,0),"")</f>
        <v/>
      </c>
      <c r="J186" s="280" t="n"/>
      <c r="K186" s="332">
        <f>IFERROR(VLOOKUP(TEXT(O186,"0"),CONDUCTORES!$A$3:$G$54,7,0),"")</f>
        <v/>
      </c>
      <c r="L186" s="280" t="n"/>
      <c r="M186" s="280" t="n"/>
      <c r="N186" s="333">
        <f>IFERROR(IF(L186*M186=0,"",L186*M186),"")</f>
        <v/>
      </c>
      <c r="O186" s="280" t="n"/>
      <c r="P186" s="332">
        <f>IFERROR(VLOOKUP(TEXT(O186,"0"),CONDUCTORES!$A$3:$G$54,2,0),"")</f>
        <v/>
      </c>
      <c r="Q186" s="332">
        <f>IFERROR(VLOOKUP(TEXT(O186,"0"),CONDUCTORES!$A$3:$H$54,6,0),"")</f>
        <v/>
      </c>
      <c r="R186" s="280" t="n"/>
      <c r="S186" s="280" t="n"/>
      <c r="T186" s="280" t="n"/>
      <c r="U186" s="280" t="n"/>
      <c r="V186" s="280" t="n"/>
      <c r="W186" s="280" t="n"/>
      <c r="X186" s="280" t="n"/>
      <c r="Y186" s="280" t="n"/>
      <c r="Z186" s="375">
        <f>IF(AND(G186&lt;&gt;"",R186&lt;&gt;"",V186&lt;&gt;"",W186&lt;&gt;""),"COMPLETADO","OBSERVADO")</f>
        <v/>
      </c>
    </row>
    <row r="187" ht="15" customHeight="1" s="195">
      <c r="A187" s="334" t="n"/>
      <c r="B187" s="334" t="n"/>
      <c r="C187" s="334" t="n"/>
      <c r="D187" s="334" t="n"/>
      <c r="E187" s="334" t="n"/>
      <c r="F187" s="334" t="n"/>
      <c r="G187" s="334" t="n"/>
      <c r="H187" s="334" t="n"/>
      <c r="I187" s="332">
        <f>IFERROR(VLOOKUP(TEXT(H187,"0"),IPRESS!$A$3:$B$212,2,0),"")</f>
        <v/>
      </c>
      <c r="J187" s="334" t="n"/>
      <c r="K187" s="332">
        <f>IFERROR(VLOOKUP(TEXT(O187,"0"),CONDUCTORES!$A$3:$G$54,7,0),"")</f>
        <v/>
      </c>
      <c r="L187" s="334" t="n"/>
      <c r="M187" s="334" t="n"/>
      <c r="N187" s="333">
        <f>IFERROR(IF(L187*M187=0,"",L187*M187),"")</f>
        <v/>
      </c>
      <c r="O187" s="334" t="n"/>
      <c r="P187" s="332">
        <f>IFERROR(VLOOKUP(TEXT(O187,"0"),CONDUCTORES!$A$3:$G$54,2,0),"")</f>
        <v/>
      </c>
      <c r="Q187" s="332">
        <f>IFERROR(VLOOKUP(TEXT(O187,"0"),CONDUCTORES!$A$3:$H$54,6,0),"")</f>
        <v/>
      </c>
      <c r="R187" s="334" t="n"/>
      <c r="S187" s="334" t="n"/>
      <c r="T187" s="334" t="n"/>
      <c r="U187" s="334" t="n"/>
      <c r="V187" s="334" t="n"/>
      <c r="W187" s="334" t="n"/>
      <c r="X187" s="334" t="n"/>
      <c r="Y187" s="334" t="n"/>
      <c r="Z187" s="375">
        <f>IF(AND(G187&lt;&gt;"",R187&lt;&gt;"",V187&lt;&gt;"",W187&lt;&gt;""),"COMPLETADO","OBSERVADO")</f>
        <v/>
      </c>
    </row>
    <row r="188" ht="15" customHeight="1" s="195">
      <c r="A188" s="280" t="n"/>
      <c r="B188" s="280" t="n"/>
      <c r="C188" s="280" t="n"/>
      <c r="D188" s="280" t="n"/>
      <c r="E188" s="280" t="n"/>
      <c r="F188" s="280" t="n"/>
      <c r="G188" s="280" t="n"/>
      <c r="H188" s="280" t="n"/>
      <c r="I188" s="332">
        <f>IFERROR(VLOOKUP(TEXT(H188,"0"),IPRESS!$A$3:$B$212,2,0),"")</f>
        <v/>
      </c>
      <c r="J188" s="280" t="n"/>
      <c r="K188" s="332">
        <f>IFERROR(VLOOKUP(TEXT(O188,"0"),CONDUCTORES!$A$3:$G$54,7,0),"")</f>
        <v/>
      </c>
      <c r="L188" s="280" t="n"/>
      <c r="M188" s="280" t="n"/>
      <c r="N188" s="333">
        <f>IFERROR(IF(L188*M188=0,"",L188*M188),"")</f>
        <v/>
      </c>
      <c r="O188" s="280" t="n"/>
      <c r="P188" s="332">
        <f>IFERROR(VLOOKUP(TEXT(O188,"0"),CONDUCTORES!$A$3:$G$54,2,0),"")</f>
        <v/>
      </c>
      <c r="Q188" s="332">
        <f>IFERROR(VLOOKUP(TEXT(O188,"0"),CONDUCTORES!$A$3:$H$54,6,0),"")</f>
        <v/>
      </c>
      <c r="R188" s="280" t="n"/>
      <c r="S188" s="280" t="n"/>
      <c r="T188" s="280" t="n"/>
      <c r="U188" s="280" t="n"/>
      <c r="V188" s="280" t="n"/>
      <c r="W188" s="280" t="n"/>
      <c r="X188" s="280" t="n"/>
      <c r="Y188" s="280" t="n"/>
      <c r="Z188" s="375">
        <f>IF(AND(G188&lt;&gt;"",R188&lt;&gt;"",V188&lt;&gt;"",W188&lt;&gt;""),"COMPLETADO","OBSERVADO")</f>
        <v/>
      </c>
    </row>
    <row r="189" ht="15" customHeight="1" s="195">
      <c r="A189" s="334" t="n"/>
      <c r="B189" s="334" t="n"/>
      <c r="C189" s="334" t="n"/>
      <c r="D189" s="334" t="n"/>
      <c r="E189" s="334" t="n"/>
      <c r="F189" s="334" t="n"/>
      <c r="G189" s="334" t="n"/>
      <c r="H189" s="334" t="n"/>
      <c r="I189" s="332">
        <f>IFERROR(VLOOKUP(TEXT(H189,"0"),IPRESS!$A$3:$B$212,2,0),"")</f>
        <v/>
      </c>
      <c r="J189" s="334" t="n"/>
      <c r="K189" s="332">
        <f>IFERROR(VLOOKUP(TEXT(O189,"0"),CONDUCTORES!$A$3:$G$54,7,0),"")</f>
        <v/>
      </c>
      <c r="L189" s="334" t="n"/>
      <c r="M189" s="334" t="n"/>
      <c r="N189" s="333">
        <f>IFERROR(IF(L189*M189=0,"",L189*M189),"")</f>
        <v/>
      </c>
      <c r="O189" s="334" t="n"/>
      <c r="P189" s="332">
        <f>IFERROR(VLOOKUP(TEXT(O189,"0"),CONDUCTORES!$A$3:$G$54,2,0),"")</f>
        <v/>
      </c>
      <c r="Q189" s="332">
        <f>IFERROR(VLOOKUP(TEXT(O189,"0"),CONDUCTORES!$A$3:$H$54,6,0),"")</f>
        <v/>
      </c>
      <c r="R189" s="334" t="n"/>
      <c r="S189" s="334" t="n"/>
      <c r="T189" s="334" t="n"/>
      <c r="U189" s="334" t="n"/>
      <c r="V189" s="334" t="n"/>
      <c r="W189" s="334" t="n"/>
      <c r="X189" s="334" t="n"/>
      <c r="Y189" s="334" t="n"/>
      <c r="Z189" s="375">
        <f>IF(AND(G189&lt;&gt;"",R189&lt;&gt;"",V189&lt;&gt;"",W189&lt;&gt;""),"COMPLETADO","OBSERVADO")</f>
        <v/>
      </c>
    </row>
    <row r="190" ht="15" customHeight="1" s="195">
      <c r="A190" s="280" t="n"/>
      <c r="B190" s="280" t="n"/>
      <c r="C190" s="280" t="n"/>
      <c r="D190" s="280" t="n"/>
      <c r="E190" s="280" t="n"/>
      <c r="F190" s="280" t="n"/>
      <c r="G190" s="280" t="n"/>
      <c r="H190" s="280" t="n"/>
      <c r="I190" s="332">
        <f>IFERROR(VLOOKUP(TEXT(H190,"0"),IPRESS!$A$3:$B$212,2,0),"")</f>
        <v/>
      </c>
      <c r="J190" s="280" t="n"/>
      <c r="K190" s="332">
        <f>IFERROR(VLOOKUP(TEXT(O190,"0"),CONDUCTORES!$A$3:$G$54,7,0),"")</f>
        <v/>
      </c>
      <c r="L190" s="280" t="n"/>
      <c r="M190" s="280" t="n"/>
      <c r="N190" s="333">
        <f>IFERROR(IF(L190*M190=0,"",L190*M190),"")</f>
        <v/>
      </c>
      <c r="O190" s="280" t="n"/>
      <c r="P190" s="332">
        <f>IFERROR(VLOOKUP(TEXT(O190,"0"),CONDUCTORES!$A$3:$G$54,2,0),"")</f>
        <v/>
      </c>
      <c r="Q190" s="332">
        <f>IFERROR(VLOOKUP(TEXT(O190,"0"),CONDUCTORES!$A$3:$H$54,6,0),"")</f>
        <v/>
      </c>
      <c r="R190" s="280" t="n"/>
      <c r="S190" s="280" t="n"/>
      <c r="T190" s="280" t="n"/>
      <c r="U190" s="280" t="n"/>
      <c r="V190" s="280" t="n"/>
      <c r="W190" s="280" t="n"/>
      <c r="X190" s="280" t="n"/>
      <c r="Y190" s="280" t="n"/>
      <c r="Z190" s="375">
        <f>IF(AND(G190&lt;&gt;"",R190&lt;&gt;"",V190&lt;&gt;"",W190&lt;&gt;""),"COMPLETADO","OBSERVADO")</f>
        <v/>
      </c>
    </row>
    <row r="191" ht="15" customHeight="1" s="195">
      <c r="A191" s="334" t="n"/>
      <c r="B191" s="334" t="n"/>
      <c r="C191" s="334" t="n"/>
      <c r="D191" s="334" t="n"/>
      <c r="E191" s="334" t="n"/>
      <c r="F191" s="334" t="n"/>
      <c r="G191" s="334" t="n"/>
      <c r="H191" s="334" t="n"/>
      <c r="I191" s="332">
        <f>IFERROR(VLOOKUP(TEXT(H191,"0"),IPRESS!$A$3:$B$212,2,0),"")</f>
        <v/>
      </c>
      <c r="J191" s="334" t="n"/>
      <c r="K191" s="332">
        <f>IFERROR(VLOOKUP(TEXT(O191,"0"),CONDUCTORES!$A$3:$G$54,7,0),"")</f>
        <v/>
      </c>
      <c r="L191" s="334" t="n"/>
      <c r="M191" s="334" t="n"/>
      <c r="N191" s="333">
        <f>IFERROR(IF(L191*M191=0,"",L191*M191),"")</f>
        <v/>
      </c>
      <c r="O191" s="334" t="n"/>
      <c r="P191" s="332">
        <f>IFERROR(VLOOKUP(TEXT(O191,"0"),CONDUCTORES!$A$3:$G$54,2,0),"")</f>
        <v/>
      </c>
      <c r="Q191" s="332">
        <f>IFERROR(VLOOKUP(TEXT(O191,"0"),CONDUCTORES!$A$3:$H$54,6,0),"")</f>
        <v/>
      </c>
      <c r="R191" s="334" t="n"/>
      <c r="S191" s="334" t="n"/>
      <c r="T191" s="334" t="n"/>
      <c r="U191" s="334" t="n"/>
      <c r="V191" s="334" t="n"/>
      <c r="W191" s="334" t="n"/>
      <c r="X191" s="334" t="n"/>
      <c r="Y191" s="334" t="n"/>
      <c r="Z191" s="375">
        <f>IF(AND(G191&lt;&gt;"",R191&lt;&gt;"",V191&lt;&gt;"",W191&lt;&gt;""),"COMPLETADO","OBSERVADO")</f>
        <v/>
      </c>
    </row>
    <row r="192" ht="15" customHeight="1" s="195">
      <c r="A192" s="280" t="n"/>
      <c r="B192" s="280" t="n"/>
      <c r="C192" s="280" t="n"/>
      <c r="D192" s="280" t="n"/>
      <c r="E192" s="280" t="n"/>
      <c r="F192" s="280" t="n"/>
      <c r="G192" s="280" t="n"/>
      <c r="H192" s="280" t="n"/>
      <c r="I192" s="332">
        <f>IFERROR(VLOOKUP(TEXT(H192,"0"),IPRESS!$A$3:$B$212,2,0),"")</f>
        <v/>
      </c>
      <c r="J192" s="280" t="n"/>
      <c r="K192" s="332">
        <f>IFERROR(VLOOKUP(TEXT(O192,"0"),CONDUCTORES!$A$3:$G$54,7,0),"")</f>
        <v/>
      </c>
      <c r="L192" s="280" t="n"/>
      <c r="M192" s="280" t="n"/>
      <c r="N192" s="333">
        <f>IFERROR(IF(L192*M192=0,"",L192*M192),"")</f>
        <v/>
      </c>
      <c r="O192" s="280" t="n"/>
      <c r="P192" s="332">
        <f>IFERROR(VLOOKUP(TEXT(O192,"0"),CONDUCTORES!$A$3:$G$54,2,0),"")</f>
        <v/>
      </c>
      <c r="Q192" s="332">
        <f>IFERROR(VLOOKUP(TEXT(O192,"0"),CONDUCTORES!$A$3:$H$54,6,0),"")</f>
        <v/>
      </c>
      <c r="R192" s="280" t="n"/>
      <c r="S192" s="280" t="n"/>
      <c r="T192" s="280" t="n"/>
      <c r="U192" s="280" t="n"/>
      <c r="V192" s="280" t="n"/>
      <c r="W192" s="280" t="n"/>
      <c r="X192" s="280" t="n"/>
      <c r="Y192" s="280" t="n"/>
      <c r="Z192" s="375">
        <f>IF(AND(G192&lt;&gt;"",R192&lt;&gt;"",V192&lt;&gt;"",W192&lt;&gt;""),"COMPLETADO","OBSERVADO")</f>
        <v/>
      </c>
    </row>
    <row r="193" ht="15" customHeight="1" s="195">
      <c r="A193" s="334" t="n"/>
      <c r="B193" s="334" t="n"/>
      <c r="C193" s="334" t="n"/>
      <c r="D193" s="334" t="n"/>
      <c r="E193" s="334" t="n"/>
      <c r="F193" s="334" t="n"/>
      <c r="G193" s="334" t="n"/>
      <c r="H193" s="334" t="n"/>
      <c r="I193" s="332">
        <f>IFERROR(VLOOKUP(TEXT(H193,"0"),IPRESS!$A$3:$B$212,2,0),"")</f>
        <v/>
      </c>
      <c r="J193" s="334" t="n"/>
      <c r="K193" s="332">
        <f>IFERROR(VLOOKUP(TEXT(O193,"0"),CONDUCTORES!$A$3:$G$54,7,0),"")</f>
        <v/>
      </c>
      <c r="L193" s="334" t="n"/>
      <c r="M193" s="334" t="n"/>
      <c r="N193" s="333">
        <f>IFERROR(IF(L193*M193=0,"",L193*M193),"")</f>
        <v/>
      </c>
      <c r="O193" s="334" t="n"/>
      <c r="P193" s="332">
        <f>IFERROR(VLOOKUP(TEXT(O193,"0"),CONDUCTORES!$A$3:$G$54,2,0),"")</f>
        <v/>
      </c>
      <c r="Q193" s="332">
        <f>IFERROR(VLOOKUP(TEXT(O193,"0"),CONDUCTORES!$A$3:$H$54,6,0),"")</f>
        <v/>
      </c>
      <c r="R193" s="334" t="n"/>
      <c r="S193" s="334" t="n"/>
      <c r="T193" s="334" t="n"/>
      <c r="U193" s="334" t="n"/>
      <c r="V193" s="334" t="n"/>
      <c r="W193" s="334" t="n"/>
      <c r="X193" s="334" t="n"/>
      <c r="Y193" s="334" t="n"/>
      <c r="Z193" s="375">
        <f>IF(AND(G193&lt;&gt;"",R193&lt;&gt;"",V193&lt;&gt;"",W193&lt;&gt;""),"COMPLETADO","OBSERVADO")</f>
        <v/>
      </c>
    </row>
    <row r="194" ht="15" customHeight="1" s="195">
      <c r="A194" s="280" t="n"/>
      <c r="B194" s="280" t="n"/>
      <c r="C194" s="280" t="n"/>
      <c r="D194" s="280" t="n"/>
      <c r="E194" s="280" t="n"/>
      <c r="F194" s="280" t="n"/>
      <c r="G194" s="280" t="n"/>
      <c r="H194" s="280" t="n"/>
      <c r="I194" s="332">
        <f>IFERROR(VLOOKUP(TEXT(H194,"0"),IPRESS!$A$3:$B$212,2,0),"")</f>
        <v/>
      </c>
      <c r="J194" s="280" t="n"/>
      <c r="K194" s="332">
        <f>IFERROR(VLOOKUP(TEXT(O194,"0"),CONDUCTORES!$A$3:$G$54,7,0),"")</f>
        <v/>
      </c>
      <c r="L194" s="280" t="n"/>
      <c r="M194" s="280" t="n"/>
      <c r="N194" s="333">
        <f>IFERROR(IF(L194*M194=0,"",L194*M194),"")</f>
        <v/>
      </c>
      <c r="O194" s="280" t="n"/>
      <c r="P194" s="332">
        <f>IFERROR(VLOOKUP(TEXT(O194,"0"),CONDUCTORES!$A$3:$G$54,2,0),"")</f>
        <v/>
      </c>
      <c r="Q194" s="332">
        <f>IFERROR(VLOOKUP(TEXT(O194,"0"),CONDUCTORES!$A$3:$H$54,6,0),"")</f>
        <v/>
      </c>
      <c r="R194" s="280" t="n"/>
      <c r="S194" s="280" t="n"/>
      <c r="T194" s="280" t="n"/>
      <c r="U194" s="280" t="n"/>
      <c r="V194" s="280" t="n"/>
      <c r="W194" s="280" t="n"/>
      <c r="X194" s="280" t="n"/>
      <c r="Y194" s="280" t="n"/>
      <c r="Z194" s="375">
        <f>IF(AND(G194&lt;&gt;"",R194&lt;&gt;"",V194&lt;&gt;"",W194&lt;&gt;""),"COMPLETADO","OBSERVADO")</f>
        <v/>
      </c>
    </row>
    <row r="195" ht="15" customHeight="1" s="195">
      <c r="A195" s="334" t="n"/>
      <c r="B195" s="334" t="n"/>
      <c r="C195" s="334" t="n"/>
      <c r="D195" s="334" t="n"/>
      <c r="E195" s="334" t="n"/>
      <c r="F195" s="334" t="n"/>
      <c r="G195" s="334" t="n"/>
      <c r="H195" s="334" t="n"/>
      <c r="I195" s="332">
        <f>IFERROR(VLOOKUP(TEXT(H195,"0"),IPRESS!$A$3:$B$212,2,0),"")</f>
        <v/>
      </c>
      <c r="J195" s="334" t="n"/>
      <c r="K195" s="332">
        <f>IFERROR(VLOOKUP(TEXT(O195,"0"),CONDUCTORES!$A$3:$G$54,7,0),"")</f>
        <v/>
      </c>
      <c r="L195" s="334" t="n"/>
      <c r="M195" s="334" t="n"/>
      <c r="N195" s="333">
        <f>IFERROR(IF(L195*M195=0,"",L195*M195),"")</f>
        <v/>
      </c>
      <c r="O195" s="334" t="n"/>
      <c r="P195" s="332">
        <f>IFERROR(VLOOKUP(TEXT(O195,"0"),CONDUCTORES!$A$3:$G$54,2,0),"")</f>
        <v/>
      </c>
      <c r="Q195" s="332">
        <f>IFERROR(VLOOKUP(TEXT(O195,"0"),CONDUCTORES!$A$3:$H$54,6,0),"")</f>
        <v/>
      </c>
      <c r="R195" s="334" t="n"/>
      <c r="S195" s="334" t="n"/>
      <c r="T195" s="334" t="n"/>
      <c r="U195" s="334" t="n"/>
      <c r="V195" s="334" t="n"/>
      <c r="W195" s="334" t="n"/>
      <c r="X195" s="334" t="n"/>
      <c r="Y195" s="334" t="n"/>
      <c r="Z195" s="375">
        <f>IF(AND(G195&lt;&gt;"",R195&lt;&gt;"",V195&lt;&gt;"",W195&lt;&gt;""),"COMPLETADO","OBSERVADO")</f>
        <v/>
      </c>
    </row>
    <row r="196" ht="15" customHeight="1" s="195">
      <c r="A196" s="280" t="n"/>
      <c r="B196" s="280" t="n"/>
      <c r="C196" s="280" t="n"/>
      <c r="D196" s="280" t="n"/>
      <c r="E196" s="280" t="n"/>
      <c r="F196" s="280" t="n"/>
      <c r="G196" s="280" t="n"/>
      <c r="H196" s="280" t="n"/>
      <c r="I196" s="332">
        <f>IFERROR(VLOOKUP(TEXT(H196,"0"),IPRESS!$A$3:$B$212,2,0),"")</f>
        <v/>
      </c>
      <c r="J196" s="280" t="n"/>
      <c r="K196" s="332">
        <f>IFERROR(VLOOKUP(TEXT(O196,"0"),CONDUCTORES!$A$3:$G$54,7,0),"")</f>
        <v/>
      </c>
      <c r="L196" s="280" t="n"/>
      <c r="M196" s="280" t="n"/>
      <c r="N196" s="333">
        <f>IFERROR(IF(L196*M196=0,"",L196*M196),"")</f>
        <v/>
      </c>
      <c r="O196" s="280" t="n"/>
      <c r="P196" s="332">
        <f>IFERROR(VLOOKUP(TEXT(O196,"0"),CONDUCTORES!$A$3:$G$54,2,0),"")</f>
        <v/>
      </c>
      <c r="Q196" s="332">
        <f>IFERROR(VLOOKUP(TEXT(O196,"0"),CONDUCTORES!$A$3:$H$54,6,0),"")</f>
        <v/>
      </c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375">
        <f>IF(AND(G196&lt;&gt;"",R196&lt;&gt;"",V196&lt;&gt;"",W196&lt;&gt;""),"COMPLETADO","OBSERVADO")</f>
        <v/>
      </c>
    </row>
    <row r="197" ht="15" customHeight="1" s="195">
      <c r="A197" s="334" t="n"/>
      <c r="B197" s="334" t="n"/>
      <c r="C197" s="334" t="n"/>
      <c r="D197" s="334" t="n"/>
      <c r="E197" s="334" t="n"/>
      <c r="F197" s="334" t="n"/>
      <c r="G197" s="334" t="n"/>
      <c r="H197" s="334" t="n"/>
      <c r="I197" s="332">
        <f>IFERROR(VLOOKUP(TEXT(H197,"0"),IPRESS!$A$3:$B$212,2,0),"")</f>
        <v/>
      </c>
      <c r="J197" s="334" t="n"/>
      <c r="K197" s="332">
        <f>IFERROR(VLOOKUP(TEXT(O197,"0"),CONDUCTORES!$A$3:$G$54,7,0),"")</f>
        <v/>
      </c>
      <c r="L197" s="334" t="n"/>
      <c r="M197" s="334" t="n"/>
      <c r="N197" s="333">
        <f>IFERROR(IF(L197*M197=0,"",L197*M197),"")</f>
        <v/>
      </c>
      <c r="O197" s="334" t="n"/>
      <c r="P197" s="332">
        <f>IFERROR(VLOOKUP(TEXT(O197,"0"),CONDUCTORES!$A$3:$G$54,2,0),"")</f>
        <v/>
      </c>
      <c r="Q197" s="332">
        <f>IFERROR(VLOOKUP(TEXT(O197,"0"),CONDUCTORES!$A$3:$H$54,6,0),"")</f>
        <v/>
      </c>
      <c r="R197" s="334" t="n"/>
      <c r="S197" s="334" t="n"/>
      <c r="T197" s="334" t="n"/>
      <c r="U197" s="334" t="n"/>
      <c r="V197" s="334" t="n"/>
      <c r="W197" s="334" t="n"/>
      <c r="X197" s="334" t="n"/>
      <c r="Y197" s="334" t="n"/>
      <c r="Z197" s="375">
        <f>IF(AND(G197&lt;&gt;"",R197&lt;&gt;"",V197&lt;&gt;"",W197&lt;&gt;""),"COMPLETADO","OBSERVADO")</f>
        <v/>
      </c>
    </row>
    <row r="198" ht="15" customHeight="1" s="195">
      <c r="A198" s="280" t="n"/>
      <c r="B198" s="280" t="n"/>
      <c r="C198" s="280" t="n"/>
      <c r="D198" s="280" t="n"/>
      <c r="E198" s="280" t="n"/>
      <c r="F198" s="280" t="n"/>
      <c r="G198" s="280" t="n"/>
      <c r="H198" s="280" t="n"/>
      <c r="I198" s="332">
        <f>IFERROR(VLOOKUP(TEXT(H198,"0"),IPRESS!$A$3:$B$212,2,0),"")</f>
        <v/>
      </c>
      <c r="J198" s="280" t="n"/>
      <c r="K198" s="332">
        <f>IFERROR(VLOOKUP(TEXT(O198,"0"),CONDUCTORES!$A$3:$G$54,7,0),"")</f>
        <v/>
      </c>
      <c r="L198" s="280" t="n"/>
      <c r="M198" s="280" t="n"/>
      <c r="N198" s="333">
        <f>IFERROR(IF(L198*M198=0,"",L198*M198),"")</f>
        <v/>
      </c>
      <c r="O198" s="280" t="n"/>
      <c r="P198" s="332">
        <f>IFERROR(VLOOKUP(TEXT(O198,"0"),CONDUCTORES!$A$3:$G$54,2,0),"")</f>
        <v/>
      </c>
      <c r="Q198" s="332">
        <f>IFERROR(VLOOKUP(TEXT(O198,"0"),CONDUCTORES!$A$3:$H$54,6,0),"")</f>
        <v/>
      </c>
      <c r="R198" s="280" t="n"/>
      <c r="S198" s="280" t="n"/>
      <c r="T198" s="280" t="n"/>
      <c r="U198" s="280" t="n"/>
      <c r="V198" s="280" t="n"/>
      <c r="W198" s="280" t="n"/>
      <c r="X198" s="280" t="n"/>
      <c r="Y198" s="280" t="n"/>
      <c r="Z198" s="375">
        <f>IF(AND(G198&lt;&gt;"",R198&lt;&gt;"",V198&lt;&gt;"",W198&lt;&gt;""),"COMPLETADO","OBSERVADO")</f>
        <v/>
      </c>
    </row>
    <row r="199" ht="15" customHeight="1" s="195">
      <c r="A199" s="334" t="n"/>
      <c r="B199" s="334" t="n"/>
      <c r="C199" s="334" t="n"/>
      <c r="D199" s="334" t="n"/>
      <c r="E199" s="334" t="n"/>
      <c r="F199" s="334" t="n"/>
      <c r="G199" s="334" t="n"/>
      <c r="H199" s="334" t="n"/>
      <c r="I199" s="332">
        <f>IFERROR(VLOOKUP(TEXT(H199,"0"),IPRESS!$A$3:$B$212,2,0),"")</f>
        <v/>
      </c>
      <c r="J199" s="334" t="n"/>
      <c r="K199" s="332">
        <f>IFERROR(VLOOKUP(TEXT(O199,"0"),CONDUCTORES!$A$3:$G$54,7,0),"")</f>
        <v/>
      </c>
      <c r="L199" s="334" t="n"/>
      <c r="M199" s="334" t="n"/>
      <c r="N199" s="333">
        <f>IFERROR(IF(L199*M199=0,"",L199*M199),"")</f>
        <v/>
      </c>
      <c r="O199" s="334" t="n"/>
      <c r="P199" s="332">
        <f>IFERROR(VLOOKUP(TEXT(O199,"0"),CONDUCTORES!$A$3:$G$54,2,0),"")</f>
        <v/>
      </c>
      <c r="Q199" s="332">
        <f>IFERROR(VLOOKUP(TEXT(O199,"0"),CONDUCTORES!$A$3:$H$54,6,0),"")</f>
        <v/>
      </c>
      <c r="R199" s="334" t="n"/>
      <c r="S199" s="334" t="n"/>
      <c r="T199" s="334" t="n"/>
      <c r="U199" s="334" t="n"/>
      <c r="V199" s="334" t="n"/>
      <c r="W199" s="334" t="n"/>
      <c r="X199" s="334" t="n"/>
      <c r="Y199" s="334" t="n"/>
      <c r="Z199" s="375">
        <f>IF(AND(G199&lt;&gt;"",R199&lt;&gt;"",V199&lt;&gt;"",W199&lt;&gt;""),"COMPLETADO","OBSERVADO")</f>
        <v/>
      </c>
    </row>
    <row r="200" ht="15" customHeight="1" s="195">
      <c r="A200" s="280" t="n"/>
      <c r="B200" s="280" t="n"/>
      <c r="C200" s="280" t="n"/>
      <c r="D200" s="280" t="n"/>
      <c r="E200" s="280" t="n"/>
      <c r="F200" s="280" t="n"/>
      <c r="G200" s="280" t="n"/>
      <c r="H200" s="280" t="n"/>
      <c r="I200" s="332">
        <f>IFERROR(VLOOKUP(TEXT(H200,"0"),IPRESS!$A$3:$B$212,2,0),"")</f>
        <v/>
      </c>
      <c r="J200" s="280" t="n"/>
      <c r="K200" s="332">
        <f>IFERROR(VLOOKUP(TEXT(O200,"0"),CONDUCTORES!$A$3:$G$54,7,0),"")</f>
        <v/>
      </c>
      <c r="L200" s="280" t="n"/>
      <c r="M200" s="280" t="n"/>
      <c r="N200" s="333">
        <f>IFERROR(IF(L200*M200=0,"",L200*M200),"")</f>
        <v/>
      </c>
      <c r="O200" s="280" t="n"/>
      <c r="P200" s="332">
        <f>IFERROR(VLOOKUP(TEXT(O200,"0"),CONDUCTORES!$A$3:$G$54,2,0),"")</f>
        <v/>
      </c>
      <c r="Q200" s="332">
        <f>IFERROR(VLOOKUP(TEXT(O200,"0"),CONDUCTORES!$A$3:$H$54,6,0),"")</f>
        <v/>
      </c>
      <c r="R200" s="280" t="n"/>
      <c r="S200" s="280" t="n"/>
      <c r="T200" s="280" t="n"/>
      <c r="U200" s="280" t="n"/>
      <c r="V200" s="280" t="n"/>
      <c r="W200" s="280" t="n"/>
      <c r="X200" s="280" t="n"/>
      <c r="Y200" s="280" t="n"/>
      <c r="Z200" s="375">
        <f>IF(AND(G200&lt;&gt;"",R200&lt;&gt;"",V200&lt;&gt;"",W200&lt;&gt;""),"COMPLETADO","OBSERVADO")</f>
        <v/>
      </c>
    </row>
    <row r="201" ht="15" customHeight="1" s="195">
      <c r="A201" s="334" t="n"/>
      <c r="B201" s="334" t="n"/>
      <c r="C201" s="334" t="n"/>
      <c r="D201" s="334" t="n"/>
      <c r="E201" s="334" t="n"/>
      <c r="F201" s="334" t="n"/>
      <c r="G201" s="334" t="n"/>
      <c r="H201" s="334" t="n"/>
      <c r="I201" s="332">
        <f>IFERROR(VLOOKUP(TEXT(H201,"0"),IPRESS!$A$3:$B$212,2,0),"")</f>
        <v/>
      </c>
      <c r="J201" s="334" t="n"/>
      <c r="K201" s="332">
        <f>IFERROR(VLOOKUP(TEXT(O201,"0"),CONDUCTORES!$A$3:$G$54,7,0),"")</f>
        <v/>
      </c>
      <c r="L201" s="334" t="n"/>
      <c r="M201" s="334" t="n"/>
      <c r="N201" s="333">
        <f>IFERROR(IF(L201*M201=0,"",L201*M201),"")</f>
        <v/>
      </c>
      <c r="O201" s="334" t="n"/>
      <c r="P201" s="332">
        <f>IFERROR(VLOOKUP(TEXT(O201,"0"),CONDUCTORES!$A$3:$G$54,2,0),"")</f>
        <v/>
      </c>
      <c r="Q201" s="332">
        <f>IFERROR(VLOOKUP(TEXT(O201,"0"),CONDUCTORES!$A$3:$H$54,6,0),"")</f>
        <v/>
      </c>
      <c r="R201" s="334" t="n"/>
      <c r="S201" s="334" t="n"/>
      <c r="T201" s="334" t="n"/>
      <c r="U201" s="334" t="n"/>
      <c r="V201" s="334" t="n"/>
      <c r="W201" s="334" t="n"/>
      <c r="X201" s="334" t="n"/>
      <c r="Y201" s="334" t="n"/>
      <c r="Z201" s="375">
        <f>IF(AND(G201&lt;&gt;"",R201&lt;&gt;"",V201&lt;&gt;"",W201&lt;&gt;""),"COMPLETADO","OBSERVADO")</f>
        <v/>
      </c>
    </row>
    <row r="202" ht="15" customHeight="1" s="195">
      <c r="A202" s="280" t="n"/>
      <c r="B202" s="280" t="n"/>
      <c r="C202" s="280" t="n"/>
      <c r="D202" s="280" t="n"/>
      <c r="E202" s="280" t="n"/>
      <c r="F202" s="280" t="n"/>
      <c r="G202" s="280" t="n"/>
      <c r="H202" s="280" t="n"/>
      <c r="I202" s="332">
        <f>IFERROR(VLOOKUP(TEXT(H202,"0"),IPRESS!$A$3:$B$212,2,0),"")</f>
        <v/>
      </c>
      <c r="J202" s="280" t="n"/>
      <c r="K202" s="332">
        <f>IFERROR(VLOOKUP(TEXT(O202,"0"),CONDUCTORES!$A$3:$G$54,7,0),"")</f>
        <v/>
      </c>
      <c r="L202" s="280" t="n"/>
      <c r="M202" s="280" t="n"/>
      <c r="N202" s="333">
        <f>IFERROR(IF(L202*M202=0,"",L202*M202),"")</f>
        <v/>
      </c>
      <c r="O202" s="280" t="n"/>
      <c r="P202" s="332">
        <f>IFERROR(VLOOKUP(TEXT(O202,"0"),CONDUCTORES!$A$3:$G$54,2,0),"")</f>
        <v/>
      </c>
      <c r="Q202" s="332">
        <f>IFERROR(VLOOKUP(TEXT(O202,"0"),CONDUCTORES!$A$3:$H$54,6,0),"")</f>
        <v/>
      </c>
      <c r="R202" s="280" t="n"/>
      <c r="S202" s="280" t="n"/>
      <c r="T202" s="280" t="n"/>
      <c r="U202" s="280" t="n"/>
      <c r="V202" s="280" t="n"/>
      <c r="W202" s="280" t="n"/>
      <c r="X202" s="280" t="n"/>
      <c r="Y202" s="280" t="n"/>
      <c r="Z202" s="375">
        <f>IF(AND(G202&lt;&gt;"",R202&lt;&gt;"",V202&lt;&gt;"",W202&lt;&gt;""),"COMPLETADO","OBSERVADO")</f>
        <v/>
      </c>
    </row>
    <row r="203" ht="15" customHeight="1" s="195">
      <c r="A203" s="334" t="n"/>
      <c r="B203" s="334" t="n"/>
      <c r="C203" s="334" t="n"/>
      <c r="D203" s="334" t="n"/>
      <c r="E203" s="334" t="n"/>
      <c r="F203" s="334" t="n"/>
      <c r="G203" s="334" t="n"/>
      <c r="H203" s="334" t="n"/>
      <c r="I203" s="332">
        <f>IFERROR(VLOOKUP(TEXT(H203,"0"),IPRESS!$A$3:$B$212,2,0),"")</f>
        <v/>
      </c>
      <c r="J203" s="334" t="n"/>
      <c r="K203" s="332">
        <f>IFERROR(VLOOKUP(TEXT(O203,"0"),CONDUCTORES!$A$3:$G$54,7,0),"")</f>
        <v/>
      </c>
      <c r="L203" s="334" t="n"/>
      <c r="M203" s="334" t="n"/>
      <c r="N203" s="333">
        <f>IFERROR(IF(L203*M203=0,"",L203*M203),"")</f>
        <v/>
      </c>
      <c r="O203" s="334" t="n"/>
      <c r="P203" s="332">
        <f>IFERROR(VLOOKUP(TEXT(O203,"0"),CONDUCTORES!$A$3:$G$54,2,0),"")</f>
        <v/>
      </c>
      <c r="Q203" s="332">
        <f>IFERROR(VLOOKUP(TEXT(O203,"0"),CONDUCTORES!$A$3:$H$54,6,0),"")</f>
        <v/>
      </c>
      <c r="R203" s="334" t="n"/>
      <c r="S203" s="334" t="n"/>
      <c r="T203" s="334" t="n"/>
      <c r="U203" s="334" t="n"/>
      <c r="V203" s="334" t="n"/>
      <c r="W203" s="334" t="n"/>
      <c r="X203" s="334" t="n"/>
      <c r="Y203" s="334" t="n"/>
      <c r="Z203" s="375">
        <f>IF(AND(G203&lt;&gt;"",R203&lt;&gt;"",V203&lt;&gt;"",W203&lt;&gt;""),"COMPLETADO","OBSERVADO")</f>
        <v/>
      </c>
    </row>
    <row r="204" ht="15" customHeight="1" s="195">
      <c r="A204" s="280" t="n"/>
      <c r="B204" s="280" t="n"/>
      <c r="C204" s="280" t="n"/>
      <c r="D204" s="280" t="n"/>
      <c r="E204" s="280" t="n"/>
      <c r="F204" s="280" t="n"/>
      <c r="G204" s="280" t="n"/>
      <c r="H204" s="280" t="n"/>
      <c r="I204" s="332">
        <f>IFERROR(VLOOKUP(TEXT(H204,"0"),IPRESS!$A$3:$B$212,2,0),"")</f>
        <v/>
      </c>
      <c r="J204" s="280" t="n"/>
      <c r="K204" s="332">
        <f>IFERROR(VLOOKUP(TEXT(O204,"0"),CONDUCTORES!$A$3:$G$54,7,0),"")</f>
        <v/>
      </c>
      <c r="L204" s="280" t="n"/>
      <c r="M204" s="280" t="n"/>
      <c r="N204" s="333">
        <f>IFERROR(IF(L204*M204=0,"",L204*M204),"")</f>
        <v/>
      </c>
      <c r="O204" s="280" t="n"/>
      <c r="P204" s="332">
        <f>IFERROR(VLOOKUP(TEXT(O204,"0"),CONDUCTORES!$A$3:$G$54,2,0),"")</f>
        <v/>
      </c>
      <c r="Q204" s="332">
        <f>IFERROR(VLOOKUP(TEXT(O204,"0"),CONDUCTORES!$A$3:$H$54,6,0),"")</f>
        <v/>
      </c>
      <c r="R204" s="280" t="n"/>
      <c r="S204" s="280" t="n"/>
      <c r="T204" s="280" t="n"/>
      <c r="U204" s="280" t="n"/>
      <c r="V204" s="280" t="n"/>
      <c r="W204" s="280" t="n"/>
      <c r="X204" s="280" t="n"/>
      <c r="Y204" s="280" t="n"/>
      <c r="Z204" s="375">
        <f>IF(AND(G204&lt;&gt;"",R204&lt;&gt;"",V204&lt;&gt;"",W204&lt;&gt;""),"COMPLETADO","OBSERVADO")</f>
        <v/>
      </c>
    </row>
    <row r="205" ht="15" customHeight="1" s="195">
      <c r="A205" s="334" t="n"/>
      <c r="B205" s="334" t="n"/>
      <c r="C205" s="334" t="n"/>
      <c r="D205" s="334" t="n"/>
      <c r="E205" s="334" t="n"/>
      <c r="F205" s="334" t="n"/>
      <c r="G205" s="334" t="n"/>
      <c r="H205" s="334" t="n"/>
      <c r="I205" s="332">
        <f>IFERROR(VLOOKUP(TEXT(H205,"0"),IPRESS!$A$3:$B$212,2,0),"")</f>
        <v/>
      </c>
      <c r="J205" s="334" t="n"/>
      <c r="K205" s="332">
        <f>IFERROR(VLOOKUP(TEXT(O205,"0"),CONDUCTORES!$A$3:$G$54,7,0),"")</f>
        <v/>
      </c>
      <c r="L205" s="334" t="n"/>
      <c r="M205" s="334" t="n"/>
      <c r="N205" s="333">
        <f>IFERROR(IF(L205*M205=0,"",L205*M205),"")</f>
        <v/>
      </c>
      <c r="O205" s="334" t="n"/>
      <c r="P205" s="332">
        <f>IFERROR(VLOOKUP(TEXT(O205,"0"),CONDUCTORES!$A$3:$G$54,2,0),"")</f>
        <v/>
      </c>
      <c r="Q205" s="332">
        <f>IFERROR(VLOOKUP(TEXT(O205,"0"),CONDUCTORES!$A$3:$H$54,6,0),"")</f>
        <v/>
      </c>
      <c r="R205" s="334" t="n"/>
      <c r="S205" s="334" t="n"/>
      <c r="T205" s="334" t="n"/>
      <c r="U205" s="334" t="n"/>
      <c r="V205" s="334" t="n"/>
      <c r="W205" s="334" t="n"/>
      <c r="X205" s="334" t="n"/>
      <c r="Y205" s="334" t="n"/>
      <c r="Z205" s="375">
        <f>IF(AND(G205&lt;&gt;"",R205&lt;&gt;"",V205&lt;&gt;"",W205&lt;&gt;""),"COMPLETADO","OBSERVADO")</f>
        <v/>
      </c>
    </row>
    <row r="206" ht="15" customHeight="1" s="195">
      <c r="A206" s="280" t="n"/>
      <c r="B206" s="280" t="n"/>
      <c r="C206" s="280" t="n"/>
      <c r="D206" s="280" t="n"/>
      <c r="E206" s="280" t="n"/>
      <c r="F206" s="280" t="n"/>
      <c r="G206" s="280" t="n"/>
      <c r="H206" s="280" t="n"/>
      <c r="I206" s="332">
        <f>IFERROR(VLOOKUP(TEXT(H206,"0"),IPRESS!$A$3:$B$212,2,0),"")</f>
        <v/>
      </c>
      <c r="J206" s="280" t="n"/>
      <c r="K206" s="332">
        <f>IFERROR(VLOOKUP(TEXT(O206,"0"),CONDUCTORES!$A$3:$G$54,7,0),"")</f>
        <v/>
      </c>
      <c r="L206" s="280" t="n"/>
      <c r="M206" s="280" t="n"/>
      <c r="N206" s="333">
        <f>IFERROR(IF(L206*M206=0,"",L206*M206),"")</f>
        <v/>
      </c>
      <c r="O206" s="280" t="n"/>
      <c r="P206" s="332">
        <f>IFERROR(VLOOKUP(TEXT(O206,"0"),CONDUCTORES!$A$3:$G$54,2,0),"")</f>
        <v/>
      </c>
      <c r="Q206" s="332">
        <f>IFERROR(VLOOKUP(TEXT(O206,"0"),CONDUCTORES!$A$3:$H$54,6,0),"")</f>
        <v/>
      </c>
      <c r="R206" s="280" t="n"/>
      <c r="S206" s="280" t="n"/>
      <c r="T206" s="280" t="n"/>
      <c r="U206" s="280" t="n"/>
      <c r="V206" s="280" t="n"/>
      <c r="W206" s="280" t="n"/>
      <c r="X206" s="280" t="n"/>
      <c r="Y206" s="280" t="n"/>
      <c r="Z206" s="375">
        <f>IF(AND(G206&lt;&gt;"",R206&lt;&gt;"",V206&lt;&gt;"",W206&lt;&gt;""),"COMPLETADO","OBSERVADO")</f>
        <v/>
      </c>
    </row>
    <row r="207" ht="15" customHeight="1" s="195">
      <c r="A207" s="334" t="n"/>
      <c r="B207" s="334" t="n"/>
      <c r="C207" s="334" t="n"/>
      <c r="D207" s="334" t="n"/>
      <c r="E207" s="334" t="n"/>
      <c r="F207" s="334" t="n"/>
      <c r="G207" s="334" t="n"/>
      <c r="H207" s="334" t="n"/>
      <c r="I207" s="332">
        <f>IFERROR(VLOOKUP(TEXT(H207,"0"),IPRESS!$A$3:$B$212,2,0),"")</f>
        <v/>
      </c>
      <c r="J207" s="334" t="n"/>
      <c r="K207" s="332">
        <f>IFERROR(VLOOKUP(TEXT(O207,"0"),CONDUCTORES!$A$3:$G$54,7,0),"")</f>
        <v/>
      </c>
      <c r="L207" s="334" t="n"/>
      <c r="M207" s="334" t="n"/>
      <c r="N207" s="333">
        <f>IFERROR(IF(L207*M207=0,"",L207*M207),"")</f>
        <v/>
      </c>
      <c r="O207" s="334" t="n"/>
      <c r="P207" s="332">
        <f>IFERROR(VLOOKUP(TEXT(O207,"0"),CONDUCTORES!$A$3:$G$54,2,0),"")</f>
        <v/>
      </c>
      <c r="Q207" s="332">
        <f>IFERROR(VLOOKUP(TEXT(O207,"0"),CONDUCTORES!$A$3:$H$54,6,0),"")</f>
        <v/>
      </c>
      <c r="R207" s="334" t="n"/>
      <c r="S207" s="334" t="n"/>
      <c r="T207" s="334" t="n"/>
      <c r="U207" s="334" t="n"/>
      <c r="V207" s="334" t="n"/>
      <c r="W207" s="334" t="n"/>
      <c r="X207" s="334" t="n"/>
      <c r="Y207" s="334" t="n"/>
      <c r="Z207" s="375">
        <f>IF(AND(G207&lt;&gt;"",R207&lt;&gt;"",V207&lt;&gt;"",W207&lt;&gt;""),"COMPLETADO","OBSERVADO")</f>
        <v/>
      </c>
    </row>
    <row r="208" ht="15" customHeight="1" s="195">
      <c r="A208" s="280" t="n"/>
      <c r="B208" s="280" t="n"/>
      <c r="C208" s="280" t="n"/>
      <c r="D208" s="280" t="n"/>
      <c r="E208" s="280" t="n"/>
      <c r="F208" s="280" t="n"/>
      <c r="G208" s="280" t="n"/>
      <c r="H208" s="280" t="n"/>
      <c r="I208" s="332">
        <f>IFERROR(VLOOKUP(TEXT(H208,"0"),IPRESS!$A$3:$B$212,2,0),"")</f>
        <v/>
      </c>
      <c r="J208" s="280" t="n"/>
      <c r="K208" s="332">
        <f>IFERROR(VLOOKUP(TEXT(O208,"0"),CONDUCTORES!$A$3:$G$54,7,0),"")</f>
        <v/>
      </c>
      <c r="L208" s="280" t="n"/>
      <c r="M208" s="280" t="n"/>
      <c r="N208" s="333">
        <f>IFERROR(IF(L208*M208=0,"",L208*M208),"")</f>
        <v/>
      </c>
      <c r="O208" s="280" t="n"/>
      <c r="P208" s="332">
        <f>IFERROR(VLOOKUP(TEXT(O208,"0"),CONDUCTORES!$A$3:$G$54,2,0),"")</f>
        <v/>
      </c>
      <c r="Q208" s="332">
        <f>IFERROR(VLOOKUP(TEXT(O208,"0"),CONDUCTORES!$A$3:$H$54,6,0),"")</f>
        <v/>
      </c>
      <c r="R208" s="280" t="n"/>
      <c r="S208" s="280" t="n"/>
      <c r="T208" s="280" t="n"/>
      <c r="U208" s="280" t="n"/>
      <c r="V208" s="280" t="n"/>
      <c r="W208" s="280" t="n"/>
      <c r="X208" s="280" t="n"/>
      <c r="Y208" s="280" t="n"/>
      <c r="Z208" s="375">
        <f>IF(AND(G208&lt;&gt;"",R208&lt;&gt;"",V208&lt;&gt;"",W208&lt;&gt;""),"COMPLETADO","OBSERVADO")</f>
        <v/>
      </c>
    </row>
    <row r="209" ht="15" customHeight="1" s="195">
      <c r="A209" s="334" t="n"/>
      <c r="B209" s="334" t="n"/>
      <c r="C209" s="334" t="n"/>
      <c r="D209" s="334" t="n"/>
      <c r="E209" s="334" t="n"/>
      <c r="F209" s="334" t="n"/>
      <c r="G209" s="334" t="n"/>
      <c r="H209" s="334" t="n"/>
      <c r="I209" s="332">
        <f>IFERROR(VLOOKUP(TEXT(H209,"0"),IPRESS!$A$3:$B$212,2,0),"")</f>
        <v/>
      </c>
      <c r="J209" s="334" t="n"/>
      <c r="K209" s="332">
        <f>IFERROR(VLOOKUP(TEXT(O209,"0"),CONDUCTORES!$A$3:$G$54,7,0),"")</f>
        <v/>
      </c>
      <c r="L209" s="334" t="n"/>
      <c r="M209" s="334" t="n"/>
      <c r="N209" s="333">
        <f>IFERROR(IF(L209*M209=0,"",L209*M209),"")</f>
        <v/>
      </c>
      <c r="O209" s="334" t="n"/>
      <c r="P209" s="332">
        <f>IFERROR(VLOOKUP(TEXT(O209,"0"),CONDUCTORES!$A$3:$G$54,2,0),"")</f>
        <v/>
      </c>
      <c r="Q209" s="332">
        <f>IFERROR(VLOOKUP(TEXT(O209,"0"),CONDUCTORES!$A$3:$H$54,6,0),"")</f>
        <v/>
      </c>
      <c r="R209" s="334" t="n"/>
      <c r="S209" s="334" t="n"/>
      <c r="T209" s="334" t="n"/>
      <c r="U209" s="334" t="n"/>
      <c r="V209" s="334" t="n"/>
      <c r="W209" s="334" t="n"/>
      <c r="X209" s="334" t="n"/>
      <c r="Y209" s="334" t="n"/>
      <c r="Z209" s="375">
        <f>IF(AND(G209&lt;&gt;"",R209&lt;&gt;"",V209&lt;&gt;"",W209&lt;&gt;""),"COMPLETADO","OBSERVADO")</f>
        <v/>
      </c>
    </row>
    <row r="210" ht="15" customHeight="1" s="195">
      <c r="A210" s="280" t="n"/>
      <c r="B210" s="280" t="n"/>
      <c r="C210" s="280" t="n"/>
      <c r="D210" s="280" t="n"/>
      <c r="E210" s="280" t="n"/>
      <c r="F210" s="280" t="n"/>
      <c r="G210" s="280" t="n"/>
      <c r="H210" s="280" t="n"/>
      <c r="I210" s="332">
        <f>IFERROR(VLOOKUP(TEXT(H210,"0"),IPRESS!$A$3:$B$212,2,0),"")</f>
        <v/>
      </c>
      <c r="J210" s="280" t="n"/>
      <c r="K210" s="332">
        <f>IFERROR(VLOOKUP(TEXT(O210,"0"),CONDUCTORES!$A$3:$G$54,7,0),"")</f>
        <v/>
      </c>
      <c r="L210" s="280" t="n"/>
      <c r="M210" s="280" t="n"/>
      <c r="N210" s="333">
        <f>IFERROR(IF(L210*M210=0,"",L210*M210),"")</f>
        <v/>
      </c>
      <c r="O210" s="280" t="n"/>
      <c r="P210" s="332">
        <f>IFERROR(VLOOKUP(TEXT(O210,"0"),CONDUCTORES!$A$3:$G$54,2,0),"")</f>
        <v/>
      </c>
      <c r="Q210" s="332">
        <f>IFERROR(VLOOKUP(TEXT(O210,"0"),CONDUCTORES!$A$3:$H$54,6,0),"")</f>
        <v/>
      </c>
      <c r="R210" s="280" t="n"/>
      <c r="S210" s="280" t="n"/>
      <c r="T210" s="280" t="n"/>
      <c r="U210" s="280" t="n"/>
      <c r="V210" s="280" t="n"/>
      <c r="W210" s="280" t="n"/>
      <c r="X210" s="280" t="n"/>
      <c r="Y210" s="280" t="n"/>
      <c r="Z210" s="375">
        <f>IF(AND(G210&lt;&gt;"",R210&lt;&gt;"",V210&lt;&gt;"",W210&lt;&gt;""),"COMPLETADO","OBSERVADO")</f>
        <v/>
      </c>
    </row>
    <row r="211" ht="15" customHeight="1" s="195">
      <c r="A211" s="334" t="n"/>
      <c r="B211" s="334" t="n"/>
      <c r="C211" s="334" t="n"/>
      <c r="D211" s="334" t="n"/>
      <c r="E211" s="334" t="n"/>
      <c r="F211" s="334" t="n"/>
      <c r="G211" s="334" t="n"/>
      <c r="H211" s="334" t="n"/>
      <c r="I211" s="332">
        <f>IFERROR(VLOOKUP(TEXT(H211,"0"),IPRESS!$A$3:$B$212,2,0),"")</f>
        <v/>
      </c>
      <c r="J211" s="334" t="n"/>
      <c r="K211" s="332">
        <f>IFERROR(VLOOKUP(TEXT(O211,"0"),CONDUCTORES!$A$3:$G$54,7,0),"")</f>
        <v/>
      </c>
      <c r="L211" s="334" t="n"/>
      <c r="M211" s="334" t="n"/>
      <c r="N211" s="333">
        <f>IFERROR(IF(L211*M211=0,"",L211*M211),"")</f>
        <v/>
      </c>
      <c r="O211" s="334" t="n"/>
      <c r="P211" s="332">
        <f>IFERROR(VLOOKUP(TEXT(O211,"0"),CONDUCTORES!$A$3:$G$54,2,0),"")</f>
        <v/>
      </c>
      <c r="Q211" s="332">
        <f>IFERROR(VLOOKUP(TEXT(O211,"0"),CONDUCTORES!$A$3:$H$54,6,0),"")</f>
        <v/>
      </c>
      <c r="R211" s="334" t="n"/>
      <c r="S211" s="334" t="n"/>
      <c r="T211" s="334" t="n"/>
      <c r="U211" s="334" t="n"/>
      <c r="V211" s="334" t="n"/>
      <c r="W211" s="334" t="n"/>
      <c r="X211" s="334" t="n"/>
      <c r="Y211" s="334" t="n"/>
      <c r="Z211" s="375">
        <f>IF(AND(G211&lt;&gt;"",R211&lt;&gt;"",V211&lt;&gt;"",W211&lt;&gt;""),"COMPLETADO","OBSERVADO")</f>
        <v/>
      </c>
    </row>
    <row r="212" ht="15" customHeight="1" s="195">
      <c r="A212" s="280" t="n"/>
      <c r="B212" s="280" t="n"/>
      <c r="C212" s="280" t="n"/>
      <c r="D212" s="280" t="n"/>
      <c r="E212" s="280" t="n"/>
      <c r="F212" s="280" t="n"/>
      <c r="G212" s="280" t="n"/>
      <c r="H212" s="280" t="n"/>
      <c r="I212" s="332">
        <f>IFERROR(VLOOKUP(TEXT(H212,"0"),IPRESS!$A$3:$B$212,2,0),"")</f>
        <v/>
      </c>
      <c r="J212" s="280" t="n"/>
      <c r="K212" s="332">
        <f>IFERROR(VLOOKUP(TEXT(O212,"0"),CONDUCTORES!$A$3:$G$54,7,0),"")</f>
        <v/>
      </c>
      <c r="L212" s="280" t="n"/>
      <c r="M212" s="280" t="n"/>
      <c r="N212" s="333">
        <f>IFERROR(IF(L212*M212=0,"",L212*M212),"")</f>
        <v/>
      </c>
      <c r="O212" s="280" t="n"/>
      <c r="P212" s="332">
        <f>IFERROR(VLOOKUP(TEXT(O212,"0"),CONDUCTORES!$A$3:$G$54,2,0),"")</f>
        <v/>
      </c>
      <c r="Q212" s="332">
        <f>IFERROR(VLOOKUP(TEXT(O212,"0"),CONDUCTORES!$A$3:$H$54,6,0),"")</f>
        <v/>
      </c>
      <c r="R212" s="280" t="n"/>
      <c r="S212" s="280" t="n"/>
      <c r="T212" s="280" t="n"/>
      <c r="U212" s="280" t="n"/>
      <c r="V212" s="280" t="n"/>
      <c r="W212" s="280" t="n"/>
      <c r="X212" s="280" t="n"/>
      <c r="Y212" s="280" t="n"/>
      <c r="Z212" s="375">
        <f>IF(AND(G212&lt;&gt;"",R212&lt;&gt;"",V212&lt;&gt;"",W212&lt;&gt;""),"COMPLETADO","OBSERVADO")</f>
        <v/>
      </c>
    </row>
    <row r="213" ht="15" customHeight="1" s="195">
      <c r="A213" s="334" t="n"/>
      <c r="B213" s="334" t="n"/>
      <c r="C213" s="334" t="n"/>
      <c r="D213" s="334" t="n"/>
      <c r="E213" s="334" t="n"/>
      <c r="F213" s="334" t="n"/>
      <c r="G213" s="334" t="n"/>
      <c r="H213" s="334" t="n"/>
      <c r="I213" s="332">
        <f>IFERROR(VLOOKUP(TEXT(H213,"0"),IPRESS!$A$3:$B$212,2,0),"")</f>
        <v/>
      </c>
      <c r="J213" s="334" t="n"/>
      <c r="K213" s="332">
        <f>IFERROR(VLOOKUP(TEXT(O213,"0"),CONDUCTORES!$A$3:$G$54,7,0),"")</f>
        <v/>
      </c>
      <c r="L213" s="334" t="n"/>
      <c r="M213" s="334" t="n"/>
      <c r="N213" s="333">
        <f>IFERROR(IF(L213*M213=0,"",L213*M213),"")</f>
        <v/>
      </c>
      <c r="O213" s="334" t="n"/>
      <c r="P213" s="332">
        <f>IFERROR(VLOOKUP(TEXT(O213,"0"),CONDUCTORES!$A$3:$G$54,2,0),"")</f>
        <v/>
      </c>
      <c r="Q213" s="332">
        <f>IFERROR(VLOOKUP(TEXT(O213,"0"),CONDUCTORES!$A$3:$H$54,6,0),"")</f>
        <v/>
      </c>
      <c r="R213" s="334" t="n"/>
      <c r="S213" s="334" t="n"/>
      <c r="T213" s="334" t="n"/>
      <c r="U213" s="334" t="n"/>
      <c r="V213" s="334" t="n"/>
      <c r="W213" s="334" t="n"/>
      <c r="X213" s="334" t="n"/>
      <c r="Y213" s="334" t="n"/>
      <c r="Z213" s="375">
        <f>IF(AND(G213&lt;&gt;"",R213&lt;&gt;"",V213&lt;&gt;"",W213&lt;&gt;""),"COMPLETADO","OBSERVADO")</f>
        <v/>
      </c>
    </row>
    <row r="214" ht="15" customHeight="1" s="195">
      <c r="A214" s="280" t="n"/>
      <c r="B214" s="280" t="n"/>
      <c r="C214" s="280" t="n"/>
      <c r="D214" s="280" t="n"/>
      <c r="E214" s="280" t="n"/>
      <c r="F214" s="280" t="n"/>
      <c r="G214" s="280" t="n"/>
      <c r="H214" s="280" t="n"/>
      <c r="I214" s="332">
        <f>IFERROR(VLOOKUP(TEXT(H214,"0"),IPRESS!$A$3:$B$212,2,0),"")</f>
        <v/>
      </c>
      <c r="J214" s="280" t="n"/>
      <c r="K214" s="332">
        <f>IFERROR(VLOOKUP(TEXT(O214,"0"),CONDUCTORES!$A$3:$G$54,7,0),"")</f>
        <v/>
      </c>
      <c r="L214" s="280" t="n"/>
      <c r="M214" s="280" t="n"/>
      <c r="N214" s="333">
        <f>IFERROR(IF(L214*M214=0,"",L214*M214),"")</f>
        <v/>
      </c>
      <c r="O214" s="280" t="n"/>
      <c r="P214" s="332">
        <f>IFERROR(VLOOKUP(TEXT(O214,"0"),CONDUCTORES!$A$3:$G$54,2,0),"")</f>
        <v/>
      </c>
      <c r="Q214" s="332">
        <f>IFERROR(VLOOKUP(TEXT(O214,"0"),CONDUCTORES!$A$3:$H$54,6,0),"")</f>
        <v/>
      </c>
      <c r="R214" s="280" t="n"/>
      <c r="S214" s="280" t="n"/>
      <c r="T214" s="280" t="n"/>
      <c r="U214" s="280" t="n"/>
      <c r="V214" s="280" t="n"/>
      <c r="W214" s="280" t="n"/>
      <c r="X214" s="280" t="n"/>
      <c r="Y214" s="280" t="n"/>
      <c r="Z214" s="375">
        <f>IF(AND(G214&lt;&gt;"",R214&lt;&gt;"",V214&lt;&gt;"",W214&lt;&gt;""),"COMPLETADO","OBSERVADO")</f>
        <v/>
      </c>
    </row>
    <row r="215" ht="15" customHeight="1" s="195">
      <c r="A215" s="334" t="n"/>
      <c r="B215" s="334" t="n"/>
      <c r="C215" s="334" t="n"/>
      <c r="D215" s="334" t="n"/>
      <c r="E215" s="334" t="n"/>
      <c r="F215" s="334" t="n"/>
      <c r="G215" s="334" t="n"/>
      <c r="H215" s="334" t="n"/>
      <c r="I215" s="332">
        <f>IFERROR(VLOOKUP(TEXT(H215,"0"),IPRESS!$A$3:$B$212,2,0),"")</f>
        <v/>
      </c>
      <c r="J215" s="334" t="n"/>
      <c r="K215" s="332">
        <f>IFERROR(VLOOKUP(TEXT(O215,"0"),CONDUCTORES!$A$3:$G$54,7,0),"")</f>
        <v/>
      </c>
      <c r="L215" s="334" t="n"/>
      <c r="M215" s="334" t="n"/>
      <c r="N215" s="333">
        <f>IFERROR(IF(L215*M215=0,"",L215*M215),"")</f>
        <v/>
      </c>
      <c r="O215" s="334" t="n"/>
      <c r="P215" s="332">
        <f>IFERROR(VLOOKUP(TEXT(O215,"0"),CONDUCTORES!$A$3:$G$54,2,0),"")</f>
        <v/>
      </c>
      <c r="Q215" s="332">
        <f>IFERROR(VLOOKUP(TEXT(O215,"0"),CONDUCTORES!$A$3:$H$54,6,0),"")</f>
        <v/>
      </c>
      <c r="R215" s="334" t="n"/>
      <c r="S215" s="334" t="n"/>
      <c r="T215" s="334" t="n"/>
      <c r="U215" s="334" t="n"/>
      <c r="V215" s="334" t="n"/>
      <c r="W215" s="334" t="n"/>
      <c r="X215" s="334" t="n"/>
      <c r="Y215" s="334" t="n"/>
      <c r="Z215" s="375">
        <f>IF(AND(G215&lt;&gt;"",R215&lt;&gt;"",V215&lt;&gt;"",W215&lt;&gt;""),"COMPLETADO","OBSERVADO")</f>
        <v/>
      </c>
    </row>
    <row r="216" ht="15" customHeight="1" s="195">
      <c r="A216" s="280" t="n"/>
      <c r="B216" s="280" t="n"/>
      <c r="C216" s="280" t="n"/>
      <c r="D216" s="280" t="n"/>
      <c r="E216" s="280" t="n"/>
      <c r="F216" s="280" t="n"/>
      <c r="G216" s="280" t="n"/>
      <c r="H216" s="280" t="n"/>
      <c r="I216" s="332">
        <f>IFERROR(VLOOKUP(TEXT(H216,"0"),IPRESS!$A$3:$B$212,2,0),"")</f>
        <v/>
      </c>
      <c r="J216" s="280" t="n"/>
      <c r="K216" s="332">
        <f>IFERROR(VLOOKUP(TEXT(O216,"0"),CONDUCTORES!$A$3:$G$54,7,0),"")</f>
        <v/>
      </c>
      <c r="L216" s="280" t="n"/>
      <c r="M216" s="280" t="n"/>
      <c r="N216" s="333">
        <f>IFERROR(IF(L216*M216=0,"",L216*M216),"")</f>
        <v/>
      </c>
      <c r="O216" s="280" t="n"/>
      <c r="P216" s="332">
        <f>IFERROR(VLOOKUP(TEXT(O216,"0"),CONDUCTORES!$A$3:$G$54,2,0),"")</f>
        <v/>
      </c>
      <c r="Q216" s="332">
        <f>IFERROR(VLOOKUP(TEXT(O216,"0"),CONDUCTORES!$A$3:$H$54,6,0),"")</f>
        <v/>
      </c>
      <c r="R216" s="280" t="n"/>
      <c r="S216" s="280" t="n"/>
      <c r="T216" s="280" t="n"/>
      <c r="U216" s="280" t="n"/>
      <c r="V216" s="280" t="n"/>
      <c r="W216" s="280" t="n"/>
      <c r="X216" s="280" t="n"/>
      <c r="Y216" s="280" t="n"/>
      <c r="Z216" s="375">
        <f>IF(AND(G216&lt;&gt;"",R216&lt;&gt;"",V216&lt;&gt;"",W216&lt;&gt;""),"COMPLETADO","OBSERVADO")</f>
        <v/>
      </c>
    </row>
    <row r="217" ht="15" customHeight="1" s="195">
      <c r="A217" s="334" t="n"/>
      <c r="B217" s="334" t="n"/>
      <c r="C217" s="334" t="n"/>
      <c r="D217" s="334" t="n"/>
      <c r="E217" s="334" t="n"/>
      <c r="F217" s="334" t="n"/>
      <c r="G217" s="334" t="n"/>
      <c r="H217" s="334" t="n"/>
      <c r="I217" s="332">
        <f>IFERROR(VLOOKUP(TEXT(H217,"0"),IPRESS!$A$3:$B$212,2,0),"")</f>
        <v/>
      </c>
      <c r="J217" s="334" t="n"/>
      <c r="K217" s="332">
        <f>IFERROR(VLOOKUP(TEXT(O217,"0"),CONDUCTORES!$A$3:$G$54,7,0),"")</f>
        <v/>
      </c>
      <c r="L217" s="334" t="n"/>
      <c r="M217" s="334" t="n"/>
      <c r="N217" s="333">
        <f>IFERROR(IF(L217*M217=0,"",L217*M217),"")</f>
        <v/>
      </c>
      <c r="O217" s="334" t="n"/>
      <c r="P217" s="332">
        <f>IFERROR(VLOOKUP(TEXT(O217,"0"),CONDUCTORES!$A$3:$G$54,2,0),"")</f>
        <v/>
      </c>
      <c r="Q217" s="332">
        <f>IFERROR(VLOOKUP(TEXT(O217,"0"),CONDUCTORES!$A$3:$H$54,6,0),"")</f>
        <v/>
      </c>
      <c r="R217" s="334" t="n"/>
      <c r="S217" s="334" t="n"/>
      <c r="T217" s="334" t="n"/>
      <c r="U217" s="334" t="n"/>
      <c r="V217" s="334" t="n"/>
      <c r="W217" s="334" t="n"/>
      <c r="X217" s="334" t="n"/>
      <c r="Y217" s="334" t="n"/>
      <c r="Z217" s="375">
        <f>IF(AND(G217&lt;&gt;"",R217&lt;&gt;"",V217&lt;&gt;"",W217&lt;&gt;""),"COMPLETADO","OBSERVADO")</f>
        <v/>
      </c>
    </row>
    <row r="218" ht="15" customHeight="1" s="195">
      <c r="A218" s="280" t="n"/>
      <c r="B218" s="280" t="n"/>
      <c r="C218" s="280" t="n"/>
      <c r="D218" s="280" t="n"/>
      <c r="E218" s="280" t="n"/>
      <c r="F218" s="280" t="n"/>
      <c r="G218" s="280" t="n"/>
      <c r="H218" s="280" t="n"/>
      <c r="I218" s="332">
        <f>IFERROR(VLOOKUP(TEXT(H218,"0"),IPRESS!$A$3:$B$212,2,0),"")</f>
        <v/>
      </c>
      <c r="J218" s="280" t="n"/>
      <c r="K218" s="332">
        <f>IFERROR(VLOOKUP(TEXT(O218,"0"),CONDUCTORES!$A$3:$G$54,7,0),"")</f>
        <v/>
      </c>
      <c r="L218" s="280" t="n"/>
      <c r="M218" s="280" t="n"/>
      <c r="N218" s="333">
        <f>IFERROR(IF(L218*M218=0,"",L218*M218),"")</f>
        <v/>
      </c>
      <c r="O218" s="280" t="n"/>
      <c r="P218" s="332">
        <f>IFERROR(VLOOKUP(TEXT(O218,"0"),CONDUCTORES!$A$3:$G$54,2,0),"")</f>
        <v/>
      </c>
      <c r="Q218" s="332">
        <f>IFERROR(VLOOKUP(TEXT(O218,"0"),CONDUCTORES!$A$3:$H$54,6,0),"")</f>
        <v/>
      </c>
      <c r="R218" s="280" t="n"/>
      <c r="S218" s="280" t="n"/>
      <c r="T218" s="280" t="n"/>
      <c r="U218" s="280" t="n"/>
      <c r="V218" s="280" t="n"/>
      <c r="W218" s="280" t="n"/>
      <c r="X218" s="280" t="n"/>
      <c r="Y218" s="280" t="n"/>
      <c r="Z218" s="375">
        <f>IF(AND(G218&lt;&gt;"",R218&lt;&gt;"",V218&lt;&gt;"",W218&lt;&gt;""),"COMPLETADO","OBSERVADO")</f>
        <v/>
      </c>
    </row>
    <row r="219" ht="15" customHeight="1" s="195">
      <c r="A219" s="334" t="n"/>
      <c r="B219" s="334" t="n"/>
      <c r="C219" s="334" t="n"/>
      <c r="D219" s="334" t="n"/>
      <c r="E219" s="334" t="n"/>
      <c r="F219" s="334" t="n"/>
      <c r="G219" s="334" t="n"/>
      <c r="H219" s="334" t="n"/>
      <c r="I219" s="332">
        <f>IFERROR(VLOOKUP(TEXT(H219,"0"),IPRESS!$A$3:$B$212,2,0),"")</f>
        <v/>
      </c>
      <c r="J219" s="334" t="n"/>
      <c r="K219" s="332">
        <f>IFERROR(VLOOKUP(TEXT(O219,"0"),CONDUCTORES!$A$3:$G$54,7,0),"")</f>
        <v/>
      </c>
      <c r="L219" s="334" t="n"/>
      <c r="M219" s="334" t="n"/>
      <c r="N219" s="333">
        <f>IFERROR(IF(L219*M219=0,"",L219*M219),"")</f>
        <v/>
      </c>
      <c r="O219" s="334" t="n"/>
      <c r="P219" s="332">
        <f>IFERROR(VLOOKUP(TEXT(O219,"0"),CONDUCTORES!$A$3:$G$54,2,0),"")</f>
        <v/>
      </c>
      <c r="Q219" s="332">
        <f>IFERROR(VLOOKUP(TEXT(O219,"0"),CONDUCTORES!$A$3:$H$54,6,0),"")</f>
        <v/>
      </c>
      <c r="R219" s="334" t="n"/>
      <c r="S219" s="334" t="n"/>
      <c r="T219" s="334" t="n"/>
      <c r="U219" s="334" t="n"/>
      <c r="V219" s="334" t="n"/>
      <c r="W219" s="334" t="n"/>
      <c r="X219" s="334" t="n"/>
      <c r="Y219" s="334" t="n"/>
      <c r="Z219" s="375">
        <f>IF(AND(G219&lt;&gt;"",R219&lt;&gt;"",V219&lt;&gt;"",W219&lt;&gt;""),"COMPLETADO","OBSERVADO")</f>
        <v/>
      </c>
    </row>
    <row r="220" ht="15" customHeight="1" s="195">
      <c r="A220" s="280" t="n"/>
      <c r="B220" s="280" t="n"/>
      <c r="C220" s="280" t="n"/>
      <c r="D220" s="280" t="n"/>
      <c r="E220" s="280" t="n"/>
      <c r="F220" s="280" t="n"/>
      <c r="G220" s="280" t="n"/>
      <c r="H220" s="280" t="n"/>
      <c r="I220" s="332">
        <f>IFERROR(VLOOKUP(TEXT(H220,"0"),IPRESS!$A$3:$B$212,2,0),"")</f>
        <v/>
      </c>
      <c r="J220" s="280" t="n"/>
      <c r="K220" s="332">
        <f>IFERROR(VLOOKUP(TEXT(O220,"0"),CONDUCTORES!$A$3:$G$54,7,0),"")</f>
        <v/>
      </c>
      <c r="L220" s="280" t="n"/>
      <c r="M220" s="280" t="n"/>
      <c r="N220" s="333">
        <f>IFERROR(IF(L220*M220=0,"",L220*M220),"")</f>
        <v/>
      </c>
      <c r="O220" s="280" t="n"/>
      <c r="P220" s="332">
        <f>IFERROR(VLOOKUP(TEXT(O220,"0"),CONDUCTORES!$A$3:$G$54,2,0),"")</f>
        <v/>
      </c>
      <c r="Q220" s="332">
        <f>IFERROR(VLOOKUP(TEXT(O220,"0"),CONDUCTORES!$A$3:$H$54,6,0),"")</f>
        <v/>
      </c>
      <c r="R220" s="280" t="n"/>
      <c r="S220" s="280" t="n"/>
      <c r="T220" s="280" t="n"/>
      <c r="U220" s="280" t="n"/>
      <c r="V220" s="280" t="n"/>
      <c r="W220" s="280" t="n"/>
      <c r="X220" s="280" t="n"/>
      <c r="Y220" s="280" t="n"/>
      <c r="Z220" s="375">
        <f>IF(AND(G220&lt;&gt;"",R220&lt;&gt;"",V220&lt;&gt;"",W220&lt;&gt;""),"COMPLETADO","OBSERVADO")</f>
        <v/>
      </c>
    </row>
    <row r="221" ht="15" customHeight="1" s="195">
      <c r="A221" s="334" t="n"/>
      <c r="B221" s="334" t="n"/>
      <c r="C221" s="334" t="n"/>
      <c r="D221" s="334" t="n"/>
      <c r="E221" s="334" t="n"/>
      <c r="F221" s="334" t="n"/>
      <c r="G221" s="334" t="n"/>
      <c r="H221" s="334" t="n"/>
      <c r="I221" s="332">
        <f>IFERROR(VLOOKUP(TEXT(H221,"0"),IPRESS!$A$3:$B$212,2,0),"")</f>
        <v/>
      </c>
      <c r="J221" s="334" t="n"/>
      <c r="K221" s="332">
        <f>IFERROR(VLOOKUP(TEXT(O221,"0"),CONDUCTORES!$A$3:$G$54,7,0),"")</f>
        <v/>
      </c>
      <c r="L221" s="334" t="n"/>
      <c r="M221" s="334" t="n"/>
      <c r="N221" s="333">
        <f>IFERROR(IF(L221*M221=0,"",L221*M221),"")</f>
        <v/>
      </c>
      <c r="O221" s="334" t="n"/>
      <c r="P221" s="332">
        <f>IFERROR(VLOOKUP(TEXT(O221,"0"),CONDUCTORES!$A$3:$G$54,2,0),"")</f>
        <v/>
      </c>
      <c r="Q221" s="332">
        <f>IFERROR(VLOOKUP(TEXT(O221,"0"),CONDUCTORES!$A$3:$H$54,6,0),"")</f>
        <v/>
      </c>
      <c r="R221" s="334" t="n"/>
      <c r="S221" s="334" t="n"/>
      <c r="T221" s="334" t="n"/>
      <c r="U221" s="334" t="n"/>
      <c r="V221" s="334" t="n"/>
      <c r="W221" s="334" t="n"/>
      <c r="X221" s="334" t="n"/>
      <c r="Y221" s="334" t="n"/>
      <c r="Z221" s="375">
        <f>IF(AND(G221&lt;&gt;"",R221&lt;&gt;"",V221&lt;&gt;"",W221&lt;&gt;""),"COMPLETADO","OBSERVADO")</f>
        <v/>
      </c>
    </row>
    <row r="222" ht="15" customHeight="1" s="195">
      <c r="A222" s="280" t="n"/>
      <c r="B222" s="280" t="n"/>
      <c r="C222" s="280" t="n"/>
      <c r="D222" s="280" t="n"/>
      <c r="E222" s="280" t="n"/>
      <c r="F222" s="280" t="n"/>
      <c r="G222" s="280" t="n"/>
      <c r="H222" s="280" t="n"/>
      <c r="I222" s="332">
        <f>IFERROR(VLOOKUP(TEXT(H222,"0"),IPRESS!$A$3:$B$212,2,0),"")</f>
        <v/>
      </c>
      <c r="J222" s="280" t="n"/>
      <c r="K222" s="332">
        <f>IFERROR(VLOOKUP(TEXT(O222,"0"),CONDUCTORES!$A$3:$G$54,7,0),"")</f>
        <v/>
      </c>
      <c r="L222" s="280" t="n"/>
      <c r="M222" s="280" t="n"/>
      <c r="N222" s="333">
        <f>IFERROR(IF(L222*M222=0,"",L222*M222),"")</f>
        <v/>
      </c>
      <c r="O222" s="280" t="n"/>
      <c r="P222" s="332">
        <f>IFERROR(VLOOKUP(TEXT(O222,"0"),CONDUCTORES!$A$3:$G$54,2,0),"")</f>
        <v/>
      </c>
      <c r="Q222" s="332">
        <f>IFERROR(VLOOKUP(TEXT(O222,"0"),CONDUCTORES!$A$3:$H$54,6,0),"")</f>
        <v/>
      </c>
      <c r="R222" s="280" t="n"/>
      <c r="S222" s="280" t="n"/>
      <c r="T222" s="280" t="n"/>
      <c r="U222" s="280" t="n"/>
      <c r="V222" s="280" t="n"/>
      <c r="W222" s="280" t="n"/>
      <c r="X222" s="280" t="n"/>
      <c r="Y222" s="280" t="n"/>
      <c r="Z222" s="375">
        <f>IF(AND(G222&lt;&gt;"",R222&lt;&gt;"",V222&lt;&gt;"",W222&lt;&gt;""),"COMPLETADO","OBSERVADO")</f>
        <v/>
      </c>
    </row>
    <row r="223" ht="15" customHeight="1" s="195">
      <c r="A223" s="334" t="n"/>
      <c r="B223" s="334" t="n"/>
      <c r="C223" s="334" t="n"/>
      <c r="D223" s="334" t="n"/>
      <c r="E223" s="334" t="n"/>
      <c r="F223" s="334" t="n"/>
      <c r="G223" s="334" t="n"/>
      <c r="H223" s="334" t="n"/>
      <c r="I223" s="332">
        <f>IFERROR(VLOOKUP(TEXT(H223,"0"),IPRESS!$A$3:$B$212,2,0),"")</f>
        <v/>
      </c>
      <c r="J223" s="334" t="n"/>
      <c r="K223" s="332">
        <f>IFERROR(VLOOKUP(TEXT(O223,"0"),CONDUCTORES!$A$3:$G$54,7,0),"")</f>
        <v/>
      </c>
      <c r="L223" s="334" t="n"/>
      <c r="M223" s="334" t="n"/>
      <c r="N223" s="333">
        <f>IFERROR(IF(L223*M223=0,"",L223*M223),"")</f>
        <v/>
      </c>
      <c r="O223" s="334" t="n"/>
      <c r="P223" s="332">
        <f>IFERROR(VLOOKUP(TEXT(O223,"0"),CONDUCTORES!$A$3:$G$54,2,0),"")</f>
        <v/>
      </c>
      <c r="Q223" s="332">
        <f>IFERROR(VLOOKUP(TEXT(O223,"0"),CONDUCTORES!$A$3:$H$54,6,0),"")</f>
        <v/>
      </c>
      <c r="R223" s="334" t="n"/>
      <c r="S223" s="334" t="n"/>
      <c r="T223" s="334" t="n"/>
      <c r="U223" s="334" t="n"/>
      <c r="V223" s="334" t="n"/>
      <c r="W223" s="334" t="n"/>
      <c r="X223" s="334" t="n"/>
      <c r="Y223" s="334" t="n"/>
      <c r="Z223" s="375">
        <f>IF(AND(G223&lt;&gt;"",R223&lt;&gt;"",V223&lt;&gt;"",W223&lt;&gt;""),"COMPLETADO","OBSERVADO")</f>
        <v/>
      </c>
    </row>
    <row r="224" ht="15" customHeight="1" s="195">
      <c r="A224" s="280" t="n"/>
      <c r="B224" s="280" t="n"/>
      <c r="C224" s="280" t="n"/>
      <c r="D224" s="280" t="n"/>
      <c r="E224" s="280" t="n"/>
      <c r="F224" s="280" t="n"/>
      <c r="G224" s="280" t="n"/>
      <c r="H224" s="280" t="n"/>
      <c r="I224" s="332">
        <f>IFERROR(VLOOKUP(TEXT(H224,"0"),IPRESS!$A$3:$B$212,2,0),"")</f>
        <v/>
      </c>
      <c r="J224" s="280" t="n"/>
      <c r="K224" s="332">
        <f>IFERROR(VLOOKUP(TEXT(O224,"0"),CONDUCTORES!$A$3:$G$54,7,0),"")</f>
        <v/>
      </c>
      <c r="L224" s="280" t="n"/>
      <c r="M224" s="280" t="n"/>
      <c r="N224" s="333">
        <f>IFERROR(IF(L224*M224=0,"",L224*M224),"")</f>
        <v/>
      </c>
      <c r="O224" s="280" t="n"/>
      <c r="P224" s="332">
        <f>IFERROR(VLOOKUP(TEXT(O224,"0"),CONDUCTORES!$A$3:$G$54,2,0),"")</f>
        <v/>
      </c>
      <c r="Q224" s="332">
        <f>IFERROR(VLOOKUP(TEXT(O224,"0"),CONDUCTORES!$A$3:$H$54,6,0),"")</f>
        <v/>
      </c>
      <c r="R224" s="280" t="n"/>
      <c r="S224" s="280" t="n"/>
      <c r="T224" s="280" t="n"/>
      <c r="U224" s="280" t="n"/>
      <c r="V224" s="280" t="n"/>
      <c r="W224" s="280" t="n"/>
      <c r="X224" s="280" t="n"/>
      <c r="Y224" s="280" t="n"/>
      <c r="Z224" s="375">
        <f>IF(AND(G224&lt;&gt;"",R224&lt;&gt;"",V224&lt;&gt;"",W224&lt;&gt;""),"COMPLETADO","OBSERVADO")</f>
        <v/>
      </c>
    </row>
    <row r="225" ht="15" customHeight="1" s="195">
      <c r="A225" s="334" t="n"/>
      <c r="B225" s="334" t="n"/>
      <c r="C225" s="334" t="n"/>
      <c r="D225" s="334" t="n"/>
      <c r="E225" s="334" t="n"/>
      <c r="F225" s="334" t="n"/>
      <c r="G225" s="334" t="n"/>
      <c r="H225" s="334" t="n"/>
      <c r="I225" s="332">
        <f>IFERROR(VLOOKUP(TEXT(H225,"0"),IPRESS!$A$3:$B$212,2,0),"")</f>
        <v/>
      </c>
      <c r="J225" s="334" t="n"/>
      <c r="K225" s="332">
        <f>IFERROR(VLOOKUP(TEXT(O225,"0"),CONDUCTORES!$A$3:$G$54,7,0),"")</f>
        <v/>
      </c>
      <c r="L225" s="334" t="n"/>
      <c r="M225" s="334" t="n"/>
      <c r="N225" s="333">
        <f>IFERROR(IF(L225*M225=0,"",L225*M225),"")</f>
        <v/>
      </c>
      <c r="O225" s="334" t="n"/>
      <c r="P225" s="332">
        <f>IFERROR(VLOOKUP(TEXT(O225,"0"),CONDUCTORES!$A$3:$G$54,2,0),"")</f>
        <v/>
      </c>
      <c r="Q225" s="332">
        <f>IFERROR(VLOOKUP(TEXT(O225,"0"),CONDUCTORES!$A$3:$H$54,6,0),"")</f>
        <v/>
      </c>
      <c r="R225" s="334" t="n"/>
      <c r="S225" s="334" t="n"/>
      <c r="T225" s="334" t="n"/>
      <c r="U225" s="334" t="n"/>
      <c r="V225" s="334" t="n"/>
      <c r="W225" s="334" t="n"/>
      <c r="X225" s="334" t="n"/>
      <c r="Y225" s="334" t="n"/>
      <c r="Z225" s="375">
        <f>IF(AND(G225&lt;&gt;"",R225&lt;&gt;"",V225&lt;&gt;"",W225&lt;&gt;""),"COMPLETADO","OBSERVADO")</f>
        <v/>
      </c>
    </row>
    <row r="226" ht="15" customHeight="1" s="195">
      <c r="A226" s="280" t="n"/>
      <c r="B226" s="280" t="n"/>
      <c r="C226" s="280" t="n"/>
      <c r="D226" s="280" t="n"/>
      <c r="E226" s="280" t="n"/>
      <c r="F226" s="280" t="n"/>
      <c r="G226" s="280" t="n"/>
      <c r="H226" s="280" t="n"/>
      <c r="I226" s="332">
        <f>IFERROR(VLOOKUP(TEXT(H226,"0"),IPRESS!$A$3:$B$212,2,0),"")</f>
        <v/>
      </c>
      <c r="J226" s="280" t="n"/>
      <c r="K226" s="332">
        <f>IFERROR(VLOOKUP(TEXT(O226,"0"),CONDUCTORES!$A$3:$G$54,7,0),"")</f>
        <v/>
      </c>
      <c r="L226" s="280" t="n"/>
      <c r="M226" s="280" t="n"/>
      <c r="N226" s="333">
        <f>IFERROR(IF(L226*M226=0,"",L226*M226),"")</f>
        <v/>
      </c>
      <c r="O226" s="280" t="n"/>
      <c r="P226" s="332">
        <f>IFERROR(VLOOKUP(TEXT(O226,"0"),CONDUCTORES!$A$3:$G$54,2,0),"")</f>
        <v/>
      </c>
      <c r="Q226" s="332">
        <f>IFERROR(VLOOKUP(TEXT(O226,"0"),CONDUCTORES!$A$3:$H$54,6,0),"")</f>
        <v/>
      </c>
      <c r="R226" s="280" t="n"/>
      <c r="S226" s="280" t="n"/>
      <c r="T226" s="280" t="n"/>
      <c r="U226" s="280" t="n"/>
      <c r="V226" s="280" t="n"/>
      <c r="W226" s="280" t="n"/>
      <c r="X226" s="280" t="n"/>
      <c r="Y226" s="280" t="n"/>
      <c r="Z226" s="375">
        <f>IF(AND(G226&lt;&gt;"",R226&lt;&gt;"",V226&lt;&gt;"",W226&lt;&gt;""),"COMPLETADO","OBSERVADO")</f>
        <v/>
      </c>
    </row>
    <row r="227" ht="15" customHeight="1" s="195">
      <c r="A227" s="334" t="n"/>
      <c r="B227" s="334" t="n"/>
      <c r="C227" s="334" t="n"/>
      <c r="D227" s="334" t="n"/>
      <c r="E227" s="334" t="n"/>
      <c r="F227" s="334" t="n"/>
      <c r="G227" s="334" t="n"/>
      <c r="H227" s="334" t="n"/>
      <c r="I227" s="332">
        <f>IFERROR(VLOOKUP(TEXT(H227,"0"),IPRESS!$A$3:$B$212,2,0),"")</f>
        <v/>
      </c>
      <c r="J227" s="334" t="n"/>
      <c r="K227" s="332">
        <f>IFERROR(VLOOKUP(TEXT(O227,"0"),CONDUCTORES!$A$3:$G$54,7,0),"")</f>
        <v/>
      </c>
      <c r="L227" s="334" t="n"/>
      <c r="M227" s="334" t="n"/>
      <c r="N227" s="333">
        <f>IFERROR(IF(L227*M227=0,"",L227*M227),"")</f>
        <v/>
      </c>
      <c r="O227" s="334" t="n"/>
      <c r="P227" s="332">
        <f>IFERROR(VLOOKUP(TEXT(O227,"0"),CONDUCTORES!$A$3:$G$54,2,0),"")</f>
        <v/>
      </c>
      <c r="Q227" s="332">
        <f>IFERROR(VLOOKUP(TEXT(O227,"0"),CONDUCTORES!$A$3:$H$54,6,0),"")</f>
        <v/>
      </c>
      <c r="R227" s="334" t="n"/>
      <c r="S227" s="334" t="n"/>
      <c r="T227" s="334" t="n"/>
      <c r="U227" s="334" t="n"/>
      <c r="V227" s="334" t="n"/>
      <c r="W227" s="334" t="n"/>
      <c r="X227" s="334" t="n"/>
      <c r="Y227" s="334" t="n"/>
      <c r="Z227" s="375">
        <f>IF(AND(G227&lt;&gt;"",R227&lt;&gt;"",V227&lt;&gt;"",W227&lt;&gt;""),"COMPLETADO","OBSERVADO")</f>
        <v/>
      </c>
    </row>
    <row r="228" ht="15" customHeight="1" s="195">
      <c r="A228" s="280" t="n"/>
      <c r="B228" s="280" t="n"/>
      <c r="C228" s="280" t="n"/>
      <c r="D228" s="280" t="n"/>
      <c r="E228" s="280" t="n"/>
      <c r="F228" s="280" t="n"/>
      <c r="G228" s="280" t="n"/>
      <c r="H228" s="280" t="n"/>
      <c r="I228" s="332">
        <f>IFERROR(VLOOKUP(TEXT(H228,"0"),IPRESS!$A$3:$B$212,2,0),"")</f>
        <v/>
      </c>
      <c r="J228" s="280" t="n"/>
      <c r="K228" s="332">
        <f>IFERROR(VLOOKUP(TEXT(O228,"0"),CONDUCTORES!$A$3:$G$54,7,0),"")</f>
        <v/>
      </c>
      <c r="L228" s="280" t="n"/>
      <c r="M228" s="280" t="n"/>
      <c r="N228" s="333">
        <f>IFERROR(IF(L228*M228=0,"",L228*M228),"")</f>
        <v/>
      </c>
      <c r="O228" s="280" t="n"/>
      <c r="P228" s="332">
        <f>IFERROR(VLOOKUP(TEXT(O228,"0"),CONDUCTORES!$A$3:$G$54,2,0),"")</f>
        <v/>
      </c>
      <c r="Q228" s="332">
        <f>IFERROR(VLOOKUP(TEXT(O228,"0"),CONDUCTORES!$A$3:$H$54,6,0),"")</f>
        <v/>
      </c>
      <c r="R228" s="280" t="n"/>
      <c r="S228" s="280" t="n"/>
      <c r="T228" s="280" t="n"/>
      <c r="U228" s="280" t="n"/>
      <c r="V228" s="280" t="n"/>
      <c r="W228" s="280" t="n"/>
      <c r="X228" s="280" t="n"/>
      <c r="Y228" s="280" t="n"/>
      <c r="Z228" s="375">
        <f>IF(AND(G228&lt;&gt;"",R228&lt;&gt;"",V228&lt;&gt;"",W228&lt;&gt;""),"COMPLETADO","OBSERVADO")</f>
        <v/>
      </c>
    </row>
    <row r="229" ht="15" customHeight="1" s="195">
      <c r="A229" s="334" t="n"/>
      <c r="B229" s="334" t="n"/>
      <c r="C229" s="334" t="n"/>
      <c r="D229" s="334" t="n"/>
      <c r="E229" s="334" t="n"/>
      <c r="F229" s="334" t="n"/>
      <c r="G229" s="334" t="n"/>
      <c r="H229" s="334" t="n"/>
      <c r="I229" s="332">
        <f>IFERROR(VLOOKUP(TEXT(H229,"0"),IPRESS!$A$3:$B$212,2,0),"")</f>
        <v/>
      </c>
      <c r="J229" s="334" t="n"/>
      <c r="K229" s="332">
        <f>IFERROR(VLOOKUP(TEXT(O229,"0"),CONDUCTORES!$A$3:$G$54,7,0),"")</f>
        <v/>
      </c>
      <c r="L229" s="334" t="n"/>
      <c r="M229" s="334" t="n"/>
      <c r="N229" s="333">
        <f>IFERROR(IF(L229*M229=0,"",L229*M229),"")</f>
        <v/>
      </c>
      <c r="O229" s="334" t="n"/>
      <c r="P229" s="332">
        <f>IFERROR(VLOOKUP(TEXT(O229,"0"),CONDUCTORES!$A$3:$G$54,2,0),"")</f>
        <v/>
      </c>
      <c r="Q229" s="332">
        <f>IFERROR(VLOOKUP(TEXT(O229,"0"),CONDUCTORES!$A$3:$H$54,6,0),"")</f>
        <v/>
      </c>
      <c r="R229" s="334" t="n"/>
      <c r="S229" s="334" t="n"/>
      <c r="T229" s="334" t="n"/>
      <c r="U229" s="334" t="n"/>
      <c r="V229" s="334" t="n"/>
      <c r="W229" s="334" t="n"/>
      <c r="X229" s="334" t="n"/>
      <c r="Y229" s="334" t="n"/>
      <c r="Z229" s="375">
        <f>IF(AND(G229&lt;&gt;"",R229&lt;&gt;"",V229&lt;&gt;"",W229&lt;&gt;""),"COMPLETADO","OBSERVADO")</f>
        <v/>
      </c>
    </row>
    <row r="230" ht="15" customHeight="1" s="195">
      <c r="A230" s="280" t="n"/>
      <c r="B230" s="280" t="n"/>
      <c r="C230" s="280" t="n"/>
      <c r="D230" s="280" t="n"/>
      <c r="E230" s="280" t="n"/>
      <c r="F230" s="280" t="n"/>
      <c r="G230" s="280" t="n"/>
      <c r="H230" s="280" t="n"/>
      <c r="I230" s="332">
        <f>IFERROR(VLOOKUP(TEXT(H230,"0"),IPRESS!$A$3:$B$212,2,0),"")</f>
        <v/>
      </c>
      <c r="J230" s="280" t="n"/>
      <c r="K230" s="332">
        <f>IFERROR(VLOOKUP(TEXT(O230,"0"),CONDUCTORES!$A$3:$G$54,7,0),"")</f>
        <v/>
      </c>
      <c r="L230" s="280" t="n"/>
      <c r="M230" s="280" t="n"/>
      <c r="N230" s="333">
        <f>IFERROR(IF(L230*M230=0,"",L230*M230),"")</f>
        <v/>
      </c>
      <c r="O230" s="280" t="n"/>
      <c r="P230" s="332">
        <f>IFERROR(VLOOKUP(TEXT(O230,"0"),CONDUCTORES!$A$3:$G$54,2,0),"")</f>
        <v/>
      </c>
      <c r="Q230" s="332">
        <f>IFERROR(VLOOKUP(TEXT(O230,"0"),CONDUCTORES!$A$3:$H$54,6,0),"")</f>
        <v/>
      </c>
      <c r="R230" s="280" t="n"/>
      <c r="S230" s="280" t="n"/>
      <c r="T230" s="280" t="n"/>
      <c r="U230" s="280" t="n"/>
      <c r="V230" s="280" t="n"/>
      <c r="W230" s="280" t="n"/>
      <c r="X230" s="280" t="n"/>
      <c r="Y230" s="280" t="n"/>
      <c r="Z230" s="375">
        <f>IF(AND(G230&lt;&gt;"",R230&lt;&gt;"",V230&lt;&gt;"",W230&lt;&gt;""),"COMPLETADO","OBSERVADO")</f>
        <v/>
      </c>
    </row>
    <row r="231" ht="15" customHeight="1" s="195">
      <c r="A231" s="334" t="n"/>
      <c r="B231" s="334" t="n"/>
      <c r="C231" s="334" t="n"/>
      <c r="D231" s="334" t="n"/>
      <c r="E231" s="334" t="n"/>
      <c r="F231" s="334" t="n"/>
      <c r="G231" s="334" t="n"/>
      <c r="H231" s="334" t="n"/>
      <c r="I231" s="332">
        <f>IFERROR(VLOOKUP(TEXT(H231,"0"),IPRESS!$A$3:$B$212,2,0),"")</f>
        <v/>
      </c>
      <c r="J231" s="334" t="n"/>
      <c r="K231" s="332">
        <f>IFERROR(VLOOKUP(TEXT(O231,"0"),CONDUCTORES!$A$3:$G$54,7,0),"")</f>
        <v/>
      </c>
      <c r="L231" s="334" t="n"/>
      <c r="M231" s="334" t="n"/>
      <c r="N231" s="333">
        <f>IFERROR(IF(L231*M231=0,"",L231*M231),"")</f>
        <v/>
      </c>
      <c r="O231" s="334" t="n"/>
      <c r="P231" s="332">
        <f>IFERROR(VLOOKUP(TEXT(O231,"0"),CONDUCTORES!$A$3:$G$54,2,0),"")</f>
        <v/>
      </c>
      <c r="Q231" s="332">
        <f>IFERROR(VLOOKUP(TEXT(O231,"0"),CONDUCTORES!$A$3:$H$54,6,0),"")</f>
        <v/>
      </c>
      <c r="R231" s="334" t="n"/>
      <c r="S231" s="334" t="n"/>
      <c r="T231" s="334" t="n"/>
      <c r="U231" s="334" t="n"/>
      <c r="V231" s="334" t="n"/>
      <c r="W231" s="334" t="n"/>
      <c r="X231" s="334" t="n"/>
      <c r="Y231" s="334" t="n"/>
      <c r="Z231" s="375">
        <f>IF(AND(G231&lt;&gt;"",R231&lt;&gt;"",V231&lt;&gt;"",W231&lt;&gt;""),"COMPLETADO","OBSERVADO")</f>
        <v/>
      </c>
    </row>
    <row r="232" ht="15" customHeight="1" s="195">
      <c r="A232" s="280" t="n"/>
      <c r="B232" s="280" t="n"/>
      <c r="C232" s="280" t="n"/>
      <c r="D232" s="280" t="n"/>
      <c r="E232" s="280" t="n"/>
      <c r="F232" s="280" t="n"/>
      <c r="G232" s="280" t="n"/>
      <c r="H232" s="280" t="n"/>
      <c r="I232" s="332">
        <f>IFERROR(VLOOKUP(TEXT(H232,"0"),IPRESS!$A$3:$B$212,2,0),"")</f>
        <v/>
      </c>
      <c r="J232" s="280" t="n"/>
      <c r="K232" s="332">
        <f>IFERROR(VLOOKUP(TEXT(O232,"0"),CONDUCTORES!$A$3:$G$54,7,0),"")</f>
        <v/>
      </c>
      <c r="L232" s="280" t="n"/>
      <c r="M232" s="280" t="n"/>
      <c r="N232" s="333">
        <f>IFERROR(IF(L232*M232=0,"",L232*M232),"")</f>
        <v/>
      </c>
      <c r="O232" s="280" t="n"/>
      <c r="P232" s="332">
        <f>IFERROR(VLOOKUP(TEXT(O232,"0"),CONDUCTORES!$A$3:$G$54,2,0),"")</f>
        <v/>
      </c>
      <c r="Q232" s="332">
        <f>IFERROR(VLOOKUP(TEXT(O232,"0"),CONDUCTORES!$A$3:$H$54,6,0),"")</f>
        <v/>
      </c>
      <c r="R232" s="280" t="n"/>
      <c r="S232" s="280" t="n"/>
      <c r="T232" s="280" t="n"/>
      <c r="U232" s="280" t="n"/>
      <c r="V232" s="280" t="n"/>
      <c r="W232" s="280" t="n"/>
      <c r="X232" s="280" t="n"/>
      <c r="Y232" s="280" t="n"/>
      <c r="Z232" s="375">
        <f>IF(AND(G232&lt;&gt;"",R232&lt;&gt;"",V232&lt;&gt;"",W232&lt;&gt;""),"COMPLETADO","OBSERVADO")</f>
        <v/>
      </c>
    </row>
    <row r="233" ht="15" customHeight="1" s="195">
      <c r="A233" s="334" t="n"/>
      <c r="B233" s="334" t="n"/>
      <c r="C233" s="334" t="n"/>
      <c r="D233" s="334" t="n"/>
      <c r="E233" s="334" t="n"/>
      <c r="F233" s="334" t="n"/>
      <c r="G233" s="334" t="n"/>
      <c r="H233" s="334" t="n"/>
      <c r="I233" s="332">
        <f>IFERROR(VLOOKUP(TEXT(H233,"0"),IPRESS!$A$3:$B$212,2,0),"")</f>
        <v/>
      </c>
      <c r="J233" s="334" t="n"/>
      <c r="K233" s="332">
        <f>IFERROR(VLOOKUP(TEXT(O233,"0"),CONDUCTORES!$A$3:$G$54,7,0),"")</f>
        <v/>
      </c>
      <c r="L233" s="334" t="n"/>
      <c r="M233" s="334" t="n"/>
      <c r="N233" s="333">
        <f>IFERROR(IF(L233*M233=0,"",L233*M233),"")</f>
        <v/>
      </c>
      <c r="O233" s="334" t="n"/>
      <c r="P233" s="332">
        <f>IFERROR(VLOOKUP(TEXT(O233,"0"),CONDUCTORES!$A$3:$G$54,2,0),"")</f>
        <v/>
      </c>
      <c r="Q233" s="332">
        <f>IFERROR(VLOOKUP(TEXT(O233,"0"),CONDUCTORES!$A$3:$H$54,6,0),"")</f>
        <v/>
      </c>
      <c r="R233" s="334" t="n"/>
      <c r="S233" s="334" t="n"/>
      <c r="T233" s="334" t="n"/>
      <c r="U233" s="334" t="n"/>
      <c r="V233" s="334" t="n"/>
      <c r="W233" s="334" t="n"/>
      <c r="X233" s="334" t="n"/>
      <c r="Y233" s="334" t="n"/>
      <c r="Z233" s="375">
        <f>IF(AND(G233&lt;&gt;"",R233&lt;&gt;"",V233&lt;&gt;"",W233&lt;&gt;""),"COMPLETADO","OBSERVADO")</f>
        <v/>
      </c>
    </row>
    <row r="234" ht="15" customHeight="1" s="195">
      <c r="A234" s="280" t="n"/>
      <c r="B234" s="280" t="n"/>
      <c r="C234" s="280" t="n"/>
      <c r="D234" s="280" t="n"/>
      <c r="E234" s="280" t="n"/>
      <c r="F234" s="280" t="n"/>
      <c r="G234" s="280" t="n"/>
      <c r="H234" s="280" t="n"/>
      <c r="I234" s="332">
        <f>IFERROR(VLOOKUP(TEXT(H234,"0"),IPRESS!$A$3:$B$212,2,0),"")</f>
        <v/>
      </c>
      <c r="J234" s="280" t="n"/>
      <c r="K234" s="332">
        <f>IFERROR(VLOOKUP(TEXT(O234,"0"),CONDUCTORES!$A$3:$G$54,7,0),"")</f>
        <v/>
      </c>
      <c r="L234" s="280" t="n"/>
      <c r="M234" s="280" t="n"/>
      <c r="N234" s="333">
        <f>IFERROR(IF(L234*M234=0,"",L234*M234),"")</f>
        <v/>
      </c>
      <c r="O234" s="280" t="n"/>
      <c r="P234" s="332">
        <f>IFERROR(VLOOKUP(TEXT(O234,"0"),CONDUCTORES!$A$3:$G$54,2,0),"")</f>
        <v/>
      </c>
      <c r="Q234" s="332">
        <f>IFERROR(VLOOKUP(TEXT(O234,"0"),CONDUCTORES!$A$3:$H$54,6,0),"")</f>
        <v/>
      </c>
      <c r="R234" s="280" t="n"/>
      <c r="S234" s="280" t="n"/>
      <c r="T234" s="280" t="n"/>
      <c r="U234" s="280" t="n"/>
      <c r="V234" s="280" t="n"/>
      <c r="W234" s="280" t="n"/>
      <c r="X234" s="280" t="n"/>
      <c r="Y234" s="280" t="n"/>
      <c r="Z234" s="375">
        <f>IF(AND(G234&lt;&gt;"",R234&lt;&gt;"",V234&lt;&gt;"",W234&lt;&gt;""),"COMPLETADO","OBSERVADO")</f>
        <v/>
      </c>
    </row>
    <row r="235" ht="15" customHeight="1" s="195">
      <c r="A235" s="334" t="n"/>
      <c r="B235" s="334" t="n"/>
      <c r="C235" s="334" t="n"/>
      <c r="D235" s="334" t="n"/>
      <c r="E235" s="334" t="n"/>
      <c r="F235" s="334" t="n"/>
      <c r="G235" s="334" t="n"/>
      <c r="H235" s="334" t="n"/>
      <c r="I235" s="332">
        <f>IFERROR(VLOOKUP(TEXT(H235,"0"),IPRESS!$A$3:$B$212,2,0),"")</f>
        <v/>
      </c>
      <c r="J235" s="334" t="n"/>
      <c r="K235" s="332">
        <f>IFERROR(VLOOKUP(TEXT(O235,"0"),CONDUCTORES!$A$3:$G$54,7,0),"")</f>
        <v/>
      </c>
      <c r="L235" s="334" t="n"/>
      <c r="M235" s="334" t="n"/>
      <c r="N235" s="333">
        <f>IFERROR(IF(L235*M235=0,"",L235*M235),"")</f>
        <v/>
      </c>
      <c r="O235" s="334" t="n"/>
      <c r="P235" s="332">
        <f>IFERROR(VLOOKUP(TEXT(O235,"0"),CONDUCTORES!$A$3:$G$54,2,0),"")</f>
        <v/>
      </c>
      <c r="Q235" s="332">
        <f>IFERROR(VLOOKUP(TEXT(O235,"0"),CONDUCTORES!$A$3:$H$54,6,0),"")</f>
        <v/>
      </c>
      <c r="R235" s="334" t="n"/>
      <c r="S235" s="334" t="n"/>
      <c r="T235" s="334" t="n"/>
      <c r="U235" s="334" t="n"/>
      <c r="V235" s="334" t="n"/>
      <c r="W235" s="334" t="n"/>
      <c r="X235" s="334" t="n"/>
      <c r="Y235" s="334" t="n"/>
      <c r="Z235" s="375">
        <f>IF(AND(G235&lt;&gt;"",R235&lt;&gt;"",V235&lt;&gt;"",W235&lt;&gt;""),"COMPLETADO","OBSERVADO")</f>
        <v/>
      </c>
    </row>
    <row r="236" ht="15" customHeight="1" s="195">
      <c r="A236" s="280" t="n"/>
      <c r="B236" s="280" t="n"/>
      <c r="C236" s="280" t="n"/>
      <c r="D236" s="280" t="n"/>
      <c r="E236" s="280" t="n"/>
      <c r="F236" s="280" t="n"/>
      <c r="G236" s="280" t="n"/>
      <c r="H236" s="280" t="n"/>
      <c r="I236" s="332">
        <f>IFERROR(VLOOKUP(TEXT(H236,"0"),IPRESS!$A$3:$B$212,2,0),"")</f>
        <v/>
      </c>
      <c r="J236" s="280" t="n"/>
      <c r="K236" s="332">
        <f>IFERROR(VLOOKUP(TEXT(O236,"0"),CONDUCTORES!$A$3:$G$54,7,0),"")</f>
        <v/>
      </c>
      <c r="L236" s="280" t="n"/>
      <c r="M236" s="280" t="n"/>
      <c r="N236" s="333">
        <f>IFERROR(IF(L236*M236=0,"",L236*M236),"")</f>
        <v/>
      </c>
      <c r="O236" s="280" t="n"/>
      <c r="P236" s="332">
        <f>IFERROR(VLOOKUP(TEXT(O236,"0"),CONDUCTORES!$A$3:$G$54,2,0),"")</f>
        <v/>
      </c>
      <c r="Q236" s="332">
        <f>IFERROR(VLOOKUP(TEXT(O236,"0"),CONDUCTORES!$A$3:$H$54,6,0),"")</f>
        <v/>
      </c>
      <c r="R236" s="280" t="n"/>
      <c r="S236" s="280" t="n"/>
      <c r="T236" s="280" t="n"/>
      <c r="U236" s="280" t="n"/>
      <c r="V236" s="280" t="n"/>
      <c r="W236" s="280" t="n"/>
      <c r="X236" s="280" t="n"/>
      <c r="Y236" s="280" t="n"/>
      <c r="Z236" s="375">
        <f>IF(AND(G236&lt;&gt;"",R236&lt;&gt;"",V236&lt;&gt;"",W236&lt;&gt;""),"COMPLETADO","OBSERVADO")</f>
        <v/>
      </c>
    </row>
    <row r="237" ht="15" customHeight="1" s="195">
      <c r="A237" s="334" t="n"/>
      <c r="B237" s="334" t="n"/>
      <c r="C237" s="334" t="n"/>
      <c r="D237" s="334" t="n"/>
      <c r="E237" s="334" t="n"/>
      <c r="F237" s="334" t="n"/>
      <c r="G237" s="334" t="n"/>
      <c r="H237" s="334" t="n"/>
      <c r="I237" s="332">
        <f>IFERROR(VLOOKUP(TEXT(H237,"0"),IPRESS!$A$3:$B$212,2,0),"")</f>
        <v/>
      </c>
      <c r="J237" s="334" t="n"/>
      <c r="K237" s="332">
        <f>IFERROR(VLOOKUP(TEXT(O237,"0"),CONDUCTORES!$A$3:$G$54,7,0),"")</f>
        <v/>
      </c>
      <c r="L237" s="334" t="n"/>
      <c r="M237" s="334" t="n"/>
      <c r="N237" s="333">
        <f>IFERROR(IF(L237*M237=0,"",L237*M237),"")</f>
        <v/>
      </c>
      <c r="O237" s="334" t="n"/>
      <c r="P237" s="332">
        <f>IFERROR(VLOOKUP(TEXT(O237,"0"),CONDUCTORES!$A$3:$G$54,2,0),"")</f>
        <v/>
      </c>
      <c r="Q237" s="332">
        <f>IFERROR(VLOOKUP(TEXT(O237,"0"),CONDUCTORES!$A$3:$H$54,6,0),"")</f>
        <v/>
      </c>
      <c r="R237" s="334" t="n"/>
      <c r="S237" s="334" t="n"/>
      <c r="T237" s="334" t="n"/>
      <c r="U237" s="334" t="n"/>
      <c r="V237" s="334" t="n"/>
      <c r="W237" s="334" t="n"/>
      <c r="X237" s="334" t="n"/>
      <c r="Y237" s="334" t="n"/>
      <c r="Z237" s="375">
        <f>IF(AND(G237&lt;&gt;"",R237&lt;&gt;"",V237&lt;&gt;"",W237&lt;&gt;""),"COMPLETADO","OBSERVADO")</f>
        <v/>
      </c>
    </row>
    <row r="238" ht="15" customHeight="1" s="195">
      <c r="A238" s="280" t="n"/>
      <c r="B238" s="280" t="n"/>
      <c r="C238" s="280" t="n"/>
      <c r="D238" s="280" t="n"/>
      <c r="E238" s="280" t="n"/>
      <c r="F238" s="280" t="n"/>
      <c r="G238" s="280" t="n"/>
      <c r="H238" s="280" t="n"/>
      <c r="I238" s="332">
        <f>IFERROR(VLOOKUP(TEXT(H238,"0"),IPRESS!$A$3:$B$212,2,0),"")</f>
        <v/>
      </c>
      <c r="J238" s="280" t="n"/>
      <c r="K238" s="332">
        <f>IFERROR(VLOOKUP(TEXT(O238,"0"),CONDUCTORES!$A$3:$G$54,7,0),"")</f>
        <v/>
      </c>
      <c r="L238" s="280" t="n"/>
      <c r="M238" s="280" t="n"/>
      <c r="N238" s="333">
        <f>IFERROR(IF(L238*M238=0,"",L238*M238),"")</f>
        <v/>
      </c>
      <c r="O238" s="280" t="n"/>
      <c r="P238" s="332">
        <f>IFERROR(VLOOKUP(TEXT(O238,"0"),CONDUCTORES!$A$3:$G$54,2,0),"")</f>
        <v/>
      </c>
      <c r="Q238" s="332">
        <f>IFERROR(VLOOKUP(TEXT(O238,"0"),CONDUCTORES!$A$3:$H$54,6,0),"")</f>
        <v/>
      </c>
      <c r="R238" s="280" t="n"/>
      <c r="S238" s="280" t="n"/>
      <c r="T238" s="280" t="n"/>
      <c r="U238" s="280" t="n"/>
      <c r="V238" s="280" t="n"/>
      <c r="W238" s="280" t="n"/>
      <c r="X238" s="280" t="n"/>
      <c r="Y238" s="280" t="n"/>
      <c r="Z238" s="375">
        <f>IF(AND(G238&lt;&gt;"",R238&lt;&gt;"",V238&lt;&gt;"",W238&lt;&gt;""),"COMPLETADO","OBSERVADO")</f>
        <v/>
      </c>
    </row>
    <row r="239" ht="15" customHeight="1" s="195">
      <c r="A239" s="334" t="n"/>
      <c r="B239" s="334" t="n"/>
      <c r="C239" s="334" t="n"/>
      <c r="D239" s="334" t="n"/>
      <c r="E239" s="334" t="n"/>
      <c r="F239" s="334" t="n"/>
      <c r="G239" s="334" t="n"/>
      <c r="H239" s="334" t="n"/>
      <c r="I239" s="332">
        <f>IFERROR(VLOOKUP(TEXT(H239,"0"),IPRESS!$A$3:$B$212,2,0),"")</f>
        <v/>
      </c>
      <c r="J239" s="334" t="n"/>
      <c r="K239" s="332">
        <f>IFERROR(VLOOKUP(TEXT(O239,"0"),CONDUCTORES!$A$3:$G$54,7,0),"")</f>
        <v/>
      </c>
      <c r="L239" s="334" t="n"/>
      <c r="M239" s="334" t="n"/>
      <c r="N239" s="333">
        <f>IFERROR(IF(L239*M239=0,"",L239*M239),"")</f>
        <v/>
      </c>
      <c r="O239" s="334" t="n"/>
      <c r="P239" s="332">
        <f>IFERROR(VLOOKUP(TEXT(O239,"0"),CONDUCTORES!$A$3:$G$54,2,0),"")</f>
        <v/>
      </c>
      <c r="Q239" s="332">
        <f>IFERROR(VLOOKUP(TEXT(O239,"0"),CONDUCTORES!$A$3:$H$54,6,0),"")</f>
        <v/>
      </c>
      <c r="R239" s="334" t="n"/>
      <c r="S239" s="334" t="n"/>
      <c r="T239" s="334" t="n"/>
      <c r="U239" s="334" t="n"/>
      <c r="V239" s="334" t="n"/>
      <c r="W239" s="334" t="n"/>
      <c r="X239" s="334" t="n"/>
      <c r="Y239" s="334" t="n"/>
      <c r="Z239" s="375">
        <f>IF(AND(G239&lt;&gt;"",R239&lt;&gt;"",V239&lt;&gt;"",W239&lt;&gt;""),"COMPLETADO","OBSERVADO")</f>
        <v/>
      </c>
    </row>
    <row r="240" ht="15" customHeight="1" s="195">
      <c r="A240" s="280" t="n"/>
      <c r="B240" s="280" t="n"/>
      <c r="C240" s="280" t="n"/>
      <c r="D240" s="280" t="n"/>
      <c r="E240" s="280" t="n"/>
      <c r="F240" s="280" t="n"/>
      <c r="G240" s="280" t="n"/>
      <c r="H240" s="280" t="n"/>
      <c r="I240" s="332">
        <f>IFERROR(VLOOKUP(TEXT(H240,"0"),IPRESS!$A$3:$B$212,2,0),"")</f>
        <v/>
      </c>
      <c r="J240" s="280" t="n"/>
      <c r="K240" s="332">
        <f>IFERROR(VLOOKUP(TEXT(O240,"0"),CONDUCTORES!$A$3:$G$54,7,0),"")</f>
        <v/>
      </c>
      <c r="L240" s="280" t="n"/>
      <c r="M240" s="280" t="n"/>
      <c r="N240" s="333">
        <f>IFERROR(IF(L240*M240=0,"",L240*M240),"")</f>
        <v/>
      </c>
      <c r="O240" s="280" t="n"/>
      <c r="P240" s="332">
        <f>IFERROR(VLOOKUP(TEXT(O240,"0"),CONDUCTORES!$A$3:$G$54,2,0),"")</f>
        <v/>
      </c>
      <c r="Q240" s="332">
        <f>IFERROR(VLOOKUP(TEXT(O240,"0"),CONDUCTORES!$A$3:$H$54,6,0),"")</f>
        <v/>
      </c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375">
        <f>IF(AND(G240&lt;&gt;"",R240&lt;&gt;"",V240&lt;&gt;"",W240&lt;&gt;""),"COMPLETADO","OBSERVADO")</f>
        <v/>
      </c>
    </row>
    <row r="241" ht="15" customHeight="1" s="195">
      <c r="A241" s="334" t="n"/>
      <c r="B241" s="334" t="n"/>
      <c r="C241" s="334" t="n"/>
      <c r="D241" s="334" t="n"/>
      <c r="E241" s="334" t="n"/>
      <c r="F241" s="334" t="n"/>
      <c r="G241" s="334" t="n"/>
      <c r="H241" s="334" t="n"/>
      <c r="I241" s="332">
        <f>IFERROR(VLOOKUP(TEXT(H241,"0"),IPRESS!$A$3:$B$212,2,0),"")</f>
        <v/>
      </c>
      <c r="J241" s="334" t="n"/>
      <c r="K241" s="332">
        <f>IFERROR(VLOOKUP(TEXT(O241,"0"),CONDUCTORES!$A$3:$G$54,7,0),"")</f>
        <v/>
      </c>
      <c r="L241" s="334" t="n"/>
      <c r="M241" s="334" t="n"/>
      <c r="N241" s="333">
        <f>IFERROR(IF(L241*M241=0,"",L241*M241),"")</f>
        <v/>
      </c>
      <c r="O241" s="334" t="n"/>
      <c r="P241" s="332">
        <f>IFERROR(VLOOKUP(TEXT(O241,"0"),CONDUCTORES!$A$3:$G$54,2,0),"")</f>
        <v/>
      </c>
      <c r="Q241" s="332">
        <f>IFERROR(VLOOKUP(TEXT(O241,"0"),CONDUCTORES!$A$3:$H$54,6,0),"")</f>
        <v/>
      </c>
      <c r="R241" s="334" t="n"/>
      <c r="S241" s="334" t="n"/>
      <c r="T241" s="334" t="n"/>
      <c r="U241" s="334" t="n"/>
      <c r="V241" s="334" t="n"/>
      <c r="W241" s="334" t="n"/>
      <c r="X241" s="334" t="n"/>
      <c r="Y241" s="334" t="n"/>
      <c r="Z241" s="375">
        <f>IF(AND(G241&lt;&gt;"",R241&lt;&gt;"",V241&lt;&gt;"",W241&lt;&gt;""),"COMPLETADO","OBSERVADO")</f>
        <v/>
      </c>
    </row>
    <row r="242" ht="15" customHeight="1" s="195">
      <c r="A242" s="280" t="n"/>
      <c r="B242" s="280" t="n"/>
      <c r="C242" s="280" t="n"/>
      <c r="D242" s="280" t="n"/>
      <c r="E242" s="280" t="n"/>
      <c r="F242" s="280" t="n"/>
      <c r="G242" s="280" t="n"/>
      <c r="H242" s="280" t="n"/>
      <c r="I242" s="332">
        <f>IFERROR(VLOOKUP(TEXT(H242,"0"),IPRESS!$A$3:$B$212,2,0),"")</f>
        <v/>
      </c>
      <c r="J242" s="280" t="n"/>
      <c r="K242" s="332">
        <f>IFERROR(VLOOKUP(TEXT(O242,"0"),CONDUCTORES!$A$3:$G$54,7,0),"")</f>
        <v/>
      </c>
      <c r="L242" s="280" t="n"/>
      <c r="M242" s="280" t="n"/>
      <c r="N242" s="333">
        <f>IFERROR(IF(L242*M242=0,"",L242*M242),"")</f>
        <v/>
      </c>
      <c r="O242" s="280" t="n"/>
      <c r="P242" s="332">
        <f>IFERROR(VLOOKUP(TEXT(O242,"0"),CONDUCTORES!$A$3:$G$54,2,0),"")</f>
        <v/>
      </c>
      <c r="Q242" s="332">
        <f>IFERROR(VLOOKUP(TEXT(O242,"0"),CONDUCTORES!$A$3:$H$54,6,0),"")</f>
        <v/>
      </c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375">
        <f>IF(AND(G242&lt;&gt;"",R242&lt;&gt;"",V242&lt;&gt;"",W242&lt;&gt;""),"COMPLETADO","OBSERVADO")</f>
        <v/>
      </c>
    </row>
    <row r="243" ht="15" customHeight="1" s="195">
      <c r="A243" s="334" t="n"/>
      <c r="B243" s="334" t="n"/>
      <c r="C243" s="334" t="n"/>
      <c r="D243" s="334" t="n"/>
      <c r="E243" s="334" t="n"/>
      <c r="F243" s="334" t="n"/>
      <c r="G243" s="334" t="n"/>
      <c r="H243" s="334" t="n"/>
      <c r="I243" s="332">
        <f>IFERROR(VLOOKUP(TEXT(H243,"0"),IPRESS!$A$3:$B$212,2,0),"")</f>
        <v/>
      </c>
      <c r="J243" s="334" t="n"/>
      <c r="K243" s="332">
        <f>IFERROR(VLOOKUP(TEXT(O243,"0"),CONDUCTORES!$A$3:$G$54,7,0),"")</f>
        <v/>
      </c>
      <c r="L243" s="334" t="n"/>
      <c r="M243" s="334" t="n"/>
      <c r="N243" s="333">
        <f>IFERROR(IF(L243*M243=0,"",L243*M243),"")</f>
        <v/>
      </c>
      <c r="O243" s="334" t="n"/>
      <c r="P243" s="332">
        <f>IFERROR(VLOOKUP(TEXT(O243,"0"),CONDUCTORES!$A$3:$G$54,2,0),"")</f>
        <v/>
      </c>
      <c r="Q243" s="332">
        <f>IFERROR(VLOOKUP(TEXT(O243,"0"),CONDUCTORES!$A$3:$H$54,6,0),"")</f>
        <v/>
      </c>
      <c r="R243" s="334" t="n"/>
      <c r="S243" s="334" t="n"/>
      <c r="T243" s="334" t="n"/>
      <c r="U243" s="334" t="n"/>
      <c r="V243" s="334" t="n"/>
      <c r="W243" s="334" t="n"/>
      <c r="X243" s="334" t="n"/>
      <c r="Y243" s="334" t="n"/>
      <c r="Z243" s="375">
        <f>IF(AND(G243&lt;&gt;"",R243&lt;&gt;"",V243&lt;&gt;"",W243&lt;&gt;""),"COMPLETADO","OBSERVADO")</f>
        <v/>
      </c>
    </row>
    <row r="244" ht="15" customHeight="1" s="195">
      <c r="A244" s="280" t="n"/>
      <c r="B244" s="280" t="n"/>
      <c r="C244" s="280" t="n"/>
      <c r="D244" s="280" t="n"/>
      <c r="E244" s="280" t="n"/>
      <c r="F244" s="280" t="n"/>
      <c r="G244" s="280" t="n"/>
      <c r="H244" s="280" t="n"/>
      <c r="I244" s="332">
        <f>IFERROR(VLOOKUP(TEXT(H244,"0"),IPRESS!$A$3:$B$212,2,0),"")</f>
        <v/>
      </c>
      <c r="J244" s="280" t="n"/>
      <c r="K244" s="332">
        <f>IFERROR(VLOOKUP(TEXT(O244,"0"),CONDUCTORES!$A$3:$G$54,7,0),"")</f>
        <v/>
      </c>
      <c r="L244" s="280" t="n"/>
      <c r="M244" s="280" t="n"/>
      <c r="N244" s="333">
        <f>IFERROR(IF(L244*M244=0,"",L244*M244),"")</f>
        <v/>
      </c>
      <c r="O244" s="280" t="n"/>
      <c r="P244" s="332">
        <f>IFERROR(VLOOKUP(TEXT(O244,"0"),CONDUCTORES!$A$3:$G$54,2,0),"")</f>
        <v/>
      </c>
      <c r="Q244" s="332">
        <f>IFERROR(VLOOKUP(TEXT(O244,"0"),CONDUCTORES!$A$3:$H$54,6,0),"")</f>
        <v/>
      </c>
      <c r="R244" s="280" t="n"/>
      <c r="S244" s="280" t="n"/>
      <c r="T244" s="280" t="n"/>
      <c r="U244" s="280" t="n"/>
      <c r="V244" s="280" t="n"/>
      <c r="W244" s="280" t="n"/>
      <c r="X244" s="280" t="n"/>
      <c r="Y244" s="280" t="n"/>
      <c r="Z244" s="375">
        <f>IF(AND(G244&lt;&gt;"",R244&lt;&gt;"",V244&lt;&gt;"",W244&lt;&gt;""),"COMPLETADO","OBSERVADO")</f>
        <v/>
      </c>
    </row>
    <row r="245" ht="15" customHeight="1" s="195">
      <c r="A245" s="334" t="n"/>
      <c r="B245" s="334" t="n"/>
      <c r="C245" s="334" t="n"/>
      <c r="D245" s="334" t="n"/>
      <c r="E245" s="334" t="n"/>
      <c r="F245" s="334" t="n"/>
      <c r="G245" s="334" t="n"/>
      <c r="H245" s="334" t="n"/>
      <c r="I245" s="332">
        <f>IFERROR(VLOOKUP(TEXT(H245,"0"),IPRESS!$A$3:$B$212,2,0),"")</f>
        <v/>
      </c>
      <c r="J245" s="334" t="n"/>
      <c r="K245" s="332">
        <f>IFERROR(VLOOKUP(TEXT(O245,"0"),CONDUCTORES!$A$3:$G$54,7,0),"")</f>
        <v/>
      </c>
      <c r="L245" s="334" t="n"/>
      <c r="M245" s="334" t="n"/>
      <c r="N245" s="333">
        <f>IFERROR(IF(L245*M245=0,"",L245*M245),"")</f>
        <v/>
      </c>
      <c r="O245" s="334" t="n"/>
      <c r="P245" s="332">
        <f>IFERROR(VLOOKUP(TEXT(O245,"0"),CONDUCTORES!$A$3:$G$54,2,0),"")</f>
        <v/>
      </c>
      <c r="Q245" s="332">
        <f>IFERROR(VLOOKUP(TEXT(O245,"0"),CONDUCTORES!$A$3:$H$54,6,0),"")</f>
        <v/>
      </c>
      <c r="R245" s="334" t="n"/>
      <c r="S245" s="334" t="n"/>
      <c r="T245" s="334" t="n"/>
      <c r="U245" s="334" t="n"/>
      <c r="V245" s="334" t="n"/>
      <c r="W245" s="334" t="n"/>
      <c r="X245" s="334" t="n"/>
      <c r="Y245" s="334" t="n"/>
      <c r="Z245" s="375">
        <f>IF(AND(G245&lt;&gt;"",R245&lt;&gt;"",V245&lt;&gt;"",W245&lt;&gt;""),"COMPLETADO","OBSERVADO")</f>
        <v/>
      </c>
    </row>
    <row r="246" ht="15" customHeight="1" s="195">
      <c r="A246" s="280" t="n"/>
      <c r="B246" s="280" t="n"/>
      <c r="C246" s="280" t="n"/>
      <c r="D246" s="280" t="n"/>
      <c r="E246" s="280" t="n"/>
      <c r="F246" s="280" t="n"/>
      <c r="G246" s="280" t="n"/>
      <c r="H246" s="280" t="n"/>
      <c r="I246" s="332">
        <f>IFERROR(VLOOKUP(TEXT(H246,"0"),IPRESS!$A$3:$B$212,2,0),"")</f>
        <v/>
      </c>
      <c r="J246" s="280" t="n"/>
      <c r="K246" s="332">
        <f>IFERROR(VLOOKUP(TEXT(O246,"0"),CONDUCTORES!$A$3:$G$54,7,0),"")</f>
        <v/>
      </c>
      <c r="L246" s="280" t="n"/>
      <c r="M246" s="280" t="n"/>
      <c r="N246" s="333">
        <f>IFERROR(IF(L246*M246=0,"",L246*M246),"")</f>
        <v/>
      </c>
      <c r="O246" s="280" t="n"/>
      <c r="P246" s="332">
        <f>IFERROR(VLOOKUP(TEXT(O246,"0"),CONDUCTORES!$A$3:$G$54,2,0),"")</f>
        <v/>
      </c>
      <c r="Q246" s="332">
        <f>IFERROR(VLOOKUP(TEXT(O246,"0"),CONDUCTORES!$A$3:$H$54,6,0),"")</f>
        <v/>
      </c>
      <c r="R246" s="280" t="n"/>
      <c r="S246" s="280" t="n"/>
      <c r="T246" s="280" t="n"/>
      <c r="U246" s="280" t="n"/>
      <c r="V246" s="280" t="n"/>
      <c r="W246" s="280" t="n"/>
      <c r="X246" s="280" t="n"/>
      <c r="Y246" s="280" t="n"/>
      <c r="Z246" s="375">
        <f>IF(AND(G246&lt;&gt;"",R246&lt;&gt;"",V246&lt;&gt;"",W246&lt;&gt;""),"COMPLETADO","OBSERVADO")</f>
        <v/>
      </c>
    </row>
    <row r="247" ht="15" customHeight="1" s="195">
      <c r="A247" s="334" t="n"/>
      <c r="B247" s="334" t="n"/>
      <c r="C247" s="334" t="n"/>
      <c r="D247" s="334" t="n"/>
      <c r="E247" s="334" t="n"/>
      <c r="F247" s="334" t="n"/>
      <c r="G247" s="334" t="n"/>
      <c r="H247" s="334" t="n"/>
      <c r="I247" s="332">
        <f>IFERROR(VLOOKUP(TEXT(H247,"0"),IPRESS!$A$3:$B$212,2,0),"")</f>
        <v/>
      </c>
      <c r="J247" s="334" t="n"/>
      <c r="K247" s="332">
        <f>IFERROR(VLOOKUP(TEXT(O247,"0"),CONDUCTORES!$A$3:$G$54,7,0),"")</f>
        <v/>
      </c>
      <c r="L247" s="334" t="n"/>
      <c r="M247" s="334" t="n"/>
      <c r="N247" s="333">
        <f>IFERROR(IF(L247*M247=0,"",L247*M247),"")</f>
        <v/>
      </c>
      <c r="O247" s="334" t="n"/>
      <c r="P247" s="332">
        <f>IFERROR(VLOOKUP(TEXT(O247,"0"),CONDUCTORES!$A$3:$G$54,2,0),"")</f>
        <v/>
      </c>
      <c r="Q247" s="332">
        <f>IFERROR(VLOOKUP(TEXT(O247,"0"),CONDUCTORES!$A$3:$H$54,6,0),"")</f>
        <v/>
      </c>
      <c r="R247" s="334" t="n"/>
      <c r="S247" s="334" t="n"/>
      <c r="T247" s="334" t="n"/>
      <c r="U247" s="334" t="n"/>
      <c r="V247" s="334" t="n"/>
      <c r="W247" s="334" t="n"/>
      <c r="X247" s="334" t="n"/>
      <c r="Y247" s="334" t="n"/>
      <c r="Z247" s="375">
        <f>IF(AND(G247&lt;&gt;"",R247&lt;&gt;"",V247&lt;&gt;"",W247&lt;&gt;""),"COMPLETADO","OBSERVADO")</f>
        <v/>
      </c>
    </row>
    <row r="248" ht="15" customHeight="1" s="195">
      <c r="A248" s="280" t="n"/>
      <c r="B248" s="280" t="n"/>
      <c r="C248" s="280" t="n"/>
      <c r="D248" s="280" t="n"/>
      <c r="E248" s="280" t="n"/>
      <c r="F248" s="280" t="n"/>
      <c r="G248" s="280" t="n"/>
      <c r="H248" s="280" t="n"/>
      <c r="I248" s="332">
        <f>IFERROR(VLOOKUP(TEXT(H248,"0"),IPRESS!$A$3:$B$212,2,0),"")</f>
        <v/>
      </c>
      <c r="J248" s="280" t="n"/>
      <c r="K248" s="332">
        <f>IFERROR(VLOOKUP(TEXT(O248,"0"),CONDUCTORES!$A$3:$G$54,7,0),"")</f>
        <v/>
      </c>
      <c r="L248" s="280" t="n"/>
      <c r="M248" s="280" t="n"/>
      <c r="N248" s="333">
        <f>IFERROR(IF(L248*M248=0,"",L248*M248),"")</f>
        <v/>
      </c>
      <c r="O248" s="280" t="n"/>
      <c r="P248" s="332">
        <f>IFERROR(VLOOKUP(TEXT(O248,"0"),CONDUCTORES!$A$3:$G$54,2,0),"")</f>
        <v/>
      </c>
      <c r="Q248" s="332">
        <f>IFERROR(VLOOKUP(TEXT(O248,"0"),CONDUCTORES!$A$3:$H$54,6,0),"")</f>
        <v/>
      </c>
      <c r="R248" s="280" t="n"/>
      <c r="S248" s="280" t="n"/>
      <c r="T248" s="280" t="n"/>
      <c r="U248" s="280" t="n"/>
      <c r="V248" s="280" t="n"/>
      <c r="W248" s="280" t="n"/>
      <c r="X248" s="280" t="n"/>
      <c r="Y248" s="280" t="n"/>
      <c r="Z248" s="375">
        <f>IF(AND(G248&lt;&gt;"",R248&lt;&gt;"",V248&lt;&gt;"",W248&lt;&gt;""),"COMPLETADO","OBSERVADO")</f>
        <v/>
      </c>
    </row>
    <row r="249" ht="15" customHeight="1" s="195">
      <c r="A249" s="334" t="n"/>
      <c r="B249" s="334" t="n"/>
      <c r="C249" s="334" t="n"/>
      <c r="D249" s="334" t="n"/>
      <c r="E249" s="334" t="n"/>
      <c r="F249" s="334" t="n"/>
      <c r="G249" s="334" t="n"/>
      <c r="H249" s="334" t="n"/>
      <c r="I249" s="332">
        <f>IFERROR(VLOOKUP(TEXT(H249,"0"),IPRESS!$A$3:$B$212,2,0),"")</f>
        <v/>
      </c>
      <c r="J249" s="334" t="n"/>
      <c r="K249" s="332">
        <f>IFERROR(VLOOKUP(TEXT(O249,"0"),CONDUCTORES!$A$3:$G$54,7,0),"")</f>
        <v/>
      </c>
      <c r="L249" s="334" t="n"/>
      <c r="M249" s="334" t="n"/>
      <c r="N249" s="333">
        <f>IFERROR(IF(L249*M249=0,"",L249*M249),"")</f>
        <v/>
      </c>
      <c r="O249" s="334" t="n"/>
      <c r="P249" s="332">
        <f>IFERROR(VLOOKUP(TEXT(O249,"0"),CONDUCTORES!$A$3:$G$54,2,0),"")</f>
        <v/>
      </c>
      <c r="Q249" s="332">
        <f>IFERROR(VLOOKUP(TEXT(O249,"0"),CONDUCTORES!$A$3:$H$54,6,0),"")</f>
        <v/>
      </c>
      <c r="R249" s="334" t="n"/>
      <c r="S249" s="334" t="n"/>
      <c r="T249" s="334" t="n"/>
      <c r="U249" s="334" t="n"/>
      <c r="V249" s="334" t="n"/>
      <c r="W249" s="334" t="n"/>
      <c r="X249" s="334" t="n"/>
      <c r="Y249" s="334" t="n"/>
      <c r="Z249" s="375">
        <f>IF(AND(G249&lt;&gt;"",R249&lt;&gt;"",V249&lt;&gt;"",W249&lt;&gt;""),"COMPLETADO","OBSERVADO")</f>
        <v/>
      </c>
    </row>
    <row r="250" ht="15" customHeight="1" s="195">
      <c r="A250" s="280" t="n"/>
      <c r="B250" s="280" t="n"/>
      <c r="C250" s="280" t="n"/>
      <c r="D250" s="280" t="n"/>
      <c r="E250" s="280" t="n"/>
      <c r="F250" s="280" t="n"/>
      <c r="G250" s="280" t="n"/>
      <c r="H250" s="280" t="n"/>
      <c r="I250" s="332">
        <f>IFERROR(VLOOKUP(TEXT(H250,"0"),IPRESS!$A$3:$B$212,2,0),"")</f>
        <v/>
      </c>
      <c r="J250" s="280" t="n"/>
      <c r="K250" s="332">
        <f>IFERROR(VLOOKUP(TEXT(O250,"0"),CONDUCTORES!$A$3:$G$54,7,0),"")</f>
        <v/>
      </c>
      <c r="L250" s="280" t="n"/>
      <c r="M250" s="280" t="n"/>
      <c r="N250" s="333">
        <f>IFERROR(IF(L250*M250=0,"",L250*M250),"")</f>
        <v/>
      </c>
      <c r="O250" s="280" t="n"/>
      <c r="P250" s="332">
        <f>IFERROR(VLOOKUP(TEXT(O250,"0"),CONDUCTORES!$A$3:$G$54,2,0),"")</f>
        <v/>
      </c>
      <c r="Q250" s="332">
        <f>IFERROR(VLOOKUP(TEXT(O250,"0"),CONDUCTORES!$A$3:$H$54,6,0),"")</f>
        <v/>
      </c>
      <c r="R250" s="280" t="n"/>
      <c r="S250" s="280" t="n"/>
      <c r="T250" s="280" t="n"/>
      <c r="U250" s="280" t="n"/>
      <c r="V250" s="280" t="n"/>
      <c r="W250" s="280" t="n"/>
      <c r="X250" s="280" t="n"/>
      <c r="Y250" s="280" t="n"/>
      <c r="Z250" s="375">
        <f>IF(AND(G250&lt;&gt;"",R250&lt;&gt;"",V250&lt;&gt;"",W250&lt;&gt;""),"COMPLETADO","OBSERVADO")</f>
        <v/>
      </c>
    </row>
    <row r="251" ht="15" customHeight="1" s="195">
      <c r="A251" s="334" t="n"/>
      <c r="B251" s="334" t="n"/>
      <c r="C251" s="334" t="n"/>
      <c r="D251" s="334" t="n"/>
      <c r="E251" s="334" t="n"/>
      <c r="F251" s="334" t="n"/>
      <c r="G251" s="334" t="n"/>
      <c r="H251" s="334" t="n"/>
      <c r="I251" s="332">
        <f>IFERROR(VLOOKUP(TEXT(H251,"0"),IPRESS!$A$3:$B$212,2,0),"")</f>
        <v/>
      </c>
      <c r="J251" s="334" t="n"/>
      <c r="K251" s="332">
        <f>IFERROR(VLOOKUP(TEXT(O251,"0"),CONDUCTORES!$A$3:$G$54,7,0),"")</f>
        <v/>
      </c>
      <c r="L251" s="334" t="n"/>
      <c r="M251" s="334" t="n"/>
      <c r="N251" s="333">
        <f>IFERROR(IF(L251*M251=0,"",L251*M251),"")</f>
        <v/>
      </c>
      <c r="O251" s="334" t="n"/>
      <c r="P251" s="332">
        <f>IFERROR(VLOOKUP(TEXT(O251,"0"),CONDUCTORES!$A$3:$G$54,2,0),"")</f>
        <v/>
      </c>
      <c r="Q251" s="332">
        <f>IFERROR(VLOOKUP(TEXT(O251,"0"),CONDUCTORES!$A$3:$H$54,6,0),"")</f>
        <v/>
      </c>
      <c r="R251" s="334" t="n"/>
      <c r="S251" s="334" t="n"/>
      <c r="T251" s="334" t="n"/>
      <c r="U251" s="334" t="n"/>
      <c r="V251" s="334" t="n"/>
      <c r="W251" s="334" t="n"/>
      <c r="X251" s="334" t="n"/>
      <c r="Y251" s="334" t="n"/>
      <c r="Z251" s="375">
        <f>IF(AND(G251&lt;&gt;"",R251&lt;&gt;"",V251&lt;&gt;"",W251&lt;&gt;""),"COMPLETADO","OBSERVADO")</f>
        <v/>
      </c>
    </row>
    <row r="252" ht="15" customHeight="1" s="195">
      <c r="A252" s="280" t="n"/>
      <c r="B252" s="280" t="n"/>
      <c r="C252" s="280" t="n"/>
      <c r="D252" s="280" t="n"/>
      <c r="E252" s="280" t="n"/>
      <c r="F252" s="280" t="n"/>
      <c r="G252" s="280" t="n"/>
      <c r="H252" s="280" t="n"/>
      <c r="I252" s="332">
        <f>IFERROR(VLOOKUP(TEXT(H252,"0"),IPRESS!$A$3:$B$212,2,0),"")</f>
        <v/>
      </c>
      <c r="J252" s="280" t="n"/>
      <c r="K252" s="332">
        <f>IFERROR(VLOOKUP(TEXT(O252,"0"),CONDUCTORES!$A$3:$G$54,7,0),"")</f>
        <v/>
      </c>
      <c r="L252" s="280" t="n"/>
      <c r="M252" s="280" t="n"/>
      <c r="N252" s="333">
        <f>IFERROR(IF(L252*M252=0,"",L252*M252),"")</f>
        <v/>
      </c>
      <c r="O252" s="280" t="n"/>
      <c r="P252" s="332">
        <f>IFERROR(VLOOKUP(TEXT(O252,"0"),CONDUCTORES!$A$3:$G$54,2,0),"")</f>
        <v/>
      </c>
      <c r="Q252" s="332">
        <f>IFERROR(VLOOKUP(TEXT(O252,"0"),CONDUCTORES!$A$3:$H$54,6,0),"")</f>
        <v/>
      </c>
      <c r="R252" s="280" t="n"/>
      <c r="S252" s="280" t="n"/>
      <c r="T252" s="280" t="n"/>
      <c r="U252" s="280" t="n"/>
      <c r="V252" s="280" t="n"/>
      <c r="W252" s="280" t="n"/>
      <c r="X252" s="280" t="n"/>
      <c r="Y252" s="280" t="n"/>
      <c r="Z252" s="375">
        <f>IF(AND(G252&lt;&gt;"",R252&lt;&gt;"",V252&lt;&gt;"",W252&lt;&gt;""),"COMPLETADO","OBSERVADO")</f>
        <v/>
      </c>
    </row>
    <row r="253" ht="15" customHeight="1" s="195">
      <c r="A253" s="334" t="n"/>
      <c r="B253" s="334" t="n"/>
      <c r="C253" s="334" t="n"/>
      <c r="D253" s="334" t="n"/>
      <c r="E253" s="334" t="n"/>
      <c r="F253" s="334" t="n"/>
      <c r="G253" s="334" t="n"/>
      <c r="H253" s="334" t="n"/>
      <c r="I253" s="332">
        <f>IFERROR(VLOOKUP(TEXT(H253,"0"),IPRESS!$A$3:$B$212,2,0),"")</f>
        <v/>
      </c>
      <c r="J253" s="334" t="n"/>
      <c r="K253" s="332">
        <f>IFERROR(VLOOKUP(TEXT(O253,"0"),CONDUCTORES!$A$3:$G$54,7,0),"")</f>
        <v/>
      </c>
      <c r="L253" s="334" t="n"/>
      <c r="M253" s="334" t="n"/>
      <c r="N253" s="333">
        <f>IFERROR(IF(L253*M253=0,"",L253*M253),"")</f>
        <v/>
      </c>
      <c r="O253" s="334" t="n"/>
      <c r="P253" s="332">
        <f>IFERROR(VLOOKUP(TEXT(O253,"0"),CONDUCTORES!$A$3:$G$54,2,0),"")</f>
        <v/>
      </c>
      <c r="Q253" s="332">
        <f>IFERROR(VLOOKUP(TEXT(O253,"0"),CONDUCTORES!$A$3:$H$54,6,0),"")</f>
        <v/>
      </c>
      <c r="R253" s="334" t="n"/>
      <c r="S253" s="334" t="n"/>
      <c r="T253" s="334" t="n"/>
      <c r="U253" s="334" t="n"/>
      <c r="V253" s="334" t="n"/>
      <c r="W253" s="334" t="n"/>
      <c r="X253" s="334" t="n"/>
      <c r="Y253" s="334" t="n"/>
      <c r="Z253" s="375">
        <f>IF(AND(G253&lt;&gt;"",R253&lt;&gt;"",V253&lt;&gt;"",W253&lt;&gt;""),"COMPLETADO","OBSERVADO")</f>
        <v/>
      </c>
    </row>
    <row r="254" ht="15" customHeight="1" s="195">
      <c r="A254" s="280" t="n"/>
      <c r="B254" s="280" t="n"/>
      <c r="C254" s="280" t="n"/>
      <c r="D254" s="280" t="n"/>
      <c r="E254" s="280" t="n"/>
      <c r="F254" s="280" t="n"/>
      <c r="G254" s="280" t="n"/>
      <c r="H254" s="280" t="n"/>
      <c r="I254" s="332">
        <f>IFERROR(VLOOKUP(TEXT(H254,"0"),IPRESS!$A$3:$B$212,2,0),"")</f>
        <v/>
      </c>
      <c r="J254" s="280" t="n"/>
      <c r="K254" s="332">
        <f>IFERROR(VLOOKUP(TEXT(O254,"0"),CONDUCTORES!$A$3:$G$54,7,0),"")</f>
        <v/>
      </c>
      <c r="L254" s="280" t="n"/>
      <c r="M254" s="280" t="n"/>
      <c r="N254" s="333">
        <f>IFERROR(IF(L254*M254=0,"",L254*M254),"")</f>
        <v/>
      </c>
      <c r="O254" s="280" t="n"/>
      <c r="P254" s="332">
        <f>IFERROR(VLOOKUP(TEXT(O254,"0"),CONDUCTORES!$A$3:$G$54,2,0),"")</f>
        <v/>
      </c>
      <c r="Q254" s="332">
        <f>IFERROR(VLOOKUP(TEXT(O254,"0"),CONDUCTORES!$A$3:$H$54,6,0),"")</f>
        <v/>
      </c>
      <c r="R254" s="280" t="n"/>
      <c r="S254" s="280" t="n"/>
      <c r="T254" s="280" t="n"/>
      <c r="U254" s="280" t="n"/>
      <c r="V254" s="280" t="n"/>
      <c r="W254" s="280" t="n"/>
      <c r="X254" s="280" t="n"/>
      <c r="Y254" s="280" t="n"/>
      <c r="Z254" s="375">
        <f>IF(AND(G254&lt;&gt;"",R254&lt;&gt;"",V254&lt;&gt;"",W254&lt;&gt;""),"COMPLETADO","OBSERVADO")</f>
        <v/>
      </c>
    </row>
    <row r="255" ht="15" customHeight="1" s="195">
      <c r="A255" s="334" t="n"/>
      <c r="B255" s="334" t="n"/>
      <c r="C255" s="334" t="n"/>
      <c r="D255" s="334" t="n"/>
      <c r="E255" s="334" t="n"/>
      <c r="F255" s="334" t="n"/>
      <c r="G255" s="334" t="n"/>
      <c r="H255" s="334" t="n"/>
      <c r="I255" s="332">
        <f>IFERROR(VLOOKUP(TEXT(H255,"0"),IPRESS!$A$3:$B$212,2,0),"")</f>
        <v/>
      </c>
      <c r="J255" s="334" t="n"/>
      <c r="K255" s="332">
        <f>IFERROR(VLOOKUP(TEXT(O255,"0"),CONDUCTORES!$A$3:$G$54,7,0),"")</f>
        <v/>
      </c>
      <c r="L255" s="334" t="n"/>
      <c r="M255" s="334" t="n"/>
      <c r="N255" s="333">
        <f>IFERROR(IF(L255*M255=0,"",L255*M255),"")</f>
        <v/>
      </c>
      <c r="O255" s="334" t="n"/>
      <c r="P255" s="332">
        <f>IFERROR(VLOOKUP(TEXT(O255,"0"),CONDUCTORES!$A$3:$G$54,2,0),"")</f>
        <v/>
      </c>
      <c r="Q255" s="332">
        <f>IFERROR(VLOOKUP(TEXT(O255,"0"),CONDUCTORES!$A$3:$H$54,6,0),"")</f>
        <v/>
      </c>
      <c r="R255" s="334" t="n"/>
      <c r="S255" s="334" t="n"/>
      <c r="T255" s="334" t="n"/>
      <c r="U255" s="334" t="n"/>
      <c r="V255" s="334" t="n"/>
      <c r="W255" s="334" t="n"/>
      <c r="X255" s="334" t="n"/>
      <c r="Y255" s="334" t="n"/>
      <c r="Z255" s="375">
        <f>IF(AND(G255&lt;&gt;"",R255&lt;&gt;"",V255&lt;&gt;"",W255&lt;&gt;""),"COMPLETADO","OBSERVADO")</f>
        <v/>
      </c>
    </row>
    <row r="256" ht="15" customHeight="1" s="195">
      <c r="A256" s="280" t="n"/>
      <c r="B256" s="280" t="n"/>
      <c r="C256" s="280" t="n"/>
      <c r="D256" s="280" t="n"/>
      <c r="E256" s="280" t="n"/>
      <c r="F256" s="280" t="n"/>
      <c r="G256" s="280" t="n"/>
      <c r="H256" s="280" t="n"/>
      <c r="I256" s="332">
        <f>IFERROR(VLOOKUP(TEXT(H256,"0"),IPRESS!$A$3:$B$212,2,0),"")</f>
        <v/>
      </c>
      <c r="J256" s="280" t="n"/>
      <c r="K256" s="332">
        <f>IFERROR(VLOOKUP(TEXT(O256,"0"),CONDUCTORES!$A$3:$G$54,7,0),"")</f>
        <v/>
      </c>
      <c r="L256" s="280" t="n"/>
      <c r="M256" s="280" t="n"/>
      <c r="N256" s="333">
        <f>IFERROR(IF(L256*M256=0,"",L256*M256),"")</f>
        <v/>
      </c>
      <c r="O256" s="280" t="n"/>
      <c r="P256" s="332">
        <f>IFERROR(VLOOKUP(TEXT(O256,"0"),CONDUCTORES!$A$3:$G$54,2,0),"")</f>
        <v/>
      </c>
      <c r="Q256" s="332">
        <f>IFERROR(VLOOKUP(TEXT(O256,"0"),CONDUCTORES!$A$3:$H$54,6,0),"")</f>
        <v/>
      </c>
      <c r="R256" s="280" t="n"/>
      <c r="S256" s="280" t="n"/>
      <c r="T256" s="280" t="n"/>
      <c r="U256" s="280" t="n"/>
      <c r="V256" s="280" t="n"/>
      <c r="W256" s="280" t="n"/>
      <c r="X256" s="280" t="n"/>
      <c r="Y256" s="280" t="n"/>
      <c r="Z256" s="375">
        <f>IF(AND(G256&lt;&gt;"",R256&lt;&gt;"",V256&lt;&gt;"",W256&lt;&gt;""),"COMPLETADO","OBSERVADO")</f>
        <v/>
      </c>
    </row>
    <row r="257" ht="15" customHeight="1" s="195">
      <c r="A257" s="334" t="n"/>
      <c r="B257" s="334" t="n"/>
      <c r="C257" s="334" t="n"/>
      <c r="D257" s="334" t="n"/>
      <c r="E257" s="334" t="n"/>
      <c r="F257" s="334" t="n"/>
      <c r="G257" s="334" t="n"/>
      <c r="H257" s="334" t="n"/>
      <c r="I257" s="332">
        <f>IFERROR(VLOOKUP(TEXT(H257,"0"),IPRESS!$A$3:$B$212,2,0),"")</f>
        <v/>
      </c>
      <c r="J257" s="334" t="n"/>
      <c r="K257" s="332">
        <f>IFERROR(VLOOKUP(TEXT(O257,"0"),CONDUCTORES!$A$3:$G$54,7,0),"")</f>
        <v/>
      </c>
      <c r="L257" s="334" t="n"/>
      <c r="M257" s="334" t="n"/>
      <c r="N257" s="333">
        <f>IFERROR(IF(L257*M257=0,"",L257*M257),"")</f>
        <v/>
      </c>
      <c r="O257" s="334" t="n"/>
      <c r="P257" s="332">
        <f>IFERROR(VLOOKUP(TEXT(O257,"0"),CONDUCTORES!$A$3:$G$54,2,0),"")</f>
        <v/>
      </c>
      <c r="Q257" s="332">
        <f>IFERROR(VLOOKUP(TEXT(O257,"0"),CONDUCTORES!$A$3:$H$54,6,0),"")</f>
        <v/>
      </c>
      <c r="R257" s="334" t="n"/>
      <c r="S257" s="334" t="n"/>
      <c r="T257" s="334" t="n"/>
      <c r="U257" s="334" t="n"/>
      <c r="V257" s="334" t="n"/>
      <c r="W257" s="334" t="n"/>
      <c r="X257" s="334" t="n"/>
      <c r="Y257" s="334" t="n"/>
      <c r="Z257" s="375">
        <f>IF(AND(G257&lt;&gt;"",R257&lt;&gt;"",V257&lt;&gt;"",W257&lt;&gt;""),"COMPLETADO","OBSERVADO")</f>
        <v/>
      </c>
    </row>
    <row r="258" ht="15" customHeight="1" s="195">
      <c r="A258" s="280" t="n"/>
      <c r="B258" s="280" t="n"/>
      <c r="C258" s="280" t="n"/>
      <c r="D258" s="280" t="n"/>
      <c r="E258" s="280" t="n"/>
      <c r="F258" s="280" t="n"/>
      <c r="G258" s="280" t="n"/>
      <c r="H258" s="280" t="n"/>
      <c r="I258" s="332">
        <f>IFERROR(VLOOKUP(TEXT(H258,"0"),IPRESS!$A$3:$B$212,2,0),"")</f>
        <v/>
      </c>
      <c r="J258" s="280" t="n"/>
      <c r="K258" s="332">
        <f>IFERROR(VLOOKUP(TEXT(O258,"0"),CONDUCTORES!$A$3:$G$54,7,0),"")</f>
        <v/>
      </c>
      <c r="L258" s="280" t="n"/>
      <c r="M258" s="280" t="n"/>
      <c r="N258" s="333">
        <f>IFERROR(IF(L258*M258=0,"",L258*M258),"")</f>
        <v/>
      </c>
      <c r="O258" s="280" t="n"/>
      <c r="P258" s="332">
        <f>IFERROR(VLOOKUP(TEXT(O258,"0"),CONDUCTORES!$A$3:$G$54,2,0),"")</f>
        <v/>
      </c>
      <c r="Q258" s="332">
        <f>IFERROR(VLOOKUP(TEXT(O258,"0"),CONDUCTORES!$A$3:$H$54,6,0),"")</f>
        <v/>
      </c>
      <c r="R258" s="280" t="n"/>
      <c r="S258" s="280" t="n"/>
      <c r="T258" s="280" t="n"/>
      <c r="U258" s="280" t="n"/>
      <c r="V258" s="280" t="n"/>
      <c r="W258" s="280" t="n"/>
      <c r="X258" s="280" t="n"/>
      <c r="Y258" s="280" t="n"/>
      <c r="Z258" s="375">
        <f>IF(AND(G258&lt;&gt;"",R258&lt;&gt;"",V258&lt;&gt;"",W258&lt;&gt;""),"COMPLETADO","OBSERVADO")</f>
        <v/>
      </c>
    </row>
    <row r="259" ht="15" customHeight="1" s="195">
      <c r="A259" s="334" t="n"/>
      <c r="B259" s="334" t="n"/>
      <c r="C259" s="334" t="n"/>
      <c r="D259" s="334" t="n"/>
      <c r="E259" s="334" t="n"/>
      <c r="F259" s="334" t="n"/>
      <c r="G259" s="334" t="n"/>
      <c r="H259" s="334" t="n"/>
      <c r="I259" s="332">
        <f>IFERROR(VLOOKUP(TEXT(H259,"0"),IPRESS!$A$3:$B$212,2,0),"")</f>
        <v/>
      </c>
      <c r="J259" s="334" t="n"/>
      <c r="K259" s="332">
        <f>IFERROR(VLOOKUP(TEXT(O259,"0"),CONDUCTORES!$A$3:$G$54,7,0),"")</f>
        <v/>
      </c>
      <c r="L259" s="334" t="n"/>
      <c r="M259" s="334" t="n"/>
      <c r="N259" s="333">
        <f>IFERROR(IF(L259*M259=0,"",L259*M259),"")</f>
        <v/>
      </c>
      <c r="O259" s="334" t="n"/>
      <c r="P259" s="332">
        <f>IFERROR(VLOOKUP(TEXT(O259,"0"),CONDUCTORES!$A$3:$G$54,2,0),"")</f>
        <v/>
      </c>
      <c r="Q259" s="332">
        <f>IFERROR(VLOOKUP(TEXT(O259,"0"),CONDUCTORES!$A$3:$H$54,6,0),"")</f>
        <v/>
      </c>
      <c r="R259" s="334" t="n"/>
      <c r="S259" s="334" t="n"/>
      <c r="T259" s="334" t="n"/>
      <c r="U259" s="334" t="n"/>
      <c r="V259" s="334" t="n"/>
      <c r="W259" s="334" t="n"/>
      <c r="X259" s="334" t="n"/>
      <c r="Y259" s="334" t="n"/>
      <c r="Z259" s="375">
        <f>IF(AND(G259&lt;&gt;"",R259&lt;&gt;"",V259&lt;&gt;"",W259&lt;&gt;""),"COMPLETADO","OBSERVADO")</f>
        <v/>
      </c>
    </row>
    <row r="260" ht="15" customHeight="1" s="195">
      <c r="A260" s="280" t="n"/>
      <c r="B260" s="280" t="n"/>
      <c r="C260" s="280" t="n"/>
      <c r="D260" s="280" t="n"/>
      <c r="E260" s="280" t="n"/>
      <c r="F260" s="280" t="n"/>
      <c r="G260" s="280" t="n"/>
      <c r="H260" s="280" t="n"/>
      <c r="I260" s="332">
        <f>IFERROR(VLOOKUP(TEXT(H260,"0"),IPRESS!$A$3:$B$212,2,0),"")</f>
        <v/>
      </c>
      <c r="J260" s="280" t="n"/>
      <c r="K260" s="332">
        <f>IFERROR(VLOOKUP(TEXT(O260,"0"),CONDUCTORES!$A$3:$G$54,7,0),"")</f>
        <v/>
      </c>
      <c r="L260" s="280" t="n"/>
      <c r="M260" s="280" t="n"/>
      <c r="N260" s="333">
        <f>IFERROR(IF(L260*M260=0,"",L260*M260),"")</f>
        <v/>
      </c>
      <c r="O260" s="280" t="n"/>
      <c r="P260" s="332">
        <f>IFERROR(VLOOKUP(TEXT(O260,"0"),CONDUCTORES!$A$3:$G$54,2,0),"")</f>
        <v/>
      </c>
      <c r="Q260" s="332">
        <f>IFERROR(VLOOKUP(TEXT(O260,"0"),CONDUCTORES!$A$3:$H$54,6,0),"")</f>
        <v/>
      </c>
      <c r="R260" s="280" t="n"/>
      <c r="S260" s="280" t="n"/>
      <c r="T260" s="280" t="n"/>
      <c r="U260" s="280" t="n"/>
      <c r="V260" s="280" t="n"/>
      <c r="W260" s="280" t="n"/>
      <c r="X260" s="280" t="n"/>
      <c r="Y260" s="280" t="n"/>
      <c r="Z260" s="375">
        <f>IF(AND(G260&lt;&gt;"",R260&lt;&gt;"",V260&lt;&gt;"",W260&lt;&gt;""),"COMPLETADO","OBSERVADO")</f>
        <v/>
      </c>
    </row>
    <row r="261" ht="15" customHeight="1" s="195">
      <c r="A261" s="334" t="n"/>
      <c r="B261" s="334" t="n"/>
      <c r="C261" s="334" t="n"/>
      <c r="D261" s="334" t="n"/>
      <c r="E261" s="334" t="n"/>
      <c r="F261" s="334" t="n"/>
      <c r="G261" s="334" t="n"/>
      <c r="H261" s="334" t="n"/>
      <c r="I261" s="332">
        <f>IFERROR(VLOOKUP(TEXT(H261,"0"),IPRESS!$A$3:$B$212,2,0),"")</f>
        <v/>
      </c>
      <c r="J261" s="334" t="n"/>
      <c r="K261" s="332">
        <f>IFERROR(VLOOKUP(TEXT(O261,"0"),CONDUCTORES!$A$3:$G$54,7,0),"")</f>
        <v/>
      </c>
      <c r="L261" s="334" t="n"/>
      <c r="M261" s="334" t="n"/>
      <c r="N261" s="333">
        <f>IFERROR(IF(L261*M261=0,"",L261*M261),"")</f>
        <v/>
      </c>
      <c r="O261" s="334" t="n"/>
      <c r="P261" s="332">
        <f>IFERROR(VLOOKUP(TEXT(O261,"0"),CONDUCTORES!$A$3:$G$54,2,0),"")</f>
        <v/>
      </c>
      <c r="Q261" s="332">
        <f>IFERROR(VLOOKUP(TEXT(O261,"0"),CONDUCTORES!$A$3:$H$54,6,0),"")</f>
        <v/>
      </c>
      <c r="R261" s="334" t="n"/>
      <c r="S261" s="334" t="n"/>
      <c r="T261" s="334" t="n"/>
      <c r="U261" s="334" t="n"/>
      <c r="V261" s="334" t="n"/>
      <c r="W261" s="334" t="n"/>
      <c r="X261" s="334" t="n"/>
      <c r="Y261" s="334" t="n"/>
      <c r="Z261" s="375">
        <f>IF(AND(G261&lt;&gt;"",R261&lt;&gt;"",V261&lt;&gt;"",W261&lt;&gt;""),"COMPLETADO","OBSERVADO")</f>
        <v/>
      </c>
    </row>
    <row r="262" ht="15" customHeight="1" s="195">
      <c r="A262" s="280" t="n"/>
      <c r="B262" s="280" t="n"/>
      <c r="C262" s="280" t="n"/>
      <c r="D262" s="280" t="n"/>
      <c r="E262" s="280" t="n"/>
      <c r="F262" s="280" t="n"/>
      <c r="G262" s="280" t="n"/>
      <c r="H262" s="280" t="n"/>
      <c r="I262" s="332">
        <f>IFERROR(VLOOKUP(TEXT(H262,"0"),IPRESS!$A$3:$B$212,2,0),"")</f>
        <v/>
      </c>
      <c r="J262" s="280" t="n"/>
      <c r="K262" s="332">
        <f>IFERROR(VLOOKUP(TEXT(O262,"0"),CONDUCTORES!$A$3:$G$54,7,0),"")</f>
        <v/>
      </c>
      <c r="L262" s="280" t="n"/>
      <c r="M262" s="280" t="n"/>
      <c r="N262" s="333">
        <f>IFERROR(IF(L262*M262=0,"",L262*M262),"")</f>
        <v/>
      </c>
      <c r="O262" s="280" t="n"/>
      <c r="P262" s="332">
        <f>IFERROR(VLOOKUP(TEXT(O262,"0"),CONDUCTORES!$A$3:$G$54,2,0),"")</f>
        <v/>
      </c>
      <c r="Q262" s="332">
        <f>IFERROR(VLOOKUP(TEXT(O262,"0"),CONDUCTORES!$A$3:$H$54,6,0),"")</f>
        <v/>
      </c>
      <c r="R262" s="280" t="n"/>
      <c r="S262" s="280" t="n"/>
      <c r="T262" s="280" t="n"/>
      <c r="U262" s="280" t="n"/>
      <c r="V262" s="280" t="n"/>
      <c r="W262" s="280" t="n"/>
      <c r="X262" s="280" t="n"/>
      <c r="Y262" s="280" t="n"/>
      <c r="Z262" s="375">
        <f>IF(AND(G262&lt;&gt;"",R262&lt;&gt;"",V262&lt;&gt;"",W262&lt;&gt;""),"COMPLETADO","OBSERVADO")</f>
        <v/>
      </c>
    </row>
    <row r="263" ht="15" customHeight="1" s="195">
      <c r="A263" s="334" t="n"/>
      <c r="B263" s="334" t="n"/>
      <c r="C263" s="334" t="n"/>
      <c r="D263" s="334" t="n"/>
      <c r="E263" s="334" t="n"/>
      <c r="F263" s="334" t="n"/>
      <c r="G263" s="334" t="n"/>
      <c r="H263" s="334" t="n"/>
      <c r="I263" s="332">
        <f>IFERROR(VLOOKUP(TEXT(H263,"0"),IPRESS!$A$3:$B$212,2,0),"")</f>
        <v/>
      </c>
      <c r="J263" s="334" t="n"/>
      <c r="K263" s="332">
        <f>IFERROR(VLOOKUP(TEXT(O263,"0"),CONDUCTORES!$A$3:$G$54,7,0),"")</f>
        <v/>
      </c>
      <c r="L263" s="334" t="n"/>
      <c r="M263" s="334" t="n"/>
      <c r="N263" s="333">
        <f>IFERROR(IF(L263*M263=0,"",L263*M263),"")</f>
        <v/>
      </c>
      <c r="O263" s="334" t="n"/>
      <c r="P263" s="332">
        <f>IFERROR(VLOOKUP(TEXT(O263,"0"),CONDUCTORES!$A$3:$G$54,2,0),"")</f>
        <v/>
      </c>
      <c r="Q263" s="332">
        <f>IFERROR(VLOOKUP(TEXT(O263,"0"),CONDUCTORES!$A$3:$H$54,6,0),"")</f>
        <v/>
      </c>
      <c r="R263" s="334" t="n"/>
      <c r="S263" s="334" t="n"/>
      <c r="T263" s="334" t="n"/>
      <c r="U263" s="334" t="n"/>
      <c r="V263" s="334" t="n"/>
      <c r="W263" s="334" t="n"/>
      <c r="X263" s="334" t="n"/>
      <c r="Y263" s="334" t="n"/>
      <c r="Z263" s="375">
        <f>IF(AND(G263&lt;&gt;"",R263&lt;&gt;"",V263&lt;&gt;"",W263&lt;&gt;""),"COMPLETADO","OBSERVADO")</f>
        <v/>
      </c>
    </row>
    <row r="264" ht="15" customHeight="1" s="195">
      <c r="A264" s="280" t="n"/>
      <c r="B264" s="280" t="n"/>
      <c r="C264" s="280" t="n"/>
      <c r="D264" s="280" t="n"/>
      <c r="E264" s="280" t="n"/>
      <c r="F264" s="280" t="n"/>
      <c r="G264" s="280" t="n"/>
      <c r="H264" s="280" t="n"/>
      <c r="I264" s="332">
        <f>IFERROR(VLOOKUP(TEXT(H264,"0"),IPRESS!$A$3:$B$212,2,0),"")</f>
        <v/>
      </c>
      <c r="J264" s="280" t="n"/>
      <c r="K264" s="332">
        <f>IFERROR(VLOOKUP(TEXT(O264,"0"),CONDUCTORES!$A$3:$G$54,7,0),"")</f>
        <v/>
      </c>
      <c r="L264" s="280" t="n"/>
      <c r="M264" s="280" t="n"/>
      <c r="N264" s="333">
        <f>IFERROR(IF(L264*M264=0,"",L264*M264),"")</f>
        <v/>
      </c>
      <c r="O264" s="280" t="n"/>
      <c r="P264" s="332">
        <f>IFERROR(VLOOKUP(TEXT(O264,"0"),CONDUCTORES!$A$3:$G$54,2,0),"")</f>
        <v/>
      </c>
      <c r="Q264" s="332">
        <f>IFERROR(VLOOKUP(TEXT(O264,"0"),CONDUCTORES!$A$3:$H$54,6,0),"")</f>
        <v/>
      </c>
      <c r="R264" s="280" t="n"/>
      <c r="S264" s="280" t="n"/>
      <c r="T264" s="280" t="n"/>
      <c r="U264" s="280" t="n"/>
      <c r="V264" s="280" t="n"/>
      <c r="W264" s="280" t="n"/>
      <c r="X264" s="280" t="n"/>
      <c r="Y264" s="280" t="n"/>
      <c r="Z264" s="375">
        <f>IF(AND(G264&lt;&gt;"",R264&lt;&gt;"",V264&lt;&gt;"",W264&lt;&gt;""),"COMPLETADO","OBSERVADO")</f>
        <v/>
      </c>
    </row>
    <row r="265" ht="15" customHeight="1" s="195">
      <c r="A265" s="334" t="n"/>
      <c r="B265" s="334" t="n"/>
      <c r="C265" s="334" t="n"/>
      <c r="D265" s="334" t="n"/>
      <c r="E265" s="334" t="n"/>
      <c r="F265" s="334" t="n"/>
      <c r="G265" s="334" t="n"/>
      <c r="H265" s="334" t="n"/>
      <c r="I265" s="332">
        <f>IFERROR(VLOOKUP(TEXT(H265,"0"),IPRESS!$A$3:$B$212,2,0),"")</f>
        <v/>
      </c>
      <c r="J265" s="334" t="n"/>
      <c r="K265" s="332">
        <f>IFERROR(VLOOKUP(TEXT(O265,"0"),CONDUCTORES!$A$3:$G$54,7,0),"")</f>
        <v/>
      </c>
      <c r="L265" s="334" t="n"/>
      <c r="M265" s="334" t="n"/>
      <c r="N265" s="333">
        <f>IFERROR(IF(L265*M265=0,"",L265*M265),"")</f>
        <v/>
      </c>
      <c r="O265" s="334" t="n"/>
      <c r="P265" s="332">
        <f>IFERROR(VLOOKUP(TEXT(O265,"0"),CONDUCTORES!$A$3:$G$54,2,0),"")</f>
        <v/>
      </c>
      <c r="Q265" s="332">
        <f>IFERROR(VLOOKUP(TEXT(O265,"0"),CONDUCTORES!$A$3:$H$54,6,0),"")</f>
        <v/>
      </c>
      <c r="R265" s="334" t="n"/>
      <c r="S265" s="334" t="n"/>
      <c r="T265" s="334" t="n"/>
      <c r="U265" s="334" t="n"/>
      <c r="V265" s="334" t="n"/>
      <c r="W265" s="334" t="n"/>
      <c r="X265" s="334" t="n"/>
      <c r="Y265" s="334" t="n"/>
      <c r="Z265" s="375">
        <f>IF(AND(G265&lt;&gt;"",R265&lt;&gt;"",V265&lt;&gt;"",W265&lt;&gt;""),"COMPLETADO","OBSERVADO")</f>
        <v/>
      </c>
    </row>
    <row r="266" ht="15" customHeight="1" s="195">
      <c r="A266" s="280" t="n"/>
      <c r="B266" s="280" t="n"/>
      <c r="C266" s="280" t="n"/>
      <c r="D266" s="280" t="n"/>
      <c r="E266" s="280" t="n"/>
      <c r="F266" s="280" t="n"/>
      <c r="G266" s="280" t="n"/>
      <c r="H266" s="280" t="n"/>
      <c r="I266" s="332">
        <f>IFERROR(VLOOKUP(TEXT(H266,"0"),IPRESS!$A$3:$B$212,2,0),"")</f>
        <v/>
      </c>
      <c r="J266" s="280" t="n"/>
      <c r="K266" s="332">
        <f>IFERROR(VLOOKUP(TEXT(O266,"0"),CONDUCTORES!$A$3:$G$54,7,0),"")</f>
        <v/>
      </c>
      <c r="L266" s="280" t="n"/>
      <c r="M266" s="280" t="n"/>
      <c r="N266" s="333">
        <f>IFERROR(IF(L266*M266=0,"",L266*M266),"")</f>
        <v/>
      </c>
      <c r="O266" s="280" t="n"/>
      <c r="P266" s="332">
        <f>IFERROR(VLOOKUP(TEXT(O266,"0"),CONDUCTORES!$A$3:$G$54,2,0),"")</f>
        <v/>
      </c>
      <c r="Q266" s="332">
        <f>IFERROR(VLOOKUP(TEXT(O266,"0"),CONDUCTORES!$A$3:$H$54,6,0),"")</f>
        <v/>
      </c>
      <c r="R266" s="280" t="n"/>
      <c r="S266" s="280" t="n"/>
      <c r="T266" s="280" t="n"/>
      <c r="U266" s="280" t="n"/>
      <c r="V266" s="280" t="n"/>
      <c r="W266" s="280" t="n"/>
      <c r="X266" s="280" t="n"/>
      <c r="Y266" s="280" t="n"/>
      <c r="Z266" s="375">
        <f>IF(AND(G266&lt;&gt;"",R266&lt;&gt;"",V266&lt;&gt;"",W266&lt;&gt;""),"COMPLETADO","OBSERVADO")</f>
        <v/>
      </c>
    </row>
    <row r="267" ht="15" customHeight="1" s="195">
      <c r="A267" s="334" t="n"/>
      <c r="B267" s="334" t="n"/>
      <c r="C267" s="334" t="n"/>
      <c r="D267" s="334" t="n"/>
      <c r="E267" s="334" t="n"/>
      <c r="F267" s="334" t="n"/>
      <c r="G267" s="334" t="n"/>
      <c r="H267" s="334" t="n"/>
      <c r="I267" s="332">
        <f>IFERROR(VLOOKUP(TEXT(H267,"0"),IPRESS!$A$3:$B$212,2,0),"")</f>
        <v/>
      </c>
      <c r="J267" s="334" t="n"/>
      <c r="K267" s="332">
        <f>IFERROR(VLOOKUP(TEXT(O267,"0"),CONDUCTORES!$A$3:$G$54,7,0),"")</f>
        <v/>
      </c>
      <c r="L267" s="334" t="n"/>
      <c r="M267" s="334" t="n"/>
      <c r="N267" s="333">
        <f>IFERROR(IF(L267*M267=0,"",L267*M267),"")</f>
        <v/>
      </c>
      <c r="O267" s="334" t="n"/>
      <c r="P267" s="332">
        <f>IFERROR(VLOOKUP(TEXT(O267,"0"),CONDUCTORES!$A$3:$G$54,2,0),"")</f>
        <v/>
      </c>
      <c r="Q267" s="332">
        <f>IFERROR(VLOOKUP(TEXT(O267,"0"),CONDUCTORES!$A$3:$H$54,6,0),"")</f>
        <v/>
      </c>
      <c r="R267" s="334" t="n"/>
      <c r="S267" s="334" t="n"/>
      <c r="T267" s="334" t="n"/>
      <c r="U267" s="334" t="n"/>
      <c r="V267" s="334" t="n"/>
      <c r="W267" s="334" t="n"/>
      <c r="X267" s="334" t="n"/>
      <c r="Y267" s="334" t="n"/>
      <c r="Z267" s="375">
        <f>IF(AND(G267&lt;&gt;"",R267&lt;&gt;"",V267&lt;&gt;"",W267&lt;&gt;""),"COMPLETADO","OBSERVADO")</f>
        <v/>
      </c>
    </row>
    <row r="268" ht="15" customHeight="1" s="195">
      <c r="A268" s="280" t="n"/>
      <c r="B268" s="280" t="n"/>
      <c r="C268" s="280" t="n"/>
      <c r="D268" s="280" t="n"/>
      <c r="E268" s="280" t="n"/>
      <c r="F268" s="280" t="n"/>
      <c r="G268" s="280" t="n"/>
      <c r="H268" s="280" t="n"/>
      <c r="I268" s="332">
        <f>IFERROR(VLOOKUP(TEXT(H268,"0"),IPRESS!$A$3:$B$212,2,0),"")</f>
        <v/>
      </c>
      <c r="J268" s="280" t="n"/>
      <c r="K268" s="332">
        <f>IFERROR(VLOOKUP(TEXT(O268,"0"),CONDUCTORES!$A$3:$G$54,7,0),"")</f>
        <v/>
      </c>
      <c r="L268" s="280" t="n"/>
      <c r="M268" s="280" t="n"/>
      <c r="N268" s="333">
        <f>IFERROR(IF(L268*M268=0,"",L268*M268),"")</f>
        <v/>
      </c>
      <c r="O268" s="280" t="n"/>
      <c r="P268" s="332">
        <f>IFERROR(VLOOKUP(TEXT(O268,"0"),CONDUCTORES!$A$3:$G$54,2,0),"")</f>
        <v/>
      </c>
      <c r="Q268" s="332">
        <f>IFERROR(VLOOKUP(TEXT(O268,"0"),CONDUCTORES!$A$3:$H$54,6,0),"")</f>
        <v/>
      </c>
      <c r="R268" s="280" t="n"/>
      <c r="S268" s="280" t="n"/>
      <c r="T268" s="280" t="n"/>
      <c r="U268" s="280" t="n"/>
      <c r="V268" s="280" t="n"/>
      <c r="W268" s="280" t="n"/>
      <c r="X268" s="280" t="n"/>
      <c r="Y268" s="280" t="n"/>
      <c r="Z268" s="375">
        <f>IF(AND(G268&lt;&gt;"",R268&lt;&gt;"",V268&lt;&gt;"",W268&lt;&gt;""),"COMPLETADO","OBSERVADO")</f>
        <v/>
      </c>
    </row>
    <row r="269" ht="15" customHeight="1" s="195">
      <c r="A269" s="334" t="n"/>
      <c r="B269" s="334" t="n"/>
      <c r="C269" s="334" t="n"/>
      <c r="D269" s="334" t="n"/>
      <c r="E269" s="334" t="n"/>
      <c r="F269" s="334" t="n"/>
      <c r="G269" s="334" t="n"/>
      <c r="H269" s="334" t="n"/>
      <c r="I269" s="332">
        <f>IFERROR(VLOOKUP(TEXT(H269,"0"),IPRESS!$A$3:$B$212,2,0),"")</f>
        <v/>
      </c>
      <c r="J269" s="334" t="n"/>
      <c r="K269" s="332">
        <f>IFERROR(VLOOKUP(TEXT(O269,"0"),CONDUCTORES!$A$3:$G$54,7,0),"")</f>
        <v/>
      </c>
      <c r="L269" s="334" t="n"/>
      <c r="M269" s="334" t="n"/>
      <c r="N269" s="333">
        <f>IFERROR(IF(L269*M269=0,"",L269*M269),"")</f>
        <v/>
      </c>
      <c r="O269" s="334" t="n"/>
      <c r="P269" s="332">
        <f>IFERROR(VLOOKUP(TEXT(O269,"0"),CONDUCTORES!$A$3:$G$54,2,0),"")</f>
        <v/>
      </c>
      <c r="Q269" s="332">
        <f>IFERROR(VLOOKUP(TEXT(O269,"0"),CONDUCTORES!$A$3:$H$54,6,0),"")</f>
        <v/>
      </c>
      <c r="R269" s="334" t="n"/>
      <c r="S269" s="334" t="n"/>
      <c r="T269" s="334" t="n"/>
      <c r="U269" s="334" t="n"/>
      <c r="V269" s="334" t="n"/>
      <c r="W269" s="334" t="n"/>
      <c r="X269" s="334" t="n"/>
      <c r="Y269" s="334" t="n"/>
      <c r="Z269" s="375">
        <f>IF(AND(G269&lt;&gt;"",R269&lt;&gt;"",V269&lt;&gt;"",W269&lt;&gt;""),"COMPLETADO","OBSERVADO")</f>
        <v/>
      </c>
    </row>
    <row r="270" ht="15" customHeight="1" s="195">
      <c r="A270" s="280" t="n"/>
      <c r="B270" s="280" t="n"/>
      <c r="C270" s="280" t="n"/>
      <c r="D270" s="280" t="n"/>
      <c r="E270" s="280" t="n"/>
      <c r="F270" s="280" t="n"/>
      <c r="G270" s="280" t="n"/>
      <c r="H270" s="280" t="n"/>
      <c r="I270" s="332">
        <f>IFERROR(VLOOKUP(TEXT(H270,"0"),IPRESS!$A$3:$B$212,2,0),"")</f>
        <v/>
      </c>
      <c r="J270" s="280" t="n"/>
      <c r="K270" s="332">
        <f>IFERROR(VLOOKUP(TEXT(O270,"0"),CONDUCTORES!$A$3:$G$54,7,0),"")</f>
        <v/>
      </c>
      <c r="L270" s="280" t="n"/>
      <c r="M270" s="280" t="n"/>
      <c r="N270" s="333">
        <f>IFERROR(IF(L270*M270=0,"",L270*M270),"")</f>
        <v/>
      </c>
      <c r="O270" s="280" t="n"/>
      <c r="P270" s="332">
        <f>IFERROR(VLOOKUP(TEXT(O270,"0"),CONDUCTORES!$A$3:$G$54,2,0),"")</f>
        <v/>
      </c>
      <c r="Q270" s="332">
        <f>IFERROR(VLOOKUP(TEXT(O270,"0"),CONDUCTORES!$A$3:$H$54,6,0),"")</f>
        <v/>
      </c>
      <c r="R270" s="280" t="n"/>
      <c r="S270" s="280" t="n"/>
      <c r="T270" s="280" t="n"/>
      <c r="U270" s="280" t="n"/>
      <c r="V270" s="280" t="n"/>
      <c r="W270" s="280" t="n"/>
      <c r="X270" s="280" t="n"/>
      <c r="Y270" s="280" t="n"/>
      <c r="Z270" s="375">
        <f>IF(AND(G270&lt;&gt;"",R270&lt;&gt;"",V270&lt;&gt;"",W270&lt;&gt;""),"COMPLETADO","OBSERVADO")</f>
        <v/>
      </c>
    </row>
    <row r="271" ht="15" customHeight="1" s="195">
      <c r="A271" s="334" t="n"/>
      <c r="B271" s="334" t="n"/>
      <c r="C271" s="334" t="n"/>
      <c r="D271" s="334" t="n"/>
      <c r="E271" s="334" t="n"/>
      <c r="F271" s="334" t="n"/>
      <c r="G271" s="334" t="n"/>
      <c r="H271" s="334" t="n"/>
      <c r="I271" s="332">
        <f>IFERROR(VLOOKUP(TEXT(H271,"0"),IPRESS!$A$3:$B$212,2,0),"")</f>
        <v/>
      </c>
      <c r="J271" s="334" t="n"/>
      <c r="K271" s="332">
        <f>IFERROR(VLOOKUP(TEXT(O271,"0"),CONDUCTORES!$A$3:$G$54,7,0),"")</f>
        <v/>
      </c>
      <c r="L271" s="334" t="n"/>
      <c r="M271" s="334" t="n"/>
      <c r="N271" s="333">
        <f>IFERROR(IF(L271*M271=0,"",L271*M271),"")</f>
        <v/>
      </c>
      <c r="O271" s="334" t="n"/>
      <c r="P271" s="332">
        <f>IFERROR(VLOOKUP(TEXT(O271,"0"),CONDUCTORES!$A$3:$G$54,2,0),"")</f>
        <v/>
      </c>
      <c r="Q271" s="332">
        <f>IFERROR(VLOOKUP(TEXT(O271,"0"),CONDUCTORES!$A$3:$H$54,6,0),"")</f>
        <v/>
      </c>
      <c r="R271" s="334" t="n"/>
      <c r="S271" s="334" t="n"/>
      <c r="T271" s="334" t="n"/>
      <c r="U271" s="334" t="n"/>
      <c r="V271" s="334" t="n"/>
      <c r="W271" s="334" t="n"/>
      <c r="X271" s="334" t="n"/>
      <c r="Y271" s="334" t="n"/>
      <c r="Z271" s="375">
        <f>IF(AND(G271&lt;&gt;"",R271&lt;&gt;"",V271&lt;&gt;"",W271&lt;&gt;""),"COMPLETADO","OBSERVADO")</f>
        <v/>
      </c>
    </row>
    <row r="272" ht="15" customHeight="1" s="195">
      <c r="A272" s="280" t="n"/>
      <c r="B272" s="280" t="n"/>
      <c r="C272" s="280" t="n"/>
      <c r="D272" s="280" t="n"/>
      <c r="E272" s="280" t="n"/>
      <c r="F272" s="280" t="n"/>
      <c r="G272" s="280" t="n"/>
      <c r="H272" s="280" t="n"/>
      <c r="I272" s="332">
        <f>IFERROR(VLOOKUP(TEXT(H272,"0"),IPRESS!$A$3:$B$212,2,0),"")</f>
        <v/>
      </c>
      <c r="J272" s="280" t="n"/>
      <c r="K272" s="332">
        <f>IFERROR(VLOOKUP(TEXT(O272,"0"),CONDUCTORES!$A$3:$G$54,7,0),"")</f>
        <v/>
      </c>
      <c r="L272" s="280" t="n"/>
      <c r="M272" s="280" t="n"/>
      <c r="N272" s="333">
        <f>IFERROR(IF(L272*M272=0,"",L272*M272),"")</f>
        <v/>
      </c>
      <c r="O272" s="280" t="n"/>
      <c r="P272" s="332">
        <f>IFERROR(VLOOKUP(TEXT(O272,"0"),CONDUCTORES!$A$3:$G$54,2,0),"")</f>
        <v/>
      </c>
      <c r="Q272" s="332">
        <f>IFERROR(VLOOKUP(TEXT(O272,"0"),CONDUCTORES!$A$3:$H$54,6,0),"")</f>
        <v/>
      </c>
      <c r="R272" s="280" t="n"/>
      <c r="S272" s="280" t="n"/>
      <c r="T272" s="280" t="n"/>
      <c r="U272" s="280" t="n"/>
      <c r="V272" s="280" t="n"/>
      <c r="W272" s="280" t="n"/>
      <c r="X272" s="280" t="n"/>
      <c r="Y272" s="280" t="n"/>
      <c r="Z272" s="375">
        <f>IF(AND(G272&lt;&gt;"",R272&lt;&gt;"",V272&lt;&gt;"",W272&lt;&gt;""),"COMPLETADO","OBSERVADO")</f>
        <v/>
      </c>
    </row>
    <row r="273" ht="15" customHeight="1" s="195">
      <c r="A273" s="334" t="n"/>
      <c r="B273" s="334" t="n"/>
      <c r="C273" s="334" t="n"/>
      <c r="D273" s="334" t="n"/>
      <c r="E273" s="334" t="n"/>
      <c r="F273" s="334" t="n"/>
      <c r="G273" s="334" t="n"/>
      <c r="H273" s="334" t="n"/>
      <c r="I273" s="332">
        <f>IFERROR(VLOOKUP(TEXT(H273,"0"),IPRESS!$A$3:$B$212,2,0),"")</f>
        <v/>
      </c>
      <c r="J273" s="334" t="n"/>
      <c r="K273" s="332">
        <f>IFERROR(VLOOKUP(TEXT(O273,"0"),CONDUCTORES!$A$3:$G$54,7,0),"")</f>
        <v/>
      </c>
      <c r="L273" s="334" t="n"/>
      <c r="M273" s="334" t="n"/>
      <c r="N273" s="333">
        <f>IFERROR(IF(L273*M273=0,"",L273*M273),"")</f>
        <v/>
      </c>
      <c r="O273" s="334" t="n"/>
      <c r="P273" s="332">
        <f>IFERROR(VLOOKUP(TEXT(O273,"0"),CONDUCTORES!$A$3:$G$54,2,0),"")</f>
        <v/>
      </c>
      <c r="Q273" s="332">
        <f>IFERROR(VLOOKUP(TEXT(O273,"0"),CONDUCTORES!$A$3:$H$54,6,0),"")</f>
        <v/>
      </c>
      <c r="R273" s="334" t="n"/>
      <c r="S273" s="334" t="n"/>
      <c r="T273" s="334" t="n"/>
      <c r="U273" s="334" t="n"/>
      <c r="V273" s="334" t="n"/>
      <c r="W273" s="334" t="n"/>
      <c r="X273" s="334" t="n"/>
      <c r="Y273" s="334" t="n"/>
      <c r="Z273" s="375">
        <f>IF(AND(G273&lt;&gt;"",R273&lt;&gt;"",V273&lt;&gt;"",W273&lt;&gt;""),"COMPLETADO","OBSERVADO")</f>
        <v/>
      </c>
    </row>
    <row r="274" ht="15" customHeight="1" s="195">
      <c r="A274" s="280" t="n"/>
      <c r="B274" s="280" t="n"/>
      <c r="C274" s="280" t="n"/>
      <c r="D274" s="280" t="n"/>
      <c r="E274" s="280" t="n"/>
      <c r="F274" s="280" t="n"/>
      <c r="G274" s="280" t="n"/>
      <c r="H274" s="280" t="n"/>
      <c r="I274" s="332">
        <f>IFERROR(VLOOKUP(TEXT(H274,"0"),IPRESS!$A$3:$B$212,2,0),"")</f>
        <v/>
      </c>
      <c r="J274" s="280" t="n"/>
      <c r="K274" s="332">
        <f>IFERROR(VLOOKUP(TEXT(O274,"0"),CONDUCTORES!$A$3:$G$54,7,0),"")</f>
        <v/>
      </c>
      <c r="L274" s="280" t="n"/>
      <c r="M274" s="280" t="n"/>
      <c r="N274" s="333">
        <f>IFERROR(IF(L274*M274=0,"",L274*M274),"")</f>
        <v/>
      </c>
      <c r="O274" s="280" t="n"/>
      <c r="P274" s="332">
        <f>IFERROR(VLOOKUP(TEXT(O274,"0"),CONDUCTORES!$A$3:$G$54,2,0),"")</f>
        <v/>
      </c>
      <c r="Q274" s="332">
        <f>IFERROR(VLOOKUP(TEXT(O274,"0"),CONDUCTORES!$A$3:$H$54,6,0),"")</f>
        <v/>
      </c>
      <c r="R274" s="280" t="n"/>
      <c r="S274" s="280" t="n"/>
      <c r="T274" s="280" t="n"/>
      <c r="U274" s="280" t="n"/>
      <c r="V274" s="280" t="n"/>
      <c r="W274" s="280" t="n"/>
      <c r="X274" s="280" t="n"/>
      <c r="Y274" s="280" t="n"/>
      <c r="Z274" s="375">
        <f>IF(AND(G274&lt;&gt;"",R274&lt;&gt;"",V274&lt;&gt;"",W274&lt;&gt;""),"COMPLETADO","OBSERVADO")</f>
        <v/>
      </c>
    </row>
    <row r="275" ht="15" customHeight="1" s="195">
      <c r="A275" s="334" t="n"/>
      <c r="B275" s="334" t="n"/>
      <c r="C275" s="334" t="n"/>
      <c r="D275" s="334" t="n"/>
      <c r="E275" s="334" t="n"/>
      <c r="F275" s="334" t="n"/>
      <c r="G275" s="334" t="n"/>
      <c r="H275" s="334" t="n"/>
      <c r="I275" s="332">
        <f>IFERROR(VLOOKUP(TEXT(H275,"0"),IPRESS!$A$3:$B$212,2,0),"")</f>
        <v/>
      </c>
      <c r="J275" s="334" t="n"/>
      <c r="K275" s="332">
        <f>IFERROR(VLOOKUP(TEXT(O275,"0"),CONDUCTORES!$A$3:$G$54,7,0),"")</f>
        <v/>
      </c>
      <c r="L275" s="334" t="n"/>
      <c r="M275" s="334" t="n"/>
      <c r="N275" s="333">
        <f>IFERROR(IF(L275*M275=0,"",L275*M275),"")</f>
        <v/>
      </c>
      <c r="O275" s="334" t="n"/>
      <c r="P275" s="332">
        <f>IFERROR(VLOOKUP(TEXT(O275,"0"),CONDUCTORES!$A$3:$G$54,2,0),"")</f>
        <v/>
      </c>
      <c r="Q275" s="332">
        <f>IFERROR(VLOOKUP(TEXT(O275,"0"),CONDUCTORES!$A$3:$H$54,6,0),"")</f>
        <v/>
      </c>
      <c r="R275" s="334" t="n"/>
      <c r="S275" s="334" t="n"/>
      <c r="T275" s="334" t="n"/>
      <c r="U275" s="334" t="n"/>
      <c r="V275" s="334" t="n"/>
      <c r="W275" s="334" t="n"/>
      <c r="X275" s="334" t="n"/>
      <c r="Y275" s="334" t="n"/>
      <c r="Z275" s="375">
        <f>IF(AND(G275&lt;&gt;"",R275&lt;&gt;"",V275&lt;&gt;"",W275&lt;&gt;""),"COMPLETADO","OBSERVADO")</f>
        <v/>
      </c>
    </row>
    <row r="276" ht="15" customHeight="1" s="195">
      <c r="A276" s="280" t="n"/>
      <c r="B276" s="280" t="n"/>
      <c r="C276" s="280" t="n"/>
      <c r="D276" s="280" t="n"/>
      <c r="E276" s="280" t="n"/>
      <c r="F276" s="280" t="n"/>
      <c r="G276" s="280" t="n"/>
      <c r="H276" s="280" t="n"/>
      <c r="I276" s="332">
        <f>IFERROR(VLOOKUP(TEXT(H276,"0"),IPRESS!$A$3:$B$212,2,0),"")</f>
        <v/>
      </c>
      <c r="J276" s="280" t="n"/>
      <c r="K276" s="332">
        <f>IFERROR(VLOOKUP(TEXT(O276,"0"),CONDUCTORES!$A$3:$G$54,7,0),"")</f>
        <v/>
      </c>
      <c r="L276" s="280" t="n"/>
      <c r="M276" s="280" t="n"/>
      <c r="N276" s="333">
        <f>IFERROR(IF(L276*M276=0,"",L276*M276),"")</f>
        <v/>
      </c>
      <c r="O276" s="280" t="n"/>
      <c r="P276" s="332">
        <f>IFERROR(VLOOKUP(TEXT(O276,"0"),CONDUCTORES!$A$3:$G$54,2,0),"")</f>
        <v/>
      </c>
      <c r="Q276" s="332">
        <f>IFERROR(VLOOKUP(TEXT(O276,"0"),CONDUCTORES!$A$3:$H$54,6,0),"")</f>
        <v/>
      </c>
      <c r="R276" s="280" t="n"/>
      <c r="S276" s="280" t="n"/>
      <c r="T276" s="280" t="n"/>
      <c r="U276" s="280" t="n"/>
      <c r="V276" s="280" t="n"/>
      <c r="W276" s="280" t="n"/>
      <c r="X276" s="280" t="n"/>
      <c r="Y276" s="280" t="n"/>
      <c r="Z276" s="375">
        <f>IF(AND(G276&lt;&gt;"",R276&lt;&gt;"",V276&lt;&gt;"",W276&lt;&gt;""),"COMPLETADO","OBSERVADO")</f>
        <v/>
      </c>
    </row>
    <row r="277" ht="15" customHeight="1" s="195">
      <c r="A277" s="334" t="n"/>
      <c r="B277" s="334" t="n"/>
      <c r="C277" s="334" t="n"/>
      <c r="D277" s="334" t="n"/>
      <c r="E277" s="334" t="n"/>
      <c r="F277" s="334" t="n"/>
      <c r="G277" s="334" t="n"/>
      <c r="H277" s="334" t="n"/>
      <c r="I277" s="332">
        <f>IFERROR(VLOOKUP(TEXT(H277,"0"),IPRESS!$A$3:$B$212,2,0),"")</f>
        <v/>
      </c>
      <c r="J277" s="334" t="n"/>
      <c r="K277" s="332">
        <f>IFERROR(VLOOKUP(TEXT(O277,"0"),CONDUCTORES!$A$3:$G$54,7,0),"")</f>
        <v/>
      </c>
      <c r="L277" s="334" t="n"/>
      <c r="M277" s="334" t="n"/>
      <c r="N277" s="333">
        <f>IFERROR(IF(L277*M277=0,"",L277*M277),"")</f>
        <v/>
      </c>
      <c r="O277" s="334" t="n"/>
      <c r="P277" s="332">
        <f>IFERROR(VLOOKUP(TEXT(O277,"0"),CONDUCTORES!$A$3:$G$54,2,0),"")</f>
        <v/>
      </c>
      <c r="Q277" s="332">
        <f>IFERROR(VLOOKUP(TEXT(O277,"0"),CONDUCTORES!$A$3:$H$54,6,0),"")</f>
        <v/>
      </c>
      <c r="R277" s="334" t="n"/>
      <c r="S277" s="334" t="n"/>
      <c r="T277" s="334" t="n"/>
      <c r="U277" s="334" t="n"/>
      <c r="V277" s="334" t="n"/>
      <c r="W277" s="334" t="n"/>
      <c r="X277" s="334" t="n"/>
      <c r="Y277" s="334" t="n"/>
      <c r="Z277" s="375">
        <f>IF(AND(G277&lt;&gt;"",R277&lt;&gt;"",V277&lt;&gt;"",W277&lt;&gt;""),"COMPLETADO","OBSERVADO")</f>
        <v/>
      </c>
    </row>
    <row r="278" ht="15" customHeight="1" s="195">
      <c r="A278" s="280" t="n"/>
      <c r="B278" s="280" t="n"/>
      <c r="C278" s="280" t="n"/>
      <c r="D278" s="280" t="n"/>
      <c r="E278" s="280" t="n"/>
      <c r="F278" s="280" t="n"/>
      <c r="G278" s="280" t="n"/>
      <c r="H278" s="280" t="n"/>
      <c r="I278" s="332">
        <f>IFERROR(VLOOKUP(TEXT(H278,"0"),IPRESS!$A$3:$B$212,2,0),"")</f>
        <v/>
      </c>
      <c r="J278" s="280" t="n"/>
      <c r="K278" s="332">
        <f>IFERROR(VLOOKUP(TEXT(O278,"0"),CONDUCTORES!$A$3:$G$54,7,0),"")</f>
        <v/>
      </c>
      <c r="L278" s="280" t="n"/>
      <c r="M278" s="280" t="n"/>
      <c r="N278" s="333">
        <f>IFERROR(IF(L278*M278=0,"",L278*M278),"")</f>
        <v/>
      </c>
      <c r="O278" s="280" t="n"/>
      <c r="P278" s="332">
        <f>IFERROR(VLOOKUP(TEXT(O278,"0"),CONDUCTORES!$A$3:$G$54,2,0),"")</f>
        <v/>
      </c>
      <c r="Q278" s="332">
        <f>IFERROR(VLOOKUP(TEXT(O278,"0"),CONDUCTORES!$A$3:$H$54,6,0),"")</f>
        <v/>
      </c>
      <c r="R278" s="280" t="n"/>
      <c r="S278" s="280" t="n"/>
      <c r="T278" s="280" t="n"/>
      <c r="U278" s="280" t="n"/>
      <c r="V278" s="280" t="n"/>
      <c r="W278" s="280" t="n"/>
      <c r="X278" s="280" t="n"/>
      <c r="Y278" s="280" t="n"/>
      <c r="Z278" s="375">
        <f>IF(AND(G278&lt;&gt;"",R278&lt;&gt;"",V278&lt;&gt;"",W278&lt;&gt;""),"COMPLETADO","OBSERVADO")</f>
        <v/>
      </c>
    </row>
    <row r="279" ht="15" customHeight="1" s="195">
      <c r="A279" s="334" t="n"/>
      <c r="B279" s="334" t="n"/>
      <c r="C279" s="334" t="n"/>
      <c r="D279" s="334" t="n"/>
      <c r="E279" s="334" t="n"/>
      <c r="F279" s="334" t="n"/>
      <c r="G279" s="334" t="n"/>
      <c r="H279" s="334" t="n"/>
      <c r="I279" s="332">
        <f>IFERROR(VLOOKUP(TEXT(H279,"0"),IPRESS!$A$3:$B$212,2,0),"")</f>
        <v/>
      </c>
      <c r="J279" s="334" t="n"/>
      <c r="K279" s="332">
        <f>IFERROR(VLOOKUP(TEXT(O279,"0"),CONDUCTORES!$A$3:$G$54,7,0),"")</f>
        <v/>
      </c>
      <c r="L279" s="334" t="n"/>
      <c r="M279" s="334" t="n"/>
      <c r="N279" s="333">
        <f>IFERROR(IF(L279*M279=0,"",L279*M279),"")</f>
        <v/>
      </c>
      <c r="O279" s="334" t="n"/>
      <c r="P279" s="332">
        <f>IFERROR(VLOOKUP(TEXT(O279,"0"),CONDUCTORES!$A$3:$G$54,2,0),"")</f>
        <v/>
      </c>
      <c r="Q279" s="332">
        <f>IFERROR(VLOOKUP(TEXT(O279,"0"),CONDUCTORES!$A$3:$H$54,6,0),"")</f>
        <v/>
      </c>
      <c r="R279" s="334" t="n"/>
      <c r="S279" s="334" t="n"/>
      <c r="T279" s="334" t="n"/>
      <c r="U279" s="334" t="n"/>
      <c r="V279" s="334" t="n"/>
      <c r="W279" s="334" t="n"/>
      <c r="X279" s="334" t="n"/>
      <c r="Y279" s="334" t="n"/>
      <c r="Z279" s="375">
        <f>IF(AND(G279&lt;&gt;"",R279&lt;&gt;"",V279&lt;&gt;"",W279&lt;&gt;""),"COMPLETADO","OBSERVADO")</f>
        <v/>
      </c>
    </row>
    <row r="280" ht="15" customHeight="1" s="195">
      <c r="A280" s="280" t="n"/>
      <c r="B280" s="280" t="n"/>
      <c r="C280" s="280" t="n"/>
      <c r="D280" s="280" t="n"/>
      <c r="E280" s="280" t="n"/>
      <c r="F280" s="280" t="n"/>
      <c r="G280" s="280" t="n"/>
      <c r="H280" s="280" t="n"/>
      <c r="I280" s="332">
        <f>IFERROR(VLOOKUP(TEXT(H280,"0"),IPRESS!$A$3:$B$212,2,0),"")</f>
        <v/>
      </c>
      <c r="J280" s="280" t="n"/>
      <c r="K280" s="332">
        <f>IFERROR(VLOOKUP(TEXT(O280,"0"),CONDUCTORES!$A$3:$G$54,7,0),"")</f>
        <v/>
      </c>
      <c r="L280" s="280" t="n"/>
      <c r="M280" s="280" t="n"/>
      <c r="N280" s="333">
        <f>IFERROR(IF(L280*M280=0,"",L280*M280),"")</f>
        <v/>
      </c>
      <c r="O280" s="280" t="n"/>
      <c r="P280" s="332">
        <f>IFERROR(VLOOKUP(TEXT(O280,"0"),CONDUCTORES!$A$3:$G$54,2,0),"")</f>
        <v/>
      </c>
      <c r="Q280" s="332">
        <f>IFERROR(VLOOKUP(TEXT(O280,"0"),CONDUCTORES!$A$3:$H$54,6,0),"")</f>
        <v/>
      </c>
      <c r="R280" s="280" t="n"/>
      <c r="S280" s="280" t="n"/>
      <c r="T280" s="280" t="n"/>
      <c r="U280" s="280" t="n"/>
      <c r="V280" s="280" t="n"/>
      <c r="W280" s="280" t="n"/>
      <c r="X280" s="280" t="n"/>
      <c r="Y280" s="280" t="n"/>
      <c r="Z280" s="375">
        <f>IF(AND(G280&lt;&gt;"",R280&lt;&gt;"",V280&lt;&gt;"",W280&lt;&gt;""),"COMPLETADO","OBSERVADO")</f>
        <v/>
      </c>
    </row>
    <row r="281" ht="15" customHeight="1" s="195">
      <c r="A281" s="334" t="n"/>
      <c r="B281" s="334" t="n"/>
      <c r="C281" s="334" t="n"/>
      <c r="D281" s="334" t="n"/>
      <c r="E281" s="334" t="n"/>
      <c r="F281" s="334" t="n"/>
      <c r="G281" s="334" t="n"/>
      <c r="H281" s="334" t="n"/>
      <c r="I281" s="332">
        <f>IFERROR(VLOOKUP(TEXT(H281,"0"),IPRESS!$A$3:$B$212,2,0),"")</f>
        <v/>
      </c>
      <c r="J281" s="334" t="n"/>
      <c r="K281" s="332">
        <f>IFERROR(VLOOKUP(TEXT(O281,"0"),CONDUCTORES!$A$3:$G$54,7,0),"")</f>
        <v/>
      </c>
      <c r="L281" s="334" t="n"/>
      <c r="M281" s="334" t="n"/>
      <c r="N281" s="333">
        <f>IFERROR(IF(L281*M281=0,"",L281*M281),"")</f>
        <v/>
      </c>
      <c r="O281" s="334" t="n"/>
      <c r="P281" s="332">
        <f>IFERROR(VLOOKUP(TEXT(O281,"0"),CONDUCTORES!$A$3:$G$54,2,0),"")</f>
        <v/>
      </c>
      <c r="Q281" s="332">
        <f>IFERROR(VLOOKUP(TEXT(O281,"0"),CONDUCTORES!$A$3:$H$54,6,0),"")</f>
        <v/>
      </c>
      <c r="R281" s="334" t="n"/>
      <c r="S281" s="334" t="n"/>
      <c r="T281" s="334" t="n"/>
      <c r="U281" s="334" t="n"/>
      <c r="V281" s="334" t="n"/>
      <c r="W281" s="334" t="n"/>
      <c r="X281" s="334" t="n"/>
      <c r="Y281" s="334" t="n"/>
      <c r="Z281" s="375">
        <f>IF(AND(G281&lt;&gt;"",R281&lt;&gt;"",V281&lt;&gt;"",W281&lt;&gt;""),"COMPLETADO","OBSERVADO")</f>
        <v/>
      </c>
    </row>
    <row r="282" ht="15" customHeight="1" s="195">
      <c r="A282" s="280" t="n"/>
      <c r="B282" s="280" t="n"/>
      <c r="C282" s="280" t="n"/>
      <c r="D282" s="280" t="n"/>
      <c r="E282" s="280" t="n"/>
      <c r="F282" s="280" t="n"/>
      <c r="G282" s="280" t="n"/>
      <c r="H282" s="280" t="n"/>
      <c r="I282" s="332">
        <f>IFERROR(VLOOKUP(TEXT(H282,"0"),IPRESS!$A$3:$B$212,2,0),"")</f>
        <v/>
      </c>
      <c r="J282" s="280" t="n"/>
      <c r="K282" s="332">
        <f>IFERROR(VLOOKUP(TEXT(O282,"0"),CONDUCTORES!$A$3:$G$54,7,0),"")</f>
        <v/>
      </c>
      <c r="L282" s="280" t="n"/>
      <c r="M282" s="280" t="n"/>
      <c r="N282" s="333">
        <f>IFERROR(IF(L282*M282=0,"",L282*M282),"")</f>
        <v/>
      </c>
      <c r="O282" s="280" t="n"/>
      <c r="P282" s="332">
        <f>IFERROR(VLOOKUP(TEXT(O282,"0"),CONDUCTORES!$A$3:$G$54,2,0),"")</f>
        <v/>
      </c>
      <c r="Q282" s="332">
        <f>IFERROR(VLOOKUP(TEXT(O282,"0"),CONDUCTORES!$A$3:$H$54,6,0),"")</f>
        <v/>
      </c>
      <c r="R282" s="280" t="n"/>
      <c r="S282" s="280" t="n"/>
      <c r="T282" s="280" t="n"/>
      <c r="U282" s="280" t="n"/>
      <c r="V282" s="280" t="n"/>
      <c r="W282" s="280" t="n"/>
      <c r="X282" s="280" t="n"/>
      <c r="Y282" s="280" t="n"/>
      <c r="Z282" s="375">
        <f>IF(AND(G282&lt;&gt;"",R282&lt;&gt;"",V282&lt;&gt;"",W282&lt;&gt;""),"COMPLETADO","OBSERVADO")</f>
        <v/>
      </c>
    </row>
    <row r="283" ht="15" customHeight="1" s="195">
      <c r="A283" s="334" t="n"/>
      <c r="B283" s="334" t="n"/>
      <c r="C283" s="334" t="n"/>
      <c r="D283" s="334" t="n"/>
      <c r="E283" s="334" t="n"/>
      <c r="F283" s="334" t="n"/>
      <c r="G283" s="334" t="n"/>
      <c r="H283" s="334" t="n"/>
      <c r="I283" s="332">
        <f>IFERROR(VLOOKUP(TEXT(H283,"0"),IPRESS!$A$3:$B$212,2,0),"")</f>
        <v/>
      </c>
      <c r="J283" s="334" t="n"/>
      <c r="K283" s="332">
        <f>IFERROR(VLOOKUP(TEXT(O283,"0"),CONDUCTORES!$A$3:$G$54,7,0),"")</f>
        <v/>
      </c>
      <c r="L283" s="334" t="n"/>
      <c r="M283" s="334" t="n"/>
      <c r="N283" s="333">
        <f>IFERROR(IF(L283*M283=0,"",L283*M283),"")</f>
        <v/>
      </c>
      <c r="O283" s="334" t="n"/>
      <c r="P283" s="332">
        <f>IFERROR(VLOOKUP(TEXT(O283,"0"),CONDUCTORES!$A$3:$G$54,2,0),"")</f>
        <v/>
      </c>
      <c r="Q283" s="332">
        <f>IFERROR(VLOOKUP(TEXT(O283,"0"),CONDUCTORES!$A$3:$H$54,6,0),"")</f>
        <v/>
      </c>
      <c r="R283" s="334" t="n"/>
      <c r="S283" s="334" t="n"/>
      <c r="T283" s="334" t="n"/>
      <c r="U283" s="334" t="n"/>
      <c r="V283" s="334" t="n"/>
      <c r="W283" s="334" t="n"/>
      <c r="X283" s="334" t="n"/>
      <c r="Y283" s="334" t="n"/>
      <c r="Z283" s="375">
        <f>IF(AND(G283&lt;&gt;"",R283&lt;&gt;"",V283&lt;&gt;"",W283&lt;&gt;""),"COMPLETADO","OBSERVADO")</f>
        <v/>
      </c>
    </row>
    <row r="284" ht="15" customHeight="1" s="195">
      <c r="A284" s="280" t="n"/>
      <c r="B284" s="280" t="n"/>
      <c r="C284" s="280" t="n"/>
      <c r="D284" s="280" t="n"/>
      <c r="E284" s="280" t="n"/>
      <c r="F284" s="280" t="n"/>
      <c r="G284" s="280" t="n"/>
      <c r="H284" s="280" t="n"/>
      <c r="I284" s="332">
        <f>IFERROR(VLOOKUP(TEXT(H284,"0"),IPRESS!$A$3:$B$212,2,0),"")</f>
        <v/>
      </c>
      <c r="J284" s="280" t="n"/>
      <c r="K284" s="332">
        <f>IFERROR(VLOOKUP(TEXT(O284,"0"),CONDUCTORES!$A$3:$G$54,7,0),"")</f>
        <v/>
      </c>
      <c r="L284" s="280" t="n"/>
      <c r="M284" s="280" t="n"/>
      <c r="N284" s="333">
        <f>IFERROR(IF(L284*M284=0,"",L284*M284),"")</f>
        <v/>
      </c>
      <c r="O284" s="280" t="n"/>
      <c r="P284" s="332">
        <f>IFERROR(VLOOKUP(TEXT(O284,"0"),CONDUCTORES!$A$3:$G$54,2,0),"")</f>
        <v/>
      </c>
      <c r="Q284" s="332">
        <f>IFERROR(VLOOKUP(TEXT(O284,"0"),CONDUCTORES!$A$3:$H$54,6,0),"")</f>
        <v/>
      </c>
      <c r="R284" s="280" t="n"/>
      <c r="S284" s="280" t="n"/>
      <c r="T284" s="280" t="n"/>
      <c r="U284" s="280" t="n"/>
      <c r="V284" s="280" t="n"/>
      <c r="W284" s="280" t="n"/>
      <c r="X284" s="280" t="n"/>
      <c r="Y284" s="280" t="n"/>
      <c r="Z284" s="375">
        <f>IF(AND(G284&lt;&gt;"",R284&lt;&gt;"",V284&lt;&gt;"",W284&lt;&gt;""),"COMPLETADO","OBSERVADO")</f>
        <v/>
      </c>
    </row>
    <row r="285" ht="15" customHeight="1" s="195">
      <c r="A285" s="334" t="n"/>
      <c r="B285" s="334" t="n"/>
      <c r="C285" s="334" t="n"/>
      <c r="D285" s="334" t="n"/>
      <c r="E285" s="334" t="n"/>
      <c r="F285" s="334" t="n"/>
      <c r="G285" s="334" t="n"/>
      <c r="H285" s="334" t="n"/>
      <c r="I285" s="332">
        <f>IFERROR(VLOOKUP(TEXT(H285,"0"),IPRESS!$A$3:$B$212,2,0),"")</f>
        <v/>
      </c>
      <c r="J285" s="334" t="n"/>
      <c r="K285" s="332">
        <f>IFERROR(VLOOKUP(TEXT(O285,"0"),CONDUCTORES!$A$3:$G$54,7,0),"")</f>
        <v/>
      </c>
      <c r="L285" s="334" t="n"/>
      <c r="M285" s="334" t="n"/>
      <c r="N285" s="333">
        <f>IFERROR(IF(L285*M285=0,"",L285*M285),"")</f>
        <v/>
      </c>
      <c r="O285" s="334" t="n"/>
      <c r="P285" s="332">
        <f>IFERROR(VLOOKUP(TEXT(O285,"0"),CONDUCTORES!$A$3:$G$54,2,0),"")</f>
        <v/>
      </c>
      <c r="Q285" s="332">
        <f>IFERROR(VLOOKUP(TEXT(O285,"0"),CONDUCTORES!$A$3:$H$54,6,0),"")</f>
        <v/>
      </c>
      <c r="R285" s="334" t="n"/>
      <c r="S285" s="334" t="n"/>
      <c r="T285" s="334" t="n"/>
      <c r="U285" s="334" t="n"/>
      <c r="V285" s="334" t="n"/>
      <c r="W285" s="334" t="n"/>
      <c r="X285" s="334" t="n"/>
      <c r="Y285" s="334" t="n"/>
      <c r="Z285" s="375">
        <f>IF(AND(G285&lt;&gt;"",R285&lt;&gt;"",V285&lt;&gt;"",W285&lt;&gt;""),"COMPLETADO","OBSERVADO")</f>
        <v/>
      </c>
    </row>
    <row r="286" ht="15" customHeight="1" s="195">
      <c r="A286" s="280" t="n"/>
      <c r="B286" s="280" t="n"/>
      <c r="C286" s="280" t="n"/>
      <c r="D286" s="280" t="n"/>
      <c r="E286" s="280" t="n"/>
      <c r="F286" s="280" t="n"/>
      <c r="G286" s="280" t="n"/>
      <c r="H286" s="280" t="n"/>
      <c r="I286" s="332">
        <f>IFERROR(VLOOKUP(TEXT(H286,"0"),IPRESS!$A$3:$B$212,2,0),"")</f>
        <v/>
      </c>
      <c r="J286" s="280" t="n"/>
      <c r="K286" s="332">
        <f>IFERROR(VLOOKUP(TEXT(O286,"0"),CONDUCTORES!$A$3:$G$54,7,0),"")</f>
        <v/>
      </c>
      <c r="L286" s="280" t="n"/>
      <c r="M286" s="280" t="n"/>
      <c r="N286" s="333">
        <f>IFERROR(IF(L286*M286=0,"",L286*M286),"")</f>
        <v/>
      </c>
      <c r="O286" s="280" t="n"/>
      <c r="P286" s="332">
        <f>IFERROR(VLOOKUP(TEXT(O286,"0"),CONDUCTORES!$A$3:$G$54,2,0),"")</f>
        <v/>
      </c>
      <c r="Q286" s="332">
        <f>IFERROR(VLOOKUP(TEXT(O286,"0"),CONDUCTORES!$A$3:$H$54,6,0),"")</f>
        <v/>
      </c>
      <c r="R286" s="280" t="n"/>
      <c r="S286" s="280" t="n"/>
      <c r="T286" s="280" t="n"/>
      <c r="U286" s="280" t="n"/>
      <c r="V286" s="280" t="n"/>
      <c r="W286" s="280" t="n"/>
      <c r="X286" s="280" t="n"/>
      <c r="Y286" s="280" t="n"/>
      <c r="Z286" s="375">
        <f>IF(AND(G286&lt;&gt;"",R286&lt;&gt;"",V286&lt;&gt;"",W286&lt;&gt;""),"COMPLETADO","OBSERVADO")</f>
        <v/>
      </c>
    </row>
    <row r="287" ht="15" customHeight="1" s="195">
      <c r="A287" s="334" t="n"/>
      <c r="B287" s="334" t="n"/>
      <c r="C287" s="334" t="n"/>
      <c r="D287" s="334" t="n"/>
      <c r="E287" s="334" t="n"/>
      <c r="F287" s="334" t="n"/>
      <c r="G287" s="334" t="n"/>
      <c r="H287" s="334" t="n"/>
      <c r="I287" s="332">
        <f>IFERROR(VLOOKUP(TEXT(H287,"0"),IPRESS!$A$3:$B$212,2,0),"")</f>
        <v/>
      </c>
      <c r="J287" s="334" t="n"/>
      <c r="K287" s="332">
        <f>IFERROR(VLOOKUP(TEXT(O287,"0"),CONDUCTORES!$A$3:$G$54,7,0),"")</f>
        <v/>
      </c>
      <c r="L287" s="334" t="n"/>
      <c r="M287" s="334" t="n"/>
      <c r="N287" s="333">
        <f>IFERROR(IF(L287*M287=0,"",L287*M287),"")</f>
        <v/>
      </c>
      <c r="O287" s="334" t="n"/>
      <c r="P287" s="332">
        <f>IFERROR(VLOOKUP(TEXT(O287,"0"),CONDUCTORES!$A$3:$G$54,2,0),"")</f>
        <v/>
      </c>
      <c r="Q287" s="332">
        <f>IFERROR(VLOOKUP(TEXT(O287,"0"),CONDUCTORES!$A$3:$H$54,6,0),"")</f>
        <v/>
      </c>
      <c r="R287" s="334" t="n"/>
      <c r="S287" s="334" t="n"/>
      <c r="T287" s="334" t="n"/>
      <c r="U287" s="334" t="n"/>
      <c r="V287" s="334" t="n"/>
      <c r="W287" s="334" t="n"/>
      <c r="X287" s="334" t="n"/>
      <c r="Y287" s="334" t="n"/>
      <c r="Z287" s="375">
        <f>IF(AND(G287&lt;&gt;"",R287&lt;&gt;"",V287&lt;&gt;"",W287&lt;&gt;""),"COMPLETADO","OBSERVADO")</f>
        <v/>
      </c>
    </row>
    <row r="288" ht="15" customHeight="1" s="195">
      <c r="A288" s="280" t="n"/>
      <c r="B288" s="280" t="n"/>
      <c r="C288" s="280" t="n"/>
      <c r="D288" s="280" t="n"/>
      <c r="E288" s="280" t="n"/>
      <c r="F288" s="280" t="n"/>
      <c r="G288" s="280" t="n"/>
      <c r="H288" s="280" t="n"/>
      <c r="I288" s="332">
        <f>IFERROR(VLOOKUP(TEXT(H288,"0"),IPRESS!$A$3:$B$212,2,0),"")</f>
        <v/>
      </c>
      <c r="J288" s="280" t="n"/>
      <c r="K288" s="332">
        <f>IFERROR(VLOOKUP(TEXT(O288,"0"),CONDUCTORES!$A$3:$G$54,7,0),"")</f>
        <v/>
      </c>
      <c r="L288" s="280" t="n"/>
      <c r="M288" s="280" t="n"/>
      <c r="N288" s="333">
        <f>IFERROR(IF(L288*M288=0,"",L288*M288),"")</f>
        <v/>
      </c>
      <c r="O288" s="280" t="n"/>
      <c r="P288" s="332">
        <f>IFERROR(VLOOKUP(TEXT(O288,"0"),CONDUCTORES!$A$3:$G$54,2,0),"")</f>
        <v/>
      </c>
      <c r="Q288" s="332">
        <f>IFERROR(VLOOKUP(TEXT(O288,"0"),CONDUCTORES!$A$3:$H$54,6,0),"")</f>
        <v/>
      </c>
      <c r="R288" s="280" t="n"/>
      <c r="S288" s="280" t="n"/>
      <c r="T288" s="280" t="n"/>
      <c r="U288" s="280" t="n"/>
      <c r="V288" s="280" t="n"/>
      <c r="W288" s="280" t="n"/>
      <c r="X288" s="280" t="n"/>
      <c r="Y288" s="280" t="n"/>
      <c r="Z288" s="375">
        <f>IF(AND(G288&lt;&gt;"",R288&lt;&gt;"",V288&lt;&gt;"",W288&lt;&gt;""),"COMPLETADO","OBSERVADO")</f>
        <v/>
      </c>
    </row>
    <row r="289" ht="15" customHeight="1" s="195">
      <c r="A289" s="334" t="n"/>
      <c r="B289" s="334" t="n"/>
      <c r="C289" s="334" t="n"/>
      <c r="D289" s="334" t="n"/>
      <c r="E289" s="334" t="n"/>
      <c r="F289" s="334" t="n"/>
      <c r="G289" s="334" t="n"/>
      <c r="H289" s="334" t="n"/>
      <c r="I289" s="332">
        <f>IFERROR(VLOOKUP(TEXT(H289,"0"),IPRESS!$A$3:$B$212,2,0),"")</f>
        <v/>
      </c>
      <c r="J289" s="334" t="n"/>
      <c r="K289" s="332">
        <f>IFERROR(VLOOKUP(TEXT(O289,"0"),CONDUCTORES!$A$3:$G$54,7,0),"")</f>
        <v/>
      </c>
      <c r="L289" s="334" t="n"/>
      <c r="M289" s="334" t="n"/>
      <c r="N289" s="333">
        <f>IFERROR(IF(L289*M289=0,"",L289*M289),"")</f>
        <v/>
      </c>
      <c r="O289" s="334" t="n"/>
      <c r="P289" s="332">
        <f>IFERROR(VLOOKUP(TEXT(O289,"0"),CONDUCTORES!$A$3:$G$54,2,0),"")</f>
        <v/>
      </c>
      <c r="Q289" s="332">
        <f>IFERROR(VLOOKUP(TEXT(O289,"0"),CONDUCTORES!$A$3:$H$54,6,0),"")</f>
        <v/>
      </c>
      <c r="R289" s="334" t="n"/>
      <c r="S289" s="334" t="n"/>
      <c r="T289" s="334" t="n"/>
      <c r="U289" s="334" t="n"/>
      <c r="V289" s="334" t="n"/>
      <c r="W289" s="334" t="n"/>
      <c r="X289" s="334" t="n"/>
      <c r="Y289" s="334" t="n"/>
      <c r="Z289" s="375">
        <f>IF(AND(G289&lt;&gt;"",R289&lt;&gt;"",V289&lt;&gt;"",W289&lt;&gt;""),"COMPLETADO","OBSERVADO")</f>
        <v/>
      </c>
    </row>
    <row r="290" ht="15" customHeight="1" s="195">
      <c r="A290" s="280" t="n"/>
      <c r="B290" s="280" t="n"/>
      <c r="C290" s="280" t="n"/>
      <c r="D290" s="280" t="n"/>
      <c r="E290" s="280" t="n"/>
      <c r="F290" s="280" t="n"/>
      <c r="G290" s="280" t="n"/>
      <c r="H290" s="280" t="n"/>
      <c r="I290" s="332">
        <f>IFERROR(VLOOKUP(TEXT(H290,"0"),IPRESS!$A$3:$B$212,2,0),"")</f>
        <v/>
      </c>
      <c r="J290" s="280" t="n"/>
      <c r="K290" s="332">
        <f>IFERROR(VLOOKUP(TEXT(O290,"0"),CONDUCTORES!$A$3:$G$54,7,0),"")</f>
        <v/>
      </c>
      <c r="L290" s="280" t="n"/>
      <c r="M290" s="280" t="n"/>
      <c r="N290" s="333">
        <f>IFERROR(IF(L290*M290=0,"",L290*M290),"")</f>
        <v/>
      </c>
      <c r="O290" s="280" t="n"/>
      <c r="P290" s="332">
        <f>IFERROR(VLOOKUP(TEXT(O290,"0"),CONDUCTORES!$A$3:$G$54,2,0),"")</f>
        <v/>
      </c>
      <c r="Q290" s="332">
        <f>IFERROR(VLOOKUP(TEXT(O290,"0"),CONDUCTORES!$A$3:$H$54,6,0),"")</f>
        <v/>
      </c>
      <c r="R290" s="280" t="n"/>
      <c r="S290" s="280" t="n"/>
      <c r="T290" s="280" t="n"/>
      <c r="U290" s="280" t="n"/>
      <c r="V290" s="280" t="n"/>
      <c r="W290" s="280" t="n"/>
      <c r="X290" s="280" t="n"/>
      <c r="Y290" s="280" t="n"/>
      <c r="Z290" s="375">
        <f>IF(AND(G290&lt;&gt;"",R290&lt;&gt;"",V290&lt;&gt;"",W290&lt;&gt;""),"COMPLETADO","OBSERVADO")</f>
        <v/>
      </c>
    </row>
    <row r="291" ht="15" customHeight="1" s="195">
      <c r="A291" s="334" t="n"/>
      <c r="B291" s="334" t="n"/>
      <c r="C291" s="334" t="n"/>
      <c r="D291" s="334" t="n"/>
      <c r="E291" s="334" t="n"/>
      <c r="F291" s="334" t="n"/>
      <c r="G291" s="334" t="n"/>
      <c r="H291" s="334" t="n"/>
      <c r="I291" s="332">
        <f>IFERROR(VLOOKUP(TEXT(H291,"0"),IPRESS!$A$3:$B$212,2,0),"")</f>
        <v/>
      </c>
      <c r="J291" s="334" t="n"/>
      <c r="K291" s="332">
        <f>IFERROR(VLOOKUP(TEXT(O291,"0"),CONDUCTORES!$A$3:$G$54,7,0),"")</f>
        <v/>
      </c>
      <c r="L291" s="334" t="n"/>
      <c r="M291" s="334" t="n"/>
      <c r="N291" s="333">
        <f>IFERROR(IF(L291*M291=0,"",L291*M291),"")</f>
        <v/>
      </c>
      <c r="O291" s="334" t="n"/>
      <c r="P291" s="332">
        <f>IFERROR(VLOOKUP(TEXT(O291,"0"),CONDUCTORES!$A$3:$G$54,2,0),"")</f>
        <v/>
      </c>
      <c r="Q291" s="332">
        <f>IFERROR(VLOOKUP(TEXT(O291,"0"),CONDUCTORES!$A$3:$H$54,6,0),"")</f>
        <v/>
      </c>
      <c r="R291" s="334" t="n"/>
      <c r="S291" s="334" t="n"/>
      <c r="T291" s="334" t="n"/>
      <c r="U291" s="334" t="n"/>
      <c r="V291" s="334" t="n"/>
      <c r="W291" s="334" t="n"/>
      <c r="X291" s="334" t="n"/>
      <c r="Y291" s="334" t="n"/>
      <c r="Z291" s="375">
        <f>IF(AND(G291&lt;&gt;"",R291&lt;&gt;"",V291&lt;&gt;"",W291&lt;&gt;""),"COMPLETADO","OBSERVADO")</f>
        <v/>
      </c>
    </row>
    <row r="292" ht="15" customHeight="1" s="195">
      <c r="A292" s="280" t="n"/>
      <c r="B292" s="280" t="n"/>
      <c r="C292" s="280" t="n"/>
      <c r="D292" s="280" t="n"/>
      <c r="E292" s="280" t="n"/>
      <c r="F292" s="280" t="n"/>
      <c r="G292" s="280" t="n"/>
      <c r="H292" s="280" t="n"/>
      <c r="I292" s="332">
        <f>IFERROR(VLOOKUP(TEXT(H292,"0"),IPRESS!$A$3:$B$212,2,0),"")</f>
        <v/>
      </c>
      <c r="J292" s="280" t="n"/>
      <c r="K292" s="332">
        <f>IFERROR(VLOOKUP(TEXT(O292,"0"),CONDUCTORES!$A$3:$G$54,7,0),"")</f>
        <v/>
      </c>
      <c r="L292" s="280" t="n"/>
      <c r="M292" s="280" t="n"/>
      <c r="N292" s="333">
        <f>IFERROR(IF(L292*M292=0,"",L292*M292),"")</f>
        <v/>
      </c>
      <c r="O292" s="280" t="n"/>
      <c r="P292" s="332">
        <f>IFERROR(VLOOKUP(TEXT(O292,"0"),CONDUCTORES!$A$3:$G$54,2,0),"")</f>
        <v/>
      </c>
      <c r="Q292" s="332">
        <f>IFERROR(VLOOKUP(TEXT(O292,"0"),CONDUCTORES!$A$3:$H$54,6,0),"")</f>
        <v/>
      </c>
      <c r="R292" s="280" t="n"/>
      <c r="S292" s="280" t="n"/>
      <c r="T292" s="280" t="n"/>
      <c r="U292" s="280" t="n"/>
      <c r="V292" s="280" t="n"/>
      <c r="W292" s="280" t="n"/>
      <c r="X292" s="280" t="n"/>
      <c r="Y292" s="280" t="n"/>
      <c r="Z292" s="375">
        <f>IF(AND(G292&lt;&gt;"",R292&lt;&gt;"",V292&lt;&gt;"",W292&lt;&gt;""),"COMPLETADO","OBSERVADO")</f>
        <v/>
      </c>
    </row>
    <row r="293" ht="15" customHeight="1" s="195">
      <c r="A293" s="334" t="n"/>
      <c r="B293" s="334" t="n"/>
      <c r="C293" s="334" t="n"/>
      <c r="D293" s="334" t="n"/>
      <c r="E293" s="334" t="n"/>
      <c r="F293" s="334" t="n"/>
      <c r="G293" s="334" t="n"/>
      <c r="H293" s="334" t="n"/>
      <c r="I293" s="332">
        <f>IFERROR(VLOOKUP(TEXT(H293,"0"),IPRESS!$A$3:$B$212,2,0),"")</f>
        <v/>
      </c>
      <c r="J293" s="334" t="n"/>
      <c r="K293" s="332">
        <f>IFERROR(VLOOKUP(TEXT(O293,"0"),CONDUCTORES!$A$3:$G$54,7,0),"")</f>
        <v/>
      </c>
      <c r="L293" s="334" t="n"/>
      <c r="M293" s="334" t="n"/>
      <c r="N293" s="333">
        <f>IFERROR(IF(L293*M293=0,"",L293*M293),"")</f>
        <v/>
      </c>
      <c r="O293" s="334" t="n"/>
      <c r="P293" s="332">
        <f>IFERROR(VLOOKUP(TEXT(O293,"0"),CONDUCTORES!$A$3:$G$54,2,0),"")</f>
        <v/>
      </c>
      <c r="Q293" s="332">
        <f>IFERROR(VLOOKUP(TEXT(O293,"0"),CONDUCTORES!$A$3:$H$54,6,0),"")</f>
        <v/>
      </c>
      <c r="R293" s="334" t="n"/>
      <c r="S293" s="334" t="n"/>
      <c r="T293" s="334" t="n"/>
      <c r="U293" s="334" t="n"/>
      <c r="V293" s="334" t="n"/>
      <c r="W293" s="334" t="n"/>
      <c r="X293" s="334" t="n"/>
      <c r="Y293" s="334" t="n"/>
      <c r="Z293" s="375">
        <f>IF(AND(G293&lt;&gt;"",R293&lt;&gt;"",V293&lt;&gt;"",W293&lt;&gt;""),"COMPLETADO","OBSERVADO")</f>
        <v/>
      </c>
    </row>
    <row r="294" ht="15" customHeight="1" s="195">
      <c r="A294" s="280" t="n"/>
      <c r="B294" s="280" t="n"/>
      <c r="C294" s="280" t="n"/>
      <c r="D294" s="280" t="n"/>
      <c r="E294" s="280" t="n"/>
      <c r="F294" s="280" t="n"/>
      <c r="G294" s="280" t="n"/>
      <c r="H294" s="280" t="n"/>
      <c r="I294" s="332">
        <f>IFERROR(VLOOKUP(TEXT(H294,"0"),IPRESS!$A$3:$B$212,2,0),"")</f>
        <v/>
      </c>
      <c r="J294" s="280" t="n"/>
      <c r="K294" s="332">
        <f>IFERROR(VLOOKUP(TEXT(O294,"0"),CONDUCTORES!$A$3:$G$54,7,0),"")</f>
        <v/>
      </c>
      <c r="L294" s="280" t="n"/>
      <c r="M294" s="280" t="n"/>
      <c r="N294" s="333">
        <f>IFERROR(IF(L294*M294=0,"",L294*M294),"")</f>
        <v/>
      </c>
      <c r="O294" s="280" t="n"/>
      <c r="P294" s="332">
        <f>IFERROR(VLOOKUP(TEXT(O294,"0"),CONDUCTORES!$A$3:$G$54,2,0),"")</f>
        <v/>
      </c>
      <c r="Q294" s="332">
        <f>IFERROR(VLOOKUP(TEXT(O294,"0"),CONDUCTORES!$A$3:$H$54,6,0),"")</f>
        <v/>
      </c>
      <c r="R294" s="280" t="n"/>
      <c r="S294" s="280" t="n"/>
      <c r="T294" s="280" t="n"/>
      <c r="U294" s="280" t="n"/>
      <c r="V294" s="280" t="n"/>
      <c r="W294" s="280" t="n"/>
      <c r="X294" s="280" t="n"/>
      <c r="Y294" s="280" t="n"/>
      <c r="Z294" s="375">
        <f>IF(AND(G294&lt;&gt;"",R294&lt;&gt;"",V294&lt;&gt;"",W294&lt;&gt;""),"COMPLETADO","OBSERVADO")</f>
        <v/>
      </c>
    </row>
    <row r="295" ht="15" customHeight="1" s="195">
      <c r="A295" s="334" t="n"/>
      <c r="B295" s="334" t="n"/>
      <c r="C295" s="334" t="n"/>
      <c r="D295" s="334" t="n"/>
      <c r="E295" s="334" t="n"/>
      <c r="F295" s="334" t="n"/>
      <c r="G295" s="334" t="n"/>
      <c r="H295" s="334" t="n"/>
      <c r="I295" s="332">
        <f>IFERROR(VLOOKUP(TEXT(H295,"0"),IPRESS!$A$3:$B$212,2,0),"")</f>
        <v/>
      </c>
      <c r="J295" s="334" t="n"/>
      <c r="K295" s="332">
        <f>IFERROR(VLOOKUP(TEXT(O295,"0"),CONDUCTORES!$A$3:$G$54,7,0),"")</f>
        <v/>
      </c>
      <c r="L295" s="334" t="n"/>
      <c r="M295" s="334" t="n"/>
      <c r="N295" s="333">
        <f>IFERROR(IF(L295*M295=0,"",L295*M295),"")</f>
        <v/>
      </c>
      <c r="O295" s="334" t="n"/>
      <c r="P295" s="332">
        <f>IFERROR(VLOOKUP(TEXT(O295,"0"),CONDUCTORES!$A$3:$G$54,2,0),"")</f>
        <v/>
      </c>
      <c r="Q295" s="332">
        <f>IFERROR(VLOOKUP(TEXT(O295,"0"),CONDUCTORES!$A$3:$H$54,6,0),"")</f>
        <v/>
      </c>
      <c r="R295" s="334" t="n"/>
      <c r="S295" s="334" t="n"/>
      <c r="T295" s="334" t="n"/>
      <c r="U295" s="334" t="n"/>
      <c r="V295" s="334" t="n"/>
      <c r="W295" s="334" t="n"/>
      <c r="X295" s="334" t="n"/>
      <c r="Y295" s="334" t="n"/>
      <c r="Z295" s="375">
        <f>IF(AND(G295&lt;&gt;"",R295&lt;&gt;"",V295&lt;&gt;"",W295&lt;&gt;""),"COMPLETADO","OBSERVADO")</f>
        <v/>
      </c>
    </row>
    <row r="296" ht="15" customHeight="1" s="195">
      <c r="A296" s="280" t="n"/>
      <c r="B296" s="280" t="n"/>
      <c r="C296" s="280" t="n"/>
      <c r="D296" s="280" t="n"/>
      <c r="E296" s="280" t="n"/>
      <c r="F296" s="280" t="n"/>
      <c r="G296" s="280" t="n"/>
      <c r="H296" s="280" t="n"/>
      <c r="I296" s="332">
        <f>IFERROR(VLOOKUP(TEXT(H296,"0"),IPRESS!$A$3:$B$212,2,0),"")</f>
        <v/>
      </c>
      <c r="J296" s="280" t="n"/>
      <c r="K296" s="332">
        <f>IFERROR(VLOOKUP(TEXT(O296,"0"),CONDUCTORES!$A$3:$G$54,7,0),"")</f>
        <v/>
      </c>
      <c r="L296" s="280" t="n"/>
      <c r="M296" s="280" t="n"/>
      <c r="N296" s="333">
        <f>IFERROR(IF(L296*M296=0,"",L296*M296),"")</f>
        <v/>
      </c>
      <c r="O296" s="280" t="n"/>
      <c r="P296" s="332">
        <f>IFERROR(VLOOKUP(TEXT(O296,"0"),CONDUCTORES!$A$3:$G$54,2,0),"")</f>
        <v/>
      </c>
      <c r="Q296" s="332">
        <f>IFERROR(VLOOKUP(TEXT(O296,"0"),CONDUCTORES!$A$3:$H$54,6,0),"")</f>
        <v/>
      </c>
      <c r="R296" s="280" t="n"/>
      <c r="S296" s="280" t="n"/>
      <c r="T296" s="280" t="n"/>
      <c r="U296" s="280" t="n"/>
      <c r="V296" s="280" t="n"/>
      <c r="W296" s="280" t="n"/>
      <c r="X296" s="280" t="n"/>
      <c r="Y296" s="280" t="n"/>
      <c r="Z296" s="375">
        <f>IF(AND(G296&lt;&gt;"",R296&lt;&gt;"",V296&lt;&gt;"",W296&lt;&gt;""),"COMPLETADO","OBSERVADO")</f>
        <v/>
      </c>
    </row>
    <row r="297" ht="15" customHeight="1" s="195">
      <c r="A297" s="334" t="n"/>
      <c r="B297" s="334" t="n"/>
      <c r="C297" s="334" t="n"/>
      <c r="D297" s="334" t="n"/>
      <c r="E297" s="334" t="n"/>
      <c r="F297" s="334" t="n"/>
      <c r="G297" s="334" t="n"/>
      <c r="H297" s="334" t="n"/>
      <c r="I297" s="332">
        <f>IFERROR(VLOOKUP(TEXT(H297,"0"),IPRESS!$A$3:$B$212,2,0),"")</f>
        <v/>
      </c>
      <c r="J297" s="334" t="n"/>
      <c r="K297" s="332">
        <f>IFERROR(VLOOKUP(TEXT(O297,"0"),CONDUCTORES!$A$3:$G$54,7,0),"")</f>
        <v/>
      </c>
      <c r="L297" s="334" t="n"/>
      <c r="M297" s="334" t="n"/>
      <c r="N297" s="333">
        <f>IFERROR(IF(L297*M297=0,"",L297*M297),"")</f>
        <v/>
      </c>
      <c r="O297" s="334" t="n"/>
      <c r="P297" s="332">
        <f>IFERROR(VLOOKUP(TEXT(O297,"0"),CONDUCTORES!$A$3:$G$54,2,0),"")</f>
        <v/>
      </c>
      <c r="Q297" s="332">
        <f>IFERROR(VLOOKUP(TEXT(O297,"0"),CONDUCTORES!$A$3:$H$54,6,0),"")</f>
        <v/>
      </c>
      <c r="R297" s="334" t="n"/>
      <c r="S297" s="334" t="n"/>
      <c r="T297" s="334" t="n"/>
      <c r="U297" s="334" t="n"/>
      <c r="V297" s="334" t="n"/>
      <c r="W297" s="334" t="n"/>
      <c r="X297" s="334" t="n"/>
      <c r="Y297" s="334" t="n"/>
      <c r="Z297" s="375">
        <f>IF(AND(G297&lt;&gt;"",R297&lt;&gt;"",V297&lt;&gt;"",W297&lt;&gt;""),"COMPLETADO","OBSERVADO")</f>
        <v/>
      </c>
    </row>
    <row r="298" ht="15" customHeight="1" s="195">
      <c r="A298" s="280" t="n"/>
      <c r="B298" s="280" t="n"/>
      <c r="C298" s="280" t="n"/>
      <c r="D298" s="280" t="n"/>
      <c r="E298" s="280" t="n"/>
      <c r="F298" s="280" t="n"/>
      <c r="G298" s="280" t="n"/>
      <c r="H298" s="280" t="n"/>
      <c r="I298" s="332">
        <f>IFERROR(VLOOKUP(TEXT(H298,"0"),IPRESS!$A$3:$B$212,2,0),"")</f>
        <v/>
      </c>
      <c r="J298" s="280" t="n"/>
      <c r="K298" s="332">
        <f>IFERROR(VLOOKUP(TEXT(O298,"0"),CONDUCTORES!$A$3:$G$54,7,0),"")</f>
        <v/>
      </c>
      <c r="L298" s="280" t="n"/>
      <c r="M298" s="280" t="n"/>
      <c r="N298" s="333">
        <f>IFERROR(IF(L298*M298=0,"",L298*M298),"")</f>
        <v/>
      </c>
      <c r="O298" s="280" t="n"/>
      <c r="P298" s="332">
        <f>IFERROR(VLOOKUP(TEXT(O298,"0"),CONDUCTORES!$A$3:$G$54,2,0),"")</f>
        <v/>
      </c>
      <c r="Q298" s="332">
        <f>IFERROR(VLOOKUP(TEXT(O298,"0"),CONDUCTORES!$A$3:$H$54,6,0),"")</f>
        <v/>
      </c>
      <c r="R298" s="280" t="n"/>
      <c r="S298" s="280" t="n"/>
      <c r="T298" s="280" t="n"/>
      <c r="U298" s="280" t="n"/>
      <c r="V298" s="280" t="n"/>
      <c r="W298" s="280" t="n"/>
      <c r="X298" s="280" t="n"/>
      <c r="Y298" s="280" t="n"/>
      <c r="Z298" s="375">
        <f>IF(AND(G298&lt;&gt;"",R298&lt;&gt;"",V298&lt;&gt;"",W298&lt;&gt;""),"COMPLETADO","OBSERVADO")</f>
        <v/>
      </c>
    </row>
    <row r="299" ht="15" customHeight="1" s="195">
      <c r="A299" s="334" t="n"/>
      <c r="B299" s="334" t="n"/>
      <c r="C299" s="334" t="n"/>
      <c r="D299" s="334" t="n"/>
      <c r="E299" s="334" t="n"/>
      <c r="F299" s="334" t="n"/>
      <c r="G299" s="334" t="n"/>
      <c r="H299" s="334" t="n"/>
      <c r="I299" s="332">
        <f>IFERROR(VLOOKUP(TEXT(H299,"0"),IPRESS!$A$3:$B$212,2,0),"")</f>
        <v/>
      </c>
      <c r="J299" s="334" t="n"/>
      <c r="K299" s="332">
        <f>IFERROR(VLOOKUP(TEXT(O299,"0"),CONDUCTORES!$A$3:$G$54,7,0),"")</f>
        <v/>
      </c>
      <c r="L299" s="334" t="n"/>
      <c r="M299" s="334" t="n"/>
      <c r="N299" s="333">
        <f>IFERROR(IF(L299*M299=0,"",L299*M299),"")</f>
        <v/>
      </c>
      <c r="O299" s="334" t="n"/>
      <c r="P299" s="332">
        <f>IFERROR(VLOOKUP(TEXT(O299,"0"),CONDUCTORES!$A$3:$G$54,2,0),"")</f>
        <v/>
      </c>
      <c r="Q299" s="332">
        <f>IFERROR(VLOOKUP(TEXT(O299,"0"),CONDUCTORES!$A$3:$H$54,6,0),"")</f>
        <v/>
      </c>
      <c r="R299" s="334" t="n"/>
      <c r="S299" s="334" t="n"/>
      <c r="T299" s="334" t="n"/>
      <c r="U299" s="334" t="n"/>
      <c r="V299" s="334" t="n"/>
      <c r="W299" s="334" t="n"/>
      <c r="X299" s="334" t="n"/>
      <c r="Y299" s="334" t="n"/>
      <c r="Z299" s="375">
        <f>IF(AND(G299&lt;&gt;"",R299&lt;&gt;"",V299&lt;&gt;"",W299&lt;&gt;""),"COMPLETADO","OBSERVADO")</f>
        <v/>
      </c>
    </row>
    <row r="300" ht="15" customHeight="1" s="195">
      <c r="A300" s="280" t="n"/>
      <c r="B300" s="280" t="n"/>
      <c r="C300" s="280" t="n"/>
      <c r="D300" s="280" t="n"/>
      <c r="E300" s="280" t="n"/>
      <c r="F300" s="280" t="n"/>
      <c r="G300" s="280" t="n"/>
      <c r="H300" s="280" t="n"/>
      <c r="I300" s="332">
        <f>IFERROR(VLOOKUP(TEXT(H300,"0"),IPRESS!$A$3:$B$212,2,0),"")</f>
        <v/>
      </c>
      <c r="J300" s="280" t="n"/>
      <c r="K300" s="332">
        <f>IFERROR(VLOOKUP(TEXT(O300,"0"),CONDUCTORES!$A$3:$G$54,7,0),"")</f>
        <v/>
      </c>
      <c r="L300" s="280" t="n"/>
      <c r="M300" s="280" t="n"/>
      <c r="N300" s="333">
        <f>IFERROR(IF(L300*M300=0,"",L300*M300),"")</f>
        <v/>
      </c>
      <c r="O300" s="280" t="n"/>
      <c r="P300" s="332">
        <f>IFERROR(VLOOKUP(TEXT(O300,"0"),CONDUCTORES!$A$3:$G$54,2,0),"")</f>
        <v/>
      </c>
      <c r="Q300" s="332">
        <f>IFERROR(VLOOKUP(TEXT(O300,"0"),CONDUCTORES!$A$3:$H$54,6,0),"")</f>
        <v/>
      </c>
      <c r="R300" s="280" t="n"/>
      <c r="S300" s="280" t="n"/>
      <c r="T300" s="280" t="n"/>
      <c r="U300" s="280" t="n"/>
      <c r="V300" s="280" t="n"/>
      <c r="W300" s="280" t="n"/>
      <c r="X300" s="280" t="n"/>
      <c r="Y300" s="280" t="n"/>
      <c r="Z300" s="375">
        <f>IF(AND(G300&lt;&gt;"",R300&lt;&gt;"",V300&lt;&gt;"",W300&lt;&gt;""),"COMPLETADO","OBSERVADO")</f>
        <v/>
      </c>
    </row>
    <row r="301" ht="15" customHeight="1" s="195">
      <c r="A301" s="334" t="n"/>
      <c r="B301" s="334" t="n"/>
      <c r="C301" s="334" t="n"/>
      <c r="D301" s="334" t="n"/>
      <c r="E301" s="334" t="n"/>
      <c r="F301" s="334" t="n"/>
      <c r="G301" s="334" t="n"/>
      <c r="H301" s="334" t="n"/>
      <c r="I301" s="332">
        <f>IFERROR(VLOOKUP(TEXT(H301,"0"),IPRESS!$A$3:$B$212,2,0),"")</f>
        <v/>
      </c>
      <c r="J301" s="334" t="n"/>
      <c r="K301" s="332">
        <f>IFERROR(VLOOKUP(TEXT(O301,"0"),CONDUCTORES!$A$3:$G$54,7,0),"")</f>
        <v/>
      </c>
      <c r="L301" s="334" t="n"/>
      <c r="M301" s="334" t="n"/>
      <c r="N301" s="333">
        <f>IFERROR(IF(L301*M301=0,"",L301*M301),"")</f>
        <v/>
      </c>
      <c r="O301" s="334" t="n"/>
      <c r="P301" s="332">
        <f>IFERROR(VLOOKUP(TEXT(O301,"0"),CONDUCTORES!$A$3:$G$54,2,0),"")</f>
        <v/>
      </c>
      <c r="Q301" s="332">
        <f>IFERROR(VLOOKUP(TEXT(O301,"0"),CONDUCTORES!$A$3:$H$54,6,0),"")</f>
        <v/>
      </c>
      <c r="R301" s="334" t="n"/>
      <c r="S301" s="334" t="n"/>
      <c r="T301" s="334" t="n"/>
      <c r="U301" s="334" t="n"/>
      <c r="V301" s="334" t="n"/>
      <c r="W301" s="334" t="n"/>
      <c r="X301" s="334" t="n"/>
      <c r="Y301" s="334" t="n"/>
      <c r="Z301" s="375">
        <f>IF(AND(G301&lt;&gt;"",R301&lt;&gt;"",V301&lt;&gt;"",W301&lt;&gt;""),"COMPLETADO","OBSERVADO")</f>
        <v/>
      </c>
    </row>
    <row r="302" ht="15" customHeight="1" s="195">
      <c r="A302" s="280" t="n"/>
      <c r="B302" s="280" t="n"/>
      <c r="C302" s="280" t="n"/>
      <c r="D302" s="280" t="n"/>
      <c r="E302" s="280" t="n"/>
      <c r="F302" s="280" t="n"/>
      <c r="G302" s="280" t="n"/>
      <c r="H302" s="280" t="n"/>
      <c r="I302" s="332">
        <f>IFERROR(VLOOKUP(TEXT(H302,"0"),IPRESS!$A$3:$B$212,2,0),"")</f>
        <v/>
      </c>
      <c r="J302" s="280" t="n"/>
      <c r="K302" s="332">
        <f>IFERROR(VLOOKUP(TEXT(O302,"0"),CONDUCTORES!$A$3:$G$54,7,0),"")</f>
        <v/>
      </c>
      <c r="L302" s="280" t="n"/>
      <c r="M302" s="280" t="n"/>
      <c r="N302" s="333">
        <f>IFERROR(IF(L302*M302=0,"",L302*M302),"")</f>
        <v/>
      </c>
      <c r="O302" s="280" t="n"/>
      <c r="P302" s="332">
        <f>IFERROR(VLOOKUP(TEXT(O302,"0"),CONDUCTORES!$A$3:$G$54,2,0),"")</f>
        <v/>
      </c>
      <c r="Q302" s="332">
        <f>IFERROR(VLOOKUP(TEXT(O302,"0"),CONDUCTORES!$A$3:$H$54,6,0),"")</f>
        <v/>
      </c>
      <c r="R302" s="280" t="n"/>
      <c r="S302" s="280" t="n"/>
      <c r="T302" s="280" t="n"/>
      <c r="U302" s="280" t="n"/>
      <c r="V302" s="280" t="n"/>
      <c r="W302" s="280" t="n"/>
      <c r="X302" s="280" t="n"/>
      <c r="Y302" s="280" t="n"/>
      <c r="Z302" s="375">
        <f>IF(AND(G302&lt;&gt;"",R302&lt;&gt;"",V302&lt;&gt;"",W302&lt;&gt;""),"COMPLETADO","OBSERVADO")</f>
        <v/>
      </c>
    </row>
    <row r="303" ht="15" customHeight="1" s="195">
      <c r="A303" s="334" t="n"/>
      <c r="B303" s="334" t="n"/>
      <c r="C303" s="334" t="n"/>
      <c r="D303" s="334" t="n"/>
      <c r="E303" s="334" t="n"/>
      <c r="F303" s="334" t="n"/>
      <c r="G303" s="334" t="n"/>
      <c r="H303" s="334" t="n"/>
      <c r="I303" s="332">
        <f>IFERROR(VLOOKUP(TEXT(H303,"0"),IPRESS!$A$3:$B$212,2,0),"")</f>
        <v/>
      </c>
      <c r="J303" s="334" t="n"/>
      <c r="K303" s="332">
        <f>IFERROR(VLOOKUP(TEXT(O303,"0"),CONDUCTORES!$A$3:$G$54,7,0),"")</f>
        <v/>
      </c>
      <c r="L303" s="334" t="n"/>
      <c r="M303" s="334" t="n"/>
      <c r="N303" s="333">
        <f>IFERROR(IF(L303*M303=0,"",L303*M303),"")</f>
        <v/>
      </c>
      <c r="O303" s="334" t="n"/>
      <c r="P303" s="332">
        <f>IFERROR(VLOOKUP(TEXT(O303,"0"),CONDUCTORES!$A$3:$G$54,2,0),"")</f>
        <v/>
      </c>
      <c r="Q303" s="332">
        <f>IFERROR(VLOOKUP(TEXT(O303,"0"),CONDUCTORES!$A$3:$H$54,6,0),"")</f>
        <v/>
      </c>
      <c r="R303" s="334" t="n"/>
      <c r="S303" s="334" t="n"/>
      <c r="T303" s="334" t="n"/>
      <c r="U303" s="334" t="n"/>
      <c r="V303" s="334" t="n"/>
      <c r="W303" s="334" t="n"/>
      <c r="X303" s="334" t="n"/>
      <c r="Y303" s="334" t="n"/>
      <c r="Z303" s="375">
        <f>IF(AND(G303&lt;&gt;"",R303&lt;&gt;"",V303&lt;&gt;"",W303&lt;&gt;""),"COMPLETADO","OBSERVADO")</f>
        <v/>
      </c>
    </row>
    <row r="304" ht="15" customHeight="1" s="195">
      <c r="A304" s="280" t="n"/>
      <c r="B304" s="280" t="n"/>
      <c r="C304" s="280" t="n"/>
      <c r="D304" s="280" t="n"/>
      <c r="E304" s="280" t="n"/>
      <c r="F304" s="280" t="n"/>
      <c r="G304" s="280" t="n"/>
      <c r="H304" s="280" t="n"/>
      <c r="I304" s="332">
        <f>IFERROR(VLOOKUP(TEXT(H304,"0"),IPRESS!$A$3:$B$212,2,0),"")</f>
        <v/>
      </c>
      <c r="J304" s="280" t="n"/>
      <c r="K304" s="332">
        <f>IFERROR(VLOOKUP(TEXT(O304,"0"),CONDUCTORES!$A$3:$G$54,7,0),"")</f>
        <v/>
      </c>
      <c r="L304" s="280" t="n"/>
      <c r="M304" s="280" t="n"/>
      <c r="N304" s="333">
        <f>IFERROR(IF(L304*M304=0,"",L304*M304),"")</f>
        <v/>
      </c>
      <c r="O304" s="280" t="n"/>
      <c r="P304" s="332">
        <f>IFERROR(VLOOKUP(TEXT(O304,"0"),CONDUCTORES!$A$3:$G$54,2,0),"")</f>
        <v/>
      </c>
      <c r="Q304" s="332">
        <f>IFERROR(VLOOKUP(TEXT(O304,"0"),CONDUCTORES!$A$3:$H$54,6,0),"")</f>
        <v/>
      </c>
      <c r="R304" s="280" t="n"/>
      <c r="S304" s="280" t="n"/>
      <c r="T304" s="280" t="n"/>
      <c r="U304" s="280" t="n"/>
      <c r="V304" s="280" t="n"/>
      <c r="W304" s="280" t="n"/>
      <c r="X304" s="280" t="n"/>
      <c r="Y304" s="280" t="n"/>
      <c r="Z304" s="375">
        <f>IF(AND(G304&lt;&gt;"",R304&lt;&gt;"",V304&lt;&gt;"",W304&lt;&gt;""),"COMPLETADO","OBSERVADO")</f>
        <v/>
      </c>
    </row>
    <row r="305" ht="15" customHeight="1" s="195">
      <c r="A305" s="334" t="n"/>
      <c r="B305" s="334" t="n"/>
      <c r="C305" s="334" t="n"/>
      <c r="D305" s="334" t="n"/>
      <c r="E305" s="334" t="n"/>
      <c r="F305" s="334" t="n"/>
      <c r="G305" s="334" t="n"/>
      <c r="H305" s="334" t="n"/>
      <c r="I305" s="332">
        <f>IFERROR(VLOOKUP(TEXT(H305,"0"),IPRESS!$A$3:$B$212,2,0),"")</f>
        <v/>
      </c>
      <c r="J305" s="334" t="n"/>
      <c r="K305" s="332">
        <f>IFERROR(VLOOKUP(TEXT(O305,"0"),CONDUCTORES!$A$3:$G$54,7,0),"")</f>
        <v/>
      </c>
      <c r="L305" s="334" t="n"/>
      <c r="M305" s="334" t="n"/>
      <c r="N305" s="333">
        <f>IFERROR(IF(L305*M305=0,"",L305*M305),"")</f>
        <v/>
      </c>
      <c r="O305" s="334" t="n"/>
      <c r="P305" s="332">
        <f>IFERROR(VLOOKUP(TEXT(O305,"0"),CONDUCTORES!$A$3:$G$54,2,0),"")</f>
        <v/>
      </c>
      <c r="Q305" s="332">
        <f>IFERROR(VLOOKUP(TEXT(O305,"0"),CONDUCTORES!$A$3:$H$54,6,0),"")</f>
        <v/>
      </c>
      <c r="R305" s="334" t="n"/>
      <c r="S305" s="334" t="n"/>
      <c r="T305" s="334" t="n"/>
      <c r="U305" s="334" t="n"/>
      <c r="V305" s="334" t="n"/>
      <c r="W305" s="334" t="n"/>
      <c r="X305" s="334" t="n"/>
      <c r="Y305" s="334" t="n"/>
      <c r="Z305" s="375">
        <f>IF(AND(G305&lt;&gt;"",R305&lt;&gt;"",V305&lt;&gt;"",W305&lt;&gt;""),"COMPLETADO","OBSERVADO")</f>
        <v/>
      </c>
    </row>
    <row r="306" ht="15" customHeight="1" s="195">
      <c r="A306" s="280" t="n"/>
      <c r="B306" s="280" t="n"/>
      <c r="C306" s="280" t="n"/>
      <c r="D306" s="280" t="n"/>
      <c r="E306" s="280" t="n"/>
      <c r="F306" s="280" t="n"/>
      <c r="G306" s="280" t="n"/>
      <c r="H306" s="280" t="n"/>
      <c r="I306" s="332">
        <f>IFERROR(VLOOKUP(TEXT(H306,"0"),IPRESS!$A$3:$B$212,2,0),"")</f>
        <v/>
      </c>
      <c r="J306" s="280" t="n"/>
      <c r="K306" s="332">
        <f>IFERROR(VLOOKUP(TEXT(O306,"0"),CONDUCTORES!$A$3:$G$54,7,0),"")</f>
        <v/>
      </c>
      <c r="L306" s="280" t="n"/>
      <c r="M306" s="280" t="n"/>
      <c r="N306" s="333">
        <f>IFERROR(IF(L306*M306=0,"",L306*M306),"")</f>
        <v/>
      </c>
      <c r="O306" s="280" t="n"/>
      <c r="P306" s="332">
        <f>IFERROR(VLOOKUP(TEXT(O306,"0"),CONDUCTORES!$A$3:$G$54,2,0),"")</f>
        <v/>
      </c>
      <c r="Q306" s="332">
        <f>IFERROR(VLOOKUP(TEXT(O306,"0"),CONDUCTORES!$A$3:$H$54,6,0),"")</f>
        <v/>
      </c>
      <c r="R306" s="280" t="n"/>
      <c r="S306" s="280" t="n"/>
      <c r="T306" s="280" t="n"/>
      <c r="U306" s="280" t="n"/>
      <c r="V306" s="280" t="n"/>
      <c r="W306" s="280" t="n"/>
      <c r="X306" s="280" t="n"/>
      <c r="Y306" s="280" t="n"/>
      <c r="Z306" s="375">
        <f>IF(AND(G306&lt;&gt;"",R306&lt;&gt;"",V306&lt;&gt;"",W306&lt;&gt;""),"COMPLETADO","OBSERVADO")</f>
        <v/>
      </c>
    </row>
    <row r="307" ht="15" customHeight="1" s="195">
      <c r="A307" s="334" t="n"/>
      <c r="B307" s="334" t="n"/>
      <c r="C307" s="334" t="n"/>
      <c r="D307" s="334" t="n"/>
      <c r="E307" s="334" t="n"/>
      <c r="F307" s="334" t="n"/>
      <c r="G307" s="334" t="n"/>
      <c r="H307" s="334" t="n"/>
      <c r="I307" s="332">
        <f>IFERROR(VLOOKUP(TEXT(H307,"0"),IPRESS!$A$3:$B$212,2,0),"")</f>
        <v/>
      </c>
      <c r="J307" s="334" t="n"/>
      <c r="K307" s="332">
        <f>IFERROR(VLOOKUP(TEXT(O307,"0"),CONDUCTORES!$A$3:$G$54,7,0),"")</f>
        <v/>
      </c>
      <c r="L307" s="334" t="n"/>
      <c r="M307" s="334" t="n"/>
      <c r="N307" s="333">
        <f>IFERROR(IF(L307*M307=0,"",L307*M307),"")</f>
        <v/>
      </c>
      <c r="O307" s="334" t="n"/>
      <c r="P307" s="332">
        <f>IFERROR(VLOOKUP(TEXT(O307,"0"),CONDUCTORES!$A$3:$G$54,2,0),"")</f>
        <v/>
      </c>
      <c r="Q307" s="332">
        <f>IFERROR(VLOOKUP(TEXT(O307,"0"),CONDUCTORES!$A$3:$H$54,6,0),"")</f>
        <v/>
      </c>
      <c r="R307" s="334" t="n"/>
      <c r="S307" s="334" t="n"/>
      <c r="T307" s="334" t="n"/>
      <c r="U307" s="334" t="n"/>
      <c r="V307" s="334" t="n"/>
      <c r="W307" s="334" t="n"/>
      <c r="X307" s="334" t="n"/>
      <c r="Y307" s="334" t="n"/>
      <c r="Z307" s="375">
        <f>IF(AND(G307&lt;&gt;"",R307&lt;&gt;"",V307&lt;&gt;"",W307&lt;&gt;""),"COMPLETADO","OBSERVADO")</f>
        <v/>
      </c>
    </row>
    <row r="308" ht="15" customHeight="1" s="195">
      <c r="A308" s="280" t="n"/>
      <c r="B308" s="280" t="n"/>
      <c r="C308" s="280" t="n"/>
      <c r="D308" s="280" t="n"/>
      <c r="E308" s="280" t="n"/>
      <c r="F308" s="280" t="n"/>
      <c r="G308" s="280" t="n"/>
      <c r="H308" s="280" t="n"/>
      <c r="I308" s="332">
        <f>IFERROR(VLOOKUP(TEXT(H308,"0"),IPRESS!$A$3:$B$212,2,0),"")</f>
        <v/>
      </c>
      <c r="J308" s="280" t="n"/>
      <c r="K308" s="332">
        <f>IFERROR(VLOOKUP(TEXT(O308,"0"),CONDUCTORES!$A$3:$G$54,7,0),"")</f>
        <v/>
      </c>
      <c r="L308" s="280" t="n"/>
      <c r="M308" s="280" t="n"/>
      <c r="N308" s="333">
        <f>IFERROR(IF(L308*M308=0,"",L308*M308),"")</f>
        <v/>
      </c>
      <c r="O308" s="280" t="n"/>
      <c r="P308" s="332">
        <f>IFERROR(VLOOKUP(TEXT(O308,"0"),CONDUCTORES!$A$3:$G$54,2,0),"")</f>
        <v/>
      </c>
      <c r="Q308" s="332">
        <f>IFERROR(VLOOKUP(TEXT(O308,"0"),CONDUCTORES!$A$3:$H$54,6,0),"")</f>
        <v/>
      </c>
      <c r="R308" s="280" t="n"/>
      <c r="S308" s="280" t="n"/>
      <c r="T308" s="280" t="n"/>
      <c r="U308" s="280" t="n"/>
      <c r="V308" s="280" t="n"/>
      <c r="W308" s="280" t="n"/>
      <c r="X308" s="280" t="n"/>
      <c r="Y308" s="280" t="n"/>
      <c r="Z308" s="375">
        <f>IF(AND(G308&lt;&gt;"",R308&lt;&gt;"",V308&lt;&gt;"",W308&lt;&gt;""),"COMPLETADO","OBSERVADO")</f>
        <v/>
      </c>
    </row>
    <row r="309" ht="15" customHeight="1" s="195">
      <c r="A309" s="334" t="n"/>
      <c r="B309" s="334" t="n"/>
      <c r="C309" s="334" t="n"/>
      <c r="D309" s="334" t="n"/>
      <c r="E309" s="334" t="n"/>
      <c r="F309" s="334" t="n"/>
      <c r="G309" s="334" t="n"/>
      <c r="H309" s="334" t="n"/>
      <c r="I309" s="332">
        <f>IFERROR(VLOOKUP(TEXT(H309,"0"),IPRESS!$A$3:$B$212,2,0),"")</f>
        <v/>
      </c>
      <c r="J309" s="334" t="n"/>
      <c r="K309" s="332">
        <f>IFERROR(VLOOKUP(TEXT(O309,"0"),CONDUCTORES!$A$3:$G$54,7,0),"")</f>
        <v/>
      </c>
      <c r="L309" s="334" t="n"/>
      <c r="M309" s="334" t="n"/>
      <c r="N309" s="333">
        <f>IFERROR(IF(L309*M309=0,"",L309*M309),"")</f>
        <v/>
      </c>
      <c r="O309" s="334" t="n"/>
      <c r="P309" s="332">
        <f>IFERROR(VLOOKUP(TEXT(O309,"0"),CONDUCTORES!$A$3:$G$54,2,0),"")</f>
        <v/>
      </c>
      <c r="Q309" s="332">
        <f>IFERROR(VLOOKUP(TEXT(O309,"0"),CONDUCTORES!$A$3:$H$54,6,0),"")</f>
        <v/>
      </c>
      <c r="R309" s="334" t="n"/>
      <c r="S309" s="334" t="n"/>
      <c r="T309" s="334" t="n"/>
      <c r="U309" s="334" t="n"/>
      <c r="V309" s="334" t="n"/>
      <c r="W309" s="334" t="n"/>
      <c r="X309" s="334" t="n"/>
      <c r="Y309" s="334" t="n"/>
      <c r="Z309" s="375">
        <f>IF(AND(G309&lt;&gt;"",R309&lt;&gt;"",V309&lt;&gt;"",W309&lt;&gt;""),"COMPLETADO","OBSERVADO")</f>
        <v/>
      </c>
    </row>
    <row r="310" ht="15" customHeight="1" s="195">
      <c r="A310" s="280" t="n"/>
      <c r="B310" s="280" t="n"/>
      <c r="C310" s="280" t="n"/>
      <c r="D310" s="280" t="n"/>
      <c r="E310" s="280" t="n"/>
      <c r="F310" s="280" t="n"/>
      <c r="G310" s="280" t="n"/>
      <c r="H310" s="280" t="n"/>
      <c r="I310" s="332">
        <f>IFERROR(VLOOKUP(TEXT(H310,"0"),IPRESS!$A$3:$B$212,2,0),"")</f>
        <v/>
      </c>
      <c r="J310" s="280" t="n"/>
      <c r="K310" s="332">
        <f>IFERROR(VLOOKUP(TEXT(O310,"0"),CONDUCTORES!$A$3:$G$54,7,0),"")</f>
        <v/>
      </c>
      <c r="L310" s="280" t="n"/>
      <c r="M310" s="280" t="n"/>
      <c r="N310" s="333">
        <f>IFERROR(IF(L310*M310=0,"",L310*M310),"")</f>
        <v/>
      </c>
      <c r="O310" s="280" t="n"/>
      <c r="P310" s="332">
        <f>IFERROR(VLOOKUP(TEXT(O310,"0"),CONDUCTORES!$A$3:$G$54,2,0),"")</f>
        <v/>
      </c>
      <c r="Q310" s="332">
        <f>IFERROR(VLOOKUP(TEXT(O310,"0"),CONDUCTORES!$A$3:$H$54,6,0),"")</f>
        <v/>
      </c>
      <c r="R310" s="280" t="n"/>
      <c r="S310" s="280" t="n"/>
      <c r="T310" s="280" t="n"/>
      <c r="U310" s="280" t="n"/>
      <c r="V310" s="280" t="n"/>
      <c r="W310" s="280" t="n"/>
      <c r="X310" s="280" t="n"/>
      <c r="Y310" s="280" t="n"/>
      <c r="Z310" s="375">
        <f>IF(AND(G310&lt;&gt;"",R310&lt;&gt;"",V310&lt;&gt;"",W310&lt;&gt;""),"COMPLETADO","OBSERVADO")</f>
        <v/>
      </c>
    </row>
    <row r="311" ht="15" customHeight="1" s="195">
      <c r="A311" s="334" t="n"/>
      <c r="B311" s="334" t="n"/>
      <c r="C311" s="334" t="n"/>
      <c r="D311" s="334" t="n"/>
      <c r="E311" s="334" t="n"/>
      <c r="F311" s="334" t="n"/>
      <c r="G311" s="334" t="n"/>
      <c r="H311" s="334" t="n"/>
      <c r="I311" s="332">
        <f>IFERROR(VLOOKUP(TEXT(H311,"0"),IPRESS!$A$3:$B$212,2,0),"")</f>
        <v/>
      </c>
      <c r="J311" s="334" t="n"/>
      <c r="K311" s="332">
        <f>IFERROR(VLOOKUP(TEXT(O311,"0"),CONDUCTORES!$A$3:$G$54,7,0),"")</f>
        <v/>
      </c>
      <c r="L311" s="334" t="n"/>
      <c r="M311" s="334" t="n"/>
      <c r="N311" s="333">
        <f>IFERROR(IF(L311*M311=0,"",L311*M311),"")</f>
        <v/>
      </c>
      <c r="O311" s="334" t="n"/>
      <c r="P311" s="332">
        <f>IFERROR(VLOOKUP(TEXT(O311,"0"),CONDUCTORES!$A$3:$G$54,2,0),"")</f>
        <v/>
      </c>
      <c r="Q311" s="332">
        <f>IFERROR(VLOOKUP(TEXT(O311,"0"),CONDUCTORES!$A$3:$H$54,6,0),"")</f>
        <v/>
      </c>
      <c r="R311" s="334" t="n"/>
      <c r="S311" s="334" t="n"/>
      <c r="T311" s="334" t="n"/>
      <c r="U311" s="334" t="n"/>
      <c r="V311" s="334" t="n"/>
      <c r="W311" s="334" t="n"/>
      <c r="X311" s="334" t="n"/>
      <c r="Y311" s="334" t="n"/>
      <c r="Z311" s="375">
        <f>IF(AND(G311&lt;&gt;"",R311&lt;&gt;"",V311&lt;&gt;"",W311&lt;&gt;""),"COMPLETADO","OBSERVADO")</f>
        <v/>
      </c>
    </row>
    <row r="312" ht="15" customHeight="1" s="195">
      <c r="A312" s="280" t="n"/>
      <c r="B312" s="280" t="n"/>
      <c r="C312" s="280" t="n"/>
      <c r="D312" s="280" t="n"/>
      <c r="E312" s="280" t="n"/>
      <c r="F312" s="280" t="n"/>
      <c r="G312" s="280" t="n"/>
      <c r="H312" s="280" t="n"/>
      <c r="I312" s="332">
        <f>IFERROR(VLOOKUP(TEXT(H312,"0"),IPRESS!$A$3:$B$212,2,0),"")</f>
        <v/>
      </c>
      <c r="J312" s="280" t="n"/>
      <c r="K312" s="332">
        <f>IFERROR(VLOOKUP(TEXT(O312,"0"),CONDUCTORES!$A$3:$G$54,7,0),"")</f>
        <v/>
      </c>
      <c r="L312" s="280" t="n"/>
      <c r="M312" s="280" t="n"/>
      <c r="N312" s="333">
        <f>IFERROR(IF(L312*M312=0,"",L312*M312),"")</f>
        <v/>
      </c>
      <c r="O312" s="280" t="n"/>
      <c r="P312" s="332">
        <f>IFERROR(VLOOKUP(TEXT(O312,"0"),CONDUCTORES!$A$3:$G$54,2,0),"")</f>
        <v/>
      </c>
      <c r="Q312" s="332">
        <f>IFERROR(VLOOKUP(TEXT(O312,"0"),CONDUCTORES!$A$3:$H$54,6,0),"")</f>
        <v/>
      </c>
      <c r="R312" s="280" t="n"/>
      <c r="S312" s="280" t="n"/>
      <c r="T312" s="280" t="n"/>
      <c r="U312" s="280" t="n"/>
      <c r="V312" s="280" t="n"/>
      <c r="W312" s="280" t="n"/>
      <c r="X312" s="280" t="n"/>
      <c r="Y312" s="280" t="n"/>
      <c r="Z312" s="375">
        <f>IF(AND(G312&lt;&gt;"",R312&lt;&gt;"",V312&lt;&gt;"",W312&lt;&gt;""),"COMPLETADO","OBSERVADO")</f>
        <v/>
      </c>
    </row>
    <row r="313" ht="15" customHeight="1" s="195">
      <c r="A313" s="334" t="n"/>
      <c r="B313" s="334" t="n"/>
      <c r="C313" s="334" t="n"/>
      <c r="D313" s="334" t="n"/>
      <c r="E313" s="334" t="n"/>
      <c r="F313" s="334" t="n"/>
      <c r="G313" s="334" t="n"/>
      <c r="H313" s="334" t="n"/>
      <c r="I313" s="332">
        <f>IFERROR(VLOOKUP(TEXT(H313,"0"),IPRESS!$A$3:$B$212,2,0),"")</f>
        <v/>
      </c>
      <c r="J313" s="334" t="n"/>
      <c r="K313" s="332">
        <f>IFERROR(VLOOKUP(TEXT(O313,"0"),CONDUCTORES!$A$3:$G$54,7,0),"")</f>
        <v/>
      </c>
      <c r="L313" s="334" t="n"/>
      <c r="M313" s="334" t="n"/>
      <c r="N313" s="333">
        <f>IFERROR(IF(L313*M313=0,"",L313*M313),"")</f>
        <v/>
      </c>
      <c r="O313" s="334" t="n"/>
      <c r="P313" s="332">
        <f>IFERROR(VLOOKUP(TEXT(O313,"0"),CONDUCTORES!$A$3:$G$54,2,0),"")</f>
        <v/>
      </c>
      <c r="Q313" s="332">
        <f>IFERROR(VLOOKUP(TEXT(O313,"0"),CONDUCTORES!$A$3:$H$54,6,0),"")</f>
        <v/>
      </c>
      <c r="R313" s="334" t="n"/>
      <c r="S313" s="334" t="n"/>
      <c r="T313" s="334" t="n"/>
      <c r="U313" s="334" t="n"/>
      <c r="V313" s="334" t="n"/>
      <c r="W313" s="334" t="n"/>
      <c r="X313" s="334" t="n"/>
      <c r="Y313" s="334" t="n"/>
      <c r="Z313" s="375">
        <f>IF(AND(G313&lt;&gt;"",R313&lt;&gt;"",V313&lt;&gt;"",W313&lt;&gt;""),"COMPLETADO","OBSERVADO")</f>
        <v/>
      </c>
    </row>
    <row r="314" ht="15" customHeight="1" s="195">
      <c r="A314" s="280" t="n"/>
      <c r="B314" s="280" t="n"/>
      <c r="C314" s="280" t="n"/>
      <c r="D314" s="280" t="n"/>
      <c r="E314" s="280" t="n"/>
      <c r="F314" s="280" t="n"/>
      <c r="G314" s="280" t="n"/>
      <c r="H314" s="280" t="n"/>
      <c r="I314" s="332">
        <f>IFERROR(VLOOKUP(TEXT(H314,"0"),IPRESS!$A$3:$B$212,2,0),"")</f>
        <v/>
      </c>
      <c r="J314" s="280" t="n"/>
      <c r="K314" s="332">
        <f>IFERROR(VLOOKUP(TEXT(O314,"0"),CONDUCTORES!$A$3:$G$54,7,0),"")</f>
        <v/>
      </c>
      <c r="L314" s="280" t="n"/>
      <c r="M314" s="280" t="n"/>
      <c r="N314" s="333">
        <f>IFERROR(IF(L314*M314=0,"",L314*M314),"")</f>
        <v/>
      </c>
      <c r="O314" s="280" t="n"/>
      <c r="P314" s="332">
        <f>IFERROR(VLOOKUP(TEXT(O314,"0"),CONDUCTORES!$A$3:$G$54,2,0),"")</f>
        <v/>
      </c>
      <c r="Q314" s="332">
        <f>IFERROR(VLOOKUP(TEXT(O314,"0"),CONDUCTORES!$A$3:$H$54,6,0),"")</f>
        <v/>
      </c>
      <c r="R314" s="280" t="n"/>
      <c r="S314" s="280" t="n"/>
      <c r="T314" s="280" t="n"/>
      <c r="U314" s="280" t="n"/>
      <c r="V314" s="280" t="n"/>
      <c r="W314" s="280" t="n"/>
      <c r="X314" s="280" t="n"/>
      <c r="Y314" s="280" t="n"/>
      <c r="Z314" s="375">
        <f>IF(AND(G314&lt;&gt;"",R314&lt;&gt;"",V314&lt;&gt;"",W314&lt;&gt;""),"COMPLETADO","OBSERVADO")</f>
        <v/>
      </c>
    </row>
    <row r="315" ht="15" customHeight="1" s="195">
      <c r="A315" s="334" t="n"/>
      <c r="B315" s="334" t="n"/>
      <c r="C315" s="334" t="n"/>
      <c r="D315" s="334" t="n"/>
      <c r="E315" s="334" t="n"/>
      <c r="F315" s="334" t="n"/>
      <c r="G315" s="334" t="n"/>
      <c r="H315" s="334" t="n"/>
      <c r="I315" s="332">
        <f>IFERROR(VLOOKUP(TEXT(H315,"0"),IPRESS!$A$3:$B$212,2,0),"")</f>
        <v/>
      </c>
      <c r="J315" s="334" t="n"/>
      <c r="K315" s="332">
        <f>IFERROR(VLOOKUP(TEXT(O315,"0"),CONDUCTORES!$A$3:$G$54,7,0),"")</f>
        <v/>
      </c>
      <c r="L315" s="334" t="n"/>
      <c r="M315" s="334" t="n"/>
      <c r="N315" s="333">
        <f>IFERROR(IF(L315*M315=0,"",L315*M315),"")</f>
        <v/>
      </c>
      <c r="O315" s="334" t="n"/>
      <c r="P315" s="332">
        <f>IFERROR(VLOOKUP(TEXT(O315,"0"),CONDUCTORES!$A$3:$G$54,2,0),"")</f>
        <v/>
      </c>
      <c r="Q315" s="332">
        <f>IFERROR(VLOOKUP(TEXT(O315,"0"),CONDUCTORES!$A$3:$H$54,6,0),"")</f>
        <v/>
      </c>
      <c r="R315" s="334" t="n"/>
      <c r="S315" s="334" t="n"/>
      <c r="T315" s="334" t="n"/>
      <c r="U315" s="334" t="n"/>
      <c r="V315" s="334" t="n"/>
      <c r="W315" s="334" t="n"/>
      <c r="X315" s="334" t="n"/>
      <c r="Y315" s="334" t="n"/>
      <c r="Z315" s="375">
        <f>IF(AND(G315&lt;&gt;"",R315&lt;&gt;"",V315&lt;&gt;"",W315&lt;&gt;""),"COMPLETADO","OBSERVADO")</f>
        <v/>
      </c>
    </row>
    <row r="316" ht="15" customHeight="1" s="195">
      <c r="A316" s="280" t="n"/>
      <c r="B316" s="280" t="n"/>
      <c r="C316" s="280" t="n"/>
      <c r="D316" s="280" t="n"/>
      <c r="E316" s="280" t="n"/>
      <c r="F316" s="280" t="n"/>
      <c r="G316" s="280" t="n"/>
      <c r="H316" s="280" t="n"/>
      <c r="I316" s="332">
        <f>IFERROR(VLOOKUP(TEXT(H316,"0"),IPRESS!$A$3:$B$212,2,0),"")</f>
        <v/>
      </c>
      <c r="J316" s="280" t="n"/>
      <c r="K316" s="332">
        <f>IFERROR(VLOOKUP(TEXT(O316,"0"),CONDUCTORES!$A$3:$G$54,7,0),"")</f>
        <v/>
      </c>
      <c r="L316" s="280" t="n"/>
      <c r="M316" s="280" t="n"/>
      <c r="N316" s="333">
        <f>IFERROR(IF(L316*M316=0,"",L316*M316),"")</f>
        <v/>
      </c>
      <c r="O316" s="280" t="n"/>
      <c r="P316" s="332">
        <f>IFERROR(VLOOKUP(TEXT(O316,"0"),CONDUCTORES!$A$3:$G$54,2,0),"")</f>
        <v/>
      </c>
      <c r="Q316" s="332">
        <f>IFERROR(VLOOKUP(TEXT(O316,"0"),CONDUCTORES!$A$3:$H$54,6,0),"")</f>
        <v/>
      </c>
      <c r="R316" s="280" t="n"/>
      <c r="S316" s="280" t="n"/>
      <c r="T316" s="280" t="n"/>
      <c r="U316" s="280" t="n"/>
      <c r="V316" s="280" t="n"/>
      <c r="W316" s="280" t="n"/>
      <c r="X316" s="280" t="n"/>
      <c r="Y316" s="280" t="n"/>
      <c r="Z316" s="375">
        <f>IF(AND(G316&lt;&gt;"",R316&lt;&gt;"",V316&lt;&gt;"",W316&lt;&gt;""),"COMPLETADO","OBSERVADO")</f>
        <v/>
      </c>
    </row>
    <row r="317" ht="15" customHeight="1" s="195">
      <c r="A317" s="334" t="n"/>
      <c r="B317" s="334" t="n"/>
      <c r="C317" s="334" t="n"/>
      <c r="D317" s="334" t="n"/>
      <c r="E317" s="334" t="n"/>
      <c r="F317" s="334" t="n"/>
      <c r="G317" s="334" t="n"/>
      <c r="H317" s="334" t="n"/>
      <c r="I317" s="332">
        <f>IFERROR(VLOOKUP(TEXT(H317,"0"),IPRESS!$A$3:$B$212,2,0),"")</f>
        <v/>
      </c>
      <c r="J317" s="334" t="n"/>
      <c r="K317" s="332">
        <f>IFERROR(VLOOKUP(TEXT(O317,"0"),CONDUCTORES!$A$3:$G$54,7,0),"")</f>
        <v/>
      </c>
      <c r="L317" s="334" t="n"/>
      <c r="M317" s="334" t="n"/>
      <c r="N317" s="333">
        <f>IFERROR(IF(L317*M317=0,"",L317*M317),"")</f>
        <v/>
      </c>
      <c r="O317" s="334" t="n"/>
      <c r="P317" s="332">
        <f>IFERROR(VLOOKUP(TEXT(O317,"0"),CONDUCTORES!$A$3:$G$54,2,0),"")</f>
        <v/>
      </c>
      <c r="Q317" s="332">
        <f>IFERROR(VLOOKUP(TEXT(O317,"0"),CONDUCTORES!$A$3:$H$54,6,0),"")</f>
        <v/>
      </c>
      <c r="R317" s="334" t="n"/>
      <c r="S317" s="334" t="n"/>
      <c r="T317" s="334" t="n"/>
      <c r="U317" s="334" t="n"/>
      <c r="V317" s="334" t="n"/>
      <c r="W317" s="334" t="n"/>
      <c r="X317" s="334" t="n"/>
      <c r="Y317" s="334" t="n"/>
      <c r="Z317" s="375">
        <f>IF(AND(G317&lt;&gt;"",R317&lt;&gt;"",V317&lt;&gt;"",W317&lt;&gt;""),"COMPLETADO","OBSERVADO")</f>
        <v/>
      </c>
    </row>
    <row r="318" ht="15" customHeight="1" s="195">
      <c r="A318" s="280" t="n"/>
      <c r="B318" s="280" t="n"/>
      <c r="C318" s="280" t="n"/>
      <c r="D318" s="280" t="n"/>
      <c r="E318" s="280" t="n"/>
      <c r="F318" s="280" t="n"/>
      <c r="G318" s="280" t="n"/>
      <c r="H318" s="280" t="n"/>
      <c r="I318" s="332">
        <f>IFERROR(VLOOKUP(TEXT(H318,"0"),IPRESS!$A$3:$B$212,2,0),"")</f>
        <v/>
      </c>
      <c r="J318" s="280" t="n"/>
      <c r="K318" s="332">
        <f>IFERROR(VLOOKUP(TEXT(O318,"0"),CONDUCTORES!$A$3:$G$54,7,0),"")</f>
        <v/>
      </c>
      <c r="L318" s="280" t="n"/>
      <c r="M318" s="280" t="n"/>
      <c r="N318" s="333">
        <f>IFERROR(IF(L318*M318=0,"",L318*M318),"")</f>
        <v/>
      </c>
      <c r="O318" s="280" t="n"/>
      <c r="P318" s="332">
        <f>IFERROR(VLOOKUP(TEXT(O318,"0"),CONDUCTORES!$A$3:$G$54,2,0),"")</f>
        <v/>
      </c>
      <c r="Q318" s="332">
        <f>IFERROR(VLOOKUP(TEXT(O318,"0"),CONDUCTORES!$A$3:$H$54,6,0),"")</f>
        <v/>
      </c>
      <c r="R318" s="280" t="n"/>
      <c r="S318" s="280" t="n"/>
      <c r="T318" s="280" t="n"/>
      <c r="U318" s="280" t="n"/>
      <c r="V318" s="280" t="n"/>
      <c r="W318" s="280" t="n"/>
      <c r="X318" s="280" t="n"/>
      <c r="Y318" s="280" t="n"/>
      <c r="Z318" s="375">
        <f>IF(AND(G318&lt;&gt;"",R318&lt;&gt;"",V318&lt;&gt;"",W318&lt;&gt;""),"COMPLETADO","OBSERVADO")</f>
        <v/>
      </c>
    </row>
    <row r="319" ht="15" customHeight="1" s="195">
      <c r="A319" s="334" t="n"/>
      <c r="B319" s="334" t="n"/>
      <c r="C319" s="334" t="n"/>
      <c r="D319" s="334" t="n"/>
      <c r="E319" s="334" t="n"/>
      <c r="F319" s="334" t="n"/>
      <c r="G319" s="334" t="n"/>
      <c r="H319" s="334" t="n"/>
      <c r="I319" s="332">
        <f>IFERROR(VLOOKUP(TEXT(H319,"0"),IPRESS!$A$3:$B$212,2,0),"")</f>
        <v/>
      </c>
      <c r="J319" s="334" t="n"/>
      <c r="K319" s="332">
        <f>IFERROR(VLOOKUP(TEXT(O319,"0"),CONDUCTORES!$A$3:$G$54,7,0),"")</f>
        <v/>
      </c>
      <c r="L319" s="334" t="n"/>
      <c r="M319" s="334" t="n"/>
      <c r="N319" s="333">
        <f>IFERROR(IF(L319*M319=0,"",L319*M319),"")</f>
        <v/>
      </c>
      <c r="O319" s="334" t="n"/>
      <c r="P319" s="332">
        <f>IFERROR(VLOOKUP(TEXT(O319,"0"),CONDUCTORES!$A$3:$G$54,2,0),"")</f>
        <v/>
      </c>
      <c r="Q319" s="332">
        <f>IFERROR(VLOOKUP(TEXT(O319,"0"),CONDUCTORES!$A$3:$H$54,6,0),"")</f>
        <v/>
      </c>
      <c r="R319" s="334" t="n"/>
      <c r="S319" s="334" t="n"/>
      <c r="T319" s="334" t="n"/>
      <c r="U319" s="334" t="n"/>
      <c r="V319" s="334" t="n"/>
      <c r="W319" s="334" t="n"/>
      <c r="X319" s="334" t="n"/>
      <c r="Y319" s="334" t="n"/>
      <c r="Z319" s="375">
        <f>IF(AND(G319&lt;&gt;"",R319&lt;&gt;"",V319&lt;&gt;"",W319&lt;&gt;""),"COMPLETADO","OBSERVADO")</f>
        <v/>
      </c>
    </row>
    <row r="320" ht="15" customHeight="1" s="195">
      <c r="A320" s="280" t="n"/>
      <c r="B320" s="280" t="n"/>
      <c r="C320" s="280" t="n"/>
      <c r="D320" s="280" t="n"/>
      <c r="E320" s="280" t="n"/>
      <c r="F320" s="280" t="n"/>
      <c r="G320" s="280" t="n"/>
      <c r="H320" s="280" t="n"/>
      <c r="I320" s="332">
        <f>IFERROR(VLOOKUP(TEXT(H320,"0"),IPRESS!$A$3:$B$212,2,0),"")</f>
        <v/>
      </c>
      <c r="J320" s="280" t="n"/>
      <c r="K320" s="332">
        <f>IFERROR(VLOOKUP(TEXT(O320,"0"),CONDUCTORES!$A$3:$G$54,7,0),"")</f>
        <v/>
      </c>
      <c r="L320" s="280" t="n"/>
      <c r="M320" s="280" t="n"/>
      <c r="N320" s="333">
        <f>IFERROR(IF(L320*M320=0,"",L320*M320),"")</f>
        <v/>
      </c>
      <c r="O320" s="280" t="n"/>
      <c r="P320" s="332">
        <f>IFERROR(VLOOKUP(TEXT(O320,"0"),CONDUCTORES!$A$3:$G$54,2,0),"")</f>
        <v/>
      </c>
      <c r="Q320" s="332">
        <f>IFERROR(VLOOKUP(TEXT(O320,"0"),CONDUCTORES!$A$3:$H$54,6,0),"")</f>
        <v/>
      </c>
      <c r="R320" s="280" t="n"/>
      <c r="S320" s="280" t="n"/>
      <c r="T320" s="280" t="n"/>
      <c r="U320" s="280" t="n"/>
      <c r="V320" s="280" t="n"/>
      <c r="W320" s="280" t="n"/>
      <c r="X320" s="280" t="n"/>
      <c r="Y320" s="280" t="n"/>
      <c r="Z320" s="375">
        <f>IF(AND(G320&lt;&gt;"",R320&lt;&gt;"",V320&lt;&gt;"",W320&lt;&gt;""),"COMPLETADO","OBSERVADO")</f>
        <v/>
      </c>
    </row>
    <row r="321" ht="15" customHeight="1" s="195">
      <c r="A321" s="334" t="n"/>
      <c r="B321" s="334" t="n"/>
      <c r="C321" s="334" t="n"/>
      <c r="D321" s="334" t="n"/>
      <c r="E321" s="334" t="n"/>
      <c r="F321" s="334" t="n"/>
      <c r="G321" s="334" t="n"/>
      <c r="H321" s="334" t="n"/>
      <c r="I321" s="332">
        <f>IFERROR(VLOOKUP(TEXT(H321,"0"),IPRESS!$A$3:$B$212,2,0),"")</f>
        <v/>
      </c>
      <c r="J321" s="334" t="n"/>
      <c r="K321" s="332">
        <f>IFERROR(VLOOKUP(TEXT(O321,"0"),CONDUCTORES!$A$3:$G$54,7,0),"")</f>
        <v/>
      </c>
      <c r="L321" s="334" t="n"/>
      <c r="M321" s="334" t="n"/>
      <c r="N321" s="333">
        <f>IFERROR(IF(L321*M321=0,"",L321*M321),"")</f>
        <v/>
      </c>
      <c r="O321" s="334" t="n"/>
      <c r="P321" s="332">
        <f>IFERROR(VLOOKUP(TEXT(O321,"0"),CONDUCTORES!$A$3:$G$54,2,0),"")</f>
        <v/>
      </c>
      <c r="Q321" s="332">
        <f>IFERROR(VLOOKUP(TEXT(O321,"0"),CONDUCTORES!$A$3:$H$54,6,0),"")</f>
        <v/>
      </c>
      <c r="R321" s="334" t="n"/>
      <c r="S321" s="334" t="n"/>
      <c r="T321" s="334" t="n"/>
      <c r="U321" s="334" t="n"/>
      <c r="V321" s="334" t="n"/>
      <c r="W321" s="334" t="n"/>
      <c r="X321" s="334" t="n"/>
      <c r="Y321" s="334" t="n"/>
      <c r="Z321" s="375">
        <f>IF(AND(G321&lt;&gt;"",R321&lt;&gt;"",V321&lt;&gt;"",W321&lt;&gt;""),"COMPLETADO","OBSERVADO")</f>
        <v/>
      </c>
    </row>
    <row r="322" ht="15" customHeight="1" s="195">
      <c r="A322" s="280" t="n"/>
      <c r="B322" s="280" t="n"/>
      <c r="C322" s="280" t="n"/>
      <c r="D322" s="280" t="n"/>
      <c r="E322" s="280" t="n"/>
      <c r="F322" s="280" t="n"/>
      <c r="G322" s="280" t="n"/>
      <c r="H322" s="280" t="n"/>
      <c r="I322" s="332">
        <f>IFERROR(VLOOKUP(TEXT(H322,"0"),IPRESS!$A$3:$B$212,2,0),"")</f>
        <v/>
      </c>
      <c r="J322" s="280" t="n"/>
      <c r="K322" s="332">
        <f>IFERROR(VLOOKUP(TEXT(O322,"0"),CONDUCTORES!$A$3:$G$54,7,0),"")</f>
        <v/>
      </c>
      <c r="L322" s="280" t="n"/>
      <c r="M322" s="280" t="n"/>
      <c r="N322" s="333">
        <f>IFERROR(IF(L322*M322=0,"",L322*M322),"")</f>
        <v/>
      </c>
      <c r="O322" s="280" t="n"/>
      <c r="P322" s="332">
        <f>IFERROR(VLOOKUP(TEXT(O322,"0"),CONDUCTORES!$A$3:$G$54,2,0),"")</f>
        <v/>
      </c>
      <c r="Q322" s="332">
        <f>IFERROR(VLOOKUP(TEXT(O322,"0"),CONDUCTORES!$A$3:$H$54,6,0),"")</f>
        <v/>
      </c>
      <c r="R322" s="280" t="n"/>
      <c r="S322" s="280" t="n"/>
      <c r="T322" s="280" t="n"/>
      <c r="U322" s="280" t="n"/>
      <c r="V322" s="280" t="n"/>
      <c r="W322" s="280" t="n"/>
      <c r="X322" s="280" t="n"/>
      <c r="Y322" s="280" t="n"/>
      <c r="Z322" s="375">
        <f>IF(AND(G322&lt;&gt;"",R322&lt;&gt;"",V322&lt;&gt;"",W322&lt;&gt;""),"COMPLETADO","OBSERVADO")</f>
        <v/>
      </c>
    </row>
    <row r="323" ht="15" customHeight="1" s="195">
      <c r="A323" s="334" t="n"/>
      <c r="B323" s="334" t="n"/>
      <c r="C323" s="334" t="n"/>
      <c r="D323" s="334" t="n"/>
      <c r="E323" s="334" t="n"/>
      <c r="F323" s="334" t="n"/>
      <c r="G323" s="334" t="n"/>
      <c r="H323" s="334" t="n"/>
      <c r="I323" s="332">
        <f>IFERROR(VLOOKUP(TEXT(H323,"0"),IPRESS!$A$3:$B$212,2,0),"")</f>
        <v/>
      </c>
      <c r="J323" s="334" t="n"/>
      <c r="K323" s="332">
        <f>IFERROR(VLOOKUP(TEXT(O323,"0"),CONDUCTORES!$A$3:$G$54,7,0),"")</f>
        <v/>
      </c>
      <c r="L323" s="334" t="n"/>
      <c r="M323" s="334" t="n"/>
      <c r="N323" s="333">
        <f>IFERROR(IF(L323*M323=0,"",L323*M323),"")</f>
        <v/>
      </c>
      <c r="O323" s="334" t="n"/>
      <c r="P323" s="332">
        <f>IFERROR(VLOOKUP(TEXT(O323,"0"),CONDUCTORES!$A$3:$G$54,2,0),"")</f>
        <v/>
      </c>
      <c r="Q323" s="332">
        <f>IFERROR(VLOOKUP(TEXT(O323,"0"),CONDUCTORES!$A$3:$H$54,6,0),"")</f>
        <v/>
      </c>
      <c r="R323" s="334" t="n"/>
      <c r="S323" s="334" t="n"/>
      <c r="T323" s="334" t="n"/>
      <c r="U323" s="334" t="n"/>
      <c r="V323" s="334" t="n"/>
      <c r="W323" s="334" t="n"/>
      <c r="X323" s="334" t="n"/>
      <c r="Y323" s="334" t="n"/>
      <c r="Z323" s="375">
        <f>IF(AND(G323&lt;&gt;"",R323&lt;&gt;"",V323&lt;&gt;"",W323&lt;&gt;""),"COMPLETADO","OBSERVADO")</f>
        <v/>
      </c>
    </row>
    <row r="324" ht="15" customHeight="1" s="195">
      <c r="A324" s="280" t="n"/>
      <c r="B324" s="280" t="n"/>
      <c r="C324" s="280" t="n"/>
      <c r="D324" s="280" t="n"/>
      <c r="E324" s="280" t="n"/>
      <c r="F324" s="280" t="n"/>
      <c r="G324" s="280" t="n"/>
      <c r="H324" s="280" t="n"/>
      <c r="I324" s="332">
        <f>IFERROR(VLOOKUP(TEXT(H324,"0"),IPRESS!$A$3:$B$212,2,0),"")</f>
        <v/>
      </c>
      <c r="J324" s="280" t="n"/>
      <c r="K324" s="332">
        <f>IFERROR(VLOOKUP(TEXT(O324,"0"),CONDUCTORES!$A$3:$G$54,7,0),"")</f>
        <v/>
      </c>
      <c r="L324" s="280" t="n"/>
      <c r="M324" s="280" t="n"/>
      <c r="N324" s="333">
        <f>IFERROR(IF(L324*M324=0,"",L324*M324),"")</f>
        <v/>
      </c>
      <c r="O324" s="280" t="n"/>
      <c r="P324" s="332">
        <f>IFERROR(VLOOKUP(TEXT(O324,"0"),CONDUCTORES!$A$3:$G$54,2,0),"")</f>
        <v/>
      </c>
      <c r="Q324" s="332">
        <f>IFERROR(VLOOKUP(TEXT(O324,"0"),CONDUCTORES!$A$3:$H$54,6,0),"")</f>
        <v/>
      </c>
      <c r="R324" s="280" t="n"/>
      <c r="S324" s="280" t="n"/>
      <c r="T324" s="280" t="n"/>
      <c r="U324" s="280" t="n"/>
      <c r="V324" s="280" t="n"/>
      <c r="W324" s="280" t="n"/>
      <c r="X324" s="280" t="n"/>
      <c r="Y324" s="280" t="n"/>
      <c r="Z324" s="375">
        <f>IF(AND(G324&lt;&gt;"",R324&lt;&gt;"",V324&lt;&gt;"",W324&lt;&gt;""),"COMPLETADO","OBSERVADO")</f>
        <v/>
      </c>
    </row>
    <row r="325" ht="15" customHeight="1" s="195">
      <c r="A325" s="334" t="n"/>
      <c r="B325" s="334" t="n"/>
      <c r="C325" s="334" t="n"/>
      <c r="D325" s="334" t="n"/>
      <c r="E325" s="334" t="n"/>
      <c r="F325" s="334" t="n"/>
      <c r="G325" s="334" t="n"/>
      <c r="H325" s="334" t="n"/>
      <c r="I325" s="332">
        <f>IFERROR(VLOOKUP(TEXT(H325,"0"),IPRESS!$A$3:$B$212,2,0),"")</f>
        <v/>
      </c>
      <c r="J325" s="334" t="n"/>
      <c r="K325" s="332">
        <f>IFERROR(VLOOKUP(TEXT(O325,"0"),CONDUCTORES!$A$3:$G$54,7,0),"")</f>
        <v/>
      </c>
      <c r="L325" s="334" t="n"/>
      <c r="M325" s="334" t="n"/>
      <c r="N325" s="333">
        <f>IFERROR(IF(L325*M325=0,"",L325*M325),"")</f>
        <v/>
      </c>
      <c r="O325" s="334" t="n"/>
      <c r="P325" s="332">
        <f>IFERROR(VLOOKUP(TEXT(O325,"0"),CONDUCTORES!$A$3:$G$54,2,0),"")</f>
        <v/>
      </c>
      <c r="Q325" s="332">
        <f>IFERROR(VLOOKUP(TEXT(O325,"0"),CONDUCTORES!$A$3:$H$54,6,0),"")</f>
        <v/>
      </c>
      <c r="R325" s="334" t="n"/>
      <c r="S325" s="334" t="n"/>
      <c r="T325" s="334" t="n"/>
      <c r="U325" s="334" t="n"/>
      <c r="V325" s="334" t="n"/>
      <c r="W325" s="334" t="n"/>
      <c r="X325" s="334" t="n"/>
      <c r="Y325" s="334" t="n"/>
      <c r="Z325" s="375">
        <f>IF(AND(G325&lt;&gt;"",R325&lt;&gt;"",V325&lt;&gt;"",W325&lt;&gt;""),"COMPLETADO","OBSERVADO")</f>
        <v/>
      </c>
    </row>
    <row r="326" ht="15" customHeight="1" s="195">
      <c r="A326" s="280" t="n"/>
      <c r="B326" s="280" t="n"/>
      <c r="C326" s="280" t="n"/>
      <c r="D326" s="280" t="n"/>
      <c r="E326" s="280" t="n"/>
      <c r="F326" s="280" t="n"/>
      <c r="G326" s="280" t="n"/>
      <c r="H326" s="280" t="n"/>
      <c r="I326" s="332">
        <f>IFERROR(VLOOKUP(TEXT(H326,"0"),IPRESS!$A$3:$B$212,2,0),"")</f>
        <v/>
      </c>
      <c r="J326" s="280" t="n"/>
      <c r="K326" s="332">
        <f>IFERROR(VLOOKUP(TEXT(O326,"0"),CONDUCTORES!$A$3:$G$54,7,0),"")</f>
        <v/>
      </c>
      <c r="L326" s="280" t="n"/>
      <c r="M326" s="280" t="n"/>
      <c r="N326" s="333">
        <f>IFERROR(IF(L326*M326=0,"",L326*M326),"")</f>
        <v/>
      </c>
      <c r="O326" s="280" t="n"/>
      <c r="P326" s="332">
        <f>IFERROR(VLOOKUP(TEXT(O326,"0"),CONDUCTORES!$A$3:$G$54,2,0),"")</f>
        <v/>
      </c>
      <c r="Q326" s="332">
        <f>IFERROR(VLOOKUP(TEXT(O326,"0"),CONDUCTORES!$A$3:$H$54,6,0),"")</f>
        <v/>
      </c>
      <c r="R326" s="280" t="n"/>
      <c r="S326" s="280" t="n"/>
      <c r="T326" s="280" t="n"/>
      <c r="U326" s="280" t="n"/>
      <c r="V326" s="280" t="n"/>
      <c r="W326" s="280" t="n"/>
      <c r="X326" s="280" t="n"/>
      <c r="Y326" s="280" t="n"/>
      <c r="Z326" s="375">
        <f>IF(AND(G326&lt;&gt;"",R326&lt;&gt;"",V326&lt;&gt;"",W326&lt;&gt;""),"COMPLETADO","OBSERVADO")</f>
        <v/>
      </c>
    </row>
    <row r="327" ht="15" customHeight="1" s="195">
      <c r="A327" s="334" t="n"/>
      <c r="B327" s="334" t="n"/>
      <c r="C327" s="334" t="n"/>
      <c r="D327" s="334" t="n"/>
      <c r="E327" s="334" t="n"/>
      <c r="F327" s="334" t="n"/>
      <c r="G327" s="334" t="n"/>
      <c r="H327" s="334" t="n"/>
      <c r="I327" s="332">
        <f>IFERROR(VLOOKUP(TEXT(H327,"0"),IPRESS!$A$3:$B$212,2,0),"")</f>
        <v/>
      </c>
      <c r="J327" s="334" t="n"/>
      <c r="K327" s="332">
        <f>IFERROR(VLOOKUP(TEXT(O327,"0"),CONDUCTORES!$A$3:$G$54,7,0),"")</f>
        <v/>
      </c>
      <c r="L327" s="334" t="n"/>
      <c r="M327" s="334" t="n"/>
      <c r="N327" s="333">
        <f>IFERROR(IF(L327*M327=0,"",L327*M327),"")</f>
        <v/>
      </c>
      <c r="O327" s="334" t="n"/>
      <c r="P327" s="332">
        <f>IFERROR(VLOOKUP(TEXT(O327,"0"),CONDUCTORES!$A$3:$G$54,2,0),"")</f>
        <v/>
      </c>
      <c r="Q327" s="332">
        <f>IFERROR(VLOOKUP(TEXT(O327,"0"),CONDUCTORES!$A$3:$H$54,6,0),"")</f>
        <v/>
      </c>
      <c r="R327" s="334" t="n"/>
      <c r="S327" s="334" t="n"/>
      <c r="T327" s="334" t="n"/>
      <c r="U327" s="334" t="n"/>
      <c r="V327" s="334" t="n"/>
      <c r="W327" s="334" t="n"/>
      <c r="X327" s="334" t="n"/>
      <c r="Y327" s="334" t="n"/>
      <c r="Z327" s="375">
        <f>IF(AND(G327&lt;&gt;"",R327&lt;&gt;"",V327&lt;&gt;"",W327&lt;&gt;""),"COMPLETADO","OBSERVADO")</f>
        <v/>
      </c>
    </row>
    <row r="328" ht="15" customHeight="1" s="195">
      <c r="A328" s="280" t="n"/>
      <c r="B328" s="280" t="n"/>
      <c r="C328" s="280" t="n"/>
      <c r="D328" s="280" t="n"/>
      <c r="E328" s="280" t="n"/>
      <c r="F328" s="280" t="n"/>
      <c r="G328" s="280" t="n"/>
      <c r="H328" s="280" t="n"/>
      <c r="I328" s="332">
        <f>IFERROR(VLOOKUP(TEXT(H328,"0"),IPRESS!$A$3:$B$212,2,0),"")</f>
        <v/>
      </c>
      <c r="J328" s="280" t="n"/>
      <c r="K328" s="332">
        <f>IFERROR(VLOOKUP(TEXT(O328,"0"),CONDUCTORES!$A$3:$G$54,7,0),"")</f>
        <v/>
      </c>
      <c r="L328" s="280" t="n"/>
      <c r="M328" s="280" t="n"/>
      <c r="N328" s="333">
        <f>IFERROR(IF(L328*M328=0,"",L328*M328),"")</f>
        <v/>
      </c>
      <c r="O328" s="280" t="n"/>
      <c r="P328" s="332">
        <f>IFERROR(VLOOKUP(TEXT(O328,"0"),CONDUCTORES!$A$3:$G$54,2,0),"")</f>
        <v/>
      </c>
      <c r="Q328" s="332">
        <f>IFERROR(VLOOKUP(TEXT(O328,"0"),CONDUCTORES!$A$3:$H$54,6,0),"")</f>
        <v/>
      </c>
      <c r="R328" s="280" t="n"/>
      <c r="S328" s="280" t="n"/>
      <c r="T328" s="280" t="n"/>
      <c r="U328" s="280" t="n"/>
      <c r="V328" s="280" t="n"/>
      <c r="W328" s="280" t="n"/>
      <c r="X328" s="280" t="n"/>
      <c r="Y328" s="280" t="n"/>
      <c r="Z328" s="375">
        <f>IF(AND(G328&lt;&gt;"",R328&lt;&gt;"",V328&lt;&gt;"",W328&lt;&gt;""),"COMPLETADO","OBSERVADO")</f>
        <v/>
      </c>
    </row>
    <row r="329" ht="15" customHeight="1" s="195">
      <c r="A329" s="334" t="n"/>
      <c r="B329" s="334" t="n"/>
      <c r="C329" s="334" t="n"/>
      <c r="D329" s="334" t="n"/>
      <c r="E329" s="334" t="n"/>
      <c r="F329" s="334" t="n"/>
      <c r="G329" s="334" t="n"/>
      <c r="H329" s="334" t="n"/>
      <c r="I329" s="332">
        <f>IFERROR(VLOOKUP(TEXT(H329,"0"),IPRESS!$A$3:$B$212,2,0),"")</f>
        <v/>
      </c>
      <c r="J329" s="334" t="n"/>
      <c r="K329" s="332">
        <f>IFERROR(VLOOKUP(TEXT(O329,"0"),CONDUCTORES!$A$3:$G$54,7,0),"")</f>
        <v/>
      </c>
      <c r="L329" s="334" t="n"/>
      <c r="M329" s="334" t="n"/>
      <c r="N329" s="333">
        <f>IFERROR(IF(L329*M329=0,"",L329*M329),"")</f>
        <v/>
      </c>
      <c r="O329" s="334" t="n"/>
      <c r="P329" s="332">
        <f>IFERROR(VLOOKUP(TEXT(O329,"0"),CONDUCTORES!$A$3:$G$54,2,0),"")</f>
        <v/>
      </c>
      <c r="Q329" s="332">
        <f>IFERROR(VLOOKUP(TEXT(O329,"0"),CONDUCTORES!$A$3:$H$54,6,0),"")</f>
        <v/>
      </c>
      <c r="R329" s="334" t="n"/>
      <c r="S329" s="334" t="n"/>
      <c r="T329" s="334" t="n"/>
      <c r="U329" s="334" t="n"/>
      <c r="V329" s="334" t="n"/>
      <c r="W329" s="334" t="n"/>
      <c r="X329" s="334" t="n"/>
      <c r="Y329" s="334" t="n"/>
      <c r="Z329" s="375">
        <f>IF(AND(G329&lt;&gt;"",R329&lt;&gt;"",V329&lt;&gt;"",W329&lt;&gt;""),"COMPLETADO","OBSERVADO")</f>
        <v/>
      </c>
    </row>
    <row r="330" ht="15" customHeight="1" s="195">
      <c r="A330" s="280" t="n"/>
      <c r="B330" s="280" t="n"/>
      <c r="C330" s="280" t="n"/>
      <c r="D330" s="280" t="n"/>
      <c r="E330" s="280" t="n"/>
      <c r="F330" s="280" t="n"/>
      <c r="G330" s="280" t="n"/>
      <c r="H330" s="280" t="n"/>
      <c r="I330" s="332">
        <f>IFERROR(VLOOKUP(TEXT(H330,"0"),IPRESS!$A$3:$B$212,2,0),"")</f>
        <v/>
      </c>
      <c r="J330" s="280" t="n"/>
      <c r="K330" s="332">
        <f>IFERROR(VLOOKUP(TEXT(O330,"0"),CONDUCTORES!$A$3:$G$54,7,0),"")</f>
        <v/>
      </c>
      <c r="L330" s="280" t="n"/>
      <c r="M330" s="280" t="n"/>
      <c r="N330" s="333">
        <f>IFERROR(IF(L330*M330=0,"",L330*M330),"")</f>
        <v/>
      </c>
      <c r="O330" s="280" t="n"/>
      <c r="P330" s="332">
        <f>IFERROR(VLOOKUP(TEXT(O330,"0"),CONDUCTORES!$A$3:$G$54,2,0),"")</f>
        <v/>
      </c>
      <c r="Q330" s="332">
        <f>IFERROR(VLOOKUP(TEXT(O330,"0"),CONDUCTORES!$A$3:$H$54,6,0),"")</f>
        <v/>
      </c>
      <c r="R330" s="280" t="n"/>
      <c r="S330" s="280" t="n"/>
      <c r="T330" s="280" t="n"/>
      <c r="U330" s="280" t="n"/>
      <c r="V330" s="280" t="n"/>
      <c r="W330" s="280" t="n"/>
      <c r="X330" s="280" t="n"/>
      <c r="Y330" s="280" t="n"/>
      <c r="Z330" s="375">
        <f>IF(AND(G330&lt;&gt;"",R330&lt;&gt;"",V330&lt;&gt;"",W330&lt;&gt;""),"COMPLETADO","OBSERVADO")</f>
        <v/>
      </c>
    </row>
    <row r="331" ht="15" customHeight="1" s="195">
      <c r="A331" s="334" t="n"/>
      <c r="B331" s="334" t="n"/>
      <c r="C331" s="334" t="n"/>
      <c r="D331" s="334" t="n"/>
      <c r="E331" s="334" t="n"/>
      <c r="F331" s="334" t="n"/>
      <c r="G331" s="334" t="n"/>
      <c r="H331" s="334" t="n"/>
      <c r="I331" s="332">
        <f>IFERROR(VLOOKUP(TEXT(H331,"0"),IPRESS!$A$3:$B$212,2,0),"")</f>
        <v/>
      </c>
      <c r="J331" s="334" t="n"/>
      <c r="K331" s="332">
        <f>IFERROR(VLOOKUP(TEXT(O331,"0"),CONDUCTORES!$A$3:$G$54,7,0),"")</f>
        <v/>
      </c>
      <c r="L331" s="334" t="n"/>
      <c r="M331" s="334" t="n"/>
      <c r="N331" s="333">
        <f>IFERROR(IF(L331*M331=0,"",L331*M331),"")</f>
        <v/>
      </c>
      <c r="O331" s="334" t="n"/>
      <c r="P331" s="332">
        <f>IFERROR(VLOOKUP(TEXT(O331,"0"),CONDUCTORES!$A$3:$G$54,2,0),"")</f>
        <v/>
      </c>
      <c r="Q331" s="332">
        <f>IFERROR(VLOOKUP(TEXT(O331,"0"),CONDUCTORES!$A$3:$H$54,6,0),"")</f>
        <v/>
      </c>
      <c r="R331" s="334" t="n"/>
      <c r="S331" s="334" t="n"/>
      <c r="T331" s="334" t="n"/>
      <c r="U331" s="334" t="n"/>
      <c r="V331" s="334" t="n"/>
      <c r="W331" s="334" t="n"/>
      <c r="X331" s="334" t="n"/>
      <c r="Y331" s="334" t="n"/>
      <c r="Z331" s="375">
        <f>IF(AND(G331&lt;&gt;"",R331&lt;&gt;"",V331&lt;&gt;"",W331&lt;&gt;""),"COMPLETADO","OBSERVADO")</f>
        <v/>
      </c>
    </row>
    <row r="332" ht="15" customHeight="1" s="195">
      <c r="A332" s="280" t="n"/>
      <c r="B332" s="280" t="n"/>
      <c r="C332" s="280" t="n"/>
      <c r="D332" s="280" t="n"/>
      <c r="E332" s="280" t="n"/>
      <c r="F332" s="280" t="n"/>
      <c r="G332" s="280" t="n"/>
      <c r="H332" s="280" t="n"/>
      <c r="I332" s="332">
        <f>IFERROR(VLOOKUP(TEXT(H332,"0"),IPRESS!$A$3:$B$212,2,0),"")</f>
        <v/>
      </c>
      <c r="J332" s="280" t="n"/>
      <c r="K332" s="332">
        <f>IFERROR(VLOOKUP(TEXT(O332,"0"),CONDUCTORES!$A$3:$G$54,7,0),"")</f>
        <v/>
      </c>
      <c r="L332" s="280" t="n"/>
      <c r="M332" s="280" t="n"/>
      <c r="N332" s="333">
        <f>IFERROR(IF(L332*M332=0,"",L332*M332),"")</f>
        <v/>
      </c>
      <c r="O332" s="280" t="n"/>
      <c r="P332" s="332">
        <f>IFERROR(VLOOKUP(TEXT(O332,"0"),CONDUCTORES!$A$3:$G$54,2,0),"")</f>
        <v/>
      </c>
      <c r="Q332" s="332">
        <f>IFERROR(VLOOKUP(TEXT(O332,"0"),CONDUCTORES!$A$3:$H$54,6,0),"")</f>
        <v/>
      </c>
      <c r="R332" s="280" t="n"/>
      <c r="S332" s="280" t="n"/>
      <c r="T332" s="280" t="n"/>
      <c r="U332" s="280" t="n"/>
      <c r="V332" s="280" t="n"/>
      <c r="W332" s="280" t="n"/>
      <c r="X332" s="280" t="n"/>
      <c r="Y332" s="280" t="n"/>
      <c r="Z332" s="375">
        <f>IF(AND(G332&lt;&gt;"",R332&lt;&gt;"",V332&lt;&gt;"",W332&lt;&gt;""),"COMPLETADO","OBSERVADO")</f>
        <v/>
      </c>
    </row>
    <row r="333" ht="15" customHeight="1" s="195">
      <c r="A333" s="334" t="n"/>
      <c r="B333" s="334" t="n"/>
      <c r="C333" s="334" t="n"/>
      <c r="D333" s="334" t="n"/>
      <c r="E333" s="334" t="n"/>
      <c r="F333" s="334" t="n"/>
      <c r="G333" s="334" t="n"/>
      <c r="H333" s="334" t="n"/>
      <c r="I333" s="332">
        <f>IFERROR(VLOOKUP(TEXT(H333,"0"),IPRESS!$A$3:$B$212,2,0),"")</f>
        <v/>
      </c>
      <c r="J333" s="334" t="n"/>
      <c r="K333" s="332">
        <f>IFERROR(VLOOKUP(TEXT(O333,"0"),CONDUCTORES!$A$3:$G$54,7,0),"")</f>
        <v/>
      </c>
      <c r="L333" s="334" t="n"/>
      <c r="M333" s="334" t="n"/>
      <c r="N333" s="333">
        <f>IFERROR(IF(L333*M333=0,"",L333*M333),"")</f>
        <v/>
      </c>
      <c r="O333" s="334" t="n"/>
      <c r="P333" s="332">
        <f>IFERROR(VLOOKUP(TEXT(O333,"0"),CONDUCTORES!$A$3:$G$54,2,0),"")</f>
        <v/>
      </c>
      <c r="Q333" s="332">
        <f>IFERROR(VLOOKUP(TEXT(O333,"0"),CONDUCTORES!$A$3:$H$54,6,0),"")</f>
        <v/>
      </c>
      <c r="R333" s="334" t="n"/>
      <c r="S333" s="334" t="n"/>
      <c r="T333" s="334" t="n"/>
      <c r="U333" s="334" t="n"/>
      <c r="V333" s="334" t="n"/>
      <c r="W333" s="334" t="n"/>
      <c r="X333" s="334" t="n"/>
      <c r="Y333" s="334" t="n"/>
      <c r="Z333" s="375">
        <f>IF(AND(G333&lt;&gt;"",R333&lt;&gt;"",V333&lt;&gt;"",W333&lt;&gt;""),"COMPLETADO","OBSERVADO")</f>
        <v/>
      </c>
    </row>
    <row r="334" ht="15" customHeight="1" s="195">
      <c r="A334" s="280" t="n"/>
      <c r="B334" s="280" t="n"/>
      <c r="C334" s="280" t="n"/>
      <c r="D334" s="280" t="n"/>
      <c r="E334" s="280" t="n"/>
      <c r="F334" s="280" t="n"/>
      <c r="G334" s="280" t="n"/>
      <c r="H334" s="280" t="n"/>
      <c r="I334" s="332">
        <f>IFERROR(VLOOKUP(TEXT(H334,"0"),IPRESS!$A$3:$B$212,2,0),"")</f>
        <v/>
      </c>
      <c r="J334" s="280" t="n"/>
      <c r="K334" s="332">
        <f>IFERROR(VLOOKUP(TEXT(O334,"0"),CONDUCTORES!$A$3:$G$54,7,0),"")</f>
        <v/>
      </c>
      <c r="L334" s="280" t="n"/>
      <c r="M334" s="280" t="n"/>
      <c r="N334" s="333">
        <f>IFERROR(IF(L334*M334=0,"",L334*M334),"")</f>
        <v/>
      </c>
      <c r="O334" s="280" t="n"/>
      <c r="P334" s="332">
        <f>IFERROR(VLOOKUP(TEXT(O334,"0"),CONDUCTORES!$A$3:$G$54,2,0),"")</f>
        <v/>
      </c>
      <c r="Q334" s="332">
        <f>IFERROR(VLOOKUP(TEXT(O334,"0"),CONDUCTORES!$A$3:$H$54,6,0),"")</f>
        <v/>
      </c>
      <c r="R334" s="280" t="n"/>
      <c r="S334" s="280" t="n"/>
      <c r="T334" s="280" t="n"/>
      <c r="U334" s="280" t="n"/>
      <c r="V334" s="280" t="n"/>
      <c r="W334" s="280" t="n"/>
      <c r="X334" s="280" t="n"/>
      <c r="Y334" s="280" t="n"/>
      <c r="Z334" s="375">
        <f>IF(AND(G334&lt;&gt;"",R334&lt;&gt;"",V334&lt;&gt;"",W334&lt;&gt;""),"COMPLETADO","OBSERVADO")</f>
        <v/>
      </c>
    </row>
    <row r="335" ht="15" customHeight="1" s="195">
      <c r="A335" s="334" t="n"/>
      <c r="B335" s="334" t="n"/>
      <c r="C335" s="334" t="n"/>
      <c r="D335" s="334" t="n"/>
      <c r="E335" s="334" t="n"/>
      <c r="F335" s="334" t="n"/>
      <c r="G335" s="334" t="n"/>
      <c r="H335" s="334" t="n"/>
      <c r="I335" s="332">
        <f>IFERROR(VLOOKUP(TEXT(H335,"0"),IPRESS!$A$3:$B$212,2,0),"")</f>
        <v/>
      </c>
      <c r="J335" s="334" t="n"/>
      <c r="K335" s="332">
        <f>IFERROR(VLOOKUP(TEXT(O335,"0"),CONDUCTORES!$A$3:$G$54,7,0),"")</f>
        <v/>
      </c>
      <c r="L335" s="334" t="n"/>
      <c r="M335" s="334" t="n"/>
      <c r="N335" s="333">
        <f>IFERROR(IF(L335*M335=0,"",L335*M335),"")</f>
        <v/>
      </c>
      <c r="O335" s="334" t="n"/>
      <c r="P335" s="332">
        <f>IFERROR(VLOOKUP(TEXT(O335,"0"),CONDUCTORES!$A$3:$G$54,2,0),"")</f>
        <v/>
      </c>
      <c r="Q335" s="332">
        <f>IFERROR(VLOOKUP(TEXT(O335,"0"),CONDUCTORES!$A$3:$H$54,6,0),"")</f>
        <v/>
      </c>
      <c r="R335" s="334" t="n"/>
      <c r="S335" s="334" t="n"/>
      <c r="T335" s="334" t="n"/>
      <c r="U335" s="334" t="n"/>
      <c r="V335" s="334" t="n"/>
      <c r="W335" s="334" t="n"/>
      <c r="X335" s="334" t="n"/>
      <c r="Y335" s="334" t="n"/>
      <c r="Z335" s="375">
        <f>IF(AND(G335&lt;&gt;"",R335&lt;&gt;"",V335&lt;&gt;"",W335&lt;&gt;""),"COMPLETADO","OBSERVADO")</f>
        <v/>
      </c>
    </row>
    <row r="336" ht="15" customHeight="1" s="195">
      <c r="A336" s="280" t="n"/>
      <c r="B336" s="280" t="n"/>
      <c r="C336" s="280" t="n"/>
      <c r="D336" s="280" t="n"/>
      <c r="E336" s="280" t="n"/>
      <c r="F336" s="280" t="n"/>
      <c r="G336" s="280" t="n"/>
      <c r="H336" s="280" t="n"/>
      <c r="I336" s="332">
        <f>IFERROR(VLOOKUP(TEXT(H336,"0"),IPRESS!$A$3:$B$212,2,0),"")</f>
        <v/>
      </c>
      <c r="J336" s="280" t="n"/>
      <c r="K336" s="332">
        <f>IFERROR(VLOOKUP(TEXT(O336,"0"),CONDUCTORES!$A$3:$G$54,7,0),"")</f>
        <v/>
      </c>
      <c r="L336" s="280" t="n"/>
      <c r="M336" s="280" t="n"/>
      <c r="N336" s="333">
        <f>IFERROR(IF(L336*M336=0,"",L336*M336),"")</f>
        <v/>
      </c>
      <c r="O336" s="280" t="n"/>
      <c r="P336" s="332">
        <f>IFERROR(VLOOKUP(TEXT(O336,"0"),CONDUCTORES!$A$3:$G$54,2,0),"")</f>
        <v/>
      </c>
      <c r="Q336" s="332">
        <f>IFERROR(VLOOKUP(TEXT(O336,"0"),CONDUCTORES!$A$3:$H$54,6,0),"")</f>
        <v/>
      </c>
      <c r="R336" s="280" t="n"/>
      <c r="S336" s="280" t="n"/>
      <c r="T336" s="280" t="n"/>
      <c r="U336" s="280" t="n"/>
      <c r="V336" s="280" t="n"/>
      <c r="W336" s="280" t="n"/>
      <c r="X336" s="280" t="n"/>
      <c r="Y336" s="280" t="n"/>
      <c r="Z336" s="375">
        <f>IF(AND(G336&lt;&gt;"",R336&lt;&gt;"",V336&lt;&gt;"",W336&lt;&gt;""),"COMPLETADO","OBSERVADO")</f>
        <v/>
      </c>
    </row>
    <row r="337" ht="15" customHeight="1" s="195">
      <c r="A337" s="334" t="n"/>
      <c r="B337" s="334" t="n"/>
      <c r="C337" s="334" t="n"/>
      <c r="D337" s="334" t="n"/>
      <c r="E337" s="334" t="n"/>
      <c r="F337" s="334" t="n"/>
      <c r="G337" s="334" t="n"/>
      <c r="H337" s="334" t="n"/>
      <c r="I337" s="332">
        <f>IFERROR(VLOOKUP(TEXT(H337,"0"),IPRESS!$A$3:$B$212,2,0),"")</f>
        <v/>
      </c>
      <c r="J337" s="334" t="n"/>
      <c r="K337" s="332">
        <f>IFERROR(VLOOKUP(TEXT(O337,"0"),CONDUCTORES!$A$3:$G$54,7,0),"")</f>
        <v/>
      </c>
      <c r="L337" s="334" t="n"/>
      <c r="M337" s="334" t="n"/>
      <c r="N337" s="333">
        <f>IFERROR(IF(L337*M337=0,"",L337*M337),"")</f>
        <v/>
      </c>
      <c r="O337" s="334" t="n"/>
      <c r="P337" s="332">
        <f>IFERROR(VLOOKUP(TEXT(O337,"0"),CONDUCTORES!$A$3:$G$54,2,0),"")</f>
        <v/>
      </c>
      <c r="Q337" s="332">
        <f>IFERROR(VLOOKUP(TEXT(O337,"0"),CONDUCTORES!$A$3:$H$54,6,0),"")</f>
        <v/>
      </c>
      <c r="R337" s="334" t="n"/>
      <c r="S337" s="334" t="n"/>
      <c r="T337" s="334" t="n"/>
      <c r="U337" s="334" t="n"/>
      <c r="V337" s="334" t="n"/>
      <c r="W337" s="334" t="n"/>
      <c r="X337" s="334" t="n"/>
      <c r="Y337" s="334" t="n"/>
      <c r="Z337" s="375">
        <f>IF(AND(G337&lt;&gt;"",R337&lt;&gt;"",V337&lt;&gt;"",W337&lt;&gt;""),"COMPLETADO","OBSERVADO")</f>
        <v/>
      </c>
    </row>
    <row r="338" ht="15" customHeight="1" s="195">
      <c r="A338" s="280" t="n"/>
      <c r="B338" s="280" t="n"/>
      <c r="C338" s="280" t="n"/>
      <c r="D338" s="280" t="n"/>
      <c r="E338" s="280" t="n"/>
      <c r="F338" s="280" t="n"/>
      <c r="G338" s="280" t="n"/>
      <c r="H338" s="280" t="n"/>
      <c r="I338" s="332">
        <f>IFERROR(VLOOKUP(TEXT(H338,"0"),IPRESS!$A$3:$B$212,2,0),"")</f>
        <v/>
      </c>
      <c r="J338" s="280" t="n"/>
      <c r="K338" s="332">
        <f>IFERROR(VLOOKUP(TEXT(O338,"0"),CONDUCTORES!$A$3:$G$54,7,0),"")</f>
        <v/>
      </c>
      <c r="L338" s="280" t="n"/>
      <c r="M338" s="280" t="n"/>
      <c r="N338" s="333">
        <f>IFERROR(IF(L338*M338=0,"",L338*M338),"")</f>
        <v/>
      </c>
      <c r="O338" s="280" t="n"/>
      <c r="P338" s="332">
        <f>IFERROR(VLOOKUP(TEXT(O338,"0"),CONDUCTORES!$A$3:$G$54,2,0),"")</f>
        <v/>
      </c>
      <c r="Q338" s="332">
        <f>IFERROR(VLOOKUP(TEXT(O338,"0"),CONDUCTORES!$A$3:$H$54,6,0),"")</f>
        <v/>
      </c>
      <c r="R338" s="280" t="n"/>
      <c r="S338" s="280" t="n"/>
      <c r="T338" s="280" t="n"/>
      <c r="U338" s="280" t="n"/>
      <c r="V338" s="280" t="n"/>
      <c r="W338" s="280" t="n"/>
      <c r="X338" s="280" t="n"/>
      <c r="Y338" s="280" t="n"/>
      <c r="Z338" s="375">
        <f>IF(AND(G338&lt;&gt;"",R338&lt;&gt;"",V338&lt;&gt;"",W338&lt;&gt;""),"COMPLETADO","OBSERVADO")</f>
        <v/>
      </c>
    </row>
    <row r="339" ht="15" customHeight="1" s="195">
      <c r="A339" s="334" t="n"/>
      <c r="B339" s="334" t="n"/>
      <c r="C339" s="334" t="n"/>
      <c r="D339" s="334" t="n"/>
      <c r="E339" s="334" t="n"/>
      <c r="F339" s="334" t="n"/>
      <c r="G339" s="334" t="n"/>
      <c r="H339" s="334" t="n"/>
      <c r="I339" s="332">
        <f>IFERROR(VLOOKUP(TEXT(H339,"0"),IPRESS!$A$3:$B$212,2,0),"")</f>
        <v/>
      </c>
      <c r="J339" s="334" t="n"/>
      <c r="K339" s="332">
        <f>IFERROR(VLOOKUP(TEXT(O339,"0"),CONDUCTORES!$A$3:$G$54,7,0),"")</f>
        <v/>
      </c>
      <c r="L339" s="334" t="n"/>
      <c r="M339" s="334" t="n"/>
      <c r="N339" s="333">
        <f>IFERROR(IF(L339*M339=0,"",L339*M339),"")</f>
        <v/>
      </c>
      <c r="O339" s="334" t="n"/>
      <c r="P339" s="332">
        <f>IFERROR(VLOOKUP(TEXT(O339,"0"),CONDUCTORES!$A$3:$G$54,2,0),"")</f>
        <v/>
      </c>
      <c r="Q339" s="332">
        <f>IFERROR(VLOOKUP(TEXT(O339,"0"),CONDUCTORES!$A$3:$H$54,6,0),"")</f>
        <v/>
      </c>
      <c r="R339" s="334" t="n"/>
      <c r="S339" s="334" t="n"/>
      <c r="T339" s="334" t="n"/>
      <c r="U339" s="334" t="n"/>
      <c r="V339" s="334" t="n"/>
      <c r="W339" s="334" t="n"/>
      <c r="X339" s="334" t="n"/>
      <c r="Y339" s="334" t="n"/>
      <c r="Z339" s="375">
        <f>IF(AND(G339&lt;&gt;"",R339&lt;&gt;"",V339&lt;&gt;"",W339&lt;&gt;""),"COMPLETADO","OBSERVADO")</f>
        <v/>
      </c>
    </row>
    <row r="340" ht="15" customHeight="1" s="195">
      <c r="A340" s="280" t="n"/>
      <c r="B340" s="280" t="n"/>
      <c r="C340" s="280" t="n"/>
      <c r="D340" s="280" t="n"/>
      <c r="E340" s="280" t="n"/>
      <c r="F340" s="280" t="n"/>
      <c r="G340" s="280" t="n"/>
      <c r="H340" s="280" t="n"/>
      <c r="I340" s="332">
        <f>IFERROR(VLOOKUP(TEXT(H340,"0"),IPRESS!$A$3:$B$212,2,0),"")</f>
        <v/>
      </c>
      <c r="J340" s="280" t="n"/>
      <c r="K340" s="332">
        <f>IFERROR(VLOOKUP(TEXT(O340,"0"),CONDUCTORES!$A$3:$G$54,7,0),"")</f>
        <v/>
      </c>
      <c r="L340" s="280" t="n"/>
      <c r="M340" s="280" t="n"/>
      <c r="N340" s="333">
        <f>IFERROR(IF(L340*M340=0,"",L340*M340),"")</f>
        <v/>
      </c>
      <c r="O340" s="280" t="n"/>
      <c r="P340" s="332">
        <f>IFERROR(VLOOKUP(TEXT(O340,"0"),CONDUCTORES!$A$3:$G$54,2,0),"")</f>
        <v/>
      </c>
      <c r="Q340" s="332">
        <f>IFERROR(VLOOKUP(TEXT(O340,"0"),CONDUCTORES!$A$3:$H$54,6,0),"")</f>
        <v/>
      </c>
      <c r="R340" s="280" t="n"/>
      <c r="S340" s="280" t="n"/>
      <c r="T340" s="280" t="n"/>
      <c r="U340" s="280" t="n"/>
      <c r="V340" s="280" t="n"/>
      <c r="W340" s="280" t="n"/>
      <c r="X340" s="280" t="n"/>
      <c r="Y340" s="280" t="n"/>
      <c r="Z340" s="375">
        <f>IF(AND(G340&lt;&gt;"",R340&lt;&gt;"",V340&lt;&gt;"",W340&lt;&gt;""),"COMPLETADO","OBSERVADO")</f>
        <v/>
      </c>
    </row>
    <row r="341" ht="15" customHeight="1" s="195">
      <c r="A341" s="334" t="n"/>
      <c r="B341" s="334" t="n"/>
      <c r="C341" s="334" t="n"/>
      <c r="D341" s="334" t="n"/>
      <c r="E341" s="334" t="n"/>
      <c r="F341" s="334" t="n"/>
      <c r="G341" s="334" t="n"/>
      <c r="H341" s="334" t="n"/>
      <c r="I341" s="332">
        <f>IFERROR(VLOOKUP(TEXT(H341,"0"),IPRESS!$A$3:$B$212,2,0),"")</f>
        <v/>
      </c>
      <c r="J341" s="334" t="n"/>
      <c r="K341" s="332">
        <f>IFERROR(VLOOKUP(TEXT(O341,"0"),CONDUCTORES!$A$3:$G$54,7,0),"")</f>
        <v/>
      </c>
      <c r="L341" s="334" t="n"/>
      <c r="M341" s="334" t="n"/>
      <c r="N341" s="333">
        <f>IFERROR(IF(L341*M341=0,"",L341*M341),"")</f>
        <v/>
      </c>
      <c r="O341" s="334" t="n"/>
      <c r="P341" s="332">
        <f>IFERROR(VLOOKUP(TEXT(O341,"0"),CONDUCTORES!$A$3:$G$54,2,0),"")</f>
        <v/>
      </c>
      <c r="Q341" s="332">
        <f>IFERROR(VLOOKUP(TEXT(O341,"0"),CONDUCTORES!$A$3:$H$54,6,0),"")</f>
        <v/>
      </c>
      <c r="R341" s="334" t="n"/>
      <c r="S341" s="334" t="n"/>
      <c r="T341" s="334" t="n"/>
      <c r="U341" s="334" t="n"/>
      <c r="V341" s="334" t="n"/>
      <c r="W341" s="334" t="n"/>
      <c r="X341" s="334" t="n"/>
      <c r="Y341" s="334" t="n"/>
      <c r="Z341" s="375">
        <f>IF(AND(G341&lt;&gt;"",R341&lt;&gt;"",V341&lt;&gt;"",W341&lt;&gt;""),"COMPLETADO","OBSERVADO")</f>
        <v/>
      </c>
    </row>
    <row r="342" ht="15" customHeight="1" s="195">
      <c r="A342" s="280" t="n"/>
      <c r="B342" s="280" t="n"/>
      <c r="C342" s="280" t="n"/>
      <c r="D342" s="280" t="n"/>
      <c r="E342" s="280" t="n"/>
      <c r="F342" s="280" t="n"/>
      <c r="G342" s="280" t="n"/>
      <c r="H342" s="280" t="n"/>
      <c r="I342" s="332">
        <f>IFERROR(VLOOKUP(TEXT(H342,"0"),IPRESS!$A$3:$B$212,2,0),"")</f>
        <v/>
      </c>
      <c r="J342" s="280" t="n"/>
      <c r="K342" s="332">
        <f>IFERROR(VLOOKUP(TEXT(O342,"0"),CONDUCTORES!$A$3:$G$54,7,0),"")</f>
        <v/>
      </c>
      <c r="L342" s="280" t="n"/>
      <c r="M342" s="280" t="n"/>
      <c r="N342" s="333">
        <f>IFERROR(IF(L342*M342=0,"",L342*M342),"")</f>
        <v/>
      </c>
      <c r="O342" s="280" t="n"/>
      <c r="P342" s="332">
        <f>IFERROR(VLOOKUP(TEXT(O342,"0"),CONDUCTORES!$A$3:$G$54,2,0),"")</f>
        <v/>
      </c>
      <c r="Q342" s="332">
        <f>IFERROR(VLOOKUP(TEXT(O342,"0"),CONDUCTORES!$A$3:$H$54,6,0),"")</f>
        <v/>
      </c>
      <c r="R342" s="280" t="n"/>
      <c r="S342" s="280" t="n"/>
      <c r="T342" s="280" t="n"/>
      <c r="U342" s="280" t="n"/>
      <c r="V342" s="280" t="n"/>
      <c r="W342" s="280" t="n"/>
      <c r="X342" s="280" t="n"/>
      <c r="Y342" s="280" t="n"/>
      <c r="Z342" s="375">
        <f>IF(AND(G342&lt;&gt;"",R342&lt;&gt;"",V342&lt;&gt;"",W342&lt;&gt;""),"COMPLETADO","OBSERVADO")</f>
        <v/>
      </c>
    </row>
    <row r="343" ht="15" customHeight="1" s="195">
      <c r="A343" s="334" t="n"/>
      <c r="B343" s="334" t="n"/>
      <c r="C343" s="334" t="n"/>
      <c r="D343" s="334" t="n"/>
      <c r="E343" s="334" t="n"/>
      <c r="F343" s="334" t="n"/>
      <c r="G343" s="334" t="n"/>
      <c r="H343" s="334" t="n"/>
      <c r="I343" s="332">
        <f>IFERROR(VLOOKUP(TEXT(H343,"0"),IPRESS!$A$3:$B$212,2,0),"")</f>
        <v/>
      </c>
      <c r="J343" s="334" t="n"/>
      <c r="K343" s="332">
        <f>IFERROR(VLOOKUP(TEXT(O343,"0"),CONDUCTORES!$A$3:$G$54,7,0),"")</f>
        <v/>
      </c>
      <c r="L343" s="334" t="n"/>
      <c r="M343" s="334" t="n"/>
      <c r="N343" s="333">
        <f>IFERROR(IF(L343*M343=0,"",L343*M343),"")</f>
        <v/>
      </c>
      <c r="O343" s="334" t="n"/>
      <c r="P343" s="332">
        <f>IFERROR(VLOOKUP(TEXT(O343,"0"),CONDUCTORES!$A$3:$G$54,2,0),"")</f>
        <v/>
      </c>
      <c r="Q343" s="332">
        <f>IFERROR(VLOOKUP(TEXT(O343,"0"),CONDUCTORES!$A$3:$H$54,6,0),"")</f>
        <v/>
      </c>
      <c r="R343" s="334" t="n"/>
      <c r="S343" s="334" t="n"/>
      <c r="T343" s="334" t="n"/>
      <c r="U343" s="334" t="n"/>
      <c r="V343" s="334" t="n"/>
      <c r="W343" s="334" t="n"/>
      <c r="X343" s="334" t="n"/>
      <c r="Y343" s="334" t="n"/>
      <c r="Z343" s="375">
        <f>IF(AND(G343&lt;&gt;"",R343&lt;&gt;"",V343&lt;&gt;"",W343&lt;&gt;""),"COMPLETADO","OBSERVADO")</f>
        <v/>
      </c>
    </row>
    <row r="344" ht="15" customHeight="1" s="195">
      <c r="A344" s="280" t="n"/>
      <c r="B344" s="280" t="n"/>
      <c r="C344" s="280" t="n"/>
      <c r="D344" s="280" t="n"/>
      <c r="E344" s="280" t="n"/>
      <c r="F344" s="280" t="n"/>
      <c r="G344" s="280" t="n"/>
      <c r="H344" s="280" t="n"/>
      <c r="I344" s="332">
        <f>IFERROR(VLOOKUP(TEXT(H344,"0"),IPRESS!$A$3:$B$212,2,0),"")</f>
        <v/>
      </c>
      <c r="J344" s="280" t="n"/>
      <c r="K344" s="332">
        <f>IFERROR(VLOOKUP(TEXT(O344,"0"),CONDUCTORES!$A$3:$G$54,7,0),"")</f>
        <v/>
      </c>
      <c r="L344" s="280" t="n"/>
      <c r="M344" s="280" t="n"/>
      <c r="N344" s="333">
        <f>IFERROR(IF(L344*M344=0,"",L344*M344),"")</f>
        <v/>
      </c>
      <c r="O344" s="280" t="n"/>
      <c r="P344" s="332">
        <f>IFERROR(VLOOKUP(TEXT(O344,"0"),CONDUCTORES!$A$3:$G$54,2,0),"")</f>
        <v/>
      </c>
      <c r="Q344" s="332">
        <f>IFERROR(VLOOKUP(TEXT(O344,"0"),CONDUCTORES!$A$3:$H$54,6,0),"")</f>
        <v/>
      </c>
      <c r="R344" s="280" t="n"/>
      <c r="S344" s="280" t="n"/>
      <c r="T344" s="280" t="n"/>
      <c r="U344" s="280" t="n"/>
      <c r="V344" s="280" t="n"/>
      <c r="W344" s="280" t="n"/>
      <c r="X344" s="280" t="n"/>
      <c r="Y344" s="280" t="n"/>
      <c r="Z344" s="375">
        <f>IF(AND(G344&lt;&gt;"",R344&lt;&gt;"",V344&lt;&gt;"",W344&lt;&gt;""),"COMPLETADO","OBSERVADO")</f>
        <v/>
      </c>
    </row>
    <row r="345" ht="15" customHeight="1" s="195">
      <c r="A345" s="334" t="n"/>
      <c r="B345" s="334" t="n"/>
      <c r="C345" s="334" t="n"/>
      <c r="D345" s="334" t="n"/>
      <c r="E345" s="334" t="n"/>
      <c r="F345" s="334" t="n"/>
      <c r="G345" s="334" t="n"/>
      <c r="H345" s="334" t="n"/>
      <c r="I345" s="332">
        <f>IFERROR(VLOOKUP(TEXT(H345,"0"),IPRESS!$A$3:$B$212,2,0),"")</f>
        <v/>
      </c>
      <c r="J345" s="334" t="n"/>
      <c r="K345" s="332">
        <f>IFERROR(VLOOKUP(TEXT(O345,"0"),CONDUCTORES!$A$3:$G$54,7,0),"")</f>
        <v/>
      </c>
      <c r="L345" s="334" t="n"/>
      <c r="M345" s="334" t="n"/>
      <c r="N345" s="333">
        <f>IFERROR(IF(L345*M345=0,"",L345*M345),"")</f>
        <v/>
      </c>
      <c r="O345" s="334" t="n"/>
      <c r="P345" s="332">
        <f>IFERROR(VLOOKUP(TEXT(O345,"0"),CONDUCTORES!$A$3:$G$54,2,0),"")</f>
        <v/>
      </c>
      <c r="Q345" s="332">
        <f>IFERROR(VLOOKUP(TEXT(O345,"0"),CONDUCTORES!$A$3:$H$54,6,0),"")</f>
        <v/>
      </c>
      <c r="R345" s="334" t="n"/>
      <c r="S345" s="334" t="n"/>
      <c r="T345" s="334" t="n"/>
      <c r="U345" s="334" t="n"/>
      <c r="V345" s="334" t="n"/>
      <c r="W345" s="334" t="n"/>
      <c r="X345" s="334" t="n"/>
      <c r="Y345" s="334" t="n"/>
      <c r="Z345" s="375">
        <f>IF(AND(G345&lt;&gt;"",R345&lt;&gt;"",V345&lt;&gt;"",W345&lt;&gt;""),"COMPLETADO","OBSERVADO")</f>
        <v/>
      </c>
    </row>
    <row r="346" ht="15" customHeight="1" s="195">
      <c r="A346" s="280" t="n"/>
      <c r="B346" s="280" t="n"/>
      <c r="C346" s="280" t="n"/>
      <c r="D346" s="280" t="n"/>
      <c r="E346" s="280" t="n"/>
      <c r="F346" s="280" t="n"/>
      <c r="G346" s="280" t="n"/>
      <c r="H346" s="280" t="n"/>
      <c r="I346" s="332">
        <f>IFERROR(VLOOKUP(TEXT(H346,"0"),IPRESS!$A$3:$B$212,2,0),"")</f>
        <v/>
      </c>
      <c r="J346" s="280" t="n"/>
      <c r="K346" s="332">
        <f>IFERROR(VLOOKUP(TEXT(O346,"0"),CONDUCTORES!$A$3:$G$54,7,0),"")</f>
        <v/>
      </c>
      <c r="L346" s="280" t="n"/>
      <c r="M346" s="280" t="n"/>
      <c r="N346" s="333">
        <f>IFERROR(IF(L346*M346=0,"",L346*M346),"")</f>
        <v/>
      </c>
      <c r="O346" s="280" t="n"/>
      <c r="P346" s="332">
        <f>IFERROR(VLOOKUP(TEXT(O346,"0"),CONDUCTORES!$A$3:$G$54,2,0),"")</f>
        <v/>
      </c>
      <c r="Q346" s="332">
        <f>IFERROR(VLOOKUP(TEXT(O346,"0"),CONDUCTORES!$A$3:$H$54,6,0),"")</f>
        <v/>
      </c>
      <c r="R346" s="280" t="n"/>
      <c r="S346" s="280" t="n"/>
      <c r="T346" s="280" t="n"/>
      <c r="U346" s="280" t="n"/>
      <c r="V346" s="280" t="n"/>
      <c r="W346" s="280" t="n"/>
      <c r="X346" s="280" t="n"/>
      <c r="Y346" s="280" t="n"/>
      <c r="Z346" s="375">
        <f>IF(AND(G346&lt;&gt;"",R346&lt;&gt;"",V346&lt;&gt;"",W346&lt;&gt;""),"COMPLETADO","OBSERVADO")</f>
        <v/>
      </c>
    </row>
    <row r="347" ht="15" customHeight="1" s="195">
      <c r="A347" s="334" t="n"/>
      <c r="B347" s="334" t="n"/>
      <c r="C347" s="334" t="n"/>
      <c r="D347" s="334" t="n"/>
      <c r="E347" s="334" t="n"/>
      <c r="F347" s="334" t="n"/>
      <c r="G347" s="334" t="n"/>
      <c r="H347" s="334" t="n"/>
      <c r="I347" s="332">
        <f>IFERROR(VLOOKUP(TEXT(H347,"0"),IPRESS!$A$3:$B$212,2,0),"")</f>
        <v/>
      </c>
      <c r="J347" s="334" t="n"/>
      <c r="K347" s="332">
        <f>IFERROR(VLOOKUP(TEXT(O347,"0"),CONDUCTORES!$A$3:$G$54,7,0),"")</f>
        <v/>
      </c>
      <c r="L347" s="334" t="n"/>
      <c r="M347" s="334" t="n"/>
      <c r="N347" s="333">
        <f>IFERROR(IF(L347*M347=0,"",L347*M347),"")</f>
        <v/>
      </c>
      <c r="O347" s="334" t="n"/>
      <c r="P347" s="332">
        <f>IFERROR(VLOOKUP(TEXT(O347,"0"),CONDUCTORES!$A$3:$G$54,2,0),"")</f>
        <v/>
      </c>
      <c r="Q347" s="332">
        <f>IFERROR(VLOOKUP(TEXT(O347,"0"),CONDUCTORES!$A$3:$H$54,6,0),"")</f>
        <v/>
      </c>
      <c r="R347" s="334" t="n"/>
      <c r="S347" s="334" t="n"/>
      <c r="T347" s="334" t="n"/>
      <c r="U347" s="334" t="n"/>
      <c r="V347" s="334" t="n"/>
      <c r="W347" s="334" t="n"/>
      <c r="X347" s="334" t="n"/>
      <c r="Y347" s="334" t="n"/>
      <c r="Z347" s="375">
        <f>IF(AND(G347&lt;&gt;"",R347&lt;&gt;"",V347&lt;&gt;"",W347&lt;&gt;""),"COMPLETADO","OBSERVADO")</f>
        <v/>
      </c>
    </row>
    <row r="348" ht="15" customHeight="1" s="195">
      <c r="A348" s="280" t="n"/>
      <c r="B348" s="280" t="n"/>
      <c r="C348" s="280" t="n"/>
      <c r="D348" s="280" t="n"/>
      <c r="E348" s="280" t="n"/>
      <c r="F348" s="280" t="n"/>
      <c r="G348" s="280" t="n"/>
      <c r="H348" s="280" t="n"/>
      <c r="I348" s="332">
        <f>IFERROR(VLOOKUP(TEXT(H348,"0"),IPRESS!$A$3:$B$212,2,0),"")</f>
        <v/>
      </c>
      <c r="J348" s="280" t="n"/>
      <c r="K348" s="332">
        <f>IFERROR(VLOOKUP(TEXT(O348,"0"),CONDUCTORES!$A$3:$G$54,7,0),"")</f>
        <v/>
      </c>
      <c r="L348" s="280" t="n"/>
      <c r="M348" s="280" t="n"/>
      <c r="N348" s="333">
        <f>IFERROR(IF(L348*M348=0,"",L348*M348),"")</f>
        <v/>
      </c>
      <c r="O348" s="280" t="n"/>
      <c r="P348" s="332">
        <f>IFERROR(VLOOKUP(TEXT(O348,"0"),CONDUCTORES!$A$3:$G$54,2,0),"")</f>
        <v/>
      </c>
      <c r="Q348" s="332">
        <f>IFERROR(VLOOKUP(TEXT(O348,"0"),CONDUCTORES!$A$3:$H$54,6,0),"")</f>
        <v/>
      </c>
      <c r="R348" s="280" t="n"/>
      <c r="S348" s="280" t="n"/>
      <c r="T348" s="280" t="n"/>
      <c r="U348" s="280" t="n"/>
      <c r="V348" s="280" t="n"/>
      <c r="W348" s="280" t="n"/>
      <c r="X348" s="280" t="n"/>
      <c r="Y348" s="280" t="n"/>
      <c r="Z348" s="375">
        <f>IF(AND(G348&lt;&gt;"",R348&lt;&gt;"",V348&lt;&gt;"",W348&lt;&gt;""),"COMPLETADO","OBSERVADO")</f>
        <v/>
      </c>
    </row>
    <row r="349" ht="15" customHeight="1" s="195">
      <c r="A349" s="334" t="n"/>
      <c r="B349" s="334" t="n"/>
      <c r="C349" s="334" t="n"/>
      <c r="D349" s="334" t="n"/>
      <c r="E349" s="334" t="n"/>
      <c r="F349" s="334" t="n"/>
      <c r="G349" s="334" t="n"/>
      <c r="H349" s="334" t="n"/>
      <c r="I349" s="332">
        <f>IFERROR(VLOOKUP(TEXT(H349,"0"),IPRESS!$A$3:$B$212,2,0),"")</f>
        <v/>
      </c>
      <c r="J349" s="334" t="n"/>
      <c r="K349" s="332">
        <f>IFERROR(VLOOKUP(TEXT(O349,"0"),CONDUCTORES!$A$3:$G$54,7,0),"")</f>
        <v/>
      </c>
      <c r="L349" s="334" t="n"/>
      <c r="M349" s="334" t="n"/>
      <c r="N349" s="333">
        <f>IFERROR(IF(L349*M349=0,"",L349*M349),"")</f>
        <v/>
      </c>
      <c r="O349" s="334" t="n"/>
      <c r="P349" s="332">
        <f>IFERROR(VLOOKUP(TEXT(O349,"0"),CONDUCTORES!$A$3:$G$54,2,0),"")</f>
        <v/>
      </c>
      <c r="Q349" s="332">
        <f>IFERROR(VLOOKUP(TEXT(O349,"0"),CONDUCTORES!$A$3:$H$54,6,0),"")</f>
        <v/>
      </c>
      <c r="R349" s="334" t="n"/>
      <c r="S349" s="334" t="n"/>
      <c r="T349" s="334" t="n"/>
      <c r="U349" s="334" t="n"/>
      <c r="V349" s="334" t="n"/>
      <c r="W349" s="334" t="n"/>
      <c r="X349" s="334" t="n"/>
      <c r="Y349" s="334" t="n"/>
      <c r="Z349" s="375">
        <f>IF(AND(G349&lt;&gt;"",R349&lt;&gt;"",V349&lt;&gt;"",W349&lt;&gt;""),"COMPLETADO","OBSERVADO")</f>
        <v/>
      </c>
    </row>
    <row r="350" ht="15" customHeight="1" s="195">
      <c r="A350" s="280" t="n"/>
      <c r="B350" s="280" t="n"/>
      <c r="C350" s="280" t="n"/>
      <c r="D350" s="280" t="n"/>
      <c r="E350" s="280" t="n"/>
      <c r="F350" s="280" t="n"/>
      <c r="G350" s="280" t="n"/>
      <c r="H350" s="280" t="n"/>
      <c r="I350" s="332">
        <f>IFERROR(VLOOKUP(TEXT(H350,"0"),IPRESS!$A$3:$B$212,2,0),"")</f>
        <v/>
      </c>
      <c r="J350" s="280" t="n"/>
      <c r="K350" s="332">
        <f>IFERROR(VLOOKUP(TEXT(O350,"0"),CONDUCTORES!$A$3:$G$54,7,0),"")</f>
        <v/>
      </c>
      <c r="L350" s="280" t="n"/>
      <c r="M350" s="280" t="n"/>
      <c r="N350" s="333">
        <f>IFERROR(IF(L350*M350=0,"",L350*M350),"")</f>
        <v/>
      </c>
      <c r="O350" s="280" t="n"/>
      <c r="P350" s="332">
        <f>IFERROR(VLOOKUP(TEXT(O350,"0"),CONDUCTORES!$A$3:$G$54,2,0),"")</f>
        <v/>
      </c>
      <c r="Q350" s="332">
        <f>IFERROR(VLOOKUP(TEXT(O350,"0"),CONDUCTORES!$A$3:$H$54,6,0),"")</f>
        <v/>
      </c>
      <c r="R350" s="280" t="n"/>
      <c r="S350" s="280" t="n"/>
      <c r="T350" s="280" t="n"/>
      <c r="U350" s="280" t="n"/>
      <c r="V350" s="280" t="n"/>
      <c r="W350" s="280" t="n"/>
      <c r="X350" s="280" t="n"/>
      <c r="Y350" s="280" t="n"/>
      <c r="Z350" s="375">
        <f>IF(AND(G350&lt;&gt;"",R350&lt;&gt;"",V350&lt;&gt;"",W350&lt;&gt;""),"COMPLETADO","OBSERVADO")</f>
        <v/>
      </c>
    </row>
    <row r="351" ht="15" customHeight="1" s="195">
      <c r="A351" s="334" t="n"/>
      <c r="B351" s="334" t="n"/>
      <c r="C351" s="334" t="n"/>
      <c r="D351" s="334" t="n"/>
      <c r="E351" s="334" t="n"/>
      <c r="F351" s="334" t="n"/>
      <c r="G351" s="334" t="n"/>
      <c r="H351" s="334" t="n"/>
      <c r="I351" s="332">
        <f>IFERROR(VLOOKUP(TEXT(H351,"0"),IPRESS!$A$3:$B$212,2,0),"")</f>
        <v/>
      </c>
      <c r="J351" s="334" t="n"/>
      <c r="K351" s="332">
        <f>IFERROR(VLOOKUP(TEXT(O351,"0"),CONDUCTORES!$A$3:$G$54,7,0),"")</f>
        <v/>
      </c>
      <c r="L351" s="334" t="n"/>
      <c r="M351" s="334" t="n"/>
      <c r="N351" s="333">
        <f>IFERROR(IF(L351*M351=0,"",L351*M351),"")</f>
        <v/>
      </c>
      <c r="O351" s="334" t="n"/>
      <c r="P351" s="332">
        <f>IFERROR(VLOOKUP(TEXT(O351,"0"),CONDUCTORES!$A$3:$G$54,2,0),"")</f>
        <v/>
      </c>
      <c r="Q351" s="332">
        <f>IFERROR(VLOOKUP(TEXT(O351,"0"),CONDUCTORES!$A$3:$H$54,6,0),"")</f>
        <v/>
      </c>
      <c r="R351" s="334" t="n"/>
      <c r="S351" s="334" t="n"/>
      <c r="T351" s="334" t="n"/>
      <c r="U351" s="334" t="n"/>
      <c r="V351" s="334" t="n"/>
      <c r="W351" s="334" t="n"/>
      <c r="X351" s="334" t="n"/>
      <c r="Y351" s="334" t="n"/>
      <c r="Z351" s="375">
        <f>IF(AND(G351&lt;&gt;"",R351&lt;&gt;"",V351&lt;&gt;"",W351&lt;&gt;""),"COMPLETADO","OBSERVADO")</f>
        <v/>
      </c>
    </row>
    <row r="352" ht="15" customHeight="1" s="195">
      <c r="A352" s="280" t="n"/>
      <c r="B352" s="280" t="n"/>
      <c r="C352" s="280" t="n"/>
      <c r="D352" s="280" t="n"/>
      <c r="E352" s="280" t="n"/>
      <c r="F352" s="280" t="n"/>
      <c r="G352" s="280" t="n"/>
      <c r="H352" s="280" t="n"/>
      <c r="I352" s="332">
        <f>IFERROR(VLOOKUP(TEXT(H352,"0"),IPRESS!$A$3:$B$212,2,0),"")</f>
        <v/>
      </c>
      <c r="J352" s="280" t="n"/>
      <c r="K352" s="332">
        <f>IFERROR(VLOOKUP(TEXT(O352,"0"),CONDUCTORES!$A$3:$G$54,7,0),"")</f>
        <v/>
      </c>
      <c r="L352" s="280" t="n"/>
      <c r="M352" s="280" t="n"/>
      <c r="N352" s="333">
        <f>IFERROR(IF(L352*M352=0,"",L352*M352),"")</f>
        <v/>
      </c>
      <c r="O352" s="280" t="n"/>
      <c r="P352" s="332">
        <f>IFERROR(VLOOKUP(TEXT(O352,"0"),CONDUCTORES!$A$3:$G$54,2,0),"")</f>
        <v/>
      </c>
      <c r="Q352" s="332">
        <f>IFERROR(VLOOKUP(TEXT(O352,"0"),CONDUCTORES!$A$3:$H$54,6,0),"")</f>
        <v/>
      </c>
      <c r="R352" s="280" t="n"/>
      <c r="S352" s="280" t="n"/>
      <c r="T352" s="280" t="n"/>
      <c r="U352" s="280" t="n"/>
      <c r="V352" s="280" t="n"/>
      <c r="W352" s="280" t="n"/>
      <c r="X352" s="280" t="n"/>
      <c r="Y352" s="280" t="n"/>
      <c r="Z352" s="375">
        <f>IF(AND(G352&lt;&gt;"",R352&lt;&gt;"",V352&lt;&gt;"",W352&lt;&gt;""),"COMPLETADO","OBSERVADO")</f>
        <v/>
      </c>
    </row>
    <row r="353" ht="15" customHeight="1" s="195">
      <c r="A353" s="334" t="n"/>
      <c r="B353" s="334" t="n"/>
      <c r="C353" s="334" t="n"/>
      <c r="D353" s="334" t="n"/>
      <c r="E353" s="334" t="n"/>
      <c r="F353" s="334" t="n"/>
      <c r="G353" s="334" t="n"/>
      <c r="H353" s="334" t="n"/>
      <c r="I353" s="332">
        <f>IFERROR(VLOOKUP(TEXT(H353,"0"),IPRESS!$A$3:$B$212,2,0),"")</f>
        <v/>
      </c>
      <c r="J353" s="334" t="n"/>
      <c r="K353" s="332">
        <f>IFERROR(VLOOKUP(TEXT(O353,"0"),CONDUCTORES!$A$3:$G$54,7,0),"")</f>
        <v/>
      </c>
      <c r="L353" s="334" t="n"/>
      <c r="M353" s="334" t="n"/>
      <c r="N353" s="333">
        <f>IFERROR(IF(L353*M353=0,"",L353*M353),"")</f>
        <v/>
      </c>
      <c r="O353" s="334" t="n"/>
      <c r="P353" s="332">
        <f>IFERROR(VLOOKUP(TEXT(O353,"0"),CONDUCTORES!$A$3:$G$54,2,0),"")</f>
        <v/>
      </c>
      <c r="Q353" s="332">
        <f>IFERROR(VLOOKUP(TEXT(O353,"0"),CONDUCTORES!$A$3:$H$54,6,0),"")</f>
        <v/>
      </c>
      <c r="R353" s="334" t="n"/>
      <c r="S353" s="334" t="n"/>
      <c r="T353" s="334" t="n"/>
      <c r="U353" s="334" t="n"/>
      <c r="V353" s="334" t="n"/>
      <c r="W353" s="334" t="n"/>
      <c r="X353" s="334" t="n"/>
      <c r="Y353" s="334" t="n"/>
      <c r="Z353" s="375">
        <f>IF(AND(G353&lt;&gt;"",R353&lt;&gt;"",V353&lt;&gt;"",W353&lt;&gt;""),"COMPLETADO","OBSERVADO")</f>
        <v/>
      </c>
    </row>
    <row r="354" ht="15" customHeight="1" s="195">
      <c r="A354" s="280" t="n"/>
      <c r="B354" s="280" t="n"/>
      <c r="C354" s="280" t="n"/>
      <c r="D354" s="280" t="n"/>
      <c r="E354" s="280" t="n"/>
      <c r="F354" s="280" t="n"/>
      <c r="G354" s="280" t="n"/>
      <c r="H354" s="280" t="n"/>
      <c r="I354" s="332">
        <f>IFERROR(VLOOKUP(TEXT(H354,"0"),IPRESS!$A$3:$B$212,2,0),"")</f>
        <v/>
      </c>
      <c r="J354" s="280" t="n"/>
      <c r="K354" s="332">
        <f>IFERROR(VLOOKUP(TEXT(O354,"0"),CONDUCTORES!$A$3:$G$54,7,0),"")</f>
        <v/>
      </c>
      <c r="L354" s="280" t="n"/>
      <c r="M354" s="280" t="n"/>
      <c r="N354" s="333">
        <f>IFERROR(IF(L354*M354=0,"",L354*M354),"")</f>
        <v/>
      </c>
      <c r="O354" s="280" t="n"/>
      <c r="P354" s="332">
        <f>IFERROR(VLOOKUP(TEXT(O354,"0"),CONDUCTORES!$A$3:$G$54,2,0),"")</f>
        <v/>
      </c>
      <c r="Q354" s="332">
        <f>IFERROR(VLOOKUP(TEXT(O354,"0"),CONDUCTORES!$A$3:$H$54,6,0),"")</f>
        <v/>
      </c>
      <c r="R354" s="280" t="n"/>
      <c r="S354" s="280" t="n"/>
      <c r="T354" s="280" t="n"/>
      <c r="U354" s="280" t="n"/>
      <c r="V354" s="280" t="n"/>
      <c r="W354" s="280" t="n"/>
      <c r="X354" s="280" t="n"/>
      <c r="Y354" s="280" t="n"/>
      <c r="Z354" s="375">
        <f>IF(AND(G354&lt;&gt;"",R354&lt;&gt;"",V354&lt;&gt;"",W354&lt;&gt;""),"COMPLETADO","OBSERVADO")</f>
        <v/>
      </c>
    </row>
    <row r="355" ht="15" customHeight="1" s="195">
      <c r="A355" s="334" t="n"/>
      <c r="B355" s="334" t="n"/>
      <c r="C355" s="334" t="n"/>
      <c r="D355" s="334" t="n"/>
      <c r="E355" s="334" t="n"/>
      <c r="F355" s="334" t="n"/>
      <c r="G355" s="334" t="n"/>
      <c r="H355" s="334" t="n"/>
      <c r="I355" s="332">
        <f>IFERROR(VLOOKUP(TEXT(H355,"0"),IPRESS!$A$3:$B$212,2,0),"")</f>
        <v/>
      </c>
      <c r="J355" s="334" t="n"/>
      <c r="K355" s="332">
        <f>IFERROR(VLOOKUP(TEXT(O355,"0"),CONDUCTORES!$A$3:$G$54,7,0),"")</f>
        <v/>
      </c>
      <c r="L355" s="334" t="n"/>
      <c r="M355" s="334" t="n"/>
      <c r="N355" s="333">
        <f>IFERROR(IF(L355*M355=0,"",L355*M355),"")</f>
        <v/>
      </c>
      <c r="O355" s="334" t="n"/>
      <c r="P355" s="332">
        <f>IFERROR(VLOOKUP(TEXT(O355,"0"),CONDUCTORES!$A$3:$G$54,2,0),"")</f>
        <v/>
      </c>
      <c r="Q355" s="332">
        <f>IFERROR(VLOOKUP(TEXT(O355,"0"),CONDUCTORES!$A$3:$H$54,6,0),"")</f>
        <v/>
      </c>
      <c r="R355" s="334" t="n"/>
      <c r="S355" s="334" t="n"/>
      <c r="T355" s="334" t="n"/>
      <c r="U355" s="334" t="n"/>
      <c r="V355" s="334" t="n"/>
      <c r="W355" s="334" t="n"/>
      <c r="X355" s="334" t="n"/>
      <c r="Y355" s="334" t="n"/>
      <c r="Z355" s="375">
        <f>IF(AND(G355&lt;&gt;"",R355&lt;&gt;"",V355&lt;&gt;"",W355&lt;&gt;""),"COMPLETADO","OBSERVADO")</f>
        <v/>
      </c>
    </row>
    <row r="356" ht="15" customHeight="1" s="195">
      <c r="A356" s="280" t="n"/>
      <c r="B356" s="280" t="n"/>
      <c r="C356" s="280" t="n"/>
      <c r="D356" s="280" t="n"/>
      <c r="E356" s="280" t="n"/>
      <c r="F356" s="280" t="n"/>
      <c r="G356" s="280" t="n"/>
      <c r="H356" s="280" t="n"/>
      <c r="I356" s="332">
        <f>IFERROR(VLOOKUP(TEXT(H356,"0"),IPRESS!$A$3:$B$212,2,0),"")</f>
        <v/>
      </c>
      <c r="J356" s="280" t="n"/>
      <c r="K356" s="332">
        <f>IFERROR(VLOOKUP(TEXT(O356,"0"),CONDUCTORES!$A$3:$G$54,7,0),"")</f>
        <v/>
      </c>
      <c r="L356" s="280" t="n"/>
      <c r="M356" s="280" t="n"/>
      <c r="N356" s="333">
        <f>IFERROR(IF(L356*M356=0,"",L356*M356),"")</f>
        <v/>
      </c>
      <c r="O356" s="280" t="n"/>
      <c r="P356" s="332">
        <f>IFERROR(VLOOKUP(TEXT(O356,"0"),CONDUCTORES!$A$3:$G$54,2,0),"")</f>
        <v/>
      </c>
      <c r="Q356" s="332">
        <f>IFERROR(VLOOKUP(TEXT(O356,"0"),CONDUCTORES!$A$3:$H$54,6,0),"")</f>
        <v/>
      </c>
      <c r="R356" s="280" t="n"/>
      <c r="S356" s="280" t="n"/>
      <c r="T356" s="280" t="n"/>
      <c r="U356" s="280" t="n"/>
      <c r="V356" s="280" t="n"/>
      <c r="W356" s="280" t="n"/>
      <c r="X356" s="280" t="n"/>
      <c r="Y356" s="280" t="n"/>
      <c r="Z356" s="375">
        <f>IF(AND(G356&lt;&gt;"",R356&lt;&gt;"",V356&lt;&gt;"",W356&lt;&gt;""),"COMPLETADO","OBSERVADO")</f>
        <v/>
      </c>
    </row>
    <row r="357" ht="15" customHeight="1" s="195">
      <c r="A357" s="334" t="n"/>
      <c r="B357" s="334" t="n"/>
      <c r="C357" s="334" t="n"/>
      <c r="D357" s="334" t="n"/>
      <c r="E357" s="334" t="n"/>
      <c r="F357" s="334" t="n"/>
      <c r="G357" s="334" t="n"/>
      <c r="H357" s="334" t="n"/>
      <c r="I357" s="332">
        <f>IFERROR(VLOOKUP(TEXT(H357,"0"),IPRESS!$A$3:$B$212,2,0),"")</f>
        <v/>
      </c>
      <c r="J357" s="334" t="n"/>
      <c r="K357" s="332">
        <f>IFERROR(VLOOKUP(TEXT(O357,"0"),CONDUCTORES!$A$3:$G$54,7,0),"")</f>
        <v/>
      </c>
      <c r="L357" s="334" t="n"/>
      <c r="M357" s="334" t="n"/>
      <c r="N357" s="333">
        <f>IFERROR(IF(L357*M357=0,"",L357*M357),"")</f>
        <v/>
      </c>
      <c r="O357" s="334" t="n"/>
      <c r="P357" s="332">
        <f>IFERROR(VLOOKUP(TEXT(O357,"0"),CONDUCTORES!$A$3:$G$54,2,0),"")</f>
        <v/>
      </c>
      <c r="Q357" s="332">
        <f>IFERROR(VLOOKUP(TEXT(O357,"0"),CONDUCTORES!$A$3:$H$54,6,0),"")</f>
        <v/>
      </c>
      <c r="R357" s="334" t="n"/>
      <c r="S357" s="334" t="n"/>
      <c r="T357" s="334" t="n"/>
      <c r="U357" s="334" t="n"/>
      <c r="V357" s="334" t="n"/>
      <c r="W357" s="334" t="n"/>
      <c r="X357" s="334" t="n"/>
      <c r="Y357" s="334" t="n"/>
      <c r="Z357" s="375">
        <f>IF(AND(G357&lt;&gt;"",R357&lt;&gt;"",V357&lt;&gt;"",W357&lt;&gt;""),"COMPLETADO","OBSERVADO")</f>
        <v/>
      </c>
    </row>
    <row r="358" ht="15" customHeight="1" s="195">
      <c r="A358" s="280" t="n"/>
      <c r="B358" s="280" t="n"/>
      <c r="C358" s="280" t="n"/>
      <c r="D358" s="280" t="n"/>
      <c r="E358" s="280" t="n"/>
      <c r="F358" s="280" t="n"/>
      <c r="G358" s="280" t="n"/>
      <c r="H358" s="280" t="n"/>
      <c r="I358" s="332">
        <f>IFERROR(VLOOKUP(TEXT(H358,"0"),IPRESS!$A$3:$B$212,2,0),"")</f>
        <v/>
      </c>
      <c r="J358" s="280" t="n"/>
      <c r="K358" s="332">
        <f>IFERROR(VLOOKUP(TEXT(O358,"0"),CONDUCTORES!$A$3:$G$54,7,0),"")</f>
        <v/>
      </c>
      <c r="L358" s="280" t="n"/>
      <c r="M358" s="280" t="n"/>
      <c r="N358" s="333">
        <f>IFERROR(IF(L358*M358=0,"",L358*M358),"")</f>
        <v/>
      </c>
      <c r="O358" s="280" t="n"/>
      <c r="P358" s="332">
        <f>IFERROR(VLOOKUP(TEXT(O358,"0"),CONDUCTORES!$A$3:$G$54,2,0),"")</f>
        <v/>
      </c>
      <c r="Q358" s="332">
        <f>IFERROR(VLOOKUP(TEXT(O358,"0"),CONDUCTORES!$A$3:$H$54,6,0),"")</f>
        <v/>
      </c>
      <c r="R358" s="280" t="n"/>
      <c r="S358" s="280" t="n"/>
      <c r="T358" s="280" t="n"/>
      <c r="U358" s="280" t="n"/>
      <c r="V358" s="280" t="n"/>
      <c r="W358" s="280" t="n"/>
      <c r="X358" s="280" t="n"/>
      <c r="Y358" s="280" t="n"/>
      <c r="Z358" s="375">
        <f>IF(AND(G358&lt;&gt;"",R358&lt;&gt;"",V358&lt;&gt;"",W358&lt;&gt;""),"COMPLETADO","OBSERVADO")</f>
        <v/>
      </c>
    </row>
    <row r="359" ht="15" customHeight="1" s="195">
      <c r="A359" s="334" t="n"/>
      <c r="B359" s="334" t="n"/>
      <c r="C359" s="334" t="n"/>
      <c r="D359" s="334" t="n"/>
      <c r="E359" s="334" t="n"/>
      <c r="F359" s="334" t="n"/>
      <c r="G359" s="334" t="n"/>
      <c r="H359" s="334" t="n"/>
      <c r="I359" s="332">
        <f>IFERROR(VLOOKUP(TEXT(H359,"0"),IPRESS!$A$3:$B$212,2,0),"")</f>
        <v/>
      </c>
      <c r="J359" s="334" t="n"/>
      <c r="K359" s="332">
        <f>IFERROR(VLOOKUP(TEXT(O359,"0"),CONDUCTORES!$A$3:$G$54,7,0),"")</f>
        <v/>
      </c>
      <c r="L359" s="334" t="n"/>
      <c r="M359" s="334" t="n"/>
      <c r="N359" s="333">
        <f>IFERROR(IF(L359*M359=0,"",L359*M359),"")</f>
        <v/>
      </c>
      <c r="O359" s="334" t="n"/>
      <c r="P359" s="332">
        <f>IFERROR(VLOOKUP(TEXT(O359,"0"),CONDUCTORES!$A$3:$G$54,2,0),"")</f>
        <v/>
      </c>
      <c r="Q359" s="332">
        <f>IFERROR(VLOOKUP(TEXT(O359,"0"),CONDUCTORES!$A$3:$H$54,6,0),"")</f>
        <v/>
      </c>
      <c r="R359" s="334" t="n"/>
      <c r="S359" s="334" t="n"/>
      <c r="T359" s="334" t="n"/>
      <c r="U359" s="334" t="n"/>
      <c r="V359" s="334" t="n"/>
      <c r="W359" s="334" t="n"/>
      <c r="X359" s="334" t="n"/>
      <c r="Y359" s="334" t="n"/>
      <c r="Z359" s="375">
        <f>IF(AND(G359&lt;&gt;"",R359&lt;&gt;"",V359&lt;&gt;"",W359&lt;&gt;""),"COMPLETADO","OBSERVADO")</f>
        <v/>
      </c>
    </row>
    <row r="360" ht="15" customHeight="1" s="195">
      <c r="A360" s="280" t="n"/>
      <c r="B360" s="280" t="n"/>
      <c r="C360" s="280" t="n"/>
      <c r="D360" s="280" t="n"/>
      <c r="E360" s="280" t="n"/>
      <c r="F360" s="280" t="n"/>
      <c r="G360" s="280" t="n"/>
      <c r="H360" s="280" t="n"/>
      <c r="I360" s="332">
        <f>IFERROR(VLOOKUP(TEXT(H360,"0"),IPRESS!$A$3:$B$212,2,0),"")</f>
        <v/>
      </c>
      <c r="J360" s="280" t="n"/>
      <c r="K360" s="332">
        <f>IFERROR(VLOOKUP(TEXT(O360,"0"),CONDUCTORES!$A$3:$G$54,7,0),"")</f>
        <v/>
      </c>
      <c r="L360" s="280" t="n"/>
      <c r="M360" s="280" t="n"/>
      <c r="N360" s="333">
        <f>IFERROR(IF(L360*M360=0,"",L360*M360),"")</f>
        <v/>
      </c>
      <c r="O360" s="280" t="n"/>
      <c r="P360" s="332">
        <f>IFERROR(VLOOKUP(TEXT(O360,"0"),CONDUCTORES!$A$3:$G$54,2,0),"")</f>
        <v/>
      </c>
      <c r="Q360" s="332">
        <f>IFERROR(VLOOKUP(TEXT(O360,"0"),CONDUCTORES!$A$3:$H$54,6,0),"")</f>
        <v/>
      </c>
      <c r="R360" s="280" t="n"/>
      <c r="S360" s="280" t="n"/>
      <c r="T360" s="280" t="n"/>
      <c r="U360" s="280" t="n"/>
      <c r="V360" s="280" t="n"/>
      <c r="W360" s="280" t="n"/>
      <c r="X360" s="280" t="n"/>
      <c r="Y360" s="280" t="n"/>
      <c r="Z360" s="375">
        <f>IF(AND(G360&lt;&gt;"",R360&lt;&gt;"",V360&lt;&gt;"",W360&lt;&gt;""),"COMPLETADO","OBSERVADO")</f>
        <v/>
      </c>
    </row>
    <row r="361" ht="15" customHeight="1" s="195">
      <c r="A361" s="334" t="n"/>
      <c r="B361" s="334" t="n"/>
      <c r="C361" s="334" t="n"/>
      <c r="D361" s="334" t="n"/>
      <c r="E361" s="334" t="n"/>
      <c r="F361" s="334" t="n"/>
      <c r="G361" s="334" t="n"/>
      <c r="H361" s="334" t="n"/>
      <c r="I361" s="332">
        <f>IFERROR(VLOOKUP(TEXT(H361,"0"),IPRESS!$A$3:$B$212,2,0),"")</f>
        <v/>
      </c>
      <c r="J361" s="334" t="n"/>
      <c r="K361" s="332">
        <f>IFERROR(VLOOKUP(TEXT(O361,"0"),CONDUCTORES!$A$3:$G$54,7,0),"")</f>
        <v/>
      </c>
      <c r="L361" s="334" t="n"/>
      <c r="M361" s="334" t="n"/>
      <c r="N361" s="333">
        <f>IFERROR(IF(L361*M361=0,"",L361*M361),"")</f>
        <v/>
      </c>
      <c r="O361" s="334" t="n"/>
      <c r="P361" s="332">
        <f>IFERROR(VLOOKUP(TEXT(O361,"0"),CONDUCTORES!$A$3:$G$54,2,0),"")</f>
        <v/>
      </c>
      <c r="Q361" s="332">
        <f>IFERROR(VLOOKUP(TEXT(O361,"0"),CONDUCTORES!$A$3:$H$54,6,0),"")</f>
        <v/>
      </c>
      <c r="R361" s="334" t="n"/>
      <c r="S361" s="334" t="n"/>
      <c r="T361" s="334" t="n"/>
      <c r="U361" s="334" t="n"/>
      <c r="V361" s="334" t="n"/>
      <c r="W361" s="334" t="n"/>
      <c r="X361" s="334" t="n"/>
      <c r="Y361" s="334" t="n"/>
      <c r="Z361" s="375">
        <f>IF(AND(G361&lt;&gt;"",R361&lt;&gt;"",V361&lt;&gt;"",W361&lt;&gt;""),"COMPLETADO","OBSERVADO")</f>
        <v/>
      </c>
    </row>
    <row r="362" ht="15" customHeight="1" s="195">
      <c r="A362" s="280" t="n"/>
      <c r="B362" s="280" t="n"/>
      <c r="C362" s="280" t="n"/>
      <c r="D362" s="280" t="n"/>
      <c r="E362" s="280" t="n"/>
      <c r="F362" s="280" t="n"/>
      <c r="G362" s="280" t="n"/>
      <c r="H362" s="280" t="n"/>
      <c r="I362" s="332">
        <f>IFERROR(VLOOKUP(TEXT(H362,"0"),IPRESS!$A$3:$B$212,2,0),"")</f>
        <v/>
      </c>
      <c r="J362" s="280" t="n"/>
      <c r="K362" s="332">
        <f>IFERROR(VLOOKUP(TEXT(O362,"0"),CONDUCTORES!$A$3:$G$54,7,0),"")</f>
        <v/>
      </c>
      <c r="L362" s="280" t="n"/>
      <c r="M362" s="280" t="n"/>
      <c r="N362" s="333">
        <f>IFERROR(IF(L362*M362=0,"",L362*M362),"")</f>
        <v/>
      </c>
      <c r="O362" s="280" t="n"/>
      <c r="P362" s="332">
        <f>IFERROR(VLOOKUP(TEXT(O362,"0"),CONDUCTORES!$A$3:$G$54,2,0),"")</f>
        <v/>
      </c>
      <c r="Q362" s="332">
        <f>IFERROR(VLOOKUP(TEXT(O362,"0"),CONDUCTORES!$A$3:$H$54,6,0),"")</f>
        <v/>
      </c>
      <c r="R362" s="280" t="n"/>
      <c r="S362" s="280" t="n"/>
      <c r="T362" s="280" t="n"/>
      <c r="U362" s="280" t="n"/>
      <c r="V362" s="280" t="n"/>
      <c r="W362" s="280" t="n"/>
      <c r="X362" s="280" t="n"/>
      <c r="Y362" s="280" t="n"/>
      <c r="Z362" s="375">
        <f>IF(AND(G362&lt;&gt;"",R362&lt;&gt;"",V362&lt;&gt;"",W362&lt;&gt;""),"COMPLETADO","OBSERVADO")</f>
        <v/>
      </c>
    </row>
    <row r="363" ht="15" customHeight="1" s="195">
      <c r="A363" s="334" t="n"/>
      <c r="B363" s="334" t="n"/>
      <c r="C363" s="334" t="n"/>
      <c r="D363" s="334" t="n"/>
      <c r="E363" s="334" t="n"/>
      <c r="F363" s="334" t="n"/>
      <c r="G363" s="334" t="n"/>
      <c r="H363" s="334" t="n"/>
      <c r="I363" s="332">
        <f>IFERROR(VLOOKUP(TEXT(H363,"0"),IPRESS!$A$3:$B$212,2,0),"")</f>
        <v/>
      </c>
      <c r="J363" s="334" t="n"/>
      <c r="K363" s="332">
        <f>IFERROR(VLOOKUP(TEXT(O363,"0"),CONDUCTORES!$A$3:$G$54,7,0),"")</f>
        <v/>
      </c>
      <c r="L363" s="334" t="n"/>
      <c r="M363" s="334" t="n"/>
      <c r="N363" s="333">
        <f>IFERROR(IF(L363*M363=0,"",L363*M363),"")</f>
        <v/>
      </c>
      <c r="O363" s="334" t="n"/>
      <c r="P363" s="332">
        <f>IFERROR(VLOOKUP(TEXT(O363,"0"),CONDUCTORES!$A$3:$G$54,2,0),"")</f>
        <v/>
      </c>
      <c r="Q363" s="332">
        <f>IFERROR(VLOOKUP(TEXT(O363,"0"),CONDUCTORES!$A$3:$H$54,6,0),"")</f>
        <v/>
      </c>
      <c r="R363" s="334" t="n"/>
      <c r="S363" s="334" t="n"/>
      <c r="T363" s="334" t="n"/>
      <c r="U363" s="334" t="n"/>
      <c r="V363" s="334" t="n"/>
      <c r="W363" s="334" t="n"/>
      <c r="X363" s="334" t="n"/>
      <c r="Y363" s="334" t="n"/>
      <c r="Z363" s="375">
        <f>IF(AND(G363&lt;&gt;"",R363&lt;&gt;"",V363&lt;&gt;"",W363&lt;&gt;""),"COMPLETADO","OBSERVADO")</f>
        <v/>
      </c>
    </row>
    <row r="364" ht="15" customHeight="1" s="195">
      <c r="A364" s="280" t="n"/>
      <c r="B364" s="280" t="n"/>
      <c r="C364" s="280" t="n"/>
      <c r="D364" s="280" t="n"/>
      <c r="E364" s="280" t="n"/>
      <c r="F364" s="280" t="n"/>
      <c r="G364" s="280" t="n"/>
      <c r="H364" s="280" t="n"/>
      <c r="I364" s="332">
        <f>IFERROR(VLOOKUP(TEXT(H364,"0"),IPRESS!$A$3:$B$212,2,0),"")</f>
        <v/>
      </c>
      <c r="J364" s="280" t="n"/>
      <c r="K364" s="332">
        <f>IFERROR(VLOOKUP(TEXT(O364,"0"),CONDUCTORES!$A$3:$G$54,7,0),"")</f>
        <v/>
      </c>
      <c r="L364" s="280" t="n"/>
      <c r="M364" s="280" t="n"/>
      <c r="N364" s="333">
        <f>IFERROR(IF(L364*M364=0,"",L364*M364),"")</f>
        <v/>
      </c>
      <c r="O364" s="280" t="n"/>
      <c r="P364" s="332">
        <f>IFERROR(VLOOKUP(TEXT(O364,"0"),CONDUCTORES!$A$3:$G$54,2,0),"")</f>
        <v/>
      </c>
      <c r="Q364" s="332">
        <f>IFERROR(VLOOKUP(TEXT(O364,"0"),CONDUCTORES!$A$3:$H$54,6,0),"")</f>
        <v/>
      </c>
      <c r="R364" s="280" t="n"/>
      <c r="S364" s="280" t="n"/>
      <c r="T364" s="280" t="n"/>
      <c r="U364" s="280" t="n"/>
      <c r="V364" s="280" t="n"/>
      <c r="W364" s="280" t="n"/>
      <c r="X364" s="280" t="n"/>
      <c r="Y364" s="280" t="n"/>
      <c r="Z364" s="375">
        <f>IF(AND(G364&lt;&gt;"",R364&lt;&gt;"",V364&lt;&gt;"",W364&lt;&gt;""),"COMPLETADO","OBSERVADO")</f>
        <v/>
      </c>
    </row>
    <row r="365" ht="15" customHeight="1" s="195">
      <c r="A365" s="334" t="n"/>
      <c r="B365" s="334" t="n"/>
      <c r="C365" s="334" t="n"/>
      <c r="D365" s="334" t="n"/>
      <c r="E365" s="334" t="n"/>
      <c r="F365" s="334" t="n"/>
      <c r="G365" s="334" t="n"/>
      <c r="H365" s="334" t="n"/>
      <c r="I365" s="332">
        <f>IFERROR(VLOOKUP(TEXT(H365,"0"),IPRESS!$A$3:$B$212,2,0),"")</f>
        <v/>
      </c>
      <c r="J365" s="334" t="n"/>
      <c r="K365" s="332">
        <f>IFERROR(VLOOKUP(TEXT(O365,"0"),CONDUCTORES!$A$3:$G$54,7,0),"")</f>
        <v/>
      </c>
      <c r="L365" s="334" t="n"/>
      <c r="M365" s="334" t="n"/>
      <c r="N365" s="333">
        <f>IFERROR(IF(L365*M365=0,"",L365*M365),"")</f>
        <v/>
      </c>
      <c r="O365" s="334" t="n"/>
      <c r="P365" s="332">
        <f>IFERROR(VLOOKUP(TEXT(O365,"0"),CONDUCTORES!$A$3:$G$54,2,0),"")</f>
        <v/>
      </c>
      <c r="Q365" s="332">
        <f>IFERROR(VLOOKUP(TEXT(O365,"0"),CONDUCTORES!$A$3:$H$54,6,0),"")</f>
        <v/>
      </c>
      <c r="R365" s="334" t="n"/>
      <c r="S365" s="334" t="n"/>
      <c r="T365" s="334" t="n"/>
      <c r="U365" s="334" t="n"/>
      <c r="V365" s="334" t="n"/>
      <c r="W365" s="334" t="n"/>
      <c r="X365" s="334" t="n"/>
      <c r="Y365" s="334" t="n"/>
      <c r="Z365" s="375">
        <f>IF(AND(G365&lt;&gt;"",R365&lt;&gt;"",V365&lt;&gt;"",W365&lt;&gt;""),"COMPLETADO","OBSERVADO")</f>
        <v/>
      </c>
    </row>
    <row r="366" ht="15" customHeight="1" s="195">
      <c r="A366" s="280" t="n"/>
      <c r="B366" s="280" t="n"/>
      <c r="C366" s="280" t="n"/>
      <c r="D366" s="280" t="n"/>
      <c r="E366" s="280" t="n"/>
      <c r="F366" s="280" t="n"/>
      <c r="G366" s="280" t="n"/>
      <c r="H366" s="280" t="n"/>
      <c r="I366" s="332">
        <f>IFERROR(VLOOKUP(TEXT(H366,"0"),IPRESS!$A$3:$B$212,2,0),"")</f>
        <v/>
      </c>
      <c r="J366" s="280" t="n"/>
      <c r="K366" s="332">
        <f>IFERROR(VLOOKUP(TEXT(O366,"0"),CONDUCTORES!$A$3:$G$54,7,0),"")</f>
        <v/>
      </c>
      <c r="L366" s="280" t="n"/>
      <c r="M366" s="280" t="n"/>
      <c r="N366" s="333">
        <f>IFERROR(IF(L366*M366=0,"",L366*M366),"")</f>
        <v/>
      </c>
      <c r="O366" s="280" t="n"/>
      <c r="P366" s="332">
        <f>IFERROR(VLOOKUP(TEXT(O366,"0"),CONDUCTORES!$A$3:$G$54,2,0),"")</f>
        <v/>
      </c>
      <c r="Q366" s="332">
        <f>IFERROR(VLOOKUP(TEXT(O366,"0"),CONDUCTORES!$A$3:$H$54,6,0),"")</f>
        <v/>
      </c>
      <c r="R366" s="280" t="n"/>
      <c r="S366" s="280" t="n"/>
      <c r="T366" s="280" t="n"/>
      <c r="U366" s="280" t="n"/>
      <c r="V366" s="280" t="n"/>
      <c r="W366" s="280" t="n"/>
      <c r="X366" s="280" t="n"/>
      <c r="Y366" s="280" t="n"/>
      <c r="Z366" s="375">
        <f>IF(AND(G366&lt;&gt;"",R366&lt;&gt;"",V366&lt;&gt;"",W366&lt;&gt;""),"COMPLETADO","OBSERVADO")</f>
        <v/>
      </c>
    </row>
    <row r="367" ht="15" customHeight="1" s="195">
      <c r="A367" s="334" t="n"/>
      <c r="B367" s="334" t="n"/>
      <c r="C367" s="334" t="n"/>
      <c r="D367" s="334" t="n"/>
      <c r="E367" s="334" t="n"/>
      <c r="F367" s="334" t="n"/>
      <c r="G367" s="334" t="n"/>
      <c r="H367" s="334" t="n"/>
      <c r="I367" s="332">
        <f>IFERROR(VLOOKUP(TEXT(H367,"0"),IPRESS!$A$3:$B$212,2,0),"")</f>
        <v/>
      </c>
      <c r="J367" s="334" t="n"/>
      <c r="K367" s="332">
        <f>IFERROR(VLOOKUP(TEXT(O367,"0"),CONDUCTORES!$A$3:$G$54,7,0),"")</f>
        <v/>
      </c>
      <c r="L367" s="334" t="n"/>
      <c r="M367" s="334" t="n"/>
      <c r="N367" s="333">
        <f>IFERROR(IF(L367*M367=0,"",L367*M367),"")</f>
        <v/>
      </c>
      <c r="O367" s="334" t="n"/>
      <c r="P367" s="332">
        <f>IFERROR(VLOOKUP(TEXT(O367,"0"),CONDUCTORES!$A$3:$G$54,2,0),"")</f>
        <v/>
      </c>
      <c r="Q367" s="332">
        <f>IFERROR(VLOOKUP(TEXT(O367,"0"),CONDUCTORES!$A$3:$H$54,6,0),"")</f>
        <v/>
      </c>
      <c r="R367" s="334" t="n"/>
      <c r="S367" s="334" t="n"/>
      <c r="T367" s="334" t="n"/>
      <c r="U367" s="334" t="n"/>
      <c r="V367" s="334" t="n"/>
      <c r="W367" s="334" t="n"/>
      <c r="X367" s="334" t="n"/>
      <c r="Y367" s="334" t="n"/>
      <c r="Z367" s="375">
        <f>IF(AND(G367&lt;&gt;"",R367&lt;&gt;"",V367&lt;&gt;"",W367&lt;&gt;""),"COMPLETADO","OBSERVADO")</f>
        <v/>
      </c>
    </row>
    <row r="368" ht="15" customHeight="1" s="195">
      <c r="A368" s="280" t="n"/>
      <c r="B368" s="280" t="n"/>
      <c r="C368" s="280" t="n"/>
      <c r="D368" s="280" t="n"/>
      <c r="E368" s="280" t="n"/>
      <c r="F368" s="280" t="n"/>
      <c r="G368" s="280" t="n"/>
      <c r="H368" s="280" t="n"/>
      <c r="I368" s="332">
        <f>IFERROR(VLOOKUP(TEXT(H368,"0"),IPRESS!$A$3:$B$212,2,0),"")</f>
        <v/>
      </c>
      <c r="J368" s="280" t="n"/>
      <c r="K368" s="332">
        <f>IFERROR(VLOOKUP(TEXT(O368,"0"),CONDUCTORES!$A$3:$G$54,7,0),"")</f>
        <v/>
      </c>
      <c r="L368" s="280" t="n"/>
      <c r="M368" s="280" t="n"/>
      <c r="N368" s="333">
        <f>IFERROR(IF(L368*M368=0,"",L368*M368),"")</f>
        <v/>
      </c>
      <c r="O368" s="280" t="n"/>
      <c r="P368" s="332">
        <f>IFERROR(VLOOKUP(TEXT(O368,"0"),CONDUCTORES!$A$3:$G$54,2,0),"")</f>
        <v/>
      </c>
      <c r="Q368" s="332">
        <f>IFERROR(VLOOKUP(TEXT(O368,"0"),CONDUCTORES!$A$3:$H$54,6,0),"")</f>
        <v/>
      </c>
      <c r="R368" s="280" t="n"/>
      <c r="S368" s="280" t="n"/>
      <c r="T368" s="280" t="n"/>
      <c r="U368" s="280" t="n"/>
      <c r="V368" s="280" t="n"/>
      <c r="W368" s="280" t="n"/>
      <c r="X368" s="280" t="n"/>
      <c r="Y368" s="280" t="n"/>
      <c r="Z368" s="375">
        <f>IF(AND(G368&lt;&gt;"",R368&lt;&gt;"",V368&lt;&gt;"",W368&lt;&gt;""),"COMPLETADO","OBSERVADO")</f>
        <v/>
      </c>
    </row>
    <row r="369" ht="15" customHeight="1" s="195">
      <c r="A369" s="334" t="n"/>
      <c r="B369" s="334" t="n"/>
      <c r="C369" s="334" t="n"/>
      <c r="D369" s="334" t="n"/>
      <c r="E369" s="334" t="n"/>
      <c r="F369" s="334" t="n"/>
      <c r="G369" s="334" t="n"/>
      <c r="H369" s="334" t="n"/>
      <c r="I369" s="332">
        <f>IFERROR(VLOOKUP(TEXT(H369,"0"),IPRESS!$A$3:$B$212,2,0),"")</f>
        <v/>
      </c>
      <c r="J369" s="334" t="n"/>
      <c r="K369" s="332">
        <f>IFERROR(VLOOKUP(TEXT(O369,"0"),CONDUCTORES!$A$3:$G$54,7,0),"")</f>
        <v/>
      </c>
      <c r="L369" s="334" t="n"/>
      <c r="M369" s="334" t="n"/>
      <c r="N369" s="333">
        <f>IFERROR(IF(L369*M369=0,"",L369*M369),"")</f>
        <v/>
      </c>
      <c r="O369" s="334" t="n"/>
      <c r="P369" s="332">
        <f>IFERROR(VLOOKUP(TEXT(O369,"0"),CONDUCTORES!$A$3:$G$54,2,0),"")</f>
        <v/>
      </c>
      <c r="Q369" s="332">
        <f>IFERROR(VLOOKUP(TEXT(O369,"0"),CONDUCTORES!$A$3:$H$54,6,0),"")</f>
        <v/>
      </c>
      <c r="R369" s="334" t="n"/>
      <c r="S369" s="334" t="n"/>
      <c r="T369" s="334" t="n"/>
      <c r="U369" s="334" t="n"/>
      <c r="V369" s="334" t="n"/>
      <c r="W369" s="334" t="n"/>
      <c r="X369" s="334" t="n"/>
      <c r="Y369" s="334" t="n"/>
      <c r="Z369" s="375">
        <f>IF(AND(G369&lt;&gt;"",R369&lt;&gt;"",V369&lt;&gt;"",W369&lt;&gt;""),"COMPLETADO","OBSERVADO")</f>
        <v/>
      </c>
    </row>
    <row r="370" ht="15" customHeight="1" s="195">
      <c r="A370" s="280" t="n"/>
      <c r="B370" s="280" t="n"/>
      <c r="C370" s="280" t="n"/>
      <c r="D370" s="280" t="n"/>
      <c r="E370" s="280" t="n"/>
      <c r="F370" s="280" t="n"/>
      <c r="G370" s="280" t="n"/>
      <c r="H370" s="280" t="n"/>
      <c r="I370" s="332">
        <f>IFERROR(VLOOKUP(TEXT(H370,"0"),IPRESS!$A$3:$B$212,2,0),"")</f>
        <v/>
      </c>
      <c r="J370" s="280" t="n"/>
      <c r="K370" s="332">
        <f>IFERROR(VLOOKUP(TEXT(O370,"0"),CONDUCTORES!$A$3:$G$54,7,0),"")</f>
        <v/>
      </c>
      <c r="L370" s="280" t="n"/>
      <c r="M370" s="280" t="n"/>
      <c r="N370" s="333">
        <f>IFERROR(IF(L370*M370=0,"",L370*M370),"")</f>
        <v/>
      </c>
      <c r="O370" s="280" t="n"/>
      <c r="P370" s="332">
        <f>IFERROR(VLOOKUP(TEXT(O370,"0"),CONDUCTORES!$A$3:$G$54,2,0),"")</f>
        <v/>
      </c>
      <c r="Q370" s="332">
        <f>IFERROR(VLOOKUP(TEXT(O370,"0"),CONDUCTORES!$A$3:$H$54,6,0),"")</f>
        <v/>
      </c>
      <c r="R370" s="280" t="n"/>
      <c r="S370" s="280" t="n"/>
      <c r="T370" s="280" t="n"/>
      <c r="U370" s="280" t="n"/>
      <c r="V370" s="280" t="n"/>
      <c r="W370" s="280" t="n"/>
      <c r="X370" s="280" t="n"/>
      <c r="Y370" s="280" t="n"/>
      <c r="Z370" s="375">
        <f>IF(AND(G370&lt;&gt;"",R370&lt;&gt;"",V370&lt;&gt;"",W370&lt;&gt;""),"COMPLETADO","OBSERVADO")</f>
        <v/>
      </c>
    </row>
    <row r="371" ht="15" customHeight="1" s="195">
      <c r="A371" s="334" t="n"/>
      <c r="B371" s="334" t="n"/>
      <c r="C371" s="334" t="n"/>
      <c r="D371" s="334" t="n"/>
      <c r="E371" s="334" t="n"/>
      <c r="F371" s="334" t="n"/>
      <c r="G371" s="334" t="n"/>
      <c r="H371" s="334" t="n"/>
      <c r="I371" s="332">
        <f>IFERROR(VLOOKUP(TEXT(H371,"0"),IPRESS!$A$3:$B$212,2,0),"")</f>
        <v/>
      </c>
      <c r="J371" s="334" t="n"/>
      <c r="K371" s="332">
        <f>IFERROR(VLOOKUP(TEXT(O371,"0"),CONDUCTORES!$A$3:$G$54,7,0),"")</f>
        <v/>
      </c>
      <c r="L371" s="334" t="n"/>
      <c r="M371" s="334" t="n"/>
      <c r="N371" s="333">
        <f>IFERROR(IF(L371*M371=0,"",L371*M371),"")</f>
        <v/>
      </c>
      <c r="O371" s="334" t="n"/>
      <c r="P371" s="332">
        <f>IFERROR(VLOOKUP(TEXT(O371,"0"),CONDUCTORES!$A$3:$G$54,2,0),"")</f>
        <v/>
      </c>
      <c r="Q371" s="332">
        <f>IFERROR(VLOOKUP(TEXT(O371,"0"),CONDUCTORES!$A$3:$H$54,6,0),"")</f>
        <v/>
      </c>
      <c r="R371" s="334" t="n"/>
      <c r="S371" s="334" t="n"/>
      <c r="T371" s="334" t="n"/>
      <c r="U371" s="334" t="n"/>
      <c r="V371" s="334" t="n"/>
      <c r="W371" s="334" t="n"/>
      <c r="X371" s="334" t="n"/>
      <c r="Y371" s="334" t="n"/>
      <c r="Z371" s="375">
        <f>IF(AND(G371&lt;&gt;"",R371&lt;&gt;"",V371&lt;&gt;"",W371&lt;&gt;""),"COMPLETADO","OBSERVADO")</f>
        <v/>
      </c>
    </row>
    <row r="372" ht="15" customHeight="1" s="195">
      <c r="A372" s="280" t="n"/>
      <c r="B372" s="280" t="n"/>
      <c r="C372" s="280" t="n"/>
      <c r="D372" s="280" t="n"/>
      <c r="E372" s="280" t="n"/>
      <c r="F372" s="280" t="n"/>
      <c r="G372" s="280" t="n"/>
      <c r="H372" s="280" t="n"/>
      <c r="I372" s="332">
        <f>IFERROR(VLOOKUP(TEXT(H372,"0"),IPRESS!$A$3:$B$212,2,0),"")</f>
        <v/>
      </c>
      <c r="J372" s="280" t="n"/>
      <c r="K372" s="332">
        <f>IFERROR(VLOOKUP(TEXT(O372,"0"),CONDUCTORES!$A$3:$G$54,7,0),"")</f>
        <v/>
      </c>
      <c r="L372" s="280" t="n"/>
      <c r="M372" s="280" t="n"/>
      <c r="N372" s="333">
        <f>IFERROR(IF(L372*M372=0,"",L372*M372),"")</f>
        <v/>
      </c>
      <c r="O372" s="280" t="n"/>
      <c r="P372" s="332">
        <f>IFERROR(VLOOKUP(TEXT(O372,"0"),CONDUCTORES!$A$3:$G$54,2,0),"")</f>
        <v/>
      </c>
      <c r="Q372" s="332">
        <f>IFERROR(VLOOKUP(TEXT(O372,"0"),CONDUCTORES!$A$3:$H$54,6,0),"")</f>
        <v/>
      </c>
      <c r="R372" s="280" t="n"/>
      <c r="S372" s="280" t="n"/>
      <c r="T372" s="280" t="n"/>
      <c r="U372" s="280" t="n"/>
      <c r="V372" s="280" t="n"/>
      <c r="W372" s="280" t="n"/>
      <c r="X372" s="280" t="n"/>
      <c r="Y372" s="280" t="n"/>
      <c r="Z372" s="375">
        <f>IF(AND(G372&lt;&gt;"",R372&lt;&gt;"",V372&lt;&gt;"",W372&lt;&gt;""),"COMPLETADO","OBSERVADO")</f>
        <v/>
      </c>
    </row>
    <row r="373" ht="15" customHeight="1" s="195">
      <c r="A373" s="334" t="n"/>
      <c r="B373" s="334" t="n"/>
      <c r="C373" s="334" t="n"/>
      <c r="D373" s="334" t="n"/>
      <c r="E373" s="334" t="n"/>
      <c r="F373" s="334" t="n"/>
      <c r="G373" s="334" t="n"/>
      <c r="H373" s="334" t="n"/>
      <c r="I373" s="332">
        <f>IFERROR(VLOOKUP(TEXT(H373,"0"),IPRESS!$A$3:$B$212,2,0),"")</f>
        <v/>
      </c>
      <c r="J373" s="334" t="n"/>
      <c r="K373" s="332">
        <f>IFERROR(VLOOKUP(TEXT(O373,"0"),CONDUCTORES!$A$3:$G$54,7,0),"")</f>
        <v/>
      </c>
      <c r="L373" s="334" t="n"/>
      <c r="M373" s="334" t="n"/>
      <c r="N373" s="333">
        <f>IFERROR(IF(L373*M373=0,"",L373*M373),"")</f>
        <v/>
      </c>
      <c r="O373" s="334" t="n"/>
      <c r="P373" s="332">
        <f>IFERROR(VLOOKUP(TEXT(O373,"0"),CONDUCTORES!$A$3:$G$54,2,0),"")</f>
        <v/>
      </c>
      <c r="Q373" s="332">
        <f>IFERROR(VLOOKUP(TEXT(O373,"0"),CONDUCTORES!$A$3:$H$54,6,0),"")</f>
        <v/>
      </c>
      <c r="R373" s="334" t="n"/>
      <c r="S373" s="334" t="n"/>
      <c r="T373" s="334" t="n"/>
      <c r="U373" s="334" t="n"/>
      <c r="V373" s="334" t="n"/>
      <c r="W373" s="334" t="n"/>
      <c r="X373" s="334" t="n"/>
      <c r="Y373" s="334" t="n"/>
      <c r="Z373" s="375">
        <f>IF(AND(G373&lt;&gt;"",R373&lt;&gt;"",V373&lt;&gt;"",W373&lt;&gt;""),"COMPLETADO","OBSERVADO")</f>
        <v/>
      </c>
    </row>
    <row r="374" ht="15" customHeight="1" s="195">
      <c r="A374" s="280" t="n"/>
      <c r="B374" s="280" t="n"/>
      <c r="C374" s="280" t="n"/>
      <c r="D374" s="280" t="n"/>
      <c r="E374" s="280" t="n"/>
      <c r="F374" s="280" t="n"/>
      <c r="G374" s="280" t="n"/>
      <c r="H374" s="280" t="n"/>
      <c r="I374" s="332">
        <f>IFERROR(VLOOKUP(TEXT(H374,"0"),IPRESS!$A$3:$B$212,2,0),"")</f>
        <v/>
      </c>
      <c r="J374" s="280" t="n"/>
      <c r="K374" s="332">
        <f>IFERROR(VLOOKUP(TEXT(O374,"0"),CONDUCTORES!$A$3:$G$54,7,0),"")</f>
        <v/>
      </c>
      <c r="L374" s="280" t="n"/>
      <c r="M374" s="280" t="n"/>
      <c r="N374" s="333">
        <f>IFERROR(IF(L374*M374=0,"",L374*M374),"")</f>
        <v/>
      </c>
      <c r="O374" s="280" t="n"/>
      <c r="P374" s="332">
        <f>IFERROR(VLOOKUP(TEXT(O374,"0"),CONDUCTORES!$A$3:$G$54,2,0),"")</f>
        <v/>
      </c>
      <c r="Q374" s="332">
        <f>IFERROR(VLOOKUP(TEXT(O374,"0"),CONDUCTORES!$A$3:$H$54,6,0),"")</f>
        <v/>
      </c>
      <c r="R374" s="280" t="n"/>
      <c r="S374" s="280" t="n"/>
      <c r="T374" s="280" t="n"/>
      <c r="U374" s="280" t="n"/>
      <c r="V374" s="280" t="n"/>
      <c r="W374" s="280" t="n"/>
      <c r="X374" s="280" t="n"/>
      <c r="Y374" s="280" t="n"/>
      <c r="Z374" s="375">
        <f>IF(AND(G374&lt;&gt;"",R374&lt;&gt;"",V374&lt;&gt;"",W374&lt;&gt;""),"COMPLETADO","OBSERVADO")</f>
        <v/>
      </c>
    </row>
    <row r="375" ht="15" customHeight="1" s="195">
      <c r="A375" s="334" t="n"/>
      <c r="B375" s="334" t="n"/>
      <c r="C375" s="334" t="n"/>
      <c r="D375" s="334" t="n"/>
      <c r="E375" s="334" t="n"/>
      <c r="F375" s="334" t="n"/>
      <c r="G375" s="334" t="n"/>
      <c r="H375" s="334" t="n"/>
      <c r="I375" s="332">
        <f>IFERROR(VLOOKUP(TEXT(H375,"0"),IPRESS!$A$3:$B$212,2,0),"")</f>
        <v/>
      </c>
      <c r="J375" s="334" t="n"/>
      <c r="K375" s="332">
        <f>IFERROR(VLOOKUP(TEXT(O375,"0"),CONDUCTORES!$A$3:$G$54,7,0),"")</f>
        <v/>
      </c>
      <c r="L375" s="334" t="n"/>
      <c r="M375" s="334" t="n"/>
      <c r="N375" s="333">
        <f>IFERROR(IF(L375*M375=0,"",L375*M375),"")</f>
        <v/>
      </c>
      <c r="O375" s="334" t="n"/>
      <c r="P375" s="332">
        <f>IFERROR(VLOOKUP(TEXT(O375,"0"),CONDUCTORES!$A$3:$G$54,2,0),"")</f>
        <v/>
      </c>
      <c r="Q375" s="332">
        <f>IFERROR(VLOOKUP(TEXT(O375,"0"),CONDUCTORES!$A$3:$H$54,6,0),"")</f>
        <v/>
      </c>
      <c r="R375" s="334" t="n"/>
      <c r="S375" s="334" t="n"/>
      <c r="T375" s="334" t="n"/>
      <c r="U375" s="334" t="n"/>
      <c r="V375" s="334" t="n"/>
      <c r="W375" s="334" t="n"/>
      <c r="X375" s="334" t="n"/>
      <c r="Y375" s="334" t="n"/>
      <c r="Z375" s="375">
        <f>IF(AND(G375&lt;&gt;"",R375&lt;&gt;"",V375&lt;&gt;"",W375&lt;&gt;""),"COMPLETADO","OBSERVADO")</f>
        <v/>
      </c>
    </row>
    <row r="376" ht="15" customHeight="1" s="195">
      <c r="A376" s="280" t="n"/>
      <c r="B376" s="280" t="n"/>
      <c r="C376" s="280" t="n"/>
      <c r="D376" s="280" t="n"/>
      <c r="E376" s="280" t="n"/>
      <c r="F376" s="280" t="n"/>
      <c r="G376" s="280" t="n"/>
      <c r="H376" s="280" t="n"/>
      <c r="I376" s="332">
        <f>IFERROR(VLOOKUP(TEXT(H376,"0"),IPRESS!$A$3:$B$212,2,0),"")</f>
        <v/>
      </c>
      <c r="J376" s="280" t="n"/>
      <c r="K376" s="332">
        <f>IFERROR(VLOOKUP(TEXT(O376,"0"),CONDUCTORES!$A$3:$G$54,7,0),"")</f>
        <v/>
      </c>
      <c r="L376" s="280" t="n"/>
      <c r="M376" s="280" t="n"/>
      <c r="N376" s="333">
        <f>IFERROR(IF(L376*M376=0,"",L376*M376),"")</f>
        <v/>
      </c>
      <c r="O376" s="280" t="n"/>
      <c r="P376" s="332">
        <f>IFERROR(VLOOKUP(TEXT(O376,"0"),CONDUCTORES!$A$3:$G$54,2,0),"")</f>
        <v/>
      </c>
      <c r="Q376" s="332">
        <f>IFERROR(VLOOKUP(TEXT(O376,"0"),CONDUCTORES!$A$3:$H$54,6,0),"")</f>
        <v/>
      </c>
      <c r="R376" s="280" t="n"/>
      <c r="S376" s="280" t="n"/>
      <c r="T376" s="280" t="n"/>
      <c r="U376" s="280" t="n"/>
      <c r="V376" s="280" t="n"/>
      <c r="W376" s="280" t="n"/>
      <c r="X376" s="280" t="n"/>
      <c r="Y376" s="280" t="n"/>
      <c r="Z376" s="375">
        <f>IF(AND(G376&lt;&gt;"",R376&lt;&gt;"",V376&lt;&gt;"",W376&lt;&gt;""),"COMPLETADO","OBSERVADO")</f>
        <v/>
      </c>
    </row>
    <row r="377" ht="15" customHeight="1" s="195">
      <c r="A377" s="334" t="n"/>
      <c r="B377" s="334" t="n"/>
      <c r="C377" s="334" t="n"/>
      <c r="D377" s="334" t="n"/>
      <c r="E377" s="334" t="n"/>
      <c r="F377" s="334" t="n"/>
      <c r="G377" s="334" t="n"/>
      <c r="H377" s="334" t="n"/>
      <c r="I377" s="332">
        <f>IFERROR(VLOOKUP(TEXT(H377,"0"),IPRESS!$A$3:$B$212,2,0),"")</f>
        <v/>
      </c>
      <c r="J377" s="334" t="n"/>
      <c r="K377" s="332">
        <f>IFERROR(VLOOKUP(TEXT(O377,"0"),CONDUCTORES!$A$3:$G$54,7,0),"")</f>
        <v/>
      </c>
      <c r="L377" s="334" t="n"/>
      <c r="M377" s="334" t="n"/>
      <c r="N377" s="333">
        <f>IFERROR(IF(L377*M377=0,"",L377*M377),"")</f>
        <v/>
      </c>
      <c r="O377" s="334" t="n"/>
      <c r="P377" s="332">
        <f>IFERROR(VLOOKUP(TEXT(O377,"0"),CONDUCTORES!$A$3:$G$54,2,0),"")</f>
        <v/>
      </c>
      <c r="Q377" s="332">
        <f>IFERROR(VLOOKUP(TEXT(O377,"0"),CONDUCTORES!$A$3:$H$54,6,0),"")</f>
        <v/>
      </c>
      <c r="R377" s="334" t="n"/>
      <c r="S377" s="334" t="n"/>
      <c r="T377" s="334" t="n"/>
      <c r="U377" s="334" t="n"/>
      <c r="V377" s="334" t="n"/>
      <c r="W377" s="334" t="n"/>
      <c r="X377" s="334" t="n"/>
      <c r="Y377" s="334" t="n"/>
      <c r="Z377" s="375">
        <f>IF(AND(G377&lt;&gt;"",R377&lt;&gt;"",V377&lt;&gt;"",W377&lt;&gt;""),"COMPLETADO","OBSERVADO")</f>
        <v/>
      </c>
    </row>
    <row r="378" ht="15" customHeight="1" s="195">
      <c r="A378" s="280" t="n"/>
      <c r="B378" s="280" t="n"/>
      <c r="C378" s="280" t="n"/>
      <c r="D378" s="280" t="n"/>
      <c r="E378" s="280" t="n"/>
      <c r="F378" s="280" t="n"/>
      <c r="G378" s="280" t="n"/>
      <c r="H378" s="280" t="n"/>
      <c r="I378" s="332">
        <f>IFERROR(VLOOKUP(TEXT(H378,"0"),IPRESS!$A$3:$B$212,2,0),"")</f>
        <v/>
      </c>
      <c r="J378" s="280" t="n"/>
      <c r="K378" s="332">
        <f>IFERROR(VLOOKUP(TEXT(O378,"0"),CONDUCTORES!$A$3:$G$54,7,0),"")</f>
        <v/>
      </c>
      <c r="L378" s="280" t="n"/>
      <c r="M378" s="280" t="n"/>
      <c r="N378" s="333">
        <f>IFERROR(IF(L378*M378=0,"",L378*M378),"")</f>
        <v/>
      </c>
      <c r="O378" s="280" t="n"/>
      <c r="P378" s="332">
        <f>IFERROR(VLOOKUP(TEXT(O378,"0"),CONDUCTORES!$A$3:$G$54,2,0),"")</f>
        <v/>
      </c>
      <c r="Q378" s="332">
        <f>IFERROR(VLOOKUP(TEXT(O378,"0"),CONDUCTORES!$A$3:$H$54,6,0),"")</f>
        <v/>
      </c>
      <c r="R378" s="280" t="n"/>
      <c r="S378" s="280" t="n"/>
      <c r="T378" s="280" t="n"/>
      <c r="U378" s="280" t="n"/>
      <c r="V378" s="280" t="n"/>
      <c r="W378" s="280" t="n"/>
      <c r="X378" s="280" t="n"/>
      <c r="Y378" s="280" t="n"/>
      <c r="Z378" s="375">
        <f>IF(AND(G378&lt;&gt;"",R378&lt;&gt;"",V378&lt;&gt;"",W378&lt;&gt;""),"COMPLETADO","OBSERVADO")</f>
        <v/>
      </c>
    </row>
    <row r="379" ht="15" customHeight="1" s="195">
      <c r="A379" s="334" t="n"/>
      <c r="B379" s="334" t="n"/>
      <c r="C379" s="334" t="n"/>
      <c r="D379" s="334" t="n"/>
      <c r="E379" s="334" t="n"/>
      <c r="F379" s="334" t="n"/>
      <c r="G379" s="334" t="n"/>
      <c r="H379" s="334" t="n"/>
      <c r="I379" s="332">
        <f>IFERROR(VLOOKUP(TEXT(H379,"0"),IPRESS!$A$3:$B$212,2,0),"")</f>
        <v/>
      </c>
      <c r="J379" s="334" t="n"/>
      <c r="K379" s="332">
        <f>IFERROR(VLOOKUP(TEXT(O379,"0"),CONDUCTORES!$A$3:$G$54,7,0),"")</f>
        <v/>
      </c>
      <c r="L379" s="334" t="n"/>
      <c r="M379" s="334" t="n"/>
      <c r="N379" s="333">
        <f>IFERROR(IF(L379*M379=0,"",L379*M379),"")</f>
        <v/>
      </c>
      <c r="O379" s="334" t="n"/>
      <c r="P379" s="332">
        <f>IFERROR(VLOOKUP(TEXT(O379,"0"),CONDUCTORES!$A$3:$G$54,2,0),"")</f>
        <v/>
      </c>
      <c r="Q379" s="332">
        <f>IFERROR(VLOOKUP(TEXT(O379,"0"),CONDUCTORES!$A$3:$H$54,6,0),"")</f>
        <v/>
      </c>
      <c r="R379" s="334" t="n"/>
      <c r="S379" s="334" t="n"/>
      <c r="T379" s="334" t="n"/>
      <c r="U379" s="334" t="n"/>
      <c r="V379" s="334" t="n"/>
      <c r="W379" s="334" t="n"/>
      <c r="X379" s="334" t="n"/>
      <c r="Y379" s="334" t="n"/>
      <c r="Z379" s="375">
        <f>IF(AND(G379&lt;&gt;"",R379&lt;&gt;"",V379&lt;&gt;"",W379&lt;&gt;""),"COMPLETADO","OBSERVADO")</f>
        <v/>
      </c>
    </row>
    <row r="380" ht="15" customHeight="1" s="195">
      <c r="A380" s="280" t="n"/>
      <c r="B380" s="280" t="n"/>
      <c r="C380" s="280" t="n"/>
      <c r="D380" s="280" t="n"/>
      <c r="E380" s="280" t="n"/>
      <c r="F380" s="280" t="n"/>
      <c r="G380" s="280" t="n"/>
      <c r="H380" s="280" t="n"/>
      <c r="I380" s="332">
        <f>IFERROR(VLOOKUP(TEXT(H380,"0"),IPRESS!$A$3:$B$212,2,0),"")</f>
        <v/>
      </c>
      <c r="J380" s="280" t="n"/>
      <c r="K380" s="332">
        <f>IFERROR(VLOOKUP(TEXT(O380,"0"),CONDUCTORES!$A$3:$G$54,7,0),"")</f>
        <v/>
      </c>
      <c r="L380" s="280" t="n"/>
      <c r="M380" s="280" t="n"/>
      <c r="N380" s="333">
        <f>IFERROR(IF(L380*M380=0,"",L380*M380),"")</f>
        <v/>
      </c>
      <c r="O380" s="280" t="n"/>
      <c r="P380" s="332">
        <f>IFERROR(VLOOKUP(TEXT(O380,"0"),CONDUCTORES!$A$3:$G$54,2,0),"")</f>
        <v/>
      </c>
      <c r="Q380" s="332">
        <f>IFERROR(VLOOKUP(TEXT(O380,"0"),CONDUCTORES!$A$3:$H$54,6,0),"")</f>
        <v/>
      </c>
      <c r="R380" s="280" t="n"/>
      <c r="S380" s="280" t="n"/>
      <c r="T380" s="280" t="n"/>
      <c r="U380" s="280" t="n"/>
      <c r="V380" s="280" t="n"/>
      <c r="W380" s="280" t="n"/>
      <c r="X380" s="280" t="n"/>
      <c r="Y380" s="280" t="n"/>
      <c r="Z380" s="375">
        <f>IF(AND(G380&lt;&gt;"",R380&lt;&gt;"",V380&lt;&gt;"",W380&lt;&gt;""),"COMPLETADO","OBSERVADO")</f>
        <v/>
      </c>
    </row>
    <row r="381" ht="15" customHeight="1" s="195">
      <c r="A381" s="334" t="n"/>
      <c r="B381" s="334" t="n"/>
      <c r="C381" s="334" t="n"/>
      <c r="D381" s="334" t="n"/>
      <c r="E381" s="334" t="n"/>
      <c r="F381" s="334" t="n"/>
      <c r="G381" s="334" t="n"/>
      <c r="H381" s="334" t="n"/>
      <c r="I381" s="332">
        <f>IFERROR(VLOOKUP(TEXT(H381,"0"),IPRESS!$A$3:$B$212,2,0),"")</f>
        <v/>
      </c>
      <c r="J381" s="334" t="n"/>
      <c r="K381" s="332">
        <f>IFERROR(VLOOKUP(TEXT(O381,"0"),CONDUCTORES!$A$3:$G$54,7,0),"")</f>
        <v/>
      </c>
      <c r="L381" s="334" t="n"/>
      <c r="M381" s="334" t="n"/>
      <c r="N381" s="333">
        <f>IFERROR(IF(L381*M381=0,"",L381*M381),"")</f>
        <v/>
      </c>
      <c r="O381" s="334" t="n"/>
      <c r="P381" s="332">
        <f>IFERROR(VLOOKUP(TEXT(O381,"0"),CONDUCTORES!$A$3:$G$54,2,0),"")</f>
        <v/>
      </c>
      <c r="Q381" s="332">
        <f>IFERROR(VLOOKUP(TEXT(O381,"0"),CONDUCTORES!$A$3:$H$54,6,0),"")</f>
        <v/>
      </c>
      <c r="R381" s="334" t="n"/>
      <c r="S381" s="334" t="n"/>
      <c r="T381" s="334" t="n"/>
      <c r="U381" s="334" t="n"/>
      <c r="V381" s="334" t="n"/>
      <c r="W381" s="334" t="n"/>
      <c r="X381" s="334" t="n"/>
      <c r="Y381" s="334" t="n"/>
      <c r="Z381" s="375">
        <f>IF(AND(G381&lt;&gt;"",R381&lt;&gt;"",V381&lt;&gt;"",W381&lt;&gt;""),"COMPLETADO","OBSERVADO")</f>
        <v/>
      </c>
    </row>
    <row r="382" ht="15" customHeight="1" s="195">
      <c r="A382" s="280" t="n"/>
      <c r="B382" s="280" t="n"/>
      <c r="C382" s="280" t="n"/>
      <c r="D382" s="280" t="n"/>
      <c r="E382" s="280" t="n"/>
      <c r="F382" s="280" t="n"/>
      <c r="G382" s="280" t="n"/>
      <c r="H382" s="280" t="n"/>
      <c r="I382" s="332">
        <f>IFERROR(VLOOKUP(TEXT(H382,"0"),IPRESS!$A$3:$B$212,2,0),"")</f>
        <v/>
      </c>
      <c r="J382" s="280" t="n"/>
      <c r="K382" s="332">
        <f>IFERROR(VLOOKUP(TEXT(O382,"0"),CONDUCTORES!$A$3:$G$54,7,0),"")</f>
        <v/>
      </c>
      <c r="L382" s="280" t="n"/>
      <c r="M382" s="280" t="n"/>
      <c r="N382" s="333">
        <f>IFERROR(IF(L382*M382=0,"",L382*M382),"")</f>
        <v/>
      </c>
      <c r="O382" s="280" t="n"/>
      <c r="P382" s="332">
        <f>IFERROR(VLOOKUP(TEXT(O382,"0"),CONDUCTORES!$A$3:$G$54,2,0),"")</f>
        <v/>
      </c>
      <c r="Q382" s="332">
        <f>IFERROR(VLOOKUP(TEXT(O382,"0"),CONDUCTORES!$A$3:$H$54,6,0),"")</f>
        <v/>
      </c>
      <c r="R382" s="280" t="n"/>
      <c r="S382" s="280" t="n"/>
      <c r="T382" s="280" t="n"/>
      <c r="U382" s="280" t="n"/>
      <c r="V382" s="280" t="n"/>
      <c r="W382" s="280" t="n"/>
      <c r="X382" s="280" t="n"/>
      <c r="Y382" s="280" t="n"/>
      <c r="Z382" s="375">
        <f>IF(AND(G382&lt;&gt;"",R382&lt;&gt;"",V382&lt;&gt;"",W382&lt;&gt;""),"COMPLETADO","OBSERVADO")</f>
        <v/>
      </c>
    </row>
    <row r="383" ht="15" customHeight="1" s="195">
      <c r="A383" s="334" t="n"/>
      <c r="B383" s="334" t="n"/>
      <c r="C383" s="334" t="n"/>
      <c r="D383" s="334" t="n"/>
      <c r="E383" s="334" t="n"/>
      <c r="F383" s="334" t="n"/>
      <c r="G383" s="334" t="n"/>
      <c r="H383" s="334" t="n"/>
      <c r="I383" s="332">
        <f>IFERROR(VLOOKUP(TEXT(H383,"0"),IPRESS!$A$3:$B$212,2,0),"")</f>
        <v/>
      </c>
      <c r="J383" s="334" t="n"/>
      <c r="K383" s="332">
        <f>IFERROR(VLOOKUP(TEXT(O383,"0"),CONDUCTORES!$A$3:$G$54,7,0),"")</f>
        <v/>
      </c>
      <c r="L383" s="334" t="n"/>
      <c r="M383" s="334" t="n"/>
      <c r="N383" s="333">
        <f>IFERROR(IF(L383*M383=0,"",L383*M383),"")</f>
        <v/>
      </c>
      <c r="O383" s="334" t="n"/>
      <c r="P383" s="332">
        <f>IFERROR(VLOOKUP(TEXT(O383,"0"),CONDUCTORES!$A$3:$G$54,2,0),"")</f>
        <v/>
      </c>
      <c r="Q383" s="332">
        <f>IFERROR(VLOOKUP(TEXT(O383,"0"),CONDUCTORES!$A$3:$H$54,6,0),"")</f>
        <v/>
      </c>
      <c r="R383" s="334" t="n"/>
      <c r="S383" s="334" t="n"/>
      <c r="T383" s="334" t="n"/>
      <c r="U383" s="334" t="n"/>
      <c r="V383" s="334" t="n"/>
      <c r="W383" s="334" t="n"/>
      <c r="X383" s="334" t="n"/>
      <c r="Y383" s="334" t="n"/>
      <c r="Z383" s="375">
        <f>IF(AND(G383&lt;&gt;"",R383&lt;&gt;"",V383&lt;&gt;"",W383&lt;&gt;""),"COMPLETADO","OBSERVADO")</f>
        <v/>
      </c>
    </row>
    <row r="384" ht="15" customHeight="1" s="195">
      <c r="A384" s="280" t="n"/>
      <c r="B384" s="280" t="n"/>
      <c r="C384" s="280" t="n"/>
      <c r="D384" s="280" t="n"/>
      <c r="E384" s="280" t="n"/>
      <c r="F384" s="280" t="n"/>
      <c r="G384" s="280" t="n"/>
      <c r="H384" s="280" t="n"/>
      <c r="I384" s="332">
        <f>IFERROR(VLOOKUP(TEXT(H384,"0"),IPRESS!$A$3:$B$212,2,0),"")</f>
        <v/>
      </c>
      <c r="J384" s="280" t="n"/>
      <c r="K384" s="332">
        <f>IFERROR(VLOOKUP(TEXT(O384,"0"),CONDUCTORES!$A$3:$G$54,7,0),"")</f>
        <v/>
      </c>
      <c r="L384" s="280" t="n"/>
      <c r="M384" s="280" t="n"/>
      <c r="N384" s="333">
        <f>IFERROR(IF(L384*M384=0,"",L384*M384),"")</f>
        <v/>
      </c>
      <c r="O384" s="280" t="n"/>
      <c r="P384" s="332">
        <f>IFERROR(VLOOKUP(TEXT(O384,"0"),CONDUCTORES!$A$3:$G$54,2,0),"")</f>
        <v/>
      </c>
      <c r="Q384" s="332">
        <f>IFERROR(VLOOKUP(TEXT(O384,"0"),CONDUCTORES!$A$3:$H$54,6,0),"")</f>
        <v/>
      </c>
      <c r="R384" s="280" t="n"/>
      <c r="S384" s="280" t="n"/>
      <c r="T384" s="280" t="n"/>
      <c r="U384" s="280" t="n"/>
      <c r="V384" s="280" t="n"/>
      <c r="W384" s="280" t="n"/>
      <c r="X384" s="280" t="n"/>
      <c r="Y384" s="280" t="n"/>
      <c r="Z384" s="375">
        <f>IF(AND(G384&lt;&gt;"",R384&lt;&gt;"",V384&lt;&gt;"",W384&lt;&gt;""),"COMPLETADO","OBSERVADO")</f>
        <v/>
      </c>
    </row>
    <row r="385" ht="15" customHeight="1" s="195">
      <c r="A385" s="334" t="n"/>
      <c r="B385" s="334" t="n"/>
      <c r="C385" s="334" t="n"/>
      <c r="D385" s="334" t="n"/>
      <c r="E385" s="334" t="n"/>
      <c r="F385" s="334" t="n"/>
      <c r="G385" s="334" t="n"/>
      <c r="H385" s="334" t="n"/>
      <c r="I385" s="332">
        <f>IFERROR(VLOOKUP(TEXT(H385,"0"),IPRESS!$A$3:$B$212,2,0),"")</f>
        <v/>
      </c>
      <c r="J385" s="334" t="n"/>
      <c r="K385" s="332">
        <f>IFERROR(VLOOKUP(TEXT(O385,"0"),CONDUCTORES!$A$3:$G$54,7,0),"")</f>
        <v/>
      </c>
      <c r="L385" s="334" t="n"/>
      <c r="M385" s="334" t="n"/>
      <c r="N385" s="333">
        <f>IFERROR(IF(L385*M385=0,"",L385*M385),"")</f>
        <v/>
      </c>
      <c r="O385" s="334" t="n"/>
      <c r="P385" s="332">
        <f>IFERROR(VLOOKUP(TEXT(O385,"0"),CONDUCTORES!$A$3:$G$54,2,0),"")</f>
        <v/>
      </c>
      <c r="Q385" s="332">
        <f>IFERROR(VLOOKUP(TEXT(O385,"0"),CONDUCTORES!$A$3:$H$54,6,0),"")</f>
        <v/>
      </c>
      <c r="R385" s="334" t="n"/>
      <c r="S385" s="334" t="n"/>
      <c r="T385" s="334" t="n"/>
      <c r="U385" s="334" t="n"/>
      <c r="V385" s="334" t="n"/>
      <c r="W385" s="334" t="n"/>
      <c r="X385" s="334" t="n"/>
      <c r="Y385" s="334" t="n"/>
      <c r="Z385" s="375">
        <f>IF(AND(G385&lt;&gt;"",R385&lt;&gt;"",V385&lt;&gt;"",W385&lt;&gt;""),"COMPLETADO","OBSERVADO")</f>
        <v/>
      </c>
    </row>
    <row r="386" ht="15" customHeight="1" s="195">
      <c r="A386" s="280" t="n"/>
      <c r="B386" s="280" t="n"/>
      <c r="C386" s="280" t="n"/>
      <c r="D386" s="280" t="n"/>
      <c r="E386" s="280" t="n"/>
      <c r="F386" s="280" t="n"/>
      <c r="G386" s="280" t="n"/>
      <c r="H386" s="280" t="n"/>
      <c r="I386" s="332">
        <f>IFERROR(VLOOKUP(TEXT(H386,"0"),IPRESS!$A$3:$B$212,2,0),"")</f>
        <v/>
      </c>
      <c r="J386" s="280" t="n"/>
      <c r="K386" s="332">
        <f>IFERROR(VLOOKUP(TEXT(O386,"0"),CONDUCTORES!$A$3:$G$54,7,0),"")</f>
        <v/>
      </c>
      <c r="L386" s="280" t="n"/>
      <c r="M386" s="280" t="n"/>
      <c r="N386" s="333">
        <f>IFERROR(IF(L386*M386=0,"",L386*M386),"")</f>
        <v/>
      </c>
      <c r="O386" s="280" t="n"/>
      <c r="P386" s="332">
        <f>IFERROR(VLOOKUP(TEXT(O386,"0"),CONDUCTORES!$A$3:$G$54,2,0),"")</f>
        <v/>
      </c>
      <c r="Q386" s="332">
        <f>IFERROR(VLOOKUP(TEXT(O386,"0"),CONDUCTORES!$A$3:$H$54,6,0),"")</f>
        <v/>
      </c>
      <c r="R386" s="280" t="n"/>
      <c r="S386" s="280" t="n"/>
      <c r="T386" s="280" t="n"/>
      <c r="U386" s="280" t="n"/>
      <c r="V386" s="280" t="n"/>
      <c r="W386" s="280" t="n"/>
      <c r="X386" s="280" t="n"/>
      <c r="Y386" s="280" t="n"/>
      <c r="Z386" s="375">
        <f>IF(AND(G386&lt;&gt;"",R386&lt;&gt;"",V386&lt;&gt;"",W386&lt;&gt;""),"COMPLETADO","OBSERVADO")</f>
        <v/>
      </c>
    </row>
    <row r="387" ht="15" customHeight="1" s="195">
      <c r="A387" s="334" t="n"/>
      <c r="B387" s="334" t="n"/>
      <c r="C387" s="334" t="n"/>
      <c r="D387" s="334" t="n"/>
      <c r="E387" s="334" t="n"/>
      <c r="F387" s="334" t="n"/>
      <c r="G387" s="334" t="n"/>
      <c r="H387" s="334" t="n"/>
      <c r="I387" s="332">
        <f>IFERROR(VLOOKUP(TEXT(H387,"0"),IPRESS!$A$3:$B$212,2,0),"")</f>
        <v/>
      </c>
      <c r="J387" s="334" t="n"/>
      <c r="K387" s="332">
        <f>IFERROR(VLOOKUP(TEXT(O387,"0"),CONDUCTORES!$A$3:$G$54,7,0),"")</f>
        <v/>
      </c>
      <c r="L387" s="334" t="n"/>
      <c r="M387" s="334" t="n"/>
      <c r="N387" s="333">
        <f>IFERROR(IF(L387*M387=0,"",L387*M387),"")</f>
        <v/>
      </c>
      <c r="O387" s="334" t="n"/>
      <c r="P387" s="332">
        <f>IFERROR(VLOOKUP(TEXT(O387,"0"),CONDUCTORES!$A$3:$G$54,2,0),"")</f>
        <v/>
      </c>
      <c r="Q387" s="332">
        <f>IFERROR(VLOOKUP(TEXT(O387,"0"),CONDUCTORES!$A$3:$H$54,6,0),"")</f>
        <v/>
      </c>
      <c r="R387" s="334" t="n"/>
      <c r="S387" s="334" t="n"/>
      <c r="T387" s="334" t="n"/>
      <c r="U387" s="334" t="n"/>
      <c r="V387" s="334" t="n"/>
      <c r="W387" s="334" t="n"/>
      <c r="X387" s="334" t="n"/>
      <c r="Y387" s="334" t="n"/>
      <c r="Z387" s="375">
        <f>IF(AND(G387&lt;&gt;"",R387&lt;&gt;"",V387&lt;&gt;"",W387&lt;&gt;""),"COMPLETADO","OBSERVADO")</f>
        <v/>
      </c>
    </row>
    <row r="388" ht="15" customHeight="1" s="195">
      <c r="A388" s="280" t="n"/>
      <c r="B388" s="280" t="n"/>
      <c r="C388" s="280" t="n"/>
      <c r="D388" s="280" t="n"/>
      <c r="E388" s="280" t="n"/>
      <c r="F388" s="280" t="n"/>
      <c r="G388" s="280" t="n"/>
      <c r="H388" s="280" t="n"/>
      <c r="I388" s="332">
        <f>IFERROR(VLOOKUP(TEXT(H388,"0"),IPRESS!$A$3:$B$212,2,0),"")</f>
        <v/>
      </c>
      <c r="J388" s="280" t="n"/>
      <c r="K388" s="332">
        <f>IFERROR(VLOOKUP(TEXT(O388,"0"),CONDUCTORES!$A$3:$G$54,7,0),"")</f>
        <v/>
      </c>
      <c r="L388" s="280" t="n"/>
      <c r="M388" s="280" t="n"/>
      <c r="N388" s="333">
        <f>IFERROR(IF(L388*M388=0,"",L388*M388),"")</f>
        <v/>
      </c>
      <c r="O388" s="280" t="n"/>
      <c r="P388" s="332">
        <f>IFERROR(VLOOKUP(TEXT(O388,"0"),CONDUCTORES!$A$3:$G$54,2,0),"")</f>
        <v/>
      </c>
      <c r="Q388" s="332">
        <f>IFERROR(VLOOKUP(TEXT(O388,"0"),CONDUCTORES!$A$3:$H$54,6,0),"")</f>
        <v/>
      </c>
      <c r="R388" s="280" t="n"/>
      <c r="S388" s="280" t="n"/>
      <c r="T388" s="280" t="n"/>
      <c r="U388" s="280" t="n"/>
      <c r="V388" s="280" t="n"/>
      <c r="W388" s="280" t="n"/>
      <c r="X388" s="280" t="n"/>
      <c r="Y388" s="280" t="n"/>
      <c r="Z388" s="375">
        <f>IF(AND(G388&lt;&gt;"",R388&lt;&gt;"",V388&lt;&gt;"",W388&lt;&gt;""),"COMPLETADO","OBSERVADO")</f>
        <v/>
      </c>
    </row>
    <row r="389" ht="15" customHeight="1" s="195">
      <c r="A389" s="334" t="n"/>
      <c r="B389" s="334" t="n"/>
      <c r="C389" s="334" t="n"/>
      <c r="D389" s="334" t="n"/>
      <c r="E389" s="334" t="n"/>
      <c r="F389" s="334" t="n"/>
      <c r="G389" s="334" t="n"/>
      <c r="H389" s="334" t="n"/>
      <c r="I389" s="332">
        <f>IFERROR(VLOOKUP(TEXT(H389,"0"),IPRESS!$A$3:$B$212,2,0),"")</f>
        <v/>
      </c>
      <c r="J389" s="334" t="n"/>
      <c r="K389" s="332">
        <f>IFERROR(VLOOKUP(TEXT(O389,"0"),CONDUCTORES!$A$3:$G$54,7,0),"")</f>
        <v/>
      </c>
      <c r="L389" s="334" t="n"/>
      <c r="M389" s="334" t="n"/>
      <c r="N389" s="333">
        <f>IFERROR(IF(L389*M389=0,"",L389*M389),"")</f>
        <v/>
      </c>
      <c r="O389" s="334" t="n"/>
      <c r="P389" s="332">
        <f>IFERROR(VLOOKUP(TEXT(O389,"0"),CONDUCTORES!$A$3:$G$54,2,0),"")</f>
        <v/>
      </c>
      <c r="Q389" s="332">
        <f>IFERROR(VLOOKUP(TEXT(O389,"0"),CONDUCTORES!$A$3:$H$54,6,0),"")</f>
        <v/>
      </c>
      <c r="R389" s="334" t="n"/>
      <c r="S389" s="334" t="n"/>
      <c r="T389" s="334" t="n"/>
      <c r="U389" s="334" t="n"/>
      <c r="V389" s="334" t="n"/>
      <c r="W389" s="334" t="n"/>
      <c r="X389" s="334" t="n"/>
      <c r="Y389" s="334" t="n"/>
      <c r="Z389" s="375">
        <f>IF(AND(G389&lt;&gt;"",R389&lt;&gt;"",V389&lt;&gt;"",W389&lt;&gt;""),"COMPLETADO","OBSERVADO")</f>
        <v/>
      </c>
    </row>
    <row r="390" ht="15" customHeight="1" s="195">
      <c r="A390" s="280" t="n"/>
      <c r="B390" s="280" t="n"/>
      <c r="C390" s="280" t="n"/>
      <c r="D390" s="280" t="n"/>
      <c r="E390" s="280" t="n"/>
      <c r="F390" s="280" t="n"/>
      <c r="G390" s="280" t="n"/>
      <c r="H390" s="280" t="n"/>
      <c r="I390" s="332">
        <f>IFERROR(VLOOKUP(TEXT(H390,"0"),IPRESS!$A$3:$B$212,2,0),"")</f>
        <v/>
      </c>
      <c r="J390" s="280" t="n"/>
      <c r="K390" s="332">
        <f>IFERROR(VLOOKUP(TEXT(O390,"0"),CONDUCTORES!$A$3:$G$54,7,0),"")</f>
        <v/>
      </c>
      <c r="L390" s="280" t="n"/>
      <c r="M390" s="280" t="n"/>
      <c r="N390" s="333">
        <f>IFERROR(IF(L390*M390=0,"",L390*M390),"")</f>
        <v/>
      </c>
      <c r="O390" s="280" t="n"/>
      <c r="P390" s="332">
        <f>IFERROR(VLOOKUP(TEXT(O390,"0"),CONDUCTORES!$A$3:$G$54,2,0),"")</f>
        <v/>
      </c>
      <c r="Q390" s="332">
        <f>IFERROR(VLOOKUP(TEXT(O390,"0"),CONDUCTORES!$A$3:$H$54,6,0),"")</f>
        <v/>
      </c>
      <c r="R390" s="280" t="n"/>
      <c r="S390" s="280" t="n"/>
      <c r="T390" s="280" t="n"/>
      <c r="U390" s="280" t="n"/>
      <c r="V390" s="280" t="n"/>
      <c r="W390" s="280" t="n"/>
      <c r="X390" s="280" t="n"/>
      <c r="Y390" s="280" t="n"/>
      <c r="Z390" s="375">
        <f>IF(AND(G390&lt;&gt;"",R390&lt;&gt;"",V390&lt;&gt;"",W390&lt;&gt;""),"COMPLETADO","OBSERVADO")</f>
        <v/>
      </c>
    </row>
    <row r="391" ht="15" customHeight="1" s="195">
      <c r="A391" s="334" t="n"/>
      <c r="B391" s="334" t="n"/>
      <c r="C391" s="334" t="n"/>
      <c r="D391" s="334" t="n"/>
      <c r="E391" s="334" t="n"/>
      <c r="F391" s="334" t="n"/>
      <c r="G391" s="334" t="n"/>
      <c r="H391" s="334" t="n"/>
      <c r="I391" s="332">
        <f>IFERROR(VLOOKUP(TEXT(H391,"0"),IPRESS!$A$3:$B$212,2,0),"")</f>
        <v/>
      </c>
      <c r="J391" s="334" t="n"/>
      <c r="K391" s="332">
        <f>IFERROR(VLOOKUP(TEXT(O391,"0"),CONDUCTORES!$A$3:$G$54,7,0),"")</f>
        <v/>
      </c>
      <c r="L391" s="334" t="n"/>
      <c r="M391" s="334" t="n"/>
      <c r="N391" s="333">
        <f>IFERROR(IF(L391*M391=0,"",L391*M391),"")</f>
        <v/>
      </c>
      <c r="O391" s="334" t="n"/>
      <c r="P391" s="332">
        <f>IFERROR(VLOOKUP(TEXT(O391,"0"),CONDUCTORES!$A$3:$G$54,2,0),"")</f>
        <v/>
      </c>
      <c r="Q391" s="332">
        <f>IFERROR(VLOOKUP(TEXT(O391,"0"),CONDUCTORES!$A$3:$H$54,6,0),"")</f>
        <v/>
      </c>
      <c r="R391" s="334" t="n"/>
      <c r="S391" s="334" t="n"/>
      <c r="T391" s="334" t="n"/>
      <c r="U391" s="334" t="n"/>
      <c r="V391" s="334" t="n"/>
      <c r="W391" s="334" t="n"/>
      <c r="X391" s="334" t="n"/>
      <c r="Y391" s="334" t="n"/>
      <c r="Z391" s="375">
        <f>IF(AND(G391&lt;&gt;"",R391&lt;&gt;"",V391&lt;&gt;"",W391&lt;&gt;""),"COMPLETADO","OBSERVADO")</f>
        <v/>
      </c>
    </row>
    <row r="392" ht="15" customHeight="1" s="195">
      <c r="A392" s="280" t="n"/>
      <c r="B392" s="280" t="n"/>
      <c r="C392" s="280" t="n"/>
      <c r="D392" s="280" t="n"/>
      <c r="E392" s="280" t="n"/>
      <c r="F392" s="280" t="n"/>
      <c r="G392" s="280" t="n"/>
      <c r="H392" s="280" t="n"/>
      <c r="I392" s="332">
        <f>IFERROR(VLOOKUP(TEXT(H392,"0"),IPRESS!$A$3:$B$212,2,0),"")</f>
        <v/>
      </c>
      <c r="J392" s="280" t="n"/>
      <c r="K392" s="332">
        <f>IFERROR(VLOOKUP(TEXT(O392,"0"),CONDUCTORES!$A$3:$G$54,7,0),"")</f>
        <v/>
      </c>
      <c r="L392" s="280" t="n"/>
      <c r="M392" s="280" t="n"/>
      <c r="N392" s="333">
        <f>IFERROR(IF(L392*M392=0,"",L392*M392),"")</f>
        <v/>
      </c>
      <c r="O392" s="280" t="n"/>
      <c r="P392" s="332">
        <f>IFERROR(VLOOKUP(TEXT(O392,"0"),CONDUCTORES!$A$3:$G$54,2,0),"")</f>
        <v/>
      </c>
      <c r="Q392" s="332">
        <f>IFERROR(VLOOKUP(TEXT(O392,"0"),CONDUCTORES!$A$3:$H$54,6,0),"")</f>
        <v/>
      </c>
      <c r="R392" s="280" t="n"/>
      <c r="S392" s="280" t="n"/>
      <c r="T392" s="280" t="n"/>
      <c r="U392" s="280" t="n"/>
      <c r="V392" s="280" t="n"/>
      <c r="W392" s="280" t="n"/>
      <c r="X392" s="280" t="n"/>
      <c r="Y392" s="280" t="n"/>
      <c r="Z392" s="375">
        <f>IF(AND(G392&lt;&gt;"",R392&lt;&gt;"",V392&lt;&gt;"",W392&lt;&gt;""),"COMPLETADO","OBSERVADO")</f>
        <v/>
      </c>
    </row>
    <row r="393" ht="15" customHeight="1" s="195">
      <c r="A393" s="334" t="n"/>
      <c r="B393" s="334" t="n"/>
      <c r="C393" s="334" t="n"/>
      <c r="D393" s="334" t="n"/>
      <c r="E393" s="334" t="n"/>
      <c r="F393" s="334" t="n"/>
      <c r="G393" s="334" t="n"/>
      <c r="H393" s="334" t="n"/>
      <c r="I393" s="332">
        <f>IFERROR(VLOOKUP(TEXT(H393,"0"),IPRESS!$A$3:$B$212,2,0),"")</f>
        <v/>
      </c>
      <c r="J393" s="334" t="n"/>
      <c r="K393" s="332">
        <f>IFERROR(VLOOKUP(TEXT(O393,"0"),CONDUCTORES!$A$3:$G$54,7,0),"")</f>
        <v/>
      </c>
      <c r="L393" s="334" t="n"/>
      <c r="M393" s="334" t="n"/>
      <c r="N393" s="333">
        <f>IFERROR(IF(L393*M393=0,"",L393*M393),"")</f>
        <v/>
      </c>
      <c r="O393" s="334" t="n"/>
      <c r="P393" s="332">
        <f>IFERROR(VLOOKUP(TEXT(O393,"0"),CONDUCTORES!$A$3:$G$54,2,0),"")</f>
        <v/>
      </c>
      <c r="Q393" s="332">
        <f>IFERROR(VLOOKUP(TEXT(O393,"0"),CONDUCTORES!$A$3:$H$54,6,0),"")</f>
        <v/>
      </c>
      <c r="R393" s="334" t="n"/>
      <c r="S393" s="334" t="n"/>
      <c r="T393" s="334" t="n"/>
      <c r="U393" s="334" t="n"/>
      <c r="V393" s="334" t="n"/>
      <c r="W393" s="334" t="n"/>
      <c r="X393" s="334" t="n"/>
      <c r="Y393" s="334" t="n"/>
      <c r="Z393" s="375">
        <f>IF(AND(G393&lt;&gt;"",R393&lt;&gt;"",V393&lt;&gt;"",W393&lt;&gt;""),"COMPLETADO","OBSERVADO")</f>
        <v/>
      </c>
    </row>
    <row r="394" ht="15" customHeight="1" s="195">
      <c r="A394" s="280" t="n"/>
      <c r="B394" s="280" t="n"/>
      <c r="C394" s="280" t="n"/>
      <c r="D394" s="280" t="n"/>
      <c r="E394" s="280" t="n"/>
      <c r="F394" s="280" t="n"/>
      <c r="G394" s="280" t="n"/>
      <c r="H394" s="280" t="n"/>
      <c r="I394" s="332">
        <f>IFERROR(VLOOKUP(TEXT(H394,"0"),IPRESS!$A$3:$B$212,2,0),"")</f>
        <v/>
      </c>
      <c r="J394" s="280" t="n"/>
      <c r="K394" s="332">
        <f>IFERROR(VLOOKUP(TEXT(O394,"0"),CONDUCTORES!$A$3:$G$54,7,0),"")</f>
        <v/>
      </c>
      <c r="L394" s="280" t="n"/>
      <c r="M394" s="280" t="n"/>
      <c r="N394" s="333">
        <f>IFERROR(IF(L394*M394=0,"",L394*M394),"")</f>
        <v/>
      </c>
      <c r="O394" s="280" t="n"/>
      <c r="P394" s="332">
        <f>IFERROR(VLOOKUP(TEXT(O394,"0"),CONDUCTORES!$A$3:$G$54,2,0),"")</f>
        <v/>
      </c>
      <c r="Q394" s="332">
        <f>IFERROR(VLOOKUP(TEXT(O394,"0"),CONDUCTORES!$A$3:$H$54,6,0),"")</f>
        <v/>
      </c>
      <c r="R394" s="280" t="n"/>
      <c r="S394" s="280" t="n"/>
      <c r="T394" s="280" t="n"/>
      <c r="U394" s="280" t="n"/>
      <c r="V394" s="280" t="n"/>
      <c r="W394" s="280" t="n"/>
      <c r="X394" s="280" t="n"/>
      <c r="Y394" s="280" t="n"/>
      <c r="Z394" s="375">
        <f>IF(AND(G394&lt;&gt;"",R394&lt;&gt;"",V394&lt;&gt;"",W394&lt;&gt;""),"COMPLETADO","OBSERVADO")</f>
        <v/>
      </c>
    </row>
    <row r="395" ht="15" customHeight="1" s="195">
      <c r="A395" s="334" t="n"/>
      <c r="B395" s="334" t="n"/>
      <c r="C395" s="334" t="n"/>
      <c r="D395" s="334" t="n"/>
      <c r="E395" s="334" t="n"/>
      <c r="F395" s="334" t="n"/>
      <c r="G395" s="334" t="n"/>
      <c r="H395" s="334" t="n"/>
      <c r="I395" s="332">
        <f>IFERROR(VLOOKUP(TEXT(H395,"0"),IPRESS!$A$3:$B$212,2,0),"")</f>
        <v/>
      </c>
      <c r="J395" s="334" t="n"/>
      <c r="K395" s="332">
        <f>IFERROR(VLOOKUP(TEXT(O395,"0"),CONDUCTORES!$A$3:$G$54,7,0),"")</f>
        <v/>
      </c>
      <c r="L395" s="334" t="n"/>
      <c r="M395" s="334" t="n"/>
      <c r="N395" s="333">
        <f>IFERROR(IF(L395*M395=0,"",L395*M395),"")</f>
        <v/>
      </c>
      <c r="O395" s="334" t="n"/>
      <c r="P395" s="332">
        <f>IFERROR(VLOOKUP(TEXT(O395,"0"),CONDUCTORES!$A$3:$G$54,2,0),"")</f>
        <v/>
      </c>
      <c r="Q395" s="332">
        <f>IFERROR(VLOOKUP(TEXT(O395,"0"),CONDUCTORES!$A$3:$H$54,6,0),"")</f>
        <v/>
      </c>
      <c r="R395" s="334" t="n"/>
      <c r="S395" s="334" t="n"/>
      <c r="T395" s="334" t="n"/>
      <c r="U395" s="334" t="n"/>
      <c r="V395" s="334" t="n"/>
      <c r="W395" s="334" t="n"/>
      <c r="X395" s="334" t="n"/>
      <c r="Y395" s="334" t="n"/>
      <c r="Z395" s="375">
        <f>IF(AND(G395&lt;&gt;"",R395&lt;&gt;"",V395&lt;&gt;"",W395&lt;&gt;""),"COMPLETADO","OBSERVADO")</f>
        <v/>
      </c>
    </row>
    <row r="396" ht="15" customHeight="1" s="195">
      <c r="A396" s="280" t="n"/>
      <c r="B396" s="280" t="n"/>
      <c r="C396" s="280" t="n"/>
      <c r="D396" s="280" t="n"/>
      <c r="E396" s="280" t="n"/>
      <c r="F396" s="280" t="n"/>
      <c r="G396" s="280" t="n"/>
      <c r="H396" s="280" t="n"/>
      <c r="I396" s="332">
        <f>IFERROR(VLOOKUP(TEXT(H396,"0"),IPRESS!$A$3:$B$212,2,0),"")</f>
        <v/>
      </c>
      <c r="J396" s="280" t="n"/>
      <c r="K396" s="332">
        <f>IFERROR(VLOOKUP(TEXT(O396,"0"),CONDUCTORES!$A$3:$G$54,7,0),"")</f>
        <v/>
      </c>
      <c r="L396" s="280" t="n"/>
      <c r="M396" s="280" t="n"/>
      <c r="N396" s="333">
        <f>IFERROR(IF(L396*M396=0,"",L396*M396),"")</f>
        <v/>
      </c>
      <c r="O396" s="280" t="n"/>
      <c r="P396" s="332">
        <f>IFERROR(VLOOKUP(TEXT(O396,"0"),CONDUCTORES!$A$3:$G$54,2,0),"")</f>
        <v/>
      </c>
      <c r="Q396" s="332">
        <f>IFERROR(VLOOKUP(TEXT(O396,"0"),CONDUCTORES!$A$3:$H$54,6,0),"")</f>
        <v/>
      </c>
      <c r="R396" s="280" t="n"/>
      <c r="S396" s="280" t="n"/>
      <c r="T396" s="280" t="n"/>
      <c r="U396" s="280" t="n"/>
      <c r="V396" s="280" t="n"/>
      <c r="W396" s="280" t="n"/>
      <c r="X396" s="280" t="n"/>
      <c r="Y396" s="280" t="n"/>
      <c r="Z396" s="375">
        <f>IF(AND(G396&lt;&gt;"",R396&lt;&gt;"",V396&lt;&gt;"",W396&lt;&gt;""),"COMPLETADO","OBSERVADO")</f>
        <v/>
      </c>
    </row>
    <row r="397" ht="15" customHeight="1" s="195">
      <c r="A397" s="334" t="n"/>
      <c r="B397" s="334" t="n"/>
      <c r="C397" s="334" t="n"/>
      <c r="D397" s="334" t="n"/>
      <c r="E397" s="334" t="n"/>
      <c r="F397" s="334" t="n"/>
      <c r="G397" s="334" t="n"/>
      <c r="H397" s="334" t="n"/>
      <c r="I397" s="332">
        <f>IFERROR(VLOOKUP(TEXT(H397,"0"),IPRESS!$A$3:$B$212,2,0),"")</f>
        <v/>
      </c>
      <c r="J397" s="334" t="n"/>
      <c r="K397" s="332">
        <f>IFERROR(VLOOKUP(TEXT(O397,"0"),CONDUCTORES!$A$3:$G$54,7,0),"")</f>
        <v/>
      </c>
      <c r="L397" s="334" t="n"/>
      <c r="M397" s="334" t="n"/>
      <c r="N397" s="333">
        <f>IFERROR(IF(L397*M397=0,"",L397*M397),"")</f>
        <v/>
      </c>
      <c r="O397" s="334" t="n"/>
      <c r="P397" s="332">
        <f>IFERROR(VLOOKUP(TEXT(O397,"0"),CONDUCTORES!$A$3:$G$54,2,0),"")</f>
        <v/>
      </c>
      <c r="Q397" s="332">
        <f>IFERROR(VLOOKUP(TEXT(O397,"0"),CONDUCTORES!$A$3:$H$54,6,0),"")</f>
        <v/>
      </c>
      <c r="R397" s="334" t="n"/>
      <c r="S397" s="334" t="n"/>
      <c r="T397" s="334" t="n"/>
      <c r="U397" s="334" t="n"/>
      <c r="V397" s="334" t="n"/>
      <c r="W397" s="334" t="n"/>
      <c r="X397" s="334" t="n"/>
      <c r="Y397" s="334" t="n"/>
      <c r="Z397" s="375">
        <f>IF(AND(G397&lt;&gt;"",R397&lt;&gt;"",V397&lt;&gt;"",W397&lt;&gt;""),"COMPLETADO","OBSERVADO")</f>
        <v/>
      </c>
    </row>
    <row r="398" ht="15" customHeight="1" s="195">
      <c r="A398" s="280" t="n"/>
      <c r="B398" s="280" t="n"/>
      <c r="C398" s="280" t="n"/>
      <c r="D398" s="280" t="n"/>
      <c r="E398" s="280" t="n"/>
      <c r="F398" s="280" t="n"/>
      <c r="G398" s="280" t="n"/>
      <c r="H398" s="280" t="n"/>
      <c r="I398" s="332">
        <f>IFERROR(VLOOKUP(TEXT(H398,"0"),IPRESS!$A$3:$B$212,2,0),"")</f>
        <v/>
      </c>
      <c r="J398" s="280" t="n"/>
      <c r="K398" s="332">
        <f>IFERROR(VLOOKUP(TEXT(O398,"0"),CONDUCTORES!$A$3:$G$54,7,0),"")</f>
        <v/>
      </c>
      <c r="L398" s="280" t="n"/>
      <c r="M398" s="280" t="n"/>
      <c r="N398" s="333">
        <f>IFERROR(IF(L398*M398=0,"",L398*M398),"")</f>
        <v/>
      </c>
      <c r="O398" s="280" t="n"/>
      <c r="P398" s="332">
        <f>IFERROR(VLOOKUP(TEXT(O398,"0"),CONDUCTORES!$A$3:$G$54,2,0),"")</f>
        <v/>
      </c>
      <c r="Q398" s="332">
        <f>IFERROR(VLOOKUP(TEXT(O398,"0"),CONDUCTORES!$A$3:$H$54,6,0),"")</f>
        <v/>
      </c>
      <c r="R398" s="280" t="n"/>
      <c r="S398" s="280" t="n"/>
      <c r="T398" s="280" t="n"/>
      <c r="U398" s="280" t="n"/>
      <c r="V398" s="280" t="n"/>
      <c r="W398" s="280" t="n"/>
      <c r="X398" s="280" t="n"/>
      <c r="Y398" s="280" t="n"/>
      <c r="Z398" s="375">
        <f>IF(AND(G398&lt;&gt;"",R398&lt;&gt;"",V398&lt;&gt;"",W398&lt;&gt;""),"COMPLETADO","OBSERVADO")</f>
        <v/>
      </c>
    </row>
    <row r="399" ht="15" customHeight="1" s="195">
      <c r="A399" s="334" t="n"/>
      <c r="B399" s="334" t="n"/>
      <c r="C399" s="334" t="n"/>
      <c r="D399" s="334" t="n"/>
      <c r="E399" s="334" t="n"/>
      <c r="F399" s="334" t="n"/>
      <c r="G399" s="334" t="n"/>
      <c r="H399" s="334" t="n"/>
      <c r="I399" s="332">
        <f>IFERROR(VLOOKUP(TEXT(H399,"0"),IPRESS!$A$3:$B$212,2,0),"")</f>
        <v/>
      </c>
      <c r="J399" s="334" t="n"/>
      <c r="K399" s="332">
        <f>IFERROR(VLOOKUP(TEXT(O399,"0"),CONDUCTORES!$A$3:$G$54,7,0),"")</f>
        <v/>
      </c>
      <c r="L399" s="334" t="n"/>
      <c r="M399" s="334" t="n"/>
      <c r="N399" s="333">
        <f>IFERROR(IF(L399*M399=0,"",L399*M399),"")</f>
        <v/>
      </c>
      <c r="O399" s="334" t="n"/>
      <c r="P399" s="332">
        <f>IFERROR(VLOOKUP(TEXT(O399,"0"),CONDUCTORES!$A$3:$G$54,2,0),"")</f>
        <v/>
      </c>
      <c r="Q399" s="332">
        <f>IFERROR(VLOOKUP(TEXT(O399,"0"),CONDUCTORES!$A$3:$H$54,6,0),"")</f>
        <v/>
      </c>
      <c r="R399" s="334" t="n"/>
      <c r="S399" s="334" t="n"/>
      <c r="T399" s="334" t="n"/>
      <c r="U399" s="334" t="n"/>
      <c r="V399" s="334" t="n"/>
      <c r="W399" s="334" t="n"/>
      <c r="X399" s="334" t="n"/>
      <c r="Y399" s="334" t="n"/>
      <c r="Z399" s="375">
        <f>IF(AND(G399&lt;&gt;"",R399&lt;&gt;"",V399&lt;&gt;"",W399&lt;&gt;""),"COMPLETADO","OBSERVADO")</f>
        <v/>
      </c>
    </row>
    <row r="400" ht="15" customHeight="1" s="195">
      <c r="A400" s="280" t="n"/>
      <c r="B400" s="280" t="n"/>
      <c r="C400" s="280" t="n"/>
      <c r="D400" s="280" t="n"/>
      <c r="E400" s="280" t="n"/>
      <c r="F400" s="280" t="n"/>
      <c r="G400" s="280" t="n"/>
      <c r="H400" s="280" t="n"/>
      <c r="I400" s="332">
        <f>IFERROR(VLOOKUP(TEXT(H400,"0"),IPRESS!$A$3:$B$212,2,0),"")</f>
        <v/>
      </c>
      <c r="J400" s="280" t="n"/>
      <c r="K400" s="332">
        <f>IFERROR(VLOOKUP(TEXT(O400,"0"),CONDUCTORES!$A$3:$G$54,7,0),"")</f>
        <v/>
      </c>
      <c r="L400" s="280" t="n"/>
      <c r="M400" s="280" t="n"/>
      <c r="N400" s="333">
        <f>IFERROR(IF(L400*M400=0,"",L400*M400),"")</f>
        <v/>
      </c>
      <c r="O400" s="280" t="n"/>
      <c r="P400" s="332">
        <f>IFERROR(VLOOKUP(TEXT(O400,"0"),CONDUCTORES!$A$3:$G$54,2,0),"")</f>
        <v/>
      </c>
      <c r="Q400" s="332">
        <f>IFERROR(VLOOKUP(TEXT(O400,"0"),CONDUCTORES!$A$3:$H$54,6,0),"")</f>
        <v/>
      </c>
      <c r="R400" s="280" t="n"/>
      <c r="S400" s="280" t="n"/>
      <c r="T400" s="280" t="n"/>
      <c r="U400" s="280" t="n"/>
      <c r="V400" s="280" t="n"/>
      <c r="W400" s="280" t="n"/>
      <c r="X400" s="280" t="n"/>
      <c r="Y400" s="280" t="n"/>
      <c r="Z400" s="375">
        <f>IF(AND(G400&lt;&gt;"",R400&lt;&gt;"",V400&lt;&gt;"",W400&lt;&gt;""),"COMPLETADO","OBSERVADO")</f>
        <v/>
      </c>
    </row>
    <row r="401" ht="15" customHeight="1" s="195">
      <c r="A401" s="334" t="n"/>
      <c r="B401" s="334" t="n"/>
      <c r="C401" s="334" t="n"/>
      <c r="D401" s="334" t="n"/>
      <c r="E401" s="334" t="n"/>
      <c r="F401" s="334" t="n"/>
      <c r="G401" s="334" t="n"/>
      <c r="H401" s="334" t="n"/>
      <c r="I401" s="332">
        <f>IFERROR(VLOOKUP(TEXT(H401,"0"),IPRESS!$A$3:$B$212,2,0),"")</f>
        <v/>
      </c>
      <c r="J401" s="334" t="n"/>
      <c r="K401" s="332">
        <f>IFERROR(VLOOKUP(TEXT(O401,"0"),CONDUCTORES!$A$3:$G$54,7,0),"")</f>
        <v/>
      </c>
      <c r="L401" s="334" t="n"/>
      <c r="M401" s="334" t="n"/>
      <c r="N401" s="333">
        <f>IFERROR(IF(L401*M401=0,"",L401*M401),"")</f>
        <v/>
      </c>
      <c r="O401" s="334" t="n"/>
      <c r="P401" s="332">
        <f>IFERROR(VLOOKUP(TEXT(O401,"0"),CONDUCTORES!$A$3:$G$54,2,0),"")</f>
        <v/>
      </c>
      <c r="Q401" s="332">
        <f>IFERROR(VLOOKUP(TEXT(O401,"0"),CONDUCTORES!$A$3:$H$54,6,0),"")</f>
        <v/>
      </c>
      <c r="R401" s="334" t="n"/>
      <c r="S401" s="334" t="n"/>
      <c r="T401" s="334" t="n"/>
      <c r="U401" s="334" t="n"/>
      <c r="V401" s="334" t="n"/>
      <c r="W401" s="334" t="n"/>
      <c r="X401" s="334" t="n"/>
      <c r="Y401" s="334" t="n"/>
      <c r="Z401" s="375">
        <f>IF(AND(G401&lt;&gt;"",R401&lt;&gt;"",V401&lt;&gt;"",W401&lt;&gt;""),"COMPLETADO","OBSERVADO")</f>
        <v/>
      </c>
    </row>
    <row r="402" ht="15" customHeight="1" s="195">
      <c r="A402" s="280" t="n"/>
      <c r="B402" s="280" t="n"/>
      <c r="C402" s="280" t="n"/>
      <c r="D402" s="280" t="n"/>
      <c r="E402" s="280" t="n"/>
      <c r="F402" s="280" t="n"/>
      <c r="G402" s="280" t="n"/>
      <c r="H402" s="280" t="n"/>
      <c r="I402" s="332">
        <f>IFERROR(VLOOKUP(TEXT(H402,"0"),IPRESS!$A$3:$B$212,2,0),"")</f>
        <v/>
      </c>
      <c r="J402" s="280" t="n"/>
      <c r="K402" s="332">
        <f>IFERROR(VLOOKUP(TEXT(O402,"0"),CONDUCTORES!$A$3:$G$54,7,0),"")</f>
        <v/>
      </c>
      <c r="L402" s="280" t="n"/>
      <c r="M402" s="280" t="n"/>
      <c r="N402" s="333">
        <f>IFERROR(IF(L402*M402=0,"",L402*M402),"")</f>
        <v/>
      </c>
      <c r="O402" s="280" t="n"/>
      <c r="P402" s="332">
        <f>IFERROR(VLOOKUP(TEXT(O402,"0"),CONDUCTORES!$A$3:$G$54,2,0),"")</f>
        <v/>
      </c>
      <c r="Q402" s="332">
        <f>IFERROR(VLOOKUP(TEXT(O402,"0"),CONDUCTORES!$A$3:$H$54,6,0),"")</f>
        <v/>
      </c>
      <c r="R402" s="280" t="n"/>
      <c r="S402" s="280" t="n"/>
      <c r="T402" s="280" t="n"/>
      <c r="U402" s="280" t="n"/>
      <c r="V402" s="280" t="n"/>
      <c r="W402" s="280" t="n"/>
      <c r="X402" s="280" t="n"/>
      <c r="Y402" s="280" t="n"/>
      <c r="Z402" s="375">
        <f>IF(AND(G402&lt;&gt;"",R402&lt;&gt;"",V402&lt;&gt;"",W402&lt;&gt;""),"COMPLETADO","OBSERVADO")</f>
        <v/>
      </c>
    </row>
    <row r="403" ht="15" customHeight="1" s="195">
      <c r="A403" s="334" t="n"/>
      <c r="B403" s="334" t="n"/>
      <c r="C403" s="334" t="n"/>
      <c r="D403" s="334" t="n"/>
      <c r="E403" s="334" t="n"/>
      <c r="F403" s="334" t="n"/>
      <c r="G403" s="334" t="n"/>
      <c r="H403" s="334" t="n"/>
      <c r="I403" s="332">
        <f>IFERROR(VLOOKUP(TEXT(H403,"0"),IPRESS!$A$3:$B$212,2,0),"")</f>
        <v/>
      </c>
      <c r="J403" s="334" t="n"/>
      <c r="K403" s="332">
        <f>IFERROR(VLOOKUP(TEXT(O403,"0"),CONDUCTORES!$A$3:$G$54,7,0),"")</f>
        <v/>
      </c>
      <c r="L403" s="334" t="n"/>
      <c r="M403" s="334" t="n"/>
      <c r="N403" s="333">
        <f>IFERROR(IF(L403*M403=0,"",L403*M403),"")</f>
        <v/>
      </c>
      <c r="O403" s="334" t="n"/>
      <c r="P403" s="332">
        <f>IFERROR(VLOOKUP(TEXT(O403,"0"),CONDUCTORES!$A$3:$G$54,2,0),"")</f>
        <v/>
      </c>
      <c r="Q403" s="332">
        <f>IFERROR(VLOOKUP(TEXT(O403,"0"),CONDUCTORES!$A$3:$H$54,6,0),"")</f>
        <v/>
      </c>
      <c r="R403" s="334" t="n"/>
      <c r="S403" s="334" t="n"/>
      <c r="T403" s="334" t="n"/>
      <c r="U403" s="334" t="n"/>
      <c r="V403" s="334" t="n"/>
      <c r="W403" s="334" t="n"/>
      <c r="X403" s="334" t="n"/>
      <c r="Y403" s="334" t="n"/>
      <c r="Z403" s="375">
        <f>IF(AND(G403&lt;&gt;"",R403&lt;&gt;"",V403&lt;&gt;"",W403&lt;&gt;""),"COMPLETADO","OBSERVADO")</f>
        <v/>
      </c>
    </row>
    <row r="404" ht="15" customHeight="1" s="195">
      <c r="A404" s="280" t="n"/>
      <c r="B404" s="280" t="n"/>
      <c r="C404" s="280" t="n"/>
      <c r="D404" s="280" t="n"/>
      <c r="E404" s="280" t="n"/>
      <c r="F404" s="280" t="n"/>
      <c r="G404" s="280" t="n"/>
      <c r="H404" s="280" t="n"/>
      <c r="I404" s="332">
        <f>IFERROR(VLOOKUP(TEXT(H404,"0"),IPRESS!$A$3:$B$212,2,0),"")</f>
        <v/>
      </c>
      <c r="J404" s="280" t="n"/>
      <c r="K404" s="332">
        <f>IFERROR(VLOOKUP(TEXT(O404,"0"),CONDUCTORES!$A$3:$G$54,7,0),"")</f>
        <v/>
      </c>
      <c r="L404" s="280" t="n"/>
      <c r="M404" s="280" t="n"/>
      <c r="N404" s="333">
        <f>IFERROR(IF(L404*M404=0,"",L404*M404),"")</f>
        <v/>
      </c>
      <c r="O404" s="280" t="n"/>
      <c r="P404" s="332">
        <f>IFERROR(VLOOKUP(TEXT(O404,"0"),CONDUCTORES!$A$3:$G$54,2,0),"")</f>
        <v/>
      </c>
      <c r="Q404" s="332">
        <f>IFERROR(VLOOKUP(TEXT(O404,"0"),CONDUCTORES!$A$3:$H$54,6,0),"")</f>
        <v/>
      </c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375">
        <f>IF(AND(G404&lt;&gt;"",R404&lt;&gt;"",V404&lt;&gt;"",W404&lt;&gt;""),"COMPLETADO","OBSERVADO")</f>
        <v/>
      </c>
    </row>
    <row r="405" ht="15" customHeight="1" s="195">
      <c r="A405" s="334" t="n"/>
      <c r="B405" s="334" t="n"/>
      <c r="C405" s="334" t="n"/>
      <c r="D405" s="334" t="n"/>
      <c r="E405" s="334" t="n"/>
      <c r="F405" s="334" t="n"/>
      <c r="G405" s="334" t="n"/>
      <c r="H405" s="334" t="n"/>
      <c r="I405" s="332">
        <f>IFERROR(VLOOKUP(TEXT(H405,"0"),IPRESS!$A$3:$B$212,2,0),"")</f>
        <v/>
      </c>
      <c r="J405" s="334" t="n"/>
      <c r="K405" s="332">
        <f>IFERROR(VLOOKUP(TEXT(O405,"0"),CONDUCTORES!$A$3:$G$54,7,0),"")</f>
        <v/>
      </c>
      <c r="L405" s="334" t="n"/>
      <c r="M405" s="334" t="n"/>
      <c r="N405" s="333">
        <f>IFERROR(IF(L405*M405=0,"",L405*M405),"")</f>
        <v/>
      </c>
      <c r="O405" s="334" t="n"/>
      <c r="P405" s="332">
        <f>IFERROR(VLOOKUP(TEXT(O405,"0"),CONDUCTORES!$A$3:$G$54,2,0),"")</f>
        <v/>
      </c>
      <c r="Q405" s="332">
        <f>IFERROR(VLOOKUP(TEXT(O405,"0"),CONDUCTORES!$A$3:$H$54,6,0),"")</f>
        <v/>
      </c>
      <c r="R405" s="334" t="n"/>
      <c r="S405" s="334" t="n"/>
      <c r="T405" s="334" t="n"/>
      <c r="U405" s="334" t="n"/>
      <c r="V405" s="334" t="n"/>
      <c r="W405" s="334" t="n"/>
      <c r="X405" s="334" t="n"/>
      <c r="Y405" s="334" t="n"/>
      <c r="Z405" s="375">
        <f>IF(AND(G405&lt;&gt;"",R405&lt;&gt;"",V405&lt;&gt;"",W405&lt;&gt;""),"COMPLETADO","OBSERVADO")</f>
        <v/>
      </c>
    </row>
    <row r="406" ht="15" customHeight="1" s="195">
      <c r="A406" s="280" t="n"/>
      <c r="B406" s="280" t="n"/>
      <c r="C406" s="280" t="n"/>
      <c r="D406" s="280" t="n"/>
      <c r="E406" s="280" t="n"/>
      <c r="F406" s="280" t="n"/>
      <c r="G406" s="280" t="n"/>
      <c r="H406" s="280" t="n"/>
      <c r="I406" s="332">
        <f>IFERROR(VLOOKUP(TEXT(H406,"0"),IPRESS!$A$3:$B$212,2,0),"")</f>
        <v/>
      </c>
      <c r="J406" s="280" t="n"/>
      <c r="K406" s="332">
        <f>IFERROR(VLOOKUP(TEXT(O406,"0"),CONDUCTORES!$A$3:$G$54,7,0),"")</f>
        <v/>
      </c>
      <c r="L406" s="280" t="n"/>
      <c r="M406" s="280" t="n"/>
      <c r="N406" s="333">
        <f>IFERROR(IF(L406*M406=0,"",L406*M406),"")</f>
        <v/>
      </c>
      <c r="O406" s="280" t="n"/>
      <c r="P406" s="332">
        <f>IFERROR(VLOOKUP(TEXT(O406,"0"),CONDUCTORES!$A$3:$G$54,2,0),"")</f>
        <v/>
      </c>
      <c r="Q406" s="332">
        <f>IFERROR(VLOOKUP(TEXT(O406,"0"),CONDUCTORES!$A$3:$H$54,6,0),"")</f>
        <v/>
      </c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375">
        <f>IF(AND(G406&lt;&gt;"",R406&lt;&gt;"",V406&lt;&gt;"",W406&lt;&gt;""),"COMPLETADO","OBSERVADO")</f>
        <v/>
      </c>
    </row>
    <row r="407" ht="15" customHeight="1" s="195">
      <c r="A407" s="334" t="n"/>
      <c r="B407" s="334" t="n"/>
      <c r="C407" s="334" t="n"/>
      <c r="D407" s="334" t="n"/>
      <c r="E407" s="334" t="n"/>
      <c r="F407" s="334" t="n"/>
      <c r="G407" s="334" t="n"/>
      <c r="H407" s="334" t="n"/>
      <c r="I407" s="332">
        <f>IFERROR(VLOOKUP(TEXT(H407,"0"),IPRESS!$A$3:$B$212,2,0),"")</f>
        <v/>
      </c>
      <c r="J407" s="334" t="n"/>
      <c r="K407" s="332">
        <f>IFERROR(VLOOKUP(TEXT(O407,"0"),CONDUCTORES!$A$3:$G$54,7,0),"")</f>
        <v/>
      </c>
      <c r="L407" s="334" t="n"/>
      <c r="M407" s="334" t="n"/>
      <c r="N407" s="333">
        <f>IFERROR(IF(L407*M407=0,"",L407*M407),"")</f>
        <v/>
      </c>
      <c r="O407" s="334" t="n"/>
      <c r="P407" s="332">
        <f>IFERROR(VLOOKUP(TEXT(O407,"0"),CONDUCTORES!$A$3:$G$54,2,0),"")</f>
        <v/>
      </c>
      <c r="Q407" s="332">
        <f>IFERROR(VLOOKUP(TEXT(O407,"0"),CONDUCTORES!$A$3:$H$54,6,0),"")</f>
        <v/>
      </c>
      <c r="R407" s="334" t="n"/>
      <c r="S407" s="334" t="n"/>
      <c r="T407" s="334" t="n"/>
      <c r="U407" s="334" t="n"/>
      <c r="V407" s="334" t="n"/>
      <c r="W407" s="334" t="n"/>
      <c r="X407" s="334" t="n"/>
      <c r="Y407" s="334" t="n"/>
      <c r="Z407" s="375">
        <f>IF(AND(G407&lt;&gt;"",R407&lt;&gt;"",V407&lt;&gt;"",W407&lt;&gt;""),"COMPLETADO","OBSERVADO")</f>
        <v/>
      </c>
    </row>
    <row r="408" ht="15" customHeight="1" s="195">
      <c r="A408" s="280" t="n"/>
      <c r="B408" s="280" t="n"/>
      <c r="C408" s="280" t="n"/>
      <c r="D408" s="280" t="n"/>
      <c r="E408" s="280" t="n"/>
      <c r="F408" s="280" t="n"/>
      <c r="G408" s="280" t="n"/>
      <c r="H408" s="280" t="n"/>
      <c r="I408" s="332">
        <f>IFERROR(VLOOKUP(TEXT(H408,"0"),IPRESS!$A$3:$B$212,2,0),"")</f>
        <v/>
      </c>
      <c r="J408" s="280" t="n"/>
      <c r="K408" s="332">
        <f>IFERROR(VLOOKUP(TEXT(O408,"0"),CONDUCTORES!$A$3:$G$54,7,0),"")</f>
        <v/>
      </c>
      <c r="L408" s="280" t="n"/>
      <c r="M408" s="280" t="n"/>
      <c r="N408" s="333">
        <f>IFERROR(IF(L408*M408=0,"",L408*M408),"")</f>
        <v/>
      </c>
      <c r="O408" s="280" t="n"/>
      <c r="P408" s="332">
        <f>IFERROR(VLOOKUP(TEXT(O408,"0"),CONDUCTORES!$A$3:$G$54,2,0),"")</f>
        <v/>
      </c>
      <c r="Q408" s="332">
        <f>IFERROR(VLOOKUP(TEXT(O408,"0"),CONDUCTORES!$A$3:$H$54,6,0),"")</f>
        <v/>
      </c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375">
        <f>IF(AND(G408&lt;&gt;"",R408&lt;&gt;"",V408&lt;&gt;"",W408&lt;&gt;""),"COMPLETADO","OBSERVADO")</f>
        <v/>
      </c>
    </row>
    <row r="409" ht="15" customHeight="1" s="195">
      <c r="A409" s="334" t="n"/>
      <c r="B409" s="334" t="n"/>
      <c r="C409" s="334" t="n"/>
      <c r="D409" s="334" t="n"/>
      <c r="E409" s="334" t="n"/>
      <c r="F409" s="334" t="n"/>
      <c r="G409" s="334" t="n"/>
      <c r="H409" s="334" t="n"/>
      <c r="I409" s="332">
        <f>IFERROR(VLOOKUP(TEXT(H409,"0"),IPRESS!$A$3:$B$212,2,0),"")</f>
        <v/>
      </c>
      <c r="J409" s="334" t="n"/>
      <c r="K409" s="332">
        <f>IFERROR(VLOOKUP(TEXT(O409,"0"),CONDUCTORES!$A$3:$G$54,7,0),"")</f>
        <v/>
      </c>
      <c r="L409" s="334" t="n"/>
      <c r="M409" s="334" t="n"/>
      <c r="N409" s="333">
        <f>IFERROR(IF(L409*M409=0,"",L409*M409),"")</f>
        <v/>
      </c>
      <c r="O409" s="334" t="n"/>
      <c r="P409" s="332">
        <f>IFERROR(VLOOKUP(TEXT(O409,"0"),CONDUCTORES!$A$3:$G$54,2,0),"")</f>
        <v/>
      </c>
      <c r="Q409" s="332">
        <f>IFERROR(VLOOKUP(TEXT(O409,"0"),CONDUCTORES!$A$3:$H$54,6,0),"")</f>
        <v/>
      </c>
      <c r="R409" s="334" t="n"/>
      <c r="S409" s="334" t="n"/>
      <c r="T409" s="334" t="n"/>
      <c r="U409" s="334" t="n"/>
      <c r="V409" s="334" t="n"/>
      <c r="W409" s="334" t="n"/>
      <c r="X409" s="334" t="n"/>
      <c r="Y409" s="334" t="n"/>
      <c r="Z409" s="375">
        <f>IF(AND(G409&lt;&gt;"",R409&lt;&gt;"",V409&lt;&gt;"",W409&lt;&gt;""),"COMPLETADO","OBSERVADO")</f>
        <v/>
      </c>
    </row>
    <row r="410" ht="15" customHeight="1" s="195">
      <c r="A410" s="280" t="n"/>
      <c r="B410" s="280" t="n"/>
      <c r="C410" s="280" t="n"/>
      <c r="D410" s="280" t="n"/>
      <c r="E410" s="280" t="n"/>
      <c r="F410" s="280" t="n"/>
      <c r="G410" s="280" t="n"/>
      <c r="H410" s="280" t="n"/>
      <c r="I410" s="332">
        <f>IFERROR(VLOOKUP(TEXT(H410,"0"),IPRESS!$A$3:$B$212,2,0),"")</f>
        <v/>
      </c>
      <c r="J410" s="280" t="n"/>
      <c r="K410" s="332">
        <f>IFERROR(VLOOKUP(TEXT(O410,"0"),CONDUCTORES!$A$3:$G$54,7,0),"")</f>
        <v/>
      </c>
      <c r="L410" s="280" t="n"/>
      <c r="M410" s="280" t="n"/>
      <c r="N410" s="333">
        <f>IFERROR(IF(L410*M410=0,"",L410*M410),"")</f>
        <v/>
      </c>
      <c r="O410" s="280" t="n"/>
      <c r="P410" s="332">
        <f>IFERROR(VLOOKUP(TEXT(O410,"0"),CONDUCTORES!$A$3:$G$54,2,0),"")</f>
        <v/>
      </c>
      <c r="Q410" s="332">
        <f>IFERROR(VLOOKUP(TEXT(O410,"0"),CONDUCTORES!$A$3:$H$54,6,0),"")</f>
        <v/>
      </c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375">
        <f>IF(AND(G410&lt;&gt;"",R410&lt;&gt;"",V410&lt;&gt;"",W410&lt;&gt;""),"COMPLETADO","OBSERVADO")</f>
        <v/>
      </c>
    </row>
    <row r="411" ht="15" customHeight="1" s="195">
      <c r="A411" s="334" t="n"/>
      <c r="B411" s="334" t="n"/>
      <c r="C411" s="334" t="n"/>
      <c r="D411" s="334" t="n"/>
      <c r="E411" s="334" t="n"/>
      <c r="F411" s="334" t="n"/>
      <c r="G411" s="334" t="n"/>
      <c r="H411" s="334" t="n"/>
      <c r="I411" s="332">
        <f>IFERROR(VLOOKUP(TEXT(H411,"0"),IPRESS!$A$3:$B$212,2,0),"")</f>
        <v/>
      </c>
      <c r="J411" s="334" t="n"/>
      <c r="K411" s="332">
        <f>IFERROR(VLOOKUP(TEXT(O411,"0"),CONDUCTORES!$A$3:$G$54,7,0),"")</f>
        <v/>
      </c>
      <c r="L411" s="334" t="n"/>
      <c r="M411" s="334" t="n"/>
      <c r="N411" s="333">
        <f>IFERROR(IF(L411*M411=0,"",L411*M411),"")</f>
        <v/>
      </c>
      <c r="O411" s="334" t="n"/>
      <c r="P411" s="332">
        <f>IFERROR(VLOOKUP(TEXT(O411,"0"),CONDUCTORES!$A$3:$G$54,2,0),"")</f>
        <v/>
      </c>
      <c r="Q411" s="332">
        <f>IFERROR(VLOOKUP(TEXT(O411,"0"),CONDUCTORES!$A$3:$H$54,6,0),"")</f>
        <v/>
      </c>
      <c r="R411" s="334" t="n"/>
      <c r="S411" s="334" t="n"/>
      <c r="T411" s="334" t="n"/>
      <c r="U411" s="334" t="n"/>
      <c r="V411" s="334" t="n"/>
      <c r="W411" s="334" t="n"/>
      <c r="X411" s="334" t="n"/>
      <c r="Y411" s="334" t="n"/>
      <c r="Z411" s="375">
        <f>IF(AND(G411&lt;&gt;"",R411&lt;&gt;"",V411&lt;&gt;"",W411&lt;&gt;""),"COMPLETADO","OBSERVADO")</f>
        <v/>
      </c>
    </row>
    <row r="412" ht="15" customHeight="1" s="195">
      <c r="A412" s="280" t="n"/>
      <c r="B412" s="280" t="n"/>
      <c r="C412" s="280" t="n"/>
      <c r="D412" s="280" t="n"/>
      <c r="E412" s="280" t="n"/>
      <c r="F412" s="280" t="n"/>
      <c r="G412" s="280" t="n"/>
      <c r="H412" s="280" t="n"/>
      <c r="I412" s="332">
        <f>IFERROR(VLOOKUP(TEXT(H412,"0"),IPRESS!$A$3:$B$212,2,0),"")</f>
        <v/>
      </c>
      <c r="J412" s="280" t="n"/>
      <c r="K412" s="332">
        <f>IFERROR(VLOOKUP(TEXT(O412,"0"),CONDUCTORES!$A$3:$G$54,7,0),"")</f>
        <v/>
      </c>
      <c r="L412" s="280" t="n"/>
      <c r="M412" s="280" t="n"/>
      <c r="N412" s="333">
        <f>IFERROR(IF(L412*M412=0,"",L412*M412),"")</f>
        <v/>
      </c>
      <c r="O412" s="280" t="n"/>
      <c r="P412" s="332">
        <f>IFERROR(VLOOKUP(TEXT(O412,"0"),CONDUCTORES!$A$3:$G$54,2,0),"")</f>
        <v/>
      </c>
      <c r="Q412" s="332">
        <f>IFERROR(VLOOKUP(TEXT(O412,"0"),CONDUCTORES!$A$3:$H$54,6,0),"")</f>
        <v/>
      </c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375">
        <f>IF(AND(G412&lt;&gt;"",R412&lt;&gt;"",V412&lt;&gt;"",W412&lt;&gt;""),"COMPLETADO","OBSERVADO")</f>
        <v/>
      </c>
    </row>
    <row r="413" ht="15" customHeight="1" s="195">
      <c r="A413" s="334" t="n"/>
      <c r="B413" s="334" t="n"/>
      <c r="C413" s="334" t="n"/>
      <c r="D413" s="334" t="n"/>
      <c r="E413" s="334" t="n"/>
      <c r="F413" s="334" t="n"/>
      <c r="G413" s="334" t="n"/>
      <c r="H413" s="334" t="n"/>
      <c r="I413" s="332">
        <f>IFERROR(VLOOKUP(TEXT(H413,"0"),IPRESS!$A$3:$B$212,2,0),"")</f>
        <v/>
      </c>
      <c r="J413" s="334" t="n"/>
      <c r="K413" s="332">
        <f>IFERROR(VLOOKUP(TEXT(O413,"0"),CONDUCTORES!$A$3:$G$54,7,0),"")</f>
        <v/>
      </c>
      <c r="L413" s="334" t="n"/>
      <c r="M413" s="334" t="n"/>
      <c r="N413" s="333">
        <f>IFERROR(IF(L413*M413=0,"",L413*M413),"")</f>
        <v/>
      </c>
      <c r="O413" s="334" t="n"/>
      <c r="P413" s="332">
        <f>IFERROR(VLOOKUP(TEXT(O413,"0"),CONDUCTORES!$A$3:$G$54,2,0),"")</f>
        <v/>
      </c>
      <c r="Q413" s="332">
        <f>IFERROR(VLOOKUP(TEXT(O413,"0"),CONDUCTORES!$A$3:$H$54,6,0),"")</f>
        <v/>
      </c>
      <c r="R413" s="334" t="n"/>
      <c r="S413" s="334" t="n"/>
      <c r="T413" s="334" t="n"/>
      <c r="U413" s="334" t="n"/>
      <c r="V413" s="334" t="n"/>
      <c r="W413" s="334" t="n"/>
      <c r="X413" s="334" t="n"/>
      <c r="Y413" s="334" t="n"/>
      <c r="Z413" s="375">
        <f>IF(AND(G413&lt;&gt;"",R413&lt;&gt;"",V413&lt;&gt;"",W413&lt;&gt;""),"COMPLETADO","OBSERVADO")</f>
        <v/>
      </c>
    </row>
    <row r="414" ht="15" customHeight="1" s="195">
      <c r="A414" s="280" t="n"/>
      <c r="B414" s="280" t="n"/>
      <c r="C414" s="280" t="n"/>
      <c r="D414" s="280" t="n"/>
      <c r="E414" s="280" t="n"/>
      <c r="F414" s="280" t="n"/>
      <c r="G414" s="280" t="n"/>
      <c r="H414" s="280" t="n"/>
      <c r="I414" s="332">
        <f>IFERROR(VLOOKUP(TEXT(H414,"0"),IPRESS!$A$3:$B$212,2,0),"")</f>
        <v/>
      </c>
      <c r="J414" s="280" t="n"/>
      <c r="K414" s="332">
        <f>IFERROR(VLOOKUP(TEXT(O414,"0"),CONDUCTORES!$A$3:$G$54,7,0),"")</f>
        <v/>
      </c>
      <c r="L414" s="280" t="n"/>
      <c r="M414" s="280" t="n"/>
      <c r="N414" s="333">
        <f>IFERROR(IF(L414*M414=0,"",L414*M414),"")</f>
        <v/>
      </c>
      <c r="O414" s="280" t="n"/>
      <c r="P414" s="332">
        <f>IFERROR(VLOOKUP(TEXT(O414,"0"),CONDUCTORES!$A$3:$G$54,2,0),"")</f>
        <v/>
      </c>
      <c r="Q414" s="332">
        <f>IFERROR(VLOOKUP(TEXT(O414,"0"),CONDUCTORES!$A$3:$H$54,6,0),"")</f>
        <v/>
      </c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375">
        <f>IF(AND(G414&lt;&gt;"",R414&lt;&gt;"",V414&lt;&gt;"",W414&lt;&gt;""),"COMPLETADO","OBSERVADO")</f>
        <v/>
      </c>
    </row>
    <row r="415" ht="15" customHeight="1" s="195">
      <c r="A415" s="334" t="n"/>
      <c r="B415" s="334" t="n"/>
      <c r="C415" s="334" t="n"/>
      <c r="D415" s="334" t="n"/>
      <c r="E415" s="334" t="n"/>
      <c r="F415" s="334" t="n"/>
      <c r="G415" s="334" t="n"/>
      <c r="H415" s="334" t="n"/>
      <c r="I415" s="332">
        <f>IFERROR(VLOOKUP(TEXT(H415,"0"),IPRESS!$A$3:$B$212,2,0),"")</f>
        <v/>
      </c>
      <c r="J415" s="334" t="n"/>
      <c r="K415" s="332">
        <f>IFERROR(VLOOKUP(TEXT(O415,"0"),CONDUCTORES!$A$3:$G$54,7,0),"")</f>
        <v/>
      </c>
      <c r="L415" s="334" t="n"/>
      <c r="M415" s="334" t="n"/>
      <c r="N415" s="333">
        <f>IFERROR(IF(L415*M415=0,"",L415*M415),"")</f>
        <v/>
      </c>
      <c r="O415" s="334" t="n"/>
      <c r="P415" s="332">
        <f>IFERROR(VLOOKUP(TEXT(O415,"0"),CONDUCTORES!$A$3:$G$54,2,0),"")</f>
        <v/>
      </c>
      <c r="Q415" s="332">
        <f>IFERROR(VLOOKUP(TEXT(O415,"0"),CONDUCTORES!$A$3:$H$54,6,0),"")</f>
        <v/>
      </c>
      <c r="R415" s="334" t="n"/>
      <c r="S415" s="334" t="n"/>
      <c r="T415" s="334" t="n"/>
      <c r="U415" s="334" t="n"/>
      <c r="V415" s="334" t="n"/>
      <c r="W415" s="334" t="n"/>
      <c r="X415" s="334" t="n"/>
      <c r="Y415" s="334" t="n"/>
      <c r="Z415" s="375">
        <f>IF(AND(G415&lt;&gt;"",R415&lt;&gt;"",V415&lt;&gt;"",W415&lt;&gt;""),"COMPLETADO","OBSERVADO")</f>
        <v/>
      </c>
    </row>
    <row r="416" ht="15" customHeight="1" s="195">
      <c r="A416" s="280" t="n"/>
      <c r="B416" s="280" t="n"/>
      <c r="C416" s="280" t="n"/>
      <c r="D416" s="280" t="n"/>
      <c r="E416" s="280" t="n"/>
      <c r="F416" s="280" t="n"/>
      <c r="G416" s="280" t="n"/>
      <c r="H416" s="280" t="n"/>
      <c r="I416" s="332">
        <f>IFERROR(VLOOKUP(TEXT(H416,"0"),IPRESS!$A$3:$B$212,2,0),"")</f>
        <v/>
      </c>
      <c r="J416" s="280" t="n"/>
      <c r="K416" s="332">
        <f>IFERROR(VLOOKUP(TEXT(O416,"0"),CONDUCTORES!$A$3:$G$54,7,0),"")</f>
        <v/>
      </c>
      <c r="L416" s="280" t="n"/>
      <c r="M416" s="280" t="n"/>
      <c r="N416" s="333">
        <f>IFERROR(IF(L416*M416=0,"",L416*M416),"")</f>
        <v/>
      </c>
      <c r="O416" s="280" t="n"/>
      <c r="P416" s="332">
        <f>IFERROR(VLOOKUP(TEXT(O416,"0"),CONDUCTORES!$A$3:$G$54,2,0),"")</f>
        <v/>
      </c>
      <c r="Q416" s="332">
        <f>IFERROR(VLOOKUP(TEXT(O416,"0"),CONDUCTORES!$A$3:$H$54,6,0),"")</f>
        <v/>
      </c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375">
        <f>IF(AND(G416&lt;&gt;"",R416&lt;&gt;"",V416&lt;&gt;"",W416&lt;&gt;""),"COMPLETADO","OBSERVADO")</f>
        <v/>
      </c>
    </row>
    <row r="417" ht="15" customHeight="1" s="195">
      <c r="A417" s="334" t="n"/>
      <c r="B417" s="334" t="n"/>
      <c r="C417" s="334" t="n"/>
      <c r="D417" s="334" t="n"/>
      <c r="E417" s="334" t="n"/>
      <c r="F417" s="334" t="n"/>
      <c r="G417" s="334" t="n"/>
      <c r="H417" s="334" t="n"/>
      <c r="I417" s="332">
        <f>IFERROR(VLOOKUP(TEXT(H417,"0"),IPRESS!$A$3:$B$212,2,0),"")</f>
        <v/>
      </c>
      <c r="J417" s="334" t="n"/>
      <c r="K417" s="332">
        <f>IFERROR(VLOOKUP(TEXT(O417,"0"),CONDUCTORES!$A$3:$G$54,7,0),"")</f>
        <v/>
      </c>
      <c r="L417" s="334" t="n"/>
      <c r="M417" s="334" t="n"/>
      <c r="N417" s="333">
        <f>IFERROR(IF(L417*M417=0,"",L417*M417),"")</f>
        <v/>
      </c>
      <c r="O417" s="334" t="n"/>
      <c r="P417" s="332">
        <f>IFERROR(VLOOKUP(TEXT(O417,"0"),CONDUCTORES!$A$3:$G$54,2,0),"")</f>
        <v/>
      </c>
      <c r="Q417" s="332">
        <f>IFERROR(VLOOKUP(TEXT(O417,"0"),CONDUCTORES!$A$3:$H$54,6,0),"")</f>
        <v/>
      </c>
      <c r="R417" s="334" t="n"/>
      <c r="S417" s="334" t="n"/>
      <c r="T417" s="334" t="n"/>
      <c r="U417" s="334" t="n"/>
      <c r="V417" s="334" t="n"/>
      <c r="W417" s="334" t="n"/>
      <c r="X417" s="334" t="n"/>
      <c r="Y417" s="334" t="n"/>
      <c r="Z417" s="375">
        <f>IF(AND(G417&lt;&gt;"",R417&lt;&gt;"",V417&lt;&gt;"",W417&lt;&gt;""),"COMPLETADO","OBSERVADO")</f>
        <v/>
      </c>
    </row>
    <row r="418" ht="15" customHeight="1" s="195">
      <c r="A418" s="280" t="n"/>
      <c r="B418" s="280" t="n"/>
      <c r="C418" s="280" t="n"/>
      <c r="D418" s="280" t="n"/>
      <c r="E418" s="280" t="n"/>
      <c r="F418" s="280" t="n"/>
      <c r="G418" s="280" t="n"/>
      <c r="H418" s="280" t="n"/>
      <c r="I418" s="332">
        <f>IFERROR(VLOOKUP(TEXT(H418,"0"),IPRESS!$A$3:$B$212,2,0),"")</f>
        <v/>
      </c>
      <c r="J418" s="280" t="n"/>
      <c r="K418" s="332">
        <f>IFERROR(VLOOKUP(TEXT(O418,"0"),CONDUCTORES!$A$3:$G$54,7,0),"")</f>
        <v/>
      </c>
      <c r="L418" s="280" t="n"/>
      <c r="M418" s="280" t="n"/>
      <c r="N418" s="333">
        <f>IFERROR(IF(L418*M418=0,"",L418*M418),"")</f>
        <v/>
      </c>
      <c r="O418" s="280" t="n"/>
      <c r="P418" s="332">
        <f>IFERROR(VLOOKUP(TEXT(O418,"0"),CONDUCTORES!$A$3:$G$54,2,0),"")</f>
        <v/>
      </c>
      <c r="Q418" s="332">
        <f>IFERROR(VLOOKUP(TEXT(O418,"0"),CONDUCTORES!$A$3:$H$54,6,0),"")</f>
        <v/>
      </c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375">
        <f>IF(AND(G418&lt;&gt;"",R418&lt;&gt;"",V418&lt;&gt;"",W418&lt;&gt;""),"COMPLETADO","OBSERVADO")</f>
        <v/>
      </c>
    </row>
    <row r="419" ht="15" customHeight="1" s="195">
      <c r="A419" s="334" t="n"/>
      <c r="B419" s="334" t="n"/>
      <c r="C419" s="334" t="n"/>
      <c r="D419" s="334" t="n"/>
      <c r="E419" s="334" t="n"/>
      <c r="F419" s="334" t="n"/>
      <c r="G419" s="334" t="n"/>
      <c r="H419" s="334" t="n"/>
      <c r="I419" s="332">
        <f>IFERROR(VLOOKUP(TEXT(H419,"0"),IPRESS!$A$3:$B$212,2,0),"")</f>
        <v/>
      </c>
      <c r="J419" s="334" t="n"/>
      <c r="K419" s="332">
        <f>IFERROR(VLOOKUP(TEXT(O419,"0"),CONDUCTORES!$A$3:$G$54,7,0),"")</f>
        <v/>
      </c>
      <c r="L419" s="334" t="n"/>
      <c r="M419" s="334" t="n"/>
      <c r="N419" s="333">
        <f>IFERROR(IF(L419*M419=0,"",L419*M419),"")</f>
        <v/>
      </c>
      <c r="O419" s="334" t="n"/>
      <c r="P419" s="332">
        <f>IFERROR(VLOOKUP(TEXT(O419,"0"),CONDUCTORES!$A$3:$G$54,2,0),"")</f>
        <v/>
      </c>
      <c r="Q419" s="332">
        <f>IFERROR(VLOOKUP(TEXT(O419,"0"),CONDUCTORES!$A$3:$H$54,6,0),"")</f>
        <v/>
      </c>
      <c r="R419" s="334" t="n"/>
      <c r="S419" s="334" t="n"/>
      <c r="T419" s="334" t="n"/>
      <c r="U419" s="334" t="n"/>
      <c r="V419" s="334" t="n"/>
      <c r="W419" s="334" t="n"/>
      <c r="X419" s="334" t="n"/>
      <c r="Y419" s="334" t="n"/>
      <c r="Z419" s="375">
        <f>IF(AND(G419&lt;&gt;"",R419&lt;&gt;"",V419&lt;&gt;"",W419&lt;&gt;""),"COMPLETADO","OBSERVADO")</f>
        <v/>
      </c>
    </row>
    <row r="420" ht="15" customHeight="1" s="195">
      <c r="A420" s="280" t="n"/>
      <c r="B420" s="280" t="n"/>
      <c r="C420" s="280" t="n"/>
      <c r="D420" s="280" t="n"/>
      <c r="E420" s="280" t="n"/>
      <c r="F420" s="280" t="n"/>
      <c r="G420" s="280" t="n"/>
      <c r="H420" s="280" t="n"/>
      <c r="I420" s="332">
        <f>IFERROR(VLOOKUP(TEXT(H420,"0"),IPRESS!$A$3:$B$212,2,0),"")</f>
        <v/>
      </c>
      <c r="J420" s="280" t="n"/>
      <c r="K420" s="332">
        <f>IFERROR(VLOOKUP(TEXT(O420,"0"),CONDUCTORES!$A$3:$G$54,7,0),"")</f>
        <v/>
      </c>
      <c r="L420" s="280" t="n"/>
      <c r="M420" s="280" t="n"/>
      <c r="N420" s="333">
        <f>IFERROR(IF(L420*M420=0,"",L420*M420),"")</f>
        <v/>
      </c>
      <c r="O420" s="280" t="n"/>
      <c r="P420" s="332">
        <f>IFERROR(VLOOKUP(TEXT(O420,"0"),CONDUCTORES!$A$3:$G$54,2,0),"")</f>
        <v/>
      </c>
      <c r="Q420" s="332">
        <f>IFERROR(VLOOKUP(TEXT(O420,"0"),CONDUCTORES!$A$3:$H$54,6,0),"")</f>
        <v/>
      </c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375">
        <f>IF(AND(G420&lt;&gt;"",R420&lt;&gt;"",V420&lt;&gt;"",W420&lt;&gt;""),"COMPLETADO","OBSERVADO")</f>
        <v/>
      </c>
    </row>
    <row r="421" ht="15" customHeight="1" s="195">
      <c r="A421" s="334" t="n"/>
      <c r="B421" s="334" t="n"/>
      <c r="C421" s="334" t="n"/>
      <c r="D421" s="334" t="n"/>
      <c r="E421" s="334" t="n"/>
      <c r="F421" s="334" t="n"/>
      <c r="G421" s="334" t="n"/>
      <c r="H421" s="334" t="n"/>
      <c r="I421" s="332">
        <f>IFERROR(VLOOKUP(TEXT(H421,"0"),IPRESS!$A$3:$B$212,2,0),"")</f>
        <v/>
      </c>
      <c r="J421" s="334" t="n"/>
      <c r="K421" s="332">
        <f>IFERROR(VLOOKUP(TEXT(O421,"0"),CONDUCTORES!$A$3:$G$54,7,0),"")</f>
        <v/>
      </c>
      <c r="L421" s="334" t="n"/>
      <c r="M421" s="334" t="n"/>
      <c r="N421" s="333">
        <f>IFERROR(IF(L421*M421=0,"",L421*M421),"")</f>
        <v/>
      </c>
      <c r="O421" s="334" t="n"/>
      <c r="P421" s="332">
        <f>IFERROR(VLOOKUP(TEXT(O421,"0"),CONDUCTORES!$A$3:$G$54,2,0),"")</f>
        <v/>
      </c>
      <c r="Q421" s="332">
        <f>IFERROR(VLOOKUP(TEXT(O421,"0"),CONDUCTORES!$A$3:$H$54,6,0),"")</f>
        <v/>
      </c>
      <c r="R421" s="334" t="n"/>
      <c r="S421" s="334" t="n"/>
      <c r="T421" s="334" t="n"/>
      <c r="U421" s="334" t="n"/>
      <c r="V421" s="334" t="n"/>
      <c r="W421" s="334" t="n"/>
      <c r="X421" s="334" t="n"/>
      <c r="Y421" s="334" t="n"/>
      <c r="Z421" s="375">
        <f>IF(AND(G421&lt;&gt;"",R421&lt;&gt;"",V421&lt;&gt;"",W421&lt;&gt;""),"COMPLETADO","OBSERVADO")</f>
        <v/>
      </c>
    </row>
    <row r="422" ht="15" customHeight="1" s="195">
      <c r="A422" s="280" t="n"/>
      <c r="B422" s="280" t="n"/>
      <c r="C422" s="280" t="n"/>
      <c r="D422" s="280" t="n"/>
      <c r="E422" s="280" t="n"/>
      <c r="F422" s="280" t="n"/>
      <c r="G422" s="280" t="n"/>
      <c r="H422" s="280" t="n"/>
      <c r="I422" s="332">
        <f>IFERROR(VLOOKUP(TEXT(H422,"0"),IPRESS!$A$3:$B$212,2,0),"")</f>
        <v/>
      </c>
      <c r="J422" s="280" t="n"/>
      <c r="K422" s="332">
        <f>IFERROR(VLOOKUP(TEXT(O422,"0"),CONDUCTORES!$A$3:$G$54,7,0),"")</f>
        <v/>
      </c>
      <c r="L422" s="280" t="n"/>
      <c r="M422" s="280" t="n"/>
      <c r="N422" s="333">
        <f>IFERROR(IF(L422*M422=0,"",L422*M422),"")</f>
        <v/>
      </c>
      <c r="O422" s="280" t="n"/>
      <c r="P422" s="332">
        <f>IFERROR(VLOOKUP(TEXT(O422,"0"),CONDUCTORES!$A$3:$G$54,2,0),"")</f>
        <v/>
      </c>
      <c r="Q422" s="332">
        <f>IFERROR(VLOOKUP(TEXT(O422,"0"),CONDUCTORES!$A$3:$H$54,6,0),"")</f>
        <v/>
      </c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375">
        <f>IF(AND(G422&lt;&gt;"",R422&lt;&gt;"",V422&lt;&gt;"",W422&lt;&gt;""),"COMPLETADO","OBSERVADO")</f>
        <v/>
      </c>
    </row>
    <row r="423" ht="15" customHeight="1" s="195">
      <c r="A423" s="334" t="n"/>
      <c r="B423" s="334" t="n"/>
      <c r="C423" s="334" t="n"/>
      <c r="D423" s="334" t="n"/>
      <c r="E423" s="334" t="n"/>
      <c r="F423" s="334" t="n"/>
      <c r="G423" s="334" t="n"/>
      <c r="H423" s="334" t="n"/>
      <c r="I423" s="332">
        <f>IFERROR(VLOOKUP(TEXT(H423,"0"),IPRESS!$A$3:$B$212,2,0),"")</f>
        <v/>
      </c>
      <c r="J423" s="334" t="n"/>
      <c r="K423" s="332">
        <f>IFERROR(VLOOKUP(TEXT(O423,"0"),CONDUCTORES!$A$3:$G$54,7,0),"")</f>
        <v/>
      </c>
      <c r="L423" s="334" t="n"/>
      <c r="M423" s="334" t="n"/>
      <c r="N423" s="333">
        <f>IFERROR(IF(L423*M423=0,"",L423*M423),"")</f>
        <v/>
      </c>
      <c r="O423" s="334" t="n"/>
      <c r="P423" s="332">
        <f>IFERROR(VLOOKUP(TEXT(O423,"0"),CONDUCTORES!$A$3:$G$54,2,0),"")</f>
        <v/>
      </c>
      <c r="Q423" s="332">
        <f>IFERROR(VLOOKUP(TEXT(O423,"0"),CONDUCTORES!$A$3:$H$54,6,0),"")</f>
        <v/>
      </c>
      <c r="R423" s="334" t="n"/>
      <c r="S423" s="334" t="n"/>
      <c r="T423" s="334" t="n"/>
      <c r="U423" s="334" t="n"/>
      <c r="V423" s="334" t="n"/>
      <c r="W423" s="334" t="n"/>
      <c r="X423" s="334" t="n"/>
      <c r="Y423" s="334" t="n"/>
      <c r="Z423" s="375">
        <f>IF(AND(G423&lt;&gt;"",R423&lt;&gt;"",V423&lt;&gt;"",W423&lt;&gt;""),"COMPLETADO","OBSERVADO")</f>
        <v/>
      </c>
    </row>
    <row r="424" ht="15" customHeight="1" s="195">
      <c r="A424" s="280" t="n"/>
      <c r="B424" s="280" t="n"/>
      <c r="C424" s="280" t="n"/>
      <c r="D424" s="280" t="n"/>
      <c r="E424" s="280" t="n"/>
      <c r="F424" s="280" t="n"/>
      <c r="G424" s="280" t="n"/>
      <c r="H424" s="280" t="n"/>
      <c r="I424" s="332">
        <f>IFERROR(VLOOKUP(TEXT(H424,"0"),IPRESS!$A$3:$B$212,2,0),"")</f>
        <v/>
      </c>
      <c r="J424" s="280" t="n"/>
      <c r="K424" s="332">
        <f>IFERROR(VLOOKUP(TEXT(O424,"0"),CONDUCTORES!$A$3:$G$54,7,0),"")</f>
        <v/>
      </c>
      <c r="L424" s="280" t="n"/>
      <c r="M424" s="280" t="n"/>
      <c r="N424" s="333">
        <f>IFERROR(IF(L424*M424=0,"",L424*M424),"")</f>
        <v/>
      </c>
      <c r="O424" s="280" t="n"/>
      <c r="P424" s="332">
        <f>IFERROR(VLOOKUP(TEXT(O424,"0"),CONDUCTORES!$A$3:$G$54,2,0),"")</f>
        <v/>
      </c>
      <c r="Q424" s="332">
        <f>IFERROR(VLOOKUP(TEXT(O424,"0"),CONDUCTORES!$A$3:$H$54,6,0),"")</f>
        <v/>
      </c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375">
        <f>IF(AND(G424&lt;&gt;"",R424&lt;&gt;"",V424&lt;&gt;"",W424&lt;&gt;""),"COMPLETADO","OBSERVADO")</f>
        <v/>
      </c>
    </row>
    <row r="425" ht="15" customHeight="1" s="195">
      <c r="A425" s="334" t="n"/>
      <c r="B425" s="334" t="n"/>
      <c r="C425" s="334" t="n"/>
      <c r="D425" s="334" t="n"/>
      <c r="E425" s="334" t="n"/>
      <c r="F425" s="334" t="n"/>
      <c r="G425" s="334" t="n"/>
      <c r="H425" s="334" t="n"/>
      <c r="I425" s="332">
        <f>IFERROR(VLOOKUP(TEXT(H425,"0"),IPRESS!$A$3:$B$212,2,0),"")</f>
        <v/>
      </c>
      <c r="J425" s="334" t="n"/>
      <c r="K425" s="332">
        <f>IFERROR(VLOOKUP(TEXT(O425,"0"),CONDUCTORES!$A$3:$G$54,7,0),"")</f>
        <v/>
      </c>
      <c r="L425" s="334" t="n"/>
      <c r="M425" s="334" t="n"/>
      <c r="N425" s="333">
        <f>IFERROR(IF(L425*M425=0,"",L425*M425),"")</f>
        <v/>
      </c>
      <c r="O425" s="334" t="n"/>
      <c r="P425" s="332">
        <f>IFERROR(VLOOKUP(TEXT(O425,"0"),CONDUCTORES!$A$3:$G$54,2,0),"")</f>
        <v/>
      </c>
      <c r="Q425" s="332">
        <f>IFERROR(VLOOKUP(TEXT(O425,"0"),CONDUCTORES!$A$3:$H$54,6,0),"")</f>
        <v/>
      </c>
      <c r="R425" s="334" t="n"/>
      <c r="S425" s="334" t="n"/>
      <c r="T425" s="334" t="n"/>
      <c r="U425" s="334" t="n"/>
      <c r="V425" s="334" t="n"/>
      <c r="W425" s="334" t="n"/>
      <c r="X425" s="334" t="n"/>
      <c r="Y425" s="334" t="n"/>
      <c r="Z425" s="375">
        <f>IF(AND(G425&lt;&gt;"",R425&lt;&gt;"",V425&lt;&gt;"",W425&lt;&gt;""),"COMPLETADO","OBSERVADO")</f>
        <v/>
      </c>
    </row>
    <row r="426" ht="15" customHeight="1" s="195">
      <c r="A426" s="280" t="n"/>
      <c r="B426" s="280" t="n"/>
      <c r="C426" s="280" t="n"/>
      <c r="D426" s="280" t="n"/>
      <c r="E426" s="280" t="n"/>
      <c r="F426" s="280" t="n"/>
      <c r="G426" s="280" t="n"/>
      <c r="H426" s="280" t="n"/>
      <c r="I426" s="332">
        <f>IFERROR(VLOOKUP(TEXT(H426,"0"),IPRESS!$A$3:$B$212,2,0),"")</f>
        <v/>
      </c>
      <c r="J426" s="280" t="n"/>
      <c r="K426" s="332">
        <f>IFERROR(VLOOKUP(TEXT(O426,"0"),CONDUCTORES!$A$3:$G$54,7,0),"")</f>
        <v/>
      </c>
      <c r="L426" s="280" t="n"/>
      <c r="M426" s="280" t="n"/>
      <c r="N426" s="333">
        <f>IFERROR(IF(L426*M426=0,"",L426*M426),"")</f>
        <v/>
      </c>
      <c r="O426" s="280" t="n"/>
      <c r="P426" s="332">
        <f>IFERROR(VLOOKUP(TEXT(O426,"0"),CONDUCTORES!$A$3:$G$54,2,0),"")</f>
        <v/>
      </c>
      <c r="Q426" s="332">
        <f>IFERROR(VLOOKUP(TEXT(O426,"0"),CONDUCTORES!$A$3:$H$54,6,0),"")</f>
        <v/>
      </c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375">
        <f>IF(AND(G426&lt;&gt;"",R426&lt;&gt;"",V426&lt;&gt;"",W426&lt;&gt;""),"COMPLETADO","OBSERVADO")</f>
        <v/>
      </c>
    </row>
    <row r="427" ht="15" customHeight="1" s="195">
      <c r="A427" s="334" t="n"/>
      <c r="B427" s="334" t="n"/>
      <c r="C427" s="334" t="n"/>
      <c r="D427" s="334" t="n"/>
      <c r="E427" s="334" t="n"/>
      <c r="F427" s="334" t="n"/>
      <c r="G427" s="334" t="n"/>
      <c r="H427" s="334" t="n"/>
      <c r="I427" s="332">
        <f>IFERROR(VLOOKUP(TEXT(H427,"0"),IPRESS!$A$3:$B$212,2,0),"")</f>
        <v/>
      </c>
      <c r="J427" s="334" t="n"/>
      <c r="K427" s="332">
        <f>IFERROR(VLOOKUP(TEXT(O427,"0"),CONDUCTORES!$A$3:$G$54,7,0),"")</f>
        <v/>
      </c>
      <c r="L427" s="334" t="n"/>
      <c r="M427" s="334" t="n"/>
      <c r="N427" s="333">
        <f>IFERROR(IF(L427*M427=0,"",L427*M427),"")</f>
        <v/>
      </c>
      <c r="O427" s="334" t="n"/>
      <c r="P427" s="332">
        <f>IFERROR(VLOOKUP(TEXT(O427,"0"),CONDUCTORES!$A$3:$G$54,2,0),"")</f>
        <v/>
      </c>
      <c r="Q427" s="332">
        <f>IFERROR(VLOOKUP(TEXT(O427,"0"),CONDUCTORES!$A$3:$H$54,6,0),"")</f>
        <v/>
      </c>
      <c r="R427" s="334" t="n"/>
      <c r="S427" s="334" t="n"/>
      <c r="T427" s="334" t="n"/>
      <c r="U427" s="334" t="n"/>
      <c r="V427" s="334" t="n"/>
      <c r="W427" s="334" t="n"/>
      <c r="X427" s="334" t="n"/>
      <c r="Y427" s="334" t="n"/>
      <c r="Z427" s="375">
        <f>IF(AND(G427&lt;&gt;"",R427&lt;&gt;"",V427&lt;&gt;"",W427&lt;&gt;""),"COMPLETADO","OBSERVADO")</f>
        <v/>
      </c>
    </row>
    <row r="428" ht="15" customHeight="1" s="195">
      <c r="A428" s="280" t="n"/>
      <c r="B428" s="280" t="n"/>
      <c r="C428" s="280" t="n"/>
      <c r="D428" s="280" t="n"/>
      <c r="E428" s="280" t="n"/>
      <c r="F428" s="280" t="n"/>
      <c r="G428" s="280" t="n"/>
      <c r="H428" s="280" t="n"/>
      <c r="I428" s="332">
        <f>IFERROR(VLOOKUP(TEXT(H428,"0"),IPRESS!$A$3:$B$212,2,0),"")</f>
        <v/>
      </c>
      <c r="J428" s="280" t="n"/>
      <c r="K428" s="332">
        <f>IFERROR(VLOOKUP(TEXT(O428,"0"),CONDUCTORES!$A$3:$G$54,7,0),"")</f>
        <v/>
      </c>
      <c r="L428" s="280" t="n"/>
      <c r="M428" s="280" t="n"/>
      <c r="N428" s="333">
        <f>IFERROR(IF(L428*M428=0,"",L428*M428),"")</f>
        <v/>
      </c>
      <c r="O428" s="280" t="n"/>
      <c r="P428" s="332">
        <f>IFERROR(VLOOKUP(TEXT(O428,"0"),CONDUCTORES!$A$3:$G$54,2,0),"")</f>
        <v/>
      </c>
      <c r="Q428" s="332">
        <f>IFERROR(VLOOKUP(TEXT(O428,"0"),CONDUCTORES!$A$3:$H$54,6,0),"")</f>
        <v/>
      </c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375">
        <f>IF(AND(G428&lt;&gt;"",R428&lt;&gt;"",V428&lt;&gt;"",W428&lt;&gt;""),"COMPLETADO","OBSERVADO")</f>
        <v/>
      </c>
    </row>
    <row r="429" ht="15" customHeight="1" s="195">
      <c r="A429" s="334" t="n"/>
      <c r="B429" s="334" t="n"/>
      <c r="C429" s="334" t="n"/>
      <c r="D429" s="334" t="n"/>
      <c r="E429" s="334" t="n"/>
      <c r="F429" s="334" t="n"/>
      <c r="G429" s="334" t="n"/>
      <c r="H429" s="334" t="n"/>
      <c r="I429" s="332">
        <f>IFERROR(VLOOKUP(TEXT(H429,"0"),IPRESS!$A$3:$B$212,2,0),"")</f>
        <v/>
      </c>
      <c r="J429" s="334" t="n"/>
      <c r="K429" s="332">
        <f>IFERROR(VLOOKUP(TEXT(O429,"0"),CONDUCTORES!$A$3:$G$54,7,0),"")</f>
        <v/>
      </c>
      <c r="L429" s="334" t="n"/>
      <c r="M429" s="334" t="n"/>
      <c r="N429" s="333">
        <f>IFERROR(IF(L429*M429=0,"",L429*M429),"")</f>
        <v/>
      </c>
      <c r="O429" s="334" t="n"/>
      <c r="P429" s="332">
        <f>IFERROR(VLOOKUP(TEXT(O429,"0"),CONDUCTORES!$A$3:$G$54,2,0),"")</f>
        <v/>
      </c>
      <c r="Q429" s="332">
        <f>IFERROR(VLOOKUP(TEXT(O429,"0"),CONDUCTORES!$A$3:$H$54,6,0),"")</f>
        <v/>
      </c>
      <c r="R429" s="334" t="n"/>
      <c r="S429" s="334" t="n"/>
      <c r="T429" s="334" t="n"/>
      <c r="U429" s="334" t="n"/>
      <c r="V429" s="334" t="n"/>
      <c r="W429" s="334" t="n"/>
      <c r="X429" s="334" t="n"/>
      <c r="Y429" s="334" t="n"/>
      <c r="Z429" s="375">
        <f>IF(AND(G429&lt;&gt;"",R429&lt;&gt;"",V429&lt;&gt;"",W429&lt;&gt;""),"COMPLETADO","OBSERVADO")</f>
        <v/>
      </c>
    </row>
    <row r="430" ht="15" customHeight="1" s="195">
      <c r="A430" s="280" t="n"/>
      <c r="B430" s="280" t="n"/>
      <c r="C430" s="280" t="n"/>
      <c r="D430" s="280" t="n"/>
      <c r="E430" s="280" t="n"/>
      <c r="F430" s="280" t="n"/>
      <c r="G430" s="280" t="n"/>
      <c r="H430" s="280" t="n"/>
      <c r="I430" s="332">
        <f>IFERROR(VLOOKUP(TEXT(H430,"0"),IPRESS!$A$3:$B$212,2,0),"")</f>
        <v/>
      </c>
      <c r="J430" s="280" t="n"/>
      <c r="K430" s="332">
        <f>IFERROR(VLOOKUP(TEXT(O430,"0"),CONDUCTORES!$A$3:$G$54,7,0),"")</f>
        <v/>
      </c>
      <c r="L430" s="280" t="n"/>
      <c r="M430" s="280" t="n"/>
      <c r="N430" s="333">
        <f>IFERROR(IF(L430*M430=0,"",L430*M430),"")</f>
        <v/>
      </c>
      <c r="O430" s="280" t="n"/>
      <c r="P430" s="332">
        <f>IFERROR(VLOOKUP(TEXT(O430,"0"),CONDUCTORES!$A$3:$G$54,2,0),"")</f>
        <v/>
      </c>
      <c r="Q430" s="332">
        <f>IFERROR(VLOOKUP(TEXT(O430,"0"),CONDUCTORES!$A$3:$H$54,6,0),"")</f>
        <v/>
      </c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375">
        <f>IF(AND(G430&lt;&gt;"",R430&lt;&gt;"",V430&lt;&gt;"",W430&lt;&gt;""),"COMPLETADO","OBSERVADO")</f>
        <v/>
      </c>
    </row>
    <row r="431" ht="15" customHeight="1" s="195">
      <c r="A431" s="334" t="n"/>
      <c r="B431" s="334" t="n"/>
      <c r="C431" s="334" t="n"/>
      <c r="D431" s="334" t="n"/>
      <c r="E431" s="334" t="n"/>
      <c r="F431" s="334" t="n"/>
      <c r="G431" s="334" t="n"/>
      <c r="H431" s="334" t="n"/>
      <c r="I431" s="332">
        <f>IFERROR(VLOOKUP(TEXT(H431,"0"),IPRESS!$A$3:$B$212,2,0),"")</f>
        <v/>
      </c>
      <c r="J431" s="334" t="n"/>
      <c r="K431" s="332">
        <f>IFERROR(VLOOKUP(TEXT(O431,"0"),CONDUCTORES!$A$3:$G$54,7,0),"")</f>
        <v/>
      </c>
      <c r="L431" s="334" t="n"/>
      <c r="M431" s="334" t="n"/>
      <c r="N431" s="333">
        <f>IFERROR(IF(L431*M431=0,"",L431*M431),"")</f>
        <v/>
      </c>
      <c r="O431" s="334" t="n"/>
      <c r="P431" s="332">
        <f>IFERROR(VLOOKUP(TEXT(O431,"0"),CONDUCTORES!$A$3:$G$54,2,0),"")</f>
        <v/>
      </c>
      <c r="Q431" s="332">
        <f>IFERROR(VLOOKUP(TEXT(O431,"0"),CONDUCTORES!$A$3:$H$54,6,0),"")</f>
        <v/>
      </c>
      <c r="R431" s="334" t="n"/>
      <c r="S431" s="334" t="n"/>
      <c r="T431" s="334" t="n"/>
      <c r="U431" s="334" t="n"/>
      <c r="V431" s="334" t="n"/>
      <c r="W431" s="334" t="n"/>
      <c r="X431" s="334" t="n"/>
      <c r="Y431" s="334" t="n"/>
      <c r="Z431" s="375">
        <f>IF(AND(G431&lt;&gt;"",R431&lt;&gt;"",V431&lt;&gt;"",W431&lt;&gt;""),"COMPLETADO","OBSERVADO")</f>
        <v/>
      </c>
    </row>
    <row r="432" ht="15" customHeight="1" s="195">
      <c r="A432" s="280" t="n"/>
      <c r="B432" s="280" t="n"/>
      <c r="C432" s="280" t="n"/>
      <c r="D432" s="280" t="n"/>
      <c r="E432" s="280" t="n"/>
      <c r="F432" s="280" t="n"/>
      <c r="G432" s="280" t="n"/>
      <c r="H432" s="280" t="n"/>
      <c r="I432" s="332">
        <f>IFERROR(VLOOKUP(TEXT(H432,"0"),IPRESS!$A$3:$B$212,2,0),"")</f>
        <v/>
      </c>
      <c r="J432" s="280" t="n"/>
      <c r="K432" s="332">
        <f>IFERROR(VLOOKUP(TEXT(O432,"0"),CONDUCTORES!$A$3:$G$54,7,0),"")</f>
        <v/>
      </c>
      <c r="L432" s="280" t="n"/>
      <c r="M432" s="280" t="n"/>
      <c r="N432" s="333">
        <f>IFERROR(IF(L432*M432=0,"",L432*M432),"")</f>
        <v/>
      </c>
      <c r="O432" s="280" t="n"/>
      <c r="P432" s="332">
        <f>IFERROR(VLOOKUP(TEXT(O432,"0"),CONDUCTORES!$A$3:$G$54,2,0),"")</f>
        <v/>
      </c>
      <c r="Q432" s="332">
        <f>IFERROR(VLOOKUP(TEXT(O432,"0"),CONDUCTORES!$A$3:$H$54,6,0),"")</f>
        <v/>
      </c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375">
        <f>IF(AND(G432&lt;&gt;"",R432&lt;&gt;"",V432&lt;&gt;"",W432&lt;&gt;""),"COMPLETADO","OBSERVADO")</f>
        <v/>
      </c>
    </row>
    <row r="433" ht="15" customHeight="1" s="195">
      <c r="A433" s="334" t="n"/>
      <c r="B433" s="334" t="n"/>
      <c r="C433" s="334" t="n"/>
      <c r="D433" s="334" t="n"/>
      <c r="E433" s="334" t="n"/>
      <c r="F433" s="334" t="n"/>
      <c r="G433" s="334" t="n"/>
      <c r="H433" s="334" t="n"/>
      <c r="I433" s="332">
        <f>IFERROR(VLOOKUP(TEXT(H433,"0"),IPRESS!$A$3:$B$212,2,0),"")</f>
        <v/>
      </c>
      <c r="J433" s="334" t="n"/>
      <c r="K433" s="332">
        <f>IFERROR(VLOOKUP(TEXT(O433,"0"),CONDUCTORES!$A$3:$G$54,7,0),"")</f>
        <v/>
      </c>
      <c r="L433" s="334" t="n"/>
      <c r="M433" s="334" t="n"/>
      <c r="N433" s="333">
        <f>IFERROR(IF(L433*M433=0,"",L433*M433),"")</f>
        <v/>
      </c>
      <c r="O433" s="334" t="n"/>
      <c r="P433" s="332">
        <f>IFERROR(VLOOKUP(TEXT(O433,"0"),CONDUCTORES!$A$3:$G$54,2,0),"")</f>
        <v/>
      </c>
      <c r="Q433" s="332">
        <f>IFERROR(VLOOKUP(TEXT(O433,"0"),CONDUCTORES!$A$3:$H$54,6,0),"")</f>
        <v/>
      </c>
      <c r="R433" s="334" t="n"/>
      <c r="S433" s="334" t="n"/>
      <c r="T433" s="334" t="n"/>
      <c r="U433" s="334" t="n"/>
      <c r="V433" s="334" t="n"/>
      <c r="W433" s="334" t="n"/>
      <c r="X433" s="334" t="n"/>
      <c r="Y433" s="334" t="n"/>
      <c r="Z433" s="375">
        <f>IF(AND(G433&lt;&gt;"",R433&lt;&gt;"",V433&lt;&gt;"",W433&lt;&gt;""),"COMPLETADO","OBSERVADO")</f>
        <v/>
      </c>
    </row>
    <row r="434" ht="15" customHeight="1" s="195">
      <c r="A434" s="280" t="n"/>
      <c r="B434" s="280" t="n"/>
      <c r="C434" s="280" t="n"/>
      <c r="D434" s="280" t="n"/>
      <c r="E434" s="280" t="n"/>
      <c r="F434" s="280" t="n"/>
      <c r="G434" s="280" t="n"/>
      <c r="H434" s="280" t="n"/>
      <c r="I434" s="332">
        <f>IFERROR(VLOOKUP(TEXT(H434,"0"),IPRESS!$A$3:$B$212,2,0),"")</f>
        <v/>
      </c>
      <c r="J434" s="280" t="n"/>
      <c r="K434" s="332">
        <f>IFERROR(VLOOKUP(TEXT(O434,"0"),CONDUCTORES!$A$3:$G$54,7,0),"")</f>
        <v/>
      </c>
      <c r="L434" s="280" t="n"/>
      <c r="M434" s="280" t="n"/>
      <c r="N434" s="333">
        <f>IFERROR(IF(L434*M434=0,"",L434*M434),"")</f>
        <v/>
      </c>
      <c r="O434" s="280" t="n"/>
      <c r="P434" s="332">
        <f>IFERROR(VLOOKUP(TEXT(O434,"0"),CONDUCTORES!$A$3:$G$54,2,0),"")</f>
        <v/>
      </c>
      <c r="Q434" s="332">
        <f>IFERROR(VLOOKUP(TEXT(O434,"0"),CONDUCTORES!$A$3:$H$54,6,0),"")</f>
        <v/>
      </c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375">
        <f>IF(AND(G434&lt;&gt;"",R434&lt;&gt;"",V434&lt;&gt;"",W434&lt;&gt;""),"COMPLETADO","OBSERVADO")</f>
        <v/>
      </c>
    </row>
    <row r="435" ht="15" customHeight="1" s="195">
      <c r="A435" s="334" t="n"/>
      <c r="B435" s="334" t="n"/>
      <c r="C435" s="334" t="n"/>
      <c r="D435" s="334" t="n"/>
      <c r="E435" s="334" t="n"/>
      <c r="F435" s="334" t="n"/>
      <c r="G435" s="334" t="n"/>
      <c r="H435" s="334" t="n"/>
      <c r="I435" s="332">
        <f>IFERROR(VLOOKUP(TEXT(H435,"0"),IPRESS!$A$3:$B$212,2,0),"")</f>
        <v/>
      </c>
      <c r="J435" s="334" t="n"/>
      <c r="K435" s="332">
        <f>IFERROR(VLOOKUP(TEXT(O435,"0"),CONDUCTORES!$A$3:$G$54,7,0),"")</f>
        <v/>
      </c>
      <c r="L435" s="334" t="n"/>
      <c r="M435" s="334" t="n"/>
      <c r="N435" s="333">
        <f>IFERROR(IF(L435*M435=0,"",L435*M435),"")</f>
        <v/>
      </c>
      <c r="O435" s="334" t="n"/>
      <c r="P435" s="332">
        <f>IFERROR(VLOOKUP(TEXT(O435,"0"),CONDUCTORES!$A$3:$G$54,2,0),"")</f>
        <v/>
      </c>
      <c r="Q435" s="332">
        <f>IFERROR(VLOOKUP(TEXT(O435,"0"),CONDUCTORES!$A$3:$H$54,6,0),"")</f>
        <v/>
      </c>
      <c r="R435" s="334" t="n"/>
      <c r="S435" s="334" t="n"/>
      <c r="T435" s="334" t="n"/>
      <c r="U435" s="334" t="n"/>
      <c r="V435" s="334" t="n"/>
      <c r="W435" s="334" t="n"/>
      <c r="X435" s="334" t="n"/>
      <c r="Y435" s="334" t="n"/>
      <c r="Z435" s="375">
        <f>IF(AND(G435&lt;&gt;"",R435&lt;&gt;"",V435&lt;&gt;"",W435&lt;&gt;""),"COMPLETADO","OBSERVADO")</f>
        <v/>
      </c>
    </row>
    <row r="436" ht="15" customHeight="1" s="195">
      <c r="A436" s="280" t="n"/>
      <c r="B436" s="280" t="n"/>
      <c r="C436" s="280" t="n"/>
      <c r="D436" s="280" t="n"/>
      <c r="E436" s="280" t="n"/>
      <c r="F436" s="280" t="n"/>
      <c r="G436" s="280" t="n"/>
      <c r="H436" s="280" t="n"/>
      <c r="I436" s="332">
        <f>IFERROR(VLOOKUP(TEXT(H436,"0"),IPRESS!$A$3:$B$212,2,0),"")</f>
        <v/>
      </c>
      <c r="J436" s="280" t="n"/>
      <c r="K436" s="332">
        <f>IFERROR(VLOOKUP(TEXT(O436,"0"),CONDUCTORES!$A$3:$G$54,7,0),"")</f>
        <v/>
      </c>
      <c r="L436" s="280" t="n"/>
      <c r="M436" s="280" t="n"/>
      <c r="N436" s="333">
        <f>IFERROR(IF(L436*M436=0,"",L436*M436),"")</f>
        <v/>
      </c>
      <c r="O436" s="280" t="n"/>
      <c r="P436" s="332">
        <f>IFERROR(VLOOKUP(TEXT(O436,"0"),CONDUCTORES!$A$3:$G$54,2,0),"")</f>
        <v/>
      </c>
      <c r="Q436" s="332">
        <f>IFERROR(VLOOKUP(TEXT(O436,"0"),CONDUCTORES!$A$3:$H$54,6,0),"")</f>
        <v/>
      </c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375">
        <f>IF(AND(G436&lt;&gt;"",R436&lt;&gt;"",V436&lt;&gt;"",W436&lt;&gt;""),"COMPLETADO","OBSERVADO")</f>
        <v/>
      </c>
    </row>
    <row r="437" ht="15" customHeight="1" s="195">
      <c r="A437" s="334" t="n"/>
      <c r="B437" s="334" t="n"/>
      <c r="C437" s="334" t="n"/>
      <c r="D437" s="334" t="n"/>
      <c r="E437" s="334" t="n"/>
      <c r="F437" s="334" t="n"/>
      <c r="G437" s="334" t="n"/>
      <c r="H437" s="334" t="n"/>
      <c r="I437" s="332">
        <f>IFERROR(VLOOKUP(TEXT(H437,"0"),IPRESS!$A$3:$B$212,2,0),"")</f>
        <v/>
      </c>
      <c r="J437" s="334" t="n"/>
      <c r="K437" s="332">
        <f>IFERROR(VLOOKUP(TEXT(O437,"0"),CONDUCTORES!$A$3:$G$54,7,0),"")</f>
        <v/>
      </c>
      <c r="L437" s="334" t="n"/>
      <c r="M437" s="334" t="n"/>
      <c r="N437" s="333">
        <f>IFERROR(IF(L437*M437=0,"",L437*M437),"")</f>
        <v/>
      </c>
      <c r="O437" s="334" t="n"/>
      <c r="P437" s="332">
        <f>IFERROR(VLOOKUP(TEXT(O437,"0"),CONDUCTORES!$A$3:$G$54,2,0),"")</f>
        <v/>
      </c>
      <c r="Q437" s="332">
        <f>IFERROR(VLOOKUP(TEXT(O437,"0"),CONDUCTORES!$A$3:$H$54,6,0),"")</f>
        <v/>
      </c>
      <c r="R437" s="334" t="n"/>
      <c r="S437" s="334" t="n"/>
      <c r="T437" s="334" t="n"/>
      <c r="U437" s="334" t="n"/>
      <c r="V437" s="334" t="n"/>
      <c r="W437" s="334" t="n"/>
      <c r="X437" s="334" t="n"/>
      <c r="Y437" s="334" t="n"/>
      <c r="Z437" s="375">
        <f>IF(AND(G437&lt;&gt;"",R437&lt;&gt;"",V437&lt;&gt;"",W437&lt;&gt;""),"COMPLETADO","OBSERVADO")</f>
        <v/>
      </c>
    </row>
    <row r="438" ht="15" customHeight="1" s="195">
      <c r="A438" s="280" t="n"/>
      <c r="B438" s="280" t="n"/>
      <c r="C438" s="280" t="n"/>
      <c r="D438" s="280" t="n"/>
      <c r="E438" s="280" t="n"/>
      <c r="F438" s="280" t="n"/>
      <c r="G438" s="280" t="n"/>
      <c r="H438" s="280" t="n"/>
      <c r="I438" s="332">
        <f>IFERROR(VLOOKUP(TEXT(H438,"0"),IPRESS!$A$3:$B$212,2,0),"")</f>
        <v/>
      </c>
      <c r="J438" s="280" t="n"/>
      <c r="K438" s="332">
        <f>IFERROR(VLOOKUP(TEXT(O438,"0"),CONDUCTORES!$A$3:$G$54,7,0),"")</f>
        <v/>
      </c>
      <c r="L438" s="280" t="n"/>
      <c r="M438" s="280" t="n"/>
      <c r="N438" s="333">
        <f>IFERROR(IF(L438*M438=0,"",L438*M438),"")</f>
        <v/>
      </c>
      <c r="O438" s="280" t="n"/>
      <c r="P438" s="332">
        <f>IFERROR(VLOOKUP(TEXT(O438,"0"),CONDUCTORES!$A$3:$G$54,2,0),"")</f>
        <v/>
      </c>
      <c r="Q438" s="332">
        <f>IFERROR(VLOOKUP(TEXT(O438,"0"),CONDUCTORES!$A$3:$H$54,6,0),"")</f>
        <v/>
      </c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375">
        <f>IF(AND(G438&lt;&gt;"",R438&lt;&gt;"",V438&lt;&gt;"",W438&lt;&gt;""),"COMPLETADO","OBSERVADO")</f>
        <v/>
      </c>
    </row>
    <row r="439" ht="15" customHeight="1" s="195">
      <c r="A439" s="334" t="n"/>
      <c r="B439" s="334" t="n"/>
      <c r="C439" s="334" t="n"/>
      <c r="D439" s="334" t="n"/>
      <c r="E439" s="334" t="n"/>
      <c r="F439" s="334" t="n"/>
      <c r="G439" s="334" t="n"/>
      <c r="H439" s="334" t="n"/>
      <c r="I439" s="332">
        <f>IFERROR(VLOOKUP(TEXT(H439,"0"),IPRESS!$A$3:$B$212,2,0),"")</f>
        <v/>
      </c>
      <c r="J439" s="334" t="n"/>
      <c r="K439" s="332">
        <f>IFERROR(VLOOKUP(TEXT(O439,"0"),CONDUCTORES!$A$3:$G$54,7,0),"")</f>
        <v/>
      </c>
      <c r="L439" s="334" t="n"/>
      <c r="M439" s="334" t="n"/>
      <c r="N439" s="333">
        <f>IFERROR(IF(L439*M439=0,"",L439*M439),"")</f>
        <v/>
      </c>
      <c r="O439" s="334" t="n"/>
      <c r="P439" s="332">
        <f>IFERROR(VLOOKUP(TEXT(O439,"0"),CONDUCTORES!$A$3:$G$54,2,0),"")</f>
        <v/>
      </c>
      <c r="Q439" s="332">
        <f>IFERROR(VLOOKUP(TEXT(O439,"0"),CONDUCTORES!$A$3:$H$54,6,0),"")</f>
        <v/>
      </c>
      <c r="R439" s="334" t="n"/>
      <c r="S439" s="334" t="n"/>
      <c r="T439" s="334" t="n"/>
      <c r="U439" s="334" t="n"/>
      <c r="V439" s="334" t="n"/>
      <c r="W439" s="334" t="n"/>
      <c r="X439" s="334" t="n"/>
      <c r="Y439" s="334" t="n"/>
      <c r="Z439" s="375">
        <f>IF(AND(G439&lt;&gt;"",R439&lt;&gt;"",V439&lt;&gt;"",W439&lt;&gt;""),"COMPLETADO","OBSERVADO")</f>
        <v/>
      </c>
    </row>
    <row r="440" ht="15" customHeight="1" s="195">
      <c r="A440" s="280" t="n"/>
      <c r="B440" s="280" t="n"/>
      <c r="C440" s="280" t="n"/>
      <c r="D440" s="280" t="n"/>
      <c r="E440" s="280" t="n"/>
      <c r="F440" s="280" t="n"/>
      <c r="G440" s="280" t="n"/>
      <c r="H440" s="280" t="n"/>
      <c r="I440" s="332">
        <f>IFERROR(VLOOKUP(TEXT(H440,"0"),IPRESS!$A$3:$B$212,2,0),"")</f>
        <v/>
      </c>
      <c r="J440" s="280" t="n"/>
      <c r="K440" s="332">
        <f>IFERROR(VLOOKUP(TEXT(O440,"0"),CONDUCTORES!$A$3:$G$54,7,0),"")</f>
        <v/>
      </c>
      <c r="L440" s="280" t="n"/>
      <c r="M440" s="280" t="n"/>
      <c r="N440" s="333">
        <f>IFERROR(IF(L440*M440=0,"",L440*M440),"")</f>
        <v/>
      </c>
      <c r="O440" s="280" t="n"/>
      <c r="P440" s="332">
        <f>IFERROR(VLOOKUP(TEXT(O440,"0"),CONDUCTORES!$A$3:$G$54,2,0),"")</f>
        <v/>
      </c>
      <c r="Q440" s="332">
        <f>IFERROR(VLOOKUP(TEXT(O440,"0"),CONDUCTORES!$A$3:$H$54,6,0),"")</f>
        <v/>
      </c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375">
        <f>IF(AND(G440&lt;&gt;"",R440&lt;&gt;"",V440&lt;&gt;"",W440&lt;&gt;""),"COMPLETADO","OBSERVADO")</f>
        <v/>
      </c>
    </row>
    <row r="441" ht="15" customHeight="1" s="195">
      <c r="A441" s="334" t="n"/>
      <c r="B441" s="334" t="n"/>
      <c r="C441" s="334" t="n"/>
      <c r="D441" s="334" t="n"/>
      <c r="E441" s="334" t="n"/>
      <c r="F441" s="334" t="n"/>
      <c r="G441" s="334" t="n"/>
      <c r="H441" s="334" t="n"/>
      <c r="I441" s="332">
        <f>IFERROR(VLOOKUP(TEXT(H441,"0"),IPRESS!$A$3:$B$212,2,0),"")</f>
        <v/>
      </c>
      <c r="J441" s="334" t="n"/>
      <c r="K441" s="332">
        <f>IFERROR(VLOOKUP(TEXT(O441,"0"),CONDUCTORES!$A$3:$G$54,7,0),"")</f>
        <v/>
      </c>
      <c r="L441" s="334" t="n"/>
      <c r="M441" s="334" t="n"/>
      <c r="N441" s="333">
        <f>IFERROR(IF(L441*M441=0,"",L441*M441),"")</f>
        <v/>
      </c>
      <c r="O441" s="334" t="n"/>
      <c r="P441" s="332">
        <f>IFERROR(VLOOKUP(TEXT(O441,"0"),CONDUCTORES!$A$3:$G$54,2,0),"")</f>
        <v/>
      </c>
      <c r="Q441" s="332">
        <f>IFERROR(VLOOKUP(TEXT(O441,"0"),CONDUCTORES!$A$3:$H$54,6,0),"")</f>
        <v/>
      </c>
      <c r="R441" s="334" t="n"/>
      <c r="S441" s="334" t="n"/>
      <c r="T441" s="334" t="n"/>
      <c r="U441" s="334" t="n"/>
      <c r="V441" s="334" t="n"/>
      <c r="W441" s="334" t="n"/>
      <c r="X441" s="334" t="n"/>
      <c r="Y441" s="334" t="n"/>
      <c r="Z441" s="375">
        <f>IF(AND(G441&lt;&gt;"",R441&lt;&gt;"",V441&lt;&gt;"",W441&lt;&gt;""),"COMPLETADO","OBSERVADO")</f>
        <v/>
      </c>
    </row>
    <row r="442" ht="15" customHeight="1" s="195">
      <c r="A442" s="280" t="n"/>
      <c r="B442" s="280" t="n"/>
      <c r="C442" s="280" t="n"/>
      <c r="D442" s="280" t="n"/>
      <c r="E442" s="280" t="n"/>
      <c r="F442" s="280" t="n"/>
      <c r="G442" s="280" t="n"/>
      <c r="H442" s="280" t="n"/>
      <c r="I442" s="332">
        <f>IFERROR(VLOOKUP(TEXT(H442,"0"),IPRESS!$A$3:$B$212,2,0),"")</f>
        <v/>
      </c>
      <c r="J442" s="280" t="n"/>
      <c r="K442" s="332">
        <f>IFERROR(VLOOKUP(TEXT(O442,"0"),CONDUCTORES!$A$3:$G$54,7,0),"")</f>
        <v/>
      </c>
      <c r="L442" s="280" t="n"/>
      <c r="M442" s="280" t="n"/>
      <c r="N442" s="333">
        <f>IFERROR(IF(L442*M442=0,"",L442*M442),"")</f>
        <v/>
      </c>
      <c r="O442" s="280" t="n"/>
      <c r="P442" s="332">
        <f>IFERROR(VLOOKUP(TEXT(O442,"0"),CONDUCTORES!$A$3:$G$54,2,0),"")</f>
        <v/>
      </c>
      <c r="Q442" s="332">
        <f>IFERROR(VLOOKUP(TEXT(O442,"0"),CONDUCTORES!$A$3:$H$54,6,0),"")</f>
        <v/>
      </c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375">
        <f>IF(AND(G442&lt;&gt;"",R442&lt;&gt;"",V442&lt;&gt;"",W442&lt;&gt;""),"COMPLETADO","OBSERVADO")</f>
        <v/>
      </c>
    </row>
    <row r="443" ht="15" customHeight="1" s="195">
      <c r="A443" s="334" t="n"/>
      <c r="B443" s="334" t="n"/>
      <c r="C443" s="334" t="n"/>
      <c r="D443" s="334" t="n"/>
      <c r="E443" s="334" t="n"/>
      <c r="F443" s="334" t="n"/>
      <c r="G443" s="334" t="n"/>
      <c r="H443" s="334" t="n"/>
      <c r="I443" s="332">
        <f>IFERROR(VLOOKUP(TEXT(H443,"0"),IPRESS!$A$3:$B$212,2,0),"")</f>
        <v/>
      </c>
      <c r="J443" s="334" t="n"/>
      <c r="K443" s="332">
        <f>IFERROR(VLOOKUP(TEXT(O443,"0"),CONDUCTORES!$A$3:$G$54,7,0),"")</f>
        <v/>
      </c>
      <c r="L443" s="334" t="n"/>
      <c r="M443" s="334" t="n"/>
      <c r="N443" s="333">
        <f>IFERROR(IF(L443*M443=0,"",L443*M443),"")</f>
        <v/>
      </c>
      <c r="O443" s="334" t="n"/>
      <c r="P443" s="332">
        <f>IFERROR(VLOOKUP(TEXT(O443,"0"),CONDUCTORES!$A$3:$G$54,2,0),"")</f>
        <v/>
      </c>
      <c r="Q443" s="332">
        <f>IFERROR(VLOOKUP(TEXT(O443,"0"),CONDUCTORES!$A$3:$H$54,6,0),"")</f>
        <v/>
      </c>
      <c r="R443" s="334" t="n"/>
      <c r="S443" s="334" t="n"/>
      <c r="T443" s="334" t="n"/>
      <c r="U443" s="334" t="n"/>
      <c r="V443" s="334" t="n"/>
      <c r="W443" s="334" t="n"/>
      <c r="X443" s="334" t="n"/>
      <c r="Y443" s="334" t="n"/>
      <c r="Z443" s="375">
        <f>IF(AND(G443&lt;&gt;"",R443&lt;&gt;"",V443&lt;&gt;"",W443&lt;&gt;""),"COMPLETADO","OBSERVADO")</f>
        <v/>
      </c>
    </row>
    <row r="444" ht="15" customHeight="1" s="195">
      <c r="A444" s="280" t="n"/>
      <c r="B444" s="280" t="n"/>
      <c r="C444" s="280" t="n"/>
      <c r="D444" s="280" t="n"/>
      <c r="E444" s="280" t="n"/>
      <c r="F444" s="280" t="n"/>
      <c r="G444" s="280" t="n"/>
      <c r="H444" s="280" t="n"/>
      <c r="I444" s="332">
        <f>IFERROR(VLOOKUP(TEXT(H444,"0"),IPRESS!$A$3:$B$212,2,0),"")</f>
        <v/>
      </c>
      <c r="J444" s="280" t="n"/>
      <c r="K444" s="332">
        <f>IFERROR(VLOOKUP(TEXT(O444,"0"),CONDUCTORES!$A$3:$G$54,7,0),"")</f>
        <v/>
      </c>
      <c r="L444" s="280" t="n"/>
      <c r="M444" s="280" t="n"/>
      <c r="N444" s="333">
        <f>IFERROR(IF(L444*M444=0,"",L444*M444),"")</f>
        <v/>
      </c>
      <c r="O444" s="280" t="n"/>
      <c r="P444" s="332">
        <f>IFERROR(VLOOKUP(TEXT(O444,"0"),CONDUCTORES!$A$3:$G$54,2,0),"")</f>
        <v/>
      </c>
      <c r="Q444" s="332">
        <f>IFERROR(VLOOKUP(TEXT(O444,"0"),CONDUCTORES!$A$3:$H$54,6,0),"")</f>
        <v/>
      </c>
      <c r="R444" s="280" t="n"/>
      <c r="S444" s="280" t="n"/>
      <c r="T444" s="280" t="n"/>
      <c r="U444" s="280" t="n"/>
      <c r="V444" s="280" t="n"/>
      <c r="W444" s="280" t="n"/>
      <c r="X444" s="280" t="n"/>
      <c r="Y444" s="280" t="n"/>
      <c r="Z444" s="375">
        <f>IF(AND(G444&lt;&gt;"",R444&lt;&gt;"",V444&lt;&gt;"",W444&lt;&gt;""),"COMPLETADO","OBSERVADO")</f>
        <v/>
      </c>
    </row>
    <row r="445" ht="15" customHeight="1" s="195">
      <c r="A445" s="334" t="n"/>
      <c r="B445" s="334" t="n"/>
      <c r="C445" s="334" t="n"/>
      <c r="D445" s="334" t="n"/>
      <c r="E445" s="334" t="n"/>
      <c r="F445" s="334" t="n"/>
      <c r="G445" s="334" t="n"/>
      <c r="H445" s="334" t="n"/>
      <c r="I445" s="332">
        <f>IFERROR(VLOOKUP(TEXT(H445,"0"),IPRESS!$A$3:$B$212,2,0),"")</f>
        <v/>
      </c>
      <c r="J445" s="334" t="n"/>
      <c r="K445" s="332">
        <f>IFERROR(VLOOKUP(TEXT(O445,"0"),CONDUCTORES!$A$3:$G$54,7,0),"")</f>
        <v/>
      </c>
      <c r="L445" s="334" t="n"/>
      <c r="M445" s="334" t="n"/>
      <c r="N445" s="333">
        <f>IFERROR(IF(L445*M445=0,"",L445*M445),"")</f>
        <v/>
      </c>
      <c r="O445" s="334" t="n"/>
      <c r="P445" s="332">
        <f>IFERROR(VLOOKUP(TEXT(O445,"0"),CONDUCTORES!$A$3:$G$54,2,0),"")</f>
        <v/>
      </c>
      <c r="Q445" s="332">
        <f>IFERROR(VLOOKUP(TEXT(O445,"0"),CONDUCTORES!$A$3:$H$54,6,0),"")</f>
        <v/>
      </c>
      <c r="R445" s="334" t="n"/>
      <c r="S445" s="334" t="n"/>
      <c r="T445" s="334" t="n"/>
      <c r="U445" s="334" t="n"/>
      <c r="V445" s="334" t="n"/>
      <c r="W445" s="334" t="n"/>
      <c r="X445" s="334" t="n"/>
      <c r="Y445" s="334" t="n"/>
      <c r="Z445" s="375">
        <f>IF(AND(G445&lt;&gt;"",R445&lt;&gt;"",V445&lt;&gt;"",W445&lt;&gt;""),"COMPLETADO","OBSERVADO")</f>
        <v/>
      </c>
    </row>
    <row r="446" ht="15" customHeight="1" s="195">
      <c r="A446" s="280" t="n"/>
      <c r="B446" s="280" t="n"/>
      <c r="C446" s="280" t="n"/>
      <c r="D446" s="280" t="n"/>
      <c r="E446" s="280" t="n"/>
      <c r="F446" s="280" t="n"/>
      <c r="G446" s="280" t="n"/>
      <c r="H446" s="280" t="n"/>
      <c r="I446" s="332">
        <f>IFERROR(VLOOKUP(TEXT(H446,"0"),IPRESS!$A$3:$B$212,2,0),"")</f>
        <v/>
      </c>
      <c r="J446" s="280" t="n"/>
      <c r="K446" s="332">
        <f>IFERROR(VLOOKUP(TEXT(O446,"0"),CONDUCTORES!$A$3:$G$54,7,0),"")</f>
        <v/>
      </c>
      <c r="L446" s="280" t="n"/>
      <c r="M446" s="280" t="n"/>
      <c r="N446" s="333">
        <f>IFERROR(IF(L446*M446=0,"",L446*M446),"")</f>
        <v/>
      </c>
      <c r="O446" s="280" t="n"/>
      <c r="P446" s="332">
        <f>IFERROR(VLOOKUP(TEXT(O446,"0"),CONDUCTORES!$A$3:$G$54,2,0),"")</f>
        <v/>
      </c>
      <c r="Q446" s="332">
        <f>IFERROR(VLOOKUP(TEXT(O446,"0"),CONDUCTORES!$A$3:$H$54,6,0),"")</f>
        <v/>
      </c>
      <c r="R446" s="280" t="n"/>
      <c r="S446" s="280" t="n"/>
      <c r="T446" s="280" t="n"/>
      <c r="U446" s="280" t="n"/>
      <c r="V446" s="280" t="n"/>
      <c r="W446" s="280" t="n"/>
      <c r="X446" s="280" t="n"/>
      <c r="Y446" s="280" t="n"/>
      <c r="Z446" s="375">
        <f>IF(AND(G446&lt;&gt;"",R446&lt;&gt;"",V446&lt;&gt;"",W446&lt;&gt;""),"COMPLETADO","OBSERVADO")</f>
        <v/>
      </c>
    </row>
    <row r="447" ht="15" customHeight="1" s="195">
      <c r="A447" s="334" t="n"/>
      <c r="B447" s="334" t="n"/>
      <c r="C447" s="334" t="n"/>
      <c r="D447" s="334" t="n"/>
      <c r="E447" s="334" t="n"/>
      <c r="F447" s="334" t="n"/>
      <c r="G447" s="334" t="n"/>
      <c r="H447" s="334" t="n"/>
      <c r="I447" s="332">
        <f>IFERROR(VLOOKUP(TEXT(H447,"0"),IPRESS!$A$3:$B$212,2,0),"")</f>
        <v/>
      </c>
      <c r="J447" s="334" t="n"/>
      <c r="K447" s="332">
        <f>IFERROR(VLOOKUP(TEXT(O447,"0"),CONDUCTORES!$A$3:$G$54,7,0),"")</f>
        <v/>
      </c>
      <c r="L447" s="334" t="n"/>
      <c r="M447" s="334" t="n"/>
      <c r="N447" s="333">
        <f>IFERROR(IF(L447*M447=0,"",L447*M447),"")</f>
        <v/>
      </c>
      <c r="O447" s="334" t="n"/>
      <c r="P447" s="332">
        <f>IFERROR(VLOOKUP(TEXT(O447,"0"),CONDUCTORES!$A$3:$G$54,2,0),"")</f>
        <v/>
      </c>
      <c r="Q447" s="332">
        <f>IFERROR(VLOOKUP(TEXT(O447,"0"),CONDUCTORES!$A$3:$H$54,6,0),"")</f>
        <v/>
      </c>
      <c r="R447" s="334" t="n"/>
      <c r="S447" s="334" t="n"/>
      <c r="T447" s="334" t="n"/>
      <c r="U447" s="334" t="n"/>
      <c r="V447" s="334" t="n"/>
      <c r="W447" s="334" t="n"/>
      <c r="X447" s="334" t="n"/>
      <c r="Y447" s="334" t="n"/>
      <c r="Z447" s="375">
        <f>IF(AND(G447&lt;&gt;"",R447&lt;&gt;"",V447&lt;&gt;"",W447&lt;&gt;""),"COMPLETADO","OBSERVADO")</f>
        <v/>
      </c>
    </row>
    <row r="448" ht="15" customHeight="1" s="195">
      <c r="A448" s="280" t="n"/>
      <c r="B448" s="280" t="n"/>
      <c r="C448" s="280" t="n"/>
      <c r="D448" s="280" t="n"/>
      <c r="E448" s="280" t="n"/>
      <c r="F448" s="280" t="n"/>
      <c r="G448" s="280" t="n"/>
      <c r="H448" s="280" t="n"/>
      <c r="I448" s="332">
        <f>IFERROR(VLOOKUP(TEXT(H448,"0"),IPRESS!$A$3:$B$212,2,0),"")</f>
        <v/>
      </c>
      <c r="J448" s="280" t="n"/>
      <c r="K448" s="332">
        <f>IFERROR(VLOOKUP(TEXT(O448,"0"),CONDUCTORES!$A$3:$G$54,7,0),"")</f>
        <v/>
      </c>
      <c r="L448" s="280" t="n"/>
      <c r="M448" s="280" t="n"/>
      <c r="N448" s="333">
        <f>IFERROR(IF(L448*M448=0,"",L448*M448),"")</f>
        <v/>
      </c>
      <c r="O448" s="280" t="n"/>
      <c r="P448" s="332">
        <f>IFERROR(VLOOKUP(TEXT(O448,"0"),CONDUCTORES!$A$3:$G$54,2,0),"")</f>
        <v/>
      </c>
      <c r="Q448" s="332">
        <f>IFERROR(VLOOKUP(TEXT(O448,"0"),CONDUCTORES!$A$3:$H$54,6,0),"")</f>
        <v/>
      </c>
      <c r="R448" s="280" t="n"/>
      <c r="S448" s="280" t="n"/>
      <c r="T448" s="280" t="n"/>
      <c r="U448" s="280" t="n"/>
      <c r="V448" s="280" t="n"/>
      <c r="W448" s="280" t="n"/>
      <c r="X448" s="280" t="n"/>
      <c r="Y448" s="280" t="n"/>
      <c r="Z448" s="375">
        <f>IF(AND(G448&lt;&gt;"",R448&lt;&gt;"",V448&lt;&gt;"",W448&lt;&gt;""),"COMPLETADO","OBSERVADO")</f>
        <v/>
      </c>
    </row>
    <row r="449" ht="15" customHeight="1" s="195">
      <c r="A449" s="334" t="n"/>
      <c r="B449" s="334" t="n"/>
      <c r="C449" s="334" t="n"/>
      <c r="D449" s="334" t="n"/>
      <c r="E449" s="334" t="n"/>
      <c r="F449" s="334" t="n"/>
      <c r="G449" s="334" t="n"/>
      <c r="H449" s="334" t="n"/>
      <c r="I449" s="332">
        <f>IFERROR(VLOOKUP(TEXT(H449,"0"),IPRESS!$A$3:$B$212,2,0),"")</f>
        <v/>
      </c>
      <c r="J449" s="334" t="n"/>
      <c r="K449" s="332">
        <f>IFERROR(VLOOKUP(TEXT(O449,"0"),CONDUCTORES!$A$3:$G$54,7,0),"")</f>
        <v/>
      </c>
      <c r="L449" s="334" t="n"/>
      <c r="M449" s="334" t="n"/>
      <c r="N449" s="333">
        <f>IFERROR(IF(L449*M449=0,"",L449*M449),"")</f>
        <v/>
      </c>
      <c r="O449" s="334" t="n"/>
      <c r="P449" s="332">
        <f>IFERROR(VLOOKUP(TEXT(O449,"0"),CONDUCTORES!$A$3:$G$54,2,0),"")</f>
        <v/>
      </c>
      <c r="Q449" s="332">
        <f>IFERROR(VLOOKUP(TEXT(O449,"0"),CONDUCTORES!$A$3:$H$54,6,0),"")</f>
        <v/>
      </c>
      <c r="R449" s="334" t="n"/>
      <c r="S449" s="334" t="n"/>
      <c r="T449" s="334" t="n"/>
      <c r="U449" s="334" t="n"/>
      <c r="V449" s="334" t="n"/>
      <c r="W449" s="334" t="n"/>
      <c r="X449" s="334" t="n"/>
      <c r="Y449" s="334" t="n"/>
      <c r="Z449" s="375">
        <f>IF(AND(G449&lt;&gt;"",R449&lt;&gt;"",V449&lt;&gt;"",W449&lt;&gt;""),"COMPLETADO","OBSERVADO")</f>
        <v/>
      </c>
    </row>
    <row r="450" ht="15" customHeight="1" s="195">
      <c r="A450" s="280" t="n"/>
      <c r="B450" s="280" t="n"/>
      <c r="C450" s="280" t="n"/>
      <c r="D450" s="280" t="n"/>
      <c r="E450" s="280" t="n"/>
      <c r="F450" s="280" t="n"/>
      <c r="G450" s="280" t="n"/>
      <c r="H450" s="280" t="n"/>
      <c r="I450" s="332">
        <f>IFERROR(VLOOKUP(TEXT(H450,"0"),IPRESS!$A$3:$B$212,2,0),"")</f>
        <v/>
      </c>
      <c r="J450" s="280" t="n"/>
      <c r="K450" s="332">
        <f>IFERROR(VLOOKUP(TEXT(O450,"0"),CONDUCTORES!$A$3:$G$54,7,0),"")</f>
        <v/>
      </c>
      <c r="L450" s="280" t="n"/>
      <c r="M450" s="280" t="n"/>
      <c r="N450" s="333">
        <f>IFERROR(IF(L450*M450=0,"",L450*M450),"")</f>
        <v/>
      </c>
      <c r="O450" s="280" t="n"/>
      <c r="P450" s="332">
        <f>IFERROR(VLOOKUP(TEXT(O450,"0"),CONDUCTORES!$A$3:$G$54,2,0),"")</f>
        <v/>
      </c>
      <c r="Q450" s="332">
        <f>IFERROR(VLOOKUP(TEXT(O450,"0"),CONDUCTORES!$A$3:$H$54,6,0),"")</f>
        <v/>
      </c>
      <c r="R450" s="280" t="n"/>
      <c r="S450" s="280" t="n"/>
      <c r="T450" s="280" t="n"/>
      <c r="U450" s="280" t="n"/>
      <c r="V450" s="280" t="n"/>
      <c r="W450" s="280" t="n"/>
      <c r="X450" s="280" t="n"/>
      <c r="Y450" s="280" t="n"/>
      <c r="Z450" s="375">
        <f>IF(AND(G450&lt;&gt;"",R450&lt;&gt;"",V450&lt;&gt;"",W450&lt;&gt;""),"COMPLETADO","OBSERVADO")</f>
        <v/>
      </c>
    </row>
    <row r="451" ht="15" customHeight="1" s="195">
      <c r="A451" s="334" t="n"/>
      <c r="B451" s="334" t="n"/>
      <c r="C451" s="334" t="n"/>
      <c r="D451" s="334" t="n"/>
      <c r="E451" s="334" t="n"/>
      <c r="F451" s="334" t="n"/>
      <c r="G451" s="334" t="n"/>
      <c r="H451" s="334" t="n"/>
      <c r="I451" s="332">
        <f>IFERROR(VLOOKUP(TEXT(H451,"0"),IPRESS!$A$3:$B$212,2,0),"")</f>
        <v/>
      </c>
      <c r="J451" s="334" t="n"/>
      <c r="K451" s="332">
        <f>IFERROR(VLOOKUP(TEXT(O451,"0"),CONDUCTORES!$A$3:$G$54,7,0),"")</f>
        <v/>
      </c>
      <c r="L451" s="334" t="n"/>
      <c r="M451" s="334" t="n"/>
      <c r="N451" s="333">
        <f>IFERROR(IF(L451*M451=0,"",L451*M451),"")</f>
        <v/>
      </c>
      <c r="O451" s="334" t="n"/>
      <c r="P451" s="332">
        <f>IFERROR(VLOOKUP(TEXT(O451,"0"),CONDUCTORES!$A$3:$G$54,2,0),"")</f>
        <v/>
      </c>
      <c r="Q451" s="332">
        <f>IFERROR(VLOOKUP(TEXT(O451,"0"),CONDUCTORES!$A$3:$H$54,6,0),"")</f>
        <v/>
      </c>
      <c r="R451" s="334" t="n"/>
      <c r="S451" s="334" t="n"/>
      <c r="T451" s="334" t="n"/>
      <c r="U451" s="334" t="n"/>
      <c r="V451" s="334" t="n"/>
      <c r="W451" s="334" t="n"/>
      <c r="X451" s="334" t="n"/>
      <c r="Y451" s="334" t="n"/>
      <c r="Z451" s="375">
        <f>IF(AND(G451&lt;&gt;"",R451&lt;&gt;"",V451&lt;&gt;"",W451&lt;&gt;""),"COMPLETADO","OBSERVADO")</f>
        <v/>
      </c>
    </row>
    <row r="452" ht="15" customHeight="1" s="195">
      <c r="A452" s="280" t="n"/>
      <c r="B452" s="280" t="n"/>
      <c r="C452" s="280" t="n"/>
      <c r="D452" s="280" t="n"/>
      <c r="E452" s="280" t="n"/>
      <c r="F452" s="280" t="n"/>
      <c r="G452" s="280" t="n"/>
      <c r="H452" s="280" t="n"/>
      <c r="I452" s="332">
        <f>IFERROR(VLOOKUP(TEXT(H452,"0"),IPRESS!$A$3:$B$212,2,0),"")</f>
        <v/>
      </c>
      <c r="J452" s="280" t="n"/>
      <c r="K452" s="332">
        <f>IFERROR(VLOOKUP(TEXT(O452,"0"),CONDUCTORES!$A$3:$G$54,7,0),"")</f>
        <v/>
      </c>
      <c r="L452" s="280" t="n"/>
      <c r="M452" s="280" t="n"/>
      <c r="N452" s="333">
        <f>IFERROR(IF(L452*M452=0,"",L452*M452),"")</f>
        <v/>
      </c>
      <c r="O452" s="280" t="n"/>
      <c r="P452" s="332">
        <f>IFERROR(VLOOKUP(TEXT(O452,"0"),CONDUCTORES!$A$3:$G$54,2,0),"")</f>
        <v/>
      </c>
      <c r="Q452" s="332">
        <f>IFERROR(VLOOKUP(TEXT(O452,"0"),CONDUCTORES!$A$3:$H$54,6,0),"")</f>
        <v/>
      </c>
      <c r="R452" s="280" t="n"/>
      <c r="S452" s="280" t="n"/>
      <c r="T452" s="280" t="n"/>
      <c r="U452" s="280" t="n"/>
      <c r="V452" s="280" t="n"/>
      <c r="W452" s="280" t="n"/>
      <c r="X452" s="280" t="n"/>
      <c r="Y452" s="280" t="n"/>
      <c r="Z452" s="375">
        <f>IF(AND(G452&lt;&gt;"",R452&lt;&gt;"",V452&lt;&gt;"",W452&lt;&gt;""),"COMPLETADO","OBSERVADO")</f>
        <v/>
      </c>
    </row>
    <row r="453" ht="15" customHeight="1" s="195">
      <c r="A453" s="334" t="n"/>
      <c r="B453" s="334" t="n"/>
      <c r="C453" s="334" t="n"/>
      <c r="D453" s="334" t="n"/>
      <c r="E453" s="334" t="n"/>
      <c r="F453" s="334" t="n"/>
      <c r="G453" s="334" t="n"/>
      <c r="H453" s="334" t="n"/>
      <c r="I453" s="332">
        <f>IFERROR(VLOOKUP(TEXT(H453,"0"),IPRESS!$A$3:$B$212,2,0),"")</f>
        <v/>
      </c>
      <c r="J453" s="334" t="n"/>
      <c r="K453" s="332">
        <f>IFERROR(VLOOKUP(TEXT(O453,"0"),CONDUCTORES!$A$3:$G$54,7,0),"")</f>
        <v/>
      </c>
      <c r="L453" s="334" t="n"/>
      <c r="M453" s="334" t="n"/>
      <c r="N453" s="333">
        <f>IFERROR(IF(L453*M453=0,"",L453*M453),"")</f>
        <v/>
      </c>
      <c r="O453" s="334" t="n"/>
      <c r="P453" s="332">
        <f>IFERROR(VLOOKUP(TEXT(O453,"0"),CONDUCTORES!$A$3:$G$54,2,0),"")</f>
        <v/>
      </c>
      <c r="Q453" s="332">
        <f>IFERROR(VLOOKUP(TEXT(O453,"0"),CONDUCTORES!$A$3:$H$54,6,0),"")</f>
        <v/>
      </c>
      <c r="R453" s="334" t="n"/>
      <c r="S453" s="334" t="n"/>
      <c r="T453" s="334" t="n"/>
      <c r="U453" s="334" t="n"/>
      <c r="V453" s="334" t="n"/>
      <c r="W453" s="334" t="n"/>
      <c r="X453" s="334" t="n"/>
      <c r="Y453" s="334" t="n"/>
      <c r="Z453" s="375">
        <f>IF(AND(G453&lt;&gt;"",R453&lt;&gt;"",V453&lt;&gt;"",W453&lt;&gt;""),"COMPLETADO","OBSERVADO")</f>
        <v/>
      </c>
    </row>
    <row r="454" ht="15" customHeight="1" s="195">
      <c r="A454" s="280" t="n"/>
      <c r="B454" s="280" t="n"/>
      <c r="C454" s="280" t="n"/>
      <c r="D454" s="280" t="n"/>
      <c r="E454" s="280" t="n"/>
      <c r="F454" s="280" t="n"/>
      <c r="G454" s="280" t="n"/>
      <c r="H454" s="280" t="n"/>
      <c r="I454" s="332">
        <f>IFERROR(VLOOKUP(TEXT(H454,"0"),IPRESS!$A$3:$B$212,2,0),"")</f>
        <v/>
      </c>
      <c r="J454" s="280" t="n"/>
      <c r="K454" s="332">
        <f>IFERROR(VLOOKUP(TEXT(O454,"0"),CONDUCTORES!$A$3:$G$54,7,0),"")</f>
        <v/>
      </c>
      <c r="L454" s="280" t="n"/>
      <c r="M454" s="280" t="n"/>
      <c r="N454" s="333">
        <f>IFERROR(IF(L454*M454=0,"",L454*M454),"")</f>
        <v/>
      </c>
      <c r="O454" s="280" t="n"/>
      <c r="P454" s="332">
        <f>IFERROR(VLOOKUP(TEXT(O454,"0"),CONDUCTORES!$A$3:$G$54,2,0),"")</f>
        <v/>
      </c>
      <c r="Q454" s="332">
        <f>IFERROR(VLOOKUP(TEXT(O454,"0"),CONDUCTORES!$A$3:$H$54,6,0),"")</f>
        <v/>
      </c>
      <c r="R454" s="280" t="n"/>
      <c r="S454" s="280" t="n"/>
      <c r="T454" s="280" t="n"/>
      <c r="U454" s="280" t="n"/>
      <c r="V454" s="280" t="n"/>
      <c r="W454" s="280" t="n"/>
      <c r="X454" s="280" t="n"/>
      <c r="Y454" s="280" t="n"/>
      <c r="Z454" s="375">
        <f>IF(AND(G454&lt;&gt;"",R454&lt;&gt;"",V454&lt;&gt;"",W454&lt;&gt;""),"COMPLETADO","OBSERVADO")</f>
        <v/>
      </c>
    </row>
    <row r="455" ht="15" customHeight="1" s="195">
      <c r="A455" s="334" t="n"/>
      <c r="B455" s="334" t="n"/>
      <c r="C455" s="334" t="n"/>
      <c r="D455" s="334" t="n"/>
      <c r="E455" s="334" t="n"/>
      <c r="F455" s="334" t="n"/>
      <c r="G455" s="334" t="n"/>
      <c r="H455" s="334" t="n"/>
      <c r="I455" s="332">
        <f>IFERROR(VLOOKUP(TEXT(H455,"0"),IPRESS!$A$3:$B$212,2,0),"")</f>
        <v/>
      </c>
      <c r="J455" s="334" t="n"/>
      <c r="K455" s="332">
        <f>IFERROR(VLOOKUP(TEXT(O455,"0"),CONDUCTORES!$A$3:$G$54,7,0),"")</f>
        <v/>
      </c>
      <c r="L455" s="334" t="n"/>
      <c r="M455" s="334" t="n"/>
      <c r="N455" s="333">
        <f>IFERROR(IF(L455*M455=0,"",L455*M455),"")</f>
        <v/>
      </c>
      <c r="O455" s="334" t="n"/>
      <c r="P455" s="332">
        <f>IFERROR(VLOOKUP(TEXT(O455,"0"),CONDUCTORES!$A$3:$G$54,2,0),"")</f>
        <v/>
      </c>
      <c r="Q455" s="332">
        <f>IFERROR(VLOOKUP(TEXT(O455,"0"),CONDUCTORES!$A$3:$H$54,6,0),"")</f>
        <v/>
      </c>
      <c r="R455" s="334" t="n"/>
      <c r="S455" s="334" t="n"/>
      <c r="T455" s="334" t="n"/>
      <c r="U455" s="334" t="n"/>
      <c r="V455" s="334" t="n"/>
      <c r="W455" s="334" t="n"/>
      <c r="X455" s="334" t="n"/>
      <c r="Y455" s="334" t="n"/>
      <c r="Z455" s="375">
        <f>IF(AND(G455&lt;&gt;"",R455&lt;&gt;"",V455&lt;&gt;"",W455&lt;&gt;""),"COMPLETADO","OBSERVADO")</f>
        <v/>
      </c>
    </row>
    <row r="456" ht="15" customHeight="1" s="195">
      <c r="A456" s="280" t="n"/>
      <c r="B456" s="280" t="n"/>
      <c r="C456" s="280" t="n"/>
      <c r="D456" s="280" t="n"/>
      <c r="E456" s="280" t="n"/>
      <c r="F456" s="280" t="n"/>
      <c r="G456" s="280" t="n"/>
      <c r="H456" s="280" t="n"/>
      <c r="I456" s="332">
        <f>IFERROR(VLOOKUP(TEXT(H456,"0"),IPRESS!$A$3:$B$212,2,0),"")</f>
        <v/>
      </c>
      <c r="J456" s="280" t="n"/>
      <c r="K456" s="332">
        <f>IFERROR(VLOOKUP(TEXT(O456,"0"),CONDUCTORES!$A$3:$G$54,7,0),"")</f>
        <v/>
      </c>
      <c r="L456" s="280" t="n"/>
      <c r="M456" s="280" t="n"/>
      <c r="N456" s="333">
        <f>IFERROR(IF(L456*M456=0,"",L456*M456),"")</f>
        <v/>
      </c>
      <c r="O456" s="280" t="n"/>
      <c r="P456" s="332">
        <f>IFERROR(VLOOKUP(TEXT(O456,"0"),CONDUCTORES!$A$3:$G$54,2,0),"")</f>
        <v/>
      </c>
      <c r="Q456" s="332">
        <f>IFERROR(VLOOKUP(TEXT(O456,"0"),CONDUCTORES!$A$3:$H$54,6,0),"")</f>
        <v/>
      </c>
      <c r="R456" s="280" t="n"/>
      <c r="S456" s="280" t="n"/>
      <c r="T456" s="280" t="n"/>
      <c r="U456" s="280" t="n"/>
      <c r="V456" s="280" t="n"/>
      <c r="W456" s="280" t="n"/>
      <c r="X456" s="280" t="n"/>
      <c r="Y456" s="280" t="n"/>
      <c r="Z456" s="375">
        <f>IF(AND(G456&lt;&gt;"",R456&lt;&gt;"",V456&lt;&gt;"",W456&lt;&gt;""),"COMPLETADO","OBSERVADO")</f>
        <v/>
      </c>
    </row>
    <row r="457" ht="15" customHeight="1" s="195">
      <c r="A457" s="334" t="n"/>
      <c r="B457" s="334" t="n"/>
      <c r="C457" s="334" t="n"/>
      <c r="D457" s="334" t="n"/>
      <c r="E457" s="334" t="n"/>
      <c r="F457" s="334" t="n"/>
      <c r="G457" s="334" t="n"/>
      <c r="H457" s="334" t="n"/>
      <c r="I457" s="332">
        <f>IFERROR(VLOOKUP(TEXT(H457,"0"),IPRESS!$A$3:$B$212,2,0),"")</f>
        <v/>
      </c>
      <c r="J457" s="334" t="n"/>
      <c r="K457" s="332">
        <f>IFERROR(VLOOKUP(TEXT(O457,"0"),CONDUCTORES!$A$3:$G$54,7,0),"")</f>
        <v/>
      </c>
      <c r="L457" s="334" t="n"/>
      <c r="M457" s="334" t="n"/>
      <c r="N457" s="333">
        <f>IFERROR(IF(L457*M457=0,"",L457*M457),"")</f>
        <v/>
      </c>
      <c r="O457" s="334" t="n"/>
      <c r="P457" s="332">
        <f>IFERROR(VLOOKUP(TEXT(O457,"0"),CONDUCTORES!$A$3:$G$54,2,0),"")</f>
        <v/>
      </c>
      <c r="Q457" s="332">
        <f>IFERROR(VLOOKUP(TEXT(O457,"0"),CONDUCTORES!$A$3:$H$54,6,0),"")</f>
        <v/>
      </c>
      <c r="R457" s="334" t="n"/>
      <c r="S457" s="334" t="n"/>
      <c r="T457" s="334" t="n"/>
      <c r="U457" s="334" t="n"/>
      <c r="V457" s="334" t="n"/>
      <c r="W457" s="334" t="n"/>
      <c r="X457" s="334" t="n"/>
      <c r="Y457" s="334" t="n"/>
      <c r="Z457" s="375">
        <f>IF(AND(G457&lt;&gt;"",R457&lt;&gt;"",V457&lt;&gt;"",W457&lt;&gt;""),"COMPLETADO","OBSERVADO")</f>
        <v/>
      </c>
    </row>
    <row r="458" ht="15" customHeight="1" s="195">
      <c r="A458" s="280" t="n"/>
      <c r="B458" s="280" t="n"/>
      <c r="C458" s="280" t="n"/>
      <c r="D458" s="280" t="n"/>
      <c r="E458" s="280" t="n"/>
      <c r="F458" s="280" t="n"/>
      <c r="G458" s="280" t="n"/>
      <c r="H458" s="280" t="n"/>
      <c r="I458" s="332">
        <f>IFERROR(VLOOKUP(TEXT(H458,"0"),IPRESS!$A$3:$B$212,2,0),"")</f>
        <v/>
      </c>
      <c r="J458" s="280" t="n"/>
      <c r="K458" s="332">
        <f>IFERROR(VLOOKUP(TEXT(O458,"0"),CONDUCTORES!$A$3:$G$54,7,0),"")</f>
        <v/>
      </c>
      <c r="L458" s="280" t="n"/>
      <c r="M458" s="280" t="n"/>
      <c r="N458" s="333">
        <f>IFERROR(IF(L458*M458=0,"",L458*M458),"")</f>
        <v/>
      </c>
      <c r="O458" s="280" t="n"/>
      <c r="P458" s="332">
        <f>IFERROR(VLOOKUP(TEXT(O458,"0"),CONDUCTORES!$A$3:$G$54,2,0),"")</f>
        <v/>
      </c>
      <c r="Q458" s="332">
        <f>IFERROR(VLOOKUP(TEXT(O458,"0"),CONDUCTORES!$A$3:$H$54,6,0),"")</f>
        <v/>
      </c>
      <c r="R458" s="280" t="n"/>
      <c r="S458" s="280" t="n"/>
      <c r="T458" s="280" t="n"/>
      <c r="U458" s="280" t="n"/>
      <c r="V458" s="280" t="n"/>
      <c r="W458" s="280" t="n"/>
      <c r="X458" s="280" t="n"/>
      <c r="Y458" s="280" t="n"/>
      <c r="Z458" s="375">
        <f>IF(AND(G458&lt;&gt;"",R458&lt;&gt;"",V458&lt;&gt;"",W458&lt;&gt;""),"COMPLETADO","OBSERVADO")</f>
        <v/>
      </c>
    </row>
    <row r="459" ht="15" customHeight="1" s="195">
      <c r="A459" s="334" t="n"/>
      <c r="B459" s="334" t="n"/>
      <c r="C459" s="334" t="n"/>
      <c r="D459" s="334" t="n"/>
      <c r="E459" s="334" t="n"/>
      <c r="F459" s="334" t="n"/>
      <c r="G459" s="334" t="n"/>
      <c r="H459" s="334" t="n"/>
      <c r="I459" s="332">
        <f>IFERROR(VLOOKUP(TEXT(H459,"0"),IPRESS!$A$3:$B$212,2,0),"")</f>
        <v/>
      </c>
      <c r="J459" s="334" t="n"/>
      <c r="K459" s="332">
        <f>IFERROR(VLOOKUP(TEXT(O459,"0"),CONDUCTORES!$A$3:$G$54,7,0),"")</f>
        <v/>
      </c>
      <c r="L459" s="334" t="n"/>
      <c r="M459" s="334" t="n"/>
      <c r="N459" s="333">
        <f>IFERROR(IF(L459*M459=0,"",L459*M459),"")</f>
        <v/>
      </c>
      <c r="O459" s="334" t="n"/>
      <c r="P459" s="332">
        <f>IFERROR(VLOOKUP(TEXT(O459,"0"),CONDUCTORES!$A$3:$G$54,2,0),"")</f>
        <v/>
      </c>
      <c r="Q459" s="332">
        <f>IFERROR(VLOOKUP(TEXT(O459,"0"),CONDUCTORES!$A$3:$H$54,6,0),"")</f>
        <v/>
      </c>
      <c r="R459" s="334" t="n"/>
      <c r="S459" s="334" t="n"/>
      <c r="T459" s="334" t="n"/>
      <c r="U459" s="334" t="n"/>
      <c r="V459" s="334" t="n"/>
      <c r="W459" s="334" t="n"/>
      <c r="X459" s="334" t="n"/>
      <c r="Y459" s="334" t="n"/>
      <c r="Z459" s="375">
        <f>IF(AND(G459&lt;&gt;"",R459&lt;&gt;"",V459&lt;&gt;"",W459&lt;&gt;""),"COMPLETADO","OBSERVADO")</f>
        <v/>
      </c>
    </row>
    <row r="460" ht="15" customHeight="1" s="195">
      <c r="A460" s="280" t="n"/>
      <c r="B460" s="280" t="n"/>
      <c r="C460" s="280" t="n"/>
      <c r="D460" s="280" t="n"/>
      <c r="E460" s="280" t="n"/>
      <c r="F460" s="280" t="n"/>
      <c r="G460" s="280" t="n"/>
      <c r="H460" s="280" t="n"/>
      <c r="I460" s="332">
        <f>IFERROR(VLOOKUP(TEXT(H460,"0"),IPRESS!$A$3:$B$212,2,0),"")</f>
        <v/>
      </c>
      <c r="J460" s="280" t="n"/>
      <c r="K460" s="332">
        <f>IFERROR(VLOOKUP(TEXT(O460,"0"),CONDUCTORES!$A$3:$G$54,7,0),"")</f>
        <v/>
      </c>
      <c r="L460" s="280" t="n"/>
      <c r="M460" s="280" t="n"/>
      <c r="N460" s="333">
        <f>IFERROR(IF(L460*M460=0,"",L460*M460),"")</f>
        <v/>
      </c>
      <c r="O460" s="280" t="n"/>
      <c r="P460" s="332">
        <f>IFERROR(VLOOKUP(TEXT(O460,"0"),CONDUCTORES!$A$3:$G$54,2,0),"")</f>
        <v/>
      </c>
      <c r="Q460" s="332">
        <f>IFERROR(VLOOKUP(TEXT(O460,"0"),CONDUCTORES!$A$3:$H$54,6,0),"")</f>
        <v/>
      </c>
      <c r="R460" s="280" t="n"/>
      <c r="S460" s="280" t="n"/>
      <c r="T460" s="280" t="n"/>
      <c r="U460" s="280" t="n"/>
      <c r="V460" s="280" t="n"/>
      <c r="W460" s="280" t="n"/>
      <c r="X460" s="280" t="n"/>
      <c r="Y460" s="280" t="n"/>
      <c r="Z460" s="375">
        <f>IF(AND(G460&lt;&gt;"",R460&lt;&gt;"",V460&lt;&gt;"",W460&lt;&gt;""),"COMPLETADO","OBSERVADO")</f>
        <v/>
      </c>
    </row>
    <row r="461" ht="15" customHeight="1" s="195">
      <c r="A461" s="334" t="n"/>
      <c r="B461" s="334" t="n"/>
      <c r="C461" s="334" t="n"/>
      <c r="D461" s="334" t="n"/>
      <c r="E461" s="334" t="n"/>
      <c r="F461" s="334" t="n"/>
      <c r="G461" s="334" t="n"/>
      <c r="H461" s="334" t="n"/>
      <c r="I461" s="332">
        <f>IFERROR(VLOOKUP(TEXT(H461,"0"),IPRESS!$A$3:$B$212,2,0),"")</f>
        <v/>
      </c>
      <c r="J461" s="334" t="n"/>
      <c r="K461" s="332">
        <f>IFERROR(VLOOKUP(TEXT(O461,"0"),CONDUCTORES!$A$3:$G$54,7,0),"")</f>
        <v/>
      </c>
      <c r="L461" s="334" t="n"/>
      <c r="M461" s="334" t="n"/>
      <c r="N461" s="333">
        <f>IFERROR(IF(L461*M461=0,"",L461*M461),"")</f>
        <v/>
      </c>
      <c r="O461" s="334" t="n"/>
      <c r="P461" s="332">
        <f>IFERROR(VLOOKUP(TEXT(O461,"0"),CONDUCTORES!$A$3:$G$54,2,0),"")</f>
        <v/>
      </c>
      <c r="Q461" s="332">
        <f>IFERROR(VLOOKUP(TEXT(O461,"0"),CONDUCTORES!$A$3:$H$54,6,0),"")</f>
        <v/>
      </c>
      <c r="R461" s="334" t="n"/>
      <c r="S461" s="334" t="n"/>
      <c r="T461" s="334" t="n"/>
      <c r="U461" s="334" t="n"/>
      <c r="V461" s="334" t="n"/>
      <c r="W461" s="334" t="n"/>
      <c r="X461" s="334" t="n"/>
      <c r="Y461" s="334" t="n"/>
      <c r="Z461" s="375">
        <f>IF(AND(G461&lt;&gt;"",R461&lt;&gt;"",V461&lt;&gt;"",W461&lt;&gt;""),"COMPLETADO","OBSERVADO")</f>
        <v/>
      </c>
    </row>
    <row r="462" ht="15" customHeight="1" s="195">
      <c r="A462" s="280" t="n"/>
      <c r="B462" s="280" t="n"/>
      <c r="C462" s="280" t="n"/>
      <c r="D462" s="280" t="n"/>
      <c r="E462" s="280" t="n"/>
      <c r="F462" s="280" t="n"/>
      <c r="G462" s="280" t="n"/>
      <c r="H462" s="280" t="n"/>
      <c r="I462" s="332">
        <f>IFERROR(VLOOKUP(TEXT(H462,"0"),IPRESS!$A$3:$B$212,2,0),"")</f>
        <v/>
      </c>
      <c r="J462" s="280" t="n"/>
      <c r="K462" s="332">
        <f>IFERROR(VLOOKUP(TEXT(O462,"0"),CONDUCTORES!$A$3:$G$54,7,0),"")</f>
        <v/>
      </c>
      <c r="L462" s="280" t="n"/>
      <c r="M462" s="280" t="n"/>
      <c r="N462" s="333">
        <f>IFERROR(IF(L462*M462=0,"",L462*M462),"")</f>
        <v/>
      </c>
      <c r="O462" s="280" t="n"/>
      <c r="P462" s="332">
        <f>IFERROR(VLOOKUP(TEXT(O462,"0"),CONDUCTORES!$A$3:$G$54,2,0),"")</f>
        <v/>
      </c>
      <c r="Q462" s="332">
        <f>IFERROR(VLOOKUP(TEXT(O462,"0"),CONDUCTORES!$A$3:$H$54,6,0),"")</f>
        <v/>
      </c>
      <c r="R462" s="280" t="n"/>
      <c r="S462" s="280" t="n"/>
      <c r="T462" s="280" t="n"/>
      <c r="U462" s="280" t="n"/>
      <c r="V462" s="280" t="n"/>
      <c r="W462" s="280" t="n"/>
      <c r="X462" s="280" t="n"/>
      <c r="Y462" s="280" t="n"/>
      <c r="Z462" s="375">
        <f>IF(AND(G462&lt;&gt;"",R462&lt;&gt;"",V462&lt;&gt;"",W462&lt;&gt;""),"COMPLETADO","OBSERVADO")</f>
        <v/>
      </c>
    </row>
    <row r="463" ht="15" customHeight="1" s="195">
      <c r="A463" s="334" t="n"/>
      <c r="B463" s="334" t="n"/>
      <c r="C463" s="334" t="n"/>
      <c r="D463" s="334" t="n"/>
      <c r="E463" s="334" t="n"/>
      <c r="F463" s="334" t="n"/>
      <c r="G463" s="334" t="n"/>
      <c r="H463" s="334" t="n"/>
      <c r="I463" s="332">
        <f>IFERROR(VLOOKUP(TEXT(H463,"0"),IPRESS!$A$3:$B$212,2,0),"")</f>
        <v/>
      </c>
      <c r="J463" s="334" t="n"/>
      <c r="K463" s="332">
        <f>IFERROR(VLOOKUP(TEXT(O463,"0"),CONDUCTORES!$A$3:$G$54,7,0),"")</f>
        <v/>
      </c>
      <c r="L463" s="334" t="n"/>
      <c r="M463" s="334" t="n"/>
      <c r="N463" s="333">
        <f>IFERROR(IF(L463*M463=0,"",L463*M463),"")</f>
        <v/>
      </c>
      <c r="O463" s="334" t="n"/>
      <c r="P463" s="332">
        <f>IFERROR(VLOOKUP(TEXT(O463,"0"),CONDUCTORES!$A$3:$G$54,2,0),"")</f>
        <v/>
      </c>
      <c r="Q463" s="332">
        <f>IFERROR(VLOOKUP(TEXT(O463,"0"),CONDUCTORES!$A$3:$H$54,6,0),"")</f>
        <v/>
      </c>
      <c r="R463" s="334" t="n"/>
      <c r="S463" s="334" t="n"/>
      <c r="T463" s="334" t="n"/>
      <c r="U463" s="334" t="n"/>
      <c r="V463" s="334" t="n"/>
      <c r="W463" s="334" t="n"/>
      <c r="X463" s="334" t="n"/>
      <c r="Y463" s="334" t="n"/>
      <c r="Z463" s="375">
        <f>IF(AND(G463&lt;&gt;"",R463&lt;&gt;"",V463&lt;&gt;"",W463&lt;&gt;""),"COMPLETADO","OBSERVADO")</f>
        <v/>
      </c>
    </row>
    <row r="464" ht="15" customHeight="1" s="195">
      <c r="A464" s="280" t="n"/>
      <c r="B464" s="280" t="n"/>
      <c r="C464" s="280" t="n"/>
      <c r="D464" s="280" t="n"/>
      <c r="E464" s="280" t="n"/>
      <c r="F464" s="280" t="n"/>
      <c r="G464" s="280" t="n"/>
      <c r="H464" s="280" t="n"/>
      <c r="I464" s="332">
        <f>IFERROR(VLOOKUP(TEXT(H464,"0"),IPRESS!$A$3:$B$212,2,0),"")</f>
        <v/>
      </c>
      <c r="J464" s="280" t="n"/>
      <c r="K464" s="332">
        <f>IFERROR(VLOOKUP(TEXT(O464,"0"),CONDUCTORES!$A$3:$G$54,7,0),"")</f>
        <v/>
      </c>
      <c r="L464" s="280" t="n"/>
      <c r="M464" s="280" t="n"/>
      <c r="N464" s="333">
        <f>IFERROR(IF(L464*M464=0,"",L464*M464),"")</f>
        <v/>
      </c>
      <c r="O464" s="280" t="n"/>
      <c r="P464" s="332">
        <f>IFERROR(VLOOKUP(TEXT(O464,"0"),CONDUCTORES!$A$3:$G$54,2,0),"")</f>
        <v/>
      </c>
      <c r="Q464" s="332">
        <f>IFERROR(VLOOKUP(TEXT(O464,"0"),CONDUCTORES!$A$3:$H$54,6,0),"")</f>
        <v/>
      </c>
      <c r="R464" s="280" t="n"/>
      <c r="S464" s="280" t="n"/>
      <c r="T464" s="280" t="n"/>
      <c r="U464" s="280" t="n"/>
      <c r="V464" s="280" t="n"/>
      <c r="W464" s="280" t="n"/>
      <c r="X464" s="280" t="n"/>
      <c r="Y464" s="280" t="n"/>
      <c r="Z464" s="375">
        <f>IF(AND(G464&lt;&gt;"",R464&lt;&gt;"",V464&lt;&gt;"",W464&lt;&gt;""),"COMPLETADO","OBSERVADO")</f>
        <v/>
      </c>
    </row>
    <row r="465" ht="15" customHeight="1" s="195">
      <c r="A465" s="334" t="n"/>
      <c r="B465" s="334" t="n"/>
      <c r="C465" s="334" t="n"/>
      <c r="D465" s="334" t="n"/>
      <c r="E465" s="334" t="n"/>
      <c r="F465" s="334" t="n"/>
      <c r="G465" s="334" t="n"/>
      <c r="H465" s="334" t="n"/>
      <c r="I465" s="332">
        <f>IFERROR(VLOOKUP(TEXT(H465,"0"),IPRESS!$A$3:$B$212,2,0),"")</f>
        <v/>
      </c>
      <c r="J465" s="334" t="n"/>
      <c r="K465" s="332">
        <f>IFERROR(VLOOKUP(TEXT(O465,"0"),CONDUCTORES!$A$3:$G$54,7,0),"")</f>
        <v/>
      </c>
      <c r="L465" s="334" t="n"/>
      <c r="M465" s="334" t="n"/>
      <c r="N465" s="333">
        <f>IFERROR(IF(L465*M465=0,"",L465*M465),"")</f>
        <v/>
      </c>
      <c r="O465" s="334" t="n"/>
      <c r="P465" s="332">
        <f>IFERROR(VLOOKUP(TEXT(O465,"0"),CONDUCTORES!$A$3:$G$54,2,0),"")</f>
        <v/>
      </c>
      <c r="Q465" s="332">
        <f>IFERROR(VLOOKUP(TEXT(O465,"0"),CONDUCTORES!$A$3:$H$54,6,0),"")</f>
        <v/>
      </c>
      <c r="R465" s="334" t="n"/>
      <c r="S465" s="334" t="n"/>
      <c r="T465" s="334" t="n"/>
      <c r="U465" s="334" t="n"/>
      <c r="V465" s="334" t="n"/>
      <c r="W465" s="334" t="n"/>
      <c r="X465" s="334" t="n"/>
      <c r="Y465" s="334" t="n"/>
      <c r="Z465" s="375">
        <f>IF(AND(G465&lt;&gt;"",R465&lt;&gt;"",V465&lt;&gt;"",W465&lt;&gt;""),"COMPLETADO","OBSERVADO")</f>
        <v/>
      </c>
    </row>
    <row r="466" ht="15" customHeight="1" s="195">
      <c r="A466" s="280" t="n"/>
      <c r="B466" s="280" t="n"/>
      <c r="C466" s="280" t="n"/>
      <c r="D466" s="280" t="n"/>
      <c r="E466" s="280" t="n"/>
      <c r="F466" s="280" t="n"/>
      <c r="G466" s="280" t="n"/>
      <c r="H466" s="280" t="n"/>
      <c r="I466" s="332">
        <f>IFERROR(VLOOKUP(TEXT(H466,"0"),IPRESS!$A$3:$B$212,2,0),"")</f>
        <v/>
      </c>
      <c r="J466" s="280" t="n"/>
      <c r="K466" s="332">
        <f>IFERROR(VLOOKUP(TEXT(O466,"0"),CONDUCTORES!$A$3:$G$54,7,0),"")</f>
        <v/>
      </c>
      <c r="L466" s="280" t="n"/>
      <c r="M466" s="280" t="n"/>
      <c r="N466" s="333">
        <f>IFERROR(IF(L466*M466=0,"",L466*M466),"")</f>
        <v/>
      </c>
      <c r="O466" s="280" t="n"/>
      <c r="P466" s="332">
        <f>IFERROR(VLOOKUP(TEXT(O466,"0"),CONDUCTORES!$A$3:$G$54,2,0),"")</f>
        <v/>
      </c>
      <c r="Q466" s="332">
        <f>IFERROR(VLOOKUP(TEXT(O466,"0"),CONDUCTORES!$A$3:$H$54,6,0),"")</f>
        <v/>
      </c>
      <c r="R466" s="280" t="n"/>
      <c r="S466" s="280" t="n"/>
      <c r="T466" s="280" t="n"/>
      <c r="U466" s="280" t="n"/>
      <c r="V466" s="280" t="n"/>
      <c r="W466" s="280" t="n"/>
      <c r="X466" s="280" t="n"/>
      <c r="Y466" s="280" t="n"/>
      <c r="Z466" s="375">
        <f>IF(AND(G466&lt;&gt;"",R466&lt;&gt;"",V466&lt;&gt;"",W466&lt;&gt;""),"COMPLETADO","OBSERVADO")</f>
        <v/>
      </c>
    </row>
    <row r="467" ht="15" customHeight="1" s="195">
      <c r="A467" s="334" t="n"/>
      <c r="B467" s="334" t="n"/>
      <c r="C467" s="334" t="n"/>
      <c r="D467" s="334" t="n"/>
      <c r="E467" s="334" t="n"/>
      <c r="F467" s="334" t="n"/>
      <c r="G467" s="334" t="n"/>
      <c r="H467" s="334" t="n"/>
      <c r="I467" s="332">
        <f>IFERROR(VLOOKUP(TEXT(H467,"0"),IPRESS!$A$3:$B$212,2,0),"")</f>
        <v/>
      </c>
      <c r="J467" s="334" t="n"/>
      <c r="K467" s="332">
        <f>IFERROR(VLOOKUP(TEXT(O467,"0"),CONDUCTORES!$A$3:$G$54,7,0),"")</f>
        <v/>
      </c>
      <c r="L467" s="334" t="n"/>
      <c r="M467" s="334" t="n"/>
      <c r="N467" s="333">
        <f>IFERROR(IF(L467*M467=0,"",L467*M467),"")</f>
        <v/>
      </c>
      <c r="O467" s="334" t="n"/>
      <c r="P467" s="332">
        <f>IFERROR(VLOOKUP(TEXT(O467,"0"),CONDUCTORES!$A$3:$G$54,2,0),"")</f>
        <v/>
      </c>
      <c r="Q467" s="332">
        <f>IFERROR(VLOOKUP(TEXT(O467,"0"),CONDUCTORES!$A$3:$H$54,6,0),"")</f>
        <v/>
      </c>
      <c r="R467" s="334" t="n"/>
      <c r="S467" s="334" t="n"/>
      <c r="T467" s="334" t="n"/>
      <c r="U467" s="334" t="n"/>
      <c r="V467" s="334" t="n"/>
      <c r="W467" s="334" t="n"/>
      <c r="X467" s="334" t="n"/>
      <c r="Y467" s="334" t="n"/>
      <c r="Z467" s="375">
        <f>IF(AND(G467&lt;&gt;"",R467&lt;&gt;"",V467&lt;&gt;"",W467&lt;&gt;""),"COMPLETADO","OBSERVADO")</f>
        <v/>
      </c>
    </row>
    <row r="468" ht="15" customHeight="1" s="195">
      <c r="A468" s="280" t="n"/>
      <c r="B468" s="280" t="n"/>
      <c r="C468" s="280" t="n"/>
      <c r="D468" s="280" t="n"/>
      <c r="E468" s="280" t="n"/>
      <c r="F468" s="280" t="n"/>
      <c r="G468" s="280" t="n"/>
      <c r="H468" s="280" t="n"/>
      <c r="I468" s="332">
        <f>IFERROR(VLOOKUP(TEXT(H468,"0"),IPRESS!$A$3:$B$212,2,0),"")</f>
        <v/>
      </c>
      <c r="J468" s="280" t="n"/>
      <c r="K468" s="332">
        <f>IFERROR(VLOOKUP(TEXT(O468,"0"),CONDUCTORES!$A$3:$G$54,7,0),"")</f>
        <v/>
      </c>
      <c r="L468" s="280" t="n"/>
      <c r="M468" s="280" t="n"/>
      <c r="N468" s="333">
        <f>IFERROR(IF(L468*M468=0,"",L468*M468),"")</f>
        <v/>
      </c>
      <c r="O468" s="280" t="n"/>
      <c r="P468" s="332">
        <f>IFERROR(VLOOKUP(TEXT(O468,"0"),CONDUCTORES!$A$3:$G$54,2,0),"")</f>
        <v/>
      </c>
      <c r="Q468" s="332">
        <f>IFERROR(VLOOKUP(TEXT(O468,"0"),CONDUCTORES!$A$3:$H$54,6,0),"")</f>
        <v/>
      </c>
      <c r="R468" s="280" t="n"/>
      <c r="S468" s="280" t="n"/>
      <c r="T468" s="280" t="n"/>
      <c r="U468" s="280" t="n"/>
      <c r="V468" s="280" t="n"/>
      <c r="W468" s="280" t="n"/>
      <c r="X468" s="280" t="n"/>
      <c r="Y468" s="280" t="n"/>
      <c r="Z468" s="375">
        <f>IF(AND(G468&lt;&gt;"",R468&lt;&gt;"",V468&lt;&gt;"",W468&lt;&gt;""),"COMPLETADO","OBSERVADO")</f>
        <v/>
      </c>
    </row>
    <row r="469" ht="15" customHeight="1" s="195">
      <c r="A469" s="334" t="n"/>
      <c r="B469" s="334" t="n"/>
      <c r="C469" s="334" t="n"/>
      <c r="D469" s="334" t="n"/>
      <c r="E469" s="334" t="n"/>
      <c r="F469" s="334" t="n"/>
      <c r="G469" s="334" t="n"/>
      <c r="H469" s="334" t="n"/>
      <c r="I469" s="332">
        <f>IFERROR(VLOOKUP(TEXT(H469,"0"),IPRESS!$A$3:$B$212,2,0),"")</f>
        <v/>
      </c>
      <c r="J469" s="334" t="n"/>
      <c r="K469" s="332">
        <f>IFERROR(VLOOKUP(TEXT(O469,"0"),CONDUCTORES!$A$3:$G$54,7,0),"")</f>
        <v/>
      </c>
      <c r="L469" s="334" t="n"/>
      <c r="M469" s="334" t="n"/>
      <c r="N469" s="333">
        <f>IFERROR(IF(L469*M469=0,"",L469*M469),"")</f>
        <v/>
      </c>
      <c r="O469" s="334" t="n"/>
      <c r="P469" s="332">
        <f>IFERROR(VLOOKUP(TEXT(O469,"0"),CONDUCTORES!$A$3:$G$54,2,0),"")</f>
        <v/>
      </c>
      <c r="Q469" s="332">
        <f>IFERROR(VLOOKUP(TEXT(O469,"0"),CONDUCTORES!$A$3:$H$54,6,0),"")</f>
        <v/>
      </c>
      <c r="R469" s="334" t="n"/>
      <c r="S469" s="334" t="n"/>
      <c r="T469" s="334" t="n"/>
      <c r="U469" s="334" t="n"/>
      <c r="V469" s="334" t="n"/>
      <c r="W469" s="334" t="n"/>
      <c r="X469" s="334" t="n"/>
      <c r="Y469" s="334" t="n"/>
      <c r="Z469" s="375">
        <f>IF(AND(G469&lt;&gt;"",R469&lt;&gt;"",V469&lt;&gt;"",W469&lt;&gt;""),"COMPLETADO","OBSERVADO")</f>
        <v/>
      </c>
    </row>
    <row r="470" ht="15" customHeight="1" s="195">
      <c r="A470" s="280" t="n"/>
      <c r="B470" s="280" t="n"/>
      <c r="C470" s="280" t="n"/>
      <c r="D470" s="280" t="n"/>
      <c r="E470" s="280" t="n"/>
      <c r="F470" s="280" t="n"/>
      <c r="G470" s="280" t="n"/>
      <c r="H470" s="280" t="n"/>
      <c r="I470" s="332">
        <f>IFERROR(VLOOKUP(TEXT(H470,"0"),IPRESS!$A$3:$B$212,2,0),"")</f>
        <v/>
      </c>
      <c r="J470" s="280" t="n"/>
      <c r="K470" s="332">
        <f>IFERROR(VLOOKUP(TEXT(O470,"0"),CONDUCTORES!$A$3:$G$54,7,0),"")</f>
        <v/>
      </c>
      <c r="L470" s="280" t="n"/>
      <c r="M470" s="280" t="n"/>
      <c r="N470" s="333">
        <f>IFERROR(IF(L470*M470=0,"",L470*M470),"")</f>
        <v/>
      </c>
      <c r="O470" s="280" t="n"/>
      <c r="P470" s="332">
        <f>IFERROR(VLOOKUP(TEXT(O470,"0"),CONDUCTORES!$A$3:$G$54,2,0),"")</f>
        <v/>
      </c>
      <c r="Q470" s="332">
        <f>IFERROR(VLOOKUP(TEXT(O470,"0"),CONDUCTORES!$A$3:$H$54,6,0),"")</f>
        <v/>
      </c>
      <c r="R470" s="280" t="n"/>
      <c r="S470" s="280" t="n"/>
      <c r="T470" s="280" t="n"/>
      <c r="U470" s="280" t="n"/>
      <c r="V470" s="280" t="n"/>
      <c r="W470" s="280" t="n"/>
      <c r="X470" s="280" t="n"/>
      <c r="Y470" s="280" t="n"/>
      <c r="Z470" s="375">
        <f>IF(AND(G470&lt;&gt;"",R470&lt;&gt;"",V470&lt;&gt;"",W470&lt;&gt;""),"COMPLETADO","OBSERVADO")</f>
        <v/>
      </c>
    </row>
    <row r="471" ht="15" customHeight="1" s="195">
      <c r="A471" s="334" t="n"/>
      <c r="B471" s="334" t="n"/>
      <c r="C471" s="334" t="n"/>
      <c r="D471" s="334" t="n"/>
      <c r="E471" s="334" t="n"/>
      <c r="F471" s="334" t="n"/>
      <c r="G471" s="334" t="n"/>
      <c r="H471" s="334" t="n"/>
      <c r="I471" s="332">
        <f>IFERROR(VLOOKUP(TEXT(H471,"0"),IPRESS!$A$3:$B$212,2,0),"")</f>
        <v/>
      </c>
      <c r="J471" s="334" t="n"/>
      <c r="K471" s="332">
        <f>IFERROR(VLOOKUP(TEXT(O471,"0"),CONDUCTORES!$A$3:$G$54,7,0),"")</f>
        <v/>
      </c>
      <c r="L471" s="334" t="n"/>
      <c r="M471" s="334" t="n"/>
      <c r="N471" s="333">
        <f>IFERROR(IF(L471*M471=0,"",L471*M471),"")</f>
        <v/>
      </c>
      <c r="O471" s="334" t="n"/>
      <c r="P471" s="332">
        <f>IFERROR(VLOOKUP(TEXT(O471,"0"),CONDUCTORES!$A$3:$G$54,2,0),"")</f>
        <v/>
      </c>
      <c r="Q471" s="332">
        <f>IFERROR(VLOOKUP(TEXT(O471,"0"),CONDUCTORES!$A$3:$H$54,6,0),"")</f>
        <v/>
      </c>
      <c r="R471" s="334" t="n"/>
      <c r="S471" s="334" t="n"/>
      <c r="T471" s="334" t="n"/>
      <c r="U471" s="334" t="n"/>
      <c r="V471" s="334" t="n"/>
      <c r="W471" s="334" t="n"/>
      <c r="X471" s="334" t="n"/>
      <c r="Y471" s="334" t="n"/>
      <c r="Z471" s="375">
        <f>IF(AND(G471&lt;&gt;"",R471&lt;&gt;"",V471&lt;&gt;"",W471&lt;&gt;""),"COMPLETADO","OBSERVADO")</f>
        <v/>
      </c>
    </row>
    <row r="472" ht="15" customHeight="1" s="195">
      <c r="A472" s="280" t="n"/>
      <c r="B472" s="280" t="n"/>
      <c r="C472" s="280" t="n"/>
      <c r="D472" s="280" t="n"/>
      <c r="E472" s="280" t="n"/>
      <c r="F472" s="280" t="n"/>
      <c r="G472" s="280" t="n"/>
      <c r="H472" s="280" t="n"/>
      <c r="I472" s="332">
        <f>IFERROR(VLOOKUP(TEXT(H472,"0"),IPRESS!$A$3:$B$212,2,0),"")</f>
        <v/>
      </c>
      <c r="J472" s="280" t="n"/>
      <c r="K472" s="332">
        <f>IFERROR(VLOOKUP(TEXT(O472,"0"),CONDUCTORES!$A$3:$G$54,7,0),"")</f>
        <v/>
      </c>
      <c r="L472" s="280" t="n"/>
      <c r="M472" s="280" t="n"/>
      <c r="N472" s="333">
        <f>IFERROR(IF(L472*M472=0,"",L472*M472),"")</f>
        <v/>
      </c>
      <c r="O472" s="280" t="n"/>
      <c r="P472" s="332">
        <f>IFERROR(VLOOKUP(TEXT(O472,"0"),CONDUCTORES!$A$3:$G$54,2,0),"")</f>
        <v/>
      </c>
      <c r="Q472" s="332">
        <f>IFERROR(VLOOKUP(TEXT(O472,"0"),CONDUCTORES!$A$3:$H$54,6,0),"")</f>
        <v/>
      </c>
      <c r="R472" s="280" t="n"/>
      <c r="S472" s="280" t="n"/>
      <c r="T472" s="280" t="n"/>
      <c r="U472" s="280" t="n"/>
      <c r="V472" s="280" t="n"/>
      <c r="W472" s="280" t="n"/>
      <c r="X472" s="280" t="n"/>
      <c r="Y472" s="280" t="n"/>
      <c r="Z472" s="375">
        <f>IF(AND(G472&lt;&gt;"",R472&lt;&gt;"",V472&lt;&gt;"",W472&lt;&gt;""),"COMPLETADO","OBSERVADO")</f>
        <v/>
      </c>
    </row>
    <row r="473" ht="15" customHeight="1" s="195">
      <c r="A473" s="334" t="n"/>
      <c r="B473" s="334" t="n"/>
      <c r="C473" s="334" t="n"/>
      <c r="D473" s="334" t="n"/>
      <c r="E473" s="334" t="n"/>
      <c r="F473" s="334" t="n"/>
      <c r="G473" s="334" t="n"/>
      <c r="H473" s="334" t="n"/>
      <c r="I473" s="332">
        <f>IFERROR(VLOOKUP(TEXT(H473,"0"),IPRESS!$A$3:$B$212,2,0),"")</f>
        <v/>
      </c>
      <c r="J473" s="334" t="n"/>
      <c r="K473" s="332">
        <f>IFERROR(VLOOKUP(TEXT(O473,"0"),CONDUCTORES!$A$3:$G$54,7,0),"")</f>
        <v/>
      </c>
      <c r="L473" s="334" t="n"/>
      <c r="M473" s="334" t="n"/>
      <c r="N473" s="333">
        <f>IFERROR(IF(L473*M473=0,"",L473*M473),"")</f>
        <v/>
      </c>
      <c r="O473" s="334" t="n"/>
      <c r="P473" s="332">
        <f>IFERROR(VLOOKUP(TEXT(O473,"0"),CONDUCTORES!$A$3:$G$54,2,0),"")</f>
        <v/>
      </c>
      <c r="Q473" s="332">
        <f>IFERROR(VLOOKUP(TEXT(O473,"0"),CONDUCTORES!$A$3:$H$54,6,0),"")</f>
        <v/>
      </c>
      <c r="R473" s="334" t="n"/>
      <c r="S473" s="334" t="n"/>
      <c r="T473" s="334" t="n"/>
      <c r="U473" s="334" t="n"/>
      <c r="V473" s="334" t="n"/>
      <c r="W473" s="334" t="n"/>
      <c r="X473" s="334" t="n"/>
      <c r="Y473" s="334" t="n"/>
      <c r="Z473" s="375">
        <f>IF(AND(G473&lt;&gt;"",R473&lt;&gt;"",V473&lt;&gt;"",W473&lt;&gt;""),"COMPLETADO","OBSERVADO")</f>
        <v/>
      </c>
    </row>
    <row r="474" ht="15" customHeight="1" s="195">
      <c r="A474" s="280" t="n"/>
      <c r="B474" s="280" t="n"/>
      <c r="C474" s="280" t="n"/>
      <c r="D474" s="280" t="n"/>
      <c r="E474" s="280" t="n"/>
      <c r="F474" s="280" t="n"/>
      <c r="G474" s="280" t="n"/>
      <c r="H474" s="280" t="n"/>
      <c r="I474" s="332">
        <f>IFERROR(VLOOKUP(TEXT(H474,"0"),IPRESS!$A$3:$B$212,2,0),"")</f>
        <v/>
      </c>
      <c r="J474" s="280" t="n"/>
      <c r="K474" s="332">
        <f>IFERROR(VLOOKUP(TEXT(O474,"0"),CONDUCTORES!$A$3:$G$54,7,0),"")</f>
        <v/>
      </c>
      <c r="L474" s="280" t="n"/>
      <c r="M474" s="280" t="n"/>
      <c r="N474" s="333">
        <f>IFERROR(IF(L474*M474=0,"",L474*M474),"")</f>
        <v/>
      </c>
      <c r="O474" s="280" t="n"/>
      <c r="P474" s="332">
        <f>IFERROR(VLOOKUP(TEXT(O474,"0"),CONDUCTORES!$A$3:$G$54,2,0),"")</f>
        <v/>
      </c>
      <c r="Q474" s="332">
        <f>IFERROR(VLOOKUP(TEXT(O474,"0"),CONDUCTORES!$A$3:$H$54,6,0),"")</f>
        <v/>
      </c>
      <c r="R474" s="280" t="n"/>
      <c r="S474" s="280" t="n"/>
      <c r="T474" s="280" t="n"/>
      <c r="U474" s="280" t="n"/>
      <c r="V474" s="280" t="n"/>
      <c r="W474" s="280" t="n"/>
      <c r="X474" s="280" t="n"/>
      <c r="Y474" s="280" t="n"/>
      <c r="Z474" s="375">
        <f>IF(AND(G474&lt;&gt;"",R474&lt;&gt;"",V474&lt;&gt;"",W474&lt;&gt;""),"COMPLETADO","OBSERVADO")</f>
        <v/>
      </c>
    </row>
    <row r="475" ht="15" customHeight="1" s="195">
      <c r="A475" s="334" t="n"/>
      <c r="B475" s="334" t="n"/>
      <c r="C475" s="334" t="n"/>
      <c r="D475" s="334" t="n"/>
      <c r="E475" s="334" t="n"/>
      <c r="F475" s="334" t="n"/>
      <c r="G475" s="334" t="n"/>
      <c r="H475" s="334" t="n"/>
      <c r="I475" s="332">
        <f>IFERROR(VLOOKUP(TEXT(H475,"0"),IPRESS!$A$3:$B$212,2,0),"")</f>
        <v/>
      </c>
      <c r="J475" s="334" t="n"/>
      <c r="K475" s="332">
        <f>IFERROR(VLOOKUP(TEXT(O475,"0"),CONDUCTORES!$A$3:$G$54,7,0),"")</f>
        <v/>
      </c>
      <c r="L475" s="334" t="n"/>
      <c r="M475" s="334" t="n"/>
      <c r="N475" s="333">
        <f>IFERROR(IF(L475*M475=0,"",L475*M475),"")</f>
        <v/>
      </c>
      <c r="O475" s="334" t="n"/>
      <c r="P475" s="332">
        <f>IFERROR(VLOOKUP(TEXT(O475,"0"),CONDUCTORES!$A$3:$G$54,2,0),"")</f>
        <v/>
      </c>
      <c r="Q475" s="332">
        <f>IFERROR(VLOOKUP(TEXT(O475,"0"),CONDUCTORES!$A$3:$H$54,6,0),"")</f>
        <v/>
      </c>
      <c r="R475" s="334" t="n"/>
      <c r="S475" s="334" t="n"/>
      <c r="T475" s="334" t="n"/>
      <c r="U475" s="334" t="n"/>
      <c r="V475" s="334" t="n"/>
      <c r="W475" s="334" t="n"/>
      <c r="X475" s="334" t="n"/>
      <c r="Y475" s="334" t="n"/>
      <c r="Z475" s="375">
        <f>IF(AND(G475&lt;&gt;"",R475&lt;&gt;"",V475&lt;&gt;"",W475&lt;&gt;""),"COMPLETADO","OBSERVADO")</f>
        <v/>
      </c>
    </row>
    <row r="476" ht="15" customHeight="1" s="195">
      <c r="A476" s="280" t="n"/>
      <c r="B476" s="280" t="n"/>
      <c r="C476" s="280" t="n"/>
      <c r="D476" s="280" t="n"/>
      <c r="E476" s="280" t="n"/>
      <c r="F476" s="280" t="n"/>
      <c r="G476" s="280" t="n"/>
      <c r="H476" s="280" t="n"/>
      <c r="I476" s="332">
        <f>IFERROR(VLOOKUP(TEXT(H476,"0"),IPRESS!$A$3:$B$212,2,0),"")</f>
        <v/>
      </c>
      <c r="J476" s="280" t="n"/>
      <c r="K476" s="332">
        <f>IFERROR(VLOOKUP(TEXT(O476,"0"),CONDUCTORES!$A$3:$G$54,7,0),"")</f>
        <v/>
      </c>
      <c r="L476" s="280" t="n"/>
      <c r="M476" s="280" t="n"/>
      <c r="N476" s="333">
        <f>IFERROR(IF(L476*M476=0,"",L476*M476),"")</f>
        <v/>
      </c>
      <c r="O476" s="280" t="n"/>
      <c r="P476" s="332">
        <f>IFERROR(VLOOKUP(TEXT(O476,"0"),CONDUCTORES!$A$3:$G$54,2,0),"")</f>
        <v/>
      </c>
      <c r="Q476" s="332">
        <f>IFERROR(VLOOKUP(TEXT(O476,"0"),CONDUCTORES!$A$3:$H$54,6,0),"")</f>
        <v/>
      </c>
      <c r="R476" s="280" t="n"/>
      <c r="S476" s="280" t="n"/>
      <c r="T476" s="280" t="n"/>
      <c r="U476" s="280" t="n"/>
      <c r="V476" s="280" t="n"/>
      <c r="W476" s="280" t="n"/>
      <c r="X476" s="280" t="n"/>
      <c r="Y476" s="280" t="n"/>
      <c r="Z476" s="375">
        <f>IF(AND(G476&lt;&gt;"",R476&lt;&gt;"",V476&lt;&gt;"",W476&lt;&gt;""),"COMPLETADO","OBSERVADO")</f>
        <v/>
      </c>
    </row>
    <row r="477" ht="15" customHeight="1" s="195">
      <c r="A477" s="334" t="n"/>
      <c r="B477" s="334" t="n"/>
      <c r="C477" s="334" t="n"/>
      <c r="D477" s="334" t="n"/>
      <c r="E477" s="334" t="n"/>
      <c r="F477" s="334" t="n"/>
      <c r="G477" s="334" t="n"/>
      <c r="H477" s="334" t="n"/>
      <c r="I477" s="332">
        <f>IFERROR(VLOOKUP(TEXT(H477,"0"),IPRESS!$A$3:$B$212,2,0),"")</f>
        <v/>
      </c>
      <c r="J477" s="334" t="n"/>
      <c r="K477" s="332">
        <f>IFERROR(VLOOKUP(TEXT(O477,"0"),CONDUCTORES!$A$3:$G$54,7,0),"")</f>
        <v/>
      </c>
      <c r="L477" s="334" t="n"/>
      <c r="M477" s="334" t="n"/>
      <c r="N477" s="333">
        <f>IFERROR(IF(L477*M477=0,"",L477*M477),"")</f>
        <v/>
      </c>
      <c r="O477" s="334" t="n"/>
      <c r="P477" s="332">
        <f>IFERROR(VLOOKUP(TEXT(O477,"0"),CONDUCTORES!$A$3:$G$54,2,0),"")</f>
        <v/>
      </c>
      <c r="Q477" s="332">
        <f>IFERROR(VLOOKUP(TEXT(O477,"0"),CONDUCTORES!$A$3:$H$54,6,0),"")</f>
        <v/>
      </c>
      <c r="R477" s="334" t="n"/>
      <c r="S477" s="334" t="n"/>
      <c r="T477" s="334" t="n"/>
      <c r="U477" s="334" t="n"/>
      <c r="V477" s="334" t="n"/>
      <c r="W477" s="334" t="n"/>
      <c r="X477" s="334" t="n"/>
      <c r="Y477" s="334" t="n"/>
      <c r="Z477" s="375">
        <f>IF(AND(G477&lt;&gt;"",R477&lt;&gt;"",V477&lt;&gt;"",W477&lt;&gt;""),"COMPLETADO","OBSERVADO")</f>
        <v/>
      </c>
    </row>
    <row r="478" ht="15" customHeight="1" s="195">
      <c r="A478" s="280" t="n"/>
      <c r="B478" s="280" t="n"/>
      <c r="C478" s="280" t="n"/>
      <c r="D478" s="280" t="n"/>
      <c r="E478" s="280" t="n"/>
      <c r="F478" s="280" t="n"/>
      <c r="G478" s="280" t="n"/>
      <c r="H478" s="280" t="n"/>
      <c r="I478" s="332">
        <f>IFERROR(VLOOKUP(TEXT(H478,"0"),IPRESS!$A$3:$B$212,2,0),"")</f>
        <v/>
      </c>
      <c r="J478" s="280" t="n"/>
      <c r="K478" s="332">
        <f>IFERROR(VLOOKUP(TEXT(O478,"0"),CONDUCTORES!$A$3:$G$54,7,0),"")</f>
        <v/>
      </c>
      <c r="L478" s="280" t="n"/>
      <c r="M478" s="280" t="n"/>
      <c r="N478" s="333">
        <f>IFERROR(IF(L478*M478=0,"",L478*M478),"")</f>
        <v/>
      </c>
      <c r="O478" s="280" t="n"/>
      <c r="P478" s="332">
        <f>IFERROR(VLOOKUP(TEXT(O478,"0"),CONDUCTORES!$A$3:$G$54,2,0),"")</f>
        <v/>
      </c>
      <c r="Q478" s="332">
        <f>IFERROR(VLOOKUP(TEXT(O478,"0"),CONDUCTORES!$A$3:$H$54,6,0),"")</f>
        <v/>
      </c>
      <c r="R478" s="280" t="n"/>
      <c r="S478" s="280" t="n"/>
      <c r="T478" s="280" t="n"/>
      <c r="U478" s="280" t="n"/>
      <c r="V478" s="280" t="n"/>
      <c r="W478" s="280" t="n"/>
      <c r="X478" s="280" t="n"/>
      <c r="Y478" s="280" t="n"/>
      <c r="Z478" s="375">
        <f>IF(AND(G478&lt;&gt;"",R478&lt;&gt;"",V478&lt;&gt;"",W478&lt;&gt;""),"COMPLETADO","OBSERVADO")</f>
        <v/>
      </c>
    </row>
    <row r="479" ht="15" customHeight="1" s="195">
      <c r="A479" s="334" t="n"/>
      <c r="B479" s="334" t="n"/>
      <c r="C479" s="334" t="n"/>
      <c r="D479" s="334" t="n"/>
      <c r="E479" s="334" t="n"/>
      <c r="F479" s="334" t="n"/>
      <c r="G479" s="334" t="n"/>
      <c r="H479" s="334" t="n"/>
      <c r="I479" s="332">
        <f>IFERROR(VLOOKUP(TEXT(H479,"0"),IPRESS!$A$3:$B$212,2,0),"")</f>
        <v/>
      </c>
      <c r="J479" s="334" t="n"/>
      <c r="K479" s="332">
        <f>IFERROR(VLOOKUP(TEXT(O479,"0"),CONDUCTORES!$A$3:$G$54,7,0),"")</f>
        <v/>
      </c>
      <c r="L479" s="334" t="n"/>
      <c r="M479" s="334" t="n"/>
      <c r="N479" s="333">
        <f>IFERROR(IF(L479*M479=0,"",L479*M479),"")</f>
        <v/>
      </c>
      <c r="O479" s="334" t="n"/>
      <c r="P479" s="332">
        <f>IFERROR(VLOOKUP(TEXT(O479,"0"),CONDUCTORES!$A$3:$G$54,2,0),"")</f>
        <v/>
      </c>
      <c r="Q479" s="332">
        <f>IFERROR(VLOOKUP(TEXT(O479,"0"),CONDUCTORES!$A$3:$H$54,6,0),"")</f>
        <v/>
      </c>
      <c r="R479" s="334" t="n"/>
      <c r="S479" s="334" t="n"/>
      <c r="T479" s="334" t="n"/>
      <c r="U479" s="334" t="n"/>
      <c r="V479" s="334" t="n"/>
      <c r="W479" s="334" t="n"/>
      <c r="X479" s="334" t="n"/>
      <c r="Y479" s="334" t="n"/>
      <c r="Z479" s="375">
        <f>IF(AND(G479&lt;&gt;"",R479&lt;&gt;"",V479&lt;&gt;"",W479&lt;&gt;""),"COMPLETADO","OBSERVADO")</f>
        <v/>
      </c>
    </row>
    <row r="480" ht="15" customHeight="1" s="195">
      <c r="A480" s="280" t="n"/>
      <c r="B480" s="280" t="n"/>
      <c r="C480" s="280" t="n"/>
      <c r="D480" s="280" t="n"/>
      <c r="E480" s="280" t="n"/>
      <c r="F480" s="280" t="n"/>
      <c r="G480" s="280" t="n"/>
      <c r="H480" s="280" t="n"/>
      <c r="I480" s="332">
        <f>IFERROR(VLOOKUP(TEXT(H480,"0"),IPRESS!$A$3:$B$212,2,0),"")</f>
        <v/>
      </c>
      <c r="J480" s="280" t="n"/>
      <c r="K480" s="332">
        <f>IFERROR(VLOOKUP(TEXT(O480,"0"),CONDUCTORES!$A$3:$G$54,7,0),"")</f>
        <v/>
      </c>
      <c r="L480" s="280" t="n"/>
      <c r="M480" s="280" t="n"/>
      <c r="N480" s="333">
        <f>IFERROR(IF(L480*M480=0,"",L480*M480),"")</f>
        <v/>
      </c>
      <c r="O480" s="280" t="n"/>
      <c r="P480" s="332">
        <f>IFERROR(VLOOKUP(TEXT(O480,"0"),CONDUCTORES!$A$3:$G$54,2,0),"")</f>
        <v/>
      </c>
      <c r="Q480" s="332">
        <f>IFERROR(VLOOKUP(TEXT(O480,"0"),CONDUCTORES!$A$3:$H$54,6,0),"")</f>
        <v/>
      </c>
      <c r="R480" s="280" t="n"/>
      <c r="S480" s="280" t="n"/>
      <c r="T480" s="280" t="n"/>
      <c r="U480" s="280" t="n"/>
      <c r="V480" s="280" t="n"/>
      <c r="W480" s="280" t="n"/>
      <c r="X480" s="280" t="n"/>
      <c r="Y480" s="280" t="n"/>
      <c r="Z480" s="375">
        <f>IF(AND(G480&lt;&gt;"",R480&lt;&gt;"",V480&lt;&gt;"",W480&lt;&gt;""),"COMPLETADO","OBSERVADO")</f>
        <v/>
      </c>
    </row>
    <row r="481" ht="15" customHeight="1" s="195">
      <c r="A481" s="334" t="n"/>
      <c r="B481" s="334" t="n"/>
      <c r="C481" s="334" t="n"/>
      <c r="D481" s="334" t="n"/>
      <c r="E481" s="334" t="n"/>
      <c r="F481" s="334" t="n"/>
      <c r="G481" s="334" t="n"/>
      <c r="H481" s="334" t="n"/>
      <c r="I481" s="332">
        <f>IFERROR(VLOOKUP(TEXT(H481,"0"),IPRESS!$A$3:$B$212,2,0),"")</f>
        <v/>
      </c>
      <c r="J481" s="334" t="n"/>
      <c r="K481" s="332">
        <f>IFERROR(VLOOKUP(TEXT(O481,"0"),CONDUCTORES!$A$3:$G$54,7,0),"")</f>
        <v/>
      </c>
      <c r="L481" s="334" t="n"/>
      <c r="M481" s="334" t="n"/>
      <c r="N481" s="333">
        <f>IFERROR(IF(L481*M481=0,"",L481*M481),"")</f>
        <v/>
      </c>
      <c r="O481" s="334" t="n"/>
      <c r="P481" s="332">
        <f>IFERROR(VLOOKUP(TEXT(O481,"0"),CONDUCTORES!$A$3:$G$54,2,0),"")</f>
        <v/>
      </c>
      <c r="Q481" s="332">
        <f>IFERROR(VLOOKUP(TEXT(O481,"0"),CONDUCTORES!$A$3:$H$54,6,0),"")</f>
        <v/>
      </c>
      <c r="R481" s="334" t="n"/>
      <c r="S481" s="334" t="n"/>
      <c r="T481" s="334" t="n"/>
      <c r="U481" s="334" t="n"/>
      <c r="V481" s="334" t="n"/>
      <c r="W481" s="334" t="n"/>
      <c r="X481" s="334" t="n"/>
      <c r="Y481" s="334" t="n"/>
      <c r="Z481" s="375">
        <f>IF(AND(G481&lt;&gt;"",R481&lt;&gt;"",V481&lt;&gt;"",W481&lt;&gt;""),"COMPLETADO","OBSERVADO")</f>
        <v/>
      </c>
    </row>
    <row r="482" ht="15" customHeight="1" s="195">
      <c r="A482" s="280" t="n"/>
      <c r="B482" s="280" t="n"/>
      <c r="C482" s="280" t="n"/>
      <c r="D482" s="280" t="n"/>
      <c r="E482" s="280" t="n"/>
      <c r="F482" s="280" t="n"/>
      <c r="G482" s="280" t="n"/>
      <c r="H482" s="280" t="n"/>
      <c r="I482" s="332">
        <f>IFERROR(VLOOKUP(TEXT(H482,"0"),IPRESS!$A$3:$B$212,2,0),"")</f>
        <v/>
      </c>
      <c r="J482" s="280" t="n"/>
      <c r="K482" s="332">
        <f>IFERROR(VLOOKUP(TEXT(O482,"0"),CONDUCTORES!$A$3:$G$54,7,0),"")</f>
        <v/>
      </c>
      <c r="L482" s="280" t="n"/>
      <c r="M482" s="280" t="n"/>
      <c r="N482" s="333">
        <f>IFERROR(IF(L482*M482=0,"",L482*M482),"")</f>
        <v/>
      </c>
      <c r="O482" s="280" t="n"/>
      <c r="P482" s="332">
        <f>IFERROR(VLOOKUP(TEXT(O482,"0"),CONDUCTORES!$A$3:$G$54,2,0),"")</f>
        <v/>
      </c>
      <c r="Q482" s="332">
        <f>IFERROR(VLOOKUP(TEXT(O482,"0"),CONDUCTORES!$A$3:$H$54,6,0),"")</f>
        <v/>
      </c>
      <c r="R482" s="280" t="n"/>
      <c r="S482" s="280" t="n"/>
      <c r="T482" s="280" t="n"/>
      <c r="U482" s="280" t="n"/>
      <c r="V482" s="280" t="n"/>
      <c r="W482" s="280" t="n"/>
      <c r="X482" s="280" t="n"/>
      <c r="Y482" s="280" t="n"/>
      <c r="Z482" s="375">
        <f>IF(AND(G482&lt;&gt;"",R482&lt;&gt;"",V482&lt;&gt;"",W482&lt;&gt;""),"COMPLETADO","OBSERVADO")</f>
        <v/>
      </c>
    </row>
    <row r="483" ht="15" customHeight="1" s="195">
      <c r="A483" s="334" t="n"/>
      <c r="B483" s="334" t="n"/>
      <c r="C483" s="334" t="n"/>
      <c r="D483" s="334" t="n"/>
      <c r="E483" s="334" t="n"/>
      <c r="F483" s="334" t="n"/>
      <c r="G483" s="334" t="n"/>
      <c r="H483" s="334" t="n"/>
      <c r="I483" s="332">
        <f>IFERROR(VLOOKUP(TEXT(H483,"0"),IPRESS!$A$3:$B$212,2,0),"")</f>
        <v/>
      </c>
      <c r="J483" s="334" t="n"/>
      <c r="K483" s="332">
        <f>IFERROR(VLOOKUP(TEXT(O483,"0"),CONDUCTORES!$A$3:$G$54,7,0),"")</f>
        <v/>
      </c>
      <c r="L483" s="334" t="n"/>
      <c r="M483" s="334" t="n"/>
      <c r="N483" s="333">
        <f>IFERROR(IF(L483*M483=0,"",L483*M483),"")</f>
        <v/>
      </c>
      <c r="O483" s="334" t="n"/>
      <c r="P483" s="332">
        <f>IFERROR(VLOOKUP(TEXT(O483,"0"),CONDUCTORES!$A$3:$G$54,2,0),"")</f>
        <v/>
      </c>
      <c r="Q483" s="332">
        <f>IFERROR(VLOOKUP(TEXT(O483,"0"),CONDUCTORES!$A$3:$H$54,6,0),"")</f>
        <v/>
      </c>
      <c r="R483" s="334" t="n"/>
      <c r="S483" s="334" t="n"/>
      <c r="T483" s="334" t="n"/>
      <c r="U483" s="334" t="n"/>
      <c r="V483" s="334" t="n"/>
      <c r="W483" s="334" t="n"/>
      <c r="X483" s="334" t="n"/>
      <c r="Y483" s="334" t="n"/>
      <c r="Z483" s="375">
        <f>IF(AND(G483&lt;&gt;"",R483&lt;&gt;"",V483&lt;&gt;"",W483&lt;&gt;""),"COMPLETADO","OBSERVADO")</f>
        <v/>
      </c>
    </row>
    <row r="484" ht="15" customHeight="1" s="195">
      <c r="A484" s="280" t="n"/>
      <c r="B484" s="280" t="n"/>
      <c r="C484" s="280" t="n"/>
      <c r="D484" s="280" t="n"/>
      <c r="E484" s="280" t="n"/>
      <c r="F484" s="280" t="n"/>
      <c r="G484" s="280" t="n"/>
      <c r="H484" s="280" t="n"/>
      <c r="I484" s="332">
        <f>IFERROR(VLOOKUP(TEXT(H484,"0"),IPRESS!$A$3:$B$212,2,0),"")</f>
        <v/>
      </c>
      <c r="J484" s="280" t="n"/>
      <c r="K484" s="332">
        <f>IFERROR(VLOOKUP(TEXT(O484,"0"),CONDUCTORES!$A$3:$G$54,7,0),"")</f>
        <v/>
      </c>
      <c r="L484" s="280" t="n"/>
      <c r="M484" s="280" t="n"/>
      <c r="N484" s="333">
        <f>IFERROR(IF(L484*M484=0,"",L484*M484),"")</f>
        <v/>
      </c>
      <c r="O484" s="280" t="n"/>
      <c r="P484" s="332">
        <f>IFERROR(VLOOKUP(TEXT(O484,"0"),CONDUCTORES!$A$3:$G$54,2,0),"")</f>
        <v/>
      </c>
      <c r="Q484" s="332">
        <f>IFERROR(VLOOKUP(TEXT(O484,"0"),CONDUCTORES!$A$3:$H$54,6,0),"")</f>
        <v/>
      </c>
      <c r="R484" s="280" t="n"/>
      <c r="S484" s="280" t="n"/>
      <c r="T484" s="280" t="n"/>
      <c r="U484" s="280" t="n"/>
      <c r="V484" s="280" t="n"/>
      <c r="W484" s="280" t="n"/>
      <c r="X484" s="280" t="n"/>
      <c r="Y484" s="280" t="n"/>
      <c r="Z484" s="375">
        <f>IF(AND(G484&lt;&gt;"",R484&lt;&gt;"",V484&lt;&gt;"",W484&lt;&gt;""),"COMPLETADO","OBSERVADO")</f>
        <v/>
      </c>
    </row>
    <row r="485" ht="15" customHeight="1" s="195">
      <c r="A485" s="334" t="n"/>
      <c r="B485" s="334" t="n"/>
      <c r="C485" s="334" t="n"/>
      <c r="D485" s="334" t="n"/>
      <c r="E485" s="334" t="n"/>
      <c r="F485" s="334" t="n"/>
      <c r="G485" s="334" t="n"/>
      <c r="H485" s="334" t="n"/>
      <c r="I485" s="332">
        <f>IFERROR(VLOOKUP(TEXT(H485,"0"),IPRESS!$A$3:$B$212,2,0),"")</f>
        <v/>
      </c>
      <c r="J485" s="334" t="n"/>
      <c r="K485" s="332">
        <f>IFERROR(VLOOKUP(TEXT(O485,"0"),CONDUCTORES!$A$3:$G$54,7,0),"")</f>
        <v/>
      </c>
      <c r="L485" s="334" t="n"/>
      <c r="M485" s="334" t="n"/>
      <c r="N485" s="333">
        <f>IFERROR(IF(L485*M485=0,"",L485*M485),"")</f>
        <v/>
      </c>
      <c r="O485" s="334" t="n"/>
      <c r="P485" s="332">
        <f>IFERROR(VLOOKUP(TEXT(O485,"0"),CONDUCTORES!$A$3:$G$54,2,0),"")</f>
        <v/>
      </c>
      <c r="Q485" s="332">
        <f>IFERROR(VLOOKUP(TEXT(O485,"0"),CONDUCTORES!$A$3:$H$54,6,0),"")</f>
        <v/>
      </c>
      <c r="R485" s="334" t="n"/>
      <c r="S485" s="334" t="n"/>
      <c r="T485" s="334" t="n"/>
      <c r="U485" s="334" t="n"/>
      <c r="V485" s="334" t="n"/>
      <c r="W485" s="334" t="n"/>
      <c r="X485" s="334" t="n"/>
      <c r="Y485" s="334" t="n"/>
      <c r="Z485" s="375">
        <f>IF(AND(G485&lt;&gt;"",R485&lt;&gt;"",V485&lt;&gt;"",W485&lt;&gt;""),"COMPLETADO","OBSERVADO")</f>
        <v/>
      </c>
    </row>
    <row r="486" ht="15" customHeight="1" s="195">
      <c r="A486" s="280" t="n"/>
      <c r="B486" s="280" t="n"/>
      <c r="C486" s="280" t="n"/>
      <c r="D486" s="280" t="n"/>
      <c r="E486" s="280" t="n"/>
      <c r="F486" s="280" t="n"/>
      <c r="G486" s="280" t="n"/>
      <c r="H486" s="280" t="n"/>
      <c r="I486" s="332">
        <f>IFERROR(VLOOKUP(TEXT(H486,"0"),IPRESS!$A$3:$B$212,2,0),"")</f>
        <v/>
      </c>
      <c r="J486" s="280" t="n"/>
      <c r="K486" s="332">
        <f>IFERROR(VLOOKUP(TEXT(O486,"0"),CONDUCTORES!$A$3:$G$54,7,0),"")</f>
        <v/>
      </c>
      <c r="L486" s="280" t="n"/>
      <c r="M486" s="280" t="n"/>
      <c r="N486" s="333">
        <f>IFERROR(IF(L486*M486=0,"",L486*M486),"")</f>
        <v/>
      </c>
      <c r="O486" s="280" t="n"/>
      <c r="P486" s="332">
        <f>IFERROR(VLOOKUP(TEXT(O486,"0"),CONDUCTORES!$A$3:$G$54,2,0),"")</f>
        <v/>
      </c>
      <c r="Q486" s="332">
        <f>IFERROR(VLOOKUP(TEXT(O486,"0"),CONDUCTORES!$A$3:$H$54,6,0),"")</f>
        <v/>
      </c>
      <c r="R486" s="280" t="n"/>
      <c r="S486" s="280" t="n"/>
      <c r="T486" s="280" t="n"/>
      <c r="U486" s="280" t="n"/>
      <c r="V486" s="280" t="n"/>
      <c r="W486" s="280" t="n"/>
      <c r="X486" s="280" t="n"/>
      <c r="Y486" s="280" t="n"/>
      <c r="Z486" s="375">
        <f>IF(AND(G486&lt;&gt;"",R486&lt;&gt;"",V486&lt;&gt;"",W486&lt;&gt;""),"COMPLETADO","OBSERVADO")</f>
        <v/>
      </c>
    </row>
    <row r="487" ht="15" customHeight="1" s="195">
      <c r="A487" s="334" t="n"/>
      <c r="B487" s="334" t="n"/>
      <c r="C487" s="334" t="n"/>
      <c r="D487" s="334" t="n"/>
      <c r="E487" s="334" t="n"/>
      <c r="F487" s="334" t="n"/>
      <c r="G487" s="334" t="n"/>
      <c r="H487" s="334" t="n"/>
      <c r="I487" s="332">
        <f>IFERROR(VLOOKUP(TEXT(H487,"0"),IPRESS!$A$3:$B$212,2,0),"")</f>
        <v/>
      </c>
      <c r="J487" s="334" t="n"/>
      <c r="K487" s="332">
        <f>IFERROR(VLOOKUP(TEXT(O487,"0"),CONDUCTORES!$A$3:$G$54,7,0),"")</f>
        <v/>
      </c>
      <c r="L487" s="334" t="n"/>
      <c r="M487" s="334" t="n"/>
      <c r="N487" s="333">
        <f>IFERROR(IF(L487*M487=0,"",L487*M487),"")</f>
        <v/>
      </c>
      <c r="O487" s="334" t="n"/>
      <c r="P487" s="332">
        <f>IFERROR(VLOOKUP(TEXT(O487,"0"),CONDUCTORES!$A$3:$G$54,2,0),"")</f>
        <v/>
      </c>
      <c r="Q487" s="332">
        <f>IFERROR(VLOOKUP(TEXT(O487,"0"),CONDUCTORES!$A$3:$H$54,6,0),"")</f>
        <v/>
      </c>
      <c r="R487" s="334" t="n"/>
      <c r="S487" s="334" t="n"/>
      <c r="T487" s="334" t="n"/>
      <c r="U487" s="334" t="n"/>
      <c r="V487" s="334" t="n"/>
      <c r="W487" s="334" t="n"/>
      <c r="X487" s="334" t="n"/>
      <c r="Y487" s="334" t="n"/>
      <c r="Z487" s="375">
        <f>IF(AND(G487&lt;&gt;"",R487&lt;&gt;"",V487&lt;&gt;"",W487&lt;&gt;""),"COMPLETADO","OBSERVADO")</f>
        <v/>
      </c>
    </row>
    <row r="488" ht="15" customHeight="1" s="195">
      <c r="A488" s="280" t="n"/>
      <c r="B488" s="280" t="n"/>
      <c r="C488" s="280" t="n"/>
      <c r="D488" s="280" t="n"/>
      <c r="E488" s="280" t="n"/>
      <c r="F488" s="280" t="n"/>
      <c r="G488" s="280" t="n"/>
      <c r="H488" s="280" t="n"/>
      <c r="I488" s="332">
        <f>IFERROR(VLOOKUP(TEXT(H488,"0"),IPRESS!$A$3:$B$212,2,0),"")</f>
        <v/>
      </c>
      <c r="J488" s="280" t="n"/>
      <c r="K488" s="332">
        <f>IFERROR(VLOOKUP(TEXT(O488,"0"),CONDUCTORES!$A$3:$G$54,7,0),"")</f>
        <v/>
      </c>
      <c r="L488" s="280" t="n"/>
      <c r="M488" s="280" t="n"/>
      <c r="N488" s="333">
        <f>IFERROR(IF(L488*M488=0,"",L488*M488),"")</f>
        <v/>
      </c>
      <c r="O488" s="280" t="n"/>
      <c r="P488" s="332">
        <f>IFERROR(VLOOKUP(TEXT(O488,"0"),CONDUCTORES!$A$3:$G$54,2,0),"")</f>
        <v/>
      </c>
      <c r="Q488" s="332">
        <f>IFERROR(VLOOKUP(TEXT(O488,"0"),CONDUCTORES!$A$3:$H$54,6,0),"")</f>
        <v/>
      </c>
      <c r="R488" s="280" t="n"/>
      <c r="S488" s="280" t="n"/>
      <c r="T488" s="280" t="n"/>
      <c r="U488" s="280" t="n"/>
      <c r="V488" s="280" t="n"/>
      <c r="W488" s="280" t="n"/>
      <c r="X488" s="280" t="n"/>
      <c r="Y488" s="280" t="n"/>
      <c r="Z488" s="375">
        <f>IF(AND(G488&lt;&gt;"",R488&lt;&gt;"",V488&lt;&gt;"",W488&lt;&gt;""),"COMPLETADO","OBSERVADO")</f>
        <v/>
      </c>
    </row>
    <row r="489" ht="15" customHeight="1" s="195">
      <c r="A489" s="334" t="n"/>
      <c r="B489" s="334" t="n"/>
      <c r="C489" s="334" t="n"/>
      <c r="D489" s="334" t="n"/>
      <c r="E489" s="334" t="n"/>
      <c r="F489" s="334" t="n"/>
      <c r="G489" s="334" t="n"/>
      <c r="H489" s="334" t="n"/>
      <c r="I489" s="332">
        <f>IFERROR(VLOOKUP(TEXT(H489,"0"),IPRESS!$A$3:$B$212,2,0),"")</f>
        <v/>
      </c>
      <c r="J489" s="334" t="n"/>
      <c r="K489" s="332">
        <f>IFERROR(VLOOKUP(TEXT(O489,"0"),CONDUCTORES!$A$3:$G$54,7,0),"")</f>
        <v/>
      </c>
      <c r="L489" s="334" t="n"/>
      <c r="M489" s="334" t="n"/>
      <c r="N489" s="333">
        <f>IFERROR(IF(L489*M489=0,"",L489*M489),"")</f>
        <v/>
      </c>
      <c r="O489" s="334" t="n"/>
      <c r="P489" s="332">
        <f>IFERROR(VLOOKUP(TEXT(O489,"0"),CONDUCTORES!$A$3:$G$54,2,0),"")</f>
        <v/>
      </c>
      <c r="Q489" s="332">
        <f>IFERROR(VLOOKUP(TEXT(O489,"0"),CONDUCTORES!$A$3:$H$54,6,0),"")</f>
        <v/>
      </c>
      <c r="R489" s="334" t="n"/>
      <c r="S489" s="334" t="n"/>
      <c r="T489" s="334" t="n"/>
      <c r="U489" s="334" t="n"/>
      <c r="V489" s="334" t="n"/>
      <c r="W489" s="334" t="n"/>
      <c r="X489" s="334" t="n"/>
      <c r="Y489" s="334" t="n"/>
      <c r="Z489" s="375">
        <f>IF(AND(G489&lt;&gt;"",R489&lt;&gt;"",V489&lt;&gt;"",W489&lt;&gt;""),"COMPLETADO","OBSERVADO")</f>
        <v/>
      </c>
    </row>
    <row r="490" ht="15" customHeight="1" s="195">
      <c r="A490" s="280" t="n"/>
      <c r="B490" s="280" t="n"/>
      <c r="C490" s="280" t="n"/>
      <c r="D490" s="280" t="n"/>
      <c r="E490" s="280" t="n"/>
      <c r="F490" s="280" t="n"/>
      <c r="G490" s="280" t="n"/>
      <c r="H490" s="280" t="n"/>
      <c r="I490" s="332">
        <f>IFERROR(VLOOKUP(TEXT(H490,"0"),IPRESS!$A$3:$B$212,2,0),"")</f>
        <v/>
      </c>
      <c r="J490" s="280" t="n"/>
      <c r="K490" s="332">
        <f>IFERROR(VLOOKUP(TEXT(O490,"0"),CONDUCTORES!$A$3:$G$54,7,0),"")</f>
        <v/>
      </c>
      <c r="L490" s="280" t="n"/>
      <c r="M490" s="280" t="n"/>
      <c r="N490" s="333">
        <f>IFERROR(IF(L490*M490=0,"",L490*M490),"")</f>
        <v/>
      </c>
      <c r="O490" s="280" t="n"/>
      <c r="P490" s="332">
        <f>IFERROR(VLOOKUP(TEXT(O490,"0"),CONDUCTORES!$A$3:$G$54,2,0),"")</f>
        <v/>
      </c>
      <c r="Q490" s="332">
        <f>IFERROR(VLOOKUP(TEXT(O490,"0"),CONDUCTORES!$A$3:$H$54,6,0),"")</f>
        <v/>
      </c>
      <c r="R490" s="280" t="n"/>
      <c r="S490" s="280" t="n"/>
      <c r="T490" s="280" t="n"/>
      <c r="U490" s="280" t="n"/>
      <c r="V490" s="280" t="n"/>
      <c r="W490" s="280" t="n"/>
      <c r="X490" s="280" t="n"/>
      <c r="Y490" s="280" t="n"/>
      <c r="Z490" s="375">
        <f>IF(AND(G490&lt;&gt;"",R490&lt;&gt;"",V490&lt;&gt;"",W490&lt;&gt;""),"COMPLETADO","OBSERVADO")</f>
        <v/>
      </c>
    </row>
    <row r="491" ht="15" customHeight="1" s="195">
      <c r="A491" s="334" t="n"/>
      <c r="B491" s="334" t="n"/>
      <c r="C491" s="334" t="n"/>
      <c r="D491" s="334" t="n"/>
      <c r="E491" s="334" t="n"/>
      <c r="F491" s="334" t="n"/>
      <c r="G491" s="334" t="n"/>
      <c r="H491" s="334" t="n"/>
      <c r="I491" s="332">
        <f>IFERROR(VLOOKUP(TEXT(H491,"0"),IPRESS!$A$3:$B$212,2,0),"")</f>
        <v/>
      </c>
      <c r="J491" s="334" t="n"/>
      <c r="K491" s="332">
        <f>IFERROR(VLOOKUP(TEXT(O491,"0"),CONDUCTORES!$A$3:$G$54,7,0),"")</f>
        <v/>
      </c>
      <c r="L491" s="334" t="n"/>
      <c r="M491" s="334" t="n"/>
      <c r="N491" s="333">
        <f>IFERROR(IF(L491*M491=0,"",L491*M491),"")</f>
        <v/>
      </c>
      <c r="O491" s="334" t="n"/>
      <c r="P491" s="332">
        <f>IFERROR(VLOOKUP(TEXT(O491,"0"),CONDUCTORES!$A$3:$G$54,2,0),"")</f>
        <v/>
      </c>
      <c r="Q491" s="332">
        <f>IFERROR(VLOOKUP(TEXT(O491,"0"),CONDUCTORES!$A$3:$H$54,6,0),"")</f>
        <v/>
      </c>
      <c r="R491" s="334" t="n"/>
      <c r="S491" s="334" t="n"/>
      <c r="T491" s="334" t="n"/>
      <c r="U491" s="334" t="n"/>
      <c r="V491" s="334" t="n"/>
      <c r="W491" s="334" t="n"/>
      <c r="X491" s="334" t="n"/>
      <c r="Y491" s="334" t="n"/>
      <c r="Z491" s="375">
        <f>IF(AND(G491&lt;&gt;"",R491&lt;&gt;"",V491&lt;&gt;"",W491&lt;&gt;""),"COMPLETADO","OBSERVADO")</f>
        <v/>
      </c>
    </row>
    <row r="492" ht="15" customHeight="1" s="195">
      <c r="A492" s="280" t="n"/>
      <c r="B492" s="280" t="n"/>
      <c r="C492" s="280" t="n"/>
      <c r="D492" s="280" t="n"/>
      <c r="E492" s="280" t="n"/>
      <c r="F492" s="280" t="n"/>
      <c r="G492" s="280" t="n"/>
      <c r="H492" s="280" t="n"/>
      <c r="I492" s="332">
        <f>IFERROR(VLOOKUP(TEXT(H492,"0"),IPRESS!$A$3:$B$212,2,0),"")</f>
        <v/>
      </c>
      <c r="J492" s="280" t="n"/>
      <c r="K492" s="332">
        <f>IFERROR(VLOOKUP(TEXT(O492,"0"),CONDUCTORES!$A$3:$G$54,7,0),"")</f>
        <v/>
      </c>
      <c r="L492" s="280" t="n"/>
      <c r="M492" s="280" t="n"/>
      <c r="N492" s="333">
        <f>IFERROR(IF(L492*M492=0,"",L492*M492),"")</f>
        <v/>
      </c>
      <c r="O492" s="280" t="n"/>
      <c r="P492" s="332">
        <f>IFERROR(VLOOKUP(TEXT(O492,"0"),CONDUCTORES!$A$3:$G$54,2,0),"")</f>
        <v/>
      </c>
      <c r="Q492" s="332">
        <f>IFERROR(VLOOKUP(TEXT(O492,"0"),CONDUCTORES!$A$3:$H$54,6,0),"")</f>
        <v/>
      </c>
      <c r="R492" s="280" t="n"/>
      <c r="S492" s="280" t="n"/>
      <c r="T492" s="280" t="n"/>
      <c r="U492" s="280" t="n"/>
      <c r="V492" s="280" t="n"/>
      <c r="W492" s="280" t="n"/>
      <c r="X492" s="280" t="n"/>
      <c r="Y492" s="280" t="n"/>
      <c r="Z492" s="375">
        <f>IF(AND(G492&lt;&gt;"",R492&lt;&gt;"",V492&lt;&gt;"",W492&lt;&gt;""),"COMPLETADO","OBSERVADO")</f>
        <v/>
      </c>
    </row>
    <row r="493" ht="15" customHeight="1" s="195">
      <c r="A493" s="334" t="n"/>
      <c r="B493" s="334" t="n"/>
      <c r="C493" s="334" t="n"/>
      <c r="D493" s="334" t="n"/>
      <c r="E493" s="334" t="n"/>
      <c r="F493" s="334" t="n"/>
      <c r="G493" s="334" t="n"/>
      <c r="H493" s="334" t="n"/>
      <c r="I493" s="332">
        <f>IFERROR(VLOOKUP(TEXT(H493,"0"),IPRESS!$A$3:$B$212,2,0),"")</f>
        <v/>
      </c>
      <c r="J493" s="334" t="n"/>
      <c r="K493" s="332">
        <f>IFERROR(VLOOKUP(TEXT(O493,"0"),CONDUCTORES!$A$3:$G$54,7,0),"")</f>
        <v/>
      </c>
      <c r="L493" s="334" t="n"/>
      <c r="M493" s="334" t="n"/>
      <c r="N493" s="333">
        <f>IFERROR(IF(L493*M493=0,"",L493*M493),"")</f>
        <v/>
      </c>
      <c r="O493" s="334" t="n"/>
      <c r="P493" s="332">
        <f>IFERROR(VLOOKUP(TEXT(O493,"0"),CONDUCTORES!$A$3:$G$54,2,0),"")</f>
        <v/>
      </c>
      <c r="Q493" s="332">
        <f>IFERROR(VLOOKUP(TEXT(O493,"0"),CONDUCTORES!$A$3:$H$54,6,0),"")</f>
        <v/>
      </c>
      <c r="R493" s="334" t="n"/>
      <c r="S493" s="334" t="n"/>
      <c r="T493" s="334" t="n"/>
      <c r="U493" s="334" t="n"/>
      <c r="V493" s="334" t="n"/>
      <c r="W493" s="334" t="n"/>
      <c r="X493" s="334" t="n"/>
      <c r="Y493" s="334" t="n"/>
      <c r="Z493" s="375">
        <f>IF(AND(G493&lt;&gt;"",R493&lt;&gt;"",V493&lt;&gt;"",W493&lt;&gt;""),"COMPLETADO","OBSERVADO")</f>
        <v/>
      </c>
    </row>
    <row r="494" ht="15" customHeight="1" s="195">
      <c r="A494" s="280" t="n"/>
      <c r="B494" s="280" t="n"/>
      <c r="C494" s="280" t="n"/>
      <c r="D494" s="280" t="n"/>
      <c r="E494" s="280" t="n"/>
      <c r="F494" s="280" t="n"/>
      <c r="G494" s="280" t="n"/>
      <c r="H494" s="280" t="n"/>
      <c r="I494" s="332">
        <f>IFERROR(VLOOKUP(TEXT(H494,"0"),IPRESS!$A$3:$B$212,2,0),"")</f>
        <v/>
      </c>
      <c r="J494" s="280" t="n"/>
      <c r="K494" s="332">
        <f>IFERROR(VLOOKUP(TEXT(O494,"0"),CONDUCTORES!$A$3:$G$54,7,0),"")</f>
        <v/>
      </c>
      <c r="L494" s="280" t="n"/>
      <c r="M494" s="280" t="n"/>
      <c r="N494" s="333">
        <f>IFERROR(IF(L494*M494=0,"",L494*M494),"")</f>
        <v/>
      </c>
      <c r="O494" s="280" t="n"/>
      <c r="P494" s="332">
        <f>IFERROR(VLOOKUP(TEXT(O494,"0"),CONDUCTORES!$A$3:$G$54,2,0),"")</f>
        <v/>
      </c>
      <c r="Q494" s="332">
        <f>IFERROR(VLOOKUP(TEXT(O494,"0"),CONDUCTORES!$A$3:$H$54,6,0),"")</f>
        <v/>
      </c>
      <c r="R494" s="280" t="n"/>
      <c r="S494" s="280" t="n"/>
      <c r="T494" s="280" t="n"/>
      <c r="U494" s="280" t="n"/>
      <c r="V494" s="280" t="n"/>
      <c r="W494" s="280" t="n"/>
      <c r="X494" s="280" t="n"/>
      <c r="Y494" s="280" t="n"/>
      <c r="Z494" s="375">
        <f>IF(AND(G494&lt;&gt;"",R494&lt;&gt;"",V494&lt;&gt;"",W494&lt;&gt;""),"COMPLETADO","OBSERVADO")</f>
        <v/>
      </c>
    </row>
    <row r="495" ht="15" customHeight="1" s="195">
      <c r="A495" s="334" t="n"/>
      <c r="B495" s="334" t="n"/>
      <c r="C495" s="334" t="n"/>
      <c r="D495" s="334" t="n"/>
      <c r="E495" s="334" t="n"/>
      <c r="F495" s="334" t="n"/>
      <c r="G495" s="334" t="n"/>
      <c r="H495" s="334" t="n"/>
      <c r="I495" s="332">
        <f>IFERROR(VLOOKUP(TEXT(H495,"0"),IPRESS!$A$3:$B$212,2,0),"")</f>
        <v/>
      </c>
      <c r="J495" s="334" t="n"/>
      <c r="K495" s="332">
        <f>IFERROR(VLOOKUP(TEXT(O495,"0"),CONDUCTORES!$A$3:$G$54,7,0),"")</f>
        <v/>
      </c>
      <c r="L495" s="334" t="n"/>
      <c r="M495" s="334" t="n"/>
      <c r="N495" s="333">
        <f>IFERROR(IF(L495*M495=0,"",L495*M495),"")</f>
        <v/>
      </c>
      <c r="O495" s="334" t="n"/>
      <c r="P495" s="332">
        <f>IFERROR(VLOOKUP(TEXT(O495,"0"),CONDUCTORES!$A$3:$G$54,2,0),"")</f>
        <v/>
      </c>
      <c r="Q495" s="332">
        <f>IFERROR(VLOOKUP(TEXT(O495,"0"),CONDUCTORES!$A$3:$H$54,6,0),"")</f>
        <v/>
      </c>
      <c r="R495" s="334" t="n"/>
      <c r="S495" s="334" t="n"/>
      <c r="T495" s="334" t="n"/>
      <c r="U495" s="334" t="n"/>
      <c r="V495" s="334" t="n"/>
      <c r="W495" s="334" t="n"/>
      <c r="X495" s="334" t="n"/>
      <c r="Y495" s="334" t="n"/>
      <c r="Z495" s="375">
        <f>IF(AND(G495&lt;&gt;"",R495&lt;&gt;"",V495&lt;&gt;"",W495&lt;&gt;""),"COMPLETADO","OBSERVADO")</f>
        <v/>
      </c>
    </row>
    <row r="496" ht="15" customHeight="1" s="195">
      <c r="A496" s="280" t="n"/>
      <c r="B496" s="280" t="n"/>
      <c r="C496" s="280" t="n"/>
      <c r="D496" s="280" t="n"/>
      <c r="E496" s="280" t="n"/>
      <c r="F496" s="280" t="n"/>
      <c r="G496" s="280" t="n"/>
      <c r="H496" s="280" t="n"/>
      <c r="I496" s="332">
        <f>IFERROR(VLOOKUP(TEXT(H496,"0"),IPRESS!$A$3:$B$212,2,0),"")</f>
        <v/>
      </c>
      <c r="J496" s="280" t="n"/>
      <c r="K496" s="332">
        <f>IFERROR(VLOOKUP(TEXT(O496,"0"),CONDUCTORES!$A$3:$G$54,7,0),"")</f>
        <v/>
      </c>
      <c r="L496" s="280" t="n"/>
      <c r="M496" s="280" t="n"/>
      <c r="N496" s="333">
        <f>IFERROR(IF(L496*M496=0,"",L496*M496),"")</f>
        <v/>
      </c>
      <c r="O496" s="280" t="n"/>
      <c r="P496" s="332">
        <f>IFERROR(VLOOKUP(TEXT(O496,"0"),CONDUCTORES!$A$3:$G$54,2,0),"")</f>
        <v/>
      </c>
      <c r="Q496" s="332">
        <f>IFERROR(VLOOKUP(TEXT(O496,"0"),CONDUCTORES!$A$3:$H$54,6,0),"")</f>
        <v/>
      </c>
      <c r="R496" s="280" t="n"/>
      <c r="S496" s="280" t="n"/>
      <c r="T496" s="280" t="n"/>
      <c r="U496" s="280" t="n"/>
      <c r="V496" s="280" t="n"/>
      <c r="W496" s="280" t="n"/>
      <c r="X496" s="280" t="n"/>
      <c r="Y496" s="280" t="n"/>
      <c r="Z496" s="375">
        <f>IF(AND(G496&lt;&gt;"",R496&lt;&gt;"",V496&lt;&gt;"",W496&lt;&gt;""),"COMPLETADO","OBSERVADO")</f>
        <v/>
      </c>
    </row>
    <row r="497" ht="15" customHeight="1" s="195">
      <c r="A497" s="334" t="n"/>
      <c r="B497" s="334" t="n"/>
      <c r="C497" s="334" t="n"/>
      <c r="D497" s="334" t="n"/>
      <c r="E497" s="334" t="n"/>
      <c r="F497" s="334" t="n"/>
      <c r="G497" s="334" t="n"/>
      <c r="H497" s="334" t="n"/>
      <c r="I497" s="332">
        <f>IFERROR(VLOOKUP(TEXT(H497,"0"),IPRESS!$A$3:$B$212,2,0),"")</f>
        <v/>
      </c>
      <c r="J497" s="334" t="n"/>
      <c r="K497" s="332">
        <f>IFERROR(VLOOKUP(TEXT(O497,"0"),CONDUCTORES!$A$3:$G$54,7,0),"")</f>
        <v/>
      </c>
      <c r="L497" s="334" t="n"/>
      <c r="M497" s="334" t="n"/>
      <c r="N497" s="333">
        <f>IFERROR(IF(L497*M497=0,"",L497*M497),"")</f>
        <v/>
      </c>
      <c r="O497" s="334" t="n"/>
      <c r="P497" s="332">
        <f>IFERROR(VLOOKUP(TEXT(O497,"0"),CONDUCTORES!$A$3:$G$54,2,0),"")</f>
        <v/>
      </c>
      <c r="Q497" s="332">
        <f>IFERROR(VLOOKUP(TEXT(O497,"0"),CONDUCTORES!$A$3:$H$54,6,0),"")</f>
        <v/>
      </c>
      <c r="R497" s="334" t="n"/>
      <c r="S497" s="334" t="n"/>
      <c r="T497" s="334" t="n"/>
      <c r="U497" s="334" t="n"/>
      <c r="V497" s="334" t="n"/>
      <c r="W497" s="334" t="n"/>
      <c r="X497" s="334" t="n"/>
      <c r="Y497" s="334" t="n"/>
      <c r="Z497" s="375">
        <f>IF(AND(G497&lt;&gt;"",R497&lt;&gt;"",V497&lt;&gt;"",W497&lt;&gt;""),"COMPLETADO","OBSERVADO")</f>
        <v/>
      </c>
    </row>
    <row r="498" ht="15" customHeight="1" s="195">
      <c r="A498" s="280" t="n"/>
      <c r="B498" s="280" t="n"/>
      <c r="C498" s="280" t="n"/>
      <c r="D498" s="280" t="n"/>
      <c r="E498" s="280" t="n"/>
      <c r="F498" s="280" t="n"/>
      <c r="G498" s="280" t="n"/>
      <c r="H498" s="280" t="n"/>
      <c r="I498" s="332">
        <f>IFERROR(VLOOKUP(TEXT(H498,"0"),IPRESS!$A$3:$B$212,2,0),"")</f>
        <v/>
      </c>
      <c r="J498" s="280" t="n"/>
      <c r="K498" s="332">
        <f>IFERROR(VLOOKUP(TEXT(O498,"0"),CONDUCTORES!$A$3:$G$54,7,0),"")</f>
        <v/>
      </c>
      <c r="L498" s="280" t="n"/>
      <c r="M498" s="280" t="n"/>
      <c r="N498" s="333">
        <f>IFERROR(IF(L498*M498=0,"",L498*M498),"")</f>
        <v/>
      </c>
      <c r="O498" s="280" t="n"/>
      <c r="P498" s="332">
        <f>IFERROR(VLOOKUP(TEXT(O498,"0"),CONDUCTORES!$A$3:$G$54,2,0),"")</f>
        <v/>
      </c>
      <c r="Q498" s="332">
        <f>IFERROR(VLOOKUP(TEXT(O498,"0"),CONDUCTORES!$A$3:$H$54,6,0),"")</f>
        <v/>
      </c>
      <c r="R498" s="280" t="n"/>
      <c r="S498" s="280" t="n"/>
      <c r="T498" s="280" t="n"/>
      <c r="U498" s="280" t="n"/>
      <c r="V498" s="280" t="n"/>
      <c r="W498" s="280" t="n"/>
      <c r="X498" s="280" t="n"/>
      <c r="Y498" s="280" t="n"/>
      <c r="Z498" s="375">
        <f>IF(AND(G498&lt;&gt;"",R498&lt;&gt;"",V498&lt;&gt;"",W498&lt;&gt;""),"COMPLETADO","OBSERVADO")</f>
        <v/>
      </c>
    </row>
    <row r="499" ht="15" customHeight="1" s="195">
      <c r="A499" s="334" t="n"/>
      <c r="B499" s="334" t="n"/>
      <c r="C499" s="334" t="n"/>
      <c r="D499" s="334" t="n"/>
      <c r="E499" s="334" t="n"/>
      <c r="F499" s="334" t="n"/>
      <c r="G499" s="334" t="n"/>
      <c r="H499" s="334" t="n"/>
      <c r="I499" s="332">
        <f>IFERROR(VLOOKUP(TEXT(H499,"0"),IPRESS!$A$3:$B$212,2,0),"")</f>
        <v/>
      </c>
      <c r="J499" s="334" t="n"/>
      <c r="K499" s="332">
        <f>IFERROR(VLOOKUP(TEXT(O499,"0"),CONDUCTORES!$A$3:$G$54,7,0),"")</f>
        <v/>
      </c>
      <c r="L499" s="334" t="n"/>
      <c r="M499" s="334" t="n"/>
      <c r="N499" s="333">
        <f>IFERROR(IF(L499*M499=0,"",L499*M499),"")</f>
        <v/>
      </c>
      <c r="O499" s="334" t="n"/>
      <c r="P499" s="332">
        <f>IFERROR(VLOOKUP(TEXT(O499,"0"),CONDUCTORES!$A$3:$G$54,2,0),"")</f>
        <v/>
      </c>
      <c r="Q499" s="332">
        <f>IFERROR(VLOOKUP(TEXT(O499,"0"),CONDUCTORES!$A$3:$H$54,6,0),"")</f>
        <v/>
      </c>
      <c r="R499" s="334" t="n"/>
      <c r="S499" s="334" t="n"/>
      <c r="T499" s="334" t="n"/>
      <c r="U499" s="334" t="n"/>
      <c r="V499" s="334" t="n"/>
      <c r="W499" s="334" t="n"/>
      <c r="X499" s="334" t="n"/>
      <c r="Y499" s="334" t="n"/>
      <c r="Z499" s="375">
        <f>IF(AND(G499&lt;&gt;"",R499&lt;&gt;"",V499&lt;&gt;"",W499&lt;&gt;""),"COMPLETADO","OBSERVADO")</f>
        <v/>
      </c>
    </row>
    <row r="500" ht="15" customHeight="1" s="195">
      <c r="A500" s="280" t="n"/>
      <c r="B500" s="280" t="n"/>
      <c r="C500" s="280" t="n"/>
      <c r="D500" s="280" t="n"/>
      <c r="E500" s="280" t="n"/>
      <c r="F500" s="280" t="n"/>
      <c r="G500" s="280" t="n"/>
      <c r="H500" s="280" t="n"/>
      <c r="I500" s="332">
        <f>IFERROR(VLOOKUP(TEXT(H500,"0"),IPRESS!$A$3:$B$212,2,0),"")</f>
        <v/>
      </c>
      <c r="J500" s="280" t="n"/>
      <c r="K500" s="332">
        <f>IFERROR(VLOOKUP(TEXT(O500,"0"),CONDUCTORES!$A$3:$G$54,7,0),"")</f>
        <v/>
      </c>
      <c r="L500" s="280" t="n"/>
      <c r="M500" s="280" t="n"/>
      <c r="N500" s="333">
        <f>IFERROR(IF(L500*M500=0,"",L500*M500),"")</f>
        <v/>
      </c>
      <c r="O500" s="280" t="n"/>
      <c r="P500" s="332">
        <f>IFERROR(VLOOKUP(TEXT(O500,"0"),CONDUCTORES!$A$3:$G$54,2,0),"")</f>
        <v/>
      </c>
      <c r="Q500" s="332">
        <f>IFERROR(VLOOKUP(TEXT(O500,"0"),CONDUCTORES!$A$3:$H$54,6,0),"")</f>
        <v/>
      </c>
      <c r="R500" s="280" t="n"/>
      <c r="S500" s="280" t="n"/>
      <c r="T500" s="280" t="n"/>
      <c r="U500" s="280" t="n"/>
      <c r="V500" s="280" t="n"/>
      <c r="W500" s="280" t="n"/>
      <c r="X500" s="280" t="n"/>
      <c r="Y500" s="280" t="n"/>
      <c r="Z500" s="375">
        <f>IF(AND(G500&lt;&gt;"",R500&lt;&gt;"",V500&lt;&gt;"",W500&lt;&gt;""),"COMPLETADO","OBSERVADO")</f>
        <v/>
      </c>
    </row>
    <row r="501" ht="15" customHeight="1" s="195">
      <c r="A501" s="334" t="n"/>
      <c r="B501" s="334" t="n"/>
      <c r="C501" s="334" t="n"/>
      <c r="D501" s="334" t="n"/>
      <c r="E501" s="334" t="n"/>
      <c r="F501" s="334" t="n"/>
      <c r="G501" s="334" t="n"/>
      <c r="H501" s="334" t="n"/>
      <c r="I501" s="332">
        <f>IFERROR(VLOOKUP(TEXT(H501,"0"),IPRESS!$A$3:$B$212,2,0),"")</f>
        <v/>
      </c>
      <c r="J501" s="334" t="n"/>
      <c r="K501" s="332">
        <f>IFERROR(VLOOKUP(TEXT(O501,"0"),CONDUCTORES!$A$3:$G$54,7,0),"")</f>
        <v/>
      </c>
      <c r="L501" s="334" t="n"/>
      <c r="M501" s="334" t="n"/>
      <c r="N501" s="333">
        <f>IFERROR(IF(L501*M501=0,"",L501*M501),"")</f>
        <v/>
      </c>
      <c r="O501" s="334" t="n"/>
      <c r="P501" s="332">
        <f>IFERROR(VLOOKUP(TEXT(O501,"0"),CONDUCTORES!$A$3:$G$54,2,0),"")</f>
        <v/>
      </c>
      <c r="Q501" s="332">
        <f>IFERROR(VLOOKUP(TEXT(O501,"0"),CONDUCTORES!$A$3:$H$54,6,0),"")</f>
        <v/>
      </c>
      <c r="R501" s="334" t="n"/>
      <c r="S501" s="334" t="n"/>
      <c r="T501" s="334" t="n"/>
      <c r="U501" s="334" t="n"/>
      <c r="V501" s="334" t="n"/>
      <c r="W501" s="334" t="n"/>
      <c r="X501" s="334" t="n"/>
      <c r="Y501" s="334" t="n"/>
      <c r="Z501" s="375">
        <f>IF(AND(G501&lt;&gt;"",R501&lt;&gt;"",V501&lt;&gt;"",W501&lt;&gt;""),"COMPLETADO","OBSERVADO")</f>
        <v/>
      </c>
    </row>
    <row r="502" ht="15" customHeight="1" s="195">
      <c r="A502" s="280" t="n"/>
      <c r="B502" s="280" t="n"/>
      <c r="C502" s="280" t="n"/>
      <c r="D502" s="280" t="n"/>
      <c r="E502" s="280" t="n"/>
      <c r="F502" s="280" t="n"/>
      <c r="G502" s="280" t="n"/>
      <c r="H502" s="280" t="n"/>
      <c r="I502" s="332">
        <f>IFERROR(VLOOKUP(TEXT(H502,"0"),IPRESS!$A$3:$B$212,2,0),"")</f>
        <v/>
      </c>
      <c r="J502" s="280" t="n"/>
      <c r="K502" s="332">
        <f>IFERROR(VLOOKUP(TEXT(O502,"0"),CONDUCTORES!$A$3:$G$54,7,0),"")</f>
        <v/>
      </c>
      <c r="L502" s="280" t="n"/>
      <c r="M502" s="280" t="n"/>
      <c r="N502" s="333">
        <f>IFERROR(IF(L502*M502=0,"",L502*M502),"")</f>
        <v/>
      </c>
      <c r="O502" s="280" t="n"/>
      <c r="P502" s="332">
        <f>IFERROR(VLOOKUP(TEXT(O502,"0"),CONDUCTORES!$A$3:$G$54,2,0),"")</f>
        <v/>
      </c>
      <c r="Q502" s="332">
        <f>IFERROR(VLOOKUP(TEXT(O502,"0"),CONDUCTORES!$A$3:$H$54,6,0),"")</f>
        <v/>
      </c>
      <c r="R502" s="280" t="n"/>
      <c r="S502" s="280" t="n"/>
      <c r="T502" s="280" t="n"/>
      <c r="U502" s="280" t="n"/>
      <c r="V502" s="280" t="n"/>
      <c r="W502" s="280" t="n"/>
      <c r="X502" s="280" t="n"/>
      <c r="Y502" s="280" t="n"/>
      <c r="Z502" s="375">
        <f>IF(AND(G502&lt;&gt;"",R502&lt;&gt;"",V502&lt;&gt;"",W502&lt;&gt;""),"COMPLETADO","OBSERVADO")</f>
        <v/>
      </c>
    </row>
    <row r="503" ht="15" customHeight="1" s="195">
      <c r="A503" s="334" t="n"/>
      <c r="B503" s="334" t="n"/>
      <c r="C503" s="334" t="n"/>
      <c r="D503" s="334" t="n"/>
      <c r="E503" s="334" t="n"/>
      <c r="F503" s="334" t="n"/>
      <c r="G503" s="334" t="n"/>
      <c r="H503" s="334" t="n"/>
      <c r="I503" s="332">
        <f>IFERROR(VLOOKUP(TEXT(H503,"0"),IPRESS!$A$3:$B$212,2,0),"")</f>
        <v/>
      </c>
      <c r="J503" s="334" t="n"/>
      <c r="K503" s="332">
        <f>IFERROR(VLOOKUP(TEXT(O503,"0"),CONDUCTORES!$A$3:$G$54,7,0),"")</f>
        <v/>
      </c>
      <c r="L503" s="334" t="n"/>
      <c r="M503" s="334" t="n"/>
      <c r="N503" s="333">
        <f>IFERROR(IF(L503*M503=0,"",L503*M503),"")</f>
        <v/>
      </c>
      <c r="O503" s="334" t="n"/>
      <c r="P503" s="332">
        <f>IFERROR(VLOOKUP(TEXT(O503,"0"),CONDUCTORES!$A$3:$G$54,2,0),"")</f>
        <v/>
      </c>
      <c r="Q503" s="332">
        <f>IFERROR(VLOOKUP(TEXT(O503,"0"),CONDUCTORES!$A$3:$H$54,6,0),"")</f>
        <v/>
      </c>
      <c r="R503" s="334" t="n"/>
      <c r="S503" s="334" t="n"/>
      <c r="T503" s="334" t="n"/>
      <c r="U503" s="334" t="n"/>
      <c r="V503" s="334" t="n"/>
      <c r="W503" s="334" t="n"/>
      <c r="X503" s="334" t="n"/>
      <c r="Y503" s="334" t="n"/>
      <c r="Z503" s="375">
        <f>IF(AND(G503&lt;&gt;"",R503&lt;&gt;"",V503&lt;&gt;"",W503&lt;&gt;""),"COMPLETADO","OBSERVADO")</f>
        <v/>
      </c>
    </row>
    <row r="504" ht="15" customHeight="1" s="195">
      <c r="A504" s="280" t="n"/>
      <c r="B504" s="280" t="n"/>
      <c r="C504" s="280" t="n"/>
      <c r="D504" s="280" t="n"/>
      <c r="E504" s="280" t="n"/>
      <c r="F504" s="280" t="n"/>
      <c r="G504" s="280" t="n"/>
      <c r="H504" s="280" t="n"/>
      <c r="I504" s="332">
        <f>IFERROR(VLOOKUP(TEXT(H504,"0"),IPRESS!$A$3:$B$212,2,0),"")</f>
        <v/>
      </c>
      <c r="J504" s="280" t="n"/>
      <c r="K504" s="332">
        <f>IFERROR(VLOOKUP(TEXT(O504,"0"),CONDUCTORES!$A$3:$G$54,7,0),"")</f>
        <v/>
      </c>
      <c r="L504" s="280" t="n"/>
      <c r="M504" s="280" t="n"/>
      <c r="N504" s="333">
        <f>IFERROR(IF(L504*M504=0,"",L504*M504),"")</f>
        <v/>
      </c>
      <c r="O504" s="280" t="n"/>
      <c r="P504" s="332">
        <f>IFERROR(VLOOKUP(TEXT(O504,"0"),CONDUCTORES!$A$3:$G$54,2,0),"")</f>
        <v/>
      </c>
      <c r="Q504" s="332">
        <f>IFERROR(VLOOKUP(TEXT(O504,"0"),CONDUCTORES!$A$3:$H$54,6,0),"")</f>
        <v/>
      </c>
      <c r="R504" s="280" t="n"/>
      <c r="S504" s="280" t="n"/>
      <c r="T504" s="280" t="n"/>
      <c r="U504" s="280" t="n"/>
      <c r="V504" s="280" t="n"/>
      <c r="W504" s="280" t="n"/>
      <c r="X504" s="280" t="n"/>
      <c r="Y504" s="280" t="n"/>
      <c r="Z504" s="375">
        <f>IF(AND(G504&lt;&gt;"",R504&lt;&gt;"",V504&lt;&gt;"",W504&lt;&gt;""),"COMPLETADO","OBSERVADO")</f>
        <v/>
      </c>
    </row>
    <row r="505" ht="15" customHeight="1" s="195">
      <c r="A505" s="334" t="n"/>
      <c r="B505" s="334" t="n"/>
      <c r="C505" s="334" t="n"/>
      <c r="D505" s="334" t="n"/>
      <c r="E505" s="334" t="n"/>
      <c r="F505" s="334" t="n"/>
      <c r="G505" s="334" t="n"/>
      <c r="H505" s="334" t="n"/>
      <c r="I505" s="332">
        <f>IFERROR(VLOOKUP(TEXT(H505,"0"),IPRESS!$A$3:$B$212,2,0),"")</f>
        <v/>
      </c>
      <c r="J505" s="334" t="n"/>
      <c r="K505" s="332">
        <f>IFERROR(VLOOKUP(TEXT(O505,"0"),CONDUCTORES!$A$3:$G$54,7,0),"")</f>
        <v/>
      </c>
      <c r="L505" s="334" t="n"/>
      <c r="M505" s="334" t="n"/>
      <c r="N505" s="333">
        <f>IFERROR(IF(L505*M505=0,"",L505*M505),"")</f>
        <v/>
      </c>
      <c r="O505" s="334" t="n"/>
      <c r="P505" s="332">
        <f>IFERROR(VLOOKUP(TEXT(O505,"0"),CONDUCTORES!$A$3:$G$54,2,0),"")</f>
        <v/>
      </c>
      <c r="Q505" s="332">
        <f>IFERROR(VLOOKUP(TEXT(O505,"0"),CONDUCTORES!$A$3:$H$54,6,0),"")</f>
        <v/>
      </c>
      <c r="R505" s="334" t="n"/>
      <c r="S505" s="334" t="n"/>
      <c r="T505" s="334" t="n"/>
      <c r="U505" s="334" t="n"/>
      <c r="V505" s="334" t="n"/>
      <c r="W505" s="334" t="n"/>
      <c r="X505" s="334" t="n"/>
      <c r="Y505" s="334" t="n"/>
      <c r="Z505" s="375">
        <f>IF(AND(G505&lt;&gt;"",R505&lt;&gt;"",V505&lt;&gt;"",W505&lt;&gt;""),"COMPLETADO","OBSERVADO")</f>
        <v/>
      </c>
    </row>
    <row r="506" ht="21.75" customHeight="1" s="195">
      <c r="A506" s="346" t="inlineStr">
        <is>
          <t>TOTALES DEL MES</t>
        </is>
      </c>
      <c r="M506" s="320">
        <f>SUM(M6:M505)</f>
        <v/>
      </c>
      <c r="N506" s="320">
        <f>SUM(N6:N505)</f>
        <v/>
      </c>
    </row>
    <row r="507" ht="15.75" customHeight="1" s="195"/>
    <row r="508" ht="15.75" customHeight="1" s="195"/>
    <row r="509" ht="15.75" customHeight="1" s="195"/>
    <row r="510" ht="15.75" customHeight="1" s="195"/>
    <row r="511" ht="15.75" customHeight="1" s="195"/>
    <row r="512" ht="15.75" customHeight="1" s="195"/>
    <row r="513" ht="15.75" customHeight="1" s="195"/>
    <row r="514" ht="15.75" customHeight="1" s="195"/>
    <row r="515" ht="15.75" customHeight="1" s="195"/>
    <row r="516" ht="15.75" customHeight="1" s="195"/>
    <row r="517" ht="15.75" customHeight="1" s="195"/>
    <row r="518" ht="15.75" customHeight="1" s="195"/>
    <row r="519" ht="15.75" customHeight="1" s="195"/>
    <row r="520" ht="15.75" customHeight="1" s="195"/>
    <row r="521" ht="15.75" customHeight="1" s="195"/>
    <row r="522" ht="15.75" customHeight="1" s="195"/>
    <row r="523" ht="15.75" customHeight="1" s="195"/>
    <row r="524" ht="15.75" customHeight="1" s="195"/>
    <row r="525" ht="15.75" customHeight="1" s="195"/>
    <row r="526" ht="15.75" customHeight="1" s="195"/>
    <row r="527" ht="15.75" customHeight="1" s="195"/>
    <row r="528" ht="15.75" customHeight="1" s="195"/>
    <row r="529" ht="15.75" customHeight="1" s="195"/>
    <row r="530" ht="15.75" customHeight="1" s="195"/>
    <row r="531" ht="15.75" customHeight="1" s="195"/>
    <row r="532" ht="15.75" customHeight="1" s="195"/>
    <row r="533" ht="15.75" customHeight="1" s="195"/>
    <row r="534" ht="15.75" customHeight="1" s="195"/>
    <row r="535" ht="15.75" customHeight="1" s="195"/>
    <row r="536" ht="15.75" customHeight="1" s="195"/>
    <row r="537" ht="15.75" customHeight="1" s="195"/>
    <row r="538" ht="15.75" customHeight="1" s="195"/>
    <row r="539" ht="15.75" customHeight="1" s="195"/>
    <row r="540" ht="15.75" customHeight="1" s="195"/>
    <row r="541" ht="15.75" customHeight="1" s="195"/>
    <row r="542" ht="15.75" customHeight="1" s="195"/>
    <row r="543" ht="15.75" customHeight="1" s="195"/>
    <row r="544" ht="15.75" customHeight="1" s="195"/>
    <row r="545" ht="15.75" customHeight="1" s="195"/>
    <row r="546" ht="15.75" customHeight="1" s="195"/>
    <row r="547" ht="15.75" customHeight="1" s="195"/>
    <row r="548" ht="15.75" customHeight="1" s="195"/>
    <row r="549" ht="15.75" customHeight="1" s="195"/>
    <row r="550" ht="15.75" customHeight="1" s="195"/>
    <row r="551" ht="15.75" customHeight="1" s="195"/>
    <row r="552" ht="15.75" customHeight="1" s="195"/>
    <row r="553" ht="15.75" customHeight="1" s="195"/>
    <row r="554" ht="15.75" customHeight="1" s="195"/>
    <row r="555" ht="15.75" customHeight="1" s="195"/>
    <row r="556" ht="15.75" customHeight="1" s="195"/>
    <row r="557" ht="15.75" customHeight="1" s="195"/>
    <row r="558" ht="15.75" customHeight="1" s="195"/>
    <row r="559" ht="15.75" customHeight="1" s="195"/>
    <row r="560" ht="15.75" customHeight="1" s="195"/>
    <row r="561" ht="15.75" customHeight="1" s="195"/>
    <row r="562" ht="15.75" customHeight="1" s="195"/>
    <row r="563" ht="15.75" customHeight="1" s="195"/>
    <row r="564" ht="15.75" customHeight="1" s="195"/>
    <row r="565" ht="15.75" customHeight="1" s="195"/>
    <row r="566" ht="15.75" customHeight="1" s="195"/>
    <row r="567" ht="15.75" customHeight="1" s="195"/>
    <row r="568" ht="15.75" customHeight="1" s="195"/>
    <row r="569" ht="15.75" customHeight="1" s="195"/>
    <row r="570" ht="15.75" customHeight="1" s="195"/>
    <row r="571" ht="15.75" customHeight="1" s="195"/>
    <row r="572" ht="15.75" customHeight="1" s="195"/>
    <row r="573" ht="15.75" customHeight="1" s="195"/>
    <row r="574" ht="15.75" customHeight="1" s="195"/>
    <row r="575" ht="15.75" customHeight="1" s="195"/>
    <row r="576" ht="15.75" customHeight="1" s="195"/>
    <row r="577" ht="15.75" customHeight="1" s="195"/>
    <row r="578" ht="15.75" customHeight="1" s="195"/>
    <row r="579" ht="15.75" customHeight="1" s="195"/>
    <row r="580" ht="15.75" customHeight="1" s="195"/>
    <row r="581" ht="15.75" customHeight="1" s="195"/>
    <row r="582" ht="15.75" customHeight="1" s="195"/>
    <row r="583" ht="15.75" customHeight="1" s="195"/>
    <row r="584" ht="15.75" customHeight="1" s="195"/>
    <row r="585" ht="15.75" customHeight="1" s="195"/>
    <row r="586" ht="15.75" customHeight="1" s="195"/>
    <row r="587" ht="15.75" customHeight="1" s="195"/>
    <row r="588" ht="15.75" customHeight="1" s="195"/>
    <row r="589" ht="15.75" customHeight="1" s="195"/>
    <row r="590" ht="15.75" customHeight="1" s="195"/>
    <row r="591" ht="15.75" customHeight="1" s="195"/>
    <row r="592" ht="15.75" customHeight="1" s="195"/>
    <row r="593" ht="15.75" customHeight="1" s="195"/>
    <row r="594" ht="15.75" customHeight="1" s="195"/>
    <row r="595" ht="15.75" customHeight="1" s="195"/>
    <row r="596" ht="15.75" customHeight="1" s="195"/>
    <row r="597" ht="15.75" customHeight="1" s="195"/>
    <row r="598" ht="15.75" customHeight="1" s="195"/>
    <row r="599" ht="15.75" customHeight="1" s="195"/>
    <row r="600" ht="15.75" customHeight="1" s="195"/>
    <row r="601" ht="15.75" customHeight="1" s="195"/>
    <row r="602" ht="15.75" customHeight="1" s="195"/>
    <row r="603" ht="15.75" customHeight="1" s="195"/>
    <row r="604" ht="15.75" customHeight="1" s="195"/>
    <row r="605" ht="15.75" customHeight="1" s="195"/>
    <row r="606" ht="15.75" customHeight="1" s="195"/>
    <row r="607" ht="15.75" customHeight="1" s="195"/>
    <row r="608" ht="15.75" customHeight="1" s="195"/>
    <row r="609" ht="15.75" customHeight="1" s="195"/>
    <row r="610" ht="15.75" customHeight="1" s="195"/>
    <row r="611" ht="15.75" customHeight="1" s="195"/>
    <row r="612" ht="15.75" customHeight="1" s="195"/>
    <row r="613" ht="15.75" customHeight="1" s="195"/>
    <row r="614" ht="15.75" customHeight="1" s="195"/>
    <row r="615" ht="15.75" customHeight="1" s="195"/>
    <row r="616" ht="15.75" customHeight="1" s="195"/>
    <row r="617" ht="15.75" customHeight="1" s="195"/>
    <row r="618" ht="15.75" customHeight="1" s="195"/>
    <row r="619" ht="15.75" customHeight="1" s="195"/>
    <row r="620" ht="15.75" customHeight="1" s="195"/>
    <row r="621" ht="15.75" customHeight="1" s="195"/>
    <row r="622" ht="15.75" customHeight="1" s="195"/>
    <row r="623" ht="15.75" customHeight="1" s="195"/>
    <row r="624" ht="15.75" customHeight="1" s="195"/>
    <row r="625" ht="15.75" customHeight="1" s="195"/>
    <row r="626" ht="15.75" customHeight="1" s="195"/>
    <row r="627" ht="15.75" customHeight="1" s="195"/>
    <row r="628" ht="15.75" customHeight="1" s="195"/>
    <row r="629" ht="15.75" customHeight="1" s="195"/>
    <row r="630" ht="15.75" customHeight="1" s="195"/>
    <row r="631" ht="15.75" customHeight="1" s="195"/>
    <row r="632" ht="15.75" customHeight="1" s="195"/>
    <row r="633" ht="15.75" customHeight="1" s="195"/>
    <row r="634" ht="15.75" customHeight="1" s="195"/>
    <row r="635" ht="15.75" customHeight="1" s="195"/>
    <row r="636" ht="15.75" customHeight="1" s="195"/>
    <row r="637" ht="15.75" customHeight="1" s="195"/>
    <row r="638" ht="15.75" customHeight="1" s="195"/>
    <row r="639" ht="15.75" customHeight="1" s="195"/>
    <row r="640" ht="15.75" customHeight="1" s="195"/>
    <row r="641" ht="15.75" customHeight="1" s="195"/>
    <row r="642" ht="15.75" customHeight="1" s="195"/>
    <row r="643" ht="15.75" customHeight="1" s="195"/>
    <row r="644" ht="15.75" customHeight="1" s="195"/>
    <row r="645" ht="15.75" customHeight="1" s="195"/>
    <row r="646" ht="15.75" customHeight="1" s="195"/>
    <row r="647" ht="15.75" customHeight="1" s="195"/>
    <row r="648" ht="15.75" customHeight="1" s="195"/>
    <row r="649" ht="15.75" customHeight="1" s="195"/>
    <row r="650" ht="15.75" customHeight="1" s="195"/>
    <row r="651" ht="15.75" customHeight="1" s="195"/>
    <row r="652" ht="15.75" customHeight="1" s="195"/>
    <row r="653" ht="15.75" customHeight="1" s="195"/>
    <row r="654" ht="15.75" customHeight="1" s="195"/>
    <row r="655" ht="15.75" customHeight="1" s="195"/>
    <row r="656" ht="15.75" customHeight="1" s="195"/>
    <row r="657" ht="15.75" customHeight="1" s="195"/>
    <row r="658" ht="15.75" customHeight="1" s="195"/>
    <row r="659" ht="15.75" customHeight="1" s="195"/>
    <row r="660" ht="15.75" customHeight="1" s="195"/>
    <row r="661" ht="15.75" customHeight="1" s="195"/>
    <row r="662" ht="15.75" customHeight="1" s="195"/>
    <row r="663" ht="15.75" customHeight="1" s="195"/>
    <row r="664" ht="15.75" customHeight="1" s="195"/>
    <row r="665" ht="15.75" customHeight="1" s="195"/>
    <row r="666" ht="15.75" customHeight="1" s="195"/>
    <row r="667" ht="15.75" customHeight="1" s="195"/>
    <row r="668" ht="15.75" customHeight="1" s="195"/>
    <row r="669" ht="15.75" customHeight="1" s="195"/>
    <row r="670" ht="15.75" customHeight="1" s="195"/>
    <row r="671" ht="15.75" customHeight="1" s="195"/>
    <row r="672" ht="15.75" customHeight="1" s="195"/>
    <row r="673" ht="15.75" customHeight="1" s="195"/>
    <row r="674" ht="15.75" customHeight="1" s="195"/>
    <row r="675" ht="15.75" customHeight="1" s="195"/>
    <row r="676" ht="15.75" customHeight="1" s="195"/>
    <row r="677" ht="15.75" customHeight="1" s="195"/>
    <row r="678" ht="15.75" customHeight="1" s="195"/>
    <row r="679" ht="15.75" customHeight="1" s="195"/>
    <row r="680" ht="15.75" customHeight="1" s="195"/>
    <row r="681" ht="15.75" customHeight="1" s="195"/>
    <row r="682" ht="15.75" customHeight="1" s="195"/>
    <row r="683" ht="15.75" customHeight="1" s="195"/>
    <row r="684" ht="15.75" customHeight="1" s="195"/>
    <row r="685" ht="15.75" customHeight="1" s="195"/>
    <row r="686" ht="15.75" customHeight="1" s="195"/>
    <row r="687" ht="15.75" customHeight="1" s="195"/>
    <row r="688" ht="15.75" customHeight="1" s="195"/>
    <row r="689" ht="15.75" customHeight="1" s="195"/>
    <row r="690" ht="15.75" customHeight="1" s="195"/>
    <row r="691" ht="15.75" customHeight="1" s="195"/>
    <row r="692" ht="15.75" customHeight="1" s="195"/>
    <row r="693" ht="15.75" customHeight="1" s="195"/>
    <row r="694" ht="15.75" customHeight="1" s="195"/>
    <row r="695" ht="15.75" customHeight="1" s="195"/>
    <row r="696" ht="15.75" customHeight="1" s="195"/>
    <row r="697" ht="15.75" customHeight="1" s="195"/>
    <row r="698" ht="15.75" customHeight="1" s="195"/>
    <row r="699" ht="15.75" customHeight="1" s="195"/>
    <row r="700" ht="15.75" customHeight="1" s="195"/>
    <row r="701" ht="15.75" customHeight="1" s="195"/>
    <row r="702" ht="15.75" customHeight="1" s="195"/>
    <row r="703" ht="15.75" customHeight="1" s="195"/>
    <row r="704" ht="15.75" customHeight="1" s="195"/>
    <row r="705" ht="15.75" customHeight="1" s="195"/>
    <row r="706" ht="15.75" customHeight="1" s="195"/>
    <row r="707" ht="15.75" customHeight="1" s="195"/>
    <row r="708" ht="15.75" customHeight="1" s="195"/>
    <row r="709" ht="15.75" customHeight="1" s="195"/>
    <row r="710" ht="15.75" customHeight="1" s="195"/>
    <row r="711" ht="15.75" customHeight="1" s="195"/>
    <row r="712" ht="15.75" customHeight="1" s="195"/>
    <row r="713" ht="15.75" customHeight="1" s="195"/>
    <row r="714" ht="15.75" customHeight="1" s="195"/>
    <row r="715" ht="15.75" customHeight="1" s="195"/>
    <row r="716" ht="15.75" customHeight="1" s="195"/>
    <row r="717" ht="15.75" customHeight="1" s="195"/>
    <row r="718" ht="15.75" customHeight="1" s="195"/>
    <row r="719" ht="15.75" customHeight="1" s="195"/>
    <row r="720" ht="15.75" customHeight="1" s="195"/>
    <row r="721" ht="15.75" customHeight="1" s="195"/>
    <row r="722" ht="15.75" customHeight="1" s="195"/>
    <row r="723" ht="15.75" customHeight="1" s="195"/>
    <row r="724" ht="15.75" customHeight="1" s="195"/>
    <row r="725" ht="15.75" customHeight="1" s="195"/>
    <row r="726" ht="15.75" customHeight="1" s="195"/>
    <row r="727" ht="15.75" customHeight="1" s="195"/>
    <row r="728" ht="15.75" customHeight="1" s="195"/>
    <row r="729" ht="15.75" customHeight="1" s="195"/>
    <row r="730" ht="15.75" customHeight="1" s="195"/>
    <row r="731" ht="15.75" customHeight="1" s="195"/>
    <row r="732" ht="15.75" customHeight="1" s="195"/>
    <row r="733" ht="15.75" customHeight="1" s="195"/>
    <row r="734" ht="15.75" customHeight="1" s="195"/>
    <row r="735" ht="15.75" customHeight="1" s="195"/>
    <row r="736" ht="15.75" customHeight="1" s="195"/>
    <row r="737" ht="15.75" customHeight="1" s="195"/>
    <row r="738" ht="15.75" customHeight="1" s="195"/>
    <row r="739" ht="15.75" customHeight="1" s="195"/>
    <row r="740" ht="15.75" customHeight="1" s="195"/>
    <row r="741" ht="15.75" customHeight="1" s="195"/>
    <row r="742" ht="15.75" customHeight="1" s="195"/>
    <row r="743" ht="15.75" customHeight="1" s="195"/>
    <row r="744" ht="15.75" customHeight="1" s="195"/>
    <row r="745" ht="15.75" customHeight="1" s="195"/>
    <row r="746" ht="15.75" customHeight="1" s="195"/>
    <row r="747" ht="15.75" customHeight="1" s="195"/>
    <row r="748" ht="15.75" customHeight="1" s="195"/>
    <row r="749" ht="15.75" customHeight="1" s="195"/>
    <row r="750" ht="15.75" customHeight="1" s="195"/>
    <row r="751" ht="15.75" customHeight="1" s="195"/>
    <row r="752" ht="15.75" customHeight="1" s="195"/>
    <row r="753" ht="15.75" customHeight="1" s="195"/>
    <row r="754" ht="15.75" customHeight="1" s="195"/>
    <row r="755" ht="15.75" customHeight="1" s="195"/>
    <row r="756" ht="15.75" customHeight="1" s="195"/>
    <row r="757" ht="15.75" customHeight="1" s="195"/>
    <row r="758" ht="15.75" customHeight="1" s="195"/>
    <row r="759" ht="15.75" customHeight="1" s="195"/>
    <row r="760" ht="15.75" customHeight="1" s="195"/>
    <row r="761" ht="15.75" customHeight="1" s="195"/>
    <row r="762" ht="15.75" customHeight="1" s="195"/>
    <row r="763" ht="15.75" customHeight="1" s="195"/>
    <row r="764" ht="15.75" customHeight="1" s="195"/>
    <row r="765" ht="15.75" customHeight="1" s="195"/>
    <row r="766" ht="15.75" customHeight="1" s="195"/>
    <row r="767" ht="15.75" customHeight="1" s="195"/>
    <row r="768" ht="15.75" customHeight="1" s="195"/>
    <row r="769" ht="15.75" customHeight="1" s="195"/>
    <row r="770" ht="15.75" customHeight="1" s="195"/>
    <row r="771" ht="15.75" customHeight="1" s="195"/>
    <row r="772" ht="15.75" customHeight="1" s="195"/>
    <row r="773" ht="15.75" customHeight="1" s="195"/>
    <row r="774" ht="15.75" customHeight="1" s="195"/>
    <row r="775" ht="15.75" customHeight="1" s="195"/>
    <row r="776" ht="15.75" customHeight="1" s="195"/>
    <row r="777" ht="15.75" customHeight="1" s="195"/>
    <row r="778" ht="15.75" customHeight="1" s="195"/>
    <row r="779" ht="15.75" customHeight="1" s="195"/>
    <row r="780" ht="15.75" customHeight="1" s="195"/>
    <row r="781" ht="15.75" customHeight="1" s="195"/>
    <row r="782" ht="15.75" customHeight="1" s="195"/>
    <row r="783" ht="15.75" customHeight="1" s="195"/>
    <row r="784" ht="15.75" customHeight="1" s="195"/>
    <row r="785" ht="15.75" customHeight="1" s="195"/>
    <row r="786" ht="15.75" customHeight="1" s="195"/>
    <row r="787" ht="15.75" customHeight="1" s="195"/>
    <row r="788" ht="15.75" customHeight="1" s="195"/>
    <row r="789" ht="15.75" customHeight="1" s="195"/>
    <row r="790" ht="15.75" customHeight="1" s="195"/>
    <row r="791" ht="15.75" customHeight="1" s="195"/>
    <row r="792" ht="15.75" customHeight="1" s="195"/>
    <row r="793" ht="15.75" customHeight="1" s="195"/>
    <row r="794" ht="15.75" customHeight="1" s="195"/>
    <row r="795" ht="15.75" customHeight="1" s="195"/>
    <row r="796" ht="15.75" customHeight="1" s="195"/>
    <row r="797" ht="15.75" customHeight="1" s="195"/>
    <row r="798" ht="15.75" customHeight="1" s="195"/>
    <row r="799" ht="15.75" customHeight="1" s="195"/>
    <row r="800" ht="15.75" customHeight="1" s="195"/>
    <row r="801" ht="15.75" customHeight="1" s="195"/>
    <row r="802" ht="15.75" customHeight="1" s="195"/>
    <row r="803" ht="15.75" customHeight="1" s="195"/>
    <row r="804" ht="15.75" customHeight="1" s="195"/>
    <row r="805" ht="15.75" customHeight="1" s="195"/>
    <row r="806" ht="15.75" customHeight="1" s="195"/>
    <row r="807" ht="15.75" customHeight="1" s="195"/>
    <row r="808" ht="15.75" customHeight="1" s="195"/>
    <row r="809" ht="15.75" customHeight="1" s="195"/>
    <row r="810" ht="15.75" customHeight="1" s="195"/>
    <row r="811" ht="15.75" customHeight="1" s="195"/>
    <row r="812" ht="15.75" customHeight="1" s="195"/>
    <row r="813" ht="15.75" customHeight="1" s="195"/>
    <row r="814" ht="15.75" customHeight="1" s="195"/>
    <row r="815" ht="15.75" customHeight="1" s="195"/>
    <row r="816" ht="15.75" customHeight="1" s="195"/>
    <row r="817" ht="15.75" customHeight="1" s="195"/>
    <row r="818" ht="15.75" customHeight="1" s="195"/>
    <row r="819" ht="15.75" customHeight="1" s="195"/>
    <row r="820" ht="15.75" customHeight="1" s="195"/>
    <row r="821" ht="15.75" customHeight="1" s="195"/>
    <row r="822" ht="15.75" customHeight="1" s="195"/>
    <row r="823" ht="15.75" customHeight="1" s="195"/>
    <row r="824" ht="15.75" customHeight="1" s="195"/>
    <row r="825" ht="15.75" customHeight="1" s="195"/>
    <row r="826" ht="15.75" customHeight="1" s="195"/>
    <row r="827" ht="15.75" customHeight="1" s="195"/>
    <row r="828" ht="15.75" customHeight="1" s="195"/>
    <row r="829" ht="15.75" customHeight="1" s="195"/>
    <row r="830" ht="15.75" customHeight="1" s="195"/>
    <row r="831" ht="15.75" customHeight="1" s="195"/>
    <row r="832" ht="15.75" customHeight="1" s="195"/>
    <row r="833" ht="15.75" customHeight="1" s="195"/>
    <row r="834" ht="15.75" customHeight="1" s="195"/>
    <row r="835" ht="15.75" customHeight="1" s="195"/>
    <row r="836" ht="15.75" customHeight="1" s="195"/>
    <row r="837" ht="15.75" customHeight="1" s="195"/>
    <row r="838" ht="15.75" customHeight="1" s="195"/>
    <row r="839" ht="15.75" customHeight="1" s="195"/>
    <row r="840" ht="15.75" customHeight="1" s="195"/>
    <row r="841" ht="15.75" customHeight="1" s="195"/>
    <row r="842" ht="15.75" customHeight="1" s="195"/>
    <row r="843" ht="15.75" customHeight="1" s="195"/>
    <row r="844" ht="15.75" customHeight="1" s="195"/>
    <row r="845" ht="15.75" customHeight="1" s="195"/>
    <row r="846" ht="15.75" customHeight="1" s="195"/>
    <row r="847" ht="15.75" customHeight="1" s="195"/>
    <row r="848" ht="15.75" customHeight="1" s="195"/>
    <row r="849" ht="15.75" customHeight="1" s="195"/>
    <row r="850" ht="15.75" customHeight="1" s="195"/>
    <row r="851" ht="15.75" customHeight="1" s="195"/>
    <row r="852" ht="15.75" customHeight="1" s="195"/>
    <row r="853" ht="15.75" customHeight="1" s="195"/>
    <row r="854" ht="15.75" customHeight="1" s="195"/>
    <row r="855" ht="15.75" customHeight="1" s="195"/>
    <row r="856" ht="15.75" customHeight="1" s="195"/>
    <row r="857" ht="15.75" customHeight="1" s="195"/>
    <row r="858" ht="15.75" customHeight="1" s="195"/>
    <row r="859" ht="15.75" customHeight="1" s="195"/>
    <row r="860" ht="15.75" customHeight="1" s="195"/>
    <row r="861" ht="15.75" customHeight="1" s="195"/>
    <row r="862" ht="15.75" customHeight="1" s="195"/>
    <row r="863" ht="15.75" customHeight="1" s="195"/>
    <row r="864" ht="15.75" customHeight="1" s="195"/>
    <row r="865" ht="15.75" customHeight="1" s="195"/>
    <row r="866" ht="15.75" customHeight="1" s="195"/>
    <row r="867" ht="15.75" customHeight="1" s="195"/>
    <row r="868" ht="15.75" customHeight="1" s="195"/>
    <row r="869" ht="15.75" customHeight="1" s="195"/>
    <row r="870" ht="15.75" customHeight="1" s="195"/>
    <row r="871" ht="15.75" customHeight="1" s="195"/>
    <row r="872" ht="15.75" customHeight="1" s="195"/>
    <row r="873" ht="15.75" customHeight="1" s="195"/>
    <row r="874" ht="15.75" customHeight="1" s="195"/>
    <row r="875" ht="15.75" customHeight="1" s="195"/>
    <row r="876" ht="15.75" customHeight="1" s="195"/>
    <row r="877" ht="15.75" customHeight="1" s="195"/>
    <row r="878" ht="15.75" customHeight="1" s="195"/>
    <row r="879" ht="15.75" customHeight="1" s="195"/>
    <row r="880" ht="15.75" customHeight="1" s="195"/>
    <row r="881" ht="15.75" customHeight="1" s="195"/>
    <row r="882" ht="15.75" customHeight="1" s="195"/>
    <row r="883" ht="15.75" customHeight="1" s="195"/>
    <row r="884" ht="15.75" customHeight="1" s="195"/>
    <row r="885" ht="15.75" customHeight="1" s="195"/>
    <row r="886" ht="15.75" customHeight="1" s="195"/>
    <row r="887" ht="15.75" customHeight="1" s="195"/>
    <row r="888" ht="15.75" customHeight="1" s="195"/>
    <row r="889" ht="15.75" customHeight="1" s="195"/>
    <row r="890" ht="15.75" customHeight="1" s="195"/>
    <row r="891" ht="15.75" customHeight="1" s="195"/>
    <row r="892" ht="15.75" customHeight="1" s="195"/>
    <row r="893" ht="15.75" customHeight="1" s="195"/>
    <row r="894" ht="15.75" customHeight="1" s="195"/>
    <row r="895" ht="15.75" customHeight="1" s="195"/>
    <row r="896" ht="15.75" customHeight="1" s="195"/>
    <row r="897" ht="15.75" customHeight="1" s="195"/>
    <row r="898" ht="15.75" customHeight="1" s="195"/>
    <row r="899" ht="15.75" customHeight="1" s="195"/>
    <row r="900" ht="15.75" customHeight="1" s="195"/>
    <row r="901" ht="15.75" customHeight="1" s="195"/>
    <row r="902" ht="15.75" customHeight="1" s="195"/>
    <row r="903" ht="15.75" customHeight="1" s="195"/>
    <row r="904" ht="15.75" customHeight="1" s="195"/>
    <row r="905" ht="15.75" customHeight="1" s="195"/>
    <row r="906" ht="15.75" customHeight="1" s="195"/>
    <row r="907" ht="15.75" customHeight="1" s="195"/>
    <row r="908" ht="15.75" customHeight="1" s="195"/>
    <row r="909" ht="15.75" customHeight="1" s="195"/>
    <row r="910" ht="15.75" customHeight="1" s="195"/>
    <row r="911" ht="15.75" customHeight="1" s="195"/>
    <row r="912" ht="15.75" customHeight="1" s="195"/>
    <row r="913" ht="15.75" customHeight="1" s="195"/>
    <row r="914" ht="15.75" customHeight="1" s="195"/>
    <row r="915" ht="15.75" customHeight="1" s="195"/>
    <row r="916" ht="15.75" customHeight="1" s="195"/>
    <row r="917" ht="15.75" customHeight="1" s="195"/>
    <row r="918" ht="15.75" customHeight="1" s="195"/>
    <row r="919" ht="15.75" customHeight="1" s="195"/>
    <row r="920" ht="15.75" customHeight="1" s="195"/>
    <row r="921" ht="15.75" customHeight="1" s="195"/>
    <row r="922" ht="15.75" customHeight="1" s="195"/>
    <row r="923" ht="15.75" customHeight="1" s="195"/>
    <row r="924" ht="15.75" customHeight="1" s="195"/>
    <row r="925" ht="15.75" customHeight="1" s="195"/>
    <row r="926" ht="15.75" customHeight="1" s="195"/>
    <row r="927" ht="15.75" customHeight="1" s="195"/>
    <row r="928" ht="15.75" customHeight="1" s="195"/>
    <row r="929" ht="15.75" customHeight="1" s="195"/>
    <row r="930" ht="15.75" customHeight="1" s="195"/>
    <row r="931" ht="15.75" customHeight="1" s="195"/>
    <row r="932" ht="15.75" customHeight="1" s="195"/>
    <row r="933" ht="15.75" customHeight="1" s="195"/>
    <row r="934" ht="15.75" customHeight="1" s="195"/>
    <row r="935" ht="15.75" customHeight="1" s="195"/>
    <row r="936" ht="15.75" customHeight="1" s="195"/>
    <row r="937" ht="15.75" customHeight="1" s="195"/>
    <row r="938" ht="15.75" customHeight="1" s="195"/>
    <row r="939" ht="15.75" customHeight="1" s="195"/>
    <row r="940" ht="15.75" customHeight="1" s="195"/>
    <row r="941" ht="15.75" customHeight="1" s="195"/>
    <row r="942" ht="15.75" customHeight="1" s="195"/>
    <row r="943" ht="15.75" customHeight="1" s="195"/>
    <row r="944" ht="15.75" customHeight="1" s="195"/>
    <row r="945" ht="15.75" customHeight="1" s="195"/>
    <row r="946" ht="15.75" customHeight="1" s="195"/>
    <row r="947" ht="15.75" customHeight="1" s="195"/>
    <row r="948" ht="15.75" customHeight="1" s="195"/>
    <row r="949" ht="15.75" customHeight="1" s="195"/>
    <row r="950" ht="15.75" customHeight="1" s="195"/>
    <row r="951" ht="15.75" customHeight="1" s="195"/>
    <row r="952" ht="15.75" customHeight="1" s="195"/>
    <row r="953" ht="15.75" customHeight="1" s="195"/>
    <row r="954" ht="15.75" customHeight="1" s="195"/>
    <row r="955" ht="15.75" customHeight="1" s="195"/>
    <row r="956" ht="15.75" customHeight="1" s="195"/>
    <row r="957" ht="15.75" customHeight="1" s="195"/>
    <row r="958" ht="15.75" customHeight="1" s="195"/>
    <row r="959" ht="15.75" customHeight="1" s="195"/>
    <row r="960" ht="15.75" customHeight="1" s="195"/>
    <row r="961" ht="15.75" customHeight="1" s="195"/>
    <row r="962" ht="15.75" customHeight="1" s="195"/>
    <row r="963" ht="15.75" customHeight="1" s="195"/>
    <row r="964" ht="15.75" customHeight="1" s="195"/>
    <row r="965" ht="15.75" customHeight="1" s="195"/>
    <row r="966" ht="15.75" customHeight="1" s="195"/>
    <row r="967" ht="15.75" customHeight="1" s="195"/>
    <row r="968" ht="15.75" customHeight="1" s="195"/>
    <row r="969" ht="15.75" customHeight="1" s="195"/>
    <row r="970" ht="15.75" customHeight="1" s="195"/>
    <row r="971" ht="15.75" customHeight="1" s="195"/>
    <row r="972" ht="15.75" customHeight="1" s="195"/>
    <row r="973" ht="15.75" customHeight="1" s="195"/>
    <row r="974" ht="15.75" customHeight="1" s="195"/>
    <row r="975" ht="15.75" customHeight="1" s="195"/>
    <row r="976" ht="15.75" customHeight="1" s="195"/>
    <row r="977" ht="15.75" customHeight="1" s="195"/>
    <row r="978" ht="15.75" customHeight="1" s="195"/>
    <row r="979" ht="15.75" customHeight="1" s="195"/>
    <row r="980" ht="15.75" customHeight="1" s="195"/>
    <row r="981" ht="15.75" customHeight="1" s="195"/>
    <row r="982" ht="15.75" customHeight="1" s="195"/>
    <row r="983" ht="15.75" customHeight="1" s="195"/>
    <row r="984" ht="15.75" customHeight="1" s="195"/>
    <row r="985" ht="15.75" customHeight="1" s="195"/>
    <row r="986" ht="15.75" customHeight="1" s="195"/>
    <row r="987" ht="15.75" customHeight="1" s="195"/>
    <row r="988" ht="15.75" customHeight="1" s="195"/>
    <row r="989" ht="15.75" customHeight="1" s="195"/>
    <row r="990" ht="15.75" customHeight="1" s="195"/>
    <row r="991" ht="15.75" customHeight="1" s="195"/>
    <row r="992" ht="15.75" customHeight="1" s="195"/>
    <row r="993" ht="15.75" customHeight="1" s="195"/>
    <row r="994" ht="15.75" customHeight="1" s="195"/>
    <row r="995" ht="15.75" customHeight="1" s="195"/>
    <row r="996" ht="15.75" customHeight="1" s="195"/>
    <row r="997" ht="15.75" customHeight="1" s="195"/>
    <row r="998" ht="15.75" customHeight="1" s="195"/>
    <row r="999" ht="15.75" customHeight="1" s="195"/>
    <row r="1000" ht="15.75" customHeight="1" s="195"/>
  </sheetData>
  <mergeCells count="13">
    <mergeCell ref="D2:F2"/>
    <mergeCell ref="G2:I2"/>
    <mergeCell ref="S2:T2"/>
    <mergeCell ref="J2:L2"/>
    <mergeCell ref="A8:J8"/>
    <mergeCell ref="U2:V2"/>
    <mergeCell ref="A506:G506"/>
    <mergeCell ref="P2:R2"/>
    <mergeCell ref="A1:Y1"/>
    <mergeCell ref="W2:AC2"/>
    <mergeCell ref="A4:Y4"/>
    <mergeCell ref="M2:O2"/>
    <mergeCell ref="A2:C2"/>
  </mergeCells>
  <conditionalFormatting sqref="T6:T505">
    <cfRule type="expression" rank="0" priority="2" equalAverage="0" aboveAverage="0" dxfId="0" text="" percent="0" bottom="0">
      <formula>EXACT(T6,"APROBADO")</formula>
    </cfRule>
    <cfRule type="expression" rank="0" priority="3" equalAverage="0" aboveAverage="0" dxfId="7" text="" percent="0" bottom="0">
      <formula>EXACT(T6,"PENDIENTE")</formula>
    </cfRule>
    <cfRule type="expression" rank="0" priority="4" equalAverage="0" aboveAverage="0" dxfId="0" text="" percent="0" bottom="0">
      <formula>EXACT(T6,"APROBADO")</formula>
    </cfRule>
    <cfRule type="expression" rank="0" priority="5" equalAverage="0" aboveAverage="0" dxfId="7" text="" percent="0" bottom="0">
      <formula>EXACT(T6,"OBSERVADO")</formula>
    </cfRule>
  </conditionalFormatting>
  <conditionalFormatting sqref="K6:K505">
    <cfRule type="expression" rank="0" priority="6" equalAverage="0" aboveAverage="0" dxfId="8" text="" percent="0" bottom="0">
      <formula>EXACT(K6,"GASOLINA")</formula>
    </cfRule>
  </conditionalFormatting>
  <conditionalFormatting sqref="Z6:Z505">
    <cfRule type="expression" rank="0" priority="7" equalAverage="0" aboveAverage="0" dxfId="0" text="" percent="0" bottom="0">
      <formula>EXACT(Z6,"COMPLETADO")</formula>
    </cfRule>
    <cfRule type="expression" rank="0" priority="8" equalAverage="0" aboveAverage="0" dxfId="7" text="" percent="0" bottom="0">
      <formula>EXACT(Z6,"OBSERVADO")</formula>
    </cfRule>
  </conditionalFormatting>
  <conditionalFormatting sqref="T6:T110">
    <cfRule type="expression" rank="0" priority="9" equalAverage="0" aboveAverage="0" dxfId="0" text="" percent="0" bottom="0">
      <formula>EXACT(T6,"APROBADO")</formula>
    </cfRule>
    <cfRule type="expression" rank="0" priority="10" equalAverage="0" aboveAverage="0" dxfId="7" text="" percent="0" bottom="0">
      <formula>EXACT(T6,"OBSERVADO")</formula>
    </cfRule>
  </conditionalFormatting>
  <conditionalFormatting sqref="Z6:Z110">
    <cfRule type="expression" rank="0" priority="11" equalAverage="0" aboveAverage="0" dxfId="0" text="" percent="0" bottom="0">
      <formula>EXACT(Z6,"COMPLETADO")</formula>
    </cfRule>
    <cfRule type="expression" rank="0" priority="12" equalAverage="0" aboveAverage="0" dxfId="7" text="" percent="0" bottom="0">
      <formula>EXACT(Z6,"OBSERVADO")</formula>
    </cfRule>
    <cfRule type="expression" rank="0" priority="13" equalAverage="0" aboveAverage="0" dxfId="0" text="" percent="0" bottom="0">
      <formula>Z6="ENTREGADO"</formula>
    </cfRule>
    <cfRule type="expression" rank="0" priority="14" equalAverage="0" aboveAverage="0" dxfId="7" text="" percent="0" bottom="0">
      <formula>Z6="POR RECOGER"</formula>
    </cfRule>
  </conditionalFormatting>
  <conditionalFormatting sqref="Y6:Y110">
    <cfRule type="expression" rank="0" priority="15" equalAverage="0" aboveAverage="0" dxfId="9" text="" percent="0" bottom="0">
      <formula>Y6&lt;&gt;""</formula>
    </cfRule>
  </conditionalFormatting>
  <dataValidations count="5">
    <dataValidation sqref="Y6:Y110" showDropDown="0" showInputMessage="0" showErrorMessage="0" allowBlank="1" type="list" errorStyle="stop" operator="between">
      <formula1>CONDUCTORES!$H$3:$H$104</formula1>
      <formula2>0</formula2>
    </dataValidation>
    <dataValidation sqref="K6:K505" showDropDown="0" showInputMessage="0" showErrorMessage="0" allowBlank="1" type="list" errorStyle="stop" operator="between">
      <formula1>"PETROLEO,GASOLINA"</formula1>
      <formula2>0</formula2>
    </dataValidation>
    <dataValidation sqref="E6:E7 E9:E505" showDropDown="0" showInputMessage="0" showErrorMessage="0" allowBlank="1" type="list" errorStyle="stop" operator="between">
      <formula1>"DNI,CE,PASAPORTE"</formula1>
      <formula2>0</formula2>
    </dataValidation>
    <dataValidation sqref="T6:T110" showDropDown="0" showInputMessage="0" showErrorMessage="0" allowBlank="1" type="list" errorStyle="stop" operator="between">
      <formula1>"APROBADO,OBSERVADO"</formula1>
      <formula2>0</formula2>
    </dataValidation>
    <dataValidation sqref="T111:T505" showDropDown="0" showInputMessage="1" showErrorMessage="1" allowBlank="1" prompt="Valor no válido - Solo se permite: APROBADO u OBSERVADO" type="list" errorStyle="stop" operator="between">
      <formula1>"APROBADO,OBSERVADO"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C5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baseColWidth="8" defaultColWidth="14.43359375" defaultRowHeight="15" zeroHeight="0" outlineLevelRow="0"/>
  <cols>
    <col width="6" customWidth="1" style="194" min="1" max="1"/>
    <col width="14" customWidth="1" style="194" min="2" max="2"/>
    <col width="8" customWidth="1" style="194" min="3" max="3"/>
    <col width="28" customWidth="1" style="194" min="4" max="4"/>
    <col width="7" customWidth="1" style="194" min="5" max="5"/>
    <col width="14" customWidth="1" style="194" min="6" max="6"/>
    <col width="12" customWidth="1" style="194" min="7" max="7"/>
    <col width="10" customWidth="1" style="194" min="8" max="8"/>
    <col width="30" customWidth="1" style="194" min="9" max="9"/>
    <col width="10" customWidth="1" style="194" min="10" max="10"/>
    <col width="12" customWidth="1" style="194" min="11" max="11"/>
    <col width="10" customWidth="1" style="194" min="12" max="13"/>
    <col width="14" customWidth="1" style="194" min="14" max="15"/>
    <col width="30" customWidth="1" style="194" min="16" max="16"/>
    <col width="12" customWidth="1" style="194" min="17" max="18"/>
    <col width="16" customWidth="1" style="194" min="19" max="19"/>
    <col width="12" customWidth="1" style="194" min="20" max="21"/>
    <col width="14" customWidth="1" style="194" min="22" max="23"/>
    <col width="8" customWidth="1" style="194" min="24" max="24"/>
    <col width="22" customWidth="1" style="194" min="25" max="25"/>
    <col width="14" customWidth="1" style="194" min="26" max="26"/>
    <col width="8.710000000000001" customWidth="1" style="194" min="27" max="29"/>
  </cols>
  <sheetData>
    <row r="1" ht="27.75" customHeight="1" s="195">
      <c r="A1" s="365" t="inlineStr">
        <is>
          <t>REPORTE DE TRASLADO DE PACIENTES SIS DEL MES DE NOVIEMBRE 2026 PARA REPOSICION DE COMBUSTIBLE</t>
        </is>
      </c>
      <c r="Z1" s="365" t="n"/>
      <c r="AA1" s="284" t="n"/>
    </row>
    <row r="2" ht="21.75" customHeight="1" s="195">
      <c r="A2" s="318" t="inlineStr">
        <is>
          <t>TOTAL PETROLEO (gal):</t>
        </is>
      </c>
      <c r="D2" s="366">
        <f>IFERROR(SUMPRODUCT((K6:K110="PETROLEO")*ISNUMBER(M6:M110)*M6:M110),0)</f>
        <v/>
      </c>
      <c r="G2" s="318" t="inlineStr">
        <is>
          <t>TOTAL GASOLINA (gal):</t>
        </is>
      </c>
      <c r="J2" s="366">
        <f>IFERROR(SUMPRODUCT((K6:K110="GASOLINA")*ISNUMBER(M6:M110)*M6:M110),0)</f>
        <v/>
      </c>
      <c r="M2" s="318" t="inlineStr">
        <is>
          <t>TOTAL SOLES S/.:</t>
        </is>
      </c>
      <c r="P2" s="367">
        <f>IFERROR(SUMPRODUCT(ISNUMBER(M6:M110)*L6:L110*M6:M110),0)</f>
        <v/>
      </c>
      <c r="S2" s="318" t="inlineStr">
        <is>
          <t>N TRASLADOS:</t>
        </is>
      </c>
      <c r="U2" s="368">
        <f>SUBTOTAL(2,A6:A110)</f>
        <v/>
      </c>
      <c r="W2" s="281" t="n"/>
    </row>
    <row r="3" ht="3.75" customHeight="1" s="195">
      <c r="A3" s="289" t="n"/>
      <c r="B3" s="289" t="n"/>
      <c r="C3" s="289" t="n"/>
      <c r="D3" s="289" t="n"/>
      <c r="E3" s="289" t="n"/>
      <c r="F3" s="289" t="n"/>
      <c r="G3" s="289" t="n"/>
      <c r="H3" s="289" t="n"/>
      <c r="I3" s="289" t="n"/>
      <c r="J3" s="289" t="n"/>
      <c r="K3" s="289" t="n"/>
      <c r="L3" s="289" t="n"/>
      <c r="M3" s="289" t="n"/>
      <c r="N3" s="289" t="n"/>
      <c r="O3" s="289" t="n"/>
      <c r="P3" s="289" t="n"/>
      <c r="Q3" s="289" t="n"/>
      <c r="R3" s="289" t="n"/>
      <c r="S3" s="289" t="n"/>
      <c r="T3" s="289" t="n"/>
      <c r="U3" s="289" t="n"/>
      <c r="V3" s="289" t="n"/>
      <c r="W3" s="289" t="n"/>
      <c r="X3" s="289" t="n"/>
      <c r="Y3" s="289" t="n"/>
      <c r="Z3" s="289" t="n"/>
      <c r="AA3" s="284" t="n"/>
    </row>
    <row r="4" ht="19.5" customHeight="1" s="195">
      <c r="A4" s="369" t="inlineStr">
        <is>
          <t>COLUMNAS EN AZUL = AUTO (no editar) | Ingrese: N, NRO FORMATO, AFILIADO, TIPO DOC, NRO DOC, FECHA TRASLADO, COD RENAES, COD REFERENCIA, DNI CONDUCTOR, PRECIO GAL, GALONES, FECHA ENTREGA, CIE-10, ESTADO FUA, FECHA DIGITACION, OFICIO, O/C, META, OBSERVACION</t>
        </is>
      </c>
      <c r="Z4" s="369" t="n"/>
      <c r="AA4" s="284" t="n"/>
    </row>
    <row r="5" ht="31.5" customHeight="1" s="195">
      <c r="A5" s="370" t="inlineStr">
        <is>
          <t>N</t>
        </is>
      </c>
      <c r="B5" s="370" t="inlineStr">
        <is>
          <t>NRO FORMATO
ATENCION</t>
        </is>
      </c>
      <c r="C5" s="370" t="inlineStr">
        <is>
          <t>UNIDAD
EJECUTORA</t>
        </is>
      </c>
      <c r="D5" s="370" t="inlineStr">
        <is>
          <t>AFILIADO</t>
        </is>
      </c>
      <c r="E5" s="370" t="inlineStr">
        <is>
          <t>TIPO
DOC</t>
        </is>
      </c>
      <c r="F5" s="370" t="inlineStr">
        <is>
          <t>NRO
DOCUMENTO</t>
        </is>
      </c>
      <c r="G5" s="370" t="inlineStr">
        <is>
          <t>FECHA
TRASLADO</t>
        </is>
      </c>
      <c r="H5" s="370" t="inlineStr">
        <is>
          <t>COD
RENAES</t>
        </is>
      </c>
      <c r="I5" s="371" t="inlineStr">
        <is>
          <t>DESCRIPCION
EESS</t>
        </is>
      </c>
      <c r="J5" s="370" t="inlineStr">
        <is>
          <t>COD EESS
REFERENCIA</t>
        </is>
      </c>
      <c r="K5" s="371" t="inlineStr">
        <is>
          <t>TIPO DE
COMBUSTIBLE</t>
        </is>
      </c>
      <c r="L5" s="370" t="inlineStr">
        <is>
          <t>PRECIO
GAL S/.</t>
        </is>
      </c>
      <c r="M5" s="370" t="inlineStr">
        <is>
          <t>GALONES</t>
        </is>
      </c>
      <c r="N5" s="371" t="inlineStr">
        <is>
          <t>TOTAL
COMBUSTIBLE S/.</t>
        </is>
      </c>
      <c r="O5" s="370" t="inlineStr">
        <is>
          <t>DNI
CONDUCTOR</t>
        </is>
      </c>
      <c r="P5" s="371" t="inlineStr">
        <is>
          <t>NOMBRE
CONDUCTOR</t>
        </is>
      </c>
      <c r="Q5" s="371" t="inlineStr">
        <is>
          <t>PLACA</t>
        </is>
      </c>
      <c r="R5" s="370" t="inlineStr">
        <is>
          <t>FECHA DE
ENTREGA</t>
        </is>
      </c>
      <c r="S5" s="370" t="inlineStr">
        <is>
          <t>CODIGO DE
DIAGNOSTICO</t>
        </is>
      </c>
      <c r="T5" s="370" t="inlineStr">
        <is>
          <t>ESTADO
FUA</t>
        </is>
      </c>
      <c r="U5" s="370" t="inlineStr">
        <is>
          <t>FECHA
DIGITACION</t>
        </is>
      </c>
      <c r="V5" s="370" t="inlineStr">
        <is>
          <t>OFICIO</t>
        </is>
      </c>
      <c r="W5" s="370" t="inlineStr">
        <is>
          <t>O/C</t>
        </is>
      </c>
      <c r="X5" s="370" t="inlineStr">
        <is>
          <t>META</t>
        </is>
      </c>
      <c r="Y5" s="324" t="inlineStr">
        <is>
          <t>DEVOLVER A
(IPRESS DESTINO)</t>
        </is>
      </c>
      <c r="Z5" s="372" t="inlineStr">
        <is>
          <t>ESTADO
COMPLETADO</t>
        </is>
      </c>
      <c r="AA5" s="284" t="n"/>
    </row>
    <row r="6" ht="15.75" customHeight="1" s="195">
      <c r="A6" s="334" t="n"/>
      <c r="B6" s="334" t="n"/>
      <c r="C6" s="334" t="n"/>
      <c r="D6" s="334" t="n"/>
      <c r="E6" s="334" t="n"/>
      <c r="F6" s="334" t="n"/>
      <c r="G6" s="334" t="n"/>
      <c r="H6" s="334" t="n"/>
      <c r="I6" s="332">
        <f>IFERROR(VLOOKUP(TEXT(H6,"0"),IPRESS!$A$3:$B$212,2,0),"")</f>
        <v/>
      </c>
      <c r="J6" s="334" t="n"/>
      <c r="K6" s="332">
        <f>IFERROR(VLOOKUP(TEXT(O6,"0"),CONDUCTORES!$A$3:$G$54,7,0),"")</f>
        <v/>
      </c>
      <c r="L6" s="334" t="n"/>
      <c r="M6" s="334" t="n"/>
      <c r="N6" s="333">
        <f>IFERROR(IF(L6*M6=0,"",L6*M6),"")</f>
        <v/>
      </c>
      <c r="O6" s="334" t="n"/>
      <c r="P6" s="332">
        <f>IFERROR(VLOOKUP(TEXT(O6,"0"),CONDUCTORES!$A$3:$G$54,2,0),"")</f>
        <v/>
      </c>
      <c r="Q6" s="332">
        <f>IFERROR(VLOOKUP(TEXT(O6,"0"),CONDUCTORES!$A$3:$H$54,6,0),"")</f>
        <v/>
      </c>
      <c r="R6" s="334" t="n"/>
      <c r="S6" s="334" t="n"/>
      <c r="T6" s="334" t="n"/>
      <c r="U6" s="334" t="n"/>
      <c r="V6" s="334" t="n"/>
      <c r="W6" s="334" t="n"/>
      <c r="X6" s="334" t="n"/>
      <c r="Y6" s="334" t="n"/>
      <c r="Z6" s="242">
        <f>IF(AND(G6&lt;&gt;"",R6&lt;&gt;"",V6&lt;&gt;"",W6&lt;&gt;""),"COMPLETADO","OBSERVADO")</f>
        <v/>
      </c>
      <c r="AA6" s="284" t="n"/>
    </row>
    <row r="7" ht="15.75" customHeight="1" s="195">
      <c r="A7" s="280" t="n"/>
      <c r="B7" s="280" t="n"/>
      <c r="C7" s="280" t="n"/>
      <c r="D7" s="280" t="n"/>
      <c r="E7" s="280" t="n"/>
      <c r="F7" s="280" t="n"/>
      <c r="G7" s="280" t="n"/>
      <c r="H7" s="280" t="n"/>
      <c r="I7" s="332">
        <f>IFERROR(VLOOKUP(TEXT(H7,"0"),IPRESS!$A$3:$B$212,2,0),"")</f>
        <v/>
      </c>
      <c r="J7" s="280" t="n"/>
      <c r="K7" s="332">
        <f>IFERROR(VLOOKUP(TEXT(O7,"0"),CONDUCTORES!$A$3:$G$54,7,0),"")</f>
        <v/>
      </c>
      <c r="L7" s="280" t="n"/>
      <c r="M7" s="280" t="n"/>
      <c r="N7" s="333">
        <f>IFERROR(IF(L7*M7=0,"",L7*M7),"")</f>
        <v/>
      </c>
      <c r="O7" s="280" t="n"/>
      <c r="P7" s="332">
        <f>IFERROR(VLOOKUP(TEXT(O7,"0"),CONDUCTORES!$A$3:$G$54,2,0),"")</f>
        <v/>
      </c>
      <c r="Q7" s="332">
        <f>IFERROR(VLOOKUP(TEXT(O7,"0"),CONDUCTORES!$A$3:$H$54,6,0),"")</f>
        <v/>
      </c>
      <c r="R7" s="280" t="n"/>
      <c r="S7" s="280" t="n"/>
      <c r="T7" s="280" t="n"/>
      <c r="U7" s="280" t="n"/>
      <c r="V7" s="280" t="n"/>
      <c r="W7" s="280" t="n"/>
      <c r="X7" s="280" t="n"/>
      <c r="Y7" s="280" t="n"/>
      <c r="Z7" s="236">
        <f>IF(AND(G7&lt;&gt;"",R7&lt;&gt;"",V7&lt;&gt;"",W7&lt;&gt;""),"COMPLETADO","OBSERVADO")</f>
        <v/>
      </c>
      <c r="AA7" s="284" t="n"/>
    </row>
    <row r="8" ht="15.75" customHeight="1" s="195">
      <c r="A8" s="334" t="n"/>
      <c r="K8" s="332">
        <f>IFERROR(VLOOKUP(TEXT(O8,"0"),CONDUCTORES!$A$3:$G$54,7,0),"")</f>
        <v/>
      </c>
      <c r="L8" s="334" t="n"/>
      <c r="M8" s="373" t="n"/>
      <c r="N8" s="333">
        <f>IFERROR(IF(L8*M8=0,"",L8*M8),"")</f>
        <v/>
      </c>
      <c r="O8" s="334" t="n"/>
      <c r="P8" s="332">
        <f>IFERROR(VLOOKUP(TEXT(O8,"0"),CONDUCTORES!$A$3:$G$54,2,0),"")</f>
        <v/>
      </c>
      <c r="Q8" s="332">
        <f>IFERROR(VLOOKUP(TEXT(O8,"0"),CONDUCTORES!$A$3:$H$54,6,0),"")</f>
        <v/>
      </c>
      <c r="R8" s="334" t="n"/>
      <c r="S8" s="334" t="n"/>
      <c r="T8" s="334" t="n"/>
      <c r="U8" s="334" t="n"/>
      <c r="V8" s="334" t="n"/>
      <c r="W8" s="334" t="n"/>
      <c r="X8" s="334" t="n"/>
      <c r="Y8" s="334" t="n"/>
      <c r="Z8" s="242">
        <f>IF(AND(G8&lt;&gt;"",R8&lt;&gt;"",V8&lt;&gt;"",W8&lt;&gt;""),"COMPLETADO","OBSERVADO")</f>
        <v/>
      </c>
      <c r="AA8" s="284" t="n"/>
    </row>
    <row r="9" ht="15.75" customHeight="1" s="195">
      <c r="A9" s="280" t="n"/>
      <c r="B9" s="280" t="n"/>
      <c r="C9" s="280" t="n"/>
      <c r="D9" s="280" t="n"/>
      <c r="E9" s="280" t="n"/>
      <c r="F9" s="280" t="n"/>
      <c r="G9" s="280" t="n"/>
      <c r="H9" s="280" t="n"/>
      <c r="I9" s="332">
        <f>IFERROR(VLOOKUP(TEXT(H9,"0"),IPRESS!$A$3:$B$212,2,0),"")</f>
        <v/>
      </c>
      <c r="J9" s="280" t="n"/>
      <c r="K9" s="332">
        <f>IFERROR(VLOOKUP(TEXT(O9,"0"),CONDUCTORES!$A$3:$G$54,7,0),"")</f>
        <v/>
      </c>
      <c r="L9" s="280" t="n"/>
      <c r="M9" s="280" t="n"/>
      <c r="N9" s="333">
        <f>IFERROR(IF(L9*M9=0,"",L9*M9),"")</f>
        <v/>
      </c>
      <c r="O9" s="280" t="n"/>
      <c r="P9" s="332">
        <f>IFERROR(VLOOKUP(TEXT(O9,"0"),CONDUCTORES!$A$3:$G$54,2,0),"")</f>
        <v/>
      </c>
      <c r="Q9" s="332">
        <f>IFERROR(VLOOKUP(TEXT(O9,"0"),CONDUCTORES!$A$3:$H$54,6,0),"")</f>
        <v/>
      </c>
      <c r="R9" s="280" t="n"/>
      <c r="S9" s="280" t="n"/>
      <c r="T9" s="280" t="n"/>
      <c r="U9" s="280" t="n"/>
      <c r="V9" s="280" t="n"/>
      <c r="W9" s="280" t="n"/>
      <c r="X9" s="280" t="n"/>
      <c r="Y9" s="280" t="n"/>
      <c r="Z9" s="236">
        <f>IF(AND(G9&lt;&gt;"",R9&lt;&gt;"",V9&lt;&gt;"",W9&lt;&gt;""),"COMPLETADO","OBSERVADO")</f>
        <v/>
      </c>
      <c r="AA9" s="284" t="n"/>
    </row>
    <row r="10" ht="15.75" customHeight="1" s="195">
      <c r="A10" s="334" t="n"/>
      <c r="B10" s="334" t="n"/>
      <c r="C10" s="334" t="n"/>
      <c r="D10" s="334" t="n"/>
      <c r="E10" s="334" t="n"/>
      <c r="F10" s="334" t="n"/>
      <c r="G10" s="334" t="n"/>
      <c r="H10" s="334" t="n"/>
      <c r="I10" s="332">
        <f>IFERROR(VLOOKUP(TEXT(H10,"0"),IPRESS!$A$3:$B$212,2,0),"")</f>
        <v/>
      </c>
      <c r="J10" s="334" t="n"/>
      <c r="K10" s="332">
        <f>IFERROR(VLOOKUP(TEXT(O10,"0"),CONDUCTORES!$A$3:$G$54,7,0),"")</f>
        <v/>
      </c>
      <c r="L10" s="334" t="n"/>
      <c r="M10" s="334" t="n"/>
      <c r="N10" s="333">
        <f>IFERROR(IF(L10*M10=0,"",L10*M10),"")</f>
        <v/>
      </c>
      <c r="O10" s="334" t="n"/>
      <c r="P10" s="332">
        <f>IFERROR(VLOOKUP(TEXT(O10,"0"),CONDUCTORES!$A$3:$G$54,2,0),"")</f>
        <v/>
      </c>
      <c r="Q10" s="332">
        <f>IFERROR(VLOOKUP(TEXT(O10,"0"),CONDUCTORES!$A$3:$H$54,6,0),"")</f>
        <v/>
      </c>
      <c r="R10" s="334" t="n"/>
      <c r="S10" s="334" t="n"/>
      <c r="T10" s="334" t="n"/>
      <c r="U10" s="334" t="n"/>
      <c r="V10" s="334" t="n"/>
      <c r="W10" s="334" t="n"/>
      <c r="X10" s="334" t="n"/>
      <c r="Y10" s="334" t="n"/>
      <c r="Z10" s="242">
        <f>IF(AND(G10&lt;&gt;"",R10&lt;&gt;"",V10&lt;&gt;"",W10&lt;&gt;""),"COMPLETADO","OBSERVADO")</f>
        <v/>
      </c>
      <c r="AA10" s="284" t="n"/>
    </row>
    <row r="11" ht="15.75" customHeight="1" s="195">
      <c r="A11" s="280" t="n"/>
      <c r="B11" s="280" t="n"/>
      <c r="C11" s="280" t="n"/>
      <c r="D11" s="280" t="n"/>
      <c r="E11" s="280" t="n"/>
      <c r="F11" s="280" t="n"/>
      <c r="G11" s="280" t="n"/>
      <c r="H11" s="280" t="n"/>
      <c r="I11" s="332">
        <f>IFERROR(VLOOKUP(TEXT(H11,"0"),IPRESS!$A$3:$B$212,2,0),"")</f>
        <v/>
      </c>
      <c r="J11" s="280" t="n"/>
      <c r="K11" s="332">
        <f>IFERROR(VLOOKUP(TEXT(O11,"0"),CONDUCTORES!$A$3:$G$54,7,0),"")</f>
        <v/>
      </c>
      <c r="L11" s="280" t="n"/>
      <c r="M11" s="280" t="n"/>
      <c r="N11" s="333">
        <f>IFERROR(IF(L11*M11=0,"",L11*M11),"")</f>
        <v/>
      </c>
      <c r="O11" s="280" t="n"/>
      <c r="P11" s="332">
        <f>IFERROR(VLOOKUP(TEXT(O11,"0"),CONDUCTORES!$A$3:$G$54,2,0),"")</f>
        <v/>
      </c>
      <c r="Q11" s="332">
        <f>IFERROR(VLOOKUP(TEXT(O11,"0"),CONDUCTORES!$A$3:$H$54,6,0),"")</f>
        <v/>
      </c>
      <c r="R11" s="280" t="n"/>
      <c r="S11" s="280" t="n"/>
      <c r="T11" s="280" t="n"/>
      <c r="U11" s="280" t="n"/>
      <c r="V11" s="280" t="n"/>
      <c r="W11" s="280" t="n"/>
      <c r="X11" s="280" t="n"/>
      <c r="Y11" s="280" t="n"/>
      <c r="Z11" s="236">
        <f>IF(AND(G11&lt;&gt;"",R11&lt;&gt;"",V11&lt;&gt;"",W11&lt;&gt;""),"COMPLETADO","OBSERVADO")</f>
        <v/>
      </c>
      <c r="AA11" s="284" t="n"/>
    </row>
    <row r="12" ht="15.75" customHeight="1" s="195">
      <c r="A12" s="334" t="n"/>
      <c r="B12" s="334" t="n"/>
      <c r="C12" s="334" t="n"/>
      <c r="D12" s="334" t="n"/>
      <c r="E12" s="334" t="n"/>
      <c r="F12" s="334" t="n"/>
      <c r="G12" s="334" t="n"/>
      <c r="H12" s="334" t="n"/>
      <c r="I12" s="332">
        <f>IFERROR(VLOOKUP(TEXT(H12,"0"),IPRESS!$A$3:$B$212,2,0),"")</f>
        <v/>
      </c>
      <c r="J12" s="334" t="n"/>
      <c r="K12" s="332">
        <f>IFERROR(VLOOKUP(TEXT(O12,"0"),CONDUCTORES!$A$3:$G$54,7,0),"")</f>
        <v/>
      </c>
      <c r="L12" s="334" t="n"/>
      <c r="M12" s="334" t="n"/>
      <c r="N12" s="333">
        <f>IFERROR(IF(L12*M12=0,"",L12*M12),"")</f>
        <v/>
      </c>
      <c r="O12" s="334" t="n"/>
      <c r="P12" s="332">
        <f>IFERROR(VLOOKUP(TEXT(O12,"0"),CONDUCTORES!$A$3:$G$54,2,0),"")</f>
        <v/>
      </c>
      <c r="Q12" s="332">
        <f>IFERROR(VLOOKUP(TEXT(O12,"0"),CONDUCTORES!$A$3:$H$54,6,0),"")</f>
        <v/>
      </c>
      <c r="R12" s="334" t="n"/>
      <c r="S12" s="334" t="n"/>
      <c r="T12" s="334" t="n"/>
      <c r="U12" s="334" t="n"/>
      <c r="V12" s="334" t="n"/>
      <c r="W12" s="334" t="n"/>
      <c r="X12" s="334" t="n"/>
      <c r="Y12" s="334" t="n"/>
      <c r="Z12" s="242">
        <f>IF(AND(G12&lt;&gt;"",R12&lt;&gt;"",V12&lt;&gt;"",W12&lt;&gt;""),"COMPLETADO","OBSERVADO")</f>
        <v/>
      </c>
      <c r="AA12" s="284" t="n"/>
    </row>
    <row r="13" ht="15.75" customHeight="1" s="195">
      <c r="A13" s="280" t="n"/>
      <c r="B13" s="280" t="n"/>
      <c r="C13" s="280" t="n"/>
      <c r="D13" s="280" t="n"/>
      <c r="E13" s="280" t="n"/>
      <c r="F13" s="280" t="n"/>
      <c r="G13" s="280" t="n"/>
      <c r="H13" s="280" t="n"/>
      <c r="I13" s="332">
        <f>IFERROR(VLOOKUP(TEXT(H13,"0"),IPRESS!$A$3:$B$212,2,0),"")</f>
        <v/>
      </c>
      <c r="J13" s="280" t="n"/>
      <c r="K13" s="332">
        <f>IFERROR(VLOOKUP(TEXT(O13,"0"),CONDUCTORES!$A$3:$G$54,7,0),"")</f>
        <v/>
      </c>
      <c r="L13" s="280" t="n"/>
      <c r="M13" s="280" t="n"/>
      <c r="N13" s="333">
        <f>IFERROR(IF(L13*M13=0,"",L13*M13),"")</f>
        <v/>
      </c>
      <c r="O13" s="280" t="n"/>
      <c r="P13" s="332">
        <f>IFERROR(VLOOKUP(TEXT(O13,"0"),CONDUCTORES!$A$3:$G$54,2,0),"")</f>
        <v/>
      </c>
      <c r="Q13" s="332">
        <f>IFERROR(VLOOKUP(TEXT(O13,"0"),CONDUCTORES!$A$3:$H$54,6,0),"")</f>
        <v/>
      </c>
      <c r="R13" s="280" t="n"/>
      <c r="S13" s="280" t="n"/>
      <c r="T13" s="280" t="n"/>
      <c r="U13" s="280" t="n"/>
      <c r="V13" s="280" t="n"/>
      <c r="W13" s="280" t="n"/>
      <c r="X13" s="280" t="n"/>
      <c r="Y13" s="280" t="n"/>
      <c r="Z13" s="236">
        <f>IF(AND(G13&lt;&gt;"",R13&lt;&gt;"",V13&lt;&gt;"",W13&lt;&gt;""),"COMPLETADO","OBSERVADO")</f>
        <v/>
      </c>
      <c r="AA13" s="284" t="n"/>
    </row>
    <row r="14" ht="15.75" customHeight="1" s="195">
      <c r="A14" s="334" t="n"/>
      <c r="B14" s="334" t="n"/>
      <c r="C14" s="334" t="n"/>
      <c r="D14" s="334" t="n"/>
      <c r="E14" s="334" t="n"/>
      <c r="F14" s="334" t="n"/>
      <c r="G14" s="334" t="n"/>
      <c r="H14" s="334" t="n"/>
      <c r="I14" s="332">
        <f>IFERROR(VLOOKUP(TEXT(H14,"0"),IPRESS!$A$3:$B$212,2,0),"")</f>
        <v/>
      </c>
      <c r="J14" s="334" t="n"/>
      <c r="K14" s="332">
        <f>IFERROR(VLOOKUP(TEXT(O14,"0"),CONDUCTORES!$A$3:$G$54,7,0),"")</f>
        <v/>
      </c>
      <c r="L14" s="334" t="n"/>
      <c r="M14" s="334" t="n"/>
      <c r="N14" s="333">
        <f>IFERROR(IF(L14*M14=0,"",L14*M14),"")</f>
        <v/>
      </c>
      <c r="O14" s="334" t="n"/>
      <c r="P14" s="332">
        <f>IFERROR(VLOOKUP(TEXT(O14,"0"),CONDUCTORES!$A$3:$G$54,2,0),"")</f>
        <v/>
      </c>
      <c r="Q14" s="332">
        <f>IFERROR(VLOOKUP(TEXT(O14,"0"),CONDUCTORES!$A$3:$H$54,6,0),"")</f>
        <v/>
      </c>
      <c r="R14" s="334" t="n"/>
      <c r="S14" s="334" t="n"/>
      <c r="T14" s="334" t="n"/>
      <c r="U14" s="334" t="n"/>
      <c r="V14" s="334" t="n"/>
      <c r="W14" s="334" t="n"/>
      <c r="X14" s="334" t="n"/>
      <c r="Y14" s="334" t="n"/>
      <c r="Z14" s="242">
        <f>IF(AND(G14&lt;&gt;"",R14&lt;&gt;"",V14&lt;&gt;"",W14&lt;&gt;""),"COMPLETADO","OBSERVADO")</f>
        <v/>
      </c>
      <c r="AA14" s="284" t="n"/>
    </row>
    <row r="15" ht="15.75" customHeight="1" s="195">
      <c r="A15" s="280" t="n"/>
      <c r="B15" s="280" t="n"/>
      <c r="C15" s="280" t="n"/>
      <c r="D15" s="280" t="n"/>
      <c r="E15" s="280" t="n"/>
      <c r="F15" s="280" t="n"/>
      <c r="G15" s="280" t="n"/>
      <c r="H15" s="280" t="n"/>
      <c r="I15" s="332">
        <f>IFERROR(VLOOKUP(TEXT(H15,"0"),IPRESS!$A$3:$B$212,2,0),"")</f>
        <v/>
      </c>
      <c r="J15" s="280" t="n"/>
      <c r="K15" s="332">
        <f>IFERROR(VLOOKUP(TEXT(O15,"0"),CONDUCTORES!$A$3:$G$54,7,0),"")</f>
        <v/>
      </c>
      <c r="L15" s="280" t="n"/>
      <c r="M15" s="280" t="n"/>
      <c r="N15" s="333">
        <f>IFERROR(IF(L15*M15=0,"",L15*M15),"")</f>
        <v/>
      </c>
      <c r="O15" s="280" t="n"/>
      <c r="P15" s="332">
        <f>IFERROR(VLOOKUP(TEXT(O15,"0"),CONDUCTORES!$A$3:$G$54,2,0),"")</f>
        <v/>
      </c>
      <c r="Q15" s="332">
        <f>IFERROR(VLOOKUP(TEXT(O15,"0"),CONDUCTORES!$A$3:$H$54,6,0),"")</f>
        <v/>
      </c>
      <c r="R15" s="280" t="n"/>
      <c r="S15" s="280" t="n"/>
      <c r="T15" s="280" t="n"/>
      <c r="U15" s="280" t="n"/>
      <c r="V15" s="280" t="n"/>
      <c r="W15" s="280" t="n"/>
      <c r="X15" s="280" t="n"/>
      <c r="Y15" s="280" t="n"/>
      <c r="Z15" s="236">
        <f>IF(AND(G15&lt;&gt;"",R15&lt;&gt;"",V15&lt;&gt;"",W15&lt;&gt;""),"COMPLETADO","OBSERVADO")</f>
        <v/>
      </c>
      <c r="AA15" s="284" t="n"/>
    </row>
    <row r="16" ht="15.75" customHeight="1" s="195">
      <c r="A16" s="334" t="n"/>
      <c r="B16" s="334" t="n"/>
      <c r="C16" s="334" t="n"/>
      <c r="D16" s="334" t="n"/>
      <c r="E16" s="334" t="n"/>
      <c r="F16" s="334" t="n"/>
      <c r="G16" s="334" t="n"/>
      <c r="H16" s="334" t="n"/>
      <c r="I16" s="332">
        <f>IFERROR(VLOOKUP(TEXT(H16,"0"),IPRESS!$A$3:$B$212,2,0),"")</f>
        <v/>
      </c>
      <c r="J16" s="334" t="n"/>
      <c r="K16" s="332">
        <f>IFERROR(VLOOKUP(TEXT(O16,"0"),CONDUCTORES!$A$3:$G$54,7,0),"")</f>
        <v/>
      </c>
      <c r="L16" s="334" t="n"/>
      <c r="M16" s="334" t="n"/>
      <c r="N16" s="333">
        <f>IFERROR(IF(L16*M16=0,"",L16*M16),"")</f>
        <v/>
      </c>
      <c r="O16" s="334" t="n"/>
      <c r="P16" s="332">
        <f>IFERROR(VLOOKUP(TEXT(O16,"0"),CONDUCTORES!$A$3:$G$54,2,0),"")</f>
        <v/>
      </c>
      <c r="Q16" s="332">
        <f>IFERROR(VLOOKUP(TEXT(O16,"0"),CONDUCTORES!$A$3:$H$54,6,0),"")</f>
        <v/>
      </c>
      <c r="R16" s="334" t="n"/>
      <c r="S16" s="334" t="n"/>
      <c r="T16" s="334" t="n"/>
      <c r="U16" s="334" t="n"/>
      <c r="V16" s="334" t="n"/>
      <c r="W16" s="334" t="n"/>
      <c r="X16" s="334" t="n"/>
      <c r="Y16" s="334" t="n"/>
      <c r="Z16" s="242">
        <f>IF(AND(G16&lt;&gt;"",R16&lt;&gt;"",V16&lt;&gt;"",W16&lt;&gt;""),"COMPLETADO","OBSERVADO")</f>
        <v/>
      </c>
      <c r="AA16" s="284" t="n"/>
    </row>
    <row r="17" ht="15.75" customHeight="1" s="195">
      <c r="A17" s="280" t="n"/>
      <c r="B17" s="280" t="n"/>
      <c r="C17" s="280" t="n"/>
      <c r="D17" s="280" t="n"/>
      <c r="E17" s="280" t="n"/>
      <c r="F17" s="280" t="n"/>
      <c r="G17" s="280" t="n"/>
      <c r="H17" s="280" t="n"/>
      <c r="I17" s="332">
        <f>IFERROR(VLOOKUP(TEXT(H17,"0"),IPRESS!$A$3:$B$212,2,0),"")</f>
        <v/>
      </c>
      <c r="J17" s="280" t="n"/>
      <c r="K17" s="332">
        <f>IFERROR(VLOOKUP(TEXT(O17,"0"),CONDUCTORES!$A$3:$G$54,7,0),"")</f>
        <v/>
      </c>
      <c r="L17" s="280" t="n"/>
      <c r="M17" s="280" t="n"/>
      <c r="N17" s="333">
        <f>IFERROR(IF(L17*M17=0,"",L17*M17),"")</f>
        <v/>
      </c>
      <c r="O17" s="280" t="n"/>
      <c r="P17" s="332">
        <f>IFERROR(VLOOKUP(TEXT(O17,"0"),CONDUCTORES!$A$3:$G$54,2,0),"")</f>
        <v/>
      </c>
      <c r="Q17" s="332">
        <f>IFERROR(VLOOKUP(TEXT(O17,"0"),CONDUCTORES!$A$3:$H$54,6,0),"")</f>
        <v/>
      </c>
      <c r="R17" s="280" t="n"/>
      <c r="S17" s="280" t="n"/>
      <c r="T17" s="280" t="n"/>
      <c r="U17" s="280" t="n"/>
      <c r="V17" s="280" t="n"/>
      <c r="W17" s="280" t="n"/>
      <c r="X17" s="280" t="n"/>
      <c r="Y17" s="280" t="n"/>
      <c r="Z17" s="236">
        <f>IF(AND(G17&lt;&gt;"",R17&lt;&gt;"",V17&lt;&gt;"",W17&lt;&gt;""),"COMPLETADO","OBSERVADO")</f>
        <v/>
      </c>
      <c r="AA17" s="284" t="n"/>
    </row>
    <row r="18" ht="15.75" customHeight="1" s="195">
      <c r="A18" s="334" t="n"/>
      <c r="B18" s="334" t="n"/>
      <c r="C18" s="334" t="n"/>
      <c r="D18" s="334" t="n"/>
      <c r="E18" s="334" t="n"/>
      <c r="F18" s="334" t="n"/>
      <c r="G18" s="334" t="n"/>
      <c r="H18" s="334" t="n"/>
      <c r="I18" s="332">
        <f>IFERROR(VLOOKUP(TEXT(H18,"0"),IPRESS!$A$3:$B$212,2,0),"")</f>
        <v/>
      </c>
      <c r="J18" s="334" t="n"/>
      <c r="K18" s="332">
        <f>IFERROR(VLOOKUP(TEXT(O18,"0"),CONDUCTORES!$A$3:$G$54,7,0),"")</f>
        <v/>
      </c>
      <c r="L18" s="334" t="n"/>
      <c r="M18" s="334" t="n"/>
      <c r="N18" s="333">
        <f>IFERROR(IF(L18*M18=0,"",L18*M18),"")</f>
        <v/>
      </c>
      <c r="O18" s="334" t="n"/>
      <c r="P18" s="332">
        <f>IFERROR(VLOOKUP(TEXT(O18,"0"),CONDUCTORES!$A$3:$G$54,2,0),"")</f>
        <v/>
      </c>
      <c r="Q18" s="332">
        <f>IFERROR(VLOOKUP(TEXT(O18,"0"),CONDUCTORES!$A$3:$H$54,6,0),"")</f>
        <v/>
      </c>
      <c r="R18" s="334" t="n"/>
      <c r="S18" s="334" t="n"/>
      <c r="T18" s="334" t="n"/>
      <c r="U18" s="334" t="n"/>
      <c r="V18" s="334" t="n"/>
      <c r="W18" s="334" t="n"/>
      <c r="X18" s="334" t="n"/>
      <c r="Y18" s="334" t="n"/>
      <c r="Z18" s="242">
        <f>IF(AND(G18&lt;&gt;"",R18&lt;&gt;"",V18&lt;&gt;"",W18&lt;&gt;""),"COMPLETADO","OBSERVADO")</f>
        <v/>
      </c>
      <c r="AA18" s="284" t="n"/>
    </row>
    <row r="19" ht="15.75" customHeight="1" s="195">
      <c r="A19" s="280" t="n"/>
      <c r="B19" s="280" t="n"/>
      <c r="C19" s="280" t="n"/>
      <c r="D19" s="280" t="n"/>
      <c r="E19" s="280" t="n"/>
      <c r="F19" s="280" t="n"/>
      <c r="G19" s="280" t="n"/>
      <c r="H19" s="280" t="n"/>
      <c r="I19" s="332">
        <f>IFERROR(VLOOKUP(TEXT(H19,"0"),IPRESS!$A$3:$B$212,2,0),"")</f>
        <v/>
      </c>
      <c r="J19" s="280" t="n"/>
      <c r="K19" s="332">
        <f>IFERROR(VLOOKUP(TEXT(O19,"0"),CONDUCTORES!$A$3:$G$54,7,0),"")</f>
        <v/>
      </c>
      <c r="L19" s="280" t="n"/>
      <c r="M19" s="280" t="n"/>
      <c r="N19" s="333">
        <f>IFERROR(IF(L19*M19=0,"",L19*M19),"")</f>
        <v/>
      </c>
      <c r="O19" s="280" t="n"/>
      <c r="P19" s="332">
        <f>IFERROR(VLOOKUP(TEXT(O19,"0"),CONDUCTORES!$A$3:$G$54,2,0),"")</f>
        <v/>
      </c>
      <c r="Q19" s="332">
        <f>IFERROR(VLOOKUP(TEXT(O19,"0"),CONDUCTORES!$A$3:$H$54,6,0),"")</f>
        <v/>
      </c>
      <c r="R19" s="280" t="n"/>
      <c r="S19" s="280" t="n"/>
      <c r="T19" s="280" t="n"/>
      <c r="U19" s="280" t="n"/>
      <c r="V19" s="280" t="n"/>
      <c r="W19" s="280" t="n"/>
      <c r="X19" s="280" t="n"/>
      <c r="Y19" s="280" t="n"/>
      <c r="Z19" s="236">
        <f>IF(AND(G19&lt;&gt;"",R19&lt;&gt;"",V19&lt;&gt;"",W19&lt;&gt;""),"COMPLETADO","OBSERVADO")</f>
        <v/>
      </c>
      <c r="AA19" s="284" t="n"/>
    </row>
    <row r="20" ht="15.75" customHeight="1" s="195">
      <c r="A20" s="334" t="n"/>
      <c r="B20" s="334" t="n"/>
      <c r="C20" s="334" t="n"/>
      <c r="D20" s="334" t="n"/>
      <c r="E20" s="334" t="n"/>
      <c r="F20" s="334" t="n"/>
      <c r="G20" s="334" t="n"/>
      <c r="H20" s="334" t="n"/>
      <c r="I20" s="332">
        <f>IFERROR(VLOOKUP(TEXT(H20,"0"),IPRESS!$A$3:$B$212,2,0),"")</f>
        <v/>
      </c>
      <c r="J20" s="334" t="n"/>
      <c r="K20" s="332">
        <f>IFERROR(VLOOKUP(TEXT(O20,"0"),CONDUCTORES!$A$3:$G$54,7,0),"")</f>
        <v/>
      </c>
      <c r="L20" s="334" t="n"/>
      <c r="M20" s="334" t="n"/>
      <c r="N20" s="333">
        <f>IFERROR(IF(L20*M20=0,"",L20*M20),"")</f>
        <v/>
      </c>
      <c r="O20" s="334" t="n"/>
      <c r="P20" s="332">
        <f>IFERROR(VLOOKUP(TEXT(O20,"0"),CONDUCTORES!$A$3:$G$54,2,0),"")</f>
        <v/>
      </c>
      <c r="Q20" s="332">
        <f>IFERROR(VLOOKUP(TEXT(O20,"0"),CONDUCTORES!$A$3:$H$54,6,0),"")</f>
        <v/>
      </c>
      <c r="R20" s="334" t="n"/>
      <c r="S20" s="334" t="n"/>
      <c r="T20" s="334" t="n"/>
      <c r="U20" s="334" t="n"/>
      <c r="V20" s="334" t="n"/>
      <c r="W20" s="334" t="n"/>
      <c r="X20" s="334" t="n"/>
      <c r="Y20" s="334" t="n"/>
      <c r="Z20" s="242">
        <f>IF(AND(G20&lt;&gt;"",R20&lt;&gt;"",V20&lt;&gt;"",W20&lt;&gt;""),"COMPLETADO","OBSERVADO")</f>
        <v/>
      </c>
      <c r="AA20" s="284" t="n"/>
    </row>
    <row r="21" ht="15.75" customHeight="1" s="195">
      <c r="A21" s="280" t="n"/>
      <c r="B21" s="280" t="n"/>
      <c r="C21" s="280" t="n"/>
      <c r="D21" s="280" t="n"/>
      <c r="E21" s="280" t="n"/>
      <c r="F21" s="280" t="n"/>
      <c r="G21" s="280" t="n"/>
      <c r="H21" s="280" t="n"/>
      <c r="I21" s="332">
        <f>IFERROR(VLOOKUP(TEXT(H21,"0"),IPRESS!$A$3:$B$212,2,0),"")</f>
        <v/>
      </c>
      <c r="J21" s="280" t="n"/>
      <c r="K21" s="332">
        <f>IFERROR(VLOOKUP(TEXT(O21,"0"),CONDUCTORES!$A$3:$G$54,7,0),"")</f>
        <v/>
      </c>
      <c r="L21" s="280" t="n"/>
      <c r="M21" s="280" t="n"/>
      <c r="N21" s="333">
        <f>IFERROR(IF(L21*M21=0,"",L21*M21),"")</f>
        <v/>
      </c>
      <c r="O21" s="280" t="n"/>
      <c r="P21" s="332">
        <f>IFERROR(VLOOKUP(TEXT(O21,"0"),CONDUCTORES!$A$3:$G$54,2,0),"")</f>
        <v/>
      </c>
      <c r="Q21" s="332">
        <f>IFERROR(VLOOKUP(TEXT(O21,"0"),CONDUCTORES!$A$3:$H$54,6,0),"")</f>
        <v/>
      </c>
      <c r="R21" s="280" t="n"/>
      <c r="S21" s="280" t="n"/>
      <c r="T21" s="280" t="n"/>
      <c r="U21" s="280" t="n"/>
      <c r="V21" s="280" t="n"/>
      <c r="W21" s="280" t="n"/>
      <c r="X21" s="280" t="n"/>
      <c r="Y21" s="280" t="n"/>
      <c r="Z21" s="236">
        <f>IF(AND(G21&lt;&gt;"",R21&lt;&gt;"",V21&lt;&gt;"",W21&lt;&gt;""),"COMPLETADO","OBSERVADO")</f>
        <v/>
      </c>
      <c r="AA21" s="284" t="n"/>
    </row>
    <row r="22" ht="15.75" customHeight="1" s="195">
      <c r="A22" s="334" t="n"/>
      <c r="B22" s="334" t="n"/>
      <c r="C22" s="334" t="n"/>
      <c r="D22" s="334" t="n"/>
      <c r="E22" s="334" t="n"/>
      <c r="F22" s="334" t="n"/>
      <c r="G22" s="334" t="n"/>
      <c r="H22" s="334" t="n"/>
      <c r="I22" s="332">
        <f>IFERROR(VLOOKUP(TEXT(H22,"0"),IPRESS!$A$3:$B$212,2,0),"")</f>
        <v/>
      </c>
      <c r="J22" s="334" t="n"/>
      <c r="K22" s="332">
        <f>IFERROR(VLOOKUP(TEXT(O22,"0"),CONDUCTORES!$A$3:$G$54,7,0),"")</f>
        <v/>
      </c>
      <c r="L22" s="334" t="n"/>
      <c r="M22" s="334" t="n"/>
      <c r="N22" s="333">
        <f>IFERROR(IF(L22*M22=0,"",L22*M22),"")</f>
        <v/>
      </c>
      <c r="O22" s="334" t="n"/>
      <c r="P22" s="332">
        <f>IFERROR(VLOOKUP(TEXT(O22,"0"),CONDUCTORES!$A$3:$G$54,2,0),"")</f>
        <v/>
      </c>
      <c r="Q22" s="332">
        <f>IFERROR(VLOOKUP(TEXT(O22,"0"),CONDUCTORES!$A$3:$H$54,6,0),"")</f>
        <v/>
      </c>
      <c r="R22" s="334" t="n"/>
      <c r="S22" s="334" t="n"/>
      <c r="T22" s="334" t="n"/>
      <c r="U22" s="334" t="n"/>
      <c r="V22" s="334" t="n"/>
      <c r="W22" s="334" t="n"/>
      <c r="X22" s="334" t="n"/>
      <c r="Y22" s="334" t="n"/>
      <c r="Z22" s="242">
        <f>IF(AND(G22&lt;&gt;"",R22&lt;&gt;"",V22&lt;&gt;"",W22&lt;&gt;""),"COMPLETADO","OBSERVADO")</f>
        <v/>
      </c>
      <c r="AA22" s="284" t="n"/>
    </row>
    <row r="23" ht="15.75" customHeight="1" s="195">
      <c r="A23" s="280" t="n"/>
      <c r="B23" s="280" t="n"/>
      <c r="C23" s="280" t="n"/>
      <c r="D23" s="280" t="n"/>
      <c r="E23" s="280" t="n"/>
      <c r="F23" s="280" t="n"/>
      <c r="G23" s="280" t="n"/>
      <c r="H23" s="280" t="n"/>
      <c r="I23" s="332">
        <f>IFERROR(VLOOKUP(TEXT(H23,"0"),IPRESS!$A$3:$B$212,2,0),"")</f>
        <v/>
      </c>
      <c r="J23" s="280" t="n"/>
      <c r="K23" s="332">
        <f>IFERROR(VLOOKUP(TEXT(O23,"0"),CONDUCTORES!$A$3:$G$54,7,0),"")</f>
        <v/>
      </c>
      <c r="L23" s="280" t="n"/>
      <c r="M23" s="280" t="n"/>
      <c r="N23" s="333">
        <f>IFERROR(IF(L23*M23=0,"",L23*M23),"")</f>
        <v/>
      </c>
      <c r="O23" s="280" t="n"/>
      <c r="P23" s="332">
        <f>IFERROR(VLOOKUP(TEXT(O23,"0"),CONDUCTORES!$A$3:$G$54,2,0),"")</f>
        <v/>
      </c>
      <c r="Q23" s="332">
        <f>IFERROR(VLOOKUP(TEXT(O23,"0"),CONDUCTORES!$A$3:$H$54,6,0),"")</f>
        <v/>
      </c>
      <c r="R23" s="280" t="n"/>
      <c r="S23" s="280" t="n"/>
      <c r="T23" s="280" t="n"/>
      <c r="U23" s="280" t="n"/>
      <c r="V23" s="280" t="n"/>
      <c r="W23" s="280" t="n"/>
      <c r="X23" s="280" t="n"/>
      <c r="Y23" s="280" t="n"/>
      <c r="Z23" s="236">
        <f>IF(AND(G23&lt;&gt;"",R23&lt;&gt;"",V23&lt;&gt;"",W23&lt;&gt;""),"COMPLETADO","OBSERVADO")</f>
        <v/>
      </c>
      <c r="AA23" s="284" t="n"/>
    </row>
    <row r="24" ht="15.75" customHeight="1" s="195">
      <c r="A24" s="334" t="n"/>
      <c r="B24" s="334" t="n"/>
      <c r="C24" s="334" t="n"/>
      <c r="D24" s="334" t="n"/>
      <c r="E24" s="334" t="n"/>
      <c r="F24" s="334" t="n"/>
      <c r="G24" s="334" t="n"/>
      <c r="H24" s="334" t="n"/>
      <c r="I24" s="332">
        <f>IFERROR(VLOOKUP(TEXT(H24,"0"),IPRESS!$A$3:$B$212,2,0),"")</f>
        <v/>
      </c>
      <c r="J24" s="334" t="n"/>
      <c r="K24" s="332">
        <f>IFERROR(VLOOKUP(TEXT(O24,"0"),CONDUCTORES!$A$3:$G$54,7,0),"")</f>
        <v/>
      </c>
      <c r="L24" s="334" t="n"/>
      <c r="M24" s="334" t="n"/>
      <c r="N24" s="333">
        <f>IFERROR(IF(L24*M24=0,"",L24*M24),"")</f>
        <v/>
      </c>
      <c r="O24" s="334" t="n"/>
      <c r="P24" s="332">
        <f>IFERROR(VLOOKUP(TEXT(O24,"0"),CONDUCTORES!$A$3:$G$54,2,0),"")</f>
        <v/>
      </c>
      <c r="Q24" s="332">
        <f>IFERROR(VLOOKUP(TEXT(O24,"0"),CONDUCTORES!$A$3:$H$54,6,0),"")</f>
        <v/>
      </c>
      <c r="R24" s="334" t="n"/>
      <c r="S24" s="334" t="n"/>
      <c r="T24" s="334" t="n"/>
      <c r="U24" s="334" t="n"/>
      <c r="V24" s="334" t="n"/>
      <c r="W24" s="334" t="n"/>
      <c r="X24" s="334" t="n"/>
      <c r="Y24" s="334" t="n"/>
      <c r="Z24" s="242">
        <f>IF(AND(G24&lt;&gt;"",R24&lt;&gt;"",V24&lt;&gt;"",W24&lt;&gt;""),"COMPLETADO","OBSERVADO")</f>
        <v/>
      </c>
      <c r="AA24" s="284" t="n"/>
    </row>
    <row r="25" ht="15.75" customHeight="1" s="195">
      <c r="A25" s="280" t="n"/>
      <c r="B25" s="280" t="n"/>
      <c r="C25" s="280" t="n"/>
      <c r="D25" s="280" t="n"/>
      <c r="E25" s="280" t="n"/>
      <c r="F25" s="280" t="n"/>
      <c r="G25" s="280" t="n"/>
      <c r="H25" s="280" t="n"/>
      <c r="I25" s="332">
        <f>IFERROR(VLOOKUP(TEXT(H25,"0"),IPRESS!$A$3:$B$212,2,0),"")</f>
        <v/>
      </c>
      <c r="J25" s="280" t="n"/>
      <c r="K25" s="332">
        <f>IFERROR(VLOOKUP(TEXT(O25,"0"),CONDUCTORES!$A$3:$G$54,7,0),"")</f>
        <v/>
      </c>
      <c r="L25" s="280" t="n"/>
      <c r="M25" s="280" t="n"/>
      <c r="N25" s="333">
        <f>IFERROR(IF(L25*M25=0,"",L25*M25),"")</f>
        <v/>
      </c>
      <c r="O25" s="280" t="n"/>
      <c r="P25" s="332">
        <f>IFERROR(VLOOKUP(TEXT(O25,"0"),CONDUCTORES!$A$3:$G$54,2,0),"")</f>
        <v/>
      </c>
      <c r="Q25" s="332">
        <f>IFERROR(VLOOKUP(TEXT(O25,"0"),CONDUCTORES!$A$3:$H$54,6,0),"")</f>
        <v/>
      </c>
      <c r="R25" s="280" t="n"/>
      <c r="S25" s="280" t="n"/>
      <c r="T25" s="280" t="n"/>
      <c r="U25" s="280" t="n"/>
      <c r="V25" s="280" t="n"/>
      <c r="W25" s="280" t="n"/>
      <c r="X25" s="280" t="n"/>
      <c r="Y25" s="280" t="n"/>
      <c r="Z25" s="236">
        <f>IF(AND(G25&lt;&gt;"",R25&lt;&gt;"",V25&lt;&gt;"",W25&lt;&gt;""),"COMPLETADO","OBSERVADO")</f>
        <v/>
      </c>
      <c r="AA25" s="284" t="n"/>
    </row>
    <row r="26" ht="15.75" customHeight="1" s="195">
      <c r="A26" s="334" t="n"/>
      <c r="B26" s="334" t="n"/>
      <c r="C26" s="334" t="n"/>
      <c r="D26" s="334" t="n"/>
      <c r="E26" s="334" t="n"/>
      <c r="F26" s="334" t="n"/>
      <c r="G26" s="334" t="n"/>
      <c r="H26" s="334" t="n"/>
      <c r="I26" s="332">
        <f>IFERROR(VLOOKUP(TEXT(H26,"0"),IPRESS!$A$3:$B$212,2,0),"")</f>
        <v/>
      </c>
      <c r="J26" s="334" t="n"/>
      <c r="K26" s="332">
        <f>IFERROR(VLOOKUP(TEXT(O26,"0"),CONDUCTORES!$A$3:$G$54,7,0),"")</f>
        <v/>
      </c>
      <c r="L26" s="334" t="n"/>
      <c r="M26" s="334" t="n"/>
      <c r="N26" s="333">
        <f>IFERROR(IF(L26*M26=0,"",L26*M26),"")</f>
        <v/>
      </c>
      <c r="O26" s="334" t="n"/>
      <c r="P26" s="332">
        <f>IFERROR(VLOOKUP(TEXT(O26,"0"),CONDUCTORES!$A$3:$G$54,2,0),"")</f>
        <v/>
      </c>
      <c r="Q26" s="332">
        <f>IFERROR(VLOOKUP(TEXT(O26,"0"),CONDUCTORES!$A$3:$H$54,6,0),"")</f>
        <v/>
      </c>
      <c r="R26" s="334" t="n"/>
      <c r="S26" s="334" t="n"/>
      <c r="T26" s="334" t="n"/>
      <c r="U26" s="334" t="n"/>
      <c r="V26" s="334" t="n"/>
      <c r="W26" s="334" t="n"/>
      <c r="X26" s="334" t="n"/>
      <c r="Y26" s="334" t="n"/>
      <c r="Z26" s="242">
        <f>IF(AND(G26&lt;&gt;"",R26&lt;&gt;"",V26&lt;&gt;"",W26&lt;&gt;""),"COMPLETADO","OBSERVADO")</f>
        <v/>
      </c>
      <c r="AA26" s="284" t="n"/>
    </row>
    <row r="27" ht="15.75" customHeight="1" s="195">
      <c r="A27" s="280" t="n"/>
      <c r="B27" s="280" t="n"/>
      <c r="C27" s="280" t="n"/>
      <c r="D27" s="280" t="n"/>
      <c r="E27" s="280" t="n"/>
      <c r="F27" s="280" t="n"/>
      <c r="G27" s="280" t="n"/>
      <c r="H27" s="280" t="n"/>
      <c r="I27" s="332">
        <f>IFERROR(VLOOKUP(TEXT(H27,"0"),IPRESS!$A$3:$B$212,2,0),"")</f>
        <v/>
      </c>
      <c r="J27" s="280" t="n"/>
      <c r="K27" s="332">
        <f>IFERROR(VLOOKUP(TEXT(O27,"0"),CONDUCTORES!$A$3:$G$54,7,0),"")</f>
        <v/>
      </c>
      <c r="L27" s="280" t="n"/>
      <c r="M27" s="280" t="n"/>
      <c r="N27" s="333">
        <f>IFERROR(IF(L27*M27=0,"",L27*M27),"")</f>
        <v/>
      </c>
      <c r="O27" s="280" t="n"/>
      <c r="P27" s="332">
        <f>IFERROR(VLOOKUP(TEXT(O27,"0"),CONDUCTORES!$A$3:$G$54,2,0),"")</f>
        <v/>
      </c>
      <c r="Q27" s="332">
        <f>IFERROR(VLOOKUP(TEXT(O27,"0"),CONDUCTORES!$A$3:$H$54,6,0),"")</f>
        <v/>
      </c>
      <c r="R27" s="280" t="n"/>
      <c r="S27" s="280" t="n"/>
      <c r="T27" s="280" t="n"/>
      <c r="U27" s="280" t="n"/>
      <c r="V27" s="280" t="n"/>
      <c r="W27" s="280" t="n"/>
      <c r="X27" s="280" t="n"/>
      <c r="Y27" s="280" t="n"/>
      <c r="Z27" s="236">
        <f>IF(AND(G27&lt;&gt;"",R27&lt;&gt;"",V27&lt;&gt;"",W27&lt;&gt;""),"COMPLETADO","OBSERVADO")</f>
        <v/>
      </c>
      <c r="AA27" s="284" t="n"/>
    </row>
    <row r="28" ht="15.75" customHeight="1" s="195">
      <c r="A28" s="334" t="n"/>
      <c r="B28" s="334" t="n"/>
      <c r="C28" s="334" t="n"/>
      <c r="D28" s="334" t="n"/>
      <c r="E28" s="334" t="n"/>
      <c r="F28" s="334" t="n"/>
      <c r="G28" s="334" t="n"/>
      <c r="H28" s="334" t="n"/>
      <c r="I28" s="332">
        <f>IFERROR(VLOOKUP(TEXT(H28,"0"),IPRESS!$A$3:$B$212,2,0),"")</f>
        <v/>
      </c>
      <c r="J28" s="334" t="n"/>
      <c r="K28" s="332">
        <f>IFERROR(VLOOKUP(TEXT(O28,"0"),CONDUCTORES!$A$3:$G$54,7,0),"")</f>
        <v/>
      </c>
      <c r="L28" s="334" t="n"/>
      <c r="M28" s="334" t="n"/>
      <c r="N28" s="333">
        <f>IFERROR(IF(L28*M28=0,"",L28*M28),"")</f>
        <v/>
      </c>
      <c r="O28" s="334" t="n"/>
      <c r="P28" s="332">
        <f>IFERROR(VLOOKUP(TEXT(O28,"0"),CONDUCTORES!$A$3:$G$54,2,0),"")</f>
        <v/>
      </c>
      <c r="Q28" s="332">
        <f>IFERROR(VLOOKUP(TEXT(O28,"0"),CONDUCTORES!$A$3:$H$54,6,0),"")</f>
        <v/>
      </c>
      <c r="R28" s="334" t="n"/>
      <c r="S28" s="334" t="n"/>
      <c r="T28" s="334" t="n"/>
      <c r="U28" s="334" t="n"/>
      <c r="V28" s="334" t="n"/>
      <c r="W28" s="334" t="n"/>
      <c r="X28" s="334" t="n"/>
      <c r="Y28" s="334" t="n"/>
      <c r="Z28" s="242">
        <f>IF(AND(G28&lt;&gt;"",R28&lt;&gt;"",V28&lt;&gt;"",W28&lt;&gt;""),"COMPLETADO","OBSERVADO")</f>
        <v/>
      </c>
      <c r="AA28" s="284" t="n"/>
    </row>
    <row r="29" ht="15.75" customHeight="1" s="195">
      <c r="A29" s="280" t="n"/>
      <c r="B29" s="280" t="n"/>
      <c r="C29" s="280" t="n"/>
      <c r="D29" s="280" t="n"/>
      <c r="E29" s="280" t="n"/>
      <c r="F29" s="280" t="n"/>
      <c r="G29" s="280" t="n"/>
      <c r="H29" s="280" t="n"/>
      <c r="I29" s="332">
        <f>IFERROR(VLOOKUP(TEXT(H29,"0"),IPRESS!$A$3:$B$212,2,0),"")</f>
        <v/>
      </c>
      <c r="J29" s="280" t="n"/>
      <c r="K29" s="332">
        <f>IFERROR(VLOOKUP(TEXT(O29,"0"),CONDUCTORES!$A$3:$G$54,7,0),"")</f>
        <v/>
      </c>
      <c r="L29" s="280" t="n"/>
      <c r="M29" s="280" t="n"/>
      <c r="N29" s="333">
        <f>IFERROR(IF(L29*M29=0,"",L29*M29),"")</f>
        <v/>
      </c>
      <c r="O29" s="280" t="n"/>
      <c r="P29" s="332">
        <f>IFERROR(VLOOKUP(TEXT(O29,"0"),CONDUCTORES!$A$3:$G$54,2,0),"")</f>
        <v/>
      </c>
      <c r="Q29" s="332">
        <f>IFERROR(VLOOKUP(TEXT(O29,"0"),CONDUCTORES!$A$3:$H$54,6,0),"")</f>
        <v/>
      </c>
      <c r="R29" s="280" t="n"/>
      <c r="S29" s="280" t="n"/>
      <c r="T29" s="280" t="n"/>
      <c r="U29" s="280" t="n"/>
      <c r="V29" s="280" t="n"/>
      <c r="W29" s="280" t="n"/>
      <c r="X29" s="280" t="n"/>
      <c r="Y29" s="280" t="n"/>
      <c r="Z29" s="236">
        <f>IF(AND(G29&lt;&gt;"",R29&lt;&gt;"",V29&lt;&gt;"",W29&lt;&gt;""),"COMPLETADO","OBSERVADO")</f>
        <v/>
      </c>
      <c r="AA29" s="284" t="n"/>
    </row>
    <row r="30" ht="15.75" customHeight="1" s="195">
      <c r="A30" s="334" t="n"/>
      <c r="B30" s="334" t="n"/>
      <c r="C30" s="334" t="n"/>
      <c r="D30" s="334" t="n"/>
      <c r="E30" s="334" t="n"/>
      <c r="F30" s="334" t="n"/>
      <c r="G30" s="334" t="n"/>
      <c r="H30" s="334" t="n"/>
      <c r="I30" s="332">
        <f>IFERROR(VLOOKUP(TEXT(H30,"0"),IPRESS!$A$3:$B$212,2,0),"")</f>
        <v/>
      </c>
      <c r="J30" s="334" t="n"/>
      <c r="K30" s="332">
        <f>IFERROR(VLOOKUP(TEXT(O30,"0"),CONDUCTORES!$A$3:$G$54,7,0),"")</f>
        <v/>
      </c>
      <c r="L30" s="334" t="n"/>
      <c r="M30" s="334" t="n"/>
      <c r="N30" s="333">
        <f>IFERROR(IF(L30*M30=0,"",L30*M30),"")</f>
        <v/>
      </c>
      <c r="O30" s="334" t="n"/>
      <c r="P30" s="332">
        <f>IFERROR(VLOOKUP(TEXT(O30,"0"),CONDUCTORES!$A$3:$G$54,2,0),"")</f>
        <v/>
      </c>
      <c r="Q30" s="332">
        <f>IFERROR(VLOOKUP(TEXT(O30,"0"),CONDUCTORES!$A$3:$H$54,6,0),"")</f>
        <v/>
      </c>
      <c r="R30" s="334" t="n"/>
      <c r="S30" s="334" t="n"/>
      <c r="T30" s="334" t="n"/>
      <c r="U30" s="334" t="n"/>
      <c r="V30" s="334" t="n"/>
      <c r="W30" s="334" t="n"/>
      <c r="X30" s="334" t="n"/>
      <c r="Y30" s="334" t="n"/>
      <c r="Z30" s="242">
        <f>IF(AND(G30&lt;&gt;"",R30&lt;&gt;"",V30&lt;&gt;"",W30&lt;&gt;""),"COMPLETADO","OBSERVADO")</f>
        <v/>
      </c>
      <c r="AA30" s="284" t="n"/>
    </row>
    <row r="31" ht="15.75" customHeight="1" s="195">
      <c r="A31" s="280" t="n"/>
      <c r="B31" s="280" t="n"/>
      <c r="C31" s="280" t="n"/>
      <c r="D31" s="280" t="n"/>
      <c r="E31" s="280" t="n"/>
      <c r="F31" s="280" t="n"/>
      <c r="G31" s="280" t="n"/>
      <c r="H31" s="280" t="n"/>
      <c r="I31" s="332">
        <f>IFERROR(VLOOKUP(TEXT(H31,"0"),IPRESS!$A$3:$B$212,2,0),"")</f>
        <v/>
      </c>
      <c r="J31" s="280" t="n"/>
      <c r="K31" s="332">
        <f>IFERROR(VLOOKUP(TEXT(O31,"0"),CONDUCTORES!$A$3:$G$54,7,0),"")</f>
        <v/>
      </c>
      <c r="L31" s="280" t="n"/>
      <c r="M31" s="280" t="n"/>
      <c r="N31" s="333">
        <f>IFERROR(IF(L31*M31=0,"",L31*M31),"")</f>
        <v/>
      </c>
      <c r="O31" s="280" t="n"/>
      <c r="P31" s="332">
        <f>IFERROR(VLOOKUP(TEXT(O31,"0"),CONDUCTORES!$A$3:$G$54,2,0),"")</f>
        <v/>
      </c>
      <c r="Q31" s="332">
        <f>IFERROR(VLOOKUP(TEXT(O31,"0"),CONDUCTORES!$A$3:$H$54,6,0),"")</f>
        <v/>
      </c>
      <c r="R31" s="280" t="n"/>
      <c r="S31" s="280" t="n"/>
      <c r="T31" s="280" t="n"/>
      <c r="U31" s="280" t="n"/>
      <c r="V31" s="280" t="n"/>
      <c r="W31" s="280" t="n"/>
      <c r="X31" s="280" t="n"/>
      <c r="Y31" s="280" t="n"/>
      <c r="Z31" s="236">
        <f>IF(AND(G31&lt;&gt;"",R31&lt;&gt;"",V31&lt;&gt;"",W31&lt;&gt;""),"COMPLETADO","OBSERVADO")</f>
        <v/>
      </c>
      <c r="AA31" s="284" t="n"/>
    </row>
    <row r="32" ht="15.75" customHeight="1" s="195">
      <c r="A32" s="334" t="n"/>
      <c r="B32" s="334" t="n"/>
      <c r="C32" s="334" t="n"/>
      <c r="D32" s="334" t="n"/>
      <c r="E32" s="334" t="n"/>
      <c r="F32" s="334" t="n"/>
      <c r="G32" s="334" t="n"/>
      <c r="H32" s="334" t="n"/>
      <c r="I32" s="332">
        <f>IFERROR(VLOOKUP(TEXT(H32,"0"),IPRESS!$A$3:$B$212,2,0),"")</f>
        <v/>
      </c>
      <c r="J32" s="334" t="n"/>
      <c r="K32" s="332">
        <f>IFERROR(VLOOKUP(TEXT(O32,"0"),CONDUCTORES!$A$3:$G$54,7,0),"")</f>
        <v/>
      </c>
      <c r="L32" s="334" t="n"/>
      <c r="M32" s="334" t="n"/>
      <c r="N32" s="333">
        <f>IFERROR(IF(L32*M32=0,"",L32*M32),"")</f>
        <v/>
      </c>
      <c r="O32" s="334" t="n"/>
      <c r="P32" s="332">
        <f>IFERROR(VLOOKUP(TEXT(O32,"0"),CONDUCTORES!$A$3:$G$54,2,0),"")</f>
        <v/>
      </c>
      <c r="Q32" s="332">
        <f>IFERROR(VLOOKUP(TEXT(O32,"0"),CONDUCTORES!$A$3:$H$54,6,0),"")</f>
        <v/>
      </c>
      <c r="R32" s="334" t="n"/>
      <c r="S32" s="334" t="n"/>
      <c r="T32" s="334" t="n"/>
      <c r="U32" s="334" t="n"/>
      <c r="V32" s="334" t="n"/>
      <c r="W32" s="334" t="n"/>
      <c r="X32" s="334" t="n"/>
      <c r="Y32" s="334" t="n"/>
      <c r="Z32" s="242">
        <f>IF(AND(G32&lt;&gt;"",R32&lt;&gt;"",V32&lt;&gt;"",W32&lt;&gt;""),"COMPLETADO","OBSERVADO")</f>
        <v/>
      </c>
      <c r="AA32" s="284" t="n"/>
    </row>
    <row r="33" ht="15.75" customHeight="1" s="195">
      <c r="A33" s="280" t="n"/>
      <c r="B33" s="280" t="n"/>
      <c r="C33" s="280" t="n"/>
      <c r="D33" s="280" t="n"/>
      <c r="E33" s="280" t="n"/>
      <c r="F33" s="280" t="n"/>
      <c r="G33" s="280" t="n"/>
      <c r="H33" s="280" t="n"/>
      <c r="I33" s="332">
        <f>IFERROR(VLOOKUP(TEXT(H33,"0"),IPRESS!$A$3:$B$212,2,0),"")</f>
        <v/>
      </c>
      <c r="J33" s="280" t="n"/>
      <c r="K33" s="332">
        <f>IFERROR(VLOOKUP(TEXT(O33,"0"),CONDUCTORES!$A$3:$G$54,7,0),"")</f>
        <v/>
      </c>
      <c r="L33" s="280" t="n"/>
      <c r="M33" s="280" t="n"/>
      <c r="N33" s="333">
        <f>IFERROR(IF(L33*M33=0,"",L33*M33),"")</f>
        <v/>
      </c>
      <c r="O33" s="280" t="n"/>
      <c r="P33" s="332">
        <f>IFERROR(VLOOKUP(TEXT(O33,"0"),CONDUCTORES!$A$3:$G$54,2,0),"")</f>
        <v/>
      </c>
      <c r="Q33" s="332">
        <f>IFERROR(VLOOKUP(TEXT(O33,"0"),CONDUCTORES!$A$3:$H$54,6,0),"")</f>
        <v/>
      </c>
      <c r="R33" s="280" t="n"/>
      <c r="S33" s="280" t="n"/>
      <c r="T33" s="280" t="n"/>
      <c r="U33" s="280" t="n"/>
      <c r="V33" s="280" t="n"/>
      <c r="W33" s="280" t="n"/>
      <c r="X33" s="280" t="n"/>
      <c r="Y33" s="280" t="n"/>
      <c r="Z33" s="236">
        <f>IF(AND(G33&lt;&gt;"",R33&lt;&gt;"",V33&lt;&gt;"",W33&lt;&gt;""),"COMPLETADO","OBSERVADO")</f>
        <v/>
      </c>
      <c r="AA33" s="284" t="n"/>
    </row>
    <row r="34" ht="15.75" customHeight="1" s="195">
      <c r="A34" s="334" t="n"/>
      <c r="B34" s="334" t="n"/>
      <c r="C34" s="334" t="n"/>
      <c r="D34" s="334" t="n"/>
      <c r="E34" s="334" t="n"/>
      <c r="F34" s="334" t="n"/>
      <c r="G34" s="334" t="n"/>
      <c r="H34" s="334" t="n"/>
      <c r="I34" s="332">
        <f>IFERROR(VLOOKUP(TEXT(H34,"0"),IPRESS!$A$3:$B$212,2,0),"")</f>
        <v/>
      </c>
      <c r="J34" s="334" t="n"/>
      <c r="K34" s="332">
        <f>IFERROR(VLOOKUP(TEXT(O34,"0"),CONDUCTORES!$A$3:$G$54,7,0),"")</f>
        <v/>
      </c>
      <c r="L34" s="334" t="n"/>
      <c r="M34" s="334" t="n"/>
      <c r="N34" s="333">
        <f>IFERROR(IF(L34*M34=0,"",L34*M34),"")</f>
        <v/>
      </c>
      <c r="O34" s="334" t="n"/>
      <c r="P34" s="332">
        <f>IFERROR(VLOOKUP(TEXT(O34,"0"),CONDUCTORES!$A$3:$G$54,2,0),"")</f>
        <v/>
      </c>
      <c r="Q34" s="332">
        <f>IFERROR(VLOOKUP(TEXT(O34,"0"),CONDUCTORES!$A$3:$H$54,6,0),"")</f>
        <v/>
      </c>
      <c r="R34" s="334" t="n"/>
      <c r="S34" s="334" t="n"/>
      <c r="T34" s="334" t="n"/>
      <c r="U34" s="334" t="n"/>
      <c r="V34" s="334" t="n"/>
      <c r="W34" s="334" t="n"/>
      <c r="X34" s="334" t="n"/>
      <c r="Y34" s="334" t="n"/>
      <c r="Z34" s="242">
        <f>IF(AND(G34&lt;&gt;"",R34&lt;&gt;"",V34&lt;&gt;"",W34&lt;&gt;""),"COMPLETADO","OBSERVADO")</f>
        <v/>
      </c>
      <c r="AA34" s="284" t="n"/>
    </row>
    <row r="35" ht="15.75" customHeight="1" s="195">
      <c r="A35" s="280" t="n"/>
      <c r="B35" s="280" t="n"/>
      <c r="C35" s="280" t="n"/>
      <c r="D35" s="280" t="n"/>
      <c r="E35" s="280" t="n"/>
      <c r="F35" s="280" t="n"/>
      <c r="G35" s="280" t="n"/>
      <c r="H35" s="280" t="n"/>
      <c r="I35" s="332">
        <f>IFERROR(VLOOKUP(TEXT(H35,"0"),IPRESS!$A$3:$B$212,2,0),"")</f>
        <v/>
      </c>
      <c r="J35" s="280" t="n"/>
      <c r="K35" s="332">
        <f>IFERROR(VLOOKUP(TEXT(O35,"0"),CONDUCTORES!$A$3:$G$54,7,0),"")</f>
        <v/>
      </c>
      <c r="L35" s="280" t="n"/>
      <c r="M35" s="280" t="n"/>
      <c r="N35" s="333">
        <f>IFERROR(IF(L35*M35=0,"",L35*M35),"")</f>
        <v/>
      </c>
      <c r="O35" s="280" t="n"/>
      <c r="P35" s="332">
        <f>IFERROR(VLOOKUP(TEXT(O35,"0"),CONDUCTORES!$A$3:$G$54,2,0),"")</f>
        <v/>
      </c>
      <c r="Q35" s="332">
        <f>IFERROR(VLOOKUP(TEXT(O35,"0"),CONDUCTORES!$A$3:$H$54,6,0),"")</f>
        <v/>
      </c>
      <c r="R35" s="280" t="n"/>
      <c r="S35" s="280" t="n"/>
      <c r="T35" s="280" t="n"/>
      <c r="U35" s="280" t="n"/>
      <c r="V35" s="280" t="n"/>
      <c r="W35" s="280" t="n"/>
      <c r="X35" s="280" t="n"/>
      <c r="Y35" s="280" t="n"/>
      <c r="Z35" s="236">
        <f>IF(AND(G35&lt;&gt;"",R35&lt;&gt;"",V35&lt;&gt;"",W35&lt;&gt;""),"COMPLETADO","OBSERVADO")</f>
        <v/>
      </c>
      <c r="AA35" s="284" t="n"/>
    </row>
    <row r="36" ht="15.75" customHeight="1" s="195">
      <c r="A36" s="334" t="n"/>
      <c r="B36" s="334" t="n"/>
      <c r="C36" s="334" t="n"/>
      <c r="D36" s="334" t="n"/>
      <c r="E36" s="334" t="n"/>
      <c r="F36" s="334" t="n"/>
      <c r="G36" s="334" t="n"/>
      <c r="H36" s="334" t="n"/>
      <c r="I36" s="332">
        <f>IFERROR(VLOOKUP(TEXT(H36,"0"),IPRESS!$A$3:$B$212,2,0),"")</f>
        <v/>
      </c>
      <c r="J36" s="334" t="n"/>
      <c r="K36" s="332">
        <f>IFERROR(VLOOKUP(TEXT(O36,"0"),CONDUCTORES!$A$3:$G$54,7,0),"")</f>
        <v/>
      </c>
      <c r="L36" s="334" t="n"/>
      <c r="M36" s="334" t="n"/>
      <c r="N36" s="333">
        <f>IFERROR(IF(L36*M36=0,"",L36*M36),"")</f>
        <v/>
      </c>
      <c r="O36" s="334" t="n"/>
      <c r="P36" s="332">
        <f>IFERROR(VLOOKUP(TEXT(O36,"0"),CONDUCTORES!$A$3:$G$54,2,0),"")</f>
        <v/>
      </c>
      <c r="Q36" s="332">
        <f>IFERROR(VLOOKUP(TEXT(O36,"0"),CONDUCTORES!$A$3:$H$54,6,0),"")</f>
        <v/>
      </c>
      <c r="R36" s="334" t="n"/>
      <c r="S36" s="334" t="n"/>
      <c r="T36" s="334" t="n"/>
      <c r="U36" s="334" t="n"/>
      <c r="V36" s="334" t="n"/>
      <c r="W36" s="334" t="n"/>
      <c r="X36" s="334" t="n"/>
      <c r="Y36" s="334" t="n"/>
      <c r="Z36" s="242">
        <f>IF(AND(G36&lt;&gt;"",R36&lt;&gt;"",V36&lt;&gt;"",W36&lt;&gt;""),"COMPLETADO","OBSERVADO")</f>
        <v/>
      </c>
      <c r="AA36" s="284" t="n"/>
    </row>
    <row r="37" ht="15.75" customHeight="1" s="195">
      <c r="A37" s="280" t="n"/>
      <c r="B37" s="280" t="n"/>
      <c r="C37" s="280" t="n"/>
      <c r="D37" s="280" t="n"/>
      <c r="E37" s="280" t="n"/>
      <c r="F37" s="280" t="n"/>
      <c r="G37" s="280" t="n"/>
      <c r="H37" s="280" t="n"/>
      <c r="I37" s="332">
        <f>IFERROR(VLOOKUP(TEXT(H37,"0"),IPRESS!$A$3:$B$212,2,0),"")</f>
        <v/>
      </c>
      <c r="J37" s="280" t="n"/>
      <c r="K37" s="332">
        <f>IFERROR(VLOOKUP(TEXT(O37,"0"),CONDUCTORES!$A$3:$G$54,7,0),"")</f>
        <v/>
      </c>
      <c r="L37" s="280" t="n"/>
      <c r="M37" s="280" t="n"/>
      <c r="N37" s="333">
        <f>IFERROR(IF(L37*M37=0,"",L37*M37),"")</f>
        <v/>
      </c>
      <c r="O37" s="280" t="n"/>
      <c r="P37" s="332">
        <f>IFERROR(VLOOKUP(TEXT(O37,"0"),CONDUCTORES!$A$3:$G$54,2,0),"")</f>
        <v/>
      </c>
      <c r="Q37" s="332">
        <f>IFERROR(VLOOKUP(TEXT(O37,"0"),CONDUCTORES!$A$3:$H$54,6,0),"")</f>
        <v/>
      </c>
      <c r="R37" s="280" t="n"/>
      <c r="S37" s="280" t="n"/>
      <c r="T37" s="280" t="n"/>
      <c r="U37" s="280" t="n"/>
      <c r="V37" s="280" t="n"/>
      <c r="W37" s="280" t="n"/>
      <c r="X37" s="280" t="n"/>
      <c r="Y37" s="280" t="n"/>
      <c r="Z37" s="236">
        <f>IF(AND(G37&lt;&gt;"",R37&lt;&gt;"",V37&lt;&gt;"",W37&lt;&gt;""),"COMPLETADO","OBSERVADO")</f>
        <v/>
      </c>
      <c r="AA37" s="284" t="n"/>
    </row>
    <row r="38" ht="15.75" customHeight="1" s="195">
      <c r="A38" s="334" t="n"/>
      <c r="B38" s="334" t="n"/>
      <c r="C38" s="334" t="n"/>
      <c r="D38" s="334" t="n"/>
      <c r="E38" s="334" t="n"/>
      <c r="F38" s="334" t="n"/>
      <c r="G38" s="334" t="n"/>
      <c r="H38" s="334" t="n"/>
      <c r="I38" s="332">
        <f>IFERROR(VLOOKUP(TEXT(H38,"0"),IPRESS!$A$3:$B$212,2,0),"")</f>
        <v/>
      </c>
      <c r="J38" s="334" t="n"/>
      <c r="K38" s="332">
        <f>IFERROR(VLOOKUP(TEXT(O38,"0"),CONDUCTORES!$A$3:$G$54,7,0),"")</f>
        <v/>
      </c>
      <c r="L38" s="334" t="n"/>
      <c r="M38" s="334" t="n"/>
      <c r="N38" s="333">
        <f>IFERROR(IF(L38*M38=0,"",L38*M38),"")</f>
        <v/>
      </c>
      <c r="O38" s="334" t="n"/>
      <c r="P38" s="332">
        <f>IFERROR(VLOOKUP(TEXT(O38,"0"),CONDUCTORES!$A$3:$G$54,2,0),"")</f>
        <v/>
      </c>
      <c r="Q38" s="332">
        <f>IFERROR(VLOOKUP(TEXT(O38,"0"),CONDUCTORES!$A$3:$H$54,6,0),"")</f>
        <v/>
      </c>
      <c r="R38" s="334" t="n"/>
      <c r="S38" s="334" t="n"/>
      <c r="T38" s="334" t="n"/>
      <c r="U38" s="334" t="n"/>
      <c r="V38" s="334" t="n"/>
      <c r="W38" s="334" t="n"/>
      <c r="X38" s="334" t="n"/>
      <c r="Y38" s="334" t="n"/>
      <c r="Z38" s="242">
        <f>IF(AND(G38&lt;&gt;"",R38&lt;&gt;"",V38&lt;&gt;"",W38&lt;&gt;""),"COMPLETADO","OBSERVADO")</f>
        <v/>
      </c>
      <c r="AA38" s="284" t="n"/>
    </row>
    <row r="39" ht="15.75" customHeight="1" s="195">
      <c r="A39" s="280" t="n"/>
      <c r="B39" s="280" t="n"/>
      <c r="C39" s="280" t="n"/>
      <c r="D39" s="280" t="n"/>
      <c r="E39" s="280" t="n"/>
      <c r="F39" s="280" t="n"/>
      <c r="G39" s="280" t="n"/>
      <c r="H39" s="280" t="n"/>
      <c r="I39" s="332">
        <f>IFERROR(VLOOKUP(TEXT(H39,"0"),IPRESS!$A$3:$B$212,2,0),"")</f>
        <v/>
      </c>
      <c r="J39" s="280" t="n"/>
      <c r="K39" s="332">
        <f>IFERROR(VLOOKUP(TEXT(O39,"0"),CONDUCTORES!$A$3:$G$54,7,0),"")</f>
        <v/>
      </c>
      <c r="L39" s="280" t="n"/>
      <c r="M39" s="280" t="n"/>
      <c r="N39" s="333">
        <f>IFERROR(IF(L39*M39=0,"",L39*M39),"")</f>
        <v/>
      </c>
      <c r="O39" s="280" t="n"/>
      <c r="P39" s="332">
        <f>IFERROR(VLOOKUP(TEXT(O39,"0"),CONDUCTORES!$A$3:$G$54,2,0),"")</f>
        <v/>
      </c>
      <c r="Q39" s="332">
        <f>IFERROR(VLOOKUP(TEXT(O39,"0"),CONDUCTORES!$A$3:$H$54,6,0),"")</f>
        <v/>
      </c>
      <c r="R39" s="280" t="n"/>
      <c r="S39" s="280" t="n"/>
      <c r="T39" s="280" t="n"/>
      <c r="U39" s="280" t="n"/>
      <c r="V39" s="280" t="n"/>
      <c r="W39" s="280" t="n"/>
      <c r="X39" s="280" t="n"/>
      <c r="Y39" s="280" t="n"/>
      <c r="Z39" s="236">
        <f>IF(AND(G39&lt;&gt;"",R39&lt;&gt;"",V39&lt;&gt;"",W39&lt;&gt;""),"COMPLETADO","OBSERVADO")</f>
        <v/>
      </c>
      <c r="AA39" s="284" t="n"/>
    </row>
    <row r="40" ht="15.75" customHeight="1" s="195">
      <c r="A40" s="334" t="n"/>
      <c r="B40" s="334" t="n"/>
      <c r="C40" s="334" t="n"/>
      <c r="D40" s="334" t="n"/>
      <c r="E40" s="334" t="n"/>
      <c r="F40" s="334" t="n"/>
      <c r="G40" s="334" t="n"/>
      <c r="H40" s="334" t="n"/>
      <c r="I40" s="332">
        <f>IFERROR(VLOOKUP(TEXT(H40,"0"),IPRESS!$A$3:$B$212,2,0),"")</f>
        <v/>
      </c>
      <c r="J40" s="334" t="n"/>
      <c r="K40" s="332">
        <f>IFERROR(VLOOKUP(TEXT(O40,"0"),CONDUCTORES!$A$3:$G$54,7,0),"")</f>
        <v/>
      </c>
      <c r="L40" s="334" t="n"/>
      <c r="M40" s="334" t="n"/>
      <c r="N40" s="333">
        <f>IFERROR(IF(L40*M40=0,"",L40*M40),"")</f>
        <v/>
      </c>
      <c r="O40" s="334" t="n"/>
      <c r="P40" s="332">
        <f>IFERROR(VLOOKUP(TEXT(O40,"0"),CONDUCTORES!$A$3:$G$54,2,0),"")</f>
        <v/>
      </c>
      <c r="Q40" s="332">
        <f>IFERROR(VLOOKUP(TEXT(O40,"0"),CONDUCTORES!$A$3:$H$54,6,0),"")</f>
        <v/>
      </c>
      <c r="R40" s="334" t="n"/>
      <c r="S40" s="334" t="n"/>
      <c r="T40" s="334" t="n"/>
      <c r="U40" s="334" t="n"/>
      <c r="V40" s="334" t="n"/>
      <c r="W40" s="334" t="n"/>
      <c r="X40" s="334" t="n"/>
      <c r="Y40" s="334" t="n"/>
      <c r="Z40" s="242">
        <f>IF(AND(G40&lt;&gt;"",R40&lt;&gt;"",V40&lt;&gt;"",W40&lt;&gt;""),"COMPLETADO","OBSERVADO")</f>
        <v/>
      </c>
      <c r="AA40" s="284" t="n"/>
    </row>
    <row r="41" ht="15.75" customHeight="1" s="195">
      <c r="A41" s="280" t="n"/>
      <c r="B41" s="280" t="n"/>
      <c r="C41" s="280" t="n"/>
      <c r="D41" s="280" t="n"/>
      <c r="E41" s="280" t="n"/>
      <c r="F41" s="280" t="n"/>
      <c r="G41" s="280" t="n"/>
      <c r="H41" s="280" t="n"/>
      <c r="I41" s="332">
        <f>IFERROR(VLOOKUP(TEXT(H41,"0"),IPRESS!$A$3:$B$212,2,0),"")</f>
        <v/>
      </c>
      <c r="J41" s="280" t="n"/>
      <c r="K41" s="332">
        <f>IFERROR(VLOOKUP(TEXT(O41,"0"),CONDUCTORES!$A$3:$G$54,7,0),"")</f>
        <v/>
      </c>
      <c r="L41" s="280" t="n"/>
      <c r="M41" s="280" t="n"/>
      <c r="N41" s="333">
        <f>IFERROR(IF(L41*M41=0,"",L41*M41),"")</f>
        <v/>
      </c>
      <c r="O41" s="280" t="n"/>
      <c r="P41" s="332">
        <f>IFERROR(VLOOKUP(TEXT(O41,"0"),CONDUCTORES!$A$3:$G$54,2,0),"")</f>
        <v/>
      </c>
      <c r="Q41" s="332">
        <f>IFERROR(VLOOKUP(TEXT(O41,"0"),CONDUCTORES!$A$3:$H$54,6,0),"")</f>
        <v/>
      </c>
      <c r="R41" s="280" t="n"/>
      <c r="S41" s="280" t="n"/>
      <c r="T41" s="280" t="n"/>
      <c r="U41" s="280" t="n"/>
      <c r="V41" s="280" t="n"/>
      <c r="W41" s="280" t="n"/>
      <c r="X41" s="280" t="n"/>
      <c r="Y41" s="280" t="n"/>
      <c r="Z41" s="236">
        <f>IF(AND(G41&lt;&gt;"",R41&lt;&gt;"",V41&lt;&gt;"",W41&lt;&gt;""),"COMPLETADO","OBSERVADO")</f>
        <v/>
      </c>
      <c r="AA41" s="284" t="n"/>
    </row>
    <row r="42" ht="15.75" customHeight="1" s="195">
      <c r="A42" s="334" t="n"/>
      <c r="B42" s="334" t="n"/>
      <c r="C42" s="334" t="n"/>
      <c r="D42" s="334" t="n"/>
      <c r="E42" s="334" t="n"/>
      <c r="F42" s="334" t="n"/>
      <c r="G42" s="334" t="n"/>
      <c r="H42" s="334" t="n"/>
      <c r="I42" s="332">
        <f>IFERROR(VLOOKUP(TEXT(H42,"0"),IPRESS!$A$3:$B$212,2,0),"")</f>
        <v/>
      </c>
      <c r="J42" s="334" t="n"/>
      <c r="K42" s="332">
        <f>IFERROR(VLOOKUP(TEXT(O42,"0"),CONDUCTORES!$A$3:$G$54,7,0),"")</f>
        <v/>
      </c>
      <c r="L42" s="334" t="n"/>
      <c r="M42" s="334" t="n"/>
      <c r="N42" s="333">
        <f>IFERROR(IF(L42*M42=0,"",L42*M42),"")</f>
        <v/>
      </c>
      <c r="O42" s="334" t="n"/>
      <c r="P42" s="332">
        <f>IFERROR(VLOOKUP(TEXT(O42,"0"),CONDUCTORES!$A$3:$G$54,2,0),"")</f>
        <v/>
      </c>
      <c r="Q42" s="332">
        <f>IFERROR(VLOOKUP(TEXT(O42,"0"),CONDUCTORES!$A$3:$H$54,6,0),"")</f>
        <v/>
      </c>
      <c r="R42" s="334" t="n"/>
      <c r="S42" s="334" t="n"/>
      <c r="T42" s="334" t="n"/>
      <c r="U42" s="334" t="n"/>
      <c r="V42" s="334" t="n"/>
      <c r="W42" s="334" t="n"/>
      <c r="X42" s="334" t="n"/>
      <c r="Y42" s="334" t="n"/>
      <c r="Z42" s="242">
        <f>IF(AND(G42&lt;&gt;"",R42&lt;&gt;"",V42&lt;&gt;"",W42&lt;&gt;""),"COMPLETADO","OBSERVADO")</f>
        <v/>
      </c>
      <c r="AA42" s="284" t="n"/>
    </row>
    <row r="43" ht="15.75" customHeight="1" s="195">
      <c r="A43" s="280" t="n"/>
      <c r="B43" s="280" t="n"/>
      <c r="C43" s="280" t="n"/>
      <c r="D43" s="280" t="n"/>
      <c r="E43" s="280" t="n"/>
      <c r="F43" s="280" t="n"/>
      <c r="G43" s="280" t="n"/>
      <c r="H43" s="280" t="n"/>
      <c r="I43" s="332">
        <f>IFERROR(VLOOKUP(TEXT(H43,"0"),IPRESS!$A$3:$B$212,2,0),"")</f>
        <v/>
      </c>
      <c r="J43" s="280" t="n"/>
      <c r="K43" s="332">
        <f>IFERROR(VLOOKUP(TEXT(O43,"0"),CONDUCTORES!$A$3:$G$54,7,0),"")</f>
        <v/>
      </c>
      <c r="L43" s="280" t="n"/>
      <c r="M43" s="280" t="n"/>
      <c r="N43" s="333">
        <f>IFERROR(IF(L43*M43=0,"",L43*M43),"")</f>
        <v/>
      </c>
      <c r="O43" s="280" t="n"/>
      <c r="P43" s="332">
        <f>IFERROR(VLOOKUP(TEXT(O43,"0"),CONDUCTORES!$A$3:$G$54,2,0),"")</f>
        <v/>
      </c>
      <c r="Q43" s="332">
        <f>IFERROR(VLOOKUP(TEXT(O43,"0"),CONDUCTORES!$A$3:$H$54,6,0),"")</f>
        <v/>
      </c>
      <c r="R43" s="280" t="n"/>
      <c r="S43" s="280" t="n"/>
      <c r="T43" s="280" t="n"/>
      <c r="U43" s="280" t="n"/>
      <c r="V43" s="280" t="n"/>
      <c r="W43" s="280" t="n"/>
      <c r="X43" s="280" t="n"/>
      <c r="Y43" s="280" t="n"/>
      <c r="Z43" s="236">
        <f>IF(AND(G43&lt;&gt;"",R43&lt;&gt;"",V43&lt;&gt;"",W43&lt;&gt;""),"COMPLETADO","OBSERVADO")</f>
        <v/>
      </c>
      <c r="AA43" s="284" t="n"/>
    </row>
    <row r="44" ht="15.75" customHeight="1" s="195">
      <c r="A44" s="334" t="n"/>
      <c r="B44" s="334" t="n"/>
      <c r="C44" s="334" t="n"/>
      <c r="D44" s="334" t="n"/>
      <c r="E44" s="334" t="n"/>
      <c r="F44" s="334" t="n"/>
      <c r="G44" s="334" t="n"/>
      <c r="H44" s="334" t="n"/>
      <c r="I44" s="332">
        <f>IFERROR(VLOOKUP(TEXT(H44,"0"),IPRESS!$A$3:$B$212,2,0),"")</f>
        <v/>
      </c>
      <c r="J44" s="334" t="n"/>
      <c r="K44" s="332">
        <f>IFERROR(VLOOKUP(TEXT(O44,"0"),CONDUCTORES!$A$3:$G$54,7,0),"")</f>
        <v/>
      </c>
      <c r="L44" s="334" t="n"/>
      <c r="M44" s="334" t="n"/>
      <c r="N44" s="333">
        <f>IFERROR(IF(L44*M44=0,"",L44*M44),"")</f>
        <v/>
      </c>
      <c r="O44" s="334" t="n"/>
      <c r="P44" s="332">
        <f>IFERROR(VLOOKUP(TEXT(O44,"0"),CONDUCTORES!$A$3:$G$54,2,0),"")</f>
        <v/>
      </c>
      <c r="Q44" s="332">
        <f>IFERROR(VLOOKUP(TEXT(O44,"0"),CONDUCTORES!$A$3:$H$54,6,0),"")</f>
        <v/>
      </c>
      <c r="R44" s="334" t="n"/>
      <c r="S44" s="334" t="n"/>
      <c r="T44" s="334" t="n"/>
      <c r="U44" s="334" t="n"/>
      <c r="V44" s="334" t="n"/>
      <c r="W44" s="334" t="n"/>
      <c r="X44" s="334" t="n"/>
      <c r="Y44" s="334" t="n"/>
      <c r="Z44" s="242">
        <f>IF(AND(G44&lt;&gt;"",R44&lt;&gt;"",V44&lt;&gt;"",W44&lt;&gt;""),"COMPLETADO","OBSERVADO")</f>
        <v/>
      </c>
      <c r="AA44" s="284" t="n"/>
    </row>
    <row r="45" ht="15.75" customHeight="1" s="195">
      <c r="A45" s="280" t="n"/>
      <c r="B45" s="280" t="n"/>
      <c r="C45" s="280" t="n"/>
      <c r="D45" s="280" t="n"/>
      <c r="E45" s="280" t="n"/>
      <c r="F45" s="280" t="n"/>
      <c r="G45" s="280" t="n"/>
      <c r="H45" s="280" t="n"/>
      <c r="I45" s="332">
        <f>IFERROR(VLOOKUP(TEXT(H45,"0"),IPRESS!$A$3:$B$212,2,0),"")</f>
        <v/>
      </c>
      <c r="J45" s="280" t="n"/>
      <c r="K45" s="332">
        <f>IFERROR(VLOOKUP(TEXT(O45,"0"),CONDUCTORES!$A$3:$G$54,7,0),"")</f>
        <v/>
      </c>
      <c r="L45" s="280" t="n"/>
      <c r="M45" s="280" t="n"/>
      <c r="N45" s="333">
        <f>IFERROR(IF(L45*M45=0,"",L45*M45),"")</f>
        <v/>
      </c>
      <c r="O45" s="280" t="n"/>
      <c r="P45" s="332">
        <f>IFERROR(VLOOKUP(TEXT(O45,"0"),CONDUCTORES!$A$3:$G$54,2,0),"")</f>
        <v/>
      </c>
      <c r="Q45" s="332">
        <f>IFERROR(VLOOKUP(TEXT(O45,"0"),CONDUCTORES!$A$3:$H$54,6,0),"")</f>
        <v/>
      </c>
      <c r="R45" s="280" t="n"/>
      <c r="S45" s="280" t="n"/>
      <c r="T45" s="280" t="n"/>
      <c r="U45" s="280" t="n"/>
      <c r="V45" s="280" t="n"/>
      <c r="W45" s="280" t="n"/>
      <c r="X45" s="280" t="n"/>
      <c r="Y45" s="280" t="n"/>
      <c r="Z45" s="236">
        <f>IF(AND(G45&lt;&gt;"",R45&lt;&gt;"",V45&lt;&gt;"",W45&lt;&gt;""),"COMPLETADO","OBSERVADO")</f>
        <v/>
      </c>
      <c r="AA45" s="284" t="n"/>
    </row>
    <row r="46" ht="15.75" customHeight="1" s="195">
      <c r="A46" s="334" t="n"/>
      <c r="B46" s="334" t="n"/>
      <c r="C46" s="334" t="n"/>
      <c r="D46" s="334" t="n"/>
      <c r="E46" s="334" t="n"/>
      <c r="F46" s="334" t="n"/>
      <c r="G46" s="334" t="n"/>
      <c r="H46" s="334" t="n"/>
      <c r="I46" s="332">
        <f>IFERROR(VLOOKUP(TEXT(H46,"0"),IPRESS!$A$3:$B$212,2,0),"")</f>
        <v/>
      </c>
      <c r="J46" s="334" t="n"/>
      <c r="K46" s="332">
        <f>IFERROR(VLOOKUP(TEXT(O46,"0"),CONDUCTORES!$A$3:$G$54,7,0),"")</f>
        <v/>
      </c>
      <c r="L46" s="334" t="n"/>
      <c r="M46" s="334" t="n"/>
      <c r="N46" s="333">
        <f>IFERROR(IF(L46*M46=0,"",L46*M46),"")</f>
        <v/>
      </c>
      <c r="O46" s="334" t="n"/>
      <c r="P46" s="332">
        <f>IFERROR(VLOOKUP(TEXT(O46,"0"),CONDUCTORES!$A$3:$G$54,2,0),"")</f>
        <v/>
      </c>
      <c r="Q46" s="332">
        <f>IFERROR(VLOOKUP(TEXT(O46,"0"),CONDUCTORES!$A$3:$H$54,6,0),"")</f>
        <v/>
      </c>
      <c r="R46" s="334" t="n"/>
      <c r="S46" s="334" t="n"/>
      <c r="T46" s="334" t="n"/>
      <c r="U46" s="334" t="n"/>
      <c r="V46" s="334" t="n"/>
      <c r="W46" s="334" t="n"/>
      <c r="X46" s="334" t="n"/>
      <c r="Y46" s="334" t="n"/>
      <c r="Z46" s="242">
        <f>IF(AND(G46&lt;&gt;"",R46&lt;&gt;"",V46&lt;&gt;"",W46&lt;&gt;""),"COMPLETADO","OBSERVADO")</f>
        <v/>
      </c>
      <c r="AA46" s="284" t="n"/>
    </row>
    <row r="47" ht="15.75" customHeight="1" s="195">
      <c r="A47" s="280" t="n"/>
      <c r="B47" s="280" t="n"/>
      <c r="C47" s="280" t="n"/>
      <c r="D47" s="280" t="n"/>
      <c r="E47" s="280" t="n"/>
      <c r="F47" s="280" t="n"/>
      <c r="G47" s="280" t="n"/>
      <c r="H47" s="280" t="n"/>
      <c r="I47" s="332">
        <f>IFERROR(VLOOKUP(TEXT(H47,"0"),IPRESS!$A$3:$B$212,2,0),"")</f>
        <v/>
      </c>
      <c r="J47" s="280" t="n"/>
      <c r="K47" s="332">
        <f>IFERROR(VLOOKUP(TEXT(O47,"0"),CONDUCTORES!$A$3:$G$54,7,0),"")</f>
        <v/>
      </c>
      <c r="L47" s="280" t="n"/>
      <c r="M47" s="280" t="n"/>
      <c r="N47" s="333">
        <f>IFERROR(IF(L47*M47=0,"",L47*M47),"")</f>
        <v/>
      </c>
      <c r="O47" s="280" t="n"/>
      <c r="P47" s="332">
        <f>IFERROR(VLOOKUP(TEXT(O47,"0"),CONDUCTORES!$A$3:$G$54,2,0),"")</f>
        <v/>
      </c>
      <c r="Q47" s="332">
        <f>IFERROR(VLOOKUP(TEXT(O47,"0"),CONDUCTORES!$A$3:$H$54,6,0),"")</f>
        <v/>
      </c>
      <c r="R47" s="280" t="n"/>
      <c r="S47" s="280" t="n"/>
      <c r="T47" s="280" t="n"/>
      <c r="U47" s="280" t="n"/>
      <c r="V47" s="280" t="n"/>
      <c r="W47" s="280" t="n"/>
      <c r="X47" s="280" t="n"/>
      <c r="Y47" s="280" t="n"/>
      <c r="Z47" s="236">
        <f>IF(AND(G47&lt;&gt;"",R47&lt;&gt;"",V47&lt;&gt;"",W47&lt;&gt;""),"COMPLETADO","OBSERVADO")</f>
        <v/>
      </c>
      <c r="AA47" s="284" t="n"/>
    </row>
    <row r="48" ht="15.75" customHeight="1" s="195">
      <c r="A48" s="334" t="n"/>
      <c r="B48" s="334" t="n"/>
      <c r="C48" s="334" t="n"/>
      <c r="D48" s="334" t="n"/>
      <c r="E48" s="334" t="n"/>
      <c r="F48" s="334" t="n"/>
      <c r="G48" s="334" t="n"/>
      <c r="H48" s="334" t="n"/>
      <c r="I48" s="332">
        <f>IFERROR(VLOOKUP(TEXT(H48,"0"),IPRESS!$A$3:$B$212,2,0),"")</f>
        <v/>
      </c>
      <c r="J48" s="334" t="n"/>
      <c r="K48" s="332">
        <f>IFERROR(VLOOKUP(TEXT(O48,"0"),CONDUCTORES!$A$3:$G$54,7,0),"")</f>
        <v/>
      </c>
      <c r="L48" s="334" t="n"/>
      <c r="M48" s="334" t="n"/>
      <c r="N48" s="333">
        <f>IFERROR(IF(L48*M48=0,"",L48*M48),"")</f>
        <v/>
      </c>
      <c r="O48" s="334" t="n"/>
      <c r="P48" s="332">
        <f>IFERROR(VLOOKUP(TEXT(O48,"0"),CONDUCTORES!$A$3:$G$54,2,0),"")</f>
        <v/>
      </c>
      <c r="Q48" s="332">
        <f>IFERROR(VLOOKUP(TEXT(O48,"0"),CONDUCTORES!$A$3:$H$54,6,0),"")</f>
        <v/>
      </c>
      <c r="R48" s="334" t="n"/>
      <c r="S48" s="334" t="n"/>
      <c r="T48" s="334" t="n"/>
      <c r="U48" s="334" t="n"/>
      <c r="V48" s="334" t="n"/>
      <c r="W48" s="334" t="n"/>
      <c r="X48" s="334" t="n"/>
      <c r="Y48" s="334" t="n"/>
      <c r="Z48" s="242">
        <f>IF(AND(G48&lt;&gt;"",R48&lt;&gt;"",V48&lt;&gt;"",W48&lt;&gt;""),"COMPLETADO","OBSERVADO")</f>
        <v/>
      </c>
      <c r="AA48" s="284" t="n"/>
    </row>
    <row r="49" ht="15.75" customHeight="1" s="195">
      <c r="A49" s="280" t="n"/>
      <c r="B49" s="280" t="n"/>
      <c r="C49" s="280" t="n"/>
      <c r="D49" s="280" t="n"/>
      <c r="E49" s="280" t="n"/>
      <c r="F49" s="280" t="n"/>
      <c r="G49" s="280" t="n"/>
      <c r="H49" s="280" t="n"/>
      <c r="I49" s="332">
        <f>IFERROR(VLOOKUP(TEXT(H49,"0"),IPRESS!$A$3:$B$212,2,0),"")</f>
        <v/>
      </c>
      <c r="J49" s="280" t="n"/>
      <c r="K49" s="332">
        <f>IFERROR(VLOOKUP(TEXT(O49,"0"),CONDUCTORES!$A$3:$G$54,7,0),"")</f>
        <v/>
      </c>
      <c r="L49" s="280" t="n"/>
      <c r="M49" s="280" t="n"/>
      <c r="N49" s="333">
        <f>IFERROR(IF(L49*M49=0,"",L49*M49),"")</f>
        <v/>
      </c>
      <c r="O49" s="280" t="n"/>
      <c r="P49" s="332">
        <f>IFERROR(VLOOKUP(TEXT(O49,"0"),CONDUCTORES!$A$3:$G$54,2,0),"")</f>
        <v/>
      </c>
      <c r="Q49" s="332">
        <f>IFERROR(VLOOKUP(TEXT(O49,"0"),CONDUCTORES!$A$3:$H$54,6,0),"")</f>
        <v/>
      </c>
      <c r="R49" s="280" t="n"/>
      <c r="S49" s="280" t="n"/>
      <c r="T49" s="280" t="n"/>
      <c r="U49" s="280" t="n"/>
      <c r="V49" s="280" t="n"/>
      <c r="W49" s="280" t="n"/>
      <c r="X49" s="280" t="n"/>
      <c r="Y49" s="280" t="n"/>
      <c r="Z49" s="236">
        <f>IF(AND(G49&lt;&gt;"",R49&lt;&gt;"",V49&lt;&gt;"",W49&lt;&gt;""),"COMPLETADO","OBSERVADO")</f>
        <v/>
      </c>
      <c r="AA49" s="284" t="n"/>
    </row>
    <row r="50" ht="15.75" customHeight="1" s="195">
      <c r="A50" s="334" t="n"/>
      <c r="B50" s="334" t="n"/>
      <c r="C50" s="334" t="n"/>
      <c r="D50" s="334" t="n"/>
      <c r="E50" s="334" t="n"/>
      <c r="F50" s="334" t="n"/>
      <c r="G50" s="334" t="n"/>
      <c r="H50" s="334" t="n"/>
      <c r="I50" s="332">
        <f>IFERROR(VLOOKUP(TEXT(H50,"0"),IPRESS!$A$3:$B$212,2,0),"")</f>
        <v/>
      </c>
      <c r="J50" s="334" t="n"/>
      <c r="K50" s="332">
        <f>IFERROR(VLOOKUP(TEXT(O50,"0"),CONDUCTORES!$A$3:$G$54,7,0),"")</f>
        <v/>
      </c>
      <c r="L50" s="334" t="n"/>
      <c r="M50" s="334" t="n"/>
      <c r="N50" s="333">
        <f>IFERROR(IF(L50*M50=0,"",L50*M50),"")</f>
        <v/>
      </c>
      <c r="O50" s="334" t="n"/>
      <c r="P50" s="332">
        <f>IFERROR(VLOOKUP(TEXT(O50,"0"),CONDUCTORES!$A$3:$G$54,2,0),"")</f>
        <v/>
      </c>
      <c r="Q50" s="332">
        <f>IFERROR(VLOOKUP(TEXT(O50,"0"),CONDUCTORES!$A$3:$H$54,6,0),"")</f>
        <v/>
      </c>
      <c r="R50" s="334" t="n"/>
      <c r="S50" s="334" t="n"/>
      <c r="T50" s="334" t="n"/>
      <c r="U50" s="334" t="n"/>
      <c r="V50" s="334" t="n"/>
      <c r="W50" s="334" t="n"/>
      <c r="X50" s="334" t="n"/>
      <c r="Y50" s="334" t="n"/>
      <c r="Z50" s="242">
        <f>IF(AND(G50&lt;&gt;"",R50&lt;&gt;"",V50&lt;&gt;"",W50&lt;&gt;""),"COMPLETADO","OBSERVADO")</f>
        <v/>
      </c>
      <c r="AA50" s="284" t="n"/>
    </row>
    <row r="51" ht="15.75" customHeight="1" s="195">
      <c r="A51" s="280" t="n"/>
      <c r="B51" s="280" t="n"/>
      <c r="C51" s="280" t="n"/>
      <c r="D51" s="280" t="n"/>
      <c r="E51" s="280" t="n"/>
      <c r="F51" s="280" t="n"/>
      <c r="G51" s="280" t="n"/>
      <c r="H51" s="280" t="n"/>
      <c r="I51" s="332">
        <f>IFERROR(VLOOKUP(TEXT(H51,"0"),IPRESS!$A$3:$B$212,2,0),"")</f>
        <v/>
      </c>
      <c r="J51" s="280" t="n"/>
      <c r="K51" s="332">
        <f>IFERROR(VLOOKUP(TEXT(O51,"0"),CONDUCTORES!$A$3:$G$54,7,0),"")</f>
        <v/>
      </c>
      <c r="L51" s="280" t="n"/>
      <c r="M51" s="280" t="n"/>
      <c r="N51" s="333">
        <f>IFERROR(IF(L51*M51=0,"",L51*M51),"")</f>
        <v/>
      </c>
      <c r="O51" s="280" t="n"/>
      <c r="P51" s="332">
        <f>IFERROR(VLOOKUP(TEXT(O51,"0"),CONDUCTORES!$A$3:$G$54,2,0),"")</f>
        <v/>
      </c>
      <c r="Q51" s="332">
        <f>IFERROR(VLOOKUP(TEXT(O51,"0"),CONDUCTORES!$A$3:$H$54,6,0),"")</f>
        <v/>
      </c>
      <c r="R51" s="280" t="n"/>
      <c r="S51" s="280" t="n"/>
      <c r="T51" s="280" t="n"/>
      <c r="U51" s="280" t="n"/>
      <c r="V51" s="280" t="n"/>
      <c r="W51" s="280" t="n"/>
      <c r="X51" s="280" t="n"/>
      <c r="Y51" s="280" t="n"/>
      <c r="Z51" s="236">
        <f>IF(AND(G51&lt;&gt;"",R51&lt;&gt;"",V51&lt;&gt;"",W51&lt;&gt;""),"COMPLETADO","OBSERVADO")</f>
        <v/>
      </c>
      <c r="AA51" s="284" t="n"/>
    </row>
    <row r="52" ht="15.75" customHeight="1" s="195">
      <c r="A52" s="334" t="n"/>
      <c r="B52" s="334" t="n"/>
      <c r="C52" s="334" t="n"/>
      <c r="D52" s="334" t="n"/>
      <c r="E52" s="334" t="n"/>
      <c r="F52" s="334" t="n"/>
      <c r="G52" s="334" t="n"/>
      <c r="H52" s="334" t="n"/>
      <c r="I52" s="332">
        <f>IFERROR(VLOOKUP(TEXT(H52,"0"),IPRESS!$A$3:$B$212,2,0),"")</f>
        <v/>
      </c>
      <c r="J52" s="334" t="n"/>
      <c r="K52" s="332">
        <f>IFERROR(VLOOKUP(TEXT(O52,"0"),CONDUCTORES!$A$3:$G$54,7,0),"")</f>
        <v/>
      </c>
      <c r="L52" s="334" t="n"/>
      <c r="M52" s="334" t="n"/>
      <c r="N52" s="333">
        <f>IFERROR(IF(L52*M52=0,"",L52*M52),"")</f>
        <v/>
      </c>
      <c r="O52" s="334" t="n"/>
      <c r="P52" s="332">
        <f>IFERROR(VLOOKUP(TEXT(O52,"0"),CONDUCTORES!$A$3:$G$54,2,0),"")</f>
        <v/>
      </c>
      <c r="Q52" s="332">
        <f>IFERROR(VLOOKUP(TEXT(O52,"0"),CONDUCTORES!$A$3:$H$54,6,0),"")</f>
        <v/>
      </c>
      <c r="R52" s="334" t="n"/>
      <c r="S52" s="334" t="n"/>
      <c r="T52" s="334" t="n"/>
      <c r="U52" s="334" t="n"/>
      <c r="V52" s="334" t="n"/>
      <c r="W52" s="334" t="n"/>
      <c r="X52" s="334" t="n"/>
      <c r="Y52" s="334" t="n"/>
      <c r="Z52" s="242">
        <f>IF(AND(G52&lt;&gt;"",R52&lt;&gt;"",V52&lt;&gt;"",W52&lt;&gt;""),"COMPLETADO","OBSERVADO")</f>
        <v/>
      </c>
      <c r="AA52" s="284" t="n"/>
    </row>
    <row r="53" ht="15.75" customHeight="1" s="195">
      <c r="A53" s="280" t="n"/>
      <c r="B53" s="280" t="n"/>
      <c r="C53" s="280" t="n"/>
      <c r="D53" s="280" t="n"/>
      <c r="E53" s="280" t="n"/>
      <c r="F53" s="280" t="n"/>
      <c r="G53" s="280" t="n"/>
      <c r="H53" s="280" t="n"/>
      <c r="I53" s="332">
        <f>IFERROR(VLOOKUP(TEXT(H53,"0"),IPRESS!$A$3:$B$212,2,0),"")</f>
        <v/>
      </c>
      <c r="J53" s="280" t="n"/>
      <c r="K53" s="332">
        <f>IFERROR(VLOOKUP(TEXT(O53,"0"),CONDUCTORES!$A$3:$G$54,7,0),"")</f>
        <v/>
      </c>
      <c r="L53" s="280" t="n"/>
      <c r="M53" s="280" t="n"/>
      <c r="N53" s="333">
        <f>IFERROR(IF(L53*M53=0,"",L53*M53),"")</f>
        <v/>
      </c>
      <c r="O53" s="280" t="n"/>
      <c r="P53" s="332">
        <f>IFERROR(VLOOKUP(TEXT(O53,"0"),CONDUCTORES!$A$3:$G$54,2,0),"")</f>
        <v/>
      </c>
      <c r="Q53" s="332">
        <f>IFERROR(VLOOKUP(TEXT(O53,"0"),CONDUCTORES!$A$3:$H$54,6,0),"")</f>
        <v/>
      </c>
      <c r="R53" s="280" t="n"/>
      <c r="S53" s="280" t="n"/>
      <c r="T53" s="280" t="n"/>
      <c r="U53" s="280" t="n"/>
      <c r="V53" s="280" t="n"/>
      <c r="W53" s="280" t="n"/>
      <c r="X53" s="280" t="n"/>
      <c r="Y53" s="280" t="n"/>
      <c r="Z53" s="236">
        <f>IF(AND(G53&lt;&gt;"",R53&lt;&gt;"",V53&lt;&gt;"",W53&lt;&gt;""),"COMPLETADO","OBSERVADO")</f>
        <v/>
      </c>
      <c r="AA53" s="284" t="n"/>
    </row>
    <row r="54" ht="15.75" customHeight="1" s="195">
      <c r="A54" s="334" t="n"/>
      <c r="B54" s="334" t="n"/>
      <c r="C54" s="334" t="n"/>
      <c r="D54" s="334" t="n"/>
      <c r="E54" s="334" t="n"/>
      <c r="F54" s="334" t="n"/>
      <c r="G54" s="334" t="n"/>
      <c r="H54" s="334" t="n"/>
      <c r="I54" s="332">
        <f>IFERROR(VLOOKUP(TEXT(H54,"0"),IPRESS!$A$3:$B$212,2,0),"")</f>
        <v/>
      </c>
      <c r="J54" s="334" t="n"/>
      <c r="K54" s="332">
        <f>IFERROR(VLOOKUP(TEXT(O54,"0"),CONDUCTORES!$A$3:$G$54,7,0),"")</f>
        <v/>
      </c>
      <c r="L54" s="334" t="n"/>
      <c r="M54" s="334" t="n"/>
      <c r="N54" s="333">
        <f>IFERROR(IF(L54*M54=0,"",L54*M54),"")</f>
        <v/>
      </c>
      <c r="O54" s="334" t="n"/>
      <c r="P54" s="332">
        <f>IFERROR(VLOOKUP(TEXT(O54,"0"),CONDUCTORES!$A$3:$G$54,2,0),"")</f>
        <v/>
      </c>
      <c r="Q54" s="332">
        <f>IFERROR(VLOOKUP(TEXT(O54,"0"),CONDUCTORES!$A$3:$H$54,6,0),"")</f>
        <v/>
      </c>
      <c r="R54" s="334" t="n"/>
      <c r="S54" s="334" t="n"/>
      <c r="T54" s="334" t="n"/>
      <c r="U54" s="334" t="n"/>
      <c r="V54" s="334" t="n"/>
      <c r="W54" s="334" t="n"/>
      <c r="X54" s="334" t="n"/>
      <c r="Y54" s="334" t="n"/>
      <c r="Z54" s="242">
        <f>IF(AND(G54&lt;&gt;"",R54&lt;&gt;"",V54&lt;&gt;"",W54&lt;&gt;""),"COMPLETADO","OBSERVADO")</f>
        <v/>
      </c>
      <c r="AA54" s="284" t="n"/>
    </row>
    <row r="55" ht="15.75" customHeight="1" s="195">
      <c r="A55" s="280" t="n"/>
      <c r="B55" s="280" t="n"/>
      <c r="C55" s="280" t="n"/>
      <c r="D55" s="280" t="n"/>
      <c r="E55" s="280" t="n"/>
      <c r="F55" s="280" t="n"/>
      <c r="G55" s="280" t="n"/>
      <c r="H55" s="280" t="n"/>
      <c r="I55" s="332">
        <f>IFERROR(VLOOKUP(TEXT(H55,"0"),IPRESS!$A$3:$B$212,2,0),"")</f>
        <v/>
      </c>
      <c r="J55" s="280" t="n"/>
      <c r="K55" s="332">
        <f>IFERROR(VLOOKUP(TEXT(O55,"0"),CONDUCTORES!$A$3:$G$54,7,0),"")</f>
        <v/>
      </c>
      <c r="L55" s="280" t="n"/>
      <c r="M55" s="280" t="n"/>
      <c r="N55" s="333">
        <f>IFERROR(IF(L55*M55=0,"",L55*M55),"")</f>
        <v/>
      </c>
      <c r="O55" s="280" t="n"/>
      <c r="P55" s="332">
        <f>IFERROR(VLOOKUP(TEXT(O55,"0"),CONDUCTORES!$A$3:$G$54,2,0),"")</f>
        <v/>
      </c>
      <c r="Q55" s="332">
        <f>IFERROR(VLOOKUP(TEXT(O55,"0"),CONDUCTORES!$A$3:$H$54,6,0),"")</f>
        <v/>
      </c>
      <c r="R55" s="280" t="n"/>
      <c r="S55" s="280" t="n"/>
      <c r="T55" s="280" t="n"/>
      <c r="U55" s="280" t="n"/>
      <c r="V55" s="280" t="n"/>
      <c r="W55" s="280" t="n"/>
      <c r="X55" s="280" t="n"/>
      <c r="Y55" s="280" t="n"/>
      <c r="Z55" s="236">
        <f>IF(AND(G55&lt;&gt;"",R55&lt;&gt;"",V55&lt;&gt;"",W55&lt;&gt;""),"COMPLETADO","OBSERVADO")</f>
        <v/>
      </c>
      <c r="AA55" s="284" t="n"/>
    </row>
    <row r="56" ht="15.75" customHeight="1" s="195">
      <c r="A56" s="334" t="n"/>
      <c r="B56" s="334" t="n"/>
      <c r="C56" s="334" t="n"/>
      <c r="D56" s="334" t="n"/>
      <c r="E56" s="334" t="n"/>
      <c r="F56" s="334" t="n"/>
      <c r="G56" s="334" t="n"/>
      <c r="H56" s="334" t="n"/>
      <c r="I56" s="332">
        <f>IFERROR(VLOOKUP(TEXT(H56,"0"),IPRESS!$A$3:$B$212,2,0),"")</f>
        <v/>
      </c>
      <c r="J56" s="334" t="n"/>
      <c r="K56" s="332">
        <f>IFERROR(VLOOKUP(TEXT(O56,"0"),CONDUCTORES!$A$3:$G$54,7,0),"")</f>
        <v/>
      </c>
      <c r="L56" s="334" t="n"/>
      <c r="M56" s="334" t="n"/>
      <c r="N56" s="333">
        <f>IFERROR(IF(L56*M56=0,"",L56*M56),"")</f>
        <v/>
      </c>
      <c r="O56" s="334" t="n"/>
      <c r="P56" s="332">
        <f>IFERROR(VLOOKUP(TEXT(O56,"0"),CONDUCTORES!$A$3:$G$54,2,0),"")</f>
        <v/>
      </c>
      <c r="Q56" s="332">
        <f>IFERROR(VLOOKUP(TEXT(O56,"0"),CONDUCTORES!$A$3:$H$54,6,0),"")</f>
        <v/>
      </c>
      <c r="R56" s="334" t="n"/>
      <c r="S56" s="334" t="n"/>
      <c r="T56" s="334" t="n"/>
      <c r="U56" s="334" t="n"/>
      <c r="V56" s="334" t="n"/>
      <c r="W56" s="334" t="n"/>
      <c r="X56" s="334" t="n"/>
      <c r="Y56" s="334" t="n"/>
      <c r="Z56" s="242">
        <f>IF(AND(G56&lt;&gt;"",R56&lt;&gt;"",V56&lt;&gt;"",W56&lt;&gt;""),"COMPLETADO","OBSERVADO")</f>
        <v/>
      </c>
      <c r="AA56" s="284" t="n"/>
    </row>
    <row r="57" ht="15.75" customHeight="1" s="195">
      <c r="A57" s="280" t="n"/>
      <c r="B57" s="280" t="n"/>
      <c r="C57" s="280" t="n"/>
      <c r="D57" s="280" t="n"/>
      <c r="E57" s="280" t="n"/>
      <c r="F57" s="280" t="n"/>
      <c r="G57" s="280" t="n"/>
      <c r="H57" s="280" t="n"/>
      <c r="I57" s="332">
        <f>IFERROR(VLOOKUP(TEXT(H57,"0"),IPRESS!$A$3:$B$212,2,0),"")</f>
        <v/>
      </c>
      <c r="J57" s="280" t="n"/>
      <c r="K57" s="332">
        <f>IFERROR(VLOOKUP(TEXT(O57,"0"),CONDUCTORES!$A$3:$G$54,7,0),"")</f>
        <v/>
      </c>
      <c r="L57" s="280" t="n"/>
      <c r="M57" s="280" t="n"/>
      <c r="N57" s="333">
        <f>IFERROR(IF(L57*M57=0,"",L57*M57),"")</f>
        <v/>
      </c>
      <c r="O57" s="280" t="n"/>
      <c r="P57" s="332">
        <f>IFERROR(VLOOKUP(TEXT(O57,"0"),CONDUCTORES!$A$3:$G$54,2,0),"")</f>
        <v/>
      </c>
      <c r="Q57" s="332">
        <f>IFERROR(VLOOKUP(TEXT(O57,"0"),CONDUCTORES!$A$3:$H$54,6,0),"")</f>
        <v/>
      </c>
      <c r="R57" s="280" t="n"/>
      <c r="S57" s="280" t="n"/>
      <c r="T57" s="280" t="n"/>
      <c r="U57" s="280" t="n"/>
      <c r="V57" s="280" t="n"/>
      <c r="W57" s="280" t="n"/>
      <c r="X57" s="280" t="n"/>
      <c r="Y57" s="280" t="n"/>
      <c r="Z57" s="236">
        <f>IF(AND(G57&lt;&gt;"",R57&lt;&gt;"",V57&lt;&gt;"",W57&lt;&gt;""),"COMPLETADO","OBSERVADO")</f>
        <v/>
      </c>
      <c r="AA57" s="284" t="n"/>
    </row>
    <row r="58" ht="15.75" customHeight="1" s="195">
      <c r="A58" s="334" t="n"/>
      <c r="B58" s="334" t="n"/>
      <c r="C58" s="334" t="n"/>
      <c r="D58" s="334" t="n"/>
      <c r="E58" s="334" t="n"/>
      <c r="F58" s="334" t="n"/>
      <c r="G58" s="334" t="n"/>
      <c r="H58" s="334" t="n"/>
      <c r="I58" s="332">
        <f>IFERROR(VLOOKUP(TEXT(H58,"0"),IPRESS!$A$3:$B$212,2,0),"")</f>
        <v/>
      </c>
      <c r="J58" s="334" t="n"/>
      <c r="K58" s="332">
        <f>IFERROR(VLOOKUP(TEXT(O58,"0"),CONDUCTORES!$A$3:$G$54,7,0),"")</f>
        <v/>
      </c>
      <c r="L58" s="334" t="n"/>
      <c r="M58" s="334" t="n"/>
      <c r="N58" s="333">
        <f>IFERROR(IF(L58*M58=0,"",L58*M58),"")</f>
        <v/>
      </c>
      <c r="O58" s="334" t="n"/>
      <c r="P58" s="332">
        <f>IFERROR(VLOOKUP(TEXT(O58,"0"),CONDUCTORES!$A$3:$G$54,2,0),"")</f>
        <v/>
      </c>
      <c r="Q58" s="332">
        <f>IFERROR(VLOOKUP(TEXT(O58,"0"),CONDUCTORES!$A$3:$H$54,6,0),"")</f>
        <v/>
      </c>
      <c r="R58" s="334" t="n"/>
      <c r="S58" s="334" t="n"/>
      <c r="T58" s="334" t="n"/>
      <c r="U58" s="334" t="n"/>
      <c r="V58" s="334" t="n"/>
      <c r="W58" s="334" t="n"/>
      <c r="X58" s="334" t="n"/>
      <c r="Y58" s="334" t="n"/>
      <c r="Z58" s="242">
        <f>IF(AND(G58&lt;&gt;"",R58&lt;&gt;"",V58&lt;&gt;"",W58&lt;&gt;""),"COMPLETADO","OBSERVADO")</f>
        <v/>
      </c>
      <c r="AA58" s="284" t="n"/>
    </row>
    <row r="59" ht="15.75" customHeight="1" s="195">
      <c r="A59" s="280" t="n"/>
      <c r="B59" s="280" t="n"/>
      <c r="C59" s="280" t="n"/>
      <c r="D59" s="280" t="n"/>
      <c r="E59" s="280" t="n"/>
      <c r="F59" s="280" t="n"/>
      <c r="G59" s="280" t="n"/>
      <c r="H59" s="280" t="n"/>
      <c r="I59" s="332">
        <f>IFERROR(VLOOKUP(TEXT(H59,"0"),IPRESS!$A$3:$B$212,2,0),"")</f>
        <v/>
      </c>
      <c r="J59" s="280" t="n"/>
      <c r="K59" s="332">
        <f>IFERROR(VLOOKUP(TEXT(O59,"0"),CONDUCTORES!$A$3:$G$54,7,0),"")</f>
        <v/>
      </c>
      <c r="L59" s="280" t="n"/>
      <c r="M59" s="280" t="n"/>
      <c r="N59" s="333">
        <f>IFERROR(IF(L59*M59=0,"",L59*M59),"")</f>
        <v/>
      </c>
      <c r="O59" s="280" t="n"/>
      <c r="P59" s="332">
        <f>IFERROR(VLOOKUP(TEXT(O59,"0"),CONDUCTORES!$A$3:$G$54,2,0),"")</f>
        <v/>
      </c>
      <c r="Q59" s="332">
        <f>IFERROR(VLOOKUP(TEXT(O59,"0"),CONDUCTORES!$A$3:$H$54,6,0),"")</f>
        <v/>
      </c>
      <c r="R59" s="280" t="n"/>
      <c r="S59" s="280" t="n"/>
      <c r="T59" s="280" t="n"/>
      <c r="U59" s="280" t="n"/>
      <c r="V59" s="280" t="n"/>
      <c r="W59" s="280" t="n"/>
      <c r="X59" s="280" t="n"/>
      <c r="Y59" s="280" t="n"/>
      <c r="Z59" s="236">
        <f>IF(AND(G59&lt;&gt;"",R59&lt;&gt;"",V59&lt;&gt;"",W59&lt;&gt;""),"COMPLETADO","OBSERVADO")</f>
        <v/>
      </c>
      <c r="AA59" s="284" t="n"/>
    </row>
    <row r="60" ht="15.75" customHeight="1" s="195">
      <c r="A60" s="334" t="n"/>
      <c r="B60" s="334" t="n"/>
      <c r="C60" s="334" t="n"/>
      <c r="D60" s="334" t="n"/>
      <c r="E60" s="334" t="n"/>
      <c r="F60" s="334" t="n"/>
      <c r="G60" s="334" t="n"/>
      <c r="H60" s="334" t="n"/>
      <c r="I60" s="332">
        <f>IFERROR(VLOOKUP(TEXT(H60,"0"),IPRESS!$A$3:$B$212,2,0),"")</f>
        <v/>
      </c>
      <c r="J60" s="334" t="n"/>
      <c r="K60" s="332">
        <f>IFERROR(VLOOKUP(TEXT(O60,"0"),CONDUCTORES!$A$3:$G$54,7,0),"")</f>
        <v/>
      </c>
      <c r="L60" s="334" t="n"/>
      <c r="M60" s="334" t="n"/>
      <c r="N60" s="333">
        <f>IFERROR(IF(L60*M60=0,"",L60*M60),"")</f>
        <v/>
      </c>
      <c r="O60" s="334" t="n"/>
      <c r="P60" s="332">
        <f>IFERROR(VLOOKUP(TEXT(O60,"0"),CONDUCTORES!$A$3:$G$54,2,0),"")</f>
        <v/>
      </c>
      <c r="Q60" s="332">
        <f>IFERROR(VLOOKUP(TEXT(O60,"0"),CONDUCTORES!$A$3:$H$54,6,0),"")</f>
        <v/>
      </c>
      <c r="R60" s="334" t="n"/>
      <c r="S60" s="334" t="n"/>
      <c r="T60" s="334" t="n"/>
      <c r="U60" s="334" t="n"/>
      <c r="V60" s="334" t="n"/>
      <c r="W60" s="334" t="n"/>
      <c r="X60" s="334" t="n"/>
      <c r="Y60" s="334" t="n"/>
      <c r="Z60" s="242">
        <f>IF(AND(G60&lt;&gt;"",R60&lt;&gt;"",V60&lt;&gt;"",W60&lt;&gt;""),"COMPLETADO","OBSERVADO")</f>
        <v/>
      </c>
      <c r="AA60" s="284" t="n"/>
    </row>
    <row r="61" ht="15.75" customHeight="1" s="195">
      <c r="A61" s="280" t="n"/>
      <c r="B61" s="280" t="n"/>
      <c r="C61" s="280" t="n"/>
      <c r="D61" s="280" t="n"/>
      <c r="E61" s="280" t="n"/>
      <c r="F61" s="280" t="n"/>
      <c r="G61" s="280" t="n"/>
      <c r="H61" s="280" t="n"/>
      <c r="I61" s="332">
        <f>IFERROR(VLOOKUP(TEXT(H61,"0"),IPRESS!$A$3:$B$212,2,0),"")</f>
        <v/>
      </c>
      <c r="J61" s="280" t="n"/>
      <c r="K61" s="332">
        <f>IFERROR(VLOOKUP(TEXT(O61,"0"),CONDUCTORES!$A$3:$G$54,7,0),"")</f>
        <v/>
      </c>
      <c r="L61" s="280" t="n"/>
      <c r="M61" s="280" t="n"/>
      <c r="N61" s="333">
        <f>IFERROR(IF(L61*M61=0,"",L61*M61),"")</f>
        <v/>
      </c>
      <c r="O61" s="280" t="n"/>
      <c r="P61" s="332">
        <f>IFERROR(VLOOKUP(TEXT(O61,"0"),CONDUCTORES!$A$3:$G$54,2,0),"")</f>
        <v/>
      </c>
      <c r="Q61" s="332">
        <f>IFERROR(VLOOKUP(TEXT(O61,"0"),CONDUCTORES!$A$3:$H$54,6,0),"")</f>
        <v/>
      </c>
      <c r="R61" s="280" t="n"/>
      <c r="S61" s="280" t="n"/>
      <c r="T61" s="280" t="n"/>
      <c r="U61" s="280" t="n"/>
      <c r="V61" s="280" t="n"/>
      <c r="W61" s="280" t="n"/>
      <c r="X61" s="280" t="n"/>
      <c r="Y61" s="280" t="n"/>
      <c r="Z61" s="236">
        <f>IF(AND(G61&lt;&gt;"",R61&lt;&gt;"",V61&lt;&gt;"",W61&lt;&gt;""),"COMPLETADO","OBSERVADO")</f>
        <v/>
      </c>
      <c r="AA61" s="284" t="n"/>
    </row>
    <row r="62" ht="15.75" customHeight="1" s="195">
      <c r="A62" s="334" t="n"/>
      <c r="B62" s="334" t="n"/>
      <c r="C62" s="334" t="n"/>
      <c r="D62" s="334" t="n"/>
      <c r="E62" s="334" t="n"/>
      <c r="F62" s="334" t="n"/>
      <c r="G62" s="334" t="n"/>
      <c r="H62" s="334" t="n"/>
      <c r="I62" s="332">
        <f>IFERROR(VLOOKUP(TEXT(H62,"0"),IPRESS!$A$3:$B$212,2,0),"")</f>
        <v/>
      </c>
      <c r="J62" s="334" t="n"/>
      <c r="K62" s="332">
        <f>IFERROR(VLOOKUP(TEXT(O62,"0"),CONDUCTORES!$A$3:$G$54,7,0),"")</f>
        <v/>
      </c>
      <c r="L62" s="334" t="n"/>
      <c r="M62" s="334" t="n"/>
      <c r="N62" s="333">
        <f>IFERROR(IF(L62*M62=0,"",L62*M62),"")</f>
        <v/>
      </c>
      <c r="O62" s="334" t="n"/>
      <c r="P62" s="332">
        <f>IFERROR(VLOOKUP(TEXT(O62,"0"),CONDUCTORES!$A$3:$G$54,2,0),"")</f>
        <v/>
      </c>
      <c r="Q62" s="332">
        <f>IFERROR(VLOOKUP(TEXT(O62,"0"),CONDUCTORES!$A$3:$H$54,6,0),"")</f>
        <v/>
      </c>
      <c r="R62" s="334" t="n"/>
      <c r="S62" s="334" t="n"/>
      <c r="T62" s="334" t="n"/>
      <c r="U62" s="334" t="n"/>
      <c r="V62" s="334" t="n"/>
      <c r="W62" s="334" t="n"/>
      <c r="X62" s="334" t="n"/>
      <c r="Y62" s="334" t="n"/>
      <c r="Z62" s="242">
        <f>IF(AND(G62&lt;&gt;"",R62&lt;&gt;"",V62&lt;&gt;"",W62&lt;&gt;""),"COMPLETADO","OBSERVADO")</f>
        <v/>
      </c>
      <c r="AA62" s="284" t="n"/>
    </row>
    <row r="63" ht="15.75" customHeight="1" s="195">
      <c r="A63" s="280" t="n"/>
      <c r="B63" s="280" t="n"/>
      <c r="C63" s="280" t="n"/>
      <c r="D63" s="280" t="n"/>
      <c r="E63" s="280" t="n"/>
      <c r="F63" s="280" t="n"/>
      <c r="G63" s="280" t="n"/>
      <c r="H63" s="280" t="n"/>
      <c r="I63" s="332">
        <f>IFERROR(VLOOKUP(TEXT(H63,"0"),IPRESS!$A$3:$B$212,2,0),"")</f>
        <v/>
      </c>
      <c r="J63" s="280" t="n"/>
      <c r="K63" s="332">
        <f>IFERROR(VLOOKUP(TEXT(O63,"0"),CONDUCTORES!$A$3:$G$54,7,0),"")</f>
        <v/>
      </c>
      <c r="L63" s="280" t="n"/>
      <c r="M63" s="280" t="n"/>
      <c r="N63" s="333">
        <f>IFERROR(IF(L63*M63=0,"",L63*M63),"")</f>
        <v/>
      </c>
      <c r="O63" s="280" t="n"/>
      <c r="P63" s="332">
        <f>IFERROR(VLOOKUP(TEXT(O63,"0"),CONDUCTORES!$A$3:$G$54,2,0),"")</f>
        <v/>
      </c>
      <c r="Q63" s="332">
        <f>IFERROR(VLOOKUP(TEXT(O63,"0"),CONDUCTORES!$A$3:$H$54,6,0),"")</f>
        <v/>
      </c>
      <c r="R63" s="280" t="n"/>
      <c r="S63" s="280" t="n"/>
      <c r="T63" s="280" t="n"/>
      <c r="U63" s="280" t="n"/>
      <c r="V63" s="280" t="n"/>
      <c r="W63" s="280" t="n"/>
      <c r="X63" s="280" t="n"/>
      <c r="Y63" s="280" t="n"/>
      <c r="Z63" s="236">
        <f>IF(AND(G63&lt;&gt;"",R63&lt;&gt;"",V63&lt;&gt;"",W63&lt;&gt;""),"COMPLETADO","OBSERVADO")</f>
        <v/>
      </c>
      <c r="AA63" s="284" t="n"/>
    </row>
    <row r="64" ht="15.75" customHeight="1" s="195">
      <c r="A64" s="334" t="n"/>
      <c r="B64" s="334" t="n"/>
      <c r="C64" s="334" t="n"/>
      <c r="D64" s="334" t="n"/>
      <c r="E64" s="334" t="n"/>
      <c r="F64" s="334" t="n"/>
      <c r="G64" s="334" t="n"/>
      <c r="H64" s="334" t="n"/>
      <c r="I64" s="332">
        <f>IFERROR(VLOOKUP(TEXT(H64,"0"),IPRESS!$A$3:$B$212,2,0),"")</f>
        <v/>
      </c>
      <c r="J64" s="334" t="n"/>
      <c r="K64" s="332">
        <f>IFERROR(VLOOKUP(TEXT(O64,"0"),CONDUCTORES!$A$3:$G$54,7,0),"")</f>
        <v/>
      </c>
      <c r="L64" s="334" t="n"/>
      <c r="M64" s="334" t="n"/>
      <c r="N64" s="333">
        <f>IFERROR(IF(L64*M64=0,"",L64*M64),"")</f>
        <v/>
      </c>
      <c r="O64" s="334" t="n"/>
      <c r="P64" s="332">
        <f>IFERROR(VLOOKUP(TEXT(O64,"0"),CONDUCTORES!$A$3:$G$54,2,0),"")</f>
        <v/>
      </c>
      <c r="Q64" s="332">
        <f>IFERROR(VLOOKUP(TEXT(O64,"0"),CONDUCTORES!$A$3:$H$54,6,0),"")</f>
        <v/>
      </c>
      <c r="R64" s="334" t="n"/>
      <c r="S64" s="334" t="n"/>
      <c r="T64" s="334" t="n"/>
      <c r="U64" s="334" t="n"/>
      <c r="V64" s="334" t="n"/>
      <c r="W64" s="334" t="n"/>
      <c r="X64" s="334" t="n"/>
      <c r="Y64" s="334" t="n"/>
      <c r="Z64" s="242">
        <f>IF(AND(G64&lt;&gt;"",R64&lt;&gt;"",V64&lt;&gt;"",W64&lt;&gt;""),"COMPLETADO","OBSERVADO")</f>
        <v/>
      </c>
      <c r="AA64" s="284" t="n"/>
    </row>
    <row r="65" ht="15.75" customHeight="1" s="195">
      <c r="A65" s="280" t="n"/>
      <c r="B65" s="280" t="n"/>
      <c r="C65" s="280" t="n"/>
      <c r="D65" s="280" t="n"/>
      <c r="E65" s="280" t="n"/>
      <c r="F65" s="280" t="n"/>
      <c r="G65" s="280" t="n"/>
      <c r="H65" s="280" t="n"/>
      <c r="I65" s="332">
        <f>IFERROR(VLOOKUP(TEXT(H65,"0"),IPRESS!$A$3:$B$212,2,0),"")</f>
        <v/>
      </c>
      <c r="J65" s="280" t="n"/>
      <c r="K65" s="332">
        <f>IFERROR(VLOOKUP(TEXT(O65,"0"),CONDUCTORES!$A$3:$G$54,7,0),"")</f>
        <v/>
      </c>
      <c r="L65" s="280" t="n"/>
      <c r="M65" s="280" t="n"/>
      <c r="N65" s="333">
        <f>IFERROR(IF(L65*M65=0,"",L65*M65),"")</f>
        <v/>
      </c>
      <c r="O65" s="280" t="n"/>
      <c r="P65" s="332">
        <f>IFERROR(VLOOKUP(TEXT(O65,"0"),CONDUCTORES!$A$3:$G$54,2,0),"")</f>
        <v/>
      </c>
      <c r="Q65" s="332">
        <f>IFERROR(VLOOKUP(TEXT(O65,"0"),CONDUCTORES!$A$3:$H$54,6,0),"")</f>
        <v/>
      </c>
      <c r="R65" s="280" t="n"/>
      <c r="S65" s="280" t="n"/>
      <c r="T65" s="280" t="n"/>
      <c r="U65" s="280" t="n"/>
      <c r="V65" s="280" t="n"/>
      <c r="W65" s="280" t="n"/>
      <c r="X65" s="280" t="n"/>
      <c r="Y65" s="280" t="n"/>
      <c r="Z65" s="236">
        <f>IF(AND(G65&lt;&gt;"",R65&lt;&gt;"",V65&lt;&gt;"",W65&lt;&gt;""),"COMPLETADO","OBSERVADO")</f>
        <v/>
      </c>
      <c r="AA65" s="284" t="n"/>
    </row>
    <row r="66" ht="15.75" customHeight="1" s="195">
      <c r="A66" s="334" t="n"/>
      <c r="B66" s="334" t="n"/>
      <c r="C66" s="334" t="n"/>
      <c r="D66" s="334" t="n"/>
      <c r="E66" s="334" t="n"/>
      <c r="F66" s="334" t="n"/>
      <c r="G66" s="334" t="n"/>
      <c r="H66" s="334" t="n"/>
      <c r="I66" s="332">
        <f>IFERROR(VLOOKUP(TEXT(H66,"0"),IPRESS!$A$3:$B$212,2,0),"")</f>
        <v/>
      </c>
      <c r="J66" s="334" t="n"/>
      <c r="K66" s="332">
        <f>IFERROR(VLOOKUP(TEXT(O66,"0"),CONDUCTORES!$A$3:$G$54,7,0),"")</f>
        <v/>
      </c>
      <c r="L66" s="334" t="n"/>
      <c r="M66" s="334" t="n"/>
      <c r="N66" s="333">
        <f>IFERROR(IF(L66*M66=0,"",L66*M66),"")</f>
        <v/>
      </c>
      <c r="O66" s="334" t="n"/>
      <c r="P66" s="332">
        <f>IFERROR(VLOOKUP(TEXT(O66,"0"),CONDUCTORES!$A$3:$G$54,2,0),"")</f>
        <v/>
      </c>
      <c r="Q66" s="332">
        <f>IFERROR(VLOOKUP(TEXT(O66,"0"),CONDUCTORES!$A$3:$H$54,6,0),"")</f>
        <v/>
      </c>
      <c r="R66" s="334" t="n"/>
      <c r="S66" s="334" t="n"/>
      <c r="T66" s="334" t="n"/>
      <c r="U66" s="334" t="n"/>
      <c r="V66" s="334" t="n"/>
      <c r="W66" s="334" t="n"/>
      <c r="X66" s="334" t="n"/>
      <c r="Y66" s="334" t="n"/>
      <c r="Z66" s="242">
        <f>IF(AND(G66&lt;&gt;"",R66&lt;&gt;"",V66&lt;&gt;"",W66&lt;&gt;""),"COMPLETADO","OBSERVADO")</f>
        <v/>
      </c>
      <c r="AA66" s="284" t="n"/>
    </row>
    <row r="67" ht="15.75" customHeight="1" s="195">
      <c r="A67" s="280" t="n"/>
      <c r="B67" s="280" t="n"/>
      <c r="C67" s="280" t="n"/>
      <c r="D67" s="280" t="n"/>
      <c r="E67" s="280" t="n"/>
      <c r="F67" s="280" t="n"/>
      <c r="G67" s="280" t="n"/>
      <c r="H67" s="280" t="n"/>
      <c r="I67" s="332">
        <f>IFERROR(VLOOKUP(TEXT(H67,"0"),IPRESS!$A$3:$B$212,2,0),"")</f>
        <v/>
      </c>
      <c r="J67" s="280" t="n"/>
      <c r="K67" s="332">
        <f>IFERROR(VLOOKUP(TEXT(O67,"0"),CONDUCTORES!$A$3:$G$54,7,0),"")</f>
        <v/>
      </c>
      <c r="L67" s="280" t="n"/>
      <c r="M67" s="280" t="n"/>
      <c r="N67" s="333">
        <f>IFERROR(IF(L67*M67=0,"",L67*M67),"")</f>
        <v/>
      </c>
      <c r="O67" s="280" t="n"/>
      <c r="P67" s="332">
        <f>IFERROR(VLOOKUP(TEXT(O67,"0"),CONDUCTORES!$A$3:$G$54,2,0),"")</f>
        <v/>
      </c>
      <c r="Q67" s="332">
        <f>IFERROR(VLOOKUP(TEXT(O67,"0"),CONDUCTORES!$A$3:$H$54,6,0),"")</f>
        <v/>
      </c>
      <c r="R67" s="280" t="n"/>
      <c r="S67" s="280" t="n"/>
      <c r="T67" s="280" t="n"/>
      <c r="U67" s="280" t="n"/>
      <c r="V67" s="280" t="n"/>
      <c r="W67" s="280" t="n"/>
      <c r="X67" s="280" t="n"/>
      <c r="Y67" s="280" t="n"/>
      <c r="Z67" s="236">
        <f>IF(AND(G67&lt;&gt;"",R67&lt;&gt;"",V67&lt;&gt;"",W67&lt;&gt;""),"COMPLETADO","OBSERVADO")</f>
        <v/>
      </c>
      <c r="AA67" s="284" t="n"/>
    </row>
    <row r="68" ht="15.75" customHeight="1" s="195">
      <c r="A68" s="334" t="n"/>
      <c r="B68" s="334" t="n"/>
      <c r="C68" s="334" t="n"/>
      <c r="D68" s="334" t="n"/>
      <c r="E68" s="334" t="n"/>
      <c r="F68" s="334" t="n"/>
      <c r="G68" s="334" t="n"/>
      <c r="H68" s="334" t="n"/>
      <c r="I68" s="332">
        <f>IFERROR(VLOOKUP(TEXT(H68,"0"),IPRESS!$A$3:$B$212,2,0),"")</f>
        <v/>
      </c>
      <c r="J68" s="334" t="n"/>
      <c r="K68" s="332">
        <f>IFERROR(VLOOKUP(TEXT(O68,"0"),CONDUCTORES!$A$3:$G$54,7,0),"")</f>
        <v/>
      </c>
      <c r="L68" s="334" t="n"/>
      <c r="M68" s="334" t="n"/>
      <c r="N68" s="333">
        <f>IFERROR(IF(L68*M68=0,"",L68*M68),"")</f>
        <v/>
      </c>
      <c r="O68" s="334" t="n"/>
      <c r="P68" s="332">
        <f>IFERROR(VLOOKUP(TEXT(O68,"0"),CONDUCTORES!$A$3:$G$54,2,0),"")</f>
        <v/>
      </c>
      <c r="Q68" s="332">
        <f>IFERROR(VLOOKUP(TEXT(O68,"0"),CONDUCTORES!$A$3:$H$54,6,0),"")</f>
        <v/>
      </c>
      <c r="R68" s="334" t="n"/>
      <c r="S68" s="334" t="n"/>
      <c r="T68" s="334" t="n"/>
      <c r="U68" s="334" t="n"/>
      <c r="V68" s="334" t="n"/>
      <c r="W68" s="334" t="n"/>
      <c r="X68" s="334" t="n"/>
      <c r="Y68" s="334" t="n"/>
      <c r="Z68" s="242">
        <f>IF(AND(G68&lt;&gt;"",R68&lt;&gt;"",V68&lt;&gt;"",W68&lt;&gt;""),"COMPLETADO","OBSERVADO")</f>
        <v/>
      </c>
      <c r="AA68" s="284" t="n"/>
    </row>
    <row r="69" ht="15.75" customHeight="1" s="195">
      <c r="A69" s="280" t="n"/>
      <c r="B69" s="280" t="n"/>
      <c r="C69" s="280" t="n"/>
      <c r="D69" s="280" t="n"/>
      <c r="E69" s="280" t="n"/>
      <c r="F69" s="280" t="n"/>
      <c r="G69" s="280" t="n"/>
      <c r="H69" s="280" t="n"/>
      <c r="I69" s="332">
        <f>IFERROR(VLOOKUP(TEXT(H69,"0"),IPRESS!$A$3:$B$212,2,0),"")</f>
        <v/>
      </c>
      <c r="J69" s="280" t="n"/>
      <c r="K69" s="332">
        <f>IFERROR(VLOOKUP(TEXT(O69,"0"),CONDUCTORES!$A$3:$G$54,7,0),"")</f>
        <v/>
      </c>
      <c r="L69" s="280" t="n"/>
      <c r="M69" s="280" t="n"/>
      <c r="N69" s="333">
        <f>IFERROR(IF(L69*M69=0,"",L69*M69),"")</f>
        <v/>
      </c>
      <c r="O69" s="280" t="n"/>
      <c r="P69" s="332">
        <f>IFERROR(VLOOKUP(TEXT(O69,"0"),CONDUCTORES!$A$3:$G$54,2,0),"")</f>
        <v/>
      </c>
      <c r="Q69" s="332">
        <f>IFERROR(VLOOKUP(TEXT(O69,"0"),CONDUCTORES!$A$3:$H$54,6,0),"")</f>
        <v/>
      </c>
      <c r="R69" s="280" t="n"/>
      <c r="S69" s="280" t="n"/>
      <c r="T69" s="280" t="n"/>
      <c r="U69" s="280" t="n"/>
      <c r="V69" s="280" t="n"/>
      <c r="W69" s="280" t="n"/>
      <c r="X69" s="280" t="n"/>
      <c r="Y69" s="280" t="n"/>
      <c r="Z69" s="236">
        <f>IF(AND(G69&lt;&gt;"",R69&lt;&gt;"",V69&lt;&gt;"",W69&lt;&gt;""),"COMPLETADO","OBSERVADO")</f>
        <v/>
      </c>
      <c r="AA69" s="284" t="n"/>
    </row>
    <row r="70" ht="15.75" customHeight="1" s="195">
      <c r="A70" s="334" t="n"/>
      <c r="B70" s="334" t="n"/>
      <c r="C70" s="334" t="n"/>
      <c r="D70" s="334" t="n"/>
      <c r="E70" s="334" t="n"/>
      <c r="F70" s="334" t="n"/>
      <c r="G70" s="334" t="n"/>
      <c r="H70" s="334" t="n"/>
      <c r="I70" s="332">
        <f>IFERROR(VLOOKUP(TEXT(H70,"0"),IPRESS!$A$3:$B$212,2,0),"")</f>
        <v/>
      </c>
      <c r="J70" s="334" t="n"/>
      <c r="K70" s="332">
        <f>IFERROR(VLOOKUP(TEXT(O70,"0"),CONDUCTORES!$A$3:$G$54,7,0),"")</f>
        <v/>
      </c>
      <c r="L70" s="334" t="n"/>
      <c r="M70" s="334" t="n"/>
      <c r="N70" s="333">
        <f>IFERROR(IF(L70*M70=0,"",L70*M70),"")</f>
        <v/>
      </c>
      <c r="O70" s="334" t="n"/>
      <c r="P70" s="332">
        <f>IFERROR(VLOOKUP(TEXT(O70,"0"),CONDUCTORES!$A$3:$G$54,2,0),"")</f>
        <v/>
      </c>
      <c r="Q70" s="332">
        <f>IFERROR(VLOOKUP(TEXT(O70,"0"),CONDUCTORES!$A$3:$H$54,6,0),"")</f>
        <v/>
      </c>
      <c r="R70" s="334" t="n"/>
      <c r="S70" s="334" t="n"/>
      <c r="T70" s="334" t="n"/>
      <c r="U70" s="334" t="n"/>
      <c r="V70" s="334" t="n"/>
      <c r="W70" s="334" t="n"/>
      <c r="X70" s="334" t="n"/>
      <c r="Y70" s="334" t="n"/>
      <c r="Z70" s="242">
        <f>IF(AND(G70&lt;&gt;"",R70&lt;&gt;"",V70&lt;&gt;"",W70&lt;&gt;""),"COMPLETADO","OBSERVADO")</f>
        <v/>
      </c>
      <c r="AA70" s="284" t="n"/>
    </row>
    <row r="71" ht="15.75" customHeight="1" s="195">
      <c r="A71" s="280" t="n"/>
      <c r="B71" s="280" t="n"/>
      <c r="C71" s="280" t="n"/>
      <c r="D71" s="280" t="n"/>
      <c r="E71" s="280" t="n"/>
      <c r="F71" s="280" t="n"/>
      <c r="G71" s="280" t="n"/>
      <c r="H71" s="280" t="n"/>
      <c r="I71" s="332">
        <f>IFERROR(VLOOKUP(TEXT(H71,"0"),IPRESS!$A$3:$B$212,2,0),"")</f>
        <v/>
      </c>
      <c r="J71" s="280" t="n"/>
      <c r="K71" s="332">
        <f>IFERROR(VLOOKUP(TEXT(O71,"0"),CONDUCTORES!$A$3:$G$54,7,0),"")</f>
        <v/>
      </c>
      <c r="L71" s="280" t="n"/>
      <c r="M71" s="280" t="n"/>
      <c r="N71" s="333">
        <f>IFERROR(IF(L71*M71=0,"",L71*M71),"")</f>
        <v/>
      </c>
      <c r="O71" s="280" t="n"/>
      <c r="P71" s="332">
        <f>IFERROR(VLOOKUP(TEXT(O71,"0"),CONDUCTORES!$A$3:$G$54,2,0),"")</f>
        <v/>
      </c>
      <c r="Q71" s="332">
        <f>IFERROR(VLOOKUP(TEXT(O71,"0"),CONDUCTORES!$A$3:$H$54,6,0),"")</f>
        <v/>
      </c>
      <c r="R71" s="280" t="n"/>
      <c r="S71" s="280" t="n"/>
      <c r="T71" s="280" t="n"/>
      <c r="U71" s="280" t="n"/>
      <c r="V71" s="280" t="n"/>
      <c r="W71" s="280" t="n"/>
      <c r="X71" s="280" t="n"/>
      <c r="Y71" s="280" t="n"/>
      <c r="Z71" s="236">
        <f>IF(AND(G71&lt;&gt;"",R71&lt;&gt;"",V71&lt;&gt;"",W71&lt;&gt;""),"COMPLETADO","OBSERVADO")</f>
        <v/>
      </c>
      <c r="AA71" s="284" t="n"/>
    </row>
    <row r="72" ht="15.75" customHeight="1" s="195">
      <c r="A72" s="334" t="n"/>
      <c r="B72" s="334" t="n"/>
      <c r="C72" s="334" t="n"/>
      <c r="D72" s="334" t="n"/>
      <c r="E72" s="334" t="n"/>
      <c r="F72" s="334" t="n"/>
      <c r="G72" s="334" t="n"/>
      <c r="H72" s="334" t="n"/>
      <c r="I72" s="332">
        <f>IFERROR(VLOOKUP(TEXT(H72,"0"),IPRESS!$A$3:$B$212,2,0),"")</f>
        <v/>
      </c>
      <c r="J72" s="334" t="n"/>
      <c r="K72" s="332">
        <f>IFERROR(VLOOKUP(TEXT(O72,"0"),CONDUCTORES!$A$3:$G$54,7,0),"")</f>
        <v/>
      </c>
      <c r="L72" s="334" t="n"/>
      <c r="M72" s="334" t="n"/>
      <c r="N72" s="333">
        <f>IFERROR(IF(L72*M72=0,"",L72*M72),"")</f>
        <v/>
      </c>
      <c r="O72" s="334" t="n"/>
      <c r="P72" s="332">
        <f>IFERROR(VLOOKUP(TEXT(O72,"0"),CONDUCTORES!$A$3:$G$54,2,0),"")</f>
        <v/>
      </c>
      <c r="Q72" s="332">
        <f>IFERROR(VLOOKUP(TEXT(O72,"0"),CONDUCTORES!$A$3:$H$54,6,0),"")</f>
        <v/>
      </c>
      <c r="R72" s="334" t="n"/>
      <c r="S72" s="334" t="n"/>
      <c r="T72" s="334" t="n"/>
      <c r="U72" s="334" t="n"/>
      <c r="V72" s="334" t="n"/>
      <c r="W72" s="334" t="n"/>
      <c r="X72" s="334" t="n"/>
      <c r="Y72" s="334" t="n"/>
      <c r="Z72" s="242">
        <f>IF(AND(G72&lt;&gt;"",R72&lt;&gt;"",V72&lt;&gt;"",W72&lt;&gt;""),"COMPLETADO","OBSERVADO")</f>
        <v/>
      </c>
      <c r="AA72" s="284" t="n"/>
    </row>
    <row r="73" ht="15.75" customHeight="1" s="195">
      <c r="A73" s="280" t="n"/>
      <c r="B73" s="280" t="n"/>
      <c r="C73" s="280" t="n"/>
      <c r="D73" s="280" t="n"/>
      <c r="E73" s="280" t="n"/>
      <c r="F73" s="280" t="n"/>
      <c r="G73" s="280" t="n"/>
      <c r="H73" s="280" t="n"/>
      <c r="I73" s="332">
        <f>IFERROR(VLOOKUP(TEXT(H73,"0"),IPRESS!$A$3:$B$212,2,0),"")</f>
        <v/>
      </c>
      <c r="J73" s="280" t="n"/>
      <c r="K73" s="332">
        <f>IFERROR(VLOOKUP(TEXT(O73,"0"),CONDUCTORES!$A$3:$G$54,7,0),"")</f>
        <v/>
      </c>
      <c r="L73" s="280" t="n"/>
      <c r="M73" s="280" t="n"/>
      <c r="N73" s="333">
        <f>IFERROR(IF(L73*M73=0,"",L73*M73),"")</f>
        <v/>
      </c>
      <c r="O73" s="280" t="n"/>
      <c r="P73" s="332">
        <f>IFERROR(VLOOKUP(TEXT(O73,"0"),CONDUCTORES!$A$3:$G$54,2,0),"")</f>
        <v/>
      </c>
      <c r="Q73" s="332">
        <f>IFERROR(VLOOKUP(TEXT(O73,"0"),CONDUCTORES!$A$3:$H$54,6,0),"")</f>
        <v/>
      </c>
      <c r="R73" s="280" t="n"/>
      <c r="S73" s="280" t="n"/>
      <c r="T73" s="280" t="n"/>
      <c r="U73" s="280" t="n"/>
      <c r="V73" s="280" t="n"/>
      <c r="W73" s="280" t="n"/>
      <c r="X73" s="280" t="n"/>
      <c r="Y73" s="280" t="n"/>
      <c r="Z73" s="236">
        <f>IF(AND(G73&lt;&gt;"",R73&lt;&gt;"",V73&lt;&gt;"",W73&lt;&gt;""),"COMPLETADO","OBSERVADO")</f>
        <v/>
      </c>
      <c r="AA73" s="284" t="n"/>
    </row>
    <row r="74" ht="15.75" customHeight="1" s="195">
      <c r="A74" s="334" t="n"/>
      <c r="B74" s="334" t="n"/>
      <c r="C74" s="334" t="n"/>
      <c r="D74" s="334" t="n"/>
      <c r="E74" s="334" t="n"/>
      <c r="F74" s="334" t="n"/>
      <c r="G74" s="334" t="n"/>
      <c r="H74" s="334" t="n"/>
      <c r="I74" s="332">
        <f>IFERROR(VLOOKUP(TEXT(H74,"0"),IPRESS!$A$3:$B$212,2,0),"")</f>
        <v/>
      </c>
      <c r="J74" s="334" t="n"/>
      <c r="K74" s="332">
        <f>IFERROR(VLOOKUP(TEXT(O74,"0"),CONDUCTORES!$A$3:$G$54,7,0),"")</f>
        <v/>
      </c>
      <c r="L74" s="334" t="n"/>
      <c r="M74" s="334" t="n"/>
      <c r="N74" s="333">
        <f>IFERROR(IF(L74*M74=0,"",L74*M74),"")</f>
        <v/>
      </c>
      <c r="O74" s="334" t="n"/>
      <c r="P74" s="332">
        <f>IFERROR(VLOOKUP(TEXT(O74,"0"),CONDUCTORES!$A$3:$G$54,2,0),"")</f>
        <v/>
      </c>
      <c r="Q74" s="332">
        <f>IFERROR(VLOOKUP(TEXT(O74,"0"),CONDUCTORES!$A$3:$H$54,6,0),"")</f>
        <v/>
      </c>
      <c r="R74" s="334" t="n"/>
      <c r="S74" s="334" t="n"/>
      <c r="T74" s="334" t="n"/>
      <c r="U74" s="334" t="n"/>
      <c r="V74" s="334" t="n"/>
      <c r="W74" s="334" t="n"/>
      <c r="X74" s="334" t="n"/>
      <c r="Y74" s="334" t="n"/>
      <c r="Z74" s="242">
        <f>IF(AND(G74&lt;&gt;"",R74&lt;&gt;"",V74&lt;&gt;"",W74&lt;&gt;""),"COMPLETADO","OBSERVADO")</f>
        <v/>
      </c>
      <c r="AA74" s="284" t="n"/>
    </row>
    <row r="75" ht="15.75" customHeight="1" s="195">
      <c r="A75" s="280" t="n"/>
      <c r="B75" s="280" t="n"/>
      <c r="C75" s="280" t="n"/>
      <c r="D75" s="280" t="n"/>
      <c r="E75" s="280" t="n"/>
      <c r="F75" s="280" t="n"/>
      <c r="G75" s="280" t="n"/>
      <c r="H75" s="280" t="n"/>
      <c r="I75" s="332">
        <f>IFERROR(VLOOKUP(TEXT(H75,"0"),IPRESS!$A$3:$B$212,2,0),"")</f>
        <v/>
      </c>
      <c r="J75" s="280" t="n"/>
      <c r="K75" s="332">
        <f>IFERROR(VLOOKUP(TEXT(O75,"0"),CONDUCTORES!$A$3:$G$54,7,0),"")</f>
        <v/>
      </c>
      <c r="L75" s="280" t="n"/>
      <c r="M75" s="280" t="n"/>
      <c r="N75" s="333">
        <f>IFERROR(IF(L75*M75=0,"",L75*M75),"")</f>
        <v/>
      </c>
      <c r="O75" s="280" t="n"/>
      <c r="P75" s="332">
        <f>IFERROR(VLOOKUP(TEXT(O75,"0"),CONDUCTORES!$A$3:$G$54,2,0),"")</f>
        <v/>
      </c>
      <c r="Q75" s="332">
        <f>IFERROR(VLOOKUP(TEXT(O75,"0"),CONDUCTORES!$A$3:$H$54,6,0),"")</f>
        <v/>
      </c>
      <c r="R75" s="280" t="n"/>
      <c r="S75" s="280" t="n"/>
      <c r="T75" s="280" t="n"/>
      <c r="U75" s="280" t="n"/>
      <c r="V75" s="280" t="n"/>
      <c r="W75" s="280" t="n"/>
      <c r="X75" s="280" t="n"/>
      <c r="Y75" s="280" t="n"/>
      <c r="Z75" s="236">
        <f>IF(AND(G75&lt;&gt;"",R75&lt;&gt;"",V75&lt;&gt;"",W75&lt;&gt;""),"COMPLETADO","OBSERVADO")</f>
        <v/>
      </c>
      <c r="AA75" s="284" t="n"/>
    </row>
    <row r="76" ht="15.75" customHeight="1" s="195">
      <c r="A76" s="334" t="n"/>
      <c r="B76" s="334" t="n"/>
      <c r="C76" s="334" t="n"/>
      <c r="D76" s="334" t="n"/>
      <c r="E76" s="334" t="n"/>
      <c r="F76" s="334" t="n"/>
      <c r="G76" s="334" t="n"/>
      <c r="H76" s="334" t="n"/>
      <c r="I76" s="332">
        <f>IFERROR(VLOOKUP(TEXT(H76,"0"),IPRESS!$A$3:$B$212,2,0),"")</f>
        <v/>
      </c>
      <c r="J76" s="334" t="n"/>
      <c r="K76" s="332">
        <f>IFERROR(VLOOKUP(TEXT(O76,"0"),CONDUCTORES!$A$3:$G$54,7,0),"")</f>
        <v/>
      </c>
      <c r="L76" s="334" t="n"/>
      <c r="M76" s="334" t="n"/>
      <c r="N76" s="333">
        <f>IFERROR(IF(L76*M76=0,"",L76*M76),"")</f>
        <v/>
      </c>
      <c r="O76" s="334" t="n"/>
      <c r="P76" s="332">
        <f>IFERROR(VLOOKUP(TEXT(O76,"0"),CONDUCTORES!$A$3:$G$54,2,0),"")</f>
        <v/>
      </c>
      <c r="Q76" s="332">
        <f>IFERROR(VLOOKUP(TEXT(O76,"0"),CONDUCTORES!$A$3:$H$54,6,0),"")</f>
        <v/>
      </c>
      <c r="R76" s="334" t="n"/>
      <c r="S76" s="334" t="n"/>
      <c r="T76" s="334" t="n"/>
      <c r="U76" s="334" t="n"/>
      <c r="V76" s="334" t="n"/>
      <c r="W76" s="334" t="n"/>
      <c r="X76" s="334" t="n"/>
      <c r="Y76" s="334" t="n"/>
      <c r="Z76" s="242">
        <f>IF(AND(G76&lt;&gt;"",R76&lt;&gt;"",V76&lt;&gt;"",W76&lt;&gt;""),"COMPLETADO","OBSERVADO")</f>
        <v/>
      </c>
      <c r="AA76" s="284" t="n"/>
    </row>
    <row r="77" ht="15.75" customHeight="1" s="195">
      <c r="A77" s="280" t="n"/>
      <c r="B77" s="280" t="n"/>
      <c r="C77" s="280" t="n"/>
      <c r="D77" s="280" t="n"/>
      <c r="E77" s="280" t="n"/>
      <c r="F77" s="280" t="n"/>
      <c r="G77" s="280" t="n"/>
      <c r="H77" s="280" t="n"/>
      <c r="I77" s="332">
        <f>IFERROR(VLOOKUP(TEXT(H77,"0"),IPRESS!$A$3:$B$212,2,0),"")</f>
        <v/>
      </c>
      <c r="J77" s="280" t="n"/>
      <c r="K77" s="332">
        <f>IFERROR(VLOOKUP(TEXT(O77,"0"),CONDUCTORES!$A$3:$G$54,7,0),"")</f>
        <v/>
      </c>
      <c r="L77" s="280" t="n"/>
      <c r="M77" s="280" t="n"/>
      <c r="N77" s="333">
        <f>IFERROR(IF(L77*M77=0,"",L77*M77),"")</f>
        <v/>
      </c>
      <c r="O77" s="280" t="n"/>
      <c r="P77" s="332">
        <f>IFERROR(VLOOKUP(TEXT(O77,"0"),CONDUCTORES!$A$3:$G$54,2,0),"")</f>
        <v/>
      </c>
      <c r="Q77" s="332">
        <f>IFERROR(VLOOKUP(TEXT(O77,"0"),CONDUCTORES!$A$3:$H$54,6,0),"")</f>
        <v/>
      </c>
      <c r="R77" s="280" t="n"/>
      <c r="S77" s="280" t="n"/>
      <c r="T77" s="280" t="n"/>
      <c r="U77" s="280" t="n"/>
      <c r="V77" s="280" t="n"/>
      <c r="W77" s="280" t="n"/>
      <c r="X77" s="280" t="n"/>
      <c r="Y77" s="280" t="n"/>
      <c r="Z77" s="236">
        <f>IF(AND(G77&lt;&gt;"",R77&lt;&gt;"",V77&lt;&gt;"",W77&lt;&gt;""),"COMPLETADO","OBSERVADO")</f>
        <v/>
      </c>
      <c r="AA77" s="284" t="n"/>
    </row>
    <row r="78" ht="15.75" customHeight="1" s="195">
      <c r="A78" s="334" t="n"/>
      <c r="B78" s="334" t="n"/>
      <c r="C78" s="334" t="n"/>
      <c r="D78" s="334" t="n"/>
      <c r="E78" s="334" t="n"/>
      <c r="F78" s="334" t="n"/>
      <c r="G78" s="334" t="n"/>
      <c r="H78" s="334" t="n"/>
      <c r="I78" s="332">
        <f>IFERROR(VLOOKUP(TEXT(H78,"0"),IPRESS!$A$3:$B$212,2,0),"")</f>
        <v/>
      </c>
      <c r="J78" s="334" t="n"/>
      <c r="K78" s="332">
        <f>IFERROR(VLOOKUP(TEXT(O78,"0"),CONDUCTORES!$A$3:$G$54,7,0),"")</f>
        <v/>
      </c>
      <c r="L78" s="334" t="n"/>
      <c r="M78" s="334" t="n"/>
      <c r="N78" s="333">
        <f>IFERROR(IF(L78*M78=0,"",L78*M78),"")</f>
        <v/>
      </c>
      <c r="O78" s="334" t="n"/>
      <c r="P78" s="332">
        <f>IFERROR(VLOOKUP(TEXT(O78,"0"),CONDUCTORES!$A$3:$G$54,2,0),"")</f>
        <v/>
      </c>
      <c r="Q78" s="332">
        <f>IFERROR(VLOOKUP(TEXT(O78,"0"),CONDUCTORES!$A$3:$H$54,6,0),"")</f>
        <v/>
      </c>
      <c r="R78" s="334" t="n"/>
      <c r="S78" s="334" t="n"/>
      <c r="T78" s="334" t="n"/>
      <c r="U78" s="334" t="n"/>
      <c r="V78" s="334" t="n"/>
      <c r="W78" s="334" t="n"/>
      <c r="X78" s="334" t="n"/>
      <c r="Y78" s="334" t="n"/>
      <c r="Z78" s="242">
        <f>IF(AND(G78&lt;&gt;"",R78&lt;&gt;"",V78&lt;&gt;"",W78&lt;&gt;""),"COMPLETADO","OBSERVADO")</f>
        <v/>
      </c>
      <c r="AA78" s="284" t="n"/>
    </row>
    <row r="79" ht="15.75" customHeight="1" s="195">
      <c r="A79" s="280" t="n"/>
      <c r="B79" s="280" t="n"/>
      <c r="C79" s="280" t="n"/>
      <c r="D79" s="280" t="n"/>
      <c r="E79" s="280" t="n"/>
      <c r="F79" s="280" t="n"/>
      <c r="G79" s="280" t="n"/>
      <c r="H79" s="280" t="n"/>
      <c r="I79" s="332">
        <f>IFERROR(VLOOKUP(TEXT(H79,"0"),IPRESS!$A$3:$B$212,2,0),"")</f>
        <v/>
      </c>
      <c r="J79" s="280" t="n"/>
      <c r="K79" s="332">
        <f>IFERROR(VLOOKUP(TEXT(O79,"0"),CONDUCTORES!$A$3:$G$54,7,0),"")</f>
        <v/>
      </c>
      <c r="L79" s="280" t="n"/>
      <c r="M79" s="280" t="n"/>
      <c r="N79" s="333">
        <f>IFERROR(IF(L79*M79=0,"",L79*M79),"")</f>
        <v/>
      </c>
      <c r="O79" s="280" t="n"/>
      <c r="P79" s="332">
        <f>IFERROR(VLOOKUP(TEXT(O79,"0"),CONDUCTORES!$A$3:$G$54,2,0),"")</f>
        <v/>
      </c>
      <c r="Q79" s="332">
        <f>IFERROR(VLOOKUP(TEXT(O79,"0"),CONDUCTORES!$A$3:$H$54,6,0),"")</f>
        <v/>
      </c>
      <c r="R79" s="280" t="n"/>
      <c r="S79" s="280" t="n"/>
      <c r="T79" s="280" t="n"/>
      <c r="U79" s="280" t="n"/>
      <c r="V79" s="280" t="n"/>
      <c r="W79" s="280" t="n"/>
      <c r="X79" s="280" t="n"/>
      <c r="Y79" s="280" t="n"/>
      <c r="Z79" s="236">
        <f>IF(AND(G79&lt;&gt;"",R79&lt;&gt;"",V79&lt;&gt;"",W79&lt;&gt;""),"COMPLETADO","OBSERVADO")</f>
        <v/>
      </c>
      <c r="AA79" s="284" t="n"/>
    </row>
    <row r="80" ht="15.75" customHeight="1" s="195">
      <c r="A80" s="334" t="n"/>
      <c r="B80" s="334" t="n"/>
      <c r="C80" s="334" t="n"/>
      <c r="D80" s="334" t="n"/>
      <c r="E80" s="334" t="n"/>
      <c r="F80" s="334" t="n"/>
      <c r="G80" s="334" t="n"/>
      <c r="H80" s="334" t="n"/>
      <c r="I80" s="332">
        <f>IFERROR(VLOOKUP(TEXT(H80,"0"),IPRESS!$A$3:$B$212,2,0),"")</f>
        <v/>
      </c>
      <c r="J80" s="334" t="n"/>
      <c r="K80" s="332">
        <f>IFERROR(VLOOKUP(TEXT(O80,"0"),CONDUCTORES!$A$3:$G$54,7,0),"")</f>
        <v/>
      </c>
      <c r="L80" s="334" t="n"/>
      <c r="M80" s="334" t="n"/>
      <c r="N80" s="333">
        <f>IFERROR(IF(L80*M80=0,"",L80*M80),"")</f>
        <v/>
      </c>
      <c r="O80" s="334" t="n"/>
      <c r="P80" s="332">
        <f>IFERROR(VLOOKUP(TEXT(O80,"0"),CONDUCTORES!$A$3:$G$54,2,0),"")</f>
        <v/>
      </c>
      <c r="Q80" s="332">
        <f>IFERROR(VLOOKUP(TEXT(O80,"0"),CONDUCTORES!$A$3:$H$54,6,0),"")</f>
        <v/>
      </c>
      <c r="R80" s="334" t="n"/>
      <c r="S80" s="334" t="n"/>
      <c r="T80" s="334" t="n"/>
      <c r="U80" s="334" t="n"/>
      <c r="V80" s="334" t="n"/>
      <c r="W80" s="334" t="n"/>
      <c r="X80" s="334" t="n"/>
      <c r="Y80" s="334" t="n"/>
      <c r="Z80" s="242">
        <f>IF(AND(G80&lt;&gt;"",R80&lt;&gt;"",V80&lt;&gt;"",W80&lt;&gt;""),"COMPLETADO","OBSERVADO")</f>
        <v/>
      </c>
      <c r="AA80" s="284" t="n"/>
    </row>
    <row r="81" ht="15.75" customHeight="1" s="195">
      <c r="A81" s="280" t="n"/>
      <c r="B81" s="280" t="n"/>
      <c r="C81" s="280" t="n"/>
      <c r="D81" s="280" t="n"/>
      <c r="E81" s="280" t="n"/>
      <c r="F81" s="280" t="n"/>
      <c r="G81" s="280" t="n"/>
      <c r="H81" s="280" t="n"/>
      <c r="I81" s="332">
        <f>IFERROR(VLOOKUP(TEXT(H81,"0"),IPRESS!$A$3:$B$212,2,0),"")</f>
        <v/>
      </c>
      <c r="J81" s="280" t="n"/>
      <c r="K81" s="332">
        <f>IFERROR(VLOOKUP(TEXT(O81,"0"),CONDUCTORES!$A$3:$G$54,7,0),"")</f>
        <v/>
      </c>
      <c r="L81" s="280" t="n"/>
      <c r="M81" s="280" t="n"/>
      <c r="N81" s="333">
        <f>IFERROR(IF(L81*M81=0,"",L81*M81),"")</f>
        <v/>
      </c>
      <c r="O81" s="280" t="n"/>
      <c r="P81" s="332">
        <f>IFERROR(VLOOKUP(TEXT(O81,"0"),CONDUCTORES!$A$3:$G$54,2,0),"")</f>
        <v/>
      </c>
      <c r="Q81" s="332">
        <f>IFERROR(VLOOKUP(TEXT(O81,"0"),CONDUCTORES!$A$3:$H$54,6,0),"")</f>
        <v/>
      </c>
      <c r="R81" s="280" t="n"/>
      <c r="S81" s="280" t="n"/>
      <c r="T81" s="280" t="n"/>
      <c r="U81" s="280" t="n"/>
      <c r="V81" s="280" t="n"/>
      <c r="W81" s="280" t="n"/>
      <c r="X81" s="280" t="n"/>
      <c r="Y81" s="280" t="n"/>
      <c r="Z81" s="236">
        <f>IF(AND(G81&lt;&gt;"",R81&lt;&gt;"",V81&lt;&gt;"",W81&lt;&gt;""),"COMPLETADO","OBSERVADO")</f>
        <v/>
      </c>
      <c r="AA81" s="284" t="n"/>
    </row>
    <row r="82" ht="15.75" customHeight="1" s="195">
      <c r="A82" s="334" t="n"/>
      <c r="B82" s="334" t="n"/>
      <c r="C82" s="334" t="n"/>
      <c r="D82" s="334" t="n"/>
      <c r="E82" s="334" t="n"/>
      <c r="F82" s="334" t="n"/>
      <c r="G82" s="334" t="n"/>
      <c r="H82" s="334" t="n"/>
      <c r="I82" s="332">
        <f>IFERROR(VLOOKUP(TEXT(H82,"0"),IPRESS!$A$3:$B$212,2,0),"")</f>
        <v/>
      </c>
      <c r="J82" s="334" t="n"/>
      <c r="K82" s="332">
        <f>IFERROR(VLOOKUP(TEXT(O82,"0"),CONDUCTORES!$A$3:$G$54,7,0),"")</f>
        <v/>
      </c>
      <c r="L82" s="334" t="n"/>
      <c r="M82" s="334" t="n"/>
      <c r="N82" s="333">
        <f>IFERROR(IF(L82*M82=0,"",L82*M82),"")</f>
        <v/>
      </c>
      <c r="O82" s="334" t="n"/>
      <c r="P82" s="332">
        <f>IFERROR(VLOOKUP(TEXT(O82,"0"),CONDUCTORES!$A$3:$G$54,2,0),"")</f>
        <v/>
      </c>
      <c r="Q82" s="332">
        <f>IFERROR(VLOOKUP(TEXT(O82,"0"),CONDUCTORES!$A$3:$H$54,6,0),"")</f>
        <v/>
      </c>
      <c r="R82" s="334" t="n"/>
      <c r="S82" s="334" t="n"/>
      <c r="T82" s="334" t="n"/>
      <c r="U82" s="334" t="n"/>
      <c r="V82" s="334" t="n"/>
      <c r="W82" s="334" t="n"/>
      <c r="X82" s="334" t="n"/>
      <c r="Y82" s="334" t="n"/>
      <c r="Z82" s="242">
        <f>IF(AND(G82&lt;&gt;"",R82&lt;&gt;"",V82&lt;&gt;"",W82&lt;&gt;""),"COMPLETADO","OBSERVADO")</f>
        <v/>
      </c>
      <c r="AA82" s="284" t="n"/>
    </row>
    <row r="83" ht="15.75" customHeight="1" s="195">
      <c r="A83" s="280" t="n"/>
      <c r="B83" s="280" t="n"/>
      <c r="C83" s="280" t="n"/>
      <c r="D83" s="280" t="n"/>
      <c r="E83" s="280" t="n"/>
      <c r="F83" s="280" t="n"/>
      <c r="G83" s="280" t="n"/>
      <c r="H83" s="280" t="n"/>
      <c r="I83" s="332">
        <f>IFERROR(VLOOKUP(TEXT(H83,"0"),IPRESS!$A$3:$B$212,2,0),"")</f>
        <v/>
      </c>
      <c r="J83" s="280" t="n"/>
      <c r="K83" s="332">
        <f>IFERROR(VLOOKUP(TEXT(O83,"0"),CONDUCTORES!$A$3:$G$54,7,0),"")</f>
        <v/>
      </c>
      <c r="L83" s="280" t="n"/>
      <c r="M83" s="280" t="n"/>
      <c r="N83" s="333">
        <f>IFERROR(IF(L83*M83=0,"",L83*M83),"")</f>
        <v/>
      </c>
      <c r="O83" s="280" t="n"/>
      <c r="P83" s="332">
        <f>IFERROR(VLOOKUP(TEXT(O83,"0"),CONDUCTORES!$A$3:$G$54,2,0),"")</f>
        <v/>
      </c>
      <c r="Q83" s="332">
        <f>IFERROR(VLOOKUP(TEXT(O83,"0"),CONDUCTORES!$A$3:$H$54,6,0),"")</f>
        <v/>
      </c>
      <c r="R83" s="280" t="n"/>
      <c r="S83" s="280" t="n"/>
      <c r="T83" s="280" t="n"/>
      <c r="U83" s="280" t="n"/>
      <c r="V83" s="280" t="n"/>
      <c r="W83" s="280" t="n"/>
      <c r="X83" s="280" t="n"/>
      <c r="Y83" s="280" t="n"/>
      <c r="Z83" s="236">
        <f>IF(AND(G83&lt;&gt;"",R83&lt;&gt;"",V83&lt;&gt;"",W83&lt;&gt;""),"COMPLETADO","OBSERVADO")</f>
        <v/>
      </c>
      <c r="AA83" s="284" t="n"/>
    </row>
    <row r="84" ht="15.75" customHeight="1" s="195">
      <c r="A84" s="334" t="n"/>
      <c r="B84" s="334" t="n"/>
      <c r="C84" s="334" t="n"/>
      <c r="D84" s="334" t="n"/>
      <c r="E84" s="334" t="n"/>
      <c r="F84" s="334" t="n"/>
      <c r="G84" s="334" t="n"/>
      <c r="H84" s="334" t="n"/>
      <c r="I84" s="332">
        <f>IFERROR(VLOOKUP(TEXT(H84,"0"),IPRESS!$A$3:$B$212,2,0),"")</f>
        <v/>
      </c>
      <c r="J84" s="334" t="n"/>
      <c r="K84" s="332">
        <f>IFERROR(VLOOKUP(TEXT(O84,"0"),CONDUCTORES!$A$3:$G$54,7,0),"")</f>
        <v/>
      </c>
      <c r="L84" s="334" t="n"/>
      <c r="M84" s="334" t="n"/>
      <c r="N84" s="333">
        <f>IFERROR(IF(L84*M84=0,"",L84*M84),"")</f>
        <v/>
      </c>
      <c r="O84" s="334" t="n"/>
      <c r="P84" s="332">
        <f>IFERROR(VLOOKUP(TEXT(O84,"0"),CONDUCTORES!$A$3:$G$54,2,0),"")</f>
        <v/>
      </c>
      <c r="Q84" s="332">
        <f>IFERROR(VLOOKUP(TEXT(O84,"0"),CONDUCTORES!$A$3:$H$54,6,0),"")</f>
        <v/>
      </c>
      <c r="R84" s="334" t="n"/>
      <c r="S84" s="334" t="n"/>
      <c r="T84" s="334" t="n"/>
      <c r="U84" s="334" t="n"/>
      <c r="V84" s="334" t="n"/>
      <c r="W84" s="334" t="n"/>
      <c r="X84" s="334" t="n"/>
      <c r="Y84" s="334" t="n"/>
      <c r="Z84" s="242">
        <f>IF(AND(G84&lt;&gt;"",R84&lt;&gt;"",V84&lt;&gt;"",W84&lt;&gt;""),"COMPLETADO","OBSERVADO")</f>
        <v/>
      </c>
      <c r="AA84" s="284" t="n"/>
    </row>
    <row r="85" ht="15.75" customHeight="1" s="195">
      <c r="A85" s="280" t="n"/>
      <c r="B85" s="280" t="n"/>
      <c r="C85" s="280" t="n"/>
      <c r="D85" s="280" t="n"/>
      <c r="E85" s="280" t="n"/>
      <c r="F85" s="280" t="n"/>
      <c r="G85" s="280" t="n"/>
      <c r="H85" s="280" t="n"/>
      <c r="I85" s="332">
        <f>IFERROR(VLOOKUP(TEXT(H85,"0"),IPRESS!$A$3:$B$212,2,0),"")</f>
        <v/>
      </c>
      <c r="J85" s="280" t="n"/>
      <c r="K85" s="332">
        <f>IFERROR(VLOOKUP(TEXT(O85,"0"),CONDUCTORES!$A$3:$G$54,7,0),"")</f>
        <v/>
      </c>
      <c r="L85" s="280" t="n"/>
      <c r="M85" s="280" t="n"/>
      <c r="N85" s="333">
        <f>IFERROR(IF(L85*M85=0,"",L85*M85),"")</f>
        <v/>
      </c>
      <c r="O85" s="280" t="n"/>
      <c r="P85" s="332">
        <f>IFERROR(VLOOKUP(TEXT(O85,"0"),CONDUCTORES!$A$3:$G$54,2,0),"")</f>
        <v/>
      </c>
      <c r="Q85" s="332">
        <f>IFERROR(VLOOKUP(TEXT(O85,"0"),CONDUCTORES!$A$3:$H$54,6,0),"")</f>
        <v/>
      </c>
      <c r="R85" s="280" t="n"/>
      <c r="S85" s="280" t="n"/>
      <c r="T85" s="280" t="n"/>
      <c r="U85" s="280" t="n"/>
      <c r="V85" s="280" t="n"/>
      <c r="W85" s="280" t="n"/>
      <c r="X85" s="280" t="n"/>
      <c r="Y85" s="280" t="n"/>
      <c r="Z85" s="236">
        <f>IF(AND(G85&lt;&gt;"",R85&lt;&gt;"",V85&lt;&gt;"",W85&lt;&gt;""),"COMPLETADO","OBSERVADO")</f>
        <v/>
      </c>
      <c r="AA85" s="284" t="n"/>
    </row>
    <row r="86" ht="15.75" customHeight="1" s="195">
      <c r="A86" s="334" t="n"/>
      <c r="B86" s="334" t="n"/>
      <c r="C86" s="334" t="n"/>
      <c r="D86" s="334" t="n"/>
      <c r="E86" s="334" t="n"/>
      <c r="F86" s="334" t="n"/>
      <c r="G86" s="334" t="n"/>
      <c r="H86" s="334" t="n"/>
      <c r="I86" s="332">
        <f>IFERROR(VLOOKUP(TEXT(H86,"0"),IPRESS!$A$3:$B$212,2,0),"")</f>
        <v/>
      </c>
      <c r="J86" s="334" t="n"/>
      <c r="K86" s="332">
        <f>IFERROR(VLOOKUP(TEXT(O86,"0"),CONDUCTORES!$A$3:$G$54,7,0),"")</f>
        <v/>
      </c>
      <c r="L86" s="334" t="n"/>
      <c r="M86" s="334" t="n"/>
      <c r="N86" s="333">
        <f>IFERROR(IF(L86*M86=0,"",L86*M86),"")</f>
        <v/>
      </c>
      <c r="O86" s="334" t="n"/>
      <c r="P86" s="332">
        <f>IFERROR(VLOOKUP(TEXT(O86,"0"),CONDUCTORES!$A$3:$G$54,2,0),"")</f>
        <v/>
      </c>
      <c r="Q86" s="332">
        <f>IFERROR(VLOOKUP(TEXT(O86,"0"),CONDUCTORES!$A$3:$H$54,6,0),"")</f>
        <v/>
      </c>
      <c r="R86" s="334" t="n"/>
      <c r="S86" s="334" t="n"/>
      <c r="T86" s="334" t="n"/>
      <c r="U86" s="334" t="n"/>
      <c r="V86" s="334" t="n"/>
      <c r="W86" s="334" t="n"/>
      <c r="X86" s="334" t="n"/>
      <c r="Y86" s="334" t="n"/>
      <c r="Z86" s="242">
        <f>IF(AND(G86&lt;&gt;"",R86&lt;&gt;"",V86&lt;&gt;"",W86&lt;&gt;""),"COMPLETADO","OBSERVADO")</f>
        <v/>
      </c>
      <c r="AA86" s="284" t="n"/>
    </row>
    <row r="87" ht="15.75" customHeight="1" s="195">
      <c r="A87" s="280" t="n"/>
      <c r="B87" s="280" t="n"/>
      <c r="C87" s="280" t="n"/>
      <c r="D87" s="280" t="n"/>
      <c r="E87" s="280" t="n"/>
      <c r="F87" s="280" t="n"/>
      <c r="G87" s="280" t="n"/>
      <c r="H87" s="280" t="n"/>
      <c r="I87" s="332">
        <f>IFERROR(VLOOKUP(TEXT(H87,"0"),IPRESS!$A$3:$B$212,2,0),"")</f>
        <v/>
      </c>
      <c r="J87" s="280" t="n"/>
      <c r="K87" s="332">
        <f>IFERROR(VLOOKUP(TEXT(O87,"0"),CONDUCTORES!$A$3:$G$54,7,0),"")</f>
        <v/>
      </c>
      <c r="L87" s="280" t="n"/>
      <c r="M87" s="280" t="n"/>
      <c r="N87" s="333">
        <f>IFERROR(IF(L87*M87=0,"",L87*M87),"")</f>
        <v/>
      </c>
      <c r="O87" s="280" t="n"/>
      <c r="P87" s="332">
        <f>IFERROR(VLOOKUP(TEXT(O87,"0"),CONDUCTORES!$A$3:$G$54,2,0),"")</f>
        <v/>
      </c>
      <c r="Q87" s="332">
        <f>IFERROR(VLOOKUP(TEXT(O87,"0"),CONDUCTORES!$A$3:$H$54,6,0),"")</f>
        <v/>
      </c>
      <c r="R87" s="280" t="n"/>
      <c r="S87" s="280" t="n"/>
      <c r="T87" s="280" t="n"/>
      <c r="U87" s="280" t="n"/>
      <c r="V87" s="280" t="n"/>
      <c r="W87" s="280" t="n"/>
      <c r="X87" s="280" t="n"/>
      <c r="Y87" s="280" t="n"/>
      <c r="Z87" s="236">
        <f>IF(AND(G87&lt;&gt;"",R87&lt;&gt;"",V87&lt;&gt;"",W87&lt;&gt;""),"COMPLETADO","OBSERVADO")</f>
        <v/>
      </c>
      <c r="AA87" s="284" t="n"/>
    </row>
    <row r="88" ht="15.75" customHeight="1" s="195">
      <c r="A88" s="334" t="n"/>
      <c r="B88" s="334" t="n"/>
      <c r="C88" s="334" t="n"/>
      <c r="D88" s="334" t="n"/>
      <c r="E88" s="334" t="n"/>
      <c r="F88" s="334" t="n"/>
      <c r="G88" s="334" t="n"/>
      <c r="H88" s="334" t="n"/>
      <c r="I88" s="332">
        <f>IFERROR(VLOOKUP(TEXT(H88,"0"),IPRESS!$A$3:$B$212,2,0),"")</f>
        <v/>
      </c>
      <c r="J88" s="334" t="n"/>
      <c r="K88" s="332">
        <f>IFERROR(VLOOKUP(TEXT(O88,"0"),CONDUCTORES!$A$3:$G$54,7,0),"")</f>
        <v/>
      </c>
      <c r="L88" s="334" t="n"/>
      <c r="M88" s="334" t="n"/>
      <c r="N88" s="333">
        <f>IFERROR(IF(L88*M88=0,"",L88*M88),"")</f>
        <v/>
      </c>
      <c r="O88" s="334" t="n"/>
      <c r="P88" s="332">
        <f>IFERROR(VLOOKUP(TEXT(O88,"0"),CONDUCTORES!$A$3:$G$54,2,0),"")</f>
        <v/>
      </c>
      <c r="Q88" s="332">
        <f>IFERROR(VLOOKUP(TEXT(O88,"0"),CONDUCTORES!$A$3:$H$54,6,0),"")</f>
        <v/>
      </c>
      <c r="R88" s="334" t="n"/>
      <c r="S88" s="334" t="n"/>
      <c r="T88" s="334" t="n"/>
      <c r="U88" s="334" t="n"/>
      <c r="V88" s="334" t="n"/>
      <c r="W88" s="334" t="n"/>
      <c r="X88" s="334" t="n"/>
      <c r="Y88" s="334" t="n"/>
      <c r="Z88" s="242">
        <f>IF(AND(G88&lt;&gt;"",R88&lt;&gt;"",V88&lt;&gt;"",W88&lt;&gt;""),"COMPLETADO","OBSERVADO")</f>
        <v/>
      </c>
      <c r="AA88" s="284" t="n"/>
    </row>
    <row r="89" ht="15.75" customHeight="1" s="195">
      <c r="A89" s="280" t="n"/>
      <c r="B89" s="280" t="n"/>
      <c r="C89" s="280" t="n"/>
      <c r="D89" s="280" t="n"/>
      <c r="E89" s="280" t="n"/>
      <c r="F89" s="280" t="n"/>
      <c r="G89" s="280" t="n"/>
      <c r="H89" s="280" t="n"/>
      <c r="I89" s="332">
        <f>IFERROR(VLOOKUP(TEXT(H89,"0"),IPRESS!$A$3:$B$212,2,0),"")</f>
        <v/>
      </c>
      <c r="J89" s="280" t="n"/>
      <c r="K89" s="332">
        <f>IFERROR(VLOOKUP(TEXT(O89,"0"),CONDUCTORES!$A$3:$G$54,7,0),"")</f>
        <v/>
      </c>
      <c r="L89" s="280" t="n"/>
      <c r="M89" s="280" t="n"/>
      <c r="N89" s="333">
        <f>IFERROR(IF(L89*M89=0,"",L89*M89),"")</f>
        <v/>
      </c>
      <c r="O89" s="280" t="n"/>
      <c r="P89" s="332">
        <f>IFERROR(VLOOKUP(TEXT(O89,"0"),CONDUCTORES!$A$3:$G$54,2,0),"")</f>
        <v/>
      </c>
      <c r="Q89" s="332">
        <f>IFERROR(VLOOKUP(TEXT(O89,"0"),CONDUCTORES!$A$3:$H$54,6,0),"")</f>
        <v/>
      </c>
      <c r="R89" s="280" t="n"/>
      <c r="S89" s="280" t="n"/>
      <c r="T89" s="280" t="n"/>
      <c r="U89" s="280" t="n"/>
      <c r="V89" s="280" t="n"/>
      <c r="W89" s="280" t="n"/>
      <c r="X89" s="280" t="n"/>
      <c r="Y89" s="280" t="n"/>
      <c r="Z89" s="236">
        <f>IF(AND(G89&lt;&gt;"",R89&lt;&gt;"",V89&lt;&gt;"",W89&lt;&gt;""),"COMPLETADO","OBSERVADO")</f>
        <v/>
      </c>
      <c r="AA89" s="284" t="n"/>
    </row>
    <row r="90" ht="15.75" customHeight="1" s="195">
      <c r="A90" s="334" t="n"/>
      <c r="B90" s="334" t="n"/>
      <c r="C90" s="334" t="n"/>
      <c r="D90" s="334" t="n"/>
      <c r="E90" s="334" t="n"/>
      <c r="F90" s="334" t="n"/>
      <c r="G90" s="334" t="n"/>
      <c r="H90" s="334" t="n"/>
      <c r="I90" s="332">
        <f>IFERROR(VLOOKUP(TEXT(H90,"0"),IPRESS!$A$3:$B$212,2,0),"")</f>
        <v/>
      </c>
      <c r="J90" s="334" t="n"/>
      <c r="K90" s="332">
        <f>IFERROR(VLOOKUP(TEXT(O90,"0"),CONDUCTORES!$A$3:$G$54,7,0),"")</f>
        <v/>
      </c>
      <c r="L90" s="334" t="n"/>
      <c r="M90" s="334" t="n"/>
      <c r="N90" s="333">
        <f>IFERROR(IF(L90*M90=0,"",L90*M90),"")</f>
        <v/>
      </c>
      <c r="O90" s="334" t="n"/>
      <c r="P90" s="332">
        <f>IFERROR(VLOOKUP(TEXT(O90,"0"),CONDUCTORES!$A$3:$G$54,2,0),"")</f>
        <v/>
      </c>
      <c r="Q90" s="332">
        <f>IFERROR(VLOOKUP(TEXT(O90,"0"),CONDUCTORES!$A$3:$H$54,6,0),"")</f>
        <v/>
      </c>
      <c r="R90" s="334" t="n"/>
      <c r="S90" s="334" t="n"/>
      <c r="T90" s="334" t="n"/>
      <c r="U90" s="334" t="n"/>
      <c r="V90" s="334" t="n"/>
      <c r="W90" s="334" t="n"/>
      <c r="X90" s="334" t="n"/>
      <c r="Y90" s="334" t="n"/>
      <c r="Z90" s="242">
        <f>IF(AND(G90&lt;&gt;"",R90&lt;&gt;"",V90&lt;&gt;"",W90&lt;&gt;""),"COMPLETADO","OBSERVADO")</f>
        <v/>
      </c>
      <c r="AA90" s="284" t="n"/>
    </row>
    <row r="91" ht="15.75" customHeight="1" s="195">
      <c r="A91" s="280" t="n"/>
      <c r="B91" s="280" t="n"/>
      <c r="C91" s="280" t="n"/>
      <c r="D91" s="280" t="n"/>
      <c r="E91" s="280" t="n"/>
      <c r="F91" s="280" t="n"/>
      <c r="G91" s="280" t="n"/>
      <c r="H91" s="280" t="n"/>
      <c r="I91" s="332">
        <f>IFERROR(VLOOKUP(TEXT(H91,"0"),IPRESS!$A$3:$B$212,2,0),"")</f>
        <v/>
      </c>
      <c r="J91" s="280" t="n"/>
      <c r="K91" s="332">
        <f>IFERROR(VLOOKUP(TEXT(O91,"0"),CONDUCTORES!$A$3:$G$54,7,0),"")</f>
        <v/>
      </c>
      <c r="L91" s="280" t="n"/>
      <c r="M91" s="280" t="n"/>
      <c r="N91" s="333">
        <f>IFERROR(IF(L91*M91=0,"",L91*M91),"")</f>
        <v/>
      </c>
      <c r="O91" s="280" t="n"/>
      <c r="P91" s="332">
        <f>IFERROR(VLOOKUP(TEXT(O91,"0"),CONDUCTORES!$A$3:$G$54,2,0),"")</f>
        <v/>
      </c>
      <c r="Q91" s="332">
        <f>IFERROR(VLOOKUP(TEXT(O91,"0"),CONDUCTORES!$A$3:$H$54,6,0),"")</f>
        <v/>
      </c>
      <c r="R91" s="280" t="n"/>
      <c r="S91" s="280" t="n"/>
      <c r="T91" s="280" t="n"/>
      <c r="U91" s="280" t="n"/>
      <c r="V91" s="280" t="n"/>
      <c r="W91" s="280" t="n"/>
      <c r="X91" s="280" t="n"/>
      <c r="Y91" s="280" t="n"/>
      <c r="Z91" s="236">
        <f>IF(AND(G91&lt;&gt;"",R91&lt;&gt;"",V91&lt;&gt;"",W91&lt;&gt;""),"COMPLETADO","OBSERVADO")</f>
        <v/>
      </c>
      <c r="AA91" s="284" t="n"/>
    </row>
    <row r="92" ht="15.75" customHeight="1" s="195">
      <c r="A92" s="334" t="n"/>
      <c r="B92" s="334" t="n"/>
      <c r="C92" s="334" t="n"/>
      <c r="D92" s="334" t="n"/>
      <c r="E92" s="334" t="n"/>
      <c r="F92" s="334" t="n"/>
      <c r="G92" s="334" t="n"/>
      <c r="H92" s="334" t="n"/>
      <c r="I92" s="332">
        <f>IFERROR(VLOOKUP(TEXT(H92,"0"),IPRESS!$A$3:$B$212,2,0),"")</f>
        <v/>
      </c>
      <c r="J92" s="334" t="n"/>
      <c r="K92" s="332">
        <f>IFERROR(VLOOKUP(TEXT(O92,"0"),CONDUCTORES!$A$3:$G$54,7,0),"")</f>
        <v/>
      </c>
      <c r="L92" s="334" t="n"/>
      <c r="M92" s="334" t="n"/>
      <c r="N92" s="333">
        <f>IFERROR(IF(L92*M92=0,"",L92*M92),"")</f>
        <v/>
      </c>
      <c r="O92" s="334" t="n"/>
      <c r="P92" s="332">
        <f>IFERROR(VLOOKUP(TEXT(O92,"0"),CONDUCTORES!$A$3:$G$54,2,0),"")</f>
        <v/>
      </c>
      <c r="Q92" s="332">
        <f>IFERROR(VLOOKUP(TEXT(O92,"0"),CONDUCTORES!$A$3:$H$54,6,0),"")</f>
        <v/>
      </c>
      <c r="R92" s="334" t="n"/>
      <c r="S92" s="334" t="n"/>
      <c r="T92" s="334" t="n"/>
      <c r="U92" s="334" t="n"/>
      <c r="V92" s="334" t="n"/>
      <c r="W92" s="334" t="n"/>
      <c r="X92" s="334" t="n"/>
      <c r="Y92" s="334" t="n"/>
      <c r="Z92" s="242">
        <f>IF(AND(G92&lt;&gt;"",R92&lt;&gt;"",V92&lt;&gt;"",W92&lt;&gt;""),"COMPLETADO","OBSERVADO")</f>
        <v/>
      </c>
      <c r="AA92" s="284" t="n"/>
    </row>
    <row r="93" ht="15.75" customHeight="1" s="195">
      <c r="A93" s="280" t="n"/>
      <c r="B93" s="280" t="n"/>
      <c r="C93" s="280" t="n"/>
      <c r="D93" s="280" t="n"/>
      <c r="E93" s="280" t="n"/>
      <c r="F93" s="280" t="n"/>
      <c r="G93" s="280" t="n"/>
      <c r="H93" s="280" t="n"/>
      <c r="I93" s="332">
        <f>IFERROR(VLOOKUP(TEXT(H93,"0"),IPRESS!$A$3:$B$212,2,0),"")</f>
        <v/>
      </c>
      <c r="J93" s="280" t="n"/>
      <c r="K93" s="332">
        <f>IFERROR(VLOOKUP(TEXT(O93,"0"),CONDUCTORES!$A$3:$G$54,7,0),"")</f>
        <v/>
      </c>
      <c r="L93" s="280" t="n"/>
      <c r="M93" s="280" t="n"/>
      <c r="N93" s="333">
        <f>IFERROR(IF(L93*M93=0,"",L93*M93),"")</f>
        <v/>
      </c>
      <c r="O93" s="280" t="n"/>
      <c r="P93" s="332">
        <f>IFERROR(VLOOKUP(TEXT(O93,"0"),CONDUCTORES!$A$3:$G$54,2,0),"")</f>
        <v/>
      </c>
      <c r="Q93" s="332">
        <f>IFERROR(VLOOKUP(TEXT(O93,"0"),CONDUCTORES!$A$3:$H$54,6,0),"")</f>
        <v/>
      </c>
      <c r="R93" s="280" t="n"/>
      <c r="S93" s="280" t="n"/>
      <c r="T93" s="280" t="n"/>
      <c r="U93" s="280" t="n"/>
      <c r="V93" s="280" t="n"/>
      <c r="W93" s="280" t="n"/>
      <c r="X93" s="280" t="n"/>
      <c r="Y93" s="280" t="n"/>
      <c r="Z93" s="236">
        <f>IF(AND(G93&lt;&gt;"",R93&lt;&gt;"",V93&lt;&gt;"",W93&lt;&gt;""),"COMPLETADO","OBSERVADO")</f>
        <v/>
      </c>
      <c r="AA93" s="284" t="n"/>
    </row>
    <row r="94" ht="15.75" customHeight="1" s="195">
      <c r="A94" s="334" t="n"/>
      <c r="B94" s="334" t="n"/>
      <c r="C94" s="334" t="n"/>
      <c r="D94" s="334" t="n"/>
      <c r="E94" s="334" t="n"/>
      <c r="F94" s="334" t="n"/>
      <c r="G94" s="334" t="n"/>
      <c r="H94" s="334" t="n"/>
      <c r="I94" s="332">
        <f>IFERROR(VLOOKUP(TEXT(H94,"0"),IPRESS!$A$3:$B$212,2,0),"")</f>
        <v/>
      </c>
      <c r="J94" s="334" t="n"/>
      <c r="K94" s="332">
        <f>IFERROR(VLOOKUP(TEXT(O94,"0"),CONDUCTORES!$A$3:$G$54,7,0),"")</f>
        <v/>
      </c>
      <c r="L94" s="334" t="n"/>
      <c r="M94" s="334" t="n"/>
      <c r="N94" s="333">
        <f>IFERROR(IF(L94*M94=0,"",L94*M94),"")</f>
        <v/>
      </c>
      <c r="O94" s="334" t="n"/>
      <c r="P94" s="332">
        <f>IFERROR(VLOOKUP(TEXT(O94,"0"),CONDUCTORES!$A$3:$G$54,2,0),"")</f>
        <v/>
      </c>
      <c r="Q94" s="332">
        <f>IFERROR(VLOOKUP(TEXT(O94,"0"),CONDUCTORES!$A$3:$H$54,6,0),"")</f>
        <v/>
      </c>
      <c r="R94" s="334" t="n"/>
      <c r="S94" s="334" t="n"/>
      <c r="T94" s="334" t="n"/>
      <c r="U94" s="334" t="n"/>
      <c r="V94" s="334" t="n"/>
      <c r="W94" s="334" t="n"/>
      <c r="X94" s="334" t="n"/>
      <c r="Y94" s="334" t="n"/>
      <c r="Z94" s="242">
        <f>IF(AND(G94&lt;&gt;"",R94&lt;&gt;"",V94&lt;&gt;"",W94&lt;&gt;""),"COMPLETADO","OBSERVADO")</f>
        <v/>
      </c>
      <c r="AA94" s="284" t="n"/>
    </row>
    <row r="95" ht="15.75" customHeight="1" s="195">
      <c r="A95" s="280" t="n"/>
      <c r="B95" s="280" t="n"/>
      <c r="C95" s="280" t="n"/>
      <c r="D95" s="280" t="n"/>
      <c r="E95" s="280" t="n"/>
      <c r="F95" s="280" t="n"/>
      <c r="G95" s="280" t="n"/>
      <c r="H95" s="280" t="n"/>
      <c r="I95" s="332">
        <f>IFERROR(VLOOKUP(TEXT(H95,"0"),IPRESS!$A$3:$B$212,2,0),"")</f>
        <v/>
      </c>
      <c r="J95" s="280" t="n"/>
      <c r="K95" s="332">
        <f>IFERROR(VLOOKUP(TEXT(O95,"0"),CONDUCTORES!$A$3:$G$54,7,0),"")</f>
        <v/>
      </c>
      <c r="L95" s="280" t="n"/>
      <c r="M95" s="280" t="n"/>
      <c r="N95" s="333">
        <f>IFERROR(IF(L95*M95=0,"",L95*M95),"")</f>
        <v/>
      </c>
      <c r="O95" s="280" t="n"/>
      <c r="P95" s="332">
        <f>IFERROR(VLOOKUP(TEXT(O95,"0"),CONDUCTORES!$A$3:$G$54,2,0),"")</f>
        <v/>
      </c>
      <c r="Q95" s="332">
        <f>IFERROR(VLOOKUP(TEXT(O95,"0"),CONDUCTORES!$A$3:$H$54,6,0),"")</f>
        <v/>
      </c>
      <c r="R95" s="280" t="n"/>
      <c r="S95" s="280" t="n"/>
      <c r="T95" s="280" t="n"/>
      <c r="U95" s="280" t="n"/>
      <c r="V95" s="280" t="n"/>
      <c r="W95" s="280" t="n"/>
      <c r="X95" s="280" t="n"/>
      <c r="Y95" s="280" t="n"/>
      <c r="Z95" s="236">
        <f>IF(AND(G95&lt;&gt;"",R95&lt;&gt;"",V95&lt;&gt;"",W95&lt;&gt;""),"COMPLETADO","OBSERVADO")</f>
        <v/>
      </c>
      <c r="AA95" s="284" t="n"/>
    </row>
    <row r="96" ht="15.75" customHeight="1" s="195">
      <c r="A96" s="334" t="n"/>
      <c r="B96" s="334" t="n"/>
      <c r="C96" s="334" t="n"/>
      <c r="D96" s="334" t="n"/>
      <c r="E96" s="334" t="n"/>
      <c r="F96" s="334" t="n"/>
      <c r="G96" s="334" t="n"/>
      <c r="H96" s="334" t="n"/>
      <c r="I96" s="332">
        <f>IFERROR(VLOOKUP(TEXT(H96,"0"),IPRESS!$A$3:$B$212,2,0),"")</f>
        <v/>
      </c>
      <c r="J96" s="334" t="n"/>
      <c r="K96" s="332">
        <f>IFERROR(VLOOKUP(TEXT(O96,"0"),CONDUCTORES!$A$3:$G$54,7,0),"")</f>
        <v/>
      </c>
      <c r="L96" s="334" t="n"/>
      <c r="M96" s="334" t="n"/>
      <c r="N96" s="333">
        <f>IFERROR(IF(L96*M96=0,"",L96*M96),"")</f>
        <v/>
      </c>
      <c r="O96" s="334" t="n"/>
      <c r="P96" s="332">
        <f>IFERROR(VLOOKUP(TEXT(O96,"0"),CONDUCTORES!$A$3:$G$54,2,0),"")</f>
        <v/>
      </c>
      <c r="Q96" s="332">
        <f>IFERROR(VLOOKUP(TEXT(O96,"0"),CONDUCTORES!$A$3:$H$54,6,0),"")</f>
        <v/>
      </c>
      <c r="R96" s="334" t="n"/>
      <c r="S96" s="334" t="n"/>
      <c r="T96" s="334" t="n"/>
      <c r="U96" s="334" t="n"/>
      <c r="V96" s="334" t="n"/>
      <c r="W96" s="334" t="n"/>
      <c r="X96" s="334" t="n"/>
      <c r="Y96" s="334" t="n"/>
      <c r="Z96" s="242">
        <f>IF(AND(G96&lt;&gt;"",R96&lt;&gt;"",V96&lt;&gt;"",W96&lt;&gt;""),"COMPLETADO","OBSERVADO")</f>
        <v/>
      </c>
      <c r="AA96" s="284" t="n"/>
    </row>
    <row r="97" ht="15.75" customHeight="1" s="195">
      <c r="A97" s="280" t="n"/>
      <c r="B97" s="280" t="n"/>
      <c r="C97" s="280" t="n"/>
      <c r="D97" s="280" t="n"/>
      <c r="E97" s="280" t="n"/>
      <c r="F97" s="280" t="n"/>
      <c r="G97" s="280" t="n"/>
      <c r="H97" s="280" t="n"/>
      <c r="I97" s="332">
        <f>IFERROR(VLOOKUP(TEXT(H97,"0"),IPRESS!$A$3:$B$212,2,0),"")</f>
        <v/>
      </c>
      <c r="J97" s="280" t="n"/>
      <c r="K97" s="332">
        <f>IFERROR(VLOOKUP(TEXT(O97,"0"),CONDUCTORES!$A$3:$G$54,7,0),"")</f>
        <v/>
      </c>
      <c r="L97" s="280" t="n"/>
      <c r="M97" s="280" t="n"/>
      <c r="N97" s="333">
        <f>IFERROR(IF(L97*M97=0,"",L97*M97),"")</f>
        <v/>
      </c>
      <c r="O97" s="280" t="n"/>
      <c r="P97" s="332">
        <f>IFERROR(VLOOKUP(TEXT(O97,"0"),CONDUCTORES!$A$3:$G$54,2,0),"")</f>
        <v/>
      </c>
      <c r="Q97" s="332">
        <f>IFERROR(VLOOKUP(TEXT(O97,"0"),CONDUCTORES!$A$3:$H$54,6,0),"")</f>
        <v/>
      </c>
      <c r="R97" s="280" t="n"/>
      <c r="S97" s="280" t="n"/>
      <c r="T97" s="280" t="n"/>
      <c r="U97" s="280" t="n"/>
      <c r="V97" s="280" t="n"/>
      <c r="W97" s="280" t="n"/>
      <c r="X97" s="280" t="n"/>
      <c r="Y97" s="280" t="n"/>
      <c r="Z97" s="236">
        <f>IF(AND(G97&lt;&gt;"",R97&lt;&gt;"",V97&lt;&gt;"",W97&lt;&gt;""),"COMPLETADO","OBSERVADO")</f>
        <v/>
      </c>
      <c r="AA97" s="284" t="n"/>
    </row>
    <row r="98" ht="15.75" customHeight="1" s="195">
      <c r="A98" s="334" t="n"/>
      <c r="B98" s="334" t="n"/>
      <c r="C98" s="334" t="n"/>
      <c r="D98" s="334" t="n"/>
      <c r="E98" s="334" t="n"/>
      <c r="F98" s="334" t="n"/>
      <c r="G98" s="334" t="n"/>
      <c r="H98" s="334" t="n"/>
      <c r="I98" s="332">
        <f>IFERROR(VLOOKUP(TEXT(H98,"0"),IPRESS!$A$3:$B$212,2,0),"")</f>
        <v/>
      </c>
      <c r="J98" s="334" t="n"/>
      <c r="K98" s="332">
        <f>IFERROR(VLOOKUP(TEXT(O98,"0"),CONDUCTORES!$A$3:$G$54,7,0),"")</f>
        <v/>
      </c>
      <c r="L98" s="334" t="n"/>
      <c r="M98" s="334" t="n"/>
      <c r="N98" s="333">
        <f>IFERROR(IF(L98*M98=0,"",L98*M98),"")</f>
        <v/>
      </c>
      <c r="O98" s="334" t="n"/>
      <c r="P98" s="332">
        <f>IFERROR(VLOOKUP(TEXT(O98,"0"),CONDUCTORES!$A$3:$G$54,2,0),"")</f>
        <v/>
      </c>
      <c r="Q98" s="332">
        <f>IFERROR(VLOOKUP(TEXT(O98,"0"),CONDUCTORES!$A$3:$H$54,6,0),"")</f>
        <v/>
      </c>
      <c r="R98" s="334" t="n"/>
      <c r="S98" s="334" t="n"/>
      <c r="T98" s="334" t="n"/>
      <c r="U98" s="334" t="n"/>
      <c r="V98" s="334" t="n"/>
      <c r="W98" s="334" t="n"/>
      <c r="X98" s="334" t="n"/>
      <c r="Y98" s="334" t="n"/>
      <c r="Z98" s="242">
        <f>IF(AND(G98&lt;&gt;"",R98&lt;&gt;"",V98&lt;&gt;"",W98&lt;&gt;""),"COMPLETADO","OBSERVADO")</f>
        <v/>
      </c>
      <c r="AA98" s="284" t="n"/>
    </row>
    <row r="99" ht="15.75" customHeight="1" s="195">
      <c r="A99" s="280" t="n"/>
      <c r="B99" s="280" t="n"/>
      <c r="C99" s="280" t="n"/>
      <c r="D99" s="280" t="n"/>
      <c r="E99" s="280" t="n"/>
      <c r="F99" s="280" t="n"/>
      <c r="G99" s="280" t="n"/>
      <c r="H99" s="280" t="n"/>
      <c r="I99" s="332">
        <f>IFERROR(VLOOKUP(TEXT(H99,"0"),IPRESS!$A$3:$B$212,2,0),"")</f>
        <v/>
      </c>
      <c r="J99" s="280" t="n"/>
      <c r="K99" s="332">
        <f>IFERROR(VLOOKUP(TEXT(O99,"0"),CONDUCTORES!$A$3:$G$54,7,0),"")</f>
        <v/>
      </c>
      <c r="L99" s="280" t="n"/>
      <c r="M99" s="280" t="n"/>
      <c r="N99" s="333">
        <f>IFERROR(IF(L99*M99=0,"",L99*M99),"")</f>
        <v/>
      </c>
      <c r="O99" s="280" t="n"/>
      <c r="P99" s="332">
        <f>IFERROR(VLOOKUP(TEXT(O99,"0"),CONDUCTORES!$A$3:$G$54,2,0),"")</f>
        <v/>
      </c>
      <c r="Q99" s="332">
        <f>IFERROR(VLOOKUP(TEXT(O99,"0"),CONDUCTORES!$A$3:$H$54,6,0),"")</f>
        <v/>
      </c>
      <c r="R99" s="280" t="n"/>
      <c r="S99" s="280" t="n"/>
      <c r="T99" s="280" t="n"/>
      <c r="U99" s="280" t="n"/>
      <c r="V99" s="280" t="n"/>
      <c r="W99" s="280" t="n"/>
      <c r="X99" s="280" t="n"/>
      <c r="Y99" s="280" t="n"/>
      <c r="Z99" s="236">
        <f>IF(AND(G99&lt;&gt;"",R99&lt;&gt;"",V99&lt;&gt;"",W99&lt;&gt;""),"COMPLETADO","OBSERVADO")</f>
        <v/>
      </c>
      <c r="AA99" s="284" t="n"/>
    </row>
    <row r="100" ht="15.75" customHeight="1" s="195">
      <c r="A100" s="334" t="n"/>
      <c r="B100" s="334" t="n"/>
      <c r="C100" s="334" t="n"/>
      <c r="D100" s="334" t="n"/>
      <c r="E100" s="334" t="n"/>
      <c r="F100" s="334" t="n"/>
      <c r="G100" s="334" t="n"/>
      <c r="H100" s="334" t="n"/>
      <c r="I100" s="332">
        <f>IFERROR(VLOOKUP(TEXT(H100,"0"),IPRESS!$A$3:$B$212,2,0),"")</f>
        <v/>
      </c>
      <c r="J100" s="334" t="n"/>
      <c r="K100" s="332">
        <f>IFERROR(VLOOKUP(TEXT(O100,"0"),CONDUCTORES!$A$3:$G$54,7,0),"")</f>
        <v/>
      </c>
      <c r="L100" s="334" t="n"/>
      <c r="M100" s="334" t="n"/>
      <c r="N100" s="333">
        <f>IFERROR(IF(L100*M100=0,"",L100*M100),"")</f>
        <v/>
      </c>
      <c r="O100" s="334" t="n"/>
      <c r="P100" s="332">
        <f>IFERROR(VLOOKUP(TEXT(O100,"0"),CONDUCTORES!$A$3:$G$54,2,0),"")</f>
        <v/>
      </c>
      <c r="Q100" s="332">
        <f>IFERROR(VLOOKUP(TEXT(O100,"0"),CONDUCTORES!$A$3:$H$54,6,0),"")</f>
        <v/>
      </c>
      <c r="R100" s="334" t="n"/>
      <c r="S100" s="334" t="n"/>
      <c r="T100" s="334" t="n"/>
      <c r="U100" s="334" t="n"/>
      <c r="V100" s="334" t="n"/>
      <c r="W100" s="334" t="n"/>
      <c r="X100" s="334" t="n"/>
      <c r="Y100" s="334" t="n"/>
      <c r="Z100" s="242">
        <f>IF(AND(G100&lt;&gt;"",R100&lt;&gt;"",V100&lt;&gt;"",W100&lt;&gt;""),"COMPLETADO","OBSERVADO")</f>
        <v/>
      </c>
      <c r="AA100" s="284" t="n"/>
    </row>
    <row r="101" ht="15.75" customHeight="1" s="195">
      <c r="A101" s="280" t="n"/>
      <c r="B101" s="280" t="n"/>
      <c r="C101" s="280" t="n"/>
      <c r="D101" s="280" t="n"/>
      <c r="E101" s="280" t="n"/>
      <c r="F101" s="280" t="n"/>
      <c r="G101" s="280" t="n"/>
      <c r="H101" s="280" t="n"/>
      <c r="I101" s="332">
        <f>IFERROR(VLOOKUP(TEXT(H101,"0"),IPRESS!$A$3:$B$212,2,0),"")</f>
        <v/>
      </c>
      <c r="J101" s="280" t="n"/>
      <c r="K101" s="332">
        <f>IFERROR(VLOOKUP(TEXT(O101,"0"),CONDUCTORES!$A$3:$G$54,7,0),"")</f>
        <v/>
      </c>
      <c r="L101" s="280" t="n"/>
      <c r="M101" s="280" t="n"/>
      <c r="N101" s="333">
        <f>IFERROR(IF(L101*M101=0,"",L101*M101),"")</f>
        <v/>
      </c>
      <c r="O101" s="280" t="n"/>
      <c r="P101" s="332">
        <f>IFERROR(VLOOKUP(TEXT(O101,"0"),CONDUCTORES!$A$3:$G$54,2,0),"")</f>
        <v/>
      </c>
      <c r="Q101" s="332">
        <f>IFERROR(VLOOKUP(TEXT(O101,"0"),CONDUCTORES!$A$3:$H$54,6,0),"")</f>
        <v/>
      </c>
      <c r="R101" s="280" t="n"/>
      <c r="S101" s="280" t="n"/>
      <c r="T101" s="280" t="n"/>
      <c r="U101" s="280" t="n"/>
      <c r="V101" s="280" t="n"/>
      <c r="W101" s="280" t="n"/>
      <c r="X101" s="280" t="n"/>
      <c r="Y101" s="280" t="n"/>
      <c r="Z101" s="236">
        <f>IF(AND(G101&lt;&gt;"",R101&lt;&gt;"",V101&lt;&gt;"",W101&lt;&gt;""),"COMPLETADO","OBSERVADO")</f>
        <v/>
      </c>
      <c r="AA101" s="284" t="n"/>
    </row>
    <row r="102" ht="15.75" customHeight="1" s="195">
      <c r="A102" s="334" t="n"/>
      <c r="B102" s="334" t="n"/>
      <c r="C102" s="334" t="n"/>
      <c r="D102" s="334" t="n"/>
      <c r="E102" s="334" t="n"/>
      <c r="F102" s="334" t="n"/>
      <c r="G102" s="334" t="n"/>
      <c r="H102" s="334" t="n"/>
      <c r="I102" s="332">
        <f>IFERROR(VLOOKUP(TEXT(H102,"0"),IPRESS!$A$3:$B$212,2,0),"")</f>
        <v/>
      </c>
      <c r="J102" s="334" t="n"/>
      <c r="K102" s="332">
        <f>IFERROR(VLOOKUP(TEXT(O102,"0"),CONDUCTORES!$A$3:$G$54,7,0),"")</f>
        <v/>
      </c>
      <c r="L102" s="334" t="n"/>
      <c r="M102" s="334" t="n"/>
      <c r="N102" s="333">
        <f>IFERROR(IF(L102*M102=0,"",L102*M102),"")</f>
        <v/>
      </c>
      <c r="O102" s="334" t="n"/>
      <c r="P102" s="332">
        <f>IFERROR(VLOOKUP(TEXT(O102,"0"),CONDUCTORES!$A$3:$G$54,2,0),"")</f>
        <v/>
      </c>
      <c r="Q102" s="332">
        <f>IFERROR(VLOOKUP(TEXT(O102,"0"),CONDUCTORES!$A$3:$H$54,6,0),"")</f>
        <v/>
      </c>
      <c r="R102" s="334" t="n"/>
      <c r="S102" s="334" t="n"/>
      <c r="T102" s="334" t="n"/>
      <c r="U102" s="334" t="n"/>
      <c r="V102" s="334" t="n"/>
      <c r="W102" s="334" t="n"/>
      <c r="X102" s="334" t="n"/>
      <c r="Y102" s="334" t="n"/>
      <c r="Z102" s="242">
        <f>IF(AND(G102&lt;&gt;"",R102&lt;&gt;"",V102&lt;&gt;"",W102&lt;&gt;""),"COMPLETADO","OBSERVADO")</f>
        <v/>
      </c>
      <c r="AA102" s="284" t="n"/>
    </row>
    <row r="103" ht="15.75" customHeight="1" s="195">
      <c r="A103" s="280" t="n"/>
      <c r="B103" s="280" t="n"/>
      <c r="C103" s="280" t="n"/>
      <c r="D103" s="280" t="n"/>
      <c r="E103" s="280" t="n"/>
      <c r="F103" s="280" t="n"/>
      <c r="G103" s="280" t="n"/>
      <c r="H103" s="280" t="n"/>
      <c r="I103" s="332">
        <f>IFERROR(VLOOKUP(TEXT(H103,"0"),IPRESS!$A$3:$B$212,2,0),"")</f>
        <v/>
      </c>
      <c r="J103" s="280" t="n"/>
      <c r="K103" s="332">
        <f>IFERROR(VLOOKUP(TEXT(O103,"0"),CONDUCTORES!$A$3:$G$54,7,0),"")</f>
        <v/>
      </c>
      <c r="L103" s="280" t="n"/>
      <c r="M103" s="280" t="n"/>
      <c r="N103" s="333">
        <f>IFERROR(IF(L103*M103=0,"",L103*M103),"")</f>
        <v/>
      </c>
      <c r="O103" s="280" t="n"/>
      <c r="P103" s="332">
        <f>IFERROR(VLOOKUP(TEXT(O103,"0"),CONDUCTORES!$A$3:$G$54,2,0),"")</f>
        <v/>
      </c>
      <c r="Q103" s="332">
        <f>IFERROR(VLOOKUP(TEXT(O103,"0"),CONDUCTORES!$A$3:$H$54,6,0),"")</f>
        <v/>
      </c>
      <c r="R103" s="280" t="n"/>
      <c r="S103" s="280" t="n"/>
      <c r="T103" s="280" t="n"/>
      <c r="U103" s="280" t="n"/>
      <c r="V103" s="280" t="n"/>
      <c r="W103" s="280" t="n"/>
      <c r="X103" s="280" t="n"/>
      <c r="Y103" s="280" t="n"/>
      <c r="Z103" s="236">
        <f>IF(AND(G103&lt;&gt;"",R103&lt;&gt;"",V103&lt;&gt;"",W103&lt;&gt;""),"COMPLETADO","OBSERVADO")</f>
        <v/>
      </c>
      <c r="AA103" s="284" t="n"/>
    </row>
    <row r="104" ht="15.75" customHeight="1" s="195">
      <c r="A104" s="334" t="n"/>
      <c r="B104" s="334" t="n"/>
      <c r="C104" s="334" t="n"/>
      <c r="D104" s="334" t="n"/>
      <c r="E104" s="334" t="n"/>
      <c r="F104" s="334" t="n"/>
      <c r="G104" s="334" t="n"/>
      <c r="H104" s="334" t="n"/>
      <c r="I104" s="332">
        <f>IFERROR(VLOOKUP(TEXT(H104,"0"),IPRESS!$A$3:$B$212,2,0),"")</f>
        <v/>
      </c>
      <c r="J104" s="334" t="n"/>
      <c r="K104" s="332">
        <f>IFERROR(VLOOKUP(TEXT(O104,"0"),CONDUCTORES!$A$3:$G$54,7,0),"")</f>
        <v/>
      </c>
      <c r="L104" s="334" t="n"/>
      <c r="M104" s="334" t="n"/>
      <c r="N104" s="333">
        <f>IFERROR(IF(L104*M104=0,"",L104*M104),"")</f>
        <v/>
      </c>
      <c r="O104" s="334" t="n"/>
      <c r="P104" s="332">
        <f>IFERROR(VLOOKUP(TEXT(O104,"0"),CONDUCTORES!$A$3:$G$54,2,0),"")</f>
        <v/>
      </c>
      <c r="Q104" s="332">
        <f>IFERROR(VLOOKUP(TEXT(O104,"0"),CONDUCTORES!$A$3:$H$54,6,0),"")</f>
        <v/>
      </c>
      <c r="R104" s="334" t="n"/>
      <c r="S104" s="334" t="n"/>
      <c r="T104" s="334" t="n"/>
      <c r="U104" s="334" t="n"/>
      <c r="V104" s="334" t="n"/>
      <c r="W104" s="334" t="n"/>
      <c r="X104" s="334" t="n"/>
      <c r="Y104" s="334" t="n"/>
      <c r="Z104" s="242">
        <f>IF(AND(G104&lt;&gt;"",R104&lt;&gt;"",V104&lt;&gt;"",W104&lt;&gt;""),"COMPLETADO","OBSERVADO")</f>
        <v/>
      </c>
      <c r="AA104" s="284" t="n"/>
    </row>
    <row r="105" ht="15.75" customHeight="1" s="195">
      <c r="A105" s="280" t="n"/>
      <c r="B105" s="280" t="n"/>
      <c r="C105" s="280" t="n"/>
      <c r="D105" s="280" t="n"/>
      <c r="E105" s="280" t="n"/>
      <c r="F105" s="280" t="n"/>
      <c r="G105" s="280" t="n"/>
      <c r="H105" s="280" t="n"/>
      <c r="I105" s="332">
        <f>IFERROR(VLOOKUP(TEXT(H105,"0"),IPRESS!$A$3:$B$212,2,0),"")</f>
        <v/>
      </c>
      <c r="J105" s="280" t="n"/>
      <c r="K105" s="332">
        <f>IFERROR(VLOOKUP(TEXT(O105,"0"),CONDUCTORES!$A$3:$G$54,7,0),"")</f>
        <v/>
      </c>
      <c r="L105" s="280" t="n"/>
      <c r="M105" s="280" t="n"/>
      <c r="N105" s="333">
        <f>IFERROR(IF(L105*M105=0,"",L105*M105),"")</f>
        <v/>
      </c>
      <c r="O105" s="280" t="n"/>
      <c r="P105" s="332">
        <f>IFERROR(VLOOKUP(TEXT(O105,"0"),CONDUCTORES!$A$3:$G$54,2,0),"")</f>
        <v/>
      </c>
      <c r="Q105" s="332">
        <f>IFERROR(VLOOKUP(TEXT(O105,"0"),CONDUCTORES!$A$3:$H$54,6,0),"")</f>
        <v/>
      </c>
      <c r="R105" s="280" t="n"/>
      <c r="S105" s="280" t="n"/>
      <c r="T105" s="280" t="n"/>
      <c r="U105" s="280" t="n"/>
      <c r="V105" s="280" t="n"/>
      <c r="W105" s="280" t="n"/>
      <c r="X105" s="280" t="n"/>
      <c r="Y105" s="280" t="n"/>
      <c r="Z105" s="236">
        <f>IF(AND(G105&lt;&gt;"",R105&lt;&gt;"",V105&lt;&gt;"",W105&lt;&gt;""),"COMPLETADO","OBSERVADO")</f>
        <v/>
      </c>
      <c r="AA105" s="284" t="n"/>
    </row>
    <row r="106" ht="15.75" customHeight="1" s="195">
      <c r="A106" s="334" t="n"/>
      <c r="B106" s="334" t="n"/>
      <c r="C106" s="334" t="n"/>
      <c r="D106" s="334" t="n"/>
      <c r="E106" s="334" t="n"/>
      <c r="F106" s="334" t="n"/>
      <c r="G106" s="334" t="n"/>
      <c r="H106" s="334" t="n"/>
      <c r="I106" s="332">
        <f>IFERROR(VLOOKUP(TEXT(H106,"0"),IPRESS!$A$3:$B$212,2,0),"")</f>
        <v/>
      </c>
      <c r="J106" s="334" t="n"/>
      <c r="K106" s="332">
        <f>IFERROR(VLOOKUP(TEXT(O106,"0"),CONDUCTORES!$A$3:$G$54,7,0),"")</f>
        <v/>
      </c>
      <c r="L106" s="334" t="n"/>
      <c r="M106" s="334" t="n"/>
      <c r="N106" s="333">
        <f>IFERROR(IF(L106*M106=0,"",L106*M106),"")</f>
        <v/>
      </c>
      <c r="O106" s="334" t="n"/>
      <c r="P106" s="332">
        <f>IFERROR(VLOOKUP(TEXT(O106,"0"),CONDUCTORES!$A$3:$G$54,2,0),"")</f>
        <v/>
      </c>
      <c r="Q106" s="332">
        <f>IFERROR(VLOOKUP(TEXT(O106,"0"),CONDUCTORES!$A$3:$H$54,6,0),"")</f>
        <v/>
      </c>
      <c r="R106" s="334" t="n"/>
      <c r="S106" s="334" t="n"/>
      <c r="T106" s="334" t="n"/>
      <c r="U106" s="334" t="n"/>
      <c r="V106" s="334" t="n"/>
      <c r="W106" s="334" t="n"/>
      <c r="X106" s="334" t="n"/>
      <c r="Y106" s="334" t="n"/>
      <c r="Z106" s="242">
        <f>IF(AND(G106&lt;&gt;"",R106&lt;&gt;"",V106&lt;&gt;"",W106&lt;&gt;""),"COMPLETADO","OBSERVADO")</f>
        <v/>
      </c>
      <c r="AA106" s="284" t="n"/>
    </row>
    <row r="107" ht="15.75" customHeight="1" s="195">
      <c r="A107" s="280" t="n"/>
      <c r="B107" s="280" t="n"/>
      <c r="C107" s="280" t="n"/>
      <c r="D107" s="280" t="n"/>
      <c r="E107" s="280" t="n"/>
      <c r="F107" s="280" t="n"/>
      <c r="G107" s="280" t="n"/>
      <c r="H107" s="280" t="n"/>
      <c r="I107" s="332">
        <f>IFERROR(VLOOKUP(TEXT(H107,"0"),IPRESS!$A$3:$B$212,2,0),"")</f>
        <v/>
      </c>
      <c r="J107" s="280" t="n"/>
      <c r="K107" s="332">
        <f>IFERROR(VLOOKUP(TEXT(O107,"0"),CONDUCTORES!$A$3:$G$54,7,0),"")</f>
        <v/>
      </c>
      <c r="L107" s="280" t="n"/>
      <c r="M107" s="280" t="n"/>
      <c r="N107" s="333">
        <f>IFERROR(IF(L107*M107=0,"",L107*M107),"")</f>
        <v/>
      </c>
      <c r="O107" s="280" t="n"/>
      <c r="P107" s="332">
        <f>IFERROR(VLOOKUP(TEXT(O107,"0"),CONDUCTORES!$A$3:$G$54,2,0),"")</f>
        <v/>
      </c>
      <c r="Q107" s="332">
        <f>IFERROR(VLOOKUP(TEXT(O107,"0"),CONDUCTORES!$A$3:$H$54,6,0),"")</f>
        <v/>
      </c>
      <c r="R107" s="280" t="n"/>
      <c r="S107" s="280" t="n"/>
      <c r="T107" s="280" t="n"/>
      <c r="U107" s="280" t="n"/>
      <c r="V107" s="280" t="n"/>
      <c r="W107" s="280" t="n"/>
      <c r="X107" s="280" t="n"/>
      <c r="Y107" s="280" t="n"/>
      <c r="Z107" s="236">
        <f>IF(AND(G107&lt;&gt;"",R107&lt;&gt;"",V107&lt;&gt;"",W107&lt;&gt;""),"COMPLETADO","OBSERVADO")</f>
        <v/>
      </c>
      <c r="AA107" s="284" t="n"/>
    </row>
    <row r="108" ht="15.75" customHeight="1" s="195">
      <c r="A108" s="334" t="n"/>
      <c r="B108" s="334" t="n"/>
      <c r="C108" s="334" t="n"/>
      <c r="D108" s="334" t="n"/>
      <c r="E108" s="334" t="n"/>
      <c r="F108" s="334" t="n"/>
      <c r="G108" s="334" t="n"/>
      <c r="H108" s="334" t="n"/>
      <c r="I108" s="332">
        <f>IFERROR(VLOOKUP(TEXT(H108,"0"),IPRESS!$A$3:$B$212,2,0),"")</f>
        <v/>
      </c>
      <c r="J108" s="334" t="n"/>
      <c r="K108" s="332">
        <f>IFERROR(VLOOKUP(TEXT(O108,"0"),CONDUCTORES!$A$3:$G$54,7,0),"")</f>
        <v/>
      </c>
      <c r="L108" s="334" t="n"/>
      <c r="M108" s="334" t="n"/>
      <c r="N108" s="333">
        <f>IFERROR(IF(L108*M108=0,"",L108*M108),"")</f>
        <v/>
      </c>
      <c r="O108" s="334" t="n"/>
      <c r="P108" s="332">
        <f>IFERROR(VLOOKUP(TEXT(O108,"0"),CONDUCTORES!$A$3:$G$54,2,0),"")</f>
        <v/>
      </c>
      <c r="Q108" s="332">
        <f>IFERROR(VLOOKUP(TEXT(O108,"0"),CONDUCTORES!$A$3:$H$54,6,0),"")</f>
        <v/>
      </c>
      <c r="R108" s="334" t="n"/>
      <c r="S108" s="334" t="n"/>
      <c r="T108" s="334" t="n"/>
      <c r="U108" s="334" t="n"/>
      <c r="V108" s="334" t="n"/>
      <c r="W108" s="334" t="n"/>
      <c r="X108" s="334" t="n"/>
      <c r="Y108" s="334" t="n"/>
      <c r="Z108" s="242">
        <f>IF(AND(G108&lt;&gt;"",R108&lt;&gt;"",V108&lt;&gt;"",W108&lt;&gt;""),"COMPLETADO","OBSERVADO")</f>
        <v/>
      </c>
      <c r="AA108" s="284" t="n"/>
    </row>
    <row r="109" ht="15.75" customHeight="1" s="195">
      <c r="A109" s="280" t="n"/>
      <c r="B109" s="280" t="n"/>
      <c r="C109" s="280" t="n"/>
      <c r="D109" s="280" t="n"/>
      <c r="E109" s="280" t="n"/>
      <c r="F109" s="280" t="n"/>
      <c r="G109" s="280" t="n"/>
      <c r="H109" s="280" t="n"/>
      <c r="I109" s="332">
        <f>IFERROR(VLOOKUP(TEXT(H109,"0"),IPRESS!$A$3:$B$212,2,0),"")</f>
        <v/>
      </c>
      <c r="J109" s="280" t="n"/>
      <c r="K109" s="332">
        <f>IFERROR(VLOOKUP(TEXT(O109,"0"),CONDUCTORES!$A$3:$G$54,7,0),"")</f>
        <v/>
      </c>
      <c r="L109" s="280" t="n"/>
      <c r="M109" s="280" t="n"/>
      <c r="N109" s="333">
        <f>IFERROR(IF(L109*M109=0,"",L109*M109),"")</f>
        <v/>
      </c>
      <c r="O109" s="280" t="n"/>
      <c r="P109" s="332">
        <f>IFERROR(VLOOKUP(TEXT(O109,"0"),CONDUCTORES!$A$3:$G$54,2,0),"")</f>
        <v/>
      </c>
      <c r="Q109" s="332">
        <f>IFERROR(VLOOKUP(TEXT(O109,"0"),CONDUCTORES!$A$3:$H$54,6,0),"")</f>
        <v/>
      </c>
      <c r="R109" s="280" t="n"/>
      <c r="S109" s="280" t="n"/>
      <c r="T109" s="280" t="n"/>
      <c r="U109" s="280" t="n"/>
      <c r="V109" s="280" t="n"/>
      <c r="W109" s="280" t="n"/>
      <c r="X109" s="280" t="n"/>
      <c r="Y109" s="280" t="n"/>
      <c r="Z109" s="236">
        <f>IF(AND(G109&lt;&gt;"",R109&lt;&gt;"",V109&lt;&gt;"",W109&lt;&gt;""),"COMPLETADO","OBSERVADO")</f>
        <v/>
      </c>
      <c r="AA109" s="284" t="n"/>
    </row>
    <row r="110" ht="15.75" customHeight="1" s="195">
      <c r="A110" s="334" t="n"/>
      <c r="B110" s="334" t="n"/>
      <c r="C110" s="334" t="n"/>
      <c r="D110" s="334" t="n"/>
      <c r="E110" s="334" t="n"/>
      <c r="F110" s="334" t="n"/>
      <c r="G110" s="334" t="n"/>
      <c r="H110" s="334" t="n"/>
      <c r="I110" s="332">
        <f>IFERROR(VLOOKUP(TEXT(H110,"0"),IPRESS!$A$3:$B$212,2,0),"")</f>
        <v/>
      </c>
      <c r="J110" s="334" t="n"/>
      <c r="K110" s="332">
        <f>IFERROR(VLOOKUP(TEXT(O110,"0"),CONDUCTORES!$A$3:$G$54,7,0),"")</f>
        <v/>
      </c>
      <c r="L110" s="334" t="n"/>
      <c r="M110" s="334" t="n"/>
      <c r="N110" s="333">
        <f>IFERROR(IF(L110*M110=0,"",L110*M110),"")</f>
        <v/>
      </c>
      <c r="O110" s="334" t="n"/>
      <c r="P110" s="332">
        <f>IFERROR(VLOOKUP(TEXT(O110,"0"),CONDUCTORES!$A$3:$G$54,2,0),"")</f>
        <v/>
      </c>
      <c r="Q110" s="332">
        <f>IFERROR(VLOOKUP(TEXT(O110,"0"),CONDUCTORES!$A$3:$H$54,6,0),"")</f>
        <v/>
      </c>
      <c r="R110" s="334" t="n"/>
      <c r="S110" s="334" t="n"/>
      <c r="T110" s="334" t="n"/>
      <c r="U110" s="334" t="n"/>
      <c r="V110" s="334" t="n"/>
      <c r="W110" s="334" t="n"/>
      <c r="X110" s="334" t="n"/>
      <c r="Y110" s="334" t="n"/>
      <c r="Z110" s="242">
        <f>IF(AND(G110&lt;&gt;"",R110&lt;&gt;"",V110&lt;&gt;"",W110&lt;&gt;""),"COMPLETADO","OBSERVADO")</f>
        <v/>
      </c>
      <c r="AA110" s="284" t="n"/>
    </row>
    <row r="111" ht="15" customHeight="1" s="195">
      <c r="A111" s="280" t="n"/>
      <c r="B111" s="280" t="n"/>
      <c r="C111" s="280" t="n"/>
      <c r="D111" s="280" t="n"/>
      <c r="E111" s="280" t="n"/>
      <c r="F111" s="280" t="n"/>
      <c r="G111" s="280" t="n"/>
      <c r="H111" s="280" t="n"/>
      <c r="I111" s="280" t="n"/>
      <c r="J111" s="280" t="n"/>
      <c r="K111" s="280" t="n"/>
      <c r="L111" s="280" t="n"/>
      <c r="M111" s="280" t="n"/>
      <c r="N111" s="374" t="n"/>
      <c r="O111" s="280" t="n"/>
      <c r="P111" s="280" t="n"/>
      <c r="Q111" s="280" t="n"/>
      <c r="R111" s="280" t="n"/>
      <c r="S111" s="280" t="n"/>
      <c r="T111" s="280" t="n"/>
      <c r="U111" s="280" t="n"/>
      <c r="V111" s="280" t="n"/>
      <c r="W111" s="280" t="n"/>
      <c r="X111" s="280" t="n"/>
      <c r="Y111" s="280" t="n"/>
      <c r="Z111" s="280" t="n"/>
      <c r="AA111" s="284" t="n"/>
    </row>
    <row r="112" ht="15" customHeight="1" s="195">
      <c r="A112" s="280" t="n"/>
      <c r="B112" s="280" t="n"/>
      <c r="C112" s="280" t="n"/>
      <c r="D112" s="280" t="n"/>
      <c r="E112" s="280" t="n"/>
      <c r="F112" s="280" t="n"/>
      <c r="G112" s="280" t="n"/>
      <c r="H112" s="280" t="n"/>
      <c r="I112" s="280" t="n"/>
      <c r="J112" s="280" t="n"/>
      <c r="K112" s="280" t="n"/>
      <c r="L112" s="280" t="n"/>
      <c r="M112" s="280" t="n"/>
      <c r="N112" s="374" t="n"/>
      <c r="O112" s="280" t="n"/>
      <c r="P112" s="280" t="n"/>
      <c r="Q112" s="280" t="n"/>
      <c r="R112" s="280" t="n"/>
      <c r="S112" s="280" t="n"/>
      <c r="T112" s="280" t="n"/>
      <c r="U112" s="280" t="n"/>
      <c r="V112" s="280" t="n"/>
      <c r="W112" s="280" t="n"/>
      <c r="X112" s="280" t="n"/>
      <c r="Y112" s="280" t="n"/>
      <c r="Z112" s="280" t="n"/>
      <c r="AA112" s="284" t="n"/>
    </row>
    <row r="113" ht="15" customHeight="1" s="195">
      <c r="A113" s="280" t="n"/>
      <c r="B113" s="280" t="n"/>
      <c r="C113" s="280" t="n"/>
      <c r="D113" s="280" t="n"/>
      <c r="E113" s="280" t="n"/>
      <c r="F113" s="280" t="n"/>
      <c r="G113" s="280" t="n"/>
      <c r="H113" s="280" t="n"/>
      <c r="I113" s="280" t="n"/>
      <c r="J113" s="280" t="n"/>
      <c r="K113" s="280" t="n"/>
      <c r="L113" s="280" t="n"/>
      <c r="M113" s="280" t="n"/>
      <c r="N113" s="374" t="n"/>
      <c r="O113" s="280" t="n"/>
      <c r="P113" s="280" t="n"/>
      <c r="Q113" s="280" t="n"/>
      <c r="R113" s="280" t="n"/>
      <c r="S113" s="280" t="n"/>
      <c r="T113" s="280" t="n"/>
      <c r="U113" s="280" t="n"/>
      <c r="V113" s="280" t="n"/>
      <c r="W113" s="280" t="n"/>
      <c r="X113" s="280" t="n"/>
      <c r="Y113" s="280" t="n"/>
      <c r="Z113" s="280" t="n"/>
      <c r="AA113" s="284" t="n"/>
    </row>
    <row r="114" ht="15" customHeight="1" s="195">
      <c r="A114" s="280" t="n"/>
      <c r="B114" s="280" t="n"/>
      <c r="C114" s="280" t="n"/>
      <c r="D114" s="280" t="n"/>
      <c r="E114" s="280" t="n"/>
      <c r="F114" s="280" t="n"/>
      <c r="G114" s="280" t="n"/>
      <c r="H114" s="280" t="n"/>
      <c r="I114" s="280" t="n"/>
      <c r="J114" s="280" t="n"/>
      <c r="K114" s="280" t="n"/>
      <c r="L114" s="280" t="n"/>
      <c r="M114" s="280" t="n"/>
      <c r="N114" s="374" t="n"/>
      <c r="O114" s="280" t="n"/>
      <c r="P114" s="280" t="n"/>
      <c r="Q114" s="280" t="n"/>
      <c r="R114" s="280" t="n"/>
      <c r="S114" s="280" t="n"/>
      <c r="T114" s="280" t="n"/>
      <c r="U114" s="280" t="n"/>
      <c r="V114" s="280" t="n"/>
      <c r="W114" s="280" t="n"/>
      <c r="X114" s="280" t="n"/>
      <c r="Y114" s="280" t="n"/>
      <c r="Z114" s="280" t="n"/>
      <c r="AA114" s="284" t="n"/>
    </row>
    <row r="115" ht="15" customHeight="1" s="195">
      <c r="A115" s="280" t="n"/>
      <c r="B115" s="280" t="n"/>
      <c r="C115" s="280" t="n"/>
      <c r="D115" s="280" t="n"/>
      <c r="E115" s="280" t="n"/>
      <c r="F115" s="280" t="n"/>
      <c r="G115" s="280" t="n"/>
      <c r="H115" s="280" t="n"/>
      <c r="I115" s="280" t="n"/>
      <c r="J115" s="280" t="n"/>
      <c r="K115" s="280" t="n"/>
      <c r="L115" s="280" t="n"/>
      <c r="M115" s="280" t="n"/>
      <c r="N115" s="374" t="n"/>
      <c r="O115" s="280" t="n"/>
      <c r="P115" s="280" t="n"/>
      <c r="Q115" s="280" t="n"/>
      <c r="R115" s="280" t="n"/>
      <c r="S115" s="280" t="n"/>
      <c r="T115" s="280" t="n"/>
      <c r="U115" s="280" t="n"/>
      <c r="V115" s="280" t="n"/>
      <c r="W115" s="280" t="n"/>
      <c r="X115" s="280" t="n"/>
      <c r="Y115" s="280" t="n"/>
      <c r="Z115" s="280" t="n"/>
      <c r="AA115" s="284" t="n"/>
    </row>
    <row r="116" ht="15" customHeight="1" s="195">
      <c r="A116" s="280" t="n"/>
      <c r="B116" s="280" t="n"/>
      <c r="C116" s="280" t="n"/>
      <c r="D116" s="280" t="n"/>
      <c r="E116" s="280" t="n"/>
      <c r="F116" s="280" t="n"/>
      <c r="G116" s="280" t="n"/>
      <c r="H116" s="280" t="n"/>
      <c r="I116" s="280" t="n"/>
      <c r="J116" s="280" t="n"/>
      <c r="K116" s="280" t="n"/>
      <c r="L116" s="280" t="n"/>
      <c r="M116" s="280" t="n"/>
      <c r="N116" s="374" t="n"/>
      <c r="O116" s="280" t="n"/>
      <c r="P116" s="280" t="n"/>
      <c r="Q116" s="280" t="n"/>
      <c r="R116" s="280" t="n"/>
      <c r="S116" s="280" t="n"/>
      <c r="T116" s="280" t="n"/>
      <c r="U116" s="280" t="n"/>
      <c r="V116" s="280" t="n"/>
      <c r="W116" s="280" t="n"/>
      <c r="X116" s="280" t="n"/>
      <c r="Y116" s="280" t="n"/>
      <c r="Z116" s="280" t="n"/>
      <c r="AA116" s="284" t="n"/>
    </row>
    <row r="117" ht="15" customHeight="1" s="195">
      <c r="A117" s="280" t="n"/>
      <c r="B117" s="280" t="n"/>
      <c r="C117" s="280" t="n"/>
      <c r="D117" s="280" t="n"/>
      <c r="E117" s="280" t="n"/>
      <c r="F117" s="280" t="n"/>
      <c r="G117" s="280" t="n"/>
      <c r="H117" s="280" t="n"/>
      <c r="I117" s="280" t="n"/>
      <c r="J117" s="280" t="n"/>
      <c r="K117" s="280" t="n"/>
      <c r="L117" s="280" t="n"/>
      <c r="M117" s="280" t="n"/>
      <c r="N117" s="374" t="n"/>
      <c r="O117" s="280" t="n"/>
      <c r="P117" s="280" t="n"/>
      <c r="Q117" s="280" t="n"/>
      <c r="R117" s="280" t="n"/>
      <c r="S117" s="280" t="n"/>
      <c r="T117" s="280" t="n"/>
      <c r="U117" s="280" t="n"/>
      <c r="V117" s="280" t="n"/>
      <c r="W117" s="280" t="n"/>
      <c r="X117" s="280" t="n"/>
      <c r="Y117" s="280" t="n"/>
      <c r="Z117" s="280" t="n"/>
      <c r="AA117" s="284" t="n"/>
    </row>
    <row r="118" ht="15" customHeight="1" s="195">
      <c r="A118" s="280" t="n"/>
      <c r="B118" s="280" t="n"/>
      <c r="C118" s="280" t="n"/>
      <c r="D118" s="280" t="n"/>
      <c r="E118" s="280" t="n"/>
      <c r="F118" s="280" t="n"/>
      <c r="G118" s="280" t="n"/>
      <c r="H118" s="280" t="n"/>
      <c r="I118" s="280" t="n"/>
      <c r="J118" s="280" t="n"/>
      <c r="K118" s="280" t="n"/>
      <c r="L118" s="280" t="n"/>
      <c r="M118" s="280" t="n"/>
      <c r="N118" s="374" t="n"/>
      <c r="O118" s="280" t="n"/>
      <c r="P118" s="280" t="n"/>
      <c r="Q118" s="280" t="n"/>
      <c r="R118" s="280" t="n"/>
      <c r="S118" s="280" t="n"/>
      <c r="T118" s="280" t="n"/>
      <c r="U118" s="280" t="n"/>
      <c r="V118" s="280" t="n"/>
      <c r="W118" s="280" t="n"/>
      <c r="X118" s="280" t="n"/>
      <c r="Y118" s="280" t="n"/>
      <c r="Z118" s="280" t="n"/>
      <c r="AA118" s="284" t="n"/>
    </row>
    <row r="119" ht="15" customHeight="1" s="195">
      <c r="A119" s="280" t="n"/>
      <c r="B119" s="280" t="n"/>
      <c r="C119" s="280" t="n"/>
      <c r="D119" s="280" t="n"/>
      <c r="E119" s="280" t="n"/>
      <c r="F119" s="280" t="n"/>
      <c r="G119" s="280" t="n"/>
      <c r="H119" s="280" t="n"/>
      <c r="I119" s="280" t="n"/>
      <c r="J119" s="280" t="n"/>
      <c r="K119" s="280" t="n"/>
      <c r="L119" s="280" t="n"/>
      <c r="M119" s="280" t="n"/>
      <c r="N119" s="374" t="n"/>
      <c r="O119" s="280" t="n"/>
      <c r="P119" s="280" t="n"/>
      <c r="Q119" s="280" t="n"/>
      <c r="R119" s="280" t="n"/>
      <c r="S119" s="280" t="n"/>
      <c r="T119" s="280" t="n"/>
      <c r="U119" s="280" t="n"/>
      <c r="V119" s="280" t="n"/>
      <c r="W119" s="280" t="n"/>
      <c r="X119" s="280" t="n"/>
      <c r="Y119" s="280" t="n"/>
      <c r="Z119" s="280" t="n"/>
      <c r="AA119" s="284" t="n"/>
    </row>
    <row r="120" ht="15" customHeight="1" s="195">
      <c r="A120" s="280" t="n"/>
      <c r="B120" s="280" t="n"/>
      <c r="C120" s="280" t="n"/>
      <c r="D120" s="280" t="n"/>
      <c r="E120" s="280" t="n"/>
      <c r="F120" s="280" t="n"/>
      <c r="G120" s="280" t="n"/>
      <c r="H120" s="280" t="n"/>
      <c r="I120" s="332">
        <f>IFERROR(VLOOKUP(TEXT(H120,"0"),IPRESS!$A$3:$B$212,2,0),"")</f>
        <v/>
      </c>
      <c r="J120" s="280" t="n"/>
      <c r="K120" s="332">
        <f>IFERROR(VLOOKUP(TEXT(O120,"0"),CONDUCTORES!$A$3:$G$54,7,0),"")</f>
        <v/>
      </c>
      <c r="L120" s="280" t="n"/>
      <c r="M120" s="280" t="n"/>
      <c r="N120" s="333">
        <f>IFERROR(IF(L120*M120=0,"",L120*M120),"")</f>
        <v/>
      </c>
      <c r="O120" s="280" t="n"/>
      <c r="P120" s="332">
        <f>IFERROR(VLOOKUP(TEXT(O120,"0"),CONDUCTORES!$A$3:$G$54,2,0),"")</f>
        <v/>
      </c>
      <c r="Q120" s="332">
        <f>IFERROR(VLOOKUP(TEXT(O120,"0"),CONDUCTORES!$A$3:$H$54,6,0),"")</f>
        <v/>
      </c>
      <c r="R120" s="280" t="n"/>
      <c r="S120" s="280" t="n"/>
      <c r="T120" s="280" t="n"/>
      <c r="U120" s="280" t="n"/>
      <c r="V120" s="280" t="n"/>
      <c r="W120" s="280" t="n"/>
      <c r="X120" s="280" t="n"/>
      <c r="Y120" s="280" t="n"/>
      <c r="Z120" s="375">
        <f>IF(AND(G120&lt;&gt;"",R120&lt;&gt;"",V120&lt;&gt;"",W120&lt;&gt;""),"COMPLETADO","OBSERVADO")</f>
        <v/>
      </c>
    </row>
    <row r="121" ht="15" customHeight="1" s="195">
      <c r="A121" s="334" t="n"/>
      <c r="B121" s="334" t="n"/>
      <c r="C121" s="334" t="n"/>
      <c r="D121" s="334" t="n"/>
      <c r="E121" s="334" t="n"/>
      <c r="F121" s="334" t="n"/>
      <c r="G121" s="334" t="n"/>
      <c r="H121" s="334" t="n"/>
      <c r="I121" s="332">
        <f>IFERROR(VLOOKUP(TEXT(H121,"0"),IPRESS!$A$3:$B$212,2,0),"")</f>
        <v/>
      </c>
      <c r="J121" s="334" t="n"/>
      <c r="K121" s="332">
        <f>IFERROR(VLOOKUP(TEXT(O121,"0"),CONDUCTORES!$A$3:$G$54,7,0),"")</f>
        <v/>
      </c>
      <c r="L121" s="334" t="n"/>
      <c r="M121" s="334" t="n"/>
      <c r="N121" s="333">
        <f>IFERROR(IF(L121*M121=0,"",L121*M121),"")</f>
        <v/>
      </c>
      <c r="O121" s="334" t="n"/>
      <c r="P121" s="332">
        <f>IFERROR(VLOOKUP(TEXT(O121,"0"),CONDUCTORES!$A$3:$G$54,2,0),"")</f>
        <v/>
      </c>
      <c r="Q121" s="332">
        <f>IFERROR(VLOOKUP(TEXT(O121,"0"),CONDUCTORES!$A$3:$H$54,6,0),"")</f>
        <v/>
      </c>
      <c r="R121" s="334" t="n"/>
      <c r="S121" s="334" t="n"/>
      <c r="T121" s="334" t="n"/>
      <c r="U121" s="334" t="n"/>
      <c r="V121" s="334" t="n"/>
      <c r="W121" s="334" t="n"/>
      <c r="X121" s="334" t="n"/>
      <c r="Y121" s="334" t="n"/>
      <c r="Z121" s="375">
        <f>IF(AND(G121&lt;&gt;"",R121&lt;&gt;"",V121&lt;&gt;"",W121&lt;&gt;""),"COMPLETADO","OBSERVADO")</f>
        <v/>
      </c>
    </row>
    <row r="122" ht="15" customHeight="1" s="195">
      <c r="A122" s="280" t="n"/>
      <c r="B122" s="280" t="n"/>
      <c r="C122" s="280" t="n"/>
      <c r="D122" s="280" t="n"/>
      <c r="E122" s="280" t="n"/>
      <c r="F122" s="280" t="n"/>
      <c r="G122" s="280" t="n"/>
      <c r="H122" s="280" t="n"/>
      <c r="I122" s="332">
        <f>IFERROR(VLOOKUP(TEXT(H122,"0"),IPRESS!$A$3:$B$212,2,0),"")</f>
        <v/>
      </c>
      <c r="J122" s="280" t="n"/>
      <c r="K122" s="332">
        <f>IFERROR(VLOOKUP(TEXT(O122,"0"),CONDUCTORES!$A$3:$G$54,7,0),"")</f>
        <v/>
      </c>
      <c r="L122" s="280" t="n"/>
      <c r="M122" s="280" t="n"/>
      <c r="N122" s="333">
        <f>IFERROR(IF(L122*M122=0,"",L122*M122),"")</f>
        <v/>
      </c>
      <c r="O122" s="280" t="n"/>
      <c r="P122" s="332">
        <f>IFERROR(VLOOKUP(TEXT(O122,"0"),CONDUCTORES!$A$3:$G$54,2,0),"")</f>
        <v/>
      </c>
      <c r="Q122" s="332">
        <f>IFERROR(VLOOKUP(TEXT(O122,"0"),CONDUCTORES!$A$3:$H$54,6,0),"")</f>
        <v/>
      </c>
      <c r="R122" s="280" t="n"/>
      <c r="S122" s="280" t="n"/>
      <c r="T122" s="280" t="n"/>
      <c r="U122" s="280" t="n"/>
      <c r="V122" s="280" t="n"/>
      <c r="W122" s="280" t="n"/>
      <c r="X122" s="280" t="n"/>
      <c r="Y122" s="280" t="n"/>
      <c r="Z122" s="375">
        <f>IF(AND(G122&lt;&gt;"",R122&lt;&gt;"",V122&lt;&gt;"",W122&lt;&gt;""),"COMPLETADO","OBSERVADO")</f>
        <v/>
      </c>
    </row>
    <row r="123" ht="15" customHeight="1" s="195">
      <c r="A123" s="334" t="n"/>
      <c r="B123" s="334" t="n"/>
      <c r="C123" s="334" t="n"/>
      <c r="D123" s="334" t="n"/>
      <c r="E123" s="334" t="n"/>
      <c r="F123" s="334" t="n"/>
      <c r="G123" s="334" t="n"/>
      <c r="H123" s="334" t="n"/>
      <c r="I123" s="332">
        <f>IFERROR(VLOOKUP(TEXT(H123,"0"),IPRESS!$A$3:$B$212,2,0),"")</f>
        <v/>
      </c>
      <c r="J123" s="334" t="n"/>
      <c r="K123" s="332">
        <f>IFERROR(VLOOKUP(TEXT(O123,"0"),CONDUCTORES!$A$3:$G$54,7,0),"")</f>
        <v/>
      </c>
      <c r="L123" s="334" t="n"/>
      <c r="M123" s="334" t="n"/>
      <c r="N123" s="333">
        <f>IFERROR(IF(L123*M123=0,"",L123*M123),"")</f>
        <v/>
      </c>
      <c r="O123" s="334" t="n"/>
      <c r="P123" s="332">
        <f>IFERROR(VLOOKUP(TEXT(O123,"0"),CONDUCTORES!$A$3:$G$54,2,0),"")</f>
        <v/>
      </c>
      <c r="Q123" s="332">
        <f>IFERROR(VLOOKUP(TEXT(O123,"0"),CONDUCTORES!$A$3:$H$54,6,0),"")</f>
        <v/>
      </c>
      <c r="R123" s="334" t="n"/>
      <c r="S123" s="334" t="n"/>
      <c r="T123" s="334" t="n"/>
      <c r="U123" s="334" t="n"/>
      <c r="V123" s="334" t="n"/>
      <c r="W123" s="334" t="n"/>
      <c r="X123" s="334" t="n"/>
      <c r="Y123" s="334" t="n"/>
      <c r="Z123" s="375">
        <f>IF(AND(G123&lt;&gt;"",R123&lt;&gt;"",V123&lt;&gt;"",W123&lt;&gt;""),"COMPLETADO","OBSERVADO")</f>
        <v/>
      </c>
    </row>
    <row r="124" ht="15" customHeight="1" s="195">
      <c r="A124" s="280" t="n"/>
      <c r="B124" s="280" t="n"/>
      <c r="C124" s="280" t="n"/>
      <c r="D124" s="280" t="n"/>
      <c r="E124" s="280" t="n"/>
      <c r="F124" s="280" t="n"/>
      <c r="G124" s="280" t="n"/>
      <c r="H124" s="280" t="n"/>
      <c r="I124" s="332">
        <f>IFERROR(VLOOKUP(TEXT(H124,"0"),IPRESS!$A$3:$B$212,2,0),"")</f>
        <v/>
      </c>
      <c r="J124" s="280" t="n"/>
      <c r="K124" s="332">
        <f>IFERROR(VLOOKUP(TEXT(O124,"0"),CONDUCTORES!$A$3:$G$54,7,0),"")</f>
        <v/>
      </c>
      <c r="L124" s="280" t="n"/>
      <c r="M124" s="280" t="n"/>
      <c r="N124" s="333">
        <f>IFERROR(IF(L124*M124=0,"",L124*M124),"")</f>
        <v/>
      </c>
      <c r="O124" s="280" t="n"/>
      <c r="P124" s="332">
        <f>IFERROR(VLOOKUP(TEXT(O124,"0"),CONDUCTORES!$A$3:$G$54,2,0),"")</f>
        <v/>
      </c>
      <c r="Q124" s="332">
        <f>IFERROR(VLOOKUP(TEXT(O124,"0"),CONDUCTORES!$A$3:$H$54,6,0),"")</f>
        <v/>
      </c>
      <c r="R124" s="280" t="n"/>
      <c r="S124" s="280" t="n"/>
      <c r="T124" s="280" t="n"/>
      <c r="U124" s="280" t="n"/>
      <c r="V124" s="280" t="n"/>
      <c r="W124" s="280" t="n"/>
      <c r="X124" s="280" t="n"/>
      <c r="Y124" s="280" t="n"/>
      <c r="Z124" s="375">
        <f>IF(AND(G124&lt;&gt;"",R124&lt;&gt;"",V124&lt;&gt;"",W124&lt;&gt;""),"COMPLETADO","OBSERVADO")</f>
        <v/>
      </c>
    </row>
    <row r="125" ht="15" customHeight="1" s="195">
      <c r="A125" s="334" t="n"/>
      <c r="B125" s="334" t="n"/>
      <c r="C125" s="334" t="n"/>
      <c r="D125" s="334" t="n"/>
      <c r="E125" s="334" t="n"/>
      <c r="F125" s="334" t="n"/>
      <c r="G125" s="334" t="n"/>
      <c r="H125" s="334" t="n"/>
      <c r="I125" s="332">
        <f>IFERROR(VLOOKUP(TEXT(H125,"0"),IPRESS!$A$3:$B$212,2,0),"")</f>
        <v/>
      </c>
      <c r="J125" s="334" t="n"/>
      <c r="K125" s="332">
        <f>IFERROR(VLOOKUP(TEXT(O125,"0"),CONDUCTORES!$A$3:$G$54,7,0),"")</f>
        <v/>
      </c>
      <c r="L125" s="334" t="n"/>
      <c r="M125" s="334" t="n"/>
      <c r="N125" s="333">
        <f>IFERROR(IF(L125*M125=0,"",L125*M125),"")</f>
        <v/>
      </c>
      <c r="O125" s="334" t="n"/>
      <c r="P125" s="332">
        <f>IFERROR(VLOOKUP(TEXT(O125,"0"),CONDUCTORES!$A$3:$G$54,2,0),"")</f>
        <v/>
      </c>
      <c r="Q125" s="332">
        <f>IFERROR(VLOOKUP(TEXT(O125,"0"),CONDUCTORES!$A$3:$H$54,6,0),"")</f>
        <v/>
      </c>
      <c r="R125" s="334" t="n"/>
      <c r="S125" s="334" t="n"/>
      <c r="T125" s="334" t="n"/>
      <c r="U125" s="334" t="n"/>
      <c r="V125" s="334" t="n"/>
      <c r="W125" s="334" t="n"/>
      <c r="X125" s="334" t="n"/>
      <c r="Y125" s="334" t="n"/>
      <c r="Z125" s="375">
        <f>IF(AND(G125&lt;&gt;"",R125&lt;&gt;"",V125&lt;&gt;"",W125&lt;&gt;""),"COMPLETADO","OBSERVADO")</f>
        <v/>
      </c>
    </row>
    <row r="126" ht="15" customHeight="1" s="195">
      <c r="A126" s="280" t="n"/>
      <c r="B126" s="280" t="n"/>
      <c r="C126" s="280" t="n"/>
      <c r="D126" s="280" t="n"/>
      <c r="E126" s="280" t="n"/>
      <c r="F126" s="280" t="n"/>
      <c r="G126" s="280" t="n"/>
      <c r="H126" s="280" t="n"/>
      <c r="I126" s="332">
        <f>IFERROR(VLOOKUP(TEXT(H126,"0"),IPRESS!$A$3:$B$212,2,0),"")</f>
        <v/>
      </c>
      <c r="J126" s="280" t="n"/>
      <c r="K126" s="332">
        <f>IFERROR(VLOOKUP(TEXT(O126,"0"),CONDUCTORES!$A$3:$G$54,7,0),"")</f>
        <v/>
      </c>
      <c r="L126" s="280" t="n"/>
      <c r="M126" s="280" t="n"/>
      <c r="N126" s="333">
        <f>IFERROR(IF(L126*M126=0,"",L126*M126),"")</f>
        <v/>
      </c>
      <c r="O126" s="280" t="n"/>
      <c r="P126" s="332">
        <f>IFERROR(VLOOKUP(TEXT(O126,"0"),CONDUCTORES!$A$3:$G$54,2,0),"")</f>
        <v/>
      </c>
      <c r="Q126" s="332">
        <f>IFERROR(VLOOKUP(TEXT(O126,"0"),CONDUCTORES!$A$3:$H$54,6,0),"")</f>
        <v/>
      </c>
      <c r="R126" s="280" t="n"/>
      <c r="S126" s="280" t="n"/>
      <c r="T126" s="280" t="n"/>
      <c r="U126" s="280" t="n"/>
      <c r="V126" s="280" t="n"/>
      <c r="W126" s="280" t="n"/>
      <c r="X126" s="280" t="n"/>
      <c r="Y126" s="280" t="n"/>
      <c r="Z126" s="375">
        <f>IF(AND(G126&lt;&gt;"",R126&lt;&gt;"",V126&lt;&gt;"",W126&lt;&gt;""),"COMPLETADO","OBSERVADO")</f>
        <v/>
      </c>
    </row>
    <row r="127" ht="15" customHeight="1" s="195">
      <c r="A127" s="334" t="n"/>
      <c r="B127" s="334" t="n"/>
      <c r="C127" s="334" t="n"/>
      <c r="D127" s="334" t="n"/>
      <c r="E127" s="334" t="n"/>
      <c r="F127" s="334" t="n"/>
      <c r="G127" s="334" t="n"/>
      <c r="H127" s="334" t="n"/>
      <c r="I127" s="332">
        <f>IFERROR(VLOOKUP(TEXT(H127,"0"),IPRESS!$A$3:$B$212,2,0),"")</f>
        <v/>
      </c>
      <c r="J127" s="334" t="n"/>
      <c r="K127" s="332">
        <f>IFERROR(VLOOKUP(TEXT(O127,"0"),CONDUCTORES!$A$3:$G$54,7,0),"")</f>
        <v/>
      </c>
      <c r="L127" s="334" t="n"/>
      <c r="M127" s="334" t="n"/>
      <c r="N127" s="333">
        <f>IFERROR(IF(L127*M127=0,"",L127*M127),"")</f>
        <v/>
      </c>
      <c r="O127" s="334" t="n"/>
      <c r="P127" s="332">
        <f>IFERROR(VLOOKUP(TEXT(O127,"0"),CONDUCTORES!$A$3:$G$54,2,0),"")</f>
        <v/>
      </c>
      <c r="Q127" s="332">
        <f>IFERROR(VLOOKUP(TEXT(O127,"0"),CONDUCTORES!$A$3:$H$54,6,0),"")</f>
        <v/>
      </c>
      <c r="R127" s="334" t="n"/>
      <c r="S127" s="334" t="n"/>
      <c r="T127" s="334" t="n"/>
      <c r="U127" s="334" t="n"/>
      <c r="V127" s="334" t="n"/>
      <c r="W127" s="334" t="n"/>
      <c r="X127" s="334" t="n"/>
      <c r="Y127" s="334" t="n"/>
      <c r="Z127" s="375">
        <f>IF(AND(G127&lt;&gt;"",R127&lt;&gt;"",V127&lt;&gt;"",W127&lt;&gt;""),"COMPLETADO","OBSERVADO")</f>
        <v/>
      </c>
    </row>
    <row r="128" ht="15" customHeight="1" s="195">
      <c r="A128" s="280" t="n"/>
      <c r="B128" s="280" t="n"/>
      <c r="C128" s="280" t="n"/>
      <c r="D128" s="280" t="n"/>
      <c r="E128" s="280" t="n"/>
      <c r="F128" s="280" t="n"/>
      <c r="G128" s="280" t="n"/>
      <c r="H128" s="280" t="n"/>
      <c r="I128" s="332">
        <f>IFERROR(VLOOKUP(TEXT(H128,"0"),IPRESS!$A$3:$B$212,2,0),"")</f>
        <v/>
      </c>
      <c r="J128" s="280" t="n"/>
      <c r="K128" s="332">
        <f>IFERROR(VLOOKUP(TEXT(O128,"0"),CONDUCTORES!$A$3:$G$54,7,0),"")</f>
        <v/>
      </c>
      <c r="L128" s="280" t="n"/>
      <c r="M128" s="280" t="n"/>
      <c r="N128" s="333">
        <f>IFERROR(IF(L128*M128=0,"",L128*M128),"")</f>
        <v/>
      </c>
      <c r="O128" s="280" t="n"/>
      <c r="P128" s="332">
        <f>IFERROR(VLOOKUP(TEXT(O128,"0"),CONDUCTORES!$A$3:$G$54,2,0),"")</f>
        <v/>
      </c>
      <c r="Q128" s="332">
        <f>IFERROR(VLOOKUP(TEXT(O128,"0"),CONDUCTORES!$A$3:$H$54,6,0),"")</f>
        <v/>
      </c>
      <c r="R128" s="280" t="n"/>
      <c r="S128" s="280" t="n"/>
      <c r="T128" s="280" t="n"/>
      <c r="U128" s="280" t="n"/>
      <c r="V128" s="280" t="n"/>
      <c r="W128" s="280" t="n"/>
      <c r="X128" s="280" t="n"/>
      <c r="Y128" s="280" t="n"/>
      <c r="Z128" s="375">
        <f>IF(AND(G128&lt;&gt;"",R128&lt;&gt;"",V128&lt;&gt;"",W128&lt;&gt;""),"COMPLETADO","OBSERVADO")</f>
        <v/>
      </c>
    </row>
    <row r="129" ht="15" customHeight="1" s="195">
      <c r="A129" s="334" t="n"/>
      <c r="B129" s="334" t="n"/>
      <c r="C129" s="334" t="n"/>
      <c r="D129" s="334" t="n"/>
      <c r="E129" s="334" t="n"/>
      <c r="F129" s="334" t="n"/>
      <c r="G129" s="334" t="n"/>
      <c r="H129" s="334" t="n"/>
      <c r="I129" s="332">
        <f>IFERROR(VLOOKUP(TEXT(H129,"0"),IPRESS!$A$3:$B$212,2,0),"")</f>
        <v/>
      </c>
      <c r="J129" s="334" t="n"/>
      <c r="K129" s="332">
        <f>IFERROR(VLOOKUP(TEXT(O129,"0"),CONDUCTORES!$A$3:$G$54,7,0),"")</f>
        <v/>
      </c>
      <c r="L129" s="334" t="n"/>
      <c r="M129" s="334" t="n"/>
      <c r="N129" s="333">
        <f>IFERROR(IF(L129*M129=0,"",L129*M129),"")</f>
        <v/>
      </c>
      <c r="O129" s="334" t="n"/>
      <c r="P129" s="332">
        <f>IFERROR(VLOOKUP(TEXT(O129,"0"),CONDUCTORES!$A$3:$G$54,2,0),"")</f>
        <v/>
      </c>
      <c r="Q129" s="332">
        <f>IFERROR(VLOOKUP(TEXT(O129,"0"),CONDUCTORES!$A$3:$H$54,6,0),"")</f>
        <v/>
      </c>
      <c r="R129" s="334" t="n"/>
      <c r="S129" s="334" t="n"/>
      <c r="T129" s="334" t="n"/>
      <c r="U129" s="334" t="n"/>
      <c r="V129" s="334" t="n"/>
      <c r="W129" s="334" t="n"/>
      <c r="X129" s="334" t="n"/>
      <c r="Y129" s="334" t="n"/>
      <c r="Z129" s="375">
        <f>IF(AND(G129&lt;&gt;"",R129&lt;&gt;"",V129&lt;&gt;"",W129&lt;&gt;""),"COMPLETADO","OBSERVADO")</f>
        <v/>
      </c>
    </row>
    <row r="130" ht="15" customHeight="1" s="195">
      <c r="A130" s="280" t="n"/>
      <c r="B130" s="280" t="n"/>
      <c r="C130" s="280" t="n"/>
      <c r="D130" s="280" t="n"/>
      <c r="E130" s="280" t="n"/>
      <c r="F130" s="280" t="n"/>
      <c r="G130" s="280" t="n"/>
      <c r="H130" s="280" t="n"/>
      <c r="I130" s="332">
        <f>IFERROR(VLOOKUP(TEXT(H130,"0"),IPRESS!$A$3:$B$212,2,0),"")</f>
        <v/>
      </c>
      <c r="J130" s="280" t="n"/>
      <c r="K130" s="332">
        <f>IFERROR(VLOOKUP(TEXT(O130,"0"),CONDUCTORES!$A$3:$G$54,7,0),"")</f>
        <v/>
      </c>
      <c r="L130" s="280" t="n"/>
      <c r="M130" s="280" t="n"/>
      <c r="N130" s="333">
        <f>IFERROR(IF(L130*M130=0,"",L130*M130),"")</f>
        <v/>
      </c>
      <c r="O130" s="280" t="n"/>
      <c r="P130" s="332">
        <f>IFERROR(VLOOKUP(TEXT(O130,"0"),CONDUCTORES!$A$3:$G$54,2,0),"")</f>
        <v/>
      </c>
      <c r="Q130" s="332">
        <f>IFERROR(VLOOKUP(TEXT(O130,"0"),CONDUCTORES!$A$3:$H$54,6,0),"")</f>
        <v/>
      </c>
      <c r="R130" s="280" t="n"/>
      <c r="S130" s="280" t="n"/>
      <c r="T130" s="280" t="n"/>
      <c r="U130" s="280" t="n"/>
      <c r="V130" s="280" t="n"/>
      <c r="W130" s="280" t="n"/>
      <c r="X130" s="280" t="n"/>
      <c r="Y130" s="280" t="n"/>
      <c r="Z130" s="375">
        <f>IF(AND(G130&lt;&gt;"",R130&lt;&gt;"",V130&lt;&gt;"",W130&lt;&gt;""),"COMPLETADO","OBSERVADO")</f>
        <v/>
      </c>
    </row>
    <row r="131" ht="15" customHeight="1" s="195">
      <c r="A131" s="334" t="n"/>
      <c r="B131" s="334" t="n"/>
      <c r="C131" s="334" t="n"/>
      <c r="D131" s="334" t="n"/>
      <c r="E131" s="334" t="n"/>
      <c r="F131" s="334" t="n"/>
      <c r="G131" s="334" t="n"/>
      <c r="H131" s="334" t="n"/>
      <c r="I131" s="332">
        <f>IFERROR(VLOOKUP(TEXT(H131,"0"),IPRESS!$A$3:$B$212,2,0),"")</f>
        <v/>
      </c>
      <c r="J131" s="334" t="n"/>
      <c r="K131" s="332">
        <f>IFERROR(VLOOKUP(TEXT(O131,"0"),CONDUCTORES!$A$3:$G$54,7,0),"")</f>
        <v/>
      </c>
      <c r="L131" s="334" t="n"/>
      <c r="M131" s="334" t="n"/>
      <c r="N131" s="333">
        <f>IFERROR(IF(L131*M131=0,"",L131*M131),"")</f>
        <v/>
      </c>
      <c r="O131" s="334" t="n"/>
      <c r="P131" s="332">
        <f>IFERROR(VLOOKUP(TEXT(O131,"0"),CONDUCTORES!$A$3:$G$54,2,0),"")</f>
        <v/>
      </c>
      <c r="Q131" s="332">
        <f>IFERROR(VLOOKUP(TEXT(O131,"0"),CONDUCTORES!$A$3:$H$54,6,0),"")</f>
        <v/>
      </c>
      <c r="R131" s="334" t="n"/>
      <c r="S131" s="334" t="n"/>
      <c r="T131" s="334" t="n"/>
      <c r="U131" s="334" t="n"/>
      <c r="V131" s="334" t="n"/>
      <c r="W131" s="334" t="n"/>
      <c r="X131" s="334" t="n"/>
      <c r="Y131" s="334" t="n"/>
      <c r="Z131" s="375">
        <f>IF(AND(G131&lt;&gt;"",R131&lt;&gt;"",V131&lt;&gt;"",W131&lt;&gt;""),"COMPLETADO","OBSERVADO")</f>
        <v/>
      </c>
    </row>
    <row r="132" ht="15" customHeight="1" s="195">
      <c r="A132" s="280" t="n"/>
      <c r="B132" s="280" t="n"/>
      <c r="C132" s="280" t="n"/>
      <c r="D132" s="280" t="n"/>
      <c r="E132" s="280" t="n"/>
      <c r="F132" s="280" t="n"/>
      <c r="G132" s="280" t="n"/>
      <c r="H132" s="280" t="n"/>
      <c r="I132" s="332">
        <f>IFERROR(VLOOKUP(TEXT(H132,"0"),IPRESS!$A$3:$B$212,2,0),"")</f>
        <v/>
      </c>
      <c r="J132" s="280" t="n"/>
      <c r="K132" s="332">
        <f>IFERROR(VLOOKUP(TEXT(O132,"0"),CONDUCTORES!$A$3:$G$54,7,0),"")</f>
        <v/>
      </c>
      <c r="L132" s="280" t="n"/>
      <c r="M132" s="280" t="n"/>
      <c r="N132" s="333">
        <f>IFERROR(IF(L132*M132=0,"",L132*M132),"")</f>
        <v/>
      </c>
      <c r="O132" s="280" t="n"/>
      <c r="P132" s="332">
        <f>IFERROR(VLOOKUP(TEXT(O132,"0"),CONDUCTORES!$A$3:$G$54,2,0),"")</f>
        <v/>
      </c>
      <c r="Q132" s="332">
        <f>IFERROR(VLOOKUP(TEXT(O132,"0"),CONDUCTORES!$A$3:$H$54,6,0),"")</f>
        <v/>
      </c>
      <c r="R132" s="280" t="n"/>
      <c r="S132" s="280" t="n"/>
      <c r="T132" s="280" t="n"/>
      <c r="U132" s="280" t="n"/>
      <c r="V132" s="280" t="n"/>
      <c r="W132" s="280" t="n"/>
      <c r="X132" s="280" t="n"/>
      <c r="Y132" s="280" t="n"/>
      <c r="Z132" s="375">
        <f>IF(AND(G132&lt;&gt;"",R132&lt;&gt;"",V132&lt;&gt;"",W132&lt;&gt;""),"COMPLETADO","OBSERVADO")</f>
        <v/>
      </c>
    </row>
    <row r="133" ht="15" customHeight="1" s="195">
      <c r="A133" s="334" t="n"/>
      <c r="B133" s="334" t="n"/>
      <c r="C133" s="334" t="n"/>
      <c r="D133" s="334" t="n"/>
      <c r="E133" s="334" t="n"/>
      <c r="F133" s="334" t="n"/>
      <c r="G133" s="334" t="n"/>
      <c r="H133" s="334" t="n"/>
      <c r="I133" s="332">
        <f>IFERROR(VLOOKUP(TEXT(H133,"0"),IPRESS!$A$3:$B$212,2,0),"")</f>
        <v/>
      </c>
      <c r="J133" s="334" t="n"/>
      <c r="K133" s="332">
        <f>IFERROR(VLOOKUP(TEXT(O133,"0"),CONDUCTORES!$A$3:$G$54,7,0),"")</f>
        <v/>
      </c>
      <c r="L133" s="334" t="n"/>
      <c r="M133" s="334" t="n"/>
      <c r="N133" s="333">
        <f>IFERROR(IF(L133*M133=0,"",L133*M133),"")</f>
        <v/>
      </c>
      <c r="O133" s="334" t="n"/>
      <c r="P133" s="332">
        <f>IFERROR(VLOOKUP(TEXT(O133,"0"),CONDUCTORES!$A$3:$G$54,2,0),"")</f>
        <v/>
      </c>
      <c r="Q133" s="332">
        <f>IFERROR(VLOOKUP(TEXT(O133,"0"),CONDUCTORES!$A$3:$H$54,6,0),"")</f>
        <v/>
      </c>
      <c r="R133" s="334" t="n"/>
      <c r="S133" s="334" t="n"/>
      <c r="T133" s="334" t="n"/>
      <c r="U133" s="334" t="n"/>
      <c r="V133" s="334" t="n"/>
      <c r="W133" s="334" t="n"/>
      <c r="X133" s="334" t="n"/>
      <c r="Y133" s="334" t="n"/>
      <c r="Z133" s="375">
        <f>IF(AND(G133&lt;&gt;"",R133&lt;&gt;"",V133&lt;&gt;"",W133&lt;&gt;""),"COMPLETADO","OBSERVADO")</f>
        <v/>
      </c>
    </row>
    <row r="134" ht="15" customHeight="1" s="195">
      <c r="A134" s="280" t="n"/>
      <c r="B134" s="280" t="n"/>
      <c r="C134" s="280" t="n"/>
      <c r="D134" s="280" t="n"/>
      <c r="E134" s="280" t="n"/>
      <c r="F134" s="280" t="n"/>
      <c r="G134" s="280" t="n"/>
      <c r="H134" s="280" t="n"/>
      <c r="I134" s="332">
        <f>IFERROR(VLOOKUP(TEXT(H134,"0"),IPRESS!$A$3:$B$212,2,0),"")</f>
        <v/>
      </c>
      <c r="J134" s="280" t="n"/>
      <c r="K134" s="332">
        <f>IFERROR(VLOOKUP(TEXT(O134,"0"),CONDUCTORES!$A$3:$G$54,7,0),"")</f>
        <v/>
      </c>
      <c r="L134" s="280" t="n"/>
      <c r="M134" s="280" t="n"/>
      <c r="N134" s="333">
        <f>IFERROR(IF(L134*M134=0,"",L134*M134),"")</f>
        <v/>
      </c>
      <c r="O134" s="280" t="n"/>
      <c r="P134" s="332">
        <f>IFERROR(VLOOKUP(TEXT(O134,"0"),CONDUCTORES!$A$3:$G$54,2,0),"")</f>
        <v/>
      </c>
      <c r="Q134" s="332">
        <f>IFERROR(VLOOKUP(TEXT(O134,"0"),CONDUCTORES!$A$3:$H$54,6,0),"")</f>
        <v/>
      </c>
      <c r="R134" s="280" t="n"/>
      <c r="S134" s="280" t="n"/>
      <c r="T134" s="280" t="n"/>
      <c r="U134" s="280" t="n"/>
      <c r="V134" s="280" t="n"/>
      <c r="W134" s="280" t="n"/>
      <c r="X134" s="280" t="n"/>
      <c r="Y134" s="280" t="n"/>
      <c r="Z134" s="375">
        <f>IF(AND(G134&lt;&gt;"",R134&lt;&gt;"",V134&lt;&gt;"",W134&lt;&gt;""),"COMPLETADO","OBSERVADO")</f>
        <v/>
      </c>
    </row>
    <row r="135" ht="15" customHeight="1" s="195">
      <c r="A135" s="334" t="n"/>
      <c r="B135" s="334" t="n"/>
      <c r="C135" s="334" t="n"/>
      <c r="D135" s="334" t="n"/>
      <c r="E135" s="334" t="n"/>
      <c r="F135" s="334" t="n"/>
      <c r="G135" s="334" t="n"/>
      <c r="H135" s="334" t="n"/>
      <c r="I135" s="332">
        <f>IFERROR(VLOOKUP(TEXT(H135,"0"),IPRESS!$A$3:$B$212,2,0),"")</f>
        <v/>
      </c>
      <c r="J135" s="334" t="n"/>
      <c r="K135" s="332">
        <f>IFERROR(VLOOKUP(TEXT(O135,"0"),CONDUCTORES!$A$3:$G$54,7,0),"")</f>
        <v/>
      </c>
      <c r="L135" s="334" t="n"/>
      <c r="M135" s="334" t="n"/>
      <c r="N135" s="333">
        <f>IFERROR(IF(L135*M135=0,"",L135*M135),"")</f>
        <v/>
      </c>
      <c r="O135" s="334" t="n"/>
      <c r="P135" s="332">
        <f>IFERROR(VLOOKUP(TEXT(O135,"0"),CONDUCTORES!$A$3:$G$54,2,0),"")</f>
        <v/>
      </c>
      <c r="Q135" s="332">
        <f>IFERROR(VLOOKUP(TEXT(O135,"0"),CONDUCTORES!$A$3:$H$54,6,0),"")</f>
        <v/>
      </c>
      <c r="R135" s="334" t="n"/>
      <c r="S135" s="334" t="n"/>
      <c r="T135" s="334" t="n"/>
      <c r="U135" s="334" t="n"/>
      <c r="V135" s="334" t="n"/>
      <c r="W135" s="334" t="n"/>
      <c r="X135" s="334" t="n"/>
      <c r="Y135" s="334" t="n"/>
      <c r="Z135" s="375">
        <f>IF(AND(G135&lt;&gt;"",R135&lt;&gt;"",V135&lt;&gt;"",W135&lt;&gt;""),"COMPLETADO","OBSERVADO")</f>
        <v/>
      </c>
    </row>
    <row r="136" ht="15" customHeight="1" s="195">
      <c r="A136" s="280" t="n"/>
      <c r="B136" s="280" t="n"/>
      <c r="C136" s="280" t="n"/>
      <c r="D136" s="280" t="n"/>
      <c r="E136" s="280" t="n"/>
      <c r="F136" s="280" t="n"/>
      <c r="G136" s="280" t="n"/>
      <c r="H136" s="280" t="n"/>
      <c r="I136" s="332">
        <f>IFERROR(VLOOKUP(TEXT(H136,"0"),IPRESS!$A$3:$B$212,2,0),"")</f>
        <v/>
      </c>
      <c r="J136" s="280" t="n"/>
      <c r="K136" s="332">
        <f>IFERROR(VLOOKUP(TEXT(O136,"0"),CONDUCTORES!$A$3:$G$54,7,0),"")</f>
        <v/>
      </c>
      <c r="L136" s="280" t="n"/>
      <c r="M136" s="280" t="n"/>
      <c r="N136" s="333">
        <f>IFERROR(IF(L136*M136=0,"",L136*M136),"")</f>
        <v/>
      </c>
      <c r="O136" s="280" t="n"/>
      <c r="P136" s="332">
        <f>IFERROR(VLOOKUP(TEXT(O136,"0"),CONDUCTORES!$A$3:$G$54,2,0),"")</f>
        <v/>
      </c>
      <c r="Q136" s="332">
        <f>IFERROR(VLOOKUP(TEXT(O136,"0"),CONDUCTORES!$A$3:$H$54,6,0),"")</f>
        <v/>
      </c>
      <c r="R136" s="280" t="n"/>
      <c r="S136" s="280" t="n"/>
      <c r="T136" s="280" t="n"/>
      <c r="U136" s="280" t="n"/>
      <c r="V136" s="280" t="n"/>
      <c r="W136" s="280" t="n"/>
      <c r="X136" s="280" t="n"/>
      <c r="Y136" s="280" t="n"/>
      <c r="Z136" s="375">
        <f>IF(AND(G136&lt;&gt;"",R136&lt;&gt;"",V136&lt;&gt;"",W136&lt;&gt;""),"COMPLETADO","OBSERVADO")</f>
        <v/>
      </c>
    </row>
    <row r="137" ht="15" customHeight="1" s="195">
      <c r="A137" s="334" t="n"/>
      <c r="B137" s="334" t="n"/>
      <c r="C137" s="334" t="n"/>
      <c r="D137" s="334" t="n"/>
      <c r="E137" s="334" t="n"/>
      <c r="F137" s="334" t="n"/>
      <c r="G137" s="334" t="n"/>
      <c r="H137" s="334" t="n"/>
      <c r="I137" s="332">
        <f>IFERROR(VLOOKUP(TEXT(H137,"0"),IPRESS!$A$3:$B$212,2,0),"")</f>
        <v/>
      </c>
      <c r="J137" s="334" t="n"/>
      <c r="K137" s="332">
        <f>IFERROR(VLOOKUP(TEXT(O137,"0"),CONDUCTORES!$A$3:$G$54,7,0),"")</f>
        <v/>
      </c>
      <c r="L137" s="334" t="n"/>
      <c r="M137" s="334" t="n"/>
      <c r="N137" s="333">
        <f>IFERROR(IF(L137*M137=0,"",L137*M137),"")</f>
        <v/>
      </c>
      <c r="O137" s="334" t="n"/>
      <c r="P137" s="332">
        <f>IFERROR(VLOOKUP(TEXT(O137,"0"),CONDUCTORES!$A$3:$G$54,2,0),"")</f>
        <v/>
      </c>
      <c r="Q137" s="332">
        <f>IFERROR(VLOOKUP(TEXT(O137,"0"),CONDUCTORES!$A$3:$H$54,6,0),"")</f>
        <v/>
      </c>
      <c r="R137" s="334" t="n"/>
      <c r="S137" s="334" t="n"/>
      <c r="T137" s="334" t="n"/>
      <c r="U137" s="334" t="n"/>
      <c r="V137" s="334" t="n"/>
      <c r="W137" s="334" t="n"/>
      <c r="X137" s="334" t="n"/>
      <c r="Y137" s="334" t="n"/>
      <c r="Z137" s="375">
        <f>IF(AND(G137&lt;&gt;"",R137&lt;&gt;"",V137&lt;&gt;"",W137&lt;&gt;""),"COMPLETADO","OBSERVADO")</f>
        <v/>
      </c>
    </row>
    <row r="138" ht="15" customHeight="1" s="195">
      <c r="A138" s="280" t="n"/>
      <c r="B138" s="280" t="n"/>
      <c r="C138" s="280" t="n"/>
      <c r="D138" s="280" t="n"/>
      <c r="E138" s="280" t="n"/>
      <c r="F138" s="280" t="n"/>
      <c r="G138" s="280" t="n"/>
      <c r="H138" s="280" t="n"/>
      <c r="I138" s="332">
        <f>IFERROR(VLOOKUP(TEXT(H138,"0"),IPRESS!$A$3:$B$212,2,0),"")</f>
        <v/>
      </c>
      <c r="J138" s="280" t="n"/>
      <c r="K138" s="332">
        <f>IFERROR(VLOOKUP(TEXT(O138,"0"),CONDUCTORES!$A$3:$G$54,7,0),"")</f>
        <v/>
      </c>
      <c r="L138" s="280" t="n"/>
      <c r="M138" s="280" t="n"/>
      <c r="N138" s="333">
        <f>IFERROR(IF(L138*M138=0,"",L138*M138),"")</f>
        <v/>
      </c>
      <c r="O138" s="280" t="n"/>
      <c r="P138" s="332">
        <f>IFERROR(VLOOKUP(TEXT(O138,"0"),CONDUCTORES!$A$3:$G$54,2,0),"")</f>
        <v/>
      </c>
      <c r="Q138" s="332">
        <f>IFERROR(VLOOKUP(TEXT(O138,"0"),CONDUCTORES!$A$3:$H$54,6,0),"")</f>
        <v/>
      </c>
      <c r="R138" s="280" t="n"/>
      <c r="S138" s="280" t="n"/>
      <c r="T138" s="280" t="n"/>
      <c r="U138" s="280" t="n"/>
      <c r="V138" s="280" t="n"/>
      <c r="W138" s="280" t="n"/>
      <c r="X138" s="280" t="n"/>
      <c r="Y138" s="280" t="n"/>
      <c r="Z138" s="375">
        <f>IF(AND(G138&lt;&gt;"",R138&lt;&gt;"",V138&lt;&gt;"",W138&lt;&gt;""),"COMPLETADO","OBSERVADO")</f>
        <v/>
      </c>
    </row>
    <row r="139" ht="15" customHeight="1" s="195">
      <c r="A139" s="334" t="n"/>
      <c r="B139" s="334" t="n"/>
      <c r="C139" s="334" t="n"/>
      <c r="D139" s="334" t="n"/>
      <c r="E139" s="334" t="n"/>
      <c r="F139" s="334" t="n"/>
      <c r="G139" s="334" t="n"/>
      <c r="H139" s="334" t="n"/>
      <c r="I139" s="332">
        <f>IFERROR(VLOOKUP(TEXT(H139,"0"),IPRESS!$A$3:$B$212,2,0),"")</f>
        <v/>
      </c>
      <c r="J139" s="334" t="n"/>
      <c r="K139" s="332">
        <f>IFERROR(VLOOKUP(TEXT(O139,"0"),CONDUCTORES!$A$3:$G$54,7,0),"")</f>
        <v/>
      </c>
      <c r="L139" s="334" t="n"/>
      <c r="M139" s="334" t="n"/>
      <c r="N139" s="333">
        <f>IFERROR(IF(L139*M139=0,"",L139*M139),"")</f>
        <v/>
      </c>
      <c r="O139" s="334" t="n"/>
      <c r="P139" s="332">
        <f>IFERROR(VLOOKUP(TEXT(O139,"0"),CONDUCTORES!$A$3:$G$54,2,0),"")</f>
        <v/>
      </c>
      <c r="Q139" s="332">
        <f>IFERROR(VLOOKUP(TEXT(O139,"0"),CONDUCTORES!$A$3:$H$54,6,0),"")</f>
        <v/>
      </c>
      <c r="R139" s="334" t="n"/>
      <c r="S139" s="334" t="n"/>
      <c r="T139" s="334" t="n"/>
      <c r="U139" s="334" t="n"/>
      <c r="V139" s="334" t="n"/>
      <c r="W139" s="334" t="n"/>
      <c r="X139" s="334" t="n"/>
      <c r="Y139" s="334" t="n"/>
      <c r="Z139" s="375">
        <f>IF(AND(G139&lt;&gt;"",R139&lt;&gt;"",V139&lt;&gt;"",W139&lt;&gt;""),"COMPLETADO","OBSERVADO")</f>
        <v/>
      </c>
    </row>
    <row r="140" ht="15" customHeight="1" s="195">
      <c r="A140" s="280" t="n"/>
      <c r="B140" s="280" t="n"/>
      <c r="C140" s="280" t="n"/>
      <c r="D140" s="280" t="n"/>
      <c r="E140" s="280" t="n"/>
      <c r="F140" s="280" t="n"/>
      <c r="G140" s="280" t="n"/>
      <c r="H140" s="280" t="n"/>
      <c r="I140" s="332">
        <f>IFERROR(VLOOKUP(TEXT(H140,"0"),IPRESS!$A$3:$B$212,2,0),"")</f>
        <v/>
      </c>
      <c r="J140" s="280" t="n"/>
      <c r="K140" s="332">
        <f>IFERROR(VLOOKUP(TEXT(O140,"0"),CONDUCTORES!$A$3:$G$54,7,0),"")</f>
        <v/>
      </c>
      <c r="L140" s="280" t="n"/>
      <c r="M140" s="280" t="n"/>
      <c r="N140" s="333">
        <f>IFERROR(IF(L140*M140=0,"",L140*M140),"")</f>
        <v/>
      </c>
      <c r="O140" s="280" t="n"/>
      <c r="P140" s="332">
        <f>IFERROR(VLOOKUP(TEXT(O140,"0"),CONDUCTORES!$A$3:$G$54,2,0),"")</f>
        <v/>
      </c>
      <c r="Q140" s="332">
        <f>IFERROR(VLOOKUP(TEXT(O140,"0"),CONDUCTORES!$A$3:$H$54,6,0),"")</f>
        <v/>
      </c>
      <c r="R140" s="280" t="n"/>
      <c r="S140" s="280" t="n"/>
      <c r="T140" s="280" t="n"/>
      <c r="U140" s="280" t="n"/>
      <c r="V140" s="280" t="n"/>
      <c r="W140" s="280" t="n"/>
      <c r="X140" s="280" t="n"/>
      <c r="Y140" s="280" t="n"/>
      <c r="Z140" s="375">
        <f>IF(AND(G140&lt;&gt;"",R140&lt;&gt;"",V140&lt;&gt;"",W140&lt;&gt;""),"COMPLETADO","OBSERVADO")</f>
        <v/>
      </c>
    </row>
    <row r="141" ht="15" customHeight="1" s="195">
      <c r="A141" s="334" t="n"/>
      <c r="B141" s="334" t="n"/>
      <c r="C141" s="334" t="n"/>
      <c r="D141" s="334" t="n"/>
      <c r="E141" s="334" t="n"/>
      <c r="F141" s="334" t="n"/>
      <c r="G141" s="334" t="n"/>
      <c r="H141" s="334" t="n"/>
      <c r="I141" s="332">
        <f>IFERROR(VLOOKUP(TEXT(H141,"0"),IPRESS!$A$3:$B$212,2,0),"")</f>
        <v/>
      </c>
      <c r="J141" s="334" t="n"/>
      <c r="K141" s="332">
        <f>IFERROR(VLOOKUP(TEXT(O141,"0"),CONDUCTORES!$A$3:$G$54,7,0),"")</f>
        <v/>
      </c>
      <c r="L141" s="334" t="n"/>
      <c r="M141" s="334" t="n"/>
      <c r="N141" s="333">
        <f>IFERROR(IF(L141*M141=0,"",L141*M141),"")</f>
        <v/>
      </c>
      <c r="O141" s="334" t="n"/>
      <c r="P141" s="332">
        <f>IFERROR(VLOOKUP(TEXT(O141,"0"),CONDUCTORES!$A$3:$G$54,2,0),"")</f>
        <v/>
      </c>
      <c r="Q141" s="332">
        <f>IFERROR(VLOOKUP(TEXT(O141,"0"),CONDUCTORES!$A$3:$H$54,6,0),"")</f>
        <v/>
      </c>
      <c r="R141" s="334" t="n"/>
      <c r="S141" s="334" t="n"/>
      <c r="T141" s="334" t="n"/>
      <c r="U141" s="334" t="n"/>
      <c r="V141" s="334" t="n"/>
      <c r="W141" s="334" t="n"/>
      <c r="X141" s="334" t="n"/>
      <c r="Y141" s="334" t="n"/>
      <c r="Z141" s="375">
        <f>IF(AND(G141&lt;&gt;"",R141&lt;&gt;"",V141&lt;&gt;"",W141&lt;&gt;""),"COMPLETADO","OBSERVADO")</f>
        <v/>
      </c>
    </row>
    <row r="142" ht="15" customHeight="1" s="195">
      <c r="A142" s="280" t="n"/>
      <c r="B142" s="280" t="n"/>
      <c r="C142" s="280" t="n"/>
      <c r="D142" s="280" t="n"/>
      <c r="E142" s="280" t="n"/>
      <c r="F142" s="280" t="n"/>
      <c r="G142" s="280" t="n"/>
      <c r="H142" s="280" t="n"/>
      <c r="I142" s="332">
        <f>IFERROR(VLOOKUP(TEXT(H142,"0"),IPRESS!$A$3:$B$212,2,0),"")</f>
        <v/>
      </c>
      <c r="J142" s="280" t="n"/>
      <c r="K142" s="332">
        <f>IFERROR(VLOOKUP(TEXT(O142,"0"),CONDUCTORES!$A$3:$G$54,7,0),"")</f>
        <v/>
      </c>
      <c r="L142" s="280" t="n"/>
      <c r="M142" s="280" t="n"/>
      <c r="N142" s="333">
        <f>IFERROR(IF(L142*M142=0,"",L142*M142),"")</f>
        <v/>
      </c>
      <c r="O142" s="280" t="n"/>
      <c r="P142" s="332">
        <f>IFERROR(VLOOKUP(TEXT(O142,"0"),CONDUCTORES!$A$3:$G$54,2,0),"")</f>
        <v/>
      </c>
      <c r="Q142" s="332">
        <f>IFERROR(VLOOKUP(TEXT(O142,"0"),CONDUCTORES!$A$3:$H$54,6,0),"")</f>
        <v/>
      </c>
      <c r="R142" s="280" t="n"/>
      <c r="S142" s="280" t="n"/>
      <c r="T142" s="280" t="n"/>
      <c r="U142" s="280" t="n"/>
      <c r="V142" s="280" t="n"/>
      <c r="W142" s="280" t="n"/>
      <c r="X142" s="280" t="n"/>
      <c r="Y142" s="280" t="n"/>
      <c r="Z142" s="375">
        <f>IF(AND(G142&lt;&gt;"",R142&lt;&gt;"",V142&lt;&gt;"",W142&lt;&gt;""),"COMPLETADO","OBSERVADO")</f>
        <v/>
      </c>
    </row>
    <row r="143" ht="15" customHeight="1" s="195">
      <c r="A143" s="334" t="n"/>
      <c r="B143" s="334" t="n"/>
      <c r="C143" s="334" t="n"/>
      <c r="D143" s="334" t="n"/>
      <c r="E143" s="334" t="n"/>
      <c r="F143" s="334" t="n"/>
      <c r="G143" s="334" t="n"/>
      <c r="H143" s="334" t="n"/>
      <c r="I143" s="332">
        <f>IFERROR(VLOOKUP(TEXT(H143,"0"),IPRESS!$A$3:$B$212,2,0),"")</f>
        <v/>
      </c>
      <c r="J143" s="334" t="n"/>
      <c r="K143" s="332">
        <f>IFERROR(VLOOKUP(TEXT(O143,"0"),CONDUCTORES!$A$3:$G$54,7,0),"")</f>
        <v/>
      </c>
      <c r="L143" s="334" t="n"/>
      <c r="M143" s="334" t="n"/>
      <c r="N143" s="333">
        <f>IFERROR(IF(L143*M143=0,"",L143*M143),"")</f>
        <v/>
      </c>
      <c r="O143" s="334" t="n"/>
      <c r="P143" s="332">
        <f>IFERROR(VLOOKUP(TEXT(O143,"0"),CONDUCTORES!$A$3:$G$54,2,0),"")</f>
        <v/>
      </c>
      <c r="Q143" s="332">
        <f>IFERROR(VLOOKUP(TEXT(O143,"0"),CONDUCTORES!$A$3:$H$54,6,0),"")</f>
        <v/>
      </c>
      <c r="R143" s="334" t="n"/>
      <c r="S143" s="334" t="n"/>
      <c r="T143" s="334" t="n"/>
      <c r="U143" s="334" t="n"/>
      <c r="V143" s="334" t="n"/>
      <c r="W143" s="334" t="n"/>
      <c r="X143" s="334" t="n"/>
      <c r="Y143" s="334" t="n"/>
      <c r="Z143" s="375">
        <f>IF(AND(G143&lt;&gt;"",R143&lt;&gt;"",V143&lt;&gt;"",W143&lt;&gt;""),"COMPLETADO","OBSERVADO")</f>
        <v/>
      </c>
    </row>
    <row r="144" ht="15" customHeight="1" s="195">
      <c r="A144" s="280" t="n"/>
      <c r="B144" s="280" t="n"/>
      <c r="C144" s="280" t="n"/>
      <c r="D144" s="280" t="n"/>
      <c r="E144" s="280" t="n"/>
      <c r="F144" s="280" t="n"/>
      <c r="G144" s="280" t="n"/>
      <c r="H144" s="280" t="n"/>
      <c r="I144" s="332">
        <f>IFERROR(VLOOKUP(TEXT(H144,"0"),IPRESS!$A$3:$B$212,2,0),"")</f>
        <v/>
      </c>
      <c r="J144" s="280" t="n"/>
      <c r="K144" s="332">
        <f>IFERROR(VLOOKUP(TEXT(O144,"0"),CONDUCTORES!$A$3:$G$54,7,0),"")</f>
        <v/>
      </c>
      <c r="L144" s="280" t="n"/>
      <c r="M144" s="280" t="n"/>
      <c r="N144" s="333">
        <f>IFERROR(IF(L144*M144=0,"",L144*M144),"")</f>
        <v/>
      </c>
      <c r="O144" s="280" t="n"/>
      <c r="P144" s="332">
        <f>IFERROR(VLOOKUP(TEXT(O144,"0"),CONDUCTORES!$A$3:$G$54,2,0),"")</f>
        <v/>
      </c>
      <c r="Q144" s="332">
        <f>IFERROR(VLOOKUP(TEXT(O144,"0"),CONDUCTORES!$A$3:$H$54,6,0),"")</f>
        <v/>
      </c>
      <c r="R144" s="280" t="n"/>
      <c r="S144" s="280" t="n"/>
      <c r="T144" s="280" t="n"/>
      <c r="U144" s="280" t="n"/>
      <c r="V144" s="280" t="n"/>
      <c r="W144" s="280" t="n"/>
      <c r="X144" s="280" t="n"/>
      <c r="Y144" s="280" t="n"/>
      <c r="Z144" s="375">
        <f>IF(AND(G144&lt;&gt;"",R144&lt;&gt;"",V144&lt;&gt;"",W144&lt;&gt;""),"COMPLETADO","OBSERVADO")</f>
        <v/>
      </c>
    </row>
    <row r="145" ht="15" customHeight="1" s="195">
      <c r="A145" s="334" t="n"/>
      <c r="B145" s="334" t="n"/>
      <c r="C145" s="334" t="n"/>
      <c r="D145" s="334" t="n"/>
      <c r="E145" s="334" t="n"/>
      <c r="F145" s="334" t="n"/>
      <c r="G145" s="334" t="n"/>
      <c r="H145" s="334" t="n"/>
      <c r="I145" s="332">
        <f>IFERROR(VLOOKUP(TEXT(H145,"0"),IPRESS!$A$3:$B$212,2,0),"")</f>
        <v/>
      </c>
      <c r="J145" s="334" t="n"/>
      <c r="K145" s="332">
        <f>IFERROR(VLOOKUP(TEXT(O145,"0"),CONDUCTORES!$A$3:$G$54,7,0),"")</f>
        <v/>
      </c>
      <c r="L145" s="334" t="n"/>
      <c r="M145" s="334" t="n"/>
      <c r="N145" s="333">
        <f>IFERROR(IF(L145*M145=0,"",L145*M145),"")</f>
        <v/>
      </c>
      <c r="O145" s="334" t="n"/>
      <c r="P145" s="332">
        <f>IFERROR(VLOOKUP(TEXT(O145,"0"),CONDUCTORES!$A$3:$G$54,2,0),"")</f>
        <v/>
      </c>
      <c r="Q145" s="332">
        <f>IFERROR(VLOOKUP(TEXT(O145,"0"),CONDUCTORES!$A$3:$H$54,6,0),"")</f>
        <v/>
      </c>
      <c r="R145" s="334" t="n"/>
      <c r="S145" s="334" t="n"/>
      <c r="T145" s="334" t="n"/>
      <c r="U145" s="334" t="n"/>
      <c r="V145" s="334" t="n"/>
      <c r="W145" s="334" t="n"/>
      <c r="X145" s="334" t="n"/>
      <c r="Y145" s="334" t="n"/>
      <c r="Z145" s="375">
        <f>IF(AND(G145&lt;&gt;"",R145&lt;&gt;"",V145&lt;&gt;"",W145&lt;&gt;""),"COMPLETADO","OBSERVADO")</f>
        <v/>
      </c>
    </row>
    <row r="146" ht="15" customHeight="1" s="195">
      <c r="A146" s="280" t="n"/>
      <c r="B146" s="280" t="n"/>
      <c r="C146" s="280" t="n"/>
      <c r="D146" s="280" t="n"/>
      <c r="E146" s="280" t="n"/>
      <c r="F146" s="280" t="n"/>
      <c r="G146" s="280" t="n"/>
      <c r="H146" s="280" t="n"/>
      <c r="I146" s="332">
        <f>IFERROR(VLOOKUP(TEXT(H146,"0"),IPRESS!$A$3:$B$212,2,0),"")</f>
        <v/>
      </c>
      <c r="J146" s="280" t="n"/>
      <c r="K146" s="332">
        <f>IFERROR(VLOOKUP(TEXT(O146,"0"),CONDUCTORES!$A$3:$G$54,7,0),"")</f>
        <v/>
      </c>
      <c r="L146" s="280" t="n"/>
      <c r="M146" s="280" t="n"/>
      <c r="N146" s="333">
        <f>IFERROR(IF(L146*M146=0,"",L146*M146),"")</f>
        <v/>
      </c>
      <c r="O146" s="280" t="n"/>
      <c r="P146" s="332">
        <f>IFERROR(VLOOKUP(TEXT(O146,"0"),CONDUCTORES!$A$3:$G$54,2,0),"")</f>
        <v/>
      </c>
      <c r="Q146" s="332">
        <f>IFERROR(VLOOKUP(TEXT(O146,"0"),CONDUCTORES!$A$3:$H$54,6,0),"")</f>
        <v/>
      </c>
      <c r="R146" s="280" t="n"/>
      <c r="S146" s="280" t="n"/>
      <c r="T146" s="280" t="n"/>
      <c r="U146" s="280" t="n"/>
      <c r="V146" s="280" t="n"/>
      <c r="W146" s="280" t="n"/>
      <c r="X146" s="280" t="n"/>
      <c r="Y146" s="280" t="n"/>
      <c r="Z146" s="375">
        <f>IF(AND(G146&lt;&gt;"",R146&lt;&gt;"",V146&lt;&gt;"",W146&lt;&gt;""),"COMPLETADO","OBSERVADO")</f>
        <v/>
      </c>
    </row>
    <row r="147" ht="15" customHeight="1" s="195">
      <c r="A147" s="334" t="n"/>
      <c r="B147" s="334" t="n"/>
      <c r="C147" s="334" t="n"/>
      <c r="D147" s="334" t="n"/>
      <c r="E147" s="334" t="n"/>
      <c r="F147" s="334" t="n"/>
      <c r="G147" s="334" t="n"/>
      <c r="H147" s="334" t="n"/>
      <c r="I147" s="332">
        <f>IFERROR(VLOOKUP(TEXT(H147,"0"),IPRESS!$A$3:$B$212,2,0),"")</f>
        <v/>
      </c>
      <c r="J147" s="334" t="n"/>
      <c r="K147" s="332">
        <f>IFERROR(VLOOKUP(TEXT(O147,"0"),CONDUCTORES!$A$3:$G$54,7,0),"")</f>
        <v/>
      </c>
      <c r="L147" s="334" t="n"/>
      <c r="M147" s="334" t="n"/>
      <c r="N147" s="333">
        <f>IFERROR(IF(L147*M147=0,"",L147*M147),"")</f>
        <v/>
      </c>
      <c r="O147" s="334" t="n"/>
      <c r="P147" s="332">
        <f>IFERROR(VLOOKUP(TEXT(O147,"0"),CONDUCTORES!$A$3:$G$54,2,0),"")</f>
        <v/>
      </c>
      <c r="Q147" s="332">
        <f>IFERROR(VLOOKUP(TEXT(O147,"0"),CONDUCTORES!$A$3:$H$54,6,0),"")</f>
        <v/>
      </c>
      <c r="R147" s="334" t="n"/>
      <c r="S147" s="334" t="n"/>
      <c r="T147" s="334" t="n"/>
      <c r="U147" s="334" t="n"/>
      <c r="V147" s="334" t="n"/>
      <c r="W147" s="334" t="n"/>
      <c r="X147" s="334" t="n"/>
      <c r="Y147" s="334" t="n"/>
      <c r="Z147" s="375">
        <f>IF(AND(G147&lt;&gt;"",R147&lt;&gt;"",V147&lt;&gt;"",W147&lt;&gt;""),"COMPLETADO","OBSERVADO")</f>
        <v/>
      </c>
    </row>
    <row r="148" ht="15" customHeight="1" s="195">
      <c r="A148" s="280" t="n"/>
      <c r="B148" s="280" t="n"/>
      <c r="C148" s="280" t="n"/>
      <c r="D148" s="280" t="n"/>
      <c r="E148" s="280" t="n"/>
      <c r="F148" s="280" t="n"/>
      <c r="G148" s="280" t="n"/>
      <c r="H148" s="280" t="n"/>
      <c r="I148" s="332">
        <f>IFERROR(VLOOKUP(TEXT(H148,"0"),IPRESS!$A$3:$B$212,2,0),"")</f>
        <v/>
      </c>
      <c r="J148" s="280" t="n"/>
      <c r="K148" s="332">
        <f>IFERROR(VLOOKUP(TEXT(O148,"0"),CONDUCTORES!$A$3:$G$54,7,0),"")</f>
        <v/>
      </c>
      <c r="L148" s="280" t="n"/>
      <c r="M148" s="280" t="n"/>
      <c r="N148" s="333">
        <f>IFERROR(IF(L148*M148=0,"",L148*M148),"")</f>
        <v/>
      </c>
      <c r="O148" s="280" t="n"/>
      <c r="P148" s="332">
        <f>IFERROR(VLOOKUP(TEXT(O148,"0"),CONDUCTORES!$A$3:$G$54,2,0),"")</f>
        <v/>
      </c>
      <c r="Q148" s="332">
        <f>IFERROR(VLOOKUP(TEXT(O148,"0"),CONDUCTORES!$A$3:$H$54,6,0),"")</f>
        <v/>
      </c>
      <c r="R148" s="280" t="n"/>
      <c r="S148" s="280" t="n"/>
      <c r="T148" s="280" t="n"/>
      <c r="U148" s="280" t="n"/>
      <c r="V148" s="280" t="n"/>
      <c r="W148" s="280" t="n"/>
      <c r="X148" s="280" t="n"/>
      <c r="Y148" s="280" t="n"/>
      <c r="Z148" s="375">
        <f>IF(AND(G148&lt;&gt;"",R148&lt;&gt;"",V148&lt;&gt;"",W148&lt;&gt;""),"COMPLETADO","OBSERVADO")</f>
        <v/>
      </c>
    </row>
    <row r="149" ht="15" customHeight="1" s="195">
      <c r="A149" s="334" t="n"/>
      <c r="B149" s="334" t="n"/>
      <c r="C149" s="334" t="n"/>
      <c r="D149" s="334" t="n"/>
      <c r="E149" s="334" t="n"/>
      <c r="F149" s="334" t="n"/>
      <c r="G149" s="334" t="n"/>
      <c r="H149" s="334" t="n"/>
      <c r="I149" s="332">
        <f>IFERROR(VLOOKUP(TEXT(H149,"0"),IPRESS!$A$3:$B$212,2,0),"")</f>
        <v/>
      </c>
      <c r="J149" s="334" t="n"/>
      <c r="K149" s="332">
        <f>IFERROR(VLOOKUP(TEXT(O149,"0"),CONDUCTORES!$A$3:$G$54,7,0),"")</f>
        <v/>
      </c>
      <c r="L149" s="334" t="n"/>
      <c r="M149" s="334" t="n"/>
      <c r="N149" s="333">
        <f>IFERROR(IF(L149*M149=0,"",L149*M149),"")</f>
        <v/>
      </c>
      <c r="O149" s="334" t="n"/>
      <c r="P149" s="332">
        <f>IFERROR(VLOOKUP(TEXT(O149,"0"),CONDUCTORES!$A$3:$G$54,2,0),"")</f>
        <v/>
      </c>
      <c r="Q149" s="332">
        <f>IFERROR(VLOOKUP(TEXT(O149,"0"),CONDUCTORES!$A$3:$H$54,6,0),"")</f>
        <v/>
      </c>
      <c r="R149" s="334" t="n"/>
      <c r="S149" s="334" t="n"/>
      <c r="T149" s="334" t="n"/>
      <c r="U149" s="334" t="n"/>
      <c r="V149" s="334" t="n"/>
      <c r="W149" s="334" t="n"/>
      <c r="X149" s="334" t="n"/>
      <c r="Y149" s="334" t="n"/>
      <c r="Z149" s="375">
        <f>IF(AND(G149&lt;&gt;"",R149&lt;&gt;"",V149&lt;&gt;"",W149&lt;&gt;""),"COMPLETADO","OBSERVADO")</f>
        <v/>
      </c>
    </row>
    <row r="150" ht="15" customHeight="1" s="195">
      <c r="A150" s="280" t="n"/>
      <c r="B150" s="280" t="n"/>
      <c r="C150" s="280" t="n"/>
      <c r="D150" s="280" t="n"/>
      <c r="E150" s="280" t="n"/>
      <c r="F150" s="280" t="n"/>
      <c r="G150" s="280" t="n"/>
      <c r="H150" s="280" t="n"/>
      <c r="I150" s="332">
        <f>IFERROR(VLOOKUP(TEXT(H150,"0"),IPRESS!$A$3:$B$212,2,0),"")</f>
        <v/>
      </c>
      <c r="J150" s="280" t="n"/>
      <c r="K150" s="332">
        <f>IFERROR(VLOOKUP(TEXT(O150,"0"),CONDUCTORES!$A$3:$G$54,7,0),"")</f>
        <v/>
      </c>
      <c r="L150" s="280" t="n"/>
      <c r="M150" s="280" t="n"/>
      <c r="N150" s="333">
        <f>IFERROR(IF(L150*M150=0,"",L150*M150),"")</f>
        <v/>
      </c>
      <c r="O150" s="280" t="n"/>
      <c r="P150" s="332">
        <f>IFERROR(VLOOKUP(TEXT(O150,"0"),CONDUCTORES!$A$3:$G$54,2,0),"")</f>
        <v/>
      </c>
      <c r="Q150" s="332">
        <f>IFERROR(VLOOKUP(TEXT(O150,"0"),CONDUCTORES!$A$3:$H$54,6,0),"")</f>
        <v/>
      </c>
      <c r="R150" s="280" t="n"/>
      <c r="S150" s="280" t="n"/>
      <c r="T150" s="280" t="n"/>
      <c r="U150" s="280" t="n"/>
      <c r="V150" s="280" t="n"/>
      <c r="W150" s="280" t="n"/>
      <c r="X150" s="280" t="n"/>
      <c r="Y150" s="280" t="n"/>
      <c r="Z150" s="375">
        <f>IF(AND(G150&lt;&gt;"",R150&lt;&gt;"",V150&lt;&gt;"",W150&lt;&gt;""),"COMPLETADO","OBSERVADO")</f>
        <v/>
      </c>
    </row>
    <row r="151" ht="15" customHeight="1" s="195">
      <c r="A151" s="334" t="n"/>
      <c r="B151" s="334" t="n"/>
      <c r="C151" s="334" t="n"/>
      <c r="D151" s="334" t="n"/>
      <c r="E151" s="334" t="n"/>
      <c r="F151" s="334" t="n"/>
      <c r="G151" s="334" t="n"/>
      <c r="H151" s="334" t="n"/>
      <c r="I151" s="332">
        <f>IFERROR(VLOOKUP(TEXT(H151,"0"),IPRESS!$A$3:$B$212,2,0),"")</f>
        <v/>
      </c>
      <c r="J151" s="334" t="n"/>
      <c r="K151" s="332">
        <f>IFERROR(VLOOKUP(TEXT(O151,"0"),CONDUCTORES!$A$3:$G$54,7,0),"")</f>
        <v/>
      </c>
      <c r="L151" s="334" t="n"/>
      <c r="M151" s="334" t="n"/>
      <c r="N151" s="333">
        <f>IFERROR(IF(L151*M151=0,"",L151*M151),"")</f>
        <v/>
      </c>
      <c r="O151" s="334" t="n"/>
      <c r="P151" s="332">
        <f>IFERROR(VLOOKUP(TEXT(O151,"0"),CONDUCTORES!$A$3:$G$54,2,0),"")</f>
        <v/>
      </c>
      <c r="Q151" s="332">
        <f>IFERROR(VLOOKUP(TEXT(O151,"0"),CONDUCTORES!$A$3:$H$54,6,0),"")</f>
        <v/>
      </c>
      <c r="R151" s="334" t="n"/>
      <c r="S151" s="334" t="n"/>
      <c r="T151" s="334" t="n"/>
      <c r="U151" s="334" t="n"/>
      <c r="V151" s="334" t="n"/>
      <c r="W151" s="334" t="n"/>
      <c r="X151" s="334" t="n"/>
      <c r="Y151" s="334" t="n"/>
      <c r="Z151" s="375">
        <f>IF(AND(G151&lt;&gt;"",R151&lt;&gt;"",V151&lt;&gt;"",W151&lt;&gt;""),"COMPLETADO","OBSERVADO")</f>
        <v/>
      </c>
    </row>
    <row r="152" ht="15" customHeight="1" s="195">
      <c r="A152" s="280" t="n"/>
      <c r="B152" s="280" t="n"/>
      <c r="C152" s="280" t="n"/>
      <c r="D152" s="280" t="n"/>
      <c r="E152" s="280" t="n"/>
      <c r="F152" s="280" t="n"/>
      <c r="G152" s="280" t="n"/>
      <c r="H152" s="280" t="n"/>
      <c r="I152" s="332">
        <f>IFERROR(VLOOKUP(TEXT(H152,"0"),IPRESS!$A$3:$B$212,2,0),"")</f>
        <v/>
      </c>
      <c r="J152" s="280" t="n"/>
      <c r="K152" s="332">
        <f>IFERROR(VLOOKUP(TEXT(O152,"0"),CONDUCTORES!$A$3:$G$54,7,0),"")</f>
        <v/>
      </c>
      <c r="L152" s="280" t="n"/>
      <c r="M152" s="280" t="n"/>
      <c r="N152" s="333">
        <f>IFERROR(IF(L152*M152=0,"",L152*M152),"")</f>
        <v/>
      </c>
      <c r="O152" s="280" t="n"/>
      <c r="P152" s="332">
        <f>IFERROR(VLOOKUP(TEXT(O152,"0"),CONDUCTORES!$A$3:$G$54,2,0),"")</f>
        <v/>
      </c>
      <c r="Q152" s="332">
        <f>IFERROR(VLOOKUP(TEXT(O152,"0"),CONDUCTORES!$A$3:$H$54,6,0),"")</f>
        <v/>
      </c>
      <c r="R152" s="280" t="n"/>
      <c r="S152" s="280" t="n"/>
      <c r="T152" s="280" t="n"/>
      <c r="U152" s="280" t="n"/>
      <c r="V152" s="280" t="n"/>
      <c r="W152" s="280" t="n"/>
      <c r="X152" s="280" t="n"/>
      <c r="Y152" s="280" t="n"/>
      <c r="Z152" s="375">
        <f>IF(AND(G152&lt;&gt;"",R152&lt;&gt;"",V152&lt;&gt;"",W152&lt;&gt;""),"COMPLETADO","OBSERVADO")</f>
        <v/>
      </c>
    </row>
    <row r="153" ht="15" customHeight="1" s="195">
      <c r="A153" s="334" t="n"/>
      <c r="B153" s="334" t="n"/>
      <c r="C153" s="334" t="n"/>
      <c r="D153" s="334" t="n"/>
      <c r="E153" s="334" t="n"/>
      <c r="F153" s="334" t="n"/>
      <c r="G153" s="334" t="n"/>
      <c r="H153" s="334" t="n"/>
      <c r="I153" s="332">
        <f>IFERROR(VLOOKUP(TEXT(H153,"0"),IPRESS!$A$3:$B$212,2,0),"")</f>
        <v/>
      </c>
      <c r="J153" s="334" t="n"/>
      <c r="K153" s="332">
        <f>IFERROR(VLOOKUP(TEXT(O153,"0"),CONDUCTORES!$A$3:$G$54,7,0),"")</f>
        <v/>
      </c>
      <c r="L153" s="334" t="n"/>
      <c r="M153" s="334" t="n"/>
      <c r="N153" s="333">
        <f>IFERROR(IF(L153*M153=0,"",L153*M153),"")</f>
        <v/>
      </c>
      <c r="O153" s="334" t="n"/>
      <c r="P153" s="332">
        <f>IFERROR(VLOOKUP(TEXT(O153,"0"),CONDUCTORES!$A$3:$G$54,2,0),"")</f>
        <v/>
      </c>
      <c r="Q153" s="332">
        <f>IFERROR(VLOOKUP(TEXT(O153,"0"),CONDUCTORES!$A$3:$H$54,6,0),"")</f>
        <v/>
      </c>
      <c r="R153" s="334" t="n"/>
      <c r="S153" s="334" t="n"/>
      <c r="T153" s="334" t="n"/>
      <c r="U153" s="334" t="n"/>
      <c r="V153" s="334" t="n"/>
      <c r="W153" s="334" t="n"/>
      <c r="X153" s="334" t="n"/>
      <c r="Y153" s="334" t="n"/>
      <c r="Z153" s="375">
        <f>IF(AND(G153&lt;&gt;"",R153&lt;&gt;"",V153&lt;&gt;"",W153&lt;&gt;""),"COMPLETADO","OBSERVADO")</f>
        <v/>
      </c>
    </row>
    <row r="154" ht="15" customHeight="1" s="195">
      <c r="A154" s="280" t="n"/>
      <c r="B154" s="280" t="n"/>
      <c r="C154" s="280" t="n"/>
      <c r="D154" s="280" t="n"/>
      <c r="E154" s="280" t="n"/>
      <c r="F154" s="280" t="n"/>
      <c r="G154" s="280" t="n"/>
      <c r="H154" s="280" t="n"/>
      <c r="I154" s="332">
        <f>IFERROR(VLOOKUP(TEXT(H154,"0"),IPRESS!$A$3:$B$212,2,0),"")</f>
        <v/>
      </c>
      <c r="J154" s="280" t="n"/>
      <c r="K154" s="332">
        <f>IFERROR(VLOOKUP(TEXT(O154,"0"),CONDUCTORES!$A$3:$G$54,7,0),"")</f>
        <v/>
      </c>
      <c r="L154" s="280" t="n"/>
      <c r="M154" s="280" t="n"/>
      <c r="N154" s="333">
        <f>IFERROR(IF(L154*M154=0,"",L154*M154),"")</f>
        <v/>
      </c>
      <c r="O154" s="280" t="n"/>
      <c r="P154" s="332">
        <f>IFERROR(VLOOKUP(TEXT(O154,"0"),CONDUCTORES!$A$3:$G$54,2,0),"")</f>
        <v/>
      </c>
      <c r="Q154" s="332">
        <f>IFERROR(VLOOKUP(TEXT(O154,"0"),CONDUCTORES!$A$3:$H$54,6,0),"")</f>
        <v/>
      </c>
      <c r="R154" s="280" t="n"/>
      <c r="S154" s="280" t="n"/>
      <c r="T154" s="280" t="n"/>
      <c r="U154" s="280" t="n"/>
      <c r="V154" s="280" t="n"/>
      <c r="W154" s="280" t="n"/>
      <c r="X154" s="280" t="n"/>
      <c r="Y154" s="280" t="n"/>
      <c r="Z154" s="375">
        <f>IF(AND(G154&lt;&gt;"",R154&lt;&gt;"",V154&lt;&gt;"",W154&lt;&gt;""),"COMPLETADO","OBSERVADO")</f>
        <v/>
      </c>
    </row>
    <row r="155" ht="15" customHeight="1" s="195">
      <c r="A155" s="334" t="n"/>
      <c r="B155" s="334" t="n"/>
      <c r="C155" s="334" t="n"/>
      <c r="D155" s="334" t="n"/>
      <c r="E155" s="334" t="n"/>
      <c r="F155" s="334" t="n"/>
      <c r="G155" s="334" t="n"/>
      <c r="H155" s="334" t="n"/>
      <c r="I155" s="332">
        <f>IFERROR(VLOOKUP(TEXT(H155,"0"),IPRESS!$A$3:$B$212,2,0),"")</f>
        <v/>
      </c>
      <c r="J155" s="334" t="n"/>
      <c r="K155" s="332">
        <f>IFERROR(VLOOKUP(TEXT(O155,"0"),CONDUCTORES!$A$3:$G$54,7,0),"")</f>
        <v/>
      </c>
      <c r="L155" s="334" t="n"/>
      <c r="M155" s="334" t="n"/>
      <c r="N155" s="333">
        <f>IFERROR(IF(L155*M155=0,"",L155*M155),"")</f>
        <v/>
      </c>
      <c r="O155" s="334" t="n"/>
      <c r="P155" s="332">
        <f>IFERROR(VLOOKUP(TEXT(O155,"0"),CONDUCTORES!$A$3:$G$54,2,0),"")</f>
        <v/>
      </c>
      <c r="Q155" s="332">
        <f>IFERROR(VLOOKUP(TEXT(O155,"0"),CONDUCTORES!$A$3:$H$54,6,0),"")</f>
        <v/>
      </c>
      <c r="R155" s="334" t="n"/>
      <c r="S155" s="334" t="n"/>
      <c r="T155" s="334" t="n"/>
      <c r="U155" s="334" t="n"/>
      <c r="V155" s="334" t="n"/>
      <c r="W155" s="334" t="n"/>
      <c r="X155" s="334" t="n"/>
      <c r="Y155" s="334" t="n"/>
      <c r="Z155" s="375">
        <f>IF(AND(G155&lt;&gt;"",R155&lt;&gt;"",V155&lt;&gt;"",W155&lt;&gt;""),"COMPLETADO","OBSERVADO")</f>
        <v/>
      </c>
    </row>
    <row r="156" ht="15" customHeight="1" s="195">
      <c r="A156" s="280" t="n"/>
      <c r="B156" s="280" t="n"/>
      <c r="C156" s="280" t="n"/>
      <c r="D156" s="280" t="n"/>
      <c r="E156" s="280" t="n"/>
      <c r="F156" s="280" t="n"/>
      <c r="G156" s="280" t="n"/>
      <c r="H156" s="280" t="n"/>
      <c r="I156" s="332">
        <f>IFERROR(VLOOKUP(TEXT(H156,"0"),IPRESS!$A$3:$B$212,2,0),"")</f>
        <v/>
      </c>
      <c r="J156" s="280" t="n"/>
      <c r="K156" s="332">
        <f>IFERROR(VLOOKUP(TEXT(O156,"0"),CONDUCTORES!$A$3:$G$54,7,0),"")</f>
        <v/>
      </c>
      <c r="L156" s="280" t="n"/>
      <c r="M156" s="280" t="n"/>
      <c r="N156" s="333">
        <f>IFERROR(IF(L156*M156=0,"",L156*M156),"")</f>
        <v/>
      </c>
      <c r="O156" s="280" t="n"/>
      <c r="P156" s="332">
        <f>IFERROR(VLOOKUP(TEXT(O156,"0"),CONDUCTORES!$A$3:$G$54,2,0),"")</f>
        <v/>
      </c>
      <c r="Q156" s="332">
        <f>IFERROR(VLOOKUP(TEXT(O156,"0"),CONDUCTORES!$A$3:$H$54,6,0),"")</f>
        <v/>
      </c>
      <c r="R156" s="280" t="n"/>
      <c r="S156" s="280" t="n"/>
      <c r="T156" s="280" t="n"/>
      <c r="U156" s="280" t="n"/>
      <c r="V156" s="280" t="n"/>
      <c r="W156" s="280" t="n"/>
      <c r="X156" s="280" t="n"/>
      <c r="Y156" s="280" t="n"/>
      <c r="Z156" s="375">
        <f>IF(AND(G156&lt;&gt;"",R156&lt;&gt;"",V156&lt;&gt;"",W156&lt;&gt;""),"COMPLETADO","OBSERVADO")</f>
        <v/>
      </c>
    </row>
    <row r="157" ht="15" customHeight="1" s="195">
      <c r="A157" s="334" t="n"/>
      <c r="B157" s="334" t="n"/>
      <c r="C157" s="334" t="n"/>
      <c r="D157" s="334" t="n"/>
      <c r="E157" s="334" t="n"/>
      <c r="F157" s="334" t="n"/>
      <c r="G157" s="334" t="n"/>
      <c r="H157" s="334" t="n"/>
      <c r="I157" s="332">
        <f>IFERROR(VLOOKUP(TEXT(H157,"0"),IPRESS!$A$3:$B$212,2,0),"")</f>
        <v/>
      </c>
      <c r="J157" s="334" t="n"/>
      <c r="K157" s="332">
        <f>IFERROR(VLOOKUP(TEXT(O157,"0"),CONDUCTORES!$A$3:$G$54,7,0),"")</f>
        <v/>
      </c>
      <c r="L157" s="334" t="n"/>
      <c r="M157" s="334" t="n"/>
      <c r="N157" s="333">
        <f>IFERROR(IF(L157*M157=0,"",L157*M157),"")</f>
        <v/>
      </c>
      <c r="O157" s="334" t="n"/>
      <c r="P157" s="332">
        <f>IFERROR(VLOOKUP(TEXT(O157,"0"),CONDUCTORES!$A$3:$G$54,2,0),"")</f>
        <v/>
      </c>
      <c r="Q157" s="332">
        <f>IFERROR(VLOOKUP(TEXT(O157,"0"),CONDUCTORES!$A$3:$H$54,6,0),"")</f>
        <v/>
      </c>
      <c r="R157" s="334" t="n"/>
      <c r="S157" s="334" t="n"/>
      <c r="T157" s="334" t="n"/>
      <c r="U157" s="334" t="n"/>
      <c r="V157" s="334" t="n"/>
      <c r="W157" s="334" t="n"/>
      <c r="X157" s="334" t="n"/>
      <c r="Y157" s="334" t="n"/>
      <c r="Z157" s="375">
        <f>IF(AND(G157&lt;&gt;"",R157&lt;&gt;"",V157&lt;&gt;"",W157&lt;&gt;""),"COMPLETADO","OBSERVADO")</f>
        <v/>
      </c>
    </row>
    <row r="158" ht="15" customHeight="1" s="195">
      <c r="A158" s="280" t="n"/>
      <c r="B158" s="280" t="n"/>
      <c r="C158" s="280" t="n"/>
      <c r="D158" s="280" t="n"/>
      <c r="E158" s="280" t="n"/>
      <c r="F158" s="280" t="n"/>
      <c r="G158" s="280" t="n"/>
      <c r="H158" s="280" t="n"/>
      <c r="I158" s="332">
        <f>IFERROR(VLOOKUP(TEXT(H158,"0"),IPRESS!$A$3:$B$212,2,0),"")</f>
        <v/>
      </c>
      <c r="J158" s="280" t="n"/>
      <c r="K158" s="332">
        <f>IFERROR(VLOOKUP(TEXT(O158,"0"),CONDUCTORES!$A$3:$G$54,7,0),"")</f>
        <v/>
      </c>
      <c r="L158" s="280" t="n"/>
      <c r="M158" s="280" t="n"/>
      <c r="N158" s="333">
        <f>IFERROR(IF(L158*M158=0,"",L158*M158),"")</f>
        <v/>
      </c>
      <c r="O158" s="280" t="n"/>
      <c r="P158" s="332">
        <f>IFERROR(VLOOKUP(TEXT(O158,"0"),CONDUCTORES!$A$3:$G$54,2,0),"")</f>
        <v/>
      </c>
      <c r="Q158" s="332">
        <f>IFERROR(VLOOKUP(TEXT(O158,"0"),CONDUCTORES!$A$3:$H$54,6,0),"")</f>
        <v/>
      </c>
      <c r="R158" s="280" t="n"/>
      <c r="S158" s="280" t="n"/>
      <c r="T158" s="280" t="n"/>
      <c r="U158" s="280" t="n"/>
      <c r="V158" s="280" t="n"/>
      <c r="W158" s="280" t="n"/>
      <c r="X158" s="280" t="n"/>
      <c r="Y158" s="280" t="n"/>
      <c r="Z158" s="375">
        <f>IF(AND(G158&lt;&gt;"",R158&lt;&gt;"",V158&lt;&gt;"",W158&lt;&gt;""),"COMPLETADO","OBSERVADO")</f>
        <v/>
      </c>
    </row>
    <row r="159" ht="15" customHeight="1" s="195">
      <c r="A159" s="334" t="n"/>
      <c r="B159" s="334" t="n"/>
      <c r="C159" s="334" t="n"/>
      <c r="D159" s="334" t="n"/>
      <c r="E159" s="334" t="n"/>
      <c r="F159" s="334" t="n"/>
      <c r="G159" s="334" t="n"/>
      <c r="H159" s="334" t="n"/>
      <c r="I159" s="332">
        <f>IFERROR(VLOOKUP(TEXT(H159,"0"),IPRESS!$A$3:$B$212,2,0),"")</f>
        <v/>
      </c>
      <c r="J159" s="334" t="n"/>
      <c r="K159" s="332">
        <f>IFERROR(VLOOKUP(TEXT(O159,"0"),CONDUCTORES!$A$3:$G$54,7,0),"")</f>
        <v/>
      </c>
      <c r="L159" s="334" t="n"/>
      <c r="M159" s="334" t="n"/>
      <c r="N159" s="333">
        <f>IFERROR(IF(L159*M159=0,"",L159*M159),"")</f>
        <v/>
      </c>
      <c r="O159" s="334" t="n"/>
      <c r="P159" s="332">
        <f>IFERROR(VLOOKUP(TEXT(O159,"0"),CONDUCTORES!$A$3:$G$54,2,0),"")</f>
        <v/>
      </c>
      <c r="Q159" s="332">
        <f>IFERROR(VLOOKUP(TEXT(O159,"0"),CONDUCTORES!$A$3:$H$54,6,0),"")</f>
        <v/>
      </c>
      <c r="R159" s="334" t="n"/>
      <c r="S159" s="334" t="n"/>
      <c r="T159" s="334" t="n"/>
      <c r="U159" s="334" t="n"/>
      <c r="V159" s="334" t="n"/>
      <c r="W159" s="334" t="n"/>
      <c r="X159" s="334" t="n"/>
      <c r="Y159" s="334" t="n"/>
      <c r="Z159" s="375">
        <f>IF(AND(G159&lt;&gt;"",R159&lt;&gt;"",V159&lt;&gt;"",W159&lt;&gt;""),"COMPLETADO","OBSERVADO")</f>
        <v/>
      </c>
    </row>
    <row r="160" ht="15" customHeight="1" s="195">
      <c r="A160" s="280" t="n"/>
      <c r="B160" s="280" t="n"/>
      <c r="C160" s="280" t="n"/>
      <c r="D160" s="280" t="n"/>
      <c r="E160" s="280" t="n"/>
      <c r="F160" s="280" t="n"/>
      <c r="G160" s="280" t="n"/>
      <c r="H160" s="280" t="n"/>
      <c r="I160" s="332">
        <f>IFERROR(VLOOKUP(TEXT(H160,"0"),IPRESS!$A$3:$B$212,2,0),"")</f>
        <v/>
      </c>
      <c r="J160" s="280" t="n"/>
      <c r="K160" s="332">
        <f>IFERROR(VLOOKUP(TEXT(O160,"0"),CONDUCTORES!$A$3:$G$54,7,0),"")</f>
        <v/>
      </c>
      <c r="L160" s="280" t="n"/>
      <c r="M160" s="280" t="n"/>
      <c r="N160" s="333">
        <f>IFERROR(IF(L160*M160=0,"",L160*M160),"")</f>
        <v/>
      </c>
      <c r="O160" s="280" t="n"/>
      <c r="P160" s="332">
        <f>IFERROR(VLOOKUP(TEXT(O160,"0"),CONDUCTORES!$A$3:$G$54,2,0),"")</f>
        <v/>
      </c>
      <c r="Q160" s="332">
        <f>IFERROR(VLOOKUP(TEXT(O160,"0"),CONDUCTORES!$A$3:$H$54,6,0),"")</f>
        <v/>
      </c>
      <c r="R160" s="280" t="n"/>
      <c r="S160" s="280" t="n"/>
      <c r="T160" s="280" t="n"/>
      <c r="U160" s="280" t="n"/>
      <c r="V160" s="280" t="n"/>
      <c r="W160" s="280" t="n"/>
      <c r="X160" s="280" t="n"/>
      <c r="Y160" s="280" t="n"/>
      <c r="Z160" s="375">
        <f>IF(AND(G160&lt;&gt;"",R160&lt;&gt;"",V160&lt;&gt;"",W160&lt;&gt;""),"COMPLETADO","OBSERVADO")</f>
        <v/>
      </c>
    </row>
    <row r="161" ht="15" customHeight="1" s="195">
      <c r="A161" s="334" t="n"/>
      <c r="B161" s="334" t="n"/>
      <c r="C161" s="334" t="n"/>
      <c r="D161" s="334" t="n"/>
      <c r="E161" s="334" t="n"/>
      <c r="F161" s="334" t="n"/>
      <c r="G161" s="334" t="n"/>
      <c r="H161" s="334" t="n"/>
      <c r="I161" s="332">
        <f>IFERROR(VLOOKUP(TEXT(H161,"0"),IPRESS!$A$3:$B$212,2,0),"")</f>
        <v/>
      </c>
      <c r="J161" s="334" t="n"/>
      <c r="K161" s="332">
        <f>IFERROR(VLOOKUP(TEXT(O161,"0"),CONDUCTORES!$A$3:$G$54,7,0),"")</f>
        <v/>
      </c>
      <c r="L161" s="334" t="n"/>
      <c r="M161" s="334" t="n"/>
      <c r="N161" s="333">
        <f>IFERROR(IF(L161*M161=0,"",L161*M161),"")</f>
        <v/>
      </c>
      <c r="O161" s="334" t="n"/>
      <c r="P161" s="332">
        <f>IFERROR(VLOOKUP(TEXT(O161,"0"),CONDUCTORES!$A$3:$G$54,2,0),"")</f>
        <v/>
      </c>
      <c r="Q161" s="332">
        <f>IFERROR(VLOOKUP(TEXT(O161,"0"),CONDUCTORES!$A$3:$H$54,6,0),"")</f>
        <v/>
      </c>
      <c r="R161" s="334" t="n"/>
      <c r="S161" s="334" t="n"/>
      <c r="T161" s="334" t="n"/>
      <c r="U161" s="334" t="n"/>
      <c r="V161" s="334" t="n"/>
      <c r="W161" s="334" t="n"/>
      <c r="X161" s="334" t="n"/>
      <c r="Y161" s="334" t="n"/>
      <c r="Z161" s="375">
        <f>IF(AND(G161&lt;&gt;"",R161&lt;&gt;"",V161&lt;&gt;"",W161&lt;&gt;""),"COMPLETADO","OBSERVADO")</f>
        <v/>
      </c>
    </row>
    <row r="162" ht="15" customHeight="1" s="195">
      <c r="A162" s="280" t="n"/>
      <c r="B162" s="280" t="n"/>
      <c r="C162" s="280" t="n"/>
      <c r="D162" s="280" t="n"/>
      <c r="E162" s="280" t="n"/>
      <c r="F162" s="280" t="n"/>
      <c r="G162" s="280" t="n"/>
      <c r="H162" s="280" t="n"/>
      <c r="I162" s="332">
        <f>IFERROR(VLOOKUP(TEXT(H162,"0"),IPRESS!$A$3:$B$212,2,0),"")</f>
        <v/>
      </c>
      <c r="J162" s="280" t="n"/>
      <c r="K162" s="332">
        <f>IFERROR(VLOOKUP(TEXT(O162,"0"),CONDUCTORES!$A$3:$G$54,7,0),"")</f>
        <v/>
      </c>
      <c r="L162" s="280" t="n"/>
      <c r="M162" s="280" t="n"/>
      <c r="N162" s="333">
        <f>IFERROR(IF(L162*M162=0,"",L162*M162),"")</f>
        <v/>
      </c>
      <c r="O162" s="280" t="n"/>
      <c r="P162" s="332">
        <f>IFERROR(VLOOKUP(TEXT(O162,"0"),CONDUCTORES!$A$3:$G$54,2,0),"")</f>
        <v/>
      </c>
      <c r="Q162" s="332">
        <f>IFERROR(VLOOKUP(TEXT(O162,"0"),CONDUCTORES!$A$3:$H$54,6,0),"")</f>
        <v/>
      </c>
      <c r="R162" s="280" t="n"/>
      <c r="S162" s="280" t="n"/>
      <c r="T162" s="280" t="n"/>
      <c r="U162" s="280" t="n"/>
      <c r="V162" s="280" t="n"/>
      <c r="W162" s="280" t="n"/>
      <c r="X162" s="280" t="n"/>
      <c r="Y162" s="280" t="n"/>
      <c r="Z162" s="375">
        <f>IF(AND(G162&lt;&gt;"",R162&lt;&gt;"",V162&lt;&gt;"",W162&lt;&gt;""),"COMPLETADO","OBSERVADO")</f>
        <v/>
      </c>
    </row>
    <row r="163" ht="15" customHeight="1" s="195">
      <c r="A163" s="334" t="n"/>
      <c r="B163" s="334" t="n"/>
      <c r="C163" s="334" t="n"/>
      <c r="D163" s="334" t="n"/>
      <c r="E163" s="334" t="n"/>
      <c r="F163" s="334" t="n"/>
      <c r="G163" s="334" t="n"/>
      <c r="H163" s="334" t="n"/>
      <c r="I163" s="332">
        <f>IFERROR(VLOOKUP(TEXT(H163,"0"),IPRESS!$A$3:$B$212,2,0),"")</f>
        <v/>
      </c>
      <c r="J163" s="334" t="n"/>
      <c r="K163" s="332">
        <f>IFERROR(VLOOKUP(TEXT(O163,"0"),CONDUCTORES!$A$3:$G$54,7,0),"")</f>
        <v/>
      </c>
      <c r="L163" s="334" t="n"/>
      <c r="M163" s="334" t="n"/>
      <c r="N163" s="333">
        <f>IFERROR(IF(L163*M163=0,"",L163*M163),"")</f>
        <v/>
      </c>
      <c r="O163" s="334" t="n"/>
      <c r="P163" s="332">
        <f>IFERROR(VLOOKUP(TEXT(O163,"0"),CONDUCTORES!$A$3:$G$54,2,0),"")</f>
        <v/>
      </c>
      <c r="Q163" s="332">
        <f>IFERROR(VLOOKUP(TEXT(O163,"0"),CONDUCTORES!$A$3:$H$54,6,0),"")</f>
        <v/>
      </c>
      <c r="R163" s="334" t="n"/>
      <c r="S163" s="334" t="n"/>
      <c r="T163" s="334" t="n"/>
      <c r="U163" s="334" t="n"/>
      <c r="V163" s="334" t="n"/>
      <c r="W163" s="334" t="n"/>
      <c r="X163" s="334" t="n"/>
      <c r="Y163" s="334" t="n"/>
      <c r="Z163" s="375">
        <f>IF(AND(G163&lt;&gt;"",R163&lt;&gt;"",V163&lt;&gt;"",W163&lt;&gt;""),"COMPLETADO","OBSERVADO")</f>
        <v/>
      </c>
    </row>
    <row r="164" ht="15" customHeight="1" s="195">
      <c r="A164" s="280" t="n"/>
      <c r="B164" s="280" t="n"/>
      <c r="C164" s="280" t="n"/>
      <c r="D164" s="280" t="n"/>
      <c r="E164" s="280" t="n"/>
      <c r="F164" s="280" t="n"/>
      <c r="G164" s="280" t="n"/>
      <c r="H164" s="280" t="n"/>
      <c r="I164" s="332">
        <f>IFERROR(VLOOKUP(TEXT(H164,"0"),IPRESS!$A$3:$B$212,2,0),"")</f>
        <v/>
      </c>
      <c r="J164" s="280" t="n"/>
      <c r="K164" s="332">
        <f>IFERROR(VLOOKUP(TEXT(O164,"0"),CONDUCTORES!$A$3:$G$54,7,0),"")</f>
        <v/>
      </c>
      <c r="L164" s="280" t="n"/>
      <c r="M164" s="280" t="n"/>
      <c r="N164" s="333">
        <f>IFERROR(IF(L164*M164=0,"",L164*M164),"")</f>
        <v/>
      </c>
      <c r="O164" s="280" t="n"/>
      <c r="P164" s="332">
        <f>IFERROR(VLOOKUP(TEXT(O164,"0"),CONDUCTORES!$A$3:$G$54,2,0),"")</f>
        <v/>
      </c>
      <c r="Q164" s="332">
        <f>IFERROR(VLOOKUP(TEXT(O164,"0"),CONDUCTORES!$A$3:$H$54,6,0),"")</f>
        <v/>
      </c>
      <c r="R164" s="280" t="n"/>
      <c r="S164" s="280" t="n"/>
      <c r="T164" s="280" t="n"/>
      <c r="U164" s="280" t="n"/>
      <c r="V164" s="280" t="n"/>
      <c r="W164" s="280" t="n"/>
      <c r="X164" s="280" t="n"/>
      <c r="Y164" s="280" t="n"/>
      <c r="Z164" s="375">
        <f>IF(AND(G164&lt;&gt;"",R164&lt;&gt;"",V164&lt;&gt;"",W164&lt;&gt;""),"COMPLETADO","OBSERVADO")</f>
        <v/>
      </c>
    </row>
    <row r="165" ht="15" customHeight="1" s="195">
      <c r="A165" s="334" t="n"/>
      <c r="B165" s="334" t="n"/>
      <c r="C165" s="334" t="n"/>
      <c r="D165" s="334" t="n"/>
      <c r="E165" s="334" t="n"/>
      <c r="F165" s="334" t="n"/>
      <c r="G165" s="334" t="n"/>
      <c r="H165" s="334" t="n"/>
      <c r="I165" s="332">
        <f>IFERROR(VLOOKUP(TEXT(H165,"0"),IPRESS!$A$3:$B$212,2,0),"")</f>
        <v/>
      </c>
      <c r="J165" s="334" t="n"/>
      <c r="K165" s="332">
        <f>IFERROR(VLOOKUP(TEXT(O165,"0"),CONDUCTORES!$A$3:$G$54,7,0),"")</f>
        <v/>
      </c>
      <c r="L165" s="334" t="n"/>
      <c r="M165" s="334" t="n"/>
      <c r="N165" s="333">
        <f>IFERROR(IF(L165*M165=0,"",L165*M165),"")</f>
        <v/>
      </c>
      <c r="O165" s="334" t="n"/>
      <c r="P165" s="332">
        <f>IFERROR(VLOOKUP(TEXT(O165,"0"),CONDUCTORES!$A$3:$G$54,2,0),"")</f>
        <v/>
      </c>
      <c r="Q165" s="332">
        <f>IFERROR(VLOOKUP(TEXT(O165,"0"),CONDUCTORES!$A$3:$H$54,6,0),"")</f>
        <v/>
      </c>
      <c r="R165" s="334" t="n"/>
      <c r="S165" s="334" t="n"/>
      <c r="T165" s="334" t="n"/>
      <c r="U165" s="334" t="n"/>
      <c r="V165" s="334" t="n"/>
      <c r="W165" s="334" t="n"/>
      <c r="X165" s="334" t="n"/>
      <c r="Y165" s="334" t="n"/>
      <c r="Z165" s="375">
        <f>IF(AND(G165&lt;&gt;"",R165&lt;&gt;"",V165&lt;&gt;"",W165&lt;&gt;""),"COMPLETADO","OBSERVADO")</f>
        <v/>
      </c>
    </row>
    <row r="166" ht="15" customHeight="1" s="195">
      <c r="A166" s="280" t="n"/>
      <c r="B166" s="280" t="n"/>
      <c r="C166" s="280" t="n"/>
      <c r="D166" s="280" t="n"/>
      <c r="E166" s="280" t="n"/>
      <c r="F166" s="280" t="n"/>
      <c r="G166" s="280" t="n"/>
      <c r="H166" s="280" t="n"/>
      <c r="I166" s="332">
        <f>IFERROR(VLOOKUP(TEXT(H166,"0"),IPRESS!$A$3:$B$212,2,0),"")</f>
        <v/>
      </c>
      <c r="J166" s="280" t="n"/>
      <c r="K166" s="332">
        <f>IFERROR(VLOOKUP(TEXT(O166,"0"),CONDUCTORES!$A$3:$G$54,7,0),"")</f>
        <v/>
      </c>
      <c r="L166" s="280" t="n"/>
      <c r="M166" s="280" t="n"/>
      <c r="N166" s="333">
        <f>IFERROR(IF(L166*M166=0,"",L166*M166),"")</f>
        <v/>
      </c>
      <c r="O166" s="280" t="n"/>
      <c r="P166" s="332">
        <f>IFERROR(VLOOKUP(TEXT(O166,"0"),CONDUCTORES!$A$3:$G$54,2,0),"")</f>
        <v/>
      </c>
      <c r="Q166" s="332">
        <f>IFERROR(VLOOKUP(TEXT(O166,"0"),CONDUCTORES!$A$3:$H$54,6,0),"")</f>
        <v/>
      </c>
      <c r="R166" s="280" t="n"/>
      <c r="S166" s="280" t="n"/>
      <c r="T166" s="280" t="n"/>
      <c r="U166" s="280" t="n"/>
      <c r="V166" s="280" t="n"/>
      <c r="W166" s="280" t="n"/>
      <c r="X166" s="280" t="n"/>
      <c r="Y166" s="280" t="n"/>
      <c r="Z166" s="375">
        <f>IF(AND(G166&lt;&gt;"",R166&lt;&gt;"",V166&lt;&gt;"",W166&lt;&gt;""),"COMPLETADO","OBSERVADO")</f>
        <v/>
      </c>
    </row>
    <row r="167" ht="15" customHeight="1" s="195">
      <c r="A167" s="334" t="n"/>
      <c r="B167" s="334" t="n"/>
      <c r="C167" s="334" t="n"/>
      <c r="D167" s="334" t="n"/>
      <c r="E167" s="334" t="n"/>
      <c r="F167" s="334" t="n"/>
      <c r="G167" s="334" t="n"/>
      <c r="H167" s="334" t="n"/>
      <c r="I167" s="332">
        <f>IFERROR(VLOOKUP(TEXT(H167,"0"),IPRESS!$A$3:$B$212,2,0),"")</f>
        <v/>
      </c>
      <c r="J167" s="334" t="n"/>
      <c r="K167" s="332">
        <f>IFERROR(VLOOKUP(TEXT(O167,"0"),CONDUCTORES!$A$3:$G$54,7,0),"")</f>
        <v/>
      </c>
      <c r="L167" s="334" t="n"/>
      <c r="M167" s="334" t="n"/>
      <c r="N167" s="333">
        <f>IFERROR(IF(L167*M167=0,"",L167*M167),"")</f>
        <v/>
      </c>
      <c r="O167" s="334" t="n"/>
      <c r="P167" s="332">
        <f>IFERROR(VLOOKUP(TEXT(O167,"0"),CONDUCTORES!$A$3:$G$54,2,0),"")</f>
        <v/>
      </c>
      <c r="Q167" s="332">
        <f>IFERROR(VLOOKUP(TEXT(O167,"0"),CONDUCTORES!$A$3:$H$54,6,0),"")</f>
        <v/>
      </c>
      <c r="R167" s="334" t="n"/>
      <c r="S167" s="334" t="n"/>
      <c r="T167" s="334" t="n"/>
      <c r="U167" s="334" t="n"/>
      <c r="V167" s="334" t="n"/>
      <c r="W167" s="334" t="n"/>
      <c r="X167" s="334" t="n"/>
      <c r="Y167" s="334" t="n"/>
      <c r="Z167" s="375">
        <f>IF(AND(G167&lt;&gt;"",R167&lt;&gt;"",V167&lt;&gt;"",W167&lt;&gt;""),"COMPLETADO","OBSERVADO")</f>
        <v/>
      </c>
    </row>
    <row r="168" ht="15" customHeight="1" s="195">
      <c r="A168" s="280" t="n"/>
      <c r="B168" s="280" t="n"/>
      <c r="C168" s="280" t="n"/>
      <c r="D168" s="280" t="n"/>
      <c r="E168" s="280" t="n"/>
      <c r="F168" s="280" t="n"/>
      <c r="G168" s="280" t="n"/>
      <c r="H168" s="280" t="n"/>
      <c r="I168" s="332">
        <f>IFERROR(VLOOKUP(TEXT(H168,"0"),IPRESS!$A$3:$B$212,2,0),"")</f>
        <v/>
      </c>
      <c r="J168" s="280" t="n"/>
      <c r="K168" s="332">
        <f>IFERROR(VLOOKUP(TEXT(O168,"0"),CONDUCTORES!$A$3:$G$54,7,0),"")</f>
        <v/>
      </c>
      <c r="L168" s="280" t="n"/>
      <c r="M168" s="280" t="n"/>
      <c r="N168" s="333">
        <f>IFERROR(IF(L168*M168=0,"",L168*M168),"")</f>
        <v/>
      </c>
      <c r="O168" s="280" t="n"/>
      <c r="P168" s="332">
        <f>IFERROR(VLOOKUP(TEXT(O168,"0"),CONDUCTORES!$A$3:$G$54,2,0),"")</f>
        <v/>
      </c>
      <c r="Q168" s="332">
        <f>IFERROR(VLOOKUP(TEXT(O168,"0"),CONDUCTORES!$A$3:$H$54,6,0),"")</f>
        <v/>
      </c>
      <c r="R168" s="280" t="n"/>
      <c r="S168" s="280" t="n"/>
      <c r="T168" s="280" t="n"/>
      <c r="U168" s="280" t="n"/>
      <c r="V168" s="280" t="n"/>
      <c r="W168" s="280" t="n"/>
      <c r="X168" s="280" t="n"/>
      <c r="Y168" s="280" t="n"/>
      <c r="Z168" s="375">
        <f>IF(AND(G168&lt;&gt;"",R168&lt;&gt;"",V168&lt;&gt;"",W168&lt;&gt;""),"COMPLETADO","OBSERVADO")</f>
        <v/>
      </c>
    </row>
    <row r="169" ht="15" customHeight="1" s="195">
      <c r="A169" s="334" t="n"/>
      <c r="B169" s="334" t="n"/>
      <c r="C169" s="334" t="n"/>
      <c r="D169" s="334" t="n"/>
      <c r="E169" s="334" t="n"/>
      <c r="F169" s="334" t="n"/>
      <c r="G169" s="334" t="n"/>
      <c r="H169" s="334" t="n"/>
      <c r="I169" s="332">
        <f>IFERROR(VLOOKUP(TEXT(H169,"0"),IPRESS!$A$3:$B$212,2,0),"")</f>
        <v/>
      </c>
      <c r="J169" s="334" t="n"/>
      <c r="K169" s="332">
        <f>IFERROR(VLOOKUP(TEXT(O169,"0"),CONDUCTORES!$A$3:$G$54,7,0),"")</f>
        <v/>
      </c>
      <c r="L169" s="334" t="n"/>
      <c r="M169" s="334" t="n"/>
      <c r="N169" s="333">
        <f>IFERROR(IF(L169*M169=0,"",L169*M169),"")</f>
        <v/>
      </c>
      <c r="O169" s="334" t="n"/>
      <c r="P169" s="332">
        <f>IFERROR(VLOOKUP(TEXT(O169,"0"),CONDUCTORES!$A$3:$G$54,2,0),"")</f>
        <v/>
      </c>
      <c r="Q169" s="332">
        <f>IFERROR(VLOOKUP(TEXT(O169,"0"),CONDUCTORES!$A$3:$H$54,6,0),"")</f>
        <v/>
      </c>
      <c r="R169" s="334" t="n"/>
      <c r="S169" s="334" t="n"/>
      <c r="T169" s="334" t="n"/>
      <c r="U169" s="334" t="n"/>
      <c r="V169" s="334" t="n"/>
      <c r="W169" s="334" t="n"/>
      <c r="X169" s="334" t="n"/>
      <c r="Y169" s="334" t="n"/>
      <c r="Z169" s="375">
        <f>IF(AND(G169&lt;&gt;"",R169&lt;&gt;"",V169&lt;&gt;"",W169&lt;&gt;""),"COMPLETADO","OBSERVADO")</f>
        <v/>
      </c>
    </row>
    <row r="170" ht="15" customHeight="1" s="195">
      <c r="A170" s="280" t="n"/>
      <c r="B170" s="280" t="n"/>
      <c r="C170" s="280" t="n"/>
      <c r="D170" s="280" t="n"/>
      <c r="E170" s="280" t="n"/>
      <c r="F170" s="280" t="n"/>
      <c r="G170" s="280" t="n"/>
      <c r="H170" s="280" t="n"/>
      <c r="I170" s="332">
        <f>IFERROR(VLOOKUP(TEXT(H170,"0"),IPRESS!$A$3:$B$212,2,0),"")</f>
        <v/>
      </c>
      <c r="J170" s="280" t="n"/>
      <c r="K170" s="332">
        <f>IFERROR(VLOOKUP(TEXT(O170,"0"),CONDUCTORES!$A$3:$G$54,7,0),"")</f>
        <v/>
      </c>
      <c r="L170" s="280" t="n"/>
      <c r="M170" s="280" t="n"/>
      <c r="N170" s="333">
        <f>IFERROR(IF(L170*M170=0,"",L170*M170),"")</f>
        <v/>
      </c>
      <c r="O170" s="280" t="n"/>
      <c r="P170" s="332">
        <f>IFERROR(VLOOKUP(TEXT(O170,"0"),CONDUCTORES!$A$3:$G$54,2,0),"")</f>
        <v/>
      </c>
      <c r="Q170" s="332">
        <f>IFERROR(VLOOKUP(TEXT(O170,"0"),CONDUCTORES!$A$3:$H$54,6,0),"")</f>
        <v/>
      </c>
      <c r="R170" s="280" t="n"/>
      <c r="S170" s="280" t="n"/>
      <c r="T170" s="280" t="n"/>
      <c r="U170" s="280" t="n"/>
      <c r="V170" s="280" t="n"/>
      <c r="W170" s="280" t="n"/>
      <c r="X170" s="280" t="n"/>
      <c r="Y170" s="280" t="n"/>
      <c r="Z170" s="375">
        <f>IF(AND(G170&lt;&gt;"",R170&lt;&gt;"",V170&lt;&gt;"",W170&lt;&gt;""),"COMPLETADO","OBSERVADO")</f>
        <v/>
      </c>
    </row>
    <row r="171" ht="15" customHeight="1" s="195">
      <c r="A171" s="334" t="n"/>
      <c r="B171" s="334" t="n"/>
      <c r="C171" s="334" t="n"/>
      <c r="D171" s="334" t="n"/>
      <c r="E171" s="334" t="n"/>
      <c r="F171" s="334" t="n"/>
      <c r="G171" s="334" t="n"/>
      <c r="H171" s="334" t="n"/>
      <c r="I171" s="332">
        <f>IFERROR(VLOOKUP(TEXT(H171,"0"),IPRESS!$A$3:$B$212,2,0),"")</f>
        <v/>
      </c>
      <c r="J171" s="334" t="n"/>
      <c r="K171" s="332">
        <f>IFERROR(VLOOKUP(TEXT(O171,"0"),CONDUCTORES!$A$3:$G$54,7,0),"")</f>
        <v/>
      </c>
      <c r="L171" s="334" t="n"/>
      <c r="M171" s="334" t="n"/>
      <c r="N171" s="333">
        <f>IFERROR(IF(L171*M171=0,"",L171*M171),"")</f>
        <v/>
      </c>
      <c r="O171" s="334" t="n"/>
      <c r="P171" s="332">
        <f>IFERROR(VLOOKUP(TEXT(O171,"0"),CONDUCTORES!$A$3:$G$54,2,0),"")</f>
        <v/>
      </c>
      <c r="Q171" s="332">
        <f>IFERROR(VLOOKUP(TEXT(O171,"0"),CONDUCTORES!$A$3:$H$54,6,0),"")</f>
        <v/>
      </c>
      <c r="R171" s="334" t="n"/>
      <c r="S171" s="334" t="n"/>
      <c r="T171" s="334" t="n"/>
      <c r="U171" s="334" t="n"/>
      <c r="V171" s="334" t="n"/>
      <c r="W171" s="334" t="n"/>
      <c r="X171" s="334" t="n"/>
      <c r="Y171" s="334" t="n"/>
      <c r="Z171" s="375">
        <f>IF(AND(G171&lt;&gt;"",R171&lt;&gt;"",V171&lt;&gt;"",W171&lt;&gt;""),"COMPLETADO","OBSERVADO")</f>
        <v/>
      </c>
    </row>
    <row r="172" ht="15" customHeight="1" s="195">
      <c r="A172" s="280" t="n"/>
      <c r="B172" s="280" t="n"/>
      <c r="C172" s="280" t="n"/>
      <c r="D172" s="280" t="n"/>
      <c r="E172" s="280" t="n"/>
      <c r="F172" s="280" t="n"/>
      <c r="G172" s="280" t="n"/>
      <c r="H172" s="280" t="n"/>
      <c r="I172" s="332">
        <f>IFERROR(VLOOKUP(TEXT(H172,"0"),IPRESS!$A$3:$B$212,2,0),"")</f>
        <v/>
      </c>
      <c r="J172" s="280" t="n"/>
      <c r="K172" s="332">
        <f>IFERROR(VLOOKUP(TEXT(O172,"0"),CONDUCTORES!$A$3:$G$54,7,0),"")</f>
        <v/>
      </c>
      <c r="L172" s="280" t="n"/>
      <c r="M172" s="280" t="n"/>
      <c r="N172" s="333">
        <f>IFERROR(IF(L172*M172=0,"",L172*M172),"")</f>
        <v/>
      </c>
      <c r="O172" s="280" t="n"/>
      <c r="P172" s="332">
        <f>IFERROR(VLOOKUP(TEXT(O172,"0"),CONDUCTORES!$A$3:$G$54,2,0),"")</f>
        <v/>
      </c>
      <c r="Q172" s="332">
        <f>IFERROR(VLOOKUP(TEXT(O172,"0"),CONDUCTORES!$A$3:$H$54,6,0),"")</f>
        <v/>
      </c>
      <c r="R172" s="280" t="n"/>
      <c r="S172" s="280" t="n"/>
      <c r="T172" s="280" t="n"/>
      <c r="U172" s="280" t="n"/>
      <c r="V172" s="280" t="n"/>
      <c r="W172" s="280" t="n"/>
      <c r="X172" s="280" t="n"/>
      <c r="Y172" s="280" t="n"/>
      <c r="Z172" s="375">
        <f>IF(AND(G172&lt;&gt;"",R172&lt;&gt;"",V172&lt;&gt;"",W172&lt;&gt;""),"COMPLETADO","OBSERVADO")</f>
        <v/>
      </c>
    </row>
    <row r="173" ht="15" customHeight="1" s="195">
      <c r="A173" s="334" t="n"/>
      <c r="B173" s="334" t="n"/>
      <c r="C173" s="334" t="n"/>
      <c r="D173" s="334" t="n"/>
      <c r="E173" s="334" t="n"/>
      <c r="F173" s="334" t="n"/>
      <c r="G173" s="334" t="n"/>
      <c r="H173" s="334" t="n"/>
      <c r="I173" s="332">
        <f>IFERROR(VLOOKUP(TEXT(H173,"0"),IPRESS!$A$3:$B$212,2,0),"")</f>
        <v/>
      </c>
      <c r="J173" s="334" t="n"/>
      <c r="K173" s="332">
        <f>IFERROR(VLOOKUP(TEXT(O173,"0"),CONDUCTORES!$A$3:$G$54,7,0),"")</f>
        <v/>
      </c>
      <c r="L173" s="334" t="n"/>
      <c r="M173" s="334" t="n"/>
      <c r="N173" s="333">
        <f>IFERROR(IF(L173*M173=0,"",L173*M173),"")</f>
        <v/>
      </c>
      <c r="O173" s="334" t="n"/>
      <c r="P173" s="332">
        <f>IFERROR(VLOOKUP(TEXT(O173,"0"),CONDUCTORES!$A$3:$G$54,2,0),"")</f>
        <v/>
      </c>
      <c r="Q173" s="332">
        <f>IFERROR(VLOOKUP(TEXT(O173,"0"),CONDUCTORES!$A$3:$H$54,6,0),"")</f>
        <v/>
      </c>
      <c r="R173" s="334" t="n"/>
      <c r="S173" s="334" t="n"/>
      <c r="T173" s="334" t="n"/>
      <c r="U173" s="334" t="n"/>
      <c r="V173" s="334" t="n"/>
      <c r="W173" s="334" t="n"/>
      <c r="X173" s="334" t="n"/>
      <c r="Y173" s="334" t="n"/>
      <c r="Z173" s="375">
        <f>IF(AND(G173&lt;&gt;"",R173&lt;&gt;"",V173&lt;&gt;"",W173&lt;&gt;""),"COMPLETADO","OBSERVADO")</f>
        <v/>
      </c>
    </row>
    <row r="174" ht="15" customHeight="1" s="195">
      <c r="A174" s="280" t="n"/>
      <c r="B174" s="280" t="n"/>
      <c r="C174" s="280" t="n"/>
      <c r="D174" s="280" t="n"/>
      <c r="E174" s="280" t="n"/>
      <c r="F174" s="280" t="n"/>
      <c r="G174" s="280" t="n"/>
      <c r="H174" s="280" t="n"/>
      <c r="I174" s="332">
        <f>IFERROR(VLOOKUP(TEXT(H174,"0"),IPRESS!$A$3:$B$212,2,0),"")</f>
        <v/>
      </c>
      <c r="J174" s="280" t="n"/>
      <c r="K174" s="332">
        <f>IFERROR(VLOOKUP(TEXT(O174,"0"),CONDUCTORES!$A$3:$G$54,7,0),"")</f>
        <v/>
      </c>
      <c r="L174" s="280" t="n"/>
      <c r="M174" s="280" t="n"/>
      <c r="N174" s="333">
        <f>IFERROR(IF(L174*M174=0,"",L174*M174),"")</f>
        <v/>
      </c>
      <c r="O174" s="280" t="n"/>
      <c r="P174" s="332">
        <f>IFERROR(VLOOKUP(TEXT(O174,"0"),CONDUCTORES!$A$3:$G$54,2,0),"")</f>
        <v/>
      </c>
      <c r="Q174" s="332">
        <f>IFERROR(VLOOKUP(TEXT(O174,"0"),CONDUCTORES!$A$3:$H$54,6,0),"")</f>
        <v/>
      </c>
      <c r="R174" s="280" t="n"/>
      <c r="S174" s="280" t="n"/>
      <c r="T174" s="280" t="n"/>
      <c r="U174" s="280" t="n"/>
      <c r="V174" s="280" t="n"/>
      <c r="W174" s="280" t="n"/>
      <c r="X174" s="280" t="n"/>
      <c r="Y174" s="280" t="n"/>
      <c r="Z174" s="375">
        <f>IF(AND(G174&lt;&gt;"",R174&lt;&gt;"",V174&lt;&gt;"",W174&lt;&gt;""),"COMPLETADO","OBSERVADO")</f>
        <v/>
      </c>
    </row>
    <row r="175" ht="15" customHeight="1" s="195">
      <c r="A175" s="334" t="n"/>
      <c r="B175" s="334" t="n"/>
      <c r="C175" s="334" t="n"/>
      <c r="D175" s="334" t="n"/>
      <c r="E175" s="334" t="n"/>
      <c r="F175" s="334" t="n"/>
      <c r="G175" s="334" t="n"/>
      <c r="H175" s="334" t="n"/>
      <c r="I175" s="332">
        <f>IFERROR(VLOOKUP(TEXT(H175,"0"),IPRESS!$A$3:$B$212,2,0),"")</f>
        <v/>
      </c>
      <c r="J175" s="334" t="n"/>
      <c r="K175" s="332">
        <f>IFERROR(VLOOKUP(TEXT(O175,"0"),CONDUCTORES!$A$3:$G$54,7,0),"")</f>
        <v/>
      </c>
      <c r="L175" s="334" t="n"/>
      <c r="M175" s="334" t="n"/>
      <c r="N175" s="333">
        <f>IFERROR(IF(L175*M175=0,"",L175*M175),"")</f>
        <v/>
      </c>
      <c r="O175" s="334" t="n"/>
      <c r="P175" s="332">
        <f>IFERROR(VLOOKUP(TEXT(O175,"0"),CONDUCTORES!$A$3:$G$54,2,0),"")</f>
        <v/>
      </c>
      <c r="Q175" s="332">
        <f>IFERROR(VLOOKUP(TEXT(O175,"0"),CONDUCTORES!$A$3:$H$54,6,0),"")</f>
        <v/>
      </c>
      <c r="R175" s="334" t="n"/>
      <c r="S175" s="334" t="n"/>
      <c r="T175" s="334" t="n"/>
      <c r="U175" s="334" t="n"/>
      <c r="V175" s="334" t="n"/>
      <c r="W175" s="334" t="n"/>
      <c r="X175" s="334" t="n"/>
      <c r="Y175" s="334" t="n"/>
      <c r="Z175" s="375">
        <f>IF(AND(G175&lt;&gt;"",R175&lt;&gt;"",V175&lt;&gt;"",W175&lt;&gt;""),"COMPLETADO","OBSERVADO")</f>
        <v/>
      </c>
    </row>
    <row r="176" ht="15" customHeight="1" s="195">
      <c r="A176" s="280" t="n"/>
      <c r="B176" s="280" t="n"/>
      <c r="C176" s="280" t="n"/>
      <c r="D176" s="280" t="n"/>
      <c r="E176" s="280" t="n"/>
      <c r="F176" s="280" t="n"/>
      <c r="G176" s="280" t="n"/>
      <c r="H176" s="280" t="n"/>
      <c r="I176" s="332">
        <f>IFERROR(VLOOKUP(TEXT(H176,"0"),IPRESS!$A$3:$B$212,2,0),"")</f>
        <v/>
      </c>
      <c r="J176" s="280" t="n"/>
      <c r="K176" s="332">
        <f>IFERROR(VLOOKUP(TEXT(O176,"0"),CONDUCTORES!$A$3:$G$54,7,0),"")</f>
        <v/>
      </c>
      <c r="L176" s="280" t="n"/>
      <c r="M176" s="280" t="n"/>
      <c r="N176" s="333">
        <f>IFERROR(IF(L176*M176=0,"",L176*M176),"")</f>
        <v/>
      </c>
      <c r="O176" s="280" t="n"/>
      <c r="P176" s="332">
        <f>IFERROR(VLOOKUP(TEXT(O176,"0"),CONDUCTORES!$A$3:$G$54,2,0),"")</f>
        <v/>
      </c>
      <c r="Q176" s="332">
        <f>IFERROR(VLOOKUP(TEXT(O176,"0"),CONDUCTORES!$A$3:$H$54,6,0),"")</f>
        <v/>
      </c>
      <c r="R176" s="280" t="n"/>
      <c r="S176" s="280" t="n"/>
      <c r="T176" s="280" t="n"/>
      <c r="U176" s="280" t="n"/>
      <c r="V176" s="280" t="n"/>
      <c r="W176" s="280" t="n"/>
      <c r="X176" s="280" t="n"/>
      <c r="Y176" s="280" t="n"/>
      <c r="Z176" s="375">
        <f>IF(AND(G176&lt;&gt;"",R176&lt;&gt;"",V176&lt;&gt;"",W176&lt;&gt;""),"COMPLETADO","OBSERVADO")</f>
        <v/>
      </c>
    </row>
    <row r="177" ht="15" customHeight="1" s="195">
      <c r="A177" s="334" t="n"/>
      <c r="B177" s="334" t="n"/>
      <c r="C177" s="334" t="n"/>
      <c r="D177" s="334" t="n"/>
      <c r="E177" s="334" t="n"/>
      <c r="F177" s="334" t="n"/>
      <c r="G177" s="334" t="n"/>
      <c r="H177" s="334" t="n"/>
      <c r="I177" s="332">
        <f>IFERROR(VLOOKUP(TEXT(H177,"0"),IPRESS!$A$3:$B$212,2,0),"")</f>
        <v/>
      </c>
      <c r="J177" s="334" t="n"/>
      <c r="K177" s="332">
        <f>IFERROR(VLOOKUP(TEXT(O177,"0"),CONDUCTORES!$A$3:$G$54,7,0),"")</f>
        <v/>
      </c>
      <c r="L177" s="334" t="n"/>
      <c r="M177" s="334" t="n"/>
      <c r="N177" s="333">
        <f>IFERROR(IF(L177*M177=0,"",L177*M177),"")</f>
        <v/>
      </c>
      <c r="O177" s="334" t="n"/>
      <c r="P177" s="332">
        <f>IFERROR(VLOOKUP(TEXT(O177,"0"),CONDUCTORES!$A$3:$G$54,2,0),"")</f>
        <v/>
      </c>
      <c r="Q177" s="332">
        <f>IFERROR(VLOOKUP(TEXT(O177,"0"),CONDUCTORES!$A$3:$H$54,6,0),"")</f>
        <v/>
      </c>
      <c r="R177" s="334" t="n"/>
      <c r="S177" s="334" t="n"/>
      <c r="T177" s="334" t="n"/>
      <c r="U177" s="334" t="n"/>
      <c r="V177" s="334" t="n"/>
      <c r="W177" s="334" t="n"/>
      <c r="X177" s="334" t="n"/>
      <c r="Y177" s="334" t="n"/>
      <c r="Z177" s="375">
        <f>IF(AND(G177&lt;&gt;"",R177&lt;&gt;"",V177&lt;&gt;"",W177&lt;&gt;""),"COMPLETADO","OBSERVADO")</f>
        <v/>
      </c>
    </row>
    <row r="178" ht="15" customHeight="1" s="195">
      <c r="A178" s="280" t="n"/>
      <c r="B178" s="280" t="n"/>
      <c r="C178" s="280" t="n"/>
      <c r="D178" s="280" t="n"/>
      <c r="E178" s="280" t="n"/>
      <c r="F178" s="280" t="n"/>
      <c r="G178" s="280" t="n"/>
      <c r="H178" s="280" t="n"/>
      <c r="I178" s="332">
        <f>IFERROR(VLOOKUP(TEXT(H178,"0"),IPRESS!$A$3:$B$212,2,0),"")</f>
        <v/>
      </c>
      <c r="J178" s="280" t="n"/>
      <c r="K178" s="332">
        <f>IFERROR(VLOOKUP(TEXT(O178,"0"),CONDUCTORES!$A$3:$G$54,7,0),"")</f>
        <v/>
      </c>
      <c r="L178" s="280" t="n"/>
      <c r="M178" s="280" t="n"/>
      <c r="N178" s="333">
        <f>IFERROR(IF(L178*M178=0,"",L178*M178),"")</f>
        <v/>
      </c>
      <c r="O178" s="280" t="n"/>
      <c r="P178" s="332">
        <f>IFERROR(VLOOKUP(TEXT(O178,"0"),CONDUCTORES!$A$3:$G$54,2,0),"")</f>
        <v/>
      </c>
      <c r="Q178" s="332">
        <f>IFERROR(VLOOKUP(TEXT(O178,"0"),CONDUCTORES!$A$3:$H$54,6,0),"")</f>
        <v/>
      </c>
      <c r="R178" s="280" t="n"/>
      <c r="S178" s="280" t="n"/>
      <c r="T178" s="280" t="n"/>
      <c r="U178" s="280" t="n"/>
      <c r="V178" s="280" t="n"/>
      <c r="W178" s="280" t="n"/>
      <c r="X178" s="280" t="n"/>
      <c r="Y178" s="280" t="n"/>
      <c r="Z178" s="375">
        <f>IF(AND(G178&lt;&gt;"",R178&lt;&gt;"",V178&lt;&gt;"",W178&lt;&gt;""),"COMPLETADO","OBSERVADO")</f>
        <v/>
      </c>
    </row>
    <row r="179" ht="15" customHeight="1" s="195">
      <c r="A179" s="334" t="n"/>
      <c r="B179" s="334" t="n"/>
      <c r="C179" s="334" t="n"/>
      <c r="D179" s="334" t="n"/>
      <c r="E179" s="334" t="n"/>
      <c r="F179" s="334" t="n"/>
      <c r="G179" s="334" t="n"/>
      <c r="H179" s="334" t="n"/>
      <c r="I179" s="332">
        <f>IFERROR(VLOOKUP(TEXT(H179,"0"),IPRESS!$A$3:$B$212,2,0),"")</f>
        <v/>
      </c>
      <c r="J179" s="334" t="n"/>
      <c r="K179" s="332">
        <f>IFERROR(VLOOKUP(TEXT(O179,"0"),CONDUCTORES!$A$3:$G$54,7,0),"")</f>
        <v/>
      </c>
      <c r="L179" s="334" t="n"/>
      <c r="M179" s="334" t="n"/>
      <c r="N179" s="333">
        <f>IFERROR(IF(L179*M179=0,"",L179*M179),"")</f>
        <v/>
      </c>
      <c r="O179" s="334" t="n"/>
      <c r="P179" s="332">
        <f>IFERROR(VLOOKUP(TEXT(O179,"0"),CONDUCTORES!$A$3:$G$54,2,0),"")</f>
        <v/>
      </c>
      <c r="Q179" s="332">
        <f>IFERROR(VLOOKUP(TEXT(O179,"0"),CONDUCTORES!$A$3:$H$54,6,0),"")</f>
        <v/>
      </c>
      <c r="R179" s="334" t="n"/>
      <c r="S179" s="334" t="n"/>
      <c r="T179" s="334" t="n"/>
      <c r="U179" s="334" t="n"/>
      <c r="V179" s="334" t="n"/>
      <c r="W179" s="334" t="n"/>
      <c r="X179" s="334" t="n"/>
      <c r="Y179" s="334" t="n"/>
      <c r="Z179" s="375">
        <f>IF(AND(G179&lt;&gt;"",R179&lt;&gt;"",V179&lt;&gt;"",W179&lt;&gt;""),"COMPLETADO","OBSERVADO")</f>
        <v/>
      </c>
    </row>
    <row r="180" ht="15" customHeight="1" s="195">
      <c r="A180" s="280" t="n"/>
      <c r="B180" s="280" t="n"/>
      <c r="C180" s="280" t="n"/>
      <c r="D180" s="280" t="n"/>
      <c r="E180" s="280" t="n"/>
      <c r="F180" s="280" t="n"/>
      <c r="G180" s="280" t="n"/>
      <c r="H180" s="280" t="n"/>
      <c r="I180" s="332">
        <f>IFERROR(VLOOKUP(TEXT(H180,"0"),IPRESS!$A$3:$B$212,2,0),"")</f>
        <v/>
      </c>
      <c r="J180" s="280" t="n"/>
      <c r="K180" s="332">
        <f>IFERROR(VLOOKUP(TEXT(O180,"0"),CONDUCTORES!$A$3:$G$54,7,0),"")</f>
        <v/>
      </c>
      <c r="L180" s="280" t="n"/>
      <c r="M180" s="280" t="n"/>
      <c r="N180" s="333">
        <f>IFERROR(IF(L180*M180=0,"",L180*M180),"")</f>
        <v/>
      </c>
      <c r="O180" s="280" t="n"/>
      <c r="P180" s="332">
        <f>IFERROR(VLOOKUP(TEXT(O180,"0"),CONDUCTORES!$A$3:$G$54,2,0),"")</f>
        <v/>
      </c>
      <c r="Q180" s="332">
        <f>IFERROR(VLOOKUP(TEXT(O180,"0"),CONDUCTORES!$A$3:$H$54,6,0),"")</f>
        <v/>
      </c>
      <c r="R180" s="280" t="n"/>
      <c r="S180" s="280" t="n"/>
      <c r="T180" s="280" t="n"/>
      <c r="U180" s="280" t="n"/>
      <c r="V180" s="280" t="n"/>
      <c r="W180" s="280" t="n"/>
      <c r="X180" s="280" t="n"/>
      <c r="Y180" s="280" t="n"/>
      <c r="Z180" s="375">
        <f>IF(AND(G180&lt;&gt;"",R180&lt;&gt;"",V180&lt;&gt;"",W180&lt;&gt;""),"COMPLETADO","OBSERVADO")</f>
        <v/>
      </c>
    </row>
    <row r="181" ht="15" customHeight="1" s="195">
      <c r="A181" s="334" t="n"/>
      <c r="B181" s="334" t="n"/>
      <c r="C181" s="334" t="n"/>
      <c r="D181" s="334" t="n"/>
      <c r="E181" s="334" t="n"/>
      <c r="F181" s="334" t="n"/>
      <c r="G181" s="334" t="n"/>
      <c r="H181" s="334" t="n"/>
      <c r="I181" s="332">
        <f>IFERROR(VLOOKUP(TEXT(H181,"0"),IPRESS!$A$3:$B$212,2,0),"")</f>
        <v/>
      </c>
      <c r="J181" s="334" t="n"/>
      <c r="K181" s="332">
        <f>IFERROR(VLOOKUP(TEXT(O181,"0"),CONDUCTORES!$A$3:$G$54,7,0),"")</f>
        <v/>
      </c>
      <c r="L181" s="334" t="n"/>
      <c r="M181" s="334" t="n"/>
      <c r="N181" s="333">
        <f>IFERROR(IF(L181*M181=0,"",L181*M181),"")</f>
        <v/>
      </c>
      <c r="O181" s="334" t="n"/>
      <c r="P181" s="332">
        <f>IFERROR(VLOOKUP(TEXT(O181,"0"),CONDUCTORES!$A$3:$G$54,2,0),"")</f>
        <v/>
      </c>
      <c r="Q181" s="332">
        <f>IFERROR(VLOOKUP(TEXT(O181,"0"),CONDUCTORES!$A$3:$H$54,6,0),"")</f>
        <v/>
      </c>
      <c r="R181" s="334" t="n"/>
      <c r="S181" s="334" t="n"/>
      <c r="T181" s="334" t="n"/>
      <c r="U181" s="334" t="n"/>
      <c r="V181" s="334" t="n"/>
      <c r="W181" s="334" t="n"/>
      <c r="X181" s="334" t="n"/>
      <c r="Y181" s="334" t="n"/>
      <c r="Z181" s="375">
        <f>IF(AND(G181&lt;&gt;"",R181&lt;&gt;"",V181&lt;&gt;"",W181&lt;&gt;""),"COMPLETADO","OBSERVADO")</f>
        <v/>
      </c>
    </row>
    <row r="182" ht="15" customHeight="1" s="195">
      <c r="A182" s="280" t="n"/>
      <c r="B182" s="280" t="n"/>
      <c r="C182" s="280" t="n"/>
      <c r="D182" s="280" t="n"/>
      <c r="E182" s="280" t="n"/>
      <c r="F182" s="280" t="n"/>
      <c r="G182" s="280" t="n"/>
      <c r="H182" s="280" t="n"/>
      <c r="I182" s="332">
        <f>IFERROR(VLOOKUP(TEXT(H182,"0"),IPRESS!$A$3:$B$212,2,0),"")</f>
        <v/>
      </c>
      <c r="J182" s="280" t="n"/>
      <c r="K182" s="332">
        <f>IFERROR(VLOOKUP(TEXT(O182,"0"),CONDUCTORES!$A$3:$G$54,7,0),"")</f>
        <v/>
      </c>
      <c r="L182" s="280" t="n"/>
      <c r="M182" s="280" t="n"/>
      <c r="N182" s="333">
        <f>IFERROR(IF(L182*M182=0,"",L182*M182),"")</f>
        <v/>
      </c>
      <c r="O182" s="280" t="n"/>
      <c r="P182" s="332">
        <f>IFERROR(VLOOKUP(TEXT(O182,"0"),CONDUCTORES!$A$3:$G$54,2,0),"")</f>
        <v/>
      </c>
      <c r="Q182" s="332">
        <f>IFERROR(VLOOKUP(TEXT(O182,"0"),CONDUCTORES!$A$3:$H$54,6,0),"")</f>
        <v/>
      </c>
      <c r="R182" s="280" t="n"/>
      <c r="S182" s="280" t="n"/>
      <c r="T182" s="280" t="n"/>
      <c r="U182" s="280" t="n"/>
      <c r="V182" s="280" t="n"/>
      <c r="W182" s="280" t="n"/>
      <c r="X182" s="280" t="n"/>
      <c r="Y182" s="280" t="n"/>
      <c r="Z182" s="375">
        <f>IF(AND(G182&lt;&gt;"",R182&lt;&gt;"",V182&lt;&gt;"",W182&lt;&gt;""),"COMPLETADO","OBSERVADO")</f>
        <v/>
      </c>
    </row>
    <row r="183" ht="15" customHeight="1" s="195">
      <c r="A183" s="334" t="n"/>
      <c r="B183" s="334" t="n"/>
      <c r="C183" s="334" t="n"/>
      <c r="D183" s="334" t="n"/>
      <c r="E183" s="334" t="n"/>
      <c r="F183" s="334" t="n"/>
      <c r="G183" s="334" t="n"/>
      <c r="H183" s="334" t="n"/>
      <c r="I183" s="332">
        <f>IFERROR(VLOOKUP(TEXT(H183,"0"),IPRESS!$A$3:$B$212,2,0),"")</f>
        <v/>
      </c>
      <c r="J183" s="334" t="n"/>
      <c r="K183" s="332">
        <f>IFERROR(VLOOKUP(TEXT(O183,"0"),CONDUCTORES!$A$3:$G$54,7,0),"")</f>
        <v/>
      </c>
      <c r="L183" s="334" t="n"/>
      <c r="M183" s="334" t="n"/>
      <c r="N183" s="333">
        <f>IFERROR(IF(L183*M183=0,"",L183*M183),"")</f>
        <v/>
      </c>
      <c r="O183" s="334" t="n"/>
      <c r="P183" s="332">
        <f>IFERROR(VLOOKUP(TEXT(O183,"0"),CONDUCTORES!$A$3:$G$54,2,0),"")</f>
        <v/>
      </c>
      <c r="Q183" s="332">
        <f>IFERROR(VLOOKUP(TEXT(O183,"0"),CONDUCTORES!$A$3:$H$54,6,0),"")</f>
        <v/>
      </c>
      <c r="R183" s="334" t="n"/>
      <c r="S183" s="334" t="n"/>
      <c r="T183" s="334" t="n"/>
      <c r="U183" s="334" t="n"/>
      <c r="V183" s="334" t="n"/>
      <c r="W183" s="334" t="n"/>
      <c r="X183" s="334" t="n"/>
      <c r="Y183" s="334" t="n"/>
      <c r="Z183" s="375">
        <f>IF(AND(G183&lt;&gt;"",R183&lt;&gt;"",V183&lt;&gt;"",W183&lt;&gt;""),"COMPLETADO","OBSERVADO")</f>
        <v/>
      </c>
    </row>
    <row r="184" ht="15" customHeight="1" s="195">
      <c r="A184" s="280" t="n"/>
      <c r="B184" s="280" t="n"/>
      <c r="C184" s="280" t="n"/>
      <c r="D184" s="280" t="n"/>
      <c r="E184" s="280" t="n"/>
      <c r="F184" s="280" t="n"/>
      <c r="G184" s="280" t="n"/>
      <c r="H184" s="280" t="n"/>
      <c r="I184" s="332">
        <f>IFERROR(VLOOKUP(TEXT(H184,"0"),IPRESS!$A$3:$B$212,2,0),"")</f>
        <v/>
      </c>
      <c r="J184" s="280" t="n"/>
      <c r="K184" s="332">
        <f>IFERROR(VLOOKUP(TEXT(O184,"0"),CONDUCTORES!$A$3:$G$54,7,0),"")</f>
        <v/>
      </c>
      <c r="L184" s="280" t="n"/>
      <c r="M184" s="280" t="n"/>
      <c r="N184" s="333">
        <f>IFERROR(IF(L184*M184=0,"",L184*M184),"")</f>
        <v/>
      </c>
      <c r="O184" s="280" t="n"/>
      <c r="P184" s="332">
        <f>IFERROR(VLOOKUP(TEXT(O184,"0"),CONDUCTORES!$A$3:$G$54,2,0),"")</f>
        <v/>
      </c>
      <c r="Q184" s="332">
        <f>IFERROR(VLOOKUP(TEXT(O184,"0"),CONDUCTORES!$A$3:$H$54,6,0),"")</f>
        <v/>
      </c>
      <c r="R184" s="280" t="n"/>
      <c r="S184" s="280" t="n"/>
      <c r="T184" s="280" t="n"/>
      <c r="U184" s="280" t="n"/>
      <c r="V184" s="280" t="n"/>
      <c r="W184" s="280" t="n"/>
      <c r="X184" s="280" t="n"/>
      <c r="Y184" s="280" t="n"/>
      <c r="Z184" s="375">
        <f>IF(AND(G184&lt;&gt;"",R184&lt;&gt;"",V184&lt;&gt;"",W184&lt;&gt;""),"COMPLETADO","OBSERVADO")</f>
        <v/>
      </c>
    </row>
    <row r="185" ht="15" customHeight="1" s="195">
      <c r="A185" s="334" t="n"/>
      <c r="B185" s="334" t="n"/>
      <c r="C185" s="334" t="n"/>
      <c r="D185" s="334" t="n"/>
      <c r="E185" s="334" t="n"/>
      <c r="F185" s="334" t="n"/>
      <c r="G185" s="334" t="n"/>
      <c r="H185" s="334" t="n"/>
      <c r="I185" s="332">
        <f>IFERROR(VLOOKUP(TEXT(H185,"0"),IPRESS!$A$3:$B$212,2,0),"")</f>
        <v/>
      </c>
      <c r="J185" s="334" t="n"/>
      <c r="K185" s="332">
        <f>IFERROR(VLOOKUP(TEXT(O185,"0"),CONDUCTORES!$A$3:$G$54,7,0),"")</f>
        <v/>
      </c>
      <c r="L185" s="334" t="n"/>
      <c r="M185" s="334" t="n"/>
      <c r="N185" s="333">
        <f>IFERROR(IF(L185*M185=0,"",L185*M185),"")</f>
        <v/>
      </c>
      <c r="O185" s="334" t="n"/>
      <c r="P185" s="332">
        <f>IFERROR(VLOOKUP(TEXT(O185,"0"),CONDUCTORES!$A$3:$G$54,2,0),"")</f>
        <v/>
      </c>
      <c r="Q185" s="332">
        <f>IFERROR(VLOOKUP(TEXT(O185,"0"),CONDUCTORES!$A$3:$H$54,6,0),"")</f>
        <v/>
      </c>
      <c r="R185" s="334" t="n"/>
      <c r="S185" s="334" t="n"/>
      <c r="T185" s="334" t="n"/>
      <c r="U185" s="334" t="n"/>
      <c r="V185" s="334" t="n"/>
      <c r="W185" s="334" t="n"/>
      <c r="X185" s="334" t="n"/>
      <c r="Y185" s="334" t="n"/>
      <c r="Z185" s="375">
        <f>IF(AND(G185&lt;&gt;"",R185&lt;&gt;"",V185&lt;&gt;"",W185&lt;&gt;""),"COMPLETADO","OBSERVADO")</f>
        <v/>
      </c>
    </row>
    <row r="186" ht="15" customHeight="1" s="195">
      <c r="A186" s="280" t="n"/>
      <c r="B186" s="280" t="n"/>
      <c r="C186" s="280" t="n"/>
      <c r="D186" s="280" t="n"/>
      <c r="E186" s="280" t="n"/>
      <c r="F186" s="280" t="n"/>
      <c r="G186" s="280" t="n"/>
      <c r="H186" s="280" t="n"/>
      <c r="I186" s="332">
        <f>IFERROR(VLOOKUP(TEXT(H186,"0"),IPRESS!$A$3:$B$212,2,0),"")</f>
        <v/>
      </c>
      <c r="J186" s="280" t="n"/>
      <c r="K186" s="332">
        <f>IFERROR(VLOOKUP(TEXT(O186,"0"),CONDUCTORES!$A$3:$G$54,7,0),"")</f>
        <v/>
      </c>
      <c r="L186" s="280" t="n"/>
      <c r="M186" s="280" t="n"/>
      <c r="N186" s="333">
        <f>IFERROR(IF(L186*M186=0,"",L186*M186),"")</f>
        <v/>
      </c>
      <c r="O186" s="280" t="n"/>
      <c r="P186" s="332">
        <f>IFERROR(VLOOKUP(TEXT(O186,"0"),CONDUCTORES!$A$3:$G$54,2,0),"")</f>
        <v/>
      </c>
      <c r="Q186" s="332">
        <f>IFERROR(VLOOKUP(TEXT(O186,"0"),CONDUCTORES!$A$3:$H$54,6,0),"")</f>
        <v/>
      </c>
      <c r="R186" s="280" t="n"/>
      <c r="S186" s="280" t="n"/>
      <c r="T186" s="280" t="n"/>
      <c r="U186" s="280" t="n"/>
      <c r="V186" s="280" t="n"/>
      <c r="W186" s="280" t="n"/>
      <c r="X186" s="280" t="n"/>
      <c r="Y186" s="280" t="n"/>
      <c r="Z186" s="375">
        <f>IF(AND(G186&lt;&gt;"",R186&lt;&gt;"",V186&lt;&gt;"",W186&lt;&gt;""),"COMPLETADO","OBSERVADO")</f>
        <v/>
      </c>
    </row>
    <row r="187" ht="15" customHeight="1" s="195">
      <c r="A187" s="334" t="n"/>
      <c r="B187" s="334" t="n"/>
      <c r="C187" s="334" t="n"/>
      <c r="D187" s="334" t="n"/>
      <c r="E187" s="334" t="n"/>
      <c r="F187" s="334" t="n"/>
      <c r="G187" s="334" t="n"/>
      <c r="H187" s="334" t="n"/>
      <c r="I187" s="332">
        <f>IFERROR(VLOOKUP(TEXT(H187,"0"),IPRESS!$A$3:$B$212,2,0),"")</f>
        <v/>
      </c>
      <c r="J187" s="334" t="n"/>
      <c r="K187" s="332">
        <f>IFERROR(VLOOKUP(TEXT(O187,"0"),CONDUCTORES!$A$3:$G$54,7,0),"")</f>
        <v/>
      </c>
      <c r="L187" s="334" t="n"/>
      <c r="M187" s="334" t="n"/>
      <c r="N187" s="333">
        <f>IFERROR(IF(L187*M187=0,"",L187*M187),"")</f>
        <v/>
      </c>
      <c r="O187" s="334" t="n"/>
      <c r="P187" s="332">
        <f>IFERROR(VLOOKUP(TEXT(O187,"0"),CONDUCTORES!$A$3:$G$54,2,0),"")</f>
        <v/>
      </c>
      <c r="Q187" s="332">
        <f>IFERROR(VLOOKUP(TEXT(O187,"0"),CONDUCTORES!$A$3:$H$54,6,0),"")</f>
        <v/>
      </c>
      <c r="R187" s="334" t="n"/>
      <c r="S187" s="334" t="n"/>
      <c r="T187" s="334" t="n"/>
      <c r="U187" s="334" t="n"/>
      <c r="V187" s="334" t="n"/>
      <c r="W187" s="334" t="n"/>
      <c r="X187" s="334" t="n"/>
      <c r="Y187" s="334" t="n"/>
      <c r="Z187" s="375">
        <f>IF(AND(G187&lt;&gt;"",R187&lt;&gt;"",V187&lt;&gt;"",W187&lt;&gt;""),"COMPLETADO","OBSERVADO")</f>
        <v/>
      </c>
    </row>
    <row r="188" ht="15" customHeight="1" s="195">
      <c r="A188" s="280" t="n"/>
      <c r="B188" s="280" t="n"/>
      <c r="C188" s="280" t="n"/>
      <c r="D188" s="280" t="n"/>
      <c r="E188" s="280" t="n"/>
      <c r="F188" s="280" t="n"/>
      <c r="G188" s="280" t="n"/>
      <c r="H188" s="280" t="n"/>
      <c r="I188" s="332">
        <f>IFERROR(VLOOKUP(TEXT(H188,"0"),IPRESS!$A$3:$B$212,2,0),"")</f>
        <v/>
      </c>
      <c r="J188" s="280" t="n"/>
      <c r="K188" s="332">
        <f>IFERROR(VLOOKUP(TEXT(O188,"0"),CONDUCTORES!$A$3:$G$54,7,0),"")</f>
        <v/>
      </c>
      <c r="L188" s="280" t="n"/>
      <c r="M188" s="280" t="n"/>
      <c r="N188" s="333">
        <f>IFERROR(IF(L188*M188=0,"",L188*M188),"")</f>
        <v/>
      </c>
      <c r="O188" s="280" t="n"/>
      <c r="P188" s="332">
        <f>IFERROR(VLOOKUP(TEXT(O188,"0"),CONDUCTORES!$A$3:$G$54,2,0),"")</f>
        <v/>
      </c>
      <c r="Q188" s="332">
        <f>IFERROR(VLOOKUP(TEXT(O188,"0"),CONDUCTORES!$A$3:$H$54,6,0),"")</f>
        <v/>
      </c>
      <c r="R188" s="280" t="n"/>
      <c r="S188" s="280" t="n"/>
      <c r="T188" s="280" t="n"/>
      <c r="U188" s="280" t="n"/>
      <c r="V188" s="280" t="n"/>
      <c r="W188" s="280" t="n"/>
      <c r="X188" s="280" t="n"/>
      <c r="Y188" s="280" t="n"/>
      <c r="Z188" s="375">
        <f>IF(AND(G188&lt;&gt;"",R188&lt;&gt;"",V188&lt;&gt;"",W188&lt;&gt;""),"COMPLETADO","OBSERVADO")</f>
        <v/>
      </c>
    </row>
    <row r="189" ht="15" customHeight="1" s="195">
      <c r="A189" s="334" t="n"/>
      <c r="B189" s="334" t="n"/>
      <c r="C189" s="334" t="n"/>
      <c r="D189" s="334" t="n"/>
      <c r="E189" s="334" t="n"/>
      <c r="F189" s="334" t="n"/>
      <c r="G189" s="334" t="n"/>
      <c r="H189" s="334" t="n"/>
      <c r="I189" s="332">
        <f>IFERROR(VLOOKUP(TEXT(H189,"0"),IPRESS!$A$3:$B$212,2,0),"")</f>
        <v/>
      </c>
      <c r="J189" s="334" t="n"/>
      <c r="K189" s="332">
        <f>IFERROR(VLOOKUP(TEXT(O189,"0"),CONDUCTORES!$A$3:$G$54,7,0),"")</f>
        <v/>
      </c>
      <c r="L189" s="334" t="n"/>
      <c r="M189" s="334" t="n"/>
      <c r="N189" s="333">
        <f>IFERROR(IF(L189*M189=0,"",L189*M189),"")</f>
        <v/>
      </c>
      <c r="O189" s="334" t="n"/>
      <c r="P189" s="332">
        <f>IFERROR(VLOOKUP(TEXT(O189,"0"),CONDUCTORES!$A$3:$G$54,2,0),"")</f>
        <v/>
      </c>
      <c r="Q189" s="332">
        <f>IFERROR(VLOOKUP(TEXT(O189,"0"),CONDUCTORES!$A$3:$H$54,6,0),"")</f>
        <v/>
      </c>
      <c r="R189" s="334" t="n"/>
      <c r="S189" s="334" t="n"/>
      <c r="T189" s="334" t="n"/>
      <c r="U189" s="334" t="n"/>
      <c r="V189" s="334" t="n"/>
      <c r="W189" s="334" t="n"/>
      <c r="X189" s="334" t="n"/>
      <c r="Y189" s="334" t="n"/>
      <c r="Z189" s="375">
        <f>IF(AND(G189&lt;&gt;"",R189&lt;&gt;"",V189&lt;&gt;"",W189&lt;&gt;""),"COMPLETADO","OBSERVADO")</f>
        <v/>
      </c>
    </row>
    <row r="190" ht="15" customHeight="1" s="195">
      <c r="A190" s="280" t="n"/>
      <c r="B190" s="280" t="n"/>
      <c r="C190" s="280" t="n"/>
      <c r="D190" s="280" t="n"/>
      <c r="E190" s="280" t="n"/>
      <c r="F190" s="280" t="n"/>
      <c r="G190" s="280" t="n"/>
      <c r="H190" s="280" t="n"/>
      <c r="I190" s="332">
        <f>IFERROR(VLOOKUP(TEXT(H190,"0"),IPRESS!$A$3:$B$212,2,0),"")</f>
        <v/>
      </c>
      <c r="J190" s="280" t="n"/>
      <c r="K190" s="332">
        <f>IFERROR(VLOOKUP(TEXT(O190,"0"),CONDUCTORES!$A$3:$G$54,7,0),"")</f>
        <v/>
      </c>
      <c r="L190" s="280" t="n"/>
      <c r="M190" s="280" t="n"/>
      <c r="N190" s="333">
        <f>IFERROR(IF(L190*M190=0,"",L190*M190),"")</f>
        <v/>
      </c>
      <c r="O190" s="280" t="n"/>
      <c r="P190" s="332">
        <f>IFERROR(VLOOKUP(TEXT(O190,"0"),CONDUCTORES!$A$3:$G$54,2,0),"")</f>
        <v/>
      </c>
      <c r="Q190" s="332">
        <f>IFERROR(VLOOKUP(TEXT(O190,"0"),CONDUCTORES!$A$3:$H$54,6,0),"")</f>
        <v/>
      </c>
      <c r="R190" s="280" t="n"/>
      <c r="S190" s="280" t="n"/>
      <c r="T190" s="280" t="n"/>
      <c r="U190" s="280" t="n"/>
      <c r="V190" s="280" t="n"/>
      <c r="W190" s="280" t="n"/>
      <c r="X190" s="280" t="n"/>
      <c r="Y190" s="280" t="n"/>
      <c r="Z190" s="375">
        <f>IF(AND(G190&lt;&gt;"",R190&lt;&gt;"",V190&lt;&gt;"",W190&lt;&gt;""),"COMPLETADO","OBSERVADO")</f>
        <v/>
      </c>
    </row>
    <row r="191" ht="15" customHeight="1" s="195">
      <c r="A191" s="334" t="n"/>
      <c r="B191" s="334" t="n"/>
      <c r="C191" s="334" t="n"/>
      <c r="D191" s="334" t="n"/>
      <c r="E191" s="334" t="n"/>
      <c r="F191" s="334" t="n"/>
      <c r="G191" s="334" t="n"/>
      <c r="H191" s="334" t="n"/>
      <c r="I191" s="332">
        <f>IFERROR(VLOOKUP(TEXT(H191,"0"),IPRESS!$A$3:$B$212,2,0),"")</f>
        <v/>
      </c>
      <c r="J191" s="334" t="n"/>
      <c r="K191" s="332">
        <f>IFERROR(VLOOKUP(TEXT(O191,"0"),CONDUCTORES!$A$3:$G$54,7,0),"")</f>
        <v/>
      </c>
      <c r="L191" s="334" t="n"/>
      <c r="M191" s="334" t="n"/>
      <c r="N191" s="333">
        <f>IFERROR(IF(L191*M191=0,"",L191*M191),"")</f>
        <v/>
      </c>
      <c r="O191" s="334" t="n"/>
      <c r="P191" s="332">
        <f>IFERROR(VLOOKUP(TEXT(O191,"0"),CONDUCTORES!$A$3:$G$54,2,0),"")</f>
        <v/>
      </c>
      <c r="Q191" s="332">
        <f>IFERROR(VLOOKUP(TEXT(O191,"0"),CONDUCTORES!$A$3:$H$54,6,0),"")</f>
        <v/>
      </c>
      <c r="R191" s="334" t="n"/>
      <c r="S191" s="334" t="n"/>
      <c r="T191" s="334" t="n"/>
      <c r="U191" s="334" t="n"/>
      <c r="V191" s="334" t="n"/>
      <c r="W191" s="334" t="n"/>
      <c r="X191" s="334" t="n"/>
      <c r="Y191" s="334" t="n"/>
      <c r="Z191" s="375">
        <f>IF(AND(G191&lt;&gt;"",R191&lt;&gt;"",V191&lt;&gt;"",W191&lt;&gt;""),"COMPLETADO","OBSERVADO")</f>
        <v/>
      </c>
    </row>
    <row r="192" ht="15" customHeight="1" s="195">
      <c r="A192" s="280" t="n"/>
      <c r="B192" s="280" t="n"/>
      <c r="C192" s="280" t="n"/>
      <c r="D192" s="280" t="n"/>
      <c r="E192" s="280" t="n"/>
      <c r="F192" s="280" t="n"/>
      <c r="G192" s="280" t="n"/>
      <c r="H192" s="280" t="n"/>
      <c r="I192" s="332">
        <f>IFERROR(VLOOKUP(TEXT(H192,"0"),IPRESS!$A$3:$B$212,2,0),"")</f>
        <v/>
      </c>
      <c r="J192" s="280" t="n"/>
      <c r="K192" s="332">
        <f>IFERROR(VLOOKUP(TEXT(O192,"0"),CONDUCTORES!$A$3:$G$54,7,0),"")</f>
        <v/>
      </c>
      <c r="L192" s="280" t="n"/>
      <c r="M192" s="280" t="n"/>
      <c r="N192" s="333">
        <f>IFERROR(IF(L192*M192=0,"",L192*M192),"")</f>
        <v/>
      </c>
      <c r="O192" s="280" t="n"/>
      <c r="P192" s="332">
        <f>IFERROR(VLOOKUP(TEXT(O192,"0"),CONDUCTORES!$A$3:$G$54,2,0),"")</f>
        <v/>
      </c>
      <c r="Q192" s="332">
        <f>IFERROR(VLOOKUP(TEXT(O192,"0"),CONDUCTORES!$A$3:$H$54,6,0),"")</f>
        <v/>
      </c>
      <c r="R192" s="280" t="n"/>
      <c r="S192" s="280" t="n"/>
      <c r="T192" s="280" t="n"/>
      <c r="U192" s="280" t="n"/>
      <c r="V192" s="280" t="n"/>
      <c r="W192" s="280" t="n"/>
      <c r="X192" s="280" t="n"/>
      <c r="Y192" s="280" t="n"/>
      <c r="Z192" s="375">
        <f>IF(AND(G192&lt;&gt;"",R192&lt;&gt;"",V192&lt;&gt;"",W192&lt;&gt;""),"COMPLETADO","OBSERVADO")</f>
        <v/>
      </c>
    </row>
    <row r="193" ht="15" customHeight="1" s="195">
      <c r="A193" s="334" t="n"/>
      <c r="B193" s="334" t="n"/>
      <c r="C193" s="334" t="n"/>
      <c r="D193" s="334" t="n"/>
      <c r="E193" s="334" t="n"/>
      <c r="F193" s="334" t="n"/>
      <c r="G193" s="334" t="n"/>
      <c r="H193" s="334" t="n"/>
      <c r="I193" s="332">
        <f>IFERROR(VLOOKUP(TEXT(H193,"0"),IPRESS!$A$3:$B$212,2,0),"")</f>
        <v/>
      </c>
      <c r="J193" s="334" t="n"/>
      <c r="K193" s="332">
        <f>IFERROR(VLOOKUP(TEXT(O193,"0"),CONDUCTORES!$A$3:$G$54,7,0),"")</f>
        <v/>
      </c>
      <c r="L193" s="334" t="n"/>
      <c r="M193" s="334" t="n"/>
      <c r="N193" s="333">
        <f>IFERROR(IF(L193*M193=0,"",L193*M193),"")</f>
        <v/>
      </c>
      <c r="O193" s="334" t="n"/>
      <c r="P193" s="332">
        <f>IFERROR(VLOOKUP(TEXT(O193,"0"),CONDUCTORES!$A$3:$G$54,2,0),"")</f>
        <v/>
      </c>
      <c r="Q193" s="332">
        <f>IFERROR(VLOOKUP(TEXT(O193,"0"),CONDUCTORES!$A$3:$H$54,6,0),"")</f>
        <v/>
      </c>
      <c r="R193" s="334" t="n"/>
      <c r="S193" s="334" t="n"/>
      <c r="T193" s="334" t="n"/>
      <c r="U193" s="334" t="n"/>
      <c r="V193" s="334" t="n"/>
      <c r="W193" s="334" t="n"/>
      <c r="X193" s="334" t="n"/>
      <c r="Y193" s="334" t="n"/>
      <c r="Z193" s="375">
        <f>IF(AND(G193&lt;&gt;"",R193&lt;&gt;"",V193&lt;&gt;"",W193&lt;&gt;""),"COMPLETADO","OBSERVADO")</f>
        <v/>
      </c>
    </row>
    <row r="194" ht="15" customHeight="1" s="195">
      <c r="A194" s="280" t="n"/>
      <c r="B194" s="280" t="n"/>
      <c r="C194" s="280" t="n"/>
      <c r="D194" s="280" t="n"/>
      <c r="E194" s="280" t="n"/>
      <c r="F194" s="280" t="n"/>
      <c r="G194" s="280" t="n"/>
      <c r="H194" s="280" t="n"/>
      <c r="I194" s="332">
        <f>IFERROR(VLOOKUP(TEXT(H194,"0"),IPRESS!$A$3:$B$212,2,0),"")</f>
        <v/>
      </c>
      <c r="J194" s="280" t="n"/>
      <c r="K194" s="332">
        <f>IFERROR(VLOOKUP(TEXT(O194,"0"),CONDUCTORES!$A$3:$G$54,7,0),"")</f>
        <v/>
      </c>
      <c r="L194" s="280" t="n"/>
      <c r="M194" s="280" t="n"/>
      <c r="N194" s="333">
        <f>IFERROR(IF(L194*M194=0,"",L194*M194),"")</f>
        <v/>
      </c>
      <c r="O194" s="280" t="n"/>
      <c r="P194" s="332">
        <f>IFERROR(VLOOKUP(TEXT(O194,"0"),CONDUCTORES!$A$3:$G$54,2,0),"")</f>
        <v/>
      </c>
      <c r="Q194" s="332">
        <f>IFERROR(VLOOKUP(TEXT(O194,"0"),CONDUCTORES!$A$3:$H$54,6,0),"")</f>
        <v/>
      </c>
      <c r="R194" s="280" t="n"/>
      <c r="S194" s="280" t="n"/>
      <c r="T194" s="280" t="n"/>
      <c r="U194" s="280" t="n"/>
      <c r="V194" s="280" t="n"/>
      <c r="W194" s="280" t="n"/>
      <c r="X194" s="280" t="n"/>
      <c r="Y194" s="280" t="n"/>
      <c r="Z194" s="375">
        <f>IF(AND(G194&lt;&gt;"",R194&lt;&gt;"",V194&lt;&gt;"",W194&lt;&gt;""),"COMPLETADO","OBSERVADO")</f>
        <v/>
      </c>
    </row>
    <row r="195" ht="15" customHeight="1" s="195">
      <c r="A195" s="334" t="n"/>
      <c r="B195" s="334" t="n"/>
      <c r="C195" s="334" t="n"/>
      <c r="D195" s="334" t="n"/>
      <c r="E195" s="334" t="n"/>
      <c r="F195" s="334" t="n"/>
      <c r="G195" s="334" t="n"/>
      <c r="H195" s="334" t="n"/>
      <c r="I195" s="332">
        <f>IFERROR(VLOOKUP(TEXT(H195,"0"),IPRESS!$A$3:$B$212,2,0),"")</f>
        <v/>
      </c>
      <c r="J195" s="334" t="n"/>
      <c r="K195" s="332">
        <f>IFERROR(VLOOKUP(TEXT(O195,"0"),CONDUCTORES!$A$3:$G$54,7,0),"")</f>
        <v/>
      </c>
      <c r="L195" s="334" t="n"/>
      <c r="M195" s="334" t="n"/>
      <c r="N195" s="333">
        <f>IFERROR(IF(L195*M195=0,"",L195*M195),"")</f>
        <v/>
      </c>
      <c r="O195" s="334" t="n"/>
      <c r="P195" s="332">
        <f>IFERROR(VLOOKUP(TEXT(O195,"0"),CONDUCTORES!$A$3:$G$54,2,0),"")</f>
        <v/>
      </c>
      <c r="Q195" s="332">
        <f>IFERROR(VLOOKUP(TEXT(O195,"0"),CONDUCTORES!$A$3:$H$54,6,0),"")</f>
        <v/>
      </c>
      <c r="R195" s="334" t="n"/>
      <c r="S195" s="334" t="n"/>
      <c r="T195" s="334" t="n"/>
      <c r="U195" s="334" t="n"/>
      <c r="V195" s="334" t="n"/>
      <c r="W195" s="334" t="n"/>
      <c r="X195" s="334" t="n"/>
      <c r="Y195" s="334" t="n"/>
      <c r="Z195" s="375">
        <f>IF(AND(G195&lt;&gt;"",R195&lt;&gt;"",V195&lt;&gt;"",W195&lt;&gt;""),"COMPLETADO","OBSERVADO")</f>
        <v/>
      </c>
    </row>
    <row r="196" ht="15" customHeight="1" s="195">
      <c r="A196" s="280" t="n"/>
      <c r="B196" s="280" t="n"/>
      <c r="C196" s="280" t="n"/>
      <c r="D196" s="280" t="n"/>
      <c r="E196" s="280" t="n"/>
      <c r="F196" s="280" t="n"/>
      <c r="G196" s="280" t="n"/>
      <c r="H196" s="280" t="n"/>
      <c r="I196" s="332">
        <f>IFERROR(VLOOKUP(TEXT(H196,"0"),IPRESS!$A$3:$B$212,2,0),"")</f>
        <v/>
      </c>
      <c r="J196" s="280" t="n"/>
      <c r="K196" s="332">
        <f>IFERROR(VLOOKUP(TEXT(O196,"0"),CONDUCTORES!$A$3:$G$54,7,0),"")</f>
        <v/>
      </c>
      <c r="L196" s="280" t="n"/>
      <c r="M196" s="280" t="n"/>
      <c r="N196" s="333">
        <f>IFERROR(IF(L196*M196=0,"",L196*M196),"")</f>
        <v/>
      </c>
      <c r="O196" s="280" t="n"/>
      <c r="P196" s="332">
        <f>IFERROR(VLOOKUP(TEXT(O196,"0"),CONDUCTORES!$A$3:$G$54,2,0),"")</f>
        <v/>
      </c>
      <c r="Q196" s="332">
        <f>IFERROR(VLOOKUP(TEXT(O196,"0"),CONDUCTORES!$A$3:$H$54,6,0),"")</f>
        <v/>
      </c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375">
        <f>IF(AND(G196&lt;&gt;"",R196&lt;&gt;"",V196&lt;&gt;"",W196&lt;&gt;""),"COMPLETADO","OBSERVADO")</f>
        <v/>
      </c>
    </row>
    <row r="197" ht="15" customHeight="1" s="195">
      <c r="A197" s="334" t="n"/>
      <c r="B197" s="334" t="n"/>
      <c r="C197" s="334" t="n"/>
      <c r="D197" s="334" t="n"/>
      <c r="E197" s="334" t="n"/>
      <c r="F197" s="334" t="n"/>
      <c r="G197" s="334" t="n"/>
      <c r="H197" s="334" t="n"/>
      <c r="I197" s="332">
        <f>IFERROR(VLOOKUP(TEXT(H197,"0"),IPRESS!$A$3:$B$212,2,0),"")</f>
        <v/>
      </c>
      <c r="J197" s="334" t="n"/>
      <c r="K197" s="332">
        <f>IFERROR(VLOOKUP(TEXT(O197,"0"),CONDUCTORES!$A$3:$G$54,7,0),"")</f>
        <v/>
      </c>
      <c r="L197" s="334" t="n"/>
      <c r="M197" s="334" t="n"/>
      <c r="N197" s="333">
        <f>IFERROR(IF(L197*M197=0,"",L197*M197),"")</f>
        <v/>
      </c>
      <c r="O197" s="334" t="n"/>
      <c r="P197" s="332">
        <f>IFERROR(VLOOKUP(TEXT(O197,"0"),CONDUCTORES!$A$3:$G$54,2,0),"")</f>
        <v/>
      </c>
      <c r="Q197" s="332">
        <f>IFERROR(VLOOKUP(TEXT(O197,"0"),CONDUCTORES!$A$3:$H$54,6,0),"")</f>
        <v/>
      </c>
      <c r="R197" s="334" t="n"/>
      <c r="S197" s="334" t="n"/>
      <c r="T197" s="334" t="n"/>
      <c r="U197" s="334" t="n"/>
      <c r="V197" s="334" t="n"/>
      <c r="W197" s="334" t="n"/>
      <c r="X197" s="334" t="n"/>
      <c r="Y197" s="334" t="n"/>
      <c r="Z197" s="375">
        <f>IF(AND(G197&lt;&gt;"",R197&lt;&gt;"",V197&lt;&gt;"",W197&lt;&gt;""),"COMPLETADO","OBSERVADO")</f>
        <v/>
      </c>
    </row>
    <row r="198" ht="15" customHeight="1" s="195">
      <c r="A198" s="280" t="n"/>
      <c r="B198" s="280" t="n"/>
      <c r="C198" s="280" t="n"/>
      <c r="D198" s="280" t="n"/>
      <c r="E198" s="280" t="n"/>
      <c r="F198" s="280" t="n"/>
      <c r="G198" s="280" t="n"/>
      <c r="H198" s="280" t="n"/>
      <c r="I198" s="332">
        <f>IFERROR(VLOOKUP(TEXT(H198,"0"),IPRESS!$A$3:$B$212,2,0),"")</f>
        <v/>
      </c>
      <c r="J198" s="280" t="n"/>
      <c r="K198" s="332">
        <f>IFERROR(VLOOKUP(TEXT(O198,"0"),CONDUCTORES!$A$3:$G$54,7,0),"")</f>
        <v/>
      </c>
      <c r="L198" s="280" t="n"/>
      <c r="M198" s="280" t="n"/>
      <c r="N198" s="333">
        <f>IFERROR(IF(L198*M198=0,"",L198*M198),"")</f>
        <v/>
      </c>
      <c r="O198" s="280" t="n"/>
      <c r="P198" s="332">
        <f>IFERROR(VLOOKUP(TEXT(O198,"0"),CONDUCTORES!$A$3:$G$54,2,0),"")</f>
        <v/>
      </c>
      <c r="Q198" s="332">
        <f>IFERROR(VLOOKUP(TEXT(O198,"0"),CONDUCTORES!$A$3:$H$54,6,0),"")</f>
        <v/>
      </c>
      <c r="R198" s="280" t="n"/>
      <c r="S198" s="280" t="n"/>
      <c r="T198" s="280" t="n"/>
      <c r="U198" s="280" t="n"/>
      <c r="V198" s="280" t="n"/>
      <c r="W198" s="280" t="n"/>
      <c r="X198" s="280" t="n"/>
      <c r="Y198" s="280" t="n"/>
      <c r="Z198" s="375">
        <f>IF(AND(G198&lt;&gt;"",R198&lt;&gt;"",V198&lt;&gt;"",W198&lt;&gt;""),"COMPLETADO","OBSERVADO")</f>
        <v/>
      </c>
    </row>
    <row r="199" ht="15" customHeight="1" s="195">
      <c r="A199" s="334" t="n"/>
      <c r="B199" s="334" t="n"/>
      <c r="C199" s="334" t="n"/>
      <c r="D199" s="334" t="n"/>
      <c r="E199" s="334" t="n"/>
      <c r="F199" s="334" t="n"/>
      <c r="G199" s="334" t="n"/>
      <c r="H199" s="334" t="n"/>
      <c r="I199" s="332">
        <f>IFERROR(VLOOKUP(TEXT(H199,"0"),IPRESS!$A$3:$B$212,2,0),"")</f>
        <v/>
      </c>
      <c r="J199" s="334" t="n"/>
      <c r="K199" s="332">
        <f>IFERROR(VLOOKUP(TEXT(O199,"0"),CONDUCTORES!$A$3:$G$54,7,0),"")</f>
        <v/>
      </c>
      <c r="L199" s="334" t="n"/>
      <c r="M199" s="334" t="n"/>
      <c r="N199" s="333">
        <f>IFERROR(IF(L199*M199=0,"",L199*M199),"")</f>
        <v/>
      </c>
      <c r="O199" s="334" t="n"/>
      <c r="P199" s="332">
        <f>IFERROR(VLOOKUP(TEXT(O199,"0"),CONDUCTORES!$A$3:$G$54,2,0),"")</f>
        <v/>
      </c>
      <c r="Q199" s="332">
        <f>IFERROR(VLOOKUP(TEXT(O199,"0"),CONDUCTORES!$A$3:$H$54,6,0),"")</f>
        <v/>
      </c>
      <c r="R199" s="334" t="n"/>
      <c r="S199" s="334" t="n"/>
      <c r="T199" s="334" t="n"/>
      <c r="U199" s="334" t="n"/>
      <c r="V199" s="334" t="n"/>
      <c r="W199" s="334" t="n"/>
      <c r="X199" s="334" t="n"/>
      <c r="Y199" s="334" t="n"/>
      <c r="Z199" s="375">
        <f>IF(AND(G199&lt;&gt;"",R199&lt;&gt;"",V199&lt;&gt;"",W199&lt;&gt;""),"COMPLETADO","OBSERVADO")</f>
        <v/>
      </c>
    </row>
    <row r="200" ht="15" customHeight="1" s="195">
      <c r="A200" s="280" t="n"/>
      <c r="B200" s="280" t="n"/>
      <c r="C200" s="280" t="n"/>
      <c r="D200" s="280" t="n"/>
      <c r="E200" s="280" t="n"/>
      <c r="F200" s="280" t="n"/>
      <c r="G200" s="280" t="n"/>
      <c r="H200" s="280" t="n"/>
      <c r="I200" s="332">
        <f>IFERROR(VLOOKUP(TEXT(H200,"0"),IPRESS!$A$3:$B$212,2,0),"")</f>
        <v/>
      </c>
      <c r="J200" s="280" t="n"/>
      <c r="K200" s="332">
        <f>IFERROR(VLOOKUP(TEXT(O200,"0"),CONDUCTORES!$A$3:$G$54,7,0),"")</f>
        <v/>
      </c>
      <c r="L200" s="280" t="n"/>
      <c r="M200" s="280" t="n"/>
      <c r="N200" s="333">
        <f>IFERROR(IF(L200*M200=0,"",L200*M200),"")</f>
        <v/>
      </c>
      <c r="O200" s="280" t="n"/>
      <c r="P200" s="332">
        <f>IFERROR(VLOOKUP(TEXT(O200,"0"),CONDUCTORES!$A$3:$G$54,2,0),"")</f>
        <v/>
      </c>
      <c r="Q200" s="332">
        <f>IFERROR(VLOOKUP(TEXT(O200,"0"),CONDUCTORES!$A$3:$H$54,6,0),"")</f>
        <v/>
      </c>
      <c r="R200" s="280" t="n"/>
      <c r="S200" s="280" t="n"/>
      <c r="T200" s="280" t="n"/>
      <c r="U200" s="280" t="n"/>
      <c r="V200" s="280" t="n"/>
      <c r="W200" s="280" t="n"/>
      <c r="X200" s="280" t="n"/>
      <c r="Y200" s="280" t="n"/>
      <c r="Z200" s="375">
        <f>IF(AND(G200&lt;&gt;"",R200&lt;&gt;"",V200&lt;&gt;"",W200&lt;&gt;""),"COMPLETADO","OBSERVADO")</f>
        <v/>
      </c>
    </row>
    <row r="201" ht="15" customHeight="1" s="195">
      <c r="A201" s="334" t="n"/>
      <c r="B201" s="334" t="n"/>
      <c r="C201" s="334" t="n"/>
      <c r="D201" s="334" t="n"/>
      <c r="E201" s="334" t="n"/>
      <c r="F201" s="334" t="n"/>
      <c r="G201" s="334" t="n"/>
      <c r="H201" s="334" t="n"/>
      <c r="I201" s="332">
        <f>IFERROR(VLOOKUP(TEXT(H201,"0"),IPRESS!$A$3:$B$212,2,0),"")</f>
        <v/>
      </c>
      <c r="J201" s="334" t="n"/>
      <c r="K201" s="332">
        <f>IFERROR(VLOOKUP(TEXT(O201,"0"),CONDUCTORES!$A$3:$G$54,7,0),"")</f>
        <v/>
      </c>
      <c r="L201" s="334" t="n"/>
      <c r="M201" s="334" t="n"/>
      <c r="N201" s="333">
        <f>IFERROR(IF(L201*M201=0,"",L201*M201),"")</f>
        <v/>
      </c>
      <c r="O201" s="334" t="n"/>
      <c r="P201" s="332">
        <f>IFERROR(VLOOKUP(TEXT(O201,"0"),CONDUCTORES!$A$3:$G$54,2,0),"")</f>
        <v/>
      </c>
      <c r="Q201" s="332">
        <f>IFERROR(VLOOKUP(TEXT(O201,"0"),CONDUCTORES!$A$3:$H$54,6,0),"")</f>
        <v/>
      </c>
      <c r="R201" s="334" t="n"/>
      <c r="S201" s="334" t="n"/>
      <c r="T201" s="334" t="n"/>
      <c r="U201" s="334" t="n"/>
      <c r="V201" s="334" t="n"/>
      <c r="W201" s="334" t="n"/>
      <c r="X201" s="334" t="n"/>
      <c r="Y201" s="334" t="n"/>
      <c r="Z201" s="375">
        <f>IF(AND(G201&lt;&gt;"",R201&lt;&gt;"",V201&lt;&gt;"",W201&lt;&gt;""),"COMPLETADO","OBSERVADO")</f>
        <v/>
      </c>
    </row>
    <row r="202" ht="15" customHeight="1" s="195">
      <c r="A202" s="280" t="n"/>
      <c r="B202" s="280" t="n"/>
      <c r="C202" s="280" t="n"/>
      <c r="D202" s="280" t="n"/>
      <c r="E202" s="280" t="n"/>
      <c r="F202" s="280" t="n"/>
      <c r="G202" s="280" t="n"/>
      <c r="H202" s="280" t="n"/>
      <c r="I202" s="332">
        <f>IFERROR(VLOOKUP(TEXT(H202,"0"),IPRESS!$A$3:$B$212,2,0),"")</f>
        <v/>
      </c>
      <c r="J202" s="280" t="n"/>
      <c r="K202" s="332">
        <f>IFERROR(VLOOKUP(TEXT(O202,"0"),CONDUCTORES!$A$3:$G$54,7,0),"")</f>
        <v/>
      </c>
      <c r="L202" s="280" t="n"/>
      <c r="M202" s="280" t="n"/>
      <c r="N202" s="333">
        <f>IFERROR(IF(L202*M202=0,"",L202*M202),"")</f>
        <v/>
      </c>
      <c r="O202" s="280" t="n"/>
      <c r="P202" s="332">
        <f>IFERROR(VLOOKUP(TEXT(O202,"0"),CONDUCTORES!$A$3:$G$54,2,0),"")</f>
        <v/>
      </c>
      <c r="Q202" s="332">
        <f>IFERROR(VLOOKUP(TEXT(O202,"0"),CONDUCTORES!$A$3:$H$54,6,0),"")</f>
        <v/>
      </c>
      <c r="R202" s="280" t="n"/>
      <c r="S202" s="280" t="n"/>
      <c r="T202" s="280" t="n"/>
      <c r="U202" s="280" t="n"/>
      <c r="V202" s="280" t="n"/>
      <c r="W202" s="280" t="n"/>
      <c r="X202" s="280" t="n"/>
      <c r="Y202" s="280" t="n"/>
      <c r="Z202" s="375">
        <f>IF(AND(G202&lt;&gt;"",R202&lt;&gt;"",V202&lt;&gt;"",W202&lt;&gt;""),"COMPLETADO","OBSERVADO")</f>
        <v/>
      </c>
    </row>
    <row r="203" ht="15" customHeight="1" s="195">
      <c r="A203" s="334" t="n"/>
      <c r="B203" s="334" t="n"/>
      <c r="C203" s="334" t="n"/>
      <c r="D203" s="334" t="n"/>
      <c r="E203" s="334" t="n"/>
      <c r="F203" s="334" t="n"/>
      <c r="G203" s="334" t="n"/>
      <c r="H203" s="334" t="n"/>
      <c r="I203" s="332">
        <f>IFERROR(VLOOKUP(TEXT(H203,"0"),IPRESS!$A$3:$B$212,2,0),"")</f>
        <v/>
      </c>
      <c r="J203" s="334" t="n"/>
      <c r="K203" s="332">
        <f>IFERROR(VLOOKUP(TEXT(O203,"0"),CONDUCTORES!$A$3:$G$54,7,0),"")</f>
        <v/>
      </c>
      <c r="L203" s="334" t="n"/>
      <c r="M203" s="334" t="n"/>
      <c r="N203" s="333">
        <f>IFERROR(IF(L203*M203=0,"",L203*M203),"")</f>
        <v/>
      </c>
      <c r="O203" s="334" t="n"/>
      <c r="P203" s="332">
        <f>IFERROR(VLOOKUP(TEXT(O203,"0"),CONDUCTORES!$A$3:$G$54,2,0),"")</f>
        <v/>
      </c>
      <c r="Q203" s="332">
        <f>IFERROR(VLOOKUP(TEXT(O203,"0"),CONDUCTORES!$A$3:$H$54,6,0),"")</f>
        <v/>
      </c>
      <c r="R203" s="334" t="n"/>
      <c r="S203" s="334" t="n"/>
      <c r="T203" s="334" t="n"/>
      <c r="U203" s="334" t="n"/>
      <c r="V203" s="334" t="n"/>
      <c r="W203" s="334" t="n"/>
      <c r="X203" s="334" t="n"/>
      <c r="Y203" s="334" t="n"/>
      <c r="Z203" s="375">
        <f>IF(AND(G203&lt;&gt;"",R203&lt;&gt;"",V203&lt;&gt;"",W203&lt;&gt;""),"COMPLETADO","OBSERVADO")</f>
        <v/>
      </c>
    </row>
    <row r="204" ht="15" customHeight="1" s="195">
      <c r="A204" s="280" t="n"/>
      <c r="B204" s="280" t="n"/>
      <c r="C204" s="280" t="n"/>
      <c r="D204" s="280" t="n"/>
      <c r="E204" s="280" t="n"/>
      <c r="F204" s="280" t="n"/>
      <c r="G204" s="280" t="n"/>
      <c r="H204" s="280" t="n"/>
      <c r="I204" s="332">
        <f>IFERROR(VLOOKUP(TEXT(H204,"0"),IPRESS!$A$3:$B$212,2,0),"")</f>
        <v/>
      </c>
      <c r="J204" s="280" t="n"/>
      <c r="K204" s="332">
        <f>IFERROR(VLOOKUP(TEXT(O204,"0"),CONDUCTORES!$A$3:$G$54,7,0),"")</f>
        <v/>
      </c>
      <c r="L204" s="280" t="n"/>
      <c r="M204" s="280" t="n"/>
      <c r="N204" s="333">
        <f>IFERROR(IF(L204*M204=0,"",L204*M204),"")</f>
        <v/>
      </c>
      <c r="O204" s="280" t="n"/>
      <c r="P204" s="332">
        <f>IFERROR(VLOOKUP(TEXT(O204,"0"),CONDUCTORES!$A$3:$G$54,2,0),"")</f>
        <v/>
      </c>
      <c r="Q204" s="332">
        <f>IFERROR(VLOOKUP(TEXT(O204,"0"),CONDUCTORES!$A$3:$H$54,6,0),"")</f>
        <v/>
      </c>
      <c r="R204" s="280" t="n"/>
      <c r="S204" s="280" t="n"/>
      <c r="T204" s="280" t="n"/>
      <c r="U204" s="280" t="n"/>
      <c r="V204" s="280" t="n"/>
      <c r="W204" s="280" t="n"/>
      <c r="X204" s="280" t="n"/>
      <c r="Y204" s="280" t="n"/>
      <c r="Z204" s="375">
        <f>IF(AND(G204&lt;&gt;"",R204&lt;&gt;"",V204&lt;&gt;"",W204&lt;&gt;""),"COMPLETADO","OBSERVADO")</f>
        <v/>
      </c>
    </row>
    <row r="205" ht="15" customHeight="1" s="195">
      <c r="A205" s="334" t="n"/>
      <c r="B205" s="334" t="n"/>
      <c r="C205" s="334" t="n"/>
      <c r="D205" s="334" t="n"/>
      <c r="E205" s="334" t="n"/>
      <c r="F205" s="334" t="n"/>
      <c r="G205" s="334" t="n"/>
      <c r="H205" s="334" t="n"/>
      <c r="I205" s="332">
        <f>IFERROR(VLOOKUP(TEXT(H205,"0"),IPRESS!$A$3:$B$212,2,0),"")</f>
        <v/>
      </c>
      <c r="J205" s="334" t="n"/>
      <c r="K205" s="332">
        <f>IFERROR(VLOOKUP(TEXT(O205,"0"),CONDUCTORES!$A$3:$G$54,7,0),"")</f>
        <v/>
      </c>
      <c r="L205" s="334" t="n"/>
      <c r="M205" s="334" t="n"/>
      <c r="N205" s="333">
        <f>IFERROR(IF(L205*M205=0,"",L205*M205),"")</f>
        <v/>
      </c>
      <c r="O205" s="334" t="n"/>
      <c r="P205" s="332">
        <f>IFERROR(VLOOKUP(TEXT(O205,"0"),CONDUCTORES!$A$3:$G$54,2,0),"")</f>
        <v/>
      </c>
      <c r="Q205" s="332">
        <f>IFERROR(VLOOKUP(TEXT(O205,"0"),CONDUCTORES!$A$3:$H$54,6,0),"")</f>
        <v/>
      </c>
      <c r="R205" s="334" t="n"/>
      <c r="S205" s="334" t="n"/>
      <c r="T205" s="334" t="n"/>
      <c r="U205" s="334" t="n"/>
      <c r="V205" s="334" t="n"/>
      <c r="W205" s="334" t="n"/>
      <c r="X205" s="334" t="n"/>
      <c r="Y205" s="334" t="n"/>
      <c r="Z205" s="375">
        <f>IF(AND(G205&lt;&gt;"",R205&lt;&gt;"",V205&lt;&gt;"",W205&lt;&gt;""),"COMPLETADO","OBSERVADO")</f>
        <v/>
      </c>
    </row>
    <row r="206" ht="15" customHeight="1" s="195">
      <c r="A206" s="280" t="n"/>
      <c r="B206" s="280" t="n"/>
      <c r="C206" s="280" t="n"/>
      <c r="D206" s="280" t="n"/>
      <c r="E206" s="280" t="n"/>
      <c r="F206" s="280" t="n"/>
      <c r="G206" s="280" t="n"/>
      <c r="H206" s="280" t="n"/>
      <c r="I206" s="332">
        <f>IFERROR(VLOOKUP(TEXT(H206,"0"),IPRESS!$A$3:$B$212,2,0),"")</f>
        <v/>
      </c>
      <c r="J206" s="280" t="n"/>
      <c r="K206" s="332">
        <f>IFERROR(VLOOKUP(TEXT(O206,"0"),CONDUCTORES!$A$3:$G$54,7,0),"")</f>
        <v/>
      </c>
      <c r="L206" s="280" t="n"/>
      <c r="M206" s="280" t="n"/>
      <c r="N206" s="333">
        <f>IFERROR(IF(L206*M206=0,"",L206*M206),"")</f>
        <v/>
      </c>
      <c r="O206" s="280" t="n"/>
      <c r="P206" s="332">
        <f>IFERROR(VLOOKUP(TEXT(O206,"0"),CONDUCTORES!$A$3:$G$54,2,0),"")</f>
        <v/>
      </c>
      <c r="Q206" s="332">
        <f>IFERROR(VLOOKUP(TEXT(O206,"0"),CONDUCTORES!$A$3:$H$54,6,0),"")</f>
        <v/>
      </c>
      <c r="R206" s="280" t="n"/>
      <c r="S206" s="280" t="n"/>
      <c r="T206" s="280" t="n"/>
      <c r="U206" s="280" t="n"/>
      <c r="V206" s="280" t="n"/>
      <c r="W206" s="280" t="n"/>
      <c r="X206" s="280" t="n"/>
      <c r="Y206" s="280" t="n"/>
      <c r="Z206" s="375">
        <f>IF(AND(G206&lt;&gt;"",R206&lt;&gt;"",V206&lt;&gt;"",W206&lt;&gt;""),"COMPLETADO","OBSERVADO")</f>
        <v/>
      </c>
    </row>
    <row r="207" ht="15" customHeight="1" s="195">
      <c r="A207" s="334" t="n"/>
      <c r="B207" s="334" t="n"/>
      <c r="C207" s="334" t="n"/>
      <c r="D207" s="334" t="n"/>
      <c r="E207" s="334" t="n"/>
      <c r="F207" s="334" t="n"/>
      <c r="G207" s="334" t="n"/>
      <c r="H207" s="334" t="n"/>
      <c r="I207" s="332">
        <f>IFERROR(VLOOKUP(TEXT(H207,"0"),IPRESS!$A$3:$B$212,2,0),"")</f>
        <v/>
      </c>
      <c r="J207" s="334" t="n"/>
      <c r="K207" s="332">
        <f>IFERROR(VLOOKUP(TEXT(O207,"0"),CONDUCTORES!$A$3:$G$54,7,0),"")</f>
        <v/>
      </c>
      <c r="L207" s="334" t="n"/>
      <c r="M207" s="334" t="n"/>
      <c r="N207" s="333">
        <f>IFERROR(IF(L207*M207=0,"",L207*M207),"")</f>
        <v/>
      </c>
      <c r="O207" s="334" t="n"/>
      <c r="P207" s="332">
        <f>IFERROR(VLOOKUP(TEXT(O207,"0"),CONDUCTORES!$A$3:$G$54,2,0),"")</f>
        <v/>
      </c>
      <c r="Q207" s="332">
        <f>IFERROR(VLOOKUP(TEXT(O207,"0"),CONDUCTORES!$A$3:$H$54,6,0),"")</f>
        <v/>
      </c>
      <c r="R207" s="334" t="n"/>
      <c r="S207" s="334" t="n"/>
      <c r="T207" s="334" t="n"/>
      <c r="U207" s="334" t="n"/>
      <c r="V207" s="334" t="n"/>
      <c r="W207" s="334" t="n"/>
      <c r="X207" s="334" t="n"/>
      <c r="Y207" s="334" t="n"/>
      <c r="Z207" s="375">
        <f>IF(AND(G207&lt;&gt;"",R207&lt;&gt;"",V207&lt;&gt;"",W207&lt;&gt;""),"COMPLETADO","OBSERVADO")</f>
        <v/>
      </c>
    </row>
    <row r="208" ht="15" customHeight="1" s="195">
      <c r="A208" s="280" t="n"/>
      <c r="B208" s="280" t="n"/>
      <c r="C208" s="280" t="n"/>
      <c r="D208" s="280" t="n"/>
      <c r="E208" s="280" t="n"/>
      <c r="F208" s="280" t="n"/>
      <c r="G208" s="280" t="n"/>
      <c r="H208" s="280" t="n"/>
      <c r="I208" s="332">
        <f>IFERROR(VLOOKUP(TEXT(H208,"0"),IPRESS!$A$3:$B$212,2,0),"")</f>
        <v/>
      </c>
      <c r="J208" s="280" t="n"/>
      <c r="K208" s="332">
        <f>IFERROR(VLOOKUP(TEXT(O208,"0"),CONDUCTORES!$A$3:$G$54,7,0),"")</f>
        <v/>
      </c>
      <c r="L208" s="280" t="n"/>
      <c r="M208" s="280" t="n"/>
      <c r="N208" s="333">
        <f>IFERROR(IF(L208*M208=0,"",L208*M208),"")</f>
        <v/>
      </c>
      <c r="O208" s="280" t="n"/>
      <c r="P208" s="332">
        <f>IFERROR(VLOOKUP(TEXT(O208,"0"),CONDUCTORES!$A$3:$G$54,2,0),"")</f>
        <v/>
      </c>
      <c r="Q208" s="332">
        <f>IFERROR(VLOOKUP(TEXT(O208,"0"),CONDUCTORES!$A$3:$H$54,6,0),"")</f>
        <v/>
      </c>
      <c r="R208" s="280" t="n"/>
      <c r="S208" s="280" t="n"/>
      <c r="T208" s="280" t="n"/>
      <c r="U208" s="280" t="n"/>
      <c r="V208" s="280" t="n"/>
      <c r="W208" s="280" t="n"/>
      <c r="X208" s="280" t="n"/>
      <c r="Y208" s="280" t="n"/>
      <c r="Z208" s="375">
        <f>IF(AND(G208&lt;&gt;"",R208&lt;&gt;"",V208&lt;&gt;"",W208&lt;&gt;""),"COMPLETADO","OBSERVADO")</f>
        <v/>
      </c>
    </row>
    <row r="209" ht="15" customHeight="1" s="195">
      <c r="A209" s="334" t="n"/>
      <c r="B209" s="334" t="n"/>
      <c r="C209" s="334" t="n"/>
      <c r="D209" s="334" t="n"/>
      <c r="E209" s="334" t="n"/>
      <c r="F209" s="334" t="n"/>
      <c r="G209" s="334" t="n"/>
      <c r="H209" s="334" t="n"/>
      <c r="I209" s="332">
        <f>IFERROR(VLOOKUP(TEXT(H209,"0"),IPRESS!$A$3:$B$212,2,0),"")</f>
        <v/>
      </c>
      <c r="J209" s="334" t="n"/>
      <c r="K209" s="332">
        <f>IFERROR(VLOOKUP(TEXT(O209,"0"),CONDUCTORES!$A$3:$G$54,7,0),"")</f>
        <v/>
      </c>
      <c r="L209" s="334" t="n"/>
      <c r="M209" s="334" t="n"/>
      <c r="N209" s="333">
        <f>IFERROR(IF(L209*M209=0,"",L209*M209),"")</f>
        <v/>
      </c>
      <c r="O209" s="334" t="n"/>
      <c r="P209" s="332">
        <f>IFERROR(VLOOKUP(TEXT(O209,"0"),CONDUCTORES!$A$3:$G$54,2,0),"")</f>
        <v/>
      </c>
      <c r="Q209" s="332">
        <f>IFERROR(VLOOKUP(TEXT(O209,"0"),CONDUCTORES!$A$3:$H$54,6,0),"")</f>
        <v/>
      </c>
      <c r="R209" s="334" t="n"/>
      <c r="S209" s="334" t="n"/>
      <c r="T209" s="334" t="n"/>
      <c r="U209" s="334" t="n"/>
      <c r="V209" s="334" t="n"/>
      <c r="W209" s="334" t="n"/>
      <c r="X209" s="334" t="n"/>
      <c r="Y209" s="334" t="n"/>
      <c r="Z209" s="375">
        <f>IF(AND(G209&lt;&gt;"",R209&lt;&gt;"",V209&lt;&gt;"",W209&lt;&gt;""),"COMPLETADO","OBSERVADO")</f>
        <v/>
      </c>
    </row>
    <row r="210" ht="15" customHeight="1" s="195">
      <c r="A210" s="280" t="n"/>
      <c r="B210" s="280" t="n"/>
      <c r="C210" s="280" t="n"/>
      <c r="D210" s="280" t="n"/>
      <c r="E210" s="280" t="n"/>
      <c r="F210" s="280" t="n"/>
      <c r="G210" s="280" t="n"/>
      <c r="H210" s="280" t="n"/>
      <c r="I210" s="332">
        <f>IFERROR(VLOOKUP(TEXT(H210,"0"),IPRESS!$A$3:$B$212,2,0),"")</f>
        <v/>
      </c>
      <c r="J210" s="280" t="n"/>
      <c r="K210" s="332">
        <f>IFERROR(VLOOKUP(TEXT(O210,"0"),CONDUCTORES!$A$3:$G$54,7,0),"")</f>
        <v/>
      </c>
      <c r="L210" s="280" t="n"/>
      <c r="M210" s="280" t="n"/>
      <c r="N210" s="333">
        <f>IFERROR(IF(L210*M210=0,"",L210*M210),"")</f>
        <v/>
      </c>
      <c r="O210" s="280" t="n"/>
      <c r="P210" s="332">
        <f>IFERROR(VLOOKUP(TEXT(O210,"0"),CONDUCTORES!$A$3:$G$54,2,0),"")</f>
        <v/>
      </c>
      <c r="Q210" s="332">
        <f>IFERROR(VLOOKUP(TEXT(O210,"0"),CONDUCTORES!$A$3:$H$54,6,0),"")</f>
        <v/>
      </c>
      <c r="R210" s="280" t="n"/>
      <c r="S210" s="280" t="n"/>
      <c r="T210" s="280" t="n"/>
      <c r="U210" s="280" t="n"/>
      <c r="V210" s="280" t="n"/>
      <c r="W210" s="280" t="n"/>
      <c r="X210" s="280" t="n"/>
      <c r="Y210" s="280" t="n"/>
      <c r="Z210" s="375">
        <f>IF(AND(G210&lt;&gt;"",R210&lt;&gt;"",V210&lt;&gt;"",W210&lt;&gt;""),"COMPLETADO","OBSERVADO")</f>
        <v/>
      </c>
    </row>
    <row r="211" ht="15" customHeight="1" s="195">
      <c r="A211" s="334" t="n"/>
      <c r="B211" s="334" t="n"/>
      <c r="C211" s="334" t="n"/>
      <c r="D211" s="334" t="n"/>
      <c r="E211" s="334" t="n"/>
      <c r="F211" s="334" t="n"/>
      <c r="G211" s="334" t="n"/>
      <c r="H211" s="334" t="n"/>
      <c r="I211" s="332">
        <f>IFERROR(VLOOKUP(TEXT(H211,"0"),IPRESS!$A$3:$B$212,2,0),"")</f>
        <v/>
      </c>
      <c r="J211" s="334" t="n"/>
      <c r="K211" s="332">
        <f>IFERROR(VLOOKUP(TEXT(O211,"0"),CONDUCTORES!$A$3:$G$54,7,0),"")</f>
        <v/>
      </c>
      <c r="L211" s="334" t="n"/>
      <c r="M211" s="334" t="n"/>
      <c r="N211" s="333">
        <f>IFERROR(IF(L211*M211=0,"",L211*M211),"")</f>
        <v/>
      </c>
      <c r="O211" s="334" t="n"/>
      <c r="P211" s="332">
        <f>IFERROR(VLOOKUP(TEXT(O211,"0"),CONDUCTORES!$A$3:$G$54,2,0),"")</f>
        <v/>
      </c>
      <c r="Q211" s="332">
        <f>IFERROR(VLOOKUP(TEXT(O211,"0"),CONDUCTORES!$A$3:$H$54,6,0),"")</f>
        <v/>
      </c>
      <c r="R211" s="334" t="n"/>
      <c r="S211" s="334" t="n"/>
      <c r="T211" s="334" t="n"/>
      <c r="U211" s="334" t="n"/>
      <c r="V211" s="334" t="n"/>
      <c r="W211" s="334" t="n"/>
      <c r="X211" s="334" t="n"/>
      <c r="Y211" s="334" t="n"/>
      <c r="Z211" s="375">
        <f>IF(AND(G211&lt;&gt;"",R211&lt;&gt;"",V211&lt;&gt;"",W211&lt;&gt;""),"COMPLETADO","OBSERVADO")</f>
        <v/>
      </c>
    </row>
    <row r="212" ht="15" customHeight="1" s="195">
      <c r="A212" s="280" t="n"/>
      <c r="B212" s="280" t="n"/>
      <c r="C212" s="280" t="n"/>
      <c r="D212" s="280" t="n"/>
      <c r="E212" s="280" t="n"/>
      <c r="F212" s="280" t="n"/>
      <c r="G212" s="280" t="n"/>
      <c r="H212" s="280" t="n"/>
      <c r="I212" s="332">
        <f>IFERROR(VLOOKUP(TEXT(H212,"0"),IPRESS!$A$3:$B$212,2,0),"")</f>
        <v/>
      </c>
      <c r="J212" s="280" t="n"/>
      <c r="K212" s="332">
        <f>IFERROR(VLOOKUP(TEXT(O212,"0"),CONDUCTORES!$A$3:$G$54,7,0),"")</f>
        <v/>
      </c>
      <c r="L212" s="280" t="n"/>
      <c r="M212" s="280" t="n"/>
      <c r="N212" s="333">
        <f>IFERROR(IF(L212*M212=0,"",L212*M212),"")</f>
        <v/>
      </c>
      <c r="O212" s="280" t="n"/>
      <c r="P212" s="332">
        <f>IFERROR(VLOOKUP(TEXT(O212,"0"),CONDUCTORES!$A$3:$G$54,2,0),"")</f>
        <v/>
      </c>
      <c r="Q212" s="332">
        <f>IFERROR(VLOOKUP(TEXT(O212,"0"),CONDUCTORES!$A$3:$H$54,6,0),"")</f>
        <v/>
      </c>
      <c r="R212" s="280" t="n"/>
      <c r="S212" s="280" t="n"/>
      <c r="T212" s="280" t="n"/>
      <c r="U212" s="280" t="n"/>
      <c r="V212" s="280" t="n"/>
      <c r="W212" s="280" t="n"/>
      <c r="X212" s="280" t="n"/>
      <c r="Y212" s="280" t="n"/>
      <c r="Z212" s="375">
        <f>IF(AND(G212&lt;&gt;"",R212&lt;&gt;"",V212&lt;&gt;"",W212&lt;&gt;""),"COMPLETADO","OBSERVADO")</f>
        <v/>
      </c>
    </row>
    <row r="213" ht="15" customHeight="1" s="195">
      <c r="A213" s="334" t="n"/>
      <c r="B213" s="334" t="n"/>
      <c r="C213" s="334" t="n"/>
      <c r="D213" s="334" t="n"/>
      <c r="E213" s="334" t="n"/>
      <c r="F213" s="334" t="n"/>
      <c r="G213" s="334" t="n"/>
      <c r="H213" s="334" t="n"/>
      <c r="I213" s="332">
        <f>IFERROR(VLOOKUP(TEXT(H213,"0"),IPRESS!$A$3:$B$212,2,0),"")</f>
        <v/>
      </c>
      <c r="J213" s="334" t="n"/>
      <c r="K213" s="332">
        <f>IFERROR(VLOOKUP(TEXT(O213,"0"),CONDUCTORES!$A$3:$G$54,7,0),"")</f>
        <v/>
      </c>
      <c r="L213" s="334" t="n"/>
      <c r="M213" s="334" t="n"/>
      <c r="N213" s="333">
        <f>IFERROR(IF(L213*M213=0,"",L213*M213),"")</f>
        <v/>
      </c>
      <c r="O213" s="334" t="n"/>
      <c r="P213" s="332">
        <f>IFERROR(VLOOKUP(TEXT(O213,"0"),CONDUCTORES!$A$3:$G$54,2,0),"")</f>
        <v/>
      </c>
      <c r="Q213" s="332">
        <f>IFERROR(VLOOKUP(TEXT(O213,"0"),CONDUCTORES!$A$3:$H$54,6,0),"")</f>
        <v/>
      </c>
      <c r="R213" s="334" t="n"/>
      <c r="S213" s="334" t="n"/>
      <c r="T213" s="334" t="n"/>
      <c r="U213" s="334" t="n"/>
      <c r="V213" s="334" t="n"/>
      <c r="W213" s="334" t="n"/>
      <c r="X213" s="334" t="n"/>
      <c r="Y213" s="334" t="n"/>
      <c r="Z213" s="375">
        <f>IF(AND(G213&lt;&gt;"",R213&lt;&gt;"",V213&lt;&gt;"",W213&lt;&gt;""),"COMPLETADO","OBSERVADO")</f>
        <v/>
      </c>
    </row>
    <row r="214" ht="15" customHeight="1" s="195">
      <c r="A214" s="280" t="n"/>
      <c r="B214" s="280" t="n"/>
      <c r="C214" s="280" t="n"/>
      <c r="D214" s="280" t="n"/>
      <c r="E214" s="280" t="n"/>
      <c r="F214" s="280" t="n"/>
      <c r="G214" s="280" t="n"/>
      <c r="H214" s="280" t="n"/>
      <c r="I214" s="332">
        <f>IFERROR(VLOOKUP(TEXT(H214,"0"),IPRESS!$A$3:$B$212,2,0),"")</f>
        <v/>
      </c>
      <c r="J214" s="280" t="n"/>
      <c r="K214" s="332">
        <f>IFERROR(VLOOKUP(TEXT(O214,"0"),CONDUCTORES!$A$3:$G$54,7,0),"")</f>
        <v/>
      </c>
      <c r="L214" s="280" t="n"/>
      <c r="M214" s="280" t="n"/>
      <c r="N214" s="333">
        <f>IFERROR(IF(L214*M214=0,"",L214*M214),"")</f>
        <v/>
      </c>
      <c r="O214" s="280" t="n"/>
      <c r="P214" s="332">
        <f>IFERROR(VLOOKUP(TEXT(O214,"0"),CONDUCTORES!$A$3:$G$54,2,0),"")</f>
        <v/>
      </c>
      <c r="Q214" s="332">
        <f>IFERROR(VLOOKUP(TEXT(O214,"0"),CONDUCTORES!$A$3:$H$54,6,0),"")</f>
        <v/>
      </c>
      <c r="R214" s="280" t="n"/>
      <c r="S214" s="280" t="n"/>
      <c r="T214" s="280" t="n"/>
      <c r="U214" s="280" t="n"/>
      <c r="V214" s="280" t="n"/>
      <c r="W214" s="280" t="n"/>
      <c r="X214" s="280" t="n"/>
      <c r="Y214" s="280" t="n"/>
      <c r="Z214" s="375">
        <f>IF(AND(G214&lt;&gt;"",R214&lt;&gt;"",V214&lt;&gt;"",W214&lt;&gt;""),"COMPLETADO","OBSERVADO")</f>
        <v/>
      </c>
    </row>
    <row r="215" ht="15" customHeight="1" s="195">
      <c r="A215" s="334" t="n"/>
      <c r="B215" s="334" t="n"/>
      <c r="C215" s="334" t="n"/>
      <c r="D215" s="334" t="n"/>
      <c r="E215" s="334" t="n"/>
      <c r="F215" s="334" t="n"/>
      <c r="G215" s="334" t="n"/>
      <c r="H215" s="334" t="n"/>
      <c r="I215" s="332">
        <f>IFERROR(VLOOKUP(TEXT(H215,"0"),IPRESS!$A$3:$B$212,2,0),"")</f>
        <v/>
      </c>
      <c r="J215" s="334" t="n"/>
      <c r="K215" s="332">
        <f>IFERROR(VLOOKUP(TEXT(O215,"0"),CONDUCTORES!$A$3:$G$54,7,0),"")</f>
        <v/>
      </c>
      <c r="L215" s="334" t="n"/>
      <c r="M215" s="334" t="n"/>
      <c r="N215" s="333">
        <f>IFERROR(IF(L215*M215=0,"",L215*M215),"")</f>
        <v/>
      </c>
      <c r="O215" s="334" t="n"/>
      <c r="P215" s="332">
        <f>IFERROR(VLOOKUP(TEXT(O215,"0"),CONDUCTORES!$A$3:$G$54,2,0),"")</f>
        <v/>
      </c>
      <c r="Q215" s="332">
        <f>IFERROR(VLOOKUP(TEXT(O215,"0"),CONDUCTORES!$A$3:$H$54,6,0),"")</f>
        <v/>
      </c>
      <c r="R215" s="334" t="n"/>
      <c r="S215" s="334" t="n"/>
      <c r="T215" s="334" t="n"/>
      <c r="U215" s="334" t="n"/>
      <c r="V215" s="334" t="n"/>
      <c r="W215" s="334" t="n"/>
      <c r="X215" s="334" t="n"/>
      <c r="Y215" s="334" t="n"/>
      <c r="Z215" s="375">
        <f>IF(AND(G215&lt;&gt;"",R215&lt;&gt;"",V215&lt;&gt;"",W215&lt;&gt;""),"COMPLETADO","OBSERVADO")</f>
        <v/>
      </c>
    </row>
    <row r="216" ht="15" customHeight="1" s="195">
      <c r="A216" s="280" t="n"/>
      <c r="B216" s="280" t="n"/>
      <c r="C216" s="280" t="n"/>
      <c r="D216" s="280" t="n"/>
      <c r="E216" s="280" t="n"/>
      <c r="F216" s="280" t="n"/>
      <c r="G216" s="280" t="n"/>
      <c r="H216" s="280" t="n"/>
      <c r="I216" s="332">
        <f>IFERROR(VLOOKUP(TEXT(H216,"0"),IPRESS!$A$3:$B$212,2,0),"")</f>
        <v/>
      </c>
      <c r="J216" s="280" t="n"/>
      <c r="K216" s="332">
        <f>IFERROR(VLOOKUP(TEXT(O216,"0"),CONDUCTORES!$A$3:$G$54,7,0),"")</f>
        <v/>
      </c>
      <c r="L216" s="280" t="n"/>
      <c r="M216" s="280" t="n"/>
      <c r="N216" s="333">
        <f>IFERROR(IF(L216*M216=0,"",L216*M216),"")</f>
        <v/>
      </c>
      <c r="O216" s="280" t="n"/>
      <c r="P216" s="332">
        <f>IFERROR(VLOOKUP(TEXT(O216,"0"),CONDUCTORES!$A$3:$G$54,2,0),"")</f>
        <v/>
      </c>
      <c r="Q216" s="332">
        <f>IFERROR(VLOOKUP(TEXT(O216,"0"),CONDUCTORES!$A$3:$H$54,6,0),"")</f>
        <v/>
      </c>
      <c r="R216" s="280" t="n"/>
      <c r="S216" s="280" t="n"/>
      <c r="T216" s="280" t="n"/>
      <c r="U216" s="280" t="n"/>
      <c r="V216" s="280" t="n"/>
      <c r="W216" s="280" t="n"/>
      <c r="X216" s="280" t="n"/>
      <c r="Y216" s="280" t="n"/>
      <c r="Z216" s="375">
        <f>IF(AND(G216&lt;&gt;"",R216&lt;&gt;"",V216&lt;&gt;"",W216&lt;&gt;""),"COMPLETADO","OBSERVADO")</f>
        <v/>
      </c>
    </row>
    <row r="217" ht="15" customHeight="1" s="195">
      <c r="A217" s="334" t="n"/>
      <c r="B217" s="334" t="n"/>
      <c r="C217" s="334" t="n"/>
      <c r="D217" s="334" t="n"/>
      <c r="E217" s="334" t="n"/>
      <c r="F217" s="334" t="n"/>
      <c r="G217" s="334" t="n"/>
      <c r="H217" s="334" t="n"/>
      <c r="I217" s="332">
        <f>IFERROR(VLOOKUP(TEXT(H217,"0"),IPRESS!$A$3:$B$212,2,0),"")</f>
        <v/>
      </c>
      <c r="J217" s="334" t="n"/>
      <c r="K217" s="332">
        <f>IFERROR(VLOOKUP(TEXT(O217,"0"),CONDUCTORES!$A$3:$G$54,7,0),"")</f>
        <v/>
      </c>
      <c r="L217" s="334" t="n"/>
      <c r="M217" s="334" t="n"/>
      <c r="N217" s="333">
        <f>IFERROR(IF(L217*M217=0,"",L217*M217),"")</f>
        <v/>
      </c>
      <c r="O217" s="334" t="n"/>
      <c r="P217" s="332">
        <f>IFERROR(VLOOKUP(TEXT(O217,"0"),CONDUCTORES!$A$3:$G$54,2,0),"")</f>
        <v/>
      </c>
      <c r="Q217" s="332">
        <f>IFERROR(VLOOKUP(TEXT(O217,"0"),CONDUCTORES!$A$3:$H$54,6,0),"")</f>
        <v/>
      </c>
      <c r="R217" s="334" t="n"/>
      <c r="S217" s="334" t="n"/>
      <c r="T217" s="334" t="n"/>
      <c r="U217" s="334" t="n"/>
      <c r="V217" s="334" t="n"/>
      <c r="W217" s="334" t="n"/>
      <c r="X217" s="334" t="n"/>
      <c r="Y217" s="334" t="n"/>
      <c r="Z217" s="375">
        <f>IF(AND(G217&lt;&gt;"",R217&lt;&gt;"",V217&lt;&gt;"",W217&lt;&gt;""),"COMPLETADO","OBSERVADO")</f>
        <v/>
      </c>
    </row>
    <row r="218" ht="15" customHeight="1" s="195">
      <c r="A218" s="280" t="n"/>
      <c r="B218" s="280" t="n"/>
      <c r="C218" s="280" t="n"/>
      <c r="D218" s="280" t="n"/>
      <c r="E218" s="280" t="n"/>
      <c r="F218" s="280" t="n"/>
      <c r="G218" s="280" t="n"/>
      <c r="H218" s="280" t="n"/>
      <c r="I218" s="332">
        <f>IFERROR(VLOOKUP(TEXT(H218,"0"),IPRESS!$A$3:$B$212,2,0),"")</f>
        <v/>
      </c>
      <c r="J218" s="280" t="n"/>
      <c r="K218" s="332">
        <f>IFERROR(VLOOKUP(TEXT(O218,"0"),CONDUCTORES!$A$3:$G$54,7,0),"")</f>
        <v/>
      </c>
      <c r="L218" s="280" t="n"/>
      <c r="M218" s="280" t="n"/>
      <c r="N218" s="333">
        <f>IFERROR(IF(L218*M218=0,"",L218*M218),"")</f>
        <v/>
      </c>
      <c r="O218" s="280" t="n"/>
      <c r="P218" s="332">
        <f>IFERROR(VLOOKUP(TEXT(O218,"0"),CONDUCTORES!$A$3:$G$54,2,0),"")</f>
        <v/>
      </c>
      <c r="Q218" s="332">
        <f>IFERROR(VLOOKUP(TEXT(O218,"0"),CONDUCTORES!$A$3:$H$54,6,0),"")</f>
        <v/>
      </c>
      <c r="R218" s="280" t="n"/>
      <c r="S218" s="280" t="n"/>
      <c r="T218" s="280" t="n"/>
      <c r="U218" s="280" t="n"/>
      <c r="V218" s="280" t="n"/>
      <c r="W218" s="280" t="n"/>
      <c r="X218" s="280" t="n"/>
      <c r="Y218" s="280" t="n"/>
      <c r="Z218" s="375">
        <f>IF(AND(G218&lt;&gt;"",R218&lt;&gt;"",V218&lt;&gt;"",W218&lt;&gt;""),"COMPLETADO","OBSERVADO")</f>
        <v/>
      </c>
    </row>
    <row r="219" ht="15" customHeight="1" s="195">
      <c r="A219" s="334" t="n"/>
      <c r="B219" s="334" t="n"/>
      <c r="C219" s="334" t="n"/>
      <c r="D219" s="334" t="n"/>
      <c r="E219" s="334" t="n"/>
      <c r="F219" s="334" t="n"/>
      <c r="G219" s="334" t="n"/>
      <c r="H219" s="334" t="n"/>
      <c r="I219" s="332">
        <f>IFERROR(VLOOKUP(TEXT(H219,"0"),IPRESS!$A$3:$B$212,2,0),"")</f>
        <v/>
      </c>
      <c r="J219" s="334" t="n"/>
      <c r="K219" s="332">
        <f>IFERROR(VLOOKUP(TEXT(O219,"0"),CONDUCTORES!$A$3:$G$54,7,0),"")</f>
        <v/>
      </c>
      <c r="L219" s="334" t="n"/>
      <c r="M219" s="334" t="n"/>
      <c r="N219" s="333">
        <f>IFERROR(IF(L219*M219=0,"",L219*M219),"")</f>
        <v/>
      </c>
      <c r="O219" s="334" t="n"/>
      <c r="P219" s="332">
        <f>IFERROR(VLOOKUP(TEXT(O219,"0"),CONDUCTORES!$A$3:$G$54,2,0),"")</f>
        <v/>
      </c>
      <c r="Q219" s="332">
        <f>IFERROR(VLOOKUP(TEXT(O219,"0"),CONDUCTORES!$A$3:$H$54,6,0),"")</f>
        <v/>
      </c>
      <c r="R219" s="334" t="n"/>
      <c r="S219" s="334" t="n"/>
      <c r="T219" s="334" t="n"/>
      <c r="U219" s="334" t="n"/>
      <c r="V219" s="334" t="n"/>
      <c r="W219" s="334" t="n"/>
      <c r="X219" s="334" t="n"/>
      <c r="Y219" s="334" t="n"/>
      <c r="Z219" s="375">
        <f>IF(AND(G219&lt;&gt;"",R219&lt;&gt;"",V219&lt;&gt;"",W219&lt;&gt;""),"COMPLETADO","OBSERVADO")</f>
        <v/>
      </c>
    </row>
    <row r="220" ht="15" customHeight="1" s="195">
      <c r="A220" s="280" t="n"/>
      <c r="B220" s="280" t="n"/>
      <c r="C220" s="280" t="n"/>
      <c r="D220" s="280" t="n"/>
      <c r="E220" s="280" t="n"/>
      <c r="F220" s="280" t="n"/>
      <c r="G220" s="280" t="n"/>
      <c r="H220" s="280" t="n"/>
      <c r="I220" s="332">
        <f>IFERROR(VLOOKUP(TEXT(H220,"0"),IPRESS!$A$3:$B$212,2,0),"")</f>
        <v/>
      </c>
      <c r="J220" s="280" t="n"/>
      <c r="K220" s="332">
        <f>IFERROR(VLOOKUP(TEXT(O220,"0"),CONDUCTORES!$A$3:$G$54,7,0),"")</f>
        <v/>
      </c>
      <c r="L220" s="280" t="n"/>
      <c r="M220" s="280" t="n"/>
      <c r="N220" s="333">
        <f>IFERROR(IF(L220*M220=0,"",L220*M220),"")</f>
        <v/>
      </c>
      <c r="O220" s="280" t="n"/>
      <c r="P220" s="332">
        <f>IFERROR(VLOOKUP(TEXT(O220,"0"),CONDUCTORES!$A$3:$G$54,2,0),"")</f>
        <v/>
      </c>
      <c r="Q220" s="332">
        <f>IFERROR(VLOOKUP(TEXT(O220,"0"),CONDUCTORES!$A$3:$H$54,6,0),"")</f>
        <v/>
      </c>
      <c r="R220" s="280" t="n"/>
      <c r="S220" s="280" t="n"/>
      <c r="T220" s="280" t="n"/>
      <c r="U220" s="280" t="n"/>
      <c r="V220" s="280" t="n"/>
      <c r="W220" s="280" t="n"/>
      <c r="X220" s="280" t="n"/>
      <c r="Y220" s="280" t="n"/>
      <c r="Z220" s="375">
        <f>IF(AND(G220&lt;&gt;"",R220&lt;&gt;"",V220&lt;&gt;"",W220&lt;&gt;""),"COMPLETADO","OBSERVADO")</f>
        <v/>
      </c>
    </row>
    <row r="221" ht="15" customHeight="1" s="195">
      <c r="A221" s="334" t="n"/>
      <c r="B221" s="334" t="n"/>
      <c r="C221" s="334" t="n"/>
      <c r="D221" s="334" t="n"/>
      <c r="E221" s="334" t="n"/>
      <c r="F221" s="334" t="n"/>
      <c r="G221" s="334" t="n"/>
      <c r="H221" s="334" t="n"/>
      <c r="I221" s="332">
        <f>IFERROR(VLOOKUP(TEXT(H221,"0"),IPRESS!$A$3:$B$212,2,0),"")</f>
        <v/>
      </c>
      <c r="J221" s="334" t="n"/>
      <c r="K221" s="332">
        <f>IFERROR(VLOOKUP(TEXT(O221,"0"),CONDUCTORES!$A$3:$G$54,7,0),"")</f>
        <v/>
      </c>
      <c r="L221" s="334" t="n"/>
      <c r="M221" s="334" t="n"/>
      <c r="N221" s="333">
        <f>IFERROR(IF(L221*M221=0,"",L221*M221),"")</f>
        <v/>
      </c>
      <c r="O221" s="334" t="n"/>
      <c r="P221" s="332">
        <f>IFERROR(VLOOKUP(TEXT(O221,"0"),CONDUCTORES!$A$3:$G$54,2,0),"")</f>
        <v/>
      </c>
      <c r="Q221" s="332">
        <f>IFERROR(VLOOKUP(TEXT(O221,"0"),CONDUCTORES!$A$3:$H$54,6,0),"")</f>
        <v/>
      </c>
      <c r="R221" s="334" t="n"/>
      <c r="S221" s="334" t="n"/>
      <c r="T221" s="334" t="n"/>
      <c r="U221" s="334" t="n"/>
      <c r="V221" s="334" t="n"/>
      <c r="W221" s="334" t="n"/>
      <c r="X221" s="334" t="n"/>
      <c r="Y221" s="334" t="n"/>
      <c r="Z221" s="375">
        <f>IF(AND(G221&lt;&gt;"",R221&lt;&gt;"",V221&lt;&gt;"",W221&lt;&gt;""),"COMPLETADO","OBSERVADO")</f>
        <v/>
      </c>
    </row>
    <row r="222" ht="15" customHeight="1" s="195">
      <c r="A222" s="280" t="n"/>
      <c r="B222" s="280" t="n"/>
      <c r="C222" s="280" t="n"/>
      <c r="D222" s="280" t="n"/>
      <c r="E222" s="280" t="n"/>
      <c r="F222" s="280" t="n"/>
      <c r="G222" s="280" t="n"/>
      <c r="H222" s="280" t="n"/>
      <c r="I222" s="332">
        <f>IFERROR(VLOOKUP(TEXT(H222,"0"),IPRESS!$A$3:$B$212,2,0),"")</f>
        <v/>
      </c>
      <c r="J222" s="280" t="n"/>
      <c r="K222" s="332">
        <f>IFERROR(VLOOKUP(TEXT(O222,"0"),CONDUCTORES!$A$3:$G$54,7,0),"")</f>
        <v/>
      </c>
      <c r="L222" s="280" t="n"/>
      <c r="M222" s="280" t="n"/>
      <c r="N222" s="333">
        <f>IFERROR(IF(L222*M222=0,"",L222*M222),"")</f>
        <v/>
      </c>
      <c r="O222" s="280" t="n"/>
      <c r="P222" s="332">
        <f>IFERROR(VLOOKUP(TEXT(O222,"0"),CONDUCTORES!$A$3:$G$54,2,0),"")</f>
        <v/>
      </c>
      <c r="Q222" s="332">
        <f>IFERROR(VLOOKUP(TEXT(O222,"0"),CONDUCTORES!$A$3:$H$54,6,0),"")</f>
        <v/>
      </c>
      <c r="R222" s="280" t="n"/>
      <c r="S222" s="280" t="n"/>
      <c r="T222" s="280" t="n"/>
      <c r="U222" s="280" t="n"/>
      <c r="V222" s="280" t="n"/>
      <c r="W222" s="280" t="n"/>
      <c r="X222" s="280" t="n"/>
      <c r="Y222" s="280" t="n"/>
      <c r="Z222" s="375">
        <f>IF(AND(G222&lt;&gt;"",R222&lt;&gt;"",V222&lt;&gt;"",W222&lt;&gt;""),"COMPLETADO","OBSERVADO")</f>
        <v/>
      </c>
    </row>
    <row r="223" ht="15" customHeight="1" s="195">
      <c r="A223" s="334" t="n"/>
      <c r="B223" s="334" t="n"/>
      <c r="C223" s="334" t="n"/>
      <c r="D223" s="334" t="n"/>
      <c r="E223" s="334" t="n"/>
      <c r="F223" s="334" t="n"/>
      <c r="G223" s="334" t="n"/>
      <c r="H223" s="334" t="n"/>
      <c r="I223" s="332">
        <f>IFERROR(VLOOKUP(TEXT(H223,"0"),IPRESS!$A$3:$B$212,2,0),"")</f>
        <v/>
      </c>
      <c r="J223" s="334" t="n"/>
      <c r="K223" s="332">
        <f>IFERROR(VLOOKUP(TEXT(O223,"0"),CONDUCTORES!$A$3:$G$54,7,0),"")</f>
        <v/>
      </c>
      <c r="L223" s="334" t="n"/>
      <c r="M223" s="334" t="n"/>
      <c r="N223" s="333">
        <f>IFERROR(IF(L223*M223=0,"",L223*M223),"")</f>
        <v/>
      </c>
      <c r="O223" s="334" t="n"/>
      <c r="P223" s="332">
        <f>IFERROR(VLOOKUP(TEXT(O223,"0"),CONDUCTORES!$A$3:$G$54,2,0),"")</f>
        <v/>
      </c>
      <c r="Q223" s="332">
        <f>IFERROR(VLOOKUP(TEXT(O223,"0"),CONDUCTORES!$A$3:$H$54,6,0),"")</f>
        <v/>
      </c>
      <c r="R223" s="334" t="n"/>
      <c r="S223" s="334" t="n"/>
      <c r="T223" s="334" t="n"/>
      <c r="U223" s="334" t="n"/>
      <c r="V223" s="334" t="n"/>
      <c r="W223" s="334" t="n"/>
      <c r="X223" s="334" t="n"/>
      <c r="Y223" s="334" t="n"/>
      <c r="Z223" s="375">
        <f>IF(AND(G223&lt;&gt;"",R223&lt;&gt;"",V223&lt;&gt;"",W223&lt;&gt;""),"COMPLETADO","OBSERVADO")</f>
        <v/>
      </c>
    </row>
    <row r="224" ht="15" customHeight="1" s="195">
      <c r="A224" s="280" t="n"/>
      <c r="B224" s="280" t="n"/>
      <c r="C224" s="280" t="n"/>
      <c r="D224" s="280" t="n"/>
      <c r="E224" s="280" t="n"/>
      <c r="F224" s="280" t="n"/>
      <c r="G224" s="280" t="n"/>
      <c r="H224" s="280" t="n"/>
      <c r="I224" s="332">
        <f>IFERROR(VLOOKUP(TEXT(H224,"0"),IPRESS!$A$3:$B$212,2,0),"")</f>
        <v/>
      </c>
      <c r="J224" s="280" t="n"/>
      <c r="K224" s="332">
        <f>IFERROR(VLOOKUP(TEXT(O224,"0"),CONDUCTORES!$A$3:$G$54,7,0),"")</f>
        <v/>
      </c>
      <c r="L224" s="280" t="n"/>
      <c r="M224" s="280" t="n"/>
      <c r="N224" s="333">
        <f>IFERROR(IF(L224*M224=0,"",L224*M224),"")</f>
        <v/>
      </c>
      <c r="O224" s="280" t="n"/>
      <c r="P224" s="332">
        <f>IFERROR(VLOOKUP(TEXT(O224,"0"),CONDUCTORES!$A$3:$G$54,2,0),"")</f>
        <v/>
      </c>
      <c r="Q224" s="332">
        <f>IFERROR(VLOOKUP(TEXT(O224,"0"),CONDUCTORES!$A$3:$H$54,6,0),"")</f>
        <v/>
      </c>
      <c r="R224" s="280" t="n"/>
      <c r="S224" s="280" t="n"/>
      <c r="T224" s="280" t="n"/>
      <c r="U224" s="280" t="n"/>
      <c r="V224" s="280" t="n"/>
      <c r="W224" s="280" t="n"/>
      <c r="X224" s="280" t="n"/>
      <c r="Y224" s="280" t="n"/>
      <c r="Z224" s="375">
        <f>IF(AND(G224&lt;&gt;"",R224&lt;&gt;"",V224&lt;&gt;"",W224&lt;&gt;""),"COMPLETADO","OBSERVADO")</f>
        <v/>
      </c>
    </row>
    <row r="225" ht="15" customHeight="1" s="195">
      <c r="A225" s="334" t="n"/>
      <c r="B225" s="334" t="n"/>
      <c r="C225" s="334" t="n"/>
      <c r="D225" s="334" t="n"/>
      <c r="E225" s="334" t="n"/>
      <c r="F225" s="334" t="n"/>
      <c r="G225" s="334" t="n"/>
      <c r="H225" s="334" t="n"/>
      <c r="I225" s="332">
        <f>IFERROR(VLOOKUP(TEXT(H225,"0"),IPRESS!$A$3:$B$212,2,0),"")</f>
        <v/>
      </c>
      <c r="J225" s="334" t="n"/>
      <c r="K225" s="332">
        <f>IFERROR(VLOOKUP(TEXT(O225,"0"),CONDUCTORES!$A$3:$G$54,7,0),"")</f>
        <v/>
      </c>
      <c r="L225" s="334" t="n"/>
      <c r="M225" s="334" t="n"/>
      <c r="N225" s="333">
        <f>IFERROR(IF(L225*M225=0,"",L225*M225),"")</f>
        <v/>
      </c>
      <c r="O225" s="334" t="n"/>
      <c r="P225" s="332">
        <f>IFERROR(VLOOKUP(TEXT(O225,"0"),CONDUCTORES!$A$3:$G$54,2,0),"")</f>
        <v/>
      </c>
      <c r="Q225" s="332">
        <f>IFERROR(VLOOKUP(TEXT(O225,"0"),CONDUCTORES!$A$3:$H$54,6,0),"")</f>
        <v/>
      </c>
      <c r="R225" s="334" t="n"/>
      <c r="S225" s="334" t="n"/>
      <c r="T225" s="334" t="n"/>
      <c r="U225" s="334" t="n"/>
      <c r="V225" s="334" t="n"/>
      <c r="W225" s="334" t="n"/>
      <c r="X225" s="334" t="n"/>
      <c r="Y225" s="334" t="n"/>
      <c r="Z225" s="375">
        <f>IF(AND(G225&lt;&gt;"",R225&lt;&gt;"",V225&lt;&gt;"",W225&lt;&gt;""),"COMPLETADO","OBSERVADO")</f>
        <v/>
      </c>
    </row>
    <row r="226" ht="15" customHeight="1" s="195">
      <c r="A226" s="280" t="n"/>
      <c r="B226" s="280" t="n"/>
      <c r="C226" s="280" t="n"/>
      <c r="D226" s="280" t="n"/>
      <c r="E226" s="280" t="n"/>
      <c r="F226" s="280" t="n"/>
      <c r="G226" s="280" t="n"/>
      <c r="H226" s="280" t="n"/>
      <c r="I226" s="332">
        <f>IFERROR(VLOOKUP(TEXT(H226,"0"),IPRESS!$A$3:$B$212,2,0),"")</f>
        <v/>
      </c>
      <c r="J226" s="280" t="n"/>
      <c r="K226" s="332">
        <f>IFERROR(VLOOKUP(TEXT(O226,"0"),CONDUCTORES!$A$3:$G$54,7,0),"")</f>
        <v/>
      </c>
      <c r="L226" s="280" t="n"/>
      <c r="M226" s="280" t="n"/>
      <c r="N226" s="333">
        <f>IFERROR(IF(L226*M226=0,"",L226*M226),"")</f>
        <v/>
      </c>
      <c r="O226" s="280" t="n"/>
      <c r="P226" s="332">
        <f>IFERROR(VLOOKUP(TEXT(O226,"0"),CONDUCTORES!$A$3:$G$54,2,0),"")</f>
        <v/>
      </c>
      <c r="Q226" s="332">
        <f>IFERROR(VLOOKUP(TEXT(O226,"0"),CONDUCTORES!$A$3:$H$54,6,0),"")</f>
        <v/>
      </c>
      <c r="R226" s="280" t="n"/>
      <c r="S226" s="280" t="n"/>
      <c r="T226" s="280" t="n"/>
      <c r="U226" s="280" t="n"/>
      <c r="V226" s="280" t="n"/>
      <c r="W226" s="280" t="n"/>
      <c r="X226" s="280" t="n"/>
      <c r="Y226" s="280" t="n"/>
      <c r="Z226" s="375">
        <f>IF(AND(G226&lt;&gt;"",R226&lt;&gt;"",V226&lt;&gt;"",W226&lt;&gt;""),"COMPLETADO","OBSERVADO")</f>
        <v/>
      </c>
    </row>
    <row r="227" ht="15" customHeight="1" s="195">
      <c r="A227" s="334" t="n"/>
      <c r="B227" s="334" t="n"/>
      <c r="C227" s="334" t="n"/>
      <c r="D227" s="334" t="n"/>
      <c r="E227" s="334" t="n"/>
      <c r="F227" s="334" t="n"/>
      <c r="G227" s="334" t="n"/>
      <c r="H227" s="334" t="n"/>
      <c r="I227" s="332">
        <f>IFERROR(VLOOKUP(TEXT(H227,"0"),IPRESS!$A$3:$B$212,2,0),"")</f>
        <v/>
      </c>
      <c r="J227" s="334" t="n"/>
      <c r="K227" s="332">
        <f>IFERROR(VLOOKUP(TEXT(O227,"0"),CONDUCTORES!$A$3:$G$54,7,0),"")</f>
        <v/>
      </c>
      <c r="L227" s="334" t="n"/>
      <c r="M227" s="334" t="n"/>
      <c r="N227" s="333">
        <f>IFERROR(IF(L227*M227=0,"",L227*M227),"")</f>
        <v/>
      </c>
      <c r="O227" s="334" t="n"/>
      <c r="P227" s="332">
        <f>IFERROR(VLOOKUP(TEXT(O227,"0"),CONDUCTORES!$A$3:$G$54,2,0),"")</f>
        <v/>
      </c>
      <c r="Q227" s="332">
        <f>IFERROR(VLOOKUP(TEXT(O227,"0"),CONDUCTORES!$A$3:$H$54,6,0),"")</f>
        <v/>
      </c>
      <c r="R227" s="334" t="n"/>
      <c r="S227" s="334" t="n"/>
      <c r="T227" s="334" t="n"/>
      <c r="U227" s="334" t="n"/>
      <c r="V227" s="334" t="n"/>
      <c r="W227" s="334" t="n"/>
      <c r="X227" s="334" t="n"/>
      <c r="Y227" s="334" t="n"/>
      <c r="Z227" s="375">
        <f>IF(AND(G227&lt;&gt;"",R227&lt;&gt;"",V227&lt;&gt;"",W227&lt;&gt;""),"COMPLETADO","OBSERVADO")</f>
        <v/>
      </c>
    </row>
    <row r="228" ht="15" customHeight="1" s="195">
      <c r="A228" s="280" t="n"/>
      <c r="B228" s="280" t="n"/>
      <c r="C228" s="280" t="n"/>
      <c r="D228" s="280" t="n"/>
      <c r="E228" s="280" t="n"/>
      <c r="F228" s="280" t="n"/>
      <c r="G228" s="280" t="n"/>
      <c r="H228" s="280" t="n"/>
      <c r="I228" s="332">
        <f>IFERROR(VLOOKUP(TEXT(H228,"0"),IPRESS!$A$3:$B$212,2,0),"")</f>
        <v/>
      </c>
      <c r="J228" s="280" t="n"/>
      <c r="K228" s="332">
        <f>IFERROR(VLOOKUP(TEXT(O228,"0"),CONDUCTORES!$A$3:$G$54,7,0),"")</f>
        <v/>
      </c>
      <c r="L228" s="280" t="n"/>
      <c r="M228" s="280" t="n"/>
      <c r="N228" s="333">
        <f>IFERROR(IF(L228*M228=0,"",L228*M228),"")</f>
        <v/>
      </c>
      <c r="O228" s="280" t="n"/>
      <c r="P228" s="332">
        <f>IFERROR(VLOOKUP(TEXT(O228,"0"),CONDUCTORES!$A$3:$G$54,2,0),"")</f>
        <v/>
      </c>
      <c r="Q228" s="332">
        <f>IFERROR(VLOOKUP(TEXT(O228,"0"),CONDUCTORES!$A$3:$H$54,6,0),"")</f>
        <v/>
      </c>
      <c r="R228" s="280" t="n"/>
      <c r="S228" s="280" t="n"/>
      <c r="T228" s="280" t="n"/>
      <c r="U228" s="280" t="n"/>
      <c r="V228" s="280" t="n"/>
      <c r="W228" s="280" t="n"/>
      <c r="X228" s="280" t="n"/>
      <c r="Y228" s="280" t="n"/>
      <c r="Z228" s="375">
        <f>IF(AND(G228&lt;&gt;"",R228&lt;&gt;"",V228&lt;&gt;"",W228&lt;&gt;""),"COMPLETADO","OBSERVADO")</f>
        <v/>
      </c>
    </row>
    <row r="229" ht="15" customHeight="1" s="195">
      <c r="A229" s="334" t="n"/>
      <c r="B229" s="334" t="n"/>
      <c r="C229" s="334" t="n"/>
      <c r="D229" s="334" t="n"/>
      <c r="E229" s="334" t="n"/>
      <c r="F229" s="334" t="n"/>
      <c r="G229" s="334" t="n"/>
      <c r="H229" s="334" t="n"/>
      <c r="I229" s="332">
        <f>IFERROR(VLOOKUP(TEXT(H229,"0"),IPRESS!$A$3:$B$212,2,0),"")</f>
        <v/>
      </c>
      <c r="J229" s="334" t="n"/>
      <c r="K229" s="332">
        <f>IFERROR(VLOOKUP(TEXT(O229,"0"),CONDUCTORES!$A$3:$G$54,7,0),"")</f>
        <v/>
      </c>
      <c r="L229" s="334" t="n"/>
      <c r="M229" s="334" t="n"/>
      <c r="N229" s="333">
        <f>IFERROR(IF(L229*M229=0,"",L229*M229),"")</f>
        <v/>
      </c>
      <c r="O229" s="334" t="n"/>
      <c r="P229" s="332">
        <f>IFERROR(VLOOKUP(TEXT(O229,"0"),CONDUCTORES!$A$3:$G$54,2,0),"")</f>
        <v/>
      </c>
      <c r="Q229" s="332">
        <f>IFERROR(VLOOKUP(TEXT(O229,"0"),CONDUCTORES!$A$3:$H$54,6,0),"")</f>
        <v/>
      </c>
      <c r="R229" s="334" t="n"/>
      <c r="S229" s="334" t="n"/>
      <c r="T229" s="334" t="n"/>
      <c r="U229" s="334" t="n"/>
      <c r="V229" s="334" t="n"/>
      <c r="W229" s="334" t="n"/>
      <c r="X229" s="334" t="n"/>
      <c r="Y229" s="334" t="n"/>
      <c r="Z229" s="375">
        <f>IF(AND(G229&lt;&gt;"",R229&lt;&gt;"",V229&lt;&gt;"",W229&lt;&gt;""),"COMPLETADO","OBSERVADO")</f>
        <v/>
      </c>
    </row>
    <row r="230" ht="15" customHeight="1" s="195">
      <c r="A230" s="280" t="n"/>
      <c r="B230" s="280" t="n"/>
      <c r="C230" s="280" t="n"/>
      <c r="D230" s="280" t="n"/>
      <c r="E230" s="280" t="n"/>
      <c r="F230" s="280" t="n"/>
      <c r="G230" s="280" t="n"/>
      <c r="H230" s="280" t="n"/>
      <c r="I230" s="332">
        <f>IFERROR(VLOOKUP(TEXT(H230,"0"),IPRESS!$A$3:$B$212,2,0),"")</f>
        <v/>
      </c>
      <c r="J230" s="280" t="n"/>
      <c r="K230" s="332">
        <f>IFERROR(VLOOKUP(TEXT(O230,"0"),CONDUCTORES!$A$3:$G$54,7,0),"")</f>
        <v/>
      </c>
      <c r="L230" s="280" t="n"/>
      <c r="M230" s="280" t="n"/>
      <c r="N230" s="333">
        <f>IFERROR(IF(L230*M230=0,"",L230*M230),"")</f>
        <v/>
      </c>
      <c r="O230" s="280" t="n"/>
      <c r="P230" s="332">
        <f>IFERROR(VLOOKUP(TEXT(O230,"0"),CONDUCTORES!$A$3:$G$54,2,0),"")</f>
        <v/>
      </c>
      <c r="Q230" s="332">
        <f>IFERROR(VLOOKUP(TEXT(O230,"0"),CONDUCTORES!$A$3:$H$54,6,0),"")</f>
        <v/>
      </c>
      <c r="R230" s="280" t="n"/>
      <c r="S230" s="280" t="n"/>
      <c r="T230" s="280" t="n"/>
      <c r="U230" s="280" t="n"/>
      <c r="V230" s="280" t="n"/>
      <c r="W230" s="280" t="n"/>
      <c r="X230" s="280" t="n"/>
      <c r="Y230" s="280" t="n"/>
      <c r="Z230" s="375">
        <f>IF(AND(G230&lt;&gt;"",R230&lt;&gt;"",V230&lt;&gt;"",W230&lt;&gt;""),"COMPLETADO","OBSERVADO")</f>
        <v/>
      </c>
    </row>
    <row r="231" ht="15" customHeight="1" s="195">
      <c r="A231" s="334" t="n"/>
      <c r="B231" s="334" t="n"/>
      <c r="C231" s="334" t="n"/>
      <c r="D231" s="334" t="n"/>
      <c r="E231" s="334" t="n"/>
      <c r="F231" s="334" t="n"/>
      <c r="G231" s="334" t="n"/>
      <c r="H231" s="334" t="n"/>
      <c r="I231" s="332">
        <f>IFERROR(VLOOKUP(TEXT(H231,"0"),IPRESS!$A$3:$B$212,2,0),"")</f>
        <v/>
      </c>
      <c r="J231" s="334" t="n"/>
      <c r="K231" s="332">
        <f>IFERROR(VLOOKUP(TEXT(O231,"0"),CONDUCTORES!$A$3:$G$54,7,0),"")</f>
        <v/>
      </c>
      <c r="L231" s="334" t="n"/>
      <c r="M231" s="334" t="n"/>
      <c r="N231" s="333">
        <f>IFERROR(IF(L231*M231=0,"",L231*M231),"")</f>
        <v/>
      </c>
      <c r="O231" s="334" t="n"/>
      <c r="P231" s="332">
        <f>IFERROR(VLOOKUP(TEXT(O231,"0"),CONDUCTORES!$A$3:$G$54,2,0),"")</f>
        <v/>
      </c>
      <c r="Q231" s="332">
        <f>IFERROR(VLOOKUP(TEXT(O231,"0"),CONDUCTORES!$A$3:$H$54,6,0),"")</f>
        <v/>
      </c>
      <c r="R231" s="334" t="n"/>
      <c r="S231" s="334" t="n"/>
      <c r="T231" s="334" t="n"/>
      <c r="U231" s="334" t="n"/>
      <c r="V231" s="334" t="n"/>
      <c r="W231" s="334" t="n"/>
      <c r="X231" s="334" t="n"/>
      <c r="Y231" s="334" t="n"/>
      <c r="Z231" s="375">
        <f>IF(AND(G231&lt;&gt;"",R231&lt;&gt;"",V231&lt;&gt;"",W231&lt;&gt;""),"COMPLETADO","OBSERVADO")</f>
        <v/>
      </c>
    </row>
    <row r="232" ht="15" customHeight="1" s="195">
      <c r="A232" s="280" t="n"/>
      <c r="B232" s="280" t="n"/>
      <c r="C232" s="280" t="n"/>
      <c r="D232" s="280" t="n"/>
      <c r="E232" s="280" t="n"/>
      <c r="F232" s="280" t="n"/>
      <c r="G232" s="280" t="n"/>
      <c r="H232" s="280" t="n"/>
      <c r="I232" s="332">
        <f>IFERROR(VLOOKUP(TEXT(H232,"0"),IPRESS!$A$3:$B$212,2,0),"")</f>
        <v/>
      </c>
      <c r="J232" s="280" t="n"/>
      <c r="K232" s="332">
        <f>IFERROR(VLOOKUP(TEXT(O232,"0"),CONDUCTORES!$A$3:$G$54,7,0),"")</f>
        <v/>
      </c>
      <c r="L232" s="280" t="n"/>
      <c r="M232" s="280" t="n"/>
      <c r="N232" s="333">
        <f>IFERROR(IF(L232*M232=0,"",L232*M232),"")</f>
        <v/>
      </c>
      <c r="O232" s="280" t="n"/>
      <c r="P232" s="332">
        <f>IFERROR(VLOOKUP(TEXT(O232,"0"),CONDUCTORES!$A$3:$G$54,2,0),"")</f>
        <v/>
      </c>
      <c r="Q232" s="332">
        <f>IFERROR(VLOOKUP(TEXT(O232,"0"),CONDUCTORES!$A$3:$H$54,6,0),"")</f>
        <v/>
      </c>
      <c r="R232" s="280" t="n"/>
      <c r="S232" s="280" t="n"/>
      <c r="T232" s="280" t="n"/>
      <c r="U232" s="280" t="n"/>
      <c r="V232" s="280" t="n"/>
      <c r="W232" s="280" t="n"/>
      <c r="X232" s="280" t="n"/>
      <c r="Y232" s="280" t="n"/>
      <c r="Z232" s="375">
        <f>IF(AND(G232&lt;&gt;"",R232&lt;&gt;"",V232&lt;&gt;"",W232&lt;&gt;""),"COMPLETADO","OBSERVADO")</f>
        <v/>
      </c>
    </row>
    <row r="233" ht="15" customHeight="1" s="195">
      <c r="A233" s="334" t="n"/>
      <c r="B233" s="334" t="n"/>
      <c r="C233" s="334" t="n"/>
      <c r="D233" s="334" t="n"/>
      <c r="E233" s="334" t="n"/>
      <c r="F233" s="334" t="n"/>
      <c r="G233" s="334" t="n"/>
      <c r="H233" s="334" t="n"/>
      <c r="I233" s="332">
        <f>IFERROR(VLOOKUP(TEXT(H233,"0"),IPRESS!$A$3:$B$212,2,0),"")</f>
        <v/>
      </c>
      <c r="J233" s="334" t="n"/>
      <c r="K233" s="332">
        <f>IFERROR(VLOOKUP(TEXT(O233,"0"),CONDUCTORES!$A$3:$G$54,7,0),"")</f>
        <v/>
      </c>
      <c r="L233" s="334" t="n"/>
      <c r="M233" s="334" t="n"/>
      <c r="N233" s="333">
        <f>IFERROR(IF(L233*M233=0,"",L233*M233),"")</f>
        <v/>
      </c>
      <c r="O233" s="334" t="n"/>
      <c r="P233" s="332">
        <f>IFERROR(VLOOKUP(TEXT(O233,"0"),CONDUCTORES!$A$3:$G$54,2,0),"")</f>
        <v/>
      </c>
      <c r="Q233" s="332">
        <f>IFERROR(VLOOKUP(TEXT(O233,"0"),CONDUCTORES!$A$3:$H$54,6,0),"")</f>
        <v/>
      </c>
      <c r="R233" s="334" t="n"/>
      <c r="S233" s="334" t="n"/>
      <c r="T233" s="334" t="n"/>
      <c r="U233" s="334" t="n"/>
      <c r="V233" s="334" t="n"/>
      <c r="W233" s="334" t="n"/>
      <c r="X233" s="334" t="n"/>
      <c r="Y233" s="334" t="n"/>
      <c r="Z233" s="375">
        <f>IF(AND(G233&lt;&gt;"",R233&lt;&gt;"",V233&lt;&gt;"",W233&lt;&gt;""),"COMPLETADO","OBSERVADO")</f>
        <v/>
      </c>
    </row>
    <row r="234" ht="15" customHeight="1" s="195">
      <c r="A234" s="280" t="n"/>
      <c r="B234" s="280" t="n"/>
      <c r="C234" s="280" t="n"/>
      <c r="D234" s="280" t="n"/>
      <c r="E234" s="280" t="n"/>
      <c r="F234" s="280" t="n"/>
      <c r="G234" s="280" t="n"/>
      <c r="H234" s="280" t="n"/>
      <c r="I234" s="332">
        <f>IFERROR(VLOOKUP(TEXT(H234,"0"),IPRESS!$A$3:$B$212,2,0),"")</f>
        <v/>
      </c>
      <c r="J234" s="280" t="n"/>
      <c r="K234" s="332">
        <f>IFERROR(VLOOKUP(TEXT(O234,"0"),CONDUCTORES!$A$3:$G$54,7,0),"")</f>
        <v/>
      </c>
      <c r="L234" s="280" t="n"/>
      <c r="M234" s="280" t="n"/>
      <c r="N234" s="333">
        <f>IFERROR(IF(L234*M234=0,"",L234*M234),"")</f>
        <v/>
      </c>
      <c r="O234" s="280" t="n"/>
      <c r="P234" s="332">
        <f>IFERROR(VLOOKUP(TEXT(O234,"0"),CONDUCTORES!$A$3:$G$54,2,0),"")</f>
        <v/>
      </c>
      <c r="Q234" s="332">
        <f>IFERROR(VLOOKUP(TEXT(O234,"0"),CONDUCTORES!$A$3:$H$54,6,0),"")</f>
        <v/>
      </c>
      <c r="R234" s="280" t="n"/>
      <c r="S234" s="280" t="n"/>
      <c r="T234" s="280" t="n"/>
      <c r="U234" s="280" t="n"/>
      <c r="V234" s="280" t="n"/>
      <c r="W234" s="280" t="n"/>
      <c r="X234" s="280" t="n"/>
      <c r="Y234" s="280" t="n"/>
      <c r="Z234" s="375">
        <f>IF(AND(G234&lt;&gt;"",R234&lt;&gt;"",V234&lt;&gt;"",W234&lt;&gt;""),"COMPLETADO","OBSERVADO")</f>
        <v/>
      </c>
    </row>
    <row r="235" ht="15" customHeight="1" s="195">
      <c r="A235" s="334" t="n"/>
      <c r="B235" s="334" t="n"/>
      <c r="C235" s="334" t="n"/>
      <c r="D235" s="334" t="n"/>
      <c r="E235" s="334" t="n"/>
      <c r="F235" s="334" t="n"/>
      <c r="G235" s="334" t="n"/>
      <c r="H235" s="334" t="n"/>
      <c r="I235" s="332">
        <f>IFERROR(VLOOKUP(TEXT(H235,"0"),IPRESS!$A$3:$B$212,2,0),"")</f>
        <v/>
      </c>
      <c r="J235" s="334" t="n"/>
      <c r="K235" s="332">
        <f>IFERROR(VLOOKUP(TEXT(O235,"0"),CONDUCTORES!$A$3:$G$54,7,0),"")</f>
        <v/>
      </c>
      <c r="L235" s="334" t="n"/>
      <c r="M235" s="334" t="n"/>
      <c r="N235" s="333">
        <f>IFERROR(IF(L235*M235=0,"",L235*M235),"")</f>
        <v/>
      </c>
      <c r="O235" s="334" t="n"/>
      <c r="P235" s="332">
        <f>IFERROR(VLOOKUP(TEXT(O235,"0"),CONDUCTORES!$A$3:$G$54,2,0),"")</f>
        <v/>
      </c>
      <c r="Q235" s="332">
        <f>IFERROR(VLOOKUP(TEXT(O235,"0"),CONDUCTORES!$A$3:$H$54,6,0),"")</f>
        <v/>
      </c>
      <c r="R235" s="334" t="n"/>
      <c r="S235" s="334" t="n"/>
      <c r="T235" s="334" t="n"/>
      <c r="U235" s="334" t="n"/>
      <c r="V235" s="334" t="n"/>
      <c r="W235" s="334" t="n"/>
      <c r="X235" s="334" t="n"/>
      <c r="Y235" s="334" t="n"/>
      <c r="Z235" s="375">
        <f>IF(AND(G235&lt;&gt;"",R235&lt;&gt;"",V235&lt;&gt;"",W235&lt;&gt;""),"COMPLETADO","OBSERVADO")</f>
        <v/>
      </c>
    </row>
    <row r="236" ht="15" customHeight="1" s="195">
      <c r="A236" s="280" t="n"/>
      <c r="B236" s="280" t="n"/>
      <c r="C236" s="280" t="n"/>
      <c r="D236" s="280" t="n"/>
      <c r="E236" s="280" t="n"/>
      <c r="F236" s="280" t="n"/>
      <c r="G236" s="280" t="n"/>
      <c r="H236" s="280" t="n"/>
      <c r="I236" s="332">
        <f>IFERROR(VLOOKUP(TEXT(H236,"0"),IPRESS!$A$3:$B$212,2,0),"")</f>
        <v/>
      </c>
      <c r="J236" s="280" t="n"/>
      <c r="K236" s="332">
        <f>IFERROR(VLOOKUP(TEXT(O236,"0"),CONDUCTORES!$A$3:$G$54,7,0),"")</f>
        <v/>
      </c>
      <c r="L236" s="280" t="n"/>
      <c r="M236" s="280" t="n"/>
      <c r="N236" s="333">
        <f>IFERROR(IF(L236*M236=0,"",L236*M236),"")</f>
        <v/>
      </c>
      <c r="O236" s="280" t="n"/>
      <c r="P236" s="332">
        <f>IFERROR(VLOOKUP(TEXT(O236,"0"),CONDUCTORES!$A$3:$G$54,2,0),"")</f>
        <v/>
      </c>
      <c r="Q236" s="332">
        <f>IFERROR(VLOOKUP(TEXT(O236,"0"),CONDUCTORES!$A$3:$H$54,6,0),"")</f>
        <v/>
      </c>
      <c r="R236" s="280" t="n"/>
      <c r="S236" s="280" t="n"/>
      <c r="T236" s="280" t="n"/>
      <c r="U236" s="280" t="n"/>
      <c r="V236" s="280" t="n"/>
      <c r="W236" s="280" t="n"/>
      <c r="X236" s="280" t="n"/>
      <c r="Y236" s="280" t="n"/>
      <c r="Z236" s="375">
        <f>IF(AND(G236&lt;&gt;"",R236&lt;&gt;"",V236&lt;&gt;"",W236&lt;&gt;""),"COMPLETADO","OBSERVADO")</f>
        <v/>
      </c>
    </row>
    <row r="237" ht="15" customHeight="1" s="195">
      <c r="A237" s="334" t="n"/>
      <c r="B237" s="334" t="n"/>
      <c r="C237" s="334" t="n"/>
      <c r="D237" s="334" t="n"/>
      <c r="E237" s="334" t="n"/>
      <c r="F237" s="334" t="n"/>
      <c r="G237" s="334" t="n"/>
      <c r="H237" s="334" t="n"/>
      <c r="I237" s="332">
        <f>IFERROR(VLOOKUP(TEXT(H237,"0"),IPRESS!$A$3:$B$212,2,0),"")</f>
        <v/>
      </c>
      <c r="J237" s="334" t="n"/>
      <c r="K237" s="332">
        <f>IFERROR(VLOOKUP(TEXT(O237,"0"),CONDUCTORES!$A$3:$G$54,7,0),"")</f>
        <v/>
      </c>
      <c r="L237" s="334" t="n"/>
      <c r="M237" s="334" t="n"/>
      <c r="N237" s="333">
        <f>IFERROR(IF(L237*M237=0,"",L237*M237),"")</f>
        <v/>
      </c>
      <c r="O237" s="334" t="n"/>
      <c r="P237" s="332">
        <f>IFERROR(VLOOKUP(TEXT(O237,"0"),CONDUCTORES!$A$3:$G$54,2,0),"")</f>
        <v/>
      </c>
      <c r="Q237" s="332">
        <f>IFERROR(VLOOKUP(TEXT(O237,"0"),CONDUCTORES!$A$3:$H$54,6,0),"")</f>
        <v/>
      </c>
      <c r="R237" s="334" t="n"/>
      <c r="S237" s="334" t="n"/>
      <c r="T237" s="334" t="n"/>
      <c r="U237" s="334" t="n"/>
      <c r="V237" s="334" t="n"/>
      <c r="W237" s="334" t="n"/>
      <c r="X237" s="334" t="n"/>
      <c r="Y237" s="334" t="n"/>
      <c r="Z237" s="375">
        <f>IF(AND(G237&lt;&gt;"",R237&lt;&gt;"",V237&lt;&gt;"",W237&lt;&gt;""),"COMPLETADO","OBSERVADO")</f>
        <v/>
      </c>
    </row>
    <row r="238" ht="15" customHeight="1" s="195">
      <c r="A238" s="280" t="n"/>
      <c r="B238" s="280" t="n"/>
      <c r="C238" s="280" t="n"/>
      <c r="D238" s="280" t="n"/>
      <c r="E238" s="280" t="n"/>
      <c r="F238" s="280" t="n"/>
      <c r="G238" s="280" t="n"/>
      <c r="H238" s="280" t="n"/>
      <c r="I238" s="332">
        <f>IFERROR(VLOOKUP(TEXT(H238,"0"),IPRESS!$A$3:$B$212,2,0),"")</f>
        <v/>
      </c>
      <c r="J238" s="280" t="n"/>
      <c r="K238" s="332">
        <f>IFERROR(VLOOKUP(TEXT(O238,"0"),CONDUCTORES!$A$3:$G$54,7,0),"")</f>
        <v/>
      </c>
      <c r="L238" s="280" t="n"/>
      <c r="M238" s="280" t="n"/>
      <c r="N238" s="333">
        <f>IFERROR(IF(L238*M238=0,"",L238*M238),"")</f>
        <v/>
      </c>
      <c r="O238" s="280" t="n"/>
      <c r="P238" s="332">
        <f>IFERROR(VLOOKUP(TEXT(O238,"0"),CONDUCTORES!$A$3:$G$54,2,0),"")</f>
        <v/>
      </c>
      <c r="Q238" s="332">
        <f>IFERROR(VLOOKUP(TEXT(O238,"0"),CONDUCTORES!$A$3:$H$54,6,0),"")</f>
        <v/>
      </c>
      <c r="R238" s="280" t="n"/>
      <c r="S238" s="280" t="n"/>
      <c r="T238" s="280" t="n"/>
      <c r="U238" s="280" t="n"/>
      <c r="V238" s="280" t="n"/>
      <c r="W238" s="280" t="n"/>
      <c r="X238" s="280" t="n"/>
      <c r="Y238" s="280" t="n"/>
      <c r="Z238" s="375">
        <f>IF(AND(G238&lt;&gt;"",R238&lt;&gt;"",V238&lt;&gt;"",W238&lt;&gt;""),"COMPLETADO","OBSERVADO")</f>
        <v/>
      </c>
    </row>
    <row r="239" ht="15" customHeight="1" s="195">
      <c r="A239" s="334" t="n"/>
      <c r="B239" s="334" t="n"/>
      <c r="C239" s="334" t="n"/>
      <c r="D239" s="334" t="n"/>
      <c r="E239" s="334" t="n"/>
      <c r="F239" s="334" t="n"/>
      <c r="G239" s="334" t="n"/>
      <c r="H239" s="334" t="n"/>
      <c r="I239" s="332">
        <f>IFERROR(VLOOKUP(TEXT(H239,"0"),IPRESS!$A$3:$B$212,2,0),"")</f>
        <v/>
      </c>
      <c r="J239" s="334" t="n"/>
      <c r="K239" s="332">
        <f>IFERROR(VLOOKUP(TEXT(O239,"0"),CONDUCTORES!$A$3:$G$54,7,0),"")</f>
        <v/>
      </c>
      <c r="L239" s="334" t="n"/>
      <c r="M239" s="334" t="n"/>
      <c r="N239" s="333">
        <f>IFERROR(IF(L239*M239=0,"",L239*M239),"")</f>
        <v/>
      </c>
      <c r="O239" s="334" t="n"/>
      <c r="P239" s="332">
        <f>IFERROR(VLOOKUP(TEXT(O239,"0"),CONDUCTORES!$A$3:$G$54,2,0),"")</f>
        <v/>
      </c>
      <c r="Q239" s="332">
        <f>IFERROR(VLOOKUP(TEXT(O239,"0"),CONDUCTORES!$A$3:$H$54,6,0),"")</f>
        <v/>
      </c>
      <c r="R239" s="334" t="n"/>
      <c r="S239" s="334" t="n"/>
      <c r="T239" s="334" t="n"/>
      <c r="U239" s="334" t="n"/>
      <c r="V239" s="334" t="n"/>
      <c r="W239" s="334" t="n"/>
      <c r="X239" s="334" t="n"/>
      <c r="Y239" s="334" t="n"/>
      <c r="Z239" s="375">
        <f>IF(AND(G239&lt;&gt;"",R239&lt;&gt;"",V239&lt;&gt;"",W239&lt;&gt;""),"COMPLETADO","OBSERVADO")</f>
        <v/>
      </c>
    </row>
    <row r="240" ht="15" customHeight="1" s="195">
      <c r="A240" s="280" t="n"/>
      <c r="B240" s="280" t="n"/>
      <c r="C240" s="280" t="n"/>
      <c r="D240" s="280" t="n"/>
      <c r="E240" s="280" t="n"/>
      <c r="F240" s="280" t="n"/>
      <c r="G240" s="280" t="n"/>
      <c r="H240" s="280" t="n"/>
      <c r="I240" s="332">
        <f>IFERROR(VLOOKUP(TEXT(H240,"0"),IPRESS!$A$3:$B$212,2,0),"")</f>
        <v/>
      </c>
      <c r="J240" s="280" t="n"/>
      <c r="K240" s="332">
        <f>IFERROR(VLOOKUP(TEXT(O240,"0"),CONDUCTORES!$A$3:$G$54,7,0),"")</f>
        <v/>
      </c>
      <c r="L240" s="280" t="n"/>
      <c r="M240" s="280" t="n"/>
      <c r="N240" s="333">
        <f>IFERROR(IF(L240*M240=0,"",L240*M240),"")</f>
        <v/>
      </c>
      <c r="O240" s="280" t="n"/>
      <c r="P240" s="332">
        <f>IFERROR(VLOOKUP(TEXT(O240,"0"),CONDUCTORES!$A$3:$G$54,2,0),"")</f>
        <v/>
      </c>
      <c r="Q240" s="332">
        <f>IFERROR(VLOOKUP(TEXT(O240,"0"),CONDUCTORES!$A$3:$H$54,6,0),"")</f>
        <v/>
      </c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375">
        <f>IF(AND(G240&lt;&gt;"",R240&lt;&gt;"",V240&lt;&gt;"",W240&lt;&gt;""),"COMPLETADO","OBSERVADO")</f>
        <v/>
      </c>
    </row>
    <row r="241" ht="15" customHeight="1" s="195">
      <c r="A241" s="334" t="n"/>
      <c r="B241" s="334" t="n"/>
      <c r="C241" s="334" t="n"/>
      <c r="D241" s="334" t="n"/>
      <c r="E241" s="334" t="n"/>
      <c r="F241" s="334" t="n"/>
      <c r="G241" s="334" t="n"/>
      <c r="H241" s="334" t="n"/>
      <c r="I241" s="332">
        <f>IFERROR(VLOOKUP(TEXT(H241,"0"),IPRESS!$A$3:$B$212,2,0),"")</f>
        <v/>
      </c>
      <c r="J241" s="334" t="n"/>
      <c r="K241" s="332">
        <f>IFERROR(VLOOKUP(TEXT(O241,"0"),CONDUCTORES!$A$3:$G$54,7,0),"")</f>
        <v/>
      </c>
      <c r="L241" s="334" t="n"/>
      <c r="M241" s="334" t="n"/>
      <c r="N241" s="333">
        <f>IFERROR(IF(L241*M241=0,"",L241*M241),"")</f>
        <v/>
      </c>
      <c r="O241" s="334" t="n"/>
      <c r="P241" s="332">
        <f>IFERROR(VLOOKUP(TEXT(O241,"0"),CONDUCTORES!$A$3:$G$54,2,0),"")</f>
        <v/>
      </c>
      <c r="Q241" s="332">
        <f>IFERROR(VLOOKUP(TEXT(O241,"0"),CONDUCTORES!$A$3:$H$54,6,0),"")</f>
        <v/>
      </c>
      <c r="R241" s="334" t="n"/>
      <c r="S241" s="334" t="n"/>
      <c r="T241" s="334" t="n"/>
      <c r="U241" s="334" t="n"/>
      <c r="V241" s="334" t="n"/>
      <c r="W241" s="334" t="n"/>
      <c r="X241" s="334" t="n"/>
      <c r="Y241" s="334" t="n"/>
      <c r="Z241" s="375">
        <f>IF(AND(G241&lt;&gt;"",R241&lt;&gt;"",V241&lt;&gt;"",W241&lt;&gt;""),"COMPLETADO","OBSERVADO")</f>
        <v/>
      </c>
    </row>
    <row r="242" ht="15" customHeight="1" s="195">
      <c r="A242" s="280" t="n"/>
      <c r="B242" s="280" t="n"/>
      <c r="C242" s="280" t="n"/>
      <c r="D242" s="280" t="n"/>
      <c r="E242" s="280" t="n"/>
      <c r="F242" s="280" t="n"/>
      <c r="G242" s="280" t="n"/>
      <c r="H242" s="280" t="n"/>
      <c r="I242" s="332">
        <f>IFERROR(VLOOKUP(TEXT(H242,"0"),IPRESS!$A$3:$B$212,2,0),"")</f>
        <v/>
      </c>
      <c r="J242" s="280" t="n"/>
      <c r="K242" s="332">
        <f>IFERROR(VLOOKUP(TEXT(O242,"0"),CONDUCTORES!$A$3:$G$54,7,0),"")</f>
        <v/>
      </c>
      <c r="L242" s="280" t="n"/>
      <c r="M242" s="280" t="n"/>
      <c r="N242" s="333">
        <f>IFERROR(IF(L242*M242=0,"",L242*M242),"")</f>
        <v/>
      </c>
      <c r="O242" s="280" t="n"/>
      <c r="P242" s="332">
        <f>IFERROR(VLOOKUP(TEXT(O242,"0"),CONDUCTORES!$A$3:$G$54,2,0),"")</f>
        <v/>
      </c>
      <c r="Q242" s="332">
        <f>IFERROR(VLOOKUP(TEXT(O242,"0"),CONDUCTORES!$A$3:$H$54,6,0),"")</f>
        <v/>
      </c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375">
        <f>IF(AND(G242&lt;&gt;"",R242&lt;&gt;"",V242&lt;&gt;"",W242&lt;&gt;""),"COMPLETADO","OBSERVADO")</f>
        <v/>
      </c>
    </row>
    <row r="243" ht="15" customHeight="1" s="195">
      <c r="A243" s="334" t="n"/>
      <c r="B243" s="334" t="n"/>
      <c r="C243" s="334" t="n"/>
      <c r="D243" s="334" t="n"/>
      <c r="E243" s="334" t="n"/>
      <c r="F243" s="334" t="n"/>
      <c r="G243" s="334" t="n"/>
      <c r="H243" s="334" t="n"/>
      <c r="I243" s="332">
        <f>IFERROR(VLOOKUP(TEXT(H243,"0"),IPRESS!$A$3:$B$212,2,0),"")</f>
        <v/>
      </c>
      <c r="J243" s="334" t="n"/>
      <c r="K243" s="332">
        <f>IFERROR(VLOOKUP(TEXT(O243,"0"),CONDUCTORES!$A$3:$G$54,7,0),"")</f>
        <v/>
      </c>
      <c r="L243" s="334" t="n"/>
      <c r="M243" s="334" t="n"/>
      <c r="N243" s="333">
        <f>IFERROR(IF(L243*M243=0,"",L243*M243),"")</f>
        <v/>
      </c>
      <c r="O243" s="334" t="n"/>
      <c r="P243" s="332">
        <f>IFERROR(VLOOKUP(TEXT(O243,"0"),CONDUCTORES!$A$3:$G$54,2,0),"")</f>
        <v/>
      </c>
      <c r="Q243" s="332">
        <f>IFERROR(VLOOKUP(TEXT(O243,"0"),CONDUCTORES!$A$3:$H$54,6,0),"")</f>
        <v/>
      </c>
      <c r="R243" s="334" t="n"/>
      <c r="S243" s="334" t="n"/>
      <c r="T243" s="334" t="n"/>
      <c r="U243" s="334" t="n"/>
      <c r="V243" s="334" t="n"/>
      <c r="W243" s="334" t="n"/>
      <c r="X243" s="334" t="n"/>
      <c r="Y243" s="334" t="n"/>
      <c r="Z243" s="375">
        <f>IF(AND(G243&lt;&gt;"",R243&lt;&gt;"",V243&lt;&gt;"",W243&lt;&gt;""),"COMPLETADO","OBSERVADO")</f>
        <v/>
      </c>
    </row>
    <row r="244" ht="15" customHeight="1" s="195">
      <c r="A244" s="280" t="n"/>
      <c r="B244" s="280" t="n"/>
      <c r="C244" s="280" t="n"/>
      <c r="D244" s="280" t="n"/>
      <c r="E244" s="280" t="n"/>
      <c r="F244" s="280" t="n"/>
      <c r="G244" s="280" t="n"/>
      <c r="H244" s="280" t="n"/>
      <c r="I244" s="332">
        <f>IFERROR(VLOOKUP(TEXT(H244,"0"),IPRESS!$A$3:$B$212,2,0),"")</f>
        <v/>
      </c>
      <c r="J244" s="280" t="n"/>
      <c r="K244" s="332">
        <f>IFERROR(VLOOKUP(TEXT(O244,"0"),CONDUCTORES!$A$3:$G$54,7,0),"")</f>
        <v/>
      </c>
      <c r="L244" s="280" t="n"/>
      <c r="M244" s="280" t="n"/>
      <c r="N244" s="333">
        <f>IFERROR(IF(L244*M244=0,"",L244*M244),"")</f>
        <v/>
      </c>
      <c r="O244" s="280" t="n"/>
      <c r="P244" s="332">
        <f>IFERROR(VLOOKUP(TEXT(O244,"0"),CONDUCTORES!$A$3:$G$54,2,0),"")</f>
        <v/>
      </c>
      <c r="Q244" s="332">
        <f>IFERROR(VLOOKUP(TEXT(O244,"0"),CONDUCTORES!$A$3:$H$54,6,0),"")</f>
        <v/>
      </c>
      <c r="R244" s="280" t="n"/>
      <c r="S244" s="280" t="n"/>
      <c r="T244" s="280" t="n"/>
      <c r="U244" s="280" t="n"/>
      <c r="V244" s="280" t="n"/>
      <c r="W244" s="280" t="n"/>
      <c r="X244" s="280" t="n"/>
      <c r="Y244" s="280" t="n"/>
      <c r="Z244" s="375">
        <f>IF(AND(G244&lt;&gt;"",R244&lt;&gt;"",V244&lt;&gt;"",W244&lt;&gt;""),"COMPLETADO","OBSERVADO")</f>
        <v/>
      </c>
    </row>
    <row r="245" ht="15" customHeight="1" s="195">
      <c r="A245" s="334" t="n"/>
      <c r="B245" s="334" t="n"/>
      <c r="C245" s="334" t="n"/>
      <c r="D245" s="334" t="n"/>
      <c r="E245" s="334" t="n"/>
      <c r="F245" s="334" t="n"/>
      <c r="G245" s="334" t="n"/>
      <c r="H245" s="334" t="n"/>
      <c r="I245" s="332">
        <f>IFERROR(VLOOKUP(TEXT(H245,"0"),IPRESS!$A$3:$B$212,2,0),"")</f>
        <v/>
      </c>
      <c r="J245" s="334" t="n"/>
      <c r="K245" s="332">
        <f>IFERROR(VLOOKUP(TEXT(O245,"0"),CONDUCTORES!$A$3:$G$54,7,0),"")</f>
        <v/>
      </c>
      <c r="L245" s="334" t="n"/>
      <c r="M245" s="334" t="n"/>
      <c r="N245" s="333">
        <f>IFERROR(IF(L245*M245=0,"",L245*M245),"")</f>
        <v/>
      </c>
      <c r="O245" s="334" t="n"/>
      <c r="P245" s="332">
        <f>IFERROR(VLOOKUP(TEXT(O245,"0"),CONDUCTORES!$A$3:$G$54,2,0),"")</f>
        <v/>
      </c>
      <c r="Q245" s="332">
        <f>IFERROR(VLOOKUP(TEXT(O245,"0"),CONDUCTORES!$A$3:$H$54,6,0),"")</f>
        <v/>
      </c>
      <c r="R245" s="334" t="n"/>
      <c r="S245" s="334" t="n"/>
      <c r="T245" s="334" t="n"/>
      <c r="U245" s="334" t="n"/>
      <c r="V245" s="334" t="n"/>
      <c r="W245" s="334" t="n"/>
      <c r="X245" s="334" t="n"/>
      <c r="Y245" s="334" t="n"/>
      <c r="Z245" s="375">
        <f>IF(AND(G245&lt;&gt;"",R245&lt;&gt;"",V245&lt;&gt;"",W245&lt;&gt;""),"COMPLETADO","OBSERVADO")</f>
        <v/>
      </c>
    </row>
    <row r="246" ht="15" customHeight="1" s="195">
      <c r="A246" s="280" t="n"/>
      <c r="B246" s="280" t="n"/>
      <c r="C246" s="280" t="n"/>
      <c r="D246" s="280" t="n"/>
      <c r="E246" s="280" t="n"/>
      <c r="F246" s="280" t="n"/>
      <c r="G246" s="280" t="n"/>
      <c r="H246" s="280" t="n"/>
      <c r="I246" s="332">
        <f>IFERROR(VLOOKUP(TEXT(H246,"0"),IPRESS!$A$3:$B$212,2,0),"")</f>
        <v/>
      </c>
      <c r="J246" s="280" t="n"/>
      <c r="K246" s="332">
        <f>IFERROR(VLOOKUP(TEXT(O246,"0"),CONDUCTORES!$A$3:$G$54,7,0),"")</f>
        <v/>
      </c>
      <c r="L246" s="280" t="n"/>
      <c r="M246" s="280" t="n"/>
      <c r="N246" s="333">
        <f>IFERROR(IF(L246*M246=0,"",L246*M246),"")</f>
        <v/>
      </c>
      <c r="O246" s="280" t="n"/>
      <c r="P246" s="332">
        <f>IFERROR(VLOOKUP(TEXT(O246,"0"),CONDUCTORES!$A$3:$G$54,2,0),"")</f>
        <v/>
      </c>
      <c r="Q246" s="332">
        <f>IFERROR(VLOOKUP(TEXT(O246,"0"),CONDUCTORES!$A$3:$H$54,6,0),"")</f>
        <v/>
      </c>
      <c r="R246" s="280" t="n"/>
      <c r="S246" s="280" t="n"/>
      <c r="T246" s="280" t="n"/>
      <c r="U246" s="280" t="n"/>
      <c r="V246" s="280" t="n"/>
      <c r="W246" s="280" t="n"/>
      <c r="X246" s="280" t="n"/>
      <c r="Y246" s="280" t="n"/>
      <c r="Z246" s="375">
        <f>IF(AND(G246&lt;&gt;"",R246&lt;&gt;"",V246&lt;&gt;"",W246&lt;&gt;""),"COMPLETADO","OBSERVADO")</f>
        <v/>
      </c>
    </row>
    <row r="247" ht="15" customHeight="1" s="195">
      <c r="A247" s="334" t="n"/>
      <c r="B247" s="334" t="n"/>
      <c r="C247" s="334" t="n"/>
      <c r="D247" s="334" t="n"/>
      <c r="E247" s="334" t="n"/>
      <c r="F247" s="334" t="n"/>
      <c r="G247" s="334" t="n"/>
      <c r="H247" s="334" t="n"/>
      <c r="I247" s="332">
        <f>IFERROR(VLOOKUP(TEXT(H247,"0"),IPRESS!$A$3:$B$212,2,0),"")</f>
        <v/>
      </c>
      <c r="J247" s="334" t="n"/>
      <c r="K247" s="332">
        <f>IFERROR(VLOOKUP(TEXT(O247,"0"),CONDUCTORES!$A$3:$G$54,7,0),"")</f>
        <v/>
      </c>
      <c r="L247" s="334" t="n"/>
      <c r="M247" s="334" t="n"/>
      <c r="N247" s="333">
        <f>IFERROR(IF(L247*M247=0,"",L247*M247),"")</f>
        <v/>
      </c>
      <c r="O247" s="334" t="n"/>
      <c r="P247" s="332">
        <f>IFERROR(VLOOKUP(TEXT(O247,"0"),CONDUCTORES!$A$3:$G$54,2,0),"")</f>
        <v/>
      </c>
      <c r="Q247" s="332">
        <f>IFERROR(VLOOKUP(TEXT(O247,"0"),CONDUCTORES!$A$3:$H$54,6,0),"")</f>
        <v/>
      </c>
      <c r="R247" s="334" t="n"/>
      <c r="S247" s="334" t="n"/>
      <c r="T247" s="334" t="n"/>
      <c r="U247" s="334" t="n"/>
      <c r="V247" s="334" t="n"/>
      <c r="W247" s="334" t="n"/>
      <c r="X247" s="334" t="n"/>
      <c r="Y247" s="334" t="n"/>
      <c r="Z247" s="375">
        <f>IF(AND(G247&lt;&gt;"",R247&lt;&gt;"",V247&lt;&gt;"",W247&lt;&gt;""),"COMPLETADO","OBSERVADO")</f>
        <v/>
      </c>
    </row>
    <row r="248" ht="15" customHeight="1" s="195">
      <c r="A248" s="280" t="n"/>
      <c r="B248" s="280" t="n"/>
      <c r="C248" s="280" t="n"/>
      <c r="D248" s="280" t="n"/>
      <c r="E248" s="280" t="n"/>
      <c r="F248" s="280" t="n"/>
      <c r="G248" s="280" t="n"/>
      <c r="H248" s="280" t="n"/>
      <c r="I248" s="332">
        <f>IFERROR(VLOOKUP(TEXT(H248,"0"),IPRESS!$A$3:$B$212,2,0),"")</f>
        <v/>
      </c>
      <c r="J248" s="280" t="n"/>
      <c r="K248" s="332">
        <f>IFERROR(VLOOKUP(TEXT(O248,"0"),CONDUCTORES!$A$3:$G$54,7,0),"")</f>
        <v/>
      </c>
      <c r="L248" s="280" t="n"/>
      <c r="M248" s="280" t="n"/>
      <c r="N248" s="333">
        <f>IFERROR(IF(L248*M248=0,"",L248*M248),"")</f>
        <v/>
      </c>
      <c r="O248" s="280" t="n"/>
      <c r="P248" s="332">
        <f>IFERROR(VLOOKUP(TEXT(O248,"0"),CONDUCTORES!$A$3:$G$54,2,0),"")</f>
        <v/>
      </c>
      <c r="Q248" s="332">
        <f>IFERROR(VLOOKUP(TEXT(O248,"0"),CONDUCTORES!$A$3:$H$54,6,0),"")</f>
        <v/>
      </c>
      <c r="R248" s="280" t="n"/>
      <c r="S248" s="280" t="n"/>
      <c r="T248" s="280" t="n"/>
      <c r="U248" s="280" t="n"/>
      <c r="V248" s="280" t="n"/>
      <c r="W248" s="280" t="n"/>
      <c r="X248" s="280" t="n"/>
      <c r="Y248" s="280" t="n"/>
      <c r="Z248" s="375">
        <f>IF(AND(G248&lt;&gt;"",R248&lt;&gt;"",V248&lt;&gt;"",W248&lt;&gt;""),"COMPLETADO","OBSERVADO")</f>
        <v/>
      </c>
    </row>
    <row r="249" ht="15" customHeight="1" s="195">
      <c r="A249" s="334" t="n"/>
      <c r="B249" s="334" t="n"/>
      <c r="C249" s="334" t="n"/>
      <c r="D249" s="334" t="n"/>
      <c r="E249" s="334" t="n"/>
      <c r="F249" s="334" t="n"/>
      <c r="G249" s="334" t="n"/>
      <c r="H249" s="334" t="n"/>
      <c r="I249" s="332">
        <f>IFERROR(VLOOKUP(TEXT(H249,"0"),IPRESS!$A$3:$B$212,2,0),"")</f>
        <v/>
      </c>
      <c r="J249" s="334" t="n"/>
      <c r="K249" s="332">
        <f>IFERROR(VLOOKUP(TEXT(O249,"0"),CONDUCTORES!$A$3:$G$54,7,0),"")</f>
        <v/>
      </c>
      <c r="L249" s="334" t="n"/>
      <c r="M249" s="334" t="n"/>
      <c r="N249" s="333">
        <f>IFERROR(IF(L249*M249=0,"",L249*M249),"")</f>
        <v/>
      </c>
      <c r="O249" s="334" t="n"/>
      <c r="P249" s="332">
        <f>IFERROR(VLOOKUP(TEXT(O249,"0"),CONDUCTORES!$A$3:$G$54,2,0),"")</f>
        <v/>
      </c>
      <c r="Q249" s="332">
        <f>IFERROR(VLOOKUP(TEXT(O249,"0"),CONDUCTORES!$A$3:$H$54,6,0),"")</f>
        <v/>
      </c>
      <c r="R249" s="334" t="n"/>
      <c r="S249" s="334" t="n"/>
      <c r="T249" s="334" t="n"/>
      <c r="U249" s="334" t="n"/>
      <c r="V249" s="334" t="n"/>
      <c r="W249" s="334" t="n"/>
      <c r="X249" s="334" t="n"/>
      <c r="Y249" s="334" t="n"/>
      <c r="Z249" s="375">
        <f>IF(AND(G249&lt;&gt;"",R249&lt;&gt;"",V249&lt;&gt;"",W249&lt;&gt;""),"COMPLETADO","OBSERVADO")</f>
        <v/>
      </c>
    </row>
    <row r="250" ht="15" customHeight="1" s="195">
      <c r="A250" s="280" t="n"/>
      <c r="B250" s="280" t="n"/>
      <c r="C250" s="280" t="n"/>
      <c r="D250" s="280" t="n"/>
      <c r="E250" s="280" t="n"/>
      <c r="F250" s="280" t="n"/>
      <c r="G250" s="280" t="n"/>
      <c r="H250" s="280" t="n"/>
      <c r="I250" s="332">
        <f>IFERROR(VLOOKUP(TEXT(H250,"0"),IPRESS!$A$3:$B$212,2,0),"")</f>
        <v/>
      </c>
      <c r="J250" s="280" t="n"/>
      <c r="K250" s="332">
        <f>IFERROR(VLOOKUP(TEXT(O250,"0"),CONDUCTORES!$A$3:$G$54,7,0),"")</f>
        <v/>
      </c>
      <c r="L250" s="280" t="n"/>
      <c r="M250" s="280" t="n"/>
      <c r="N250" s="333">
        <f>IFERROR(IF(L250*M250=0,"",L250*M250),"")</f>
        <v/>
      </c>
      <c r="O250" s="280" t="n"/>
      <c r="P250" s="332">
        <f>IFERROR(VLOOKUP(TEXT(O250,"0"),CONDUCTORES!$A$3:$G$54,2,0),"")</f>
        <v/>
      </c>
      <c r="Q250" s="332">
        <f>IFERROR(VLOOKUP(TEXT(O250,"0"),CONDUCTORES!$A$3:$H$54,6,0),"")</f>
        <v/>
      </c>
      <c r="R250" s="280" t="n"/>
      <c r="S250" s="280" t="n"/>
      <c r="T250" s="280" t="n"/>
      <c r="U250" s="280" t="n"/>
      <c r="V250" s="280" t="n"/>
      <c r="W250" s="280" t="n"/>
      <c r="X250" s="280" t="n"/>
      <c r="Y250" s="280" t="n"/>
      <c r="Z250" s="375">
        <f>IF(AND(G250&lt;&gt;"",R250&lt;&gt;"",V250&lt;&gt;"",W250&lt;&gt;""),"COMPLETADO","OBSERVADO")</f>
        <v/>
      </c>
    </row>
    <row r="251" ht="15" customHeight="1" s="195">
      <c r="A251" s="334" t="n"/>
      <c r="B251" s="334" t="n"/>
      <c r="C251" s="334" t="n"/>
      <c r="D251" s="334" t="n"/>
      <c r="E251" s="334" t="n"/>
      <c r="F251" s="334" t="n"/>
      <c r="G251" s="334" t="n"/>
      <c r="H251" s="334" t="n"/>
      <c r="I251" s="332">
        <f>IFERROR(VLOOKUP(TEXT(H251,"0"),IPRESS!$A$3:$B$212,2,0),"")</f>
        <v/>
      </c>
      <c r="J251" s="334" t="n"/>
      <c r="K251" s="332">
        <f>IFERROR(VLOOKUP(TEXT(O251,"0"),CONDUCTORES!$A$3:$G$54,7,0),"")</f>
        <v/>
      </c>
      <c r="L251" s="334" t="n"/>
      <c r="M251" s="334" t="n"/>
      <c r="N251" s="333">
        <f>IFERROR(IF(L251*M251=0,"",L251*M251),"")</f>
        <v/>
      </c>
      <c r="O251" s="334" t="n"/>
      <c r="P251" s="332">
        <f>IFERROR(VLOOKUP(TEXT(O251,"0"),CONDUCTORES!$A$3:$G$54,2,0),"")</f>
        <v/>
      </c>
      <c r="Q251" s="332">
        <f>IFERROR(VLOOKUP(TEXT(O251,"0"),CONDUCTORES!$A$3:$H$54,6,0),"")</f>
        <v/>
      </c>
      <c r="R251" s="334" t="n"/>
      <c r="S251" s="334" t="n"/>
      <c r="T251" s="334" t="n"/>
      <c r="U251" s="334" t="n"/>
      <c r="V251" s="334" t="n"/>
      <c r="W251" s="334" t="n"/>
      <c r="X251" s="334" t="n"/>
      <c r="Y251" s="334" t="n"/>
      <c r="Z251" s="375">
        <f>IF(AND(G251&lt;&gt;"",R251&lt;&gt;"",V251&lt;&gt;"",W251&lt;&gt;""),"COMPLETADO","OBSERVADO")</f>
        <v/>
      </c>
    </row>
    <row r="252" ht="15" customHeight="1" s="195">
      <c r="A252" s="280" t="n"/>
      <c r="B252" s="280" t="n"/>
      <c r="C252" s="280" t="n"/>
      <c r="D252" s="280" t="n"/>
      <c r="E252" s="280" t="n"/>
      <c r="F252" s="280" t="n"/>
      <c r="G252" s="280" t="n"/>
      <c r="H252" s="280" t="n"/>
      <c r="I252" s="332">
        <f>IFERROR(VLOOKUP(TEXT(H252,"0"),IPRESS!$A$3:$B$212,2,0),"")</f>
        <v/>
      </c>
      <c r="J252" s="280" t="n"/>
      <c r="K252" s="332">
        <f>IFERROR(VLOOKUP(TEXT(O252,"0"),CONDUCTORES!$A$3:$G$54,7,0),"")</f>
        <v/>
      </c>
      <c r="L252" s="280" t="n"/>
      <c r="M252" s="280" t="n"/>
      <c r="N252" s="333">
        <f>IFERROR(IF(L252*M252=0,"",L252*M252),"")</f>
        <v/>
      </c>
      <c r="O252" s="280" t="n"/>
      <c r="P252" s="332">
        <f>IFERROR(VLOOKUP(TEXT(O252,"0"),CONDUCTORES!$A$3:$G$54,2,0),"")</f>
        <v/>
      </c>
      <c r="Q252" s="332">
        <f>IFERROR(VLOOKUP(TEXT(O252,"0"),CONDUCTORES!$A$3:$H$54,6,0),"")</f>
        <v/>
      </c>
      <c r="R252" s="280" t="n"/>
      <c r="S252" s="280" t="n"/>
      <c r="T252" s="280" t="n"/>
      <c r="U252" s="280" t="n"/>
      <c r="V252" s="280" t="n"/>
      <c r="W252" s="280" t="n"/>
      <c r="X252" s="280" t="n"/>
      <c r="Y252" s="280" t="n"/>
      <c r="Z252" s="375">
        <f>IF(AND(G252&lt;&gt;"",R252&lt;&gt;"",V252&lt;&gt;"",W252&lt;&gt;""),"COMPLETADO","OBSERVADO")</f>
        <v/>
      </c>
    </row>
    <row r="253" ht="15" customHeight="1" s="195">
      <c r="A253" s="334" t="n"/>
      <c r="B253" s="334" t="n"/>
      <c r="C253" s="334" t="n"/>
      <c r="D253" s="334" t="n"/>
      <c r="E253" s="334" t="n"/>
      <c r="F253" s="334" t="n"/>
      <c r="G253" s="334" t="n"/>
      <c r="H253" s="334" t="n"/>
      <c r="I253" s="332">
        <f>IFERROR(VLOOKUP(TEXT(H253,"0"),IPRESS!$A$3:$B$212,2,0),"")</f>
        <v/>
      </c>
      <c r="J253" s="334" t="n"/>
      <c r="K253" s="332">
        <f>IFERROR(VLOOKUP(TEXT(O253,"0"),CONDUCTORES!$A$3:$G$54,7,0),"")</f>
        <v/>
      </c>
      <c r="L253" s="334" t="n"/>
      <c r="M253" s="334" t="n"/>
      <c r="N253" s="333">
        <f>IFERROR(IF(L253*M253=0,"",L253*M253),"")</f>
        <v/>
      </c>
      <c r="O253" s="334" t="n"/>
      <c r="P253" s="332">
        <f>IFERROR(VLOOKUP(TEXT(O253,"0"),CONDUCTORES!$A$3:$G$54,2,0),"")</f>
        <v/>
      </c>
      <c r="Q253" s="332">
        <f>IFERROR(VLOOKUP(TEXT(O253,"0"),CONDUCTORES!$A$3:$H$54,6,0),"")</f>
        <v/>
      </c>
      <c r="R253" s="334" t="n"/>
      <c r="S253" s="334" t="n"/>
      <c r="T253" s="334" t="n"/>
      <c r="U253" s="334" t="n"/>
      <c r="V253" s="334" t="n"/>
      <c r="W253" s="334" t="n"/>
      <c r="X253" s="334" t="n"/>
      <c r="Y253" s="334" t="n"/>
      <c r="Z253" s="375">
        <f>IF(AND(G253&lt;&gt;"",R253&lt;&gt;"",V253&lt;&gt;"",W253&lt;&gt;""),"COMPLETADO","OBSERVADO")</f>
        <v/>
      </c>
    </row>
    <row r="254" ht="15" customHeight="1" s="195">
      <c r="A254" s="280" t="n"/>
      <c r="B254" s="280" t="n"/>
      <c r="C254" s="280" t="n"/>
      <c r="D254" s="280" t="n"/>
      <c r="E254" s="280" t="n"/>
      <c r="F254" s="280" t="n"/>
      <c r="G254" s="280" t="n"/>
      <c r="H254" s="280" t="n"/>
      <c r="I254" s="332">
        <f>IFERROR(VLOOKUP(TEXT(H254,"0"),IPRESS!$A$3:$B$212,2,0),"")</f>
        <v/>
      </c>
      <c r="J254" s="280" t="n"/>
      <c r="K254" s="332">
        <f>IFERROR(VLOOKUP(TEXT(O254,"0"),CONDUCTORES!$A$3:$G$54,7,0),"")</f>
        <v/>
      </c>
      <c r="L254" s="280" t="n"/>
      <c r="M254" s="280" t="n"/>
      <c r="N254" s="333">
        <f>IFERROR(IF(L254*M254=0,"",L254*M254),"")</f>
        <v/>
      </c>
      <c r="O254" s="280" t="n"/>
      <c r="P254" s="332">
        <f>IFERROR(VLOOKUP(TEXT(O254,"0"),CONDUCTORES!$A$3:$G$54,2,0),"")</f>
        <v/>
      </c>
      <c r="Q254" s="332">
        <f>IFERROR(VLOOKUP(TEXT(O254,"0"),CONDUCTORES!$A$3:$H$54,6,0),"")</f>
        <v/>
      </c>
      <c r="R254" s="280" t="n"/>
      <c r="S254" s="280" t="n"/>
      <c r="T254" s="280" t="n"/>
      <c r="U254" s="280" t="n"/>
      <c r="V254" s="280" t="n"/>
      <c r="W254" s="280" t="n"/>
      <c r="X254" s="280" t="n"/>
      <c r="Y254" s="280" t="n"/>
      <c r="Z254" s="375">
        <f>IF(AND(G254&lt;&gt;"",R254&lt;&gt;"",V254&lt;&gt;"",W254&lt;&gt;""),"COMPLETADO","OBSERVADO")</f>
        <v/>
      </c>
    </row>
    <row r="255" ht="15" customHeight="1" s="195">
      <c r="A255" s="334" t="n"/>
      <c r="B255" s="334" t="n"/>
      <c r="C255" s="334" t="n"/>
      <c r="D255" s="334" t="n"/>
      <c r="E255" s="334" t="n"/>
      <c r="F255" s="334" t="n"/>
      <c r="G255" s="334" t="n"/>
      <c r="H255" s="334" t="n"/>
      <c r="I255" s="332">
        <f>IFERROR(VLOOKUP(TEXT(H255,"0"),IPRESS!$A$3:$B$212,2,0),"")</f>
        <v/>
      </c>
      <c r="J255" s="334" t="n"/>
      <c r="K255" s="332">
        <f>IFERROR(VLOOKUP(TEXT(O255,"0"),CONDUCTORES!$A$3:$G$54,7,0),"")</f>
        <v/>
      </c>
      <c r="L255" s="334" t="n"/>
      <c r="M255" s="334" t="n"/>
      <c r="N255" s="333">
        <f>IFERROR(IF(L255*M255=0,"",L255*M255),"")</f>
        <v/>
      </c>
      <c r="O255" s="334" t="n"/>
      <c r="P255" s="332">
        <f>IFERROR(VLOOKUP(TEXT(O255,"0"),CONDUCTORES!$A$3:$G$54,2,0),"")</f>
        <v/>
      </c>
      <c r="Q255" s="332">
        <f>IFERROR(VLOOKUP(TEXT(O255,"0"),CONDUCTORES!$A$3:$H$54,6,0),"")</f>
        <v/>
      </c>
      <c r="R255" s="334" t="n"/>
      <c r="S255" s="334" t="n"/>
      <c r="T255" s="334" t="n"/>
      <c r="U255" s="334" t="n"/>
      <c r="V255" s="334" t="n"/>
      <c r="W255" s="334" t="n"/>
      <c r="X255" s="334" t="n"/>
      <c r="Y255" s="334" t="n"/>
      <c r="Z255" s="375">
        <f>IF(AND(G255&lt;&gt;"",R255&lt;&gt;"",V255&lt;&gt;"",W255&lt;&gt;""),"COMPLETADO","OBSERVADO")</f>
        <v/>
      </c>
    </row>
    <row r="256" ht="15" customHeight="1" s="195">
      <c r="A256" s="280" t="n"/>
      <c r="B256" s="280" t="n"/>
      <c r="C256" s="280" t="n"/>
      <c r="D256" s="280" t="n"/>
      <c r="E256" s="280" t="n"/>
      <c r="F256" s="280" t="n"/>
      <c r="G256" s="280" t="n"/>
      <c r="H256" s="280" t="n"/>
      <c r="I256" s="332">
        <f>IFERROR(VLOOKUP(TEXT(H256,"0"),IPRESS!$A$3:$B$212,2,0),"")</f>
        <v/>
      </c>
      <c r="J256" s="280" t="n"/>
      <c r="K256" s="332">
        <f>IFERROR(VLOOKUP(TEXT(O256,"0"),CONDUCTORES!$A$3:$G$54,7,0),"")</f>
        <v/>
      </c>
      <c r="L256" s="280" t="n"/>
      <c r="M256" s="280" t="n"/>
      <c r="N256" s="333">
        <f>IFERROR(IF(L256*M256=0,"",L256*M256),"")</f>
        <v/>
      </c>
      <c r="O256" s="280" t="n"/>
      <c r="P256" s="332">
        <f>IFERROR(VLOOKUP(TEXT(O256,"0"),CONDUCTORES!$A$3:$G$54,2,0),"")</f>
        <v/>
      </c>
      <c r="Q256" s="332">
        <f>IFERROR(VLOOKUP(TEXT(O256,"0"),CONDUCTORES!$A$3:$H$54,6,0),"")</f>
        <v/>
      </c>
      <c r="R256" s="280" t="n"/>
      <c r="S256" s="280" t="n"/>
      <c r="T256" s="280" t="n"/>
      <c r="U256" s="280" t="n"/>
      <c r="V256" s="280" t="n"/>
      <c r="W256" s="280" t="n"/>
      <c r="X256" s="280" t="n"/>
      <c r="Y256" s="280" t="n"/>
      <c r="Z256" s="375">
        <f>IF(AND(G256&lt;&gt;"",R256&lt;&gt;"",V256&lt;&gt;"",W256&lt;&gt;""),"COMPLETADO","OBSERVADO")</f>
        <v/>
      </c>
    </row>
    <row r="257" ht="15" customHeight="1" s="195">
      <c r="A257" s="334" t="n"/>
      <c r="B257" s="334" t="n"/>
      <c r="C257" s="334" t="n"/>
      <c r="D257" s="334" t="n"/>
      <c r="E257" s="334" t="n"/>
      <c r="F257" s="334" t="n"/>
      <c r="G257" s="334" t="n"/>
      <c r="H257" s="334" t="n"/>
      <c r="I257" s="332">
        <f>IFERROR(VLOOKUP(TEXT(H257,"0"),IPRESS!$A$3:$B$212,2,0),"")</f>
        <v/>
      </c>
      <c r="J257" s="334" t="n"/>
      <c r="K257" s="332">
        <f>IFERROR(VLOOKUP(TEXT(O257,"0"),CONDUCTORES!$A$3:$G$54,7,0),"")</f>
        <v/>
      </c>
      <c r="L257" s="334" t="n"/>
      <c r="M257" s="334" t="n"/>
      <c r="N257" s="333">
        <f>IFERROR(IF(L257*M257=0,"",L257*M257),"")</f>
        <v/>
      </c>
      <c r="O257" s="334" t="n"/>
      <c r="P257" s="332">
        <f>IFERROR(VLOOKUP(TEXT(O257,"0"),CONDUCTORES!$A$3:$G$54,2,0),"")</f>
        <v/>
      </c>
      <c r="Q257" s="332">
        <f>IFERROR(VLOOKUP(TEXT(O257,"0"),CONDUCTORES!$A$3:$H$54,6,0),"")</f>
        <v/>
      </c>
      <c r="R257" s="334" t="n"/>
      <c r="S257" s="334" t="n"/>
      <c r="T257" s="334" t="n"/>
      <c r="U257" s="334" t="n"/>
      <c r="V257" s="334" t="n"/>
      <c r="W257" s="334" t="n"/>
      <c r="X257" s="334" t="n"/>
      <c r="Y257" s="334" t="n"/>
      <c r="Z257" s="375">
        <f>IF(AND(G257&lt;&gt;"",R257&lt;&gt;"",V257&lt;&gt;"",W257&lt;&gt;""),"COMPLETADO","OBSERVADO")</f>
        <v/>
      </c>
    </row>
    <row r="258" ht="15" customHeight="1" s="195">
      <c r="A258" s="280" t="n"/>
      <c r="B258" s="280" t="n"/>
      <c r="C258" s="280" t="n"/>
      <c r="D258" s="280" t="n"/>
      <c r="E258" s="280" t="n"/>
      <c r="F258" s="280" t="n"/>
      <c r="G258" s="280" t="n"/>
      <c r="H258" s="280" t="n"/>
      <c r="I258" s="332">
        <f>IFERROR(VLOOKUP(TEXT(H258,"0"),IPRESS!$A$3:$B$212,2,0),"")</f>
        <v/>
      </c>
      <c r="J258" s="280" t="n"/>
      <c r="K258" s="332">
        <f>IFERROR(VLOOKUP(TEXT(O258,"0"),CONDUCTORES!$A$3:$G$54,7,0),"")</f>
        <v/>
      </c>
      <c r="L258" s="280" t="n"/>
      <c r="M258" s="280" t="n"/>
      <c r="N258" s="333">
        <f>IFERROR(IF(L258*M258=0,"",L258*M258),"")</f>
        <v/>
      </c>
      <c r="O258" s="280" t="n"/>
      <c r="P258" s="332">
        <f>IFERROR(VLOOKUP(TEXT(O258,"0"),CONDUCTORES!$A$3:$G$54,2,0),"")</f>
        <v/>
      </c>
      <c r="Q258" s="332">
        <f>IFERROR(VLOOKUP(TEXT(O258,"0"),CONDUCTORES!$A$3:$H$54,6,0),"")</f>
        <v/>
      </c>
      <c r="R258" s="280" t="n"/>
      <c r="S258" s="280" t="n"/>
      <c r="T258" s="280" t="n"/>
      <c r="U258" s="280" t="n"/>
      <c r="V258" s="280" t="n"/>
      <c r="W258" s="280" t="n"/>
      <c r="X258" s="280" t="n"/>
      <c r="Y258" s="280" t="n"/>
      <c r="Z258" s="375">
        <f>IF(AND(G258&lt;&gt;"",R258&lt;&gt;"",V258&lt;&gt;"",W258&lt;&gt;""),"COMPLETADO","OBSERVADO")</f>
        <v/>
      </c>
    </row>
    <row r="259" ht="15" customHeight="1" s="195">
      <c r="A259" s="334" t="n"/>
      <c r="B259" s="334" t="n"/>
      <c r="C259" s="334" t="n"/>
      <c r="D259" s="334" t="n"/>
      <c r="E259" s="334" t="n"/>
      <c r="F259" s="334" t="n"/>
      <c r="G259" s="334" t="n"/>
      <c r="H259" s="334" t="n"/>
      <c r="I259" s="332">
        <f>IFERROR(VLOOKUP(TEXT(H259,"0"),IPRESS!$A$3:$B$212,2,0),"")</f>
        <v/>
      </c>
      <c r="J259" s="334" t="n"/>
      <c r="K259" s="332">
        <f>IFERROR(VLOOKUP(TEXT(O259,"0"),CONDUCTORES!$A$3:$G$54,7,0),"")</f>
        <v/>
      </c>
      <c r="L259" s="334" t="n"/>
      <c r="M259" s="334" t="n"/>
      <c r="N259" s="333">
        <f>IFERROR(IF(L259*M259=0,"",L259*M259),"")</f>
        <v/>
      </c>
      <c r="O259" s="334" t="n"/>
      <c r="P259" s="332">
        <f>IFERROR(VLOOKUP(TEXT(O259,"0"),CONDUCTORES!$A$3:$G$54,2,0),"")</f>
        <v/>
      </c>
      <c r="Q259" s="332">
        <f>IFERROR(VLOOKUP(TEXT(O259,"0"),CONDUCTORES!$A$3:$H$54,6,0),"")</f>
        <v/>
      </c>
      <c r="R259" s="334" t="n"/>
      <c r="S259" s="334" t="n"/>
      <c r="T259" s="334" t="n"/>
      <c r="U259" s="334" t="n"/>
      <c r="V259" s="334" t="n"/>
      <c r="W259" s="334" t="n"/>
      <c r="X259" s="334" t="n"/>
      <c r="Y259" s="334" t="n"/>
      <c r="Z259" s="375">
        <f>IF(AND(G259&lt;&gt;"",R259&lt;&gt;"",V259&lt;&gt;"",W259&lt;&gt;""),"COMPLETADO","OBSERVADO")</f>
        <v/>
      </c>
    </row>
    <row r="260" ht="15" customHeight="1" s="195">
      <c r="A260" s="280" t="n"/>
      <c r="B260" s="280" t="n"/>
      <c r="C260" s="280" t="n"/>
      <c r="D260" s="280" t="n"/>
      <c r="E260" s="280" t="n"/>
      <c r="F260" s="280" t="n"/>
      <c r="G260" s="280" t="n"/>
      <c r="H260" s="280" t="n"/>
      <c r="I260" s="332">
        <f>IFERROR(VLOOKUP(TEXT(H260,"0"),IPRESS!$A$3:$B$212,2,0),"")</f>
        <v/>
      </c>
      <c r="J260" s="280" t="n"/>
      <c r="K260" s="332">
        <f>IFERROR(VLOOKUP(TEXT(O260,"0"),CONDUCTORES!$A$3:$G$54,7,0),"")</f>
        <v/>
      </c>
      <c r="L260" s="280" t="n"/>
      <c r="M260" s="280" t="n"/>
      <c r="N260" s="333">
        <f>IFERROR(IF(L260*M260=0,"",L260*M260),"")</f>
        <v/>
      </c>
      <c r="O260" s="280" t="n"/>
      <c r="P260" s="332">
        <f>IFERROR(VLOOKUP(TEXT(O260,"0"),CONDUCTORES!$A$3:$G$54,2,0),"")</f>
        <v/>
      </c>
      <c r="Q260" s="332">
        <f>IFERROR(VLOOKUP(TEXT(O260,"0"),CONDUCTORES!$A$3:$H$54,6,0),"")</f>
        <v/>
      </c>
      <c r="R260" s="280" t="n"/>
      <c r="S260" s="280" t="n"/>
      <c r="T260" s="280" t="n"/>
      <c r="U260" s="280" t="n"/>
      <c r="V260" s="280" t="n"/>
      <c r="W260" s="280" t="n"/>
      <c r="X260" s="280" t="n"/>
      <c r="Y260" s="280" t="n"/>
      <c r="Z260" s="375">
        <f>IF(AND(G260&lt;&gt;"",R260&lt;&gt;"",V260&lt;&gt;"",W260&lt;&gt;""),"COMPLETADO","OBSERVADO")</f>
        <v/>
      </c>
    </row>
    <row r="261" ht="15" customHeight="1" s="195">
      <c r="A261" s="334" t="n"/>
      <c r="B261" s="334" t="n"/>
      <c r="C261" s="334" t="n"/>
      <c r="D261" s="334" t="n"/>
      <c r="E261" s="334" t="n"/>
      <c r="F261" s="334" t="n"/>
      <c r="G261" s="334" t="n"/>
      <c r="H261" s="334" t="n"/>
      <c r="I261" s="332">
        <f>IFERROR(VLOOKUP(TEXT(H261,"0"),IPRESS!$A$3:$B$212,2,0),"")</f>
        <v/>
      </c>
      <c r="J261" s="334" t="n"/>
      <c r="K261" s="332">
        <f>IFERROR(VLOOKUP(TEXT(O261,"0"),CONDUCTORES!$A$3:$G$54,7,0),"")</f>
        <v/>
      </c>
      <c r="L261" s="334" t="n"/>
      <c r="M261" s="334" t="n"/>
      <c r="N261" s="333">
        <f>IFERROR(IF(L261*M261=0,"",L261*M261),"")</f>
        <v/>
      </c>
      <c r="O261" s="334" t="n"/>
      <c r="P261" s="332">
        <f>IFERROR(VLOOKUP(TEXT(O261,"0"),CONDUCTORES!$A$3:$G$54,2,0),"")</f>
        <v/>
      </c>
      <c r="Q261" s="332">
        <f>IFERROR(VLOOKUP(TEXT(O261,"0"),CONDUCTORES!$A$3:$H$54,6,0),"")</f>
        <v/>
      </c>
      <c r="R261" s="334" t="n"/>
      <c r="S261" s="334" t="n"/>
      <c r="T261" s="334" t="n"/>
      <c r="U261" s="334" t="n"/>
      <c r="V261" s="334" t="n"/>
      <c r="W261" s="334" t="n"/>
      <c r="X261" s="334" t="n"/>
      <c r="Y261" s="334" t="n"/>
      <c r="Z261" s="375">
        <f>IF(AND(G261&lt;&gt;"",R261&lt;&gt;"",V261&lt;&gt;"",W261&lt;&gt;""),"COMPLETADO","OBSERVADO")</f>
        <v/>
      </c>
    </row>
    <row r="262" ht="15" customHeight="1" s="195">
      <c r="A262" s="280" t="n"/>
      <c r="B262" s="280" t="n"/>
      <c r="C262" s="280" t="n"/>
      <c r="D262" s="280" t="n"/>
      <c r="E262" s="280" t="n"/>
      <c r="F262" s="280" t="n"/>
      <c r="G262" s="280" t="n"/>
      <c r="H262" s="280" t="n"/>
      <c r="I262" s="332">
        <f>IFERROR(VLOOKUP(TEXT(H262,"0"),IPRESS!$A$3:$B$212,2,0),"")</f>
        <v/>
      </c>
      <c r="J262" s="280" t="n"/>
      <c r="K262" s="332">
        <f>IFERROR(VLOOKUP(TEXT(O262,"0"),CONDUCTORES!$A$3:$G$54,7,0),"")</f>
        <v/>
      </c>
      <c r="L262" s="280" t="n"/>
      <c r="M262" s="280" t="n"/>
      <c r="N262" s="333">
        <f>IFERROR(IF(L262*M262=0,"",L262*M262),"")</f>
        <v/>
      </c>
      <c r="O262" s="280" t="n"/>
      <c r="P262" s="332">
        <f>IFERROR(VLOOKUP(TEXT(O262,"0"),CONDUCTORES!$A$3:$G$54,2,0),"")</f>
        <v/>
      </c>
      <c r="Q262" s="332">
        <f>IFERROR(VLOOKUP(TEXT(O262,"0"),CONDUCTORES!$A$3:$H$54,6,0),"")</f>
        <v/>
      </c>
      <c r="R262" s="280" t="n"/>
      <c r="S262" s="280" t="n"/>
      <c r="T262" s="280" t="n"/>
      <c r="U262" s="280" t="n"/>
      <c r="V262" s="280" t="n"/>
      <c r="W262" s="280" t="n"/>
      <c r="X262" s="280" t="n"/>
      <c r="Y262" s="280" t="n"/>
      <c r="Z262" s="375">
        <f>IF(AND(G262&lt;&gt;"",R262&lt;&gt;"",V262&lt;&gt;"",W262&lt;&gt;""),"COMPLETADO","OBSERVADO")</f>
        <v/>
      </c>
    </row>
    <row r="263" ht="15" customHeight="1" s="195">
      <c r="A263" s="334" t="n"/>
      <c r="B263" s="334" t="n"/>
      <c r="C263" s="334" t="n"/>
      <c r="D263" s="334" t="n"/>
      <c r="E263" s="334" t="n"/>
      <c r="F263" s="334" t="n"/>
      <c r="G263" s="334" t="n"/>
      <c r="H263" s="334" t="n"/>
      <c r="I263" s="332">
        <f>IFERROR(VLOOKUP(TEXT(H263,"0"),IPRESS!$A$3:$B$212,2,0),"")</f>
        <v/>
      </c>
      <c r="J263" s="334" t="n"/>
      <c r="K263" s="332">
        <f>IFERROR(VLOOKUP(TEXT(O263,"0"),CONDUCTORES!$A$3:$G$54,7,0),"")</f>
        <v/>
      </c>
      <c r="L263" s="334" t="n"/>
      <c r="M263" s="334" t="n"/>
      <c r="N263" s="333">
        <f>IFERROR(IF(L263*M263=0,"",L263*M263),"")</f>
        <v/>
      </c>
      <c r="O263" s="334" t="n"/>
      <c r="P263" s="332">
        <f>IFERROR(VLOOKUP(TEXT(O263,"0"),CONDUCTORES!$A$3:$G$54,2,0),"")</f>
        <v/>
      </c>
      <c r="Q263" s="332">
        <f>IFERROR(VLOOKUP(TEXT(O263,"0"),CONDUCTORES!$A$3:$H$54,6,0),"")</f>
        <v/>
      </c>
      <c r="R263" s="334" t="n"/>
      <c r="S263" s="334" t="n"/>
      <c r="T263" s="334" t="n"/>
      <c r="U263" s="334" t="n"/>
      <c r="V263" s="334" t="n"/>
      <c r="W263" s="334" t="n"/>
      <c r="X263" s="334" t="n"/>
      <c r="Y263" s="334" t="n"/>
      <c r="Z263" s="375">
        <f>IF(AND(G263&lt;&gt;"",R263&lt;&gt;"",V263&lt;&gt;"",W263&lt;&gt;""),"COMPLETADO","OBSERVADO")</f>
        <v/>
      </c>
    </row>
    <row r="264" ht="15" customHeight="1" s="195">
      <c r="A264" s="280" t="n"/>
      <c r="B264" s="280" t="n"/>
      <c r="C264" s="280" t="n"/>
      <c r="D264" s="280" t="n"/>
      <c r="E264" s="280" t="n"/>
      <c r="F264" s="280" t="n"/>
      <c r="G264" s="280" t="n"/>
      <c r="H264" s="280" t="n"/>
      <c r="I264" s="332">
        <f>IFERROR(VLOOKUP(TEXT(H264,"0"),IPRESS!$A$3:$B$212,2,0),"")</f>
        <v/>
      </c>
      <c r="J264" s="280" t="n"/>
      <c r="K264" s="332">
        <f>IFERROR(VLOOKUP(TEXT(O264,"0"),CONDUCTORES!$A$3:$G$54,7,0),"")</f>
        <v/>
      </c>
      <c r="L264" s="280" t="n"/>
      <c r="M264" s="280" t="n"/>
      <c r="N264" s="333">
        <f>IFERROR(IF(L264*M264=0,"",L264*M264),"")</f>
        <v/>
      </c>
      <c r="O264" s="280" t="n"/>
      <c r="P264" s="332">
        <f>IFERROR(VLOOKUP(TEXT(O264,"0"),CONDUCTORES!$A$3:$G$54,2,0),"")</f>
        <v/>
      </c>
      <c r="Q264" s="332">
        <f>IFERROR(VLOOKUP(TEXT(O264,"0"),CONDUCTORES!$A$3:$H$54,6,0),"")</f>
        <v/>
      </c>
      <c r="R264" s="280" t="n"/>
      <c r="S264" s="280" t="n"/>
      <c r="T264" s="280" t="n"/>
      <c r="U264" s="280" t="n"/>
      <c r="V264" s="280" t="n"/>
      <c r="W264" s="280" t="n"/>
      <c r="X264" s="280" t="n"/>
      <c r="Y264" s="280" t="n"/>
      <c r="Z264" s="375">
        <f>IF(AND(G264&lt;&gt;"",R264&lt;&gt;"",V264&lt;&gt;"",W264&lt;&gt;""),"COMPLETADO","OBSERVADO")</f>
        <v/>
      </c>
    </row>
    <row r="265" ht="15" customHeight="1" s="195">
      <c r="A265" s="334" t="n"/>
      <c r="B265" s="334" t="n"/>
      <c r="C265" s="334" t="n"/>
      <c r="D265" s="334" t="n"/>
      <c r="E265" s="334" t="n"/>
      <c r="F265" s="334" t="n"/>
      <c r="G265" s="334" t="n"/>
      <c r="H265" s="334" t="n"/>
      <c r="I265" s="332">
        <f>IFERROR(VLOOKUP(TEXT(H265,"0"),IPRESS!$A$3:$B$212,2,0),"")</f>
        <v/>
      </c>
      <c r="J265" s="334" t="n"/>
      <c r="K265" s="332">
        <f>IFERROR(VLOOKUP(TEXT(O265,"0"),CONDUCTORES!$A$3:$G$54,7,0),"")</f>
        <v/>
      </c>
      <c r="L265" s="334" t="n"/>
      <c r="M265" s="334" t="n"/>
      <c r="N265" s="333">
        <f>IFERROR(IF(L265*M265=0,"",L265*M265),"")</f>
        <v/>
      </c>
      <c r="O265" s="334" t="n"/>
      <c r="P265" s="332">
        <f>IFERROR(VLOOKUP(TEXT(O265,"0"),CONDUCTORES!$A$3:$G$54,2,0),"")</f>
        <v/>
      </c>
      <c r="Q265" s="332">
        <f>IFERROR(VLOOKUP(TEXT(O265,"0"),CONDUCTORES!$A$3:$H$54,6,0),"")</f>
        <v/>
      </c>
      <c r="R265" s="334" t="n"/>
      <c r="S265" s="334" t="n"/>
      <c r="T265" s="334" t="n"/>
      <c r="U265" s="334" t="n"/>
      <c r="V265" s="334" t="n"/>
      <c r="W265" s="334" t="n"/>
      <c r="X265" s="334" t="n"/>
      <c r="Y265" s="334" t="n"/>
      <c r="Z265" s="375">
        <f>IF(AND(G265&lt;&gt;"",R265&lt;&gt;"",V265&lt;&gt;"",W265&lt;&gt;""),"COMPLETADO","OBSERVADO")</f>
        <v/>
      </c>
    </row>
    <row r="266" ht="15" customHeight="1" s="195">
      <c r="A266" s="280" t="n"/>
      <c r="B266" s="280" t="n"/>
      <c r="C266" s="280" t="n"/>
      <c r="D266" s="280" t="n"/>
      <c r="E266" s="280" t="n"/>
      <c r="F266" s="280" t="n"/>
      <c r="G266" s="280" t="n"/>
      <c r="H266" s="280" t="n"/>
      <c r="I266" s="332">
        <f>IFERROR(VLOOKUP(TEXT(H266,"0"),IPRESS!$A$3:$B$212,2,0),"")</f>
        <v/>
      </c>
      <c r="J266" s="280" t="n"/>
      <c r="K266" s="332">
        <f>IFERROR(VLOOKUP(TEXT(O266,"0"),CONDUCTORES!$A$3:$G$54,7,0),"")</f>
        <v/>
      </c>
      <c r="L266" s="280" t="n"/>
      <c r="M266" s="280" t="n"/>
      <c r="N266" s="333">
        <f>IFERROR(IF(L266*M266=0,"",L266*M266),"")</f>
        <v/>
      </c>
      <c r="O266" s="280" t="n"/>
      <c r="P266" s="332">
        <f>IFERROR(VLOOKUP(TEXT(O266,"0"),CONDUCTORES!$A$3:$G$54,2,0),"")</f>
        <v/>
      </c>
      <c r="Q266" s="332">
        <f>IFERROR(VLOOKUP(TEXT(O266,"0"),CONDUCTORES!$A$3:$H$54,6,0),"")</f>
        <v/>
      </c>
      <c r="R266" s="280" t="n"/>
      <c r="S266" s="280" t="n"/>
      <c r="T266" s="280" t="n"/>
      <c r="U266" s="280" t="n"/>
      <c r="V266" s="280" t="n"/>
      <c r="W266" s="280" t="n"/>
      <c r="X266" s="280" t="n"/>
      <c r="Y266" s="280" t="n"/>
      <c r="Z266" s="375">
        <f>IF(AND(G266&lt;&gt;"",R266&lt;&gt;"",V266&lt;&gt;"",W266&lt;&gt;""),"COMPLETADO","OBSERVADO")</f>
        <v/>
      </c>
    </row>
    <row r="267" ht="15" customHeight="1" s="195">
      <c r="A267" s="334" t="n"/>
      <c r="B267" s="334" t="n"/>
      <c r="C267" s="334" t="n"/>
      <c r="D267" s="334" t="n"/>
      <c r="E267" s="334" t="n"/>
      <c r="F267" s="334" t="n"/>
      <c r="G267" s="334" t="n"/>
      <c r="H267" s="334" t="n"/>
      <c r="I267" s="332">
        <f>IFERROR(VLOOKUP(TEXT(H267,"0"),IPRESS!$A$3:$B$212,2,0),"")</f>
        <v/>
      </c>
      <c r="J267" s="334" t="n"/>
      <c r="K267" s="332">
        <f>IFERROR(VLOOKUP(TEXT(O267,"0"),CONDUCTORES!$A$3:$G$54,7,0),"")</f>
        <v/>
      </c>
      <c r="L267" s="334" t="n"/>
      <c r="M267" s="334" t="n"/>
      <c r="N267" s="333">
        <f>IFERROR(IF(L267*M267=0,"",L267*M267),"")</f>
        <v/>
      </c>
      <c r="O267" s="334" t="n"/>
      <c r="P267" s="332">
        <f>IFERROR(VLOOKUP(TEXT(O267,"0"),CONDUCTORES!$A$3:$G$54,2,0),"")</f>
        <v/>
      </c>
      <c r="Q267" s="332">
        <f>IFERROR(VLOOKUP(TEXT(O267,"0"),CONDUCTORES!$A$3:$H$54,6,0),"")</f>
        <v/>
      </c>
      <c r="R267" s="334" t="n"/>
      <c r="S267" s="334" t="n"/>
      <c r="T267" s="334" t="n"/>
      <c r="U267" s="334" t="n"/>
      <c r="V267" s="334" t="n"/>
      <c r="W267" s="334" t="n"/>
      <c r="X267" s="334" t="n"/>
      <c r="Y267" s="334" t="n"/>
      <c r="Z267" s="375">
        <f>IF(AND(G267&lt;&gt;"",R267&lt;&gt;"",V267&lt;&gt;"",W267&lt;&gt;""),"COMPLETADO","OBSERVADO")</f>
        <v/>
      </c>
    </row>
    <row r="268" ht="15" customHeight="1" s="195">
      <c r="A268" s="280" t="n"/>
      <c r="B268" s="280" t="n"/>
      <c r="C268" s="280" t="n"/>
      <c r="D268" s="280" t="n"/>
      <c r="E268" s="280" t="n"/>
      <c r="F268" s="280" t="n"/>
      <c r="G268" s="280" t="n"/>
      <c r="H268" s="280" t="n"/>
      <c r="I268" s="332">
        <f>IFERROR(VLOOKUP(TEXT(H268,"0"),IPRESS!$A$3:$B$212,2,0),"")</f>
        <v/>
      </c>
      <c r="J268" s="280" t="n"/>
      <c r="K268" s="332">
        <f>IFERROR(VLOOKUP(TEXT(O268,"0"),CONDUCTORES!$A$3:$G$54,7,0),"")</f>
        <v/>
      </c>
      <c r="L268" s="280" t="n"/>
      <c r="M268" s="280" t="n"/>
      <c r="N268" s="333">
        <f>IFERROR(IF(L268*M268=0,"",L268*M268),"")</f>
        <v/>
      </c>
      <c r="O268" s="280" t="n"/>
      <c r="P268" s="332">
        <f>IFERROR(VLOOKUP(TEXT(O268,"0"),CONDUCTORES!$A$3:$G$54,2,0),"")</f>
        <v/>
      </c>
      <c r="Q268" s="332">
        <f>IFERROR(VLOOKUP(TEXT(O268,"0"),CONDUCTORES!$A$3:$H$54,6,0),"")</f>
        <v/>
      </c>
      <c r="R268" s="280" t="n"/>
      <c r="S268" s="280" t="n"/>
      <c r="T268" s="280" t="n"/>
      <c r="U268" s="280" t="n"/>
      <c r="V268" s="280" t="n"/>
      <c r="W268" s="280" t="n"/>
      <c r="X268" s="280" t="n"/>
      <c r="Y268" s="280" t="n"/>
      <c r="Z268" s="375">
        <f>IF(AND(G268&lt;&gt;"",R268&lt;&gt;"",V268&lt;&gt;"",W268&lt;&gt;""),"COMPLETADO","OBSERVADO")</f>
        <v/>
      </c>
    </row>
    <row r="269" ht="15" customHeight="1" s="195">
      <c r="A269" s="334" t="n"/>
      <c r="B269" s="334" t="n"/>
      <c r="C269" s="334" t="n"/>
      <c r="D269" s="334" t="n"/>
      <c r="E269" s="334" t="n"/>
      <c r="F269" s="334" t="n"/>
      <c r="G269" s="334" t="n"/>
      <c r="H269" s="334" t="n"/>
      <c r="I269" s="332">
        <f>IFERROR(VLOOKUP(TEXT(H269,"0"),IPRESS!$A$3:$B$212,2,0),"")</f>
        <v/>
      </c>
      <c r="J269" s="334" t="n"/>
      <c r="K269" s="332">
        <f>IFERROR(VLOOKUP(TEXT(O269,"0"),CONDUCTORES!$A$3:$G$54,7,0),"")</f>
        <v/>
      </c>
      <c r="L269" s="334" t="n"/>
      <c r="M269" s="334" t="n"/>
      <c r="N269" s="333">
        <f>IFERROR(IF(L269*M269=0,"",L269*M269),"")</f>
        <v/>
      </c>
      <c r="O269" s="334" t="n"/>
      <c r="P269" s="332">
        <f>IFERROR(VLOOKUP(TEXT(O269,"0"),CONDUCTORES!$A$3:$G$54,2,0),"")</f>
        <v/>
      </c>
      <c r="Q269" s="332">
        <f>IFERROR(VLOOKUP(TEXT(O269,"0"),CONDUCTORES!$A$3:$H$54,6,0),"")</f>
        <v/>
      </c>
      <c r="R269" s="334" t="n"/>
      <c r="S269" s="334" t="n"/>
      <c r="T269" s="334" t="n"/>
      <c r="U269" s="334" t="n"/>
      <c r="V269" s="334" t="n"/>
      <c r="W269" s="334" t="n"/>
      <c r="X269" s="334" t="n"/>
      <c r="Y269" s="334" t="n"/>
      <c r="Z269" s="375">
        <f>IF(AND(G269&lt;&gt;"",R269&lt;&gt;"",V269&lt;&gt;"",W269&lt;&gt;""),"COMPLETADO","OBSERVADO")</f>
        <v/>
      </c>
    </row>
    <row r="270" ht="15" customHeight="1" s="195">
      <c r="A270" s="280" t="n"/>
      <c r="B270" s="280" t="n"/>
      <c r="C270" s="280" t="n"/>
      <c r="D270" s="280" t="n"/>
      <c r="E270" s="280" t="n"/>
      <c r="F270" s="280" t="n"/>
      <c r="G270" s="280" t="n"/>
      <c r="H270" s="280" t="n"/>
      <c r="I270" s="332">
        <f>IFERROR(VLOOKUP(TEXT(H270,"0"),IPRESS!$A$3:$B$212,2,0),"")</f>
        <v/>
      </c>
      <c r="J270" s="280" t="n"/>
      <c r="K270" s="332">
        <f>IFERROR(VLOOKUP(TEXT(O270,"0"),CONDUCTORES!$A$3:$G$54,7,0),"")</f>
        <v/>
      </c>
      <c r="L270" s="280" t="n"/>
      <c r="M270" s="280" t="n"/>
      <c r="N270" s="333">
        <f>IFERROR(IF(L270*M270=0,"",L270*M270),"")</f>
        <v/>
      </c>
      <c r="O270" s="280" t="n"/>
      <c r="P270" s="332">
        <f>IFERROR(VLOOKUP(TEXT(O270,"0"),CONDUCTORES!$A$3:$G$54,2,0),"")</f>
        <v/>
      </c>
      <c r="Q270" s="332">
        <f>IFERROR(VLOOKUP(TEXT(O270,"0"),CONDUCTORES!$A$3:$H$54,6,0),"")</f>
        <v/>
      </c>
      <c r="R270" s="280" t="n"/>
      <c r="S270" s="280" t="n"/>
      <c r="T270" s="280" t="n"/>
      <c r="U270" s="280" t="n"/>
      <c r="V270" s="280" t="n"/>
      <c r="W270" s="280" t="n"/>
      <c r="X270" s="280" t="n"/>
      <c r="Y270" s="280" t="n"/>
      <c r="Z270" s="375">
        <f>IF(AND(G270&lt;&gt;"",R270&lt;&gt;"",V270&lt;&gt;"",W270&lt;&gt;""),"COMPLETADO","OBSERVADO")</f>
        <v/>
      </c>
    </row>
    <row r="271" ht="15" customHeight="1" s="195">
      <c r="A271" s="334" t="n"/>
      <c r="B271" s="334" t="n"/>
      <c r="C271" s="334" t="n"/>
      <c r="D271" s="334" t="n"/>
      <c r="E271" s="334" t="n"/>
      <c r="F271" s="334" t="n"/>
      <c r="G271" s="334" t="n"/>
      <c r="H271" s="334" t="n"/>
      <c r="I271" s="332">
        <f>IFERROR(VLOOKUP(TEXT(H271,"0"),IPRESS!$A$3:$B$212,2,0),"")</f>
        <v/>
      </c>
      <c r="J271" s="334" t="n"/>
      <c r="K271" s="332">
        <f>IFERROR(VLOOKUP(TEXT(O271,"0"),CONDUCTORES!$A$3:$G$54,7,0),"")</f>
        <v/>
      </c>
      <c r="L271" s="334" t="n"/>
      <c r="M271" s="334" t="n"/>
      <c r="N271" s="333">
        <f>IFERROR(IF(L271*M271=0,"",L271*M271),"")</f>
        <v/>
      </c>
      <c r="O271" s="334" t="n"/>
      <c r="P271" s="332">
        <f>IFERROR(VLOOKUP(TEXT(O271,"0"),CONDUCTORES!$A$3:$G$54,2,0),"")</f>
        <v/>
      </c>
      <c r="Q271" s="332">
        <f>IFERROR(VLOOKUP(TEXT(O271,"0"),CONDUCTORES!$A$3:$H$54,6,0),"")</f>
        <v/>
      </c>
      <c r="R271" s="334" t="n"/>
      <c r="S271" s="334" t="n"/>
      <c r="T271" s="334" t="n"/>
      <c r="U271" s="334" t="n"/>
      <c r="V271" s="334" t="n"/>
      <c r="W271" s="334" t="n"/>
      <c r="X271" s="334" t="n"/>
      <c r="Y271" s="334" t="n"/>
      <c r="Z271" s="375">
        <f>IF(AND(G271&lt;&gt;"",R271&lt;&gt;"",V271&lt;&gt;"",W271&lt;&gt;""),"COMPLETADO","OBSERVADO")</f>
        <v/>
      </c>
    </row>
    <row r="272" ht="15" customHeight="1" s="195">
      <c r="A272" s="280" t="n"/>
      <c r="B272" s="280" t="n"/>
      <c r="C272" s="280" t="n"/>
      <c r="D272" s="280" t="n"/>
      <c r="E272" s="280" t="n"/>
      <c r="F272" s="280" t="n"/>
      <c r="G272" s="280" t="n"/>
      <c r="H272" s="280" t="n"/>
      <c r="I272" s="332">
        <f>IFERROR(VLOOKUP(TEXT(H272,"0"),IPRESS!$A$3:$B$212,2,0),"")</f>
        <v/>
      </c>
      <c r="J272" s="280" t="n"/>
      <c r="K272" s="332">
        <f>IFERROR(VLOOKUP(TEXT(O272,"0"),CONDUCTORES!$A$3:$G$54,7,0),"")</f>
        <v/>
      </c>
      <c r="L272" s="280" t="n"/>
      <c r="M272" s="280" t="n"/>
      <c r="N272" s="333">
        <f>IFERROR(IF(L272*M272=0,"",L272*M272),"")</f>
        <v/>
      </c>
      <c r="O272" s="280" t="n"/>
      <c r="P272" s="332">
        <f>IFERROR(VLOOKUP(TEXT(O272,"0"),CONDUCTORES!$A$3:$G$54,2,0),"")</f>
        <v/>
      </c>
      <c r="Q272" s="332">
        <f>IFERROR(VLOOKUP(TEXT(O272,"0"),CONDUCTORES!$A$3:$H$54,6,0),"")</f>
        <v/>
      </c>
      <c r="R272" s="280" t="n"/>
      <c r="S272" s="280" t="n"/>
      <c r="T272" s="280" t="n"/>
      <c r="U272" s="280" t="n"/>
      <c r="V272" s="280" t="n"/>
      <c r="W272" s="280" t="n"/>
      <c r="X272" s="280" t="n"/>
      <c r="Y272" s="280" t="n"/>
      <c r="Z272" s="375">
        <f>IF(AND(G272&lt;&gt;"",R272&lt;&gt;"",V272&lt;&gt;"",W272&lt;&gt;""),"COMPLETADO","OBSERVADO")</f>
        <v/>
      </c>
    </row>
    <row r="273" ht="15" customHeight="1" s="195">
      <c r="A273" s="334" t="n"/>
      <c r="B273" s="334" t="n"/>
      <c r="C273" s="334" t="n"/>
      <c r="D273" s="334" t="n"/>
      <c r="E273" s="334" t="n"/>
      <c r="F273" s="334" t="n"/>
      <c r="G273" s="334" t="n"/>
      <c r="H273" s="334" t="n"/>
      <c r="I273" s="332">
        <f>IFERROR(VLOOKUP(TEXT(H273,"0"),IPRESS!$A$3:$B$212,2,0),"")</f>
        <v/>
      </c>
      <c r="J273" s="334" t="n"/>
      <c r="K273" s="332">
        <f>IFERROR(VLOOKUP(TEXT(O273,"0"),CONDUCTORES!$A$3:$G$54,7,0),"")</f>
        <v/>
      </c>
      <c r="L273" s="334" t="n"/>
      <c r="M273" s="334" t="n"/>
      <c r="N273" s="333">
        <f>IFERROR(IF(L273*M273=0,"",L273*M273),"")</f>
        <v/>
      </c>
      <c r="O273" s="334" t="n"/>
      <c r="P273" s="332">
        <f>IFERROR(VLOOKUP(TEXT(O273,"0"),CONDUCTORES!$A$3:$G$54,2,0),"")</f>
        <v/>
      </c>
      <c r="Q273" s="332">
        <f>IFERROR(VLOOKUP(TEXT(O273,"0"),CONDUCTORES!$A$3:$H$54,6,0),"")</f>
        <v/>
      </c>
      <c r="R273" s="334" t="n"/>
      <c r="S273" s="334" t="n"/>
      <c r="T273" s="334" t="n"/>
      <c r="U273" s="334" t="n"/>
      <c r="V273" s="334" t="n"/>
      <c r="W273" s="334" t="n"/>
      <c r="X273" s="334" t="n"/>
      <c r="Y273" s="334" t="n"/>
      <c r="Z273" s="375">
        <f>IF(AND(G273&lt;&gt;"",R273&lt;&gt;"",V273&lt;&gt;"",W273&lt;&gt;""),"COMPLETADO","OBSERVADO")</f>
        <v/>
      </c>
    </row>
    <row r="274" ht="15" customHeight="1" s="195">
      <c r="A274" s="280" t="n"/>
      <c r="B274" s="280" t="n"/>
      <c r="C274" s="280" t="n"/>
      <c r="D274" s="280" t="n"/>
      <c r="E274" s="280" t="n"/>
      <c r="F274" s="280" t="n"/>
      <c r="G274" s="280" t="n"/>
      <c r="H274" s="280" t="n"/>
      <c r="I274" s="332">
        <f>IFERROR(VLOOKUP(TEXT(H274,"0"),IPRESS!$A$3:$B$212,2,0),"")</f>
        <v/>
      </c>
      <c r="J274" s="280" t="n"/>
      <c r="K274" s="332">
        <f>IFERROR(VLOOKUP(TEXT(O274,"0"),CONDUCTORES!$A$3:$G$54,7,0),"")</f>
        <v/>
      </c>
      <c r="L274" s="280" t="n"/>
      <c r="M274" s="280" t="n"/>
      <c r="N274" s="333">
        <f>IFERROR(IF(L274*M274=0,"",L274*M274),"")</f>
        <v/>
      </c>
      <c r="O274" s="280" t="n"/>
      <c r="P274" s="332">
        <f>IFERROR(VLOOKUP(TEXT(O274,"0"),CONDUCTORES!$A$3:$G$54,2,0),"")</f>
        <v/>
      </c>
      <c r="Q274" s="332">
        <f>IFERROR(VLOOKUP(TEXT(O274,"0"),CONDUCTORES!$A$3:$H$54,6,0),"")</f>
        <v/>
      </c>
      <c r="R274" s="280" t="n"/>
      <c r="S274" s="280" t="n"/>
      <c r="T274" s="280" t="n"/>
      <c r="U274" s="280" t="n"/>
      <c r="V274" s="280" t="n"/>
      <c r="W274" s="280" t="n"/>
      <c r="X274" s="280" t="n"/>
      <c r="Y274" s="280" t="n"/>
      <c r="Z274" s="375">
        <f>IF(AND(G274&lt;&gt;"",R274&lt;&gt;"",V274&lt;&gt;"",W274&lt;&gt;""),"COMPLETADO","OBSERVADO")</f>
        <v/>
      </c>
    </row>
    <row r="275" ht="15" customHeight="1" s="195">
      <c r="A275" s="334" t="n"/>
      <c r="B275" s="334" t="n"/>
      <c r="C275" s="334" t="n"/>
      <c r="D275" s="334" t="n"/>
      <c r="E275" s="334" t="n"/>
      <c r="F275" s="334" t="n"/>
      <c r="G275" s="334" t="n"/>
      <c r="H275" s="334" t="n"/>
      <c r="I275" s="332">
        <f>IFERROR(VLOOKUP(TEXT(H275,"0"),IPRESS!$A$3:$B$212,2,0),"")</f>
        <v/>
      </c>
      <c r="J275" s="334" t="n"/>
      <c r="K275" s="332">
        <f>IFERROR(VLOOKUP(TEXT(O275,"0"),CONDUCTORES!$A$3:$G$54,7,0),"")</f>
        <v/>
      </c>
      <c r="L275" s="334" t="n"/>
      <c r="M275" s="334" t="n"/>
      <c r="N275" s="333">
        <f>IFERROR(IF(L275*M275=0,"",L275*M275),"")</f>
        <v/>
      </c>
      <c r="O275" s="334" t="n"/>
      <c r="P275" s="332">
        <f>IFERROR(VLOOKUP(TEXT(O275,"0"),CONDUCTORES!$A$3:$G$54,2,0),"")</f>
        <v/>
      </c>
      <c r="Q275" s="332">
        <f>IFERROR(VLOOKUP(TEXT(O275,"0"),CONDUCTORES!$A$3:$H$54,6,0),"")</f>
        <v/>
      </c>
      <c r="R275" s="334" t="n"/>
      <c r="S275" s="334" t="n"/>
      <c r="T275" s="334" t="n"/>
      <c r="U275" s="334" t="n"/>
      <c r="V275" s="334" t="n"/>
      <c r="W275" s="334" t="n"/>
      <c r="X275" s="334" t="n"/>
      <c r="Y275" s="334" t="n"/>
      <c r="Z275" s="375">
        <f>IF(AND(G275&lt;&gt;"",R275&lt;&gt;"",V275&lt;&gt;"",W275&lt;&gt;""),"COMPLETADO","OBSERVADO")</f>
        <v/>
      </c>
    </row>
    <row r="276" ht="15" customHeight="1" s="195">
      <c r="A276" s="280" t="n"/>
      <c r="B276" s="280" t="n"/>
      <c r="C276" s="280" t="n"/>
      <c r="D276" s="280" t="n"/>
      <c r="E276" s="280" t="n"/>
      <c r="F276" s="280" t="n"/>
      <c r="G276" s="280" t="n"/>
      <c r="H276" s="280" t="n"/>
      <c r="I276" s="332">
        <f>IFERROR(VLOOKUP(TEXT(H276,"0"),IPRESS!$A$3:$B$212,2,0),"")</f>
        <v/>
      </c>
      <c r="J276" s="280" t="n"/>
      <c r="K276" s="332">
        <f>IFERROR(VLOOKUP(TEXT(O276,"0"),CONDUCTORES!$A$3:$G$54,7,0),"")</f>
        <v/>
      </c>
      <c r="L276" s="280" t="n"/>
      <c r="M276" s="280" t="n"/>
      <c r="N276" s="333">
        <f>IFERROR(IF(L276*M276=0,"",L276*M276),"")</f>
        <v/>
      </c>
      <c r="O276" s="280" t="n"/>
      <c r="P276" s="332">
        <f>IFERROR(VLOOKUP(TEXT(O276,"0"),CONDUCTORES!$A$3:$G$54,2,0),"")</f>
        <v/>
      </c>
      <c r="Q276" s="332">
        <f>IFERROR(VLOOKUP(TEXT(O276,"0"),CONDUCTORES!$A$3:$H$54,6,0),"")</f>
        <v/>
      </c>
      <c r="R276" s="280" t="n"/>
      <c r="S276" s="280" t="n"/>
      <c r="T276" s="280" t="n"/>
      <c r="U276" s="280" t="n"/>
      <c r="V276" s="280" t="n"/>
      <c r="W276" s="280" t="n"/>
      <c r="X276" s="280" t="n"/>
      <c r="Y276" s="280" t="n"/>
      <c r="Z276" s="375">
        <f>IF(AND(G276&lt;&gt;"",R276&lt;&gt;"",V276&lt;&gt;"",W276&lt;&gt;""),"COMPLETADO","OBSERVADO")</f>
        <v/>
      </c>
    </row>
    <row r="277" ht="15" customHeight="1" s="195">
      <c r="A277" s="334" t="n"/>
      <c r="B277" s="334" t="n"/>
      <c r="C277" s="334" t="n"/>
      <c r="D277" s="334" t="n"/>
      <c r="E277" s="334" t="n"/>
      <c r="F277" s="334" t="n"/>
      <c r="G277" s="334" t="n"/>
      <c r="H277" s="334" t="n"/>
      <c r="I277" s="332">
        <f>IFERROR(VLOOKUP(TEXT(H277,"0"),IPRESS!$A$3:$B$212,2,0),"")</f>
        <v/>
      </c>
      <c r="J277" s="334" t="n"/>
      <c r="K277" s="332">
        <f>IFERROR(VLOOKUP(TEXT(O277,"0"),CONDUCTORES!$A$3:$G$54,7,0),"")</f>
        <v/>
      </c>
      <c r="L277" s="334" t="n"/>
      <c r="M277" s="334" t="n"/>
      <c r="N277" s="333">
        <f>IFERROR(IF(L277*M277=0,"",L277*M277),"")</f>
        <v/>
      </c>
      <c r="O277" s="334" t="n"/>
      <c r="P277" s="332">
        <f>IFERROR(VLOOKUP(TEXT(O277,"0"),CONDUCTORES!$A$3:$G$54,2,0),"")</f>
        <v/>
      </c>
      <c r="Q277" s="332">
        <f>IFERROR(VLOOKUP(TEXT(O277,"0"),CONDUCTORES!$A$3:$H$54,6,0),"")</f>
        <v/>
      </c>
      <c r="R277" s="334" t="n"/>
      <c r="S277" s="334" t="n"/>
      <c r="T277" s="334" t="n"/>
      <c r="U277" s="334" t="n"/>
      <c r="V277" s="334" t="n"/>
      <c r="W277" s="334" t="n"/>
      <c r="X277" s="334" t="n"/>
      <c r="Y277" s="334" t="n"/>
      <c r="Z277" s="375">
        <f>IF(AND(G277&lt;&gt;"",R277&lt;&gt;"",V277&lt;&gt;"",W277&lt;&gt;""),"COMPLETADO","OBSERVADO")</f>
        <v/>
      </c>
    </row>
    <row r="278" ht="15" customHeight="1" s="195">
      <c r="A278" s="280" t="n"/>
      <c r="B278" s="280" t="n"/>
      <c r="C278" s="280" t="n"/>
      <c r="D278" s="280" t="n"/>
      <c r="E278" s="280" t="n"/>
      <c r="F278" s="280" t="n"/>
      <c r="G278" s="280" t="n"/>
      <c r="H278" s="280" t="n"/>
      <c r="I278" s="332">
        <f>IFERROR(VLOOKUP(TEXT(H278,"0"),IPRESS!$A$3:$B$212,2,0),"")</f>
        <v/>
      </c>
      <c r="J278" s="280" t="n"/>
      <c r="K278" s="332">
        <f>IFERROR(VLOOKUP(TEXT(O278,"0"),CONDUCTORES!$A$3:$G$54,7,0),"")</f>
        <v/>
      </c>
      <c r="L278" s="280" t="n"/>
      <c r="M278" s="280" t="n"/>
      <c r="N278" s="333">
        <f>IFERROR(IF(L278*M278=0,"",L278*M278),"")</f>
        <v/>
      </c>
      <c r="O278" s="280" t="n"/>
      <c r="P278" s="332">
        <f>IFERROR(VLOOKUP(TEXT(O278,"0"),CONDUCTORES!$A$3:$G$54,2,0),"")</f>
        <v/>
      </c>
      <c r="Q278" s="332">
        <f>IFERROR(VLOOKUP(TEXT(O278,"0"),CONDUCTORES!$A$3:$H$54,6,0),"")</f>
        <v/>
      </c>
      <c r="R278" s="280" t="n"/>
      <c r="S278" s="280" t="n"/>
      <c r="T278" s="280" t="n"/>
      <c r="U278" s="280" t="n"/>
      <c r="V278" s="280" t="n"/>
      <c r="W278" s="280" t="n"/>
      <c r="X278" s="280" t="n"/>
      <c r="Y278" s="280" t="n"/>
      <c r="Z278" s="375">
        <f>IF(AND(G278&lt;&gt;"",R278&lt;&gt;"",V278&lt;&gt;"",W278&lt;&gt;""),"COMPLETADO","OBSERVADO")</f>
        <v/>
      </c>
    </row>
    <row r="279" ht="15" customHeight="1" s="195">
      <c r="A279" s="334" t="n"/>
      <c r="B279" s="334" t="n"/>
      <c r="C279" s="334" t="n"/>
      <c r="D279" s="334" t="n"/>
      <c r="E279" s="334" t="n"/>
      <c r="F279" s="334" t="n"/>
      <c r="G279" s="334" t="n"/>
      <c r="H279" s="334" t="n"/>
      <c r="I279" s="332">
        <f>IFERROR(VLOOKUP(TEXT(H279,"0"),IPRESS!$A$3:$B$212,2,0),"")</f>
        <v/>
      </c>
      <c r="J279" s="334" t="n"/>
      <c r="K279" s="332">
        <f>IFERROR(VLOOKUP(TEXT(O279,"0"),CONDUCTORES!$A$3:$G$54,7,0),"")</f>
        <v/>
      </c>
      <c r="L279" s="334" t="n"/>
      <c r="M279" s="334" t="n"/>
      <c r="N279" s="333">
        <f>IFERROR(IF(L279*M279=0,"",L279*M279),"")</f>
        <v/>
      </c>
      <c r="O279" s="334" t="n"/>
      <c r="P279" s="332">
        <f>IFERROR(VLOOKUP(TEXT(O279,"0"),CONDUCTORES!$A$3:$G$54,2,0),"")</f>
        <v/>
      </c>
      <c r="Q279" s="332">
        <f>IFERROR(VLOOKUP(TEXT(O279,"0"),CONDUCTORES!$A$3:$H$54,6,0),"")</f>
        <v/>
      </c>
      <c r="R279" s="334" t="n"/>
      <c r="S279" s="334" t="n"/>
      <c r="T279" s="334" t="n"/>
      <c r="U279" s="334" t="n"/>
      <c r="V279" s="334" t="n"/>
      <c r="W279" s="334" t="n"/>
      <c r="X279" s="334" t="n"/>
      <c r="Y279" s="334" t="n"/>
      <c r="Z279" s="375">
        <f>IF(AND(G279&lt;&gt;"",R279&lt;&gt;"",V279&lt;&gt;"",W279&lt;&gt;""),"COMPLETADO","OBSERVADO")</f>
        <v/>
      </c>
    </row>
    <row r="280" ht="15" customHeight="1" s="195">
      <c r="A280" s="280" t="n"/>
      <c r="B280" s="280" t="n"/>
      <c r="C280" s="280" t="n"/>
      <c r="D280" s="280" t="n"/>
      <c r="E280" s="280" t="n"/>
      <c r="F280" s="280" t="n"/>
      <c r="G280" s="280" t="n"/>
      <c r="H280" s="280" t="n"/>
      <c r="I280" s="332">
        <f>IFERROR(VLOOKUP(TEXT(H280,"0"),IPRESS!$A$3:$B$212,2,0),"")</f>
        <v/>
      </c>
      <c r="J280" s="280" t="n"/>
      <c r="K280" s="332">
        <f>IFERROR(VLOOKUP(TEXT(O280,"0"),CONDUCTORES!$A$3:$G$54,7,0),"")</f>
        <v/>
      </c>
      <c r="L280" s="280" t="n"/>
      <c r="M280" s="280" t="n"/>
      <c r="N280" s="333">
        <f>IFERROR(IF(L280*M280=0,"",L280*M280),"")</f>
        <v/>
      </c>
      <c r="O280" s="280" t="n"/>
      <c r="P280" s="332">
        <f>IFERROR(VLOOKUP(TEXT(O280,"0"),CONDUCTORES!$A$3:$G$54,2,0),"")</f>
        <v/>
      </c>
      <c r="Q280" s="332">
        <f>IFERROR(VLOOKUP(TEXT(O280,"0"),CONDUCTORES!$A$3:$H$54,6,0),"")</f>
        <v/>
      </c>
      <c r="R280" s="280" t="n"/>
      <c r="S280" s="280" t="n"/>
      <c r="T280" s="280" t="n"/>
      <c r="U280" s="280" t="n"/>
      <c r="V280" s="280" t="n"/>
      <c r="W280" s="280" t="n"/>
      <c r="X280" s="280" t="n"/>
      <c r="Y280" s="280" t="n"/>
      <c r="Z280" s="375">
        <f>IF(AND(G280&lt;&gt;"",R280&lt;&gt;"",V280&lt;&gt;"",W280&lt;&gt;""),"COMPLETADO","OBSERVADO")</f>
        <v/>
      </c>
    </row>
    <row r="281" ht="15" customHeight="1" s="195">
      <c r="A281" s="334" t="n"/>
      <c r="B281" s="334" t="n"/>
      <c r="C281" s="334" t="n"/>
      <c r="D281" s="334" t="n"/>
      <c r="E281" s="334" t="n"/>
      <c r="F281" s="334" t="n"/>
      <c r="G281" s="334" t="n"/>
      <c r="H281" s="334" t="n"/>
      <c r="I281" s="332">
        <f>IFERROR(VLOOKUP(TEXT(H281,"0"),IPRESS!$A$3:$B$212,2,0),"")</f>
        <v/>
      </c>
      <c r="J281" s="334" t="n"/>
      <c r="K281" s="332">
        <f>IFERROR(VLOOKUP(TEXT(O281,"0"),CONDUCTORES!$A$3:$G$54,7,0),"")</f>
        <v/>
      </c>
      <c r="L281" s="334" t="n"/>
      <c r="M281" s="334" t="n"/>
      <c r="N281" s="333">
        <f>IFERROR(IF(L281*M281=0,"",L281*M281),"")</f>
        <v/>
      </c>
      <c r="O281" s="334" t="n"/>
      <c r="P281" s="332">
        <f>IFERROR(VLOOKUP(TEXT(O281,"0"),CONDUCTORES!$A$3:$G$54,2,0),"")</f>
        <v/>
      </c>
      <c r="Q281" s="332">
        <f>IFERROR(VLOOKUP(TEXT(O281,"0"),CONDUCTORES!$A$3:$H$54,6,0),"")</f>
        <v/>
      </c>
      <c r="R281" s="334" t="n"/>
      <c r="S281" s="334" t="n"/>
      <c r="T281" s="334" t="n"/>
      <c r="U281" s="334" t="n"/>
      <c r="V281" s="334" t="n"/>
      <c r="W281" s="334" t="n"/>
      <c r="X281" s="334" t="n"/>
      <c r="Y281" s="334" t="n"/>
      <c r="Z281" s="375">
        <f>IF(AND(G281&lt;&gt;"",R281&lt;&gt;"",V281&lt;&gt;"",W281&lt;&gt;""),"COMPLETADO","OBSERVADO")</f>
        <v/>
      </c>
    </row>
    <row r="282" ht="15" customHeight="1" s="195">
      <c r="A282" s="280" t="n"/>
      <c r="B282" s="280" t="n"/>
      <c r="C282" s="280" t="n"/>
      <c r="D282" s="280" t="n"/>
      <c r="E282" s="280" t="n"/>
      <c r="F282" s="280" t="n"/>
      <c r="G282" s="280" t="n"/>
      <c r="H282" s="280" t="n"/>
      <c r="I282" s="332">
        <f>IFERROR(VLOOKUP(TEXT(H282,"0"),IPRESS!$A$3:$B$212,2,0),"")</f>
        <v/>
      </c>
      <c r="J282" s="280" t="n"/>
      <c r="K282" s="332">
        <f>IFERROR(VLOOKUP(TEXT(O282,"0"),CONDUCTORES!$A$3:$G$54,7,0),"")</f>
        <v/>
      </c>
      <c r="L282" s="280" t="n"/>
      <c r="M282" s="280" t="n"/>
      <c r="N282" s="333">
        <f>IFERROR(IF(L282*M282=0,"",L282*M282),"")</f>
        <v/>
      </c>
      <c r="O282" s="280" t="n"/>
      <c r="P282" s="332">
        <f>IFERROR(VLOOKUP(TEXT(O282,"0"),CONDUCTORES!$A$3:$G$54,2,0),"")</f>
        <v/>
      </c>
      <c r="Q282" s="332">
        <f>IFERROR(VLOOKUP(TEXT(O282,"0"),CONDUCTORES!$A$3:$H$54,6,0),"")</f>
        <v/>
      </c>
      <c r="R282" s="280" t="n"/>
      <c r="S282" s="280" t="n"/>
      <c r="T282" s="280" t="n"/>
      <c r="U282" s="280" t="n"/>
      <c r="V282" s="280" t="n"/>
      <c r="W282" s="280" t="n"/>
      <c r="X282" s="280" t="n"/>
      <c r="Y282" s="280" t="n"/>
      <c r="Z282" s="375">
        <f>IF(AND(G282&lt;&gt;"",R282&lt;&gt;"",V282&lt;&gt;"",W282&lt;&gt;""),"COMPLETADO","OBSERVADO")</f>
        <v/>
      </c>
    </row>
    <row r="283" ht="15" customHeight="1" s="195">
      <c r="A283" s="334" t="n"/>
      <c r="B283" s="334" t="n"/>
      <c r="C283" s="334" t="n"/>
      <c r="D283" s="334" t="n"/>
      <c r="E283" s="334" t="n"/>
      <c r="F283" s="334" t="n"/>
      <c r="G283" s="334" t="n"/>
      <c r="H283" s="334" t="n"/>
      <c r="I283" s="332">
        <f>IFERROR(VLOOKUP(TEXT(H283,"0"),IPRESS!$A$3:$B$212,2,0),"")</f>
        <v/>
      </c>
      <c r="J283" s="334" t="n"/>
      <c r="K283" s="332">
        <f>IFERROR(VLOOKUP(TEXT(O283,"0"),CONDUCTORES!$A$3:$G$54,7,0),"")</f>
        <v/>
      </c>
      <c r="L283" s="334" t="n"/>
      <c r="M283" s="334" t="n"/>
      <c r="N283" s="333">
        <f>IFERROR(IF(L283*M283=0,"",L283*M283),"")</f>
        <v/>
      </c>
      <c r="O283" s="334" t="n"/>
      <c r="P283" s="332">
        <f>IFERROR(VLOOKUP(TEXT(O283,"0"),CONDUCTORES!$A$3:$G$54,2,0),"")</f>
        <v/>
      </c>
      <c r="Q283" s="332">
        <f>IFERROR(VLOOKUP(TEXT(O283,"0"),CONDUCTORES!$A$3:$H$54,6,0),"")</f>
        <v/>
      </c>
      <c r="R283" s="334" t="n"/>
      <c r="S283" s="334" t="n"/>
      <c r="T283" s="334" t="n"/>
      <c r="U283" s="334" t="n"/>
      <c r="V283" s="334" t="n"/>
      <c r="W283" s="334" t="n"/>
      <c r="X283" s="334" t="n"/>
      <c r="Y283" s="334" t="n"/>
      <c r="Z283" s="375">
        <f>IF(AND(G283&lt;&gt;"",R283&lt;&gt;"",V283&lt;&gt;"",W283&lt;&gt;""),"COMPLETADO","OBSERVADO")</f>
        <v/>
      </c>
    </row>
    <row r="284" ht="15" customHeight="1" s="195">
      <c r="A284" s="280" t="n"/>
      <c r="B284" s="280" t="n"/>
      <c r="C284" s="280" t="n"/>
      <c r="D284" s="280" t="n"/>
      <c r="E284" s="280" t="n"/>
      <c r="F284" s="280" t="n"/>
      <c r="G284" s="280" t="n"/>
      <c r="H284" s="280" t="n"/>
      <c r="I284" s="332">
        <f>IFERROR(VLOOKUP(TEXT(H284,"0"),IPRESS!$A$3:$B$212,2,0),"")</f>
        <v/>
      </c>
      <c r="J284" s="280" t="n"/>
      <c r="K284" s="332">
        <f>IFERROR(VLOOKUP(TEXT(O284,"0"),CONDUCTORES!$A$3:$G$54,7,0),"")</f>
        <v/>
      </c>
      <c r="L284" s="280" t="n"/>
      <c r="M284" s="280" t="n"/>
      <c r="N284" s="333">
        <f>IFERROR(IF(L284*M284=0,"",L284*M284),"")</f>
        <v/>
      </c>
      <c r="O284" s="280" t="n"/>
      <c r="P284" s="332">
        <f>IFERROR(VLOOKUP(TEXT(O284,"0"),CONDUCTORES!$A$3:$G$54,2,0),"")</f>
        <v/>
      </c>
      <c r="Q284" s="332">
        <f>IFERROR(VLOOKUP(TEXT(O284,"0"),CONDUCTORES!$A$3:$H$54,6,0),"")</f>
        <v/>
      </c>
      <c r="R284" s="280" t="n"/>
      <c r="S284" s="280" t="n"/>
      <c r="T284" s="280" t="n"/>
      <c r="U284" s="280" t="n"/>
      <c r="V284" s="280" t="n"/>
      <c r="W284" s="280" t="n"/>
      <c r="X284" s="280" t="n"/>
      <c r="Y284" s="280" t="n"/>
      <c r="Z284" s="375">
        <f>IF(AND(G284&lt;&gt;"",R284&lt;&gt;"",V284&lt;&gt;"",W284&lt;&gt;""),"COMPLETADO","OBSERVADO")</f>
        <v/>
      </c>
    </row>
    <row r="285" ht="15" customHeight="1" s="195">
      <c r="A285" s="334" t="n"/>
      <c r="B285" s="334" t="n"/>
      <c r="C285" s="334" t="n"/>
      <c r="D285" s="334" t="n"/>
      <c r="E285" s="334" t="n"/>
      <c r="F285" s="334" t="n"/>
      <c r="G285" s="334" t="n"/>
      <c r="H285" s="334" t="n"/>
      <c r="I285" s="332">
        <f>IFERROR(VLOOKUP(TEXT(H285,"0"),IPRESS!$A$3:$B$212,2,0),"")</f>
        <v/>
      </c>
      <c r="J285" s="334" t="n"/>
      <c r="K285" s="332">
        <f>IFERROR(VLOOKUP(TEXT(O285,"0"),CONDUCTORES!$A$3:$G$54,7,0),"")</f>
        <v/>
      </c>
      <c r="L285" s="334" t="n"/>
      <c r="M285" s="334" t="n"/>
      <c r="N285" s="333">
        <f>IFERROR(IF(L285*M285=0,"",L285*M285),"")</f>
        <v/>
      </c>
      <c r="O285" s="334" t="n"/>
      <c r="P285" s="332">
        <f>IFERROR(VLOOKUP(TEXT(O285,"0"),CONDUCTORES!$A$3:$G$54,2,0),"")</f>
        <v/>
      </c>
      <c r="Q285" s="332">
        <f>IFERROR(VLOOKUP(TEXT(O285,"0"),CONDUCTORES!$A$3:$H$54,6,0),"")</f>
        <v/>
      </c>
      <c r="R285" s="334" t="n"/>
      <c r="S285" s="334" t="n"/>
      <c r="T285" s="334" t="n"/>
      <c r="U285" s="334" t="n"/>
      <c r="V285" s="334" t="n"/>
      <c r="W285" s="334" t="n"/>
      <c r="X285" s="334" t="n"/>
      <c r="Y285" s="334" t="n"/>
      <c r="Z285" s="375">
        <f>IF(AND(G285&lt;&gt;"",R285&lt;&gt;"",V285&lt;&gt;"",W285&lt;&gt;""),"COMPLETADO","OBSERVADO")</f>
        <v/>
      </c>
    </row>
    <row r="286" ht="15" customHeight="1" s="195">
      <c r="A286" s="280" t="n"/>
      <c r="B286" s="280" t="n"/>
      <c r="C286" s="280" t="n"/>
      <c r="D286" s="280" t="n"/>
      <c r="E286" s="280" t="n"/>
      <c r="F286" s="280" t="n"/>
      <c r="G286" s="280" t="n"/>
      <c r="H286" s="280" t="n"/>
      <c r="I286" s="332">
        <f>IFERROR(VLOOKUP(TEXT(H286,"0"),IPRESS!$A$3:$B$212,2,0),"")</f>
        <v/>
      </c>
      <c r="J286" s="280" t="n"/>
      <c r="K286" s="332">
        <f>IFERROR(VLOOKUP(TEXT(O286,"0"),CONDUCTORES!$A$3:$G$54,7,0),"")</f>
        <v/>
      </c>
      <c r="L286" s="280" t="n"/>
      <c r="M286" s="280" t="n"/>
      <c r="N286" s="333">
        <f>IFERROR(IF(L286*M286=0,"",L286*M286),"")</f>
        <v/>
      </c>
      <c r="O286" s="280" t="n"/>
      <c r="P286" s="332">
        <f>IFERROR(VLOOKUP(TEXT(O286,"0"),CONDUCTORES!$A$3:$G$54,2,0),"")</f>
        <v/>
      </c>
      <c r="Q286" s="332">
        <f>IFERROR(VLOOKUP(TEXT(O286,"0"),CONDUCTORES!$A$3:$H$54,6,0),"")</f>
        <v/>
      </c>
      <c r="R286" s="280" t="n"/>
      <c r="S286" s="280" t="n"/>
      <c r="T286" s="280" t="n"/>
      <c r="U286" s="280" t="n"/>
      <c r="V286" s="280" t="n"/>
      <c r="W286" s="280" t="n"/>
      <c r="X286" s="280" t="n"/>
      <c r="Y286" s="280" t="n"/>
      <c r="Z286" s="375">
        <f>IF(AND(G286&lt;&gt;"",R286&lt;&gt;"",V286&lt;&gt;"",W286&lt;&gt;""),"COMPLETADO","OBSERVADO")</f>
        <v/>
      </c>
    </row>
    <row r="287" ht="15" customHeight="1" s="195">
      <c r="A287" s="334" t="n"/>
      <c r="B287" s="334" t="n"/>
      <c r="C287" s="334" t="n"/>
      <c r="D287" s="334" t="n"/>
      <c r="E287" s="334" t="n"/>
      <c r="F287" s="334" t="n"/>
      <c r="G287" s="334" t="n"/>
      <c r="H287" s="334" t="n"/>
      <c r="I287" s="332">
        <f>IFERROR(VLOOKUP(TEXT(H287,"0"),IPRESS!$A$3:$B$212,2,0),"")</f>
        <v/>
      </c>
      <c r="J287" s="334" t="n"/>
      <c r="K287" s="332">
        <f>IFERROR(VLOOKUP(TEXT(O287,"0"),CONDUCTORES!$A$3:$G$54,7,0),"")</f>
        <v/>
      </c>
      <c r="L287" s="334" t="n"/>
      <c r="M287" s="334" t="n"/>
      <c r="N287" s="333">
        <f>IFERROR(IF(L287*M287=0,"",L287*M287),"")</f>
        <v/>
      </c>
      <c r="O287" s="334" t="n"/>
      <c r="P287" s="332">
        <f>IFERROR(VLOOKUP(TEXT(O287,"0"),CONDUCTORES!$A$3:$G$54,2,0),"")</f>
        <v/>
      </c>
      <c r="Q287" s="332">
        <f>IFERROR(VLOOKUP(TEXT(O287,"0"),CONDUCTORES!$A$3:$H$54,6,0),"")</f>
        <v/>
      </c>
      <c r="R287" s="334" t="n"/>
      <c r="S287" s="334" t="n"/>
      <c r="T287" s="334" t="n"/>
      <c r="U287" s="334" t="n"/>
      <c r="V287" s="334" t="n"/>
      <c r="W287" s="334" t="n"/>
      <c r="X287" s="334" t="n"/>
      <c r="Y287" s="334" t="n"/>
      <c r="Z287" s="375">
        <f>IF(AND(G287&lt;&gt;"",R287&lt;&gt;"",V287&lt;&gt;"",W287&lt;&gt;""),"COMPLETADO","OBSERVADO")</f>
        <v/>
      </c>
    </row>
    <row r="288" ht="15" customHeight="1" s="195">
      <c r="A288" s="280" t="n"/>
      <c r="B288" s="280" t="n"/>
      <c r="C288" s="280" t="n"/>
      <c r="D288" s="280" t="n"/>
      <c r="E288" s="280" t="n"/>
      <c r="F288" s="280" t="n"/>
      <c r="G288" s="280" t="n"/>
      <c r="H288" s="280" t="n"/>
      <c r="I288" s="332">
        <f>IFERROR(VLOOKUP(TEXT(H288,"0"),IPRESS!$A$3:$B$212,2,0),"")</f>
        <v/>
      </c>
      <c r="J288" s="280" t="n"/>
      <c r="K288" s="332">
        <f>IFERROR(VLOOKUP(TEXT(O288,"0"),CONDUCTORES!$A$3:$G$54,7,0),"")</f>
        <v/>
      </c>
      <c r="L288" s="280" t="n"/>
      <c r="M288" s="280" t="n"/>
      <c r="N288" s="333">
        <f>IFERROR(IF(L288*M288=0,"",L288*M288),"")</f>
        <v/>
      </c>
      <c r="O288" s="280" t="n"/>
      <c r="P288" s="332">
        <f>IFERROR(VLOOKUP(TEXT(O288,"0"),CONDUCTORES!$A$3:$G$54,2,0),"")</f>
        <v/>
      </c>
      <c r="Q288" s="332">
        <f>IFERROR(VLOOKUP(TEXT(O288,"0"),CONDUCTORES!$A$3:$H$54,6,0),"")</f>
        <v/>
      </c>
      <c r="R288" s="280" t="n"/>
      <c r="S288" s="280" t="n"/>
      <c r="T288" s="280" t="n"/>
      <c r="U288" s="280" t="n"/>
      <c r="V288" s="280" t="n"/>
      <c r="W288" s="280" t="n"/>
      <c r="X288" s="280" t="n"/>
      <c r="Y288" s="280" t="n"/>
      <c r="Z288" s="375">
        <f>IF(AND(G288&lt;&gt;"",R288&lt;&gt;"",V288&lt;&gt;"",W288&lt;&gt;""),"COMPLETADO","OBSERVADO")</f>
        <v/>
      </c>
    </row>
    <row r="289" ht="15" customHeight="1" s="195">
      <c r="A289" s="334" t="n"/>
      <c r="B289" s="334" t="n"/>
      <c r="C289" s="334" t="n"/>
      <c r="D289" s="334" t="n"/>
      <c r="E289" s="334" t="n"/>
      <c r="F289" s="334" t="n"/>
      <c r="G289" s="334" t="n"/>
      <c r="H289" s="334" t="n"/>
      <c r="I289" s="332">
        <f>IFERROR(VLOOKUP(TEXT(H289,"0"),IPRESS!$A$3:$B$212,2,0),"")</f>
        <v/>
      </c>
      <c r="J289" s="334" t="n"/>
      <c r="K289" s="332">
        <f>IFERROR(VLOOKUP(TEXT(O289,"0"),CONDUCTORES!$A$3:$G$54,7,0),"")</f>
        <v/>
      </c>
      <c r="L289" s="334" t="n"/>
      <c r="M289" s="334" t="n"/>
      <c r="N289" s="333">
        <f>IFERROR(IF(L289*M289=0,"",L289*M289),"")</f>
        <v/>
      </c>
      <c r="O289" s="334" t="n"/>
      <c r="P289" s="332">
        <f>IFERROR(VLOOKUP(TEXT(O289,"0"),CONDUCTORES!$A$3:$G$54,2,0),"")</f>
        <v/>
      </c>
      <c r="Q289" s="332">
        <f>IFERROR(VLOOKUP(TEXT(O289,"0"),CONDUCTORES!$A$3:$H$54,6,0),"")</f>
        <v/>
      </c>
      <c r="R289" s="334" t="n"/>
      <c r="S289" s="334" t="n"/>
      <c r="T289" s="334" t="n"/>
      <c r="U289" s="334" t="n"/>
      <c r="V289" s="334" t="n"/>
      <c r="W289" s="334" t="n"/>
      <c r="X289" s="334" t="n"/>
      <c r="Y289" s="334" t="n"/>
      <c r="Z289" s="375">
        <f>IF(AND(G289&lt;&gt;"",R289&lt;&gt;"",V289&lt;&gt;"",W289&lt;&gt;""),"COMPLETADO","OBSERVADO")</f>
        <v/>
      </c>
    </row>
    <row r="290" ht="15" customHeight="1" s="195">
      <c r="A290" s="280" t="n"/>
      <c r="B290" s="280" t="n"/>
      <c r="C290" s="280" t="n"/>
      <c r="D290" s="280" t="n"/>
      <c r="E290" s="280" t="n"/>
      <c r="F290" s="280" t="n"/>
      <c r="G290" s="280" t="n"/>
      <c r="H290" s="280" t="n"/>
      <c r="I290" s="332">
        <f>IFERROR(VLOOKUP(TEXT(H290,"0"),IPRESS!$A$3:$B$212,2,0),"")</f>
        <v/>
      </c>
      <c r="J290" s="280" t="n"/>
      <c r="K290" s="332">
        <f>IFERROR(VLOOKUP(TEXT(O290,"0"),CONDUCTORES!$A$3:$G$54,7,0),"")</f>
        <v/>
      </c>
      <c r="L290" s="280" t="n"/>
      <c r="M290" s="280" t="n"/>
      <c r="N290" s="333">
        <f>IFERROR(IF(L290*M290=0,"",L290*M290),"")</f>
        <v/>
      </c>
      <c r="O290" s="280" t="n"/>
      <c r="P290" s="332">
        <f>IFERROR(VLOOKUP(TEXT(O290,"0"),CONDUCTORES!$A$3:$G$54,2,0),"")</f>
        <v/>
      </c>
      <c r="Q290" s="332">
        <f>IFERROR(VLOOKUP(TEXT(O290,"0"),CONDUCTORES!$A$3:$H$54,6,0),"")</f>
        <v/>
      </c>
      <c r="R290" s="280" t="n"/>
      <c r="S290" s="280" t="n"/>
      <c r="T290" s="280" t="n"/>
      <c r="U290" s="280" t="n"/>
      <c r="V290" s="280" t="n"/>
      <c r="W290" s="280" t="n"/>
      <c r="X290" s="280" t="n"/>
      <c r="Y290" s="280" t="n"/>
      <c r="Z290" s="375">
        <f>IF(AND(G290&lt;&gt;"",R290&lt;&gt;"",V290&lt;&gt;"",W290&lt;&gt;""),"COMPLETADO","OBSERVADO")</f>
        <v/>
      </c>
    </row>
    <row r="291" ht="15" customHeight="1" s="195">
      <c r="A291" s="334" t="n"/>
      <c r="B291" s="334" t="n"/>
      <c r="C291" s="334" t="n"/>
      <c r="D291" s="334" t="n"/>
      <c r="E291" s="334" t="n"/>
      <c r="F291" s="334" t="n"/>
      <c r="G291" s="334" t="n"/>
      <c r="H291" s="334" t="n"/>
      <c r="I291" s="332">
        <f>IFERROR(VLOOKUP(TEXT(H291,"0"),IPRESS!$A$3:$B$212,2,0),"")</f>
        <v/>
      </c>
      <c r="J291" s="334" t="n"/>
      <c r="K291" s="332">
        <f>IFERROR(VLOOKUP(TEXT(O291,"0"),CONDUCTORES!$A$3:$G$54,7,0),"")</f>
        <v/>
      </c>
      <c r="L291" s="334" t="n"/>
      <c r="M291" s="334" t="n"/>
      <c r="N291" s="333">
        <f>IFERROR(IF(L291*M291=0,"",L291*M291),"")</f>
        <v/>
      </c>
      <c r="O291" s="334" t="n"/>
      <c r="P291" s="332">
        <f>IFERROR(VLOOKUP(TEXT(O291,"0"),CONDUCTORES!$A$3:$G$54,2,0),"")</f>
        <v/>
      </c>
      <c r="Q291" s="332">
        <f>IFERROR(VLOOKUP(TEXT(O291,"0"),CONDUCTORES!$A$3:$H$54,6,0),"")</f>
        <v/>
      </c>
      <c r="R291" s="334" t="n"/>
      <c r="S291" s="334" t="n"/>
      <c r="T291" s="334" t="n"/>
      <c r="U291" s="334" t="n"/>
      <c r="V291" s="334" t="n"/>
      <c r="W291" s="334" t="n"/>
      <c r="X291" s="334" t="n"/>
      <c r="Y291" s="334" t="n"/>
      <c r="Z291" s="375">
        <f>IF(AND(G291&lt;&gt;"",R291&lt;&gt;"",V291&lt;&gt;"",W291&lt;&gt;""),"COMPLETADO","OBSERVADO")</f>
        <v/>
      </c>
    </row>
    <row r="292" ht="15" customHeight="1" s="195">
      <c r="A292" s="280" t="n"/>
      <c r="B292" s="280" t="n"/>
      <c r="C292" s="280" t="n"/>
      <c r="D292" s="280" t="n"/>
      <c r="E292" s="280" t="n"/>
      <c r="F292" s="280" t="n"/>
      <c r="G292" s="280" t="n"/>
      <c r="H292" s="280" t="n"/>
      <c r="I292" s="332">
        <f>IFERROR(VLOOKUP(TEXT(H292,"0"),IPRESS!$A$3:$B$212,2,0),"")</f>
        <v/>
      </c>
      <c r="J292" s="280" t="n"/>
      <c r="K292" s="332">
        <f>IFERROR(VLOOKUP(TEXT(O292,"0"),CONDUCTORES!$A$3:$G$54,7,0),"")</f>
        <v/>
      </c>
      <c r="L292" s="280" t="n"/>
      <c r="M292" s="280" t="n"/>
      <c r="N292" s="333">
        <f>IFERROR(IF(L292*M292=0,"",L292*M292),"")</f>
        <v/>
      </c>
      <c r="O292" s="280" t="n"/>
      <c r="P292" s="332">
        <f>IFERROR(VLOOKUP(TEXT(O292,"0"),CONDUCTORES!$A$3:$G$54,2,0),"")</f>
        <v/>
      </c>
      <c r="Q292" s="332">
        <f>IFERROR(VLOOKUP(TEXT(O292,"0"),CONDUCTORES!$A$3:$H$54,6,0),"")</f>
        <v/>
      </c>
      <c r="R292" s="280" t="n"/>
      <c r="S292" s="280" t="n"/>
      <c r="T292" s="280" t="n"/>
      <c r="U292" s="280" t="n"/>
      <c r="V292" s="280" t="n"/>
      <c r="W292" s="280" t="n"/>
      <c r="X292" s="280" t="n"/>
      <c r="Y292" s="280" t="n"/>
      <c r="Z292" s="375">
        <f>IF(AND(G292&lt;&gt;"",R292&lt;&gt;"",V292&lt;&gt;"",W292&lt;&gt;""),"COMPLETADO","OBSERVADO")</f>
        <v/>
      </c>
    </row>
    <row r="293" ht="15" customHeight="1" s="195">
      <c r="A293" s="334" t="n"/>
      <c r="B293" s="334" t="n"/>
      <c r="C293" s="334" t="n"/>
      <c r="D293" s="334" t="n"/>
      <c r="E293" s="334" t="n"/>
      <c r="F293" s="334" t="n"/>
      <c r="G293" s="334" t="n"/>
      <c r="H293" s="334" t="n"/>
      <c r="I293" s="332">
        <f>IFERROR(VLOOKUP(TEXT(H293,"0"),IPRESS!$A$3:$B$212,2,0),"")</f>
        <v/>
      </c>
      <c r="J293" s="334" t="n"/>
      <c r="K293" s="332">
        <f>IFERROR(VLOOKUP(TEXT(O293,"0"),CONDUCTORES!$A$3:$G$54,7,0),"")</f>
        <v/>
      </c>
      <c r="L293" s="334" t="n"/>
      <c r="M293" s="334" t="n"/>
      <c r="N293" s="333">
        <f>IFERROR(IF(L293*M293=0,"",L293*M293),"")</f>
        <v/>
      </c>
      <c r="O293" s="334" t="n"/>
      <c r="P293" s="332">
        <f>IFERROR(VLOOKUP(TEXT(O293,"0"),CONDUCTORES!$A$3:$G$54,2,0),"")</f>
        <v/>
      </c>
      <c r="Q293" s="332">
        <f>IFERROR(VLOOKUP(TEXT(O293,"0"),CONDUCTORES!$A$3:$H$54,6,0),"")</f>
        <v/>
      </c>
      <c r="R293" s="334" t="n"/>
      <c r="S293" s="334" t="n"/>
      <c r="T293" s="334" t="n"/>
      <c r="U293" s="334" t="n"/>
      <c r="V293" s="334" t="n"/>
      <c r="W293" s="334" t="n"/>
      <c r="X293" s="334" t="n"/>
      <c r="Y293" s="334" t="n"/>
      <c r="Z293" s="375">
        <f>IF(AND(G293&lt;&gt;"",R293&lt;&gt;"",V293&lt;&gt;"",W293&lt;&gt;""),"COMPLETADO","OBSERVADO")</f>
        <v/>
      </c>
    </row>
    <row r="294" ht="15" customHeight="1" s="195">
      <c r="A294" s="280" t="n"/>
      <c r="B294" s="280" t="n"/>
      <c r="C294" s="280" t="n"/>
      <c r="D294" s="280" t="n"/>
      <c r="E294" s="280" t="n"/>
      <c r="F294" s="280" t="n"/>
      <c r="G294" s="280" t="n"/>
      <c r="H294" s="280" t="n"/>
      <c r="I294" s="332">
        <f>IFERROR(VLOOKUP(TEXT(H294,"0"),IPRESS!$A$3:$B$212,2,0),"")</f>
        <v/>
      </c>
      <c r="J294" s="280" t="n"/>
      <c r="K294" s="332">
        <f>IFERROR(VLOOKUP(TEXT(O294,"0"),CONDUCTORES!$A$3:$G$54,7,0),"")</f>
        <v/>
      </c>
      <c r="L294" s="280" t="n"/>
      <c r="M294" s="280" t="n"/>
      <c r="N294" s="333">
        <f>IFERROR(IF(L294*M294=0,"",L294*M294),"")</f>
        <v/>
      </c>
      <c r="O294" s="280" t="n"/>
      <c r="P294" s="332">
        <f>IFERROR(VLOOKUP(TEXT(O294,"0"),CONDUCTORES!$A$3:$G$54,2,0),"")</f>
        <v/>
      </c>
      <c r="Q294" s="332">
        <f>IFERROR(VLOOKUP(TEXT(O294,"0"),CONDUCTORES!$A$3:$H$54,6,0),"")</f>
        <v/>
      </c>
      <c r="R294" s="280" t="n"/>
      <c r="S294" s="280" t="n"/>
      <c r="T294" s="280" t="n"/>
      <c r="U294" s="280" t="n"/>
      <c r="V294" s="280" t="n"/>
      <c r="W294" s="280" t="n"/>
      <c r="X294" s="280" t="n"/>
      <c r="Y294" s="280" t="n"/>
      <c r="Z294" s="375">
        <f>IF(AND(G294&lt;&gt;"",R294&lt;&gt;"",V294&lt;&gt;"",W294&lt;&gt;""),"COMPLETADO","OBSERVADO")</f>
        <v/>
      </c>
    </row>
    <row r="295" ht="15" customHeight="1" s="195">
      <c r="A295" s="334" t="n"/>
      <c r="B295" s="334" t="n"/>
      <c r="C295" s="334" t="n"/>
      <c r="D295" s="334" t="n"/>
      <c r="E295" s="334" t="n"/>
      <c r="F295" s="334" t="n"/>
      <c r="G295" s="334" t="n"/>
      <c r="H295" s="334" t="n"/>
      <c r="I295" s="332">
        <f>IFERROR(VLOOKUP(TEXT(H295,"0"),IPRESS!$A$3:$B$212,2,0),"")</f>
        <v/>
      </c>
      <c r="J295" s="334" t="n"/>
      <c r="K295" s="332">
        <f>IFERROR(VLOOKUP(TEXT(O295,"0"),CONDUCTORES!$A$3:$G$54,7,0),"")</f>
        <v/>
      </c>
      <c r="L295" s="334" t="n"/>
      <c r="M295" s="334" t="n"/>
      <c r="N295" s="333">
        <f>IFERROR(IF(L295*M295=0,"",L295*M295),"")</f>
        <v/>
      </c>
      <c r="O295" s="334" t="n"/>
      <c r="P295" s="332">
        <f>IFERROR(VLOOKUP(TEXT(O295,"0"),CONDUCTORES!$A$3:$G$54,2,0),"")</f>
        <v/>
      </c>
      <c r="Q295" s="332">
        <f>IFERROR(VLOOKUP(TEXT(O295,"0"),CONDUCTORES!$A$3:$H$54,6,0),"")</f>
        <v/>
      </c>
      <c r="R295" s="334" t="n"/>
      <c r="S295" s="334" t="n"/>
      <c r="T295" s="334" t="n"/>
      <c r="U295" s="334" t="n"/>
      <c r="V295" s="334" t="n"/>
      <c r="W295" s="334" t="n"/>
      <c r="X295" s="334" t="n"/>
      <c r="Y295" s="334" t="n"/>
      <c r="Z295" s="375">
        <f>IF(AND(G295&lt;&gt;"",R295&lt;&gt;"",V295&lt;&gt;"",W295&lt;&gt;""),"COMPLETADO","OBSERVADO")</f>
        <v/>
      </c>
    </row>
    <row r="296" ht="15" customHeight="1" s="195">
      <c r="A296" s="280" t="n"/>
      <c r="B296" s="280" t="n"/>
      <c r="C296" s="280" t="n"/>
      <c r="D296" s="280" t="n"/>
      <c r="E296" s="280" t="n"/>
      <c r="F296" s="280" t="n"/>
      <c r="G296" s="280" t="n"/>
      <c r="H296" s="280" t="n"/>
      <c r="I296" s="332">
        <f>IFERROR(VLOOKUP(TEXT(H296,"0"),IPRESS!$A$3:$B$212,2,0),"")</f>
        <v/>
      </c>
      <c r="J296" s="280" t="n"/>
      <c r="K296" s="332">
        <f>IFERROR(VLOOKUP(TEXT(O296,"0"),CONDUCTORES!$A$3:$G$54,7,0),"")</f>
        <v/>
      </c>
      <c r="L296" s="280" t="n"/>
      <c r="M296" s="280" t="n"/>
      <c r="N296" s="333">
        <f>IFERROR(IF(L296*M296=0,"",L296*M296),"")</f>
        <v/>
      </c>
      <c r="O296" s="280" t="n"/>
      <c r="P296" s="332">
        <f>IFERROR(VLOOKUP(TEXT(O296,"0"),CONDUCTORES!$A$3:$G$54,2,0),"")</f>
        <v/>
      </c>
      <c r="Q296" s="332">
        <f>IFERROR(VLOOKUP(TEXT(O296,"0"),CONDUCTORES!$A$3:$H$54,6,0),"")</f>
        <v/>
      </c>
      <c r="R296" s="280" t="n"/>
      <c r="S296" s="280" t="n"/>
      <c r="T296" s="280" t="n"/>
      <c r="U296" s="280" t="n"/>
      <c r="V296" s="280" t="n"/>
      <c r="W296" s="280" t="n"/>
      <c r="X296" s="280" t="n"/>
      <c r="Y296" s="280" t="n"/>
      <c r="Z296" s="375">
        <f>IF(AND(G296&lt;&gt;"",R296&lt;&gt;"",V296&lt;&gt;"",W296&lt;&gt;""),"COMPLETADO","OBSERVADO")</f>
        <v/>
      </c>
    </row>
    <row r="297" ht="15" customHeight="1" s="195">
      <c r="A297" s="334" t="n"/>
      <c r="B297" s="334" t="n"/>
      <c r="C297" s="334" t="n"/>
      <c r="D297" s="334" t="n"/>
      <c r="E297" s="334" t="n"/>
      <c r="F297" s="334" t="n"/>
      <c r="G297" s="334" t="n"/>
      <c r="H297" s="334" t="n"/>
      <c r="I297" s="332">
        <f>IFERROR(VLOOKUP(TEXT(H297,"0"),IPRESS!$A$3:$B$212,2,0),"")</f>
        <v/>
      </c>
      <c r="J297" s="334" t="n"/>
      <c r="K297" s="332">
        <f>IFERROR(VLOOKUP(TEXT(O297,"0"),CONDUCTORES!$A$3:$G$54,7,0),"")</f>
        <v/>
      </c>
      <c r="L297" s="334" t="n"/>
      <c r="M297" s="334" t="n"/>
      <c r="N297" s="333">
        <f>IFERROR(IF(L297*M297=0,"",L297*M297),"")</f>
        <v/>
      </c>
      <c r="O297" s="334" t="n"/>
      <c r="P297" s="332">
        <f>IFERROR(VLOOKUP(TEXT(O297,"0"),CONDUCTORES!$A$3:$G$54,2,0),"")</f>
        <v/>
      </c>
      <c r="Q297" s="332">
        <f>IFERROR(VLOOKUP(TEXT(O297,"0"),CONDUCTORES!$A$3:$H$54,6,0),"")</f>
        <v/>
      </c>
      <c r="R297" s="334" t="n"/>
      <c r="S297" s="334" t="n"/>
      <c r="T297" s="334" t="n"/>
      <c r="U297" s="334" t="n"/>
      <c r="V297" s="334" t="n"/>
      <c r="W297" s="334" t="n"/>
      <c r="X297" s="334" t="n"/>
      <c r="Y297" s="334" t="n"/>
      <c r="Z297" s="375">
        <f>IF(AND(G297&lt;&gt;"",R297&lt;&gt;"",V297&lt;&gt;"",W297&lt;&gt;""),"COMPLETADO","OBSERVADO")</f>
        <v/>
      </c>
    </row>
    <row r="298" ht="15" customHeight="1" s="195">
      <c r="A298" s="280" t="n"/>
      <c r="B298" s="280" t="n"/>
      <c r="C298" s="280" t="n"/>
      <c r="D298" s="280" t="n"/>
      <c r="E298" s="280" t="n"/>
      <c r="F298" s="280" t="n"/>
      <c r="G298" s="280" t="n"/>
      <c r="H298" s="280" t="n"/>
      <c r="I298" s="332">
        <f>IFERROR(VLOOKUP(TEXT(H298,"0"),IPRESS!$A$3:$B$212,2,0),"")</f>
        <v/>
      </c>
      <c r="J298" s="280" t="n"/>
      <c r="K298" s="332">
        <f>IFERROR(VLOOKUP(TEXT(O298,"0"),CONDUCTORES!$A$3:$G$54,7,0),"")</f>
        <v/>
      </c>
      <c r="L298" s="280" t="n"/>
      <c r="M298" s="280" t="n"/>
      <c r="N298" s="333">
        <f>IFERROR(IF(L298*M298=0,"",L298*M298),"")</f>
        <v/>
      </c>
      <c r="O298" s="280" t="n"/>
      <c r="P298" s="332">
        <f>IFERROR(VLOOKUP(TEXT(O298,"0"),CONDUCTORES!$A$3:$G$54,2,0),"")</f>
        <v/>
      </c>
      <c r="Q298" s="332">
        <f>IFERROR(VLOOKUP(TEXT(O298,"0"),CONDUCTORES!$A$3:$H$54,6,0),"")</f>
        <v/>
      </c>
      <c r="R298" s="280" t="n"/>
      <c r="S298" s="280" t="n"/>
      <c r="T298" s="280" t="n"/>
      <c r="U298" s="280" t="n"/>
      <c r="V298" s="280" t="n"/>
      <c r="W298" s="280" t="n"/>
      <c r="X298" s="280" t="n"/>
      <c r="Y298" s="280" t="n"/>
      <c r="Z298" s="375">
        <f>IF(AND(G298&lt;&gt;"",R298&lt;&gt;"",V298&lt;&gt;"",W298&lt;&gt;""),"COMPLETADO","OBSERVADO")</f>
        <v/>
      </c>
    </row>
    <row r="299" ht="15" customHeight="1" s="195">
      <c r="A299" s="334" t="n"/>
      <c r="B299" s="334" t="n"/>
      <c r="C299" s="334" t="n"/>
      <c r="D299" s="334" t="n"/>
      <c r="E299" s="334" t="n"/>
      <c r="F299" s="334" t="n"/>
      <c r="G299" s="334" t="n"/>
      <c r="H299" s="334" t="n"/>
      <c r="I299" s="332">
        <f>IFERROR(VLOOKUP(TEXT(H299,"0"),IPRESS!$A$3:$B$212,2,0),"")</f>
        <v/>
      </c>
      <c r="J299" s="334" t="n"/>
      <c r="K299" s="332">
        <f>IFERROR(VLOOKUP(TEXT(O299,"0"),CONDUCTORES!$A$3:$G$54,7,0),"")</f>
        <v/>
      </c>
      <c r="L299" s="334" t="n"/>
      <c r="M299" s="334" t="n"/>
      <c r="N299" s="333">
        <f>IFERROR(IF(L299*M299=0,"",L299*M299),"")</f>
        <v/>
      </c>
      <c r="O299" s="334" t="n"/>
      <c r="P299" s="332">
        <f>IFERROR(VLOOKUP(TEXT(O299,"0"),CONDUCTORES!$A$3:$G$54,2,0),"")</f>
        <v/>
      </c>
      <c r="Q299" s="332">
        <f>IFERROR(VLOOKUP(TEXT(O299,"0"),CONDUCTORES!$A$3:$H$54,6,0),"")</f>
        <v/>
      </c>
      <c r="R299" s="334" t="n"/>
      <c r="S299" s="334" t="n"/>
      <c r="T299" s="334" t="n"/>
      <c r="U299" s="334" t="n"/>
      <c r="V299" s="334" t="n"/>
      <c r="W299" s="334" t="n"/>
      <c r="X299" s="334" t="n"/>
      <c r="Y299" s="334" t="n"/>
      <c r="Z299" s="375">
        <f>IF(AND(G299&lt;&gt;"",R299&lt;&gt;"",V299&lt;&gt;"",W299&lt;&gt;""),"COMPLETADO","OBSERVADO")</f>
        <v/>
      </c>
    </row>
    <row r="300" ht="15" customHeight="1" s="195">
      <c r="A300" s="280" t="n"/>
      <c r="B300" s="280" t="n"/>
      <c r="C300" s="280" t="n"/>
      <c r="D300" s="280" t="n"/>
      <c r="E300" s="280" t="n"/>
      <c r="F300" s="280" t="n"/>
      <c r="G300" s="280" t="n"/>
      <c r="H300" s="280" t="n"/>
      <c r="I300" s="332">
        <f>IFERROR(VLOOKUP(TEXT(H300,"0"),IPRESS!$A$3:$B$212,2,0),"")</f>
        <v/>
      </c>
      <c r="J300" s="280" t="n"/>
      <c r="K300" s="332">
        <f>IFERROR(VLOOKUP(TEXT(O300,"0"),CONDUCTORES!$A$3:$G$54,7,0),"")</f>
        <v/>
      </c>
      <c r="L300" s="280" t="n"/>
      <c r="M300" s="280" t="n"/>
      <c r="N300" s="333">
        <f>IFERROR(IF(L300*M300=0,"",L300*M300),"")</f>
        <v/>
      </c>
      <c r="O300" s="280" t="n"/>
      <c r="P300" s="332">
        <f>IFERROR(VLOOKUP(TEXT(O300,"0"),CONDUCTORES!$A$3:$G$54,2,0),"")</f>
        <v/>
      </c>
      <c r="Q300" s="332">
        <f>IFERROR(VLOOKUP(TEXT(O300,"0"),CONDUCTORES!$A$3:$H$54,6,0),"")</f>
        <v/>
      </c>
      <c r="R300" s="280" t="n"/>
      <c r="S300" s="280" t="n"/>
      <c r="T300" s="280" t="n"/>
      <c r="U300" s="280" t="n"/>
      <c r="V300" s="280" t="n"/>
      <c r="W300" s="280" t="n"/>
      <c r="X300" s="280" t="n"/>
      <c r="Y300" s="280" t="n"/>
      <c r="Z300" s="375">
        <f>IF(AND(G300&lt;&gt;"",R300&lt;&gt;"",V300&lt;&gt;"",W300&lt;&gt;""),"COMPLETADO","OBSERVADO")</f>
        <v/>
      </c>
    </row>
    <row r="301" ht="15" customHeight="1" s="195">
      <c r="A301" s="334" t="n"/>
      <c r="B301" s="334" t="n"/>
      <c r="C301" s="334" t="n"/>
      <c r="D301" s="334" t="n"/>
      <c r="E301" s="334" t="n"/>
      <c r="F301" s="334" t="n"/>
      <c r="G301" s="334" t="n"/>
      <c r="H301" s="334" t="n"/>
      <c r="I301" s="332">
        <f>IFERROR(VLOOKUP(TEXT(H301,"0"),IPRESS!$A$3:$B$212,2,0),"")</f>
        <v/>
      </c>
      <c r="J301" s="334" t="n"/>
      <c r="K301" s="332">
        <f>IFERROR(VLOOKUP(TEXT(O301,"0"),CONDUCTORES!$A$3:$G$54,7,0),"")</f>
        <v/>
      </c>
      <c r="L301" s="334" t="n"/>
      <c r="M301" s="334" t="n"/>
      <c r="N301" s="333">
        <f>IFERROR(IF(L301*M301=0,"",L301*M301),"")</f>
        <v/>
      </c>
      <c r="O301" s="334" t="n"/>
      <c r="P301" s="332">
        <f>IFERROR(VLOOKUP(TEXT(O301,"0"),CONDUCTORES!$A$3:$G$54,2,0),"")</f>
        <v/>
      </c>
      <c r="Q301" s="332">
        <f>IFERROR(VLOOKUP(TEXT(O301,"0"),CONDUCTORES!$A$3:$H$54,6,0),"")</f>
        <v/>
      </c>
      <c r="R301" s="334" t="n"/>
      <c r="S301" s="334" t="n"/>
      <c r="T301" s="334" t="n"/>
      <c r="U301" s="334" t="n"/>
      <c r="V301" s="334" t="n"/>
      <c r="W301" s="334" t="n"/>
      <c r="X301" s="334" t="n"/>
      <c r="Y301" s="334" t="n"/>
      <c r="Z301" s="375">
        <f>IF(AND(G301&lt;&gt;"",R301&lt;&gt;"",V301&lt;&gt;"",W301&lt;&gt;""),"COMPLETADO","OBSERVADO")</f>
        <v/>
      </c>
    </row>
    <row r="302" ht="15" customHeight="1" s="195">
      <c r="A302" s="280" t="n"/>
      <c r="B302" s="280" t="n"/>
      <c r="C302" s="280" t="n"/>
      <c r="D302" s="280" t="n"/>
      <c r="E302" s="280" t="n"/>
      <c r="F302" s="280" t="n"/>
      <c r="G302" s="280" t="n"/>
      <c r="H302" s="280" t="n"/>
      <c r="I302" s="332">
        <f>IFERROR(VLOOKUP(TEXT(H302,"0"),IPRESS!$A$3:$B$212,2,0),"")</f>
        <v/>
      </c>
      <c r="J302" s="280" t="n"/>
      <c r="K302" s="332">
        <f>IFERROR(VLOOKUP(TEXT(O302,"0"),CONDUCTORES!$A$3:$G$54,7,0),"")</f>
        <v/>
      </c>
      <c r="L302" s="280" t="n"/>
      <c r="M302" s="280" t="n"/>
      <c r="N302" s="333">
        <f>IFERROR(IF(L302*M302=0,"",L302*M302),"")</f>
        <v/>
      </c>
      <c r="O302" s="280" t="n"/>
      <c r="P302" s="332">
        <f>IFERROR(VLOOKUP(TEXT(O302,"0"),CONDUCTORES!$A$3:$G$54,2,0),"")</f>
        <v/>
      </c>
      <c r="Q302" s="332">
        <f>IFERROR(VLOOKUP(TEXT(O302,"0"),CONDUCTORES!$A$3:$H$54,6,0),"")</f>
        <v/>
      </c>
      <c r="R302" s="280" t="n"/>
      <c r="S302" s="280" t="n"/>
      <c r="T302" s="280" t="n"/>
      <c r="U302" s="280" t="n"/>
      <c r="V302" s="280" t="n"/>
      <c r="W302" s="280" t="n"/>
      <c r="X302" s="280" t="n"/>
      <c r="Y302" s="280" t="n"/>
      <c r="Z302" s="375">
        <f>IF(AND(G302&lt;&gt;"",R302&lt;&gt;"",V302&lt;&gt;"",W302&lt;&gt;""),"COMPLETADO","OBSERVADO")</f>
        <v/>
      </c>
    </row>
    <row r="303" ht="15" customHeight="1" s="195">
      <c r="A303" s="334" t="n"/>
      <c r="B303" s="334" t="n"/>
      <c r="C303" s="334" t="n"/>
      <c r="D303" s="334" t="n"/>
      <c r="E303" s="334" t="n"/>
      <c r="F303" s="334" t="n"/>
      <c r="G303" s="334" t="n"/>
      <c r="H303" s="334" t="n"/>
      <c r="I303" s="332">
        <f>IFERROR(VLOOKUP(TEXT(H303,"0"),IPRESS!$A$3:$B$212,2,0),"")</f>
        <v/>
      </c>
      <c r="J303" s="334" t="n"/>
      <c r="K303" s="332">
        <f>IFERROR(VLOOKUP(TEXT(O303,"0"),CONDUCTORES!$A$3:$G$54,7,0),"")</f>
        <v/>
      </c>
      <c r="L303" s="334" t="n"/>
      <c r="M303" s="334" t="n"/>
      <c r="N303" s="333">
        <f>IFERROR(IF(L303*M303=0,"",L303*M303),"")</f>
        <v/>
      </c>
      <c r="O303" s="334" t="n"/>
      <c r="P303" s="332">
        <f>IFERROR(VLOOKUP(TEXT(O303,"0"),CONDUCTORES!$A$3:$G$54,2,0),"")</f>
        <v/>
      </c>
      <c r="Q303" s="332">
        <f>IFERROR(VLOOKUP(TEXT(O303,"0"),CONDUCTORES!$A$3:$H$54,6,0),"")</f>
        <v/>
      </c>
      <c r="R303" s="334" t="n"/>
      <c r="S303" s="334" t="n"/>
      <c r="T303" s="334" t="n"/>
      <c r="U303" s="334" t="n"/>
      <c r="V303" s="334" t="n"/>
      <c r="W303" s="334" t="n"/>
      <c r="X303" s="334" t="n"/>
      <c r="Y303" s="334" t="n"/>
      <c r="Z303" s="375">
        <f>IF(AND(G303&lt;&gt;"",R303&lt;&gt;"",V303&lt;&gt;"",W303&lt;&gt;""),"COMPLETADO","OBSERVADO")</f>
        <v/>
      </c>
    </row>
    <row r="304" ht="15" customHeight="1" s="195">
      <c r="A304" s="280" t="n"/>
      <c r="B304" s="280" t="n"/>
      <c r="C304" s="280" t="n"/>
      <c r="D304" s="280" t="n"/>
      <c r="E304" s="280" t="n"/>
      <c r="F304" s="280" t="n"/>
      <c r="G304" s="280" t="n"/>
      <c r="H304" s="280" t="n"/>
      <c r="I304" s="332">
        <f>IFERROR(VLOOKUP(TEXT(H304,"0"),IPRESS!$A$3:$B$212,2,0),"")</f>
        <v/>
      </c>
      <c r="J304" s="280" t="n"/>
      <c r="K304" s="332">
        <f>IFERROR(VLOOKUP(TEXT(O304,"0"),CONDUCTORES!$A$3:$G$54,7,0),"")</f>
        <v/>
      </c>
      <c r="L304" s="280" t="n"/>
      <c r="M304" s="280" t="n"/>
      <c r="N304" s="333">
        <f>IFERROR(IF(L304*M304=0,"",L304*M304),"")</f>
        <v/>
      </c>
      <c r="O304" s="280" t="n"/>
      <c r="P304" s="332">
        <f>IFERROR(VLOOKUP(TEXT(O304,"0"),CONDUCTORES!$A$3:$G$54,2,0),"")</f>
        <v/>
      </c>
      <c r="Q304" s="332">
        <f>IFERROR(VLOOKUP(TEXT(O304,"0"),CONDUCTORES!$A$3:$H$54,6,0),"")</f>
        <v/>
      </c>
      <c r="R304" s="280" t="n"/>
      <c r="S304" s="280" t="n"/>
      <c r="T304" s="280" t="n"/>
      <c r="U304" s="280" t="n"/>
      <c r="V304" s="280" t="n"/>
      <c r="W304" s="280" t="n"/>
      <c r="X304" s="280" t="n"/>
      <c r="Y304" s="280" t="n"/>
      <c r="Z304" s="375">
        <f>IF(AND(G304&lt;&gt;"",R304&lt;&gt;"",V304&lt;&gt;"",W304&lt;&gt;""),"COMPLETADO","OBSERVADO")</f>
        <v/>
      </c>
    </row>
    <row r="305" ht="15" customHeight="1" s="195">
      <c r="A305" s="334" t="n"/>
      <c r="B305" s="334" t="n"/>
      <c r="C305" s="334" t="n"/>
      <c r="D305" s="334" t="n"/>
      <c r="E305" s="334" t="n"/>
      <c r="F305" s="334" t="n"/>
      <c r="G305" s="334" t="n"/>
      <c r="H305" s="334" t="n"/>
      <c r="I305" s="332">
        <f>IFERROR(VLOOKUP(TEXT(H305,"0"),IPRESS!$A$3:$B$212,2,0),"")</f>
        <v/>
      </c>
      <c r="J305" s="334" t="n"/>
      <c r="K305" s="332">
        <f>IFERROR(VLOOKUP(TEXT(O305,"0"),CONDUCTORES!$A$3:$G$54,7,0),"")</f>
        <v/>
      </c>
      <c r="L305" s="334" t="n"/>
      <c r="M305" s="334" t="n"/>
      <c r="N305" s="333">
        <f>IFERROR(IF(L305*M305=0,"",L305*M305),"")</f>
        <v/>
      </c>
      <c r="O305" s="334" t="n"/>
      <c r="P305" s="332">
        <f>IFERROR(VLOOKUP(TEXT(O305,"0"),CONDUCTORES!$A$3:$G$54,2,0),"")</f>
        <v/>
      </c>
      <c r="Q305" s="332">
        <f>IFERROR(VLOOKUP(TEXT(O305,"0"),CONDUCTORES!$A$3:$H$54,6,0),"")</f>
        <v/>
      </c>
      <c r="R305" s="334" t="n"/>
      <c r="S305" s="334" t="n"/>
      <c r="T305" s="334" t="n"/>
      <c r="U305" s="334" t="n"/>
      <c r="V305" s="334" t="n"/>
      <c r="W305" s="334" t="n"/>
      <c r="X305" s="334" t="n"/>
      <c r="Y305" s="334" t="n"/>
      <c r="Z305" s="375">
        <f>IF(AND(G305&lt;&gt;"",R305&lt;&gt;"",V305&lt;&gt;"",W305&lt;&gt;""),"COMPLETADO","OBSERVADO")</f>
        <v/>
      </c>
    </row>
    <row r="306" ht="15" customHeight="1" s="195">
      <c r="A306" s="280" t="n"/>
      <c r="B306" s="280" t="n"/>
      <c r="C306" s="280" t="n"/>
      <c r="D306" s="280" t="n"/>
      <c r="E306" s="280" t="n"/>
      <c r="F306" s="280" t="n"/>
      <c r="G306" s="280" t="n"/>
      <c r="H306" s="280" t="n"/>
      <c r="I306" s="332">
        <f>IFERROR(VLOOKUP(TEXT(H306,"0"),IPRESS!$A$3:$B$212,2,0),"")</f>
        <v/>
      </c>
      <c r="J306" s="280" t="n"/>
      <c r="K306" s="332">
        <f>IFERROR(VLOOKUP(TEXT(O306,"0"),CONDUCTORES!$A$3:$G$54,7,0),"")</f>
        <v/>
      </c>
      <c r="L306" s="280" t="n"/>
      <c r="M306" s="280" t="n"/>
      <c r="N306" s="333">
        <f>IFERROR(IF(L306*M306=0,"",L306*M306),"")</f>
        <v/>
      </c>
      <c r="O306" s="280" t="n"/>
      <c r="P306" s="332">
        <f>IFERROR(VLOOKUP(TEXT(O306,"0"),CONDUCTORES!$A$3:$G$54,2,0),"")</f>
        <v/>
      </c>
      <c r="Q306" s="332">
        <f>IFERROR(VLOOKUP(TEXT(O306,"0"),CONDUCTORES!$A$3:$H$54,6,0),"")</f>
        <v/>
      </c>
      <c r="R306" s="280" t="n"/>
      <c r="S306" s="280" t="n"/>
      <c r="T306" s="280" t="n"/>
      <c r="U306" s="280" t="n"/>
      <c r="V306" s="280" t="n"/>
      <c r="W306" s="280" t="n"/>
      <c r="X306" s="280" t="n"/>
      <c r="Y306" s="280" t="n"/>
      <c r="Z306" s="375">
        <f>IF(AND(G306&lt;&gt;"",R306&lt;&gt;"",V306&lt;&gt;"",W306&lt;&gt;""),"COMPLETADO","OBSERVADO")</f>
        <v/>
      </c>
    </row>
    <row r="307" ht="15" customHeight="1" s="195">
      <c r="A307" s="334" t="n"/>
      <c r="B307" s="334" t="n"/>
      <c r="C307" s="334" t="n"/>
      <c r="D307" s="334" t="n"/>
      <c r="E307" s="334" t="n"/>
      <c r="F307" s="334" t="n"/>
      <c r="G307" s="334" t="n"/>
      <c r="H307" s="334" t="n"/>
      <c r="I307" s="332">
        <f>IFERROR(VLOOKUP(TEXT(H307,"0"),IPRESS!$A$3:$B$212,2,0),"")</f>
        <v/>
      </c>
      <c r="J307" s="334" t="n"/>
      <c r="K307" s="332">
        <f>IFERROR(VLOOKUP(TEXT(O307,"0"),CONDUCTORES!$A$3:$G$54,7,0),"")</f>
        <v/>
      </c>
      <c r="L307" s="334" t="n"/>
      <c r="M307" s="334" t="n"/>
      <c r="N307" s="333">
        <f>IFERROR(IF(L307*M307=0,"",L307*M307),"")</f>
        <v/>
      </c>
      <c r="O307" s="334" t="n"/>
      <c r="P307" s="332">
        <f>IFERROR(VLOOKUP(TEXT(O307,"0"),CONDUCTORES!$A$3:$G$54,2,0),"")</f>
        <v/>
      </c>
      <c r="Q307" s="332">
        <f>IFERROR(VLOOKUP(TEXT(O307,"0"),CONDUCTORES!$A$3:$H$54,6,0),"")</f>
        <v/>
      </c>
      <c r="R307" s="334" t="n"/>
      <c r="S307" s="334" t="n"/>
      <c r="T307" s="334" t="n"/>
      <c r="U307" s="334" t="n"/>
      <c r="V307" s="334" t="n"/>
      <c r="W307" s="334" t="n"/>
      <c r="X307" s="334" t="n"/>
      <c r="Y307" s="334" t="n"/>
      <c r="Z307" s="375">
        <f>IF(AND(G307&lt;&gt;"",R307&lt;&gt;"",V307&lt;&gt;"",W307&lt;&gt;""),"COMPLETADO","OBSERVADO")</f>
        <v/>
      </c>
    </row>
    <row r="308" ht="15" customHeight="1" s="195">
      <c r="A308" s="280" t="n"/>
      <c r="B308" s="280" t="n"/>
      <c r="C308" s="280" t="n"/>
      <c r="D308" s="280" t="n"/>
      <c r="E308" s="280" t="n"/>
      <c r="F308" s="280" t="n"/>
      <c r="G308" s="280" t="n"/>
      <c r="H308" s="280" t="n"/>
      <c r="I308" s="332">
        <f>IFERROR(VLOOKUP(TEXT(H308,"0"),IPRESS!$A$3:$B$212,2,0),"")</f>
        <v/>
      </c>
      <c r="J308" s="280" t="n"/>
      <c r="K308" s="332">
        <f>IFERROR(VLOOKUP(TEXT(O308,"0"),CONDUCTORES!$A$3:$G$54,7,0),"")</f>
        <v/>
      </c>
      <c r="L308" s="280" t="n"/>
      <c r="M308" s="280" t="n"/>
      <c r="N308" s="333">
        <f>IFERROR(IF(L308*M308=0,"",L308*M308),"")</f>
        <v/>
      </c>
      <c r="O308" s="280" t="n"/>
      <c r="P308" s="332">
        <f>IFERROR(VLOOKUP(TEXT(O308,"0"),CONDUCTORES!$A$3:$G$54,2,0),"")</f>
        <v/>
      </c>
      <c r="Q308" s="332">
        <f>IFERROR(VLOOKUP(TEXT(O308,"0"),CONDUCTORES!$A$3:$H$54,6,0),"")</f>
        <v/>
      </c>
      <c r="R308" s="280" t="n"/>
      <c r="S308" s="280" t="n"/>
      <c r="T308" s="280" t="n"/>
      <c r="U308" s="280" t="n"/>
      <c r="V308" s="280" t="n"/>
      <c r="W308" s="280" t="n"/>
      <c r="X308" s="280" t="n"/>
      <c r="Y308" s="280" t="n"/>
      <c r="Z308" s="375">
        <f>IF(AND(G308&lt;&gt;"",R308&lt;&gt;"",V308&lt;&gt;"",W308&lt;&gt;""),"COMPLETADO","OBSERVADO")</f>
        <v/>
      </c>
    </row>
    <row r="309" ht="15" customHeight="1" s="195">
      <c r="A309" s="334" t="n"/>
      <c r="B309" s="334" t="n"/>
      <c r="C309" s="334" t="n"/>
      <c r="D309" s="334" t="n"/>
      <c r="E309" s="334" t="n"/>
      <c r="F309" s="334" t="n"/>
      <c r="G309" s="334" t="n"/>
      <c r="H309" s="334" t="n"/>
      <c r="I309" s="332">
        <f>IFERROR(VLOOKUP(TEXT(H309,"0"),IPRESS!$A$3:$B$212,2,0),"")</f>
        <v/>
      </c>
      <c r="J309" s="334" t="n"/>
      <c r="K309" s="332">
        <f>IFERROR(VLOOKUP(TEXT(O309,"0"),CONDUCTORES!$A$3:$G$54,7,0),"")</f>
        <v/>
      </c>
      <c r="L309" s="334" t="n"/>
      <c r="M309" s="334" t="n"/>
      <c r="N309" s="333">
        <f>IFERROR(IF(L309*M309=0,"",L309*M309),"")</f>
        <v/>
      </c>
      <c r="O309" s="334" t="n"/>
      <c r="P309" s="332">
        <f>IFERROR(VLOOKUP(TEXT(O309,"0"),CONDUCTORES!$A$3:$G$54,2,0),"")</f>
        <v/>
      </c>
      <c r="Q309" s="332">
        <f>IFERROR(VLOOKUP(TEXT(O309,"0"),CONDUCTORES!$A$3:$H$54,6,0),"")</f>
        <v/>
      </c>
      <c r="R309" s="334" t="n"/>
      <c r="S309" s="334" t="n"/>
      <c r="T309" s="334" t="n"/>
      <c r="U309" s="334" t="n"/>
      <c r="V309" s="334" t="n"/>
      <c r="W309" s="334" t="n"/>
      <c r="X309" s="334" t="n"/>
      <c r="Y309" s="334" t="n"/>
      <c r="Z309" s="375">
        <f>IF(AND(G309&lt;&gt;"",R309&lt;&gt;"",V309&lt;&gt;"",W309&lt;&gt;""),"COMPLETADO","OBSERVADO")</f>
        <v/>
      </c>
    </row>
    <row r="310" ht="15" customHeight="1" s="195">
      <c r="A310" s="280" t="n"/>
      <c r="B310" s="280" t="n"/>
      <c r="C310" s="280" t="n"/>
      <c r="D310" s="280" t="n"/>
      <c r="E310" s="280" t="n"/>
      <c r="F310" s="280" t="n"/>
      <c r="G310" s="280" t="n"/>
      <c r="H310" s="280" t="n"/>
      <c r="I310" s="332">
        <f>IFERROR(VLOOKUP(TEXT(H310,"0"),IPRESS!$A$3:$B$212,2,0),"")</f>
        <v/>
      </c>
      <c r="J310" s="280" t="n"/>
      <c r="K310" s="332">
        <f>IFERROR(VLOOKUP(TEXT(O310,"0"),CONDUCTORES!$A$3:$G$54,7,0),"")</f>
        <v/>
      </c>
      <c r="L310" s="280" t="n"/>
      <c r="M310" s="280" t="n"/>
      <c r="N310" s="333">
        <f>IFERROR(IF(L310*M310=0,"",L310*M310),"")</f>
        <v/>
      </c>
      <c r="O310" s="280" t="n"/>
      <c r="P310" s="332">
        <f>IFERROR(VLOOKUP(TEXT(O310,"0"),CONDUCTORES!$A$3:$G$54,2,0),"")</f>
        <v/>
      </c>
      <c r="Q310" s="332">
        <f>IFERROR(VLOOKUP(TEXT(O310,"0"),CONDUCTORES!$A$3:$H$54,6,0),"")</f>
        <v/>
      </c>
      <c r="R310" s="280" t="n"/>
      <c r="S310" s="280" t="n"/>
      <c r="T310" s="280" t="n"/>
      <c r="U310" s="280" t="n"/>
      <c r="V310" s="280" t="n"/>
      <c r="W310" s="280" t="n"/>
      <c r="X310" s="280" t="n"/>
      <c r="Y310" s="280" t="n"/>
      <c r="Z310" s="375">
        <f>IF(AND(G310&lt;&gt;"",R310&lt;&gt;"",V310&lt;&gt;"",W310&lt;&gt;""),"COMPLETADO","OBSERVADO")</f>
        <v/>
      </c>
    </row>
    <row r="311" ht="15" customHeight="1" s="195">
      <c r="A311" s="334" t="n"/>
      <c r="B311" s="334" t="n"/>
      <c r="C311" s="334" t="n"/>
      <c r="D311" s="334" t="n"/>
      <c r="E311" s="334" t="n"/>
      <c r="F311" s="334" t="n"/>
      <c r="G311" s="334" t="n"/>
      <c r="H311" s="334" t="n"/>
      <c r="I311" s="332">
        <f>IFERROR(VLOOKUP(TEXT(H311,"0"),IPRESS!$A$3:$B$212,2,0),"")</f>
        <v/>
      </c>
      <c r="J311" s="334" t="n"/>
      <c r="K311" s="332">
        <f>IFERROR(VLOOKUP(TEXT(O311,"0"),CONDUCTORES!$A$3:$G$54,7,0),"")</f>
        <v/>
      </c>
      <c r="L311" s="334" t="n"/>
      <c r="M311" s="334" t="n"/>
      <c r="N311" s="333">
        <f>IFERROR(IF(L311*M311=0,"",L311*M311),"")</f>
        <v/>
      </c>
      <c r="O311" s="334" t="n"/>
      <c r="P311" s="332">
        <f>IFERROR(VLOOKUP(TEXT(O311,"0"),CONDUCTORES!$A$3:$G$54,2,0),"")</f>
        <v/>
      </c>
      <c r="Q311" s="332">
        <f>IFERROR(VLOOKUP(TEXT(O311,"0"),CONDUCTORES!$A$3:$H$54,6,0),"")</f>
        <v/>
      </c>
      <c r="R311" s="334" t="n"/>
      <c r="S311" s="334" t="n"/>
      <c r="T311" s="334" t="n"/>
      <c r="U311" s="334" t="n"/>
      <c r="V311" s="334" t="n"/>
      <c r="W311" s="334" t="n"/>
      <c r="X311" s="334" t="n"/>
      <c r="Y311" s="334" t="n"/>
      <c r="Z311" s="375">
        <f>IF(AND(G311&lt;&gt;"",R311&lt;&gt;"",V311&lt;&gt;"",W311&lt;&gt;""),"COMPLETADO","OBSERVADO")</f>
        <v/>
      </c>
    </row>
    <row r="312" ht="15" customHeight="1" s="195">
      <c r="A312" s="280" t="n"/>
      <c r="B312" s="280" t="n"/>
      <c r="C312" s="280" t="n"/>
      <c r="D312" s="280" t="n"/>
      <c r="E312" s="280" t="n"/>
      <c r="F312" s="280" t="n"/>
      <c r="G312" s="280" t="n"/>
      <c r="H312" s="280" t="n"/>
      <c r="I312" s="332">
        <f>IFERROR(VLOOKUP(TEXT(H312,"0"),IPRESS!$A$3:$B$212,2,0),"")</f>
        <v/>
      </c>
      <c r="J312" s="280" t="n"/>
      <c r="K312" s="332">
        <f>IFERROR(VLOOKUP(TEXT(O312,"0"),CONDUCTORES!$A$3:$G$54,7,0),"")</f>
        <v/>
      </c>
      <c r="L312" s="280" t="n"/>
      <c r="M312" s="280" t="n"/>
      <c r="N312" s="333">
        <f>IFERROR(IF(L312*M312=0,"",L312*M312),"")</f>
        <v/>
      </c>
      <c r="O312" s="280" t="n"/>
      <c r="P312" s="332">
        <f>IFERROR(VLOOKUP(TEXT(O312,"0"),CONDUCTORES!$A$3:$G$54,2,0),"")</f>
        <v/>
      </c>
      <c r="Q312" s="332">
        <f>IFERROR(VLOOKUP(TEXT(O312,"0"),CONDUCTORES!$A$3:$H$54,6,0),"")</f>
        <v/>
      </c>
      <c r="R312" s="280" t="n"/>
      <c r="S312" s="280" t="n"/>
      <c r="T312" s="280" t="n"/>
      <c r="U312" s="280" t="n"/>
      <c r="V312" s="280" t="n"/>
      <c r="W312" s="280" t="n"/>
      <c r="X312" s="280" t="n"/>
      <c r="Y312" s="280" t="n"/>
      <c r="Z312" s="375">
        <f>IF(AND(G312&lt;&gt;"",R312&lt;&gt;"",V312&lt;&gt;"",W312&lt;&gt;""),"COMPLETADO","OBSERVADO")</f>
        <v/>
      </c>
    </row>
    <row r="313" ht="15" customHeight="1" s="195">
      <c r="A313" s="334" t="n"/>
      <c r="B313" s="334" t="n"/>
      <c r="C313" s="334" t="n"/>
      <c r="D313" s="334" t="n"/>
      <c r="E313" s="334" t="n"/>
      <c r="F313" s="334" t="n"/>
      <c r="G313" s="334" t="n"/>
      <c r="H313" s="334" t="n"/>
      <c r="I313" s="332">
        <f>IFERROR(VLOOKUP(TEXT(H313,"0"),IPRESS!$A$3:$B$212,2,0),"")</f>
        <v/>
      </c>
      <c r="J313" s="334" t="n"/>
      <c r="K313" s="332">
        <f>IFERROR(VLOOKUP(TEXT(O313,"0"),CONDUCTORES!$A$3:$G$54,7,0),"")</f>
        <v/>
      </c>
      <c r="L313" s="334" t="n"/>
      <c r="M313" s="334" t="n"/>
      <c r="N313" s="333">
        <f>IFERROR(IF(L313*M313=0,"",L313*M313),"")</f>
        <v/>
      </c>
      <c r="O313" s="334" t="n"/>
      <c r="P313" s="332">
        <f>IFERROR(VLOOKUP(TEXT(O313,"0"),CONDUCTORES!$A$3:$G$54,2,0),"")</f>
        <v/>
      </c>
      <c r="Q313" s="332">
        <f>IFERROR(VLOOKUP(TEXT(O313,"0"),CONDUCTORES!$A$3:$H$54,6,0),"")</f>
        <v/>
      </c>
      <c r="R313" s="334" t="n"/>
      <c r="S313" s="334" t="n"/>
      <c r="T313" s="334" t="n"/>
      <c r="U313" s="334" t="n"/>
      <c r="V313" s="334" t="n"/>
      <c r="W313" s="334" t="n"/>
      <c r="X313" s="334" t="n"/>
      <c r="Y313" s="334" t="n"/>
      <c r="Z313" s="375">
        <f>IF(AND(G313&lt;&gt;"",R313&lt;&gt;"",V313&lt;&gt;"",W313&lt;&gt;""),"COMPLETADO","OBSERVADO")</f>
        <v/>
      </c>
    </row>
    <row r="314" ht="15" customHeight="1" s="195">
      <c r="A314" s="280" t="n"/>
      <c r="B314" s="280" t="n"/>
      <c r="C314" s="280" t="n"/>
      <c r="D314" s="280" t="n"/>
      <c r="E314" s="280" t="n"/>
      <c r="F314" s="280" t="n"/>
      <c r="G314" s="280" t="n"/>
      <c r="H314" s="280" t="n"/>
      <c r="I314" s="332">
        <f>IFERROR(VLOOKUP(TEXT(H314,"0"),IPRESS!$A$3:$B$212,2,0),"")</f>
        <v/>
      </c>
      <c r="J314" s="280" t="n"/>
      <c r="K314" s="332">
        <f>IFERROR(VLOOKUP(TEXT(O314,"0"),CONDUCTORES!$A$3:$G$54,7,0),"")</f>
        <v/>
      </c>
      <c r="L314" s="280" t="n"/>
      <c r="M314" s="280" t="n"/>
      <c r="N314" s="333">
        <f>IFERROR(IF(L314*M314=0,"",L314*M314),"")</f>
        <v/>
      </c>
      <c r="O314" s="280" t="n"/>
      <c r="P314" s="332">
        <f>IFERROR(VLOOKUP(TEXT(O314,"0"),CONDUCTORES!$A$3:$G$54,2,0),"")</f>
        <v/>
      </c>
      <c r="Q314" s="332">
        <f>IFERROR(VLOOKUP(TEXT(O314,"0"),CONDUCTORES!$A$3:$H$54,6,0),"")</f>
        <v/>
      </c>
      <c r="R314" s="280" t="n"/>
      <c r="S314" s="280" t="n"/>
      <c r="T314" s="280" t="n"/>
      <c r="U314" s="280" t="n"/>
      <c r="V314" s="280" t="n"/>
      <c r="W314" s="280" t="n"/>
      <c r="X314" s="280" t="n"/>
      <c r="Y314" s="280" t="n"/>
      <c r="Z314" s="375">
        <f>IF(AND(G314&lt;&gt;"",R314&lt;&gt;"",V314&lt;&gt;"",W314&lt;&gt;""),"COMPLETADO","OBSERVADO")</f>
        <v/>
      </c>
    </row>
    <row r="315" ht="15" customHeight="1" s="195">
      <c r="A315" s="334" t="n"/>
      <c r="B315" s="334" t="n"/>
      <c r="C315" s="334" t="n"/>
      <c r="D315" s="334" t="n"/>
      <c r="E315" s="334" t="n"/>
      <c r="F315" s="334" t="n"/>
      <c r="G315" s="334" t="n"/>
      <c r="H315" s="334" t="n"/>
      <c r="I315" s="332">
        <f>IFERROR(VLOOKUP(TEXT(H315,"0"),IPRESS!$A$3:$B$212,2,0),"")</f>
        <v/>
      </c>
      <c r="J315" s="334" t="n"/>
      <c r="K315" s="332">
        <f>IFERROR(VLOOKUP(TEXT(O315,"0"),CONDUCTORES!$A$3:$G$54,7,0),"")</f>
        <v/>
      </c>
      <c r="L315" s="334" t="n"/>
      <c r="M315" s="334" t="n"/>
      <c r="N315" s="333">
        <f>IFERROR(IF(L315*M315=0,"",L315*M315),"")</f>
        <v/>
      </c>
      <c r="O315" s="334" t="n"/>
      <c r="P315" s="332">
        <f>IFERROR(VLOOKUP(TEXT(O315,"0"),CONDUCTORES!$A$3:$G$54,2,0),"")</f>
        <v/>
      </c>
      <c r="Q315" s="332">
        <f>IFERROR(VLOOKUP(TEXT(O315,"0"),CONDUCTORES!$A$3:$H$54,6,0),"")</f>
        <v/>
      </c>
      <c r="R315" s="334" t="n"/>
      <c r="S315" s="334" t="n"/>
      <c r="T315" s="334" t="n"/>
      <c r="U315" s="334" t="n"/>
      <c r="V315" s="334" t="n"/>
      <c r="W315" s="334" t="n"/>
      <c r="X315" s="334" t="n"/>
      <c r="Y315" s="334" t="n"/>
      <c r="Z315" s="375">
        <f>IF(AND(G315&lt;&gt;"",R315&lt;&gt;"",V315&lt;&gt;"",W315&lt;&gt;""),"COMPLETADO","OBSERVADO")</f>
        <v/>
      </c>
    </row>
    <row r="316" ht="15" customHeight="1" s="195">
      <c r="A316" s="280" t="n"/>
      <c r="B316" s="280" t="n"/>
      <c r="C316" s="280" t="n"/>
      <c r="D316" s="280" t="n"/>
      <c r="E316" s="280" t="n"/>
      <c r="F316" s="280" t="n"/>
      <c r="G316" s="280" t="n"/>
      <c r="H316" s="280" t="n"/>
      <c r="I316" s="332">
        <f>IFERROR(VLOOKUP(TEXT(H316,"0"),IPRESS!$A$3:$B$212,2,0),"")</f>
        <v/>
      </c>
      <c r="J316" s="280" t="n"/>
      <c r="K316" s="332">
        <f>IFERROR(VLOOKUP(TEXT(O316,"0"),CONDUCTORES!$A$3:$G$54,7,0),"")</f>
        <v/>
      </c>
      <c r="L316" s="280" t="n"/>
      <c r="M316" s="280" t="n"/>
      <c r="N316" s="333">
        <f>IFERROR(IF(L316*M316=0,"",L316*M316),"")</f>
        <v/>
      </c>
      <c r="O316" s="280" t="n"/>
      <c r="P316" s="332">
        <f>IFERROR(VLOOKUP(TEXT(O316,"0"),CONDUCTORES!$A$3:$G$54,2,0),"")</f>
        <v/>
      </c>
      <c r="Q316" s="332">
        <f>IFERROR(VLOOKUP(TEXT(O316,"0"),CONDUCTORES!$A$3:$H$54,6,0),"")</f>
        <v/>
      </c>
      <c r="R316" s="280" t="n"/>
      <c r="S316" s="280" t="n"/>
      <c r="T316" s="280" t="n"/>
      <c r="U316" s="280" t="n"/>
      <c r="V316" s="280" t="n"/>
      <c r="W316" s="280" t="n"/>
      <c r="X316" s="280" t="n"/>
      <c r="Y316" s="280" t="n"/>
      <c r="Z316" s="375">
        <f>IF(AND(G316&lt;&gt;"",R316&lt;&gt;"",V316&lt;&gt;"",W316&lt;&gt;""),"COMPLETADO","OBSERVADO")</f>
        <v/>
      </c>
    </row>
    <row r="317" ht="15" customHeight="1" s="195">
      <c r="A317" s="334" t="n"/>
      <c r="B317" s="334" t="n"/>
      <c r="C317" s="334" t="n"/>
      <c r="D317" s="334" t="n"/>
      <c r="E317" s="334" t="n"/>
      <c r="F317" s="334" t="n"/>
      <c r="G317" s="334" t="n"/>
      <c r="H317" s="334" t="n"/>
      <c r="I317" s="332">
        <f>IFERROR(VLOOKUP(TEXT(H317,"0"),IPRESS!$A$3:$B$212,2,0),"")</f>
        <v/>
      </c>
      <c r="J317" s="334" t="n"/>
      <c r="K317" s="332">
        <f>IFERROR(VLOOKUP(TEXT(O317,"0"),CONDUCTORES!$A$3:$G$54,7,0),"")</f>
        <v/>
      </c>
      <c r="L317" s="334" t="n"/>
      <c r="M317" s="334" t="n"/>
      <c r="N317" s="333">
        <f>IFERROR(IF(L317*M317=0,"",L317*M317),"")</f>
        <v/>
      </c>
      <c r="O317" s="334" t="n"/>
      <c r="P317" s="332">
        <f>IFERROR(VLOOKUP(TEXT(O317,"0"),CONDUCTORES!$A$3:$G$54,2,0),"")</f>
        <v/>
      </c>
      <c r="Q317" s="332">
        <f>IFERROR(VLOOKUP(TEXT(O317,"0"),CONDUCTORES!$A$3:$H$54,6,0),"")</f>
        <v/>
      </c>
      <c r="R317" s="334" t="n"/>
      <c r="S317" s="334" t="n"/>
      <c r="T317" s="334" t="n"/>
      <c r="U317" s="334" t="n"/>
      <c r="V317" s="334" t="n"/>
      <c r="W317" s="334" t="n"/>
      <c r="X317" s="334" t="n"/>
      <c r="Y317" s="334" t="n"/>
      <c r="Z317" s="375">
        <f>IF(AND(G317&lt;&gt;"",R317&lt;&gt;"",V317&lt;&gt;"",W317&lt;&gt;""),"COMPLETADO","OBSERVADO")</f>
        <v/>
      </c>
    </row>
    <row r="318" ht="15" customHeight="1" s="195">
      <c r="A318" s="280" t="n"/>
      <c r="B318" s="280" t="n"/>
      <c r="C318" s="280" t="n"/>
      <c r="D318" s="280" t="n"/>
      <c r="E318" s="280" t="n"/>
      <c r="F318" s="280" t="n"/>
      <c r="G318" s="280" t="n"/>
      <c r="H318" s="280" t="n"/>
      <c r="I318" s="332">
        <f>IFERROR(VLOOKUP(TEXT(H318,"0"),IPRESS!$A$3:$B$212,2,0),"")</f>
        <v/>
      </c>
      <c r="J318" s="280" t="n"/>
      <c r="K318" s="332">
        <f>IFERROR(VLOOKUP(TEXT(O318,"0"),CONDUCTORES!$A$3:$G$54,7,0),"")</f>
        <v/>
      </c>
      <c r="L318" s="280" t="n"/>
      <c r="M318" s="280" t="n"/>
      <c r="N318" s="333">
        <f>IFERROR(IF(L318*M318=0,"",L318*M318),"")</f>
        <v/>
      </c>
      <c r="O318" s="280" t="n"/>
      <c r="P318" s="332">
        <f>IFERROR(VLOOKUP(TEXT(O318,"0"),CONDUCTORES!$A$3:$G$54,2,0),"")</f>
        <v/>
      </c>
      <c r="Q318" s="332">
        <f>IFERROR(VLOOKUP(TEXT(O318,"0"),CONDUCTORES!$A$3:$H$54,6,0),"")</f>
        <v/>
      </c>
      <c r="R318" s="280" t="n"/>
      <c r="S318" s="280" t="n"/>
      <c r="T318" s="280" t="n"/>
      <c r="U318" s="280" t="n"/>
      <c r="V318" s="280" t="n"/>
      <c r="W318" s="280" t="n"/>
      <c r="X318" s="280" t="n"/>
      <c r="Y318" s="280" t="n"/>
      <c r="Z318" s="375">
        <f>IF(AND(G318&lt;&gt;"",R318&lt;&gt;"",V318&lt;&gt;"",W318&lt;&gt;""),"COMPLETADO","OBSERVADO")</f>
        <v/>
      </c>
    </row>
    <row r="319" ht="15" customHeight="1" s="195">
      <c r="A319" s="334" t="n"/>
      <c r="B319" s="334" t="n"/>
      <c r="C319" s="334" t="n"/>
      <c r="D319" s="334" t="n"/>
      <c r="E319" s="334" t="n"/>
      <c r="F319" s="334" t="n"/>
      <c r="G319" s="334" t="n"/>
      <c r="H319" s="334" t="n"/>
      <c r="I319" s="332">
        <f>IFERROR(VLOOKUP(TEXT(H319,"0"),IPRESS!$A$3:$B$212,2,0),"")</f>
        <v/>
      </c>
      <c r="J319" s="334" t="n"/>
      <c r="K319" s="332">
        <f>IFERROR(VLOOKUP(TEXT(O319,"0"),CONDUCTORES!$A$3:$G$54,7,0),"")</f>
        <v/>
      </c>
      <c r="L319" s="334" t="n"/>
      <c r="M319" s="334" t="n"/>
      <c r="N319" s="333">
        <f>IFERROR(IF(L319*M319=0,"",L319*M319),"")</f>
        <v/>
      </c>
      <c r="O319" s="334" t="n"/>
      <c r="P319" s="332">
        <f>IFERROR(VLOOKUP(TEXT(O319,"0"),CONDUCTORES!$A$3:$G$54,2,0),"")</f>
        <v/>
      </c>
      <c r="Q319" s="332">
        <f>IFERROR(VLOOKUP(TEXT(O319,"0"),CONDUCTORES!$A$3:$H$54,6,0),"")</f>
        <v/>
      </c>
      <c r="R319" s="334" t="n"/>
      <c r="S319" s="334" t="n"/>
      <c r="T319" s="334" t="n"/>
      <c r="U319" s="334" t="n"/>
      <c r="V319" s="334" t="n"/>
      <c r="W319" s="334" t="n"/>
      <c r="X319" s="334" t="n"/>
      <c r="Y319" s="334" t="n"/>
      <c r="Z319" s="375">
        <f>IF(AND(G319&lt;&gt;"",R319&lt;&gt;"",V319&lt;&gt;"",W319&lt;&gt;""),"COMPLETADO","OBSERVADO")</f>
        <v/>
      </c>
    </row>
    <row r="320" ht="15" customHeight="1" s="195">
      <c r="A320" s="280" t="n"/>
      <c r="B320" s="280" t="n"/>
      <c r="C320" s="280" t="n"/>
      <c r="D320" s="280" t="n"/>
      <c r="E320" s="280" t="n"/>
      <c r="F320" s="280" t="n"/>
      <c r="G320" s="280" t="n"/>
      <c r="H320" s="280" t="n"/>
      <c r="I320" s="332">
        <f>IFERROR(VLOOKUP(TEXT(H320,"0"),IPRESS!$A$3:$B$212,2,0),"")</f>
        <v/>
      </c>
      <c r="J320" s="280" t="n"/>
      <c r="K320" s="332">
        <f>IFERROR(VLOOKUP(TEXT(O320,"0"),CONDUCTORES!$A$3:$G$54,7,0),"")</f>
        <v/>
      </c>
      <c r="L320" s="280" t="n"/>
      <c r="M320" s="280" t="n"/>
      <c r="N320" s="333">
        <f>IFERROR(IF(L320*M320=0,"",L320*M320),"")</f>
        <v/>
      </c>
      <c r="O320" s="280" t="n"/>
      <c r="P320" s="332">
        <f>IFERROR(VLOOKUP(TEXT(O320,"0"),CONDUCTORES!$A$3:$G$54,2,0),"")</f>
        <v/>
      </c>
      <c r="Q320" s="332">
        <f>IFERROR(VLOOKUP(TEXT(O320,"0"),CONDUCTORES!$A$3:$H$54,6,0),"")</f>
        <v/>
      </c>
      <c r="R320" s="280" t="n"/>
      <c r="S320" s="280" t="n"/>
      <c r="T320" s="280" t="n"/>
      <c r="U320" s="280" t="n"/>
      <c r="V320" s="280" t="n"/>
      <c r="W320" s="280" t="n"/>
      <c r="X320" s="280" t="n"/>
      <c r="Y320" s="280" t="n"/>
      <c r="Z320" s="375">
        <f>IF(AND(G320&lt;&gt;"",R320&lt;&gt;"",V320&lt;&gt;"",W320&lt;&gt;""),"COMPLETADO","OBSERVADO")</f>
        <v/>
      </c>
    </row>
    <row r="321" ht="15" customHeight="1" s="195">
      <c r="A321" s="334" t="n"/>
      <c r="B321" s="334" t="n"/>
      <c r="C321" s="334" t="n"/>
      <c r="D321" s="334" t="n"/>
      <c r="E321" s="334" t="n"/>
      <c r="F321" s="334" t="n"/>
      <c r="G321" s="334" t="n"/>
      <c r="H321" s="334" t="n"/>
      <c r="I321" s="332">
        <f>IFERROR(VLOOKUP(TEXT(H321,"0"),IPRESS!$A$3:$B$212,2,0),"")</f>
        <v/>
      </c>
      <c r="J321" s="334" t="n"/>
      <c r="K321" s="332">
        <f>IFERROR(VLOOKUP(TEXT(O321,"0"),CONDUCTORES!$A$3:$G$54,7,0),"")</f>
        <v/>
      </c>
      <c r="L321" s="334" t="n"/>
      <c r="M321" s="334" t="n"/>
      <c r="N321" s="333">
        <f>IFERROR(IF(L321*M321=0,"",L321*M321),"")</f>
        <v/>
      </c>
      <c r="O321" s="334" t="n"/>
      <c r="P321" s="332">
        <f>IFERROR(VLOOKUP(TEXT(O321,"0"),CONDUCTORES!$A$3:$G$54,2,0),"")</f>
        <v/>
      </c>
      <c r="Q321" s="332">
        <f>IFERROR(VLOOKUP(TEXT(O321,"0"),CONDUCTORES!$A$3:$H$54,6,0),"")</f>
        <v/>
      </c>
      <c r="R321" s="334" t="n"/>
      <c r="S321" s="334" t="n"/>
      <c r="T321" s="334" t="n"/>
      <c r="U321" s="334" t="n"/>
      <c r="V321" s="334" t="n"/>
      <c r="W321" s="334" t="n"/>
      <c r="X321" s="334" t="n"/>
      <c r="Y321" s="334" t="n"/>
      <c r="Z321" s="375">
        <f>IF(AND(G321&lt;&gt;"",R321&lt;&gt;"",V321&lt;&gt;"",W321&lt;&gt;""),"COMPLETADO","OBSERVADO")</f>
        <v/>
      </c>
    </row>
    <row r="322" ht="15" customHeight="1" s="195">
      <c r="A322" s="280" t="n"/>
      <c r="B322" s="280" t="n"/>
      <c r="C322" s="280" t="n"/>
      <c r="D322" s="280" t="n"/>
      <c r="E322" s="280" t="n"/>
      <c r="F322" s="280" t="n"/>
      <c r="G322" s="280" t="n"/>
      <c r="H322" s="280" t="n"/>
      <c r="I322" s="332">
        <f>IFERROR(VLOOKUP(TEXT(H322,"0"),IPRESS!$A$3:$B$212,2,0),"")</f>
        <v/>
      </c>
      <c r="J322" s="280" t="n"/>
      <c r="K322" s="332">
        <f>IFERROR(VLOOKUP(TEXT(O322,"0"),CONDUCTORES!$A$3:$G$54,7,0),"")</f>
        <v/>
      </c>
      <c r="L322" s="280" t="n"/>
      <c r="M322" s="280" t="n"/>
      <c r="N322" s="333">
        <f>IFERROR(IF(L322*M322=0,"",L322*M322),"")</f>
        <v/>
      </c>
      <c r="O322" s="280" t="n"/>
      <c r="P322" s="332">
        <f>IFERROR(VLOOKUP(TEXT(O322,"0"),CONDUCTORES!$A$3:$G$54,2,0),"")</f>
        <v/>
      </c>
      <c r="Q322" s="332">
        <f>IFERROR(VLOOKUP(TEXT(O322,"0"),CONDUCTORES!$A$3:$H$54,6,0),"")</f>
        <v/>
      </c>
      <c r="R322" s="280" t="n"/>
      <c r="S322" s="280" t="n"/>
      <c r="T322" s="280" t="n"/>
      <c r="U322" s="280" t="n"/>
      <c r="V322" s="280" t="n"/>
      <c r="W322" s="280" t="n"/>
      <c r="X322" s="280" t="n"/>
      <c r="Y322" s="280" t="n"/>
      <c r="Z322" s="375">
        <f>IF(AND(G322&lt;&gt;"",R322&lt;&gt;"",V322&lt;&gt;"",W322&lt;&gt;""),"COMPLETADO","OBSERVADO")</f>
        <v/>
      </c>
    </row>
    <row r="323" ht="15" customHeight="1" s="195">
      <c r="A323" s="334" t="n"/>
      <c r="B323" s="334" t="n"/>
      <c r="C323" s="334" t="n"/>
      <c r="D323" s="334" t="n"/>
      <c r="E323" s="334" t="n"/>
      <c r="F323" s="334" t="n"/>
      <c r="G323" s="334" t="n"/>
      <c r="H323" s="334" t="n"/>
      <c r="I323" s="332">
        <f>IFERROR(VLOOKUP(TEXT(H323,"0"),IPRESS!$A$3:$B$212,2,0),"")</f>
        <v/>
      </c>
      <c r="J323" s="334" t="n"/>
      <c r="K323" s="332">
        <f>IFERROR(VLOOKUP(TEXT(O323,"0"),CONDUCTORES!$A$3:$G$54,7,0),"")</f>
        <v/>
      </c>
      <c r="L323" s="334" t="n"/>
      <c r="M323" s="334" t="n"/>
      <c r="N323" s="333">
        <f>IFERROR(IF(L323*M323=0,"",L323*M323),"")</f>
        <v/>
      </c>
      <c r="O323" s="334" t="n"/>
      <c r="P323" s="332">
        <f>IFERROR(VLOOKUP(TEXT(O323,"0"),CONDUCTORES!$A$3:$G$54,2,0),"")</f>
        <v/>
      </c>
      <c r="Q323" s="332">
        <f>IFERROR(VLOOKUP(TEXT(O323,"0"),CONDUCTORES!$A$3:$H$54,6,0),"")</f>
        <v/>
      </c>
      <c r="R323" s="334" t="n"/>
      <c r="S323" s="334" t="n"/>
      <c r="T323" s="334" t="n"/>
      <c r="U323" s="334" t="n"/>
      <c r="V323" s="334" t="n"/>
      <c r="W323" s="334" t="n"/>
      <c r="X323" s="334" t="n"/>
      <c r="Y323" s="334" t="n"/>
      <c r="Z323" s="375">
        <f>IF(AND(G323&lt;&gt;"",R323&lt;&gt;"",V323&lt;&gt;"",W323&lt;&gt;""),"COMPLETADO","OBSERVADO")</f>
        <v/>
      </c>
    </row>
    <row r="324" ht="15" customHeight="1" s="195">
      <c r="A324" s="280" t="n"/>
      <c r="B324" s="280" t="n"/>
      <c r="C324" s="280" t="n"/>
      <c r="D324" s="280" t="n"/>
      <c r="E324" s="280" t="n"/>
      <c r="F324" s="280" t="n"/>
      <c r="G324" s="280" t="n"/>
      <c r="H324" s="280" t="n"/>
      <c r="I324" s="332">
        <f>IFERROR(VLOOKUP(TEXT(H324,"0"),IPRESS!$A$3:$B$212,2,0),"")</f>
        <v/>
      </c>
      <c r="J324" s="280" t="n"/>
      <c r="K324" s="332">
        <f>IFERROR(VLOOKUP(TEXT(O324,"0"),CONDUCTORES!$A$3:$G$54,7,0),"")</f>
        <v/>
      </c>
      <c r="L324" s="280" t="n"/>
      <c r="M324" s="280" t="n"/>
      <c r="N324" s="333">
        <f>IFERROR(IF(L324*M324=0,"",L324*M324),"")</f>
        <v/>
      </c>
      <c r="O324" s="280" t="n"/>
      <c r="P324" s="332">
        <f>IFERROR(VLOOKUP(TEXT(O324,"0"),CONDUCTORES!$A$3:$G$54,2,0),"")</f>
        <v/>
      </c>
      <c r="Q324" s="332">
        <f>IFERROR(VLOOKUP(TEXT(O324,"0"),CONDUCTORES!$A$3:$H$54,6,0),"")</f>
        <v/>
      </c>
      <c r="R324" s="280" t="n"/>
      <c r="S324" s="280" t="n"/>
      <c r="T324" s="280" t="n"/>
      <c r="U324" s="280" t="n"/>
      <c r="V324" s="280" t="n"/>
      <c r="W324" s="280" t="n"/>
      <c r="X324" s="280" t="n"/>
      <c r="Y324" s="280" t="n"/>
      <c r="Z324" s="375">
        <f>IF(AND(G324&lt;&gt;"",R324&lt;&gt;"",V324&lt;&gt;"",W324&lt;&gt;""),"COMPLETADO","OBSERVADO")</f>
        <v/>
      </c>
    </row>
    <row r="325" ht="15" customHeight="1" s="195">
      <c r="A325" s="334" t="n"/>
      <c r="B325" s="334" t="n"/>
      <c r="C325" s="334" t="n"/>
      <c r="D325" s="334" t="n"/>
      <c r="E325" s="334" t="n"/>
      <c r="F325" s="334" t="n"/>
      <c r="G325" s="334" t="n"/>
      <c r="H325" s="334" t="n"/>
      <c r="I325" s="332">
        <f>IFERROR(VLOOKUP(TEXT(H325,"0"),IPRESS!$A$3:$B$212,2,0),"")</f>
        <v/>
      </c>
      <c r="J325" s="334" t="n"/>
      <c r="K325" s="332">
        <f>IFERROR(VLOOKUP(TEXT(O325,"0"),CONDUCTORES!$A$3:$G$54,7,0),"")</f>
        <v/>
      </c>
      <c r="L325" s="334" t="n"/>
      <c r="M325" s="334" t="n"/>
      <c r="N325" s="333">
        <f>IFERROR(IF(L325*M325=0,"",L325*M325),"")</f>
        <v/>
      </c>
      <c r="O325" s="334" t="n"/>
      <c r="P325" s="332">
        <f>IFERROR(VLOOKUP(TEXT(O325,"0"),CONDUCTORES!$A$3:$G$54,2,0),"")</f>
        <v/>
      </c>
      <c r="Q325" s="332">
        <f>IFERROR(VLOOKUP(TEXT(O325,"0"),CONDUCTORES!$A$3:$H$54,6,0),"")</f>
        <v/>
      </c>
      <c r="R325" s="334" t="n"/>
      <c r="S325" s="334" t="n"/>
      <c r="T325" s="334" t="n"/>
      <c r="U325" s="334" t="n"/>
      <c r="V325" s="334" t="n"/>
      <c r="W325" s="334" t="n"/>
      <c r="X325" s="334" t="n"/>
      <c r="Y325" s="334" t="n"/>
      <c r="Z325" s="375">
        <f>IF(AND(G325&lt;&gt;"",R325&lt;&gt;"",V325&lt;&gt;"",W325&lt;&gt;""),"COMPLETADO","OBSERVADO")</f>
        <v/>
      </c>
    </row>
    <row r="326" ht="15" customHeight="1" s="195">
      <c r="A326" s="280" t="n"/>
      <c r="B326" s="280" t="n"/>
      <c r="C326" s="280" t="n"/>
      <c r="D326" s="280" t="n"/>
      <c r="E326" s="280" t="n"/>
      <c r="F326" s="280" t="n"/>
      <c r="G326" s="280" t="n"/>
      <c r="H326" s="280" t="n"/>
      <c r="I326" s="332">
        <f>IFERROR(VLOOKUP(TEXT(H326,"0"),IPRESS!$A$3:$B$212,2,0),"")</f>
        <v/>
      </c>
      <c r="J326" s="280" t="n"/>
      <c r="K326" s="332">
        <f>IFERROR(VLOOKUP(TEXT(O326,"0"),CONDUCTORES!$A$3:$G$54,7,0),"")</f>
        <v/>
      </c>
      <c r="L326" s="280" t="n"/>
      <c r="M326" s="280" t="n"/>
      <c r="N326" s="333">
        <f>IFERROR(IF(L326*M326=0,"",L326*M326),"")</f>
        <v/>
      </c>
      <c r="O326" s="280" t="n"/>
      <c r="P326" s="332">
        <f>IFERROR(VLOOKUP(TEXT(O326,"0"),CONDUCTORES!$A$3:$G$54,2,0),"")</f>
        <v/>
      </c>
      <c r="Q326" s="332">
        <f>IFERROR(VLOOKUP(TEXT(O326,"0"),CONDUCTORES!$A$3:$H$54,6,0),"")</f>
        <v/>
      </c>
      <c r="R326" s="280" t="n"/>
      <c r="S326" s="280" t="n"/>
      <c r="T326" s="280" t="n"/>
      <c r="U326" s="280" t="n"/>
      <c r="V326" s="280" t="n"/>
      <c r="W326" s="280" t="n"/>
      <c r="X326" s="280" t="n"/>
      <c r="Y326" s="280" t="n"/>
      <c r="Z326" s="375">
        <f>IF(AND(G326&lt;&gt;"",R326&lt;&gt;"",V326&lt;&gt;"",W326&lt;&gt;""),"COMPLETADO","OBSERVADO")</f>
        <v/>
      </c>
    </row>
    <row r="327" ht="15" customHeight="1" s="195">
      <c r="A327" s="334" t="n"/>
      <c r="B327" s="334" t="n"/>
      <c r="C327" s="334" t="n"/>
      <c r="D327" s="334" t="n"/>
      <c r="E327" s="334" t="n"/>
      <c r="F327" s="334" t="n"/>
      <c r="G327" s="334" t="n"/>
      <c r="H327" s="334" t="n"/>
      <c r="I327" s="332">
        <f>IFERROR(VLOOKUP(TEXT(H327,"0"),IPRESS!$A$3:$B$212,2,0),"")</f>
        <v/>
      </c>
      <c r="J327" s="334" t="n"/>
      <c r="K327" s="332">
        <f>IFERROR(VLOOKUP(TEXT(O327,"0"),CONDUCTORES!$A$3:$G$54,7,0),"")</f>
        <v/>
      </c>
      <c r="L327" s="334" t="n"/>
      <c r="M327" s="334" t="n"/>
      <c r="N327" s="333">
        <f>IFERROR(IF(L327*M327=0,"",L327*M327),"")</f>
        <v/>
      </c>
      <c r="O327" s="334" t="n"/>
      <c r="P327" s="332">
        <f>IFERROR(VLOOKUP(TEXT(O327,"0"),CONDUCTORES!$A$3:$G$54,2,0),"")</f>
        <v/>
      </c>
      <c r="Q327" s="332">
        <f>IFERROR(VLOOKUP(TEXT(O327,"0"),CONDUCTORES!$A$3:$H$54,6,0),"")</f>
        <v/>
      </c>
      <c r="R327" s="334" t="n"/>
      <c r="S327" s="334" t="n"/>
      <c r="T327" s="334" t="n"/>
      <c r="U327" s="334" t="n"/>
      <c r="V327" s="334" t="n"/>
      <c r="W327" s="334" t="n"/>
      <c r="X327" s="334" t="n"/>
      <c r="Y327" s="334" t="n"/>
      <c r="Z327" s="375">
        <f>IF(AND(G327&lt;&gt;"",R327&lt;&gt;"",V327&lt;&gt;"",W327&lt;&gt;""),"COMPLETADO","OBSERVADO")</f>
        <v/>
      </c>
    </row>
    <row r="328" ht="15" customHeight="1" s="195">
      <c r="A328" s="280" t="n"/>
      <c r="B328" s="280" t="n"/>
      <c r="C328" s="280" t="n"/>
      <c r="D328" s="280" t="n"/>
      <c r="E328" s="280" t="n"/>
      <c r="F328" s="280" t="n"/>
      <c r="G328" s="280" t="n"/>
      <c r="H328" s="280" t="n"/>
      <c r="I328" s="332">
        <f>IFERROR(VLOOKUP(TEXT(H328,"0"),IPRESS!$A$3:$B$212,2,0),"")</f>
        <v/>
      </c>
      <c r="J328" s="280" t="n"/>
      <c r="K328" s="332">
        <f>IFERROR(VLOOKUP(TEXT(O328,"0"),CONDUCTORES!$A$3:$G$54,7,0),"")</f>
        <v/>
      </c>
      <c r="L328" s="280" t="n"/>
      <c r="M328" s="280" t="n"/>
      <c r="N328" s="333">
        <f>IFERROR(IF(L328*M328=0,"",L328*M328),"")</f>
        <v/>
      </c>
      <c r="O328" s="280" t="n"/>
      <c r="P328" s="332">
        <f>IFERROR(VLOOKUP(TEXT(O328,"0"),CONDUCTORES!$A$3:$G$54,2,0),"")</f>
        <v/>
      </c>
      <c r="Q328" s="332">
        <f>IFERROR(VLOOKUP(TEXT(O328,"0"),CONDUCTORES!$A$3:$H$54,6,0),"")</f>
        <v/>
      </c>
      <c r="R328" s="280" t="n"/>
      <c r="S328" s="280" t="n"/>
      <c r="T328" s="280" t="n"/>
      <c r="U328" s="280" t="n"/>
      <c r="V328" s="280" t="n"/>
      <c r="W328" s="280" t="n"/>
      <c r="X328" s="280" t="n"/>
      <c r="Y328" s="280" t="n"/>
      <c r="Z328" s="375">
        <f>IF(AND(G328&lt;&gt;"",R328&lt;&gt;"",V328&lt;&gt;"",W328&lt;&gt;""),"COMPLETADO","OBSERVADO")</f>
        <v/>
      </c>
    </row>
    <row r="329" ht="15" customHeight="1" s="195">
      <c r="A329" s="334" t="n"/>
      <c r="B329" s="334" t="n"/>
      <c r="C329" s="334" t="n"/>
      <c r="D329" s="334" t="n"/>
      <c r="E329" s="334" t="n"/>
      <c r="F329" s="334" t="n"/>
      <c r="G329" s="334" t="n"/>
      <c r="H329" s="334" t="n"/>
      <c r="I329" s="332">
        <f>IFERROR(VLOOKUP(TEXT(H329,"0"),IPRESS!$A$3:$B$212,2,0),"")</f>
        <v/>
      </c>
      <c r="J329" s="334" t="n"/>
      <c r="K329" s="332">
        <f>IFERROR(VLOOKUP(TEXT(O329,"0"),CONDUCTORES!$A$3:$G$54,7,0),"")</f>
        <v/>
      </c>
      <c r="L329" s="334" t="n"/>
      <c r="M329" s="334" t="n"/>
      <c r="N329" s="333">
        <f>IFERROR(IF(L329*M329=0,"",L329*M329),"")</f>
        <v/>
      </c>
      <c r="O329" s="334" t="n"/>
      <c r="P329" s="332">
        <f>IFERROR(VLOOKUP(TEXT(O329,"0"),CONDUCTORES!$A$3:$G$54,2,0),"")</f>
        <v/>
      </c>
      <c r="Q329" s="332">
        <f>IFERROR(VLOOKUP(TEXT(O329,"0"),CONDUCTORES!$A$3:$H$54,6,0),"")</f>
        <v/>
      </c>
      <c r="R329" s="334" t="n"/>
      <c r="S329" s="334" t="n"/>
      <c r="T329" s="334" t="n"/>
      <c r="U329" s="334" t="n"/>
      <c r="V329" s="334" t="n"/>
      <c r="W329" s="334" t="n"/>
      <c r="X329" s="334" t="n"/>
      <c r="Y329" s="334" t="n"/>
      <c r="Z329" s="375">
        <f>IF(AND(G329&lt;&gt;"",R329&lt;&gt;"",V329&lt;&gt;"",W329&lt;&gt;""),"COMPLETADO","OBSERVADO")</f>
        <v/>
      </c>
    </row>
    <row r="330" ht="15" customHeight="1" s="195">
      <c r="A330" s="280" t="n"/>
      <c r="B330" s="280" t="n"/>
      <c r="C330" s="280" t="n"/>
      <c r="D330" s="280" t="n"/>
      <c r="E330" s="280" t="n"/>
      <c r="F330" s="280" t="n"/>
      <c r="G330" s="280" t="n"/>
      <c r="H330" s="280" t="n"/>
      <c r="I330" s="332">
        <f>IFERROR(VLOOKUP(TEXT(H330,"0"),IPRESS!$A$3:$B$212,2,0),"")</f>
        <v/>
      </c>
      <c r="J330" s="280" t="n"/>
      <c r="K330" s="332">
        <f>IFERROR(VLOOKUP(TEXT(O330,"0"),CONDUCTORES!$A$3:$G$54,7,0),"")</f>
        <v/>
      </c>
      <c r="L330" s="280" t="n"/>
      <c r="M330" s="280" t="n"/>
      <c r="N330" s="333">
        <f>IFERROR(IF(L330*M330=0,"",L330*M330),"")</f>
        <v/>
      </c>
      <c r="O330" s="280" t="n"/>
      <c r="P330" s="332">
        <f>IFERROR(VLOOKUP(TEXT(O330,"0"),CONDUCTORES!$A$3:$G$54,2,0),"")</f>
        <v/>
      </c>
      <c r="Q330" s="332">
        <f>IFERROR(VLOOKUP(TEXT(O330,"0"),CONDUCTORES!$A$3:$H$54,6,0),"")</f>
        <v/>
      </c>
      <c r="R330" s="280" t="n"/>
      <c r="S330" s="280" t="n"/>
      <c r="T330" s="280" t="n"/>
      <c r="U330" s="280" t="n"/>
      <c r="V330" s="280" t="n"/>
      <c r="W330" s="280" t="n"/>
      <c r="X330" s="280" t="n"/>
      <c r="Y330" s="280" t="n"/>
      <c r="Z330" s="375">
        <f>IF(AND(G330&lt;&gt;"",R330&lt;&gt;"",V330&lt;&gt;"",W330&lt;&gt;""),"COMPLETADO","OBSERVADO")</f>
        <v/>
      </c>
    </row>
    <row r="331" ht="15" customHeight="1" s="195">
      <c r="A331" s="334" t="n"/>
      <c r="B331" s="334" t="n"/>
      <c r="C331" s="334" t="n"/>
      <c r="D331" s="334" t="n"/>
      <c r="E331" s="334" t="n"/>
      <c r="F331" s="334" t="n"/>
      <c r="G331" s="334" t="n"/>
      <c r="H331" s="334" t="n"/>
      <c r="I331" s="332">
        <f>IFERROR(VLOOKUP(TEXT(H331,"0"),IPRESS!$A$3:$B$212,2,0),"")</f>
        <v/>
      </c>
      <c r="J331" s="334" t="n"/>
      <c r="K331" s="332">
        <f>IFERROR(VLOOKUP(TEXT(O331,"0"),CONDUCTORES!$A$3:$G$54,7,0),"")</f>
        <v/>
      </c>
      <c r="L331" s="334" t="n"/>
      <c r="M331" s="334" t="n"/>
      <c r="N331" s="333">
        <f>IFERROR(IF(L331*M331=0,"",L331*M331),"")</f>
        <v/>
      </c>
      <c r="O331" s="334" t="n"/>
      <c r="P331" s="332">
        <f>IFERROR(VLOOKUP(TEXT(O331,"0"),CONDUCTORES!$A$3:$G$54,2,0),"")</f>
        <v/>
      </c>
      <c r="Q331" s="332">
        <f>IFERROR(VLOOKUP(TEXT(O331,"0"),CONDUCTORES!$A$3:$H$54,6,0),"")</f>
        <v/>
      </c>
      <c r="R331" s="334" t="n"/>
      <c r="S331" s="334" t="n"/>
      <c r="T331" s="334" t="n"/>
      <c r="U331" s="334" t="n"/>
      <c r="V331" s="334" t="n"/>
      <c r="W331" s="334" t="n"/>
      <c r="X331" s="334" t="n"/>
      <c r="Y331" s="334" t="n"/>
      <c r="Z331" s="375">
        <f>IF(AND(G331&lt;&gt;"",R331&lt;&gt;"",V331&lt;&gt;"",W331&lt;&gt;""),"COMPLETADO","OBSERVADO")</f>
        <v/>
      </c>
    </row>
    <row r="332" ht="15" customHeight="1" s="195">
      <c r="A332" s="280" t="n"/>
      <c r="B332" s="280" t="n"/>
      <c r="C332" s="280" t="n"/>
      <c r="D332" s="280" t="n"/>
      <c r="E332" s="280" t="n"/>
      <c r="F332" s="280" t="n"/>
      <c r="G332" s="280" t="n"/>
      <c r="H332" s="280" t="n"/>
      <c r="I332" s="332">
        <f>IFERROR(VLOOKUP(TEXT(H332,"0"),IPRESS!$A$3:$B$212,2,0),"")</f>
        <v/>
      </c>
      <c r="J332" s="280" t="n"/>
      <c r="K332" s="332">
        <f>IFERROR(VLOOKUP(TEXT(O332,"0"),CONDUCTORES!$A$3:$G$54,7,0),"")</f>
        <v/>
      </c>
      <c r="L332" s="280" t="n"/>
      <c r="M332" s="280" t="n"/>
      <c r="N332" s="333">
        <f>IFERROR(IF(L332*M332=0,"",L332*M332),"")</f>
        <v/>
      </c>
      <c r="O332" s="280" t="n"/>
      <c r="P332" s="332">
        <f>IFERROR(VLOOKUP(TEXT(O332,"0"),CONDUCTORES!$A$3:$G$54,2,0),"")</f>
        <v/>
      </c>
      <c r="Q332" s="332">
        <f>IFERROR(VLOOKUP(TEXT(O332,"0"),CONDUCTORES!$A$3:$H$54,6,0),"")</f>
        <v/>
      </c>
      <c r="R332" s="280" t="n"/>
      <c r="S332" s="280" t="n"/>
      <c r="T332" s="280" t="n"/>
      <c r="U332" s="280" t="n"/>
      <c r="V332" s="280" t="n"/>
      <c r="W332" s="280" t="n"/>
      <c r="X332" s="280" t="n"/>
      <c r="Y332" s="280" t="n"/>
      <c r="Z332" s="375">
        <f>IF(AND(G332&lt;&gt;"",R332&lt;&gt;"",V332&lt;&gt;"",W332&lt;&gt;""),"COMPLETADO","OBSERVADO")</f>
        <v/>
      </c>
    </row>
    <row r="333" ht="15" customHeight="1" s="195">
      <c r="A333" s="334" t="n"/>
      <c r="B333" s="334" t="n"/>
      <c r="C333" s="334" t="n"/>
      <c r="D333" s="334" t="n"/>
      <c r="E333" s="334" t="n"/>
      <c r="F333" s="334" t="n"/>
      <c r="G333" s="334" t="n"/>
      <c r="H333" s="334" t="n"/>
      <c r="I333" s="332">
        <f>IFERROR(VLOOKUP(TEXT(H333,"0"),IPRESS!$A$3:$B$212,2,0),"")</f>
        <v/>
      </c>
      <c r="J333" s="334" t="n"/>
      <c r="K333" s="332">
        <f>IFERROR(VLOOKUP(TEXT(O333,"0"),CONDUCTORES!$A$3:$G$54,7,0),"")</f>
        <v/>
      </c>
      <c r="L333" s="334" t="n"/>
      <c r="M333" s="334" t="n"/>
      <c r="N333" s="333">
        <f>IFERROR(IF(L333*M333=0,"",L333*M333),"")</f>
        <v/>
      </c>
      <c r="O333" s="334" t="n"/>
      <c r="P333" s="332">
        <f>IFERROR(VLOOKUP(TEXT(O333,"0"),CONDUCTORES!$A$3:$G$54,2,0),"")</f>
        <v/>
      </c>
      <c r="Q333" s="332">
        <f>IFERROR(VLOOKUP(TEXT(O333,"0"),CONDUCTORES!$A$3:$H$54,6,0),"")</f>
        <v/>
      </c>
      <c r="R333" s="334" t="n"/>
      <c r="S333" s="334" t="n"/>
      <c r="T333" s="334" t="n"/>
      <c r="U333" s="334" t="n"/>
      <c r="V333" s="334" t="n"/>
      <c r="W333" s="334" t="n"/>
      <c r="X333" s="334" t="n"/>
      <c r="Y333" s="334" t="n"/>
      <c r="Z333" s="375">
        <f>IF(AND(G333&lt;&gt;"",R333&lt;&gt;"",V333&lt;&gt;"",W333&lt;&gt;""),"COMPLETADO","OBSERVADO")</f>
        <v/>
      </c>
    </row>
    <row r="334" ht="15" customHeight="1" s="195">
      <c r="A334" s="280" t="n"/>
      <c r="B334" s="280" t="n"/>
      <c r="C334" s="280" t="n"/>
      <c r="D334" s="280" t="n"/>
      <c r="E334" s="280" t="n"/>
      <c r="F334" s="280" t="n"/>
      <c r="G334" s="280" t="n"/>
      <c r="H334" s="280" t="n"/>
      <c r="I334" s="332">
        <f>IFERROR(VLOOKUP(TEXT(H334,"0"),IPRESS!$A$3:$B$212,2,0),"")</f>
        <v/>
      </c>
      <c r="J334" s="280" t="n"/>
      <c r="K334" s="332">
        <f>IFERROR(VLOOKUP(TEXT(O334,"0"),CONDUCTORES!$A$3:$G$54,7,0),"")</f>
        <v/>
      </c>
      <c r="L334" s="280" t="n"/>
      <c r="M334" s="280" t="n"/>
      <c r="N334" s="333">
        <f>IFERROR(IF(L334*M334=0,"",L334*M334),"")</f>
        <v/>
      </c>
      <c r="O334" s="280" t="n"/>
      <c r="P334" s="332">
        <f>IFERROR(VLOOKUP(TEXT(O334,"0"),CONDUCTORES!$A$3:$G$54,2,0),"")</f>
        <v/>
      </c>
      <c r="Q334" s="332">
        <f>IFERROR(VLOOKUP(TEXT(O334,"0"),CONDUCTORES!$A$3:$H$54,6,0),"")</f>
        <v/>
      </c>
      <c r="R334" s="280" t="n"/>
      <c r="S334" s="280" t="n"/>
      <c r="T334" s="280" t="n"/>
      <c r="U334" s="280" t="n"/>
      <c r="V334" s="280" t="n"/>
      <c r="W334" s="280" t="n"/>
      <c r="X334" s="280" t="n"/>
      <c r="Y334" s="280" t="n"/>
      <c r="Z334" s="375">
        <f>IF(AND(G334&lt;&gt;"",R334&lt;&gt;"",V334&lt;&gt;"",W334&lt;&gt;""),"COMPLETADO","OBSERVADO")</f>
        <v/>
      </c>
    </row>
    <row r="335" ht="15" customHeight="1" s="195">
      <c r="A335" s="334" t="n"/>
      <c r="B335" s="334" t="n"/>
      <c r="C335" s="334" t="n"/>
      <c r="D335" s="334" t="n"/>
      <c r="E335" s="334" t="n"/>
      <c r="F335" s="334" t="n"/>
      <c r="G335" s="334" t="n"/>
      <c r="H335" s="334" t="n"/>
      <c r="I335" s="332">
        <f>IFERROR(VLOOKUP(TEXT(H335,"0"),IPRESS!$A$3:$B$212,2,0),"")</f>
        <v/>
      </c>
      <c r="J335" s="334" t="n"/>
      <c r="K335" s="332">
        <f>IFERROR(VLOOKUP(TEXT(O335,"0"),CONDUCTORES!$A$3:$G$54,7,0),"")</f>
        <v/>
      </c>
      <c r="L335" s="334" t="n"/>
      <c r="M335" s="334" t="n"/>
      <c r="N335" s="333">
        <f>IFERROR(IF(L335*M335=0,"",L335*M335),"")</f>
        <v/>
      </c>
      <c r="O335" s="334" t="n"/>
      <c r="P335" s="332">
        <f>IFERROR(VLOOKUP(TEXT(O335,"0"),CONDUCTORES!$A$3:$G$54,2,0),"")</f>
        <v/>
      </c>
      <c r="Q335" s="332">
        <f>IFERROR(VLOOKUP(TEXT(O335,"0"),CONDUCTORES!$A$3:$H$54,6,0),"")</f>
        <v/>
      </c>
      <c r="R335" s="334" t="n"/>
      <c r="S335" s="334" t="n"/>
      <c r="T335" s="334" t="n"/>
      <c r="U335" s="334" t="n"/>
      <c r="V335" s="334" t="n"/>
      <c r="W335" s="334" t="n"/>
      <c r="X335" s="334" t="n"/>
      <c r="Y335" s="334" t="n"/>
      <c r="Z335" s="375">
        <f>IF(AND(G335&lt;&gt;"",R335&lt;&gt;"",V335&lt;&gt;"",W335&lt;&gt;""),"COMPLETADO","OBSERVADO")</f>
        <v/>
      </c>
    </row>
    <row r="336" ht="15" customHeight="1" s="195">
      <c r="A336" s="280" t="n"/>
      <c r="B336" s="280" t="n"/>
      <c r="C336" s="280" t="n"/>
      <c r="D336" s="280" t="n"/>
      <c r="E336" s="280" t="n"/>
      <c r="F336" s="280" t="n"/>
      <c r="G336" s="280" t="n"/>
      <c r="H336" s="280" t="n"/>
      <c r="I336" s="332">
        <f>IFERROR(VLOOKUP(TEXT(H336,"0"),IPRESS!$A$3:$B$212,2,0),"")</f>
        <v/>
      </c>
      <c r="J336" s="280" t="n"/>
      <c r="K336" s="332">
        <f>IFERROR(VLOOKUP(TEXT(O336,"0"),CONDUCTORES!$A$3:$G$54,7,0),"")</f>
        <v/>
      </c>
      <c r="L336" s="280" t="n"/>
      <c r="M336" s="280" t="n"/>
      <c r="N336" s="333">
        <f>IFERROR(IF(L336*M336=0,"",L336*M336),"")</f>
        <v/>
      </c>
      <c r="O336" s="280" t="n"/>
      <c r="P336" s="332">
        <f>IFERROR(VLOOKUP(TEXT(O336,"0"),CONDUCTORES!$A$3:$G$54,2,0),"")</f>
        <v/>
      </c>
      <c r="Q336" s="332">
        <f>IFERROR(VLOOKUP(TEXT(O336,"0"),CONDUCTORES!$A$3:$H$54,6,0),"")</f>
        <v/>
      </c>
      <c r="R336" s="280" t="n"/>
      <c r="S336" s="280" t="n"/>
      <c r="T336" s="280" t="n"/>
      <c r="U336" s="280" t="n"/>
      <c r="V336" s="280" t="n"/>
      <c r="W336" s="280" t="n"/>
      <c r="X336" s="280" t="n"/>
      <c r="Y336" s="280" t="n"/>
      <c r="Z336" s="375">
        <f>IF(AND(G336&lt;&gt;"",R336&lt;&gt;"",V336&lt;&gt;"",W336&lt;&gt;""),"COMPLETADO","OBSERVADO")</f>
        <v/>
      </c>
    </row>
    <row r="337" ht="15" customHeight="1" s="195">
      <c r="A337" s="334" t="n"/>
      <c r="B337" s="334" t="n"/>
      <c r="C337" s="334" t="n"/>
      <c r="D337" s="334" t="n"/>
      <c r="E337" s="334" t="n"/>
      <c r="F337" s="334" t="n"/>
      <c r="G337" s="334" t="n"/>
      <c r="H337" s="334" t="n"/>
      <c r="I337" s="332">
        <f>IFERROR(VLOOKUP(TEXT(H337,"0"),IPRESS!$A$3:$B$212,2,0),"")</f>
        <v/>
      </c>
      <c r="J337" s="334" t="n"/>
      <c r="K337" s="332">
        <f>IFERROR(VLOOKUP(TEXT(O337,"0"),CONDUCTORES!$A$3:$G$54,7,0),"")</f>
        <v/>
      </c>
      <c r="L337" s="334" t="n"/>
      <c r="M337" s="334" t="n"/>
      <c r="N337" s="333">
        <f>IFERROR(IF(L337*M337=0,"",L337*M337),"")</f>
        <v/>
      </c>
      <c r="O337" s="334" t="n"/>
      <c r="P337" s="332">
        <f>IFERROR(VLOOKUP(TEXT(O337,"0"),CONDUCTORES!$A$3:$G$54,2,0),"")</f>
        <v/>
      </c>
      <c r="Q337" s="332">
        <f>IFERROR(VLOOKUP(TEXT(O337,"0"),CONDUCTORES!$A$3:$H$54,6,0),"")</f>
        <v/>
      </c>
      <c r="R337" s="334" t="n"/>
      <c r="S337" s="334" t="n"/>
      <c r="T337" s="334" t="n"/>
      <c r="U337" s="334" t="n"/>
      <c r="V337" s="334" t="n"/>
      <c r="W337" s="334" t="n"/>
      <c r="X337" s="334" t="n"/>
      <c r="Y337" s="334" t="n"/>
      <c r="Z337" s="375">
        <f>IF(AND(G337&lt;&gt;"",R337&lt;&gt;"",V337&lt;&gt;"",W337&lt;&gt;""),"COMPLETADO","OBSERVADO")</f>
        <v/>
      </c>
    </row>
    <row r="338" ht="15" customHeight="1" s="195">
      <c r="A338" s="280" t="n"/>
      <c r="B338" s="280" t="n"/>
      <c r="C338" s="280" t="n"/>
      <c r="D338" s="280" t="n"/>
      <c r="E338" s="280" t="n"/>
      <c r="F338" s="280" t="n"/>
      <c r="G338" s="280" t="n"/>
      <c r="H338" s="280" t="n"/>
      <c r="I338" s="332">
        <f>IFERROR(VLOOKUP(TEXT(H338,"0"),IPRESS!$A$3:$B$212,2,0),"")</f>
        <v/>
      </c>
      <c r="J338" s="280" t="n"/>
      <c r="K338" s="332">
        <f>IFERROR(VLOOKUP(TEXT(O338,"0"),CONDUCTORES!$A$3:$G$54,7,0),"")</f>
        <v/>
      </c>
      <c r="L338" s="280" t="n"/>
      <c r="M338" s="280" t="n"/>
      <c r="N338" s="333">
        <f>IFERROR(IF(L338*M338=0,"",L338*M338),"")</f>
        <v/>
      </c>
      <c r="O338" s="280" t="n"/>
      <c r="P338" s="332">
        <f>IFERROR(VLOOKUP(TEXT(O338,"0"),CONDUCTORES!$A$3:$G$54,2,0),"")</f>
        <v/>
      </c>
      <c r="Q338" s="332">
        <f>IFERROR(VLOOKUP(TEXT(O338,"0"),CONDUCTORES!$A$3:$H$54,6,0),"")</f>
        <v/>
      </c>
      <c r="R338" s="280" t="n"/>
      <c r="S338" s="280" t="n"/>
      <c r="T338" s="280" t="n"/>
      <c r="U338" s="280" t="n"/>
      <c r="V338" s="280" t="n"/>
      <c r="W338" s="280" t="n"/>
      <c r="X338" s="280" t="n"/>
      <c r="Y338" s="280" t="n"/>
      <c r="Z338" s="375">
        <f>IF(AND(G338&lt;&gt;"",R338&lt;&gt;"",V338&lt;&gt;"",W338&lt;&gt;""),"COMPLETADO","OBSERVADO")</f>
        <v/>
      </c>
    </row>
    <row r="339" ht="15" customHeight="1" s="195">
      <c r="A339" s="334" t="n"/>
      <c r="B339" s="334" t="n"/>
      <c r="C339" s="334" t="n"/>
      <c r="D339" s="334" t="n"/>
      <c r="E339" s="334" t="n"/>
      <c r="F339" s="334" t="n"/>
      <c r="G339" s="334" t="n"/>
      <c r="H339" s="334" t="n"/>
      <c r="I339" s="332">
        <f>IFERROR(VLOOKUP(TEXT(H339,"0"),IPRESS!$A$3:$B$212,2,0),"")</f>
        <v/>
      </c>
      <c r="J339" s="334" t="n"/>
      <c r="K339" s="332">
        <f>IFERROR(VLOOKUP(TEXT(O339,"0"),CONDUCTORES!$A$3:$G$54,7,0),"")</f>
        <v/>
      </c>
      <c r="L339" s="334" t="n"/>
      <c r="M339" s="334" t="n"/>
      <c r="N339" s="333">
        <f>IFERROR(IF(L339*M339=0,"",L339*M339),"")</f>
        <v/>
      </c>
      <c r="O339" s="334" t="n"/>
      <c r="P339" s="332">
        <f>IFERROR(VLOOKUP(TEXT(O339,"0"),CONDUCTORES!$A$3:$G$54,2,0),"")</f>
        <v/>
      </c>
      <c r="Q339" s="332">
        <f>IFERROR(VLOOKUP(TEXT(O339,"0"),CONDUCTORES!$A$3:$H$54,6,0),"")</f>
        <v/>
      </c>
      <c r="R339" s="334" t="n"/>
      <c r="S339" s="334" t="n"/>
      <c r="T339" s="334" t="n"/>
      <c r="U339" s="334" t="n"/>
      <c r="V339" s="334" t="n"/>
      <c r="W339" s="334" t="n"/>
      <c r="X339" s="334" t="n"/>
      <c r="Y339" s="334" t="n"/>
      <c r="Z339" s="375">
        <f>IF(AND(G339&lt;&gt;"",R339&lt;&gt;"",V339&lt;&gt;"",W339&lt;&gt;""),"COMPLETADO","OBSERVADO")</f>
        <v/>
      </c>
    </row>
    <row r="340" ht="15" customHeight="1" s="195">
      <c r="A340" s="280" t="n"/>
      <c r="B340" s="280" t="n"/>
      <c r="C340" s="280" t="n"/>
      <c r="D340" s="280" t="n"/>
      <c r="E340" s="280" t="n"/>
      <c r="F340" s="280" t="n"/>
      <c r="G340" s="280" t="n"/>
      <c r="H340" s="280" t="n"/>
      <c r="I340" s="332">
        <f>IFERROR(VLOOKUP(TEXT(H340,"0"),IPRESS!$A$3:$B$212,2,0),"")</f>
        <v/>
      </c>
      <c r="J340" s="280" t="n"/>
      <c r="K340" s="332">
        <f>IFERROR(VLOOKUP(TEXT(O340,"0"),CONDUCTORES!$A$3:$G$54,7,0),"")</f>
        <v/>
      </c>
      <c r="L340" s="280" t="n"/>
      <c r="M340" s="280" t="n"/>
      <c r="N340" s="333">
        <f>IFERROR(IF(L340*M340=0,"",L340*M340),"")</f>
        <v/>
      </c>
      <c r="O340" s="280" t="n"/>
      <c r="P340" s="332">
        <f>IFERROR(VLOOKUP(TEXT(O340,"0"),CONDUCTORES!$A$3:$G$54,2,0),"")</f>
        <v/>
      </c>
      <c r="Q340" s="332">
        <f>IFERROR(VLOOKUP(TEXT(O340,"0"),CONDUCTORES!$A$3:$H$54,6,0),"")</f>
        <v/>
      </c>
      <c r="R340" s="280" t="n"/>
      <c r="S340" s="280" t="n"/>
      <c r="T340" s="280" t="n"/>
      <c r="U340" s="280" t="n"/>
      <c r="V340" s="280" t="n"/>
      <c r="W340" s="280" t="n"/>
      <c r="X340" s="280" t="n"/>
      <c r="Y340" s="280" t="n"/>
      <c r="Z340" s="375">
        <f>IF(AND(G340&lt;&gt;"",R340&lt;&gt;"",V340&lt;&gt;"",W340&lt;&gt;""),"COMPLETADO","OBSERVADO")</f>
        <v/>
      </c>
    </row>
    <row r="341" ht="15" customHeight="1" s="195">
      <c r="A341" s="334" t="n"/>
      <c r="B341" s="334" t="n"/>
      <c r="C341" s="334" t="n"/>
      <c r="D341" s="334" t="n"/>
      <c r="E341" s="334" t="n"/>
      <c r="F341" s="334" t="n"/>
      <c r="G341" s="334" t="n"/>
      <c r="H341" s="334" t="n"/>
      <c r="I341" s="332">
        <f>IFERROR(VLOOKUP(TEXT(H341,"0"),IPRESS!$A$3:$B$212,2,0),"")</f>
        <v/>
      </c>
      <c r="J341" s="334" t="n"/>
      <c r="K341" s="332">
        <f>IFERROR(VLOOKUP(TEXT(O341,"0"),CONDUCTORES!$A$3:$G$54,7,0),"")</f>
        <v/>
      </c>
      <c r="L341" s="334" t="n"/>
      <c r="M341" s="334" t="n"/>
      <c r="N341" s="333">
        <f>IFERROR(IF(L341*M341=0,"",L341*M341),"")</f>
        <v/>
      </c>
      <c r="O341" s="334" t="n"/>
      <c r="P341" s="332">
        <f>IFERROR(VLOOKUP(TEXT(O341,"0"),CONDUCTORES!$A$3:$G$54,2,0),"")</f>
        <v/>
      </c>
      <c r="Q341" s="332">
        <f>IFERROR(VLOOKUP(TEXT(O341,"0"),CONDUCTORES!$A$3:$H$54,6,0),"")</f>
        <v/>
      </c>
      <c r="R341" s="334" t="n"/>
      <c r="S341" s="334" t="n"/>
      <c r="T341" s="334" t="n"/>
      <c r="U341" s="334" t="n"/>
      <c r="V341" s="334" t="n"/>
      <c r="W341" s="334" t="n"/>
      <c r="X341" s="334" t="n"/>
      <c r="Y341" s="334" t="n"/>
      <c r="Z341" s="375">
        <f>IF(AND(G341&lt;&gt;"",R341&lt;&gt;"",V341&lt;&gt;"",W341&lt;&gt;""),"COMPLETADO","OBSERVADO")</f>
        <v/>
      </c>
    </row>
    <row r="342" ht="15" customHeight="1" s="195">
      <c r="A342" s="280" t="n"/>
      <c r="B342" s="280" t="n"/>
      <c r="C342" s="280" t="n"/>
      <c r="D342" s="280" t="n"/>
      <c r="E342" s="280" t="n"/>
      <c r="F342" s="280" t="n"/>
      <c r="G342" s="280" t="n"/>
      <c r="H342" s="280" t="n"/>
      <c r="I342" s="332">
        <f>IFERROR(VLOOKUP(TEXT(H342,"0"),IPRESS!$A$3:$B$212,2,0),"")</f>
        <v/>
      </c>
      <c r="J342" s="280" t="n"/>
      <c r="K342" s="332">
        <f>IFERROR(VLOOKUP(TEXT(O342,"0"),CONDUCTORES!$A$3:$G$54,7,0),"")</f>
        <v/>
      </c>
      <c r="L342" s="280" t="n"/>
      <c r="M342" s="280" t="n"/>
      <c r="N342" s="333">
        <f>IFERROR(IF(L342*M342=0,"",L342*M342),"")</f>
        <v/>
      </c>
      <c r="O342" s="280" t="n"/>
      <c r="P342" s="332">
        <f>IFERROR(VLOOKUP(TEXT(O342,"0"),CONDUCTORES!$A$3:$G$54,2,0),"")</f>
        <v/>
      </c>
      <c r="Q342" s="332">
        <f>IFERROR(VLOOKUP(TEXT(O342,"0"),CONDUCTORES!$A$3:$H$54,6,0),"")</f>
        <v/>
      </c>
      <c r="R342" s="280" t="n"/>
      <c r="S342" s="280" t="n"/>
      <c r="T342" s="280" t="n"/>
      <c r="U342" s="280" t="n"/>
      <c r="V342" s="280" t="n"/>
      <c r="W342" s="280" t="n"/>
      <c r="X342" s="280" t="n"/>
      <c r="Y342" s="280" t="n"/>
      <c r="Z342" s="375">
        <f>IF(AND(G342&lt;&gt;"",R342&lt;&gt;"",V342&lt;&gt;"",W342&lt;&gt;""),"COMPLETADO","OBSERVADO")</f>
        <v/>
      </c>
    </row>
    <row r="343" ht="15" customHeight="1" s="195">
      <c r="A343" s="334" t="n"/>
      <c r="B343" s="334" t="n"/>
      <c r="C343" s="334" t="n"/>
      <c r="D343" s="334" t="n"/>
      <c r="E343" s="334" t="n"/>
      <c r="F343" s="334" t="n"/>
      <c r="G343" s="334" t="n"/>
      <c r="H343" s="334" t="n"/>
      <c r="I343" s="332">
        <f>IFERROR(VLOOKUP(TEXT(H343,"0"),IPRESS!$A$3:$B$212,2,0),"")</f>
        <v/>
      </c>
      <c r="J343" s="334" t="n"/>
      <c r="K343" s="332">
        <f>IFERROR(VLOOKUP(TEXT(O343,"0"),CONDUCTORES!$A$3:$G$54,7,0),"")</f>
        <v/>
      </c>
      <c r="L343" s="334" t="n"/>
      <c r="M343" s="334" t="n"/>
      <c r="N343" s="333">
        <f>IFERROR(IF(L343*M343=0,"",L343*M343),"")</f>
        <v/>
      </c>
      <c r="O343" s="334" t="n"/>
      <c r="P343" s="332">
        <f>IFERROR(VLOOKUP(TEXT(O343,"0"),CONDUCTORES!$A$3:$G$54,2,0),"")</f>
        <v/>
      </c>
      <c r="Q343" s="332">
        <f>IFERROR(VLOOKUP(TEXT(O343,"0"),CONDUCTORES!$A$3:$H$54,6,0),"")</f>
        <v/>
      </c>
      <c r="R343" s="334" t="n"/>
      <c r="S343" s="334" t="n"/>
      <c r="T343" s="334" t="n"/>
      <c r="U343" s="334" t="n"/>
      <c r="V343" s="334" t="n"/>
      <c r="W343" s="334" t="n"/>
      <c r="X343" s="334" t="n"/>
      <c r="Y343" s="334" t="n"/>
      <c r="Z343" s="375">
        <f>IF(AND(G343&lt;&gt;"",R343&lt;&gt;"",V343&lt;&gt;"",W343&lt;&gt;""),"COMPLETADO","OBSERVADO")</f>
        <v/>
      </c>
    </row>
    <row r="344" ht="15" customHeight="1" s="195">
      <c r="A344" s="280" t="n"/>
      <c r="B344" s="280" t="n"/>
      <c r="C344" s="280" t="n"/>
      <c r="D344" s="280" t="n"/>
      <c r="E344" s="280" t="n"/>
      <c r="F344" s="280" t="n"/>
      <c r="G344" s="280" t="n"/>
      <c r="H344" s="280" t="n"/>
      <c r="I344" s="332">
        <f>IFERROR(VLOOKUP(TEXT(H344,"0"),IPRESS!$A$3:$B$212,2,0),"")</f>
        <v/>
      </c>
      <c r="J344" s="280" t="n"/>
      <c r="K344" s="332">
        <f>IFERROR(VLOOKUP(TEXT(O344,"0"),CONDUCTORES!$A$3:$G$54,7,0),"")</f>
        <v/>
      </c>
      <c r="L344" s="280" t="n"/>
      <c r="M344" s="280" t="n"/>
      <c r="N344" s="333">
        <f>IFERROR(IF(L344*M344=0,"",L344*M344),"")</f>
        <v/>
      </c>
      <c r="O344" s="280" t="n"/>
      <c r="P344" s="332">
        <f>IFERROR(VLOOKUP(TEXT(O344,"0"),CONDUCTORES!$A$3:$G$54,2,0),"")</f>
        <v/>
      </c>
      <c r="Q344" s="332">
        <f>IFERROR(VLOOKUP(TEXT(O344,"0"),CONDUCTORES!$A$3:$H$54,6,0),"")</f>
        <v/>
      </c>
      <c r="R344" s="280" t="n"/>
      <c r="S344" s="280" t="n"/>
      <c r="T344" s="280" t="n"/>
      <c r="U344" s="280" t="n"/>
      <c r="V344" s="280" t="n"/>
      <c r="W344" s="280" t="n"/>
      <c r="X344" s="280" t="n"/>
      <c r="Y344" s="280" t="n"/>
      <c r="Z344" s="375">
        <f>IF(AND(G344&lt;&gt;"",R344&lt;&gt;"",V344&lt;&gt;"",W344&lt;&gt;""),"COMPLETADO","OBSERVADO")</f>
        <v/>
      </c>
    </row>
    <row r="345" ht="15" customHeight="1" s="195">
      <c r="A345" s="334" t="n"/>
      <c r="B345" s="334" t="n"/>
      <c r="C345" s="334" t="n"/>
      <c r="D345" s="334" t="n"/>
      <c r="E345" s="334" t="n"/>
      <c r="F345" s="334" t="n"/>
      <c r="G345" s="334" t="n"/>
      <c r="H345" s="334" t="n"/>
      <c r="I345" s="332">
        <f>IFERROR(VLOOKUP(TEXT(H345,"0"),IPRESS!$A$3:$B$212,2,0),"")</f>
        <v/>
      </c>
      <c r="J345" s="334" t="n"/>
      <c r="K345" s="332">
        <f>IFERROR(VLOOKUP(TEXT(O345,"0"),CONDUCTORES!$A$3:$G$54,7,0),"")</f>
        <v/>
      </c>
      <c r="L345" s="334" t="n"/>
      <c r="M345" s="334" t="n"/>
      <c r="N345" s="333">
        <f>IFERROR(IF(L345*M345=0,"",L345*M345),"")</f>
        <v/>
      </c>
      <c r="O345" s="334" t="n"/>
      <c r="P345" s="332">
        <f>IFERROR(VLOOKUP(TEXT(O345,"0"),CONDUCTORES!$A$3:$G$54,2,0),"")</f>
        <v/>
      </c>
      <c r="Q345" s="332">
        <f>IFERROR(VLOOKUP(TEXT(O345,"0"),CONDUCTORES!$A$3:$H$54,6,0),"")</f>
        <v/>
      </c>
      <c r="R345" s="334" t="n"/>
      <c r="S345" s="334" t="n"/>
      <c r="T345" s="334" t="n"/>
      <c r="U345" s="334" t="n"/>
      <c r="V345" s="334" t="n"/>
      <c r="W345" s="334" t="n"/>
      <c r="X345" s="334" t="n"/>
      <c r="Y345" s="334" t="n"/>
      <c r="Z345" s="375">
        <f>IF(AND(G345&lt;&gt;"",R345&lt;&gt;"",V345&lt;&gt;"",W345&lt;&gt;""),"COMPLETADO","OBSERVADO")</f>
        <v/>
      </c>
    </row>
    <row r="346" ht="15" customHeight="1" s="195">
      <c r="A346" s="280" t="n"/>
      <c r="B346" s="280" t="n"/>
      <c r="C346" s="280" t="n"/>
      <c r="D346" s="280" t="n"/>
      <c r="E346" s="280" t="n"/>
      <c r="F346" s="280" t="n"/>
      <c r="G346" s="280" t="n"/>
      <c r="H346" s="280" t="n"/>
      <c r="I346" s="332">
        <f>IFERROR(VLOOKUP(TEXT(H346,"0"),IPRESS!$A$3:$B$212,2,0),"")</f>
        <v/>
      </c>
      <c r="J346" s="280" t="n"/>
      <c r="K346" s="332">
        <f>IFERROR(VLOOKUP(TEXT(O346,"0"),CONDUCTORES!$A$3:$G$54,7,0),"")</f>
        <v/>
      </c>
      <c r="L346" s="280" t="n"/>
      <c r="M346" s="280" t="n"/>
      <c r="N346" s="333">
        <f>IFERROR(IF(L346*M346=0,"",L346*M346),"")</f>
        <v/>
      </c>
      <c r="O346" s="280" t="n"/>
      <c r="P346" s="332">
        <f>IFERROR(VLOOKUP(TEXT(O346,"0"),CONDUCTORES!$A$3:$G$54,2,0),"")</f>
        <v/>
      </c>
      <c r="Q346" s="332">
        <f>IFERROR(VLOOKUP(TEXT(O346,"0"),CONDUCTORES!$A$3:$H$54,6,0),"")</f>
        <v/>
      </c>
      <c r="R346" s="280" t="n"/>
      <c r="S346" s="280" t="n"/>
      <c r="T346" s="280" t="n"/>
      <c r="U346" s="280" t="n"/>
      <c r="V346" s="280" t="n"/>
      <c r="W346" s="280" t="n"/>
      <c r="X346" s="280" t="n"/>
      <c r="Y346" s="280" t="n"/>
      <c r="Z346" s="375">
        <f>IF(AND(G346&lt;&gt;"",R346&lt;&gt;"",V346&lt;&gt;"",W346&lt;&gt;""),"COMPLETADO","OBSERVADO")</f>
        <v/>
      </c>
    </row>
    <row r="347" ht="15" customHeight="1" s="195">
      <c r="A347" s="334" t="n"/>
      <c r="B347" s="334" t="n"/>
      <c r="C347" s="334" t="n"/>
      <c r="D347" s="334" t="n"/>
      <c r="E347" s="334" t="n"/>
      <c r="F347" s="334" t="n"/>
      <c r="G347" s="334" t="n"/>
      <c r="H347" s="334" t="n"/>
      <c r="I347" s="332">
        <f>IFERROR(VLOOKUP(TEXT(H347,"0"),IPRESS!$A$3:$B$212,2,0),"")</f>
        <v/>
      </c>
      <c r="J347" s="334" t="n"/>
      <c r="K347" s="332">
        <f>IFERROR(VLOOKUP(TEXT(O347,"0"),CONDUCTORES!$A$3:$G$54,7,0),"")</f>
        <v/>
      </c>
      <c r="L347" s="334" t="n"/>
      <c r="M347" s="334" t="n"/>
      <c r="N347" s="333">
        <f>IFERROR(IF(L347*M347=0,"",L347*M347),"")</f>
        <v/>
      </c>
      <c r="O347" s="334" t="n"/>
      <c r="P347" s="332">
        <f>IFERROR(VLOOKUP(TEXT(O347,"0"),CONDUCTORES!$A$3:$G$54,2,0),"")</f>
        <v/>
      </c>
      <c r="Q347" s="332">
        <f>IFERROR(VLOOKUP(TEXT(O347,"0"),CONDUCTORES!$A$3:$H$54,6,0),"")</f>
        <v/>
      </c>
      <c r="R347" s="334" t="n"/>
      <c r="S347" s="334" t="n"/>
      <c r="T347" s="334" t="n"/>
      <c r="U347" s="334" t="n"/>
      <c r="V347" s="334" t="n"/>
      <c r="W347" s="334" t="n"/>
      <c r="X347" s="334" t="n"/>
      <c r="Y347" s="334" t="n"/>
      <c r="Z347" s="375">
        <f>IF(AND(G347&lt;&gt;"",R347&lt;&gt;"",V347&lt;&gt;"",W347&lt;&gt;""),"COMPLETADO","OBSERVADO")</f>
        <v/>
      </c>
    </row>
    <row r="348" ht="15" customHeight="1" s="195">
      <c r="A348" s="280" t="n"/>
      <c r="B348" s="280" t="n"/>
      <c r="C348" s="280" t="n"/>
      <c r="D348" s="280" t="n"/>
      <c r="E348" s="280" t="n"/>
      <c r="F348" s="280" t="n"/>
      <c r="G348" s="280" t="n"/>
      <c r="H348" s="280" t="n"/>
      <c r="I348" s="332">
        <f>IFERROR(VLOOKUP(TEXT(H348,"0"),IPRESS!$A$3:$B$212,2,0),"")</f>
        <v/>
      </c>
      <c r="J348" s="280" t="n"/>
      <c r="K348" s="332">
        <f>IFERROR(VLOOKUP(TEXT(O348,"0"),CONDUCTORES!$A$3:$G$54,7,0),"")</f>
        <v/>
      </c>
      <c r="L348" s="280" t="n"/>
      <c r="M348" s="280" t="n"/>
      <c r="N348" s="333">
        <f>IFERROR(IF(L348*M348=0,"",L348*M348),"")</f>
        <v/>
      </c>
      <c r="O348" s="280" t="n"/>
      <c r="P348" s="332">
        <f>IFERROR(VLOOKUP(TEXT(O348,"0"),CONDUCTORES!$A$3:$G$54,2,0),"")</f>
        <v/>
      </c>
      <c r="Q348" s="332">
        <f>IFERROR(VLOOKUP(TEXT(O348,"0"),CONDUCTORES!$A$3:$H$54,6,0),"")</f>
        <v/>
      </c>
      <c r="R348" s="280" t="n"/>
      <c r="S348" s="280" t="n"/>
      <c r="T348" s="280" t="n"/>
      <c r="U348" s="280" t="n"/>
      <c r="V348" s="280" t="n"/>
      <c r="W348" s="280" t="n"/>
      <c r="X348" s="280" t="n"/>
      <c r="Y348" s="280" t="n"/>
      <c r="Z348" s="375">
        <f>IF(AND(G348&lt;&gt;"",R348&lt;&gt;"",V348&lt;&gt;"",W348&lt;&gt;""),"COMPLETADO","OBSERVADO")</f>
        <v/>
      </c>
    </row>
    <row r="349" ht="15" customHeight="1" s="195">
      <c r="A349" s="334" t="n"/>
      <c r="B349" s="334" t="n"/>
      <c r="C349" s="334" t="n"/>
      <c r="D349" s="334" t="n"/>
      <c r="E349" s="334" t="n"/>
      <c r="F349" s="334" t="n"/>
      <c r="G349" s="334" t="n"/>
      <c r="H349" s="334" t="n"/>
      <c r="I349" s="332">
        <f>IFERROR(VLOOKUP(TEXT(H349,"0"),IPRESS!$A$3:$B$212,2,0),"")</f>
        <v/>
      </c>
      <c r="J349" s="334" t="n"/>
      <c r="K349" s="332">
        <f>IFERROR(VLOOKUP(TEXT(O349,"0"),CONDUCTORES!$A$3:$G$54,7,0),"")</f>
        <v/>
      </c>
      <c r="L349" s="334" t="n"/>
      <c r="M349" s="334" t="n"/>
      <c r="N349" s="333">
        <f>IFERROR(IF(L349*M349=0,"",L349*M349),"")</f>
        <v/>
      </c>
      <c r="O349" s="334" t="n"/>
      <c r="P349" s="332">
        <f>IFERROR(VLOOKUP(TEXT(O349,"0"),CONDUCTORES!$A$3:$G$54,2,0),"")</f>
        <v/>
      </c>
      <c r="Q349" s="332">
        <f>IFERROR(VLOOKUP(TEXT(O349,"0"),CONDUCTORES!$A$3:$H$54,6,0),"")</f>
        <v/>
      </c>
      <c r="R349" s="334" t="n"/>
      <c r="S349" s="334" t="n"/>
      <c r="T349" s="334" t="n"/>
      <c r="U349" s="334" t="n"/>
      <c r="V349" s="334" t="n"/>
      <c r="W349" s="334" t="n"/>
      <c r="X349" s="334" t="n"/>
      <c r="Y349" s="334" t="n"/>
      <c r="Z349" s="375">
        <f>IF(AND(G349&lt;&gt;"",R349&lt;&gt;"",V349&lt;&gt;"",W349&lt;&gt;""),"COMPLETADO","OBSERVADO")</f>
        <v/>
      </c>
    </row>
    <row r="350" ht="15" customHeight="1" s="195">
      <c r="A350" s="280" t="n"/>
      <c r="B350" s="280" t="n"/>
      <c r="C350" s="280" t="n"/>
      <c r="D350" s="280" t="n"/>
      <c r="E350" s="280" t="n"/>
      <c r="F350" s="280" t="n"/>
      <c r="G350" s="280" t="n"/>
      <c r="H350" s="280" t="n"/>
      <c r="I350" s="332">
        <f>IFERROR(VLOOKUP(TEXT(H350,"0"),IPRESS!$A$3:$B$212,2,0),"")</f>
        <v/>
      </c>
      <c r="J350" s="280" t="n"/>
      <c r="K350" s="332">
        <f>IFERROR(VLOOKUP(TEXT(O350,"0"),CONDUCTORES!$A$3:$G$54,7,0),"")</f>
        <v/>
      </c>
      <c r="L350" s="280" t="n"/>
      <c r="M350" s="280" t="n"/>
      <c r="N350" s="333">
        <f>IFERROR(IF(L350*M350=0,"",L350*M350),"")</f>
        <v/>
      </c>
      <c r="O350" s="280" t="n"/>
      <c r="P350" s="332">
        <f>IFERROR(VLOOKUP(TEXT(O350,"0"),CONDUCTORES!$A$3:$G$54,2,0),"")</f>
        <v/>
      </c>
      <c r="Q350" s="332">
        <f>IFERROR(VLOOKUP(TEXT(O350,"0"),CONDUCTORES!$A$3:$H$54,6,0),"")</f>
        <v/>
      </c>
      <c r="R350" s="280" t="n"/>
      <c r="S350" s="280" t="n"/>
      <c r="T350" s="280" t="n"/>
      <c r="U350" s="280" t="n"/>
      <c r="V350" s="280" t="n"/>
      <c r="W350" s="280" t="n"/>
      <c r="X350" s="280" t="n"/>
      <c r="Y350" s="280" t="n"/>
      <c r="Z350" s="375">
        <f>IF(AND(G350&lt;&gt;"",R350&lt;&gt;"",V350&lt;&gt;"",W350&lt;&gt;""),"COMPLETADO","OBSERVADO")</f>
        <v/>
      </c>
    </row>
    <row r="351" ht="15" customHeight="1" s="195">
      <c r="A351" s="334" t="n"/>
      <c r="B351" s="334" t="n"/>
      <c r="C351" s="334" t="n"/>
      <c r="D351" s="334" t="n"/>
      <c r="E351" s="334" t="n"/>
      <c r="F351" s="334" t="n"/>
      <c r="G351" s="334" t="n"/>
      <c r="H351" s="334" t="n"/>
      <c r="I351" s="332">
        <f>IFERROR(VLOOKUP(TEXT(H351,"0"),IPRESS!$A$3:$B$212,2,0),"")</f>
        <v/>
      </c>
      <c r="J351" s="334" t="n"/>
      <c r="K351" s="332">
        <f>IFERROR(VLOOKUP(TEXT(O351,"0"),CONDUCTORES!$A$3:$G$54,7,0),"")</f>
        <v/>
      </c>
      <c r="L351" s="334" t="n"/>
      <c r="M351" s="334" t="n"/>
      <c r="N351" s="333">
        <f>IFERROR(IF(L351*M351=0,"",L351*M351),"")</f>
        <v/>
      </c>
      <c r="O351" s="334" t="n"/>
      <c r="P351" s="332">
        <f>IFERROR(VLOOKUP(TEXT(O351,"0"),CONDUCTORES!$A$3:$G$54,2,0),"")</f>
        <v/>
      </c>
      <c r="Q351" s="332">
        <f>IFERROR(VLOOKUP(TEXT(O351,"0"),CONDUCTORES!$A$3:$H$54,6,0),"")</f>
        <v/>
      </c>
      <c r="R351" s="334" t="n"/>
      <c r="S351" s="334" t="n"/>
      <c r="T351" s="334" t="n"/>
      <c r="U351" s="334" t="n"/>
      <c r="V351" s="334" t="n"/>
      <c r="W351" s="334" t="n"/>
      <c r="X351" s="334" t="n"/>
      <c r="Y351" s="334" t="n"/>
      <c r="Z351" s="375">
        <f>IF(AND(G351&lt;&gt;"",R351&lt;&gt;"",V351&lt;&gt;"",W351&lt;&gt;""),"COMPLETADO","OBSERVADO")</f>
        <v/>
      </c>
    </row>
    <row r="352" ht="15" customHeight="1" s="195">
      <c r="A352" s="280" t="n"/>
      <c r="B352" s="280" t="n"/>
      <c r="C352" s="280" t="n"/>
      <c r="D352" s="280" t="n"/>
      <c r="E352" s="280" t="n"/>
      <c r="F352" s="280" t="n"/>
      <c r="G352" s="280" t="n"/>
      <c r="H352" s="280" t="n"/>
      <c r="I352" s="332">
        <f>IFERROR(VLOOKUP(TEXT(H352,"0"),IPRESS!$A$3:$B$212,2,0),"")</f>
        <v/>
      </c>
      <c r="J352" s="280" t="n"/>
      <c r="K352" s="332">
        <f>IFERROR(VLOOKUP(TEXT(O352,"0"),CONDUCTORES!$A$3:$G$54,7,0),"")</f>
        <v/>
      </c>
      <c r="L352" s="280" t="n"/>
      <c r="M352" s="280" t="n"/>
      <c r="N352" s="333">
        <f>IFERROR(IF(L352*M352=0,"",L352*M352),"")</f>
        <v/>
      </c>
      <c r="O352" s="280" t="n"/>
      <c r="P352" s="332">
        <f>IFERROR(VLOOKUP(TEXT(O352,"0"),CONDUCTORES!$A$3:$G$54,2,0),"")</f>
        <v/>
      </c>
      <c r="Q352" s="332">
        <f>IFERROR(VLOOKUP(TEXT(O352,"0"),CONDUCTORES!$A$3:$H$54,6,0),"")</f>
        <v/>
      </c>
      <c r="R352" s="280" t="n"/>
      <c r="S352" s="280" t="n"/>
      <c r="T352" s="280" t="n"/>
      <c r="U352" s="280" t="n"/>
      <c r="V352" s="280" t="n"/>
      <c r="W352" s="280" t="n"/>
      <c r="X352" s="280" t="n"/>
      <c r="Y352" s="280" t="n"/>
      <c r="Z352" s="375">
        <f>IF(AND(G352&lt;&gt;"",R352&lt;&gt;"",V352&lt;&gt;"",W352&lt;&gt;""),"COMPLETADO","OBSERVADO")</f>
        <v/>
      </c>
    </row>
    <row r="353" ht="15" customHeight="1" s="195">
      <c r="A353" s="334" t="n"/>
      <c r="B353" s="334" t="n"/>
      <c r="C353" s="334" t="n"/>
      <c r="D353" s="334" t="n"/>
      <c r="E353" s="334" t="n"/>
      <c r="F353" s="334" t="n"/>
      <c r="G353" s="334" t="n"/>
      <c r="H353" s="334" t="n"/>
      <c r="I353" s="332">
        <f>IFERROR(VLOOKUP(TEXT(H353,"0"),IPRESS!$A$3:$B$212,2,0),"")</f>
        <v/>
      </c>
      <c r="J353" s="334" t="n"/>
      <c r="K353" s="332">
        <f>IFERROR(VLOOKUP(TEXT(O353,"0"),CONDUCTORES!$A$3:$G$54,7,0),"")</f>
        <v/>
      </c>
      <c r="L353" s="334" t="n"/>
      <c r="M353" s="334" t="n"/>
      <c r="N353" s="333">
        <f>IFERROR(IF(L353*M353=0,"",L353*M353),"")</f>
        <v/>
      </c>
      <c r="O353" s="334" t="n"/>
      <c r="P353" s="332">
        <f>IFERROR(VLOOKUP(TEXT(O353,"0"),CONDUCTORES!$A$3:$G$54,2,0),"")</f>
        <v/>
      </c>
      <c r="Q353" s="332">
        <f>IFERROR(VLOOKUP(TEXT(O353,"0"),CONDUCTORES!$A$3:$H$54,6,0),"")</f>
        <v/>
      </c>
      <c r="R353" s="334" t="n"/>
      <c r="S353" s="334" t="n"/>
      <c r="T353" s="334" t="n"/>
      <c r="U353" s="334" t="n"/>
      <c r="V353" s="334" t="n"/>
      <c r="W353" s="334" t="n"/>
      <c r="X353" s="334" t="n"/>
      <c r="Y353" s="334" t="n"/>
      <c r="Z353" s="375">
        <f>IF(AND(G353&lt;&gt;"",R353&lt;&gt;"",V353&lt;&gt;"",W353&lt;&gt;""),"COMPLETADO","OBSERVADO")</f>
        <v/>
      </c>
    </row>
    <row r="354" ht="15" customHeight="1" s="195">
      <c r="A354" s="280" t="n"/>
      <c r="B354" s="280" t="n"/>
      <c r="C354" s="280" t="n"/>
      <c r="D354" s="280" t="n"/>
      <c r="E354" s="280" t="n"/>
      <c r="F354" s="280" t="n"/>
      <c r="G354" s="280" t="n"/>
      <c r="H354" s="280" t="n"/>
      <c r="I354" s="332">
        <f>IFERROR(VLOOKUP(TEXT(H354,"0"),IPRESS!$A$3:$B$212,2,0),"")</f>
        <v/>
      </c>
      <c r="J354" s="280" t="n"/>
      <c r="K354" s="332">
        <f>IFERROR(VLOOKUP(TEXT(O354,"0"),CONDUCTORES!$A$3:$G$54,7,0),"")</f>
        <v/>
      </c>
      <c r="L354" s="280" t="n"/>
      <c r="M354" s="280" t="n"/>
      <c r="N354" s="333">
        <f>IFERROR(IF(L354*M354=0,"",L354*M354),"")</f>
        <v/>
      </c>
      <c r="O354" s="280" t="n"/>
      <c r="P354" s="332">
        <f>IFERROR(VLOOKUP(TEXT(O354,"0"),CONDUCTORES!$A$3:$G$54,2,0),"")</f>
        <v/>
      </c>
      <c r="Q354" s="332">
        <f>IFERROR(VLOOKUP(TEXT(O354,"0"),CONDUCTORES!$A$3:$H$54,6,0),"")</f>
        <v/>
      </c>
      <c r="R354" s="280" t="n"/>
      <c r="S354" s="280" t="n"/>
      <c r="T354" s="280" t="n"/>
      <c r="U354" s="280" t="n"/>
      <c r="V354" s="280" t="n"/>
      <c r="W354" s="280" t="n"/>
      <c r="X354" s="280" t="n"/>
      <c r="Y354" s="280" t="n"/>
      <c r="Z354" s="375">
        <f>IF(AND(G354&lt;&gt;"",R354&lt;&gt;"",V354&lt;&gt;"",W354&lt;&gt;""),"COMPLETADO","OBSERVADO")</f>
        <v/>
      </c>
    </row>
    <row r="355" ht="15" customHeight="1" s="195">
      <c r="A355" s="334" t="n"/>
      <c r="B355" s="334" t="n"/>
      <c r="C355" s="334" t="n"/>
      <c r="D355" s="334" t="n"/>
      <c r="E355" s="334" t="n"/>
      <c r="F355" s="334" t="n"/>
      <c r="G355" s="334" t="n"/>
      <c r="H355" s="334" t="n"/>
      <c r="I355" s="332">
        <f>IFERROR(VLOOKUP(TEXT(H355,"0"),IPRESS!$A$3:$B$212,2,0),"")</f>
        <v/>
      </c>
      <c r="J355" s="334" t="n"/>
      <c r="K355" s="332">
        <f>IFERROR(VLOOKUP(TEXT(O355,"0"),CONDUCTORES!$A$3:$G$54,7,0),"")</f>
        <v/>
      </c>
      <c r="L355" s="334" t="n"/>
      <c r="M355" s="334" t="n"/>
      <c r="N355" s="333">
        <f>IFERROR(IF(L355*M355=0,"",L355*M355),"")</f>
        <v/>
      </c>
      <c r="O355" s="334" t="n"/>
      <c r="P355" s="332">
        <f>IFERROR(VLOOKUP(TEXT(O355,"0"),CONDUCTORES!$A$3:$G$54,2,0),"")</f>
        <v/>
      </c>
      <c r="Q355" s="332">
        <f>IFERROR(VLOOKUP(TEXT(O355,"0"),CONDUCTORES!$A$3:$H$54,6,0),"")</f>
        <v/>
      </c>
      <c r="R355" s="334" t="n"/>
      <c r="S355" s="334" t="n"/>
      <c r="T355" s="334" t="n"/>
      <c r="U355" s="334" t="n"/>
      <c r="V355" s="334" t="n"/>
      <c r="W355" s="334" t="n"/>
      <c r="X355" s="334" t="n"/>
      <c r="Y355" s="334" t="n"/>
      <c r="Z355" s="375">
        <f>IF(AND(G355&lt;&gt;"",R355&lt;&gt;"",V355&lt;&gt;"",W355&lt;&gt;""),"COMPLETADO","OBSERVADO")</f>
        <v/>
      </c>
    </row>
    <row r="356" ht="15" customHeight="1" s="195">
      <c r="A356" s="280" t="n"/>
      <c r="B356" s="280" t="n"/>
      <c r="C356" s="280" t="n"/>
      <c r="D356" s="280" t="n"/>
      <c r="E356" s="280" t="n"/>
      <c r="F356" s="280" t="n"/>
      <c r="G356" s="280" t="n"/>
      <c r="H356" s="280" t="n"/>
      <c r="I356" s="332">
        <f>IFERROR(VLOOKUP(TEXT(H356,"0"),IPRESS!$A$3:$B$212,2,0),"")</f>
        <v/>
      </c>
      <c r="J356" s="280" t="n"/>
      <c r="K356" s="332">
        <f>IFERROR(VLOOKUP(TEXT(O356,"0"),CONDUCTORES!$A$3:$G$54,7,0),"")</f>
        <v/>
      </c>
      <c r="L356" s="280" t="n"/>
      <c r="M356" s="280" t="n"/>
      <c r="N356" s="333">
        <f>IFERROR(IF(L356*M356=0,"",L356*M356),"")</f>
        <v/>
      </c>
      <c r="O356" s="280" t="n"/>
      <c r="P356" s="332">
        <f>IFERROR(VLOOKUP(TEXT(O356,"0"),CONDUCTORES!$A$3:$G$54,2,0),"")</f>
        <v/>
      </c>
      <c r="Q356" s="332">
        <f>IFERROR(VLOOKUP(TEXT(O356,"0"),CONDUCTORES!$A$3:$H$54,6,0),"")</f>
        <v/>
      </c>
      <c r="R356" s="280" t="n"/>
      <c r="S356" s="280" t="n"/>
      <c r="T356" s="280" t="n"/>
      <c r="U356" s="280" t="n"/>
      <c r="V356" s="280" t="n"/>
      <c r="W356" s="280" t="n"/>
      <c r="X356" s="280" t="n"/>
      <c r="Y356" s="280" t="n"/>
      <c r="Z356" s="375">
        <f>IF(AND(G356&lt;&gt;"",R356&lt;&gt;"",V356&lt;&gt;"",W356&lt;&gt;""),"COMPLETADO","OBSERVADO")</f>
        <v/>
      </c>
    </row>
    <row r="357" ht="15" customHeight="1" s="195">
      <c r="A357" s="334" t="n"/>
      <c r="B357" s="334" t="n"/>
      <c r="C357" s="334" t="n"/>
      <c r="D357" s="334" t="n"/>
      <c r="E357" s="334" t="n"/>
      <c r="F357" s="334" t="n"/>
      <c r="G357" s="334" t="n"/>
      <c r="H357" s="334" t="n"/>
      <c r="I357" s="332">
        <f>IFERROR(VLOOKUP(TEXT(H357,"0"),IPRESS!$A$3:$B$212,2,0),"")</f>
        <v/>
      </c>
      <c r="J357" s="334" t="n"/>
      <c r="K357" s="332">
        <f>IFERROR(VLOOKUP(TEXT(O357,"0"),CONDUCTORES!$A$3:$G$54,7,0),"")</f>
        <v/>
      </c>
      <c r="L357" s="334" t="n"/>
      <c r="M357" s="334" t="n"/>
      <c r="N357" s="333">
        <f>IFERROR(IF(L357*M357=0,"",L357*M357),"")</f>
        <v/>
      </c>
      <c r="O357" s="334" t="n"/>
      <c r="P357" s="332">
        <f>IFERROR(VLOOKUP(TEXT(O357,"0"),CONDUCTORES!$A$3:$G$54,2,0),"")</f>
        <v/>
      </c>
      <c r="Q357" s="332">
        <f>IFERROR(VLOOKUP(TEXT(O357,"0"),CONDUCTORES!$A$3:$H$54,6,0),"")</f>
        <v/>
      </c>
      <c r="R357" s="334" t="n"/>
      <c r="S357" s="334" t="n"/>
      <c r="T357" s="334" t="n"/>
      <c r="U357" s="334" t="n"/>
      <c r="V357" s="334" t="n"/>
      <c r="W357" s="334" t="n"/>
      <c r="X357" s="334" t="n"/>
      <c r="Y357" s="334" t="n"/>
      <c r="Z357" s="375">
        <f>IF(AND(G357&lt;&gt;"",R357&lt;&gt;"",V357&lt;&gt;"",W357&lt;&gt;""),"COMPLETADO","OBSERVADO")</f>
        <v/>
      </c>
    </row>
    <row r="358" ht="15" customHeight="1" s="195">
      <c r="A358" s="280" t="n"/>
      <c r="B358" s="280" t="n"/>
      <c r="C358" s="280" t="n"/>
      <c r="D358" s="280" t="n"/>
      <c r="E358" s="280" t="n"/>
      <c r="F358" s="280" t="n"/>
      <c r="G358" s="280" t="n"/>
      <c r="H358" s="280" t="n"/>
      <c r="I358" s="332">
        <f>IFERROR(VLOOKUP(TEXT(H358,"0"),IPRESS!$A$3:$B$212,2,0),"")</f>
        <v/>
      </c>
      <c r="J358" s="280" t="n"/>
      <c r="K358" s="332">
        <f>IFERROR(VLOOKUP(TEXT(O358,"0"),CONDUCTORES!$A$3:$G$54,7,0),"")</f>
        <v/>
      </c>
      <c r="L358" s="280" t="n"/>
      <c r="M358" s="280" t="n"/>
      <c r="N358" s="333">
        <f>IFERROR(IF(L358*M358=0,"",L358*M358),"")</f>
        <v/>
      </c>
      <c r="O358" s="280" t="n"/>
      <c r="P358" s="332">
        <f>IFERROR(VLOOKUP(TEXT(O358,"0"),CONDUCTORES!$A$3:$G$54,2,0),"")</f>
        <v/>
      </c>
      <c r="Q358" s="332">
        <f>IFERROR(VLOOKUP(TEXT(O358,"0"),CONDUCTORES!$A$3:$H$54,6,0),"")</f>
        <v/>
      </c>
      <c r="R358" s="280" t="n"/>
      <c r="S358" s="280" t="n"/>
      <c r="T358" s="280" t="n"/>
      <c r="U358" s="280" t="n"/>
      <c r="V358" s="280" t="n"/>
      <c r="W358" s="280" t="n"/>
      <c r="X358" s="280" t="n"/>
      <c r="Y358" s="280" t="n"/>
      <c r="Z358" s="375">
        <f>IF(AND(G358&lt;&gt;"",R358&lt;&gt;"",V358&lt;&gt;"",W358&lt;&gt;""),"COMPLETADO","OBSERVADO")</f>
        <v/>
      </c>
    </row>
    <row r="359" ht="15" customHeight="1" s="195">
      <c r="A359" s="334" t="n"/>
      <c r="B359" s="334" t="n"/>
      <c r="C359" s="334" t="n"/>
      <c r="D359" s="334" t="n"/>
      <c r="E359" s="334" t="n"/>
      <c r="F359" s="334" t="n"/>
      <c r="G359" s="334" t="n"/>
      <c r="H359" s="334" t="n"/>
      <c r="I359" s="332">
        <f>IFERROR(VLOOKUP(TEXT(H359,"0"),IPRESS!$A$3:$B$212,2,0),"")</f>
        <v/>
      </c>
      <c r="J359" s="334" t="n"/>
      <c r="K359" s="332">
        <f>IFERROR(VLOOKUP(TEXT(O359,"0"),CONDUCTORES!$A$3:$G$54,7,0),"")</f>
        <v/>
      </c>
      <c r="L359" s="334" t="n"/>
      <c r="M359" s="334" t="n"/>
      <c r="N359" s="333">
        <f>IFERROR(IF(L359*M359=0,"",L359*M359),"")</f>
        <v/>
      </c>
      <c r="O359" s="334" t="n"/>
      <c r="P359" s="332">
        <f>IFERROR(VLOOKUP(TEXT(O359,"0"),CONDUCTORES!$A$3:$G$54,2,0),"")</f>
        <v/>
      </c>
      <c r="Q359" s="332">
        <f>IFERROR(VLOOKUP(TEXT(O359,"0"),CONDUCTORES!$A$3:$H$54,6,0),"")</f>
        <v/>
      </c>
      <c r="R359" s="334" t="n"/>
      <c r="S359" s="334" t="n"/>
      <c r="T359" s="334" t="n"/>
      <c r="U359" s="334" t="n"/>
      <c r="V359" s="334" t="n"/>
      <c r="W359" s="334" t="n"/>
      <c r="X359" s="334" t="n"/>
      <c r="Y359" s="334" t="n"/>
      <c r="Z359" s="375">
        <f>IF(AND(G359&lt;&gt;"",R359&lt;&gt;"",V359&lt;&gt;"",W359&lt;&gt;""),"COMPLETADO","OBSERVADO")</f>
        <v/>
      </c>
    </row>
    <row r="360" ht="15" customHeight="1" s="195">
      <c r="A360" s="280" t="n"/>
      <c r="B360" s="280" t="n"/>
      <c r="C360" s="280" t="n"/>
      <c r="D360" s="280" t="n"/>
      <c r="E360" s="280" t="n"/>
      <c r="F360" s="280" t="n"/>
      <c r="G360" s="280" t="n"/>
      <c r="H360" s="280" t="n"/>
      <c r="I360" s="332">
        <f>IFERROR(VLOOKUP(TEXT(H360,"0"),IPRESS!$A$3:$B$212,2,0),"")</f>
        <v/>
      </c>
      <c r="J360" s="280" t="n"/>
      <c r="K360" s="332">
        <f>IFERROR(VLOOKUP(TEXT(O360,"0"),CONDUCTORES!$A$3:$G$54,7,0),"")</f>
        <v/>
      </c>
      <c r="L360" s="280" t="n"/>
      <c r="M360" s="280" t="n"/>
      <c r="N360" s="333">
        <f>IFERROR(IF(L360*M360=0,"",L360*M360),"")</f>
        <v/>
      </c>
      <c r="O360" s="280" t="n"/>
      <c r="P360" s="332">
        <f>IFERROR(VLOOKUP(TEXT(O360,"0"),CONDUCTORES!$A$3:$G$54,2,0),"")</f>
        <v/>
      </c>
      <c r="Q360" s="332">
        <f>IFERROR(VLOOKUP(TEXT(O360,"0"),CONDUCTORES!$A$3:$H$54,6,0),"")</f>
        <v/>
      </c>
      <c r="R360" s="280" t="n"/>
      <c r="S360" s="280" t="n"/>
      <c r="T360" s="280" t="n"/>
      <c r="U360" s="280" t="n"/>
      <c r="V360" s="280" t="n"/>
      <c r="W360" s="280" t="n"/>
      <c r="X360" s="280" t="n"/>
      <c r="Y360" s="280" t="n"/>
      <c r="Z360" s="375">
        <f>IF(AND(G360&lt;&gt;"",R360&lt;&gt;"",V360&lt;&gt;"",W360&lt;&gt;""),"COMPLETADO","OBSERVADO")</f>
        <v/>
      </c>
    </row>
    <row r="361" ht="15" customHeight="1" s="195">
      <c r="A361" s="334" t="n"/>
      <c r="B361" s="334" t="n"/>
      <c r="C361" s="334" t="n"/>
      <c r="D361" s="334" t="n"/>
      <c r="E361" s="334" t="n"/>
      <c r="F361" s="334" t="n"/>
      <c r="G361" s="334" t="n"/>
      <c r="H361" s="334" t="n"/>
      <c r="I361" s="332">
        <f>IFERROR(VLOOKUP(TEXT(H361,"0"),IPRESS!$A$3:$B$212,2,0),"")</f>
        <v/>
      </c>
      <c r="J361" s="334" t="n"/>
      <c r="K361" s="332">
        <f>IFERROR(VLOOKUP(TEXT(O361,"0"),CONDUCTORES!$A$3:$G$54,7,0),"")</f>
        <v/>
      </c>
      <c r="L361" s="334" t="n"/>
      <c r="M361" s="334" t="n"/>
      <c r="N361" s="333">
        <f>IFERROR(IF(L361*M361=0,"",L361*M361),"")</f>
        <v/>
      </c>
      <c r="O361" s="334" t="n"/>
      <c r="P361" s="332">
        <f>IFERROR(VLOOKUP(TEXT(O361,"0"),CONDUCTORES!$A$3:$G$54,2,0),"")</f>
        <v/>
      </c>
      <c r="Q361" s="332">
        <f>IFERROR(VLOOKUP(TEXT(O361,"0"),CONDUCTORES!$A$3:$H$54,6,0),"")</f>
        <v/>
      </c>
      <c r="R361" s="334" t="n"/>
      <c r="S361" s="334" t="n"/>
      <c r="T361" s="334" t="n"/>
      <c r="U361" s="334" t="n"/>
      <c r="V361" s="334" t="n"/>
      <c r="W361" s="334" t="n"/>
      <c r="X361" s="334" t="n"/>
      <c r="Y361" s="334" t="n"/>
      <c r="Z361" s="375">
        <f>IF(AND(G361&lt;&gt;"",R361&lt;&gt;"",V361&lt;&gt;"",W361&lt;&gt;""),"COMPLETADO","OBSERVADO")</f>
        <v/>
      </c>
    </row>
    <row r="362" ht="15" customHeight="1" s="195">
      <c r="A362" s="280" t="n"/>
      <c r="B362" s="280" t="n"/>
      <c r="C362" s="280" t="n"/>
      <c r="D362" s="280" t="n"/>
      <c r="E362" s="280" t="n"/>
      <c r="F362" s="280" t="n"/>
      <c r="G362" s="280" t="n"/>
      <c r="H362" s="280" t="n"/>
      <c r="I362" s="332">
        <f>IFERROR(VLOOKUP(TEXT(H362,"0"),IPRESS!$A$3:$B$212,2,0),"")</f>
        <v/>
      </c>
      <c r="J362" s="280" t="n"/>
      <c r="K362" s="332">
        <f>IFERROR(VLOOKUP(TEXT(O362,"0"),CONDUCTORES!$A$3:$G$54,7,0),"")</f>
        <v/>
      </c>
      <c r="L362" s="280" t="n"/>
      <c r="M362" s="280" t="n"/>
      <c r="N362" s="333">
        <f>IFERROR(IF(L362*M362=0,"",L362*M362),"")</f>
        <v/>
      </c>
      <c r="O362" s="280" t="n"/>
      <c r="P362" s="332">
        <f>IFERROR(VLOOKUP(TEXT(O362,"0"),CONDUCTORES!$A$3:$G$54,2,0),"")</f>
        <v/>
      </c>
      <c r="Q362" s="332">
        <f>IFERROR(VLOOKUP(TEXT(O362,"0"),CONDUCTORES!$A$3:$H$54,6,0),"")</f>
        <v/>
      </c>
      <c r="R362" s="280" t="n"/>
      <c r="S362" s="280" t="n"/>
      <c r="T362" s="280" t="n"/>
      <c r="U362" s="280" t="n"/>
      <c r="V362" s="280" t="n"/>
      <c r="W362" s="280" t="n"/>
      <c r="X362" s="280" t="n"/>
      <c r="Y362" s="280" t="n"/>
      <c r="Z362" s="375">
        <f>IF(AND(G362&lt;&gt;"",R362&lt;&gt;"",V362&lt;&gt;"",W362&lt;&gt;""),"COMPLETADO","OBSERVADO")</f>
        <v/>
      </c>
    </row>
    <row r="363" ht="15" customHeight="1" s="195">
      <c r="A363" s="334" t="n"/>
      <c r="B363" s="334" t="n"/>
      <c r="C363" s="334" t="n"/>
      <c r="D363" s="334" t="n"/>
      <c r="E363" s="334" t="n"/>
      <c r="F363" s="334" t="n"/>
      <c r="G363" s="334" t="n"/>
      <c r="H363" s="334" t="n"/>
      <c r="I363" s="332">
        <f>IFERROR(VLOOKUP(TEXT(H363,"0"),IPRESS!$A$3:$B$212,2,0),"")</f>
        <v/>
      </c>
      <c r="J363" s="334" t="n"/>
      <c r="K363" s="332">
        <f>IFERROR(VLOOKUP(TEXT(O363,"0"),CONDUCTORES!$A$3:$G$54,7,0),"")</f>
        <v/>
      </c>
      <c r="L363" s="334" t="n"/>
      <c r="M363" s="334" t="n"/>
      <c r="N363" s="333">
        <f>IFERROR(IF(L363*M363=0,"",L363*M363),"")</f>
        <v/>
      </c>
      <c r="O363" s="334" t="n"/>
      <c r="P363" s="332">
        <f>IFERROR(VLOOKUP(TEXT(O363,"0"),CONDUCTORES!$A$3:$G$54,2,0),"")</f>
        <v/>
      </c>
      <c r="Q363" s="332">
        <f>IFERROR(VLOOKUP(TEXT(O363,"0"),CONDUCTORES!$A$3:$H$54,6,0),"")</f>
        <v/>
      </c>
      <c r="R363" s="334" t="n"/>
      <c r="S363" s="334" t="n"/>
      <c r="T363" s="334" t="n"/>
      <c r="U363" s="334" t="n"/>
      <c r="V363" s="334" t="n"/>
      <c r="W363" s="334" t="n"/>
      <c r="X363" s="334" t="n"/>
      <c r="Y363" s="334" t="n"/>
      <c r="Z363" s="375">
        <f>IF(AND(G363&lt;&gt;"",R363&lt;&gt;"",V363&lt;&gt;"",W363&lt;&gt;""),"COMPLETADO","OBSERVADO")</f>
        <v/>
      </c>
    </row>
    <row r="364" ht="15" customHeight="1" s="195">
      <c r="A364" s="280" t="n"/>
      <c r="B364" s="280" t="n"/>
      <c r="C364" s="280" t="n"/>
      <c r="D364" s="280" t="n"/>
      <c r="E364" s="280" t="n"/>
      <c r="F364" s="280" t="n"/>
      <c r="G364" s="280" t="n"/>
      <c r="H364" s="280" t="n"/>
      <c r="I364" s="332">
        <f>IFERROR(VLOOKUP(TEXT(H364,"0"),IPRESS!$A$3:$B$212,2,0),"")</f>
        <v/>
      </c>
      <c r="J364" s="280" t="n"/>
      <c r="K364" s="332">
        <f>IFERROR(VLOOKUP(TEXT(O364,"0"),CONDUCTORES!$A$3:$G$54,7,0),"")</f>
        <v/>
      </c>
      <c r="L364" s="280" t="n"/>
      <c r="M364" s="280" t="n"/>
      <c r="N364" s="333">
        <f>IFERROR(IF(L364*M364=0,"",L364*M364),"")</f>
        <v/>
      </c>
      <c r="O364" s="280" t="n"/>
      <c r="P364" s="332">
        <f>IFERROR(VLOOKUP(TEXT(O364,"0"),CONDUCTORES!$A$3:$G$54,2,0),"")</f>
        <v/>
      </c>
      <c r="Q364" s="332">
        <f>IFERROR(VLOOKUP(TEXT(O364,"0"),CONDUCTORES!$A$3:$H$54,6,0),"")</f>
        <v/>
      </c>
      <c r="R364" s="280" t="n"/>
      <c r="S364" s="280" t="n"/>
      <c r="T364" s="280" t="n"/>
      <c r="U364" s="280" t="n"/>
      <c r="V364" s="280" t="n"/>
      <c r="W364" s="280" t="n"/>
      <c r="X364" s="280" t="n"/>
      <c r="Y364" s="280" t="n"/>
      <c r="Z364" s="375">
        <f>IF(AND(G364&lt;&gt;"",R364&lt;&gt;"",V364&lt;&gt;"",W364&lt;&gt;""),"COMPLETADO","OBSERVADO")</f>
        <v/>
      </c>
    </row>
    <row r="365" ht="15" customHeight="1" s="195">
      <c r="A365" s="334" t="n"/>
      <c r="B365" s="334" t="n"/>
      <c r="C365" s="334" t="n"/>
      <c r="D365" s="334" t="n"/>
      <c r="E365" s="334" t="n"/>
      <c r="F365" s="334" t="n"/>
      <c r="G365" s="334" t="n"/>
      <c r="H365" s="334" t="n"/>
      <c r="I365" s="332">
        <f>IFERROR(VLOOKUP(TEXT(H365,"0"),IPRESS!$A$3:$B$212,2,0),"")</f>
        <v/>
      </c>
      <c r="J365" s="334" t="n"/>
      <c r="K365" s="332">
        <f>IFERROR(VLOOKUP(TEXT(O365,"0"),CONDUCTORES!$A$3:$G$54,7,0),"")</f>
        <v/>
      </c>
      <c r="L365" s="334" t="n"/>
      <c r="M365" s="334" t="n"/>
      <c r="N365" s="333">
        <f>IFERROR(IF(L365*M365=0,"",L365*M365),"")</f>
        <v/>
      </c>
      <c r="O365" s="334" t="n"/>
      <c r="P365" s="332">
        <f>IFERROR(VLOOKUP(TEXT(O365,"0"),CONDUCTORES!$A$3:$G$54,2,0),"")</f>
        <v/>
      </c>
      <c r="Q365" s="332">
        <f>IFERROR(VLOOKUP(TEXT(O365,"0"),CONDUCTORES!$A$3:$H$54,6,0),"")</f>
        <v/>
      </c>
      <c r="R365" s="334" t="n"/>
      <c r="S365" s="334" t="n"/>
      <c r="T365" s="334" t="n"/>
      <c r="U365" s="334" t="n"/>
      <c r="V365" s="334" t="n"/>
      <c r="W365" s="334" t="n"/>
      <c r="X365" s="334" t="n"/>
      <c r="Y365" s="334" t="n"/>
      <c r="Z365" s="375">
        <f>IF(AND(G365&lt;&gt;"",R365&lt;&gt;"",V365&lt;&gt;"",W365&lt;&gt;""),"COMPLETADO","OBSERVADO")</f>
        <v/>
      </c>
    </row>
    <row r="366" ht="15" customHeight="1" s="195">
      <c r="A366" s="280" t="n"/>
      <c r="B366" s="280" t="n"/>
      <c r="C366" s="280" t="n"/>
      <c r="D366" s="280" t="n"/>
      <c r="E366" s="280" t="n"/>
      <c r="F366" s="280" t="n"/>
      <c r="G366" s="280" t="n"/>
      <c r="H366" s="280" t="n"/>
      <c r="I366" s="332">
        <f>IFERROR(VLOOKUP(TEXT(H366,"0"),IPRESS!$A$3:$B$212,2,0),"")</f>
        <v/>
      </c>
      <c r="J366" s="280" t="n"/>
      <c r="K366" s="332">
        <f>IFERROR(VLOOKUP(TEXT(O366,"0"),CONDUCTORES!$A$3:$G$54,7,0),"")</f>
        <v/>
      </c>
      <c r="L366" s="280" t="n"/>
      <c r="M366" s="280" t="n"/>
      <c r="N366" s="333">
        <f>IFERROR(IF(L366*M366=0,"",L366*M366),"")</f>
        <v/>
      </c>
      <c r="O366" s="280" t="n"/>
      <c r="P366" s="332">
        <f>IFERROR(VLOOKUP(TEXT(O366,"0"),CONDUCTORES!$A$3:$G$54,2,0),"")</f>
        <v/>
      </c>
      <c r="Q366" s="332">
        <f>IFERROR(VLOOKUP(TEXT(O366,"0"),CONDUCTORES!$A$3:$H$54,6,0),"")</f>
        <v/>
      </c>
      <c r="R366" s="280" t="n"/>
      <c r="S366" s="280" t="n"/>
      <c r="T366" s="280" t="n"/>
      <c r="U366" s="280" t="n"/>
      <c r="V366" s="280" t="n"/>
      <c r="W366" s="280" t="n"/>
      <c r="X366" s="280" t="n"/>
      <c r="Y366" s="280" t="n"/>
      <c r="Z366" s="375">
        <f>IF(AND(G366&lt;&gt;"",R366&lt;&gt;"",V366&lt;&gt;"",W366&lt;&gt;""),"COMPLETADO","OBSERVADO")</f>
        <v/>
      </c>
    </row>
    <row r="367" ht="15" customHeight="1" s="195">
      <c r="A367" s="334" t="n"/>
      <c r="B367" s="334" t="n"/>
      <c r="C367" s="334" t="n"/>
      <c r="D367" s="334" t="n"/>
      <c r="E367" s="334" t="n"/>
      <c r="F367" s="334" t="n"/>
      <c r="G367" s="334" t="n"/>
      <c r="H367" s="334" t="n"/>
      <c r="I367" s="332">
        <f>IFERROR(VLOOKUP(TEXT(H367,"0"),IPRESS!$A$3:$B$212,2,0),"")</f>
        <v/>
      </c>
      <c r="J367" s="334" t="n"/>
      <c r="K367" s="332">
        <f>IFERROR(VLOOKUP(TEXT(O367,"0"),CONDUCTORES!$A$3:$G$54,7,0),"")</f>
        <v/>
      </c>
      <c r="L367" s="334" t="n"/>
      <c r="M367" s="334" t="n"/>
      <c r="N367" s="333">
        <f>IFERROR(IF(L367*M367=0,"",L367*M367),"")</f>
        <v/>
      </c>
      <c r="O367" s="334" t="n"/>
      <c r="P367" s="332">
        <f>IFERROR(VLOOKUP(TEXT(O367,"0"),CONDUCTORES!$A$3:$G$54,2,0),"")</f>
        <v/>
      </c>
      <c r="Q367" s="332">
        <f>IFERROR(VLOOKUP(TEXT(O367,"0"),CONDUCTORES!$A$3:$H$54,6,0),"")</f>
        <v/>
      </c>
      <c r="R367" s="334" t="n"/>
      <c r="S367" s="334" t="n"/>
      <c r="T367" s="334" t="n"/>
      <c r="U367" s="334" t="n"/>
      <c r="V367" s="334" t="n"/>
      <c r="W367" s="334" t="n"/>
      <c r="X367" s="334" t="n"/>
      <c r="Y367" s="334" t="n"/>
      <c r="Z367" s="375">
        <f>IF(AND(G367&lt;&gt;"",R367&lt;&gt;"",V367&lt;&gt;"",W367&lt;&gt;""),"COMPLETADO","OBSERVADO")</f>
        <v/>
      </c>
    </row>
    <row r="368" ht="15" customHeight="1" s="195">
      <c r="A368" s="280" t="n"/>
      <c r="B368" s="280" t="n"/>
      <c r="C368" s="280" t="n"/>
      <c r="D368" s="280" t="n"/>
      <c r="E368" s="280" t="n"/>
      <c r="F368" s="280" t="n"/>
      <c r="G368" s="280" t="n"/>
      <c r="H368" s="280" t="n"/>
      <c r="I368" s="332">
        <f>IFERROR(VLOOKUP(TEXT(H368,"0"),IPRESS!$A$3:$B$212,2,0),"")</f>
        <v/>
      </c>
      <c r="J368" s="280" t="n"/>
      <c r="K368" s="332">
        <f>IFERROR(VLOOKUP(TEXT(O368,"0"),CONDUCTORES!$A$3:$G$54,7,0),"")</f>
        <v/>
      </c>
      <c r="L368" s="280" t="n"/>
      <c r="M368" s="280" t="n"/>
      <c r="N368" s="333">
        <f>IFERROR(IF(L368*M368=0,"",L368*M368),"")</f>
        <v/>
      </c>
      <c r="O368" s="280" t="n"/>
      <c r="P368" s="332">
        <f>IFERROR(VLOOKUP(TEXT(O368,"0"),CONDUCTORES!$A$3:$G$54,2,0),"")</f>
        <v/>
      </c>
      <c r="Q368" s="332">
        <f>IFERROR(VLOOKUP(TEXT(O368,"0"),CONDUCTORES!$A$3:$H$54,6,0),"")</f>
        <v/>
      </c>
      <c r="R368" s="280" t="n"/>
      <c r="S368" s="280" t="n"/>
      <c r="T368" s="280" t="n"/>
      <c r="U368" s="280" t="n"/>
      <c r="V368" s="280" t="n"/>
      <c r="W368" s="280" t="n"/>
      <c r="X368" s="280" t="n"/>
      <c r="Y368" s="280" t="n"/>
      <c r="Z368" s="375">
        <f>IF(AND(G368&lt;&gt;"",R368&lt;&gt;"",V368&lt;&gt;"",W368&lt;&gt;""),"COMPLETADO","OBSERVADO")</f>
        <v/>
      </c>
    </row>
    <row r="369" ht="15" customHeight="1" s="195">
      <c r="A369" s="334" t="n"/>
      <c r="B369" s="334" t="n"/>
      <c r="C369" s="334" t="n"/>
      <c r="D369" s="334" t="n"/>
      <c r="E369" s="334" t="n"/>
      <c r="F369" s="334" t="n"/>
      <c r="G369" s="334" t="n"/>
      <c r="H369" s="334" t="n"/>
      <c r="I369" s="332">
        <f>IFERROR(VLOOKUP(TEXT(H369,"0"),IPRESS!$A$3:$B$212,2,0),"")</f>
        <v/>
      </c>
      <c r="J369" s="334" t="n"/>
      <c r="K369" s="332">
        <f>IFERROR(VLOOKUP(TEXT(O369,"0"),CONDUCTORES!$A$3:$G$54,7,0),"")</f>
        <v/>
      </c>
      <c r="L369" s="334" t="n"/>
      <c r="M369" s="334" t="n"/>
      <c r="N369" s="333">
        <f>IFERROR(IF(L369*M369=0,"",L369*M369),"")</f>
        <v/>
      </c>
      <c r="O369" s="334" t="n"/>
      <c r="P369" s="332">
        <f>IFERROR(VLOOKUP(TEXT(O369,"0"),CONDUCTORES!$A$3:$G$54,2,0),"")</f>
        <v/>
      </c>
      <c r="Q369" s="332">
        <f>IFERROR(VLOOKUP(TEXT(O369,"0"),CONDUCTORES!$A$3:$H$54,6,0),"")</f>
        <v/>
      </c>
      <c r="R369" s="334" t="n"/>
      <c r="S369" s="334" t="n"/>
      <c r="T369" s="334" t="n"/>
      <c r="U369" s="334" t="n"/>
      <c r="V369" s="334" t="n"/>
      <c r="W369" s="334" t="n"/>
      <c r="X369" s="334" t="n"/>
      <c r="Y369" s="334" t="n"/>
      <c r="Z369" s="375">
        <f>IF(AND(G369&lt;&gt;"",R369&lt;&gt;"",V369&lt;&gt;"",W369&lt;&gt;""),"COMPLETADO","OBSERVADO")</f>
        <v/>
      </c>
    </row>
    <row r="370" ht="15" customHeight="1" s="195">
      <c r="A370" s="280" t="n"/>
      <c r="B370" s="280" t="n"/>
      <c r="C370" s="280" t="n"/>
      <c r="D370" s="280" t="n"/>
      <c r="E370" s="280" t="n"/>
      <c r="F370" s="280" t="n"/>
      <c r="G370" s="280" t="n"/>
      <c r="H370" s="280" t="n"/>
      <c r="I370" s="332">
        <f>IFERROR(VLOOKUP(TEXT(H370,"0"),IPRESS!$A$3:$B$212,2,0),"")</f>
        <v/>
      </c>
      <c r="J370" s="280" t="n"/>
      <c r="K370" s="332">
        <f>IFERROR(VLOOKUP(TEXT(O370,"0"),CONDUCTORES!$A$3:$G$54,7,0),"")</f>
        <v/>
      </c>
      <c r="L370" s="280" t="n"/>
      <c r="M370" s="280" t="n"/>
      <c r="N370" s="333">
        <f>IFERROR(IF(L370*M370=0,"",L370*M370),"")</f>
        <v/>
      </c>
      <c r="O370" s="280" t="n"/>
      <c r="P370" s="332">
        <f>IFERROR(VLOOKUP(TEXT(O370,"0"),CONDUCTORES!$A$3:$G$54,2,0),"")</f>
        <v/>
      </c>
      <c r="Q370" s="332">
        <f>IFERROR(VLOOKUP(TEXT(O370,"0"),CONDUCTORES!$A$3:$H$54,6,0),"")</f>
        <v/>
      </c>
      <c r="R370" s="280" t="n"/>
      <c r="S370" s="280" t="n"/>
      <c r="T370" s="280" t="n"/>
      <c r="U370" s="280" t="n"/>
      <c r="V370" s="280" t="n"/>
      <c r="W370" s="280" t="n"/>
      <c r="X370" s="280" t="n"/>
      <c r="Y370" s="280" t="n"/>
      <c r="Z370" s="375">
        <f>IF(AND(G370&lt;&gt;"",R370&lt;&gt;"",V370&lt;&gt;"",W370&lt;&gt;""),"COMPLETADO","OBSERVADO")</f>
        <v/>
      </c>
    </row>
    <row r="371" ht="15" customHeight="1" s="195">
      <c r="A371" s="334" t="n"/>
      <c r="B371" s="334" t="n"/>
      <c r="C371" s="334" t="n"/>
      <c r="D371" s="334" t="n"/>
      <c r="E371" s="334" t="n"/>
      <c r="F371" s="334" t="n"/>
      <c r="G371" s="334" t="n"/>
      <c r="H371" s="334" t="n"/>
      <c r="I371" s="332">
        <f>IFERROR(VLOOKUP(TEXT(H371,"0"),IPRESS!$A$3:$B$212,2,0),"")</f>
        <v/>
      </c>
      <c r="J371" s="334" t="n"/>
      <c r="K371" s="332">
        <f>IFERROR(VLOOKUP(TEXT(O371,"0"),CONDUCTORES!$A$3:$G$54,7,0),"")</f>
        <v/>
      </c>
      <c r="L371" s="334" t="n"/>
      <c r="M371" s="334" t="n"/>
      <c r="N371" s="333">
        <f>IFERROR(IF(L371*M371=0,"",L371*M371),"")</f>
        <v/>
      </c>
      <c r="O371" s="334" t="n"/>
      <c r="P371" s="332">
        <f>IFERROR(VLOOKUP(TEXT(O371,"0"),CONDUCTORES!$A$3:$G$54,2,0),"")</f>
        <v/>
      </c>
      <c r="Q371" s="332">
        <f>IFERROR(VLOOKUP(TEXT(O371,"0"),CONDUCTORES!$A$3:$H$54,6,0),"")</f>
        <v/>
      </c>
      <c r="R371" s="334" t="n"/>
      <c r="S371" s="334" t="n"/>
      <c r="T371" s="334" t="n"/>
      <c r="U371" s="334" t="n"/>
      <c r="V371" s="334" t="n"/>
      <c r="W371" s="334" t="n"/>
      <c r="X371" s="334" t="n"/>
      <c r="Y371" s="334" t="n"/>
      <c r="Z371" s="375">
        <f>IF(AND(G371&lt;&gt;"",R371&lt;&gt;"",V371&lt;&gt;"",W371&lt;&gt;""),"COMPLETADO","OBSERVADO")</f>
        <v/>
      </c>
    </row>
    <row r="372" ht="15" customHeight="1" s="195">
      <c r="A372" s="280" t="n"/>
      <c r="B372" s="280" t="n"/>
      <c r="C372" s="280" t="n"/>
      <c r="D372" s="280" t="n"/>
      <c r="E372" s="280" t="n"/>
      <c r="F372" s="280" t="n"/>
      <c r="G372" s="280" t="n"/>
      <c r="H372" s="280" t="n"/>
      <c r="I372" s="332">
        <f>IFERROR(VLOOKUP(TEXT(H372,"0"),IPRESS!$A$3:$B$212,2,0),"")</f>
        <v/>
      </c>
      <c r="J372" s="280" t="n"/>
      <c r="K372" s="332">
        <f>IFERROR(VLOOKUP(TEXT(O372,"0"),CONDUCTORES!$A$3:$G$54,7,0),"")</f>
        <v/>
      </c>
      <c r="L372" s="280" t="n"/>
      <c r="M372" s="280" t="n"/>
      <c r="N372" s="333">
        <f>IFERROR(IF(L372*M372=0,"",L372*M372),"")</f>
        <v/>
      </c>
      <c r="O372" s="280" t="n"/>
      <c r="P372" s="332">
        <f>IFERROR(VLOOKUP(TEXT(O372,"0"),CONDUCTORES!$A$3:$G$54,2,0),"")</f>
        <v/>
      </c>
      <c r="Q372" s="332">
        <f>IFERROR(VLOOKUP(TEXT(O372,"0"),CONDUCTORES!$A$3:$H$54,6,0),"")</f>
        <v/>
      </c>
      <c r="R372" s="280" t="n"/>
      <c r="S372" s="280" t="n"/>
      <c r="T372" s="280" t="n"/>
      <c r="U372" s="280" t="n"/>
      <c r="V372" s="280" t="n"/>
      <c r="W372" s="280" t="n"/>
      <c r="X372" s="280" t="n"/>
      <c r="Y372" s="280" t="n"/>
      <c r="Z372" s="375">
        <f>IF(AND(G372&lt;&gt;"",R372&lt;&gt;"",V372&lt;&gt;"",W372&lt;&gt;""),"COMPLETADO","OBSERVADO")</f>
        <v/>
      </c>
    </row>
    <row r="373" ht="15" customHeight="1" s="195">
      <c r="A373" s="334" t="n"/>
      <c r="B373" s="334" t="n"/>
      <c r="C373" s="334" t="n"/>
      <c r="D373" s="334" t="n"/>
      <c r="E373" s="334" t="n"/>
      <c r="F373" s="334" t="n"/>
      <c r="G373" s="334" t="n"/>
      <c r="H373" s="334" t="n"/>
      <c r="I373" s="332">
        <f>IFERROR(VLOOKUP(TEXT(H373,"0"),IPRESS!$A$3:$B$212,2,0),"")</f>
        <v/>
      </c>
      <c r="J373" s="334" t="n"/>
      <c r="K373" s="332">
        <f>IFERROR(VLOOKUP(TEXT(O373,"0"),CONDUCTORES!$A$3:$G$54,7,0),"")</f>
        <v/>
      </c>
      <c r="L373" s="334" t="n"/>
      <c r="M373" s="334" t="n"/>
      <c r="N373" s="333">
        <f>IFERROR(IF(L373*M373=0,"",L373*M373),"")</f>
        <v/>
      </c>
      <c r="O373" s="334" t="n"/>
      <c r="P373" s="332">
        <f>IFERROR(VLOOKUP(TEXT(O373,"0"),CONDUCTORES!$A$3:$G$54,2,0),"")</f>
        <v/>
      </c>
      <c r="Q373" s="332">
        <f>IFERROR(VLOOKUP(TEXT(O373,"0"),CONDUCTORES!$A$3:$H$54,6,0),"")</f>
        <v/>
      </c>
      <c r="R373" s="334" t="n"/>
      <c r="S373" s="334" t="n"/>
      <c r="T373" s="334" t="n"/>
      <c r="U373" s="334" t="n"/>
      <c r="V373" s="334" t="n"/>
      <c r="W373" s="334" t="n"/>
      <c r="X373" s="334" t="n"/>
      <c r="Y373" s="334" t="n"/>
      <c r="Z373" s="375">
        <f>IF(AND(G373&lt;&gt;"",R373&lt;&gt;"",V373&lt;&gt;"",W373&lt;&gt;""),"COMPLETADO","OBSERVADO")</f>
        <v/>
      </c>
    </row>
    <row r="374" ht="15" customHeight="1" s="195">
      <c r="A374" s="280" t="n"/>
      <c r="B374" s="280" t="n"/>
      <c r="C374" s="280" t="n"/>
      <c r="D374" s="280" t="n"/>
      <c r="E374" s="280" t="n"/>
      <c r="F374" s="280" t="n"/>
      <c r="G374" s="280" t="n"/>
      <c r="H374" s="280" t="n"/>
      <c r="I374" s="332">
        <f>IFERROR(VLOOKUP(TEXT(H374,"0"),IPRESS!$A$3:$B$212,2,0),"")</f>
        <v/>
      </c>
      <c r="J374" s="280" t="n"/>
      <c r="K374" s="332">
        <f>IFERROR(VLOOKUP(TEXT(O374,"0"),CONDUCTORES!$A$3:$G$54,7,0),"")</f>
        <v/>
      </c>
      <c r="L374" s="280" t="n"/>
      <c r="M374" s="280" t="n"/>
      <c r="N374" s="333">
        <f>IFERROR(IF(L374*M374=0,"",L374*M374),"")</f>
        <v/>
      </c>
      <c r="O374" s="280" t="n"/>
      <c r="P374" s="332">
        <f>IFERROR(VLOOKUP(TEXT(O374,"0"),CONDUCTORES!$A$3:$G$54,2,0),"")</f>
        <v/>
      </c>
      <c r="Q374" s="332">
        <f>IFERROR(VLOOKUP(TEXT(O374,"0"),CONDUCTORES!$A$3:$H$54,6,0),"")</f>
        <v/>
      </c>
      <c r="R374" s="280" t="n"/>
      <c r="S374" s="280" t="n"/>
      <c r="T374" s="280" t="n"/>
      <c r="U374" s="280" t="n"/>
      <c r="V374" s="280" t="n"/>
      <c r="W374" s="280" t="n"/>
      <c r="X374" s="280" t="n"/>
      <c r="Y374" s="280" t="n"/>
      <c r="Z374" s="375">
        <f>IF(AND(G374&lt;&gt;"",R374&lt;&gt;"",V374&lt;&gt;"",W374&lt;&gt;""),"COMPLETADO","OBSERVADO")</f>
        <v/>
      </c>
    </row>
    <row r="375" ht="15" customHeight="1" s="195">
      <c r="A375" s="334" t="n"/>
      <c r="B375" s="334" t="n"/>
      <c r="C375" s="334" t="n"/>
      <c r="D375" s="334" t="n"/>
      <c r="E375" s="334" t="n"/>
      <c r="F375" s="334" t="n"/>
      <c r="G375" s="334" t="n"/>
      <c r="H375" s="334" t="n"/>
      <c r="I375" s="332">
        <f>IFERROR(VLOOKUP(TEXT(H375,"0"),IPRESS!$A$3:$B$212,2,0),"")</f>
        <v/>
      </c>
      <c r="J375" s="334" t="n"/>
      <c r="K375" s="332">
        <f>IFERROR(VLOOKUP(TEXT(O375,"0"),CONDUCTORES!$A$3:$G$54,7,0),"")</f>
        <v/>
      </c>
      <c r="L375" s="334" t="n"/>
      <c r="M375" s="334" t="n"/>
      <c r="N375" s="333">
        <f>IFERROR(IF(L375*M375=0,"",L375*M375),"")</f>
        <v/>
      </c>
      <c r="O375" s="334" t="n"/>
      <c r="P375" s="332">
        <f>IFERROR(VLOOKUP(TEXT(O375,"0"),CONDUCTORES!$A$3:$G$54,2,0),"")</f>
        <v/>
      </c>
      <c r="Q375" s="332">
        <f>IFERROR(VLOOKUP(TEXT(O375,"0"),CONDUCTORES!$A$3:$H$54,6,0),"")</f>
        <v/>
      </c>
      <c r="R375" s="334" t="n"/>
      <c r="S375" s="334" t="n"/>
      <c r="T375" s="334" t="n"/>
      <c r="U375" s="334" t="n"/>
      <c r="V375" s="334" t="n"/>
      <c r="W375" s="334" t="n"/>
      <c r="X375" s="334" t="n"/>
      <c r="Y375" s="334" t="n"/>
      <c r="Z375" s="375">
        <f>IF(AND(G375&lt;&gt;"",R375&lt;&gt;"",V375&lt;&gt;"",W375&lt;&gt;""),"COMPLETADO","OBSERVADO")</f>
        <v/>
      </c>
    </row>
    <row r="376" ht="15" customHeight="1" s="195">
      <c r="A376" s="280" t="n"/>
      <c r="B376" s="280" t="n"/>
      <c r="C376" s="280" t="n"/>
      <c r="D376" s="280" t="n"/>
      <c r="E376" s="280" t="n"/>
      <c r="F376" s="280" t="n"/>
      <c r="G376" s="280" t="n"/>
      <c r="H376" s="280" t="n"/>
      <c r="I376" s="332">
        <f>IFERROR(VLOOKUP(TEXT(H376,"0"),IPRESS!$A$3:$B$212,2,0),"")</f>
        <v/>
      </c>
      <c r="J376" s="280" t="n"/>
      <c r="K376" s="332">
        <f>IFERROR(VLOOKUP(TEXT(O376,"0"),CONDUCTORES!$A$3:$G$54,7,0),"")</f>
        <v/>
      </c>
      <c r="L376" s="280" t="n"/>
      <c r="M376" s="280" t="n"/>
      <c r="N376" s="333">
        <f>IFERROR(IF(L376*M376=0,"",L376*M376),"")</f>
        <v/>
      </c>
      <c r="O376" s="280" t="n"/>
      <c r="P376" s="332">
        <f>IFERROR(VLOOKUP(TEXT(O376,"0"),CONDUCTORES!$A$3:$G$54,2,0),"")</f>
        <v/>
      </c>
      <c r="Q376" s="332">
        <f>IFERROR(VLOOKUP(TEXT(O376,"0"),CONDUCTORES!$A$3:$H$54,6,0),"")</f>
        <v/>
      </c>
      <c r="R376" s="280" t="n"/>
      <c r="S376" s="280" t="n"/>
      <c r="T376" s="280" t="n"/>
      <c r="U376" s="280" t="n"/>
      <c r="V376" s="280" t="n"/>
      <c r="W376" s="280" t="n"/>
      <c r="X376" s="280" t="n"/>
      <c r="Y376" s="280" t="n"/>
      <c r="Z376" s="375">
        <f>IF(AND(G376&lt;&gt;"",R376&lt;&gt;"",V376&lt;&gt;"",W376&lt;&gt;""),"COMPLETADO","OBSERVADO")</f>
        <v/>
      </c>
    </row>
    <row r="377" ht="15" customHeight="1" s="195">
      <c r="A377" s="334" t="n"/>
      <c r="B377" s="334" t="n"/>
      <c r="C377" s="334" t="n"/>
      <c r="D377" s="334" t="n"/>
      <c r="E377" s="334" t="n"/>
      <c r="F377" s="334" t="n"/>
      <c r="G377" s="334" t="n"/>
      <c r="H377" s="334" t="n"/>
      <c r="I377" s="332">
        <f>IFERROR(VLOOKUP(TEXT(H377,"0"),IPRESS!$A$3:$B$212,2,0),"")</f>
        <v/>
      </c>
      <c r="J377" s="334" t="n"/>
      <c r="K377" s="332">
        <f>IFERROR(VLOOKUP(TEXT(O377,"0"),CONDUCTORES!$A$3:$G$54,7,0),"")</f>
        <v/>
      </c>
      <c r="L377" s="334" t="n"/>
      <c r="M377" s="334" t="n"/>
      <c r="N377" s="333">
        <f>IFERROR(IF(L377*M377=0,"",L377*M377),"")</f>
        <v/>
      </c>
      <c r="O377" s="334" t="n"/>
      <c r="P377" s="332">
        <f>IFERROR(VLOOKUP(TEXT(O377,"0"),CONDUCTORES!$A$3:$G$54,2,0),"")</f>
        <v/>
      </c>
      <c r="Q377" s="332">
        <f>IFERROR(VLOOKUP(TEXT(O377,"0"),CONDUCTORES!$A$3:$H$54,6,0),"")</f>
        <v/>
      </c>
      <c r="R377" s="334" t="n"/>
      <c r="S377" s="334" t="n"/>
      <c r="T377" s="334" t="n"/>
      <c r="U377" s="334" t="n"/>
      <c r="V377" s="334" t="n"/>
      <c r="W377" s="334" t="n"/>
      <c r="X377" s="334" t="n"/>
      <c r="Y377" s="334" t="n"/>
      <c r="Z377" s="375">
        <f>IF(AND(G377&lt;&gt;"",R377&lt;&gt;"",V377&lt;&gt;"",W377&lt;&gt;""),"COMPLETADO","OBSERVADO")</f>
        <v/>
      </c>
    </row>
    <row r="378" ht="15" customHeight="1" s="195">
      <c r="A378" s="280" t="n"/>
      <c r="B378" s="280" t="n"/>
      <c r="C378" s="280" t="n"/>
      <c r="D378" s="280" t="n"/>
      <c r="E378" s="280" t="n"/>
      <c r="F378" s="280" t="n"/>
      <c r="G378" s="280" t="n"/>
      <c r="H378" s="280" t="n"/>
      <c r="I378" s="332">
        <f>IFERROR(VLOOKUP(TEXT(H378,"0"),IPRESS!$A$3:$B$212,2,0),"")</f>
        <v/>
      </c>
      <c r="J378" s="280" t="n"/>
      <c r="K378" s="332">
        <f>IFERROR(VLOOKUP(TEXT(O378,"0"),CONDUCTORES!$A$3:$G$54,7,0),"")</f>
        <v/>
      </c>
      <c r="L378" s="280" t="n"/>
      <c r="M378" s="280" t="n"/>
      <c r="N378" s="333">
        <f>IFERROR(IF(L378*M378=0,"",L378*M378),"")</f>
        <v/>
      </c>
      <c r="O378" s="280" t="n"/>
      <c r="P378" s="332">
        <f>IFERROR(VLOOKUP(TEXT(O378,"0"),CONDUCTORES!$A$3:$G$54,2,0),"")</f>
        <v/>
      </c>
      <c r="Q378" s="332">
        <f>IFERROR(VLOOKUP(TEXT(O378,"0"),CONDUCTORES!$A$3:$H$54,6,0),"")</f>
        <v/>
      </c>
      <c r="R378" s="280" t="n"/>
      <c r="S378" s="280" t="n"/>
      <c r="T378" s="280" t="n"/>
      <c r="U378" s="280" t="n"/>
      <c r="V378" s="280" t="n"/>
      <c r="W378" s="280" t="n"/>
      <c r="X378" s="280" t="n"/>
      <c r="Y378" s="280" t="n"/>
      <c r="Z378" s="375">
        <f>IF(AND(G378&lt;&gt;"",R378&lt;&gt;"",V378&lt;&gt;"",W378&lt;&gt;""),"COMPLETADO","OBSERVADO")</f>
        <v/>
      </c>
    </row>
    <row r="379" ht="15" customHeight="1" s="195">
      <c r="A379" s="334" t="n"/>
      <c r="B379" s="334" t="n"/>
      <c r="C379" s="334" t="n"/>
      <c r="D379" s="334" t="n"/>
      <c r="E379" s="334" t="n"/>
      <c r="F379" s="334" t="n"/>
      <c r="G379" s="334" t="n"/>
      <c r="H379" s="334" t="n"/>
      <c r="I379" s="332">
        <f>IFERROR(VLOOKUP(TEXT(H379,"0"),IPRESS!$A$3:$B$212,2,0),"")</f>
        <v/>
      </c>
      <c r="J379" s="334" t="n"/>
      <c r="K379" s="332">
        <f>IFERROR(VLOOKUP(TEXT(O379,"0"),CONDUCTORES!$A$3:$G$54,7,0),"")</f>
        <v/>
      </c>
      <c r="L379" s="334" t="n"/>
      <c r="M379" s="334" t="n"/>
      <c r="N379" s="333">
        <f>IFERROR(IF(L379*M379=0,"",L379*M379),"")</f>
        <v/>
      </c>
      <c r="O379" s="334" t="n"/>
      <c r="P379" s="332">
        <f>IFERROR(VLOOKUP(TEXT(O379,"0"),CONDUCTORES!$A$3:$G$54,2,0),"")</f>
        <v/>
      </c>
      <c r="Q379" s="332">
        <f>IFERROR(VLOOKUP(TEXT(O379,"0"),CONDUCTORES!$A$3:$H$54,6,0),"")</f>
        <v/>
      </c>
      <c r="R379" s="334" t="n"/>
      <c r="S379" s="334" t="n"/>
      <c r="T379" s="334" t="n"/>
      <c r="U379" s="334" t="n"/>
      <c r="V379" s="334" t="n"/>
      <c r="W379" s="334" t="n"/>
      <c r="X379" s="334" t="n"/>
      <c r="Y379" s="334" t="n"/>
      <c r="Z379" s="375">
        <f>IF(AND(G379&lt;&gt;"",R379&lt;&gt;"",V379&lt;&gt;"",W379&lt;&gt;""),"COMPLETADO","OBSERVADO")</f>
        <v/>
      </c>
    </row>
    <row r="380" ht="15" customHeight="1" s="195">
      <c r="A380" s="280" t="n"/>
      <c r="B380" s="280" t="n"/>
      <c r="C380" s="280" t="n"/>
      <c r="D380" s="280" t="n"/>
      <c r="E380" s="280" t="n"/>
      <c r="F380" s="280" t="n"/>
      <c r="G380" s="280" t="n"/>
      <c r="H380" s="280" t="n"/>
      <c r="I380" s="332">
        <f>IFERROR(VLOOKUP(TEXT(H380,"0"),IPRESS!$A$3:$B$212,2,0),"")</f>
        <v/>
      </c>
      <c r="J380" s="280" t="n"/>
      <c r="K380" s="332">
        <f>IFERROR(VLOOKUP(TEXT(O380,"0"),CONDUCTORES!$A$3:$G$54,7,0),"")</f>
        <v/>
      </c>
      <c r="L380" s="280" t="n"/>
      <c r="M380" s="280" t="n"/>
      <c r="N380" s="333">
        <f>IFERROR(IF(L380*M380=0,"",L380*M380),"")</f>
        <v/>
      </c>
      <c r="O380" s="280" t="n"/>
      <c r="P380" s="332">
        <f>IFERROR(VLOOKUP(TEXT(O380,"0"),CONDUCTORES!$A$3:$G$54,2,0),"")</f>
        <v/>
      </c>
      <c r="Q380" s="332">
        <f>IFERROR(VLOOKUP(TEXT(O380,"0"),CONDUCTORES!$A$3:$H$54,6,0),"")</f>
        <v/>
      </c>
      <c r="R380" s="280" t="n"/>
      <c r="S380" s="280" t="n"/>
      <c r="T380" s="280" t="n"/>
      <c r="U380" s="280" t="n"/>
      <c r="V380" s="280" t="n"/>
      <c r="W380" s="280" t="n"/>
      <c r="X380" s="280" t="n"/>
      <c r="Y380" s="280" t="n"/>
      <c r="Z380" s="375">
        <f>IF(AND(G380&lt;&gt;"",R380&lt;&gt;"",V380&lt;&gt;"",W380&lt;&gt;""),"COMPLETADO","OBSERVADO")</f>
        <v/>
      </c>
    </row>
    <row r="381" ht="15" customHeight="1" s="195">
      <c r="A381" s="334" t="n"/>
      <c r="B381" s="334" t="n"/>
      <c r="C381" s="334" t="n"/>
      <c r="D381" s="334" t="n"/>
      <c r="E381" s="334" t="n"/>
      <c r="F381" s="334" t="n"/>
      <c r="G381" s="334" t="n"/>
      <c r="H381" s="334" t="n"/>
      <c r="I381" s="332">
        <f>IFERROR(VLOOKUP(TEXT(H381,"0"),IPRESS!$A$3:$B$212,2,0),"")</f>
        <v/>
      </c>
      <c r="J381" s="334" t="n"/>
      <c r="K381" s="332">
        <f>IFERROR(VLOOKUP(TEXT(O381,"0"),CONDUCTORES!$A$3:$G$54,7,0),"")</f>
        <v/>
      </c>
      <c r="L381" s="334" t="n"/>
      <c r="M381" s="334" t="n"/>
      <c r="N381" s="333">
        <f>IFERROR(IF(L381*M381=0,"",L381*M381),"")</f>
        <v/>
      </c>
      <c r="O381" s="334" t="n"/>
      <c r="P381" s="332">
        <f>IFERROR(VLOOKUP(TEXT(O381,"0"),CONDUCTORES!$A$3:$G$54,2,0),"")</f>
        <v/>
      </c>
      <c r="Q381" s="332">
        <f>IFERROR(VLOOKUP(TEXT(O381,"0"),CONDUCTORES!$A$3:$H$54,6,0),"")</f>
        <v/>
      </c>
      <c r="R381" s="334" t="n"/>
      <c r="S381" s="334" t="n"/>
      <c r="T381" s="334" t="n"/>
      <c r="U381" s="334" t="n"/>
      <c r="V381" s="334" t="n"/>
      <c r="W381" s="334" t="n"/>
      <c r="X381" s="334" t="n"/>
      <c r="Y381" s="334" t="n"/>
      <c r="Z381" s="375">
        <f>IF(AND(G381&lt;&gt;"",R381&lt;&gt;"",V381&lt;&gt;"",W381&lt;&gt;""),"COMPLETADO","OBSERVADO")</f>
        <v/>
      </c>
    </row>
    <row r="382" ht="15" customHeight="1" s="195">
      <c r="A382" s="280" t="n"/>
      <c r="B382" s="280" t="n"/>
      <c r="C382" s="280" t="n"/>
      <c r="D382" s="280" t="n"/>
      <c r="E382" s="280" t="n"/>
      <c r="F382" s="280" t="n"/>
      <c r="G382" s="280" t="n"/>
      <c r="H382" s="280" t="n"/>
      <c r="I382" s="332">
        <f>IFERROR(VLOOKUP(TEXT(H382,"0"),IPRESS!$A$3:$B$212,2,0),"")</f>
        <v/>
      </c>
      <c r="J382" s="280" t="n"/>
      <c r="K382" s="332">
        <f>IFERROR(VLOOKUP(TEXT(O382,"0"),CONDUCTORES!$A$3:$G$54,7,0),"")</f>
        <v/>
      </c>
      <c r="L382" s="280" t="n"/>
      <c r="M382" s="280" t="n"/>
      <c r="N382" s="333">
        <f>IFERROR(IF(L382*M382=0,"",L382*M382),"")</f>
        <v/>
      </c>
      <c r="O382" s="280" t="n"/>
      <c r="P382" s="332">
        <f>IFERROR(VLOOKUP(TEXT(O382,"0"),CONDUCTORES!$A$3:$G$54,2,0),"")</f>
        <v/>
      </c>
      <c r="Q382" s="332">
        <f>IFERROR(VLOOKUP(TEXT(O382,"0"),CONDUCTORES!$A$3:$H$54,6,0),"")</f>
        <v/>
      </c>
      <c r="R382" s="280" t="n"/>
      <c r="S382" s="280" t="n"/>
      <c r="T382" s="280" t="n"/>
      <c r="U382" s="280" t="n"/>
      <c r="V382" s="280" t="n"/>
      <c r="W382" s="280" t="n"/>
      <c r="X382" s="280" t="n"/>
      <c r="Y382" s="280" t="n"/>
      <c r="Z382" s="375">
        <f>IF(AND(G382&lt;&gt;"",R382&lt;&gt;"",V382&lt;&gt;"",W382&lt;&gt;""),"COMPLETADO","OBSERVADO")</f>
        <v/>
      </c>
    </row>
    <row r="383" ht="15" customHeight="1" s="195">
      <c r="A383" s="334" t="n"/>
      <c r="B383" s="334" t="n"/>
      <c r="C383" s="334" t="n"/>
      <c r="D383" s="334" t="n"/>
      <c r="E383" s="334" t="n"/>
      <c r="F383" s="334" t="n"/>
      <c r="G383" s="334" t="n"/>
      <c r="H383" s="334" t="n"/>
      <c r="I383" s="332">
        <f>IFERROR(VLOOKUP(TEXT(H383,"0"),IPRESS!$A$3:$B$212,2,0),"")</f>
        <v/>
      </c>
      <c r="J383" s="334" t="n"/>
      <c r="K383" s="332">
        <f>IFERROR(VLOOKUP(TEXT(O383,"0"),CONDUCTORES!$A$3:$G$54,7,0),"")</f>
        <v/>
      </c>
      <c r="L383" s="334" t="n"/>
      <c r="M383" s="334" t="n"/>
      <c r="N383" s="333">
        <f>IFERROR(IF(L383*M383=0,"",L383*M383),"")</f>
        <v/>
      </c>
      <c r="O383" s="334" t="n"/>
      <c r="P383" s="332">
        <f>IFERROR(VLOOKUP(TEXT(O383,"0"),CONDUCTORES!$A$3:$G$54,2,0),"")</f>
        <v/>
      </c>
      <c r="Q383" s="332">
        <f>IFERROR(VLOOKUP(TEXT(O383,"0"),CONDUCTORES!$A$3:$H$54,6,0),"")</f>
        <v/>
      </c>
      <c r="R383" s="334" t="n"/>
      <c r="S383" s="334" t="n"/>
      <c r="T383" s="334" t="n"/>
      <c r="U383" s="334" t="n"/>
      <c r="V383" s="334" t="n"/>
      <c r="W383" s="334" t="n"/>
      <c r="X383" s="334" t="n"/>
      <c r="Y383" s="334" t="n"/>
      <c r="Z383" s="375">
        <f>IF(AND(G383&lt;&gt;"",R383&lt;&gt;"",V383&lt;&gt;"",W383&lt;&gt;""),"COMPLETADO","OBSERVADO")</f>
        <v/>
      </c>
    </row>
    <row r="384" ht="15" customHeight="1" s="195">
      <c r="A384" s="280" t="n"/>
      <c r="B384" s="280" t="n"/>
      <c r="C384" s="280" t="n"/>
      <c r="D384" s="280" t="n"/>
      <c r="E384" s="280" t="n"/>
      <c r="F384" s="280" t="n"/>
      <c r="G384" s="280" t="n"/>
      <c r="H384" s="280" t="n"/>
      <c r="I384" s="332">
        <f>IFERROR(VLOOKUP(TEXT(H384,"0"),IPRESS!$A$3:$B$212,2,0),"")</f>
        <v/>
      </c>
      <c r="J384" s="280" t="n"/>
      <c r="K384" s="332">
        <f>IFERROR(VLOOKUP(TEXT(O384,"0"),CONDUCTORES!$A$3:$G$54,7,0),"")</f>
        <v/>
      </c>
      <c r="L384" s="280" t="n"/>
      <c r="M384" s="280" t="n"/>
      <c r="N384" s="333">
        <f>IFERROR(IF(L384*M384=0,"",L384*M384),"")</f>
        <v/>
      </c>
      <c r="O384" s="280" t="n"/>
      <c r="P384" s="332">
        <f>IFERROR(VLOOKUP(TEXT(O384,"0"),CONDUCTORES!$A$3:$G$54,2,0),"")</f>
        <v/>
      </c>
      <c r="Q384" s="332">
        <f>IFERROR(VLOOKUP(TEXT(O384,"0"),CONDUCTORES!$A$3:$H$54,6,0),"")</f>
        <v/>
      </c>
      <c r="R384" s="280" t="n"/>
      <c r="S384" s="280" t="n"/>
      <c r="T384" s="280" t="n"/>
      <c r="U384" s="280" t="n"/>
      <c r="V384" s="280" t="n"/>
      <c r="W384" s="280" t="n"/>
      <c r="X384" s="280" t="n"/>
      <c r="Y384" s="280" t="n"/>
      <c r="Z384" s="375">
        <f>IF(AND(G384&lt;&gt;"",R384&lt;&gt;"",V384&lt;&gt;"",W384&lt;&gt;""),"COMPLETADO","OBSERVADO")</f>
        <v/>
      </c>
    </row>
    <row r="385" ht="15" customHeight="1" s="195">
      <c r="A385" s="334" t="n"/>
      <c r="B385" s="334" t="n"/>
      <c r="C385" s="334" t="n"/>
      <c r="D385" s="334" t="n"/>
      <c r="E385" s="334" t="n"/>
      <c r="F385" s="334" t="n"/>
      <c r="G385" s="334" t="n"/>
      <c r="H385" s="334" t="n"/>
      <c r="I385" s="332">
        <f>IFERROR(VLOOKUP(TEXT(H385,"0"),IPRESS!$A$3:$B$212,2,0),"")</f>
        <v/>
      </c>
      <c r="J385" s="334" t="n"/>
      <c r="K385" s="332">
        <f>IFERROR(VLOOKUP(TEXT(O385,"0"),CONDUCTORES!$A$3:$G$54,7,0),"")</f>
        <v/>
      </c>
      <c r="L385" s="334" t="n"/>
      <c r="M385" s="334" t="n"/>
      <c r="N385" s="333">
        <f>IFERROR(IF(L385*M385=0,"",L385*M385),"")</f>
        <v/>
      </c>
      <c r="O385" s="334" t="n"/>
      <c r="P385" s="332">
        <f>IFERROR(VLOOKUP(TEXT(O385,"0"),CONDUCTORES!$A$3:$G$54,2,0),"")</f>
        <v/>
      </c>
      <c r="Q385" s="332">
        <f>IFERROR(VLOOKUP(TEXT(O385,"0"),CONDUCTORES!$A$3:$H$54,6,0),"")</f>
        <v/>
      </c>
      <c r="R385" s="334" t="n"/>
      <c r="S385" s="334" t="n"/>
      <c r="T385" s="334" t="n"/>
      <c r="U385" s="334" t="n"/>
      <c r="V385" s="334" t="n"/>
      <c r="W385" s="334" t="n"/>
      <c r="X385" s="334" t="n"/>
      <c r="Y385" s="334" t="n"/>
      <c r="Z385" s="375">
        <f>IF(AND(G385&lt;&gt;"",R385&lt;&gt;"",V385&lt;&gt;"",W385&lt;&gt;""),"COMPLETADO","OBSERVADO")</f>
        <v/>
      </c>
    </row>
    <row r="386" ht="15" customHeight="1" s="195">
      <c r="A386" s="280" t="n"/>
      <c r="B386" s="280" t="n"/>
      <c r="C386" s="280" t="n"/>
      <c r="D386" s="280" t="n"/>
      <c r="E386" s="280" t="n"/>
      <c r="F386" s="280" t="n"/>
      <c r="G386" s="280" t="n"/>
      <c r="H386" s="280" t="n"/>
      <c r="I386" s="332">
        <f>IFERROR(VLOOKUP(TEXT(H386,"0"),IPRESS!$A$3:$B$212,2,0),"")</f>
        <v/>
      </c>
      <c r="J386" s="280" t="n"/>
      <c r="K386" s="332">
        <f>IFERROR(VLOOKUP(TEXT(O386,"0"),CONDUCTORES!$A$3:$G$54,7,0),"")</f>
        <v/>
      </c>
      <c r="L386" s="280" t="n"/>
      <c r="M386" s="280" t="n"/>
      <c r="N386" s="333">
        <f>IFERROR(IF(L386*M386=0,"",L386*M386),"")</f>
        <v/>
      </c>
      <c r="O386" s="280" t="n"/>
      <c r="P386" s="332">
        <f>IFERROR(VLOOKUP(TEXT(O386,"0"),CONDUCTORES!$A$3:$G$54,2,0),"")</f>
        <v/>
      </c>
      <c r="Q386" s="332">
        <f>IFERROR(VLOOKUP(TEXT(O386,"0"),CONDUCTORES!$A$3:$H$54,6,0),"")</f>
        <v/>
      </c>
      <c r="R386" s="280" t="n"/>
      <c r="S386" s="280" t="n"/>
      <c r="T386" s="280" t="n"/>
      <c r="U386" s="280" t="n"/>
      <c r="V386" s="280" t="n"/>
      <c r="W386" s="280" t="n"/>
      <c r="X386" s="280" t="n"/>
      <c r="Y386" s="280" t="n"/>
      <c r="Z386" s="375">
        <f>IF(AND(G386&lt;&gt;"",R386&lt;&gt;"",V386&lt;&gt;"",W386&lt;&gt;""),"COMPLETADO","OBSERVADO")</f>
        <v/>
      </c>
    </row>
    <row r="387" ht="15" customHeight="1" s="195">
      <c r="A387" s="334" t="n"/>
      <c r="B387" s="334" t="n"/>
      <c r="C387" s="334" t="n"/>
      <c r="D387" s="334" t="n"/>
      <c r="E387" s="334" t="n"/>
      <c r="F387" s="334" t="n"/>
      <c r="G387" s="334" t="n"/>
      <c r="H387" s="334" t="n"/>
      <c r="I387" s="332">
        <f>IFERROR(VLOOKUP(TEXT(H387,"0"),IPRESS!$A$3:$B$212,2,0),"")</f>
        <v/>
      </c>
      <c r="J387" s="334" t="n"/>
      <c r="K387" s="332">
        <f>IFERROR(VLOOKUP(TEXT(O387,"0"),CONDUCTORES!$A$3:$G$54,7,0),"")</f>
        <v/>
      </c>
      <c r="L387" s="334" t="n"/>
      <c r="M387" s="334" t="n"/>
      <c r="N387" s="333">
        <f>IFERROR(IF(L387*M387=0,"",L387*M387),"")</f>
        <v/>
      </c>
      <c r="O387" s="334" t="n"/>
      <c r="P387" s="332">
        <f>IFERROR(VLOOKUP(TEXT(O387,"0"),CONDUCTORES!$A$3:$G$54,2,0),"")</f>
        <v/>
      </c>
      <c r="Q387" s="332">
        <f>IFERROR(VLOOKUP(TEXT(O387,"0"),CONDUCTORES!$A$3:$H$54,6,0),"")</f>
        <v/>
      </c>
      <c r="R387" s="334" t="n"/>
      <c r="S387" s="334" t="n"/>
      <c r="T387" s="334" t="n"/>
      <c r="U387" s="334" t="n"/>
      <c r="V387" s="334" t="n"/>
      <c r="W387" s="334" t="n"/>
      <c r="X387" s="334" t="n"/>
      <c r="Y387" s="334" t="n"/>
      <c r="Z387" s="375">
        <f>IF(AND(G387&lt;&gt;"",R387&lt;&gt;"",V387&lt;&gt;"",W387&lt;&gt;""),"COMPLETADO","OBSERVADO")</f>
        <v/>
      </c>
    </row>
    <row r="388" ht="15" customHeight="1" s="195">
      <c r="A388" s="280" t="n"/>
      <c r="B388" s="280" t="n"/>
      <c r="C388" s="280" t="n"/>
      <c r="D388" s="280" t="n"/>
      <c r="E388" s="280" t="n"/>
      <c r="F388" s="280" t="n"/>
      <c r="G388" s="280" t="n"/>
      <c r="H388" s="280" t="n"/>
      <c r="I388" s="332">
        <f>IFERROR(VLOOKUP(TEXT(H388,"0"),IPRESS!$A$3:$B$212,2,0),"")</f>
        <v/>
      </c>
      <c r="J388" s="280" t="n"/>
      <c r="K388" s="332">
        <f>IFERROR(VLOOKUP(TEXT(O388,"0"),CONDUCTORES!$A$3:$G$54,7,0),"")</f>
        <v/>
      </c>
      <c r="L388" s="280" t="n"/>
      <c r="M388" s="280" t="n"/>
      <c r="N388" s="333">
        <f>IFERROR(IF(L388*M388=0,"",L388*M388),"")</f>
        <v/>
      </c>
      <c r="O388" s="280" t="n"/>
      <c r="P388" s="332">
        <f>IFERROR(VLOOKUP(TEXT(O388,"0"),CONDUCTORES!$A$3:$G$54,2,0),"")</f>
        <v/>
      </c>
      <c r="Q388" s="332">
        <f>IFERROR(VLOOKUP(TEXT(O388,"0"),CONDUCTORES!$A$3:$H$54,6,0),"")</f>
        <v/>
      </c>
      <c r="R388" s="280" t="n"/>
      <c r="S388" s="280" t="n"/>
      <c r="T388" s="280" t="n"/>
      <c r="U388" s="280" t="n"/>
      <c r="V388" s="280" t="n"/>
      <c r="W388" s="280" t="n"/>
      <c r="X388" s="280" t="n"/>
      <c r="Y388" s="280" t="n"/>
      <c r="Z388" s="375">
        <f>IF(AND(G388&lt;&gt;"",R388&lt;&gt;"",V388&lt;&gt;"",W388&lt;&gt;""),"COMPLETADO","OBSERVADO")</f>
        <v/>
      </c>
    </row>
    <row r="389" ht="15" customHeight="1" s="195">
      <c r="A389" s="334" t="n"/>
      <c r="B389" s="334" t="n"/>
      <c r="C389" s="334" t="n"/>
      <c r="D389" s="334" t="n"/>
      <c r="E389" s="334" t="n"/>
      <c r="F389" s="334" t="n"/>
      <c r="G389" s="334" t="n"/>
      <c r="H389" s="334" t="n"/>
      <c r="I389" s="332">
        <f>IFERROR(VLOOKUP(TEXT(H389,"0"),IPRESS!$A$3:$B$212,2,0),"")</f>
        <v/>
      </c>
      <c r="J389" s="334" t="n"/>
      <c r="K389" s="332">
        <f>IFERROR(VLOOKUP(TEXT(O389,"0"),CONDUCTORES!$A$3:$G$54,7,0),"")</f>
        <v/>
      </c>
      <c r="L389" s="334" t="n"/>
      <c r="M389" s="334" t="n"/>
      <c r="N389" s="333">
        <f>IFERROR(IF(L389*M389=0,"",L389*M389),"")</f>
        <v/>
      </c>
      <c r="O389" s="334" t="n"/>
      <c r="P389" s="332">
        <f>IFERROR(VLOOKUP(TEXT(O389,"0"),CONDUCTORES!$A$3:$G$54,2,0),"")</f>
        <v/>
      </c>
      <c r="Q389" s="332">
        <f>IFERROR(VLOOKUP(TEXT(O389,"0"),CONDUCTORES!$A$3:$H$54,6,0),"")</f>
        <v/>
      </c>
      <c r="R389" s="334" t="n"/>
      <c r="S389" s="334" t="n"/>
      <c r="T389" s="334" t="n"/>
      <c r="U389" s="334" t="n"/>
      <c r="V389" s="334" t="n"/>
      <c r="W389" s="334" t="n"/>
      <c r="X389" s="334" t="n"/>
      <c r="Y389" s="334" t="n"/>
      <c r="Z389" s="375">
        <f>IF(AND(G389&lt;&gt;"",R389&lt;&gt;"",V389&lt;&gt;"",W389&lt;&gt;""),"COMPLETADO","OBSERVADO")</f>
        <v/>
      </c>
    </row>
    <row r="390" ht="15" customHeight="1" s="195">
      <c r="A390" s="280" t="n"/>
      <c r="B390" s="280" t="n"/>
      <c r="C390" s="280" t="n"/>
      <c r="D390" s="280" t="n"/>
      <c r="E390" s="280" t="n"/>
      <c r="F390" s="280" t="n"/>
      <c r="G390" s="280" t="n"/>
      <c r="H390" s="280" t="n"/>
      <c r="I390" s="332">
        <f>IFERROR(VLOOKUP(TEXT(H390,"0"),IPRESS!$A$3:$B$212,2,0),"")</f>
        <v/>
      </c>
      <c r="J390" s="280" t="n"/>
      <c r="K390" s="332">
        <f>IFERROR(VLOOKUP(TEXT(O390,"0"),CONDUCTORES!$A$3:$G$54,7,0),"")</f>
        <v/>
      </c>
      <c r="L390" s="280" t="n"/>
      <c r="M390" s="280" t="n"/>
      <c r="N390" s="333">
        <f>IFERROR(IF(L390*M390=0,"",L390*M390),"")</f>
        <v/>
      </c>
      <c r="O390" s="280" t="n"/>
      <c r="P390" s="332">
        <f>IFERROR(VLOOKUP(TEXT(O390,"0"),CONDUCTORES!$A$3:$G$54,2,0),"")</f>
        <v/>
      </c>
      <c r="Q390" s="332">
        <f>IFERROR(VLOOKUP(TEXT(O390,"0"),CONDUCTORES!$A$3:$H$54,6,0),"")</f>
        <v/>
      </c>
      <c r="R390" s="280" t="n"/>
      <c r="S390" s="280" t="n"/>
      <c r="T390" s="280" t="n"/>
      <c r="U390" s="280" t="n"/>
      <c r="V390" s="280" t="n"/>
      <c r="W390" s="280" t="n"/>
      <c r="X390" s="280" t="n"/>
      <c r="Y390" s="280" t="n"/>
      <c r="Z390" s="375">
        <f>IF(AND(G390&lt;&gt;"",R390&lt;&gt;"",V390&lt;&gt;"",W390&lt;&gt;""),"COMPLETADO","OBSERVADO")</f>
        <v/>
      </c>
    </row>
    <row r="391" ht="15" customHeight="1" s="195">
      <c r="A391" s="334" t="n"/>
      <c r="B391" s="334" t="n"/>
      <c r="C391" s="334" t="n"/>
      <c r="D391" s="334" t="n"/>
      <c r="E391" s="334" t="n"/>
      <c r="F391" s="334" t="n"/>
      <c r="G391" s="334" t="n"/>
      <c r="H391" s="334" t="n"/>
      <c r="I391" s="332">
        <f>IFERROR(VLOOKUP(TEXT(H391,"0"),IPRESS!$A$3:$B$212,2,0),"")</f>
        <v/>
      </c>
      <c r="J391" s="334" t="n"/>
      <c r="K391" s="332">
        <f>IFERROR(VLOOKUP(TEXT(O391,"0"),CONDUCTORES!$A$3:$G$54,7,0),"")</f>
        <v/>
      </c>
      <c r="L391" s="334" t="n"/>
      <c r="M391" s="334" t="n"/>
      <c r="N391" s="333">
        <f>IFERROR(IF(L391*M391=0,"",L391*M391),"")</f>
        <v/>
      </c>
      <c r="O391" s="334" t="n"/>
      <c r="P391" s="332">
        <f>IFERROR(VLOOKUP(TEXT(O391,"0"),CONDUCTORES!$A$3:$G$54,2,0),"")</f>
        <v/>
      </c>
      <c r="Q391" s="332">
        <f>IFERROR(VLOOKUP(TEXT(O391,"0"),CONDUCTORES!$A$3:$H$54,6,0),"")</f>
        <v/>
      </c>
      <c r="R391" s="334" t="n"/>
      <c r="S391" s="334" t="n"/>
      <c r="T391" s="334" t="n"/>
      <c r="U391" s="334" t="n"/>
      <c r="V391" s="334" t="n"/>
      <c r="W391" s="334" t="n"/>
      <c r="X391" s="334" t="n"/>
      <c r="Y391" s="334" t="n"/>
      <c r="Z391" s="375">
        <f>IF(AND(G391&lt;&gt;"",R391&lt;&gt;"",V391&lt;&gt;"",W391&lt;&gt;""),"COMPLETADO","OBSERVADO")</f>
        <v/>
      </c>
    </row>
    <row r="392" ht="15" customHeight="1" s="195">
      <c r="A392" s="280" t="n"/>
      <c r="B392" s="280" t="n"/>
      <c r="C392" s="280" t="n"/>
      <c r="D392" s="280" t="n"/>
      <c r="E392" s="280" t="n"/>
      <c r="F392" s="280" t="n"/>
      <c r="G392" s="280" t="n"/>
      <c r="H392" s="280" t="n"/>
      <c r="I392" s="332">
        <f>IFERROR(VLOOKUP(TEXT(H392,"0"),IPRESS!$A$3:$B$212,2,0),"")</f>
        <v/>
      </c>
      <c r="J392" s="280" t="n"/>
      <c r="K392" s="332">
        <f>IFERROR(VLOOKUP(TEXT(O392,"0"),CONDUCTORES!$A$3:$G$54,7,0),"")</f>
        <v/>
      </c>
      <c r="L392" s="280" t="n"/>
      <c r="M392" s="280" t="n"/>
      <c r="N392" s="333">
        <f>IFERROR(IF(L392*M392=0,"",L392*M392),"")</f>
        <v/>
      </c>
      <c r="O392" s="280" t="n"/>
      <c r="P392" s="332">
        <f>IFERROR(VLOOKUP(TEXT(O392,"0"),CONDUCTORES!$A$3:$G$54,2,0),"")</f>
        <v/>
      </c>
      <c r="Q392" s="332">
        <f>IFERROR(VLOOKUP(TEXT(O392,"0"),CONDUCTORES!$A$3:$H$54,6,0),"")</f>
        <v/>
      </c>
      <c r="R392" s="280" t="n"/>
      <c r="S392" s="280" t="n"/>
      <c r="T392" s="280" t="n"/>
      <c r="U392" s="280" t="n"/>
      <c r="V392" s="280" t="n"/>
      <c r="W392" s="280" t="n"/>
      <c r="X392" s="280" t="n"/>
      <c r="Y392" s="280" t="n"/>
      <c r="Z392" s="375">
        <f>IF(AND(G392&lt;&gt;"",R392&lt;&gt;"",V392&lt;&gt;"",W392&lt;&gt;""),"COMPLETADO","OBSERVADO")</f>
        <v/>
      </c>
    </row>
    <row r="393" ht="15" customHeight="1" s="195">
      <c r="A393" s="334" t="n"/>
      <c r="B393" s="334" t="n"/>
      <c r="C393" s="334" t="n"/>
      <c r="D393" s="334" t="n"/>
      <c r="E393" s="334" t="n"/>
      <c r="F393" s="334" t="n"/>
      <c r="G393" s="334" t="n"/>
      <c r="H393" s="334" t="n"/>
      <c r="I393" s="332">
        <f>IFERROR(VLOOKUP(TEXT(H393,"0"),IPRESS!$A$3:$B$212,2,0),"")</f>
        <v/>
      </c>
      <c r="J393" s="334" t="n"/>
      <c r="K393" s="332">
        <f>IFERROR(VLOOKUP(TEXT(O393,"0"),CONDUCTORES!$A$3:$G$54,7,0),"")</f>
        <v/>
      </c>
      <c r="L393" s="334" t="n"/>
      <c r="M393" s="334" t="n"/>
      <c r="N393" s="333">
        <f>IFERROR(IF(L393*M393=0,"",L393*M393),"")</f>
        <v/>
      </c>
      <c r="O393" s="334" t="n"/>
      <c r="P393" s="332">
        <f>IFERROR(VLOOKUP(TEXT(O393,"0"),CONDUCTORES!$A$3:$G$54,2,0),"")</f>
        <v/>
      </c>
      <c r="Q393" s="332">
        <f>IFERROR(VLOOKUP(TEXT(O393,"0"),CONDUCTORES!$A$3:$H$54,6,0),"")</f>
        <v/>
      </c>
      <c r="R393" s="334" t="n"/>
      <c r="S393" s="334" t="n"/>
      <c r="T393" s="334" t="n"/>
      <c r="U393" s="334" t="n"/>
      <c r="V393" s="334" t="n"/>
      <c r="W393" s="334" t="n"/>
      <c r="X393" s="334" t="n"/>
      <c r="Y393" s="334" t="n"/>
      <c r="Z393" s="375">
        <f>IF(AND(G393&lt;&gt;"",R393&lt;&gt;"",V393&lt;&gt;"",W393&lt;&gt;""),"COMPLETADO","OBSERVADO")</f>
        <v/>
      </c>
    </row>
    <row r="394" ht="15" customHeight="1" s="195">
      <c r="A394" s="280" t="n"/>
      <c r="B394" s="280" t="n"/>
      <c r="C394" s="280" t="n"/>
      <c r="D394" s="280" t="n"/>
      <c r="E394" s="280" t="n"/>
      <c r="F394" s="280" t="n"/>
      <c r="G394" s="280" t="n"/>
      <c r="H394" s="280" t="n"/>
      <c r="I394" s="332">
        <f>IFERROR(VLOOKUP(TEXT(H394,"0"),IPRESS!$A$3:$B$212,2,0),"")</f>
        <v/>
      </c>
      <c r="J394" s="280" t="n"/>
      <c r="K394" s="332">
        <f>IFERROR(VLOOKUP(TEXT(O394,"0"),CONDUCTORES!$A$3:$G$54,7,0),"")</f>
        <v/>
      </c>
      <c r="L394" s="280" t="n"/>
      <c r="M394" s="280" t="n"/>
      <c r="N394" s="333">
        <f>IFERROR(IF(L394*M394=0,"",L394*M394),"")</f>
        <v/>
      </c>
      <c r="O394" s="280" t="n"/>
      <c r="P394" s="332">
        <f>IFERROR(VLOOKUP(TEXT(O394,"0"),CONDUCTORES!$A$3:$G$54,2,0),"")</f>
        <v/>
      </c>
      <c r="Q394" s="332">
        <f>IFERROR(VLOOKUP(TEXT(O394,"0"),CONDUCTORES!$A$3:$H$54,6,0),"")</f>
        <v/>
      </c>
      <c r="R394" s="280" t="n"/>
      <c r="S394" s="280" t="n"/>
      <c r="T394" s="280" t="n"/>
      <c r="U394" s="280" t="n"/>
      <c r="V394" s="280" t="n"/>
      <c r="W394" s="280" t="n"/>
      <c r="X394" s="280" t="n"/>
      <c r="Y394" s="280" t="n"/>
      <c r="Z394" s="375">
        <f>IF(AND(G394&lt;&gt;"",R394&lt;&gt;"",V394&lt;&gt;"",W394&lt;&gt;""),"COMPLETADO","OBSERVADO")</f>
        <v/>
      </c>
    </row>
    <row r="395" ht="15" customHeight="1" s="195">
      <c r="A395" s="334" t="n"/>
      <c r="B395" s="334" t="n"/>
      <c r="C395" s="334" t="n"/>
      <c r="D395" s="334" t="n"/>
      <c r="E395" s="334" t="n"/>
      <c r="F395" s="334" t="n"/>
      <c r="G395" s="334" t="n"/>
      <c r="H395" s="334" t="n"/>
      <c r="I395" s="332">
        <f>IFERROR(VLOOKUP(TEXT(H395,"0"),IPRESS!$A$3:$B$212,2,0),"")</f>
        <v/>
      </c>
      <c r="J395" s="334" t="n"/>
      <c r="K395" s="332">
        <f>IFERROR(VLOOKUP(TEXT(O395,"0"),CONDUCTORES!$A$3:$G$54,7,0),"")</f>
        <v/>
      </c>
      <c r="L395" s="334" t="n"/>
      <c r="M395" s="334" t="n"/>
      <c r="N395" s="333">
        <f>IFERROR(IF(L395*M395=0,"",L395*M395),"")</f>
        <v/>
      </c>
      <c r="O395" s="334" t="n"/>
      <c r="P395" s="332">
        <f>IFERROR(VLOOKUP(TEXT(O395,"0"),CONDUCTORES!$A$3:$G$54,2,0),"")</f>
        <v/>
      </c>
      <c r="Q395" s="332">
        <f>IFERROR(VLOOKUP(TEXT(O395,"0"),CONDUCTORES!$A$3:$H$54,6,0),"")</f>
        <v/>
      </c>
      <c r="R395" s="334" t="n"/>
      <c r="S395" s="334" t="n"/>
      <c r="T395" s="334" t="n"/>
      <c r="U395" s="334" t="n"/>
      <c r="V395" s="334" t="n"/>
      <c r="W395" s="334" t="n"/>
      <c r="X395" s="334" t="n"/>
      <c r="Y395" s="334" t="n"/>
      <c r="Z395" s="375">
        <f>IF(AND(G395&lt;&gt;"",R395&lt;&gt;"",V395&lt;&gt;"",W395&lt;&gt;""),"COMPLETADO","OBSERVADO")</f>
        <v/>
      </c>
    </row>
    <row r="396" ht="15" customHeight="1" s="195">
      <c r="A396" s="280" t="n"/>
      <c r="B396" s="280" t="n"/>
      <c r="C396" s="280" t="n"/>
      <c r="D396" s="280" t="n"/>
      <c r="E396" s="280" t="n"/>
      <c r="F396" s="280" t="n"/>
      <c r="G396" s="280" t="n"/>
      <c r="H396" s="280" t="n"/>
      <c r="I396" s="332">
        <f>IFERROR(VLOOKUP(TEXT(H396,"0"),IPRESS!$A$3:$B$212,2,0),"")</f>
        <v/>
      </c>
      <c r="J396" s="280" t="n"/>
      <c r="K396" s="332">
        <f>IFERROR(VLOOKUP(TEXT(O396,"0"),CONDUCTORES!$A$3:$G$54,7,0),"")</f>
        <v/>
      </c>
      <c r="L396" s="280" t="n"/>
      <c r="M396" s="280" t="n"/>
      <c r="N396" s="333">
        <f>IFERROR(IF(L396*M396=0,"",L396*M396),"")</f>
        <v/>
      </c>
      <c r="O396" s="280" t="n"/>
      <c r="P396" s="332">
        <f>IFERROR(VLOOKUP(TEXT(O396,"0"),CONDUCTORES!$A$3:$G$54,2,0),"")</f>
        <v/>
      </c>
      <c r="Q396" s="332">
        <f>IFERROR(VLOOKUP(TEXT(O396,"0"),CONDUCTORES!$A$3:$H$54,6,0),"")</f>
        <v/>
      </c>
      <c r="R396" s="280" t="n"/>
      <c r="S396" s="280" t="n"/>
      <c r="T396" s="280" t="n"/>
      <c r="U396" s="280" t="n"/>
      <c r="V396" s="280" t="n"/>
      <c r="W396" s="280" t="n"/>
      <c r="X396" s="280" t="n"/>
      <c r="Y396" s="280" t="n"/>
      <c r="Z396" s="375">
        <f>IF(AND(G396&lt;&gt;"",R396&lt;&gt;"",V396&lt;&gt;"",W396&lt;&gt;""),"COMPLETADO","OBSERVADO")</f>
        <v/>
      </c>
    </row>
    <row r="397" ht="15" customHeight="1" s="195">
      <c r="A397" s="334" t="n"/>
      <c r="B397" s="334" t="n"/>
      <c r="C397" s="334" t="n"/>
      <c r="D397" s="334" t="n"/>
      <c r="E397" s="334" t="n"/>
      <c r="F397" s="334" t="n"/>
      <c r="G397" s="334" t="n"/>
      <c r="H397" s="334" t="n"/>
      <c r="I397" s="332">
        <f>IFERROR(VLOOKUP(TEXT(H397,"0"),IPRESS!$A$3:$B$212,2,0),"")</f>
        <v/>
      </c>
      <c r="J397" s="334" t="n"/>
      <c r="K397" s="332">
        <f>IFERROR(VLOOKUP(TEXT(O397,"0"),CONDUCTORES!$A$3:$G$54,7,0),"")</f>
        <v/>
      </c>
      <c r="L397" s="334" t="n"/>
      <c r="M397" s="334" t="n"/>
      <c r="N397" s="333">
        <f>IFERROR(IF(L397*M397=0,"",L397*M397),"")</f>
        <v/>
      </c>
      <c r="O397" s="334" t="n"/>
      <c r="P397" s="332">
        <f>IFERROR(VLOOKUP(TEXT(O397,"0"),CONDUCTORES!$A$3:$G$54,2,0),"")</f>
        <v/>
      </c>
      <c r="Q397" s="332">
        <f>IFERROR(VLOOKUP(TEXT(O397,"0"),CONDUCTORES!$A$3:$H$54,6,0),"")</f>
        <v/>
      </c>
      <c r="R397" s="334" t="n"/>
      <c r="S397" s="334" t="n"/>
      <c r="T397" s="334" t="n"/>
      <c r="U397" s="334" t="n"/>
      <c r="V397" s="334" t="n"/>
      <c r="W397" s="334" t="n"/>
      <c r="X397" s="334" t="n"/>
      <c r="Y397" s="334" t="n"/>
      <c r="Z397" s="375">
        <f>IF(AND(G397&lt;&gt;"",R397&lt;&gt;"",V397&lt;&gt;"",W397&lt;&gt;""),"COMPLETADO","OBSERVADO")</f>
        <v/>
      </c>
    </row>
    <row r="398" ht="15" customHeight="1" s="195">
      <c r="A398" s="280" t="n"/>
      <c r="B398" s="280" t="n"/>
      <c r="C398" s="280" t="n"/>
      <c r="D398" s="280" t="n"/>
      <c r="E398" s="280" t="n"/>
      <c r="F398" s="280" t="n"/>
      <c r="G398" s="280" t="n"/>
      <c r="H398" s="280" t="n"/>
      <c r="I398" s="332">
        <f>IFERROR(VLOOKUP(TEXT(H398,"0"),IPRESS!$A$3:$B$212,2,0),"")</f>
        <v/>
      </c>
      <c r="J398" s="280" t="n"/>
      <c r="K398" s="332">
        <f>IFERROR(VLOOKUP(TEXT(O398,"0"),CONDUCTORES!$A$3:$G$54,7,0),"")</f>
        <v/>
      </c>
      <c r="L398" s="280" t="n"/>
      <c r="M398" s="280" t="n"/>
      <c r="N398" s="333">
        <f>IFERROR(IF(L398*M398=0,"",L398*M398),"")</f>
        <v/>
      </c>
      <c r="O398" s="280" t="n"/>
      <c r="P398" s="332">
        <f>IFERROR(VLOOKUP(TEXT(O398,"0"),CONDUCTORES!$A$3:$G$54,2,0),"")</f>
        <v/>
      </c>
      <c r="Q398" s="332">
        <f>IFERROR(VLOOKUP(TEXT(O398,"0"),CONDUCTORES!$A$3:$H$54,6,0),"")</f>
        <v/>
      </c>
      <c r="R398" s="280" t="n"/>
      <c r="S398" s="280" t="n"/>
      <c r="T398" s="280" t="n"/>
      <c r="U398" s="280" t="n"/>
      <c r="V398" s="280" t="n"/>
      <c r="W398" s="280" t="n"/>
      <c r="X398" s="280" t="n"/>
      <c r="Y398" s="280" t="n"/>
      <c r="Z398" s="375">
        <f>IF(AND(G398&lt;&gt;"",R398&lt;&gt;"",V398&lt;&gt;"",W398&lt;&gt;""),"COMPLETADO","OBSERVADO")</f>
        <v/>
      </c>
    </row>
    <row r="399" ht="15" customHeight="1" s="195">
      <c r="A399" s="334" t="n"/>
      <c r="B399" s="334" t="n"/>
      <c r="C399" s="334" t="n"/>
      <c r="D399" s="334" t="n"/>
      <c r="E399" s="334" t="n"/>
      <c r="F399" s="334" t="n"/>
      <c r="G399" s="334" t="n"/>
      <c r="H399" s="334" t="n"/>
      <c r="I399" s="332">
        <f>IFERROR(VLOOKUP(TEXT(H399,"0"),IPRESS!$A$3:$B$212,2,0),"")</f>
        <v/>
      </c>
      <c r="J399" s="334" t="n"/>
      <c r="K399" s="332">
        <f>IFERROR(VLOOKUP(TEXT(O399,"0"),CONDUCTORES!$A$3:$G$54,7,0),"")</f>
        <v/>
      </c>
      <c r="L399" s="334" t="n"/>
      <c r="M399" s="334" t="n"/>
      <c r="N399" s="333">
        <f>IFERROR(IF(L399*M399=0,"",L399*M399),"")</f>
        <v/>
      </c>
      <c r="O399" s="334" t="n"/>
      <c r="P399" s="332">
        <f>IFERROR(VLOOKUP(TEXT(O399,"0"),CONDUCTORES!$A$3:$G$54,2,0),"")</f>
        <v/>
      </c>
      <c r="Q399" s="332">
        <f>IFERROR(VLOOKUP(TEXT(O399,"0"),CONDUCTORES!$A$3:$H$54,6,0),"")</f>
        <v/>
      </c>
      <c r="R399" s="334" t="n"/>
      <c r="S399" s="334" t="n"/>
      <c r="T399" s="334" t="n"/>
      <c r="U399" s="334" t="n"/>
      <c r="V399" s="334" t="n"/>
      <c r="W399" s="334" t="n"/>
      <c r="X399" s="334" t="n"/>
      <c r="Y399" s="334" t="n"/>
      <c r="Z399" s="375">
        <f>IF(AND(G399&lt;&gt;"",R399&lt;&gt;"",V399&lt;&gt;"",W399&lt;&gt;""),"COMPLETADO","OBSERVADO")</f>
        <v/>
      </c>
    </row>
    <row r="400" ht="15" customHeight="1" s="195">
      <c r="A400" s="280" t="n"/>
      <c r="B400" s="280" t="n"/>
      <c r="C400" s="280" t="n"/>
      <c r="D400" s="280" t="n"/>
      <c r="E400" s="280" t="n"/>
      <c r="F400" s="280" t="n"/>
      <c r="G400" s="280" t="n"/>
      <c r="H400" s="280" t="n"/>
      <c r="I400" s="332">
        <f>IFERROR(VLOOKUP(TEXT(H400,"0"),IPRESS!$A$3:$B$212,2,0),"")</f>
        <v/>
      </c>
      <c r="J400" s="280" t="n"/>
      <c r="K400" s="332">
        <f>IFERROR(VLOOKUP(TEXT(O400,"0"),CONDUCTORES!$A$3:$G$54,7,0),"")</f>
        <v/>
      </c>
      <c r="L400" s="280" t="n"/>
      <c r="M400" s="280" t="n"/>
      <c r="N400" s="333">
        <f>IFERROR(IF(L400*M400=0,"",L400*M400),"")</f>
        <v/>
      </c>
      <c r="O400" s="280" t="n"/>
      <c r="P400" s="332">
        <f>IFERROR(VLOOKUP(TEXT(O400,"0"),CONDUCTORES!$A$3:$G$54,2,0),"")</f>
        <v/>
      </c>
      <c r="Q400" s="332">
        <f>IFERROR(VLOOKUP(TEXT(O400,"0"),CONDUCTORES!$A$3:$H$54,6,0),"")</f>
        <v/>
      </c>
      <c r="R400" s="280" t="n"/>
      <c r="S400" s="280" t="n"/>
      <c r="T400" s="280" t="n"/>
      <c r="U400" s="280" t="n"/>
      <c r="V400" s="280" t="n"/>
      <c r="W400" s="280" t="n"/>
      <c r="X400" s="280" t="n"/>
      <c r="Y400" s="280" t="n"/>
      <c r="Z400" s="375">
        <f>IF(AND(G400&lt;&gt;"",R400&lt;&gt;"",V400&lt;&gt;"",W400&lt;&gt;""),"COMPLETADO","OBSERVADO")</f>
        <v/>
      </c>
    </row>
    <row r="401" ht="15" customHeight="1" s="195">
      <c r="A401" s="334" t="n"/>
      <c r="B401" s="334" t="n"/>
      <c r="C401" s="334" t="n"/>
      <c r="D401" s="334" t="n"/>
      <c r="E401" s="334" t="n"/>
      <c r="F401" s="334" t="n"/>
      <c r="G401" s="334" t="n"/>
      <c r="H401" s="334" t="n"/>
      <c r="I401" s="332">
        <f>IFERROR(VLOOKUP(TEXT(H401,"0"),IPRESS!$A$3:$B$212,2,0),"")</f>
        <v/>
      </c>
      <c r="J401" s="334" t="n"/>
      <c r="K401" s="332">
        <f>IFERROR(VLOOKUP(TEXT(O401,"0"),CONDUCTORES!$A$3:$G$54,7,0),"")</f>
        <v/>
      </c>
      <c r="L401" s="334" t="n"/>
      <c r="M401" s="334" t="n"/>
      <c r="N401" s="333">
        <f>IFERROR(IF(L401*M401=0,"",L401*M401),"")</f>
        <v/>
      </c>
      <c r="O401" s="334" t="n"/>
      <c r="P401" s="332">
        <f>IFERROR(VLOOKUP(TEXT(O401,"0"),CONDUCTORES!$A$3:$G$54,2,0),"")</f>
        <v/>
      </c>
      <c r="Q401" s="332">
        <f>IFERROR(VLOOKUP(TEXT(O401,"0"),CONDUCTORES!$A$3:$H$54,6,0),"")</f>
        <v/>
      </c>
      <c r="R401" s="334" t="n"/>
      <c r="S401" s="334" t="n"/>
      <c r="T401" s="334" t="n"/>
      <c r="U401" s="334" t="n"/>
      <c r="V401" s="334" t="n"/>
      <c r="W401" s="334" t="n"/>
      <c r="X401" s="334" t="n"/>
      <c r="Y401" s="334" t="n"/>
      <c r="Z401" s="375">
        <f>IF(AND(G401&lt;&gt;"",R401&lt;&gt;"",V401&lt;&gt;"",W401&lt;&gt;""),"COMPLETADO","OBSERVADO")</f>
        <v/>
      </c>
    </row>
    <row r="402" ht="15" customHeight="1" s="195">
      <c r="A402" s="280" t="n"/>
      <c r="B402" s="280" t="n"/>
      <c r="C402" s="280" t="n"/>
      <c r="D402" s="280" t="n"/>
      <c r="E402" s="280" t="n"/>
      <c r="F402" s="280" t="n"/>
      <c r="G402" s="280" t="n"/>
      <c r="H402" s="280" t="n"/>
      <c r="I402" s="332">
        <f>IFERROR(VLOOKUP(TEXT(H402,"0"),IPRESS!$A$3:$B$212,2,0),"")</f>
        <v/>
      </c>
      <c r="J402" s="280" t="n"/>
      <c r="K402" s="332">
        <f>IFERROR(VLOOKUP(TEXT(O402,"0"),CONDUCTORES!$A$3:$G$54,7,0),"")</f>
        <v/>
      </c>
      <c r="L402" s="280" t="n"/>
      <c r="M402" s="280" t="n"/>
      <c r="N402" s="333">
        <f>IFERROR(IF(L402*M402=0,"",L402*M402),"")</f>
        <v/>
      </c>
      <c r="O402" s="280" t="n"/>
      <c r="P402" s="332">
        <f>IFERROR(VLOOKUP(TEXT(O402,"0"),CONDUCTORES!$A$3:$G$54,2,0),"")</f>
        <v/>
      </c>
      <c r="Q402" s="332">
        <f>IFERROR(VLOOKUP(TEXT(O402,"0"),CONDUCTORES!$A$3:$H$54,6,0),"")</f>
        <v/>
      </c>
      <c r="R402" s="280" t="n"/>
      <c r="S402" s="280" t="n"/>
      <c r="T402" s="280" t="n"/>
      <c r="U402" s="280" t="n"/>
      <c r="V402" s="280" t="n"/>
      <c r="W402" s="280" t="n"/>
      <c r="X402" s="280" t="n"/>
      <c r="Y402" s="280" t="n"/>
      <c r="Z402" s="375">
        <f>IF(AND(G402&lt;&gt;"",R402&lt;&gt;"",V402&lt;&gt;"",W402&lt;&gt;""),"COMPLETADO","OBSERVADO")</f>
        <v/>
      </c>
    </row>
    <row r="403" ht="15" customHeight="1" s="195">
      <c r="A403" s="334" t="n"/>
      <c r="B403" s="334" t="n"/>
      <c r="C403" s="334" t="n"/>
      <c r="D403" s="334" t="n"/>
      <c r="E403" s="334" t="n"/>
      <c r="F403" s="334" t="n"/>
      <c r="G403" s="334" t="n"/>
      <c r="H403" s="334" t="n"/>
      <c r="I403" s="332">
        <f>IFERROR(VLOOKUP(TEXT(H403,"0"),IPRESS!$A$3:$B$212,2,0),"")</f>
        <v/>
      </c>
      <c r="J403" s="334" t="n"/>
      <c r="K403" s="332">
        <f>IFERROR(VLOOKUP(TEXT(O403,"0"),CONDUCTORES!$A$3:$G$54,7,0),"")</f>
        <v/>
      </c>
      <c r="L403" s="334" t="n"/>
      <c r="M403" s="334" t="n"/>
      <c r="N403" s="333">
        <f>IFERROR(IF(L403*M403=0,"",L403*M403),"")</f>
        <v/>
      </c>
      <c r="O403" s="334" t="n"/>
      <c r="P403" s="332">
        <f>IFERROR(VLOOKUP(TEXT(O403,"0"),CONDUCTORES!$A$3:$G$54,2,0),"")</f>
        <v/>
      </c>
      <c r="Q403" s="332">
        <f>IFERROR(VLOOKUP(TEXT(O403,"0"),CONDUCTORES!$A$3:$H$54,6,0),"")</f>
        <v/>
      </c>
      <c r="R403" s="334" t="n"/>
      <c r="S403" s="334" t="n"/>
      <c r="T403" s="334" t="n"/>
      <c r="U403" s="334" t="n"/>
      <c r="V403" s="334" t="n"/>
      <c r="W403" s="334" t="n"/>
      <c r="X403" s="334" t="n"/>
      <c r="Y403" s="334" t="n"/>
      <c r="Z403" s="375">
        <f>IF(AND(G403&lt;&gt;"",R403&lt;&gt;"",V403&lt;&gt;"",W403&lt;&gt;""),"COMPLETADO","OBSERVADO")</f>
        <v/>
      </c>
    </row>
    <row r="404" ht="15" customHeight="1" s="195">
      <c r="A404" s="280" t="n"/>
      <c r="B404" s="280" t="n"/>
      <c r="C404" s="280" t="n"/>
      <c r="D404" s="280" t="n"/>
      <c r="E404" s="280" t="n"/>
      <c r="F404" s="280" t="n"/>
      <c r="G404" s="280" t="n"/>
      <c r="H404" s="280" t="n"/>
      <c r="I404" s="332">
        <f>IFERROR(VLOOKUP(TEXT(H404,"0"),IPRESS!$A$3:$B$212,2,0),"")</f>
        <v/>
      </c>
      <c r="J404" s="280" t="n"/>
      <c r="K404" s="332">
        <f>IFERROR(VLOOKUP(TEXT(O404,"0"),CONDUCTORES!$A$3:$G$54,7,0),"")</f>
        <v/>
      </c>
      <c r="L404" s="280" t="n"/>
      <c r="M404" s="280" t="n"/>
      <c r="N404" s="333">
        <f>IFERROR(IF(L404*M404=0,"",L404*M404),"")</f>
        <v/>
      </c>
      <c r="O404" s="280" t="n"/>
      <c r="P404" s="332">
        <f>IFERROR(VLOOKUP(TEXT(O404,"0"),CONDUCTORES!$A$3:$G$54,2,0),"")</f>
        <v/>
      </c>
      <c r="Q404" s="332">
        <f>IFERROR(VLOOKUP(TEXT(O404,"0"),CONDUCTORES!$A$3:$H$54,6,0),"")</f>
        <v/>
      </c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375">
        <f>IF(AND(G404&lt;&gt;"",R404&lt;&gt;"",V404&lt;&gt;"",W404&lt;&gt;""),"COMPLETADO","OBSERVADO")</f>
        <v/>
      </c>
    </row>
    <row r="405" ht="15" customHeight="1" s="195">
      <c r="A405" s="334" t="n"/>
      <c r="B405" s="334" t="n"/>
      <c r="C405" s="334" t="n"/>
      <c r="D405" s="334" t="n"/>
      <c r="E405" s="334" t="n"/>
      <c r="F405" s="334" t="n"/>
      <c r="G405" s="334" t="n"/>
      <c r="H405" s="334" t="n"/>
      <c r="I405" s="332">
        <f>IFERROR(VLOOKUP(TEXT(H405,"0"),IPRESS!$A$3:$B$212,2,0),"")</f>
        <v/>
      </c>
      <c r="J405" s="334" t="n"/>
      <c r="K405" s="332">
        <f>IFERROR(VLOOKUP(TEXT(O405,"0"),CONDUCTORES!$A$3:$G$54,7,0),"")</f>
        <v/>
      </c>
      <c r="L405" s="334" t="n"/>
      <c r="M405" s="334" t="n"/>
      <c r="N405" s="333">
        <f>IFERROR(IF(L405*M405=0,"",L405*M405),"")</f>
        <v/>
      </c>
      <c r="O405" s="334" t="n"/>
      <c r="P405" s="332">
        <f>IFERROR(VLOOKUP(TEXT(O405,"0"),CONDUCTORES!$A$3:$G$54,2,0),"")</f>
        <v/>
      </c>
      <c r="Q405" s="332">
        <f>IFERROR(VLOOKUP(TEXT(O405,"0"),CONDUCTORES!$A$3:$H$54,6,0),"")</f>
        <v/>
      </c>
      <c r="R405" s="334" t="n"/>
      <c r="S405" s="334" t="n"/>
      <c r="T405" s="334" t="n"/>
      <c r="U405" s="334" t="n"/>
      <c r="V405" s="334" t="n"/>
      <c r="W405" s="334" t="n"/>
      <c r="X405" s="334" t="n"/>
      <c r="Y405" s="334" t="n"/>
      <c r="Z405" s="375">
        <f>IF(AND(G405&lt;&gt;"",R405&lt;&gt;"",V405&lt;&gt;"",W405&lt;&gt;""),"COMPLETADO","OBSERVADO")</f>
        <v/>
      </c>
    </row>
    <row r="406" ht="15" customHeight="1" s="195">
      <c r="A406" s="280" t="n"/>
      <c r="B406" s="280" t="n"/>
      <c r="C406" s="280" t="n"/>
      <c r="D406" s="280" t="n"/>
      <c r="E406" s="280" t="n"/>
      <c r="F406" s="280" t="n"/>
      <c r="G406" s="280" t="n"/>
      <c r="H406" s="280" t="n"/>
      <c r="I406" s="332">
        <f>IFERROR(VLOOKUP(TEXT(H406,"0"),IPRESS!$A$3:$B$212,2,0),"")</f>
        <v/>
      </c>
      <c r="J406" s="280" t="n"/>
      <c r="K406" s="332">
        <f>IFERROR(VLOOKUP(TEXT(O406,"0"),CONDUCTORES!$A$3:$G$54,7,0),"")</f>
        <v/>
      </c>
      <c r="L406" s="280" t="n"/>
      <c r="M406" s="280" t="n"/>
      <c r="N406" s="333">
        <f>IFERROR(IF(L406*M406=0,"",L406*M406),"")</f>
        <v/>
      </c>
      <c r="O406" s="280" t="n"/>
      <c r="P406" s="332">
        <f>IFERROR(VLOOKUP(TEXT(O406,"0"),CONDUCTORES!$A$3:$G$54,2,0),"")</f>
        <v/>
      </c>
      <c r="Q406" s="332">
        <f>IFERROR(VLOOKUP(TEXT(O406,"0"),CONDUCTORES!$A$3:$H$54,6,0),"")</f>
        <v/>
      </c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375">
        <f>IF(AND(G406&lt;&gt;"",R406&lt;&gt;"",V406&lt;&gt;"",W406&lt;&gt;""),"COMPLETADO","OBSERVADO")</f>
        <v/>
      </c>
    </row>
    <row r="407" ht="15" customHeight="1" s="195">
      <c r="A407" s="334" t="n"/>
      <c r="B407" s="334" t="n"/>
      <c r="C407" s="334" t="n"/>
      <c r="D407" s="334" t="n"/>
      <c r="E407" s="334" t="n"/>
      <c r="F407" s="334" t="n"/>
      <c r="G407" s="334" t="n"/>
      <c r="H407" s="334" t="n"/>
      <c r="I407" s="332">
        <f>IFERROR(VLOOKUP(TEXT(H407,"0"),IPRESS!$A$3:$B$212,2,0),"")</f>
        <v/>
      </c>
      <c r="J407" s="334" t="n"/>
      <c r="K407" s="332">
        <f>IFERROR(VLOOKUP(TEXT(O407,"0"),CONDUCTORES!$A$3:$G$54,7,0),"")</f>
        <v/>
      </c>
      <c r="L407" s="334" t="n"/>
      <c r="M407" s="334" t="n"/>
      <c r="N407" s="333">
        <f>IFERROR(IF(L407*M407=0,"",L407*M407),"")</f>
        <v/>
      </c>
      <c r="O407" s="334" t="n"/>
      <c r="P407" s="332">
        <f>IFERROR(VLOOKUP(TEXT(O407,"0"),CONDUCTORES!$A$3:$G$54,2,0),"")</f>
        <v/>
      </c>
      <c r="Q407" s="332">
        <f>IFERROR(VLOOKUP(TEXT(O407,"0"),CONDUCTORES!$A$3:$H$54,6,0),"")</f>
        <v/>
      </c>
      <c r="R407" s="334" t="n"/>
      <c r="S407" s="334" t="n"/>
      <c r="T407" s="334" t="n"/>
      <c r="U407" s="334" t="n"/>
      <c r="V407" s="334" t="n"/>
      <c r="W407" s="334" t="n"/>
      <c r="X407" s="334" t="n"/>
      <c r="Y407" s="334" t="n"/>
      <c r="Z407" s="375">
        <f>IF(AND(G407&lt;&gt;"",R407&lt;&gt;"",V407&lt;&gt;"",W407&lt;&gt;""),"COMPLETADO","OBSERVADO")</f>
        <v/>
      </c>
    </row>
    <row r="408" ht="15" customHeight="1" s="195">
      <c r="A408" s="280" t="n"/>
      <c r="B408" s="280" t="n"/>
      <c r="C408" s="280" t="n"/>
      <c r="D408" s="280" t="n"/>
      <c r="E408" s="280" t="n"/>
      <c r="F408" s="280" t="n"/>
      <c r="G408" s="280" t="n"/>
      <c r="H408" s="280" t="n"/>
      <c r="I408" s="332">
        <f>IFERROR(VLOOKUP(TEXT(H408,"0"),IPRESS!$A$3:$B$212,2,0),"")</f>
        <v/>
      </c>
      <c r="J408" s="280" t="n"/>
      <c r="K408" s="332">
        <f>IFERROR(VLOOKUP(TEXT(O408,"0"),CONDUCTORES!$A$3:$G$54,7,0),"")</f>
        <v/>
      </c>
      <c r="L408" s="280" t="n"/>
      <c r="M408" s="280" t="n"/>
      <c r="N408" s="333">
        <f>IFERROR(IF(L408*M408=0,"",L408*M408),"")</f>
        <v/>
      </c>
      <c r="O408" s="280" t="n"/>
      <c r="P408" s="332">
        <f>IFERROR(VLOOKUP(TEXT(O408,"0"),CONDUCTORES!$A$3:$G$54,2,0),"")</f>
        <v/>
      </c>
      <c r="Q408" s="332">
        <f>IFERROR(VLOOKUP(TEXT(O408,"0"),CONDUCTORES!$A$3:$H$54,6,0),"")</f>
        <v/>
      </c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375">
        <f>IF(AND(G408&lt;&gt;"",R408&lt;&gt;"",V408&lt;&gt;"",W408&lt;&gt;""),"COMPLETADO","OBSERVADO")</f>
        <v/>
      </c>
    </row>
    <row r="409" ht="15" customHeight="1" s="195">
      <c r="A409" s="334" t="n"/>
      <c r="B409" s="334" t="n"/>
      <c r="C409" s="334" t="n"/>
      <c r="D409" s="334" t="n"/>
      <c r="E409" s="334" t="n"/>
      <c r="F409" s="334" t="n"/>
      <c r="G409" s="334" t="n"/>
      <c r="H409" s="334" t="n"/>
      <c r="I409" s="332">
        <f>IFERROR(VLOOKUP(TEXT(H409,"0"),IPRESS!$A$3:$B$212,2,0),"")</f>
        <v/>
      </c>
      <c r="J409" s="334" t="n"/>
      <c r="K409" s="332">
        <f>IFERROR(VLOOKUP(TEXT(O409,"0"),CONDUCTORES!$A$3:$G$54,7,0),"")</f>
        <v/>
      </c>
      <c r="L409" s="334" t="n"/>
      <c r="M409" s="334" t="n"/>
      <c r="N409" s="333">
        <f>IFERROR(IF(L409*M409=0,"",L409*M409),"")</f>
        <v/>
      </c>
      <c r="O409" s="334" t="n"/>
      <c r="P409" s="332">
        <f>IFERROR(VLOOKUP(TEXT(O409,"0"),CONDUCTORES!$A$3:$G$54,2,0),"")</f>
        <v/>
      </c>
      <c r="Q409" s="332">
        <f>IFERROR(VLOOKUP(TEXT(O409,"0"),CONDUCTORES!$A$3:$H$54,6,0),"")</f>
        <v/>
      </c>
      <c r="R409" s="334" t="n"/>
      <c r="S409" s="334" t="n"/>
      <c r="T409" s="334" t="n"/>
      <c r="U409" s="334" t="n"/>
      <c r="V409" s="334" t="n"/>
      <c r="W409" s="334" t="n"/>
      <c r="X409" s="334" t="n"/>
      <c r="Y409" s="334" t="n"/>
      <c r="Z409" s="375">
        <f>IF(AND(G409&lt;&gt;"",R409&lt;&gt;"",V409&lt;&gt;"",W409&lt;&gt;""),"COMPLETADO","OBSERVADO")</f>
        <v/>
      </c>
    </row>
    <row r="410" ht="15" customHeight="1" s="195">
      <c r="A410" s="280" t="n"/>
      <c r="B410" s="280" t="n"/>
      <c r="C410" s="280" t="n"/>
      <c r="D410" s="280" t="n"/>
      <c r="E410" s="280" t="n"/>
      <c r="F410" s="280" t="n"/>
      <c r="G410" s="280" t="n"/>
      <c r="H410" s="280" t="n"/>
      <c r="I410" s="332">
        <f>IFERROR(VLOOKUP(TEXT(H410,"0"),IPRESS!$A$3:$B$212,2,0),"")</f>
        <v/>
      </c>
      <c r="J410" s="280" t="n"/>
      <c r="K410" s="332">
        <f>IFERROR(VLOOKUP(TEXT(O410,"0"),CONDUCTORES!$A$3:$G$54,7,0),"")</f>
        <v/>
      </c>
      <c r="L410" s="280" t="n"/>
      <c r="M410" s="280" t="n"/>
      <c r="N410" s="333">
        <f>IFERROR(IF(L410*M410=0,"",L410*M410),"")</f>
        <v/>
      </c>
      <c r="O410" s="280" t="n"/>
      <c r="P410" s="332">
        <f>IFERROR(VLOOKUP(TEXT(O410,"0"),CONDUCTORES!$A$3:$G$54,2,0),"")</f>
        <v/>
      </c>
      <c r="Q410" s="332">
        <f>IFERROR(VLOOKUP(TEXT(O410,"0"),CONDUCTORES!$A$3:$H$54,6,0),"")</f>
        <v/>
      </c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375">
        <f>IF(AND(G410&lt;&gt;"",R410&lt;&gt;"",V410&lt;&gt;"",W410&lt;&gt;""),"COMPLETADO","OBSERVADO")</f>
        <v/>
      </c>
    </row>
    <row r="411" ht="15" customHeight="1" s="195">
      <c r="A411" s="334" t="n"/>
      <c r="B411" s="334" t="n"/>
      <c r="C411" s="334" t="n"/>
      <c r="D411" s="334" t="n"/>
      <c r="E411" s="334" t="n"/>
      <c r="F411" s="334" t="n"/>
      <c r="G411" s="334" t="n"/>
      <c r="H411" s="334" t="n"/>
      <c r="I411" s="332">
        <f>IFERROR(VLOOKUP(TEXT(H411,"0"),IPRESS!$A$3:$B$212,2,0),"")</f>
        <v/>
      </c>
      <c r="J411" s="334" t="n"/>
      <c r="K411" s="332">
        <f>IFERROR(VLOOKUP(TEXT(O411,"0"),CONDUCTORES!$A$3:$G$54,7,0),"")</f>
        <v/>
      </c>
      <c r="L411" s="334" t="n"/>
      <c r="M411" s="334" t="n"/>
      <c r="N411" s="333">
        <f>IFERROR(IF(L411*M411=0,"",L411*M411),"")</f>
        <v/>
      </c>
      <c r="O411" s="334" t="n"/>
      <c r="P411" s="332">
        <f>IFERROR(VLOOKUP(TEXT(O411,"0"),CONDUCTORES!$A$3:$G$54,2,0),"")</f>
        <v/>
      </c>
      <c r="Q411" s="332">
        <f>IFERROR(VLOOKUP(TEXT(O411,"0"),CONDUCTORES!$A$3:$H$54,6,0),"")</f>
        <v/>
      </c>
      <c r="R411" s="334" t="n"/>
      <c r="S411" s="334" t="n"/>
      <c r="T411" s="334" t="n"/>
      <c r="U411" s="334" t="n"/>
      <c r="V411" s="334" t="n"/>
      <c r="W411" s="334" t="n"/>
      <c r="X411" s="334" t="n"/>
      <c r="Y411" s="334" t="n"/>
      <c r="Z411" s="375">
        <f>IF(AND(G411&lt;&gt;"",R411&lt;&gt;"",V411&lt;&gt;"",W411&lt;&gt;""),"COMPLETADO","OBSERVADO")</f>
        <v/>
      </c>
    </row>
    <row r="412" ht="15" customHeight="1" s="195">
      <c r="A412" s="280" t="n"/>
      <c r="B412" s="280" t="n"/>
      <c r="C412" s="280" t="n"/>
      <c r="D412" s="280" t="n"/>
      <c r="E412" s="280" t="n"/>
      <c r="F412" s="280" t="n"/>
      <c r="G412" s="280" t="n"/>
      <c r="H412" s="280" t="n"/>
      <c r="I412" s="332">
        <f>IFERROR(VLOOKUP(TEXT(H412,"0"),IPRESS!$A$3:$B$212,2,0),"")</f>
        <v/>
      </c>
      <c r="J412" s="280" t="n"/>
      <c r="K412" s="332">
        <f>IFERROR(VLOOKUP(TEXT(O412,"0"),CONDUCTORES!$A$3:$G$54,7,0),"")</f>
        <v/>
      </c>
      <c r="L412" s="280" t="n"/>
      <c r="M412" s="280" t="n"/>
      <c r="N412" s="333">
        <f>IFERROR(IF(L412*M412=0,"",L412*M412),"")</f>
        <v/>
      </c>
      <c r="O412" s="280" t="n"/>
      <c r="P412" s="332">
        <f>IFERROR(VLOOKUP(TEXT(O412,"0"),CONDUCTORES!$A$3:$G$54,2,0),"")</f>
        <v/>
      </c>
      <c r="Q412" s="332">
        <f>IFERROR(VLOOKUP(TEXT(O412,"0"),CONDUCTORES!$A$3:$H$54,6,0),"")</f>
        <v/>
      </c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375">
        <f>IF(AND(G412&lt;&gt;"",R412&lt;&gt;"",V412&lt;&gt;"",W412&lt;&gt;""),"COMPLETADO","OBSERVADO")</f>
        <v/>
      </c>
    </row>
    <row r="413" ht="15" customHeight="1" s="195">
      <c r="A413" s="334" t="n"/>
      <c r="B413" s="334" t="n"/>
      <c r="C413" s="334" t="n"/>
      <c r="D413" s="334" t="n"/>
      <c r="E413" s="334" t="n"/>
      <c r="F413" s="334" t="n"/>
      <c r="G413" s="334" t="n"/>
      <c r="H413" s="334" t="n"/>
      <c r="I413" s="332">
        <f>IFERROR(VLOOKUP(TEXT(H413,"0"),IPRESS!$A$3:$B$212,2,0),"")</f>
        <v/>
      </c>
      <c r="J413" s="334" t="n"/>
      <c r="K413" s="332">
        <f>IFERROR(VLOOKUP(TEXT(O413,"0"),CONDUCTORES!$A$3:$G$54,7,0),"")</f>
        <v/>
      </c>
      <c r="L413" s="334" t="n"/>
      <c r="M413" s="334" t="n"/>
      <c r="N413" s="333">
        <f>IFERROR(IF(L413*M413=0,"",L413*M413),"")</f>
        <v/>
      </c>
      <c r="O413" s="334" t="n"/>
      <c r="P413" s="332">
        <f>IFERROR(VLOOKUP(TEXT(O413,"0"),CONDUCTORES!$A$3:$G$54,2,0),"")</f>
        <v/>
      </c>
      <c r="Q413" s="332">
        <f>IFERROR(VLOOKUP(TEXT(O413,"0"),CONDUCTORES!$A$3:$H$54,6,0),"")</f>
        <v/>
      </c>
      <c r="R413" s="334" t="n"/>
      <c r="S413" s="334" t="n"/>
      <c r="T413" s="334" t="n"/>
      <c r="U413" s="334" t="n"/>
      <c r="V413" s="334" t="n"/>
      <c r="W413" s="334" t="n"/>
      <c r="X413" s="334" t="n"/>
      <c r="Y413" s="334" t="n"/>
      <c r="Z413" s="375">
        <f>IF(AND(G413&lt;&gt;"",R413&lt;&gt;"",V413&lt;&gt;"",W413&lt;&gt;""),"COMPLETADO","OBSERVADO")</f>
        <v/>
      </c>
    </row>
    <row r="414" ht="15" customHeight="1" s="195">
      <c r="A414" s="280" t="n"/>
      <c r="B414" s="280" t="n"/>
      <c r="C414" s="280" t="n"/>
      <c r="D414" s="280" t="n"/>
      <c r="E414" s="280" t="n"/>
      <c r="F414" s="280" t="n"/>
      <c r="G414" s="280" t="n"/>
      <c r="H414" s="280" t="n"/>
      <c r="I414" s="332">
        <f>IFERROR(VLOOKUP(TEXT(H414,"0"),IPRESS!$A$3:$B$212,2,0),"")</f>
        <v/>
      </c>
      <c r="J414" s="280" t="n"/>
      <c r="K414" s="332">
        <f>IFERROR(VLOOKUP(TEXT(O414,"0"),CONDUCTORES!$A$3:$G$54,7,0),"")</f>
        <v/>
      </c>
      <c r="L414" s="280" t="n"/>
      <c r="M414" s="280" t="n"/>
      <c r="N414" s="333">
        <f>IFERROR(IF(L414*M414=0,"",L414*M414),"")</f>
        <v/>
      </c>
      <c r="O414" s="280" t="n"/>
      <c r="P414" s="332">
        <f>IFERROR(VLOOKUP(TEXT(O414,"0"),CONDUCTORES!$A$3:$G$54,2,0),"")</f>
        <v/>
      </c>
      <c r="Q414" s="332">
        <f>IFERROR(VLOOKUP(TEXT(O414,"0"),CONDUCTORES!$A$3:$H$54,6,0),"")</f>
        <v/>
      </c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375">
        <f>IF(AND(G414&lt;&gt;"",R414&lt;&gt;"",V414&lt;&gt;"",W414&lt;&gt;""),"COMPLETADO","OBSERVADO")</f>
        <v/>
      </c>
    </row>
    <row r="415" ht="15" customHeight="1" s="195">
      <c r="A415" s="334" t="n"/>
      <c r="B415" s="334" t="n"/>
      <c r="C415" s="334" t="n"/>
      <c r="D415" s="334" t="n"/>
      <c r="E415" s="334" t="n"/>
      <c r="F415" s="334" t="n"/>
      <c r="G415" s="334" t="n"/>
      <c r="H415" s="334" t="n"/>
      <c r="I415" s="332">
        <f>IFERROR(VLOOKUP(TEXT(H415,"0"),IPRESS!$A$3:$B$212,2,0),"")</f>
        <v/>
      </c>
      <c r="J415" s="334" t="n"/>
      <c r="K415" s="332">
        <f>IFERROR(VLOOKUP(TEXT(O415,"0"),CONDUCTORES!$A$3:$G$54,7,0),"")</f>
        <v/>
      </c>
      <c r="L415" s="334" t="n"/>
      <c r="M415" s="334" t="n"/>
      <c r="N415" s="333">
        <f>IFERROR(IF(L415*M415=0,"",L415*M415),"")</f>
        <v/>
      </c>
      <c r="O415" s="334" t="n"/>
      <c r="P415" s="332">
        <f>IFERROR(VLOOKUP(TEXT(O415,"0"),CONDUCTORES!$A$3:$G$54,2,0),"")</f>
        <v/>
      </c>
      <c r="Q415" s="332">
        <f>IFERROR(VLOOKUP(TEXT(O415,"0"),CONDUCTORES!$A$3:$H$54,6,0),"")</f>
        <v/>
      </c>
      <c r="R415" s="334" t="n"/>
      <c r="S415" s="334" t="n"/>
      <c r="T415" s="334" t="n"/>
      <c r="U415" s="334" t="n"/>
      <c r="V415" s="334" t="n"/>
      <c r="W415" s="334" t="n"/>
      <c r="X415" s="334" t="n"/>
      <c r="Y415" s="334" t="n"/>
      <c r="Z415" s="375">
        <f>IF(AND(G415&lt;&gt;"",R415&lt;&gt;"",V415&lt;&gt;"",W415&lt;&gt;""),"COMPLETADO","OBSERVADO")</f>
        <v/>
      </c>
    </row>
    <row r="416" ht="15" customHeight="1" s="195">
      <c r="A416" s="280" t="n"/>
      <c r="B416" s="280" t="n"/>
      <c r="C416" s="280" t="n"/>
      <c r="D416" s="280" t="n"/>
      <c r="E416" s="280" t="n"/>
      <c r="F416" s="280" t="n"/>
      <c r="G416" s="280" t="n"/>
      <c r="H416" s="280" t="n"/>
      <c r="I416" s="332">
        <f>IFERROR(VLOOKUP(TEXT(H416,"0"),IPRESS!$A$3:$B$212,2,0),"")</f>
        <v/>
      </c>
      <c r="J416" s="280" t="n"/>
      <c r="K416" s="332">
        <f>IFERROR(VLOOKUP(TEXT(O416,"0"),CONDUCTORES!$A$3:$G$54,7,0),"")</f>
        <v/>
      </c>
      <c r="L416" s="280" t="n"/>
      <c r="M416" s="280" t="n"/>
      <c r="N416" s="333">
        <f>IFERROR(IF(L416*M416=0,"",L416*M416),"")</f>
        <v/>
      </c>
      <c r="O416" s="280" t="n"/>
      <c r="P416" s="332">
        <f>IFERROR(VLOOKUP(TEXT(O416,"0"),CONDUCTORES!$A$3:$G$54,2,0),"")</f>
        <v/>
      </c>
      <c r="Q416" s="332">
        <f>IFERROR(VLOOKUP(TEXT(O416,"0"),CONDUCTORES!$A$3:$H$54,6,0),"")</f>
        <v/>
      </c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375">
        <f>IF(AND(G416&lt;&gt;"",R416&lt;&gt;"",V416&lt;&gt;"",W416&lt;&gt;""),"COMPLETADO","OBSERVADO")</f>
        <v/>
      </c>
    </row>
    <row r="417" ht="15" customHeight="1" s="195">
      <c r="A417" s="334" t="n"/>
      <c r="B417" s="334" t="n"/>
      <c r="C417" s="334" t="n"/>
      <c r="D417" s="334" t="n"/>
      <c r="E417" s="334" t="n"/>
      <c r="F417" s="334" t="n"/>
      <c r="G417" s="334" t="n"/>
      <c r="H417" s="334" t="n"/>
      <c r="I417" s="332">
        <f>IFERROR(VLOOKUP(TEXT(H417,"0"),IPRESS!$A$3:$B$212,2,0),"")</f>
        <v/>
      </c>
      <c r="J417" s="334" t="n"/>
      <c r="K417" s="332">
        <f>IFERROR(VLOOKUP(TEXT(O417,"0"),CONDUCTORES!$A$3:$G$54,7,0),"")</f>
        <v/>
      </c>
      <c r="L417" s="334" t="n"/>
      <c r="M417" s="334" t="n"/>
      <c r="N417" s="333">
        <f>IFERROR(IF(L417*M417=0,"",L417*M417),"")</f>
        <v/>
      </c>
      <c r="O417" s="334" t="n"/>
      <c r="P417" s="332">
        <f>IFERROR(VLOOKUP(TEXT(O417,"0"),CONDUCTORES!$A$3:$G$54,2,0),"")</f>
        <v/>
      </c>
      <c r="Q417" s="332">
        <f>IFERROR(VLOOKUP(TEXT(O417,"0"),CONDUCTORES!$A$3:$H$54,6,0),"")</f>
        <v/>
      </c>
      <c r="R417" s="334" t="n"/>
      <c r="S417" s="334" t="n"/>
      <c r="T417" s="334" t="n"/>
      <c r="U417" s="334" t="n"/>
      <c r="V417" s="334" t="n"/>
      <c r="W417" s="334" t="n"/>
      <c r="X417" s="334" t="n"/>
      <c r="Y417" s="334" t="n"/>
      <c r="Z417" s="375">
        <f>IF(AND(G417&lt;&gt;"",R417&lt;&gt;"",V417&lt;&gt;"",W417&lt;&gt;""),"COMPLETADO","OBSERVADO")</f>
        <v/>
      </c>
    </row>
    <row r="418" ht="15" customHeight="1" s="195">
      <c r="A418" s="280" t="n"/>
      <c r="B418" s="280" t="n"/>
      <c r="C418" s="280" t="n"/>
      <c r="D418" s="280" t="n"/>
      <c r="E418" s="280" t="n"/>
      <c r="F418" s="280" t="n"/>
      <c r="G418" s="280" t="n"/>
      <c r="H418" s="280" t="n"/>
      <c r="I418" s="332">
        <f>IFERROR(VLOOKUP(TEXT(H418,"0"),IPRESS!$A$3:$B$212,2,0),"")</f>
        <v/>
      </c>
      <c r="J418" s="280" t="n"/>
      <c r="K418" s="332">
        <f>IFERROR(VLOOKUP(TEXT(O418,"0"),CONDUCTORES!$A$3:$G$54,7,0),"")</f>
        <v/>
      </c>
      <c r="L418" s="280" t="n"/>
      <c r="M418" s="280" t="n"/>
      <c r="N418" s="333">
        <f>IFERROR(IF(L418*M418=0,"",L418*M418),"")</f>
        <v/>
      </c>
      <c r="O418" s="280" t="n"/>
      <c r="P418" s="332">
        <f>IFERROR(VLOOKUP(TEXT(O418,"0"),CONDUCTORES!$A$3:$G$54,2,0),"")</f>
        <v/>
      </c>
      <c r="Q418" s="332">
        <f>IFERROR(VLOOKUP(TEXT(O418,"0"),CONDUCTORES!$A$3:$H$54,6,0),"")</f>
        <v/>
      </c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375">
        <f>IF(AND(G418&lt;&gt;"",R418&lt;&gt;"",V418&lt;&gt;"",W418&lt;&gt;""),"COMPLETADO","OBSERVADO")</f>
        <v/>
      </c>
    </row>
    <row r="419" ht="15" customHeight="1" s="195">
      <c r="A419" s="334" t="n"/>
      <c r="B419" s="334" t="n"/>
      <c r="C419" s="334" t="n"/>
      <c r="D419" s="334" t="n"/>
      <c r="E419" s="334" t="n"/>
      <c r="F419" s="334" t="n"/>
      <c r="G419" s="334" t="n"/>
      <c r="H419" s="334" t="n"/>
      <c r="I419" s="332">
        <f>IFERROR(VLOOKUP(TEXT(H419,"0"),IPRESS!$A$3:$B$212,2,0),"")</f>
        <v/>
      </c>
      <c r="J419" s="334" t="n"/>
      <c r="K419" s="332">
        <f>IFERROR(VLOOKUP(TEXT(O419,"0"),CONDUCTORES!$A$3:$G$54,7,0),"")</f>
        <v/>
      </c>
      <c r="L419" s="334" t="n"/>
      <c r="M419" s="334" t="n"/>
      <c r="N419" s="333">
        <f>IFERROR(IF(L419*M419=0,"",L419*M419),"")</f>
        <v/>
      </c>
      <c r="O419" s="334" t="n"/>
      <c r="P419" s="332">
        <f>IFERROR(VLOOKUP(TEXT(O419,"0"),CONDUCTORES!$A$3:$G$54,2,0),"")</f>
        <v/>
      </c>
      <c r="Q419" s="332">
        <f>IFERROR(VLOOKUP(TEXT(O419,"0"),CONDUCTORES!$A$3:$H$54,6,0),"")</f>
        <v/>
      </c>
      <c r="R419" s="334" t="n"/>
      <c r="S419" s="334" t="n"/>
      <c r="T419" s="334" t="n"/>
      <c r="U419" s="334" t="n"/>
      <c r="V419" s="334" t="n"/>
      <c r="W419" s="334" t="n"/>
      <c r="X419" s="334" t="n"/>
      <c r="Y419" s="334" t="n"/>
      <c r="Z419" s="375">
        <f>IF(AND(G419&lt;&gt;"",R419&lt;&gt;"",V419&lt;&gt;"",W419&lt;&gt;""),"COMPLETADO","OBSERVADO")</f>
        <v/>
      </c>
    </row>
    <row r="420" ht="15" customHeight="1" s="195">
      <c r="A420" s="280" t="n"/>
      <c r="B420" s="280" t="n"/>
      <c r="C420" s="280" t="n"/>
      <c r="D420" s="280" t="n"/>
      <c r="E420" s="280" t="n"/>
      <c r="F420" s="280" t="n"/>
      <c r="G420" s="280" t="n"/>
      <c r="H420" s="280" t="n"/>
      <c r="I420" s="332">
        <f>IFERROR(VLOOKUP(TEXT(H420,"0"),IPRESS!$A$3:$B$212,2,0),"")</f>
        <v/>
      </c>
      <c r="J420" s="280" t="n"/>
      <c r="K420" s="332">
        <f>IFERROR(VLOOKUP(TEXT(O420,"0"),CONDUCTORES!$A$3:$G$54,7,0),"")</f>
        <v/>
      </c>
      <c r="L420" s="280" t="n"/>
      <c r="M420" s="280" t="n"/>
      <c r="N420" s="333">
        <f>IFERROR(IF(L420*M420=0,"",L420*M420),"")</f>
        <v/>
      </c>
      <c r="O420" s="280" t="n"/>
      <c r="P420" s="332">
        <f>IFERROR(VLOOKUP(TEXT(O420,"0"),CONDUCTORES!$A$3:$G$54,2,0),"")</f>
        <v/>
      </c>
      <c r="Q420" s="332">
        <f>IFERROR(VLOOKUP(TEXT(O420,"0"),CONDUCTORES!$A$3:$H$54,6,0),"")</f>
        <v/>
      </c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375">
        <f>IF(AND(G420&lt;&gt;"",R420&lt;&gt;"",V420&lt;&gt;"",W420&lt;&gt;""),"COMPLETADO","OBSERVADO")</f>
        <v/>
      </c>
    </row>
    <row r="421" ht="15" customHeight="1" s="195">
      <c r="A421" s="334" t="n"/>
      <c r="B421" s="334" t="n"/>
      <c r="C421" s="334" t="n"/>
      <c r="D421" s="334" t="n"/>
      <c r="E421" s="334" t="n"/>
      <c r="F421" s="334" t="n"/>
      <c r="G421" s="334" t="n"/>
      <c r="H421" s="334" t="n"/>
      <c r="I421" s="332">
        <f>IFERROR(VLOOKUP(TEXT(H421,"0"),IPRESS!$A$3:$B$212,2,0),"")</f>
        <v/>
      </c>
      <c r="J421" s="334" t="n"/>
      <c r="K421" s="332">
        <f>IFERROR(VLOOKUP(TEXT(O421,"0"),CONDUCTORES!$A$3:$G$54,7,0),"")</f>
        <v/>
      </c>
      <c r="L421" s="334" t="n"/>
      <c r="M421" s="334" t="n"/>
      <c r="N421" s="333">
        <f>IFERROR(IF(L421*M421=0,"",L421*M421),"")</f>
        <v/>
      </c>
      <c r="O421" s="334" t="n"/>
      <c r="P421" s="332">
        <f>IFERROR(VLOOKUP(TEXT(O421,"0"),CONDUCTORES!$A$3:$G$54,2,0),"")</f>
        <v/>
      </c>
      <c r="Q421" s="332">
        <f>IFERROR(VLOOKUP(TEXT(O421,"0"),CONDUCTORES!$A$3:$H$54,6,0),"")</f>
        <v/>
      </c>
      <c r="R421" s="334" t="n"/>
      <c r="S421" s="334" t="n"/>
      <c r="T421" s="334" t="n"/>
      <c r="U421" s="334" t="n"/>
      <c r="V421" s="334" t="n"/>
      <c r="W421" s="334" t="n"/>
      <c r="X421" s="334" t="n"/>
      <c r="Y421" s="334" t="n"/>
      <c r="Z421" s="375">
        <f>IF(AND(G421&lt;&gt;"",R421&lt;&gt;"",V421&lt;&gt;"",W421&lt;&gt;""),"COMPLETADO","OBSERVADO")</f>
        <v/>
      </c>
    </row>
    <row r="422" ht="15" customHeight="1" s="195">
      <c r="A422" s="280" t="n"/>
      <c r="B422" s="280" t="n"/>
      <c r="C422" s="280" t="n"/>
      <c r="D422" s="280" t="n"/>
      <c r="E422" s="280" t="n"/>
      <c r="F422" s="280" t="n"/>
      <c r="G422" s="280" t="n"/>
      <c r="H422" s="280" t="n"/>
      <c r="I422" s="332">
        <f>IFERROR(VLOOKUP(TEXT(H422,"0"),IPRESS!$A$3:$B$212,2,0),"")</f>
        <v/>
      </c>
      <c r="J422" s="280" t="n"/>
      <c r="K422" s="332">
        <f>IFERROR(VLOOKUP(TEXT(O422,"0"),CONDUCTORES!$A$3:$G$54,7,0),"")</f>
        <v/>
      </c>
      <c r="L422" s="280" t="n"/>
      <c r="M422" s="280" t="n"/>
      <c r="N422" s="333">
        <f>IFERROR(IF(L422*M422=0,"",L422*M422),"")</f>
        <v/>
      </c>
      <c r="O422" s="280" t="n"/>
      <c r="P422" s="332">
        <f>IFERROR(VLOOKUP(TEXT(O422,"0"),CONDUCTORES!$A$3:$G$54,2,0),"")</f>
        <v/>
      </c>
      <c r="Q422" s="332">
        <f>IFERROR(VLOOKUP(TEXT(O422,"0"),CONDUCTORES!$A$3:$H$54,6,0),"")</f>
        <v/>
      </c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375">
        <f>IF(AND(G422&lt;&gt;"",R422&lt;&gt;"",V422&lt;&gt;"",W422&lt;&gt;""),"COMPLETADO","OBSERVADO")</f>
        <v/>
      </c>
    </row>
    <row r="423" ht="15" customHeight="1" s="195">
      <c r="A423" s="334" t="n"/>
      <c r="B423" s="334" t="n"/>
      <c r="C423" s="334" t="n"/>
      <c r="D423" s="334" t="n"/>
      <c r="E423" s="334" t="n"/>
      <c r="F423" s="334" t="n"/>
      <c r="G423" s="334" t="n"/>
      <c r="H423" s="334" t="n"/>
      <c r="I423" s="332">
        <f>IFERROR(VLOOKUP(TEXT(H423,"0"),IPRESS!$A$3:$B$212,2,0),"")</f>
        <v/>
      </c>
      <c r="J423" s="334" t="n"/>
      <c r="K423" s="332">
        <f>IFERROR(VLOOKUP(TEXT(O423,"0"),CONDUCTORES!$A$3:$G$54,7,0),"")</f>
        <v/>
      </c>
      <c r="L423" s="334" t="n"/>
      <c r="M423" s="334" t="n"/>
      <c r="N423" s="333">
        <f>IFERROR(IF(L423*M423=0,"",L423*M423),"")</f>
        <v/>
      </c>
      <c r="O423" s="334" t="n"/>
      <c r="P423" s="332">
        <f>IFERROR(VLOOKUP(TEXT(O423,"0"),CONDUCTORES!$A$3:$G$54,2,0),"")</f>
        <v/>
      </c>
      <c r="Q423" s="332">
        <f>IFERROR(VLOOKUP(TEXT(O423,"0"),CONDUCTORES!$A$3:$H$54,6,0),"")</f>
        <v/>
      </c>
      <c r="R423" s="334" t="n"/>
      <c r="S423" s="334" t="n"/>
      <c r="T423" s="334" t="n"/>
      <c r="U423" s="334" t="n"/>
      <c r="V423" s="334" t="n"/>
      <c r="W423" s="334" t="n"/>
      <c r="X423" s="334" t="n"/>
      <c r="Y423" s="334" t="n"/>
      <c r="Z423" s="375">
        <f>IF(AND(G423&lt;&gt;"",R423&lt;&gt;"",V423&lt;&gt;"",W423&lt;&gt;""),"COMPLETADO","OBSERVADO")</f>
        <v/>
      </c>
    </row>
    <row r="424" ht="15" customHeight="1" s="195">
      <c r="A424" s="280" t="n"/>
      <c r="B424" s="280" t="n"/>
      <c r="C424" s="280" t="n"/>
      <c r="D424" s="280" t="n"/>
      <c r="E424" s="280" t="n"/>
      <c r="F424" s="280" t="n"/>
      <c r="G424" s="280" t="n"/>
      <c r="H424" s="280" t="n"/>
      <c r="I424" s="332">
        <f>IFERROR(VLOOKUP(TEXT(H424,"0"),IPRESS!$A$3:$B$212,2,0),"")</f>
        <v/>
      </c>
      <c r="J424" s="280" t="n"/>
      <c r="K424" s="332">
        <f>IFERROR(VLOOKUP(TEXT(O424,"0"),CONDUCTORES!$A$3:$G$54,7,0),"")</f>
        <v/>
      </c>
      <c r="L424" s="280" t="n"/>
      <c r="M424" s="280" t="n"/>
      <c r="N424" s="333">
        <f>IFERROR(IF(L424*M424=0,"",L424*M424),"")</f>
        <v/>
      </c>
      <c r="O424" s="280" t="n"/>
      <c r="P424" s="332">
        <f>IFERROR(VLOOKUP(TEXT(O424,"0"),CONDUCTORES!$A$3:$G$54,2,0),"")</f>
        <v/>
      </c>
      <c r="Q424" s="332">
        <f>IFERROR(VLOOKUP(TEXT(O424,"0"),CONDUCTORES!$A$3:$H$54,6,0),"")</f>
        <v/>
      </c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375">
        <f>IF(AND(G424&lt;&gt;"",R424&lt;&gt;"",V424&lt;&gt;"",W424&lt;&gt;""),"COMPLETADO","OBSERVADO")</f>
        <v/>
      </c>
    </row>
    <row r="425" ht="15" customHeight="1" s="195">
      <c r="A425" s="334" t="n"/>
      <c r="B425" s="334" t="n"/>
      <c r="C425" s="334" t="n"/>
      <c r="D425" s="334" t="n"/>
      <c r="E425" s="334" t="n"/>
      <c r="F425" s="334" t="n"/>
      <c r="G425" s="334" t="n"/>
      <c r="H425" s="334" t="n"/>
      <c r="I425" s="332">
        <f>IFERROR(VLOOKUP(TEXT(H425,"0"),IPRESS!$A$3:$B$212,2,0),"")</f>
        <v/>
      </c>
      <c r="J425" s="334" t="n"/>
      <c r="K425" s="332">
        <f>IFERROR(VLOOKUP(TEXT(O425,"0"),CONDUCTORES!$A$3:$G$54,7,0),"")</f>
        <v/>
      </c>
      <c r="L425" s="334" t="n"/>
      <c r="M425" s="334" t="n"/>
      <c r="N425" s="333">
        <f>IFERROR(IF(L425*M425=0,"",L425*M425),"")</f>
        <v/>
      </c>
      <c r="O425" s="334" t="n"/>
      <c r="P425" s="332">
        <f>IFERROR(VLOOKUP(TEXT(O425,"0"),CONDUCTORES!$A$3:$G$54,2,0),"")</f>
        <v/>
      </c>
      <c r="Q425" s="332">
        <f>IFERROR(VLOOKUP(TEXT(O425,"0"),CONDUCTORES!$A$3:$H$54,6,0),"")</f>
        <v/>
      </c>
      <c r="R425" s="334" t="n"/>
      <c r="S425" s="334" t="n"/>
      <c r="T425" s="334" t="n"/>
      <c r="U425" s="334" t="n"/>
      <c r="V425" s="334" t="n"/>
      <c r="W425" s="334" t="n"/>
      <c r="X425" s="334" t="n"/>
      <c r="Y425" s="334" t="n"/>
      <c r="Z425" s="375">
        <f>IF(AND(G425&lt;&gt;"",R425&lt;&gt;"",V425&lt;&gt;"",W425&lt;&gt;""),"COMPLETADO","OBSERVADO")</f>
        <v/>
      </c>
    </row>
    <row r="426" ht="15" customHeight="1" s="195">
      <c r="A426" s="280" t="n"/>
      <c r="B426" s="280" t="n"/>
      <c r="C426" s="280" t="n"/>
      <c r="D426" s="280" t="n"/>
      <c r="E426" s="280" t="n"/>
      <c r="F426" s="280" t="n"/>
      <c r="G426" s="280" t="n"/>
      <c r="H426" s="280" t="n"/>
      <c r="I426" s="332">
        <f>IFERROR(VLOOKUP(TEXT(H426,"0"),IPRESS!$A$3:$B$212,2,0),"")</f>
        <v/>
      </c>
      <c r="J426" s="280" t="n"/>
      <c r="K426" s="332">
        <f>IFERROR(VLOOKUP(TEXT(O426,"0"),CONDUCTORES!$A$3:$G$54,7,0),"")</f>
        <v/>
      </c>
      <c r="L426" s="280" t="n"/>
      <c r="M426" s="280" t="n"/>
      <c r="N426" s="333">
        <f>IFERROR(IF(L426*M426=0,"",L426*M426),"")</f>
        <v/>
      </c>
      <c r="O426" s="280" t="n"/>
      <c r="P426" s="332">
        <f>IFERROR(VLOOKUP(TEXT(O426,"0"),CONDUCTORES!$A$3:$G$54,2,0),"")</f>
        <v/>
      </c>
      <c r="Q426" s="332">
        <f>IFERROR(VLOOKUP(TEXT(O426,"0"),CONDUCTORES!$A$3:$H$54,6,0),"")</f>
        <v/>
      </c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375">
        <f>IF(AND(G426&lt;&gt;"",R426&lt;&gt;"",V426&lt;&gt;"",W426&lt;&gt;""),"COMPLETADO","OBSERVADO")</f>
        <v/>
      </c>
    </row>
    <row r="427" ht="15" customHeight="1" s="195">
      <c r="A427" s="334" t="n"/>
      <c r="B427" s="334" t="n"/>
      <c r="C427" s="334" t="n"/>
      <c r="D427" s="334" t="n"/>
      <c r="E427" s="334" t="n"/>
      <c r="F427" s="334" t="n"/>
      <c r="G427" s="334" t="n"/>
      <c r="H427" s="334" t="n"/>
      <c r="I427" s="332">
        <f>IFERROR(VLOOKUP(TEXT(H427,"0"),IPRESS!$A$3:$B$212,2,0),"")</f>
        <v/>
      </c>
      <c r="J427" s="334" t="n"/>
      <c r="K427" s="332">
        <f>IFERROR(VLOOKUP(TEXT(O427,"0"),CONDUCTORES!$A$3:$G$54,7,0),"")</f>
        <v/>
      </c>
      <c r="L427" s="334" t="n"/>
      <c r="M427" s="334" t="n"/>
      <c r="N427" s="333">
        <f>IFERROR(IF(L427*M427=0,"",L427*M427),"")</f>
        <v/>
      </c>
      <c r="O427" s="334" t="n"/>
      <c r="P427" s="332">
        <f>IFERROR(VLOOKUP(TEXT(O427,"0"),CONDUCTORES!$A$3:$G$54,2,0),"")</f>
        <v/>
      </c>
      <c r="Q427" s="332">
        <f>IFERROR(VLOOKUP(TEXT(O427,"0"),CONDUCTORES!$A$3:$H$54,6,0),"")</f>
        <v/>
      </c>
      <c r="R427" s="334" t="n"/>
      <c r="S427" s="334" t="n"/>
      <c r="T427" s="334" t="n"/>
      <c r="U427" s="334" t="n"/>
      <c r="V427" s="334" t="n"/>
      <c r="W427" s="334" t="n"/>
      <c r="X427" s="334" t="n"/>
      <c r="Y427" s="334" t="n"/>
      <c r="Z427" s="375">
        <f>IF(AND(G427&lt;&gt;"",R427&lt;&gt;"",V427&lt;&gt;"",W427&lt;&gt;""),"COMPLETADO","OBSERVADO")</f>
        <v/>
      </c>
    </row>
    <row r="428" ht="15" customHeight="1" s="195">
      <c r="A428" s="280" t="n"/>
      <c r="B428" s="280" t="n"/>
      <c r="C428" s="280" t="n"/>
      <c r="D428" s="280" t="n"/>
      <c r="E428" s="280" t="n"/>
      <c r="F428" s="280" t="n"/>
      <c r="G428" s="280" t="n"/>
      <c r="H428" s="280" t="n"/>
      <c r="I428" s="332">
        <f>IFERROR(VLOOKUP(TEXT(H428,"0"),IPRESS!$A$3:$B$212,2,0),"")</f>
        <v/>
      </c>
      <c r="J428" s="280" t="n"/>
      <c r="K428" s="332">
        <f>IFERROR(VLOOKUP(TEXT(O428,"0"),CONDUCTORES!$A$3:$G$54,7,0),"")</f>
        <v/>
      </c>
      <c r="L428" s="280" t="n"/>
      <c r="M428" s="280" t="n"/>
      <c r="N428" s="333">
        <f>IFERROR(IF(L428*M428=0,"",L428*M428),"")</f>
        <v/>
      </c>
      <c r="O428" s="280" t="n"/>
      <c r="P428" s="332">
        <f>IFERROR(VLOOKUP(TEXT(O428,"0"),CONDUCTORES!$A$3:$G$54,2,0),"")</f>
        <v/>
      </c>
      <c r="Q428" s="332">
        <f>IFERROR(VLOOKUP(TEXT(O428,"0"),CONDUCTORES!$A$3:$H$54,6,0),"")</f>
        <v/>
      </c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375">
        <f>IF(AND(G428&lt;&gt;"",R428&lt;&gt;"",V428&lt;&gt;"",W428&lt;&gt;""),"COMPLETADO","OBSERVADO")</f>
        <v/>
      </c>
    </row>
    <row r="429" ht="15" customHeight="1" s="195">
      <c r="A429" s="334" t="n"/>
      <c r="B429" s="334" t="n"/>
      <c r="C429" s="334" t="n"/>
      <c r="D429" s="334" t="n"/>
      <c r="E429" s="334" t="n"/>
      <c r="F429" s="334" t="n"/>
      <c r="G429" s="334" t="n"/>
      <c r="H429" s="334" t="n"/>
      <c r="I429" s="332">
        <f>IFERROR(VLOOKUP(TEXT(H429,"0"),IPRESS!$A$3:$B$212,2,0),"")</f>
        <v/>
      </c>
      <c r="J429" s="334" t="n"/>
      <c r="K429" s="332">
        <f>IFERROR(VLOOKUP(TEXT(O429,"0"),CONDUCTORES!$A$3:$G$54,7,0),"")</f>
        <v/>
      </c>
      <c r="L429" s="334" t="n"/>
      <c r="M429" s="334" t="n"/>
      <c r="N429" s="333">
        <f>IFERROR(IF(L429*M429=0,"",L429*M429),"")</f>
        <v/>
      </c>
      <c r="O429" s="334" t="n"/>
      <c r="P429" s="332">
        <f>IFERROR(VLOOKUP(TEXT(O429,"0"),CONDUCTORES!$A$3:$G$54,2,0),"")</f>
        <v/>
      </c>
      <c r="Q429" s="332">
        <f>IFERROR(VLOOKUP(TEXT(O429,"0"),CONDUCTORES!$A$3:$H$54,6,0),"")</f>
        <v/>
      </c>
      <c r="R429" s="334" t="n"/>
      <c r="S429" s="334" t="n"/>
      <c r="T429" s="334" t="n"/>
      <c r="U429" s="334" t="n"/>
      <c r="V429" s="334" t="n"/>
      <c r="W429" s="334" t="n"/>
      <c r="X429" s="334" t="n"/>
      <c r="Y429" s="334" t="n"/>
      <c r="Z429" s="375">
        <f>IF(AND(G429&lt;&gt;"",R429&lt;&gt;"",V429&lt;&gt;"",W429&lt;&gt;""),"COMPLETADO","OBSERVADO")</f>
        <v/>
      </c>
    </row>
    <row r="430" ht="15" customHeight="1" s="195">
      <c r="A430" s="280" t="n"/>
      <c r="B430" s="280" t="n"/>
      <c r="C430" s="280" t="n"/>
      <c r="D430" s="280" t="n"/>
      <c r="E430" s="280" t="n"/>
      <c r="F430" s="280" t="n"/>
      <c r="G430" s="280" t="n"/>
      <c r="H430" s="280" t="n"/>
      <c r="I430" s="332">
        <f>IFERROR(VLOOKUP(TEXT(H430,"0"),IPRESS!$A$3:$B$212,2,0),"")</f>
        <v/>
      </c>
      <c r="J430" s="280" t="n"/>
      <c r="K430" s="332">
        <f>IFERROR(VLOOKUP(TEXT(O430,"0"),CONDUCTORES!$A$3:$G$54,7,0),"")</f>
        <v/>
      </c>
      <c r="L430" s="280" t="n"/>
      <c r="M430" s="280" t="n"/>
      <c r="N430" s="333">
        <f>IFERROR(IF(L430*M430=0,"",L430*M430),"")</f>
        <v/>
      </c>
      <c r="O430" s="280" t="n"/>
      <c r="P430" s="332">
        <f>IFERROR(VLOOKUP(TEXT(O430,"0"),CONDUCTORES!$A$3:$G$54,2,0),"")</f>
        <v/>
      </c>
      <c r="Q430" s="332">
        <f>IFERROR(VLOOKUP(TEXT(O430,"0"),CONDUCTORES!$A$3:$H$54,6,0),"")</f>
        <v/>
      </c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375">
        <f>IF(AND(G430&lt;&gt;"",R430&lt;&gt;"",V430&lt;&gt;"",W430&lt;&gt;""),"COMPLETADO","OBSERVADO")</f>
        <v/>
      </c>
    </row>
    <row r="431" ht="15" customHeight="1" s="195">
      <c r="A431" s="334" t="n"/>
      <c r="B431" s="334" t="n"/>
      <c r="C431" s="334" t="n"/>
      <c r="D431" s="334" t="n"/>
      <c r="E431" s="334" t="n"/>
      <c r="F431" s="334" t="n"/>
      <c r="G431" s="334" t="n"/>
      <c r="H431" s="334" t="n"/>
      <c r="I431" s="332">
        <f>IFERROR(VLOOKUP(TEXT(H431,"0"),IPRESS!$A$3:$B$212,2,0),"")</f>
        <v/>
      </c>
      <c r="J431" s="334" t="n"/>
      <c r="K431" s="332">
        <f>IFERROR(VLOOKUP(TEXT(O431,"0"),CONDUCTORES!$A$3:$G$54,7,0),"")</f>
        <v/>
      </c>
      <c r="L431" s="334" t="n"/>
      <c r="M431" s="334" t="n"/>
      <c r="N431" s="333">
        <f>IFERROR(IF(L431*M431=0,"",L431*M431),"")</f>
        <v/>
      </c>
      <c r="O431" s="334" t="n"/>
      <c r="P431" s="332">
        <f>IFERROR(VLOOKUP(TEXT(O431,"0"),CONDUCTORES!$A$3:$G$54,2,0),"")</f>
        <v/>
      </c>
      <c r="Q431" s="332">
        <f>IFERROR(VLOOKUP(TEXT(O431,"0"),CONDUCTORES!$A$3:$H$54,6,0),"")</f>
        <v/>
      </c>
      <c r="R431" s="334" t="n"/>
      <c r="S431" s="334" t="n"/>
      <c r="T431" s="334" t="n"/>
      <c r="U431" s="334" t="n"/>
      <c r="V431" s="334" t="n"/>
      <c r="W431" s="334" t="n"/>
      <c r="X431" s="334" t="n"/>
      <c r="Y431" s="334" t="n"/>
      <c r="Z431" s="375">
        <f>IF(AND(G431&lt;&gt;"",R431&lt;&gt;"",V431&lt;&gt;"",W431&lt;&gt;""),"COMPLETADO","OBSERVADO")</f>
        <v/>
      </c>
    </row>
    <row r="432" ht="15" customHeight="1" s="195">
      <c r="A432" s="280" t="n"/>
      <c r="B432" s="280" t="n"/>
      <c r="C432" s="280" t="n"/>
      <c r="D432" s="280" t="n"/>
      <c r="E432" s="280" t="n"/>
      <c r="F432" s="280" t="n"/>
      <c r="G432" s="280" t="n"/>
      <c r="H432" s="280" t="n"/>
      <c r="I432" s="332">
        <f>IFERROR(VLOOKUP(TEXT(H432,"0"),IPRESS!$A$3:$B$212,2,0),"")</f>
        <v/>
      </c>
      <c r="J432" s="280" t="n"/>
      <c r="K432" s="332">
        <f>IFERROR(VLOOKUP(TEXT(O432,"0"),CONDUCTORES!$A$3:$G$54,7,0),"")</f>
        <v/>
      </c>
      <c r="L432" s="280" t="n"/>
      <c r="M432" s="280" t="n"/>
      <c r="N432" s="333">
        <f>IFERROR(IF(L432*M432=0,"",L432*M432),"")</f>
        <v/>
      </c>
      <c r="O432" s="280" t="n"/>
      <c r="P432" s="332">
        <f>IFERROR(VLOOKUP(TEXT(O432,"0"),CONDUCTORES!$A$3:$G$54,2,0),"")</f>
        <v/>
      </c>
      <c r="Q432" s="332">
        <f>IFERROR(VLOOKUP(TEXT(O432,"0"),CONDUCTORES!$A$3:$H$54,6,0),"")</f>
        <v/>
      </c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375">
        <f>IF(AND(G432&lt;&gt;"",R432&lt;&gt;"",V432&lt;&gt;"",W432&lt;&gt;""),"COMPLETADO","OBSERVADO")</f>
        <v/>
      </c>
    </row>
    <row r="433" ht="15" customHeight="1" s="195">
      <c r="A433" s="334" t="n"/>
      <c r="B433" s="334" t="n"/>
      <c r="C433" s="334" t="n"/>
      <c r="D433" s="334" t="n"/>
      <c r="E433" s="334" t="n"/>
      <c r="F433" s="334" t="n"/>
      <c r="G433" s="334" t="n"/>
      <c r="H433" s="334" t="n"/>
      <c r="I433" s="332">
        <f>IFERROR(VLOOKUP(TEXT(H433,"0"),IPRESS!$A$3:$B$212,2,0),"")</f>
        <v/>
      </c>
      <c r="J433" s="334" t="n"/>
      <c r="K433" s="332">
        <f>IFERROR(VLOOKUP(TEXT(O433,"0"),CONDUCTORES!$A$3:$G$54,7,0),"")</f>
        <v/>
      </c>
      <c r="L433" s="334" t="n"/>
      <c r="M433" s="334" t="n"/>
      <c r="N433" s="333">
        <f>IFERROR(IF(L433*M433=0,"",L433*M433),"")</f>
        <v/>
      </c>
      <c r="O433" s="334" t="n"/>
      <c r="P433" s="332">
        <f>IFERROR(VLOOKUP(TEXT(O433,"0"),CONDUCTORES!$A$3:$G$54,2,0),"")</f>
        <v/>
      </c>
      <c r="Q433" s="332">
        <f>IFERROR(VLOOKUP(TEXT(O433,"0"),CONDUCTORES!$A$3:$H$54,6,0),"")</f>
        <v/>
      </c>
      <c r="R433" s="334" t="n"/>
      <c r="S433" s="334" t="n"/>
      <c r="T433" s="334" t="n"/>
      <c r="U433" s="334" t="n"/>
      <c r="V433" s="334" t="n"/>
      <c r="W433" s="334" t="n"/>
      <c r="X433" s="334" t="n"/>
      <c r="Y433" s="334" t="n"/>
      <c r="Z433" s="375">
        <f>IF(AND(G433&lt;&gt;"",R433&lt;&gt;"",V433&lt;&gt;"",W433&lt;&gt;""),"COMPLETADO","OBSERVADO")</f>
        <v/>
      </c>
    </row>
    <row r="434" ht="15" customHeight="1" s="195">
      <c r="A434" s="280" t="n"/>
      <c r="B434" s="280" t="n"/>
      <c r="C434" s="280" t="n"/>
      <c r="D434" s="280" t="n"/>
      <c r="E434" s="280" t="n"/>
      <c r="F434" s="280" t="n"/>
      <c r="G434" s="280" t="n"/>
      <c r="H434" s="280" t="n"/>
      <c r="I434" s="332">
        <f>IFERROR(VLOOKUP(TEXT(H434,"0"),IPRESS!$A$3:$B$212,2,0),"")</f>
        <v/>
      </c>
      <c r="J434" s="280" t="n"/>
      <c r="K434" s="332">
        <f>IFERROR(VLOOKUP(TEXT(O434,"0"),CONDUCTORES!$A$3:$G$54,7,0),"")</f>
        <v/>
      </c>
      <c r="L434" s="280" t="n"/>
      <c r="M434" s="280" t="n"/>
      <c r="N434" s="333">
        <f>IFERROR(IF(L434*M434=0,"",L434*M434),"")</f>
        <v/>
      </c>
      <c r="O434" s="280" t="n"/>
      <c r="P434" s="332">
        <f>IFERROR(VLOOKUP(TEXT(O434,"0"),CONDUCTORES!$A$3:$G$54,2,0),"")</f>
        <v/>
      </c>
      <c r="Q434" s="332">
        <f>IFERROR(VLOOKUP(TEXT(O434,"0"),CONDUCTORES!$A$3:$H$54,6,0),"")</f>
        <v/>
      </c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375">
        <f>IF(AND(G434&lt;&gt;"",R434&lt;&gt;"",V434&lt;&gt;"",W434&lt;&gt;""),"COMPLETADO","OBSERVADO")</f>
        <v/>
      </c>
    </row>
    <row r="435" ht="15" customHeight="1" s="195">
      <c r="A435" s="334" t="n"/>
      <c r="B435" s="334" t="n"/>
      <c r="C435" s="334" t="n"/>
      <c r="D435" s="334" t="n"/>
      <c r="E435" s="334" t="n"/>
      <c r="F435" s="334" t="n"/>
      <c r="G435" s="334" t="n"/>
      <c r="H435" s="334" t="n"/>
      <c r="I435" s="332">
        <f>IFERROR(VLOOKUP(TEXT(H435,"0"),IPRESS!$A$3:$B$212,2,0),"")</f>
        <v/>
      </c>
      <c r="J435" s="334" t="n"/>
      <c r="K435" s="332">
        <f>IFERROR(VLOOKUP(TEXT(O435,"0"),CONDUCTORES!$A$3:$G$54,7,0),"")</f>
        <v/>
      </c>
      <c r="L435" s="334" t="n"/>
      <c r="M435" s="334" t="n"/>
      <c r="N435" s="333">
        <f>IFERROR(IF(L435*M435=0,"",L435*M435),"")</f>
        <v/>
      </c>
      <c r="O435" s="334" t="n"/>
      <c r="P435" s="332">
        <f>IFERROR(VLOOKUP(TEXT(O435,"0"),CONDUCTORES!$A$3:$G$54,2,0),"")</f>
        <v/>
      </c>
      <c r="Q435" s="332">
        <f>IFERROR(VLOOKUP(TEXT(O435,"0"),CONDUCTORES!$A$3:$H$54,6,0),"")</f>
        <v/>
      </c>
      <c r="R435" s="334" t="n"/>
      <c r="S435" s="334" t="n"/>
      <c r="T435" s="334" t="n"/>
      <c r="U435" s="334" t="n"/>
      <c r="V435" s="334" t="n"/>
      <c r="W435" s="334" t="n"/>
      <c r="X435" s="334" t="n"/>
      <c r="Y435" s="334" t="n"/>
      <c r="Z435" s="375">
        <f>IF(AND(G435&lt;&gt;"",R435&lt;&gt;"",V435&lt;&gt;"",W435&lt;&gt;""),"COMPLETADO","OBSERVADO")</f>
        <v/>
      </c>
    </row>
    <row r="436" ht="15" customHeight="1" s="195">
      <c r="A436" s="280" t="n"/>
      <c r="B436" s="280" t="n"/>
      <c r="C436" s="280" t="n"/>
      <c r="D436" s="280" t="n"/>
      <c r="E436" s="280" t="n"/>
      <c r="F436" s="280" t="n"/>
      <c r="G436" s="280" t="n"/>
      <c r="H436" s="280" t="n"/>
      <c r="I436" s="332">
        <f>IFERROR(VLOOKUP(TEXT(H436,"0"),IPRESS!$A$3:$B$212,2,0),"")</f>
        <v/>
      </c>
      <c r="J436" s="280" t="n"/>
      <c r="K436" s="332">
        <f>IFERROR(VLOOKUP(TEXT(O436,"0"),CONDUCTORES!$A$3:$G$54,7,0),"")</f>
        <v/>
      </c>
      <c r="L436" s="280" t="n"/>
      <c r="M436" s="280" t="n"/>
      <c r="N436" s="333">
        <f>IFERROR(IF(L436*M436=0,"",L436*M436),"")</f>
        <v/>
      </c>
      <c r="O436" s="280" t="n"/>
      <c r="P436" s="332">
        <f>IFERROR(VLOOKUP(TEXT(O436,"0"),CONDUCTORES!$A$3:$G$54,2,0),"")</f>
        <v/>
      </c>
      <c r="Q436" s="332">
        <f>IFERROR(VLOOKUP(TEXT(O436,"0"),CONDUCTORES!$A$3:$H$54,6,0),"")</f>
        <v/>
      </c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375">
        <f>IF(AND(G436&lt;&gt;"",R436&lt;&gt;"",V436&lt;&gt;"",W436&lt;&gt;""),"COMPLETADO","OBSERVADO")</f>
        <v/>
      </c>
    </row>
    <row r="437" ht="15" customHeight="1" s="195">
      <c r="A437" s="334" t="n"/>
      <c r="B437" s="334" t="n"/>
      <c r="C437" s="334" t="n"/>
      <c r="D437" s="334" t="n"/>
      <c r="E437" s="334" t="n"/>
      <c r="F437" s="334" t="n"/>
      <c r="G437" s="334" t="n"/>
      <c r="H437" s="334" t="n"/>
      <c r="I437" s="332">
        <f>IFERROR(VLOOKUP(TEXT(H437,"0"),IPRESS!$A$3:$B$212,2,0),"")</f>
        <v/>
      </c>
      <c r="J437" s="334" t="n"/>
      <c r="K437" s="332">
        <f>IFERROR(VLOOKUP(TEXT(O437,"0"),CONDUCTORES!$A$3:$G$54,7,0),"")</f>
        <v/>
      </c>
      <c r="L437" s="334" t="n"/>
      <c r="M437" s="334" t="n"/>
      <c r="N437" s="333">
        <f>IFERROR(IF(L437*M437=0,"",L437*M437),"")</f>
        <v/>
      </c>
      <c r="O437" s="334" t="n"/>
      <c r="P437" s="332">
        <f>IFERROR(VLOOKUP(TEXT(O437,"0"),CONDUCTORES!$A$3:$G$54,2,0),"")</f>
        <v/>
      </c>
      <c r="Q437" s="332">
        <f>IFERROR(VLOOKUP(TEXT(O437,"0"),CONDUCTORES!$A$3:$H$54,6,0),"")</f>
        <v/>
      </c>
      <c r="R437" s="334" t="n"/>
      <c r="S437" s="334" t="n"/>
      <c r="T437" s="334" t="n"/>
      <c r="U437" s="334" t="n"/>
      <c r="V437" s="334" t="n"/>
      <c r="W437" s="334" t="n"/>
      <c r="X437" s="334" t="n"/>
      <c r="Y437" s="334" t="n"/>
      <c r="Z437" s="375">
        <f>IF(AND(G437&lt;&gt;"",R437&lt;&gt;"",V437&lt;&gt;"",W437&lt;&gt;""),"COMPLETADO","OBSERVADO")</f>
        <v/>
      </c>
    </row>
    <row r="438" ht="15" customHeight="1" s="195">
      <c r="A438" s="280" t="n"/>
      <c r="B438" s="280" t="n"/>
      <c r="C438" s="280" t="n"/>
      <c r="D438" s="280" t="n"/>
      <c r="E438" s="280" t="n"/>
      <c r="F438" s="280" t="n"/>
      <c r="G438" s="280" t="n"/>
      <c r="H438" s="280" t="n"/>
      <c r="I438" s="332">
        <f>IFERROR(VLOOKUP(TEXT(H438,"0"),IPRESS!$A$3:$B$212,2,0),"")</f>
        <v/>
      </c>
      <c r="J438" s="280" t="n"/>
      <c r="K438" s="332">
        <f>IFERROR(VLOOKUP(TEXT(O438,"0"),CONDUCTORES!$A$3:$G$54,7,0),"")</f>
        <v/>
      </c>
      <c r="L438" s="280" t="n"/>
      <c r="M438" s="280" t="n"/>
      <c r="N438" s="333">
        <f>IFERROR(IF(L438*M438=0,"",L438*M438),"")</f>
        <v/>
      </c>
      <c r="O438" s="280" t="n"/>
      <c r="P438" s="332">
        <f>IFERROR(VLOOKUP(TEXT(O438,"0"),CONDUCTORES!$A$3:$G$54,2,0),"")</f>
        <v/>
      </c>
      <c r="Q438" s="332">
        <f>IFERROR(VLOOKUP(TEXT(O438,"0"),CONDUCTORES!$A$3:$H$54,6,0),"")</f>
        <v/>
      </c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375">
        <f>IF(AND(G438&lt;&gt;"",R438&lt;&gt;"",V438&lt;&gt;"",W438&lt;&gt;""),"COMPLETADO","OBSERVADO")</f>
        <v/>
      </c>
    </row>
    <row r="439" ht="15" customHeight="1" s="195">
      <c r="A439" s="334" t="n"/>
      <c r="B439" s="334" t="n"/>
      <c r="C439" s="334" t="n"/>
      <c r="D439" s="334" t="n"/>
      <c r="E439" s="334" t="n"/>
      <c r="F439" s="334" t="n"/>
      <c r="G439" s="334" t="n"/>
      <c r="H439" s="334" t="n"/>
      <c r="I439" s="332">
        <f>IFERROR(VLOOKUP(TEXT(H439,"0"),IPRESS!$A$3:$B$212,2,0),"")</f>
        <v/>
      </c>
      <c r="J439" s="334" t="n"/>
      <c r="K439" s="332">
        <f>IFERROR(VLOOKUP(TEXT(O439,"0"),CONDUCTORES!$A$3:$G$54,7,0),"")</f>
        <v/>
      </c>
      <c r="L439" s="334" t="n"/>
      <c r="M439" s="334" t="n"/>
      <c r="N439" s="333">
        <f>IFERROR(IF(L439*M439=0,"",L439*M439),"")</f>
        <v/>
      </c>
      <c r="O439" s="334" t="n"/>
      <c r="P439" s="332">
        <f>IFERROR(VLOOKUP(TEXT(O439,"0"),CONDUCTORES!$A$3:$G$54,2,0),"")</f>
        <v/>
      </c>
      <c r="Q439" s="332">
        <f>IFERROR(VLOOKUP(TEXT(O439,"0"),CONDUCTORES!$A$3:$H$54,6,0),"")</f>
        <v/>
      </c>
      <c r="R439" s="334" t="n"/>
      <c r="S439" s="334" t="n"/>
      <c r="T439" s="334" t="n"/>
      <c r="U439" s="334" t="n"/>
      <c r="V439" s="334" t="n"/>
      <c r="W439" s="334" t="n"/>
      <c r="X439" s="334" t="n"/>
      <c r="Y439" s="334" t="n"/>
      <c r="Z439" s="375">
        <f>IF(AND(G439&lt;&gt;"",R439&lt;&gt;"",V439&lt;&gt;"",W439&lt;&gt;""),"COMPLETADO","OBSERVADO")</f>
        <v/>
      </c>
    </row>
    <row r="440" ht="15" customHeight="1" s="195">
      <c r="A440" s="280" t="n"/>
      <c r="B440" s="280" t="n"/>
      <c r="C440" s="280" t="n"/>
      <c r="D440" s="280" t="n"/>
      <c r="E440" s="280" t="n"/>
      <c r="F440" s="280" t="n"/>
      <c r="G440" s="280" t="n"/>
      <c r="H440" s="280" t="n"/>
      <c r="I440" s="332">
        <f>IFERROR(VLOOKUP(TEXT(H440,"0"),IPRESS!$A$3:$B$212,2,0),"")</f>
        <v/>
      </c>
      <c r="J440" s="280" t="n"/>
      <c r="K440" s="332">
        <f>IFERROR(VLOOKUP(TEXT(O440,"0"),CONDUCTORES!$A$3:$G$54,7,0),"")</f>
        <v/>
      </c>
      <c r="L440" s="280" t="n"/>
      <c r="M440" s="280" t="n"/>
      <c r="N440" s="333">
        <f>IFERROR(IF(L440*M440=0,"",L440*M440),"")</f>
        <v/>
      </c>
      <c r="O440" s="280" t="n"/>
      <c r="P440" s="332">
        <f>IFERROR(VLOOKUP(TEXT(O440,"0"),CONDUCTORES!$A$3:$G$54,2,0),"")</f>
        <v/>
      </c>
      <c r="Q440" s="332">
        <f>IFERROR(VLOOKUP(TEXT(O440,"0"),CONDUCTORES!$A$3:$H$54,6,0),"")</f>
        <v/>
      </c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375">
        <f>IF(AND(G440&lt;&gt;"",R440&lt;&gt;"",V440&lt;&gt;"",W440&lt;&gt;""),"COMPLETADO","OBSERVADO")</f>
        <v/>
      </c>
    </row>
    <row r="441" ht="15" customHeight="1" s="195">
      <c r="A441" s="334" t="n"/>
      <c r="B441" s="334" t="n"/>
      <c r="C441" s="334" t="n"/>
      <c r="D441" s="334" t="n"/>
      <c r="E441" s="334" t="n"/>
      <c r="F441" s="334" t="n"/>
      <c r="G441" s="334" t="n"/>
      <c r="H441" s="334" t="n"/>
      <c r="I441" s="332">
        <f>IFERROR(VLOOKUP(TEXT(H441,"0"),IPRESS!$A$3:$B$212,2,0),"")</f>
        <v/>
      </c>
      <c r="J441" s="334" t="n"/>
      <c r="K441" s="332">
        <f>IFERROR(VLOOKUP(TEXT(O441,"0"),CONDUCTORES!$A$3:$G$54,7,0),"")</f>
        <v/>
      </c>
      <c r="L441" s="334" t="n"/>
      <c r="M441" s="334" t="n"/>
      <c r="N441" s="333">
        <f>IFERROR(IF(L441*M441=0,"",L441*M441),"")</f>
        <v/>
      </c>
      <c r="O441" s="334" t="n"/>
      <c r="P441" s="332">
        <f>IFERROR(VLOOKUP(TEXT(O441,"0"),CONDUCTORES!$A$3:$G$54,2,0),"")</f>
        <v/>
      </c>
      <c r="Q441" s="332">
        <f>IFERROR(VLOOKUP(TEXT(O441,"0"),CONDUCTORES!$A$3:$H$54,6,0),"")</f>
        <v/>
      </c>
      <c r="R441" s="334" t="n"/>
      <c r="S441" s="334" t="n"/>
      <c r="T441" s="334" t="n"/>
      <c r="U441" s="334" t="n"/>
      <c r="V441" s="334" t="n"/>
      <c r="W441" s="334" t="n"/>
      <c r="X441" s="334" t="n"/>
      <c r="Y441" s="334" t="n"/>
      <c r="Z441" s="375">
        <f>IF(AND(G441&lt;&gt;"",R441&lt;&gt;"",V441&lt;&gt;"",W441&lt;&gt;""),"COMPLETADO","OBSERVADO")</f>
        <v/>
      </c>
    </row>
    <row r="442" ht="15" customHeight="1" s="195">
      <c r="A442" s="280" t="n"/>
      <c r="B442" s="280" t="n"/>
      <c r="C442" s="280" t="n"/>
      <c r="D442" s="280" t="n"/>
      <c r="E442" s="280" t="n"/>
      <c r="F442" s="280" t="n"/>
      <c r="G442" s="280" t="n"/>
      <c r="H442" s="280" t="n"/>
      <c r="I442" s="332">
        <f>IFERROR(VLOOKUP(TEXT(H442,"0"),IPRESS!$A$3:$B$212,2,0),"")</f>
        <v/>
      </c>
      <c r="J442" s="280" t="n"/>
      <c r="K442" s="332">
        <f>IFERROR(VLOOKUP(TEXT(O442,"0"),CONDUCTORES!$A$3:$G$54,7,0),"")</f>
        <v/>
      </c>
      <c r="L442" s="280" t="n"/>
      <c r="M442" s="280" t="n"/>
      <c r="N442" s="333">
        <f>IFERROR(IF(L442*M442=0,"",L442*M442),"")</f>
        <v/>
      </c>
      <c r="O442" s="280" t="n"/>
      <c r="P442" s="332">
        <f>IFERROR(VLOOKUP(TEXT(O442,"0"),CONDUCTORES!$A$3:$G$54,2,0),"")</f>
        <v/>
      </c>
      <c r="Q442" s="332">
        <f>IFERROR(VLOOKUP(TEXT(O442,"0"),CONDUCTORES!$A$3:$H$54,6,0),"")</f>
        <v/>
      </c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375">
        <f>IF(AND(G442&lt;&gt;"",R442&lt;&gt;"",V442&lt;&gt;"",W442&lt;&gt;""),"COMPLETADO","OBSERVADO")</f>
        <v/>
      </c>
    </row>
    <row r="443" ht="15" customHeight="1" s="195">
      <c r="A443" s="334" t="n"/>
      <c r="B443" s="334" t="n"/>
      <c r="C443" s="334" t="n"/>
      <c r="D443" s="334" t="n"/>
      <c r="E443" s="334" t="n"/>
      <c r="F443" s="334" t="n"/>
      <c r="G443" s="334" t="n"/>
      <c r="H443" s="334" t="n"/>
      <c r="I443" s="332">
        <f>IFERROR(VLOOKUP(TEXT(H443,"0"),IPRESS!$A$3:$B$212,2,0),"")</f>
        <v/>
      </c>
      <c r="J443" s="334" t="n"/>
      <c r="K443" s="332">
        <f>IFERROR(VLOOKUP(TEXT(O443,"0"),CONDUCTORES!$A$3:$G$54,7,0),"")</f>
        <v/>
      </c>
      <c r="L443" s="334" t="n"/>
      <c r="M443" s="334" t="n"/>
      <c r="N443" s="333">
        <f>IFERROR(IF(L443*M443=0,"",L443*M443),"")</f>
        <v/>
      </c>
      <c r="O443" s="334" t="n"/>
      <c r="P443" s="332">
        <f>IFERROR(VLOOKUP(TEXT(O443,"0"),CONDUCTORES!$A$3:$G$54,2,0),"")</f>
        <v/>
      </c>
      <c r="Q443" s="332">
        <f>IFERROR(VLOOKUP(TEXT(O443,"0"),CONDUCTORES!$A$3:$H$54,6,0),"")</f>
        <v/>
      </c>
      <c r="R443" s="334" t="n"/>
      <c r="S443" s="334" t="n"/>
      <c r="T443" s="334" t="n"/>
      <c r="U443" s="334" t="n"/>
      <c r="V443" s="334" t="n"/>
      <c r="W443" s="334" t="n"/>
      <c r="X443" s="334" t="n"/>
      <c r="Y443" s="334" t="n"/>
      <c r="Z443" s="375">
        <f>IF(AND(G443&lt;&gt;"",R443&lt;&gt;"",V443&lt;&gt;"",W443&lt;&gt;""),"COMPLETADO","OBSERVADO")</f>
        <v/>
      </c>
    </row>
    <row r="444" ht="15" customHeight="1" s="195">
      <c r="A444" s="280" t="n"/>
      <c r="B444" s="280" t="n"/>
      <c r="C444" s="280" t="n"/>
      <c r="D444" s="280" t="n"/>
      <c r="E444" s="280" t="n"/>
      <c r="F444" s="280" t="n"/>
      <c r="G444" s="280" t="n"/>
      <c r="H444" s="280" t="n"/>
      <c r="I444" s="332">
        <f>IFERROR(VLOOKUP(TEXT(H444,"0"),IPRESS!$A$3:$B$212,2,0),"")</f>
        <v/>
      </c>
      <c r="J444" s="280" t="n"/>
      <c r="K444" s="332">
        <f>IFERROR(VLOOKUP(TEXT(O444,"0"),CONDUCTORES!$A$3:$G$54,7,0),"")</f>
        <v/>
      </c>
      <c r="L444" s="280" t="n"/>
      <c r="M444" s="280" t="n"/>
      <c r="N444" s="333">
        <f>IFERROR(IF(L444*M444=0,"",L444*M444),"")</f>
        <v/>
      </c>
      <c r="O444" s="280" t="n"/>
      <c r="P444" s="332">
        <f>IFERROR(VLOOKUP(TEXT(O444,"0"),CONDUCTORES!$A$3:$G$54,2,0),"")</f>
        <v/>
      </c>
      <c r="Q444" s="332">
        <f>IFERROR(VLOOKUP(TEXT(O444,"0"),CONDUCTORES!$A$3:$H$54,6,0),"")</f>
        <v/>
      </c>
      <c r="R444" s="280" t="n"/>
      <c r="S444" s="280" t="n"/>
      <c r="T444" s="280" t="n"/>
      <c r="U444" s="280" t="n"/>
      <c r="V444" s="280" t="n"/>
      <c r="W444" s="280" t="n"/>
      <c r="X444" s="280" t="n"/>
      <c r="Y444" s="280" t="n"/>
      <c r="Z444" s="375">
        <f>IF(AND(G444&lt;&gt;"",R444&lt;&gt;"",V444&lt;&gt;"",W444&lt;&gt;""),"COMPLETADO","OBSERVADO")</f>
        <v/>
      </c>
    </row>
    <row r="445" ht="15" customHeight="1" s="195">
      <c r="A445" s="334" t="n"/>
      <c r="B445" s="334" t="n"/>
      <c r="C445" s="334" t="n"/>
      <c r="D445" s="334" t="n"/>
      <c r="E445" s="334" t="n"/>
      <c r="F445" s="334" t="n"/>
      <c r="G445" s="334" t="n"/>
      <c r="H445" s="334" t="n"/>
      <c r="I445" s="332">
        <f>IFERROR(VLOOKUP(TEXT(H445,"0"),IPRESS!$A$3:$B$212,2,0),"")</f>
        <v/>
      </c>
      <c r="J445" s="334" t="n"/>
      <c r="K445" s="332">
        <f>IFERROR(VLOOKUP(TEXT(O445,"0"),CONDUCTORES!$A$3:$G$54,7,0),"")</f>
        <v/>
      </c>
      <c r="L445" s="334" t="n"/>
      <c r="M445" s="334" t="n"/>
      <c r="N445" s="333">
        <f>IFERROR(IF(L445*M445=0,"",L445*M445),"")</f>
        <v/>
      </c>
      <c r="O445" s="334" t="n"/>
      <c r="P445" s="332">
        <f>IFERROR(VLOOKUP(TEXT(O445,"0"),CONDUCTORES!$A$3:$G$54,2,0),"")</f>
        <v/>
      </c>
      <c r="Q445" s="332">
        <f>IFERROR(VLOOKUP(TEXT(O445,"0"),CONDUCTORES!$A$3:$H$54,6,0),"")</f>
        <v/>
      </c>
      <c r="R445" s="334" t="n"/>
      <c r="S445" s="334" t="n"/>
      <c r="T445" s="334" t="n"/>
      <c r="U445" s="334" t="n"/>
      <c r="V445" s="334" t="n"/>
      <c r="W445" s="334" t="n"/>
      <c r="X445" s="334" t="n"/>
      <c r="Y445" s="334" t="n"/>
      <c r="Z445" s="375">
        <f>IF(AND(G445&lt;&gt;"",R445&lt;&gt;"",V445&lt;&gt;"",W445&lt;&gt;""),"COMPLETADO","OBSERVADO")</f>
        <v/>
      </c>
    </row>
    <row r="446" ht="15" customHeight="1" s="195">
      <c r="A446" s="280" t="n"/>
      <c r="B446" s="280" t="n"/>
      <c r="C446" s="280" t="n"/>
      <c r="D446" s="280" t="n"/>
      <c r="E446" s="280" t="n"/>
      <c r="F446" s="280" t="n"/>
      <c r="G446" s="280" t="n"/>
      <c r="H446" s="280" t="n"/>
      <c r="I446" s="332">
        <f>IFERROR(VLOOKUP(TEXT(H446,"0"),IPRESS!$A$3:$B$212,2,0),"")</f>
        <v/>
      </c>
      <c r="J446" s="280" t="n"/>
      <c r="K446" s="332">
        <f>IFERROR(VLOOKUP(TEXT(O446,"0"),CONDUCTORES!$A$3:$G$54,7,0),"")</f>
        <v/>
      </c>
      <c r="L446" s="280" t="n"/>
      <c r="M446" s="280" t="n"/>
      <c r="N446" s="333">
        <f>IFERROR(IF(L446*M446=0,"",L446*M446),"")</f>
        <v/>
      </c>
      <c r="O446" s="280" t="n"/>
      <c r="P446" s="332">
        <f>IFERROR(VLOOKUP(TEXT(O446,"0"),CONDUCTORES!$A$3:$G$54,2,0),"")</f>
        <v/>
      </c>
      <c r="Q446" s="332">
        <f>IFERROR(VLOOKUP(TEXT(O446,"0"),CONDUCTORES!$A$3:$H$54,6,0),"")</f>
        <v/>
      </c>
      <c r="R446" s="280" t="n"/>
      <c r="S446" s="280" t="n"/>
      <c r="T446" s="280" t="n"/>
      <c r="U446" s="280" t="n"/>
      <c r="V446" s="280" t="n"/>
      <c r="W446" s="280" t="n"/>
      <c r="X446" s="280" t="n"/>
      <c r="Y446" s="280" t="n"/>
      <c r="Z446" s="375">
        <f>IF(AND(G446&lt;&gt;"",R446&lt;&gt;"",V446&lt;&gt;"",W446&lt;&gt;""),"COMPLETADO","OBSERVADO")</f>
        <v/>
      </c>
    </row>
    <row r="447" ht="15" customHeight="1" s="195">
      <c r="A447" s="334" t="n"/>
      <c r="B447" s="334" t="n"/>
      <c r="C447" s="334" t="n"/>
      <c r="D447" s="334" t="n"/>
      <c r="E447" s="334" t="n"/>
      <c r="F447" s="334" t="n"/>
      <c r="G447" s="334" t="n"/>
      <c r="H447" s="334" t="n"/>
      <c r="I447" s="332">
        <f>IFERROR(VLOOKUP(TEXT(H447,"0"),IPRESS!$A$3:$B$212,2,0),"")</f>
        <v/>
      </c>
      <c r="J447" s="334" t="n"/>
      <c r="K447" s="332">
        <f>IFERROR(VLOOKUP(TEXT(O447,"0"),CONDUCTORES!$A$3:$G$54,7,0),"")</f>
        <v/>
      </c>
      <c r="L447" s="334" t="n"/>
      <c r="M447" s="334" t="n"/>
      <c r="N447" s="333">
        <f>IFERROR(IF(L447*M447=0,"",L447*M447),"")</f>
        <v/>
      </c>
      <c r="O447" s="334" t="n"/>
      <c r="P447" s="332">
        <f>IFERROR(VLOOKUP(TEXT(O447,"0"),CONDUCTORES!$A$3:$G$54,2,0),"")</f>
        <v/>
      </c>
      <c r="Q447" s="332">
        <f>IFERROR(VLOOKUP(TEXT(O447,"0"),CONDUCTORES!$A$3:$H$54,6,0),"")</f>
        <v/>
      </c>
      <c r="R447" s="334" t="n"/>
      <c r="S447" s="334" t="n"/>
      <c r="T447" s="334" t="n"/>
      <c r="U447" s="334" t="n"/>
      <c r="V447" s="334" t="n"/>
      <c r="W447" s="334" t="n"/>
      <c r="X447" s="334" t="n"/>
      <c r="Y447" s="334" t="n"/>
      <c r="Z447" s="375">
        <f>IF(AND(G447&lt;&gt;"",R447&lt;&gt;"",V447&lt;&gt;"",W447&lt;&gt;""),"COMPLETADO","OBSERVADO")</f>
        <v/>
      </c>
    </row>
    <row r="448" ht="15" customHeight="1" s="195">
      <c r="A448" s="280" t="n"/>
      <c r="B448" s="280" t="n"/>
      <c r="C448" s="280" t="n"/>
      <c r="D448" s="280" t="n"/>
      <c r="E448" s="280" t="n"/>
      <c r="F448" s="280" t="n"/>
      <c r="G448" s="280" t="n"/>
      <c r="H448" s="280" t="n"/>
      <c r="I448" s="332">
        <f>IFERROR(VLOOKUP(TEXT(H448,"0"),IPRESS!$A$3:$B$212,2,0),"")</f>
        <v/>
      </c>
      <c r="J448" s="280" t="n"/>
      <c r="K448" s="332">
        <f>IFERROR(VLOOKUP(TEXT(O448,"0"),CONDUCTORES!$A$3:$G$54,7,0),"")</f>
        <v/>
      </c>
      <c r="L448" s="280" t="n"/>
      <c r="M448" s="280" t="n"/>
      <c r="N448" s="333">
        <f>IFERROR(IF(L448*M448=0,"",L448*M448),"")</f>
        <v/>
      </c>
      <c r="O448" s="280" t="n"/>
      <c r="P448" s="332">
        <f>IFERROR(VLOOKUP(TEXT(O448,"0"),CONDUCTORES!$A$3:$G$54,2,0),"")</f>
        <v/>
      </c>
      <c r="Q448" s="332">
        <f>IFERROR(VLOOKUP(TEXT(O448,"0"),CONDUCTORES!$A$3:$H$54,6,0),"")</f>
        <v/>
      </c>
      <c r="R448" s="280" t="n"/>
      <c r="S448" s="280" t="n"/>
      <c r="T448" s="280" t="n"/>
      <c r="U448" s="280" t="n"/>
      <c r="V448" s="280" t="n"/>
      <c r="W448" s="280" t="n"/>
      <c r="X448" s="280" t="n"/>
      <c r="Y448" s="280" t="n"/>
      <c r="Z448" s="375">
        <f>IF(AND(G448&lt;&gt;"",R448&lt;&gt;"",V448&lt;&gt;"",W448&lt;&gt;""),"COMPLETADO","OBSERVADO")</f>
        <v/>
      </c>
    </row>
    <row r="449" ht="15" customHeight="1" s="195">
      <c r="A449" s="334" t="n"/>
      <c r="B449" s="334" t="n"/>
      <c r="C449" s="334" t="n"/>
      <c r="D449" s="334" t="n"/>
      <c r="E449" s="334" t="n"/>
      <c r="F449" s="334" t="n"/>
      <c r="G449" s="334" t="n"/>
      <c r="H449" s="334" t="n"/>
      <c r="I449" s="332">
        <f>IFERROR(VLOOKUP(TEXT(H449,"0"),IPRESS!$A$3:$B$212,2,0),"")</f>
        <v/>
      </c>
      <c r="J449" s="334" t="n"/>
      <c r="K449" s="332">
        <f>IFERROR(VLOOKUP(TEXT(O449,"0"),CONDUCTORES!$A$3:$G$54,7,0),"")</f>
        <v/>
      </c>
      <c r="L449" s="334" t="n"/>
      <c r="M449" s="334" t="n"/>
      <c r="N449" s="333">
        <f>IFERROR(IF(L449*M449=0,"",L449*M449),"")</f>
        <v/>
      </c>
      <c r="O449" s="334" t="n"/>
      <c r="P449" s="332">
        <f>IFERROR(VLOOKUP(TEXT(O449,"0"),CONDUCTORES!$A$3:$G$54,2,0),"")</f>
        <v/>
      </c>
      <c r="Q449" s="332">
        <f>IFERROR(VLOOKUP(TEXT(O449,"0"),CONDUCTORES!$A$3:$H$54,6,0),"")</f>
        <v/>
      </c>
      <c r="R449" s="334" t="n"/>
      <c r="S449" s="334" t="n"/>
      <c r="T449" s="334" t="n"/>
      <c r="U449" s="334" t="n"/>
      <c r="V449" s="334" t="n"/>
      <c r="W449" s="334" t="n"/>
      <c r="X449" s="334" t="n"/>
      <c r="Y449" s="334" t="n"/>
      <c r="Z449" s="375">
        <f>IF(AND(G449&lt;&gt;"",R449&lt;&gt;"",V449&lt;&gt;"",W449&lt;&gt;""),"COMPLETADO","OBSERVADO")</f>
        <v/>
      </c>
    </row>
    <row r="450" ht="15" customHeight="1" s="195">
      <c r="A450" s="280" t="n"/>
      <c r="B450" s="280" t="n"/>
      <c r="C450" s="280" t="n"/>
      <c r="D450" s="280" t="n"/>
      <c r="E450" s="280" t="n"/>
      <c r="F450" s="280" t="n"/>
      <c r="G450" s="280" t="n"/>
      <c r="H450" s="280" t="n"/>
      <c r="I450" s="332">
        <f>IFERROR(VLOOKUP(TEXT(H450,"0"),IPRESS!$A$3:$B$212,2,0),"")</f>
        <v/>
      </c>
      <c r="J450" s="280" t="n"/>
      <c r="K450" s="332">
        <f>IFERROR(VLOOKUP(TEXT(O450,"0"),CONDUCTORES!$A$3:$G$54,7,0),"")</f>
        <v/>
      </c>
      <c r="L450" s="280" t="n"/>
      <c r="M450" s="280" t="n"/>
      <c r="N450" s="333">
        <f>IFERROR(IF(L450*M450=0,"",L450*M450),"")</f>
        <v/>
      </c>
      <c r="O450" s="280" t="n"/>
      <c r="P450" s="332">
        <f>IFERROR(VLOOKUP(TEXT(O450,"0"),CONDUCTORES!$A$3:$G$54,2,0),"")</f>
        <v/>
      </c>
      <c r="Q450" s="332">
        <f>IFERROR(VLOOKUP(TEXT(O450,"0"),CONDUCTORES!$A$3:$H$54,6,0),"")</f>
        <v/>
      </c>
      <c r="R450" s="280" t="n"/>
      <c r="S450" s="280" t="n"/>
      <c r="T450" s="280" t="n"/>
      <c r="U450" s="280" t="n"/>
      <c r="V450" s="280" t="n"/>
      <c r="W450" s="280" t="n"/>
      <c r="X450" s="280" t="n"/>
      <c r="Y450" s="280" t="n"/>
      <c r="Z450" s="375">
        <f>IF(AND(G450&lt;&gt;"",R450&lt;&gt;"",V450&lt;&gt;"",W450&lt;&gt;""),"COMPLETADO","OBSERVADO")</f>
        <v/>
      </c>
    </row>
    <row r="451" ht="15" customHeight="1" s="195">
      <c r="A451" s="334" t="n"/>
      <c r="B451" s="334" t="n"/>
      <c r="C451" s="334" t="n"/>
      <c r="D451" s="334" t="n"/>
      <c r="E451" s="334" t="n"/>
      <c r="F451" s="334" t="n"/>
      <c r="G451" s="334" t="n"/>
      <c r="H451" s="334" t="n"/>
      <c r="I451" s="332">
        <f>IFERROR(VLOOKUP(TEXT(H451,"0"),IPRESS!$A$3:$B$212,2,0),"")</f>
        <v/>
      </c>
      <c r="J451" s="334" t="n"/>
      <c r="K451" s="332">
        <f>IFERROR(VLOOKUP(TEXT(O451,"0"),CONDUCTORES!$A$3:$G$54,7,0),"")</f>
        <v/>
      </c>
      <c r="L451" s="334" t="n"/>
      <c r="M451" s="334" t="n"/>
      <c r="N451" s="333">
        <f>IFERROR(IF(L451*M451=0,"",L451*M451),"")</f>
        <v/>
      </c>
      <c r="O451" s="334" t="n"/>
      <c r="P451" s="332">
        <f>IFERROR(VLOOKUP(TEXT(O451,"0"),CONDUCTORES!$A$3:$G$54,2,0),"")</f>
        <v/>
      </c>
      <c r="Q451" s="332">
        <f>IFERROR(VLOOKUP(TEXT(O451,"0"),CONDUCTORES!$A$3:$H$54,6,0),"")</f>
        <v/>
      </c>
      <c r="R451" s="334" t="n"/>
      <c r="S451" s="334" t="n"/>
      <c r="T451" s="334" t="n"/>
      <c r="U451" s="334" t="n"/>
      <c r="V451" s="334" t="n"/>
      <c r="W451" s="334" t="n"/>
      <c r="X451" s="334" t="n"/>
      <c r="Y451" s="334" t="n"/>
      <c r="Z451" s="375">
        <f>IF(AND(G451&lt;&gt;"",R451&lt;&gt;"",V451&lt;&gt;"",W451&lt;&gt;""),"COMPLETADO","OBSERVADO")</f>
        <v/>
      </c>
    </row>
    <row r="452" ht="15" customHeight="1" s="195">
      <c r="A452" s="280" t="n"/>
      <c r="B452" s="280" t="n"/>
      <c r="C452" s="280" t="n"/>
      <c r="D452" s="280" t="n"/>
      <c r="E452" s="280" t="n"/>
      <c r="F452" s="280" t="n"/>
      <c r="G452" s="280" t="n"/>
      <c r="H452" s="280" t="n"/>
      <c r="I452" s="332">
        <f>IFERROR(VLOOKUP(TEXT(H452,"0"),IPRESS!$A$3:$B$212,2,0),"")</f>
        <v/>
      </c>
      <c r="J452" s="280" t="n"/>
      <c r="K452" s="332">
        <f>IFERROR(VLOOKUP(TEXT(O452,"0"),CONDUCTORES!$A$3:$G$54,7,0),"")</f>
        <v/>
      </c>
      <c r="L452" s="280" t="n"/>
      <c r="M452" s="280" t="n"/>
      <c r="N452" s="333">
        <f>IFERROR(IF(L452*M452=0,"",L452*M452),"")</f>
        <v/>
      </c>
      <c r="O452" s="280" t="n"/>
      <c r="P452" s="332">
        <f>IFERROR(VLOOKUP(TEXT(O452,"0"),CONDUCTORES!$A$3:$G$54,2,0),"")</f>
        <v/>
      </c>
      <c r="Q452" s="332">
        <f>IFERROR(VLOOKUP(TEXT(O452,"0"),CONDUCTORES!$A$3:$H$54,6,0),"")</f>
        <v/>
      </c>
      <c r="R452" s="280" t="n"/>
      <c r="S452" s="280" t="n"/>
      <c r="T452" s="280" t="n"/>
      <c r="U452" s="280" t="n"/>
      <c r="V452" s="280" t="n"/>
      <c r="W452" s="280" t="n"/>
      <c r="X452" s="280" t="n"/>
      <c r="Y452" s="280" t="n"/>
      <c r="Z452" s="375">
        <f>IF(AND(G452&lt;&gt;"",R452&lt;&gt;"",V452&lt;&gt;"",W452&lt;&gt;""),"COMPLETADO","OBSERVADO")</f>
        <v/>
      </c>
    </row>
    <row r="453" ht="15" customHeight="1" s="195">
      <c r="A453" s="334" t="n"/>
      <c r="B453" s="334" t="n"/>
      <c r="C453" s="334" t="n"/>
      <c r="D453" s="334" t="n"/>
      <c r="E453" s="334" t="n"/>
      <c r="F453" s="334" t="n"/>
      <c r="G453" s="334" t="n"/>
      <c r="H453" s="334" t="n"/>
      <c r="I453" s="332">
        <f>IFERROR(VLOOKUP(TEXT(H453,"0"),IPRESS!$A$3:$B$212,2,0),"")</f>
        <v/>
      </c>
      <c r="J453" s="334" t="n"/>
      <c r="K453" s="332">
        <f>IFERROR(VLOOKUP(TEXT(O453,"0"),CONDUCTORES!$A$3:$G$54,7,0),"")</f>
        <v/>
      </c>
      <c r="L453" s="334" t="n"/>
      <c r="M453" s="334" t="n"/>
      <c r="N453" s="333">
        <f>IFERROR(IF(L453*M453=0,"",L453*M453),"")</f>
        <v/>
      </c>
      <c r="O453" s="334" t="n"/>
      <c r="P453" s="332">
        <f>IFERROR(VLOOKUP(TEXT(O453,"0"),CONDUCTORES!$A$3:$G$54,2,0),"")</f>
        <v/>
      </c>
      <c r="Q453" s="332">
        <f>IFERROR(VLOOKUP(TEXT(O453,"0"),CONDUCTORES!$A$3:$H$54,6,0),"")</f>
        <v/>
      </c>
      <c r="R453" s="334" t="n"/>
      <c r="S453" s="334" t="n"/>
      <c r="T453" s="334" t="n"/>
      <c r="U453" s="334" t="n"/>
      <c r="V453" s="334" t="n"/>
      <c r="W453" s="334" t="n"/>
      <c r="X453" s="334" t="n"/>
      <c r="Y453" s="334" t="n"/>
      <c r="Z453" s="375">
        <f>IF(AND(G453&lt;&gt;"",R453&lt;&gt;"",V453&lt;&gt;"",W453&lt;&gt;""),"COMPLETADO","OBSERVADO")</f>
        <v/>
      </c>
    </row>
    <row r="454" ht="15" customHeight="1" s="195">
      <c r="A454" s="280" t="n"/>
      <c r="B454" s="280" t="n"/>
      <c r="C454" s="280" t="n"/>
      <c r="D454" s="280" t="n"/>
      <c r="E454" s="280" t="n"/>
      <c r="F454" s="280" t="n"/>
      <c r="G454" s="280" t="n"/>
      <c r="H454" s="280" t="n"/>
      <c r="I454" s="332">
        <f>IFERROR(VLOOKUP(TEXT(H454,"0"),IPRESS!$A$3:$B$212,2,0),"")</f>
        <v/>
      </c>
      <c r="J454" s="280" t="n"/>
      <c r="K454" s="332">
        <f>IFERROR(VLOOKUP(TEXT(O454,"0"),CONDUCTORES!$A$3:$G$54,7,0),"")</f>
        <v/>
      </c>
      <c r="L454" s="280" t="n"/>
      <c r="M454" s="280" t="n"/>
      <c r="N454" s="333">
        <f>IFERROR(IF(L454*M454=0,"",L454*M454),"")</f>
        <v/>
      </c>
      <c r="O454" s="280" t="n"/>
      <c r="P454" s="332">
        <f>IFERROR(VLOOKUP(TEXT(O454,"0"),CONDUCTORES!$A$3:$G$54,2,0),"")</f>
        <v/>
      </c>
      <c r="Q454" s="332">
        <f>IFERROR(VLOOKUP(TEXT(O454,"0"),CONDUCTORES!$A$3:$H$54,6,0),"")</f>
        <v/>
      </c>
      <c r="R454" s="280" t="n"/>
      <c r="S454" s="280" t="n"/>
      <c r="T454" s="280" t="n"/>
      <c r="U454" s="280" t="n"/>
      <c r="V454" s="280" t="n"/>
      <c r="W454" s="280" t="n"/>
      <c r="X454" s="280" t="n"/>
      <c r="Y454" s="280" t="n"/>
      <c r="Z454" s="375">
        <f>IF(AND(G454&lt;&gt;"",R454&lt;&gt;"",V454&lt;&gt;"",W454&lt;&gt;""),"COMPLETADO","OBSERVADO")</f>
        <v/>
      </c>
    </row>
    <row r="455" ht="15" customHeight="1" s="195">
      <c r="A455" s="334" t="n"/>
      <c r="B455" s="334" t="n"/>
      <c r="C455" s="334" t="n"/>
      <c r="D455" s="334" t="n"/>
      <c r="E455" s="334" t="n"/>
      <c r="F455" s="334" t="n"/>
      <c r="G455" s="334" t="n"/>
      <c r="H455" s="334" t="n"/>
      <c r="I455" s="332">
        <f>IFERROR(VLOOKUP(TEXT(H455,"0"),IPRESS!$A$3:$B$212,2,0),"")</f>
        <v/>
      </c>
      <c r="J455" s="334" t="n"/>
      <c r="K455" s="332">
        <f>IFERROR(VLOOKUP(TEXT(O455,"0"),CONDUCTORES!$A$3:$G$54,7,0),"")</f>
        <v/>
      </c>
      <c r="L455" s="334" t="n"/>
      <c r="M455" s="334" t="n"/>
      <c r="N455" s="333">
        <f>IFERROR(IF(L455*M455=0,"",L455*M455),"")</f>
        <v/>
      </c>
      <c r="O455" s="334" t="n"/>
      <c r="P455" s="332">
        <f>IFERROR(VLOOKUP(TEXT(O455,"0"),CONDUCTORES!$A$3:$G$54,2,0),"")</f>
        <v/>
      </c>
      <c r="Q455" s="332">
        <f>IFERROR(VLOOKUP(TEXT(O455,"0"),CONDUCTORES!$A$3:$H$54,6,0),"")</f>
        <v/>
      </c>
      <c r="R455" s="334" t="n"/>
      <c r="S455" s="334" t="n"/>
      <c r="T455" s="334" t="n"/>
      <c r="U455" s="334" t="n"/>
      <c r="V455" s="334" t="n"/>
      <c r="W455" s="334" t="n"/>
      <c r="X455" s="334" t="n"/>
      <c r="Y455" s="334" t="n"/>
      <c r="Z455" s="375">
        <f>IF(AND(G455&lt;&gt;"",R455&lt;&gt;"",V455&lt;&gt;"",W455&lt;&gt;""),"COMPLETADO","OBSERVADO")</f>
        <v/>
      </c>
    </row>
    <row r="456" ht="15" customHeight="1" s="195">
      <c r="A456" s="280" t="n"/>
      <c r="B456" s="280" t="n"/>
      <c r="C456" s="280" t="n"/>
      <c r="D456" s="280" t="n"/>
      <c r="E456" s="280" t="n"/>
      <c r="F456" s="280" t="n"/>
      <c r="G456" s="280" t="n"/>
      <c r="H456" s="280" t="n"/>
      <c r="I456" s="332">
        <f>IFERROR(VLOOKUP(TEXT(H456,"0"),IPRESS!$A$3:$B$212,2,0),"")</f>
        <v/>
      </c>
      <c r="J456" s="280" t="n"/>
      <c r="K456" s="332">
        <f>IFERROR(VLOOKUP(TEXT(O456,"0"),CONDUCTORES!$A$3:$G$54,7,0),"")</f>
        <v/>
      </c>
      <c r="L456" s="280" t="n"/>
      <c r="M456" s="280" t="n"/>
      <c r="N456" s="333">
        <f>IFERROR(IF(L456*M456=0,"",L456*M456),"")</f>
        <v/>
      </c>
      <c r="O456" s="280" t="n"/>
      <c r="P456" s="332">
        <f>IFERROR(VLOOKUP(TEXT(O456,"0"),CONDUCTORES!$A$3:$G$54,2,0),"")</f>
        <v/>
      </c>
      <c r="Q456" s="332">
        <f>IFERROR(VLOOKUP(TEXT(O456,"0"),CONDUCTORES!$A$3:$H$54,6,0),"")</f>
        <v/>
      </c>
      <c r="R456" s="280" t="n"/>
      <c r="S456" s="280" t="n"/>
      <c r="T456" s="280" t="n"/>
      <c r="U456" s="280" t="n"/>
      <c r="V456" s="280" t="n"/>
      <c r="W456" s="280" t="n"/>
      <c r="X456" s="280" t="n"/>
      <c r="Y456" s="280" t="n"/>
      <c r="Z456" s="375">
        <f>IF(AND(G456&lt;&gt;"",R456&lt;&gt;"",V456&lt;&gt;"",W456&lt;&gt;""),"COMPLETADO","OBSERVADO")</f>
        <v/>
      </c>
    </row>
    <row r="457" ht="15" customHeight="1" s="195">
      <c r="A457" s="334" t="n"/>
      <c r="B457" s="334" t="n"/>
      <c r="C457" s="334" t="n"/>
      <c r="D457" s="334" t="n"/>
      <c r="E457" s="334" t="n"/>
      <c r="F457" s="334" t="n"/>
      <c r="G457" s="334" t="n"/>
      <c r="H457" s="334" t="n"/>
      <c r="I457" s="332">
        <f>IFERROR(VLOOKUP(TEXT(H457,"0"),IPRESS!$A$3:$B$212,2,0),"")</f>
        <v/>
      </c>
      <c r="J457" s="334" t="n"/>
      <c r="K457" s="332">
        <f>IFERROR(VLOOKUP(TEXT(O457,"0"),CONDUCTORES!$A$3:$G$54,7,0),"")</f>
        <v/>
      </c>
      <c r="L457" s="334" t="n"/>
      <c r="M457" s="334" t="n"/>
      <c r="N457" s="333">
        <f>IFERROR(IF(L457*M457=0,"",L457*M457),"")</f>
        <v/>
      </c>
      <c r="O457" s="334" t="n"/>
      <c r="P457" s="332">
        <f>IFERROR(VLOOKUP(TEXT(O457,"0"),CONDUCTORES!$A$3:$G$54,2,0),"")</f>
        <v/>
      </c>
      <c r="Q457" s="332">
        <f>IFERROR(VLOOKUP(TEXT(O457,"0"),CONDUCTORES!$A$3:$H$54,6,0),"")</f>
        <v/>
      </c>
      <c r="R457" s="334" t="n"/>
      <c r="S457" s="334" t="n"/>
      <c r="T457" s="334" t="n"/>
      <c r="U457" s="334" t="n"/>
      <c r="V457" s="334" t="n"/>
      <c r="W457" s="334" t="n"/>
      <c r="X457" s="334" t="n"/>
      <c r="Y457" s="334" t="n"/>
      <c r="Z457" s="375">
        <f>IF(AND(G457&lt;&gt;"",R457&lt;&gt;"",V457&lt;&gt;"",W457&lt;&gt;""),"COMPLETADO","OBSERVADO")</f>
        <v/>
      </c>
    </row>
    <row r="458" ht="15" customHeight="1" s="195">
      <c r="A458" s="280" t="n"/>
      <c r="B458" s="280" t="n"/>
      <c r="C458" s="280" t="n"/>
      <c r="D458" s="280" t="n"/>
      <c r="E458" s="280" t="n"/>
      <c r="F458" s="280" t="n"/>
      <c r="G458" s="280" t="n"/>
      <c r="H458" s="280" t="n"/>
      <c r="I458" s="332">
        <f>IFERROR(VLOOKUP(TEXT(H458,"0"),IPRESS!$A$3:$B$212,2,0),"")</f>
        <v/>
      </c>
      <c r="J458" s="280" t="n"/>
      <c r="K458" s="332">
        <f>IFERROR(VLOOKUP(TEXT(O458,"0"),CONDUCTORES!$A$3:$G$54,7,0),"")</f>
        <v/>
      </c>
      <c r="L458" s="280" t="n"/>
      <c r="M458" s="280" t="n"/>
      <c r="N458" s="333">
        <f>IFERROR(IF(L458*M458=0,"",L458*M458),"")</f>
        <v/>
      </c>
      <c r="O458" s="280" t="n"/>
      <c r="P458" s="332">
        <f>IFERROR(VLOOKUP(TEXT(O458,"0"),CONDUCTORES!$A$3:$G$54,2,0),"")</f>
        <v/>
      </c>
      <c r="Q458" s="332">
        <f>IFERROR(VLOOKUP(TEXT(O458,"0"),CONDUCTORES!$A$3:$H$54,6,0),"")</f>
        <v/>
      </c>
      <c r="R458" s="280" t="n"/>
      <c r="S458" s="280" t="n"/>
      <c r="T458" s="280" t="n"/>
      <c r="U458" s="280" t="n"/>
      <c r="V458" s="280" t="n"/>
      <c r="W458" s="280" t="n"/>
      <c r="X458" s="280" t="n"/>
      <c r="Y458" s="280" t="n"/>
      <c r="Z458" s="375">
        <f>IF(AND(G458&lt;&gt;"",R458&lt;&gt;"",V458&lt;&gt;"",W458&lt;&gt;""),"COMPLETADO","OBSERVADO")</f>
        <v/>
      </c>
    </row>
    <row r="459" ht="15" customHeight="1" s="195">
      <c r="A459" s="334" t="n"/>
      <c r="B459" s="334" t="n"/>
      <c r="C459" s="334" t="n"/>
      <c r="D459" s="334" t="n"/>
      <c r="E459" s="334" t="n"/>
      <c r="F459" s="334" t="n"/>
      <c r="G459" s="334" t="n"/>
      <c r="H459" s="334" t="n"/>
      <c r="I459" s="332">
        <f>IFERROR(VLOOKUP(TEXT(H459,"0"),IPRESS!$A$3:$B$212,2,0),"")</f>
        <v/>
      </c>
      <c r="J459" s="334" t="n"/>
      <c r="K459" s="332">
        <f>IFERROR(VLOOKUP(TEXT(O459,"0"),CONDUCTORES!$A$3:$G$54,7,0),"")</f>
        <v/>
      </c>
      <c r="L459" s="334" t="n"/>
      <c r="M459" s="334" t="n"/>
      <c r="N459" s="333">
        <f>IFERROR(IF(L459*M459=0,"",L459*M459),"")</f>
        <v/>
      </c>
      <c r="O459" s="334" t="n"/>
      <c r="P459" s="332">
        <f>IFERROR(VLOOKUP(TEXT(O459,"0"),CONDUCTORES!$A$3:$G$54,2,0),"")</f>
        <v/>
      </c>
      <c r="Q459" s="332">
        <f>IFERROR(VLOOKUP(TEXT(O459,"0"),CONDUCTORES!$A$3:$H$54,6,0),"")</f>
        <v/>
      </c>
      <c r="R459" s="334" t="n"/>
      <c r="S459" s="334" t="n"/>
      <c r="T459" s="334" t="n"/>
      <c r="U459" s="334" t="n"/>
      <c r="V459" s="334" t="n"/>
      <c r="W459" s="334" t="n"/>
      <c r="X459" s="334" t="n"/>
      <c r="Y459" s="334" t="n"/>
      <c r="Z459" s="375">
        <f>IF(AND(G459&lt;&gt;"",R459&lt;&gt;"",V459&lt;&gt;"",W459&lt;&gt;""),"COMPLETADO","OBSERVADO")</f>
        <v/>
      </c>
    </row>
    <row r="460" ht="15" customHeight="1" s="195">
      <c r="A460" s="280" t="n"/>
      <c r="B460" s="280" t="n"/>
      <c r="C460" s="280" t="n"/>
      <c r="D460" s="280" t="n"/>
      <c r="E460" s="280" t="n"/>
      <c r="F460" s="280" t="n"/>
      <c r="G460" s="280" t="n"/>
      <c r="H460" s="280" t="n"/>
      <c r="I460" s="332">
        <f>IFERROR(VLOOKUP(TEXT(H460,"0"),IPRESS!$A$3:$B$212,2,0),"")</f>
        <v/>
      </c>
      <c r="J460" s="280" t="n"/>
      <c r="K460" s="332">
        <f>IFERROR(VLOOKUP(TEXT(O460,"0"),CONDUCTORES!$A$3:$G$54,7,0),"")</f>
        <v/>
      </c>
      <c r="L460" s="280" t="n"/>
      <c r="M460" s="280" t="n"/>
      <c r="N460" s="333">
        <f>IFERROR(IF(L460*M460=0,"",L460*M460),"")</f>
        <v/>
      </c>
      <c r="O460" s="280" t="n"/>
      <c r="P460" s="332">
        <f>IFERROR(VLOOKUP(TEXT(O460,"0"),CONDUCTORES!$A$3:$G$54,2,0),"")</f>
        <v/>
      </c>
      <c r="Q460" s="332">
        <f>IFERROR(VLOOKUP(TEXT(O460,"0"),CONDUCTORES!$A$3:$H$54,6,0),"")</f>
        <v/>
      </c>
      <c r="R460" s="280" t="n"/>
      <c r="S460" s="280" t="n"/>
      <c r="T460" s="280" t="n"/>
      <c r="U460" s="280" t="n"/>
      <c r="V460" s="280" t="n"/>
      <c r="W460" s="280" t="n"/>
      <c r="X460" s="280" t="n"/>
      <c r="Y460" s="280" t="n"/>
      <c r="Z460" s="375">
        <f>IF(AND(G460&lt;&gt;"",R460&lt;&gt;"",V460&lt;&gt;"",W460&lt;&gt;""),"COMPLETADO","OBSERVADO")</f>
        <v/>
      </c>
    </row>
    <row r="461" ht="15" customHeight="1" s="195">
      <c r="A461" s="334" t="n"/>
      <c r="B461" s="334" t="n"/>
      <c r="C461" s="334" t="n"/>
      <c r="D461" s="334" t="n"/>
      <c r="E461" s="334" t="n"/>
      <c r="F461" s="334" t="n"/>
      <c r="G461" s="334" t="n"/>
      <c r="H461" s="334" t="n"/>
      <c r="I461" s="332">
        <f>IFERROR(VLOOKUP(TEXT(H461,"0"),IPRESS!$A$3:$B$212,2,0),"")</f>
        <v/>
      </c>
      <c r="J461" s="334" t="n"/>
      <c r="K461" s="332">
        <f>IFERROR(VLOOKUP(TEXT(O461,"0"),CONDUCTORES!$A$3:$G$54,7,0),"")</f>
        <v/>
      </c>
      <c r="L461" s="334" t="n"/>
      <c r="M461" s="334" t="n"/>
      <c r="N461" s="333">
        <f>IFERROR(IF(L461*M461=0,"",L461*M461),"")</f>
        <v/>
      </c>
      <c r="O461" s="334" t="n"/>
      <c r="P461" s="332">
        <f>IFERROR(VLOOKUP(TEXT(O461,"0"),CONDUCTORES!$A$3:$G$54,2,0),"")</f>
        <v/>
      </c>
      <c r="Q461" s="332">
        <f>IFERROR(VLOOKUP(TEXT(O461,"0"),CONDUCTORES!$A$3:$H$54,6,0),"")</f>
        <v/>
      </c>
      <c r="R461" s="334" t="n"/>
      <c r="S461" s="334" t="n"/>
      <c r="T461" s="334" t="n"/>
      <c r="U461" s="334" t="n"/>
      <c r="V461" s="334" t="n"/>
      <c r="W461" s="334" t="n"/>
      <c r="X461" s="334" t="n"/>
      <c r="Y461" s="334" t="n"/>
      <c r="Z461" s="375">
        <f>IF(AND(G461&lt;&gt;"",R461&lt;&gt;"",V461&lt;&gt;"",W461&lt;&gt;""),"COMPLETADO","OBSERVADO")</f>
        <v/>
      </c>
    </row>
    <row r="462" ht="15" customHeight="1" s="195">
      <c r="A462" s="280" t="n"/>
      <c r="B462" s="280" t="n"/>
      <c r="C462" s="280" t="n"/>
      <c r="D462" s="280" t="n"/>
      <c r="E462" s="280" t="n"/>
      <c r="F462" s="280" t="n"/>
      <c r="G462" s="280" t="n"/>
      <c r="H462" s="280" t="n"/>
      <c r="I462" s="332">
        <f>IFERROR(VLOOKUP(TEXT(H462,"0"),IPRESS!$A$3:$B$212,2,0),"")</f>
        <v/>
      </c>
      <c r="J462" s="280" t="n"/>
      <c r="K462" s="332">
        <f>IFERROR(VLOOKUP(TEXT(O462,"0"),CONDUCTORES!$A$3:$G$54,7,0),"")</f>
        <v/>
      </c>
      <c r="L462" s="280" t="n"/>
      <c r="M462" s="280" t="n"/>
      <c r="N462" s="333">
        <f>IFERROR(IF(L462*M462=0,"",L462*M462),"")</f>
        <v/>
      </c>
      <c r="O462" s="280" t="n"/>
      <c r="P462" s="332">
        <f>IFERROR(VLOOKUP(TEXT(O462,"0"),CONDUCTORES!$A$3:$G$54,2,0),"")</f>
        <v/>
      </c>
      <c r="Q462" s="332">
        <f>IFERROR(VLOOKUP(TEXT(O462,"0"),CONDUCTORES!$A$3:$H$54,6,0),"")</f>
        <v/>
      </c>
      <c r="R462" s="280" t="n"/>
      <c r="S462" s="280" t="n"/>
      <c r="T462" s="280" t="n"/>
      <c r="U462" s="280" t="n"/>
      <c r="V462" s="280" t="n"/>
      <c r="W462" s="280" t="n"/>
      <c r="X462" s="280" t="n"/>
      <c r="Y462" s="280" t="n"/>
      <c r="Z462" s="375">
        <f>IF(AND(G462&lt;&gt;"",R462&lt;&gt;"",V462&lt;&gt;"",W462&lt;&gt;""),"COMPLETADO","OBSERVADO")</f>
        <v/>
      </c>
    </row>
    <row r="463" ht="15" customHeight="1" s="195">
      <c r="A463" s="334" t="n"/>
      <c r="B463" s="334" t="n"/>
      <c r="C463" s="334" t="n"/>
      <c r="D463" s="334" t="n"/>
      <c r="E463" s="334" t="n"/>
      <c r="F463" s="334" t="n"/>
      <c r="G463" s="334" t="n"/>
      <c r="H463" s="334" t="n"/>
      <c r="I463" s="332">
        <f>IFERROR(VLOOKUP(TEXT(H463,"0"),IPRESS!$A$3:$B$212,2,0),"")</f>
        <v/>
      </c>
      <c r="J463" s="334" t="n"/>
      <c r="K463" s="332">
        <f>IFERROR(VLOOKUP(TEXT(O463,"0"),CONDUCTORES!$A$3:$G$54,7,0),"")</f>
        <v/>
      </c>
      <c r="L463" s="334" t="n"/>
      <c r="M463" s="334" t="n"/>
      <c r="N463" s="333">
        <f>IFERROR(IF(L463*M463=0,"",L463*M463),"")</f>
        <v/>
      </c>
      <c r="O463" s="334" t="n"/>
      <c r="P463" s="332">
        <f>IFERROR(VLOOKUP(TEXT(O463,"0"),CONDUCTORES!$A$3:$G$54,2,0),"")</f>
        <v/>
      </c>
      <c r="Q463" s="332">
        <f>IFERROR(VLOOKUP(TEXT(O463,"0"),CONDUCTORES!$A$3:$H$54,6,0),"")</f>
        <v/>
      </c>
      <c r="R463" s="334" t="n"/>
      <c r="S463" s="334" t="n"/>
      <c r="T463" s="334" t="n"/>
      <c r="U463" s="334" t="n"/>
      <c r="V463" s="334" t="n"/>
      <c r="W463" s="334" t="n"/>
      <c r="X463" s="334" t="n"/>
      <c r="Y463" s="334" t="n"/>
      <c r="Z463" s="375">
        <f>IF(AND(G463&lt;&gt;"",R463&lt;&gt;"",V463&lt;&gt;"",W463&lt;&gt;""),"COMPLETADO","OBSERVADO")</f>
        <v/>
      </c>
    </row>
    <row r="464" ht="15" customHeight="1" s="195">
      <c r="A464" s="280" t="n"/>
      <c r="B464" s="280" t="n"/>
      <c r="C464" s="280" t="n"/>
      <c r="D464" s="280" t="n"/>
      <c r="E464" s="280" t="n"/>
      <c r="F464" s="280" t="n"/>
      <c r="G464" s="280" t="n"/>
      <c r="H464" s="280" t="n"/>
      <c r="I464" s="332">
        <f>IFERROR(VLOOKUP(TEXT(H464,"0"),IPRESS!$A$3:$B$212,2,0),"")</f>
        <v/>
      </c>
      <c r="J464" s="280" t="n"/>
      <c r="K464" s="332">
        <f>IFERROR(VLOOKUP(TEXT(O464,"0"),CONDUCTORES!$A$3:$G$54,7,0),"")</f>
        <v/>
      </c>
      <c r="L464" s="280" t="n"/>
      <c r="M464" s="280" t="n"/>
      <c r="N464" s="333">
        <f>IFERROR(IF(L464*M464=0,"",L464*M464),"")</f>
        <v/>
      </c>
      <c r="O464" s="280" t="n"/>
      <c r="P464" s="332">
        <f>IFERROR(VLOOKUP(TEXT(O464,"0"),CONDUCTORES!$A$3:$G$54,2,0),"")</f>
        <v/>
      </c>
      <c r="Q464" s="332">
        <f>IFERROR(VLOOKUP(TEXT(O464,"0"),CONDUCTORES!$A$3:$H$54,6,0),"")</f>
        <v/>
      </c>
      <c r="R464" s="280" t="n"/>
      <c r="S464" s="280" t="n"/>
      <c r="T464" s="280" t="n"/>
      <c r="U464" s="280" t="n"/>
      <c r="V464" s="280" t="n"/>
      <c r="W464" s="280" t="n"/>
      <c r="X464" s="280" t="n"/>
      <c r="Y464" s="280" t="n"/>
      <c r="Z464" s="375">
        <f>IF(AND(G464&lt;&gt;"",R464&lt;&gt;"",V464&lt;&gt;"",W464&lt;&gt;""),"COMPLETADO","OBSERVADO")</f>
        <v/>
      </c>
    </row>
    <row r="465" ht="15" customHeight="1" s="195">
      <c r="A465" s="334" t="n"/>
      <c r="B465" s="334" t="n"/>
      <c r="C465" s="334" t="n"/>
      <c r="D465" s="334" t="n"/>
      <c r="E465" s="334" t="n"/>
      <c r="F465" s="334" t="n"/>
      <c r="G465" s="334" t="n"/>
      <c r="H465" s="334" t="n"/>
      <c r="I465" s="332">
        <f>IFERROR(VLOOKUP(TEXT(H465,"0"),IPRESS!$A$3:$B$212,2,0),"")</f>
        <v/>
      </c>
      <c r="J465" s="334" t="n"/>
      <c r="K465" s="332">
        <f>IFERROR(VLOOKUP(TEXT(O465,"0"),CONDUCTORES!$A$3:$G$54,7,0),"")</f>
        <v/>
      </c>
      <c r="L465" s="334" t="n"/>
      <c r="M465" s="334" t="n"/>
      <c r="N465" s="333">
        <f>IFERROR(IF(L465*M465=0,"",L465*M465),"")</f>
        <v/>
      </c>
      <c r="O465" s="334" t="n"/>
      <c r="P465" s="332">
        <f>IFERROR(VLOOKUP(TEXT(O465,"0"),CONDUCTORES!$A$3:$G$54,2,0),"")</f>
        <v/>
      </c>
      <c r="Q465" s="332">
        <f>IFERROR(VLOOKUP(TEXT(O465,"0"),CONDUCTORES!$A$3:$H$54,6,0),"")</f>
        <v/>
      </c>
      <c r="R465" s="334" t="n"/>
      <c r="S465" s="334" t="n"/>
      <c r="T465" s="334" t="n"/>
      <c r="U465" s="334" t="n"/>
      <c r="V465" s="334" t="n"/>
      <c r="W465" s="334" t="n"/>
      <c r="X465" s="334" t="n"/>
      <c r="Y465" s="334" t="n"/>
      <c r="Z465" s="375">
        <f>IF(AND(G465&lt;&gt;"",R465&lt;&gt;"",V465&lt;&gt;"",W465&lt;&gt;""),"COMPLETADO","OBSERVADO")</f>
        <v/>
      </c>
    </row>
    <row r="466" ht="15" customHeight="1" s="195">
      <c r="A466" s="280" t="n"/>
      <c r="B466" s="280" t="n"/>
      <c r="C466" s="280" t="n"/>
      <c r="D466" s="280" t="n"/>
      <c r="E466" s="280" t="n"/>
      <c r="F466" s="280" t="n"/>
      <c r="G466" s="280" t="n"/>
      <c r="H466" s="280" t="n"/>
      <c r="I466" s="332">
        <f>IFERROR(VLOOKUP(TEXT(H466,"0"),IPRESS!$A$3:$B$212,2,0),"")</f>
        <v/>
      </c>
      <c r="J466" s="280" t="n"/>
      <c r="K466" s="332">
        <f>IFERROR(VLOOKUP(TEXT(O466,"0"),CONDUCTORES!$A$3:$G$54,7,0),"")</f>
        <v/>
      </c>
      <c r="L466" s="280" t="n"/>
      <c r="M466" s="280" t="n"/>
      <c r="N466" s="333">
        <f>IFERROR(IF(L466*M466=0,"",L466*M466),"")</f>
        <v/>
      </c>
      <c r="O466" s="280" t="n"/>
      <c r="P466" s="332">
        <f>IFERROR(VLOOKUP(TEXT(O466,"0"),CONDUCTORES!$A$3:$G$54,2,0),"")</f>
        <v/>
      </c>
      <c r="Q466" s="332">
        <f>IFERROR(VLOOKUP(TEXT(O466,"0"),CONDUCTORES!$A$3:$H$54,6,0),"")</f>
        <v/>
      </c>
      <c r="R466" s="280" t="n"/>
      <c r="S466" s="280" t="n"/>
      <c r="T466" s="280" t="n"/>
      <c r="U466" s="280" t="n"/>
      <c r="V466" s="280" t="n"/>
      <c r="W466" s="280" t="n"/>
      <c r="X466" s="280" t="n"/>
      <c r="Y466" s="280" t="n"/>
      <c r="Z466" s="375">
        <f>IF(AND(G466&lt;&gt;"",R466&lt;&gt;"",V466&lt;&gt;"",W466&lt;&gt;""),"COMPLETADO","OBSERVADO")</f>
        <v/>
      </c>
    </row>
    <row r="467" ht="15" customHeight="1" s="195">
      <c r="A467" s="334" t="n"/>
      <c r="B467" s="334" t="n"/>
      <c r="C467" s="334" t="n"/>
      <c r="D467" s="334" t="n"/>
      <c r="E467" s="334" t="n"/>
      <c r="F467" s="334" t="n"/>
      <c r="G467" s="334" t="n"/>
      <c r="H467" s="334" t="n"/>
      <c r="I467" s="332">
        <f>IFERROR(VLOOKUP(TEXT(H467,"0"),IPRESS!$A$3:$B$212,2,0),"")</f>
        <v/>
      </c>
      <c r="J467" s="334" t="n"/>
      <c r="K467" s="332">
        <f>IFERROR(VLOOKUP(TEXT(O467,"0"),CONDUCTORES!$A$3:$G$54,7,0),"")</f>
        <v/>
      </c>
      <c r="L467" s="334" t="n"/>
      <c r="M467" s="334" t="n"/>
      <c r="N467" s="333">
        <f>IFERROR(IF(L467*M467=0,"",L467*M467),"")</f>
        <v/>
      </c>
      <c r="O467" s="334" t="n"/>
      <c r="P467" s="332">
        <f>IFERROR(VLOOKUP(TEXT(O467,"0"),CONDUCTORES!$A$3:$G$54,2,0),"")</f>
        <v/>
      </c>
      <c r="Q467" s="332">
        <f>IFERROR(VLOOKUP(TEXT(O467,"0"),CONDUCTORES!$A$3:$H$54,6,0),"")</f>
        <v/>
      </c>
      <c r="R467" s="334" t="n"/>
      <c r="S467" s="334" t="n"/>
      <c r="T467" s="334" t="n"/>
      <c r="U467" s="334" t="n"/>
      <c r="V467" s="334" t="n"/>
      <c r="W467" s="334" t="n"/>
      <c r="X467" s="334" t="n"/>
      <c r="Y467" s="334" t="n"/>
      <c r="Z467" s="375">
        <f>IF(AND(G467&lt;&gt;"",R467&lt;&gt;"",V467&lt;&gt;"",W467&lt;&gt;""),"COMPLETADO","OBSERVADO")</f>
        <v/>
      </c>
    </row>
    <row r="468" ht="15" customHeight="1" s="195">
      <c r="A468" s="280" t="n"/>
      <c r="B468" s="280" t="n"/>
      <c r="C468" s="280" t="n"/>
      <c r="D468" s="280" t="n"/>
      <c r="E468" s="280" t="n"/>
      <c r="F468" s="280" t="n"/>
      <c r="G468" s="280" t="n"/>
      <c r="H468" s="280" t="n"/>
      <c r="I468" s="332">
        <f>IFERROR(VLOOKUP(TEXT(H468,"0"),IPRESS!$A$3:$B$212,2,0),"")</f>
        <v/>
      </c>
      <c r="J468" s="280" t="n"/>
      <c r="K468" s="332">
        <f>IFERROR(VLOOKUP(TEXT(O468,"0"),CONDUCTORES!$A$3:$G$54,7,0),"")</f>
        <v/>
      </c>
      <c r="L468" s="280" t="n"/>
      <c r="M468" s="280" t="n"/>
      <c r="N468" s="333">
        <f>IFERROR(IF(L468*M468=0,"",L468*M468),"")</f>
        <v/>
      </c>
      <c r="O468" s="280" t="n"/>
      <c r="P468" s="332">
        <f>IFERROR(VLOOKUP(TEXT(O468,"0"),CONDUCTORES!$A$3:$G$54,2,0),"")</f>
        <v/>
      </c>
      <c r="Q468" s="332">
        <f>IFERROR(VLOOKUP(TEXT(O468,"0"),CONDUCTORES!$A$3:$H$54,6,0),"")</f>
        <v/>
      </c>
      <c r="R468" s="280" t="n"/>
      <c r="S468" s="280" t="n"/>
      <c r="T468" s="280" t="n"/>
      <c r="U468" s="280" t="n"/>
      <c r="V468" s="280" t="n"/>
      <c r="W468" s="280" t="n"/>
      <c r="X468" s="280" t="n"/>
      <c r="Y468" s="280" t="n"/>
      <c r="Z468" s="375">
        <f>IF(AND(G468&lt;&gt;"",R468&lt;&gt;"",V468&lt;&gt;"",W468&lt;&gt;""),"COMPLETADO","OBSERVADO")</f>
        <v/>
      </c>
    </row>
    <row r="469" ht="15" customHeight="1" s="195">
      <c r="A469" s="334" t="n"/>
      <c r="B469" s="334" t="n"/>
      <c r="C469" s="334" t="n"/>
      <c r="D469" s="334" t="n"/>
      <c r="E469" s="334" t="n"/>
      <c r="F469" s="334" t="n"/>
      <c r="G469" s="334" t="n"/>
      <c r="H469" s="334" t="n"/>
      <c r="I469" s="332">
        <f>IFERROR(VLOOKUP(TEXT(H469,"0"),IPRESS!$A$3:$B$212,2,0),"")</f>
        <v/>
      </c>
      <c r="J469" s="334" t="n"/>
      <c r="K469" s="332">
        <f>IFERROR(VLOOKUP(TEXT(O469,"0"),CONDUCTORES!$A$3:$G$54,7,0),"")</f>
        <v/>
      </c>
      <c r="L469" s="334" t="n"/>
      <c r="M469" s="334" t="n"/>
      <c r="N469" s="333">
        <f>IFERROR(IF(L469*M469=0,"",L469*M469),"")</f>
        <v/>
      </c>
      <c r="O469" s="334" t="n"/>
      <c r="P469" s="332">
        <f>IFERROR(VLOOKUP(TEXT(O469,"0"),CONDUCTORES!$A$3:$G$54,2,0),"")</f>
        <v/>
      </c>
      <c r="Q469" s="332">
        <f>IFERROR(VLOOKUP(TEXT(O469,"0"),CONDUCTORES!$A$3:$H$54,6,0),"")</f>
        <v/>
      </c>
      <c r="R469" s="334" t="n"/>
      <c r="S469" s="334" t="n"/>
      <c r="T469" s="334" t="n"/>
      <c r="U469" s="334" t="n"/>
      <c r="V469" s="334" t="n"/>
      <c r="W469" s="334" t="n"/>
      <c r="X469" s="334" t="n"/>
      <c r="Y469" s="334" t="n"/>
      <c r="Z469" s="375">
        <f>IF(AND(G469&lt;&gt;"",R469&lt;&gt;"",V469&lt;&gt;"",W469&lt;&gt;""),"COMPLETADO","OBSERVADO")</f>
        <v/>
      </c>
    </row>
    <row r="470" ht="15" customHeight="1" s="195">
      <c r="A470" s="280" t="n"/>
      <c r="B470" s="280" t="n"/>
      <c r="C470" s="280" t="n"/>
      <c r="D470" s="280" t="n"/>
      <c r="E470" s="280" t="n"/>
      <c r="F470" s="280" t="n"/>
      <c r="G470" s="280" t="n"/>
      <c r="H470" s="280" t="n"/>
      <c r="I470" s="332">
        <f>IFERROR(VLOOKUP(TEXT(H470,"0"),IPRESS!$A$3:$B$212,2,0),"")</f>
        <v/>
      </c>
      <c r="J470" s="280" t="n"/>
      <c r="K470" s="332">
        <f>IFERROR(VLOOKUP(TEXT(O470,"0"),CONDUCTORES!$A$3:$G$54,7,0),"")</f>
        <v/>
      </c>
      <c r="L470" s="280" t="n"/>
      <c r="M470" s="280" t="n"/>
      <c r="N470" s="333">
        <f>IFERROR(IF(L470*M470=0,"",L470*M470),"")</f>
        <v/>
      </c>
      <c r="O470" s="280" t="n"/>
      <c r="P470" s="332">
        <f>IFERROR(VLOOKUP(TEXT(O470,"0"),CONDUCTORES!$A$3:$G$54,2,0),"")</f>
        <v/>
      </c>
      <c r="Q470" s="332">
        <f>IFERROR(VLOOKUP(TEXT(O470,"0"),CONDUCTORES!$A$3:$H$54,6,0),"")</f>
        <v/>
      </c>
      <c r="R470" s="280" t="n"/>
      <c r="S470" s="280" t="n"/>
      <c r="T470" s="280" t="n"/>
      <c r="U470" s="280" t="n"/>
      <c r="V470" s="280" t="n"/>
      <c r="W470" s="280" t="n"/>
      <c r="X470" s="280" t="n"/>
      <c r="Y470" s="280" t="n"/>
      <c r="Z470" s="375">
        <f>IF(AND(G470&lt;&gt;"",R470&lt;&gt;"",V470&lt;&gt;"",W470&lt;&gt;""),"COMPLETADO","OBSERVADO")</f>
        <v/>
      </c>
    </row>
    <row r="471" ht="15" customHeight="1" s="195">
      <c r="A471" s="334" t="n"/>
      <c r="B471" s="334" t="n"/>
      <c r="C471" s="334" t="n"/>
      <c r="D471" s="334" t="n"/>
      <c r="E471" s="334" t="n"/>
      <c r="F471" s="334" t="n"/>
      <c r="G471" s="334" t="n"/>
      <c r="H471" s="334" t="n"/>
      <c r="I471" s="332">
        <f>IFERROR(VLOOKUP(TEXT(H471,"0"),IPRESS!$A$3:$B$212,2,0),"")</f>
        <v/>
      </c>
      <c r="J471" s="334" t="n"/>
      <c r="K471" s="332">
        <f>IFERROR(VLOOKUP(TEXT(O471,"0"),CONDUCTORES!$A$3:$G$54,7,0),"")</f>
        <v/>
      </c>
      <c r="L471" s="334" t="n"/>
      <c r="M471" s="334" t="n"/>
      <c r="N471" s="333">
        <f>IFERROR(IF(L471*M471=0,"",L471*M471),"")</f>
        <v/>
      </c>
      <c r="O471" s="334" t="n"/>
      <c r="P471" s="332">
        <f>IFERROR(VLOOKUP(TEXT(O471,"0"),CONDUCTORES!$A$3:$G$54,2,0),"")</f>
        <v/>
      </c>
      <c r="Q471" s="332">
        <f>IFERROR(VLOOKUP(TEXT(O471,"0"),CONDUCTORES!$A$3:$H$54,6,0),"")</f>
        <v/>
      </c>
      <c r="R471" s="334" t="n"/>
      <c r="S471" s="334" t="n"/>
      <c r="T471" s="334" t="n"/>
      <c r="U471" s="334" t="n"/>
      <c r="V471" s="334" t="n"/>
      <c r="W471" s="334" t="n"/>
      <c r="X471" s="334" t="n"/>
      <c r="Y471" s="334" t="n"/>
      <c r="Z471" s="375">
        <f>IF(AND(G471&lt;&gt;"",R471&lt;&gt;"",V471&lt;&gt;"",W471&lt;&gt;""),"COMPLETADO","OBSERVADO")</f>
        <v/>
      </c>
    </row>
    <row r="472" ht="15" customHeight="1" s="195">
      <c r="A472" s="280" t="n"/>
      <c r="B472" s="280" t="n"/>
      <c r="C472" s="280" t="n"/>
      <c r="D472" s="280" t="n"/>
      <c r="E472" s="280" t="n"/>
      <c r="F472" s="280" t="n"/>
      <c r="G472" s="280" t="n"/>
      <c r="H472" s="280" t="n"/>
      <c r="I472" s="332">
        <f>IFERROR(VLOOKUP(TEXT(H472,"0"),IPRESS!$A$3:$B$212,2,0),"")</f>
        <v/>
      </c>
      <c r="J472" s="280" t="n"/>
      <c r="K472" s="332">
        <f>IFERROR(VLOOKUP(TEXT(O472,"0"),CONDUCTORES!$A$3:$G$54,7,0),"")</f>
        <v/>
      </c>
      <c r="L472" s="280" t="n"/>
      <c r="M472" s="280" t="n"/>
      <c r="N472" s="333">
        <f>IFERROR(IF(L472*M472=0,"",L472*M472),"")</f>
        <v/>
      </c>
      <c r="O472" s="280" t="n"/>
      <c r="P472" s="332">
        <f>IFERROR(VLOOKUP(TEXT(O472,"0"),CONDUCTORES!$A$3:$G$54,2,0),"")</f>
        <v/>
      </c>
      <c r="Q472" s="332">
        <f>IFERROR(VLOOKUP(TEXT(O472,"0"),CONDUCTORES!$A$3:$H$54,6,0),"")</f>
        <v/>
      </c>
      <c r="R472" s="280" t="n"/>
      <c r="S472" s="280" t="n"/>
      <c r="T472" s="280" t="n"/>
      <c r="U472" s="280" t="n"/>
      <c r="V472" s="280" t="n"/>
      <c r="W472" s="280" t="n"/>
      <c r="X472" s="280" t="n"/>
      <c r="Y472" s="280" t="n"/>
      <c r="Z472" s="375">
        <f>IF(AND(G472&lt;&gt;"",R472&lt;&gt;"",V472&lt;&gt;"",W472&lt;&gt;""),"COMPLETADO","OBSERVADO")</f>
        <v/>
      </c>
    </row>
    <row r="473" ht="15" customHeight="1" s="195">
      <c r="A473" s="334" t="n"/>
      <c r="B473" s="334" t="n"/>
      <c r="C473" s="334" t="n"/>
      <c r="D473" s="334" t="n"/>
      <c r="E473" s="334" t="n"/>
      <c r="F473" s="334" t="n"/>
      <c r="G473" s="334" t="n"/>
      <c r="H473" s="334" t="n"/>
      <c r="I473" s="332">
        <f>IFERROR(VLOOKUP(TEXT(H473,"0"),IPRESS!$A$3:$B$212,2,0),"")</f>
        <v/>
      </c>
      <c r="J473" s="334" t="n"/>
      <c r="K473" s="332">
        <f>IFERROR(VLOOKUP(TEXT(O473,"0"),CONDUCTORES!$A$3:$G$54,7,0),"")</f>
        <v/>
      </c>
      <c r="L473" s="334" t="n"/>
      <c r="M473" s="334" t="n"/>
      <c r="N473" s="333">
        <f>IFERROR(IF(L473*M473=0,"",L473*M473),"")</f>
        <v/>
      </c>
      <c r="O473" s="334" t="n"/>
      <c r="P473" s="332">
        <f>IFERROR(VLOOKUP(TEXT(O473,"0"),CONDUCTORES!$A$3:$G$54,2,0),"")</f>
        <v/>
      </c>
      <c r="Q473" s="332">
        <f>IFERROR(VLOOKUP(TEXT(O473,"0"),CONDUCTORES!$A$3:$H$54,6,0),"")</f>
        <v/>
      </c>
      <c r="R473" s="334" t="n"/>
      <c r="S473" s="334" t="n"/>
      <c r="T473" s="334" t="n"/>
      <c r="U473" s="334" t="n"/>
      <c r="V473" s="334" t="n"/>
      <c r="W473" s="334" t="n"/>
      <c r="X473" s="334" t="n"/>
      <c r="Y473" s="334" t="n"/>
      <c r="Z473" s="375">
        <f>IF(AND(G473&lt;&gt;"",R473&lt;&gt;"",V473&lt;&gt;"",W473&lt;&gt;""),"COMPLETADO","OBSERVADO")</f>
        <v/>
      </c>
    </row>
    <row r="474" ht="15" customHeight="1" s="195">
      <c r="A474" s="280" t="n"/>
      <c r="B474" s="280" t="n"/>
      <c r="C474" s="280" t="n"/>
      <c r="D474" s="280" t="n"/>
      <c r="E474" s="280" t="n"/>
      <c r="F474" s="280" t="n"/>
      <c r="G474" s="280" t="n"/>
      <c r="H474" s="280" t="n"/>
      <c r="I474" s="332">
        <f>IFERROR(VLOOKUP(TEXT(H474,"0"),IPRESS!$A$3:$B$212,2,0),"")</f>
        <v/>
      </c>
      <c r="J474" s="280" t="n"/>
      <c r="K474" s="332">
        <f>IFERROR(VLOOKUP(TEXT(O474,"0"),CONDUCTORES!$A$3:$G$54,7,0),"")</f>
        <v/>
      </c>
      <c r="L474" s="280" t="n"/>
      <c r="M474" s="280" t="n"/>
      <c r="N474" s="333">
        <f>IFERROR(IF(L474*M474=0,"",L474*M474),"")</f>
        <v/>
      </c>
      <c r="O474" s="280" t="n"/>
      <c r="P474" s="332">
        <f>IFERROR(VLOOKUP(TEXT(O474,"0"),CONDUCTORES!$A$3:$G$54,2,0),"")</f>
        <v/>
      </c>
      <c r="Q474" s="332">
        <f>IFERROR(VLOOKUP(TEXT(O474,"0"),CONDUCTORES!$A$3:$H$54,6,0),"")</f>
        <v/>
      </c>
      <c r="R474" s="280" t="n"/>
      <c r="S474" s="280" t="n"/>
      <c r="T474" s="280" t="n"/>
      <c r="U474" s="280" t="n"/>
      <c r="V474" s="280" t="n"/>
      <c r="W474" s="280" t="n"/>
      <c r="X474" s="280" t="n"/>
      <c r="Y474" s="280" t="n"/>
      <c r="Z474" s="375">
        <f>IF(AND(G474&lt;&gt;"",R474&lt;&gt;"",V474&lt;&gt;"",W474&lt;&gt;""),"COMPLETADO","OBSERVADO")</f>
        <v/>
      </c>
    </row>
    <row r="475" ht="15" customHeight="1" s="195">
      <c r="A475" s="334" t="n"/>
      <c r="B475" s="334" t="n"/>
      <c r="C475" s="334" t="n"/>
      <c r="D475" s="334" t="n"/>
      <c r="E475" s="334" t="n"/>
      <c r="F475" s="334" t="n"/>
      <c r="G475" s="334" t="n"/>
      <c r="H475" s="334" t="n"/>
      <c r="I475" s="332">
        <f>IFERROR(VLOOKUP(TEXT(H475,"0"),IPRESS!$A$3:$B$212,2,0),"")</f>
        <v/>
      </c>
      <c r="J475" s="334" t="n"/>
      <c r="K475" s="332">
        <f>IFERROR(VLOOKUP(TEXT(O475,"0"),CONDUCTORES!$A$3:$G$54,7,0),"")</f>
        <v/>
      </c>
      <c r="L475" s="334" t="n"/>
      <c r="M475" s="334" t="n"/>
      <c r="N475" s="333">
        <f>IFERROR(IF(L475*M475=0,"",L475*M475),"")</f>
        <v/>
      </c>
      <c r="O475" s="334" t="n"/>
      <c r="P475" s="332">
        <f>IFERROR(VLOOKUP(TEXT(O475,"0"),CONDUCTORES!$A$3:$G$54,2,0),"")</f>
        <v/>
      </c>
      <c r="Q475" s="332">
        <f>IFERROR(VLOOKUP(TEXT(O475,"0"),CONDUCTORES!$A$3:$H$54,6,0),"")</f>
        <v/>
      </c>
      <c r="R475" s="334" t="n"/>
      <c r="S475" s="334" t="n"/>
      <c r="T475" s="334" t="n"/>
      <c r="U475" s="334" t="n"/>
      <c r="V475" s="334" t="n"/>
      <c r="W475" s="334" t="n"/>
      <c r="X475" s="334" t="n"/>
      <c r="Y475" s="334" t="n"/>
      <c r="Z475" s="375">
        <f>IF(AND(G475&lt;&gt;"",R475&lt;&gt;"",V475&lt;&gt;"",W475&lt;&gt;""),"COMPLETADO","OBSERVADO")</f>
        <v/>
      </c>
    </row>
    <row r="476" ht="15" customHeight="1" s="195">
      <c r="A476" s="280" t="n"/>
      <c r="B476" s="280" t="n"/>
      <c r="C476" s="280" t="n"/>
      <c r="D476" s="280" t="n"/>
      <c r="E476" s="280" t="n"/>
      <c r="F476" s="280" t="n"/>
      <c r="G476" s="280" t="n"/>
      <c r="H476" s="280" t="n"/>
      <c r="I476" s="332">
        <f>IFERROR(VLOOKUP(TEXT(H476,"0"),IPRESS!$A$3:$B$212,2,0),"")</f>
        <v/>
      </c>
      <c r="J476" s="280" t="n"/>
      <c r="K476" s="332">
        <f>IFERROR(VLOOKUP(TEXT(O476,"0"),CONDUCTORES!$A$3:$G$54,7,0),"")</f>
        <v/>
      </c>
      <c r="L476" s="280" t="n"/>
      <c r="M476" s="280" t="n"/>
      <c r="N476" s="333">
        <f>IFERROR(IF(L476*M476=0,"",L476*M476),"")</f>
        <v/>
      </c>
      <c r="O476" s="280" t="n"/>
      <c r="P476" s="332">
        <f>IFERROR(VLOOKUP(TEXT(O476,"0"),CONDUCTORES!$A$3:$G$54,2,0),"")</f>
        <v/>
      </c>
      <c r="Q476" s="332">
        <f>IFERROR(VLOOKUP(TEXT(O476,"0"),CONDUCTORES!$A$3:$H$54,6,0),"")</f>
        <v/>
      </c>
      <c r="R476" s="280" t="n"/>
      <c r="S476" s="280" t="n"/>
      <c r="T476" s="280" t="n"/>
      <c r="U476" s="280" t="n"/>
      <c r="V476" s="280" t="n"/>
      <c r="W476" s="280" t="n"/>
      <c r="X476" s="280" t="n"/>
      <c r="Y476" s="280" t="n"/>
      <c r="Z476" s="375">
        <f>IF(AND(G476&lt;&gt;"",R476&lt;&gt;"",V476&lt;&gt;"",W476&lt;&gt;""),"COMPLETADO","OBSERVADO")</f>
        <v/>
      </c>
    </row>
    <row r="477" ht="15" customHeight="1" s="195">
      <c r="A477" s="334" t="n"/>
      <c r="B477" s="334" t="n"/>
      <c r="C477" s="334" t="n"/>
      <c r="D477" s="334" t="n"/>
      <c r="E477" s="334" t="n"/>
      <c r="F477" s="334" t="n"/>
      <c r="G477" s="334" t="n"/>
      <c r="H477" s="334" t="n"/>
      <c r="I477" s="332">
        <f>IFERROR(VLOOKUP(TEXT(H477,"0"),IPRESS!$A$3:$B$212,2,0),"")</f>
        <v/>
      </c>
      <c r="J477" s="334" t="n"/>
      <c r="K477" s="332">
        <f>IFERROR(VLOOKUP(TEXT(O477,"0"),CONDUCTORES!$A$3:$G$54,7,0),"")</f>
        <v/>
      </c>
      <c r="L477" s="334" t="n"/>
      <c r="M477" s="334" t="n"/>
      <c r="N477" s="333">
        <f>IFERROR(IF(L477*M477=0,"",L477*M477),"")</f>
        <v/>
      </c>
      <c r="O477" s="334" t="n"/>
      <c r="P477" s="332">
        <f>IFERROR(VLOOKUP(TEXT(O477,"0"),CONDUCTORES!$A$3:$G$54,2,0),"")</f>
        <v/>
      </c>
      <c r="Q477" s="332">
        <f>IFERROR(VLOOKUP(TEXT(O477,"0"),CONDUCTORES!$A$3:$H$54,6,0),"")</f>
        <v/>
      </c>
      <c r="R477" s="334" t="n"/>
      <c r="S477" s="334" t="n"/>
      <c r="T477" s="334" t="n"/>
      <c r="U477" s="334" t="n"/>
      <c r="V477" s="334" t="n"/>
      <c r="W477" s="334" t="n"/>
      <c r="X477" s="334" t="n"/>
      <c r="Y477" s="334" t="n"/>
      <c r="Z477" s="375">
        <f>IF(AND(G477&lt;&gt;"",R477&lt;&gt;"",V477&lt;&gt;"",W477&lt;&gt;""),"COMPLETADO","OBSERVADO")</f>
        <v/>
      </c>
    </row>
    <row r="478" ht="15" customHeight="1" s="195">
      <c r="A478" s="280" t="n"/>
      <c r="B478" s="280" t="n"/>
      <c r="C478" s="280" t="n"/>
      <c r="D478" s="280" t="n"/>
      <c r="E478" s="280" t="n"/>
      <c r="F478" s="280" t="n"/>
      <c r="G478" s="280" t="n"/>
      <c r="H478" s="280" t="n"/>
      <c r="I478" s="332">
        <f>IFERROR(VLOOKUP(TEXT(H478,"0"),IPRESS!$A$3:$B$212,2,0),"")</f>
        <v/>
      </c>
      <c r="J478" s="280" t="n"/>
      <c r="K478" s="332">
        <f>IFERROR(VLOOKUP(TEXT(O478,"0"),CONDUCTORES!$A$3:$G$54,7,0),"")</f>
        <v/>
      </c>
      <c r="L478" s="280" t="n"/>
      <c r="M478" s="280" t="n"/>
      <c r="N478" s="333">
        <f>IFERROR(IF(L478*M478=0,"",L478*M478),"")</f>
        <v/>
      </c>
      <c r="O478" s="280" t="n"/>
      <c r="P478" s="332">
        <f>IFERROR(VLOOKUP(TEXT(O478,"0"),CONDUCTORES!$A$3:$G$54,2,0),"")</f>
        <v/>
      </c>
      <c r="Q478" s="332">
        <f>IFERROR(VLOOKUP(TEXT(O478,"0"),CONDUCTORES!$A$3:$H$54,6,0),"")</f>
        <v/>
      </c>
      <c r="R478" s="280" t="n"/>
      <c r="S478" s="280" t="n"/>
      <c r="T478" s="280" t="n"/>
      <c r="U478" s="280" t="n"/>
      <c r="V478" s="280" t="n"/>
      <c r="W478" s="280" t="n"/>
      <c r="X478" s="280" t="n"/>
      <c r="Y478" s="280" t="n"/>
      <c r="Z478" s="375">
        <f>IF(AND(G478&lt;&gt;"",R478&lt;&gt;"",V478&lt;&gt;"",W478&lt;&gt;""),"COMPLETADO","OBSERVADO")</f>
        <v/>
      </c>
    </row>
    <row r="479" ht="15" customHeight="1" s="195">
      <c r="A479" s="334" t="n"/>
      <c r="B479" s="334" t="n"/>
      <c r="C479" s="334" t="n"/>
      <c r="D479" s="334" t="n"/>
      <c r="E479" s="334" t="n"/>
      <c r="F479" s="334" t="n"/>
      <c r="G479" s="334" t="n"/>
      <c r="H479" s="334" t="n"/>
      <c r="I479" s="332">
        <f>IFERROR(VLOOKUP(TEXT(H479,"0"),IPRESS!$A$3:$B$212,2,0),"")</f>
        <v/>
      </c>
      <c r="J479" s="334" t="n"/>
      <c r="K479" s="332">
        <f>IFERROR(VLOOKUP(TEXT(O479,"0"),CONDUCTORES!$A$3:$G$54,7,0),"")</f>
        <v/>
      </c>
      <c r="L479" s="334" t="n"/>
      <c r="M479" s="334" t="n"/>
      <c r="N479" s="333">
        <f>IFERROR(IF(L479*M479=0,"",L479*M479),"")</f>
        <v/>
      </c>
      <c r="O479" s="334" t="n"/>
      <c r="P479" s="332">
        <f>IFERROR(VLOOKUP(TEXT(O479,"0"),CONDUCTORES!$A$3:$G$54,2,0),"")</f>
        <v/>
      </c>
      <c r="Q479" s="332">
        <f>IFERROR(VLOOKUP(TEXT(O479,"0"),CONDUCTORES!$A$3:$H$54,6,0),"")</f>
        <v/>
      </c>
      <c r="R479" s="334" t="n"/>
      <c r="S479" s="334" t="n"/>
      <c r="T479" s="334" t="n"/>
      <c r="U479" s="334" t="n"/>
      <c r="V479" s="334" t="n"/>
      <c r="W479" s="334" t="n"/>
      <c r="X479" s="334" t="n"/>
      <c r="Y479" s="334" t="n"/>
      <c r="Z479" s="375">
        <f>IF(AND(G479&lt;&gt;"",R479&lt;&gt;"",V479&lt;&gt;"",W479&lt;&gt;""),"COMPLETADO","OBSERVADO")</f>
        <v/>
      </c>
    </row>
    <row r="480" ht="15" customHeight="1" s="195">
      <c r="A480" s="280" t="n"/>
      <c r="B480" s="280" t="n"/>
      <c r="C480" s="280" t="n"/>
      <c r="D480" s="280" t="n"/>
      <c r="E480" s="280" t="n"/>
      <c r="F480" s="280" t="n"/>
      <c r="G480" s="280" t="n"/>
      <c r="H480" s="280" t="n"/>
      <c r="I480" s="332">
        <f>IFERROR(VLOOKUP(TEXT(H480,"0"),IPRESS!$A$3:$B$212,2,0),"")</f>
        <v/>
      </c>
      <c r="J480" s="280" t="n"/>
      <c r="K480" s="332">
        <f>IFERROR(VLOOKUP(TEXT(O480,"0"),CONDUCTORES!$A$3:$G$54,7,0),"")</f>
        <v/>
      </c>
      <c r="L480" s="280" t="n"/>
      <c r="M480" s="280" t="n"/>
      <c r="N480" s="333">
        <f>IFERROR(IF(L480*M480=0,"",L480*M480),"")</f>
        <v/>
      </c>
      <c r="O480" s="280" t="n"/>
      <c r="P480" s="332">
        <f>IFERROR(VLOOKUP(TEXT(O480,"0"),CONDUCTORES!$A$3:$G$54,2,0),"")</f>
        <v/>
      </c>
      <c r="Q480" s="332">
        <f>IFERROR(VLOOKUP(TEXT(O480,"0"),CONDUCTORES!$A$3:$H$54,6,0),"")</f>
        <v/>
      </c>
      <c r="R480" s="280" t="n"/>
      <c r="S480" s="280" t="n"/>
      <c r="T480" s="280" t="n"/>
      <c r="U480" s="280" t="n"/>
      <c r="V480" s="280" t="n"/>
      <c r="W480" s="280" t="n"/>
      <c r="X480" s="280" t="n"/>
      <c r="Y480" s="280" t="n"/>
      <c r="Z480" s="375">
        <f>IF(AND(G480&lt;&gt;"",R480&lt;&gt;"",V480&lt;&gt;"",W480&lt;&gt;""),"COMPLETADO","OBSERVADO")</f>
        <v/>
      </c>
    </row>
    <row r="481" ht="15" customHeight="1" s="195">
      <c r="A481" s="334" t="n"/>
      <c r="B481" s="334" t="n"/>
      <c r="C481" s="334" t="n"/>
      <c r="D481" s="334" t="n"/>
      <c r="E481" s="334" t="n"/>
      <c r="F481" s="334" t="n"/>
      <c r="G481" s="334" t="n"/>
      <c r="H481" s="334" t="n"/>
      <c r="I481" s="332">
        <f>IFERROR(VLOOKUP(TEXT(H481,"0"),IPRESS!$A$3:$B$212,2,0),"")</f>
        <v/>
      </c>
      <c r="J481" s="334" t="n"/>
      <c r="K481" s="332">
        <f>IFERROR(VLOOKUP(TEXT(O481,"0"),CONDUCTORES!$A$3:$G$54,7,0),"")</f>
        <v/>
      </c>
      <c r="L481" s="334" t="n"/>
      <c r="M481" s="334" t="n"/>
      <c r="N481" s="333">
        <f>IFERROR(IF(L481*M481=0,"",L481*M481),"")</f>
        <v/>
      </c>
      <c r="O481" s="334" t="n"/>
      <c r="P481" s="332">
        <f>IFERROR(VLOOKUP(TEXT(O481,"0"),CONDUCTORES!$A$3:$G$54,2,0),"")</f>
        <v/>
      </c>
      <c r="Q481" s="332">
        <f>IFERROR(VLOOKUP(TEXT(O481,"0"),CONDUCTORES!$A$3:$H$54,6,0),"")</f>
        <v/>
      </c>
      <c r="R481" s="334" t="n"/>
      <c r="S481" s="334" t="n"/>
      <c r="T481" s="334" t="n"/>
      <c r="U481" s="334" t="n"/>
      <c r="V481" s="334" t="n"/>
      <c r="W481" s="334" t="n"/>
      <c r="X481" s="334" t="n"/>
      <c r="Y481" s="334" t="n"/>
      <c r="Z481" s="375">
        <f>IF(AND(G481&lt;&gt;"",R481&lt;&gt;"",V481&lt;&gt;"",W481&lt;&gt;""),"COMPLETADO","OBSERVADO")</f>
        <v/>
      </c>
    </row>
    <row r="482" ht="15" customHeight="1" s="195">
      <c r="A482" s="280" t="n"/>
      <c r="B482" s="280" t="n"/>
      <c r="C482" s="280" t="n"/>
      <c r="D482" s="280" t="n"/>
      <c r="E482" s="280" t="n"/>
      <c r="F482" s="280" t="n"/>
      <c r="G482" s="280" t="n"/>
      <c r="H482" s="280" t="n"/>
      <c r="I482" s="332">
        <f>IFERROR(VLOOKUP(TEXT(H482,"0"),IPRESS!$A$3:$B$212,2,0),"")</f>
        <v/>
      </c>
      <c r="J482" s="280" t="n"/>
      <c r="K482" s="332">
        <f>IFERROR(VLOOKUP(TEXT(O482,"0"),CONDUCTORES!$A$3:$G$54,7,0),"")</f>
        <v/>
      </c>
      <c r="L482" s="280" t="n"/>
      <c r="M482" s="280" t="n"/>
      <c r="N482" s="333">
        <f>IFERROR(IF(L482*M482=0,"",L482*M482),"")</f>
        <v/>
      </c>
      <c r="O482" s="280" t="n"/>
      <c r="P482" s="332">
        <f>IFERROR(VLOOKUP(TEXT(O482,"0"),CONDUCTORES!$A$3:$G$54,2,0),"")</f>
        <v/>
      </c>
      <c r="Q482" s="332">
        <f>IFERROR(VLOOKUP(TEXT(O482,"0"),CONDUCTORES!$A$3:$H$54,6,0),"")</f>
        <v/>
      </c>
      <c r="R482" s="280" t="n"/>
      <c r="S482" s="280" t="n"/>
      <c r="T482" s="280" t="n"/>
      <c r="U482" s="280" t="n"/>
      <c r="V482" s="280" t="n"/>
      <c r="W482" s="280" t="n"/>
      <c r="X482" s="280" t="n"/>
      <c r="Y482" s="280" t="n"/>
      <c r="Z482" s="375">
        <f>IF(AND(G482&lt;&gt;"",R482&lt;&gt;"",V482&lt;&gt;"",W482&lt;&gt;""),"COMPLETADO","OBSERVADO")</f>
        <v/>
      </c>
    </row>
    <row r="483" ht="15" customHeight="1" s="195">
      <c r="A483" s="334" t="n"/>
      <c r="B483" s="334" t="n"/>
      <c r="C483" s="334" t="n"/>
      <c r="D483" s="334" t="n"/>
      <c r="E483" s="334" t="n"/>
      <c r="F483" s="334" t="n"/>
      <c r="G483" s="334" t="n"/>
      <c r="H483" s="334" t="n"/>
      <c r="I483" s="332">
        <f>IFERROR(VLOOKUP(TEXT(H483,"0"),IPRESS!$A$3:$B$212,2,0),"")</f>
        <v/>
      </c>
      <c r="J483" s="334" t="n"/>
      <c r="K483" s="332">
        <f>IFERROR(VLOOKUP(TEXT(O483,"0"),CONDUCTORES!$A$3:$G$54,7,0),"")</f>
        <v/>
      </c>
      <c r="L483" s="334" t="n"/>
      <c r="M483" s="334" t="n"/>
      <c r="N483" s="333">
        <f>IFERROR(IF(L483*M483=0,"",L483*M483),"")</f>
        <v/>
      </c>
      <c r="O483" s="334" t="n"/>
      <c r="P483" s="332">
        <f>IFERROR(VLOOKUP(TEXT(O483,"0"),CONDUCTORES!$A$3:$G$54,2,0),"")</f>
        <v/>
      </c>
      <c r="Q483" s="332">
        <f>IFERROR(VLOOKUP(TEXT(O483,"0"),CONDUCTORES!$A$3:$H$54,6,0),"")</f>
        <v/>
      </c>
      <c r="R483" s="334" t="n"/>
      <c r="S483" s="334" t="n"/>
      <c r="T483" s="334" t="n"/>
      <c r="U483" s="334" t="n"/>
      <c r="V483" s="334" t="n"/>
      <c r="W483" s="334" t="n"/>
      <c r="X483" s="334" t="n"/>
      <c r="Y483" s="334" t="n"/>
      <c r="Z483" s="375">
        <f>IF(AND(G483&lt;&gt;"",R483&lt;&gt;"",V483&lt;&gt;"",W483&lt;&gt;""),"COMPLETADO","OBSERVADO")</f>
        <v/>
      </c>
    </row>
    <row r="484" ht="15" customHeight="1" s="195">
      <c r="A484" s="280" t="n"/>
      <c r="B484" s="280" t="n"/>
      <c r="C484" s="280" t="n"/>
      <c r="D484" s="280" t="n"/>
      <c r="E484" s="280" t="n"/>
      <c r="F484" s="280" t="n"/>
      <c r="G484" s="280" t="n"/>
      <c r="H484" s="280" t="n"/>
      <c r="I484" s="332">
        <f>IFERROR(VLOOKUP(TEXT(H484,"0"),IPRESS!$A$3:$B$212,2,0),"")</f>
        <v/>
      </c>
      <c r="J484" s="280" t="n"/>
      <c r="K484" s="332">
        <f>IFERROR(VLOOKUP(TEXT(O484,"0"),CONDUCTORES!$A$3:$G$54,7,0),"")</f>
        <v/>
      </c>
      <c r="L484" s="280" t="n"/>
      <c r="M484" s="280" t="n"/>
      <c r="N484" s="333">
        <f>IFERROR(IF(L484*M484=0,"",L484*M484),"")</f>
        <v/>
      </c>
      <c r="O484" s="280" t="n"/>
      <c r="P484" s="332">
        <f>IFERROR(VLOOKUP(TEXT(O484,"0"),CONDUCTORES!$A$3:$G$54,2,0),"")</f>
        <v/>
      </c>
      <c r="Q484" s="332">
        <f>IFERROR(VLOOKUP(TEXT(O484,"0"),CONDUCTORES!$A$3:$H$54,6,0),"")</f>
        <v/>
      </c>
      <c r="R484" s="280" t="n"/>
      <c r="S484" s="280" t="n"/>
      <c r="T484" s="280" t="n"/>
      <c r="U484" s="280" t="n"/>
      <c r="V484" s="280" t="n"/>
      <c r="W484" s="280" t="n"/>
      <c r="X484" s="280" t="n"/>
      <c r="Y484" s="280" t="n"/>
      <c r="Z484" s="375">
        <f>IF(AND(G484&lt;&gt;"",R484&lt;&gt;"",V484&lt;&gt;"",W484&lt;&gt;""),"COMPLETADO","OBSERVADO")</f>
        <v/>
      </c>
    </row>
    <row r="485" ht="15" customHeight="1" s="195">
      <c r="A485" s="334" t="n"/>
      <c r="B485" s="334" t="n"/>
      <c r="C485" s="334" t="n"/>
      <c r="D485" s="334" t="n"/>
      <c r="E485" s="334" t="n"/>
      <c r="F485" s="334" t="n"/>
      <c r="G485" s="334" t="n"/>
      <c r="H485" s="334" t="n"/>
      <c r="I485" s="332">
        <f>IFERROR(VLOOKUP(TEXT(H485,"0"),IPRESS!$A$3:$B$212,2,0),"")</f>
        <v/>
      </c>
      <c r="J485" s="334" t="n"/>
      <c r="K485" s="332">
        <f>IFERROR(VLOOKUP(TEXT(O485,"0"),CONDUCTORES!$A$3:$G$54,7,0),"")</f>
        <v/>
      </c>
      <c r="L485" s="334" t="n"/>
      <c r="M485" s="334" t="n"/>
      <c r="N485" s="333">
        <f>IFERROR(IF(L485*M485=0,"",L485*M485),"")</f>
        <v/>
      </c>
      <c r="O485" s="334" t="n"/>
      <c r="P485" s="332">
        <f>IFERROR(VLOOKUP(TEXT(O485,"0"),CONDUCTORES!$A$3:$G$54,2,0),"")</f>
        <v/>
      </c>
      <c r="Q485" s="332">
        <f>IFERROR(VLOOKUP(TEXT(O485,"0"),CONDUCTORES!$A$3:$H$54,6,0),"")</f>
        <v/>
      </c>
      <c r="R485" s="334" t="n"/>
      <c r="S485" s="334" t="n"/>
      <c r="T485" s="334" t="n"/>
      <c r="U485" s="334" t="n"/>
      <c r="V485" s="334" t="n"/>
      <c r="W485" s="334" t="n"/>
      <c r="X485" s="334" t="n"/>
      <c r="Y485" s="334" t="n"/>
      <c r="Z485" s="375">
        <f>IF(AND(G485&lt;&gt;"",R485&lt;&gt;"",V485&lt;&gt;"",W485&lt;&gt;""),"COMPLETADO","OBSERVADO")</f>
        <v/>
      </c>
    </row>
    <row r="486" ht="15" customHeight="1" s="195">
      <c r="A486" s="280" t="n"/>
      <c r="B486" s="280" t="n"/>
      <c r="C486" s="280" t="n"/>
      <c r="D486" s="280" t="n"/>
      <c r="E486" s="280" t="n"/>
      <c r="F486" s="280" t="n"/>
      <c r="G486" s="280" t="n"/>
      <c r="H486" s="280" t="n"/>
      <c r="I486" s="332">
        <f>IFERROR(VLOOKUP(TEXT(H486,"0"),IPRESS!$A$3:$B$212,2,0),"")</f>
        <v/>
      </c>
      <c r="J486" s="280" t="n"/>
      <c r="K486" s="332">
        <f>IFERROR(VLOOKUP(TEXT(O486,"0"),CONDUCTORES!$A$3:$G$54,7,0),"")</f>
        <v/>
      </c>
      <c r="L486" s="280" t="n"/>
      <c r="M486" s="280" t="n"/>
      <c r="N486" s="333">
        <f>IFERROR(IF(L486*M486=0,"",L486*M486),"")</f>
        <v/>
      </c>
      <c r="O486" s="280" t="n"/>
      <c r="P486" s="332">
        <f>IFERROR(VLOOKUP(TEXT(O486,"0"),CONDUCTORES!$A$3:$G$54,2,0),"")</f>
        <v/>
      </c>
      <c r="Q486" s="332">
        <f>IFERROR(VLOOKUP(TEXT(O486,"0"),CONDUCTORES!$A$3:$H$54,6,0),"")</f>
        <v/>
      </c>
      <c r="R486" s="280" t="n"/>
      <c r="S486" s="280" t="n"/>
      <c r="T486" s="280" t="n"/>
      <c r="U486" s="280" t="n"/>
      <c r="V486" s="280" t="n"/>
      <c r="W486" s="280" t="n"/>
      <c r="X486" s="280" t="n"/>
      <c r="Y486" s="280" t="n"/>
      <c r="Z486" s="375">
        <f>IF(AND(G486&lt;&gt;"",R486&lt;&gt;"",V486&lt;&gt;"",W486&lt;&gt;""),"COMPLETADO","OBSERVADO")</f>
        <v/>
      </c>
    </row>
    <row r="487" ht="15" customHeight="1" s="195">
      <c r="A487" s="334" t="n"/>
      <c r="B487" s="334" t="n"/>
      <c r="C487" s="334" t="n"/>
      <c r="D487" s="334" t="n"/>
      <c r="E487" s="334" t="n"/>
      <c r="F487" s="334" t="n"/>
      <c r="G487" s="334" t="n"/>
      <c r="H487" s="334" t="n"/>
      <c r="I487" s="332">
        <f>IFERROR(VLOOKUP(TEXT(H487,"0"),IPRESS!$A$3:$B$212,2,0),"")</f>
        <v/>
      </c>
      <c r="J487" s="334" t="n"/>
      <c r="K487" s="332">
        <f>IFERROR(VLOOKUP(TEXT(O487,"0"),CONDUCTORES!$A$3:$G$54,7,0),"")</f>
        <v/>
      </c>
      <c r="L487" s="334" t="n"/>
      <c r="M487" s="334" t="n"/>
      <c r="N487" s="333">
        <f>IFERROR(IF(L487*M487=0,"",L487*M487),"")</f>
        <v/>
      </c>
      <c r="O487" s="334" t="n"/>
      <c r="P487" s="332">
        <f>IFERROR(VLOOKUP(TEXT(O487,"0"),CONDUCTORES!$A$3:$G$54,2,0),"")</f>
        <v/>
      </c>
      <c r="Q487" s="332">
        <f>IFERROR(VLOOKUP(TEXT(O487,"0"),CONDUCTORES!$A$3:$H$54,6,0),"")</f>
        <v/>
      </c>
      <c r="R487" s="334" t="n"/>
      <c r="S487" s="334" t="n"/>
      <c r="T487" s="334" t="n"/>
      <c r="U487" s="334" t="n"/>
      <c r="V487" s="334" t="n"/>
      <c r="W487" s="334" t="n"/>
      <c r="X487" s="334" t="n"/>
      <c r="Y487" s="334" t="n"/>
      <c r="Z487" s="375">
        <f>IF(AND(G487&lt;&gt;"",R487&lt;&gt;"",V487&lt;&gt;"",W487&lt;&gt;""),"COMPLETADO","OBSERVADO")</f>
        <v/>
      </c>
    </row>
    <row r="488" ht="15" customHeight="1" s="195">
      <c r="A488" s="280" t="n"/>
      <c r="B488" s="280" t="n"/>
      <c r="C488" s="280" t="n"/>
      <c r="D488" s="280" t="n"/>
      <c r="E488" s="280" t="n"/>
      <c r="F488" s="280" t="n"/>
      <c r="G488" s="280" t="n"/>
      <c r="H488" s="280" t="n"/>
      <c r="I488" s="332">
        <f>IFERROR(VLOOKUP(TEXT(H488,"0"),IPRESS!$A$3:$B$212,2,0),"")</f>
        <v/>
      </c>
      <c r="J488" s="280" t="n"/>
      <c r="K488" s="332">
        <f>IFERROR(VLOOKUP(TEXT(O488,"0"),CONDUCTORES!$A$3:$G$54,7,0),"")</f>
        <v/>
      </c>
      <c r="L488" s="280" t="n"/>
      <c r="M488" s="280" t="n"/>
      <c r="N488" s="333">
        <f>IFERROR(IF(L488*M488=0,"",L488*M488),"")</f>
        <v/>
      </c>
      <c r="O488" s="280" t="n"/>
      <c r="P488" s="332">
        <f>IFERROR(VLOOKUP(TEXT(O488,"0"),CONDUCTORES!$A$3:$G$54,2,0),"")</f>
        <v/>
      </c>
      <c r="Q488" s="332">
        <f>IFERROR(VLOOKUP(TEXT(O488,"0"),CONDUCTORES!$A$3:$H$54,6,0),"")</f>
        <v/>
      </c>
      <c r="R488" s="280" t="n"/>
      <c r="S488" s="280" t="n"/>
      <c r="T488" s="280" t="n"/>
      <c r="U488" s="280" t="n"/>
      <c r="V488" s="280" t="n"/>
      <c r="W488" s="280" t="n"/>
      <c r="X488" s="280" t="n"/>
      <c r="Y488" s="280" t="n"/>
      <c r="Z488" s="375">
        <f>IF(AND(G488&lt;&gt;"",R488&lt;&gt;"",V488&lt;&gt;"",W488&lt;&gt;""),"COMPLETADO","OBSERVADO")</f>
        <v/>
      </c>
    </row>
    <row r="489" ht="15" customHeight="1" s="195">
      <c r="A489" s="334" t="n"/>
      <c r="B489" s="334" t="n"/>
      <c r="C489" s="334" t="n"/>
      <c r="D489" s="334" t="n"/>
      <c r="E489" s="334" t="n"/>
      <c r="F489" s="334" t="n"/>
      <c r="G489" s="334" t="n"/>
      <c r="H489" s="334" t="n"/>
      <c r="I489" s="332">
        <f>IFERROR(VLOOKUP(TEXT(H489,"0"),IPRESS!$A$3:$B$212,2,0),"")</f>
        <v/>
      </c>
      <c r="J489" s="334" t="n"/>
      <c r="K489" s="332">
        <f>IFERROR(VLOOKUP(TEXT(O489,"0"),CONDUCTORES!$A$3:$G$54,7,0),"")</f>
        <v/>
      </c>
      <c r="L489" s="334" t="n"/>
      <c r="M489" s="334" t="n"/>
      <c r="N489" s="333">
        <f>IFERROR(IF(L489*M489=0,"",L489*M489),"")</f>
        <v/>
      </c>
      <c r="O489" s="334" t="n"/>
      <c r="P489" s="332">
        <f>IFERROR(VLOOKUP(TEXT(O489,"0"),CONDUCTORES!$A$3:$G$54,2,0),"")</f>
        <v/>
      </c>
      <c r="Q489" s="332">
        <f>IFERROR(VLOOKUP(TEXT(O489,"0"),CONDUCTORES!$A$3:$H$54,6,0),"")</f>
        <v/>
      </c>
      <c r="R489" s="334" t="n"/>
      <c r="S489" s="334" t="n"/>
      <c r="T489" s="334" t="n"/>
      <c r="U489" s="334" t="n"/>
      <c r="V489" s="334" t="n"/>
      <c r="W489" s="334" t="n"/>
      <c r="X489" s="334" t="n"/>
      <c r="Y489" s="334" t="n"/>
      <c r="Z489" s="375">
        <f>IF(AND(G489&lt;&gt;"",R489&lt;&gt;"",V489&lt;&gt;"",W489&lt;&gt;""),"COMPLETADO","OBSERVADO")</f>
        <v/>
      </c>
    </row>
    <row r="490" ht="15" customHeight="1" s="195">
      <c r="A490" s="280" t="n"/>
      <c r="B490" s="280" t="n"/>
      <c r="C490" s="280" t="n"/>
      <c r="D490" s="280" t="n"/>
      <c r="E490" s="280" t="n"/>
      <c r="F490" s="280" t="n"/>
      <c r="G490" s="280" t="n"/>
      <c r="H490" s="280" t="n"/>
      <c r="I490" s="332">
        <f>IFERROR(VLOOKUP(TEXT(H490,"0"),IPRESS!$A$3:$B$212,2,0),"")</f>
        <v/>
      </c>
      <c r="J490" s="280" t="n"/>
      <c r="K490" s="332">
        <f>IFERROR(VLOOKUP(TEXT(O490,"0"),CONDUCTORES!$A$3:$G$54,7,0),"")</f>
        <v/>
      </c>
      <c r="L490" s="280" t="n"/>
      <c r="M490" s="280" t="n"/>
      <c r="N490" s="333">
        <f>IFERROR(IF(L490*M490=0,"",L490*M490),"")</f>
        <v/>
      </c>
      <c r="O490" s="280" t="n"/>
      <c r="P490" s="332">
        <f>IFERROR(VLOOKUP(TEXT(O490,"0"),CONDUCTORES!$A$3:$G$54,2,0),"")</f>
        <v/>
      </c>
      <c r="Q490" s="332">
        <f>IFERROR(VLOOKUP(TEXT(O490,"0"),CONDUCTORES!$A$3:$H$54,6,0),"")</f>
        <v/>
      </c>
      <c r="R490" s="280" t="n"/>
      <c r="S490" s="280" t="n"/>
      <c r="T490" s="280" t="n"/>
      <c r="U490" s="280" t="n"/>
      <c r="V490" s="280" t="n"/>
      <c r="W490" s="280" t="n"/>
      <c r="X490" s="280" t="n"/>
      <c r="Y490" s="280" t="n"/>
      <c r="Z490" s="375">
        <f>IF(AND(G490&lt;&gt;"",R490&lt;&gt;"",V490&lt;&gt;"",W490&lt;&gt;""),"COMPLETADO","OBSERVADO")</f>
        <v/>
      </c>
    </row>
    <row r="491" ht="15" customHeight="1" s="195">
      <c r="A491" s="334" t="n"/>
      <c r="B491" s="334" t="n"/>
      <c r="C491" s="334" t="n"/>
      <c r="D491" s="334" t="n"/>
      <c r="E491" s="334" t="n"/>
      <c r="F491" s="334" t="n"/>
      <c r="G491" s="334" t="n"/>
      <c r="H491" s="334" t="n"/>
      <c r="I491" s="332">
        <f>IFERROR(VLOOKUP(TEXT(H491,"0"),IPRESS!$A$3:$B$212,2,0),"")</f>
        <v/>
      </c>
      <c r="J491" s="334" t="n"/>
      <c r="K491" s="332">
        <f>IFERROR(VLOOKUP(TEXT(O491,"0"),CONDUCTORES!$A$3:$G$54,7,0),"")</f>
        <v/>
      </c>
      <c r="L491" s="334" t="n"/>
      <c r="M491" s="334" t="n"/>
      <c r="N491" s="333">
        <f>IFERROR(IF(L491*M491=0,"",L491*M491),"")</f>
        <v/>
      </c>
      <c r="O491" s="334" t="n"/>
      <c r="P491" s="332">
        <f>IFERROR(VLOOKUP(TEXT(O491,"0"),CONDUCTORES!$A$3:$G$54,2,0),"")</f>
        <v/>
      </c>
      <c r="Q491" s="332">
        <f>IFERROR(VLOOKUP(TEXT(O491,"0"),CONDUCTORES!$A$3:$H$54,6,0),"")</f>
        <v/>
      </c>
      <c r="R491" s="334" t="n"/>
      <c r="S491" s="334" t="n"/>
      <c r="T491" s="334" t="n"/>
      <c r="U491" s="334" t="n"/>
      <c r="V491" s="334" t="n"/>
      <c r="W491" s="334" t="n"/>
      <c r="X491" s="334" t="n"/>
      <c r="Y491" s="334" t="n"/>
      <c r="Z491" s="375">
        <f>IF(AND(G491&lt;&gt;"",R491&lt;&gt;"",V491&lt;&gt;"",W491&lt;&gt;""),"COMPLETADO","OBSERVADO")</f>
        <v/>
      </c>
    </row>
    <row r="492" ht="15" customHeight="1" s="195">
      <c r="A492" s="280" t="n"/>
      <c r="B492" s="280" t="n"/>
      <c r="C492" s="280" t="n"/>
      <c r="D492" s="280" t="n"/>
      <c r="E492" s="280" t="n"/>
      <c r="F492" s="280" t="n"/>
      <c r="G492" s="280" t="n"/>
      <c r="H492" s="280" t="n"/>
      <c r="I492" s="332">
        <f>IFERROR(VLOOKUP(TEXT(H492,"0"),IPRESS!$A$3:$B$212,2,0),"")</f>
        <v/>
      </c>
      <c r="J492" s="280" t="n"/>
      <c r="K492" s="332">
        <f>IFERROR(VLOOKUP(TEXT(O492,"0"),CONDUCTORES!$A$3:$G$54,7,0),"")</f>
        <v/>
      </c>
      <c r="L492" s="280" t="n"/>
      <c r="M492" s="280" t="n"/>
      <c r="N492" s="333">
        <f>IFERROR(IF(L492*M492=0,"",L492*M492),"")</f>
        <v/>
      </c>
      <c r="O492" s="280" t="n"/>
      <c r="P492" s="332">
        <f>IFERROR(VLOOKUP(TEXT(O492,"0"),CONDUCTORES!$A$3:$G$54,2,0),"")</f>
        <v/>
      </c>
      <c r="Q492" s="332">
        <f>IFERROR(VLOOKUP(TEXT(O492,"0"),CONDUCTORES!$A$3:$H$54,6,0),"")</f>
        <v/>
      </c>
      <c r="R492" s="280" t="n"/>
      <c r="S492" s="280" t="n"/>
      <c r="T492" s="280" t="n"/>
      <c r="U492" s="280" t="n"/>
      <c r="V492" s="280" t="n"/>
      <c r="W492" s="280" t="n"/>
      <c r="X492" s="280" t="n"/>
      <c r="Y492" s="280" t="n"/>
      <c r="Z492" s="375">
        <f>IF(AND(G492&lt;&gt;"",R492&lt;&gt;"",V492&lt;&gt;"",W492&lt;&gt;""),"COMPLETADO","OBSERVADO")</f>
        <v/>
      </c>
    </row>
    <row r="493" ht="15" customHeight="1" s="195">
      <c r="A493" s="334" t="n"/>
      <c r="B493" s="334" t="n"/>
      <c r="C493" s="334" t="n"/>
      <c r="D493" s="334" t="n"/>
      <c r="E493" s="334" t="n"/>
      <c r="F493" s="334" t="n"/>
      <c r="G493" s="334" t="n"/>
      <c r="H493" s="334" t="n"/>
      <c r="I493" s="332">
        <f>IFERROR(VLOOKUP(TEXT(H493,"0"),IPRESS!$A$3:$B$212,2,0),"")</f>
        <v/>
      </c>
      <c r="J493" s="334" t="n"/>
      <c r="K493" s="332">
        <f>IFERROR(VLOOKUP(TEXT(O493,"0"),CONDUCTORES!$A$3:$G$54,7,0),"")</f>
        <v/>
      </c>
      <c r="L493" s="334" t="n"/>
      <c r="M493" s="334" t="n"/>
      <c r="N493" s="333">
        <f>IFERROR(IF(L493*M493=0,"",L493*M493),"")</f>
        <v/>
      </c>
      <c r="O493" s="334" t="n"/>
      <c r="P493" s="332">
        <f>IFERROR(VLOOKUP(TEXT(O493,"0"),CONDUCTORES!$A$3:$G$54,2,0),"")</f>
        <v/>
      </c>
      <c r="Q493" s="332">
        <f>IFERROR(VLOOKUP(TEXT(O493,"0"),CONDUCTORES!$A$3:$H$54,6,0),"")</f>
        <v/>
      </c>
      <c r="R493" s="334" t="n"/>
      <c r="S493" s="334" t="n"/>
      <c r="T493" s="334" t="n"/>
      <c r="U493" s="334" t="n"/>
      <c r="V493" s="334" t="n"/>
      <c r="W493" s="334" t="n"/>
      <c r="X493" s="334" t="n"/>
      <c r="Y493" s="334" t="n"/>
      <c r="Z493" s="375">
        <f>IF(AND(G493&lt;&gt;"",R493&lt;&gt;"",V493&lt;&gt;"",W493&lt;&gt;""),"COMPLETADO","OBSERVADO")</f>
        <v/>
      </c>
    </row>
    <row r="494" ht="15" customHeight="1" s="195">
      <c r="A494" s="280" t="n"/>
      <c r="B494" s="280" t="n"/>
      <c r="C494" s="280" t="n"/>
      <c r="D494" s="280" t="n"/>
      <c r="E494" s="280" t="n"/>
      <c r="F494" s="280" t="n"/>
      <c r="G494" s="280" t="n"/>
      <c r="H494" s="280" t="n"/>
      <c r="I494" s="332">
        <f>IFERROR(VLOOKUP(TEXT(H494,"0"),IPRESS!$A$3:$B$212,2,0),"")</f>
        <v/>
      </c>
      <c r="J494" s="280" t="n"/>
      <c r="K494" s="332">
        <f>IFERROR(VLOOKUP(TEXT(O494,"0"),CONDUCTORES!$A$3:$G$54,7,0),"")</f>
        <v/>
      </c>
      <c r="L494" s="280" t="n"/>
      <c r="M494" s="280" t="n"/>
      <c r="N494" s="333">
        <f>IFERROR(IF(L494*M494=0,"",L494*M494),"")</f>
        <v/>
      </c>
      <c r="O494" s="280" t="n"/>
      <c r="P494" s="332">
        <f>IFERROR(VLOOKUP(TEXT(O494,"0"),CONDUCTORES!$A$3:$G$54,2,0),"")</f>
        <v/>
      </c>
      <c r="Q494" s="332">
        <f>IFERROR(VLOOKUP(TEXT(O494,"0"),CONDUCTORES!$A$3:$H$54,6,0),"")</f>
        <v/>
      </c>
      <c r="R494" s="280" t="n"/>
      <c r="S494" s="280" t="n"/>
      <c r="T494" s="280" t="n"/>
      <c r="U494" s="280" t="n"/>
      <c r="V494" s="280" t="n"/>
      <c r="W494" s="280" t="n"/>
      <c r="X494" s="280" t="n"/>
      <c r="Y494" s="280" t="n"/>
      <c r="Z494" s="375">
        <f>IF(AND(G494&lt;&gt;"",R494&lt;&gt;"",V494&lt;&gt;"",W494&lt;&gt;""),"COMPLETADO","OBSERVADO")</f>
        <v/>
      </c>
    </row>
    <row r="495" ht="15" customHeight="1" s="195">
      <c r="A495" s="334" t="n"/>
      <c r="B495" s="334" t="n"/>
      <c r="C495" s="334" t="n"/>
      <c r="D495" s="334" t="n"/>
      <c r="E495" s="334" t="n"/>
      <c r="F495" s="334" t="n"/>
      <c r="G495" s="334" t="n"/>
      <c r="H495" s="334" t="n"/>
      <c r="I495" s="332">
        <f>IFERROR(VLOOKUP(TEXT(H495,"0"),IPRESS!$A$3:$B$212,2,0),"")</f>
        <v/>
      </c>
      <c r="J495" s="334" t="n"/>
      <c r="K495" s="332">
        <f>IFERROR(VLOOKUP(TEXT(O495,"0"),CONDUCTORES!$A$3:$G$54,7,0),"")</f>
        <v/>
      </c>
      <c r="L495" s="334" t="n"/>
      <c r="M495" s="334" t="n"/>
      <c r="N495" s="333">
        <f>IFERROR(IF(L495*M495=0,"",L495*M495),"")</f>
        <v/>
      </c>
      <c r="O495" s="334" t="n"/>
      <c r="P495" s="332">
        <f>IFERROR(VLOOKUP(TEXT(O495,"0"),CONDUCTORES!$A$3:$G$54,2,0),"")</f>
        <v/>
      </c>
      <c r="Q495" s="332">
        <f>IFERROR(VLOOKUP(TEXT(O495,"0"),CONDUCTORES!$A$3:$H$54,6,0),"")</f>
        <v/>
      </c>
      <c r="R495" s="334" t="n"/>
      <c r="S495" s="334" t="n"/>
      <c r="T495" s="334" t="n"/>
      <c r="U495" s="334" t="n"/>
      <c r="V495" s="334" t="n"/>
      <c r="W495" s="334" t="n"/>
      <c r="X495" s="334" t="n"/>
      <c r="Y495" s="334" t="n"/>
      <c r="Z495" s="375">
        <f>IF(AND(G495&lt;&gt;"",R495&lt;&gt;"",V495&lt;&gt;"",W495&lt;&gt;""),"COMPLETADO","OBSERVADO")</f>
        <v/>
      </c>
    </row>
    <row r="496" ht="15" customHeight="1" s="195">
      <c r="A496" s="280" t="n"/>
      <c r="B496" s="280" t="n"/>
      <c r="C496" s="280" t="n"/>
      <c r="D496" s="280" t="n"/>
      <c r="E496" s="280" t="n"/>
      <c r="F496" s="280" t="n"/>
      <c r="G496" s="280" t="n"/>
      <c r="H496" s="280" t="n"/>
      <c r="I496" s="332">
        <f>IFERROR(VLOOKUP(TEXT(H496,"0"),IPRESS!$A$3:$B$212,2,0),"")</f>
        <v/>
      </c>
      <c r="J496" s="280" t="n"/>
      <c r="K496" s="332">
        <f>IFERROR(VLOOKUP(TEXT(O496,"0"),CONDUCTORES!$A$3:$G$54,7,0),"")</f>
        <v/>
      </c>
      <c r="L496" s="280" t="n"/>
      <c r="M496" s="280" t="n"/>
      <c r="N496" s="333">
        <f>IFERROR(IF(L496*M496=0,"",L496*M496),"")</f>
        <v/>
      </c>
      <c r="O496" s="280" t="n"/>
      <c r="P496" s="332">
        <f>IFERROR(VLOOKUP(TEXT(O496,"0"),CONDUCTORES!$A$3:$G$54,2,0),"")</f>
        <v/>
      </c>
      <c r="Q496" s="332">
        <f>IFERROR(VLOOKUP(TEXT(O496,"0"),CONDUCTORES!$A$3:$H$54,6,0),"")</f>
        <v/>
      </c>
      <c r="R496" s="280" t="n"/>
      <c r="S496" s="280" t="n"/>
      <c r="T496" s="280" t="n"/>
      <c r="U496" s="280" t="n"/>
      <c r="V496" s="280" t="n"/>
      <c r="W496" s="280" t="n"/>
      <c r="X496" s="280" t="n"/>
      <c r="Y496" s="280" t="n"/>
      <c r="Z496" s="375">
        <f>IF(AND(G496&lt;&gt;"",R496&lt;&gt;"",V496&lt;&gt;"",W496&lt;&gt;""),"COMPLETADO","OBSERVADO")</f>
        <v/>
      </c>
    </row>
    <row r="497" ht="15" customHeight="1" s="195">
      <c r="A497" s="334" t="n"/>
      <c r="B497" s="334" t="n"/>
      <c r="C497" s="334" t="n"/>
      <c r="D497" s="334" t="n"/>
      <c r="E497" s="334" t="n"/>
      <c r="F497" s="334" t="n"/>
      <c r="G497" s="334" t="n"/>
      <c r="H497" s="334" t="n"/>
      <c r="I497" s="332">
        <f>IFERROR(VLOOKUP(TEXT(H497,"0"),IPRESS!$A$3:$B$212,2,0),"")</f>
        <v/>
      </c>
      <c r="J497" s="334" t="n"/>
      <c r="K497" s="332">
        <f>IFERROR(VLOOKUP(TEXT(O497,"0"),CONDUCTORES!$A$3:$G$54,7,0),"")</f>
        <v/>
      </c>
      <c r="L497" s="334" t="n"/>
      <c r="M497" s="334" t="n"/>
      <c r="N497" s="333">
        <f>IFERROR(IF(L497*M497=0,"",L497*M497),"")</f>
        <v/>
      </c>
      <c r="O497" s="334" t="n"/>
      <c r="P497" s="332">
        <f>IFERROR(VLOOKUP(TEXT(O497,"0"),CONDUCTORES!$A$3:$G$54,2,0),"")</f>
        <v/>
      </c>
      <c r="Q497" s="332">
        <f>IFERROR(VLOOKUP(TEXT(O497,"0"),CONDUCTORES!$A$3:$H$54,6,0),"")</f>
        <v/>
      </c>
      <c r="R497" s="334" t="n"/>
      <c r="S497" s="334" t="n"/>
      <c r="T497" s="334" t="n"/>
      <c r="U497" s="334" t="n"/>
      <c r="V497" s="334" t="n"/>
      <c r="W497" s="334" t="n"/>
      <c r="X497" s="334" t="n"/>
      <c r="Y497" s="334" t="n"/>
      <c r="Z497" s="375">
        <f>IF(AND(G497&lt;&gt;"",R497&lt;&gt;"",V497&lt;&gt;"",W497&lt;&gt;""),"COMPLETADO","OBSERVADO")</f>
        <v/>
      </c>
    </row>
    <row r="498" ht="15" customHeight="1" s="195">
      <c r="A498" s="280" t="n"/>
      <c r="B498" s="280" t="n"/>
      <c r="C498" s="280" t="n"/>
      <c r="D498" s="280" t="n"/>
      <c r="E498" s="280" t="n"/>
      <c r="F498" s="280" t="n"/>
      <c r="G498" s="280" t="n"/>
      <c r="H498" s="280" t="n"/>
      <c r="I498" s="332">
        <f>IFERROR(VLOOKUP(TEXT(H498,"0"),IPRESS!$A$3:$B$212,2,0),"")</f>
        <v/>
      </c>
      <c r="J498" s="280" t="n"/>
      <c r="K498" s="332">
        <f>IFERROR(VLOOKUP(TEXT(O498,"0"),CONDUCTORES!$A$3:$G$54,7,0),"")</f>
        <v/>
      </c>
      <c r="L498" s="280" t="n"/>
      <c r="M498" s="280" t="n"/>
      <c r="N498" s="333">
        <f>IFERROR(IF(L498*M498=0,"",L498*M498),"")</f>
        <v/>
      </c>
      <c r="O498" s="280" t="n"/>
      <c r="P498" s="332">
        <f>IFERROR(VLOOKUP(TEXT(O498,"0"),CONDUCTORES!$A$3:$G$54,2,0),"")</f>
        <v/>
      </c>
      <c r="Q498" s="332">
        <f>IFERROR(VLOOKUP(TEXT(O498,"0"),CONDUCTORES!$A$3:$H$54,6,0),"")</f>
        <v/>
      </c>
      <c r="R498" s="280" t="n"/>
      <c r="S498" s="280" t="n"/>
      <c r="T498" s="280" t="n"/>
      <c r="U498" s="280" t="n"/>
      <c r="V498" s="280" t="n"/>
      <c r="W498" s="280" t="n"/>
      <c r="X498" s="280" t="n"/>
      <c r="Y498" s="280" t="n"/>
      <c r="Z498" s="375">
        <f>IF(AND(G498&lt;&gt;"",R498&lt;&gt;"",V498&lt;&gt;"",W498&lt;&gt;""),"COMPLETADO","OBSERVADO")</f>
        <v/>
      </c>
    </row>
    <row r="499" ht="15" customHeight="1" s="195">
      <c r="A499" s="334" t="n"/>
      <c r="B499" s="334" t="n"/>
      <c r="C499" s="334" t="n"/>
      <c r="D499" s="334" t="n"/>
      <c r="E499" s="334" t="n"/>
      <c r="F499" s="334" t="n"/>
      <c r="G499" s="334" t="n"/>
      <c r="H499" s="334" t="n"/>
      <c r="I499" s="332">
        <f>IFERROR(VLOOKUP(TEXT(H499,"0"),IPRESS!$A$3:$B$212,2,0),"")</f>
        <v/>
      </c>
      <c r="J499" s="334" t="n"/>
      <c r="K499" s="332">
        <f>IFERROR(VLOOKUP(TEXT(O499,"0"),CONDUCTORES!$A$3:$G$54,7,0),"")</f>
        <v/>
      </c>
      <c r="L499" s="334" t="n"/>
      <c r="M499" s="334" t="n"/>
      <c r="N499" s="333">
        <f>IFERROR(IF(L499*M499=0,"",L499*M499),"")</f>
        <v/>
      </c>
      <c r="O499" s="334" t="n"/>
      <c r="P499" s="332">
        <f>IFERROR(VLOOKUP(TEXT(O499,"0"),CONDUCTORES!$A$3:$G$54,2,0),"")</f>
        <v/>
      </c>
      <c r="Q499" s="332">
        <f>IFERROR(VLOOKUP(TEXT(O499,"0"),CONDUCTORES!$A$3:$H$54,6,0),"")</f>
        <v/>
      </c>
      <c r="R499" s="334" t="n"/>
      <c r="S499" s="334" t="n"/>
      <c r="T499" s="334" t="n"/>
      <c r="U499" s="334" t="n"/>
      <c r="V499" s="334" t="n"/>
      <c r="W499" s="334" t="n"/>
      <c r="X499" s="334" t="n"/>
      <c r="Y499" s="334" t="n"/>
      <c r="Z499" s="375">
        <f>IF(AND(G499&lt;&gt;"",R499&lt;&gt;"",V499&lt;&gt;"",W499&lt;&gt;""),"COMPLETADO","OBSERVADO")</f>
        <v/>
      </c>
    </row>
    <row r="500" ht="15" customHeight="1" s="195">
      <c r="A500" s="280" t="n"/>
      <c r="B500" s="280" t="n"/>
      <c r="C500" s="280" t="n"/>
      <c r="D500" s="280" t="n"/>
      <c r="E500" s="280" t="n"/>
      <c r="F500" s="280" t="n"/>
      <c r="G500" s="280" t="n"/>
      <c r="H500" s="280" t="n"/>
      <c r="I500" s="332">
        <f>IFERROR(VLOOKUP(TEXT(H500,"0"),IPRESS!$A$3:$B$212,2,0),"")</f>
        <v/>
      </c>
      <c r="J500" s="280" t="n"/>
      <c r="K500" s="332">
        <f>IFERROR(VLOOKUP(TEXT(O500,"0"),CONDUCTORES!$A$3:$G$54,7,0),"")</f>
        <v/>
      </c>
      <c r="L500" s="280" t="n"/>
      <c r="M500" s="280" t="n"/>
      <c r="N500" s="333">
        <f>IFERROR(IF(L500*M500=0,"",L500*M500),"")</f>
        <v/>
      </c>
      <c r="O500" s="280" t="n"/>
      <c r="P500" s="332">
        <f>IFERROR(VLOOKUP(TEXT(O500,"0"),CONDUCTORES!$A$3:$G$54,2,0),"")</f>
        <v/>
      </c>
      <c r="Q500" s="332">
        <f>IFERROR(VLOOKUP(TEXT(O500,"0"),CONDUCTORES!$A$3:$H$54,6,0),"")</f>
        <v/>
      </c>
      <c r="R500" s="280" t="n"/>
      <c r="S500" s="280" t="n"/>
      <c r="T500" s="280" t="n"/>
      <c r="U500" s="280" t="n"/>
      <c r="V500" s="280" t="n"/>
      <c r="W500" s="280" t="n"/>
      <c r="X500" s="280" t="n"/>
      <c r="Y500" s="280" t="n"/>
      <c r="Z500" s="375">
        <f>IF(AND(G500&lt;&gt;"",R500&lt;&gt;"",V500&lt;&gt;"",W500&lt;&gt;""),"COMPLETADO","OBSERVADO")</f>
        <v/>
      </c>
    </row>
    <row r="501" ht="15" customHeight="1" s="195">
      <c r="A501" s="334" t="n"/>
      <c r="B501" s="334" t="n"/>
      <c r="C501" s="334" t="n"/>
      <c r="D501" s="334" t="n"/>
      <c r="E501" s="334" t="n"/>
      <c r="F501" s="334" t="n"/>
      <c r="G501" s="334" t="n"/>
      <c r="H501" s="334" t="n"/>
      <c r="I501" s="332">
        <f>IFERROR(VLOOKUP(TEXT(H501,"0"),IPRESS!$A$3:$B$212,2,0),"")</f>
        <v/>
      </c>
      <c r="J501" s="334" t="n"/>
      <c r="K501" s="332">
        <f>IFERROR(VLOOKUP(TEXT(O501,"0"),CONDUCTORES!$A$3:$G$54,7,0),"")</f>
        <v/>
      </c>
      <c r="L501" s="334" t="n"/>
      <c r="M501" s="334" t="n"/>
      <c r="N501" s="333">
        <f>IFERROR(IF(L501*M501=0,"",L501*M501),"")</f>
        <v/>
      </c>
      <c r="O501" s="334" t="n"/>
      <c r="P501" s="332">
        <f>IFERROR(VLOOKUP(TEXT(O501,"0"),CONDUCTORES!$A$3:$G$54,2,0),"")</f>
        <v/>
      </c>
      <c r="Q501" s="332">
        <f>IFERROR(VLOOKUP(TEXT(O501,"0"),CONDUCTORES!$A$3:$H$54,6,0),"")</f>
        <v/>
      </c>
      <c r="R501" s="334" t="n"/>
      <c r="S501" s="334" t="n"/>
      <c r="T501" s="334" t="n"/>
      <c r="U501" s="334" t="n"/>
      <c r="V501" s="334" t="n"/>
      <c r="W501" s="334" t="n"/>
      <c r="X501" s="334" t="n"/>
      <c r="Y501" s="334" t="n"/>
      <c r="Z501" s="375">
        <f>IF(AND(G501&lt;&gt;"",R501&lt;&gt;"",V501&lt;&gt;"",W501&lt;&gt;""),"COMPLETADO","OBSERVADO")</f>
        <v/>
      </c>
    </row>
    <row r="502" ht="15" customHeight="1" s="195">
      <c r="A502" s="280" t="n"/>
      <c r="B502" s="280" t="n"/>
      <c r="C502" s="280" t="n"/>
      <c r="D502" s="280" t="n"/>
      <c r="E502" s="280" t="n"/>
      <c r="F502" s="280" t="n"/>
      <c r="G502" s="280" t="n"/>
      <c r="H502" s="280" t="n"/>
      <c r="I502" s="332">
        <f>IFERROR(VLOOKUP(TEXT(H502,"0"),IPRESS!$A$3:$B$212,2,0),"")</f>
        <v/>
      </c>
      <c r="J502" s="280" t="n"/>
      <c r="K502" s="332">
        <f>IFERROR(VLOOKUP(TEXT(O502,"0"),CONDUCTORES!$A$3:$G$54,7,0),"")</f>
        <v/>
      </c>
      <c r="L502" s="280" t="n"/>
      <c r="M502" s="280" t="n"/>
      <c r="N502" s="333">
        <f>IFERROR(IF(L502*M502=0,"",L502*M502),"")</f>
        <v/>
      </c>
      <c r="O502" s="280" t="n"/>
      <c r="P502" s="332">
        <f>IFERROR(VLOOKUP(TEXT(O502,"0"),CONDUCTORES!$A$3:$G$54,2,0),"")</f>
        <v/>
      </c>
      <c r="Q502" s="332">
        <f>IFERROR(VLOOKUP(TEXT(O502,"0"),CONDUCTORES!$A$3:$H$54,6,0),"")</f>
        <v/>
      </c>
      <c r="R502" s="280" t="n"/>
      <c r="S502" s="280" t="n"/>
      <c r="T502" s="280" t="n"/>
      <c r="U502" s="280" t="n"/>
      <c r="V502" s="280" t="n"/>
      <c r="W502" s="280" t="n"/>
      <c r="X502" s="280" t="n"/>
      <c r="Y502" s="280" t="n"/>
      <c r="Z502" s="375">
        <f>IF(AND(G502&lt;&gt;"",R502&lt;&gt;"",V502&lt;&gt;"",W502&lt;&gt;""),"COMPLETADO","OBSERVADO")</f>
        <v/>
      </c>
    </row>
    <row r="503" ht="15" customHeight="1" s="195">
      <c r="A503" s="334" t="n"/>
      <c r="B503" s="334" t="n"/>
      <c r="C503" s="334" t="n"/>
      <c r="D503" s="334" t="n"/>
      <c r="E503" s="334" t="n"/>
      <c r="F503" s="334" t="n"/>
      <c r="G503" s="334" t="n"/>
      <c r="H503" s="334" t="n"/>
      <c r="I503" s="332">
        <f>IFERROR(VLOOKUP(TEXT(H503,"0"),IPRESS!$A$3:$B$212,2,0),"")</f>
        <v/>
      </c>
      <c r="J503" s="334" t="n"/>
      <c r="K503" s="332">
        <f>IFERROR(VLOOKUP(TEXT(O503,"0"),CONDUCTORES!$A$3:$G$54,7,0),"")</f>
        <v/>
      </c>
      <c r="L503" s="334" t="n"/>
      <c r="M503" s="334" t="n"/>
      <c r="N503" s="333">
        <f>IFERROR(IF(L503*M503=0,"",L503*M503),"")</f>
        <v/>
      </c>
      <c r="O503" s="334" t="n"/>
      <c r="P503" s="332">
        <f>IFERROR(VLOOKUP(TEXT(O503,"0"),CONDUCTORES!$A$3:$G$54,2,0),"")</f>
        <v/>
      </c>
      <c r="Q503" s="332">
        <f>IFERROR(VLOOKUP(TEXT(O503,"0"),CONDUCTORES!$A$3:$H$54,6,0),"")</f>
        <v/>
      </c>
      <c r="R503" s="334" t="n"/>
      <c r="S503" s="334" t="n"/>
      <c r="T503" s="334" t="n"/>
      <c r="U503" s="334" t="n"/>
      <c r="V503" s="334" t="n"/>
      <c r="W503" s="334" t="n"/>
      <c r="X503" s="334" t="n"/>
      <c r="Y503" s="334" t="n"/>
      <c r="Z503" s="375">
        <f>IF(AND(G503&lt;&gt;"",R503&lt;&gt;"",V503&lt;&gt;"",W503&lt;&gt;""),"COMPLETADO","OBSERVADO")</f>
        <v/>
      </c>
    </row>
    <row r="504" ht="15" customHeight="1" s="195">
      <c r="A504" s="280" t="n"/>
      <c r="B504" s="280" t="n"/>
      <c r="C504" s="280" t="n"/>
      <c r="D504" s="280" t="n"/>
      <c r="E504" s="280" t="n"/>
      <c r="F504" s="280" t="n"/>
      <c r="G504" s="280" t="n"/>
      <c r="H504" s="280" t="n"/>
      <c r="I504" s="332">
        <f>IFERROR(VLOOKUP(TEXT(H504,"0"),IPRESS!$A$3:$B$212,2,0),"")</f>
        <v/>
      </c>
      <c r="J504" s="280" t="n"/>
      <c r="K504" s="332">
        <f>IFERROR(VLOOKUP(TEXT(O504,"0"),CONDUCTORES!$A$3:$G$54,7,0),"")</f>
        <v/>
      </c>
      <c r="L504" s="280" t="n"/>
      <c r="M504" s="280" t="n"/>
      <c r="N504" s="333">
        <f>IFERROR(IF(L504*M504=0,"",L504*M504),"")</f>
        <v/>
      </c>
      <c r="O504" s="280" t="n"/>
      <c r="P504" s="332">
        <f>IFERROR(VLOOKUP(TEXT(O504,"0"),CONDUCTORES!$A$3:$G$54,2,0),"")</f>
        <v/>
      </c>
      <c r="Q504" s="332">
        <f>IFERROR(VLOOKUP(TEXT(O504,"0"),CONDUCTORES!$A$3:$H$54,6,0),"")</f>
        <v/>
      </c>
      <c r="R504" s="280" t="n"/>
      <c r="S504" s="280" t="n"/>
      <c r="T504" s="280" t="n"/>
      <c r="U504" s="280" t="n"/>
      <c r="V504" s="280" t="n"/>
      <c r="W504" s="280" t="n"/>
      <c r="X504" s="280" t="n"/>
      <c r="Y504" s="280" t="n"/>
      <c r="Z504" s="375">
        <f>IF(AND(G504&lt;&gt;"",R504&lt;&gt;"",V504&lt;&gt;"",W504&lt;&gt;""),"COMPLETADO","OBSERVADO")</f>
        <v/>
      </c>
    </row>
    <row r="505" ht="15" customHeight="1" s="195">
      <c r="A505" s="334" t="n"/>
      <c r="B505" s="334" t="n"/>
      <c r="C505" s="334" t="n"/>
      <c r="D505" s="334" t="n"/>
      <c r="E505" s="334" t="n"/>
      <c r="F505" s="334" t="n"/>
      <c r="G505" s="334" t="n"/>
      <c r="H505" s="334" t="n"/>
      <c r="I505" s="332">
        <f>IFERROR(VLOOKUP(TEXT(H505,"0"),IPRESS!$A$3:$B$212,2,0),"")</f>
        <v/>
      </c>
      <c r="J505" s="334" t="n"/>
      <c r="K505" s="332">
        <f>IFERROR(VLOOKUP(TEXT(O505,"0"),CONDUCTORES!$A$3:$G$54,7,0),"")</f>
        <v/>
      </c>
      <c r="L505" s="334" t="n"/>
      <c r="M505" s="334" t="n"/>
      <c r="N505" s="333">
        <f>IFERROR(IF(L505*M505=0,"",L505*M505),"")</f>
        <v/>
      </c>
      <c r="O505" s="334" t="n"/>
      <c r="P505" s="332">
        <f>IFERROR(VLOOKUP(TEXT(O505,"0"),CONDUCTORES!$A$3:$G$54,2,0),"")</f>
        <v/>
      </c>
      <c r="Q505" s="332">
        <f>IFERROR(VLOOKUP(TEXT(O505,"0"),CONDUCTORES!$A$3:$H$54,6,0),"")</f>
        <v/>
      </c>
      <c r="R505" s="334" t="n"/>
      <c r="S505" s="334" t="n"/>
      <c r="T505" s="334" t="n"/>
      <c r="U505" s="334" t="n"/>
      <c r="V505" s="334" t="n"/>
      <c r="W505" s="334" t="n"/>
      <c r="X505" s="334" t="n"/>
      <c r="Y505" s="334" t="n"/>
      <c r="Z505" s="375">
        <f>IF(AND(G505&lt;&gt;"",R505&lt;&gt;"",V505&lt;&gt;"",W505&lt;&gt;""),"COMPLETADO","OBSERVADO")</f>
        <v/>
      </c>
    </row>
    <row r="506" ht="21.75" customHeight="1" s="195">
      <c r="A506" s="346" t="inlineStr">
        <is>
          <t>TOTALES DEL MES</t>
        </is>
      </c>
      <c r="M506" s="320">
        <f>SUM(M6:M505)</f>
        <v/>
      </c>
      <c r="N506" s="320">
        <f>SUM(N6:N505)</f>
        <v/>
      </c>
    </row>
    <row r="507" ht="15.75" customHeight="1" s="195"/>
    <row r="508" ht="15.75" customHeight="1" s="195"/>
    <row r="509" ht="15.75" customHeight="1" s="195"/>
    <row r="510" ht="15.75" customHeight="1" s="195"/>
    <row r="511" ht="15.75" customHeight="1" s="195"/>
    <row r="512" ht="15.75" customHeight="1" s="195"/>
    <row r="513" ht="15.75" customHeight="1" s="195"/>
    <row r="514" ht="15.75" customHeight="1" s="195"/>
    <row r="515" ht="15.75" customHeight="1" s="195"/>
    <row r="516" ht="15.75" customHeight="1" s="195"/>
    <row r="517" ht="15.75" customHeight="1" s="195"/>
    <row r="518" ht="15.75" customHeight="1" s="195"/>
    <row r="519" ht="15.75" customHeight="1" s="195"/>
    <row r="520" ht="15.75" customHeight="1" s="195"/>
    <row r="521" ht="15.75" customHeight="1" s="195"/>
    <row r="522" ht="15.75" customHeight="1" s="195"/>
    <row r="523" ht="15.75" customHeight="1" s="195"/>
    <row r="524" ht="15.75" customHeight="1" s="195"/>
    <row r="525" ht="15.75" customHeight="1" s="195"/>
    <row r="526" ht="15.75" customHeight="1" s="195"/>
    <row r="527" ht="15.75" customHeight="1" s="195"/>
    <row r="528" ht="15.75" customHeight="1" s="195"/>
    <row r="529" ht="15.75" customHeight="1" s="195"/>
    <row r="530" ht="15.75" customHeight="1" s="195"/>
    <row r="531" ht="15.75" customHeight="1" s="195"/>
    <row r="532" ht="15.75" customHeight="1" s="195"/>
    <row r="533" ht="15.75" customHeight="1" s="195"/>
    <row r="534" ht="15.75" customHeight="1" s="195"/>
    <row r="535" ht="15.75" customHeight="1" s="195"/>
    <row r="536" ht="15.75" customHeight="1" s="195"/>
    <row r="537" ht="15.75" customHeight="1" s="195"/>
    <row r="538" ht="15.75" customHeight="1" s="195"/>
    <row r="539" ht="15.75" customHeight="1" s="195"/>
    <row r="540" ht="15.75" customHeight="1" s="195"/>
    <row r="541" ht="15.75" customHeight="1" s="195"/>
    <row r="542" ht="15.75" customHeight="1" s="195"/>
    <row r="543" ht="15.75" customHeight="1" s="195"/>
    <row r="544" ht="15.75" customHeight="1" s="195"/>
    <row r="545" ht="15.75" customHeight="1" s="195"/>
    <row r="546" ht="15.75" customHeight="1" s="195"/>
    <row r="547" ht="15.75" customHeight="1" s="195"/>
    <row r="548" ht="15.75" customHeight="1" s="195"/>
    <row r="549" ht="15.75" customHeight="1" s="195"/>
    <row r="550" ht="15.75" customHeight="1" s="195"/>
    <row r="551" ht="15.75" customHeight="1" s="195"/>
    <row r="552" ht="15.75" customHeight="1" s="195"/>
    <row r="553" ht="15.75" customHeight="1" s="195"/>
    <row r="554" ht="15.75" customHeight="1" s="195"/>
    <row r="555" ht="15.75" customHeight="1" s="195"/>
    <row r="556" ht="15.75" customHeight="1" s="195"/>
    <row r="557" ht="15.75" customHeight="1" s="195"/>
    <row r="558" ht="15.75" customHeight="1" s="195"/>
    <row r="559" ht="15.75" customHeight="1" s="195"/>
    <row r="560" ht="15.75" customHeight="1" s="195"/>
    <row r="561" ht="15.75" customHeight="1" s="195"/>
    <row r="562" ht="15.75" customHeight="1" s="195"/>
    <row r="563" ht="15.75" customHeight="1" s="195"/>
    <row r="564" ht="15.75" customHeight="1" s="195"/>
    <row r="565" ht="15.75" customHeight="1" s="195"/>
    <row r="566" ht="15.75" customHeight="1" s="195"/>
    <row r="567" ht="15.75" customHeight="1" s="195"/>
    <row r="568" ht="15.75" customHeight="1" s="195"/>
    <row r="569" ht="15.75" customHeight="1" s="195"/>
    <row r="570" ht="15.75" customHeight="1" s="195"/>
    <row r="571" ht="15.75" customHeight="1" s="195"/>
    <row r="572" ht="15.75" customHeight="1" s="195"/>
    <row r="573" ht="15.75" customHeight="1" s="195"/>
    <row r="574" ht="15.75" customHeight="1" s="195"/>
    <row r="575" ht="15.75" customHeight="1" s="195"/>
    <row r="576" ht="15.75" customHeight="1" s="195"/>
    <row r="577" ht="15.75" customHeight="1" s="195"/>
    <row r="578" ht="15.75" customHeight="1" s="195"/>
    <row r="579" ht="15.75" customHeight="1" s="195"/>
    <row r="580" ht="15.75" customHeight="1" s="195"/>
    <row r="581" ht="15.75" customHeight="1" s="195"/>
    <row r="582" ht="15.75" customHeight="1" s="195"/>
    <row r="583" ht="15.75" customHeight="1" s="195"/>
    <row r="584" ht="15.75" customHeight="1" s="195"/>
    <row r="585" ht="15.75" customHeight="1" s="195"/>
    <row r="586" ht="15.75" customHeight="1" s="195"/>
    <row r="587" ht="15.75" customHeight="1" s="195"/>
    <row r="588" ht="15.75" customHeight="1" s="195"/>
    <row r="589" ht="15.75" customHeight="1" s="195"/>
    <row r="590" ht="15.75" customHeight="1" s="195"/>
    <row r="591" ht="15.75" customHeight="1" s="195"/>
    <row r="592" ht="15.75" customHeight="1" s="195"/>
    <row r="593" ht="15.75" customHeight="1" s="195"/>
    <row r="594" ht="15.75" customHeight="1" s="195"/>
    <row r="595" ht="15.75" customHeight="1" s="195"/>
    <row r="596" ht="15.75" customHeight="1" s="195"/>
    <row r="597" ht="15.75" customHeight="1" s="195"/>
    <row r="598" ht="15.75" customHeight="1" s="195"/>
    <row r="599" ht="15.75" customHeight="1" s="195"/>
    <row r="600" ht="15.75" customHeight="1" s="195"/>
    <row r="601" ht="15.75" customHeight="1" s="195"/>
    <row r="602" ht="15.75" customHeight="1" s="195"/>
    <row r="603" ht="15.75" customHeight="1" s="195"/>
    <row r="604" ht="15.75" customHeight="1" s="195"/>
    <row r="605" ht="15.75" customHeight="1" s="195"/>
    <row r="606" ht="15.75" customHeight="1" s="195"/>
    <row r="607" ht="15.75" customHeight="1" s="195"/>
    <row r="608" ht="15.75" customHeight="1" s="195"/>
    <row r="609" ht="15.75" customHeight="1" s="195"/>
    <row r="610" ht="15.75" customHeight="1" s="195"/>
    <row r="611" ht="15.75" customHeight="1" s="195"/>
    <row r="612" ht="15.75" customHeight="1" s="195"/>
    <row r="613" ht="15.75" customHeight="1" s="195"/>
    <row r="614" ht="15.75" customHeight="1" s="195"/>
    <row r="615" ht="15.75" customHeight="1" s="195"/>
    <row r="616" ht="15.75" customHeight="1" s="195"/>
    <row r="617" ht="15.75" customHeight="1" s="195"/>
    <row r="618" ht="15.75" customHeight="1" s="195"/>
    <row r="619" ht="15.75" customHeight="1" s="195"/>
    <row r="620" ht="15.75" customHeight="1" s="195"/>
    <row r="621" ht="15.75" customHeight="1" s="195"/>
    <row r="622" ht="15.75" customHeight="1" s="195"/>
    <row r="623" ht="15.75" customHeight="1" s="195"/>
    <row r="624" ht="15.75" customHeight="1" s="195"/>
    <row r="625" ht="15.75" customHeight="1" s="195"/>
    <row r="626" ht="15.75" customHeight="1" s="195"/>
    <row r="627" ht="15.75" customHeight="1" s="195"/>
    <row r="628" ht="15.75" customHeight="1" s="195"/>
    <row r="629" ht="15.75" customHeight="1" s="195"/>
    <row r="630" ht="15.75" customHeight="1" s="195"/>
    <row r="631" ht="15.75" customHeight="1" s="195"/>
    <row r="632" ht="15.75" customHeight="1" s="195"/>
    <row r="633" ht="15.75" customHeight="1" s="195"/>
    <row r="634" ht="15.75" customHeight="1" s="195"/>
    <row r="635" ht="15.75" customHeight="1" s="195"/>
    <row r="636" ht="15.75" customHeight="1" s="195"/>
    <row r="637" ht="15.75" customHeight="1" s="195"/>
    <row r="638" ht="15.75" customHeight="1" s="195"/>
    <row r="639" ht="15.75" customHeight="1" s="195"/>
    <row r="640" ht="15.75" customHeight="1" s="195"/>
    <row r="641" ht="15.75" customHeight="1" s="195"/>
    <row r="642" ht="15.75" customHeight="1" s="195"/>
    <row r="643" ht="15.75" customHeight="1" s="195"/>
    <row r="644" ht="15.75" customHeight="1" s="195"/>
    <row r="645" ht="15.75" customHeight="1" s="195"/>
    <row r="646" ht="15.75" customHeight="1" s="195"/>
    <row r="647" ht="15.75" customHeight="1" s="195"/>
    <row r="648" ht="15.75" customHeight="1" s="195"/>
    <row r="649" ht="15.75" customHeight="1" s="195"/>
    <row r="650" ht="15.75" customHeight="1" s="195"/>
    <row r="651" ht="15.75" customHeight="1" s="195"/>
    <row r="652" ht="15.75" customHeight="1" s="195"/>
    <row r="653" ht="15.75" customHeight="1" s="195"/>
    <row r="654" ht="15.75" customHeight="1" s="195"/>
    <row r="655" ht="15.75" customHeight="1" s="195"/>
    <row r="656" ht="15.75" customHeight="1" s="195"/>
    <row r="657" ht="15.75" customHeight="1" s="195"/>
    <row r="658" ht="15.75" customHeight="1" s="195"/>
    <row r="659" ht="15.75" customHeight="1" s="195"/>
    <row r="660" ht="15.75" customHeight="1" s="195"/>
    <row r="661" ht="15.75" customHeight="1" s="195"/>
    <row r="662" ht="15.75" customHeight="1" s="195"/>
    <row r="663" ht="15.75" customHeight="1" s="195"/>
    <row r="664" ht="15.75" customHeight="1" s="195"/>
    <row r="665" ht="15.75" customHeight="1" s="195"/>
    <row r="666" ht="15.75" customHeight="1" s="195"/>
    <row r="667" ht="15.75" customHeight="1" s="195"/>
    <row r="668" ht="15.75" customHeight="1" s="195"/>
    <row r="669" ht="15.75" customHeight="1" s="195"/>
    <row r="670" ht="15.75" customHeight="1" s="195"/>
    <row r="671" ht="15.75" customHeight="1" s="195"/>
    <row r="672" ht="15.75" customHeight="1" s="195"/>
    <row r="673" ht="15.75" customHeight="1" s="195"/>
    <row r="674" ht="15.75" customHeight="1" s="195"/>
    <row r="675" ht="15.75" customHeight="1" s="195"/>
    <row r="676" ht="15.75" customHeight="1" s="195"/>
    <row r="677" ht="15.75" customHeight="1" s="195"/>
    <row r="678" ht="15.75" customHeight="1" s="195"/>
    <row r="679" ht="15.75" customHeight="1" s="195"/>
    <row r="680" ht="15.75" customHeight="1" s="195"/>
    <row r="681" ht="15.75" customHeight="1" s="195"/>
    <row r="682" ht="15.75" customHeight="1" s="195"/>
    <row r="683" ht="15.75" customHeight="1" s="195"/>
    <row r="684" ht="15.75" customHeight="1" s="195"/>
    <row r="685" ht="15.75" customHeight="1" s="195"/>
    <row r="686" ht="15.75" customHeight="1" s="195"/>
    <row r="687" ht="15.75" customHeight="1" s="195"/>
    <row r="688" ht="15.75" customHeight="1" s="195"/>
    <row r="689" ht="15.75" customHeight="1" s="195"/>
    <row r="690" ht="15.75" customHeight="1" s="195"/>
    <row r="691" ht="15.75" customHeight="1" s="195"/>
    <row r="692" ht="15.75" customHeight="1" s="195"/>
    <row r="693" ht="15.75" customHeight="1" s="195"/>
    <row r="694" ht="15.75" customHeight="1" s="195"/>
    <row r="695" ht="15.75" customHeight="1" s="195"/>
    <row r="696" ht="15.75" customHeight="1" s="195"/>
    <row r="697" ht="15.75" customHeight="1" s="195"/>
    <row r="698" ht="15.75" customHeight="1" s="195"/>
    <row r="699" ht="15.75" customHeight="1" s="195"/>
    <row r="700" ht="15.75" customHeight="1" s="195"/>
    <row r="701" ht="15.75" customHeight="1" s="195"/>
    <row r="702" ht="15.75" customHeight="1" s="195"/>
    <row r="703" ht="15.75" customHeight="1" s="195"/>
    <row r="704" ht="15.75" customHeight="1" s="195"/>
    <row r="705" ht="15.75" customHeight="1" s="195"/>
    <row r="706" ht="15.75" customHeight="1" s="195"/>
    <row r="707" ht="15.75" customHeight="1" s="195"/>
    <row r="708" ht="15.75" customHeight="1" s="195"/>
    <row r="709" ht="15.75" customHeight="1" s="195"/>
    <row r="710" ht="15.75" customHeight="1" s="195"/>
    <row r="711" ht="15.75" customHeight="1" s="195"/>
    <row r="712" ht="15.75" customHeight="1" s="195"/>
    <row r="713" ht="15.75" customHeight="1" s="195"/>
    <row r="714" ht="15.75" customHeight="1" s="195"/>
    <row r="715" ht="15.75" customHeight="1" s="195"/>
    <row r="716" ht="15.75" customHeight="1" s="195"/>
    <row r="717" ht="15.75" customHeight="1" s="195"/>
    <row r="718" ht="15.75" customHeight="1" s="195"/>
    <row r="719" ht="15.75" customHeight="1" s="195"/>
    <row r="720" ht="15.75" customHeight="1" s="195"/>
    <row r="721" ht="15.75" customHeight="1" s="195"/>
    <row r="722" ht="15.75" customHeight="1" s="195"/>
    <row r="723" ht="15.75" customHeight="1" s="195"/>
    <row r="724" ht="15.75" customHeight="1" s="195"/>
    <row r="725" ht="15.75" customHeight="1" s="195"/>
    <row r="726" ht="15.75" customHeight="1" s="195"/>
    <row r="727" ht="15.75" customHeight="1" s="195"/>
    <row r="728" ht="15.75" customHeight="1" s="195"/>
    <row r="729" ht="15.75" customHeight="1" s="195"/>
    <row r="730" ht="15.75" customHeight="1" s="195"/>
    <row r="731" ht="15.75" customHeight="1" s="195"/>
    <row r="732" ht="15.75" customHeight="1" s="195"/>
    <row r="733" ht="15.75" customHeight="1" s="195"/>
    <row r="734" ht="15.75" customHeight="1" s="195"/>
    <row r="735" ht="15.75" customHeight="1" s="195"/>
    <row r="736" ht="15.75" customHeight="1" s="195"/>
    <row r="737" ht="15.75" customHeight="1" s="195"/>
    <row r="738" ht="15.75" customHeight="1" s="195"/>
    <row r="739" ht="15.75" customHeight="1" s="195"/>
    <row r="740" ht="15.75" customHeight="1" s="195"/>
    <row r="741" ht="15.75" customHeight="1" s="195"/>
    <row r="742" ht="15.75" customHeight="1" s="195"/>
    <row r="743" ht="15.75" customHeight="1" s="195"/>
    <row r="744" ht="15.75" customHeight="1" s="195"/>
    <row r="745" ht="15.75" customHeight="1" s="195"/>
    <row r="746" ht="15.75" customHeight="1" s="195"/>
    <row r="747" ht="15.75" customHeight="1" s="195"/>
    <row r="748" ht="15.75" customHeight="1" s="195"/>
    <row r="749" ht="15.75" customHeight="1" s="195"/>
    <row r="750" ht="15.75" customHeight="1" s="195"/>
    <row r="751" ht="15.75" customHeight="1" s="195"/>
    <row r="752" ht="15.75" customHeight="1" s="195"/>
    <row r="753" ht="15.75" customHeight="1" s="195"/>
    <row r="754" ht="15.75" customHeight="1" s="195"/>
    <row r="755" ht="15.75" customHeight="1" s="195"/>
    <row r="756" ht="15.75" customHeight="1" s="195"/>
    <row r="757" ht="15.75" customHeight="1" s="195"/>
    <row r="758" ht="15.75" customHeight="1" s="195"/>
    <row r="759" ht="15.75" customHeight="1" s="195"/>
    <row r="760" ht="15.75" customHeight="1" s="195"/>
    <row r="761" ht="15.75" customHeight="1" s="195"/>
    <row r="762" ht="15.75" customHeight="1" s="195"/>
    <row r="763" ht="15.75" customHeight="1" s="195"/>
    <row r="764" ht="15.75" customHeight="1" s="195"/>
    <row r="765" ht="15.75" customHeight="1" s="195"/>
    <row r="766" ht="15.75" customHeight="1" s="195"/>
    <row r="767" ht="15.75" customHeight="1" s="195"/>
    <row r="768" ht="15.75" customHeight="1" s="195"/>
    <row r="769" ht="15.75" customHeight="1" s="195"/>
    <row r="770" ht="15.75" customHeight="1" s="195"/>
    <row r="771" ht="15.75" customHeight="1" s="195"/>
    <row r="772" ht="15.75" customHeight="1" s="195"/>
    <row r="773" ht="15.75" customHeight="1" s="195"/>
    <row r="774" ht="15.75" customHeight="1" s="195"/>
    <row r="775" ht="15.75" customHeight="1" s="195"/>
    <row r="776" ht="15.75" customHeight="1" s="195"/>
    <row r="777" ht="15.75" customHeight="1" s="195"/>
    <row r="778" ht="15.75" customHeight="1" s="195"/>
    <row r="779" ht="15.75" customHeight="1" s="195"/>
    <row r="780" ht="15.75" customHeight="1" s="195"/>
    <row r="781" ht="15.75" customHeight="1" s="195"/>
    <row r="782" ht="15.75" customHeight="1" s="195"/>
    <row r="783" ht="15.75" customHeight="1" s="195"/>
    <row r="784" ht="15.75" customHeight="1" s="195"/>
    <row r="785" ht="15.75" customHeight="1" s="195"/>
    <row r="786" ht="15.75" customHeight="1" s="195"/>
    <row r="787" ht="15.75" customHeight="1" s="195"/>
    <row r="788" ht="15.75" customHeight="1" s="195"/>
    <row r="789" ht="15.75" customHeight="1" s="195"/>
    <row r="790" ht="15.75" customHeight="1" s="195"/>
    <row r="791" ht="15.75" customHeight="1" s="195"/>
    <row r="792" ht="15.75" customHeight="1" s="195"/>
    <row r="793" ht="15.75" customHeight="1" s="195"/>
    <row r="794" ht="15.75" customHeight="1" s="195"/>
    <row r="795" ht="15.75" customHeight="1" s="195"/>
    <row r="796" ht="15.75" customHeight="1" s="195"/>
    <row r="797" ht="15.75" customHeight="1" s="195"/>
    <row r="798" ht="15.75" customHeight="1" s="195"/>
    <row r="799" ht="15.75" customHeight="1" s="195"/>
    <row r="800" ht="15.75" customHeight="1" s="195"/>
    <row r="801" ht="15.75" customHeight="1" s="195"/>
    <row r="802" ht="15.75" customHeight="1" s="195"/>
    <row r="803" ht="15.75" customHeight="1" s="195"/>
    <row r="804" ht="15.75" customHeight="1" s="195"/>
    <row r="805" ht="15.75" customHeight="1" s="195"/>
    <row r="806" ht="15.75" customHeight="1" s="195"/>
    <row r="807" ht="15.75" customHeight="1" s="195"/>
    <row r="808" ht="15.75" customHeight="1" s="195"/>
    <row r="809" ht="15.75" customHeight="1" s="195"/>
    <row r="810" ht="15.75" customHeight="1" s="195"/>
    <row r="811" ht="15.75" customHeight="1" s="195"/>
    <row r="812" ht="15.75" customHeight="1" s="195"/>
    <row r="813" ht="15.75" customHeight="1" s="195"/>
    <row r="814" ht="15.75" customHeight="1" s="195"/>
    <row r="815" ht="15.75" customHeight="1" s="195"/>
    <row r="816" ht="15.75" customHeight="1" s="195"/>
    <row r="817" ht="15.75" customHeight="1" s="195"/>
    <row r="818" ht="15.75" customHeight="1" s="195"/>
    <row r="819" ht="15.75" customHeight="1" s="195"/>
    <row r="820" ht="15.75" customHeight="1" s="195"/>
    <row r="821" ht="15.75" customHeight="1" s="195"/>
    <row r="822" ht="15.75" customHeight="1" s="195"/>
    <row r="823" ht="15.75" customHeight="1" s="195"/>
    <row r="824" ht="15.75" customHeight="1" s="195"/>
    <row r="825" ht="15.75" customHeight="1" s="195"/>
    <row r="826" ht="15.75" customHeight="1" s="195"/>
    <row r="827" ht="15.75" customHeight="1" s="195"/>
    <row r="828" ht="15.75" customHeight="1" s="195"/>
    <row r="829" ht="15.75" customHeight="1" s="195"/>
    <row r="830" ht="15.75" customHeight="1" s="195"/>
    <row r="831" ht="15.75" customHeight="1" s="195"/>
    <row r="832" ht="15.75" customHeight="1" s="195"/>
    <row r="833" ht="15.75" customHeight="1" s="195"/>
    <row r="834" ht="15.75" customHeight="1" s="195"/>
    <row r="835" ht="15.75" customHeight="1" s="195"/>
    <row r="836" ht="15.75" customHeight="1" s="195"/>
    <row r="837" ht="15.75" customHeight="1" s="195"/>
    <row r="838" ht="15.75" customHeight="1" s="195"/>
    <row r="839" ht="15.75" customHeight="1" s="195"/>
    <row r="840" ht="15.75" customHeight="1" s="195"/>
    <row r="841" ht="15.75" customHeight="1" s="195"/>
    <row r="842" ht="15.75" customHeight="1" s="195"/>
    <row r="843" ht="15.75" customHeight="1" s="195"/>
    <row r="844" ht="15.75" customHeight="1" s="195"/>
    <row r="845" ht="15.75" customHeight="1" s="195"/>
    <row r="846" ht="15.75" customHeight="1" s="195"/>
    <row r="847" ht="15.75" customHeight="1" s="195"/>
    <row r="848" ht="15.75" customHeight="1" s="195"/>
    <row r="849" ht="15.75" customHeight="1" s="195"/>
    <row r="850" ht="15.75" customHeight="1" s="195"/>
    <row r="851" ht="15.75" customHeight="1" s="195"/>
    <row r="852" ht="15.75" customHeight="1" s="195"/>
    <row r="853" ht="15.75" customHeight="1" s="195"/>
    <row r="854" ht="15.75" customHeight="1" s="195"/>
    <row r="855" ht="15.75" customHeight="1" s="195"/>
    <row r="856" ht="15.75" customHeight="1" s="195"/>
    <row r="857" ht="15.75" customHeight="1" s="195"/>
    <row r="858" ht="15.75" customHeight="1" s="195"/>
    <row r="859" ht="15.75" customHeight="1" s="195"/>
    <row r="860" ht="15.75" customHeight="1" s="195"/>
    <row r="861" ht="15.75" customHeight="1" s="195"/>
    <row r="862" ht="15.75" customHeight="1" s="195"/>
    <row r="863" ht="15.75" customHeight="1" s="195"/>
    <row r="864" ht="15.75" customHeight="1" s="195"/>
    <row r="865" ht="15.75" customHeight="1" s="195"/>
    <row r="866" ht="15.75" customHeight="1" s="195"/>
    <row r="867" ht="15.75" customHeight="1" s="195"/>
    <row r="868" ht="15.75" customHeight="1" s="195"/>
    <row r="869" ht="15.75" customHeight="1" s="195"/>
    <row r="870" ht="15.75" customHeight="1" s="195"/>
    <row r="871" ht="15.75" customHeight="1" s="195"/>
    <row r="872" ht="15.75" customHeight="1" s="195"/>
    <row r="873" ht="15.75" customHeight="1" s="195"/>
    <row r="874" ht="15.75" customHeight="1" s="195"/>
    <row r="875" ht="15.75" customHeight="1" s="195"/>
    <row r="876" ht="15.75" customHeight="1" s="195"/>
    <row r="877" ht="15.75" customHeight="1" s="195"/>
    <row r="878" ht="15.75" customHeight="1" s="195"/>
    <row r="879" ht="15.75" customHeight="1" s="195"/>
    <row r="880" ht="15.75" customHeight="1" s="195"/>
    <row r="881" ht="15.75" customHeight="1" s="195"/>
    <row r="882" ht="15.75" customHeight="1" s="195"/>
    <row r="883" ht="15.75" customHeight="1" s="195"/>
    <row r="884" ht="15.75" customHeight="1" s="195"/>
    <row r="885" ht="15.75" customHeight="1" s="195"/>
    <row r="886" ht="15.75" customHeight="1" s="195"/>
    <row r="887" ht="15.75" customHeight="1" s="195"/>
    <row r="888" ht="15.75" customHeight="1" s="195"/>
    <row r="889" ht="15.75" customHeight="1" s="195"/>
    <row r="890" ht="15.75" customHeight="1" s="195"/>
    <row r="891" ht="15.75" customHeight="1" s="195"/>
    <row r="892" ht="15.75" customHeight="1" s="195"/>
    <row r="893" ht="15.75" customHeight="1" s="195"/>
    <row r="894" ht="15.75" customHeight="1" s="195"/>
    <row r="895" ht="15.75" customHeight="1" s="195"/>
    <row r="896" ht="15.75" customHeight="1" s="195"/>
    <row r="897" ht="15.75" customHeight="1" s="195"/>
    <row r="898" ht="15.75" customHeight="1" s="195"/>
    <row r="899" ht="15.75" customHeight="1" s="195"/>
    <row r="900" ht="15.75" customHeight="1" s="195"/>
    <row r="901" ht="15.75" customHeight="1" s="195"/>
    <row r="902" ht="15.75" customHeight="1" s="195"/>
    <row r="903" ht="15.75" customHeight="1" s="195"/>
    <row r="904" ht="15.75" customHeight="1" s="195"/>
    <row r="905" ht="15.75" customHeight="1" s="195"/>
    <row r="906" ht="15.75" customHeight="1" s="195"/>
    <row r="907" ht="15.75" customHeight="1" s="195"/>
    <row r="908" ht="15.75" customHeight="1" s="195"/>
    <row r="909" ht="15.75" customHeight="1" s="195"/>
    <row r="910" ht="15.75" customHeight="1" s="195"/>
    <row r="911" ht="15.75" customHeight="1" s="195"/>
    <row r="912" ht="15.75" customHeight="1" s="195"/>
    <row r="913" ht="15.75" customHeight="1" s="195"/>
    <row r="914" ht="15.75" customHeight="1" s="195"/>
    <row r="915" ht="15.75" customHeight="1" s="195"/>
    <row r="916" ht="15.75" customHeight="1" s="195"/>
    <row r="917" ht="15.75" customHeight="1" s="195"/>
    <row r="918" ht="15.75" customHeight="1" s="195"/>
    <row r="919" ht="15.75" customHeight="1" s="195"/>
    <row r="920" ht="15.75" customHeight="1" s="195"/>
    <row r="921" ht="15.75" customHeight="1" s="195"/>
    <row r="922" ht="15.75" customHeight="1" s="195"/>
    <row r="923" ht="15.75" customHeight="1" s="195"/>
    <row r="924" ht="15.75" customHeight="1" s="195"/>
    <row r="925" ht="15.75" customHeight="1" s="195"/>
    <row r="926" ht="15.75" customHeight="1" s="195"/>
    <row r="927" ht="15.75" customHeight="1" s="195"/>
    <row r="928" ht="15.75" customHeight="1" s="195"/>
    <row r="929" ht="15.75" customHeight="1" s="195"/>
    <row r="930" ht="15.75" customHeight="1" s="195"/>
    <row r="931" ht="15.75" customHeight="1" s="195"/>
    <row r="932" ht="15.75" customHeight="1" s="195"/>
    <row r="933" ht="15.75" customHeight="1" s="195"/>
    <row r="934" ht="15.75" customHeight="1" s="195"/>
    <row r="935" ht="15.75" customHeight="1" s="195"/>
    <row r="936" ht="15.75" customHeight="1" s="195"/>
    <row r="937" ht="15.75" customHeight="1" s="195"/>
    <row r="938" ht="15.75" customHeight="1" s="195"/>
    <row r="939" ht="15.75" customHeight="1" s="195"/>
    <row r="940" ht="15.75" customHeight="1" s="195"/>
    <row r="941" ht="15.75" customHeight="1" s="195"/>
    <row r="942" ht="15.75" customHeight="1" s="195"/>
    <row r="943" ht="15.75" customHeight="1" s="195"/>
    <row r="944" ht="15.75" customHeight="1" s="195"/>
    <row r="945" ht="15.75" customHeight="1" s="195"/>
    <row r="946" ht="15.75" customHeight="1" s="195"/>
    <row r="947" ht="15.75" customHeight="1" s="195"/>
    <row r="948" ht="15.75" customHeight="1" s="195"/>
    <row r="949" ht="15.75" customHeight="1" s="195"/>
    <row r="950" ht="15.75" customHeight="1" s="195"/>
    <row r="951" ht="15.75" customHeight="1" s="195"/>
    <row r="952" ht="15.75" customHeight="1" s="195"/>
    <row r="953" ht="15.75" customHeight="1" s="195"/>
    <row r="954" ht="15.75" customHeight="1" s="195"/>
    <row r="955" ht="15.75" customHeight="1" s="195"/>
    <row r="956" ht="15.75" customHeight="1" s="195"/>
    <row r="957" ht="15.75" customHeight="1" s="195"/>
    <row r="958" ht="15.75" customHeight="1" s="195"/>
    <row r="959" ht="15.75" customHeight="1" s="195"/>
    <row r="960" ht="15.75" customHeight="1" s="195"/>
    <row r="961" ht="15.75" customHeight="1" s="195"/>
    <row r="962" ht="15.75" customHeight="1" s="195"/>
    <row r="963" ht="15.75" customHeight="1" s="195"/>
    <row r="964" ht="15.75" customHeight="1" s="195"/>
    <row r="965" ht="15.75" customHeight="1" s="195"/>
    <row r="966" ht="15.75" customHeight="1" s="195"/>
    <row r="967" ht="15.75" customHeight="1" s="195"/>
    <row r="968" ht="15.75" customHeight="1" s="195"/>
    <row r="969" ht="15.75" customHeight="1" s="195"/>
    <row r="970" ht="15.75" customHeight="1" s="195"/>
    <row r="971" ht="15.75" customHeight="1" s="195"/>
    <row r="972" ht="15.75" customHeight="1" s="195"/>
    <row r="973" ht="15.75" customHeight="1" s="195"/>
    <row r="974" ht="15.75" customHeight="1" s="195"/>
    <row r="975" ht="15.75" customHeight="1" s="195"/>
    <row r="976" ht="15.75" customHeight="1" s="195"/>
    <row r="977" ht="15.75" customHeight="1" s="195"/>
    <row r="978" ht="15.75" customHeight="1" s="195"/>
    <row r="979" ht="15.75" customHeight="1" s="195"/>
    <row r="980" ht="15.75" customHeight="1" s="195"/>
    <row r="981" ht="15.75" customHeight="1" s="195"/>
    <row r="982" ht="15.75" customHeight="1" s="195"/>
    <row r="983" ht="15.75" customHeight="1" s="195"/>
    <row r="984" ht="15.75" customHeight="1" s="195"/>
    <row r="985" ht="15.75" customHeight="1" s="195"/>
    <row r="986" ht="15.75" customHeight="1" s="195"/>
    <row r="987" ht="15.75" customHeight="1" s="195"/>
    <row r="988" ht="15.75" customHeight="1" s="195"/>
    <row r="989" ht="15.75" customHeight="1" s="195"/>
    <row r="990" ht="15.75" customHeight="1" s="195"/>
    <row r="991" ht="15.75" customHeight="1" s="195"/>
    <row r="992" ht="15.75" customHeight="1" s="195"/>
    <row r="993" ht="15.75" customHeight="1" s="195"/>
    <row r="994" ht="15.75" customHeight="1" s="195"/>
    <row r="995" ht="15.75" customHeight="1" s="195"/>
    <row r="996" ht="15.75" customHeight="1" s="195"/>
    <row r="997" ht="15.75" customHeight="1" s="195"/>
    <row r="998" ht="15.75" customHeight="1" s="195"/>
    <row r="999" ht="15.75" customHeight="1" s="195"/>
    <row r="1000" ht="15.75" customHeight="1" s="195"/>
  </sheetData>
  <mergeCells count="13">
    <mergeCell ref="D2:F2"/>
    <mergeCell ref="G2:I2"/>
    <mergeCell ref="S2:T2"/>
    <mergeCell ref="J2:L2"/>
    <mergeCell ref="A8:J8"/>
    <mergeCell ref="U2:V2"/>
    <mergeCell ref="A506:G506"/>
    <mergeCell ref="P2:R2"/>
    <mergeCell ref="A1:Y1"/>
    <mergeCell ref="W2:AC2"/>
    <mergeCell ref="A4:Y4"/>
    <mergeCell ref="M2:O2"/>
    <mergeCell ref="A2:C2"/>
  </mergeCells>
  <conditionalFormatting sqref="T6:T505">
    <cfRule type="expression" rank="0" priority="2" equalAverage="0" aboveAverage="0" dxfId="0" text="" percent="0" bottom="0">
      <formula>EXACT(T6,"APROBADO")</formula>
    </cfRule>
    <cfRule type="expression" rank="0" priority="3" equalAverage="0" aboveAverage="0" dxfId="7" text="" percent="0" bottom="0">
      <formula>EXACT(T6,"PENDIENTE")</formula>
    </cfRule>
    <cfRule type="expression" rank="0" priority="4" equalAverage="0" aboveAverage="0" dxfId="0" text="" percent="0" bottom="0">
      <formula>EXACT(T6,"APROBADO")</formula>
    </cfRule>
    <cfRule type="expression" rank="0" priority="5" equalAverage="0" aboveAverage="0" dxfId="7" text="" percent="0" bottom="0">
      <formula>EXACT(T6,"OBSERVADO")</formula>
    </cfRule>
  </conditionalFormatting>
  <conditionalFormatting sqref="K6:K505">
    <cfRule type="expression" rank="0" priority="6" equalAverage="0" aboveAverage="0" dxfId="8" text="" percent="0" bottom="0">
      <formula>EXACT(K6,"GASOLINA")</formula>
    </cfRule>
  </conditionalFormatting>
  <conditionalFormatting sqref="Z6:Z505">
    <cfRule type="expression" rank="0" priority="7" equalAverage="0" aboveAverage="0" dxfId="0" text="" percent="0" bottom="0">
      <formula>EXACT(Z6,"COMPLETADO")</formula>
    </cfRule>
    <cfRule type="expression" rank="0" priority="8" equalAverage="0" aboveAverage="0" dxfId="7" text="" percent="0" bottom="0">
      <formula>EXACT(Z6,"OBSERVADO")</formula>
    </cfRule>
  </conditionalFormatting>
  <conditionalFormatting sqref="T6:T110">
    <cfRule type="expression" rank="0" priority="9" equalAverage="0" aboveAverage="0" dxfId="0" text="" percent="0" bottom="0">
      <formula>EXACT(T6,"APROBADO")</formula>
    </cfRule>
    <cfRule type="expression" rank="0" priority="10" equalAverage="0" aboveAverage="0" dxfId="7" text="" percent="0" bottom="0">
      <formula>EXACT(T6,"OBSERVADO")</formula>
    </cfRule>
  </conditionalFormatting>
  <conditionalFormatting sqref="Z6:Z110">
    <cfRule type="expression" rank="0" priority="11" equalAverage="0" aboveAverage="0" dxfId="0" text="" percent="0" bottom="0">
      <formula>EXACT(Z6,"COMPLETADO")</formula>
    </cfRule>
    <cfRule type="expression" rank="0" priority="12" equalAverage="0" aboveAverage="0" dxfId="7" text="" percent="0" bottom="0">
      <formula>EXACT(Z6,"OBSERVADO")</formula>
    </cfRule>
    <cfRule type="expression" rank="0" priority="13" equalAverage="0" aboveAverage="0" dxfId="0" text="" percent="0" bottom="0">
      <formula>Z6="ENTREGADO"</formula>
    </cfRule>
    <cfRule type="expression" rank="0" priority="14" equalAverage="0" aboveAverage="0" dxfId="7" text="" percent="0" bottom="0">
      <formula>Z6="POR RECOGER"</formula>
    </cfRule>
  </conditionalFormatting>
  <conditionalFormatting sqref="Y6:Y110">
    <cfRule type="expression" rank="0" priority="15" equalAverage="0" aboveAverage="0" dxfId="9" text="" percent="0" bottom="0">
      <formula>Y6&lt;&gt;""</formula>
    </cfRule>
  </conditionalFormatting>
  <dataValidations count="5">
    <dataValidation sqref="Y6:Y110" showDropDown="0" showInputMessage="0" showErrorMessage="0" allowBlank="1" type="list" errorStyle="stop" operator="between">
      <formula1>CONDUCTORES!$H$3:$H$104</formula1>
      <formula2>0</formula2>
    </dataValidation>
    <dataValidation sqref="K6:K505" showDropDown="0" showInputMessage="0" showErrorMessage="0" allowBlank="1" type="list" errorStyle="stop" operator="between">
      <formula1>"PETROLEO,GASOLINA"</formula1>
      <formula2>0</formula2>
    </dataValidation>
    <dataValidation sqref="E6:E7 E9:E505" showDropDown="0" showInputMessage="0" showErrorMessage="0" allowBlank="1" type="list" errorStyle="stop" operator="between">
      <formula1>"DNI,CE,PASAPORTE"</formula1>
      <formula2>0</formula2>
    </dataValidation>
    <dataValidation sqref="T6:T110" showDropDown="0" showInputMessage="0" showErrorMessage="0" allowBlank="1" type="list" errorStyle="stop" operator="between">
      <formula1>"APROBADO,OBSERVADO"</formula1>
      <formula2>0</formula2>
    </dataValidation>
    <dataValidation sqref="T111:T505" showDropDown="0" showInputMessage="1" showErrorMessage="1" allowBlank="1" prompt="Valor no válido - Solo se permite: APROBADO u OBSERVADO" type="list" errorStyle="stop" operator="between">
      <formula1>"APROBADO,OBSERVADO"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AC5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baseColWidth="8" defaultColWidth="14.43359375" defaultRowHeight="15" zeroHeight="0" outlineLevelRow="0"/>
  <cols>
    <col width="6" customWidth="1" style="194" min="1" max="1"/>
    <col width="14" customWidth="1" style="194" min="2" max="2"/>
    <col width="8" customWidth="1" style="194" min="3" max="3"/>
    <col width="28" customWidth="1" style="194" min="4" max="4"/>
    <col width="7" customWidth="1" style="194" min="5" max="5"/>
    <col width="14" customWidth="1" style="194" min="6" max="6"/>
    <col width="12" customWidth="1" style="194" min="7" max="7"/>
    <col width="10" customWidth="1" style="194" min="8" max="8"/>
    <col width="30" customWidth="1" style="194" min="9" max="9"/>
    <col width="10" customWidth="1" style="194" min="10" max="10"/>
    <col width="12" customWidth="1" style="194" min="11" max="11"/>
    <col width="10" customWidth="1" style="194" min="12" max="13"/>
    <col width="14" customWidth="1" style="194" min="14" max="15"/>
    <col width="30" customWidth="1" style="194" min="16" max="16"/>
    <col width="12" customWidth="1" style="194" min="17" max="18"/>
    <col width="16" customWidth="1" style="194" min="19" max="19"/>
    <col width="12" customWidth="1" style="194" min="20" max="21"/>
    <col width="14" customWidth="1" style="194" min="22" max="23"/>
    <col width="8" customWidth="1" style="194" min="24" max="24"/>
    <col width="22" customWidth="1" style="194" min="25" max="25"/>
    <col width="14" customWidth="1" style="194" min="26" max="26"/>
    <col width="8.710000000000001" customWidth="1" style="194" min="27" max="29"/>
  </cols>
  <sheetData>
    <row r="1" ht="27.75" customHeight="1" s="195">
      <c r="A1" s="365" t="inlineStr">
        <is>
          <t>REPORTE DE TRASLADO DE PACIENTES SIS DEL MES DE DICIEMBRE 2026 PARA REPOSICION DE COMBUSTIBLE</t>
        </is>
      </c>
      <c r="Z1" s="365" t="n"/>
      <c r="AA1" s="284" t="n"/>
    </row>
    <row r="2" ht="21.75" customHeight="1" s="195">
      <c r="A2" s="318" t="inlineStr">
        <is>
          <t>TOTAL PETROLEO (gal):</t>
        </is>
      </c>
      <c r="D2" s="366">
        <f>IFERROR(SUMPRODUCT((K6:K110="PETROLEO")*ISNUMBER(M6:M110)*M6:M110),0)</f>
        <v/>
      </c>
      <c r="G2" s="318" t="inlineStr">
        <is>
          <t>TOTAL GASOLINA (gal):</t>
        </is>
      </c>
      <c r="J2" s="366">
        <f>IFERROR(SUMPRODUCT((K6:K110="GASOLINA")*ISNUMBER(M6:M110)*M6:M110),0)</f>
        <v/>
      </c>
      <c r="M2" s="318" t="inlineStr">
        <is>
          <t>TOTAL SOLES S/.:</t>
        </is>
      </c>
      <c r="P2" s="367">
        <f>IFERROR(SUMPRODUCT(ISNUMBER(M6:M110)*L6:L110*M6:M110),0)</f>
        <v/>
      </c>
      <c r="S2" s="318" t="inlineStr">
        <is>
          <t>N TRASLADOS:</t>
        </is>
      </c>
      <c r="U2" s="368">
        <f>SUBTOTAL(2,A6:A110)</f>
        <v/>
      </c>
      <c r="W2" s="281" t="n"/>
    </row>
    <row r="3" ht="3.75" customHeight="1" s="195">
      <c r="A3" s="289" t="n"/>
      <c r="B3" s="289" t="n"/>
      <c r="C3" s="289" t="n"/>
      <c r="D3" s="289" t="n"/>
      <c r="E3" s="289" t="n"/>
      <c r="F3" s="289" t="n"/>
      <c r="G3" s="289" t="n"/>
      <c r="H3" s="289" t="n"/>
      <c r="I3" s="289" t="n"/>
      <c r="J3" s="289" t="n"/>
      <c r="K3" s="289" t="n"/>
      <c r="L3" s="289" t="n"/>
      <c r="M3" s="289" t="n"/>
      <c r="N3" s="289" t="n"/>
      <c r="O3" s="289" t="n"/>
      <c r="P3" s="289" t="n"/>
      <c r="Q3" s="289" t="n"/>
      <c r="R3" s="289" t="n"/>
      <c r="S3" s="289" t="n"/>
      <c r="T3" s="289" t="n"/>
      <c r="U3" s="289" t="n"/>
      <c r="V3" s="289" t="n"/>
      <c r="W3" s="289" t="n"/>
      <c r="X3" s="289" t="n"/>
      <c r="Y3" s="289" t="n"/>
      <c r="Z3" s="289" t="n"/>
      <c r="AA3" s="284" t="n"/>
    </row>
    <row r="4" ht="19.5" customHeight="1" s="195">
      <c r="A4" s="369" t="inlineStr">
        <is>
          <t>COLUMNAS EN AZUL = AUTO (no editar) | Ingrese: N, NRO FORMATO, AFILIADO, TIPO DOC, NRO DOC, FECHA TRASLADO, COD RENAES, COD REFERENCIA, DNI CONDUCTOR, PRECIO GAL, GALONES, FECHA ENTREGA, CIE-10, ESTADO FUA, FECHA DIGITACION, OFICIO, O/C, META, OBSERVACION</t>
        </is>
      </c>
      <c r="Z4" s="369" t="n"/>
      <c r="AA4" s="284" t="n"/>
    </row>
    <row r="5" ht="31.5" customHeight="1" s="195">
      <c r="A5" s="370" t="inlineStr">
        <is>
          <t>N</t>
        </is>
      </c>
      <c r="B5" s="370" t="inlineStr">
        <is>
          <t>NRO FORMATO
ATENCION</t>
        </is>
      </c>
      <c r="C5" s="370" t="inlineStr">
        <is>
          <t>UNIDAD
EJECUTORA</t>
        </is>
      </c>
      <c r="D5" s="370" t="inlineStr">
        <is>
          <t>AFILIADO</t>
        </is>
      </c>
      <c r="E5" s="370" t="inlineStr">
        <is>
          <t>TIPO
DOC</t>
        </is>
      </c>
      <c r="F5" s="370" t="inlineStr">
        <is>
          <t>NRO
DOCUMENTO</t>
        </is>
      </c>
      <c r="G5" s="370" t="inlineStr">
        <is>
          <t>FECHA
TRASLADO</t>
        </is>
      </c>
      <c r="H5" s="370" t="inlineStr">
        <is>
          <t>COD
RENAES</t>
        </is>
      </c>
      <c r="I5" s="371" t="inlineStr">
        <is>
          <t>DESCRIPCION
EESS</t>
        </is>
      </c>
      <c r="J5" s="370" t="inlineStr">
        <is>
          <t>COD EESS
REFERENCIA</t>
        </is>
      </c>
      <c r="K5" s="371" t="inlineStr">
        <is>
          <t>TIPO DE
COMBUSTIBLE</t>
        </is>
      </c>
      <c r="L5" s="370" t="inlineStr">
        <is>
          <t>PRECIO
GAL S/.</t>
        </is>
      </c>
      <c r="M5" s="370" t="inlineStr">
        <is>
          <t>GALONES</t>
        </is>
      </c>
      <c r="N5" s="371" t="inlineStr">
        <is>
          <t>TOTAL
COMBUSTIBLE S/.</t>
        </is>
      </c>
      <c r="O5" s="370" t="inlineStr">
        <is>
          <t>DNI
CONDUCTOR</t>
        </is>
      </c>
      <c r="P5" s="371" t="inlineStr">
        <is>
          <t>NOMBRE
CONDUCTOR</t>
        </is>
      </c>
      <c r="Q5" s="371" t="inlineStr">
        <is>
          <t>PLACA</t>
        </is>
      </c>
      <c r="R5" s="370" t="inlineStr">
        <is>
          <t>FECHA DE
ENTREGA</t>
        </is>
      </c>
      <c r="S5" s="370" t="inlineStr">
        <is>
          <t>CODIGO DE
DIAGNOSTICO</t>
        </is>
      </c>
      <c r="T5" s="370" t="inlineStr">
        <is>
          <t>ESTADO
FUA</t>
        </is>
      </c>
      <c r="U5" s="370" t="inlineStr">
        <is>
          <t>FECHA
DIGITACION</t>
        </is>
      </c>
      <c r="V5" s="370" t="inlineStr">
        <is>
          <t>OFICIO</t>
        </is>
      </c>
      <c r="W5" s="370" t="inlineStr">
        <is>
          <t>O/C</t>
        </is>
      </c>
      <c r="X5" s="370" t="inlineStr">
        <is>
          <t>META</t>
        </is>
      </c>
      <c r="Y5" s="324" t="inlineStr">
        <is>
          <t>DEVOLVER A
(IPRESS DESTINO)</t>
        </is>
      </c>
      <c r="Z5" s="372" t="inlineStr">
        <is>
          <t>ESTADO
COMPLETADO</t>
        </is>
      </c>
      <c r="AA5" s="284" t="n"/>
    </row>
    <row r="6" ht="15.75" customHeight="1" s="195">
      <c r="A6" s="334" t="n"/>
      <c r="B6" s="334" t="n"/>
      <c r="C6" s="334" t="n"/>
      <c r="D6" s="334" t="n"/>
      <c r="E6" s="334" t="n"/>
      <c r="F6" s="334" t="n"/>
      <c r="G6" s="334" t="n"/>
      <c r="H6" s="334" t="n"/>
      <c r="I6" s="332">
        <f>IFERROR(VLOOKUP(TEXT(H6,"0"),IPRESS!$A$3:$B$212,2,0),"")</f>
        <v/>
      </c>
      <c r="J6" s="334" t="n"/>
      <c r="K6" s="332">
        <f>IFERROR(VLOOKUP(TEXT(O6,"0"),CONDUCTORES!$A$3:$G$54,7,0),"")</f>
        <v/>
      </c>
      <c r="L6" s="334" t="n"/>
      <c r="M6" s="334" t="n"/>
      <c r="N6" s="333">
        <f>IFERROR(IF(L6*M6=0,"",L6*M6),"")</f>
        <v/>
      </c>
      <c r="O6" s="334" t="n"/>
      <c r="P6" s="332">
        <f>IFERROR(VLOOKUP(TEXT(O6,"0"),CONDUCTORES!$A$3:$G$54,2,0),"")</f>
        <v/>
      </c>
      <c r="Q6" s="332">
        <f>IFERROR(VLOOKUP(TEXT(O6,"0"),CONDUCTORES!$A$3:$H$54,6,0),"")</f>
        <v/>
      </c>
      <c r="R6" s="334" t="n"/>
      <c r="S6" s="334" t="n"/>
      <c r="T6" s="334" t="n"/>
      <c r="U6" s="334" t="n"/>
      <c r="V6" s="334" t="n"/>
      <c r="W6" s="334" t="n"/>
      <c r="X6" s="334" t="n"/>
      <c r="Y6" s="334" t="n"/>
      <c r="Z6" s="242">
        <f>IF(AND(G6&lt;&gt;"",R6&lt;&gt;"",V6&lt;&gt;"",W6&lt;&gt;""),"COMPLETADO","OBSERVADO")</f>
        <v/>
      </c>
      <c r="AA6" s="284" t="n"/>
    </row>
    <row r="7" ht="15.75" customHeight="1" s="195">
      <c r="A7" s="280" t="n"/>
      <c r="B7" s="280" t="n"/>
      <c r="C7" s="280" t="n"/>
      <c r="D7" s="280" t="n"/>
      <c r="E7" s="280" t="n"/>
      <c r="F7" s="280" t="n"/>
      <c r="G7" s="280" t="n"/>
      <c r="H7" s="280" t="n"/>
      <c r="I7" s="332">
        <f>IFERROR(VLOOKUP(TEXT(H7,"0"),IPRESS!$A$3:$B$212,2,0),"")</f>
        <v/>
      </c>
      <c r="J7" s="280" t="n"/>
      <c r="K7" s="332">
        <f>IFERROR(VLOOKUP(TEXT(O7,"0"),CONDUCTORES!$A$3:$G$54,7,0),"")</f>
        <v/>
      </c>
      <c r="L7" s="280" t="n"/>
      <c r="M7" s="280" t="n"/>
      <c r="N7" s="333">
        <f>IFERROR(IF(L7*M7=0,"",L7*M7),"")</f>
        <v/>
      </c>
      <c r="O7" s="280" t="n"/>
      <c r="P7" s="332">
        <f>IFERROR(VLOOKUP(TEXT(O7,"0"),CONDUCTORES!$A$3:$G$54,2,0),"")</f>
        <v/>
      </c>
      <c r="Q7" s="332">
        <f>IFERROR(VLOOKUP(TEXT(O7,"0"),CONDUCTORES!$A$3:$H$54,6,0),"")</f>
        <v/>
      </c>
      <c r="R7" s="280" t="n"/>
      <c r="S7" s="280" t="n"/>
      <c r="T7" s="280" t="n"/>
      <c r="U7" s="280" t="n"/>
      <c r="V7" s="280" t="n"/>
      <c r="W7" s="280" t="n"/>
      <c r="X7" s="280" t="n"/>
      <c r="Y7" s="280" t="n"/>
      <c r="Z7" s="236">
        <f>IF(AND(G7&lt;&gt;"",R7&lt;&gt;"",V7&lt;&gt;"",W7&lt;&gt;""),"COMPLETADO","OBSERVADO")</f>
        <v/>
      </c>
      <c r="AA7" s="284" t="n"/>
    </row>
    <row r="8" ht="15.75" customHeight="1" s="195">
      <c r="A8" s="334" t="n"/>
      <c r="K8" s="332">
        <f>IFERROR(VLOOKUP(TEXT(O8,"0"),CONDUCTORES!$A$3:$G$54,7,0),"")</f>
        <v/>
      </c>
      <c r="L8" s="334" t="n"/>
      <c r="M8" s="373" t="n"/>
      <c r="N8" s="333">
        <f>IFERROR(IF(L8*M8=0,"",L8*M8),"")</f>
        <v/>
      </c>
      <c r="O8" s="334" t="n"/>
      <c r="P8" s="332">
        <f>IFERROR(VLOOKUP(TEXT(O8,"0"),CONDUCTORES!$A$3:$G$54,2,0),"")</f>
        <v/>
      </c>
      <c r="Q8" s="332">
        <f>IFERROR(VLOOKUP(TEXT(O8,"0"),CONDUCTORES!$A$3:$H$54,6,0),"")</f>
        <v/>
      </c>
      <c r="R8" s="334" t="n"/>
      <c r="S8" s="334" t="n"/>
      <c r="T8" s="334" t="n"/>
      <c r="U8" s="334" t="n"/>
      <c r="V8" s="334" t="n"/>
      <c r="W8" s="334" t="n"/>
      <c r="X8" s="334" t="n"/>
      <c r="Y8" s="334" t="n"/>
      <c r="Z8" s="242">
        <f>IF(AND(G8&lt;&gt;"",R8&lt;&gt;"",V8&lt;&gt;"",W8&lt;&gt;""),"COMPLETADO","OBSERVADO")</f>
        <v/>
      </c>
      <c r="AA8" s="284" t="n"/>
    </row>
    <row r="9" ht="15.75" customHeight="1" s="195">
      <c r="A9" s="280" t="n"/>
      <c r="B9" s="280" t="n"/>
      <c r="C9" s="280" t="n"/>
      <c r="D9" s="280" t="n"/>
      <c r="E9" s="280" t="n"/>
      <c r="F9" s="280" t="n"/>
      <c r="G9" s="280" t="n"/>
      <c r="H9" s="280" t="n"/>
      <c r="I9" s="332">
        <f>IFERROR(VLOOKUP(TEXT(H9,"0"),IPRESS!$A$3:$B$212,2,0),"")</f>
        <v/>
      </c>
      <c r="J9" s="280" t="n"/>
      <c r="K9" s="332">
        <f>IFERROR(VLOOKUP(TEXT(O9,"0"),CONDUCTORES!$A$3:$G$54,7,0),"")</f>
        <v/>
      </c>
      <c r="L9" s="280" t="n"/>
      <c r="M9" s="280" t="n"/>
      <c r="N9" s="333">
        <f>IFERROR(IF(L9*M9=0,"",L9*M9),"")</f>
        <v/>
      </c>
      <c r="O9" s="280" t="n"/>
      <c r="P9" s="332">
        <f>IFERROR(VLOOKUP(TEXT(O9,"0"),CONDUCTORES!$A$3:$G$54,2,0),"")</f>
        <v/>
      </c>
      <c r="Q9" s="332">
        <f>IFERROR(VLOOKUP(TEXT(O9,"0"),CONDUCTORES!$A$3:$H$54,6,0),"")</f>
        <v/>
      </c>
      <c r="R9" s="280" t="n"/>
      <c r="S9" s="280" t="n"/>
      <c r="T9" s="280" t="n"/>
      <c r="U9" s="280" t="n"/>
      <c r="V9" s="280" t="n"/>
      <c r="W9" s="280" t="n"/>
      <c r="X9" s="280" t="n"/>
      <c r="Y9" s="280" t="n"/>
      <c r="Z9" s="236">
        <f>IF(AND(G9&lt;&gt;"",R9&lt;&gt;"",V9&lt;&gt;"",W9&lt;&gt;""),"COMPLETADO","OBSERVADO")</f>
        <v/>
      </c>
      <c r="AA9" s="284" t="n"/>
    </row>
    <row r="10" ht="15.75" customHeight="1" s="195">
      <c r="A10" s="334" t="n"/>
      <c r="B10" s="334" t="n"/>
      <c r="C10" s="334" t="n"/>
      <c r="D10" s="334" t="n"/>
      <c r="E10" s="334" t="n"/>
      <c r="F10" s="334" t="n"/>
      <c r="G10" s="334" t="n"/>
      <c r="H10" s="334" t="n"/>
      <c r="I10" s="332">
        <f>IFERROR(VLOOKUP(TEXT(H10,"0"),IPRESS!$A$3:$B$212,2,0),"")</f>
        <v/>
      </c>
      <c r="J10" s="334" t="n"/>
      <c r="K10" s="332">
        <f>IFERROR(VLOOKUP(TEXT(O10,"0"),CONDUCTORES!$A$3:$G$54,7,0),"")</f>
        <v/>
      </c>
      <c r="L10" s="334" t="n"/>
      <c r="M10" s="334" t="n"/>
      <c r="N10" s="333">
        <f>IFERROR(IF(L10*M10=0,"",L10*M10),"")</f>
        <v/>
      </c>
      <c r="O10" s="334" t="n"/>
      <c r="P10" s="332">
        <f>IFERROR(VLOOKUP(TEXT(O10,"0"),CONDUCTORES!$A$3:$G$54,2,0),"")</f>
        <v/>
      </c>
      <c r="Q10" s="332">
        <f>IFERROR(VLOOKUP(TEXT(O10,"0"),CONDUCTORES!$A$3:$H$54,6,0),"")</f>
        <v/>
      </c>
      <c r="R10" s="334" t="n"/>
      <c r="S10" s="334" t="n"/>
      <c r="T10" s="334" t="n"/>
      <c r="U10" s="334" t="n"/>
      <c r="V10" s="334" t="n"/>
      <c r="W10" s="334" t="n"/>
      <c r="X10" s="334" t="n"/>
      <c r="Y10" s="334" t="n"/>
      <c r="Z10" s="242">
        <f>IF(AND(G10&lt;&gt;"",R10&lt;&gt;"",V10&lt;&gt;"",W10&lt;&gt;""),"COMPLETADO","OBSERVADO")</f>
        <v/>
      </c>
      <c r="AA10" s="284" t="n"/>
    </row>
    <row r="11" ht="15.75" customHeight="1" s="195">
      <c r="A11" s="280" t="n"/>
      <c r="B11" s="280" t="n"/>
      <c r="C11" s="280" t="n"/>
      <c r="D11" s="280" t="n"/>
      <c r="E11" s="280" t="n"/>
      <c r="F11" s="280" t="n"/>
      <c r="G11" s="280" t="n"/>
      <c r="H11" s="280" t="n"/>
      <c r="I11" s="332">
        <f>IFERROR(VLOOKUP(TEXT(H11,"0"),IPRESS!$A$3:$B$212,2,0),"")</f>
        <v/>
      </c>
      <c r="J11" s="280" t="n"/>
      <c r="K11" s="332">
        <f>IFERROR(VLOOKUP(TEXT(O11,"0"),CONDUCTORES!$A$3:$G$54,7,0),"")</f>
        <v/>
      </c>
      <c r="L11" s="280" t="n"/>
      <c r="M11" s="280" t="n"/>
      <c r="N11" s="333">
        <f>IFERROR(IF(L11*M11=0,"",L11*M11),"")</f>
        <v/>
      </c>
      <c r="O11" s="280" t="n"/>
      <c r="P11" s="332">
        <f>IFERROR(VLOOKUP(TEXT(O11,"0"),CONDUCTORES!$A$3:$G$54,2,0),"")</f>
        <v/>
      </c>
      <c r="Q11" s="332">
        <f>IFERROR(VLOOKUP(TEXT(O11,"0"),CONDUCTORES!$A$3:$H$54,6,0),"")</f>
        <v/>
      </c>
      <c r="R11" s="280" t="n"/>
      <c r="S11" s="280" t="n"/>
      <c r="T11" s="280" t="n"/>
      <c r="U11" s="280" t="n"/>
      <c r="V11" s="280" t="n"/>
      <c r="W11" s="280" t="n"/>
      <c r="X11" s="280" t="n"/>
      <c r="Y11" s="280" t="n"/>
      <c r="Z11" s="236">
        <f>IF(AND(G11&lt;&gt;"",R11&lt;&gt;"",V11&lt;&gt;"",W11&lt;&gt;""),"COMPLETADO","OBSERVADO")</f>
        <v/>
      </c>
      <c r="AA11" s="284" t="n"/>
    </row>
    <row r="12" ht="15.75" customHeight="1" s="195">
      <c r="A12" s="334" t="n"/>
      <c r="B12" s="334" t="n"/>
      <c r="C12" s="334" t="n"/>
      <c r="D12" s="334" t="n"/>
      <c r="E12" s="334" t="n"/>
      <c r="F12" s="334" t="n"/>
      <c r="G12" s="334" t="n"/>
      <c r="H12" s="334" t="n"/>
      <c r="I12" s="332">
        <f>IFERROR(VLOOKUP(TEXT(H12,"0"),IPRESS!$A$3:$B$212,2,0),"")</f>
        <v/>
      </c>
      <c r="J12" s="334" t="n"/>
      <c r="K12" s="332">
        <f>IFERROR(VLOOKUP(TEXT(O12,"0"),CONDUCTORES!$A$3:$G$54,7,0),"")</f>
        <v/>
      </c>
      <c r="L12" s="334" t="n"/>
      <c r="M12" s="334" t="n"/>
      <c r="N12" s="333">
        <f>IFERROR(IF(L12*M12=0,"",L12*M12),"")</f>
        <v/>
      </c>
      <c r="O12" s="334" t="n"/>
      <c r="P12" s="332">
        <f>IFERROR(VLOOKUP(TEXT(O12,"0"),CONDUCTORES!$A$3:$G$54,2,0),"")</f>
        <v/>
      </c>
      <c r="Q12" s="332">
        <f>IFERROR(VLOOKUP(TEXT(O12,"0"),CONDUCTORES!$A$3:$H$54,6,0),"")</f>
        <v/>
      </c>
      <c r="R12" s="334" t="n"/>
      <c r="S12" s="334" t="n"/>
      <c r="T12" s="334" t="n"/>
      <c r="U12" s="334" t="n"/>
      <c r="V12" s="334" t="n"/>
      <c r="W12" s="334" t="n"/>
      <c r="X12" s="334" t="n"/>
      <c r="Y12" s="334" t="n"/>
      <c r="Z12" s="242">
        <f>IF(AND(G12&lt;&gt;"",R12&lt;&gt;"",V12&lt;&gt;"",W12&lt;&gt;""),"COMPLETADO","OBSERVADO")</f>
        <v/>
      </c>
      <c r="AA12" s="284" t="n"/>
    </row>
    <row r="13" ht="15.75" customHeight="1" s="195">
      <c r="A13" s="280" t="n"/>
      <c r="B13" s="280" t="n"/>
      <c r="C13" s="280" t="n"/>
      <c r="D13" s="280" t="n"/>
      <c r="E13" s="280" t="n"/>
      <c r="F13" s="280" t="n"/>
      <c r="G13" s="280" t="n"/>
      <c r="H13" s="280" t="n"/>
      <c r="I13" s="332">
        <f>IFERROR(VLOOKUP(TEXT(H13,"0"),IPRESS!$A$3:$B$212,2,0),"")</f>
        <v/>
      </c>
      <c r="J13" s="280" t="n"/>
      <c r="K13" s="332">
        <f>IFERROR(VLOOKUP(TEXT(O13,"0"),CONDUCTORES!$A$3:$G$54,7,0),"")</f>
        <v/>
      </c>
      <c r="L13" s="280" t="n"/>
      <c r="M13" s="280" t="n"/>
      <c r="N13" s="333">
        <f>IFERROR(IF(L13*M13=0,"",L13*M13),"")</f>
        <v/>
      </c>
      <c r="O13" s="280" t="n"/>
      <c r="P13" s="332">
        <f>IFERROR(VLOOKUP(TEXT(O13,"0"),CONDUCTORES!$A$3:$G$54,2,0),"")</f>
        <v/>
      </c>
      <c r="Q13" s="332">
        <f>IFERROR(VLOOKUP(TEXT(O13,"0"),CONDUCTORES!$A$3:$H$54,6,0),"")</f>
        <v/>
      </c>
      <c r="R13" s="280" t="n"/>
      <c r="S13" s="280" t="n"/>
      <c r="T13" s="280" t="n"/>
      <c r="U13" s="280" t="n"/>
      <c r="V13" s="280" t="n"/>
      <c r="W13" s="280" t="n"/>
      <c r="X13" s="280" t="n"/>
      <c r="Y13" s="280" t="n"/>
      <c r="Z13" s="236">
        <f>IF(AND(G13&lt;&gt;"",R13&lt;&gt;"",V13&lt;&gt;"",W13&lt;&gt;""),"COMPLETADO","OBSERVADO")</f>
        <v/>
      </c>
      <c r="AA13" s="284" t="n"/>
    </row>
    <row r="14" ht="15.75" customHeight="1" s="195">
      <c r="A14" s="334" t="n"/>
      <c r="B14" s="334" t="n"/>
      <c r="C14" s="334" t="n"/>
      <c r="D14" s="334" t="n"/>
      <c r="E14" s="334" t="n"/>
      <c r="F14" s="334" t="n"/>
      <c r="G14" s="334" t="n"/>
      <c r="H14" s="334" t="n"/>
      <c r="I14" s="332">
        <f>IFERROR(VLOOKUP(TEXT(H14,"0"),IPRESS!$A$3:$B$212,2,0),"")</f>
        <v/>
      </c>
      <c r="J14" s="334" t="n"/>
      <c r="K14" s="332">
        <f>IFERROR(VLOOKUP(TEXT(O14,"0"),CONDUCTORES!$A$3:$G$54,7,0),"")</f>
        <v/>
      </c>
      <c r="L14" s="334" t="n"/>
      <c r="M14" s="334" t="n"/>
      <c r="N14" s="333">
        <f>IFERROR(IF(L14*M14=0,"",L14*M14),"")</f>
        <v/>
      </c>
      <c r="O14" s="334" t="n"/>
      <c r="P14" s="332">
        <f>IFERROR(VLOOKUP(TEXT(O14,"0"),CONDUCTORES!$A$3:$G$54,2,0),"")</f>
        <v/>
      </c>
      <c r="Q14" s="332">
        <f>IFERROR(VLOOKUP(TEXT(O14,"0"),CONDUCTORES!$A$3:$H$54,6,0),"")</f>
        <v/>
      </c>
      <c r="R14" s="334" t="n"/>
      <c r="S14" s="334" t="n"/>
      <c r="T14" s="334" t="n"/>
      <c r="U14" s="334" t="n"/>
      <c r="V14" s="334" t="n"/>
      <c r="W14" s="334" t="n"/>
      <c r="X14" s="334" t="n"/>
      <c r="Y14" s="334" t="n"/>
      <c r="Z14" s="242">
        <f>IF(AND(G14&lt;&gt;"",R14&lt;&gt;"",V14&lt;&gt;"",W14&lt;&gt;""),"COMPLETADO","OBSERVADO")</f>
        <v/>
      </c>
      <c r="AA14" s="284" t="n"/>
    </row>
    <row r="15" ht="15.75" customHeight="1" s="195">
      <c r="A15" s="280" t="n"/>
      <c r="B15" s="280" t="n"/>
      <c r="C15" s="280" t="n"/>
      <c r="D15" s="280" t="n"/>
      <c r="E15" s="280" t="n"/>
      <c r="F15" s="280" t="n"/>
      <c r="G15" s="280" t="n"/>
      <c r="H15" s="280" t="n"/>
      <c r="I15" s="332">
        <f>IFERROR(VLOOKUP(TEXT(H15,"0"),IPRESS!$A$3:$B$212,2,0),"")</f>
        <v/>
      </c>
      <c r="J15" s="280" t="n"/>
      <c r="K15" s="332">
        <f>IFERROR(VLOOKUP(TEXT(O15,"0"),CONDUCTORES!$A$3:$G$54,7,0),"")</f>
        <v/>
      </c>
      <c r="L15" s="280" t="n"/>
      <c r="M15" s="280" t="n"/>
      <c r="N15" s="333">
        <f>IFERROR(IF(L15*M15=0,"",L15*M15),"")</f>
        <v/>
      </c>
      <c r="O15" s="280" t="n"/>
      <c r="P15" s="332">
        <f>IFERROR(VLOOKUP(TEXT(O15,"0"),CONDUCTORES!$A$3:$G$54,2,0),"")</f>
        <v/>
      </c>
      <c r="Q15" s="332">
        <f>IFERROR(VLOOKUP(TEXT(O15,"0"),CONDUCTORES!$A$3:$H$54,6,0),"")</f>
        <v/>
      </c>
      <c r="R15" s="280" t="n"/>
      <c r="S15" s="280" t="n"/>
      <c r="T15" s="280" t="n"/>
      <c r="U15" s="280" t="n"/>
      <c r="V15" s="280" t="n"/>
      <c r="W15" s="280" t="n"/>
      <c r="X15" s="280" t="n"/>
      <c r="Y15" s="280" t="n"/>
      <c r="Z15" s="236">
        <f>IF(AND(G15&lt;&gt;"",R15&lt;&gt;"",V15&lt;&gt;"",W15&lt;&gt;""),"COMPLETADO","OBSERVADO")</f>
        <v/>
      </c>
      <c r="AA15" s="284" t="n"/>
    </row>
    <row r="16" ht="15.75" customHeight="1" s="195">
      <c r="A16" s="334" t="n"/>
      <c r="B16" s="334" t="n"/>
      <c r="C16" s="334" t="n"/>
      <c r="D16" s="334" t="n"/>
      <c r="E16" s="334" t="n"/>
      <c r="F16" s="334" t="n"/>
      <c r="G16" s="334" t="n"/>
      <c r="H16" s="334" t="n"/>
      <c r="I16" s="332">
        <f>IFERROR(VLOOKUP(TEXT(H16,"0"),IPRESS!$A$3:$B$212,2,0),"")</f>
        <v/>
      </c>
      <c r="J16" s="334" t="n"/>
      <c r="K16" s="332">
        <f>IFERROR(VLOOKUP(TEXT(O16,"0"),CONDUCTORES!$A$3:$G$54,7,0),"")</f>
        <v/>
      </c>
      <c r="L16" s="334" t="n"/>
      <c r="M16" s="334" t="n"/>
      <c r="N16" s="333">
        <f>IFERROR(IF(L16*M16=0,"",L16*M16),"")</f>
        <v/>
      </c>
      <c r="O16" s="334" t="n"/>
      <c r="P16" s="332">
        <f>IFERROR(VLOOKUP(TEXT(O16,"0"),CONDUCTORES!$A$3:$G$54,2,0),"")</f>
        <v/>
      </c>
      <c r="Q16" s="332">
        <f>IFERROR(VLOOKUP(TEXT(O16,"0"),CONDUCTORES!$A$3:$H$54,6,0),"")</f>
        <v/>
      </c>
      <c r="R16" s="334" t="n"/>
      <c r="S16" s="334" t="n"/>
      <c r="T16" s="334" t="n"/>
      <c r="U16" s="334" t="n"/>
      <c r="V16" s="334" t="n"/>
      <c r="W16" s="334" t="n"/>
      <c r="X16" s="334" t="n"/>
      <c r="Y16" s="334" t="n"/>
      <c r="Z16" s="242">
        <f>IF(AND(G16&lt;&gt;"",R16&lt;&gt;"",V16&lt;&gt;"",W16&lt;&gt;""),"COMPLETADO","OBSERVADO")</f>
        <v/>
      </c>
      <c r="AA16" s="284" t="n"/>
    </row>
    <row r="17" ht="15.75" customHeight="1" s="195">
      <c r="A17" s="280" t="n"/>
      <c r="B17" s="280" t="n"/>
      <c r="C17" s="280" t="n"/>
      <c r="D17" s="280" t="n"/>
      <c r="E17" s="280" t="n"/>
      <c r="F17" s="280" t="n"/>
      <c r="G17" s="280" t="n"/>
      <c r="H17" s="280" t="n"/>
      <c r="I17" s="332">
        <f>IFERROR(VLOOKUP(TEXT(H17,"0"),IPRESS!$A$3:$B$212,2,0),"")</f>
        <v/>
      </c>
      <c r="J17" s="280" t="n"/>
      <c r="K17" s="332">
        <f>IFERROR(VLOOKUP(TEXT(O17,"0"),CONDUCTORES!$A$3:$G$54,7,0),"")</f>
        <v/>
      </c>
      <c r="L17" s="280" t="n"/>
      <c r="M17" s="280" t="n"/>
      <c r="N17" s="333">
        <f>IFERROR(IF(L17*M17=0,"",L17*M17),"")</f>
        <v/>
      </c>
      <c r="O17" s="280" t="n"/>
      <c r="P17" s="332">
        <f>IFERROR(VLOOKUP(TEXT(O17,"0"),CONDUCTORES!$A$3:$G$54,2,0),"")</f>
        <v/>
      </c>
      <c r="Q17" s="332">
        <f>IFERROR(VLOOKUP(TEXT(O17,"0"),CONDUCTORES!$A$3:$H$54,6,0),"")</f>
        <v/>
      </c>
      <c r="R17" s="280" t="n"/>
      <c r="S17" s="280" t="n"/>
      <c r="T17" s="280" t="n"/>
      <c r="U17" s="280" t="n"/>
      <c r="V17" s="280" t="n"/>
      <c r="W17" s="280" t="n"/>
      <c r="X17" s="280" t="n"/>
      <c r="Y17" s="280" t="n"/>
      <c r="Z17" s="236">
        <f>IF(AND(G17&lt;&gt;"",R17&lt;&gt;"",V17&lt;&gt;"",W17&lt;&gt;""),"COMPLETADO","OBSERVADO")</f>
        <v/>
      </c>
      <c r="AA17" s="284" t="n"/>
    </row>
    <row r="18" ht="15.75" customHeight="1" s="195">
      <c r="A18" s="334" t="n"/>
      <c r="B18" s="334" t="n"/>
      <c r="C18" s="334" t="n"/>
      <c r="D18" s="334" t="n"/>
      <c r="E18" s="334" t="n"/>
      <c r="F18" s="334" t="n"/>
      <c r="G18" s="334" t="n"/>
      <c r="H18" s="334" t="n"/>
      <c r="I18" s="332">
        <f>IFERROR(VLOOKUP(TEXT(H18,"0"),IPRESS!$A$3:$B$212,2,0),"")</f>
        <v/>
      </c>
      <c r="J18" s="334" t="n"/>
      <c r="K18" s="332">
        <f>IFERROR(VLOOKUP(TEXT(O18,"0"),CONDUCTORES!$A$3:$G$54,7,0),"")</f>
        <v/>
      </c>
      <c r="L18" s="334" t="n"/>
      <c r="M18" s="334" t="n"/>
      <c r="N18" s="333">
        <f>IFERROR(IF(L18*M18=0,"",L18*M18),"")</f>
        <v/>
      </c>
      <c r="O18" s="334" t="n"/>
      <c r="P18" s="332">
        <f>IFERROR(VLOOKUP(TEXT(O18,"0"),CONDUCTORES!$A$3:$G$54,2,0),"")</f>
        <v/>
      </c>
      <c r="Q18" s="332">
        <f>IFERROR(VLOOKUP(TEXT(O18,"0"),CONDUCTORES!$A$3:$H$54,6,0),"")</f>
        <v/>
      </c>
      <c r="R18" s="334" t="n"/>
      <c r="S18" s="334" t="n"/>
      <c r="T18" s="334" t="n"/>
      <c r="U18" s="334" t="n"/>
      <c r="V18" s="334" t="n"/>
      <c r="W18" s="334" t="n"/>
      <c r="X18" s="334" t="n"/>
      <c r="Y18" s="334" t="n"/>
      <c r="Z18" s="242">
        <f>IF(AND(G18&lt;&gt;"",R18&lt;&gt;"",V18&lt;&gt;"",W18&lt;&gt;""),"COMPLETADO","OBSERVADO")</f>
        <v/>
      </c>
      <c r="AA18" s="284" t="n"/>
    </row>
    <row r="19" ht="15.75" customHeight="1" s="195">
      <c r="A19" s="280" t="n"/>
      <c r="B19" s="280" t="n"/>
      <c r="C19" s="280" t="n"/>
      <c r="D19" s="280" t="n"/>
      <c r="E19" s="280" t="n"/>
      <c r="F19" s="280" t="n"/>
      <c r="G19" s="280" t="n"/>
      <c r="H19" s="280" t="n"/>
      <c r="I19" s="332">
        <f>IFERROR(VLOOKUP(TEXT(H19,"0"),IPRESS!$A$3:$B$212,2,0),"")</f>
        <v/>
      </c>
      <c r="J19" s="280" t="n"/>
      <c r="K19" s="332">
        <f>IFERROR(VLOOKUP(TEXT(O19,"0"),CONDUCTORES!$A$3:$G$54,7,0),"")</f>
        <v/>
      </c>
      <c r="L19" s="280" t="n"/>
      <c r="M19" s="280" t="n"/>
      <c r="N19" s="333">
        <f>IFERROR(IF(L19*M19=0,"",L19*M19),"")</f>
        <v/>
      </c>
      <c r="O19" s="280" t="n"/>
      <c r="P19" s="332">
        <f>IFERROR(VLOOKUP(TEXT(O19,"0"),CONDUCTORES!$A$3:$G$54,2,0),"")</f>
        <v/>
      </c>
      <c r="Q19" s="332">
        <f>IFERROR(VLOOKUP(TEXT(O19,"0"),CONDUCTORES!$A$3:$H$54,6,0),"")</f>
        <v/>
      </c>
      <c r="R19" s="280" t="n"/>
      <c r="S19" s="280" t="n"/>
      <c r="T19" s="280" t="n"/>
      <c r="U19" s="280" t="n"/>
      <c r="V19" s="280" t="n"/>
      <c r="W19" s="280" t="n"/>
      <c r="X19" s="280" t="n"/>
      <c r="Y19" s="280" t="n"/>
      <c r="Z19" s="236">
        <f>IF(AND(G19&lt;&gt;"",R19&lt;&gt;"",V19&lt;&gt;"",W19&lt;&gt;""),"COMPLETADO","OBSERVADO")</f>
        <v/>
      </c>
      <c r="AA19" s="284" t="n"/>
    </row>
    <row r="20" ht="15.75" customHeight="1" s="195">
      <c r="A20" s="334" t="n"/>
      <c r="B20" s="334" t="n"/>
      <c r="C20" s="334" t="n"/>
      <c r="D20" s="334" t="n"/>
      <c r="E20" s="334" t="n"/>
      <c r="F20" s="334" t="n"/>
      <c r="G20" s="334" t="n"/>
      <c r="H20" s="334" t="n"/>
      <c r="I20" s="332">
        <f>IFERROR(VLOOKUP(TEXT(H20,"0"),IPRESS!$A$3:$B$212,2,0),"")</f>
        <v/>
      </c>
      <c r="J20" s="334" t="n"/>
      <c r="K20" s="332">
        <f>IFERROR(VLOOKUP(TEXT(O20,"0"),CONDUCTORES!$A$3:$G$54,7,0),"")</f>
        <v/>
      </c>
      <c r="L20" s="334" t="n"/>
      <c r="M20" s="334" t="n"/>
      <c r="N20" s="333">
        <f>IFERROR(IF(L20*M20=0,"",L20*M20),"")</f>
        <v/>
      </c>
      <c r="O20" s="334" t="n"/>
      <c r="P20" s="332">
        <f>IFERROR(VLOOKUP(TEXT(O20,"0"),CONDUCTORES!$A$3:$G$54,2,0),"")</f>
        <v/>
      </c>
      <c r="Q20" s="332">
        <f>IFERROR(VLOOKUP(TEXT(O20,"0"),CONDUCTORES!$A$3:$H$54,6,0),"")</f>
        <v/>
      </c>
      <c r="R20" s="334" t="n"/>
      <c r="S20" s="334" t="n"/>
      <c r="T20" s="334" t="n"/>
      <c r="U20" s="334" t="n"/>
      <c r="V20" s="334" t="n"/>
      <c r="W20" s="334" t="n"/>
      <c r="X20" s="334" t="n"/>
      <c r="Y20" s="334" t="n"/>
      <c r="Z20" s="242">
        <f>IF(AND(G20&lt;&gt;"",R20&lt;&gt;"",V20&lt;&gt;"",W20&lt;&gt;""),"COMPLETADO","OBSERVADO")</f>
        <v/>
      </c>
      <c r="AA20" s="284" t="n"/>
    </row>
    <row r="21" ht="15.75" customHeight="1" s="195">
      <c r="A21" s="280" t="n"/>
      <c r="B21" s="280" t="n"/>
      <c r="C21" s="280" t="n"/>
      <c r="D21" s="280" t="n"/>
      <c r="E21" s="280" t="n"/>
      <c r="F21" s="280" t="n"/>
      <c r="G21" s="280" t="n"/>
      <c r="H21" s="280" t="n"/>
      <c r="I21" s="332">
        <f>IFERROR(VLOOKUP(TEXT(H21,"0"),IPRESS!$A$3:$B$212,2,0),"")</f>
        <v/>
      </c>
      <c r="J21" s="280" t="n"/>
      <c r="K21" s="332">
        <f>IFERROR(VLOOKUP(TEXT(O21,"0"),CONDUCTORES!$A$3:$G$54,7,0),"")</f>
        <v/>
      </c>
      <c r="L21" s="280" t="n"/>
      <c r="M21" s="280" t="n"/>
      <c r="N21" s="333">
        <f>IFERROR(IF(L21*M21=0,"",L21*M21),"")</f>
        <v/>
      </c>
      <c r="O21" s="280" t="n"/>
      <c r="P21" s="332">
        <f>IFERROR(VLOOKUP(TEXT(O21,"0"),CONDUCTORES!$A$3:$G$54,2,0),"")</f>
        <v/>
      </c>
      <c r="Q21" s="332">
        <f>IFERROR(VLOOKUP(TEXT(O21,"0"),CONDUCTORES!$A$3:$H$54,6,0),"")</f>
        <v/>
      </c>
      <c r="R21" s="280" t="n"/>
      <c r="S21" s="280" t="n"/>
      <c r="T21" s="280" t="n"/>
      <c r="U21" s="280" t="n"/>
      <c r="V21" s="280" t="n"/>
      <c r="W21" s="280" t="n"/>
      <c r="X21" s="280" t="n"/>
      <c r="Y21" s="280" t="n"/>
      <c r="Z21" s="236">
        <f>IF(AND(G21&lt;&gt;"",R21&lt;&gt;"",V21&lt;&gt;"",W21&lt;&gt;""),"COMPLETADO","OBSERVADO")</f>
        <v/>
      </c>
      <c r="AA21" s="284" t="n"/>
    </row>
    <row r="22" ht="15.75" customHeight="1" s="195">
      <c r="A22" s="334" t="n"/>
      <c r="B22" s="334" t="n"/>
      <c r="C22" s="334" t="n"/>
      <c r="D22" s="334" t="n"/>
      <c r="E22" s="334" t="n"/>
      <c r="F22" s="334" t="n"/>
      <c r="G22" s="334" t="n"/>
      <c r="H22" s="334" t="n"/>
      <c r="I22" s="332">
        <f>IFERROR(VLOOKUP(TEXT(H22,"0"),IPRESS!$A$3:$B$212,2,0),"")</f>
        <v/>
      </c>
      <c r="J22" s="334" t="n"/>
      <c r="K22" s="332">
        <f>IFERROR(VLOOKUP(TEXT(O22,"0"),CONDUCTORES!$A$3:$G$54,7,0),"")</f>
        <v/>
      </c>
      <c r="L22" s="334" t="n"/>
      <c r="M22" s="334" t="n"/>
      <c r="N22" s="333">
        <f>IFERROR(IF(L22*M22=0,"",L22*M22),"")</f>
        <v/>
      </c>
      <c r="O22" s="334" t="n"/>
      <c r="P22" s="332">
        <f>IFERROR(VLOOKUP(TEXT(O22,"0"),CONDUCTORES!$A$3:$G$54,2,0),"")</f>
        <v/>
      </c>
      <c r="Q22" s="332">
        <f>IFERROR(VLOOKUP(TEXT(O22,"0"),CONDUCTORES!$A$3:$H$54,6,0),"")</f>
        <v/>
      </c>
      <c r="R22" s="334" t="n"/>
      <c r="S22" s="334" t="n"/>
      <c r="T22" s="334" t="n"/>
      <c r="U22" s="334" t="n"/>
      <c r="V22" s="334" t="n"/>
      <c r="W22" s="334" t="n"/>
      <c r="X22" s="334" t="n"/>
      <c r="Y22" s="334" t="n"/>
      <c r="Z22" s="242">
        <f>IF(AND(G22&lt;&gt;"",R22&lt;&gt;"",V22&lt;&gt;"",W22&lt;&gt;""),"COMPLETADO","OBSERVADO")</f>
        <v/>
      </c>
      <c r="AA22" s="284" t="n"/>
    </row>
    <row r="23" ht="15.75" customHeight="1" s="195">
      <c r="A23" s="280" t="n"/>
      <c r="B23" s="280" t="n"/>
      <c r="C23" s="280" t="n"/>
      <c r="D23" s="280" t="n"/>
      <c r="E23" s="280" t="n"/>
      <c r="F23" s="280" t="n"/>
      <c r="G23" s="280" t="n"/>
      <c r="H23" s="280" t="n"/>
      <c r="I23" s="332">
        <f>IFERROR(VLOOKUP(TEXT(H23,"0"),IPRESS!$A$3:$B$212,2,0),"")</f>
        <v/>
      </c>
      <c r="J23" s="280" t="n"/>
      <c r="K23" s="332">
        <f>IFERROR(VLOOKUP(TEXT(O23,"0"),CONDUCTORES!$A$3:$G$54,7,0),"")</f>
        <v/>
      </c>
      <c r="L23" s="280" t="n"/>
      <c r="M23" s="280" t="n"/>
      <c r="N23" s="333">
        <f>IFERROR(IF(L23*M23=0,"",L23*M23),"")</f>
        <v/>
      </c>
      <c r="O23" s="280" t="n"/>
      <c r="P23" s="332">
        <f>IFERROR(VLOOKUP(TEXT(O23,"0"),CONDUCTORES!$A$3:$G$54,2,0),"")</f>
        <v/>
      </c>
      <c r="Q23" s="332">
        <f>IFERROR(VLOOKUP(TEXT(O23,"0"),CONDUCTORES!$A$3:$H$54,6,0),"")</f>
        <v/>
      </c>
      <c r="R23" s="280" t="n"/>
      <c r="S23" s="280" t="n"/>
      <c r="T23" s="280" t="n"/>
      <c r="U23" s="280" t="n"/>
      <c r="V23" s="280" t="n"/>
      <c r="W23" s="280" t="n"/>
      <c r="X23" s="280" t="n"/>
      <c r="Y23" s="280" t="n"/>
      <c r="Z23" s="236">
        <f>IF(AND(G23&lt;&gt;"",R23&lt;&gt;"",V23&lt;&gt;"",W23&lt;&gt;""),"COMPLETADO","OBSERVADO")</f>
        <v/>
      </c>
      <c r="AA23" s="284" t="n"/>
    </row>
    <row r="24" ht="15.75" customHeight="1" s="195">
      <c r="A24" s="334" t="n"/>
      <c r="B24" s="334" t="n"/>
      <c r="C24" s="334" t="n"/>
      <c r="D24" s="334" t="n"/>
      <c r="E24" s="334" t="n"/>
      <c r="F24" s="334" t="n"/>
      <c r="G24" s="334" t="n"/>
      <c r="H24" s="334" t="n"/>
      <c r="I24" s="332">
        <f>IFERROR(VLOOKUP(TEXT(H24,"0"),IPRESS!$A$3:$B$212,2,0),"")</f>
        <v/>
      </c>
      <c r="J24" s="334" t="n"/>
      <c r="K24" s="332">
        <f>IFERROR(VLOOKUP(TEXT(O24,"0"),CONDUCTORES!$A$3:$G$54,7,0),"")</f>
        <v/>
      </c>
      <c r="L24" s="334" t="n"/>
      <c r="M24" s="334" t="n"/>
      <c r="N24" s="333">
        <f>IFERROR(IF(L24*M24=0,"",L24*M24),"")</f>
        <v/>
      </c>
      <c r="O24" s="334" t="n"/>
      <c r="P24" s="332">
        <f>IFERROR(VLOOKUP(TEXT(O24,"0"),CONDUCTORES!$A$3:$G$54,2,0),"")</f>
        <v/>
      </c>
      <c r="Q24" s="332">
        <f>IFERROR(VLOOKUP(TEXT(O24,"0"),CONDUCTORES!$A$3:$H$54,6,0),"")</f>
        <v/>
      </c>
      <c r="R24" s="334" t="n"/>
      <c r="S24" s="334" t="n"/>
      <c r="T24" s="334" t="n"/>
      <c r="U24" s="334" t="n"/>
      <c r="V24" s="334" t="n"/>
      <c r="W24" s="334" t="n"/>
      <c r="X24" s="334" t="n"/>
      <c r="Y24" s="334" t="n"/>
      <c r="Z24" s="242">
        <f>IF(AND(G24&lt;&gt;"",R24&lt;&gt;"",V24&lt;&gt;"",W24&lt;&gt;""),"COMPLETADO","OBSERVADO")</f>
        <v/>
      </c>
      <c r="AA24" s="284" t="n"/>
    </row>
    <row r="25" ht="15.75" customHeight="1" s="195">
      <c r="A25" s="280" t="n"/>
      <c r="B25" s="280" t="n"/>
      <c r="C25" s="280" t="n"/>
      <c r="D25" s="280" t="n"/>
      <c r="E25" s="280" t="n"/>
      <c r="F25" s="280" t="n"/>
      <c r="G25" s="280" t="n"/>
      <c r="H25" s="280" t="n"/>
      <c r="I25" s="332">
        <f>IFERROR(VLOOKUP(TEXT(H25,"0"),IPRESS!$A$3:$B$212,2,0),"")</f>
        <v/>
      </c>
      <c r="J25" s="280" t="n"/>
      <c r="K25" s="332">
        <f>IFERROR(VLOOKUP(TEXT(O25,"0"),CONDUCTORES!$A$3:$G$54,7,0),"")</f>
        <v/>
      </c>
      <c r="L25" s="280" t="n"/>
      <c r="M25" s="280" t="n"/>
      <c r="N25" s="333">
        <f>IFERROR(IF(L25*M25=0,"",L25*M25),"")</f>
        <v/>
      </c>
      <c r="O25" s="280" t="n"/>
      <c r="P25" s="332">
        <f>IFERROR(VLOOKUP(TEXT(O25,"0"),CONDUCTORES!$A$3:$G$54,2,0),"")</f>
        <v/>
      </c>
      <c r="Q25" s="332">
        <f>IFERROR(VLOOKUP(TEXT(O25,"0"),CONDUCTORES!$A$3:$H$54,6,0),"")</f>
        <v/>
      </c>
      <c r="R25" s="280" t="n"/>
      <c r="S25" s="280" t="n"/>
      <c r="T25" s="280" t="n"/>
      <c r="U25" s="280" t="n"/>
      <c r="V25" s="280" t="n"/>
      <c r="W25" s="280" t="n"/>
      <c r="X25" s="280" t="n"/>
      <c r="Y25" s="280" t="n"/>
      <c r="Z25" s="236">
        <f>IF(AND(G25&lt;&gt;"",R25&lt;&gt;"",V25&lt;&gt;"",W25&lt;&gt;""),"COMPLETADO","OBSERVADO")</f>
        <v/>
      </c>
      <c r="AA25" s="284" t="n"/>
    </row>
    <row r="26" ht="15.75" customHeight="1" s="195">
      <c r="A26" s="334" t="n"/>
      <c r="B26" s="334" t="n"/>
      <c r="C26" s="334" t="n"/>
      <c r="D26" s="334" t="n"/>
      <c r="E26" s="334" t="n"/>
      <c r="F26" s="334" t="n"/>
      <c r="G26" s="334" t="n"/>
      <c r="H26" s="334" t="n"/>
      <c r="I26" s="332">
        <f>IFERROR(VLOOKUP(TEXT(H26,"0"),IPRESS!$A$3:$B$212,2,0),"")</f>
        <v/>
      </c>
      <c r="J26" s="334" t="n"/>
      <c r="K26" s="332">
        <f>IFERROR(VLOOKUP(TEXT(O26,"0"),CONDUCTORES!$A$3:$G$54,7,0),"")</f>
        <v/>
      </c>
      <c r="L26" s="334" t="n"/>
      <c r="M26" s="334" t="n"/>
      <c r="N26" s="333">
        <f>IFERROR(IF(L26*M26=0,"",L26*M26),"")</f>
        <v/>
      </c>
      <c r="O26" s="334" t="n"/>
      <c r="P26" s="332">
        <f>IFERROR(VLOOKUP(TEXT(O26,"0"),CONDUCTORES!$A$3:$G$54,2,0),"")</f>
        <v/>
      </c>
      <c r="Q26" s="332">
        <f>IFERROR(VLOOKUP(TEXT(O26,"0"),CONDUCTORES!$A$3:$H$54,6,0),"")</f>
        <v/>
      </c>
      <c r="R26" s="334" t="n"/>
      <c r="S26" s="334" t="n"/>
      <c r="T26" s="334" t="n"/>
      <c r="U26" s="334" t="n"/>
      <c r="V26" s="334" t="n"/>
      <c r="W26" s="334" t="n"/>
      <c r="X26" s="334" t="n"/>
      <c r="Y26" s="334" t="n"/>
      <c r="Z26" s="242">
        <f>IF(AND(G26&lt;&gt;"",R26&lt;&gt;"",V26&lt;&gt;"",W26&lt;&gt;""),"COMPLETADO","OBSERVADO")</f>
        <v/>
      </c>
      <c r="AA26" s="284" t="n"/>
    </row>
    <row r="27" ht="15.75" customHeight="1" s="195">
      <c r="A27" s="280" t="n"/>
      <c r="B27" s="280" t="n"/>
      <c r="C27" s="280" t="n"/>
      <c r="D27" s="280" t="n"/>
      <c r="E27" s="280" t="n"/>
      <c r="F27" s="280" t="n"/>
      <c r="G27" s="280" t="n"/>
      <c r="H27" s="280" t="n"/>
      <c r="I27" s="332">
        <f>IFERROR(VLOOKUP(TEXT(H27,"0"),IPRESS!$A$3:$B$212,2,0),"")</f>
        <v/>
      </c>
      <c r="J27" s="280" t="n"/>
      <c r="K27" s="332">
        <f>IFERROR(VLOOKUP(TEXT(O27,"0"),CONDUCTORES!$A$3:$G$54,7,0),"")</f>
        <v/>
      </c>
      <c r="L27" s="280" t="n"/>
      <c r="M27" s="280" t="n"/>
      <c r="N27" s="333">
        <f>IFERROR(IF(L27*M27=0,"",L27*M27),"")</f>
        <v/>
      </c>
      <c r="O27" s="280" t="n"/>
      <c r="P27" s="332">
        <f>IFERROR(VLOOKUP(TEXT(O27,"0"),CONDUCTORES!$A$3:$G$54,2,0),"")</f>
        <v/>
      </c>
      <c r="Q27" s="332">
        <f>IFERROR(VLOOKUP(TEXT(O27,"0"),CONDUCTORES!$A$3:$H$54,6,0),"")</f>
        <v/>
      </c>
      <c r="R27" s="280" t="n"/>
      <c r="S27" s="280" t="n"/>
      <c r="T27" s="280" t="n"/>
      <c r="U27" s="280" t="n"/>
      <c r="V27" s="280" t="n"/>
      <c r="W27" s="280" t="n"/>
      <c r="X27" s="280" t="n"/>
      <c r="Y27" s="280" t="n"/>
      <c r="Z27" s="236">
        <f>IF(AND(G27&lt;&gt;"",R27&lt;&gt;"",V27&lt;&gt;"",W27&lt;&gt;""),"COMPLETADO","OBSERVADO")</f>
        <v/>
      </c>
      <c r="AA27" s="284" t="n"/>
    </row>
    <row r="28" ht="15.75" customHeight="1" s="195">
      <c r="A28" s="334" t="n"/>
      <c r="B28" s="334" t="n"/>
      <c r="C28" s="334" t="n"/>
      <c r="D28" s="334" t="n"/>
      <c r="E28" s="334" t="n"/>
      <c r="F28" s="334" t="n"/>
      <c r="G28" s="334" t="n"/>
      <c r="H28" s="334" t="n"/>
      <c r="I28" s="332">
        <f>IFERROR(VLOOKUP(TEXT(H28,"0"),IPRESS!$A$3:$B$212,2,0),"")</f>
        <v/>
      </c>
      <c r="J28" s="334" t="n"/>
      <c r="K28" s="332">
        <f>IFERROR(VLOOKUP(TEXT(O28,"0"),CONDUCTORES!$A$3:$G$54,7,0),"")</f>
        <v/>
      </c>
      <c r="L28" s="334" t="n"/>
      <c r="M28" s="334" t="n"/>
      <c r="N28" s="333">
        <f>IFERROR(IF(L28*M28=0,"",L28*M28),"")</f>
        <v/>
      </c>
      <c r="O28" s="334" t="n"/>
      <c r="P28" s="332">
        <f>IFERROR(VLOOKUP(TEXT(O28,"0"),CONDUCTORES!$A$3:$G$54,2,0),"")</f>
        <v/>
      </c>
      <c r="Q28" s="332">
        <f>IFERROR(VLOOKUP(TEXT(O28,"0"),CONDUCTORES!$A$3:$H$54,6,0),"")</f>
        <v/>
      </c>
      <c r="R28" s="334" t="n"/>
      <c r="S28" s="334" t="n"/>
      <c r="T28" s="334" t="n"/>
      <c r="U28" s="334" t="n"/>
      <c r="V28" s="334" t="n"/>
      <c r="W28" s="334" t="n"/>
      <c r="X28" s="334" t="n"/>
      <c r="Y28" s="334" t="n"/>
      <c r="Z28" s="242">
        <f>IF(AND(G28&lt;&gt;"",R28&lt;&gt;"",V28&lt;&gt;"",W28&lt;&gt;""),"COMPLETADO","OBSERVADO")</f>
        <v/>
      </c>
      <c r="AA28" s="284" t="n"/>
    </row>
    <row r="29" ht="15.75" customHeight="1" s="195">
      <c r="A29" s="280" t="n"/>
      <c r="B29" s="280" t="n"/>
      <c r="C29" s="280" t="n"/>
      <c r="D29" s="280" t="n"/>
      <c r="E29" s="280" t="n"/>
      <c r="F29" s="280" t="n"/>
      <c r="G29" s="280" t="n"/>
      <c r="H29" s="280" t="n"/>
      <c r="I29" s="332">
        <f>IFERROR(VLOOKUP(TEXT(H29,"0"),IPRESS!$A$3:$B$212,2,0),"")</f>
        <v/>
      </c>
      <c r="J29" s="280" t="n"/>
      <c r="K29" s="332">
        <f>IFERROR(VLOOKUP(TEXT(O29,"0"),CONDUCTORES!$A$3:$G$54,7,0),"")</f>
        <v/>
      </c>
      <c r="L29" s="280" t="n"/>
      <c r="M29" s="280" t="n"/>
      <c r="N29" s="333">
        <f>IFERROR(IF(L29*M29=0,"",L29*M29),"")</f>
        <v/>
      </c>
      <c r="O29" s="280" t="n"/>
      <c r="P29" s="332">
        <f>IFERROR(VLOOKUP(TEXT(O29,"0"),CONDUCTORES!$A$3:$G$54,2,0),"")</f>
        <v/>
      </c>
      <c r="Q29" s="332">
        <f>IFERROR(VLOOKUP(TEXT(O29,"0"),CONDUCTORES!$A$3:$H$54,6,0),"")</f>
        <v/>
      </c>
      <c r="R29" s="280" t="n"/>
      <c r="S29" s="280" t="n"/>
      <c r="T29" s="280" t="n"/>
      <c r="U29" s="280" t="n"/>
      <c r="V29" s="280" t="n"/>
      <c r="W29" s="280" t="n"/>
      <c r="X29" s="280" t="n"/>
      <c r="Y29" s="280" t="n"/>
      <c r="Z29" s="236">
        <f>IF(AND(G29&lt;&gt;"",R29&lt;&gt;"",V29&lt;&gt;"",W29&lt;&gt;""),"COMPLETADO","OBSERVADO")</f>
        <v/>
      </c>
      <c r="AA29" s="284" t="n"/>
    </row>
    <row r="30" ht="15.75" customHeight="1" s="195">
      <c r="A30" s="334" t="n"/>
      <c r="B30" s="334" t="n"/>
      <c r="C30" s="334" t="n"/>
      <c r="D30" s="334" t="n"/>
      <c r="E30" s="334" t="n"/>
      <c r="F30" s="334" t="n"/>
      <c r="G30" s="334" t="n"/>
      <c r="H30" s="334" t="n"/>
      <c r="I30" s="332">
        <f>IFERROR(VLOOKUP(TEXT(H30,"0"),IPRESS!$A$3:$B$212,2,0),"")</f>
        <v/>
      </c>
      <c r="J30" s="334" t="n"/>
      <c r="K30" s="332">
        <f>IFERROR(VLOOKUP(TEXT(O30,"0"),CONDUCTORES!$A$3:$G$54,7,0),"")</f>
        <v/>
      </c>
      <c r="L30" s="334" t="n"/>
      <c r="M30" s="334" t="n"/>
      <c r="N30" s="333">
        <f>IFERROR(IF(L30*M30=0,"",L30*M30),"")</f>
        <v/>
      </c>
      <c r="O30" s="334" t="n"/>
      <c r="P30" s="332">
        <f>IFERROR(VLOOKUP(TEXT(O30,"0"),CONDUCTORES!$A$3:$G$54,2,0),"")</f>
        <v/>
      </c>
      <c r="Q30" s="332">
        <f>IFERROR(VLOOKUP(TEXT(O30,"0"),CONDUCTORES!$A$3:$H$54,6,0),"")</f>
        <v/>
      </c>
      <c r="R30" s="334" t="n"/>
      <c r="S30" s="334" t="n"/>
      <c r="T30" s="334" t="n"/>
      <c r="U30" s="334" t="n"/>
      <c r="V30" s="334" t="n"/>
      <c r="W30" s="334" t="n"/>
      <c r="X30" s="334" t="n"/>
      <c r="Y30" s="334" t="n"/>
      <c r="Z30" s="242">
        <f>IF(AND(G30&lt;&gt;"",R30&lt;&gt;"",V30&lt;&gt;"",W30&lt;&gt;""),"COMPLETADO","OBSERVADO")</f>
        <v/>
      </c>
      <c r="AA30" s="284" t="n"/>
    </row>
    <row r="31" ht="15.75" customHeight="1" s="195">
      <c r="A31" s="280" t="n"/>
      <c r="B31" s="280" t="n"/>
      <c r="C31" s="280" t="n"/>
      <c r="D31" s="280" t="n"/>
      <c r="E31" s="280" t="n"/>
      <c r="F31" s="280" t="n"/>
      <c r="G31" s="280" t="n"/>
      <c r="H31" s="280" t="n"/>
      <c r="I31" s="332">
        <f>IFERROR(VLOOKUP(TEXT(H31,"0"),IPRESS!$A$3:$B$212,2,0),"")</f>
        <v/>
      </c>
      <c r="J31" s="280" t="n"/>
      <c r="K31" s="332">
        <f>IFERROR(VLOOKUP(TEXT(O31,"0"),CONDUCTORES!$A$3:$G$54,7,0),"")</f>
        <v/>
      </c>
      <c r="L31" s="280" t="n"/>
      <c r="M31" s="280" t="n"/>
      <c r="N31" s="333">
        <f>IFERROR(IF(L31*M31=0,"",L31*M31),"")</f>
        <v/>
      </c>
      <c r="O31" s="280" t="n"/>
      <c r="P31" s="332">
        <f>IFERROR(VLOOKUP(TEXT(O31,"0"),CONDUCTORES!$A$3:$G$54,2,0),"")</f>
        <v/>
      </c>
      <c r="Q31" s="332">
        <f>IFERROR(VLOOKUP(TEXT(O31,"0"),CONDUCTORES!$A$3:$H$54,6,0),"")</f>
        <v/>
      </c>
      <c r="R31" s="280" t="n"/>
      <c r="S31" s="280" t="n"/>
      <c r="T31" s="280" t="n"/>
      <c r="U31" s="280" t="n"/>
      <c r="V31" s="280" t="n"/>
      <c r="W31" s="280" t="n"/>
      <c r="X31" s="280" t="n"/>
      <c r="Y31" s="280" t="n"/>
      <c r="Z31" s="236">
        <f>IF(AND(G31&lt;&gt;"",R31&lt;&gt;"",V31&lt;&gt;"",W31&lt;&gt;""),"COMPLETADO","OBSERVADO")</f>
        <v/>
      </c>
      <c r="AA31" s="284" t="n"/>
    </row>
    <row r="32" ht="15.75" customHeight="1" s="195">
      <c r="A32" s="334" t="n"/>
      <c r="B32" s="334" t="n"/>
      <c r="C32" s="334" t="n"/>
      <c r="D32" s="334" t="n"/>
      <c r="E32" s="334" t="n"/>
      <c r="F32" s="334" t="n"/>
      <c r="G32" s="334" t="n"/>
      <c r="H32" s="334" t="n"/>
      <c r="I32" s="332">
        <f>IFERROR(VLOOKUP(TEXT(H32,"0"),IPRESS!$A$3:$B$212,2,0),"")</f>
        <v/>
      </c>
      <c r="J32" s="334" t="n"/>
      <c r="K32" s="332">
        <f>IFERROR(VLOOKUP(TEXT(O32,"0"),CONDUCTORES!$A$3:$G$54,7,0),"")</f>
        <v/>
      </c>
      <c r="L32" s="334" t="n"/>
      <c r="M32" s="334" t="n"/>
      <c r="N32" s="333">
        <f>IFERROR(IF(L32*M32=0,"",L32*M32),"")</f>
        <v/>
      </c>
      <c r="O32" s="334" t="n"/>
      <c r="P32" s="332">
        <f>IFERROR(VLOOKUP(TEXT(O32,"0"),CONDUCTORES!$A$3:$G$54,2,0),"")</f>
        <v/>
      </c>
      <c r="Q32" s="332">
        <f>IFERROR(VLOOKUP(TEXT(O32,"0"),CONDUCTORES!$A$3:$H$54,6,0),"")</f>
        <v/>
      </c>
      <c r="R32" s="334" t="n"/>
      <c r="S32" s="334" t="n"/>
      <c r="T32" s="334" t="n"/>
      <c r="U32" s="334" t="n"/>
      <c r="V32" s="334" t="n"/>
      <c r="W32" s="334" t="n"/>
      <c r="X32" s="334" t="n"/>
      <c r="Y32" s="334" t="n"/>
      <c r="Z32" s="242">
        <f>IF(AND(G32&lt;&gt;"",R32&lt;&gt;"",V32&lt;&gt;"",W32&lt;&gt;""),"COMPLETADO","OBSERVADO")</f>
        <v/>
      </c>
      <c r="AA32" s="284" t="n"/>
    </row>
    <row r="33" ht="15.75" customHeight="1" s="195">
      <c r="A33" s="280" t="n"/>
      <c r="B33" s="280" t="n"/>
      <c r="C33" s="280" t="n"/>
      <c r="D33" s="280" t="n"/>
      <c r="E33" s="280" t="n"/>
      <c r="F33" s="280" t="n"/>
      <c r="G33" s="280" t="n"/>
      <c r="H33" s="280" t="n"/>
      <c r="I33" s="332">
        <f>IFERROR(VLOOKUP(TEXT(H33,"0"),IPRESS!$A$3:$B$212,2,0),"")</f>
        <v/>
      </c>
      <c r="J33" s="280" t="n"/>
      <c r="K33" s="332">
        <f>IFERROR(VLOOKUP(TEXT(O33,"0"),CONDUCTORES!$A$3:$G$54,7,0),"")</f>
        <v/>
      </c>
      <c r="L33" s="280" t="n"/>
      <c r="M33" s="280" t="n"/>
      <c r="N33" s="333">
        <f>IFERROR(IF(L33*M33=0,"",L33*M33),"")</f>
        <v/>
      </c>
      <c r="O33" s="280" t="n"/>
      <c r="P33" s="332">
        <f>IFERROR(VLOOKUP(TEXT(O33,"0"),CONDUCTORES!$A$3:$G$54,2,0),"")</f>
        <v/>
      </c>
      <c r="Q33" s="332">
        <f>IFERROR(VLOOKUP(TEXT(O33,"0"),CONDUCTORES!$A$3:$H$54,6,0),"")</f>
        <v/>
      </c>
      <c r="R33" s="280" t="n"/>
      <c r="S33" s="280" t="n"/>
      <c r="T33" s="280" t="n"/>
      <c r="U33" s="280" t="n"/>
      <c r="V33" s="280" t="n"/>
      <c r="W33" s="280" t="n"/>
      <c r="X33" s="280" t="n"/>
      <c r="Y33" s="280" t="n"/>
      <c r="Z33" s="236">
        <f>IF(AND(G33&lt;&gt;"",R33&lt;&gt;"",V33&lt;&gt;"",W33&lt;&gt;""),"COMPLETADO","OBSERVADO")</f>
        <v/>
      </c>
      <c r="AA33" s="284" t="n"/>
    </row>
    <row r="34" ht="15.75" customHeight="1" s="195">
      <c r="A34" s="334" t="n"/>
      <c r="B34" s="334" t="n"/>
      <c r="C34" s="334" t="n"/>
      <c r="D34" s="334" t="n"/>
      <c r="E34" s="334" t="n"/>
      <c r="F34" s="334" t="n"/>
      <c r="G34" s="334" t="n"/>
      <c r="H34" s="334" t="n"/>
      <c r="I34" s="332">
        <f>IFERROR(VLOOKUP(TEXT(H34,"0"),IPRESS!$A$3:$B$212,2,0),"")</f>
        <v/>
      </c>
      <c r="J34" s="334" t="n"/>
      <c r="K34" s="332">
        <f>IFERROR(VLOOKUP(TEXT(O34,"0"),CONDUCTORES!$A$3:$G$54,7,0),"")</f>
        <v/>
      </c>
      <c r="L34" s="334" t="n"/>
      <c r="M34" s="334" t="n"/>
      <c r="N34" s="333">
        <f>IFERROR(IF(L34*M34=0,"",L34*M34),"")</f>
        <v/>
      </c>
      <c r="O34" s="334" t="n"/>
      <c r="P34" s="332">
        <f>IFERROR(VLOOKUP(TEXT(O34,"0"),CONDUCTORES!$A$3:$G$54,2,0),"")</f>
        <v/>
      </c>
      <c r="Q34" s="332">
        <f>IFERROR(VLOOKUP(TEXT(O34,"0"),CONDUCTORES!$A$3:$H$54,6,0),"")</f>
        <v/>
      </c>
      <c r="R34" s="334" t="n"/>
      <c r="S34" s="334" t="n"/>
      <c r="T34" s="334" t="n"/>
      <c r="U34" s="334" t="n"/>
      <c r="V34" s="334" t="n"/>
      <c r="W34" s="334" t="n"/>
      <c r="X34" s="334" t="n"/>
      <c r="Y34" s="334" t="n"/>
      <c r="Z34" s="242">
        <f>IF(AND(G34&lt;&gt;"",R34&lt;&gt;"",V34&lt;&gt;"",W34&lt;&gt;""),"COMPLETADO","OBSERVADO")</f>
        <v/>
      </c>
      <c r="AA34" s="284" t="n"/>
    </row>
    <row r="35" ht="15.75" customHeight="1" s="195">
      <c r="A35" s="280" t="n"/>
      <c r="B35" s="280" t="n"/>
      <c r="C35" s="280" t="n"/>
      <c r="D35" s="280" t="n"/>
      <c r="E35" s="280" t="n"/>
      <c r="F35" s="280" t="n"/>
      <c r="G35" s="280" t="n"/>
      <c r="H35" s="280" t="n"/>
      <c r="I35" s="332">
        <f>IFERROR(VLOOKUP(TEXT(H35,"0"),IPRESS!$A$3:$B$212,2,0),"")</f>
        <v/>
      </c>
      <c r="J35" s="280" t="n"/>
      <c r="K35" s="332">
        <f>IFERROR(VLOOKUP(TEXT(O35,"0"),CONDUCTORES!$A$3:$G$54,7,0),"")</f>
        <v/>
      </c>
      <c r="L35" s="280" t="n"/>
      <c r="M35" s="280" t="n"/>
      <c r="N35" s="333">
        <f>IFERROR(IF(L35*M35=0,"",L35*M35),"")</f>
        <v/>
      </c>
      <c r="O35" s="280" t="n"/>
      <c r="P35" s="332">
        <f>IFERROR(VLOOKUP(TEXT(O35,"0"),CONDUCTORES!$A$3:$G$54,2,0),"")</f>
        <v/>
      </c>
      <c r="Q35" s="332">
        <f>IFERROR(VLOOKUP(TEXT(O35,"0"),CONDUCTORES!$A$3:$H$54,6,0),"")</f>
        <v/>
      </c>
      <c r="R35" s="280" t="n"/>
      <c r="S35" s="280" t="n"/>
      <c r="T35" s="280" t="n"/>
      <c r="U35" s="280" t="n"/>
      <c r="V35" s="280" t="n"/>
      <c r="W35" s="280" t="n"/>
      <c r="X35" s="280" t="n"/>
      <c r="Y35" s="280" t="n"/>
      <c r="Z35" s="236">
        <f>IF(AND(G35&lt;&gt;"",R35&lt;&gt;"",V35&lt;&gt;"",W35&lt;&gt;""),"COMPLETADO","OBSERVADO")</f>
        <v/>
      </c>
      <c r="AA35" s="284" t="n"/>
    </row>
    <row r="36" ht="15.75" customHeight="1" s="195">
      <c r="A36" s="334" t="n"/>
      <c r="B36" s="334" t="n"/>
      <c r="C36" s="334" t="n"/>
      <c r="D36" s="334" t="n"/>
      <c r="E36" s="334" t="n"/>
      <c r="F36" s="334" t="n"/>
      <c r="G36" s="334" t="n"/>
      <c r="H36" s="334" t="n"/>
      <c r="I36" s="332">
        <f>IFERROR(VLOOKUP(TEXT(H36,"0"),IPRESS!$A$3:$B$212,2,0),"")</f>
        <v/>
      </c>
      <c r="J36" s="334" t="n"/>
      <c r="K36" s="332">
        <f>IFERROR(VLOOKUP(TEXT(O36,"0"),CONDUCTORES!$A$3:$G$54,7,0),"")</f>
        <v/>
      </c>
      <c r="L36" s="334" t="n"/>
      <c r="M36" s="334" t="n"/>
      <c r="N36" s="333">
        <f>IFERROR(IF(L36*M36=0,"",L36*M36),"")</f>
        <v/>
      </c>
      <c r="O36" s="334" t="n"/>
      <c r="P36" s="332">
        <f>IFERROR(VLOOKUP(TEXT(O36,"0"),CONDUCTORES!$A$3:$G$54,2,0),"")</f>
        <v/>
      </c>
      <c r="Q36" s="332">
        <f>IFERROR(VLOOKUP(TEXT(O36,"0"),CONDUCTORES!$A$3:$H$54,6,0),"")</f>
        <v/>
      </c>
      <c r="R36" s="334" t="n"/>
      <c r="S36" s="334" t="n"/>
      <c r="T36" s="334" t="n"/>
      <c r="U36" s="334" t="n"/>
      <c r="V36" s="334" t="n"/>
      <c r="W36" s="334" t="n"/>
      <c r="X36" s="334" t="n"/>
      <c r="Y36" s="334" t="n"/>
      <c r="Z36" s="242">
        <f>IF(AND(G36&lt;&gt;"",R36&lt;&gt;"",V36&lt;&gt;"",W36&lt;&gt;""),"COMPLETADO","OBSERVADO")</f>
        <v/>
      </c>
      <c r="AA36" s="284" t="n"/>
    </row>
    <row r="37" ht="15.75" customHeight="1" s="195">
      <c r="A37" s="280" t="n"/>
      <c r="B37" s="280" t="n"/>
      <c r="C37" s="280" t="n"/>
      <c r="D37" s="280" t="n"/>
      <c r="E37" s="280" t="n"/>
      <c r="F37" s="280" t="n"/>
      <c r="G37" s="280" t="n"/>
      <c r="H37" s="280" t="n"/>
      <c r="I37" s="332">
        <f>IFERROR(VLOOKUP(TEXT(H37,"0"),IPRESS!$A$3:$B$212,2,0),"")</f>
        <v/>
      </c>
      <c r="J37" s="280" t="n"/>
      <c r="K37" s="332">
        <f>IFERROR(VLOOKUP(TEXT(O37,"0"),CONDUCTORES!$A$3:$G$54,7,0),"")</f>
        <v/>
      </c>
      <c r="L37" s="280" t="n"/>
      <c r="M37" s="280" t="n"/>
      <c r="N37" s="333">
        <f>IFERROR(IF(L37*M37=0,"",L37*M37),"")</f>
        <v/>
      </c>
      <c r="O37" s="280" t="n"/>
      <c r="P37" s="332">
        <f>IFERROR(VLOOKUP(TEXT(O37,"0"),CONDUCTORES!$A$3:$G$54,2,0),"")</f>
        <v/>
      </c>
      <c r="Q37" s="332">
        <f>IFERROR(VLOOKUP(TEXT(O37,"0"),CONDUCTORES!$A$3:$H$54,6,0),"")</f>
        <v/>
      </c>
      <c r="R37" s="280" t="n"/>
      <c r="S37" s="280" t="n"/>
      <c r="T37" s="280" t="n"/>
      <c r="U37" s="280" t="n"/>
      <c r="V37" s="280" t="n"/>
      <c r="W37" s="280" t="n"/>
      <c r="X37" s="280" t="n"/>
      <c r="Y37" s="280" t="n"/>
      <c r="Z37" s="236">
        <f>IF(AND(G37&lt;&gt;"",R37&lt;&gt;"",V37&lt;&gt;"",W37&lt;&gt;""),"COMPLETADO","OBSERVADO")</f>
        <v/>
      </c>
      <c r="AA37" s="284" t="n"/>
    </row>
    <row r="38" ht="15.75" customHeight="1" s="195">
      <c r="A38" s="334" t="n"/>
      <c r="B38" s="334" t="n"/>
      <c r="C38" s="334" t="n"/>
      <c r="D38" s="334" t="n"/>
      <c r="E38" s="334" t="n"/>
      <c r="F38" s="334" t="n"/>
      <c r="G38" s="334" t="n"/>
      <c r="H38" s="334" t="n"/>
      <c r="I38" s="332">
        <f>IFERROR(VLOOKUP(TEXT(H38,"0"),IPRESS!$A$3:$B$212,2,0),"")</f>
        <v/>
      </c>
      <c r="J38" s="334" t="n"/>
      <c r="K38" s="332">
        <f>IFERROR(VLOOKUP(TEXT(O38,"0"),CONDUCTORES!$A$3:$G$54,7,0),"")</f>
        <v/>
      </c>
      <c r="L38" s="334" t="n"/>
      <c r="M38" s="334" t="n"/>
      <c r="N38" s="333">
        <f>IFERROR(IF(L38*M38=0,"",L38*M38),"")</f>
        <v/>
      </c>
      <c r="O38" s="334" t="n"/>
      <c r="P38" s="332">
        <f>IFERROR(VLOOKUP(TEXT(O38,"0"),CONDUCTORES!$A$3:$G$54,2,0),"")</f>
        <v/>
      </c>
      <c r="Q38" s="332">
        <f>IFERROR(VLOOKUP(TEXT(O38,"0"),CONDUCTORES!$A$3:$H$54,6,0),"")</f>
        <v/>
      </c>
      <c r="R38" s="334" t="n"/>
      <c r="S38" s="334" t="n"/>
      <c r="T38" s="334" t="n"/>
      <c r="U38" s="334" t="n"/>
      <c r="V38" s="334" t="n"/>
      <c r="W38" s="334" t="n"/>
      <c r="X38" s="334" t="n"/>
      <c r="Y38" s="334" t="n"/>
      <c r="Z38" s="242">
        <f>IF(AND(G38&lt;&gt;"",R38&lt;&gt;"",V38&lt;&gt;"",W38&lt;&gt;""),"COMPLETADO","OBSERVADO")</f>
        <v/>
      </c>
      <c r="AA38" s="284" t="n"/>
    </row>
    <row r="39" ht="15.75" customHeight="1" s="195">
      <c r="A39" s="280" t="n"/>
      <c r="B39" s="280" t="n"/>
      <c r="C39" s="280" t="n"/>
      <c r="D39" s="280" t="n"/>
      <c r="E39" s="280" t="n"/>
      <c r="F39" s="280" t="n"/>
      <c r="G39" s="280" t="n"/>
      <c r="H39" s="280" t="n"/>
      <c r="I39" s="332">
        <f>IFERROR(VLOOKUP(TEXT(H39,"0"),IPRESS!$A$3:$B$212,2,0),"")</f>
        <v/>
      </c>
      <c r="J39" s="280" t="n"/>
      <c r="K39" s="332">
        <f>IFERROR(VLOOKUP(TEXT(O39,"0"),CONDUCTORES!$A$3:$G$54,7,0),"")</f>
        <v/>
      </c>
      <c r="L39" s="280" t="n"/>
      <c r="M39" s="280" t="n"/>
      <c r="N39" s="333">
        <f>IFERROR(IF(L39*M39=0,"",L39*M39),"")</f>
        <v/>
      </c>
      <c r="O39" s="280" t="n"/>
      <c r="P39" s="332">
        <f>IFERROR(VLOOKUP(TEXT(O39,"0"),CONDUCTORES!$A$3:$G$54,2,0),"")</f>
        <v/>
      </c>
      <c r="Q39" s="332">
        <f>IFERROR(VLOOKUP(TEXT(O39,"0"),CONDUCTORES!$A$3:$H$54,6,0),"")</f>
        <v/>
      </c>
      <c r="R39" s="280" t="n"/>
      <c r="S39" s="280" t="n"/>
      <c r="T39" s="280" t="n"/>
      <c r="U39" s="280" t="n"/>
      <c r="V39" s="280" t="n"/>
      <c r="W39" s="280" t="n"/>
      <c r="X39" s="280" t="n"/>
      <c r="Y39" s="280" t="n"/>
      <c r="Z39" s="236">
        <f>IF(AND(G39&lt;&gt;"",R39&lt;&gt;"",V39&lt;&gt;"",W39&lt;&gt;""),"COMPLETADO","OBSERVADO")</f>
        <v/>
      </c>
      <c r="AA39" s="284" t="n"/>
    </row>
    <row r="40" ht="15.75" customHeight="1" s="195">
      <c r="A40" s="334" t="n"/>
      <c r="B40" s="334" t="n"/>
      <c r="C40" s="334" t="n"/>
      <c r="D40" s="334" t="n"/>
      <c r="E40" s="334" t="n"/>
      <c r="F40" s="334" t="n"/>
      <c r="G40" s="334" t="n"/>
      <c r="H40" s="334" t="n"/>
      <c r="I40" s="332">
        <f>IFERROR(VLOOKUP(TEXT(H40,"0"),IPRESS!$A$3:$B$212,2,0),"")</f>
        <v/>
      </c>
      <c r="J40" s="334" t="n"/>
      <c r="K40" s="332">
        <f>IFERROR(VLOOKUP(TEXT(O40,"0"),CONDUCTORES!$A$3:$G$54,7,0),"")</f>
        <v/>
      </c>
      <c r="L40" s="334" t="n"/>
      <c r="M40" s="334" t="n"/>
      <c r="N40" s="333">
        <f>IFERROR(IF(L40*M40=0,"",L40*M40),"")</f>
        <v/>
      </c>
      <c r="O40" s="334" t="n"/>
      <c r="P40" s="332">
        <f>IFERROR(VLOOKUP(TEXT(O40,"0"),CONDUCTORES!$A$3:$G$54,2,0),"")</f>
        <v/>
      </c>
      <c r="Q40" s="332">
        <f>IFERROR(VLOOKUP(TEXT(O40,"0"),CONDUCTORES!$A$3:$H$54,6,0),"")</f>
        <v/>
      </c>
      <c r="R40" s="334" t="n"/>
      <c r="S40" s="334" t="n"/>
      <c r="T40" s="334" t="n"/>
      <c r="U40" s="334" t="n"/>
      <c r="V40" s="334" t="n"/>
      <c r="W40" s="334" t="n"/>
      <c r="X40" s="334" t="n"/>
      <c r="Y40" s="334" t="n"/>
      <c r="Z40" s="242">
        <f>IF(AND(G40&lt;&gt;"",R40&lt;&gt;"",V40&lt;&gt;"",W40&lt;&gt;""),"COMPLETADO","OBSERVADO")</f>
        <v/>
      </c>
      <c r="AA40" s="284" t="n"/>
    </row>
    <row r="41" ht="15.75" customHeight="1" s="195">
      <c r="A41" s="280" t="n"/>
      <c r="B41" s="280" t="n"/>
      <c r="C41" s="280" t="n"/>
      <c r="D41" s="280" t="n"/>
      <c r="E41" s="280" t="n"/>
      <c r="F41" s="280" t="n"/>
      <c r="G41" s="280" t="n"/>
      <c r="H41" s="280" t="n"/>
      <c r="I41" s="332">
        <f>IFERROR(VLOOKUP(TEXT(H41,"0"),IPRESS!$A$3:$B$212,2,0),"")</f>
        <v/>
      </c>
      <c r="J41" s="280" t="n"/>
      <c r="K41" s="332">
        <f>IFERROR(VLOOKUP(TEXT(O41,"0"),CONDUCTORES!$A$3:$G$54,7,0),"")</f>
        <v/>
      </c>
      <c r="L41" s="280" t="n"/>
      <c r="M41" s="280" t="n"/>
      <c r="N41" s="333">
        <f>IFERROR(IF(L41*M41=0,"",L41*M41),"")</f>
        <v/>
      </c>
      <c r="O41" s="280" t="n"/>
      <c r="P41" s="332">
        <f>IFERROR(VLOOKUP(TEXT(O41,"0"),CONDUCTORES!$A$3:$G$54,2,0),"")</f>
        <v/>
      </c>
      <c r="Q41" s="332">
        <f>IFERROR(VLOOKUP(TEXT(O41,"0"),CONDUCTORES!$A$3:$H$54,6,0),"")</f>
        <v/>
      </c>
      <c r="R41" s="280" t="n"/>
      <c r="S41" s="280" t="n"/>
      <c r="T41" s="280" t="n"/>
      <c r="U41" s="280" t="n"/>
      <c r="V41" s="280" t="n"/>
      <c r="W41" s="280" t="n"/>
      <c r="X41" s="280" t="n"/>
      <c r="Y41" s="280" t="n"/>
      <c r="Z41" s="236">
        <f>IF(AND(G41&lt;&gt;"",R41&lt;&gt;"",V41&lt;&gt;"",W41&lt;&gt;""),"COMPLETADO","OBSERVADO")</f>
        <v/>
      </c>
      <c r="AA41" s="284" t="n"/>
    </row>
    <row r="42" ht="15.75" customHeight="1" s="195">
      <c r="A42" s="334" t="n"/>
      <c r="B42" s="334" t="n"/>
      <c r="C42" s="334" t="n"/>
      <c r="D42" s="334" t="n"/>
      <c r="E42" s="334" t="n"/>
      <c r="F42" s="334" t="n"/>
      <c r="G42" s="334" t="n"/>
      <c r="H42" s="334" t="n"/>
      <c r="I42" s="332">
        <f>IFERROR(VLOOKUP(TEXT(H42,"0"),IPRESS!$A$3:$B$212,2,0),"")</f>
        <v/>
      </c>
      <c r="J42" s="334" t="n"/>
      <c r="K42" s="332">
        <f>IFERROR(VLOOKUP(TEXT(O42,"0"),CONDUCTORES!$A$3:$G$54,7,0),"")</f>
        <v/>
      </c>
      <c r="L42" s="334" t="n"/>
      <c r="M42" s="334" t="n"/>
      <c r="N42" s="333">
        <f>IFERROR(IF(L42*M42=0,"",L42*M42),"")</f>
        <v/>
      </c>
      <c r="O42" s="334" t="n"/>
      <c r="P42" s="332">
        <f>IFERROR(VLOOKUP(TEXT(O42,"0"),CONDUCTORES!$A$3:$G$54,2,0),"")</f>
        <v/>
      </c>
      <c r="Q42" s="332">
        <f>IFERROR(VLOOKUP(TEXT(O42,"0"),CONDUCTORES!$A$3:$H$54,6,0),"")</f>
        <v/>
      </c>
      <c r="R42" s="334" t="n"/>
      <c r="S42" s="334" t="n"/>
      <c r="T42" s="334" t="n"/>
      <c r="U42" s="334" t="n"/>
      <c r="V42" s="334" t="n"/>
      <c r="W42" s="334" t="n"/>
      <c r="X42" s="334" t="n"/>
      <c r="Y42" s="334" t="n"/>
      <c r="Z42" s="242">
        <f>IF(AND(G42&lt;&gt;"",R42&lt;&gt;"",V42&lt;&gt;"",W42&lt;&gt;""),"COMPLETADO","OBSERVADO")</f>
        <v/>
      </c>
      <c r="AA42" s="284" t="n"/>
    </row>
    <row r="43" ht="15.75" customHeight="1" s="195">
      <c r="A43" s="280" t="n"/>
      <c r="B43" s="280" t="n"/>
      <c r="C43" s="280" t="n"/>
      <c r="D43" s="280" t="n"/>
      <c r="E43" s="280" t="n"/>
      <c r="F43" s="280" t="n"/>
      <c r="G43" s="280" t="n"/>
      <c r="H43" s="280" t="n"/>
      <c r="I43" s="332">
        <f>IFERROR(VLOOKUP(TEXT(H43,"0"),IPRESS!$A$3:$B$212,2,0),"")</f>
        <v/>
      </c>
      <c r="J43" s="280" t="n"/>
      <c r="K43" s="332">
        <f>IFERROR(VLOOKUP(TEXT(O43,"0"),CONDUCTORES!$A$3:$G$54,7,0),"")</f>
        <v/>
      </c>
      <c r="L43" s="280" t="n"/>
      <c r="M43" s="280" t="n"/>
      <c r="N43" s="333">
        <f>IFERROR(IF(L43*M43=0,"",L43*M43),"")</f>
        <v/>
      </c>
      <c r="O43" s="280" t="n"/>
      <c r="P43" s="332">
        <f>IFERROR(VLOOKUP(TEXT(O43,"0"),CONDUCTORES!$A$3:$G$54,2,0),"")</f>
        <v/>
      </c>
      <c r="Q43" s="332">
        <f>IFERROR(VLOOKUP(TEXT(O43,"0"),CONDUCTORES!$A$3:$H$54,6,0),"")</f>
        <v/>
      </c>
      <c r="R43" s="280" t="n"/>
      <c r="S43" s="280" t="n"/>
      <c r="T43" s="280" t="n"/>
      <c r="U43" s="280" t="n"/>
      <c r="V43" s="280" t="n"/>
      <c r="W43" s="280" t="n"/>
      <c r="X43" s="280" t="n"/>
      <c r="Y43" s="280" t="n"/>
      <c r="Z43" s="236">
        <f>IF(AND(G43&lt;&gt;"",R43&lt;&gt;"",V43&lt;&gt;"",W43&lt;&gt;""),"COMPLETADO","OBSERVADO")</f>
        <v/>
      </c>
      <c r="AA43" s="284" t="n"/>
    </row>
    <row r="44" ht="15.75" customHeight="1" s="195">
      <c r="A44" s="334" t="n"/>
      <c r="B44" s="334" t="n"/>
      <c r="C44" s="334" t="n"/>
      <c r="D44" s="334" t="n"/>
      <c r="E44" s="334" t="n"/>
      <c r="F44" s="334" t="n"/>
      <c r="G44" s="334" t="n"/>
      <c r="H44" s="334" t="n"/>
      <c r="I44" s="332">
        <f>IFERROR(VLOOKUP(TEXT(H44,"0"),IPRESS!$A$3:$B$212,2,0),"")</f>
        <v/>
      </c>
      <c r="J44" s="334" t="n"/>
      <c r="K44" s="332">
        <f>IFERROR(VLOOKUP(TEXT(O44,"0"),CONDUCTORES!$A$3:$G$54,7,0),"")</f>
        <v/>
      </c>
      <c r="L44" s="334" t="n"/>
      <c r="M44" s="334" t="n"/>
      <c r="N44" s="333">
        <f>IFERROR(IF(L44*M44=0,"",L44*M44),"")</f>
        <v/>
      </c>
      <c r="O44" s="334" t="n"/>
      <c r="P44" s="332">
        <f>IFERROR(VLOOKUP(TEXT(O44,"0"),CONDUCTORES!$A$3:$G$54,2,0),"")</f>
        <v/>
      </c>
      <c r="Q44" s="332">
        <f>IFERROR(VLOOKUP(TEXT(O44,"0"),CONDUCTORES!$A$3:$H$54,6,0),"")</f>
        <v/>
      </c>
      <c r="R44" s="334" t="n"/>
      <c r="S44" s="334" t="n"/>
      <c r="T44" s="334" t="n"/>
      <c r="U44" s="334" t="n"/>
      <c r="V44" s="334" t="n"/>
      <c r="W44" s="334" t="n"/>
      <c r="X44" s="334" t="n"/>
      <c r="Y44" s="334" t="n"/>
      <c r="Z44" s="242">
        <f>IF(AND(G44&lt;&gt;"",R44&lt;&gt;"",V44&lt;&gt;"",W44&lt;&gt;""),"COMPLETADO","OBSERVADO")</f>
        <v/>
      </c>
      <c r="AA44" s="284" t="n"/>
    </row>
    <row r="45" ht="15.75" customHeight="1" s="195">
      <c r="A45" s="280" t="n"/>
      <c r="B45" s="280" t="n"/>
      <c r="C45" s="280" t="n"/>
      <c r="D45" s="280" t="n"/>
      <c r="E45" s="280" t="n"/>
      <c r="F45" s="280" t="n"/>
      <c r="G45" s="280" t="n"/>
      <c r="H45" s="280" t="n"/>
      <c r="I45" s="332">
        <f>IFERROR(VLOOKUP(TEXT(H45,"0"),IPRESS!$A$3:$B$212,2,0),"")</f>
        <v/>
      </c>
      <c r="J45" s="280" t="n"/>
      <c r="K45" s="332">
        <f>IFERROR(VLOOKUP(TEXT(O45,"0"),CONDUCTORES!$A$3:$G$54,7,0),"")</f>
        <v/>
      </c>
      <c r="L45" s="280" t="n"/>
      <c r="M45" s="280" t="n"/>
      <c r="N45" s="333">
        <f>IFERROR(IF(L45*M45=0,"",L45*M45),"")</f>
        <v/>
      </c>
      <c r="O45" s="280" t="n"/>
      <c r="P45" s="332">
        <f>IFERROR(VLOOKUP(TEXT(O45,"0"),CONDUCTORES!$A$3:$G$54,2,0),"")</f>
        <v/>
      </c>
      <c r="Q45" s="332">
        <f>IFERROR(VLOOKUP(TEXT(O45,"0"),CONDUCTORES!$A$3:$H$54,6,0),"")</f>
        <v/>
      </c>
      <c r="R45" s="280" t="n"/>
      <c r="S45" s="280" t="n"/>
      <c r="T45" s="280" t="n"/>
      <c r="U45" s="280" t="n"/>
      <c r="V45" s="280" t="n"/>
      <c r="W45" s="280" t="n"/>
      <c r="X45" s="280" t="n"/>
      <c r="Y45" s="280" t="n"/>
      <c r="Z45" s="236">
        <f>IF(AND(G45&lt;&gt;"",R45&lt;&gt;"",V45&lt;&gt;"",W45&lt;&gt;""),"COMPLETADO","OBSERVADO")</f>
        <v/>
      </c>
      <c r="AA45" s="284" t="n"/>
    </row>
    <row r="46" ht="15.75" customHeight="1" s="195">
      <c r="A46" s="334" t="n"/>
      <c r="B46" s="334" t="n"/>
      <c r="C46" s="334" t="n"/>
      <c r="D46" s="334" t="n"/>
      <c r="E46" s="334" t="n"/>
      <c r="F46" s="334" t="n"/>
      <c r="G46" s="334" t="n"/>
      <c r="H46" s="334" t="n"/>
      <c r="I46" s="332">
        <f>IFERROR(VLOOKUP(TEXT(H46,"0"),IPRESS!$A$3:$B$212,2,0),"")</f>
        <v/>
      </c>
      <c r="J46" s="334" t="n"/>
      <c r="K46" s="332">
        <f>IFERROR(VLOOKUP(TEXT(O46,"0"),CONDUCTORES!$A$3:$G$54,7,0),"")</f>
        <v/>
      </c>
      <c r="L46" s="334" t="n"/>
      <c r="M46" s="334" t="n"/>
      <c r="N46" s="333">
        <f>IFERROR(IF(L46*M46=0,"",L46*M46),"")</f>
        <v/>
      </c>
      <c r="O46" s="334" t="n"/>
      <c r="P46" s="332">
        <f>IFERROR(VLOOKUP(TEXT(O46,"0"),CONDUCTORES!$A$3:$G$54,2,0),"")</f>
        <v/>
      </c>
      <c r="Q46" s="332">
        <f>IFERROR(VLOOKUP(TEXT(O46,"0"),CONDUCTORES!$A$3:$H$54,6,0),"")</f>
        <v/>
      </c>
      <c r="R46" s="334" t="n"/>
      <c r="S46" s="334" t="n"/>
      <c r="T46" s="334" t="n"/>
      <c r="U46" s="334" t="n"/>
      <c r="V46" s="334" t="n"/>
      <c r="W46" s="334" t="n"/>
      <c r="X46" s="334" t="n"/>
      <c r="Y46" s="334" t="n"/>
      <c r="Z46" s="242">
        <f>IF(AND(G46&lt;&gt;"",R46&lt;&gt;"",V46&lt;&gt;"",W46&lt;&gt;""),"COMPLETADO","OBSERVADO")</f>
        <v/>
      </c>
      <c r="AA46" s="284" t="n"/>
    </row>
    <row r="47" ht="15.75" customHeight="1" s="195">
      <c r="A47" s="280" t="n"/>
      <c r="B47" s="280" t="n"/>
      <c r="C47" s="280" t="n"/>
      <c r="D47" s="280" t="n"/>
      <c r="E47" s="280" t="n"/>
      <c r="F47" s="280" t="n"/>
      <c r="G47" s="280" t="n"/>
      <c r="H47" s="280" t="n"/>
      <c r="I47" s="332">
        <f>IFERROR(VLOOKUP(TEXT(H47,"0"),IPRESS!$A$3:$B$212,2,0),"")</f>
        <v/>
      </c>
      <c r="J47" s="280" t="n"/>
      <c r="K47" s="332">
        <f>IFERROR(VLOOKUP(TEXT(O47,"0"),CONDUCTORES!$A$3:$G$54,7,0),"")</f>
        <v/>
      </c>
      <c r="L47" s="280" t="n"/>
      <c r="M47" s="280" t="n"/>
      <c r="N47" s="333">
        <f>IFERROR(IF(L47*M47=0,"",L47*M47),"")</f>
        <v/>
      </c>
      <c r="O47" s="280" t="n"/>
      <c r="P47" s="332">
        <f>IFERROR(VLOOKUP(TEXT(O47,"0"),CONDUCTORES!$A$3:$G$54,2,0),"")</f>
        <v/>
      </c>
      <c r="Q47" s="332">
        <f>IFERROR(VLOOKUP(TEXT(O47,"0"),CONDUCTORES!$A$3:$H$54,6,0),"")</f>
        <v/>
      </c>
      <c r="R47" s="280" t="n"/>
      <c r="S47" s="280" t="n"/>
      <c r="T47" s="280" t="n"/>
      <c r="U47" s="280" t="n"/>
      <c r="V47" s="280" t="n"/>
      <c r="W47" s="280" t="n"/>
      <c r="X47" s="280" t="n"/>
      <c r="Y47" s="280" t="n"/>
      <c r="Z47" s="236">
        <f>IF(AND(G47&lt;&gt;"",R47&lt;&gt;"",V47&lt;&gt;"",W47&lt;&gt;""),"COMPLETADO","OBSERVADO")</f>
        <v/>
      </c>
      <c r="AA47" s="284" t="n"/>
    </row>
    <row r="48" ht="15.75" customHeight="1" s="195">
      <c r="A48" s="334" t="n"/>
      <c r="B48" s="334" t="n"/>
      <c r="C48" s="334" t="n"/>
      <c r="D48" s="334" t="n"/>
      <c r="E48" s="334" t="n"/>
      <c r="F48" s="334" t="n"/>
      <c r="G48" s="334" t="n"/>
      <c r="H48" s="334" t="n"/>
      <c r="I48" s="332">
        <f>IFERROR(VLOOKUP(TEXT(H48,"0"),IPRESS!$A$3:$B$212,2,0),"")</f>
        <v/>
      </c>
      <c r="J48" s="334" t="n"/>
      <c r="K48" s="332">
        <f>IFERROR(VLOOKUP(TEXT(O48,"0"),CONDUCTORES!$A$3:$G$54,7,0),"")</f>
        <v/>
      </c>
      <c r="L48" s="334" t="n"/>
      <c r="M48" s="334" t="n"/>
      <c r="N48" s="333">
        <f>IFERROR(IF(L48*M48=0,"",L48*M48),"")</f>
        <v/>
      </c>
      <c r="O48" s="334" t="n"/>
      <c r="P48" s="332">
        <f>IFERROR(VLOOKUP(TEXT(O48,"0"),CONDUCTORES!$A$3:$G$54,2,0),"")</f>
        <v/>
      </c>
      <c r="Q48" s="332">
        <f>IFERROR(VLOOKUP(TEXT(O48,"0"),CONDUCTORES!$A$3:$H$54,6,0),"")</f>
        <v/>
      </c>
      <c r="R48" s="334" t="n"/>
      <c r="S48" s="334" t="n"/>
      <c r="T48" s="334" t="n"/>
      <c r="U48" s="334" t="n"/>
      <c r="V48" s="334" t="n"/>
      <c r="W48" s="334" t="n"/>
      <c r="X48" s="334" t="n"/>
      <c r="Y48" s="334" t="n"/>
      <c r="Z48" s="242">
        <f>IF(AND(G48&lt;&gt;"",R48&lt;&gt;"",V48&lt;&gt;"",W48&lt;&gt;""),"COMPLETADO","OBSERVADO")</f>
        <v/>
      </c>
      <c r="AA48" s="284" t="n"/>
    </row>
    <row r="49" ht="15.75" customHeight="1" s="195">
      <c r="A49" s="280" t="n"/>
      <c r="B49" s="280" t="n"/>
      <c r="C49" s="280" t="n"/>
      <c r="D49" s="280" t="n"/>
      <c r="E49" s="280" t="n"/>
      <c r="F49" s="280" t="n"/>
      <c r="G49" s="280" t="n"/>
      <c r="H49" s="280" t="n"/>
      <c r="I49" s="332">
        <f>IFERROR(VLOOKUP(TEXT(H49,"0"),IPRESS!$A$3:$B$212,2,0),"")</f>
        <v/>
      </c>
      <c r="J49" s="280" t="n"/>
      <c r="K49" s="332">
        <f>IFERROR(VLOOKUP(TEXT(O49,"0"),CONDUCTORES!$A$3:$G$54,7,0),"")</f>
        <v/>
      </c>
      <c r="L49" s="280" t="n"/>
      <c r="M49" s="280" t="n"/>
      <c r="N49" s="333">
        <f>IFERROR(IF(L49*M49=0,"",L49*M49),"")</f>
        <v/>
      </c>
      <c r="O49" s="280" t="n"/>
      <c r="P49" s="332">
        <f>IFERROR(VLOOKUP(TEXT(O49,"0"),CONDUCTORES!$A$3:$G$54,2,0),"")</f>
        <v/>
      </c>
      <c r="Q49" s="332">
        <f>IFERROR(VLOOKUP(TEXT(O49,"0"),CONDUCTORES!$A$3:$H$54,6,0),"")</f>
        <v/>
      </c>
      <c r="R49" s="280" t="n"/>
      <c r="S49" s="280" t="n"/>
      <c r="T49" s="280" t="n"/>
      <c r="U49" s="280" t="n"/>
      <c r="V49" s="280" t="n"/>
      <c r="W49" s="280" t="n"/>
      <c r="X49" s="280" t="n"/>
      <c r="Y49" s="280" t="n"/>
      <c r="Z49" s="236">
        <f>IF(AND(G49&lt;&gt;"",R49&lt;&gt;"",V49&lt;&gt;"",W49&lt;&gt;""),"COMPLETADO","OBSERVADO")</f>
        <v/>
      </c>
      <c r="AA49" s="284" t="n"/>
    </row>
    <row r="50" ht="15.75" customHeight="1" s="195">
      <c r="A50" s="334" t="n"/>
      <c r="B50" s="334" t="n"/>
      <c r="C50" s="334" t="n"/>
      <c r="D50" s="334" t="n"/>
      <c r="E50" s="334" t="n"/>
      <c r="F50" s="334" t="n"/>
      <c r="G50" s="334" t="n"/>
      <c r="H50" s="334" t="n"/>
      <c r="I50" s="332">
        <f>IFERROR(VLOOKUP(TEXT(H50,"0"),IPRESS!$A$3:$B$212,2,0),"")</f>
        <v/>
      </c>
      <c r="J50" s="334" t="n"/>
      <c r="K50" s="332">
        <f>IFERROR(VLOOKUP(TEXT(O50,"0"),CONDUCTORES!$A$3:$G$54,7,0),"")</f>
        <v/>
      </c>
      <c r="L50" s="334" t="n"/>
      <c r="M50" s="334" t="n"/>
      <c r="N50" s="333">
        <f>IFERROR(IF(L50*M50=0,"",L50*M50),"")</f>
        <v/>
      </c>
      <c r="O50" s="334" t="n"/>
      <c r="P50" s="332">
        <f>IFERROR(VLOOKUP(TEXT(O50,"0"),CONDUCTORES!$A$3:$G$54,2,0),"")</f>
        <v/>
      </c>
      <c r="Q50" s="332">
        <f>IFERROR(VLOOKUP(TEXT(O50,"0"),CONDUCTORES!$A$3:$H$54,6,0),"")</f>
        <v/>
      </c>
      <c r="R50" s="334" t="n"/>
      <c r="S50" s="334" t="n"/>
      <c r="T50" s="334" t="n"/>
      <c r="U50" s="334" t="n"/>
      <c r="V50" s="334" t="n"/>
      <c r="W50" s="334" t="n"/>
      <c r="X50" s="334" t="n"/>
      <c r="Y50" s="334" t="n"/>
      <c r="Z50" s="242">
        <f>IF(AND(G50&lt;&gt;"",R50&lt;&gt;"",V50&lt;&gt;"",W50&lt;&gt;""),"COMPLETADO","OBSERVADO")</f>
        <v/>
      </c>
      <c r="AA50" s="284" t="n"/>
    </row>
    <row r="51" ht="15.75" customHeight="1" s="195">
      <c r="A51" s="280" t="n"/>
      <c r="B51" s="280" t="n"/>
      <c r="C51" s="280" t="n"/>
      <c r="D51" s="280" t="n"/>
      <c r="E51" s="280" t="n"/>
      <c r="F51" s="280" t="n"/>
      <c r="G51" s="280" t="n"/>
      <c r="H51" s="280" t="n"/>
      <c r="I51" s="332">
        <f>IFERROR(VLOOKUP(TEXT(H51,"0"),IPRESS!$A$3:$B$212,2,0),"")</f>
        <v/>
      </c>
      <c r="J51" s="280" t="n"/>
      <c r="K51" s="332">
        <f>IFERROR(VLOOKUP(TEXT(O51,"0"),CONDUCTORES!$A$3:$G$54,7,0),"")</f>
        <v/>
      </c>
      <c r="L51" s="280" t="n"/>
      <c r="M51" s="280" t="n"/>
      <c r="N51" s="333">
        <f>IFERROR(IF(L51*M51=0,"",L51*M51),"")</f>
        <v/>
      </c>
      <c r="O51" s="280" t="n"/>
      <c r="P51" s="332">
        <f>IFERROR(VLOOKUP(TEXT(O51,"0"),CONDUCTORES!$A$3:$G$54,2,0),"")</f>
        <v/>
      </c>
      <c r="Q51" s="332">
        <f>IFERROR(VLOOKUP(TEXT(O51,"0"),CONDUCTORES!$A$3:$H$54,6,0),"")</f>
        <v/>
      </c>
      <c r="R51" s="280" t="n"/>
      <c r="S51" s="280" t="n"/>
      <c r="T51" s="280" t="n"/>
      <c r="U51" s="280" t="n"/>
      <c r="V51" s="280" t="n"/>
      <c r="W51" s="280" t="n"/>
      <c r="X51" s="280" t="n"/>
      <c r="Y51" s="280" t="n"/>
      <c r="Z51" s="236">
        <f>IF(AND(G51&lt;&gt;"",R51&lt;&gt;"",V51&lt;&gt;"",W51&lt;&gt;""),"COMPLETADO","OBSERVADO")</f>
        <v/>
      </c>
      <c r="AA51" s="284" t="n"/>
    </row>
    <row r="52" ht="15.75" customHeight="1" s="195">
      <c r="A52" s="334" t="n"/>
      <c r="B52" s="334" t="n"/>
      <c r="C52" s="334" t="n"/>
      <c r="D52" s="334" t="n"/>
      <c r="E52" s="334" t="n"/>
      <c r="F52" s="334" t="n"/>
      <c r="G52" s="334" t="n"/>
      <c r="H52" s="334" t="n"/>
      <c r="I52" s="332">
        <f>IFERROR(VLOOKUP(TEXT(H52,"0"),IPRESS!$A$3:$B$212,2,0),"")</f>
        <v/>
      </c>
      <c r="J52" s="334" t="n"/>
      <c r="K52" s="332">
        <f>IFERROR(VLOOKUP(TEXT(O52,"0"),CONDUCTORES!$A$3:$G$54,7,0),"")</f>
        <v/>
      </c>
      <c r="L52" s="334" t="n"/>
      <c r="M52" s="334" t="n"/>
      <c r="N52" s="333">
        <f>IFERROR(IF(L52*M52=0,"",L52*M52),"")</f>
        <v/>
      </c>
      <c r="O52" s="334" t="n"/>
      <c r="P52" s="332">
        <f>IFERROR(VLOOKUP(TEXT(O52,"0"),CONDUCTORES!$A$3:$G$54,2,0),"")</f>
        <v/>
      </c>
      <c r="Q52" s="332">
        <f>IFERROR(VLOOKUP(TEXT(O52,"0"),CONDUCTORES!$A$3:$H$54,6,0),"")</f>
        <v/>
      </c>
      <c r="R52" s="334" t="n"/>
      <c r="S52" s="334" t="n"/>
      <c r="T52" s="334" t="n"/>
      <c r="U52" s="334" t="n"/>
      <c r="V52" s="334" t="n"/>
      <c r="W52" s="334" t="n"/>
      <c r="X52" s="334" t="n"/>
      <c r="Y52" s="334" t="n"/>
      <c r="Z52" s="242">
        <f>IF(AND(G52&lt;&gt;"",R52&lt;&gt;"",V52&lt;&gt;"",W52&lt;&gt;""),"COMPLETADO","OBSERVADO")</f>
        <v/>
      </c>
      <c r="AA52" s="284" t="n"/>
    </row>
    <row r="53" ht="15.75" customHeight="1" s="195">
      <c r="A53" s="280" t="n"/>
      <c r="B53" s="280" t="n"/>
      <c r="C53" s="280" t="n"/>
      <c r="D53" s="280" t="n"/>
      <c r="E53" s="280" t="n"/>
      <c r="F53" s="280" t="n"/>
      <c r="G53" s="280" t="n"/>
      <c r="H53" s="280" t="n"/>
      <c r="I53" s="332">
        <f>IFERROR(VLOOKUP(TEXT(H53,"0"),IPRESS!$A$3:$B$212,2,0),"")</f>
        <v/>
      </c>
      <c r="J53" s="280" t="n"/>
      <c r="K53" s="332">
        <f>IFERROR(VLOOKUP(TEXT(O53,"0"),CONDUCTORES!$A$3:$G$54,7,0),"")</f>
        <v/>
      </c>
      <c r="L53" s="280" t="n"/>
      <c r="M53" s="280" t="n"/>
      <c r="N53" s="333">
        <f>IFERROR(IF(L53*M53=0,"",L53*M53),"")</f>
        <v/>
      </c>
      <c r="O53" s="280" t="n"/>
      <c r="P53" s="332">
        <f>IFERROR(VLOOKUP(TEXT(O53,"0"),CONDUCTORES!$A$3:$G$54,2,0),"")</f>
        <v/>
      </c>
      <c r="Q53" s="332">
        <f>IFERROR(VLOOKUP(TEXT(O53,"0"),CONDUCTORES!$A$3:$H$54,6,0),"")</f>
        <v/>
      </c>
      <c r="R53" s="280" t="n"/>
      <c r="S53" s="280" t="n"/>
      <c r="T53" s="280" t="n"/>
      <c r="U53" s="280" t="n"/>
      <c r="V53" s="280" t="n"/>
      <c r="W53" s="280" t="n"/>
      <c r="X53" s="280" t="n"/>
      <c r="Y53" s="280" t="n"/>
      <c r="Z53" s="236">
        <f>IF(AND(G53&lt;&gt;"",R53&lt;&gt;"",V53&lt;&gt;"",W53&lt;&gt;""),"COMPLETADO","OBSERVADO")</f>
        <v/>
      </c>
      <c r="AA53" s="284" t="n"/>
    </row>
    <row r="54" ht="15.75" customHeight="1" s="195">
      <c r="A54" s="334" t="n"/>
      <c r="B54" s="334" t="n"/>
      <c r="C54" s="334" t="n"/>
      <c r="D54" s="334" t="n"/>
      <c r="E54" s="334" t="n"/>
      <c r="F54" s="334" t="n"/>
      <c r="G54" s="334" t="n"/>
      <c r="H54" s="334" t="n"/>
      <c r="I54" s="332">
        <f>IFERROR(VLOOKUP(TEXT(H54,"0"),IPRESS!$A$3:$B$212,2,0),"")</f>
        <v/>
      </c>
      <c r="J54" s="334" t="n"/>
      <c r="K54" s="332">
        <f>IFERROR(VLOOKUP(TEXT(O54,"0"),CONDUCTORES!$A$3:$G$54,7,0),"")</f>
        <v/>
      </c>
      <c r="L54" s="334" t="n"/>
      <c r="M54" s="334" t="n"/>
      <c r="N54" s="333">
        <f>IFERROR(IF(L54*M54=0,"",L54*M54),"")</f>
        <v/>
      </c>
      <c r="O54" s="334" t="n"/>
      <c r="P54" s="332">
        <f>IFERROR(VLOOKUP(TEXT(O54,"0"),CONDUCTORES!$A$3:$G$54,2,0),"")</f>
        <v/>
      </c>
      <c r="Q54" s="332">
        <f>IFERROR(VLOOKUP(TEXT(O54,"0"),CONDUCTORES!$A$3:$H$54,6,0),"")</f>
        <v/>
      </c>
      <c r="R54" s="334" t="n"/>
      <c r="S54" s="334" t="n"/>
      <c r="T54" s="334" t="n"/>
      <c r="U54" s="334" t="n"/>
      <c r="V54" s="334" t="n"/>
      <c r="W54" s="334" t="n"/>
      <c r="X54" s="334" t="n"/>
      <c r="Y54" s="334" t="n"/>
      <c r="Z54" s="242">
        <f>IF(AND(G54&lt;&gt;"",R54&lt;&gt;"",V54&lt;&gt;"",W54&lt;&gt;""),"COMPLETADO","OBSERVADO")</f>
        <v/>
      </c>
      <c r="AA54" s="284" t="n"/>
    </row>
    <row r="55" ht="15.75" customHeight="1" s="195">
      <c r="A55" s="280" t="n"/>
      <c r="B55" s="280" t="n"/>
      <c r="C55" s="280" t="n"/>
      <c r="D55" s="280" t="n"/>
      <c r="E55" s="280" t="n"/>
      <c r="F55" s="280" t="n"/>
      <c r="G55" s="280" t="n"/>
      <c r="H55" s="280" t="n"/>
      <c r="I55" s="332">
        <f>IFERROR(VLOOKUP(TEXT(H55,"0"),IPRESS!$A$3:$B$212,2,0),"")</f>
        <v/>
      </c>
      <c r="J55" s="280" t="n"/>
      <c r="K55" s="332">
        <f>IFERROR(VLOOKUP(TEXT(O55,"0"),CONDUCTORES!$A$3:$G$54,7,0),"")</f>
        <v/>
      </c>
      <c r="L55" s="280" t="n"/>
      <c r="M55" s="280" t="n"/>
      <c r="N55" s="333">
        <f>IFERROR(IF(L55*M55=0,"",L55*M55),"")</f>
        <v/>
      </c>
      <c r="O55" s="280" t="n"/>
      <c r="P55" s="332">
        <f>IFERROR(VLOOKUP(TEXT(O55,"0"),CONDUCTORES!$A$3:$G$54,2,0),"")</f>
        <v/>
      </c>
      <c r="Q55" s="332">
        <f>IFERROR(VLOOKUP(TEXT(O55,"0"),CONDUCTORES!$A$3:$H$54,6,0),"")</f>
        <v/>
      </c>
      <c r="R55" s="280" t="n"/>
      <c r="S55" s="280" t="n"/>
      <c r="T55" s="280" t="n"/>
      <c r="U55" s="280" t="n"/>
      <c r="V55" s="280" t="n"/>
      <c r="W55" s="280" t="n"/>
      <c r="X55" s="280" t="n"/>
      <c r="Y55" s="280" t="n"/>
      <c r="Z55" s="236">
        <f>IF(AND(G55&lt;&gt;"",R55&lt;&gt;"",V55&lt;&gt;"",W55&lt;&gt;""),"COMPLETADO","OBSERVADO")</f>
        <v/>
      </c>
      <c r="AA55" s="284" t="n"/>
    </row>
    <row r="56" ht="15.75" customHeight="1" s="195">
      <c r="A56" s="334" t="n"/>
      <c r="B56" s="334" t="n"/>
      <c r="C56" s="334" t="n"/>
      <c r="D56" s="334" t="n"/>
      <c r="E56" s="334" t="n"/>
      <c r="F56" s="334" t="n"/>
      <c r="G56" s="334" t="n"/>
      <c r="H56" s="334" t="n"/>
      <c r="I56" s="332">
        <f>IFERROR(VLOOKUP(TEXT(H56,"0"),IPRESS!$A$3:$B$212,2,0),"")</f>
        <v/>
      </c>
      <c r="J56" s="334" t="n"/>
      <c r="K56" s="332">
        <f>IFERROR(VLOOKUP(TEXT(O56,"0"),CONDUCTORES!$A$3:$G$54,7,0),"")</f>
        <v/>
      </c>
      <c r="L56" s="334" t="n"/>
      <c r="M56" s="334" t="n"/>
      <c r="N56" s="333">
        <f>IFERROR(IF(L56*M56=0,"",L56*M56),"")</f>
        <v/>
      </c>
      <c r="O56" s="334" t="n"/>
      <c r="P56" s="332">
        <f>IFERROR(VLOOKUP(TEXT(O56,"0"),CONDUCTORES!$A$3:$G$54,2,0),"")</f>
        <v/>
      </c>
      <c r="Q56" s="332">
        <f>IFERROR(VLOOKUP(TEXT(O56,"0"),CONDUCTORES!$A$3:$H$54,6,0),"")</f>
        <v/>
      </c>
      <c r="R56" s="334" t="n"/>
      <c r="S56" s="334" t="n"/>
      <c r="T56" s="334" t="n"/>
      <c r="U56" s="334" t="n"/>
      <c r="V56" s="334" t="n"/>
      <c r="W56" s="334" t="n"/>
      <c r="X56" s="334" t="n"/>
      <c r="Y56" s="334" t="n"/>
      <c r="Z56" s="242">
        <f>IF(AND(G56&lt;&gt;"",R56&lt;&gt;"",V56&lt;&gt;"",W56&lt;&gt;""),"COMPLETADO","OBSERVADO")</f>
        <v/>
      </c>
      <c r="AA56" s="284" t="n"/>
    </row>
    <row r="57" ht="15.75" customHeight="1" s="195">
      <c r="A57" s="280" t="n"/>
      <c r="B57" s="280" t="n"/>
      <c r="C57" s="280" t="n"/>
      <c r="D57" s="280" t="n"/>
      <c r="E57" s="280" t="n"/>
      <c r="F57" s="280" t="n"/>
      <c r="G57" s="280" t="n"/>
      <c r="H57" s="280" t="n"/>
      <c r="I57" s="332">
        <f>IFERROR(VLOOKUP(TEXT(H57,"0"),IPRESS!$A$3:$B$212,2,0),"")</f>
        <v/>
      </c>
      <c r="J57" s="280" t="n"/>
      <c r="K57" s="332">
        <f>IFERROR(VLOOKUP(TEXT(O57,"0"),CONDUCTORES!$A$3:$G$54,7,0),"")</f>
        <v/>
      </c>
      <c r="L57" s="280" t="n"/>
      <c r="M57" s="280" t="n"/>
      <c r="N57" s="333">
        <f>IFERROR(IF(L57*M57=0,"",L57*M57),"")</f>
        <v/>
      </c>
      <c r="O57" s="280" t="n"/>
      <c r="P57" s="332">
        <f>IFERROR(VLOOKUP(TEXT(O57,"0"),CONDUCTORES!$A$3:$G$54,2,0),"")</f>
        <v/>
      </c>
      <c r="Q57" s="332">
        <f>IFERROR(VLOOKUP(TEXT(O57,"0"),CONDUCTORES!$A$3:$H$54,6,0),"")</f>
        <v/>
      </c>
      <c r="R57" s="280" t="n"/>
      <c r="S57" s="280" t="n"/>
      <c r="T57" s="280" t="n"/>
      <c r="U57" s="280" t="n"/>
      <c r="V57" s="280" t="n"/>
      <c r="W57" s="280" t="n"/>
      <c r="X57" s="280" t="n"/>
      <c r="Y57" s="280" t="n"/>
      <c r="Z57" s="236">
        <f>IF(AND(G57&lt;&gt;"",R57&lt;&gt;"",V57&lt;&gt;"",W57&lt;&gt;""),"COMPLETADO","OBSERVADO")</f>
        <v/>
      </c>
      <c r="AA57" s="284" t="n"/>
    </row>
    <row r="58" ht="15.75" customHeight="1" s="195">
      <c r="A58" s="334" t="n"/>
      <c r="B58" s="334" t="n"/>
      <c r="C58" s="334" t="n"/>
      <c r="D58" s="334" t="n"/>
      <c r="E58" s="334" t="n"/>
      <c r="F58" s="334" t="n"/>
      <c r="G58" s="334" t="n"/>
      <c r="H58" s="334" t="n"/>
      <c r="I58" s="332">
        <f>IFERROR(VLOOKUP(TEXT(H58,"0"),IPRESS!$A$3:$B$212,2,0),"")</f>
        <v/>
      </c>
      <c r="J58" s="334" t="n"/>
      <c r="K58" s="332">
        <f>IFERROR(VLOOKUP(TEXT(O58,"0"),CONDUCTORES!$A$3:$G$54,7,0),"")</f>
        <v/>
      </c>
      <c r="L58" s="334" t="n"/>
      <c r="M58" s="334" t="n"/>
      <c r="N58" s="333">
        <f>IFERROR(IF(L58*M58=0,"",L58*M58),"")</f>
        <v/>
      </c>
      <c r="O58" s="334" t="n"/>
      <c r="P58" s="332">
        <f>IFERROR(VLOOKUP(TEXT(O58,"0"),CONDUCTORES!$A$3:$G$54,2,0),"")</f>
        <v/>
      </c>
      <c r="Q58" s="332">
        <f>IFERROR(VLOOKUP(TEXT(O58,"0"),CONDUCTORES!$A$3:$H$54,6,0),"")</f>
        <v/>
      </c>
      <c r="R58" s="334" t="n"/>
      <c r="S58" s="334" t="n"/>
      <c r="T58" s="334" t="n"/>
      <c r="U58" s="334" t="n"/>
      <c r="V58" s="334" t="n"/>
      <c r="W58" s="334" t="n"/>
      <c r="X58" s="334" t="n"/>
      <c r="Y58" s="334" t="n"/>
      <c r="Z58" s="242">
        <f>IF(AND(G58&lt;&gt;"",R58&lt;&gt;"",V58&lt;&gt;"",W58&lt;&gt;""),"COMPLETADO","OBSERVADO")</f>
        <v/>
      </c>
      <c r="AA58" s="284" t="n"/>
    </row>
    <row r="59" ht="15.75" customHeight="1" s="195">
      <c r="A59" s="280" t="n"/>
      <c r="B59" s="280" t="n"/>
      <c r="C59" s="280" t="n"/>
      <c r="D59" s="280" t="n"/>
      <c r="E59" s="280" t="n"/>
      <c r="F59" s="280" t="n"/>
      <c r="G59" s="280" t="n"/>
      <c r="H59" s="280" t="n"/>
      <c r="I59" s="332">
        <f>IFERROR(VLOOKUP(TEXT(H59,"0"),IPRESS!$A$3:$B$212,2,0),"")</f>
        <v/>
      </c>
      <c r="J59" s="280" t="n"/>
      <c r="K59" s="332">
        <f>IFERROR(VLOOKUP(TEXT(O59,"0"),CONDUCTORES!$A$3:$G$54,7,0),"")</f>
        <v/>
      </c>
      <c r="L59" s="280" t="n"/>
      <c r="M59" s="280" t="n"/>
      <c r="N59" s="333">
        <f>IFERROR(IF(L59*M59=0,"",L59*M59),"")</f>
        <v/>
      </c>
      <c r="O59" s="280" t="n"/>
      <c r="P59" s="332">
        <f>IFERROR(VLOOKUP(TEXT(O59,"0"),CONDUCTORES!$A$3:$G$54,2,0),"")</f>
        <v/>
      </c>
      <c r="Q59" s="332">
        <f>IFERROR(VLOOKUP(TEXT(O59,"0"),CONDUCTORES!$A$3:$H$54,6,0),"")</f>
        <v/>
      </c>
      <c r="R59" s="280" t="n"/>
      <c r="S59" s="280" t="n"/>
      <c r="T59" s="280" t="n"/>
      <c r="U59" s="280" t="n"/>
      <c r="V59" s="280" t="n"/>
      <c r="W59" s="280" t="n"/>
      <c r="X59" s="280" t="n"/>
      <c r="Y59" s="280" t="n"/>
      <c r="Z59" s="236">
        <f>IF(AND(G59&lt;&gt;"",R59&lt;&gt;"",V59&lt;&gt;"",W59&lt;&gt;""),"COMPLETADO","OBSERVADO")</f>
        <v/>
      </c>
      <c r="AA59" s="284" t="n"/>
    </row>
    <row r="60" ht="15.75" customHeight="1" s="195">
      <c r="A60" s="334" t="n"/>
      <c r="B60" s="334" t="n"/>
      <c r="C60" s="334" t="n"/>
      <c r="D60" s="334" t="n"/>
      <c r="E60" s="334" t="n"/>
      <c r="F60" s="334" t="n"/>
      <c r="G60" s="334" t="n"/>
      <c r="H60" s="334" t="n"/>
      <c r="I60" s="332">
        <f>IFERROR(VLOOKUP(TEXT(H60,"0"),IPRESS!$A$3:$B$212,2,0),"")</f>
        <v/>
      </c>
      <c r="J60" s="334" t="n"/>
      <c r="K60" s="332">
        <f>IFERROR(VLOOKUP(TEXT(O60,"0"),CONDUCTORES!$A$3:$G$54,7,0),"")</f>
        <v/>
      </c>
      <c r="L60" s="334" t="n"/>
      <c r="M60" s="334" t="n"/>
      <c r="N60" s="333">
        <f>IFERROR(IF(L60*M60=0,"",L60*M60),"")</f>
        <v/>
      </c>
      <c r="O60" s="334" t="n"/>
      <c r="P60" s="332">
        <f>IFERROR(VLOOKUP(TEXT(O60,"0"),CONDUCTORES!$A$3:$G$54,2,0),"")</f>
        <v/>
      </c>
      <c r="Q60" s="332">
        <f>IFERROR(VLOOKUP(TEXT(O60,"0"),CONDUCTORES!$A$3:$H$54,6,0),"")</f>
        <v/>
      </c>
      <c r="R60" s="334" t="n"/>
      <c r="S60" s="334" t="n"/>
      <c r="T60" s="334" t="n"/>
      <c r="U60" s="334" t="n"/>
      <c r="V60" s="334" t="n"/>
      <c r="W60" s="334" t="n"/>
      <c r="X60" s="334" t="n"/>
      <c r="Y60" s="334" t="n"/>
      <c r="Z60" s="242">
        <f>IF(AND(G60&lt;&gt;"",R60&lt;&gt;"",V60&lt;&gt;"",W60&lt;&gt;""),"COMPLETADO","OBSERVADO")</f>
        <v/>
      </c>
      <c r="AA60" s="284" t="n"/>
    </row>
    <row r="61" ht="15.75" customHeight="1" s="195">
      <c r="A61" s="280" t="n"/>
      <c r="B61" s="280" t="n"/>
      <c r="C61" s="280" t="n"/>
      <c r="D61" s="280" t="n"/>
      <c r="E61" s="280" t="n"/>
      <c r="F61" s="280" t="n"/>
      <c r="G61" s="280" t="n"/>
      <c r="H61" s="280" t="n"/>
      <c r="I61" s="332">
        <f>IFERROR(VLOOKUP(TEXT(H61,"0"),IPRESS!$A$3:$B$212,2,0),"")</f>
        <v/>
      </c>
      <c r="J61" s="280" t="n"/>
      <c r="K61" s="332">
        <f>IFERROR(VLOOKUP(TEXT(O61,"0"),CONDUCTORES!$A$3:$G$54,7,0),"")</f>
        <v/>
      </c>
      <c r="L61" s="280" t="n"/>
      <c r="M61" s="280" t="n"/>
      <c r="N61" s="333">
        <f>IFERROR(IF(L61*M61=0,"",L61*M61),"")</f>
        <v/>
      </c>
      <c r="O61" s="280" t="n"/>
      <c r="P61" s="332">
        <f>IFERROR(VLOOKUP(TEXT(O61,"0"),CONDUCTORES!$A$3:$G$54,2,0),"")</f>
        <v/>
      </c>
      <c r="Q61" s="332">
        <f>IFERROR(VLOOKUP(TEXT(O61,"0"),CONDUCTORES!$A$3:$H$54,6,0),"")</f>
        <v/>
      </c>
      <c r="R61" s="280" t="n"/>
      <c r="S61" s="280" t="n"/>
      <c r="T61" s="280" t="n"/>
      <c r="U61" s="280" t="n"/>
      <c r="V61" s="280" t="n"/>
      <c r="W61" s="280" t="n"/>
      <c r="X61" s="280" t="n"/>
      <c r="Y61" s="280" t="n"/>
      <c r="Z61" s="236">
        <f>IF(AND(G61&lt;&gt;"",R61&lt;&gt;"",V61&lt;&gt;"",W61&lt;&gt;""),"COMPLETADO","OBSERVADO")</f>
        <v/>
      </c>
      <c r="AA61" s="284" t="n"/>
    </row>
    <row r="62" ht="15.75" customHeight="1" s="195">
      <c r="A62" s="334" t="n"/>
      <c r="B62" s="334" t="n"/>
      <c r="C62" s="334" t="n"/>
      <c r="D62" s="334" t="n"/>
      <c r="E62" s="334" t="n"/>
      <c r="F62" s="334" t="n"/>
      <c r="G62" s="334" t="n"/>
      <c r="H62" s="334" t="n"/>
      <c r="I62" s="332">
        <f>IFERROR(VLOOKUP(TEXT(H62,"0"),IPRESS!$A$3:$B$212,2,0),"")</f>
        <v/>
      </c>
      <c r="J62" s="334" t="n"/>
      <c r="K62" s="332">
        <f>IFERROR(VLOOKUP(TEXT(O62,"0"),CONDUCTORES!$A$3:$G$54,7,0),"")</f>
        <v/>
      </c>
      <c r="L62" s="334" t="n"/>
      <c r="M62" s="334" t="n"/>
      <c r="N62" s="333">
        <f>IFERROR(IF(L62*M62=0,"",L62*M62),"")</f>
        <v/>
      </c>
      <c r="O62" s="334" t="n"/>
      <c r="P62" s="332">
        <f>IFERROR(VLOOKUP(TEXT(O62,"0"),CONDUCTORES!$A$3:$G$54,2,0),"")</f>
        <v/>
      </c>
      <c r="Q62" s="332">
        <f>IFERROR(VLOOKUP(TEXT(O62,"0"),CONDUCTORES!$A$3:$H$54,6,0),"")</f>
        <v/>
      </c>
      <c r="R62" s="334" t="n"/>
      <c r="S62" s="334" t="n"/>
      <c r="T62" s="334" t="n"/>
      <c r="U62" s="334" t="n"/>
      <c r="V62" s="334" t="n"/>
      <c r="W62" s="334" t="n"/>
      <c r="X62" s="334" t="n"/>
      <c r="Y62" s="334" t="n"/>
      <c r="Z62" s="242">
        <f>IF(AND(G62&lt;&gt;"",R62&lt;&gt;"",V62&lt;&gt;"",W62&lt;&gt;""),"COMPLETADO","OBSERVADO")</f>
        <v/>
      </c>
      <c r="AA62" s="284" t="n"/>
    </row>
    <row r="63" ht="15.75" customHeight="1" s="195">
      <c r="A63" s="280" t="n"/>
      <c r="B63" s="280" t="n"/>
      <c r="C63" s="280" t="n"/>
      <c r="D63" s="280" t="n"/>
      <c r="E63" s="280" t="n"/>
      <c r="F63" s="280" t="n"/>
      <c r="G63" s="280" t="n"/>
      <c r="H63" s="280" t="n"/>
      <c r="I63" s="332">
        <f>IFERROR(VLOOKUP(TEXT(H63,"0"),IPRESS!$A$3:$B$212,2,0),"")</f>
        <v/>
      </c>
      <c r="J63" s="280" t="n"/>
      <c r="K63" s="332">
        <f>IFERROR(VLOOKUP(TEXT(O63,"0"),CONDUCTORES!$A$3:$G$54,7,0),"")</f>
        <v/>
      </c>
      <c r="L63" s="280" t="n"/>
      <c r="M63" s="280" t="n"/>
      <c r="N63" s="333">
        <f>IFERROR(IF(L63*M63=0,"",L63*M63),"")</f>
        <v/>
      </c>
      <c r="O63" s="280" t="n"/>
      <c r="P63" s="332">
        <f>IFERROR(VLOOKUP(TEXT(O63,"0"),CONDUCTORES!$A$3:$G$54,2,0),"")</f>
        <v/>
      </c>
      <c r="Q63" s="332">
        <f>IFERROR(VLOOKUP(TEXT(O63,"0"),CONDUCTORES!$A$3:$H$54,6,0),"")</f>
        <v/>
      </c>
      <c r="R63" s="280" t="n"/>
      <c r="S63" s="280" t="n"/>
      <c r="T63" s="280" t="n"/>
      <c r="U63" s="280" t="n"/>
      <c r="V63" s="280" t="n"/>
      <c r="W63" s="280" t="n"/>
      <c r="X63" s="280" t="n"/>
      <c r="Y63" s="280" t="n"/>
      <c r="Z63" s="236">
        <f>IF(AND(G63&lt;&gt;"",R63&lt;&gt;"",V63&lt;&gt;"",W63&lt;&gt;""),"COMPLETADO","OBSERVADO")</f>
        <v/>
      </c>
      <c r="AA63" s="284" t="n"/>
    </row>
    <row r="64" ht="15.75" customHeight="1" s="195">
      <c r="A64" s="334" t="n"/>
      <c r="B64" s="334" t="n"/>
      <c r="C64" s="334" t="n"/>
      <c r="D64" s="334" t="n"/>
      <c r="E64" s="334" t="n"/>
      <c r="F64" s="334" t="n"/>
      <c r="G64" s="334" t="n"/>
      <c r="H64" s="334" t="n"/>
      <c r="I64" s="332">
        <f>IFERROR(VLOOKUP(TEXT(H64,"0"),IPRESS!$A$3:$B$212,2,0),"")</f>
        <v/>
      </c>
      <c r="J64" s="334" t="n"/>
      <c r="K64" s="332">
        <f>IFERROR(VLOOKUP(TEXT(O64,"0"),CONDUCTORES!$A$3:$G$54,7,0),"")</f>
        <v/>
      </c>
      <c r="L64" s="334" t="n"/>
      <c r="M64" s="334" t="n"/>
      <c r="N64" s="333">
        <f>IFERROR(IF(L64*M64=0,"",L64*M64),"")</f>
        <v/>
      </c>
      <c r="O64" s="334" t="n"/>
      <c r="P64" s="332">
        <f>IFERROR(VLOOKUP(TEXT(O64,"0"),CONDUCTORES!$A$3:$G$54,2,0),"")</f>
        <v/>
      </c>
      <c r="Q64" s="332">
        <f>IFERROR(VLOOKUP(TEXT(O64,"0"),CONDUCTORES!$A$3:$H$54,6,0),"")</f>
        <v/>
      </c>
      <c r="R64" s="334" t="n"/>
      <c r="S64" s="334" t="n"/>
      <c r="T64" s="334" t="n"/>
      <c r="U64" s="334" t="n"/>
      <c r="V64" s="334" t="n"/>
      <c r="W64" s="334" t="n"/>
      <c r="X64" s="334" t="n"/>
      <c r="Y64" s="334" t="n"/>
      <c r="Z64" s="242">
        <f>IF(AND(G64&lt;&gt;"",R64&lt;&gt;"",V64&lt;&gt;"",W64&lt;&gt;""),"COMPLETADO","OBSERVADO")</f>
        <v/>
      </c>
      <c r="AA64" s="284" t="n"/>
    </row>
    <row r="65" ht="15.75" customHeight="1" s="195">
      <c r="A65" s="280" t="n"/>
      <c r="B65" s="280" t="n"/>
      <c r="C65" s="280" t="n"/>
      <c r="D65" s="280" t="n"/>
      <c r="E65" s="280" t="n"/>
      <c r="F65" s="280" t="n"/>
      <c r="G65" s="280" t="n"/>
      <c r="H65" s="280" t="n"/>
      <c r="I65" s="332">
        <f>IFERROR(VLOOKUP(TEXT(H65,"0"),IPRESS!$A$3:$B$212,2,0),"")</f>
        <v/>
      </c>
      <c r="J65" s="280" t="n"/>
      <c r="K65" s="332">
        <f>IFERROR(VLOOKUP(TEXT(O65,"0"),CONDUCTORES!$A$3:$G$54,7,0),"")</f>
        <v/>
      </c>
      <c r="L65" s="280" t="n"/>
      <c r="M65" s="280" t="n"/>
      <c r="N65" s="333">
        <f>IFERROR(IF(L65*M65=0,"",L65*M65),"")</f>
        <v/>
      </c>
      <c r="O65" s="280" t="n"/>
      <c r="P65" s="332">
        <f>IFERROR(VLOOKUP(TEXT(O65,"0"),CONDUCTORES!$A$3:$G$54,2,0),"")</f>
        <v/>
      </c>
      <c r="Q65" s="332">
        <f>IFERROR(VLOOKUP(TEXT(O65,"0"),CONDUCTORES!$A$3:$H$54,6,0),"")</f>
        <v/>
      </c>
      <c r="R65" s="280" t="n"/>
      <c r="S65" s="280" t="n"/>
      <c r="T65" s="280" t="n"/>
      <c r="U65" s="280" t="n"/>
      <c r="V65" s="280" t="n"/>
      <c r="W65" s="280" t="n"/>
      <c r="X65" s="280" t="n"/>
      <c r="Y65" s="280" t="n"/>
      <c r="Z65" s="236">
        <f>IF(AND(G65&lt;&gt;"",R65&lt;&gt;"",V65&lt;&gt;"",W65&lt;&gt;""),"COMPLETADO","OBSERVADO")</f>
        <v/>
      </c>
      <c r="AA65" s="284" t="n"/>
    </row>
    <row r="66" ht="15.75" customHeight="1" s="195">
      <c r="A66" s="334" t="n"/>
      <c r="B66" s="334" t="n"/>
      <c r="C66" s="334" t="n"/>
      <c r="D66" s="334" t="n"/>
      <c r="E66" s="334" t="n"/>
      <c r="F66" s="334" t="n"/>
      <c r="G66" s="334" t="n"/>
      <c r="H66" s="334" t="n"/>
      <c r="I66" s="332">
        <f>IFERROR(VLOOKUP(TEXT(H66,"0"),IPRESS!$A$3:$B$212,2,0),"")</f>
        <v/>
      </c>
      <c r="J66" s="334" t="n"/>
      <c r="K66" s="332">
        <f>IFERROR(VLOOKUP(TEXT(O66,"0"),CONDUCTORES!$A$3:$G$54,7,0),"")</f>
        <v/>
      </c>
      <c r="L66" s="334" t="n"/>
      <c r="M66" s="334" t="n"/>
      <c r="N66" s="333">
        <f>IFERROR(IF(L66*M66=0,"",L66*M66),"")</f>
        <v/>
      </c>
      <c r="O66" s="334" t="n"/>
      <c r="P66" s="332">
        <f>IFERROR(VLOOKUP(TEXT(O66,"0"),CONDUCTORES!$A$3:$G$54,2,0),"")</f>
        <v/>
      </c>
      <c r="Q66" s="332">
        <f>IFERROR(VLOOKUP(TEXT(O66,"0"),CONDUCTORES!$A$3:$H$54,6,0),"")</f>
        <v/>
      </c>
      <c r="R66" s="334" t="n"/>
      <c r="S66" s="334" t="n"/>
      <c r="T66" s="334" t="n"/>
      <c r="U66" s="334" t="n"/>
      <c r="V66" s="334" t="n"/>
      <c r="W66" s="334" t="n"/>
      <c r="X66" s="334" t="n"/>
      <c r="Y66" s="334" t="n"/>
      <c r="Z66" s="242">
        <f>IF(AND(G66&lt;&gt;"",R66&lt;&gt;"",V66&lt;&gt;"",W66&lt;&gt;""),"COMPLETADO","OBSERVADO")</f>
        <v/>
      </c>
      <c r="AA66" s="284" t="n"/>
    </row>
    <row r="67" ht="15.75" customHeight="1" s="195">
      <c r="A67" s="280" t="n"/>
      <c r="B67" s="280" t="n"/>
      <c r="C67" s="280" t="n"/>
      <c r="D67" s="280" t="n"/>
      <c r="E67" s="280" t="n"/>
      <c r="F67" s="280" t="n"/>
      <c r="G67" s="280" t="n"/>
      <c r="H67" s="280" t="n"/>
      <c r="I67" s="332">
        <f>IFERROR(VLOOKUP(TEXT(H67,"0"),IPRESS!$A$3:$B$212,2,0),"")</f>
        <v/>
      </c>
      <c r="J67" s="280" t="n"/>
      <c r="K67" s="332">
        <f>IFERROR(VLOOKUP(TEXT(O67,"0"),CONDUCTORES!$A$3:$G$54,7,0),"")</f>
        <v/>
      </c>
      <c r="L67" s="280" t="n"/>
      <c r="M67" s="280" t="n"/>
      <c r="N67" s="333">
        <f>IFERROR(IF(L67*M67=0,"",L67*M67),"")</f>
        <v/>
      </c>
      <c r="O67" s="280" t="n"/>
      <c r="P67" s="332">
        <f>IFERROR(VLOOKUP(TEXT(O67,"0"),CONDUCTORES!$A$3:$G$54,2,0),"")</f>
        <v/>
      </c>
      <c r="Q67" s="332">
        <f>IFERROR(VLOOKUP(TEXT(O67,"0"),CONDUCTORES!$A$3:$H$54,6,0),"")</f>
        <v/>
      </c>
      <c r="R67" s="280" t="n"/>
      <c r="S67" s="280" t="n"/>
      <c r="T67" s="280" t="n"/>
      <c r="U67" s="280" t="n"/>
      <c r="V67" s="280" t="n"/>
      <c r="W67" s="280" t="n"/>
      <c r="X67" s="280" t="n"/>
      <c r="Y67" s="280" t="n"/>
      <c r="Z67" s="236">
        <f>IF(AND(G67&lt;&gt;"",R67&lt;&gt;"",V67&lt;&gt;"",W67&lt;&gt;""),"COMPLETADO","OBSERVADO")</f>
        <v/>
      </c>
      <c r="AA67" s="284" t="n"/>
    </row>
    <row r="68" ht="15.75" customHeight="1" s="195">
      <c r="A68" s="334" t="n"/>
      <c r="B68" s="334" t="n"/>
      <c r="C68" s="334" t="n"/>
      <c r="D68" s="334" t="n"/>
      <c r="E68" s="334" t="n"/>
      <c r="F68" s="334" t="n"/>
      <c r="G68" s="334" t="n"/>
      <c r="H68" s="334" t="n"/>
      <c r="I68" s="332">
        <f>IFERROR(VLOOKUP(TEXT(H68,"0"),IPRESS!$A$3:$B$212,2,0),"")</f>
        <v/>
      </c>
      <c r="J68" s="334" t="n"/>
      <c r="K68" s="332">
        <f>IFERROR(VLOOKUP(TEXT(O68,"0"),CONDUCTORES!$A$3:$G$54,7,0),"")</f>
        <v/>
      </c>
      <c r="L68" s="334" t="n"/>
      <c r="M68" s="334" t="n"/>
      <c r="N68" s="333">
        <f>IFERROR(IF(L68*M68=0,"",L68*M68),"")</f>
        <v/>
      </c>
      <c r="O68" s="334" t="n"/>
      <c r="P68" s="332">
        <f>IFERROR(VLOOKUP(TEXT(O68,"0"),CONDUCTORES!$A$3:$G$54,2,0),"")</f>
        <v/>
      </c>
      <c r="Q68" s="332">
        <f>IFERROR(VLOOKUP(TEXT(O68,"0"),CONDUCTORES!$A$3:$H$54,6,0),"")</f>
        <v/>
      </c>
      <c r="R68" s="334" t="n"/>
      <c r="S68" s="334" t="n"/>
      <c r="T68" s="334" t="n"/>
      <c r="U68" s="334" t="n"/>
      <c r="V68" s="334" t="n"/>
      <c r="W68" s="334" t="n"/>
      <c r="X68" s="334" t="n"/>
      <c r="Y68" s="334" t="n"/>
      <c r="Z68" s="242">
        <f>IF(AND(G68&lt;&gt;"",R68&lt;&gt;"",V68&lt;&gt;"",W68&lt;&gt;""),"COMPLETADO","OBSERVADO")</f>
        <v/>
      </c>
      <c r="AA68" s="284" t="n"/>
    </row>
    <row r="69" ht="15.75" customHeight="1" s="195">
      <c r="A69" s="280" t="n"/>
      <c r="B69" s="280" t="n"/>
      <c r="C69" s="280" t="n"/>
      <c r="D69" s="280" t="n"/>
      <c r="E69" s="280" t="n"/>
      <c r="F69" s="280" t="n"/>
      <c r="G69" s="280" t="n"/>
      <c r="H69" s="280" t="n"/>
      <c r="I69" s="332">
        <f>IFERROR(VLOOKUP(TEXT(H69,"0"),IPRESS!$A$3:$B$212,2,0),"")</f>
        <v/>
      </c>
      <c r="J69" s="280" t="n"/>
      <c r="K69" s="332">
        <f>IFERROR(VLOOKUP(TEXT(O69,"0"),CONDUCTORES!$A$3:$G$54,7,0),"")</f>
        <v/>
      </c>
      <c r="L69" s="280" t="n"/>
      <c r="M69" s="280" t="n"/>
      <c r="N69" s="333">
        <f>IFERROR(IF(L69*M69=0,"",L69*M69),"")</f>
        <v/>
      </c>
      <c r="O69" s="280" t="n"/>
      <c r="P69" s="332">
        <f>IFERROR(VLOOKUP(TEXT(O69,"0"),CONDUCTORES!$A$3:$G$54,2,0),"")</f>
        <v/>
      </c>
      <c r="Q69" s="332">
        <f>IFERROR(VLOOKUP(TEXT(O69,"0"),CONDUCTORES!$A$3:$H$54,6,0),"")</f>
        <v/>
      </c>
      <c r="R69" s="280" t="n"/>
      <c r="S69" s="280" t="n"/>
      <c r="T69" s="280" t="n"/>
      <c r="U69" s="280" t="n"/>
      <c r="V69" s="280" t="n"/>
      <c r="W69" s="280" t="n"/>
      <c r="X69" s="280" t="n"/>
      <c r="Y69" s="280" t="n"/>
      <c r="Z69" s="236">
        <f>IF(AND(G69&lt;&gt;"",R69&lt;&gt;"",V69&lt;&gt;"",W69&lt;&gt;""),"COMPLETADO","OBSERVADO")</f>
        <v/>
      </c>
      <c r="AA69" s="284" t="n"/>
    </row>
    <row r="70" ht="15.75" customHeight="1" s="195">
      <c r="A70" s="334" t="n"/>
      <c r="B70" s="334" t="n"/>
      <c r="C70" s="334" t="n"/>
      <c r="D70" s="334" t="n"/>
      <c r="E70" s="334" t="n"/>
      <c r="F70" s="334" t="n"/>
      <c r="G70" s="334" t="n"/>
      <c r="H70" s="334" t="n"/>
      <c r="I70" s="332">
        <f>IFERROR(VLOOKUP(TEXT(H70,"0"),IPRESS!$A$3:$B$212,2,0),"")</f>
        <v/>
      </c>
      <c r="J70" s="334" t="n"/>
      <c r="K70" s="332">
        <f>IFERROR(VLOOKUP(TEXT(O70,"0"),CONDUCTORES!$A$3:$G$54,7,0),"")</f>
        <v/>
      </c>
      <c r="L70" s="334" t="n"/>
      <c r="M70" s="334" t="n"/>
      <c r="N70" s="333">
        <f>IFERROR(IF(L70*M70=0,"",L70*M70),"")</f>
        <v/>
      </c>
      <c r="O70" s="334" t="n"/>
      <c r="P70" s="332">
        <f>IFERROR(VLOOKUP(TEXT(O70,"0"),CONDUCTORES!$A$3:$G$54,2,0),"")</f>
        <v/>
      </c>
      <c r="Q70" s="332">
        <f>IFERROR(VLOOKUP(TEXT(O70,"0"),CONDUCTORES!$A$3:$H$54,6,0),"")</f>
        <v/>
      </c>
      <c r="R70" s="334" t="n"/>
      <c r="S70" s="334" t="n"/>
      <c r="T70" s="334" t="n"/>
      <c r="U70" s="334" t="n"/>
      <c r="V70" s="334" t="n"/>
      <c r="W70" s="334" t="n"/>
      <c r="X70" s="334" t="n"/>
      <c r="Y70" s="334" t="n"/>
      <c r="Z70" s="242">
        <f>IF(AND(G70&lt;&gt;"",R70&lt;&gt;"",V70&lt;&gt;"",W70&lt;&gt;""),"COMPLETADO","OBSERVADO")</f>
        <v/>
      </c>
      <c r="AA70" s="284" t="n"/>
    </row>
    <row r="71" ht="15.75" customHeight="1" s="195">
      <c r="A71" s="280" t="n"/>
      <c r="B71" s="280" t="n"/>
      <c r="C71" s="280" t="n"/>
      <c r="D71" s="280" t="n"/>
      <c r="E71" s="280" t="n"/>
      <c r="F71" s="280" t="n"/>
      <c r="G71" s="280" t="n"/>
      <c r="H71" s="280" t="n"/>
      <c r="I71" s="332">
        <f>IFERROR(VLOOKUP(TEXT(H71,"0"),IPRESS!$A$3:$B$212,2,0),"")</f>
        <v/>
      </c>
      <c r="J71" s="280" t="n"/>
      <c r="K71" s="332">
        <f>IFERROR(VLOOKUP(TEXT(O71,"0"),CONDUCTORES!$A$3:$G$54,7,0),"")</f>
        <v/>
      </c>
      <c r="L71" s="280" t="n"/>
      <c r="M71" s="280" t="n"/>
      <c r="N71" s="333">
        <f>IFERROR(IF(L71*M71=0,"",L71*M71),"")</f>
        <v/>
      </c>
      <c r="O71" s="280" t="n"/>
      <c r="P71" s="332">
        <f>IFERROR(VLOOKUP(TEXT(O71,"0"),CONDUCTORES!$A$3:$G$54,2,0),"")</f>
        <v/>
      </c>
      <c r="Q71" s="332">
        <f>IFERROR(VLOOKUP(TEXT(O71,"0"),CONDUCTORES!$A$3:$H$54,6,0),"")</f>
        <v/>
      </c>
      <c r="R71" s="280" t="n"/>
      <c r="S71" s="280" t="n"/>
      <c r="T71" s="280" t="n"/>
      <c r="U71" s="280" t="n"/>
      <c r="V71" s="280" t="n"/>
      <c r="W71" s="280" t="n"/>
      <c r="X71" s="280" t="n"/>
      <c r="Y71" s="280" t="n"/>
      <c r="Z71" s="236">
        <f>IF(AND(G71&lt;&gt;"",R71&lt;&gt;"",V71&lt;&gt;"",W71&lt;&gt;""),"COMPLETADO","OBSERVADO")</f>
        <v/>
      </c>
      <c r="AA71" s="284" t="n"/>
    </row>
    <row r="72" ht="15.75" customHeight="1" s="195">
      <c r="A72" s="334" t="n"/>
      <c r="B72" s="334" t="n"/>
      <c r="C72" s="334" t="n"/>
      <c r="D72" s="334" t="n"/>
      <c r="E72" s="334" t="n"/>
      <c r="F72" s="334" t="n"/>
      <c r="G72" s="334" t="n"/>
      <c r="H72" s="334" t="n"/>
      <c r="I72" s="332">
        <f>IFERROR(VLOOKUP(TEXT(H72,"0"),IPRESS!$A$3:$B$212,2,0),"")</f>
        <v/>
      </c>
      <c r="J72" s="334" t="n"/>
      <c r="K72" s="332">
        <f>IFERROR(VLOOKUP(TEXT(O72,"0"),CONDUCTORES!$A$3:$G$54,7,0),"")</f>
        <v/>
      </c>
      <c r="L72" s="334" t="n"/>
      <c r="M72" s="334" t="n"/>
      <c r="N72" s="333">
        <f>IFERROR(IF(L72*M72=0,"",L72*M72),"")</f>
        <v/>
      </c>
      <c r="O72" s="334" t="n"/>
      <c r="P72" s="332">
        <f>IFERROR(VLOOKUP(TEXT(O72,"0"),CONDUCTORES!$A$3:$G$54,2,0),"")</f>
        <v/>
      </c>
      <c r="Q72" s="332">
        <f>IFERROR(VLOOKUP(TEXT(O72,"0"),CONDUCTORES!$A$3:$H$54,6,0),"")</f>
        <v/>
      </c>
      <c r="R72" s="334" t="n"/>
      <c r="S72" s="334" t="n"/>
      <c r="T72" s="334" t="n"/>
      <c r="U72" s="334" t="n"/>
      <c r="V72" s="334" t="n"/>
      <c r="W72" s="334" t="n"/>
      <c r="X72" s="334" t="n"/>
      <c r="Y72" s="334" t="n"/>
      <c r="Z72" s="242">
        <f>IF(AND(G72&lt;&gt;"",R72&lt;&gt;"",V72&lt;&gt;"",W72&lt;&gt;""),"COMPLETADO","OBSERVADO")</f>
        <v/>
      </c>
      <c r="AA72" s="284" t="n"/>
    </row>
    <row r="73" ht="15.75" customHeight="1" s="195">
      <c r="A73" s="280" t="n"/>
      <c r="B73" s="280" t="n"/>
      <c r="C73" s="280" t="n"/>
      <c r="D73" s="280" t="n"/>
      <c r="E73" s="280" t="n"/>
      <c r="F73" s="280" t="n"/>
      <c r="G73" s="280" t="n"/>
      <c r="H73" s="280" t="n"/>
      <c r="I73" s="332">
        <f>IFERROR(VLOOKUP(TEXT(H73,"0"),IPRESS!$A$3:$B$212,2,0),"")</f>
        <v/>
      </c>
      <c r="J73" s="280" t="n"/>
      <c r="K73" s="332">
        <f>IFERROR(VLOOKUP(TEXT(O73,"0"),CONDUCTORES!$A$3:$G$54,7,0),"")</f>
        <v/>
      </c>
      <c r="L73" s="280" t="n"/>
      <c r="M73" s="280" t="n"/>
      <c r="N73" s="333">
        <f>IFERROR(IF(L73*M73=0,"",L73*M73),"")</f>
        <v/>
      </c>
      <c r="O73" s="280" t="n"/>
      <c r="P73" s="332">
        <f>IFERROR(VLOOKUP(TEXT(O73,"0"),CONDUCTORES!$A$3:$G$54,2,0),"")</f>
        <v/>
      </c>
      <c r="Q73" s="332">
        <f>IFERROR(VLOOKUP(TEXT(O73,"0"),CONDUCTORES!$A$3:$H$54,6,0),"")</f>
        <v/>
      </c>
      <c r="R73" s="280" t="n"/>
      <c r="S73" s="280" t="n"/>
      <c r="T73" s="280" t="n"/>
      <c r="U73" s="280" t="n"/>
      <c r="V73" s="280" t="n"/>
      <c r="W73" s="280" t="n"/>
      <c r="X73" s="280" t="n"/>
      <c r="Y73" s="280" t="n"/>
      <c r="Z73" s="236">
        <f>IF(AND(G73&lt;&gt;"",R73&lt;&gt;"",V73&lt;&gt;"",W73&lt;&gt;""),"COMPLETADO","OBSERVADO")</f>
        <v/>
      </c>
      <c r="AA73" s="284" t="n"/>
    </row>
    <row r="74" ht="15.75" customHeight="1" s="195">
      <c r="A74" s="334" t="n"/>
      <c r="B74" s="334" t="n"/>
      <c r="C74" s="334" t="n"/>
      <c r="D74" s="334" t="n"/>
      <c r="E74" s="334" t="n"/>
      <c r="F74" s="334" t="n"/>
      <c r="G74" s="334" t="n"/>
      <c r="H74" s="334" t="n"/>
      <c r="I74" s="332">
        <f>IFERROR(VLOOKUP(TEXT(H74,"0"),IPRESS!$A$3:$B$212,2,0),"")</f>
        <v/>
      </c>
      <c r="J74" s="334" t="n"/>
      <c r="K74" s="332">
        <f>IFERROR(VLOOKUP(TEXT(O74,"0"),CONDUCTORES!$A$3:$G$54,7,0),"")</f>
        <v/>
      </c>
      <c r="L74" s="334" t="n"/>
      <c r="M74" s="334" t="n"/>
      <c r="N74" s="333">
        <f>IFERROR(IF(L74*M74=0,"",L74*M74),"")</f>
        <v/>
      </c>
      <c r="O74" s="334" t="n"/>
      <c r="P74" s="332">
        <f>IFERROR(VLOOKUP(TEXT(O74,"0"),CONDUCTORES!$A$3:$G$54,2,0),"")</f>
        <v/>
      </c>
      <c r="Q74" s="332">
        <f>IFERROR(VLOOKUP(TEXT(O74,"0"),CONDUCTORES!$A$3:$H$54,6,0),"")</f>
        <v/>
      </c>
      <c r="R74" s="334" t="n"/>
      <c r="S74" s="334" t="n"/>
      <c r="T74" s="334" t="n"/>
      <c r="U74" s="334" t="n"/>
      <c r="V74" s="334" t="n"/>
      <c r="W74" s="334" t="n"/>
      <c r="X74" s="334" t="n"/>
      <c r="Y74" s="334" t="n"/>
      <c r="Z74" s="242">
        <f>IF(AND(G74&lt;&gt;"",R74&lt;&gt;"",V74&lt;&gt;"",W74&lt;&gt;""),"COMPLETADO","OBSERVADO")</f>
        <v/>
      </c>
      <c r="AA74" s="284" t="n"/>
    </row>
    <row r="75" ht="15.75" customHeight="1" s="195">
      <c r="A75" s="280" t="n"/>
      <c r="B75" s="280" t="n"/>
      <c r="C75" s="280" t="n"/>
      <c r="D75" s="280" t="n"/>
      <c r="E75" s="280" t="n"/>
      <c r="F75" s="280" t="n"/>
      <c r="G75" s="280" t="n"/>
      <c r="H75" s="280" t="n"/>
      <c r="I75" s="332">
        <f>IFERROR(VLOOKUP(TEXT(H75,"0"),IPRESS!$A$3:$B$212,2,0),"")</f>
        <v/>
      </c>
      <c r="J75" s="280" t="n"/>
      <c r="K75" s="332">
        <f>IFERROR(VLOOKUP(TEXT(O75,"0"),CONDUCTORES!$A$3:$G$54,7,0),"")</f>
        <v/>
      </c>
      <c r="L75" s="280" t="n"/>
      <c r="M75" s="280" t="n"/>
      <c r="N75" s="333">
        <f>IFERROR(IF(L75*M75=0,"",L75*M75),"")</f>
        <v/>
      </c>
      <c r="O75" s="280" t="n"/>
      <c r="P75" s="332">
        <f>IFERROR(VLOOKUP(TEXT(O75,"0"),CONDUCTORES!$A$3:$G$54,2,0),"")</f>
        <v/>
      </c>
      <c r="Q75" s="332">
        <f>IFERROR(VLOOKUP(TEXT(O75,"0"),CONDUCTORES!$A$3:$H$54,6,0),"")</f>
        <v/>
      </c>
      <c r="R75" s="280" t="n"/>
      <c r="S75" s="280" t="n"/>
      <c r="T75" s="280" t="n"/>
      <c r="U75" s="280" t="n"/>
      <c r="V75" s="280" t="n"/>
      <c r="W75" s="280" t="n"/>
      <c r="X75" s="280" t="n"/>
      <c r="Y75" s="280" t="n"/>
      <c r="Z75" s="236">
        <f>IF(AND(G75&lt;&gt;"",R75&lt;&gt;"",V75&lt;&gt;"",W75&lt;&gt;""),"COMPLETADO","OBSERVADO")</f>
        <v/>
      </c>
      <c r="AA75" s="284" t="n"/>
    </row>
    <row r="76" ht="15.75" customHeight="1" s="195">
      <c r="A76" s="334" t="n"/>
      <c r="B76" s="334" t="n"/>
      <c r="C76" s="334" t="n"/>
      <c r="D76" s="334" t="n"/>
      <c r="E76" s="334" t="n"/>
      <c r="F76" s="334" t="n"/>
      <c r="G76" s="334" t="n"/>
      <c r="H76" s="334" t="n"/>
      <c r="I76" s="332">
        <f>IFERROR(VLOOKUP(TEXT(H76,"0"),IPRESS!$A$3:$B$212,2,0),"")</f>
        <v/>
      </c>
      <c r="J76" s="334" t="n"/>
      <c r="K76" s="332">
        <f>IFERROR(VLOOKUP(TEXT(O76,"0"),CONDUCTORES!$A$3:$G$54,7,0),"")</f>
        <v/>
      </c>
      <c r="L76" s="334" t="n"/>
      <c r="M76" s="334" t="n"/>
      <c r="N76" s="333">
        <f>IFERROR(IF(L76*M76=0,"",L76*M76),"")</f>
        <v/>
      </c>
      <c r="O76" s="334" t="n"/>
      <c r="P76" s="332">
        <f>IFERROR(VLOOKUP(TEXT(O76,"0"),CONDUCTORES!$A$3:$G$54,2,0),"")</f>
        <v/>
      </c>
      <c r="Q76" s="332">
        <f>IFERROR(VLOOKUP(TEXT(O76,"0"),CONDUCTORES!$A$3:$H$54,6,0),"")</f>
        <v/>
      </c>
      <c r="R76" s="334" t="n"/>
      <c r="S76" s="334" t="n"/>
      <c r="T76" s="334" t="n"/>
      <c r="U76" s="334" t="n"/>
      <c r="V76" s="334" t="n"/>
      <c r="W76" s="334" t="n"/>
      <c r="X76" s="334" t="n"/>
      <c r="Y76" s="334" t="n"/>
      <c r="Z76" s="242">
        <f>IF(AND(G76&lt;&gt;"",R76&lt;&gt;"",V76&lt;&gt;"",W76&lt;&gt;""),"COMPLETADO","OBSERVADO")</f>
        <v/>
      </c>
      <c r="AA76" s="284" t="n"/>
    </row>
    <row r="77" ht="15.75" customHeight="1" s="195">
      <c r="A77" s="280" t="n"/>
      <c r="B77" s="280" t="n"/>
      <c r="C77" s="280" t="n"/>
      <c r="D77" s="280" t="n"/>
      <c r="E77" s="280" t="n"/>
      <c r="F77" s="280" t="n"/>
      <c r="G77" s="280" t="n"/>
      <c r="H77" s="280" t="n"/>
      <c r="I77" s="332">
        <f>IFERROR(VLOOKUP(TEXT(H77,"0"),IPRESS!$A$3:$B$212,2,0),"")</f>
        <v/>
      </c>
      <c r="J77" s="280" t="n"/>
      <c r="K77" s="332">
        <f>IFERROR(VLOOKUP(TEXT(O77,"0"),CONDUCTORES!$A$3:$G$54,7,0),"")</f>
        <v/>
      </c>
      <c r="L77" s="280" t="n"/>
      <c r="M77" s="280" t="n"/>
      <c r="N77" s="333">
        <f>IFERROR(IF(L77*M77=0,"",L77*M77),"")</f>
        <v/>
      </c>
      <c r="O77" s="280" t="n"/>
      <c r="P77" s="332">
        <f>IFERROR(VLOOKUP(TEXT(O77,"0"),CONDUCTORES!$A$3:$G$54,2,0),"")</f>
        <v/>
      </c>
      <c r="Q77" s="332">
        <f>IFERROR(VLOOKUP(TEXT(O77,"0"),CONDUCTORES!$A$3:$H$54,6,0),"")</f>
        <v/>
      </c>
      <c r="R77" s="280" t="n"/>
      <c r="S77" s="280" t="n"/>
      <c r="T77" s="280" t="n"/>
      <c r="U77" s="280" t="n"/>
      <c r="V77" s="280" t="n"/>
      <c r="W77" s="280" t="n"/>
      <c r="X77" s="280" t="n"/>
      <c r="Y77" s="280" t="n"/>
      <c r="Z77" s="236">
        <f>IF(AND(G77&lt;&gt;"",R77&lt;&gt;"",V77&lt;&gt;"",W77&lt;&gt;""),"COMPLETADO","OBSERVADO")</f>
        <v/>
      </c>
      <c r="AA77" s="284" t="n"/>
    </row>
    <row r="78" ht="15.75" customHeight="1" s="195">
      <c r="A78" s="334" t="n"/>
      <c r="B78" s="334" t="n"/>
      <c r="C78" s="334" t="n"/>
      <c r="D78" s="334" t="n"/>
      <c r="E78" s="334" t="n"/>
      <c r="F78" s="334" t="n"/>
      <c r="G78" s="334" t="n"/>
      <c r="H78" s="334" t="n"/>
      <c r="I78" s="332">
        <f>IFERROR(VLOOKUP(TEXT(H78,"0"),IPRESS!$A$3:$B$212,2,0),"")</f>
        <v/>
      </c>
      <c r="J78" s="334" t="n"/>
      <c r="K78" s="332">
        <f>IFERROR(VLOOKUP(TEXT(O78,"0"),CONDUCTORES!$A$3:$G$54,7,0),"")</f>
        <v/>
      </c>
      <c r="L78" s="334" t="n"/>
      <c r="M78" s="334" t="n"/>
      <c r="N78" s="333">
        <f>IFERROR(IF(L78*M78=0,"",L78*M78),"")</f>
        <v/>
      </c>
      <c r="O78" s="334" t="n"/>
      <c r="P78" s="332">
        <f>IFERROR(VLOOKUP(TEXT(O78,"0"),CONDUCTORES!$A$3:$G$54,2,0),"")</f>
        <v/>
      </c>
      <c r="Q78" s="332">
        <f>IFERROR(VLOOKUP(TEXT(O78,"0"),CONDUCTORES!$A$3:$H$54,6,0),"")</f>
        <v/>
      </c>
      <c r="R78" s="334" t="n"/>
      <c r="S78" s="334" t="n"/>
      <c r="T78" s="334" t="n"/>
      <c r="U78" s="334" t="n"/>
      <c r="V78" s="334" t="n"/>
      <c r="W78" s="334" t="n"/>
      <c r="X78" s="334" t="n"/>
      <c r="Y78" s="334" t="n"/>
      <c r="Z78" s="242">
        <f>IF(AND(G78&lt;&gt;"",R78&lt;&gt;"",V78&lt;&gt;"",W78&lt;&gt;""),"COMPLETADO","OBSERVADO")</f>
        <v/>
      </c>
      <c r="AA78" s="284" t="n"/>
    </row>
    <row r="79" ht="15.75" customHeight="1" s="195">
      <c r="A79" s="280" t="n"/>
      <c r="B79" s="280" t="n"/>
      <c r="C79" s="280" t="n"/>
      <c r="D79" s="280" t="n"/>
      <c r="E79" s="280" t="n"/>
      <c r="F79" s="280" t="n"/>
      <c r="G79" s="280" t="n"/>
      <c r="H79" s="280" t="n"/>
      <c r="I79" s="332">
        <f>IFERROR(VLOOKUP(TEXT(H79,"0"),IPRESS!$A$3:$B$212,2,0),"")</f>
        <v/>
      </c>
      <c r="J79" s="280" t="n"/>
      <c r="K79" s="332">
        <f>IFERROR(VLOOKUP(TEXT(O79,"0"),CONDUCTORES!$A$3:$G$54,7,0),"")</f>
        <v/>
      </c>
      <c r="L79" s="280" t="n"/>
      <c r="M79" s="280" t="n"/>
      <c r="N79" s="333">
        <f>IFERROR(IF(L79*M79=0,"",L79*M79),"")</f>
        <v/>
      </c>
      <c r="O79" s="280" t="n"/>
      <c r="P79" s="332">
        <f>IFERROR(VLOOKUP(TEXT(O79,"0"),CONDUCTORES!$A$3:$G$54,2,0),"")</f>
        <v/>
      </c>
      <c r="Q79" s="332">
        <f>IFERROR(VLOOKUP(TEXT(O79,"0"),CONDUCTORES!$A$3:$H$54,6,0),"")</f>
        <v/>
      </c>
      <c r="R79" s="280" t="n"/>
      <c r="S79" s="280" t="n"/>
      <c r="T79" s="280" t="n"/>
      <c r="U79" s="280" t="n"/>
      <c r="V79" s="280" t="n"/>
      <c r="W79" s="280" t="n"/>
      <c r="X79" s="280" t="n"/>
      <c r="Y79" s="280" t="n"/>
      <c r="Z79" s="236">
        <f>IF(AND(G79&lt;&gt;"",R79&lt;&gt;"",V79&lt;&gt;"",W79&lt;&gt;""),"COMPLETADO","OBSERVADO")</f>
        <v/>
      </c>
      <c r="AA79" s="284" t="n"/>
    </row>
    <row r="80" ht="15.75" customHeight="1" s="195">
      <c r="A80" s="334" t="n"/>
      <c r="B80" s="334" t="n"/>
      <c r="C80" s="334" t="n"/>
      <c r="D80" s="334" t="n"/>
      <c r="E80" s="334" t="n"/>
      <c r="F80" s="334" t="n"/>
      <c r="G80" s="334" t="n"/>
      <c r="H80" s="334" t="n"/>
      <c r="I80" s="332">
        <f>IFERROR(VLOOKUP(TEXT(H80,"0"),IPRESS!$A$3:$B$212,2,0),"")</f>
        <v/>
      </c>
      <c r="J80" s="334" t="n"/>
      <c r="K80" s="332">
        <f>IFERROR(VLOOKUP(TEXT(O80,"0"),CONDUCTORES!$A$3:$G$54,7,0),"")</f>
        <v/>
      </c>
      <c r="L80" s="334" t="n"/>
      <c r="M80" s="334" t="n"/>
      <c r="N80" s="333">
        <f>IFERROR(IF(L80*M80=0,"",L80*M80),"")</f>
        <v/>
      </c>
      <c r="O80" s="334" t="n"/>
      <c r="P80" s="332">
        <f>IFERROR(VLOOKUP(TEXT(O80,"0"),CONDUCTORES!$A$3:$G$54,2,0),"")</f>
        <v/>
      </c>
      <c r="Q80" s="332">
        <f>IFERROR(VLOOKUP(TEXT(O80,"0"),CONDUCTORES!$A$3:$H$54,6,0),"")</f>
        <v/>
      </c>
      <c r="R80" s="334" t="n"/>
      <c r="S80" s="334" t="n"/>
      <c r="T80" s="334" t="n"/>
      <c r="U80" s="334" t="n"/>
      <c r="V80" s="334" t="n"/>
      <c r="W80" s="334" t="n"/>
      <c r="X80" s="334" t="n"/>
      <c r="Y80" s="334" t="n"/>
      <c r="Z80" s="242">
        <f>IF(AND(G80&lt;&gt;"",R80&lt;&gt;"",V80&lt;&gt;"",W80&lt;&gt;""),"COMPLETADO","OBSERVADO")</f>
        <v/>
      </c>
      <c r="AA80" s="284" t="n"/>
    </row>
    <row r="81" ht="15.75" customHeight="1" s="195">
      <c r="A81" s="280" t="n"/>
      <c r="B81" s="280" t="n"/>
      <c r="C81" s="280" t="n"/>
      <c r="D81" s="280" t="n"/>
      <c r="E81" s="280" t="n"/>
      <c r="F81" s="280" t="n"/>
      <c r="G81" s="280" t="n"/>
      <c r="H81" s="280" t="n"/>
      <c r="I81" s="332">
        <f>IFERROR(VLOOKUP(TEXT(H81,"0"),IPRESS!$A$3:$B$212,2,0),"")</f>
        <v/>
      </c>
      <c r="J81" s="280" t="n"/>
      <c r="K81" s="332">
        <f>IFERROR(VLOOKUP(TEXT(O81,"0"),CONDUCTORES!$A$3:$G$54,7,0),"")</f>
        <v/>
      </c>
      <c r="L81" s="280" t="n"/>
      <c r="M81" s="280" t="n"/>
      <c r="N81" s="333">
        <f>IFERROR(IF(L81*M81=0,"",L81*M81),"")</f>
        <v/>
      </c>
      <c r="O81" s="280" t="n"/>
      <c r="P81" s="332">
        <f>IFERROR(VLOOKUP(TEXT(O81,"0"),CONDUCTORES!$A$3:$G$54,2,0),"")</f>
        <v/>
      </c>
      <c r="Q81" s="332">
        <f>IFERROR(VLOOKUP(TEXT(O81,"0"),CONDUCTORES!$A$3:$H$54,6,0),"")</f>
        <v/>
      </c>
      <c r="R81" s="280" t="n"/>
      <c r="S81" s="280" t="n"/>
      <c r="T81" s="280" t="n"/>
      <c r="U81" s="280" t="n"/>
      <c r="V81" s="280" t="n"/>
      <c r="W81" s="280" t="n"/>
      <c r="X81" s="280" t="n"/>
      <c r="Y81" s="280" t="n"/>
      <c r="Z81" s="236">
        <f>IF(AND(G81&lt;&gt;"",R81&lt;&gt;"",V81&lt;&gt;"",W81&lt;&gt;""),"COMPLETADO","OBSERVADO")</f>
        <v/>
      </c>
      <c r="AA81" s="284" t="n"/>
    </row>
    <row r="82" ht="15.75" customHeight="1" s="195">
      <c r="A82" s="334" t="n"/>
      <c r="B82" s="334" t="n"/>
      <c r="C82" s="334" t="n"/>
      <c r="D82" s="334" t="n"/>
      <c r="E82" s="334" t="n"/>
      <c r="F82" s="334" t="n"/>
      <c r="G82" s="334" t="n"/>
      <c r="H82" s="334" t="n"/>
      <c r="I82" s="332">
        <f>IFERROR(VLOOKUP(TEXT(H82,"0"),IPRESS!$A$3:$B$212,2,0),"")</f>
        <v/>
      </c>
      <c r="J82" s="334" t="n"/>
      <c r="K82" s="332">
        <f>IFERROR(VLOOKUP(TEXT(O82,"0"),CONDUCTORES!$A$3:$G$54,7,0),"")</f>
        <v/>
      </c>
      <c r="L82" s="334" t="n"/>
      <c r="M82" s="334" t="n"/>
      <c r="N82" s="333">
        <f>IFERROR(IF(L82*M82=0,"",L82*M82),"")</f>
        <v/>
      </c>
      <c r="O82" s="334" t="n"/>
      <c r="P82" s="332">
        <f>IFERROR(VLOOKUP(TEXT(O82,"0"),CONDUCTORES!$A$3:$G$54,2,0),"")</f>
        <v/>
      </c>
      <c r="Q82" s="332">
        <f>IFERROR(VLOOKUP(TEXT(O82,"0"),CONDUCTORES!$A$3:$H$54,6,0),"")</f>
        <v/>
      </c>
      <c r="R82" s="334" t="n"/>
      <c r="S82" s="334" t="n"/>
      <c r="T82" s="334" t="n"/>
      <c r="U82" s="334" t="n"/>
      <c r="V82" s="334" t="n"/>
      <c r="W82" s="334" t="n"/>
      <c r="X82" s="334" t="n"/>
      <c r="Y82" s="334" t="n"/>
      <c r="Z82" s="242">
        <f>IF(AND(G82&lt;&gt;"",R82&lt;&gt;"",V82&lt;&gt;"",W82&lt;&gt;""),"COMPLETADO","OBSERVADO")</f>
        <v/>
      </c>
      <c r="AA82" s="284" t="n"/>
    </row>
    <row r="83" ht="15.75" customHeight="1" s="195">
      <c r="A83" s="280" t="n"/>
      <c r="B83" s="280" t="n"/>
      <c r="C83" s="280" t="n"/>
      <c r="D83" s="280" t="n"/>
      <c r="E83" s="280" t="n"/>
      <c r="F83" s="280" t="n"/>
      <c r="G83" s="280" t="n"/>
      <c r="H83" s="280" t="n"/>
      <c r="I83" s="332">
        <f>IFERROR(VLOOKUP(TEXT(H83,"0"),IPRESS!$A$3:$B$212,2,0),"")</f>
        <v/>
      </c>
      <c r="J83" s="280" t="n"/>
      <c r="K83" s="332">
        <f>IFERROR(VLOOKUP(TEXT(O83,"0"),CONDUCTORES!$A$3:$G$54,7,0),"")</f>
        <v/>
      </c>
      <c r="L83" s="280" t="n"/>
      <c r="M83" s="280" t="n"/>
      <c r="N83" s="333">
        <f>IFERROR(IF(L83*M83=0,"",L83*M83),"")</f>
        <v/>
      </c>
      <c r="O83" s="280" t="n"/>
      <c r="P83" s="332">
        <f>IFERROR(VLOOKUP(TEXT(O83,"0"),CONDUCTORES!$A$3:$G$54,2,0),"")</f>
        <v/>
      </c>
      <c r="Q83" s="332">
        <f>IFERROR(VLOOKUP(TEXT(O83,"0"),CONDUCTORES!$A$3:$H$54,6,0),"")</f>
        <v/>
      </c>
      <c r="R83" s="280" t="n"/>
      <c r="S83" s="280" t="n"/>
      <c r="T83" s="280" t="n"/>
      <c r="U83" s="280" t="n"/>
      <c r="V83" s="280" t="n"/>
      <c r="W83" s="280" t="n"/>
      <c r="X83" s="280" t="n"/>
      <c r="Y83" s="280" t="n"/>
      <c r="Z83" s="236">
        <f>IF(AND(G83&lt;&gt;"",R83&lt;&gt;"",V83&lt;&gt;"",W83&lt;&gt;""),"COMPLETADO","OBSERVADO")</f>
        <v/>
      </c>
      <c r="AA83" s="284" t="n"/>
    </row>
    <row r="84" ht="15.75" customHeight="1" s="195">
      <c r="A84" s="334" t="n"/>
      <c r="B84" s="334" t="n"/>
      <c r="C84" s="334" t="n"/>
      <c r="D84" s="334" t="n"/>
      <c r="E84" s="334" t="n"/>
      <c r="F84" s="334" t="n"/>
      <c r="G84" s="334" t="n"/>
      <c r="H84" s="334" t="n"/>
      <c r="I84" s="332">
        <f>IFERROR(VLOOKUP(TEXT(H84,"0"),IPRESS!$A$3:$B$212,2,0),"")</f>
        <v/>
      </c>
      <c r="J84" s="334" t="n"/>
      <c r="K84" s="332">
        <f>IFERROR(VLOOKUP(TEXT(O84,"0"),CONDUCTORES!$A$3:$G$54,7,0),"")</f>
        <v/>
      </c>
      <c r="L84" s="334" t="n"/>
      <c r="M84" s="334" t="n"/>
      <c r="N84" s="333">
        <f>IFERROR(IF(L84*M84=0,"",L84*M84),"")</f>
        <v/>
      </c>
      <c r="O84" s="334" t="n"/>
      <c r="P84" s="332">
        <f>IFERROR(VLOOKUP(TEXT(O84,"0"),CONDUCTORES!$A$3:$G$54,2,0),"")</f>
        <v/>
      </c>
      <c r="Q84" s="332">
        <f>IFERROR(VLOOKUP(TEXT(O84,"0"),CONDUCTORES!$A$3:$H$54,6,0),"")</f>
        <v/>
      </c>
      <c r="R84" s="334" t="n"/>
      <c r="S84" s="334" t="n"/>
      <c r="T84" s="334" t="n"/>
      <c r="U84" s="334" t="n"/>
      <c r="V84" s="334" t="n"/>
      <c r="W84" s="334" t="n"/>
      <c r="X84" s="334" t="n"/>
      <c r="Y84" s="334" t="n"/>
      <c r="Z84" s="242">
        <f>IF(AND(G84&lt;&gt;"",R84&lt;&gt;"",V84&lt;&gt;"",W84&lt;&gt;""),"COMPLETADO","OBSERVADO")</f>
        <v/>
      </c>
      <c r="AA84" s="284" t="n"/>
    </row>
    <row r="85" ht="15.75" customHeight="1" s="195">
      <c r="A85" s="280" t="n"/>
      <c r="B85" s="280" t="n"/>
      <c r="C85" s="280" t="n"/>
      <c r="D85" s="280" t="n"/>
      <c r="E85" s="280" t="n"/>
      <c r="F85" s="280" t="n"/>
      <c r="G85" s="280" t="n"/>
      <c r="H85" s="280" t="n"/>
      <c r="I85" s="332">
        <f>IFERROR(VLOOKUP(TEXT(H85,"0"),IPRESS!$A$3:$B$212,2,0),"")</f>
        <v/>
      </c>
      <c r="J85" s="280" t="n"/>
      <c r="K85" s="332">
        <f>IFERROR(VLOOKUP(TEXT(O85,"0"),CONDUCTORES!$A$3:$G$54,7,0),"")</f>
        <v/>
      </c>
      <c r="L85" s="280" t="n"/>
      <c r="M85" s="280" t="n"/>
      <c r="N85" s="333">
        <f>IFERROR(IF(L85*M85=0,"",L85*M85),"")</f>
        <v/>
      </c>
      <c r="O85" s="280" t="n"/>
      <c r="P85" s="332">
        <f>IFERROR(VLOOKUP(TEXT(O85,"0"),CONDUCTORES!$A$3:$G$54,2,0),"")</f>
        <v/>
      </c>
      <c r="Q85" s="332">
        <f>IFERROR(VLOOKUP(TEXT(O85,"0"),CONDUCTORES!$A$3:$H$54,6,0),"")</f>
        <v/>
      </c>
      <c r="R85" s="280" t="n"/>
      <c r="S85" s="280" t="n"/>
      <c r="T85" s="280" t="n"/>
      <c r="U85" s="280" t="n"/>
      <c r="V85" s="280" t="n"/>
      <c r="W85" s="280" t="n"/>
      <c r="X85" s="280" t="n"/>
      <c r="Y85" s="280" t="n"/>
      <c r="Z85" s="236">
        <f>IF(AND(G85&lt;&gt;"",R85&lt;&gt;"",V85&lt;&gt;"",W85&lt;&gt;""),"COMPLETADO","OBSERVADO")</f>
        <v/>
      </c>
      <c r="AA85" s="284" t="n"/>
    </row>
    <row r="86" ht="15.75" customHeight="1" s="195">
      <c r="A86" s="334" t="n"/>
      <c r="B86" s="334" t="n"/>
      <c r="C86" s="334" t="n"/>
      <c r="D86" s="334" t="n"/>
      <c r="E86" s="334" t="n"/>
      <c r="F86" s="334" t="n"/>
      <c r="G86" s="334" t="n"/>
      <c r="H86" s="334" t="n"/>
      <c r="I86" s="332">
        <f>IFERROR(VLOOKUP(TEXT(H86,"0"),IPRESS!$A$3:$B$212,2,0),"")</f>
        <v/>
      </c>
      <c r="J86" s="334" t="n"/>
      <c r="K86" s="332">
        <f>IFERROR(VLOOKUP(TEXT(O86,"0"),CONDUCTORES!$A$3:$G$54,7,0),"")</f>
        <v/>
      </c>
      <c r="L86" s="334" t="n"/>
      <c r="M86" s="334" t="n"/>
      <c r="N86" s="333">
        <f>IFERROR(IF(L86*M86=0,"",L86*M86),"")</f>
        <v/>
      </c>
      <c r="O86" s="334" t="n"/>
      <c r="P86" s="332">
        <f>IFERROR(VLOOKUP(TEXT(O86,"0"),CONDUCTORES!$A$3:$G$54,2,0),"")</f>
        <v/>
      </c>
      <c r="Q86" s="332">
        <f>IFERROR(VLOOKUP(TEXT(O86,"0"),CONDUCTORES!$A$3:$H$54,6,0),"")</f>
        <v/>
      </c>
      <c r="R86" s="334" t="n"/>
      <c r="S86" s="334" t="n"/>
      <c r="T86" s="334" t="n"/>
      <c r="U86" s="334" t="n"/>
      <c r="V86" s="334" t="n"/>
      <c r="W86" s="334" t="n"/>
      <c r="X86" s="334" t="n"/>
      <c r="Y86" s="334" t="n"/>
      <c r="Z86" s="242">
        <f>IF(AND(G86&lt;&gt;"",R86&lt;&gt;"",V86&lt;&gt;"",W86&lt;&gt;""),"COMPLETADO","OBSERVADO")</f>
        <v/>
      </c>
      <c r="AA86" s="284" t="n"/>
    </row>
    <row r="87" ht="15.75" customHeight="1" s="195">
      <c r="A87" s="280" t="n"/>
      <c r="B87" s="280" t="n"/>
      <c r="C87" s="280" t="n"/>
      <c r="D87" s="280" t="n"/>
      <c r="E87" s="280" t="n"/>
      <c r="F87" s="280" t="n"/>
      <c r="G87" s="280" t="n"/>
      <c r="H87" s="280" t="n"/>
      <c r="I87" s="332">
        <f>IFERROR(VLOOKUP(TEXT(H87,"0"),IPRESS!$A$3:$B$212,2,0),"")</f>
        <v/>
      </c>
      <c r="J87" s="280" t="n"/>
      <c r="K87" s="332">
        <f>IFERROR(VLOOKUP(TEXT(O87,"0"),CONDUCTORES!$A$3:$G$54,7,0),"")</f>
        <v/>
      </c>
      <c r="L87" s="280" t="n"/>
      <c r="M87" s="280" t="n"/>
      <c r="N87" s="333">
        <f>IFERROR(IF(L87*M87=0,"",L87*M87),"")</f>
        <v/>
      </c>
      <c r="O87" s="280" t="n"/>
      <c r="P87" s="332">
        <f>IFERROR(VLOOKUP(TEXT(O87,"0"),CONDUCTORES!$A$3:$G$54,2,0),"")</f>
        <v/>
      </c>
      <c r="Q87" s="332">
        <f>IFERROR(VLOOKUP(TEXT(O87,"0"),CONDUCTORES!$A$3:$H$54,6,0),"")</f>
        <v/>
      </c>
      <c r="R87" s="280" t="n"/>
      <c r="S87" s="280" t="n"/>
      <c r="T87" s="280" t="n"/>
      <c r="U87" s="280" t="n"/>
      <c r="V87" s="280" t="n"/>
      <c r="W87" s="280" t="n"/>
      <c r="X87" s="280" t="n"/>
      <c r="Y87" s="280" t="n"/>
      <c r="Z87" s="236">
        <f>IF(AND(G87&lt;&gt;"",R87&lt;&gt;"",V87&lt;&gt;"",W87&lt;&gt;""),"COMPLETADO","OBSERVADO")</f>
        <v/>
      </c>
      <c r="AA87" s="284" t="n"/>
    </row>
    <row r="88" ht="15.75" customHeight="1" s="195">
      <c r="A88" s="334" t="n"/>
      <c r="B88" s="334" t="n"/>
      <c r="C88" s="334" t="n"/>
      <c r="D88" s="334" t="n"/>
      <c r="E88" s="334" t="n"/>
      <c r="F88" s="334" t="n"/>
      <c r="G88" s="334" t="n"/>
      <c r="H88" s="334" t="n"/>
      <c r="I88" s="332">
        <f>IFERROR(VLOOKUP(TEXT(H88,"0"),IPRESS!$A$3:$B$212,2,0),"")</f>
        <v/>
      </c>
      <c r="J88" s="334" t="n"/>
      <c r="K88" s="332">
        <f>IFERROR(VLOOKUP(TEXT(O88,"0"),CONDUCTORES!$A$3:$G$54,7,0),"")</f>
        <v/>
      </c>
      <c r="L88" s="334" t="n"/>
      <c r="M88" s="334" t="n"/>
      <c r="N88" s="333">
        <f>IFERROR(IF(L88*M88=0,"",L88*M88),"")</f>
        <v/>
      </c>
      <c r="O88" s="334" t="n"/>
      <c r="P88" s="332">
        <f>IFERROR(VLOOKUP(TEXT(O88,"0"),CONDUCTORES!$A$3:$G$54,2,0),"")</f>
        <v/>
      </c>
      <c r="Q88" s="332">
        <f>IFERROR(VLOOKUP(TEXT(O88,"0"),CONDUCTORES!$A$3:$H$54,6,0),"")</f>
        <v/>
      </c>
      <c r="R88" s="334" t="n"/>
      <c r="S88" s="334" t="n"/>
      <c r="T88" s="334" t="n"/>
      <c r="U88" s="334" t="n"/>
      <c r="V88" s="334" t="n"/>
      <c r="W88" s="334" t="n"/>
      <c r="X88" s="334" t="n"/>
      <c r="Y88" s="334" t="n"/>
      <c r="Z88" s="242">
        <f>IF(AND(G88&lt;&gt;"",R88&lt;&gt;"",V88&lt;&gt;"",W88&lt;&gt;""),"COMPLETADO","OBSERVADO")</f>
        <v/>
      </c>
      <c r="AA88" s="284" t="n"/>
    </row>
    <row r="89" ht="15.75" customHeight="1" s="195">
      <c r="A89" s="280" t="n"/>
      <c r="B89" s="280" t="n"/>
      <c r="C89" s="280" t="n"/>
      <c r="D89" s="280" t="n"/>
      <c r="E89" s="280" t="n"/>
      <c r="F89" s="280" t="n"/>
      <c r="G89" s="280" t="n"/>
      <c r="H89" s="280" t="n"/>
      <c r="I89" s="332">
        <f>IFERROR(VLOOKUP(TEXT(H89,"0"),IPRESS!$A$3:$B$212,2,0),"")</f>
        <v/>
      </c>
      <c r="J89" s="280" t="n"/>
      <c r="K89" s="332">
        <f>IFERROR(VLOOKUP(TEXT(O89,"0"),CONDUCTORES!$A$3:$G$54,7,0),"")</f>
        <v/>
      </c>
      <c r="L89" s="280" t="n"/>
      <c r="M89" s="280" t="n"/>
      <c r="N89" s="333">
        <f>IFERROR(IF(L89*M89=0,"",L89*M89),"")</f>
        <v/>
      </c>
      <c r="O89" s="280" t="n"/>
      <c r="P89" s="332">
        <f>IFERROR(VLOOKUP(TEXT(O89,"0"),CONDUCTORES!$A$3:$G$54,2,0),"")</f>
        <v/>
      </c>
      <c r="Q89" s="332">
        <f>IFERROR(VLOOKUP(TEXT(O89,"0"),CONDUCTORES!$A$3:$H$54,6,0),"")</f>
        <v/>
      </c>
      <c r="R89" s="280" t="n"/>
      <c r="S89" s="280" t="n"/>
      <c r="T89" s="280" t="n"/>
      <c r="U89" s="280" t="n"/>
      <c r="V89" s="280" t="n"/>
      <c r="W89" s="280" t="n"/>
      <c r="X89" s="280" t="n"/>
      <c r="Y89" s="280" t="n"/>
      <c r="Z89" s="236">
        <f>IF(AND(G89&lt;&gt;"",R89&lt;&gt;"",V89&lt;&gt;"",W89&lt;&gt;""),"COMPLETADO","OBSERVADO")</f>
        <v/>
      </c>
      <c r="AA89" s="284" t="n"/>
    </row>
    <row r="90" ht="15.75" customHeight="1" s="195">
      <c r="A90" s="334" t="n"/>
      <c r="B90" s="334" t="n"/>
      <c r="C90" s="334" t="n"/>
      <c r="D90" s="334" t="n"/>
      <c r="E90" s="334" t="n"/>
      <c r="F90" s="334" t="n"/>
      <c r="G90" s="334" t="n"/>
      <c r="H90" s="334" t="n"/>
      <c r="I90" s="332">
        <f>IFERROR(VLOOKUP(TEXT(H90,"0"),IPRESS!$A$3:$B$212,2,0),"")</f>
        <v/>
      </c>
      <c r="J90" s="334" t="n"/>
      <c r="K90" s="332">
        <f>IFERROR(VLOOKUP(TEXT(O90,"0"),CONDUCTORES!$A$3:$G$54,7,0),"")</f>
        <v/>
      </c>
      <c r="L90" s="334" t="n"/>
      <c r="M90" s="334" t="n"/>
      <c r="N90" s="333">
        <f>IFERROR(IF(L90*M90=0,"",L90*M90),"")</f>
        <v/>
      </c>
      <c r="O90" s="334" t="n"/>
      <c r="P90" s="332">
        <f>IFERROR(VLOOKUP(TEXT(O90,"0"),CONDUCTORES!$A$3:$G$54,2,0),"")</f>
        <v/>
      </c>
      <c r="Q90" s="332">
        <f>IFERROR(VLOOKUP(TEXT(O90,"0"),CONDUCTORES!$A$3:$H$54,6,0),"")</f>
        <v/>
      </c>
      <c r="R90" s="334" t="n"/>
      <c r="S90" s="334" t="n"/>
      <c r="T90" s="334" t="n"/>
      <c r="U90" s="334" t="n"/>
      <c r="V90" s="334" t="n"/>
      <c r="W90" s="334" t="n"/>
      <c r="X90" s="334" t="n"/>
      <c r="Y90" s="334" t="n"/>
      <c r="Z90" s="242">
        <f>IF(AND(G90&lt;&gt;"",R90&lt;&gt;"",V90&lt;&gt;"",W90&lt;&gt;""),"COMPLETADO","OBSERVADO")</f>
        <v/>
      </c>
      <c r="AA90" s="284" t="n"/>
    </row>
    <row r="91" ht="15.75" customHeight="1" s="195">
      <c r="A91" s="280" t="n"/>
      <c r="B91" s="280" t="n"/>
      <c r="C91" s="280" t="n"/>
      <c r="D91" s="280" t="n"/>
      <c r="E91" s="280" t="n"/>
      <c r="F91" s="280" t="n"/>
      <c r="G91" s="280" t="n"/>
      <c r="H91" s="280" t="n"/>
      <c r="I91" s="332">
        <f>IFERROR(VLOOKUP(TEXT(H91,"0"),IPRESS!$A$3:$B$212,2,0),"")</f>
        <v/>
      </c>
      <c r="J91" s="280" t="n"/>
      <c r="K91" s="332">
        <f>IFERROR(VLOOKUP(TEXT(O91,"0"),CONDUCTORES!$A$3:$G$54,7,0),"")</f>
        <v/>
      </c>
      <c r="L91" s="280" t="n"/>
      <c r="M91" s="280" t="n"/>
      <c r="N91" s="333">
        <f>IFERROR(IF(L91*M91=0,"",L91*M91),"")</f>
        <v/>
      </c>
      <c r="O91" s="280" t="n"/>
      <c r="P91" s="332">
        <f>IFERROR(VLOOKUP(TEXT(O91,"0"),CONDUCTORES!$A$3:$G$54,2,0),"")</f>
        <v/>
      </c>
      <c r="Q91" s="332">
        <f>IFERROR(VLOOKUP(TEXT(O91,"0"),CONDUCTORES!$A$3:$H$54,6,0),"")</f>
        <v/>
      </c>
      <c r="R91" s="280" t="n"/>
      <c r="S91" s="280" t="n"/>
      <c r="T91" s="280" t="n"/>
      <c r="U91" s="280" t="n"/>
      <c r="V91" s="280" t="n"/>
      <c r="W91" s="280" t="n"/>
      <c r="X91" s="280" t="n"/>
      <c r="Y91" s="280" t="n"/>
      <c r="Z91" s="236">
        <f>IF(AND(G91&lt;&gt;"",R91&lt;&gt;"",V91&lt;&gt;"",W91&lt;&gt;""),"COMPLETADO","OBSERVADO")</f>
        <v/>
      </c>
      <c r="AA91" s="284" t="n"/>
    </row>
    <row r="92" ht="15.75" customHeight="1" s="195">
      <c r="A92" s="334" t="n"/>
      <c r="B92" s="334" t="n"/>
      <c r="C92" s="334" t="n"/>
      <c r="D92" s="334" t="n"/>
      <c r="E92" s="334" t="n"/>
      <c r="F92" s="334" t="n"/>
      <c r="G92" s="334" t="n"/>
      <c r="H92" s="334" t="n"/>
      <c r="I92" s="332">
        <f>IFERROR(VLOOKUP(TEXT(H92,"0"),IPRESS!$A$3:$B$212,2,0),"")</f>
        <v/>
      </c>
      <c r="J92" s="334" t="n"/>
      <c r="K92" s="332">
        <f>IFERROR(VLOOKUP(TEXT(O92,"0"),CONDUCTORES!$A$3:$G$54,7,0),"")</f>
        <v/>
      </c>
      <c r="L92" s="334" t="n"/>
      <c r="M92" s="334" t="n"/>
      <c r="N92" s="333">
        <f>IFERROR(IF(L92*M92=0,"",L92*M92),"")</f>
        <v/>
      </c>
      <c r="O92" s="334" t="n"/>
      <c r="P92" s="332">
        <f>IFERROR(VLOOKUP(TEXT(O92,"0"),CONDUCTORES!$A$3:$G$54,2,0),"")</f>
        <v/>
      </c>
      <c r="Q92" s="332">
        <f>IFERROR(VLOOKUP(TEXT(O92,"0"),CONDUCTORES!$A$3:$H$54,6,0),"")</f>
        <v/>
      </c>
      <c r="R92" s="334" t="n"/>
      <c r="S92" s="334" t="n"/>
      <c r="T92" s="334" t="n"/>
      <c r="U92" s="334" t="n"/>
      <c r="V92" s="334" t="n"/>
      <c r="W92" s="334" t="n"/>
      <c r="X92" s="334" t="n"/>
      <c r="Y92" s="334" t="n"/>
      <c r="Z92" s="242">
        <f>IF(AND(G92&lt;&gt;"",R92&lt;&gt;"",V92&lt;&gt;"",W92&lt;&gt;""),"COMPLETADO","OBSERVADO")</f>
        <v/>
      </c>
      <c r="AA92" s="284" t="n"/>
    </row>
    <row r="93" ht="15.75" customHeight="1" s="195">
      <c r="A93" s="280" t="n"/>
      <c r="B93" s="280" t="n"/>
      <c r="C93" s="280" t="n"/>
      <c r="D93" s="280" t="n"/>
      <c r="E93" s="280" t="n"/>
      <c r="F93" s="280" t="n"/>
      <c r="G93" s="280" t="n"/>
      <c r="H93" s="280" t="n"/>
      <c r="I93" s="332">
        <f>IFERROR(VLOOKUP(TEXT(H93,"0"),IPRESS!$A$3:$B$212,2,0),"")</f>
        <v/>
      </c>
      <c r="J93" s="280" t="n"/>
      <c r="K93" s="332">
        <f>IFERROR(VLOOKUP(TEXT(O93,"0"),CONDUCTORES!$A$3:$G$54,7,0),"")</f>
        <v/>
      </c>
      <c r="L93" s="280" t="n"/>
      <c r="M93" s="280" t="n"/>
      <c r="N93" s="333">
        <f>IFERROR(IF(L93*M93=0,"",L93*M93),"")</f>
        <v/>
      </c>
      <c r="O93" s="280" t="n"/>
      <c r="P93" s="332">
        <f>IFERROR(VLOOKUP(TEXT(O93,"0"),CONDUCTORES!$A$3:$G$54,2,0),"")</f>
        <v/>
      </c>
      <c r="Q93" s="332">
        <f>IFERROR(VLOOKUP(TEXT(O93,"0"),CONDUCTORES!$A$3:$H$54,6,0),"")</f>
        <v/>
      </c>
      <c r="R93" s="280" t="n"/>
      <c r="S93" s="280" t="n"/>
      <c r="T93" s="280" t="n"/>
      <c r="U93" s="280" t="n"/>
      <c r="V93" s="280" t="n"/>
      <c r="W93" s="280" t="n"/>
      <c r="X93" s="280" t="n"/>
      <c r="Y93" s="280" t="n"/>
      <c r="Z93" s="236">
        <f>IF(AND(G93&lt;&gt;"",R93&lt;&gt;"",V93&lt;&gt;"",W93&lt;&gt;""),"COMPLETADO","OBSERVADO")</f>
        <v/>
      </c>
      <c r="AA93" s="284" t="n"/>
    </row>
    <row r="94" ht="15.75" customHeight="1" s="195">
      <c r="A94" s="334" t="n"/>
      <c r="B94" s="334" t="n"/>
      <c r="C94" s="334" t="n"/>
      <c r="D94" s="334" t="n"/>
      <c r="E94" s="334" t="n"/>
      <c r="F94" s="334" t="n"/>
      <c r="G94" s="334" t="n"/>
      <c r="H94" s="334" t="n"/>
      <c r="I94" s="332">
        <f>IFERROR(VLOOKUP(TEXT(H94,"0"),IPRESS!$A$3:$B$212,2,0),"")</f>
        <v/>
      </c>
      <c r="J94" s="334" t="n"/>
      <c r="K94" s="332">
        <f>IFERROR(VLOOKUP(TEXT(O94,"0"),CONDUCTORES!$A$3:$G$54,7,0),"")</f>
        <v/>
      </c>
      <c r="L94" s="334" t="n"/>
      <c r="M94" s="334" t="n"/>
      <c r="N94" s="333">
        <f>IFERROR(IF(L94*M94=0,"",L94*M94),"")</f>
        <v/>
      </c>
      <c r="O94" s="334" t="n"/>
      <c r="P94" s="332">
        <f>IFERROR(VLOOKUP(TEXT(O94,"0"),CONDUCTORES!$A$3:$G$54,2,0),"")</f>
        <v/>
      </c>
      <c r="Q94" s="332">
        <f>IFERROR(VLOOKUP(TEXT(O94,"0"),CONDUCTORES!$A$3:$H$54,6,0),"")</f>
        <v/>
      </c>
      <c r="R94" s="334" t="n"/>
      <c r="S94" s="334" t="n"/>
      <c r="T94" s="334" t="n"/>
      <c r="U94" s="334" t="n"/>
      <c r="V94" s="334" t="n"/>
      <c r="W94" s="334" t="n"/>
      <c r="X94" s="334" t="n"/>
      <c r="Y94" s="334" t="n"/>
      <c r="Z94" s="242">
        <f>IF(AND(G94&lt;&gt;"",R94&lt;&gt;"",V94&lt;&gt;"",W94&lt;&gt;""),"COMPLETADO","OBSERVADO")</f>
        <v/>
      </c>
      <c r="AA94" s="284" t="n"/>
    </row>
    <row r="95" ht="15.75" customHeight="1" s="195">
      <c r="A95" s="280" t="n"/>
      <c r="B95" s="280" t="n"/>
      <c r="C95" s="280" t="n"/>
      <c r="D95" s="280" t="n"/>
      <c r="E95" s="280" t="n"/>
      <c r="F95" s="280" t="n"/>
      <c r="G95" s="280" t="n"/>
      <c r="H95" s="280" t="n"/>
      <c r="I95" s="332">
        <f>IFERROR(VLOOKUP(TEXT(H95,"0"),IPRESS!$A$3:$B$212,2,0),"")</f>
        <v/>
      </c>
      <c r="J95" s="280" t="n"/>
      <c r="K95" s="332">
        <f>IFERROR(VLOOKUP(TEXT(O95,"0"),CONDUCTORES!$A$3:$G$54,7,0),"")</f>
        <v/>
      </c>
      <c r="L95" s="280" t="n"/>
      <c r="M95" s="280" t="n"/>
      <c r="N95" s="333">
        <f>IFERROR(IF(L95*M95=0,"",L95*M95),"")</f>
        <v/>
      </c>
      <c r="O95" s="280" t="n"/>
      <c r="P95" s="332">
        <f>IFERROR(VLOOKUP(TEXT(O95,"0"),CONDUCTORES!$A$3:$G$54,2,0),"")</f>
        <v/>
      </c>
      <c r="Q95" s="332">
        <f>IFERROR(VLOOKUP(TEXT(O95,"0"),CONDUCTORES!$A$3:$H$54,6,0),"")</f>
        <v/>
      </c>
      <c r="R95" s="280" t="n"/>
      <c r="S95" s="280" t="n"/>
      <c r="T95" s="280" t="n"/>
      <c r="U95" s="280" t="n"/>
      <c r="V95" s="280" t="n"/>
      <c r="W95" s="280" t="n"/>
      <c r="X95" s="280" t="n"/>
      <c r="Y95" s="280" t="n"/>
      <c r="Z95" s="236">
        <f>IF(AND(G95&lt;&gt;"",R95&lt;&gt;"",V95&lt;&gt;"",W95&lt;&gt;""),"COMPLETADO","OBSERVADO")</f>
        <v/>
      </c>
      <c r="AA95" s="284" t="n"/>
    </row>
    <row r="96" ht="15.75" customHeight="1" s="195">
      <c r="A96" s="334" t="n"/>
      <c r="B96" s="334" t="n"/>
      <c r="C96" s="334" t="n"/>
      <c r="D96" s="334" t="n"/>
      <c r="E96" s="334" t="n"/>
      <c r="F96" s="334" t="n"/>
      <c r="G96" s="334" t="n"/>
      <c r="H96" s="334" t="n"/>
      <c r="I96" s="332">
        <f>IFERROR(VLOOKUP(TEXT(H96,"0"),IPRESS!$A$3:$B$212,2,0),"")</f>
        <v/>
      </c>
      <c r="J96" s="334" t="n"/>
      <c r="K96" s="332">
        <f>IFERROR(VLOOKUP(TEXT(O96,"0"),CONDUCTORES!$A$3:$G$54,7,0),"")</f>
        <v/>
      </c>
      <c r="L96" s="334" t="n"/>
      <c r="M96" s="334" t="n"/>
      <c r="N96" s="333">
        <f>IFERROR(IF(L96*M96=0,"",L96*M96),"")</f>
        <v/>
      </c>
      <c r="O96" s="334" t="n"/>
      <c r="P96" s="332">
        <f>IFERROR(VLOOKUP(TEXT(O96,"0"),CONDUCTORES!$A$3:$G$54,2,0),"")</f>
        <v/>
      </c>
      <c r="Q96" s="332">
        <f>IFERROR(VLOOKUP(TEXT(O96,"0"),CONDUCTORES!$A$3:$H$54,6,0),"")</f>
        <v/>
      </c>
      <c r="R96" s="334" t="n"/>
      <c r="S96" s="334" t="n"/>
      <c r="T96" s="334" t="n"/>
      <c r="U96" s="334" t="n"/>
      <c r="V96" s="334" t="n"/>
      <c r="W96" s="334" t="n"/>
      <c r="X96" s="334" t="n"/>
      <c r="Y96" s="334" t="n"/>
      <c r="Z96" s="242">
        <f>IF(AND(G96&lt;&gt;"",R96&lt;&gt;"",V96&lt;&gt;"",W96&lt;&gt;""),"COMPLETADO","OBSERVADO")</f>
        <v/>
      </c>
      <c r="AA96" s="284" t="n"/>
    </row>
    <row r="97" ht="15.75" customHeight="1" s="195">
      <c r="A97" s="280" t="n"/>
      <c r="B97" s="280" t="n"/>
      <c r="C97" s="280" t="n"/>
      <c r="D97" s="280" t="n"/>
      <c r="E97" s="280" t="n"/>
      <c r="F97" s="280" t="n"/>
      <c r="G97" s="280" t="n"/>
      <c r="H97" s="280" t="n"/>
      <c r="I97" s="332">
        <f>IFERROR(VLOOKUP(TEXT(H97,"0"),IPRESS!$A$3:$B$212,2,0),"")</f>
        <v/>
      </c>
      <c r="J97" s="280" t="n"/>
      <c r="K97" s="332">
        <f>IFERROR(VLOOKUP(TEXT(O97,"0"),CONDUCTORES!$A$3:$G$54,7,0),"")</f>
        <v/>
      </c>
      <c r="L97" s="280" t="n"/>
      <c r="M97" s="280" t="n"/>
      <c r="N97" s="333">
        <f>IFERROR(IF(L97*M97=0,"",L97*M97),"")</f>
        <v/>
      </c>
      <c r="O97" s="280" t="n"/>
      <c r="P97" s="332">
        <f>IFERROR(VLOOKUP(TEXT(O97,"0"),CONDUCTORES!$A$3:$G$54,2,0),"")</f>
        <v/>
      </c>
      <c r="Q97" s="332">
        <f>IFERROR(VLOOKUP(TEXT(O97,"0"),CONDUCTORES!$A$3:$H$54,6,0),"")</f>
        <v/>
      </c>
      <c r="R97" s="280" t="n"/>
      <c r="S97" s="280" t="n"/>
      <c r="T97" s="280" t="n"/>
      <c r="U97" s="280" t="n"/>
      <c r="V97" s="280" t="n"/>
      <c r="W97" s="280" t="n"/>
      <c r="X97" s="280" t="n"/>
      <c r="Y97" s="280" t="n"/>
      <c r="Z97" s="236">
        <f>IF(AND(G97&lt;&gt;"",R97&lt;&gt;"",V97&lt;&gt;"",W97&lt;&gt;""),"COMPLETADO","OBSERVADO")</f>
        <v/>
      </c>
      <c r="AA97" s="284" t="n"/>
    </row>
    <row r="98" ht="15.75" customHeight="1" s="195">
      <c r="A98" s="334" t="n"/>
      <c r="B98" s="334" t="n"/>
      <c r="C98" s="334" t="n"/>
      <c r="D98" s="334" t="n"/>
      <c r="E98" s="334" t="n"/>
      <c r="F98" s="334" t="n"/>
      <c r="G98" s="334" t="n"/>
      <c r="H98" s="334" t="n"/>
      <c r="I98" s="332">
        <f>IFERROR(VLOOKUP(TEXT(H98,"0"),IPRESS!$A$3:$B$212,2,0),"")</f>
        <v/>
      </c>
      <c r="J98" s="334" t="n"/>
      <c r="K98" s="332">
        <f>IFERROR(VLOOKUP(TEXT(O98,"0"),CONDUCTORES!$A$3:$G$54,7,0),"")</f>
        <v/>
      </c>
      <c r="L98" s="334" t="n"/>
      <c r="M98" s="334" t="n"/>
      <c r="N98" s="333">
        <f>IFERROR(IF(L98*M98=0,"",L98*M98),"")</f>
        <v/>
      </c>
      <c r="O98" s="334" t="n"/>
      <c r="P98" s="332">
        <f>IFERROR(VLOOKUP(TEXT(O98,"0"),CONDUCTORES!$A$3:$G$54,2,0),"")</f>
        <v/>
      </c>
      <c r="Q98" s="332">
        <f>IFERROR(VLOOKUP(TEXT(O98,"0"),CONDUCTORES!$A$3:$H$54,6,0),"")</f>
        <v/>
      </c>
      <c r="R98" s="334" t="n"/>
      <c r="S98" s="334" t="n"/>
      <c r="T98" s="334" t="n"/>
      <c r="U98" s="334" t="n"/>
      <c r="V98" s="334" t="n"/>
      <c r="W98" s="334" t="n"/>
      <c r="X98" s="334" t="n"/>
      <c r="Y98" s="334" t="n"/>
      <c r="Z98" s="242">
        <f>IF(AND(G98&lt;&gt;"",R98&lt;&gt;"",V98&lt;&gt;"",W98&lt;&gt;""),"COMPLETADO","OBSERVADO")</f>
        <v/>
      </c>
      <c r="AA98" s="284" t="n"/>
    </row>
    <row r="99" ht="15.75" customHeight="1" s="195">
      <c r="A99" s="280" t="n"/>
      <c r="B99" s="280" t="n"/>
      <c r="C99" s="280" t="n"/>
      <c r="D99" s="280" t="n"/>
      <c r="E99" s="280" t="n"/>
      <c r="F99" s="280" t="n"/>
      <c r="G99" s="280" t="n"/>
      <c r="H99" s="280" t="n"/>
      <c r="I99" s="332">
        <f>IFERROR(VLOOKUP(TEXT(H99,"0"),IPRESS!$A$3:$B$212,2,0),"")</f>
        <v/>
      </c>
      <c r="J99" s="280" t="n"/>
      <c r="K99" s="332">
        <f>IFERROR(VLOOKUP(TEXT(O99,"0"),CONDUCTORES!$A$3:$G$54,7,0),"")</f>
        <v/>
      </c>
      <c r="L99" s="280" t="n"/>
      <c r="M99" s="280" t="n"/>
      <c r="N99" s="333">
        <f>IFERROR(IF(L99*M99=0,"",L99*M99),"")</f>
        <v/>
      </c>
      <c r="O99" s="280" t="n"/>
      <c r="P99" s="332">
        <f>IFERROR(VLOOKUP(TEXT(O99,"0"),CONDUCTORES!$A$3:$G$54,2,0),"")</f>
        <v/>
      </c>
      <c r="Q99" s="332">
        <f>IFERROR(VLOOKUP(TEXT(O99,"0"),CONDUCTORES!$A$3:$H$54,6,0),"")</f>
        <v/>
      </c>
      <c r="R99" s="280" t="n"/>
      <c r="S99" s="280" t="n"/>
      <c r="T99" s="280" t="n"/>
      <c r="U99" s="280" t="n"/>
      <c r="V99" s="280" t="n"/>
      <c r="W99" s="280" t="n"/>
      <c r="X99" s="280" t="n"/>
      <c r="Y99" s="280" t="n"/>
      <c r="Z99" s="236">
        <f>IF(AND(G99&lt;&gt;"",R99&lt;&gt;"",V99&lt;&gt;"",W99&lt;&gt;""),"COMPLETADO","OBSERVADO")</f>
        <v/>
      </c>
      <c r="AA99" s="284" t="n"/>
    </row>
    <row r="100" ht="15.75" customHeight="1" s="195">
      <c r="A100" s="334" t="n"/>
      <c r="B100" s="334" t="n"/>
      <c r="C100" s="334" t="n"/>
      <c r="D100" s="334" t="n"/>
      <c r="E100" s="334" t="n"/>
      <c r="F100" s="334" t="n"/>
      <c r="G100" s="334" t="n"/>
      <c r="H100" s="334" t="n"/>
      <c r="I100" s="332">
        <f>IFERROR(VLOOKUP(TEXT(H100,"0"),IPRESS!$A$3:$B$212,2,0),"")</f>
        <v/>
      </c>
      <c r="J100" s="334" t="n"/>
      <c r="K100" s="332">
        <f>IFERROR(VLOOKUP(TEXT(O100,"0"),CONDUCTORES!$A$3:$G$54,7,0),"")</f>
        <v/>
      </c>
      <c r="L100" s="334" t="n"/>
      <c r="M100" s="334" t="n"/>
      <c r="N100" s="333">
        <f>IFERROR(IF(L100*M100=0,"",L100*M100),"")</f>
        <v/>
      </c>
      <c r="O100" s="334" t="n"/>
      <c r="P100" s="332">
        <f>IFERROR(VLOOKUP(TEXT(O100,"0"),CONDUCTORES!$A$3:$G$54,2,0),"")</f>
        <v/>
      </c>
      <c r="Q100" s="332">
        <f>IFERROR(VLOOKUP(TEXT(O100,"0"),CONDUCTORES!$A$3:$H$54,6,0),"")</f>
        <v/>
      </c>
      <c r="R100" s="334" t="n"/>
      <c r="S100" s="334" t="n"/>
      <c r="T100" s="334" t="n"/>
      <c r="U100" s="334" t="n"/>
      <c r="V100" s="334" t="n"/>
      <c r="W100" s="334" t="n"/>
      <c r="X100" s="334" t="n"/>
      <c r="Y100" s="334" t="n"/>
      <c r="Z100" s="242">
        <f>IF(AND(G100&lt;&gt;"",R100&lt;&gt;"",V100&lt;&gt;"",W100&lt;&gt;""),"COMPLETADO","OBSERVADO")</f>
        <v/>
      </c>
      <c r="AA100" s="284" t="n"/>
    </row>
    <row r="101" ht="15.75" customHeight="1" s="195">
      <c r="A101" s="280" t="n"/>
      <c r="B101" s="280" t="n"/>
      <c r="C101" s="280" t="n"/>
      <c r="D101" s="280" t="n"/>
      <c r="E101" s="280" t="n"/>
      <c r="F101" s="280" t="n"/>
      <c r="G101" s="280" t="n"/>
      <c r="H101" s="280" t="n"/>
      <c r="I101" s="332">
        <f>IFERROR(VLOOKUP(TEXT(H101,"0"),IPRESS!$A$3:$B$212,2,0),"")</f>
        <v/>
      </c>
      <c r="J101" s="280" t="n"/>
      <c r="K101" s="332">
        <f>IFERROR(VLOOKUP(TEXT(O101,"0"),CONDUCTORES!$A$3:$G$54,7,0),"")</f>
        <v/>
      </c>
      <c r="L101" s="280" t="n"/>
      <c r="M101" s="280" t="n"/>
      <c r="N101" s="333">
        <f>IFERROR(IF(L101*M101=0,"",L101*M101),"")</f>
        <v/>
      </c>
      <c r="O101" s="280" t="n"/>
      <c r="P101" s="332">
        <f>IFERROR(VLOOKUP(TEXT(O101,"0"),CONDUCTORES!$A$3:$G$54,2,0),"")</f>
        <v/>
      </c>
      <c r="Q101" s="332">
        <f>IFERROR(VLOOKUP(TEXT(O101,"0"),CONDUCTORES!$A$3:$H$54,6,0),"")</f>
        <v/>
      </c>
      <c r="R101" s="280" t="n"/>
      <c r="S101" s="280" t="n"/>
      <c r="T101" s="280" t="n"/>
      <c r="U101" s="280" t="n"/>
      <c r="V101" s="280" t="n"/>
      <c r="W101" s="280" t="n"/>
      <c r="X101" s="280" t="n"/>
      <c r="Y101" s="280" t="n"/>
      <c r="Z101" s="236">
        <f>IF(AND(G101&lt;&gt;"",R101&lt;&gt;"",V101&lt;&gt;"",W101&lt;&gt;""),"COMPLETADO","OBSERVADO")</f>
        <v/>
      </c>
      <c r="AA101" s="284" t="n"/>
    </row>
    <row r="102" ht="15.75" customHeight="1" s="195">
      <c r="A102" s="334" t="n"/>
      <c r="B102" s="334" t="n"/>
      <c r="C102" s="334" t="n"/>
      <c r="D102" s="334" t="n"/>
      <c r="E102" s="334" t="n"/>
      <c r="F102" s="334" t="n"/>
      <c r="G102" s="334" t="n"/>
      <c r="H102" s="334" t="n"/>
      <c r="I102" s="332">
        <f>IFERROR(VLOOKUP(TEXT(H102,"0"),IPRESS!$A$3:$B$212,2,0),"")</f>
        <v/>
      </c>
      <c r="J102" s="334" t="n"/>
      <c r="K102" s="332">
        <f>IFERROR(VLOOKUP(TEXT(O102,"0"),CONDUCTORES!$A$3:$G$54,7,0),"")</f>
        <v/>
      </c>
      <c r="L102" s="334" t="n"/>
      <c r="M102" s="334" t="n"/>
      <c r="N102" s="333">
        <f>IFERROR(IF(L102*M102=0,"",L102*M102),"")</f>
        <v/>
      </c>
      <c r="O102" s="334" t="n"/>
      <c r="P102" s="332">
        <f>IFERROR(VLOOKUP(TEXT(O102,"0"),CONDUCTORES!$A$3:$G$54,2,0),"")</f>
        <v/>
      </c>
      <c r="Q102" s="332">
        <f>IFERROR(VLOOKUP(TEXT(O102,"0"),CONDUCTORES!$A$3:$H$54,6,0),"")</f>
        <v/>
      </c>
      <c r="R102" s="334" t="n"/>
      <c r="S102" s="334" t="n"/>
      <c r="T102" s="334" t="n"/>
      <c r="U102" s="334" t="n"/>
      <c r="V102" s="334" t="n"/>
      <c r="W102" s="334" t="n"/>
      <c r="X102" s="334" t="n"/>
      <c r="Y102" s="334" t="n"/>
      <c r="Z102" s="242">
        <f>IF(AND(G102&lt;&gt;"",R102&lt;&gt;"",V102&lt;&gt;"",W102&lt;&gt;""),"COMPLETADO","OBSERVADO")</f>
        <v/>
      </c>
      <c r="AA102" s="284" t="n"/>
    </row>
    <row r="103" ht="15.75" customHeight="1" s="195">
      <c r="A103" s="280" t="n"/>
      <c r="B103" s="280" t="n"/>
      <c r="C103" s="280" t="n"/>
      <c r="D103" s="280" t="n"/>
      <c r="E103" s="280" t="n"/>
      <c r="F103" s="280" t="n"/>
      <c r="G103" s="280" t="n"/>
      <c r="H103" s="280" t="n"/>
      <c r="I103" s="332">
        <f>IFERROR(VLOOKUP(TEXT(H103,"0"),IPRESS!$A$3:$B$212,2,0),"")</f>
        <v/>
      </c>
      <c r="J103" s="280" t="n"/>
      <c r="K103" s="332">
        <f>IFERROR(VLOOKUP(TEXT(O103,"0"),CONDUCTORES!$A$3:$G$54,7,0),"")</f>
        <v/>
      </c>
      <c r="L103" s="280" t="n"/>
      <c r="M103" s="280" t="n"/>
      <c r="N103" s="333">
        <f>IFERROR(IF(L103*M103=0,"",L103*M103),"")</f>
        <v/>
      </c>
      <c r="O103" s="280" t="n"/>
      <c r="P103" s="332">
        <f>IFERROR(VLOOKUP(TEXT(O103,"0"),CONDUCTORES!$A$3:$G$54,2,0),"")</f>
        <v/>
      </c>
      <c r="Q103" s="332">
        <f>IFERROR(VLOOKUP(TEXT(O103,"0"),CONDUCTORES!$A$3:$H$54,6,0),"")</f>
        <v/>
      </c>
      <c r="R103" s="280" t="n"/>
      <c r="S103" s="280" t="n"/>
      <c r="T103" s="280" t="n"/>
      <c r="U103" s="280" t="n"/>
      <c r="V103" s="280" t="n"/>
      <c r="W103" s="280" t="n"/>
      <c r="X103" s="280" t="n"/>
      <c r="Y103" s="280" t="n"/>
      <c r="Z103" s="236">
        <f>IF(AND(G103&lt;&gt;"",R103&lt;&gt;"",V103&lt;&gt;"",W103&lt;&gt;""),"COMPLETADO","OBSERVADO")</f>
        <v/>
      </c>
      <c r="AA103" s="284" t="n"/>
    </row>
    <row r="104" ht="15.75" customHeight="1" s="195">
      <c r="A104" s="334" t="n"/>
      <c r="B104" s="334" t="n"/>
      <c r="C104" s="334" t="n"/>
      <c r="D104" s="334" t="n"/>
      <c r="E104" s="334" t="n"/>
      <c r="F104" s="334" t="n"/>
      <c r="G104" s="334" t="n"/>
      <c r="H104" s="334" t="n"/>
      <c r="I104" s="332">
        <f>IFERROR(VLOOKUP(TEXT(H104,"0"),IPRESS!$A$3:$B$212,2,0),"")</f>
        <v/>
      </c>
      <c r="J104" s="334" t="n"/>
      <c r="K104" s="332">
        <f>IFERROR(VLOOKUP(TEXT(O104,"0"),CONDUCTORES!$A$3:$G$54,7,0),"")</f>
        <v/>
      </c>
      <c r="L104" s="334" t="n"/>
      <c r="M104" s="334" t="n"/>
      <c r="N104" s="333">
        <f>IFERROR(IF(L104*M104=0,"",L104*M104),"")</f>
        <v/>
      </c>
      <c r="O104" s="334" t="n"/>
      <c r="P104" s="332">
        <f>IFERROR(VLOOKUP(TEXT(O104,"0"),CONDUCTORES!$A$3:$G$54,2,0),"")</f>
        <v/>
      </c>
      <c r="Q104" s="332">
        <f>IFERROR(VLOOKUP(TEXT(O104,"0"),CONDUCTORES!$A$3:$H$54,6,0),"")</f>
        <v/>
      </c>
      <c r="R104" s="334" t="n"/>
      <c r="S104" s="334" t="n"/>
      <c r="T104" s="334" t="n"/>
      <c r="U104" s="334" t="n"/>
      <c r="V104" s="334" t="n"/>
      <c r="W104" s="334" t="n"/>
      <c r="X104" s="334" t="n"/>
      <c r="Y104" s="334" t="n"/>
      <c r="Z104" s="242">
        <f>IF(AND(G104&lt;&gt;"",R104&lt;&gt;"",V104&lt;&gt;"",W104&lt;&gt;""),"COMPLETADO","OBSERVADO")</f>
        <v/>
      </c>
      <c r="AA104" s="284" t="n"/>
    </row>
    <row r="105" ht="15.75" customHeight="1" s="195">
      <c r="A105" s="280" t="n"/>
      <c r="B105" s="280" t="n"/>
      <c r="C105" s="280" t="n"/>
      <c r="D105" s="280" t="n"/>
      <c r="E105" s="280" t="n"/>
      <c r="F105" s="280" t="n"/>
      <c r="G105" s="280" t="n"/>
      <c r="H105" s="280" t="n"/>
      <c r="I105" s="332">
        <f>IFERROR(VLOOKUP(TEXT(H105,"0"),IPRESS!$A$3:$B$212,2,0),"")</f>
        <v/>
      </c>
      <c r="J105" s="280" t="n"/>
      <c r="K105" s="332">
        <f>IFERROR(VLOOKUP(TEXT(O105,"0"),CONDUCTORES!$A$3:$G$54,7,0),"")</f>
        <v/>
      </c>
      <c r="L105" s="280" t="n"/>
      <c r="M105" s="280" t="n"/>
      <c r="N105" s="333">
        <f>IFERROR(IF(L105*M105=0,"",L105*M105),"")</f>
        <v/>
      </c>
      <c r="O105" s="280" t="n"/>
      <c r="P105" s="332">
        <f>IFERROR(VLOOKUP(TEXT(O105,"0"),CONDUCTORES!$A$3:$G$54,2,0),"")</f>
        <v/>
      </c>
      <c r="Q105" s="332">
        <f>IFERROR(VLOOKUP(TEXT(O105,"0"),CONDUCTORES!$A$3:$H$54,6,0),"")</f>
        <v/>
      </c>
      <c r="R105" s="280" t="n"/>
      <c r="S105" s="280" t="n"/>
      <c r="T105" s="280" t="n"/>
      <c r="U105" s="280" t="n"/>
      <c r="V105" s="280" t="n"/>
      <c r="W105" s="280" t="n"/>
      <c r="X105" s="280" t="n"/>
      <c r="Y105" s="280" t="n"/>
      <c r="Z105" s="236">
        <f>IF(AND(G105&lt;&gt;"",R105&lt;&gt;"",V105&lt;&gt;"",W105&lt;&gt;""),"COMPLETADO","OBSERVADO")</f>
        <v/>
      </c>
      <c r="AA105" s="284" t="n"/>
    </row>
    <row r="106" ht="15.75" customHeight="1" s="195">
      <c r="A106" s="334" t="n"/>
      <c r="B106" s="334" t="n"/>
      <c r="C106" s="334" t="n"/>
      <c r="D106" s="334" t="n"/>
      <c r="E106" s="334" t="n"/>
      <c r="F106" s="334" t="n"/>
      <c r="G106" s="334" t="n"/>
      <c r="H106" s="334" t="n"/>
      <c r="I106" s="332">
        <f>IFERROR(VLOOKUP(TEXT(H106,"0"),IPRESS!$A$3:$B$212,2,0),"")</f>
        <v/>
      </c>
      <c r="J106" s="334" t="n"/>
      <c r="K106" s="332">
        <f>IFERROR(VLOOKUP(TEXT(O106,"0"),CONDUCTORES!$A$3:$G$54,7,0),"")</f>
        <v/>
      </c>
      <c r="L106" s="334" t="n"/>
      <c r="M106" s="334" t="n"/>
      <c r="N106" s="333">
        <f>IFERROR(IF(L106*M106=0,"",L106*M106),"")</f>
        <v/>
      </c>
      <c r="O106" s="334" t="n"/>
      <c r="P106" s="332">
        <f>IFERROR(VLOOKUP(TEXT(O106,"0"),CONDUCTORES!$A$3:$G$54,2,0),"")</f>
        <v/>
      </c>
      <c r="Q106" s="332">
        <f>IFERROR(VLOOKUP(TEXT(O106,"0"),CONDUCTORES!$A$3:$H$54,6,0),"")</f>
        <v/>
      </c>
      <c r="R106" s="334" t="n"/>
      <c r="S106" s="334" t="n"/>
      <c r="T106" s="334" t="n"/>
      <c r="U106" s="334" t="n"/>
      <c r="V106" s="334" t="n"/>
      <c r="W106" s="334" t="n"/>
      <c r="X106" s="334" t="n"/>
      <c r="Y106" s="334" t="n"/>
      <c r="Z106" s="242">
        <f>IF(AND(G106&lt;&gt;"",R106&lt;&gt;"",V106&lt;&gt;"",W106&lt;&gt;""),"COMPLETADO","OBSERVADO")</f>
        <v/>
      </c>
      <c r="AA106" s="284" t="n"/>
    </row>
    <row r="107" ht="15.75" customHeight="1" s="195">
      <c r="A107" s="280" t="n"/>
      <c r="B107" s="280" t="n"/>
      <c r="C107" s="280" t="n"/>
      <c r="D107" s="280" t="n"/>
      <c r="E107" s="280" t="n"/>
      <c r="F107" s="280" t="n"/>
      <c r="G107" s="280" t="n"/>
      <c r="H107" s="280" t="n"/>
      <c r="I107" s="332">
        <f>IFERROR(VLOOKUP(TEXT(H107,"0"),IPRESS!$A$3:$B$212,2,0),"")</f>
        <v/>
      </c>
      <c r="J107" s="280" t="n"/>
      <c r="K107" s="332">
        <f>IFERROR(VLOOKUP(TEXT(O107,"0"),CONDUCTORES!$A$3:$G$54,7,0),"")</f>
        <v/>
      </c>
      <c r="L107" s="280" t="n"/>
      <c r="M107" s="280" t="n"/>
      <c r="N107" s="333">
        <f>IFERROR(IF(L107*M107=0,"",L107*M107),"")</f>
        <v/>
      </c>
      <c r="O107" s="280" t="n"/>
      <c r="P107" s="332">
        <f>IFERROR(VLOOKUP(TEXT(O107,"0"),CONDUCTORES!$A$3:$G$54,2,0),"")</f>
        <v/>
      </c>
      <c r="Q107" s="332">
        <f>IFERROR(VLOOKUP(TEXT(O107,"0"),CONDUCTORES!$A$3:$H$54,6,0),"")</f>
        <v/>
      </c>
      <c r="R107" s="280" t="n"/>
      <c r="S107" s="280" t="n"/>
      <c r="T107" s="280" t="n"/>
      <c r="U107" s="280" t="n"/>
      <c r="V107" s="280" t="n"/>
      <c r="W107" s="280" t="n"/>
      <c r="X107" s="280" t="n"/>
      <c r="Y107" s="280" t="n"/>
      <c r="Z107" s="236">
        <f>IF(AND(G107&lt;&gt;"",R107&lt;&gt;"",V107&lt;&gt;"",W107&lt;&gt;""),"COMPLETADO","OBSERVADO")</f>
        <v/>
      </c>
      <c r="AA107" s="284" t="n"/>
    </row>
    <row r="108" ht="15.75" customHeight="1" s="195">
      <c r="A108" s="334" t="n"/>
      <c r="B108" s="334" t="n"/>
      <c r="C108" s="334" t="n"/>
      <c r="D108" s="334" t="n"/>
      <c r="E108" s="334" t="n"/>
      <c r="F108" s="334" t="n"/>
      <c r="G108" s="334" t="n"/>
      <c r="H108" s="334" t="n"/>
      <c r="I108" s="332">
        <f>IFERROR(VLOOKUP(TEXT(H108,"0"),IPRESS!$A$3:$B$212,2,0),"")</f>
        <v/>
      </c>
      <c r="J108" s="334" t="n"/>
      <c r="K108" s="332">
        <f>IFERROR(VLOOKUP(TEXT(O108,"0"),CONDUCTORES!$A$3:$G$54,7,0),"")</f>
        <v/>
      </c>
      <c r="L108" s="334" t="n"/>
      <c r="M108" s="334" t="n"/>
      <c r="N108" s="333">
        <f>IFERROR(IF(L108*M108=0,"",L108*M108),"")</f>
        <v/>
      </c>
      <c r="O108" s="334" t="n"/>
      <c r="P108" s="332">
        <f>IFERROR(VLOOKUP(TEXT(O108,"0"),CONDUCTORES!$A$3:$G$54,2,0),"")</f>
        <v/>
      </c>
      <c r="Q108" s="332">
        <f>IFERROR(VLOOKUP(TEXT(O108,"0"),CONDUCTORES!$A$3:$H$54,6,0),"")</f>
        <v/>
      </c>
      <c r="R108" s="334" t="n"/>
      <c r="S108" s="334" t="n"/>
      <c r="T108" s="334" t="n"/>
      <c r="U108" s="334" t="n"/>
      <c r="V108" s="334" t="n"/>
      <c r="W108" s="334" t="n"/>
      <c r="X108" s="334" t="n"/>
      <c r="Y108" s="334" t="n"/>
      <c r="Z108" s="242">
        <f>IF(AND(G108&lt;&gt;"",R108&lt;&gt;"",V108&lt;&gt;"",W108&lt;&gt;""),"COMPLETADO","OBSERVADO")</f>
        <v/>
      </c>
      <c r="AA108" s="284" t="n"/>
    </row>
    <row r="109" ht="15.75" customHeight="1" s="195">
      <c r="A109" s="280" t="n"/>
      <c r="B109" s="280" t="n"/>
      <c r="C109" s="280" t="n"/>
      <c r="D109" s="280" t="n"/>
      <c r="E109" s="280" t="n"/>
      <c r="F109" s="280" t="n"/>
      <c r="G109" s="280" t="n"/>
      <c r="H109" s="280" t="n"/>
      <c r="I109" s="332">
        <f>IFERROR(VLOOKUP(TEXT(H109,"0"),IPRESS!$A$3:$B$212,2,0),"")</f>
        <v/>
      </c>
      <c r="J109" s="280" t="n"/>
      <c r="K109" s="332">
        <f>IFERROR(VLOOKUP(TEXT(O109,"0"),CONDUCTORES!$A$3:$G$54,7,0),"")</f>
        <v/>
      </c>
      <c r="L109" s="280" t="n"/>
      <c r="M109" s="280" t="n"/>
      <c r="N109" s="333">
        <f>IFERROR(IF(L109*M109=0,"",L109*M109),"")</f>
        <v/>
      </c>
      <c r="O109" s="280" t="n"/>
      <c r="P109" s="332">
        <f>IFERROR(VLOOKUP(TEXT(O109,"0"),CONDUCTORES!$A$3:$G$54,2,0),"")</f>
        <v/>
      </c>
      <c r="Q109" s="332">
        <f>IFERROR(VLOOKUP(TEXT(O109,"0"),CONDUCTORES!$A$3:$H$54,6,0),"")</f>
        <v/>
      </c>
      <c r="R109" s="280" t="n"/>
      <c r="S109" s="280" t="n"/>
      <c r="T109" s="280" t="n"/>
      <c r="U109" s="280" t="n"/>
      <c r="V109" s="280" t="n"/>
      <c r="W109" s="280" t="n"/>
      <c r="X109" s="280" t="n"/>
      <c r="Y109" s="280" t="n"/>
      <c r="Z109" s="236">
        <f>IF(AND(G109&lt;&gt;"",R109&lt;&gt;"",V109&lt;&gt;"",W109&lt;&gt;""),"COMPLETADO","OBSERVADO")</f>
        <v/>
      </c>
      <c r="AA109" s="284" t="n"/>
    </row>
    <row r="110" ht="15.75" customHeight="1" s="195">
      <c r="A110" s="334" t="n"/>
      <c r="B110" s="334" t="n"/>
      <c r="C110" s="334" t="n"/>
      <c r="D110" s="334" t="n"/>
      <c r="E110" s="334" t="n"/>
      <c r="F110" s="334" t="n"/>
      <c r="G110" s="334" t="n"/>
      <c r="H110" s="334" t="n"/>
      <c r="I110" s="332">
        <f>IFERROR(VLOOKUP(TEXT(H110,"0"),IPRESS!$A$3:$B$212,2,0),"")</f>
        <v/>
      </c>
      <c r="J110" s="334" t="n"/>
      <c r="K110" s="332">
        <f>IFERROR(VLOOKUP(TEXT(O110,"0"),CONDUCTORES!$A$3:$G$54,7,0),"")</f>
        <v/>
      </c>
      <c r="L110" s="334" t="n"/>
      <c r="M110" s="334" t="n"/>
      <c r="N110" s="333">
        <f>IFERROR(IF(L110*M110=0,"",L110*M110),"")</f>
        <v/>
      </c>
      <c r="O110" s="334" t="n"/>
      <c r="P110" s="332">
        <f>IFERROR(VLOOKUP(TEXT(O110,"0"),CONDUCTORES!$A$3:$G$54,2,0),"")</f>
        <v/>
      </c>
      <c r="Q110" s="332">
        <f>IFERROR(VLOOKUP(TEXT(O110,"0"),CONDUCTORES!$A$3:$H$54,6,0),"")</f>
        <v/>
      </c>
      <c r="R110" s="334" t="n"/>
      <c r="S110" s="334" t="n"/>
      <c r="T110" s="334" t="n"/>
      <c r="U110" s="334" t="n"/>
      <c r="V110" s="334" t="n"/>
      <c r="W110" s="334" t="n"/>
      <c r="X110" s="334" t="n"/>
      <c r="Y110" s="334" t="n"/>
      <c r="Z110" s="242">
        <f>IF(AND(G110&lt;&gt;"",R110&lt;&gt;"",V110&lt;&gt;"",W110&lt;&gt;""),"COMPLETADO","OBSERVADO")</f>
        <v/>
      </c>
      <c r="AA110" s="284" t="n"/>
    </row>
    <row r="111" ht="15" customHeight="1" s="195">
      <c r="A111" s="280" t="n"/>
      <c r="B111" s="280" t="n"/>
      <c r="C111" s="280" t="n"/>
      <c r="D111" s="280" t="n"/>
      <c r="E111" s="280" t="n"/>
      <c r="F111" s="280" t="n"/>
      <c r="G111" s="280" t="n"/>
      <c r="H111" s="280" t="n"/>
      <c r="I111" s="280" t="n"/>
      <c r="J111" s="280" t="n"/>
      <c r="K111" s="280" t="n"/>
      <c r="L111" s="280" t="n"/>
      <c r="M111" s="280" t="n"/>
      <c r="N111" s="374" t="n"/>
      <c r="O111" s="280" t="n"/>
      <c r="P111" s="280" t="n"/>
      <c r="Q111" s="280" t="n"/>
      <c r="R111" s="280" t="n"/>
      <c r="S111" s="280" t="n"/>
      <c r="T111" s="280" t="n"/>
      <c r="U111" s="280" t="n"/>
      <c r="V111" s="280" t="n"/>
      <c r="W111" s="280" t="n"/>
      <c r="X111" s="280" t="n"/>
      <c r="Y111" s="280" t="n"/>
      <c r="Z111" s="280" t="n"/>
      <c r="AA111" s="284" t="n"/>
    </row>
    <row r="112" ht="15" customHeight="1" s="195">
      <c r="A112" s="280" t="n"/>
      <c r="B112" s="280" t="n"/>
      <c r="C112" s="280" t="n"/>
      <c r="D112" s="280" t="n"/>
      <c r="E112" s="280" t="n"/>
      <c r="F112" s="280" t="n"/>
      <c r="G112" s="280" t="n"/>
      <c r="H112" s="280" t="n"/>
      <c r="I112" s="280" t="n"/>
      <c r="J112" s="280" t="n"/>
      <c r="K112" s="280" t="n"/>
      <c r="L112" s="280" t="n"/>
      <c r="M112" s="280" t="n"/>
      <c r="N112" s="374" t="n"/>
      <c r="O112" s="280" t="n"/>
      <c r="P112" s="280" t="n"/>
      <c r="Q112" s="280" t="n"/>
      <c r="R112" s="280" t="n"/>
      <c r="S112" s="280" t="n"/>
      <c r="T112" s="280" t="n"/>
      <c r="U112" s="280" t="n"/>
      <c r="V112" s="280" t="n"/>
      <c r="W112" s="280" t="n"/>
      <c r="X112" s="280" t="n"/>
      <c r="Y112" s="280" t="n"/>
      <c r="Z112" s="280" t="n"/>
      <c r="AA112" s="284" t="n"/>
    </row>
    <row r="113" ht="15" customHeight="1" s="195">
      <c r="A113" s="280" t="n"/>
      <c r="B113" s="280" t="n"/>
      <c r="C113" s="280" t="n"/>
      <c r="D113" s="280" t="n"/>
      <c r="E113" s="280" t="n"/>
      <c r="F113" s="280" t="n"/>
      <c r="G113" s="280" t="n"/>
      <c r="H113" s="280" t="n"/>
      <c r="I113" s="280" t="n"/>
      <c r="J113" s="280" t="n"/>
      <c r="K113" s="280" t="n"/>
      <c r="L113" s="280" t="n"/>
      <c r="M113" s="280" t="n"/>
      <c r="N113" s="374" t="n"/>
      <c r="O113" s="280" t="n"/>
      <c r="P113" s="280" t="n"/>
      <c r="Q113" s="280" t="n"/>
      <c r="R113" s="280" t="n"/>
      <c r="S113" s="280" t="n"/>
      <c r="T113" s="280" t="n"/>
      <c r="U113" s="280" t="n"/>
      <c r="V113" s="280" t="n"/>
      <c r="W113" s="280" t="n"/>
      <c r="X113" s="280" t="n"/>
      <c r="Y113" s="280" t="n"/>
      <c r="Z113" s="280" t="n"/>
      <c r="AA113" s="284" t="n"/>
    </row>
    <row r="114" ht="15" customHeight="1" s="195">
      <c r="A114" s="280" t="n"/>
      <c r="B114" s="280" t="n"/>
      <c r="C114" s="280" t="n"/>
      <c r="D114" s="280" t="n"/>
      <c r="E114" s="280" t="n"/>
      <c r="F114" s="280" t="n"/>
      <c r="G114" s="280" t="n"/>
      <c r="H114" s="280" t="n"/>
      <c r="I114" s="280" t="n"/>
      <c r="J114" s="280" t="n"/>
      <c r="K114" s="280" t="n"/>
      <c r="L114" s="280" t="n"/>
      <c r="M114" s="280" t="n"/>
      <c r="N114" s="374" t="n"/>
      <c r="O114" s="280" t="n"/>
      <c r="P114" s="280" t="n"/>
      <c r="Q114" s="280" t="n"/>
      <c r="R114" s="280" t="n"/>
      <c r="S114" s="280" t="n"/>
      <c r="T114" s="280" t="n"/>
      <c r="U114" s="280" t="n"/>
      <c r="V114" s="280" t="n"/>
      <c r="W114" s="280" t="n"/>
      <c r="X114" s="280" t="n"/>
      <c r="Y114" s="280" t="n"/>
      <c r="Z114" s="280" t="n"/>
      <c r="AA114" s="284" t="n"/>
    </row>
    <row r="115" ht="15" customHeight="1" s="195">
      <c r="A115" s="280" t="n"/>
      <c r="B115" s="280" t="n"/>
      <c r="C115" s="280" t="n"/>
      <c r="D115" s="280" t="n"/>
      <c r="E115" s="280" t="n"/>
      <c r="F115" s="280" t="n"/>
      <c r="G115" s="280" t="n"/>
      <c r="H115" s="280" t="n"/>
      <c r="I115" s="280" t="n"/>
      <c r="J115" s="280" t="n"/>
      <c r="K115" s="280" t="n"/>
      <c r="L115" s="280" t="n"/>
      <c r="M115" s="280" t="n"/>
      <c r="N115" s="374" t="n"/>
      <c r="O115" s="280" t="n"/>
      <c r="P115" s="280" t="n"/>
      <c r="Q115" s="280" t="n"/>
      <c r="R115" s="280" t="n"/>
      <c r="S115" s="280" t="n"/>
      <c r="T115" s="280" t="n"/>
      <c r="U115" s="280" t="n"/>
      <c r="V115" s="280" t="n"/>
      <c r="W115" s="280" t="n"/>
      <c r="X115" s="280" t="n"/>
      <c r="Y115" s="280" t="n"/>
      <c r="Z115" s="280" t="n"/>
      <c r="AA115" s="284" t="n"/>
    </row>
    <row r="116" ht="15" customHeight="1" s="195">
      <c r="A116" s="280" t="n"/>
      <c r="B116" s="280" t="n"/>
      <c r="C116" s="280" t="n"/>
      <c r="D116" s="280" t="n"/>
      <c r="E116" s="280" t="n"/>
      <c r="F116" s="280" t="n"/>
      <c r="G116" s="280" t="n"/>
      <c r="H116" s="280" t="n"/>
      <c r="I116" s="280" t="n"/>
      <c r="J116" s="280" t="n"/>
      <c r="K116" s="280" t="n"/>
      <c r="L116" s="280" t="n"/>
      <c r="M116" s="280" t="n"/>
      <c r="N116" s="374" t="n"/>
      <c r="O116" s="280" t="n"/>
      <c r="P116" s="280" t="n"/>
      <c r="Q116" s="280" t="n"/>
      <c r="R116" s="280" t="n"/>
      <c r="S116" s="280" t="n"/>
      <c r="T116" s="280" t="n"/>
      <c r="U116" s="280" t="n"/>
      <c r="V116" s="280" t="n"/>
      <c r="W116" s="280" t="n"/>
      <c r="X116" s="280" t="n"/>
      <c r="Y116" s="280" t="n"/>
      <c r="Z116" s="280" t="n"/>
      <c r="AA116" s="284" t="n"/>
    </row>
    <row r="117" ht="15" customHeight="1" s="195">
      <c r="A117" s="280" t="n"/>
      <c r="B117" s="280" t="n"/>
      <c r="C117" s="280" t="n"/>
      <c r="D117" s="280" t="n"/>
      <c r="E117" s="280" t="n"/>
      <c r="F117" s="280" t="n"/>
      <c r="G117" s="280" t="n"/>
      <c r="H117" s="280" t="n"/>
      <c r="I117" s="280" t="n"/>
      <c r="J117" s="280" t="n"/>
      <c r="K117" s="280" t="n"/>
      <c r="L117" s="280" t="n"/>
      <c r="M117" s="280" t="n"/>
      <c r="N117" s="374" t="n"/>
      <c r="O117" s="280" t="n"/>
      <c r="P117" s="280" t="n"/>
      <c r="Q117" s="280" t="n"/>
      <c r="R117" s="280" t="n"/>
      <c r="S117" s="280" t="n"/>
      <c r="T117" s="280" t="n"/>
      <c r="U117" s="280" t="n"/>
      <c r="V117" s="280" t="n"/>
      <c r="W117" s="280" t="n"/>
      <c r="X117" s="280" t="n"/>
      <c r="Y117" s="280" t="n"/>
      <c r="Z117" s="280" t="n"/>
      <c r="AA117" s="284" t="n"/>
    </row>
    <row r="118" ht="15" customHeight="1" s="195">
      <c r="A118" s="280" t="n"/>
      <c r="B118" s="280" t="n"/>
      <c r="C118" s="280" t="n"/>
      <c r="D118" s="280" t="n"/>
      <c r="E118" s="280" t="n"/>
      <c r="F118" s="280" t="n"/>
      <c r="G118" s="280" t="n"/>
      <c r="H118" s="280" t="n"/>
      <c r="I118" s="280" t="n"/>
      <c r="J118" s="280" t="n"/>
      <c r="K118" s="280" t="n"/>
      <c r="L118" s="280" t="n"/>
      <c r="M118" s="280" t="n"/>
      <c r="N118" s="374" t="n"/>
      <c r="O118" s="280" t="n"/>
      <c r="P118" s="280" t="n"/>
      <c r="Q118" s="280" t="n"/>
      <c r="R118" s="280" t="n"/>
      <c r="S118" s="280" t="n"/>
      <c r="T118" s="280" t="n"/>
      <c r="U118" s="280" t="n"/>
      <c r="V118" s="280" t="n"/>
      <c r="W118" s="280" t="n"/>
      <c r="X118" s="280" t="n"/>
      <c r="Y118" s="280" t="n"/>
      <c r="Z118" s="280" t="n"/>
      <c r="AA118" s="284" t="n"/>
    </row>
    <row r="119" ht="15" customHeight="1" s="195">
      <c r="A119" s="280" t="n"/>
      <c r="B119" s="280" t="n"/>
      <c r="C119" s="280" t="n"/>
      <c r="D119" s="280" t="n"/>
      <c r="E119" s="280" t="n"/>
      <c r="F119" s="280" t="n"/>
      <c r="G119" s="280" t="n"/>
      <c r="H119" s="280" t="n"/>
      <c r="I119" s="280" t="n"/>
      <c r="J119" s="280" t="n"/>
      <c r="K119" s="280" t="n"/>
      <c r="L119" s="280" t="n"/>
      <c r="M119" s="280" t="n"/>
      <c r="N119" s="374" t="n"/>
      <c r="O119" s="280" t="n"/>
      <c r="P119" s="280" t="n"/>
      <c r="Q119" s="280" t="n"/>
      <c r="R119" s="280" t="n"/>
      <c r="S119" s="280" t="n"/>
      <c r="T119" s="280" t="n"/>
      <c r="U119" s="280" t="n"/>
      <c r="V119" s="280" t="n"/>
      <c r="W119" s="280" t="n"/>
      <c r="X119" s="280" t="n"/>
      <c r="Y119" s="280" t="n"/>
      <c r="Z119" s="280" t="n"/>
      <c r="AA119" s="284" t="n"/>
    </row>
    <row r="120" ht="15" customHeight="1" s="195">
      <c r="A120" s="280" t="n"/>
      <c r="B120" s="280" t="n"/>
      <c r="C120" s="280" t="n"/>
      <c r="D120" s="280" t="n"/>
      <c r="E120" s="280" t="n"/>
      <c r="F120" s="280" t="n"/>
      <c r="G120" s="280" t="n"/>
      <c r="H120" s="280" t="n"/>
      <c r="I120" s="332">
        <f>IFERROR(VLOOKUP(TEXT(H120,"0"),IPRESS!$A$3:$B$212,2,0),"")</f>
        <v/>
      </c>
      <c r="J120" s="280" t="n"/>
      <c r="K120" s="332">
        <f>IFERROR(VLOOKUP(TEXT(O120,"0"),CONDUCTORES!$A$3:$G$54,7,0),"")</f>
        <v/>
      </c>
      <c r="L120" s="280" t="n"/>
      <c r="M120" s="280" t="n"/>
      <c r="N120" s="333">
        <f>IFERROR(IF(L120*M120=0,"",L120*M120),"")</f>
        <v/>
      </c>
      <c r="O120" s="280" t="n"/>
      <c r="P120" s="332">
        <f>IFERROR(VLOOKUP(TEXT(O120,"0"),CONDUCTORES!$A$3:$G$54,2,0),"")</f>
        <v/>
      </c>
      <c r="Q120" s="332">
        <f>IFERROR(VLOOKUP(TEXT(O120,"0"),CONDUCTORES!$A$3:$H$54,6,0),"")</f>
        <v/>
      </c>
      <c r="R120" s="280" t="n"/>
      <c r="S120" s="280" t="n"/>
      <c r="T120" s="280" t="n"/>
      <c r="U120" s="280" t="n"/>
      <c r="V120" s="280" t="n"/>
      <c r="W120" s="280" t="n"/>
      <c r="X120" s="280" t="n"/>
      <c r="Y120" s="280" t="n"/>
      <c r="Z120" s="375">
        <f>IF(AND(G120&lt;&gt;"",R120&lt;&gt;"",V120&lt;&gt;"",W120&lt;&gt;""),"COMPLETADO","OBSERVADO")</f>
        <v/>
      </c>
    </row>
    <row r="121" ht="15" customHeight="1" s="195">
      <c r="A121" s="334" t="n"/>
      <c r="B121" s="334" t="n"/>
      <c r="C121" s="334" t="n"/>
      <c r="D121" s="334" t="n"/>
      <c r="E121" s="334" t="n"/>
      <c r="F121" s="334" t="n"/>
      <c r="G121" s="334" t="n"/>
      <c r="H121" s="334" t="n"/>
      <c r="I121" s="332">
        <f>IFERROR(VLOOKUP(TEXT(H121,"0"),IPRESS!$A$3:$B$212,2,0),"")</f>
        <v/>
      </c>
      <c r="J121" s="334" t="n"/>
      <c r="K121" s="332">
        <f>IFERROR(VLOOKUP(TEXT(O121,"0"),CONDUCTORES!$A$3:$G$54,7,0),"")</f>
        <v/>
      </c>
      <c r="L121" s="334" t="n"/>
      <c r="M121" s="334" t="n"/>
      <c r="N121" s="333">
        <f>IFERROR(IF(L121*M121=0,"",L121*M121),"")</f>
        <v/>
      </c>
      <c r="O121" s="334" t="n"/>
      <c r="P121" s="332">
        <f>IFERROR(VLOOKUP(TEXT(O121,"0"),CONDUCTORES!$A$3:$G$54,2,0),"")</f>
        <v/>
      </c>
      <c r="Q121" s="332">
        <f>IFERROR(VLOOKUP(TEXT(O121,"0"),CONDUCTORES!$A$3:$H$54,6,0),"")</f>
        <v/>
      </c>
      <c r="R121" s="334" t="n"/>
      <c r="S121" s="334" t="n"/>
      <c r="T121" s="334" t="n"/>
      <c r="U121" s="334" t="n"/>
      <c r="V121" s="334" t="n"/>
      <c r="W121" s="334" t="n"/>
      <c r="X121" s="334" t="n"/>
      <c r="Y121" s="334" t="n"/>
      <c r="Z121" s="375">
        <f>IF(AND(G121&lt;&gt;"",R121&lt;&gt;"",V121&lt;&gt;"",W121&lt;&gt;""),"COMPLETADO","OBSERVADO")</f>
        <v/>
      </c>
    </row>
    <row r="122" ht="15" customHeight="1" s="195">
      <c r="A122" s="280" t="n"/>
      <c r="B122" s="280" t="n"/>
      <c r="C122" s="280" t="n"/>
      <c r="D122" s="280" t="n"/>
      <c r="E122" s="280" t="n"/>
      <c r="F122" s="280" t="n"/>
      <c r="G122" s="280" t="n"/>
      <c r="H122" s="280" t="n"/>
      <c r="I122" s="332">
        <f>IFERROR(VLOOKUP(TEXT(H122,"0"),IPRESS!$A$3:$B$212,2,0),"")</f>
        <v/>
      </c>
      <c r="J122" s="280" t="n"/>
      <c r="K122" s="332">
        <f>IFERROR(VLOOKUP(TEXT(O122,"0"),CONDUCTORES!$A$3:$G$54,7,0),"")</f>
        <v/>
      </c>
      <c r="L122" s="280" t="n"/>
      <c r="M122" s="280" t="n"/>
      <c r="N122" s="333">
        <f>IFERROR(IF(L122*M122=0,"",L122*M122),"")</f>
        <v/>
      </c>
      <c r="O122" s="280" t="n"/>
      <c r="P122" s="332">
        <f>IFERROR(VLOOKUP(TEXT(O122,"0"),CONDUCTORES!$A$3:$G$54,2,0),"")</f>
        <v/>
      </c>
      <c r="Q122" s="332">
        <f>IFERROR(VLOOKUP(TEXT(O122,"0"),CONDUCTORES!$A$3:$H$54,6,0),"")</f>
        <v/>
      </c>
      <c r="R122" s="280" t="n"/>
      <c r="S122" s="280" t="n"/>
      <c r="T122" s="280" t="n"/>
      <c r="U122" s="280" t="n"/>
      <c r="V122" s="280" t="n"/>
      <c r="W122" s="280" t="n"/>
      <c r="X122" s="280" t="n"/>
      <c r="Y122" s="280" t="n"/>
      <c r="Z122" s="375">
        <f>IF(AND(G122&lt;&gt;"",R122&lt;&gt;"",V122&lt;&gt;"",W122&lt;&gt;""),"COMPLETADO","OBSERVADO")</f>
        <v/>
      </c>
    </row>
    <row r="123" ht="15" customHeight="1" s="195">
      <c r="A123" s="334" t="n"/>
      <c r="B123" s="334" t="n"/>
      <c r="C123" s="334" t="n"/>
      <c r="D123" s="334" t="n"/>
      <c r="E123" s="334" t="n"/>
      <c r="F123" s="334" t="n"/>
      <c r="G123" s="334" t="n"/>
      <c r="H123" s="334" t="n"/>
      <c r="I123" s="332">
        <f>IFERROR(VLOOKUP(TEXT(H123,"0"),IPRESS!$A$3:$B$212,2,0),"")</f>
        <v/>
      </c>
      <c r="J123" s="334" t="n"/>
      <c r="K123" s="332">
        <f>IFERROR(VLOOKUP(TEXT(O123,"0"),CONDUCTORES!$A$3:$G$54,7,0),"")</f>
        <v/>
      </c>
      <c r="L123" s="334" t="n"/>
      <c r="M123" s="334" t="n"/>
      <c r="N123" s="333">
        <f>IFERROR(IF(L123*M123=0,"",L123*M123),"")</f>
        <v/>
      </c>
      <c r="O123" s="334" t="n"/>
      <c r="P123" s="332">
        <f>IFERROR(VLOOKUP(TEXT(O123,"0"),CONDUCTORES!$A$3:$G$54,2,0),"")</f>
        <v/>
      </c>
      <c r="Q123" s="332">
        <f>IFERROR(VLOOKUP(TEXT(O123,"0"),CONDUCTORES!$A$3:$H$54,6,0),"")</f>
        <v/>
      </c>
      <c r="R123" s="334" t="n"/>
      <c r="S123" s="334" t="n"/>
      <c r="T123" s="334" t="n"/>
      <c r="U123" s="334" t="n"/>
      <c r="V123" s="334" t="n"/>
      <c r="W123" s="334" t="n"/>
      <c r="X123" s="334" t="n"/>
      <c r="Y123" s="334" t="n"/>
      <c r="Z123" s="375">
        <f>IF(AND(G123&lt;&gt;"",R123&lt;&gt;"",V123&lt;&gt;"",W123&lt;&gt;""),"COMPLETADO","OBSERVADO")</f>
        <v/>
      </c>
    </row>
    <row r="124" ht="15" customHeight="1" s="195">
      <c r="A124" s="280" t="n"/>
      <c r="B124" s="280" t="n"/>
      <c r="C124" s="280" t="n"/>
      <c r="D124" s="280" t="n"/>
      <c r="E124" s="280" t="n"/>
      <c r="F124" s="280" t="n"/>
      <c r="G124" s="280" t="n"/>
      <c r="H124" s="280" t="n"/>
      <c r="I124" s="332">
        <f>IFERROR(VLOOKUP(TEXT(H124,"0"),IPRESS!$A$3:$B$212,2,0),"")</f>
        <v/>
      </c>
      <c r="J124" s="280" t="n"/>
      <c r="K124" s="332">
        <f>IFERROR(VLOOKUP(TEXT(O124,"0"),CONDUCTORES!$A$3:$G$54,7,0),"")</f>
        <v/>
      </c>
      <c r="L124" s="280" t="n"/>
      <c r="M124" s="280" t="n"/>
      <c r="N124" s="333">
        <f>IFERROR(IF(L124*M124=0,"",L124*M124),"")</f>
        <v/>
      </c>
      <c r="O124" s="280" t="n"/>
      <c r="P124" s="332">
        <f>IFERROR(VLOOKUP(TEXT(O124,"0"),CONDUCTORES!$A$3:$G$54,2,0),"")</f>
        <v/>
      </c>
      <c r="Q124" s="332">
        <f>IFERROR(VLOOKUP(TEXT(O124,"0"),CONDUCTORES!$A$3:$H$54,6,0),"")</f>
        <v/>
      </c>
      <c r="R124" s="280" t="n"/>
      <c r="S124" s="280" t="n"/>
      <c r="T124" s="280" t="n"/>
      <c r="U124" s="280" t="n"/>
      <c r="V124" s="280" t="n"/>
      <c r="W124" s="280" t="n"/>
      <c r="X124" s="280" t="n"/>
      <c r="Y124" s="280" t="n"/>
      <c r="Z124" s="375">
        <f>IF(AND(G124&lt;&gt;"",R124&lt;&gt;"",V124&lt;&gt;"",W124&lt;&gt;""),"COMPLETADO","OBSERVADO")</f>
        <v/>
      </c>
    </row>
    <row r="125" ht="15" customHeight="1" s="195">
      <c r="A125" s="334" t="n"/>
      <c r="B125" s="334" t="n"/>
      <c r="C125" s="334" t="n"/>
      <c r="D125" s="334" t="n"/>
      <c r="E125" s="334" t="n"/>
      <c r="F125" s="334" t="n"/>
      <c r="G125" s="334" t="n"/>
      <c r="H125" s="334" t="n"/>
      <c r="I125" s="332">
        <f>IFERROR(VLOOKUP(TEXT(H125,"0"),IPRESS!$A$3:$B$212,2,0),"")</f>
        <v/>
      </c>
      <c r="J125" s="334" t="n"/>
      <c r="K125" s="332">
        <f>IFERROR(VLOOKUP(TEXT(O125,"0"),CONDUCTORES!$A$3:$G$54,7,0),"")</f>
        <v/>
      </c>
      <c r="L125" s="334" t="n"/>
      <c r="M125" s="334" t="n"/>
      <c r="N125" s="333">
        <f>IFERROR(IF(L125*M125=0,"",L125*M125),"")</f>
        <v/>
      </c>
      <c r="O125" s="334" t="n"/>
      <c r="P125" s="332">
        <f>IFERROR(VLOOKUP(TEXT(O125,"0"),CONDUCTORES!$A$3:$G$54,2,0),"")</f>
        <v/>
      </c>
      <c r="Q125" s="332">
        <f>IFERROR(VLOOKUP(TEXT(O125,"0"),CONDUCTORES!$A$3:$H$54,6,0),"")</f>
        <v/>
      </c>
      <c r="R125" s="334" t="n"/>
      <c r="S125" s="334" t="n"/>
      <c r="T125" s="334" t="n"/>
      <c r="U125" s="334" t="n"/>
      <c r="V125" s="334" t="n"/>
      <c r="W125" s="334" t="n"/>
      <c r="X125" s="334" t="n"/>
      <c r="Y125" s="334" t="n"/>
      <c r="Z125" s="375">
        <f>IF(AND(G125&lt;&gt;"",R125&lt;&gt;"",V125&lt;&gt;"",W125&lt;&gt;""),"COMPLETADO","OBSERVADO")</f>
        <v/>
      </c>
    </row>
    <row r="126" ht="15" customHeight="1" s="195">
      <c r="A126" s="280" t="n"/>
      <c r="B126" s="280" t="n"/>
      <c r="C126" s="280" t="n"/>
      <c r="D126" s="280" t="n"/>
      <c r="E126" s="280" t="n"/>
      <c r="F126" s="280" t="n"/>
      <c r="G126" s="280" t="n"/>
      <c r="H126" s="280" t="n"/>
      <c r="I126" s="332">
        <f>IFERROR(VLOOKUP(TEXT(H126,"0"),IPRESS!$A$3:$B$212,2,0),"")</f>
        <v/>
      </c>
      <c r="J126" s="280" t="n"/>
      <c r="K126" s="332">
        <f>IFERROR(VLOOKUP(TEXT(O126,"0"),CONDUCTORES!$A$3:$G$54,7,0),"")</f>
        <v/>
      </c>
      <c r="L126" s="280" t="n"/>
      <c r="M126" s="280" t="n"/>
      <c r="N126" s="333">
        <f>IFERROR(IF(L126*M126=0,"",L126*M126),"")</f>
        <v/>
      </c>
      <c r="O126" s="280" t="n"/>
      <c r="P126" s="332">
        <f>IFERROR(VLOOKUP(TEXT(O126,"0"),CONDUCTORES!$A$3:$G$54,2,0),"")</f>
        <v/>
      </c>
      <c r="Q126" s="332">
        <f>IFERROR(VLOOKUP(TEXT(O126,"0"),CONDUCTORES!$A$3:$H$54,6,0),"")</f>
        <v/>
      </c>
      <c r="R126" s="280" t="n"/>
      <c r="S126" s="280" t="n"/>
      <c r="T126" s="280" t="n"/>
      <c r="U126" s="280" t="n"/>
      <c r="V126" s="280" t="n"/>
      <c r="W126" s="280" t="n"/>
      <c r="X126" s="280" t="n"/>
      <c r="Y126" s="280" t="n"/>
      <c r="Z126" s="375">
        <f>IF(AND(G126&lt;&gt;"",R126&lt;&gt;"",V126&lt;&gt;"",W126&lt;&gt;""),"COMPLETADO","OBSERVADO")</f>
        <v/>
      </c>
    </row>
    <row r="127" ht="15" customHeight="1" s="195">
      <c r="A127" s="334" t="n"/>
      <c r="B127" s="334" t="n"/>
      <c r="C127" s="334" t="n"/>
      <c r="D127" s="334" t="n"/>
      <c r="E127" s="334" t="n"/>
      <c r="F127" s="334" t="n"/>
      <c r="G127" s="334" t="n"/>
      <c r="H127" s="334" t="n"/>
      <c r="I127" s="332">
        <f>IFERROR(VLOOKUP(TEXT(H127,"0"),IPRESS!$A$3:$B$212,2,0),"")</f>
        <v/>
      </c>
      <c r="J127" s="334" t="n"/>
      <c r="K127" s="332">
        <f>IFERROR(VLOOKUP(TEXT(O127,"0"),CONDUCTORES!$A$3:$G$54,7,0),"")</f>
        <v/>
      </c>
      <c r="L127" s="334" t="n"/>
      <c r="M127" s="334" t="n"/>
      <c r="N127" s="333">
        <f>IFERROR(IF(L127*M127=0,"",L127*M127),"")</f>
        <v/>
      </c>
      <c r="O127" s="334" t="n"/>
      <c r="P127" s="332">
        <f>IFERROR(VLOOKUP(TEXT(O127,"0"),CONDUCTORES!$A$3:$G$54,2,0),"")</f>
        <v/>
      </c>
      <c r="Q127" s="332">
        <f>IFERROR(VLOOKUP(TEXT(O127,"0"),CONDUCTORES!$A$3:$H$54,6,0),"")</f>
        <v/>
      </c>
      <c r="R127" s="334" t="n"/>
      <c r="S127" s="334" t="n"/>
      <c r="T127" s="334" t="n"/>
      <c r="U127" s="334" t="n"/>
      <c r="V127" s="334" t="n"/>
      <c r="W127" s="334" t="n"/>
      <c r="X127" s="334" t="n"/>
      <c r="Y127" s="334" t="n"/>
      <c r="Z127" s="375">
        <f>IF(AND(G127&lt;&gt;"",R127&lt;&gt;"",V127&lt;&gt;"",W127&lt;&gt;""),"COMPLETADO","OBSERVADO")</f>
        <v/>
      </c>
    </row>
    <row r="128" ht="15" customHeight="1" s="195">
      <c r="A128" s="280" t="n"/>
      <c r="B128" s="280" t="n"/>
      <c r="C128" s="280" t="n"/>
      <c r="D128" s="280" t="n"/>
      <c r="E128" s="280" t="n"/>
      <c r="F128" s="280" t="n"/>
      <c r="G128" s="280" t="n"/>
      <c r="H128" s="280" t="n"/>
      <c r="I128" s="332">
        <f>IFERROR(VLOOKUP(TEXT(H128,"0"),IPRESS!$A$3:$B$212,2,0),"")</f>
        <v/>
      </c>
      <c r="J128" s="280" t="n"/>
      <c r="K128" s="332">
        <f>IFERROR(VLOOKUP(TEXT(O128,"0"),CONDUCTORES!$A$3:$G$54,7,0),"")</f>
        <v/>
      </c>
      <c r="L128" s="280" t="n"/>
      <c r="M128" s="280" t="n"/>
      <c r="N128" s="333">
        <f>IFERROR(IF(L128*M128=0,"",L128*M128),"")</f>
        <v/>
      </c>
      <c r="O128" s="280" t="n"/>
      <c r="P128" s="332">
        <f>IFERROR(VLOOKUP(TEXT(O128,"0"),CONDUCTORES!$A$3:$G$54,2,0),"")</f>
        <v/>
      </c>
      <c r="Q128" s="332">
        <f>IFERROR(VLOOKUP(TEXT(O128,"0"),CONDUCTORES!$A$3:$H$54,6,0),"")</f>
        <v/>
      </c>
      <c r="R128" s="280" t="n"/>
      <c r="S128" s="280" t="n"/>
      <c r="T128" s="280" t="n"/>
      <c r="U128" s="280" t="n"/>
      <c r="V128" s="280" t="n"/>
      <c r="W128" s="280" t="n"/>
      <c r="X128" s="280" t="n"/>
      <c r="Y128" s="280" t="n"/>
      <c r="Z128" s="375">
        <f>IF(AND(G128&lt;&gt;"",R128&lt;&gt;"",V128&lt;&gt;"",W128&lt;&gt;""),"COMPLETADO","OBSERVADO")</f>
        <v/>
      </c>
    </row>
    <row r="129" ht="15" customHeight="1" s="195">
      <c r="A129" s="334" t="n"/>
      <c r="B129" s="334" t="n"/>
      <c r="C129" s="334" t="n"/>
      <c r="D129" s="334" t="n"/>
      <c r="E129" s="334" t="n"/>
      <c r="F129" s="334" t="n"/>
      <c r="G129" s="334" t="n"/>
      <c r="H129" s="334" t="n"/>
      <c r="I129" s="332">
        <f>IFERROR(VLOOKUP(TEXT(H129,"0"),IPRESS!$A$3:$B$212,2,0),"")</f>
        <v/>
      </c>
      <c r="J129" s="334" t="n"/>
      <c r="K129" s="332">
        <f>IFERROR(VLOOKUP(TEXT(O129,"0"),CONDUCTORES!$A$3:$G$54,7,0),"")</f>
        <v/>
      </c>
      <c r="L129" s="334" t="n"/>
      <c r="M129" s="334" t="n"/>
      <c r="N129" s="333">
        <f>IFERROR(IF(L129*M129=0,"",L129*M129),"")</f>
        <v/>
      </c>
      <c r="O129" s="334" t="n"/>
      <c r="P129" s="332">
        <f>IFERROR(VLOOKUP(TEXT(O129,"0"),CONDUCTORES!$A$3:$G$54,2,0),"")</f>
        <v/>
      </c>
      <c r="Q129" s="332">
        <f>IFERROR(VLOOKUP(TEXT(O129,"0"),CONDUCTORES!$A$3:$H$54,6,0),"")</f>
        <v/>
      </c>
      <c r="R129" s="334" t="n"/>
      <c r="S129" s="334" t="n"/>
      <c r="T129" s="334" t="n"/>
      <c r="U129" s="334" t="n"/>
      <c r="V129" s="334" t="n"/>
      <c r="W129" s="334" t="n"/>
      <c r="X129" s="334" t="n"/>
      <c r="Y129" s="334" t="n"/>
      <c r="Z129" s="375">
        <f>IF(AND(G129&lt;&gt;"",R129&lt;&gt;"",V129&lt;&gt;"",W129&lt;&gt;""),"COMPLETADO","OBSERVADO")</f>
        <v/>
      </c>
    </row>
    <row r="130" ht="15" customHeight="1" s="195">
      <c r="A130" s="280" t="n"/>
      <c r="B130" s="280" t="n"/>
      <c r="C130" s="280" t="n"/>
      <c r="D130" s="280" t="n"/>
      <c r="E130" s="280" t="n"/>
      <c r="F130" s="280" t="n"/>
      <c r="G130" s="280" t="n"/>
      <c r="H130" s="280" t="n"/>
      <c r="I130" s="332">
        <f>IFERROR(VLOOKUP(TEXT(H130,"0"),IPRESS!$A$3:$B$212,2,0),"")</f>
        <v/>
      </c>
      <c r="J130" s="280" t="n"/>
      <c r="K130" s="332">
        <f>IFERROR(VLOOKUP(TEXT(O130,"0"),CONDUCTORES!$A$3:$G$54,7,0),"")</f>
        <v/>
      </c>
      <c r="L130" s="280" t="n"/>
      <c r="M130" s="280" t="n"/>
      <c r="N130" s="333">
        <f>IFERROR(IF(L130*M130=0,"",L130*M130),"")</f>
        <v/>
      </c>
      <c r="O130" s="280" t="n"/>
      <c r="P130" s="332">
        <f>IFERROR(VLOOKUP(TEXT(O130,"0"),CONDUCTORES!$A$3:$G$54,2,0),"")</f>
        <v/>
      </c>
      <c r="Q130" s="332">
        <f>IFERROR(VLOOKUP(TEXT(O130,"0"),CONDUCTORES!$A$3:$H$54,6,0),"")</f>
        <v/>
      </c>
      <c r="R130" s="280" t="n"/>
      <c r="S130" s="280" t="n"/>
      <c r="T130" s="280" t="n"/>
      <c r="U130" s="280" t="n"/>
      <c r="V130" s="280" t="n"/>
      <c r="W130" s="280" t="n"/>
      <c r="X130" s="280" t="n"/>
      <c r="Y130" s="280" t="n"/>
      <c r="Z130" s="375">
        <f>IF(AND(G130&lt;&gt;"",R130&lt;&gt;"",V130&lt;&gt;"",W130&lt;&gt;""),"COMPLETADO","OBSERVADO")</f>
        <v/>
      </c>
    </row>
    <row r="131" ht="15" customHeight="1" s="195">
      <c r="A131" s="334" t="n"/>
      <c r="B131" s="334" t="n"/>
      <c r="C131" s="334" t="n"/>
      <c r="D131" s="334" t="n"/>
      <c r="E131" s="334" t="n"/>
      <c r="F131" s="334" t="n"/>
      <c r="G131" s="334" t="n"/>
      <c r="H131" s="334" t="n"/>
      <c r="I131" s="332">
        <f>IFERROR(VLOOKUP(TEXT(H131,"0"),IPRESS!$A$3:$B$212,2,0),"")</f>
        <v/>
      </c>
      <c r="J131" s="334" t="n"/>
      <c r="K131" s="332">
        <f>IFERROR(VLOOKUP(TEXT(O131,"0"),CONDUCTORES!$A$3:$G$54,7,0),"")</f>
        <v/>
      </c>
      <c r="L131" s="334" t="n"/>
      <c r="M131" s="334" t="n"/>
      <c r="N131" s="333">
        <f>IFERROR(IF(L131*M131=0,"",L131*M131),"")</f>
        <v/>
      </c>
      <c r="O131" s="334" t="n"/>
      <c r="P131" s="332">
        <f>IFERROR(VLOOKUP(TEXT(O131,"0"),CONDUCTORES!$A$3:$G$54,2,0),"")</f>
        <v/>
      </c>
      <c r="Q131" s="332">
        <f>IFERROR(VLOOKUP(TEXT(O131,"0"),CONDUCTORES!$A$3:$H$54,6,0),"")</f>
        <v/>
      </c>
      <c r="R131" s="334" t="n"/>
      <c r="S131" s="334" t="n"/>
      <c r="T131" s="334" t="n"/>
      <c r="U131" s="334" t="n"/>
      <c r="V131" s="334" t="n"/>
      <c r="W131" s="334" t="n"/>
      <c r="X131" s="334" t="n"/>
      <c r="Y131" s="334" t="n"/>
      <c r="Z131" s="375">
        <f>IF(AND(G131&lt;&gt;"",R131&lt;&gt;"",V131&lt;&gt;"",W131&lt;&gt;""),"COMPLETADO","OBSERVADO")</f>
        <v/>
      </c>
    </row>
    <row r="132" ht="15" customHeight="1" s="195">
      <c r="A132" s="280" t="n"/>
      <c r="B132" s="280" t="n"/>
      <c r="C132" s="280" t="n"/>
      <c r="D132" s="280" t="n"/>
      <c r="E132" s="280" t="n"/>
      <c r="F132" s="280" t="n"/>
      <c r="G132" s="280" t="n"/>
      <c r="H132" s="280" t="n"/>
      <c r="I132" s="332">
        <f>IFERROR(VLOOKUP(TEXT(H132,"0"),IPRESS!$A$3:$B$212,2,0),"")</f>
        <v/>
      </c>
      <c r="J132" s="280" t="n"/>
      <c r="K132" s="332">
        <f>IFERROR(VLOOKUP(TEXT(O132,"0"),CONDUCTORES!$A$3:$G$54,7,0),"")</f>
        <v/>
      </c>
      <c r="L132" s="280" t="n"/>
      <c r="M132" s="280" t="n"/>
      <c r="N132" s="333">
        <f>IFERROR(IF(L132*M132=0,"",L132*M132),"")</f>
        <v/>
      </c>
      <c r="O132" s="280" t="n"/>
      <c r="P132" s="332">
        <f>IFERROR(VLOOKUP(TEXT(O132,"0"),CONDUCTORES!$A$3:$G$54,2,0),"")</f>
        <v/>
      </c>
      <c r="Q132" s="332">
        <f>IFERROR(VLOOKUP(TEXT(O132,"0"),CONDUCTORES!$A$3:$H$54,6,0),"")</f>
        <v/>
      </c>
      <c r="R132" s="280" t="n"/>
      <c r="S132" s="280" t="n"/>
      <c r="T132" s="280" t="n"/>
      <c r="U132" s="280" t="n"/>
      <c r="V132" s="280" t="n"/>
      <c r="W132" s="280" t="n"/>
      <c r="X132" s="280" t="n"/>
      <c r="Y132" s="280" t="n"/>
      <c r="Z132" s="375">
        <f>IF(AND(G132&lt;&gt;"",R132&lt;&gt;"",V132&lt;&gt;"",W132&lt;&gt;""),"COMPLETADO","OBSERVADO")</f>
        <v/>
      </c>
    </row>
    <row r="133" ht="15" customHeight="1" s="195">
      <c r="A133" s="334" t="n"/>
      <c r="B133" s="334" t="n"/>
      <c r="C133" s="334" t="n"/>
      <c r="D133" s="334" t="n"/>
      <c r="E133" s="334" t="n"/>
      <c r="F133" s="334" t="n"/>
      <c r="G133" s="334" t="n"/>
      <c r="H133" s="334" t="n"/>
      <c r="I133" s="332">
        <f>IFERROR(VLOOKUP(TEXT(H133,"0"),IPRESS!$A$3:$B$212,2,0),"")</f>
        <v/>
      </c>
      <c r="J133" s="334" t="n"/>
      <c r="K133" s="332">
        <f>IFERROR(VLOOKUP(TEXT(O133,"0"),CONDUCTORES!$A$3:$G$54,7,0),"")</f>
        <v/>
      </c>
      <c r="L133" s="334" t="n"/>
      <c r="M133" s="334" t="n"/>
      <c r="N133" s="333">
        <f>IFERROR(IF(L133*M133=0,"",L133*M133),"")</f>
        <v/>
      </c>
      <c r="O133" s="334" t="n"/>
      <c r="P133" s="332">
        <f>IFERROR(VLOOKUP(TEXT(O133,"0"),CONDUCTORES!$A$3:$G$54,2,0),"")</f>
        <v/>
      </c>
      <c r="Q133" s="332">
        <f>IFERROR(VLOOKUP(TEXT(O133,"0"),CONDUCTORES!$A$3:$H$54,6,0),"")</f>
        <v/>
      </c>
      <c r="R133" s="334" t="n"/>
      <c r="S133" s="334" t="n"/>
      <c r="T133" s="334" t="n"/>
      <c r="U133" s="334" t="n"/>
      <c r="V133" s="334" t="n"/>
      <c r="W133" s="334" t="n"/>
      <c r="X133" s="334" t="n"/>
      <c r="Y133" s="334" t="n"/>
      <c r="Z133" s="375">
        <f>IF(AND(G133&lt;&gt;"",R133&lt;&gt;"",V133&lt;&gt;"",W133&lt;&gt;""),"COMPLETADO","OBSERVADO")</f>
        <v/>
      </c>
    </row>
    <row r="134" ht="15" customHeight="1" s="195">
      <c r="A134" s="280" t="n"/>
      <c r="B134" s="280" t="n"/>
      <c r="C134" s="280" t="n"/>
      <c r="D134" s="280" t="n"/>
      <c r="E134" s="280" t="n"/>
      <c r="F134" s="280" t="n"/>
      <c r="G134" s="280" t="n"/>
      <c r="H134" s="280" t="n"/>
      <c r="I134" s="332">
        <f>IFERROR(VLOOKUP(TEXT(H134,"0"),IPRESS!$A$3:$B$212,2,0),"")</f>
        <v/>
      </c>
      <c r="J134" s="280" t="n"/>
      <c r="K134" s="332">
        <f>IFERROR(VLOOKUP(TEXT(O134,"0"),CONDUCTORES!$A$3:$G$54,7,0),"")</f>
        <v/>
      </c>
      <c r="L134" s="280" t="n"/>
      <c r="M134" s="280" t="n"/>
      <c r="N134" s="333">
        <f>IFERROR(IF(L134*M134=0,"",L134*M134),"")</f>
        <v/>
      </c>
      <c r="O134" s="280" t="n"/>
      <c r="P134" s="332">
        <f>IFERROR(VLOOKUP(TEXT(O134,"0"),CONDUCTORES!$A$3:$G$54,2,0),"")</f>
        <v/>
      </c>
      <c r="Q134" s="332">
        <f>IFERROR(VLOOKUP(TEXT(O134,"0"),CONDUCTORES!$A$3:$H$54,6,0),"")</f>
        <v/>
      </c>
      <c r="R134" s="280" t="n"/>
      <c r="S134" s="280" t="n"/>
      <c r="T134" s="280" t="n"/>
      <c r="U134" s="280" t="n"/>
      <c r="V134" s="280" t="n"/>
      <c r="W134" s="280" t="n"/>
      <c r="X134" s="280" t="n"/>
      <c r="Y134" s="280" t="n"/>
      <c r="Z134" s="375">
        <f>IF(AND(G134&lt;&gt;"",R134&lt;&gt;"",V134&lt;&gt;"",W134&lt;&gt;""),"COMPLETADO","OBSERVADO")</f>
        <v/>
      </c>
    </row>
    <row r="135" ht="15" customHeight="1" s="195">
      <c r="A135" s="334" t="n"/>
      <c r="B135" s="334" t="n"/>
      <c r="C135" s="334" t="n"/>
      <c r="D135" s="334" t="n"/>
      <c r="E135" s="334" t="n"/>
      <c r="F135" s="334" t="n"/>
      <c r="G135" s="334" t="n"/>
      <c r="H135" s="334" t="n"/>
      <c r="I135" s="332">
        <f>IFERROR(VLOOKUP(TEXT(H135,"0"),IPRESS!$A$3:$B$212,2,0),"")</f>
        <v/>
      </c>
      <c r="J135" s="334" t="n"/>
      <c r="K135" s="332">
        <f>IFERROR(VLOOKUP(TEXT(O135,"0"),CONDUCTORES!$A$3:$G$54,7,0),"")</f>
        <v/>
      </c>
      <c r="L135" s="334" t="n"/>
      <c r="M135" s="334" t="n"/>
      <c r="N135" s="333">
        <f>IFERROR(IF(L135*M135=0,"",L135*M135),"")</f>
        <v/>
      </c>
      <c r="O135" s="334" t="n"/>
      <c r="P135" s="332">
        <f>IFERROR(VLOOKUP(TEXT(O135,"0"),CONDUCTORES!$A$3:$G$54,2,0),"")</f>
        <v/>
      </c>
      <c r="Q135" s="332">
        <f>IFERROR(VLOOKUP(TEXT(O135,"0"),CONDUCTORES!$A$3:$H$54,6,0),"")</f>
        <v/>
      </c>
      <c r="R135" s="334" t="n"/>
      <c r="S135" s="334" t="n"/>
      <c r="T135" s="334" t="n"/>
      <c r="U135" s="334" t="n"/>
      <c r="V135" s="334" t="n"/>
      <c r="W135" s="334" t="n"/>
      <c r="X135" s="334" t="n"/>
      <c r="Y135" s="334" t="n"/>
      <c r="Z135" s="375">
        <f>IF(AND(G135&lt;&gt;"",R135&lt;&gt;"",V135&lt;&gt;"",W135&lt;&gt;""),"COMPLETADO","OBSERVADO")</f>
        <v/>
      </c>
    </row>
    <row r="136" ht="15" customHeight="1" s="195">
      <c r="A136" s="280" t="n"/>
      <c r="B136" s="280" t="n"/>
      <c r="C136" s="280" t="n"/>
      <c r="D136" s="280" t="n"/>
      <c r="E136" s="280" t="n"/>
      <c r="F136" s="280" t="n"/>
      <c r="G136" s="280" t="n"/>
      <c r="H136" s="280" t="n"/>
      <c r="I136" s="332">
        <f>IFERROR(VLOOKUP(TEXT(H136,"0"),IPRESS!$A$3:$B$212,2,0),"")</f>
        <v/>
      </c>
      <c r="J136" s="280" t="n"/>
      <c r="K136" s="332">
        <f>IFERROR(VLOOKUP(TEXT(O136,"0"),CONDUCTORES!$A$3:$G$54,7,0),"")</f>
        <v/>
      </c>
      <c r="L136" s="280" t="n"/>
      <c r="M136" s="280" t="n"/>
      <c r="N136" s="333">
        <f>IFERROR(IF(L136*M136=0,"",L136*M136),"")</f>
        <v/>
      </c>
      <c r="O136" s="280" t="n"/>
      <c r="P136" s="332">
        <f>IFERROR(VLOOKUP(TEXT(O136,"0"),CONDUCTORES!$A$3:$G$54,2,0),"")</f>
        <v/>
      </c>
      <c r="Q136" s="332">
        <f>IFERROR(VLOOKUP(TEXT(O136,"0"),CONDUCTORES!$A$3:$H$54,6,0),"")</f>
        <v/>
      </c>
      <c r="R136" s="280" t="n"/>
      <c r="S136" s="280" t="n"/>
      <c r="T136" s="280" t="n"/>
      <c r="U136" s="280" t="n"/>
      <c r="V136" s="280" t="n"/>
      <c r="W136" s="280" t="n"/>
      <c r="X136" s="280" t="n"/>
      <c r="Y136" s="280" t="n"/>
      <c r="Z136" s="375">
        <f>IF(AND(G136&lt;&gt;"",R136&lt;&gt;"",V136&lt;&gt;"",W136&lt;&gt;""),"COMPLETADO","OBSERVADO")</f>
        <v/>
      </c>
    </row>
    <row r="137" ht="15" customHeight="1" s="195">
      <c r="A137" s="334" t="n"/>
      <c r="B137" s="334" t="n"/>
      <c r="C137" s="334" t="n"/>
      <c r="D137" s="334" t="n"/>
      <c r="E137" s="334" t="n"/>
      <c r="F137" s="334" t="n"/>
      <c r="G137" s="334" t="n"/>
      <c r="H137" s="334" t="n"/>
      <c r="I137" s="332">
        <f>IFERROR(VLOOKUP(TEXT(H137,"0"),IPRESS!$A$3:$B$212,2,0),"")</f>
        <v/>
      </c>
      <c r="J137" s="334" t="n"/>
      <c r="K137" s="332">
        <f>IFERROR(VLOOKUP(TEXT(O137,"0"),CONDUCTORES!$A$3:$G$54,7,0),"")</f>
        <v/>
      </c>
      <c r="L137" s="334" t="n"/>
      <c r="M137" s="334" t="n"/>
      <c r="N137" s="333">
        <f>IFERROR(IF(L137*M137=0,"",L137*M137),"")</f>
        <v/>
      </c>
      <c r="O137" s="334" t="n"/>
      <c r="P137" s="332">
        <f>IFERROR(VLOOKUP(TEXT(O137,"0"),CONDUCTORES!$A$3:$G$54,2,0),"")</f>
        <v/>
      </c>
      <c r="Q137" s="332">
        <f>IFERROR(VLOOKUP(TEXT(O137,"0"),CONDUCTORES!$A$3:$H$54,6,0),"")</f>
        <v/>
      </c>
      <c r="R137" s="334" t="n"/>
      <c r="S137" s="334" t="n"/>
      <c r="T137" s="334" t="n"/>
      <c r="U137" s="334" t="n"/>
      <c r="V137" s="334" t="n"/>
      <c r="W137" s="334" t="n"/>
      <c r="X137" s="334" t="n"/>
      <c r="Y137" s="334" t="n"/>
      <c r="Z137" s="375">
        <f>IF(AND(G137&lt;&gt;"",R137&lt;&gt;"",V137&lt;&gt;"",W137&lt;&gt;""),"COMPLETADO","OBSERVADO")</f>
        <v/>
      </c>
    </row>
    <row r="138" ht="15" customHeight="1" s="195">
      <c r="A138" s="280" t="n"/>
      <c r="B138" s="280" t="n"/>
      <c r="C138" s="280" t="n"/>
      <c r="D138" s="280" t="n"/>
      <c r="E138" s="280" t="n"/>
      <c r="F138" s="280" t="n"/>
      <c r="G138" s="280" t="n"/>
      <c r="H138" s="280" t="n"/>
      <c r="I138" s="332">
        <f>IFERROR(VLOOKUP(TEXT(H138,"0"),IPRESS!$A$3:$B$212,2,0),"")</f>
        <v/>
      </c>
      <c r="J138" s="280" t="n"/>
      <c r="K138" s="332">
        <f>IFERROR(VLOOKUP(TEXT(O138,"0"),CONDUCTORES!$A$3:$G$54,7,0),"")</f>
        <v/>
      </c>
      <c r="L138" s="280" t="n"/>
      <c r="M138" s="280" t="n"/>
      <c r="N138" s="333">
        <f>IFERROR(IF(L138*M138=0,"",L138*M138),"")</f>
        <v/>
      </c>
      <c r="O138" s="280" t="n"/>
      <c r="P138" s="332">
        <f>IFERROR(VLOOKUP(TEXT(O138,"0"),CONDUCTORES!$A$3:$G$54,2,0),"")</f>
        <v/>
      </c>
      <c r="Q138" s="332">
        <f>IFERROR(VLOOKUP(TEXT(O138,"0"),CONDUCTORES!$A$3:$H$54,6,0),"")</f>
        <v/>
      </c>
      <c r="R138" s="280" t="n"/>
      <c r="S138" s="280" t="n"/>
      <c r="T138" s="280" t="n"/>
      <c r="U138" s="280" t="n"/>
      <c r="V138" s="280" t="n"/>
      <c r="W138" s="280" t="n"/>
      <c r="X138" s="280" t="n"/>
      <c r="Y138" s="280" t="n"/>
      <c r="Z138" s="375">
        <f>IF(AND(G138&lt;&gt;"",R138&lt;&gt;"",V138&lt;&gt;"",W138&lt;&gt;""),"COMPLETADO","OBSERVADO")</f>
        <v/>
      </c>
    </row>
    <row r="139" ht="15" customHeight="1" s="195">
      <c r="A139" s="334" t="n"/>
      <c r="B139" s="334" t="n"/>
      <c r="C139" s="334" t="n"/>
      <c r="D139" s="334" t="n"/>
      <c r="E139" s="334" t="n"/>
      <c r="F139" s="334" t="n"/>
      <c r="G139" s="334" t="n"/>
      <c r="H139" s="334" t="n"/>
      <c r="I139" s="332">
        <f>IFERROR(VLOOKUP(TEXT(H139,"0"),IPRESS!$A$3:$B$212,2,0),"")</f>
        <v/>
      </c>
      <c r="J139" s="334" t="n"/>
      <c r="K139" s="332">
        <f>IFERROR(VLOOKUP(TEXT(O139,"0"),CONDUCTORES!$A$3:$G$54,7,0),"")</f>
        <v/>
      </c>
      <c r="L139" s="334" t="n"/>
      <c r="M139" s="334" t="n"/>
      <c r="N139" s="333">
        <f>IFERROR(IF(L139*M139=0,"",L139*M139),"")</f>
        <v/>
      </c>
      <c r="O139" s="334" t="n"/>
      <c r="P139" s="332">
        <f>IFERROR(VLOOKUP(TEXT(O139,"0"),CONDUCTORES!$A$3:$G$54,2,0),"")</f>
        <v/>
      </c>
      <c r="Q139" s="332">
        <f>IFERROR(VLOOKUP(TEXT(O139,"0"),CONDUCTORES!$A$3:$H$54,6,0),"")</f>
        <v/>
      </c>
      <c r="R139" s="334" t="n"/>
      <c r="S139" s="334" t="n"/>
      <c r="T139" s="334" t="n"/>
      <c r="U139" s="334" t="n"/>
      <c r="V139" s="334" t="n"/>
      <c r="W139" s="334" t="n"/>
      <c r="X139" s="334" t="n"/>
      <c r="Y139" s="334" t="n"/>
      <c r="Z139" s="375">
        <f>IF(AND(G139&lt;&gt;"",R139&lt;&gt;"",V139&lt;&gt;"",W139&lt;&gt;""),"COMPLETADO","OBSERVADO")</f>
        <v/>
      </c>
    </row>
    <row r="140" ht="15" customHeight="1" s="195">
      <c r="A140" s="280" t="n"/>
      <c r="B140" s="280" t="n"/>
      <c r="C140" s="280" t="n"/>
      <c r="D140" s="280" t="n"/>
      <c r="E140" s="280" t="n"/>
      <c r="F140" s="280" t="n"/>
      <c r="G140" s="280" t="n"/>
      <c r="H140" s="280" t="n"/>
      <c r="I140" s="332">
        <f>IFERROR(VLOOKUP(TEXT(H140,"0"),IPRESS!$A$3:$B$212,2,0),"")</f>
        <v/>
      </c>
      <c r="J140" s="280" t="n"/>
      <c r="K140" s="332">
        <f>IFERROR(VLOOKUP(TEXT(O140,"0"),CONDUCTORES!$A$3:$G$54,7,0),"")</f>
        <v/>
      </c>
      <c r="L140" s="280" t="n"/>
      <c r="M140" s="280" t="n"/>
      <c r="N140" s="333">
        <f>IFERROR(IF(L140*M140=0,"",L140*M140),"")</f>
        <v/>
      </c>
      <c r="O140" s="280" t="n"/>
      <c r="P140" s="332">
        <f>IFERROR(VLOOKUP(TEXT(O140,"0"),CONDUCTORES!$A$3:$G$54,2,0),"")</f>
        <v/>
      </c>
      <c r="Q140" s="332">
        <f>IFERROR(VLOOKUP(TEXT(O140,"0"),CONDUCTORES!$A$3:$H$54,6,0),"")</f>
        <v/>
      </c>
      <c r="R140" s="280" t="n"/>
      <c r="S140" s="280" t="n"/>
      <c r="T140" s="280" t="n"/>
      <c r="U140" s="280" t="n"/>
      <c r="V140" s="280" t="n"/>
      <c r="W140" s="280" t="n"/>
      <c r="X140" s="280" t="n"/>
      <c r="Y140" s="280" t="n"/>
      <c r="Z140" s="375">
        <f>IF(AND(G140&lt;&gt;"",R140&lt;&gt;"",V140&lt;&gt;"",W140&lt;&gt;""),"COMPLETADO","OBSERVADO")</f>
        <v/>
      </c>
    </row>
    <row r="141" ht="15" customHeight="1" s="195">
      <c r="A141" s="334" t="n"/>
      <c r="B141" s="334" t="n"/>
      <c r="C141" s="334" t="n"/>
      <c r="D141" s="334" t="n"/>
      <c r="E141" s="334" t="n"/>
      <c r="F141" s="334" t="n"/>
      <c r="G141" s="334" t="n"/>
      <c r="H141" s="334" t="n"/>
      <c r="I141" s="332">
        <f>IFERROR(VLOOKUP(TEXT(H141,"0"),IPRESS!$A$3:$B$212,2,0),"")</f>
        <v/>
      </c>
      <c r="J141" s="334" t="n"/>
      <c r="K141" s="332">
        <f>IFERROR(VLOOKUP(TEXT(O141,"0"),CONDUCTORES!$A$3:$G$54,7,0),"")</f>
        <v/>
      </c>
      <c r="L141" s="334" t="n"/>
      <c r="M141" s="334" t="n"/>
      <c r="N141" s="333">
        <f>IFERROR(IF(L141*M141=0,"",L141*M141),"")</f>
        <v/>
      </c>
      <c r="O141" s="334" t="n"/>
      <c r="P141" s="332">
        <f>IFERROR(VLOOKUP(TEXT(O141,"0"),CONDUCTORES!$A$3:$G$54,2,0),"")</f>
        <v/>
      </c>
      <c r="Q141" s="332">
        <f>IFERROR(VLOOKUP(TEXT(O141,"0"),CONDUCTORES!$A$3:$H$54,6,0),"")</f>
        <v/>
      </c>
      <c r="R141" s="334" t="n"/>
      <c r="S141" s="334" t="n"/>
      <c r="T141" s="334" t="n"/>
      <c r="U141" s="334" t="n"/>
      <c r="V141" s="334" t="n"/>
      <c r="W141" s="334" t="n"/>
      <c r="X141" s="334" t="n"/>
      <c r="Y141" s="334" t="n"/>
      <c r="Z141" s="375">
        <f>IF(AND(G141&lt;&gt;"",R141&lt;&gt;"",V141&lt;&gt;"",W141&lt;&gt;""),"COMPLETADO","OBSERVADO")</f>
        <v/>
      </c>
    </row>
    <row r="142" ht="15" customHeight="1" s="195">
      <c r="A142" s="280" t="n"/>
      <c r="B142" s="280" t="n"/>
      <c r="C142" s="280" t="n"/>
      <c r="D142" s="280" t="n"/>
      <c r="E142" s="280" t="n"/>
      <c r="F142" s="280" t="n"/>
      <c r="G142" s="280" t="n"/>
      <c r="H142" s="280" t="n"/>
      <c r="I142" s="332">
        <f>IFERROR(VLOOKUP(TEXT(H142,"0"),IPRESS!$A$3:$B$212,2,0),"")</f>
        <v/>
      </c>
      <c r="J142" s="280" t="n"/>
      <c r="K142" s="332">
        <f>IFERROR(VLOOKUP(TEXT(O142,"0"),CONDUCTORES!$A$3:$G$54,7,0),"")</f>
        <v/>
      </c>
      <c r="L142" s="280" t="n"/>
      <c r="M142" s="280" t="n"/>
      <c r="N142" s="333">
        <f>IFERROR(IF(L142*M142=0,"",L142*M142),"")</f>
        <v/>
      </c>
      <c r="O142" s="280" t="n"/>
      <c r="P142" s="332">
        <f>IFERROR(VLOOKUP(TEXT(O142,"0"),CONDUCTORES!$A$3:$G$54,2,0),"")</f>
        <v/>
      </c>
      <c r="Q142" s="332">
        <f>IFERROR(VLOOKUP(TEXT(O142,"0"),CONDUCTORES!$A$3:$H$54,6,0),"")</f>
        <v/>
      </c>
      <c r="R142" s="280" t="n"/>
      <c r="S142" s="280" t="n"/>
      <c r="T142" s="280" t="n"/>
      <c r="U142" s="280" t="n"/>
      <c r="V142" s="280" t="n"/>
      <c r="W142" s="280" t="n"/>
      <c r="X142" s="280" t="n"/>
      <c r="Y142" s="280" t="n"/>
      <c r="Z142" s="375">
        <f>IF(AND(G142&lt;&gt;"",R142&lt;&gt;"",V142&lt;&gt;"",W142&lt;&gt;""),"COMPLETADO","OBSERVADO")</f>
        <v/>
      </c>
    </row>
    <row r="143" ht="15" customHeight="1" s="195">
      <c r="A143" s="334" t="n"/>
      <c r="B143" s="334" t="n"/>
      <c r="C143" s="334" t="n"/>
      <c r="D143" s="334" t="n"/>
      <c r="E143" s="334" t="n"/>
      <c r="F143" s="334" t="n"/>
      <c r="G143" s="334" t="n"/>
      <c r="H143" s="334" t="n"/>
      <c r="I143" s="332">
        <f>IFERROR(VLOOKUP(TEXT(H143,"0"),IPRESS!$A$3:$B$212,2,0),"")</f>
        <v/>
      </c>
      <c r="J143" s="334" t="n"/>
      <c r="K143" s="332">
        <f>IFERROR(VLOOKUP(TEXT(O143,"0"),CONDUCTORES!$A$3:$G$54,7,0),"")</f>
        <v/>
      </c>
      <c r="L143" s="334" t="n"/>
      <c r="M143" s="334" t="n"/>
      <c r="N143" s="333">
        <f>IFERROR(IF(L143*M143=0,"",L143*M143),"")</f>
        <v/>
      </c>
      <c r="O143" s="334" t="n"/>
      <c r="P143" s="332">
        <f>IFERROR(VLOOKUP(TEXT(O143,"0"),CONDUCTORES!$A$3:$G$54,2,0),"")</f>
        <v/>
      </c>
      <c r="Q143" s="332">
        <f>IFERROR(VLOOKUP(TEXT(O143,"0"),CONDUCTORES!$A$3:$H$54,6,0),"")</f>
        <v/>
      </c>
      <c r="R143" s="334" t="n"/>
      <c r="S143" s="334" t="n"/>
      <c r="T143" s="334" t="n"/>
      <c r="U143" s="334" t="n"/>
      <c r="V143" s="334" t="n"/>
      <c r="W143" s="334" t="n"/>
      <c r="X143" s="334" t="n"/>
      <c r="Y143" s="334" t="n"/>
      <c r="Z143" s="375">
        <f>IF(AND(G143&lt;&gt;"",R143&lt;&gt;"",V143&lt;&gt;"",W143&lt;&gt;""),"COMPLETADO","OBSERVADO")</f>
        <v/>
      </c>
    </row>
    <row r="144" ht="15" customHeight="1" s="195">
      <c r="A144" s="280" t="n"/>
      <c r="B144" s="280" t="n"/>
      <c r="C144" s="280" t="n"/>
      <c r="D144" s="280" t="n"/>
      <c r="E144" s="280" t="n"/>
      <c r="F144" s="280" t="n"/>
      <c r="G144" s="280" t="n"/>
      <c r="H144" s="280" t="n"/>
      <c r="I144" s="332">
        <f>IFERROR(VLOOKUP(TEXT(H144,"0"),IPRESS!$A$3:$B$212,2,0),"")</f>
        <v/>
      </c>
      <c r="J144" s="280" t="n"/>
      <c r="K144" s="332">
        <f>IFERROR(VLOOKUP(TEXT(O144,"0"),CONDUCTORES!$A$3:$G$54,7,0),"")</f>
        <v/>
      </c>
      <c r="L144" s="280" t="n"/>
      <c r="M144" s="280" t="n"/>
      <c r="N144" s="333">
        <f>IFERROR(IF(L144*M144=0,"",L144*M144),"")</f>
        <v/>
      </c>
      <c r="O144" s="280" t="n"/>
      <c r="P144" s="332">
        <f>IFERROR(VLOOKUP(TEXT(O144,"0"),CONDUCTORES!$A$3:$G$54,2,0),"")</f>
        <v/>
      </c>
      <c r="Q144" s="332">
        <f>IFERROR(VLOOKUP(TEXT(O144,"0"),CONDUCTORES!$A$3:$H$54,6,0),"")</f>
        <v/>
      </c>
      <c r="R144" s="280" t="n"/>
      <c r="S144" s="280" t="n"/>
      <c r="T144" s="280" t="n"/>
      <c r="U144" s="280" t="n"/>
      <c r="V144" s="280" t="n"/>
      <c r="W144" s="280" t="n"/>
      <c r="X144" s="280" t="n"/>
      <c r="Y144" s="280" t="n"/>
      <c r="Z144" s="375">
        <f>IF(AND(G144&lt;&gt;"",R144&lt;&gt;"",V144&lt;&gt;"",W144&lt;&gt;""),"COMPLETADO","OBSERVADO")</f>
        <v/>
      </c>
    </row>
    <row r="145" ht="15" customHeight="1" s="195">
      <c r="A145" s="334" t="n"/>
      <c r="B145" s="334" t="n"/>
      <c r="C145" s="334" t="n"/>
      <c r="D145" s="334" t="n"/>
      <c r="E145" s="334" t="n"/>
      <c r="F145" s="334" t="n"/>
      <c r="G145" s="334" t="n"/>
      <c r="H145" s="334" t="n"/>
      <c r="I145" s="332">
        <f>IFERROR(VLOOKUP(TEXT(H145,"0"),IPRESS!$A$3:$B$212,2,0),"")</f>
        <v/>
      </c>
      <c r="J145" s="334" t="n"/>
      <c r="K145" s="332">
        <f>IFERROR(VLOOKUP(TEXT(O145,"0"),CONDUCTORES!$A$3:$G$54,7,0),"")</f>
        <v/>
      </c>
      <c r="L145" s="334" t="n"/>
      <c r="M145" s="334" t="n"/>
      <c r="N145" s="333">
        <f>IFERROR(IF(L145*M145=0,"",L145*M145),"")</f>
        <v/>
      </c>
      <c r="O145" s="334" t="n"/>
      <c r="P145" s="332">
        <f>IFERROR(VLOOKUP(TEXT(O145,"0"),CONDUCTORES!$A$3:$G$54,2,0),"")</f>
        <v/>
      </c>
      <c r="Q145" s="332">
        <f>IFERROR(VLOOKUP(TEXT(O145,"0"),CONDUCTORES!$A$3:$H$54,6,0),"")</f>
        <v/>
      </c>
      <c r="R145" s="334" t="n"/>
      <c r="S145" s="334" t="n"/>
      <c r="T145" s="334" t="n"/>
      <c r="U145" s="334" t="n"/>
      <c r="V145" s="334" t="n"/>
      <c r="W145" s="334" t="n"/>
      <c r="X145" s="334" t="n"/>
      <c r="Y145" s="334" t="n"/>
      <c r="Z145" s="375">
        <f>IF(AND(G145&lt;&gt;"",R145&lt;&gt;"",V145&lt;&gt;"",W145&lt;&gt;""),"COMPLETADO","OBSERVADO")</f>
        <v/>
      </c>
    </row>
    <row r="146" ht="15" customHeight="1" s="195">
      <c r="A146" s="280" t="n"/>
      <c r="B146" s="280" t="n"/>
      <c r="C146" s="280" t="n"/>
      <c r="D146" s="280" t="n"/>
      <c r="E146" s="280" t="n"/>
      <c r="F146" s="280" t="n"/>
      <c r="G146" s="280" t="n"/>
      <c r="H146" s="280" t="n"/>
      <c r="I146" s="332">
        <f>IFERROR(VLOOKUP(TEXT(H146,"0"),IPRESS!$A$3:$B$212,2,0),"")</f>
        <v/>
      </c>
      <c r="J146" s="280" t="n"/>
      <c r="K146" s="332">
        <f>IFERROR(VLOOKUP(TEXT(O146,"0"),CONDUCTORES!$A$3:$G$54,7,0),"")</f>
        <v/>
      </c>
      <c r="L146" s="280" t="n"/>
      <c r="M146" s="280" t="n"/>
      <c r="N146" s="333">
        <f>IFERROR(IF(L146*M146=0,"",L146*M146),"")</f>
        <v/>
      </c>
      <c r="O146" s="280" t="n"/>
      <c r="P146" s="332">
        <f>IFERROR(VLOOKUP(TEXT(O146,"0"),CONDUCTORES!$A$3:$G$54,2,0),"")</f>
        <v/>
      </c>
      <c r="Q146" s="332">
        <f>IFERROR(VLOOKUP(TEXT(O146,"0"),CONDUCTORES!$A$3:$H$54,6,0),"")</f>
        <v/>
      </c>
      <c r="R146" s="280" t="n"/>
      <c r="S146" s="280" t="n"/>
      <c r="T146" s="280" t="n"/>
      <c r="U146" s="280" t="n"/>
      <c r="V146" s="280" t="n"/>
      <c r="W146" s="280" t="n"/>
      <c r="X146" s="280" t="n"/>
      <c r="Y146" s="280" t="n"/>
      <c r="Z146" s="375">
        <f>IF(AND(G146&lt;&gt;"",R146&lt;&gt;"",V146&lt;&gt;"",W146&lt;&gt;""),"COMPLETADO","OBSERVADO")</f>
        <v/>
      </c>
    </row>
    <row r="147" ht="15" customHeight="1" s="195">
      <c r="A147" s="334" t="n"/>
      <c r="B147" s="334" t="n"/>
      <c r="C147" s="334" t="n"/>
      <c r="D147" s="334" t="n"/>
      <c r="E147" s="334" t="n"/>
      <c r="F147" s="334" t="n"/>
      <c r="G147" s="334" t="n"/>
      <c r="H147" s="334" t="n"/>
      <c r="I147" s="332">
        <f>IFERROR(VLOOKUP(TEXT(H147,"0"),IPRESS!$A$3:$B$212,2,0),"")</f>
        <v/>
      </c>
      <c r="J147" s="334" t="n"/>
      <c r="K147" s="332">
        <f>IFERROR(VLOOKUP(TEXT(O147,"0"),CONDUCTORES!$A$3:$G$54,7,0),"")</f>
        <v/>
      </c>
      <c r="L147" s="334" t="n"/>
      <c r="M147" s="334" t="n"/>
      <c r="N147" s="333">
        <f>IFERROR(IF(L147*M147=0,"",L147*M147),"")</f>
        <v/>
      </c>
      <c r="O147" s="334" t="n"/>
      <c r="P147" s="332">
        <f>IFERROR(VLOOKUP(TEXT(O147,"0"),CONDUCTORES!$A$3:$G$54,2,0),"")</f>
        <v/>
      </c>
      <c r="Q147" s="332">
        <f>IFERROR(VLOOKUP(TEXT(O147,"0"),CONDUCTORES!$A$3:$H$54,6,0),"")</f>
        <v/>
      </c>
      <c r="R147" s="334" t="n"/>
      <c r="S147" s="334" t="n"/>
      <c r="T147" s="334" t="n"/>
      <c r="U147" s="334" t="n"/>
      <c r="V147" s="334" t="n"/>
      <c r="W147" s="334" t="n"/>
      <c r="X147" s="334" t="n"/>
      <c r="Y147" s="334" t="n"/>
      <c r="Z147" s="375">
        <f>IF(AND(G147&lt;&gt;"",R147&lt;&gt;"",V147&lt;&gt;"",W147&lt;&gt;""),"COMPLETADO","OBSERVADO")</f>
        <v/>
      </c>
    </row>
    <row r="148" ht="15" customHeight="1" s="195">
      <c r="A148" s="280" t="n"/>
      <c r="B148" s="280" t="n"/>
      <c r="C148" s="280" t="n"/>
      <c r="D148" s="280" t="n"/>
      <c r="E148" s="280" t="n"/>
      <c r="F148" s="280" t="n"/>
      <c r="G148" s="280" t="n"/>
      <c r="H148" s="280" t="n"/>
      <c r="I148" s="332">
        <f>IFERROR(VLOOKUP(TEXT(H148,"0"),IPRESS!$A$3:$B$212,2,0),"")</f>
        <v/>
      </c>
      <c r="J148" s="280" t="n"/>
      <c r="K148" s="332">
        <f>IFERROR(VLOOKUP(TEXT(O148,"0"),CONDUCTORES!$A$3:$G$54,7,0),"")</f>
        <v/>
      </c>
      <c r="L148" s="280" t="n"/>
      <c r="M148" s="280" t="n"/>
      <c r="N148" s="333">
        <f>IFERROR(IF(L148*M148=0,"",L148*M148),"")</f>
        <v/>
      </c>
      <c r="O148" s="280" t="n"/>
      <c r="P148" s="332">
        <f>IFERROR(VLOOKUP(TEXT(O148,"0"),CONDUCTORES!$A$3:$G$54,2,0),"")</f>
        <v/>
      </c>
      <c r="Q148" s="332">
        <f>IFERROR(VLOOKUP(TEXT(O148,"0"),CONDUCTORES!$A$3:$H$54,6,0),"")</f>
        <v/>
      </c>
      <c r="R148" s="280" t="n"/>
      <c r="S148" s="280" t="n"/>
      <c r="T148" s="280" t="n"/>
      <c r="U148" s="280" t="n"/>
      <c r="V148" s="280" t="n"/>
      <c r="W148" s="280" t="n"/>
      <c r="X148" s="280" t="n"/>
      <c r="Y148" s="280" t="n"/>
      <c r="Z148" s="375">
        <f>IF(AND(G148&lt;&gt;"",R148&lt;&gt;"",V148&lt;&gt;"",W148&lt;&gt;""),"COMPLETADO","OBSERVADO")</f>
        <v/>
      </c>
    </row>
    <row r="149" ht="15" customHeight="1" s="195">
      <c r="A149" s="334" t="n"/>
      <c r="B149" s="334" t="n"/>
      <c r="C149" s="334" t="n"/>
      <c r="D149" s="334" t="n"/>
      <c r="E149" s="334" t="n"/>
      <c r="F149" s="334" t="n"/>
      <c r="G149" s="334" t="n"/>
      <c r="H149" s="334" t="n"/>
      <c r="I149" s="332">
        <f>IFERROR(VLOOKUP(TEXT(H149,"0"),IPRESS!$A$3:$B$212,2,0),"")</f>
        <v/>
      </c>
      <c r="J149" s="334" t="n"/>
      <c r="K149" s="332">
        <f>IFERROR(VLOOKUP(TEXT(O149,"0"),CONDUCTORES!$A$3:$G$54,7,0),"")</f>
        <v/>
      </c>
      <c r="L149" s="334" t="n"/>
      <c r="M149" s="334" t="n"/>
      <c r="N149" s="333">
        <f>IFERROR(IF(L149*M149=0,"",L149*M149),"")</f>
        <v/>
      </c>
      <c r="O149" s="334" t="n"/>
      <c r="P149" s="332">
        <f>IFERROR(VLOOKUP(TEXT(O149,"0"),CONDUCTORES!$A$3:$G$54,2,0),"")</f>
        <v/>
      </c>
      <c r="Q149" s="332">
        <f>IFERROR(VLOOKUP(TEXT(O149,"0"),CONDUCTORES!$A$3:$H$54,6,0),"")</f>
        <v/>
      </c>
      <c r="R149" s="334" t="n"/>
      <c r="S149" s="334" t="n"/>
      <c r="T149" s="334" t="n"/>
      <c r="U149" s="334" t="n"/>
      <c r="V149" s="334" t="n"/>
      <c r="W149" s="334" t="n"/>
      <c r="X149" s="334" t="n"/>
      <c r="Y149" s="334" t="n"/>
      <c r="Z149" s="375">
        <f>IF(AND(G149&lt;&gt;"",R149&lt;&gt;"",V149&lt;&gt;"",W149&lt;&gt;""),"COMPLETADO","OBSERVADO")</f>
        <v/>
      </c>
    </row>
    <row r="150" ht="15" customHeight="1" s="195">
      <c r="A150" s="280" t="n"/>
      <c r="B150" s="280" t="n"/>
      <c r="C150" s="280" t="n"/>
      <c r="D150" s="280" t="n"/>
      <c r="E150" s="280" t="n"/>
      <c r="F150" s="280" t="n"/>
      <c r="G150" s="280" t="n"/>
      <c r="H150" s="280" t="n"/>
      <c r="I150" s="332">
        <f>IFERROR(VLOOKUP(TEXT(H150,"0"),IPRESS!$A$3:$B$212,2,0),"")</f>
        <v/>
      </c>
      <c r="J150" s="280" t="n"/>
      <c r="K150" s="332">
        <f>IFERROR(VLOOKUP(TEXT(O150,"0"),CONDUCTORES!$A$3:$G$54,7,0),"")</f>
        <v/>
      </c>
      <c r="L150" s="280" t="n"/>
      <c r="M150" s="280" t="n"/>
      <c r="N150" s="333">
        <f>IFERROR(IF(L150*M150=0,"",L150*M150),"")</f>
        <v/>
      </c>
      <c r="O150" s="280" t="n"/>
      <c r="P150" s="332">
        <f>IFERROR(VLOOKUP(TEXT(O150,"0"),CONDUCTORES!$A$3:$G$54,2,0),"")</f>
        <v/>
      </c>
      <c r="Q150" s="332">
        <f>IFERROR(VLOOKUP(TEXT(O150,"0"),CONDUCTORES!$A$3:$H$54,6,0),"")</f>
        <v/>
      </c>
      <c r="R150" s="280" t="n"/>
      <c r="S150" s="280" t="n"/>
      <c r="T150" s="280" t="n"/>
      <c r="U150" s="280" t="n"/>
      <c r="V150" s="280" t="n"/>
      <c r="W150" s="280" t="n"/>
      <c r="X150" s="280" t="n"/>
      <c r="Y150" s="280" t="n"/>
      <c r="Z150" s="375">
        <f>IF(AND(G150&lt;&gt;"",R150&lt;&gt;"",V150&lt;&gt;"",W150&lt;&gt;""),"COMPLETADO","OBSERVADO")</f>
        <v/>
      </c>
    </row>
    <row r="151" ht="15" customHeight="1" s="195">
      <c r="A151" s="334" t="n"/>
      <c r="B151" s="334" t="n"/>
      <c r="C151" s="334" t="n"/>
      <c r="D151" s="334" t="n"/>
      <c r="E151" s="334" t="n"/>
      <c r="F151" s="334" t="n"/>
      <c r="G151" s="334" t="n"/>
      <c r="H151" s="334" t="n"/>
      <c r="I151" s="332">
        <f>IFERROR(VLOOKUP(TEXT(H151,"0"),IPRESS!$A$3:$B$212,2,0),"")</f>
        <v/>
      </c>
      <c r="J151" s="334" t="n"/>
      <c r="K151" s="332">
        <f>IFERROR(VLOOKUP(TEXT(O151,"0"),CONDUCTORES!$A$3:$G$54,7,0),"")</f>
        <v/>
      </c>
      <c r="L151" s="334" t="n"/>
      <c r="M151" s="334" t="n"/>
      <c r="N151" s="333">
        <f>IFERROR(IF(L151*M151=0,"",L151*M151),"")</f>
        <v/>
      </c>
      <c r="O151" s="334" t="n"/>
      <c r="P151" s="332">
        <f>IFERROR(VLOOKUP(TEXT(O151,"0"),CONDUCTORES!$A$3:$G$54,2,0),"")</f>
        <v/>
      </c>
      <c r="Q151" s="332">
        <f>IFERROR(VLOOKUP(TEXT(O151,"0"),CONDUCTORES!$A$3:$H$54,6,0),"")</f>
        <v/>
      </c>
      <c r="R151" s="334" t="n"/>
      <c r="S151" s="334" t="n"/>
      <c r="T151" s="334" t="n"/>
      <c r="U151" s="334" t="n"/>
      <c r="V151" s="334" t="n"/>
      <c r="W151" s="334" t="n"/>
      <c r="X151" s="334" t="n"/>
      <c r="Y151" s="334" t="n"/>
      <c r="Z151" s="375">
        <f>IF(AND(G151&lt;&gt;"",R151&lt;&gt;"",V151&lt;&gt;"",W151&lt;&gt;""),"COMPLETADO","OBSERVADO")</f>
        <v/>
      </c>
    </row>
    <row r="152" ht="15" customHeight="1" s="195">
      <c r="A152" s="280" t="n"/>
      <c r="B152" s="280" t="n"/>
      <c r="C152" s="280" t="n"/>
      <c r="D152" s="280" t="n"/>
      <c r="E152" s="280" t="n"/>
      <c r="F152" s="280" t="n"/>
      <c r="G152" s="280" t="n"/>
      <c r="H152" s="280" t="n"/>
      <c r="I152" s="332">
        <f>IFERROR(VLOOKUP(TEXT(H152,"0"),IPRESS!$A$3:$B$212,2,0),"")</f>
        <v/>
      </c>
      <c r="J152" s="280" t="n"/>
      <c r="K152" s="332">
        <f>IFERROR(VLOOKUP(TEXT(O152,"0"),CONDUCTORES!$A$3:$G$54,7,0),"")</f>
        <v/>
      </c>
      <c r="L152" s="280" t="n"/>
      <c r="M152" s="280" t="n"/>
      <c r="N152" s="333">
        <f>IFERROR(IF(L152*M152=0,"",L152*M152),"")</f>
        <v/>
      </c>
      <c r="O152" s="280" t="n"/>
      <c r="P152" s="332">
        <f>IFERROR(VLOOKUP(TEXT(O152,"0"),CONDUCTORES!$A$3:$G$54,2,0),"")</f>
        <v/>
      </c>
      <c r="Q152" s="332">
        <f>IFERROR(VLOOKUP(TEXT(O152,"0"),CONDUCTORES!$A$3:$H$54,6,0),"")</f>
        <v/>
      </c>
      <c r="R152" s="280" t="n"/>
      <c r="S152" s="280" t="n"/>
      <c r="T152" s="280" t="n"/>
      <c r="U152" s="280" t="n"/>
      <c r="V152" s="280" t="n"/>
      <c r="W152" s="280" t="n"/>
      <c r="X152" s="280" t="n"/>
      <c r="Y152" s="280" t="n"/>
      <c r="Z152" s="375">
        <f>IF(AND(G152&lt;&gt;"",R152&lt;&gt;"",V152&lt;&gt;"",W152&lt;&gt;""),"COMPLETADO","OBSERVADO")</f>
        <v/>
      </c>
    </row>
    <row r="153" ht="15" customHeight="1" s="195">
      <c r="A153" s="334" t="n"/>
      <c r="B153" s="334" t="n"/>
      <c r="C153" s="334" t="n"/>
      <c r="D153" s="334" t="n"/>
      <c r="E153" s="334" t="n"/>
      <c r="F153" s="334" t="n"/>
      <c r="G153" s="334" t="n"/>
      <c r="H153" s="334" t="n"/>
      <c r="I153" s="332">
        <f>IFERROR(VLOOKUP(TEXT(H153,"0"),IPRESS!$A$3:$B$212,2,0),"")</f>
        <v/>
      </c>
      <c r="J153" s="334" t="n"/>
      <c r="K153" s="332">
        <f>IFERROR(VLOOKUP(TEXT(O153,"0"),CONDUCTORES!$A$3:$G$54,7,0),"")</f>
        <v/>
      </c>
      <c r="L153" s="334" t="n"/>
      <c r="M153" s="334" t="n"/>
      <c r="N153" s="333">
        <f>IFERROR(IF(L153*M153=0,"",L153*M153),"")</f>
        <v/>
      </c>
      <c r="O153" s="334" t="n"/>
      <c r="P153" s="332">
        <f>IFERROR(VLOOKUP(TEXT(O153,"0"),CONDUCTORES!$A$3:$G$54,2,0),"")</f>
        <v/>
      </c>
      <c r="Q153" s="332">
        <f>IFERROR(VLOOKUP(TEXT(O153,"0"),CONDUCTORES!$A$3:$H$54,6,0),"")</f>
        <v/>
      </c>
      <c r="R153" s="334" t="n"/>
      <c r="S153" s="334" t="n"/>
      <c r="T153" s="334" t="n"/>
      <c r="U153" s="334" t="n"/>
      <c r="V153" s="334" t="n"/>
      <c r="W153" s="334" t="n"/>
      <c r="X153" s="334" t="n"/>
      <c r="Y153" s="334" t="n"/>
      <c r="Z153" s="375">
        <f>IF(AND(G153&lt;&gt;"",R153&lt;&gt;"",V153&lt;&gt;"",W153&lt;&gt;""),"COMPLETADO","OBSERVADO")</f>
        <v/>
      </c>
    </row>
    <row r="154" ht="15" customHeight="1" s="195">
      <c r="A154" s="280" t="n"/>
      <c r="B154" s="280" t="n"/>
      <c r="C154" s="280" t="n"/>
      <c r="D154" s="280" t="n"/>
      <c r="E154" s="280" t="n"/>
      <c r="F154" s="280" t="n"/>
      <c r="G154" s="280" t="n"/>
      <c r="H154" s="280" t="n"/>
      <c r="I154" s="332">
        <f>IFERROR(VLOOKUP(TEXT(H154,"0"),IPRESS!$A$3:$B$212,2,0),"")</f>
        <v/>
      </c>
      <c r="J154" s="280" t="n"/>
      <c r="K154" s="332">
        <f>IFERROR(VLOOKUP(TEXT(O154,"0"),CONDUCTORES!$A$3:$G$54,7,0),"")</f>
        <v/>
      </c>
      <c r="L154" s="280" t="n"/>
      <c r="M154" s="280" t="n"/>
      <c r="N154" s="333">
        <f>IFERROR(IF(L154*M154=0,"",L154*M154),"")</f>
        <v/>
      </c>
      <c r="O154" s="280" t="n"/>
      <c r="P154" s="332">
        <f>IFERROR(VLOOKUP(TEXT(O154,"0"),CONDUCTORES!$A$3:$G$54,2,0),"")</f>
        <v/>
      </c>
      <c r="Q154" s="332">
        <f>IFERROR(VLOOKUP(TEXT(O154,"0"),CONDUCTORES!$A$3:$H$54,6,0),"")</f>
        <v/>
      </c>
      <c r="R154" s="280" t="n"/>
      <c r="S154" s="280" t="n"/>
      <c r="T154" s="280" t="n"/>
      <c r="U154" s="280" t="n"/>
      <c r="V154" s="280" t="n"/>
      <c r="W154" s="280" t="n"/>
      <c r="X154" s="280" t="n"/>
      <c r="Y154" s="280" t="n"/>
      <c r="Z154" s="375">
        <f>IF(AND(G154&lt;&gt;"",R154&lt;&gt;"",V154&lt;&gt;"",W154&lt;&gt;""),"COMPLETADO","OBSERVADO")</f>
        <v/>
      </c>
    </row>
    <row r="155" ht="15" customHeight="1" s="195">
      <c r="A155" s="334" t="n"/>
      <c r="B155" s="334" t="n"/>
      <c r="C155" s="334" t="n"/>
      <c r="D155" s="334" t="n"/>
      <c r="E155" s="334" t="n"/>
      <c r="F155" s="334" t="n"/>
      <c r="G155" s="334" t="n"/>
      <c r="H155" s="334" t="n"/>
      <c r="I155" s="332">
        <f>IFERROR(VLOOKUP(TEXT(H155,"0"),IPRESS!$A$3:$B$212,2,0),"")</f>
        <v/>
      </c>
      <c r="J155" s="334" t="n"/>
      <c r="K155" s="332">
        <f>IFERROR(VLOOKUP(TEXT(O155,"0"),CONDUCTORES!$A$3:$G$54,7,0),"")</f>
        <v/>
      </c>
      <c r="L155" s="334" t="n"/>
      <c r="M155" s="334" t="n"/>
      <c r="N155" s="333">
        <f>IFERROR(IF(L155*M155=0,"",L155*M155),"")</f>
        <v/>
      </c>
      <c r="O155" s="334" t="n"/>
      <c r="P155" s="332">
        <f>IFERROR(VLOOKUP(TEXT(O155,"0"),CONDUCTORES!$A$3:$G$54,2,0),"")</f>
        <v/>
      </c>
      <c r="Q155" s="332">
        <f>IFERROR(VLOOKUP(TEXT(O155,"0"),CONDUCTORES!$A$3:$H$54,6,0),"")</f>
        <v/>
      </c>
      <c r="R155" s="334" t="n"/>
      <c r="S155" s="334" t="n"/>
      <c r="T155" s="334" t="n"/>
      <c r="U155" s="334" t="n"/>
      <c r="V155" s="334" t="n"/>
      <c r="W155" s="334" t="n"/>
      <c r="X155" s="334" t="n"/>
      <c r="Y155" s="334" t="n"/>
      <c r="Z155" s="375">
        <f>IF(AND(G155&lt;&gt;"",R155&lt;&gt;"",V155&lt;&gt;"",W155&lt;&gt;""),"COMPLETADO","OBSERVADO")</f>
        <v/>
      </c>
    </row>
    <row r="156" ht="15" customHeight="1" s="195">
      <c r="A156" s="280" t="n"/>
      <c r="B156" s="280" t="n"/>
      <c r="C156" s="280" t="n"/>
      <c r="D156" s="280" t="n"/>
      <c r="E156" s="280" t="n"/>
      <c r="F156" s="280" t="n"/>
      <c r="G156" s="280" t="n"/>
      <c r="H156" s="280" t="n"/>
      <c r="I156" s="332">
        <f>IFERROR(VLOOKUP(TEXT(H156,"0"),IPRESS!$A$3:$B$212,2,0),"")</f>
        <v/>
      </c>
      <c r="J156" s="280" t="n"/>
      <c r="K156" s="332">
        <f>IFERROR(VLOOKUP(TEXT(O156,"0"),CONDUCTORES!$A$3:$G$54,7,0),"")</f>
        <v/>
      </c>
      <c r="L156" s="280" t="n"/>
      <c r="M156" s="280" t="n"/>
      <c r="N156" s="333">
        <f>IFERROR(IF(L156*M156=0,"",L156*M156),"")</f>
        <v/>
      </c>
      <c r="O156" s="280" t="n"/>
      <c r="P156" s="332">
        <f>IFERROR(VLOOKUP(TEXT(O156,"0"),CONDUCTORES!$A$3:$G$54,2,0),"")</f>
        <v/>
      </c>
      <c r="Q156" s="332">
        <f>IFERROR(VLOOKUP(TEXT(O156,"0"),CONDUCTORES!$A$3:$H$54,6,0),"")</f>
        <v/>
      </c>
      <c r="R156" s="280" t="n"/>
      <c r="S156" s="280" t="n"/>
      <c r="T156" s="280" t="n"/>
      <c r="U156" s="280" t="n"/>
      <c r="V156" s="280" t="n"/>
      <c r="W156" s="280" t="n"/>
      <c r="X156" s="280" t="n"/>
      <c r="Y156" s="280" t="n"/>
      <c r="Z156" s="375">
        <f>IF(AND(G156&lt;&gt;"",R156&lt;&gt;"",V156&lt;&gt;"",W156&lt;&gt;""),"COMPLETADO","OBSERVADO")</f>
        <v/>
      </c>
    </row>
    <row r="157" ht="15" customHeight="1" s="195">
      <c r="A157" s="334" t="n"/>
      <c r="B157" s="334" t="n"/>
      <c r="C157" s="334" t="n"/>
      <c r="D157" s="334" t="n"/>
      <c r="E157" s="334" t="n"/>
      <c r="F157" s="334" t="n"/>
      <c r="G157" s="334" t="n"/>
      <c r="H157" s="334" t="n"/>
      <c r="I157" s="332">
        <f>IFERROR(VLOOKUP(TEXT(H157,"0"),IPRESS!$A$3:$B$212,2,0),"")</f>
        <v/>
      </c>
      <c r="J157" s="334" t="n"/>
      <c r="K157" s="332">
        <f>IFERROR(VLOOKUP(TEXT(O157,"0"),CONDUCTORES!$A$3:$G$54,7,0),"")</f>
        <v/>
      </c>
      <c r="L157" s="334" t="n"/>
      <c r="M157" s="334" t="n"/>
      <c r="N157" s="333">
        <f>IFERROR(IF(L157*M157=0,"",L157*M157),"")</f>
        <v/>
      </c>
      <c r="O157" s="334" t="n"/>
      <c r="P157" s="332">
        <f>IFERROR(VLOOKUP(TEXT(O157,"0"),CONDUCTORES!$A$3:$G$54,2,0),"")</f>
        <v/>
      </c>
      <c r="Q157" s="332">
        <f>IFERROR(VLOOKUP(TEXT(O157,"0"),CONDUCTORES!$A$3:$H$54,6,0),"")</f>
        <v/>
      </c>
      <c r="R157" s="334" t="n"/>
      <c r="S157" s="334" t="n"/>
      <c r="T157" s="334" t="n"/>
      <c r="U157" s="334" t="n"/>
      <c r="V157" s="334" t="n"/>
      <c r="W157" s="334" t="n"/>
      <c r="X157" s="334" t="n"/>
      <c r="Y157" s="334" t="n"/>
      <c r="Z157" s="375">
        <f>IF(AND(G157&lt;&gt;"",R157&lt;&gt;"",V157&lt;&gt;"",W157&lt;&gt;""),"COMPLETADO","OBSERVADO")</f>
        <v/>
      </c>
    </row>
    <row r="158" ht="15" customHeight="1" s="195">
      <c r="A158" s="280" t="n"/>
      <c r="B158" s="280" t="n"/>
      <c r="C158" s="280" t="n"/>
      <c r="D158" s="280" t="n"/>
      <c r="E158" s="280" t="n"/>
      <c r="F158" s="280" t="n"/>
      <c r="G158" s="280" t="n"/>
      <c r="H158" s="280" t="n"/>
      <c r="I158" s="332">
        <f>IFERROR(VLOOKUP(TEXT(H158,"0"),IPRESS!$A$3:$B$212,2,0),"")</f>
        <v/>
      </c>
      <c r="J158" s="280" t="n"/>
      <c r="K158" s="332">
        <f>IFERROR(VLOOKUP(TEXT(O158,"0"),CONDUCTORES!$A$3:$G$54,7,0),"")</f>
        <v/>
      </c>
      <c r="L158" s="280" t="n"/>
      <c r="M158" s="280" t="n"/>
      <c r="N158" s="333">
        <f>IFERROR(IF(L158*M158=0,"",L158*M158),"")</f>
        <v/>
      </c>
      <c r="O158" s="280" t="n"/>
      <c r="P158" s="332">
        <f>IFERROR(VLOOKUP(TEXT(O158,"0"),CONDUCTORES!$A$3:$G$54,2,0),"")</f>
        <v/>
      </c>
      <c r="Q158" s="332">
        <f>IFERROR(VLOOKUP(TEXT(O158,"0"),CONDUCTORES!$A$3:$H$54,6,0),"")</f>
        <v/>
      </c>
      <c r="R158" s="280" t="n"/>
      <c r="S158" s="280" t="n"/>
      <c r="T158" s="280" t="n"/>
      <c r="U158" s="280" t="n"/>
      <c r="V158" s="280" t="n"/>
      <c r="W158" s="280" t="n"/>
      <c r="X158" s="280" t="n"/>
      <c r="Y158" s="280" t="n"/>
      <c r="Z158" s="375">
        <f>IF(AND(G158&lt;&gt;"",R158&lt;&gt;"",V158&lt;&gt;"",W158&lt;&gt;""),"COMPLETADO","OBSERVADO")</f>
        <v/>
      </c>
    </row>
    <row r="159" ht="15" customHeight="1" s="195">
      <c r="A159" s="334" t="n"/>
      <c r="B159" s="334" t="n"/>
      <c r="C159" s="334" t="n"/>
      <c r="D159" s="334" t="n"/>
      <c r="E159" s="334" t="n"/>
      <c r="F159" s="334" t="n"/>
      <c r="G159" s="334" t="n"/>
      <c r="H159" s="334" t="n"/>
      <c r="I159" s="332">
        <f>IFERROR(VLOOKUP(TEXT(H159,"0"),IPRESS!$A$3:$B$212,2,0),"")</f>
        <v/>
      </c>
      <c r="J159" s="334" t="n"/>
      <c r="K159" s="332">
        <f>IFERROR(VLOOKUP(TEXT(O159,"0"),CONDUCTORES!$A$3:$G$54,7,0),"")</f>
        <v/>
      </c>
      <c r="L159" s="334" t="n"/>
      <c r="M159" s="334" t="n"/>
      <c r="N159" s="333">
        <f>IFERROR(IF(L159*M159=0,"",L159*M159),"")</f>
        <v/>
      </c>
      <c r="O159" s="334" t="n"/>
      <c r="P159" s="332">
        <f>IFERROR(VLOOKUP(TEXT(O159,"0"),CONDUCTORES!$A$3:$G$54,2,0),"")</f>
        <v/>
      </c>
      <c r="Q159" s="332">
        <f>IFERROR(VLOOKUP(TEXT(O159,"0"),CONDUCTORES!$A$3:$H$54,6,0),"")</f>
        <v/>
      </c>
      <c r="R159" s="334" t="n"/>
      <c r="S159" s="334" t="n"/>
      <c r="T159" s="334" t="n"/>
      <c r="U159" s="334" t="n"/>
      <c r="V159" s="334" t="n"/>
      <c r="W159" s="334" t="n"/>
      <c r="X159" s="334" t="n"/>
      <c r="Y159" s="334" t="n"/>
      <c r="Z159" s="375">
        <f>IF(AND(G159&lt;&gt;"",R159&lt;&gt;"",V159&lt;&gt;"",W159&lt;&gt;""),"COMPLETADO","OBSERVADO")</f>
        <v/>
      </c>
    </row>
    <row r="160" ht="15" customHeight="1" s="195">
      <c r="A160" s="280" t="n"/>
      <c r="B160" s="280" t="n"/>
      <c r="C160" s="280" t="n"/>
      <c r="D160" s="280" t="n"/>
      <c r="E160" s="280" t="n"/>
      <c r="F160" s="280" t="n"/>
      <c r="G160" s="280" t="n"/>
      <c r="H160" s="280" t="n"/>
      <c r="I160" s="332">
        <f>IFERROR(VLOOKUP(TEXT(H160,"0"),IPRESS!$A$3:$B$212,2,0),"")</f>
        <v/>
      </c>
      <c r="J160" s="280" t="n"/>
      <c r="K160" s="332">
        <f>IFERROR(VLOOKUP(TEXT(O160,"0"),CONDUCTORES!$A$3:$G$54,7,0),"")</f>
        <v/>
      </c>
      <c r="L160" s="280" t="n"/>
      <c r="M160" s="280" t="n"/>
      <c r="N160" s="333">
        <f>IFERROR(IF(L160*M160=0,"",L160*M160),"")</f>
        <v/>
      </c>
      <c r="O160" s="280" t="n"/>
      <c r="P160" s="332">
        <f>IFERROR(VLOOKUP(TEXT(O160,"0"),CONDUCTORES!$A$3:$G$54,2,0),"")</f>
        <v/>
      </c>
      <c r="Q160" s="332">
        <f>IFERROR(VLOOKUP(TEXT(O160,"0"),CONDUCTORES!$A$3:$H$54,6,0),"")</f>
        <v/>
      </c>
      <c r="R160" s="280" t="n"/>
      <c r="S160" s="280" t="n"/>
      <c r="T160" s="280" t="n"/>
      <c r="U160" s="280" t="n"/>
      <c r="V160" s="280" t="n"/>
      <c r="W160" s="280" t="n"/>
      <c r="X160" s="280" t="n"/>
      <c r="Y160" s="280" t="n"/>
      <c r="Z160" s="375">
        <f>IF(AND(G160&lt;&gt;"",R160&lt;&gt;"",V160&lt;&gt;"",W160&lt;&gt;""),"COMPLETADO","OBSERVADO")</f>
        <v/>
      </c>
    </row>
    <row r="161" ht="15" customHeight="1" s="195">
      <c r="A161" s="334" t="n"/>
      <c r="B161" s="334" t="n"/>
      <c r="C161" s="334" t="n"/>
      <c r="D161" s="334" t="n"/>
      <c r="E161" s="334" t="n"/>
      <c r="F161" s="334" t="n"/>
      <c r="G161" s="334" t="n"/>
      <c r="H161" s="334" t="n"/>
      <c r="I161" s="332">
        <f>IFERROR(VLOOKUP(TEXT(H161,"0"),IPRESS!$A$3:$B$212,2,0),"")</f>
        <v/>
      </c>
      <c r="J161" s="334" t="n"/>
      <c r="K161" s="332">
        <f>IFERROR(VLOOKUP(TEXT(O161,"0"),CONDUCTORES!$A$3:$G$54,7,0),"")</f>
        <v/>
      </c>
      <c r="L161" s="334" t="n"/>
      <c r="M161" s="334" t="n"/>
      <c r="N161" s="333">
        <f>IFERROR(IF(L161*M161=0,"",L161*M161),"")</f>
        <v/>
      </c>
      <c r="O161" s="334" t="n"/>
      <c r="P161" s="332">
        <f>IFERROR(VLOOKUP(TEXT(O161,"0"),CONDUCTORES!$A$3:$G$54,2,0),"")</f>
        <v/>
      </c>
      <c r="Q161" s="332">
        <f>IFERROR(VLOOKUP(TEXT(O161,"0"),CONDUCTORES!$A$3:$H$54,6,0),"")</f>
        <v/>
      </c>
      <c r="R161" s="334" t="n"/>
      <c r="S161" s="334" t="n"/>
      <c r="T161" s="334" t="n"/>
      <c r="U161" s="334" t="n"/>
      <c r="V161" s="334" t="n"/>
      <c r="W161" s="334" t="n"/>
      <c r="X161" s="334" t="n"/>
      <c r="Y161" s="334" t="n"/>
      <c r="Z161" s="375">
        <f>IF(AND(G161&lt;&gt;"",R161&lt;&gt;"",V161&lt;&gt;"",W161&lt;&gt;""),"COMPLETADO","OBSERVADO")</f>
        <v/>
      </c>
    </row>
    <row r="162" ht="15" customHeight="1" s="195">
      <c r="A162" s="280" t="n"/>
      <c r="B162" s="280" t="n"/>
      <c r="C162" s="280" t="n"/>
      <c r="D162" s="280" t="n"/>
      <c r="E162" s="280" t="n"/>
      <c r="F162" s="280" t="n"/>
      <c r="G162" s="280" t="n"/>
      <c r="H162" s="280" t="n"/>
      <c r="I162" s="332">
        <f>IFERROR(VLOOKUP(TEXT(H162,"0"),IPRESS!$A$3:$B$212,2,0),"")</f>
        <v/>
      </c>
      <c r="J162" s="280" t="n"/>
      <c r="K162" s="332">
        <f>IFERROR(VLOOKUP(TEXT(O162,"0"),CONDUCTORES!$A$3:$G$54,7,0),"")</f>
        <v/>
      </c>
      <c r="L162" s="280" t="n"/>
      <c r="M162" s="280" t="n"/>
      <c r="N162" s="333">
        <f>IFERROR(IF(L162*M162=0,"",L162*M162),"")</f>
        <v/>
      </c>
      <c r="O162" s="280" t="n"/>
      <c r="P162" s="332">
        <f>IFERROR(VLOOKUP(TEXT(O162,"0"),CONDUCTORES!$A$3:$G$54,2,0),"")</f>
        <v/>
      </c>
      <c r="Q162" s="332">
        <f>IFERROR(VLOOKUP(TEXT(O162,"0"),CONDUCTORES!$A$3:$H$54,6,0),"")</f>
        <v/>
      </c>
      <c r="R162" s="280" t="n"/>
      <c r="S162" s="280" t="n"/>
      <c r="T162" s="280" t="n"/>
      <c r="U162" s="280" t="n"/>
      <c r="V162" s="280" t="n"/>
      <c r="W162" s="280" t="n"/>
      <c r="X162" s="280" t="n"/>
      <c r="Y162" s="280" t="n"/>
      <c r="Z162" s="375">
        <f>IF(AND(G162&lt;&gt;"",R162&lt;&gt;"",V162&lt;&gt;"",W162&lt;&gt;""),"COMPLETADO","OBSERVADO")</f>
        <v/>
      </c>
    </row>
    <row r="163" ht="15" customHeight="1" s="195">
      <c r="A163" s="334" t="n"/>
      <c r="B163" s="334" t="n"/>
      <c r="C163" s="334" t="n"/>
      <c r="D163" s="334" t="n"/>
      <c r="E163" s="334" t="n"/>
      <c r="F163" s="334" t="n"/>
      <c r="G163" s="334" t="n"/>
      <c r="H163" s="334" t="n"/>
      <c r="I163" s="332">
        <f>IFERROR(VLOOKUP(TEXT(H163,"0"),IPRESS!$A$3:$B$212,2,0),"")</f>
        <v/>
      </c>
      <c r="J163" s="334" t="n"/>
      <c r="K163" s="332">
        <f>IFERROR(VLOOKUP(TEXT(O163,"0"),CONDUCTORES!$A$3:$G$54,7,0),"")</f>
        <v/>
      </c>
      <c r="L163" s="334" t="n"/>
      <c r="M163" s="334" t="n"/>
      <c r="N163" s="333">
        <f>IFERROR(IF(L163*M163=0,"",L163*M163),"")</f>
        <v/>
      </c>
      <c r="O163" s="334" t="n"/>
      <c r="P163" s="332">
        <f>IFERROR(VLOOKUP(TEXT(O163,"0"),CONDUCTORES!$A$3:$G$54,2,0),"")</f>
        <v/>
      </c>
      <c r="Q163" s="332">
        <f>IFERROR(VLOOKUP(TEXT(O163,"0"),CONDUCTORES!$A$3:$H$54,6,0),"")</f>
        <v/>
      </c>
      <c r="R163" s="334" t="n"/>
      <c r="S163" s="334" t="n"/>
      <c r="T163" s="334" t="n"/>
      <c r="U163" s="334" t="n"/>
      <c r="V163" s="334" t="n"/>
      <c r="W163" s="334" t="n"/>
      <c r="X163" s="334" t="n"/>
      <c r="Y163" s="334" t="n"/>
      <c r="Z163" s="375">
        <f>IF(AND(G163&lt;&gt;"",R163&lt;&gt;"",V163&lt;&gt;"",W163&lt;&gt;""),"COMPLETADO","OBSERVADO")</f>
        <v/>
      </c>
    </row>
    <row r="164" ht="15" customHeight="1" s="195">
      <c r="A164" s="280" t="n"/>
      <c r="B164" s="280" t="n"/>
      <c r="C164" s="280" t="n"/>
      <c r="D164" s="280" t="n"/>
      <c r="E164" s="280" t="n"/>
      <c r="F164" s="280" t="n"/>
      <c r="G164" s="280" t="n"/>
      <c r="H164" s="280" t="n"/>
      <c r="I164" s="332">
        <f>IFERROR(VLOOKUP(TEXT(H164,"0"),IPRESS!$A$3:$B$212,2,0),"")</f>
        <v/>
      </c>
      <c r="J164" s="280" t="n"/>
      <c r="K164" s="332">
        <f>IFERROR(VLOOKUP(TEXT(O164,"0"),CONDUCTORES!$A$3:$G$54,7,0),"")</f>
        <v/>
      </c>
      <c r="L164" s="280" t="n"/>
      <c r="M164" s="280" t="n"/>
      <c r="N164" s="333">
        <f>IFERROR(IF(L164*M164=0,"",L164*M164),"")</f>
        <v/>
      </c>
      <c r="O164" s="280" t="n"/>
      <c r="P164" s="332">
        <f>IFERROR(VLOOKUP(TEXT(O164,"0"),CONDUCTORES!$A$3:$G$54,2,0),"")</f>
        <v/>
      </c>
      <c r="Q164" s="332">
        <f>IFERROR(VLOOKUP(TEXT(O164,"0"),CONDUCTORES!$A$3:$H$54,6,0),"")</f>
        <v/>
      </c>
      <c r="R164" s="280" t="n"/>
      <c r="S164" s="280" t="n"/>
      <c r="T164" s="280" t="n"/>
      <c r="U164" s="280" t="n"/>
      <c r="V164" s="280" t="n"/>
      <c r="W164" s="280" t="n"/>
      <c r="X164" s="280" t="n"/>
      <c r="Y164" s="280" t="n"/>
      <c r="Z164" s="375">
        <f>IF(AND(G164&lt;&gt;"",R164&lt;&gt;"",V164&lt;&gt;"",W164&lt;&gt;""),"COMPLETADO","OBSERVADO")</f>
        <v/>
      </c>
    </row>
    <row r="165" ht="15" customHeight="1" s="195">
      <c r="A165" s="334" t="n"/>
      <c r="B165" s="334" t="n"/>
      <c r="C165" s="334" t="n"/>
      <c r="D165" s="334" t="n"/>
      <c r="E165" s="334" t="n"/>
      <c r="F165" s="334" t="n"/>
      <c r="G165" s="334" t="n"/>
      <c r="H165" s="334" t="n"/>
      <c r="I165" s="332">
        <f>IFERROR(VLOOKUP(TEXT(H165,"0"),IPRESS!$A$3:$B$212,2,0),"")</f>
        <v/>
      </c>
      <c r="J165" s="334" t="n"/>
      <c r="K165" s="332">
        <f>IFERROR(VLOOKUP(TEXT(O165,"0"),CONDUCTORES!$A$3:$G$54,7,0),"")</f>
        <v/>
      </c>
      <c r="L165" s="334" t="n"/>
      <c r="M165" s="334" t="n"/>
      <c r="N165" s="333">
        <f>IFERROR(IF(L165*M165=0,"",L165*M165),"")</f>
        <v/>
      </c>
      <c r="O165" s="334" t="n"/>
      <c r="P165" s="332">
        <f>IFERROR(VLOOKUP(TEXT(O165,"0"),CONDUCTORES!$A$3:$G$54,2,0),"")</f>
        <v/>
      </c>
      <c r="Q165" s="332">
        <f>IFERROR(VLOOKUP(TEXT(O165,"0"),CONDUCTORES!$A$3:$H$54,6,0),"")</f>
        <v/>
      </c>
      <c r="R165" s="334" t="n"/>
      <c r="S165" s="334" t="n"/>
      <c r="T165" s="334" t="n"/>
      <c r="U165" s="334" t="n"/>
      <c r="V165" s="334" t="n"/>
      <c r="W165" s="334" t="n"/>
      <c r="X165" s="334" t="n"/>
      <c r="Y165" s="334" t="n"/>
      <c r="Z165" s="375">
        <f>IF(AND(G165&lt;&gt;"",R165&lt;&gt;"",V165&lt;&gt;"",W165&lt;&gt;""),"COMPLETADO","OBSERVADO")</f>
        <v/>
      </c>
    </row>
    <row r="166" ht="15" customHeight="1" s="195">
      <c r="A166" s="280" t="n"/>
      <c r="B166" s="280" t="n"/>
      <c r="C166" s="280" t="n"/>
      <c r="D166" s="280" t="n"/>
      <c r="E166" s="280" t="n"/>
      <c r="F166" s="280" t="n"/>
      <c r="G166" s="280" t="n"/>
      <c r="H166" s="280" t="n"/>
      <c r="I166" s="332">
        <f>IFERROR(VLOOKUP(TEXT(H166,"0"),IPRESS!$A$3:$B$212,2,0),"")</f>
        <v/>
      </c>
      <c r="J166" s="280" t="n"/>
      <c r="K166" s="332">
        <f>IFERROR(VLOOKUP(TEXT(O166,"0"),CONDUCTORES!$A$3:$G$54,7,0),"")</f>
        <v/>
      </c>
      <c r="L166" s="280" t="n"/>
      <c r="M166" s="280" t="n"/>
      <c r="N166" s="333">
        <f>IFERROR(IF(L166*M166=0,"",L166*M166),"")</f>
        <v/>
      </c>
      <c r="O166" s="280" t="n"/>
      <c r="P166" s="332">
        <f>IFERROR(VLOOKUP(TEXT(O166,"0"),CONDUCTORES!$A$3:$G$54,2,0),"")</f>
        <v/>
      </c>
      <c r="Q166" s="332">
        <f>IFERROR(VLOOKUP(TEXT(O166,"0"),CONDUCTORES!$A$3:$H$54,6,0),"")</f>
        <v/>
      </c>
      <c r="R166" s="280" t="n"/>
      <c r="S166" s="280" t="n"/>
      <c r="T166" s="280" t="n"/>
      <c r="U166" s="280" t="n"/>
      <c r="V166" s="280" t="n"/>
      <c r="W166" s="280" t="n"/>
      <c r="X166" s="280" t="n"/>
      <c r="Y166" s="280" t="n"/>
      <c r="Z166" s="375">
        <f>IF(AND(G166&lt;&gt;"",R166&lt;&gt;"",V166&lt;&gt;"",W166&lt;&gt;""),"COMPLETADO","OBSERVADO")</f>
        <v/>
      </c>
    </row>
    <row r="167" ht="15" customHeight="1" s="195">
      <c r="A167" s="334" t="n"/>
      <c r="B167" s="334" t="n"/>
      <c r="C167" s="334" t="n"/>
      <c r="D167" s="334" t="n"/>
      <c r="E167" s="334" t="n"/>
      <c r="F167" s="334" t="n"/>
      <c r="G167" s="334" t="n"/>
      <c r="H167" s="334" t="n"/>
      <c r="I167" s="332">
        <f>IFERROR(VLOOKUP(TEXT(H167,"0"),IPRESS!$A$3:$B$212,2,0),"")</f>
        <v/>
      </c>
      <c r="J167" s="334" t="n"/>
      <c r="K167" s="332">
        <f>IFERROR(VLOOKUP(TEXT(O167,"0"),CONDUCTORES!$A$3:$G$54,7,0),"")</f>
        <v/>
      </c>
      <c r="L167" s="334" t="n"/>
      <c r="M167" s="334" t="n"/>
      <c r="N167" s="333">
        <f>IFERROR(IF(L167*M167=0,"",L167*M167),"")</f>
        <v/>
      </c>
      <c r="O167" s="334" t="n"/>
      <c r="P167" s="332">
        <f>IFERROR(VLOOKUP(TEXT(O167,"0"),CONDUCTORES!$A$3:$G$54,2,0),"")</f>
        <v/>
      </c>
      <c r="Q167" s="332">
        <f>IFERROR(VLOOKUP(TEXT(O167,"0"),CONDUCTORES!$A$3:$H$54,6,0),"")</f>
        <v/>
      </c>
      <c r="R167" s="334" t="n"/>
      <c r="S167" s="334" t="n"/>
      <c r="T167" s="334" t="n"/>
      <c r="U167" s="334" t="n"/>
      <c r="V167" s="334" t="n"/>
      <c r="W167" s="334" t="n"/>
      <c r="X167" s="334" t="n"/>
      <c r="Y167" s="334" t="n"/>
      <c r="Z167" s="375">
        <f>IF(AND(G167&lt;&gt;"",R167&lt;&gt;"",V167&lt;&gt;"",W167&lt;&gt;""),"COMPLETADO","OBSERVADO")</f>
        <v/>
      </c>
    </row>
    <row r="168" ht="15" customHeight="1" s="195">
      <c r="A168" s="280" t="n"/>
      <c r="B168" s="280" t="n"/>
      <c r="C168" s="280" t="n"/>
      <c r="D168" s="280" t="n"/>
      <c r="E168" s="280" t="n"/>
      <c r="F168" s="280" t="n"/>
      <c r="G168" s="280" t="n"/>
      <c r="H168" s="280" t="n"/>
      <c r="I168" s="332">
        <f>IFERROR(VLOOKUP(TEXT(H168,"0"),IPRESS!$A$3:$B$212,2,0),"")</f>
        <v/>
      </c>
      <c r="J168" s="280" t="n"/>
      <c r="K168" s="332">
        <f>IFERROR(VLOOKUP(TEXT(O168,"0"),CONDUCTORES!$A$3:$G$54,7,0),"")</f>
        <v/>
      </c>
      <c r="L168" s="280" t="n"/>
      <c r="M168" s="280" t="n"/>
      <c r="N168" s="333">
        <f>IFERROR(IF(L168*M168=0,"",L168*M168),"")</f>
        <v/>
      </c>
      <c r="O168" s="280" t="n"/>
      <c r="P168" s="332">
        <f>IFERROR(VLOOKUP(TEXT(O168,"0"),CONDUCTORES!$A$3:$G$54,2,0),"")</f>
        <v/>
      </c>
      <c r="Q168" s="332">
        <f>IFERROR(VLOOKUP(TEXT(O168,"0"),CONDUCTORES!$A$3:$H$54,6,0),"")</f>
        <v/>
      </c>
      <c r="R168" s="280" t="n"/>
      <c r="S168" s="280" t="n"/>
      <c r="T168" s="280" t="n"/>
      <c r="U168" s="280" t="n"/>
      <c r="V168" s="280" t="n"/>
      <c r="W168" s="280" t="n"/>
      <c r="X168" s="280" t="n"/>
      <c r="Y168" s="280" t="n"/>
      <c r="Z168" s="375">
        <f>IF(AND(G168&lt;&gt;"",R168&lt;&gt;"",V168&lt;&gt;"",W168&lt;&gt;""),"COMPLETADO","OBSERVADO")</f>
        <v/>
      </c>
    </row>
    <row r="169" ht="15" customHeight="1" s="195">
      <c r="A169" s="334" t="n"/>
      <c r="B169" s="334" t="n"/>
      <c r="C169" s="334" t="n"/>
      <c r="D169" s="334" t="n"/>
      <c r="E169" s="334" t="n"/>
      <c r="F169" s="334" t="n"/>
      <c r="G169" s="334" t="n"/>
      <c r="H169" s="334" t="n"/>
      <c r="I169" s="332">
        <f>IFERROR(VLOOKUP(TEXT(H169,"0"),IPRESS!$A$3:$B$212,2,0),"")</f>
        <v/>
      </c>
      <c r="J169" s="334" t="n"/>
      <c r="K169" s="332">
        <f>IFERROR(VLOOKUP(TEXT(O169,"0"),CONDUCTORES!$A$3:$G$54,7,0),"")</f>
        <v/>
      </c>
      <c r="L169" s="334" t="n"/>
      <c r="M169" s="334" t="n"/>
      <c r="N169" s="333">
        <f>IFERROR(IF(L169*M169=0,"",L169*M169),"")</f>
        <v/>
      </c>
      <c r="O169" s="334" t="n"/>
      <c r="P169" s="332">
        <f>IFERROR(VLOOKUP(TEXT(O169,"0"),CONDUCTORES!$A$3:$G$54,2,0),"")</f>
        <v/>
      </c>
      <c r="Q169" s="332">
        <f>IFERROR(VLOOKUP(TEXT(O169,"0"),CONDUCTORES!$A$3:$H$54,6,0),"")</f>
        <v/>
      </c>
      <c r="R169" s="334" t="n"/>
      <c r="S169" s="334" t="n"/>
      <c r="T169" s="334" t="n"/>
      <c r="U169" s="334" t="n"/>
      <c r="V169" s="334" t="n"/>
      <c r="W169" s="334" t="n"/>
      <c r="X169" s="334" t="n"/>
      <c r="Y169" s="334" t="n"/>
      <c r="Z169" s="375">
        <f>IF(AND(G169&lt;&gt;"",R169&lt;&gt;"",V169&lt;&gt;"",W169&lt;&gt;""),"COMPLETADO","OBSERVADO")</f>
        <v/>
      </c>
    </row>
    <row r="170" ht="15" customHeight="1" s="195">
      <c r="A170" s="280" t="n"/>
      <c r="B170" s="280" t="n"/>
      <c r="C170" s="280" t="n"/>
      <c r="D170" s="280" t="n"/>
      <c r="E170" s="280" t="n"/>
      <c r="F170" s="280" t="n"/>
      <c r="G170" s="280" t="n"/>
      <c r="H170" s="280" t="n"/>
      <c r="I170" s="332">
        <f>IFERROR(VLOOKUP(TEXT(H170,"0"),IPRESS!$A$3:$B$212,2,0),"")</f>
        <v/>
      </c>
      <c r="J170" s="280" t="n"/>
      <c r="K170" s="332">
        <f>IFERROR(VLOOKUP(TEXT(O170,"0"),CONDUCTORES!$A$3:$G$54,7,0),"")</f>
        <v/>
      </c>
      <c r="L170" s="280" t="n"/>
      <c r="M170" s="280" t="n"/>
      <c r="N170" s="333">
        <f>IFERROR(IF(L170*M170=0,"",L170*M170),"")</f>
        <v/>
      </c>
      <c r="O170" s="280" t="n"/>
      <c r="P170" s="332">
        <f>IFERROR(VLOOKUP(TEXT(O170,"0"),CONDUCTORES!$A$3:$G$54,2,0),"")</f>
        <v/>
      </c>
      <c r="Q170" s="332">
        <f>IFERROR(VLOOKUP(TEXT(O170,"0"),CONDUCTORES!$A$3:$H$54,6,0),"")</f>
        <v/>
      </c>
      <c r="R170" s="280" t="n"/>
      <c r="S170" s="280" t="n"/>
      <c r="T170" s="280" t="n"/>
      <c r="U170" s="280" t="n"/>
      <c r="V170" s="280" t="n"/>
      <c r="W170" s="280" t="n"/>
      <c r="X170" s="280" t="n"/>
      <c r="Y170" s="280" t="n"/>
      <c r="Z170" s="375">
        <f>IF(AND(G170&lt;&gt;"",R170&lt;&gt;"",V170&lt;&gt;"",W170&lt;&gt;""),"COMPLETADO","OBSERVADO")</f>
        <v/>
      </c>
    </row>
    <row r="171" ht="15" customHeight="1" s="195">
      <c r="A171" s="334" t="n"/>
      <c r="B171" s="334" t="n"/>
      <c r="C171" s="334" t="n"/>
      <c r="D171" s="334" t="n"/>
      <c r="E171" s="334" t="n"/>
      <c r="F171" s="334" t="n"/>
      <c r="G171" s="334" t="n"/>
      <c r="H171" s="334" t="n"/>
      <c r="I171" s="332">
        <f>IFERROR(VLOOKUP(TEXT(H171,"0"),IPRESS!$A$3:$B$212,2,0),"")</f>
        <v/>
      </c>
      <c r="J171" s="334" t="n"/>
      <c r="K171" s="332">
        <f>IFERROR(VLOOKUP(TEXT(O171,"0"),CONDUCTORES!$A$3:$G$54,7,0),"")</f>
        <v/>
      </c>
      <c r="L171" s="334" t="n"/>
      <c r="M171" s="334" t="n"/>
      <c r="N171" s="333">
        <f>IFERROR(IF(L171*M171=0,"",L171*M171),"")</f>
        <v/>
      </c>
      <c r="O171" s="334" t="n"/>
      <c r="P171" s="332">
        <f>IFERROR(VLOOKUP(TEXT(O171,"0"),CONDUCTORES!$A$3:$G$54,2,0),"")</f>
        <v/>
      </c>
      <c r="Q171" s="332">
        <f>IFERROR(VLOOKUP(TEXT(O171,"0"),CONDUCTORES!$A$3:$H$54,6,0),"")</f>
        <v/>
      </c>
      <c r="R171" s="334" t="n"/>
      <c r="S171" s="334" t="n"/>
      <c r="T171" s="334" t="n"/>
      <c r="U171" s="334" t="n"/>
      <c r="V171" s="334" t="n"/>
      <c r="W171" s="334" t="n"/>
      <c r="X171" s="334" t="n"/>
      <c r="Y171" s="334" t="n"/>
      <c r="Z171" s="375">
        <f>IF(AND(G171&lt;&gt;"",R171&lt;&gt;"",V171&lt;&gt;"",W171&lt;&gt;""),"COMPLETADO","OBSERVADO")</f>
        <v/>
      </c>
    </row>
    <row r="172" ht="15" customHeight="1" s="195">
      <c r="A172" s="280" t="n"/>
      <c r="B172" s="280" t="n"/>
      <c r="C172" s="280" t="n"/>
      <c r="D172" s="280" t="n"/>
      <c r="E172" s="280" t="n"/>
      <c r="F172" s="280" t="n"/>
      <c r="G172" s="280" t="n"/>
      <c r="H172" s="280" t="n"/>
      <c r="I172" s="332">
        <f>IFERROR(VLOOKUP(TEXT(H172,"0"),IPRESS!$A$3:$B$212,2,0),"")</f>
        <v/>
      </c>
      <c r="J172" s="280" t="n"/>
      <c r="K172" s="332">
        <f>IFERROR(VLOOKUP(TEXT(O172,"0"),CONDUCTORES!$A$3:$G$54,7,0),"")</f>
        <v/>
      </c>
      <c r="L172" s="280" t="n"/>
      <c r="M172" s="280" t="n"/>
      <c r="N172" s="333">
        <f>IFERROR(IF(L172*M172=0,"",L172*M172),"")</f>
        <v/>
      </c>
      <c r="O172" s="280" t="n"/>
      <c r="P172" s="332">
        <f>IFERROR(VLOOKUP(TEXT(O172,"0"),CONDUCTORES!$A$3:$G$54,2,0),"")</f>
        <v/>
      </c>
      <c r="Q172" s="332">
        <f>IFERROR(VLOOKUP(TEXT(O172,"0"),CONDUCTORES!$A$3:$H$54,6,0),"")</f>
        <v/>
      </c>
      <c r="R172" s="280" t="n"/>
      <c r="S172" s="280" t="n"/>
      <c r="T172" s="280" t="n"/>
      <c r="U172" s="280" t="n"/>
      <c r="V172" s="280" t="n"/>
      <c r="W172" s="280" t="n"/>
      <c r="X172" s="280" t="n"/>
      <c r="Y172" s="280" t="n"/>
      <c r="Z172" s="375">
        <f>IF(AND(G172&lt;&gt;"",R172&lt;&gt;"",V172&lt;&gt;"",W172&lt;&gt;""),"COMPLETADO","OBSERVADO")</f>
        <v/>
      </c>
    </row>
    <row r="173" ht="15" customHeight="1" s="195">
      <c r="A173" s="334" t="n"/>
      <c r="B173" s="334" t="n"/>
      <c r="C173" s="334" t="n"/>
      <c r="D173" s="334" t="n"/>
      <c r="E173" s="334" t="n"/>
      <c r="F173" s="334" t="n"/>
      <c r="G173" s="334" t="n"/>
      <c r="H173" s="334" t="n"/>
      <c r="I173" s="332">
        <f>IFERROR(VLOOKUP(TEXT(H173,"0"),IPRESS!$A$3:$B$212,2,0),"")</f>
        <v/>
      </c>
      <c r="J173" s="334" t="n"/>
      <c r="K173" s="332">
        <f>IFERROR(VLOOKUP(TEXT(O173,"0"),CONDUCTORES!$A$3:$G$54,7,0),"")</f>
        <v/>
      </c>
      <c r="L173" s="334" t="n"/>
      <c r="M173" s="334" t="n"/>
      <c r="N173" s="333">
        <f>IFERROR(IF(L173*M173=0,"",L173*M173),"")</f>
        <v/>
      </c>
      <c r="O173" s="334" t="n"/>
      <c r="P173" s="332">
        <f>IFERROR(VLOOKUP(TEXT(O173,"0"),CONDUCTORES!$A$3:$G$54,2,0),"")</f>
        <v/>
      </c>
      <c r="Q173" s="332">
        <f>IFERROR(VLOOKUP(TEXT(O173,"0"),CONDUCTORES!$A$3:$H$54,6,0),"")</f>
        <v/>
      </c>
      <c r="R173" s="334" t="n"/>
      <c r="S173" s="334" t="n"/>
      <c r="T173" s="334" t="n"/>
      <c r="U173" s="334" t="n"/>
      <c r="V173" s="334" t="n"/>
      <c r="W173" s="334" t="n"/>
      <c r="X173" s="334" t="n"/>
      <c r="Y173" s="334" t="n"/>
      <c r="Z173" s="375">
        <f>IF(AND(G173&lt;&gt;"",R173&lt;&gt;"",V173&lt;&gt;"",W173&lt;&gt;""),"COMPLETADO","OBSERVADO")</f>
        <v/>
      </c>
    </row>
    <row r="174" ht="15" customHeight="1" s="195">
      <c r="A174" s="280" t="n"/>
      <c r="B174" s="280" t="n"/>
      <c r="C174" s="280" t="n"/>
      <c r="D174" s="280" t="n"/>
      <c r="E174" s="280" t="n"/>
      <c r="F174" s="280" t="n"/>
      <c r="G174" s="280" t="n"/>
      <c r="H174" s="280" t="n"/>
      <c r="I174" s="332">
        <f>IFERROR(VLOOKUP(TEXT(H174,"0"),IPRESS!$A$3:$B$212,2,0),"")</f>
        <v/>
      </c>
      <c r="J174" s="280" t="n"/>
      <c r="K174" s="332">
        <f>IFERROR(VLOOKUP(TEXT(O174,"0"),CONDUCTORES!$A$3:$G$54,7,0),"")</f>
        <v/>
      </c>
      <c r="L174" s="280" t="n"/>
      <c r="M174" s="280" t="n"/>
      <c r="N174" s="333">
        <f>IFERROR(IF(L174*M174=0,"",L174*M174),"")</f>
        <v/>
      </c>
      <c r="O174" s="280" t="n"/>
      <c r="P174" s="332">
        <f>IFERROR(VLOOKUP(TEXT(O174,"0"),CONDUCTORES!$A$3:$G$54,2,0),"")</f>
        <v/>
      </c>
      <c r="Q174" s="332">
        <f>IFERROR(VLOOKUP(TEXT(O174,"0"),CONDUCTORES!$A$3:$H$54,6,0),"")</f>
        <v/>
      </c>
      <c r="R174" s="280" t="n"/>
      <c r="S174" s="280" t="n"/>
      <c r="T174" s="280" t="n"/>
      <c r="U174" s="280" t="n"/>
      <c r="V174" s="280" t="n"/>
      <c r="W174" s="280" t="n"/>
      <c r="X174" s="280" t="n"/>
      <c r="Y174" s="280" t="n"/>
      <c r="Z174" s="375">
        <f>IF(AND(G174&lt;&gt;"",R174&lt;&gt;"",V174&lt;&gt;"",W174&lt;&gt;""),"COMPLETADO","OBSERVADO")</f>
        <v/>
      </c>
    </row>
    <row r="175" ht="15" customHeight="1" s="195">
      <c r="A175" s="334" t="n"/>
      <c r="B175" s="334" t="n"/>
      <c r="C175" s="334" t="n"/>
      <c r="D175" s="334" t="n"/>
      <c r="E175" s="334" t="n"/>
      <c r="F175" s="334" t="n"/>
      <c r="G175" s="334" t="n"/>
      <c r="H175" s="334" t="n"/>
      <c r="I175" s="332">
        <f>IFERROR(VLOOKUP(TEXT(H175,"0"),IPRESS!$A$3:$B$212,2,0),"")</f>
        <v/>
      </c>
      <c r="J175" s="334" t="n"/>
      <c r="K175" s="332">
        <f>IFERROR(VLOOKUP(TEXT(O175,"0"),CONDUCTORES!$A$3:$G$54,7,0),"")</f>
        <v/>
      </c>
      <c r="L175" s="334" t="n"/>
      <c r="M175" s="334" t="n"/>
      <c r="N175" s="333">
        <f>IFERROR(IF(L175*M175=0,"",L175*M175),"")</f>
        <v/>
      </c>
      <c r="O175" s="334" t="n"/>
      <c r="P175" s="332">
        <f>IFERROR(VLOOKUP(TEXT(O175,"0"),CONDUCTORES!$A$3:$G$54,2,0),"")</f>
        <v/>
      </c>
      <c r="Q175" s="332">
        <f>IFERROR(VLOOKUP(TEXT(O175,"0"),CONDUCTORES!$A$3:$H$54,6,0),"")</f>
        <v/>
      </c>
      <c r="R175" s="334" t="n"/>
      <c r="S175" s="334" t="n"/>
      <c r="T175" s="334" t="n"/>
      <c r="U175" s="334" t="n"/>
      <c r="V175" s="334" t="n"/>
      <c r="W175" s="334" t="n"/>
      <c r="X175" s="334" t="n"/>
      <c r="Y175" s="334" t="n"/>
      <c r="Z175" s="375">
        <f>IF(AND(G175&lt;&gt;"",R175&lt;&gt;"",V175&lt;&gt;"",W175&lt;&gt;""),"COMPLETADO","OBSERVADO")</f>
        <v/>
      </c>
    </row>
    <row r="176" ht="15" customHeight="1" s="195">
      <c r="A176" s="280" t="n"/>
      <c r="B176" s="280" t="n"/>
      <c r="C176" s="280" t="n"/>
      <c r="D176" s="280" t="n"/>
      <c r="E176" s="280" t="n"/>
      <c r="F176" s="280" t="n"/>
      <c r="G176" s="280" t="n"/>
      <c r="H176" s="280" t="n"/>
      <c r="I176" s="332">
        <f>IFERROR(VLOOKUP(TEXT(H176,"0"),IPRESS!$A$3:$B$212,2,0),"")</f>
        <v/>
      </c>
      <c r="J176" s="280" t="n"/>
      <c r="K176" s="332">
        <f>IFERROR(VLOOKUP(TEXT(O176,"0"),CONDUCTORES!$A$3:$G$54,7,0),"")</f>
        <v/>
      </c>
      <c r="L176" s="280" t="n"/>
      <c r="M176" s="280" t="n"/>
      <c r="N176" s="333">
        <f>IFERROR(IF(L176*M176=0,"",L176*M176),"")</f>
        <v/>
      </c>
      <c r="O176" s="280" t="n"/>
      <c r="P176" s="332">
        <f>IFERROR(VLOOKUP(TEXT(O176,"0"),CONDUCTORES!$A$3:$G$54,2,0),"")</f>
        <v/>
      </c>
      <c r="Q176" s="332">
        <f>IFERROR(VLOOKUP(TEXT(O176,"0"),CONDUCTORES!$A$3:$H$54,6,0),"")</f>
        <v/>
      </c>
      <c r="R176" s="280" t="n"/>
      <c r="S176" s="280" t="n"/>
      <c r="T176" s="280" t="n"/>
      <c r="U176" s="280" t="n"/>
      <c r="V176" s="280" t="n"/>
      <c r="W176" s="280" t="n"/>
      <c r="X176" s="280" t="n"/>
      <c r="Y176" s="280" t="n"/>
      <c r="Z176" s="375">
        <f>IF(AND(G176&lt;&gt;"",R176&lt;&gt;"",V176&lt;&gt;"",W176&lt;&gt;""),"COMPLETADO","OBSERVADO")</f>
        <v/>
      </c>
    </row>
    <row r="177" ht="15" customHeight="1" s="195">
      <c r="A177" s="334" t="n"/>
      <c r="B177" s="334" t="n"/>
      <c r="C177" s="334" t="n"/>
      <c r="D177" s="334" t="n"/>
      <c r="E177" s="334" t="n"/>
      <c r="F177" s="334" t="n"/>
      <c r="G177" s="334" t="n"/>
      <c r="H177" s="334" t="n"/>
      <c r="I177" s="332">
        <f>IFERROR(VLOOKUP(TEXT(H177,"0"),IPRESS!$A$3:$B$212,2,0),"")</f>
        <v/>
      </c>
      <c r="J177" s="334" t="n"/>
      <c r="K177" s="332">
        <f>IFERROR(VLOOKUP(TEXT(O177,"0"),CONDUCTORES!$A$3:$G$54,7,0),"")</f>
        <v/>
      </c>
      <c r="L177" s="334" t="n"/>
      <c r="M177" s="334" t="n"/>
      <c r="N177" s="333">
        <f>IFERROR(IF(L177*M177=0,"",L177*M177),"")</f>
        <v/>
      </c>
      <c r="O177" s="334" t="n"/>
      <c r="P177" s="332">
        <f>IFERROR(VLOOKUP(TEXT(O177,"0"),CONDUCTORES!$A$3:$G$54,2,0),"")</f>
        <v/>
      </c>
      <c r="Q177" s="332">
        <f>IFERROR(VLOOKUP(TEXT(O177,"0"),CONDUCTORES!$A$3:$H$54,6,0),"")</f>
        <v/>
      </c>
      <c r="R177" s="334" t="n"/>
      <c r="S177" s="334" t="n"/>
      <c r="T177" s="334" t="n"/>
      <c r="U177" s="334" t="n"/>
      <c r="V177" s="334" t="n"/>
      <c r="W177" s="334" t="n"/>
      <c r="X177" s="334" t="n"/>
      <c r="Y177" s="334" t="n"/>
      <c r="Z177" s="375">
        <f>IF(AND(G177&lt;&gt;"",R177&lt;&gt;"",V177&lt;&gt;"",W177&lt;&gt;""),"COMPLETADO","OBSERVADO")</f>
        <v/>
      </c>
    </row>
    <row r="178" ht="15" customHeight="1" s="195">
      <c r="A178" s="280" t="n"/>
      <c r="B178" s="280" t="n"/>
      <c r="C178" s="280" t="n"/>
      <c r="D178" s="280" t="n"/>
      <c r="E178" s="280" t="n"/>
      <c r="F178" s="280" t="n"/>
      <c r="G178" s="280" t="n"/>
      <c r="H178" s="280" t="n"/>
      <c r="I178" s="332">
        <f>IFERROR(VLOOKUP(TEXT(H178,"0"),IPRESS!$A$3:$B$212,2,0),"")</f>
        <v/>
      </c>
      <c r="J178" s="280" t="n"/>
      <c r="K178" s="332">
        <f>IFERROR(VLOOKUP(TEXT(O178,"0"),CONDUCTORES!$A$3:$G$54,7,0),"")</f>
        <v/>
      </c>
      <c r="L178" s="280" t="n"/>
      <c r="M178" s="280" t="n"/>
      <c r="N178" s="333">
        <f>IFERROR(IF(L178*M178=0,"",L178*M178),"")</f>
        <v/>
      </c>
      <c r="O178" s="280" t="n"/>
      <c r="P178" s="332">
        <f>IFERROR(VLOOKUP(TEXT(O178,"0"),CONDUCTORES!$A$3:$G$54,2,0),"")</f>
        <v/>
      </c>
      <c r="Q178" s="332">
        <f>IFERROR(VLOOKUP(TEXT(O178,"0"),CONDUCTORES!$A$3:$H$54,6,0),"")</f>
        <v/>
      </c>
      <c r="R178" s="280" t="n"/>
      <c r="S178" s="280" t="n"/>
      <c r="T178" s="280" t="n"/>
      <c r="U178" s="280" t="n"/>
      <c r="V178" s="280" t="n"/>
      <c r="W178" s="280" t="n"/>
      <c r="X178" s="280" t="n"/>
      <c r="Y178" s="280" t="n"/>
      <c r="Z178" s="375">
        <f>IF(AND(G178&lt;&gt;"",R178&lt;&gt;"",V178&lt;&gt;"",W178&lt;&gt;""),"COMPLETADO","OBSERVADO")</f>
        <v/>
      </c>
    </row>
    <row r="179" ht="15" customHeight="1" s="195">
      <c r="A179" s="334" t="n"/>
      <c r="B179" s="334" t="n"/>
      <c r="C179" s="334" t="n"/>
      <c r="D179" s="334" t="n"/>
      <c r="E179" s="334" t="n"/>
      <c r="F179" s="334" t="n"/>
      <c r="G179" s="334" t="n"/>
      <c r="H179" s="334" t="n"/>
      <c r="I179" s="332">
        <f>IFERROR(VLOOKUP(TEXT(H179,"0"),IPRESS!$A$3:$B$212,2,0),"")</f>
        <v/>
      </c>
      <c r="J179" s="334" t="n"/>
      <c r="K179" s="332">
        <f>IFERROR(VLOOKUP(TEXT(O179,"0"),CONDUCTORES!$A$3:$G$54,7,0),"")</f>
        <v/>
      </c>
      <c r="L179" s="334" t="n"/>
      <c r="M179" s="334" t="n"/>
      <c r="N179" s="333">
        <f>IFERROR(IF(L179*M179=0,"",L179*M179),"")</f>
        <v/>
      </c>
      <c r="O179" s="334" t="n"/>
      <c r="P179" s="332">
        <f>IFERROR(VLOOKUP(TEXT(O179,"0"),CONDUCTORES!$A$3:$G$54,2,0),"")</f>
        <v/>
      </c>
      <c r="Q179" s="332">
        <f>IFERROR(VLOOKUP(TEXT(O179,"0"),CONDUCTORES!$A$3:$H$54,6,0),"")</f>
        <v/>
      </c>
      <c r="R179" s="334" t="n"/>
      <c r="S179" s="334" t="n"/>
      <c r="T179" s="334" t="n"/>
      <c r="U179" s="334" t="n"/>
      <c r="V179" s="334" t="n"/>
      <c r="W179" s="334" t="n"/>
      <c r="X179" s="334" t="n"/>
      <c r="Y179" s="334" t="n"/>
      <c r="Z179" s="375">
        <f>IF(AND(G179&lt;&gt;"",R179&lt;&gt;"",V179&lt;&gt;"",W179&lt;&gt;""),"COMPLETADO","OBSERVADO")</f>
        <v/>
      </c>
    </row>
    <row r="180" ht="15" customHeight="1" s="195">
      <c r="A180" s="280" t="n"/>
      <c r="B180" s="280" t="n"/>
      <c r="C180" s="280" t="n"/>
      <c r="D180" s="280" t="n"/>
      <c r="E180" s="280" t="n"/>
      <c r="F180" s="280" t="n"/>
      <c r="G180" s="280" t="n"/>
      <c r="H180" s="280" t="n"/>
      <c r="I180" s="332">
        <f>IFERROR(VLOOKUP(TEXT(H180,"0"),IPRESS!$A$3:$B$212,2,0),"")</f>
        <v/>
      </c>
      <c r="J180" s="280" t="n"/>
      <c r="K180" s="332">
        <f>IFERROR(VLOOKUP(TEXT(O180,"0"),CONDUCTORES!$A$3:$G$54,7,0),"")</f>
        <v/>
      </c>
      <c r="L180" s="280" t="n"/>
      <c r="M180" s="280" t="n"/>
      <c r="N180" s="333">
        <f>IFERROR(IF(L180*M180=0,"",L180*M180),"")</f>
        <v/>
      </c>
      <c r="O180" s="280" t="n"/>
      <c r="P180" s="332">
        <f>IFERROR(VLOOKUP(TEXT(O180,"0"),CONDUCTORES!$A$3:$G$54,2,0),"")</f>
        <v/>
      </c>
      <c r="Q180" s="332">
        <f>IFERROR(VLOOKUP(TEXT(O180,"0"),CONDUCTORES!$A$3:$H$54,6,0),"")</f>
        <v/>
      </c>
      <c r="R180" s="280" t="n"/>
      <c r="S180" s="280" t="n"/>
      <c r="T180" s="280" t="n"/>
      <c r="U180" s="280" t="n"/>
      <c r="V180" s="280" t="n"/>
      <c r="W180" s="280" t="n"/>
      <c r="X180" s="280" t="n"/>
      <c r="Y180" s="280" t="n"/>
      <c r="Z180" s="375">
        <f>IF(AND(G180&lt;&gt;"",R180&lt;&gt;"",V180&lt;&gt;"",W180&lt;&gt;""),"COMPLETADO","OBSERVADO")</f>
        <v/>
      </c>
    </row>
    <row r="181" ht="15" customHeight="1" s="195">
      <c r="A181" s="334" t="n"/>
      <c r="B181" s="334" t="n"/>
      <c r="C181" s="334" t="n"/>
      <c r="D181" s="334" t="n"/>
      <c r="E181" s="334" t="n"/>
      <c r="F181" s="334" t="n"/>
      <c r="G181" s="334" t="n"/>
      <c r="H181" s="334" t="n"/>
      <c r="I181" s="332">
        <f>IFERROR(VLOOKUP(TEXT(H181,"0"),IPRESS!$A$3:$B$212,2,0),"")</f>
        <v/>
      </c>
      <c r="J181" s="334" t="n"/>
      <c r="K181" s="332">
        <f>IFERROR(VLOOKUP(TEXT(O181,"0"),CONDUCTORES!$A$3:$G$54,7,0),"")</f>
        <v/>
      </c>
      <c r="L181" s="334" t="n"/>
      <c r="M181" s="334" t="n"/>
      <c r="N181" s="333">
        <f>IFERROR(IF(L181*M181=0,"",L181*M181),"")</f>
        <v/>
      </c>
      <c r="O181" s="334" t="n"/>
      <c r="P181" s="332">
        <f>IFERROR(VLOOKUP(TEXT(O181,"0"),CONDUCTORES!$A$3:$G$54,2,0),"")</f>
        <v/>
      </c>
      <c r="Q181" s="332">
        <f>IFERROR(VLOOKUP(TEXT(O181,"0"),CONDUCTORES!$A$3:$H$54,6,0),"")</f>
        <v/>
      </c>
      <c r="R181" s="334" t="n"/>
      <c r="S181" s="334" t="n"/>
      <c r="T181" s="334" t="n"/>
      <c r="U181" s="334" t="n"/>
      <c r="V181" s="334" t="n"/>
      <c r="W181" s="334" t="n"/>
      <c r="X181" s="334" t="n"/>
      <c r="Y181" s="334" t="n"/>
      <c r="Z181" s="375">
        <f>IF(AND(G181&lt;&gt;"",R181&lt;&gt;"",V181&lt;&gt;"",W181&lt;&gt;""),"COMPLETADO","OBSERVADO")</f>
        <v/>
      </c>
    </row>
    <row r="182" ht="15" customHeight="1" s="195">
      <c r="A182" s="280" t="n"/>
      <c r="B182" s="280" t="n"/>
      <c r="C182" s="280" t="n"/>
      <c r="D182" s="280" t="n"/>
      <c r="E182" s="280" t="n"/>
      <c r="F182" s="280" t="n"/>
      <c r="G182" s="280" t="n"/>
      <c r="H182" s="280" t="n"/>
      <c r="I182" s="332">
        <f>IFERROR(VLOOKUP(TEXT(H182,"0"),IPRESS!$A$3:$B$212,2,0),"")</f>
        <v/>
      </c>
      <c r="J182" s="280" t="n"/>
      <c r="K182" s="332">
        <f>IFERROR(VLOOKUP(TEXT(O182,"0"),CONDUCTORES!$A$3:$G$54,7,0),"")</f>
        <v/>
      </c>
      <c r="L182" s="280" t="n"/>
      <c r="M182" s="280" t="n"/>
      <c r="N182" s="333">
        <f>IFERROR(IF(L182*M182=0,"",L182*M182),"")</f>
        <v/>
      </c>
      <c r="O182" s="280" t="n"/>
      <c r="P182" s="332">
        <f>IFERROR(VLOOKUP(TEXT(O182,"0"),CONDUCTORES!$A$3:$G$54,2,0),"")</f>
        <v/>
      </c>
      <c r="Q182" s="332">
        <f>IFERROR(VLOOKUP(TEXT(O182,"0"),CONDUCTORES!$A$3:$H$54,6,0),"")</f>
        <v/>
      </c>
      <c r="R182" s="280" t="n"/>
      <c r="S182" s="280" t="n"/>
      <c r="T182" s="280" t="n"/>
      <c r="U182" s="280" t="n"/>
      <c r="V182" s="280" t="n"/>
      <c r="W182" s="280" t="n"/>
      <c r="X182" s="280" t="n"/>
      <c r="Y182" s="280" t="n"/>
      <c r="Z182" s="375">
        <f>IF(AND(G182&lt;&gt;"",R182&lt;&gt;"",V182&lt;&gt;"",W182&lt;&gt;""),"COMPLETADO","OBSERVADO")</f>
        <v/>
      </c>
    </row>
    <row r="183" ht="15" customHeight="1" s="195">
      <c r="A183" s="334" t="n"/>
      <c r="B183" s="334" t="n"/>
      <c r="C183" s="334" t="n"/>
      <c r="D183" s="334" t="n"/>
      <c r="E183" s="334" t="n"/>
      <c r="F183" s="334" t="n"/>
      <c r="G183" s="334" t="n"/>
      <c r="H183" s="334" t="n"/>
      <c r="I183" s="332">
        <f>IFERROR(VLOOKUP(TEXT(H183,"0"),IPRESS!$A$3:$B$212,2,0),"")</f>
        <v/>
      </c>
      <c r="J183" s="334" t="n"/>
      <c r="K183" s="332">
        <f>IFERROR(VLOOKUP(TEXT(O183,"0"),CONDUCTORES!$A$3:$G$54,7,0),"")</f>
        <v/>
      </c>
      <c r="L183" s="334" t="n"/>
      <c r="M183" s="334" t="n"/>
      <c r="N183" s="333">
        <f>IFERROR(IF(L183*M183=0,"",L183*M183),"")</f>
        <v/>
      </c>
      <c r="O183" s="334" t="n"/>
      <c r="P183" s="332">
        <f>IFERROR(VLOOKUP(TEXT(O183,"0"),CONDUCTORES!$A$3:$G$54,2,0),"")</f>
        <v/>
      </c>
      <c r="Q183" s="332">
        <f>IFERROR(VLOOKUP(TEXT(O183,"0"),CONDUCTORES!$A$3:$H$54,6,0),"")</f>
        <v/>
      </c>
      <c r="R183" s="334" t="n"/>
      <c r="S183" s="334" t="n"/>
      <c r="T183" s="334" t="n"/>
      <c r="U183" s="334" t="n"/>
      <c r="V183" s="334" t="n"/>
      <c r="W183" s="334" t="n"/>
      <c r="X183" s="334" t="n"/>
      <c r="Y183" s="334" t="n"/>
      <c r="Z183" s="375">
        <f>IF(AND(G183&lt;&gt;"",R183&lt;&gt;"",V183&lt;&gt;"",W183&lt;&gt;""),"COMPLETADO","OBSERVADO")</f>
        <v/>
      </c>
    </row>
    <row r="184" ht="15" customHeight="1" s="195">
      <c r="A184" s="280" t="n"/>
      <c r="B184" s="280" t="n"/>
      <c r="C184" s="280" t="n"/>
      <c r="D184" s="280" t="n"/>
      <c r="E184" s="280" t="n"/>
      <c r="F184" s="280" t="n"/>
      <c r="G184" s="280" t="n"/>
      <c r="H184" s="280" t="n"/>
      <c r="I184" s="332">
        <f>IFERROR(VLOOKUP(TEXT(H184,"0"),IPRESS!$A$3:$B$212,2,0),"")</f>
        <v/>
      </c>
      <c r="J184" s="280" t="n"/>
      <c r="K184" s="332">
        <f>IFERROR(VLOOKUP(TEXT(O184,"0"),CONDUCTORES!$A$3:$G$54,7,0),"")</f>
        <v/>
      </c>
      <c r="L184" s="280" t="n"/>
      <c r="M184" s="280" t="n"/>
      <c r="N184" s="333">
        <f>IFERROR(IF(L184*M184=0,"",L184*M184),"")</f>
        <v/>
      </c>
      <c r="O184" s="280" t="n"/>
      <c r="P184" s="332">
        <f>IFERROR(VLOOKUP(TEXT(O184,"0"),CONDUCTORES!$A$3:$G$54,2,0),"")</f>
        <v/>
      </c>
      <c r="Q184" s="332">
        <f>IFERROR(VLOOKUP(TEXT(O184,"0"),CONDUCTORES!$A$3:$H$54,6,0),"")</f>
        <v/>
      </c>
      <c r="R184" s="280" t="n"/>
      <c r="S184" s="280" t="n"/>
      <c r="T184" s="280" t="n"/>
      <c r="U184" s="280" t="n"/>
      <c r="V184" s="280" t="n"/>
      <c r="W184" s="280" t="n"/>
      <c r="X184" s="280" t="n"/>
      <c r="Y184" s="280" t="n"/>
      <c r="Z184" s="375">
        <f>IF(AND(G184&lt;&gt;"",R184&lt;&gt;"",V184&lt;&gt;"",W184&lt;&gt;""),"COMPLETADO","OBSERVADO")</f>
        <v/>
      </c>
    </row>
    <row r="185" ht="15" customHeight="1" s="195">
      <c r="A185" s="334" t="n"/>
      <c r="B185" s="334" t="n"/>
      <c r="C185" s="334" t="n"/>
      <c r="D185" s="334" t="n"/>
      <c r="E185" s="334" t="n"/>
      <c r="F185" s="334" t="n"/>
      <c r="G185" s="334" t="n"/>
      <c r="H185" s="334" t="n"/>
      <c r="I185" s="332">
        <f>IFERROR(VLOOKUP(TEXT(H185,"0"),IPRESS!$A$3:$B$212,2,0),"")</f>
        <v/>
      </c>
      <c r="J185" s="334" t="n"/>
      <c r="K185" s="332">
        <f>IFERROR(VLOOKUP(TEXT(O185,"0"),CONDUCTORES!$A$3:$G$54,7,0),"")</f>
        <v/>
      </c>
      <c r="L185" s="334" t="n"/>
      <c r="M185" s="334" t="n"/>
      <c r="N185" s="333">
        <f>IFERROR(IF(L185*M185=0,"",L185*M185),"")</f>
        <v/>
      </c>
      <c r="O185" s="334" t="n"/>
      <c r="P185" s="332">
        <f>IFERROR(VLOOKUP(TEXT(O185,"0"),CONDUCTORES!$A$3:$G$54,2,0),"")</f>
        <v/>
      </c>
      <c r="Q185" s="332">
        <f>IFERROR(VLOOKUP(TEXT(O185,"0"),CONDUCTORES!$A$3:$H$54,6,0),"")</f>
        <v/>
      </c>
      <c r="R185" s="334" t="n"/>
      <c r="S185" s="334" t="n"/>
      <c r="T185" s="334" t="n"/>
      <c r="U185" s="334" t="n"/>
      <c r="V185" s="334" t="n"/>
      <c r="W185" s="334" t="n"/>
      <c r="X185" s="334" t="n"/>
      <c r="Y185" s="334" t="n"/>
      <c r="Z185" s="375">
        <f>IF(AND(G185&lt;&gt;"",R185&lt;&gt;"",V185&lt;&gt;"",W185&lt;&gt;""),"COMPLETADO","OBSERVADO")</f>
        <v/>
      </c>
    </row>
    <row r="186" ht="15" customHeight="1" s="195">
      <c r="A186" s="280" t="n"/>
      <c r="B186" s="280" t="n"/>
      <c r="C186" s="280" t="n"/>
      <c r="D186" s="280" t="n"/>
      <c r="E186" s="280" t="n"/>
      <c r="F186" s="280" t="n"/>
      <c r="G186" s="280" t="n"/>
      <c r="H186" s="280" t="n"/>
      <c r="I186" s="332">
        <f>IFERROR(VLOOKUP(TEXT(H186,"0"),IPRESS!$A$3:$B$212,2,0),"")</f>
        <v/>
      </c>
      <c r="J186" s="280" t="n"/>
      <c r="K186" s="332">
        <f>IFERROR(VLOOKUP(TEXT(O186,"0"),CONDUCTORES!$A$3:$G$54,7,0),"")</f>
        <v/>
      </c>
      <c r="L186" s="280" t="n"/>
      <c r="M186" s="280" t="n"/>
      <c r="N186" s="333">
        <f>IFERROR(IF(L186*M186=0,"",L186*M186),"")</f>
        <v/>
      </c>
      <c r="O186" s="280" t="n"/>
      <c r="P186" s="332">
        <f>IFERROR(VLOOKUP(TEXT(O186,"0"),CONDUCTORES!$A$3:$G$54,2,0),"")</f>
        <v/>
      </c>
      <c r="Q186" s="332">
        <f>IFERROR(VLOOKUP(TEXT(O186,"0"),CONDUCTORES!$A$3:$H$54,6,0),"")</f>
        <v/>
      </c>
      <c r="R186" s="280" t="n"/>
      <c r="S186" s="280" t="n"/>
      <c r="T186" s="280" t="n"/>
      <c r="U186" s="280" t="n"/>
      <c r="V186" s="280" t="n"/>
      <c r="W186" s="280" t="n"/>
      <c r="X186" s="280" t="n"/>
      <c r="Y186" s="280" t="n"/>
      <c r="Z186" s="375">
        <f>IF(AND(G186&lt;&gt;"",R186&lt;&gt;"",V186&lt;&gt;"",W186&lt;&gt;""),"COMPLETADO","OBSERVADO")</f>
        <v/>
      </c>
    </row>
    <row r="187" ht="15" customHeight="1" s="195">
      <c r="A187" s="334" t="n"/>
      <c r="B187" s="334" t="n"/>
      <c r="C187" s="334" t="n"/>
      <c r="D187" s="334" t="n"/>
      <c r="E187" s="334" t="n"/>
      <c r="F187" s="334" t="n"/>
      <c r="G187" s="334" t="n"/>
      <c r="H187" s="334" t="n"/>
      <c r="I187" s="332">
        <f>IFERROR(VLOOKUP(TEXT(H187,"0"),IPRESS!$A$3:$B$212,2,0),"")</f>
        <v/>
      </c>
      <c r="J187" s="334" t="n"/>
      <c r="K187" s="332">
        <f>IFERROR(VLOOKUP(TEXT(O187,"0"),CONDUCTORES!$A$3:$G$54,7,0),"")</f>
        <v/>
      </c>
      <c r="L187" s="334" t="n"/>
      <c r="M187" s="334" t="n"/>
      <c r="N187" s="333">
        <f>IFERROR(IF(L187*M187=0,"",L187*M187),"")</f>
        <v/>
      </c>
      <c r="O187" s="334" t="n"/>
      <c r="P187" s="332">
        <f>IFERROR(VLOOKUP(TEXT(O187,"0"),CONDUCTORES!$A$3:$G$54,2,0),"")</f>
        <v/>
      </c>
      <c r="Q187" s="332">
        <f>IFERROR(VLOOKUP(TEXT(O187,"0"),CONDUCTORES!$A$3:$H$54,6,0),"")</f>
        <v/>
      </c>
      <c r="R187" s="334" t="n"/>
      <c r="S187" s="334" t="n"/>
      <c r="T187" s="334" t="n"/>
      <c r="U187" s="334" t="n"/>
      <c r="V187" s="334" t="n"/>
      <c r="W187" s="334" t="n"/>
      <c r="X187" s="334" t="n"/>
      <c r="Y187" s="334" t="n"/>
      <c r="Z187" s="375">
        <f>IF(AND(G187&lt;&gt;"",R187&lt;&gt;"",V187&lt;&gt;"",W187&lt;&gt;""),"COMPLETADO","OBSERVADO")</f>
        <v/>
      </c>
    </row>
    <row r="188" ht="15" customHeight="1" s="195">
      <c r="A188" s="280" t="n"/>
      <c r="B188" s="280" t="n"/>
      <c r="C188" s="280" t="n"/>
      <c r="D188" s="280" t="n"/>
      <c r="E188" s="280" t="n"/>
      <c r="F188" s="280" t="n"/>
      <c r="G188" s="280" t="n"/>
      <c r="H188" s="280" t="n"/>
      <c r="I188" s="332">
        <f>IFERROR(VLOOKUP(TEXT(H188,"0"),IPRESS!$A$3:$B$212,2,0),"")</f>
        <v/>
      </c>
      <c r="J188" s="280" t="n"/>
      <c r="K188" s="332">
        <f>IFERROR(VLOOKUP(TEXT(O188,"0"),CONDUCTORES!$A$3:$G$54,7,0),"")</f>
        <v/>
      </c>
      <c r="L188" s="280" t="n"/>
      <c r="M188" s="280" t="n"/>
      <c r="N188" s="333">
        <f>IFERROR(IF(L188*M188=0,"",L188*M188),"")</f>
        <v/>
      </c>
      <c r="O188" s="280" t="n"/>
      <c r="P188" s="332">
        <f>IFERROR(VLOOKUP(TEXT(O188,"0"),CONDUCTORES!$A$3:$G$54,2,0),"")</f>
        <v/>
      </c>
      <c r="Q188" s="332">
        <f>IFERROR(VLOOKUP(TEXT(O188,"0"),CONDUCTORES!$A$3:$H$54,6,0),"")</f>
        <v/>
      </c>
      <c r="R188" s="280" t="n"/>
      <c r="S188" s="280" t="n"/>
      <c r="T188" s="280" t="n"/>
      <c r="U188" s="280" t="n"/>
      <c r="V188" s="280" t="n"/>
      <c r="W188" s="280" t="n"/>
      <c r="X188" s="280" t="n"/>
      <c r="Y188" s="280" t="n"/>
      <c r="Z188" s="375">
        <f>IF(AND(G188&lt;&gt;"",R188&lt;&gt;"",V188&lt;&gt;"",W188&lt;&gt;""),"COMPLETADO","OBSERVADO")</f>
        <v/>
      </c>
    </row>
    <row r="189" ht="15" customHeight="1" s="195">
      <c r="A189" s="334" t="n"/>
      <c r="B189" s="334" t="n"/>
      <c r="C189" s="334" t="n"/>
      <c r="D189" s="334" t="n"/>
      <c r="E189" s="334" t="n"/>
      <c r="F189" s="334" t="n"/>
      <c r="G189" s="334" t="n"/>
      <c r="H189" s="334" t="n"/>
      <c r="I189" s="332">
        <f>IFERROR(VLOOKUP(TEXT(H189,"0"),IPRESS!$A$3:$B$212,2,0),"")</f>
        <v/>
      </c>
      <c r="J189" s="334" t="n"/>
      <c r="K189" s="332">
        <f>IFERROR(VLOOKUP(TEXT(O189,"0"),CONDUCTORES!$A$3:$G$54,7,0),"")</f>
        <v/>
      </c>
      <c r="L189" s="334" t="n"/>
      <c r="M189" s="334" t="n"/>
      <c r="N189" s="333">
        <f>IFERROR(IF(L189*M189=0,"",L189*M189),"")</f>
        <v/>
      </c>
      <c r="O189" s="334" t="n"/>
      <c r="P189" s="332">
        <f>IFERROR(VLOOKUP(TEXT(O189,"0"),CONDUCTORES!$A$3:$G$54,2,0),"")</f>
        <v/>
      </c>
      <c r="Q189" s="332">
        <f>IFERROR(VLOOKUP(TEXT(O189,"0"),CONDUCTORES!$A$3:$H$54,6,0),"")</f>
        <v/>
      </c>
      <c r="R189" s="334" t="n"/>
      <c r="S189" s="334" t="n"/>
      <c r="T189" s="334" t="n"/>
      <c r="U189" s="334" t="n"/>
      <c r="V189" s="334" t="n"/>
      <c r="W189" s="334" t="n"/>
      <c r="X189" s="334" t="n"/>
      <c r="Y189" s="334" t="n"/>
      <c r="Z189" s="375">
        <f>IF(AND(G189&lt;&gt;"",R189&lt;&gt;"",V189&lt;&gt;"",W189&lt;&gt;""),"COMPLETADO","OBSERVADO")</f>
        <v/>
      </c>
    </row>
    <row r="190" ht="15" customHeight="1" s="195">
      <c r="A190" s="280" t="n"/>
      <c r="B190" s="280" t="n"/>
      <c r="C190" s="280" t="n"/>
      <c r="D190" s="280" t="n"/>
      <c r="E190" s="280" t="n"/>
      <c r="F190" s="280" t="n"/>
      <c r="G190" s="280" t="n"/>
      <c r="H190" s="280" t="n"/>
      <c r="I190" s="332">
        <f>IFERROR(VLOOKUP(TEXT(H190,"0"),IPRESS!$A$3:$B$212,2,0),"")</f>
        <v/>
      </c>
      <c r="J190" s="280" t="n"/>
      <c r="K190" s="332">
        <f>IFERROR(VLOOKUP(TEXT(O190,"0"),CONDUCTORES!$A$3:$G$54,7,0),"")</f>
        <v/>
      </c>
      <c r="L190" s="280" t="n"/>
      <c r="M190" s="280" t="n"/>
      <c r="N190" s="333">
        <f>IFERROR(IF(L190*M190=0,"",L190*M190),"")</f>
        <v/>
      </c>
      <c r="O190" s="280" t="n"/>
      <c r="P190" s="332">
        <f>IFERROR(VLOOKUP(TEXT(O190,"0"),CONDUCTORES!$A$3:$G$54,2,0),"")</f>
        <v/>
      </c>
      <c r="Q190" s="332">
        <f>IFERROR(VLOOKUP(TEXT(O190,"0"),CONDUCTORES!$A$3:$H$54,6,0),"")</f>
        <v/>
      </c>
      <c r="R190" s="280" t="n"/>
      <c r="S190" s="280" t="n"/>
      <c r="T190" s="280" t="n"/>
      <c r="U190" s="280" t="n"/>
      <c r="V190" s="280" t="n"/>
      <c r="W190" s="280" t="n"/>
      <c r="X190" s="280" t="n"/>
      <c r="Y190" s="280" t="n"/>
      <c r="Z190" s="375">
        <f>IF(AND(G190&lt;&gt;"",R190&lt;&gt;"",V190&lt;&gt;"",W190&lt;&gt;""),"COMPLETADO","OBSERVADO")</f>
        <v/>
      </c>
    </row>
    <row r="191" ht="15" customHeight="1" s="195">
      <c r="A191" s="334" t="n"/>
      <c r="B191" s="334" t="n"/>
      <c r="C191" s="334" t="n"/>
      <c r="D191" s="334" t="n"/>
      <c r="E191" s="334" t="n"/>
      <c r="F191" s="334" t="n"/>
      <c r="G191" s="334" t="n"/>
      <c r="H191" s="334" t="n"/>
      <c r="I191" s="332">
        <f>IFERROR(VLOOKUP(TEXT(H191,"0"),IPRESS!$A$3:$B$212,2,0),"")</f>
        <v/>
      </c>
      <c r="J191" s="334" t="n"/>
      <c r="K191" s="332">
        <f>IFERROR(VLOOKUP(TEXT(O191,"0"),CONDUCTORES!$A$3:$G$54,7,0),"")</f>
        <v/>
      </c>
      <c r="L191" s="334" t="n"/>
      <c r="M191" s="334" t="n"/>
      <c r="N191" s="333">
        <f>IFERROR(IF(L191*M191=0,"",L191*M191),"")</f>
        <v/>
      </c>
      <c r="O191" s="334" t="n"/>
      <c r="P191" s="332">
        <f>IFERROR(VLOOKUP(TEXT(O191,"0"),CONDUCTORES!$A$3:$G$54,2,0),"")</f>
        <v/>
      </c>
      <c r="Q191" s="332">
        <f>IFERROR(VLOOKUP(TEXT(O191,"0"),CONDUCTORES!$A$3:$H$54,6,0),"")</f>
        <v/>
      </c>
      <c r="R191" s="334" t="n"/>
      <c r="S191" s="334" t="n"/>
      <c r="T191" s="334" t="n"/>
      <c r="U191" s="334" t="n"/>
      <c r="V191" s="334" t="n"/>
      <c r="W191" s="334" t="n"/>
      <c r="X191" s="334" t="n"/>
      <c r="Y191" s="334" t="n"/>
      <c r="Z191" s="375">
        <f>IF(AND(G191&lt;&gt;"",R191&lt;&gt;"",V191&lt;&gt;"",W191&lt;&gt;""),"COMPLETADO","OBSERVADO")</f>
        <v/>
      </c>
    </row>
    <row r="192" ht="15" customHeight="1" s="195">
      <c r="A192" s="280" t="n"/>
      <c r="B192" s="280" t="n"/>
      <c r="C192" s="280" t="n"/>
      <c r="D192" s="280" t="n"/>
      <c r="E192" s="280" t="n"/>
      <c r="F192" s="280" t="n"/>
      <c r="G192" s="280" t="n"/>
      <c r="H192" s="280" t="n"/>
      <c r="I192" s="332">
        <f>IFERROR(VLOOKUP(TEXT(H192,"0"),IPRESS!$A$3:$B$212,2,0),"")</f>
        <v/>
      </c>
      <c r="J192" s="280" t="n"/>
      <c r="K192" s="332">
        <f>IFERROR(VLOOKUP(TEXT(O192,"0"),CONDUCTORES!$A$3:$G$54,7,0),"")</f>
        <v/>
      </c>
      <c r="L192" s="280" t="n"/>
      <c r="M192" s="280" t="n"/>
      <c r="N192" s="333">
        <f>IFERROR(IF(L192*M192=0,"",L192*M192),"")</f>
        <v/>
      </c>
      <c r="O192" s="280" t="n"/>
      <c r="P192" s="332">
        <f>IFERROR(VLOOKUP(TEXT(O192,"0"),CONDUCTORES!$A$3:$G$54,2,0),"")</f>
        <v/>
      </c>
      <c r="Q192" s="332">
        <f>IFERROR(VLOOKUP(TEXT(O192,"0"),CONDUCTORES!$A$3:$H$54,6,0),"")</f>
        <v/>
      </c>
      <c r="R192" s="280" t="n"/>
      <c r="S192" s="280" t="n"/>
      <c r="T192" s="280" t="n"/>
      <c r="U192" s="280" t="n"/>
      <c r="V192" s="280" t="n"/>
      <c r="W192" s="280" t="n"/>
      <c r="X192" s="280" t="n"/>
      <c r="Y192" s="280" t="n"/>
      <c r="Z192" s="375">
        <f>IF(AND(G192&lt;&gt;"",R192&lt;&gt;"",V192&lt;&gt;"",W192&lt;&gt;""),"COMPLETADO","OBSERVADO")</f>
        <v/>
      </c>
    </row>
    <row r="193" ht="15" customHeight="1" s="195">
      <c r="A193" s="334" t="n"/>
      <c r="B193" s="334" t="n"/>
      <c r="C193" s="334" t="n"/>
      <c r="D193" s="334" t="n"/>
      <c r="E193" s="334" t="n"/>
      <c r="F193" s="334" t="n"/>
      <c r="G193" s="334" t="n"/>
      <c r="H193" s="334" t="n"/>
      <c r="I193" s="332">
        <f>IFERROR(VLOOKUP(TEXT(H193,"0"),IPRESS!$A$3:$B$212,2,0),"")</f>
        <v/>
      </c>
      <c r="J193" s="334" t="n"/>
      <c r="K193" s="332">
        <f>IFERROR(VLOOKUP(TEXT(O193,"0"),CONDUCTORES!$A$3:$G$54,7,0),"")</f>
        <v/>
      </c>
      <c r="L193" s="334" t="n"/>
      <c r="M193" s="334" t="n"/>
      <c r="N193" s="333">
        <f>IFERROR(IF(L193*M193=0,"",L193*M193),"")</f>
        <v/>
      </c>
      <c r="O193" s="334" t="n"/>
      <c r="P193" s="332">
        <f>IFERROR(VLOOKUP(TEXT(O193,"0"),CONDUCTORES!$A$3:$G$54,2,0),"")</f>
        <v/>
      </c>
      <c r="Q193" s="332">
        <f>IFERROR(VLOOKUP(TEXT(O193,"0"),CONDUCTORES!$A$3:$H$54,6,0),"")</f>
        <v/>
      </c>
      <c r="R193" s="334" t="n"/>
      <c r="S193" s="334" t="n"/>
      <c r="T193" s="334" t="n"/>
      <c r="U193" s="334" t="n"/>
      <c r="V193" s="334" t="n"/>
      <c r="W193" s="334" t="n"/>
      <c r="X193" s="334" t="n"/>
      <c r="Y193" s="334" t="n"/>
      <c r="Z193" s="375">
        <f>IF(AND(G193&lt;&gt;"",R193&lt;&gt;"",V193&lt;&gt;"",W193&lt;&gt;""),"COMPLETADO","OBSERVADO")</f>
        <v/>
      </c>
    </row>
    <row r="194" ht="15" customHeight="1" s="195">
      <c r="A194" s="280" t="n"/>
      <c r="B194" s="280" t="n"/>
      <c r="C194" s="280" t="n"/>
      <c r="D194" s="280" t="n"/>
      <c r="E194" s="280" t="n"/>
      <c r="F194" s="280" t="n"/>
      <c r="G194" s="280" t="n"/>
      <c r="H194" s="280" t="n"/>
      <c r="I194" s="332">
        <f>IFERROR(VLOOKUP(TEXT(H194,"0"),IPRESS!$A$3:$B$212,2,0),"")</f>
        <v/>
      </c>
      <c r="J194" s="280" t="n"/>
      <c r="K194" s="332">
        <f>IFERROR(VLOOKUP(TEXT(O194,"0"),CONDUCTORES!$A$3:$G$54,7,0),"")</f>
        <v/>
      </c>
      <c r="L194" s="280" t="n"/>
      <c r="M194" s="280" t="n"/>
      <c r="N194" s="333">
        <f>IFERROR(IF(L194*M194=0,"",L194*M194),"")</f>
        <v/>
      </c>
      <c r="O194" s="280" t="n"/>
      <c r="P194" s="332">
        <f>IFERROR(VLOOKUP(TEXT(O194,"0"),CONDUCTORES!$A$3:$G$54,2,0),"")</f>
        <v/>
      </c>
      <c r="Q194" s="332">
        <f>IFERROR(VLOOKUP(TEXT(O194,"0"),CONDUCTORES!$A$3:$H$54,6,0),"")</f>
        <v/>
      </c>
      <c r="R194" s="280" t="n"/>
      <c r="S194" s="280" t="n"/>
      <c r="T194" s="280" t="n"/>
      <c r="U194" s="280" t="n"/>
      <c r="V194" s="280" t="n"/>
      <c r="W194" s="280" t="n"/>
      <c r="X194" s="280" t="n"/>
      <c r="Y194" s="280" t="n"/>
      <c r="Z194" s="375">
        <f>IF(AND(G194&lt;&gt;"",R194&lt;&gt;"",V194&lt;&gt;"",W194&lt;&gt;""),"COMPLETADO","OBSERVADO")</f>
        <v/>
      </c>
    </row>
    <row r="195" ht="15" customHeight="1" s="195">
      <c r="A195" s="334" t="n"/>
      <c r="B195" s="334" t="n"/>
      <c r="C195" s="334" t="n"/>
      <c r="D195" s="334" t="n"/>
      <c r="E195" s="334" t="n"/>
      <c r="F195" s="334" t="n"/>
      <c r="G195" s="334" t="n"/>
      <c r="H195" s="334" t="n"/>
      <c r="I195" s="332">
        <f>IFERROR(VLOOKUP(TEXT(H195,"0"),IPRESS!$A$3:$B$212,2,0),"")</f>
        <v/>
      </c>
      <c r="J195" s="334" t="n"/>
      <c r="K195" s="332">
        <f>IFERROR(VLOOKUP(TEXT(O195,"0"),CONDUCTORES!$A$3:$G$54,7,0),"")</f>
        <v/>
      </c>
      <c r="L195" s="334" t="n"/>
      <c r="M195" s="334" t="n"/>
      <c r="N195" s="333">
        <f>IFERROR(IF(L195*M195=0,"",L195*M195),"")</f>
        <v/>
      </c>
      <c r="O195" s="334" t="n"/>
      <c r="P195" s="332">
        <f>IFERROR(VLOOKUP(TEXT(O195,"0"),CONDUCTORES!$A$3:$G$54,2,0),"")</f>
        <v/>
      </c>
      <c r="Q195" s="332">
        <f>IFERROR(VLOOKUP(TEXT(O195,"0"),CONDUCTORES!$A$3:$H$54,6,0),"")</f>
        <v/>
      </c>
      <c r="R195" s="334" t="n"/>
      <c r="S195" s="334" t="n"/>
      <c r="T195" s="334" t="n"/>
      <c r="U195" s="334" t="n"/>
      <c r="V195" s="334" t="n"/>
      <c r="W195" s="334" t="n"/>
      <c r="X195" s="334" t="n"/>
      <c r="Y195" s="334" t="n"/>
      <c r="Z195" s="375">
        <f>IF(AND(G195&lt;&gt;"",R195&lt;&gt;"",V195&lt;&gt;"",W195&lt;&gt;""),"COMPLETADO","OBSERVADO")</f>
        <v/>
      </c>
    </row>
    <row r="196" ht="15" customHeight="1" s="195">
      <c r="A196" s="280" t="n"/>
      <c r="B196" s="280" t="n"/>
      <c r="C196" s="280" t="n"/>
      <c r="D196" s="280" t="n"/>
      <c r="E196" s="280" t="n"/>
      <c r="F196" s="280" t="n"/>
      <c r="G196" s="280" t="n"/>
      <c r="H196" s="280" t="n"/>
      <c r="I196" s="332">
        <f>IFERROR(VLOOKUP(TEXT(H196,"0"),IPRESS!$A$3:$B$212,2,0),"")</f>
        <v/>
      </c>
      <c r="J196" s="280" t="n"/>
      <c r="K196" s="332">
        <f>IFERROR(VLOOKUP(TEXT(O196,"0"),CONDUCTORES!$A$3:$G$54,7,0),"")</f>
        <v/>
      </c>
      <c r="L196" s="280" t="n"/>
      <c r="M196" s="280" t="n"/>
      <c r="N196" s="333">
        <f>IFERROR(IF(L196*M196=0,"",L196*M196),"")</f>
        <v/>
      </c>
      <c r="O196" s="280" t="n"/>
      <c r="P196" s="332">
        <f>IFERROR(VLOOKUP(TEXT(O196,"0"),CONDUCTORES!$A$3:$G$54,2,0),"")</f>
        <v/>
      </c>
      <c r="Q196" s="332">
        <f>IFERROR(VLOOKUP(TEXT(O196,"0"),CONDUCTORES!$A$3:$H$54,6,0),"")</f>
        <v/>
      </c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375">
        <f>IF(AND(G196&lt;&gt;"",R196&lt;&gt;"",V196&lt;&gt;"",W196&lt;&gt;""),"COMPLETADO","OBSERVADO")</f>
        <v/>
      </c>
    </row>
    <row r="197" ht="15" customHeight="1" s="195">
      <c r="A197" s="334" t="n"/>
      <c r="B197" s="334" t="n"/>
      <c r="C197" s="334" t="n"/>
      <c r="D197" s="334" t="n"/>
      <c r="E197" s="334" t="n"/>
      <c r="F197" s="334" t="n"/>
      <c r="G197" s="334" t="n"/>
      <c r="H197" s="334" t="n"/>
      <c r="I197" s="332">
        <f>IFERROR(VLOOKUP(TEXT(H197,"0"),IPRESS!$A$3:$B$212,2,0),"")</f>
        <v/>
      </c>
      <c r="J197" s="334" t="n"/>
      <c r="K197" s="332">
        <f>IFERROR(VLOOKUP(TEXT(O197,"0"),CONDUCTORES!$A$3:$G$54,7,0),"")</f>
        <v/>
      </c>
      <c r="L197" s="334" t="n"/>
      <c r="M197" s="334" t="n"/>
      <c r="N197" s="333">
        <f>IFERROR(IF(L197*M197=0,"",L197*M197),"")</f>
        <v/>
      </c>
      <c r="O197" s="334" t="n"/>
      <c r="P197" s="332">
        <f>IFERROR(VLOOKUP(TEXT(O197,"0"),CONDUCTORES!$A$3:$G$54,2,0),"")</f>
        <v/>
      </c>
      <c r="Q197" s="332">
        <f>IFERROR(VLOOKUP(TEXT(O197,"0"),CONDUCTORES!$A$3:$H$54,6,0),"")</f>
        <v/>
      </c>
      <c r="R197" s="334" t="n"/>
      <c r="S197" s="334" t="n"/>
      <c r="T197" s="334" t="n"/>
      <c r="U197" s="334" t="n"/>
      <c r="V197" s="334" t="n"/>
      <c r="W197" s="334" t="n"/>
      <c r="X197" s="334" t="n"/>
      <c r="Y197" s="334" t="n"/>
      <c r="Z197" s="375">
        <f>IF(AND(G197&lt;&gt;"",R197&lt;&gt;"",V197&lt;&gt;"",W197&lt;&gt;""),"COMPLETADO","OBSERVADO")</f>
        <v/>
      </c>
    </row>
    <row r="198" ht="15" customHeight="1" s="195">
      <c r="A198" s="280" t="n"/>
      <c r="B198" s="280" t="n"/>
      <c r="C198" s="280" t="n"/>
      <c r="D198" s="280" t="n"/>
      <c r="E198" s="280" t="n"/>
      <c r="F198" s="280" t="n"/>
      <c r="G198" s="280" t="n"/>
      <c r="H198" s="280" t="n"/>
      <c r="I198" s="332">
        <f>IFERROR(VLOOKUP(TEXT(H198,"0"),IPRESS!$A$3:$B$212,2,0),"")</f>
        <v/>
      </c>
      <c r="J198" s="280" t="n"/>
      <c r="K198" s="332">
        <f>IFERROR(VLOOKUP(TEXT(O198,"0"),CONDUCTORES!$A$3:$G$54,7,0),"")</f>
        <v/>
      </c>
      <c r="L198" s="280" t="n"/>
      <c r="M198" s="280" t="n"/>
      <c r="N198" s="333">
        <f>IFERROR(IF(L198*M198=0,"",L198*M198),"")</f>
        <v/>
      </c>
      <c r="O198" s="280" t="n"/>
      <c r="P198" s="332">
        <f>IFERROR(VLOOKUP(TEXT(O198,"0"),CONDUCTORES!$A$3:$G$54,2,0),"")</f>
        <v/>
      </c>
      <c r="Q198" s="332">
        <f>IFERROR(VLOOKUP(TEXT(O198,"0"),CONDUCTORES!$A$3:$H$54,6,0),"")</f>
        <v/>
      </c>
      <c r="R198" s="280" t="n"/>
      <c r="S198" s="280" t="n"/>
      <c r="T198" s="280" t="n"/>
      <c r="U198" s="280" t="n"/>
      <c r="V198" s="280" t="n"/>
      <c r="W198" s="280" t="n"/>
      <c r="X198" s="280" t="n"/>
      <c r="Y198" s="280" t="n"/>
      <c r="Z198" s="375">
        <f>IF(AND(G198&lt;&gt;"",R198&lt;&gt;"",V198&lt;&gt;"",W198&lt;&gt;""),"COMPLETADO","OBSERVADO")</f>
        <v/>
      </c>
    </row>
    <row r="199" ht="15" customHeight="1" s="195">
      <c r="A199" s="334" t="n"/>
      <c r="B199" s="334" t="n"/>
      <c r="C199" s="334" t="n"/>
      <c r="D199" s="334" t="n"/>
      <c r="E199" s="334" t="n"/>
      <c r="F199" s="334" t="n"/>
      <c r="G199" s="334" t="n"/>
      <c r="H199" s="334" t="n"/>
      <c r="I199" s="332">
        <f>IFERROR(VLOOKUP(TEXT(H199,"0"),IPRESS!$A$3:$B$212,2,0),"")</f>
        <v/>
      </c>
      <c r="J199" s="334" t="n"/>
      <c r="K199" s="332">
        <f>IFERROR(VLOOKUP(TEXT(O199,"0"),CONDUCTORES!$A$3:$G$54,7,0),"")</f>
        <v/>
      </c>
      <c r="L199" s="334" t="n"/>
      <c r="M199" s="334" t="n"/>
      <c r="N199" s="333">
        <f>IFERROR(IF(L199*M199=0,"",L199*M199),"")</f>
        <v/>
      </c>
      <c r="O199" s="334" t="n"/>
      <c r="P199" s="332">
        <f>IFERROR(VLOOKUP(TEXT(O199,"0"),CONDUCTORES!$A$3:$G$54,2,0),"")</f>
        <v/>
      </c>
      <c r="Q199" s="332">
        <f>IFERROR(VLOOKUP(TEXT(O199,"0"),CONDUCTORES!$A$3:$H$54,6,0),"")</f>
        <v/>
      </c>
      <c r="R199" s="334" t="n"/>
      <c r="S199" s="334" t="n"/>
      <c r="T199" s="334" t="n"/>
      <c r="U199" s="334" t="n"/>
      <c r="V199" s="334" t="n"/>
      <c r="W199" s="334" t="n"/>
      <c r="X199" s="334" t="n"/>
      <c r="Y199" s="334" t="n"/>
      <c r="Z199" s="375">
        <f>IF(AND(G199&lt;&gt;"",R199&lt;&gt;"",V199&lt;&gt;"",W199&lt;&gt;""),"COMPLETADO","OBSERVADO")</f>
        <v/>
      </c>
    </row>
    <row r="200" ht="15" customHeight="1" s="195">
      <c r="A200" s="280" t="n"/>
      <c r="B200" s="280" t="n"/>
      <c r="C200" s="280" t="n"/>
      <c r="D200" s="280" t="n"/>
      <c r="E200" s="280" t="n"/>
      <c r="F200" s="280" t="n"/>
      <c r="G200" s="280" t="n"/>
      <c r="H200" s="280" t="n"/>
      <c r="I200" s="332">
        <f>IFERROR(VLOOKUP(TEXT(H200,"0"),IPRESS!$A$3:$B$212,2,0),"")</f>
        <v/>
      </c>
      <c r="J200" s="280" t="n"/>
      <c r="K200" s="332">
        <f>IFERROR(VLOOKUP(TEXT(O200,"0"),CONDUCTORES!$A$3:$G$54,7,0),"")</f>
        <v/>
      </c>
      <c r="L200" s="280" t="n"/>
      <c r="M200" s="280" t="n"/>
      <c r="N200" s="333">
        <f>IFERROR(IF(L200*M200=0,"",L200*M200),"")</f>
        <v/>
      </c>
      <c r="O200" s="280" t="n"/>
      <c r="P200" s="332">
        <f>IFERROR(VLOOKUP(TEXT(O200,"0"),CONDUCTORES!$A$3:$G$54,2,0),"")</f>
        <v/>
      </c>
      <c r="Q200" s="332">
        <f>IFERROR(VLOOKUP(TEXT(O200,"0"),CONDUCTORES!$A$3:$H$54,6,0),"")</f>
        <v/>
      </c>
      <c r="R200" s="280" t="n"/>
      <c r="S200" s="280" t="n"/>
      <c r="T200" s="280" t="n"/>
      <c r="U200" s="280" t="n"/>
      <c r="V200" s="280" t="n"/>
      <c r="W200" s="280" t="n"/>
      <c r="X200" s="280" t="n"/>
      <c r="Y200" s="280" t="n"/>
      <c r="Z200" s="375">
        <f>IF(AND(G200&lt;&gt;"",R200&lt;&gt;"",V200&lt;&gt;"",W200&lt;&gt;""),"COMPLETADO","OBSERVADO")</f>
        <v/>
      </c>
    </row>
    <row r="201" ht="15" customHeight="1" s="195">
      <c r="A201" s="334" t="n"/>
      <c r="B201" s="334" t="n"/>
      <c r="C201" s="334" t="n"/>
      <c r="D201" s="334" t="n"/>
      <c r="E201" s="334" t="n"/>
      <c r="F201" s="334" t="n"/>
      <c r="G201" s="334" t="n"/>
      <c r="H201" s="334" t="n"/>
      <c r="I201" s="332">
        <f>IFERROR(VLOOKUP(TEXT(H201,"0"),IPRESS!$A$3:$B$212,2,0),"")</f>
        <v/>
      </c>
      <c r="J201" s="334" t="n"/>
      <c r="K201" s="332">
        <f>IFERROR(VLOOKUP(TEXT(O201,"0"),CONDUCTORES!$A$3:$G$54,7,0),"")</f>
        <v/>
      </c>
      <c r="L201" s="334" t="n"/>
      <c r="M201" s="334" t="n"/>
      <c r="N201" s="333">
        <f>IFERROR(IF(L201*M201=0,"",L201*M201),"")</f>
        <v/>
      </c>
      <c r="O201" s="334" t="n"/>
      <c r="P201" s="332">
        <f>IFERROR(VLOOKUP(TEXT(O201,"0"),CONDUCTORES!$A$3:$G$54,2,0),"")</f>
        <v/>
      </c>
      <c r="Q201" s="332">
        <f>IFERROR(VLOOKUP(TEXT(O201,"0"),CONDUCTORES!$A$3:$H$54,6,0),"")</f>
        <v/>
      </c>
      <c r="R201" s="334" t="n"/>
      <c r="S201" s="334" t="n"/>
      <c r="T201" s="334" t="n"/>
      <c r="U201" s="334" t="n"/>
      <c r="V201" s="334" t="n"/>
      <c r="W201" s="334" t="n"/>
      <c r="X201" s="334" t="n"/>
      <c r="Y201" s="334" t="n"/>
      <c r="Z201" s="375">
        <f>IF(AND(G201&lt;&gt;"",R201&lt;&gt;"",V201&lt;&gt;"",W201&lt;&gt;""),"COMPLETADO","OBSERVADO")</f>
        <v/>
      </c>
    </row>
    <row r="202" ht="15" customHeight="1" s="195">
      <c r="A202" s="280" t="n"/>
      <c r="B202" s="280" t="n"/>
      <c r="C202" s="280" t="n"/>
      <c r="D202" s="280" t="n"/>
      <c r="E202" s="280" t="n"/>
      <c r="F202" s="280" t="n"/>
      <c r="G202" s="280" t="n"/>
      <c r="H202" s="280" t="n"/>
      <c r="I202" s="332">
        <f>IFERROR(VLOOKUP(TEXT(H202,"0"),IPRESS!$A$3:$B$212,2,0),"")</f>
        <v/>
      </c>
      <c r="J202" s="280" t="n"/>
      <c r="K202" s="332">
        <f>IFERROR(VLOOKUP(TEXT(O202,"0"),CONDUCTORES!$A$3:$G$54,7,0),"")</f>
        <v/>
      </c>
      <c r="L202" s="280" t="n"/>
      <c r="M202" s="280" t="n"/>
      <c r="N202" s="333">
        <f>IFERROR(IF(L202*M202=0,"",L202*M202),"")</f>
        <v/>
      </c>
      <c r="O202" s="280" t="n"/>
      <c r="P202" s="332">
        <f>IFERROR(VLOOKUP(TEXT(O202,"0"),CONDUCTORES!$A$3:$G$54,2,0),"")</f>
        <v/>
      </c>
      <c r="Q202" s="332">
        <f>IFERROR(VLOOKUP(TEXT(O202,"0"),CONDUCTORES!$A$3:$H$54,6,0),"")</f>
        <v/>
      </c>
      <c r="R202" s="280" t="n"/>
      <c r="S202" s="280" t="n"/>
      <c r="T202" s="280" t="n"/>
      <c r="U202" s="280" t="n"/>
      <c r="V202" s="280" t="n"/>
      <c r="W202" s="280" t="n"/>
      <c r="X202" s="280" t="n"/>
      <c r="Y202" s="280" t="n"/>
      <c r="Z202" s="375">
        <f>IF(AND(G202&lt;&gt;"",R202&lt;&gt;"",V202&lt;&gt;"",W202&lt;&gt;""),"COMPLETADO","OBSERVADO")</f>
        <v/>
      </c>
    </row>
    <row r="203" ht="15" customHeight="1" s="195">
      <c r="A203" s="334" t="n"/>
      <c r="B203" s="334" t="n"/>
      <c r="C203" s="334" t="n"/>
      <c r="D203" s="334" t="n"/>
      <c r="E203" s="334" t="n"/>
      <c r="F203" s="334" t="n"/>
      <c r="G203" s="334" t="n"/>
      <c r="H203" s="334" t="n"/>
      <c r="I203" s="332">
        <f>IFERROR(VLOOKUP(TEXT(H203,"0"),IPRESS!$A$3:$B$212,2,0),"")</f>
        <v/>
      </c>
      <c r="J203" s="334" t="n"/>
      <c r="K203" s="332">
        <f>IFERROR(VLOOKUP(TEXT(O203,"0"),CONDUCTORES!$A$3:$G$54,7,0),"")</f>
        <v/>
      </c>
      <c r="L203" s="334" t="n"/>
      <c r="M203" s="334" t="n"/>
      <c r="N203" s="333">
        <f>IFERROR(IF(L203*M203=0,"",L203*M203),"")</f>
        <v/>
      </c>
      <c r="O203" s="334" t="n"/>
      <c r="P203" s="332">
        <f>IFERROR(VLOOKUP(TEXT(O203,"0"),CONDUCTORES!$A$3:$G$54,2,0),"")</f>
        <v/>
      </c>
      <c r="Q203" s="332">
        <f>IFERROR(VLOOKUP(TEXT(O203,"0"),CONDUCTORES!$A$3:$H$54,6,0),"")</f>
        <v/>
      </c>
      <c r="R203" s="334" t="n"/>
      <c r="S203" s="334" t="n"/>
      <c r="T203" s="334" t="n"/>
      <c r="U203" s="334" t="n"/>
      <c r="V203" s="334" t="n"/>
      <c r="W203" s="334" t="n"/>
      <c r="X203" s="334" t="n"/>
      <c r="Y203" s="334" t="n"/>
      <c r="Z203" s="375">
        <f>IF(AND(G203&lt;&gt;"",R203&lt;&gt;"",V203&lt;&gt;"",W203&lt;&gt;""),"COMPLETADO","OBSERVADO")</f>
        <v/>
      </c>
    </row>
    <row r="204" ht="15" customHeight="1" s="195">
      <c r="A204" s="280" t="n"/>
      <c r="B204" s="280" t="n"/>
      <c r="C204" s="280" t="n"/>
      <c r="D204" s="280" t="n"/>
      <c r="E204" s="280" t="n"/>
      <c r="F204" s="280" t="n"/>
      <c r="G204" s="280" t="n"/>
      <c r="H204" s="280" t="n"/>
      <c r="I204" s="332">
        <f>IFERROR(VLOOKUP(TEXT(H204,"0"),IPRESS!$A$3:$B$212,2,0),"")</f>
        <v/>
      </c>
      <c r="J204" s="280" t="n"/>
      <c r="K204" s="332">
        <f>IFERROR(VLOOKUP(TEXT(O204,"0"),CONDUCTORES!$A$3:$G$54,7,0),"")</f>
        <v/>
      </c>
      <c r="L204" s="280" t="n"/>
      <c r="M204" s="280" t="n"/>
      <c r="N204" s="333">
        <f>IFERROR(IF(L204*M204=0,"",L204*M204),"")</f>
        <v/>
      </c>
      <c r="O204" s="280" t="n"/>
      <c r="P204" s="332">
        <f>IFERROR(VLOOKUP(TEXT(O204,"0"),CONDUCTORES!$A$3:$G$54,2,0),"")</f>
        <v/>
      </c>
      <c r="Q204" s="332">
        <f>IFERROR(VLOOKUP(TEXT(O204,"0"),CONDUCTORES!$A$3:$H$54,6,0),"")</f>
        <v/>
      </c>
      <c r="R204" s="280" t="n"/>
      <c r="S204" s="280" t="n"/>
      <c r="T204" s="280" t="n"/>
      <c r="U204" s="280" t="n"/>
      <c r="V204" s="280" t="n"/>
      <c r="W204" s="280" t="n"/>
      <c r="X204" s="280" t="n"/>
      <c r="Y204" s="280" t="n"/>
      <c r="Z204" s="375">
        <f>IF(AND(G204&lt;&gt;"",R204&lt;&gt;"",V204&lt;&gt;"",W204&lt;&gt;""),"COMPLETADO","OBSERVADO")</f>
        <v/>
      </c>
    </row>
    <row r="205" ht="15" customHeight="1" s="195">
      <c r="A205" s="334" t="n"/>
      <c r="B205" s="334" t="n"/>
      <c r="C205" s="334" t="n"/>
      <c r="D205" s="334" t="n"/>
      <c r="E205" s="334" t="n"/>
      <c r="F205" s="334" t="n"/>
      <c r="G205" s="334" t="n"/>
      <c r="H205" s="334" t="n"/>
      <c r="I205" s="332">
        <f>IFERROR(VLOOKUP(TEXT(H205,"0"),IPRESS!$A$3:$B$212,2,0),"")</f>
        <v/>
      </c>
      <c r="J205" s="334" t="n"/>
      <c r="K205" s="332">
        <f>IFERROR(VLOOKUP(TEXT(O205,"0"),CONDUCTORES!$A$3:$G$54,7,0),"")</f>
        <v/>
      </c>
      <c r="L205" s="334" t="n"/>
      <c r="M205" s="334" t="n"/>
      <c r="N205" s="333">
        <f>IFERROR(IF(L205*M205=0,"",L205*M205),"")</f>
        <v/>
      </c>
      <c r="O205" s="334" t="n"/>
      <c r="P205" s="332">
        <f>IFERROR(VLOOKUP(TEXT(O205,"0"),CONDUCTORES!$A$3:$G$54,2,0),"")</f>
        <v/>
      </c>
      <c r="Q205" s="332">
        <f>IFERROR(VLOOKUP(TEXT(O205,"0"),CONDUCTORES!$A$3:$H$54,6,0),"")</f>
        <v/>
      </c>
      <c r="R205" s="334" t="n"/>
      <c r="S205" s="334" t="n"/>
      <c r="T205" s="334" t="n"/>
      <c r="U205" s="334" t="n"/>
      <c r="V205" s="334" t="n"/>
      <c r="W205" s="334" t="n"/>
      <c r="X205" s="334" t="n"/>
      <c r="Y205" s="334" t="n"/>
      <c r="Z205" s="375">
        <f>IF(AND(G205&lt;&gt;"",R205&lt;&gt;"",V205&lt;&gt;"",W205&lt;&gt;""),"COMPLETADO","OBSERVADO")</f>
        <v/>
      </c>
    </row>
    <row r="206" ht="15" customHeight="1" s="195">
      <c r="A206" s="280" t="n"/>
      <c r="B206" s="280" t="n"/>
      <c r="C206" s="280" t="n"/>
      <c r="D206" s="280" t="n"/>
      <c r="E206" s="280" t="n"/>
      <c r="F206" s="280" t="n"/>
      <c r="G206" s="280" t="n"/>
      <c r="H206" s="280" t="n"/>
      <c r="I206" s="332">
        <f>IFERROR(VLOOKUP(TEXT(H206,"0"),IPRESS!$A$3:$B$212,2,0),"")</f>
        <v/>
      </c>
      <c r="J206" s="280" t="n"/>
      <c r="K206" s="332">
        <f>IFERROR(VLOOKUP(TEXT(O206,"0"),CONDUCTORES!$A$3:$G$54,7,0),"")</f>
        <v/>
      </c>
      <c r="L206" s="280" t="n"/>
      <c r="M206" s="280" t="n"/>
      <c r="N206" s="333">
        <f>IFERROR(IF(L206*M206=0,"",L206*M206),"")</f>
        <v/>
      </c>
      <c r="O206" s="280" t="n"/>
      <c r="P206" s="332">
        <f>IFERROR(VLOOKUP(TEXT(O206,"0"),CONDUCTORES!$A$3:$G$54,2,0),"")</f>
        <v/>
      </c>
      <c r="Q206" s="332">
        <f>IFERROR(VLOOKUP(TEXT(O206,"0"),CONDUCTORES!$A$3:$H$54,6,0),"")</f>
        <v/>
      </c>
      <c r="R206" s="280" t="n"/>
      <c r="S206" s="280" t="n"/>
      <c r="T206" s="280" t="n"/>
      <c r="U206" s="280" t="n"/>
      <c r="V206" s="280" t="n"/>
      <c r="W206" s="280" t="n"/>
      <c r="X206" s="280" t="n"/>
      <c r="Y206" s="280" t="n"/>
      <c r="Z206" s="375">
        <f>IF(AND(G206&lt;&gt;"",R206&lt;&gt;"",V206&lt;&gt;"",W206&lt;&gt;""),"COMPLETADO","OBSERVADO")</f>
        <v/>
      </c>
    </row>
    <row r="207" ht="15" customHeight="1" s="195">
      <c r="A207" s="334" t="n"/>
      <c r="B207" s="334" t="n"/>
      <c r="C207" s="334" t="n"/>
      <c r="D207" s="334" t="n"/>
      <c r="E207" s="334" t="n"/>
      <c r="F207" s="334" t="n"/>
      <c r="G207" s="334" t="n"/>
      <c r="H207" s="334" t="n"/>
      <c r="I207" s="332">
        <f>IFERROR(VLOOKUP(TEXT(H207,"0"),IPRESS!$A$3:$B$212,2,0),"")</f>
        <v/>
      </c>
      <c r="J207" s="334" t="n"/>
      <c r="K207" s="332">
        <f>IFERROR(VLOOKUP(TEXT(O207,"0"),CONDUCTORES!$A$3:$G$54,7,0),"")</f>
        <v/>
      </c>
      <c r="L207" s="334" t="n"/>
      <c r="M207" s="334" t="n"/>
      <c r="N207" s="333">
        <f>IFERROR(IF(L207*M207=0,"",L207*M207),"")</f>
        <v/>
      </c>
      <c r="O207" s="334" t="n"/>
      <c r="P207" s="332">
        <f>IFERROR(VLOOKUP(TEXT(O207,"0"),CONDUCTORES!$A$3:$G$54,2,0),"")</f>
        <v/>
      </c>
      <c r="Q207" s="332">
        <f>IFERROR(VLOOKUP(TEXT(O207,"0"),CONDUCTORES!$A$3:$H$54,6,0),"")</f>
        <v/>
      </c>
      <c r="R207" s="334" t="n"/>
      <c r="S207" s="334" t="n"/>
      <c r="T207" s="334" t="n"/>
      <c r="U207" s="334" t="n"/>
      <c r="V207" s="334" t="n"/>
      <c r="W207" s="334" t="n"/>
      <c r="X207" s="334" t="n"/>
      <c r="Y207" s="334" t="n"/>
      <c r="Z207" s="375">
        <f>IF(AND(G207&lt;&gt;"",R207&lt;&gt;"",V207&lt;&gt;"",W207&lt;&gt;""),"COMPLETADO","OBSERVADO")</f>
        <v/>
      </c>
    </row>
    <row r="208" ht="15" customHeight="1" s="195">
      <c r="A208" s="280" t="n"/>
      <c r="B208" s="280" t="n"/>
      <c r="C208" s="280" t="n"/>
      <c r="D208" s="280" t="n"/>
      <c r="E208" s="280" t="n"/>
      <c r="F208" s="280" t="n"/>
      <c r="G208" s="280" t="n"/>
      <c r="H208" s="280" t="n"/>
      <c r="I208" s="332">
        <f>IFERROR(VLOOKUP(TEXT(H208,"0"),IPRESS!$A$3:$B$212,2,0),"")</f>
        <v/>
      </c>
      <c r="J208" s="280" t="n"/>
      <c r="K208" s="332">
        <f>IFERROR(VLOOKUP(TEXT(O208,"0"),CONDUCTORES!$A$3:$G$54,7,0),"")</f>
        <v/>
      </c>
      <c r="L208" s="280" t="n"/>
      <c r="M208" s="280" t="n"/>
      <c r="N208" s="333">
        <f>IFERROR(IF(L208*M208=0,"",L208*M208),"")</f>
        <v/>
      </c>
      <c r="O208" s="280" t="n"/>
      <c r="P208" s="332">
        <f>IFERROR(VLOOKUP(TEXT(O208,"0"),CONDUCTORES!$A$3:$G$54,2,0),"")</f>
        <v/>
      </c>
      <c r="Q208" s="332">
        <f>IFERROR(VLOOKUP(TEXT(O208,"0"),CONDUCTORES!$A$3:$H$54,6,0),"")</f>
        <v/>
      </c>
      <c r="R208" s="280" t="n"/>
      <c r="S208" s="280" t="n"/>
      <c r="T208" s="280" t="n"/>
      <c r="U208" s="280" t="n"/>
      <c r="V208" s="280" t="n"/>
      <c r="W208" s="280" t="n"/>
      <c r="X208" s="280" t="n"/>
      <c r="Y208" s="280" t="n"/>
      <c r="Z208" s="375">
        <f>IF(AND(G208&lt;&gt;"",R208&lt;&gt;"",V208&lt;&gt;"",W208&lt;&gt;""),"COMPLETADO","OBSERVADO")</f>
        <v/>
      </c>
    </row>
    <row r="209" ht="15" customHeight="1" s="195">
      <c r="A209" s="334" t="n"/>
      <c r="B209" s="334" t="n"/>
      <c r="C209" s="334" t="n"/>
      <c r="D209" s="334" t="n"/>
      <c r="E209" s="334" t="n"/>
      <c r="F209" s="334" t="n"/>
      <c r="G209" s="334" t="n"/>
      <c r="H209" s="334" t="n"/>
      <c r="I209" s="332">
        <f>IFERROR(VLOOKUP(TEXT(H209,"0"),IPRESS!$A$3:$B$212,2,0),"")</f>
        <v/>
      </c>
      <c r="J209" s="334" t="n"/>
      <c r="K209" s="332">
        <f>IFERROR(VLOOKUP(TEXT(O209,"0"),CONDUCTORES!$A$3:$G$54,7,0),"")</f>
        <v/>
      </c>
      <c r="L209" s="334" t="n"/>
      <c r="M209" s="334" t="n"/>
      <c r="N209" s="333">
        <f>IFERROR(IF(L209*M209=0,"",L209*M209),"")</f>
        <v/>
      </c>
      <c r="O209" s="334" t="n"/>
      <c r="P209" s="332">
        <f>IFERROR(VLOOKUP(TEXT(O209,"0"),CONDUCTORES!$A$3:$G$54,2,0),"")</f>
        <v/>
      </c>
      <c r="Q209" s="332">
        <f>IFERROR(VLOOKUP(TEXT(O209,"0"),CONDUCTORES!$A$3:$H$54,6,0),"")</f>
        <v/>
      </c>
      <c r="R209" s="334" t="n"/>
      <c r="S209" s="334" t="n"/>
      <c r="T209" s="334" t="n"/>
      <c r="U209" s="334" t="n"/>
      <c r="V209" s="334" t="n"/>
      <c r="W209" s="334" t="n"/>
      <c r="X209" s="334" t="n"/>
      <c r="Y209" s="334" t="n"/>
      <c r="Z209" s="375">
        <f>IF(AND(G209&lt;&gt;"",R209&lt;&gt;"",V209&lt;&gt;"",W209&lt;&gt;""),"COMPLETADO","OBSERVADO")</f>
        <v/>
      </c>
    </row>
    <row r="210" ht="15" customHeight="1" s="195">
      <c r="A210" s="280" t="n"/>
      <c r="B210" s="280" t="n"/>
      <c r="C210" s="280" t="n"/>
      <c r="D210" s="280" t="n"/>
      <c r="E210" s="280" t="n"/>
      <c r="F210" s="280" t="n"/>
      <c r="G210" s="280" t="n"/>
      <c r="H210" s="280" t="n"/>
      <c r="I210" s="332">
        <f>IFERROR(VLOOKUP(TEXT(H210,"0"),IPRESS!$A$3:$B$212,2,0),"")</f>
        <v/>
      </c>
      <c r="J210" s="280" t="n"/>
      <c r="K210" s="332">
        <f>IFERROR(VLOOKUP(TEXT(O210,"0"),CONDUCTORES!$A$3:$G$54,7,0),"")</f>
        <v/>
      </c>
      <c r="L210" s="280" t="n"/>
      <c r="M210" s="280" t="n"/>
      <c r="N210" s="333">
        <f>IFERROR(IF(L210*M210=0,"",L210*M210),"")</f>
        <v/>
      </c>
      <c r="O210" s="280" t="n"/>
      <c r="P210" s="332">
        <f>IFERROR(VLOOKUP(TEXT(O210,"0"),CONDUCTORES!$A$3:$G$54,2,0),"")</f>
        <v/>
      </c>
      <c r="Q210" s="332">
        <f>IFERROR(VLOOKUP(TEXT(O210,"0"),CONDUCTORES!$A$3:$H$54,6,0),"")</f>
        <v/>
      </c>
      <c r="R210" s="280" t="n"/>
      <c r="S210" s="280" t="n"/>
      <c r="T210" s="280" t="n"/>
      <c r="U210" s="280" t="n"/>
      <c r="V210" s="280" t="n"/>
      <c r="W210" s="280" t="n"/>
      <c r="X210" s="280" t="n"/>
      <c r="Y210" s="280" t="n"/>
      <c r="Z210" s="375">
        <f>IF(AND(G210&lt;&gt;"",R210&lt;&gt;"",V210&lt;&gt;"",W210&lt;&gt;""),"COMPLETADO","OBSERVADO")</f>
        <v/>
      </c>
    </row>
    <row r="211" ht="15" customHeight="1" s="195">
      <c r="A211" s="334" t="n"/>
      <c r="B211" s="334" t="n"/>
      <c r="C211" s="334" t="n"/>
      <c r="D211" s="334" t="n"/>
      <c r="E211" s="334" t="n"/>
      <c r="F211" s="334" t="n"/>
      <c r="G211" s="334" t="n"/>
      <c r="H211" s="334" t="n"/>
      <c r="I211" s="332">
        <f>IFERROR(VLOOKUP(TEXT(H211,"0"),IPRESS!$A$3:$B$212,2,0),"")</f>
        <v/>
      </c>
      <c r="J211" s="334" t="n"/>
      <c r="K211" s="332">
        <f>IFERROR(VLOOKUP(TEXT(O211,"0"),CONDUCTORES!$A$3:$G$54,7,0),"")</f>
        <v/>
      </c>
      <c r="L211" s="334" t="n"/>
      <c r="M211" s="334" t="n"/>
      <c r="N211" s="333">
        <f>IFERROR(IF(L211*M211=0,"",L211*M211),"")</f>
        <v/>
      </c>
      <c r="O211" s="334" t="n"/>
      <c r="P211" s="332">
        <f>IFERROR(VLOOKUP(TEXT(O211,"0"),CONDUCTORES!$A$3:$G$54,2,0),"")</f>
        <v/>
      </c>
      <c r="Q211" s="332">
        <f>IFERROR(VLOOKUP(TEXT(O211,"0"),CONDUCTORES!$A$3:$H$54,6,0),"")</f>
        <v/>
      </c>
      <c r="R211" s="334" t="n"/>
      <c r="S211" s="334" t="n"/>
      <c r="T211" s="334" t="n"/>
      <c r="U211" s="334" t="n"/>
      <c r="V211" s="334" t="n"/>
      <c r="W211" s="334" t="n"/>
      <c r="X211" s="334" t="n"/>
      <c r="Y211" s="334" t="n"/>
      <c r="Z211" s="375">
        <f>IF(AND(G211&lt;&gt;"",R211&lt;&gt;"",V211&lt;&gt;"",W211&lt;&gt;""),"COMPLETADO","OBSERVADO")</f>
        <v/>
      </c>
    </row>
    <row r="212" ht="15" customHeight="1" s="195">
      <c r="A212" s="280" t="n"/>
      <c r="B212" s="280" t="n"/>
      <c r="C212" s="280" t="n"/>
      <c r="D212" s="280" t="n"/>
      <c r="E212" s="280" t="n"/>
      <c r="F212" s="280" t="n"/>
      <c r="G212" s="280" t="n"/>
      <c r="H212" s="280" t="n"/>
      <c r="I212" s="332">
        <f>IFERROR(VLOOKUP(TEXT(H212,"0"),IPRESS!$A$3:$B$212,2,0),"")</f>
        <v/>
      </c>
      <c r="J212" s="280" t="n"/>
      <c r="K212" s="332">
        <f>IFERROR(VLOOKUP(TEXT(O212,"0"),CONDUCTORES!$A$3:$G$54,7,0),"")</f>
        <v/>
      </c>
      <c r="L212" s="280" t="n"/>
      <c r="M212" s="280" t="n"/>
      <c r="N212" s="333">
        <f>IFERROR(IF(L212*M212=0,"",L212*M212),"")</f>
        <v/>
      </c>
      <c r="O212" s="280" t="n"/>
      <c r="P212" s="332">
        <f>IFERROR(VLOOKUP(TEXT(O212,"0"),CONDUCTORES!$A$3:$G$54,2,0),"")</f>
        <v/>
      </c>
      <c r="Q212" s="332">
        <f>IFERROR(VLOOKUP(TEXT(O212,"0"),CONDUCTORES!$A$3:$H$54,6,0),"")</f>
        <v/>
      </c>
      <c r="R212" s="280" t="n"/>
      <c r="S212" s="280" t="n"/>
      <c r="T212" s="280" t="n"/>
      <c r="U212" s="280" t="n"/>
      <c r="V212" s="280" t="n"/>
      <c r="W212" s="280" t="n"/>
      <c r="X212" s="280" t="n"/>
      <c r="Y212" s="280" t="n"/>
      <c r="Z212" s="375">
        <f>IF(AND(G212&lt;&gt;"",R212&lt;&gt;"",V212&lt;&gt;"",W212&lt;&gt;""),"COMPLETADO","OBSERVADO")</f>
        <v/>
      </c>
    </row>
    <row r="213" ht="15" customHeight="1" s="195">
      <c r="A213" s="334" t="n"/>
      <c r="B213" s="334" t="n"/>
      <c r="C213" s="334" t="n"/>
      <c r="D213" s="334" t="n"/>
      <c r="E213" s="334" t="n"/>
      <c r="F213" s="334" t="n"/>
      <c r="G213" s="334" t="n"/>
      <c r="H213" s="334" t="n"/>
      <c r="I213" s="332">
        <f>IFERROR(VLOOKUP(TEXT(H213,"0"),IPRESS!$A$3:$B$212,2,0),"")</f>
        <v/>
      </c>
      <c r="J213" s="334" t="n"/>
      <c r="K213" s="332">
        <f>IFERROR(VLOOKUP(TEXT(O213,"0"),CONDUCTORES!$A$3:$G$54,7,0),"")</f>
        <v/>
      </c>
      <c r="L213" s="334" t="n"/>
      <c r="M213" s="334" t="n"/>
      <c r="N213" s="333">
        <f>IFERROR(IF(L213*M213=0,"",L213*M213),"")</f>
        <v/>
      </c>
      <c r="O213" s="334" t="n"/>
      <c r="P213" s="332">
        <f>IFERROR(VLOOKUP(TEXT(O213,"0"),CONDUCTORES!$A$3:$G$54,2,0),"")</f>
        <v/>
      </c>
      <c r="Q213" s="332">
        <f>IFERROR(VLOOKUP(TEXT(O213,"0"),CONDUCTORES!$A$3:$H$54,6,0),"")</f>
        <v/>
      </c>
      <c r="R213" s="334" t="n"/>
      <c r="S213" s="334" t="n"/>
      <c r="T213" s="334" t="n"/>
      <c r="U213" s="334" t="n"/>
      <c r="V213" s="334" t="n"/>
      <c r="W213" s="334" t="n"/>
      <c r="X213" s="334" t="n"/>
      <c r="Y213" s="334" t="n"/>
      <c r="Z213" s="375">
        <f>IF(AND(G213&lt;&gt;"",R213&lt;&gt;"",V213&lt;&gt;"",W213&lt;&gt;""),"COMPLETADO","OBSERVADO")</f>
        <v/>
      </c>
    </row>
    <row r="214" ht="15" customHeight="1" s="195">
      <c r="A214" s="280" t="n"/>
      <c r="B214" s="280" t="n"/>
      <c r="C214" s="280" t="n"/>
      <c r="D214" s="280" t="n"/>
      <c r="E214" s="280" t="n"/>
      <c r="F214" s="280" t="n"/>
      <c r="G214" s="280" t="n"/>
      <c r="H214" s="280" t="n"/>
      <c r="I214" s="332">
        <f>IFERROR(VLOOKUP(TEXT(H214,"0"),IPRESS!$A$3:$B$212,2,0),"")</f>
        <v/>
      </c>
      <c r="J214" s="280" t="n"/>
      <c r="K214" s="332">
        <f>IFERROR(VLOOKUP(TEXT(O214,"0"),CONDUCTORES!$A$3:$G$54,7,0),"")</f>
        <v/>
      </c>
      <c r="L214" s="280" t="n"/>
      <c r="M214" s="280" t="n"/>
      <c r="N214" s="333">
        <f>IFERROR(IF(L214*M214=0,"",L214*M214),"")</f>
        <v/>
      </c>
      <c r="O214" s="280" t="n"/>
      <c r="P214" s="332">
        <f>IFERROR(VLOOKUP(TEXT(O214,"0"),CONDUCTORES!$A$3:$G$54,2,0),"")</f>
        <v/>
      </c>
      <c r="Q214" s="332">
        <f>IFERROR(VLOOKUP(TEXT(O214,"0"),CONDUCTORES!$A$3:$H$54,6,0),"")</f>
        <v/>
      </c>
      <c r="R214" s="280" t="n"/>
      <c r="S214" s="280" t="n"/>
      <c r="T214" s="280" t="n"/>
      <c r="U214" s="280" t="n"/>
      <c r="V214" s="280" t="n"/>
      <c r="W214" s="280" t="n"/>
      <c r="X214" s="280" t="n"/>
      <c r="Y214" s="280" t="n"/>
      <c r="Z214" s="375">
        <f>IF(AND(G214&lt;&gt;"",R214&lt;&gt;"",V214&lt;&gt;"",W214&lt;&gt;""),"COMPLETADO","OBSERVADO")</f>
        <v/>
      </c>
    </row>
    <row r="215" ht="15" customHeight="1" s="195">
      <c r="A215" s="334" t="n"/>
      <c r="B215" s="334" t="n"/>
      <c r="C215" s="334" t="n"/>
      <c r="D215" s="334" t="n"/>
      <c r="E215" s="334" t="n"/>
      <c r="F215" s="334" t="n"/>
      <c r="G215" s="334" t="n"/>
      <c r="H215" s="334" t="n"/>
      <c r="I215" s="332">
        <f>IFERROR(VLOOKUP(TEXT(H215,"0"),IPRESS!$A$3:$B$212,2,0),"")</f>
        <v/>
      </c>
      <c r="J215" s="334" t="n"/>
      <c r="K215" s="332">
        <f>IFERROR(VLOOKUP(TEXT(O215,"0"),CONDUCTORES!$A$3:$G$54,7,0),"")</f>
        <v/>
      </c>
      <c r="L215" s="334" t="n"/>
      <c r="M215" s="334" t="n"/>
      <c r="N215" s="333">
        <f>IFERROR(IF(L215*M215=0,"",L215*M215),"")</f>
        <v/>
      </c>
      <c r="O215" s="334" t="n"/>
      <c r="P215" s="332">
        <f>IFERROR(VLOOKUP(TEXT(O215,"0"),CONDUCTORES!$A$3:$G$54,2,0),"")</f>
        <v/>
      </c>
      <c r="Q215" s="332">
        <f>IFERROR(VLOOKUP(TEXT(O215,"0"),CONDUCTORES!$A$3:$H$54,6,0),"")</f>
        <v/>
      </c>
      <c r="R215" s="334" t="n"/>
      <c r="S215" s="334" t="n"/>
      <c r="T215" s="334" t="n"/>
      <c r="U215" s="334" t="n"/>
      <c r="V215" s="334" t="n"/>
      <c r="W215" s="334" t="n"/>
      <c r="X215" s="334" t="n"/>
      <c r="Y215" s="334" t="n"/>
      <c r="Z215" s="375">
        <f>IF(AND(G215&lt;&gt;"",R215&lt;&gt;"",V215&lt;&gt;"",W215&lt;&gt;""),"COMPLETADO","OBSERVADO")</f>
        <v/>
      </c>
    </row>
    <row r="216" ht="15" customHeight="1" s="195">
      <c r="A216" s="280" t="n"/>
      <c r="B216" s="280" t="n"/>
      <c r="C216" s="280" t="n"/>
      <c r="D216" s="280" t="n"/>
      <c r="E216" s="280" t="n"/>
      <c r="F216" s="280" t="n"/>
      <c r="G216" s="280" t="n"/>
      <c r="H216" s="280" t="n"/>
      <c r="I216" s="332">
        <f>IFERROR(VLOOKUP(TEXT(H216,"0"),IPRESS!$A$3:$B$212,2,0),"")</f>
        <v/>
      </c>
      <c r="J216" s="280" t="n"/>
      <c r="K216" s="332">
        <f>IFERROR(VLOOKUP(TEXT(O216,"0"),CONDUCTORES!$A$3:$G$54,7,0),"")</f>
        <v/>
      </c>
      <c r="L216" s="280" t="n"/>
      <c r="M216" s="280" t="n"/>
      <c r="N216" s="333">
        <f>IFERROR(IF(L216*M216=0,"",L216*M216),"")</f>
        <v/>
      </c>
      <c r="O216" s="280" t="n"/>
      <c r="P216" s="332">
        <f>IFERROR(VLOOKUP(TEXT(O216,"0"),CONDUCTORES!$A$3:$G$54,2,0),"")</f>
        <v/>
      </c>
      <c r="Q216" s="332">
        <f>IFERROR(VLOOKUP(TEXT(O216,"0"),CONDUCTORES!$A$3:$H$54,6,0),"")</f>
        <v/>
      </c>
      <c r="R216" s="280" t="n"/>
      <c r="S216" s="280" t="n"/>
      <c r="T216" s="280" t="n"/>
      <c r="U216" s="280" t="n"/>
      <c r="V216" s="280" t="n"/>
      <c r="W216" s="280" t="n"/>
      <c r="X216" s="280" t="n"/>
      <c r="Y216" s="280" t="n"/>
      <c r="Z216" s="375">
        <f>IF(AND(G216&lt;&gt;"",R216&lt;&gt;"",V216&lt;&gt;"",W216&lt;&gt;""),"COMPLETADO","OBSERVADO")</f>
        <v/>
      </c>
    </row>
    <row r="217" ht="15" customHeight="1" s="195">
      <c r="A217" s="334" t="n"/>
      <c r="B217" s="334" t="n"/>
      <c r="C217" s="334" t="n"/>
      <c r="D217" s="334" t="n"/>
      <c r="E217" s="334" t="n"/>
      <c r="F217" s="334" t="n"/>
      <c r="G217" s="334" t="n"/>
      <c r="H217" s="334" t="n"/>
      <c r="I217" s="332">
        <f>IFERROR(VLOOKUP(TEXT(H217,"0"),IPRESS!$A$3:$B$212,2,0),"")</f>
        <v/>
      </c>
      <c r="J217" s="334" t="n"/>
      <c r="K217" s="332">
        <f>IFERROR(VLOOKUP(TEXT(O217,"0"),CONDUCTORES!$A$3:$G$54,7,0),"")</f>
        <v/>
      </c>
      <c r="L217" s="334" t="n"/>
      <c r="M217" s="334" t="n"/>
      <c r="N217" s="333">
        <f>IFERROR(IF(L217*M217=0,"",L217*M217),"")</f>
        <v/>
      </c>
      <c r="O217" s="334" t="n"/>
      <c r="P217" s="332">
        <f>IFERROR(VLOOKUP(TEXT(O217,"0"),CONDUCTORES!$A$3:$G$54,2,0),"")</f>
        <v/>
      </c>
      <c r="Q217" s="332">
        <f>IFERROR(VLOOKUP(TEXT(O217,"0"),CONDUCTORES!$A$3:$H$54,6,0),"")</f>
        <v/>
      </c>
      <c r="R217" s="334" t="n"/>
      <c r="S217" s="334" t="n"/>
      <c r="T217" s="334" t="n"/>
      <c r="U217" s="334" t="n"/>
      <c r="V217" s="334" t="n"/>
      <c r="W217" s="334" t="n"/>
      <c r="X217" s="334" t="n"/>
      <c r="Y217" s="334" t="n"/>
      <c r="Z217" s="375">
        <f>IF(AND(G217&lt;&gt;"",R217&lt;&gt;"",V217&lt;&gt;"",W217&lt;&gt;""),"COMPLETADO","OBSERVADO")</f>
        <v/>
      </c>
    </row>
    <row r="218" ht="15" customHeight="1" s="195">
      <c r="A218" s="280" t="n"/>
      <c r="B218" s="280" t="n"/>
      <c r="C218" s="280" t="n"/>
      <c r="D218" s="280" t="n"/>
      <c r="E218" s="280" t="n"/>
      <c r="F218" s="280" t="n"/>
      <c r="G218" s="280" t="n"/>
      <c r="H218" s="280" t="n"/>
      <c r="I218" s="332">
        <f>IFERROR(VLOOKUP(TEXT(H218,"0"),IPRESS!$A$3:$B$212,2,0),"")</f>
        <v/>
      </c>
      <c r="J218" s="280" t="n"/>
      <c r="K218" s="332">
        <f>IFERROR(VLOOKUP(TEXT(O218,"0"),CONDUCTORES!$A$3:$G$54,7,0),"")</f>
        <v/>
      </c>
      <c r="L218" s="280" t="n"/>
      <c r="M218" s="280" t="n"/>
      <c r="N218" s="333">
        <f>IFERROR(IF(L218*M218=0,"",L218*M218),"")</f>
        <v/>
      </c>
      <c r="O218" s="280" t="n"/>
      <c r="P218" s="332">
        <f>IFERROR(VLOOKUP(TEXT(O218,"0"),CONDUCTORES!$A$3:$G$54,2,0),"")</f>
        <v/>
      </c>
      <c r="Q218" s="332">
        <f>IFERROR(VLOOKUP(TEXT(O218,"0"),CONDUCTORES!$A$3:$H$54,6,0),"")</f>
        <v/>
      </c>
      <c r="R218" s="280" t="n"/>
      <c r="S218" s="280" t="n"/>
      <c r="T218" s="280" t="n"/>
      <c r="U218" s="280" t="n"/>
      <c r="V218" s="280" t="n"/>
      <c r="W218" s="280" t="n"/>
      <c r="X218" s="280" t="n"/>
      <c r="Y218" s="280" t="n"/>
      <c r="Z218" s="375">
        <f>IF(AND(G218&lt;&gt;"",R218&lt;&gt;"",V218&lt;&gt;"",W218&lt;&gt;""),"COMPLETADO","OBSERVADO")</f>
        <v/>
      </c>
    </row>
    <row r="219" ht="15" customHeight="1" s="195">
      <c r="A219" s="334" t="n"/>
      <c r="B219" s="334" t="n"/>
      <c r="C219" s="334" t="n"/>
      <c r="D219" s="334" t="n"/>
      <c r="E219" s="334" t="n"/>
      <c r="F219" s="334" t="n"/>
      <c r="G219" s="334" t="n"/>
      <c r="H219" s="334" t="n"/>
      <c r="I219" s="332">
        <f>IFERROR(VLOOKUP(TEXT(H219,"0"),IPRESS!$A$3:$B$212,2,0),"")</f>
        <v/>
      </c>
      <c r="J219" s="334" t="n"/>
      <c r="K219" s="332">
        <f>IFERROR(VLOOKUP(TEXT(O219,"0"),CONDUCTORES!$A$3:$G$54,7,0),"")</f>
        <v/>
      </c>
      <c r="L219" s="334" t="n"/>
      <c r="M219" s="334" t="n"/>
      <c r="N219" s="333">
        <f>IFERROR(IF(L219*M219=0,"",L219*M219),"")</f>
        <v/>
      </c>
      <c r="O219" s="334" t="n"/>
      <c r="P219" s="332">
        <f>IFERROR(VLOOKUP(TEXT(O219,"0"),CONDUCTORES!$A$3:$G$54,2,0),"")</f>
        <v/>
      </c>
      <c r="Q219" s="332">
        <f>IFERROR(VLOOKUP(TEXT(O219,"0"),CONDUCTORES!$A$3:$H$54,6,0),"")</f>
        <v/>
      </c>
      <c r="R219" s="334" t="n"/>
      <c r="S219" s="334" t="n"/>
      <c r="T219" s="334" t="n"/>
      <c r="U219" s="334" t="n"/>
      <c r="V219" s="334" t="n"/>
      <c r="W219" s="334" t="n"/>
      <c r="X219" s="334" t="n"/>
      <c r="Y219" s="334" t="n"/>
      <c r="Z219" s="375">
        <f>IF(AND(G219&lt;&gt;"",R219&lt;&gt;"",V219&lt;&gt;"",W219&lt;&gt;""),"COMPLETADO","OBSERVADO")</f>
        <v/>
      </c>
    </row>
    <row r="220" ht="15" customHeight="1" s="195">
      <c r="A220" s="280" t="n"/>
      <c r="B220" s="280" t="n"/>
      <c r="C220" s="280" t="n"/>
      <c r="D220" s="280" t="n"/>
      <c r="E220" s="280" t="n"/>
      <c r="F220" s="280" t="n"/>
      <c r="G220" s="280" t="n"/>
      <c r="H220" s="280" t="n"/>
      <c r="I220" s="332">
        <f>IFERROR(VLOOKUP(TEXT(H220,"0"),IPRESS!$A$3:$B$212,2,0),"")</f>
        <v/>
      </c>
      <c r="J220" s="280" t="n"/>
      <c r="K220" s="332">
        <f>IFERROR(VLOOKUP(TEXT(O220,"0"),CONDUCTORES!$A$3:$G$54,7,0),"")</f>
        <v/>
      </c>
      <c r="L220" s="280" t="n"/>
      <c r="M220" s="280" t="n"/>
      <c r="N220" s="333">
        <f>IFERROR(IF(L220*M220=0,"",L220*M220),"")</f>
        <v/>
      </c>
      <c r="O220" s="280" t="n"/>
      <c r="P220" s="332">
        <f>IFERROR(VLOOKUP(TEXT(O220,"0"),CONDUCTORES!$A$3:$G$54,2,0),"")</f>
        <v/>
      </c>
      <c r="Q220" s="332">
        <f>IFERROR(VLOOKUP(TEXT(O220,"0"),CONDUCTORES!$A$3:$H$54,6,0),"")</f>
        <v/>
      </c>
      <c r="R220" s="280" t="n"/>
      <c r="S220" s="280" t="n"/>
      <c r="T220" s="280" t="n"/>
      <c r="U220" s="280" t="n"/>
      <c r="V220" s="280" t="n"/>
      <c r="W220" s="280" t="n"/>
      <c r="X220" s="280" t="n"/>
      <c r="Y220" s="280" t="n"/>
      <c r="Z220" s="375">
        <f>IF(AND(G220&lt;&gt;"",R220&lt;&gt;"",V220&lt;&gt;"",W220&lt;&gt;""),"COMPLETADO","OBSERVADO")</f>
        <v/>
      </c>
    </row>
    <row r="221" ht="15" customHeight="1" s="195">
      <c r="A221" s="334" t="n"/>
      <c r="B221" s="334" t="n"/>
      <c r="C221" s="334" t="n"/>
      <c r="D221" s="334" t="n"/>
      <c r="E221" s="334" t="n"/>
      <c r="F221" s="334" t="n"/>
      <c r="G221" s="334" t="n"/>
      <c r="H221" s="334" t="n"/>
      <c r="I221" s="332">
        <f>IFERROR(VLOOKUP(TEXT(H221,"0"),IPRESS!$A$3:$B$212,2,0),"")</f>
        <v/>
      </c>
      <c r="J221" s="334" t="n"/>
      <c r="K221" s="332">
        <f>IFERROR(VLOOKUP(TEXT(O221,"0"),CONDUCTORES!$A$3:$G$54,7,0),"")</f>
        <v/>
      </c>
      <c r="L221" s="334" t="n"/>
      <c r="M221" s="334" t="n"/>
      <c r="N221" s="333">
        <f>IFERROR(IF(L221*M221=0,"",L221*M221),"")</f>
        <v/>
      </c>
      <c r="O221" s="334" t="n"/>
      <c r="P221" s="332">
        <f>IFERROR(VLOOKUP(TEXT(O221,"0"),CONDUCTORES!$A$3:$G$54,2,0),"")</f>
        <v/>
      </c>
      <c r="Q221" s="332">
        <f>IFERROR(VLOOKUP(TEXT(O221,"0"),CONDUCTORES!$A$3:$H$54,6,0),"")</f>
        <v/>
      </c>
      <c r="R221" s="334" t="n"/>
      <c r="S221" s="334" t="n"/>
      <c r="T221" s="334" t="n"/>
      <c r="U221" s="334" t="n"/>
      <c r="V221" s="334" t="n"/>
      <c r="W221" s="334" t="n"/>
      <c r="X221" s="334" t="n"/>
      <c r="Y221" s="334" t="n"/>
      <c r="Z221" s="375">
        <f>IF(AND(G221&lt;&gt;"",R221&lt;&gt;"",V221&lt;&gt;"",W221&lt;&gt;""),"COMPLETADO","OBSERVADO")</f>
        <v/>
      </c>
    </row>
    <row r="222" ht="15" customHeight="1" s="195">
      <c r="A222" s="280" t="n"/>
      <c r="B222" s="280" t="n"/>
      <c r="C222" s="280" t="n"/>
      <c r="D222" s="280" t="n"/>
      <c r="E222" s="280" t="n"/>
      <c r="F222" s="280" t="n"/>
      <c r="G222" s="280" t="n"/>
      <c r="H222" s="280" t="n"/>
      <c r="I222" s="332">
        <f>IFERROR(VLOOKUP(TEXT(H222,"0"),IPRESS!$A$3:$B$212,2,0),"")</f>
        <v/>
      </c>
      <c r="J222" s="280" t="n"/>
      <c r="K222" s="332">
        <f>IFERROR(VLOOKUP(TEXT(O222,"0"),CONDUCTORES!$A$3:$G$54,7,0),"")</f>
        <v/>
      </c>
      <c r="L222" s="280" t="n"/>
      <c r="M222" s="280" t="n"/>
      <c r="N222" s="333">
        <f>IFERROR(IF(L222*M222=0,"",L222*M222),"")</f>
        <v/>
      </c>
      <c r="O222" s="280" t="n"/>
      <c r="P222" s="332">
        <f>IFERROR(VLOOKUP(TEXT(O222,"0"),CONDUCTORES!$A$3:$G$54,2,0),"")</f>
        <v/>
      </c>
      <c r="Q222" s="332">
        <f>IFERROR(VLOOKUP(TEXT(O222,"0"),CONDUCTORES!$A$3:$H$54,6,0),"")</f>
        <v/>
      </c>
      <c r="R222" s="280" t="n"/>
      <c r="S222" s="280" t="n"/>
      <c r="T222" s="280" t="n"/>
      <c r="U222" s="280" t="n"/>
      <c r="V222" s="280" t="n"/>
      <c r="W222" s="280" t="n"/>
      <c r="X222" s="280" t="n"/>
      <c r="Y222" s="280" t="n"/>
      <c r="Z222" s="375">
        <f>IF(AND(G222&lt;&gt;"",R222&lt;&gt;"",V222&lt;&gt;"",W222&lt;&gt;""),"COMPLETADO","OBSERVADO")</f>
        <v/>
      </c>
    </row>
    <row r="223" ht="15" customHeight="1" s="195">
      <c r="A223" s="334" t="n"/>
      <c r="B223" s="334" t="n"/>
      <c r="C223" s="334" t="n"/>
      <c r="D223" s="334" t="n"/>
      <c r="E223" s="334" t="n"/>
      <c r="F223" s="334" t="n"/>
      <c r="G223" s="334" t="n"/>
      <c r="H223" s="334" t="n"/>
      <c r="I223" s="332">
        <f>IFERROR(VLOOKUP(TEXT(H223,"0"),IPRESS!$A$3:$B$212,2,0),"")</f>
        <v/>
      </c>
      <c r="J223" s="334" t="n"/>
      <c r="K223" s="332">
        <f>IFERROR(VLOOKUP(TEXT(O223,"0"),CONDUCTORES!$A$3:$G$54,7,0),"")</f>
        <v/>
      </c>
      <c r="L223" s="334" t="n"/>
      <c r="M223" s="334" t="n"/>
      <c r="N223" s="333">
        <f>IFERROR(IF(L223*M223=0,"",L223*M223),"")</f>
        <v/>
      </c>
      <c r="O223" s="334" t="n"/>
      <c r="P223" s="332">
        <f>IFERROR(VLOOKUP(TEXT(O223,"0"),CONDUCTORES!$A$3:$G$54,2,0),"")</f>
        <v/>
      </c>
      <c r="Q223" s="332">
        <f>IFERROR(VLOOKUP(TEXT(O223,"0"),CONDUCTORES!$A$3:$H$54,6,0),"")</f>
        <v/>
      </c>
      <c r="R223" s="334" t="n"/>
      <c r="S223" s="334" t="n"/>
      <c r="T223" s="334" t="n"/>
      <c r="U223" s="334" t="n"/>
      <c r="V223" s="334" t="n"/>
      <c r="W223" s="334" t="n"/>
      <c r="X223" s="334" t="n"/>
      <c r="Y223" s="334" t="n"/>
      <c r="Z223" s="375">
        <f>IF(AND(G223&lt;&gt;"",R223&lt;&gt;"",V223&lt;&gt;"",W223&lt;&gt;""),"COMPLETADO","OBSERVADO")</f>
        <v/>
      </c>
    </row>
    <row r="224" ht="15" customHeight="1" s="195">
      <c r="A224" s="280" t="n"/>
      <c r="B224" s="280" t="n"/>
      <c r="C224" s="280" t="n"/>
      <c r="D224" s="280" t="n"/>
      <c r="E224" s="280" t="n"/>
      <c r="F224" s="280" t="n"/>
      <c r="G224" s="280" t="n"/>
      <c r="H224" s="280" t="n"/>
      <c r="I224" s="332">
        <f>IFERROR(VLOOKUP(TEXT(H224,"0"),IPRESS!$A$3:$B$212,2,0),"")</f>
        <v/>
      </c>
      <c r="J224" s="280" t="n"/>
      <c r="K224" s="332">
        <f>IFERROR(VLOOKUP(TEXT(O224,"0"),CONDUCTORES!$A$3:$G$54,7,0),"")</f>
        <v/>
      </c>
      <c r="L224" s="280" t="n"/>
      <c r="M224" s="280" t="n"/>
      <c r="N224" s="333">
        <f>IFERROR(IF(L224*M224=0,"",L224*M224),"")</f>
        <v/>
      </c>
      <c r="O224" s="280" t="n"/>
      <c r="P224" s="332">
        <f>IFERROR(VLOOKUP(TEXT(O224,"0"),CONDUCTORES!$A$3:$G$54,2,0),"")</f>
        <v/>
      </c>
      <c r="Q224" s="332">
        <f>IFERROR(VLOOKUP(TEXT(O224,"0"),CONDUCTORES!$A$3:$H$54,6,0),"")</f>
        <v/>
      </c>
      <c r="R224" s="280" t="n"/>
      <c r="S224" s="280" t="n"/>
      <c r="T224" s="280" t="n"/>
      <c r="U224" s="280" t="n"/>
      <c r="V224" s="280" t="n"/>
      <c r="W224" s="280" t="n"/>
      <c r="X224" s="280" t="n"/>
      <c r="Y224" s="280" t="n"/>
      <c r="Z224" s="375">
        <f>IF(AND(G224&lt;&gt;"",R224&lt;&gt;"",V224&lt;&gt;"",W224&lt;&gt;""),"COMPLETADO","OBSERVADO")</f>
        <v/>
      </c>
    </row>
    <row r="225" ht="15" customHeight="1" s="195">
      <c r="A225" s="334" t="n"/>
      <c r="B225" s="334" t="n"/>
      <c r="C225" s="334" t="n"/>
      <c r="D225" s="334" t="n"/>
      <c r="E225" s="334" t="n"/>
      <c r="F225" s="334" t="n"/>
      <c r="G225" s="334" t="n"/>
      <c r="H225" s="334" t="n"/>
      <c r="I225" s="332">
        <f>IFERROR(VLOOKUP(TEXT(H225,"0"),IPRESS!$A$3:$B$212,2,0),"")</f>
        <v/>
      </c>
      <c r="J225" s="334" t="n"/>
      <c r="K225" s="332">
        <f>IFERROR(VLOOKUP(TEXT(O225,"0"),CONDUCTORES!$A$3:$G$54,7,0),"")</f>
        <v/>
      </c>
      <c r="L225" s="334" t="n"/>
      <c r="M225" s="334" t="n"/>
      <c r="N225" s="333">
        <f>IFERROR(IF(L225*M225=0,"",L225*M225),"")</f>
        <v/>
      </c>
      <c r="O225" s="334" t="n"/>
      <c r="P225" s="332">
        <f>IFERROR(VLOOKUP(TEXT(O225,"0"),CONDUCTORES!$A$3:$G$54,2,0),"")</f>
        <v/>
      </c>
      <c r="Q225" s="332">
        <f>IFERROR(VLOOKUP(TEXT(O225,"0"),CONDUCTORES!$A$3:$H$54,6,0),"")</f>
        <v/>
      </c>
      <c r="R225" s="334" t="n"/>
      <c r="S225" s="334" t="n"/>
      <c r="T225" s="334" t="n"/>
      <c r="U225" s="334" t="n"/>
      <c r="V225" s="334" t="n"/>
      <c r="W225" s="334" t="n"/>
      <c r="X225" s="334" t="n"/>
      <c r="Y225" s="334" t="n"/>
      <c r="Z225" s="375">
        <f>IF(AND(G225&lt;&gt;"",R225&lt;&gt;"",V225&lt;&gt;"",W225&lt;&gt;""),"COMPLETADO","OBSERVADO")</f>
        <v/>
      </c>
    </row>
    <row r="226" ht="15" customHeight="1" s="195">
      <c r="A226" s="280" t="n"/>
      <c r="B226" s="280" t="n"/>
      <c r="C226" s="280" t="n"/>
      <c r="D226" s="280" t="n"/>
      <c r="E226" s="280" t="n"/>
      <c r="F226" s="280" t="n"/>
      <c r="G226" s="280" t="n"/>
      <c r="H226" s="280" t="n"/>
      <c r="I226" s="332">
        <f>IFERROR(VLOOKUP(TEXT(H226,"0"),IPRESS!$A$3:$B$212,2,0),"")</f>
        <v/>
      </c>
      <c r="J226" s="280" t="n"/>
      <c r="K226" s="332">
        <f>IFERROR(VLOOKUP(TEXT(O226,"0"),CONDUCTORES!$A$3:$G$54,7,0),"")</f>
        <v/>
      </c>
      <c r="L226" s="280" t="n"/>
      <c r="M226" s="280" t="n"/>
      <c r="N226" s="333">
        <f>IFERROR(IF(L226*M226=0,"",L226*M226),"")</f>
        <v/>
      </c>
      <c r="O226" s="280" t="n"/>
      <c r="P226" s="332">
        <f>IFERROR(VLOOKUP(TEXT(O226,"0"),CONDUCTORES!$A$3:$G$54,2,0),"")</f>
        <v/>
      </c>
      <c r="Q226" s="332">
        <f>IFERROR(VLOOKUP(TEXT(O226,"0"),CONDUCTORES!$A$3:$H$54,6,0),"")</f>
        <v/>
      </c>
      <c r="R226" s="280" t="n"/>
      <c r="S226" s="280" t="n"/>
      <c r="T226" s="280" t="n"/>
      <c r="U226" s="280" t="n"/>
      <c r="V226" s="280" t="n"/>
      <c r="W226" s="280" t="n"/>
      <c r="X226" s="280" t="n"/>
      <c r="Y226" s="280" t="n"/>
      <c r="Z226" s="375">
        <f>IF(AND(G226&lt;&gt;"",R226&lt;&gt;"",V226&lt;&gt;"",W226&lt;&gt;""),"COMPLETADO","OBSERVADO")</f>
        <v/>
      </c>
    </row>
    <row r="227" ht="15" customHeight="1" s="195">
      <c r="A227" s="334" t="n"/>
      <c r="B227" s="334" t="n"/>
      <c r="C227" s="334" t="n"/>
      <c r="D227" s="334" t="n"/>
      <c r="E227" s="334" t="n"/>
      <c r="F227" s="334" t="n"/>
      <c r="G227" s="334" t="n"/>
      <c r="H227" s="334" t="n"/>
      <c r="I227" s="332">
        <f>IFERROR(VLOOKUP(TEXT(H227,"0"),IPRESS!$A$3:$B$212,2,0),"")</f>
        <v/>
      </c>
      <c r="J227" s="334" t="n"/>
      <c r="K227" s="332">
        <f>IFERROR(VLOOKUP(TEXT(O227,"0"),CONDUCTORES!$A$3:$G$54,7,0),"")</f>
        <v/>
      </c>
      <c r="L227" s="334" t="n"/>
      <c r="M227" s="334" t="n"/>
      <c r="N227" s="333">
        <f>IFERROR(IF(L227*M227=0,"",L227*M227),"")</f>
        <v/>
      </c>
      <c r="O227" s="334" t="n"/>
      <c r="P227" s="332">
        <f>IFERROR(VLOOKUP(TEXT(O227,"0"),CONDUCTORES!$A$3:$G$54,2,0),"")</f>
        <v/>
      </c>
      <c r="Q227" s="332">
        <f>IFERROR(VLOOKUP(TEXT(O227,"0"),CONDUCTORES!$A$3:$H$54,6,0),"")</f>
        <v/>
      </c>
      <c r="R227" s="334" t="n"/>
      <c r="S227" s="334" t="n"/>
      <c r="T227" s="334" t="n"/>
      <c r="U227" s="334" t="n"/>
      <c r="V227" s="334" t="n"/>
      <c r="W227" s="334" t="n"/>
      <c r="X227" s="334" t="n"/>
      <c r="Y227" s="334" t="n"/>
      <c r="Z227" s="375">
        <f>IF(AND(G227&lt;&gt;"",R227&lt;&gt;"",V227&lt;&gt;"",W227&lt;&gt;""),"COMPLETADO","OBSERVADO")</f>
        <v/>
      </c>
    </row>
    <row r="228" ht="15" customHeight="1" s="195">
      <c r="A228" s="280" t="n"/>
      <c r="B228" s="280" t="n"/>
      <c r="C228" s="280" t="n"/>
      <c r="D228" s="280" t="n"/>
      <c r="E228" s="280" t="n"/>
      <c r="F228" s="280" t="n"/>
      <c r="G228" s="280" t="n"/>
      <c r="H228" s="280" t="n"/>
      <c r="I228" s="332">
        <f>IFERROR(VLOOKUP(TEXT(H228,"0"),IPRESS!$A$3:$B$212,2,0),"")</f>
        <v/>
      </c>
      <c r="J228" s="280" t="n"/>
      <c r="K228" s="332">
        <f>IFERROR(VLOOKUP(TEXT(O228,"0"),CONDUCTORES!$A$3:$G$54,7,0),"")</f>
        <v/>
      </c>
      <c r="L228" s="280" t="n"/>
      <c r="M228" s="280" t="n"/>
      <c r="N228" s="333">
        <f>IFERROR(IF(L228*M228=0,"",L228*M228),"")</f>
        <v/>
      </c>
      <c r="O228" s="280" t="n"/>
      <c r="P228" s="332">
        <f>IFERROR(VLOOKUP(TEXT(O228,"0"),CONDUCTORES!$A$3:$G$54,2,0),"")</f>
        <v/>
      </c>
      <c r="Q228" s="332">
        <f>IFERROR(VLOOKUP(TEXT(O228,"0"),CONDUCTORES!$A$3:$H$54,6,0),"")</f>
        <v/>
      </c>
      <c r="R228" s="280" t="n"/>
      <c r="S228" s="280" t="n"/>
      <c r="T228" s="280" t="n"/>
      <c r="U228" s="280" t="n"/>
      <c r="V228" s="280" t="n"/>
      <c r="W228" s="280" t="n"/>
      <c r="X228" s="280" t="n"/>
      <c r="Y228" s="280" t="n"/>
      <c r="Z228" s="375">
        <f>IF(AND(G228&lt;&gt;"",R228&lt;&gt;"",V228&lt;&gt;"",W228&lt;&gt;""),"COMPLETADO","OBSERVADO")</f>
        <v/>
      </c>
    </row>
    <row r="229" ht="15" customHeight="1" s="195">
      <c r="A229" s="334" t="n"/>
      <c r="B229" s="334" t="n"/>
      <c r="C229" s="334" t="n"/>
      <c r="D229" s="334" t="n"/>
      <c r="E229" s="334" t="n"/>
      <c r="F229" s="334" t="n"/>
      <c r="G229" s="334" t="n"/>
      <c r="H229" s="334" t="n"/>
      <c r="I229" s="332">
        <f>IFERROR(VLOOKUP(TEXT(H229,"0"),IPRESS!$A$3:$B$212,2,0),"")</f>
        <v/>
      </c>
      <c r="J229" s="334" t="n"/>
      <c r="K229" s="332">
        <f>IFERROR(VLOOKUP(TEXT(O229,"0"),CONDUCTORES!$A$3:$G$54,7,0),"")</f>
        <v/>
      </c>
      <c r="L229" s="334" t="n"/>
      <c r="M229" s="334" t="n"/>
      <c r="N229" s="333">
        <f>IFERROR(IF(L229*M229=0,"",L229*M229),"")</f>
        <v/>
      </c>
      <c r="O229" s="334" t="n"/>
      <c r="P229" s="332">
        <f>IFERROR(VLOOKUP(TEXT(O229,"0"),CONDUCTORES!$A$3:$G$54,2,0),"")</f>
        <v/>
      </c>
      <c r="Q229" s="332">
        <f>IFERROR(VLOOKUP(TEXT(O229,"0"),CONDUCTORES!$A$3:$H$54,6,0),"")</f>
        <v/>
      </c>
      <c r="R229" s="334" t="n"/>
      <c r="S229" s="334" t="n"/>
      <c r="T229" s="334" t="n"/>
      <c r="U229" s="334" t="n"/>
      <c r="V229" s="334" t="n"/>
      <c r="W229" s="334" t="n"/>
      <c r="X229" s="334" t="n"/>
      <c r="Y229" s="334" t="n"/>
      <c r="Z229" s="375">
        <f>IF(AND(G229&lt;&gt;"",R229&lt;&gt;"",V229&lt;&gt;"",W229&lt;&gt;""),"COMPLETADO","OBSERVADO")</f>
        <v/>
      </c>
    </row>
    <row r="230" ht="15" customHeight="1" s="195">
      <c r="A230" s="280" t="n"/>
      <c r="B230" s="280" t="n"/>
      <c r="C230" s="280" t="n"/>
      <c r="D230" s="280" t="n"/>
      <c r="E230" s="280" t="n"/>
      <c r="F230" s="280" t="n"/>
      <c r="G230" s="280" t="n"/>
      <c r="H230" s="280" t="n"/>
      <c r="I230" s="332">
        <f>IFERROR(VLOOKUP(TEXT(H230,"0"),IPRESS!$A$3:$B$212,2,0),"")</f>
        <v/>
      </c>
      <c r="J230" s="280" t="n"/>
      <c r="K230" s="332">
        <f>IFERROR(VLOOKUP(TEXT(O230,"0"),CONDUCTORES!$A$3:$G$54,7,0),"")</f>
        <v/>
      </c>
      <c r="L230" s="280" t="n"/>
      <c r="M230" s="280" t="n"/>
      <c r="N230" s="333">
        <f>IFERROR(IF(L230*M230=0,"",L230*M230),"")</f>
        <v/>
      </c>
      <c r="O230" s="280" t="n"/>
      <c r="P230" s="332">
        <f>IFERROR(VLOOKUP(TEXT(O230,"0"),CONDUCTORES!$A$3:$G$54,2,0),"")</f>
        <v/>
      </c>
      <c r="Q230" s="332">
        <f>IFERROR(VLOOKUP(TEXT(O230,"0"),CONDUCTORES!$A$3:$H$54,6,0),"")</f>
        <v/>
      </c>
      <c r="R230" s="280" t="n"/>
      <c r="S230" s="280" t="n"/>
      <c r="T230" s="280" t="n"/>
      <c r="U230" s="280" t="n"/>
      <c r="V230" s="280" t="n"/>
      <c r="W230" s="280" t="n"/>
      <c r="X230" s="280" t="n"/>
      <c r="Y230" s="280" t="n"/>
      <c r="Z230" s="375">
        <f>IF(AND(G230&lt;&gt;"",R230&lt;&gt;"",V230&lt;&gt;"",W230&lt;&gt;""),"COMPLETADO","OBSERVADO")</f>
        <v/>
      </c>
    </row>
    <row r="231" ht="15" customHeight="1" s="195">
      <c r="A231" s="334" t="n"/>
      <c r="B231" s="334" t="n"/>
      <c r="C231" s="334" t="n"/>
      <c r="D231" s="334" t="n"/>
      <c r="E231" s="334" t="n"/>
      <c r="F231" s="334" t="n"/>
      <c r="G231" s="334" t="n"/>
      <c r="H231" s="334" t="n"/>
      <c r="I231" s="332">
        <f>IFERROR(VLOOKUP(TEXT(H231,"0"),IPRESS!$A$3:$B$212,2,0),"")</f>
        <v/>
      </c>
      <c r="J231" s="334" t="n"/>
      <c r="K231" s="332">
        <f>IFERROR(VLOOKUP(TEXT(O231,"0"),CONDUCTORES!$A$3:$G$54,7,0),"")</f>
        <v/>
      </c>
      <c r="L231" s="334" t="n"/>
      <c r="M231" s="334" t="n"/>
      <c r="N231" s="333">
        <f>IFERROR(IF(L231*M231=0,"",L231*M231),"")</f>
        <v/>
      </c>
      <c r="O231" s="334" t="n"/>
      <c r="P231" s="332">
        <f>IFERROR(VLOOKUP(TEXT(O231,"0"),CONDUCTORES!$A$3:$G$54,2,0),"")</f>
        <v/>
      </c>
      <c r="Q231" s="332">
        <f>IFERROR(VLOOKUP(TEXT(O231,"0"),CONDUCTORES!$A$3:$H$54,6,0),"")</f>
        <v/>
      </c>
      <c r="R231" s="334" t="n"/>
      <c r="S231" s="334" t="n"/>
      <c r="T231" s="334" t="n"/>
      <c r="U231" s="334" t="n"/>
      <c r="V231" s="334" t="n"/>
      <c r="W231" s="334" t="n"/>
      <c r="X231" s="334" t="n"/>
      <c r="Y231" s="334" t="n"/>
      <c r="Z231" s="375">
        <f>IF(AND(G231&lt;&gt;"",R231&lt;&gt;"",V231&lt;&gt;"",W231&lt;&gt;""),"COMPLETADO","OBSERVADO")</f>
        <v/>
      </c>
    </row>
    <row r="232" ht="15" customHeight="1" s="195">
      <c r="A232" s="280" t="n"/>
      <c r="B232" s="280" t="n"/>
      <c r="C232" s="280" t="n"/>
      <c r="D232" s="280" t="n"/>
      <c r="E232" s="280" t="n"/>
      <c r="F232" s="280" t="n"/>
      <c r="G232" s="280" t="n"/>
      <c r="H232" s="280" t="n"/>
      <c r="I232" s="332">
        <f>IFERROR(VLOOKUP(TEXT(H232,"0"),IPRESS!$A$3:$B$212,2,0),"")</f>
        <v/>
      </c>
      <c r="J232" s="280" t="n"/>
      <c r="K232" s="332">
        <f>IFERROR(VLOOKUP(TEXT(O232,"0"),CONDUCTORES!$A$3:$G$54,7,0),"")</f>
        <v/>
      </c>
      <c r="L232" s="280" t="n"/>
      <c r="M232" s="280" t="n"/>
      <c r="N232" s="333">
        <f>IFERROR(IF(L232*M232=0,"",L232*M232),"")</f>
        <v/>
      </c>
      <c r="O232" s="280" t="n"/>
      <c r="P232" s="332">
        <f>IFERROR(VLOOKUP(TEXT(O232,"0"),CONDUCTORES!$A$3:$G$54,2,0),"")</f>
        <v/>
      </c>
      <c r="Q232" s="332">
        <f>IFERROR(VLOOKUP(TEXT(O232,"0"),CONDUCTORES!$A$3:$H$54,6,0),"")</f>
        <v/>
      </c>
      <c r="R232" s="280" t="n"/>
      <c r="S232" s="280" t="n"/>
      <c r="T232" s="280" t="n"/>
      <c r="U232" s="280" t="n"/>
      <c r="V232" s="280" t="n"/>
      <c r="W232" s="280" t="n"/>
      <c r="X232" s="280" t="n"/>
      <c r="Y232" s="280" t="n"/>
      <c r="Z232" s="375">
        <f>IF(AND(G232&lt;&gt;"",R232&lt;&gt;"",V232&lt;&gt;"",W232&lt;&gt;""),"COMPLETADO","OBSERVADO")</f>
        <v/>
      </c>
    </row>
    <row r="233" ht="15" customHeight="1" s="195">
      <c r="A233" s="334" t="n"/>
      <c r="B233" s="334" t="n"/>
      <c r="C233" s="334" t="n"/>
      <c r="D233" s="334" t="n"/>
      <c r="E233" s="334" t="n"/>
      <c r="F233" s="334" t="n"/>
      <c r="G233" s="334" t="n"/>
      <c r="H233" s="334" t="n"/>
      <c r="I233" s="332">
        <f>IFERROR(VLOOKUP(TEXT(H233,"0"),IPRESS!$A$3:$B$212,2,0),"")</f>
        <v/>
      </c>
      <c r="J233" s="334" t="n"/>
      <c r="K233" s="332">
        <f>IFERROR(VLOOKUP(TEXT(O233,"0"),CONDUCTORES!$A$3:$G$54,7,0),"")</f>
        <v/>
      </c>
      <c r="L233" s="334" t="n"/>
      <c r="M233" s="334" t="n"/>
      <c r="N233" s="333">
        <f>IFERROR(IF(L233*M233=0,"",L233*M233),"")</f>
        <v/>
      </c>
      <c r="O233" s="334" t="n"/>
      <c r="P233" s="332">
        <f>IFERROR(VLOOKUP(TEXT(O233,"0"),CONDUCTORES!$A$3:$G$54,2,0),"")</f>
        <v/>
      </c>
      <c r="Q233" s="332">
        <f>IFERROR(VLOOKUP(TEXT(O233,"0"),CONDUCTORES!$A$3:$H$54,6,0),"")</f>
        <v/>
      </c>
      <c r="R233" s="334" t="n"/>
      <c r="S233" s="334" t="n"/>
      <c r="T233" s="334" t="n"/>
      <c r="U233" s="334" t="n"/>
      <c r="V233" s="334" t="n"/>
      <c r="W233" s="334" t="n"/>
      <c r="X233" s="334" t="n"/>
      <c r="Y233" s="334" t="n"/>
      <c r="Z233" s="375">
        <f>IF(AND(G233&lt;&gt;"",R233&lt;&gt;"",V233&lt;&gt;"",W233&lt;&gt;""),"COMPLETADO","OBSERVADO")</f>
        <v/>
      </c>
    </row>
    <row r="234" ht="15" customHeight="1" s="195">
      <c r="A234" s="280" t="n"/>
      <c r="B234" s="280" t="n"/>
      <c r="C234" s="280" t="n"/>
      <c r="D234" s="280" t="n"/>
      <c r="E234" s="280" t="n"/>
      <c r="F234" s="280" t="n"/>
      <c r="G234" s="280" t="n"/>
      <c r="H234" s="280" t="n"/>
      <c r="I234" s="332">
        <f>IFERROR(VLOOKUP(TEXT(H234,"0"),IPRESS!$A$3:$B$212,2,0),"")</f>
        <v/>
      </c>
      <c r="J234" s="280" t="n"/>
      <c r="K234" s="332">
        <f>IFERROR(VLOOKUP(TEXT(O234,"0"),CONDUCTORES!$A$3:$G$54,7,0),"")</f>
        <v/>
      </c>
      <c r="L234" s="280" t="n"/>
      <c r="M234" s="280" t="n"/>
      <c r="N234" s="333">
        <f>IFERROR(IF(L234*M234=0,"",L234*M234),"")</f>
        <v/>
      </c>
      <c r="O234" s="280" t="n"/>
      <c r="P234" s="332">
        <f>IFERROR(VLOOKUP(TEXT(O234,"0"),CONDUCTORES!$A$3:$G$54,2,0),"")</f>
        <v/>
      </c>
      <c r="Q234" s="332">
        <f>IFERROR(VLOOKUP(TEXT(O234,"0"),CONDUCTORES!$A$3:$H$54,6,0),"")</f>
        <v/>
      </c>
      <c r="R234" s="280" t="n"/>
      <c r="S234" s="280" t="n"/>
      <c r="T234" s="280" t="n"/>
      <c r="U234" s="280" t="n"/>
      <c r="V234" s="280" t="n"/>
      <c r="W234" s="280" t="n"/>
      <c r="X234" s="280" t="n"/>
      <c r="Y234" s="280" t="n"/>
      <c r="Z234" s="375">
        <f>IF(AND(G234&lt;&gt;"",R234&lt;&gt;"",V234&lt;&gt;"",W234&lt;&gt;""),"COMPLETADO","OBSERVADO")</f>
        <v/>
      </c>
    </row>
    <row r="235" ht="15" customHeight="1" s="195">
      <c r="A235" s="334" t="n"/>
      <c r="B235" s="334" t="n"/>
      <c r="C235" s="334" t="n"/>
      <c r="D235" s="334" t="n"/>
      <c r="E235" s="334" t="n"/>
      <c r="F235" s="334" t="n"/>
      <c r="G235" s="334" t="n"/>
      <c r="H235" s="334" t="n"/>
      <c r="I235" s="332">
        <f>IFERROR(VLOOKUP(TEXT(H235,"0"),IPRESS!$A$3:$B$212,2,0),"")</f>
        <v/>
      </c>
      <c r="J235" s="334" t="n"/>
      <c r="K235" s="332">
        <f>IFERROR(VLOOKUP(TEXT(O235,"0"),CONDUCTORES!$A$3:$G$54,7,0),"")</f>
        <v/>
      </c>
      <c r="L235" s="334" t="n"/>
      <c r="M235" s="334" t="n"/>
      <c r="N235" s="333">
        <f>IFERROR(IF(L235*M235=0,"",L235*M235),"")</f>
        <v/>
      </c>
      <c r="O235" s="334" t="n"/>
      <c r="P235" s="332">
        <f>IFERROR(VLOOKUP(TEXT(O235,"0"),CONDUCTORES!$A$3:$G$54,2,0),"")</f>
        <v/>
      </c>
      <c r="Q235" s="332">
        <f>IFERROR(VLOOKUP(TEXT(O235,"0"),CONDUCTORES!$A$3:$H$54,6,0),"")</f>
        <v/>
      </c>
      <c r="R235" s="334" t="n"/>
      <c r="S235" s="334" t="n"/>
      <c r="T235" s="334" t="n"/>
      <c r="U235" s="334" t="n"/>
      <c r="V235" s="334" t="n"/>
      <c r="W235" s="334" t="n"/>
      <c r="X235" s="334" t="n"/>
      <c r="Y235" s="334" t="n"/>
      <c r="Z235" s="375">
        <f>IF(AND(G235&lt;&gt;"",R235&lt;&gt;"",V235&lt;&gt;"",W235&lt;&gt;""),"COMPLETADO","OBSERVADO")</f>
        <v/>
      </c>
    </row>
    <row r="236" ht="15" customHeight="1" s="195">
      <c r="A236" s="280" t="n"/>
      <c r="B236" s="280" t="n"/>
      <c r="C236" s="280" t="n"/>
      <c r="D236" s="280" t="n"/>
      <c r="E236" s="280" t="n"/>
      <c r="F236" s="280" t="n"/>
      <c r="G236" s="280" t="n"/>
      <c r="H236" s="280" t="n"/>
      <c r="I236" s="332">
        <f>IFERROR(VLOOKUP(TEXT(H236,"0"),IPRESS!$A$3:$B$212,2,0),"")</f>
        <v/>
      </c>
      <c r="J236" s="280" t="n"/>
      <c r="K236" s="332">
        <f>IFERROR(VLOOKUP(TEXT(O236,"0"),CONDUCTORES!$A$3:$G$54,7,0),"")</f>
        <v/>
      </c>
      <c r="L236" s="280" t="n"/>
      <c r="M236" s="280" t="n"/>
      <c r="N236" s="333">
        <f>IFERROR(IF(L236*M236=0,"",L236*M236),"")</f>
        <v/>
      </c>
      <c r="O236" s="280" t="n"/>
      <c r="P236" s="332">
        <f>IFERROR(VLOOKUP(TEXT(O236,"0"),CONDUCTORES!$A$3:$G$54,2,0),"")</f>
        <v/>
      </c>
      <c r="Q236" s="332">
        <f>IFERROR(VLOOKUP(TEXT(O236,"0"),CONDUCTORES!$A$3:$H$54,6,0),"")</f>
        <v/>
      </c>
      <c r="R236" s="280" t="n"/>
      <c r="S236" s="280" t="n"/>
      <c r="T236" s="280" t="n"/>
      <c r="U236" s="280" t="n"/>
      <c r="V236" s="280" t="n"/>
      <c r="W236" s="280" t="n"/>
      <c r="X236" s="280" t="n"/>
      <c r="Y236" s="280" t="n"/>
      <c r="Z236" s="375">
        <f>IF(AND(G236&lt;&gt;"",R236&lt;&gt;"",V236&lt;&gt;"",W236&lt;&gt;""),"COMPLETADO","OBSERVADO")</f>
        <v/>
      </c>
    </row>
    <row r="237" ht="15" customHeight="1" s="195">
      <c r="A237" s="334" t="n"/>
      <c r="B237" s="334" t="n"/>
      <c r="C237" s="334" t="n"/>
      <c r="D237" s="334" t="n"/>
      <c r="E237" s="334" t="n"/>
      <c r="F237" s="334" t="n"/>
      <c r="G237" s="334" t="n"/>
      <c r="H237" s="334" t="n"/>
      <c r="I237" s="332">
        <f>IFERROR(VLOOKUP(TEXT(H237,"0"),IPRESS!$A$3:$B$212,2,0),"")</f>
        <v/>
      </c>
      <c r="J237" s="334" t="n"/>
      <c r="K237" s="332">
        <f>IFERROR(VLOOKUP(TEXT(O237,"0"),CONDUCTORES!$A$3:$G$54,7,0),"")</f>
        <v/>
      </c>
      <c r="L237" s="334" t="n"/>
      <c r="M237" s="334" t="n"/>
      <c r="N237" s="333">
        <f>IFERROR(IF(L237*M237=0,"",L237*M237),"")</f>
        <v/>
      </c>
      <c r="O237" s="334" t="n"/>
      <c r="P237" s="332">
        <f>IFERROR(VLOOKUP(TEXT(O237,"0"),CONDUCTORES!$A$3:$G$54,2,0),"")</f>
        <v/>
      </c>
      <c r="Q237" s="332">
        <f>IFERROR(VLOOKUP(TEXT(O237,"0"),CONDUCTORES!$A$3:$H$54,6,0),"")</f>
        <v/>
      </c>
      <c r="R237" s="334" t="n"/>
      <c r="S237" s="334" t="n"/>
      <c r="T237" s="334" t="n"/>
      <c r="U237" s="334" t="n"/>
      <c r="V237" s="334" t="n"/>
      <c r="W237" s="334" t="n"/>
      <c r="X237" s="334" t="n"/>
      <c r="Y237" s="334" t="n"/>
      <c r="Z237" s="375">
        <f>IF(AND(G237&lt;&gt;"",R237&lt;&gt;"",V237&lt;&gt;"",W237&lt;&gt;""),"COMPLETADO","OBSERVADO")</f>
        <v/>
      </c>
    </row>
    <row r="238" ht="15" customHeight="1" s="195">
      <c r="A238" s="280" t="n"/>
      <c r="B238" s="280" t="n"/>
      <c r="C238" s="280" t="n"/>
      <c r="D238" s="280" t="n"/>
      <c r="E238" s="280" t="n"/>
      <c r="F238" s="280" t="n"/>
      <c r="G238" s="280" t="n"/>
      <c r="H238" s="280" t="n"/>
      <c r="I238" s="332">
        <f>IFERROR(VLOOKUP(TEXT(H238,"0"),IPRESS!$A$3:$B$212,2,0),"")</f>
        <v/>
      </c>
      <c r="J238" s="280" t="n"/>
      <c r="K238" s="332">
        <f>IFERROR(VLOOKUP(TEXT(O238,"0"),CONDUCTORES!$A$3:$G$54,7,0),"")</f>
        <v/>
      </c>
      <c r="L238" s="280" t="n"/>
      <c r="M238" s="280" t="n"/>
      <c r="N238" s="333">
        <f>IFERROR(IF(L238*M238=0,"",L238*M238),"")</f>
        <v/>
      </c>
      <c r="O238" s="280" t="n"/>
      <c r="P238" s="332">
        <f>IFERROR(VLOOKUP(TEXT(O238,"0"),CONDUCTORES!$A$3:$G$54,2,0),"")</f>
        <v/>
      </c>
      <c r="Q238" s="332">
        <f>IFERROR(VLOOKUP(TEXT(O238,"0"),CONDUCTORES!$A$3:$H$54,6,0),"")</f>
        <v/>
      </c>
      <c r="R238" s="280" t="n"/>
      <c r="S238" s="280" t="n"/>
      <c r="T238" s="280" t="n"/>
      <c r="U238" s="280" t="n"/>
      <c r="V238" s="280" t="n"/>
      <c r="W238" s="280" t="n"/>
      <c r="X238" s="280" t="n"/>
      <c r="Y238" s="280" t="n"/>
      <c r="Z238" s="375">
        <f>IF(AND(G238&lt;&gt;"",R238&lt;&gt;"",V238&lt;&gt;"",W238&lt;&gt;""),"COMPLETADO","OBSERVADO")</f>
        <v/>
      </c>
    </row>
    <row r="239" ht="15" customHeight="1" s="195">
      <c r="A239" s="334" t="n"/>
      <c r="B239" s="334" t="n"/>
      <c r="C239" s="334" t="n"/>
      <c r="D239" s="334" t="n"/>
      <c r="E239" s="334" t="n"/>
      <c r="F239" s="334" t="n"/>
      <c r="G239" s="334" t="n"/>
      <c r="H239" s="334" t="n"/>
      <c r="I239" s="332">
        <f>IFERROR(VLOOKUP(TEXT(H239,"0"),IPRESS!$A$3:$B$212,2,0),"")</f>
        <v/>
      </c>
      <c r="J239" s="334" t="n"/>
      <c r="K239" s="332">
        <f>IFERROR(VLOOKUP(TEXT(O239,"0"),CONDUCTORES!$A$3:$G$54,7,0),"")</f>
        <v/>
      </c>
      <c r="L239" s="334" t="n"/>
      <c r="M239" s="334" t="n"/>
      <c r="N239" s="333">
        <f>IFERROR(IF(L239*M239=0,"",L239*M239),"")</f>
        <v/>
      </c>
      <c r="O239" s="334" t="n"/>
      <c r="P239" s="332">
        <f>IFERROR(VLOOKUP(TEXT(O239,"0"),CONDUCTORES!$A$3:$G$54,2,0),"")</f>
        <v/>
      </c>
      <c r="Q239" s="332">
        <f>IFERROR(VLOOKUP(TEXT(O239,"0"),CONDUCTORES!$A$3:$H$54,6,0),"")</f>
        <v/>
      </c>
      <c r="R239" s="334" t="n"/>
      <c r="S239" s="334" t="n"/>
      <c r="T239" s="334" t="n"/>
      <c r="U239" s="334" t="n"/>
      <c r="V239" s="334" t="n"/>
      <c r="W239" s="334" t="n"/>
      <c r="X239" s="334" t="n"/>
      <c r="Y239" s="334" t="n"/>
      <c r="Z239" s="375">
        <f>IF(AND(G239&lt;&gt;"",R239&lt;&gt;"",V239&lt;&gt;"",W239&lt;&gt;""),"COMPLETADO","OBSERVADO")</f>
        <v/>
      </c>
    </row>
    <row r="240" ht="15" customHeight="1" s="195">
      <c r="A240" s="280" t="n"/>
      <c r="B240" s="280" t="n"/>
      <c r="C240" s="280" t="n"/>
      <c r="D240" s="280" t="n"/>
      <c r="E240" s="280" t="n"/>
      <c r="F240" s="280" t="n"/>
      <c r="G240" s="280" t="n"/>
      <c r="H240" s="280" t="n"/>
      <c r="I240" s="332">
        <f>IFERROR(VLOOKUP(TEXT(H240,"0"),IPRESS!$A$3:$B$212,2,0),"")</f>
        <v/>
      </c>
      <c r="J240" s="280" t="n"/>
      <c r="K240" s="332">
        <f>IFERROR(VLOOKUP(TEXT(O240,"0"),CONDUCTORES!$A$3:$G$54,7,0),"")</f>
        <v/>
      </c>
      <c r="L240" s="280" t="n"/>
      <c r="M240" s="280" t="n"/>
      <c r="N240" s="333">
        <f>IFERROR(IF(L240*M240=0,"",L240*M240),"")</f>
        <v/>
      </c>
      <c r="O240" s="280" t="n"/>
      <c r="P240" s="332">
        <f>IFERROR(VLOOKUP(TEXT(O240,"0"),CONDUCTORES!$A$3:$G$54,2,0),"")</f>
        <v/>
      </c>
      <c r="Q240" s="332">
        <f>IFERROR(VLOOKUP(TEXT(O240,"0"),CONDUCTORES!$A$3:$H$54,6,0),"")</f>
        <v/>
      </c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375">
        <f>IF(AND(G240&lt;&gt;"",R240&lt;&gt;"",V240&lt;&gt;"",W240&lt;&gt;""),"COMPLETADO","OBSERVADO")</f>
        <v/>
      </c>
    </row>
    <row r="241" ht="15" customHeight="1" s="195">
      <c r="A241" s="334" t="n"/>
      <c r="B241" s="334" t="n"/>
      <c r="C241" s="334" t="n"/>
      <c r="D241" s="334" t="n"/>
      <c r="E241" s="334" t="n"/>
      <c r="F241" s="334" t="n"/>
      <c r="G241" s="334" t="n"/>
      <c r="H241" s="334" t="n"/>
      <c r="I241" s="332">
        <f>IFERROR(VLOOKUP(TEXT(H241,"0"),IPRESS!$A$3:$B$212,2,0),"")</f>
        <v/>
      </c>
      <c r="J241" s="334" t="n"/>
      <c r="K241" s="332">
        <f>IFERROR(VLOOKUP(TEXT(O241,"0"),CONDUCTORES!$A$3:$G$54,7,0),"")</f>
        <v/>
      </c>
      <c r="L241" s="334" t="n"/>
      <c r="M241" s="334" t="n"/>
      <c r="N241" s="333">
        <f>IFERROR(IF(L241*M241=0,"",L241*M241),"")</f>
        <v/>
      </c>
      <c r="O241" s="334" t="n"/>
      <c r="P241" s="332">
        <f>IFERROR(VLOOKUP(TEXT(O241,"0"),CONDUCTORES!$A$3:$G$54,2,0),"")</f>
        <v/>
      </c>
      <c r="Q241" s="332">
        <f>IFERROR(VLOOKUP(TEXT(O241,"0"),CONDUCTORES!$A$3:$H$54,6,0),"")</f>
        <v/>
      </c>
      <c r="R241" s="334" t="n"/>
      <c r="S241" s="334" t="n"/>
      <c r="T241" s="334" t="n"/>
      <c r="U241" s="334" t="n"/>
      <c r="V241" s="334" t="n"/>
      <c r="W241" s="334" t="n"/>
      <c r="X241" s="334" t="n"/>
      <c r="Y241" s="334" t="n"/>
      <c r="Z241" s="375">
        <f>IF(AND(G241&lt;&gt;"",R241&lt;&gt;"",V241&lt;&gt;"",W241&lt;&gt;""),"COMPLETADO","OBSERVADO")</f>
        <v/>
      </c>
    </row>
    <row r="242" ht="15" customHeight="1" s="195">
      <c r="A242" s="280" t="n"/>
      <c r="B242" s="280" t="n"/>
      <c r="C242" s="280" t="n"/>
      <c r="D242" s="280" t="n"/>
      <c r="E242" s="280" t="n"/>
      <c r="F242" s="280" t="n"/>
      <c r="G242" s="280" t="n"/>
      <c r="H242" s="280" t="n"/>
      <c r="I242" s="332">
        <f>IFERROR(VLOOKUP(TEXT(H242,"0"),IPRESS!$A$3:$B$212,2,0),"")</f>
        <v/>
      </c>
      <c r="J242" s="280" t="n"/>
      <c r="K242" s="332">
        <f>IFERROR(VLOOKUP(TEXT(O242,"0"),CONDUCTORES!$A$3:$G$54,7,0),"")</f>
        <v/>
      </c>
      <c r="L242" s="280" t="n"/>
      <c r="M242" s="280" t="n"/>
      <c r="N242" s="333">
        <f>IFERROR(IF(L242*M242=0,"",L242*M242),"")</f>
        <v/>
      </c>
      <c r="O242" s="280" t="n"/>
      <c r="P242" s="332">
        <f>IFERROR(VLOOKUP(TEXT(O242,"0"),CONDUCTORES!$A$3:$G$54,2,0),"")</f>
        <v/>
      </c>
      <c r="Q242" s="332">
        <f>IFERROR(VLOOKUP(TEXT(O242,"0"),CONDUCTORES!$A$3:$H$54,6,0),"")</f>
        <v/>
      </c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375">
        <f>IF(AND(G242&lt;&gt;"",R242&lt;&gt;"",V242&lt;&gt;"",W242&lt;&gt;""),"COMPLETADO","OBSERVADO")</f>
        <v/>
      </c>
    </row>
    <row r="243" ht="15" customHeight="1" s="195">
      <c r="A243" s="334" t="n"/>
      <c r="B243" s="334" t="n"/>
      <c r="C243" s="334" t="n"/>
      <c r="D243" s="334" t="n"/>
      <c r="E243" s="334" t="n"/>
      <c r="F243" s="334" t="n"/>
      <c r="G243" s="334" t="n"/>
      <c r="H243" s="334" t="n"/>
      <c r="I243" s="332">
        <f>IFERROR(VLOOKUP(TEXT(H243,"0"),IPRESS!$A$3:$B$212,2,0),"")</f>
        <v/>
      </c>
      <c r="J243" s="334" t="n"/>
      <c r="K243" s="332">
        <f>IFERROR(VLOOKUP(TEXT(O243,"0"),CONDUCTORES!$A$3:$G$54,7,0),"")</f>
        <v/>
      </c>
      <c r="L243" s="334" t="n"/>
      <c r="M243" s="334" t="n"/>
      <c r="N243" s="333">
        <f>IFERROR(IF(L243*M243=0,"",L243*M243),"")</f>
        <v/>
      </c>
      <c r="O243" s="334" t="n"/>
      <c r="P243" s="332">
        <f>IFERROR(VLOOKUP(TEXT(O243,"0"),CONDUCTORES!$A$3:$G$54,2,0),"")</f>
        <v/>
      </c>
      <c r="Q243" s="332">
        <f>IFERROR(VLOOKUP(TEXT(O243,"0"),CONDUCTORES!$A$3:$H$54,6,0),"")</f>
        <v/>
      </c>
      <c r="R243" s="334" t="n"/>
      <c r="S243" s="334" t="n"/>
      <c r="T243" s="334" t="n"/>
      <c r="U243" s="334" t="n"/>
      <c r="V243" s="334" t="n"/>
      <c r="W243" s="334" t="n"/>
      <c r="X243" s="334" t="n"/>
      <c r="Y243" s="334" t="n"/>
      <c r="Z243" s="375">
        <f>IF(AND(G243&lt;&gt;"",R243&lt;&gt;"",V243&lt;&gt;"",W243&lt;&gt;""),"COMPLETADO","OBSERVADO")</f>
        <v/>
      </c>
    </row>
    <row r="244" ht="15" customHeight="1" s="195">
      <c r="A244" s="280" t="n"/>
      <c r="B244" s="280" t="n"/>
      <c r="C244" s="280" t="n"/>
      <c r="D244" s="280" t="n"/>
      <c r="E244" s="280" t="n"/>
      <c r="F244" s="280" t="n"/>
      <c r="G244" s="280" t="n"/>
      <c r="H244" s="280" t="n"/>
      <c r="I244" s="332">
        <f>IFERROR(VLOOKUP(TEXT(H244,"0"),IPRESS!$A$3:$B$212,2,0),"")</f>
        <v/>
      </c>
      <c r="J244" s="280" t="n"/>
      <c r="K244" s="332">
        <f>IFERROR(VLOOKUP(TEXT(O244,"0"),CONDUCTORES!$A$3:$G$54,7,0),"")</f>
        <v/>
      </c>
      <c r="L244" s="280" t="n"/>
      <c r="M244" s="280" t="n"/>
      <c r="N244" s="333">
        <f>IFERROR(IF(L244*M244=0,"",L244*M244),"")</f>
        <v/>
      </c>
      <c r="O244" s="280" t="n"/>
      <c r="P244" s="332">
        <f>IFERROR(VLOOKUP(TEXT(O244,"0"),CONDUCTORES!$A$3:$G$54,2,0),"")</f>
        <v/>
      </c>
      <c r="Q244" s="332">
        <f>IFERROR(VLOOKUP(TEXT(O244,"0"),CONDUCTORES!$A$3:$H$54,6,0),"")</f>
        <v/>
      </c>
      <c r="R244" s="280" t="n"/>
      <c r="S244" s="280" t="n"/>
      <c r="T244" s="280" t="n"/>
      <c r="U244" s="280" t="n"/>
      <c r="V244" s="280" t="n"/>
      <c r="W244" s="280" t="n"/>
      <c r="X244" s="280" t="n"/>
      <c r="Y244" s="280" t="n"/>
      <c r="Z244" s="375">
        <f>IF(AND(G244&lt;&gt;"",R244&lt;&gt;"",V244&lt;&gt;"",W244&lt;&gt;""),"COMPLETADO","OBSERVADO")</f>
        <v/>
      </c>
    </row>
    <row r="245" ht="15" customHeight="1" s="195">
      <c r="A245" s="334" t="n"/>
      <c r="B245" s="334" t="n"/>
      <c r="C245" s="334" t="n"/>
      <c r="D245" s="334" t="n"/>
      <c r="E245" s="334" t="n"/>
      <c r="F245" s="334" t="n"/>
      <c r="G245" s="334" t="n"/>
      <c r="H245" s="334" t="n"/>
      <c r="I245" s="332">
        <f>IFERROR(VLOOKUP(TEXT(H245,"0"),IPRESS!$A$3:$B$212,2,0),"")</f>
        <v/>
      </c>
      <c r="J245" s="334" t="n"/>
      <c r="K245" s="332">
        <f>IFERROR(VLOOKUP(TEXT(O245,"0"),CONDUCTORES!$A$3:$G$54,7,0),"")</f>
        <v/>
      </c>
      <c r="L245" s="334" t="n"/>
      <c r="M245" s="334" t="n"/>
      <c r="N245" s="333">
        <f>IFERROR(IF(L245*M245=0,"",L245*M245),"")</f>
        <v/>
      </c>
      <c r="O245" s="334" t="n"/>
      <c r="P245" s="332">
        <f>IFERROR(VLOOKUP(TEXT(O245,"0"),CONDUCTORES!$A$3:$G$54,2,0),"")</f>
        <v/>
      </c>
      <c r="Q245" s="332">
        <f>IFERROR(VLOOKUP(TEXT(O245,"0"),CONDUCTORES!$A$3:$H$54,6,0),"")</f>
        <v/>
      </c>
      <c r="R245" s="334" t="n"/>
      <c r="S245" s="334" t="n"/>
      <c r="T245" s="334" t="n"/>
      <c r="U245" s="334" t="n"/>
      <c r="V245" s="334" t="n"/>
      <c r="W245" s="334" t="n"/>
      <c r="X245" s="334" t="n"/>
      <c r="Y245" s="334" t="n"/>
      <c r="Z245" s="375">
        <f>IF(AND(G245&lt;&gt;"",R245&lt;&gt;"",V245&lt;&gt;"",W245&lt;&gt;""),"COMPLETADO","OBSERVADO")</f>
        <v/>
      </c>
    </row>
    <row r="246" ht="15" customHeight="1" s="195">
      <c r="A246" s="280" t="n"/>
      <c r="B246" s="280" t="n"/>
      <c r="C246" s="280" t="n"/>
      <c r="D246" s="280" t="n"/>
      <c r="E246" s="280" t="n"/>
      <c r="F246" s="280" t="n"/>
      <c r="G246" s="280" t="n"/>
      <c r="H246" s="280" t="n"/>
      <c r="I246" s="332">
        <f>IFERROR(VLOOKUP(TEXT(H246,"0"),IPRESS!$A$3:$B$212,2,0),"")</f>
        <v/>
      </c>
      <c r="J246" s="280" t="n"/>
      <c r="K246" s="332">
        <f>IFERROR(VLOOKUP(TEXT(O246,"0"),CONDUCTORES!$A$3:$G$54,7,0),"")</f>
        <v/>
      </c>
      <c r="L246" s="280" t="n"/>
      <c r="M246" s="280" t="n"/>
      <c r="N246" s="333">
        <f>IFERROR(IF(L246*M246=0,"",L246*M246),"")</f>
        <v/>
      </c>
      <c r="O246" s="280" t="n"/>
      <c r="P246" s="332">
        <f>IFERROR(VLOOKUP(TEXT(O246,"0"),CONDUCTORES!$A$3:$G$54,2,0),"")</f>
        <v/>
      </c>
      <c r="Q246" s="332">
        <f>IFERROR(VLOOKUP(TEXT(O246,"0"),CONDUCTORES!$A$3:$H$54,6,0),"")</f>
        <v/>
      </c>
      <c r="R246" s="280" t="n"/>
      <c r="S246" s="280" t="n"/>
      <c r="T246" s="280" t="n"/>
      <c r="U246" s="280" t="n"/>
      <c r="V246" s="280" t="n"/>
      <c r="W246" s="280" t="n"/>
      <c r="X246" s="280" t="n"/>
      <c r="Y246" s="280" t="n"/>
      <c r="Z246" s="375">
        <f>IF(AND(G246&lt;&gt;"",R246&lt;&gt;"",V246&lt;&gt;"",W246&lt;&gt;""),"COMPLETADO","OBSERVADO")</f>
        <v/>
      </c>
    </row>
    <row r="247" ht="15" customHeight="1" s="195">
      <c r="A247" s="334" t="n"/>
      <c r="B247" s="334" t="n"/>
      <c r="C247" s="334" t="n"/>
      <c r="D247" s="334" t="n"/>
      <c r="E247" s="334" t="n"/>
      <c r="F247" s="334" t="n"/>
      <c r="G247" s="334" t="n"/>
      <c r="H247" s="334" t="n"/>
      <c r="I247" s="332">
        <f>IFERROR(VLOOKUP(TEXT(H247,"0"),IPRESS!$A$3:$B$212,2,0),"")</f>
        <v/>
      </c>
      <c r="J247" s="334" t="n"/>
      <c r="K247" s="332">
        <f>IFERROR(VLOOKUP(TEXT(O247,"0"),CONDUCTORES!$A$3:$G$54,7,0),"")</f>
        <v/>
      </c>
      <c r="L247" s="334" t="n"/>
      <c r="M247" s="334" t="n"/>
      <c r="N247" s="333">
        <f>IFERROR(IF(L247*M247=0,"",L247*M247),"")</f>
        <v/>
      </c>
      <c r="O247" s="334" t="n"/>
      <c r="P247" s="332">
        <f>IFERROR(VLOOKUP(TEXT(O247,"0"),CONDUCTORES!$A$3:$G$54,2,0),"")</f>
        <v/>
      </c>
      <c r="Q247" s="332">
        <f>IFERROR(VLOOKUP(TEXT(O247,"0"),CONDUCTORES!$A$3:$H$54,6,0),"")</f>
        <v/>
      </c>
      <c r="R247" s="334" t="n"/>
      <c r="S247" s="334" t="n"/>
      <c r="T247" s="334" t="n"/>
      <c r="U247" s="334" t="n"/>
      <c r="V247" s="334" t="n"/>
      <c r="W247" s="334" t="n"/>
      <c r="X247" s="334" t="n"/>
      <c r="Y247" s="334" t="n"/>
      <c r="Z247" s="375">
        <f>IF(AND(G247&lt;&gt;"",R247&lt;&gt;"",V247&lt;&gt;"",W247&lt;&gt;""),"COMPLETADO","OBSERVADO")</f>
        <v/>
      </c>
    </row>
    <row r="248" ht="15" customHeight="1" s="195">
      <c r="A248" s="280" t="n"/>
      <c r="B248" s="280" t="n"/>
      <c r="C248" s="280" t="n"/>
      <c r="D248" s="280" t="n"/>
      <c r="E248" s="280" t="n"/>
      <c r="F248" s="280" t="n"/>
      <c r="G248" s="280" t="n"/>
      <c r="H248" s="280" t="n"/>
      <c r="I248" s="332">
        <f>IFERROR(VLOOKUP(TEXT(H248,"0"),IPRESS!$A$3:$B$212,2,0),"")</f>
        <v/>
      </c>
      <c r="J248" s="280" t="n"/>
      <c r="K248" s="332">
        <f>IFERROR(VLOOKUP(TEXT(O248,"0"),CONDUCTORES!$A$3:$G$54,7,0),"")</f>
        <v/>
      </c>
      <c r="L248" s="280" t="n"/>
      <c r="M248" s="280" t="n"/>
      <c r="N248" s="333">
        <f>IFERROR(IF(L248*M248=0,"",L248*M248),"")</f>
        <v/>
      </c>
      <c r="O248" s="280" t="n"/>
      <c r="P248" s="332">
        <f>IFERROR(VLOOKUP(TEXT(O248,"0"),CONDUCTORES!$A$3:$G$54,2,0),"")</f>
        <v/>
      </c>
      <c r="Q248" s="332">
        <f>IFERROR(VLOOKUP(TEXT(O248,"0"),CONDUCTORES!$A$3:$H$54,6,0),"")</f>
        <v/>
      </c>
      <c r="R248" s="280" t="n"/>
      <c r="S248" s="280" t="n"/>
      <c r="T248" s="280" t="n"/>
      <c r="U248" s="280" t="n"/>
      <c r="V248" s="280" t="n"/>
      <c r="W248" s="280" t="n"/>
      <c r="X248" s="280" t="n"/>
      <c r="Y248" s="280" t="n"/>
      <c r="Z248" s="375">
        <f>IF(AND(G248&lt;&gt;"",R248&lt;&gt;"",V248&lt;&gt;"",W248&lt;&gt;""),"COMPLETADO","OBSERVADO")</f>
        <v/>
      </c>
    </row>
    <row r="249" ht="15" customHeight="1" s="195">
      <c r="A249" s="334" t="n"/>
      <c r="B249" s="334" t="n"/>
      <c r="C249" s="334" t="n"/>
      <c r="D249" s="334" t="n"/>
      <c r="E249" s="334" t="n"/>
      <c r="F249" s="334" t="n"/>
      <c r="G249" s="334" t="n"/>
      <c r="H249" s="334" t="n"/>
      <c r="I249" s="332">
        <f>IFERROR(VLOOKUP(TEXT(H249,"0"),IPRESS!$A$3:$B$212,2,0),"")</f>
        <v/>
      </c>
      <c r="J249" s="334" t="n"/>
      <c r="K249" s="332">
        <f>IFERROR(VLOOKUP(TEXT(O249,"0"),CONDUCTORES!$A$3:$G$54,7,0),"")</f>
        <v/>
      </c>
      <c r="L249" s="334" t="n"/>
      <c r="M249" s="334" t="n"/>
      <c r="N249" s="333">
        <f>IFERROR(IF(L249*M249=0,"",L249*M249),"")</f>
        <v/>
      </c>
      <c r="O249" s="334" t="n"/>
      <c r="P249" s="332">
        <f>IFERROR(VLOOKUP(TEXT(O249,"0"),CONDUCTORES!$A$3:$G$54,2,0),"")</f>
        <v/>
      </c>
      <c r="Q249" s="332">
        <f>IFERROR(VLOOKUP(TEXT(O249,"0"),CONDUCTORES!$A$3:$H$54,6,0),"")</f>
        <v/>
      </c>
      <c r="R249" s="334" t="n"/>
      <c r="S249" s="334" t="n"/>
      <c r="T249" s="334" t="n"/>
      <c r="U249" s="334" t="n"/>
      <c r="V249" s="334" t="n"/>
      <c r="W249" s="334" t="n"/>
      <c r="X249" s="334" t="n"/>
      <c r="Y249" s="334" t="n"/>
      <c r="Z249" s="375">
        <f>IF(AND(G249&lt;&gt;"",R249&lt;&gt;"",V249&lt;&gt;"",W249&lt;&gt;""),"COMPLETADO","OBSERVADO")</f>
        <v/>
      </c>
    </row>
    <row r="250" ht="15" customHeight="1" s="195">
      <c r="A250" s="280" t="n"/>
      <c r="B250" s="280" t="n"/>
      <c r="C250" s="280" t="n"/>
      <c r="D250" s="280" t="n"/>
      <c r="E250" s="280" t="n"/>
      <c r="F250" s="280" t="n"/>
      <c r="G250" s="280" t="n"/>
      <c r="H250" s="280" t="n"/>
      <c r="I250" s="332">
        <f>IFERROR(VLOOKUP(TEXT(H250,"0"),IPRESS!$A$3:$B$212,2,0),"")</f>
        <v/>
      </c>
      <c r="J250" s="280" t="n"/>
      <c r="K250" s="332">
        <f>IFERROR(VLOOKUP(TEXT(O250,"0"),CONDUCTORES!$A$3:$G$54,7,0),"")</f>
        <v/>
      </c>
      <c r="L250" s="280" t="n"/>
      <c r="M250" s="280" t="n"/>
      <c r="N250" s="333">
        <f>IFERROR(IF(L250*M250=0,"",L250*M250),"")</f>
        <v/>
      </c>
      <c r="O250" s="280" t="n"/>
      <c r="P250" s="332">
        <f>IFERROR(VLOOKUP(TEXT(O250,"0"),CONDUCTORES!$A$3:$G$54,2,0),"")</f>
        <v/>
      </c>
      <c r="Q250" s="332">
        <f>IFERROR(VLOOKUP(TEXT(O250,"0"),CONDUCTORES!$A$3:$H$54,6,0),"")</f>
        <v/>
      </c>
      <c r="R250" s="280" t="n"/>
      <c r="S250" s="280" t="n"/>
      <c r="T250" s="280" t="n"/>
      <c r="U250" s="280" t="n"/>
      <c r="V250" s="280" t="n"/>
      <c r="W250" s="280" t="n"/>
      <c r="X250" s="280" t="n"/>
      <c r="Y250" s="280" t="n"/>
      <c r="Z250" s="375">
        <f>IF(AND(G250&lt;&gt;"",R250&lt;&gt;"",V250&lt;&gt;"",W250&lt;&gt;""),"COMPLETADO","OBSERVADO")</f>
        <v/>
      </c>
    </row>
    <row r="251" ht="15" customHeight="1" s="195">
      <c r="A251" s="334" t="n"/>
      <c r="B251" s="334" t="n"/>
      <c r="C251" s="334" t="n"/>
      <c r="D251" s="334" t="n"/>
      <c r="E251" s="334" t="n"/>
      <c r="F251" s="334" t="n"/>
      <c r="G251" s="334" t="n"/>
      <c r="H251" s="334" t="n"/>
      <c r="I251" s="332">
        <f>IFERROR(VLOOKUP(TEXT(H251,"0"),IPRESS!$A$3:$B$212,2,0),"")</f>
        <v/>
      </c>
      <c r="J251" s="334" t="n"/>
      <c r="K251" s="332">
        <f>IFERROR(VLOOKUP(TEXT(O251,"0"),CONDUCTORES!$A$3:$G$54,7,0),"")</f>
        <v/>
      </c>
      <c r="L251" s="334" t="n"/>
      <c r="M251" s="334" t="n"/>
      <c r="N251" s="333">
        <f>IFERROR(IF(L251*M251=0,"",L251*M251),"")</f>
        <v/>
      </c>
      <c r="O251" s="334" t="n"/>
      <c r="P251" s="332">
        <f>IFERROR(VLOOKUP(TEXT(O251,"0"),CONDUCTORES!$A$3:$G$54,2,0),"")</f>
        <v/>
      </c>
      <c r="Q251" s="332">
        <f>IFERROR(VLOOKUP(TEXT(O251,"0"),CONDUCTORES!$A$3:$H$54,6,0),"")</f>
        <v/>
      </c>
      <c r="R251" s="334" t="n"/>
      <c r="S251" s="334" t="n"/>
      <c r="T251" s="334" t="n"/>
      <c r="U251" s="334" t="n"/>
      <c r="V251" s="334" t="n"/>
      <c r="W251" s="334" t="n"/>
      <c r="X251" s="334" t="n"/>
      <c r="Y251" s="334" t="n"/>
      <c r="Z251" s="375">
        <f>IF(AND(G251&lt;&gt;"",R251&lt;&gt;"",V251&lt;&gt;"",W251&lt;&gt;""),"COMPLETADO","OBSERVADO")</f>
        <v/>
      </c>
    </row>
    <row r="252" ht="15" customHeight="1" s="195">
      <c r="A252" s="280" t="n"/>
      <c r="B252" s="280" t="n"/>
      <c r="C252" s="280" t="n"/>
      <c r="D252" s="280" t="n"/>
      <c r="E252" s="280" t="n"/>
      <c r="F252" s="280" t="n"/>
      <c r="G252" s="280" t="n"/>
      <c r="H252" s="280" t="n"/>
      <c r="I252" s="332">
        <f>IFERROR(VLOOKUP(TEXT(H252,"0"),IPRESS!$A$3:$B$212,2,0),"")</f>
        <v/>
      </c>
      <c r="J252" s="280" t="n"/>
      <c r="K252" s="332">
        <f>IFERROR(VLOOKUP(TEXT(O252,"0"),CONDUCTORES!$A$3:$G$54,7,0),"")</f>
        <v/>
      </c>
      <c r="L252" s="280" t="n"/>
      <c r="M252" s="280" t="n"/>
      <c r="N252" s="333">
        <f>IFERROR(IF(L252*M252=0,"",L252*M252),"")</f>
        <v/>
      </c>
      <c r="O252" s="280" t="n"/>
      <c r="P252" s="332">
        <f>IFERROR(VLOOKUP(TEXT(O252,"0"),CONDUCTORES!$A$3:$G$54,2,0),"")</f>
        <v/>
      </c>
      <c r="Q252" s="332">
        <f>IFERROR(VLOOKUP(TEXT(O252,"0"),CONDUCTORES!$A$3:$H$54,6,0),"")</f>
        <v/>
      </c>
      <c r="R252" s="280" t="n"/>
      <c r="S252" s="280" t="n"/>
      <c r="T252" s="280" t="n"/>
      <c r="U252" s="280" t="n"/>
      <c r="V252" s="280" t="n"/>
      <c r="W252" s="280" t="n"/>
      <c r="X252" s="280" t="n"/>
      <c r="Y252" s="280" t="n"/>
      <c r="Z252" s="375">
        <f>IF(AND(G252&lt;&gt;"",R252&lt;&gt;"",V252&lt;&gt;"",W252&lt;&gt;""),"COMPLETADO","OBSERVADO")</f>
        <v/>
      </c>
    </row>
    <row r="253" ht="15" customHeight="1" s="195">
      <c r="A253" s="334" t="n"/>
      <c r="B253" s="334" t="n"/>
      <c r="C253" s="334" t="n"/>
      <c r="D253" s="334" t="n"/>
      <c r="E253" s="334" t="n"/>
      <c r="F253" s="334" t="n"/>
      <c r="G253" s="334" t="n"/>
      <c r="H253" s="334" t="n"/>
      <c r="I253" s="332">
        <f>IFERROR(VLOOKUP(TEXT(H253,"0"),IPRESS!$A$3:$B$212,2,0),"")</f>
        <v/>
      </c>
      <c r="J253" s="334" t="n"/>
      <c r="K253" s="332">
        <f>IFERROR(VLOOKUP(TEXT(O253,"0"),CONDUCTORES!$A$3:$G$54,7,0),"")</f>
        <v/>
      </c>
      <c r="L253" s="334" t="n"/>
      <c r="M253" s="334" t="n"/>
      <c r="N253" s="333">
        <f>IFERROR(IF(L253*M253=0,"",L253*M253),"")</f>
        <v/>
      </c>
      <c r="O253" s="334" t="n"/>
      <c r="P253" s="332">
        <f>IFERROR(VLOOKUP(TEXT(O253,"0"),CONDUCTORES!$A$3:$G$54,2,0),"")</f>
        <v/>
      </c>
      <c r="Q253" s="332">
        <f>IFERROR(VLOOKUP(TEXT(O253,"0"),CONDUCTORES!$A$3:$H$54,6,0),"")</f>
        <v/>
      </c>
      <c r="R253" s="334" t="n"/>
      <c r="S253" s="334" t="n"/>
      <c r="T253" s="334" t="n"/>
      <c r="U253" s="334" t="n"/>
      <c r="V253" s="334" t="n"/>
      <c r="W253" s="334" t="n"/>
      <c r="X253" s="334" t="n"/>
      <c r="Y253" s="334" t="n"/>
      <c r="Z253" s="375">
        <f>IF(AND(G253&lt;&gt;"",R253&lt;&gt;"",V253&lt;&gt;"",W253&lt;&gt;""),"COMPLETADO","OBSERVADO")</f>
        <v/>
      </c>
    </row>
    <row r="254" ht="15" customHeight="1" s="195">
      <c r="A254" s="280" t="n"/>
      <c r="B254" s="280" t="n"/>
      <c r="C254" s="280" t="n"/>
      <c r="D254" s="280" t="n"/>
      <c r="E254" s="280" t="n"/>
      <c r="F254" s="280" t="n"/>
      <c r="G254" s="280" t="n"/>
      <c r="H254" s="280" t="n"/>
      <c r="I254" s="332">
        <f>IFERROR(VLOOKUP(TEXT(H254,"0"),IPRESS!$A$3:$B$212,2,0),"")</f>
        <v/>
      </c>
      <c r="J254" s="280" t="n"/>
      <c r="K254" s="332">
        <f>IFERROR(VLOOKUP(TEXT(O254,"0"),CONDUCTORES!$A$3:$G$54,7,0),"")</f>
        <v/>
      </c>
      <c r="L254" s="280" t="n"/>
      <c r="M254" s="280" t="n"/>
      <c r="N254" s="333">
        <f>IFERROR(IF(L254*M254=0,"",L254*M254),"")</f>
        <v/>
      </c>
      <c r="O254" s="280" t="n"/>
      <c r="P254" s="332">
        <f>IFERROR(VLOOKUP(TEXT(O254,"0"),CONDUCTORES!$A$3:$G$54,2,0),"")</f>
        <v/>
      </c>
      <c r="Q254" s="332">
        <f>IFERROR(VLOOKUP(TEXT(O254,"0"),CONDUCTORES!$A$3:$H$54,6,0),"")</f>
        <v/>
      </c>
      <c r="R254" s="280" t="n"/>
      <c r="S254" s="280" t="n"/>
      <c r="T254" s="280" t="n"/>
      <c r="U254" s="280" t="n"/>
      <c r="V254" s="280" t="n"/>
      <c r="W254" s="280" t="n"/>
      <c r="X254" s="280" t="n"/>
      <c r="Y254" s="280" t="n"/>
      <c r="Z254" s="375">
        <f>IF(AND(G254&lt;&gt;"",R254&lt;&gt;"",V254&lt;&gt;"",W254&lt;&gt;""),"COMPLETADO","OBSERVADO")</f>
        <v/>
      </c>
    </row>
    <row r="255" ht="15" customHeight="1" s="195">
      <c r="A255" s="334" t="n"/>
      <c r="B255" s="334" t="n"/>
      <c r="C255" s="334" t="n"/>
      <c r="D255" s="334" t="n"/>
      <c r="E255" s="334" t="n"/>
      <c r="F255" s="334" t="n"/>
      <c r="G255" s="334" t="n"/>
      <c r="H255" s="334" t="n"/>
      <c r="I255" s="332">
        <f>IFERROR(VLOOKUP(TEXT(H255,"0"),IPRESS!$A$3:$B$212,2,0),"")</f>
        <v/>
      </c>
      <c r="J255" s="334" t="n"/>
      <c r="K255" s="332">
        <f>IFERROR(VLOOKUP(TEXT(O255,"0"),CONDUCTORES!$A$3:$G$54,7,0),"")</f>
        <v/>
      </c>
      <c r="L255" s="334" t="n"/>
      <c r="M255" s="334" t="n"/>
      <c r="N255" s="333">
        <f>IFERROR(IF(L255*M255=0,"",L255*M255),"")</f>
        <v/>
      </c>
      <c r="O255" s="334" t="n"/>
      <c r="P255" s="332">
        <f>IFERROR(VLOOKUP(TEXT(O255,"0"),CONDUCTORES!$A$3:$G$54,2,0),"")</f>
        <v/>
      </c>
      <c r="Q255" s="332">
        <f>IFERROR(VLOOKUP(TEXT(O255,"0"),CONDUCTORES!$A$3:$H$54,6,0),"")</f>
        <v/>
      </c>
      <c r="R255" s="334" t="n"/>
      <c r="S255" s="334" t="n"/>
      <c r="T255" s="334" t="n"/>
      <c r="U255" s="334" t="n"/>
      <c r="V255" s="334" t="n"/>
      <c r="W255" s="334" t="n"/>
      <c r="X255" s="334" t="n"/>
      <c r="Y255" s="334" t="n"/>
      <c r="Z255" s="375">
        <f>IF(AND(G255&lt;&gt;"",R255&lt;&gt;"",V255&lt;&gt;"",W255&lt;&gt;""),"COMPLETADO","OBSERVADO")</f>
        <v/>
      </c>
    </row>
    <row r="256" ht="15" customHeight="1" s="195">
      <c r="A256" s="280" t="n"/>
      <c r="B256" s="280" t="n"/>
      <c r="C256" s="280" t="n"/>
      <c r="D256" s="280" t="n"/>
      <c r="E256" s="280" t="n"/>
      <c r="F256" s="280" t="n"/>
      <c r="G256" s="280" t="n"/>
      <c r="H256" s="280" t="n"/>
      <c r="I256" s="332">
        <f>IFERROR(VLOOKUP(TEXT(H256,"0"),IPRESS!$A$3:$B$212,2,0),"")</f>
        <v/>
      </c>
      <c r="J256" s="280" t="n"/>
      <c r="K256" s="332">
        <f>IFERROR(VLOOKUP(TEXT(O256,"0"),CONDUCTORES!$A$3:$G$54,7,0),"")</f>
        <v/>
      </c>
      <c r="L256" s="280" t="n"/>
      <c r="M256" s="280" t="n"/>
      <c r="N256" s="333">
        <f>IFERROR(IF(L256*M256=0,"",L256*M256),"")</f>
        <v/>
      </c>
      <c r="O256" s="280" t="n"/>
      <c r="P256" s="332">
        <f>IFERROR(VLOOKUP(TEXT(O256,"0"),CONDUCTORES!$A$3:$G$54,2,0),"")</f>
        <v/>
      </c>
      <c r="Q256" s="332">
        <f>IFERROR(VLOOKUP(TEXT(O256,"0"),CONDUCTORES!$A$3:$H$54,6,0),"")</f>
        <v/>
      </c>
      <c r="R256" s="280" t="n"/>
      <c r="S256" s="280" t="n"/>
      <c r="T256" s="280" t="n"/>
      <c r="U256" s="280" t="n"/>
      <c r="V256" s="280" t="n"/>
      <c r="W256" s="280" t="n"/>
      <c r="X256" s="280" t="n"/>
      <c r="Y256" s="280" t="n"/>
      <c r="Z256" s="375">
        <f>IF(AND(G256&lt;&gt;"",R256&lt;&gt;"",V256&lt;&gt;"",W256&lt;&gt;""),"COMPLETADO","OBSERVADO")</f>
        <v/>
      </c>
    </row>
    <row r="257" ht="15" customHeight="1" s="195">
      <c r="A257" s="334" t="n"/>
      <c r="B257" s="334" t="n"/>
      <c r="C257" s="334" t="n"/>
      <c r="D257" s="334" t="n"/>
      <c r="E257" s="334" t="n"/>
      <c r="F257" s="334" t="n"/>
      <c r="G257" s="334" t="n"/>
      <c r="H257" s="334" t="n"/>
      <c r="I257" s="332">
        <f>IFERROR(VLOOKUP(TEXT(H257,"0"),IPRESS!$A$3:$B$212,2,0),"")</f>
        <v/>
      </c>
      <c r="J257" s="334" t="n"/>
      <c r="K257" s="332">
        <f>IFERROR(VLOOKUP(TEXT(O257,"0"),CONDUCTORES!$A$3:$G$54,7,0),"")</f>
        <v/>
      </c>
      <c r="L257" s="334" t="n"/>
      <c r="M257" s="334" t="n"/>
      <c r="N257" s="333">
        <f>IFERROR(IF(L257*M257=0,"",L257*M257),"")</f>
        <v/>
      </c>
      <c r="O257" s="334" t="n"/>
      <c r="P257" s="332">
        <f>IFERROR(VLOOKUP(TEXT(O257,"0"),CONDUCTORES!$A$3:$G$54,2,0),"")</f>
        <v/>
      </c>
      <c r="Q257" s="332">
        <f>IFERROR(VLOOKUP(TEXT(O257,"0"),CONDUCTORES!$A$3:$H$54,6,0),"")</f>
        <v/>
      </c>
      <c r="R257" s="334" t="n"/>
      <c r="S257" s="334" t="n"/>
      <c r="T257" s="334" t="n"/>
      <c r="U257" s="334" t="n"/>
      <c r="V257" s="334" t="n"/>
      <c r="W257" s="334" t="n"/>
      <c r="X257" s="334" t="n"/>
      <c r="Y257" s="334" t="n"/>
      <c r="Z257" s="375">
        <f>IF(AND(G257&lt;&gt;"",R257&lt;&gt;"",V257&lt;&gt;"",W257&lt;&gt;""),"COMPLETADO","OBSERVADO")</f>
        <v/>
      </c>
    </row>
    <row r="258" ht="15" customHeight="1" s="195">
      <c r="A258" s="280" t="n"/>
      <c r="B258" s="280" t="n"/>
      <c r="C258" s="280" t="n"/>
      <c r="D258" s="280" t="n"/>
      <c r="E258" s="280" t="n"/>
      <c r="F258" s="280" t="n"/>
      <c r="G258" s="280" t="n"/>
      <c r="H258" s="280" t="n"/>
      <c r="I258" s="332">
        <f>IFERROR(VLOOKUP(TEXT(H258,"0"),IPRESS!$A$3:$B$212,2,0),"")</f>
        <v/>
      </c>
      <c r="J258" s="280" t="n"/>
      <c r="K258" s="332">
        <f>IFERROR(VLOOKUP(TEXT(O258,"0"),CONDUCTORES!$A$3:$G$54,7,0),"")</f>
        <v/>
      </c>
      <c r="L258" s="280" t="n"/>
      <c r="M258" s="280" t="n"/>
      <c r="N258" s="333">
        <f>IFERROR(IF(L258*M258=0,"",L258*M258),"")</f>
        <v/>
      </c>
      <c r="O258" s="280" t="n"/>
      <c r="P258" s="332">
        <f>IFERROR(VLOOKUP(TEXT(O258,"0"),CONDUCTORES!$A$3:$G$54,2,0),"")</f>
        <v/>
      </c>
      <c r="Q258" s="332">
        <f>IFERROR(VLOOKUP(TEXT(O258,"0"),CONDUCTORES!$A$3:$H$54,6,0),"")</f>
        <v/>
      </c>
      <c r="R258" s="280" t="n"/>
      <c r="S258" s="280" t="n"/>
      <c r="T258" s="280" t="n"/>
      <c r="U258" s="280" t="n"/>
      <c r="V258" s="280" t="n"/>
      <c r="W258" s="280" t="n"/>
      <c r="X258" s="280" t="n"/>
      <c r="Y258" s="280" t="n"/>
      <c r="Z258" s="375">
        <f>IF(AND(G258&lt;&gt;"",R258&lt;&gt;"",V258&lt;&gt;"",W258&lt;&gt;""),"COMPLETADO","OBSERVADO")</f>
        <v/>
      </c>
    </row>
    <row r="259" ht="15" customHeight="1" s="195">
      <c r="A259" s="334" t="n"/>
      <c r="B259" s="334" t="n"/>
      <c r="C259" s="334" t="n"/>
      <c r="D259" s="334" t="n"/>
      <c r="E259" s="334" t="n"/>
      <c r="F259" s="334" t="n"/>
      <c r="G259" s="334" t="n"/>
      <c r="H259" s="334" t="n"/>
      <c r="I259" s="332">
        <f>IFERROR(VLOOKUP(TEXT(H259,"0"),IPRESS!$A$3:$B$212,2,0),"")</f>
        <v/>
      </c>
      <c r="J259" s="334" t="n"/>
      <c r="K259" s="332">
        <f>IFERROR(VLOOKUP(TEXT(O259,"0"),CONDUCTORES!$A$3:$G$54,7,0),"")</f>
        <v/>
      </c>
      <c r="L259" s="334" t="n"/>
      <c r="M259" s="334" t="n"/>
      <c r="N259" s="333">
        <f>IFERROR(IF(L259*M259=0,"",L259*M259),"")</f>
        <v/>
      </c>
      <c r="O259" s="334" t="n"/>
      <c r="P259" s="332">
        <f>IFERROR(VLOOKUP(TEXT(O259,"0"),CONDUCTORES!$A$3:$G$54,2,0),"")</f>
        <v/>
      </c>
      <c r="Q259" s="332">
        <f>IFERROR(VLOOKUP(TEXT(O259,"0"),CONDUCTORES!$A$3:$H$54,6,0),"")</f>
        <v/>
      </c>
      <c r="R259" s="334" t="n"/>
      <c r="S259" s="334" t="n"/>
      <c r="T259" s="334" t="n"/>
      <c r="U259" s="334" t="n"/>
      <c r="V259" s="334" t="n"/>
      <c r="W259" s="334" t="n"/>
      <c r="X259" s="334" t="n"/>
      <c r="Y259" s="334" t="n"/>
      <c r="Z259" s="375">
        <f>IF(AND(G259&lt;&gt;"",R259&lt;&gt;"",V259&lt;&gt;"",W259&lt;&gt;""),"COMPLETADO","OBSERVADO")</f>
        <v/>
      </c>
    </row>
    <row r="260" ht="15" customHeight="1" s="195">
      <c r="A260" s="280" t="n"/>
      <c r="B260" s="280" t="n"/>
      <c r="C260" s="280" t="n"/>
      <c r="D260" s="280" t="n"/>
      <c r="E260" s="280" t="n"/>
      <c r="F260" s="280" t="n"/>
      <c r="G260" s="280" t="n"/>
      <c r="H260" s="280" t="n"/>
      <c r="I260" s="332">
        <f>IFERROR(VLOOKUP(TEXT(H260,"0"),IPRESS!$A$3:$B$212,2,0),"")</f>
        <v/>
      </c>
      <c r="J260" s="280" t="n"/>
      <c r="K260" s="332">
        <f>IFERROR(VLOOKUP(TEXT(O260,"0"),CONDUCTORES!$A$3:$G$54,7,0),"")</f>
        <v/>
      </c>
      <c r="L260" s="280" t="n"/>
      <c r="M260" s="280" t="n"/>
      <c r="N260" s="333">
        <f>IFERROR(IF(L260*M260=0,"",L260*M260),"")</f>
        <v/>
      </c>
      <c r="O260" s="280" t="n"/>
      <c r="P260" s="332">
        <f>IFERROR(VLOOKUP(TEXT(O260,"0"),CONDUCTORES!$A$3:$G$54,2,0),"")</f>
        <v/>
      </c>
      <c r="Q260" s="332">
        <f>IFERROR(VLOOKUP(TEXT(O260,"0"),CONDUCTORES!$A$3:$H$54,6,0),"")</f>
        <v/>
      </c>
      <c r="R260" s="280" t="n"/>
      <c r="S260" s="280" t="n"/>
      <c r="T260" s="280" t="n"/>
      <c r="U260" s="280" t="n"/>
      <c r="V260" s="280" t="n"/>
      <c r="W260" s="280" t="n"/>
      <c r="X260" s="280" t="n"/>
      <c r="Y260" s="280" t="n"/>
      <c r="Z260" s="375">
        <f>IF(AND(G260&lt;&gt;"",R260&lt;&gt;"",V260&lt;&gt;"",W260&lt;&gt;""),"COMPLETADO","OBSERVADO")</f>
        <v/>
      </c>
    </row>
    <row r="261" ht="15" customHeight="1" s="195">
      <c r="A261" s="334" t="n"/>
      <c r="B261" s="334" t="n"/>
      <c r="C261" s="334" t="n"/>
      <c r="D261" s="334" t="n"/>
      <c r="E261" s="334" t="n"/>
      <c r="F261" s="334" t="n"/>
      <c r="G261" s="334" t="n"/>
      <c r="H261" s="334" t="n"/>
      <c r="I261" s="332">
        <f>IFERROR(VLOOKUP(TEXT(H261,"0"),IPRESS!$A$3:$B$212,2,0),"")</f>
        <v/>
      </c>
      <c r="J261" s="334" t="n"/>
      <c r="K261" s="332">
        <f>IFERROR(VLOOKUP(TEXT(O261,"0"),CONDUCTORES!$A$3:$G$54,7,0),"")</f>
        <v/>
      </c>
      <c r="L261" s="334" t="n"/>
      <c r="M261" s="334" t="n"/>
      <c r="N261" s="333">
        <f>IFERROR(IF(L261*M261=0,"",L261*M261),"")</f>
        <v/>
      </c>
      <c r="O261" s="334" t="n"/>
      <c r="P261" s="332">
        <f>IFERROR(VLOOKUP(TEXT(O261,"0"),CONDUCTORES!$A$3:$G$54,2,0),"")</f>
        <v/>
      </c>
      <c r="Q261" s="332">
        <f>IFERROR(VLOOKUP(TEXT(O261,"0"),CONDUCTORES!$A$3:$H$54,6,0),"")</f>
        <v/>
      </c>
      <c r="R261" s="334" t="n"/>
      <c r="S261" s="334" t="n"/>
      <c r="T261" s="334" t="n"/>
      <c r="U261" s="334" t="n"/>
      <c r="V261" s="334" t="n"/>
      <c r="W261" s="334" t="n"/>
      <c r="X261" s="334" t="n"/>
      <c r="Y261" s="334" t="n"/>
      <c r="Z261" s="375">
        <f>IF(AND(G261&lt;&gt;"",R261&lt;&gt;"",V261&lt;&gt;"",W261&lt;&gt;""),"COMPLETADO","OBSERVADO")</f>
        <v/>
      </c>
    </row>
    <row r="262" ht="15" customHeight="1" s="195">
      <c r="A262" s="280" t="n"/>
      <c r="B262" s="280" t="n"/>
      <c r="C262" s="280" t="n"/>
      <c r="D262" s="280" t="n"/>
      <c r="E262" s="280" t="n"/>
      <c r="F262" s="280" t="n"/>
      <c r="G262" s="280" t="n"/>
      <c r="H262" s="280" t="n"/>
      <c r="I262" s="332">
        <f>IFERROR(VLOOKUP(TEXT(H262,"0"),IPRESS!$A$3:$B$212,2,0),"")</f>
        <v/>
      </c>
      <c r="J262" s="280" t="n"/>
      <c r="K262" s="332">
        <f>IFERROR(VLOOKUP(TEXT(O262,"0"),CONDUCTORES!$A$3:$G$54,7,0),"")</f>
        <v/>
      </c>
      <c r="L262" s="280" t="n"/>
      <c r="M262" s="280" t="n"/>
      <c r="N262" s="333">
        <f>IFERROR(IF(L262*M262=0,"",L262*M262),"")</f>
        <v/>
      </c>
      <c r="O262" s="280" t="n"/>
      <c r="P262" s="332">
        <f>IFERROR(VLOOKUP(TEXT(O262,"0"),CONDUCTORES!$A$3:$G$54,2,0),"")</f>
        <v/>
      </c>
      <c r="Q262" s="332">
        <f>IFERROR(VLOOKUP(TEXT(O262,"0"),CONDUCTORES!$A$3:$H$54,6,0),"")</f>
        <v/>
      </c>
      <c r="R262" s="280" t="n"/>
      <c r="S262" s="280" t="n"/>
      <c r="T262" s="280" t="n"/>
      <c r="U262" s="280" t="n"/>
      <c r="V262" s="280" t="n"/>
      <c r="W262" s="280" t="n"/>
      <c r="X262" s="280" t="n"/>
      <c r="Y262" s="280" t="n"/>
      <c r="Z262" s="375">
        <f>IF(AND(G262&lt;&gt;"",R262&lt;&gt;"",V262&lt;&gt;"",W262&lt;&gt;""),"COMPLETADO","OBSERVADO")</f>
        <v/>
      </c>
    </row>
    <row r="263" ht="15" customHeight="1" s="195">
      <c r="A263" s="334" t="n"/>
      <c r="B263" s="334" t="n"/>
      <c r="C263" s="334" t="n"/>
      <c r="D263" s="334" t="n"/>
      <c r="E263" s="334" t="n"/>
      <c r="F263" s="334" t="n"/>
      <c r="G263" s="334" t="n"/>
      <c r="H263" s="334" t="n"/>
      <c r="I263" s="332">
        <f>IFERROR(VLOOKUP(TEXT(H263,"0"),IPRESS!$A$3:$B$212,2,0),"")</f>
        <v/>
      </c>
      <c r="J263" s="334" t="n"/>
      <c r="K263" s="332">
        <f>IFERROR(VLOOKUP(TEXT(O263,"0"),CONDUCTORES!$A$3:$G$54,7,0),"")</f>
        <v/>
      </c>
      <c r="L263" s="334" t="n"/>
      <c r="M263" s="334" t="n"/>
      <c r="N263" s="333">
        <f>IFERROR(IF(L263*M263=0,"",L263*M263),"")</f>
        <v/>
      </c>
      <c r="O263" s="334" t="n"/>
      <c r="P263" s="332">
        <f>IFERROR(VLOOKUP(TEXT(O263,"0"),CONDUCTORES!$A$3:$G$54,2,0),"")</f>
        <v/>
      </c>
      <c r="Q263" s="332">
        <f>IFERROR(VLOOKUP(TEXT(O263,"0"),CONDUCTORES!$A$3:$H$54,6,0),"")</f>
        <v/>
      </c>
      <c r="R263" s="334" t="n"/>
      <c r="S263" s="334" t="n"/>
      <c r="T263" s="334" t="n"/>
      <c r="U263" s="334" t="n"/>
      <c r="V263" s="334" t="n"/>
      <c r="W263" s="334" t="n"/>
      <c r="X263" s="334" t="n"/>
      <c r="Y263" s="334" t="n"/>
      <c r="Z263" s="375">
        <f>IF(AND(G263&lt;&gt;"",R263&lt;&gt;"",V263&lt;&gt;"",W263&lt;&gt;""),"COMPLETADO","OBSERVADO")</f>
        <v/>
      </c>
    </row>
    <row r="264" ht="15" customHeight="1" s="195">
      <c r="A264" s="280" t="n"/>
      <c r="B264" s="280" t="n"/>
      <c r="C264" s="280" t="n"/>
      <c r="D264" s="280" t="n"/>
      <c r="E264" s="280" t="n"/>
      <c r="F264" s="280" t="n"/>
      <c r="G264" s="280" t="n"/>
      <c r="H264" s="280" t="n"/>
      <c r="I264" s="332">
        <f>IFERROR(VLOOKUP(TEXT(H264,"0"),IPRESS!$A$3:$B$212,2,0),"")</f>
        <v/>
      </c>
      <c r="J264" s="280" t="n"/>
      <c r="K264" s="332">
        <f>IFERROR(VLOOKUP(TEXT(O264,"0"),CONDUCTORES!$A$3:$G$54,7,0),"")</f>
        <v/>
      </c>
      <c r="L264" s="280" t="n"/>
      <c r="M264" s="280" t="n"/>
      <c r="N264" s="333">
        <f>IFERROR(IF(L264*M264=0,"",L264*M264),"")</f>
        <v/>
      </c>
      <c r="O264" s="280" t="n"/>
      <c r="P264" s="332">
        <f>IFERROR(VLOOKUP(TEXT(O264,"0"),CONDUCTORES!$A$3:$G$54,2,0),"")</f>
        <v/>
      </c>
      <c r="Q264" s="332">
        <f>IFERROR(VLOOKUP(TEXT(O264,"0"),CONDUCTORES!$A$3:$H$54,6,0),"")</f>
        <v/>
      </c>
      <c r="R264" s="280" t="n"/>
      <c r="S264" s="280" t="n"/>
      <c r="T264" s="280" t="n"/>
      <c r="U264" s="280" t="n"/>
      <c r="V264" s="280" t="n"/>
      <c r="W264" s="280" t="n"/>
      <c r="X264" s="280" t="n"/>
      <c r="Y264" s="280" t="n"/>
      <c r="Z264" s="375">
        <f>IF(AND(G264&lt;&gt;"",R264&lt;&gt;"",V264&lt;&gt;"",W264&lt;&gt;""),"COMPLETADO","OBSERVADO")</f>
        <v/>
      </c>
    </row>
    <row r="265" ht="15" customHeight="1" s="195">
      <c r="A265" s="334" t="n"/>
      <c r="B265" s="334" t="n"/>
      <c r="C265" s="334" t="n"/>
      <c r="D265" s="334" t="n"/>
      <c r="E265" s="334" t="n"/>
      <c r="F265" s="334" t="n"/>
      <c r="G265" s="334" t="n"/>
      <c r="H265" s="334" t="n"/>
      <c r="I265" s="332">
        <f>IFERROR(VLOOKUP(TEXT(H265,"0"),IPRESS!$A$3:$B$212,2,0),"")</f>
        <v/>
      </c>
      <c r="J265" s="334" t="n"/>
      <c r="K265" s="332">
        <f>IFERROR(VLOOKUP(TEXT(O265,"0"),CONDUCTORES!$A$3:$G$54,7,0),"")</f>
        <v/>
      </c>
      <c r="L265" s="334" t="n"/>
      <c r="M265" s="334" t="n"/>
      <c r="N265" s="333">
        <f>IFERROR(IF(L265*M265=0,"",L265*M265),"")</f>
        <v/>
      </c>
      <c r="O265" s="334" t="n"/>
      <c r="P265" s="332">
        <f>IFERROR(VLOOKUP(TEXT(O265,"0"),CONDUCTORES!$A$3:$G$54,2,0),"")</f>
        <v/>
      </c>
      <c r="Q265" s="332">
        <f>IFERROR(VLOOKUP(TEXT(O265,"0"),CONDUCTORES!$A$3:$H$54,6,0),"")</f>
        <v/>
      </c>
      <c r="R265" s="334" t="n"/>
      <c r="S265" s="334" t="n"/>
      <c r="T265" s="334" t="n"/>
      <c r="U265" s="334" t="n"/>
      <c r="V265" s="334" t="n"/>
      <c r="W265" s="334" t="n"/>
      <c r="X265" s="334" t="n"/>
      <c r="Y265" s="334" t="n"/>
      <c r="Z265" s="375">
        <f>IF(AND(G265&lt;&gt;"",R265&lt;&gt;"",V265&lt;&gt;"",W265&lt;&gt;""),"COMPLETADO","OBSERVADO")</f>
        <v/>
      </c>
    </row>
    <row r="266" ht="15" customHeight="1" s="195">
      <c r="A266" s="280" t="n"/>
      <c r="B266" s="280" t="n"/>
      <c r="C266" s="280" t="n"/>
      <c r="D266" s="280" t="n"/>
      <c r="E266" s="280" t="n"/>
      <c r="F266" s="280" t="n"/>
      <c r="G266" s="280" t="n"/>
      <c r="H266" s="280" t="n"/>
      <c r="I266" s="332">
        <f>IFERROR(VLOOKUP(TEXT(H266,"0"),IPRESS!$A$3:$B$212,2,0),"")</f>
        <v/>
      </c>
      <c r="J266" s="280" t="n"/>
      <c r="K266" s="332">
        <f>IFERROR(VLOOKUP(TEXT(O266,"0"),CONDUCTORES!$A$3:$G$54,7,0),"")</f>
        <v/>
      </c>
      <c r="L266" s="280" t="n"/>
      <c r="M266" s="280" t="n"/>
      <c r="N266" s="333">
        <f>IFERROR(IF(L266*M266=0,"",L266*M266),"")</f>
        <v/>
      </c>
      <c r="O266" s="280" t="n"/>
      <c r="P266" s="332">
        <f>IFERROR(VLOOKUP(TEXT(O266,"0"),CONDUCTORES!$A$3:$G$54,2,0),"")</f>
        <v/>
      </c>
      <c r="Q266" s="332">
        <f>IFERROR(VLOOKUP(TEXT(O266,"0"),CONDUCTORES!$A$3:$H$54,6,0),"")</f>
        <v/>
      </c>
      <c r="R266" s="280" t="n"/>
      <c r="S266" s="280" t="n"/>
      <c r="T266" s="280" t="n"/>
      <c r="U266" s="280" t="n"/>
      <c r="V266" s="280" t="n"/>
      <c r="W266" s="280" t="n"/>
      <c r="X266" s="280" t="n"/>
      <c r="Y266" s="280" t="n"/>
      <c r="Z266" s="375">
        <f>IF(AND(G266&lt;&gt;"",R266&lt;&gt;"",V266&lt;&gt;"",W266&lt;&gt;""),"COMPLETADO","OBSERVADO")</f>
        <v/>
      </c>
    </row>
    <row r="267" ht="15" customHeight="1" s="195">
      <c r="A267" s="334" t="n"/>
      <c r="B267" s="334" t="n"/>
      <c r="C267" s="334" t="n"/>
      <c r="D267" s="334" t="n"/>
      <c r="E267" s="334" t="n"/>
      <c r="F267" s="334" t="n"/>
      <c r="G267" s="334" t="n"/>
      <c r="H267" s="334" t="n"/>
      <c r="I267" s="332">
        <f>IFERROR(VLOOKUP(TEXT(H267,"0"),IPRESS!$A$3:$B$212,2,0),"")</f>
        <v/>
      </c>
      <c r="J267" s="334" t="n"/>
      <c r="K267" s="332">
        <f>IFERROR(VLOOKUP(TEXT(O267,"0"),CONDUCTORES!$A$3:$G$54,7,0),"")</f>
        <v/>
      </c>
      <c r="L267" s="334" t="n"/>
      <c r="M267" s="334" t="n"/>
      <c r="N267" s="333">
        <f>IFERROR(IF(L267*M267=0,"",L267*M267),"")</f>
        <v/>
      </c>
      <c r="O267" s="334" t="n"/>
      <c r="P267" s="332">
        <f>IFERROR(VLOOKUP(TEXT(O267,"0"),CONDUCTORES!$A$3:$G$54,2,0),"")</f>
        <v/>
      </c>
      <c r="Q267" s="332">
        <f>IFERROR(VLOOKUP(TEXT(O267,"0"),CONDUCTORES!$A$3:$H$54,6,0),"")</f>
        <v/>
      </c>
      <c r="R267" s="334" t="n"/>
      <c r="S267" s="334" t="n"/>
      <c r="T267" s="334" t="n"/>
      <c r="U267" s="334" t="n"/>
      <c r="V267" s="334" t="n"/>
      <c r="W267" s="334" t="n"/>
      <c r="X267" s="334" t="n"/>
      <c r="Y267" s="334" t="n"/>
      <c r="Z267" s="375">
        <f>IF(AND(G267&lt;&gt;"",R267&lt;&gt;"",V267&lt;&gt;"",W267&lt;&gt;""),"COMPLETADO","OBSERVADO")</f>
        <v/>
      </c>
    </row>
    <row r="268" ht="15" customHeight="1" s="195">
      <c r="A268" s="280" t="n"/>
      <c r="B268" s="280" t="n"/>
      <c r="C268" s="280" t="n"/>
      <c r="D268" s="280" t="n"/>
      <c r="E268" s="280" t="n"/>
      <c r="F268" s="280" t="n"/>
      <c r="G268" s="280" t="n"/>
      <c r="H268" s="280" t="n"/>
      <c r="I268" s="332">
        <f>IFERROR(VLOOKUP(TEXT(H268,"0"),IPRESS!$A$3:$B$212,2,0),"")</f>
        <v/>
      </c>
      <c r="J268" s="280" t="n"/>
      <c r="K268" s="332">
        <f>IFERROR(VLOOKUP(TEXT(O268,"0"),CONDUCTORES!$A$3:$G$54,7,0),"")</f>
        <v/>
      </c>
      <c r="L268" s="280" t="n"/>
      <c r="M268" s="280" t="n"/>
      <c r="N268" s="333">
        <f>IFERROR(IF(L268*M268=0,"",L268*M268),"")</f>
        <v/>
      </c>
      <c r="O268" s="280" t="n"/>
      <c r="P268" s="332">
        <f>IFERROR(VLOOKUP(TEXT(O268,"0"),CONDUCTORES!$A$3:$G$54,2,0),"")</f>
        <v/>
      </c>
      <c r="Q268" s="332">
        <f>IFERROR(VLOOKUP(TEXT(O268,"0"),CONDUCTORES!$A$3:$H$54,6,0),"")</f>
        <v/>
      </c>
      <c r="R268" s="280" t="n"/>
      <c r="S268" s="280" t="n"/>
      <c r="T268" s="280" t="n"/>
      <c r="U268" s="280" t="n"/>
      <c r="V268" s="280" t="n"/>
      <c r="W268" s="280" t="n"/>
      <c r="X268" s="280" t="n"/>
      <c r="Y268" s="280" t="n"/>
      <c r="Z268" s="375">
        <f>IF(AND(G268&lt;&gt;"",R268&lt;&gt;"",V268&lt;&gt;"",W268&lt;&gt;""),"COMPLETADO","OBSERVADO")</f>
        <v/>
      </c>
    </row>
    <row r="269" ht="15" customHeight="1" s="195">
      <c r="A269" s="334" t="n"/>
      <c r="B269" s="334" t="n"/>
      <c r="C269" s="334" t="n"/>
      <c r="D269" s="334" t="n"/>
      <c r="E269" s="334" t="n"/>
      <c r="F269" s="334" t="n"/>
      <c r="G269" s="334" t="n"/>
      <c r="H269" s="334" t="n"/>
      <c r="I269" s="332">
        <f>IFERROR(VLOOKUP(TEXT(H269,"0"),IPRESS!$A$3:$B$212,2,0),"")</f>
        <v/>
      </c>
      <c r="J269" s="334" t="n"/>
      <c r="K269" s="332">
        <f>IFERROR(VLOOKUP(TEXT(O269,"0"),CONDUCTORES!$A$3:$G$54,7,0),"")</f>
        <v/>
      </c>
      <c r="L269" s="334" t="n"/>
      <c r="M269" s="334" t="n"/>
      <c r="N269" s="333">
        <f>IFERROR(IF(L269*M269=0,"",L269*M269),"")</f>
        <v/>
      </c>
      <c r="O269" s="334" t="n"/>
      <c r="P269" s="332">
        <f>IFERROR(VLOOKUP(TEXT(O269,"0"),CONDUCTORES!$A$3:$G$54,2,0),"")</f>
        <v/>
      </c>
      <c r="Q269" s="332">
        <f>IFERROR(VLOOKUP(TEXT(O269,"0"),CONDUCTORES!$A$3:$H$54,6,0),"")</f>
        <v/>
      </c>
      <c r="R269" s="334" t="n"/>
      <c r="S269" s="334" t="n"/>
      <c r="T269" s="334" t="n"/>
      <c r="U269" s="334" t="n"/>
      <c r="V269" s="334" t="n"/>
      <c r="W269" s="334" t="n"/>
      <c r="X269" s="334" t="n"/>
      <c r="Y269" s="334" t="n"/>
      <c r="Z269" s="375">
        <f>IF(AND(G269&lt;&gt;"",R269&lt;&gt;"",V269&lt;&gt;"",W269&lt;&gt;""),"COMPLETADO","OBSERVADO")</f>
        <v/>
      </c>
    </row>
    <row r="270" ht="15" customHeight="1" s="195">
      <c r="A270" s="280" t="n"/>
      <c r="B270" s="280" t="n"/>
      <c r="C270" s="280" t="n"/>
      <c r="D270" s="280" t="n"/>
      <c r="E270" s="280" t="n"/>
      <c r="F270" s="280" t="n"/>
      <c r="G270" s="280" t="n"/>
      <c r="H270" s="280" t="n"/>
      <c r="I270" s="332">
        <f>IFERROR(VLOOKUP(TEXT(H270,"0"),IPRESS!$A$3:$B$212,2,0),"")</f>
        <v/>
      </c>
      <c r="J270" s="280" t="n"/>
      <c r="K270" s="332">
        <f>IFERROR(VLOOKUP(TEXT(O270,"0"),CONDUCTORES!$A$3:$G$54,7,0),"")</f>
        <v/>
      </c>
      <c r="L270" s="280" t="n"/>
      <c r="M270" s="280" t="n"/>
      <c r="N270" s="333">
        <f>IFERROR(IF(L270*M270=0,"",L270*M270),"")</f>
        <v/>
      </c>
      <c r="O270" s="280" t="n"/>
      <c r="P270" s="332">
        <f>IFERROR(VLOOKUP(TEXT(O270,"0"),CONDUCTORES!$A$3:$G$54,2,0),"")</f>
        <v/>
      </c>
      <c r="Q270" s="332">
        <f>IFERROR(VLOOKUP(TEXT(O270,"0"),CONDUCTORES!$A$3:$H$54,6,0),"")</f>
        <v/>
      </c>
      <c r="R270" s="280" t="n"/>
      <c r="S270" s="280" t="n"/>
      <c r="T270" s="280" t="n"/>
      <c r="U270" s="280" t="n"/>
      <c r="V270" s="280" t="n"/>
      <c r="W270" s="280" t="n"/>
      <c r="X270" s="280" t="n"/>
      <c r="Y270" s="280" t="n"/>
      <c r="Z270" s="375">
        <f>IF(AND(G270&lt;&gt;"",R270&lt;&gt;"",V270&lt;&gt;"",W270&lt;&gt;""),"COMPLETADO","OBSERVADO")</f>
        <v/>
      </c>
    </row>
    <row r="271" ht="15" customHeight="1" s="195">
      <c r="A271" s="334" t="n"/>
      <c r="B271" s="334" t="n"/>
      <c r="C271" s="334" t="n"/>
      <c r="D271" s="334" t="n"/>
      <c r="E271" s="334" t="n"/>
      <c r="F271" s="334" t="n"/>
      <c r="G271" s="334" t="n"/>
      <c r="H271" s="334" t="n"/>
      <c r="I271" s="332">
        <f>IFERROR(VLOOKUP(TEXT(H271,"0"),IPRESS!$A$3:$B$212,2,0),"")</f>
        <v/>
      </c>
      <c r="J271" s="334" t="n"/>
      <c r="K271" s="332">
        <f>IFERROR(VLOOKUP(TEXT(O271,"0"),CONDUCTORES!$A$3:$G$54,7,0),"")</f>
        <v/>
      </c>
      <c r="L271" s="334" t="n"/>
      <c r="M271" s="334" t="n"/>
      <c r="N271" s="333">
        <f>IFERROR(IF(L271*M271=0,"",L271*M271),"")</f>
        <v/>
      </c>
      <c r="O271" s="334" t="n"/>
      <c r="P271" s="332">
        <f>IFERROR(VLOOKUP(TEXT(O271,"0"),CONDUCTORES!$A$3:$G$54,2,0),"")</f>
        <v/>
      </c>
      <c r="Q271" s="332">
        <f>IFERROR(VLOOKUP(TEXT(O271,"0"),CONDUCTORES!$A$3:$H$54,6,0),"")</f>
        <v/>
      </c>
      <c r="R271" s="334" t="n"/>
      <c r="S271" s="334" t="n"/>
      <c r="T271" s="334" t="n"/>
      <c r="U271" s="334" t="n"/>
      <c r="V271" s="334" t="n"/>
      <c r="W271" s="334" t="n"/>
      <c r="X271" s="334" t="n"/>
      <c r="Y271" s="334" t="n"/>
      <c r="Z271" s="375">
        <f>IF(AND(G271&lt;&gt;"",R271&lt;&gt;"",V271&lt;&gt;"",W271&lt;&gt;""),"COMPLETADO","OBSERVADO")</f>
        <v/>
      </c>
    </row>
    <row r="272" ht="15" customHeight="1" s="195">
      <c r="A272" s="280" t="n"/>
      <c r="B272" s="280" t="n"/>
      <c r="C272" s="280" t="n"/>
      <c r="D272" s="280" t="n"/>
      <c r="E272" s="280" t="n"/>
      <c r="F272" s="280" t="n"/>
      <c r="G272" s="280" t="n"/>
      <c r="H272" s="280" t="n"/>
      <c r="I272" s="332">
        <f>IFERROR(VLOOKUP(TEXT(H272,"0"),IPRESS!$A$3:$B$212,2,0),"")</f>
        <v/>
      </c>
      <c r="J272" s="280" t="n"/>
      <c r="K272" s="332">
        <f>IFERROR(VLOOKUP(TEXT(O272,"0"),CONDUCTORES!$A$3:$G$54,7,0),"")</f>
        <v/>
      </c>
      <c r="L272" s="280" t="n"/>
      <c r="M272" s="280" t="n"/>
      <c r="N272" s="333">
        <f>IFERROR(IF(L272*M272=0,"",L272*M272),"")</f>
        <v/>
      </c>
      <c r="O272" s="280" t="n"/>
      <c r="P272" s="332">
        <f>IFERROR(VLOOKUP(TEXT(O272,"0"),CONDUCTORES!$A$3:$G$54,2,0),"")</f>
        <v/>
      </c>
      <c r="Q272" s="332">
        <f>IFERROR(VLOOKUP(TEXT(O272,"0"),CONDUCTORES!$A$3:$H$54,6,0),"")</f>
        <v/>
      </c>
      <c r="R272" s="280" t="n"/>
      <c r="S272" s="280" t="n"/>
      <c r="T272" s="280" t="n"/>
      <c r="U272" s="280" t="n"/>
      <c r="V272" s="280" t="n"/>
      <c r="W272" s="280" t="n"/>
      <c r="X272" s="280" t="n"/>
      <c r="Y272" s="280" t="n"/>
      <c r="Z272" s="375">
        <f>IF(AND(G272&lt;&gt;"",R272&lt;&gt;"",V272&lt;&gt;"",W272&lt;&gt;""),"COMPLETADO","OBSERVADO")</f>
        <v/>
      </c>
    </row>
    <row r="273" ht="15" customHeight="1" s="195">
      <c r="A273" s="334" t="n"/>
      <c r="B273" s="334" t="n"/>
      <c r="C273" s="334" t="n"/>
      <c r="D273" s="334" t="n"/>
      <c r="E273" s="334" t="n"/>
      <c r="F273" s="334" t="n"/>
      <c r="G273" s="334" t="n"/>
      <c r="H273" s="334" t="n"/>
      <c r="I273" s="332">
        <f>IFERROR(VLOOKUP(TEXT(H273,"0"),IPRESS!$A$3:$B$212,2,0),"")</f>
        <v/>
      </c>
      <c r="J273" s="334" t="n"/>
      <c r="K273" s="332">
        <f>IFERROR(VLOOKUP(TEXT(O273,"0"),CONDUCTORES!$A$3:$G$54,7,0),"")</f>
        <v/>
      </c>
      <c r="L273" s="334" t="n"/>
      <c r="M273" s="334" t="n"/>
      <c r="N273" s="333">
        <f>IFERROR(IF(L273*M273=0,"",L273*M273),"")</f>
        <v/>
      </c>
      <c r="O273" s="334" t="n"/>
      <c r="P273" s="332">
        <f>IFERROR(VLOOKUP(TEXT(O273,"0"),CONDUCTORES!$A$3:$G$54,2,0),"")</f>
        <v/>
      </c>
      <c r="Q273" s="332">
        <f>IFERROR(VLOOKUP(TEXT(O273,"0"),CONDUCTORES!$A$3:$H$54,6,0),"")</f>
        <v/>
      </c>
      <c r="R273" s="334" t="n"/>
      <c r="S273" s="334" t="n"/>
      <c r="T273" s="334" t="n"/>
      <c r="U273" s="334" t="n"/>
      <c r="V273" s="334" t="n"/>
      <c r="W273" s="334" t="n"/>
      <c r="X273" s="334" t="n"/>
      <c r="Y273" s="334" t="n"/>
      <c r="Z273" s="375">
        <f>IF(AND(G273&lt;&gt;"",R273&lt;&gt;"",V273&lt;&gt;"",W273&lt;&gt;""),"COMPLETADO","OBSERVADO")</f>
        <v/>
      </c>
    </row>
    <row r="274" ht="15" customHeight="1" s="195">
      <c r="A274" s="280" t="n"/>
      <c r="B274" s="280" t="n"/>
      <c r="C274" s="280" t="n"/>
      <c r="D274" s="280" t="n"/>
      <c r="E274" s="280" t="n"/>
      <c r="F274" s="280" t="n"/>
      <c r="G274" s="280" t="n"/>
      <c r="H274" s="280" t="n"/>
      <c r="I274" s="332">
        <f>IFERROR(VLOOKUP(TEXT(H274,"0"),IPRESS!$A$3:$B$212,2,0),"")</f>
        <v/>
      </c>
      <c r="J274" s="280" t="n"/>
      <c r="K274" s="332">
        <f>IFERROR(VLOOKUP(TEXT(O274,"0"),CONDUCTORES!$A$3:$G$54,7,0),"")</f>
        <v/>
      </c>
      <c r="L274" s="280" t="n"/>
      <c r="M274" s="280" t="n"/>
      <c r="N274" s="333">
        <f>IFERROR(IF(L274*M274=0,"",L274*M274),"")</f>
        <v/>
      </c>
      <c r="O274" s="280" t="n"/>
      <c r="P274" s="332">
        <f>IFERROR(VLOOKUP(TEXT(O274,"0"),CONDUCTORES!$A$3:$G$54,2,0),"")</f>
        <v/>
      </c>
      <c r="Q274" s="332">
        <f>IFERROR(VLOOKUP(TEXT(O274,"0"),CONDUCTORES!$A$3:$H$54,6,0),"")</f>
        <v/>
      </c>
      <c r="R274" s="280" t="n"/>
      <c r="S274" s="280" t="n"/>
      <c r="T274" s="280" t="n"/>
      <c r="U274" s="280" t="n"/>
      <c r="V274" s="280" t="n"/>
      <c r="W274" s="280" t="n"/>
      <c r="X274" s="280" t="n"/>
      <c r="Y274" s="280" t="n"/>
      <c r="Z274" s="375">
        <f>IF(AND(G274&lt;&gt;"",R274&lt;&gt;"",V274&lt;&gt;"",W274&lt;&gt;""),"COMPLETADO","OBSERVADO")</f>
        <v/>
      </c>
    </row>
    <row r="275" ht="15" customHeight="1" s="195">
      <c r="A275" s="334" t="n"/>
      <c r="B275" s="334" t="n"/>
      <c r="C275" s="334" t="n"/>
      <c r="D275" s="334" t="n"/>
      <c r="E275" s="334" t="n"/>
      <c r="F275" s="334" t="n"/>
      <c r="G275" s="334" t="n"/>
      <c r="H275" s="334" t="n"/>
      <c r="I275" s="332">
        <f>IFERROR(VLOOKUP(TEXT(H275,"0"),IPRESS!$A$3:$B$212,2,0),"")</f>
        <v/>
      </c>
      <c r="J275" s="334" t="n"/>
      <c r="K275" s="332">
        <f>IFERROR(VLOOKUP(TEXT(O275,"0"),CONDUCTORES!$A$3:$G$54,7,0),"")</f>
        <v/>
      </c>
      <c r="L275" s="334" t="n"/>
      <c r="M275" s="334" t="n"/>
      <c r="N275" s="333">
        <f>IFERROR(IF(L275*M275=0,"",L275*M275),"")</f>
        <v/>
      </c>
      <c r="O275" s="334" t="n"/>
      <c r="P275" s="332">
        <f>IFERROR(VLOOKUP(TEXT(O275,"0"),CONDUCTORES!$A$3:$G$54,2,0),"")</f>
        <v/>
      </c>
      <c r="Q275" s="332">
        <f>IFERROR(VLOOKUP(TEXT(O275,"0"),CONDUCTORES!$A$3:$H$54,6,0),"")</f>
        <v/>
      </c>
      <c r="R275" s="334" t="n"/>
      <c r="S275" s="334" t="n"/>
      <c r="T275" s="334" t="n"/>
      <c r="U275" s="334" t="n"/>
      <c r="V275" s="334" t="n"/>
      <c r="W275" s="334" t="n"/>
      <c r="X275" s="334" t="n"/>
      <c r="Y275" s="334" t="n"/>
      <c r="Z275" s="375">
        <f>IF(AND(G275&lt;&gt;"",R275&lt;&gt;"",V275&lt;&gt;"",W275&lt;&gt;""),"COMPLETADO","OBSERVADO")</f>
        <v/>
      </c>
    </row>
    <row r="276" ht="15" customHeight="1" s="195">
      <c r="A276" s="280" t="n"/>
      <c r="B276" s="280" t="n"/>
      <c r="C276" s="280" t="n"/>
      <c r="D276" s="280" t="n"/>
      <c r="E276" s="280" t="n"/>
      <c r="F276" s="280" t="n"/>
      <c r="G276" s="280" t="n"/>
      <c r="H276" s="280" t="n"/>
      <c r="I276" s="332">
        <f>IFERROR(VLOOKUP(TEXT(H276,"0"),IPRESS!$A$3:$B$212,2,0),"")</f>
        <v/>
      </c>
      <c r="J276" s="280" t="n"/>
      <c r="K276" s="332">
        <f>IFERROR(VLOOKUP(TEXT(O276,"0"),CONDUCTORES!$A$3:$G$54,7,0),"")</f>
        <v/>
      </c>
      <c r="L276" s="280" t="n"/>
      <c r="M276" s="280" t="n"/>
      <c r="N276" s="333">
        <f>IFERROR(IF(L276*M276=0,"",L276*M276),"")</f>
        <v/>
      </c>
      <c r="O276" s="280" t="n"/>
      <c r="P276" s="332">
        <f>IFERROR(VLOOKUP(TEXT(O276,"0"),CONDUCTORES!$A$3:$G$54,2,0),"")</f>
        <v/>
      </c>
      <c r="Q276" s="332">
        <f>IFERROR(VLOOKUP(TEXT(O276,"0"),CONDUCTORES!$A$3:$H$54,6,0),"")</f>
        <v/>
      </c>
      <c r="R276" s="280" t="n"/>
      <c r="S276" s="280" t="n"/>
      <c r="T276" s="280" t="n"/>
      <c r="U276" s="280" t="n"/>
      <c r="V276" s="280" t="n"/>
      <c r="W276" s="280" t="n"/>
      <c r="X276" s="280" t="n"/>
      <c r="Y276" s="280" t="n"/>
      <c r="Z276" s="375">
        <f>IF(AND(G276&lt;&gt;"",R276&lt;&gt;"",V276&lt;&gt;"",W276&lt;&gt;""),"COMPLETADO","OBSERVADO")</f>
        <v/>
      </c>
    </row>
    <row r="277" ht="15" customHeight="1" s="195">
      <c r="A277" s="334" t="n"/>
      <c r="B277" s="334" t="n"/>
      <c r="C277" s="334" t="n"/>
      <c r="D277" s="334" t="n"/>
      <c r="E277" s="334" t="n"/>
      <c r="F277" s="334" t="n"/>
      <c r="G277" s="334" t="n"/>
      <c r="H277" s="334" t="n"/>
      <c r="I277" s="332">
        <f>IFERROR(VLOOKUP(TEXT(H277,"0"),IPRESS!$A$3:$B$212,2,0),"")</f>
        <v/>
      </c>
      <c r="J277" s="334" t="n"/>
      <c r="K277" s="332">
        <f>IFERROR(VLOOKUP(TEXT(O277,"0"),CONDUCTORES!$A$3:$G$54,7,0),"")</f>
        <v/>
      </c>
      <c r="L277" s="334" t="n"/>
      <c r="M277" s="334" t="n"/>
      <c r="N277" s="333">
        <f>IFERROR(IF(L277*M277=0,"",L277*M277),"")</f>
        <v/>
      </c>
      <c r="O277" s="334" t="n"/>
      <c r="P277" s="332">
        <f>IFERROR(VLOOKUP(TEXT(O277,"0"),CONDUCTORES!$A$3:$G$54,2,0),"")</f>
        <v/>
      </c>
      <c r="Q277" s="332">
        <f>IFERROR(VLOOKUP(TEXT(O277,"0"),CONDUCTORES!$A$3:$H$54,6,0),"")</f>
        <v/>
      </c>
      <c r="R277" s="334" t="n"/>
      <c r="S277" s="334" t="n"/>
      <c r="T277" s="334" t="n"/>
      <c r="U277" s="334" t="n"/>
      <c r="V277" s="334" t="n"/>
      <c r="W277" s="334" t="n"/>
      <c r="X277" s="334" t="n"/>
      <c r="Y277" s="334" t="n"/>
      <c r="Z277" s="375">
        <f>IF(AND(G277&lt;&gt;"",R277&lt;&gt;"",V277&lt;&gt;"",W277&lt;&gt;""),"COMPLETADO","OBSERVADO")</f>
        <v/>
      </c>
    </row>
    <row r="278" ht="15" customHeight="1" s="195">
      <c r="A278" s="280" t="n"/>
      <c r="B278" s="280" t="n"/>
      <c r="C278" s="280" t="n"/>
      <c r="D278" s="280" t="n"/>
      <c r="E278" s="280" t="n"/>
      <c r="F278" s="280" t="n"/>
      <c r="G278" s="280" t="n"/>
      <c r="H278" s="280" t="n"/>
      <c r="I278" s="332">
        <f>IFERROR(VLOOKUP(TEXT(H278,"0"),IPRESS!$A$3:$B$212,2,0),"")</f>
        <v/>
      </c>
      <c r="J278" s="280" t="n"/>
      <c r="K278" s="332">
        <f>IFERROR(VLOOKUP(TEXT(O278,"0"),CONDUCTORES!$A$3:$G$54,7,0),"")</f>
        <v/>
      </c>
      <c r="L278" s="280" t="n"/>
      <c r="M278" s="280" t="n"/>
      <c r="N278" s="333">
        <f>IFERROR(IF(L278*M278=0,"",L278*M278),"")</f>
        <v/>
      </c>
      <c r="O278" s="280" t="n"/>
      <c r="P278" s="332">
        <f>IFERROR(VLOOKUP(TEXT(O278,"0"),CONDUCTORES!$A$3:$G$54,2,0),"")</f>
        <v/>
      </c>
      <c r="Q278" s="332">
        <f>IFERROR(VLOOKUP(TEXT(O278,"0"),CONDUCTORES!$A$3:$H$54,6,0),"")</f>
        <v/>
      </c>
      <c r="R278" s="280" t="n"/>
      <c r="S278" s="280" t="n"/>
      <c r="T278" s="280" t="n"/>
      <c r="U278" s="280" t="n"/>
      <c r="V278" s="280" t="n"/>
      <c r="W278" s="280" t="n"/>
      <c r="X278" s="280" t="n"/>
      <c r="Y278" s="280" t="n"/>
      <c r="Z278" s="375">
        <f>IF(AND(G278&lt;&gt;"",R278&lt;&gt;"",V278&lt;&gt;"",W278&lt;&gt;""),"COMPLETADO","OBSERVADO")</f>
        <v/>
      </c>
    </row>
    <row r="279" ht="15" customHeight="1" s="195">
      <c r="A279" s="334" t="n"/>
      <c r="B279" s="334" t="n"/>
      <c r="C279" s="334" t="n"/>
      <c r="D279" s="334" t="n"/>
      <c r="E279" s="334" t="n"/>
      <c r="F279" s="334" t="n"/>
      <c r="G279" s="334" t="n"/>
      <c r="H279" s="334" t="n"/>
      <c r="I279" s="332">
        <f>IFERROR(VLOOKUP(TEXT(H279,"0"),IPRESS!$A$3:$B$212,2,0),"")</f>
        <v/>
      </c>
      <c r="J279" s="334" t="n"/>
      <c r="K279" s="332">
        <f>IFERROR(VLOOKUP(TEXT(O279,"0"),CONDUCTORES!$A$3:$G$54,7,0),"")</f>
        <v/>
      </c>
      <c r="L279" s="334" t="n"/>
      <c r="M279" s="334" t="n"/>
      <c r="N279" s="333">
        <f>IFERROR(IF(L279*M279=0,"",L279*M279),"")</f>
        <v/>
      </c>
      <c r="O279" s="334" t="n"/>
      <c r="P279" s="332">
        <f>IFERROR(VLOOKUP(TEXT(O279,"0"),CONDUCTORES!$A$3:$G$54,2,0),"")</f>
        <v/>
      </c>
      <c r="Q279" s="332">
        <f>IFERROR(VLOOKUP(TEXT(O279,"0"),CONDUCTORES!$A$3:$H$54,6,0),"")</f>
        <v/>
      </c>
      <c r="R279" s="334" t="n"/>
      <c r="S279" s="334" t="n"/>
      <c r="T279" s="334" t="n"/>
      <c r="U279" s="334" t="n"/>
      <c r="V279" s="334" t="n"/>
      <c r="W279" s="334" t="n"/>
      <c r="X279" s="334" t="n"/>
      <c r="Y279" s="334" t="n"/>
      <c r="Z279" s="375">
        <f>IF(AND(G279&lt;&gt;"",R279&lt;&gt;"",V279&lt;&gt;"",W279&lt;&gt;""),"COMPLETADO","OBSERVADO")</f>
        <v/>
      </c>
    </row>
    <row r="280" ht="15" customHeight="1" s="195">
      <c r="A280" s="280" t="n"/>
      <c r="B280" s="280" t="n"/>
      <c r="C280" s="280" t="n"/>
      <c r="D280" s="280" t="n"/>
      <c r="E280" s="280" t="n"/>
      <c r="F280" s="280" t="n"/>
      <c r="G280" s="280" t="n"/>
      <c r="H280" s="280" t="n"/>
      <c r="I280" s="332">
        <f>IFERROR(VLOOKUP(TEXT(H280,"0"),IPRESS!$A$3:$B$212,2,0),"")</f>
        <v/>
      </c>
      <c r="J280" s="280" t="n"/>
      <c r="K280" s="332">
        <f>IFERROR(VLOOKUP(TEXT(O280,"0"),CONDUCTORES!$A$3:$G$54,7,0),"")</f>
        <v/>
      </c>
      <c r="L280" s="280" t="n"/>
      <c r="M280" s="280" t="n"/>
      <c r="N280" s="333">
        <f>IFERROR(IF(L280*M280=0,"",L280*M280),"")</f>
        <v/>
      </c>
      <c r="O280" s="280" t="n"/>
      <c r="P280" s="332">
        <f>IFERROR(VLOOKUP(TEXT(O280,"0"),CONDUCTORES!$A$3:$G$54,2,0),"")</f>
        <v/>
      </c>
      <c r="Q280" s="332">
        <f>IFERROR(VLOOKUP(TEXT(O280,"0"),CONDUCTORES!$A$3:$H$54,6,0),"")</f>
        <v/>
      </c>
      <c r="R280" s="280" t="n"/>
      <c r="S280" s="280" t="n"/>
      <c r="T280" s="280" t="n"/>
      <c r="U280" s="280" t="n"/>
      <c r="V280" s="280" t="n"/>
      <c r="W280" s="280" t="n"/>
      <c r="X280" s="280" t="n"/>
      <c r="Y280" s="280" t="n"/>
      <c r="Z280" s="375">
        <f>IF(AND(G280&lt;&gt;"",R280&lt;&gt;"",V280&lt;&gt;"",W280&lt;&gt;""),"COMPLETADO","OBSERVADO")</f>
        <v/>
      </c>
    </row>
    <row r="281" ht="15" customHeight="1" s="195">
      <c r="A281" s="334" t="n"/>
      <c r="B281" s="334" t="n"/>
      <c r="C281" s="334" t="n"/>
      <c r="D281" s="334" t="n"/>
      <c r="E281" s="334" t="n"/>
      <c r="F281" s="334" t="n"/>
      <c r="G281" s="334" t="n"/>
      <c r="H281" s="334" t="n"/>
      <c r="I281" s="332">
        <f>IFERROR(VLOOKUP(TEXT(H281,"0"),IPRESS!$A$3:$B$212,2,0),"")</f>
        <v/>
      </c>
      <c r="J281" s="334" t="n"/>
      <c r="K281" s="332">
        <f>IFERROR(VLOOKUP(TEXT(O281,"0"),CONDUCTORES!$A$3:$G$54,7,0),"")</f>
        <v/>
      </c>
      <c r="L281" s="334" t="n"/>
      <c r="M281" s="334" t="n"/>
      <c r="N281" s="333">
        <f>IFERROR(IF(L281*M281=0,"",L281*M281),"")</f>
        <v/>
      </c>
      <c r="O281" s="334" t="n"/>
      <c r="P281" s="332">
        <f>IFERROR(VLOOKUP(TEXT(O281,"0"),CONDUCTORES!$A$3:$G$54,2,0),"")</f>
        <v/>
      </c>
      <c r="Q281" s="332">
        <f>IFERROR(VLOOKUP(TEXT(O281,"0"),CONDUCTORES!$A$3:$H$54,6,0),"")</f>
        <v/>
      </c>
      <c r="R281" s="334" t="n"/>
      <c r="S281" s="334" t="n"/>
      <c r="T281" s="334" t="n"/>
      <c r="U281" s="334" t="n"/>
      <c r="V281" s="334" t="n"/>
      <c r="W281" s="334" t="n"/>
      <c r="X281" s="334" t="n"/>
      <c r="Y281" s="334" t="n"/>
      <c r="Z281" s="375">
        <f>IF(AND(G281&lt;&gt;"",R281&lt;&gt;"",V281&lt;&gt;"",W281&lt;&gt;""),"COMPLETADO","OBSERVADO")</f>
        <v/>
      </c>
    </row>
    <row r="282" ht="15" customHeight="1" s="195">
      <c r="A282" s="280" t="n"/>
      <c r="B282" s="280" t="n"/>
      <c r="C282" s="280" t="n"/>
      <c r="D282" s="280" t="n"/>
      <c r="E282" s="280" t="n"/>
      <c r="F282" s="280" t="n"/>
      <c r="G282" s="280" t="n"/>
      <c r="H282" s="280" t="n"/>
      <c r="I282" s="332">
        <f>IFERROR(VLOOKUP(TEXT(H282,"0"),IPRESS!$A$3:$B$212,2,0),"")</f>
        <v/>
      </c>
      <c r="J282" s="280" t="n"/>
      <c r="K282" s="332">
        <f>IFERROR(VLOOKUP(TEXT(O282,"0"),CONDUCTORES!$A$3:$G$54,7,0),"")</f>
        <v/>
      </c>
      <c r="L282" s="280" t="n"/>
      <c r="M282" s="280" t="n"/>
      <c r="N282" s="333">
        <f>IFERROR(IF(L282*M282=0,"",L282*M282),"")</f>
        <v/>
      </c>
      <c r="O282" s="280" t="n"/>
      <c r="P282" s="332">
        <f>IFERROR(VLOOKUP(TEXT(O282,"0"),CONDUCTORES!$A$3:$G$54,2,0),"")</f>
        <v/>
      </c>
      <c r="Q282" s="332">
        <f>IFERROR(VLOOKUP(TEXT(O282,"0"),CONDUCTORES!$A$3:$H$54,6,0),"")</f>
        <v/>
      </c>
      <c r="R282" s="280" t="n"/>
      <c r="S282" s="280" t="n"/>
      <c r="T282" s="280" t="n"/>
      <c r="U282" s="280" t="n"/>
      <c r="V282" s="280" t="n"/>
      <c r="W282" s="280" t="n"/>
      <c r="X282" s="280" t="n"/>
      <c r="Y282" s="280" t="n"/>
      <c r="Z282" s="375">
        <f>IF(AND(G282&lt;&gt;"",R282&lt;&gt;"",V282&lt;&gt;"",W282&lt;&gt;""),"COMPLETADO","OBSERVADO")</f>
        <v/>
      </c>
    </row>
    <row r="283" ht="15" customHeight="1" s="195">
      <c r="A283" s="334" t="n"/>
      <c r="B283" s="334" t="n"/>
      <c r="C283" s="334" t="n"/>
      <c r="D283" s="334" t="n"/>
      <c r="E283" s="334" t="n"/>
      <c r="F283" s="334" t="n"/>
      <c r="G283" s="334" t="n"/>
      <c r="H283" s="334" t="n"/>
      <c r="I283" s="332">
        <f>IFERROR(VLOOKUP(TEXT(H283,"0"),IPRESS!$A$3:$B$212,2,0),"")</f>
        <v/>
      </c>
      <c r="J283" s="334" t="n"/>
      <c r="K283" s="332">
        <f>IFERROR(VLOOKUP(TEXT(O283,"0"),CONDUCTORES!$A$3:$G$54,7,0),"")</f>
        <v/>
      </c>
      <c r="L283" s="334" t="n"/>
      <c r="M283" s="334" t="n"/>
      <c r="N283" s="333">
        <f>IFERROR(IF(L283*M283=0,"",L283*M283),"")</f>
        <v/>
      </c>
      <c r="O283" s="334" t="n"/>
      <c r="P283" s="332">
        <f>IFERROR(VLOOKUP(TEXT(O283,"0"),CONDUCTORES!$A$3:$G$54,2,0),"")</f>
        <v/>
      </c>
      <c r="Q283" s="332">
        <f>IFERROR(VLOOKUP(TEXT(O283,"0"),CONDUCTORES!$A$3:$H$54,6,0),"")</f>
        <v/>
      </c>
      <c r="R283" s="334" t="n"/>
      <c r="S283" s="334" t="n"/>
      <c r="T283" s="334" t="n"/>
      <c r="U283" s="334" t="n"/>
      <c r="V283" s="334" t="n"/>
      <c r="W283" s="334" t="n"/>
      <c r="X283" s="334" t="n"/>
      <c r="Y283" s="334" t="n"/>
      <c r="Z283" s="375">
        <f>IF(AND(G283&lt;&gt;"",R283&lt;&gt;"",V283&lt;&gt;"",W283&lt;&gt;""),"COMPLETADO","OBSERVADO")</f>
        <v/>
      </c>
    </row>
    <row r="284" ht="15" customHeight="1" s="195">
      <c r="A284" s="280" t="n"/>
      <c r="B284" s="280" t="n"/>
      <c r="C284" s="280" t="n"/>
      <c r="D284" s="280" t="n"/>
      <c r="E284" s="280" t="n"/>
      <c r="F284" s="280" t="n"/>
      <c r="G284" s="280" t="n"/>
      <c r="H284" s="280" t="n"/>
      <c r="I284" s="332">
        <f>IFERROR(VLOOKUP(TEXT(H284,"0"),IPRESS!$A$3:$B$212,2,0),"")</f>
        <v/>
      </c>
      <c r="J284" s="280" t="n"/>
      <c r="K284" s="332">
        <f>IFERROR(VLOOKUP(TEXT(O284,"0"),CONDUCTORES!$A$3:$G$54,7,0),"")</f>
        <v/>
      </c>
      <c r="L284" s="280" t="n"/>
      <c r="M284" s="280" t="n"/>
      <c r="N284" s="333">
        <f>IFERROR(IF(L284*M284=0,"",L284*M284),"")</f>
        <v/>
      </c>
      <c r="O284" s="280" t="n"/>
      <c r="P284" s="332">
        <f>IFERROR(VLOOKUP(TEXT(O284,"0"),CONDUCTORES!$A$3:$G$54,2,0),"")</f>
        <v/>
      </c>
      <c r="Q284" s="332">
        <f>IFERROR(VLOOKUP(TEXT(O284,"0"),CONDUCTORES!$A$3:$H$54,6,0),"")</f>
        <v/>
      </c>
      <c r="R284" s="280" t="n"/>
      <c r="S284" s="280" t="n"/>
      <c r="T284" s="280" t="n"/>
      <c r="U284" s="280" t="n"/>
      <c r="V284" s="280" t="n"/>
      <c r="W284" s="280" t="n"/>
      <c r="X284" s="280" t="n"/>
      <c r="Y284" s="280" t="n"/>
      <c r="Z284" s="375">
        <f>IF(AND(G284&lt;&gt;"",R284&lt;&gt;"",V284&lt;&gt;"",W284&lt;&gt;""),"COMPLETADO","OBSERVADO")</f>
        <v/>
      </c>
    </row>
    <row r="285" ht="15" customHeight="1" s="195">
      <c r="A285" s="334" t="n"/>
      <c r="B285" s="334" t="n"/>
      <c r="C285" s="334" t="n"/>
      <c r="D285" s="334" t="n"/>
      <c r="E285" s="334" t="n"/>
      <c r="F285" s="334" t="n"/>
      <c r="G285" s="334" t="n"/>
      <c r="H285" s="334" t="n"/>
      <c r="I285" s="332">
        <f>IFERROR(VLOOKUP(TEXT(H285,"0"),IPRESS!$A$3:$B$212,2,0),"")</f>
        <v/>
      </c>
      <c r="J285" s="334" t="n"/>
      <c r="K285" s="332">
        <f>IFERROR(VLOOKUP(TEXT(O285,"0"),CONDUCTORES!$A$3:$G$54,7,0),"")</f>
        <v/>
      </c>
      <c r="L285" s="334" t="n"/>
      <c r="M285" s="334" t="n"/>
      <c r="N285" s="333">
        <f>IFERROR(IF(L285*M285=0,"",L285*M285),"")</f>
        <v/>
      </c>
      <c r="O285" s="334" t="n"/>
      <c r="P285" s="332">
        <f>IFERROR(VLOOKUP(TEXT(O285,"0"),CONDUCTORES!$A$3:$G$54,2,0),"")</f>
        <v/>
      </c>
      <c r="Q285" s="332">
        <f>IFERROR(VLOOKUP(TEXT(O285,"0"),CONDUCTORES!$A$3:$H$54,6,0),"")</f>
        <v/>
      </c>
      <c r="R285" s="334" t="n"/>
      <c r="S285" s="334" t="n"/>
      <c r="T285" s="334" t="n"/>
      <c r="U285" s="334" t="n"/>
      <c r="V285" s="334" t="n"/>
      <c r="W285" s="334" t="n"/>
      <c r="X285" s="334" t="n"/>
      <c r="Y285" s="334" t="n"/>
      <c r="Z285" s="375">
        <f>IF(AND(G285&lt;&gt;"",R285&lt;&gt;"",V285&lt;&gt;"",W285&lt;&gt;""),"COMPLETADO","OBSERVADO")</f>
        <v/>
      </c>
    </row>
    <row r="286" ht="15" customHeight="1" s="195">
      <c r="A286" s="280" t="n"/>
      <c r="B286" s="280" t="n"/>
      <c r="C286" s="280" t="n"/>
      <c r="D286" s="280" t="n"/>
      <c r="E286" s="280" t="n"/>
      <c r="F286" s="280" t="n"/>
      <c r="G286" s="280" t="n"/>
      <c r="H286" s="280" t="n"/>
      <c r="I286" s="332">
        <f>IFERROR(VLOOKUP(TEXT(H286,"0"),IPRESS!$A$3:$B$212,2,0),"")</f>
        <v/>
      </c>
      <c r="J286" s="280" t="n"/>
      <c r="K286" s="332">
        <f>IFERROR(VLOOKUP(TEXT(O286,"0"),CONDUCTORES!$A$3:$G$54,7,0),"")</f>
        <v/>
      </c>
      <c r="L286" s="280" t="n"/>
      <c r="M286" s="280" t="n"/>
      <c r="N286" s="333">
        <f>IFERROR(IF(L286*M286=0,"",L286*M286),"")</f>
        <v/>
      </c>
      <c r="O286" s="280" t="n"/>
      <c r="P286" s="332">
        <f>IFERROR(VLOOKUP(TEXT(O286,"0"),CONDUCTORES!$A$3:$G$54,2,0),"")</f>
        <v/>
      </c>
      <c r="Q286" s="332">
        <f>IFERROR(VLOOKUP(TEXT(O286,"0"),CONDUCTORES!$A$3:$H$54,6,0),"")</f>
        <v/>
      </c>
      <c r="R286" s="280" t="n"/>
      <c r="S286" s="280" t="n"/>
      <c r="T286" s="280" t="n"/>
      <c r="U286" s="280" t="n"/>
      <c r="V286" s="280" t="n"/>
      <c r="W286" s="280" t="n"/>
      <c r="X286" s="280" t="n"/>
      <c r="Y286" s="280" t="n"/>
      <c r="Z286" s="375">
        <f>IF(AND(G286&lt;&gt;"",R286&lt;&gt;"",V286&lt;&gt;"",W286&lt;&gt;""),"COMPLETADO","OBSERVADO")</f>
        <v/>
      </c>
    </row>
    <row r="287" ht="15" customHeight="1" s="195">
      <c r="A287" s="334" t="n"/>
      <c r="B287" s="334" t="n"/>
      <c r="C287" s="334" t="n"/>
      <c r="D287" s="334" t="n"/>
      <c r="E287" s="334" t="n"/>
      <c r="F287" s="334" t="n"/>
      <c r="G287" s="334" t="n"/>
      <c r="H287" s="334" t="n"/>
      <c r="I287" s="332">
        <f>IFERROR(VLOOKUP(TEXT(H287,"0"),IPRESS!$A$3:$B$212,2,0),"")</f>
        <v/>
      </c>
      <c r="J287" s="334" t="n"/>
      <c r="K287" s="332">
        <f>IFERROR(VLOOKUP(TEXT(O287,"0"),CONDUCTORES!$A$3:$G$54,7,0),"")</f>
        <v/>
      </c>
      <c r="L287" s="334" t="n"/>
      <c r="M287" s="334" t="n"/>
      <c r="N287" s="333">
        <f>IFERROR(IF(L287*M287=0,"",L287*M287),"")</f>
        <v/>
      </c>
      <c r="O287" s="334" t="n"/>
      <c r="P287" s="332">
        <f>IFERROR(VLOOKUP(TEXT(O287,"0"),CONDUCTORES!$A$3:$G$54,2,0),"")</f>
        <v/>
      </c>
      <c r="Q287" s="332">
        <f>IFERROR(VLOOKUP(TEXT(O287,"0"),CONDUCTORES!$A$3:$H$54,6,0),"")</f>
        <v/>
      </c>
      <c r="R287" s="334" t="n"/>
      <c r="S287" s="334" t="n"/>
      <c r="T287" s="334" t="n"/>
      <c r="U287" s="334" t="n"/>
      <c r="V287" s="334" t="n"/>
      <c r="W287" s="334" t="n"/>
      <c r="X287" s="334" t="n"/>
      <c r="Y287" s="334" t="n"/>
      <c r="Z287" s="375">
        <f>IF(AND(G287&lt;&gt;"",R287&lt;&gt;"",V287&lt;&gt;"",W287&lt;&gt;""),"COMPLETADO","OBSERVADO")</f>
        <v/>
      </c>
    </row>
    <row r="288" ht="15" customHeight="1" s="195">
      <c r="A288" s="280" t="n"/>
      <c r="B288" s="280" t="n"/>
      <c r="C288" s="280" t="n"/>
      <c r="D288" s="280" t="n"/>
      <c r="E288" s="280" t="n"/>
      <c r="F288" s="280" t="n"/>
      <c r="G288" s="280" t="n"/>
      <c r="H288" s="280" t="n"/>
      <c r="I288" s="332">
        <f>IFERROR(VLOOKUP(TEXT(H288,"0"),IPRESS!$A$3:$B$212,2,0),"")</f>
        <v/>
      </c>
      <c r="J288" s="280" t="n"/>
      <c r="K288" s="332">
        <f>IFERROR(VLOOKUP(TEXT(O288,"0"),CONDUCTORES!$A$3:$G$54,7,0),"")</f>
        <v/>
      </c>
      <c r="L288" s="280" t="n"/>
      <c r="M288" s="280" t="n"/>
      <c r="N288" s="333">
        <f>IFERROR(IF(L288*M288=0,"",L288*M288),"")</f>
        <v/>
      </c>
      <c r="O288" s="280" t="n"/>
      <c r="P288" s="332">
        <f>IFERROR(VLOOKUP(TEXT(O288,"0"),CONDUCTORES!$A$3:$G$54,2,0),"")</f>
        <v/>
      </c>
      <c r="Q288" s="332">
        <f>IFERROR(VLOOKUP(TEXT(O288,"0"),CONDUCTORES!$A$3:$H$54,6,0),"")</f>
        <v/>
      </c>
      <c r="R288" s="280" t="n"/>
      <c r="S288" s="280" t="n"/>
      <c r="T288" s="280" t="n"/>
      <c r="U288" s="280" t="n"/>
      <c r="V288" s="280" t="n"/>
      <c r="W288" s="280" t="n"/>
      <c r="X288" s="280" t="n"/>
      <c r="Y288" s="280" t="n"/>
      <c r="Z288" s="375">
        <f>IF(AND(G288&lt;&gt;"",R288&lt;&gt;"",V288&lt;&gt;"",W288&lt;&gt;""),"COMPLETADO","OBSERVADO")</f>
        <v/>
      </c>
    </row>
    <row r="289" ht="15" customHeight="1" s="195">
      <c r="A289" s="334" t="n"/>
      <c r="B289" s="334" t="n"/>
      <c r="C289" s="334" t="n"/>
      <c r="D289" s="334" t="n"/>
      <c r="E289" s="334" t="n"/>
      <c r="F289" s="334" t="n"/>
      <c r="G289" s="334" t="n"/>
      <c r="H289" s="334" t="n"/>
      <c r="I289" s="332">
        <f>IFERROR(VLOOKUP(TEXT(H289,"0"),IPRESS!$A$3:$B$212,2,0),"")</f>
        <v/>
      </c>
      <c r="J289" s="334" t="n"/>
      <c r="K289" s="332">
        <f>IFERROR(VLOOKUP(TEXT(O289,"0"),CONDUCTORES!$A$3:$G$54,7,0),"")</f>
        <v/>
      </c>
      <c r="L289" s="334" t="n"/>
      <c r="M289" s="334" t="n"/>
      <c r="N289" s="333">
        <f>IFERROR(IF(L289*M289=0,"",L289*M289),"")</f>
        <v/>
      </c>
      <c r="O289" s="334" t="n"/>
      <c r="P289" s="332">
        <f>IFERROR(VLOOKUP(TEXT(O289,"0"),CONDUCTORES!$A$3:$G$54,2,0),"")</f>
        <v/>
      </c>
      <c r="Q289" s="332">
        <f>IFERROR(VLOOKUP(TEXT(O289,"0"),CONDUCTORES!$A$3:$H$54,6,0),"")</f>
        <v/>
      </c>
      <c r="R289" s="334" t="n"/>
      <c r="S289" s="334" t="n"/>
      <c r="T289" s="334" t="n"/>
      <c r="U289" s="334" t="n"/>
      <c r="V289" s="334" t="n"/>
      <c r="W289" s="334" t="n"/>
      <c r="X289" s="334" t="n"/>
      <c r="Y289" s="334" t="n"/>
      <c r="Z289" s="375">
        <f>IF(AND(G289&lt;&gt;"",R289&lt;&gt;"",V289&lt;&gt;"",W289&lt;&gt;""),"COMPLETADO","OBSERVADO")</f>
        <v/>
      </c>
    </row>
    <row r="290" ht="15" customHeight="1" s="195">
      <c r="A290" s="280" t="n"/>
      <c r="B290" s="280" t="n"/>
      <c r="C290" s="280" t="n"/>
      <c r="D290" s="280" t="n"/>
      <c r="E290" s="280" t="n"/>
      <c r="F290" s="280" t="n"/>
      <c r="G290" s="280" t="n"/>
      <c r="H290" s="280" t="n"/>
      <c r="I290" s="332">
        <f>IFERROR(VLOOKUP(TEXT(H290,"0"),IPRESS!$A$3:$B$212,2,0),"")</f>
        <v/>
      </c>
      <c r="J290" s="280" t="n"/>
      <c r="K290" s="332">
        <f>IFERROR(VLOOKUP(TEXT(O290,"0"),CONDUCTORES!$A$3:$G$54,7,0),"")</f>
        <v/>
      </c>
      <c r="L290" s="280" t="n"/>
      <c r="M290" s="280" t="n"/>
      <c r="N290" s="333">
        <f>IFERROR(IF(L290*M290=0,"",L290*M290),"")</f>
        <v/>
      </c>
      <c r="O290" s="280" t="n"/>
      <c r="P290" s="332">
        <f>IFERROR(VLOOKUP(TEXT(O290,"0"),CONDUCTORES!$A$3:$G$54,2,0),"")</f>
        <v/>
      </c>
      <c r="Q290" s="332">
        <f>IFERROR(VLOOKUP(TEXT(O290,"0"),CONDUCTORES!$A$3:$H$54,6,0),"")</f>
        <v/>
      </c>
      <c r="R290" s="280" t="n"/>
      <c r="S290" s="280" t="n"/>
      <c r="T290" s="280" t="n"/>
      <c r="U290" s="280" t="n"/>
      <c r="V290" s="280" t="n"/>
      <c r="W290" s="280" t="n"/>
      <c r="X290" s="280" t="n"/>
      <c r="Y290" s="280" t="n"/>
      <c r="Z290" s="375">
        <f>IF(AND(G290&lt;&gt;"",R290&lt;&gt;"",V290&lt;&gt;"",W290&lt;&gt;""),"COMPLETADO","OBSERVADO")</f>
        <v/>
      </c>
    </row>
    <row r="291" ht="15" customHeight="1" s="195">
      <c r="A291" s="334" t="n"/>
      <c r="B291" s="334" t="n"/>
      <c r="C291" s="334" t="n"/>
      <c r="D291" s="334" t="n"/>
      <c r="E291" s="334" t="n"/>
      <c r="F291" s="334" t="n"/>
      <c r="G291" s="334" t="n"/>
      <c r="H291" s="334" t="n"/>
      <c r="I291" s="332">
        <f>IFERROR(VLOOKUP(TEXT(H291,"0"),IPRESS!$A$3:$B$212,2,0),"")</f>
        <v/>
      </c>
      <c r="J291" s="334" t="n"/>
      <c r="K291" s="332">
        <f>IFERROR(VLOOKUP(TEXT(O291,"0"),CONDUCTORES!$A$3:$G$54,7,0),"")</f>
        <v/>
      </c>
      <c r="L291" s="334" t="n"/>
      <c r="M291" s="334" t="n"/>
      <c r="N291" s="333">
        <f>IFERROR(IF(L291*M291=0,"",L291*M291),"")</f>
        <v/>
      </c>
      <c r="O291" s="334" t="n"/>
      <c r="P291" s="332">
        <f>IFERROR(VLOOKUP(TEXT(O291,"0"),CONDUCTORES!$A$3:$G$54,2,0),"")</f>
        <v/>
      </c>
      <c r="Q291" s="332">
        <f>IFERROR(VLOOKUP(TEXT(O291,"0"),CONDUCTORES!$A$3:$H$54,6,0),"")</f>
        <v/>
      </c>
      <c r="R291" s="334" t="n"/>
      <c r="S291" s="334" t="n"/>
      <c r="T291" s="334" t="n"/>
      <c r="U291" s="334" t="n"/>
      <c r="V291" s="334" t="n"/>
      <c r="W291" s="334" t="n"/>
      <c r="X291" s="334" t="n"/>
      <c r="Y291" s="334" t="n"/>
      <c r="Z291" s="375">
        <f>IF(AND(G291&lt;&gt;"",R291&lt;&gt;"",V291&lt;&gt;"",W291&lt;&gt;""),"COMPLETADO","OBSERVADO")</f>
        <v/>
      </c>
    </row>
    <row r="292" ht="15" customHeight="1" s="195">
      <c r="A292" s="280" t="n"/>
      <c r="B292" s="280" t="n"/>
      <c r="C292" s="280" t="n"/>
      <c r="D292" s="280" t="n"/>
      <c r="E292" s="280" t="n"/>
      <c r="F292" s="280" t="n"/>
      <c r="G292" s="280" t="n"/>
      <c r="H292" s="280" t="n"/>
      <c r="I292" s="332">
        <f>IFERROR(VLOOKUP(TEXT(H292,"0"),IPRESS!$A$3:$B$212,2,0),"")</f>
        <v/>
      </c>
      <c r="J292" s="280" t="n"/>
      <c r="K292" s="332">
        <f>IFERROR(VLOOKUP(TEXT(O292,"0"),CONDUCTORES!$A$3:$G$54,7,0),"")</f>
        <v/>
      </c>
      <c r="L292" s="280" t="n"/>
      <c r="M292" s="280" t="n"/>
      <c r="N292" s="333">
        <f>IFERROR(IF(L292*M292=0,"",L292*M292),"")</f>
        <v/>
      </c>
      <c r="O292" s="280" t="n"/>
      <c r="P292" s="332">
        <f>IFERROR(VLOOKUP(TEXT(O292,"0"),CONDUCTORES!$A$3:$G$54,2,0),"")</f>
        <v/>
      </c>
      <c r="Q292" s="332">
        <f>IFERROR(VLOOKUP(TEXT(O292,"0"),CONDUCTORES!$A$3:$H$54,6,0),"")</f>
        <v/>
      </c>
      <c r="R292" s="280" t="n"/>
      <c r="S292" s="280" t="n"/>
      <c r="T292" s="280" t="n"/>
      <c r="U292" s="280" t="n"/>
      <c r="V292" s="280" t="n"/>
      <c r="W292" s="280" t="n"/>
      <c r="X292" s="280" t="n"/>
      <c r="Y292" s="280" t="n"/>
      <c r="Z292" s="375">
        <f>IF(AND(G292&lt;&gt;"",R292&lt;&gt;"",V292&lt;&gt;"",W292&lt;&gt;""),"COMPLETADO","OBSERVADO")</f>
        <v/>
      </c>
    </row>
    <row r="293" ht="15" customHeight="1" s="195">
      <c r="A293" s="334" t="n"/>
      <c r="B293" s="334" t="n"/>
      <c r="C293" s="334" t="n"/>
      <c r="D293" s="334" t="n"/>
      <c r="E293" s="334" t="n"/>
      <c r="F293" s="334" t="n"/>
      <c r="G293" s="334" t="n"/>
      <c r="H293" s="334" t="n"/>
      <c r="I293" s="332">
        <f>IFERROR(VLOOKUP(TEXT(H293,"0"),IPRESS!$A$3:$B$212,2,0),"")</f>
        <v/>
      </c>
      <c r="J293" s="334" t="n"/>
      <c r="K293" s="332">
        <f>IFERROR(VLOOKUP(TEXT(O293,"0"),CONDUCTORES!$A$3:$G$54,7,0),"")</f>
        <v/>
      </c>
      <c r="L293" s="334" t="n"/>
      <c r="M293" s="334" t="n"/>
      <c r="N293" s="333">
        <f>IFERROR(IF(L293*M293=0,"",L293*M293),"")</f>
        <v/>
      </c>
      <c r="O293" s="334" t="n"/>
      <c r="P293" s="332">
        <f>IFERROR(VLOOKUP(TEXT(O293,"0"),CONDUCTORES!$A$3:$G$54,2,0),"")</f>
        <v/>
      </c>
      <c r="Q293" s="332">
        <f>IFERROR(VLOOKUP(TEXT(O293,"0"),CONDUCTORES!$A$3:$H$54,6,0),"")</f>
        <v/>
      </c>
      <c r="R293" s="334" t="n"/>
      <c r="S293" s="334" t="n"/>
      <c r="T293" s="334" t="n"/>
      <c r="U293" s="334" t="n"/>
      <c r="V293" s="334" t="n"/>
      <c r="W293" s="334" t="n"/>
      <c r="X293" s="334" t="n"/>
      <c r="Y293" s="334" t="n"/>
      <c r="Z293" s="375">
        <f>IF(AND(G293&lt;&gt;"",R293&lt;&gt;"",V293&lt;&gt;"",W293&lt;&gt;""),"COMPLETADO","OBSERVADO")</f>
        <v/>
      </c>
    </row>
    <row r="294" ht="15" customHeight="1" s="195">
      <c r="A294" s="280" t="n"/>
      <c r="B294" s="280" t="n"/>
      <c r="C294" s="280" t="n"/>
      <c r="D294" s="280" t="n"/>
      <c r="E294" s="280" t="n"/>
      <c r="F294" s="280" t="n"/>
      <c r="G294" s="280" t="n"/>
      <c r="H294" s="280" t="n"/>
      <c r="I294" s="332">
        <f>IFERROR(VLOOKUP(TEXT(H294,"0"),IPRESS!$A$3:$B$212,2,0),"")</f>
        <v/>
      </c>
      <c r="J294" s="280" t="n"/>
      <c r="K294" s="332">
        <f>IFERROR(VLOOKUP(TEXT(O294,"0"),CONDUCTORES!$A$3:$G$54,7,0),"")</f>
        <v/>
      </c>
      <c r="L294" s="280" t="n"/>
      <c r="M294" s="280" t="n"/>
      <c r="N294" s="333">
        <f>IFERROR(IF(L294*M294=0,"",L294*M294),"")</f>
        <v/>
      </c>
      <c r="O294" s="280" t="n"/>
      <c r="P294" s="332">
        <f>IFERROR(VLOOKUP(TEXT(O294,"0"),CONDUCTORES!$A$3:$G$54,2,0),"")</f>
        <v/>
      </c>
      <c r="Q294" s="332">
        <f>IFERROR(VLOOKUP(TEXT(O294,"0"),CONDUCTORES!$A$3:$H$54,6,0),"")</f>
        <v/>
      </c>
      <c r="R294" s="280" t="n"/>
      <c r="S294" s="280" t="n"/>
      <c r="T294" s="280" t="n"/>
      <c r="U294" s="280" t="n"/>
      <c r="V294" s="280" t="n"/>
      <c r="W294" s="280" t="n"/>
      <c r="X294" s="280" t="n"/>
      <c r="Y294" s="280" t="n"/>
      <c r="Z294" s="375">
        <f>IF(AND(G294&lt;&gt;"",R294&lt;&gt;"",V294&lt;&gt;"",W294&lt;&gt;""),"COMPLETADO","OBSERVADO")</f>
        <v/>
      </c>
    </row>
    <row r="295" ht="15" customHeight="1" s="195">
      <c r="A295" s="334" t="n"/>
      <c r="B295" s="334" t="n"/>
      <c r="C295" s="334" t="n"/>
      <c r="D295" s="334" t="n"/>
      <c r="E295" s="334" t="n"/>
      <c r="F295" s="334" t="n"/>
      <c r="G295" s="334" t="n"/>
      <c r="H295" s="334" t="n"/>
      <c r="I295" s="332">
        <f>IFERROR(VLOOKUP(TEXT(H295,"0"),IPRESS!$A$3:$B$212,2,0),"")</f>
        <v/>
      </c>
      <c r="J295" s="334" t="n"/>
      <c r="K295" s="332">
        <f>IFERROR(VLOOKUP(TEXT(O295,"0"),CONDUCTORES!$A$3:$G$54,7,0),"")</f>
        <v/>
      </c>
      <c r="L295" s="334" t="n"/>
      <c r="M295" s="334" t="n"/>
      <c r="N295" s="333">
        <f>IFERROR(IF(L295*M295=0,"",L295*M295),"")</f>
        <v/>
      </c>
      <c r="O295" s="334" t="n"/>
      <c r="P295" s="332">
        <f>IFERROR(VLOOKUP(TEXT(O295,"0"),CONDUCTORES!$A$3:$G$54,2,0),"")</f>
        <v/>
      </c>
      <c r="Q295" s="332">
        <f>IFERROR(VLOOKUP(TEXT(O295,"0"),CONDUCTORES!$A$3:$H$54,6,0),"")</f>
        <v/>
      </c>
      <c r="R295" s="334" t="n"/>
      <c r="S295" s="334" t="n"/>
      <c r="T295" s="334" t="n"/>
      <c r="U295" s="334" t="n"/>
      <c r="V295" s="334" t="n"/>
      <c r="W295" s="334" t="n"/>
      <c r="X295" s="334" t="n"/>
      <c r="Y295" s="334" t="n"/>
      <c r="Z295" s="375">
        <f>IF(AND(G295&lt;&gt;"",R295&lt;&gt;"",V295&lt;&gt;"",W295&lt;&gt;""),"COMPLETADO","OBSERVADO")</f>
        <v/>
      </c>
    </row>
    <row r="296" ht="15" customHeight="1" s="195">
      <c r="A296" s="280" t="n"/>
      <c r="B296" s="280" t="n"/>
      <c r="C296" s="280" t="n"/>
      <c r="D296" s="280" t="n"/>
      <c r="E296" s="280" t="n"/>
      <c r="F296" s="280" t="n"/>
      <c r="G296" s="280" t="n"/>
      <c r="H296" s="280" t="n"/>
      <c r="I296" s="332">
        <f>IFERROR(VLOOKUP(TEXT(H296,"0"),IPRESS!$A$3:$B$212,2,0),"")</f>
        <v/>
      </c>
      <c r="J296" s="280" t="n"/>
      <c r="K296" s="332">
        <f>IFERROR(VLOOKUP(TEXT(O296,"0"),CONDUCTORES!$A$3:$G$54,7,0),"")</f>
        <v/>
      </c>
      <c r="L296" s="280" t="n"/>
      <c r="M296" s="280" t="n"/>
      <c r="N296" s="333">
        <f>IFERROR(IF(L296*M296=0,"",L296*M296),"")</f>
        <v/>
      </c>
      <c r="O296" s="280" t="n"/>
      <c r="P296" s="332">
        <f>IFERROR(VLOOKUP(TEXT(O296,"0"),CONDUCTORES!$A$3:$G$54,2,0),"")</f>
        <v/>
      </c>
      <c r="Q296" s="332">
        <f>IFERROR(VLOOKUP(TEXT(O296,"0"),CONDUCTORES!$A$3:$H$54,6,0),"")</f>
        <v/>
      </c>
      <c r="R296" s="280" t="n"/>
      <c r="S296" s="280" t="n"/>
      <c r="T296" s="280" t="n"/>
      <c r="U296" s="280" t="n"/>
      <c r="V296" s="280" t="n"/>
      <c r="W296" s="280" t="n"/>
      <c r="X296" s="280" t="n"/>
      <c r="Y296" s="280" t="n"/>
      <c r="Z296" s="375">
        <f>IF(AND(G296&lt;&gt;"",R296&lt;&gt;"",V296&lt;&gt;"",W296&lt;&gt;""),"COMPLETADO","OBSERVADO")</f>
        <v/>
      </c>
    </row>
    <row r="297" ht="15" customHeight="1" s="195">
      <c r="A297" s="334" t="n"/>
      <c r="B297" s="334" t="n"/>
      <c r="C297" s="334" t="n"/>
      <c r="D297" s="334" t="n"/>
      <c r="E297" s="334" t="n"/>
      <c r="F297" s="334" t="n"/>
      <c r="G297" s="334" t="n"/>
      <c r="H297" s="334" t="n"/>
      <c r="I297" s="332">
        <f>IFERROR(VLOOKUP(TEXT(H297,"0"),IPRESS!$A$3:$B$212,2,0),"")</f>
        <v/>
      </c>
      <c r="J297" s="334" t="n"/>
      <c r="K297" s="332">
        <f>IFERROR(VLOOKUP(TEXT(O297,"0"),CONDUCTORES!$A$3:$G$54,7,0),"")</f>
        <v/>
      </c>
      <c r="L297" s="334" t="n"/>
      <c r="M297" s="334" t="n"/>
      <c r="N297" s="333">
        <f>IFERROR(IF(L297*M297=0,"",L297*M297),"")</f>
        <v/>
      </c>
      <c r="O297" s="334" t="n"/>
      <c r="P297" s="332">
        <f>IFERROR(VLOOKUP(TEXT(O297,"0"),CONDUCTORES!$A$3:$G$54,2,0),"")</f>
        <v/>
      </c>
      <c r="Q297" s="332">
        <f>IFERROR(VLOOKUP(TEXT(O297,"0"),CONDUCTORES!$A$3:$H$54,6,0),"")</f>
        <v/>
      </c>
      <c r="R297" s="334" t="n"/>
      <c r="S297" s="334" t="n"/>
      <c r="T297" s="334" t="n"/>
      <c r="U297" s="334" t="n"/>
      <c r="V297" s="334" t="n"/>
      <c r="W297" s="334" t="n"/>
      <c r="X297" s="334" t="n"/>
      <c r="Y297" s="334" t="n"/>
      <c r="Z297" s="375">
        <f>IF(AND(G297&lt;&gt;"",R297&lt;&gt;"",V297&lt;&gt;"",W297&lt;&gt;""),"COMPLETADO","OBSERVADO")</f>
        <v/>
      </c>
    </row>
    <row r="298" ht="15" customHeight="1" s="195">
      <c r="A298" s="280" t="n"/>
      <c r="B298" s="280" t="n"/>
      <c r="C298" s="280" t="n"/>
      <c r="D298" s="280" t="n"/>
      <c r="E298" s="280" t="n"/>
      <c r="F298" s="280" t="n"/>
      <c r="G298" s="280" t="n"/>
      <c r="H298" s="280" t="n"/>
      <c r="I298" s="332">
        <f>IFERROR(VLOOKUP(TEXT(H298,"0"),IPRESS!$A$3:$B$212,2,0),"")</f>
        <v/>
      </c>
      <c r="J298" s="280" t="n"/>
      <c r="K298" s="332">
        <f>IFERROR(VLOOKUP(TEXT(O298,"0"),CONDUCTORES!$A$3:$G$54,7,0),"")</f>
        <v/>
      </c>
      <c r="L298" s="280" t="n"/>
      <c r="M298" s="280" t="n"/>
      <c r="N298" s="333">
        <f>IFERROR(IF(L298*M298=0,"",L298*M298),"")</f>
        <v/>
      </c>
      <c r="O298" s="280" t="n"/>
      <c r="P298" s="332">
        <f>IFERROR(VLOOKUP(TEXT(O298,"0"),CONDUCTORES!$A$3:$G$54,2,0),"")</f>
        <v/>
      </c>
      <c r="Q298" s="332">
        <f>IFERROR(VLOOKUP(TEXT(O298,"0"),CONDUCTORES!$A$3:$H$54,6,0),"")</f>
        <v/>
      </c>
      <c r="R298" s="280" t="n"/>
      <c r="S298" s="280" t="n"/>
      <c r="T298" s="280" t="n"/>
      <c r="U298" s="280" t="n"/>
      <c r="V298" s="280" t="n"/>
      <c r="W298" s="280" t="n"/>
      <c r="X298" s="280" t="n"/>
      <c r="Y298" s="280" t="n"/>
      <c r="Z298" s="375">
        <f>IF(AND(G298&lt;&gt;"",R298&lt;&gt;"",V298&lt;&gt;"",W298&lt;&gt;""),"COMPLETADO","OBSERVADO")</f>
        <v/>
      </c>
    </row>
    <row r="299" ht="15" customHeight="1" s="195">
      <c r="A299" s="334" t="n"/>
      <c r="B299" s="334" t="n"/>
      <c r="C299" s="334" t="n"/>
      <c r="D299" s="334" t="n"/>
      <c r="E299" s="334" t="n"/>
      <c r="F299" s="334" t="n"/>
      <c r="G299" s="334" t="n"/>
      <c r="H299" s="334" t="n"/>
      <c r="I299" s="332">
        <f>IFERROR(VLOOKUP(TEXT(H299,"0"),IPRESS!$A$3:$B$212,2,0),"")</f>
        <v/>
      </c>
      <c r="J299" s="334" t="n"/>
      <c r="K299" s="332">
        <f>IFERROR(VLOOKUP(TEXT(O299,"0"),CONDUCTORES!$A$3:$G$54,7,0),"")</f>
        <v/>
      </c>
      <c r="L299" s="334" t="n"/>
      <c r="M299" s="334" t="n"/>
      <c r="N299" s="333">
        <f>IFERROR(IF(L299*M299=0,"",L299*M299),"")</f>
        <v/>
      </c>
      <c r="O299" s="334" t="n"/>
      <c r="P299" s="332">
        <f>IFERROR(VLOOKUP(TEXT(O299,"0"),CONDUCTORES!$A$3:$G$54,2,0),"")</f>
        <v/>
      </c>
      <c r="Q299" s="332">
        <f>IFERROR(VLOOKUP(TEXT(O299,"0"),CONDUCTORES!$A$3:$H$54,6,0),"")</f>
        <v/>
      </c>
      <c r="R299" s="334" t="n"/>
      <c r="S299" s="334" t="n"/>
      <c r="T299" s="334" t="n"/>
      <c r="U299" s="334" t="n"/>
      <c r="V299" s="334" t="n"/>
      <c r="W299" s="334" t="n"/>
      <c r="X299" s="334" t="n"/>
      <c r="Y299" s="334" t="n"/>
      <c r="Z299" s="375">
        <f>IF(AND(G299&lt;&gt;"",R299&lt;&gt;"",V299&lt;&gt;"",W299&lt;&gt;""),"COMPLETADO","OBSERVADO")</f>
        <v/>
      </c>
    </row>
    <row r="300" ht="15" customHeight="1" s="195">
      <c r="A300" s="280" t="n"/>
      <c r="B300" s="280" t="n"/>
      <c r="C300" s="280" t="n"/>
      <c r="D300" s="280" t="n"/>
      <c r="E300" s="280" t="n"/>
      <c r="F300" s="280" t="n"/>
      <c r="G300" s="280" t="n"/>
      <c r="H300" s="280" t="n"/>
      <c r="I300" s="332">
        <f>IFERROR(VLOOKUP(TEXT(H300,"0"),IPRESS!$A$3:$B$212,2,0),"")</f>
        <v/>
      </c>
      <c r="J300" s="280" t="n"/>
      <c r="K300" s="332">
        <f>IFERROR(VLOOKUP(TEXT(O300,"0"),CONDUCTORES!$A$3:$G$54,7,0),"")</f>
        <v/>
      </c>
      <c r="L300" s="280" t="n"/>
      <c r="M300" s="280" t="n"/>
      <c r="N300" s="333">
        <f>IFERROR(IF(L300*M300=0,"",L300*M300),"")</f>
        <v/>
      </c>
      <c r="O300" s="280" t="n"/>
      <c r="P300" s="332">
        <f>IFERROR(VLOOKUP(TEXT(O300,"0"),CONDUCTORES!$A$3:$G$54,2,0),"")</f>
        <v/>
      </c>
      <c r="Q300" s="332">
        <f>IFERROR(VLOOKUP(TEXT(O300,"0"),CONDUCTORES!$A$3:$H$54,6,0),"")</f>
        <v/>
      </c>
      <c r="R300" s="280" t="n"/>
      <c r="S300" s="280" t="n"/>
      <c r="T300" s="280" t="n"/>
      <c r="U300" s="280" t="n"/>
      <c r="V300" s="280" t="n"/>
      <c r="W300" s="280" t="n"/>
      <c r="X300" s="280" t="n"/>
      <c r="Y300" s="280" t="n"/>
      <c r="Z300" s="375">
        <f>IF(AND(G300&lt;&gt;"",R300&lt;&gt;"",V300&lt;&gt;"",W300&lt;&gt;""),"COMPLETADO","OBSERVADO")</f>
        <v/>
      </c>
    </row>
    <row r="301" ht="15" customHeight="1" s="195">
      <c r="A301" s="334" t="n"/>
      <c r="B301" s="334" t="n"/>
      <c r="C301" s="334" t="n"/>
      <c r="D301" s="334" t="n"/>
      <c r="E301" s="334" t="n"/>
      <c r="F301" s="334" t="n"/>
      <c r="G301" s="334" t="n"/>
      <c r="H301" s="334" t="n"/>
      <c r="I301" s="332">
        <f>IFERROR(VLOOKUP(TEXT(H301,"0"),IPRESS!$A$3:$B$212,2,0),"")</f>
        <v/>
      </c>
      <c r="J301" s="334" t="n"/>
      <c r="K301" s="332">
        <f>IFERROR(VLOOKUP(TEXT(O301,"0"),CONDUCTORES!$A$3:$G$54,7,0),"")</f>
        <v/>
      </c>
      <c r="L301" s="334" t="n"/>
      <c r="M301" s="334" t="n"/>
      <c r="N301" s="333">
        <f>IFERROR(IF(L301*M301=0,"",L301*M301),"")</f>
        <v/>
      </c>
      <c r="O301" s="334" t="n"/>
      <c r="P301" s="332">
        <f>IFERROR(VLOOKUP(TEXT(O301,"0"),CONDUCTORES!$A$3:$G$54,2,0),"")</f>
        <v/>
      </c>
      <c r="Q301" s="332">
        <f>IFERROR(VLOOKUP(TEXT(O301,"0"),CONDUCTORES!$A$3:$H$54,6,0),"")</f>
        <v/>
      </c>
      <c r="R301" s="334" t="n"/>
      <c r="S301" s="334" t="n"/>
      <c r="T301" s="334" t="n"/>
      <c r="U301" s="334" t="n"/>
      <c r="V301" s="334" t="n"/>
      <c r="W301" s="334" t="n"/>
      <c r="X301" s="334" t="n"/>
      <c r="Y301" s="334" t="n"/>
      <c r="Z301" s="375">
        <f>IF(AND(G301&lt;&gt;"",R301&lt;&gt;"",V301&lt;&gt;"",W301&lt;&gt;""),"COMPLETADO","OBSERVADO")</f>
        <v/>
      </c>
    </row>
    <row r="302" ht="15" customHeight="1" s="195">
      <c r="A302" s="280" t="n"/>
      <c r="B302" s="280" t="n"/>
      <c r="C302" s="280" t="n"/>
      <c r="D302" s="280" t="n"/>
      <c r="E302" s="280" t="n"/>
      <c r="F302" s="280" t="n"/>
      <c r="G302" s="280" t="n"/>
      <c r="H302" s="280" t="n"/>
      <c r="I302" s="332">
        <f>IFERROR(VLOOKUP(TEXT(H302,"0"),IPRESS!$A$3:$B$212,2,0),"")</f>
        <v/>
      </c>
      <c r="J302" s="280" t="n"/>
      <c r="K302" s="332">
        <f>IFERROR(VLOOKUP(TEXT(O302,"0"),CONDUCTORES!$A$3:$G$54,7,0),"")</f>
        <v/>
      </c>
      <c r="L302" s="280" t="n"/>
      <c r="M302" s="280" t="n"/>
      <c r="N302" s="333">
        <f>IFERROR(IF(L302*M302=0,"",L302*M302),"")</f>
        <v/>
      </c>
      <c r="O302" s="280" t="n"/>
      <c r="P302" s="332">
        <f>IFERROR(VLOOKUP(TEXT(O302,"0"),CONDUCTORES!$A$3:$G$54,2,0),"")</f>
        <v/>
      </c>
      <c r="Q302" s="332">
        <f>IFERROR(VLOOKUP(TEXT(O302,"0"),CONDUCTORES!$A$3:$H$54,6,0),"")</f>
        <v/>
      </c>
      <c r="R302" s="280" t="n"/>
      <c r="S302" s="280" t="n"/>
      <c r="T302" s="280" t="n"/>
      <c r="U302" s="280" t="n"/>
      <c r="V302" s="280" t="n"/>
      <c r="W302" s="280" t="n"/>
      <c r="X302" s="280" t="n"/>
      <c r="Y302" s="280" t="n"/>
      <c r="Z302" s="375">
        <f>IF(AND(G302&lt;&gt;"",R302&lt;&gt;"",V302&lt;&gt;"",W302&lt;&gt;""),"COMPLETADO","OBSERVADO")</f>
        <v/>
      </c>
    </row>
    <row r="303" ht="15" customHeight="1" s="195">
      <c r="A303" s="334" t="n"/>
      <c r="B303" s="334" t="n"/>
      <c r="C303" s="334" t="n"/>
      <c r="D303" s="334" t="n"/>
      <c r="E303" s="334" t="n"/>
      <c r="F303" s="334" t="n"/>
      <c r="G303" s="334" t="n"/>
      <c r="H303" s="334" t="n"/>
      <c r="I303" s="332">
        <f>IFERROR(VLOOKUP(TEXT(H303,"0"),IPRESS!$A$3:$B$212,2,0),"")</f>
        <v/>
      </c>
      <c r="J303" s="334" t="n"/>
      <c r="K303" s="332">
        <f>IFERROR(VLOOKUP(TEXT(O303,"0"),CONDUCTORES!$A$3:$G$54,7,0),"")</f>
        <v/>
      </c>
      <c r="L303" s="334" t="n"/>
      <c r="M303" s="334" t="n"/>
      <c r="N303" s="333">
        <f>IFERROR(IF(L303*M303=0,"",L303*M303),"")</f>
        <v/>
      </c>
      <c r="O303" s="334" t="n"/>
      <c r="P303" s="332">
        <f>IFERROR(VLOOKUP(TEXT(O303,"0"),CONDUCTORES!$A$3:$G$54,2,0),"")</f>
        <v/>
      </c>
      <c r="Q303" s="332">
        <f>IFERROR(VLOOKUP(TEXT(O303,"0"),CONDUCTORES!$A$3:$H$54,6,0),"")</f>
        <v/>
      </c>
      <c r="R303" s="334" t="n"/>
      <c r="S303" s="334" t="n"/>
      <c r="T303" s="334" t="n"/>
      <c r="U303" s="334" t="n"/>
      <c r="V303" s="334" t="n"/>
      <c r="W303" s="334" t="n"/>
      <c r="X303" s="334" t="n"/>
      <c r="Y303" s="334" t="n"/>
      <c r="Z303" s="375">
        <f>IF(AND(G303&lt;&gt;"",R303&lt;&gt;"",V303&lt;&gt;"",W303&lt;&gt;""),"COMPLETADO","OBSERVADO")</f>
        <v/>
      </c>
    </row>
    <row r="304" ht="15" customHeight="1" s="195">
      <c r="A304" s="280" t="n"/>
      <c r="B304" s="280" t="n"/>
      <c r="C304" s="280" t="n"/>
      <c r="D304" s="280" t="n"/>
      <c r="E304" s="280" t="n"/>
      <c r="F304" s="280" t="n"/>
      <c r="G304" s="280" t="n"/>
      <c r="H304" s="280" t="n"/>
      <c r="I304" s="332">
        <f>IFERROR(VLOOKUP(TEXT(H304,"0"),IPRESS!$A$3:$B$212,2,0),"")</f>
        <v/>
      </c>
      <c r="J304" s="280" t="n"/>
      <c r="K304" s="332">
        <f>IFERROR(VLOOKUP(TEXT(O304,"0"),CONDUCTORES!$A$3:$G$54,7,0),"")</f>
        <v/>
      </c>
      <c r="L304" s="280" t="n"/>
      <c r="M304" s="280" t="n"/>
      <c r="N304" s="333">
        <f>IFERROR(IF(L304*M304=0,"",L304*M304),"")</f>
        <v/>
      </c>
      <c r="O304" s="280" t="n"/>
      <c r="P304" s="332">
        <f>IFERROR(VLOOKUP(TEXT(O304,"0"),CONDUCTORES!$A$3:$G$54,2,0),"")</f>
        <v/>
      </c>
      <c r="Q304" s="332">
        <f>IFERROR(VLOOKUP(TEXT(O304,"0"),CONDUCTORES!$A$3:$H$54,6,0),"")</f>
        <v/>
      </c>
      <c r="R304" s="280" t="n"/>
      <c r="S304" s="280" t="n"/>
      <c r="T304" s="280" t="n"/>
      <c r="U304" s="280" t="n"/>
      <c r="V304" s="280" t="n"/>
      <c r="W304" s="280" t="n"/>
      <c r="X304" s="280" t="n"/>
      <c r="Y304" s="280" t="n"/>
      <c r="Z304" s="375">
        <f>IF(AND(G304&lt;&gt;"",R304&lt;&gt;"",V304&lt;&gt;"",W304&lt;&gt;""),"COMPLETADO","OBSERVADO")</f>
        <v/>
      </c>
    </row>
    <row r="305" ht="15" customHeight="1" s="195">
      <c r="A305" s="334" t="n"/>
      <c r="B305" s="334" t="n"/>
      <c r="C305" s="334" t="n"/>
      <c r="D305" s="334" t="n"/>
      <c r="E305" s="334" t="n"/>
      <c r="F305" s="334" t="n"/>
      <c r="G305" s="334" t="n"/>
      <c r="H305" s="334" t="n"/>
      <c r="I305" s="332">
        <f>IFERROR(VLOOKUP(TEXT(H305,"0"),IPRESS!$A$3:$B$212,2,0),"")</f>
        <v/>
      </c>
      <c r="J305" s="334" t="n"/>
      <c r="K305" s="332">
        <f>IFERROR(VLOOKUP(TEXT(O305,"0"),CONDUCTORES!$A$3:$G$54,7,0),"")</f>
        <v/>
      </c>
      <c r="L305" s="334" t="n"/>
      <c r="M305" s="334" t="n"/>
      <c r="N305" s="333">
        <f>IFERROR(IF(L305*M305=0,"",L305*M305),"")</f>
        <v/>
      </c>
      <c r="O305" s="334" t="n"/>
      <c r="P305" s="332">
        <f>IFERROR(VLOOKUP(TEXT(O305,"0"),CONDUCTORES!$A$3:$G$54,2,0),"")</f>
        <v/>
      </c>
      <c r="Q305" s="332">
        <f>IFERROR(VLOOKUP(TEXT(O305,"0"),CONDUCTORES!$A$3:$H$54,6,0),"")</f>
        <v/>
      </c>
      <c r="R305" s="334" t="n"/>
      <c r="S305" s="334" t="n"/>
      <c r="T305" s="334" t="n"/>
      <c r="U305" s="334" t="n"/>
      <c r="V305" s="334" t="n"/>
      <c r="W305" s="334" t="n"/>
      <c r="X305" s="334" t="n"/>
      <c r="Y305" s="334" t="n"/>
      <c r="Z305" s="375">
        <f>IF(AND(G305&lt;&gt;"",R305&lt;&gt;"",V305&lt;&gt;"",W305&lt;&gt;""),"COMPLETADO","OBSERVADO")</f>
        <v/>
      </c>
    </row>
    <row r="306" ht="15" customHeight="1" s="195">
      <c r="A306" s="280" t="n"/>
      <c r="B306" s="280" t="n"/>
      <c r="C306" s="280" t="n"/>
      <c r="D306" s="280" t="n"/>
      <c r="E306" s="280" t="n"/>
      <c r="F306" s="280" t="n"/>
      <c r="G306" s="280" t="n"/>
      <c r="H306" s="280" t="n"/>
      <c r="I306" s="332">
        <f>IFERROR(VLOOKUP(TEXT(H306,"0"),IPRESS!$A$3:$B$212,2,0),"")</f>
        <v/>
      </c>
      <c r="J306" s="280" t="n"/>
      <c r="K306" s="332">
        <f>IFERROR(VLOOKUP(TEXT(O306,"0"),CONDUCTORES!$A$3:$G$54,7,0),"")</f>
        <v/>
      </c>
      <c r="L306" s="280" t="n"/>
      <c r="M306" s="280" t="n"/>
      <c r="N306" s="333">
        <f>IFERROR(IF(L306*M306=0,"",L306*M306),"")</f>
        <v/>
      </c>
      <c r="O306" s="280" t="n"/>
      <c r="P306" s="332">
        <f>IFERROR(VLOOKUP(TEXT(O306,"0"),CONDUCTORES!$A$3:$G$54,2,0),"")</f>
        <v/>
      </c>
      <c r="Q306" s="332">
        <f>IFERROR(VLOOKUP(TEXT(O306,"0"),CONDUCTORES!$A$3:$H$54,6,0),"")</f>
        <v/>
      </c>
      <c r="R306" s="280" t="n"/>
      <c r="S306" s="280" t="n"/>
      <c r="T306" s="280" t="n"/>
      <c r="U306" s="280" t="n"/>
      <c r="V306" s="280" t="n"/>
      <c r="W306" s="280" t="n"/>
      <c r="X306" s="280" t="n"/>
      <c r="Y306" s="280" t="n"/>
      <c r="Z306" s="375">
        <f>IF(AND(G306&lt;&gt;"",R306&lt;&gt;"",V306&lt;&gt;"",W306&lt;&gt;""),"COMPLETADO","OBSERVADO")</f>
        <v/>
      </c>
    </row>
    <row r="307" ht="15" customHeight="1" s="195">
      <c r="A307" s="334" t="n"/>
      <c r="B307" s="334" t="n"/>
      <c r="C307" s="334" t="n"/>
      <c r="D307" s="334" t="n"/>
      <c r="E307" s="334" t="n"/>
      <c r="F307" s="334" t="n"/>
      <c r="G307" s="334" t="n"/>
      <c r="H307" s="334" t="n"/>
      <c r="I307" s="332">
        <f>IFERROR(VLOOKUP(TEXT(H307,"0"),IPRESS!$A$3:$B$212,2,0),"")</f>
        <v/>
      </c>
      <c r="J307" s="334" t="n"/>
      <c r="K307" s="332">
        <f>IFERROR(VLOOKUP(TEXT(O307,"0"),CONDUCTORES!$A$3:$G$54,7,0),"")</f>
        <v/>
      </c>
      <c r="L307" s="334" t="n"/>
      <c r="M307" s="334" t="n"/>
      <c r="N307" s="333">
        <f>IFERROR(IF(L307*M307=0,"",L307*M307),"")</f>
        <v/>
      </c>
      <c r="O307" s="334" t="n"/>
      <c r="P307" s="332">
        <f>IFERROR(VLOOKUP(TEXT(O307,"0"),CONDUCTORES!$A$3:$G$54,2,0),"")</f>
        <v/>
      </c>
      <c r="Q307" s="332">
        <f>IFERROR(VLOOKUP(TEXT(O307,"0"),CONDUCTORES!$A$3:$H$54,6,0),"")</f>
        <v/>
      </c>
      <c r="R307" s="334" t="n"/>
      <c r="S307" s="334" t="n"/>
      <c r="T307" s="334" t="n"/>
      <c r="U307" s="334" t="n"/>
      <c r="V307" s="334" t="n"/>
      <c r="W307" s="334" t="n"/>
      <c r="X307" s="334" t="n"/>
      <c r="Y307" s="334" t="n"/>
      <c r="Z307" s="375">
        <f>IF(AND(G307&lt;&gt;"",R307&lt;&gt;"",V307&lt;&gt;"",W307&lt;&gt;""),"COMPLETADO","OBSERVADO")</f>
        <v/>
      </c>
    </row>
    <row r="308" ht="15" customHeight="1" s="195">
      <c r="A308" s="280" t="n"/>
      <c r="B308" s="280" t="n"/>
      <c r="C308" s="280" t="n"/>
      <c r="D308" s="280" t="n"/>
      <c r="E308" s="280" t="n"/>
      <c r="F308" s="280" t="n"/>
      <c r="G308" s="280" t="n"/>
      <c r="H308" s="280" t="n"/>
      <c r="I308" s="332">
        <f>IFERROR(VLOOKUP(TEXT(H308,"0"),IPRESS!$A$3:$B$212,2,0),"")</f>
        <v/>
      </c>
      <c r="J308" s="280" t="n"/>
      <c r="K308" s="332">
        <f>IFERROR(VLOOKUP(TEXT(O308,"0"),CONDUCTORES!$A$3:$G$54,7,0),"")</f>
        <v/>
      </c>
      <c r="L308" s="280" t="n"/>
      <c r="M308" s="280" t="n"/>
      <c r="N308" s="333">
        <f>IFERROR(IF(L308*M308=0,"",L308*M308),"")</f>
        <v/>
      </c>
      <c r="O308" s="280" t="n"/>
      <c r="P308" s="332">
        <f>IFERROR(VLOOKUP(TEXT(O308,"0"),CONDUCTORES!$A$3:$G$54,2,0),"")</f>
        <v/>
      </c>
      <c r="Q308" s="332">
        <f>IFERROR(VLOOKUP(TEXT(O308,"0"),CONDUCTORES!$A$3:$H$54,6,0),"")</f>
        <v/>
      </c>
      <c r="R308" s="280" t="n"/>
      <c r="S308" s="280" t="n"/>
      <c r="T308" s="280" t="n"/>
      <c r="U308" s="280" t="n"/>
      <c r="V308" s="280" t="n"/>
      <c r="W308" s="280" t="n"/>
      <c r="X308" s="280" t="n"/>
      <c r="Y308" s="280" t="n"/>
      <c r="Z308" s="375">
        <f>IF(AND(G308&lt;&gt;"",R308&lt;&gt;"",V308&lt;&gt;"",W308&lt;&gt;""),"COMPLETADO","OBSERVADO")</f>
        <v/>
      </c>
    </row>
    <row r="309" ht="15" customHeight="1" s="195">
      <c r="A309" s="334" t="n"/>
      <c r="B309" s="334" t="n"/>
      <c r="C309" s="334" t="n"/>
      <c r="D309" s="334" t="n"/>
      <c r="E309" s="334" t="n"/>
      <c r="F309" s="334" t="n"/>
      <c r="G309" s="334" t="n"/>
      <c r="H309" s="334" t="n"/>
      <c r="I309" s="332">
        <f>IFERROR(VLOOKUP(TEXT(H309,"0"),IPRESS!$A$3:$B$212,2,0),"")</f>
        <v/>
      </c>
      <c r="J309" s="334" t="n"/>
      <c r="K309" s="332">
        <f>IFERROR(VLOOKUP(TEXT(O309,"0"),CONDUCTORES!$A$3:$G$54,7,0),"")</f>
        <v/>
      </c>
      <c r="L309" s="334" t="n"/>
      <c r="M309" s="334" t="n"/>
      <c r="N309" s="333">
        <f>IFERROR(IF(L309*M309=0,"",L309*M309),"")</f>
        <v/>
      </c>
      <c r="O309" s="334" t="n"/>
      <c r="P309" s="332">
        <f>IFERROR(VLOOKUP(TEXT(O309,"0"),CONDUCTORES!$A$3:$G$54,2,0),"")</f>
        <v/>
      </c>
      <c r="Q309" s="332">
        <f>IFERROR(VLOOKUP(TEXT(O309,"0"),CONDUCTORES!$A$3:$H$54,6,0),"")</f>
        <v/>
      </c>
      <c r="R309" s="334" t="n"/>
      <c r="S309" s="334" t="n"/>
      <c r="T309" s="334" t="n"/>
      <c r="U309" s="334" t="n"/>
      <c r="V309" s="334" t="n"/>
      <c r="W309" s="334" t="n"/>
      <c r="X309" s="334" t="n"/>
      <c r="Y309" s="334" t="n"/>
      <c r="Z309" s="375">
        <f>IF(AND(G309&lt;&gt;"",R309&lt;&gt;"",V309&lt;&gt;"",W309&lt;&gt;""),"COMPLETADO","OBSERVADO")</f>
        <v/>
      </c>
    </row>
    <row r="310" ht="15" customHeight="1" s="195">
      <c r="A310" s="280" t="n"/>
      <c r="B310" s="280" t="n"/>
      <c r="C310" s="280" t="n"/>
      <c r="D310" s="280" t="n"/>
      <c r="E310" s="280" t="n"/>
      <c r="F310" s="280" t="n"/>
      <c r="G310" s="280" t="n"/>
      <c r="H310" s="280" t="n"/>
      <c r="I310" s="332">
        <f>IFERROR(VLOOKUP(TEXT(H310,"0"),IPRESS!$A$3:$B$212,2,0),"")</f>
        <v/>
      </c>
      <c r="J310" s="280" t="n"/>
      <c r="K310" s="332">
        <f>IFERROR(VLOOKUP(TEXT(O310,"0"),CONDUCTORES!$A$3:$G$54,7,0),"")</f>
        <v/>
      </c>
      <c r="L310" s="280" t="n"/>
      <c r="M310" s="280" t="n"/>
      <c r="N310" s="333">
        <f>IFERROR(IF(L310*M310=0,"",L310*M310),"")</f>
        <v/>
      </c>
      <c r="O310" s="280" t="n"/>
      <c r="P310" s="332">
        <f>IFERROR(VLOOKUP(TEXT(O310,"0"),CONDUCTORES!$A$3:$G$54,2,0),"")</f>
        <v/>
      </c>
      <c r="Q310" s="332">
        <f>IFERROR(VLOOKUP(TEXT(O310,"0"),CONDUCTORES!$A$3:$H$54,6,0),"")</f>
        <v/>
      </c>
      <c r="R310" s="280" t="n"/>
      <c r="S310" s="280" t="n"/>
      <c r="T310" s="280" t="n"/>
      <c r="U310" s="280" t="n"/>
      <c r="V310" s="280" t="n"/>
      <c r="W310" s="280" t="n"/>
      <c r="X310" s="280" t="n"/>
      <c r="Y310" s="280" t="n"/>
      <c r="Z310" s="375">
        <f>IF(AND(G310&lt;&gt;"",R310&lt;&gt;"",V310&lt;&gt;"",W310&lt;&gt;""),"COMPLETADO","OBSERVADO")</f>
        <v/>
      </c>
    </row>
    <row r="311" ht="15" customHeight="1" s="195">
      <c r="A311" s="334" t="n"/>
      <c r="B311" s="334" t="n"/>
      <c r="C311" s="334" t="n"/>
      <c r="D311" s="334" t="n"/>
      <c r="E311" s="334" t="n"/>
      <c r="F311" s="334" t="n"/>
      <c r="G311" s="334" t="n"/>
      <c r="H311" s="334" t="n"/>
      <c r="I311" s="332">
        <f>IFERROR(VLOOKUP(TEXT(H311,"0"),IPRESS!$A$3:$B$212,2,0),"")</f>
        <v/>
      </c>
      <c r="J311" s="334" t="n"/>
      <c r="K311" s="332">
        <f>IFERROR(VLOOKUP(TEXT(O311,"0"),CONDUCTORES!$A$3:$G$54,7,0),"")</f>
        <v/>
      </c>
      <c r="L311" s="334" t="n"/>
      <c r="M311" s="334" t="n"/>
      <c r="N311" s="333">
        <f>IFERROR(IF(L311*M311=0,"",L311*M311),"")</f>
        <v/>
      </c>
      <c r="O311" s="334" t="n"/>
      <c r="P311" s="332">
        <f>IFERROR(VLOOKUP(TEXT(O311,"0"),CONDUCTORES!$A$3:$G$54,2,0),"")</f>
        <v/>
      </c>
      <c r="Q311" s="332">
        <f>IFERROR(VLOOKUP(TEXT(O311,"0"),CONDUCTORES!$A$3:$H$54,6,0),"")</f>
        <v/>
      </c>
      <c r="R311" s="334" t="n"/>
      <c r="S311" s="334" t="n"/>
      <c r="T311" s="334" t="n"/>
      <c r="U311" s="334" t="n"/>
      <c r="V311" s="334" t="n"/>
      <c r="W311" s="334" t="n"/>
      <c r="X311" s="334" t="n"/>
      <c r="Y311" s="334" t="n"/>
      <c r="Z311" s="375">
        <f>IF(AND(G311&lt;&gt;"",R311&lt;&gt;"",V311&lt;&gt;"",W311&lt;&gt;""),"COMPLETADO","OBSERVADO")</f>
        <v/>
      </c>
    </row>
    <row r="312" ht="15" customHeight="1" s="195">
      <c r="A312" s="280" t="n"/>
      <c r="B312" s="280" t="n"/>
      <c r="C312" s="280" t="n"/>
      <c r="D312" s="280" t="n"/>
      <c r="E312" s="280" t="n"/>
      <c r="F312" s="280" t="n"/>
      <c r="G312" s="280" t="n"/>
      <c r="H312" s="280" t="n"/>
      <c r="I312" s="332">
        <f>IFERROR(VLOOKUP(TEXT(H312,"0"),IPRESS!$A$3:$B$212,2,0),"")</f>
        <v/>
      </c>
      <c r="J312" s="280" t="n"/>
      <c r="K312" s="332">
        <f>IFERROR(VLOOKUP(TEXT(O312,"0"),CONDUCTORES!$A$3:$G$54,7,0),"")</f>
        <v/>
      </c>
      <c r="L312" s="280" t="n"/>
      <c r="M312" s="280" t="n"/>
      <c r="N312" s="333">
        <f>IFERROR(IF(L312*M312=0,"",L312*M312),"")</f>
        <v/>
      </c>
      <c r="O312" s="280" t="n"/>
      <c r="P312" s="332">
        <f>IFERROR(VLOOKUP(TEXT(O312,"0"),CONDUCTORES!$A$3:$G$54,2,0),"")</f>
        <v/>
      </c>
      <c r="Q312" s="332">
        <f>IFERROR(VLOOKUP(TEXT(O312,"0"),CONDUCTORES!$A$3:$H$54,6,0),"")</f>
        <v/>
      </c>
      <c r="R312" s="280" t="n"/>
      <c r="S312" s="280" t="n"/>
      <c r="T312" s="280" t="n"/>
      <c r="U312" s="280" t="n"/>
      <c r="V312" s="280" t="n"/>
      <c r="W312" s="280" t="n"/>
      <c r="X312" s="280" t="n"/>
      <c r="Y312" s="280" t="n"/>
      <c r="Z312" s="375">
        <f>IF(AND(G312&lt;&gt;"",R312&lt;&gt;"",V312&lt;&gt;"",W312&lt;&gt;""),"COMPLETADO","OBSERVADO")</f>
        <v/>
      </c>
    </row>
    <row r="313" ht="15" customHeight="1" s="195">
      <c r="A313" s="334" t="n"/>
      <c r="B313" s="334" t="n"/>
      <c r="C313" s="334" t="n"/>
      <c r="D313" s="334" t="n"/>
      <c r="E313" s="334" t="n"/>
      <c r="F313" s="334" t="n"/>
      <c r="G313" s="334" t="n"/>
      <c r="H313" s="334" t="n"/>
      <c r="I313" s="332">
        <f>IFERROR(VLOOKUP(TEXT(H313,"0"),IPRESS!$A$3:$B$212,2,0),"")</f>
        <v/>
      </c>
      <c r="J313" s="334" t="n"/>
      <c r="K313" s="332">
        <f>IFERROR(VLOOKUP(TEXT(O313,"0"),CONDUCTORES!$A$3:$G$54,7,0),"")</f>
        <v/>
      </c>
      <c r="L313" s="334" t="n"/>
      <c r="M313" s="334" t="n"/>
      <c r="N313" s="333">
        <f>IFERROR(IF(L313*M313=0,"",L313*M313),"")</f>
        <v/>
      </c>
      <c r="O313" s="334" t="n"/>
      <c r="P313" s="332">
        <f>IFERROR(VLOOKUP(TEXT(O313,"0"),CONDUCTORES!$A$3:$G$54,2,0),"")</f>
        <v/>
      </c>
      <c r="Q313" s="332">
        <f>IFERROR(VLOOKUP(TEXT(O313,"0"),CONDUCTORES!$A$3:$H$54,6,0),"")</f>
        <v/>
      </c>
      <c r="R313" s="334" t="n"/>
      <c r="S313" s="334" t="n"/>
      <c r="T313" s="334" t="n"/>
      <c r="U313" s="334" t="n"/>
      <c r="V313" s="334" t="n"/>
      <c r="W313" s="334" t="n"/>
      <c r="X313" s="334" t="n"/>
      <c r="Y313" s="334" t="n"/>
      <c r="Z313" s="375">
        <f>IF(AND(G313&lt;&gt;"",R313&lt;&gt;"",V313&lt;&gt;"",W313&lt;&gt;""),"COMPLETADO","OBSERVADO")</f>
        <v/>
      </c>
    </row>
    <row r="314" ht="15" customHeight="1" s="195">
      <c r="A314" s="280" t="n"/>
      <c r="B314" s="280" t="n"/>
      <c r="C314" s="280" t="n"/>
      <c r="D314" s="280" t="n"/>
      <c r="E314" s="280" t="n"/>
      <c r="F314" s="280" t="n"/>
      <c r="G314" s="280" t="n"/>
      <c r="H314" s="280" t="n"/>
      <c r="I314" s="332">
        <f>IFERROR(VLOOKUP(TEXT(H314,"0"),IPRESS!$A$3:$B$212,2,0),"")</f>
        <v/>
      </c>
      <c r="J314" s="280" t="n"/>
      <c r="K314" s="332">
        <f>IFERROR(VLOOKUP(TEXT(O314,"0"),CONDUCTORES!$A$3:$G$54,7,0),"")</f>
        <v/>
      </c>
      <c r="L314" s="280" t="n"/>
      <c r="M314" s="280" t="n"/>
      <c r="N314" s="333">
        <f>IFERROR(IF(L314*M314=0,"",L314*M314),"")</f>
        <v/>
      </c>
      <c r="O314" s="280" t="n"/>
      <c r="P314" s="332">
        <f>IFERROR(VLOOKUP(TEXT(O314,"0"),CONDUCTORES!$A$3:$G$54,2,0),"")</f>
        <v/>
      </c>
      <c r="Q314" s="332">
        <f>IFERROR(VLOOKUP(TEXT(O314,"0"),CONDUCTORES!$A$3:$H$54,6,0),"")</f>
        <v/>
      </c>
      <c r="R314" s="280" t="n"/>
      <c r="S314" s="280" t="n"/>
      <c r="T314" s="280" t="n"/>
      <c r="U314" s="280" t="n"/>
      <c r="V314" s="280" t="n"/>
      <c r="W314" s="280" t="n"/>
      <c r="X314" s="280" t="n"/>
      <c r="Y314" s="280" t="n"/>
      <c r="Z314" s="375">
        <f>IF(AND(G314&lt;&gt;"",R314&lt;&gt;"",V314&lt;&gt;"",W314&lt;&gt;""),"COMPLETADO","OBSERVADO")</f>
        <v/>
      </c>
    </row>
    <row r="315" ht="15" customHeight="1" s="195">
      <c r="A315" s="334" t="n"/>
      <c r="B315" s="334" t="n"/>
      <c r="C315" s="334" t="n"/>
      <c r="D315" s="334" t="n"/>
      <c r="E315" s="334" t="n"/>
      <c r="F315" s="334" t="n"/>
      <c r="G315" s="334" t="n"/>
      <c r="H315" s="334" t="n"/>
      <c r="I315" s="332">
        <f>IFERROR(VLOOKUP(TEXT(H315,"0"),IPRESS!$A$3:$B$212,2,0),"")</f>
        <v/>
      </c>
      <c r="J315" s="334" t="n"/>
      <c r="K315" s="332">
        <f>IFERROR(VLOOKUP(TEXT(O315,"0"),CONDUCTORES!$A$3:$G$54,7,0),"")</f>
        <v/>
      </c>
      <c r="L315" s="334" t="n"/>
      <c r="M315" s="334" t="n"/>
      <c r="N315" s="333">
        <f>IFERROR(IF(L315*M315=0,"",L315*M315),"")</f>
        <v/>
      </c>
      <c r="O315" s="334" t="n"/>
      <c r="P315" s="332">
        <f>IFERROR(VLOOKUP(TEXT(O315,"0"),CONDUCTORES!$A$3:$G$54,2,0),"")</f>
        <v/>
      </c>
      <c r="Q315" s="332">
        <f>IFERROR(VLOOKUP(TEXT(O315,"0"),CONDUCTORES!$A$3:$H$54,6,0),"")</f>
        <v/>
      </c>
      <c r="R315" s="334" t="n"/>
      <c r="S315" s="334" t="n"/>
      <c r="T315" s="334" t="n"/>
      <c r="U315" s="334" t="n"/>
      <c r="V315" s="334" t="n"/>
      <c r="W315" s="334" t="n"/>
      <c r="X315" s="334" t="n"/>
      <c r="Y315" s="334" t="n"/>
      <c r="Z315" s="375">
        <f>IF(AND(G315&lt;&gt;"",R315&lt;&gt;"",V315&lt;&gt;"",W315&lt;&gt;""),"COMPLETADO","OBSERVADO")</f>
        <v/>
      </c>
    </row>
    <row r="316" ht="15" customHeight="1" s="195">
      <c r="A316" s="280" t="n"/>
      <c r="B316" s="280" t="n"/>
      <c r="C316" s="280" t="n"/>
      <c r="D316" s="280" t="n"/>
      <c r="E316" s="280" t="n"/>
      <c r="F316" s="280" t="n"/>
      <c r="G316" s="280" t="n"/>
      <c r="H316" s="280" t="n"/>
      <c r="I316" s="332">
        <f>IFERROR(VLOOKUP(TEXT(H316,"0"),IPRESS!$A$3:$B$212,2,0),"")</f>
        <v/>
      </c>
      <c r="J316" s="280" t="n"/>
      <c r="K316" s="332">
        <f>IFERROR(VLOOKUP(TEXT(O316,"0"),CONDUCTORES!$A$3:$G$54,7,0),"")</f>
        <v/>
      </c>
      <c r="L316" s="280" t="n"/>
      <c r="M316" s="280" t="n"/>
      <c r="N316" s="333">
        <f>IFERROR(IF(L316*M316=0,"",L316*M316),"")</f>
        <v/>
      </c>
      <c r="O316" s="280" t="n"/>
      <c r="P316" s="332">
        <f>IFERROR(VLOOKUP(TEXT(O316,"0"),CONDUCTORES!$A$3:$G$54,2,0),"")</f>
        <v/>
      </c>
      <c r="Q316" s="332">
        <f>IFERROR(VLOOKUP(TEXT(O316,"0"),CONDUCTORES!$A$3:$H$54,6,0),"")</f>
        <v/>
      </c>
      <c r="R316" s="280" t="n"/>
      <c r="S316" s="280" t="n"/>
      <c r="T316" s="280" t="n"/>
      <c r="U316" s="280" t="n"/>
      <c r="V316" s="280" t="n"/>
      <c r="W316" s="280" t="n"/>
      <c r="X316" s="280" t="n"/>
      <c r="Y316" s="280" t="n"/>
      <c r="Z316" s="375">
        <f>IF(AND(G316&lt;&gt;"",R316&lt;&gt;"",V316&lt;&gt;"",W316&lt;&gt;""),"COMPLETADO","OBSERVADO")</f>
        <v/>
      </c>
    </row>
    <row r="317" ht="15" customHeight="1" s="195">
      <c r="A317" s="334" t="n"/>
      <c r="B317" s="334" t="n"/>
      <c r="C317" s="334" t="n"/>
      <c r="D317" s="334" t="n"/>
      <c r="E317" s="334" t="n"/>
      <c r="F317" s="334" t="n"/>
      <c r="G317" s="334" t="n"/>
      <c r="H317" s="334" t="n"/>
      <c r="I317" s="332">
        <f>IFERROR(VLOOKUP(TEXT(H317,"0"),IPRESS!$A$3:$B$212,2,0),"")</f>
        <v/>
      </c>
      <c r="J317" s="334" t="n"/>
      <c r="K317" s="332">
        <f>IFERROR(VLOOKUP(TEXT(O317,"0"),CONDUCTORES!$A$3:$G$54,7,0),"")</f>
        <v/>
      </c>
      <c r="L317" s="334" t="n"/>
      <c r="M317" s="334" t="n"/>
      <c r="N317" s="333">
        <f>IFERROR(IF(L317*M317=0,"",L317*M317),"")</f>
        <v/>
      </c>
      <c r="O317" s="334" t="n"/>
      <c r="P317" s="332">
        <f>IFERROR(VLOOKUP(TEXT(O317,"0"),CONDUCTORES!$A$3:$G$54,2,0),"")</f>
        <v/>
      </c>
      <c r="Q317" s="332">
        <f>IFERROR(VLOOKUP(TEXT(O317,"0"),CONDUCTORES!$A$3:$H$54,6,0),"")</f>
        <v/>
      </c>
      <c r="R317" s="334" t="n"/>
      <c r="S317" s="334" t="n"/>
      <c r="T317" s="334" t="n"/>
      <c r="U317" s="334" t="n"/>
      <c r="V317" s="334" t="n"/>
      <c r="W317" s="334" t="n"/>
      <c r="X317" s="334" t="n"/>
      <c r="Y317" s="334" t="n"/>
      <c r="Z317" s="375">
        <f>IF(AND(G317&lt;&gt;"",R317&lt;&gt;"",V317&lt;&gt;"",W317&lt;&gt;""),"COMPLETADO","OBSERVADO")</f>
        <v/>
      </c>
    </row>
    <row r="318" ht="15" customHeight="1" s="195">
      <c r="A318" s="280" t="n"/>
      <c r="B318" s="280" t="n"/>
      <c r="C318" s="280" t="n"/>
      <c r="D318" s="280" t="n"/>
      <c r="E318" s="280" t="n"/>
      <c r="F318" s="280" t="n"/>
      <c r="G318" s="280" t="n"/>
      <c r="H318" s="280" t="n"/>
      <c r="I318" s="332">
        <f>IFERROR(VLOOKUP(TEXT(H318,"0"),IPRESS!$A$3:$B$212,2,0),"")</f>
        <v/>
      </c>
      <c r="J318" s="280" t="n"/>
      <c r="K318" s="332">
        <f>IFERROR(VLOOKUP(TEXT(O318,"0"),CONDUCTORES!$A$3:$G$54,7,0),"")</f>
        <v/>
      </c>
      <c r="L318" s="280" t="n"/>
      <c r="M318" s="280" t="n"/>
      <c r="N318" s="333">
        <f>IFERROR(IF(L318*M318=0,"",L318*M318),"")</f>
        <v/>
      </c>
      <c r="O318" s="280" t="n"/>
      <c r="P318" s="332">
        <f>IFERROR(VLOOKUP(TEXT(O318,"0"),CONDUCTORES!$A$3:$G$54,2,0),"")</f>
        <v/>
      </c>
      <c r="Q318" s="332">
        <f>IFERROR(VLOOKUP(TEXT(O318,"0"),CONDUCTORES!$A$3:$H$54,6,0),"")</f>
        <v/>
      </c>
      <c r="R318" s="280" t="n"/>
      <c r="S318" s="280" t="n"/>
      <c r="T318" s="280" t="n"/>
      <c r="U318" s="280" t="n"/>
      <c r="V318" s="280" t="n"/>
      <c r="W318" s="280" t="n"/>
      <c r="X318" s="280" t="n"/>
      <c r="Y318" s="280" t="n"/>
      <c r="Z318" s="375">
        <f>IF(AND(G318&lt;&gt;"",R318&lt;&gt;"",V318&lt;&gt;"",W318&lt;&gt;""),"COMPLETADO","OBSERVADO")</f>
        <v/>
      </c>
    </row>
    <row r="319" ht="15" customHeight="1" s="195">
      <c r="A319" s="334" t="n"/>
      <c r="B319" s="334" t="n"/>
      <c r="C319" s="334" t="n"/>
      <c r="D319" s="334" t="n"/>
      <c r="E319" s="334" t="n"/>
      <c r="F319" s="334" t="n"/>
      <c r="G319" s="334" t="n"/>
      <c r="H319" s="334" t="n"/>
      <c r="I319" s="332">
        <f>IFERROR(VLOOKUP(TEXT(H319,"0"),IPRESS!$A$3:$B$212,2,0),"")</f>
        <v/>
      </c>
      <c r="J319" s="334" t="n"/>
      <c r="K319" s="332">
        <f>IFERROR(VLOOKUP(TEXT(O319,"0"),CONDUCTORES!$A$3:$G$54,7,0),"")</f>
        <v/>
      </c>
      <c r="L319" s="334" t="n"/>
      <c r="M319" s="334" t="n"/>
      <c r="N319" s="333">
        <f>IFERROR(IF(L319*M319=0,"",L319*M319),"")</f>
        <v/>
      </c>
      <c r="O319" s="334" t="n"/>
      <c r="P319" s="332">
        <f>IFERROR(VLOOKUP(TEXT(O319,"0"),CONDUCTORES!$A$3:$G$54,2,0),"")</f>
        <v/>
      </c>
      <c r="Q319" s="332">
        <f>IFERROR(VLOOKUP(TEXT(O319,"0"),CONDUCTORES!$A$3:$H$54,6,0),"")</f>
        <v/>
      </c>
      <c r="R319" s="334" t="n"/>
      <c r="S319" s="334" t="n"/>
      <c r="T319" s="334" t="n"/>
      <c r="U319" s="334" t="n"/>
      <c r="V319" s="334" t="n"/>
      <c r="W319" s="334" t="n"/>
      <c r="X319" s="334" t="n"/>
      <c r="Y319" s="334" t="n"/>
      <c r="Z319" s="375">
        <f>IF(AND(G319&lt;&gt;"",R319&lt;&gt;"",V319&lt;&gt;"",W319&lt;&gt;""),"COMPLETADO","OBSERVADO")</f>
        <v/>
      </c>
    </row>
    <row r="320" ht="15" customHeight="1" s="195">
      <c r="A320" s="280" t="n"/>
      <c r="B320" s="280" t="n"/>
      <c r="C320" s="280" t="n"/>
      <c r="D320" s="280" t="n"/>
      <c r="E320" s="280" t="n"/>
      <c r="F320" s="280" t="n"/>
      <c r="G320" s="280" t="n"/>
      <c r="H320" s="280" t="n"/>
      <c r="I320" s="332">
        <f>IFERROR(VLOOKUP(TEXT(H320,"0"),IPRESS!$A$3:$B$212,2,0),"")</f>
        <v/>
      </c>
      <c r="J320" s="280" t="n"/>
      <c r="K320" s="332">
        <f>IFERROR(VLOOKUP(TEXT(O320,"0"),CONDUCTORES!$A$3:$G$54,7,0),"")</f>
        <v/>
      </c>
      <c r="L320" s="280" t="n"/>
      <c r="M320" s="280" t="n"/>
      <c r="N320" s="333">
        <f>IFERROR(IF(L320*M320=0,"",L320*M320),"")</f>
        <v/>
      </c>
      <c r="O320" s="280" t="n"/>
      <c r="P320" s="332">
        <f>IFERROR(VLOOKUP(TEXT(O320,"0"),CONDUCTORES!$A$3:$G$54,2,0),"")</f>
        <v/>
      </c>
      <c r="Q320" s="332">
        <f>IFERROR(VLOOKUP(TEXT(O320,"0"),CONDUCTORES!$A$3:$H$54,6,0),"")</f>
        <v/>
      </c>
      <c r="R320" s="280" t="n"/>
      <c r="S320" s="280" t="n"/>
      <c r="T320" s="280" t="n"/>
      <c r="U320" s="280" t="n"/>
      <c r="V320" s="280" t="n"/>
      <c r="W320" s="280" t="n"/>
      <c r="X320" s="280" t="n"/>
      <c r="Y320" s="280" t="n"/>
      <c r="Z320" s="375">
        <f>IF(AND(G320&lt;&gt;"",R320&lt;&gt;"",V320&lt;&gt;"",W320&lt;&gt;""),"COMPLETADO","OBSERVADO")</f>
        <v/>
      </c>
    </row>
    <row r="321" ht="15" customHeight="1" s="195">
      <c r="A321" s="334" t="n"/>
      <c r="B321" s="334" t="n"/>
      <c r="C321" s="334" t="n"/>
      <c r="D321" s="334" t="n"/>
      <c r="E321" s="334" t="n"/>
      <c r="F321" s="334" t="n"/>
      <c r="G321" s="334" t="n"/>
      <c r="H321" s="334" t="n"/>
      <c r="I321" s="332">
        <f>IFERROR(VLOOKUP(TEXT(H321,"0"),IPRESS!$A$3:$B$212,2,0),"")</f>
        <v/>
      </c>
      <c r="J321" s="334" t="n"/>
      <c r="K321" s="332">
        <f>IFERROR(VLOOKUP(TEXT(O321,"0"),CONDUCTORES!$A$3:$G$54,7,0),"")</f>
        <v/>
      </c>
      <c r="L321" s="334" t="n"/>
      <c r="M321" s="334" t="n"/>
      <c r="N321" s="333">
        <f>IFERROR(IF(L321*M321=0,"",L321*M321),"")</f>
        <v/>
      </c>
      <c r="O321" s="334" t="n"/>
      <c r="P321" s="332">
        <f>IFERROR(VLOOKUP(TEXT(O321,"0"),CONDUCTORES!$A$3:$G$54,2,0),"")</f>
        <v/>
      </c>
      <c r="Q321" s="332">
        <f>IFERROR(VLOOKUP(TEXT(O321,"0"),CONDUCTORES!$A$3:$H$54,6,0),"")</f>
        <v/>
      </c>
      <c r="R321" s="334" t="n"/>
      <c r="S321" s="334" t="n"/>
      <c r="T321" s="334" t="n"/>
      <c r="U321" s="334" t="n"/>
      <c r="V321" s="334" t="n"/>
      <c r="W321" s="334" t="n"/>
      <c r="X321" s="334" t="n"/>
      <c r="Y321" s="334" t="n"/>
      <c r="Z321" s="375">
        <f>IF(AND(G321&lt;&gt;"",R321&lt;&gt;"",V321&lt;&gt;"",W321&lt;&gt;""),"COMPLETADO","OBSERVADO")</f>
        <v/>
      </c>
    </row>
    <row r="322" ht="15" customHeight="1" s="195">
      <c r="A322" s="280" t="n"/>
      <c r="B322" s="280" t="n"/>
      <c r="C322" s="280" t="n"/>
      <c r="D322" s="280" t="n"/>
      <c r="E322" s="280" t="n"/>
      <c r="F322" s="280" t="n"/>
      <c r="G322" s="280" t="n"/>
      <c r="H322" s="280" t="n"/>
      <c r="I322" s="332">
        <f>IFERROR(VLOOKUP(TEXT(H322,"0"),IPRESS!$A$3:$B$212,2,0),"")</f>
        <v/>
      </c>
      <c r="J322" s="280" t="n"/>
      <c r="K322" s="332">
        <f>IFERROR(VLOOKUP(TEXT(O322,"0"),CONDUCTORES!$A$3:$G$54,7,0),"")</f>
        <v/>
      </c>
      <c r="L322" s="280" t="n"/>
      <c r="M322" s="280" t="n"/>
      <c r="N322" s="333">
        <f>IFERROR(IF(L322*M322=0,"",L322*M322),"")</f>
        <v/>
      </c>
      <c r="O322" s="280" t="n"/>
      <c r="P322" s="332">
        <f>IFERROR(VLOOKUP(TEXT(O322,"0"),CONDUCTORES!$A$3:$G$54,2,0),"")</f>
        <v/>
      </c>
      <c r="Q322" s="332">
        <f>IFERROR(VLOOKUP(TEXT(O322,"0"),CONDUCTORES!$A$3:$H$54,6,0),"")</f>
        <v/>
      </c>
      <c r="R322" s="280" t="n"/>
      <c r="S322" s="280" t="n"/>
      <c r="T322" s="280" t="n"/>
      <c r="U322" s="280" t="n"/>
      <c r="V322" s="280" t="n"/>
      <c r="W322" s="280" t="n"/>
      <c r="X322" s="280" t="n"/>
      <c r="Y322" s="280" t="n"/>
      <c r="Z322" s="375">
        <f>IF(AND(G322&lt;&gt;"",R322&lt;&gt;"",V322&lt;&gt;"",W322&lt;&gt;""),"COMPLETADO","OBSERVADO")</f>
        <v/>
      </c>
    </row>
    <row r="323" ht="15" customHeight="1" s="195">
      <c r="A323" s="334" t="n"/>
      <c r="B323" s="334" t="n"/>
      <c r="C323" s="334" t="n"/>
      <c r="D323" s="334" t="n"/>
      <c r="E323" s="334" t="n"/>
      <c r="F323" s="334" t="n"/>
      <c r="G323" s="334" t="n"/>
      <c r="H323" s="334" t="n"/>
      <c r="I323" s="332">
        <f>IFERROR(VLOOKUP(TEXT(H323,"0"),IPRESS!$A$3:$B$212,2,0),"")</f>
        <v/>
      </c>
      <c r="J323" s="334" t="n"/>
      <c r="K323" s="332">
        <f>IFERROR(VLOOKUP(TEXT(O323,"0"),CONDUCTORES!$A$3:$G$54,7,0),"")</f>
        <v/>
      </c>
      <c r="L323" s="334" t="n"/>
      <c r="M323" s="334" t="n"/>
      <c r="N323" s="333">
        <f>IFERROR(IF(L323*M323=0,"",L323*M323),"")</f>
        <v/>
      </c>
      <c r="O323" s="334" t="n"/>
      <c r="P323" s="332">
        <f>IFERROR(VLOOKUP(TEXT(O323,"0"),CONDUCTORES!$A$3:$G$54,2,0),"")</f>
        <v/>
      </c>
      <c r="Q323" s="332">
        <f>IFERROR(VLOOKUP(TEXT(O323,"0"),CONDUCTORES!$A$3:$H$54,6,0),"")</f>
        <v/>
      </c>
      <c r="R323" s="334" t="n"/>
      <c r="S323" s="334" t="n"/>
      <c r="T323" s="334" t="n"/>
      <c r="U323" s="334" t="n"/>
      <c r="V323" s="334" t="n"/>
      <c r="W323" s="334" t="n"/>
      <c r="X323" s="334" t="n"/>
      <c r="Y323" s="334" t="n"/>
      <c r="Z323" s="375">
        <f>IF(AND(G323&lt;&gt;"",R323&lt;&gt;"",V323&lt;&gt;"",W323&lt;&gt;""),"COMPLETADO","OBSERVADO")</f>
        <v/>
      </c>
    </row>
    <row r="324" ht="15" customHeight="1" s="195">
      <c r="A324" s="280" t="n"/>
      <c r="B324" s="280" t="n"/>
      <c r="C324" s="280" t="n"/>
      <c r="D324" s="280" t="n"/>
      <c r="E324" s="280" t="n"/>
      <c r="F324" s="280" t="n"/>
      <c r="G324" s="280" t="n"/>
      <c r="H324" s="280" t="n"/>
      <c r="I324" s="332">
        <f>IFERROR(VLOOKUP(TEXT(H324,"0"),IPRESS!$A$3:$B$212,2,0),"")</f>
        <v/>
      </c>
      <c r="J324" s="280" t="n"/>
      <c r="K324" s="332">
        <f>IFERROR(VLOOKUP(TEXT(O324,"0"),CONDUCTORES!$A$3:$G$54,7,0),"")</f>
        <v/>
      </c>
      <c r="L324" s="280" t="n"/>
      <c r="M324" s="280" t="n"/>
      <c r="N324" s="333">
        <f>IFERROR(IF(L324*M324=0,"",L324*M324),"")</f>
        <v/>
      </c>
      <c r="O324" s="280" t="n"/>
      <c r="P324" s="332">
        <f>IFERROR(VLOOKUP(TEXT(O324,"0"),CONDUCTORES!$A$3:$G$54,2,0),"")</f>
        <v/>
      </c>
      <c r="Q324" s="332">
        <f>IFERROR(VLOOKUP(TEXT(O324,"0"),CONDUCTORES!$A$3:$H$54,6,0),"")</f>
        <v/>
      </c>
      <c r="R324" s="280" t="n"/>
      <c r="S324" s="280" t="n"/>
      <c r="T324" s="280" t="n"/>
      <c r="U324" s="280" t="n"/>
      <c r="V324" s="280" t="n"/>
      <c r="W324" s="280" t="n"/>
      <c r="X324" s="280" t="n"/>
      <c r="Y324" s="280" t="n"/>
      <c r="Z324" s="375">
        <f>IF(AND(G324&lt;&gt;"",R324&lt;&gt;"",V324&lt;&gt;"",W324&lt;&gt;""),"COMPLETADO","OBSERVADO")</f>
        <v/>
      </c>
    </row>
    <row r="325" ht="15" customHeight="1" s="195">
      <c r="A325" s="334" t="n"/>
      <c r="B325" s="334" t="n"/>
      <c r="C325" s="334" t="n"/>
      <c r="D325" s="334" t="n"/>
      <c r="E325" s="334" t="n"/>
      <c r="F325" s="334" t="n"/>
      <c r="G325" s="334" t="n"/>
      <c r="H325" s="334" t="n"/>
      <c r="I325" s="332">
        <f>IFERROR(VLOOKUP(TEXT(H325,"0"),IPRESS!$A$3:$B$212,2,0),"")</f>
        <v/>
      </c>
      <c r="J325" s="334" t="n"/>
      <c r="K325" s="332">
        <f>IFERROR(VLOOKUP(TEXT(O325,"0"),CONDUCTORES!$A$3:$G$54,7,0),"")</f>
        <v/>
      </c>
      <c r="L325" s="334" t="n"/>
      <c r="M325" s="334" t="n"/>
      <c r="N325" s="333">
        <f>IFERROR(IF(L325*M325=0,"",L325*M325),"")</f>
        <v/>
      </c>
      <c r="O325" s="334" t="n"/>
      <c r="P325" s="332">
        <f>IFERROR(VLOOKUP(TEXT(O325,"0"),CONDUCTORES!$A$3:$G$54,2,0),"")</f>
        <v/>
      </c>
      <c r="Q325" s="332">
        <f>IFERROR(VLOOKUP(TEXT(O325,"0"),CONDUCTORES!$A$3:$H$54,6,0),"")</f>
        <v/>
      </c>
      <c r="R325" s="334" t="n"/>
      <c r="S325" s="334" t="n"/>
      <c r="T325" s="334" t="n"/>
      <c r="U325" s="334" t="n"/>
      <c r="V325" s="334" t="n"/>
      <c r="W325" s="334" t="n"/>
      <c r="X325" s="334" t="n"/>
      <c r="Y325" s="334" t="n"/>
      <c r="Z325" s="375">
        <f>IF(AND(G325&lt;&gt;"",R325&lt;&gt;"",V325&lt;&gt;"",W325&lt;&gt;""),"COMPLETADO","OBSERVADO")</f>
        <v/>
      </c>
    </row>
    <row r="326" ht="15" customHeight="1" s="195">
      <c r="A326" s="280" t="n"/>
      <c r="B326" s="280" t="n"/>
      <c r="C326" s="280" t="n"/>
      <c r="D326" s="280" t="n"/>
      <c r="E326" s="280" t="n"/>
      <c r="F326" s="280" t="n"/>
      <c r="G326" s="280" t="n"/>
      <c r="H326" s="280" t="n"/>
      <c r="I326" s="332">
        <f>IFERROR(VLOOKUP(TEXT(H326,"0"),IPRESS!$A$3:$B$212,2,0),"")</f>
        <v/>
      </c>
      <c r="J326" s="280" t="n"/>
      <c r="K326" s="332">
        <f>IFERROR(VLOOKUP(TEXT(O326,"0"),CONDUCTORES!$A$3:$G$54,7,0),"")</f>
        <v/>
      </c>
      <c r="L326" s="280" t="n"/>
      <c r="M326" s="280" t="n"/>
      <c r="N326" s="333">
        <f>IFERROR(IF(L326*M326=0,"",L326*M326),"")</f>
        <v/>
      </c>
      <c r="O326" s="280" t="n"/>
      <c r="P326" s="332">
        <f>IFERROR(VLOOKUP(TEXT(O326,"0"),CONDUCTORES!$A$3:$G$54,2,0),"")</f>
        <v/>
      </c>
      <c r="Q326" s="332">
        <f>IFERROR(VLOOKUP(TEXT(O326,"0"),CONDUCTORES!$A$3:$H$54,6,0),"")</f>
        <v/>
      </c>
      <c r="R326" s="280" t="n"/>
      <c r="S326" s="280" t="n"/>
      <c r="T326" s="280" t="n"/>
      <c r="U326" s="280" t="n"/>
      <c r="V326" s="280" t="n"/>
      <c r="W326" s="280" t="n"/>
      <c r="X326" s="280" t="n"/>
      <c r="Y326" s="280" t="n"/>
      <c r="Z326" s="375">
        <f>IF(AND(G326&lt;&gt;"",R326&lt;&gt;"",V326&lt;&gt;"",W326&lt;&gt;""),"COMPLETADO","OBSERVADO")</f>
        <v/>
      </c>
    </row>
    <row r="327" ht="15" customHeight="1" s="195">
      <c r="A327" s="334" t="n"/>
      <c r="B327" s="334" t="n"/>
      <c r="C327" s="334" t="n"/>
      <c r="D327" s="334" t="n"/>
      <c r="E327" s="334" t="n"/>
      <c r="F327" s="334" t="n"/>
      <c r="G327" s="334" t="n"/>
      <c r="H327" s="334" t="n"/>
      <c r="I327" s="332">
        <f>IFERROR(VLOOKUP(TEXT(H327,"0"),IPRESS!$A$3:$B$212,2,0),"")</f>
        <v/>
      </c>
      <c r="J327" s="334" t="n"/>
      <c r="K327" s="332">
        <f>IFERROR(VLOOKUP(TEXT(O327,"0"),CONDUCTORES!$A$3:$G$54,7,0),"")</f>
        <v/>
      </c>
      <c r="L327" s="334" t="n"/>
      <c r="M327" s="334" t="n"/>
      <c r="N327" s="333">
        <f>IFERROR(IF(L327*M327=0,"",L327*M327),"")</f>
        <v/>
      </c>
      <c r="O327" s="334" t="n"/>
      <c r="P327" s="332">
        <f>IFERROR(VLOOKUP(TEXT(O327,"0"),CONDUCTORES!$A$3:$G$54,2,0),"")</f>
        <v/>
      </c>
      <c r="Q327" s="332">
        <f>IFERROR(VLOOKUP(TEXT(O327,"0"),CONDUCTORES!$A$3:$H$54,6,0),"")</f>
        <v/>
      </c>
      <c r="R327" s="334" t="n"/>
      <c r="S327" s="334" t="n"/>
      <c r="T327" s="334" t="n"/>
      <c r="U327" s="334" t="n"/>
      <c r="V327" s="334" t="n"/>
      <c r="W327" s="334" t="n"/>
      <c r="X327" s="334" t="n"/>
      <c r="Y327" s="334" t="n"/>
      <c r="Z327" s="375">
        <f>IF(AND(G327&lt;&gt;"",R327&lt;&gt;"",V327&lt;&gt;"",W327&lt;&gt;""),"COMPLETADO","OBSERVADO")</f>
        <v/>
      </c>
    </row>
    <row r="328" ht="15" customHeight="1" s="195">
      <c r="A328" s="280" t="n"/>
      <c r="B328" s="280" t="n"/>
      <c r="C328" s="280" t="n"/>
      <c r="D328" s="280" t="n"/>
      <c r="E328" s="280" t="n"/>
      <c r="F328" s="280" t="n"/>
      <c r="G328" s="280" t="n"/>
      <c r="H328" s="280" t="n"/>
      <c r="I328" s="332">
        <f>IFERROR(VLOOKUP(TEXT(H328,"0"),IPRESS!$A$3:$B$212,2,0),"")</f>
        <v/>
      </c>
      <c r="J328" s="280" t="n"/>
      <c r="K328" s="332">
        <f>IFERROR(VLOOKUP(TEXT(O328,"0"),CONDUCTORES!$A$3:$G$54,7,0),"")</f>
        <v/>
      </c>
      <c r="L328" s="280" t="n"/>
      <c r="M328" s="280" t="n"/>
      <c r="N328" s="333">
        <f>IFERROR(IF(L328*M328=0,"",L328*M328),"")</f>
        <v/>
      </c>
      <c r="O328" s="280" t="n"/>
      <c r="P328" s="332">
        <f>IFERROR(VLOOKUP(TEXT(O328,"0"),CONDUCTORES!$A$3:$G$54,2,0),"")</f>
        <v/>
      </c>
      <c r="Q328" s="332">
        <f>IFERROR(VLOOKUP(TEXT(O328,"0"),CONDUCTORES!$A$3:$H$54,6,0),"")</f>
        <v/>
      </c>
      <c r="R328" s="280" t="n"/>
      <c r="S328" s="280" t="n"/>
      <c r="T328" s="280" t="n"/>
      <c r="U328" s="280" t="n"/>
      <c r="V328" s="280" t="n"/>
      <c r="W328" s="280" t="n"/>
      <c r="X328" s="280" t="n"/>
      <c r="Y328" s="280" t="n"/>
      <c r="Z328" s="375">
        <f>IF(AND(G328&lt;&gt;"",R328&lt;&gt;"",V328&lt;&gt;"",W328&lt;&gt;""),"COMPLETADO","OBSERVADO")</f>
        <v/>
      </c>
    </row>
    <row r="329" ht="15" customHeight="1" s="195">
      <c r="A329" s="334" t="n"/>
      <c r="B329" s="334" t="n"/>
      <c r="C329" s="334" t="n"/>
      <c r="D329" s="334" t="n"/>
      <c r="E329" s="334" t="n"/>
      <c r="F329" s="334" t="n"/>
      <c r="G329" s="334" t="n"/>
      <c r="H329" s="334" t="n"/>
      <c r="I329" s="332">
        <f>IFERROR(VLOOKUP(TEXT(H329,"0"),IPRESS!$A$3:$B$212,2,0),"")</f>
        <v/>
      </c>
      <c r="J329" s="334" t="n"/>
      <c r="K329" s="332">
        <f>IFERROR(VLOOKUP(TEXT(O329,"0"),CONDUCTORES!$A$3:$G$54,7,0),"")</f>
        <v/>
      </c>
      <c r="L329" s="334" t="n"/>
      <c r="M329" s="334" t="n"/>
      <c r="N329" s="333">
        <f>IFERROR(IF(L329*M329=0,"",L329*M329),"")</f>
        <v/>
      </c>
      <c r="O329" s="334" t="n"/>
      <c r="P329" s="332">
        <f>IFERROR(VLOOKUP(TEXT(O329,"0"),CONDUCTORES!$A$3:$G$54,2,0),"")</f>
        <v/>
      </c>
      <c r="Q329" s="332">
        <f>IFERROR(VLOOKUP(TEXT(O329,"0"),CONDUCTORES!$A$3:$H$54,6,0),"")</f>
        <v/>
      </c>
      <c r="R329" s="334" t="n"/>
      <c r="S329" s="334" t="n"/>
      <c r="T329" s="334" t="n"/>
      <c r="U329" s="334" t="n"/>
      <c r="V329" s="334" t="n"/>
      <c r="W329" s="334" t="n"/>
      <c r="X329" s="334" t="n"/>
      <c r="Y329" s="334" t="n"/>
      <c r="Z329" s="375">
        <f>IF(AND(G329&lt;&gt;"",R329&lt;&gt;"",V329&lt;&gt;"",W329&lt;&gt;""),"COMPLETADO","OBSERVADO")</f>
        <v/>
      </c>
    </row>
    <row r="330" ht="15" customHeight="1" s="195">
      <c r="A330" s="280" t="n"/>
      <c r="B330" s="280" t="n"/>
      <c r="C330" s="280" t="n"/>
      <c r="D330" s="280" t="n"/>
      <c r="E330" s="280" t="n"/>
      <c r="F330" s="280" t="n"/>
      <c r="G330" s="280" t="n"/>
      <c r="H330" s="280" t="n"/>
      <c r="I330" s="332">
        <f>IFERROR(VLOOKUP(TEXT(H330,"0"),IPRESS!$A$3:$B$212,2,0),"")</f>
        <v/>
      </c>
      <c r="J330" s="280" t="n"/>
      <c r="K330" s="332">
        <f>IFERROR(VLOOKUP(TEXT(O330,"0"),CONDUCTORES!$A$3:$G$54,7,0),"")</f>
        <v/>
      </c>
      <c r="L330" s="280" t="n"/>
      <c r="M330" s="280" t="n"/>
      <c r="N330" s="333">
        <f>IFERROR(IF(L330*M330=0,"",L330*M330),"")</f>
        <v/>
      </c>
      <c r="O330" s="280" t="n"/>
      <c r="P330" s="332">
        <f>IFERROR(VLOOKUP(TEXT(O330,"0"),CONDUCTORES!$A$3:$G$54,2,0),"")</f>
        <v/>
      </c>
      <c r="Q330" s="332">
        <f>IFERROR(VLOOKUP(TEXT(O330,"0"),CONDUCTORES!$A$3:$H$54,6,0),"")</f>
        <v/>
      </c>
      <c r="R330" s="280" t="n"/>
      <c r="S330" s="280" t="n"/>
      <c r="T330" s="280" t="n"/>
      <c r="U330" s="280" t="n"/>
      <c r="V330" s="280" t="n"/>
      <c r="W330" s="280" t="n"/>
      <c r="X330" s="280" t="n"/>
      <c r="Y330" s="280" t="n"/>
      <c r="Z330" s="375">
        <f>IF(AND(G330&lt;&gt;"",R330&lt;&gt;"",V330&lt;&gt;"",W330&lt;&gt;""),"COMPLETADO","OBSERVADO")</f>
        <v/>
      </c>
    </row>
    <row r="331" ht="15" customHeight="1" s="195">
      <c r="A331" s="334" t="n"/>
      <c r="B331" s="334" t="n"/>
      <c r="C331" s="334" t="n"/>
      <c r="D331" s="334" t="n"/>
      <c r="E331" s="334" t="n"/>
      <c r="F331" s="334" t="n"/>
      <c r="G331" s="334" t="n"/>
      <c r="H331" s="334" t="n"/>
      <c r="I331" s="332">
        <f>IFERROR(VLOOKUP(TEXT(H331,"0"),IPRESS!$A$3:$B$212,2,0),"")</f>
        <v/>
      </c>
      <c r="J331" s="334" t="n"/>
      <c r="K331" s="332">
        <f>IFERROR(VLOOKUP(TEXT(O331,"0"),CONDUCTORES!$A$3:$G$54,7,0),"")</f>
        <v/>
      </c>
      <c r="L331" s="334" t="n"/>
      <c r="M331" s="334" t="n"/>
      <c r="N331" s="333">
        <f>IFERROR(IF(L331*M331=0,"",L331*M331),"")</f>
        <v/>
      </c>
      <c r="O331" s="334" t="n"/>
      <c r="P331" s="332">
        <f>IFERROR(VLOOKUP(TEXT(O331,"0"),CONDUCTORES!$A$3:$G$54,2,0),"")</f>
        <v/>
      </c>
      <c r="Q331" s="332">
        <f>IFERROR(VLOOKUP(TEXT(O331,"0"),CONDUCTORES!$A$3:$H$54,6,0),"")</f>
        <v/>
      </c>
      <c r="R331" s="334" t="n"/>
      <c r="S331" s="334" t="n"/>
      <c r="T331" s="334" t="n"/>
      <c r="U331" s="334" t="n"/>
      <c r="V331" s="334" t="n"/>
      <c r="W331" s="334" t="n"/>
      <c r="X331" s="334" t="n"/>
      <c r="Y331" s="334" t="n"/>
      <c r="Z331" s="375">
        <f>IF(AND(G331&lt;&gt;"",R331&lt;&gt;"",V331&lt;&gt;"",W331&lt;&gt;""),"COMPLETADO","OBSERVADO")</f>
        <v/>
      </c>
    </row>
    <row r="332" ht="15" customHeight="1" s="195">
      <c r="A332" s="280" t="n"/>
      <c r="B332" s="280" t="n"/>
      <c r="C332" s="280" t="n"/>
      <c r="D332" s="280" t="n"/>
      <c r="E332" s="280" t="n"/>
      <c r="F332" s="280" t="n"/>
      <c r="G332" s="280" t="n"/>
      <c r="H332" s="280" t="n"/>
      <c r="I332" s="332">
        <f>IFERROR(VLOOKUP(TEXT(H332,"0"),IPRESS!$A$3:$B$212,2,0),"")</f>
        <v/>
      </c>
      <c r="J332" s="280" t="n"/>
      <c r="K332" s="332">
        <f>IFERROR(VLOOKUP(TEXT(O332,"0"),CONDUCTORES!$A$3:$G$54,7,0),"")</f>
        <v/>
      </c>
      <c r="L332" s="280" t="n"/>
      <c r="M332" s="280" t="n"/>
      <c r="N332" s="333">
        <f>IFERROR(IF(L332*M332=0,"",L332*M332),"")</f>
        <v/>
      </c>
      <c r="O332" s="280" t="n"/>
      <c r="P332" s="332">
        <f>IFERROR(VLOOKUP(TEXT(O332,"0"),CONDUCTORES!$A$3:$G$54,2,0),"")</f>
        <v/>
      </c>
      <c r="Q332" s="332">
        <f>IFERROR(VLOOKUP(TEXT(O332,"0"),CONDUCTORES!$A$3:$H$54,6,0),"")</f>
        <v/>
      </c>
      <c r="R332" s="280" t="n"/>
      <c r="S332" s="280" t="n"/>
      <c r="T332" s="280" t="n"/>
      <c r="U332" s="280" t="n"/>
      <c r="V332" s="280" t="n"/>
      <c r="W332" s="280" t="n"/>
      <c r="X332" s="280" t="n"/>
      <c r="Y332" s="280" t="n"/>
      <c r="Z332" s="375">
        <f>IF(AND(G332&lt;&gt;"",R332&lt;&gt;"",V332&lt;&gt;"",W332&lt;&gt;""),"COMPLETADO","OBSERVADO")</f>
        <v/>
      </c>
    </row>
    <row r="333" ht="15" customHeight="1" s="195">
      <c r="A333" s="334" t="n"/>
      <c r="B333" s="334" t="n"/>
      <c r="C333" s="334" t="n"/>
      <c r="D333" s="334" t="n"/>
      <c r="E333" s="334" t="n"/>
      <c r="F333" s="334" t="n"/>
      <c r="G333" s="334" t="n"/>
      <c r="H333" s="334" t="n"/>
      <c r="I333" s="332">
        <f>IFERROR(VLOOKUP(TEXT(H333,"0"),IPRESS!$A$3:$B$212,2,0),"")</f>
        <v/>
      </c>
      <c r="J333" s="334" t="n"/>
      <c r="K333" s="332">
        <f>IFERROR(VLOOKUP(TEXT(O333,"0"),CONDUCTORES!$A$3:$G$54,7,0),"")</f>
        <v/>
      </c>
      <c r="L333" s="334" t="n"/>
      <c r="M333" s="334" t="n"/>
      <c r="N333" s="333">
        <f>IFERROR(IF(L333*M333=0,"",L333*M333),"")</f>
        <v/>
      </c>
      <c r="O333" s="334" t="n"/>
      <c r="P333" s="332">
        <f>IFERROR(VLOOKUP(TEXT(O333,"0"),CONDUCTORES!$A$3:$G$54,2,0),"")</f>
        <v/>
      </c>
      <c r="Q333" s="332">
        <f>IFERROR(VLOOKUP(TEXT(O333,"0"),CONDUCTORES!$A$3:$H$54,6,0),"")</f>
        <v/>
      </c>
      <c r="R333" s="334" t="n"/>
      <c r="S333" s="334" t="n"/>
      <c r="T333" s="334" t="n"/>
      <c r="U333" s="334" t="n"/>
      <c r="V333" s="334" t="n"/>
      <c r="W333" s="334" t="n"/>
      <c r="X333" s="334" t="n"/>
      <c r="Y333" s="334" t="n"/>
      <c r="Z333" s="375">
        <f>IF(AND(G333&lt;&gt;"",R333&lt;&gt;"",V333&lt;&gt;"",W333&lt;&gt;""),"COMPLETADO","OBSERVADO")</f>
        <v/>
      </c>
    </row>
    <row r="334" ht="15" customHeight="1" s="195">
      <c r="A334" s="280" t="n"/>
      <c r="B334" s="280" t="n"/>
      <c r="C334" s="280" t="n"/>
      <c r="D334" s="280" t="n"/>
      <c r="E334" s="280" t="n"/>
      <c r="F334" s="280" t="n"/>
      <c r="G334" s="280" t="n"/>
      <c r="H334" s="280" t="n"/>
      <c r="I334" s="332">
        <f>IFERROR(VLOOKUP(TEXT(H334,"0"),IPRESS!$A$3:$B$212,2,0),"")</f>
        <v/>
      </c>
      <c r="J334" s="280" t="n"/>
      <c r="K334" s="332">
        <f>IFERROR(VLOOKUP(TEXT(O334,"0"),CONDUCTORES!$A$3:$G$54,7,0),"")</f>
        <v/>
      </c>
      <c r="L334" s="280" t="n"/>
      <c r="M334" s="280" t="n"/>
      <c r="N334" s="333">
        <f>IFERROR(IF(L334*M334=0,"",L334*M334),"")</f>
        <v/>
      </c>
      <c r="O334" s="280" t="n"/>
      <c r="P334" s="332">
        <f>IFERROR(VLOOKUP(TEXT(O334,"0"),CONDUCTORES!$A$3:$G$54,2,0),"")</f>
        <v/>
      </c>
      <c r="Q334" s="332">
        <f>IFERROR(VLOOKUP(TEXT(O334,"0"),CONDUCTORES!$A$3:$H$54,6,0),"")</f>
        <v/>
      </c>
      <c r="R334" s="280" t="n"/>
      <c r="S334" s="280" t="n"/>
      <c r="T334" s="280" t="n"/>
      <c r="U334" s="280" t="n"/>
      <c r="V334" s="280" t="n"/>
      <c r="W334" s="280" t="n"/>
      <c r="X334" s="280" t="n"/>
      <c r="Y334" s="280" t="n"/>
      <c r="Z334" s="375">
        <f>IF(AND(G334&lt;&gt;"",R334&lt;&gt;"",V334&lt;&gt;"",W334&lt;&gt;""),"COMPLETADO","OBSERVADO")</f>
        <v/>
      </c>
    </row>
    <row r="335" ht="15" customHeight="1" s="195">
      <c r="A335" s="334" t="n"/>
      <c r="B335" s="334" t="n"/>
      <c r="C335" s="334" t="n"/>
      <c r="D335" s="334" t="n"/>
      <c r="E335" s="334" t="n"/>
      <c r="F335" s="334" t="n"/>
      <c r="G335" s="334" t="n"/>
      <c r="H335" s="334" t="n"/>
      <c r="I335" s="332">
        <f>IFERROR(VLOOKUP(TEXT(H335,"0"),IPRESS!$A$3:$B$212,2,0),"")</f>
        <v/>
      </c>
      <c r="J335" s="334" t="n"/>
      <c r="K335" s="332">
        <f>IFERROR(VLOOKUP(TEXT(O335,"0"),CONDUCTORES!$A$3:$G$54,7,0),"")</f>
        <v/>
      </c>
      <c r="L335" s="334" t="n"/>
      <c r="M335" s="334" t="n"/>
      <c r="N335" s="333">
        <f>IFERROR(IF(L335*M335=0,"",L335*M335),"")</f>
        <v/>
      </c>
      <c r="O335" s="334" t="n"/>
      <c r="P335" s="332">
        <f>IFERROR(VLOOKUP(TEXT(O335,"0"),CONDUCTORES!$A$3:$G$54,2,0),"")</f>
        <v/>
      </c>
      <c r="Q335" s="332">
        <f>IFERROR(VLOOKUP(TEXT(O335,"0"),CONDUCTORES!$A$3:$H$54,6,0),"")</f>
        <v/>
      </c>
      <c r="R335" s="334" t="n"/>
      <c r="S335" s="334" t="n"/>
      <c r="T335" s="334" t="n"/>
      <c r="U335" s="334" t="n"/>
      <c r="V335" s="334" t="n"/>
      <c r="W335" s="334" t="n"/>
      <c r="X335" s="334" t="n"/>
      <c r="Y335" s="334" t="n"/>
      <c r="Z335" s="375">
        <f>IF(AND(G335&lt;&gt;"",R335&lt;&gt;"",V335&lt;&gt;"",W335&lt;&gt;""),"COMPLETADO","OBSERVADO")</f>
        <v/>
      </c>
    </row>
    <row r="336" ht="15" customHeight="1" s="195">
      <c r="A336" s="280" t="n"/>
      <c r="B336" s="280" t="n"/>
      <c r="C336" s="280" t="n"/>
      <c r="D336" s="280" t="n"/>
      <c r="E336" s="280" t="n"/>
      <c r="F336" s="280" t="n"/>
      <c r="G336" s="280" t="n"/>
      <c r="H336" s="280" t="n"/>
      <c r="I336" s="332">
        <f>IFERROR(VLOOKUP(TEXT(H336,"0"),IPRESS!$A$3:$B$212,2,0),"")</f>
        <v/>
      </c>
      <c r="J336" s="280" t="n"/>
      <c r="K336" s="332">
        <f>IFERROR(VLOOKUP(TEXT(O336,"0"),CONDUCTORES!$A$3:$G$54,7,0),"")</f>
        <v/>
      </c>
      <c r="L336" s="280" t="n"/>
      <c r="M336" s="280" t="n"/>
      <c r="N336" s="333">
        <f>IFERROR(IF(L336*M336=0,"",L336*M336),"")</f>
        <v/>
      </c>
      <c r="O336" s="280" t="n"/>
      <c r="P336" s="332">
        <f>IFERROR(VLOOKUP(TEXT(O336,"0"),CONDUCTORES!$A$3:$G$54,2,0),"")</f>
        <v/>
      </c>
      <c r="Q336" s="332">
        <f>IFERROR(VLOOKUP(TEXT(O336,"0"),CONDUCTORES!$A$3:$H$54,6,0),"")</f>
        <v/>
      </c>
      <c r="R336" s="280" t="n"/>
      <c r="S336" s="280" t="n"/>
      <c r="T336" s="280" t="n"/>
      <c r="U336" s="280" t="n"/>
      <c r="V336" s="280" t="n"/>
      <c r="W336" s="280" t="n"/>
      <c r="X336" s="280" t="n"/>
      <c r="Y336" s="280" t="n"/>
      <c r="Z336" s="375">
        <f>IF(AND(G336&lt;&gt;"",R336&lt;&gt;"",V336&lt;&gt;"",W336&lt;&gt;""),"COMPLETADO","OBSERVADO")</f>
        <v/>
      </c>
    </row>
    <row r="337" ht="15" customHeight="1" s="195">
      <c r="A337" s="334" t="n"/>
      <c r="B337" s="334" t="n"/>
      <c r="C337" s="334" t="n"/>
      <c r="D337" s="334" t="n"/>
      <c r="E337" s="334" t="n"/>
      <c r="F337" s="334" t="n"/>
      <c r="G337" s="334" t="n"/>
      <c r="H337" s="334" t="n"/>
      <c r="I337" s="332">
        <f>IFERROR(VLOOKUP(TEXT(H337,"0"),IPRESS!$A$3:$B$212,2,0),"")</f>
        <v/>
      </c>
      <c r="J337" s="334" t="n"/>
      <c r="K337" s="332">
        <f>IFERROR(VLOOKUP(TEXT(O337,"0"),CONDUCTORES!$A$3:$G$54,7,0),"")</f>
        <v/>
      </c>
      <c r="L337" s="334" t="n"/>
      <c r="M337" s="334" t="n"/>
      <c r="N337" s="333">
        <f>IFERROR(IF(L337*M337=0,"",L337*M337),"")</f>
        <v/>
      </c>
      <c r="O337" s="334" t="n"/>
      <c r="P337" s="332">
        <f>IFERROR(VLOOKUP(TEXT(O337,"0"),CONDUCTORES!$A$3:$G$54,2,0),"")</f>
        <v/>
      </c>
      <c r="Q337" s="332">
        <f>IFERROR(VLOOKUP(TEXT(O337,"0"),CONDUCTORES!$A$3:$H$54,6,0),"")</f>
        <v/>
      </c>
      <c r="R337" s="334" t="n"/>
      <c r="S337" s="334" t="n"/>
      <c r="T337" s="334" t="n"/>
      <c r="U337" s="334" t="n"/>
      <c r="V337" s="334" t="n"/>
      <c r="W337" s="334" t="n"/>
      <c r="X337" s="334" t="n"/>
      <c r="Y337" s="334" t="n"/>
      <c r="Z337" s="375">
        <f>IF(AND(G337&lt;&gt;"",R337&lt;&gt;"",V337&lt;&gt;"",W337&lt;&gt;""),"COMPLETADO","OBSERVADO")</f>
        <v/>
      </c>
    </row>
    <row r="338" ht="15" customHeight="1" s="195">
      <c r="A338" s="280" t="n"/>
      <c r="B338" s="280" t="n"/>
      <c r="C338" s="280" t="n"/>
      <c r="D338" s="280" t="n"/>
      <c r="E338" s="280" t="n"/>
      <c r="F338" s="280" t="n"/>
      <c r="G338" s="280" t="n"/>
      <c r="H338" s="280" t="n"/>
      <c r="I338" s="332">
        <f>IFERROR(VLOOKUP(TEXT(H338,"0"),IPRESS!$A$3:$B$212,2,0),"")</f>
        <v/>
      </c>
      <c r="J338" s="280" t="n"/>
      <c r="K338" s="332">
        <f>IFERROR(VLOOKUP(TEXT(O338,"0"),CONDUCTORES!$A$3:$G$54,7,0),"")</f>
        <v/>
      </c>
      <c r="L338" s="280" t="n"/>
      <c r="M338" s="280" t="n"/>
      <c r="N338" s="333">
        <f>IFERROR(IF(L338*M338=0,"",L338*M338),"")</f>
        <v/>
      </c>
      <c r="O338" s="280" t="n"/>
      <c r="P338" s="332">
        <f>IFERROR(VLOOKUP(TEXT(O338,"0"),CONDUCTORES!$A$3:$G$54,2,0),"")</f>
        <v/>
      </c>
      <c r="Q338" s="332">
        <f>IFERROR(VLOOKUP(TEXT(O338,"0"),CONDUCTORES!$A$3:$H$54,6,0),"")</f>
        <v/>
      </c>
      <c r="R338" s="280" t="n"/>
      <c r="S338" s="280" t="n"/>
      <c r="T338" s="280" t="n"/>
      <c r="U338" s="280" t="n"/>
      <c r="V338" s="280" t="n"/>
      <c r="W338" s="280" t="n"/>
      <c r="X338" s="280" t="n"/>
      <c r="Y338" s="280" t="n"/>
      <c r="Z338" s="375">
        <f>IF(AND(G338&lt;&gt;"",R338&lt;&gt;"",V338&lt;&gt;"",W338&lt;&gt;""),"COMPLETADO","OBSERVADO")</f>
        <v/>
      </c>
    </row>
    <row r="339" ht="15" customHeight="1" s="195">
      <c r="A339" s="334" t="n"/>
      <c r="B339" s="334" t="n"/>
      <c r="C339" s="334" t="n"/>
      <c r="D339" s="334" t="n"/>
      <c r="E339" s="334" t="n"/>
      <c r="F339" s="334" t="n"/>
      <c r="G339" s="334" t="n"/>
      <c r="H339" s="334" t="n"/>
      <c r="I339" s="332">
        <f>IFERROR(VLOOKUP(TEXT(H339,"0"),IPRESS!$A$3:$B$212,2,0),"")</f>
        <v/>
      </c>
      <c r="J339" s="334" t="n"/>
      <c r="K339" s="332">
        <f>IFERROR(VLOOKUP(TEXT(O339,"0"),CONDUCTORES!$A$3:$G$54,7,0),"")</f>
        <v/>
      </c>
      <c r="L339" s="334" t="n"/>
      <c r="M339" s="334" t="n"/>
      <c r="N339" s="333">
        <f>IFERROR(IF(L339*M339=0,"",L339*M339),"")</f>
        <v/>
      </c>
      <c r="O339" s="334" t="n"/>
      <c r="P339" s="332">
        <f>IFERROR(VLOOKUP(TEXT(O339,"0"),CONDUCTORES!$A$3:$G$54,2,0),"")</f>
        <v/>
      </c>
      <c r="Q339" s="332">
        <f>IFERROR(VLOOKUP(TEXT(O339,"0"),CONDUCTORES!$A$3:$H$54,6,0),"")</f>
        <v/>
      </c>
      <c r="R339" s="334" t="n"/>
      <c r="S339" s="334" t="n"/>
      <c r="T339" s="334" t="n"/>
      <c r="U339" s="334" t="n"/>
      <c r="V339" s="334" t="n"/>
      <c r="W339" s="334" t="n"/>
      <c r="X339" s="334" t="n"/>
      <c r="Y339" s="334" t="n"/>
      <c r="Z339" s="375">
        <f>IF(AND(G339&lt;&gt;"",R339&lt;&gt;"",V339&lt;&gt;"",W339&lt;&gt;""),"COMPLETADO","OBSERVADO")</f>
        <v/>
      </c>
    </row>
    <row r="340" ht="15" customHeight="1" s="195">
      <c r="A340" s="280" t="n"/>
      <c r="B340" s="280" t="n"/>
      <c r="C340" s="280" t="n"/>
      <c r="D340" s="280" t="n"/>
      <c r="E340" s="280" t="n"/>
      <c r="F340" s="280" t="n"/>
      <c r="G340" s="280" t="n"/>
      <c r="H340" s="280" t="n"/>
      <c r="I340" s="332">
        <f>IFERROR(VLOOKUP(TEXT(H340,"0"),IPRESS!$A$3:$B$212,2,0),"")</f>
        <v/>
      </c>
      <c r="J340" s="280" t="n"/>
      <c r="K340" s="332">
        <f>IFERROR(VLOOKUP(TEXT(O340,"0"),CONDUCTORES!$A$3:$G$54,7,0),"")</f>
        <v/>
      </c>
      <c r="L340" s="280" t="n"/>
      <c r="M340" s="280" t="n"/>
      <c r="N340" s="333">
        <f>IFERROR(IF(L340*M340=0,"",L340*M340),"")</f>
        <v/>
      </c>
      <c r="O340" s="280" t="n"/>
      <c r="P340" s="332">
        <f>IFERROR(VLOOKUP(TEXT(O340,"0"),CONDUCTORES!$A$3:$G$54,2,0),"")</f>
        <v/>
      </c>
      <c r="Q340" s="332">
        <f>IFERROR(VLOOKUP(TEXT(O340,"0"),CONDUCTORES!$A$3:$H$54,6,0),"")</f>
        <v/>
      </c>
      <c r="R340" s="280" t="n"/>
      <c r="S340" s="280" t="n"/>
      <c r="T340" s="280" t="n"/>
      <c r="U340" s="280" t="n"/>
      <c r="V340" s="280" t="n"/>
      <c r="W340" s="280" t="n"/>
      <c r="X340" s="280" t="n"/>
      <c r="Y340" s="280" t="n"/>
      <c r="Z340" s="375">
        <f>IF(AND(G340&lt;&gt;"",R340&lt;&gt;"",V340&lt;&gt;"",W340&lt;&gt;""),"COMPLETADO","OBSERVADO")</f>
        <v/>
      </c>
    </row>
    <row r="341" ht="15" customHeight="1" s="195">
      <c r="A341" s="334" t="n"/>
      <c r="B341" s="334" t="n"/>
      <c r="C341" s="334" t="n"/>
      <c r="D341" s="334" t="n"/>
      <c r="E341" s="334" t="n"/>
      <c r="F341" s="334" t="n"/>
      <c r="G341" s="334" t="n"/>
      <c r="H341" s="334" t="n"/>
      <c r="I341" s="332">
        <f>IFERROR(VLOOKUP(TEXT(H341,"0"),IPRESS!$A$3:$B$212,2,0),"")</f>
        <v/>
      </c>
      <c r="J341" s="334" t="n"/>
      <c r="K341" s="332">
        <f>IFERROR(VLOOKUP(TEXT(O341,"0"),CONDUCTORES!$A$3:$G$54,7,0),"")</f>
        <v/>
      </c>
      <c r="L341" s="334" t="n"/>
      <c r="M341" s="334" t="n"/>
      <c r="N341" s="333">
        <f>IFERROR(IF(L341*M341=0,"",L341*M341),"")</f>
        <v/>
      </c>
      <c r="O341" s="334" t="n"/>
      <c r="P341" s="332">
        <f>IFERROR(VLOOKUP(TEXT(O341,"0"),CONDUCTORES!$A$3:$G$54,2,0),"")</f>
        <v/>
      </c>
      <c r="Q341" s="332">
        <f>IFERROR(VLOOKUP(TEXT(O341,"0"),CONDUCTORES!$A$3:$H$54,6,0),"")</f>
        <v/>
      </c>
      <c r="R341" s="334" t="n"/>
      <c r="S341" s="334" t="n"/>
      <c r="T341" s="334" t="n"/>
      <c r="U341" s="334" t="n"/>
      <c r="V341" s="334" t="n"/>
      <c r="W341" s="334" t="n"/>
      <c r="X341" s="334" t="n"/>
      <c r="Y341" s="334" t="n"/>
      <c r="Z341" s="375">
        <f>IF(AND(G341&lt;&gt;"",R341&lt;&gt;"",V341&lt;&gt;"",W341&lt;&gt;""),"COMPLETADO","OBSERVADO")</f>
        <v/>
      </c>
    </row>
    <row r="342" ht="15" customHeight="1" s="195">
      <c r="A342" s="280" t="n"/>
      <c r="B342" s="280" t="n"/>
      <c r="C342" s="280" t="n"/>
      <c r="D342" s="280" t="n"/>
      <c r="E342" s="280" t="n"/>
      <c r="F342" s="280" t="n"/>
      <c r="G342" s="280" t="n"/>
      <c r="H342" s="280" t="n"/>
      <c r="I342" s="332">
        <f>IFERROR(VLOOKUP(TEXT(H342,"0"),IPRESS!$A$3:$B$212,2,0),"")</f>
        <v/>
      </c>
      <c r="J342" s="280" t="n"/>
      <c r="K342" s="332">
        <f>IFERROR(VLOOKUP(TEXT(O342,"0"),CONDUCTORES!$A$3:$G$54,7,0),"")</f>
        <v/>
      </c>
      <c r="L342" s="280" t="n"/>
      <c r="M342" s="280" t="n"/>
      <c r="N342" s="333">
        <f>IFERROR(IF(L342*M342=0,"",L342*M342),"")</f>
        <v/>
      </c>
      <c r="O342" s="280" t="n"/>
      <c r="P342" s="332">
        <f>IFERROR(VLOOKUP(TEXT(O342,"0"),CONDUCTORES!$A$3:$G$54,2,0),"")</f>
        <v/>
      </c>
      <c r="Q342" s="332">
        <f>IFERROR(VLOOKUP(TEXT(O342,"0"),CONDUCTORES!$A$3:$H$54,6,0),"")</f>
        <v/>
      </c>
      <c r="R342" s="280" t="n"/>
      <c r="S342" s="280" t="n"/>
      <c r="T342" s="280" t="n"/>
      <c r="U342" s="280" t="n"/>
      <c r="V342" s="280" t="n"/>
      <c r="W342" s="280" t="n"/>
      <c r="X342" s="280" t="n"/>
      <c r="Y342" s="280" t="n"/>
      <c r="Z342" s="375">
        <f>IF(AND(G342&lt;&gt;"",R342&lt;&gt;"",V342&lt;&gt;"",W342&lt;&gt;""),"COMPLETADO","OBSERVADO")</f>
        <v/>
      </c>
    </row>
    <row r="343" ht="15" customHeight="1" s="195">
      <c r="A343" s="334" t="n"/>
      <c r="B343" s="334" t="n"/>
      <c r="C343" s="334" t="n"/>
      <c r="D343" s="334" t="n"/>
      <c r="E343" s="334" t="n"/>
      <c r="F343" s="334" t="n"/>
      <c r="G343" s="334" t="n"/>
      <c r="H343" s="334" t="n"/>
      <c r="I343" s="332">
        <f>IFERROR(VLOOKUP(TEXT(H343,"0"),IPRESS!$A$3:$B$212,2,0),"")</f>
        <v/>
      </c>
      <c r="J343" s="334" t="n"/>
      <c r="K343" s="332">
        <f>IFERROR(VLOOKUP(TEXT(O343,"0"),CONDUCTORES!$A$3:$G$54,7,0),"")</f>
        <v/>
      </c>
      <c r="L343" s="334" t="n"/>
      <c r="M343" s="334" t="n"/>
      <c r="N343" s="333">
        <f>IFERROR(IF(L343*M343=0,"",L343*M343),"")</f>
        <v/>
      </c>
      <c r="O343" s="334" t="n"/>
      <c r="P343" s="332">
        <f>IFERROR(VLOOKUP(TEXT(O343,"0"),CONDUCTORES!$A$3:$G$54,2,0),"")</f>
        <v/>
      </c>
      <c r="Q343" s="332">
        <f>IFERROR(VLOOKUP(TEXT(O343,"0"),CONDUCTORES!$A$3:$H$54,6,0),"")</f>
        <v/>
      </c>
      <c r="R343" s="334" t="n"/>
      <c r="S343" s="334" t="n"/>
      <c r="T343" s="334" t="n"/>
      <c r="U343" s="334" t="n"/>
      <c r="V343" s="334" t="n"/>
      <c r="W343" s="334" t="n"/>
      <c r="X343" s="334" t="n"/>
      <c r="Y343" s="334" t="n"/>
      <c r="Z343" s="375">
        <f>IF(AND(G343&lt;&gt;"",R343&lt;&gt;"",V343&lt;&gt;"",W343&lt;&gt;""),"COMPLETADO","OBSERVADO")</f>
        <v/>
      </c>
    </row>
    <row r="344" ht="15" customHeight="1" s="195">
      <c r="A344" s="280" t="n"/>
      <c r="B344" s="280" t="n"/>
      <c r="C344" s="280" t="n"/>
      <c r="D344" s="280" t="n"/>
      <c r="E344" s="280" t="n"/>
      <c r="F344" s="280" t="n"/>
      <c r="G344" s="280" t="n"/>
      <c r="H344" s="280" t="n"/>
      <c r="I344" s="332">
        <f>IFERROR(VLOOKUP(TEXT(H344,"0"),IPRESS!$A$3:$B$212,2,0),"")</f>
        <v/>
      </c>
      <c r="J344" s="280" t="n"/>
      <c r="K344" s="332">
        <f>IFERROR(VLOOKUP(TEXT(O344,"0"),CONDUCTORES!$A$3:$G$54,7,0),"")</f>
        <v/>
      </c>
      <c r="L344" s="280" t="n"/>
      <c r="M344" s="280" t="n"/>
      <c r="N344" s="333">
        <f>IFERROR(IF(L344*M344=0,"",L344*M344),"")</f>
        <v/>
      </c>
      <c r="O344" s="280" t="n"/>
      <c r="P344" s="332">
        <f>IFERROR(VLOOKUP(TEXT(O344,"0"),CONDUCTORES!$A$3:$G$54,2,0),"")</f>
        <v/>
      </c>
      <c r="Q344" s="332">
        <f>IFERROR(VLOOKUP(TEXT(O344,"0"),CONDUCTORES!$A$3:$H$54,6,0),"")</f>
        <v/>
      </c>
      <c r="R344" s="280" t="n"/>
      <c r="S344" s="280" t="n"/>
      <c r="T344" s="280" t="n"/>
      <c r="U344" s="280" t="n"/>
      <c r="V344" s="280" t="n"/>
      <c r="W344" s="280" t="n"/>
      <c r="X344" s="280" t="n"/>
      <c r="Y344" s="280" t="n"/>
      <c r="Z344" s="375">
        <f>IF(AND(G344&lt;&gt;"",R344&lt;&gt;"",V344&lt;&gt;"",W344&lt;&gt;""),"COMPLETADO","OBSERVADO")</f>
        <v/>
      </c>
    </row>
    <row r="345" ht="15" customHeight="1" s="195">
      <c r="A345" s="334" t="n"/>
      <c r="B345" s="334" t="n"/>
      <c r="C345" s="334" t="n"/>
      <c r="D345" s="334" t="n"/>
      <c r="E345" s="334" t="n"/>
      <c r="F345" s="334" t="n"/>
      <c r="G345" s="334" t="n"/>
      <c r="H345" s="334" t="n"/>
      <c r="I345" s="332">
        <f>IFERROR(VLOOKUP(TEXT(H345,"0"),IPRESS!$A$3:$B$212,2,0),"")</f>
        <v/>
      </c>
      <c r="J345" s="334" t="n"/>
      <c r="K345" s="332">
        <f>IFERROR(VLOOKUP(TEXT(O345,"0"),CONDUCTORES!$A$3:$G$54,7,0),"")</f>
        <v/>
      </c>
      <c r="L345" s="334" t="n"/>
      <c r="M345" s="334" t="n"/>
      <c r="N345" s="333">
        <f>IFERROR(IF(L345*M345=0,"",L345*M345),"")</f>
        <v/>
      </c>
      <c r="O345" s="334" t="n"/>
      <c r="P345" s="332">
        <f>IFERROR(VLOOKUP(TEXT(O345,"0"),CONDUCTORES!$A$3:$G$54,2,0),"")</f>
        <v/>
      </c>
      <c r="Q345" s="332">
        <f>IFERROR(VLOOKUP(TEXT(O345,"0"),CONDUCTORES!$A$3:$H$54,6,0),"")</f>
        <v/>
      </c>
      <c r="R345" s="334" t="n"/>
      <c r="S345" s="334" t="n"/>
      <c r="T345" s="334" t="n"/>
      <c r="U345" s="334" t="n"/>
      <c r="V345" s="334" t="n"/>
      <c r="W345" s="334" t="n"/>
      <c r="X345" s="334" t="n"/>
      <c r="Y345" s="334" t="n"/>
      <c r="Z345" s="375">
        <f>IF(AND(G345&lt;&gt;"",R345&lt;&gt;"",V345&lt;&gt;"",W345&lt;&gt;""),"COMPLETADO","OBSERVADO")</f>
        <v/>
      </c>
    </row>
    <row r="346" ht="15" customHeight="1" s="195">
      <c r="A346" s="280" t="n"/>
      <c r="B346" s="280" t="n"/>
      <c r="C346" s="280" t="n"/>
      <c r="D346" s="280" t="n"/>
      <c r="E346" s="280" t="n"/>
      <c r="F346" s="280" t="n"/>
      <c r="G346" s="280" t="n"/>
      <c r="H346" s="280" t="n"/>
      <c r="I346" s="332">
        <f>IFERROR(VLOOKUP(TEXT(H346,"0"),IPRESS!$A$3:$B$212,2,0),"")</f>
        <v/>
      </c>
      <c r="J346" s="280" t="n"/>
      <c r="K346" s="332">
        <f>IFERROR(VLOOKUP(TEXT(O346,"0"),CONDUCTORES!$A$3:$G$54,7,0),"")</f>
        <v/>
      </c>
      <c r="L346" s="280" t="n"/>
      <c r="M346" s="280" t="n"/>
      <c r="N346" s="333">
        <f>IFERROR(IF(L346*M346=0,"",L346*M346),"")</f>
        <v/>
      </c>
      <c r="O346" s="280" t="n"/>
      <c r="P346" s="332">
        <f>IFERROR(VLOOKUP(TEXT(O346,"0"),CONDUCTORES!$A$3:$G$54,2,0),"")</f>
        <v/>
      </c>
      <c r="Q346" s="332">
        <f>IFERROR(VLOOKUP(TEXT(O346,"0"),CONDUCTORES!$A$3:$H$54,6,0),"")</f>
        <v/>
      </c>
      <c r="R346" s="280" t="n"/>
      <c r="S346" s="280" t="n"/>
      <c r="T346" s="280" t="n"/>
      <c r="U346" s="280" t="n"/>
      <c r="V346" s="280" t="n"/>
      <c r="W346" s="280" t="n"/>
      <c r="X346" s="280" t="n"/>
      <c r="Y346" s="280" t="n"/>
      <c r="Z346" s="375">
        <f>IF(AND(G346&lt;&gt;"",R346&lt;&gt;"",V346&lt;&gt;"",W346&lt;&gt;""),"COMPLETADO","OBSERVADO")</f>
        <v/>
      </c>
    </row>
    <row r="347" ht="15" customHeight="1" s="195">
      <c r="A347" s="334" t="n"/>
      <c r="B347" s="334" t="n"/>
      <c r="C347" s="334" t="n"/>
      <c r="D347" s="334" t="n"/>
      <c r="E347" s="334" t="n"/>
      <c r="F347" s="334" t="n"/>
      <c r="G347" s="334" t="n"/>
      <c r="H347" s="334" t="n"/>
      <c r="I347" s="332">
        <f>IFERROR(VLOOKUP(TEXT(H347,"0"),IPRESS!$A$3:$B$212,2,0),"")</f>
        <v/>
      </c>
      <c r="J347" s="334" t="n"/>
      <c r="K347" s="332">
        <f>IFERROR(VLOOKUP(TEXT(O347,"0"),CONDUCTORES!$A$3:$G$54,7,0),"")</f>
        <v/>
      </c>
      <c r="L347" s="334" t="n"/>
      <c r="M347" s="334" t="n"/>
      <c r="N347" s="333">
        <f>IFERROR(IF(L347*M347=0,"",L347*M347),"")</f>
        <v/>
      </c>
      <c r="O347" s="334" t="n"/>
      <c r="P347" s="332">
        <f>IFERROR(VLOOKUP(TEXT(O347,"0"),CONDUCTORES!$A$3:$G$54,2,0),"")</f>
        <v/>
      </c>
      <c r="Q347" s="332">
        <f>IFERROR(VLOOKUP(TEXT(O347,"0"),CONDUCTORES!$A$3:$H$54,6,0),"")</f>
        <v/>
      </c>
      <c r="R347" s="334" t="n"/>
      <c r="S347" s="334" t="n"/>
      <c r="T347" s="334" t="n"/>
      <c r="U347" s="334" t="n"/>
      <c r="V347" s="334" t="n"/>
      <c r="W347" s="334" t="n"/>
      <c r="X347" s="334" t="n"/>
      <c r="Y347" s="334" t="n"/>
      <c r="Z347" s="375">
        <f>IF(AND(G347&lt;&gt;"",R347&lt;&gt;"",V347&lt;&gt;"",W347&lt;&gt;""),"COMPLETADO","OBSERVADO")</f>
        <v/>
      </c>
    </row>
    <row r="348" ht="15" customHeight="1" s="195">
      <c r="A348" s="280" t="n"/>
      <c r="B348" s="280" t="n"/>
      <c r="C348" s="280" t="n"/>
      <c r="D348" s="280" t="n"/>
      <c r="E348" s="280" t="n"/>
      <c r="F348" s="280" t="n"/>
      <c r="G348" s="280" t="n"/>
      <c r="H348" s="280" t="n"/>
      <c r="I348" s="332">
        <f>IFERROR(VLOOKUP(TEXT(H348,"0"),IPRESS!$A$3:$B$212,2,0),"")</f>
        <v/>
      </c>
      <c r="J348" s="280" t="n"/>
      <c r="K348" s="332">
        <f>IFERROR(VLOOKUP(TEXT(O348,"0"),CONDUCTORES!$A$3:$G$54,7,0),"")</f>
        <v/>
      </c>
      <c r="L348" s="280" t="n"/>
      <c r="M348" s="280" t="n"/>
      <c r="N348" s="333">
        <f>IFERROR(IF(L348*M348=0,"",L348*M348),"")</f>
        <v/>
      </c>
      <c r="O348" s="280" t="n"/>
      <c r="P348" s="332">
        <f>IFERROR(VLOOKUP(TEXT(O348,"0"),CONDUCTORES!$A$3:$G$54,2,0),"")</f>
        <v/>
      </c>
      <c r="Q348" s="332">
        <f>IFERROR(VLOOKUP(TEXT(O348,"0"),CONDUCTORES!$A$3:$H$54,6,0),"")</f>
        <v/>
      </c>
      <c r="R348" s="280" t="n"/>
      <c r="S348" s="280" t="n"/>
      <c r="T348" s="280" t="n"/>
      <c r="U348" s="280" t="n"/>
      <c r="V348" s="280" t="n"/>
      <c r="W348" s="280" t="n"/>
      <c r="X348" s="280" t="n"/>
      <c r="Y348" s="280" t="n"/>
      <c r="Z348" s="375">
        <f>IF(AND(G348&lt;&gt;"",R348&lt;&gt;"",V348&lt;&gt;"",W348&lt;&gt;""),"COMPLETADO","OBSERVADO")</f>
        <v/>
      </c>
    </row>
    <row r="349" ht="15" customHeight="1" s="195">
      <c r="A349" s="334" t="n"/>
      <c r="B349" s="334" t="n"/>
      <c r="C349" s="334" t="n"/>
      <c r="D349" s="334" t="n"/>
      <c r="E349" s="334" t="n"/>
      <c r="F349" s="334" t="n"/>
      <c r="G349" s="334" t="n"/>
      <c r="H349" s="334" t="n"/>
      <c r="I349" s="332">
        <f>IFERROR(VLOOKUP(TEXT(H349,"0"),IPRESS!$A$3:$B$212,2,0),"")</f>
        <v/>
      </c>
      <c r="J349" s="334" t="n"/>
      <c r="K349" s="332">
        <f>IFERROR(VLOOKUP(TEXT(O349,"0"),CONDUCTORES!$A$3:$G$54,7,0),"")</f>
        <v/>
      </c>
      <c r="L349" s="334" t="n"/>
      <c r="M349" s="334" t="n"/>
      <c r="N349" s="333">
        <f>IFERROR(IF(L349*M349=0,"",L349*M349),"")</f>
        <v/>
      </c>
      <c r="O349" s="334" t="n"/>
      <c r="P349" s="332">
        <f>IFERROR(VLOOKUP(TEXT(O349,"0"),CONDUCTORES!$A$3:$G$54,2,0),"")</f>
        <v/>
      </c>
      <c r="Q349" s="332">
        <f>IFERROR(VLOOKUP(TEXT(O349,"0"),CONDUCTORES!$A$3:$H$54,6,0),"")</f>
        <v/>
      </c>
      <c r="R349" s="334" t="n"/>
      <c r="S349" s="334" t="n"/>
      <c r="T349" s="334" t="n"/>
      <c r="U349" s="334" t="n"/>
      <c r="V349" s="334" t="n"/>
      <c r="W349" s="334" t="n"/>
      <c r="X349" s="334" t="n"/>
      <c r="Y349" s="334" t="n"/>
      <c r="Z349" s="375">
        <f>IF(AND(G349&lt;&gt;"",R349&lt;&gt;"",V349&lt;&gt;"",W349&lt;&gt;""),"COMPLETADO","OBSERVADO")</f>
        <v/>
      </c>
    </row>
    <row r="350" ht="15" customHeight="1" s="195">
      <c r="A350" s="280" t="n"/>
      <c r="B350" s="280" t="n"/>
      <c r="C350" s="280" t="n"/>
      <c r="D350" s="280" t="n"/>
      <c r="E350" s="280" t="n"/>
      <c r="F350" s="280" t="n"/>
      <c r="G350" s="280" t="n"/>
      <c r="H350" s="280" t="n"/>
      <c r="I350" s="332">
        <f>IFERROR(VLOOKUP(TEXT(H350,"0"),IPRESS!$A$3:$B$212,2,0),"")</f>
        <v/>
      </c>
      <c r="J350" s="280" t="n"/>
      <c r="K350" s="332">
        <f>IFERROR(VLOOKUP(TEXT(O350,"0"),CONDUCTORES!$A$3:$G$54,7,0),"")</f>
        <v/>
      </c>
      <c r="L350" s="280" t="n"/>
      <c r="M350" s="280" t="n"/>
      <c r="N350" s="333">
        <f>IFERROR(IF(L350*M350=0,"",L350*M350),"")</f>
        <v/>
      </c>
      <c r="O350" s="280" t="n"/>
      <c r="P350" s="332">
        <f>IFERROR(VLOOKUP(TEXT(O350,"0"),CONDUCTORES!$A$3:$G$54,2,0),"")</f>
        <v/>
      </c>
      <c r="Q350" s="332">
        <f>IFERROR(VLOOKUP(TEXT(O350,"0"),CONDUCTORES!$A$3:$H$54,6,0),"")</f>
        <v/>
      </c>
      <c r="R350" s="280" t="n"/>
      <c r="S350" s="280" t="n"/>
      <c r="T350" s="280" t="n"/>
      <c r="U350" s="280" t="n"/>
      <c r="V350" s="280" t="n"/>
      <c r="W350" s="280" t="n"/>
      <c r="X350" s="280" t="n"/>
      <c r="Y350" s="280" t="n"/>
      <c r="Z350" s="375">
        <f>IF(AND(G350&lt;&gt;"",R350&lt;&gt;"",V350&lt;&gt;"",W350&lt;&gt;""),"COMPLETADO","OBSERVADO")</f>
        <v/>
      </c>
    </row>
    <row r="351" ht="15" customHeight="1" s="195">
      <c r="A351" s="334" t="n"/>
      <c r="B351" s="334" t="n"/>
      <c r="C351" s="334" t="n"/>
      <c r="D351" s="334" t="n"/>
      <c r="E351" s="334" t="n"/>
      <c r="F351" s="334" t="n"/>
      <c r="G351" s="334" t="n"/>
      <c r="H351" s="334" t="n"/>
      <c r="I351" s="332">
        <f>IFERROR(VLOOKUP(TEXT(H351,"0"),IPRESS!$A$3:$B$212,2,0),"")</f>
        <v/>
      </c>
      <c r="J351" s="334" t="n"/>
      <c r="K351" s="332">
        <f>IFERROR(VLOOKUP(TEXT(O351,"0"),CONDUCTORES!$A$3:$G$54,7,0),"")</f>
        <v/>
      </c>
      <c r="L351" s="334" t="n"/>
      <c r="M351" s="334" t="n"/>
      <c r="N351" s="333">
        <f>IFERROR(IF(L351*M351=0,"",L351*M351),"")</f>
        <v/>
      </c>
      <c r="O351" s="334" t="n"/>
      <c r="P351" s="332">
        <f>IFERROR(VLOOKUP(TEXT(O351,"0"),CONDUCTORES!$A$3:$G$54,2,0),"")</f>
        <v/>
      </c>
      <c r="Q351" s="332">
        <f>IFERROR(VLOOKUP(TEXT(O351,"0"),CONDUCTORES!$A$3:$H$54,6,0),"")</f>
        <v/>
      </c>
      <c r="R351" s="334" t="n"/>
      <c r="S351" s="334" t="n"/>
      <c r="T351" s="334" t="n"/>
      <c r="U351" s="334" t="n"/>
      <c r="V351" s="334" t="n"/>
      <c r="W351" s="334" t="n"/>
      <c r="X351" s="334" t="n"/>
      <c r="Y351" s="334" t="n"/>
      <c r="Z351" s="375">
        <f>IF(AND(G351&lt;&gt;"",R351&lt;&gt;"",V351&lt;&gt;"",W351&lt;&gt;""),"COMPLETADO","OBSERVADO")</f>
        <v/>
      </c>
    </row>
    <row r="352" ht="15" customHeight="1" s="195">
      <c r="A352" s="280" t="n"/>
      <c r="B352" s="280" t="n"/>
      <c r="C352" s="280" t="n"/>
      <c r="D352" s="280" t="n"/>
      <c r="E352" s="280" t="n"/>
      <c r="F352" s="280" t="n"/>
      <c r="G352" s="280" t="n"/>
      <c r="H352" s="280" t="n"/>
      <c r="I352" s="332">
        <f>IFERROR(VLOOKUP(TEXT(H352,"0"),IPRESS!$A$3:$B$212,2,0),"")</f>
        <v/>
      </c>
      <c r="J352" s="280" t="n"/>
      <c r="K352" s="332">
        <f>IFERROR(VLOOKUP(TEXT(O352,"0"),CONDUCTORES!$A$3:$G$54,7,0),"")</f>
        <v/>
      </c>
      <c r="L352" s="280" t="n"/>
      <c r="M352" s="280" t="n"/>
      <c r="N352" s="333">
        <f>IFERROR(IF(L352*M352=0,"",L352*M352),"")</f>
        <v/>
      </c>
      <c r="O352" s="280" t="n"/>
      <c r="P352" s="332">
        <f>IFERROR(VLOOKUP(TEXT(O352,"0"),CONDUCTORES!$A$3:$G$54,2,0),"")</f>
        <v/>
      </c>
      <c r="Q352" s="332">
        <f>IFERROR(VLOOKUP(TEXT(O352,"0"),CONDUCTORES!$A$3:$H$54,6,0),"")</f>
        <v/>
      </c>
      <c r="R352" s="280" t="n"/>
      <c r="S352" s="280" t="n"/>
      <c r="T352" s="280" t="n"/>
      <c r="U352" s="280" t="n"/>
      <c r="V352" s="280" t="n"/>
      <c r="W352" s="280" t="n"/>
      <c r="X352" s="280" t="n"/>
      <c r="Y352" s="280" t="n"/>
      <c r="Z352" s="375">
        <f>IF(AND(G352&lt;&gt;"",R352&lt;&gt;"",V352&lt;&gt;"",W352&lt;&gt;""),"COMPLETADO","OBSERVADO")</f>
        <v/>
      </c>
    </row>
    <row r="353" ht="15" customHeight="1" s="195">
      <c r="A353" s="334" t="n"/>
      <c r="B353" s="334" t="n"/>
      <c r="C353" s="334" t="n"/>
      <c r="D353" s="334" t="n"/>
      <c r="E353" s="334" t="n"/>
      <c r="F353" s="334" t="n"/>
      <c r="G353" s="334" t="n"/>
      <c r="H353" s="334" t="n"/>
      <c r="I353" s="332">
        <f>IFERROR(VLOOKUP(TEXT(H353,"0"),IPRESS!$A$3:$B$212,2,0),"")</f>
        <v/>
      </c>
      <c r="J353" s="334" t="n"/>
      <c r="K353" s="332">
        <f>IFERROR(VLOOKUP(TEXT(O353,"0"),CONDUCTORES!$A$3:$G$54,7,0),"")</f>
        <v/>
      </c>
      <c r="L353" s="334" t="n"/>
      <c r="M353" s="334" t="n"/>
      <c r="N353" s="333">
        <f>IFERROR(IF(L353*M353=0,"",L353*M353),"")</f>
        <v/>
      </c>
      <c r="O353" s="334" t="n"/>
      <c r="P353" s="332">
        <f>IFERROR(VLOOKUP(TEXT(O353,"0"),CONDUCTORES!$A$3:$G$54,2,0),"")</f>
        <v/>
      </c>
      <c r="Q353" s="332">
        <f>IFERROR(VLOOKUP(TEXT(O353,"0"),CONDUCTORES!$A$3:$H$54,6,0),"")</f>
        <v/>
      </c>
      <c r="R353" s="334" t="n"/>
      <c r="S353" s="334" t="n"/>
      <c r="T353" s="334" t="n"/>
      <c r="U353" s="334" t="n"/>
      <c r="V353" s="334" t="n"/>
      <c r="W353" s="334" t="n"/>
      <c r="X353" s="334" t="n"/>
      <c r="Y353" s="334" t="n"/>
      <c r="Z353" s="375">
        <f>IF(AND(G353&lt;&gt;"",R353&lt;&gt;"",V353&lt;&gt;"",W353&lt;&gt;""),"COMPLETADO","OBSERVADO")</f>
        <v/>
      </c>
    </row>
    <row r="354" ht="15" customHeight="1" s="195">
      <c r="A354" s="280" t="n"/>
      <c r="B354" s="280" t="n"/>
      <c r="C354" s="280" t="n"/>
      <c r="D354" s="280" t="n"/>
      <c r="E354" s="280" t="n"/>
      <c r="F354" s="280" t="n"/>
      <c r="G354" s="280" t="n"/>
      <c r="H354" s="280" t="n"/>
      <c r="I354" s="332">
        <f>IFERROR(VLOOKUP(TEXT(H354,"0"),IPRESS!$A$3:$B$212,2,0),"")</f>
        <v/>
      </c>
      <c r="J354" s="280" t="n"/>
      <c r="K354" s="332">
        <f>IFERROR(VLOOKUP(TEXT(O354,"0"),CONDUCTORES!$A$3:$G$54,7,0),"")</f>
        <v/>
      </c>
      <c r="L354" s="280" t="n"/>
      <c r="M354" s="280" t="n"/>
      <c r="N354" s="333">
        <f>IFERROR(IF(L354*M354=0,"",L354*M354),"")</f>
        <v/>
      </c>
      <c r="O354" s="280" t="n"/>
      <c r="P354" s="332">
        <f>IFERROR(VLOOKUP(TEXT(O354,"0"),CONDUCTORES!$A$3:$G$54,2,0),"")</f>
        <v/>
      </c>
      <c r="Q354" s="332">
        <f>IFERROR(VLOOKUP(TEXT(O354,"0"),CONDUCTORES!$A$3:$H$54,6,0),"")</f>
        <v/>
      </c>
      <c r="R354" s="280" t="n"/>
      <c r="S354" s="280" t="n"/>
      <c r="T354" s="280" t="n"/>
      <c r="U354" s="280" t="n"/>
      <c r="V354" s="280" t="n"/>
      <c r="W354" s="280" t="n"/>
      <c r="X354" s="280" t="n"/>
      <c r="Y354" s="280" t="n"/>
      <c r="Z354" s="375">
        <f>IF(AND(G354&lt;&gt;"",R354&lt;&gt;"",V354&lt;&gt;"",W354&lt;&gt;""),"COMPLETADO","OBSERVADO")</f>
        <v/>
      </c>
    </row>
    <row r="355" ht="15" customHeight="1" s="195">
      <c r="A355" s="334" t="n"/>
      <c r="B355" s="334" t="n"/>
      <c r="C355" s="334" t="n"/>
      <c r="D355" s="334" t="n"/>
      <c r="E355" s="334" t="n"/>
      <c r="F355" s="334" t="n"/>
      <c r="G355" s="334" t="n"/>
      <c r="H355" s="334" t="n"/>
      <c r="I355" s="332">
        <f>IFERROR(VLOOKUP(TEXT(H355,"0"),IPRESS!$A$3:$B$212,2,0),"")</f>
        <v/>
      </c>
      <c r="J355" s="334" t="n"/>
      <c r="K355" s="332">
        <f>IFERROR(VLOOKUP(TEXT(O355,"0"),CONDUCTORES!$A$3:$G$54,7,0),"")</f>
        <v/>
      </c>
      <c r="L355" s="334" t="n"/>
      <c r="M355" s="334" t="n"/>
      <c r="N355" s="333">
        <f>IFERROR(IF(L355*M355=0,"",L355*M355),"")</f>
        <v/>
      </c>
      <c r="O355" s="334" t="n"/>
      <c r="P355" s="332">
        <f>IFERROR(VLOOKUP(TEXT(O355,"0"),CONDUCTORES!$A$3:$G$54,2,0),"")</f>
        <v/>
      </c>
      <c r="Q355" s="332">
        <f>IFERROR(VLOOKUP(TEXT(O355,"0"),CONDUCTORES!$A$3:$H$54,6,0),"")</f>
        <v/>
      </c>
      <c r="R355" s="334" t="n"/>
      <c r="S355" s="334" t="n"/>
      <c r="T355" s="334" t="n"/>
      <c r="U355" s="334" t="n"/>
      <c r="V355" s="334" t="n"/>
      <c r="W355" s="334" t="n"/>
      <c r="X355" s="334" t="n"/>
      <c r="Y355" s="334" t="n"/>
      <c r="Z355" s="375">
        <f>IF(AND(G355&lt;&gt;"",R355&lt;&gt;"",V355&lt;&gt;"",W355&lt;&gt;""),"COMPLETADO","OBSERVADO")</f>
        <v/>
      </c>
    </row>
    <row r="356" ht="15" customHeight="1" s="195">
      <c r="A356" s="280" t="n"/>
      <c r="B356" s="280" t="n"/>
      <c r="C356" s="280" t="n"/>
      <c r="D356" s="280" t="n"/>
      <c r="E356" s="280" t="n"/>
      <c r="F356" s="280" t="n"/>
      <c r="G356" s="280" t="n"/>
      <c r="H356" s="280" t="n"/>
      <c r="I356" s="332">
        <f>IFERROR(VLOOKUP(TEXT(H356,"0"),IPRESS!$A$3:$B$212,2,0),"")</f>
        <v/>
      </c>
      <c r="J356" s="280" t="n"/>
      <c r="K356" s="332">
        <f>IFERROR(VLOOKUP(TEXT(O356,"0"),CONDUCTORES!$A$3:$G$54,7,0),"")</f>
        <v/>
      </c>
      <c r="L356" s="280" t="n"/>
      <c r="M356" s="280" t="n"/>
      <c r="N356" s="333">
        <f>IFERROR(IF(L356*M356=0,"",L356*M356),"")</f>
        <v/>
      </c>
      <c r="O356" s="280" t="n"/>
      <c r="P356" s="332">
        <f>IFERROR(VLOOKUP(TEXT(O356,"0"),CONDUCTORES!$A$3:$G$54,2,0),"")</f>
        <v/>
      </c>
      <c r="Q356" s="332">
        <f>IFERROR(VLOOKUP(TEXT(O356,"0"),CONDUCTORES!$A$3:$H$54,6,0),"")</f>
        <v/>
      </c>
      <c r="R356" s="280" t="n"/>
      <c r="S356" s="280" t="n"/>
      <c r="T356" s="280" t="n"/>
      <c r="U356" s="280" t="n"/>
      <c r="V356" s="280" t="n"/>
      <c r="W356" s="280" t="n"/>
      <c r="X356" s="280" t="n"/>
      <c r="Y356" s="280" t="n"/>
      <c r="Z356" s="375">
        <f>IF(AND(G356&lt;&gt;"",R356&lt;&gt;"",V356&lt;&gt;"",W356&lt;&gt;""),"COMPLETADO","OBSERVADO")</f>
        <v/>
      </c>
    </row>
    <row r="357" ht="15" customHeight="1" s="195">
      <c r="A357" s="334" t="n"/>
      <c r="B357" s="334" t="n"/>
      <c r="C357" s="334" t="n"/>
      <c r="D357" s="334" t="n"/>
      <c r="E357" s="334" t="n"/>
      <c r="F357" s="334" t="n"/>
      <c r="G357" s="334" t="n"/>
      <c r="H357" s="334" t="n"/>
      <c r="I357" s="332">
        <f>IFERROR(VLOOKUP(TEXT(H357,"0"),IPRESS!$A$3:$B$212,2,0),"")</f>
        <v/>
      </c>
      <c r="J357" s="334" t="n"/>
      <c r="K357" s="332">
        <f>IFERROR(VLOOKUP(TEXT(O357,"0"),CONDUCTORES!$A$3:$G$54,7,0),"")</f>
        <v/>
      </c>
      <c r="L357" s="334" t="n"/>
      <c r="M357" s="334" t="n"/>
      <c r="N357" s="333">
        <f>IFERROR(IF(L357*M357=0,"",L357*M357),"")</f>
        <v/>
      </c>
      <c r="O357" s="334" t="n"/>
      <c r="P357" s="332">
        <f>IFERROR(VLOOKUP(TEXT(O357,"0"),CONDUCTORES!$A$3:$G$54,2,0),"")</f>
        <v/>
      </c>
      <c r="Q357" s="332">
        <f>IFERROR(VLOOKUP(TEXT(O357,"0"),CONDUCTORES!$A$3:$H$54,6,0),"")</f>
        <v/>
      </c>
      <c r="R357" s="334" t="n"/>
      <c r="S357" s="334" t="n"/>
      <c r="T357" s="334" t="n"/>
      <c r="U357" s="334" t="n"/>
      <c r="V357" s="334" t="n"/>
      <c r="W357" s="334" t="n"/>
      <c r="X357" s="334" t="n"/>
      <c r="Y357" s="334" t="n"/>
      <c r="Z357" s="375">
        <f>IF(AND(G357&lt;&gt;"",R357&lt;&gt;"",V357&lt;&gt;"",W357&lt;&gt;""),"COMPLETADO","OBSERVADO")</f>
        <v/>
      </c>
    </row>
    <row r="358" ht="15" customHeight="1" s="195">
      <c r="A358" s="280" t="n"/>
      <c r="B358" s="280" t="n"/>
      <c r="C358" s="280" t="n"/>
      <c r="D358" s="280" t="n"/>
      <c r="E358" s="280" t="n"/>
      <c r="F358" s="280" t="n"/>
      <c r="G358" s="280" t="n"/>
      <c r="H358" s="280" t="n"/>
      <c r="I358" s="332">
        <f>IFERROR(VLOOKUP(TEXT(H358,"0"),IPRESS!$A$3:$B$212,2,0),"")</f>
        <v/>
      </c>
      <c r="J358" s="280" t="n"/>
      <c r="K358" s="332">
        <f>IFERROR(VLOOKUP(TEXT(O358,"0"),CONDUCTORES!$A$3:$G$54,7,0),"")</f>
        <v/>
      </c>
      <c r="L358" s="280" t="n"/>
      <c r="M358" s="280" t="n"/>
      <c r="N358" s="333">
        <f>IFERROR(IF(L358*M358=0,"",L358*M358),"")</f>
        <v/>
      </c>
      <c r="O358" s="280" t="n"/>
      <c r="P358" s="332">
        <f>IFERROR(VLOOKUP(TEXT(O358,"0"),CONDUCTORES!$A$3:$G$54,2,0),"")</f>
        <v/>
      </c>
      <c r="Q358" s="332">
        <f>IFERROR(VLOOKUP(TEXT(O358,"0"),CONDUCTORES!$A$3:$H$54,6,0),"")</f>
        <v/>
      </c>
      <c r="R358" s="280" t="n"/>
      <c r="S358" s="280" t="n"/>
      <c r="T358" s="280" t="n"/>
      <c r="U358" s="280" t="n"/>
      <c r="V358" s="280" t="n"/>
      <c r="W358" s="280" t="n"/>
      <c r="X358" s="280" t="n"/>
      <c r="Y358" s="280" t="n"/>
      <c r="Z358" s="375">
        <f>IF(AND(G358&lt;&gt;"",R358&lt;&gt;"",V358&lt;&gt;"",W358&lt;&gt;""),"COMPLETADO","OBSERVADO")</f>
        <v/>
      </c>
    </row>
    <row r="359" ht="15" customHeight="1" s="195">
      <c r="A359" s="334" t="n"/>
      <c r="B359" s="334" t="n"/>
      <c r="C359" s="334" t="n"/>
      <c r="D359" s="334" t="n"/>
      <c r="E359" s="334" t="n"/>
      <c r="F359" s="334" t="n"/>
      <c r="G359" s="334" t="n"/>
      <c r="H359" s="334" t="n"/>
      <c r="I359" s="332">
        <f>IFERROR(VLOOKUP(TEXT(H359,"0"),IPRESS!$A$3:$B$212,2,0),"")</f>
        <v/>
      </c>
      <c r="J359" s="334" t="n"/>
      <c r="K359" s="332">
        <f>IFERROR(VLOOKUP(TEXT(O359,"0"),CONDUCTORES!$A$3:$G$54,7,0),"")</f>
        <v/>
      </c>
      <c r="L359" s="334" t="n"/>
      <c r="M359" s="334" t="n"/>
      <c r="N359" s="333">
        <f>IFERROR(IF(L359*M359=0,"",L359*M359),"")</f>
        <v/>
      </c>
      <c r="O359" s="334" t="n"/>
      <c r="P359" s="332">
        <f>IFERROR(VLOOKUP(TEXT(O359,"0"),CONDUCTORES!$A$3:$G$54,2,0),"")</f>
        <v/>
      </c>
      <c r="Q359" s="332">
        <f>IFERROR(VLOOKUP(TEXT(O359,"0"),CONDUCTORES!$A$3:$H$54,6,0),"")</f>
        <v/>
      </c>
      <c r="R359" s="334" t="n"/>
      <c r="S359" s="334" t="n"/>
      <c r="T359" s="334" t="n"/>
      <c r="U359" s="334" t="n"/>
      <c r="V359" s="334" t="n"/>
      <c r="W359" s="334" t="n"/>
      <c r="X359" s="334" t="n"/>
      <c r="Y359" s="334" t="n"/>
      <c r="Z359" s="375">
        <f>IF(AND(G359&lt;&gt;"",R359&lt;&gt;"",V359&lt;&gt;"",W359&lt;&gt;""),"COMPLETADO","OBSERVADO")</f>
        <v/>
      </c>
    </row>
    <row r="360" ht="15" customHeight="1" s="195">
      <c r="A360" s="280" t="n"/>
      <c r="B360" s="280" t="n"/>
      <c r="C360" s="280" t="n"/>
      <c r="D360" s="280" t="n"/>
      <c r="E360" s="280" t="n"/>
      <c r="F360" s="280" t="n"/>
      <c r="G360" s="280" t="n"/>
      <c r="H360" s="280" t="n"/>
      <c r="I360" s="332">
        <f>IFERROR(VLOOKUP(TEXT(H360,"0"),IPRESS!$A$3:$B$212,2,0),"")</f>
        <v/>
      </c>
      <c r="J360" s="280" t="n"/>
      <c r="K360" s="332">
        <f>IFERROR(VLOOKUP(TEXT(O360,"0"),CONDUCTORES!$A$3:$G$54,7,0),"")</f>
        <v/>
      </c>
      <c r="L360" s="280" t="n"/>
      <c r="M360" s="280" t="n"/>
      <c r="N360" s="333">
        <f>IFERROR(IF(L360*M360=0,"",L360*M360),"")</f>
        <v/>
      </c>
      <c r="O360" s="280" t="n"/>
      <c r="P360" s="332">
        <f>IFERROR(VLOOKUP(TEXT(O360,"0"),CONDUCTORES!$A$3:$G$54,2,0),"")</f>
        <v/>
      </c>
      <c r="Q360" s="332">
        <f>IFERROR(VLOOKUP(TEXT(O360,"0"),CONDUCTORES!$A$3:$H$54,6,0),"")</f>
        <v/>
      </c>
      <c r="R360" s="280" t="n"/>
      <c r="S360" s="280" t="n"/>
      <c r="T360" s="280" t="n"/>
      <c r="U360" s="280" t="n"/>
      <c r="V360" s="280" t="n"/>
      <c r="W360" s="280" t="n"/>
      <c r="X360" s="280" t="n"/>
      <c r="Y360" s="280" t="n"/>
      <c r="Z360" s="375">
        <f>IF(AND(G360&lt;&gt;"",R360&lt;&gt;"",V360&lt;&gt;"",W360&lt;&gt;""),"COMPLETADO","OBSERVADO")</f>
        <v/>
      </c>
    </row>
    <row r="361" ht="15" customHeight="1" s="195">
      <c r="A361" s="334" t="n"/>
      <c r="B361" s="334" t="n"/>
      <c r="C361" s="334" t="n"/>
      <c r="D361" s="334" t="n"/>
      <c r="E361" s="334" t="n"/>
      <c r="F361" s="334" t="n"/>
      <c r="G361" s="334" t="n"/>
      <c r="H361" s="334" t="n"/>
      <c r="I361" s="332">
        <f>IFERROR(VLOOKUP(TEXT(H361,"0"),IPRESS!$A$3:$B$212,2,0),"")</f>
        <v/>
      </c>
      <c r="J361" s="334" t="n"/>
      <c r="K361" s="332">
        <f>IFERROR(VLOOKUP(TEXT(O361,"0"),CONDUCTORES!$A$3:$G$54,7,0),"")</f>
        <v/>
      </c>
      <c r="L361" s="334" t="n"/>
      <c r="M361" s="334" t="n"/>
      <c r="N361" s="333">
        <f>IFERROR(IF(L361*M361=0,"",L361*M361),"")</f>
        <v/>
      </c>
      <c r="O361" s="334" t="n"/>
      <c r="P361" s="332">
        <f>IFERROR(VLOOKUP(TEXT(O361,"0"),CONDUCTORES!$A$3:$G$54,2,0),"")</f>
        <v/>
      </c>
      <c r="Q361" s="332">
        <f>IFERROR(VLOOKUP(TEXT(O361,"0"),CONDUCTORES!$A$3:$H$54,6,0),"")</f>
        <v/>
      </c>
      <c r="R361" s="334" t="n"/>
      <c r="S361" s="334" t="n"/>
      <c r="T361" s="334" t="n"/>
      <c r="U361" s="334" t="n"/>
      <c r="V361" s="334" t="n"/>
      <c r="W361" s="334" t="n"/>
      <c r="X361" s="334" t="n"/>
      <c r="Y361" s="334" t="n"/>
      <c r="Z361" s="375">
        <f>IF(AND(G361&lt;&gt;"",R361&lt;&gt;"",V361&lt;&gt;"",W361&lt;&gt;""),"COMPLETADO","OBSERVADO")</f>
        <v/>
      </c>
    </row>
    <row r="362" ht="15" customHeight="1" s="195">
      <c r="A362" s="280" t="n"/>
      <c r="B362" s="280" t="n"/>
      <c r="C362" s="280" t="n"/>
      <c r="D362" s="280" t="n"/>
      <c r="E362" s="280" t="n"/>
      <c r="F362" s="280" t="n"/>
      <c r="G362" s="280" t="n"/>
      <c r="H362" s="280" t="n"/>
      <c r="I362" s="332">
        <f>IFERROR(VLOOKUP(TEXT(H362,"0"),IPRESS!$A$3:$B$212,2,0),"")</f>
        <v/>
      </c>
      <c r="J362" s="280" t="n"/>
      <c r="K362" s="332">
        <f>IFERROR(VLOOKUP(TEXT(O362,"0"),CONDUCTORES!$A$3:$G$54,7,0),"")</f>
        <v/>
      </c>
      <c r="L362" s="280" t="n"/>
      <c r="M362" s="280" t="n"/>
      <c r="N362" s="333">
        <f>IFERROR(IF(L362*M362=0,"",L362*M362),"")</f>
        <v/>
      </c>
      <c r="O362" s="280" t="n"/>
      <c r="P362" s="332">
        <f>IFERROR(VLOOKUP(TEXT(O362,"0"),CONDUCTORES!$A$3:$G$54,2,0),"")</f>
        <v/>
      </c>
      <c r="Q362" s="332">
        <f>IFERROR(VLOOKUP(TEXT(O362,"0"),CONDUCTORES!$A$3:$H$54,6,0),"")</f>
        <v/>
      </c>
      <c r="R362" s="280" t="n"/>
      <c r="S362" s="280" t="n"/>
      <c r="T362" s="280" t="n"/>
      <c r="U362" s="280" t="n"/>
      <c r="V362" s="280" t="n"/>
      <c r="W362" s="280" t="n"/>
      <c r="X362" s="280" t="n"/>
      <c r="Y362" s="280" t="n"/>
      <c r="Z362" s="375">
        <f>IF(AND(G362&lt;&gt;"",R362&lt;&gt;"",V362&lt;&gt;"",W362&lt;&gt;""),"COMPLETADO","OBSERVADO")</f>
        <v/>
      </c>
    </row>
    <row r="363" ht="15" customHeight="1" s="195">
      <c r="A363" s="334" t="n"/>
      <c r="B363" s="334" t="n"/>
      <c r="C363" s="334" t="n"/>
      <c r="D363" s="334" t="n"/>
      <c r="E363" s="334" t="n"/>
      <c r="F363" s="334" t="n"/>
      <c r="G363" s="334" t="n"/>
      <c r="H363" s="334" t="n"/>
      <c r="I363" s="332">
        <f>IFERROR(VLOOKUP(TEXT(H363,"0"),IPRESS!$A$3:$B$212,2,0),"")</f>
        <v/>
      </c>
      <c r="J363" s="334" t="n"/>
      <c r="K363" s="332">
        <f>IFERROR(VLOOKUP(TEXT(O363,"0"),CONDUCTORES!$A$3:$G$54,7,0),"")</f>
        <v/>
      </c>
      <c r="L363" s="334" t="n"/>
      <c r="M363" s="334" t="n"/>
      <c r="N363" s="333">
        <f>IFERROR(IF(L363*M363=0,"",L363*M363),"")</f>
        <v/>
      </c>
      <c r="O363" s="334" t="n"/>
      <c r="P363" s="332">
        <f>IFERROR(VLOOKUP(TEXT(O363,"0"),CONDUCTORES!$A$3:$G$54,2,0),"")</f>
        <v/>
      </c>
      <c r="Q363" s="332">
        <f>IFERROR(VLOOKUP(TEXT(O363,"0"),CONDUCTORES!$A$3:$H$54,6,0),"")</f>
        <v/>
      </c>
      <c r="R363" s="334" t="n"/>
      <c r="S363" s="334" t="n"/>
      <c r="T363" s="334" t="n"/>
      <c r="U363" s="334" t="n"/>
      <c r="V363" s="334" t="n"/>
      <c r="W363" s="334" t="n"/>
      <c r="X363" s="334" t="n"/>
      <c r="Y363" s="334" t="n"/>
      <c r="Z363" s="375">
        <f>IF(AND(G363&lt;&gt;"",R363&lt;&gt;"",V363&lt;&gt;"",W363&lt;&gt;""),"COMPLETADO","OBSERVADO")</f>
        <v/>
      </c>
    </row>
    <row r="364" ht="15" customHeight="1" s="195">
      <c r="A364" s="280" t="n"/>
      <c r="B364" s="280" t="n"/>
      <c r="C364" s="280" t="n"/>
      <c r="D364" s="280" t="n"/>
      <c r="E364" s="280" t="n"/>
      <c r="F364" s="280" t="n"/>
      <c r="G364" s="280" t="n"/>
      <c r="H364" s="280" t="n"/>
      <c r="I364" s="332">
        <f>IFERROR(VLOOKUP(TEXT(H364,"0"),IPRESS!$A$3:$B$212,2,0),"")</f>
        <v/>
      </c>
      <c r="J364" s="280" t="n"/>
      <c r="K364" s="332">
        <f>IFERROR(VLOOKUP(TEXT(O364,"0"),CONDUCTORES!$A$3:$G$54,7,0),"")</f>
        <v/>
      </c>
      <c r="L364" s="280" t="n"/>
      <c r="M364" s="280" t="n"/>
      <c r="N364" s="333">
        <f>IFERROR(IF(L364*M364=0,"",L364*M364),"")</f>
        <v/>
      </c>
      <c r="O364" s="280" t="n"/>
      <c r="P364" s="332">
        <f>IFERROR(VLOOKUP(TEXT(O364,"0"),CONDUCTORES!$A$3:$G$54,2,0),"")</f>
        <v/>
      </c>
      <c r="Q364" s="332">
        <f>IFERROR(VLOOKUP(TEXT(O364,"0"),CONDUCTORES!$A$3:$H$54,6,0),"")</f>
        <v/>
      </c>
      <c r="R364" s="280" t="n"/>
      <c r="S364" s="280" t="n"/>
      <c r="T364" s="280" t="n"/>
      <c r="U364" s="280" t="n"/>
      <c r="V364" s="280" t="n"/>
      <c r="W364" s="280" t="n"/>
      <c r="X364" s="280" t="n"/>
      <c r="Y364" s="280" t="n"/>
      <c r="Z364" s="375">
        <f>IF(AND(G364&lt;&gt;"",R364&lt;&gt;"",V364&lt;&gt;"",W364&lt;&gt;""),"COMPLETADO","OBSERVADO")</f>
        <v/>
      </c>
    </row>
    <row r="365" ht="15" customHeight="1" s="195">
      <c r="A365" s="334" t="n"/>
      <c r="B365" s="334" t="n"/>
      <c r="C365" s="334" t="n"/>
      <c r="D365" s="334" t="n"/>
      <c r="E365" s="334" t="n"/>
      <c r="F365" s="334" t="n"/>
      <c r="G365" s="334" t="n"/>
      <c r="H365" s="334" t="n"/>
      <c r="I365" s="332">
        <f>IFERROR(VLOOKUP(TEXT(H365,"0"),IPRESS!$A$3:$B$212,2,0),"")</f>
        <v/>
      </c>
      <c r="J365" s="334" t="n"/>
      <c r="K365" s="332">
        <f>IFERROR(VLOOKUP(TEXT(O365,"0"),CONDUCTORES!$A$3:$G$54,7,0),"")</f>
        <v/>
      </c>
      <c r="L365" s="334" t="n"/>
      <c r="M365" s="334" t="n"/>
      <c r="N365" s="333">
        <f>IFERROR(IF(L365*M365=0,"",L365*M365),"")</f>
        <v/>
      </c>
      <c r="O365" s="334" t="n"/>
      <c r="P365" s="332">
        <f>IFERROR(VLOOKUP(TEXT(O365,"0"),CONDUCTORES!$A$3:$G$54,2,0),"")</f>
        <v/>
      </c>
      <c r="Q365" s="332">
        <f>IFERROR(VLOOKUP(TEXT(O365,"0"),CONDUCTORES!$A$3:$H$54,6,0),"")</f>
        <v/>
      </c>
      <c r="R365" s="334" t="n"/>
      <c r="S365" s="334" t="n"/>
      <c r="T365" s="334" t="n"/>
      <c r="U365" s="334" t="n"/>
      <c r="V365" s="334" t="n"/>
      <c r="W365" s="334" t="n"/>
      <c r="X365" s="334" t="n"/>
      <c r="Y365" s="334" t="n"/>
      <c r="Z365" s="375">
        <f>IF(AND(G365&lt;&gt;"",R365&lt;&gt;"",V365&lt;&gt;"",W365&lt;&gt;""),"COMPLETADO","OBSERVADO")</f>
        <v/>
      </c>
    </row>
    <row r="366" ht="15" customHeight="1" s="195">
      <c r="A366" s="280" t="n"/>
      <c r="B366" s="280" t="n"/>
      <c r="C366" s="280" t="n"/>
      <c r="D366" s="280" t="n"/>
      <c r="E366" s="280" t="n"/>
      <c r="F366" s="280" t="n"/>
      <c r="G366" s="280" t="n"/>
      <c r="H366" s="280" t="n"/>
      <c r="I366" s="332">
        <f>IFERROR(VLOOKUP(TEXT(H366,"0"),IPRESS!$A$3:$B$212,2,0),"")</f>
        <v/>
      </c>
      <c r="J366" s="280" t="n"/>
      <c r="K366" s="332">
        <f>IFERROR(VLOOKUP(TEXT(O366,"0"),CONDUCTORES!$A$3:$G$54,7,0),"")</f>
        <v/>
      </c>
      <c r="L366" s="280" t="n"/>
      <c r="M366" s="280" t="n"/>
      <c r="N366" s="333">
        <f>IFERROR(IF(L366*M366=0,"",L366*M366),"")</f>
        <v/>
      </c>
      <c r="O366" s="280" t="n"/>
      <c r="P366" s="332">
        <f>IFERROR(VLOOKUP(TEXT(O366,"0"),CONDUCTORES!$A$3:$G$54,2,0),"")</f>
        <v/>
      </c>
      <c r="Q366" s="332">
        <f>IFERROR(VLOOKUP(TEXT(O366,"0"),CONDUCTORES!$A$3:$H$54,6,0),"")</f>
        <v/>
      </c>
      <c r="R366" s="280" t="n"/>
      <c r="S366" s="280" t="n"/>
      <c r="T366" s="280" t="n"/>
      <c r="U366" s="280" t="n"/>
      <c r="V366" s="280" t="n"/>
      <c r="W366" s="280" t="n"/>
      <c r="X366" s="280" t="n"/>
      <c r="Y366" s="280" t="n"/>
      <c r="Z366" s="375">
        <f>IF(AND(G366&lt;&gt;"",R366&lt;&gt;"",V366&lt;&gt;"",W366&lt;&gt;""),"COMPLETADO","OBSERVADO")</f>
        <v/>
      </c>
    </row>
    <row r="367" ht="15" customHeight="1" s="195">
      <c r="A367" s="334" t="n"/>
      <c r="B367" s="334" t="n"/>
      <c r="C367" s="334" t="n"/>
      <c r="D367" s="334" t="n"/>
      <c r="E367" s="334" t="n"/>
      <c r="F367" s="334" t="n"/>
      <c r="G367" s="334" t="n"/>
      <c r="H367" s="334" t="n"/>
      <c r="I367" s="332">
        <f>IFERROR(VLOOKUP(TEXT(H367,"0"),IPRESS!$A$3:$B$212,2,0),"")</f>
        <v/>
      </c>
      <c r="J367" s="334" t="n"/>
      <c r="K367" s="332">
        <f>IFERROR(VLOOKUP(TEXT(O367,"0"),CONDUCTORES!$A$3:$G$54,7,0),"")</f>
        <v/>
      </c>
      <c r="L367" s="334" t="n"/>
      <c r="M367" s="334" t="n"/>
      <c r="N367" s="333">
        <f>IFERROR(IF(L367*M367=0,"",L367*M367),"")</f>
        <v/>
      </c>
      <c r="O367" s="334" t="n"/>
      <c r="P367" s="332">
        <f>IFERROR(VLOOKUP(TEXT(O367,"0"),CONDUCTORES!$A$3:$G$54,2,0),"")</f>
        <v/>
      </c>
      <c r="Q367" s="332">
        <f>IFERROR(VLOOKUP(TEXT(O367,"0"),CONDUCTORES!$A$3:$H$54,6,0),"")</f>
        <v/>
      </c>
      <c r="R367" s="334" t="n"/>
      <c r="S367" s="334" t="n"/>
      <c r="T367" s="334" t="n"/>
      <c r="U367" s="334" t="n"/>
      <c r="V367" s="334" t="n"/>
      <c r="W367" s="334" t="n"/>
      <c r="X367" s="334" t="n"/>
      <c r="Y367" s="334" t="n"/>
      <c r="Z367" s="375">
        <f>IF(AND(G367&lt;&gt;"",R367&lt;&gt;"",V367&lt;&gt;"",W367&lt;&gt;""),"COMPLETADO","OBSERVADO")</f>
        <v/>
      </c>
    </row>
    <row r="368" ht="15" customHeight="1" s="195">
      <c r="A368" s="280" t="n"/>
      <c r="B368" s="280" t="n"/>
      <c r="C368" s="280" t="n"/>
      <c r="D368" s="280" t="n"/>
      <c r="E368" s="280" t="n"/>
      <c r="F368" s="280" t="n"/>
      <c r="G368" s="280" t="n"/>
      <c r="H368" s="280" t="n"/>
      <c r="I368" s="332">
        <f>IFERROR(VLOOKUP(TEXT(H368,"0"),IPRESS!$A$3:$B$212,2,0),"")</f>
        <v/>
      </c>
      <c r="J368" s="280" t="n"/>
      <c r="K368" s="332">
        <f>IFERROR(VLOOKUP(TEXT(O368,"0"),CONDUCTORES!$A$3:$G$54,7,0),"")</f>
        <v/>
      </c>
      <c r="L368" s="280" t="n"/>
      <c r="M368" s="280" t="n"/>
      <c r="N368" s="333">
        <f>IFERROR(IF(L368*M368=0,"",L368*M368),"")</f>
        <v/>
      </c>
      <c r="O368" s="280" t="n"/>
      <c r="P368" s="332">
        <f>IFERROR(VLOOKUP(TEXT(O368,"0"),CONDUCTORES!$A$3:$G$54,2,0),"")</f>
        <v/>
      </c>
      <c r="Q368" s="332">
        <f>IFERROR(VLOOKUP(TEXT(O368,"0"),CONDUCTORES!$A$3:$H$54,6,0),"")</f>
        <v/>
      </c>
      <c r="R368" s="280" t="n"/>
      <c r="S368" s="280" t="n"/>
      <c r="T368" s="280" t="n"/>
      <c r="U368" s="280" t="n"/>
      <c r="V368" s="280" t="n"/>
      <c r="W368" s="280" t="n"/>
      <c r="X368" s="280" t="n"/>
      <c r="Y368" s="280" t="n"/>
      <c r="Z368" s="375">
        <f>IF(AND(G368&lt;&gt;"",R368&lt;&gt;"",V368&lt;&gt;"",W368&lt;&gt;""),"COMPLETADO","OBSERVADO")</f>
        <v/>
      </c>
    </row>
    <row r="369" ht="15" customHeight="1" s="195">
      <c r="A369" s="334" t="n"/>
      <c r="B369" s="334" t="n"/>
      <c r="C369" s="334" t="n"/>
      <c r="D369" s="334" t="n"/>
      <c r="E369" s="334" t="n"/>
      <c r="F369" s="334" t="n"/>
      <c r="G369" s="334" t="n"/>
      <c r="H369" s="334" t="n"/>
      <c r="I369" s="332">
        <f>IFERROR(VLOOKUP(TEXT(H369,"0"),IPRESS!$A$3:$B$212,2,0),"")</f>
        <v/>
      </c>
      <c r="J369" s="334" t="n"/>
      <c r="K369" s="332">
        <f>IFERROR(VLOOKUP(TEXT(O369,"0"),CONDUCTORES!$A$3:$G$54,7,0),"")</f>
        <v/>
      </c>
      <c r="L369" s="334" t="n"/>
      <c r="M369" s="334" t="n"/>
      <c r="N369" s="333">
        <f>IFERROR(IF(L369*M369=0,"",L369*M369),"")</f>
        <v/>
      </c>
      <c r="O369" s="334" t="n"/>
      <c r="P369" s="332">
        <f>IFERROR(VLOOKUP(TEXT(O369,"0"),CONDUCTORES!$A$3:$G$54,2,0),"")</f>
        <v/>
      </c>
      <c r="Q369" s="332">
        <f>IFERROR(VLOOKUP(TEXT(O369,"0"),CONDUCTORES!$A$3:$H$54,6,0),"")</f>
        <v/>
      </c>
      <c r="R369" s="334" t="n"/>
      <c r="S369" s="334" t="n"/>
      <c r="T369" s="334" t="n"/>
      <c r="U369" s="334" t="n"/>
      <c r="V369" s="334" t="n"/>
      <c r="W369" s="334" t="n"/>
      <c r="X369" s="334" t="n"/>
      <c r="Y369" s="334" t="n"/>
      <c r="Z369" s="375">
        <f>IF(AND(G369&lt;&gt;"",R369&lt;&gt;"",V369&lt;&gt;"",W369&lt;&gt;""),"COMPLETADO","OBSERVADO")</f>
        <v/>
      </c>
    </row>
    <row r="370" ht="15" customHeight="1" s="195">
      <c r="A370" s="280" t="n"/>
      <c r="B370" s="280" t="n"/>
      <c r="C370" s="280" t="n"/>
      <c r="D370" s="280" t="n"/>
      <c r="E370" s="280" t="n"/>
      <c r="F370" s="280" t="n"/>
      <c r="G370" s="280" t="n"/>
      <c r="H370" s="280" t="n"/>
      <c r="I370" s="332">
        <f>IFERROR(VLOOKUP(TEXT(H370,"0"),IPRESS!$A$3:$B$212,2,0),"")</f>
        <v/>
      </c>
      <c r="J370" s="280" t="n"/>
      <c r="K370" s="332">
        <f>IFERROR(VLOOKUP(TEXT(O370,"0"),CONDUCTORES!$A$3:$G$54,7,0),"")</f>
        <v/>
      </c>
      <c r="L370" s="280" t="n"/>
      <c r="M370" s="280" t="n"/>
      <c r="N370" s="333">
        <f>IFERROR(IF(L370*M370=0,"",L370*M370),"")</f>
        <v/>
      </c>
      <c r="O370" s="280" t="n"/>
      <c r="P370" s="332">
        <f>IFERROR(VLOOKUP(TEXT(O370,"0"),CONDUCTORES!$A$3:$G$54,2,0),"")</f>
        <v/>
      </c>
      <c r="Q370" s="332">
        <f>IFERROR(VLOOKUP(TEXT(O370,"0"),CONDUCTORES!$A$3:$H$54,6,0),"")</f>
        <v/>
      </c>
      <c r="R370" s="280" t="n"/>
      <c r="S370" s="280" t="n"/>
      <c r="T370" s="280" t="n"/>
      <c r="U370" s="280" t="n"/>
      <c r="V370" s="280" t="n"/>
      <c r="W370" s="280" t="n"/>
      <c r="X370" s="280" t="n"/>
      <c r="Y370" s="280" t="n"/>
      <c r="Z370" s="375">
        <f>IF(AND(G370&lt;&gt;"",R370&lt;&gt;"",V370&lt;&gt;"",W370&lt;&gt;""),"COMPLETADO","OBSERVADO")</f>
        <v/>
      </c>
    </row>
    <row r="371" ht="15" customHeight="1" s="195">
      <c r="A371" s="334" t="n"/>
      <c r="B371" s="334" t="n"/>
      <c r="C371" s="334" t="n"/>
      <c r="D371" s="334" t="n"/>
      <c r="E371" s="334" t="n"/>
      <c r="F371" s="334" t="n"/>
      <c r="G371" s="334" t="n"/>
      <c r="H371" s="334" t="n"/>
      <c r="I371" s="332">
        <f>IFERROR(VLOOKUP(TEXT(H371,"0"),IPRESS!$A$3:$B$212,2,0),"")</f>
        <v/>
      </c>
      <c r="J371" s="334" t="n"/>
      <c r="K371" s="332">
        <f>IFERROR(VLOOKUP(TEXT(O371,"0"),CONDUCTORES!$A$3:$G$54,7,0),"")</f>
        <v/>
      </c>
      <c r="L371" s="334" t="n"/>
      <c r="M371" s="334" t="n"/>
      <c r="N371" s="333">
        <f>IFERROR(IF(L371*M371=0,"",L371*M371),"")</f>
        <v/>
      </c>
      <c r="O371" s="334" t="n"/>
      <c r="P371" s="332">
        <f>IFERROR(VLOOKUP(TEXT(O371,"0"),CONDUCTORES!$A$3:$G$54,2,0),"")</f>
        <v/>
      </c>
      <c r="Q371" s="332">
        <f>IFERROR(VLOOKUP(TEXT(O371,"0"),CONDUCTORES!$A$3:$H$54,6,0),"")</f>
        <v/>
      </c>
      <c r="R371" s="334" t="n"/>
      <c r="S371" s="334" t="n"/>
      <c r="T371" s="334" t="n"/>
      <c r="U371" s="334" t="n"/>
      <c r="V371" s="334" t="n"/>
      <c r="W371" s="334" t="n"/>
      <c r="X371" s="334" t="n"/>
      <c r="Y371" s="334" t="n"/>
      <c r="Z371" s="375">
        <f>IF(AND(G371&lt;&gt;"",R371&lt;&gt;"",V371&lt;&gt;"",W371&lt;&gt;""),"COMPLETADO","OBSERVADO")</f>
        <v/>
      </c>
    </row>
    <row r="372" ht="15" customHeight="1" s="195">
      <c r="A372" s="280" t="n"/>
      <c r="B372" s="280" t="n"/>
      <c r="C372" s="280" t="n"/>
      <c r="D372" s="280" t="n"/>
      <c r="E372" s="280" t="n"/>
      <c r="F372" s="280" t="n"/>
      <c r="G372" s="280" t="n"/>
      <c r="H372" s="280" t="n"/>
      <c r="I372" s="332">
        <f>IFERROR(VLOOKUP(TEXT(H372,"0"),IPRESS!$A$3:$B$212,2,0),"")</f>
        <v/>
      </c>
      <c r="J372" s="280" t="n"/>
      <c r="K372" s="332">
        <f>IFERROR(VLOOKUP(TEXT(O372,"0"),CONDUCTORES!$A$3:$G$54,7,0),"")</f>
        <v/>
      </c>
      <c r="L372" s="280" t="n"/>
      <c r="M372" s="280" t="n"/>
      <c r="N372" s="333">
        <f>IFERROR(IF(L372*M372=0,"",L372*M372),"")</f>
        <v/>
      </c>
      <c r="O372" s="280" t="n"/>
      <c r="P372" s="332">
        <f>IFERROR(VLOOKUP(TEXT(O372,"0"),CONDUCTORES!$A$3:$G$54,2,0),"")</f>
        <v/>
      </c>
      <c r="Q372" s="332">
        <f>IFERROR(VLOOKUP(TEXT(O372,"0"),CONDUCTORES!$A$3:$H$54,6,0),"")</f>
        <v/>
      </c>
      <c r="R372" s="280" t="n"/>
      <c r="S372" s="280" t="n"/>
      <c r="T372" s="280" t="n"/>
      <c r="U372" s="280" t="n"/>
      <c r="V372" s="280" t="n"/>
      <c r="W372" s="280" t="n"/>
      <c r="X372" s="280" t="n"/>
      <c r="Y372" s="280" t="n"/>
      <c r="Z372" s="375">
        <f>IF(AND(G372&lt;&gt;"",R372&lt;&gt;"",V372&lt;&gt;"",W372&lt;&gt;""),"COMPLETADO","OBSERVADO")</f>
        <v/>
      </c>
    </row>
    <row r="373" ht="15" customHeight="1" s="195">
      <c r="A373" s="334" t="n"/>
      <c r="B373" s="334" t="n"/>
      <c r="C373" s="334" t="n"/>
      <c r="D373" s="334" t="n"/>
      <c r="E373" s="334" t="n"/>
      <c r="F373" s="334" t="n"/>
      <c r="G373" s="334" t="n"/>
      <c r="H373" s="334" t="n"/>
      <c r="I373" s="332">
        <f>IFERROR(VLOOKUP(TEXT(H373,"0"),IPRESS!$A$3:$B$212,2,0),"")</f>
        <v/>
      </c>
      <c r="J373" s="334" t="n"/>
      <c r="K373" s="332">
        <f>IFERROR(VLOOKUP(TEXT(O373,"0"),CONDUCTORES!$A$3:$G$54,7,0),"")</f>
        <v/>
      </c>
      <c r="L373" s="334" t="n"/>
      <c r="M373" s="334" t="n"/>
      <c r="N373" s="333">
        <f>IFERROR(IF(L373*M373=0,"",L373*M373),"")</f>
        <v/>
      </c>
      <c r="O373" s="334" t="n"/>
      <c r="P373" s="332">
        <f>IFERROR(VLOOKUP(TEXT(O373,"0"),CONDUCTORES!$A$3:$G$54,2,0),"")</f>
        <v/>
      </c>
      <c r="Q373" s="332">
        <f>IFERROR(VLOOKUP(TEXT(O373,"0"),CONDUCTORES!$A$3:$H$54,6,0),"")</f>
        <v/>
      </c>
      <c r="R373" s="334" t="n"/>
      <c r="S373" s="334" t="n"/>
      <c r="T373" s="334" t="n"/>
      <c r="U373" s="334" t="n"/>
      <c r="V373" s="334" t="n"/>
      <c r="W373" s="334" t="n"/>
      <c r="X373" s="334" t="n"/>
      <c r="Y373" s="334" t="n"/>
      <c r="Z373" s="375">
        <f>IF(AND(G373&lt;&gt;"",R373&lt;&gt;"",V373&lt;&gt;"",W373&lt;&gt;""),"COMPLETADO","OBSERVADO")</f>
        <v/>
      </c>
    </row>
    <row r="374" ht="15" customHeight="1" s="195">
      <c r="A374" s="280" t="n"/>
      <c r="B374" s="280" t="n"/>
      <c r="C374" s="280" t="n"/>
      <c r="D374" s="280" t="n"/>
      <c r="E374" s="280" t="n"/>
      <c r="F374" s="280" t="n"/>
      <c r="G374" s="280" t="n"/>
      <c r="H374" s="280" t="n"/>
      <c r="I374" s="332">
        <f>IFERROR(VLOOKUP(TEXT(H374,"0"),IPRESS!$A$3:$B$212,2,0),"")</f>
        <v/>
      </c>
      <c r="J374" s="280" t="n"/>
      <c r="K374" s="332">
        <f>IFERROR(VLOOKUP(TEXT(O374,"0"),CONDUCTORES!$A$3:$G$54,7,0),"")</f>
        <v/>
      </c>
      <c r="L374" s="280" t="n"/>
      <c r="M374" s="280" t="n"/>
      <c r="N374" s="333">
        <f>IFERROR(IF(L374*M374=0,"",L374*M374),"")</f>
        <v/>
      </c>
      <c r="O374" s="280" t="n"/>
      <c r="P374" s="332">
        <f>IFERROR(VLOOKUP(TEXT(O374,"0"),CONDUCTORES!$A$3:$G$54,2,0),"")</f>
        <v/>
      </c>
      <c r="Q374" s="332">
        <f>IFERROR(VLOOKUP(TEXT(O374,"0"),CONDUCTORES!$A$3:$H$54,6,0),"")</f>
        <v/>
      </c>
      <c r="R374" s="280" t="n"/>
      <c r="S374" s="280" t="n"/>
      <c r="T374" s="280" t="n"/>
      <c r="U374" s="280" t="n"/>
      <c r="V374" s="280" t="n"/>
      <c r="W374" s="280" t="n"/>
      <c r="X374" s="280" t="n"/>
      <c r="Y374" s="280" t="n"/>
      <c r="Z374" s="375">
        <f>IF(AND(G374&lt;&gt;"",R374&lt;&gt;"",V374&lt;&gt;"",W374&lt;&gt;""),"COMPLETADO","OBSERVADO")</f>
        <v/>
      </c>
    </row>
    <row r="375" ht="15" customHeight="1" s="195">
      <c r="A375" s="334" t="n"/>
      <c r="B375" s="334" t="n"/>
      <c r="C375" s="334" t="n"/>
      <c r="D375" s="334" t="n"/>
      <c r="E375" s="334" t="n"/>
      <c r="F375" s="334" t="n"/>
      <c r="G375" s="334" t="n"/>
      <c r="H375" s="334" t="n"/>
      <c r="I375" s="332">
        <f>IFERROR(VLOOKUP(TEXT(H375,"0"),IPRESS!$A$3:$B$212,2,0),"")</f>
        <v/>
      </c>
      <c r="J375" s="334" t="n"/>
      <c r="K375" s="332">
        <f>IFERROR(VLOOKUP(TEXT(O375,"0"),CONDUCTORES!$A$3:$G$54,7,0),"")</f>
        <v/>
      </c>
      <c r="L375" s="334" t="n"/>
      <c r="M375" s="334" t="n"/>
      <c r="N375" s="333">
        <f>IFERROR(IF(L375*M375=0,"",L375*M375),"")</f>
        <v/>
      </c>
      <c r="O375" s="334" t="n"/>
      <c r="P375" s="332">
        <f>IFERROR(VLOOKUP(TEXT(O375,"0"),CONDUCTORES!$A$3:$G$54,2,0),"")</f>
        <v/>
      </c>
      <c r="Q375" s="332">
        <f>IFERROR(VLOOKUP(TEXT(O375,"0"),CONDUCTORES!$A$3:$H$54,6,0),"")</f>
        <v/>
      </c>
      <c r="R375" s="334" t="n"/>
      <c r="S375" s="334" t="n"/>
      <c r="T375" s="334" t="n"/>
      <c r="U375" s="334" t="n"/>
      <c r="V375" s="334" t="n"/>
      <c r="W375" s="334" t="n"/>
      <c r="X375" s="334" t="n"/>
      <c r="Y375" s="334" t="n"/>
      <c r="Z375" s="375">
        <f>IF(AND(G375&lt;&gt;"",R375&lt;&gt;"",V375&lt;&gt;"",W375&lt;&gt;""),"COMPLETADO","OBSERVADO")</f>
        <v/>
      </c>
    </row>
    <row r="376" ht="15" customHeight="1" s="195">
      <c r="A376" s="280" t="n"/>
      <c r="B376" s="280" t="n"/>
      <c r="C376" s="280" t="n"/>
      <c r="D376" s="280" t="n"/>
      <c r="E376" s="280" t="n"/>
      <c r="F376" s="280" t="n"/>
      <c r="G376" s="280" t="n"/>
      <c r="H376" s="280" t="n"/>
      <c r="I376" s="332">
        <f>IFERROR(VLOOKUP(TEXT(H376,"0"),IPRESS!$A$3:$B$212,2,0),"")</f>
        <v/>
      </c>
      <c r="J376" s="280" t="n"/>
      <c r="K376" s="332">
        <f>IFERROR(VLOOKUP(TEXT(O376,"0"),CONDUCTORES!$A$3:$G$54,7,0),"")</f>
        <v/>
      </c>
      <c r="L376" s="280" t="n"/>
      <c r="M376" s="280" t="n"/>
      <c r="N376" s="333">
        <f>IFERROR(IF(L376*M376=0,"",L376*M376),"")</f>
        <v/>
      </c>
      <c r="O376" s="280" t="n"/>
      <c r="P376" s="332">
        <f>IFERROR(VLOOKUP(TEXT(O376,"0"),CONDUCTORES!$A$3:$G$54,2,0),"")</f>
        <v/>
      </c>
      <c r="Q376" s="332">
        <f>IFERROR(VLOOKUP(TEXT(O376,"0"),CONDUCTORES!$A$3:$H$54,6,0),"")</f>
        <v/>
      </c>
      <c r="R376" s="280" t="n"/>
      <c r="S376" s="280" t="n"/>
      <c r="T376" s="280" t="n"/>
      <c r="U376" s="280" t="n"/>
      <c r="V376" s="280" t="n"/>
      <c r="W376" s="280" t="n"/>
      <c r="X376" s="280" t="n"/>
      <c r="Y376" s="280" t="n"/>
      <c r="Z376" s="375">
        <f>IF(AND(G376&lt;&gt;"",R376&lt;&gt;"",V376&lt;&gt;"",W376&lt;&gt;""),"COMPLETADO","OBSERVADO")</f>
        <v/>
      </c>
    </row>
    <row r="377" ht="15" customHeight="1" s="195">
      <c r="A377" s="334" t="n"/>
      <c r="B377" s="334" t="n"/>
      <c r="C377" s="334" t="n"/>
      <c r="D377" s="334" t="n"/>
      <c r="E377" s="334" t="n"/>
      <c r="F377" s="334" t="n"/>
      <c r="G377" s="334" t="n"/>
      <c r="H377" s="334" t="n"/>
      <c r="I377" s="332">
        <f>IFERROR(VLOOKUP(TEXT(H377,"0"),IPRESS!$A$3:$B$212,2,0),"")</f>
        <v/>
      </c>
      <c r="J377" s="334" t="n"/>
      <c r="K377" s="332">
        <f>IFERROR(VLOOKUP(TEXT(O377,"0"),CONDUCTORES!$A$3:$G$54,7,0),"")</f>
        <v/>
      </c>
      <c r="L377" s="334" t="n"/>
      <c r="M377" s="334" t="n"/>
      <c r="N377" s="333">
        <f>IFERROR(IF(L377*M377=0,"",L377*M377),"")</f>
        <v/>
      </c>
      <c r="O377" s="334" t="n"/>
      <c r="P377" s="332">
        <f>IFERROR(VLOOKUP(TEXT(O377,"0"),CONDUCTORES!$A$3:$G$54,2,0),"")</f>
        <v/>
      </c>
      <c r="Q377" s="332">
        <f>IFERROR(VLOOKUP(TEXT(O377,"0"),CONDUCTORES!$A$3:$H$54,6,0),"")</f>
        <v/>
      </c>
      <c r="R377" s="334" t="n"/>
      <c r="S377" s="334" t="n"/>
      <c r="T377" s="334" t="n"/>
      <c r="U377" s="334" t="n"/>
      <c r="V377" s="334" t="n"/>
      <c r="W377" s="334" t="n"/>
      <c r="X377" s="334" t="n"/>
      <c r="Y377" s="334" t="n"/>
      <c r="Z377" s="375">
        <f>IF(AND(G377&lt;&gt;"",R377&lt;&gt;"",V377&lt;&gt;"",W377&lt;&gt;""),"COMPLETADO","OBSERVADO")</f>
        <v/>
      </c>
    </row>
    <row r="378" ht="15" customHeight="1" s="195">
      <c r="A378" s="280" t="n"/>
      <c r="B378" s="280" t="n"/>
      <c r="C378" s="280" t="n"/>
      <c r="D378" s="280" t="n"/>
      <c r="E378" s="280" t="n"/>
      <c r="F378" s="280" t="n"/>
      <c r="G378" s="280" t="n"/>
      <c r="H378" s="280" t="n"/>
      <c r="I378" s="332">
        <f>IFERROR(VLOOKUP(TEXT(H378,"0"),IPRESS!$A$3:$B$212,2,0),"")</f>
        <v/>
      </c>
      <c r="J378" s="280" t="n"/>
      <c r="K378" s="332">
        <f>IFERROR(VLOOKUP(TEXT(O378,"0"),CONDUCTORES!$A$3:$G$54,7,0),"")</f>
        <v/>
      </c>
      <c r="L378" s="280" t="n"/>
      <c r="M378" s="280" t="n"/>
      <c r="N378" s="333">
        <f>IFERROR(IF(L378*M378=0,"",L378*M378),"")</f>
        <v/>
      </c>
      <c r="O378" s="280" t="n"/>
      <c r="P378" s="332">
        <f>IFERROR(VLOOKUP(TEXT(O378,"0"),CONDUCTORES!$A$3:$G$54,2,0),"")</f>
        <v/>
      </c>
      <c r="Q378" s="332">
        <f>IFERROR(VLOOKUP(TEXT(O378,"0"),CONDUCTORES!$A$3:$H$54,6,0),"")</f>
        <v/>
      </c>
      <c r="R378" s="280" t="n"/>
      <c r="S378" s="280" t="n"/>
      <c r="T378" s="280" t="n"/>
      <c r="U378" s="280" t="n"/>
      <c r="V378" s="280" t="n"/>
      <c r="W378" s="280" t="n"/>
      <c r="X378" s="280" t="n"/>
      <c r="Y378" s="280" t="n"/>
      <c r="Z378" s="375">
        <f>IF(AND(G378&lt;&gt;"",R378&lt;&gt;"",V378&lt;&gt;"",W378&lt;&gt;""),"COMPLETADO","OBSERVADO")</f>
        <v/>
      </c>
    </row>
    <row r="379" ht="15" customHeight="1" s="195">
      <c r="A379" s="334" t="n"/>
      <c r="B379" s="334" t="n"/>
      <c r="C379" s="334" t="n"/>
      <c r="D379" s="334" t="n"/>
      <c r="E379" s="334" t="n"/>
      <c r="F379" s="334" t="n"/>
      <c r="G379" s="334" t="n"/>
      <c r="H379" s="334" t="n"/>
      <c r="I379" s="332">
        <f>IFERROR(VLOOKUP(TEXT(H379,"0"),IPRESS!$A$3:$B$212,2,0),"")</f>
        <v/>
      </c>
      <c r="J379" s="334" t="n"/>
      <c r="K379" s="332">
        <f>IFERROR(VLOOKUP(TEXT(O379,"0"),CONDUCTORES!$A$3:$G$54,7,0),"")</f>
        <v/>
      </c>
      <c r="L379" s="334" t="n"/>
      <c r="M379" s="334" t="n"/>
      <c r="N379" s="333">
        <f>IFERROR(IF(L379*M379=0,"",L379*M379),"")</f>
        <v/>
      </c>
      <c r="O379" s="334" t="n"/>
      <c r="P379" s="332">
        <f>IFERROR(VLOOKUP(TEXT(O379,"0"),CONDUCTORES!$A$3:$G$54,2,0),"")</f>
        <v/>
      </c>
      <c r="Q379" s="332">
        <f>IFERROR(VLOOKUP(TEXT(O379,"0"),CONDUCTORES!$A$3:$H$54,6,0),"")</f>
        <v/>
      </c>
      <c r="R379" s="334" t="n"/>
      <c r="S379" s="334" t="n"/>
      <c r="T379" s="334" t="n"/>
      <c r="U379" s="334" t="n"/>
      <c r="V379" s="334" t="n"/>
      <c r="W379" s="334" t="n"/>
      <c r="X379" s="334" t="n"/>
      <c r="Y379" s="334" t="n"/>
      <c r="Z379" s="375">
        <f>IF(AND(G379&lt;&gt;"",R379&lt;&gt;"",V379&lt;&gt;"",W379&lt;&gt;""),"COMPLETADO","OBSERVADO")</f>
        <v/>
      </c>
    </row>
    <row r="380" ht="15" customHeight="1" s="195">
      <c r="A380" s="280" t="n"/>
      <c r="B380" s="280" t="n"/>
      <c r="C380" s="280" t="n"/>
      <c r="D380" s="280" t="n"/>
      <c r="E380" s="280" t="n"/>
      <c r="F380" s="280" t="n"/>
      <c r="G380" s="280" t="n"/>
      <c r="H380" s="280" t="n"/>
      <c r="I380" s="332">
        <f>IFERROR(VLOOKUP(TEXT(H380,"0"),IPRESS!$A$3:$B$212,2,0),"")</f>
        <v/>
      </c>
      <c r="J380" s="280" t="n"/>
      <c r="K380" s="332">
        <f>IFERROR(VLOOKUP(TEXT(O380,"0"),CONDUCTORES!$A$3:$G$54,7,0),"")</f>
        <v/>
      </c>
      <c r="L380" s="280" t="n"/>
      <c r="M380" s="280" t="n"/>
      <c r="N380" s="333">
        <f>IFERROR(IF(L380*M380=0,"",L380*M380),"")</f>
        <v/>
      </c>
      <c r="O380" s="280" t="n"/>
      <c r="P380" s="332">
        <f>IFERROR(VLOOKUP(TEXT(O380,"0"),CONDUCTORES!$A$3:$G$54,2,0),"")</f>
        <v/>
      </c>
      <c r="Q380" s="332">
        <f>IFERROR(VLOOKUP(TEXT(O380,"0"),CONDUCTORES!$A$3:$H$54,6,0),"")</f>
        <v/>
      </c>
      <c r="R380" s="280" t="n"/>
      <c r="S380" s="280" t="n"/>
      <c r="T380" s="280" t="n"/>
      <c r="U380" s="280" t="n"/>
      <c r="V380" s="280" t="n"/>
      <c r="W380" s="280" t="n"/>
      <c r="X380" s="280" t="n"/>
      <c r="Y380" s="280" t="n"/>
      <c r="Z380" s="375">
        <f>IF(AND(G380&lt;&gt;"",R380&lt;&gt;"",V380&lt;&gt;"",W380&lt;&gt;""),"COMPLETADO","OBSERVADO")</f>
        <v/>
      </c>
    </row>
    <row r="381" ht="15" customHeight="1" s="195">
      <c r="A381" s="334" t="n"/>
      <c r="B381" s="334" t="n"/>
      <c r="C381" s="334" t="n"/>
      <c r="D381" s="334" t="n"/>
      <c r="E381" s="334" t="n"/>
      <c r="F381" s="334" t="n"/>
      <c r="G381" s="334" t="n"/>
      <c r="H381" s="334" t="n"/>
      <c r="I381" s="332">
        <f>IFERROR(VLOOKUP(TEXT(H381,"0"),IPRESS!$A$3:$B$212,2,0),"")</f>
        <v/>
      </c>
      <c r="J381" s="334" t="n"/>
      <c r="K381" s="332">
        <f>IFERROR(VLOOKUP(TEXT(O381,"0"),CONDUCTORES!$A$3:$G$54,7,0),"")</f>
        <v/>
      </c>
      <c r="L381" s="334" t="n"/>
      <c r="M381" s="334" t="n"/>
      <c r="N381" s="333">
        <f>IFERROR(IF(L381*M381=0,"",L381*M381),"")</f>
        <v/>
      </c>
      <c r="O381" s="334" t="n"/>
      <c r="P381" s="332">
        <f>IFERROR(VLOOKUP(TEXT(O381,"0"),CONDUCTORES!$A$3:$G$54,2,0),"")</f>
        <v/>
      </c>
      <c r="Q381" s="332">
        <f>IFERROR(VLOOKUP(TEXT(O381,"0"),CONDUCTORES!$A$3:$H$54,6,0),"")</f>
        <v/>
      </c>
      <c r="R381" s="334" t="n"/>
      <c r="S381" s="334" t="n"/>
      <c r="T381" s="334" t="n"/>
      <c r="U381" s="334" t="n"/>
      <c r="V381" s="334" t="n"/>
      <c r="W381" s="334" t="n"/>
      <c r="X381" s="334" t="n"/>
      <c r="Y381" s="334" t="n"/>
      <c r="Z381" s="375">
        <f>IF(AND(G381&lt;&gt;"",R381&lt;&gt;"",V381&lt;&gt;"",W381&lt;&gt;""),"COMPLETADO","OBSERVADO")</f>
        <v/>
      </c>
    </row>
    <row r="382" ht="15" customHeight="1" s="195">
      <c r="A382" s="280" t="n"/>
      <c r="B382" s="280" t="n"/>
      <c r="C382" s="280" t="n"/>
      <c r="D382" s="280" t="n"/>
      <c r="E382" s="280" t="n"/>
      <c r="F382" s="280" t="n"/>
      <c r="G382" s="280" t="n"/>
      <c r="H382" s="280" t="n"/>
      <c r="I382" s="332">
        <f>IFERROR(VLOOKUP(TEXT(H382,"0"),IPRESS!$A$3:$B$212,2,0),"")</f>
        <v/>
      </c>
      <c r="J382" s="280" t="n"/>
      <c r="K382" s="332">
        <f>IFERROR(VLOOKUP(TEXT(O382,"0"),CONDUCTORES!$A$3:$G$54,7,0),"")</f>
        <v/>
      </c>
      <c r="L382" s="280" t="n"/>
      <c r="M382" s="280" t="n"/>
      <c r="N382" s="333">
        <f>IFERROR(IF(L382*M382=0,"",L382*M382),"")</f>
        <v/>
      </c>
      <c r="O382" s="280" t="n"/>
      <c r="P382" s="332">
        <f>IFERROR(VLOOKUP(TEXT(O382,"0"),CONDUCTORES!$A$3:$G$54,2,0),"")</f>
        <v/>
      </c>
      <c r="Q382" s="332">
        <f>IFERROR(VLOOKUP(TEXT(O382,"0"),CONDUCTORES!$A$3:$H$54,6,0),"")</f>
        <v/>
      </c>
      <c r="R382" s="280" t="n"/>
      <c r="S382" s="280" t="n"/>
      <c r="T382" s="280" t="n"/>
      <c r="U382" s="280" t="n"/>
      <c r="V382" s="280" t="n"/>
      <c r="W382" s="280" t="n"/>
      <c r="X382" s="280" t="n"/>
      <c r="Y382" s="280" t="n"/>
      <c r="Z382" s="375">
        <f>IF(AND(G382&lt;&gt;"",R382&lt;&gt;"",V382&lt;&gt;"",W382&lt;&gt;""),"COMPLETADO","OBSERVADO")</f>
        <v/>
      </c>
    </row>
    <row r="383" ht="15" customHeight="1" s="195">
      <c r="A383" s="334" t="n"/>
      <c r="B383" s="334" t="n"/>
      <c r="C383" s="334" t="n"/>
      <c r="D383" s="334" t="n"/>
      <c r="E383" s="334" t="n"/>
      <c r="F383" s="334" t="n"/>
      <c r="G383" s="334" t="n"/>
      <c r="H383" s="334" t="n"/>
      <c r="I383" s="332">
        <f>IFERROR(VLOOKUP(TEXT(H383,"0"),IPRESS!$A$3:$B$212,2,0),"")</f>
        <v/>
      </c>
      <c r="J383" s="334" t="n"/>
      <c r="K383" s="332">
        <f>IFERROR(VLOOKUP(TEXT(O383,"0"),CONDUCTORES!$A$3:$G$54,7,0),"")</f>
        <v/>
      </c>
      <c r="L383" s="334" t="n"/>
      <c r="M383" s="334" t="n"/>
      <c r="N383" s="333">
        <f>IFERROR(IF(L383*M383=0,"",L383*M383),"")</f>
        <v/>
      </c>
      <c r="O383" s="334" t="n"/>
      <c r="P383" s="332">
        <f>IFERROR(VLOOKUP(TEXT(O383,"0"),CONDUCTORES!$A$3:$G$54,2,0),"")</f>
        <v/>
      </c>
      <c r="Q383" s="332">
        <f>IFERROR(VLOOKUP(TEXT(O383,"0"),CONDUCTORES!$A$3:$H$54,6,0),"")</f>
        <v/>
      </c>
      <c r="R383" s="334" t="n"/>
      <c r="S383" s="334" t="n"/>
      <c r="T383" s="334" t="n"/>
      <c r="U383" s="334" t="n"/>
      <c r="V383" s="334" t="n"/>
      <c r="W383" s="334" t="n"/>
      <c r="X383" s="334" t="n"/>
      <c r="Y383" s="334" t="n"/>
      <c r="Z383" s="375">
        <f>IF(AND(G383&lt;&gt;"",R383&lt;&gt;"",V383&lt;&gt;"",W383&lt;&gt;""),"COMPLETADO","OBSERVADO")</f>
        <v/>
      </c>
    </row>
    <row r="384" ht="15" customHeight="1" s="195">
      <c r="A384" s="280" t="n"/>
      <c r="B384" s="280" t="n"/>
      <c r="C384" s="280" t="n"/>
      <c r="D384" s="280" t="n"/>
      <c r="E384" s="280" t="n"/>
      <c r="F384" s="280" t="n"/>
      <c r="G384" s="280" t="n"/>
      <c r="H384" s="280" t="n"/>
      <c r="I384" s="332">
        <f>IFERROR(VLOOKUP(TEXT(H384,"0"),IPRESS!$A$3:$B$212,2,0),"")</f>
        <v/>
      </c>
      <c r="J384" s="280" t="n"/>
      <c r="K384" s="332">
        <f>IFERROR(VLOOKUP(TEXT(O384,"0"),CONDUCTORES!$A$3:$G$54,7,0),"")</f>
        <v/>
      </c>
      <c r="L384" s="280" t="n"/>
      <c r="M384" s="280" t="n"/>
      <c r="N384" s="333">
        <f>IFERROR(IF(L384*M384=0,"",L384*M384),"")</f>
        <v/>
      </c>
      <c r="O384" s="280" t="n"/>
      <c r="P384" s="332">
        <f>IFERROR(VLOOKUP(TEXT(O384,"0"),CONDUCTORES!$A$3:$G$54,2,0),"")</f>
        <v/>
      </c>
      <c r="Q384" s="332">
        <f>IFERROR(VLOOKUP(TEXT(O384,"0"),CONDUCTORES!$A$3:$H$54,6,0),"")</f>
        <v/>
      </c>
      <c r="R384" s="280" t="n"/>
      <c r="S384" s="280" t="n"/>
      <c r="T384" s="280" t="n"/>
      <c r="U384" s="280" t="n"/>
      <c r="V384" s="280" t="n"/>
      <c r="W384" s="280" t="n"/>
      <c r="X384" s="280" t="n"/>
      <c r="Y384" s="280" t="n"/>
      <c r="Z384" s="375">
        <f>IF(AND(G384&lt;&gt;"",R384&lt;&gt;"",V384&lt;&gt;"",W384&lt;&gt;""),"COMPLETADO","OBSERVADO")</f>
        <v/>
      </c>
    </row>
    <row r="385" ht="15" customHeight="1" s="195">
      <c r="A385" s="334" t="n"/>
      <c r="B385" s="334" t="n"/>
      <c r="C385" s="334" t="n"/>
      <c r="D385" s="334" t="n"/>
      <c r="E385" s="334" t="n"/>
      <c r="F385" s="334" t="n"/>
      <c r="G385" s="334" t="n"/>
      <c r="H385" s="334" t="n"/>
      <c r="I385" s="332">
        <f>IFERROR(VLOOKUP(TEXT(H385,"0"),IPRESS!$A$3:$B$212,2,0),"")</f>
        <v/>
      </c>
      <c r="J385" s="334" t="n"/>
      <c r="K385" s="332">
        <f>IFERROR(VLOOKUP(TEXT(O385,"0"),CONDUCTORES!$A$3:$G$54,7,0),"")</f>
        <v/>
      </c>
      <c r="L385" s="334" t="n"/>
      <c r="M385" s="334" t="n"/>
      <c r="N385" s="333">
        <f>IFERROR(IF(L385*M385=0,"",L385*M385),"")</f>
        <v/>
      </c>
      <c r="O385" s="334" t="n"/>
      <c r="P385" s="332">
        <f>IFERROR(VLOOKUP(TEXT(O385,"0"),CONDUCTORES!$A$3:$G$54,2,0),"")</f>
        <v/>
      </c>
      <c r="Q385" s="332">
        <f>IFERROR(VLOOKUP(TEXT(O385,"0"),CONDUCTORES!$A$3:$H$54,6,0),"")</f>
        <v/>
      </c>
      <c r="R385" s="334" t="n"/>
      <c r="S385" s="334" t="n"/>
      <c r="T385" s="334" t="n"/>
      <c r="U385" s="334" t="n"/>
      <c r="V385" s="334" t="n"/>
      <c r="W385" s="334" t="n"/>
      <c r="X385" s="334" t="n"/>
      <c r="Y385" s="334" t="n"/>
      <c r="Z385" s="375">
        <f>IF(AND(G385&lt;&gt;"",R385&lt;&gt;"",V385&lt;&gt;"",W385&lt;&gt;""),"COMPLETADO","OBSERVADO")</f>
        <v/>
      </c>
    </row>
    <row r="386" ht="15" customHeight="1" s="195">
      <c r="A386" s="280" t="n"/>
      <c r="B386" s="280" t="n"/>
      <c r="C386" s="280" t="n"/>
      <c r="D386" s="280" t="n"/>
      <c r="E386" s="280" t="n"/>
      <c r="F386" s="280" t="n"/>
      <c r="G386" s="280" t="n"/>
      <c r="H386" s="280" t="n"/>
      <c r="I386" s="332">
        <f>IFERROR(VLOOKUP(TEXT(H386,"0"),IPRESS!$A$3:$B$212,2,0),"")</f>
        <v/>
      </c>
      <c r="J386" s="280" t="n"/>
      <c r="K386" s="332">
        <f>IFERROR(VLOOKUP(TEXT(O386,"0"),CONDUCTORES!$A$3:$G$54,7,0),"")</f>
        <v/>
      </c>
      <c r="L386" s="280" t="n"/>
      <c r="M386" s="280" t="n"/>
      <c r="N386" s="333">
        <f>IFERROR(IF(L386*M386=0,"",L386*M386),"")</f>
        <v/>
      </c>
      <c r="O386" s="280" t="n"/>
      <c r="P386" s="332">
        <f>IFERROR(VLOOKUP(TEXT(O386,"0"),CONDUCTORES!$A$3:$G$54,2,0),"")</f>
        <v/>
      </c>
      <c r="Q386" s="332">
        <f>IFERROR(VLOOKUP(TEXT(O386,"0"),CONDUCTORES!$A$3:$H$54,6,0),"")</f>
        <v/>
      </c>
      <c r="R386" s="280" t="n"/>
      <c r="S386" s="280" t="n"/>
      <c r="T386" s="280" t="n"/>
      <c r="U386" s="280" t="n"/>
      <c r="V386" s="280" t="n"/>
      <c r="W386" s="280" t="n"/>
      <c r="X386" s="280" t="n"/>
      <c r="Y386" s="280" t="n"/>
      <c r="Z386" s="375">
        <f>IF(AND(G386&lt;&gt;"",R386&lt;&gt;"",V386&lt;&gt;"",W386&lt;&gt;""),"COMPLETADO","OBSERVADO")</f>
        <v/>
      </c>
    </row>
    <row r="387" ht="15" customHeight="1" s="195">
      <c r="A387" s="334" t="n"/>
      <c r="B387" s="334" t="n"/>
      <c r="C387" s="334" t="n"/>
      <c r="D387" s="334" t="n"/>
      <c r="E387" s="334" t="n"/>
      <c r="F387" s="334" t="n"/>
      <c r="G387" s="334" t="n"/>
      <c r="H387" s="334" t="n"/>
      <c r="I387" s="332">
        <f>IFERROR(VLOOKUP(TEXT(H387,"0"),IPRESS!$A$3:$B$212,2,0),"")</f>
        <v/>
      </c>
      <c r="J387" s="334" t="n"/>
      <c r="K387" s="332">
        <f>IFERROR(VLOOKUP(TEXT(O387,"0"),CONDUCTORES!$A$3:$G$54,7,0),"")</f>
        <v/>
      </c>
      <c r="L387" s="334" t="n"/>
      <c r="M387" s="334" t="n"/>
      <c r="N387" s="333">
        <f>IFERROR(IF(L387*M387=0,"",L387*M387),"")</f>
        <v/>
      </c>
      <c r="O387" s="334" t="n"/>
      <c r="P387" s="332">
        <f>IFERROR(VLOOKUP(TEXT(O387,"0"),CONDUCTORES!$A$3:$G$54,2,0),"")</f>
        <v/>
      </c>
      <c r="Q387" s="332">
        <f>IFERROR(VLOOKUP(TEXT(O387,"0"),CONDUCTORES!$A$3:$H$54,6,0),"")</f>
        <v/>
      </c>
      <c r="R387" s="334" t="n"/>
      <c r="S387" s="334" t="n"/>
      <c r="T387" s="334" t="n"/>
      <c r="U387" s="334" t="n"/>
      <c r="V387" s="334" t="n"/>
      <c r="W387" s="334" t="n"/>
      <c r="X387" s="334" t="n"/>
      <c r="Y387" s="334" t="n"/>
      <c r="Z387" s="375">
        <f>IF(AND(G387&lt;&gt;"",R387&lt;&gt;"",V387&lt;&gt;"",W387&lt;&gt;""),"COMPLETADO","OBSERVADO")</f>
        <v/>
      </c>
    </row>
    <row r="388" ht="15" customHeight="1" s="195">
      <c r="A388" s="280" t="n"/>
      <c r="B388" s="280" t="n"/>
      <c r="C388" s="280" t="n"/>
      <c r="D388" s="280" t="n"/>
      <c r="E388" s="280" t="n"/>
      <c r="F388" s="280" t="n"/>
      <c r="G388" s="280" t="n"/>
      <c r="H388" s="280" t="n"/>
      <c r="I388" s="332">
        <f>IFERROR(VLOOKUP(TEXT(H388,"0"),IPRESS!$A$3:$B$212,2,0),"")</f>
        <v/>
      </c>
      <c r="J388" s="280" t="n"/>
      <c r="K388" s="332">
        <f>IFERROR(VLOOKUP(TEXT(O388,"0"),CONDUCTORES!$A$3:$G$54,7,0),"")</f>
        <v/>
      </c>
      <c r="L388" s="280" t="n"/>
      <c r="M388" s="280" t="n"/>
      <c r="N388" s="333">
        <f>IFERROR(IF(L388*M388=0,"",L388*M388),"")</f>
        <v/>
      </c>
      <c r="O388" s="280" t="n"/>
      <c r="P388" s="332">
        <f>IFERROR(VLOOKUP(TEXT(O388,"0"),CONDUCTORES!$A$3:$G$54,2,0),"")</f>
        <v/>
      </c>
      <c r="Q388" s="332">
        <f>IFERROR(VLOOKUP(TEXT(O388,"0"),CONDUCTORES!$A$3:$H$54,6,0),"")</f>
        <v/>
      </c>
      <c r="R388" s="280" t="n"/>
      <c r="S388" s="280" t="n"/>
      <c r="T388" s="280" t="n"/>
      <c r="U388" s="280" t="n"/>
      <c r="V388" s="280" t="n"/>
      <c r="W388" s="280" t="n"/>
      <c r="X388" s="280" t="n"/>
      <c r="Y388" s="280" t="n"/>
      <c r="Z388" s="375">
        <f>IF(AND(G388&lt;&gt;"",R388&lt;&gt;"",V388&lt;&gt;"",W388&lt;&gt;""),"COMPLETADO","OBSERVADO")</f>
        <v/>
      </c>
    </row>
    <row r="389" ht="15" customHeight="1" s="195">
      <c r="A389" s="334" t="n"/>
      <c r="B389" s="334" t="n"/>
      <c r="C389" s="334" t="n"/>
      <c r="D389" s="334" t="n"/>
      <c r="E389" s="334" t="n"/>
      <c r="F389" s="334" t="n"/>
      <c r="G389" s="334" t="n"/>
      <c r="H389" s="334" t="n"/>
      <c r="I389" s="332">
        <f>IFERROR(VLOOKUP(TEXT(H389,"0"),IPRESS!$A$3:$B$212,2,0),"")</f>
        <v/>
      </c>
      <c r="J389" s="334" t="n"/>
      <c r="K389" s="332">
        <f>IFERROR(VLOOKUP(TEXT(O389,"0"),CONDUCTORES!$A$3:$G$54,7,0),"")</f>
        <v/>
      </c>
      <c r="L389" s="334" t="n"/>
      <c r="M389" s="334" t="n"/>
      <c r="N389" s="333">
        <f>IFERROR(IF(L389*M389=0,"",L389*M389),"")</f>
        <v/>
      </c>
      <c r="O389" s="334" t="n"/>
      <c r="P389" s="332">
        <f>IFERROR(VLOOKUP(TEXT(O389,"0"),CONDUCTORES!$A$3:$G$54,2,0),"")</f>
        <v/>
      </c>
      <c r="Q389" s="332">
        <f>IFERROR(VLOOKUP(TEXT(O389,"0"),CONDUCTORES!$A$3:$H$54,6,0),"")</f>
        <v/>
      </c>
      <c r="R389" s="334" t="n"/>
      <c r="S389" s="334" t="n"/>
      <c r="T389" s="334" t="n"/>
      <c r="U389" s="334" t="n"/>
      <c r="V389" s="334" t="n"/>
      <c r="W389" s="334" t="n"/>
      <c r="X389" s="334" t="n"/>
      <c r="Y389" s="334" t="n"/>
      <c r="Z389" s="375">
        <f>IF(AND(G389&lt;&gt;"",R389&lt;&gt;"",V389&lt;&gt;"",W389&lt;&gt;""),"COMPLETADO","OBSERVADO")</f>
        <v/>
      </c>
    </row>
    <row r="390" ht="15" customHeight="1" s="195">
      <c r="A390" s="280" t="n"/>
      <c r="B390" s="280" t="n"/>
      <c r="C390" s="280" t="n"/>
      <c r="D390" s="280" t="n"/>
      <c r="E390" s="280" t="n"/>
      <c r="F390" s="280" t="n"/>
      <c r="G390" s="280" t="n"/>
      <c r="H390" s="280" t="n"/>
      <c r="I390" s="332">
        <f>IFERROR(VLOOKUP(TEXT(H390,"0"),IPRESS!$A$3:$B$212,2,0),"")</f>
        <v/>
      </c>
      <c r="J390" s="280" t="n"/>
      <c r="K390" s="332">
        <f>IFERROR(VLOOKUP(TEXT(O390,"0"),CONDUCTORES!$A$3:$G$54,7,0),"")</f>
        <v/>
      </c>
      <c r="L390" s="280" t="n"/>
      <c r="M390" s="280" t="n"/>
      <c r="N390" s="333">
        <f>IFERROR(IF(L390*M390=0,"",L390*M390),"")</f>
        <v/>
      </c>
      <c r="O390" s="280" t="n"/>
      <c r="P390" s="332">
        <f>IFERROR(VLOOKUP(TEXT(O390,"0"),CONDUCTORES!$A$3:$G$54,2,0),"")</f>
        <v/>
      </c>
      <c r="Q390" s="332">
        <f>IFERROR(VLOOKUP(TEXT(O390,"0"),CONDUCTORES!$A$3:$H$54,6,0),"")</f>
        <v/>
      </c>
      <c r="R390" s="280" t="n"/>
      <c r="S390" s="280" t="n"/>
      <c r="T390" s="280" t="n"/>
      <c r="U390" s="280" t="n"/>
      <c r="V390" s="280" t="n"/>
      <c r="W390" s="280" t="n"/>
      <c r="X390" s="280" t="n"/>
      <c r="Y390" s="280" t="n"/>
      <c r="Z390" s="375">
        <f>IF(AND(G390&lt;&gt;"",R390&lt;&gt;"",V390&lt;&gt;"",W390&lt;&gt;""),"COMPLETADO","OBSERVADO")</f>
        <v/>
      </c>
    </row>
    <row r="391" ht="15" customHeight="1" s="195">
      <c r="A391" s="334" t="n"/>
      <c r="B391" s="334" t="n"/>
      <c r="C391" s="334" t="n"/>
      <c r="D391" s="334" t="n"/>
      <c r="E391" s="334" t="n"/>
      <c r="F391" s="334" t="n"/>
      <c r="G391" s="334" t="n"/>
      <c r="H391" s="334" t="n"/>
      <c r="I391" s="332">
        <f>IFERROR(VLOOKUP(TEXT(H391,"0"),IPRESS!$A$3:$B$212,2,0),"")</f>
        <v/>
      </c>
      <c r="J391" s="334" t="n"/>
      <c r="K391" s="332">
        <f>IFERROR(VLOOKUP(TEXT(O391,"0"),CONDUCTORES!$A$3:$G$54,7,0),"")</f>
        <v/>
      </c>
      <c r="L391" s="334" t="n"/>
      <c r="M391" s="334" t="n"/>
      <c r="N391" s="333">
        <f>IFERROR(IF(L391*M391=0,"",L391*M391),"")</f>
        <v/>
      </c>
      <c r="O391" s="334" t="n"/>
      <c r="P391" s="332">
        <f>IFERROR(VLOOKUP(TEXT(O391,"0"),CONDUCTORES!$A$3:$G$54,2,0),"")</f>
        <v/>
      </c>
      <c r="Q391" s="332">
        <f>IFERROR(VLOOKUP(TEXT(O391,"0"),CONDUCTORES!$A$3:$H$54,6,0),"")</f>
        <v/>
      </c>
      <c r="R391" s="334" t="n"/>
      <c r="S391" s="334" t="n"/>
      <c r="T391" s="334" t="n"/>
      <c r="U391" s="334" t="n"/>
      <c r="V391" s="334" t="n"/>
      <c r="W391" s="334" t="n"/>
      <c r="X391" s="334" t="n"/>
      <c r="Y391" s="334" t="n"/>
      <c r="Z391" s="375">
        <f>IF(AND(G391&lt;&gt;"",R391&lt;&gt;"",V391&lt;&gt;"",W391&lt;&gt;""),"COMPLETADO","OBSERVADO")</f>
        <v/>
      </c>
    </row>
    <row r="392" ht="15" customHeight="1" s="195">
      <c r="A392" s="280" t="n"/>
      <c r="B392" s="280" t="n"/>
      <c r="C392" s="280" t="n"/>
      <c r="D392" s="280" t="n"/>
      <c r="E392" s="280" t="n"/>
      <c r="F392" s="280" t="n"/>
      <c r="G392" s="280" t="n"/>
      <c r="H392" s="280" t="n"/>
      <c r="I392" s="332">
        <f>IFERROR(VLOOKUP(TEXT(H392,"0"),IPRESS!$A$3:$B$212,2,0),"")</f>
        <v/>
      </c>
      <c r="J392" s="280" t="n"/>
      <c r="K392" s="332">
        <f>IFERROR(VLOOKUP(TEXT(O392,"0"),CONDUCTORES!$A$3:$G$54,7,0),"")</f>
        <v/>
      </c>
      <c r="L392" s="280" t="n"/>
      <c r="M392" s="280" t="n"/>
      <c r="N392" s="333">
        <f>IFERROR(IF(L392*M392=0,"",L392*M392),"")</f>
        <v/>
      </c>
      <c r="O392" s="280" t="n"/>
      <c r="P392" s="332">
        <f>IFERROR(VLOOKUP(TEXT(O392,"0"),CONDUCTORES!$A$3:$G$54,2,0),"")</f>
        <v/>
      </c>
      <c r="Q392" s="332">
        <f>IFERROR(VLOOKUP(TEXT(O392,"0"),CONDUCTORES!$A$3:$H$54,6,0),"")</f>
        <v/>
      </c>
      <c r="R392" s="280" t="n"/>
      <c r="S392" s="280" t="n"/>
      <c r="T392" s="280" t="n"/>
      <c r="U392" s="280" t="n"/>
      <c r="V392" s="280" t="n"/>
      <c r="W392" s="280" t="n"/>
      <c r="X392" s="280" t="n"/>
      <c r="Y392" s="280" t="n"/>
      <c r="Z392" s="375">
        <f>IF(AND(G392&lt;&gt;"",R392&lt;&gt;"",V392&lt;&gt;"",W392&lt;&gt;""),"COMPLETADO","OBSERVADO")</f>
        <v/>
      </c>
    </row>
    <row r="393" ht="15" customHeight="1" s="195">
      <c r="A393" s="334" t="n"/>
      <c r="B393" s="334" t="n"/>
      <c r="C393" s="334" t="n"/>
      <c r="D393" s="334" t="n"/>
      <c r="E393" s="334" t="n"/>
      <c r="F393" s="334" t="n"/>
      <c r="G393" s="334" t="n"/>
      <c r="H393" s="334" t="n"/>
      <c r="I393" s="332">
        <f>IFERROR(VLOOKUP(TEXT(H393,"0"),IPRESS!$A$3:$B$212,2,0),"")</f>
        <v/>
      </c>
      <c r="J393" s="334" t="n"/>
      <c r="K393" s="332">
        <f>IFERROR(VLOOKUP(TEXT(O393,"0"),CONDUCTORES!$A$3:$G$54,7,0),"")</f>
        <v/>
      </c>
      <c r="L393" s="334" t="n"/>
      <c r="M393" s="334" t="n"/>
      <c r="N393" s="333">
        <f>IFERROR(IF(L393*M393=0,"",L393*M393),"")</f>
        <v/>
      </c>
      <c r="O393" s="334" t="n"/>
      <c r="P393" s="332">
        <f>IFERROR(VLOOKUP(TEXT(O393,"0"),CONDUCTORES!$A$3:$G$54,2,0),"")</f>
        <v/>
      </c>
      <c r="Q393" s="332">
        <f>IFERROR(VLOOKUP(TEXT(O393,"0"),CONDUCTORES!$A$3:$H$54,6,0),"")</f>
        <v/>
      </c>
      <c r="R393" s="334" t="n"/>
      <c r="S393" s="334" t="n"/>
      <c r="T393" s="334" t="n"/>
      <c r="U393" s="334" t="n"/>
      <c r="V393" s="334" t="n"/>
      <c r="W393" s="334" t="n"/>
      <c r="X393" s="334" t="n"/>
      <c r="Y393" s="334" t="n"/>
      <c r="Z393" s="375">
        <f>IF(AND(G393&lt;&gt;"",R393&lt;&gt;"",V393&lt;&gt;"",W393&lt;&gt;""),"COMPLETADO","OBSERVADO")</f>
        <v/>
      </c>
    </row>
    <row r="394" ht="15" customHeight="1" s="195">
      <c r="A394" s="280" t="n"/>
      <c r="B394" s="280" t="n"/>
      <c r="C394" s="280" t="n"/>
      <c r="D394" s="280" t="n"/>
      <c r="E394" s="280" t="n"/>
      <c r="F394" s="280" t="n"/>
      <c r="G394" s="280" t="n"/>
      <c r="H394" s="280" t="n"/>
      <c r="I394" s="332">
        <f>IFERROR(VLOOKUP(TEXT(H394,"0"),IPRESS!$A$3:$B$212,2,0),"")</f>
        <v/>
      </c>
      <c r="J394" s="280" t="n"/>
      <c r="K394" s="332">
        <f>IFERROR(VLOOKUP(TEXT(O394,"0"),CONDUCTORES!$A$3:$G$54,7,0),"")</f>
        <v/>
      </c>
      <c r="L394" s="280" t="n"/>
      <c r="M394" s="280" t="n"/>
      <c r="N394" s="333">
        <f>IFERROR(IF(L394*M394=0,"",L394*M394),"")</f>
        <v/>
      </c>
      <c r="O394" s="280" t="n"/>
      <c r="P394" s="332">
        <f>IFERROR(VLOOKUP(TEXT(O394,"0"),CONDUCTORES!$A$3:$G$54,2,0),"")</f>
        <v/>
      </c>
      <c r="Q394" s="332">
        <f>IFERROR(VLOOKUP(TEXT(O394,"0"),CONDUCTORES!$A$3:$H$54,6,0),"")</f>
        <v/>
      </c>
      <c r="R394" s="280" t="n"/>
      <c r="S394" s="280" t="n"/>
      <c r="T394" s="280" t="n"/>
      <c r="U394" s="280" t="n"/>
      <c r="V394" s="280" t="n"/>
      <c r="W394" s="280" t="n"/>
      <c r="X394" s="280" t="n"/>
      <c r="Y394" s="280" t="n"/>
      <c r="Z394" s="375">
        <f>IF(AND(G394&lt;&gt;"",R394&lt;&gt;"",V394&lt;&gt;"",W394&lt;&gt;""),"COMPLETADO","OBSERVADO")</f>
        <v/>
      </c>
    </row>
    <row r="395" ht="15" customHeight="1" s="195">
      <c r="A395" s="334" t="n"/>
      <c r="B395" s="334" t="n"/>
      <c r="C395" s="334" t="n"/>
      <c r="D395" s="334" t="n"/>
      <c r="E395" s="334" t="n"/>
      <c r="F395" s="334" t="n"/>
      <c r="G395" s="334" t="n"/>
      <c r="H395" s="334" t="n"/>
      <c r="I395" s="332">
        <f>IFERROR(VLOOKUP(TEXT(H395,"0"),IPRESS!$A$3:$B$212,2,0),"")</f>
        <v/>
      </c>
      <c r="J395" s="334" t="n"/>
      <c r="K395" s="332">
        <f>IFERROR(VLOOKUP(TEXT(O395,"0"),CONDUCTORES!$A$3:$G$54,7,0),"")</f>
        <v/>
      </c>
      <c r="L395" s="334" t="n"/>
      <c r="M395" s="334" t="n"/>
      <c r="N395" s="333">
        <f>IFERROR(IF(L395*M395=0,"",L395*M395),"")</f>
        <v/>
      </c>
      <c r="O395" s="334" t="n"/>
      <c r="P395" s="332">
        <f>IFERROR(VLOOKUP(TEXT(O395,"0"),CONDUCTORES!$A$3:$G$54,2,0),"")</f>
        <v/>
      </c>
      <c r="Q395" s="332">
        <f>IFERROR(VLOOKUP(TEXT(O395,"0"),CONDUCTORES!$A$3:$H$54,6,0),"")</f>
        <v/>
      </c>
      <c r="R395" s="334" t="n"/>
      <c r="S395" s="334" t="n"/>
      <c r="T395" s="334" t="n"/>
      <c r="U395" s="334" t="n"/>
      <c r="V395" s="334" t="n"/>
      <c r="W395" s="334" t="n"/>
      <c r="X395" s="334" t="n"/>
      <c r="Y395" s="334" t="n"/>
      <c r="Z395" s="375">
        <f>IF(AND(G395&lt;&gt;"",R395&lt;&gt;"",V395&lt;&gt;"",W395&lt;&gt;""),"COMPLETADO","OBSERVADO")</f>
        <v/>
      </c>
    </row>
    <row r="396" ht="15" customHeight="1" s="195">
      <c r="A396" s="280" t="n"/>
      <c r="B396" s="280" t="n"/>
      <c r="C396" s="280" t="n"/>
      <c r="D396" s="280" t="n"/>
      <c r="E396" s="280" t="n"/>
      <c r="F396" s="280" t="n"/>
      <c r="G396" s="280" t="n"/>
      <c r="H396" s="280" t="n"/>
      <c r="I396" s="332">
        <f>IFERROR(VLOOKUP(TEXT(H396,"0"),IPRESS!$A$3:$B$212,2,0),"")</f>
        <v/>
      </c>
      <c r="J396" s="280" t="n"/>
      <c r="K396" s="332">
        <f>IFERROR(VLOOKUP(TEXT(O396,"0"),CONDUCTORES!$A$3:$G$54,7,0),"")</f>
        <v/>
      </c>
      <c r="L396" s="280" t="n"/>
      <c r="M396" s="280" t="n"/>
      <c r="N396" s="333">
        <f>IFERROR(IF(L396*M396=0,"",L396*M396),"")</f>
        <v/>
      </c>
      <c r="O396" s="280" t="n"/>
      <c r="P396" s="332">
        <f>IFERROR(VLOOKUP(TEXT(O396,"0"),CONDUCTORES!$A$3:$G$54,2,0),"")</f>
        <v/>
      </c>
      <c r="Q396" s="332">
        <f>IFERROR(VLOOKUP(TEXT(O396,"0"),CONDUCTORES!$A$3:$H$54,6,0),"")</f>
        <v/>
      </c>
      <c r="R396" s="280" t="n"/>
      <c r="S396" s="280" t="n"/>
      <c r="T396" s="280" t="n"/>
      <c r="U396" s="280" t="n"/>
      <c r="V396" s="280" t="n"/>
      <c r="W396" s="280" t="n"/>
      <c r="X396" s="280" t="n"/>
      <c r="Y396" s="280" t="n"/>
      <c r="Z396" s="375">
        <f>IF(AND(G396&lt;&gt;"",R396&lt;&gt;"",V396&lt;&gt;"",W396&lt;&gt;""),"COMPLETADO","OBSERVADO")</f>
        <v/>
      </c>
    </row>
    <row r="397" ht="15" customHeight="1" s="195">
      <c r="A397" s="334" t="n"/>
      <c r="B397" s="334" t="n"/>
      <c r="C397" s="334" t="n"/>
      <c r="D397" s="334" t="n"/>
      <c r="E397" s="334" t="n"/>
      <c r="F397" s="334" t="n"/>
      <c r="G397" s="334" t="n"/>
      <c r="H397" s="334" t="n"/>
      <c r="I397" s="332">
        <f>IFERROR(VLOOKUP(TEXT(H397,"0"),IPRESS!$A$3:$B$212,2,0),"")</f>
        <v/>
      </c>
      <c r="J397" s="334" t="n"/>
      <c r="K397" s="332">
        <f>IFERROR(VLOOKUP(TEXT(O397,"0"),CONDUCTORES!$A$3:$G$54,7,0),"")</f>
        <v/>
      </c>
      <c r="L397" s="334" t="n"/>
      <c r="M397" s="334" t="n"/>
      <c r="N397" s="333">
        <f>IFERROR(IF(L397*M397=0,"",L397*M397),"")</f>
        <v/>
      </c>
      <c r="O397" s="334" t="n"/>
      <c r="P397" s="332">
        <f>IFERROR(VLOOKUP(TEXT(O397,"0"),CONDUCTORES!$A$3:$G$54,2,0),"")</f>
        <v/>
      </c>
      <c r="Q397" s="332">
        <f>IFERROR(VLOOKUP(TEXT(O397,"0"),CONDUCTORES!$A$3:$H$54,6,0),"")</f>
        <v/>
      </c>
      <c r="R397" s="334" t="n"/>
      <c r="S397" s="334" t="n"/>
      <c r="T397" s="334" t="n"/>
      <c r="U397" s="334" t="n"/>
      <c r="V397" s="334" t="n"/>
      <c r="W397" s="334" t="n"/>
      <c r="X397" s="334" t="n"/>
      <c r="Y397" s="334" t="n"/>
      <c r="Z397" s="375">
        <f>IF(AND(G397&lt;&gt;"",R397&lt;&gt;"",V397&lt;&gt;"",W397&lt;&gt;""),"COMPLETADO","OBSERVADO")</f>
        <v/>
      </c>
    </row>
    <row r="398" ht="15" customHeight="1" s="195">
      <c r="A398" s="280" t="n"/>
      <c r="B398" s="280" t="n"/>
      <c r="C398" s="280" t="n"/>
      <c r="D398" s="280" t="n"/>
      <c r="E398" s="280" t="n"/>
      <c r="F398" s="280" t="n"/>
      <c r="G398" s="280" t="n"/>
      <c r="H398" s="280" t="n"/>
      <c r="I398" s="332">
        <f>IFERROR(VLOOKUP(TEXT(H398,"0"),IPRESS!$A$3:$B$212,2,0),"")</f>
        <v/>
      </c>
      <c r="J398" s="280" t="n"/>
      <c r="K398" s="332">
        <f>IFERROR(VLOOKUP(TEXT(O398,"0"),CONDUCTORES!$A$3:$G$54,7,0),"")</f>
        <v/>
      </c>
      <c r="L398" s="280" t="n"/>
      <c r="M398" s="280" t="n"/>
      <c r="N398" s="333">
        <f>IFERROR(IF(L398*M398=0,"",L398*M398),"")</f>
        <v/>
      </c>
      <c r="O398" s="280" t="n"/>
      <c r="P398" s="332">
        <f>IFERROR(VLOOKUP(TEXT(O398,"0"),CONDUCTORES!$A$3:$G$54,2,0),"")</f>
        <v/>
      </c>
      <c r="Q398" s="332">
        <f>IFERROR(VLOOKUP(TEXT(O398,"0"),CONDUCTORES!$A$3:$H$54,6,0),"")</f>
        <v/>
      </c>
      <c r="R398" s="280" t="n"/>
      <c r="S398" s="280" t="n"/>
      <c r="T398" s="280" t="n"/>
      <c r="U398" s="280" t="n"/>
      <c r="V398" s="280" t="n"/>
      <c r="W398" s="280" t="n"/>
      <c r="X398" s="280" t="n"/>
      <c r="Y398" s="280" t="n"/>
      <c r="Z398" s="375">
        <f>IF(AND(G398&lt;&gt;"",R398&lt;&gt;"",V398&lt;&gt;"",W398&lt;&gt;""),"COMPLETADO","OBSERVADO")</f>
        <v/>
      </c>
    </row>
    <row r="399" ht="15" customHeight="1" s="195">
      <c r="A399" s="334" t="n"/>
      <c r="B399" s="334" t="n"/>
      <c r="C399" s="334" t="n"/>
      <c r="D399" s="334" t="n"/>
      <c r="E399" s="334" t="n"/>
      <c r="F399" s="334" t="n"/>
      <c r="G399" s="334" t="n"/>
      <c r="H399" s="334" t="n"/>
      <c r="I399" s="332">
        <f>IFERROR(VLOOKUP(TEXT(H399,"0"),IPRESS!$A$3:$B$212,2,0),"")</f>
        <v/>
      </c>
      <c r="J399" s="334" t="n"/>
      <c r="K399" s="332">
        <f>IFERROR(VLOOKUP(TEXT(O399,"0"),CONDUCTORES!$A$3:$G$54,7,0),"")</f>
        <v/>
      </c>
      <c r="L399" s="334" t="n"/>
      <c r="M399" s="334" t="n"/>
      <c r="N399" s="333">
        <f>IFERROR(IF(L399*M399=0,"",L399*M399),"")</f>
        <v/>
      </c>
      <c r="O399" s="334" t="n"/>
      <c r="P399" s="332">
        <f>IFERROR(VLOOKUP(TEXT(O399,"0"),CONDUCTORES!$A$3:$G$54,2,0),"")</f>
        <v/>
      </c>
      <c r="Q399" s="332">
        <f>IFERROR(VLOOKUP(TEXT(O399,"0"),CONDUCTORES!$A$3:$H$54,6,0),"")</f>
        <v/>
      </c>
      <c r="R399" s="334" t="n"/>
      <c r="S399" s="334" t="n"/>
      <c r="T399" s="334" t="n"/>
      <c r="U399" s="334" t="n"/>
      <c r="V399" s="334" t="n"/>
      <c r="W399" s="334" t="n"/>
      <c r="X399" s="334" t="n"/>
      <c r="Y399" s="334" t="n"/>
      <c r="Z399" s="375">
        <f>IF(AND(G399&lt;&gt;"",R399&lt;&gt;"",V399&lt;&gt;"",W399&lt;&gt;""),"COMPLETADO","OBSERVADO")</f>
        <v/>
      </c>
    </row>
    <row r="400" ht="15" customHeight="1" s="195">
      <c r="A400" s="280" t="n"/>
      <c r="B400" s="280" t="n"/>
      <c r="C400" s="280" t="n"/>
      <c r="D400" s="280" t="n"/>
      <c r="E400" s="280" t="n"/>
      <c r="F400" s="280" t="n"/>
      <c r="G400" s="280" t="n"/>
      <c r="H400" s="280" t="n"/>
      <c r="I400" s="332">
        <f>IFERROR(VLOOKUP(TEXT(H400,"0"),IPRESS!$A$3:$B$212,2,0),"")</f>
        <v/>
      </c>
      <c r="J400" s="280" t="n"/>
      <c r="K400" s="332">
        <f>IFERROR(VLOOKUP(TEXT(O400,"0"),CONDUCTORES!$A$3:$G$54,7,0),"")</f>
        <v/>
      </c>
      <c r="L400" s="280" t="n"/>
      <c r="M400" s="280" t="n"/>
      <c r="N400" s="333">
        <f>IFERROR(IF(L400*M400=0,"",L400*M400),"")</f>
        <v/>
      </c>
      <c r="O400" s="280" t="n"/>
      <c r="P400" s="332">
        <f>IFERROR(VLOOKUP(TEXT(O400,"0"),CONDUCTORES!$A$3:$G$54,2,0),"")</f>
        <v/>
      </c>
      <c r="Q400" s="332">
        <f>IFERROR(VLOOKUP(TEXT(O400,"0"),CONDUCTORES!$A$3:$H$54,6,0),"")</f>
        <v/>
      </c>
      <c r="R400" s="280" t="n"/>
      <c r="S400" s="280" t="n"/>
      <c r="T400" s="280" t="n"/>
      <c r="U400" s="280" t="n"/>
      <c r="V400" s="280" t="n"/>
      <c r="W400" s="280" t="n"/>
      <c r="X400" s="280" t="n"/>
      <c r="Y400" s="280" t="n"/>
      <c r="Z400" s="375">
        <f>IF(AND(G400&lt;&gt;"",R400&lt;&gt;"",V400&lt;&gt;"",W400&lt;&gt;""),"COMPLETADO","OBSERVADO")</f>
        <v/>
      </c>
    </row>
    <row r="401" ht="15" customHeight="1" s="195">
      <c r="A401" s="334" t="n"/>
      <c r="B401" s="334" t="n"/>
      <c r="C401" s="334" t="n"/>
      <c r="D401" s="334" t="n"/>
      <c r="E401" s="334" t="n"/>
      <c r="F401" s="334" t="n"/>
      <c r="G401" s="334" t="n"/>
      <c r="H401" s="334" t="n"/>
      <c r="I401" s="332">
        <f>IFERROR(VLOOKUP(TEXT(H401,"0"),IPRESS!$A$3:$B$212,2,0),"")</f>
        <v/>
      </c>
      <c r="J401" s="334" t="n"/>
      <c r="K401" s="332">
        <f>IFERROR(VLOOKUP(TEXT(O401,"0"),CONDUCTORES!$A$3:$G$54,7,0),"")</f>
        <v/>
      </c>
      <c r="L401" s="334" t="n"/>
      <c r="M401" s="334" t="n"/>
      <c r="N401" s="333">
        <f>IFERROR(IF(L401*M401=0,"",L401*M401),"")</f>
        <v/>
      </c>
      <c r="O401" s="334" t="n"/>
      <c r="P401" s="332">
        <f>IFERROR(VLOOKUP(TEXT(O401,"0"),CONDUCTORES!$A$3:$G$54,2,0),"")</f>
        <v/>
      </c>
      <c r="Q401" s="332">
        <f>IFERROR(VLOOKUP(TEXT(O401,"0"),CONDUCTORES!$A$3:$H$54,6,0),"")</f>
        <v/>
      </c>
      <c r="R401" s="334" t="n"/>
      <c r="S401" s="334" t="n"/>
      <c r="T401" s="334" t="n"/>
      <c r="U401" s="334" t="n"/>
      <c r="V401" s="334" t="n"/>
      <c r="W401" s="334" t="n"/>
      <c r="X401" s="334" t="n"/>
      <c r="Y401" s="334" t="n"/>
      <c r="Z401" s="375">
        <f>IF(AND(G401&lt;&gt;"",R401&lt;&gt;"",V401&lt;&gt;"",W401&lt;&gt;""),"COMPLETADO","OBSERVADO")</f>
        <v/>
      </c>
    </row>
    <row r="402" ht="15" customHeight="1" s="195">
      <c r="A402" s="280" t="n"/>
      <c r="B402" s="280" t="n"/>
      <c r="C402" s="280" t="n"/>
      <c r="D402" s="280" t="n"/>
      <c r="E402" s="280" t="n"/>
      <c r="F402" s="280" t="n"/>
      <c r="G402" s="280" t="n"/>
      <c r="H402" s="280" t="n"/>
      <c r="I402" s="332">
        <f>IFERROR(VLOOKUP(TEXT(H402,"0"),IPRESS!$A$3:$B$212,2,0),"")</f>
        <v/>
      </c>
      <c r="J402" s="280" t="n"/>
      <c r="K402" s="332">
        <f>IFERROR(VLOOKUP(TEXT(O402,"0"),CONDUCTORES!$A$3:$G$54,7,0),"")</f>
        <v/>
      </c>
      <c r="L402" s="280" t="n"/>
      <c r="M402" s="280" t="n"/>
      <c r="N402" s="333">
        <f>IFERROR(IF(L402*M402=0,"",L402*M402),"")</f>
        <v/>
      </c>
      <c r="O402" s="280" t="n"/>
      <c r="P402" s="332">
        <f>IFERROR(VLOOKUP(TEXT(O402,"0"),CONDUCTORES!$A$3:$G$54,2,0),"")</f>
        <v/>
      </c>
      <c r="Q402" s="332">
        <f>IFERROR(VLOOKUP(TEXT(O402,"0"),CONDUCTORES!$A$3:$H$54,6,0),"")</f>
        <v/>
      </c>
      <c r="R402" s="280" t="n"/>
      <c r="S402" s="280" t="n"/>
      <c r="T402" s="280" t="n"/>
      <c r="U402" s="280" t="n"/>
      <c r="V402" s="280" t="n"/>
      <c r="W402" s="280" t="n"/>
      <c r="X402" s="280" t="n"/>
      <c r="Y402" s="280" t="n"/>
      <c r="Z402" s="375">
        <f>IF(AND(G402&lt;&gt;"",R402&lt;&gt;"",V402&lt;&gt;"",W402&lt;&gt;""),"COMPLETADO","OBSERVADO")</f>
        <v/>
      </c>
    </row>
    <row r="403" ht="15" customHeight="1" s="195">
      <c r="A403" s="334" t="n"/>
      <c r="B403" s="334" t="n"/>
      <c r="C403" s="334" t="n"/>
      <c r="D403" s="334" t="n"/>
      <c r="E403" s="334" t="n"/>
      <c r="F403" s="334" t="n"/>
      <c r="G403" s="334" t="n"/>
      <c r="H403" s="334" t="n"/>
      <c r="I403" s="332">
        <f>IFERROR(VLOOKUP(TEXT(H403,"0"),IPRESS!$A$3:$B$212,2,0),"")</f>
        <v/>
      </c>
      <c r="J403" s="334" t="n"/>
      <c r="K403" s="332">
        <f>IFERROR(VLOOKUP(TEXT(O403,"0"),CONDUCTORES!$A$3:$G$54,7,0),"")</f>
        <v/>
      </c>
      <c r="L403" s="334" t="n"/>
      <c r="M403" s="334" t="n"/>
      <c r="N403" s="333">
        <f>IFERROR(IF(L403*M403=0,"",L403*M403),"")</f>
        <v/>
      </c>
      <c r="O403" s="334" t="n"/>
      <c r="P403" s="332">
        <f>IFERROR(VLOOKUP(TEXT(O403,"0"),CONDUCTORES!$A$3:$G$54,2,0),"")</f>
        <v/>
      </c>
      <c r="Q403" s="332">
        <f>IFERROR(VLOOKUP(TEXT(O403,"0"),CONDUCTORES!$A$3:$H$54,6,0),"")</f>
        <v/>
      </c>
      <c r="R403" s="334" t="n"/>
      <c r="S403" s="334" t="n"/>
      <c r="T403" s="334" t="n"/>
      <c r="U403" s="334" t="n"/>
      <c r="V403" s="334" t="n"/>
      <c r="W403" s="334" t="n"/>
      <c r="X403" s="334" t="n"/>
      <c r="Y403" s="334" t="n"/>
      <c r="Z403" s="375">
        <f>IF(AND(G403&lt;&gt;"",R403&lt;&gt;"",V403&lt;&gt;"",W403&lt;&gt;""),"COMPLETADO","OBSERVADO")</f>
        <v/>
      </c>
    </row>
    <row r="404" ht="15" customHeight="1" s="195">
      <c r="A404" s="280" t="n"/>
      <c r="B404" s="280" t="n"/>
      <c r="C404" s="280" t="n"/>
      <c r="D404" s="280" t="n"/>
      <c r="E404" s="280" t="n"/>
      <c r="F404" s="280" t="n"/>
      <c r="G404" s="280" t="n"/>
      <c r="H404" s="280" t="n"/>
      <c r="I404" s="332">
        <f>IFERROR(VLOOKUP(TEXT(H404,"0"),IPRESS!$A$3:$B$212,2,0),"")</f>
        <v/>
      </c>
      <c r="J404" s="280" t="n"/>
      <c r="K404" s="332">
        <f>IFERROR(VLOOKUP(TEXT(O404,"0"),CONDUCTORES!$A$3:$G$54,7,0),"")</f>
        <v/>
      </c>
      <c r="L404" s="280" t="n"/>
      <c r="M404" s="280" t="n"/>
      <c r="N404" s="333">
        <f>IFERROR(IF(L404*M404=0,"",L404*M404),"")</f>
        <v/>
      </c>
      <c r="O404" s="280" t="n"/>
      <c r="P404" s="332">
        <f>IFERROR(VLOOKUP(TEXT(O404,"0"),CONDUCTORES!$A$3:$G$54,2,0),"")</f>
        <v/>
      </c>
      <c r="Q404" s="332">
        <f>IFERROR(VLOOKUP(TEXT(O404,"0"),CONDUCTORES!$A$3:$H$54,6,0),"")</f>
        <v/>
      </c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375">
        <f>IF(AND(G404&lt;&gt;"",R404&lt;&gt;"",V404&lt;&gt;"",W404&lt;&gt;""),"COMPLETADO","OBSERVADO")</f>
        <v/>
      </c>
    </row>
    <row r="405" ht="15" customHeight="1" s="195">
      <c r="A405" s="334" t="n"/>
      <c r="B405" s="334" t="n"/>
      <c r="C405" s="334" t="n"/>
      <c r="D405" s="334" t="n"/>
      <c r="E405" s="334" t="n"/>
      <c r="F405" s="334" t="n"/>
      <c r="G405" s="334" t="n"/>
      <c r="H405" s="334" t="n"/>
      <c r="I405" s="332">
        <f>IFERROR(VLOOKUP(TEXT(H405,"0"),IPRESS!$A$3:$B$212,2,0),"")</f>
        <v/>
      </c>
      <c r="J405" s="334" t="n"/>
      <c r="K405" s="332">
        <f>IFERROR(VLOOKUP(TEXT(O405,"0"),CONDUCTORES!$A$3:$G$54,7,0),"")</f>
        <v/>
      </c>
      <c r="L405" s="334" t="n"/>
      <c r="M405" s="334" t="n"/>
      <c r="N405" s="333">
        <f>IFERROR(IF(L405*M405=0,"",L405*M405),"")</f>
        <v/>
      </c>
      <c r="O405" s="334" t="n"/>
      <c r="P405" s="332">
        <f>IFERROR(VLOOKUP(TEXT(O405,"0"),CONDUCTORES!$A$3:$G$54,2,0),"")</f>
        <v/>
      </c>
      <c r="Q405" s="332">
        <f>IFERROR(VLOOKUP(TEXT(O405,"0"),CONDUCTORES!$A$3:$H$54,6,0),"")</f>
        <v/>
      </c>
      <c r="R405" s="334" t="n"/>
      <c r="S405" s="334" t="n"/>
      <c r="T405" s="334" t="n"/>
      <c r="U405" s="334" t="n"/>
      <c r="V405" s="334" t="n"/>
      <c r="W405" s="334" t="n"/>
      <c r="X405" s="334" t="n"/>
      <c r="Y405" s="334" t="n"/>
      <c r="Z405" s="375">
        <f>IF(AND(G405&lt;&gt;"",R405&lt;&gt;"",V405&lt;&gt;"",W405&lt;&gt;""),"COMPLETADO","OBSERVADO")</f>
        <v/>
      </c>
    </row>
    <row r="406" ht="15" customHeight="1" s="195">
      <c r="A406" s="280" t="n"/>
      <c r="B406" s="280" t="n"/>
      <c r="C406" s="280" t="n"/>
      <c r="D406" s="280" t="n"/>
      <c r="E406" s="280" t="n"/>
      <c r="F406" s="280" t="n"/>
      <c r="G406" s="280" t="n"/>
      <c r="H406" s="280" t="n"/>
      <c r="I406" s="332">
        <f>IFERROR(VLOOKUP(TEXT(H406,"0"),IPRESS!$A$3:$B$212,2,0),"")</f>
        <v/>
      </c>
      <c r="J406" s="280" t="n"/>
      <c r="K406" s="332">
        <f>IFERROR(VLOOKUP(TEXT(O406,"0"),CONDUCTORES!$A$3:$G$54,7,0),"")</f>
        <v/>
      </c>
      <c r="L406" s="280" t="n"/>
      <c r="M406" s="280" t="n"/>
      <c r="N406" s="333">
        <f>IFERROR(IF(L406*M406=0,"",L406*M406),"")</f>
        <v/>
      </c>
      <c r="O406" s="280" t="n"/>
      <c r="P406" s="332">
        <f>IFERROR(VLOOKUP(TEXT(O406,"0"),CONDUCTORES!$A$3:$G$54,2,0),"")</f>
        <v/>
      </c>
      <c r="Q406" s="332">
        <f>IFERROR(VLOOKUP(TEXT(O406,"0"),CONDUCTORES!$A$3:$H$54,6,0),"")</f>
        <v/>
      </c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375">
        <f>IF(AND(G406&lt;&gt;"",R406&lt;&gt;"",V406&lt;&gt;"",W406&lt;&gt;""),"COMPLETADO","OBSERVADO")</f>
        <v/>
      </c>
    </row>
    <row r="407" ht="15" customHeight="1" s="195">
      <c r="A407" s="334" t="n"/>
      <c r="B407" s="334" t="n"/>
      <c r="C407" s="334" t="n"/>
      <c r="D407" s="334" t="n"/>
      <c r="E407" s="334" t="n"/>
      <c r="F407" s="334" t="n"/>
      <c r="G407" s="334" t="n"/>
      <c r="H407" s="334" t="n"/>
      <c r="I407" s="332">
        <f>IFERROR(VLOOKUP(TEXT(H407,"0"),IPRESS!$A$3:$B$212,2,0),"")</f>
        <v/>
      </c>
      <c r="J407" s="334" t="n"/>
      <c r="K407" s="332">
        <f>IFERROR(VLOOKUP(TEXT(O407,"0"),CONDUCTORES!$A$3:$G$54,7,0),"")</f>
        <v/>
      </c>
      <c r="L407" s="334" t="n"/>
      <c r="M407" s="334" t="n"/>
      <c r="N407" s="333">
        <f>IFERROR(IF(L407*M407=0,"",L407*M407),"")</f>
        <v/>
      </c>
      <c r="O407" s="334" t="n"/>
      <c r="P407" s="332">
        <f>IFERROR(VLOOKUP(TEXT(O407,"0"),CONDUCTORES!$A$3:$G$54,2,0),"")</f>
        <v/>
      </c>
      <c r="Q407" s="332">
        <f>IFERROR(VLOOKUP(TEXT(O407,"0"),CONDUCTORES!$A$3:$H$54,6,0),"")</f>
        <v/>
      </c>
      <c r="R407" s="334" t="n"/>
      <c r="S407" s="334" t="n"/>
      <c r="T407" s="334" t="n"/>
      <c r="U407" s="334" t="n"/>
      <c r="V407" s="334" t="n"/>
      <c r="W407" s="334" t="n"/>
      <c r="X407" s="334" t="n"/>
      <c r="Y407" s="334" t="n"/>
      <c r="Z407" s="375">
        <f>IF(AND(G407&lt;&gt;"",R407&lt;&gt;"",V407&lt;&gt;"",W407&lt;&gt;""),"COMPLETADO","OBSERVADO")</f>
        <v/>
      </c>
    </row>
    <row r="408" ht="15" customHeight="1" s="195">
      <c r="A408" s="280" t="n"/>
      <c r="B408" s="280" t="n"/>
      <c r="C408" s="280" t="n"/>
      <c r="D408" s="280" t="n"/>
      <c r="E408" s="280" t="n"/>
      <c r="F408" s="280" t="n"/>
      <c r="G408" s="280" t="n"/>
      <c r="H408" s="280" t="n"/>
      <c r="I408" s="332">
        <f>IFERROR(VLOOKUP(TEXT(H408,"0"),IPRESS!$A$3:$B$212,2,0),"")</f>
        <v/>
      </c>
      <c r="J408" s="280" t="n"/>
      <c r="K408" s="332">
        <f>IFERROR(VLOOKUP(TEXT(O408,"0"),CONDUCTORES!$A$3:$G$54,7,0),"")</f>
        <v/>
      </c>
      <c r="L408" s="280" t="n"/>
      <c r="M408" s="280" t="n"/>
      <c r="N408" s="333">
        <f>IFERROR(IF(L408*M408=0,"",L408*M408),"")</f>
        <v/>
      </c>
      <c r="O408" s="280" t="n"/>
      <c r="P408" s="332">
        <f>IFERROR(VLOOKUP(TEXT(O408,"0"),CONDUCTORES!$A$3:$G$54,2,0),"")</f>
        <v/>
      </c>
      <c r="Q408" s="332">
        <f>IFERROR(VLOOKUP(TEXT(O408,"0"),CONDUCTORES!$A$3:$H$54,6,0),"")</f>
        <v/>
      </c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375">
        <f>IF(AND(G408&lt;&gt;"",R408&lt;&gt;"",V408&lt;&gt;"",W408&lt;&gt;""),"COMPLETADO","OBSERVADO")</f>
        <v/>
      </c>
    </row>
    <row r="409" ht="15" customHeight="1" s="195">
      <c r="A409" s="334" t="n"/>
      <c r="B409" s="334" t="n"/>
      <c r="C409" s="334" t="n"/>
      <c r="D409" s="334" t="n"/>
      <c r="E409" s="334" t="n"/>
      <c r="F409" s="334" t="n"/>
      <c r="G409" s="334" t="n"/>
      <c r="H409" s="334" t="n"/>
      <c r="I409" s="332">
        <f>IFERROR(VLOOKUP(TEXT(H409,"0"),IPRESS!$A$3:$B$212,2,0),"")</f>
        <v/>
      </c>
      <c r="J409" s="334" t="n"/>
      <c r="K409" s="332">
        <f>IFERROR(VLOOKUP(TEXT(O409,"0"),CONDUCTORES!$A$3:$G$54,7,0),"")</f>
        <v/>
      </c>
      <c r="L409" s="334" t="n"/>
      <c r="M409" s="334" t="n"/>
      <c r="N409" s="333">
        <f>IFERROR(IF(L409*M409=0,"",L409*M409),"")</f>
        <v/>
      </c>
      <c r="O409" s="334" t="n"/>
      <c r="P409" s="332">
        <f>IFERROR(VLOOKUP(TEXT(O409,"0"),CONDUCTORES!$A$3:$G$54,2,0),"")</f>
        <v/>
      </c>
      <c r="Q409" s="332">
        <f>IFERROR(VLOOKUP(TEXT(O409,"0"),CONDUCTORES!$A$3:$H$54,6,0),"")</f>
        <v/>
      </c>
      <c r="R409" s="334" t="n"/>
      <c r="S409" s="334" t="n"/>
      <c r="T409" s="334" t="n"/>
      <c r="U409" s="334" t="n"/>
      <c r="V409" s="334" t="n"/>
      <c r="W409" s="334" t="n"/>
      <c r="X409" s="334" t="n"/>
      <c r="Y409" s="334" t="n"/>
      <c r="Z409" s="375">
        <f>IF(AND(G409&lt;&gt;"",R409&lt;&gt;"",V409&lt;&gt;"",W409&lt;&gt;""),"COMPLETADO","OBSERVADO")</f>
        <v/>
      </c>
    </row>
    <row r="410" ht="15" customHeight="1" s="195">
      <c r="A410" s="280" t="n"/>
      <c r="B410" s="280" t="n"/>
      <c r="C410" s="280" t="n"/>
      <c r="D410" s="280" t="n"/>
      <c r="E410" s="280" t="n"/>
      <c r="F410" s="280" t="n"/>
      <c r="G410" s="280" t="n"/>
      <c r="H410" s="280" t="n"/>
      <c r="I410" s="332">
        <f>IFERROR(VLOOKUP(TEXT(H410,"0"),IPRESS!$A$3:$B$212,2,0),"")</f>
        <v/>
      </c>
      <c r="J410" s="280" t="n"/>
      <c r="K410" s="332">
        <f>IFERROR(VLOOKUP(TEXT(O410,"0"),CONDUCTORES!$A$3:$G$54,7,0),"")</f>
        <v/>
      </c>
      <c r="L410" s="280" t="n"/>
      <c r="M410" s="280" t="n"/>
      <c r="N410" s="333">
        <f>IFERROR(IF(L410*M410=0,"",L410*M410),"")</f>
        <v/>
      </c>
      <c r="O410" s="280" t="n"/>
      <c r="P410" s="332">
        <f>IFERROR(VLOOKUP(TEXT(O410,"0"),CONDUCTORES!$A$3:$G$54,2,0),"")</f>
        <v/>
      </c>
      <c r="Q410" s="332">
        <f>IFERROR(VLOOKUP(TEXT(O410,"0"),CONDUCTORES!$A$3:$H$54,6,0),"")</f>
        <v/>
      </c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375">
        <f>IF(AND(G410&lt;&gt;"",R410&lt;&gt;"",V410&lt;&gt;"",W410&lt;&gt;""),"COMPLETADO","OBSERVADO")</f>
        <v/>
      </c>
    </row>
    <row r="411" ht="15" customHeight="1" s="195">
      <c r="A411" s="334" t="n"/>
      <c r="B411" s="334" t="n"/>
      <c r="C411" s="334" t="n"/>
      <c r="D411" s="334" t="n"/>
      <c r="E411" s="334" t="n"/>
      <c r="F411" s="334" t="n"/>
      <c r="G411" s="334" t="n"/>
      <c r="H411" s="334" t="n"/>
      <c r="I411" s="332">
        <f>IFERROR(VLOOKUP(TEXT(H411,"0"),IPRESS!$A$3:$B$212,2,0),"")</f>
        <v/>
      </c>
      <c r="J411" s="334" t="n"/>
      <c r="K411" s="332">
        <f>IFERROR(VLOOKUP(TEXT(O411,"0"),CONDUCTORES!$A$3:$G$54,7,0),"")</f>
        <v/>
      </c>
      <c r="L411" s="334" t="n"/>
      <c r="M411" s="334" t="n"/>
      <c r="N411" s="333">
        <f>IFERROR(IF(L411*M411=0,"",L411*M411),"")</f>
        <v/>
      </c>
      <c r="O411" s="334" t="n"/>
      <c r="P411" s="332">
        <f>IFERROR(VLOOKUP(TEXT(O411,"0"),CONDUCTORES!$A$3:$G$54,2,0),"")</f>
        <v/>
      </c>
      <c r="Q411" s="332">
        <f>IFERROR(VLOOKUP(TEXT(O411,"0"),CONDUCTORES!$A$3:$H$54,6,0),"")</f>
        <v/>
      </c>
      <c r="R411" s="334" t="n"/>
      <c r="S411" s="334" t="n"/>
      <c r="T411" s="334" t="n"/>
      <c r="U411" s="334" t="n"/>
      <c r="V411" s="334" t="n"/>
      <c r="W411" s="334" t="n"/>
      <c r="X411" s="334" t="n"/>
      <c r="Y411" s="334" t="n"/>
      <c r="Z411" s="375">
        <f>IF(AND(G411&lt;&gt;"",R411&lt;&gt;"",V411&lt;&gt;"",W411&lt;&gt;""),"COMPLETADO","OBSERVADO")</f>
        <v/>
      </c>
    </row>
    <row r="412" ht="15" customHeight="1" s="195">
      <c r="A412" s="280" t="n"/>
      <c r="B412" s="280" t="n"/>
      <c r="C412" s="280" t="n"/>
      <c r="D412" s="280" t="n"/>
      <c r="E412" s="280" t="n"/>
      <c r="F412" s="280" t="n"/>
      <c r="G412" s="280" t="n"/>
      <c r="H412" s="280" t="n"/>
      <c r="I412" s="332">
        <f>IFERROR(VLOOKUP(TEXT(H412,"0"),IPRESS!$A$3:$B$212,2,0),"")</f>
        <v/>
      </c>
      <c r="J412" s="280" t="n"/>
      <c r="K412" s="332">
        <f>IFERROR(VLOOKUP(TEXT(O412,"0"),CONDUCTORES!$A$3:$G$54,7,0),"")</f>
        <v/>
      </c>
      <c r="L412" s="280" t="n"/>
      <c r="M412" s="280" t="n"/>
      <c r="N412" s="333">
        <f>IFERROR(IF(L412*M412=0,"",L412*M412),"")</f>
        <v/>
      </c>
      <c r="O412" s="280" t="n"/>
      <c r="P412" s="332">
        <f>IFERROR(VLOOKUP(TEXT(O412,"0"),CONDUCTORES!$A$3:$G$54,2,0),"")</f>
        <v/>
      </c>
      <c r="Q412" s="332">
        <f>IFERROR(VLOOKUP(TEXT(O412,"0"),CONDUCTORES!$A$3:$H$54,6,0),"")</f>
        <v/>
      </c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375">
        <f>IF(AND(G412&lt;&gt;"",R412&lt;&gt;"",V412&lt;&gt;"",W412&lt;&gt;""),"COMPLETADO","OBSERVADO")</f>
        <v/>
      </c>
    </row>
    <row r="413" ht="15" customHeight="1" s="195">
      <c r="A413" s="334" t="n"/>
      <c r="B413" s="334" t="n"/>
      <c r="C413" s="334" t="n"/>
      <c r="D413" s="334" t="n"/>
      <c r="E413" s="334" t="n"/>
      <c r="F413" s="334" t="n"/>
      <c r="G413" s="334" t="n"/>
      <c r="H413" s="334" t="n"/>
      <c r="I413" s="332">
        <f>IFERROR(VLOOKUP(TEXT(H413,"0"),IPRESS!$A$3:$B$212,2,0),"")</f>
        <v/>
      </c>
      <c r="J413" s="334" t="n"/>
      <c r="K413" s="332">
        <f>IFERROR(VLOOKUP(TEXT(O413,"0"),CONDUCTORES!$A$3:$G$54,7,0),"")</f>
        <v/>
      </c>
      <c r="L413" s="334" t="n"/>
      <c r="M413" s="334" t="n"/>
      <c r="N413" s="333">
        <f>IFERROR(IF(L413*M413=0,"",L413*M413),"")</f>
        <v/>
      </c>
      <c r="O413" s="334" t="n"/>
      <c r="P413" s="332">
        <f>IFERROR(VLOOKUP(TEXT(O413,"0"),CONDUCTORES!$A$3:$G$54,2,0),"")</f>
        <v/>
      </c>
      <c r="Q413" s="332">
        <f>IFERROR(VLOOKUP(TEXT(O413,"0"),CONDUCTORES!$A$3:$H$54,6,0),"")</f>
        <v/>
      </c>
      <c r="R413" s="334" t="n"/>
      <c r="S413" s="334" t="n"/>
      <c r="T413" s="334" t="n"/>
      <c r="U413" s="334" t="n"/>
      <c r="V413" s="334" t="n"/>
      <c r="W413" s="334" t="n"/>
      <c r="X413" s="334" t="n"/>
      <c r="Y413" s="334" t="n"/>
      <c r="Z413" s="375">
        <f>IF(AND(G413&lt;&gt;"",R413&lt;&gt;"",V413&lt;&gt;"",W413&lt;&gt;""),"COMPLETADO","OBSERVADO")</f>
        <v/>
      </c>
    </row>
    <row r="414" ht="15" customHeight="1" s="195">
      <c r="A414" s="280" t="n"/>
      <c r="B414" s="280" t="n"/>
      <c r="C414" s="280" t="n"/>
      <c r="D414" s="280" t="n"/>
      <c r="E414" s="280" t="n"/>
      <c r="F414" s="280" t="n"/>
      <c r="G414" s="280" t="n"/>
      <c r="H414" s="280" t="n"/>
      <c r="I414" s="332">
        <f>IFERROR(VLOOKUP(TEXT(H414,"0"),IPRESS!$A$3:$B$212,2,0),"")</f>
        <v/>
      </c>
      <c r="J414" s="280" t="n"/>
      <c r="K414" s="332">
        <f>IFERROR(VLOOKUP(TEXT(O414,"0"),CONDUCTORES!$A$3:$G$54,7,0),"")</f>
        <v/>
      </c>
      <c r="L414" s="280" t="n"/>
      <c r="M414" s="280" t="n"/>
      <c r="N414" s="333">
        <f>IFERROR(IF(L414*M414=0,"",L414*M414),"")</f>
        <v/>
      </c>
      <c r="O414" s="280" t="n"/>
      <c r="P414" s="332">
        <f>IFERROR(VLOOKUP(TEXT(O414,"0"),CONDUCTORES!$A$3:$G$54,2,0),"")</f>
        <v/>
      </c>
      <c r="Q414" s="332">
        <f>IFERROR(VLOOKUP(TEXT(O414,"0"),CONDUCTORES!$A$3:$H$54,6,0),"")</f>
        <v/>
      </c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375">
        <f>IF(AND(G414&lt;&gt;"",R414&lt;&gt;"",V414&lt;&gt;"",W414&lt;&gt;""),"COMPLETADO","OBSERVADO")</f>
        <v/>
      </c>
    </row>
    <row r="415" ht="15" customHeight="1" s="195">
      <c r="A415" s="334" t="n"/>
      <c r="B415" s="334" t="n"/>
      <c r="C415" s="334" t="n"/>
      <c r="D415" s="334" t="n"/>
      <c r="E415" s="334" t="n"/>
      <c r="F415" s="334" t="n"/>
      <c r="G415" s="334" t="n"/>
      <c r="H415" s="334" t="n"/>
      <c r="I415" s="332">
        <f>IFERROR(VLOOKUP(TEXT(H415,"0"),IPRESS!$A$3:$B$212,2,0),"")</f>
        <v/>
      </c>
      <c r="J415" s="334" t="n"/>
      <c r="K415" s="332">
        <f>IFERROR(VLOOKUP(TEXT(O415,"0"),CONDUCTORES!$A$3:$G$54,7,0),"")</f>
        <v/>
      </c>
      <c r="L415" s="334" t="n"/>
      <c r="M415" s="334" t="n"/>
      <c r="N415" s="333">
        <f>IFERROR(IF(L415*M415=0,"",L415*M415),"")</f>
        <v/>
      </c>
      <c r="O415" s="334" t="n"/>
      <c r="P415" s="332">
        <f>IFERROR(VLOOKUP(TEXT(O415,"0"),CONDUCTORES!$A$3:$G$54,2,0),"")</f>
        <v/>
      </c>
      <c r="Q415" s="332">
        <f>IFERROR(VLOOKUP(TEXT(O415,"0"),CONDUCTORES!$A$3:$H$54,6,0),"")</f>
        <v/>
      </c>
      <c r="R415" s="334" t="n"/>
      <c r="S415" s="334" t="n"/>
      <c r="T415" s="334" t="n"/>
      <c r="U415" s="334" t="n"/>
      <c r="V415" s="334" t="n"/>
      <c r="W415" s="334" t="n"/>
      <c r="X415" s="334" t="n"/>
      <c r="Y415" s="334" t="n"/>
      <c r="Z415" s="375">
        <f>IF(AND(G415&lt;&gt;"",R415&lt;&gt;"",V415&lt;&gt;"",W415&lt;&gt;""),"COMPLETADO","OBSERVADO")</f>
        <v/>
      </c>
    </row>
    <row r="416" ht="15" customHeight="1" s="195">
      <c r="A416" s="280" t="n"/>
      <c r="B416" s="280" t="n"/>
      <c r="C416" s="280" t="n"/>
      <c r="D416" s="280" t="n"/>
      <c r="E416" s="280" t="n"/>
      <c r="F416" s="280" t="n"/>
      <c r="G416" s="280" t="n"/>
      <c r="H416" s="280" t="n"/>
      <c r="I416" s="332">
        <f>IFERROR(VLOOKUP(TEXT(H416,"0"),IPRESS!$A$3:$B$212,2,0),"")</f>
        <v/>
      </c>
      <c r="J416" s="280" t="n"/>
      <c r="K416" s="332">
        <f>IFERROR(VLOOKUP(TEXT(O416,"0"),CONDUCTORES!$A$3:$G$54,7,0),"")</f>
        <v/>
      </c>
      <c r="L416" s="280" t="n"/>
      <c r="M416" s="280" t="n"/>
      <c r="N416" s="333">
        <f>IFERROR(IF(L416*M416=0,"",L416*M416),"")</f>
        <v/>
      </c>
      <c r="O416" s="280" t="n"/>
      <c r="P416" s="332">
        <f>IFERROR(VLOOKUP(TEXT(O416,"0"),CONDUCTORES!$A$3:$G$54,2,0),"")</f>
        <v/>
      </c>
      <c r="Q416" s="332">
        <f>IFERROR(VLOOKUP(TEXT(O416,"0"),CONDUCTORES!$A$3:$H$54,6,0),"")</f>
        <v/>
      </c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375">
        <f>IF(AND(G416&lt;&gt;"",R416&lt;&gt;"",V416&lt;&gt;"",W416&lt;&gt;""),"COMPLETADO","OBSERVADO")</f>
        <v/>
      </c>
    </row>
    <row r="417" ht="15" customHeight="1" s="195">
      <c r="A417" s="334" t="n"/>
      <c r="B417" s="334" t="n"/>
      <c r="C417" s="334" t="n"/>
      <c r="D417" s="334" t="n"/>
      <c r="E417" s="334" t="n"/>
      <c r="F417" s="334" t="n"/>
      <c r="G417" s="334" t="n"/>
      <c r="H417" s="334" t="n"/>
      <c r="I417" s="332">
        <f>IFERROR(VLOOKUP(TEXT(H417,"0"),IPRESS!$A$3:$B$212,2,0),"")</f>
        <v/>
      </c>
      <c r="J417" s="334" t="n"/>
      <c r="K417" s="332">
        <f>IFERROR(VLOOKUP(TEXT(O417,"0"),CONDUCTORES!$A$3:$G$54,7,0),"")</f>
        <v/>
      </c>
      <c r="L417" s="334" t="n"/>
      <c r="M417" s="334" t="n"/>
      <c r="N417" s="333">
        <f>IFERROR(IF(L417*M417=0,"",L417*M417),"")</f>
        <v/>
      </c>
      <c r="O417" s="334" t="n"/>
      <c r="P417" s="332">
        <f>IFERROR(VLOOKUP(TEXT(O417,"0"),CONDUCTORES!$A$3:$G$54,2,0),"")</f>
        <v/>
      </c>
      <c r="Q417" s="332">
        <f>IFERROR(VLOOKUP(TEXT(O417,"0"),CONDUCTORES!$A$3:$H$54,6,0),"")</f>
        <v/>
      </c>
      <c r="R417" s="334" t="n"/>
      <c r="S417" s="334" t="n"/>
      <c r="T417" s="334" t="n"/>
      <c r="U417" s="334" t="n"/>
      <c r="V417" s="334" t="n"/>
      <c r="W417" s="334" t="n"/>
      <c r="X417" s="334" t="n"/>
      <c r="Y417" s="334" t="n"/>
      <c r="Z417" s="375">
        <f>IF(AND(G417&lt;&gt;"",R417&lt;&gt;"",V417&lt;&gt;"",W417&lt;&gt;""),"COMPLETADO","OBSERVADO")</f>
        <v/>
      </c>
    </row>
    <row r="418" ht="15" customHeight="1" s="195">
      <c r="A418" s="280" t="n"/>
      <c r="B418" s="280" t="n"/>
      <c r="C418" s="280" t="n"/>
      <c r="D418" s="280" t="n"/>
      <c r="E418" s="280" t="n"/>
      <c r="F418" s="280" t="n"/>
      <c r="G418" s="280" t="n"/>
      <c r="H418" s="280" t="n"/>
      <c r="I418" s="332">
        <f>IFERROR(VLOOKUP(TEXT(H418,"0"),IPRESS!$A$3:$B$212,2,0),"")</f>
        <v/>
      </c>
      <c r="J418" s="280" t="n"/>
      <c r="K418" s="332">
        <f>IFERROR(VLOOKUP(TEXT(O418,"0"),CONDUCTORES!$A$3:$G$54,7,0),"")</f>
        <v/>
      </c>
      <c r="L418" s="280" t="n"/>
      <c r="M418" s="280" t="n"/>
      <c r="N418" s="333">
        <f>IFERROR(IF(L418*M418=0,"",L418*M418),"")</f>
        <v/>
      </c>
      <c r="O418" s="280" t="n"/>
      <c r="P418" s="332">
        <f>IFERROR(VLOOKUP(TEXT(O418,"0"),CONDUCTORES!$A$3:$G$54,2,0),"")</f>
        <v/>
      </c>
      <c r="Q418" s="332">
        <f>IFERROR(VLOOKUP(TEXT(O418,"0"),CONDUCTORES!$A$3:$H$54,6,0),"")</f>
        <v/>
      </c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375">
        <f>IF(AND(G418&lt;&gt;"",R418&lt;&gt;"",V418&lt;&gt;"",W418&lt;&gt;""),"COMPLETADO","OBSERVADO")</f>
        <v/>
      </c>
    </row>
    <row r="419" ht="15" customHeight="1" s="195">
      <c r="A419" s="334" t="n"/>
      <c r="B419" s="334" t="n"/>
      <c r="C419" s="334" t="n"/>
      <c r="D419" s="334" t="n"/>
      <c r="E419" s="334" t="n"/>
      <c r="F419" s="334" t="n"/>
      <c r="G419" s="334" t="n"/>
      <c r="H419" s="334" t="n"/>
      <c r="I419" s="332">
        <f>IFERROR(VLOOKUP(TEXT(H419,"0"),IPRESS!$A$3:$B$212,2,0),"")</f>
        <v/>
      </c>
      <c r="J419" s="334" t="n"/>
      <c r="K419" s="332">
        <f>IFERROR(VLOOKUP(TEXT(O419,"0"),CONDUCTORES!$A$3:$G$54,7,0),"")</f>
        <v/>
      </c>
      <c r="L419" s="334" t="n"/>
      <c r="M419" s="334" t="n"/>
      <c r="N419" s="333">
        <f>IFERROR(IF(L419*M419=0,"",L419*M419),"")</f>
        <v/>
      </c>
      <c r="O419" s="334" t="n"/>
      <c r="P419" s="332">
        <f>IFERROR(VLOOKUP(TEXT(O419,"0"),CONDUCTORES!$A$3:$G$54,2,0),"")</f>
        <v/>
      </c>
      <c r="Q419" s="332">
        <f>IFERROR(VLOOKUP(TEXT(O419,"0"),CONDUCTORES!$A$3:$H$54,6,0),"")</f>
        <v/>
      </c>
      <c r="R419" s="334" t="n"/>
      <c r="S419" s="334" t="n"/>
      <c r="T419" s="334" t="n"/>
      <c r="U419" s="334" t="n"/>
      <c r="V419" s="334" t="n"/>
      <c r="W419" s="334" t="n"/>
      <c r="X419" s="334" t="n"/>
      <c r="Y419" s="334" t="n"/>
      <c r="Z419" s="375">
        <f>IF(AND(G419&lt;&gt;"",R419&lt;&gt;"",V419&lt;&gt;"",W419&lt;&gt;""),"COMPLETADO","OBSERVADO")</f>
        <v/>
      </c>
    </row>
    <row r="420" ht="15" customHeight="1" s="195">
      <c r="A420" s="280" t="n"/>
      <c r="B420" s="280" t="n"/>
      <c r="C420" s="280" t="n"/>
      <c r="D420" s="280" t="n"/>
      <c r="E420" s="280" t="n"/>
      <c r="F420" s="280" t="n"/>
      <c r="G420" s="280" t="n"/>
      <c r="H420" s="280" t="n"/>
      <c r="I420" s="332">
        <f>IFERROR(VLOOKUP(TEXT(H420,"0"),IPRESS!$A$3:$B$212,2,0),"")</f>
        <v/>
      </c>
      <c r="J420" s="280" t="n"/>
      <c r="K420" s="332">
        <f>IFERROR(VLOOKUP(TEXT(O420,"0"),CONDUCTORES!$A$3:$G$54,7,0),"")</f>
        <v/>
      </c>
      <c r="L420" s="280" t="n"/>
      <c r="M420" s="280" t="n"/>
      <c r="N420" s="333">
        <f>IFERROR(IF(L420*M420=0,"",L420*M420),"")</f>
        <v/>
      </c>
      <c r="O420" s="280" t="n"/>
      <c r="P420" s="332">
        <f>IFERROR(VLOOKUP(TEXT(O420,"0"),CONDUCTORES!$A$3:$G$54,2,0),"")</f>
        <v/>
      </c>
      <c r="Q420" s="332">
        <f>IFERROR(VLOOKUP(TEXT(O420,"0"),CONDUCTORES!$A$3:$H$54,6,0),"")</f>
        <v/>
      </c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375">
        <f>IF(AND(G420&lt;&gt;"",R420&lt;&gt;"",V420&lt;&gt;"",W420&lt;&gt;""),"COMPLETADO","OBSERVADO")</f>
        <v/>
      </c>
    </row>
    <row r="421" ht="15" customHeight="1" s="195">
      <c r="A421" s="334" t="n"/>
      <c r="B421" s="334" t="n"/>
      <c r="C421" s="334" t="n"/>
      <c r="D421" s="334" t="n"/>
      <c r="E421" s="334" t="n"/>
      <c r="F421" s="334" t="n"/>
      <c r="G421" s="334" t="n"/>
      <c r="H421" s="334" t="n"/>
      <c r="I421" s="332">
        <f>IFERROR(VLOOKUP(TEXT(H421,"0"),IPRESS!$A$3:$B$212,2,0),"")</f>
        <v/>
      </c>
      <c r="J421" s="334" t="n"/>
      <c r="K421" s="332">
        <f>IFERROR(VLOOKUP(TEXT(O421,"0"),CONDUCTORES!$A$3:$G$54,7,0),"")</f>
        <v/>
      </c>
      <c r="L421" s="334" t="n"/>
      <c r="M421" s="334" t="n"/>
      <c r="N421" s="333">
        <f>IFERROR(IF(L421*M421=0,"",L421*M421),"")</f>
        <v/>
      </c>
      <c r="O421" s="334" t="n"/>
      <c r="P421" s="332">
        <f>IFERROR(VLOOKUP(TEXT(O421,"0"),CONDUCTORES!$A$3:$G$54,2,0),"")</f>
        <v/>
      </c>
      <c r="Q421" s="332">
        <f>IFERROR(VLOOKUP(TEXT(O421,"0"),CONDUCTORES!$A$3:$H$54,6,0),"")</f>
        <v/>
      </c>
      <c r="R421" s="334" t="n"/>
      <c r="S421" s="334" t="n"/>
      <c r="T421" s="334" t="n"/>
      <c r="U421" s="334" t="n"/>
      <c r="V421" s="334" t="n"/>
      <c r="W421" s="334" t="n"/>
      <c r="X421" s="334" t="n"/>
      <c r="Y421" s="334" t="n"/>
      <c r="Z421" s="375">
        <f>IF(AND(G421&lt;&gt;"",R421&lt;&gt;"",V421&lt;&gt;"",W421&lt;&gt;""),"COMPLETADO","OBSERVADO")</f>
        <v/>
      </c>
    </row>
    <row r="422" ht="15" customHeight="1" s="195">
      <c r="A422" s="280" t="n"/>
      <c r="B422" s="280" t="n"/>
      <c r="C422" s="280" t="n"/>
      <c r="D422" s="280" t="n"/>
      <c r="E422" s="280" t="n"/>
      <c r="F422" s="280" t="n"/>
      <c r="G422" s="280" t="n"/>
      <c r="H422" s="280" t="n"/>
      <c r="I422" s="332">
        <f>IFERROR(VLOOKUP(TEXT(H422,"0"),IPRESS!$A$3:$B$212,2,0),"")</f>
        <v/>
      </c>
      <c r="J422" s="280" t="n"/>
      <c r="K422" s="332">
        <f>IFERROR(VLOOKUP(TEXT(O422,"0"),CONDUCTORES!$A$3:$G$54,7,0),"")</f>
        <v/>
      </c>
      <c r="L422" s="280" t="n"/>
      <c r="M422" s="280" t="n"/>
      <c r="N422" s="333">
        <f>IFERROR(IF(L422*M422=0,"",L422*M422),"")</f>
        <v/>
      </c>
      <c r="O422" s="280" t="n"/>
      <c r="P422" s="332">
        <f>IFERROR(VLOOKUP(TEXT(O422,"0"),CONDUCTORES!$A$3:$G$54,2,0),"")</f>
        <v/>
      </c>
      <c r="Q422" s="332">
        <f>IFERROR(VLOOKUP(TEXT(O422,"0"),CONDUCTORES!$A$3:$H$54,6,0),"")</f>
        <v/>
      </c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375">
        <f>IF(AND(G422&lt;&gt;"",R422&lt;&gt;"",V422&lt;&gt;"",W422&lt;&gt;""),"COMPLETADO","OBSERVADO")</f>
        <v/>
      </c>
    </row>
    <row r="423" ht="15" customHeight="1" s="195">
      <c r="A423" s="334" t="n"/>
      <c r="B423" s="334" t="n"/>
      <c r="C423" s="334" t="n"/>
      <c r="D423" s="334" t="n"/>
      <c r="E423" s="334" t="n"/>
      <c r="F423" s="334" t="n"/>
      <c r="G423" s="334" t="n"/>
      <c r="H423" s="334" t="n"/>
      <c r="I423" s="332">
        <f>IFERROR(VLOOKUP(TEXT(H423,"0"),IPRESS!$A$3:$B$212,2,0),"")</f>
        <v/>
      </c>
      <c r="J423" s="334" t="n"/>
      <c r="K423" s="332">
        <f>IFERROR(VLOOKUP(TEXT(O423,"0"),CONDUCTORES!$A$3:$G$54,7,0),"")</f>
        <v/>
      </c>
      <c r="L423" s="334" t="n"/>
      <c r="M423" s="334" t="n"/>
      <c r="N423" s="333">
        <f>IFERROR(IF(L423*M423=0,"",L423*M423),"")</f>
        <v/>
      </c>
      <c r="O423" s="334" t="n"/>
      <c r="P423" s="332">
        <f>IFERROR(VLOOKUP(TEXT(O423,"0"),CONDUCTORES!$A$3:$G$54,2,0),"")</f>
        <v/>
      </c>
      <c r="Q423" s="332">
        <f>IFERROR(VLOOKUP(TEXT(O423,"0"),CONDUCTORES!$A$3:$H$54,6,0),"")</f>
        <v/>
      </c>
      <c r="R423" s="334" t="n"/>
      <c r="S423" s="334" t="n"/>
      <c r="T423" s="334" t="n"/>
      <c r="U423" s="334" t="n"/>
      <c r="V423" s="334" t="n"/>
      <c r="W423" s="334" t="n"/>
      <c r="X423" s="334" t="n"/>
      <c r="Y423" s="334" t="n"/>
      <c r="Z423" s="375">
        <f>IF(AND(G423&lt;&gt;"",R423&lt;&gt;"",V423&lt;&gt;"",W423&lt;&gt;""),"COMPLETADO","OBSERVADO")</f>
        <v/>
      </c>
    </row>
    <row r="424" ht="15" customHeight="1" s="195">
      <c r="A424" s="280" t="n"/>
      <c r="B424" s="280" t="n"/>
      <c r="C424" s="280" t="n"/>
      <c r="D424" s="280" t="n"/>
      <c r="E424" s="280" t="n"/>
      <c r="F424" s="280" t="n"/>
      <c r="G424" s="280" t="n"/>
      <c r="H424" s="280" t="n"/>
      <c r="I424" s="332">
        <f>IFERROR(VLOOKUP(TEXT(H424,"0"),IPRESS!$A$3:$B$212,2,0),"")</f>
        <v/>
      </c>
      <c r="J424" s="280" t="n"/>
      <c r="K424" s="332">
        <f>IFERROR(VLOOKUP(TEXT(O424,"0"),CONDUCTORES!$A$3:$G$54,7,0),"")</f>
        <v/>
      </c>
      <c r="L424" s="280" t="n"/>
      <c r="M424" s="280" t="n"/>
      <c r="N424" s="333">
        <f>IFERROR(IF(L424*M424=0,"",L424*M424),"")</f>
        <v/>
      </c>
      <c r="O424" s="280" t="n"/>
      <c r="P424" s="332">
        <f>IFERROR(VLOOKUP(TEXT(O424,"0"),CONDUCTORES!$A$3:$G$54,2,0),"")</f>
        <v/>
      </c>
      <c r="Q424" s="332">
        <f>IFERROR(VLOOKUP(TEXT(O424,"0"),CONDUCTORES!$A$3:$H$54,6,0),"")</f>
        <v/>
      </c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375">
        <f>IF(AND(G424&lt;&gt;"",R424&lt;&gt;"",V424&lt;&gt;"",W424&lt;&gt;""),"COMPLETADO","OBSERVADO")</f>
        <v/>
      </c>
    </row>
    <row r="425" ht="15" customHeight="1" s="195">
      <c r="A425" s="334" t="n"/>
      <c r="B425" s="334" t="n"/>
      <c r="C425" s="334" t="n"/>
      <c r="D425" s="334" t="n"/>
      <c r="E425" s="334" t="n"/>
      <c r="F425" s="334" t="n"/>
      <c r="G425" s="334" t="n"/>
      <c r="H425" s="334" t="n"/>
      <c r="I425" s="332">
        <f>IFERROR(VLOOKUP(TEXT(H425,"0"),IPRESS!$A$3:$B$212,2,0),"")</f>
        <v/>
      </c>
      <c r="J425" s="334" t="n"/>
      <c r="K425" s="332">
        <f>IFERROR(VLOOKUP(TEXT(O425,"0"),CONDUCTORES!$A$3:$G$54,7,0),"")</f>
        <v/>
      </c>
      <c r="L425" s="334" t="n"/>
      <c r="M425" s="334" t="n"/>
      <c r="N425" s="333">
        <f>IFERROR(IF(L425*M425=0,"",L425*M425),"")</f>
        <v/>
      </c>
      <c r="O425" s="334" t="n"/>
      <c r="P425" s="332">
        <f>IFERROR(VLOOKUP(TEXT(O425,"0"),CONDUCTORES!$A$3:$G$54,2,0),"")</f>
        <v/>
      </c>
      <c r="Q425" s="332">
        <f>IFERROR(VLOOKUP(TEXT(O425,"0"),CONDUCTORES!$A$3:$H$54,6,0),"")</f>
        <v/>
      </c>
      <c r="R425" s="334" t="n"/>
      <c r="S425" s="334" t="n"/>
      <c r="T425" s="334" t="n"/>
      <c r="U425" s="334" t="n"/>
      <c r="V425" s="334" t="n"/>
      <c r="W425" s="334" t="n"/>
      <c r="X425" s="334" t="n"/>
      <c r="Y425" s="334" t="n"/>
      <c r="Z425" s="375">
        <f>IF(AND(G425&lt;&gt;"",R425&lt;&gt;"",V425&lt;&gt;"",W425&lt;&gt;""),"COMPLETADO","OBSERVADO")</f>
        <v/>
      </c>
    </row>
    <row r="426" ht="15" customHeight="1" s="195">
      <c r="A426" s="280" t="n"/>
      <c r="B426" s="280" t="n"/>
      <c r="C426" s="280" t="n"/>
      <c r="D426" s="280" t="n"/>
      <c r="E426" s="280" t="n"/>
      <c r="F426" s="280" t="n"/>
      <c r="G426" s="280" t="n"/>
      <c r="H426" s="280" t="n"/>
      <c r="I426" s="332">
        <f>IFERROR(VLOOKUP(TEXT(H426,"0"),IPRESS!$A$3:$B$212,2,0),"")</f>
        <v/>
      </c>
      <c r="J426" s="280" t="n"/>
      <c r="K426" s="332">
        <f>IFERROR(VLOOKUP(TEXT(O426,"0"),CONDUCTORES!$A$3:$G$54,7,0),"")</f>
        <v/>
      </c>
      <c r="L426" s="280" t="n"/>
      <c r="M426" s="280" t="n"/>
      <c r="N426" s="333">
        <f>IFERROR(IF(L426*M426=0,"",L426*M426),"")</f>
        <v/>
      </c>
      <c r="O426" s="280" t="n"/>
      <c r="P426" s="332">
        <f>IFERROR(VLOOKUP(TEXT(O426,"0"),CONDUCTORES!$A$3:$G$54,2,0),"")</f>
        <v/>
      </c>
      <c r="Q426" s="332">
        <f>IFERROR(VLOOKUP(TEXT(O426,"0"),CONDUCTORES!$A$3:$H$54,6,0),"")</f>
        <v/>
      </c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375">
        <f>IF(AND(G426&lt;&gt;"",R426&lt;&gt;"",V426&lt;&gt;"",W426&lt;&gt;""),"COMPLETADO","OBSERVADO")</f>
        <v/>
      </c>
    </row>
    <row r="427" ht="15" customHeight="1" s="195">
      <c r="A427" s="334" t="n"/>
      <c r="B427" s="334" t="n"/>
      <c r="C427" s="334" t="n"/>
      <c r="D427" s="334" t="n"/>
      <c r="E427" s="334" t="n"/>
      <c r="F427" s="334" t="n"/>
      <c r="G427" s="334" t="n"/>
      <c r="H427" s="334" t="n"/>
      <c r="I427" s="332">
        <f>IFERROR(VLOOKUP(TEXT(H427,"0"),IPRESS!$A$3:$B$212,2,0),"")</f>
        <v/>
      </c>
      <c r="J427" s="334" t="n"/>
      <c r="K427" s="332">
        <f>IFERROR(VLOOKUP(TEXT(O427,"0"),CONDUCTORES!$A$3:$G$54,7,0),"")</f>
        <v/>
      </c>
      <c r="L427" s="334" t="n"/>
      <c r="M427" s="334" t="n"/>
      <c r="N427" s="333">
        <f>IFERROR(IF(L427*M427=0,"",L427*M427),"")</f>
        <v/>
      </c>
      <c r="O427" s="334" t="n"/>
      <c r="P427" s="332">
        <f>IFERROR(VLOOKUP(TEXT(O427,"0"),CONDUCTORES!$A$3:$G$54,2,0),"")</f>
        <v/>
      </c>
      <c r="Q427" s="332">
        <f>IFERROR(VLOOKUP(TEXT(O427,"0"),CONDUCTORES!$A$3:$H$54,6,0),"")</f>
        <v/>
      </c>
      <c r="R427" s="334" t="n"/>
      <c r="S427" s="334" t="n"/>
      <c r="T427" s="334" t="n"/>
      <c r="U427" s="334" t="n"/>
      <c r="V427" s="334" t="n"/>
      <c r="W427" s="334" t="n"/>
      <c r="X427" s="334" t="n"/>
      <c r="Y427" s="334" t="n"/>
      <c r="Z427" s="375">
        <f>IF(AND(G427&lt;&gt;"",R427&lt;&gt;"",V427&lt;&gt;"",W427&lt;&gt;""),"COMPLETADO","OBSERVADO")</f>
        <v/>
      </c>
    </row>
    <row r="428" ht="15" customHeight="1" s="195">
      <c r="A428" s="280" t="n"/>
      <c r="B428" s="280" t="n"/>
      <c r="C428" s="280" t="n"/>
      <c r="D428" s="280" t="n"/>
      <c r="E428" s="280" t="n"/>
      <c r="F428" s="280" t="n"/>
      <c r="G428" s="280" t="n"/>
      <c r="H428" s="280" t="n"/>
      <c r="I428" s="332">
        <f>IFERROR(VLOOKUP(TEXT(H428,"0"),IPRESS!$A$3:$B$212,2,0),"")</f>
        <v/>
      </c>
      <c r="J428" s="280" t="n"/>
      <c r="K428" s="332">
        <f>IFERROR(VLOOKUP(TEXT(O428,"0"),CONDUCTORES!$A$3:$G$54,7,0),"")</f>
        <v/>
      </c>
      <c r="L428" s="280" t="n"/>
      <c r="M428" s="280" t="n"/>
      <c r="N428" s="333">
        <f>IFERROR(IF(L428*M428=0,"",L428*M428),"")</f>
        <v/>
      </c>
      <c r="O428" s="280" t="n"/>
      <c r="P428" s="332">
        <f>IFERROR(VLOOKUP(TEXT(O428,"0"),CONDUCTORES!$A$3:$G$54,2,0),"")</f>
        <v/>
      </c>
      <c r="Q428" s="332">
        <f>IFERROR(VLOOKUP(TEXT(O428,"0"),CONDUCTORES!$A$3:$H$54,6,0),"")</f>
        <v/>
      </c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375">
        <f>IF(AND(G428&lt;&gt;"",R428&lt;&gt;"",V428&lt;&gt;"",W428&lt;&gt;""),"COMPLETADO","OBSERVADO")</f>
        <v/>
      </c>
    </row>
    <row r="429" ht="15" customHeight="1" s="195">
      <c r="A429" s="334" t="n"/>
      <c r="B429" s="334" t="n"/>
      <c r="C429" s="334" t="n"/>
      <c r="D429" s="334" t="n"/>
      <c r="E429" s="334" t="n"/>
      <c r="F429" s="334" t="n"/>
      <c r="G429" s="334" t="n"/>
      <c r="H429" s="334" t="n"/>
      <c r="I429" s="332">
        <f>IFERROR(VLOOKUP(TEXT(H429,"0"),IPRESS!$A$3:$B$212,2,0),"")</f>
        <v/>
      </c>
      <c r="J429" s="334" t="n"/>
      <c r="K429" s="332">
        <f>IFERROR(VLOOKUP(TEXT(O429,"0"),CONDUCTORES!$A$3:$G$54,7,0),"")</f>
        <v/>
      </c>
      <c r="L429" s="334" t="n"/>
      <c r="M429" s="334" t="n"/>
      <c r="N429" s="333">
        <f>IFERROR(IF(L429*M429=0,"",L429*M429),"")</f>
        <v/>
      </c>
      <c r="O429" s="334" t="n"/>
      <c r="P429" s="332">
        <f>IFERROR(VLOOKUP(TEXT(O429,"0"),CONDUCTORES!$A$3:$G$54,2,0),"")</f>
        <v/>
      </c>
      <c r="Q429" s="332">
        <f>IFERROR(VLOOKUP(TEXT(O429,"0"),CONDUCTORES!$A$3:$H$54,6,0),"")</f>
        <v/>
      </c>
      <c r="R429" s="334" t="n"/>
      <c r="S429" s="334" t="n"/>
      <c r="T429" s="334" t="n"/>
      <c r="U429" s="334" t="n"/>
      <c r="V429" s="334" t="n"/>
      <c r="W429" s="334" t="n"/>
      <c r="X429" s="334" t="n"/>
      <c r="Y429" s="334" t="n"/>
      <c r="Z429" s="375">
        <f>IF(AND(G429&lt;&gt;"",R429&lt;&gt;"",V429&lt;&gt;"",W429&lt;&gt;""),"COMPLETADO","OBSERVADO")</f>
        <v/>
      </c>
    </row>
    <row r="430" ht="15" customHeight="1" s="195">
      <c r="A430" s="280" t="n"/>
      <c r="B430" s="280" t="n"/>
      <c r="C430" s="280" t="n"/>
      <c r="D430" s="280" t="n"/>
      <c r="E430" s="280" t="n"/>
      <c r="F430" s="280" t="n"/>
      <c r="G430" s="280" t="n"/>
      <c r="H430" s="280" t="n"/>
      <c r="I430" s="332">
        <f>IFERROR(VLOOKUP(TEXT(H430,"0"),IPRESS!$A$3:$B$212,2,0),"")</f>
        <v/>
      </c>
      <c r="J430" s="280" t="n"/>
      <c r="K430" s="332">
        <f>IFERROR(VLOOKUP(TEXT(O430,"0"),CONDUCTORES!$A$3:$G$54,7,0),"")</f>
        <v/>
      </c>
      <c r="L430" s="280" t="n"/>
      <c r="M430" s="280" t="n"/>
      <c r="N430" s="333">
        <f>IFERROR(IF(L430*M430=0,"",L430*M430),"")</f>
        <v/>
      </c>
      <c r="O430" s="280" t="n"/>
      <c r="P430" s="332">
        <f>IFERROR(VLOOKUP(TEXT(O430,"0"),CONDUCTORES!$A$3:$G$54,2,0),"")</f>
        <v/>
      </c>
      <c r="Q430" s="332">
        <f>IFERROR(VLOOKUP(TEXT(O430,"0"),CONDUCTORES!$A$3:$H$54,6,0),"")</f>
        <v/>
      </c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375">
        <f>IF(AND(G430&lt;&gt;"",R430&lt;&gt;"",V430&lt;&gt;"",W430&lt;&gt;""),"COMPLETADO","OBSERVADO")</f>
        <v/>
      </c>
    </row>
    <row r="431" ht="15" customHeight="1" s="195">
      <c r="A431" s="334" t="n"/>
      <c r="B431" s="334" t="n"/>
      <c r="C431" s="334" t="n"/>
      <c r="D431" s="334" t="n"/>
      <c r="E431" s="334" t="n"/>
      <c r="F431" s="334" t="n"/>
      <c r="G431" s="334" t="n"/>
      <c r="H431" s="334" t="n"/>
      <c r="I431" s="332">
        <f>IFERROR(VLOOKUP(TEXT(H431,"0"),IPRESS!$A$3:$B$212,2,0),"")</f>
        <v/>
      </c>
      <c r="J431" s="334" t="n"/>
      <c r="K431" s="332">
        <f>IFERROR(VLOOKUP(TEXT(O431,"0"),CONDUCTORES!$A$3:$G$54,7,0),"")</f>
        <v/>
      </c>
      <c r="L431" s="334" t="n"/>
      <c r="M431" s="334" t="n"/>
      <c r="N431" s="333">
        <f>IFERROR(IF(L431*M431=0,"",L431*M431),"")</f>
        <v/>
      </c>
      <c r="O431" s="334" t="n"/>
      <c r="P431" s="332">
        <f>IFERROR(VLOOKUP(TEXT(O431,"0"),CONDUCTORES!$A$3:$G$54,2,0),"")</f>
        <v/>
      </c>
      <c r="Q431" s="332">
        <f>IFERROR(VLOOKUP(TEXT(O431,"0"),CONDUCTORES!$A$3:$H$54,6,0),"")</f>
        <v/>
      </c>
      <c r="R431" s="334" t="n"/>
      <c r="S431" s="334" t="n"/>
      <c r="T431" s="334" t="n"/>
      <c r="U431" s="334" t="n"/>
      <c r="V431" s="334" t="n"/>
      <c r="W431" s="334" t="n"/>
      <c r="X431" s="334" t="n"/>
      <c r="Y431" s="334" t="n"/>
      <c r="Z431" s="375">
        <f>IF(AND(G431&lt;&gt;"",R431&lt;&gt;"",V431&lt;&gt;"",W431&lt;&gt;""),"COMPLETADO","OBSERVADO")</f>
        <v/>
      </c>
    </row>
    <row r="432" ht="15" customHeight="1" s="195">
      <c r="A432" s="280" t="n"/>
      <c r="B432" s="280" t="n"/>
      <c r="C432" s="280" t="n"/>
      <c r="D432" s="280" t="n"/>
      <c r="E432" s="280" t="n"/>
      <c r="F432" s="280" t="n"/>
      <c r="G432" s="280" t="n"/>
      <c r="H432" s="280" t="n"/>
      <c r="I432" s="332">
        <f>IFERROR(VLOOKUP(TEXT(H432,"0"),IPRESS!$A$3:$B$212,2,0),"")</f>
        <v/>
      </c>
      <c r="J432" s="280" t="n"/>
      <c r="K432" s="332">
        <f>IFERROR(VLOOKUP(TEXT(O432,"0"),CONDUCTORES!$A$3:$G$54,7,0),"")</f>
        <v/>
      </c>
      <c r="L432" s="280" t="n"/>
      <c r="M432" s="280" t="n"/>
      <c r="N432" s="333">
        <f>IFERROR(IF(L432*M432=0,"",L432*M432),"")</f>
        <v/>
      </c>
      <c r="O432" s="280" t="n"/>
      <c r="P432" s="332">
        <f>IFERROR(VLOOKUP(TEXT(O432,"0"),CONDUCTORES!$A$3:$G$54,2,0),"")</f>
        <v/>
      </c>
      <c r="Q432" s="332">
        <f>IFERROR(VLOOKUP(TEXT(O432,"0"),CONDUCTORES!$A$3:$H$54,6,0),"")</f>
        <v/>
      </c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375">
        <f>IF(AND(G432&lt;&gt;"",R432&lt;&gt;"",V432&lt;&gt;"",W432&lt;&gt;""),"COMPLETADO","OBSERVADO")</f>
        <v/>
      </c>
    </row>
    <row r="433" ht="15" customHeight="1" s="195">
      <c r="A433" s="334" t="n"/>
      <c r="B433" s="334" t="n"/>
      <c r="C433" s="334" t="n"/>
      <c r="D433" s="334" t="n"/>
      <c r="E433" s="334" t="n"/>
      <c r="F433" s="334" t="n"/>
      <c r="G433" s="334" t="n"/>
      <c r="H433" s="334" t="n"/>
      <c r="I433" s="332">
        <f>IFERROR(VLOOKUP(TEXT(H433,"0"),IPRESS!$A$3:$B$212,2,0),"")</f>
        <v/>
      </c>
      <c r="J433" s="334" t="n"/>
      <c r="K433" s="332">
        <f>IFERROR(VLOOKUP(TEXT(O433,"0"),CONDUCTORES!$A$3:$G$54,7,0),"")</f>
        <v/>
      </c>
      <c r="L433" s="334" t="n"/>
      <c r="M433" s="334" t="n"/>
      <c r="N433" s="333">
        <f>IFERROR(IF(L433*M433=0,"",L433*M433),"")</f>
        <v/>
      </c>
      <c r="O433" s="334" t="n"/>
      <c r="P433" s="332">
        <f>IFERROR(VLOOKUP(TEXT(O433,"0"),CONDUCTORES!$A$3:$G$54,2,0),"")</f>
        <v/>
      </c>
      <c r="Q433" s="332">
        <f>IFERROR(VLOOKUP(TEXT(O433,"0"),CONDUCTORES!$A$3:$H$54,6,0),"")</f>
        <v/>
      </c>
      <c r="R433" s="334" t="n"/>
      <c r="S433" s="334" t="n"/>
      <c r="T433" s="334" t="n"/>
      <c r="U433" s="334" t="n"/>
      <c r="V433" s="334" t="n"/>
      <c r="W433" s="334" t="n"/>
      <c r="X433" s="334" t="n"/>
      <c r="Y433" s="334" t="n"/>
      <c r="Z433" s="375">
        <f>IF(AND(G433&lt;&gt;"",R433&lt;&gt;"",V433&lt;&gt;"",W433&lt;&gt;""),"COMPLETADO","OBSERVADO")</f>
        <v/>
      </c>
    </row>
    <row r="434" ht="15" customHeight="1" s="195">
      <c r="A434" s="280" t="n"/>
      <c r="B434" s="280" t="n"/>
      <c r="C434" s="280" t="n"/>
      <c r="D434" s="280" t="n"/>
      <c r="E434" s="280" t="n"/>
      <c r="F434" s="280" t="n"/>
      <c r="G434" s="280" t="n"/>
      <c r="H434" s="280" t="n"/>
      <c r="I434" s="332">
        <f>IFERROR(VLOOKUP(TEXT(H434,"0"),IPRESS!$A$3:$B$212,2,0),"")</f>
        <v/>
      </c>
      <c r="J434" s="280" t="n"/>
      <c r="K434" s="332">
        <f>IFERROR(VLOOKUP(TEXT(O434,"0"),CONDUCTORES!$A$3:$G$54,7,0),"")</f>
        <v/>
      </c>
      <c r="L434" s="280" t="n"/>
      <c r="M434" s="280" t="n"/>
      <c r="N434" s="333">
        <f>IFERROR(IF(L434*M434=0,"",L434*M434),"")</f>
        <v/>
      </c>
      <c r="O434" s="280" t="n"/>
      <c r="P434" s="332">
        <f>IFERROR(VLOOKUP(TEXT(O434,"0"),CONDUCTORES!$A$3:$G$54,2,0),"")</f>
        <v/>
      </c>
      <c r="Q434" s="332">
        <f>IFERROR(VLOOKUP(TEXT(O434,"0"),CONDUCTORES!$A$3:$H$54,6,0),"")</f>
        <v/>
      </c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375">
        <f>IF(AND(G434&lt;&gt;"",R434&lt;&gt;"",V434&lt;&gt;"",W434&lt;&gt;""),"COMPLETADO","OBSERVADO")</f>
        <v/>
      </c>
    </row>
    <row r="435" ht="15" customHeight="1" s="195">
      <c r="A435" s="334" t="n"/>
      <c r="B435" s="334" t="n"/>
      <c r="C435" s="334" t="n"/>
      <c r="D435" s="334" t="n"/>
      <c r="E435" s="334" t="n"/>
      <c r="F435" s="334" t="n"/>
      <c r="G435" s="334" t="n"/>
      <c r="H435" s="334" t="n"/>
      <c r="I435" s="332">
        <f>IFERROR(VLOOKUP(TEXT(H435,"0"),IPRESS!$A$3:$B$212,2,0),"")</f>
        <v/>
      </c>
      <c r="J435" s="334" t="n"/>
      <c r="K435" s="332">
        <f>IFERROR(VLOOKUP(TEXT(O435,"0"),CONDUCTORES!$A$3:$G$54,7,0),"")</f>
        <v/>
      </c>
      <c r="L435" s="334" t="n"/>
      <c r="M435" s="334" t="n"/>
      <c r="N435" s="333">
        <f>IFERROR(IF(L435*M435=0,"",L435*M435),"")</f>
        <v/>
      </c>
      <c r="O435" s="334" t="n"/>
      <c r="P435" s="332">
        <f>IFERROR(VLOOKUP(TEXT(O435,"0"),CONDUCTORES!$A$3:$G$54,2,0),"")</f>
        <v/>
      </c>
      <c r="Q435" s="332">
        <f>IFERROR(VLOOKUP(TEXT(O435,"0"),CONDUCTORES!$A$3:$H$54,6,0),"")</f>
        <v/>
      </c>
      <c r="R435" s="334" t="n"/>
      <c r="S435" s="334" t="n"/>
      <c r="T435" s="334" t="n"/>
      <c r="U435" s="334" t="n"/>
      <c r="V435" s="334" t="n"/>
      <c r="W435" s="334" t="n"/>
      <c r="X435" s="334" t="n"/>
      <c r="Y435" s="334" t="n"/>
      <c r="Z435" s="375">
        <f>IF(AND(G435&lt;&gt;"",R435&lt;&gt;"",V435&lt;&gt;"",W435&lt;&gt;""),"COMPLETADO","OBSERVADO")</f>
        <v/>
      </c>
    </row>
    <row r="436" ht="15" customHeight="1" s="195">
      <c r="A436" s="280" t="n"/>
      <c r="B436" s="280" t="n"/>
      <c r="C436" s="280" t="n"/>
      <c r="D436" s="280" t="n"/>
      <c r="E436" s="280" t="n"/>
      <c r="F436" s="280" t="n"/>
      <c r="G436" s="280" t="n"/>
      <c r="H436" s="280" t="n"/>
      <c r="I436" s="332">
        <f>IFERROR(VLOOKUP(TEXT(H436,"0"),IPRESS!$A$3:$B$212,2,0),"")</f>
        <v/>
      </c>
      <c r="J436" s="280" t="n"/>
      <c r="K436" s="332">
        <f>IFERROR(VLOOKUP(TEXT(O436,"0"),CONDUCTORES!$A$3:$G$54,7,0),"")</f>
        <v/>
      </c>
      <c r="L436" s="280" t="n"/>
      <c r="M436" s="280" t="n"/>
      <c r="N436" s="333">
        <f>IFERROR(IF(L436*M436=0,"",L436*M436),"")</f>
        <v/>
      </c>
      <c r="O436" s="280" t="n"/>
      <c r="P436" s="332">
        <f>IFERROR(VLOOKUP(TEXT(O436,"0"),CONDUCTORES!$A$3:$G$54,2,0),"")</f>
        <v/>
      </c>
      <c r="Q436" s="332">
        <f>IFERROR(VLOOKUP(TEXT(O436,"0"),CONDUCTORES!$A$3:$H$54,6,0),"")</f>
        <v/>
      </c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375">
        <f>IF(AND(G436&lt;&gt;"",R436&lt;&gt;"",V436&lt;&gt;"",W436&lt;&gt;""),"COMPLETADO","OBSERVADO")</f>
        <v/>
      </c>
    </row>
    <row r="437" ht="15" customHeight="1" s="195">
      <c r="A437" s="334" t="n"/>
      <c r="B437" s="334" t="n"/>
      <c r="C437" s="334" t="n"/>
      <c r="D437" s="334" t="n"/>
      <c r="E437" s="334" t="n"/>
      <c r="F437" s="334" t="n"/>
      <c r="G437" s="334" t="n"/>
      <c r="H437" s="334" t="n"/>
      <c r="I437" s="332">
        <f>IFERROR(VLOOKUP(TEXT(H437,"0"),IPRESS!$A$3:$B$212,2,0),"")</f>
        <v/>
      </c>
      <c r="J437" s="334" t="n"/>
      <c r="K437" s="332">
        <f>IFERROR(VLOOKUP(TEXT(O437,"0"),CONDUCTORES!$A$3:$G$54,7,0),"")</f>
        <v/>
      </c>
      <c r="L437" s="334" t="n"/>
      <c r="M437" s="334" t="n"/>
      <c r="N437" s="333">
        <f>IFERROR(IF(L437*M437=0,"",L437*M437),"")</f>
        <v/>
      </c>
      <c r="O437" s="334" t="n"/>
      <c r="P437" s="332">
        <f>IFERROR(VLOOKUP(TEXT(O437,"0"),CONDUCTORES!$A$3:$G$54,2,0),"")</f>
        <v/>
      </c>
      <c r="Q437" s="332">
        <f>IFERROR(VLOOKUP(TEXT(O437,"0"),CONDUCTORES!$A$3:$H$54,6,0),"")</f>
        <v/>
      </c>
      <c r="R437" s="334" t="n"/>
      <c r="S437" s="334" t="n"/>
      <c r="T437" s="334" t="n"/>
      <c r="U437" s="334" t="n"/>
      <c r="V437" s="334" t="n"/>
      <c r="W437" s="334" t="n"/>
      <c r="X437" s="334" t="n"/>
      <c r="Y437" s="334" t="n"/>
      <c r="Z437" s="375">
        <f>IF(AND(G437&lt;&gt;"",R437&lt;&gt;"",V437&lt;&gt;"",W437&lt;&gt;""),"COMPLETADO","OBSERVADO")</f>
        <v/>
      </c>
    </row>
    <row r="438" ht="15" customHeight="1" s="195">
      <c r="A438" s="280" t="n"/>
      <c r="B438" s="280" t="n"/>
      <c r="C438" s="280" t="n"/>
      <c r="D438" s="280" t="n"/>
      <c r="E438" s="280" t="n"/>
      <c r="F438" s="280" t="n"/>
      <c r="G438" s="280" t="n"/>
      <c r="H438" s="280" t="n"/>
      <c r="I438" s="332">
        <f>IFERROR(VLOOKUP(TEXT(H438,"0"),IPRESS!$A$3:$B$212,2,0),"")</f>
        <v/>
      </c>
      <c r="J438" s="280" t="n"/>
      <c r="K438" s="332">
        <f>IFERROR(VLOOKUP(TEXT(O438,"0"),CONDUCTORES!$A$3:$G$54,7,0),"")</f>
        <v/>
      </c>
      <c r="L438" s="280" t="n"/>
      <c r="M438" s="280" t="n"/>
      <c r="N438" s="333">
        <f>IFERROR(IF(L438*M438=0,"",L438*M438),"")</f>
        <v/>
      </c>
      <c r="O438" s="280" t="n"/>
      <c r="P438" s="332">
        <f>IFERROR(VLOOKUP(TEXT(O438,"0"),CONDUCTORES!$A$3:$G$54,2,0),"")</f>
        <v/>
      </c>
      <c r="Q438" s="332">
        <f>IFERROR(VLOOKUP(TEXT(O438,"0"),CONDUCTORES!$A$3:$H$54,6,0),"")</f>
        <v/>
      </c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375">
        <f>IF(AND(G438&lt;&gt;"",R438&lt;&gt;"",V438&lt;&gt;"",W438&lt;&gt;""),"COMPLETADO","OBSERVADO")</f>
        <v/>
      </c>
    </row>
    <row r="439" ht="15" customHeight="1" s="195">
      <c r="A439" s="334" t="n"/>
      <c r="B439" s="334" t="n"/>
      <c r="C439" s="334" t="n"/>
      <c r="D439" s="334" t="n"/>
      <c r="E439" s="334" t="n"/>
      <c r="F439" s="334" t="n"/>
      <c r="G439" s="334" t="n"/>
      <c r="H439" s="334" t="n"/>
      <c r="I439" s="332">
        <f>IFERROR(VLOOKUP(TEXT(H439,"0"),IPRESS!$A$3:$B$212,2,0),"")</f>
        <v/>
      </c>
      <c r="J439" s="334" t="n"/>
      <c r="K439" s="332">
        <f>IFERROR(VLOOKUP(TEXT(O439,"0"),CONDUCTORES!$A$3:$G$54,7,0),"")</f>
        <v/>
      </c>
      <c r="L439" s="334" t="n"/>
      <c r="M439" s="334" t="n"/>
      <c r="N439" s="333">
        <f>IFERROR(IF(L439*M439=0,"",L439*M439),"")</f>
        <v/>
      </c>
      <c r="O439" s="334" t="n"/>
      <c r="P439" s="332">
        <f>IFERROR(VLOOKUP(TEXT(O439,"0"),CONDUCTORES!$A$3:$G$54,2,0),"")</f>
        <v/>
      </c>
      <c r="Q439" s="332">
        <f>IFERROR(VLOOKUP(TEXT(O439,"0"),CONDUCTORES!$A$3:$H$54,6,0),"")</f>
        <v/>
      </c>
      <c r="R439" s="334" t="n"/>
      <c r="S439" s="334" t="n"/>
      <c r="T439" s="334" t="n"/>
      <c r="U439" s="334" t="n"/>
      <c r="V439" s="334" t="n"/>
      <c r="W439" s="334" t="n"/>
      <c r="X439" s="334" t="n"/>
      <c r="Y439" s="334" t="n"/>
      <c r="Z439" s="375">
        <f>IF(AND(G439&lt;&gt;"",R439&lt;&gt;"",V439&lt;&gt;"",W439&lt;&gt;""),"COMPLETADO","OBSERVADO")</f>
        <v/>
      </c>
    </row>
    <row r="440" ht="15" customHeight="1" s="195">
      <c r="A440" s="280" t="n"/>
      <c r="B440" s="280" t="n"/>
      <c r="C440" s="280" t="n"/>
      <c r="D440" s="280" t="n"/>
      <c r="E440" s="280" t="n"/>
      <c r="F440" s="280" t="n"/>
      <c r="G440" s="280" t="n"/>
      <c r="H440" s="280" t="n"/>
      <c r="I440" s="332">
        <f>IFERROR(VLOOKUP(TEXT(H440,"0"),IPRESS!$A$3:$B$212,2,0),"")</f>
        <v/>
      </c>
      <c r="J440" s="280" t="n"/>
      <c r="K440" s="332">
        <f>IFERROR(VLOOKUP(TEXT(O440,"0"),CONDUCTORES!$A$3:$G$54,7,0),"")</f>
        <v/>
      </c>
      <c r="L440" s="280" t="n"/>
      <c r="M440" s="280" t="n"/>
      <c r="N440" s="333">
        <f>IFERROR(IF(L440*M440=0,"",L440*M440),"")</f>
        <v/>
      </c>
      <c r="O440" s="280" t="n"/>
      <c r="P440" s="332">
        <f>IFERROR(VLOOKUP(TEXT(O440,"0"),CONDUCTORES!$A$3:$G$54,2,0),"")</f>
        <v/>
      </c>
      <c r="Q440" s="332">
        <f>IFERROR(VLOOKUP(TEXT(O440,"0"),CONDUCTORES!$A$3:$H$54,6,0),"")</f>
        <v/>
      </c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375">
        <f>IF(AND(G440&lt;&gt;"",R440&lt;&gt;"",V440&lt;&gt;"",W440&lt;&gt;""),"COMPLETADO","OBSERVADO")</f>
        <v/>
      </c>
    </row>
    <row r="441" ht="15" customHeight="1" s="195">
      <c r="A441" s="334" t="n"/>
      <c r="B441" s="334" t="n"/>
      <c r="C441" s="334" t="n"/>
      <c r="D441" s="334" t="n"/>
      <c r="E441" s="334" t="n"/>
      <c r="F441" s="334" t="n"/>
      <c r="G441" s="334" t="n"/>
      <c r="H441" s="334" t="n"/>
      <c r="I441" s="332">
        <f>IFERROR(VLOOKUP(TEXT(H441,"0"),IPRESS!$A$3:$B$212,2,0),"")</f>
        <v/>
      </c>
      <c r="J441" s="334" t="n"/>
      <c r="K441" s="332">
        <f>IFERROR(VLOOKUP(TEXT(O441,"0"),CONDUCTORES!$A$3:$G$54,7,0),"")</f>
        <v/>
      </c>
      <c r="L441" s="334" t="n"/>
      <c r="M441" s="334" t="n"/>
      <c r="N441" s="333">
        <f>IFERROR(IF(L441*M441=0,"",L441*M441),"")</f>
        <v/>
      </c>
      <c r="O441" s="334" t="n"/>
      <c r="P441" s="332">
        <f>IFERROR(VLOOKUP(TEXT(O441,"0"),CONDUCTORES!$A$3:$G$54,2,0),"")</f>
        <v/>
      </c>
      <c r="Q441" s="332">
        <f>IFERROR(VLOOKUP(TEXT(O441,"0"),CONDUCTORES!$A$3:$H$54,6,0),"")</f>
        <v/>
      </c>
      <c r="R441" s="334" t="n"/>
      <c r="S441" s="334" t="n"/>
      <c r="T441" s="334" t="n"/>
      <c r="U441" s="334" t="n"/>
      <c r="V441" s="334" t="n"/>
      <c r="W441" s="334" t="n"/>
      <c r="X441" s="334" t="n"/>
      <c r="Y441" s="334" t="n"/>
      <c r="Z441" s="375">
        <f>IF(AND(G441&lt;&gt;"",R441&lt;&gt;"",V441&lt;&gt;"",W441&lt;&gt;""),"COMPLETADO","OBSERVADO")</f>
        <v/>
      </c>
    </row>
    <row r="442" ht="15" customHeight="1" s="195">
      <c r="A442" s="280" t="n"/>
      <c r="B442" s="280" t="n"/>
      <c r="C442" s="280" t="n"/>
      <c r="D442" s="280" t="n"/>
      <c r="E442" s="280" t="n"/>
      <c r="F442" s="280" t="n"/>
      <c r="G442" s="280" t="n"/>
      <c r="H442" s="280" t="n"/>
      <c r="I442" s="332">
        <f>IFERROR(VLOOKUP(TEXT(H442,"0"),IPRESS!$A$3:$B$212,2,0),"")</f>
        <v/>
      </c>
      <c r="J442" s="280" t="n"/>
      <c r="K442" s="332">
        <f>IFERROR(VLOOKUP(TEXT(O442,"0"),CONDUCTORES!$A$3:$G$54,7,0),"")</f>
        <v/>
      </c>
      <c r="L442" s="280" t="n"/>
      <c r="M442" s="280" t="n"/>
      <c r="N442" s="333">
        <f>IFERROR(IF(L442*M442=0,"",L442*M442),"")</f>
        <v/>
      </c>
      <c r="O442" s="280" t="n"/>
      <c r="P442" s="332">
        <f>IFERROR(VLOOKUP(TEXT(O442,"0"),CONDUCTORES!$A$3:$G$54,2,0),"")</f>
        <v/>
      </c>
      <c r="Q442" s="332">
        <f>IFERROR(VLOOKUP(TEXT(O442,"0"),CONDUCTORES!$A$3:$H$54,6,0),"")</f>
        <v/>
      </c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375">
        <f>IF(AND(G442&lt;&gt;"",R442&lt;&gt;"",V442&lt;&gt;"",W442&lt;&gt;""),"COMPLETADO","OBSERVADO")</f>
        <v/>
      </c>
    </row>
    <row r="443" ht="15" customHeight="1" s="195">
      <c r="A443" s="334" t="n"/>
      <c r="B443" s="334" t="n"/>
      <c r="C443" s="334" t="n"/>
      <c r="D443" s="334" t="n"/>
      <c r="E443" s="334" t="n"/>
      <c r="F443" s="334" t="n"/>
      <c r="G443" s="334" t="n"/>
      <c r="H443" s="334" t="n"/>
      <c r="I443" s="332">
        <f>IFERROR(VLOOKUP(TEXT(H443,"0"),IPRESS!$A$3:$B$212,2,0),"")</f>
        <v/>
      </c>
      <c r="J443" s="334" t="n"/>
      <c r="K443" s="332">
        <f>IFERROR(VLOOKUP(TEXT(O443,"0"),CONDUCTORES!$A$3:$G$54,7,0),"")</f>
        <v/>
      </c>
      <c r="L443" s="334" t="n"/>
      <c r="M443" s="334" t="n"/>
      <c r="N443" s="333">
        <f>IFERROR(IF(L443*M443=0,"",L443*M443),"")</f>
        <v/>
      </c>
      <c r="O443" s="334" t="n"/>
      <c r="P443" s="332">
        <f>IFERROR(VLOOKUP(TEXT(O443,"0"),CONDUCTORES!$A$3:$G$54,2,0),"")</f>
        <v/>
      </c>
      <c r="Q443" s="332">
        <f>IFERROR(VLOOKUP(TEXT(O443,"0"),CONDUCTORES!$A$3:$H$54,6,0),"")</f>
        <v/>
      </c>
      <c r="R443" s="334" t="n"/>
      <c r="S443" s="334" t="n"/>
      <c r="T443" s="334" t="n"/>
      <c r="U443" s="334" t="n"/>
      <c r="V443" s="334" t="n"/>
      <c r="W443" s="334" t="n"/>
      <c r="X443" s="334" t="n"/>
      <c r="Y443" s="334" t="n"/>
      <c r="Z443" s="375">
        <f>IF(AND(G443&lt;&gt;"",R443&lt;&gt;"",V443&lt;&gt;"",W443&lt;&gt;""),"COMPLETADO","OBSERVADO")</f>
        <v/>
      </c>
    </row>
    <row r="444" ht="15" customHeight="1" s="195">
      <c r="A444" s="280" t="n"/>
      <c r="B444" s="280" t="n"/>
      <c r="C444" s="280" t="n"/>
      <c r="D444" s="280" t="n"/>
      <c r="E444" s="280" t="n"/>
      <c r="F444" s="280" t="n"/>
      <c r="G444" s="280" t="n"/>
      <c r="H444" s="280" t="n"/>
      <c r="I444" s="332">
        <f>IFERROR(VLOOKUP(TEXT(H444,"0"),IPRESS!$A$3:$B$212,2,0),"")</f>
        <v/>
      </c>
      <c r="J444" s="280" t="n"/>
      <c r="K444" s="332">
        <f>IFERROR(VLOOKUP(TEXT(O444,"0"),CONDUCTORES!$A$3:$G$54,7,0),"")</f>
        <v/>
      </c>
      <c r="L444" s="280" t="n"/>
      <c r="M444" s="280" t="n"/>
      <c r="N444" s="333">
        <f>IFERROR(IF(L444*M444=0,"",L444*M444),"")</f>
        <v/>
      </c>
      <c r="O444" s="280" t="n"/>
      <c r="P444" s="332">
        <f>IFERROR(VLOOKUP(TEXT(O444,"0"),CONDUCTORES!$A$3:$G$54,2,0),"")</f>
        <v/>
      </c>
      <c r="Q444" s="332">
        <f>IFERROR(VLOOKUP(TEXT(O444,"0"),CONDUCTORES!$A$3:$H$54,6,0),"")</f>
        <v/>
      </c>
      <c r="R444" s="280" t="n"/>
      <c r="S444" s="280" t="n"/>
      <c r="T444" s="280" t="n"/>
      <c r="U444" s="280" t="n"/>
      <c r="V444" s="280" t="n"/>
      <c r="W444" s="280" t="n"/>
      <c r="X444" s="280" t="n"/>
      <c r="Y444" s="280" t="n"/>
      <c r="Z444" s="375">
        <f>IF(AND(G444&lt;&gt;"",R444&lt;&gt;"",V444&lt;&gt;"",W444&lt;&gt;""),"COMPLETADO","OBSERVADO")</f>
        <v/>
      </c>
    </row>
    <row r="445" ht="15" customHeight="1" s="195">
      <c r="A445" s="334" t="n"/>
      <c r="B445" s="334" t="n"/>
      <c r="C445" s="334" t="n"/>
      <c r="D445" s="334" t="n"/>
      <c r="E445" s="334" t="n"/>
      <c r="F445" s="334" t="n"/>
      <c r="G445" s="334" t="n"/>
      <c r="H445" s="334" t="n"/>
      <c r="I445" s="332">
        <f>IFERROR(VLOOKUP(TEXT(H445,"0"),IPRESS!$A$3:$B$212,2,0),"")</f>
        <v/>
      </c>
      <c r="J445" s="334" t="n"/>
      <c r="K445" s="332">
        <f>IFERROR(VLOOKUP(TEXT(O445,"0"),CONDUCTORES!$A$3:$G$54,7,0),"")</f>
        <v/>
      </c>
      <c r="L445" s="334" t="n"/>
      <c r="M445" s="334" t="n"/>
      <c r="N445" s="333">
        <f>IFERROR(IF(L445*M445=0,"",L445*M445),"")</f>
        <v/>
      </c>
      <c r="O445" s="334" t="n"/>
      <c r="P445" s="332">
        <f>IFERROR(VLOOKUP(TEXT(O445,"0"),CONDUCTORES!$A$3:$G$54,2,0),"")</f>
        <v/>
      </c>
      <c r="Q445" s="332">
        <f>IFERROR(VLOOKUP(TEXT(O445,"0"),CONDUCTORES!$A$3:$H$54,6,0),"")</f>
        <v/>
      </c>
      <c r="R445" s="334" t="n"/>
      <c r="S445" s="334" t="n"/>
      <c r="T445" s="334" t="n"/>
      <c r="U445" s="334" t="n"/>
      <c r="V445" s="334" t="n"/>
      <c r="W445" s="334" t="n"/>
      <c r="X445" s="334" t="n"/>
      <c r="Y445" s="334" t="n"/>
      <c r="Z445" s="375">
        <f>IF(AND(G445&lt;&gt;"",R445&lt;&gt;"",V445&lt;&gt;"",W445&lt;&gt;""),"COMPLETADO","OBSERVADO")</f>
        <v/>
      </c>
    </row>
    <row r="446" ht="15" customHeight="1" s="195">
      <c r="A446" s="280" t="n"/>
      <c r="B446" s="280" t="n"/>
      <c r="C446" s="280" t="n"/>
      <c r="D446" s="280" t="n"/>
      <c r="E446" s="280" t="n"/>
      <c r="F446" s="280" t="n"/>
      <c r="G446" s="280" t="n"/>
      <c r="H446" s="280" t="n"/>
      <c r="I446" s="332">
        <f>IFERROR(VLOOKUP(TEXT(H446,"0"),IPRESS!$A$3:$B$212,2,0),"")</f>
        <v/>
      </c>
      <c r="J446" s="280" t="n"/>
      <c r="K446" s="332">
        <f>IFERROR(VLOOKUP(TEXT(O446,"0"),CONDUCTORES!$A$3:$G$54,7,0),"")</f>
        <v/>
      </c>
      <c r="L446" s="280" t="n"/>
      <c r="M446" s="280" t="n"/>
      <c r="N446" s="333">
        <f>IFERROR(IF(L446*M446=0,"",L446*M446),"")</f>
        <v/>
      </c>
      <c r="O446" s="280" t="n"/>
      <c r="P446" s="332">
        <f>IFERROR(VLOOKUP(TEXT(O446,"0"),CONDUCTORES!$A$3:$G$54,2,0),"")</f>
        <v/>
      </c>
      <c r="Q446" s="332">
        <f>IFERROR(VLOOKUP(TEXT(O446,"0"),CONDUCTORES!$A$3:$H$54,6,0),"")</f>
        <v/>
      </c>
      <c r="R446" s="280" t="n"/>
      <c r="S446" s="280" t="n"/>
      <c r="T446" s="280" t="n"/>
      <c r="U446" s="280" t="n"/>
      <c r="V446" s="280" t="n"/>
      <c r="W446" s="280" t="n"/>
      <c r="X446" s="280" t="n"/>
      <c r="Y446" s="280" t="n"/>
      <c r="Z446" s="375">
        <f>IF(AND(G446&lt;&gt;"",R446&lt;&gt;"",V446&lt;&gt;"",W446&lt;&gt;""),"COMPLETADO","OBSERVADO")</f>
        <v/>
      </c>
    </row>
    <row r="447" ht="15" customHeight="1" s="195">
      <c r="A447" s="334" t="n"/>
      <c r="B447" s="334" t="n"/>
      <c r="C447" s="334" t="n"/>
      <c r="D447" s="334" t="n"/>
      <c r="E447" s="334" t="n"/>
      <c r="F447" s="334" t="n"/>
      <c r="G447" s="334" t="n"/>
      <c r="H447" s="334" t="n"/>
      <c r="I447" s="332">
        <f>IFERROR(VLOOKUP(TEXT(H447,"0"),IPRESS!$A$3:$B$212,2,0),"")</f>
        <v/>
      </c>
      <c r="J447" s="334" t="n"/>
      <c r="K447" s="332">
        <f>IFERROR(VLOOKUP(TEXT(O447,"0"),CONDUCTORES!$A$3:$G$54,7,0),"")</f>
        <v/>
      </c>
      <c r="L447" s="334" t="n"/>
      <c r="M447" s="334" t="n"/>
      <c r="N447" s="333">
        <f>IFERROR(IF(L447*M447=0,"",L447*M447),"")</f>
        <v/>
      </c>
      <c r="O447" s="334" t="n"/>
      <c r="P447" s="332">
        <f>IFERROR(VLOOKUP(TEXT(O447,"0"),CONDUCTORES!$A$3:$G$54,2,0),"")</f>
        <v/>
      </c>
      <c r="Q447" s="332">
        <f>IFERROR(VLOOKUP(TEXT(O447,"0"),CONDUCTORES!$A$3:$H$54,6,0),"")</f>
        <v/>
      </c>
      <c r="R447" s="334" t="n"/>
      <c r="S447" s="334" t="n"/>
      <c r="T447" s="334" t="n"/>
      <c r="U447" s="334" t="n"/>
      <c r="V447" s="334" t="n"/>
      <c r="W447" s="334" t="n"/>
      <c r="X447" s="334" t="n"/>
      <c r="Y447" s="334" t="n"/>
      <c r="Z447" s="375">
        <f>IF(AND(G447&lt;&gt;"",R447&lt;&gt;"",V447&lt;&gt;"",W447&lt;&gt;""),"COMPLETADO","OBSERVADO")</f>
        <v/>
      </c>
    </row>
    <row r="448" ht="15" customHeight="1" s="195">
      <c r="A448" s="280" t="n"/>
      <c r="B448" s="280" t="n"/>
      <c r="C448" s="280" t="n"/>
      <c r="D448" s="280" t="n"/>
      <c r="E448" s="280" t="n"/>
      <c r="F448" s="280" t="n"/>
      <c r="G448" s="280" t="n"/>
      <c r="H448" s="280" t="n"/>
      <c r="I448" s="332">
        <f>IFERROR(VLOOKUP(TEXT(H448,"0"),IPRESS!$A$3:$B$212,2,0),"")</f>
        <v/>
      </c>
      <c r="J448" s="280" t="n"/>
      <c r="K448" s="332">
        <f>IFERROR(VLOOKUP(TEXT(O448,"0"),CONDUCTORES!$A$3:$G$54,7,0),"")</f>
        <v/>
      </c>
      <c r="L448" s="280" t="n"/>
      <c r="M448" s="280" t="n"/>
      <c r="N448" s="333">
        <f>IFERROR(IF(L448*M448=0,"",L448*M448),"")</f>
        <v/>
      </c>
      <c r="O448" s="280" t="n"/>
      <c r="P448" s="332">
        <f>IFERROR(VLOOKUP(TEXT(O448,"0"),CONDUCTORES!$A$3:$G$54,2,0),"")</f>
        <v/>
      </c>
      <c r="Q448" s="332">
        <f>IFERROR(VLOOKUP(TEXT(O448,"0"),CONDUCTORES!$A$3:$H$54,6,0),"")</f>
        <v/>
      </c>
      <c r="R448" s="280" t="n"/>
      <c r="S448" s="280" t="n"/>
      <c r="T448" s="280" t="n"/>
      <c r="U448" s="280" t="n"/>
      <c r="V448" s="280" t="n"/>
      <c r="W448" s="280" t="n"/>
      <c r="X448" s="280" t="n"/>
      <c r="Y448" s="280" t="n"/>
      <c r="Z448" s="375">
        <f>IF(AND(G448&lt;&gt;"",R448&lt;&gt;"",V448&lt;&gt;"",W448&lt;&gt;""),"COMPLETADO","OBSERVADO")</f>
        <v/>
      </c>
    </row>
    <row r="449" ht="15" customHeight="1" s="195">
      <c r="A449" s="334" t="n"/>
      <c r="B449" s="334" t="n"/>
      <c r="C449" s="334" t="n"/>
      <c r="D449" s="334" t="n"/>
      <c r="E449" s="334" t="n"/>
      <c r="F449" s="334" t="n"/>
      <c r="G449" s="334" t="n"/>
      <c r="H449" s="334" t="n"/>
      <c r="I449" s="332">
        <f>IFERROR(VLOOKUP(TEXT(H449,"0"),IPRESS!$A$3:$B$212,2,0),"")</f>
        <v/>
      </c>
      <c r="J449" s="334" t="n"/>
      <c r="K449" s="332">
        <f>IFERROR(VLOOKUP(TEXT(O449,"0"),CONDUCTORES!$A$3:$G$54,7,0),"")</f>
        <v/>
      </c>
      <c r="L449" s="334" t="n"/>
      <c r="M449" s="334" t="n"/>
      <c r="N449" s="333">
        <f>IFERROR(IF(L449*M449=0,"",L449*M449),"")</f>
        <v/>
      </c>
      <c r="O449" s="334" t="n"/>
      <c r="P449" s="332">
        <f>IFERROR(VLOOKUP(TEXT(O449,"0"),CONDUCTORES!$A$3:$G$54,2,0),"")</f>
        <v/>
      </c>
      <c r="Q449" s="332">
        <f>IFERROR(VLOOKUP(TEXT(O449,"0"),CONDUCTORES!$A$3:$H$54,6,0),"")</f>
        <v/>
      </c>
      <c r="R449" s="334" t="n"/>
      <c r="S449" s="334" t="n"/>
      <c r="T449" s="334" t="n"/>
      <c r="U449" s="334" t="n"/>
      <c r="V449" s="334" t="n"/>
      <c r="W449" s="334" t="n"/>
      <c r="X449" s="334" t="n"/>
      <c r="Y449" s="334" t="n"/>
      <c r="Z449" s="375">
        <f>IF(AND(G449&lt;&gt;"",R449&lt;&gt;"",V449&lt;&gt;"",W449&lt;&gt;""),"COMPLETADO","OBSERVADO")</f>
        <v/>
      </c>
    </row>
    <row r="450" ht="15" customHeight="1" s="195">
      <c r="A450" s="280" t="n"/>
      <c r="B450" s="280" t="n"/>
      <c r="C450" s="280" t="n"/>
      <c r="D450" s="280" t="n"/>
      <c r="E450" s="280" t="n"/>
      <c r="F450" s="280" t="n"/>
      <c r="G450" s="280" t="n"/>
      <c r="H450" s="280" t="n"/>
      <c r="I450" s="332">
        <f>IFERROR(VLOOKUP(TEXT(H450,"0"),IPRESS!$A$3:$B$212,2,0),"")</f>
        <v/>
      </c>
      <c r="J450" s="280" t="n"/>
      <c r="K450" s="332">
        <f>IFERROR(VLOOKUP(TEXT(O450,"0"),CONDUCTORES!$A$3:$G$54,7,0),"")</f>
        <v/>
      </c>
      <c r="L450" s="280" t="n"/>
      <c r="M450" s="280" t="n"/>
      <c r="N450" s="333">
        <f>IFERROR(IF(L450*M450=0,"",L450*M450),"")</f>
        <v/>
      </c>
      <c r="O450" s="280" t="n"/>
      <c r="P450" s="332">
        <f>IFERROR(VLOOKUP(TEXT(O450,"0"),CONDUCTORES!$A$3:$G$54,2,0),"")</f>
        <v/>
      </c>
      <c r="Q450" s="332">
        <f>IFERROR(VLOOKUP(TEXT(O450,"0"),CONDUCTORES!$A$3:$H$54,6,0),"")</f>
        <v/>
      </c>
      <c r="R450" s="280" t="n"/>
      <c r="S450" s="280" t="n"/>
      <c r="T450" s="280" t="n"/>
      <c r="U450" s="280" t="n"/>
      <c r="V450" s="280" t="n"/>
      <c r="W450" s="280" t="n"/>
      <c r="X450" s="280" t="n"/>
      <c r="Y450" s="280" t="n"/>
      <c r="Z450" s="375">
        <f>IF(AND(G450&lt;&gt;"",R450&lt;&gt;"",V450&lt;&gt;"",W450&lt;&gt;""),"COMPLETADO","OBSERVADO")</f>
        <v/>
      </c>
    </row>
    <row r="451" ht="15" customHeight="1" s="195">
      <c r="A451" s="334" t="n"/>
      <c r="B451" s="334" t="n"/>
      <c r="C451" s="334" t="n"/>
      <c r="D451" s="334" t="n"/>
      <c r="E451" s="334" t="n"/>
      <c r="F451" s="334" t="n"/>
      <c r="G451" s="334" t="n"/>
      <c r="H451" s="334" t="n"/>
      <c r="I451" s="332">
        <f>IFERROR(VLOOKUP(TEXT(H451,"0"),IPRESS!$A$3:$B$212,2,0),"")</f>
        <v/>
      </c>
      <c r="J451" s="334" t="n"/>
      <c r="K451" s="332">
        <f>IFERROR(VLOOKUP(TEXT(O451,"0"),CONDUCTORES!$A$3:$G$54,7,0),"")</f>
        <v/>
      </c>
      <c r="L451" s="334" t="n"/>
      <c r="M451" s="334" t="n"/>
      <c r="N451" s="333">
        <f>IFERROR(IF(L451*M451=0,"",L451*M451),"")</f>
        <v/>
      </c>
      <c r="O451" s="334" t="n"/>
      <c r="P451" s="332">
        <f>IFERROR(VLOOKUP(TEXT(O451,"0"),CONDUCTORES!$A$3:$G$54,2,0),"")</f>
        <v/>
      </c>
      <c r="Q451" s="332">
        <f>IFERROR(VLOOKUP(TEXT(O451,"0"),CONDUCTORES!$A$3:$H$54,6,0),"")</f>
        <v/>
      </c>
      <c r="R451" s="334" t="n"/>
      <c r="S451" s="334" t="n"/>
      <c r="T451" s="334" t="n"/>
      <c r="U451" s="334" t="n"/>
      <c r="V451" s="334" t="n"/>
      <c r="W451" s="334" t="n"/>
      <c r="X451" s="334" t="n"/>
      <c r="Y451" s="334" t="n"/>
      <c r="Z451" s="375">
        <f>IF(AND(G451&lt;&gt;"",R451&lt;&gt;"",V451&lt;&gt;"",W451&lt;&gt;""),"COMPLETADO","OBSERVADO")</f>
        <v/>
      </c>
    </row>
    <row r="452" ht="15" customHeight="1" s="195">
      <c r="A452" s="280" t="n"/>
      <c r="B452" s="280" t="n"/>
      <c r="C452" s="280" t="n"/>
      <c r="D452" s="280" t="n"/>
      <c r="E452" s="280" t="n"/>
      <c r="F452" s="280" t="n"/>
      <c r="G452" s="280" t="n"/>
      <c r="H452" s="280" t="n"/>
      <c r="I452" s="332">
        <f>IFERROR(VLOOKUP(TEXT(H452,"0"),IPRESS!$A$3:$B$212,2,0),"")</f>
        <v/>
      </c>
      <c r="J452" s="280" t="n"/>
      <c r="K452" s="332">
        <f>IFERROR(VLOOKUP(TEXT(O452,"0"),CONDUCTORES!$A$3:$G$54,7,0),"")</f>
        <v/>
      </c>
      <c r="L452" s="280" t="n"/>
      <c r="M452" s="280" t="n"/>
      <c r="N452" s="333">
        <f>IFERROR(IF(L452*M452=0,"",L452*M452),"")</f>
        <v/>
      </c>
      <c r="O452" s="280" t="n"/>
      <c r="P452" s="332">
        <f>IFERROR(VLOOKUP(TEXT(O452,"0"),CONDUCTORES!$A$3:$G$54,2,0),"")</f>
        <v/>
      </c>
      <c r="Q452" s="332">
        <f>IFERROR(VLOOKUP(TEXT(O452,"0"),CONDUCTORES!$A$3:$H$54,6,0),"")</f>
        <v/>
      </c>
      <c r="R452" s="280" t="n"/>
      <c r="S452" s="280" t="n"/>
      <c r="T452" s="280" t="n"/>
      <c r="U452" s="280" t="n"/>
      <c r="V452" s="280" t="n"/>
      <c r="W452" s="280" t="n"/>
      <c r="X452" s="280" t="n"/>
      <c r="Y452" s="280" t="n"/>
      <c r="Z452" s="375">
        <f>IF(AND(G452&lt;&gt;"",R452&lt;&gt;"",V452&lt;&gt;"",W452&lt;&gt;""),"COMPLETADO","OBSERVADO")</f>
        <v/>
      </c>
    </row>
    <row r="453" ht="15" customHeight="1" s="195">
      <c r="A453" s="334" t="n"/>
      <c r="B453" s="334" t="n"/>
      <c r="C453" s="334" t="n"/>
      <c r="D453" s="334" t="n"/>
      <c r="E453" s="334" t="n"/>
      <c r="F453" s="334" t="n"/>
      <c r="G453" s="334" t="n"/>
      <c r="H453" s="334" t="n"/>
      <c r="I453" s="332">
        <f>IFERROR(VLOOKUP(TEXT(H453,"0"),IPRESS!$A$3:$B$212,2,0),"")</f>
        <v/>
      </c>
      <c r="J453" s="334" t="n"/>
      <c r="K453" s="332">
        <f>IFERROR(VLOOKUP(TEXT(O453,"0"),CONDUCTORES!$A$3:$G$54,7,0),"")</f>
        <v/>
      </c>
      <c r="L453" s="334" t="n"/>
      <c r="M453" s="334" t="n"/>
      <c r="N453" s="333">
        <f>IFERROR(IF(L453*M453=0,"",L453*M453),"")</f>
        <v/>
      </c>
      <c r="O453" s="334" t="n"/>
      <c r="P453" s="332">
        <f>IFERROR(VLOOKUP(TEXT(O453,"0"),CONDUCTORES!$A$3:$G$54,2,0),"")</f>
        <v/>
      </c>
      <c r="Q453" s="332">
        <f>IFERROR(VLOOKUP(TEXT(O453,"0"),CONDUCTORES!$A$3:$H$54,6,0),"")</f>
        <v/>
      </c>
      <c r="R453" s="334" t="n"/>
      <c r="S453" s="334" t="n"/>
      <c r="T453" s="334" t="n"/>
      <c r="U453" s="334" t="n"/>
      <c r="V453" s="334" t="n"/>
      <c r="W453" s="334" t="n"/>
      <c r="X453" s="334" t="n"/>
      <c r="Y453" s="334" t="n"/>
      <c r="Z453" s="375">
        <f>IF(AND(G453&lt;&gt;"",R453&lt;&gt;"",V453&lt;&gt;"",W453&lt;&gt;""),"COMPLETADO","OBSERVADO")</f>
        <v/>
      </c>
    </row>
    <row r="454" ht="15" customHeight="1" s="195">
      <c r="A454" s="280" t="n"/>
      <c r="B454" s="280" t="n"/>
      <c r="C454" s="280" t="n"/>
      <c r="D454" s="280" t="n"/>
      <c r="E454" s="280" t="n"/>
      <c r="F454" s="280" t="n"/>
      <c r="G454" s="280" t="n"/>
      <c r="H454" s="280" t="n"/>
      <c r="I454" s="332">
        <f>IFERROR(VLOOKUP(TEXT(H454,"0"),IPRESS!$A$3:$B$212,2,0),"")</f>
        <v/>
      </c>
      <c r="J454" s="280" t="n"/>
      <c r="K454" s="332">
        <f>IFERROR(VLOOKUP(TEXT(O454,"0"),CONDUCTORES!$A$3:$G$54,7,0),"")</f>
        <v/>
      </c>
      <c r="L454" s="280" t="n"/>
      <c r="M454" s="280" t="n"/>
      <c r="N454" s="333">
        <f>IFERROR(IF(L454*M454=0,"",L454*M454),"")</f>
        <v/>
      </c>
      <c r="O454" s="280" t="n"/>
      <c r="P454" s="332">
        <f>IFERROR(VLOOKUP(TEXT(O454,"0"),CONDUCTORES!$A$3:$G$54,2,0),"")</f>
        <v/>
      </c>
      <c r="Q454" s="332">
        <f>IFERROR(VLOOKUP(TEXT(O454,"0"),CONDUCTORES!$A$3:$H$54,6,0),"")</f>
        <v/>
      </c>
      <c r="R454" s="280" t="n"/>
      <c r="S454" s="280" t="n"/>
      <c r="T454" s="280" t="n"/>
      <c r="U454" s="280" t="n"/>
      <c r="V454" s="280" t="n"/>
      <c r="W454" s="280" t="n"/>
      <c r="X454" s="280" t="n"/>
      <c r="Y454" s="280" t="n"/>
      <c r="Z454" s="375">
        <f>IF(AND(G454&lt;&gt;"",R454&lt;&gt;"",V454&lt;&gt;"",W454&lt;&gt;""),"COMPLETADO","OBSERVADO")</f>
        <v/>
      </c>
    </row>
    <row r="455" ht="15" customHeight="1" s="195">
      <c r="A455" s="334" t="n"/>
      <c r="B455" s="334" t="n"/>
      <c r="C455" s="334" t="n"/>
      <c r="D455" s="334" t="n"/>
      <c r="E455" s="334" t="n"/>
      <c r="F455" s="334" t="n"/>
      <c r="G455" s="334" t="n"/>
      <c r="H455" s="334" t="n"/>
      <c r="I455" s="332">
        <f>IFERROR(VLOOKUP(TEXT(H455,"0"),IPRESS!$A$3:$B$212,2,0),"")</f>
        <v/>
      </c>
      <c r="J455" s="334" t="n"/>
      <c r="K455" s="332">
        <f>IFERROR(VLOOKUP(TEXT(O455,"0"),CONDUCTORES!$A$3:$G$54,7,0),"")</f>
        <v/>
      </c>
      <c r="L455" s="334" t="n"/>
      <c r="M455" s="334" t="n"/>
      <c r="N455" s="333">
        <f>IFERROR(IF(L455*M455=0,"",L455*M455),"")</f>
        <v/>
      </c>
      <c r="O455" s="334" t="n"/>
      <c r="P455" s="332">
        <f>IFERROR(VLOOKUP(TEXT(O455,"0"),CONDUCTORES!$A$3:$G$54,2,0),"")</f>
        <v/>
      </c>
      <c r="Q455" s="332">
        <f>IFERROR(VLOOKUP(TEXT(O455,"0"),CONDUCTORES!$A$3:$H$54,6,0),"")</f>
        <v/>
      </c>
      <c r="R455" s="334" t="n"/>
      <c r="S455" s="334" t="n"/>
      <c r="T455" s="334" t="n"/>
      <c r="U455" s="334" t="n"/>
      <c r="V455" s="334" t="n"/>
      <c r="W455" s="334" t="n"/>
      <c r="X455" s="334" t="n"/>
      <c r="Y455" s="334" t="n"/>
      <c r="Z455" s="375">
        <f>IF(AND(G455&lt;&gt;"",R455&lt;&gt;"",V455&lt;&gt;"",W455&lt;&gt;""),"COMPLETADO","OBSERVADO")</f>
        <v/>
      </c>
    </row>
    <row r="456" ht="15" customHeight="1" s="195">
      <c r="A456" s="280" t="n"/>
      <c r="B456" s="280" t="n"/>
      <c r="C456" s="280" t="n"/>
      <c r="D456" s="280" t="n"/>
      <c r="E456" s="280" t="n"/>
      <c r="F456" s="280" t="n"/>
      <c r="G456" s="280" t="n"/>
      <c r="H456" s="280" t="n"/>
      <c r="I456" s="332">
        <f>IFERROR(VLOOKUP(TEXT(H456,"0"),IPRESS!$A$3:$B$212,2,0),"")</f>
        <v/>
      </c>
      <c r="J456" s="280" t="n"/>
      <c r="K456" s="332">
        <f>IFERROR(VLOOKUP(TEXT(O456,"0"),CONDUCTORES!$A$3:$G$54,7,0),"")</f>
        <v/>
      </c>
      <c r="L456" s="280" t="n"/>
      <c r="M456" s="280" t="n"/>
      <c r="N456" s="333">
        <f>IFERROR(IF(L456*M456=0,"",L456*M456),"")</f>
        <v/>
      </c>
      <c r="O456" s="280" t="n"/>
      <c r="P456" s="332">
        <f>IFERROR(VLOOKUP(TEXT(O456,"0"),CONDUCTORES!$A$3:$G$54,2,0),"")</f>
        <v/>
      </c>
      <c r="Q456" s="332">
        <f>IFERROR(VLOOKUP(TEXT(O456,"0"),CONDUCTORES!$A$3:$H$54,6,0),"")</f>
        <v/>
      </c>
      <c r="R456" s="280" t="n"/>
      <c r="S456" s="280" t="n"/>
      <c r="T456" s="280" t="n"/>
      <c r="U456" s="280" t="n"/>
      <c r="V456" s="280" t="n"/>
      <c r="W456" s="280" t="n"/>
      <c r="X456" s="280" t="n"/>
      <c r="Y456" s="280" t="n"/>
      <c r="Z456" s="375">
        <f>IF(AND(G456&lt;&gt;"",R456&lt;&gt;"",V456&lt;&gt;"",W456&lt;&gt;""),"COMPLETADO","OBSERVADO")</f>
        <v/>
      </c>
    </row>
    <row r="457" ht="15" customHeight="1" s="195">
      <c r="A457" s="334" t="n"/>
      <c r="B457" s="334" t="n"/>
      <c r="C457" s="334" t="n"/>
      <c r="D457" s="334" t="n"/>
      <c r="E457" s="334" t="n"/>
      <c r="F457" s="334" t="n"/>
      <c r="G457" s="334" t="n"/>
      <c r="H457" s="334" t="n"/>
      <c r="I457" s="332">
        <f>IFERROR(VLOOKUP(TEXT(H457,"0"),IPRESS!$A$3:$B$212,2,0),"")</f>
        <v/>
      </c>
      <c r="J457" s="334" t="n"/>
      <c r="K457" s="332">
        <f>IFERROR(VLOOKUP(TEXT(O457,"0"),CONDUCTORES!$A$3:$G$54,7,0),"")</f>
        <v/>
      </c>
      <c r="L457" s="334" t="n"/>
      <c r="M457" s="334" t="n"/>
      <c r="N457" s="333">
        <f>IFERROR(IF(L457*M457=0,"",L457*M457),"")</f>
        <v/>
      </c>
      <c r="O457" s="334" t="n"/>
      <c r="P457" s="332">
        <f>IFERROR(VLOOKUP(TEXT(O457,"0"),CONDUCTORES!$A$3:$G$54,2,0),"")</f>
        <v/>
      </c>
      <c r="Q457" s="332">
        <f>IFERROR(VLOOKUP(TEXT(O457,"0"),CONDUCTORES!$A$3:$H$54,6,0),"")</f>
        <v/>
      </c>
      <c r="R457" s="334" t="n"/>
      <c r="S457" s="334" t="n"/>
      <c r="T457" s="334" t="n"/>
      <c r="U457" s="334" t="n"/>
      <c r="V457" s="334" t="n"/>
      <c r="W457" s="334" t="n"/>
      <c r="X457" s="334" t="n"/>
      <c r="Y457" s="334" t="n"/>
      <c r="Z457" s="375">
        <f>IF(AND(G457&lt;&gt;"",R457&lt;&gt;"",V457&lt;&gt;"",W457&lt;&gt;""),"COMPLETADO","OBSERVADO")</f>
        <v/>
      </c>
    </row>
    <row r="458" ht="15" customHeight="1" s="195">
      <c r="A458" s="280" t="n"/>
      <c r="B458" s="280" t="n"/>
      <c r="C458" s="280" t="n"/>
      <c r="D458" s="280" t="n"/>
      <c r="E458" s="280" t="n"/>
      <c r="F458" s="280" t="n"/>
      <c r="G458" s="280" t="n"/>
      <c r="H458" s="280" t="n"/>
      <c r="I458" s="332">
        <f>IFERROR(VLOOKUP(TEXT(H458,"0"),IPRESS!$A$3:$B$212,2,0),"")</f>
        <v/>
      </c>
      <c r="J458" s="280" t="n"/>
      <c r="K458" s="332">
        <f>IFERROR(VLOOKUP(TEXT(O458,"0"),CONDUCTORES!$A$3:$G$54,7,0),"")</f>
        <v/>
      </c>
      <c r="L458" s="280" t="n"/>
      <c r="M458" s="280" t="n"/>
      <c r="N458" s="333">
        <f>IFERROR(IF(L458*M458=0,"",L458*M458),"")</f>
        <v/>
      </c>
      <c r="O458" s="280" t="n"/>
      <c r="P458" s="332">
        <f>IFERROR(VLOOKUP(TEXT(O458,"0"),CONDUCTORES!$A$3:$G$54,2,0),"")</f>
        <v/>
      </c>
      <c r="Q458" s="332">
        <f>IFERROR(VLOOKUP(TEXT(O458,"0"),CONDUCTORES!$A$3:$H$54,6,0),"")</f>
        <v/>
      </c>
      <c r="R458" s="280" t="n"/>
      <c r="S458" s="280" t="n"/>
      <c r="T458" s="280" t="n"/>
      <c r="U458" s="280" t="n"/>
      <c r="V458" s="280" t="n"/>
      <c r="W458" s="280" t="n"/>
      <c r="X458" s="280" t="n"/>
      <c r="Y458" s="280" t="n"/>
      <c r="Z458" s="375">
        <f>IF(AND(G458&lt;&gt;"",R458&lt;&gt;"",V458&lt;&gt;"",W458&lt;&gt;""),"COMPLETADO","OBSERVADO")</f>
        <v/>
      </c>
    </row>
    <row r="459" ht="15" customHeight="1" s="195">
      <c r="A459" s="334" t="n"/>
      <c r="B459" s="334" t="n"/>
      <c r="C459" s="334" t="n"/>
      <c r="D459" s="334" t="n"/>
      <c r="E459" s="334" t="n"/>
      <c r="F459" s="334" t="n"/>
      <c r="G459" s="334" t="n"/>
      <c r="H459" s="334" t="n"/>
      <c r="I459" s="332">
        <f>IFERROR(VLOOKUP(TEXT(H459,"0"),IPRESS!$A$3:$B$212,2,0),"")</f>
        <v/>
      </c>
      <c r="J459" s="334" t="n"/>
      <c r="K459" s="332">
        <f>IFERROR(VLOOKUP(TEXT(O459,"0"),CONDUCTORES!$A$3:$G$54,7,0),"")</f>
        <v/>
      </c>
      <c r="L459" s="334" t="n"/>
      <c r="M459" s="334" t="n"/>
      <c r="N459" s="333">
        <f>IFERROR(IF(L459*M459=0,"",L459*M459),"")</f>
        <v/>
      </c>
      <c r="O459" s="334" t="n"/>
      <c r="P459" s="332">
        <f>IFERROR(VLOOKUP(TEXT(O459,"0"),CONDUCTORES!$A$3:$G$54,2,0),"")</f>
        <v/>
      </c>
      <c r="Q459" s="332">
        <f>IFERROR(VLOOKUP(TEXT(O459,"0"),CONDUCTORES!$A$3:$H$54,6,0),"")</f>
        <v/>
      </c>
      <c r="R459" s="334" t="n"/>
      <c r="S459" s="334" t="n"/>
      <c r="T459" s="334" t="n"/>
      <c r="U459" s="334" t="n"/>
      <c r="V459" s="334" t="n"/>
      <c r="W459" s="334" t="n"/>
      <c r="X459" s="334" t="n"/>
      <c r="Y459" s="334" t="n"/>
      <c r="Z459" s="375">
        <f>IF(AND(G459&lt;&gt;"",R459&lt;&gt;"",V459&lt;&gt;"",W459&lt;&gt;""),"COMPLETADO","OBSERVADO")</f>
        <v/>
      </c>
    </row>
    <row r="460" ht="15" customHeight="1" s="195">
      <c r="A460" s="280" t="n"/>
      <c r="B460" s="280" t="n"/>
      <c r="C460" s="280" t="n"/>
      <c r="D460" s="280" t="n"/>
      <c r="E460" s="280" t="n"/>
      <c r="F460" s="280" t="n"/>
      <c r="G460" s="280" t="n"/>
      <c r="H460" s="280" t="n"/>
      <c r="I460" s="332">
        <f>IFERROR(VLOOKUP(TEXT(H460,"0"),IPRESS!$A$3:$B$212,2,0),"")</f>
        <v/>
      </c>
      <c r="J460" s="280" t="n"/>
      <c r="K460" s="332">
        <f>IFERROR(VLOOKUP(TEXT(O460,"0"),CONDUCTORES!$A$3:$G$54,7,0),"")</f>
        <v/>
      </c>
      <c r="L460" s="280" t="n"/>
      <c r="M460" s="280" t="n"/>
      <c r="N460" s="333">
        <f>IFERROR(IF(L460*M460=0,"",L460*M460),"")</f>
        <v/>
      </c>
      <c r="O460" s="280" t="n"/>
      <c r="P460" s="332">
        <f>IFERROR(VLOOKUP(TEXT(O460,"0"),CONDUCTORES!$A$3:$G$54,2,0),"")</f>
        <v/>
      </c>
      <c r="Q460" s="332">
        <f>IFERROR(VLOOKUP(TEXT(O460,"0"),CONDUCTORES!$A$3:$H$54,6,0),"")</f>
        <v/>
      </c>
      <c r="R460" s="280" t="n"/>
      <c r="S460" s="280" t="n"/>
      <c r="T460" s="280" t="n"/>
      <c r="U460" s="280" t="n"/>
      <c r="V460" s="280" t="n"/>
      <c r="W460" s="280" t="n"/>
      <c r="X460" s="280" t="n"/>
      <c r="Y460" s="280" t="n"/>
      <c r="Z460" s="375">
        <f>IF(AND(G460&lt;&gt;"",R460&lt;&gt;"",V460&lt;&gt;"",W460&lt;&gt;""),"COMPLETADO","OBSERVADO")</f>
        <v/>
      </c>
    </row>
    <row r="461" ht="15" customHeight="1" s="195">
      <c r="A461" s="334" t="n"/>
      <c r="B461" s="334" t="n"/>
      <c r="C461" s="334" t="n"/>
      <c r="D461" s="334" t="n"/>
      <c r="E461" s="334" t="n"/>
      <c r="F461" s="334" t="n"/>
      <c r="G461" s="334" t="n"/>
      <c r="H461" s="334" t="n"/>
      <c r="I461" s="332">
        <f>IFERROR(VLOOKUP(TEXT(H461,"0"),IPRESS!$A$3:$B$212,2,0),"")</f>
        <v/>
      </c>
      <c r="J461" s="334" t="n"/>
      <c r="K461" s="332">
        <f>IFERROR(VLOOKUP(TEXT(O461,"0"),CONDUCTORES!$A$3:$G$54,7,0),"")</f>
        <v/>
      </c>
      <c r="L461" s="334" t="n"/>
      <c r="M461" s="334" t="n"/>
      <c r="N461" s="333">
        <f>IFERROR(IF(L461*M461=0,"",L461*M461),"")</f>
        <v/>
      </c>
      <c r="O461" s="334" t="n"/>
      <c r="P461" s="332">
        <f>IFERROR(VLOOKUP(TEXT(O461,"0"),CONDUCTORES!$A$3:$G$54,2,0),"")</f>
        <v/>
      </c>
      <c r="Q461" s="332">
        <f>IFERROR(VLOOKUP(TEXT(O461,"0"),CONDUCTORES!$A$3:$H$54,6,0),"")</f>
        <v/>
      </c>
      <c r="R461" s="334" t="n"/>
      <c r="S461" s="334" t="n"/>
      <c r="T461" s="334" t="n"/>
      <c r="U461" s="334" t="n"/>
      <c r="V461" s="334" t="n"/>
      <c r="W461" s="334" t="n"/>
      <c r="X461" s="334" t="n"/>
      <c r="Y461" s="334" t="n"/>
      <c r="Z461" s="375">
        <f>IF(AND(G461&lt;&gt;"",R461&lt;&gt;"",V461&lt;&gt;"",W461&lt;&gt;""),"COMPLETADO","OBSERVADO")</f>
        <v/>
      </c>
    </row>
    <row r="462" ht="15" customHeight="1" s="195">
      <c r="A462" s="280" t="n"/>
      <c r="B462" s="280" t="n"/>
      <c r="C462" s="280" t="n"/>
      <c r="D462" s="280" t="n"/>
      <c r="E462" s="280" t="n"/>
      <c r="F462" s="280" t="n"/>
      <c r="G462" s="280" t="n"/>
      <c r="H462" s="280" t="n"/>
      <c r="I462" s="332">
        <f>IFERROR(VLOOKUP(TEXT(H462,"0"),IPRESS!$A$3:$B$212,2,0),"")</f>
        <v/>
      </c>
      <c r="J462" s="280" t="n"/>
      <c r="K462" s="332">
        <f>IFERROR(VLOOKUP(TEXT(O462,"0"),CONDUCTORES!$A$3:$G$54,7,0),"")</f>
        <v/>
      </c>
      <c r="L462" s="280" t="n"/>
      <c r="M462" s="280" t="n"/>
      <c r="N462" s="333">
        <f>IFERROR(IF(L462*M462=0,"",L462*M462),"")</f>
        <v/>
      </c>
      <c r="O462" s="280" t="n"/>
      <c r="P462" s="332">
        <f>IFERROR(VLOOKUP(TEXT(O462,"0"),CONDUCTORES!$A$3:$G$54,2,0),"")</f>
        <v/>
      </c>
      <c r="Q462" s="332">
        <f>IFERROR(VLOOKUP(TEXT(O462,"0"),CONDUCTORES!$A$3:$H$54,6,0),"")</f>
        <v/>
      </c>
      <c r="R462" s="280" t="n"/>
      <c r="S462" s="280" t="n"/>
      <c r="T462" s="280" t="n"/>
      <c r="U462" s="280" t="n"/>
      <c r="V462" s="280" t="n"/>
      <c r="W462" s="280" t="n"/>
      <c r="X462" s="280" t="n"/>
      <c r="Y462" s="280" t="n"/>
      <c r="Z462" s="375">
        <f>IF(AND(G462&lt;&gt;"",R462&lt;&gt;"",V462&lt;&gt;"",W462&lt;&gt;""),"COMPLETADO","OBSERVADO")</f>
        <v/>
      </c>
    </row>
    <row r="463" ht="15" customHeight="1" s="195">
      <c r="A463" s="334" t="n"/>
      <c r="B463" s="334" t="n"/>
      <c r="C463" s="334" t="n"/>
      <c r="D463" s="334" t="n"/>
      <c r="E463" s="334" t="n"/>
      <c r="F463" s="334" t="n"/>
      <c r="G463" s="334" t="n"/>
      <c r="H463" s="334" t="n"/>
      <c r="I463" s="332">
        <f>IFERROR(VLOOKUP(TEXT(H463,"0"),IPRESS!$A$3:$B$212,2,0),"")</f>
        <v/>
      </c>
      <c r="J463" s="334" t="n"/>
      <c r="K463" s="332">
        <f>IFERROR(VLOOKUP(TEXT(O463,"0"),CONDUCTORES!$A$3:$G$54,7,0),"")</f>
        <v/>
      </c>
      <c r="L463" s="334" t="n"/>
      <c r="M463" s="334" t="n"/>
      <c r="N463" s="333">
        <f>IFERROR(IF(L463*M463=0,"",L463*M463),"")</f>
        <v/>
      </c>
      <c r="O463" s="334" t="n"/>
      <c r="P463" s="332">
        <f>IFERROR(VLOOKUP(TEXT(O463,"0"),CONDUCTORES!$A$3:$G$54,2,0),"")</f>
        <v/>
      </c>
      <c r="Q463" s="332">
        <f>IFERROR(VLOOKUP(TEXT(O463,"0"),CONDUCTORES!$A$3:$H$54,6,0),"")</f>
        <v/>
      </c>
      <c r="R463" s="334" t="n"/>
      <c r="S463" s="334" t="n"/>
      <c r="T463" s="334" t="n"/>
      <c r="U463" s="334" t="n"/>
      <c r="V463" s="334" t="n"/>
      <c r="W463" s="334" t="n"/>
      <c r="X463" s="334" t="n"/>
      <c r="Y463" s="334" t="n"/>
      <c r="Z463" s="375">
        <f>IF(AND(G463&lt;&gt;"",R463&lt;&gt;"",V463&lt;&gt;"",W463&lt;&gt;""),"COMPLETADO","OBSERVADO")</f>
        <v/>
      </c>
    </row>
    <row r="464" ht="15" customHeight="1" s="195">
      <c r="A464" s="280" t="n"/>
      <c r="B464" s="280" t="n"/>
      <c r="C464" s="280" t="n"/>
      <c r="D464" s="280" t="n"/>
      <c r="E464" s="280" t="n"/>
      <c r="F464" s="280" t="n"/>
      <c r="G464" s="280" t="n"/>
      <c r="H464" s="280" t="n"/>
      <c r="I464" s="332">
        <f>IFERROR(VLOOKUP(TEXT(H464,"0"),IPRESS!$A$3:$B$212,2,0),"")</f>
        <v/>
      </c>
      <c r="J464" s="280" t="n"/>
      <c r="K464" s="332">
        <f>IFERROR(VLOOKUP(TEXT(O464,"0"),CONDUCTORES!$A$3:$G$54,7,0),"")</f>
        <v/>
      </c>
      <c r="L464" s="280" t="n"/>
      <c r="M464" s="280" t="n"/>
      <c r="N464" s="333">
        <f>IFERROR(IF(L464*M464=0,"",L464*M464),"")</f>
        <v/>
      </c>
      <c r="O464" s="280" t="n"/>
      <c r="P464" s="332">
        <f>IFERROR(VLOOKUP(TEXT(O464,"0"),CONDUCTORES!$A$3:$G$54,2,0),"")</f>
        <v/>
      </c>
      <c r="Q464" s="332">
        <f>IFERROR(VLOOKUP(TEXT(O464,"0"),CONDUCTORES!$A$3:$H$54,6,0),"")</f>
        <v/>
      </c>
      <c r="R464" s="280" t="n"/>
      <c r="S464" s="280" t="n"/>
      <c r="T464" s="280" t="n"/>
      <c r="U464" s="280" t="n"/>
      <c r="V464" s="280" t="n"/>
      <c r="W464" s="280" t="n"/>
      <c r="X464" s="280" t="n"/>
      <c r="Y464" s="280" t="n"/>
      <c r="Z464" s="375">
        <f>IF(AND(G464&lt;&gt;"",R464&lt;&gt;"",V464&lt;&gt;"",W464&lt;&gt;""),"COMPLETADO","OBSERVADO")</f>
        <v/>
      </c>
    </row>
    <row r="465" ht="15" customHeight="1" s="195">
      <c r="A465" s="334" t="n"/>
      <c r="B465" s="334" t="n"/>
      <c r="C465" s="334" t="n"/>
      <c r="D465" s="334" t="n"/>
      <c r="E465" s="334" t="n"/>
      <c r="F465" s="334" t="n"/>
      <c r="G465" s="334" t="n"/>
      <c r="H465" s="334" t="n"/>
      <c r="I465" s="332">
        <f>IFERROR(VLOOKUP(TEXT(H465,"0"),IPRESS!$A$3:$B$212,2,0),"")</f>
        <v/>
      </c>
      <c r="J465" s="334" t="n"/>
      <c r="K465" s="332">
        <f>IFERROR(VLOOKUP(TEXT(O465,"0"),CONDUCTORES!$A$3:$G$54,7,0),"")</f>
        <v/>
      </c>
      <c r="L465" s="334" t="n"/>
      <c r="M465" s="334" t="n"/>
      <c r="N465" s="333">
        <f>IFERROR(IF(L465*M465=0,"",L465*M465),"")</f>
        <v/>
      </c>
      <c r="O465" s="334" t="n"/>
      <c r="P465" s="332">
        <f>IFERROR(VLOOKUP(TEXT(O465,"0"),CONDUCTORES!$A$3:$G$54,2,0),"")</f>
        <v/>
      </c>
      <c r="Q465" s="332">
        <f>IFERROR(VLOOKUP(TEXT(O465,"0"),CONDUCTORES!$A$3:$H$54,6,0),"")</f>
        <v/>
      </c>
      <c r="R465" s="334" t="n"/>
      <c r="S465" s="334" t="n"/>
      <c r="T465" s="334" t="n"/>
      <c r="U465" s="334" t="n"/>
      <c r="V465" s="334" t="n"/>
      <c r="W465" s="334" t="n"/>
      <c r="X465" s="334" t="n"/>
      <c r="Y465" s="334" t="n"/>
      <c r="Z465" s="375">
        <f>IF(AND(G465&lt;&gt;"",R465&lt;&gt;"",V465&lt;&gt;"",W465&lt;&gt;""),"COMPLETADO","OBSERVADO")</f>
        <v/>
      </c>
    </row>
    <row r="466" ht="15" customHeight="1" s="195">
      <c r="A466" s="280" t="n"/>
      <c r="B466" s="280" t="n"/>
      <c r="C466" s="280" t="n"/>
      <c r="D466" s="280" t="n"/>
      <c r="E466" s="280" t="n"/>
      <c r="F466" s="280" t="n"/>
      <c r="G466" s="280" t="n"/>
      <c r="H466" s="280" t="n"/>
      <c r="I466" s="332">
        <f>IFERROR(VLOOKUP(TEXT(H466,"0"),IPRESS!$A$3:$B$212,2,0),"")</f>
        <v/>
      </c>
      <c r="J466" s="280" t="n"/>
      <c r="K466" s="332">
        <f>IFERROR(VLOOKUP(TEXT(O466,"0"),CONDUCTORES!$A$3:$G$54,7,0),"")</f>
        <v/>
      </c>
      <c r="L466" s="280" t="n"/>
      <c r="M466" s="280" t="n"/>
      <c r="N466" s="333">
        <f>IFERROR(IF(L466*M466=0,"",L466*M466),"")</f>
        <v/>
      </c>
      <c r="O466" s="280" t="n"/>
      <c r="P466" s="332">
        <f>IFERROR(VLOOKUP(TEXT(O466,"0"),CONDUCTORES!$A$3:$G$54,2,0),"")</f>
        <v/>
      </c>
      <c r="Q466" s="332">
        <f>IFERROR(VLOOKUP(TEXT(O466,"0"),CONDUCTORES!$A$3:$H$54,6,0),"")</f>
        <v/>
      </c>
      <c r="R466" s="280" t="n"/>
      <c r="S466" s="280" t="n"/>
      <c r="T466" s="280" t="n"/>
      <c r="U466" s="280" t="n"/>
      <c r="V466" s="280" t="n"/>
      <c r="W466" s="280" t="n"/>
      <c r="X466" s="280" t="n"/>
      <c r="Y466" s="280" t="n"/>
      <c r="Z466" s="375">
        <f>IF(AND(G466&lt;&gt;"",R466&lt;&gt;"",V466&lt;&gt;"",W466&lt;&gt;""),"COMPLETADO","OBSERVADO")</f>
        <v/>
      </c>
    </row>
    <row r="467" ht="15" customHeight="1" s="195">
      <c r="A467" s="334" t="n"/>
      <c r="B467" s="334" t="n"/>
      <c r="C467" s="334" t="n"/>
      <c r="D467" s="334" t="n"/>
      <c r="E467" s="334" t="n"/>
      <c r="F467" s="334" t="n"/>
      <c r="G467" s="334" t="n"/>
      <c r="H467" s="334" t="n"/>
      <c r="I467" s="332">
        <f>IFERROR(VLOOKUP(TEXT(H467,"0"),IPRESS!$A$3:$B$212,2,0),"")</f>
        <v/>
      </c>
      <c r="J467" s="334" t="n"/>
      <c r="K467" s="332">
        <f>IFERROR(VLOOKUP(TEXT(O467,"0"),CONDUCTORES!$A$3:$G$54,7,0),"")</f>
        <v/>
      </c>
      <c r="L467" s="334" t="n"/>
      <c r="M467" s="334" t="n"/>
      <c r="N467" s="333">
        <f>IFERROR(IF(L467*M467=0,"",L467*M467),"")</f>
        <v/>
      </c>
      <c r="O467" s="334" t="n"/>
      <c r="P467" s="332">
        <f>IFERROR(VLOOKUP(TEXT(O467,"0"),CONDUCTORES!$A$3:$G$54,2,0),"")</f>
        <v/>
      </c>
      <c r="Q467" s="332">
        <f>IFERROR(VLOOKUP(TEXT(O467,"0"),CONDUCTORES!$A$3:$H$54,6,0),"")</f>
        <v/>
      </c>
      <c r="R467" s="334" t="n"/>
      <c r="S467" s="334" t="n"/>
      <c r="T467" s="334" t="n"/>
      <c r="U467" s="334" t="n"/>
      <c r="V467" s="334" t="n"/>
      <c r="W467" s="334" t="n"/>
      <c r="X467" s="334" t="n"/>
      <c r="Y467" s="334" t="n"/>
      <c r="Z467" s="375">
        <f>IF(AND(G467&lt;&gt;"",R467&lt;&gt;"",V467&lt;&gt;"",W467&lt;&gt;""),"COMPLETADO","OBSERVADO")</f>
        <v/>
      </c>
    </row>
    <row r="468" ht="15" customHeight="1" s="195">
      <c r="A468" s="280" t="n"/>
      <c r="B468" s="280" t="n"/>
      <c r="C468" s="280" t="n"/>
      <c r="D468" s="280" t="n"/>
      <c r="E468" s="280" t="n"/>
      <c r="F468" s="280" t="n"/>
      <c r="G468" s="280" t="n"/>
      <c r="H468" s="280" t="n"/>
      <c r="I468" s="332">
        <f>IFERROR(VLOOKUP(TEXT(H468,"0"),IPRESS!$A$3:$B$212,2,0),"")</f>
        <v/>
      </c>
      <c r="J468" s="280" t="n"/>
      <c r="K468" s="332">
        <f>IFERROR(VLOOKUP(TEXT(O468,"0"),CONDUCTORES!$A$3:$G$54,7,0),"")</f>
        <v/>
      </c>
      <c r="L468" s="280" t="n"/>
      <c r="M468" s="280" t="n"/>
      <c r="N468" s="333">
        <f>IFERROR(IF(L468*M468=0,"",L468*M468),"")</f>
        <v/>
      </c>
      <c r="O468" s="280" t="n"/>
      <c r="P468" s="332">
        <f>IFERROR(VLOOKUP(TEXT(O468,"0"),CONDUCTORES!$A$3:$G$54,2,0),"")</f>
        <v/>
      </c>
      <c r="Q468" s="332">
        <f>IFERROR(VLOOKUP(TEXT(O468,"0"),CONDUCTORES!$A$3:$H$54,6,0),"")</f>
        <v/>
      </c>
      <c r="R468" s="280" t="n"/>
      <c r="S468" s="280" t="n"/>
      <c r="T468" s="280" t="n"/>
      <c r="U468" s="280" t="n"/>
      <c r="V468" s="280" t="n"/>
      <c r="W468" s="280" t="n"/>
      <c r="X468" s="280" t="n"/>
      <c r="Y468" s="280" t="n"/>
      <c r="Z468" s="375">
        <f>IF(AND(G468&lt;&gt;"",R468&lt;&gt;"",V468&lt;&gt;"",W468&lt;&gt;""),"COMPLETADO","OBSERVADO")</f>
        <v/>
      </c>
    </row>
    <row r="469" ht="15" customHeight="1" s="195">
      <c r="A469" s="334" t="n"/>
      <c r="B469" s="334" t="n"/>
      <c r="C469" s="334" t="n"/>
      <c r="D469" s="334" t="n"/>
      <c r="E469" s="334" t="n"/>
      <c r="F469" s="334" t="n"/>
      <c r="G469" s="334" t="n"/>
      <c r="H469" s="334" t="n"/>
      <c r="I469" s="332">
        <f>IFERROR(VLOOKUP(TEXT(H469,"0"),IPRESS!$A$3:$B$212,2,0),"")</f>
        <v/>
      </c>
      <c r="J469" s="334" t="n"/>
      <c r="K469" s="332">
        <f>IFERROR(VLOOKUP(TEXT(O469,"0"),CONDUCTORES!$A$3:$G$54,7,0),"")</f>
        <v/>
      </c>
      <c r="L469" s="334" t="n"/>
      <c r="M469" s="334" t="n"/>
      <c r="N469" s="333">
        <f>IFERROR(IF(L469*M469=0,"",L469*M469),"")</f>
        <v/>
      </c>
      <c r="O469" s="334" t="n"/>
      <c r="P469" s="332">
        <f>IFERROR(VLOOKUP(TEXT(O469,"0"),CONDUCTORES!$A$3:$G$54,2,0),"")</f>
        <v/>
      </c>
      <c r="Q469" s="332">
        <f>IFERROR(VLOOKUP(TEXT(O469,"0"),CONDUCTORES!$A$3:$H$54,6,0),"")</f>
        <v/>
      </c>
      <c r="R469" s="334" t="n"/>
      <c r="S469" s="334" t="n"/>
      <c r="T469" s="334" t="n"/>
      <c r="U469" s="334" t="n"/>
      <c r="V469" s="334" t="n"/>
      <c r="W469" s="334" t="n"/>
      <c r="X469" s="334" t="n"/>
      <c r="Y469" s="334" t="n"/>
      <c r="Z469" s="375">
        <f>IF(AND(G469&lt;&gt;"",R469&lt;&gt;"",V469&lt;&gt;"",W469&lt;&gt;""),"COMPLETADO","OBSERVADO")</f>
        <v/>
      </c>
    </row>
    <row r="470" ht="15" customHeight="1" s="195">
      <c r="A470" s="280" t="n"/>
      <c r="B470" s="280" t="n"/>
      <c r="C470" s="280" t="n"/>
      <c r="D470" s="280" t="n"/>
      <c r="E470" s="280" t="n"/>
      <c r="F470" s="280" t="n"/>
      <c r="G470" s="280" t="n"/>
      <c r="H470" s="280" t="n"/>
      <c r="I470" s="332">
        <f>IFERROR(VLOOKUP(TEXT(H470,"0"),IPRESS!$A$3:$B$212,2,0),"")</f>
        <v/>
      </c>
      <c r="J470" s="280" t="n"/>
      <c r="K470" s="332">
        <f>IFERROR(VLOOKUP(TEXT(O470,"0"),CONDUCTORES!$A$3:$G$54,7,0),"")</f>
        <v/>
      </c>
      <c r="L470" s="280" t="n"/>
      <c r="M470" s="280" t="n"/>
      <c r="N470" s="333">
        <f>IFERROR(IF(L470*M470=0,"",L470*M470),"")</f>
        <v/>
      </c>
      <c r="O470" s="280" t="n"/>
      <c r="P470" s="332">
        <f>IFERROR(VLOOKUP(TEXT(O470,"0"),CONDUCTORES!$A$3:$G$54,2,0),"")</f>
        <v/>
      </c>
      <c r="Q470" s="332">
        <f>IFERROR(VLOOKUP(TEXT(O470,"0"),CONDUCTORES!$A$3:$H$54,6,0),"")</f>
        <v/>
      </c>
      <c r="R470" s="280" t="n"/>
      <c r="S470" s="280" t="n"/>
      <c r="T470" s="280" t="n"/>
      <c r="U470" s="280" t="n"/>
      <c r="V470" s="280" t="n"/>
      <c r="W470" s="280" t="n"/>
      <c r="X470" s="280" t="n"/>
      <c r="Y470" s="280" t="n"/>
      <c r="Z470" s="375">
        <f>IF(AND(G470&lt;&gt;"",R470&lt;&gt;"",V470&lt;&gt;"",W470&lt;&gt;""),"COMPLETADO","OBSERVADO")</f>
        <v/>
      </c>
    </row>
    <row r="471" ht="15" customHeight="1" s="195">
      <c r="A471" s="334" t="n"/>
      <c r="B471" s="334" t="n"/>
      <c r="C471" s="334" t="n"/>
      <c r="D471" s="334" t="n"/>
      <c r="E471" s="334" t="n"/>
      <c r="F471" s="334" t="n"/>
      <c r="G471" s="334" t="n"/>
      <c r="H471" s="334" t="n"/>
      <c r="I471" s="332">
        <f>IFERROR(VLOOKUP(TEXT(H471,"0"),IPRESS!$A$3:$B$212,2,0),"")</f>
        <v/>
      </c>
      <c r="J471" s="334" t="n"/>
      <c r="K471" s="332">
        <f>IFERROR(VLOOKUP(TEXT(O471,"0"),CONDUCTORES!$A$3:$G$54,7,0),"")</f>
        <v/>
      </c>
      <c r="L471" s="334" t="n"/>
      <c r="M471" s="334" t="n"/>
      <c r="N471" s="333">
        <f>IFERROR(IF(L471*M471=0,"",L471*M471),"")</f>
        <v/>
      </c>
      <c r="O471" s="334" t="n"/>
      <c r="P471" s="332">
        <f>IFERROR(VLOOKUP(TEXT(O471,"0"),CONDUCTORES!$A$3:$G$54,2,0),"")</f>
        <v/>
      </c>
      <c r="Q471" s="332">
        <f>IFERROR(VLOOKUP(TEXT(O471,"0"),CONDUCTORES!$A$3:$H$54,6,0),"")</f>
        <v/>
      </c>
      <c r="R471" s="334" t="n"/>
      <c r="S471" s="334" t="n"/>
      <c r="T471" s="334" t="n"/>
      <c r="U471" s="334" t="n"/>
      <c r="V471" s="334" t="n"/>
      <c r="W471" s="334" t="n"/>
      <c r="X471" s="334" t="n"/>
      <c r="Y471" s="334" t="n"/>
      <c r="Z471" s="375">
        <f>IF(AND(G471&lt;&gt;"",R471&lt;&gt;"",V471&lt;&gt;"",W471&lt;&gt;""),"COMPLETADO","OBSERVADO")</f>
        <v/>
      </c>
    </row>
    <row r="472" ht="15" customHeight="1" s="195">
      <c r="A472" s="280" t="n"/>
      <c r="B472" s="280" t="n"/>
      <c r="C472" s="280" t="n"/>
      <c r="D472" s="280" t="n"/>
      <c r="E472" s="280" t="n"/>
      <c r="F472" s="280" t="n"/>
      <c r="G472" s="280" t="n"/>
      <c r="H472" s="280" t="n"/>
      <c r="I472" s="332">
        <f>IFERROR(VLOOKUP(TEXT(H472,"0"),IPRESS!$A$3:$B$212,2,0),"")</f>
        <v/>
      </c>
      <c r="J472" s="280" t="n"/>
      <c r="K472" s="332">
        <f>IFERROR(VLOOKUP(TEXT(O472,"0"),CONDUCTORES!$A$3:$G$54,7,0),"")</f>
        <v/>
      </c>
      <c r="L472" s="280" t="n"/>
      <c r="M472" s="280" t="n"/>
      <c r="N472" s="333">
        <f>IFERROR(IF(L472*M472=0,"",L472*M472),"")</f>
        <v/>
      </c>
      <c r="O472" s="280" t="n"/>
      <c r="P472" s="332">
        <f>IFERROR(VLOOKUP(TEXT(O472,"0"),CONDUCTORES!$A$3:$G$54,2,0),"")</f>
        <v/>
      </c>
      <c r="Q472" s="332">
        <f>IFERROR(VLOOKUP(TEXT(O472,"0"),CONDUCTORES!$A$3:$H$54,6,0),"")</f>
        <v/>
      </c>
      <c r="R472" s="280" t="n"/>
      <c r="S472" s="280" t="n"/>
      <c r="T472" s="280" t="n"/>
      <c r="U472" s="280" t="n"/>
      <c r="V472" s="280" t="n"/>
      <c r="W472" s="280" t="n"/>
      <c r="X472" s="280" t="n"/>
      <c r="Y472" s="280" t="n"/>
      <c r="Z472" s="375">
        <f>IF(AND(G472&lt;&gt;"",R472&lt;&gt;"",V472&lt;&gt;"",W472&lt;&gt;""),"COMPLETADO","OBSERVADO")</f>
        <v/>
      </c>
    </row>
    <row r="473" ht="15" customHeight="1" s="195">
      <c r="A473" s="334" t="n"/>
      <c r="B473" s="334" t="n"/>
      <c r="C473" s="334" t="n"/>
      <c r="D473" s="334" t="n"/>
      <c r="E473" s="334" t="n"/>
      <c r="F473" s="334" t="n"/>
      <c r="G473" s="334" t="n"/>
      <c r="H473" s="334" t="n"/>
      <c r="I473" s="332">
        <f>IFERROR(VLOOKUP(TEXT(H473,"0"),IPRESS!$A$3:$B$212,2,0),"")</f>
        <v/>
      </c>
      <c r="J473" s="334" t="n"/>
      <c r="K473" s="332">
        <f>IFERROR(VLOOKUP(TEXT(O473,"0"),CONDUCTORES!$A$3:$G$54,7,0),"")</f>
        <v/>
      </c>
      <c r="L473" s="334" t="n"/>
      <c r="M473" s="334" t="n"/>
      <c r="N473" s="333">
        <f>IFERROR(IF(L473*M473=0,"",L473*M473),"")</f>
        <v/>
      </c>
      <c r="O473" s="334" t="n"/>
      <c r="P473" s="332">
        <f>IFERROR(VLOOKUP(TEXT(O473,"0"),CONDUCTORES!$A$3:$G$54,2,0),"")</f>
        <v/>
      </c>
      <c r="Q473" s="332">
        <f>IFERROR(VLOOKUP(TEXT(O473,"0"),CONDUCTORES!$A$3:$H$54,6,0),"")</f>
        <v/>
      </c>
      <c r="R473" s="334" t="n"/>
      <c r="S473" s="334" t="n"/>
      <c r="T473" s="334" t="n"/>
      <c r="U473" s="334" t="n"/>
      <c r="V473" s="334" t="n"/>
      <c r="W473" s="334" t="n"/>
      <c r="X473" s="334" t="n"/>
      <c r="Y473" s="334" t="n"/>
      <c r="Z473" s="375">
        <f>IF(AND(G473&lt;&gt;"",R473&lt;&gt;"",V473&lt;&gt;"",W473&lt;&gt;""),"COMPLETADO","OBSERVADO")</f>
        <v/>
      </c>
    </row>
    <row r="474" ht="15" customHeight="1" s="195">
      <c r="A474" s="280" t="n"/>
      <c r="B474" s="280" t="n"/>
      <c r="C474" s="280" t="n"/>
      <c r="D474" s="280" t="n"/>
      <c r="E474" s="280" t="n"/>
      <c r="F474" s="280" t="n"/>
      <c r="G474" s="280" t="n"/>
      <c r="H474" s="280" t="n"/>
      <c r="I474" s="332">
        <f>IFERROR(VLOOKUP(TEXT(H474,"0"),IPRESS!$A$3:$B$212,2,0),"")</f>
        <v/>
      </c>
      <c r="J474" s="280" t="n"/>
      <c r="K474" s="332">
        <f>IFERROR(VLOOKUP(TEXT(O474,"0"),CONDUCTORES!$A$3:$G$54,7,0),"")</f>
        <v/>
      </c>
      <c r="L474" s="280" t="n"/>
      <c r="M474" s="280" t="n"/>
      <c r="N474" s="333">
        <f>IFERROR(IF(L474*M474=0,"",L474*M474),"")</f>
        <v/>
      </c>
      <c r="O474" s="280" t="n"/>
      <c r="P474" s="332">
        <f>IFERROR(VLOOKUP(TEXT(O474,"0"),CONDUCTORES!$A$3:$G$54,2,0),"")</f>
        <v/>
      </c>
      <c r="Q474" s="332">
        <f>IFERROR(VLOOKUP(TEXT(O474,"0"),CONDUCTORES!$A$3:$H$54,6,0),"")</f>
        <v/>
      </c>
      <c r="R474" s="280" t="n"/>
      <c r="S474" s="280" t="n"/>
      <c r="T474" s="280" t="n"/>
      <c r="U474" s="280" t="n"/>
      <c r="V474" s="280" t="n"/>
      <c r="W474" s="280" t="n"/>
      <c r="X474" s="280" t="n"/>
      <c r="Y474" s="280" t="n"/>
      <c r="Z474" s="375">
        <f>IF(AND(G474&lt;&gt;"",R474&lt;&gt;"",V474&lt;&gt;"",W474&lt;&gt;""),"COMPLETADO","OBSERVADO")</f>
        <v/>
      </c>
    </row>
    <row r="475" ht="15" customHeight="1" s="195">
      <c r="A475" s="334" t="n"/>
      <c r="B475" s="334" t="n"/>
      <c r="C475" s="334" t="n"/>
      <c r="D475" s="334" t="n"/>
      <c r="E475" s="334" t="n"/>
      <c r="F475" s="334" t="n"/>
      <c r="G475" s="334" t="n"/>
      <c r="H475" s="334" t="n"/>
      <c r="I475" s="332">
        <f>IFERROR(VLOOKUP(TEXT(H475,"0"),IPRESS!$A$3:$B$212,2,0),"")</f>
        <v/>
      </c>
      <c r="J475" s="334" t="n"/>
      <c r="K475" s="332">
        <f>IFERROR(VLOOKUP(TEXT(O475,"0"),CONDUCTORES!$A$3:$G$54,7,0),"")</f>
        <v/>
      </c>
      <c r="L475" s="334" t="n"/>
      <c r="M475" s="334" t="n"/>
      <c r="N475" s="333">
        <f>IFERROR(IF(L475*M475=0,"",L475*M475),"")</f>
        <v/>
      </c>
      <c r="O475" s="334" t="n"/>
      <c r="P475" s="332">
        <f>IFERROR(VLOOKUP(TEXT(O475,"0"),CONDUCTORES!$A$3:$G$54,2,0),"")</f>
        <v/>
      </c>
      <c r="Q475" s="332">
        <f>IFERROR(VLOOKUP(TEXT(O475,"0"),CONDUCTORES!$A$3:$H$54,6,0),"")</f>
        <v/>
      </c>
      <c r="R475" s="334" t="n"/>
      <c r="S475" s="334" t="n"/>
      <c r="T475" s="334" t="n"/>
      <c r="U475" s="334" t="n"/>
      <c r="V475" s="334" t="n"/>
      <c r="W475" s="334" t="n"/>
      <c r="X475" s="334" t="n"/>
      <c r="Y475" s="334" t="n"/>
      <c r="Z475" s="375">
        <f>IF(AND(G475&lt;&gt;"",R475&lt;&gt;"",V475&lt;&gt;"",W475&lt;&gt;""),"COMPLETADO","OBSERVADO")</f>
        <v/>
      </c>
    </row>
    <row r="476" ht="15" customHeight="1" s="195">
      <c r="A476" s="280" t="n"/>
      <c r="B476" s="280" t="n"/>
      <c r="C476" s="280" t="n"/>
      <c r="D476" s="280" t="n"/>
      <c r="E476" s="280" t="n"/>
      <c r="F476" s="280" t="n"/>
      <c r="G476" s="280" t="n"/>
      <c r="H476" s="280" t="n"/>
      <c r="I476" s="332">
        <f>IFERROR(VLOOKUP(TEXT(H476,"0"),IPRESS!$A$3:$B$212,2,0),"")</f>
        <v/>
      </c>
      <c r="J476" s="280" t="n"/>
      <c r="K476" s="332">
        <f>IFERROR(VLOOKUP(TEXT(O476,"0"),CONDUCTORES!$A$3:$G$54,7,0),"")</f>
        <v/>
      </c>
      <c r="L476" s="280" t="n"/>
      <c r="M476" s="280" t="n"/>
      <c r="N476" s="333">
        <f>IFERROR(IF(L476*M476=0,"",L476*M476),"")</f>
        <v/>
      </c>
      <c r="O476" s="280" t="n"/>
      <c r="P476" s="332">
        <f>IFERROR(VLOOKUP(TEXT(O476,"0"),CONDUCTORES!$A$3:$G$54,2,0),"")</f>
        <v/>
      </c>
      <c r="Q476" s="332">
        <f>IFERROR(VLOOKUP(TEXT(O476,"0"),CONDUCTORES!$A$3:$H$54,6,0),"")</f>
        <v/>
      </c>
      <c r="R476" s="280" t="n"/>
      <c r="S476" s="280" t="n"/>
      <c r="T476" s="280" t="n"/>
      <c r="U476" s="280" t="n"/>
      <c r="V476" s="280" t="n"/>
      <c r="W476" s="280" t="n"/>
      <c r="X476" s="280" t="n"/>
      <c r="Y476" s="280" t="n"/>
      <c r="Z476" s="375">
        <f>IF(AND(G476&lt;&gt;"",R476&lt;&gt;"",V476&lt;&gt;"",W476&lt;&gt;""),"COMPLETADO","OBSERVADO")</f>
        <v/>
      </c>
    </row>
    <row r="477" ht="15" customHeight="1" s="195">
      <c r="A477" s="334" t="n"/>
      <c r="B477" s="334" t="n"/>
      <c r="C477" s="334" t="n"/>
      <c r="D477" s="334" t="n"/>
      <c r="E477" s="334" t="n"/>
      <c r="F477" s="334" t="n"/>
      <c r="G477" s="334" t="n"/>
      <c r="H477" s="334" t="n"/>
      <c r="I477" s="332">
        <f>IFERROR(VLOOKUP(TEXT(H477,"0"),IPRESS!$A$3:$B$212,2,0),"")</f>
        <v/>
      </c>
      <c r="J477" s="334" t="n"/>
      <c r="K477" s="332">
        <f>IFERROR(VLOOKUP(TEXT(O477,"0"),CONDUCTORES!$A$3:$G$54,7,0),"")</f>
        <v/>
      </c>
      <c r="L477" s="334" t="n"/>
      <c r="M477" s="334" t="n"/>
      <c r="N477" s="333">
        <f>IFERROR(IF(L477*M477=0,"",L477*M477),"")</f>
        <v/>
      </c>
      <c r="O477" s="334" t="n"/>
      <c r="P477" s="332">
        <f>IFERROR(VLOOKUP(TEXT(O477,"0"),CONDUCTORES!$A$3:$G$54,2,0),"")</f>
        <v/>
      </c>
      <c r="Q477" s="332">
        <f>IFERROR(VLOOKUP(TEXT(O477,"0"),CONDUCTORES!$A$3:$H$54,6,0),"")</f>
        <v/>
      </c>
      <c r="R477" s="334" t="n"/>
      <c r="S477" s="334" t="n"/>
      <c r="T477" s="334" t="n"/>
      <c r="U477" s="334" t="n"/>
      <c r="V477" s="334" t="n"/>
      <c r="W477" s="334" t="n"/>
      <c r="X477" s="334" t="n"/>
      <c r="Y477" s="334" t="n"/>
      <c r="Z477" s="375">
        <f>IF(AND(G477&lt;&gt;"",R477&lt;&gt;"",V477&lt;&gt;"",W477&lt;&gt;""),"COMPLETADO","OBSERVADO")</f>
        <v/>
      </c>
    </row>
    <row r="478" ht="15" customHeight="1" s="195">
      <c r="A478" s="280" t="n"/>
      <c r="B478" s="280" t="n"/>
      <c r="C478" s="280" t="n"/>
      <c r="D478" s="280" t="n"/>
      <c r="E478" s="280" t="n"/>
      <c r="F478" s="280" t="n"/>
      <c r="G478" s="280" t="n"/>
      <c r="H478" s="280" t="n"/>
      <c r="I478" s="332">
        <f>IFERROR(VLOOKUP(TEXT(H478,"0"),IPRESS!$A$3:$B$212,2,0),"")</f>
        <v/>
      </c>
      <c r="J478" s="280" t="n"/>
      <c r="K478" s="332">
        <f>IFERROR(VLOOKUP(TEXT(O478,"0"),CONDUCTORES!$A$3:$G$54,7,0),"")</f>
        <v/>
      </c>
      <c r="L478" s="280" t="n"/>
      <c r="M478" s="280" t="n"/>
      <c r="N478" s="333">
        <f>IFERROR(IF(L478*M478=0,"",L478*M478),"")</f>
        <v/>
      </c>
      <c r="O478" s="280" t="n"/>
      <c r="P478" s="332">
        <f>IFERROR(VLOOKUP(TEXT(O478,"0"),CONDUCTORES!$A$3:$G$54,2,0),"")</f>
        <v/>
      </c>
      <c r="Q478" s="332">
        <f>IFERROR(VLOOKUP(TEXT(O478,"0"),CONDUCTORES!$A$3:$H$54,6,0),"")</f>
        <v/>
      </c>
      <c r="R478" s="280" t="n"/>
      <c r="S478" s="280" t="n"/>
      <c r="T478" s="280" t="n"/>
      <c r="U478" s="280" t="n"/>
      <c r="V478" s="280" t="n"/>
      <c r="W478" s="280" t="n"/>
      <c r="X478" s="280" t="n"/>
      <c r="Y478" s="280" t="n"/>
      <c r="Z478" s="375">
        <f>IF(AND(G478&lt;&gt;"",R478&lt;&gt;"",V478&lt;&gt;"",W478&lt;&gt;""),"COMPLETADO","OBSERVADO")</f>
        <v/>
      </c>
    </row>
    <row r="479" ht="15" customHeight="1" s="195">
      <c r="A479" s="334" t="n"/>
      <c r="B479" s="334" t="n"/>
      <c r="C479" s="334" t="n"/>
      <c r="D479" s="334" t="n"/>
      <c r="E479" s="334" t="n"/>
      <c r="F479" s="334" t="n"/>
      <c r="G479" s="334" t="n"/>
      <c r="H479" s="334" t="n"/>
      <c r="I479" s="332">
        <f>IFERROR(VLOOKUP(TEXT(H479,"0"),IPRESS!$A$3:$B$212,2,0),"")</f>
        <v/>
      </c>
      <c r="J479" s="334" t="n"/>
      <c r="K479" s="332">
        <f>IFERROR(VLOOKUP(TEXT(O479,"0"),CONDUCTORES!$A$3:$G$54,7,0),"")</f>
        <v/>
      </c>
      <c r="L479" s="334" t="n"/>
      <c r="M479" s="334" t="n"/>
      <c r="N479" s="333">
        <f>IFERROR(IF(L479*M479=0,"",L479*M479),"")</f>
        <v/>
      </c>
      <c r="O479" s="334" t="n"/>
      <c r="P479" s="332">
        <f>IFERROR(VLOOKUP(TEXT(O479,"0"),CONDUCTORES!$A$3:$G$54,2,0),"")</f>
        <v/>
      </c>
      <c r="Q479" s="332">
        <f>IFERROR(VLOOKUP(TEXT(O479,"0"),CONDUCTORES!$A$3:$H$54,6,0),"")</f>
        <v/>
      </c>
      <c r="R479" s="334" t="n"/>
      <c r="S479" s="334" t="n"/>
      <c r="T479" s="334" t="n"/>
      <c r="U479" s="334" t="n"/>
      <c r="V479" s="334" t="n"/>
      <c r="W479" s="334" t="n"/>
      <c r="X479" s="334" t="n"/>
      <c r="Y479" s="334" t="n"/>
      <c r="Z479" s="375">
        <f>IF(AND(G479&lt;&gt;"",R479&lt;&gt;"",V479&lt;&gt;"",W479&lt;&gt;""),"COMPLETADO","OBSERVADO")</f>
        <v/>
      </c>
    </row>
    <row r="480" ht="15" customHeight="1" s="195">
      <c r="A480" s="280" t="n"/>
      <c r="B480" s="280" t="n"/>
      <c r="C480" s="280" t="n"/>
      <c r="D480" s="280" t="n"/>
      <c r="E480" s="280" t="n"/>
      <c r="F480" s="280" t="n"/>
      <c r="G480" s="280" t="n"/>
      <c r="H480" s="280" t="n"/>
      <c r="I480" s="332">
        <f>IFERROR(VLOOKUP(TEXT(H480,"0"),IPRESS!$A$3:$B$212,2,0),"")</f>
        <v/>
      </c>
      <c r="J480" s="280" t="n"/>
      <c r="K480" s="332">
        <f>IFERROR(VLOOKUP(TEXT(O480,"0"),CONDUCTORES!$A$3:$G$54,7,0),"")</f>
        <v/>
      </c>
      <c r="L480" s="280" t="n"/>
      <c r="M480" s="280" t="n"/>
      <c r="N480" s="333">
        <f>IFERROR(IF(L480*M480=0,"",L480*M480),"")</f>
        <v/>
      </c>
      <c r="O480" s="280" t="n"/>
      <c r="P480" s="332">
        <f>IFERROR(VLOOKUP(TEXT(O480,"0"),CONDUCTORES!$A$3:$G$54,2,0),"")</f>
        <v/>
      </c>
      <c r="Q480" s="332">
        <f>IFERROR(VLOOKUP(TEXT(O480,"0"),CONDUCTORES!$A$3:$H$54,6,0),"")</f>
        <v/>
      </c>
      <c r="R480" s="280" t="n"/>
      <c r="S480" s="280" t="n"/>
      <c r="T480" s="280" t="n"/>
      <c r="U480" s="280" t="n"/>
      <c r="V480" s="280" t="n"/>
      <c r="W480" s="280" t="n"/>
      <c r="X480" s="280" t="n"/>
      <c r="Y480" s="280" t="n"/>
      <c r="Z480" s="375">
        <f>IF(AND(G480&lt;&gt;"",R480&lt;&gt;"",V480&lt;&gt;"",W480&lt;&gt;""),"COMPLETADO","OBSERVADO")</f>
        <v/>
      </c>
    </row>
    <row r="481" ht="15" customHeight="1" s="195">
      <c r="A481" s="334" t="n"/>
      <c r="B481" s="334" t="n"/>
      <c r="C481" s="334" t="n"/>
      <c r="D481" s="334" t="n"/>
      <c r="E481" s="334" t="n"/>
      <c r="F481" s="334" t="n"/>
      <c r="G481" s="334" t="n"/>
      <c r="H481" s="334" t="n"/>
      <c r="I481" s="332">
        <f>IFERROR(VLOOKUP(TEXT(H481,"0"),IPRESS!$A$3:$B$212,2,0),"")</f>
        <v/>
      </c>
      <c r="J481" s="334" t="n"/>
      <c r="K481" s="332">
        <f>IFERROR(VLOOKUP(TEXT(O481,"0"),CONDUCTORES!$A$3:$G$54,7,0),"")</f>
        <v/>
      </c>
      <c r="L481" s="334" t="n"/>
      <c r="M481" s="334" t="n"/>
      <c r="N481" s="333">
        <f>IFERROR(IF(L481*M481=0,"",L481*M481),"")</f>
        <v/>
      </c>
      <c r="O481" s="334" t="n"/>
      <c r="P481" s="332">
        <f>IFERROR(VLOOKUP(TEXT(O481,"0"),CONDUCTORES!$A$3:$G$54,2,0),"")</f>
        <v/>
      </c>
      <c r="Q481" s="332">
        <f>IFERROR(VLOOKUP(TEXT(O481,"0"),CONDUCTORES!$A$3:$H$54,6,0),"")</f>
        <v/>
      </c>
      <c r="R481" s="334" t="n"/>
      <c r="S481" s="334" t="n"/>
      <c r="T481" s="334" t="n"/>
      <c r="U481" s="334" t="n"/>
      <c r="V481" s="334" t="n"/>
      <c r="W481" s="334" t="n"/>
      <c r="X481" s="334" t="n"/>
      <c r="Y481" s="334" t="n"/>
      <c r="Z481" s="375">
        <f>IF(AND(G481&lt;&gt;"",R481&lt;&gt;"",V481&lt;&gt;"",W481&lt;&gt;""),"COMPLETADO","OBSERVADO")</f>
        <v/>
      </c>
    </row>
    <row r="482" ht="15" customHeight="1" s="195">
      <c r="A482" s="280" t="n"/>
      <c r="B482" s="280" t="n"/>
      <c r="C482" s="280" t="n"/>
      <c r="D482" s="280" t="n"/>
      <c r="E482" s="280" t="n"/>
      <c r="F482" s="280" t="n"/>
      <c r="G482" s="280" t="n"/>
      <c r="H482" s="280" t="n"/>
      <c r="I482" s="332">
        <f>IFERROR(VLOOKUP(TEXT(H482,"0"),IPRESS!$A$3:$B$212,2,0),"")</f>
        <v/>
      </c>
      <c r="J482" s="280" t="n"/>
      <c r="K482" s="332">
        <f>IFERROR(VLOOKUP(TEXT(O482,"0"),CONDUCTORES!$A$3:$G$54,7,0),"")</f>
        <v/>
      </c>
      <c r="L482" s="280" t="n"/>
      <c r="M482" s="280" t="n"/>
      <c r="N482" s="333">
        <f>IFERROR(IF(L482*M482=0,"",L482*M482),"")</f>
        <v/>
      </c>
      <c r="O482" s="280" t="n"/>
      <c r="P482" s="332">
        <f>IFERROR(VLOOKUP(TEXT(O482,"0"),CONDUCTORES!$A$3:$G$54,2,0),"")</f>
        <v/>
      </c>
      <c r="Q482" s="332">
        <f>IFERROR(VLOOKUP(TEXT(O482,"0"),CONDUCTORES!$A$3:$H$54,6,0),"")</f>
        <v/>
      </c>
      <c r="R482" s="280" t="n"/>
      <c r="S482" s="280" t="n"/>
      <c r="T482" s="280" t="n"/>
      <c r="U482" s="280" t="n"/>
      <c r="V482" s="280" t="n"/>
      <c r="W482" s="280" t="n"/>
      <c r="X482" s="280" t="n"/>
      <c r="Y482" s="280" t="n"/>
      <c r="Z482" s="375">
        <f>IF(AND(G482&lt;&gt;"",R482&lt;&gt;"",V482&lt;&gt;"",W482&lt;&gt;""),"COMPLETADO","OBSERVADO")</f>
        <v/>
      </c>
    </row>
    <row r="483" ht="15" customHeight="1" s="195">
      <c r="A483" s="334" t="n"/>
      <c r="B483" s="334" t="n"/>
      <c r="C483" s="334" t="n"/>
      <c r="D483" s="334" t="n"/>
      <c r="E483" s="334" t="n"/>
      <c r="F483" s="334" t="n"/>
      <c r="G483" s="334" t="n"/>
      <c r="H483" s="334" t="n"/>
      <c r="I483" s="332">
        <f>IFERROR(VLOOKUP(TEXT(H483,"0"),IPRESS!$A$3:$B$212,2,0),"")</f>
        <v/>
      </c>
      <c r="J483" s="334" t="n"/>
      <c r="K483" s="332">
        <f>IFERROR(VLOOKUP(TEXT(O483,"0"),CONDUCTORES!$A$3:$G$54,7,0),"")</f>
        <v/>
      </c>
      <c r="L483" s="334" t="n"/>
      <c r="M483" s="334" t="n"/>
      <c r="N483" s="333">
        <f>IFERROR(IF(L483*M483=0,"",L483*M483),"")</f>
        <v/>
      </c>
      <c r="O483" s="334" t="n"/>
      <c r="P483" s="332">
        <f>IFERROR(VLOOKUP(TEXT(O483,"0"),CONDUCTORES!$A$3:$G$54,2,0),"")</f>
        <v/>
      </c>
      <c r="Q483" s="332">
        <f>IFERROR(VLOOKUP(TEXT(O483,"0"),CONDUCTORES!$A$3:$H$54,6,0),"")</f>
        <v/>
      </c>
      <c r="R483" s="334" t="n"/>
      <c r="S483" s="334" t="n"/>
      <c r="T483" s="334" t="n"/>
      <c r="U483" s="334" t="n"/>
      <c r="V483" s="334" t="n"/>
      <c r="W483" s="334" t="n"/>
      <c r="X483" s="334" t="n"/>
      <c r="Y483" s="334" t="n"/>
      <c r="Z483" s="375">
        <f>IF(AND(G483&lt;&gt;"",R483&lt;&gt;"",V483&lt;&gt;"",W483&lt;&gt;""),"COMPLETADO","OBSERVADO")</f>
        <v/>
      </c>
    </row>
    <row r="484" ht="15" customHeight="1" s="195">
      <c r="A484" s="280" t="n"/>
      <c r="B484" s="280" t="n"/>
      <c r="C484" s="280" t="n"/>
      <c r="D484" s="280" t="n"/>
      <c r="E484" s="280" t="n"/>
      <c r="F484" s="280" t="n"/>
      <c r="G484" s="280" t="n"/>
      <c r="H484" s="280" t="n"/>
      <c r="I484" s="332">
        <f>IFERROR(VLOOKUP(TEXT(H484,"0"),IPRESS!$A$3:$B$212,2,0),"")</f>
        <v/>
      </c>
      <c r="J484" s="280" t="n"/>
      <c r="K484" s="332">
        <f>IFERROR(VLOOKUP(TEXT(O484,"0"),CONDUCTORES!$A$3:$G$54,7,0),"")</f>
        <v/>
      </c>
      <c r="L484" s="280" t="n"/>
      <c r="M484" s="280" t="n"/>
      <c r="N484" s="333">
        <f>IFERROR(IF(L484*M484=0,"",L484*M484),"")</f>
        <v/>
      </c>
      <c r="O484" s="280" t="n"/>
      <c r="P484" s="332">
        <f>IFERROR(VLOOKUP(TEXT(O484,"0"),CONDUCTORES!$A$3:$G$54,2,0),"")</f>
        <v/>
      </c>
      <c r="Q484" s="332">
        <f>IFERROR(VLOOKUP(TEXT(O484,"0"),CONDUCTORES!$A$3:$H$54,6,0),"")</f>
        <v/>
      </c>
      <c r="R484" s="280" t="n"/>
      <c r="S484" s="280" t="n"/>
      <c r="T484" s="280" t="n"/>
      <c r="U484" s="280" t="n"/>
      <c r="V484" s="280" t="n"/>
      <c r="W484" s="280" t="n"/>
      <c r="X484" s="280" t="n"/>
      <c r="Y484" s="280" t="n"/>
      <c r="Z484" s="375">
        <f>IF(AND(G484&lt;&gt;"",R484&lt;&gt;"",V484&lt;&gt;"",W484&lt;&gt;""),"COMPLETADO","OBSERVADO")</f>
        <v/>
      </c>
    </row>
    <row r="485" ht="15" customHeight="1" s="195">
      <c r="A485" s="334" t="n"/>
      <c r="B485" s="334" t="n"/>
      <c r="C485" s="334" t="n"/>
      <c r="D485" s="334" t="n"/>
      <c r="E485" s="334" t="n"/>
      <c r="F485" s="334" t="n"/>
      <c r="G485" s="334" t="n"/>
      <c r="H485" s="334" t="n"/>
      <c r="I485" s="332">
        <f>IFERROR(VLOOKUP(TEXT(H485,"0"),IPRESS!$A$3:$B$212,2,0),"")</f>
        <v/>
      </c>
      <c r="J485" s="334" t="n"/>
      <c r="K485" s="332">
        <f>IFERROR(VLOOKUP(TEXT(O485,"0"),CONDUCTORES!$A$3:$G$54,7,0),"")</f>
        <v/>
      </c>
      <c r="L485" s="334" t="n"/>
      <c r="M485" s="334" t="n"/>
      <c r="N485" s="333">
        <f>IFERROR(IF(L485*M485=0,"",L485*M485),"")</f>
        <v/>
      </c>
      <c r="O485" s="334" t="n"/>
      <c r="P485" s="332">
        <f>IFERROR(VLOOKUP(TEXT(O485,"0"),CONDUCTORES!$A$3:$G$54,2,0),"")</f>
        <v/>
      </c>
      <c r="Q485" s="332">
        <f>IFERROR(VLOOKUP(TEXT(O485,"0"),CONDUCTORES!$A$3:$H$54,6,0),"")</f>
        <v/>
      </c>
      <c r="R485" s="334" t="n"/>
      <c r="S485" s="334" t="n"/>
      <c r="T485" s="334" t="n"/>
      <c r="U485" s="334" t="n"/>
      <c r="V485" s="334" t="n"/>
      <c r="W485" s="334" t="n"/>
      <c r="X485" s="334" t="n"/>
      <c r="Y485" s="334" t="n"/>
      <c r="Z485" s="375">
        <f>IF(AND(G485&lt;&gt;"",R485&lt;&gt;"",V485&lt;&gt;"",W485&lt;&gt;""),"COMPLETADO","OBSERVADO")</f>
        <v/>
      </c>
    </row>
    <row r="486" ht="15" customHeight="1" s="195">
      <c r="A486" s="280" t="n"/>
      <c r="B486" s="280" t="n"/>
      <c r="C486" s="280" t="n"/>
      <c r="D486" s="280" t="n"/>
      <c r="E486" s="280" t="n"/>
      <c r="F486" s="280" t="n"/>
      <c r="G486" s="280" t="n"/>
      <c r="H486" s="280" t="n"/>
      <c r="I486" s="332">
        <f>IFERROR(VLOOKUP(TEXT(H486,"0"),IPRESS!$A$3:$B$212,2,0),"")</f>
        <v/>
      </c>
      <c r="J486" s="280" t="n"/>
      <c r="K486" s="332">
        <f>IFERROR(VLOOKUP(TEXT(O486,"0"),CONDUCTORES!$A$3:$G$54,7,0),"")</f>
        <v/>
      </c>
      <c r="L486" s="280" t="n"/>
      <c r="M486" s="280" t="n"/>
      <c r="N486" s="333">
        <f>IFERROR(IF(L486*M486=0,"",L486*M486),"")</f>
        <v/>
      </c>
      <c r="O486" s="280" t="n"/>
      <c r="P486" s="332">
        <f>IFERROR(VLOOKUP(TEXT(O486,"0"),CONDUCTORES!$A$3:$G$54,2,0),"")</f>
        <v/>
      </c>
      <c r="Q486" s="332">
        <f>IFERROR(VLOOKUP(TEXT(O486,"0"),CONDUCTORES!$A$3:$H$54,6,0),"")</f>
        <v/>
      </c>
      <c r="R486" s="280" t="n"/>
      <c r="S486" s="280" t="n"/>
      <c r="T486" s="280" t="n"/>
      <c r="U486" s="280" t="n"/>
      <c r="V486" s="280" t="n"/>
      <c r="W486" s="280" t="n"/>
      <c r="X486" s="280" t="n"/>
      <c r="Y486" s="280" t="n"/>
      <c r="Z486" s="375">
        <f>IF(AND(G486&lt;&gt;"",R486&lt;&gt;"",V486&lt;&gt;"",W486&lt;&gt;""),"COMPLETADO","OBSERVADO")</f>
        <v/>
      </c>
    </row>
    <row r="487" ht="15" customHeight="1" s="195">
      <c r="A487" s="334" t="n"/>
      <c r="B487" s="334" t="n"/>
      <c r="C487" s="334" t="n"/>
      <c r="D487" s="334" t="n"/>
      <c r="E487" s="334" t="n"/>
      <c r="F487" s="334" t="n"/>
      <c r="G487" s="334" t="n"/>
      <c r="H487" s="334" t="n"/>
      <c r="I487" s="332">
        <f>IFERROR(VLOOKUP(TEXT(H487,"0"),IPRESS!$A$3:$B$212,2,0),"")</f>
        <v/>
      </c>
      <c r="J487" s="334" t="n"/>
      <c r="K487" s="332">
        <f>IFERROR(VLOOKUP(TEXT(O487,"0"),CONDUCTORES!$A$3:$G$54,7,0),"")</f>
        <v/>
      </c>
      <c r="L487" s="334" t="n"/>
      <c r="M487" s="334" t="n"/>
      <c r="N487" s="333">
        <f>IFERROR(IF(L487*M487=0,"",L487*M487),"")</f>
        <v/>
      </c>
      <c r="O487" s="334" t="n"/>
      <c r="P487" s="332">
        <f>IFERROR(VLOOKUP(TEXT(O487,"0"),CONDUCTORES!$A$3:$G$54,2,0),"")</f>
        <v/>
      </c>
      <c r="Q487" s="332">
        <f>IFERROR(VLOOKUP(TEXT(O487,"0"),CONDUCTORES!$A$3:$H$54,6,0),"")</f>
        <v/>
      </c>
      <c r="R487" s="334" t="n"/>
      <c r="S487" s="334" t="n"/>
      <c r="T487" s="334" t="n"/>
      <c r="U487" s="334" t="n"/>
      <c r="V487" s="334" t="n"/>
      <c r="W487" s="334" t="n"/>
      <c r="X487" s="334" t="n"/>
      <c r="Y487" s="334" t="n"/>
      <c r="Z487" s="375">
        <f>IF(AND(G487&lt;&gt;"",R487&lt;&gt;"",V487&lt;&gt;"",W487&lt;&gt;""),"COMPLETADO","OBSERVADO")</f>
        <v/>
      </c>
    </row>
    <row r="488" ht="15" customHeight="1" s="195">
      <c r="A488" s="280" t="n"/>
      <c r="B488" s="280" t="n"/>
      <c r="C488" s="280" t="n"/>
      <c r="D488" s="280" t="n"/>
      <c r="E488" s="280" t="n"/>
      <c r="F488" s="280" t="n"/>
      <c r="G488" s="280" t="n"/>
      <c r="H488" s="280" t="n"/>
      <c r="I488" s="332">
        <f>IFERROR(VLOOKUP(TEXT(H488,"0"),IPRESS!$A$3:$B$212,2,0),"")</f>
        <v/>
      </c>
      <c r="J488" s="280" t="n"/>
      <c r="K488" s="332">
        <f>IFERROR(VLOOKUP(TEXT(O488,"0"),CONDUCTORES!$A$3:$G$54,7,0),"")</f>
        <v/>
      </c>
      <c r="L488" s="280" t="n"/>
      <c r="M488" s="280" t="n"/>
      <c r="N488" s="333">
        <f>IFERROR(IF(L488*M488=0,"",L488*M488),"")</f>
        <v/>
      </c>
      <c r="O488" s="280" t="n"/>
      <c r="P488" s="332">
        <f>IFERROR(VLOOKUP(TEXT(O488,"0"),CONDUCTORES!$A$3:$G$54,2,0),"")</f>
        <v/>
      </c>
      <c r="Q488" s="332">
        <f>IFERROR(VLOOKUP(TEXT(O488,"0"),CONDUCTORES!$A$3:$H$54,6,0),"")</f>
        <v/>
      </c>
      <c r="R488" s="280" t="n"/>
      <c r="S488" s="280" t="n"/>
      <c r="T488" s="280" t="n"/>
      <c r="U488" s="280" t="n"/>
      <c r="V488" s="280" t="n"/>
      <c r="W488" s="280" t="n"/>
      <c r="X488" s="280" t="n"/>
      <c r="Y488" s="280" t="n"/>
      <c r="Z488" s="375">
        <f>IF(AND(G488&lt;&gt;"",R488&lt;&gt;"",V488&lt;&gt;"",W488&lt;&gt;""),"COMPLETADO","OBSERVADO")</f>
        <v/>
      </c>
    </row>
    <row r="489" ht="15" customHeight="1" s="195">
      <c r="A489" s="334" t="n"/>
      <c r="B489" s="334" t="n"/>
      <c r="C489" s="334" t="n"/>
      <c r="D489" s="334" t="n"/>
      <c r="E489" s="334" t="n"/>
      <c r="F489" s="334" t="n"/>
      <c r="G489" s="334" t="n"/>
      <c r="H489" s="334" t="n"/>
      <c r="I489" s="332">
        <f>IFERROR(VLOOKUP(TEXT(H489,"0"),IPRESS!$A$3:$B$212,2,0),"")</f>
        <v/>
      </c>
      <c r="J489" s="334" t="n"/>
      <c r="K489" s="332">
        <f>IFERROR(VLOOKUP(TEXT(O489,"0"),CONDUCTORES!$A$3:$G$54,7,0),"")</f>
        <v/>
      </c>
      <c r="L489" s="334" t="n"/>
      <c r="M489" s="334" t="n"/>
      <c r="N489" s="333">
        <f>IFERROR(IF(L489*M489=0,"",L489*M489),"")</f>
        <v/>
      </c>
      <c r="O489" s="334" t="n"/>
      <c r="P489" s="332">
        <f>IFERROR(VLOOKUP(TEXT(O489,"0"),CONDUCTORES!$A$3:$G$54,2,0),"")</f>
        <v/>
      </c>
      <c r="Q489" s="332">
        <f>IFERROR(VLOOKUP(TEXT(O489,"0"),CONDUCTORES!$A$3:$H$54,6,0),"")</f>
        <v/>
      </c>
      <c r="R489" s="334" t="n"/>
      <c r="S489" s="334" t="n"/>
      <c r="T489" s="334" t="n"/>
      <c r="U489" s="334" t="n"/>
      <c r="V489" s="334" t="n"/>
      <c r="W489" s="334" t="n"/>
      <c r="X489" s="334" t="n"/>
      <c r="Y489" s="334" t="n"/>
      <c r="Z489" s="375">
        <f>IF(AND(G489&lt;&gt;"",R489&lt;&gt;"",V489&lt;&gt;"",W489&lt;&gt;""),"COMPLETADO","OBSERVADO")</f>
        <v/>
      </c>
    </row>
    <row r="490" ht="15" customHeight="1" s="195">
      <c r="A490" s="280" t="n"/>
      <c r="B490" s="280" t="n"/>
      <c r="C490" s="280" t="n"/>
      <c r="D490" s="280" t="n"/>
      <c r="E490" s="280" t="n"/>
      <c r="F490" s="280" t="n"/>
      <c r="G490" s="280" t="n"/>
      <c r="H490" s="280" t="n"/>
      <c r="I490" s="332">
        <f>IFERROR(VLOOKUP(TEXT(H490,"0"),IPRESS!$A$3:$B$212,2,0),"")</f>
        <v/>
      </c>
      <c r="J490" s="280" t="n"/>
      <c r="K490" s="332">
        <f>IFERROR(VLOOKUP(TEXT(O490,"0"),CONDUCTORES!$A$3:$G$54,7,0),"")</f>
        <v/>
      </c>
      <c r="L490" s="280" t="n"/>
      <c r="M490" s="280" t="n"/>
      <c r="N490" s="333">
        <f>IFERROR(IF(L490*M490=0,"",L490*M490),"")</f>
        <v/>
      </c>
      <c r="O490" s="280" t="n"/>
      <c r="P490" s="332">
        <f>IFERROR(VLOOKUP(TEXT(O490,"0"),CONDUCTORES!$A$3:$G$54,2,0),"")</f>
        <v/>
      </c>
      <c r="Q490" s="332">
        <f>IFERROR(VLOOKUP(TEXT(O490,"0"),CONDUCTORES!$A$3:$H$54,6,0),"")</f>
        <v/>
      </c>
      <c r="R490" s="280" t="n"/>
      <c r="S490" s="280" t="n"/>
      <c r="T490" s="280" t="n"/>
      <c r="U490" s="280" t="n"/>
      <c r="V490" s="280" t="n"/>
      <c r="W490" s="280" t="n"/>
      <c r="X490" s="280" t="n"/>
      <c r="Y490" s="280" t="n"/>
      <c r="Z490" s="375">
        <f>IF(AND(G490&lt;&gt;"",R490&lt;&gt;"",V490&lt;&gt;"",W490&lt;&gt;""),"COMPLETADO","OBSERVADO")</f>
        <v/>
      </c>
    </row>
    <row r="491" ht="15" customHeight="1" s="195">
      <c r="A491" s="334" t="n"/>
      <c r="B491" s="334" t="n"/>
      <c r="C491" s="334" t="n"/>
      <c r="D491" s="334" t="n"/>
      <c r="E491" s="334" t="n"/>
      <c r="F491" s="334" t="n"/>
      <c r="G491" s="334" t="n"/>
      <c r="H491" s="334" t="n"/>
      <c r="I491" s="332">
        <f>IFERROR(VLOOKUP(TEXT(H491,"0"),IPRESS!$A$3:$B$212,2,0),"")</f>
        <v/>
      </c>
      <c r="J491" s="334" t="n"/>
      <c r="K491" s="332">
        <f>IFERROR(VLOOKUP(TEXT(O491,"0"),CONDUCTORES!$A$3:$G$54,7,0),"")</f>
        <v/>
      </c>
      <c r="L491" s="334" t="n"/>
      <c r="M491" s="334" t="n"/>
      <c r="N491" s="333">
        <f>IFERROR(IF(L491*M491=0,"",L491*M491),"")</f>
        <v/>
      </c>
      <c r="O491" s="334" t="n"/>
      <c r="P491" s="332">
        <f>IFERROR(VLOOKUP(TEXT(O491,"0"),CONDUCTORES!$A$3:$G$54,2,0),"")</f>
        <v/>
      </c>
      <c r="Q491" s="332">
        <f>IFERROR(VLOOKUP(TEXT(O491,"0"),CONDUCTORES!$A$3:$H$54,6,0),"")</f>
        <v/>
      </c>
      <c r="R491" s="334" t="n"/>
      <c r="S491" s="334" t="n"/>
      <c r="T491" s="334" t="n"/>
      <c r="U491" s="334" t="n"/>
      <c r="V491" s="334" t="n"/>
      <c r="W491" s="334" t="n"/>
      <c r="X491" s="334" t="n"/>
      <c r="Y491" s="334" t="n"/>
      <c r="Z491" s="375">
        <f>IF(AND(G491&lt;&gt;"",R491&lt;&gt;"",V491&lt;&gt;"",W491&lt;&gt;""),"COMPLETADO","OBSERVADO")</f>
        <v/>
      </c>
    </row>
    <row r="492" ht="15" customHeight="1" s="195">
      <c r="A492" s="280" t="n"/>
      <c r="B492" s="280" t="n"/>
      <c r="C492" s="280" t="n"/>
      <c r="D492" s="280" t="n"/>
      <c r="E492" s="280" t="n"/>
      <c r="F492" s="280" t="n"/>
      <c r="G492" s="280" t="n"/>
      <c r="H492" s="280" t="n"/>
      <c r="I492" s="332">
        <f>IFERROR(VLOOKUP(TEXT(H492,"0"),IPRESS!$A$3:$B$212,2,0),"")</f>
        <v/>
      </c>
      <c r="J492" s="280" t="n"/>
      <c r="K492" s="332">
        <f>IFERROR(VLOOKUP(TEXT(O492,"0"),CONDUCTORES!$A$3:$G$54,7,0),"")</f>
        <v/>
      </c>
      <c r="L492" s="280" t="n"/>
      <c r="M492" s="280" t="n"/>
      <c r="N492" s="333">
        <f>IFERROR(IF(L492*M492=0,"",L492*M492),"")</f>
        <v/>
      </c>
      <c r="O492" s="280" t="n"/>
      <c r="P492" s="332">
        <f>IFERROR(VLOOKUP(TEXT(O492,"0"),CONDUCTORES!$A$3:$G$54,2,0),"")</f>
        <v/>
      </c>
      <c r="Q492" s="332">
        <f>IFERROR(VLOOKUP(TEXT(O492,"0"),CONDUCTORES!$A$3:$H$54,6,0),"")</f>
        <v/>
      </c>
      <c r="R492" s="280" t="n"/>
      <c r="S492" s="280" t="n"/>
      <c r="T492" s="280" t="n"/>
      <c r="U492" s="280" t="n"/>
      <c r="V492" s="280" t="n"/>
      <c r="W492" s="280" t="n"/>
      <c r="X492" s="280" t="n"/>
      <c r="Y492" s="280" t="n"/>
      <c r="Z492" s="375">
        <f>IF(AND(G492&lt;&gt;"",R492&lt;&gt;"",V492&lt;&gt;"",W492&lt;&gt;""),"COMPLETADO","OBSERVADO")</f>
        <v/>
      </c>
    </row>
    <row r="493" ht="15" customHeight="1" s="195">
      <c r="A493" s="334" t="n"/>
      <c r="B493" s="334" t="n"/>
      <c r="C493" s="334" t="n"/>
      <c r="D493" s="334" t="n"/>
      <c r="E493" s="334" t="n"/>
      <c r="F493" s="334" t="n"/>
      <c r="G493" s="334" t="n"/>
      <c r="H493" s="334" t="n"/>
      <c r="I493" s="332">
        <f>IFERROR(VLOOKUP(TEXT(H493,"0"),IPRESS!$A$3:$B$212,2,0),"")</f>
        <v/>
      </c>
      <c r="J493" s="334" t="n"/>
      <c r="K493" s="332">
        <f>IFERROR(VLOOKUP(TEXT(O493,"0"),CONDUCTORES!$A$3:$G$54,7,0),"")</f>
        <v/>
      </c>
      <c r="L493" s="334" t="n"/>
      <c r="M493" s="334" t="n"/>
      <c r="N493" s="333">
        <f>IFERROR(IF(L493*M493=0,"",L493*M493),"")</f>
        <v/>
      </c>
      <c r="O493" s="334" t="n"/>
      <c r="P493" s="332">
        <f>IFERROR(VLOOKUP(TEXT(O493,"0"),CONDUCTORES!$A$3:$G$54,2,0),"")</f>
        <v/>
      </c>
      <c r="Q493" s="332">
        <f>IFERROR(VLOOKUP(TEXT(O493,"0"),CONDUCTORES!$A$3:$H$54,6,0),"")</f>
        <v/>
      </c>
      <c r="R493" s="334" t="n"/>
      <c r="S493" s="334" t="n"/>
      <c r="T493" s="334" t="n"/>
      <c r="U493" s="334" t="n"/>
      <c r="V493" s="334" t="n"/>
      <c r="W493" s="334" t="n"/>
      <c r="X493" s="334" t="n"/>
      <c r="Y493" s="334" t="n"/>
      <c r="Z493" s="375">
        <f>IF(AND(G493&lt;&gt;"",R493&lt;&gt;"",V493&lt;&gt;"",W493&lt;&gt;""),"COMPLETADO","OBSERVADO")</f>
        <v/>
      </c>
    </row>
    <row r="494" ht="15" customHeight="1" s="195">
      <c r="A494" s="280" t="n"/>
      <c r="B494" s="280" t="n"/>
      <c r="C494" s="280" t="n"/>
      <c r="D494" s="280" t="n"/>
      <c r="E494" s="280" t="n"/>
      <c r="F494" s="280" t="n"/>
      <c r="G494" s="280" t="n"/>
      <c r="H494" s="280" t="n"/>
      <c r="I494" s="332">
        <f>IFERROR(VLOOKUP(TEXT(H494,"0"),IPRESS!$A$3:$B$212,2,0),"")</f>
        <v/>
      </c>
      <c r="J494" s="280" t="n"/>
      <c r="K494" s="332">
        <f>IFERROR(VLOOKUP(TEXT(O494,"0"),CONDUCTORES!$A$3:$G$54,7,0),"")</f>
        <v/>
      </c>
      <c r="L494" s="280" t="n"/>
      <c r="M494" s="280" t="n"/>
      <c r="N494" s="333">
        <f>IFERROR(IF(L494*M494=0,"",L494*M494),"")</f>
        <v/>
      </c>
      <c r="O494" s="280" t="n"/>
      <c r="P494" s="332">
        <f>IFERROR(VLOOKUP(TEXT(O494,"0"),CONDUCTORES!$A$3:$G$54,2,0),"")</f>
        <v/>
      </c>
      <c r="Q494" s="332">
        <f>IFERROR(VLOOKUP(TEXT(O494,"0"),CONDUCTORES!$A$3:$H$54,6,0),"")</f>
        <v/>
      </c>
      <c r="R494" s="280" t="n"/>
      <c r="S494" s="280" t="n"/>
      <c r="T494" s="280" t="n"/>
      <c r="U494" s="280" t="n"/>
      <c r="V494" s="280" t="n"/>
      <c r="W494" s="280" t="n"/>
      <c r="X494" s="280" t="n"/>
      <c r="Y494" s="280" t="n"/>
      <c r="Z494" s="375">
        <f>IF(AND(G494&lt;&gt;"",R494&lt;&gt;"",V494&lt;&gt;"",W494&lt;&gt;""),"COMPLETADO","OBSERVADO")</f>
        <v/>
      </c>
    </row>
    <row r="495" ht="15" customHeight="1" s="195">
      <c r="A495" s="334" t="n"/>
      <c r="B495" s="334" t="n"/>
      <c r="C495" s="334" t="n"/>
      <c r="D495" s="334" t="n"/>
      <c r="E495" s="334" t="n"/>
      <c r="F495" s="334" t="n"/>
      <c r="G495" s="334" t="n"/>
      <c r="H495" s="334" t="n"/>
      <c r="I495" s="332">
        <f>IFERROR(VLOOKUP(TEXT(H495,"0"),IPRESS!$A$3:$B$212,2,0),"")</f>
        <v/>
      </c>
      <c r="J495" s="334" t="n"/>
      <c r="K495" s="332">
        <f>IFERROR(VLOOKUP(TEXT(O495,"0"),CONDUCTORES!$A$3:$G$54,7,0),"")</f>
        <v/>
      </c>
      <c r="L495" s="334" t="n"/>
      <c r="M495" s="334" t="n"/>
      <c r="N495" s="333">
        <f>IFERROR(IF(L495*M495=0,"",L495*M495),"")</f>
        <v/>
      </c>
      <c r="O495" s="334" t="n"/>
      <c r="P495" s="332">
        <f>IFERROR(VLOOKUP(TEXT(O495,"0"),CONDUCTORES!$A$3:$G$54,2,0),"")</f>
        <v/>
      </c>
      <c r="Q495" s="332">
        <f>IFERROR(VLOOKUP(TEXT(O495,"0"),CONDUCTORES!$A$3:$H$54,6,0),"")</f>
        <v/>
      </c>
      <c r="R495" s="334" t="n"/>
      <c r="S495" s="334" t="n"/>
      <c r="T495" s="334" t="n"/>
      <c r="U495" s="334" t="n"/>
      <c r="V495" s="334" t="n"/>
      <c r="W495" s="334" t="n"/>
      <c r="X495" s="334" t="n"/>
      <c r="Y495" s="334" t="n"/>
      <c r="Z495" s="375">
        <f>IF(AND(G495&lt;&gt;"",R495&lt;&gt;"",V495&lt;&gt;"",W495&lt;&gt;""),"COMPLETADO","OBSERVADO")</f>
        <v/>
      </c>
    </row>
    <row r="496" ht="15" customHeight="1" s="195">
      <c r="A496" s="280" t="n"/>
      <c r="B496" s="280" t="n"/>
      <c r="C496" s="280" t="n"/>
      <c r="D496" s="280" t="n"/>
      <c r="E496" s="280" t="n"/>
      <c r="F496" s="280" t="n"/>
      <c r="G496" s="280" t="n"/>
      <c r="H496" s="280" t="n"/>
      <c r="I496" s="332">
        <f>IFERROR(VLOOKUP(TEXT(H496,"0"),IPRESS!$A$3:$B$212,2,0),"")</f>
        <v/>
      </c>
      <c r="J496" s="280" t="n"/>
      <c r="K496" s="332">
        <f>IFERROR(VLOOKUP(TEXT(O496,"0"),CONDUCTORES!$A$3:$G$54,7,0),"")</f>
        <v/>
      </c>
      <c r="L496" s="280" t="n"/>
      <c r="M496" s="280" t="n"/>
      <c r="N496" s="333">
        <f>IFERROR(IF(L496*M496=0,"",L496*M496),"")</f>
        <v/>
      </c>
      <c r="O496" s="280" t="n"/>
      <c r="P496" s="332">
        <f>IFERROR(VLOOKUP(TEXT(O496,"0"),CONDUCTORES!$A$3:$G$54,2,0),"")</f>
        <v/>
      </c>
      <c r="Q496" s="332">
        <f>IFERROR(VLOOKUP(TEXT(O496,"0"),CONDUCTORES!$A$3:$H$54,6,0),"")</f>
        <v/>
      </c>
      <c r="R496" s="280" t="n"/>
      <c r="S496" s="280" t="n"/>
      <c r="T496" s="280" t="n"/>
      <c r="U496" s="280" t="n"/>
      <c r="V496" s="280" t="n"/>
      <c r="W496" s="280" t="n"/>
      <c r="X496" s="280" t="n"/>
      <c r="Y496" s="280" t="n"/>
      <c r="Z496" s="375">
        <f>IF(AND(G496&lt;&gt;"",R496&lt;&gt;"",V496&lt;&gt;"",W496&lt;&gt;""),"COMPLETADO","OBSERVADO")</f>
        <v/>
      </c>
    </row>
    <row r="497" ht="15" customHeight="1" s="195">
      <c r="A497" s="334" t="n"/>
      <c r="B497" s="334" t="n"/>
      <c r="C497" s="334" t="n"/>
      <c r="D497" s="334" t="n"/>
      <c r="E497" s="334" t="n"/>
      <c r="F497" s="334" t="n"/>
      <c r="G497" s="334" t="n"/>
      <c r="H497" s="334" t="n"/>
      <c r="I497" s="332">
        <f>IFERROR(VLOOKUP(TEXT(H497,"0"),IPRESS!$A$3:$B$212,2,0),"")</f>
        <v/>
      </c>
      <c r="J497" s="334" t="n"/>
      <c r="K497" s="332">
        <f>IFERROR(VLOOKUP(TEXT(O497,"0"),CONDUCTORES!$A$3:$G$54,7,0),"")</f>
        <v/>
      </c>
      <c r="L497" s="334" t="n"/>
      <c r="M497" s="334" t="n"/>
      <c r="N497" s="333">
        <f>IFERROR(IF(L497*M497=0,"",L497*M497),"")</f>
        <v/>
      </c>
      <c r="O497" s="334" t="n"/>
      <c r="P497" s="332">
        <f>IFERROR(VLOOKUP(TEXT(O497,"0"),CONDUCTORES!$A$3:$G$54,2,0),"")</f>
        <v/>
      </c>
      <c r="Q497" s="332">
        <f>IFERROR(VLOOKUP(TEXT(O497,"0"),CONDUCTORES!$A$3:$H$54,6,0),"")</f>
        <v/>
      </c>
      <c r="R497" s="334" t="n"/>
      <c r="S497" s="334" t="n"/>
      <c r="T497" s="334" t="n"/>
      <c r="U497" s="334" t="n"/>
      <c r="V497" s="334" t="n"/>
      <c r="W497" s="334" t="n"/>
      <c r="X497" s="334" t="n"/>
      <c r="Y497" s="334" t="n"/>
      <c r="Z497" s="375">
        <f>IF(AND(G497&lt;&gt;"",R497&lt;&gt;"",V497&lt;&gt;"",W497&lt;&gt;""),"COMPLETADO","OBSERVADO")</f>
        <v/>
      </c>
    </row>
    <row r="498" ht="15" customHeight="1" s="195">
      <c r="A498" s="280" t="n"/>
      <c r="B498" s="280" t="n"/>
      <c r="C498" s="280" t="n"/>
      <c r="D498" s="280" t="n"/>
      <c r="E498" s="280" t="n"/>
      <c r="F498" s="280" t="n"/>
      <c r="G498" s="280" t="n"/>
      <c r="H498" s="280" t="n"/>
      <c r="I498" s="332">
        <f>IFERROR(VLOOKUP(TEXT(H498,"0"),IPRESS!$A$3:$B$212,2,0),"")</f>
        <v/>
      </c>
      <c r="J498" s="280" t="n"/>
      <c r="K498" s="332">
        <f>IFERROR(VLOOKUP(TEXT(O498,"0"),CONDUCTORES!$A$3:$G$54,7,0),"")</f>
        <v/>
      </c>
      <c r="L498" s="280" t="n"/>
      <c r="M498" s="280" t="n"/>
      <c r="N498" s="333">
        <f>IFERROR(IF(L498*M498=0,"",L498*M498),"")</f>
        <v/>
      </c>
      <c r="O498" s="280" t="n"/>
      <c r="P498" s="332">
        <f>IFERROR(VLOOKUP(TEXT(O498,"0"),CONDUCTORES!$A$3:$G$54,2,0),"")</f>
        <v/>
      </c>
      <c r="Q498" s="332">
        <f>IFERROR(VLOOKUP(TEXT(O498,"0"),CONDUCTORES!$A$3:$H$54,6,0),"")</f>
        <v/>
      </c>
      <c r="R498" s="280" t="n"/>
      <c r="S498" s="280" t="n"/>
      <c r="T498" s="280" t="n"/>
      <c r="U498" s="280" t="n"/>
      <c r="V498" s="280" t="n"/>
      <c r="W498" s="280" t="n"/>
      <c r="X498" s="280" t="n"/>
      <c r="Y498" s="280" t="n"/>
      <c r="Z498" s="375">
        <f>IF(AND(G498&lt;&gt;"",R498&lt;&gt;"",V498&lt;&gt;"",W498&lt;&gt;""),"COMPLETADO","OBSERVADO")</f>
        <v/>
      </c>
    </row>
    <row r="499" ht="15" customHeight="1" s="195">
      <c r="A499" s="334" t="n"/>
      <c r="B499" s="334" t="n"/>
      <c r="C499" s="334" t="n"/>
      <c r="D499" s="334" t="n"/>
      <c r="E499" s="334" t="n"/>
      <c r="F499" s="334" t="n"/>
      <c r="G499" s="334" t="n"/>
      <c r="H499" s="334" t="n"/>
      <c r="I499" s="332">
        <f>IFERROR(VLOOKUP(TEXT(H499,"0"),IPRESS!$A$3:$B$212,2,0),"")</f>
        <v/>
      </c>
      <c r="J499" s="334" t="n"/>
      <c r="K499" s="332">
        <f>IFERROR(VLOOKUP(TEXT(O499,"0"),CONDUCTORES!$A$3:$G$54,7,0),"")</f>
        <v/>
      </c>
      <c r="L499" s="334" t="n"/>
      <c r="M499" s="334" t="n"/>
      <c r="N499" s="333">
        <f>IFERROR(IF(L499*M499=0,"",L499*M499),"")</f>
        <v/>
      </c>
      <c r="O499" s="334" t="n"/>
      <c r="P499" s="332">
        <f>IFERROR(VLOOKUP(TEXT(O499,"0"),CONDUCTORES!$A$3:$G$54,2,0),"")</f>
        <v/>
      </c>
      <c r="Q499" s="332">
        <f>IFERROR(VLOOKUP(TEXT(O499,"0"),CONDUCTORES!$A$3:$H$54,6,0),"")</f>
        <v/>
      </c>
      <c r="R499" s="334" t="n"/>
      <c r="S499" s="334" t="n"/>
      <c r="T499" s="334" t="n"/>
      <c r="U499" s="334" t="n"/>
      <c r="V499" s="334" t="n"/>
      <c r="W499" s="334" t="n"/>
      <c r="X499" s="334" t="n"/>
      <c r="Y499" s="334" t="n"/>
      <c r="Z499" s="375">
        <f>IF(AND(G499&lt;&gt;"",R499&lt;&gt;"",V499&lt;&gt;"",W499&lt;&gt;""),"COMPLETADO","OBSERVADO")</f>
        <v/>
      </c>
    </row>
    <row r="500" ht="15" customHeight="1" s="195">
      <c r="A500" s="280" t="n"/>
      <c r="B500" s="280" t="n"/>
      <c r="C500" s="280" t="n"/>
      <c r="D500" s="280" t="n"/>
      <c r="E500" s="280" t="n"/>
      <c r="F500" s="280" t="n"/>
      <c r="G500" s="280" t="n"/>
      <c r="H500" s="280" t="n"/>
      <c r="I500" s="332">
        <f>IFERROR(VLOOKUP(TEXT(H500,"0"),IPRESS!$A$3:$B$212,2,0),"")</f>
        <v/>
      </c>
      <c r="J500" s="280" t="n"/>
      <c r="K500" s="332">
        <f>IFERROR(VLOOKUP(TEXT(O500,"0"),CONDUCTORES!$A$3:$G$54,7,0),"")</f>
        <v/>
      </c>
      <c r="L500" s="280" t="n"/>
      <c r="M500" s="280" t="n"/>
      <c r="N500" s="333">
        <f>IFERROR(IF(L500*M500=0,"",L500*M500),"")</f>
        <v/>
      </c>
      <c r="O500" s="280" t="n"/>
      <c r="P500" s="332">
        <f>IFERROR(VLOOKUP(TEXT(O500,"0"),CONDUCTORES!$A$3:$G$54,2,0),"")</f>
        <v/>
      </c>
      <c r="Q500" s="332">
        <f>IFERROR(VLOOKUP(TEXT(O500,"0"),CONDUCTORES!$A$3:$H$54,6,0),"")</f>
        <v/>
      </c>
      <c r="R500" s="280" t="n"/>
      <c r="S500" s="280" t="n"/>
      <c r="T500" s="280" t="n"/>
      <c r="U500" s="280" t="n"/>
      <c r="V500" s="280" t="n"/>
      <c r="W500" s="280" t="n"/>
      <c r="X500" s="280" t="n"/>
      <c r="Y500" s="280" t="n"/>
      <c r="Z500" s="375">
        <f>IF(AND(G500&lt;&gt;"",R500&lt;&gt;"",V500&lt;&gt;"",W500&lt;&gt;""),"COMPLETADO","OBSERVADO")</f>
        <v/>
      </c>
    </row>
    <row r="501" ht="15" customHeight="1" s="195">
      <c r="A501" s="334" t="n"/>
      <c r="B501" s="334" t="n"/>
      <c r="C501" s="334" t="n"/>
      <c r="D501" s="334" t="n"/>
      <c r="E501" s="334" t="n"/>
      <c r="F501" s="334" t="n"/>
      <c r="G501" s="334" t="n"/>
      <c r="H501" s="334" t="n"/>
      <c r="I501" s="332">
        <f>IFERROR(VLOOKUP(TEXT(H501,"0"),IPRESS!$A$3:$B$212,2,0),"")</f>
        <v/>
      </c>
      <c r="J501" s="334" t="n"/>
      <c r="K501" s="332">
        <f>IFERROR(VLOOKUP(TEXT(O501,"0"),CONDUCTORES!$A$3:$G$54,7,0),"")</f>
        <v/>
      </c>
      <c r="L501" s="334" t="n"/>
      <c r="M501" s="334" t="n"/>
      <c r="N501" s="333">
        <f>IFERROR(IF(L501*M501=0,"",L501*M501),"")</f>
        <v/>
      </c>
      <c r="O501" s="334" t="n"/>
      <c r="P501" s="332">
        <f>IFERROR(VLOOKUP(TEXT(O501,"0"),CONDUCTORES!$A$3:$G$54,2,0),"")</f>
        <v/>
      </c>
      <c r="Q501" s="332">
        <f>IFERROR(VLOOKUP(TEXT(O501,"0"),CONDUCTORES!$A$3:$H$54,6,0),"")</f>
        <v/>
      </c>
      <c r="R501" s="334" t="n"/>
      <c r="S501" s="334" t="n"/>
      <c r="T501" s="334" t="n"/>
      <c r="U501" s="334" t="n"/>
      <c r="V501" s="334" t="n"/>
      <c r="W501" s="334" t="n"/>
      <c r="X501" s="334" t="n"/>
      <c r="Y501" s="334" t="n"/>
      <c r="Z501" s="375">
        <f>IF(AND(G501&lt;&gt;"",R501&lt;&gt;"",V501&lt;&gt;"",W501&lt;&gt;""),"COMPLETADO","OBSERVADO")</f>
        <v/>
      </c>
    </row>
    <row r="502" ht="15" customHeight="1" s="195">
      <c r="A502" s="280" t="n"/>
      <c r="B502" s="280" t="n"/>
      <c r="C502" s="280" t="n"/>
      <c r="D502" s="280" t="n"/>
      <c r="E502" s="280" t="n"/>
      <c r="F502" s="280" t="n"/>
      <c r="G502" s="280" t="n"/>
      <c r="H502" s="280" t="n"/>
      <c r="I502" s="332">
        <f>IFERROR(VLOOKUP(TEXT(H502,"0"),IPRESS!$A$3:$B$212,2,0),"")</f>
        <v/>
      </c>
      <c r="J502" s="280" t="n"/>
      <c r="K502" s="332">
        <f>IFERROR(VLOOKUP(TEXT(O502,"0"),CONDUCTORES!$A$3:$G$54,7,0),"")</f>
        <v/>
      </c>
      <c r="L502" s="280" t="n"/>
      <c r="M502" s="280" t="n"/>
      <c r="N502" s="333">
        <f>IFERROR(IF(L502*M502=0,"",L502*M502),"")</f>
        <v/>
      </c>
      <c r="O502" s="280" t="n"/>
      <c r="P502" s="332">
        <f>IFERROR(VLOOKUP(TEXT(O502,"0"),CONDUCTORES!$A$3:$G$54,2,0),"")</f>
        <v/>
      </c>
      <c r="Q502" s="332">
        <f>IFERROR(VLOOKUP(TEXT(O502,"0"),CONDUCTORES!$A$3:$H$54,6,0),"")</f>
        <v/>
      </c>
      <c r="R502" s="280" t="n"/>
      <c r="S502" s="280" t="n"/>
      <c r="T502" s="280" t="n"/>
      <c r="U502" s="280" t="n"/>
      <c r="V502" s="280" t="n"/>
      <c r="W502" s="280" t="n"/>
      <c r="X502" s="280" t="n"/>
      <c r="Y502" s="280" t="n"/>
      <c r="Z502" s="375">
        <f>IF(AND(G502&lt;&gt;"",R502&lt;&gt;"",V502&lt;&gt;"",W502&lt;&gt;""),"COMPLETADO","OBSERVADO")</f>
        <v/>
      </c>
    </row>
    <row r="503" ht="15" customHeight="1" s="195">
      <c r="A503" s="334" t="n"/>
      <c r="B503" s="334" t="n"/>
      <c r="C503" s="334" t="n"/>
      <c r="D503" s="334" t="n"/>
      <c r="E503" s="334" t="n"/>
      <c r="F503" s="334" t="n"/>
      <c r="G503" s="334" t="n"/>
      <c r="H503" s="334" t="n"/>
      <c r="I503" s="332">
        <f>IFERROR(VLOOKUP(TEXT(H503,"0"),IPRESS!$A$3:$B$212,2,0),"")</f>
        <v/>
      </c>
      <c r="J503" s="334" t="n"/>
      <c r="K503" s="332">
        <f>IFERROR(VLOOKUP(TEXT(O503,"0"),CONDUCTORES!$A$3:$G$54,7,0),"")</f>
        <v/>
      </c>
      <c r="L503" s="334" t="n"/>
      <c r="M503" s="334" t="n"/>
      <c r="N503" s="333">
        <f>IFERROR(IF(L503*M503=0,"",L503*M503),"")</f>
        <v/>
      </c>
      <c r="O503" s="334" t="n"/>
      <c r="P503" s="332">
        <f>IFERROR(VLOOKUP(TEXT(O503,"0"),CONDUCTORES!$A$3:$G$54,2,0),"")</f>
        <v/>
      </c>
      <c r="Q503" s="332">
        <f>IFERROR(VLOOKUP(TEXT(O503,"0"),CONDUCTORES!$A$3:$H$54,6,0),"")</f>
        <v/>
      </c>
      <c r="R503" s="334" t="n"/>
      <c r="S503" s="334" t="n"/>
      <c r="T503" s="334" t="n"/>
      <c r="U503" s="334" t="n"/>
      <c r="V503" s="334" t="n"/>
      <c r="W503" s="334" t="n"/>
      <c r="X503" s="334" t="n"/>
      <c r="Y503" s="334" t="n"/>
      <c r="Z503" s="375">
        <f>IF(AND(G503&lt;&gt;"",R503&lt;&gt;"",V503&lt;&gt;"",W503&lt;&gt;""),"COMPLETADO","OBSERVADO")</f>
        <v/>
      </c>
    </row>
    <row r="504" ht="15" customHeight="1" s="195">
      <c r="A504" s="280" t="n"/>
      <c r="B504" s="280" t="n"/>
      <c r="C504" s="280" t="n"/>
      <c r="D504" s="280" t="n"/>
      <c r="E504" s="280" t="n"/>
      <c r="F504" s="280" t="n"/>
      <c r="G504" s="280" t="n"/>
      <c r="H504" s="280" t="n"/>
      <c r="I504" s="332">
        <f>IFERROR(VLOOKUP(TEXT(H504,"0"),IPRESS!$A$3:$B$212,2,0),"")</f>
        <v/>
      </c>
      <c r="J504" s="280" t="n"/>
      <c r="K504" s="332">
        <f>IFERROR(VLOOKUP(TEXT(O504,"0"),CONDUCTORES!$A$3:$G$54,7,0),"")</f>
        <v/>
      </c>
      <c r="L504" s="280" t="n"/>
      <c r="M504" s="280" t="n"/>
      <c r="N504" s="333">
        <f>IFERROR(IF(L504*M504=0,"",L504*M504),"")</f>
        <v/>
      </c>
      <c r="O504" s="280" t="n"/>
      <c r="P504" s="332">
        <f>IFERROR(VLOOKUP(TEXT(O504,"0"),CONDUCTORES!$A$3:$G$54,2,0),"")</f>
        <v/>
      </c>
      <c r="Q504" s="332">
        <f>IFERROR(VLOOKUP(TEXT(O504,"0"),CONDUCTORES!$A$3:$H$54,6,0),"")</f>
        <v/>
      </c>
      <c r="R504" s="280" t="n"/>
      <c r="S504" s="280" t="n"/>
      <c r="T504" s="280" t="n"/>
      <c r="U504" s="280" t="n"/>
      <c r="V504" s="280" t="n"/>
      <c r="W504" s="280" t="n"/>
      <c r="X504" s="280" t="n"/>
      <c r="Y504" s="280" t="n"/>
      <c r="Z504" s="375">
        <f>IF(AND(G504&lt;&gt;"",R504&lt;&gt;"",V504&lt;&gt;"",W504&lt;&gt;""),"COMPLETADO","OBSERVADO")</f>
        <v/>
      </c>
    </row>
    <row r="505" ht="15" customHeight="1" s="195">
      <c r="A505" s="334" t="n"/>
      <c r="B505" s="334" t="n"/>
      <c r="C505" s="334" t="n"/>
      <c r="D505" s="334" t="n"/>
      <c r="E505" s="334" t="n"/>
      <c r="F505" s="334" t="n"/>
      <c r="G505" s="334" t="n"/>
      <c r="H505" s="334" t="n"/>
      <c r="I505" s="332">
        <f>IFERROR(VLOOKUP(TEXT(H505,"0"),IPRESS!$A$3:$B$212,2,0),"")</f>
        <v/>
      </c>
      <c r="J505" s="334" t="n"/>
      <c r="K505" s="332">
        <f>IFERROR(VLOOKUP(TEXT(O505,"0"),CONDUCTORES!$A$3:$G$54,7,0),"")</f>
        <v/>
      </c>
      <c r="L505" s="334" t="n"/>
      <c r="M505" s="334" t="n"/>
      <c r="N505" s="333">
        <f>IFERROR(IF(L505*M505=0,"",L505*M505),"")</f>
        <v/>
      </c>
      <c r="O505" s="334" t="n"/>
      <c r="P505" s="332">
        <f>IFERROR(VLOOKUP(TEXT(O505,"0"),CONDUCTORES!$A$3:$G$54,2,0),"")</f>
        <v/>
      </c>
      <c r="Q505" s="332">
        <f>IFERROR(VLOOKUP(TEXT(O505,"0"),CONDUCTORES!$A$3:$H$54,6,0),"")</f>
        <v/>
      </c>
      <c r="R505" s="334" t="n"/>
      <c r="S505" s="334" t="n"/>
      <c r="T505" s="334" t="n"/>
      <c r="U505" s="334" t="n"/>
      <c r="V505" s="334" t="n"/>
      <c r="W505" s="334" t="n"/>
      <c r="X505" s="334" t="n"/>
      <c r="Y505" s="334" t="n"/>
      <c r="Z505" s="375">
        <f>IF(AND(G505&lt;&gt;"",R505&lt;&gt;"",V505&lt;&gt;"",W505&lt;&gt;""),"COMPLETADO","OBSERVADO")</f>
        <v/>
      </c>
    </row>
    <row r="506" ht="21.75" customHeight="1" s="195">
      <c r="A506" s="346" t="inlineStr">
        <is>
          <t>TOTALES DEL MES</t>
        </is>
      </c>
      <c r="M506" s="320">
        <f>SUM(M6:M505)</f>
        <v/>
      </c>
      <c r="N506" s="320">
        <f>SUM(N6:N505)</f>
        <v/>
      </c>
    </row>
    <row r="507" ht="15.75" customHeight="1" s="195"/>
    <row r="508" ht="15.75" customHeight="1" s="195"/>
    <row r="509" ht="15.75" customHeight="1" s="195"/>
    <row r="510" ht="15.75" customHeight="1" s="195"/>
    <row r="511" ht="15.75" customHeight="1" s="195"/>
    <row r="512" ht="15.75" customHeight="1" s="195"/>
    <row r="513" ht="15.75" customHeight="1" s="195"/>
    <row r="514" ht="15.75" customHeight="1" s="195"/>
    <row r="515" ht="15.75" customHeight="1" s="195"/>
    <row r="516" ht="15.75" customHeight="1" s="195"/>
    <row r="517" ht="15.75" customHeight="1" s="195"/>
    <row r="518" ht="15.75" customHeight="1" s="195"/>
    <row r="519" ht="15.75" customHeight="1" s="195"/>
    <row r="520" ht="15.75" customHeight="1" s="195"/>
    <row r="521" ht="15.75" customHeight="1" s="195"/>
    <row r="522" ht="15.75" customHeight="1" s="195"/>
    <row r="523" ht="15.75" customHeight="1" s="195"/>
    <row r="524" ht="15.75" customHeight="1" s="195"/>
    <row r="525" ht="15.75" customHeight="1" s="195"/>
    <row r="526" ht="15.75" customHeight="1" s="195"/>
    <row r="527" ht="15.75" customHeight="1" s="195"/>
    <row r="528" ht="15.75" customHeight="1" s="195"/>
    <row r="529" ht="15.75" customHeight="1" s="195"/>
    <row r="530" ht="15.75" customHeight="1" s="195"/>
    <row r="531" ht="15.75" customHeight="1" s="195"/>
    <row r="532" ht="15.75" customHeight="1" s="195"/>
    <row r="533" ht="15.75" customHeight="1" s="195"/>
    <row r="534" ht="15.75" customHeight="1" s="195"/>
    <row r="535" ht="15.75" customHeight="1" s="195"/>
    <row r="536" ht="15.75" customHeight="1" s="195"/>
    <row r="537" ht="15.75" customHeight="1" s="195"/>
    <row r="538" ht="15.75" customHeight="1" s="195"/>
    <row r="539" ht="15.75" customHeight="1" s="195"/>
    <row r="540" ht="15.75" customHeight="1" s="195"/>
    <row r="541" ht="15.75" customHeight="1" s="195"/>
    <row r="542" ht="15.75" customHeight="1" s="195"/>
    <row r="543" ht="15.75" customHeight="1" s="195"/>
    <row r="544" ht="15.75" customHeight="1" s="195"/>
    <row r="545" ht="15.75" customHeight="1" s="195"/>
    <row r="546" ht="15.75" customHeight="1" s="195"/>
    <row r="547" ht="15.75" customHeight="1" s="195"/>
    <row r="548" ht="15.75" customHeight="1" s="195"/>
    <row r="549" ht="15.75" customHeight="1" s="195"/>
    <row r="550" ht="15.75" customHeight="1" s="195"/>
    <row r="551" ht="15.75" customHeight="1" s="195"/>
    <row r="552" ht="15.75" customHeight="1" s="195"/>
    <row r="553" ht="15.75" customHeight="1" s="195"/>
    <row r="554" ht="15.75" customHeight="1" s="195"/>
    <row r="555" ht="15.75" customHeight="1" s="195"/>
    <row r="556" ht="15.75" customHeight="1" s="195"/>
    <row r="557" ht="15.75" customHeight="1" s="195"/>
    <row r="558" ht="15.75" customHeight="1" s="195"/>
    <row r="559" ht="15.75" customHeight="1" s="195"/>
    <row r="560" ht="15.75" customHeight="1" s="195"/>
    <row r="561" ht="15.75" customHeight="1" s="195"/>
    <row r="562" ht="15.75" customHeight="1" s="195"/>
    <row r="563" ht="15.75" customHeight="1" s="195"/>
    <row r="564" ht="15.75" customHeight="1" s="195"/>
    <row r="565" ht="15.75" customHeight="1" s="195"/>
    <row r="566" ht="15.75" customHeight="1" s="195"/>
    <row r="567" ht="15.75" customHeight="1" s="195"/>
    <row r="568" ht="15.75" customHeight="1" s="195"/>
    <row r="569" ht="15.75" customHeight="1" s="195"/>
    <row r="570" ht="15.75" customHeight="1" s="195"/>
    <row r="571" ht="15.75" customHeight="1" s="195"/>
    <row r="572" ht="15.75" customHeight="1" s="195"/>
    <row r="573" ht="15.75" customHeight="1" s="195"/>
    <row r="574" ht="15.75" customHeight="1" s="195"/>
    <row r="575" ht="15.75" customHeight="1" s="195"/>
    <row r="576" ht="15.75" customHeight="1" s="195"/>
    <row r="577" ht="15.75" customHeight="1" s="195"/>
    <row r="578" ht="15.75" customHeight="1" s="195"/>
    <row r="579" ht="15.75" customHeight="1" s="195"/>
    <row r="580" ht="15.75" customHeight="1" s="195"/>
    <row r="581" ht="15.75" customHeight="1" s="195"/>
    <row r="582" ht="15.75" customHeight="1" s="195"/>
    <row r="583" ht="15.75" customHeight="1" s="195"/>
    <row r="584" ht="15.75" customHeight="1" s="195"/>
    <row r="585" ht="15.75" customHeight="1" s="195"/>
    <row r="586" ht="15.75" customHeight="1" s="195"/>
    <row r="587" ht="15.75" customHeight="1" s="195"/>
    <row r="588" ht="15.75" customHeight="1" s="195"/>
    <row r="589" ht="15.75" customHeight="1" s="195"/>
    <row r="590" ht="15.75" customHeight="1" s="195"/>
    <row r="591" ht="15.75" customHeight="1" s="195"/>
    <row r="592" ht="15.75" customHeight="1" s="195"/>
    <row r="593" ht="15.75" customHeight="1" s="195"/>
    <row r="594" ht="15.75" customHeight="1" s="195"/>
    <row r="595" ht="15.75" customHeight="1" s="195"/>
    <row r="596" ht="15.75" customHeight="1" s="195"/>
    <row r="597" ht="15.75" customHeight="1" s="195"/>
    <row r="598" ht="15.75" customHeight="1" s="195"/>
    <row r="599" ht="15.75" customHeight="1" s="195"/>
    <row r="600" ht="15.75" customHeight="1" s="195"/>
    <row r="601" ht="15.75" customHeight="1" s="195"/>
    <row r="602" ht="15.75" customHeight="1" s="195"/>
    <row r="603" ht="15.75" customHeight="1" s="195"/>
    <row r="604" ht="15.75" customHeight="1" s="195"/>
    <row r="605" ht="15.75" customHeight="1" s="195"/>
    <row r="606" ht="15.75" customHeight="1" s="195"/>
    <row r="607" ht="15.75" customHeight="1" s="195"/>
    <row r="608" ht="15.75" customHeight="1" s="195"/>
    <row r="609" ht="15.75" customHeight="1" s="195"/>
    <row r="610" ht="15.75" customHeight="1" s="195"/>
    <row r="611" ht="15.75" customHeight="1" s="195"/>
    <row r="612" ht="15.75" customHeight="1" s="195"/>
    <row r="613" ht="15.75" customHeight="1" s="195"/>
    <row r="614" ht="15.75" customHeight="1" s="195"/>
    <row r="615" ht="15.75" customHeight="1" s="195"/>
    <row r="616" ht="15.75" customHeight="1" s="195"/>
    <row r="617" ht="15.75" customHeight="1" s="195"/>
    <row r="618" ht="15.75" customHeight="1" s="195"/>
    <row r="619" ht="15.75" customHeight="1" s="195"/>
    <row r="620" ht="15.75" customHeight="1" s="195"/>
    <row r="621" ht="15.75" customHeight="1" s="195"/>
    <row r="622" ht="15.75" customHeight="1" s="195"/>
    <row r="623" ht="15.75" customHeight="1" s="195"/>
    <row r="624" ht="15.75" customHeight="1" s="195"/>
    <row r="625" ht="15.75" customHeight="1" s="195"/>
    <row r="626" ht="15.75" customHeight="1" s="195"/>
    <row r="627" ht="15.75" customHeight="1" s="195"/>
    <row r="628" ht="15.75" customHeight="1" s="195"/>
    <row r="629" ht="15.75" customHeight="1" s="195"/>
    <row r="630" ht="15.75" customHeight="1" s="195"/>
    <row r="631" ht="15.75" customHeight="1" s="195"/>
    <row r="632" ht="15.75" customHeight="1" s="195"/>
    <row r="633" ht="15.75" customHeight="1" s="195"/>
    <row r="634" ht="15.75" customHeight="1" s="195"/>
    <row r="635" ht="15.75" customHeight="1" s="195"/>
    <row r="636" ht="15.75" customHeight="1" s="195"/>
    <row r="637" ht="15.75" customHeight="1" s="195"/>
    <row r="638" ht="15.75" customHeight="1" s="195"/>
    <row r="639" ht="15.75" customHeight="1" s="195"/>
    <row r="640" ht="15.75" customHeight="1" s="195"/>
    <row r="641" ht="15.75" customHeight="1" s="195"/>
    <row r="642" ht="15.75" customHeight="1" s="195"/>
    <row r="643" ht="15.75" customHeight="1" s="195"/>
    <row r="644" ht="15.75" customHeight="1" s="195"/>
    <row r="645" ht="15.75" customHeight="1" s="195"/>
    <row r="646" ht="15.75" customHeight="1" s="195"/>
    <row r="647" ht="15.75" customHeight="1" s="195"/>
    <row r="648" ht="15.75" customHeight="1" s="195"/>
    <row r="649" ht="15.75" customHeight="1" s="195"/>
    <row r="650" ht="15.75" customHeight="1" s="195"/>
    <row r="651" ht="15.75" customHeight="1" s="195"/>
    <row r="652" ht="15.75" customHeight="1" s="195"/>
    <row r="653" ht="15.75" customHeight="1" s="195"/>
    <row r="654" ht="15.75" customHeight="1" s="195"/>
    <row r="655" ht="15.75" customHeight="1" s="195"/>
    <row r="656" ht="15.75" customHeight="1" s="195"/>
    <row r="657" ht="15.75" customHeight="1" s="195"/>
    <row r="658" ht="15.75" customHeight="1" s="195"/>
    <row r="659" ht="15.75" customHeight="1" s="195"/>
    <row r="660" ht="15.75" customHeight="1" s="195"/>
    <row r="661" ht="15.75" customHeight="1" s="195"/>
    <row r="662" ht="15.75" customHeight="1" s="195"/>
    <row r="663" ht="15.75" customHeight="1" s="195"/>
    <row r="664" ht="15.75" customHeight="1" s="195"/>
    <row r="665" ht="15.75" customHeight="1" s="195"/>
    <row r="666" ht="15.75" customHeight="1" s="195"/>
    <row r="667" ht="15.75" customHeight="1" s="195"/>
    <row r="668" ht="15.75" customHeight="1" s="195"/>
    <row r="669" ht="15.75" customHeight="1" s="195"/>
    <row r="670" ht="15.75" customHeight="1" s="195"/>
    <row r="671" ht="15.75" customHeight="1" s="195"/>
    <row r="672" ht="15.75" customHeight="1" s="195"/>
    <row r="673" ht="15.75" customHeight="1" s="195"/>
    <row r="674" ht="15.75" customHeight="1" s="195"/>
    <row r="675" ht="15.75" customHeight="1" s="195"/>
    <row r="676" ht="15.75" customHeight="1" s="195"/>
    <row r="677" ht="15.75" customHeight="1" s="195"/>
    <row r="678" ht="15.75" customHeight="1" s="195"/>
    <row r="679" ht="15.75" customHeight="1" s="195"/>
    <row r="680" ht="15.75" customHeight="1" s="195"/>
    <row r="681" ht="15.75" customHeight="1" s="195"/>
    <row r="682" ht="15.75" customHeight="1" s="195"/>
    <row r="683" ht="15.75" customHeight="1" s="195"/>
    <row r="684" ht="15.75" customHeight="1" s="195"/>
    <row r="685" ht="15.75" customHeight="1" s="195"/>
    <row r="686" ht="15.75" customHeight="1" s="195"/>
    <row r="687" ht="15.75" customHeight="1" s="195"/>
    <row r="688" ht="15.75" customHeight="1" s="195"/>
    <row r="689" ht="15.75" customHeight="1" s="195"/>
    <row r="690" ht="15.75" customHeight="1" s="195"/>
    <row r="691" ht="15.75" customHeight="1" s="195"/>
    <row r="692" ht="15.75" customHeight="1" s="195"/>
    <row r="693" ht="15.75" customHeight="1" s="195"/>
    <row r="694" ht="15.75" customHeight="1" s="195"/>
    <row r="695" ht="15.75" customHeight="1" s="195"/>
    <row r="696" ht="15.75" customHeight="1" s="195"/>
    <row r="697" ht="15.75" customHeight="1" s="195"/>
    <row r="698" ht="15.75" customHeight="1" s="195"/>
    <row r="699" ht="15.75" customHeight="1" s="195"/>
    <row r="700" ht="15.75" customHeight="1" s="195"/>
    <row r="701" ht="15.75" customHeight="1" s="195"/>
    <row r="702" ht="15.75" customHeight="1" s="195"/>
    <row r="703" ht="15.75" customHeight="1" s="195"/>
    <row r="704" ht="15.75" customHeight="1" s="195"/>
    <row r="705" ht="15.75" customHeight="1" s="195"/>
    <row r="706" ht="15.75" customHeight="1" s="195"/>
    <row r="707" ht="15.75" customHeight="1" s="195"/>
    <row r="708" ht="15.75" customHeight="1" s="195"/>
    <row r="709" ht="15.75" customHeight="1" s="195"/>
    <row r="710" ht="15.75" customHeight="1" s="195"/>
    <row r="711" ht="15.75" customHeight="1" s="195"/>
    <row r="712" ht="15.75" customHeight="1" s="195"/>
    <row r="713" ht="15.75" customHeight="1" s="195"/>
    <row r="714" ht="15.75" customHeight="1" s="195"/>
    <row r="715" ht="15.75" customHeight="1" s="195"/>
    <row r="716" ht="15.75" customHeight="1" s="195"/>
    <row r="717" ht="15.75" customHeight="1" s="195"/>
    <row r="718" ht="15.75" customHeight="1" s="195"/>
    <row r="719" ht="15.75" customHeight="1" s="195"/>
    <row r="720" ht="15.75" customHeight="1" s="195"/>
    <row r="721" ht="15.75" customHeight="1" s="195"/>
    <row r="722" ht="15.75" customHeight="1" s="195"/>
    <row r="723" ht="15.75" customHeight="1" s="195"/>
    <row r="724" ht="15.75" customHeight="1" s="195"/>
    <row r="725" ht="15.75" customHeight="1" s="195"/>
    <row r="726" ht="15.75" customHeight="1" s="195"/>
    <row r="727" ht="15.75" customHeight="1" s="195"/>
    <row r="728" ht="15.75" customHeight="1" s="195"/>
    <row r="729" ht="15.75" customHeight="1" s="195"/>
    <row r="730" ht="15.75" customHeight="1" s="195"/>
    <row r="731" ht="15.75" customHeight="1" s="195"/>
    <row r="732" ht="15.75" customHeight="1" s="195"/>
    <row r="733" ht="15.75" customHeight="1" s="195"/>
    <row r="734" ht="15.75" customHeight="1" s="195"/>
    <row r="735" ht="15.75" customHeight="1" s="195"/>
    <row r="736" ht="15.75" customHeight="1" s="195"/>
    <row r="737" ht="15.75" customHeight="1" s="195"/>
    <row r="738" ht="15.75" customHeight="1" s="195"/>
    <row r="739" ht="15.75" customHeight="1" s="195"/>
    <row r="740" ht="15.75" customHeight="1" s="195"/>
    <row r="741" ht="15.75" customHeight="1" s="195"/>
    <row r="742" ht="15.75" customHeight="1" s="195"/>
    <row r="743" ht="15.75" customHeight="1" s="195"/>
    <row r="744" ht="15.75" customHeight="1" s="195"/>
    <row r="745" ht="15.75" customHeight="1" s="195"/>
    <row r="746" ht="15.75" customHeight="1" s="195"/>
    <row r="747" ht="15.75" customHeight="1" s="195"/>
    <row r="748" ht="15.75" customHeight="1" s="195"/>
    <row r="749" ht="15.75" customHeight="1" s="195"/>
    <row r="750" ht="15.75" customHeight="1" s="195"/>
    <row r="751" ht="15.75" customHeight="1" s="195"/>
    <row r="752" ht="15.75" customHeight="1" s="195"/>
    <row r="753" ht="15.75" customHeight="1" s="195"/>
    <row r="754" ht="15.75" customHeight="1" s="195"/>
    <row r="755" ht="15.75" customHeight="1" s="195"/>
    <row r="756" ht="15.75" customHeight="1" s="195"/>
    <row r="757" ht="15.75" customHeight="1" s="195"/>
    <row r="758" ht="15.75" customHeight="1" s="195"/>
    <row r="759" ht="15.75" customHeight="1" s="195"/>
    <row r="760" ht="15.75" customHeight="1" s="195"/>
    <row r="761" ht="15.75" customHeight="1" s="195"/>
    <row r="762" ht="15.75" customHeight="1" s="195"/>
    <row r="763" ht="15.75" customHeight="1" s="195"/>
    <row r="764" ht="15.75" customHeight="1" s="195"/>
    <row r="765" ht="15.75" customHeight="1" s="195"/>
    <row r="766" ht="15.75" customHeight="1" s="195"/>
    <row r="767" ht="15.75" customHeight="1" s="195"/>
    <row r="768" ht="15.75" customHeight="1" s="195"/>
    <row r="769" ht="15.75" customHeight="1" s="195"/>
    <row r="770" ht="15.75" customHeight="1" s="195"/>
    <row r="771" ht="15.75" customHeight="1" s="195"/>
    <row r="772" ht="15.75" customHeight="1" s="195"/>
    <row r="773" ht="15.75" customHeight="1" s="195"/>
    <row r="774" ht="15.75" customHeight="1" s="195"/>
    <row r="775" ht="15.75" customHeight="1" s="195"/>
    <row r="776" ht="15.75" customHeight="1" s="195"/>
    <row r="777" ht="15.75" customHeight="1" s="195"/>
    <row r="778" ht="15.75" customHeight="1" s="195"/>
    <row r="779" ht="15.75" customHeight="1" s="195"/>
    <row r="780" ht="15.75" customHeight="1" s="195"/>
    <row r="781" ht="15.75" customHeight="1" s="195"/>
    <row r="782" ht="15.75" customHeight="1" s="195"/>
    <row r="783" ht="15.75" customHeight="1" s="195"/>
    <row r="784" ht="15.75" customHeight="1" s="195"/>
    <row r="785" ht="15.75" customHeight="1" s="195"/>
    <row r="786" ht="15.75" customHeight="1" s="195"/>
    <row r="787" ht="15.75" customHeight="1" s="195"/>
    <row r="788" ht="15.75" customHeight="1" s="195"/>
    <row r="789" ht="15.75" customHeight="1" s="195"/>
    <row r="790" ht="15.75" customHeight="1" s="195"/>
    <row r="791" ht="15.75" customHeight="1" s="195"/>
    <row r="792" ht="15.75" customHeight="1" s="195"/>
    <row r="793" ht="15.75" customHeight="1" s="195"/>
    <row r="794" ht="15.75" customHeight="1" s="195"/>
    <row r="795" ht="15.75" customHeight="1" s="195"/>
    <row r="796" ht="15.75" customHeight="1" s="195"/>
    <row r="797" ht="15.75" customHeight="1" s="195"/>
    <row r="798" ht="15.75" customHeight="1" s="195"/>
    <row r="799" ht="15.75" customHeight="1" s="195"/>
    <row r="800" ht="15.75" customHeight="1" s="195"/>
    <row r="801" ht="15.75" customHeight="1" s="195"/>
    <row r="802" ht="15.75" customHeight="1" s="195"/>
    <row r="803" ht="15.75" customHeight="1" s="195"/>
    <row r="804" ht="15.75" customHeight="1" s="195"/>
    <row r="805" ht="15.75" customHeight="1" s="195"/>
    <row r="806" ht="15.75" customHeight="1" s="195"/>
    <row r="807" ht="15.75" customHeight="1" s="195"/>
    <row r="808" ht="15.75" customHeight="1" s="195"/>
    <row r="809" ht="15.75" customHeight="1" s="195"/>
    <row r="810" ht="15.75" customHeight="1" s="195"/>
    <row r="811" ht="15.75" customHeight="1" s="195"/>
    <row r="812" ht="15.75" customHeight="1" s="195"/>
    <row r="813" ht="15.75" customHeight="1" s="195"/>
    <row r="814" ht="15.75" customHeight="1" s="195"/>
    <row r="815" ht="15.75" customHeight="1" s="195"/>
    <row r="816" ht="15.75" customHeight="1" s="195"/>
    <row r="817" ht="15.75" customHeight="1" s="195"/>
    <row r="818" ht="15.75" customHeight="1" s="195"/>
    <row r="819" ht="15.75" customHeight="1" s="195"/>
    <row r="820" ht="15.75" customHeight="1" s="195"/>
    <row r="821" ht="15.75" customHeight="1" s="195"/>
    <row r="822" ht="15.75" customHeight="1" s="195"/>
    <row r="823" ht="15.75" customHeight="1" s="195"/>
    <row r="824" ht="15.75" customHeight="1" s="195"/>
    <row r="825" ht="15.75" customHeight="1" s="195"/>
    <row r="826" ht="15.75" customHeight="1" s="195"/>
    <row r="827" ht="15.75" customHeight="1" s="195"/>
    <row r="828" ht="15.75" customHeight="1" s="195"/>
    <row r="829" ht="15.75" customHeight="1" s="195"/>
    <row r="830" ht="15.75" customHeight="1" s="195"/>
    <row r="831" ht="15.75" customHeight="1" s="195"/>
    <row r="832" ht="15.75" customHeight="1" s="195"/>
    <row r="833" ht="15.75" customHeight="1" s="195"/>
    <row r="834" ht="15.75" customHeight="1" s="195"/>
    <row r="835" ht="15.75" customHeight="1" s="195"/>
    <row r="836" ht="15.75" customHeight="1" s="195"/>
    <row r="837" ht="15.75" customHeight="1" s="195"/>
    <row r="838" ht="15.75" customHeight="1" s="195"/>
    <row r="839" ht="15.75" customHeight="1" s="195"/>
    <row r="840" ht="15.75" customHeight="1" s="195"/>
    <row r="841" ht="15.75" customHeight="1" s="195"/>
    <row r="842" ht="15.75" customHeight="1" s="195"/>
    <row r="843" ht="15.75" customHeight="1" s="195"/>
    <row r="844" ht="15.75" customHeight="1" s="195"/>
    <row r="845" ht="15.75" customHeight="1" s="195"/>
    <row r="846" ht="15.75" customHeight="1" s="195"/>
    <row r="847" ht="15.75" customHeight="1" s="195"/>
    <row r="848" ht="15.75" customHeight="1" s="195"/>
    <row r="849" ht="15.75" customHeight="1" s="195"/>
    <row r="850" ht="15.75" customHeight="1" s="195"/>
    <row r="851" ht="15.75" customHeight="1" s="195"/>
    <row r="852" ht="15.75" customHeight="1" s="195"/>
    <row r="853" ht="15.75" customHeight="1" s="195"/>
    <row r="854" ht="15.75" customHeight="1" s="195"/>
    <row r="855" ht="15.75" customHeight="1" s="195"/>
    <row r="856" ht="15.75" customHeight="1" s="195"/>
    <row r="857" ht="15.75" customHeight="1" s="195"/>
    <row r="858" ht="15.75" customHeight="1" s="195"/>
    <row r="859" ht="15.75" customHeight="1" s="195"/>
    <row r="860" ht="15.75" customHeight="1" s="195"/>
    <row r="861" ht="15.75" customHeight="1" s="195"/>
    <row r="862" ht="15.75" customHeight="1" s="195"/>
    <row r="863" ht="15.75" customHeight="1" s="195"/>
    <row r="864" ht="15.75" customHeight="1" s="195"/>
    <row r="865" ht="15.75" customHeight="1" s="195"/>
    <row r="866" ht="15.75" customHeight="1" s="195"/>
    <row r="867" ht="15.75" customHeight="1" s="195"/>
    <row r="868" ht="15.75" customHeight="1" s="195"/>
    <row r="869" ht="15.75" customHeight="1" s="195"/>
    <row r="870" ht="15.75" customHeight="1" s="195"/>
    <row r="871" ht="15.75" customHeight="1" s="195"/>
    <row r="872" ht="15.75" customHeight="1" s="195"/>
    <row r="873" ht="15.75" customHeight="1" s="195"/>
    <row r="874" ht="15.75" customHeight="1" s="195"/>
    <row r="875" ht="15.75" customHeight="1" s="195"/>
    <row r="876" ht="15.75" customHeight="1" s="195"/>
    <row r="877" ht="15.75" customHeight="1" s="195"/>
    <row r="878" ht="15.75" customHeight="1" s="195"/>
    <row r="879" ht="15.75" customHeight="1" s="195"/>
    <row r="880" ht="15.75" customHeight="1" s="195"/>
    <row r="881" ht="15.75" customHeight="1" s="195"/>
    <row r="882" ht="15.75" customHeight="1" s="195"/>
    <row r="883" ht="15.75" customHeight="1" s="195"/>
    <row r="884" ht="15.75" customHeight="1" s="195"/>
    <row r="885" ht="15.75" customHeight="1" s="195"/>
    <row r="886" ht="15.75" customHeight="1" s="195"/>
    <row r="887" ht="15.75" customHeight="1" s="195"/>
    <row r="888" ht="15.75" customHeight="1" s="195"/>
    <row r="889" ht="15.75" customHeight="1" s="195"/>
    <row r="890" ht="15.75" customHeight="1" s="195"/>
    <row r="891" ht="15.75" customHeight="1" s="195"/>
    <row r="892" ht="15.75" customHeight="1" s="195"/>
    <row r="893" ht="15.75" customHeight="1" s="195"/>
    <row r="894" ht="15.75" customHeight="1" s="195"/>
    <row r="895" ht="15.75" customHeight="1" s="195"/>
    <row r="896" ht="15.75" customHeight="1" s="195"/>
    <row r="897" ht="15.75" customHeight="1" s="195"/>
    <row r="898" ht="15.75" customHeight="1" s="195"/>
    <row r="899" ht="15.75" customHeight="1" s="195"/>
    <row r="900" ht="15.75" customHeight="1" s="195"/>
    <row r="901" ht="15.75" customHeight="1" s="195"/>
    <row r="902" ht="15.75" customHeight="1" s="195"/>
    <row r="903" ht="15.75" customHeight="1" s="195"/>
    <row r="904" ht="15.75" customHeight="1" s="195"/>
    <row r="905" ht="15.75" customHeight="1" s="195"/>
    <row r="906" ht="15.75" customHeight="1" s="195"/>
    <row r="907" ht="15.75" customHeight="1" s="195"/>
    <row r="908" ht="15.75" customHeight="1" s="195"/>
    <row r="909" ht="15.75" customHeight="1" s="195"/>
    <row r="910" ht="15.75" customHeight="1" s="195"/>
    <row r="911" ht="15.75" customHeight="1" s="195"/>
    <row r="912" ht="15.75" customHeight="1" s="195"/>
    <row r="913" ht="15.75" customHeight="1" s="195"/>
    <row r="914" ht="15.75" customHeight="1" s="195"/>
    <row r="915" ht="15.75" customHeight="1" s="195"/>
    <row r="916" ht="15.75" customHeight="1" s="195"/>
    <row r="917" ht="15.75" customHeight="1" s="195"/>
    <row r="918" ht="15.75" customHeight="1" s="195"/>
    <row r="919" ht="15.75" customHeight="1" s="195"/>
    <row r="920" ht="15.75" customHeight="1" s="195"/>
    <row r="921" ht="15.75" customHeight="1" s="195"/>
    <row r="922" ht="15.75" customHeight="1" s="195"/>
    <row r="923" ht="15.75" customHeight="1" s="195"/>
    <row r="924" ht="15.75" customHeight="1" s="195"/>
    <row r="925" ht="15.75" customHeight="1" s="195"/>
    <row r="926" ht="15.75" customHeight="1" s="195"/>
    <row r="927" ht="15.75" customHeight="1" s="195"/>
    <row r="928" ht="15.75" customHeight="1" s="195"/>
    <row r="929" ht="15.75" customHeight="1" s="195"/>
    <row r="930" ht="15.75" customHeight="1" s="195"/>
    <row r="931" ht="15.75" customHeight="1" s="195"/>
    <row r="932" ht="15.75" customHeight="1" s="195"/>
    <row r="933" ht="15.75" customHeight="1" s="195"/>
    <row r="934" ht="15.75" customHeight="1" s="195"/>
    <row r="935" ht="15.75" customHeight="1" s="195"/>
    <row r="936" ht="15.75" customHeight="1" s="195"/>
    <row r="937" ht="15.75" customHeight="1" s="195"/>
    <row r="938" ht="15.75" customHeight="1" s="195"/>
    <row r="939" ht="15.75" customHeight="1" s="195"/>
    <row r="940" ht="15.75" customHeight="1" s="195"/>
    <row r="941" ht="15.75" customHeight="1" s="195"/>
    <row r="942" ht="15.75" customHeight="1" s="195"/>
    <row r="943" ht="15.75" customHeight="1" s="195"/>
    <row r="944" ht="15.75" customHeight="1" s="195"/>
    <row r="945" ht="15.75" customHeight="1" s="195"/>
    <row r="946" ht="15.75" customHeight="1" s="195"/>
    <row r="947" ht="15.75" customHeight="1" s="195"/>
    <row r="948" ht="15.75" customHeight="1" s="195"/>
    <row r="949" ht="15.75" customHeight="1" s="195"/>
    <row r="950" ht="15.75" customHeight="1" s="195"/>
    <row r="951" ht="15.75" customHeight="1" s="195"/>
    <row r="952" ht="15.75" customHeight="1" s="195"/>
    <row r="953" ht="15.75" customHeight="1" s="195"/>
    <row r="954" ht="15.75" customHeight="1" s="195"/>
    <row r="955" ht="15.75" customHeight="1" s="195"/>
    <row r="956" ht="15.75" customHeight="1" s="195"/>
    <row r="957" ht="15.75" customHeight="1" s="195"/>
    <row r="958" ht="15.75" customHeight="1" s="195"/>
    <row r="959" ht="15.75" customHeight="1" s="195"/>
    <row r="960" ht="15.75" customHeight="1" s="195"/>
    <row r="961" ht="15.75" customHeight="1" s="195"/>
    <row r="962" ht="15.75" customHeight="1" s="195"/>
    <row r="963" ht="15.75" customHeight="1" s="195"/>
    <row r="964" ht="15.75" customHeight="1" s="195"/>
    <row r="965" ht="15.75" customHeight="1" s="195"/>
    <row r="966" ht="15.75" customHeight="1" s="195"/>
    <row r="967" ht="15.75" customHeight="1" s="195"/>
    <row r="968" ht="15.75" customHeight="1" s="195"/>
    <row r="969" ht="15.75" customHeight="1" s="195"/>
    <row r="970" ht="15.75" customHeight="1" s="195"/>
    <row r="971" ht="15.75" customHeight="1" s="195"/>
    <row r="972" ht="15.75" customHeight="1" s="195"/>
    <row r="973" ht="15.75" customHeight="1" s="195"/>
    <row r="974" ht="15.75" customHeight="1" s="195"/>
    <row r="975" ht="15.75" customHeight="1" s="195"/>
    <row r="976" ht="15.75" customHeight="1" s="195"/>
    <row r="977" ht="15.75" customHeight="1" s="195"/>
    <row r="978" ht="15.75" customHeight="1" s="195"/>
    <row r="979" ht="15.75" customHeight="1" s="195"/>
    <row r="980" ht="15.75" customHeight="1" s="195"/>
    <row r="981" ht="15.75" customHeight="1" s="195"/>
    <row r="982" ht="15.75" customHeight="1" s="195"/>
    <row r="983" ht="15.75" customHeight="1" s="195"/>
    <row r="984" ht="15.75" customHeight="1" s="195"/>
    <row r="985" ht="15.75" customHeight="1" s="195"/>
    <row r="986" ht="15.75" customHeight="1" s="195"/>
    <row r="987" ht="15.75" customHeight="1" s="195"/>
    <row r="988" ht="15.75" customHeight="1" s="195"/>
    <row r="989" ht="15.75" customHeight="1" s="195"/>
    <row r="990" ht="15.75" customHeight="1" s="195"/>
    <row r="991" ht="15.75" customHeight="1" s="195"/>
    <row r="992" ht="15.75" customHeight="1" s="195"/>
    <row r="993" ht="15.75" customHeight="1" s="195"/>
    <row r="994" ht="15.75" customHeight="1" s="195"/>
    <row r="995" ht="15.75" customHeight="1" s="195"/>
    <row r="996" ht="15.75" customHeight="1" s="195"/>
    <row r="997" ht="15.75" customHeight="1" s="195"/>
    <row r="998" ht="15.75" customHeight="1" s="195"/>
    <row r="999" ht="15.75" customHeight="1" s="195"/>
    <row r="1000" ht="15.75" customHeight="1" s="195"/>
  </sheetData>
  <mergeCells count="13">
    <mergeCell ref="D2:F2"/>
    <mergeCell ref="G2:I2"/>
    <mergeCell ref="S2:T2"/>
    <mergeCell ref="J2:L2"/>
    <mergeCell ref="A8:J8"/>
    <mergeCell ref="U2:V2"/>
    <mergeCell ref="A506:G506"/>
    <mergeCell ref="P2:R2"/>
    <mergeCell ref="A1:Y1"/>
    <mergeCell ref="W2:AC2"/>
    <mergeCell ref="A4:Y4"/>
    <mergeCell ref="M2:O2"/>
    <mergeCell ref="A2:C2"/>
  </mergeCells>
  <conditionalFormatting sqref="T6:T505">
    <cfRule type="expression" rank="0" priority="2" equalAverage="0" aboveAverage="0" dxfId="0" text="" percent="0" bottom="0">
      <formula>EXACT(T6,"APROBADO")</formula>
    </cfRule>
    <cfRule type="expression" rank="0" priority="3" equalAverage="0" aboveAverage="0" dxfId="7" text="" percent="0" bottom="0">
      <formula>EXACT(T6,"PENDIENTE")</formula>
    </cfRule>
    <cfRule type="expression" rank="0" priority="4" equalAverage="0" aboveAverage="0" dxfId="0" text="" percent="0" bottom="0">
      <formula>EXACT(T6,"APROBADO")</formula>
    </cfRule>
    <cfRule type="expression" rank="0" priority="5" equalAverage="0" aboveAverage="0" dxfId="7" text="" percent="0" bottom="0">
      <formula>EXACT(T6,"OBSERVADO")</formula>
    </cfRule>
  </conditionalFormatting>
  <conditionalFormatting sqref="K6:K505">
    <cfRule type="expression" rank="0" priority="6" equalAverage="0" aboveAverage="0" dxfId="8" text="" percent="0" bottom="0">
      <formula>EXACT(K6,"GASOLINA")</formula>
    </cfRule>
  </conditionalFormatting>
  <conditionalFormatting sqref="Z6:Z505">
    <cfRule type="expression" rank="0" priority="7" equalAverage="0" aboveAverage="0" dxfId="0" text="" percent="0" bottom="0">
      <formula>EXACT(Z6,"COMPLETADO")</formula>
    </cfRule>
    <cfRule type="expression" rank="0" priority="8" equalAverage="0" aboveAverage="0" dxfId="7" text="" percent="0" bottom="0">
      <formula>EXACT(Z6,"OBSERVADO")</formula>
    </cfRule>
  </conditionalFormatting>
  <conditionalFormatting sqref="T6:T110">
    <cfRule type="expression" rank="0" priority="9" equalAverage="0" aboveAverage="0" dxfId="0" text="" percent="0" bottom="0">
      <formula>EXACT(T6,"APROBADO")</formula>
    </cfRule>
    <cfRule type="expression" rank="0" priority="10" equalAverage="0" aboveAverage="0" dxfId="7" text="" percent="0" bottom="0">
      <formula>EXACT(T6,"OBSERVADO")</formula>
    </cfRule>
  </conditionalFormatting>
  <conditionalFormatting sqref="Z6:Z110">
    <cfRule type="expression" rank="0" priority="11" equalAverage="0" aboveAverage="0" dxfId="0" text="" percent="0" bottom="0">
      <formula>EXACT(Z6,"COMPLETADO")</formula>
    </cfRule>
    <cfRule type="expression" rank="0" priority="12" equalAverage="0" aboveAverage="0" dxfId="7" text="" percent="0" bottom="0">
      <formula>EXACT(Z6,"OBSERVADO")</formula>
    </cfRule>
    <cfRule type="expression" rank="0" priority="13" equalAverage="0" aboveAverage="0" dxfId="0" text="" percent="0" bottom="0">
      <formula>Z6="ENTREGADO"</formula>
    </cfRule>
    <cfRule type="expression" rank="0" priority="14" equalAverage="0" aboveAverage="0" dxfId="7" text="" percent="0" bottom="0">
      <formula>Z6="POR RECOGER"</formula>
    </cfRule>
  </conditionalFormatting>
  <conditionalFormatting sqref="Y6:Y110">
    <cfRule type="expression" rank="0" priority="15" equalAverage="0" aboveAverage="0" dxfId="9" text="" percent="0" bottom="0">
      <formula>Y6&lt;&gt;""</formula>
    </cfRule>
  </conditionalFormatting>
  <dataValidations count="5">
    <dataValidation sqref="Y6:Y110" showDropDown="0" showInputMessage="0" showErrorMessage="0" allowBlank="1" type="list" errorStyle="stop" operator="between">
      <formula1>CONDUCTORES!$H$3:$H$104</formula1>
      <formula2>0</formula2>
    </dataValidation>
    <dataValidation sqref="K6:K505" showDropDown="0" showInputMessage="0" showErrorMessage="0" allowBlank="1" type="list" errorStyle="stop" operator="between">
      <formula1>"PETROLEO,GASOLINA"</formula1>
      <formula2>0</formula2>
    </dataValidation>
    <dataValidation sqref="E6:E7 E9:E505" showDropDown="0" showInputMessage="0" showErrorMessage="0" allowBlank="1" type="list" errorStyle="stop" operator="between">
      <formula1>"DNI,CE,PASAPORTE"</formula1>
      <formula2>0</formula2>
    </dataValidation>
    <dataValidation sqref="T6:T110" showDropDown="0" showInputMessage="0" showErrorMessage="0" allowBlank="1" type="list" errorStyle="stop" operator="between">
      <formula1>"APROBADO,OBSERVADO"</formula1>
      <formula2>0</formula2>
    </dataValidation>
    <dataValidation sqref="T111:T505" showDropDown="0" showInputMessage="1" showErrorMessage="1" allowBlank="1" prompt="Valor no válido - Solo se permite: APROBADO u OBSERVADO" type="list" errorStyle="stop" operator="between">
      <formula1>"APROBADO,OBSERVADO"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Z15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8.710000000000001" customWidth="1" style="194" min="1" max="6"/>
  </cols>
  <sheetData>
    <row r="1" ht="15" customHeight="1" s="195">
      <c r="A1" s="376" t="inlineStr">
        <is>
          <t>IPRESS</t>
        </is>
      </c>
      <c r="B1" s="376" t="inlineStr">
        <is>
          <t>MES</t>
        </is>
      </c>
      <c r="C1" s="376" t="inlineStr">
        <is>
          <t>GAL_PET</t>
        </is>
      </c>
      <c r="D1" s="376" t="inlineStr">
        <is>
          <t>SOL_PET</t>
        </is>
      </c>
      <c r="E1" s="376" t="inlineStr">
        <is>
          <t>GAL_GAS</t>
        </is>
      </c>
      <c r="F1" s="376" t="inlineStr">
        <is>
          <t>SOL_GAS</t>
        </is>
      </c>
      <c r="G1" s="194" t="n"/>
      <c r="H1" s="194" t="n"/>
      <c r="I1" s="194" t="n"/>
      <c r="J1" s="194" t="n"/>
      <c r="K1" s="194" t="n"/>
      <c r="L1" s="194" t="n"/>
      <c r="M1" s="194" t="n"/>
      <c r="N1" s="194" t="n"/>
      <c r="O1" s="194" t="n"/>
      <c r="P1" s="194" t="n"/>
      <c r="Q1" s="194" t="n"/>
      <c r="R1" s="194" t="n"/>
      <c r="S1" s="194" t="n"/>
      <c r="T1" s="194" t="n"/>
      <c r="U1" s="194" t="n"/>
      <c r="V1" s="194" t="n"/>
      <c r="W1" s="194" t="n"/>
      <c r="X1" s="194" t="n"/>
      <c r="Y1" s="194" t="n"/>
      <c r="Z1" s="194" t="n"/>
    </row>
    <row r="2" ht="15" customHeight="1" s="195">
      <c r="A2" s="194" t="inlineStr">
        <is>
          <t>BUENOS AIRES</t>
        </is>
      </c>
      <c r="B2" s="194" t="inlineStr">
        <is>
          <t>ENERO 2026</t>
        </is>
      </c>
      <c r="C2" s="377">
        <f>IFERROR(SUMPRODUCT((IF('ENERO 2026'!Y6:Y119&lt;&gt;"",'ENERO 2026'!Y6:Y119,'ENERO 2026'!I6:I119)="BUENOS AIRES")*('ENERO 2026'!K6:K119="PETROLEO")*'ENERO 2026'!M6:M119),0)</f>
        <v/>
      </c>
      <c r="D2" s="377">
        <f>IFERROR(SUMPRODUCT((IF('ENERO 2026'!Y6:Y119&lt;&gt;"",'ENERO 2026'!Y6:Y119,'ENERO 2026'!I6:I119)="BUENOS AIRES")*('ENERO 2026'!K6:K119="PETROLEO")*'ENERO 2026'!L6:L119*'ENERO 2026'!M6:M119),0)</f>
        <v/>
      </c>
      <c r="E2" s="377">
        <f>IFERROR(SUMPRODUCT((IF('ENERO 2026'!Y6:Y119&lt;&gt;"",'ENERO 2026'!Y6:Y119,'ENERO 2026'!I6:I119)="BUENOS AIRES")*('ENERO 2026'!K6:K119="GASOLINA")*'ENERO 2026'!M6:M119),0)</f>
        <v/>
      </c>
      <c r="F2" s="377">
        <f>IFERROR(SUMPRODUCT((IF('ENERO 2026'!Y6:Y119&lt;&gt;"",'ENERO 2026'!Y6:Y119,'ENERO 2026'!I6:I119)="BUENOS AIRES")*('ENERO 2026'!K6:K119="GASOLINA")*'ENERO 2026'!L6:L119*'ENERO 2026'!M6:M119),0)</f>
        <v/>
      </c>
      <c r="G2" s="194" t="n"/>
      <c r="H2" s="194" t="n"/>
      <c r="I2" s="194" t="n"/>
      <c r="J2" s="194" t="n"/>
      <c r="K2" s="194" t="n"/>
      <c r="L2" s="194" t="n"/>
      <c r="M2" s="194" t="n"/>
      <c r="N2" s="194" t="n"/>
      <c r="O2" s="194" t="n"/>
      <c r="P2" s="194" t="n"/>
      <c r="Q2" s="194" t="n"/>
      <c r="R2" s="194" t="n"/>
      <c r="S2" s="194" t="n"/>
      <c r="T2" s="194" t="n"/>
      <c r="U2" s="194" t="n"/>
      <c r="V2" s="194" t="n"/>
      <c r="W2" s="194" t="n"/>
      <c r="X2" s="194" t="n"/>
      <c r="Y2" s="194" t="n"/>
      <c r="Z2" s="194" t="n"/>
    </row>
    <row r="3" ht="15" customHeight="1" s="195">
      <c r="A3" s="194" t="inlineStr">
        <is>
          <t>BUENOS AIRES</t>
        </is>
      </c>
      <c r="B3" s="194" t="inlineStr">
        <is>
          <t>FEBRERO 2026</t>
        </is>
      </c>
      <c r="C3" s="377">
        <f>IFERROR(SUMPRODUCT((IF('FEBRERO 2026'!Y6:Y124&lt;&gt;"",'FEBRERO 2026'!Y6:Y124,'FEBRERO 2026'!I6:I124)="BUENOS AIRES")*('FEBRERO 2026'!K6:K124="PETROLEO")*'FEBRERO 2026'!M6:M124),0)</f>
        <v/>
      </c>
      <c r="D3" s="377">
        <f>IFERROR(SUMPRODUCT((IF('FEBRERO 2026'!Y6:Y124&lt;&gt;"",'FEBRERO 2026'!Y6:Y124,'FEBRERO 2026'!I6:I124)="BUENOS AIRES")*('FEBRERO 2026'!K6:K124="PETROLEO")*'FEBRERO 2026'!L6:L124*'FEBRERO 2026'!M6:M124),0)</f>
        <v/>
      </c>
      <c r="E3" s="377">
        <f>IFERROR(SUMPRODUCT((IF('FEBRERO 2026'!Y6:Y124&lt;&gt;"",'FEBRERO 2026'!Y6:Y124,'FEBRERO 2026'!I6:I124)="BUENOS AIRES")*('FEBRERO 2026'!K6:K124="GASOLINA")*'FEBRERO 2026'!M6:M124),0)</f>
        <v/>
      </c>
      <c r="F3" s="377">
        <f>IFERROR(SUMPRODUCT((IF('FEBRERO 2026'!Y6:Y124&lt;&gt;"",'FEBRERO 2026'!Y6:Y124,'FEBRERO 2026'!I6:I124)="BUENOS AIRES")*('FEBRERO 2026'!K6:K124="GASOLINA")*'FEBRERO 2026'!L6:L124*'FEBRERO 2026'!M6:M124),0)</f>
        <v/>
      </c>
      <c r="G3" s="194" t="n"/>
      <c r="H3" s="194" t="n"/>
      <c r="I3" s="194" t="n"/>
      <c r="J3" s="194" t="n"/>
      <c r="K3" s="194" t="n"/>
      <c r="L3" s="194" t="n"/>
      <c r="M3" s="194" t="n"/>
      <c r="N3" s="194" t="n"/>
      <c r="O3" s="194" t="n"/>
      <c r="P3" s="194" t="n"/>
      <c r="Q3" s="194" t="n"/>
      <c r="R3" s="194" t="n"/>
      <c r="S3" s="194" t="n"/>
      <c r="T3" s="194" t="n"/>
      <c r="U3" s="194" t="n"/>
      <c r="V3" s="194" t="n"/>
      <c r="W3" s="194" t="n"/>
      <c r="X3" s="194" t="n"/>
      <c r="Y3" s="194" t="n"/>
      <c r="Z3" s="194" t="n"/>
    </row>
    <row r="4" ht="15" customHeight="1" s="195">
      <c r="A4" s="194" t="inlineStr">
        <is>
          <t>BUENOS AIRES</t>
        </is>
      </c>
      <c r="B4" s="194" t="inlineStr">
        <is>
          <t>MARZO 2026</t>
        </is>
      </c>
      <c r="C4" s="377">
        <f>IFERROR(SUMPRODUCT((IF('MARZO 2026'!Y6:Y119&lt;&gt;"",'MARZO 2026'!Y6:Y119,'MARZO 2026'!I6:I119)="BUENOS AIRES")*('MARZO 2026'!K6:K119="PETROLEO")*'MARZO 2026'!M6:M119),0)</f>
        <v/>
      </c>
      <c r="D4" s="377">
        <f>IFERROR(SUMPRODUCT((IF('MARZO 2026'!Y6:Y119&lt;&gt;"",'MARZO 2026'!Y6:Y119,'MARZO 2026'!I6:I119)="BUENOS AIRES")*('MARZO 2026'!K6:K119="PETROLEO")*'MARZO 2026'!L6:L119*'MARZO 2026'!M6:M119),0)</f>
        <v/>
      </c>
      <c r="E4" s="377">
        <f>IFERROR(SUMPRODUCT((IF('MARZO 2026'!Y6:Y119&lt;&gt;"",'MARZO 2026'!Y6:Y119,'MARZO 2026'!I6:I119)="BUENOS AIRES")*('MARZO 2026'!K6:K119="GASOLINA")*'MARZO 2026'!M6:M119),0)</f>
        <v/>
      </c>
      <c r="F4" s="377">
        <f>IFERROR(SUMPRODUCT((IF('MARZO 2026'!Y6:Y119&lt;&gt;"",'MARZO 2026'!Y6:Y119,'MARZO 2026'!I6:I119)="BUENOS AIRES")*('MARZO 2026'!K6:K119="GASOLINA")*'MARZO 2026'!L6:L119*'MARZO 2026'!M6:M119),0)</f>
        <v/>
      </c>
      <c r="G4" s="194" t="n"/>
      <c r="H4" s="194" t="n"/>
      <c r="I4" s="194" t="n"/>
      <c r="J4" s="194" t="n"/>
      <c r="K4" s="194" t="n"/>
      <c r="L4" s="194" t="n"/>
      <c r="M4" s="194" t="n"/>
      <c r="N4" s="194" t="n"/>
      <c r="O4" s="194" t="n"/>
      <c r="P4" s="194" t="n"/>
      <c r="Q4" s="194" t="n"/>
      <c r="R4" s="194" t="n"/>
      <c r="S4" s="194" t="n"/>
      <c r="T4" s="194" t="n"/>
      <c r="U4" s="194" t="n"/>
      <c r="V4" s="194" t="n"/>
      <c r="W4" s="194" t="n"/>
      <c r="X4" s="194" t="n"/>
      <c r="Y4" s="194" t="n"/>
      <c r="Z4" s="194" t="n"/>
    </row>
    <row r="5" ht="15" customHeight="1" s="195">
      <c r="A5" s="194" t="inlineStr">
        <is>
          <t>BUENOS AIRES</t>
        </is>
      </c>
      <c r="B5" s="194" t="inlineStr">
        <is>
          <t>ABRIL 2026</t>
        </is>
      </c>
      <c r="C5" s="377">
        <f>IFERROR(SUMPRODUCT((IF('ABRIL 2026'!Y6:Y119&lt;&gt;"",'ABRIL 2026'!Y6:Y119,'ABRIL 2026'!I6:I119)="BUENOS AIRES")*('ABRIL 2026'!K6:K119="PETROLEO")*'ABRIL 2026'!M6:M119),0)</f>
        <v/>
      </c>
      <c r="D5" s="377">
        <f>IFERROR(SUMPRODUCT((IF('ABRIL 2026'!Y6:Y119&lt;&gt;"",'ABRIL 2026'!Y6:Y119,'ABRIL 2026'!I6:I119)="BUENOS AIRES")*('ABRIL 2026'!K6:K119="PETROLEO")*'ABRIL 2026'!L6:L119*'ABRIL 2026'!M6:M119),0)</f>
        <v/>
      </c>
      <c r="E5" s="377">
        <f>IFERROR(SUMPRODUCT((IF('ABRIL 2026'!Y6:Y119&lt;&gt;"",'ABRIL 2026'!Y6:Y119,'ABRIL 2026'!I6:I119)="BUENOS AIRES")*('ABRIL 2026'!K6:K119="GASOLINA")*'ABRIL 2026'!M6:M119),0)</f>
        <v/>
      </c>
      <c r="F5" s="377">
        <f>IFERROR(SUMPRODUCT((IF('ABRIL 2026'!Y6:Y119&lt;&gt;"",'ABRIL 2026'!Y6:Y119,'ABRIL 2026'!I6:I119)="BUENOS AIRES")*('ABRIL 2026'!K6:K119="GASOLINA")*'ABRIL 2026'!L6:L119*'ABRIL 2026'!M6:M119),0)</f>
        <v/>
      </c>
      <c r="G5" s="194" t="n"/>
      <c r="H5" s="194" t="n"/>
      <c r="I5" s="194" t="n"/>
      <c r="J5" s="194" t="n"/>
      <c r="K5" s="194" t="n"/>
      <c r="L5" s="194" t="n"/>
      <c r="M5" s="194" t="n"/>
      <c r="N5" s="194" t="n"/>
      <c r="O5" s="194" t="n"/>
      <c r="P5" s="194" t="n"/>
      <c r="Q5" s="194" t="n"/>
      <c r="R5" s="194" t="n"/>
      <c r="S5" s="194" t="n"/>
      <c r="T5" s="194" t="n"/>
      <c r="U5" s="194" t="n"/>
      <c r="V5" s="194" t="n"/>
      <c r="W5" s="194" t="n"/>
      <c r="X5" s="194" t="n"/>
      <c r="Y5" s="194" t="n"/>
      <c r="Z5" s="194" t="n"/>
    </row>
    <row r="6" ht="15" customHeight="1" s="195">
      <c r="A6" s="194" t="inlineStr">
        <is>
          <t>BUENOS AIRES</t>
        </is>
      </c>
      <c r="B6" s="194" t="inlineStr">
        <is>
          <t>MAYO 2026</t>
        </is>
      </c>
      <c r="C6" s="377">
        <f>IFERROR(SUMPRODUCT((IF('MAYO 2026'!Y6:Y110&lt;&gt;"",'MAYO 2026'!Y6:Y110,'MAYO 2026'!I6:I110)="BUENOS AIRES")*('MAYO 2026'!K6:K110="PETROLEO")*'MAYO 2026'!M6:M110),0)</f>
        <v/>
      </c>
      <c r="D6" s="377">
        <f>IFERROR(SUMPRODUCT((IF('MAYO 2026'!Y6:Y110&lt;&gt;"",'MAYO 2026'!Y6:Y110,'MAYO 2026'!I6:I110)="BUENOS AIRES")*('MAYO 2026'!K6:K110="PETROLEO")*'MAYO 2026'!L6:L110*'MAYO 2026'!M6:M110),0)</f>
        <v/>
      </c>
      <c r="E6" s="377">
        <f>IFERROR(SUMPRODUCT((IF('MAYO 2026'!Y6:Y110&lt;&gt;"",'MAYO 2026'!Y6:Y110,'MAYO 2026'!I6:I110)="BUENOS AIRES")*('MAYO 2026'!K6:K110="GASOLINA")*'MAYO 2026'!M6:M110),0)</f>
        <v/>
      </c>
      <c r="F6" s="377">
        <f>IFERROR(SUMPRODUCT((IF('MAYO 2026'!Y6:Y110&lt;&gt;"",'MAYO 2026'!Y6:Y110,'MAYO 2026'!I6:I110)="BUENOS AIRES")*('MAYO 2026'!K6:K110="GASOLINA")*'MAYO 2026'!L6:L110*'MAYO 2026'!M6:M110),0)</f>
        <v/>
      </c>
      <c r="G6" s="194" t="n"/>
      <c r="H6" s="194" t="n"/>
      <c r="I6" s="194" t="n"/>
      <c r="J6" s="194" t="n"/>
      <c r="K6" s="194" t="n"/>
      <c r="L6" s="194" t="n"/>
      <c r="M6" s="194" t="n"/>
      <c r="N6" s="194" t="n"/>
      <c r="O6" s="194" t="n"/>
      <c r="P6" s="194" t="n"/>
      <c r="Q6" s="194" t="n"/>
      <c r="R6" s="194" t="n"/>
      <c r="S6" s="194" t="n"/>
      <c r="T6" s="194" t="n"/>
      <c r="U6" s="194" t="n"/>
      <c r="V6" s="194" t="n"/>
      <c r="W6" s="194" t="n"/>
      <c r="X6" s="194" t="n"/>
      <c r="Y6" s="194" t="n"/>
      <c r="Z6" s="194" t="n"/>
    </row>
    <row r="7" ht="15" customHeight="1" s="195">
      <c r="A7" s="194" t="inlineStr">
        <is>
          <t>BUENOS AIRES</t>
        </is>
      </c>
      <c r="B7" s="194" t="inlineStr">
        <is>
          <t>JUNIO 2026</t>
        </is>
      </c>
      <c r="C7" s="377">
        <f>IFERROR(SUMPRODUCT((IF('JUNIO 2026'!Y6:Y110&lt;&gt;"",'JUNIO 2026'!Y6:Y110,'JUNIO 2026'!I6:I110)="BUENOS AIRES")*('JUNIO 2026'!K6:K110="PETROLEO")*'JUNIO 2026'!M6:M110),0)</f>
        <v/>
      </c>
      <c r="D7" s="377">
        <f>IFERROR(SUMPRODUCT((IF('JUNIO 2026'!Y6:Y110&lt;&gt;"",'JUNIO 2026'!Y6:Y110,'JUNIO 2026'!I6:I110)="BUENOS AIRES")*('JUNIO 2026'!K6:K110="PETROLEO")*'JUNIO 2026'!L6:L110*'JUNIO 2026'!M6:M110),0)</f>
        <v/>
      </c>
      <c r="E7" s="377">
        <f>IFERROR(SUMPRODUCT((IF('JUNIO 2026'!Y6:Y110&lt;&gt;"",'JUNIO 2026'!Y6:Y110,'JUNIO 2026'!I6:I110)="BUENOS AIRES")*('JUNIO 2026'!K6:K110="GASOLINA")*'JUNIO 2026'!M6:M110),0)</f>
        <v/>
      </c>
      <c r="F7" s="377">
        <f>IFERROR(SUMPRODUCT((IF('JUNIO 2026'!Y6:Y110&lt;&gt;"",'JUNIO 2026'!Y6:Y110,'JUNIO 2026'!I6:I110)="BUENOS AIRES")*('JUNIO 2026'!K6:K110="GASOLINA")*'JUNIO 2026'!L6:L110*'JUNIO 2026'!M6:M110),0)</f>
        <v/>
      </c>
      <c r="G7" s="194" t="n"/>
      <c r="H7" s="194" t="n"/>
      <c r="I7" s="194" t="n"/>
      <c r="J7" s="194" t="n"/>
      <c r="K7" s="194" t="n"/>
      <c r="L7" s="194" t="n"/>
      <c r="M7" s="194" t="n"/>
      <c r="N7" s="194" t="n"/>
      <c r="O7" s="194" t="n"/>
      <c r="P7" s="194" t="n"/>
      <c r="Q7" s="194" t="n"/>
      <c r="R7" s="194" t="n"/>
      <c r="S7" s="194" t="n"/>
      <c r="T7" s="194" t="n"/>
      <c r="U7" s="194" t="n"/>
      <c r="V7" s="194" t="n"/>
      <c r="W7" s="194" t="n"/>
      <c r="X7" s="194" t="n"/>
      <c r="Y7" s="194" t="n"/>
      <c r="Z7" s="194" t="n"/>
    </row>
    <row r="8" ht="15" customHeight="1" s="195">
      <c r="A8" s="194" t="inlineStr">
        <is>
          <t>BUENOS AIRES</t>
        </is>
      </c>
      <c r="B8" s="194" t="inlineStr">
        <is>
          <t>JULIO 2026</t>
        </is>
      </c>
      <c r="C8" s="377">
        <f>IFERROR(SUMPRODUCT((IF('JULIO 2026'!Y6:Y110&lt;&gt;"",'JULIO 2026'!Y6:Y110,'JULIO 2026'!I6:I110)="BUENOS AIRES")*('JULIO 2026'!K6:K110="PETROLEO")*'JULIO 2026'!M6:M110),0)</f>
        <v/>
      </c>
      <c r="D8" s="377">
        <f>IFERROR(SUMPRODUCT((IF('JULIO 2026'!Y6:Y110&lt;&gt;"",'JULIO 2026'!Y6:Y110,'JULIO 2026'!I6:I110)="BUENOS AIRES")*('JULIO 2026'!K6:K110="PETROLEO")*'JULIO 2026'!L6:L110*'JULIO 2026'!M6:M110),0)</f>
        <v/>
      </c>
      <c r="E8" s="377">
        <f>IFERROR(SUMPRODUCT((IF('JULIO 2026'!Y6:Y110&lt;&gt;"",'JULIO 2026'!Y6:Y110,'JULIO 2026'!I6:I110)="BUENOS AIRES")*('JULIO 2026'!K6:K110="GASOLINA")*'JULIO 2026'!M6:M110),0)</f>
        <v/>
      </c>
      <c r="F8" s="377">
        <f>IFERROR(SUMPRODUCT((IF('JULIO 2026'!Y6:Y110&lt;&gt;"",'JULIO 2026'!Y6:Y110,'JULIO 2026'!I6:I110)="BUENOS AIRES")*('JULIO 2026'!K6:K110="GASOLINA")*'JULIO 2026'!L6:L110*'JULIO 2026'!M6:M110),0)</f>
        <v/>
      </c>
      <c r="G8" s="194" t="n"/>
      <c r="H8" s="194" t="n"/>
      <c r="I8" s="194" t="n"/>
      <c r="J8" s="194" t="n"/>
      <c r="K8" s="194" t="n"/>
      <c r="L8" s="194" t="n"/>
      <c r="M8" s="194" t="n"/>
      <c r="N8" s="194" t="n"/>
      <c r="O8" s="194" t="n"/>
      <c r="P8" s="194" t="n"/>
      <c r="Q8" s="194" t="n"/>
      <c r="R8" s="194" t="n"/>
      <c r="S8" s="194" t="n"/>
      <c r="T8" s="194" t="n"/>
      <c r="U8" s="194" t="n"/>
      <c r="V8" s="194" t="n"/>
      <c r="W8" s="194" t="n"/>
      <c r="X8" s="194" t="n"/>
      <c r="Y8" s="194" t="n"/>
      <c r="Z8" s="194" t="n"/>
    </row>
    <row r="9" ht="15" customHeight="1" s="195">
      <c r="A9" s="194" t="inlineStr">
        <is>
          <t>BUENOS AIRES</t>
        </is>
      </c>
      <c r="B9" s="194" t="inlineStr">
        <is>
          <t>AGOSTO 2026</t>
        </is>
      </c>
      <c r="C9" s="377">
        <f>IFERROR(SUMPRODUCT((IF('AGOSTO 2026'!Y6:Y110&lt;&gt;"",'AGOSTO 2026'!Y6:Y110,'AGOSTO 2026'!I6:I110)="BUENOS AIRES")*('AGOSTO 2026'!K6:K110="PETROLEO")*'AGOSTO 2026'!M6:M110),0)</f>
        <v/>
      </c>
      <c r="D9" s="377">
        <f>IFERROR(SUMPRODUCT((IF('AGOSTO 2026'!Y6:Y110&lt;&gt;"",'AGOSTO 2026'!Y6:Y110,'AGOSTO 2026'!I6:I110)="BUENOS AIRES")*('AGOSTO 2026'!K6:K110="PETROLEO")*'AGOSTO 2026'!L6:L110*'AGOSTO 2026'!M6:M110),0)</f>
        <v/>
      </c>
      <c r="E9" s="377">
        <f>IFERROR(SUMPRODUCT((IF('AGOSTO 2026'!Y6:Y110&lt;&gt;"",'AGOSTO 2026'!Y6:Y110,'AGOSTO 2026'!I6:I110)="BUENOS AIRES")*('AGOSTO 2026'!K6:K110="GASOLINA")*'AGOSTO 2026'!M6:M110),0)</f>
        <v/>
      </c>
      <c r="F9" s="377">
        <f>IFERROR(SUMPRODUCT((IF('AGOSTO 2026'!Y6:Y110&lt;&gt;"",'AGOSTO 2026'!Y6:Y110,'AGOSTO 2026'!I6:I110)="BUENOS AIRES")*('AGOSTO 2026'!K6:K110="GASOLINA")*'AGOSTO 2026'!L6:L110*'AGOSTO 2026'!M6:M110),0)</f>
        <v/>
      </c>
      <c r="G9" s="194" t="n"/>
      <c r="H9" s="194" t="n"/>
      <c r="I9" s="194" t="n"/>
      <c r="J9" s="194" t="n"/>
      <c r="K9" s="194" t="n"/>
      <c r="L9" s="194" t="n"/>
      <c r="M9" s="194" t="n"/>
      <c r="N9" s="194" t="n"/>
      <c r="O9" s="194" t="n"/>
      <c r="P9" s="194" t="n"/>
      <c r="Q9" s="194" t="n"/>
      <c r="R9" s="194" t="n"/>
      <c r="S9" s="194" t="n"/>
      <c r="T9" s="194" t="n"/>
      <c r="U9" s="194" t="n"/>
      <c r="V9" s="194" t="n"/>
      <c r="W9" s="194" t="n"/>
      <c r="X9" s="194" t="n"/>
      <c r="Y9" s="194" t="n"/>
      <c r="Z9" s="194" t="n"/>
    </row>
    <row r="10" ht="15" customHeight="1" s="195">
      <c r="A10" s="194" t="inlineStr">
        <is>
          <t>BUENOS AIRES</t>
        </is>
      </c>
      <c r="B10" s="194" t="inlineStr">
        <is>
          <t>SETIEMBRE 2026</t>
        </is>
      </c>
      <c r="C10" s="377">
        <f>IFERROR(SUMPRODUCT((IF('SETIEMBRE 2026'!Y6:Y110&lt;&gt;"",'SETIEMBRE 2026'!Y6:Y110,'SETIEMBRE 2026'!I6:I110)="BUENOS AIRES")*('SETIEMBRE 2026'!K6:K110="PETROLEO")*'SETIEMBRE 2026'!M6:M110),0)</f>
        <v/>
      </c>
      <c r="D10" s="377">
        <f>IFERROR(SUMPRODUCT((IF('SETIEMBRE 2026'!Y6:Y110&lt;&gt;"",'SETIEMBRE 2026'!Y6:Y110,'SETIEMBRE 2026'!I6:I110)="BUENOS AIRES")*('SETIEMBRE 2026'!K6:K110="PETROLEO")*'SETIEMBRE 2026'!L6:L110*'SETIEMBRE 2026'!M6:M110),0)</f>
        <v/>
      </c>
      <c r="E10" s="377">
        <f>IFERROR(SUMPRODUCT((IF('SETIEMBRE 2026'!Y6:Y110&lt;&gt;"",'SETIEMBRE 2026'!Y6:Y110,'SETIEMBRE 2026'!I6:I110)="BUENOS AIRES")*('SETIEMBRE 2026'!K6:K110="GASOLINA")*'SETIEMBRE 2026'!M6:M110),0)</f>
        <v/>
      </c>
      <c r="F10" s="377">
        <f>IFERROR(SUMPRODUCT((IF('SETIEMBRE 2026'!Y6:Y110&lt;&gt;"",'SETIEMBRE 2026'!Y6:Y110,'SETIEMBRE 2026'!I6:I110)="BUENOS AIRES")*('SETIEMBRE 2026'!K6:K110="GASOLINA")*'SETIEMBRE 2026'!L6:L110*'SETIEMBRE 2026'!M6:M110),0)</f>
        <v/>
      </c>
      <c r="G10" s="194" t="n"/>
      <c r="H10" s="194" t="n"/>
      <c r="I10" s="194" t="n"/>
      <c r="J10" s="194" t="n"/>
      <c r="K10" s="194" t="n"/>
      <c r="L10" s="194" t="n"/>
      <c r="M10" s="194" t="n"/>
      <c r="N10" s="194" t="n"/>
      <c r="O10" s="194" t="n"/>
      <c r="P10" s="194" t="n"/>
      <c r="Q10" s="194" t="n"/>
      <c r="R10" s="194" t="n"/>
      <c r="S10" s="194" t="n"/>
      <c r="T10" s="194" t="n"/>
      <c r="U10" s="194" t="n"/>
      <c r="V10" s="194" t="n"/>
      <c r="W10" s="194" t="n"/>
      <c r="X10" s="194" t="n"/>
      <c r="Y10" s="194" t="n"/>
      <c r="Z10" s="194" t="n"/>
    </row>
    <row r="11" ht="15" customHeight="1" s="195">
      <c r="A11" s="194" t="inlineStr">
        <is>
          <t>BUENOS AIRES</t>
        </is>
      </c>
      <c r="B11" s="194" t="inlineStr">
        <is>
          <t>OCTUBRE 2026</t>
        </is>
      </c>
      <c r="C11" s="377">
        <f>IFERROR(SUMPRODUCT((IF('OCTUBRE 2026'!Y6:Y110&lt;&gt;"",'OCTUBRE 2026'!Y6:Y110,'OCTUBRE 2026'!I6:I110)="BUENOS AIRES")*('OCTUBRE 2026'!K6:K110="PETROLEO")*'OCTUBRE 2026'!M6:M110),0)</f>
        <v/>
      </c>
      <c r="D11" s="377">
        <f>IFERROR(SUMPRODUCT((IF('OCTUBRE 2026'!Y6:Y110&lt;&gt;"",'OCTUBRE 2026'!Y6:Y110,'OCTUBRE 2026'!I6:I110)="BUENOS AIRES")*('OCTUBRE 2026'!K6:K110="PETROLEO")*'OCTUBRE 2026'!L6:L110*'OCTUBRE 2026'!M6:M110),0)</f>
        <v/>
      </c>
      <c r="E11" s="377">
        <f>IFERROR(SUMPRODUCT((IF('OCTUBRE 2026'!Y6:Y110&lt;&gt;"",'OCTUBRE 2026'!Y6:Y110,'OCTUBRE 2026'!I6:I110)="BUENOS AIRES")*('OCTUBRE 2026'!K6:K110="GASOLINA")*'OCTUBRE 2026'!M6:M110),0)</f>
        <v/>
      </c>
      <c r="F11" s="377">
        <f>IFERROR(SUMPRODUCT((IF('OCTUBRE 2026'!Y6:Y110&lt;&gt;"",'OCTUBRE 2026'!Y6:Y110,'OCTUBRE 2026'!I6:I110)="BUENOS AIRES")*('OCTUBRE 2026'!K6:K110="GASOLINA")*'OCTUBRE 2026'!L6:L110*'OCTUBRE 2026'!M6:M110),0)</f>
        <v/>
      </c>
      <c r="G11" s="194" t="n"/>
      <c r="H11" s="194" t="n"/>
      <c r="I11" s="194" t="n"/>
      <c r="J11" s="194" t="n"/>
      <c r="K11" s="194" t="n"/>
      <c r="L11" s="194" t="n"/>
      <c r="M11" s="194" t="n"/>
      <c r="N11" s="194" t="n"/>
      <c r="O11" s="194" t="n"/>
      <c r="P11" s="194" t="n"/>
      <c r="Q11" s="194" t="n"/>
      <c r="R11" s="194" t="n"/>
      <c r="S11" s="194" t="n"/>
      <c r="T11" s="194" t="n"/>
      <c r="U11" s="194" t="n"/>
      <c r="V11" s="194" t="n"/>
      <c r="W11" s="194" t="n"/>
      <c r="X11" s="194" t="n"/>
      <c r="Y11" s="194" t="n"/>
      <c r="Z11" s="194" t="n"/>
    </row>
    <row r="12" ht="15" customHeight="1" s="195">
      <c r="A12" s="194" t="inlineStr">
        <is>
          <t>BUENOS AIRES</t>
        </is>
      </c>
      <c r="B12" s="194" t="inlineStr">
        <is>
          <t>NOVIEMBRE 2026</t>
        </is>
      </c>
      <c r="C12" s="377">
        <f>IFERROR(SUMPRODUCT((IF('NOVIEMBRE 2026'!Y6:Y110&lt;&gt;"",'NOVIEMBRE 2026'!Y6:Y110,'NOVIEMBRE 2026'!I6:I110)="BUENOS AIRES")*('NOVIEMBRE 2026'!K6:K110="PETROLEO")*'NOVIEMBRE 2026'!M6:M110),0)</f>
        <v/>
      </c>
      <c r="D12" s="377">
        <f>IFERROR(SUMPRODUCT((IF('NOVIEMBRE 2026'!Y6:Y110&lt;&gt;"",'NOVIEMBRE 2026'!Y6:Y110,'NOVIEMBRE 2026'!I6:I110)="BUENOS AIRES")*('NOVIEMBRE 2026'!K6:K110="PETROLEO")*'NOVIEMBRE 2026'!L6:L110*'NOVIEMBRE 2026'!M6:M110),0)</f>
        <v/>
      </c>
      <c r="E12" s="377">
        <f>IFERROR(SUMPRODUCT((IF('NOVIEMBRE 2026'!Y6:Y110&lt;&gt;"",'NOVIEMBRE 2026'!Y6:Y110,'NOVIEMBRE 2026'!I6:I110)="BUENOS AIRES")*('NOVIEMBRE 2026'!K6:K110="GASOLINA")*'NOVIEMBRE 2026'!M6:M110),0)</f>
        <v/>
      </c>
      <c r="F12" s="377">
        <f>IFERROR(SUMPRODUCT((IF('NOVIEMBRE 2026'!Y6:Y110&lt;&gt;"",'NOVIEMBRE 2026'!Y6:Y110,'NOVIEMBRE 2026'!I6:I110)="BUENOS AIRES")*('NOVIEMBRE 2026'!K6:K110="GASOLINA")*'NOVIEMBRE 2026'!L6:L110*'NOVIEMBRE 2026'!M6:M110),0)</f>
        <v/>
      </c>
      <c r="G12" s="194" t="n"/>
      <c r="H12" s="194" t="n"/>
      <c r="I12" s="194" t="n"/>
      <c r="J12" s="194" t="n"/>
      <c r="K12" s="194" t="n"/>
      <c r="L12" s="194" t="n"/>
      <c r="M12" s="194" t="n"/>
      <c r="N12" s="194" t="n"/>
      <c r="O12" s="194" t="n"/>
      <c r="P12" s="194" t="n"/>
      <c r="Q12" s="194" t="n"/>
      <c r="R12" s="194" t="n"/>
      <c r="S12" s="194" t="n"/>
      <c r="T12" s="194" t="n"/>
      <c r="U12" s="194" t="n"/>
      <c r="V12" s="194" t="n"/>
      <c r="W12" s="194" t="n"/>
      <c r="X12" s="194" t="n"/>
      <c r="Y12" s="194" t="n"/>
      <c r="Z12" s="194" t="n"/>
    </row>
    <row r="13" ht="15" customHeight="1" s="195">
      <c r="A13" s="194" t="inlineStr">
        <is>
          <t>BUENOS AIRES</t>
        </is>
      </c>
      <c r="B13" s="194" t="inlineStr">
        <is>
          <t>DICIEMBRE 2026</t>
        </is>
      </c>
      <c r="C13" s="377">
        <f>IFERROR(SUMPRODUCT((IF('DICIEMBRE 2026'!Y6:Y110&lt;&gt;"",'DICIEMBRE 2026'!Y6:Y110,'DICIEMBRE 2026'!I6:I110)="BUENOS AIRES")*('DICIEMBRE 2026'!K6:K110="PETROLEO")*'DICIEMBRE 2026'!M6:M110),0)</f>
        <v/>
      </c>
      <c r="D13" s="377">
        <f>IFERROR(SUMPRODUCT((IF('DICIEMBRE 2026'!Y6:Y110&lt;&gt;"",'DICIEMBRE 2026'!Y6:Y110,'DICIEMBRE 2026'!I6:I110)="BUENOS AIRES")*('DICIEMBRE 2026'!K6:K110="PETROLEO")*'DICIEMBRE 2026'!L6:L110*'DICIEMBRE 2026'!M6:M110),0)</f>
        <v/>
      </c>
      <c r="E13" s="377">
        <f>IFERROR(SUMPRODUCT((IF('DICIEMBRE 2026'!Y6:Y110&lt;&gt;"",'DICIEMBRE 2026'!Y6:Y110,'DICIEMBRE 2026'!I6:I110)="BUENOS AIRES")*('DICIEMBRE 2026'!K6:K110="GASOLINA")*'DICIEMBRE 2026'!M6:M110),0)</f>
        <v/>
      </c>
      <c r="F13" s="377">
        <f>IFERROR(SUMPRODUCT((IF('DICIEMBRE 2026'!Y6:Y110&lt;&gt;"",'DICIEMBRE 2026'!Y6:Y110,'DICIEMBRE 2026'!I6:I110)="BUENOS AIRES")*('DICIEMBRE 2026'!K6:K110="GASOLINA")*'DICIEMBRE 2026'!L6:L110*'DICIEMBRE 2026'!M6:M110),0)</f>
        <v/>
      </c>
      <c r="G13" s="194" t="n"/>
      <c r="H13" s="194" t="n"/>
      <c r="I13" s="194" t="n"/>
      <c r="J13" s="194" t="n"/>
      <c r="K13" s="194" t="n"/>
      <c r="L13" s="194" t="n"/>
      <c r="M13" s="194" t="n"/>
      <c r="N13" s="194" t="n"/>
      <c r="O13" s="194" t="n"/>
      <c r="P13" s="194" t="n"/>
      <c r="Q13" s="194" t="n"/>
      <c r="R13" s="194" t="n"/>
      <c r="S13" s="194" t="n"/>
      <c r="T13" s="194" t="n"/>
      <c r="U13" s="194" t="n"/>
      <c r="V13" s="194" t="n"/>
      <c r="W13" s="194" t="n"/>
      <c r="X13" s="194" t="n"/>
      <c r="Y13" s="194" t="n"/>
      <c r="Z13" s="194" t="n"/>
    </row>
    <row r="14" ht="15" customHeight="1" s="195">
      <c r="A14" s="194" t="inlineStr">
        <is>
          <t>CAMPORREDONDO</t>
        </is>
      </c>
      <c r="B14" s="194" t="inlineStr">
        <is>
          <t>ENERO 2026</t>
        </is>
      </c>
      <c r="C14" s="377">
        <f>IFERROR(SUMPRODUCT((IF('ENERO 2026'!Y6:Y119&lt;&gt;"",'ENERO 2026'!Y6:Y119,'ENERO 2026'!I6:I119)="CAMPORREDONDO")*('ENERO 2026'!K6:K119="PETROLEO")*'ENERO 2026'!M6:M119),0)</f>
        <v/>
      </c>
      <c r="D14" s="377">
        <f>IFERROR(SUMPRODUCT((IF('ENERO 2026'!Y6:Y119&lt;&gt;"",'ENERO 2026'!Y6:Y119,'ENERO 2026'!I6:I119)="CAMPORREDONDO")*('ENERO 2026'!K6:K119="PETROLEO")*'ENERO 2026'!L6:L119*'ENERO 2026'!M6:M119),0)</f>
        <v/>
      </c>
      <c r="E14" s="377">
        <f>IFERROR(SUMPRODUCT((IF('ENERO 2026'!Y6:Y119&lt;&gt;"",'ENERO 2026'!Y6:Y119,'ENERO 2026'!I6:I119)="CAMPORREDONDO")*('ENERO 2026'!K6:K119="GASOLINA")*'ENERO 2026'!M6:M119),0)</f>
        <v/>
      </c>
      <c r="F14" s="377">
        <f>IFERROR(SUMPRODUCT((IF('ENERO 2026'!Y6:Y119&lt;&gt;"",'ENERO 2026'!Y6:Y119,'ENERO 2026'!I6:I119)="CAMPORREDONDO")*('ENERO 2026'!K6:K119="GASOLINA")*'ENERO 2026'!L6:L119*'ENERO 2026'!M6:M119),0)</f>
        <v/>
      </c>
      <c r="G14" s="194" t="n"/>
      <c r="H14" s="194" t="n"/>
      <c r="I14" s="194" t="n"/>
      <c r="J14" s="194" t="n"/>
      <c r="K14" s="194" t="n"/>
      <c r="L14" s="194" t="n"/>
      <c r="M14" s="194" t="n"/>
      <c r="N14" s="194" t="n"/>
      <c r="O14" s="194" t="n"/>
      <c r="P14" s="194" t="n"/>
      <c r="Q14" s="194" t="n"/>
      <c r="R14" s="194" t="n"/>
      <c r="S14" s="194" t="n"/>
      <c r="T14" s="194" t="n"/>
      <c r="U14" s="194" t="n"/>
      <c r="V14" s="194" t="n"/>
      <c r="W14" s="194" t="n"/>
      <c r="X14" s="194" t="n"/>
      <c r="Y14" s="194" t="n"/>
      <c r="Z14" s="194" t="n"/>
    </row>
    <row r="15" ht="15" customHeight="1" s="195">
      <c r="A15" s="194" t="inlineStr">
        <is>
          <t>CAMPORREDONDO</t>
        </is>
      </c>
      <c r="B15" s="194" t="inlineStr">
        <is>
          <t>FEBRERO 2026</t>
        </is>
      </c>
      <c r="C15" s="377">
        <f>IFERROR(SUMPRODUCT((IF('FEBRERO 2026'!Y6:Y124&lt;&gt;"",'FEBRERO 2026'!Y6:Y124,'FEBRERO 2026'!I6:I124)="CAMPORREDONDO")*('FEBRERO 2026'!K6:K124="PETROLEO")*'FEBRERO 2026'!M6:M124),0)</f>
        <v/>
      </c>
      <c r="D15" s="377">
        <f>IFERROR(SUMPRODUCT((IF('FEBRERO 2026'!Y6:Y124&lt;&gt;"",'FEBRERO 2026'!Y6:Y124,'FEBRERO 2026'!I6:I124)="CAMPORREDONDO")*('FEBRERO 2026'!K6:K124="PETROLEO")*'FEBRERO 2026'!L6:L124*'FEBRERO 2026'!M6:M124),0)</f>
        <v/>
      </c>
      <c r="E15" s="377">
        <f>IFERROR(SUMPRODUCT((IF('FEBRERO 2026'!Y6:Y124&lt;&gt;"",'FEBRERO 2026'!Y6:Y124,'FEBRERO 2026'!I6:I124)="CAMPORREDONDO")*('FEBRERO 2026'!K6:K124="GASOLINA")*'FEBRERO 2026'!M6:M124),0)</f>
        <v/>
      </c>
      <c r="F15" s="377">
        <f>IFERROR(SUMPRODUCT((IF('FEBRERO 2026'!Y6:Y124&lt;&gt;"",'FEBRERO 2026'!Y6:Y124,'FEBRERO 2026'!I6:I124)="CAMPORREDONDO")*('FEBRERO 2026'!K6:K124="GASOLINA")*'FEBRERO 2026'!L6:L124*'FEBRERO 2026'!M6:M124),0)</f>
        <v/>
      </c>
      <c r="G15" s="194" t="n"/>
      <c r="H15" s="194" t="n"/>
      <c r="I15" s="194" t="n"/>
      <c r="J15" s="194" t="n"/>
      <c r="K15" s="194" t="n"/>
      <c r="L15" s="194" t="n"/>
      <c r="M15" s="194" t="n"/>
      <c r="N15" s="194" t="n"/>
      <c r="O15" s="194" t="n"/>
      <c r="P15" s="194" t="n"/>
      <c r="Q15" s="194" t="n"/>
      <c r="R15" s="194" t="n"/>
      <c r="S15" s="194" t="n"/>
      <c r="T15" s="194" t="n"/>
      <c r="U15" s="194" t="n"/>
      <c r="V15" s="194" t="n"/>
      <c r="W15" s="194" t="n"/>
      <c r="X15" s="194" t="n"/>
      <c r="Y15" s="194" t="n"/>
      <c r="Z15" s="194" t="n"/>
    </row>
    <row r="16" ht="15" customHeight="1" s="195">
      <c r="A16" s="194" t="inlineStr">
        <is>
          <t>CAMPORREDONDO</t>
        </is>
      </c>
      <c r="B16" s="194" t="inlineStr">
        <is>
          <t>MARZO 2026</t>
        </is>
      </c>
      <c r="C16" s="377">
        <f>IFERROR(SUMPRODUCT((IF('MARZO 2026'!Y6:Y119&lt;&gt;"",'MARZO 2026'!Y6:Y119,'MARZO 2026'!I6:I119)="CAMPORREDONDO")*('MARZO 2026'!K6:K119="PETROLEO")*'MARZO 2026'!M6:M119),0)</f>
        <v/>
      </c>
      <c r="D16" s="377">
        <f>IFERROR(SUMPRODUCT((IF('MARZO 2026'!Y6:Y119&lt;&gt;"",'MARZO 2026'!Y6:Y119,'MARZO 2026'!I6:I119)="CAMPORREDONDO")*('MARZO 2026'!K6:K119="PETROLEO")*'MARZO 2026'!L6:L119*'MARZO 2026'!M6:M119),0)</f>
        <v/>
      </c>
      <c r="E16" s="377">
        <f>IFERROR(SUMPRODUCT((IF('MARZO 2026'!Y6:Y119&lt;&gt;"",'MARZO 2026'!Y6:Y119,'MARZO 2026'!I6:I119)="CAMPORREDONDO")*('MARZO 2026'!K6:K119="GASOLINA")*'MARZO 2026'!M6:M119),0)</f>
        <v/>
      </c>
      <c r="F16" s="377">
        <f>IFERROR(SUMPRODUCT((IF('MARZO 2026'!Y6:Y119&lt;&gt;"",'MARZO 2026'!Y6:Y119,'MARZO 2026'!I6:I119)="CAMPORREDONDO")*('MARZO 2026'!K6:K119="GASOLINA")*'MARZO 2026'!L6:L119*'MARZO 2026'!M6:M119),0)</f>
        <v/>
      </c>
      <c r="G16" s="194" t="n"/>
      <c r="H16" s="194" t="n"/>
      <c r="I16" s="194" t="n"/>
      <c r="J16" s="194" t="n"/>
      <c r="K16" s="194" t="n"/>
      <c r="L16" s="194" t="n"/>
      <c r="M16" s="194" t="n"/>
      <c r="N16" s="194" t="n"/>
      <c r="O16" s="194" t="n"/>
      <c r="P16" s="194" t="n"/>
      <c r="Q16" s="194" t="n"/>
      <c r="R16" s="194" t="n"/>
      <c r="S16" s="194" t="n"/>
      <c r="T16" s="194" t="n"/>
      <c r="U16" s="194" t="n"/>
      <c r="V16" s="194" t="n"/>
      <c r="W16" s="194" t="n"/>
      <c r="X16" s="194" t="n"/>
      <c r="Y16" s="194" t="n"/>
      <c r="Z16" s="194" t="n"/>
    </row>
    <row r="17" ht="15" customHeight="1" s="195">
      <c r="A17" s="194" t="inlineStr">
        <is>
          <t>CAMPORREDONDO</t>
        </is>
      </c>
      <c r="B17" s="194" t="inlineStr">
        <is>
          <t>ABRIL 2026</t>
        </is>
      </c>
      <c r="C17" s="377">
        <f>IFERROR(SUMPRODUCT((IF('ABRIL 2026'!Y6:Y119&lt;&gt;"",'ABRIL 2026'!Y6:Y119,'ABRIL 2026'!I6:I119)="CAMPORREDONDO")*('ABRIL 2026'!K6:K119="PETROLEO")*'ABRIL 2026'!M6:M119),0)</f>
        <v/>
      </c>
      <c r="D17" s="377">
        <f>IFERROR(SUMPRODUCT((IF('ABRIL 2026'!Y6:Y119&lt;&gt;"",'ABRIL 2026'!Y6:Y119,'ABRIL 2026'!I6:I119)="CAMPORREDONDO")*('ABRIL 2026'!K6:K119="PETROLEO")*'ABRIL 2026'!L6:L119*'ABRIL 2026'!M6:M119),0)</f>
        <v/>
      </c>
      <c r="E17" s="377">
        <f>IFERROR(SUMPRODUCT((IF('ABRIL 2026'!Y6:Y119&lt;&gt;"",'ABRIL 2026'!Y6:Y119,'ABRIL 2026'!I6:I119)="CAMPORREDONDO")*('ABRIL 2026'!K6:K119="GASOLINA")*'ABRIL 2026'!M6:M119),0)</f>
        <v/>
      </c>
      <c r="F17" s="377">
        <f>IFERROR(SUMPRODUCT((IF('ABRIL 2026'!Y6:Y119&lt;&gt;"",'ABRIL 2026'!Y6:Y119,'ABRIL 2026'!I6:I119)="CAMPORREDONDO")*('ABRIL 2026'!K6:K119="GASOLINA")*'ABRIL 2026'!L6:L119*'ABRIL 2026'!M6:M119),0)</f>
        <v/>
      </c>
      <c r="G17" s="194" t="n"/>
      <c r="H17" s="194" t="n"/>
      <c r="I17" s="194" t="n"/>
      <c r="J17" s="194" t="n"/>
      <c r="K17" s="194" t="n"/>
      <c r="L17" s="194" t="n"/>
      <c r="M17" s="194" t="n"/>
      <c r="N17" s="194" t="n"/>
      <c r="O17" s="194" t="n"/>
      <c r="P17" s="194" t="n"/>
      <c r="Q17" s="194" t="n"/>
      <c r="R17" s="194" t="n"/>
      <c r="S17" s="194" t="n"/>
      <c r="T17" s="194" t="n"/>
      <c r="U17" s="194" t="n"/>
      <c r="V17" s="194" t="n"/>
      <c r="W17" s="194" t="n"/>
      <c r="X17" s="194" t="n"/>
      <c r="Y17" s="194" t="n"/>
      <c r="Z17" s="194" t="n"/>
    </row>
    <row r="18" ht="15" customHeight="1" s="195">
      <c r="A18" s="194" t="inlineStr">
        <is>
          <t>CAMPORREDONDO</t>
        </is>
      </c>
      <c r="B18" s="194" t="inlineStr">
        <is>
          <t>MAYO 2026</t>
        </is>
      </c>
      <c r="C18" s="377">
        <f>IFERROR(SUMPRODUCT((IF('MAYO 2026'!Y6:Y110&lt;&gt;"",'MAYO 2026'!Y6:Y110,'MAYO 2026'!I6:I110)="CAMPORREDONDO")*('MAYO 2026'!K6:K110="PETROLEO")*'MAYO 2026'!M6:M110),0)</f>
        <v/>
      </c>
      <c r="D18" s="377">
        <f>IFERROR(SUMPRODUCT((IF('MAYO 2026'!Y6:Y110&lt;&gt;"",'MAYO 2026'!Y6:Y110,'MAYO 2026'!I6:I110)="CAMPORREDONDO")*('MAYO 2026'!K6:K110="PETROLEO")*'MAYO 2026'!L6:L110*'MAYO 2026'!M6:M110),0)</f>
        <v/>
      </c>
      <c r="E18" s="377">
        <f>IFERROR(SUMPRODUCT((IF('MAYO 2026'!Y6:Y110&lt;&gt;"",'MAYO 2026'!Y6:Y110,'MAYO 2026'!I6:I110)="CAMPORREDONDO")*('MAYO 2026'!K6:K110="GASOLINA")*'MAYO 2026'!M6:M110),0)</f>
        <v/>
      </c>
      <c r="F18" s="377">
        <f>IFERROR(SUMPRODUCT((IF('MAYO 2026'!Y6:Y110&lt;&gt;"",'MAYO 2026'!Y6:Y110,'MAYO 2026'!I6:I110)="CAMPORREDONDO")*('MAYO 2026'!K6:K110="GASOLINA")*'MAYO 2026'!L6:L110*'MAYO 2026'!M6:M110),0)</f>
        <v/>
      </c>
      <c r="G18" s="194" t="n"/>
      <c r="H18" s="194" t="n"/>
      <c r="I18" s="194" t="n"/>
      <c r="J18" s="194" t="n"/>
      <c r="K18" s="194" t="n"/>
      <c r="L18" s="194" t="n"/>
      <c r="M18" s="194" t="n"/>
      <c r="N18" s="194" t="n"/>
      <c r="O18" s="194" t="n"/>
      <c r="P18" s="194" t="n"/>
      <c r="Q18" s="194" t="n"/>
      <c r="R18" s="194" t="n"/>
      <c r="S18" s="194" t="n"/>
      <c r="T18" s="194" t="n"/>
      <c r="U18" s="194" t="n"/>
      <c r="V18" s="194" t="n"/>
      <c r="W18" s="194" t="n"/>
      <c r="X18" s="194" t="n"/>
      <c r="Y18" s="194" t="n"/>
      <c r="Z18" s="194" t="n"/>
    </row>
    <row r="19" ht="15" customHeight="1" s="195">
      <c r="A19" s="194" t="inlineStr">
        <is>
          <t>CAMPORREDONDO</t>
        </is>
      </c>
      <c r="B19" s="194" t="inlineStr">
        <is>
          <t>JUNIO 2026</t>
        </is>
      </c>
      <c r="C19" s="377">
        <f>IFERROR(SUMPRODUCT((IF('JUNIO 2026'!Y6:Y110&lt;&gt;"",'JUNIO 2026'!Y6:Y110,'JUNIO 2026'!I6:I110)="CAMPORREDONDO")*('JUNIO 2026'!K6:K110="PETROLEO")*'JUNIO 2026'!M6:M110),0)</f>
        <v/>
      </c>
      <c r="D19" s="377">
        <f>IFERROR(SUMPRODUCT((IF('JUNIO 2026'!Y6:Y110&lt;&gt;"",'JUNIO 2026'!Y6:Y110,'JUNIO 2026'!I6:I110)="CAMPORREDONDO")*('JUNIO 2026'!K6:K110="PETROLEO")*'JUNIO 2026'!L6:L110*'JUNIO 2026'!M6:M110),0)</f>
        <v/>
      </c>
      <c r="E19" s="377">
        <f>IFERROR(SUMPRODUCT((IF('JUNIO 2026'!Y6:Y110&lt;&gt;"",'JUNIO 2026'!Y6:Y110,'JUNIO 2026'!I6:I110)="CAMPORREDONDO")*('JUNIO 2026'!K6:K110="GASOLINA")*'JUNIO 2026'!M6:M110),0)</f>
        <v/>
      </c>
      <c r="F19" s="377">
        <f>IFERROR(SUMPRODUCT((IF('JUNIO 2026'!Y6:Y110&lt;&gt;"",'JUNIO 2026'!Y6:Y110,'JUNIO 2026'!I6:I110)="CAMPORREDONDO")*('JUNIO 2026'!K6:K110="GASOLINA")*'JUNIO 2026'!L6:L110*'JUNIO 2026'!M6:M110),0)</f>
        <v/>
      </c>
      <c r="G19" s="194" t="n"/>
      <c r="H19" s="194" t="n"/>
      <c r="I19" s="194" t="n"/>
      <c r="J19" s="194" t="n"/>
      <c r="K19" s="194" t="n"/>
      <c r="L19" s="194" t="n"/>
      <c r="M19" s="194" t="n"/>
      <c r="N19" s="194" t="n"/>
      <c r="O19" s="194" t="n"/>
      <c r="P19" s="194" t="n"/>
      <c r="Q19" s="194" t="n"/>
      <c r="R19" s="194" t="n"/>
      <c r="S19" s="194" t="n"/>
      <c r="T19" s="194" t="n"/>
      <c r="U19" s="194" t="n"/>
      <c r="V19" s="194" t="n"/>
      <c r="W19" s="194" t="n"/>
      <c r="X19" s="194" t="n"/>
      <c r="Y19" s="194" t="n"/>
      <c r="Z19" s="194" t="n"/>
    </row>
    <row r="20" ht="15" customHeight="1" s="195">
      <c r="A20" s="194" t="inlineStr">
        <is>
          <t>CAMPORREDONDO</t>
        </is>
      </c>
      <c r="B20" s="194" t="inlineStr">
        <is>
          <t>JULIO 2026</t>
        </is>
      </c>
      <c r="C20" s="377">
        <f>IFERROR(SUMPRODUCT((IF('JULIO 2026'!Y6:Y110&lt;&gt;"",'JULIO 2026'!Y6:Y110,'JULIO 2026'!I6:I110)="CAMPORREDONDO")*('JULIO 2026'!K6:K110="PETROLEO")*'JULIO 2026'!M6:M110),0)</f>
        <v/>
      </c>
      <c r="D20" s="377">
        <f>IFERROR(SUMPRODUCT((IF('JULIO 2026'!Y6:Y110&lt;&gt;"",'JULIO 2026'!Y6:Y110,'JULIO 2026'!I6:I110)="CAMPORREDONDO")*('JULIO 2026'!K6:K110="PETROLEO")*'JULIO 2026'!L6:L110*'JULIO 2026'!M6:M110),0)</f>
        <v/>
      </c>
      <c r="E20" s="377">
        <f>IFERROR(SUMPRODUCT((IF('JULIO 2026'!Y6:Y110&lt;&gt;"",'JULIO 2026'!Y6:Y110,'JULIO 2026'!I6:I110)="CAMPORREDONDO")*('JULIO 2026'!K6:K110="GASOLINA")*'JULIO 2026'!M6:M110),0)</f>
        <v/>
      </c>
      <c r="F20" s="377">
        <f>IFERROR(SUMPRODUCT((IF('JULIO 2026'!Y6:Y110&lt;&gt;"",'JULIO 2026'!Y6:Y110,'JULIO 2026'!I6:I110)="CAMPORREDONDO")*('JULIO 2026'!K6:K110="GASOLINA")*'JULIO 2026'!L6:L110*'JULIO 2026'!M6:M110),0)</f>
        <v/>
      </c>
      <c r="G20" s="194" t="n"/>
      <c r="H20" s="194" t="n"/>
      <c r="I20" s="194" t="n"/>
      <c r="J20" s="194" t="n"/>
      <c r="K20" s="194" t="n"/>
      <c r="L20" s="194" t="n"/>
      <c r="M20" s="194" t="n"/>
      <c r="N20" s="194" t="n"/>
      <c r="O20" s="194" t="n"/>
      <c r="P20" s="194" t="n"/>
      <c r="Q20" s="194" t="n"/>
      <c r="R20" s="194" t="n"/>
      <c r="S20" s="194" t="n"/>
      <c r="T20" s="194" t="n"/>
      <c r="U20" s="194" t="n"/>
      <c r="V20" s="194" t="n"/>
      <c r="W20" s="194" t="n"/>
      <c r="X20" s="194" t="n"/>
      <c r="Y20" s="194" t="n"/>
      <c r="Z20" s="194" t="n"/>
    </row>
    <row r="21" ht="15" customHeight="1" s="195">
      <c r="A21" s="194" t="inlineStr">
        <is>
          <t>CAMPORREDONDO</t>
        </is>
      </c>
      <c r="B21" s="194" t="inlineStr">
        <is>
          <t>AGOSTO 2026</t>
        </is>
      </c>
      <c r="C21" s="377">
        <f>IFERROR(SUMPRODUCT((IF('AGOSTO 2026'!Y6:Y110&lt;&gt;"",'AGOSTO 2026'!Y6:Y110,'AGOSTO 2026'!I6:I110)="CAMPORREDONDO")*('AGOSTO 2026'!K6:K110="PETROLEO")*'AGOSTO 2026'!M6:M110),0)</f>
        <v/>
      </c>
      <c r="D21" s="377">
        <f>IFERROR(SUMPRODUCT((IF('AGOSTO 2026'!Y6:Y110&lt;&gt;"",'AGOSTO 2026'!Y6:Y110,'AGOSTO 2026'!I6:I110)="CAMPORREDONDO")*('AGOSTO 2026'!K6:K110="PETROLEO")*'AGOSTO 2026'!L6:L110*'AGOSTO 2026'!M6:M110),0)</f>
        <v/>
      </c>
      <c r="E21" s="377">
        <f>IFERROR(SUMPRODUCT((IF('AGOSTO 2026'!Y6:Y110&lt;&gt;"",'AGOSTO 2026'!Y6:Y110,'AGOSTO 2026'!I6:I110)="CAMPORREDONDO")*('AGOSTO 2026'!K6:K110="GASOLINA")*'AGOSTO 2026'!M6:M110),0)</f>
        <v/>
      </c>
      <c r="F21" s="377">
        <f>IFERROR(SUMPRODUCT((IF('AGOSTO 2026'!Y6:Y110&lt;&gt;"",'AGOSTO 2026'!Y6:Y110,'AGOSTO 2026'!I6:I110)="CAMPORREDONDO")*('AGOSTO 2026'!K6:K110="GASOLINA")*'AGOSTO 2026'!L6:L110*'AGOSTO 2026'!M6:M110),0)</f>
        <v/>
      </c>
      <c r="G21" s="194" t="n"/>
      <c r="H21" s="194" t="n"/>
      <c r="I21" s="194" t="n"/>
      <c r="J21" s="194" t="n"/>
      <c r="K21" s="194" t="n"/>
      <c r="L21" s="194" t="n"/>
      <c r="M21" s="194" t="n"/>
      <c r="N21" s="194" t="n"/>
      <c r="O21" s="194" t="n"/>
      <c r="P21" s="194" t="n"/>
      <c r="Q21" s="194" t="n"/>
      <c r="R21" s="194" t="n"/>
      <c r="S21" s="194" t="n"/>
      <c r="T21" s="194" t="n"/>
      <c r="U21" s="194" t="n"/>
      <c r="V21" s="194" t="n"/>
      <c r="W21" s="194" t="n"/>
      <c r="X21" s="194" t="n"/>
      <c r="Y21" s="194" t="n"/>
      <c r="Z21" s="194" t="n"/>
    </row>
    <row r="22" ht="15" customHeight="1" s="195">
      <c r="A22" s="194" t="inlineStr">
        <is>
          <t>CAMPORREDONDO</t>
        </is>
      </c>
      <c r="B22" s="194" t="inlineStr">
        <is>
          <t>SETIEMBRE 2026</t>
        </is>
      </c>
      <c r="C22" s="377">
        <f>IFERROR(SUMPRODUCT((IF('SETIEMBRE 2026'!Y6:Y110&lt;&gt;"",'SETIEMBRE 2026'!Y6:Y110,'SETIEMBRE 2026'!I6:I110)="CAMPORREDONDO")*('SETIEMBRE 2026'!K6:K110="PETROLEO")*'SETIEMBRE 2026'!M6:M110),0)</f>
        <v/>
      </c>
      <c r="D22" s="377">
        <f>IFERROR(SUMPRODUCT((IF('SETIEMBRE 2026'!Y6:Y110&lt;&gt;"",'SETIEMBRE 2026'!Y6:Y110,'SETIEMBRE 2026'!I6:I110)="CAMPORREDONDO")*('SETIEMBRE 2026'!K6:K110="PETROLEO")*'SETIEMBRE 2026'!L6:L110*'SETIEMBRE 2026'!M6:M110),0)</f>
        <v/>
      </c>
      <c r="E22" s="377">
        <f>IFERROR(SUMPRODUCT((IF('SETIEMBRE 2026'!Y6:Y110&lt;&gt;"",'SETIEMBRE 2026'!Y6:Y110,'SETIEMBRE 2026'!I6:I110)="CAMPORREDONDO")*('SETIEMBRE 2026'!K6:K110="GASOLINA")*'SETIEMBRE 2026'!M6:M110),0)</f>
        <v/>
      </c>
      <c r="F22" s="377">
        <f>IFERROR(SUMPRODUCT((IF('SETIEMBRE 2026'!Y6:Y110&lt;&gt;"",'SETIEMBRE 2026'!Y6:Y110,'SETIEMBRE 2026'!I6:I110)="CAMPORREDONDO")*('SETIEMBRE 2026'!K6:K110="GASOLINA")*'SETIEMBRE 2026'!L6:L110*'SETIEMBRE 2026'!M6:M110),0)</f>
        <v/>
      </c>
      <c r="G22" s="194" t="n"/>
      <c r="H22" s="194" t="n"/>
      <c r="I22" s="194" t="n"/>
      <c r="J22" s="194" t="n"/>
      <c r="K22" s="194" t="n"/>
      <c r="L22" s="194" t="n"/>
      <c r="M22" s="194" t="n"/>
      <c r="N22" s="194" t="n"/>
      <c r="O22" s="194" t="n"/>
      <c r="P22" s="194" t="n"/>
      <c r="Q22" s="194" t="n"/>
      <c r="R22" s="194" t="n"/>
      <c r="S22" s="194" t="n"/>
      <c r="T22" s="194" t="n"/>
      <c r="U22" s="194" t="n"/>
      <c r="V22" s="194" t="n"/>
      <c r="W22" s="194" t="n"/>
      <c r="X22" s="194" t="n"/>
      <c r="Y22" s="194" t="n"/>
      <c r="Z22" s="194" t="n"/>
    </row>
    <row r="23" ht="15" customHeight="1" s="195">
      <c r="A23" s="194" t="inlineStr">
        <is>
          <t>CAMPORREDONDO</t>
        </is>
      </c>
      <c r="B23" s="194" t="inlineStr">
        <is>
          <t>OCTUBRE 2026</t>
        </is>
      </c>
      <c r="C23" s="377">
        <f>IFERROR(SUMPRODUCT((IF('OCTUBRE 2026'!Y6:Y110&lt;&gt;"",'OCTUBRE 2026'!Y6:Y110,'OCTUBRE 2026'!I6:I110)="CAMPORREDONDO")*('OCTUBRE 2026'!K6:K110="PETROLEO")*'OCTUBRE 2026'!M6:M110),0)</f>
        <v/>
      </c>
      <c r="D23" s="377">
        <f>IFERROR(SUMPRODUCT((IF('OCTUBRE 2026'!Y6:Y110&lt;&gt;"",'OCTUBRE 2026'!Y6:Y110,'OCTUBRE 2026'!I6:I110)="CAMPORREDONDO")*('OCTUBRE 2026'!K6:K110="PETROLEO")*'OCTUBRE 2026'!L6:L110*'OCTUBRE 2026'!M6:M110),0)</f>
        <v/>
      </c>
      <c r="E23" s="377">
        <f>IFERROR(SUMPRODUCT((IF('OCTUBRE 2026'!Y6:Y110&lt;&gt;"",'OCTUBRE 2026'!Y6:Y110,'OCTUBRE 2026'!I6:I110)="CAMPORREDONDO")*('OCTUBRE 2026'!K6:K110="GASOLINA")*'OCTUBRE 2026'!M6:M110),0)</f>
        <v/>
      </c>
      <c r="F23" s="377">
        <f>IFERROR(SUMPRODUCT((IF('OCTUBRE 2026'!Y6:Y110&lt;&gt;"",'OCTUBRE 2026'!Y6:Y110,'OCTUBRE 2026'!I6:I110)="CAMPORREDONDO")*('OCTUBRE 2026'!K6:K110="GASOLINA")*'OCTUBRE 2026'!L6:L110*'OCTUBRE 2026'!M6:M110),0)</f>
        <v/>
      </c>
      <c r="G23" s="194" t="n"/>
      <c r="H23" s="194" t="n"/>
      <c r="I23" s="194" t="n"/>
      <c r="J23" s="194" t="n"/>
      <c r="K23" s="194" t="n"/>
      <c r="L23" s="194" t="n"/>
      <c r="M23" s="194" t="n"/>
      <c r="N23" s="194" t="n"/>
      <c r="O23" s="194" t="n"/>
      <c r="P23" s="194" t="n"/>
      <c r="Q23" s="194" t="n"/>
      <c r="R23" s="194" t="n"/>
      <c r="S23" s="194" t="n"/>
      <c r="T23" s="194" t="n"/>
      <c r="U23" s="194" t="n"/>
      <c r="V23" s="194" t="n"/>
      <c r="W23" s="194" t="n"/>
      <c r="X23" s="194" t="n"/>
      <c r="Y23" s="194" t="n"/>
      <c r="Z23" s="194" t="n"/>
    </row>
    <row r="24" ht="15" customHeight="1" s="195">
      <c r="A24" s="194" t="inlineStr">
        <is>
          <t>CAMPORREDONDO</t>
        </is>
      </c>
      <c r="B24" s="194" t="inlineStr">
        <is>
          <t>NOVIEMBRE 2026</t>
        </is>
      </c>
      <c r="C24" s="377">
        <f>IFERROR(SUMPRODUCT((IF('NOVIEMBRE 2026'!Y6:Y110&lt;&gt;"",'NOVIEMBRE 2026'!Y6:Y110,'NOVIEMBRE 2026'!I6:I110)="CAMPORREDONDO")*('NOVIEMBRE 2026'!K6:K110="PETROLEO")*'NOVIEMBRE 2026'!M6:M110),0)</f>
        <v/>
      </c>
      <c r="D24" s="377">
        <f>IFERROR(SUMPRODUCT((IF('NOVIEMBRE 2026'!Y6:Y110&lt;&gt;"",'NOVIEMBRE 2026'!Y6:Y110,'NOVIEMBRE 2026'!I6:I110)="CAMPORREDONDO")*('NOVIEMBRE 2026'!K6:K110="PETROLEO")*'NOVIEMBRE 2026'!L6:L110*'NOVIEMBRE 2026'!M6:M110),0)</f>
        <v/>
      </c>
      <c r="E24" s="377">
        <f>IFERROR(SUMPRODUCT((IF('NOVIEMBRE 2026'!Y6:Y110&lt;&gt;"",'NOVIEMBRE 2026'!Y6:Y110,'NOVIEMBRE 2026'!I6:I110)="CAMPORREDONDO")*('NOVIEMBRE 2026'!K6:K110="GASOLINA")*'NOVIEMBRE 2026'!M6:M110),0)</f>
        <v/>
      </c>
      <c r="F24" s="377">
        <f>IFERROR(SUMPRODUCT((IF('NOVIEMBRE 2026'!Y6:Y110&lt;&gt;"",'NOVIEMBRE 2026'!Y6:Y110,'NOVIEMBRE 2026'!I6:I110)="CAMPORREDONDO")*('NOVIEMBRE 2026'!K6:K110="GASOLINA")*'NOVIEMBRE 2026'!L6:L110*'NOVIEMBRE 2026'!M6:M110),0)</f>
        <v/>
      </c>
      <c r="G24" s="194" t="n"/>
      <c r="H24" s="194" t="n"/>
      <c r="I24" s="194" t="n"/>
      <c r="J24" s="194" t="n"/>
      <c r="K24" s="194" t="n"/>
      <c r="L24" s="194" t="n"/>
      <c r="M24" s="194" t="n"/>
      <c r="N24" s="194" t="n"/>
      <c r="O24" s="194" t="n"/>
      <c r="P24" s="194" t="n"/>
      <c r="Q24" s="194" t="n"/>
      <c r="R24" s="194" t="n"/>
      <c r="S24" s="194" t="n"/>
      <c r="T24" s="194" t="n"/>
      <c r="U24" s="194" t="n"/>
      <c r="V24" s="194" t="n"/>
      <c r="W24" s="194" t="n"/>
      <c r="X24" s="194" t="n"/>
      <c r="Y24" s="194" t="n"/>
      <c r="Z24" s="194" t="n"/>
    </row>
    <row r="25" ht="15" customHeight="1" s="195">
      <c r="A25" s="194" t="inlineStr">
        <is>
          <t>CAMPORREDONDO</t>
        </is>
      </c>
      <c r="B25" s="194" t="inlineStr">
        <is>
          <t>DICIEMBRE 2026</t>
        </is>
      </c>
      <c r="C25" s="377">
        <f>IFERROR(SUMPRODUCT((IF('DICIEMBRE 2026'!Y6:Y110&lt;&gt;"",'DICIEMBRE 2026'!Y6:Y110,'DICIEMBRE 2026'!I6:I110)="CAMPORREDONDO")*('DICIEMBRE 2026'!K6:K110="PETROLEO")*'DICIEMBRE 2026'!M6:M110),0)</f>
        <v/>
      </c>
      <c r="D25" s="377">
        <f>IFERROR(SUMPRODUCT((IF('DICIEMBRE 2026'!Y6:Y110&lt;&gt;"",'DICIEMBRE 2026'!Y6:Y110,'DICIEMBRE 2026'!I6:I110)="CAMPORREDONDO")*('DICIEMBRE 2026'!K6:K110="PETROLEO")*'DICIEMBRE 2026'!L6:L110*'DICIEMBRE 2026'!M6:M110),0)</f>
        <v/>
      </c>
      <c r="E25" s="377">
        <f>IFERROR(SUMPRODUCT((IF('DICIEMBRE 2026'!Y6:Y110&lt;&gt;"",'DICIEMBRE 2026'!Y6:Y110,'DICIEMBRE 2026'!I6:I110)="CAMPORREDONDO")*('DICIEMBRE 2026'!K6:K110="GASOLINA")*'DICIEMBRE 2026'!M6:M110),0)</f>
        <v/>
      </c>
      <c r="F25" s="377">
        <f>IFERROR(SUMPRODUCT((IF('DICIEMBRE 2026'!Y6:Y110&lt;&gt;"",'DICIEMBRE 2026'!Y6:Y110,'DICIEMBRE 2026'!I6:I110)="CAMPORREDONDO")*('DICIEMBRE 2026'!K6:K110="GASOLINA")*'DICIEMBRE 2026'!L6:L110*'DICIEMBRE 2026'!M6:M110),0)</f>
        <v/>
      </c>
      <c r="G25" s="194" t="n"/>
      <c r="H25" s="194" t="n"/>
      <c r="I25" s="194" t="n"/>
      <c r="J25" s="194" t="n"/>
      <c r="K25" s="194" t="n"/>
      <c r="L25" s="194" t="n"/>
      <c r="M25" s="194" t="n"/>
      <c r="N25" s="194" t="n"/>
      <c r="O25" s="194" t="n"/>
      <c r="P25" s="194" t="n"/>
      <c r="Q25" s="194" t="n"/>
      <c r="R25" s="194" t="n"/>
      <c r="S25" s="194" t="n"/>
      <c r="T25" s="194" t="n"/>
      <c r="U25" s="194" t="n"/>
      <c r="V25" s="194" t="n"/>
      <c r="W25" s="194" t="n"/>
      <c r="X25" s="194" t="n"/>
      <c r="Y25" s="194" t="n"/>
      <c r="Z25" s="194" t="n"/>
    </row>
    <row r="26" ht="15" customHeight="1" s="195">
      <c r="A26" s="194" t="inlineStr">
        <is>
          <t>CHUQUIBAMBA</t>
        </is>
      </c>
      <c r="B26" s="194" t="inlineStr">
        <is>
          <t>ENERO 2026</t>
        </is>
      </c>
      <c r="C26" s="377">
        <f>IFERROR(SUMPRODUCT((IF('ENERO 2026'!Y6:Y119&lt;&gt;"",'ENERO 2026'!Y6:Y119,'ENERO 2026'!I6:I119)="CHUQUIBAMBA")*('ENERO 2026'!K6:K119="PETROLEO")*'ENERO 2026'!M6:M119),0)</f>
        <v/>
      </c>
      <c r="D26" s="377">
        <f>IFERROR(SUMPRODUCT((IF('ENERO 2026'!Y6:Y119&lt;&gt;"",'ENERO 2026'!Y6:Y119,'ENERO 2026'!I6:I119)="CHUQUIBAMBA")*('ENERO 2026'!K6:K119="PETROLEO")*'ENERO 2026'!L6:L119*'ENERO 2026'!M6:M119),0)</f>
        <v/>
      </c>
      <c r="E26" s="377">
        <f>IFERROR(SUMPRODUCT((IF('ENERO 2026'!Y6:Y119&lt;&gt;"",'ENERO 2026'!Y6:Y119,'ENERO 2026'!I6:I119)="CHUQUIBAMBA")*('ENERO 2026'!K6:K119="GASOLINA")*'ENERO 2026'!M6:M119),0)</f>
        <v/>
      </c>
      <c r="F26" s="377">
        <f>IFERROR(SUMPRODUCT((IF('ENERO 2026'!Y6:Y119&lt;&gt;"",'ENERO 2026'!Y6:Y119,'ENERO 2026'!I6:I119)="CHUQUIBAMBA")*('ENERO 2026'!K6:K119="GASOLINA")*'ENERO 2026'!L6:L119*'ENERO 2026'!M6:M119),0)</f>
        <v/>
      </c>
      <c r="G26" s="194" t="n"/>
      <c r="H26" s="194" t="n"/>
      <c r="I26" s="194" t="n"/>
      <c r="J26" s="194" t="n"/>
      <c r="K26" s="194" t="n"/>
      <c r="L26" s="194" t="n"/>
      <c r="M26" s="194" t="n"/>
      <c r="N26" s="194" t="n"/>
      <c r="O26" s="194" t="n"/>
      <c r="P26" s="194" t="n"/>
      <c r="Q26" s="194" t="n"/>
      <c r="R26" s="194" t="n"/>
      <c r="S26" s="194" t="n"/>
      <c r="T26" s="194" t="n"/>
      <c r="U26" s="194" t="n"/>
      <c r="V26" s="194" t="n"/>
      <c r="W26" s="194" t="n"/>
      <c r="X26" s="194" t="n"/>
      <c r="Y26" s="194" t="n"/>
      <c r="Z26" s="194" t="n"/>
    </row>
    <row r="27" ht="15" customHeight="1" s="195">
      <c r="A27" s="194" t="inlineStr">
        <is>
          <t>CHUQUIBAMBA</t>
        </is>
      </c>
      <c r="B27" s="194" t="inlineStr">
        <is>
          <t>FEBRERO 2026</t>
        </is>
      </c>
      <c r="C27" s="377">
        <f>IFERROR(SUMPRODUCT((IF('FEBRERO 2026'!Y6:Y124&lt;&gt;"",'FEBRERO 2026'!Y6:Y124,'FEBRERO 2026'!I6:I124)="CHUQUIBAMBA")*('FEBRERO 2026'!K6:K124="PETROLEO")*'FEBRERO 2026'!M6:M124),0)</f>
        <v/>
      </c>
      <c r="D27" s="377">
        <f>IFERROR(SUMPRODUCT((IF('FEBRERO 2026'!Y6:Y124&lt;&gt;"",'FEBRERO 2026'!Y6:Y124,'FEBRERO 2026'!I6:I124)="CHUQUIBAMBA")*('FEBRERO 2026'!K6:K124="PETROLEO")*'FEBRERO 2026'!L6:L124*'FEBRERO 2026'!M6:M124),0)</f>
        <v/>
      </c>
      <c r="E27" s="377">
        <f>IFERROR(SUMPRODUCT((IF('FEBRERO 2026'!Y6:Y124&lt;&gt;"",'FEBRERO 2026'!Y6:Y124,'FEBRERO 2026'!I6:I124)="CHUQUIBAMBA")*('FEBRERO 2026'!K6:K124="GASOLINA")*'FEBRERO 2026'!M6:M124),0)</f>
        <v/>
      </c>
      <c r="F27" s="377">
        <f>IFERROR(SUMPRODUCT((IF('FEBRERO 2026'!Y6:Y124&lt;&gt;"",'FEBRERO 2026'!Y6:Y124,'FEBRERO 2026'!I6:I124)="CHUQUIBAMBA")*('FEBRERO 2026'!K6:K124="GASOLINA")*'FEBRERO 2026'!L6:L124*'FEBRERO 2026'!M6:M124),0)</f>
        <v/>
      </c>
      <c r="G27" s="194" t="n"/>
      <c r="H27" s="194" t="n"/>
      <c r="I27" s="194" t="n"/>
      <c r="J27" s="194" t="n"/>
      <c r="K27" s="194" t="n"/>
      <c r="L27" s="194" t="n"/>
      <c r="M27" s="194" t="n"/>
      <c r="N27" s="194" t="n"/>
      <c r="O27" s="194" t="n"/>
      <c r="P27" s="194" t="n"/>
      <c r="Q27" s="194" t="n"/>
      <c r="R27" s="194" t="n"/>
      <c r="S27" s="194" t="n"/>
      <c r="T27" s="194" t="n"/>
      <c r="U27" s="194" t="n"/>
      <c r="V27" s="194" t="n"/>
      <c r="W27" s="194" t="n"/>
      <c r="X27" s="194" t="n"/>
      <c r="Y27" s="194" t="n"/>
      <c r="Z27" s="194" t="n"/>
    </row>
    <row r="28" ht="15" customHeight="1" s="195">
      <c r="A28" s="194" t="inlineStr">
        <is>
          <t>CHUQUIBAMBA</t>
        </is>
      </c>
      <c r="B28" s="194" t="inlineStr">
        <is>
          <t>MARZO 2026</t>
        </is>
      </c>
      <c r="C28" s="377">
        <f>IFERROR(SUMPRODUCT((IF('MARZO 2026'!Y6:Y119&lt;&gt;"",'MARZO 2026'!Y6:Y119,'MARZO 2026'!I6:I119)="CHUQUIBAMBA")*('MARZO 2026'!K6:K119="PETROLEO")*'MARZO 2026'!M6:M119),0)</f>
        <v/>
      </c>
      <c r="D28" s="377">
        <f>IFERROR(SUMPRODUCT((IF('MARZO 2026'!Y6:Y119&lt;&gt;"",'MARZO 2026'!Y6:Y119,'MARZO 2026'!I6:I119)="CHUQUIBAMBA")*('MARZO 2026'!K6:K119="PETROLEO")*'MARZO 2026'!L6:L119*'MARZO 2026'!M6:M119),0)</f>
        <v/>
      </c>
      <c r="E28" s="377">
        <f>IFERROR(SUMPRODUCT((IF('MARZO 2026'!Y6:Y119&lt;&gt;"",'MARZO 2026'!Y6:Y119,'MARZO 2026'!I6:I119)="CHUQUIBAMBA")*('MARZO 2026'!K6:K119="GASOLINA")*'MARZO 2026'!M6:M119),0)</f>
        <v/>
      </c>
      <c r="F28" s="377">
        <f>IFERROR(SUMPRODUCT((IF('MARZO 2026'!Y6:Y119&lt;&gt;"",'MARZO 2026'!Y6:Y119,'MARZO 2026'!I6:I119)="CHUQUIBAMBA")*('MARZO 2026'!K6:K119="GASOLINA")*'MARZO 2026'!L6:L119*'MARZO 2026'!M6:M119),0)</f>
        <v/>
      </c>
      <c r="G28" s="194" t="n"/>
      <c r="H28" s="194" t="n"/>
      <c r="I28" s="194" t="n"/>
      <c r="J28" s="194" t="n"/>
      <c r="K28" s="194" t="n"/>
      <c r="L28" s="194" t="n"/>
      <c r="M28" s="194" t="n"/>
      <c r="N28" s="194" t="n"/>
      <c r="O28" s="194" t="n"/>
      <c r="P28" s="194" t="n"/>
      <c r="Q28" s="194" t="n"/>
      <c r="R28" s="194" t="n"/>
      <c r="S28" s="194" t="n"/>
      <c r="T28" s="194" t="n"/>
      <c r="U28" s="194" t="n"/>
      <c r="V28" s="194" t="n"/>
      <c r="W28" s="194" t="n"/>
      <c r="X28" s="194" t="n"/>
      <c r="Y28" s="194" t="n"/>
      <c r="Z28" s="194" t="n"/>
    </row>
    <row r="29" ht="15" customHeight="1" s="195">
      <c r="A29" s="194" t="inlineStr">
        <is>
          <t>CHUQUIBAMBA</t>
        </is>
      </c>
      <c r="B29" s="194" t="inlineStr">
        <is>
          <t>ABRIL 2026</t>
        </is>
      </c>
      <c r="C29" s="377">
        <f>IFERROR(SUMPRODUCT((IF('ABRIL 2026'!Y6:Y119&lt;&gt;"",'ABRIL 2026'!Y6:Y119,'ABRIL 2026'!I6:I119)="CHUQUIBAMBA")*('ABRIL 2026'!K6:K119="PETROLEO")*'ABRIL 2026'!M6:M119),0)</f>
        <v/>
      </c>
      <c r="D29" s="377">
        <f>IFERROR(SUMPRODUCT((IF('ABRIL 2026'!Y6:Y119&lt;&gt;"",'ABRIL 2026'!Y6:Y119,'ABRIL 2026'!I6:I119)="CHUQUIBAMBA")*('ABRIL 2026'!K6:K119="PETROLEO")*'ABRIL 2026'!L6:L119*'ABRIL 2026'!M6:M119),0)</f>
        <v/>
      </c>
      <c r="E29" s="377">
        <f>IFERROR(SUMPRODUCT((IF('ABRIL 2026'!Y6:Y119&lt;&gt;"",'ABRIL 2026'!Y6:Y119,'ABRIL 2026'!I6:I119)="CHUQUIBAMBA")*('ABRIL 2026'!K6:K119="GASOLINA")*'ABRIL 2026'!M6:M119),0)</f>
        <v/>
      </c>
      <c r="F29" s="377">
        <f>IFERROR(SUMPRODUCT((IF('ABRIL 2026'!Y6:Y119&lt;&gt;"",'ABRIL 2026'!Y6:Y119,'ABRIL 2026'!I6:I119)="CHUQUIBAMBA")*('ABRIL 2026'!K6:K119="GASOLINA")*'ABRIL 2026'!L6:L119*'ABRIL 2026'!M6:M119),0)</f>
        <v/>
      </c>
      <c r="G29" s="194" t="n"/>
      <c r="H29" s="194" t="n"/>
      <c r="I29" s="194" t="n"/>
      <c r="J29" s="194" t="n"/>
      <c r="K29" s="194" t="n"/>
      <c r="L29" s="194" t="n"/>
      <c r="M29" s="194" t="n"/>
      <c r="N29" s="194" t="n"/>
      <c r="O29" s="194" t="n"/>
      <c r="P29" s="194" t="n"/>
      <c r="Q29" s="194" t="n"/>
      <c r="R29" s="194" t="n"/>
      <c r="S29" s="194" t="n"/>
      <c r="T29" s="194" t="n"/>
      <c r="U29" s="194" t="n"/>
      <c r="V29" s="194" t="n"/>
      <c r="W29" s="194" t="n"/>
      <c r="X29" s="194" t="n"/>
      <c r="Y29" s="194" t="n"/>
      <c r="Z29" s="194" t="n"/>
    </row>
    <row r="30" ht="15" customHeight="1" s="195">
      <c r="A30" s="194" t="inlineStr">
        <is>
          <t>CHUQUIBAMBA</t>
        </is>
      </c>
      <c r="B30" s="194" t="inlineStr">
        <is>
          <t>MAYO 2026</t>
        </is>
      </c>
      <c r="C30" s="377">
        <f>IFERROR(SUMPRODUCT((IF('MAYO 2026'!Y6:Y110&lt;&gt;"",'MAYO 2026'!Y6:Y110,'MAYO 2026'!I6:I110)="CHUQUIBAMBA")*('MAYO 2026'!K6:K110="PETROLEO")*'MAYO 2026'!M6:M110),0)</f>
        <v/>
      </c>
      <c r="D30" s="377">
        <f>IFERROR(SUMPRODUCT((IF('MAYO 2026'!Y6:Y110&lt;&gt;"",'MAYO 2026'!Y6:Y110,'MAYO 2026'!I6:I110)="CHUQUIBAMBA")*('MAYO 2026'!K6:K110="PETROLEO")*'MAYO 2026'!L6:L110*'MAYO 2026'!M6:M110),0)</f>
        <v/>
      </c>
      <c r="E30" s="377">
        <f>IFERROR(SUMPRODUCT((IF('MAYO 2026'!Y6:Y110&lt;&gt;"",'MAYO 2026'!Y6:Y110,'MAYO 2026'!I6:I110)="CHUQUIBAMBA")*('MAYO 2026'!K6:K110="GASOLINA")*'MAYO 2026'!M6:M110),0)</f>
        <v/>
      </c>
      <c r="F30" s="377">
        <f>IFERROR(SUMPRODUCT((IF('MAYO 2026'!Y6:Y110&lt;&gt;"",'MAYO 2026'!Y6:Y110,'MAYO 2026'!I6:I110)="CHUQUIBAMBA")*('MAYO 2026'!K6:K110="GASOLINA")*'MAYO 2026'!L6:L110*'MAYO 2026'!M6:M110),0)</f>
        <v/>
      </c>
      <c r="G30" s="194" t="n"/>
      <c r="H30" s="194" t="n"/>
      <c r="I30" s="194" t="n"/>
      <c r="J30" s="194" t="n"/>
      <c r="K30" s="194" t="n"/>
      <c r="L30" s="194" t="n"/>
      <c r="M30" s="194" t="n"/>
      <c r="N30" s="194" t="n"/>
      <c r="O30" s="194" t="n"/>
      <c r="P30" s="194" t="n"/>
      <c r="Q30" s="194" t="n"/>
      <c r="R30" s="194" t="n"/>
      <c r="S30" s="194" t="n"/>
      <c r="T30" s="194" t="n"/>
      <c r="U30" s="194" t="n"/>
      <c r="V30" s="194" t="n"/>
      <c r="W30" s="194" t="n"/>
      <c r="X30" s="194" t="n"/>
      <c r="Y30" s="194" t="n"/>
      <c r="Z30" s="194" t="n"/>
    </row>
    <row r="31" ht="15" customHeight="1" s="195">
      <c r="A31" s="194" t="inlineStr">
        <is>
          <t>CHUQUIBAMBA</t>
        </is>
      </c>
      <c r="B31" s="194" t="inlineStr">
        <is>
          <t>JUNIO 2026</t>
        </is>
      </c>
      <c r="C31" s="377">
        <f>IFERROR(SUMPRODUCT((IF('JUNIO 2026'!Y6:Y110&lt;&gt;"",'JUNIO 2026'!Y6:Y110,'JUNIO 2026'!I6:I110)="CHUQUIBAMBA")*('JUNIO 2026'!K6:K110="PETROLEO")*'JUNIO 2026'!M6:M110),0)</f>
        <v/>
      </c>
      <c r="D31" s="377">
        <f>IFERROR(SUMPRODUCT((IF('JUNIO 2026'!Y6:Y110&lt;&gt;"",'JUNIO 2026'!Y6:Y110,'JUNIO 2026'!I6:I110)="CHUQUIBAMBA")*('JUNIO 2026'!K6:K110="PETROLEO")*'JUNIO 2026'!L6:L110*'JUNIO 2026'!M6:M110),0)</f>
        <v/>
      </c>
      <c r="E31" s="377">
        <f>IFERROR(SUMPRODUCT((IF('JUNIO 2026'!Y6:Y110&lt;&gt;"",'JUNIO 2026'!Y6:Y110,'JUNIO 2026'!I6:I110)="CHUQUIBAMBA")*('JUNIO 2026'!K6:K110="GASOLINA")*'JUNIO 2026'!M6:M110),0)</f>
        <v/>
      </c>
      <c r="F31" s="377">
        <f>IFERROR(SUMPRODUCT((IF('JUNIO 2026'!Y6:Y110&lt;&gt;"",'JUNIO 2026'!Y6:Y110,'JUNIO 2026'!I6:I110)="CHUQUIBAMBA")*('JUNIO 2026'!K6:K110="GASOLINA")*'JUNIO 2026'!L6:L110*'JUNIO 2026'!M6:M110),0)</f>
        <v/>
      </c>
      <c r="G31" s="194" t="n"/>
      <c r="H31" s="194" t="n"/>
      <c r="I31" s="194" t="n"/>
      <c r="J31" s="194" t="n"/>
      <c r="K31" s="194" t="n"/>
      <c r="L31" s="194" t="n"/>
      <c r="M31" s="194" t="n"/>
      <c r="N31" s="194" t="n"/>
      <c r="O31" s="194" t="n"/>
      <c r="P31" s="194" t="n"/>
      <c r="Q31" s="194" t="n"/>
      <c r="R31" s="194" t="n"/>
      <c r="S31" s="194" t="n"/>
      <c r="T31" s="194" t="n"/>
      <c r="U31" s="194" t="n"/>
      <c r="V31" s="194" t="n"/>
      <c r="W31" s="194" t="n"/>
      <c r="X31" s="194" t="n"/>
      <c r="Y31" s="194" t="n"/>
      <c r="Z31" s="194" t="n"/>
    </row>
    <row r="32" ht="15" customHeight="1" s="195">
      <c r="A32" s="194" t="inlineStr">
        <is>
          <t>CHUQUIBAMBA</t>
        </is>
      </c>
      <c r="B32" s="194" t="inlineStr">
        <is>
          <t>JULIO 2026</t>
        </is>
      </c>
      <c r="C32" s="377">
        <f>IFERROR(SUMPRODUCT((IF('JULIO 2026'!Y6:Y110&lt;&gt;"",'JULIO 2026'!Y6:Y110,'JULIO 2026'!I6:I110)="CHUQUIBAMBA")*('JULIO 2026'!K6:K110="PETROLEO")*'JULIO 2026'!M6:M110),0)</f>
        <v/>
      </c>
      <c r="D32" s="377">
        <f>IFERROR(SUMPRODUCT((IF('JULIO 2026'!Y6:Y110&lt;&gt;"",'JULIO 2026'!Y6:Y110,'JULIO 2026'!I6:I110)="CHUQUIBAMBA")*('JULIO 2026'!K6:K110="PETROLEO")*'JULIO 2026'!L6:L110*'JULIO 2026'!M6:M110),0)</f>
        <v/>
      </c>
      <c r="E32" s="377">
        <f>IFERROR(SUMPRODUCT((IF('JULIO 2026'!Y6:Y110&lt;&gt;"",'JULIO 2026'!Y6:Y110,'JULIO 2026'!I6:I110)="CHUQUIBAMBA")*('JULIO 2026'!K6:K110="GASOLINA")*'JULIO 2026'!M6:M110),0)</f>
        <v/>
      </c>
      <c r="F32" s="377">
        <f>IFERROR(SUMPRODUCT((IF('JULIO 2026'!Y6:Y110&lt;&gt;"",'JULIO 2026'!Y6:Y110,'JULIO 2026'!I6:I110)="CHUQUIBAMBA")*('JULIO 2026'!K6:K110="GASOLINA")*'JULIO 2026'!L6:L110*'JULIO 2026'!M6:M110),0)</f>
        <v/>
      </c>
      <c r="G32" s="194" t="n"/>
      <c r="H32" s="194" t="n"/>
      <c r="I32" s="194" t="n"/>
      <c r="J32" s="194" t="n"/>
      <c r="K32" s="194" t="n"/>
      <c r="L32" s="194" t="n"/>
      <c r="M32" s="194" t="n"/>
      <c r="N32" s="194" t="n"/>
      <c r="O32" s="194" t="n"/>
      <c r="P32" s="194" t="n"/>
      <c r="Q32" s="194" t="n"/>
      <c r="R32" s="194" t="n"/>
      <c r="S32" s="194" t="n"/>
      <c r="T32" s="194" t="n"/>
      <c r="U32" s="194" t="n"/>
      <c r="V32" s="194" t="n"/>
      <c r="W32" s="194" t="n"/>
      <c r="X32" s="194" t="n"/>
      <c r="Y32" s="194" t="n"/>
      <c r="Z32" s="194" t="n"/>
    </row>
    <row r="33" ht="15" customHeight="1" s="195">
      <c r="A33" s="194" t="inlineStr">
        <is>
          <t>CHUQUIBAMBA</t>
        </is>
      </c>
      <c r="B33" s="194" t="inlineStr">
        <is>
          <t>AGOSTO 2026</t>
        </is>
      </c>
      <c r="C33" s="377">
        <f>IFERROR(SUMPRODUCT((IF('AGOSTO 2026'!Y6:Y110&lt;&gt;"",'AGOSTO 2026'!Y6:Y110,'AGOSTO 2026'!I6:I110)="CHUQUIBAMBA")*('AGOSTO 2026'!K6:K110="PETROLEO")*'AGOSTO 2026'!M6:M110),0)</f>
        <v/>
      </c>
      <c r="D33" s="377">
        <f>IFERROR(SUMPRODUCT((IF('AGOSTO 2026'!Y6:Y110&lt;&gt;"",'AGOSTO 2026'!Y6:Y110,'AGOSTO 2026'!I6:I110)="CHUQUIBAMBA")*('AGOSTO 2026'!K6:K110="PETROLEO")*'AGOSTO 2026'!L6:L110*'AGOSTO 2026'!M6:M110),0)</f>
        <v/>
      </c>
      <c r="E33" s="377">
        <f>IFERROR(SUMPRODUCT((IF('AGOSTO 2026'!Y6:Y110&lt;&gt;"",'AGOSTO 2026'!Y6:Y110,'AGOSTO 2026'!I6:I110)="CHUQUIBAMBA")*('AGOSTO 2026'!K6:K110="GASOLINA")*'AGOSTO 2026'!M6:M110),0)</f>
        <v/>
      </c>
      <c r="F33" s="377">
        <f>IFERROR(SUMPRODUCT((IF('AGOSTO 2026'!Y6:Y110&lt;&gt;"",'AGOSTO 2026'!Y6:Y110,'AGOSTO 2026'!I6:I110)="CHUQUIBAMBA")*('AGOSTO 2026'!K6:K110="GASOLINA")*'AGOSTO 2026'!L6:L110*'AGOSTO 2026'!M6:M110),0)</f>
        <v/>
      </c>
      <c r="G33" s="194" t="n"/>
      <c r="H33" s="194" t="n"/>
      <c r="I33" s="194" t="n"/>
      <c r="J33" s="194" t="n"/>
      <c r="K33" s="194" t="n"/>
      <c r="L33" s="194" t="n"/>
      <c r="M33" s="194" t="n"/>
      <c r="N33" s="194" t="n"/>
      <c r="O33" s="194" t="n"/>
      <c r="P33" s="194" t="n"/>
      <c r="Q33" s="194" t="n"/>
      <c r="R33" s="194" t="n"/>
      <c r="S33" s="194" t="n"/>
      <c r="T33" s="194" t="n"/>
      <c r="U33" s="194" t="n"/>
      <c r="V33" s="194" t="n"/>
      <c r="W33" s="194" t="n"/>
      <c r="X33" s="194" t="n"/>
      <c r="Y33" s="194" t="n"/>
      <c r="Z33" s="194" t="n"/>
    </row>
    <row r="34" ht="15" customHeight="1" s="195">
      <c r="A34" s="194" t="inlineStr">
        <is>
          <t>CHUQUIBAMBA</t>
        </is>
      </c>
      <c r="B34" s="194" t="inlineStr">
        <is>
          <t>SETIEMBRE 2026</t>
        </is>
      </c>
      <c r="C34" s="377">
        <f>IFERROR(SUMPRODUCT((IF('SETIEMBRE 2026'!Y6:Y110&lt;&gt;"",'SETIEMBRE 2026'!Y6:Y110,'SETIEMBRE 2026'!I6:I110)="CHUQUIBAMBA")*('SETIEMBRE 2026'!K6:K110="PETROLEO")*'SETIEMBRE 2026'!M6:M110),0)</f>
        <v/>
      </c>
      <c r="D34" s="377">
        <f>IFERROR(SUMPRODUCT((IF('SETIEMBRE 2026'!Y6:Y110&lt;&gt;"",'SETIEMBRE 2026'!Y6:Y110,'SETIEMBRE 2026'!I6:I110)="CHUQUIBAMBA")*('SETIEMBRE 2026'!K6:K110="PETROLEO")*'SETIEMBRE 2026'!L6:L110*'SETIEMBRE 2026'!M6:M110),0)</f>
        <v/>
      </c>
      <c r="E34" s="377">
        <f>IFERROR(SUMPRODUCT((IF('SETIEMBRE 2026'!Y6:Y110&lt;&gt;"",'SETIEMBRE 2026'!Y6:Y110,'SETIEMBRE 2026'!I6:I110)="CHUQUIBAMBA")*('SETIEMBRE 2026'!K6:K110="GASOLINA")*'SETIEMBRE 2026'!M6:M110),0)</f>
        <v/>
      </c>
      <c r="F34" s="377">
        <f>IFERROR(SUMPRODUCT((IF('SETIEMBRE 2026'!Y6:Y110&lt;&gt;"",'SETIEMBRE 2026'!Y6:Y110,'SETIEMBRE 2026'!I6:I110)="CHUQUIBAMBA")*('SETIEMBRE 2026'!K6:K110="GASOLINA")*'SETIEMBRE 2026'!L6:L110*'SETIEMBRE 2026'!M6:M110),0)</f>
        <v/>
      </c>
      <c r="G34" s="194" t="n"/>
      <c r="H34" s="194" t="n"/>
      <c r="I34" s="194" t="n"/>
      <c r="J34" s="194" t="n"/>
      <c r="K34" s="194" t="n"/>
      <c r="L34" s="194" t="n"/>
      <c r="M34" s="194" t="n"/>
      <c r="N34" s="194" t="n"/>
      <c r="O34" s="194" t="n"/>
      <c r="P34" s="194" t="n"/>
      <c r="Q34" s="194" t="n"/>
      <c r="R34" s="194" t="n"/>
      <c r="S34" s="194" t="n"/>
      <c r="T34" s="194" t="n"/>
      <c r="U34" s="194" t="n"/>
      <c r="V34" s="194" t="n"/>
      <c r="W34" s="194" t="n"/>
      <c r="X34" s="194" t="n"/>
      <c r="Y34" s="194" t="n"/>
      <c r="Z34" s="194" t="n"/>
    </row>
    <row r="35" ht="15" customHeight="1" s="195">
      <c r="A35" s="194" t="inlineStr">
        <is>
          <t>CHUQUIBAMBA</t>
        </is>
      </c>
      <c r="B35" s="194" t="inlineStr">
        <is>
          <t>OCTUBRE 2026</t>
        </is>
      </c>
      <c r="C35" s="377">
        <f>IFERROR(SUMPRODUCT((IF('OCTUBRE 2026'!Y6:Y110&lt;&gt;"",'OCTUBRE 2026'!Y6:Y110,'OCTUBRE 2026'!I6:I110)="CHUQUIBAMBA")*('OCTUBRE 2026'!K6:K110="PETROLEO")*'OCTUBRE 2026'!M6:M110),0)</f>
        <v/>
      </c>
      <c r="D35" s="377">
        <f>IFERROR(SUMPRODUCT((IF('OCTUBRE 2026'!Y6:Y110&lt;&gt;"",'OCTUBRE 2026'!Y6:Y110,'OCTUBRE 2026'!I6:I110)="CHUQUIBAMBA")*('OCTUBRE 2026'!K6:K110="PETROLEO")*'OCTUBRE 2026'!L6:L110*'OCTUBRE 2026'!M6:M110),0)</f>
        <v/>
      </c>
      <c r="E35" s="377">
        <f>IFERROR(SUMPRODUCT((IF('OCTUBRE 2026'!Y6:Y110&lt;&gt;"",'OCTUBRE 2026'!Y6:Y110,'OCTUBRE 2026'!I6:I110)="CHUQUIBAMBA")*('OCTUBRE 2026'!K6:K110="GASOLINA")*'OCTUBRE 2026'!M6:M110),0)</f>
        <v/>
      </c>
      <c r="F35" s="377">
        <f>IFERROR(SUMPRODUCT((IF('OCTUBRE 2026'!Y6:Y110&lt;&gt;"",'OCTUBRE 2026'!Y6:Y110,'OCTUBRE 2026'!I6:I110)="CHUQUIBAMBA")*('OCTUBRE 2026'!K6:K110="GASOLINA")*'OCTUBRE 2026'!L6:L110*'OCTUBRE 2026'!M6:M110),0)</f>
        <v/>
      </c>
      <c r="G35" s="194" t="n"/>
      <c r="H35" s="194" t="n"/>
      <c r="I35" s="194" t="n"/>
      <c r="J35" s="194" t="n"/>
      <c r="K35" s="194" t="n"/>
      <c r="L35" s="194" t="n"/>
      <c r="M35" s="194" t="n"/>
      <c r="N35" s="194" t="n"/>
      <c r="O35" s="194" t="n"/>
      <c r="P35" s="194" t="n"/>
      <c r="Q35" s="194" t="n"/>
      <c r="R35" s="194" t="n"/>
      <c r="S35" s="194" t="n"/>
      <c r="T35" s="194" t="n"/>
      <c r="U35" s="194" t="n"/>
      <c r="V35" s="194" t="n"/>
      <c r="W35" s="194" t="n"/>
      <c r="X35" s="194" t="n"/>
      <c r="Y35" s="194" t="n"/>
      <c r="Z35" s="194" t="n"/>
    </row>
    <row r="36" ht="15" customHeight="1" s="195">
      <c r="A36" s="194" t="inlineStr">
        <is>
          <t>CHUQUIBAMBA</t>
        </is>
      </c>
      <c r="B36" s="194" t="inlineStr">
        <is>
          <t>NOVIEMBRE 2026</t>
        </is>
      </c>
      <c r="C36" s="377">
        <f>IFERROR(SUMPRODUCT((IF('NOVIEMBRE 2026'!Y6:Y110&lt;&gt;"",'NOVIEMBRE 2026'!Y6:Y110,'NOVIEMBRE 2026'!I6:I110)="CHUQUIBAMBA")*('NOVIEMBRE 2026'!K6:K110="PETROLEO")*'NOVIEMBRE 2026'!M6:M110),0)</f>
        <v/>
      </c>
      <c r="D36" s="377">
        <f>IFERROR(SUMPRODUCT((IF('NOVIEMBRE 2026'!Y6:Y110&lt;&gt;"",'NOVIEMBRE 2026'!Y6:Y110,'NOVIEMBRE 2026'!I6:I110)="CHUQUIBAMBA")*('NOVIEMBRE 2026'!K6:K110="PETROLEO")*'NOVIEMBRE 2026'!L6:L110*'NOVIEMBRE 2026'!M6:M110),0)</f>
        <v/>
      </c>
      <c r="E36" s="377">
        <f>IFERROR(SUMPRODUCT((IF('NOVIEMBRE 2026'!Y6:Y110&lt;&gt;"",'NOVIEMBRE 2026'!Y6:Y110,'NOVIEMBRE 2026'!I6:I110)="CHUQUIBAMBA")*('NOVIEMBRE 2026'!K6:K110="GASOLINA")*'NOVIEMBRE 2026'!M6:M110),0)</f>
        <v/>
      </c>
      <c r="F36" s="377">
        <f>IFERROR(SUMPRODUCT((IF('NOVIEMBRE 2026'!Y6:Y110&lt;&gt;"",'NOVIEMBRE 2026'!Y6:Y110,'NOVIEMBRE 2026'!I6:I110)="CHUQUIBAMBA")*('NOVIEMBRE 2026'!K6:K110="GASOLINA")*'NOVIEMBRE 2026'!L6:L110*'NOVIEMBRE 2026'!M6:M110),0)</f>
        <v/>
      </c>
      <c r="G36" s="194" t="n"/>
      <c r="H36" s="194" t="n"/>
      <c r="I36" s="194" t="n"/>
      <c r="J36" s="194" t="n"/>
      <c r="K36" s="194" t="n"/>
      <c r="L36" s="194" t="n"/>
      <c r="M36" s="194" t="n"/>
      <c r="N36" s="194" t="n"/>
      <c r="O36" s="194" t="n"/>
      <c r="P36" s="194" t="n"/>
      <c r="Q36" s="194" t="n"/>
      <c r="R36" s="194" t="n"/>
      <c r="S36" s="194" t="n"/>
      <c r="T36" s="194" t="n"/>
      <c r="U36" s="194" t="n"/>
      <c r="V36" s="194" t="n"/>
      <c r="W36" s="194" t="n"/>
      <c r="X36" s="194" t="n"/>
      <c r="Y36" s="194" t="n"/>
      <c r="Z36" s="194" t="n"/>
    </row>
    <row r="37" ht="15" customHeight="1" s="195">
      <c r="A37" s="194" t="inlineStr">
        <is>
          <t>CHUQUIBAMBA</t>
        </is>
      </c>
      <c r="B37" s="194" t="inlineStr">
        <is>
          <t>DICIEMBRE 2026</t>
        </is>
      </c>
      <c r="C37" s="377">
        <f>IFERROR(SUMPRODUCT((IF('DICIEMBRE 2026'!Y6:Y110&lt;&gt;"",'DICIEMBRE 2026'!Y6:Y110,'DICIEMBRE 2026'!I6:I110)="CHUQUIBAMBA")*('DICIEMBRE 2026'!K6:K110="PETROLEO")*'DICIEMBRE 2026'!M6:M110),0)</f>
        <v/>
      </c>
      <c r="D37" s="377">
        <f>IFERROR(SUMPRODUCT((IF('DICIEMBRE 2026'!Y6:Y110&lt;&gt;"",'DICIEMBRE 2026'!Y6:Y110,'DICIEMBRE 2026'!I6:I110)="CHUQUIBAMBA")*('DICIEMBRE 2026'!K6:K110="PETROLEO")*'DICIEMBRE 2026'!L6:L110*'DICIEMBRE 2026'!M6:M110),0)</f>
        <v/>
      </c>
      <c r="E37" s="377">
        <f>IFERROR(SUMPRODUCT((IF('DICIEMBRE 2026'!Y6:Y110&lt;&gt;"",'DICIEMBRE 2026'!Y6:Y110,'DICIEMBRE 2026'!I6:I110)="CHUQUIBAMBA")*('DICIEMBRE 2026'!K6:K110="GASOLINA")*'DICIEMBRE 2026'!M6:M110),0)</f>
        <v/>
      </c>
      <c r="F37" s="377">
        <f>IFERROR(SUMPRODUCT((IF('DICIEMBRE 2026'!Y6:Y110&lt;&gt;"",'DICIEMBRE 2026'!Y6:Y110,'DICIEMBRE 2026'!I6:I110)="CHUQUIBAMBA")*('DICIEMBRE 2026'!K6:K110="GASOLINA")*'DICIEMBRE 2026'!L6:L110*'DICIEMBRE 2026'!M6:M110),0)</f>
        <v/>
      </c>
      <c r="G37" s="194" t="n"/>
      <c r="H37" s="194" t="n"/>
      <c r="I37" s="194" t="n"/>
      <c r="J37" s="194" t="n"/>
      <c r="K37" s="194" t="n"/>
      <c r="L37" s="194" t="n"/>
      <c r="M37" s="194" t="n"/>
      <c r="N37" s="194" t="n"/>
      <c r="O37" s="194" t="n"/>
      <c r="P37" s="194" t="n"/>
      <c r="Q37" s="194" t="n"/>
      <c r="R37" s="194" t="n"/>
      <c r="S37" s="194" t="n"/>
      <c r="T37" s="194" t="n"/>
      <c r="U37" s="194" t="n"/>
      <c r="V37" s="194" t="n"/>
      <c r="W37" s="194" t="n"/>
      <c r="X37" s="194" t="n"/>
      <c r="Y37" s="194" t="n"/>
      <c r="Z37" s="194" t="n"/>
    </row>
    <row r="38" ht="15" customHeight="1" s="195">
      <c r="A38" s="194" t="inlineStr">
        <is>
          <t>COCABAMBA</t>
        </is>
      </c>
      <c r="B38" s="194" t="inlineStr">
        <is>
          <t>ENERO 2026</t>
        </is>
      </c>
      <c r="C38" s="377">
        <f>IFERROR(SUMPRODUCT((IF('ENERO 2026'!Y6:Y119&lt;&gt;"",'ENERO 2026'!Y6:Y119,'ENERO 2026'!I6:I119)="COCABAMBA")*('ENERO 2026'!K6:K119="PETROLEO")*'ENERO 2026'!M6:M119),0)</f>
        <v/>
      </c>
      <c r="D38" s="377">
        <f>IFERROR(SUMPRODUCT((IF('ENERO 2026'!Y6:Y119&lt;&gt;"",'ENERO 2026'!Y6:Y119,'ENERO 2026'!I6:I119)="COCABAMBA")*('ENERO 2026'!K6:K119="PETROLEO")*'ENERO 2026'!L6:L119*'ENERO 2026'!M6:M119),0)</f>
        <v/>
      </c>
      <c r="E38" s="377">
        <f>IFERROR(SUMPRODUCT((IF('ENERO 2026'!Y6:Y119&lt;&gt;"",'ENERO 2026'!Y6:Y119,'ENERO 2026'!I6:I119)="COCABAMBA")*('ENERO 2026'!K6:K119="GASOLINA")*'ENERO 2026'!M6:M119),0)</f>
        <v/>
      </c>
      <c r="F38" s="377">
        <f>IFERROR(SUMPRODUCT((IF('ENERO 2026'!Y6:Y119&lt;&gt;"",'ENERO 2026'!Y6:Y119,'ENERO 2026'!I6:I119)="COCABAMBA")*('ENERO 2026'!K6:K119="GASOLINA")*'ENERO 2026'!L6:L119*'ENERO 2026'!M6:M119),0)</f>
        <v/>
      </c>
      <c r="G38" s="194" t="n"/>
      <c r="H38" s="194" t="n"/>
      <c r="I38" s="194" t="n"/>
      <c r="J38" s="194" t="n"/>
      <c r="K38" s="194" t="n"/>
      <c r="L38" s="194" t="n"/>
      <c r="M38" s="194" t="n"/>
      <c r="N38" s="194" t="n"/>
      <c r="O38" s="194" t="n"/>
      <c r="P38" s="194" t="n"/>
      <c r="Q38" s="194" t="n"/>
      <c r="R38" s="194" t="n"/>
      <c r="S38" s="194" t="n"/>
      <c r="T38" s="194" t="n"/>
      <c r="U38" s="194" t="n"/>
      <c r="V38" s="194" t="n"/>
      <c r="W38" s="194" t="n"/>
      <c r="X38" s="194" t="n"/>
      <c r="Y38" s="194" t="n"/>
      <c r="Z38" s="194" t="n"/>
    </row>
    <row r="39" ht="15" customHeight="1" s="195">
      <c r="A39" s="194" t="inlineStr">
        <is>
          <t>COCABAMBA</t>
        </is>
      </c>
      <c r="B39" s="194" t="inlineStr">
        <is>
          <t>FEBRERO 2026</t>
        </is>
      </c>
      <c r="C39" s="377">
        <f>IFERROR(SUMPRODUCT((IF('FEBRERO 2026'!Y6:Y124&lt;&gt;"",'FEBRERO 2026'!Y6:Y124,'FEBRERO 2026'!I6:I124)="COCABAMBA")*('FEBRERO 2026'!K6:K124="PETROLEO")*'FEBRERO 2026'!M6:M124),0)</f>
        <v/>
      </c>
      <c r="D39" s="377">
        <f>IFERROR(SUMPRODUCT((IF('FEBRERO 2026'!Y6:Y124&lt;&gt;"",'FEBRERO 2026'!Y6:Y124,'FEBRERO 2026'!I6:I124)="COCABAMBA")*('FEBRERO 2026'!K6:K124="PETROLEO")*'FEBRERO 2026'!L6:L124*'FEBRERO 2026'!M6:M124),0)</f>
        <v/>
      </c>
      <c r="E39" s="377">
        <f>IFERROR(SUMPRODUCT((IF('FEBRERO 2026'!Y6:Y124&lt;&gt;"",'FEBRERO 2026'!Y6:Y124,'FEBRERO 2026'!I6:I124)="COCABAMBA")*('FEBRERO 2026'!K6:K124="GASOLINA")*'FEBRERO 2026'!M6:M124),0)</f>
        <v/>
      </c>
      <c r="F39" s="377">
        <f>IFERROR(SUMPRODUCT((IF('FEBRERO 2026'!Y6:Y124&lt;&gt;"",'FEBRERO 2026'!Y6:Y124,'FEBRERO 2026'!I6:I124)="COCABAMBA")*('FEBRERO 2026'!K6:K124="GASOLINA")*'FEBRERO 2026'!L6:L124*'FEBRERO 2026'!M6:M124),0)</f>
        <v/>
      </c>
      <c r="G39" s="194" t="n"/>
      <c r="H39" s="194" t="n"/>
      <c r="I39" s="194" t="n"/>
      <c r="J39" s="194" t="n"/>
      <c r="K39" s="194" t="n"/>
      <c r="L39" s="194" t="n"/>
      <c r="M39" s="194" t="n"/>
      <c r="N39" s="194" t="n"/>
      <c r="O39" s="194" t="n"/>
      <c r="P39" s="194" t="n"/>
      <c r="Q39" s="194" t="n"/>
      <c r="R39" s="194" t="n"/>
      <c r="S39" s="194" t="n"/>
      <c r="T39" s="194" t="n"/>
      <c r="U39" s="194" t="n"/>
      <c r="V39" s="194" t="n"/>
      <c r="W39" s="194" t="n"/>
      <c r="X39" s="194" t="n"/>
      <c r="Y39" s="194" t="n"/>
      <c r="Z39" s="194" t="n"/>
    </row>
    <row r="40" ht="15" customHeight="1" s="195">
      <c r="A40" s="194" t="inlineStr">
        <is>
          <t>COCABAMBA</t>
        </is>
      </c>
      <c r="B40" s="194" t="inlineStr">
        <is>
          <t>MARZO 2026</t>
        </is>
      </c>
      <c r="C40" s="377">
        <f>IFERROR(SUMPRODUCT((IF('MARZO 2026'!Y6:Y119&lt;&gt;"",'MARZO 2026'!Y6:Y119,'MARZO 2026'!I6:I119)="COCABAMBA")*('MARZO 2026'!K6:K119="PETROLEO")*'MARZO 2026'!M6:M119),0)</f>
        <v/>
      </c>
      <c r="D40" s="377">
        <f>IFERROR(SUMPRODUCT((IF('MARZO 2026'!Y6:Y119&lt;&gt;"",'MARZO 2026'!Y6:Y119,'MARZO 2026'!I6:I119)="COCABAMBA")*('MARZO 2026'!K6:K119="PETROLEO")*'MARZO 2026'!L6:L119*'MARZO 2026'!M6:M119),0)</f>
        <v/>
      </c>
      <c r="E40" s="377">
        <f>IFERROR(SUMPRODUCT((IF('MARZO 2026'!Y6:Y119&lt;&gt;"",'MARZO 2026'!Y6:Y119,'MARZO 2026'!I6:I119)="COCABAMBA")*('MARZO 2026'!K6:K119="GASOLINA")*'MARZO 2026'!M6:M119),0)</f>
        <v/>
      </c>
      <c r="F40" s="377">
        <f>IFERROR(SUMPRODUCT((IF('MARZO 2026'!Y6:Y119&lt;&gt;"",'MARZO 2026'!Y6:Y119,'MARZO 2026'!I6:I119)="COCABAMBA")*('MARZO 2026'!K6:K119="GASOLINA")*'MARZO 2026'!L6:L119*'MARZO 2026'!M6:M119),0)</f>
        <v/>
      </c>
      <c r="G40" s="194" t="n"/>
      <c r="H40" s="194" t="n"/>
      <c r="I40" s="194" t="n"/>
      <c r="J40" s="194" t="n"/>
      <c r="K40" s="194" t="n"/>
      <c r="L40" s="194" t="n"/>
      <c r="M40" s="194" t="n"/>
      <c r="N40" s="194" t="n"/>
      <c r="O40" s="194" t="n"/>
      <c r="P40" s="194" t="n"/>
      <c r="Q40" s="194" t="n"/>
      <c r="R40" s="194" t="n"/>
      <c r="S40" s="194" t="n"/>
      <c r="T40" s="194" t="n"/>
      <c r="U40" s="194" t="n"/>
      <c r="V40" s="194" t="n"/>
      <c r="W40" s="194" t="n"/>
      <c r="X40" s="194" t="n"/>
      <c r="Y40" s="194" t="n"/>
      <c r="Z40" s="194" t="n"/>
    </row>
    <row r="41" ht="15" customHeight="1" s="195">
      <c r="A41" s="194" t="inlineStr">
        <is>
          <t>COCABAMBA</t>
        </is>
      </c>
      <c r="B41" s="194" t="inlineStr">
        <is>
          <t>ABRIL 2026</t>
        </is>
      </c>
      <c r="C41" s="377">
        <f>IFERROR(SUMPRODUCT((IF('ABRIL 2026'!Y6:Y119&lt;&gt;"",'ABRIL 2026'!Y6:Y119,'ABRIL 2026'!I6:I119)="COCABAMBA")*('ABRIL 2026'!K6:K119="PETROLEO")*'ABRIL 2026'!M6:M119),0)</f>
        <v/>
      </c>
      <c r="D41" s="377">
        <f>IFERROR(SUMPRODUCT((IF('ABRIL 2026'!Y6:Y119&lt;&gt;"",'ABRIL 2026'!Y6:Y119,'ABRIL 2026'!I6:I119)="COCABAMBA")*('ABRIL 2026'!K6:K119="PETROLEO")*'ABRIL 2026'!L6:L119*'ABRIL 2026'!M6:M119),0)</f>
        <v/>
      </c>
      <c r="E41" s="377">
        <f>IFERROR(SUMPRODUCT((IF('ABRIL 2026'!Y6:Y119&lt;&gt;"",'ABRIL 2026'!Y6:Y119,'ABRIL 2026'!I6:I119)="COCABAMBA")*('ABRIL 2026'!K6:K119="GASOLINA")*'ABRIL 2026'!M6:M119),0)</f>
        <v/>
      </c>
      <c r="F41" s="377">
        <f>IFERROR(SUMPRODUCT((IF('ABRIL 2026'!Y6:Y119&lt;&gt;"",'ABRIL 2026'!Y6:Y119,'ABRIL 2026'!I6:I119)="COCABAMBA")*('ABRIL 2026'!K6:K119="GASOLINA")*'ABRIL 2026'!L6:L119*'ABRIL 2026'!M6:M119),0)</f>
        <v/>
      </c>
      <c r="G41" s="194" t="n"/>
      <c r="H41" s="194" t="n"/>
      <c r="I41" s="194" t="n"/>
      <c r="J41" s="194" t="n"/>
      <c r="K41" s="194" t="n"/>
      <c r="L41" s="194" t="n"/>
      <c r="M41" s="194" t="n"/>
      <c r="N41" s="194" t="n"/>
      <c r="O41" s="194" t="n"/>
      <c r="P41" s="194" t="n"/>
      <c r="Q41" s="194" t="n"/>
      <c r="R41" s="194" t="n"/>
      <c r="S41" s="194" t="n"/>
      <c r="T41" s="194" t="n"/>
      <c r="U41" s="194" t="n"/>
      <c r="V41" s="194" t="n"/>
      <c r="W41" s="194" t="n"/>
      <c r="X41" s="194" t="n"/>
      <c r="Y41" s="194" t="n"/>
      <c r="Z41" s="194" t="n"/>
    </row>
    <row r="42" ht="15" customHeight="1" s="195">
      <c r="A42" s="194" t="inlineStr">
        <is>
          <t>COCABAMBA</t>
        </is>
      </c>
      <c r="B42" s="194" t="inlineStr">
        <is>
          <t>MAYO 2026</t>
        </is>
      </c>
      <c r="C42" s="377">
        <f>IFERROR(SUMPRODUCT((IF('MAYO 2026'!Y6:Y110&lt;&gt;"",'MAYO 2026'!Y6:Y110,'MAYO 2026'!I6:I110)="COCABAMBA")*('MAYO 2026'!K6:K110="PETROLEO")*'MAYO 2026'!M6:M110),0)</f>
        <v/>
      </c>
      <c r="D42" s="377">
        <f>IFERROR(SUMPRODUCT((IF('MAYO 2026'!Y6:Y110&lt;&gt;"",'MAYO 2026'!Y6:Y110,'MAYO 2026'!I6:I110)="COCABAMBA")*('MAYO 2026'!K6:K110="PETROLEO")*'MAYO 2026'!L6:L110*'MAYO 2026'!M6:M110),0)</f>
        <v/>
      </c>
      <c r="E42" s="377">
        <f>IFERROR(SUMPRODUCT((IF('MAYO 2026'!Y6:Y110&lt;&gt;"",'MAYO 2026'!Y6:Y110,'MAYO 2026'!I6:I110)="COCABAMBA")*('MAYO 2026'!K6:K110="GASOLINA")*'MAYO 2026'!M6:M110),0)</f>
        <v/>
      </c>
      <c r="F42" s="377">
        <f>IFERROR(SUMPRODUCT((IF('MAYO 2026'!Y6:Y110&lt;&gt;"",'MAYO 2026'!Y6:Y110,'MAYO 2026'!I6:I110)="COCABAMBA")*('MAYO 2026'!K6:K110="GASOLINA")*'MAYO 2026'!L6:L110*'MAYO 2026'!M6:M110),0)</f>
        <v/>
      </c>
      <c r="G42" s="194" t="n"/>
      <c r="H42" s="194" t="n"/>
      <c r="I42" s="194" t="n"/>
      <c r="J42" s="194" t="n"/>
      <c r="K42" s="194" t="n"/>
      <c r="L42" s="194" t="n"/>
      <c r="M42" s="194" t="n"/>
      <c r="N42" s="194" t="n"/>
      <c r="O42" s="194" t="n"/>
      <c r="P42" s="194" t="n"/>
      <c r="Q42" s="194" t="n"/>
      <c r="R42" s="194" t="n"/>
      <c r="S42" s="194" t="n"/>
      <c r="T42" s="194" t="n"/>
      <c r="U42" s="194" t="n"/>
      <c r="V42" s="194" t="n"/>
      <c r="W42" s="194" t="n"/>
      <c r="X42" s="194" t="n"/>
      <c r="Y42" s="194" t="n"/>
      <c r="Z42" s="194" t="n"/>
    </row>
    <row r="43" ht="15" customHeight="1" s="195">
      <c r="A43" s="194" t="inlineStr">
        <is>
          <t>COCABAMBA</t>
        </is>
      </c>
      <c r="B43" s="194" t="inlineStr">
        <is>
          <t>JUNIO 2026</t>
        </is>
      </c>
      <c r="C43" s="377">
        <f>IFERROR(SUMPRODUCT((IF('JUNIO 2026'!Y6:Y110&lt;&gt;"",'JUNIO 2026'!Y6:Y110,'JUNIO 2026'!I6:I110)="COCABAMBA")*('JUNIO 2026'!K6:K110="PETROLEO")*'JUNIO 2026'!M6:M110),0)</f>
        <v/>
      </c>
      <c r="D43" s="377">
        <f>IFERROR(SUMPRODUCT((IF('JUNIO 2026'!Y6:Y110&lt;&gt;"",'JUNIO 2026'!Y6:Y110,'JUNIO 2026'!I6:I110)="COCABAMBA")*('JUNIO 2026'!K6:K110="PETROLEO")*'JUNIO 2026'!L6:L110*'JUNIO 2026'!M6:M110),0)</f>
        <v/>
      </c>
      <c r="E43" s="377">
        <f>IFERROR(SUMPRODUCT((IF('JUNIO 2026'!Y6:Y110&lt;&gt;"",'JUNIO 2026'!Y6:Y110,'JUNIO 2026'!I6:I110)="COCABAMBA")*('JUNIO 2026'!K6:K110="GASOLINA")*'JUNIO 2026'!M6:M110),0)</f>
        <v/>
      </c>
      <c r="F43" s="377">
        <f>IFERROR(SUMPRODUCT((IF('JUNIO 2026'!Y6:Y110&lt;&gt;"",'JUNIO 2026'!Y6:Y110,'JUNIO 2026'!I6:I110)="COCABAMBA")*('JUNIO 2026'!K6:K110="GASOLINA")*'JUNIO 2026'!L6:L110*'JUNIO 2026'!M6:M110),0)</f>
        <v/>
      </c>
      <c r="G43" s="194" t="n"/>
      <c r="H43" s="194" t="n"/>
      <c r="I43" s="194" t="n"/>
      <c r="J43" s="194" t="n"/>
      <c r="K43" s="194" t="n"/>
      <c r="L43" s="194" t="n"/>
      <c r="M43" s="194" t="n"/>
      <c r="N43" s="194" t="n"/>
      <c r="O43" s="194" t="n"/>
      <c r="P43" s="194" t="n"/>
      <c r="Q43" s="194" t="n"/>
      <c r="R43" s="194" t="n"/>
      <c r="S43" s="194" t="n"/>
      <c r="T43" s="194" t="n"/>
      <c r="U43" s="194" t="n"/>
      <c r="V43" s="194" t="n"/>
      <c r="W43" s="194" t="n"/>
      <c r="X43" s="194" t="n"/>
      <c r="Y43" s="194" t="n"/>
      <c r="Z43" s="194" t="n"/>
    </row>
    <row r="44" ht="15" customHeight="1" s="195">
      <c r="A44" s="194" t="inlineStr">
        <is>
          <t>COCABAMBA</t>
        </is>
      </c>
      <c r="B44" s="194" t="inlineStr">
        <is>
          <t>JULIO 2026</t>
        </is>
      </c>
      <c r="C44" s="377">
        <f>IFERROR(SUMPRODUCT((IF('JULIO 2026'!Y6:Y110&lt;&gt;"",'JULIO 2026'!Y6:Y110,'JULIO 2026'!I6:I110)="COCABAMBA")*('JULIO 2026'!K6:K110="PETROLEO")*'JULIO 2026'!M6:M110),0)</f>
        <v/>
      </c>
      <c r="D44" s="377">
        <f>IFERROR(SUMPRODUCT((IF('JULIO 2026'!Y6:Y110&lt;&gt;"",'JULIO 2026'!Y6:Y110,'JULIO 2026'!I6:I110)="COCABAMBA")*('JULIO 2026'!K6:K110="PETROLEO")*'JULIO 2026'!L6:L110*'JULIO 2026'!M6:M110),0)</f>
        <v/>
      </c>
      <c r="E44" s="377">
        <f>IFERROR(SUMPRODUCT((IF('JULIO 2026'!Y6:Y110&lt;&gt;"",'JULIO 2026'!Y6:Y110,'JULIO 2026'!I6:I110)="COCABAMBA")*('JULIO 2026'!K6:K110="GASOLINA")*'JULIO 2026'!M6:M110),0)</f>
        <v/>
      </c>
      <c r="F44" s="377">
        <f>IFERROR(SUMPRODUCT((IF('JULIO 2026'!Y6:Y110&lt;&gt;"",'JULIO 2026'!Y6:Y110,'JULIO 2026'!I6:I110)="COCABAMBA")*('JULIO 2026'!K6:K110="GASOLINA")*'JULIO 2026'!L6:L110*'JULIO 2026'!M6:M110),0)</f>
        <v/>
      </c>
      <c r="G44" s="194" t="n"/>
      <c r="H44" s="194" t="n"/>
      <c r="I44" s="194" t="n"/>
      <c r="J44" s="194" t="n"/>
      <c r="K44" s="194" t="n"/>
      <c r="L44" s="194" t="n"/>
      <c r="M44" s="194" t="n"/>
      <c r="N44" s="194" t="n"/>
      <c r="O44" s="194" t="n"/>
      <c r="P44" s="194" t="n"/>
      <c r="Q44" s="194" t="n"/>
      <c r="R44" s="194" t="n"/>
      <c r="S44" s="194" t="n"/>
      <c r="T44" s="194" t="n"/>
      <c r="U44" s="194" t="n"/>
      <c r="V44" s="194" t="n"/>
      <c r="W44" s="194" t="n"/>
      <c r="X44" s="194" t="n"/>
      <c r="Y44" s="194" t="n"/>
      <c r="Z44" s="194" t="n"/>
    </row>
    <row r="45" ht="15" customHeight="1" s="195">
      <c r="A45" s="194" t="inlineStr">
        <is>
          <t>COCABAMBA</t>
        </is>
      </c>
      <c r="B45" s="194" t="inlineStr">
        <is>
          <t>AGOSTO 2026</t>
        </is>
      </c>
      <c r="C45" s="377">
        <f>IFERROR(SUMPRODUCT((IF('AGOSTO 2026'!Y6:Y110&lt;&gt;"",'AGOSTO 2026'!Y6:Y110,'AGOSTO 2026'!I6:I110)="COCABAMBA")*('AGOSTO 2026'!K6:K110="PETROLEO")*'AGOSTO 2026'!M6:M110),0)</f>
        <v/>
      </c>
      <c r="D45" s="377">
        <f>IFERROR(SUMPRODUCT((IF('AGOSTO 2026'!Y6:Y110&lt;&gt;"",'AGOSTO 2026'!Y6:Y110,'AGOSTO 2026'!I6:I110)="COCABAMBA")*('AGOSTO 2026'!K6:K110="PETROLEO")*'AGOSTO 2026'!L6:L110*'AGOSTO 2026'!M6:M110),0)</f>
        <v/>
      </c>
      <c r="E45" s="377">
        <f>IFERROR(SUMPRODUCT((IF('AGOSTO 2026'!Y6:Y110&lt;&gt;"",'AGOSTO 2026'!Y6:Y110,'AGOSTO 2026'!I6:I110)="COCABAMBA")*('AGOSTO 2026'!K6:K110="GASOLINA")*'AGOSTO 2026'!M6:M110),0)</f>
        <v/>
      </c>
      <c r="F45" s="377">
        <f>IFERROR(SUMPRODUCT((IF('AGOSTO 2026'!Y6:Y110&lt;&gt;"",'AGOSTO 2026'!Y6:Y110,'AGOSTO 2026'!I6:I110)="COCABAMBA")*('AGOSTO 2026'!K6:K110="GASOLINA")*'AGOSTO 2026'!L6:L110*'AGOSTO 2026'!M6:M110),0)</f>
        <v/>
      </c>
      <c r="G45" s="194" t="n"/>
      <c r="H45" s="194" t="n"/>
      <c r="I45" s="194" t="n"/>
      <c r="J45" s="194" t="n"/>
      <c r="K45" s="194" t="n"/>
      <c r="L45" s="194" t="n"/>
      <c r="M45" s="194" t="n"/>
      <c r="N45" s="194" t="n"/>
      <c r="O45" s="194" t="n"/>
      <c r="P45" s="194" t="n"/>
      <c r="Q45" s="194" t="n"/>
      <c r="R45" s="194" t="n"/>
      <c r="S45" s="194" t="n"/>
      <c r="T45" s="194" t="n"/>
      <c r="U45" s="194" t="n"/>
      <c r="V45" s="194" t="n"/>
      <c r="W45" s="194" t="n"/>
      <c r="X45" s="194" t="n"/>
      <c r="Y45" s="194" t="n"/>
      <c r="Z45" s="194" t="n"/>
    </row>
    <row r="46" ht="15" customHeight="1" s="195">
      <c r="A46" s="194" t="inlineStr">
        <is>
          <t>COCABAMBA</t>
        </is>
      </c>
      <c r="B46" s="194" t="inlineStr">
        <is>
          <t>SETIEMBRE 2026</t>
        </is>
      </c>
      <c r="C46" s="377">
        <f>IFERROR(SUMPRODUCT((IF('SETIEMBRE 2026'!Y6:Y110&lt;&gt;"",'SETIEMBRE 2026'!Y6:Y110,'SETIEMBRE 2026'!I6:I110)="COCABAMBA")*('SETIEMBRE 2026'!K6:K110="PETROLEO")*'SETIEMBRE 2026'!M6:M110),0)</f>
        <v/>
      </c>
      <c r="D46" s="377">
        <f>IFERROR(SUMPRODUCT((IF('SETIEMBRE 2026'!Y6:Y110&lt;&gt;"",'SETIEMBRE 2026'!Y6:Y110,'SETIEMBRE 2026'!I6:I110)="COCABAMBA")*('SETIEMBRE 2026'!K6:K110="PETROLEO")*'SETIEMBRE 2026'!L6:L110*'SETIEMBRE 2026'!M6:M110),0)</f>
        <v/>
      </c>
      <c r="E46" s="377">
        <f>IFERROR(SUMPRODUCT((IF('SETIEMBRE 2026'!Y6:Y110&lt;&gt;"",'SETIEMBRE 2026'!Y6:Y110,'SETIEMBRE 2026'!I6:I110)="COCABAMBA")*('SETIEMBRE 2026'!K6:K110="GASOLINA")*'SETIEMBRE 2026'!M6:M110),0)</f>
        <v/>
      </c>
      <c r="F46" s="377">
        <f>IFERROR(SUMPRODUCT((IF('SETIEMBRE 2026'!Y6:Y110&lt;&gt;"",'SETIEMBRE 2026'!Y6:Y110,'SETIEMBRE 2026'!I6:I110)="COCABAMBA")*('SETIEMBRE 2026'!K6:K110="GASOLINA")*'SETIEMBRE 2026'!L6:L110*'SETIEMBRE 2026'!M6:M110),0)</f>
        <v/>
      </c>
      <c r="G46" s="194" t="n"/>
      <c r="H46" s="194" t="n"/>
      <c r="I46" s="194" t="n"/>
      <c r="J46" s="194" t="n"/>
      <c r="K46" s="194" t="n"/>
      <c r="L46" s="194" t="n"/>
      <c r="M46" s="194" t="n"/>
      <c r="N46" s="194" t="n"/>
      <c r="O46" s="194" t="n"/>
      <c r="P46" s="194" t="n"/>
      <c r="Q46" s="194" t="n"/>
      <c r="R46" s="194" t="n"/>
      <c r="S46" s="194" t="n"/>
      <c r="T46" s="194" t="n"/>
      <c r="U46" s="194" t="n"/>
      <c r="V46" s="194" t="n"/>
      <c r="W46" s="194" t="n"/>
      <c r="X46" s="194" t="n"/>
      <c r="Y46" s="194" t="n"/>
      <c r="Z46" s="194" t="n"/>
    </row>
    <row r="47" ht="15" customHeight="1" s="195">
      <c r="A47" s="194" t="inlineStr">
        <is>
          <t>COCABAMBA</t>
        </is>
      </c>
      <c r="B47" s="194" t="inlineStr">
        <is>
          <t>OCTUBRE 2026</t>
        </is>
      </c>
      <c r="C47" s="377">
        <f>IFERROR(SUMPRODUCT((IF('OCTUBRE 2026'!Y6:Y110&lt;&gt;"",'OCTUBRE 2026'!Y6:Y110,'OCTUBRE 2026'!I6:I110)="COCABAMBA")*('OCTUBRE 2026'!K6:K110="PETROLEO")*'OCTUBRE 2026'!M6:M110),0)</f>
        <v/>
      </c>
      <c r="D47" s="377">
        <f>IFERROR(SUMPRODUCT((IF('OCTUBRE 2026'!Y6:Y110&lt;&gt;"",'OCTUBRE 2026'!Y6:Y110,'OCTUBRE 2026'!I6:I110)="COCABAMBA")*('OCTUBRE 2026'!K6:K110="PETROLEO")*'OCTUBRE 2026'!L6:L110*'OCTUBRE 2026'!M6:M110),0)</f>
        <v/>
      </c>
      <c r="E47" s="377">
        <f>IFERROR(SUMPRODUCT((IF('OCTUBRE 2026'!Y6:Y110&lt;&gt;"",'OCTUBRE 2026'!Y6:Y110,'OCTUBRE 2026'!I6:I110)="COCABAMBA")*('OCTUBRE 2026'!K6:K110="GASOLINA")*'OCTUBRE 2026'!M6:M110),0)</f>
        <v/>
      </c>
      <c r="F47" s="377">
        <f>IFERROR(SUMPRODUCT((IF('OCTUBRE 2026'!Y6:Y110&lt;&gt;"",'OCTUBRE 2026'!Y6:Y110,'OCTUBRE 2026'!I6:I110)="COCABAMBA")*('OCTUBRE 2026'!K6:K110="GASOLINA")*'OCTUBRE 2026'!L6:L110*'OCTUBRE 2026'!M6:M110),0)</f>
        <v/>
      </c>
      <c r="G47" s="194" t="n"/>
      <c r="H47" s="194" t="n"/>
      <c r="I47" s="194" t="n"/>
      <c r="J47" s="194" t="n"/>
      <c r="K47" s="194" t="n"/>
      <c r="L47" s="194" t="n"/>
      <c r="M47" s="194" t="n"/>
      <c r="N47" s="194" t="n"/>
      <c r="O47" s="194" t="n"/>
      <c r="P47" s="194" t="n"/>
      <c r="Q47" s="194" t="n"/>
      <c r="R47" s="194" t="n"/>
      <c r="S47" s="194" t="n"/>
      <c r="T47" s="194" t="n"/>
      <c r="U47" s="194" t="n"/>
      <c r="V47" s="194" t="n"/>
      <c r="W47" s="194" t="n"/>
      <c r="X47" s="194" t="n"/>
      <c r="Y47" s="194" t="n"/>
      <c r="Z47" s="194" t="n"/>
    </row>
    <row r="48" ht="15" customHeight="1" s="195">
      <c r="A48" s="194" t="inlineStr">
        <is>
          <t>COCABAMBA</t>
        </is>
      </c>
      <c r="B48" s="194" t="inlineStr">
        <is>
          <t>NOVIEMBRE 2026</t>
        </is>
      </c>
      <c r="C48" s="377">
        <f>IFERROR(SUMPRODUCT((IF('NOVIEMBRE 2026'!Y6:Y110&lt;&gt;"",'NOVIEMBRE 2026'!Y6:Y110,'NOVIEMBRE 2026'!I6:I110)="COCABAMBA")*('NOVIEMBRE 2026'!K6:K110="PETROLEO")*'NOVIEMBRE 2026'!M6:M110),0)</f>
        <v/>
      </c>
      <c r="D48" s="377">
        <f>IFERROR(SUMPRODUCT((IF('NOVIEMBRE 2026'!Y6:Y110&lt;&gt;"",'NOVIEMBRE 2026'!Y6:Y110,'NOVIEMBRE 2026'!I6:I110)="COCABAMBA")*('NOVIEMBRE 2026'!K6:K110="PETROLEO")*'NOVIEMBRE 2026'!L6:L110*'NOVIEMBRE 2026'!M6:M110),0)</f>
        <v/>
      </c>
      <c r="E48" s="377">
        <f>IFERROR(SUMPRODUCT((IF('NOVIEMBRE 2026'!Y6:Y110&lt;&gt;"",'NOVIEMBRE 2026'!Y6:Y110,'NOVIEMBRE 2026'!I6:I110)="COCABAMBA")*('NOVIEMBRE 2026'!K6:K110="GASOLINA")*'NOVIEMBRE 2026'!M6:M110),0)</f>
        <v/>
      </c>
      <c r="F48" s="377">
        <f>IFERROR(SUMPRODUCT((IF('NOVIEMBRE 2026'!Y6:Y110&lt;&gt;"",'NOVIEMBRE 2026'!Y6:Y110,'NOVIEMBRE 2026'!I6:I110)="COCABAMBA")*('NOVIEMBRE 2026'!K6:K110="GASOLINA")*'NOVIEMBRE 2026'!L6:L110*'NOVIEMBRE 2026'!M6:M110),0)</f>
        <v/>
      </c>
      <c r="G48" s="194" t="n"/>
      <c r="H48" s="194" t="n"/>
      <c r="I48" s="194" t="n"/>
      <c r="J48" s="194" t="n"/>
      <c r="K48" s="194" t="n"/>
      <c r="L48" s="194" t="n"/>
      <c r="M48" s="194" t="n"/>
      <c r="N48" s="194" t="n"/>
      <c r="O48" s="194" t="n"/>
      <c r="P48" s="194" t="n"/>
      <c r="Q48" s="194" t="n"/>
      <c r="R48" s="194" t="n"/>
      <c r="S48" s="194" t="n"/>
      <c r="T48" s="194" t="n"/>
      <c r="U48" s="194" t="n"/>
      <c r="V48" s="194" t="n"/>
      <c r="W48" s="194" t="n"/>
      <c r="X48" s="194" t="n"/>
      <c r="Y48" s="194" t="n"/>
      <c r="Z48" s="194" t="n"/>
    </row>
    <row r="49" ht="15" customHeight="1" s="195">
      <c r="A49" s="194" t="inlineStr">
        <is>
          <t>COCABAMBA</t>
        </is>
      </c>
      <c r="B49" s="194" t="inlineStr">
        <is>
          <t>DICIEMBRE 2026</t>
        </is>
      </c>
      <c r="C49" s="377">
        <f>IFERROR(SUMPRODUCT((IF('DICIEMBRE 2026'!Y6:Y110&lt;&gt;"",'DICIEMBRE 2026'!Y6:Y110,'DICIEMBRE 2026'!I6:I110)="COCABAMBA")*('DICIEMBRE 2026'!K6:K110="PETROLEO")*'DICIEMBRE 2026'!M6:M110),0)</f>
        <v/>
      </c>
      <c r="D49" s="377">
        <f>IFERROR(SUMPRODUCT((IF('DICIEMBRE 2026'!Y6:Y110&lt;&gt;"",'DICIEMBRE 2026'!Y6:Y110,'DICIEMBRE 2026'!I6:I110)="COCABAMBA")*('DICIEMBRE 2026'!K6:K110="PETROLEO")*'DICIEMBRE 2026'!L6:L110*'DICIEMBRE 2026'!M6:M110),0)</f>
        <v/>
      </c>
      <c r="E49" s="377">
        <f>IFERROR(SUMPRODUCT((IF('DICIEMBRE 2026'!Y6:Y110&lt;&gt;"",'DICIEMBRE 2026'!Y6:Y110,'DICIEMBRE 2026'!I6:I110)="COCABAMBA")*('DICIEMBRE 2026'!K6:K110="GASOLINA")*'DICIEMBRE 2026'!M6:M110),0)</f>
        <v/>
      </c>
      <c r="F49" s="377">
        <f>IFERROR(SUMPRODUCT((IF('DICIEMBRE 2026'!Y6:Y110&lt;&gt;"",'DICIEMBRE 2026'!Y6:Y110,'DICIEMBRE 2026'!I6:I110)="COCABAMBA")*('DICIEMBRE 2026'!K6:K110="GASOLINA")*'DICIEMBRE 2026'!L6:L110*'DICIEMBRE 2026'!M6:M110),0)</f>
        <v/>
      </c>
      <c r="G49" s="194" t="n"/>
      <c r="H49" s="194" t="n"/>
      <c r="I49" s="194" t="n"/>
      <c r="J49" s="194" t="n"/>
      <c r="K49" s="194" t="n"/>
      <c r="L49" s="194" t="n"/>
      <c r="M49" s="194" t="n"/>
      <c r="N49" s="194" t="n"/>
      <c r="O49" s="194" t="n"/>
      <c r="P49" s="194" t="n"/>
      <c r="Q49" s="194" t="n"/>
      <c r="R49" s="194" t="n"/>
      <c r="S49" s="194" t="n"/>
      <c r="T49" s="194" t="n"/>
      <c r="U49" s="194" t="n"/>
      <c r="V49" s="194" t="n"/>
      <c r="W49" s="194" t="n"/>
      <c r="X49" s="194" t="n"/>
      <c r="Y49" s="194" t="n"/>
      <c r="Z49" s="194" t="n"/>
    </row>
    <row r="50" ht="15" customHeight="1" s="195">
      <c r="A50" s="194" t="inlineStr">
        <is>
          <t>COCOCHO</t>
        </is>
      </c>
      <c r="B50" s="194" t="inlineStr">
        <is>
          <t>ENERO 2026</t>
        </is>
      </c>
      <c r="C50" s="377">
        <f>IFERROR(SUMPRODUCT((IF('ENERO 2026'!Y6:Y119&lt;&gt;"",'ENERO 2026'!Y6:Y119,'ENERO 2026'!I6:I119)="COCOCHO")*('ENERO 2026'!K6:K119="PETROLEO")*'ENERO 2026'!M6:M119),0)</f>
        <v/>
      </c>
      <c r="D50" s="377">
        <f>IFERROR(SUMPRODUCT((IF('ENERO 2026'!Y6:Y119&lt;&gt;"",'ENERO 2026'!Y6:Y119,'ENERO 2026'!I6:I119)="COCOCHO")*('ENERO 2026'!K6:K119="PETROLEO")*'ENERO 2026'!L6:L119*'ENERO 2026'!M6:M119),0)</f>
        <v/>
      </c>
      <c r="E50" s="377">
        <f>IFERROR(SUMPRODUCT((IF('ENERO 2026'!Y6:Y119&lt;&gt;"",'ENERO 2026'!Y6:Y119,'ENERO 2026'!I6:I119)="COCOCHO")*('ENERO 2026'!K6:K119="GASOLINA")*'ENERO 2026'!M6:M119),0)</f>
        <v/>
      </c>
      <c r="F50" s="377">
        <f>IFERROR(SUMPRODUCT((IF('ENERO 2026'!Y6:Y119&lt;&gt;"",'ENERO 2026'!Y6:Y119,'ENERO 2026'!I6:I119)="COCOCHO")*('ENERO 2026'!K6:K119="GASOLINA")*'ENERO 2026'!L6:L119*'ENERO 2026'!M6:M119),0)</f>
        <v/>
      </c>
      <c r="G50" s="194" t="n"/>
      <c r="H50" s="194" t="n"/>
      <c r="I50" s="194" t="n"/>
      <c r="J50" s="194" t="n"/>
      <c r="K50" s="194" t="n"/>
      <c r="L50" s="194" t="n"/>
      <c r="M50" s="194" t="n"/>
      <c r="N50" s="194" t="n"/>
      <c r="O50" s="194" t="n"/>
      <c r="P50" s="194" t="n"/>
      <c r="Q50" s="194" t="n"/>
      <c r="R50" s="194" t="n"/>
      <c r="S50" s="194" t="n"/>
      <c r="T50" s="194" t="n"/>
      <c r="U50" s="194" t="n"/>
      <c r="V50" s="194" t="n"/>
      <c r="W50" s="194" t="n"/>
      <c r="X50" s="194" t="n"/>
      <c r="Y50" s="194" t="n"/>
      <c r="Z50" s="194" t="n"/>
    </row>
    <row r="51" ht="15" customHeight="1" s="195">
      <c r="A51" s="194" t="inlineStr">
        <is>
          <t>COCOCHO</t>
        </is>
      </c>
      <c r="B51" s="194" t="inlineStr">
        <is>
          <t>FEBRERO 2026</t>
        </is>
      </c>
      <c r="C51" s="377">
        <f>IFERROR(SUMPRODUCT((IF('FEBRERO 2026'!Y6:Y124&lt;&gt;"",'FEBRERO 2026'!Y6:Y124,'FEBRERO 2026'!I6:I124)="COCOCHO")*('FEBRERO 2026'!K6:K124="PETROLEO")*'FEBRERO 2026'!M6:M124),0)</f>
        <v/>
      </c>
      <c r="D51" s="377">
        <f>IFERROR(SUMPRODUCT((IF('FEBRERO 2026'!Y6:Y124&lt;&gt;"",'FEBRERO 2026'!Y6:Y124,'FEBRERO 2026'!I6:I124)="COCOCHO")*('FEBRERO 2026'!K6:K124="PETROLEO")*'FEBRERO 2026'!L6:L124*'FEBRERO 2026'!M6:M124),0)</f>
        <v/>
      </c>
      <c r="E51" s="377">
        <f>IFERROR(SUMPRODUCT((IF('FEBRERO 2026'!Y6:Y124&lt;&gt;"",'FEBRERO 2026'!Y6:Y124,'FEBRERO 2026'!I6:I124)="COCOCHO")*('FEBRERO 2026'!K6:K124="GASOLINA")*'FEBRERO 2026'!M6:M124),0)</f>
        <v/>
      </c>
      <c r="F51" s="377">
        <f>IFERROR(SUMPRODUCT((IF('FEBRERO 2026'!Y6:Y124&lt;&gt;"",'FEBRERO 2026'!Y6:Y124,'FEBRERO 2026'!I6:I124)="COCOCHO")*('FEBRERO 2026'!K6:K124="GASOLINA")*'FEBRERO 2026'!L6:L124*'FEBRERO 2026'!M6:M124),0)</f>
        <v/>
      </c>
      <c r="G51" s="194" t="n"/>
      <c r="H51" s="194" t="n"/>
      <c r="I51" s="194" t="n"/>
      <c r="J51" s="194" t="n"/>
      <c r="K51" s="194" t="n"/>
      <c r="L51" s="194" t="n"/>
      <c r="M51" s="194" t="n"/>
      <c r="N51" s="194" t="n"/>
      <c r="O51" s="194" t="n"/>
      <c r="P51" s="194" t="n"/>
      <c r="Q51" s="194" t="n"/>
      <c r="R51" s="194" t="n"/>
      <c r="S51" s="194" t="n"/>
      <c r="T51" s="194" t="n"/>
      <c r="U51" s="194" t="n"/>
      <c r="V51" s="194" t="n"/>
      <c r="W51" s="194" t="n"/>
      <c r="X51" s="194" t="n"/>
      <c r="Y51" s="194" t="n"/>
      <c r="Z51" s="194" t="n"/>
    </row>
    <row r="52" ht="15" customHeight="1" s="195">
      <c r="A52" s="194" t="inlineStr">
        <is>
          <t>COCOCHO</t>
        </is>
      </c>
      <c r="B52" s="194" t="inlineStr">
        <is>
          <t>MARZO 2026</t>
        </is>
      </c>
      <c r="C52" s="377">
        <f>IFERROR(SUMPRODUCT((IF('MARZO 2026'!Y6:Y119&lt;&gt;"",'MARZO 2026'!Y6:Y119,'MARZO 2026'!I6:I119)="COCOCHO")*('MARZO 2026'!K6:K119="PETROLEO")*'MARZO 2026'!M6:M119),0)</f>
        <v/>
      </c>
      <c r="D52" s="377">
        <f>IFERROR(SUMPRODUCT((IF('MARZO 2026'!Y6:Y119&lt;&gt;"",'MARZO 2026'!Y6:Y119,'MARZO 2026'!I6:I119)="COCOCHO")*('MARZO 2026'!K6:K119="PETROLEO")*'MARZO 2026'!L6:L119*'MARZO 2026'!M6:M119),0)</f>
        <v/>
      </c>
      <c r="E52" s="377">
        <f>IFERROR(SUMPRODUCT((IF('MARZO 2026'!Y6:Y119&lt;&gt;"",'MARZO 2026'!Y6:Y119,'MARZO 2026'!I6:I119)="COCOCHO")*('MARZO 2026'!K6:K119="GASOLINA")*'MARZO 2026'!M6:M119),0)</f>
        <v/>
      </c>
      <c r="F52" s="377">
        <f>IFERROR(SUMPRODUCT((IF('MARZO 2026'!Y6:Y119&lt;&gt;"",'MARZO 2026'!Y6:Y119,'MARZO 2026'!I6:I119)="COCOCHO")*('MARZO 2026'!K6:K119="GASOLINA")*'MARZO 2026'!L6:L119*'MARZO 2026'!M6:M119),0)</f>
        <v/>
      </c>
      <c r="G52" s="194" t="n"/>
      <c r="H52" s="194" t="n"/>
      <c r="I52" s="194" t="n"/>
      <c r="J52" s="194" t="n"/>
      <c r="K52" s="194" t="n"/>
      <c r="L52" s="194" t="n"/>
      <c r="M52" s="194" t="n"/>
      <c r="N52" s="194" t="n"/>
      <c r="O52" s="194" t="n"/>
      <c r="P52" s="194" t="n"/>
      <c r="Q52" s="194" t="n"/>
      <c r="R52" s="194" t="n"/>
      <c r="S52" s="194" t="n"/>
      <c r="T52" s="194" t="n"/>
      <c r="U52" s="194" t="n"/>
      <c r="V52" s="194" t="n"/>
      <c r="W52" s="194" t="n"/>
      <c r="X52" s="194" t="n"/>
      <c r="Y52" s="194" t="n"/>
      <c r="Z52" s="194" t="n"/>
    </row>
    <row r="53" ht="15" customHeight="1" s="195">
      <c r="A53" s="194" t="inlineStr">
        <is>
          <t>COCOCHO</t>
        </is>
      </c>
      <c r="B53" s="194" t="inlineStr">
        <is>
          <t>ABRIL 2026</t>
        </is>
      </c>
      <c r="C53" s="377">
        <f>IFERROR(SUMPRODUCT((IF('ABRIL 2026'!Y6:Y119&lt;&gt;"",'ABRIL 2026'!Y6:Y119,'ABRIL 2026'!I6:I119)="COCOCHO")*('ABRIL 2026'!K6:K119="PETROLEO")*'ABRIL 2026'!M6:M119),0)</f>
        <v/>
      </c>
      <c r="D53" s="377">
        <f>IFERROR(SUMPRODUCT((IF('ABRIL 2026'!Y6:Y119&lt;&gt;"",'ABRIL 2026'!Y6:Y119,'ABRIL 2026'!I6:I119)="COCOCHO")*('ABRIL 2026'!K6:K119="PETROLEO")*'ABRIL 2026'!L6:L119*'ABRIL 2026'!M6:M119),0)</f>
        <v/>
      </c>
      <c r="E53" s="377">
        <f>IFERROR(SUMPRODUCT((IF('ABRIL 2026'!Y6:Y119&lt;&gt;"",'ABRIL 2026'!Y6:Y119,'ABRIL 2026'!I6:I119)="COCOCHO")*('ABRIL 2026'!K6:K119="GASOLINA")*'ABRIL 2026'!M6:M119),0)</f>
        <v/>
      </c>
      <c r="F53" s="377">
        <f>IFERROR(SUMPRODUCT((IF('ABRIL 2026'!Y6:Y119&lt;&gt;"",'ABRIL 2026'!Y6:Y119,'ABRIL 2026'!I6:I119)="COCOCHO")*('ABRIL 2026'!K6:K119="GASOLINA")*'ABRIL 2026'!L6:L119*'ABRIL 2026'!M6:M119),0)</f>
        <v/>
      </c>
      <c r="G53" s="194" t="n"/>
      <c r="H53" s="194" t="n"/>
      <c r="I53" s="194" t="n"/>
      <c r="J53" s="194" t="n"/>
      <c r="K53" s="194" t="n"/>
      <c r="L53" s="194" t="n"/>
      <c r="M53" s="194" t="n"/>
      <c r="N53" s="194" t="n"/>
      <c r="O53" s="194" t="n"/>
      <c r="P53" s="194" t="n"/>
      <c r="Q53" s="194" t="n"/>
      <c r="R53" s="194" t="n"/>
      <c r="S53" s="194" t="n"/>
      <c r="T53" s="194" t="n"/>
      <c r="U53" s="194" t="n"/>
      <c r="V53" s="194" t="n"/>
      <c r="W53" s="194" t="n"/>
      <c r="X53" s="194" t="n"/>
      <c r="Y53" s="194" t="n"/>
      <c r="Z53" s="194" t="n"/>
    </row>
    <row r="54" ht="15" customHeight="1" s="195">
      <c r="A54" s="194" t="inlineStr">
        <is>
          <t>COCOCHO</t>
        </is>
      </c>
      <c r="B54" s="194" t="inlineStr">
        <is>
          <t>MAYO 2026</t>
        </is>
      </c>
      <c r="C54" s="377">
        <f>IFERROR(SUMPRODUCT((IF('MAYO 2026'!Y6:Y110&lt;&gt;"",'MAYO 2026'!Y6:Y110,'MAYO 2026'!I6:I110)="COCOCHO")*('MAYO 2026'!K6:K110="PETROLEO")*'MAYO 2026'!M6:M110),0)</f>
        <v/>
      </c>
      <c r="D54" s="377">
        <f>IFERROR(SUMPRODUCT((IF('MAYO 2026'!Y6:Y110&lt;&gt;"",'MAYO 2026'!Y6:Y110,'MAYO 2026'!I6:I110)="COCOCHO")*('MAYO 2026'!K6:K110="PETROLEO")*'MAYO 2026'!L6:L110*'MAYO 2026'!M6:M110),0)</f>
        <v/>
      </c>
      <c r="E54" s="377">
        <f>IFERROR(SUMPRODUCT((IF('MAYO 2026'!Y6:Y110&lt;&gt;"",'MAYO 2026'!Y6:Y110,'MAYO 2026'!I6:I110)="COCOCHO")*('MAYO 2026'!K6:K110="GASOLINA")*'MAYO 2026'!M6:M110),0)</f>
        <v/>
      </c>
      <c r="F54" s="377">
        <f>IFERROR(SUMPRODUCT((IF('MAYO 2026'!Y6:Y110&lt;&gt;"",'MAYO 2026'!Y6:Y110,'MAYO 2026'!I6:I110)="COCOCHO")*('MAYO 2026'!K6:K110="GASOLINA")*'MAYO 2026'!L6:L110*'MAYO 2026'!M6:M110),0)</f>
        <v/>
      </c>
      <c r="G54" s="194" t="n"/>
      <c r="H54" s="194" t="n"/>
      <c r="I54" s="194" t="n"/>
      <c r="J54" s="194" t="n"/>
      <c r="K54" s="194" t="n"/>
      <c r="L54" s="194" t="n"/>
      <c r="M54" s="194" t="n"/>
      <c r="N54" s="194" t="n"/>
      <c r="O54" s="194" t="n"/>
      <c r="P54" s="194" t="n"/>
      <c r="Q54" s="194" t="n"/>
      <c r="R54" s="194" t="n"/>
      <c r="S54" s="194" t="n"/>
      <c r="T54" s="194" t="n"/>
      <c r="U54" s="194" t="n"/>
      <c r="V54" s="194" t="n"/>
      <c r="W54" s="194" t="n"/>
      <c r="X54" s="194" t="n"/>
      <c r="Y54" s="194" t="n"/>
      <c r="Z54" s="194" t="n"/>
    </row>
    <row r="55" ht="15" customHeight="1" s="195">
      <c r="A55" s="194" t="inlineStr">
        <is>
          <t>COCOCHO</t>
        </is>
      </c>
      <c r="B55" s="194" t="inlineStr">
        <is>
          <t>JUNIO 2026</t>
        </is>
      </c>
      <c r="C55" s="377">
        <f>IFERROR(SUMPRODUCT((IF('JUNIO 2026'!Y6:Y110&lt;&gt;"",'JUNIO 2026'!Y6:Y110,'JUNIO 2026'!I6:I110)="COCOCHO")*('JUNIO 2026'!K6:K110="PETROLEO")*'JUNIO 2026'!M6:M110),0)</f>
        <v/>
      </c>
      <c r="D55" s="377">
        <f>IFERROR(SUMPRODUCT((IF('JUNIO 2026'!Y6:Y110&lt;&gt;"",'JUNIO 2026'!Y6:Y110,'JUNIO 2026'!I6:I110)="COCOCHO")*('JUNIO 2026'!K6:K110="PETROLEO")*'JUNIO 2026'!L6:L110*'JUNIO 2026'!M6:M110),0)</f>
        <v/>
      </c>
      <c r="E55" s="377">
        <f>IFERROR(SUMPRODUCT((IF('JUNIO 2026'!Y6:Y110&lt;&gt;"",'JUNIO 2026'!Y6:Y110,'JUNIO 2026'!I6:I110)="COCOCHO")*('JUNIO 2026'!K6:K110="GASOLINA")*'JUNIO 2026'!M6:M110),0)</f>
        <v/>
      </c>
      <c r="F55" s="377">
        <f>IFERROR(SUMPRODUCT((IF('JUNIO 2026'!Y6:Y110&lt;&gt;"",'JUNIO 2026'!Y6:Y110,'JUNIO 2026'!I6:I110)="COCOCHO")*('JUNIO 2026'!K6:K110="GASOLINA")*'JUNIO 2026'!L6:L110*'JUNIO 2026'!M6:M110),0)</f>
        <v/>
      </c>
      <c r="G55" s="194" t="n"/>
      <c r="H55" s="194" t="n"/>
      <c r="I55" s="194" t="n"/>
      <c r="J55" s="194" t="n"/>
      <c r="K55" s="194" t="n"/>
      <c r="L55" s="194" t="n"/>
      <c r="M55" s="194" t="n"/>
      <c r="N55" s="194" t="n"/>
      <c r="O55" s="194" t="n"/>
      <c r="P55" s="194" t="n"/>
      <c r="Q55" s="194" t="n"/>
      <c r="R55" s="194" t="n"/>
      <c r="S55" s="194" t="n"/>
      <c r="T55" s="194" t="n"/>
      <c r="U55" s="194" t="n"/>
      <c r="V55" s="194" t="n"/>
      <c r="W55" s="194" t="n"/>
      <c r="X55" s="194" t="n"/>
      <c r="Y55" s="194" t="n"/>
      <c r="Z55" s="194" t="n"/>
    </row>
    <row r="56" ht="15" customHeight="1" s="195">
      <c r="A56" s="194" t="inlineStr">
        <is>
          <t>COCOCHO</t>
        </is>
      </c>
      <c r="B56" s="194" t="inlineStr">
        <is>
          <t>JULIO 2026</t>
        </is>
      </c>
      <c r="C56" s="377">
        <f>IFERROR(SUMPRODUCT((IF('JULIO 2026'!Y6:Y110&lt;&gt;"",'JULIO 2026'!Y6:Y110,'JULIO 2026'!I6:I110)="COCOCHO")*('JULIO 2026'!K6:K110="PETROLEO")*'JULIO 2026'!M6:M110),0)</f>
        <v/>
      </c>
      <c r="D56" s="377">
        <f>IFERROR(SUMPRODUCT((IF('JULIO 2026'!Y6:Y110&lt;&gt;"",'JULIO 2026'!Y6:Y110,'JULIO 2026'!I6:I110)="COCOCHO")*('JULIO 2026'!K6:K110="PETROLEO")*'JULIO 2026'!L6:L110*'JULIO 2026'!M6:M110),0)</f>
        <v/>
      </c>
      <c r="E56" s="377">
        <f>IFERROR(SUMPRODUCT((IF('JULIO 2026'!Y6:Y110&lt;&gt;"",'JULIO 2026'!Y6:Y110,'JULIO 2026'!I6:I110)="COCOCHO")*('JULIO 2026'!K6:K110="GASOLINA")*'JULIO 2026'!M6:M110),0)</f>
        <v/>
      </c>
      <c r="F56" s="377">
        <f>IFERROR(SUMPRODUCT((IF('JULIO 2026'!Y6:Y110&lt;&gt;"",'JULIO 2026'!Y6:Y110,'JULIO 2026'!I6:I110)="COCOCHO")*('JULIO 2026'!K6:K110="GASOLINA")*'JULIO 2026'!L6:L110*'JULIO 2026'!M6:M110),0)</f>
        <v/>
      </c>
      <c r="G56" s="194" t="n"/>
      <c r="H56" s="194" t="n"/>
      <c r="I56" s="194" t="n"/>
      <c r="J56" s="194" t="n"/>
      <c r="K56" s="194" t="n"/>
      <c r="L56" s="194" t="n"/>
      <c r="M56" s="194" t="n"/>
      <c r="N56" s="194" t="n"/>
      <c r="O56" s="194" t="n"/>
      <c r="P56" s="194" t="n"/>
      <c r="Q56" s="194" t="n"/>
      <c r="R56" s="194" t="n"/>
      <c r="S56" s="194" t="n"/>
      <c r="T56" s="194" t="n"/>
      <c r="U56" s="194" t="n"/>
      <c r="V56" s="194" t="n"/>
      <c r="W56" s="194" t="n"/>
      <c r="X56" s="194" t="n"/>
      <c r="Y56" s="194" t="n"/>
      <c r="Z56" s="194" t="n"/>
    </row>
    <row r="57" ht="15" customHeight="1" s="195">
      <c r="A57" s="194" t="inlineStr">
        <is>
          <t>COCOCHO</t>
        </is>
      </c>
      <c r="B57" s="194" t="inlineStr">
        <is>
          <t>AGOSTO 2026</t>
        </is>
      </c>
      <c r="C57" s="377">
        <f>IFERROR(SUMPRODUCT((IF('AGOSTO 2026'!Y6:Y110&lt;&gt;"",'AGOSTO 2026'!Y6:Y110,'AGOSTO 2026'!I6:I110)="COCOCHO")*('AGOSTO 2026'!K6:K110="PETROLEO")*'AGOSTO 2026'!M6:M110),0)</f>
        <v/>
      </c>
      <c r="D57" s="377">
        <f>IFERROR(SUMPRODUCT((IF('AGOSTO 2026'!Y6:Y110&lt;&gt;"",'AGOSTO 2026'!Y6:Y110,'AGOSTO 2026'!I6:I110)="COCOCHO")*('AGOSTO 2026'!K6:K110="PETROLEO")*'AGOSTO 2026'!L6:L110*'AGOSTO 2026'!M6:M110),0)</f>
        <v/>
      </c>
      <c r="E57" s="377">
        <f>IFERROR(SUMPRODUCT((IF('AGOSTO 2026'!Y6:Y110&lt;&gt;"",'AGOSTO 2026'!Y6:Y110,'AGOSTO 2026'!I6:I110)="COCOCHO")*('AGOSTO 2026'!K6:K110="GASOLINA")*'AGOSTO 2026'!M6:M110),0)</f>
        <v/>
      </c>
      <c r="F57" s="377">
        <f>IFERROR(SUMPRODUCT((IF('AGOSTO 2026'!Y6:Y110&lt;&gt;"",'AGOSTO 2026'!Y6:Y110,'AGOSTO 2026'!I6:I110)="COCOCHO")*('AGOSTO 2026'!K6:K110="GASOLINA")*'AGOSTO 2026'!L6:L110*'AGOSTO 2026'!M6:M110),0)</f>
        <v/>
      </c>
      <c r="G57" s="194" t="n"/>
      <c r="H57" s="194" t="n"/>
      <c r="I57" s="194" t="n"/>
      <c r="J57" s="194" t="n"/>
      <c r="K57" s="194" t="n"/>
      <c r="L57" s="194" t="n"/>
      <c r="M57" s="194" t="n"/>
      <c r="N57" s="194" t="n"/>
      <c r="O57" s="194" t="n"/>
      <c r="P57" s="194" t="n"/>
      <c r="Q57" s="194" t="n"/>
      <c r="R57" s="194" t="n"/>
      <c r="S57" s="194" t="n"/>
      <c r="T57" s="194" t="n"/>
      <c r="U57" s="194" t="n"/>
      <c r="V57" s="194" t="n"/>
      <c r="W57" s="194" t="n"/>
      <c r="X57" s="194" t="n"/>
      <c r="Y57" s="194" t="n"/>
      <c r="Z57" s="194" t="n"/>
    </row>
    <row r="58" ht="15" customHeight="1" s="195">
      <c r="A58" s="194" t="inlineStr">
        <is>
          <t>COCOCHO</t>
        </is>
      </c>
      <c r="B58" s="194" t="inlineStr">
        <is>
          <t>SETIEMBRE 2026</t>
        </is>
      </c>
      <c r="C58" s="377">
        <f>IFERROR(SUMPRODUCT((IF('SETIEMBRE 2026'!Y6:Y110&lt;&gt;"",'SETIEMBRE 2026'!Y6:Y110,'SETIEMBRE 2026'!I6:I110)="COCOCHO")*('SETIEMBRE 2026'!K6:K110="PETROLEO")*'SETIEMBRE 2026'!M6:M110),0)</f>
        <v/>
      </c>
      <c r="D58" s="377">
        <f>IFERROR(SUMPRODUCT((IF('SETIEMBRE 2026'!Y6:Y110&lt;&gt;"",'SETIEMBRE 2026'!Y6:Y110,'SETIEMBRE 2026'!I6:I110)="COCOCHO")*('SETIEMBRE 2026'!K6:K110="PETROLEO")*'SETIEMBRE 2026'!L6:L110*'SETIEMBRE 2026'!M6:M110),0)</f>
        <v/>
      </c>
      <c r="E58" s="377">
        <f>IFERROR(SUMPRODUCT((IF('SETIEMBRE 2026'!Y6:Y110&lt;&gt;"",'SETIEMBRE 2026'!Y6:Y110,'SETIEMBRE 2026'!I6:I110)="COCOCHO")*('SETIEMBRE 2026'!K6:K110="GASOLINA")*'SETIEMBRE 2026'!M6:M110),0)</f>
        <v/>
      </c>
      <c r="F58" s="377">
        <f>IFERROR(SUMPRODUCT((IF('SETIEMBRE 2026'!Y6:Y110&lt;&gt;"",'SETIEMBRE 2026'!Y6:Y110,'SETIEMBRE 2026'!I6:I110)="COCOCHO")*('SETIEMBRE 2026'!K6:K110="GASOLINA")*'SETIEMBRE 2026'!L6:L110*'SETIEMBRE 2026'!M6:M110),0)</f>
        <v/>
      </c>
      <c r="G58" s="194" t="n"/>
      <c r="H58" s="194" t="n"/>
      <c r="I58" s="194" t="n"/>
      <c r="J58" s="194" t="n"/>
      <c r="K58" s="194" t="n"/>
      <c r="L58" s="194" t="n"/>
      <c r="M58" s="194" t="n"/>
      <c r="N58" s="194" t="n"/>
      <c r="O58" s="194" t="n"/>
      <c r="P58" s="194" t="n"/>
      <c r="Q58" s="194" t="n"/>
      <c r="R58" s="194" t="n"/>
      <c r="S58" s="194" t="n"/>
      <c r="T58" s="194" t="n"/>
      <c r="U58" s="194" t="n"/>
      <c r="V58" s="194" t="n"/>
      <c r="W58" s="194" t="n"/>
      <c r="X58" s="194" t="n"/>
      <c r="Y58" s="194" t="n"/>
      <c r="Z58" s="194" t="n"/>
    </row>
    <row r="59" ht="15" customHeight="1" s="195">
      <c r="A59" s="194" t="inlineStr">
        <is>
          <t>COCOCHO</t>
        </is>
      </c>
      <c r="B59" s="194" t="inlineStr">
        <is>
          <t>OCTUBRE 2026</t>
        </is>
      </c>
      <c r="C59" s="377">
        <f>IFERROR(SUMPRODUCT((IF('OCTUBRE 2026'!Y6:Y110&lt;&gt;"",'OCTUBRE 2026'!Y6:Y110,'OCTUBRE 2026'!I6:I110)="COCOCHO")*('OCTUBRE 2026'!K6:K110="PETROLEO")*'OCTUBRE 2026'!M6:M110),0)</f>
        <v/>
      </c>
      <c r="D59" s="377">
        <f>IFERROR(SUMPRODUCT((IF('OCTUBRE 2026'!Y6:Y110&lt;&gt;"",'OCTUBRE 2026'!Y6:Y110,'OCTUBRE 2026'!I6:I110)="COCOCHO")*('OCTUBRE 2026'!K6:K110="PETROLEO")*'OCTUBRE 2026'!L6:L110*'OCTUBRE 2026'!M6:M110),0)</f>
        <v/>
      </c>
      <c r="E59" s="377">
        <f>IFERROR(SUMPRODUCT((IF('OCTUBRE 2026'!Y6:Y110&lt;&gt;"",'OCTUBRE 2026'!Y6:Y110,'OCTUBRE 2026'!I6:I110)="COCOCHO")*('OCTUBRE 2026'!K6:K110="GASOLINA")*'OCTUBRE 2026'!M6:M110),0)</f>
        <v/>
      </c>
      <c r="F59" s="377">
        <f>IFERROR(SUMPRODUCT((IF('OCTUBRE 2026'!Y6:Y110&lt;&gt;"",'OCTUBRE 2026'!Y6:Y110,'OCTUBRE 2026'!I6:I110)="COCOCHO")*('OCTUBRE 2026'!K6:K110="GASOLINA")*'OCTUBRE 2026'!L6:L110*'OCTUBRE 2026'!M6:M110),0)</f>
        <v/>
      </c>
      <c r="G59" s="194" t="n"/>
      <c r="H59" s="194" t="n"/>
      <c r="I59" s="194" t="n"/>
      <c r="J59" s="194" t="n"/>
      <c r="K59" s="194" t="n"/>
      <c r="L59" s="194" t="n"/>
      <c r="M59" s="194" t="n"/>
      <c r="N59" s="194" t="n"/>
      <c r="O59" s="194" t="n"/>
      <c r="P59" s="194" t="n"/>
      <c r="Q59" s="194" t="n"/>
      <c r="R59" s="194" t="n"/>
      <c r="S59" s="194" t="n"/>
      <c r="T59" s="194" t="n"/>
      <c r="U59" s="194" t="n"/>
      <c r="V59" s="194" t="n"/>
      <c r="W59" s="194" t="n"/>
      <c r="X59" s="194" t="n"/>
      <c r="Y59" s="194" t="n"/>
      <c r="Z59" s="194" t="n"/>
    </row>
    <row r="60" ht="15" customHeight="1" s="195">
      <c r="A60" s="194" t="inlineStr">
        <is>
          <t>COCOCHO</t>
        </is>
      </c>
      <c r="B60" s="194" t="inlineStr">
        <is>
          <t>NOVIEMBRE 2026</t>
        </is>
      </c>
      <c r="C60" s="377">
        <f>IFERROR(SUMPRODUCT((IF('NOVIEMBRE 2026'!Y6:Y110&lt;&gt;"",'NOVIEMBRE 2026'!Y6:Y110,'NOVIEMBRE 2026'!I6:I110)="COCOCHO")*('NOVIEMBRE 2026'!K6:K110="PETROLEO")*'NOVIEMBRE 2026'!M6:M110),0)</f>
        <v/>
      </c>
      <c r="D60" s="377">
        <f>IFERROR(SUMPRODUCT((IF('NOVIEMBRE 2026'!Y6:Y110&lt;&gt;"",'NOVIEMBRE 2026'!Y6:Y110,'NOVIEMBRE 2026'!I6:I110)="COCOCHO")*('NOVIEMBRE 2026'!K6:K110="PETROLEO")*'NOVIEMBRE 2026'!L6:L110*'NOVIEMBRE 2026'!M6:M110),0)</f>
        <v/>
      </c>
      <c r="E60" s="377">
        <f>IFERROR(SUMPRODUCT((IF('NOVIEMBRE 2026'!Y6:Y110&lt;&gt;"",'NOVIEMBRE 2026'!Y6:Y110,'NOVIEMBRE 2026'!I6:I110)="COCOCHO")*('NOVIEMBRE 2026'!K6:K110="GASOLINA")*'NOVIEMBRE 2026'!M6:M110),0)</f>
        <v/>
      </c>
      <c r="F60" s="377">
        <f>IFERROR(SUMPRODUCT((IF('NOVIEMBRE 2026'!Y6:Y110&lt;&gt;"",'NOVIEMBRE 2026'!Y6:Y110,'NOVIEMBRE 2026'!I6:I110)="COCOCHO")*('NOVIEMBRE 2026'!K6:K110="GASOLINA")*'NOVIEMBRE 2026'!L6:L110*'NOVIEMBRE 2026'!M6:M110),0)</f>
        <v/>
      </c>
      <c r="G60" s="194" t="n"/>
      <c r="H60" s="194" t="n"/>
      <c r="I60" s="194" t="n"/>
      <c r="J60" s="194" t="n"/>
      <c r="K60" s="194" t="n"/>
      <c r="L60" s="194" t="n"/>
      <c r="M60" s="194" t="n"/>
      <c r="N60" s="194" t="n"/>
      <c r="O60" s="194" t="n"/>
      <c r="P60" s="194" t="n"/>
      <c r="Q60" s="194" t="n"/>
      <c r="R60" s="194" t="n"/>
      <c r="S60" s="194" t="n"/>
      <c r="T60" s="194" t="n"/>
      <c r="U60" s="194" t="n"/>
      <c r="V60" s="194" t="n"/>
      <c r="W60" s="194" t="n"/>
      <c r="X60" s="194" t="n"/>
      <c r="Y60" s="194" t="n"/>
      <c r="Z60" s="194" t="n"/>
    </row>
    <row r="61" ht="15" customHeight="1" s="195">
      <c r="A61" s="194" t="inlineStr">
        <is>
          <t>COCOCHO</t>
        </is>
      </c>
      <c r="B61" s="194" t="inlineStr">
        <is>
          <t>DICIEMBRE 2026</t>
        </is>
      </c>
      <c r="C61" s="377">
        <f>IFERROR(SUMPRODUCT((IF('DICIEMBRE 2026'!Y6:Y110&lt;&gt;"",'DICIEMBRE 2026'!Y6:Y110,'DICIEMBRE 2026'!I6:I110)="COCOCHO")*('DICIEMBRE 2026'!K6:K110="PETROLEO")*'DICIEMBRE 2026'!M6:M110),0)</f>
        <v/>
      </c>
      <c r="D61" s="377">
        <f>IFERROR(SUMPRODUCT((IF('DICIEMBRE 2026'!Y6:Y110&lt;&gt;"",'DICIEMBRE 2026'!Y6:Y110,'DICIEMBRE 2026'!I6:I110)="COCOCHO")*('DICIEMBRE 2026'!K6:K110="PETROLEO")*'DICIEMBRE 2026'!L6:L110*'DICIEMBRE 2026'!M6:M110),0)</f>
        <v/>
      </c>
      <c r="E61" s="377">
        <f>IFERROR(SUMPRODUCT((IF('DICIEMBRE 2026'!Y6:Y110&lt;&gt;"",'DICIEMBRE 2026'!Y6:Y110,'DICIEMBRE 2026'!I6:I110)="COCOCHO")*('DICIEMBRE 2026'!K6:K110="GASOLINA")*'DICIEMBRE 2026'!M6:M110),0)</f>
        <v/>
      </c>
      <c r="F61" s="377">
        <f>IFERROR(SUMPRODUCT((IF('DICIEMBRE 2026'!Y6:Y110&lt;&gt;"",'DICIEMBRE 2026'!Y6:Y110,'DICIEMBRE 2026'!I6:I110)="COCOCHO")*('DICIEMBRE 2026'!K6:K110="GASOLINA")*'DICIEMBRE 2026'!L6:L110*'DICIEMBRE 2026'!M6:M110),0)</f>
        <v/>
      </c>
      <c r="G61" s="194" t="n"/>
      <c r="H61" s="194" t="n"/>
      <c r="I61" s="194" t="n"/>
      <c r="J61" s="194" t="n"/>
      <c r="K61" s="194" t="n"/>
      <c r="L61" s="194" t="n"/>
      <c r="M61" s="194" t="n"/>
      <c r="N61" s="194" t="n"/>
      <c r="O61" s="194" t="n"/>
      <c r="P61" s="194" t="n"/>
      <c r="Q61" s="194" t="n"/>
      <c r="R61" s="194" t="n"/>
      <c r="S61" s="194" t="n"/>
      <c r="T61" s="194" t="n"/>
      <c r="U61" s="194" t="n"/>
      <c r="V61" s="194" t="n"/>
      <c r="W61" s="194" t="n"/>
      <c r="X61" s="194" t="n"/>
      <c r="Y61" s="194" t="n"/>
      <c r="Z61" s="194" t="n"/>
    </row>
    <row r="62" ht="15" customHeight="1" s="195">
      <c r="A62" s="194" t="inlineStr">
        <is>
          <t>COLCAMAR</t>
        </is>
      </c>
      <c r="B62" s="194" t="inlineStr">
        <is>
          <t>ENERO 2026</t>
        </is>
      </c>
      <c r="C62" s="377">
        <f>IFERROR(SUMPRODUCT((IF('ENERO 2026'!Y6:Y119&lt;&gt;"",'ENERO 2026'!Y6:Y119,'ENERO 2026'!I6:I119)="COLCAMAR")*('ENERO 2026'!K6:K119="PETROLEO")*'ENERO 2026'!M6:M119),0)</f>
        <v/>
      </c>
      <c r="D62" s="377">
        <f>IFERROR(SUMPRODUCT((IF('ENERO 2026'!Y6:Y119&lt;&gt;"",'ENERO 2026'!Y6:Y119,'ENERO 2026'!I6:I119)="COLCAMAR")*('ENERO 2026'!K6:K119="PETROLEO")*'ENERO 2026'!L6:L119*'ENERO 2026'!M6:M119),0)</f>
        <v/>
      </c>
      <c r="E62" s="377">
        <f>IFERROR(SUMPRODUCT((IF('ENERO 2026'!Y6:Y119&lt;&gt;"",'ENERO 2026'!Y6:Y119,'ENERO 2026'!I6:I119)="COLCAMAR")*('ENERO 2026'!K6:K119="GASOLINA")*'ENERO 2026'!M6:M119),0)</f>
        <v/>
      </c>
      <c r="F62" s="377">
        <f>IFERROR(SUMPRODUCT((IF('ENERO 2026'!Y6:Y119&lt;&gt;"",'ENERO 2026'!Y6:Y119,'ENERO 2026'!I6:I119)="COLCAMAR")*('ENERO 2026'!K6:K119="GASOLINA")*'ENERO 2026'!L6:L119*'ENERO 2026'!M6:M119),0)</f>
        <v/>
      </c>
      <c r="G62" s="194" t="n"/>
      <c r="H62" s="194" t="n"/>
      <c r="I62" s="194" t="n"/>
      <c r="J62" s="194" t="n"/>
      <c r="K62" s="194" t="n"/>
      <c r="L62" s="194" t="n"/>
      <c r="M62" s="194" t="n"/>
      <c r="N62" s="194" t="n"/>
      <c r="O62" s="194" t="n"/>
      <c r="P62" s="194" t="n"/>
      <c r="Q62" s="194" t="n"/>
      <c r="R62" s="194" t="n"/>
      <c r="S62" s="194" t="n"/>
      <c r="T62" s="194" t="n"/>
      <c r="U62" s="194" t="n"/>
      <c r="V62" s="194" t="n"/>
      <c r="W62" s="194" t="n"/>
      <c r="X62" s="194" t="n"/>
      <c r="Y62" s="194" t="n"/>
      <c r="Z62" s="194" t="n"/>
    </row>
    <row r="63" ht="15" customHeight="1" s="195">
      <c r="A63" s="194" t="inlineStr">
        <is>
          <t>COLCAMAR</t>
        </is>
      </c>
      <c r="B63" s="194" t="inlineStr">
        <is>
          <t>FEBRERO 2026</t>
        </is>
      </c>
      <c r="C63" s="377">
        <f>IFERROR(SUMPRODUCT((IF('FEBRERO 2026'!Y6:Y124&lt;&gt;"",'FEBRERO 2026'!Y6:Y124,'FEBRERO 2026'!I6:I124)="COLCAMAR")*('FEBRERO 2026'!K6:K124="PETROLEO")*'FEBRERO 2026'!M6:M124),0)</f>
        <v/>
      </c>
      <c r="D63" s="377">
        <f>IFERROR(SUMPRODUCT((IF('FEBRERO 2026'!Y6:Y124&lt;&gt;"",'FEBRERO 2026'!Y6:Y124,'FEBRERO 2026'!I6:I124)="COLCAMAR")*('FEBRERO 2026'!K6:K124="PETROLEO")*'FEBRERO 2026'!L6:L124*'FEBRERO 2026'!M6:M124),0)</f>
        <v/>
      </c>
      <c r="E63" s="377">
        <f>IFERROR(SUMPRODUCT((IF('FEBRERO 2026'!Y6:Y124&lt;&gt;"",'FEBRERO 2026'!Y6:Y124,'FEBRERO 2026'!I6:I124)="COLCAMAR")*('FEBRERO 2026'!K6:K124="GASOLINA")*'FEBRERO 2026'!M6:M124),0)</f>
        <v/>
      </c>
      <c r="F63" s="377">
        <f>IFERROR(SUMPRODUCT((IF('FEBRERO 2026'!Y6:Y124&lt;&gt;"",'FEBRERO 2026'!Y6:Y124,'FEBRERO 2026'!I6:I124)="COLCAMAR")*('FEBRERO 2026'!K6:K124="GASOLINA")*'FEBRERO 2026'!L6:L124*'FEBRERO 2026'!M6:M124),0)</f>
        <v/>
      </c>
      <c r="G63" s="194" t="n"/>
      <c r="H63" s="194" t="n"/>
      <c r="I63" s="194" t="n"/>
      <c r="J63" s="194" t="n"/>
      <c r="K63" s="194" t="n"/>
      <c r="L63" s="194" t="n"/>
      <c r="M63" s="194" t="n"/>
      <c r="N63" s="194" t="n"/>
      <c r="O63" s="194" t="n"/>
      <c r="P63" s="194" t="n"/>
      <c r="Q63" s="194" t="n"/>
      <c r="R63" s="194" t="n"/>
      <c r="S63" s="194" t="n"/>
      <c r="T63" s="194" t="n"/>
      <c r="U63" s="194" t="n"/>
      <c r="V63" s="194" t="n"/>
      <c r="W63" s="194" t="n"/>
      <c r="X63" s="194" t="n"/>
      <c r="Y63" s="194" t="n"/>
      <c r="Z63" s="194" t="n"/>
    </row>
    <row r="64" ht="15" customHeight="1" s="195">
      <c r="A64" s="194" t="inlineStr">
        <is>
          <t>COLCAMAR</t>
        </is>
      </c>
      <c r="B64" s="194" t="inlineStr">
        <is>
          <t>MARZO 2026</t>
        </is>
      </c>
      <c r="C64" s="377">
        <f>IFERROR(SUMPRODUCT((IF('MARZO 2026'!Y6:Y119&lt;&gt;"",'MARZO 2026'!Y6:Y119,'MARZO 2026'!I6:I119)="COLCAMAR")*('MARZO 2026'!K6:K119="PETROLEO")*'MARZO 2026'!M6:M119),0)</f>
        <v/>
      </c>
      <c r="D64" s="377">
        <f>IFERROR(SUMPRODUCT((IF('MARZO 2026'!Y6:Y119&lt;&gt;"",'MARZO 2026'!Y6:Y119,'MARZO 2026'!I6:I119)="COLCAMAR")*('MARZO 2026'!K6:K119="PETROLEO")*'MARZO 2026'!L6:L119*'MARZO 2026'!M6:M119),0)</f>
        <v/>
      </c>
      <c r="E64" s="377">
        <f>IFERROR(SUMPRODUCT((IF('MARZO 2026'!Y6:Y119&lt;&gt;"",'MARZO 2026'!Y6:Y119,'MARZO 2026'!I6:I119)="COLCAMAR")*('MARZO 2026'!K6:K119="GASOLINA")*'MARZO 2026'!M6:M119),0)</f>
        <v/>
      </c>
      <c r="F64" s="377">
        <f>IFERROR(SUMPRODUCT((IF('MARZO 2026'!Y6:Y119&lt;&gt;"",'MARZO 2026'!Y6:Y119,'MARZO 2026'!I6:I119)="COLCAMAR")*('MARZO 2026'!K6:K119="GASOLINA")*'MARZO 2026'!L6:L119*'MARZO 2026'!M6:M119),0)</f>
        <v/>
      </c>
      <c r="G64" s="194" t="n"/>
      <c r="H64" s="194" t="n"/>
      <c r="I64" s="194" t="n"/>
      <c r="J64" s="194" t="n"/>
      <c r="K64" s="194" t="n"/>
      <c r="L64" s="194" t="n"/>
      <c r="M64" s="194" t="n"/>
      <c r="N64" s="194" t="n"/>
      <c r="O64" s="194" t="n"/>
      <c r="P64" s="194" t="n"/>
      <c r="Q64" s="194" t="n"/>
      <c r="R64" s="194" t="n"/>
      <c r="S64" s="194" t="n"/>
      <c r="T64" s="194" t="n"/>
      <c r="U64" s="194" t="n"/>
      <c r="V64" s="194" t="n"/>
      <c r="W64" s="194" t="n"/>
      <c r="X64" s="194" t="n"/>
      <c r="Y64" s="194" t="n"/>
      <c r="Z64" s="194" t="n"/>
    </row>
    <row r="65" ht="15" customHeight="1" s="195">
      <c r="A65" s="194" t="inlineStr">
        <is>
          <t>COLCAMAR</t>
        </is>
      </c>
      <c r="B65" s="194" t="inlineStr">
        <is>
          <t>ABRIL 2026</t>
        </is>
      </c>
      <c r="C65" s="377">
        <f>IFERROR(SUMPRODUCT((IF('ABRIL 2026'!Y6:Y119&lt;&gt;"",'ABRIL 2026'!Y6:Y119,'ABRIL 2026'!I6:I119)="COLCAMAR")*('ABRIL 2026'!K6:K119="PETROLEO")*'ABRIL 2026'!M6:M119),0)</f>
        <v/>
      </c>
      <c r="D65" s="377">
        <f>IFERROR(SUMPRODUCT((IF('ABRIL 2026'!Y6:Y119&lt;&gt;"",'ABRIL 2026'!Y6:Y119,'ABRIL 2026'!I6:I119)="COLCAMAR")*('ABRIL 2026'!K6:K119="PETROLEO")*'ABRIL 2026'!L6:L119*'ABRIL 2026'!M6:M119),0)</f>
        <v/>
      </c>
      <c r="E65" s="377">
        <f>IFERROR(SUMPRODUCT((IF('ABRIL 2026'!Y6:Y119&lt;&gt;"",'ABRIL 2026'!Y6:Y119,'ABRIL 2026'!I6:I119)="COLCAMAR")*('ABRIL 2026'!K6:K119="GASOLINA")*'ABRIL 2026'!M6:M119),0)</f>
        <v/>
      </c>
      <c r="F65" s="377">
        <f>IFERROR(SUMPRODUCT((IF('ABRIL 2026'!Y6:Y119&lt;&gt;"",'ABRIL 2026'!Y6:Y119,'ABRIL 2026'!I6:I119)="COLCAMAR")*('ABRIL 2026'!K6:K119="GASOLINA")*'ABRIL 2026'!L6:L119*'ABRIL 2026'!M6:M119),0)</f>
        <v/>
      </c>
      <c r="G65" s="194" t="n"/>
      <c r="H65" s="194" t="n"/>
      <c r="I65" s="194" t="n"/>
      <c r="J65" s="194" t="n"/>
      <c r="K65" s="194" t="n"/>
      <c r="L65" s="194" t="n"/>
      <c r="M65" s="194" t="n"/>
      <c r="N65" s="194" t="n"/>
      <c r="O65" s="194" t="n"/>
      <c r="P65" s="194" t="n"/>
      <c r="Q65" s="194" t="n"/>
      <c r="R65" s="194" t="n"/>
      <c r="S65" s="194" t="n"/>
      <c r="T65" s="194" t="n"/>
      <c r="U65" s="194" t="n"/>
      <c r="V65" s="194" t="n"/>
      <c r="W65" s="194" t="n"/>
      <c r="X65" s="194" t="n"/>
      <c r="Y65" s="194" t="n"/>
      <c r="Z65" s="194" t="n"/>
    </row>
    <row r="66" ht="15" customHeight="1" s="195">
      <c r="A66" s="194" t="inlineStr">
        <is>
          <t>COLCAMAR</t>
        </is>
      </c>
      <c r="B66" s="194" t="inlineStr">
        <is>
          <t>MAYO 2026</t>
        </is>
      </c>
      <c r="C66" s="377">
        <f>IFERROR(SUMPRODUCT((IF('MAYO 2026'!Y6:Y110&lt;&gt;"",'MAYO 2026'!Y6:Y110,'MAYO 2026'!I6:I110)="COLCAMAR")*('MAYO 2026'!K6:K110="PETROLEO")*'MAYO 2026'!M6:M110),0)</f>
        <v/>
      </c>
      <c r="D66" s="377">
        <f>IFERROR(SUMPRODUCT((IF('MAYO 2026'!Y6:Y110&lt;&gt;"",'MAYO 2026'!Y6:Y110,'MAYO 2026'!I6:I110)="COLCAMAR")*('MAYO 2026'!K6:K110="PETROLEO")*'MAYO 2026'!L6:L110*'MAYO 2026'!M6:M110),0)</f>
        <v/>
      </c>
      <c r="E66" s="377">
        <f>IFERROR(SUMPRODUCT((IF('MAYO 2026'!Y6:Y110&lt;&gt;"",'MAYO 2026'!Y6:Y110,'MAYO 2026'!I6:I110)="COLCAMAR")*('MAYO 2026'!K6:K110="GASOLINA")*'MAYO 2026'!M6:M110),0)</f>
        <v/>
      </c>
      <c r="F66" s="377">
        <f>IFERROR(SUMPRODUCT((IF('MAYO 2026'!Y6:Y110&lt;&gt;"",'MAYO 2026'!Y6:Y110,'MAYO 2026'!I6:I110)="COLCAMAR")*('MAYO 2026'!K6:K110="GASOLINA")*'MAYO 2026'!L6:L110*'MAYO 2026'!M6:M110),0)</f>
        <v/>
      </c>
      <c r="G66" s="194" t="n"/>
      <c r="H66" s="194" t="n"/>
      <c r="I66" s="194" t="n"/>
      <c r="J66" s="194" t="n"/>
      <c r="K66" s="194" t="n"/>
      <c r="L66" s="194" t="n"/>
      <c r="M66" s="194" t="n"/>
      <c r="N66" s="194" t="n"/>
      <c r="O66" s="194" t="n"/>
      <c r="P66" s="194" t="n"/>
      <c r="Q66" s="194" t="n"/>
      <c r="R66" s="194" t="n"/>
      <c r="S66" s="194" t="n"/>
      <c r="T66" s="194" t="n"/>
      <c r="U66" s="194" t="n"/>
      <c r="V66" s="194" t="n"/>
      <c r="W66" s="194" t="n"/>
      <c r="X66" s="194" t="n"/>
      <c r="Y66" s="194" t="n"/>
      <c r="Z66" s="194" t="n"/>
    </row>
    <row r="67" ht="15" customHeight="1" s="195">
      <c r="A67" s="194" t="inlineStr">
        <is>
          <t>COLCAMAR</t>
        </is>
      </c>
      <c r="B67" s="194" t="inlineStr">
        <is>
          <t>JUNIO 2026</t>
        </is>
      </c>
      <c r="C67" s="377">
        <f>IFERROR(SUMPRODUCT((IF('JUNIO 2026'!Y6:Y110&lt;&gt;"",'JUNIO 2026'!Y6:Y110,'JUNIO 2026'!I6:I110)="COLCAMAR")*('JUNIO 2026'!K6:K110="PETROLEO")*'JUNIO 2026'!M6:M110),0)</f>
        <v/>
      </c>
      <c r="D67" s="377">
        <f>IFERROR(SUMPRODUCT((IF('JUNIO 2026'!Y6:Y110&lt;&gt;"",'JUNIO 2026'!Y6:Y110,'JUNIO 2026'!I6:I110)="COLCAMAR")*('JUNIO 2026'!K6:K110="PETROLEO")*'JUNIO 2026'!L6:L110*'JUNIO 2026'!M6:M110),0)</f>
        <v/>
      </c>
      <c r="E67" s="377">
        <f>IFERROR(SUMPRODUCT((IF('JUNIO 2026'!Y6:Y110&lt;&gt;"",'JUNIO 2026'!Y6:Y110,'JUNIO 2026'!I6:I110)="COLCAMAR")*('JUNIO 2026'!K6:K110="GASOLINA")*'JUNIO 2026'!M6:M110),0)</f>
        <v/>
      </c>
      <c r="F67" s="377">
        <f>IFERROR(SUMPRODUCT((IF('JUNIO 2026'!Y6:Y110&lt;&gt;"",'JUNIO 2026'!Y6:Y110,'JUNIO 2026'!I6:I110)="COLCAMAR")*('JUNIO 2026'!K6:K110="GASOLINA")*'JUNIO 2026'!L6:L110*'JUNIO 2026'!M6:M110),0)</f>
        <v/>
      </c>
      <c r="G67" s="194" t="n"/>
      <c r="H67" s="194" t="n"/>
      <c r="I67" s="194" t="n"/>
      <c r="J67" s="194" t="n"/>
      <c r="K67" s="194" t="n"/>
      <c r="L67" s="194" t="n"/>
      <c r="M67" s="194" t="n"/>
      <c r="N67" s="194" t="n"/>
      <c r="O67" s="194" t="n"/>
      <c r="P67" s="194" t="n"/>
      <c r="Q67" s="194" t="n"/>
      <c r="R67" s="194" t="n"/>
      <c r="S67" s="194" t="n"/>
      <c r="T67" s="194" t="n"/>
      <c r="U67" s="194" t="n"/>
      <c r="V67" s="194" t="n"/>
      <c r="W67" s="194" t="n"/>
      <c r="X67" s="194" t="n"/>
      <c r="Y67" s="194" t="n"/>
      <c r="Z67" s="194" t="n"/>
    </row>
    <row r="68" ht="15" customHeight="1" s="195">
      <c r="A68" s="194" t="inlineStr">
        <is>
          <t>COLCAMAR</t>
        </is>
      </c>
      <c r="B68" s="194" t="inlineStr">
        <is>
          <t>JULIO 2026</t>
        </is>
      </c>
      <c r="C68" s="377">
        <f>IFERROR(SUMPRODUCT((IF('JULIO 2026'!Y6:Y110&lt;&gt;"",'JULIO 2026'!Y6:Y110,'JULIO 2026'!I6:I110)="COLCAMAR")*('JULIO 2026'!K6:K110="PETROLEO")*'JULIO 2026'!M6:M110),0)</f>
        <v/>
      </c>
      <c r="D68" s="377">
        <f>IFERROR(SUMPRODUCT((IF('JULIO 2026'!Y6:Y110&lt;&gt;"",'JULIO 2026'!Y6:Y110,'JULIO 2026'!I6:I110)="COLCAMAR")*('JULIO 2026'!K6:K110="PETROLEO")*'JULIO 2026'!L6:L110*'JULIO 2026'!M6:M110),0)</f>
        <v/>
      </c>
      <c r="E68" s="377">
        <f>IFERROR(SUMPRODUCT((IF('JULIO 2026'!Y6:Y110&lt;&gt;"",'JULIO 2026'!Y6:Y110,'JULIO 2026'!I6:I110)="COLCAMAR")*('JULIO 2026'!K6:K110="GASOLINA")*'JULIO 2026'!M6:M110),0)</f>
        <v/>
      </c>
      <c r="F68" s="377">
        <f>IFERROR(SUMPRODUCT((IF('JULIO 2026'!Y6:Y110&lt;&gt;"",'JULIO 2026'!Y6:Y110,'JULIO 2026'!I6:I110)="COLCAMAR")*('JULIO 2026'!K6:K110="GASOLINA")*'JULIO 2026'!L6:L110*'JULIO 2026'!M6:M110),0)</f>
        <v/>
      </c>
      <c r="G68" s="194" t="n"/>
      <c r="H68" s="194" t="n"/>
      <c r="I68" s="194" t="n"/>
      <c r="J68" s="194" t="n"/>
      <c r="K68" s="194" t="n"/>
      <c r="L68" s="194" t="n"/>
      <c r="M68" s="194" t="n"/>
      <c r="N68" s="194" t="n"/>
      <c r="O68" s="194" t="n"/>
      <c r="P68" s="194" t="n"/>
      <c r="Q68" s="194" t="n"/>
      <c r="R68" s="194" t="n"/>
      <c r="S68" s="194" t="n"/>
      <c r="T68" s="194" t="n"/>
      <c r="U68" s="194" t="n"/>
      <c r="V68" s="194" t="n"/>
      <c r="W68" s="194" t="n"/>
      <c r="X68" s="194" t="n"/>
      <c r="Y68" s="194" t="n"/>
      <c r="Z68" s="194" t="n"/>
    </row>
    <row r="69" ht="15" customHeight="1" s="195">
      <c r="A69" s="194" t="inlineStr">
        <is>
          <t>COLCAMAR</t>
        </is>
      </c>
      <c r="B69" s="194" t="inlineStr">
        <is>
          <t>AGOSTO 2026</t>
        </is>
      </c>
      <c r="C69" s="377">
        <f>IFERROR(SUMPRODUCT((IF('AGOSTO 2026'!Y6:Y110&lt;&gt;"",'AGOSTO 2026'!Y6:Y110,'AGOSTO 2026'!I6:I110)="COLCAMAR")*('AGOSTO 2026'!K6:K110="PETROLEO")*'AGOSTO 2026'!M6:M110),0)</f>
        <v/>
      </c>
      <c r="D69" s="377">
        <f>IFERROR(SUMPRODUCT((IF('AGOSTO 2026'!Y6:Y110&lt;&gt;"",'AGOSTO 2026'!Y6:Y110,'AGOSTO 2026'!I6:I110)="COLCAMAR")*('AGOSTO 2026'!K6:K110="PETROLEO")*'AGOSTO 2026'!L6:L110*'AGOSTO 2026'!M6:M110),0)</f>
        <v/>
      </c>
      <c r="E69" s="377">
        <f>IFERROR(SUMPRODUCT((IF('AGOSTO 2026'!Y6:Y110&lt;&gt;"",'AGOSTO 2026'!Y6:Y110,'AGOSTO 2026'!I6:I110)="COLCAMAR")*('AGOSTO 2026'!K6:K110="GASOLINA")*'AGOSTO 2026'!M6:M110),0)</f>
        <v/>
      </c>
      <c r="F69" s="377">
        <f>IFERROR(SUMPRODUCT((IF('AGOSTO 2026'!Y6:Y110&lt;&gt;"",'AGOSTO 2026'!Y6:Y110,'AGOSTO 2026'!I6:I110)="COLCAMAR")*('AGOSTO 2026'!K6:K110="GASOLINA")*'AGOSTO 2026'!L6:L110*'AGOSTO 2026'!M6:M110),0)</f>
        <v/>
      </c>
      <c r="G69" s="194" t="n"/>
      <c r="H69" s="194" t="n"/>
      <c r="I69" s="194" t="n"/>
      <c r="J69" s="194" t="n"/>
      <c r="K69" s="194" t="n"/>
      <c r="L69" s="194" t="n"/>
      <c r="M69" s="194" t="n"/>
      <c r="N69" s="194" t="n"/>
      <c r="O69" s="194" t="n"/>
      <c r="P69" s="194" t="n"/>
      <c r="Q69" s="194" t="n"/>
      <c r="R69" s="194" t="n"/>
      <c r="S69" s="194" t="n"/>
      <c r="T69" s="194" t="n"/>
      <c r="U69" s="194" t="n"/>
      <c r="V69" s="194" t="n"/>
      <c r="W69" s="194" t="n"/>
      <c r="X69" s="194" t="n"/>
      <c r="Y69" s="194" t="n"/>
      <c r="Z69" s="194" t="n"/>
    </row>
    <row r="70" ht="15" customHeight="1" s="195">
      <c r="A70" s="194" t="inlineStr">
        <is>
          <t>COLCAMAR</t>
        </is>
      </c>
      <c r="B70" s="194" t="inlineStr">
        <is>
          <t>SETIEMBRE 2026</t>
        </is>
      </c>
      <c r="C70" s="377">
        <f>IFERROR(SUMPRODUCT((IF('SETIEMBRE 2026'!Y6:Y110&lt;&gt;"",'SETIEMBRE 2026'!Y6:Y110,'SETIEMBRE 2026'!I6:I110)="COLCAMAR")*('SETIEMBRE 2026'!K6:K110="PETROLEO")*'SETIEMBRE 2026'!M6:M110),0)</f>
        <v/>
      </c>
      <c r="D70" s="377">
        <f>IFERROR(SUMPRODUCT((IF('SETIEMBRE 2026'!Y6:Y110&lt;&gt;"",'SETIEMBRE 2026'!Y6:Y110,'SETIEMBRE 2026'!I6:I110)="COLCAMAR")*('SETIEMBRE 2026'!K6:K110="PETROLEO")*'SETIEMBRE 2026'!L6:L110*'SETIEMBRE 2026'!M6:M110),0)</f>
        <v/>
      </c>
      <c r="E70" s="377">
        <f>IFERROR(SUMPRODUCT((IF('SETIEMBRE 2026'!Y6:Y110&lt;&gt;"",'SETIEMBRE 2026'!Y6:Y110,'SETIEMBRE 2026'!I6:I110)="COLCAMAR")*('SETIEMBRE 2026'!K6:K110="GASOLINA")*'SETIEMBRE 2026'!M6:M110),0)</f>
        <v/>
      </c>
      <c r="F70" s="377">
        <f>IFERROR(SUMPRODUCT((IF('SETIEMBRE 2026'!Y6:Y110&lt;&gt;"",'SETIEMBRE 2026'!Y6:Y110,'SETIEMBRE 2026'!I6:I110)="COLCAMAR")*('SETIEMBRE 2026'!K6:K110="GASOLINA")*'SETIEMBRE 2026'!L6:L110*'SETIEMBRE 2026'!M6:M110),0)</f>
        <v/>
      </c>
      <c r="G70" s="194" t="n"/>
      <c r="H70" s="194" t="n"/>
      <c r="I70" s="194" t="n"/>
      <c r="J70" s="194" t="n"/>
      <c r="K70" s="194" t="n"/>
      <c r="L70" s="194" t="n"/>
      <c r="M70" s="194" t="n"/>
      <c r="N70" s="194" t="n"/>
      <c r="O70" s="194" t="n"/>
      <c r="P70" s="194" t="n"/>
      <c r="Q70" s="194" t="n"/>
      <c r="R70" s="194" t="n"/>
      <c r="S70" s="194" t="n"/>
      <c r="T70" s="194" t="n"/>
      <c r="U70" s="194" t="n"/>
      <c r="V70" s="194" t="n"/>
      <c r="W70" s="194" t="n"/>
      <c r="X70" s="194" t="n"/>
      <c r="Y70" s="194" t="n"/>
      <c r="Z70" s="194" t="n"/>
    </row>
    <row r="71" ht="15" customHeight="1" s="195">
      <c r="A71" s="194" t="inlineStr">
        <is>
          <t>COLCAMAR</t>
        </is>
      </c>
      <c r="B71" s="194" t="inlineStr">
        <is>
          <t>OCTUBRE 2026</t>
        </is>
      </c>
      <c r="C71" s="377">
        <f>IFERROR(SUMPRODUCT((IF('OCTUBRE 2026'!Y6:Y110&lt;&gt;"",'OCTUBRE 2026'!Y6:Y110,'OCTUBRE 2026'!I6:I110)="COLCAMAR")*('OCTUBRE 2026'!K6:K110="PETROLEO")*'OCTUBRE 2026'!M6:M110),0)</f>
        <v/>
      </c>
      <c r="D71" s="377">
        <f>IFERROR(SUMPRODUCT((IF('OCTUBRE 2026'!Y6:Y110&lt;&gt;"",'OCTUBRE 2026'!Y6:Y110,'OCTUBRE 2026'!I6:I110)="COLCAMAR")*('OCTUBRE 2026'!K6:K110="PETROLEO")*'OCTUBRE 2026'!L6:L110*'OCTUBRE 2026'!M6:M110),0)</f>
        <v/>
      </c>
      <c r="E71" s="377">
        <f>IFERROR(SUMPRODUCT((IF('OCTUBRE 2026'!Y6:Y110&lt;&gt;"",'OCTUBRE 2026'!Y6:Y110,'OCTUBRE 2026'!I6:I110)="COLCAMAR")*('OCTUBRE 2026'!K6:K110="GASOLINA")*'OCTUBRE 2026'!M6:M110),0)</f>
        <v/>
      </c>
      <c r="F71" s="377">
        <f>IFERROR(SUMPRODUCT((IF('OCTUBRE 2026'!Y6:Y110&lt;&gt;"",'OCTUBRE 2026'!Y6:Y110,'OCTUBRE 2026'!I6:I110)="COLCAMAR")*('OCTUBRE 2026'!K6:K110="GASOLINA")*'OCTUBRE 2026'!L6:L110*'OCTUBRE 2026'!M6:M110),0)</f>
        <v/>
      </c>
      <c r="G71" s="194" t="n"/>
      <c r="H71" s="194" t="n"/>
      <c r="I71" s="194" t="n"/>
      <c r="J71" s="194" t="n"/>
      <c r="K71" s="194" t="n"/>
      <c r="L71" s="194" t="n"/>
      <c r="M71" s="194" t="n"/>
      <c r="N71" s="194" t="n"/>
      <c r="O71" s="194" t="n"/>
      <c r="P71" s="194" t="n"/>
      <c r="Q71" s="194" t="n"/>
      <c r="R71" s="194" t="n"/>
      <c r="S71" s="194" t="n"/>
      <c r="T71" s="194" t="n"/>
      <c r="U71" s="194" t="n"/>
      <c r="V71" s="194" t="n"/>
      <c r="W71" s="194" t="n"/>
      <c r="X71" s="194" t="n"/>
      <c r="Y71" s="194" t="n"/>
      <c r="Z71" s="194" t="n"/>
    </row>
    <row r="72" ht="15" customHeight="1" s="195">
      <c r="A72" s="194" t="inlineStr">
        <is>
          <t>COLCAMAR</t>
        </is>
      </c>
      <c r="B72" s="194" t="inlineStr">
        <is>
          <t>NOVIEMBRE 2026</t>
        </is>
      </c>
      <c r="C72" s="377">
        <f>IFERROR(SUMPRODUCT((IF('NOVIEMBRE 2026'!Y6:Y110&lt;&gt;"",'NOVIEMBRE 2026'!Y6:Y110,'NOVIEMBRE 2026'!I6:I110)="COLCAMAR")*('NOVIEMBRE 2026'!K6:K110="PETROLEO")*'NOVIEMBRE 2026'!M6:M110),0)</f>
        <v/>
      </c>
      <c r="D72" s="377">
        <f>IFERROR(SUMPRODUCT((IF('NOVIEMBRE 2026'!Y6:Y110&lt;&gt;"",'NOVIEMBRE 2026'!Y6:Y110,'NOVIEMBRE 2026'!I6:I110)="COLCAMAR")*('NOVIEMBRE 2026'!K6:K110="PETROLEO")*'NOVIEMBRE 2026'!L6:L110*'NOVIEMBRE 2026'!M6:M110),0)</f>
        <v/>
      </c>
      <c r="E72" s="377">
        <f>IFERROR(SUMPRODUCT((IF('NOVIEMBRE 2026'!Y6:Y110&lt;&gt;"",'NOVIEMBRE 2026'!Y6:Y110,'NOVIEMBRE 2026'!I6:I110)="COLCAMAR")*('NOVIEMBRE 2026'!K6:K110="GASOLINA")*'NOVIEMBRE 2026'!M6:M110),0)</f>
        <v/>
      </c>
      <c r="F72" s="377">
        <f>IFERROR(SUMPRODUCT((IF('NOVIEMBRE 2026'!Y6:Y110&lt;&gt;"",'NOVIEMBRE 2026'!Y6:Y110,'NOVIEMBRE 2026'!I6:I110)="COLCAMAR")*('NOVIEMBRE 2026'!K6:K110="GASOLINA")*'NOVIEMBRE 2026'!L6:L110*'NOVIEMBRE 2026'!M6:M110),0)</f>
        <v/>
      </c>
      <c r="G72" s="194" t="n"/>
      <c r="H72" s="194" t="n"/>
      <c r="I72" s="194" t="n"/>
      <c r="J72" s="194" t="n"/>
      <c r="K72" s="194" t="n"/>
      <c r="L72" s="194" t="n"/>
      <c r="M72" s="194" t="n"/>
      <c r="N72" s="194" t="n"/>
      <c r="O72" s="194" t="n"/>
      <c r="P72" s="194" t="n"/>
      <c r="Q72" s="194" t="n"/>
      <c r="R72" s="194" t="n"/>
      <c r="S72" s="194" t="n"/>
      <c r="T72" s="194" t="n"/>
      <c r="U72" s="194" t="n"/>
      <c r="V72" s="194" t="n"/>
      <c r="W72" s="194" t="n"/>
      <c r="X72" s="194" t="n"/>
      <c r="Y72" s="194" t="n"/>
      <c r="Z72" s="194" t="n"/>
    </row>
    <row r="73" ht="15" customHeight="1" s="195">
      <c r="A73" s="194" t="inlineStr">
        <is>
          <t>COLCAMAR</t>
        </is>
      </c>
      <c r="B73" s="194" t="inlineStr">
        <is>
          <t>DICIEMBRE 2026</t>
        </is>
      </c>
      <c r="C73" s="377">
        <f>IFERROR(SUMPRODUCT((IF('DICIEMBRE 2026'!Y6:Y110&lt;&gt;"",'DICIEMBRE 2026'!Y6:Y110,'DICIEMBRE 2026'!I6:I110)="COLCAMAR")*('DICIEMBRE 2026'!K6:K110="PETROLEO")*'DICIEMBRE 2026'!M6:M110),0)</f>
        <v/>
      </c>
      <c r="D73" s="377">
        <f>IFERROR(SUMPRODUCT((IF('DICIEMBRE 2026'!Y6:Y110&lt;&gt;"",'DICIEMBRE 2026'!Y6:Y110,'DICIEMBRE 2026'!I6:I110)="COLCAMAR")*('DICIEMBRE 2026'!K6:K110="PETROLEO")*'DICIEMBRE 2026'!L6:L110*'DICIEMBRE 2026'!M6:M110),0)</f>
        <v/>
      </c>
      <c r="E73" s="377">
        <f>IFERROR(SUMPRODUCT((IF('DICIEMBRE 2026'!Y6:Y110&lt;&gt;"",'DICIEMBRE 2026'!Y6:Y110,'DICIEMBRE 2026'!I6:I110)="COLCAMAR")*('DICIEMBRE 2026'!K6:K110="GASOLINA")*'DICIEMBRE 2026'!M6:M110),0)</f>
        <v/>
      </c>
      <c r="F73" s="377">
        <f>IFERROR(SUMPRODUCT((IF('DICIEMBRE 2026'!Y6:Y110&lt;&gt;"",'DICIEMBRE 2026'!Y6:Y110,'DICIEMBRE 2026'!I6:I110)="COLCAMAR")*('DICIEMBRE 2026'!K6:K110="GASOLINA")*'DICIEMBRE 2026'!L6:L110*'DICIEMBRE 2026'!M6:M110),0)</f>
        <v/>
      </c>
      <c r="G73" s="194" t="n"/>
      <c r="H73" s="194" t="n"/>
      <c r="I73" s="194" t="n"/>
      <c r="J73" s="194" t="n"/>
      <c r="K73" s="194" t="n"/>
      <c r="L73" s="194" t="n"/>
      <c r="M73" s="194" t="n"/>
      <c r="N73" s="194" t="n"/>
      <c r="O73" s="194" t="n"/>
      <c r="P73" s="194" t="n"/>
      <c r="Q73" s="194" t="n"/>
      <c r="R73" s="194" t="n"/>
      <c r="S73" s="194" t="n"/>
      <c r="T73" s="194" t="n"/>
      <c r="U73" s="194" t="n"/>
      <c r="V73" s="194" t="n"/>
      <c r="W73" s="194" t="n"/>
      <c r="X73" s="194" t="n"/>
      <c r="Y73" s="194" t="n"/>
      <c r="Z73" s="194" t="n"/>
    </row>
    <row r="74" ht="15" customHeight="1" s="195">
      <c r="A74" s="194" t="inlineStr">
        <is>
          <t>COLLONCE</t>
        </is>
      </c>
      <c r="B74" s="194" t="inlineStr">
        <is>
          <t>ENERO 2026</t>
        </is>
      </c>
      <c r="C74" s="377">
        <f>IFERROR(SUMPRODUCT((IF('ENERO 2026'!Y6:Y119&lt;&gt;"",'ENERO 2026'!Y6:Y119,'ENERO 2026'!I6:I119)="COLLONCE")*('ENERO 2026'!K6:K119="PETROLEO")*'ENERO 2026'!M6:M119),0)</f>
        <v/>
      </c>
      <c r="D74" s="377">
        <f>IFERROR(SUMPRODUCT((IF('ENERO 2026'!Y6:Y119&lt;&gt;"",'ENERO 2026'!Y6:Y119,'ENERO 2026'!I6:I119)="COLLONCE")*('ENERO 2026'!K6:K119="PETROLEO")*'ENERO 2026'!L6:L119*'ENERO 2026'!M6:M119),0)</f>
        <v/>
      </c>
      <c r="E74" s="377">
        <f>IFERROR(SUMPRODUCT((IF('ENERO 2026'!Y6:Y119&lt;&gt;"",'ENERO 2026'!Y6:Y119,'ENERO 2026'!I6:I119)="COLLONCE")*('ENERO 2026'!K6:K119="GASOLINA")*'ENERO 2026'!M6:M119),0)</f>
        <v/>
      </c>
      <c r="F74" s="377">
        <f>IFERROR(SUMPRODUCT((IF('ENERO 2026'!Y6:Y119&lt;&gt;"",'ENERO 2026'!Y6:Y119,'ENERO 2026'!I6:I119)="COLLONCE")*('ENERO 2026'!K6:K119="GASOLINA")*'ENERO 2026'!L6:L119*'ENERO 2026'!M6:M119),0)</f>
        <v/>
      </c>
      <c r="G74" s="194" t="n"/>
      <c r="H74" s="194" t="n"/>
      <c r="I74" s="194" t="n"/>
      <c r="J74" s="194" t="n"/>
      <c r="K74" s="194" t="n"/>
      <c r="L74" s="194" t="n"/>
      <c r="M74" s="194" t="n"/>
      <c r="N74" s="194" t="n"/>
      <c r="O74" s="194" t="n"/>
      <c r="P74" s="194" t="n"/>
      <c r="Q74" s="194" t="n"/>
      <c r="R74" s="194" t="n"/>
      <c r="S74" s="194" t="n"/>
      <c r="T74" s="194" t="n"/>
      <c r="U74" s="194" t="n"/>
      <c r="V74" s="194" t="n"/>
      <c r="W74" s="194" t="n"/>
      <c r="X74" s="194" t="n"/>
      <c r="Y74" s="194" t="n"/>
      <c r="Z74" s="194" t="n"/>
    </row>
    <row r="75" ht="15" customHeight="1" s="195">
      <c r="A75" s="194" t="inlineStr">
        <is>
          <t>COLLONCE</t>
        </is>
      </c>
      <c r="B75" s="194" t="inlineStr">
        <is>
          <t>FEBRERO 2026</t>
        </is>
      </c>
      <c r="C75" s="377">
        <f>IFERROR(SUMPRODUCT((IF('FEBRERO 2026'!Y6:Y124&lt;&gt;"",'FEBRERO 2026'!Y6:Y124,'FEBRERO 2026'!I6:I124)="COLLONCE")*('FEBRERO 2026'!K6:K124="PETROLEO")*'FEBRERO 2026'!M6:M124),0)</f>
        <v/>
      </c>
      <c r="D75" s="377">
        <f>IFERROR(SUMPRODUCT((IF('FEBRERO 2026'!Y6:Y124&lt;&gt;"",'FEBRERO 2026'!Y6:Y124,'FEBRERO 2026'!I6:I124)="COLLONCE")*('FEBRERO 2026'!K6:K124="PETROLEO")*'FEBRERO 2026'!L6:L124*'FEBRERO 2026'!M6:M124),0)</f>
        <v/>
      </c>
      <c r="E75" s="377">
        <f>IFERROR(SUMPRODUCT((IF('FEBRERO 2026'!Y6:Y124&lt;&gt;"",'FEBRERO 2026'!Y6:Y124,'FEBRERO 2026'!I6:I124)="COLLONCE")*('FEBRERO 2026'!K6:K124="GASOLINA")*'FEBRERO 2026'!M6:M124),0)</f>
        <v/>
      </c>
      <c r="F75" s="377">
        <f>IFERROR(SUMPRODUCT((IF('FEBRERO 2026'!Y6:Y124&lt;&gt;"",'FEBRERO 2026'!Y6:Y124,'FEBRERO 2026'!I6:I124)="COLLONCE")*('FEBRERO 2026'!K6:K124="GASOLINA")*'FEBRERO 2026'!L6:L124*'FEBRERO 2026'!M6:M124),0)</f>
        <v/>
      </c>
      <c r="G75" s="194" t="n"/>
      <c r="H75" s="194" t="n"/>
      <c r="I75" s="194" t="n"/>
      <c r="J75" s="194" t="n"/>
      <c r="K75" s="194" t="n"/>
      <c r="L75" s="194" t="n"/>
      <c r="M75" s="194" t="n"/>
      <c r="N75" s="194" t="n"/>
      <c r="O75" s="194" t="n"/>
      <c r="P75" s="194" t="n"/>
      <c r="Q75" s="194" t="n"/>
      <c r="R75" s="194" t="n"/>
      <c r="S75" s="194" t="n"/>
      <c r="T75" s="194" t="n"/>
      <c r="U75" s="194" t="n"/>
      <c r="V75" s="194" t="n"/>
      <c r="W75" s="194" t="n"/>
      <c r="X75" s="194" t="n"/>
      <c r="Y75" s="194" t="n"/>
      <c r="Z75" s="194" t="n"/>
    </row>
    <row r="76" ht="15" customHeight="1" s="195">
      <c r="A76" s="194" t="inlineStr">
        <is>
          <t>COLLONCE</t>
        </is>
      </c>
      <c r="B76" s="194" t="inlineStr">
        <is>
          <t>MARZO 2026</t>
        </is>
      </c>
      <c r="C76" s="377">
        <f>IFERROR(SUMPRODUCT((IF('MARZO 2026'!Y6:Y119&lt;&gt;"",'MARZO 2026'!Y6:Y119,'MARZO 2026'!I6:I119)="COLLONCE")*('MARZO 2026'!K6:K119="PETROLEO")*'MARZO 2026'!M6:M119),0)</f>
        <v/>
      </c>
      <c r="D76" s="377">
        <f>IFERROR(SUMPRODUCT((IF('MARZO 2026'!Y6:Y119&lt;&gt;"",'MARZO 2026'!Y6:Y119,'MARZO 2026'!I6:I119)="COLLONCE")*('MARZO 2026'!K6:K119="PETROLEO")*'MARZO 2026'!L6:L119*'MARZO 2026'!M6:M119),0)</f>
        <v/>
      </c>
      <c r="E76" s="377">
        <f>IFERROR(SUMPRODUCT((IF('MARZO 2026'!Y6:Y119&lt;&gt;"",'MARZO 2026'!Y6:Y119,'MARZO 2026'!I6:I119)="COLLONCE")*('MARZO 2026'!K6:K119="GASOLINA")*'MARZO 2026'!M6:M119),0)</f>
        <v/>
      </c>
      <c r="F76" s="377">
        <f>IFERROR(SUMPRODUCT((IF('MARZO 2026'!Y6:Y119&lt;&gt;"",'MARZO 2026'!Y6:Y119,'MARZO 2026'!I6:I119)="COLLONCE")*('MARZO 2026'!K6:K119="GASOLINA")*'MARZO 2026'!L6:L119*'MARZO 2026'!M6:M119),0)</f>
        <v/>
      </c>
      <c r="G76" s="194" t="n"/>
      <c r="H76" s="194" t="n"/>
      <c r="I76" s="194" t="n"/>
      <c r="J76" s="194" t="n"/>
      <c r="K76" s="194" t="n"/>
      <c r="L76" s="194" t="n"/>
      <c r="M76" s="194" t="n"/>
      <c r="N76" s="194" t="n"/>
      <c r="O76" s="194" t="n"/>
      <c r="P76" s="194" t="n"/>
      <c r="Q76" s="194" t="n"/>
      <c r="R76" s="194" t="n"/>
      <c r="S76" s="194" t="n"/>
      <c r="T76" s="194" t="n"/>
      <c r="U76" s="194" t="n"/>
      <c r="V76" s="194" t="n"/>
      <c r="W76" s="194" t="n"/>
      <c r="X76" s="194" t="n"/>
      <c r="Y76" s="194" t="n"/>
      <c r="Z76" s="194" t="n"/>
    </row>
    <row r="77" ht="15" customHeight="1" s="195">
      <c r="A77" s="194" t="inlineStr">
        <is>
          <t>COLLONCE</t>
        </is>
      </c>
      <c r="B77" s="194" t="inlineStr">
        <is>
          <t>ABRIL 2026</t>
        </is>
      </c>
      <c r="C77" s="377">
        <f>IFERROR(SUMPRODUCT((IF('ABRIL 2026'!Y6:Y119&lt;&gt;"",'ABRIL 2026'!Y6:Y119,'ABRIL 2026'!I6:I119)="COLLONCE")*('ABRIL 2026'!K6:K119="PETROLEO")*'ABRIL 2026'!M6:M119),0)</f>
        <v/>
      </c>
      <c r="D77" s="377">
        <f>IFERROR(SUMPRODUCT((IF('ABRIL 2026'!Y6:Y119&lt;&gt;"",'ABRIL 2026'!Y6:Y119,'ABRIL 2026'!I6:I119)="COLLONCE")*('ABRIL 2026'!K6:K119="PETROLEO")*'ABRIL 2026'!L6:L119*'ABRIL 2026'!M6:M119),0)</f>
        <v/>
      </c>
      <c r="E77" s="377">
        <f>IFERROR(SUMPRODUCT((IF('ABRIL 2026'!Y6:Y119&lt;&gt;"",'ABRIL 2026'!Y6:Y119,'ABRIL 2026'!I6:I119)="COLLONCE")*('ABRIL 2026'!K6:K119="GASOLINA")*'ABRIL 2026'!M6:M119),0)</f>
        <v/>
      </c>
      <c r="F77" s="377">
        <f>IFERROR(SUMPRODUCT((IF('ABRIL 2026'!Y6:Y119&lt;&gt;"",'ABRIL 2026'!Y6:Y119,'ABRIL 2026'!I6:I119)="COLLONCE")*('ABRIL 2026'!K6:K119="GASOLINA")*'ABRIL 2026'!L6:L119*'ABRIL 2026'!M6:M119),0)</f>
        <v/>
      </c>
      <c r="G77" s="194" t="n"/>
      <c r="H77" s="194" t="n"/>
      <c r="I77" s="194" t="n"/>
      <c r="J77" s="194" t="n"/>
      <c r="K77" s="194" t="n"/>
      <c r="L77" s="194" t="n"/>
      <c r="M77" s="194" t="n"/>
      <c r="N77" s="194" t="n"/>
      <c r="O77" s="194" t="n"/>
      <c r="P77" s="194" t="n"/>
      <c r="Q77" s="194" t="n"/>
      <c r="R77" s="194" t="n"/>
      <c r="S77" s="194" t="n"/>
      <c r="T77" s="194" t="n"/>
      <c r="U77" s="194" t="n"/>
      <c r="V77" s="194" t="n"/>
      <c r="W77" s="194" t="n"/>
      <c r="X77" s="194" t="n"/>
      <c r="Y77" s="194" t="n"/>
      <c r="Z77" s="194" t="n"/>
    </row>
    <row r="78" ht="15" customHeight="1" s="195">
      <c r="A78" s="194" t="inlineStr">
        <is>
          <t>COLLONCE</t>
        </is>
      </c>
      <c r="B78" s="194" t="inlineStr">
        <is>
          <t>MAYO 2026</t>
        </is>
      </c>
      <c r="C78" s="377">
        <f>IFERROR(SUMPRODUCT((IF('MAYO 2026'!Y6:Y110&lt;&gt;"",'MAYO 2026'!Y6:Y110,'MAYO 2026'!I6:I110)="COLLONCE")*('MAYO 2026'!K6:K110="PETROLEO")*'MAYO 2026'!M6:M110),0)</f>
        <v/>
      </c>
      <c r="D78" s="377">
        <f>IFERROR(SUMPRODUCT((IF('MAYO 2026'!Y6:Y110&lt;&gt;"",'MAYO 2026'!Y6:Y110,'MAYO 2026'!I6:I110)="COLLONCE")*('MAYO 2026'!K6:K110="PETROLEO")*'MAYO 2026'!L6:L110*'MAYO 2026'!M6:M110),0)</f>
        <v/>
      </c>
      <c r="E78" s="377">
        <f>IFERROR(SUMPRODUCT((IF('MAYO 2026'!Y6:Y110&lt;&gt;"",'MAYO 2026'!Y6:Y110,'MAYO 2026'!I6:I110)="COLLONCE")*('MAYO 2026'!K6:K110="GASOLINA")*'MAYO 2026'!M6:M110),0)</f>
        <v/>
      </c>
      <c r="F78" s="377">
        <f>IFERROR(SUMPRODUCT((IF('MAYO 2026'!Y6:Y110&lt;&gt;"",'MAYO 2026'!Y6:Y110,'MAYO 2026'!I6:I110)="COLLONCE")*('MAYO 2026'!K6:K110="GASOLINA")*'MAYO 2026'!L6:L110*'MAYO 2026'!M6:M110),0)</f>
        <v/>
      </c>
      <c r="G78" s="194" t="n"/>
      <c r="H78" s="194" t="n"/>
      <c r="I78" s="194" t="n"/>
      <c r="J78" s="194" t="n"/>
      <c r="K78" s="194" t="n"/>
      <c r="L78" s="194" t="n"/>
      <c r="M78" s="194" t="n"/>
      <c r="N78" s="194" t="n"/>
      <c r="O78" s="194" t="n"/>
      <c r="P78" s="194" t="n"/>
      <c r="Q78" s="194" t="n"/>
      <c r="R78" s="194" t="n"/>
      <c r="S78" s="194" t="n"/>
      <c r="T78" s="194" t="n"/>
      <c r="U78" s="194" t="n"/>
      <c r="V78" s="194" t="n"/>
      <c r="W78" s="194" t="n"/>
      <c r="X78" s="194" t="n"/>
      <c r="Y78" s="194" t="n"/>
      <c r="Z78" s="194" t="n"/>
    </row>
    <row r="79" ht="15" customHeight="1" s="195">
      <c r="A79" s="194" t="inlineStr">
        <is>
          <t>COLLONCE</t>
        </is>
      </c>
      <c r="B79" s="194" t="inlineStr">
        <is>
          <t>JUNIO 2026</t>
        </is>
      </c>
      <c r="C79" s="377">
        <f>IFERROR(SUMPRODUCT((IF('JUNIO 2026'!Y6:Y110&lt;&gt;"",'JUNIO 2026'!Y6:Y110,'JUNIO 2026'!I6:I110)="COLLONCE")*('JUNIO 2026'!K6:K110="PETROLEO")*'JUNIO 2026'!M6:M110),0)</f>
        <v/>
      </c>
      <c r="D79" s="377">
        <f>IFERROR(SUMPRODUCT((IF('JUNIO 2026'!Y6:Y110&lt;&gt;"",'JUNIO 2026'!Y6:Y110,'JUNIO 2026'!I6:I110)="COLLONCE")*('JUNIO 2026'!K6:K110="PETROLEO")*'JUNIO 2026'!L6:L110*'JUNIO 2026'!M6:M110),0)</f>
        <v/>
      </c>
      <c r="E79" s="377">
        <f>IFERROR(SUMPRODUCT((IF('JUNIO 2026'!Y6:Y110&lt;&gt;"",'JUNIO 2026'!Y6:Y110,'JUNIO 2026'!I6:I110)="COLLONCE")*('JUNIO 2026'!K6:K110="GASOLINA")*'JUNIO 2026'!M6:M110),0)</f>
        <v/>
      </c>
      <c r="F79" s="377">
        <f>IFERROR(SUMPRODUCT((IF('JUNIO 2026'!Y6:Y110&lt;&gt;"",'JUNIO 2026'!Y6:Y110,'JUNIO 2026'!I6:I110)="COLLONCE")*('JUNIO 2026'!K6:K110="GASOLINA")*'JUNIO 2026'!L6:L110*'JUNIO 2026'!M6:M110),0)</f>
        <v/>
      </c>
      <c r="G79" s="194" t="n"/>
      <c r="H79" s="194" t="n"/>
      <c r="I79" s="194" t="n"/>
      <c r="J79" s="194" t="n"/>
      <c r="K79" s="194" t="n"/>
      <c r="L79" s="194" t="n"/>
      <c r="M79" s="194" t="n"/>
      <c r="N79" s="194" t="n"/>
      <c r="O79" s="194" t="n"/>
      <c r="P79" s="194" t="n"/>
      <c r="Q79" s="194" t="n"/>
      <c r="R79" s="194" t="n"/>
      <c r="S79" s="194" t="n"/>
      <c r="T79" s="194" t="n"/>
      <c r="U79" s="194" t="n"/>
      <c r="V79" s="194" t="n"/>
      <c r="W79" s="194" t="n"/>
      <c r="X79" s="194" t="n"/>
      <c r="Y79" s="194" t="n"/>
      <c r="Z79" s="194" t="n"/>
    </row>
    <row r="80" ht="15" customHeight="1" s="195">
      <c r="A80" s="194" t="inlineStr">
        <is>
          <t>COLLONCE</t>
        </is>
      </c>
      <c r="B80" s="194" t="inlineStr">
        <is>
          <t>JULIO 2026</t>
        </is>
      </c>
      <c r="C80" s="377">
        <f>IFERROR(SUMPRODUCT((IF('JULIO 2026'!Y6:Y110&lt;&gt;"",'JULIO 2026'!Y6:Y110,'JULIO 2026'!I6:I110)="COLLONCE")*('JULIO 2026'!K6:K110="PETROLEO")*'JULIO 2026'!M6:M110),0)</f>
        <v/>
      </c>
      <c r="D80" s="377">
        <f>IFERROR(SUMPRODUCT((IF('JULIO 2026'!Y6:Y110&lt;&gt;"",'JULIO 2026'!Y6:Y110,'JULIO 2026'!I6:I110)="COLLONCE")*('JULIO 2026'!K6:K110="PETROLEO")*'JULIO 2026'!L6:L110*'JULIO 2026'!M6:M110),0)</f>
        <v/>
      </c>
      <c r="E80" s="377">
        <f>IFERROR(SUMPRODUCT((IF('JULIO 2026'!Y6:Y110&lt;&gt;"",'JULIO 2026'!Y6:Y110,'JULIO 2026'!I6:I110)="COLLONCE")*('JULIO 2026'!K6:K110="GASOLINA")*'JULIO 2026'!M6:M110),0)</f>
        <v/>
      </c>
      <c r="F80" s="377">
        <f>IFERROR(SUMPRODUCT((IF('JULIO 2026'!Y6:Y110&lt;&gt;"",'JULIO 2026'!Y6:Y110,'JULIO 2026'!I6:I110)="COLLONCE")*('JULIO 2026'!K6:K110="GASOLINA")*'JULIO 2026'!L6:L110*'JULIO 2026'!M6:M110),0)</f>
        <v/>
      </c>
      <c r="G80" s="194" t="n"/>
      <c r="H80" s="194" t="n"/>
      <c r="I80" s="194" t="n"/>
      <c r="J80" s="194" t="n"/>
      <c r="K80" s="194" t="n"/>
      <c r="L80" s="194" t="n"/>
      <c r="M80" s="194" t="n"/>
      <c r="N80" s="194" t="n"/>
      <c r="O80" s="194" t="n"/>
      <c r="P80" s="194" t="n"/>
      <c r="Q80" s="194" t="n"/>
      <c r="R80" s="194" t="n"/>
      <c r="S80" s="194" t="n"/>
      <c r="T80" s="194" t="n"/>
      <c r="U80" s="194" t="n"/>
      <c r="V80" s="194" t="n"/>
      <c r="W80" s="194" t="n"/>
      <c r="X80" s="194" t="n"/>
      <c r="Y80" s="194" t="n"/>
      <c r="Z80" s="194" t="n"/>
    </row>
    <row r="81" ht="15" customHeight="1" s="195">
      <c r="A81" s="194" t="inlineStr">
        <is>
          <t>COLLONCE</t>
        </is>
      </c>
      <c r="B81" s="194" t="inlineStr">
        <is>
          <t>AGOSTO 2026</t>
        </is>
      </c>
      <c r="C81" s="377">
        <f>IFERROR(SUMPRODUCT((IF('AGOSTO 2026'!Y6:Y110&lt;&gt;"",'AGOSTO 2026'!Y6:Y110,'AGOSTO 2026'!I6:I110)="COLLONCE")*('AGOSTO 2026'!K6:K110="PETROLEO")*'AGOSTO 2026'!M6:M110),0)</f>
        <v/>
      </c>
      <c r="D81" s="377">
        <f>IFERROR(SUMPRODUCT((IF('AGOSTO 2026'!Y6:Y110&lt;&gt;"",'AGOSTO 2026'!Y6:Y110,'AGOSTO 2026'!I6:I110)="COLLONCE")*('AGOSTO 2026'!K6:K110="PETROLEO")*'AGOSTO 2026'!L6:L110*'AGOSTO 2026'!M6:M110),0)</f>
        <v/>
      </c>
      <c r="E81" s="377">
        <f>IFERROR(SUMPRODUCT((IF('AGOSTO 2026'!Y6:Y110&lt;&gt;"",'AGOSTO 2026'!Y6:Y110,'AGOSTO 2026'!I6:I110)="COLLONCE")*('AGOSTO 2026'!K6:K110="GASOLINA")*'AGOSTO 2026'!M6:M110),0)</f>
        <v/>
      </c>
      <c r="F81" s="377">
        <f>IFERROR(SUMPRODUCT((IF('AGOSTO 2026'!Y6:Y110&lt;&gt;"",'AGOSTO 2026'!Y6:Y110,'AGOSTO 2026'!I6:I110)="COLLONCE")*('AGOSTO 2026'!K6:K110="GASOLINA")*'AGOSTO 2026'!L6:L110*'AGOSTO 2026'!M6:M110),0)</f>
        <v/>
      </c>
      <c r="G81" s="194" t="n"/>
      <c r="H81" s="194" t="n"/>
      <c r="I81" s="194" t="n"/>
      <c r="J81" s="194" t="n"/>
      <c r="K81" s="194" t="n"/>
      <c r="L81" s="194" t="n"/>
      <c r="M81" s="194" t="n"/>
      <c r="N81" s="194" t="n"/>
      <c r="O81" s="194" t="n"/>
      <c r="P81" s="194" t="n"/>
      <c r="Q81" s="194" t="n"/>
      <c r="R81" s="194" t="n"/>
      <c r="S81" s="194" t="n"/>
      <c r="T81" s="194" t="n"/>
      <c r="U81" s="194" t="n"/>
      <c r="V81" s="194" t="n"/>
      <c r="W81" s="194" t="n"/>
      <c r="X81" s="194" t="n"/>
      <c r="Y81" s="194" t="n"/>
      <c r="Z81" s="194" t="n"/>
    </row>
    <row r="82" ht="15" customHeight="1" s="195">
      <c r="A82" s="194" t="inlineStr">
        <is>
          <t>COLLONCE</t>
        </is>
      </c>
      <c r="B82" s="194" t="inlineStr">
        <is>
          <t>SETIEMBRE 2026</t>
        </is>
      </c>
      <c r="C82" s="377">
        <f>IFERROR(SUMPRODUCT((IF('SETIEMBRE 2026'!Y6:Y110&lt;&gt;"",'SETIEMBRE 2026'!Y6:Y110,'SETIEMBRE 2026'!I6:I110)="COLLONCE")*('SETIEMBRE 2026'!K6:K110="PETROLEO")*'SETIEMBRE 2026'!M6:M110),0)</f>
        <v/>
      </c>
      <c r="D82" s="377">
        <f>IFERROR(SUMPRODUCT((IF('SETIEMBRE 2026'!Y6:Y110&lt;&gt;"",'SETIEMBRE 2026'!Y6:Y110,'SETIEMBRE 2026'!I6:I110)="COLLONCE")*('SETIEMBRE 2026'!K6:K110="PETROLEO")*'SETIEMBRE 2026'!L6:L110*'SETIEMBRE 2026'!M6:M110),0)</f>
        <v/>
      </c>
      <c r="E82" s="377">
        <f>IFERROR(SUMPRODUCT((IF('SETIEMBRE 2026'!Y6:Y110&lt;&gt;"",'SETIEMBRE 2026'!Y6:Y110,'SETIEMBRE 2026'!I6:I110)="COLLONCE")*('SETIEMBRE 2026'!K6:K110="GASOLINA")*'SETIEMBRE 2026'!M6:M110),0)</f>
        <v/>
      </c>
      <c r="F82" s="377">
        <f>IFERROR(SUMPRODUCT((IF('SETIEMBRE 2026'!Y6:Y110&lt;&gt;"",'SETIEMBRE 2026'!Y6:Y110,'SETIEMBRE 2026'!I6:I110)="COLLONCE")*('SETIEMBRE 2026'!K6:K110="GASOLINA")*'SETIEMBRE 2026'!L6:L110*'SETIEMBRE 2026'!M6:M110),0)</f>
        <v/>
      </c>
      <c r="G82" s="194" t="n"/>
      <c r="H82" s="194" t="n"/>
      <c r="I82" s="194" t="n"/>
      <c r="J82" s="194" t="n"/>
      <c r="K82" s="194" t="n"/>
      <c r="L82" s="194" t="n"/>
      <c r="M82" s="194" t="n"/>
      <c r="N82" s="194" t="n"/>
      <c r="O82" s="194" t="n"/>
      <c r="P82" s="194" t="n"/>
      <c r="Q82" s="194" t="n"/>
      <c r="R82" s="194" t="n"/>
      <c r="S82" s="194" t="n"/>
      <c r="T82" s="194" t="n"/>
      <c r="U82" s="194" t="n"/>
      <c r="V82" s="194" t="n"/>
      <c r="W82" s="194" t="n"/>
      <c r="X82" s="194" t="n"/>
      <c r="Y82" s="194" t="n"/>
      <c r="Z82" s="194" t="n"/>
    </row>
    <row r="83" ht="15" customHeight="1" s="195">
      <c r="A83" s="194" t="inlineStr">
        <is>
          <t>COLLONCE</t>
        </is>
      </c>
      <c r="B83" s="194" t="inlineStr">
        <is>
          <t>OCTUBRE 2026</t>
        </is>
      </c>
      <c r="C83" s="377">
        <f>IFERROR(SUMPRODUCT((IF('OCTUBRE 2026'!Y6:Y110&lt;&gt;"",'OCTUBRE 2026'!Y6:Y110,'OCTUBRE 2026'!I6:I110)="COLLONCE")*('OCTUBRE 2026'!K6:K110="PETROLEO")*'OCTUBRE 2026'!M6:M110),0)</f>
        <v/>
      </c>
      <c r="D83" s="377">
        <f>IFERROR(SUMPRODUCT((IF('OCTUBRE 2026'!Y6:Y110&lt;&gt;"",'OCTUBRE 2026'!Y6:Y110,'OCTUBRE 2026'!I6:I110)="COLLONCE")*('OCTUBRE 2026'!K6:K110="PETROLEO")*'OCTUBRE 2026'!L6:L110*'OCTUBRE 2026'!M6:M110),0)</f>
        <v/>
      </c>
      <c r="E83" s="377">
        <f>IFERROR(SUMPRODUCT((IF('OCTUBRE 2026'!Y6:Y110&lt;&gt;"",'OCTUBRE 2026'!Y6:Y110,'OCTUBRE 2026'!I6:I110)="COLLONCE")*('OCTUBRE 2026'!K6:K110="GASOLINA")*'OCTUBRE 2026'!M6:M110),0)</f>
        <v/>
      </c>
      <c r="F83" s="377">
        <f>IFERROR(SUMPRODUCT((IF('OCTUBRE 2026'!Y6:Y110&lt;&gt;"",'OCTUBRE 2026'!Y6:Y110,'OCTUBRE 2026'!I6:I110)="COLLONCE")*('OCTUBRE 2026'!K6:K110="GASOLINA")*'OCTUBRE 2026'!L6:L110*'OCTUBRE 2026'!M6:M110),0)</f>
        <v/>
      </c>
      <c r="G83" s="194" t="n"/>
      <c r="H83" s="194" t="n"/>
      <c r="I83" s="194" t="n"/>
      <c r="J83" s="194" t="n"/>
      <c r="K83" s="194" t="n"/>
      <c r="L83" s="194" t="n"/>
      <c r="M83" s="194" t="n"/>
      <c r="N83" s="194" t="n"/>
      <c r="O83" s="194" t="n"/>
      <c r="P83" s="194" t="n"/>
      <c r="Q83" s="194" t="n"/>
      <c r="R83" s="194" t="n"/>
      <c r="S83" s="194" t="n"/>
      <c r="T83" s="194" t="n"/>
      <c r="U83" s="194" t="n"/>
      <c r="V83" s="194" t="n"/>
      <c r="W83" s="194" t="n"/>
      <c r="X83" s="194" t="n"/>
      <c r="Y83" s="194" t="n"/>
      <c r="Z83" s="194" t="n"/>
    </row>
    <row r="84" ht="15" customHeight="1" s="195">
      <c r="A84" s="194" t="inlineStr">
        <is>
          <t>COLLONCE</t>
        </is>
      </c>
      <c r="B84" s="194" t="inlineStr">
        <is>
          <t>NOVIEMBRE 2026</t>
        </is>
      </c>
      <c r="C84" s="377">
        <f>IFERROR(SUMPRODUCT((IF('NOVIEMBRE 2026'!Y6:Y110&lt;&gt;"",'NOVIEMBRE 2026'!Y6:Y110,'NOVIEMBRE 2026'!I6:I110)="COLLONCE")*('NOVIEMBRE 2026'!K6:K110="PETROLEO")*'NOVIEMBRE 2026'!M6:M110),0)</f>
        <v/>
      </c>
      <c r="D84" s="377">
        <f>IFERROR(SUMPRODUCT((IF('NOVIEMBRE 2026'!Y6:Y110&lt;&gt;"",'NOVIEMBRE 2026'!Y6:Y110,'NOVIEMBRE 2026'!I6:I110)="COLLONCE")*('NOVIEMBRE 2026'!K6:K110="PETROLEO")*'NOVIEMBRE 2026'!L6:L110*'NOVIEMBRE 2026'!M6:M110),0)</f>
        <v/>
      </c>
      <c r="E84" s="377">
        <f>IFERROR(SUMPRODUCT((IF('NOVIEMBRE 2026'!Y6:Y110&lt;&gt;"",'NOVIEMBRE 2026'!Y6:Y110,'NOVIEMBRE 2026'!I6:I110)="COLLONCE")*('NOVIEMBRE 2026'!K6:K110="GASOLINA")*'NOVIEMBRE 2026'!M6:M110),0)</f>
        <v/>
      </c>
      <c r="F84" s="377">
        <f>IFERROR(SUMPRODUCT((IF('NOVIEMBRE 2026'!Y6:Y110&lt;&gt;"",'NOVIEMBRE 2026'!Y6:Y110,'NOVIEMBRE 2026'!I6:I110)="COLLONCE")*('NOVIEMBRE 2026'!K6:K110="GASOLINA")*'NOVIEMBRE 2026'!L6:L110*'NOVIEMBRE 2026'!M6:M110),0)</f>
        <v/>
      </c>
      <c r="G84" s="194" t="n"/>
      <c r="H84" s="194" t="n"/>
      <c r="I84" s="194" t="n"/>
      <c r="J84" s="194" t="n"/>
      <c r="K84" s="194" t="n"/>
      <c r="L84" s="194" t="n"/>
      <c r="M84" s="194" t="n"/>
      <c r="N84" s="194" t="n"/>
      <c r="O84" s="194" t="n"/>
      <c r="P84" s="194" t="n"/>
      <c r="Q84" s="194" t="n"/>
      <c r="R84" s="194" t="n"/>
      <c r="S84" s="194" t="n"/>
      <c r="T84" s="194" t="n"/>
      <c r="U84" s="194" t="n"/>
      <c r="V84" s="194" t="n"/>
      <c r="W84" s="194" t="n"/>
      <c r="X84" s="194" t="n"/>
      <c r="Y84" s="194" t="n"/>
      <c r="Z84" s="194" t="n"/>
    </row>
    <row r="85" ht="15" customHeight="1" s="195">
      <c r="A85" s="194" t="inlineStr">
        <is>
          <t>COLLONCE</t>
        </is>
      </c>
      <c r="B85" s="194" t="inlineStr">
        <is>
          <t>DICIEMBRE 2026</t>
        </is>
      </c>
      <c r="C85" s="377">
        <f>IFERROR(SUMPRODUCT((IF('DICIEMBRE 2026'!Y6:Y110&lt;&gt;"",'DICIEMBRE 2026'!Y6:Y110,'DICIEMBRE 2026'!I6:I110)="COLLONCE")*('DICIEMBRE 2026'!K6:K110="PETROLEO")*'DICIEMBRE 2026'!M6:M110),0)</f>
        <v/>
      </c>
      <c r="D85" s="377">
        <f>IFERROR(SUMPRODUCT((IF('DICIEMBRE 2026'!Y6:Y110&lt;&gt;"",'DICIEMBRE 2026'!Y6:Y110,'DICIEMBRE 2026'!I6:I110)="COLLONCE")*('DICIEMBRE 2026'!K6:K110="PETROLEO")*'DICIEMBRE 2026'!L6:L110*'DICIEMBRE 2026'!M6:M110),0)</f>
        <v/>
      </c>
      <c r="E85" s="377">
        <f>IFERROR(SUMPRODUCT((IF('DICIEMBRE 2026'!Y6:Y110&lt;&gt;"",'DICIEMBRE 2026'!Y6:Y110,'DICIEMBRE 2026'!I6:I110)="COLLONCE")*('DICIEMBRE 2026'!K6:K110="GASOLINA")*'DICIEMBRE 2026'!M6:M110),0)</f>
        <v/>
      </c>
      <c r="F85" s="377">
        <f>IFERROR(SUMPRODUCT((IF('DICIEMBRE 2026'!Y6:Y110&lt;&gt;"",'DICIEMBRE 2026'!Y6:Y110,'DICIEMBRE 2026'!I6:I110)="COLLONCE")*('DICIEMBRE 2026'!K6:K110="GASOLINA")*'DICIEMBRE 2026'!L6:L110*'DICIEMBRE 2026'!M6:M110),0)</f>
        <v/>
      </c>
      <c r="G85" s="194" t="n"/>
      <c r="H85" s="194" t="n"/>
      <c r="I85" s="194" t="n"/>
      <c r="J85" s="194" t="n"/>
      <c r="K85" s="194" t="n"/>
      <c r="L85" s="194" t="n"/>
      <c r="M85" s="194" t="n"/>
      <c r="N85" s="194" t="n"/>
      <c r="O85" s="194" t="n"/>
      <c r="P85" s="194" t="n"/>
      <c r="Q85" s="194" t="n"/>
      <c r="R85" s="194" t="n"/>
      <c r="S85" s="194" t="n"/>
      <c r="T85" s="194" t="n"/>
      <c r="U85" s="194" t="n"/>
      <c r="V85" s="194" t="n"/>
      <c r="W85" s="194" t="n"/>
      <c r="X85" s="194" t="n"/>
      <c r="Y85" s="194" t="n"/>
      <c r="Z85" s="194" t="n"/>
    </row>
    <row r="86" ht="15" customHeight="1" s="195">
      <c r="A86" s="194" t="inlineStr">
        <is>
          <t>HUAMBO</t>
        </is>
      </c>
      <c r="B86" s="194" t="inlineStr">
        <is>
          <t>ENERO 2026</t>
        </is>
      </c>
      <c r="C86" s="377">
        <f>IFERROR(SUMPRODUCT((IF('ENERO 2026'!Y6:Y119&lt;&gt;"",'ENERO 2026'!Y6:Y119,'ENERO 2026'!I6:I119)="HUAMBO")*('ENERO 2026'!K6:K119="PETROLEO")*'ENERO 2026'!M6:M119),0)</f>
        <v/>
      </c>
      <c r="D86" s="377">
        <f>IFERROR(SUMPRODUCT((IF('ENERO 2026'!Y6:Y119&lt;&gt;"",'ENERO 2026'!Y6:Y119,'ENERO 2026'!I6:I119)="HUAMBO")*('ENERO 2026'!K6:K119="PETROLEO")*'ENERO 2026'!L6:L119*'ENERO 2026'!M6:M119),0)</f>
        <v/>
      </c>
      <c r="E86" s="377">
        <f>IFERROR(SUMPRODUCT((IF('ENERO 2026'!Y6:Y119&lt;&gt;"",'ENERO 2026'!Y6:Y119,'ENERO 2026'!I6:I119)="HUAMBO")*('ENERO 2026'!K6:K119="GASOLINA")*'ENERO 2026'!M6:M119),0)</f>
        <v/>
      </c>
      <c r="F86" s="377">
        <f>IFERROR(SUMPRODUCT((IF('ENERO 2026'!Y6:Y119&lt;&gt;"",'ENERO 2026'!Y6:Y119,'ENERO 2026'!I6:I119)="HUAMBO")*('ENERO 2026'!K6:K119="GASOLINA")*'ENERO 2026'!L6:L119*'ENERO 2026'!M6:M119),0)</f>
        <v/>
      </c>
      <c r="G86" s="194" t="n"/>
      <c r="H86" s="194" t="n"/>
      <c r="I86" s="194" t="n"/>
      <c r="J86" s="194" t="n"/>
      <c r="K86" s="194" t="n"/>
      <c r="L86" s="194" t="n"/>
      <c r="M86" s="194" t="n"/>
      <c r="N86" s="194" t="n"/>
      <c r="O86" s="194" t="n"/>
      <c r="P86" s="194" t="n"/>
      <c r="Q86" s="194" t="n"/>
      <c r="R86" s="194" t="n"/>
      <c r="S86" s="194" t="n"/>
      <c r="T86" s="194" t="n"/>
      <c r="U86" s="194" t="n"/>
      <c r="V86" s="194" t="n"/>
      <c r="W86" s="194" t="n"/>
      <c r="X86" s="194" t="n"/>
      <c r="Y86" s="194" t="n"/>
      <c r="Z86" s="194" t="n"/>
    </row>
    <row r="87" ht="15" customHeight="1" s="195">
      <c r="A87" s="194" t="inlineStr">
        <is>
          <t>HUAMBO</t>
        </is>
      </c>
      <c r="B87" s="194" t="inlineStr">
        <is>
          <t>FEBRERO 2026</t>
        </is>
      </c>
      <c r="C87" s="377">
        <f>IFERROR(SUMPRODUCT((IF('FEBRERO 2026'!Y6:Y124&lt;&gt;"",'FEBRERO 2026'!Y6:Y124,'FEBRERO 2026'!I6:I124)="HUAMBO")*('FEBRERO 2026'!K6:K124="PETROLEO")*'FEBRERO 2026'!M6:M124),0)</f>
        <v/>
      </c>
      <c r="D87" s="377">
        <f>IFERROR(SUMPRODUCT((IF('FEBRERO 2026'!Y6:Y124&lt;&gt;"",'FEBRERO 2026'!Y6:Y124,'FEBRERO 2026'!I6:I124)="HUAMBO")*('FEBRERO 2026'!K6:K124="PETROLEO")*'FEBRERO 2026'!L6:L124*'FEBRERO 2026'!M6:M124),0)</f>
        <v/>
      </c>
      <c r="E87" s="377">
        <f>IFERROR(SUMPRODUCT((IF('FEBRERO 2026'!Y6:Y124&lt;&gt;"",'FEBRERO 2026'!Y6:Y124,'FEBRERO 2026'!I6:I124)="HUAMBO")*('FEBRERO 2026'!K6:K124="GASOLINA")*'FEBRERO 2026'!M6:M124),0)</f>
        <v/>
      </c>
      <c r="F87" s="377">
        <f>IFERROR(SUMPRODUCT((IF('FEBRERO 2026'!Y6:Y124&lt;&gt;"",'FEBRERO 2026'!Y6:Y124,'FEBRERO 2026'!I6:I124)="HUAMBO")*('FEBRERO 2026'!K6:K124="GASOLINA")*'FEBRERO 2026'!L6:L124*'FEBRERO 2026'!M6:M124),0)</f>
        <v/>
      </c>
      <c r="G87" s="194" t="n"/>
      <c r="H87" s="194" t="n"/>
      <c r="I87" s="194" t="n"/>
      <c r="J87" s="194" t="n"/>
      <c r="K87" s="194" t="n"/>
      <c r="L87" s="194" t="n"/>
      <c r="M87" s="194" t="n"/>
      <c r="N87" s="194" t="n"/>
      <c r="O87" s="194" t="n"/>
      <c r="P87" s="194" t="n"/>
      <c r="Q87" s="194" t="n"/>
      <c r="R87" s="194" t="n"/>
      <c r="S87" s="194" t="n"/>
      <c r="T87" s="194" t="n"/>
      <c r="U87" s="194" t="n"/>
      <c r="V87" s="194" t="n"/>
      <c r="W87" s="194" t="n"/>
      <c r="X87" s="194" t="n"/>
      <c r="Y87" s="194" t="n"/>
      <c r="Z87" s="194" t="n"/>
    </row>
    <row r="88" ht="15" customHeight="1" s="195">
      <c r="A88" s="194" t="inlineStr">
        <is>
          <t>HUAMBO</t>
        </is>
      </c>
      <c r="B88" s="194" t="inlineStr">
        <is>
          <t>MARZO 2026</t>
        </is>
      </c>
      <c r="C88" s="377">
        <f>IFERROR(SUMPRODUCT((IF('MARZO 2026'!Y6:Y119&lt;&gt;"",'MARZO 2026'!Y6:Y119,'MARZO 2026'!I6:I119)="HUAMBO")*('MARZO 2026'!K6:K119="PETROLEO")*'MARZO 2026'!M6:M119),0)</f>
        <v/>
      </c>
      <c r="D88" s="377">
        <f>IFERROR(SUMPRODUCT((IF('MARZO 2026'!Y6:Y119&lt;&gt;"",'MARZO 2026'!Y6:Y119,'MARZO 2026'!I6:I119)="HUAMBO")*('MARZO 2026'!K6:K119="PETROLEO")*'MARZO 2026'!L6:L119*'MARZO 2026'!M6:M119),0)</f>
        <v/>
      </c>
      <c r="E88" s="377">
        <f>IFERROR(SUMPRODUCT((IF('MARZO 2026'!Y6:Y119&lt;&gt;"",'MARZO 2026'!Y6:Y119,'MARZO 2026'!I6:I119)="HUAMBO")*('MARZO 2026'!K6:K119="GASOLINA")*'MARZO 2026'!M6:M119),0)</f>
        <v/>
      </c>
      <c r="F88" s="377">
        <f>IFERROR(SUMPRODUCT((IF('MARZO 2026'!Y6:Y119&lt;&gt;"",'MARZO 2026'!Y6:Y119,'MARZO 2026'!I6:I119)="HUAMBO")*('MARZO 2026'!K6:K119="GASOLINA")*'MARZO 2026'!L6:L119*'MARZO 2026'!M6:M119),0)</f>
        <v/>
      </c>
      <c r="G88" s="194" t="n"/>
      <c r="H88" s="194" t="n"/>
      <c r="I88" s="194" t="n"/>
      <c r="J88" s="194" t="n"/>
      <c r="K88" s="194" t="n"/>
      <c r="L88" s="194" t="n"/>
      <c r="M88" s="194" t="n"/>
      <c r="N88" s="194" t="n"/>
      <c r="O88" s="194" t="n"/>
      <c r="P88" s="194" t="n"/>
      <c r="Q88" s="194" t="n"/>
      <c r="R88" s="194" t="n"/>
      <c r="S88" s="194" t="n"/>
      <c r="T88" s="194" t="n"/>
      <c r="U88" s="194" t="n"/>
      <c r="V88" s="194" t="n"/>
      <c r="W88" s="194" t="n"/>
      <c r="X88" s="194" t="n"/>
      <c r="Y88" s="194" t="n"/>
      <c r="Z88" s="194" t="n"/>
    </row>
    <row r="89" ht="15" customHeight="1" s="195">
      <c r="A89" s="194" t="inlineStr">
        <is>
          <t>HUAMBO</t>
        </is>
      </c>
      <c r="B89" s="194" t="inlineStr">
        <is>
          <t>ABRIL 2026</t>
        </is>
      </c>
      <c r="C89" s="377">
        <f>IFERROR(SUMPRODUCT((IF('ABRIL 2026'!Y6:Y119&lt;&gt;"",'ABRIL 2026'!Y6:Y119,'ABRIL 2026'!I6:I119)="HUAMBO")*('ABRIL 2026'!K6:K119="PETROLEO")*'ABRIL 2026'!M6:M119),0)</f>
        <v/>
      </c>
      <c r="D89" s="377">
        <f>IFERROR(SUMPRODUCT((IF('ABRIL 2026'!Y6:Y119&lt;&gt;"",'ABRIL 2026'!Y6:Y119,'ABRIL 2026'!I6:I119)="HUAMBO")*('ABRIL 2026'!K6:K119="PETROLEO")*'ABRIL 2026'!L6:L119*'ABRIL 2026'!M6:M119),0)</f>
        <v/>
      </c>
      <c r="E89" s="377">
        <f>IFERROR(SUMPRODUCT((IF('ABRIL 2026'!Y6:Y119&lt;&gt;"",'ABRIL 2026'!Y6:Y119,'ABRIL 2026'!I6:I119)="HUAMBO")*('ABRIL 2026'!K6:K119="GASOLINA")*'ABRIL 2026'!M6:M119),0)</f>
        <v/>
      </c>
      <c r="F89" s="377">
        <f>IFERROR(SUMPRODUCT((IF('ABRIL 2026'!Y6:Y119&lt;&gt;"",'ABRIL 2026'!Y6:Y119,'ABRIL 2026'!I6:I119)="HUAMBO")*('ABRIL 2026'!K6:K119="GASOLINA")*'ABRIL 2026'!L6:L119*'ABRIL 2026'!M6:M119),0)</f>
        <v/>
      </c>
      <c r="G89" s="194" t="n"/>
      <c r="H89" s="194" t="n"/>
      <c r="I89" s="194" t="n"/>
      <c r="J89" s="194" t="n"/>
      <c r="K89" s="194" t="n"/>
      <c r="L89" s="194" t="n"/>
      <c r="M89" s="194" t="n"/>
      <c r="N89" s="194" t="n"/>
      <c r="O89" s="194" t="n"/>
      <c r="P89" s="194" t="n"/>
      <c r="Q89" s="194" t="n"/>
      <c r="R89" s="194" t="n"/>
      <c r="S89" s="194" t="n"/>
      <c r="T89" s="194" t="n"/>
      <c r="U89" s="194" t="n"/>
      <c r="V89" s="194" t="n"/>
      <c r="W89" s="194" t="n"/>
      <c r="X89" s="194" t="n"/>
      <c r="Y89" s="194" t="n"/>
      <c r="Z89" s="194" t="n"/>
    </row>
    <row r="90" ht="15" customHeight="1" s="195">
      <c r="A90" s="194" t="inlineStr">
        <is>
          <t>HUAMBO</t>
        </is>
      </c>
      <c r="B90" s="194" t="inlineStr">
        <is>
          <t>MAYO 2026</t>
        </is>
      </c>
      <c r="C90" s="377">
        <f>IFERROR(SUMPRODUCT((IF('MAYO 2026'!Y6:Y110&lt;&gt;"",'MAYO 2026'!Y6:Y110,'MAYO 2026'!I6:I110)="HUAMBO")*('MAYO 2026'!K6:K110="PETROLEO")*'MAYO 2026'!M6:M110),0)</f>
        <v/>
      </c>
      <c r="D90" s="377">
        <f>IFERROR(SUMPRODUCT((IF('MAYO 2026'!Y6:Y110&lt;&gt;"",'MAYO 2026'!Y6:Y110,'MAYO 2026'!I6:I110)="HUAMBO")*('MAYO 2026'!K6:K110="PETROLEO")*'MAYO 2026'!L6:L110*'MAYO 2026'!M6:M110),0)</f>
        <v/>
      </c>
      <c r="E90" s="377">
        <f>IFERROR(SUMPRODUCT((IF('MAYO 2026'!Y6:Y110&lt;&gt;"",'MAYO 2026'!Y6:Y110,'MAYO 2026'!I6:I110)="HUAMBO")*('MAYO 2026'!K6:K110="GASOLINA")*'MAYO 2026'!M6:M110),0)</f>
        <v/>
      </c>
      <c r="F90" s="377">
        <f>IFERROR(SUMPRODUCT((IF('MAYO 2026'!Y6:Y110&lt;&gt;"",'MAYO 2026'!Y6:Y110,'MAYO 2026'!I6:I110)="HUAMBO")*('MAYO 2026'!K6:K110="GASOLINA")*'MAYO 2026'!L6:L110*'MAYO 2026'!M6:M110),0)</f>
        <v/>
      </c>
      <c r="G90" s="194" t="n"/>
      <c r="H90" s="194" t="n"/>
      <c r="I90" s="194" t="n"/>
      <c r="J90" s="194" t="n"/>
      <c r="K90" s="194" t="n"/>
      <c r="L90" s="194" t="n"/>
      <c r="M90" s="194" t="n"/>
      <c r="N90" s="194" t="n"/>
      <c r="O90" s="194" t="n"/>
      <c r="P90" s="194" t="n"/>
      <c r="Q90" s="194" t="n"/>
      <c r="R90" s="194" t="n"/>
      <c r="S90" s="194" t="n"/>
      <c r="T90" s="194" t="n"/>
      <c r="U90" s="194" t="n"/>
      <c r="V90" s="194" t="n"/>
      <c r="W90" s="194" t="n"/>
      <c r="X90" s="194" t="n"/>
      <c r="Y90" s="194" t="n"/>
      <c r="Z90" s="194" t="n"/>
    </row>
    <row r="91" ht="15" customHeight="1" s="195">
      <c r="A91" s="194" t="inlineStr">
        <is>
          <t>HUAMBO</t>
        </is>
      </c>
      <c r="B91" s="194" t="inlineStr">
        <is>
          <t>JUNIO 2026</t>
        </is>
      </c>
      <c r="C91" s="377">
        <f>IFERROR(SUMPRODUCT((IF('JUNIO 2026'!Y6:Y110&lt;&gt;"",'JUNIO 2026'!Y6:Y110,'JUNIO 2026'!I6:I110)="HUAMBO")*('JUNIO 2026'!K6:K110="PETROLEO")*'JUNIO 2026'!M6:M110),0)</f>
        <v/>
      </c>
      <c r="D91" s="377">
        <f>IFERROR(SUMPRODUCT((IF('JUNIO 2026'!Y6:Y110&lt;&gt;"",'JUNIO 2026'!Y6:Y110,'JUNIO 2026'!I6:I110)="HUAMBO")*('JUNIO 2026'!K6:K110="PETROLEO")*'JUNIO 2026'!L6:L110*'JUNIO 2026'!M6:M110),0)</f>
        <v/>
      </c>
      <c r="E91" s="377">
        <f>IFERROR(SUMPRODUCT((IF('JUNIO 2026'!Y6:Y110&lt;&gt;"",'JUNIO 2026'!Y6:Y110,'JUNIO 2026'!I6:I110)="HUAMBO")*('JUNIO 2026'!K6:K110="GASOLINA")*'JUNIO 2026'!M6:M110),0)</f>
        <v/>
      </c>
      <c r="F91" s="377">
        <f>IFERROR(SUMPRODUCT((IF('JUNIO 2026'!Y6:Y110&lt;&gt;"",'JUNIO 2026'!Y6:Y110,'JUNIO 2026'!I6:I110)="HUAMBO")*('JUNIO 2026'!K6:K110="GASOLINA")*'JUNIO 2026'!L6:L110*'JUNIO 2026'!M6:M110),0)</f>
        <v/>
      </c>
      <c r="G91" s="194" t="n"/>
      <c r="H91" s="194" t="n"/>
      <c r="I91" s="194" t="n"/>
      <c r="J91" s="194" t="n"/>
      <c r="K91" s="194" t="n"/>
      <c r="L91" s="194" t="n"/>
      <c r="M91" s="194" t="n"/>
      <c r="N91" s="194" t="n"/>
      <c r="O91" s="194" t="n"/>
      <c r="P91" s="194" t="n"/>
      <c r="Q91" s="194" t="n"/>
      <c r="R91" s="194" t="n"/>
      <c r="S91" s="194" t="n"/>
      <c r="T91" s="194" t="n"/>
      <c r="U91" s="194" t="n"/>
      <c r="V91" s="194" t="n"/>
      <c r="W91" s="194" t="n"/>
      <c r="X91" s="194" t="n"/>
      <c r="Y91" s="194" t="n"/>
      <c r="Z91" s="194" t="n"/>
    </row>
    <row r="92" ht="15" customHeight="1" s="195">
      <c r="A92" s="194" t="inlineStr">
        <is>
          <t>HUAMBO</t>
        </is>
      </c>
      <c r="B92" s="194" t="inlineStr">
        <is>
          <t>JULIO 2026</t>
        </is>
      </c>
      <c r="C92" s="377">
        <f>IFERROR(SUMPRODUCT((IF('JULIO 2026'!Y6:Y110&lt;&gt;"",'JULIO 2026'!Y6:Y110,'JULIO 2026'!I6:I110)="HUAMBO")*('JULIO 2026'!K6:K110="PETROLEO")*'JULIO 2026'!M6:M110),0)</f>
        <v/>
      </c>
      <c r="D92" s="377">
        <f>IFERROR(SUMPRODUCT((IF('JULIO 2026'!Y6:Y110&lt;&gt;"",'JULIO 2026'!Y6:Y110,'JULIO 2026'!I6:I110)="HUAMBO")*('JULIO 2026'!K6:K110="PETROLEO")*'JULIO 2026'!L6:L110*'JULIO 2026'!M6:M110),0)</f>
        <v/>
      </c>
      <c r="E92" s="377">
        <f>IFERROR(SUMPRODUCT((IF('JULIO 2026'!Y6:Y110&lt;&gt;"",'JULIO 2026'!Y6:Y110,'JULIO 2026'!I6:I110)="HUAMBO")*('JULIO 2026'!K6:K110="GASOLINA")*'JULIO 2026'!M6:M110),0)</f>
        <v/>
      </c>
      <c r="F92" s="377">
        <f>IFERROR(SUMPRODUCT((IF('JULIO 2026'!Y6:Y110&lt;&gt;"",'JULIO 2026'!Y6:Y110,'JULIO 2026'!I6:I110)="HUAMBO")*('JULIO 2026'!K6:K110="GASOLINA")*'JULIO 2026'!L6:L110*'JULIO 2026'!M6:M110),0)</f>
        <v/>
      </c>
      <c r="G92" s="194" t="n"/>
      <c r="H92" s="194" t="n"/>
      <c r="I92" s="194" t="n"/>
      <c r="J92" s="194" t="n"/>
      <c r="K92" s="194" t="n"/>
      <c r="L92" s="194" t="n"/>
      <c r="M92" s="194" t="n"/>
      <c r="N92" s="194" t="n"/>
      <c r="O92" s="194" t="n"/>
      <c r="P92" s="194" t="n"/>
      <c r="Q92" s="194" t="n"/>
      <c r="R92" s="194" t="n"/>
      <c r="S92" s="194" t="n"/>
      <c r="T92" s="194" t="n"/>
      <c r="U92" s="194" t="n"/>
      <c r="V92" s="194" t="n"/>
      <c r="W92" s="194" t="n"/>
      <c r="X92" s="194" t="n"/>
      <c r="Y92" s="194" t="n"/>
      <c r="Z92" s="194" t="n"/>
    </row>
    <row r="93" ht="15" customHeight="1" s="195">
      <c r="A93" s="194" t="inlineStr">
        <is>
          <t>HUAMBO</t>
        </is>
      </c>
      <c r="B93" s="194" t="inlineStr">
        <is>
          <t>AGOSTO 2026</t>
        </is>
      </c>
      <c r="C93" s="377">
        <f>IFERROR(SUMPRODUCT((IF('AGOSTO 2026'!Y6:Y110&lt;&gt;"",'AGOSTO 2026'!Y6:Y110,'AGOSTO 2026'!I6:I110)="HUAMBO")*('AGOSTO 2026'!K6:K110="PETROLEO")*'AGOSTO 2026'!M6:M110),0)</f>
        <v/>
      </c>
      <c r="D93" s="377">
        <f>IFERROR(SUMPRODUCT((IF('AGOSTO 2026'!Y6:Y110&lt;&gt;"",'AGOSTO 2026'!Y6:Y110,'AGOSTO 2026'!I6:I110)="HUAMBO")*('AGOSTO 2026'!K6:K110="PETROLEO")*'AGOSTO 2026'!L6:L110*'AGOSTO 2026'!M6:M110),0)</f>
        <v/>
      </c>
      <c r="E93" s="377">
        <f>IFERROR(SUMPRODUCT((IF('AGOSTO 2026'!Y6:Y110&lt;&gt;"",'AGOSTO 2026'!Y6:Y110,'AGOSTO 2026'!I6:I110)="HUAMBO")*('AGOSTO 2026'!K6:K110="GASOLINA")*'AGOSTO 2026'!M6:M110),0)</f>
        <v/>
      </c>
      <c r="F93" s="377">
        <f>IFERROR(SUMPRODUCT((IF('AGOSTO 2026'!Y6:Y110&lt;&gt;"",'AGOSTO 2026'!Y6:Y110,'AGOSTO 2026'!I6:I110)="HUAMBO")*('AGOSTO 2026'!K6:K110="GASOLINA")*'AGOSTO 2026'!L6:L110*'AGOSTO 2026'!M6:M110),0)</f>
        <v/>
      </c>
      <c r="G93" s="194" t="n"/>
      <c r="H93" s="194" t="n"/>
      <c r="I93" s="194" t="n"/>
      <c r="J93" s="194" t="n"/>
      <c r="K93" s="194" t="n"/>
      <c r="L93" s="194" t="n"/>
      <c r="M93" s="194" t="n"/>
      <c r="N93" s="194" t="n"/>
      <c r="O93" s="194" t="n"/>
      <c r="P93" s="194" t="n"/>
      <c r="Q93" s="194" t="n"/>
      <c r="R93" s="194" t="n"/>
      <c r="S93" s="194" t="n"/>
      <c r="T93" s="194" t="n"/>
      <c r="U93" s="194" t="n"/>
      <c r="V93" s="194" t="n"/>
      <c r="W93" s="194" t="n"/>
      <c r="X93" s="194" t="n"/>
      <c r="Y93" s="194" t="n"/>
      <c r="Z93" s="194" t="n"/>
    </row>
    <row r="94" ht="15" customHeight="1" s="195">
      <c r="A94" s="194" t="inlineStr">
        <is>
          <t>HUAMBO</t>
        </is>
      </c>
      <c r="B94" s="194" t="inlineStr">
        <is>
          <t>SETIEMBRE 2026</t>
        </is>
      </c>
      <c r="C94" s="377">
        <f>IFERROR(SUMPRODUCT((IF('SETIEMBRE 2026'!Y6:Y110&lt;&gt;"",'SETIEMBRE 2026'!Y6:Y110,'SETIEMBRE 2026'!I6:I110)="HUAMBO")*('SETIEMBRE 2026'!K6:K110="PETROLEO")*'SETIEMBRE 2026'!M6:M110),0)</f>
        <v/>
      </c>
      <c r="D94" s="377">
        <f>IFERROR(SUMPRODUCT((IF('SETIEMBRE 2026'!Y6:Y110&lt;&gt;"",'SETIEMBRE 2026'!Y6:Y110,'SETIEMBRE 2026'!I6:I110)="HUAMBO")*('SETIEMBRE 2026'!K6:K110="PETROLEO")*'SETIEMBRE 2026'!L6:L110*'SETIEMBRE 2026'!M6:M110),0)</f>
        <v/>
      </c>
      <c r="E94" s="377">
        <f>IFERROR(SUMPRODUCT((IF('SETIEMBRE 2026'!Y6:Y110&lt;&gt;"",'SETIEMBRE 2026'!Y6:Y110,'SETIEMBRE 2026'!I6:I110)="HUAMBO")*('SETIEMBRE 2026'!K6:K110="GASOLINA")*'SETIEMBRE 2026'!M6:M110),0)</f>
        <v/>
      </c>
      <c r="F94" s="377">
        <f>IFERROR(SUMPRODUCT((IF('SETIEMBRE 2026'!Y6:Y110&lt;&gt;"",'SETIEMBRE 2026'!Y6:Y110,'SETIEMBRE 2026'!I6:I110)="HUAMBO")*('SETIEMBRE 2026'!K6:K110="GASOLINA")*'SETIEMBRE 2026'!L6:L110*'SETIEMBRE 2026'!M6:M110),0)</f>
        <v/>
      </c>
      <c r="G94" s="194" t="n"/>
      <c r="H94" s="194" t="n"/>
      <c r="I94" s="194" t="n"/>
      <c r="J94" s="194" t="n"/>
      <c r="K94" s="194" t="n"/>
      <c r="L94" s="194" t="n"/>
      <c r="M94" s="194" t="n"/>
      <c r="N94" s="194" t="n"/>
      <c r="O94" s="194" t="n"/>
      <c r="P94" s="194" t="n"/>
      <c r="Q94" s="194" t="n"/>
      <c r="R94" s="194" t="n"/>
      <c r="S94" s="194" t="n"/>
      <c r="T94" s="194" t="n"/>
      <c r="U94" s="194" t="n"/>
      <c r="V94" s="194" t="n"/>
      <c r="W94" s="194" t="n"/>
      <c r="X94" s="194" t="n"/>
      <c r="Y94" s="194" t="n"/>
      <c r="Z94" s="194" t="n"/>
    </row>
    <row r="95" ht="15" customHeight="1" s="195">
      <c r="A95" s="194" t="inlineStr">
        <is>
          <t>HUAMBO</t>
        </is>
      </c>
      <c r="B95" s="194" t="inlineStr">
        <is>
          <t>OCTUBRE 2026</t>
        </is>
      </c>
      <c r="C95" s="377">
        <f>IFERROR(SUMPRODUCT((IF('OCTUBRE 2026'!Y6:Y110&lt;&gt;"",'OCTUBRE 2026'!Y6:Y110,'OCTUBRE 2026'!I6:I110)="HUAMBO")*('OCTUBRE 2026'!K6:K110="PETROLEO")*'OCTUBRE 2026'!M6:M110),0)</f>
        <v/>
      </c>
      <c r="D95" s="377">
        <f>IFERROR(SUMPRODUCT((IF('OCTUBRE 2026'!Y6:Y110&lt;&gt;"",'OCTUBRE 2026'!Y6:Y110,'OCTUBRE 2026'!I6:I110)="HUAMBO")*('OCTUBRE 2026'!K6:K110="PETROLEO")*'OCTUBRE 2026'!L6:L110*'OCTUBRE 2026'!M6:M110),0)</f>
        <v/>
      </c>
      <c r="E95" s="377">
        <f>IFERROR(SUMPRODUCT((IF('OCTUBRE 2026'!Y6:Y110&lt;&gt;"",'OCTUBRE 2026'!Y6:Y110,'OCTUBRE 2026'!I6:I110)="HUAMBO")*('OCTUBRE 2026'!K6:K110="GASOLINA")*'OCTUBRE 2026'!M6:M110),0)</f>
        <v/>
      </c>
      <c r="F95" s="377">
        <f>IFERROR(SUMPRODUCT((IF('OCTUBRE 2026'!Y6:Y110&lt;&gt;"",'OCTUBRE 2026'!Y6:Y110,'OCTUBRE 2026'!I6:I110)="HUAMBO")*('OCTUBRE 2026'!K6:K110="GASOLINA")*'OCTUBRE 2026'!L6:L110*'OCTUBRE 2026'!M6:M110),0)</f>
        <v/>
      </c>
      <c r="G95" s="194" t="n"/>
      <c r="H95" s="194" t="n"/>
      <c r="I95" s="194" t="n"/>
      <c r="J95" s="194" t="n"/>
      <c r="K95" s="194" t="n"/>
      <c r="L95" s="194" t="n"/>
      <c r="M95" s="194" t="n"/>
      <c r="N95" s="194" t="n"/>
      <c r="O95" s="194" t="n"/>
      <c r="P95" s="194" t="n"/>
      <c r="Q95" s="194" t="n"/>
      <c r="R95" s="194" t="n"/>
      <c r="S95" s="194" t="n"/>
      <c r="T95" s="194" t="n"/>
      <c r="U95" s="194" t="n"/>
      <c r="V95" s="194" t="n"/>
      <c r="W95" s="194" t="n"/>
      <c r="X95" s="194" t="n"/>
      <c r="Y95" s="194" t="n"/>
      <c r="Z95" s="194" t="n"/>
    </row>
    <row r="96" ht="15" customHeight="1" s="195">
      <c r="A96" s="194" t="inlineStr">
        <is>
          <t>HUAMBO</t>
        </is>
      </c>
      <c r="B96" s="194" t="inlineStr">
        <is>
          <t>NOVIEMBRE 2026</t>
        </is>
      </c>
      <c r="C96" s="377">
        <f>IFERROR(SUMPRODUCT((IF('NOVIEMBRE 2026'!Y6:Y110&lt;&gt;"",'NOVIEMBRE 2026'!Y6:Y110,'NOVIEMBRE 2026'!I6:I110)="HUAMBO")*('NOVIEMBRE 2026'!K6:K110="PETROLEO")*'NOVIEMBRE 2026'!M6:M110),0)</f>
        <v/>
      </c>
      <c r="D96" s="377">
        <f>IFERROR(SUMPRODUCT((IF('NOVIEMBRE 2026'!Y6:Y110&lt;&gt;"",'NOVIEMBRE 2026'!Y6:Y110,'NOVIEMBRE 2026'!I6:I110)="HUAMBO")*('NOVIEMBRE 2026'!K6:K110="PETROLEO")*'NOVIEMBRE 2026'!L6:L110*'NOVIEMBRE 2026'!M6:M110),0)</f>
        <v/>
      </c>
      <c r="E96" s="377">
        <f>IFERROR(SUMPRODUCT((IF('NOVIEMBRE 2026'!Y6:Y110&lt;&gt;"",'NOVIEMBRE 2026'!Y6:Y110,'NOVIEMBRE 2026'!I6:I110)="HUAMBO")*('NOVIEMBRE 2026'!K6:K110="GASOLINA")*'NOVIEMBRE 2026'!M6:M110),0)</f>
        <v/>
      </c>
      <c r="F96" s="377">
        <f>IFERROR(SUMPRODUCT((IF('NOVIEMBRE 2026'!Y6:Y110&lt;&gt;"",'NOVIEMBRE 2026'!Y6:Y110,'NOVIEMBRE 2026'!I6:I110)="HUAMBO")*('NOVIEMBRE 2026'!K6:K110="GASOLINA")*'NOVIEMBRE 2026'!L6:L110*'NOVIEMBRE 2026'!M6:M110),0)</f>
        <v/>
      </c>
      <c r="G96" s="194" t="n"/>
      <c r="H96" s="194" t="n"/>
      <c r="I96" s="194" t="n"/>
      <c r="J96" s="194" t="n"/>
      <c r="K96" s="194" t="n"/>
      <c r="L96" s="194" t="n"/>
      <c r="M96" s="194" t="n"/>
      <c r="N96" s="194" t="n"/>
      <c r="O96" s="194" t="n"/>
      <c r="P96" s="194" t="n"/>
      <c r="Q96" s="194" t="n"/>
      <c r="R96" s="194" t="n"/>
      <c r="S96" s="194" t="n"/>
      <c r="T96" s="194" t="n"/>
      <c r="U96" s="194" t="n"/>
      <c r="V96" s="194" t="n"/>
      <c r="W96" s="194" t="n"/>
      <c r="X96" s="194" t="n"/>
      <c r="Y96" s="194" t="n"/>
      <c r="Z96" s="194" t="n"/>
    </row>
    <row r="97" ht="15" customHeight="1" s="195">
      <c r="A97" s="194" t="inlineStr">
        <is>
          <t>HUAMBO</t>
        </is>
      </c>
      <c r="B97" s="194" t="inlineStr">
        <is>
          <t>DICIEMBRE 2026</t>
        </is>
      </c>
      <c r="C97" s="377">
        <f>IFERROR(SUMPRODUCT((IF('DICIEMBRE 2026'!Y6:Y110&lt;&gt;"",'DICIEMBRE 2026'!Y6:Y110,'DICIEMBRE 2026'!I6:I110)="HUAMBO")*('DICIEMBRE 2026'!K6:K110="PETROLEO")*'DICIEMBRE 2026'!M6:M110),0)</f>
        <v/>
      </c>
      <c r="D97" s="377">
        <f>IFERROR(SUMPRODUCT((IF('DICIEMBRE 2026'!Y6:Y110&lt;&gt;"",'DICIEMBRE 2026'!Y6:Y110,'DICIEMBRE 2026'!I6:I110)="HUAMBO")*('DICIEMBRE 2026'!K6:K110="PETROLEO")*'DICIEMBRE 2026'!L6:L110*'DICIEMBRE 2026'!M6:M110),0)</f>
        <v/>
      </c>
      <c r="E97" s="377">
        <f>IFERROR(SUMPRODUCT((IF('DICIEMBRE 2026'!Y6:Y110&lt;&gt;"",'DICIEMBRE 2026'!Y6:Y110,'DICIEMBRE 2026'!I6:I110)="HUAMBO")*('DICIEMBRE 2026'!K6:K110="GASOLINA")*'DICIEMBRE 2026'!M6:M110),0)</f>
        <v/>
      </c>
      <c r="F97" s="377">
        <f>IFERROR(SUMPRODUCT((IF('DICIEMBRE 2026'!Y6:Y110&lt;&gt;"",'DICIEMBRE 2026'!Y6:Y110,'DICIEMBRE 2026'!I6:I110)="HUAMBO")*('DICIEMBRE 2026'!K6:K110="GASOLINA")*'DICIEMBRE 2026'!L6:L110*'DICIEMBRE 2026'!M6:M110),0)</f>
        <v/>
      </c>
      <c r="G97" s="194" t="n"/>
      <c r="H97" s="194" t="n"/>
      <c r="I97" s="194" t="n"/>
      <c r="J97" s="194" t="n"/>
      <c r="K97" s="194" t="n"/>
      <c r="L97" s="194" t="n"/>
      <c r="M97" s="194" t="n"/>
      <c r="N97" s="194" t="n"/>
      <c r="O97" s="194" t="n"/>
      <c r="P97" s="194" t="n"/>
      <c r="Q97" s="194" t="n"/>
      <c r="R97" s="194" t="n"/>
      <c r="S97" s="194" t="n"/>
      <c r="T97" s="194" t="n"/>
      <c r="U97" s="194" t="n"/>
      <c r="V97" s="194" t="n"/>
      <c r="W97" s="194" t="n"/>
      <c r="X97" s="194" t="n"/>
      <c r="Y97" s="194" t="n"/>
      <c r="Z97" s="194" t="n"/>
    </row>
    <row r="98" ht="15" customHeight="1" s="195">
      <c r="A98" s="194" t="inlineStr">
        <is>
          <t>JALCA GRANDE</t>
        </is>
      </c>
      <c r="B98" s="194" t="inlineStr">
        <is>
          <t>ENERO 2026</t>
        </is>
      </c>
      <c r="C98" s="377">
        <f>IFERROR(SUMPRODUCT((IF('ENERO 2026'!Y6:Y119&lt;&gt;"",'ENERO 2026'!Y6:Y119,'ENERO 2026'!I6:I119)="JALCA GRANDE")*('ENERO 2026'!K6:K119="PETROLEO")*'ENERO 2026'!M6:M119),0)</f>
        <v/>
      </c>
      <c r="D98" s="377">
        <f>IFERROR(SUMPRODUCT((IF('ENERO 2026'!Y6:Y119&lt;&gt;"",'ENERO 2026'!Y6:Y119,'ENERO 2026'!I6:I119)="JALCA GRANDE")*('ENERO 2026'!K6:K119="PETROLEO")*'ENERO 2026'!L6:L119*'ENERO 2026'!M6:M119),0)</f>
        <v/>
      </c>
      <c r="E98" s="377">
        <f>IFERROR(SUMPRODUCT((IF('ENERO 2026'!Y6:Y119&lt;&gt;"",'ENERO 2026'!Y6:Y119,'ENERO 2026'!I6:I119)="JALCA GRANDE")*('ENERO 2026'!K6:K119="GASOLINA")*'ENERO 2026'!M6:M119),0)</f>
        <v/>
      </c>
      <c r="F98" s="377">
        <f>IFERROR(SUMPRODUCT((IF('ENERO 2026'!Y6:Y119&lt;&gt;"",'ENERO 2026'!Y6:Y119,'ENERO 2026'!I6:I119)="JALCA GRANDE")*('ENERO 2026'!K6:K119="GASOLINA")*'ENERO 2026'!L6:L119*'ENERO 2026'!M6:M119),0)</f>
        <v/>
      </c>
      <c r="G98" s="194" t="n"/>
      <c r="H98" s="194" t="n"/>
      <c r="I98" s="194" t="n"/>
      <c r="J98" s="194" t="n"/>
      <c r="K98" s="194" t="n"/>
      <c r="L98" s="194" t="n"/>
      <c r="M98" s="194" t="n"/>
      <c r="N98" s="194" t="n"/>
      <c r="O98" s="194" t="n"/>
      <c r="P98" s="194" t="n"/>
      <c r="Q98" s="194" t="n"/>
      <c r="R98" s="194" t="n"/>
      <c r="S98" s="194" t="n"/>
      <c r="T98" s="194" t="n"/>
      <c r="U98" s="194" t="n"/>
      <c r="V98" s="194" t="n"/>
      <c r="W98" s="194" t="n"/>
      <c r="X98" s="194" t="n"/>
      <c r="Y98" s="194" t="n"/>
      <c r="Z98" s="194" t="n"/>
    </row>
    <row r="99" ht="15" customHeight="1" s="195">
      <c r="A99" s="194" t="inlineStr">
        <is>
          <t>JALCA GRANDE</t>
        </is>
      </c>
      <c r="B99" s="194" t="inlineStr">
        <is>
          <t>FEBRERO 2026</t>
        </is>
      </c>
      <c r="C99" s="377">
        <f>IFERROR(SUMPRODUCT((IF('FEBRERO 2026'!Y6:Y124&lt;&gt;"",'FEBRERO 2026'!Y6:Y124,'FEBRERO 2026'!I6:I124)="JALCA GRANDE")*('FEBRERO 2026'!K6:K124="PETROLEO")*'FEBRERO 2026'!M6:M124),0)</f>
        <v/>
      </c>
      <c r="D99" s="377">
        <f>IFERROR(SUMPRODUCT((IF('FEBRERO 2026'!Y6:Y124&lt;&gt;"",'FEBRERO 2026'!Y6:Y124,'FEBRERO 2026'!I6:I124)="JALCA GRANDE")*('FEBRERO 2026'!K6:K124="PETROLEO")*'FEBRERO 2026'!L6:L124*'FEBRERO 2026'!M6:M124),0)</f>
        <v/>
      </c>
      <c r="E99" s="377">
        <f>IFERROR(SUMPRODUCT((IF('FEBRERO 2026'!Y6:Y124&lt;&gt;"",'FEBRERO 2026'!Y6:Y124,'FEBRERO 2026'!I6:I124)="JALCA GRANDE")*('FEBRERO 2026'!K6:K124="GASOLINA")*'FEBRERO 2026'!M6:M124),0)</f>
        <v/>
      </c>
      <c r="F99" s="377">
        <f>IFERROR(SUMPRODUCT((IF('FEBRERO 2026'!Y6:Y124&lt;&gt;"",'FEBRERO 2026'!Y6:Y124,'FEBRERO 2026'!I6:I124)="JALCA GRANDE")*('FEBRERO 2026'!K6:K124="GASOLINA")*'FEBRERO 2026'!L6:L124*'FEBRERO 2026'!M6:M124),0)</f>
        <v/>
      </c>
      <c r="G99" s="194" t="n"/>
      <c r="H99" s="194" t="n"/>
      <c r="I99" s="194" t="n"/>
      <c r="J99" s="194" t="n"/>
      <c r="K99" s="194" t="n"/>
      <c r="L99" s="194" t="n"/>
      <c r="M99" s="194" t="n"/>
      <c r="N99" s="194" t="n"/>
      <c r="O99" s="194" t="n"/>
      <c r="P99" s="194" t="n"/>
      <c r="Q99" s="194" t="n"/>
      <c r="R99" s="194" t="n"/>
      <c r="S99" s="194" t="n"/>
      <c r="T99" s="194" t="n"/>
      <c r="U99" s="194" t="n"/>
      <c r="V99" s="194" t="n"/>
      <c r="W99" s="194" t="n"/>
      <c r="X99" s="194" t="n"/>
      <c r="Y99" s="194" t="n"/>
      <c r="Z99" s="194" t="n"/>
    </row>
    <row r="100" ht="15" customHeight="1" s="195">
      <c r="A100" s="194" t="inlineStr">
        <is>
          <t>JALCA GRANDE</t>
        </is>
      </c>
      <c r="B100" s="194" t="inlineStr">
        <is>
          <t>MARZO 2026</t>
        </is>
      </c>
      <c r="C100" s="377">
        <f>IFERROR(SUMPRODUCT((IF('MARZO 2026'!Y6:Y119&lt;&gt;"",'MARZO 2026'!Y6:Y119,'MARZO 2026'!I6:I119)="JALCA GRANDE")*('MARZO 2026'!K6:K119="PETROLEO")*'MARZO 2026'!M6:M119),0)</f>
        <v/>
      </c>
      <c r="D100" s="377">
        <f>IFERROR(SUMPRODUCT((IF('MARZO 2026'!Y6:Y119&lt;&gt;"",'MARZO 2026'!Y6:Y119,'MARZO 2026'!I6:I119)="JALCA GRANDE")*('MARZO 2026'!K6:K119="PETROLEO")*'MARZO 2026'!L6:L119*'MARZO 2026'!M6:M119),0)</f>
        <v/>
      </c>
      <c r="E100" s="377">
        <f>IFERROR(SUMPRODUCT((IF('MARZO 2026'!Y6:Y119&lt;&gt;"",'MARZO 2026'!Y6:Y119,'MARZO 2026'!I6:I119)="JALCA GRANDE")*('MARZO 2026'!K6:K119="GASOLINA")*'MARZO 2026'!M6:M119),0)</f>
        <v/>
      </c>
      <c r="F100" s="377">
        <f>IFERROR(SUMPRODUCT((IF('MARZO 2026'!Y6:Y119&lt;&gt;"",'MARZO 2026'!Y6:Y119,'MARZO 2026'!I6:I119)="JALCA GRANDE")*('MARZO 2026'!K6:K119="GASOLINA")*'MARZO 2026'!L6:L119*'MARZO 2026'!M6:M119),0)</f>
        <v/>
      </c>
      <c r="G100" s="194" t="n"/>
      <c r="H100" s="194" t="n"/>
      <c r="I100" s="194" t="n"/>
      <c r="J100" s="194" t="n"/>
      <c r="K100" s="194" t="n"/>
      <c r="L100" s="194" t="n"/>
      <c r="M100" s="194" t="n"/>
      <c r="N100" s="194" t="n"/>
      <c r="O100" s="194" t="n"/>
      <c r="P100" s="194" t="n"/>
      <c r="Q100" s="194" t="n"/>
      <c r="R100" s="194" t="n"/>
      <c r="S100" s="194" t="n"/>
      <c r="T100" s="194" t="n"/>
      <c r="U100" s="194" t="n"/>
      <c r="V100" s="194" t="n"/>
      <c r="W100" s="194" t="n"/>
      <c r="X100" s="194" t="n"/>
      <c r="Y100" s="194" t="n"/>
      <c r="Z100" s="194" t="n"/>
    </row>
    <row r="101" ht="15" customHeight="1" s="195">
      <c r="A101" s="194" t="inlineStr">
        <is>
          <t>JALCA GRANDE</t>
        </is>
      </c>
      <c r="B101" s="194" t="inlineStr">
        <is>
          <t>ABRIL 2026</t>
        </is>
      </c>
      <c r="C101" s="377">
        <f>IFERROR(SUMPRODUCT((IF('ABRIL 2026'!Y6:Y119&lt;&gt;"",'ABRIL 2026'!Y6:Y119,'ABRIL 2026'!I6:I119)="JALCA GRANDE")*('ABRIL 2026'!K6:K119="PETROLEO")*'ABRIL 2026'!M6:M119),0)</f>
        <v/>
      </c>
      <c r="D101" s="377">
        <f>IFERROR(SUMPRODUCT((IF('ABRIL 2026'!Y6:Y119&lt;&gt;"",'ABRIL 2026'!Y6:Y119,'ABRIL 2026'!I6:I119)="JALCA GRANDE")*('ABRIL 2026'!K6:K119="PETROLEO")*'ABRIL 2026'!L6:L119*'ABRIL 2026'!M6:M119),0)</f>
        <v/>
      </c>
      <c r="E101" s="377">
        <f>IFERROR(SUMPRODUCT((IF('ABRIL 2026'!Y6:Y119&lt;&gt;"",'ABRIL 2026'!Y6:Y119,'ABRIL 2026'!I6:I119)="JALCA GRANDE")*('ABRIL 2026'!K6:K119="GASOLINA")*'ABRIL 2026'!M6:M119),0)</f>
        <v/>
      </c>
      <c r="F101" s="377">
        <f>IFERROR(SUMPRODUCT((IF('ABRIL 2026'!Y6:Y119&lt;&gt;"",'ABRIL 2026'!Y6:Y119,'ABRIL 2026'!I6:I119)="JALCA GRANDE")*('ABRIL 2026'!K6:K119="GASOLINA")*'ABRIL 2026'!L6:L119*'ABRIL 2026'!M6:M119),0)</f>
        <v/>
      </c>
      <c r="G101" s="194" t="n"/>
      <c r="H101" s="194" t="n"/>
      <c r="I101" s="194" t="n"/>
      <c r="J101" s="194" t="n"/>
      <c r="K101" s="194" t="n"/>
      <c r="L101" s="194" t="n"/>
      <c r="M101" s="194" t="n"/>
      <c r="N101" s="194" t="n"/>
      <c r="O101" s="194" t="n"/>
      <c r="P101" s="194" t="n"/>
      <c r="Q101" s="194" t="n"/>
      <c r="R101" s="194" t="n"/>
      <c r="S101" s="194" t="n"/>
      <c r="T101" s="194" t="n"/>
      <c r="U101" s="194" t="n"/>
      <c r="V101" s="194" t="n"/>
      <c r="W101" s="194" t="n"/>
      <c r="X101" s="194" t="n"/>
      <c r="Y101" s="194" t="n"/>
      <c r="Z101" s="194" t="n"/>
    </row>
    <row r="102" ht="15" customHeight="1" s="195">
      <c r="A102" s="194" t="inlineStr">
        <is>
          <t>JALCA GRANDE</t>
        </is>
      </c>
      <c r="B102" s="194" t="inlineStr">
        <is>
          <t>MAYO 2026</t>
        </is>
      </c>
      <c r="C102" s="377">
        <f>IFERROR(SUMPRODUCT((IF('MAYO 2026'!Y6:Y110&lt;&gt;"",'MAYO 2026'!Y6:Y110,'MAYO 2026'!I6:I110)="JALCA GRANDE")*('MAYO 2026'!K6:K110="PETROLEO")*'MAYO 2026'!M6:M110),0)</f>
        <v/>
      </c>
      <c r="D102" s="377">
        <f>IFERROR(SUMPRODUCT((IF('MAYO 2026'!Y6:Y110&lt;&gt;"",'MAYO 2026'!Y6:Y110,'MAYO 2026'!I6:I110)="JALCA GRANDE")*('MAYO 2026'!K6:K110="PETROLEO")*'MAYO 2026'!L6:L110*'MAYO 2026'!M6:M110),0)</f>
        <v/>
      </c>
      <c r="E102" s="377">
        <f>IFERROR(SUMPRODUCT((IF('MAYO 2026'!Y6:Y110&lt;&gt;"",'MAYO 2026'!Y6:Y110,'MAYO 2026'!I6:I110)="JALCA GRANDE")*('MAYO 2026'!K6:K110="GASOLINA")*'MAYO 2026'!M6:M110),0)</f>
        <v/>
      </c>
      <c r="F102" s="377">
        <f>IFERROR(SUMPRODUCT((IF('MAYO 2026'!Y6:Y110&lt;&gt;"",'MAYO 2026'!Y6:Y110,'MAYO 2026'!I6:I110)="JALCA GRANDE")*('MAYO 2026'!K6:K110="GASOLINA")*'MAYO 2026'!L6:L110*'MAYO 2026'!M6:M110),0)</f>
        <v/>
      </c>
      <c r="G102" s="194" t="n"/>
      <c r="H102" s="194" t="n"/>
      <c r="I102" s="194" t="n"/>
      <c r="J102" s="194" t="n"/>
      <c r="K102" s="194" t="n"/>
      <c r="L102" s="194" t="n"/>
      <c r="M102" s="194" t="n"/>
      <c r="N102" s="194" t="n"/>
      <c r="O102" s="194" t="n"/>
      <c r="P102" s="194" t="n"/>
      <c r="Q102" s="194" t="n"/>
      <c r="R102" s="194" t="n"/>
      <c r="S102" s="194" t="n"/>
      <c r="T102" s="194" t="n"/>
      <c r="U102" s="194" t="n"/>
      <c r="V102" s="194" t="n"/>
      <c r="W102" s="194" t="n"/>
      <c r="X102" s="194" t="n"/>
      <c r="Y102" s="194" t="n"/>
      <c r="Z102" s="194" t="n"/>
    </row>
    <row r="103" ht="15" customHeight="1" s="195">
      <c r="A103" s="194" t="inlineStr">
        <is>
          <t>JALCA GRANDE</t>
        </is>
      </c>
      <c r="B103" s="194" t="inlineStr">
        <is>
          <t>JUNIO 2026</t>
        </is>
      </c>
      <c r="C103" s="377">
        <f>IFERROR(SUMPRODUCT((IF('JUNIO 2026'!Y6:Y110&lt;&gt;"",'JUNIO 2026'!Y6:Y110,'JUNIO 2026'!I6:I110)="JALCA GRANDE")*('JUNIO 2026'!K6:K110="PETROLEO")*'JUNIO 2026'!M6:M110),0)</f>
        <v/>
      </c>
      <c r="D103" s="377">
        <f>IFERROR(SUMPRODUCT((IF('JUNIO 2026'!Y6:Y110&lt;&gt;"",'JUNIO 2026'!Y6:Y110,'JUNIO 2026'!I6:I110)="JALCA GRANDE")*('JUNIO 2026'!K6:K110="PETROLEO")*'JUNIO 2026'!L6:L110*'JUNIO 2026'!M6:M110),0)</f>
        <v/>
      </c>
      <c r="E103" s="377">
        <f>IFERROR(SUMPRODUCT((IF('JUNIO 2026'!Y6:Y110&lt;&gt;"",'JUNIO 2026'!Y6:Y110,'JUNIO 2026'!I6:I110)="JALCA GRANDE")*('JUNIO 2026'!K6:K110="GASOLINA")*'JUNIO 2026'!M6:M110),0)</f>
        <v/>
      </c>
      <c r="F103" s="377">
        <f>IFERROR(SUMPRODUCT((IF('JUNIO 2026'!Y6:Y110&lt;&gt;"",'JUNIO 2026'!Y6:Y110,'JUNIO 2026'!I6:I110)="JALCA GRANDE")*('JUNIO 2026'!K6:K110="GASOLINA")*'JUNIO 2026'!L6:L110*'JUNIO 2026'!M6:M110),0)</f>
        <v/>
      </c>
      <c r="G103" s="194" t="n"/>
      <c r="H103" s="194" t="n"/>
      <c r="I103" s="194" t="n"/>
      <c r="J103" s="194" t="n"/>
      <c r="K103" s="194" t="n"/>
      <c r="L103" s="194" t="n"/>
      <c r="M103" s="194" t="n"/>
      <c r="N103" s="194" t="n"/>
      <c r="O103" s="194" t="n"/>
      <c r="P103" s="194" t="n"/>
      <c r="Q103" s="194" t="n"/>
      <c r="R103" s="194" t="n"/>
      <c r="S103" s="194" t="n"/>
      <c r="T103" s="194" t="n"/>
      <c r="U103" s="194" t="n"/>
      <c r="V103" s="194" t="n"/>
      <c r="W103" s="194" t="n"/>
      <c r="X103" s="194" t="n"/>
      <c r="Y103" s="194" t="n"/>
      <c r="Z103" s="194" t="n"/>
    </row>
    <row r="104" ht="15" customHeight="1" s="195">
      <c r="A104" s="194" t="inlineStr">
        <is>
          <t>JALCA GRANDE</t>
        </is>
      </c>
      <c r="B104" s="194" t="inlineStr">
        <is>
          <t>JULIO 2026</t>
        </is>
      </c>
      <c r="C104" s="377">
        <f>IFERROR(SUMPRODUCT((IF('JULIO 2026'!Y6:Y110&lt;&gt;"",'JULIO 2026'!Y6:Y110,'JULIO 2026'!I6:I110)="JALCA GRANDE")*('JULIO 2026'!K6:K110="PETROLEO")*'JULIO 2026'!M6:M110),0)</f>
        <v/>
      </c>
      <c r="D104" s="377">
        <f>IFERROR(SUMPRODUCT((IF('JULIO 2026'!Y6:Y110&lt;&gt;"",'JULIO 2026'!Y6:Y110,'JULIO 2026'!I6:I110)="JALCA GRANDE")*('JULIO 2026'!K6:K110="PETROLEO")*'JULIO 2026'!L6:L110*'JULIO 2026'!M6:M110),0)</f>
        <v/>
      </c>
      <c r="E104" s="377">
        <f>IFERROR(SUMPRODUCT((IF('JULIO 2026'!Y6:Y110&lt;&gt;"",'JULIO 2026'!Y6:Y110,'JULIO 2026'!I6:I110)="JALCA GRANDE")*('JULIO 2026'!K6:K110="GASOLINA")*'JULIO 2026'!M6:M110),0)</f>
        <v/>
      </c>
      <c r="F104" s="377">
        <f>IFERROR(SUMPRODUCT((IF('JULIO 2026'!Y6:Y110&lt;&gt;"",'JULIO 2026'!Y6:Y110,'JULIO 2026'!I6:I110)="JALCA GRANDE")*('JULIO 2026'!K6:K110="GASOLINA")*'JULIO 2026'!L6:L110*'JULIO 2026'!M6:M110),0)</f>
        <v/>
      </c>
      <c r="G104" s="194" t="n"/>
      <c r="H104" s="194" t="n"/>
      <c r="I104" s="194" t="n"/>
      <c r="J104" s="194" t="n"/>
      <c r="K104" s="194" t="n"/>
      <c r="L104" s="194" t="n"/>
      <c r="M104" s="194" t="n"/>
      <c r="N104" s="194" t="n"/>
      <c r="O104" s="194" t="n"/>
      <c r="P104" s="194" t="n"/>
      <c r="Q104" s="194" t="n"/>
      <c r="R104" s="194" t="n"/>
      <c r="S104" s="194" t="n"/>
      <c r="T104" s="194" t="n"/>
      <c r="U104" s="194" t="n"/>
      <c r="V104" s="194" t="n"/>
      <c r="W104" s="194" t="n"/>
      <c r="X104" s="194" t="n"/>
      <c r="Y104" s="194" t="n"/>
      <c r="Z104" s="194" t="n"/>
    </row>
    <row r="105" ht="15" customHeight="1" s="195">
      <c r="A105" s="194" t="inlineStr">
        <is>
          <t>JALCA GRANDE</t>
        </is>
      </c>
      <c r="B105" s="194" t="inlineStr">
        <is>
          <t>AGOSTO 2026</t>
        </is>
      </c>
      <c r="C105" s="377">
        <f>IFERROR(SUMPRODUCT((IF('AGOSTO 2026'!Y6:Y110&lt;&gt;"",'AGOSTO 2026'!Y6:Y110,'AGOSTO 2026'!I6:I110)="JALCA GRANDE")*('AGOSTO 2026'!K6:K110="PETROLEO")*'AGOSTO 2026'!M6:M110),0)</f>
        <v/>
      </c>
      <c r="D105" s="377">
        <f>IFERROR(SUMPRODUCT((IF('AGOSTO 2026'!Y6:Y110&lt;&gt;"",'AGOSTO 2026'!Y6:Y110,'AGOSTO 2026'!I6:I110)="JALCA GRANDE")*('AGOSTO 2026'!K6:K110="PETROLEO")*'AGOSTO 2026'!L6:L110*'AGOSTO 2026'!M6:M110),0)</f>
        <v/>
      </c>
      <c r="E105" s="377">
        <f>IFERROR(SUMPRODUCT((IF('AGOSTO 2026'!Y6:Y110&lt;&gt;"",'AGOSTO 2026'!Y6:Y110,'AGOSTO 2026'!I6:I110)="JALCA GRANDE")*('AGOSTO 2026'!K6:K110="GASOLINA")*'AGOSTO 2026'!M6:M110),0)</f>
        <v/>
      </c>
      <c r="F105" s="377">
        <f>IFERROR(SUMPRODUCT((IF('AGOSTO 2026'!Y6:Y110&lt;&gt;"",'AGOSTO 2026'!Y6:Y110,'AGOSTO 2026'!I6:I110)="JALCA GRANDE")*('AGOSTO 2026'!K6:K110="GASOLINA")*'AGOSTO 2026'!L6:L110*'AGOSTO 2026'!M6:M110),0)</f>
        <v/>
      </c>
      <c r="G105" s="194" t="n"/>
      <c r="H105" s="194" t="n"/>
      <c r="I105" s="194" t="n"/>
      <c r="J105" s="194" t="n"/>
      <c r="K105" s="194" t="n"/>
      <c r="L105" s="194" t="n"/>
      <c r="M105" s="194" t="n"/>
      <c r="N105" s="194" t="n"/>
      <c r="O105" s="194" t="n"/>
      <c r="P105" s="194" t="n"/>
      <c r="Q105" s="194" t="n"/>
      <c r="R105" s="194" t="n"/>
      <c r="S105" s="194" t="n"/>
      <c r="T105" s="194" t="n"/>
      <c r="U105" s="194" t="n"/>
      <c r="V105" s="194" t="n"/>
      <c r="W105" s="194" t="n"/>
      <c r="X105" s="194" t="n"/>
      <c r="Y105" s="194" t="n"/>
      <c r="Z105" s="194" t="n"/>
    </row>
    <row r="106" ht="15" customHeight="1" s="195">
      <c r="A106" s="194" t="inlineStr">
        <is>
          <t>JALCA GRANDE</t>
        </is>
      </c>
      <c r="B106" s="194" t="inlineStr">
        <is>
          <t>SETIEMBRE 2026</t>
        </is>
      </c>
      <c r="C106" s="377">
        <f>IFERROR(SUMPRODUCT((IF('SETIEMBRE 2026'!Y6:Y110&lt;&gt;"",'SETIEMBRE 2026'!Y6:Y110,'SETIEMBRE 2026'!I6:I110)="JALCA GRANDE")*('SETIEMBRE 2026'!K6:K110="PETROLEO")*'SETIEMBRE 2026'!M6:M110),0)</f>
        <v/>
      </c>
      <c r="D106" s="377">
        <f>IFERROR(SUMPRODUCT((IF('SETIEMBRE 2026'!Y6:Y110&lt;&gt;"",'SETIEMBRE 2026'!Y6:Y110,'SETIEMBRE 2026'!I6:I110)="JALCA GRANDE")*('SETIEMBRE 2026'!K6:K110="PETROLEO")*'SETIEMBRE 2026'!L6:L110*'SETIEMBRE 2026'!M6:M110),0)</f>
        <v/>
      </c>
      <c r="E106" s="377">
        <f>IFERROR(SUMPRODUCT((IF('SETIEMBRE 2026'!Y6:Y110&lt;&gt;"",'SETIEMBRE 2026'!Y6:Y110,'SETIEMBRE 2026'!I6:I110)="JALCA GRANDE")*('SETIEMBRE 2026'!K6:K110="GASOLINA")*'SETIEMBRE 2026'!M6:M110),0)</f>
        <v/>
      </c>
      <c r="F106" s="377">
        <f>IFERROR(SUMPRODUCT((IF('SETIEMBRE 2026'!Y6:Y110&lt;&gt;"",'SETIEMBRE 2026'!Y6:Y110,'SETIEMBRE 2026'!I6:I110)="JALCA GRANDE")*('SETIEMBRE 2026'!K6:K110="GASOLINA")*'SETIEMBRE 2026'!L6:L110*'SETIEMBRE 2026'!M6:M110),0)</f>
        <v/>
      </c>
      <c r="G106" s="194" t="n"/>
      <c r="H106" s="194" t="n"/>
      <c r="I106" s="194" t="n"/>
      <c r="J106" s="194" t="n"/>
      <c r="K106" s="194" t="n"/>
      <c r="L106" s="194" t="n"/>
      <c r="M106" s="194" t="n"/>
      <c r="N106" s="194" t="n"/>
      <c r="O106" s="194" t="n"/>
      <c r="P106" s="194" t="n"/>
      <c r="Q106" s="194" t="n"/>
      <c r="R106" s="194" t="n"/>
      <c r="S106" s="194" t="n"/>
      <c r="T106" s="194" t="n"/>
      <c r="U106" s="194" t="n"/>
      <c r="V106" s="194" t="n"/>
      <c r="W106" s="194" t="n"/>
      <c r="X106" s="194" t="n"/>
      <c r="Y106" s="194" t="n"/>
      <c r="Z106" s="194" t="n"/>
    </row>
    <row r="107" ht="15" customHeight="1" s="195">
      <c r="A107" s="194" t="inlineStr">
        <is>
          <t>JALCA GRANDE</t>
        </is>
      </c>
      <c r="B107" s="194" t="inlineStr">
        <is>
          <t>OCTUBRE 2026</t>
        </is>
      </c>
      <c r="C107" s="377">
        <f>IFERROR(SUMPRODUCT((IF('OCTUBRE 2026'!Y6:Y110&lt;&gt;"",'OCTUBRE 2026'!Y6:Y110,'OCTUBRE 2026'!I6:I110)="JALCA GRANDE")*('OCTUBRE 2026'!K6:K110="PETROLEO")*'OCTUBRE 2026'!M6:M110),0)</f>
        <v/>
      </c>
      <c r="D107" s="377">
        <f>IFERROR(SUMPRODUCT((IF('OCTUBRE 2026'!Y6:Y110&lt;&gt;"",'OCTUBRE 2026'!Y6:Y110,'OCTUBRE 2026'!I6:I110)="JALCA GRANDE")*('OCTUBRE 2026'!K6:K110="PETROLEO")*'OCTUBRE 2026'!L6:L110*'OCTUBRE 2026'!M6:M110),0)</f>
        <v/>
      </c>
      <c r="E107" s="377">
        <f>IFERROR(SUMPRODUCT((IF('OCTUBRE 2026'!Y6:Y110&lt;&gt;"",'OCTUBRE 2026'!Y6:Y110,'OCTUBRE 2026'!I6:I110)="JALCA GRANDE")*('OCTUBRE 2026'!K6:K110="GASOLINA")*'OCTUBRE 2026'!M6:M110),0)</f>
        <v/>
      </c>
      <c r="F107" s="377">
        <f>IFERROR(SUMPRODUCT((IF('OCTUBRE 2026'!Y6:Y110&lt;&gt;"",'OCTUBRE 2026'!Y6:Y110,'OCTUBRE 2026'!I6:I110)="JALCA GRANDE")*('OCTUBRE 2026'!K6:K110="GASOLINA")*'OCTUBRE 2026'!L6:L110*'OCTUBRE 2026'!M6:M110),0)</f>
        <v/>
      </c>
      <c r="G107" s="194" t="n"/>
      <c r="H107" s="194" t="n"/>
      <c r="I107" s="194" t="n"/>
      <c r="J107" s="194" t="n"/>
      <c r="K107" s="194" t="n"/>
      <c r="L107" s="194" t="n"/>
      <c r="M107" s="194" t="n"/>
      <c r="N107" s="194" t="n"/>
      <c r="O107" s="194" t="n"/>
      <c r="P107" s="194" t="n"/>
      <c r="Q107" s="194" t="n"/>
      <c r="R107" s="194" t="n"/>
      <c r="S107" s="194" t="n"/>
      <c r="T107" s="194" t="n"/>
      <c r="U107" s="194" t="n"/>
      <c r="V107" s="194" t="n"/>
      <c r="W107" s="194" t="n"/>
      <c r="X107" s="194" t="n"/>
      <c r="Y107" s="194" t="n"/>
      <c r="Z107" s="194" t="n"/>
    </row>
    <row r="108" ht="15" customHeight="1" s="195">
      <c r="A108" s="194" t="inlineStr">
        <is>
          <t>JALCA GRANDE</t>
        </is>
      </c>
      <c r="B108" s="194" t="inlineStr">
        <is>
          <t>NOVIEMBRE 2026</t>
        </is>
      </c>
      <c r="C108" s="377">
        <f>IFERROR(SUMPRODUCT((IF('NOVIEMBRE 2026'!Y6:Y110&lt;&gt;"",'NOVIEMBRE 2026'!Y6:Y110,'NOVIEMBRE 2026'!I6:I110)="JALCA GRANDE")*('NOVIEMBRE 2026'!K6:K110="PETROLEO")*'NOVIEMBRE 2026'!M6:M110),0)</f>
        <v/>
      </c>
      <c r="D108" s="377">
        <f>IFERROR(SUMPRODUCT((IF('NOVIEMBRE 2026'!Y6:Y110&lt;&gt;"",'NOVIEMBRE 2026'!Y6:Y110,'NOVIEMBRE 2026'!I6:I110)="JALCA GRANDE")*('NOVIEMBRE 2026'!K6:K110="PETROLEO")*'NOVIEMBRE 2026'!L6:L110*'NOVIEMBRE 2026'!M6:M110),0)</f>
        <v/>
      </c>
      <c r="E108" s="377">
        <f>IFERROR(SUMPRODUCT((IF('NOVIEMBRE 2026'!Y6:Y110&lt;&gt;"",'NOVIEMBRE 2026'!Y6:Y110,'NOVIEMBRE 2026'!I6:I110)="JALCA GRANDE")*('NOVIEMBRE 2026'!K6:K110="GASOLINA")*'NOVIEMBRE 2026'!M6:M110),0)</f>
        <v/>
      </c>
      <c r="F108" s="377">
        <f>IFERROR(SUMPRODUCT((IF('NOVIEMBRE 2026'!Y6:Y110&lt;&gt;"",'NOVIEMBRE 2026'!Y6:Y110,'NOVIEMBRE 2026'!I6:I110)="JALCA GRANDE")*('NOVIEMBRE 2026'!K6:K110="GASOLINA")*'NOVIEMBRE 2026'!L6:L110*'NOVIEMBRE 2026'!M6:M110),0)</f>
        <v/>
      </c>
      <c r="G108" s="194" t="n"/>
      <c r="H108" s="194" t="n"/>
      <c r="I108" s="194" t="n"/>
      <c r="J108" s="194" t="n"/>
      <c r="K108" s="194" t="n"/>
      <c r="L108" s="194" t="n"/>
      <c r="M108" s="194" t="n"/>
      <c r="N108" s="194" t="n"/>
      <c r="O108" s="194" t="n"/>
      <c r="P108" s="194" t="n"/>
      <c r="Q108" s="194" t="n"/>
      <c r="R108" s="194" t="n"/>
      <c r="S108" s="194" t="n"/>
      <c r="T108" s="194" t="n"/>
      <c r="U108" s="194" t="n"/>
      <c r="V108" s="194" t="n"/>
      <c r="W108" s="194" t="n"/>
      <c r="X108" s="194" t="n"/>
      <c r="Y108" s="194" t="n"/>
      <c r="Z108" s="194" t="n"/>
    </row>
    <row r="109" ht="15" customHeight="1" s="195">
      <c r="A109" s="194" t="inlineStr">
        <is>
          <t>JALCA GRANDE</t>
        </is>
      </c>
      <c r="B109" s="194" t="inlineStr">
        <is>
          <t>DICIEMBRE 2026</t>
        </is>
      </c>
      <c r="C109" s="377">
        <f>IFERROR(SUMPRODUCT((IF('DICIEMBRE 2026'!Y6:Y110&lt;&gt;"",'DICIEMBRE 2026'!Y6:Y110,'DICIEMBRE 2026'!I6:I110)="JALCA GRANDE")*('DICIEMBRE 2026'!K6:K110="PETROLEO")*'DICIEMBRE 2026'!M6:M110),0)</f>
        <v/>
      </c>
      <c r="D109" s="377">
        <f>IFERROR(SUMPRODUCT((IF('DICIEMBRE 2026'!Y6:Y110&lt;&gt;"",'DICIEMBRE 2026'!Y6:Y110,'DICIEMBRE 2026'!I6:I110)="JALCA GRANDE")*('DICIEMBRE 2026'!K6:K110="PETROLEO")*'DICIEMBRE 2026'!L6:L110*'DICIEMBRE 2026'!M6:M110),0)</f>
        <v/>
      </c>
      <c r="E109" s="377">
        <f>IFERROR(SUMPRODUCT((IF('DICIEMBRE 2026'!Y6:Y110&lt;&gt;"",'DICIEMBRE 2026'!Y6:Y110,'DICIEMBRE 2026'!I6:I110)="JALCA GRANDE")*('DICIEMBRE 2026'!K6:K110="GASOLINA")*'DICIEMBRE 2026'!M6:M110),0)</f>
        <v/>
      </c>
      <c r="F109" s="377">
        <f>IFERROR(SUMPRODUCT((IF('DICIEMBRE 2026'!Y6:Y110&lt;&gt;"",'DICIEMBRE 2026'!Y6:Y110,'DICIEMBRE 2026'!I6:I110)="JALCA GRANDE")*('DICIEMBRE 2026'!K6:K110="GASOLINA")*'DICIEMBRE 2026'!L6:L110*'DICIEMBRE 2026'!M6:M110),0)</f>
        <v/>
      </c>
      <c r="G109" s="194" t="n"/>
      <c r="H109" s="194" t="n"/>
      <c r="I109" s="194" t="n"/>
      <c r="J109" s="194" t="n"/>
      <c r="K109" s="194" t="n"/>
      <c r="L109" s="194" t="n"/>
      <c r="M109" s="194" t="n"/>
      <c r="N109" s="194" t="n"/>
      <c r="O109" s="194" t="n"/>
      <c r="P109" s="194" t="n"/>
      <c r="Q109" s="194" t="n"/>
      <c r="R109" s="194" t="n"/>
      <c r="S109" s="194" t="n"/>
      <c r="T109" s="194" t="n"/>
      <c r="U109" s="194" t="n"/>
      <c r="V109" s="194" t="n"/>
      <c r="W109" s="194" t="n"/>
      <c r="X109" s="194" t="n"/>
      <c r="Y109" s="194" t="n"/>
      <c r="Z109" s="194" t="n"/>
    </row>
    <row r="110" ht="15" customHeight="1" s="195">
      <c r="A110" s="194" t="inlineStr">
        <is>
          <t>JUMBILLA</t>
        </is>
      </c>
      <c r="B110" s="194" t="inlineStr">
        <is>
          <t>ENERO 2026</t>
        </is>
      </c>
      <c r="C110" s="377">
        <f>IFERROR(SUMPRODUCT((IF('ENERO 2026'!Y6:Y119&lt;&gt;"",'ENERO 2026'!Y6:Y119,'ENERO 2026'!I6:I119)="JUMBILLA")*('ENERO 2026'!K6:K119="PETROLEO")*'ENERO 2026'!M6:M119),0)</f>
        <v/>
      </c>
      <c r="D110" s="377">
        <f>IFERROR(SUMPRODUCT((IF('ENERO 2026'!Y6:Y119&lt;&gt;"",'ENERO 2026'!Y6:Y119,'ENERO 2026'!I6:I119)="JUMBILLA")*('ENERO 2026'!K6:K119="PETROLEO")*'ENERO 2026'!L6:L119*'ENERO 2026'!M6:M119),0)</f>
        <v/>
      </c>
      <c r="E110" s="377">
        <f>IFERROR(SUMPRODUCT((IF('ENERO 2026'!Y6:Y119&lt;&gt;"",'ENERO 2026'!Y6:Y119,'ENERO 2026'!I6:I119)="JUMBILLA")*('ENERO 2026'!K6:K119="GASOLINA")*'ENERO 2026'!M6:M119),0)</f>
        <v/>
      </c>
      <c r="F110" s="377">
        <f>IFERROR(SUMPRODUCT((IF('ENERO 2026'!Y6:Y119&lt;&gt;"",'ENERO 2026'!Y6:Y119,'ENERO 2026'!I6:I119)="JUMBILLA")*('ENERO 2026'!K6:K119="GASOLINA")*'ENERO 2026'!L6:L119*'ENERO 2026'!M6:M119),0)</f>
        <v/>
      </c>
      <c r="G110" s="194" t="n"/>
      <c r="H110" s="194" t="n"/>
      <c r="I110" s="194" t="n"/>
      <c r="J110" s="194" t="n"/>
      <c r="K110" s="194" t="n"/>
      <c r="L110" s="194" t="n"/>
      <c r="M110" s="194" t="n"/>
      <c r="N110" s="194" t="n"/>
      <c r="O110" s="194" t="n"/>
      <c r="P110" s="194" t="n"/>
      <c r="Q110" s="194" t="n"/>
      <c r="R110" s="194" t="n"/>
      <c r="S110" s="194" t="n"/>
      <c r="T110" s="194" t="n"/>
      <c r="U110" s="194" t="n"/>
      <c r="V110" s="194" t="n"/>
      <c r="W110" s="194" t="n"/>
      <c r="X110" s="194" t="n"/>
      <c r="Y110" s="194" t="n"/>
      <c r="Z110" s="194" t="n"/>
    </row>
    <row r="111" ht="15" customHeight="1" s="195">
      <c r="A111" s="194" t="inlineStr">
        <is>
          <t>JUMBILLA</t>
        </is>
      </c>
      <c r="B111" s="194" t="inlineStr">
        <is>
          <t>FEBRERO 2026</t>
        </is>
      </c>
      <c r="C111" s="377">
        <f>IFERROR(SUMPRODUCT((IF('FEBRERO 2026'!Y6:Y124&lt;&gt;"",'FEBRERO 2026'!Y6:Y124,'FEBRERO 2026'!I6:I124)="JUMBILLA")*('FEBRERO 2026'!K6:K124="PETROLEO")*'FEBRERO 2026'!M6:M124),0)</f>
        <v/>
      </c>
      <c r="D111" s="377">
        <f>IFERROR(SUMPRODUCT((IF('FEBRERO 2026'!Y6:Y124&lt;&gt;"",'FEBRERO 2026'!Y6:Y124,'FEBRERO 2026'!I6:I124)="JUMBILLA")*('FEBRERO 2026'!K6:K124="PETROLEO")*'FEBRERO 2026'!L6:L124*'FEBRERO 2026'!M6:M124),0)</f>
        <v/>
      </c>
      <c r="E111" s="377">
        <f>IFERROR(SUMPRODUCT((IF('FEBRERO 2026'!Y6:Y124&lt;&gt;"",'FEBRERO 2026'!Y6:Y124,'FEBRERO 2026'!I6:I124)="JUMBILLA")*('FEBRERO 2026'!K6:K124="GASOLINA")*'FEBRERO 2026'!M6:M124),0)</f>
        <v/>
      </c>
      <c r="F111" s="377">
        <f>IFERROR(SUMPRODUCT((IF('FEBRERO 2026'!Y6:Y124&lt;&gt;"",'FEBRERO 2026'!Y6:Y124,'FEBRERO 2026'!I6:I124)="JUMBILLA")*('FEBRERO 2026'!K6:K124="GASOLINA")*'FEBRERO 2026'!L6:L124*'FEBRERO 2026'!M6:M124),0)</f>
        <v/>
      </c>
      <c r="G111" s="194" t="n"/>
      <c r="H111" s="194" t="n"/>
      <c r="I111" s="194" t="n"/>
      <c r="J111" s="194" t="n"/>
      <c r="K111" s="194" t="n"/>
      <c r="L111" s="194" t="n"/>
      <c r="M111" s="194" t="n"/>
      <c r="N111" s="194" t="n"/>
      <c r="O111" s="194" t="n"/>
      <c r="P111" s="194" t="n"/>
      <c r="Q111" s="194" t="n"/>
      <c r="R111" s="194" t="n"/>
      <c r="S111" s="194" t="n"/>
      <c r="T111" s="194" t="n"/>
      <c r="U111" s="194" t="n"/>
      <c r="V111" s="194" t="n"/>
      <c r="W111" s="194" t="n"/>
      <c r="X111" s="194" t="n"/>
      <c r="Y111" s="194" t="n"/>
      <c r="Z111" s="194" t="n"/>
    </row>
    <row r="112" ht="15" customHeight="1" s="195">
      <c r="A112" s="194" t="inlineStr">
        <is>
          <t>JUMBILLA</t>
        </is>
      </c>
      <c r="B112" s="194" t="inlineStr">
        <is>
          <t>MARZO 2026</t>
        </is>
      </c>
      <c r="C112" s="377">
        <f>IFERROR(SUMPRODUCT((IF('MARZO 2026'!Y6:Y119&lt;&gt;"",'MARZO 2026'!Y6:Y119,'MARZO 2026'!I6:I119)="JUMBILLA")*('MARZO 2026'!K6:K119="PETROLEO")*'MARZO 2026'!M6:M119),0)</f>
        <v/>
      </c>
      <c r="D112" s="377">
        <f>IFERROR(SUMPRODUCT((IF('MARZO 2026'!Y6:Y119&lt;&gt;"",'MARZO 2026'!Y6:Y119,'MARZO 2026'!I6:I119)="JUMBILLA")*('MARZO 2026'!K6:K119="PETROLEO")*'MARZO 2026'!L6:L119*'MARZO 2026'!M6:M119),0)</f>
        <v/>
      </c>
      <c r="E112" s="377">
        <f>IFERROR(SUMPRODUCT((IF('MARZO 2026'!Y6:Y119&lt;&gt;"",'MARZO 2026'!Y6:Y119,'MARZO 2026'!I6:I119)="JUMBILLA")*('MARZO 2026'!K6:K119="GASOLINA")*'MARZO 2026'!M6:M119),0)</f>
        <v/>
      </c>
      <c r="F112" s="377">
        <f>IFERROR(SUMPRODUCT((IF('MARZO 2026'!Y6:Y119&lt;&gt;"",'MARZO 2026'!Y6:Y119,'MARZO 2026'!I6:I119)="JUMBILLA")*('MARZO 2026'!K6:K119="GASOLINA")*'MARZO 2026'!L6:L119*'MARZO 2026'!M6:M119),0)</f>
        <v/>
      </c>
      <c r="G112" s="194" t="n"/>
      <c r="H112" s="194" t="n"/>
      <c r="I112" s="194" t="n"/>
      <c r="J112" s="194" t="n"/>
      <c r="K112" s="194" t="n"/>
      <c r="L112" s="194" t="n"/>
      <c r="M112" s="194" t="n"/>
      <c r="N112" s="194" t="n"/>
      <c r="O112" s="194" t="n"/>
      <c r="P112" s="194" t="n"/>
      <c r="Q112" s="194" t="n"/>
      <c r="R112" s="194" t="n"/>
      <c r="S112" s="194" t="n"/>
      <c r="T112" s="194" t="n"/>
      <c r="U112" s="194" t="n"/>
      <c r="V112" s="194" t="n"/>
      <c r="W112" s="194" t="n"/>
      <c r="X112" s="194" t="n"/>
      <c r="Y112" s="194" t="n"/>
      <c r="Z112" s="194" t="n"/>
    </row>
    <row r="113" ht="15" customHeight="1" s="195">
      <c r="A113" s="194" t="inlineStr">
        <is>
          <t>JUMBILLA</t>
        </is>
      </c>
      <c r="B113" s="194" t="inlineStr">
        <is>
          <t>ABRIL 2026</t>
        </is>
      </c>
      <c r="C113" s="377">
        <f>IFERROR(SUMPRODUCT((IF('ABRIL 2026'!Y6:Y119&lt;&gt;"",'ABRIL 2026'!Y6:Y119,'ABRIL 2026'!I6:I119)="JUMBILLA")*('ABRIL 2026'!K6:K119="PETROLEO")*'ABRIL 2026'!M6:M119),0)</f>
        <v/>
      </c>
      <c r="D113" s="377">
        <f>IFERROR(SUMPRODUCT((IF('ABRIL 2026'!Y6:Y119&lt;&gt;"",'ABRIL 2026'!Y6:Y119,'ABRIL 2026'!I6:I119)="JUMBILLA")*('ABRIL 2026'!K6:K119="PETROLEO")*'ABRIL 2026'!L6:L119*'ABRIL 2026'!M6:M119),0)</f>
        <v/>
      </c>
      <c r="E113" s="377">
        <f>IFERROR(SUMPRODUCT((IF('ABRIL 2026'!Y6:Y119&lt;&gt;"",'ABRIL 2026'!Y6:Y119,'ABRIL 2026'!I6:I119)="JUMBILLA")*('ABRIL 2026'!K6:K119="GASOLINA")*'ABRIL 2026'!M6:M119),0)</f>
        <v/>
      </c>
      <c r="F113" s="377">
        <f>IFERROR(SUMPRODUCT((IF('ABRIL 2026'!Y6:Y119&lt;&gt;"",'ABRIL 2026'!Y6:Y119,'ABRIL 2026'!I6:I119)="JUMBILLA")*('ABRIL 2026'!K6:K119="GASOLINA")*'ABRIL 2026'!L6:L119*'ABRIL 2026'!M6:M119),0)</f>
        <v/>
      </c>
      <c r="G113" s="194" t="n"/>
      <c r="H113" s="194" t="n"/>
      <c r="I113" s="194" t="n"/>
      <c r="J113" s="194" t="n"/>
      <c r="K113" s="194" t="n"/>
      <c r="L113" s="194" t="n"/>
      <c r="M113" s="194" t="n"/>
      <c r="N113" s="194" t="n"/>
      <c r="O113" s="194" t="n"/>
      <c r="P113" s="194" t="n"/>
      <c r="Q113" s="194" t="n"/>
      <c r="R113" s="194" t="n"/>
      <c r="S113" s="194" t="n"/>
      <c r="T113" s="194" t="n"/>
      <c r="U113" s="194" t="n"/>
      <c r="V113" s="194" t="n"/>
      <c r="W113" s="194" t="n"/>
      <c r="X113" s="194" t="n"/>
      <c r="Y113" s="194" t="n"/>
      <c r="Z113" s="194" t="n"/>
    </row>
    <row r="114" ht="15" customHeight="1" s="195">
      <c r="A114" s="194" t="inlineStr">
        <is>
          <t>JUMBILLA</t>
        </is>
      </c>
      <c r="B114" s="194" t="inlineStr">
        <is>
          <t>MAYO 2026</t>
        </is>
      </c>
      <c r="C114" s="377">
        <f>IFERROR(SUMPRODUCT((IF('MAYO 2026'!Y6:Y110&lt;&gt;"",'MAYO 2026'!Y6:Y110,'MAYO 2026'!I6:I110)="JUMBILLA")*('MAYO 2026'!K6:K110="PETROLEO")*'MAYO 2026'!M6:M110),0)</f>
        <v/>
      </c>
      <c r="D114" s="377">
        <f>IFERROR(SUMPRODUCT((IF('MAYO 2026'!Y6:Y110&lt;&gt;"",'MAYO 2026'!Y6:Y110,'MAYO 2026'!I6:I110)="JUMBILLA")*('MAYO 2026'!K6:K110="PETROLEO")*'MAYO 2026'!L6:L110*'MAYO 2026'!M6:M110),0)</f>
        <v/>
      </c>
      <c r="E114" s="377">
        <f>IFERROR(SUMPRODUCT((IF('MAYO 2026'!Y6:Y110&lt;&gt;"",'MAYO 2026'!Y6:Y110,'MAYO 2026'!I6:I110)="JUMBILLA")*('MAYO 2026'!K6:K110="GASOLINA")*'MAYO 2026'!M6:M110),0)</f>
        <v/>
      </c>
      <c r="F114" s="377">
        <f>IFERROR(SUMPRODUCT((IF('MAYO 2026'!Y6:Y110&lt;&gt;"",'MAYO 2026'!Y6:Y110,'MAYO 2026'!I6:I110)="JUMBILLA")*('MAYO 2026'!K6:K110="GASOLINA")*'MAYO 2026'!L6:L110*'MAYO 2026'!M6:M110),0)</f>
        <v/>
      </c>
      <c r="G114" s="194" t="n"/>
      <c r="H114" s="194" t="n"/>
      <c r="I114" s="194" t="n"/>
      <c r="J114" s="194" t="n"/>
      <c r="K114" s="194" t="n"/>
      <c r="L114" s="194" t="n"/>
      <c r="M114" s="194" t="n"/>
      <c r="N114" s="194" t="n"/>
      <c r="O114" s="194" t="n"/>
      <c r="P114" s="194" t="n"/>
      <c r="Q114" s="194" t="n"/>
      <c r="R114" s="194" t="n"/>
      <c r="S114" s="194" t="n"/>
      <c r="T114" s="194" t="n"/>
      <c r="U114" s="194" t="n"/>
      <c r="V114" s="194" t="n"/>
      <c r="W114" s="194" t="n"/>
      <c r="X114" s="194" t="n"/>
      <c r="Y114" s="194" t="n"/>
      <c r="Z114" s="194" t="n"/>
    </row>
    <row r="115" ht="15" customHeight="1" s="195">
      <c r="A115" s="194" t="inlineStr">
        <is>
          <t>JUMBILLA</t>
        </is>
      </c>
      <c r="B115" s="194" t="inlineStr">
        <is>
          <t>JUNIO 2026</t>
        </is>
      </c>
      <c r="C115" s="377">
        <f>IFERROR(SUMPRODUCT((IF('JUNIO 2026'!Y6:Y110&lt;&gt;"",'JUNIO 2026'!Y6:Y110,'JUNIO 2026'!I6:I110)="JUMBILLA")*('JUNIO 2026'!K6:K110="PETROLEO")*'JUNIO 2026'!M6:M110),0)</f>
        <v/>
      </c>
      <c r="D115" s="377">
        <f>IFERROR(SUMPRODUCT((IF('JUNIO 2026'!Y6:Y110&lt;&gt;"",'JUNIO 2026'!Y6:Y110,'JUNIO 2026'!I6:I110)="JUMBILLA")*('JUNIO 2026'!K6:K110="PETROLEO")*'JUNIO 2026'!L6:L110*'JUNIO 2026'!M6:M110),0)</f>
        <v/>
      </c>
      <c r="E115" s="377">
        <f>IFERROR(SUMPRODUCT((IF('JUNIO 2026'!Y6:Y110&lt;&gt;"",'JUNIO 2026'!Y6:Y110,'JUNIO 2026'!I6:I110)="JUMBILLA")*('JUNIO 2026'!K6:K110="GASOLINA")*'JUNIO 2026'!M6:M110),0)</f>
        <v/>
      </c>
      <c r="F115" s="377">
        <f>IFERROR(SUMPRODUCT((IF('JUNIO 2026'!Y6:Y110&lt;&gt;"",'JUNIO 2026'!Y6:Y110,'JUNIO 2026'!I6:I110)="JUMBILLA")*('JUNIO 2026'!K6:K110="GASOLINA")*'JUNIO 2026'!L6:L110*'JUNIO 2026'!M6:M110),0)</f>
        <v/>
      </c>
      <c r="G115" s="194" t="n"/>
      <c r="H115" s="194" t="n"/>
      <c r="I115" s="194" t="n"/>
      <c r="J115" s="194" t="n"/>
      <c r="K115" s="194" t="n"/>
      <c r="L115" s="194" t="n"/>
      <c r="M115" s="194" t="n"/>
      <c r="N115" s="194" t="n"/>
      <c r="O115" s="194" t="n"/>
      <c r="P115" s="194" t="n"/>
      <c r="Q115" s="194" t="n"/>
      <c r="R115" s="194" t="n"/>
      <c r="S115" s="194" t="n"/>
      <c r="T115" s="194" t="n"/>
      <c r="U115" s="194" t="n"/>
      <c r="V115" s="194" t="n"/>
      <c r="W115" s="194" t="n"/>
      <c r="X115" s="194" t="n"/>
      <c r="Y115" s="194" t="n"/>
      <c r="Z115" s="194" t="n"/>
    </row>
    <row r="116" ht="15" customHeight="1" s="195">
      <c r="A116" s="194" t="inlineStr">
        <is>
          <t>JUMBILLA</t>
        </is>
      </c>
      <c r="B116" s="194" t="inlineStr">
        <is>
          <t>JULIO 2026</t>
        </is>
      </c>
      <c r="C116" s="377">
        <f>IFERROR(SUMPRODUCT((IF('JULIO 2026'!Y6:Y110&lt;&gt;"",'JULIO 2026'!Y6:Y110,'JULIO 2026'!I6:I110)="JUMBILLA")*('JULIO 2026'!K6:K110="PETROLEO")*'JULIO 2026'!M6:M110),0)</f>
        <v/>
      </c>
      <c r="D116" s="377">
        <f>IFERROR(SUMPRODUCT((IF('JULIO 2026'!Y6:Y110&lt;&gt;"",'JULIO 2026'!Y6:Y110,'JULIO 2026'!I6:I110)="JUMBILLA")*('JULIO 2026'!K6:K110="PETROLEO")*'JULIO 2026'!L6:L110*'JULIO 2026'!M6:M110),0)</f>
        <v/>
      </c>
      <c r="E116" s="377">
        <f>IFERROR(SUMPRODUCT((IF('JULIO 2026'!Y6:Y110&lt;&gt;"",'JULIO 2026'!Y6:Y110,'JULIO 2026'!I6:I110)="JUMBILLA")*('JULIO 2026'!K6:K110="GASOLINA")*'JULIO 2026'!M6:M110),0)</f>
        <v/>
      </c>
      <c r="F116" s="377">
        <f>IFERROR(SUMPRODUCT((IF('JULIO 2026'!Y6:Y110&lt;&gt;"",'JULIO 2026'!Y6:Y110,'JULIO 2026'!I6:I110)="JUMBILLA")*('JULIO 2026'!K6:K110="GASOLINA")*'JULIO 2026'!L6:L110*'JULIO 2026'!M6:M110),0)</f>
        <v/>
      </c>
      <c r="G116" s="194" t="n"/>
      <c r="H116" s="194" t="n"/>
      <c r="I116" s="194" t="n"/>
      <c r="J116" s="194" t="n"/>
      <c r="K116" s="194" t="n"/>
      <c r="L116" s="194" t="n"/>
      <c r="M116" s="194" t="n"/>
      <c r="N116" s="194" t="n"/>
      <c r="O116" s="194" t="n"/>
      <c r="P116" s="194" t="n"/>
      <c r="Q116" s="194" t="n"/>
      <c r="R116" s="194" t="n"/>
      <c r="S116" s="194" t="n"/>
      <c r="T116" s="194" t="n"/>
      <c r="U116" s="194" t="n"/>
      <c r="V116" s="194" t="n"/>
      <c r="W116" s="194" t="n"/>
      <c r="X116" s="194" t="n"/>
      <c r="Y116" s="194" t="n"/>
      <c r="Z116" s="194" t="n"/>
    </row>
    <row r="117" ht="15" customHeight="1" s="195">
      <c r="A117" s="194" t="inlineStr">
        <is>
          <t>JUMBILLA</t>
        </is>
      </c>
      <c r="B117" s="194" t="inlineStr">
        <is>
          <t>AGOSTO 2026</t>
        </is>
      </c>
      <c r="C117" s="377">
        <f>IFERROR(SUMPRODUCT((IF('AGOSTO 2026'!Y6:Y110&lt;&gt;"",'AGOSTO 2026'!Y6:Y110,'AGOSTO 2026'!I6:I110)="JUMBILLA")*('AGOSTO 2026'!K6:K110="PETROLEO")*'AGOSTO 2026'!M6:M110),0)</f>
        <v/>
      </c>
      <c r="D117" s="377">
        <f>IFERROR(SUMPRODUCT((IF('AGOSTO 2026'!Y6:Y110&lt;&gt;"",'AGOSTO 2026'!Y6:Y110,'AGOSTO 2026'!I6:I110)="JUMBILLA")*('AGOSTO 2026'!K6:K110="PETROLEO")*'AGOSTO 2026'!L6:L110*'AGOSTO 2026'!M6:M110),0)</f>
        <v/>
      </c>
      <c r="E117" s="377">
        <f>IFERROR(SUMPRODUCT((IF('AGOSTO 2026'!Y6:Y110&lt;&gt;"",'AGOSTO 2026'!Y6:Y110,'AGOSTO 2026'!I6:I110)="JUMBILLA")*('AGOSTO 2026'!K6:K110="GASOLINA")*'AGOSTO 2026'!M6:M110),0)</f>
        <v/>
      </c>
      <c r="F117" s="377">
        <f>IFERROR(SUMPRODUCT((IF('AGOSTO 2026'!Y6:Y110&lt;&gt;"",'AGOSTO 2026'!Y6:Y110,'AGOSTO 2026'!I6:I110)="JUMBILLA")*('AGOSTO 2026'!K6:K110="GASOLINA")*'AGOSTO 2026'!L6:L110*'AGOSTO 2026'!M6:M110),0)</f>
        <v/>
      </c>
      <c r="G117" s="194" t="n"/>
      <c r="H117" s="194" t="n"/>
      <c r="I117" s="194" t="n"/>
      <c r="J117" s="194" t="n"/>
      <c r="K117" s="194" t="n"/>
      <c r="L117" s="194" t="n"/>
      <c r="M117" s="194" t="n"/>
      <c r="N117" s="194" t="n"/>
      <c r="O117" s="194" t="n"/>
      <c r="P117" s="194" t="n"/>
      <c r="Q117" s="194" t="n"/>
      <c r="R117" s="194" t="n"/>
      <c r="S117" s="194" t="n"/>
      <c r="T117" s="194" t="n"/>
      <c r="U117" s="194" t="n"/>
      <c r="V117" s="194" t="n"/>
      <c r="W117" s="194" t="n"/>
      <c r="X117" s="194" t="n"/>
      <c r="Y117" s="194" t="n"/>
      <c r="Z117" s="194" t="n"/>
    </row>
    <row r="118" ht="15" customHeight="1" s="195">
      <c r="A118" s="194" t="inlineStr">
        <is>
          <t>JUMBILLA</t>
        </is>
      </c>
      <c r="B118" s="194" t="inlineStr">
        <is>
          <t>SETIEMBRE 2026</t>
        </is>
      </c>
      <c r="C118" s="377">
        <f>IFERROR(SUMPRODUCT((IF('SETIEMBRE 2026'!Y6:Y110&lt;&gt;"",'SETIEMBRE 2026'!Y6:Y110,'SETIEMBRE 2026'!I6:I110)="JUMBILLA")*('SETIEMBRE 2026'!K6:K110="PETROLEO")*'SETIEMBRE 2026'!M6:M110),0)</f>
        <v/>
      </c>
      <c r="D118" s="377">
        <f>IFERROR(SUMPRODUCT((IF('SETIEMBRE 2026'!Y6:Y110&lt;&gt;"",'SETIEMBRE 2026'!Y6:Y110,'SETIEMBRE 2026'!I6:I110)="JUMBILLA")*('SETIEMBRE 2026'!K6:K110="PETROLEO")*'SETIEMBRE 2026'!L6:L110*'SETIEMBRE 2026'!M6:M110),0)</f>
        <v/>
      </c>
      <c r="E118" s="377">
        <f>IFERROR(SUMPRODUCT((IF('SETIEMBRE 2026'!Y6:Y110&lt;&gt;"",'SETIEMBRE 2026'!Y6:Y110,'SETIEMBRE 2026'!I6:I110)="JUMBILLA")*('SETIEMBRE 2026'!K6:K110="GASOLINA")*'SETIEMBRE 2026'!M6:M110),0)</f>
        <v/>
      </c>
      <c r="F118" s="377">
        <f>IFERROR(SUMPRODUCT((IF('SETIEMBRE 2026'!Y6:Y110&lt;&gt;"",'SETIEMBRE 2026'!Y6:Y110,'SETIEMBRE 2026'!I6:I110)="JUMBILLA")*('SETIEMBRE 2026'!K6:K110="GASOLINA")*'SETIEMBRE 2026'!L6:L110*'SETIEMBRE 2026'!M6:M110),0)</f>
        <v/>
      </c>
      <c r="G118" s="194" t="n"/>
      <c r="H118" s="194" t="n"/>
      <c r="I118" s="194" t="n"/>
      <c r="J118" s="194" t="n"/>
      <c r="K118" s="194" t="n"/>
      <c r="L118" s="194" t="n"/>
      <c r="M118" s="194" t="n"/>
      <c r="N118" s="194" t="n"/>
      <c r="O118" s="194" t="n"/>
      <c r="P118" s="194" t="n"/>
      <c r="Q118" s="194" t="n"/>
      <c r="R118" s="194" t="n"/>
      <c r="S118" s="194" t="n"/>
      <c r="T118" s="194" t="n"/>
      <c r="U118" s="194" t="n"/>
      <c r="V118" s="194" t="n"/>
      <c r="W118" s="194" t="n"/>
      <c r="X118" s="194" t="n"/>
      <c r="Y118" s="194" t="n"/>
      <c r="Z118" s="194" t="n"/>
    </row>
    <row r="119" ht="15" customHeight="1" s="195">
      <c r="A119" s="194" t="inlineStr">
        <is>
          <t>JUMBILLA</t>
        </is>
      </c>
      <c r="B119" s="194" t="inlineStr">
        <is>
          <t>OCTUBRE 2026</t>
        </is>
      </c>
      <c r="C119" s="377">
        <f>IFERROR(SUMPRODUCT((IF('OCTUBRE 2026'!Y6:Y110&lt;&gt;"",'OCTUBRE 2026'!Y6:Y110,'OCTUBRE 2026'!I6:I110)="JUMBILLA")*('OCTUBRE 2026'!K6:K110="PETROLEO")*'OCTUBRE 2026'!M6:M110),0)</f>
        <v/>
      </c>
      <c r="D119" s="377">
        <f>IFERROR(SUMPRODUCT((IF('OCTUBRE 2026'!Y6:Y110&lt;&gt;"",'OCTUBRE 2026'!Y6:Y110,'OCTUBRE 2026'!I6:I110)="JUMBILLA")*('OCTUBRE 2026'!K6:K110="PETROLEO")*'OCTUBRE 2026'!L6:L110*'OCTUBRE 2026'!M6:M110),0)</f>
        <v/>
      </c>
      <c r="E119" s="377">
        <f>IFERROR(SUMPRODUCT((IF('OCTUBRE 2026'!Y6:Y110&lt;&gt;"",'OCTUBRE 2026'!Y6:Y110,'OCTUBRE 2026'!I6:I110)="JUMBILLA")*('OCTUBRE 2026'!K6:K110="GASOLINA")*'OCTUBRE 2026'!M6:M110),0)</f>
        <v/>
      </c>
      <c r="F119" s="377">
        <f>IFERROR(SUMPRODUCT((IF('OCTUBRE 2026'!Y6:Y110&lt;&gt;"",'OCTUBRE 2026'!Y6:Y110,'OCTUBRE 2026'!I6:I110)="JUMBILLA")*('OCTUBRE 2026'!K6:K110="GASOLINA")*'OCTUBRE 2026'!L6:L110*'OCTUBRE 2026'!M6:M110),0)</f>
        <v/>
      </c>
      <c r="G119" s="194" t="n"/>
      <c r="H119" s="194" t="n"/>
      <c r="I119" s="194" t="n"/>
      <c r="J119" s="194" t="n"/>
      <c r="K119" s="194" t="n"/>
      <c r="L119" s="194" t="n"/>
      <c r="M119" s="194" t="n"/>
      <c r="N119" s="194" t="n"/>
      <c r="O119" s="194" t="n"/>
      <c r="P119" s="194" t="n"/>
      <c r="Q119" s="194" t="n"/>
      <c r="R119" s="194" t="n"/>
      <c r="S119" s="194" t="n"/>
      <c r="T119" s="194" t="n"/>
      <c r="U119" s="194" t="n"/>
      <c r="V119" s="194" t="n"/>
      <c r="W119" s="194" t="n"/>
      <c r="X119" s="194" t="n"/>
      <c r="Y119" s="194" t="n"/>
      <c r="Z119" s="194" t="n"/>
    </row>
    <row r="120" ht="15" customHeight="1" s="195">
      <c r="A120" s="194" t="inlineStr">
        <is>
          <t>JUMBILLA</t>
        </is>
      </c>
      <c r="B120" s="194" t="inlineStr">
        <is>
          <t>NOVIEMBRE 2026</t>
        </is>
      </c>
      <c r="C120" s="377">
        <f>IFERROR(SUMPRODUCT((IF('NOVIEMBRE 2026'!Y6:Y110&lt;&gt;"",'NOVIEMBRE 2026'!Y6:Y110,'NOVIEMBRE 2026'!I6:I110)="JUMBILLA")*('NOVIEMBRE 2026'!K6:K110="PETROLEO")*'NOVIEMBRE 2026'!M6:M110),0)</f>
        <v/>
      </c>
      <c r="D120" s="377">
        <f>IFERROR(SUMPRODUCT((IF('NOVIEMBRE 2026'!Y6:Y110&lt;&gt;"",'NOVIEMBRE 2026'!Y6:Y110,'NOVIEMBRE 2026'!I6:I110)="JUMBILLA")*('NOVIEMBRE 2026'!K6:K110="PETROLEO")*'NOVIEMBRE 2026'!L6:L110*'NOVIEMBRE 2026'!M6:M110),0)</f>
        <v/>
      </c>
      <c r="E120" s="377">
        <f>IFERROR(SUMPRODUCT((IF('NOVIEMBRE 2026'!Y6:Y110&lt;&gt;"",'NOVIEMBRE 2026'!Y6:Y110,'NOVIEMBRE 2026'!I6:I110)="JUMBILLA")*('NOVIEMBRE 2026'!K6:K110="GASOLINA")*'NOVIEMBRE 2026'!M6:M110),0)</f>
        <v/>
      </c>
      <c r="F120" s="377">
        <f>IFERROR(SUMPRODUCT((IF('NOVIEMBRE 2026'!Y6:Y110&lt;&gt;"",'NOVIEMBRE 2026'!Y6:Y110,'NOVIEMBRE 2026'!I6:I110)="JUMBILLA")*('NOVIEMBRE 2026'!K6:K110="GASOLINA")*'NOVIEMBRE 2026'!L6:L110*'NOVIEMBRE 2026'!M6:M110),0)</f>
        <v/>
      </c>
      <c r="G120" s="194" t="n"/>
      <c r="H120" s="194" t="n"/>
      <c r="I120" s="194" t="n"/>
      <c r="J120" s="194" t="n"/>
      <c r="K120" s="194" t="n"/>
      <c r="L120" s="194" t="n"/>
      <c r="M120" s="194" t="n"/>
      <c r="N120" s="194" t="n"/>
      <c r="O120" s="194" t="n"/>
      <c r="P120" s="194" t="n"/>
      <c r="Q120" s="194" t="n"/>
      <c r="R120" s="194" t="n"/>
      <c r="S120" s="194" t="n"/>
      <c r="T120" s="194" t="n"/>
      <c r="U120" s="194" t="n"/>
      <c r="V120" s="194" t="n"/>
      <c r="W120" s="194" t="n"/>
      <c r="X120" s="194" t="n"/>
      <c r="Y120" s="194" t="n"/>
      <c r="Z120" s="194" t="n"/>
    </row>
    <row r="121" ht="15" customHeight="1" s="195">
      <c r="A121" s="194" t="inlineStr">
        <is>
          <t>JUMBILLA</t>
        </is>
      </c>
      <c r="B121" s="194" t="inlineStr">
        <is>
          <t>DICIEMBRE 2026</t>
        </is>
      </c>
      <c r="C121" s="377">
        <f>IFERROR(SUMPRODUCT((IF('DICIEMBRE 2026'!Y6:Y110&lt;&gt;"",'DICIEMBRE 2026'!Y6:Y110,'DICIEMBRE 2026'!I6:I110)="JUMBILLA")*('DICIEMBRE 2026'!K6:K110="PETROLEO")*'DICIEMBRE 2026'!M6:M110),0)</f>
        <v/>
      </c>
      <c r="D121" s="377">
        <f>IFERROR(SUMPRODUCT((IF('DICIEMBRE 2026'!Y6:Y110&lt;&gt;"",'DICIEMBRE 2026'!Y6:Y110,'DICIEMBRE 2026'!I6:I110)="JUMBILLA")*('DICIEMBRE 2026'!K6:K110="PETROLEO")*'DICIEMBRE 2026'!L6:L110*'DICIEMBRE 2026'!M6:M110),0)</f>
        <v/>
      </c>
      <c r="E121" s="377">
        <f>IFERROR(SUMPRODUCT((IF('DICIEMBRE 2026'!Y6:Y110&lt;&gt;"",'DICIEMBRE 2026'!Y6:Y110,'DICIEMBRE 2026'!I6:I110)="JUMBILLA")*('DICIEMBRE 2026'!K6:K110="GASOLINA")*'DICIEMBRE 2026'!M6:M110),0)</f>
        <v/>
      </c>
      <c r="F121" s="377">
        <f>IFERROR(SUMPRODUCT((IF('DICIEMBRE 2026'!Y6:Y110&lt;&gt;"",'DICIEMBRE 2026'!Y6:Y110,'DICIEMBRE 2026'!I6:I110)="JUMBILLA")*('DICIEMBRE 2026'!K6:K110="GASOLINA")*'DICIEMBRE 2026'!L6:L110*'DICIEMBRE 2026'!M6:M110),0)</f>
        <v/>
      </c>
      <c r="G121" s="194" t="n"/>
      <c r="H121" s="194" t="n"/>
      <c r="I121" s="194" t="n"/>
      <c r="J121" s="194" t="n"/>
      <c r="K121" s="194" t="n"/>
      <c r="L121" s="194" t="n"/>
      <c r="M121" s="194" t="n"/>
      <c r="N121" s="194" t="n"/>
      <c r="O121" s="194" t="n"/>
      <c r="P121" s="194" t="n"/>
      <c r="Q121" s="194" t="n"/>
      <c r="R121" s="194" t="n"/>
      <c r="S121" s="194" t="n"/>
      <c r="T121" s="194" t="n"/>
      <c r="U121" s="194" t="n"/>
      <c r="V121" s="194" t="n"/>
      <c r="W121" s="194" t="n"/>
      <c r="X121" s="194" t="n"/>
      <c r="Y121" s="194" t="n"/>
      <c r="Z121" s="194" t="n"/>
    </row>
    <row r="122" ht="15" customHeight="1" s="195">
      <c r="A122" s="194" t="inlineStr">
        <is>
          <t>LAMUD</t>
        </is>
      </c>
      <c r="B122" s="194" t="inlineStr">
        <is>
          <t>ENERO 2026</t>
        </is>
      </c>
      <c r="C122" s="377">
        <f>IFERROR(SUMPRODUCT((IF('ENERO 2026'!Y6:Y119&lt;&gt;"",'ENERO 2026'!Y6:Y119,'ENERO 2026'!I6:I119)="LAMUD")*('ENERO 2026'!K6:K119="PETROLEO")*'ENERO 2026'!M6:M119),0)</f>
        <v/>
      </c>
      <c r="D122" s="377">
        <f>IFERROR(SUMPRODUCT((IF('ENERO 2026'!Y6:Y119&lt;&gt;"",'ENERO 2026'!Y6:Y119,'ENERO 2026'!I6:I119)="LAMUD")*('ENERO 2026'!K6:K119="PETROLEO")*'ENERO 2026'!L6:L119*'ENERO 2026'!M6:M119),0)</f>
        <v/>
      </c>
      <c r="E122" s="377">
        <f>IFERROR(SUMPRODUCT((IF('ENERO 2026'!Y6:Y119&lt;&gt;"",'ENERO 2026'!Y6:Y119,'ENERO 2026'!I6:I119)="LAMUD")*('ENERO 2026'!K6:K119="GASOLINA")*'ENERO 2026'!M6:M119),0)</f>
        <v/>
      </c>
      <c r="F122" s="377">
        <f>IFERROR(SUMPRODUCT((IF('ENERO 2026'!Y6:Y119&lt;&gt;"",'ENERO 2026'!Y6:Y119,'ENERO 2026'!I6:I119)="LAMUD")*('ENERO 2026'!K6:K119="GASOLINA")*'ENERO 2026'!L6:L119*'ENERO 2026'!M6:M119),0)</f>
        <v/>
      </c>
      <c r="G122" s="194" t="n"/>
      <c r="H122" s="194" t="n"/>
      <c r="I122" s="194" t="n"/>
      <c r="J122" s="194" t="n"/>
      <c r="K122" s="194" t="n"/>
      <c r="L122" s="194" t="n"/>
      <c r="M122" s="194" t="n"/>
      <c r="N122" s="194" t="n"/>
      <c r="O122" s="194" t="n"/>
      <c r="P122" s="194" t="n"/>
      <c r="Q122" s="194" t="n"/>
      <c r="R122" s="194" t="n"/>
      <c r="S122" s="194" t="n"/>
      <c r="T122" s="194" t="n"/>
      <c r="U122" s="194" t="n"/>
      <c r="V122" s="194" t="n"/>
      <c r="W122" s="194" t="n"/>
      <c r="X122" s="194" t="n"/>
      <c r="Y122" s="194" t="n"/>
      <c r="Z122" s="194" t="n"/>
    </row>
    <row r="123" ht="15" customHeight="1" s="195">
      <c r="A123" s="194" t="inlineStr">
        <is>
          <t>LAMUD</t>
        </is>
      </c>
      <c r="B123" s="194" t="inlineStr">
        <is>
          <t>FEBRERO 2026</t>
        </is>
      </c>
      <c r="C123" s="377">
        <f>IFERROR(SUMPRODUCT((IF('FEBRERO 2026'!Y6:Y124&lt;&gt;"",'FEBRERO 2026'!Y6:Y124,'FEBRERO 2026'!I6:I124)="LAMUD")*('FEBRERO 2026'!K6:K124="PETROLEO")*'FEBRERO 2026'!M6:M124),0)</f>
        <v/>
      </c>
      <c r="D123" s="377">
        <f>IFERROR(SUMPRODUCT((IF('FEBRERO 2026'!Y6:Y124&lt;&gt;"",'FEBRERO 2026'!Y6:Y124,'FEBRERO 2026'!I6:I124)="LAMUD")*('FEBRERO 2026'!K6:K124="PETROLEO")*'FEBRERO 2026'!L6:L124*'FEBRERO 2026'!M6:M124),0)</f>
        <v/>
      </c>
      <c r="E123" s="377">
        <f>IFERROR(SUMPRODUCT((IF('FEBRERO 2026'!Y6:Y124&lt;&gt;"",'FEBRERO 2026'!Y6:Y124,'FEBRERO 2026'!I6:I124)="LAMUD")*('FEBRERO 2026'!K6:K124="GASOLINA")*'FEBRERO 2026'!M6:M124),0)</f>
        <v/>
      </c>
      <c r="F123" s="377">
        <f>IFERROR(SUMPRODUCT((IF('FEBRERO 2026'!Y6:Y124&lt;&gt;"",'FEBRERO 2026'!Y6:Y124,'FEBRERO 2026'!I6:I124)="LAMUD")*('FEBRERO 2026'!K6:K124="GASOLINA")*'FEBRERO 2026'!L6:L124*'FEBRERO 2026'!M6:M124),0)</f>
        <v/>
      </c>
      <c r="G123" s="194" t="n"/>
      <c r="H123" s="194" t="n"/>
      <c r="I123" s="194" t="n"/>
      <c r="J123" s="194" t="n"/>
      <c r="K123" s="194" t="n"/>
      <c r="L123" s="194" t="n"/>
      <c r="M123" s="194" t="n"/>
      <c r="N123" s="194" t="n"/>
      <c r="O123" s="194" t="n"/>
      <c r="P123" s="194" t="n"/>
      <c r="Q123" s="194" t="n"/>
      <c r="R123" s="194" t="n"/>
      <c r="S123" s="194" t="n"/>
      <c r="T123" s="194" t="n"/>
      <c r="U123" s="194" t="n"/>
      <c r="V123" s="194" t="n"/>
      <c r="W123" s="194" t="n"/>
      <c r="X123" s="194" t="n"/>
      <c r="Y123" s="194" t="n"/>
      <c r="Z123" s="194" t="n"/>
    </row>
    <row r="124" ht="15" customHeight="1" s="195">
      <c r="A124" s="194" t="inlineStr">
        <is>
          <t>LAMUD</t>
        </is>
      </c>
      <c r="B124" s="194" t="inlineStr">
        <is>
          <t>MARZO 2026</t>
        </is>
      </c>
      <c r="C124" s="377">
        <f>IFERROR(SUMPRODUCT((IF('MARZO 2026'!Y6:Y119&lt;&gt;"",'MARZO 2026'!Y6:Y119,'MARZO 2026'!I6:I119)="LAMUD")*('MARZO 2026'!K6:K119="PETROLEO")*'MARZO 2026'!M6:M119),0)</f>
        <v/>
      </c>
      <c r="D124" s="377">
        <f>IFERROR(SUMPRODUCT((IF('MARZO 2026'!Y6:Y119&lt;&gt;"",'MARZO 2026'!Y6:Y119,'MARZO 2026'!I6:I119)="LAMUD")*('MARZO 2026'!K6:K119="PETROLEO")*'MARZO 2026'!L6:L119*'MARZO 2026'!M6:M119),0)</f>
        <v/>
      </c>
      <c r="E124" s="377">
        <f>IFERROR(SUMPRODUCT((IF('MARZO 2026'!Y6:Y119&lt;&gt;"",'MARZO 2026'!Y6:Y119,'MARZO 2026'!I6:I119)="LAMUD")*('MARZO 2026'!K6:K119="GASOLINA")*'MARZO 2026'!M6:M119),0)</f>
        <v/>
      </c>
      <c r="F124" s="377">
        <f>IFERROR(SUMPRODUCT((IF('MARZO 2026'!Y6:Y119&lt;&gt;"",'MARZO 2026'!Y6:Y119,'MARZO 2026'!I6:I119)="LAMUD")*('MARZO 2026'!K6:K119="GASOLINA")*'MARZO 2026'!L6:L119*'MARZO 2026'!M6:M119),0)</f>
        <v/>
      </c>
      <c r="G124" s="194" t="n"/>
      <c r="H124" s="194" t="n"/>
      <c r="I124" s="194" t="n"/>
      <c r="J124" s="194" t="n"/>
      <c r="K124" s="194" t="n"/>
      <c r="L124" s="194" t="n"/>
      <c r="M124" s="194" t="n"/>
      <c r="N124" s="194" t="n"/>
      <c r="O124" s="194" t="n"/>
      <c r="P124" s="194" t="n"/>
      <c r="Q124" s="194" t="n"/>
      <c r="R124" s="194" t="n"/>
      <c r="S124" s="194" t="n"/>
      <c r="T124" s="194" t="n"/>
      <c r="U124" s="194" t="n"/>
      <c r="V124" s="194" t="n"/>
      <c r="W124" s="194" t="n"/>
      <c r="X124" s="194" t="n"/>
      <c r="Y124" s="194" t="n"/>
      <c r="Z124" s="194" t="n"/>
    </row>
    <row r="125" ht="15" customHeight="1" s="195">
      <c r="A125" s="194" t="inlineStr">
        <is>
          <t>LAMUD</t>
        </is>
      </c>
      <c r="B125" s="194" t="inlineStr">
        <is>
          <t>ABRIL 2026</t>
        </is>
      </c>
      <c r="C125" s="377">
        <f>IFERROR(SUMPRODUCT((IF('ABRIL 2026'!Y6:Y119&lt;&gt;"",'ABRIL 2026'!Y6:Y119,'ABRIL 2026'!I6:I119)="LAMUD")*('ABRIL 2026'!K6:K119="PETROLEO")*'ABRIL 2026'!M6:M119),0)</f>
        <v/>
      </c>
      <c r="D125" s="377">
        <f>IFERROR(SUMPRODUCT((IF('ABRIL 2026'!Y6:Y119&lt;&gt;"",'ABRIL 2026'!Y6:Y119,'ABRIL 2026'!I6:I119)="LAMUD")*('ABRIL 2026'!K6:K119="PETROLEO")*'ABRIL 2026'!L6:L119*'ABRIL 2026'!M6:M119),0)</f>
        <v/>
      </c>
      <c r="E125" s="377">
        <f>IFERROR(SUMPRODUCT((IF('ABRIL 2026'!Y6:Y119&lt;&gt;"",'ABRIL 2026'!Y6:Y119,'ABRIL 2026'!I6:I119)="LAMUD")*('ABRIL 2026'!K6:K119="GASOLINA")*'ABRIL 2026'!M6:M119),0)</f>
        <v/>
      </c>
      <c r="F125" s="377">
        <f>IFERROR(SUMPRODUCT((IF('ABRIL 2026'!Y6:Y119&lt;&gt;"",'ABRIL 2026'!Y6:Y119,'ABRIL 2026'!I6:I119)="LAMUD")*('ABRIL 2026'!K6:K119="GASOLINA")*'ABRIL 2026'!L6:L119*'ABRIL 2026'!M6:M119),0)</f>
        <v/>
      </c>
      <c r="G125" s="194" t="n"/>
      <c r="H125" s="194" t="n"/>
      <c r="I125" s="194" t="n"/>
      <c r="J125" s="194" t="n"/>
      <c r="K125" s="194" t="n"/>
      <c r="L125" s="194" t="n"/>
      <c r="M125" s="194" t="n"/>
      <c r="N125" s="194" t="n"/>
      <c r="O125" s="194" t="n"/>
      <c r="P125" s="194" t="n"/>
      <c r="Q125" s="194" t="n"/>
      <c r="R125" s="194" t="n"/>
      <c r="S125" s="194" t="n"/>
      <c r="T125" s="194" t="n"/>
      <c r="U125" s="194" t="n"/>
      <c r="V125" s="194" t="n"/>
      <c r="W125" s="194" t="n"/>
      <c r="X125" s="194" t="n"/>
      <c r="Y125" s="194" t="n"/>
      <c r="Z125" s="194" t="n"/>
    </row>
    <row r="126" ht="15" customHeight="1" s="195">
      <c r="A126" s="194" t="inlineStr">
        <is>
          <t>LAMUD</t>
        </is>
      </c>
      <c r="B126" s="194" t="inlineStr">
        <is>
          <t>MAYO 2026</t>
        </is>
      </c>
      <c r="C126" s="377">
        <f>IFERROR(SUMPRODUCT((IF('MAYO 2026'!Y6:Y110&lt;&gt;"",'MAYO 2026'!Y6:Y110,'MAYO 2026'!I6:I110)="LAMUD")*('MAYO 2026'!K6:K110="PETROLEO")*'MAYO 2026'!M6:M110),0)</f>
        <v/>
      </c>
      <c r="D126" s="377">
        <f>IFERROR(SUMPRODUCT((IF('MAYO 2026'!Y6:Y110&lt;&gt;"",'MAYO 2026'!Y6:Y110,'MAYO 2026'!I6:I110)="LAMUD")*('MAYO 2026'!K6:K110="PETROLEO")*'MAYO 2026'!L6:L110*'MAYO 2026'!M6:M110),0)</f>
        <v/>
      </c>
      <c r="E126" s="377">
        <f>IFERROR(SUMPRODUCT((IF('MAYO 2026'!Y6:Y110&lt;&gt;"",'MAYO 2026'!Y6:Y110,'MAYO 2026'!I6:I110)="LAMUD")*('MAYO 2026'!K6:K110="GASOLINA")*'MAYO 2026'!M6:M110),0)</f>
        <v/>
      </c>
      <c r="F126" s="377">
        <f>IFERROR(SUMPRODUCT((IF('MAYO 2026'!Y6:Y110&lt;&gt;"",'MAYO 2026'!Y6:Y110,'MAYO 2026'!I6:I110)="LAMUD")*('MAYO 2026'!K6:K110="GASOLINA")*'MAYO 2026'!L6:L110*'MAYO 2026'!M6:M110),0)</f>
        <v/>
      </c>
      <c r="G126" s="194" t="n"/>
      <c r="H126" s="194" t="n"/>
      <c r="I126" s="194" t="n"/>
      <c r="J126" s="194" t="n"/>
      <c r="K126" s="194" t="n"/>
      <c r="L126" s="194" t="n"/>
      <c r="M126" s="194" t="n"/>
      <c r="N126" s="194" t="n"/>
      <c r="O126" s="194" t="n"/>
      <c r="P126" s="194" t="n"/>
      <c r="Q126" s="194" t="n"/>
      <c r="R126" s="194" t="n"/>
      <c r="S126" s="194" t="n"/>
      <c r="T126" s="194" t="n"/>
      <c r="U126" s="194" t="n"/>
      <c r="V126" s="194" t="n"/>
      <c r="W126" s="194" t="n"/>
      <c r="X126" s="194" t="n"/>
      <c r="Y126" s="194" t="n"/>
      <c r="Z126" s="194" t="n"/>
    </row>
    <row r="127" ht="15" customHeight="1" s="195">
      <c r="A127" s="194" t="inlineStr">
        <is>
          <t>LAMUD</t>
        </is>
      </c>
      <c r="B127" s="194" t="inlineStr">
        <is>
          <t>JUNIO 2026</t>
        </is>
      </c>
      <c r="C127" s="377">
        <f>IFERROR(SUMPRODUCT((IF('JUNIO 2026'!Y6:Y110&lt;&gt;"",'JUNIO 2026'!Y6:Y110,'JUNIO 2026'!I6:I110)="LAMUD")*('JUNIO 2026'!K6:K110="PETROLEO")*'JUNIO 2026'!M6:M110),0)</f>
        <v/>
      </c>
      <c r="D127" s="377">
        <f>IFERROR(SUMPRODUCT((IF('JUNIO 2026'!Y6:Y110&lt;&gt;"",'JUNIO 2026'!Y6:Y110,'JUNIO 2026'!I6:I110)="LAMUD")*('JUNIO 2026'!K6:K110="PETROLEO")*'JUNIO 2026'!L6:L110*'JUNIO 2026'!M6:M110),0)</f>
        <v/>
      </c>
      <c r="E127" s="377">
        <f>IFERROR(SUMPRODUCT((IF('JUNIO 2026'!Y6:Y110&lt;&gt;"",'JUNIO 2026'!Y6:Y110,'JUNIO 2026'!I6:I110)="LAMUD")*('JUNIO 2026'!K6:K110="GASOLINA")*'JUNIO 2026'!M6:M110),0)</f>
        <v/>
      </c>
      <c r="F127" s="377">
        <f>IFERROR(SUMPRODUCT((IF('JUNIO 2026'!Y6:Y110&lt;&gt;"",'JUNIO 2026'!Y6:Y110,'JUNIO 2026'!I6:I110)="LAMUD")*('JUNIO 2026'!K6:K110="GASOLINA")*'JUNIO 2026'!L6:L110*'JUNIO 2026'!M6:M110),0)</f>
        <v/>
      </c>
      <c r="G127" s="194" t="n"/>
      <c r="H127" s="194" t="n"/>
      <c r="I127" s="194" t="n"/>
      <c r="J127" s="194" t="n"/>
      <c r="K127" s="194" t="n"/>
      <c r="L127" s="194" t="n"/>
      <c r="M127" s="194" t="n"/>
      <c r="N127" s="194" t="n"/>
      <c r="O127" s="194" t="n"/>
      <c r="P127" s="194" t="n"/>
      <c r="Q127" s="194" t="n"/>
      <c r="R127" s="194" t="n"/>
      <c r="S127" s="194" t="n"/>
      <c r="T127" s="194" t="n"/>
      <c r="U127" s="194" t="n"/>
      <c r="V127" s="194" t="n"/>
      <c r="W127" s="194" t="n"/>
      <c r="X127" s="194" t="n"/>
      <c r="Y127" s="194" t="n"/>
      <c r="Z127" s="194" t="n"/>
    </row>
    <row r="128" ht="15" customHeight="1" s="195">
      <c r="A128" s="194" t="inlineStr">
        <is>
          <t>LAMUD</t>
        </is>
      </c>
      <c r="B128" s="194" t="inlineStr">
        <is>
          <t>JULIO 2026</t>
        </is>
      </c>
      <c r="C128" s="377">
        <f>IFERROR(SUMPRODUCT((IF('JULIO 2026'!Y6:Y110&lt;&gt;"",'JULIO 2026'!Y6:Y110,'JULIO 2026'!I6:I110)="LAMUD")*('JULIO 2026'!K6:K110="PETROLEO")*'JULIO 2026'!M6:M110),0)</f>
        <v/>
      </c>
      <c r="D128" s="377">
        <f>IFERROR(SUMPRODUCT((IF('JULIO 2026'!Y6:Y110&lt;&gt;"",'JULIO 2026'!Y6:Y110,'JULIO 2026'!I6:I110)="LAMUD")*('JULIO 2026'!K6:K110="PETROLEO")*'JULIO 2026'!L6:L110*'JULIO 2026'!M6:M110),0)</f>
        <v/>
      </c>
      <c r="E128" s="377">
        <f>IFERROR(SUMPRODUCT((IF('JULIO 2026'!Y6:Y110&lt;&gt;"",'JULIO 2026'!Y6:Y110,'JULIO 2026'!I6:I110)="LAMUD")*('JULIO 2026'!K6:K110="GASOLINA")*'JULIO 2026'!M6:M110),0)</f>
        <v/>
      </c>
      <c r="F128" s="377">
        <f>IFERROR(SUMPRODUCT((IF('JULIO 2026'!Y6:Y110&lt;&gt;"",'JULIO 2026'!Y6:Y110,'JULIO 2026'!I6:I110)="LAMUD")*('JULIO 2026'!K6:K110="GASOLINA")*'JULIO 2026'!L6:L110*'JULIO 2026'!M6:M110),0)</f>
        <v/>
      </c>
      <c r="G128" s="194" t="n"/>
      <c r="H128" s="194" t="n"/>
      <c r="I128" s="194" t="n"/>
      <c r="J128" s="194" t="n"/>
      <c r="K128" s="194" t="n"/>
      <c r="L128" s="194" t="n"/>
      <c r="M128" s="194" t="n"/>
      <c r="N128" s="194" t="n"/>
      <c r="O128" s="194" t="n"/>
      <c r="P128" s="194" t="n"/>
      <c r="Q128" s="194" t="n"/>
      <c r="R128" s="194" t="n"/>
      <c r="S128" s="194" t="n"/>
      <c r="T128" s="194" t="n"/>
      <c r="U128" s="194" t="n"/>
      <c r="V128" s="194" t="n"/>
      <c r="W128" s="194" t="n"/>
      <c r="X128" s="194" t="n"/>
      <c r="Y128" s="194" t="n"/>
      <c r="Z128" s="194" t="n"/>
    </row>
    <row r="129" ht="15" customHeight="1" s="195">
      <c r="A129" s="194" t="inlineStr">
        <is>
          <t>LAMUD</t>
        </is>
      </c>
      <c r="B129" s="194" t="inlineStr">
        <is>
          <t>AGOSTO 2026</t>
        </is>
      </c>
      <c r="C129" s="377">
        <f>IFERROR(SUMPRODUCT((IF('AGOSTO 2026'!Y6:Y110&lt;&gt;"",'AGOSTO 2026'!Y6:Y110,'AGOSTO 2026'!I6:I110)="LAMUD")*('AGOSTO 2026'!K6:K110="PETROLEO")*'AGOSTO 2026'!M6:M110),0)</f>
        <v/>
      </c>
      <c r="D129" s="377">
        <f>IFERROR(SUMPRODUCT((IF('AGOSTO 2026'!Y6:Y110&lt;&gt;"",'AGOSTO 2026'!Y6:Y110,'AGOSTO 2026'!I6:I110)="LAMUD")*('AGOSTO 2026'!K6:K110="PETROLEO")*'AGOSTO 2026'!L6:L110*'AGOSTO 2026'!M6:M110),0)</f>
        <v/>
      </c>
      <c r="E129" s="377">
        <f>IFERROR(SUMPRODUCT((IF('AGOSTO 2026'!Y6:Y110&lt;&gt;"",'AGOSTO 2026'!Y6:Y110,'AGOSTO 2026'!I6:I110)="LAMUD")*('AGOSTO 2026'!K6:K110="GASOLINA")*'AGOSTO 2026'!M6:M110),0)</f>
        <v/>
      </c>
      <c r="F129" s="377">
        <f>IFERROR(SUMPRODUCT((IF('AGOSTO 2026'!Y6:Y110&lt;&gt;"",'AGOSTO 2026'!Y6:Y110,'AGOSTO 2026'!I6:I110)="LAMUD")*('AGOSTO 2026'!K6:K110="GASOLINA")*'AGOSTO 2026'!L6:L110*'AGOSTO 2026'!M6:M110),0)</f>
        <v/>
      </c>
      <c r="G129" s="194" t="n"/>
      <c r="H129" s="194" t="n"/>
      <c r="I129" s="194" t="n"/>
      <c r="J129" s="194" t="n"/>
      <c r="K129" s="194" t="n"/>
      <c r="L129" s="194" t="n"/>
      <c r="M129" s="194" t="n"/>
      <c r="N129" s="194" t="n"/>
      <c r="O129" s="194" t="n"/>
      <c r="P129" s="194" t="n"/>
      <c r="Q129" s="194" t="n"/>
      <c r="R129" s="194" t="n"/>
      <c r="S129" s="194" t="n"/>
      <c r="T129" s="194" t="n"/>
      <c r="U129" s="194" t="n"/>
      <c r="V129" s="194" t="n"/>
      <c r="W129" s="194" t="n"/>
      <c r="X129" s="194" t="n"/>
      <c r="Y129" s="194" t="n"/>
      <c r="Z129" s="194" t="n"/>
    </row>
    <row r="130" ht="15" customHeight="1" s="195">
      <c r="A130" s="194" t="inlineStr">
        <is>
          <t>LAMUD</t>
        </is>
      </c>
      <c r="B130" s="194" t="inlineStr">
        <is>
          <t>SETIEMBRE 2026</t>
        </is>
      </c>
      <c r="C130" s="377">
        <f>IFERROR(SUMPRODUCT((IF('SETIEMBRE 2026'!Y6:Y110&lt;&gt;"",'SETIEMBRE 2026'!Y6:Y110,'SETIEMBRE 2026'!I6:I110)="LAMUD")*('SETIEMBRE 2026'!K6:K110="PETROLEO")*'SETIEMBRE 2026'!M6:M110),0)</f>
        <v/>
      </c>
      <c r="D130" s="377">
        <f>IFERROR(SUMPRODUCT((IF('SETIEMBRE 2026'!Y6:Y110&lt;&gt;"",'SETIEMBRE 2026'!Y6:Y110,'SETIEMBRE 2026'!I6:I110)="LAMUD")*('SETIEMBRE 2026'!K6:K110="PETROLEO")*'SETIEMBRE 2026'!L6:L110*'SETIEMBRE 2026'!M6:M110),0)</f>
        <v/>
      </c>
      <c r="E130" s="377">
        <f>IFERROR(SUMPRODUCT((IF('SETIEMBRE 2026'!Y6:Y110&lt;&gt;"",'SETIEMBRE 2026'!Y6:Y110,'SETIEMBRE 2026'!I6:I110)="LAMUD")*('SETIEMBRE 2026'!K6:K110="GASOLINA")*'SETIEMBRE 2026'!M6:M110),0)</f>
        <v/>
      </c>
      <c r="F130" s="377">
        <f>IFERROR(SUMPRODUCT((IF('SETIEMBRE 2026'!Y6:Y110&lt;&gt;"",'SETIEMBRE 2026'!Y6:Y110,'SETIEMBRE 2026'!I6:I110)="LAMUD")*('SETIEMBRE 2026'!K6:K110="GASOLINA")*'SETIEMBRE 2026'!L6:L110*'SETIEMBRE 2026'!M6:M110),0)</f>
        <v/>
      </c>
      <c r="G130" s="194" t="n"/>
      <c r="H130" s="194" t="n"/>
      <c r="I130" s="194" t="n"/>
      <c r="J130" s="194" t="n"/>
      <c r="K130" s="194" t="n"/>
      <c r="L130" s="194" t="n"/>
      <c r="M130" s="194" t="n"/>
      <c r="N130" s="194" t="n"/>
      <c r="O130" s="194" t="n"/>
      <c r="P130" s="194" t="n"/>
      <c r="Q130" s="194" t="n"/>
      <c r="R130" s="194" t="n"/>
      <c r="S130" s="194" t="n"/>
      <c r="T130" s="194" t="n"/>
      <c r="U130" s="194" t="n"/>
      <c r="V130" s="194" t="n"/>
      <c r="W130" s="194" t="n"/>
      <c r="X130" s="194" t="n"/>
      <c r="Y130" s="194" t="n"/>
      <c r="Z130" s="194" t="n"/>
    </row>
    <row r="131" ht="15" customHeight="1" s="195">
      <c r="A131" s="194" t="inlineStr">
        <is>
          <t>LAMUD</t>
        </is>
      </c>
      <c r="B131" s="194" t="inlineStr">
        <is>
          <t>OCTUBRE 2026</t>
        </is>
      </c>
      <c r="C131" s="377">
        <f>IFERROR(SUMPRODUCT((IF('OCTUBRE 2026'!Y6:Y110&lt;&gt;"",'OCTUBRE 2026'!Y6:Y110,'OCTUBRE 2026'!I6:I110)="LAMUD")*('OCTUBRE 2026'!K6:K110="PETROLEO")*'OCTUBRE 2026'!M6:M110),0)</f>
        <v/>
      </c>
      <c r="D131" s="377">
        <f>IFERROR(SUMPRODUCT((IF('OCTUBRE 2026'!Y6:Y110&lt;&gt;"",'OCTUBRE 2026'!Y6:Y110,'OCTUBRE 2026'!I6:I110)="LAMUD")*('OCTUBRE 2026'!K6:K110="PETROLEO")*'OCTUBRE 2026'!L6:L110*'OCTUBRE 2026'!M6:M110),0)</f>
        <v/>
      </c>
      <c r="E131" s="377">
        <f>IFERROR(SUMPRODUCT((IF('OCTUBRE 2026'!Y6:Y110&lt;&gt;"",'OCTUBRE 2026'!Y6:Y110,'OCTUBRE 2026'!I6:I110)="LAMUD")*('OCTUBRE 2026'!K6:K110="GASOLINA")*'OCTUBRE 2026'!M6:M110),0)</f>
        <v/>
      </c>
      <c r="F131" s="377">
        <f>IFERROR(SUMPRODUCT((IF('OCTUBRE 2026'!Y6:Y110&lt;&gt;"",'OCTUBRE 2026'!Y6:Y110,'OCTUBRE 2026'!I6:I110)="LAMUD")*('OCTUBRE 2026'!K6:K110="GASOLINA")*'OCTUBRE 2026'!L6:L110*'OCTUBRE 2026'!M6:M110),0)</f>
        <v/>
      </c>
      <c r="G131" s="194" t="n"/>
      <c r="H131" s="194" t="n"/>
      <c r="I131" s="194" t="n"/>
      <c r="J131" s="194" t="n"/>
      <c r="K131" s="194" t="n"/>
      <c r="L131" s="194" t="n"/>
      <c r="M131" s="194" t="n"/>
      <c r="N131" s="194" t="n"/>
      <c r="O131" s="194" t="n"/>
      <c r="P131" s="194" t="n"/>
      <c r="Q131" s="194" t="n"/>
      <c r="R131" s="194" t="n"/>
      <c r="S131" s="194" t="n"/>
      <c r="T131" s="194" t="n"/>
      <c r="U131" s="194" t="n"/>
      <c r="V131" s="194" t="n"/>
      <c r="W131" s="194" t="n"/>
      <c r="X131" s="194" t="n"/>
      <c r="Y131" s="194" t="n"/>
      <c r="Z131" s="194" t="n"/>
    </row>
    <row r="132" ht="15" customHeight="1" s="195">
      <c r="A132" s="194" t="inlineStr">
        <is>
          <t>LAMUD</t>
        </is>
      </c>
      <c r="B132" s="194" t="inlineStr">
        <is>
          <t>NOVIEMBRE 2026</t>
        </is>
      </c>
      <c r="C132" s="377">
        <f>IFERROR(SUMPRODUCT((IF('NOVIEMBRE 2026'!Y6:Y110&lt;&gt;"",'NOVIEMBRE 2026'!Y6:Y110,'NOVIEMBRE 2026'!I6:I110)="LAMUD")*('NOVIEMBRE 2026'!K6:K110="PETROLEO")*'NOVIEMBRE 2026'!M6:M110),0)</f>
        <v/>
      </c>
      <c r="D132" s="377">
        <f>IFERROR(SUMPRODUCT((IF('NOVIEMBRE 2026'!Y6:Y110&lt;&gt;"",'NOVIEMBRE 2026'!Y6:Y110,'NOVIEMBRE 2026'!I6:I110)="LAMUD")*('NOVIEMBRE 2026'!K6:K110="PETROLEO")*'NOVIEMBRE 2026'!L6:L110*'NOVIEMBRE 2026'!M6:M110),0)</f>
        <v/>
      </c>
      <c r="E132" s="377">
        <f>IFERROR(SUMPRODUCT((IF('NOVIEMBRE 2026'!Y6:Y110&lt;&gt;"",'NOVIEMBRE 2026'!Y6:Y110,'NOVIEMBRE 2026'!I6:I110)="LAMUD")*('NOVIEMBRE 2026'!K6:K110="GASOLINA")*'NOVIEMBRE 2026'!M6:M110),0)</f>
        <v/>
      </c>
      <c r="F132" s="377">
        <f>IFERROR(SUMPRODUCT((IF('NOVIEMBRE 2026'!Y6:Y110&lt;&gt;"",'NOVIEMBRE 2026'!Y6:Y110,'NOVIEMBRE 2026'!I6:I110)="LAMUD")*('NOVIEMBRE 2026'!K6:K110="GASOLINA")*'NOVIEMBRE 2026'!L6:L110*'NOVIEMBRE 2026'!M6:M110),0)</f>
        <v/>
      </c>
      <c r="G132" s="194" t="n"/>
      <c r="H132" s="194" t="n"/>
      <c r="I132" s="194" t="n"/>
      <c r="J132" s="194" t="n"/>
      <c r="K132" s="194" t="n"/>
      <c r="L132" s="194" t="n"/>
      <c r="M132" s="194" t="n"/>
      <c r="N132" s="194" t="n"/>
      <c r="O132" s="194" t="n"/>
      <c r="P132" s="194" t="n"/>
      <c r="Q132" s="194" t="n"/>
      <c r="R132" s="194" t="n"/>
      <c r="S132" s="194" t="n"/>
      <c r="T132" s="194" t="n"/>
      <c r="U132" s="194" t="n"/>
      <c r="V132" s="194" t="n"/>
      <c r="W132" s="194" t="n"/>
      <c r="X132" s="194" t="n"/>
      <c r="Y132" s="194" t="n"/>
      <c r="Z132" s="194" t="n"/>
    </row>
    <row r="133" ht="15" customHeight="1" s="195">
      <c r="A133" s="194" t="inlineStr">
        <is>
          <t>LAMUD</t>
        </is>
      </c>
      <c r="B133" s="194" t="inlineStr">
        <is>
          <t>DICIEMBRE 2026</t>
        </is>
      </c>
      <c r="C133" s="377">
        <f>IFERROR(SUMPRODUCT((IF('DICIEMBRE 2026'!Y6:Y110&lt;&gt;"",'DICIEMBRE 2026'!Y6:Y110,'DICIEMBRE 2026'!I6:I110)="LAMUD")*('DICIEMBRE 2026'!K6:K110="PETROLEO")*'DICIEMBRE 2026'!M6:M110),0)</f>
        <v/>
      </c>
      <c r="D133" s="377">
        <f>IFERROR(SUMPRODUCT((IF('DICIEMBRE 2026'!Y6:Y110&lt;&gt;"",'DICIEMBRE 2026'!Y6:Y110,'DICIEMBRE 2026'!I6:I110)="LAMUD")*('DICIEMBRE 2026'!K6:K110="PETROLEO")*'DICIEMBRE 2026'!L6:L110*'DICIEMBRE 2026'!M6:M110),0)</f>
        <v/>
      </c>
      <c r="E133" s="377">
        <f>IFERROR(SUMPRODUCT((IF('DICIEMBRE 2026'!Y6:Y110&lt;&gt;"",'DICIEMBRE 2026'!Y6:Y110,'DICIEMBRE 2026'!I6:I110)="LAMUD")*('DICIEMBRE 2026'!K6:K110="GASOLINA")*'DICIEMBRE 2026'!M6:M110),0)</f>
        <v/>
      </c>
      <c r="F133" s="377">
        <f>IFERROR(SUMPRODUCT((IF('DICIEMBRE 2026'!Y6:Y110&lt;&gt;"",'DICIEMBRE 2026'!Y6:Y110,'DICIEMBRE 2026'!I6:I110)="LAMUD")*('DICIEMBRE 2026'!K6:K110="GASOLINA")*'DICIEMBRE 2026'!L6:L110*'DICIEMBRE 2026'!M6:M110),0)</f>
        <v/>
      </c>
      <c r="G133" s="194" t="n"/>
      <c r="H133" s="194" t="n"/>
      <c r="I133" s="194" t="n"/>
      <c r="J133" s="194" t="n"/>
      <c r="K133" s="194" t="n"/>
      <c r="L133" s="194" t="n"/>
      <c r="M133" s="194" t="n"/>
      <c r="N133" s="194" t="n"/>
      <c r="O133" s="194" t="n"/>
      <c r="P133" s="194" t="n"/>
      <c r="Q133" s="194" t="n"/>
      <c r="R133" s="194" t="n"/>
      <c r="S133" s="194" t="n"/>
      <c r="T133" s="194" t="n"/>
      <c r="U133" s="194" t="n"/>
      <c r="V133" s="194" t="n"/>
      <c r="W133" s="194" t="n"/>
      <c r="X133" s="194" t="n"/>
      <c r="Y133" s="194" t="n"/>
      <c r="Z133" s="194" t="n"/>
    </row>
    <row r="134" ht="15" customHeight="1" s="195">
      <c r="A134" s="194" t="inlineStr">
        <is>
          <t>LEYMEBAMBA</t>
        </is>
      </c>
      <c r="B134" s="194" t="inlineStr">
        <is>
          <t>ENERO 2026</t>
        </is>
      </c>
      <c r="C134" s="377">
        <f>IFERROR(SUMPRODUCT((IF('ENERO 2026'!Y6:Y119&lt;&gt;"",'ENERO 2026'!Y6:Y119,'ENERO 2026'!I6:I119)="LEYMEBAMBA")*('ENERO 2026'!K6:K119="PETROLEO")*'ENERO 2026'!M6:M119),0)</f>
        <v/>
      </c>
      <c r="D134" s="377">
        <f>IFERROR(SUMPRODUCT((IF('ENERO 2026'!Y6:Y119&lt;&gt;"",'ENERO 2026'!Y6:Y119,'ENERO 2026'!I6:I119)="LEYMEBAMBA")*('ENERO 2026'!K6:K119="PETROLEO")*'ENERO 2026'!L6:L119*'ENERO 2026'!M6:M119),0)</f>
        <v/>
      </c>
      <c r="E134" s="377">
        <f>IFERROR(SUMPRODUCT((IF('ENERO 2026'!Y6:Y119&lt;&gt;"",'ENERO 2026'!Y6:Y119,'ENERO 2026'!I6:I119)="LEYMEBAMBA")*('ENERO 2026'!K6:K119="GASOLINA")*'ENERO 2026'!M6:M119),0)</f>
        <v/>
      </c>
      <c r="F134" s="377">
        <f>IFERROR(SUMPRODUCT((IF('ENERO 2026'!Y6:Y119&lt;&gt;"",'ENERO 2026'!Y6:Y119,'ENERO 2026'!I6:I119)="LEYMEBAMBA")*('ENERO 2026'!K6:K119="GASOLINA")*'ENERO 2026'!L6:L119*'ENERO 2026'!M6:M119),0)</f>
        <v/>
      </c>
      <c r="G134" s="194" t="n"/>
      <c r="H134" s="194" t="n"/>
      <c r="I134" s="194" t="n"/>
      <c r="J134" s="194" t="n"/>
      <c r="K134" s="194" t="n"/>
      <c r="L134" s="194" t="n"/>
      <c r="M134" s="194" t="n"/>
      <c r="N134" s="194" t="n"/>
      <c r="O134" s="194" t="n"/>
      <c r="P134" s="194" t="n"/>
      <c r="Q134" s="194" t="n"/>
      <c r="R134" s="194" t="n"/>
      <c r="S134" s="194" t="n"/>
      <c r="T134" s="194" t="n"/>
      <c r="U134" s="194" t="n"/>
      <c r="V134" s="194" t="n"/>
      <c r="W134" s="194" t="n"/>
      <c r="X134" s="194" t="n"/>
      <c r="Y134" s="194" t="n"/>
      <c r="Z134" s="194" t="n"/>
    </row>
    <row r="135" ht="15" customHeight="1" s="195">
      <c r="A135" s="194" t="inlineStr">
        <is>
          <t>LEYMEBAMBA</t>
        </is>
      </c>
      <c r="B135" s="194" t="inlineStr">
        <is>
          <t>FEBRERO 2026</t>
        </is>
      </c>
      <c r="C135" s="377">
        <f>IFERROR(SUMPRODUCT((IF('FEBRERO 2026'!Y6:Y124&lt;&gt;"",'FEBRERO 2026'!Y6:Y124,'FEBRERO 2026'!I6:I124)="LEYMEBAMBA")*('FEBRERO 2026'!K6:K124="PETROLEO")*'FEBRERO 2026'!M6:M124),0)</f>
        <v/>
      </c>
      <c r="D135" s="377">
        <f>IFERROR(SUMPRODUCT((IF('FEBRERO 2026'!Y6:Y124&lt;&gt;"",'FEBRERO 2026'!Y6:Y124,'FEBRERO 2026'!I6:I124)="LEYMEBAMBA")*('FEBRERO 2026'!K6:K124="PETROLEO")*'FEBRERO 2026'!L6:L124*'FEBRERO 2026'!M6:M124),0)</f>
        <v/>
      </c>
      <c r="E135" s="377">
        <f>IFERROR(SUMPRODUCT((IF('FEBRERO 2026'!Y6:Y124&lt;&gt;"",'FEBRERO 2026'!Y6:Y124,'FEBRERO 2026'!I6:I124)="LEYMEBAMBA")*('FEBRERO 2026'!K6:K124="GASOLINA")*'FEBRERO 2026'!M6:M124),0)</f>
        <v/>
      </c>
      <c r="F135" s="377">
        <f>IFERROR(SUMPRODUCT((IF('FEBRERO 2026'!Y6:Y124&lt;&gt;"",'FEBRERO 2026'!Y6:Y124,'FEBRERO 2026'!I6:I124)="LEYMEBAMBA")*('FEBRERO 2026'!K6:K124="GASOLINA")*'FEBRERO 2026'!L6:L124*'FEBRERO 2026'!M6:M124),0)</f>
        <v/>
      </c>
      <c r="G135" s="194" t="n"/>
      <c r="H135" s="194" t="n"/>
      <c r="I135" s="194" t="n"/>
      <c r="J135" s="194" t="n"/>
      <c r="K135" s="194" t="n"/>
      <c r="L135" s="194" t="n"/>
      <c r="M135" s="194" t="n"/>
      <c r="N135" s="194" t="n"/>
      <c r="O135" s="194" t="n"/>
      <c r="P135" s="194" t="n"/>
      <c r="Q135" s="194" t="n"/>
      <c r="R135" s="194" t="n"/>
      <c r="S135" s="194" t="n"/>
      <c r="T135" s="194" t="n"/>
      <c r="U135" s="194" t="n"/>
      <c r="V135" s="194" t="n"/>
      <c r="W135" s="194" t="n"/>
      <c r="X135" s="194" t="n"/>
      <c r="Y135" s="194" t="n"/>
      <c r="Z135" s="194" t="n"/>
    </row>
    <row r="136" ht="15" customHeight="1" s="195">
      <c r="A136" s="194" t="inlineStr">
        <is>
          <t>LEYMEBAMBA</t>
        </is>
      </c>
      <c r="B136" s="194" t="inlineStr">
        <is>
          <t>MARZO 2026</t>
        </is>
      </c>
      <c r="C136" s="377">
        <f>IFERROR(SUMPRODUCT((IF('MARZO 2026'!Y6:Y119&lt;&gt;"",'MARZO 2026'!Y6:Y119,'MARZO 2026'!I6:I119)="LEYMEBAMBA")*('MARZO 2026'!K6:K119="PETROLEO")*'MARZO 2026'!M6:M119),0)</f>
        <v/>
      </c>
      <c r="D136" s="377">
        <f>IFERROR(SUMPRODUCT((IF('MARZO 2026'!Y6:Y119&lt;&gt;"",'MARZO 2026'!Y6:Y119,'MARZO 2026'!I6:I119)="LEYMEBAMBA")*('MARZO 2026'!K6:K119="PETROLEO")*'MARZO 2026'!L6:L119*'MARZO 2026'!M6:M119),0)</f>
        <v/>
      </c>
      <c r="E136" s="377">
        <f>IFERROR(SUMPRODUCT((IF('MARZO 2026'!Y6:Y119&lt;&gt;"",'MARZO 2026'!Y6:Y119,'MARZO 2026'!I6:I119)="LEYMEBAMBA")*('MARZO 2026'!K6:K119="GASOLINA")*'MARZO 2026'!M6:M119),0)</f>
        <v/>
      </c>
      <c r="F136" s="377">
        <f>IFERROR(SUMPRODUCT((IF('MARZO 2026'!Y6:Y119&lt;&gt;"",'MARZO 2026'!Y6:Y119,'MARZO 2026'!I6:I119)="LEYMEBAMBA")*('MARZO 2026'!K6:K119="GASOLINA")*'MARZO 2026'!L6:L119*'MARZO 2026'!M6:M119),0)</f>
        <v/>
      </c>
      <c r="G136" s="194" t="n"/>
      <c r="H136" s="194" t="n"/>
      <c r="I136" s="194" t="n"/>
      <c r="J136" s="194" t="n"/>
      <c r="K136" s="194" t="n"/>
      <c r="L136" s="194" t="n"/>
      <c r="M136" s="194" t="n"/>
      <c r="N136" s="194" t="n"/>
      <c r="O136" s="194" t="n"/>
      <c r="P136" s="194" t="n"/>
      <c r="Q136" s="194" t="n"/>
      <c r="R136" s="194" t="n"/>
      <c r="S136" s="194" t="n"/>
      <c r="T136" s="194" t="n"/>
      <c r="U136" s="194" t="n"/>
      <c r="V136" s="194" t="n"/>
      <c r="W136" s="194" t="n"/>
      <c r="X136" s="194" t="n"/>
      <c r="Y136" s="194" t="n"/>
      <c r="Z136" s="194" t="n"/>
    </row>
    <row r="137" ht="15" customHeight="1" s="195">
      <c r="A137" s="194" t="inlineStr">
        <is>
          <t>LEYMEBAMBA</t>
        </is>
      </c>
      <c r="B137" s="194" t="inlineStr">
        <is>
          <t>ABRIL 2026</t>
        </is>
      </c>
      <c r="C137" s="377">
        <f>IFERROR(SUMPRODUCT((IF('ABRIL 2026'!Y6:Y119&lt;&gt;"",'ABRIL 2026'!Y6:Y119,'ABRIL 2026'!I6:I119)="LEYMEBAMBA")*('ABRIL 2026'!K6:K119="PETROLEO")*'ABRIL 2026'!M6:M119),0)</f>
        <v/>
      </c>
      <c r="D137" s="377">
        <f>IFERROR(SUMPRODUCT((IF('ABRIL 2026'!Y6:Y119&lt;&gt;"",'ABRIL 2026'!Y6:Y119,'ABRIL 2026'!I6:I119)="LEYMEBAMBA")*('ABRIL 2026'!K6:K119="PETROLEO")*'ABRIL 2026'!L6:L119*'ABRIL 2026'!M6:M119),0)</f>
        <v/>
      </c>
      <c r="E137" s="377">
        <f>IFERROR(SUMPRODUCT((IF('ABRIL 2026'!Y6:Y119&lt;&gt;"",'ABRIL 2026'!Y6:Y119,'ABRIL 2026'!I6:I119)="LEYMEBAMBA")*('ABRIL 2026'!K6:K119="GASOLINA")*'ABRIL 2026'!M6:M119),0)</f>
        <v/>
      </c>
      <c r="F137" s="377">
        <f>IFERROR(SUMPRODUCT((IF('ABRIL 2026'!Y6:Y119&lt;&gt;"",'ABRIL 2026'!Y6:Y119,'ABRIL 2026'!I6:I119)="LEYMEBAMBA")*('ABRIL 2026'!K6:K119="GASOLINA")*'ABRIL 2026'!L6:L119*'ABRIL 2026'!M6:M119),0)</f>
        <v/>
      </c>
      <c r="G137" s="194" t="n"/>
      <c r="H137" s="194" t="n"/>
      <c r="I137" s="194" t="n"/>
      <c r="J137" s="194" t="n"/>
      <c r="K137" s="194" t="n"/>
      <c r="L137" s="194" t="n"/>
      <c r="M137" s="194" t="n"/>
      <c r="N137" s="194" t="n"/>
      <c r="O137" s="194" t="n"/>
      <c r="P137" s="194" t="n"/>
      <c r="Q137" s="194" t="n"/>
      <c r="R137" s="194" t="n"/>
      <c r="S137" s="194" t="n"/>
      <c r="T137" s="194" t="n"/>
      <c r="U137" s="194" t="n"/>
      <c r="V137" s="194" t="n"/>
      <c r="W137" s="194" t="n"/>
      <c r="X137" s="194" t="n"/>
      <c r="Y137" s="194" t="n"/>
      <c r="Z137" s="194" t="n"/>
    </row>
    <row r="138" ht="15" customHeight="1" s="195">
      <c r="A138" s="194" t="inlineStr">
        <is>
          <t>LEYMEBAMBA</t>
        </is>
      </c>
      <c r="B138" s="194" t="inlineStr">
        <is>
          <t>MAYO 2026</t>
        </is>
      </c>
      <c r="C138" s="377">
        <f>IFERROR(SUMPRODUCT((IF('MAYO 2026'!Y6:Y110&lt;&gt;"",'MAYO 2026'!Y6:Y110,'MAYO 2026'!I6:I110)="LEYMEBAMBA")*('MAYO 2026'!K6:K110="PETROLEO")*'MAYO 2026'!M6:M110),0)</f>
        <v/>
      </c>
      <c r="D138" s="377">
        <f>IFERROR(SUMPRODUCT((IF('MAYO 2026'!Y6:Y110&lt;&gt;"",'MAYO 2026'!Y6:Y110,'MAYO 2026'!I6:I110)="LEYMEBAMBA")*('MAYO 2026'!K6:K110="PETROLEO")*'MAYO 2026'!L6:L110*'MAYO 2026'!M6:M110),0)</f>
        <v/>
      </c>
      <c r="E138" s="377">
        <f>IFERROR(SUMPRODUCT((IF('MAYO 2026'!Y6:Y110&lt;&gt;"",'MAYO 2026'!Y6:Y110,'MAYO 2026'!I6:I110)="LEYMEBAMBA")*('MAYO 2026'!K6:K110="GASOLINA")*'MAYO 2026'!M6:M110),0)</f>
        <v/>
      </c>
      <c r="F138" s="377">
        <f>IFERROR(SUMPRODUCT((IF('MAYO 2026'!Y6:Y110&lt;&gt;"",'MAYO 2026'!Y6:Y110,'MAYO 2026'!I6:I110)="LEYMEBAMBA")*('MAYO 2026'!K6:K110="GASOLINA")*'MAYO 2026'!L6:L110*'MAYO 2026'!M6:M110),0)</f>
        <v/>
      </c>
      <c r="G138" s="194" t="n"/>
      <c r="H138" s="194" t="n"/>
      <c r="I138" s="194" t="n"/>
      <c r="J138" s="194" t="n"/>
      <c r="K138" s="194" t="n"/>
      <c r="L138" s="194" t="n"/>
      <c r="M138" s="194" t="n"/>
      <c r="N138" s="194" t="n"/>
      <c r="O138" s="194" t="n"/>
      <c r="P138" s="194" t="n"/>
      <c r="Q138" s="194" t="n"/>
      <c r="R138" s="194" t="n"/>
      <c r="S138" s="194" t="n"/>
      <c r="T138" s="194" t="n"/>
      <c r="U138" s="194" t="n"/>
      <c r="V138" s="194" t="n"/>
      <c r="W138" s="194" t="n"/>
      <c r="X138" s="194" t="n"/>
      <c r="Y138" s="194" t="n"/>
      <c r="Z138" s="194" t="n"/>
    </row>
    <row r="139" ht="15" customHeight="1" s="195">
      <c r="A139" s="194" t="inlineStr">
        <is>
          <t>LEYMEBAMBA</t>
        </is>
      </c>
      <c r="B139" s="194" t="inlineStr">
        <is>
          <t>JUNIO 2026</t>
        </is>
      </c>
      <c r="C139" s="377">
        <f>IFERROR(SUMPRODUCT((IF('JUNIO 2026'!Y6:Y110&lt;&gt;"",'JUNIO 2026'!Y6:Y110,'JUNIO 2026'!I6:I110)="LEYMEBAMBA")*('JUNIO 2026'!K6:K110="PETROLEO")*'JUNIO 2026'!M6:M110),0)</f>
        <v/>
      </c>
      <c r="D139" s="377">
        <f>IFERROR(SUMPRODUCT((IF('JUNIO 2026'!Y6:Y110&lt;&gt;"",'JUNIO 2026'!Y6:Y110,'JUNIO 2026'!I6:I110)="LEYMEBAMBA")*('JUNIO 2026'!K6:K110="PETROLEO")*'JUNIO 2026'!L6:L110*'JUNIO 2026'!M6:M110),0)</f>
        <v/>
      </c>
      <c r="E139" s="377">
        <f>IFERROR(SUMPRODUCT((IF('JUNIO 2026'!Y6:Y110&lt;&gt;"",'JUNIO 2026'!Y6:Y110,'JUNIO 2026'!I6:I110)="LEYMEBAMBA")*('JUNIO 2026'!K6:K110="GASOLINA")*'JUNIO 2026'!M6:M110),0)</f>
        <v/>
      </c>
      <c r="F139" s="377">
        <f>IFERROR(SUMPRODUCT((IF('JUNIO 2026'!Y6:Y110&lt;&gt;"",'JUNIO 2026'!Y6:Y110,'JUNIO 2026'!I6:I110)="LEYMEBAMBA")*('JUNIO 2026'!K6:K110="GASOLINA")*'JUNIO 2026'!L6:L110*'JUNIO 2026'!M6:M110),0)</f>
        <v/>
      </c>
      <c r="G139" s="194" t="n"/>
      <c r="H139" s="194" t="n"/>
      <c r="I139" s="194" t="n"/>
      <c r="J139" s="194" t="n"/>
      <c r="K139" s="194" t="n"/>
      <c r="L139" s="194" t="n"/>
      <c r="M139" s="194" t="n"/>
      <c r="N139" s="194" t="n"/>
      <c r="O139" s="194" t="n"/>
      <c r="P139" s="194" t="n"/>
      <c r="Q139" s="194" t="n"/>
      <c r="R139" s="194" t="n"/>
      <c r="S139" s="194" t="n"/>
      <c r="T139" s="194" t="n"/>
      <c r="U139" s="194" t="n"/>
      <c r="V139" s="194" t="n"/>
      <c r="W139" s="194" t="n"/>
      <c r="X139" s="194" t="n"/>
      <c r="Y139" s="194" t="n"/>
      <c r="Z139" s="194" t="n"/>
    </row>
    <row r="140" ht="15" customHeight="1" s="195">
      <c r="A140" s="194" t="inlineStr">
        <is>
          <t>LEYMEBAMBA</t>
        </is>
      </c>
      <c r="B140" s="194" t="inlineStr">
        <is>
          <t>JULIO 2026</t>
        </is>
      </c>
      <c r="C140" s="377">
        <f>IFERROR(SUMPRODUCT((IF('JULIO 2026'!Y6:Y110&lt;&gt;"",'JULIO 2026'!Y6:Y110,'JULIO 2026'!I6:I110)="LEYMEBAMBA")*('JULIO 2026'!K6:K110="PETROLEO")*'JULIO 2026'!M6:M110),0)</f>
        <v/>
      </c>
      <c r="D140" s="377">
        <f>IFERROR(SUMPRODUCT((IF('JULIO 2026'!Y6:Y110&lt;&gt;"",'JULIO 2026'!Y6:Y110,'JULIO 2026'!I6:I110)="LEYMEBAMBA")*('JULIO 2026'!K6:K110="PETROLEO")*'JULIO 2026'!L6:L110*'JULIO 2026'!M6:M110),0)</f>
        <v/>
      </c>
      <c r="E140" s="377">
        <f>IFERROR(SUMPRODUCT((IF('JULIO 2026'!Y6:Y110&lt;&gt;"",'JULIO 2026'!Y6:Y110,'JULIO 2026'!I6:I110)="LEYMEBAMBA")*('JULIO 2026'!K6:K110="GASOLINA")*'JULIO 2026'!M6:M110),0)</f>
        <v/>
      </c>
      <c r="F140" s="377">
        <f>IFERROR(SUMPRODUCT((IF('JULIO 2026'!Y6:Y110&lt;&gt;"",'JULIO 2026'!Y6:Y110,'JULIO 2026'!I6:I110)="LEYMEBAMBA")*('JULIO 2026'!K6:K110="GASOLINA")*'JULIO 2026'!L6:L110*'JULIO 2026'!M6:M110),0)</f>
        <v/>
      </c>
      <c r="G140" s="194" t="n"/>
      <c r="H140" s="194" t="n"/>
      <c r="I140" s="194" t="n"/>
      <c r="J140" s="194" t="n"/>
      <c r="K140" s="194" t="n"/>
      <c r="L140" s="194" t="n"/>
      <c r="M140" s="194" t="n"/>
      <c r="N140" s="194" t="n"/>
      <c r="O140" s="194" t="n"/>
      <c r="P140" s="194" t="n"/>
      <c r="Q140" s="194" t="n"/>
      <c r="R140" s="194" t="n"/>
      <c r="S140" s="194" t="n"/>
      <c r="T140" s="194" t="n"/>
      <c r="U140" s="194" t="n"/>
      <c r="V140" s="194" t="n"/>
      <c r="W140" s="194" t="n"/>
      <c r="X140" s="194" t="n"/>
      <c r="Y140" s="194" t="n"/>
      <c r="Z140" s="194" t="n"/>
    </row>
    <row r="141" ht="15" customHeight="1" s="195">
      <c r="A141" s="194" t="inlineStr">
        <is>
          <t>LEYMEBAMBA</t>
        </is>
      </c>
      <c r="B141" s="194" t="inlineStr">
        <is>
          <t>AGOSTO 2026</t>
        </is>
      </c>
      <c r="C141" s="377">
        <f>IFERROR(SUMPRODUCT((IF('AGOSTO 2026'!Y6:Y110&lt;&gt;"",'AGOSTO 2026'!Y6:Y110,'AGOSTO 2026'!I6:I110)="LEYMEBAMBA")*('AGOSTO 2026'!K6:K110="PETROLEO")*'AGOSTO 2026'!M6:M110),0)</f>
        <v/>
      </c>
      <c r="D141" s="377">
        <f>IFERROR(SUMPRODUCT((IF('AGOSTO 2026'!Y6:Y110&lt;&gt;"",'AGOSTO 2026'!Y6:Y110,'AGOSTO 2026'!I6:I110)="LEYMEBAMBA")*('AGOSTO 2026'!K6:K110="PETROLEO")*'AGOSTO 2026'!L6:L110*'AGOSTO 2026'!M6:M110),0)</f>
        <v/>
      </c>
      <c r="E141" s="377">
        <f>IFERROR(SUMPRODUCT((IF('AGOSTO 2026'!Y6:Y110&lt;&gt;"",'AGOSTO 2026'!Y6:Y110,'AGOSTO 2026'!I6:I110)="LEYMEBAMBA")*('AGOSTO 2026'!K6:K110="GASOLINA")*'AGOSTO 2026'!M6:M110),0)</f>
        <v/>
      </c>
      <c r="F141" s="377">
        <f>IFERROR(SUMPRODUCT((IF('AGOSTO 2026'!Y6:Y110&lt;&gt;"",'AGOSTO 2026'!Y6:Y110,'AGOSTO 2026'!I6:I110)="LEYMEBAMBA")*('AGOSTO 2026'!K6:K110="GASOLINA")*'AGOSTO 2026'!L6:L110*'AGOSTO 2026'!M6:M110),0)</f>
        <v/>
      </c>
      <c r="G141" s="194" t="n"/>
      <c r="H141" s="194" t="n"/>
      <c r="I141" s="194" t="n"/>
      <c r="J141" s="194" t="n"/>
      <c r="K141" s="194" t="n"/>
      <c r="L141" s="194" t="n"/>
      <c r="M141" s="194" t="n"/>
      <c r="N141" s="194" t="n"/>
      <c r="O141" s="194" t="n"/>
      <c r="P141" s="194" t="n"/>
      <c r="Q141" s="194" t="n"/>
      <c r="R141" s="194" t="n"/>
      <c r="S141" s="194" t="n"/>
      <c r="T141" s="194" t="n"/>
      <c r="U141" s="194" t="n"/>
      <c r="V141" s="194" t="n"/>
      <c r="W141" s="194" t="n"/>
      <c r="X141" s="194" t="n"/>
      <c r="Y141" s="194" t="n"/>
      <c r="Z141" s="194" t="n"/>
    </row>
    <row r="142" ht="15" customHeight="1" s="195">
      <c r="A142" s="194" t="inlineStr">
        <is>
          <t>LEYMEBAMBA</t>
        </is>
      </c>
      <c r="B142" s="194" t="inlineStr">
        <is>
          <t>SETIEMBRE 2026</t>
        </is>
      </c>
      <c r="C142" s="377">
        <f>IFERROR(SUMPRODUCT((IF('SETIEMBRE 2026'!Y6:Y110&lt;&gt;"",'SETIEMBRE 2026'!Y6:Y110,'SETIEMBRE 2026'!I6:I110)="LEYMEBAMBA")*('SETIEMBRE 2026'!K6:K110="PETROLEO")*'SETIEMBRE 2026'!M6:M110),0)</f>
        <v/>
      </c>
      <c r="D142" s="377">
        <f>IFERROR(SUMPRODUCT((IF('SETIEMBRE 2026'!Y6:Y110&lt;&gt;"",'SETIEMBRE 2026'!Y6:Y110,'SETIEMBRE 2026'!I6:I110)="LEYMEBAMBA")*('SETIEMBRE 2026'!K6:K110="PETROLEO")*'SETIEMBRE 2026'!L6:L110*'SETIEMBRE 2026'!M6:M110),0)</f>
        <v/>
      </c>
      <c r="E142" s="377">
        <f>IFERROR(SUMPRODUCT((IF('SETIEMBRE 2026'!Y6:Y110&lt;&gt;"",'SETIEMBRE 2026'!Y6:Y110,'SETIEMBRE 2026'!I6:I110)="LEYMEBAMBA")*('SETIEMBRE 2026'!K6:K110="GASOLINA")*'SETIEMBRE 2026'!M6:M110),0)</f>
        <v/>
      </c>
      <c r="F142" s="377">
        <f>IFERROR(SUMPRODUCT((IF('SETIEMBRE 2026'!Y6:Y110&lt;&gt;"",'SETIEMBRE 2026'!Y6:Y110,'SETIEMBRE 2026'!I6:I110)="LEYMEBAMBA")*('SETIEMBRE 2026'!K6:K110="GASOLINA")*'SETIEMBRE 2026'!L6:L110*'SETIEMBRE 2026'!M6:M110),0)</f>
        <v/>
      </c>
      <c r="G142" s="194" t="n"/>
      <c r="H142" s="194" t="n"/>
      <c r="I142" s="194" t="n"/>
      <c r="J142" s="194" t="n"/>
      <c r="K142" s="194" t="n"/>
      <c r="L142" s="194" t="n"/>
      <c r="M142" s="194" t="n"/>
      <c r="N142" s="194" t="n"/>
      <c r="O142" s="194" t="n"/>
      <c r="P142" s="194" t="n"/>
      <c r="Q142" s="194" t="n"/>
      <c r="R142" s="194" t="n"/>
      <c r="S142" s="194" t="n"/>
      <c r="T142" s="194" t="n"/>
      <c r="U142" s="194" t="n"/>
      <c r="V142" s="194" t="n"/>
      <c r="W142" s="194" t="n"/>
      <c r="X142" s="194" t="n"/>
      <c r="Y142" s="194" t="n"/>
      <c r="Z142" s="194" t="n"/>
    </row>
    <row r="143" ht="15" customHeight="1" s="195">
      <c r="A143" s="194" t="inlineStr">
        <is>
          <t>LEYMEBAMBA</t>
        </is>
      </c>
      <c r="B143" s="194" t="inlineStr">
        <is>
          <t>OCTUBRE 2026</t>
        </is>
      </c>
      <c r="C143" s="377">
        <f>IFERROR(SUMPRODUCT((IF('OCTUBRE 2026'!Y6:Y110&lt;&gt;"",'OCTUBRE 2026'!Y6:Y110,'OCTUBRE 2026'!I6:I110)="LEYMEBAMBA")*('OCTUBRE 2026'!K6:K110="PETROLEO")*'OCTUBRE 2026'!M6:M110),0)</f>
        <v/>
      </c>
      <c r="D143" s="377">
        <f>IFERROR(SUMPRODUCT((IF('OCTUBRE 2026'!Y6:Y110&lt;&gt;"",'OCTUBRE 2026'!Y6:Y110,'OCTUBRE 2026'!I6:I110)="LEYMEBAMBA")*('OCTUBRE 2026'!K6:K110="PETROLEO")*'OCTUBRE 2026'!L6:L110*'OCTUBRE 2026'!M6:M110),0)</f>
        <v/>
      </c>
      <c r="E143" s="377">
        <f>IFERROR(SUMPRODUCT((IF('OCTUBRE 2026'!Y6:Y110&lt;&gt;"",'OCTUBRE 2026'!Y6:Y110,'OCTUBRE 2026'!I6:I110)="LEYMEBAMBA")*('OCTUBRE 2026'!K6:K110="GASOLINA")*'OCTUBRE 2026'!M6:M110),0)</f>
        <v/>
      </c>
      <c r="F143" s="377">
        <f>IFERROR(SUMPRODUCT((IF('OCTUBRE 2026'!Y6:Y110&lt;&gt;"",'OCTUBRE 2026'!Y6:Y110,'OCTUBRE 2026'!I6:I110)="LEYMEBAMBA")*('OCTUBRE 2026'!K6:K110="GASOLINA")*'OCTUBRE 2026'!L6:L110*'OCTUBRE 2026'!M6:M110),0)</f>
        <v/>
      </c>
      <c r="G143" s="194" t="n"/>
      <c r="H143" s="194" t="n"/>
      <c r="I143" s="194" t="n"/>
      <c r="J143" s="194" t="n"/>
      <c r="K143" s="194" t="n"/>
      <c r="L143" s="194" t="n"/>
      <c r="M143" s="194" t="n"/>
      <c r="N143" s="194" t="n"/>
      <c r="O143" s="194" t="n"/>
      <c r="P143" s="194" t="n"/>
      <c r="Q143" s="194" t="n"/>
      <c r="R143" s="194" t="n"/>
      <c r="S143" s="194" t="n"/>
      <c r="T143" s="194" t="n"/>
      <c r="U143" s="194" t="n"/>
      <c r="V143" s="194" t="n"/>
      <c r="W143" s="194" t="n"/>
      <c r="X143" s="194" t="n"/>
      <c r="Y143" s="194" t="n"/>
      <c r="Z143" s="194" t="n"/>
    </row>
    <row r="144" ht="15" customHeight="1" s="195">
      <c r="A144" s="194" t="inlineStr">
        <is>
          <t>LEYMEBAMBA</t>
        </is>
      </c>
      <c r="B144" s="194" t="inlineStr">
        <is>
          <t>NOVIEMBRE 2026</t>
        </is>
      </c>
      <c r="C144" s="377">
        <f>IFERROR(SUMPRODUCT((IF('NOVIEMBRE 2026'!Y6:Y110&lt;&gt;"",'NOVIEMBRE 2026'!Y6:Y110,'NOVIEMBRE 2026'!I6:I110)="LEYMEBAMBA")*('NOVIEMBRE 2026'!K6:K110="PETROLEO")*'NOVIEMBRE 2026'!M6:M110),0)</f>
        <v/>
      </c>
      <c r="D144" s="377">
        <f>IFERROR(SUMPRODUCT((IF('NOVIEMBRE 2026'!Y6:Y110&lt;&gt;"",'NOVIEMBRE 2026'!Y6:Y110,'NOVIEMBRE 2026'!I6:I110)="LEYMEBAMBA")*('NOVIEMBRE 2026'!K6:K110="PETROLEO")*'NOVIEMBRE 2026'!L6:L110*'NOVIEMBRE 2026'!M6:M110),0)</f>
        <v/>
      </c>
      <c r="E144" s="377">
        <f>IFERROR(SUMPRODUCT((IF('NOVIEMBRE 2026'!Y6:Y110&lt;&gt;"",'NOVIEMBRE 2026'!Y6:Y110,'NOVIEMBRE 2026'!I6:I110)="LEYMEBAMBA")*('NOVIEMBRE 2026'!K6:K110="GASOLINA")*'NOVIEMBRE 2026'!M6:M110),0)</f>
        <v/>
      </c>
      <c r="F144" s="377">
        <f>IFERROR(SUMPRODUCT((IF('NOVIEMBRE 2026'!Y6:Y110&lt;&gt;"",'NOVIEMBRE 2026'!Y6:Y110,'NOVIEMBRE 2026'!I6:I110)="LEYMEBAMBA")*('NOVIEMBRE 2026'!K6:K110="GASOLINA")*'NOVIEMBRE 2026'!L6:L110*'NOVIEMBRE 2026'!M6:M110),0)</f>
        <v/>
      </c>
      <c r="G144" s="194" t="n"/>
      <c r="H144" s="194" t="n"/>
      <c r="I144" s="194" t="n"/>
      <c r="J144" s="194" t="n"/>
      <c r="K144" s="194" t="n"/>
      <c r="L144" s="194" t="n"/>
      <c r="M144" s="194" t="n"/>
      <c r="N144" s="194" t="n"/>
      <c r="O144" s="194" t="n"/>
      <c r="P144" s="194" t="n"/>
      <c r="Q144" s="194" t="n"/>
      <c r="R144" s="194" t="n"/>
      <c r="S144" s="194" t="n"/>
      <c r="T144" s="194" t="n"/>
      <c r="U144" s="194" t="n"/>
      <c r="V144" s="194" t="n"/>
      <c r="W144" s="194" t="n"/>
      <c r="X144" s="194" t="n"/>
      <c r="Y144" s="194" t="n"/>
      <c r="Z144" s="194" t="n"/>
    </row>
    <row r="145" ht="15" customHeight="1" s="195">
      <c r="A145" s="194" t="inlineStr">
        <is>
          <t>LEYMEBAMBA</t>
        </is>
      </c>
      <c r="B145" s="194" t="inlineStr">
        <is>
          <t>DICIEMBRE 2026</t>
        </is>
      </c>
      <c r="C145" s="377">
        <f>IFERROR(SUMPRODUCT((IF('DICIEMBRE 2026'!Y6:Y110&lt;&gt;"",'DICIEMBRE 2026'!Y6:Y110,'DICIEMBRE 2026'!I6:I110)="LEYMEBAMBA")*('DICIEMBRE 2026'!K6:K110="PETROLEO")*'DICIEMBRE 2026'!M6:M110),0)</f>
        <v/>
      </c>
      <c r="D145" s="377">
        <f>IFERROR(SUMPRODUCT((IF('DICIEMBRE 2026'!Y6:Y110&lt;&gt;"",'DICIEMBRE 2026'!Y6:Y110,'DICIEMBRE 2026'!I6:I110)="LEYMEBAMBA")*('DICIEMBRE 2026'!K6:K110="PETROLEO")*'DICIEMBRE 2026'!L6:L110*'DICIEMBRE 2026'!M6:M110),0)</f>
        <v/>
      </c>
      <c r="E145" s="377">
        <f>IFERROR(SUMPRODUCT((IF('DICIEMBRE 2026'!Y6:Y110&lt;&gt;"",'DICIEMBRE 2026'!Y6:Y110,'DICIEMBRE 2026'!I6:I110)="LEYMEBAMBA")*('DICIEMBRE 2026'!K6:K110="GASOLINA")*'DICIEMBRE 2026'!M6:M110),0)</f>
        <v/>
      </c>
      <c r="F145" s="377">
        <f>IFERROR(SUMPRODUCT((IF('DICIEMBRE 2026'!Y6:Y110&lt;&gt;"",'DICIEMBRE 2026'!Y6:Y110,'DICIEMBRE 2026'!I6:I110)="LEYMEBAMBA")*('DICIEMBRE 2026'!K6:K110="GASOLINA")*'DICIEMBRE 2026'!L6:L110*'DICIEMBRE 2026'!M6:M110),0)</f>
        <v/>
      </c>
      <c r="G145" s="194" t="n"/>
      <c r="H145" s="194" t="n"/>
      <c r="I145" s="194" t="n"/>
      <c r="J145" s="194" t="n"/>
      <c r="K145" s="194" t="n"/>
      <c r="L145" s="194" t="n"/>
      <c r="M145" s="194" t="n"/>
      <c r="N145" s="194" t="n"/>
      <c r="O145" s="194" t="n"/>
      <c r="P145" s="194" t="n"/>
      <c r="Q145" s="194" t="n"/>
      <c r="R145" s="194" t="n"/>
      <c r="S145" s="194" t="n"/>
      <c r="T145" s="194" t="n"/>
      <c r="U145" s="194" t="n"/>
      <c r="V145" s="194" t="n"/>
      <c r="W145" s="194" t="n"/>
      <c r="X145" s="194" t="n"/>
      <c r="Y145" s="194" t="n"/>
      <c r="Z145" s="194" t="n"/>
    </row>
    <row r="146" ht="15" customHeight="1" s="195">
      <c r="A146" s="194" t="inlineStr">
        <is>
          <t>LUYA</t>
        </is>
      </c>
      <c r="B146" s="194" t="inlineStr">
        <is>
          <t>ENERO 2026</t>
        </is>
      </c>
      <c r="C146" s="377">
        <f>IFERROR(SUMPRODUCT((IF('ENERO 2026'!Y6:Y119&lt;&gt;"",'ENERO 2026'!Y6:Y119,'ENERO 2026'!I6:I119)="LUYA")*('ENERO 2026'!K6:K119="PETROLEO")*'ENERO 2026'!M6:M119),0)</f>
        <v/>
      </c>
      <c r="D146" s="377">
        <f>IFERROR(SUMPRODUCT((IF('ENERO 2026'!Y6:Y119&lt;&gt;"",'ENERO 2026'!Y6:Y119,'ENERO 2026'!I6:I119)="LUYA")*('ENERO 2026'!K6:K119="PETROLEO")*'ENERO 2026'!L6:L119*'ENERO 2026'!M6:M119),0)</f>
        <v/>
      </c>
      <c r="E146" s="377">
        <f>IFERROR(SUMPRODUCT((IF('ENERO 2026'!Y6:Y119&lt;&gt;"",'ENERO 2026'!Y6:Y119,'ENERO 2026'!I6:I119)="LUYA")*('ENERO 2026'!K6:K119="GASOLINA")*'ENERO 2026'!M6:M119),0)</f>
        <v/>
      </c>
      <c r="F146" s="377">
        <f>IFERROR(SUMPRODUCT((IF('ENERO 2026'!Y6:Y119&lt;&gt;"",'ENERO 2026'!Y6:Y119,'ENERO 2026'!I6:I119)="LUYA")*('ENERO 2026'!K6:K119="GASOLINA")*'ENERO 2026'!L6:L119*'ENERO 2026'!M6:M119),0)</f>
        <v/>
      </c>
      <c r="G146" s="194" t="n"/>
      <c r="H146" s="194" t="n"/>
      <c r="I146" s="194" t="n"/>
      <c r="J146" s="194" t="n"/>
      <c r="K146" s="194" t="n"/>
      <c r="L146" s="194" t="n"/>
      <c r="M146" s="194" t="n"/>
      <c r="N146" s="194" t="n"/>
      <c r="O146" s="194" t="n"/>
      <c r="P146" s="194" t="n"/>
      <c r="Q146" s="194" t="n"/>
      <c r="R146" s="194" t="n"/>
      <c r="S146" s="194" t="n"/>
      <c r="T146" s="194" t="n"/>
      <c r="U146" s="194" t="n"/>
      <c r="V146" s="194" t="n"/>
      <c r="W146" s="194" t="n"/>
      <c r="X146" s="194" t="n"/>
      <c r="Y146" s="194" t="n"/>
      <c r="Z146" s="194" t="n"/>
    </row>
    <row r="147" ht="15" customHeight="1" s="195">
      <c r="A147" s="194" t="inlineStr">
        <is>
          <t>LUYA</t>
        </is>
      </c>
      <c r="B147" s="194" t="inlineStr">
        <is>
          <t>FEBRERO 2026</t>
        </is>
      </c>
      <c r="C147" s="377">
        <f>IFERROR(SUMPRODUCT((IF('FEBRERO 2026'!Y6:Y124&lt;&gt;"",'FEBRERO 2026'!Y6:Y124,'FEBRERO 2026'!I6:I124)="LUYA")*('FEBRERO 2026'!K6:K124="PETROLEO")*'FEBRERO 2026'!M6:M124),0)</f>
        <v/>
      </c>
      <c r="D147" s="377">
        <f>IFERROR(SUMPRODUCT((IF('FEBRERO 2026'!Y6:Y124&lt;&gt;"",'FEBRERO 2026'!Y6:Y124,'FEBRERO 2026'!I6:I124)="LUYA")*('FEBRERO 2026'!K6:K124="PETROLEO")*'FEBRERO 2026'!L6:L124*'FEBRERO 2026'!M6:M124),0)</f>
        <v/>
      </c>
      <c r="E147" s="377">
        <f>IFERROR(SUMPRODUCT((IF('FEBRERO 2026'!Y6:Y124&lt;&gt;"",'FEBRERO 2026'!Y6:Y124,'FEBRERO 2026'!I6:I124)="LUYA")*('FEBRERO 2026'!K6:K124="GASOLINA")*'FEBRERO 2026'!M6:M124),0)</f>
        <v/>
      </c>
      <c r="F147" s="377">
        <f>IFERROR(SUMPRODUCT((IF('FEBRERO 2026'!Y6:Y124&lt;&gt;"",'FEBRERO 2026'!Y6:Y124,'FEBRERO 2026'!I6:I124)="LUYA")*('FEBRERO 2026'!K6:K124="GASOLINA")*'FEBRERO 2026'!L6:L124*'FEBRERO 2026'!M6:M124),0)</f>
        <v/>
      </c>
      <c r="G147" s="194" t="n"/>
      <c r="H147" s="194" t="n"/>
      <c r="I147" s="194" t="n"/>
      <c r="J147" s="194" t="n"/>
      <c r="K147" s="194" t="n"/>
      <c r="L147" s="194" t="n"/>
      <c r="M147" s="194" t="n"/>
      <c r="N147" s="194" t="n"/>
      <c r="O147" s="194" t="n"/>
      <c r="P147" s="194" t="n"/>
      <c r="Q147" s="194" t="n"/>
      <c r="R147" s="194" t="n"/>
      <c r="S147" s="194" t="n"/>
      <c r="T147" s="194" t="n"/>
      <c r="U147" s="194" t="n"/>
      <c r="V147" s="194" t="n"/>
      <c r="W147" s="194" t="n"/>
      <c r="X147" s="194" t="n"/>
      <c r="Y147" s="194" t="n"/>
      <c r="Z147" s="194" t="n"/>
    </row>
    <row r="148" ht="15" customHeight="1" s="195">
      <c r="A148" s="194" t="inlineStr">
        <is>
          <t>LUYA</t>
        </is>
      </c>
      <c r="B148" s="194" t="inlineStr">
        <is>
          <t>MARZO 2026</t>
        </is>
      </c>
      <c r="C148" s="377">
        <f>IFERROR(SUMPRODUCT((IF('MARZO 2026'!Y6:Y119&lt;&gt;"",'MARZO 2026'!Y6:Y119,'MARZO 2026'!I6:I119)="LUYA")*('MARZO 2026'!K6:K119="PETROLEO")*'MARZO 2026'!M6:M119),0)</f>
        <v/>
      </c>
      <c r="D148" s="377">
        <f>IFERROR(SUMPRODUCT((IF('MARZO 2026'!Y6:Y119&lt;&gt;"",'MARZO 2026'!Y6:Y119,'MARZO 2026'!I6:I119)="LUYA")*('MARZO 2026'!K6:K119="PETROLEO")*'MARZO 2026'!L6:L119*'MARZO 2026'!M6:M119),0)</f>
        <v/>
      </c>
      <c r="E148" s="377">
        <f>IFERROR(SUMPRODUCT((IF('MARZO 2026'!Y6:Y119&lt;&gt;"",'MARZO 2026'!Y6:Y119,'MARZO 2026'!I6:I119)="LUYA")*('MARZO 2026'!K6:K119="GASOLINA")*'MARZO 2026'!M6:M119),0)</f>
        <v/>
      </c>
      <c r="F148" s="377">
        <f>IFERROR(SUMPRODUCT((IF('MARZO 2026'!Y6:Y119&lt;&gt;"",'MARZO 2026'!Y6:Y119,'MARZO 2026'!I6:I119)="LUYA")*('MARZO 2026'!K6:K119="GASOLINA")*'MARZO 2026'!L6:L119*'MARZO 2026'!M6:M119),0)</f>
        <v/>
      </c>
      <c r="G148" s="194" t="n"/>
      <c r="H148" s="194" t="n"/>
      <c r="I148" s="194" t="n"/>
      <c r="J148" s="194" t="n"/>
      <c r="K148" s="194" t="n"/>
      <c r="L148" s="194" t="n"/>
      <c r="M148" s="194" t="n"/>
      <c r="N148" s="194" t="n"/>
      <c r="O148" s="194" t="n"/>
      <c r="P148" s="194" t="n"/>
      <c r="Q148" s="194" t="n"/>
      <c r="R148" s="194" t="n"/>
      <c r="S148" s="194" t="n"/>
      <c r="T148" s="194" t="n"/>
      <c r="U148" s="194" t="n"/>
      <c r="V148" s="194" t="n"/>
      <c r="W148" s="194" t="n"/>
      <c r="X148" s="194" t="n"/>
      <c r="Y148" s="194" t="n"/>
      <c r="Z148" s="194" t="n"/>
    </row>
    <row r="149" ht="15" customHeight="1" s="195">
      <c r="A149" s="194" t="inlineStr">
        <is>
          <t>LUYA</t>
        </is>
      </c>
      <c r="B149" s="194" t="inlineStr">
        <is>
          <t>ABRIL 2026</t>
        </is>
      </c>
      <c r="C149" s="377">
        <f>IFERROR(SUMPRODUCT((IF('ABRIL 2026'!Y6:Y119&lt;&gt;"",'ABRIL 2026'!Y6:Y119,'ABRIL 2026'!I6:I119)="LUYA")*('ABRIL 2026'!K6:K119="PETROLEO")*'ABRIL 2026'!M6:M119),0)</f>
        <v/>
      </c>
      <c r="D149" s="377">
        <f>IFERROR(SUMPRODUCT((IF('ABRIL 2026'!Y6:Y119&lt;&gt;"",'ABRIL 2026'!Y6:Y119,'ABRIL 2026'!I6:I119)="LUYA")*('ABRIL 2026'!K6:K119="PETROLEO")*'ABRIL 2026'!L6:L119*'ABRIL 2026'!M6:M119),0)</f>
        <v/>
      </c>
      <c r="E149" s="377">
        <f>IFERROR(SUMPRODUCT((IF('ABRIL 2026'!Y6:Y119&lt;&gt;"",'ABRIL 2026'!Y6:Y119,'ABRIL 2026'!I6:I119)="LUYA")*('ABRIL 2026'!K6:K119="GASOLINA")*'ABRIL 2026'!M6:M119),0)</f>
        <v/>
      </c>
      <c r="F149" s="377">
        <f>IFERROR(SUMPRODUCT((IF('ABRIL 2026'!Y6:Y119&lt;&gt;"",'ABRIL 2026'!Y6:Y119,'ABRIL 2026'!I6:I119)="LUYA")*('ABRIL 2026'!K6:K119="GASOLINA")*'ABRIL 2026'!L6:L119*'ABRIL 2026'!M6:M119),0)</f>
        <v/>
      </c>
      <c r="G149" s="194" t="n"/>
      <c r="H149" s="194" t="n"/>
      <c r="I149" s="194" t="n"/>
      <c r="J149" s="194" t="n"/>
      <c r="K149" s="194" t="n"/>
      <c r="L149" s="194" t="n"/>
      <c r="M149" s="194" t="n"/>
      <c r="N149" s="194" t="n"/>
      <c r="O149" s="194" t="n"/>
      <c r="P149" s="194" t="n"/>
      <c r="Q149" s="194" t="n"/>
      <c r="R149" s="194" t="n"/>
      <c r="S149" s="194" t="n"/>
      <c r="T149" s="194" t="n"/>
      <c r="U149" s="194" t="n"/>
      <c r="V149" s="194" t="n"/>
      <c r="W149" s="194" t="n"/>
      <c r="X149" s="194" t="n"/>
      <c r="Y149" s="194" t="n"/>
      <c r="Z149" s="194" t="n"/>
    </row>
    <row r="150" ht="15" customHeight="1" s="195">
      <c r="A150" s="194" t="inlineStr">
        <is>
          <t>LUYA</t>
        </is>
      </c>
      <c r="B150" s="194" t="inlineStr">
        <is>
          <t>MAYO 2026</t>
        </is>
      </c>
      <c r="C150" s="377">
        <f>IFERROR(SUMPRODUCT((IF('MAYO 2026'!Y6:Y110&lt;&gt;"",'MAYO 2026'!Y6:Y110,'MAYO 2026'!I6:I110)="LUYA")*('MAYO 2026'!K6:K110="PETROLEO")*'MAYO 2026'!M6:M110),0)</f>
        <v/>
      </c>
      <c r="D150" s="377">
        <f>IFERROR(SUMPRODUCT((IF('MAYO 2026'!Y6:Y110&lt;&gt;"",'MAYO 2026'!Y6:Y110,'MAYO 2026'!I6:I110)="LUYA")*('MAYO 2026'!K6:K110="PETROLEO")*'MAYO 2026'!L6:L110*'MAYO 2026'!M6:M110),0)</f>
        <v/>
      </c>
      <c r="E150" s="377">
        <f>IFERROR(SUMPRODUCT((IF('MAYO 2026'!Y6:Y110&lt;&gt;"",'MAYO 2026'!Y6:Y110,'MAYO 2026'!I6:I110)="LUYA")*('MAYO 2026'!K6:K110="GASOLINA")*'MAYO 2026'!M6:M110),0)</f>
        <v/>
      </c>
      <c r="F150" s="377">
        <f>IFERROR(SUMPRODUCT((IF('MAYO 2026'!Y6:Y110&lt;&gt;"",'MAYO 2026'!Y6:Y110,'MAYO 2026'!I6:I110)="LUYA")*('MAYO 2026'!K6:K110="GASOLINA")*'MAYO 2026'!L6:L110*'MAYO 2026'!M6:M110),0)</f>
        <v/>
      </c>
      <c r="G150" s="194" t="n"/>
      <c r="H150" s="194" t="n"/>
      <c r="I150" s="194" t="n"/>
      <c r="J150" s="194" t="n"/>
      <c r="K150" s="194" t="n"/>
      <c r="L150" s="194" t="n"/>
      <c r="M150" s="194" t="n"/>
      <c r="N150" s="194" t="n"/>
      <c r="O150" s="194" t="n"/>
      <c r="P150" s="194" t="n"/>
      <c r="Q150" s="194" t="n"/>
      <c r="R150" s="194" t="n"/>
      <c r="S150" s="194" t="n"/>
      <c r="T150" s="194" t="n"/>
      <c r="U150" s="194" t="n"/>
      <c r="V150" s="194" t="n"/>
      <c r="W150" s="194" t="n"/>
      <c r="X150" s="194" t="n"/>
      <c r="Y150" s="194" t="n"/>
      <c r="Z150" s="194" t="n"/>
    </row>
    <row r="151" ht="15" customHeight="1" s="195">
      <c r="A151" s="194" t="inlineStr">
        <is>
          <t>LUYA</t>
        </is>
      </c>
      <c r="B151" s="194" t="inlineStr">
        <is>
          <t>JUNIO 2026</t>
        </is>
      </c>
      <c r="C151" s="377">
        <f>IFERROR(SUMPRODUCT((IF('JUNIO 2026'!Y6:Y110&lt;&gt;"",'JUNIO 2026'!Y6:Y110,'JUNIO 2026'!I6:I110)="LUYA")*('JUNIO 2026'!K6:K110="PETROLEO")*'JUNIO 2026'!M6:M110),0)</f>
        <v/>
      </c>
      <c r="D151" s="377">
        <f>IFERROR(SUMPRODUCT((IF('JUNIO 2026'!Y6:Y110&lt;&gt;"",'JUNIO 2026'!Y6:Y110,'JUNIO 2026'!I6:I110)="LUYA")*('JUNIO 2026'!K6:K110="PETROLEO")*'JUNIO 2026'!L6:L110*'JUNIO 2026'!M6:M110),0)</f>
        <v/>
      </c>
      <c r="E151" s="377">
        <f>IFERROR(SUMPRODUCT((IF('JUNIO 2026'!Y6:Y110&lt;&gt;"",'JUNIO 2026'!Y6:Y110,'JUNIO 2026'!I6:I110)="LUYA")*('JUNIO 2026'!K6:K110="GASOLINA")*'JUNIO 2026'!M6:M110),0)</f>
        <v/>
      </c>
      <c r="F151" s="377">
        <f>IFERROR(SUMPRODUCT((IF('JUNIO 2026'!Y6:Y110&lt;&gt;"",'JUNIO 2026'!Y6:Y110,'JUNIO 2026'!I6:I110)="LUYA")*('JUNIO 2026'!K6:K110="GASOLINA")*'JUNIO 2026'!L6:L110*'JUNIO 2026'!M6:M110),0)</f>
        <v/>
      </c>
      <c r="G151" s="194" t="n"/>
      <c r="H151" s="194" t="n"/>
      <c r="I151" s="194" t="n"/>
      <c r="J151" s="194" t="n"/>
      <c r="K151" s="194" t="n"/>
      <c r="L151" s="194" t="n"/>
      <c r="M151" s="194" t="n"/>
      <c r="N151" s="194" t="n"/>
      <c r="O151" s="194" t="n"/>
      <c r="P151" s="194" t="n"/>
      <c r="Q151" s="194" t="n"/>
      <c r="R151" s="194" t="n"/>
      <c r="S151" s="194" t="n"/>
      <c r="T151" s="194" t="n"/>
      <c r="U151" s="194" t="n"/>
      <c r="V151" s="194" t="n"/>
      <c r="W151" s="194" t="n"/>
      <c r="X151" s="194" t="n"/>
      <c r="Y151" s="194" t="n"/>
      <c r="Z151" s="194" t="n"/>
    </row>
    <row r="152" ht="15" customHeight="1" s="195">
      <c r="A152" s="194" t="inlineStr">
        <is>
          <t>LUYA</t>
        </is>
      </c>
      <c r="B152" s="194" t="inlineStr">
        <is>
          <t>JULIO 2026</t>
        </is>
      </c>
      <c r="C152" s="377">
        <f>IFERROR(SUMPRODUCT((IF('JULIO 2026'!Y6:Y110&lt;&gt;"",'JULIO 2026'!Y6:Y110,'JULIO 2026'!I6:I110)="LUYA")*('JULIO 2026'!K6:K110="PETROLEO")*'JULIO 2026'!M6:M110),0)</f>
        <v/>
      </c>
      <c r="D152" s="377">
        <f>IFERROR(SUMPRODUCT((IF('JULIO 2026'!Y6:Y110&lt;&gt;"",'JULIO 2026'!Y6:Y110,'JULIO 2026'!I6:I110)="LUYA")*('JULIO 2026'!K6:K110="PETROLEO")*'JULIO 2026'!L6:L110*'JULIO 2026'!M6:M110),0)</f>
        <v/>
      </c>
      <c r="E152" s="377">
        <f>IFERROR(SUMPRODUCT((IF('JULIO 2026'!Y6:Y110&lt;&gt;"",'JULIO 2026'!Y6:Y110,'JULIO 2026'!I6:I110)="LUYA")*('JULIO 2026'!K6:K110="GASOLINA")*'JULIO 2026'!M6:M110),0)</f>
        <v/>
      </c>
      <c r="F152" s="377">
        <f>IFERROR(SUMPRODUCT((IF('JULIO 2026'!Y6:Y110&lt;&gt;"",'JULIO 2026'!Y6:Y110,'JULIO 2026'!I6:I110)="LUYA")*('JULIO 2026'!K6:K110="GASOLINA")*'JULIO 2026'!L6:L110*'JULIO 2026'!M6:M110),0)</f>
        <v/>
      </c>
      <c r="G152" s="194" t="n"/>
      <c r="H152" s="194" t="n"/>
      <c r="I152" s="194" t="n"/>
      <c r="J152" s="194" t="n"/>
      <c r="K152" s="194" t="n"/>
      <c r="L152" s="194" t="n"/>
      <c r="M152" s="194" t="n"/>
      <c r="N152" s="194" t="n"/>
      <c r="O152" s="194" t="n"/>
      <c r="P152" s="194" t="n"/>
      <c r="Q152" s="194" t="n"/>
      <c r="R152" s="194" t="n"/>
      <c r="S152" s="194" t="n"/>
      <c r="T152" s="194" t="n"/>
      <c r="U152" s="194" t="n"/>
      <c r="V152" s="194" t="n"/>
      <c r="W152" s="194" t="n"/>
      <c r="X152" s="194" t="n"/>
      <c r="Y152" s="194" t="n"/>
      <c r="Z152" s="194" t="n"/>
    </row>
    <row r="153" ht="15" customHeight="1" s="195">
      <c r="A153" s="194" t="inlineStr">
        <is>
          <t>LUYA</t>
        </is>
      </c>
      <c r="B153" s="194" t="inlineStr">
        <is>
          <t>AGOSTO 2026</t>
        </is>
      </c>
      <c r="C153" s="377">
        <f>IFERROR(SUMPRODUCT((IF('AGOSTO 2026'!Y6:Y110&lt;&gt;"",'AGOSTO 2026'!Y6:Y110,'AGOSTO 2026'!I6:I110)="LUYA")*('AGOSTO 2026'!K6:K110="PETROLEO")*'AGOSTO 2026'!M6:M110),0)</f>
        <v/>
      </c>
      <c r="D153" s="377">
        <f>IFERROR(SUMPRODUCT((IF('AGOSTO 2026'!Y6:Y110&lt;&gt;"",'AGOSTO 2026'!Y6:Y110,'AGOSTO 2026'!I6:I110)="LUYA")*('AGOSTO 2026'!K6:K110="PETROLEO")*'AGOSTO 2026'!L6:L110*'AGOSTO 2026'!M6:M110),0)</f>
        <v/>
      </c>
      <c r="E153" s="377">
        <f>IFERROR(SUMPRODUCT((IF('AGOSTO 2026'!Y6:Y110&lt;&gt;"",'AGOSTO 2026'!Y6:Y110,'AGOSTO 2026'!I6:I110)="LUYA")*('AGOSTO 2026'!K6:K110="GASOLINA")*'AGOSTO 2026'!M6:M110),0)</f>
        <v/>
      </c>
      <c r="F153" s="377">
        <f>IFERROR(SUMPRODUCT((IF('AGOSTO 2026'!Y6:Y110&lt;&gt;"",'AGOSTO 2026'!Y6:Y110,'AGOSTO 2026'!I6:I110)="LUYA")*('AGOSTO 2026'!K6:K110="GASOLINA")*'AGOSTO 2026'!L6:L110*'AGOSTO 2026'!M6:M110),0)</f>
        <v/>
      </c>
      <c r="G153" s="194" t="n"/>
      <c r="H153" s="194" t="n"/>
      <c r="I153" s="194" t="n"/>
      <c r="J153" s="194" t="n"/>
      <c r="K153" s="194" t="n"/>
      <c r="L153" s="194" t="n"/>
      <c r="M153" s="194" t="n"/>
      <c r="N153" s="194" t="n"/>
      <c r="O153" s="194" t="n"/>
      <c r="P153" s="194" t="n"/>
      <c r="Q153" s="194" t="n"/>
      <c r="R153" s="194" t="n"/>
      <c r="S153" s="194" t="n"/>
      <c r="T153" s="194" t="n"/>
      <c r="U153" s="194" t="n"/>
      <c r="V153" s="194" t="n"/>
      <c r="W153" s="194" t="n"/>
      <c r="X153" s="194" t="n"/>
      <c r="Y153" s="194" t="n"/>
      <c r="Z153" s="194" t="n"/>
    </row>
    <row r="154" ht="15" customHeight="1" s="195">
      <c r="A154" s="194" t="inlineStr">
        <is>
          <t>LUYA</t>
        </is>
      </c>
      <c r="B154" s="194" t="inlineStr">
        <is>
          <t>SETIEMBRE 2026</t>
        </is>
      </c>
      <c r="C154" s="377">
        <f>IFERROR(SUMPRODUCT((IF('SETIEMBRE 2026'!Y6:Y110&lt;&gt;"",'SETIEMBRE 2026'!Y6:Y110,'SETIEMBRE 2026'!I6:I110)="LUYA")*('SETIEMBRE 2026'!K6:K110="PETROLEO")*'SETIEMBRE 2026'!M6:M110),0)</f>
        <v/>
      </c>
      <c r="D154" s="377">
        <f>IFERROR(SUMPRODUCT((IF('SETIEMBRE 2026'!Y6:Y110&lt;&gt;"",'SETIEMBRE 2026'!Y6:Y110,'SETIEMBRE 2026'!I6:I110)="LUYA")*('SETIEMBRE 2026'!K6:K110="PETROLEO")*'SETIEMBRE 2026'!L6:L110*'SETIEMBRE 2026'!M6:M110),0)</f>
        <v/>
      </c>
      <c r="E154" s="377">
        <f>IFERROR(SUMPRODUCT((IF('SETIEMBRE 2026'!Y6:Y110&lt;&gt;"",'SETIEMBRE 2026'!Y6:Y110,'SETIEMBRE 2026'!I6:I110)="LUYA")*('SETIEMBRE 2026'!K6:K110="GASOLINA")*'SETIEMBRE 2026'!M6:M110),0)</f>
        <v/>
      </c>
      <c r="F154" s="377">
        <f>IFERROR(SUMPRODUCT((IF('SETIEMBRE 2026'!Y6:Y110&lt;&gt;"",'SETIEMBRE 2026'!Y6:Y110,'SETIEMBRE 2026'!I6:I110)="LUYA")*('SETIEMBRE 2026'!K6:K110="GASOLINA")*'SETIEMBRE 2026'!L6:L110*'SETIEMBRE 2026'!M6:M110),0)</f>
        <v/>
      </c>
      <c r="G154" s="194" t="n"/>
      <c r="H154" s="194" t="n"/>
      <c r="I154" s="194" t="n"/>
      <c r="J154" s="194" t="n"/>
      <c r="K154" s="194" t="n"/>
      <c r="L154" s="194" t="n"/>
      <c r="M154" s="194" t="n"/>
      <c r="N154" s="194" t="n"/>
      <c r="O154" s="194" t="n"/>
      <c r="P154" s="194" t="n"/>
      <c r="Q154" s="194" t="n"/>
      <c r="R154" s="194" t="n"/>
      <c r="S154" s="194" t="n"/>
      <c r="T154" s="194" t="n"/>
      <c r="U154" s="194" t="n"/>
      <c r="V154" s="194" t="n"/>
      <c r="W154" s="194" t="n"/>
      <c r="X154" s="194" t="n"/>
      <c r="Y154" s="194" t="n"/>
      <c r="Z154" s="194" t="n"/>
    </row>
    <row r="155" ht="15" customHeight="1" s="195">
      <c r="A155" s="194" t="inlineStr">
        <is>
          <t>LUYA</t>
        </is>
      </c>
      <c r="B155" s="194" t="inlineStr">
        <is>
          <t>OCTUBRE 2026</t>
        </is>
      </c>
      <c r="C155" s="377">
        <f>IFERROR(SUMPRODUCT((IF('OCTUBRE 2026'!Y6:Y110&lt;&gt;"",'OCTUBRE 2026'!Y6:Y110,'OCTUBRE 2026'!I6:I110)="LUYA")*('OCTUBRE 2026'!K6:K110="PETROLEO")*'OCTUBRE 2026'!M6:M110),0)</f>
        <v/>
      </c>
      <c r="D155" s="377">
        <f>IFERROR(SUMPRODUCT((IF('OCTUBRE 2026'!Y6:Y110&lt;&gt;"",'OCTUBRE 2026'!Y6:Y110,'OCTUBRE 2026'!I6:I110)="LUYA")*('OCTUBRE 2026'!K6:K110="PETROLEO")*'OCTUBRE 2026'!L6:L110*'OCTUBRE 2026'!M6:M110),0)</f>
        <v/>
      </c>
      <c r="E155" s="377">
        <f>IFERROR(SUMPRODUCT((IF('OCTUBRE 2026'!Y6:Y110&lt;&gt;"",'OCTUBRE 2026'!Y6:Y110,'OCTUBRE 2026'!I6:I110)="LUYA")*('OCTUBRE 2026'!K6:K110="GASOLINA")*'OCTUBRE 2026'!M6:M110),0)</f>
        <v/>
      </c>
      <c r="F155" s="377">
        <f>IFERROR(SUMPRODUCT((IF('OCTUBRE 2026'!Y6:Y110&lt;&gt;"",'OCTUBRE 2026'!Y6:Y110,'OCTUBRE 2026'!I6:I110)="LUYA")*('OCTUBRE 2026'!K6:K110="GASOLINA")*'OCTUBRE 2026'!L6:L110*'OCTUBRE 2026'!M6:M110),0)</f>
        <v/>
      </c>
      <c r="G155" s="194" t="n"/>
      <c r="H155" s="194" t="n"/>
      <c r="I155" s="194" t="n"/>
      <c r="J155" s="194" t="n"/>
      <c r="K155" s="194" t="n"/>
      <c r="L155" s="194" t="n"/>
      <c r="M155" s="194" t="n"/>
      <c r="N155" s="194" t="n"/>
      <c r="O155" s="194" t="n"/>
      <c r="P155" s="194" t="n"/>
      <c r="Q155" s="194" t="n"/>
      <c r="R155" s="194" t="n"/>
      <c r="S155" s="194" t="n"/>
      <c r="T155" s="194" t="n"/>
      <c r="U155" s="194" t="n"/>
      <c r="V155" s="194" t="n"/>
      <c r="W155" s="194" t="n"/>
      <c r="X155" s="194" t="n"/>
      <c r="Y155" s="194" t="n"/>
      <c r="Z155" s="194" t="n"/>
    </row>
    <row r="156" ht="15" customHeight="1" s="195">
      <c r="A156" s="194" t="inlineStr">
        <is>
          <t>LUYA</t>
        </is>
      </c>
      <c r="B156" s="194" t="inlineStr">
        <is>
          <t>NOVIEMBRE 2026</t>
        </is>
      </c>
      <c r="C156" s="377">
        <f>IFERROR(SUMPRODUCT((IF('NOVIEMBRE 2026'!Y6:Y110&lt;&gt;"",'NOVIEMBRE 2026'!Y6:Y110,'NOVIEMBRE 2026'!I6:I110)="LUYA")*('NOVIEMBRE 2026'!K6:K110="PETROLEO")*'NOVIEMBRE 2026'!M6:M110),0)</f>
        <v/>
      </c>
      <c r="D156" s="377">
        <f>IFERROR(SUMPRODUCT((IF('NOVIEMBRE 2026'!Y6:Y110&lt;&gt;"",'NOVIEMBRE 2026'!Y6:Y110,'NOVIEMBRE 2026'!I6:I110)="LUYA")*('NOVIEMBRE 2026'!K6:K110="PETROLEO")*'NOVIEMBRE 2026'!L6:L110*'NOVIEMBRE 2026'!M6:M110),0)</f>
        <v/>
      </c>
      <c r="E156" s="377">
        <f>IFERROR(SUMPRODUCT((IF('NOVIEMBRE 2026'!Y6:Y110&lt;&gt;"",'NOVIEMBRE 2026'!Y6:Y110,'NOVIEMBRE 2026'!I6:I110)="LUYA")*('NOVIEMBRE 2026'!K6:K110="GASOLINA")*'NOVIEMBRE 2026'!M6:M110),0)</f>
        <v/>
      </c>
      <c r="F156" s="377">
        <f>IFERROR(SUMPRODUCT((IF('NOVIEMBRE 2026'!Y6:Y110&lt;&gt;"",'NOVIEMBRE 2026'!Y6:Y110,'NOVIEMBRE 2026'!I6:I110)="LUYA")*('NOVIEMBRE 2026'!K6:K110="GASOLINA")*'NOVIEMBRE 2026'!L6:L110*'NOVIEMBRE 2026'!M6:M110),0)</f>
        <v/>
      </c>
      <c r="G156" s="194" t="n"/>
      <c r="H156" s="194" t="n"/>
      <c r="I156" s="194" t="n"/>
      <c r="J156" s="194" t="n"/>
      <c r="K156" s="194" t="n"/>
      <c r="L156" s="194" t="n"/>
      <c r="M156" s="194" t="n"/>
      <c r="N156" s="194" t="n"/>
      <c r="O156" s="194" t="n"/>
      <c r="P156" s="194" t="n"/>
      <c r="Q156" s="194" t="n"/>
      <c r="R156" s="194" t="n"/>
      <c r="S156" s="194" t="n"/>
      <c r="T156" s="194" t="n"/>
      <c r="U156" s="194" t="n"/>
      <c r="V156" s="194" t="n"/>
      <c r="W156" s="194" t="n"/>
      <c r="X156" s="194" t="n"/>
      <c r="Y156" s="194" t="n"/>
      <c r="Z156" s="194" t="n"/>
    </row>
    <row r="157" ht="15" customHeight="1" s="195">
      <c r="A157" s="194" t="inlineStr">
        <is>
          <t>LUYA</t>
        </is>
      </c>
      <c r="B157" s="194" t="inlineStr">
        <is>
          <t>DICIEMBRE 2026</t>
        </is>
      </c>
      <c r="C157" s="377">
        <f>IFERROR(SUMPRODUCT((IF('DICIEMBRE 2026'!Y6:Y110&lt;&gt;"",'DICIEMBRE 2026'!Y6:Y110,'DICIEMBRE 2026'!I6:I110)="LUYA")*('DICIEMBRE 2026'!K6:K110="PETROLEO")*'DICIEMBRE 2026'!M6:M110),0)</f>
        <v/>
      </c>
      <c r="D157" s="377">
        <f>IFERROR(SUMPRODUCT((IF('DICIEMBRE 2026'!Y6:Y110&lt;&gt;"",'DICIEMBRE 2026'!Y6:Y110,'DICIEMBRE 2026'!I6:I110)="LUYA")*('DICIEMBRE 2026'!K6:K110="PETROLEO")*'DICIEMBRE 2026'!L6:L110*'DICIEMBRE 2026'!M6:M110),0)</f>
        <v/>
      </c>
      <c r="E157" s="377">
        <f>IFERROR(SUMPRODUCT((IF('DICIEMBRE 2026'!Y6:Y110&lt;&gt;"",'DICIEMBRE 2026'!Y6:Y110,'DICIEMBRE 2026'!I6:I110)="LUYA")*('DICIEMBRE 2026'!K6:K110="GASOLINA")*'DICIEMBRE 2026'!M6:M110),0)</f>
        <v/>
      </c>
      <c r="F157" s="377">
        <f>IFERROR(SUMPRODUCT((IF('DICIEMBRE 2026'!Y6:Y110&lt;&gt;"",'DICIEMBRE 2026'!Y6:Y110,'DICIEMBRE 2026'!I6:I110)="LUYA")*('DICIEMBRE 2026'!K6:K110="GASOLINA")*'DICIEMBRE 2026'!L6:L110*'DICIEMBRE 2026'!M6:M110),0)</f>
        <v/>
      </c>
      <c r="G157" s="194" t="n"/>
      <c r="H157" s="194" t="n"/>
      <c r="I157" s="194" t="n"/>
      <c r="J157" s="194" t="n"/>
      <c r="K157" s="194" t="n"/>
      <c r="L157" s="194" t="n"/>
      <c r="M157" s="194" t="n"/>
      <c r="N157" s="194" t="n"/>
      <c r="O157" s="194" t="n"/>
      <c r="P157" s="194" t="n"/>
      <c r="Q157" s="194" t="n"/>
      <c r="R157" s="194" t="n"/>
      <c r="S157" s="194" t="n"/>
      <c r="T157" s="194" t="n"/>
      <c r="U157" s="194" t="n"/>
      <c r="V157" s="194" t="n"/>
      <c r="W157" s="194" t="n"/>
      <c r="X157" s="194" t="n"/>
      <c r="Y157" s="194" t="n"/>
      <c r="Z157" s="194" t="n"/>
    </row>
    <row r="158" ht="15" customHeight="1" s="195">
      <c r="A158" s="194" t="inlineStr">
        <is>
          <t>MARIA</t>
        </is>
      </c>
      <c r="B158" s="194" t="inlineStr">
        <is>
          <t>ENERO 2026</t>
        </is>
      </c>
      <c r="C158" s="377">
        <f>IFERROR(SUMPRODUCT((IF('ENERO 2026'!Y6:Y119&lt;&gt;"",'ENERO 2026'!Y6:Y119,'ENERO 2026'!I6:I119)="MARIA")*('ENERO 2026'!K6:K119="PETROLEO")*'ENERO 2026'!M6:M119),0)</f>
        <v/>
      </c>
      <c r="D158" s="377">
        <f>IFERROR(SUMPRODUCT((IF('ENERO 2026'!Y6:Y119&lt;&gt;"",'ENERO 2026'!Y6:Y119,'ENERO 2026'!I6:I119)="MARIA")*('ENERO 2026'!K6:K119="PETROLEO")*'ENERO 2026'!L6:L119*'ENERO 2026'!M6:M119),0)</f>
        <v/>
      </c>
      <c r="E158" s="377">
        <f>IFERROR(SUMPRODUCT((IF('ENERO 2026'!Y6:Y119&lt;&gt;"",'ENERO 2026'!Y6:Y119,'ENERO 2026'!I6:I119)="MARIA")*('ENERO 2026'!K6:K119="GASOLINA")*'ENERO 2026'!M6:M119),0)</f>
        <v/>
      </c>
      <c r="F158" s="377">
        <f>IFERROR(SUMPRODUCT((IF('ENERO 2026'!Y6:Y119&lt;&gt;"",'ENERO 2026'!Y6:Y119,'ENERO 2026'!I6:I119)="MARIA")*('ENERO 2026'!K6:K119="GASOLINA")*'ENERO 2026'!L6:L119*'ENERO 2026'!M6:M119),0)</f>
        <v/>
      </c>
      <c r="G158" s="194" t="n"/>
      <c r="H158" s="194" t="n"/>
      <c r="I158" s="194" t="n"/>
      <c r="J158" s="194" t="n"/>
      <c r="K158" s="194" t="n"/>
      <c r="L158" s="194" t="n"/>
      <c r="M158" s="194" t="n"/>
      <c r="N158" s="194" t="n"/>
      <c r="O158" s="194" t="n"/>
      <c r="P158" s="194" t="n"/>
      <c r="Q158" s="194" t="n"/>
      <c r="R158" s="194" t="n"/>
      <c r="S158" s="194" t="n"/>
      <c r="T158" s="194" t="n"/>
      <c r="U158" s="194" t="n"/>
      <c r="V158" s="194" t="n"/>
      <c r="W158" s="194" t="n"/>
      <c r="X158" s="194" t="n"/>
      <c r="Y158" s="194" t="n"/>
      <c r="Z158" s="194" t="n"/>
    </row>
    <row r="159" ht="15" customHeight="1" s="195">
      <c r="A159" s="194" t="inlineStr">
        <is>
          <t>MARIA</t>
        </is>
      </c>
      <c r="B159" s="194" t="inlineStr">
        <is>
          <t>FEBRERO 2026</t>
        </is>
      </c>
      <c r="C159" s="377">
        <f>IFERROR(SUMPRODUCT((IF('FEBRERO 2026'!Y6:Y124&lt;&gt;"",'FEBRERO 2026'!Y6:Y124,'FEBRERO 2026'!I6:I124)="MARIA")*('FEBRERO 2026'!K6:K124="PETROLEO")*'FEBRERO 2026'!M6:M124),0)</f>
        <v/>
      </c>
      <c r="D159" s="377">
        <f>IFERROR(SUMPRODUCT((IF('FEBRERO 2026'!Y6:Y124&lt;&gt;"",'FEBRERO 2026'!Y6:Y124,'FEBRERO 2026'!I6:I124)="MARIA")*('FEBRERO 2026'!K6:K124="PETROLEO")*'FEBRERO 2026'!L6:L124*'FEBRERO 2026'!M6:M124),0)</f>
        <v/>
      </c>
      <c r="E159" s="377">
        <f>IFERROR(SUMPRODUCT((IF('FEBRERO 2026'!Y6:Y124&lt;&gt;"",'FEBRERO 2026'!Y6:Y124,'FEBRERO 2026'!I6:I124)="MARIA")*('FEBRERO 2026'!K6:K124="GASOLINA")*'FEBRERO 2026'!M6:M124),0)</f>
        <v/>
      </c>
      <c r="F159" s="377">
        <f>IFERROR(SUMPRODUCT((IF('FEBRERO 2026'!Y6:Y124&lt;&gt;"",'FEBRERO 2026'!Y6:Y124,'FEBRERO 2026'!I6:I124)="MARIA")*('FEBRERO 2026'!K6:K124="GASOLINA")*'FEBRERO 2026'!L6:L124*'FEBRERO 2026'!M6:M124),0)</f>
        <v/>
      </c>
      <c r="G159" s="194" t="n"/>
      <c r="H159" s="194" t="n"/>
      <c r="I159" s="194" t="n"/>
      <c r="J159" s="194" t="n"/>
      <c r="K159" s="194" t="n"/>
      <c r="L159" s="194" t="n"/>
      <c r="M159" s="194" t="n"/>
      <c r="N159" s="194" t="n"/>
      <c r="O159" s="194" t="n"/>
      <c r="P159" s="194" t="n"/>
      <c r="Q159" s="194" t="n"/>
      <c r="R159" s="194" t="n"/>
      <c r="S159" s="194" t="n"/>
      <c r="T159" s="194" t="n"/>
      <c r="U159" s="194" t="n"/>
      <c r="V159" s="194" t="n"/>
      <c r="W159" s="194" t="n"/>
      <c r="X159" s="194" t="n"/>
      <c r="Y159" s="194" t="n"/>
      <c r="Z159" s="194" t="n"/>
    </row>
    <row r="160" ht="15" customHeight="1" s="195">
      <c r="A160" s="194" t="inlineStr">
        <is>
          <t>MARIA</t>
        </is>
      </c>
      <c r="B160" s="194" t="inlineStr">
        <is>
          <t>MARZO 2026</t>
        </is>
      </c>
      <c r="C160" s="377">
        <f>IFERROR(SUMPRODUCT((IF('MARZO 2026'!Y6:Y119&lt;&gt;"",'MARZO 2026'!Y6:Y119,'MARZO 2026'!I6:I119)="MARIA")*('MARZO 2026'!K6:K119="PETROLEO")*'MARZO 2026'!M6:M119),0)</f>
        <v/>
      </c>
      <c r="D160" s="377">
        <f>IFERROR(SUMPRODUCT((IF('MARZO 2026'!Y6:Y119&lt;&gt;"",'MARZO 2026'!Y6:Y119,'MARZO 2026'!I6:I119)="MARIA")*('MARZO 2026'!K6:K119="PETROLEO")*'MARZO 2026'!L6:L119*'MARZO 2026'!M6:M119),0)</f>
        <v/>
      </c>
      <c r="E160" s="377">
        <f>IFERROR(SUMPRODUCT((IF('MARZO 2026'!Y6:Y119&lt;&gt;"",'MARZO 2026'!Y6:Y119,'MARZO 2026'!I6:I119)="MARIA")*('MARZO 2026'!K6:K119="GASOLINA")*'MARZO 2026'!M6:M119),0)</f>
        <v/>
      </c>
      <c r="F160" s="377">
        <f>IFERROR(SUMPRODUCT((IF('MARZO 2026'!Y6:Y119&lt;&gt;"",'MARZO 2026'!Y6:Y119,'MARZO 2026'!I6:I119)="MARIA")*('MARZO 2026'!K6:K119="GASOLINA")*'MARZO 2026'!L6:L119*'MARZO 2026'!M6:M119),0)</f>
        <v/>
      </c>
      <c r="G160" s="194" t="n"/>
      <c r="H160" s="194" t="n"/>
      <c r="I160" s="194" t="n"/>
      <c r="J160" s="194" t="n"/>
      <c r="K160" s="194" t="n"/>
      <c r="L160" s="194" t="n"/>
      <c r="M160" s="194" t="n"/>
      <c r="N160" s="194" t="n"/>
      <c r="O160" s="194" t="n"/>
      <c r="P160" s="194" t="n"/>
      <c r="Q160" s="194" t="n"/>
      <c r="R160" s="194" t="n"/>
      <c r="S160" s="194" t="n"/>
      <c r="T160" s="194" t="n"/>
      <c r="U160" s="194" t="n"/>
      <c r="V160" s="194" t="n"/>
      <c r="W160" s="194" t="n"/>
      <c r="X160" s="194" t="n"/>
      <c r="Y160" s="194" t="n"/>
      <c r="Z160" s="194" t="n"/>
    </row>
    <row r="161" ht="15" customHeight="1" s="195">
      <c r="A161" s="194" t="inlineStr">
        <is>
          <t>MARIA</t>
        </is>
      </c>
      <c r="B161" s="194" t="inlineStr">
        <is>
          <t>ABRIL 2026</t>
        </is>
      </c>
      <c r="C161" s="377">
        <f>IFERROR(SUMPRODUCT((IF('ABRIL 2026'!Y6:Y119&lt;&gt;"",'ABRIL 2026'!Y6:Y119,'ABRIL 2026'!I6:I119)="MARIA")*('ABRIL 2026'!K6:K119="PETROLEO")*'ABRIL 2026'!M6:M119),0)</f>
        <v/>
      </c>
      <c r="D161" s="377">
        <f>IFERROR(SUMPRODUCT((IF('ABRIL 2026'!Y6:Y119&lt;&gt;"",'ABRIL 2026'!Y6:Y119,'ABRIL 2026'!I6:I119)="MARIA")*('ABRIL 2026'!K6:K119="PETROLEO")*'ABRIL 2026'!L6:L119*'ABRIL 2026'!M6:M119),0)</f>
        <v/>
      </c>
      <c r="E161" s="377">
        <f>IFERROR(SUMPRODUCT((IF('ABRIL 2026'!Y6:Y119&lt;&gt;"",'ABRIL 2026'!Y6:Y119,'ABRIL 2026'!I6:I119)="MARIA")*('ABRIL 2026'!K6:K119="GASOLINA")*'ABRIL 2026'!M6:M119),0)</f>
        <v/>
      </c>
      <c r="F161" s="377">
        <f>IFERROR(SUMPRODUCT((IF('ABRIL 2026'!Y6:Y119&lt;&gt;"",'ABRIL 2026'!Y6:Y119,'ABRIL 2026'!I6:I119)="MARIA")*('ABRIL 2026'!K6:K119="GASOLINA")*'ABRIL 2026'!L6:L119*'ABRIL 2026'!M6:M119),0)</f>
        <v/>
      </c>
      <c r="G161" s="194" t="n"/>
      <c r="H161" s="194" t="n"/>
      <c r="I161" s="194" t="n"/>
      <c r="J161" s="194" t="n"/>
      <c r="K161" s="194" t="n"/>
      <c r="L161" s="194" t="n"/>
      <c r="M161" s="194" t="n"/>
      <c r="N161" s="194" t="n"/>
      <c r="O161" s="194" t="n"/>
      <c r="P161" s="194" t="n"/>
      <c r="Q161" s="194" t="n"/>
      <c r="R161" s="194" t="n"/>
      <c r="S161" s="194" t="n"/>
      <c r="T161" s="194" t="n"/>
      <c r="U161" s="194" t="n"/>
      <c r="V161" s="194" t="n"/>
      <c r="W161" s="194" t="n"/>
      <c r="X161" s="194" t="n"/>
      <c r="Y161" s="194" t="n"/>
      <c r="Z161" s="194" t="n"/>
    </row>
    <row r="162" ht="15" customHeight="1" s="195">
      <c r="A162" s="194" t="inlineStr">
        <is>
          <t>MARIA</t>
        </is>
      </c>
      <c r="B162" s="194" t="inlineStr">
        <is>
          <t>MAYO 2026</t>
        </is>
      </c>
      <c r="C162" s="377">
        <f>IFERROR(SUMPRODUCT((IF('MAYO 2026'!Y6:Y110&lt;&gt;"",'MAYO 2026'!Y6:Y110,'MAYO 2026'!I6:I110)="MARIA")*('MAYO 2026'!K6:K110="PETROLEO")*'MAYO 2026'!M6:M110),0)</f>
        <v/>
      </c>
      <c r="D162" s="377">
        <f>IFERROR(SUMPRODUCT((IF('MAYO 2026'!Y6:Y110&lt;&gt;"",'MAYO 2026'!Y6:Y110,'MAYO 2026'!I6:I110)="MARIA")*('MAYO 2026'!K6:K110="PETROLEO")*'MAYO 2026'!L6:L110*'MAYO 2026'!M6:M110),0)</f>
        <v/>
      </c>
      <c r="E162" s="377">
        <f>IFERROR(SUMPRODUCT((IF('MAYO 2026'!Y6:Y110&lt;&gt;"",'MAYO 2026'!Y6:Y110,'MAYO 2026'!I6:I110)="MARIA")*('MAYO 2026'!K6:K110="GASOLINA")*'MAYO 2026'!M6:M110),0)</f>
        <v/>
      </c>
      <c r="F162" s="377">
        <f>IFERROR(SUMPRODUCT((IF('MAYO 2026'!Y6:Y110&lt;&gt;"",'MAYO 2026'!Y6:Y110,'MAYO 2026'!I6:I110)="MARIA")*('MAYO 2026'!K6:K110="GASOLINA")*'MAYO 2026'!L6:L110*'MAYO 2026'!M6:M110),0)</f>
        <v/>
      </c>
      <c r="G162" s="194" t="n"/>
      <c r="H162" s="194" t="n"/>
      <c r="I162" s="194" t="n"/>
      <c r="J162" s="194" t="n"/>
      <c r="K162" s="194" t="n"/>
      <c r="L162" s="194" t="n"/>
      <c r="M162" s="194" t="n"/>
      <c r="N162" s="194" t="n"/>
      <c r="O162" s="194" t="n"/>
      <c r="P162" s="194" t="n"/>
      <c r="Q162" s="194" t="n"/>
      <c r="R162" s="194" t="n"/>
      <c r="S162" s="194" t="n"/>
      <c r="T162" s="194" t="n"/>
      <c r="U162" s="194" t="n"/>
      <c r="V162" s="194" t="n"/>
      <c r="W162" s="194" t="n"/>
      <c r="X162" s="194" t="n"/>
      <c r="Y162" s="194" t="n"/>
      <c r="Z162" s="194" t="n"/>
    </row>
    <row r="163" ht="15" customHeight="1" s="195">
      <c r="A163" s="194" t="inlineStr">
        <is>
          <t>MARIA</t>
        </is>
      </c>
      <c r="B163" s="194" t="inlineStr">
        <is>
          <t>JUNIO 2026</t>
        </is>
      </c>
      <c r="C163" s="377">
        <f>IFERROR(SUMPRODUCT((IF('JUNIO 2026'!Y6:Y110&lt;&gt;"",'JUNIO 2026'!Y6:Y110,'JUNIO 2026'!I6:I110)="MARIA")*('JUNIO 2026'!K6:K110="PETROLEO")*'JUNIO 2026'!M6:M110),0)</f>
        <v/>
      </c>
      <c r="D163" s="377">
        <f>IFERROR(SUMPRODUCT((IF('JUNIO 2026'!Y6:Y110&lt;&gt;"",'JUNIO 2026'!Y6:Y110,'JUNIO 2026'!I6:I110)="MARIA")*('JUNIO 2026'!K6:K110="PETROLEO")*'JUNIO 2026'!L6:L110*'JUNIO 2026'!M6:M110),0)</f>
        <v/>
      </c>
      <c r="E163" s="377">
        <f>IFERROR(SUMPRODUCT((IF('JUNIO 2026'!Y6:Y110&lt;&gt;"",'JUNIO 2026'!Y6:Y110,'JUNIO 2026'!I6:I110)="MARIA")*('JUNIO 2026'!K6:K110="GASOLINA")*'JUNIO 2026'!M6:M110),0)</f>
        <v/>
      </c>
      <c r="F163" s="377">
        <f>IFERROR(SUMPRODUCT((IF('JUNIO 2026'!Y6:Y110&lt;&gt;"",'JUNIO 2026'!Y6:Y110,'JUNIO 2026'!I6:I110)="MARIA")*('JUNIO 2026'!K6:K110="GASOLINA")*'JUNIO 2026'!L6:L110*'JUNIO 2026'!M6:M110),0)</f>
        <v/>
      </c>
      <c r="G163" s="194" t="n"/>
      <c r="H163" s="194" t="n"/>
      <c r="I163" s="194" t="n"/>
      <c r="J163" s="194" t="n"/>
      <c r="K163" s="194" t="n"/>
      <c r="L163" s="194" t="n"/>
      <c r="M163" s="194" t="n"/>
      <c r="N163" s="194" t="n"/>
      <c r="O163" s="194" t="n"/>
      <c r="P163" s="194" t="n"/>
      <c r="Q163" s="194" t="n"/>
      <c r="R163" s="194" t="n"/>
      <c r="S163" s="194" t="n"/>
      <c r="T163" s="194" t="n"/>
      <c r="U163" s="194" t="n"/>
      <c r="V163" s="194" t="n"/>
      <c r="W163" s="194" t="n"/>
      <c r="X163" s="194" t="n"/>
      <c r="Y163" s="194" t="n"/>
      <c r="Z163" s="194" t="n"/>
    </row>
    <row r="164" ht="15" customHeight="1" s="195">
      <c r="A164" s="194" t="inlineStr">
        <is>
          <t>MARIA</t>
        </is>
      </c>
      <c r="B164" s="194" t="inlineStr">
        <is>
          <t>JULIO 2026</t>
        </is>
      </c>
      <c r="C164" s="377">
        <f>IFERROR(SUMPRODUCT((IF('JULIO 2026'!Y6:Y110&lt;&gt;"",'JULIO 2026'!Y6:Y110,'JULIO 2026'!I6:I110)="MARIA")*('JULIO 2026'!K6:K110="PETROLEO")*'JULIO 2026'!M6:M110),0)</f>
        <v/>
      </c>
      <c r="D164" s="377">
        <f>IFERROR(SUMPRODUCT((IF('JULIO 2026'!Y6:Y110&lt;&gt;"",'JULIO 2026'!Y6:Y110,'JULIO 2026'!I6:I110)="MARIA")*('JULIO 2026'!K6:K110="PETROLEO")*'JULIO 2026'!L6:L110*'JULIO 2026'!M6:M110),0)</f>
        <v/>
      </c>
      <c r="E164" s="377">
        <f>IFERROR(SUMPRODUCT((IF('JULIO 2026'!Y6:Y110&lt;&gt;"",'JULIO 2026'!Y6:Y110,'JULIO 2026'!I6:I110)="MARIA")*('JULIO 2026'!K6:K110="GASOLINA")*'JULIO 2026'!M6:M110),0)</f>
        <v/>
      </c>
      <c r="F164" s="377">
        <f>IFERROR(SUMPRODUCT((IF('JULIO 2026'!Y6:Y110&lt;&gt;"",'JULIO 2026'!Y6:Y110,'JULIO 2026'!I6:I110)="MARIA")*('JULIO 2026'!K6:K110="GASOLINA")*'JULIO 2026'!L6:L110*'JULIO 2026'!M6:M110),0)</f>
        <v/>
      </c>
      <c r="G164" s="194" t="n"/>
      <c r="H164" s="194" t="n"/>
      <c r="I164" s="194" t="n"/>
      <c r="J164" s="194" t="n"/>
      <c r="K164" s="194" t="n"/>
      <c r="L164" s="194" t="n"/>
      <c r="M164" s="194" t="n"/>
      <c r="N164" s="194" t="n"/>
      <c r="O164" s="194" t="n"/>
      <c r="P164" s="194" t="n"/>
      <c r="Q164" s="194" t="n"/>
      <c r="R164" s="194" t="n"/>
      <c r="S164" s="194" t="n"/>
      <c r="T164" s="194" t="n"/>
      <c r="U164" s="194" t="n"/>
      <c r="V164" s="194" t="n"/>
      <c r="W164" s="194" t="n"/>
      <c r="X164" s="194" t="n"/>
      <c r="Y164" s="194" t="n"/>
      <c r="Z164" s="194" t="n"/>
    </row>
    <row r="165" ht="15" customHeight="1" s="195">
      <c r="A165" s="194" t="inlineStr">
        <is>
          <t>MARIA</t>
        </is>
      </c>
      <c r="B165" s="194" t="inlineStr">
        <is>
          <t>AGOSTO 2026</t>
        </is>
      </c>
      <c r="C165" s="377">
        <f>IFERROR(SUMPRODUCT((IF('AGOSTO 2026'!Y6:Y110&lt;&gt;"",'AGOSTO 2026'!Y6:Y110,'AGOSTO 2026'!I6:I110)="MARIA")*('AGOSTO 2026'!K6:K110="PETROLEO")*'AGOSTO 2026'!M6:M110),0)</f>
        <v/>
      </c>
      <c r="D165" s="377">
        <f>IFERROR(SUMPRODUCT((IF('AGOSTO 2026'!Y6:Y110&lt;&gt;"",'AGOSTO 2026'!Y6:Y110,'AGOSTO 2026'!I6:I110)="MARIA")*('AGOSTO 2026'!K6:K110="PETROLEO")*'AGOSTO 2026'!L6:L110*'AGOSTO 2026'!M6:M110),0)</f>
        <v/>
      </c>
      <c r="E165" s="377">
        <f>IFERROR(SUMPRODUCT((IF('AGOSTO 2026'!Y6:Y110&lt;&gt;"",'AGOSTO 2026'!Y6:Y110,'AGOSTO 2026'!I6:I110)="MARIA")*('AGOSTO 2026'!K6:K110="GASOLINA")*'AGOSTO 2026'!M6:M110),0)</f>
        <v/>
      </c>
      <c r="F165" s="377">
        <f>IFERROR(SUMPRODUCT((IF('AGOSTO 2026'!Y6:Y110&lt;&gt;"",'AGOSTO 2026'!Y6:Y110,'AGOSTO 2026'!I6:I110)="MARIA")*('AGOSTO 2026'!K6:K110="GASOLINA")*'AGOSTO 2026'!L6:L110*'AGOSTO 2026'!M6:M110),0)</f>
        <v/>
      </c>
      <c r="G165" s="194" t="n"/>
      <c r="H165" s="194" t="n"/>
      <c r="I165" s="194" t="n"/>
      <c r="J165" s="194" t="n"/>
      <c r="K165" s="194" t="n"/>
      <c r="L165" s="194" t="n"/>
      <c r="M165" s="194" t="n"/>
      <c r="N165" s="194" t="n"/>
      <c r="O165" s="194" t="n"/>
      <c r="P165" s="194" t="n"/>
      <c r="Q165" s="194" t="n"/>
      <c r="R165" s="194" t="n"/>
      <c r="S165" s="194" t="n"/>
      <c r="T165" s="194" t="n"/>
      <c r="U165" s="194" t="n"/>
      <c r="V165" s="194" t="n"/>
      <c r="W165" s="194" t="n"/>
      <c r="X165" s="194" t="n"/>
      <c r="Y165" s="194" t="n"/>
      <c r="Z165" s="194" t="n"/>
    </row>
    <row r="166" ht="15" customHeight="1" s="195">
      <c r="A166" s="194" t="inlineStr">
        <is>
          <t>MARIA</t>
        </is>
      </c>
      <c r="B166" s="194" t="inlineStr">
        <is>
          <t>SETIEMBRE 2026</t>
        </is>
      </c>
      <c r="C166" s="377">
        <f>IFERROR(SUMPRODUCT((IF('SETIEMBRE 2026'!Y6:Y110&lt;&gt;"",'SETIEMBRE 2026'!Y6:Y110,'SETIEMBRE 2026'!I6:I110)="MARIA")*('SETIEMBRE 2026'!K6:K110="PETROLEO")*'SETIEMBRE 2026'!M6:M110),0)</f>
        <v/>
      </c>
      <c r="D166" s="377">
        <f>IFERROR(SUMPRODUCT((IF('SETIEMBRE 2026'!Y6:Y110&lt;&gt;"",'SETIEMBRE 2026'!Y6:Y110,'SETIEMBRE 2026'!I6:I110)="MARIA")*('SETIEMBRE 2026'!K6:K110="PETROLEO")*'SETIEMBRE 2026'!L6:L110*'SETIEMBRE 2026'!M6:M110),0)</f>
        <v/>
      </c>
      <c r="E166" s="377">
        <f>IFERROR(SUMPRODUCT((IF('SETIEMBRE 2026'!Y6:Y110&lt;&gt;"",'SETIEMBRE 2026'!Y6:Y110,'SETIEMBRE 2026'!I6:I110)="MARIA")*('SETIEMBRE 2026'!K6:K110="GASOLINA")*'SETIEMBRE 2026'!M6:M110),0)</f>
        <v/>
      </c>
      <c r="F166" s="377">
        <f>IFERROR(SUMPRODUCT((IF('SETIEMBRE 2026'!Y6:Y110&lt;&gt;"",'SETIEMBRE 2026'!Y6:Y110,'SETIEMBRE 2026'!I6:I110)="MARIA")*('SETIEMBRE 2026'!K6:K110="GASOLINA")*'SETIEMBRE 2026'!L6:L110*'SETIEMBRE 2026'!M6:M110),0)</f>
        <v/>
      </c>
      <c r="G166" s="194" t="n"/>
      <c r="H166" s="194" t="n"/>
      <c r="I166" s="194" t="n"/>
      <c r="J166" s="194" t="n"/>
      <c r="K166" s="194" t="n"/>
      <c r="L166" s="194" t="n"/>
      <c r="M166" s="194" t="n"/>
      <c r="N166" s="194" t="n"/>
      <c r="O166" s="194" t="n"/>
      <c r="P166" s="194" t="n"/>
      <c r="Q166" s="194" t="n"/>
      <c r="R166" s="194" t="n"/>
      <c r="S166" s="194" t="n"/>
      <c r="T166" s="194" t="n"/>
      <c r="U166" s="194" t="n"/>
      <c r="V166" s="194" t="n"/>
      <c r="W166" s="194" t="n"/>
      <c r="X166" s="194" t="n"/>
      <c r="Y166" s="194" t="n"/>
      <c r="Z166" s="194" t="n"/>
    </row>
    <row r="167" ht="15" customHeight="1" s="195">
      <c r="A167" s="194" t="inlineStr">
        <is>
          <t>MARIA</t>
        </is>
      </c>
      <c r="B167" s="194" t="inlineStr">
        <is>
          <t>OCTUBRE 2026</t>
        </is>
      </c>
      <c r="C167" s="377">
        <f>IFERROR(SUMPRODUCT((IF('OCTUBRE 2026'!Y6:Y110&lt;&gt;"",'OCTUBRE 2026'!Y6:Y110,'OCTUBRE 2026'!I6:I110)="MARIA")*('OCTUBRE 2026'!K6:K110="PETROLEO")*'OCTUBRE 2026'!M6:M110),0)</f>
        <v/>
      </c>
      <c r="D167" s="377">
        <f>IFERROR(SUMPRODUCT((IF('OCTUBRE 2026'!Y6:Y110&lt;&gt;"",'OCTUBRE 2026'!Y6:Y110,'OCTUBRE 2026'!I6:I110)="MARIA")*('OCTUBRE 2026'!K6:K110="PETROLEO")*'OCTUBRE 2026'!L6:L110*'OCTUBRE 2026'!M6:M110),0)</f>
        <v/>
      </c>
      <c r="E167" s="377">
        <f>IFERROR(SUMPRODUCT((IF('OCTUBRE 2026'!Y6:Y110&lt;&gt;"",'OCTUBRE 2026'!Y6:Y110,'OCTUBRE 2026'!I6:I110)="MARIA")*('OCTUBRE 2026'!K6:K110="GASOLINA")*'OCTUBRE 2026'!M6:M110),0)</f>
        <v/>
      </c>
      <c r="F167" s="377">
        <f>IFERROR(SUMPRODUCT((IF('OCTUBRE 2026'!Y6:Y110&lt;&gt;"",'OCTUBRE 2026'!Y6:Y110,'OCTUBRE 2026'!I6:I110)="MARIA")*('OCTUBRE 2026'!K6:K110="GASOLINA")*'OCTUBRE 2026'!L6:L110*'OCTUBRE 2026'!M6:M110),0)</f>
        <v/>
      </c>
      <c r="G167" s="194" t="n"/>
      <c r="H167" s="194" t="n"/>
      <c r="I167" s="194" t="n"/>
      <c r="J167" s="194" t="n"/>
      <c r="K167" s="194" t="n"/>
      <c r="L167" s="194" t="n"/>
      <c r="M167" s="194" t="n"/>
      <c r="N167" s="194" t="n"/>
      <c r="O167" s="194" t="n"/>
      <c r="P167" s="194" t="n"/>
      <c r="Q167" s="194" t="n"/>
      <c r="R167" s="194" t="n"/>
      <c r="S167" s="194" t="n"/>
      <c r="T167" s="194" t="n"/>
      <c r="U167" s="194" t="n"/>
      <c r="V167" s="194" t="n"/>
      <c r="W167" s="194" t="n"/>
      <c r="X167" s="194" t="n"/>
      <c r="Y167" s="194" t="n"/>
      <c r="Z167" s="194" t="n"/>
    </row>
    <row r="168" ht="15" customHeight="1" s="195">
      <c r="A168" s="194" t="inlineStr">
        <is>
          <t>MARIA</t>
        </is>
      </c>
      <c r="B168" s="194" t="inlineStr">
        <is>
          <t>NOVIEMBRE 2026</t>
        </is>
      </c>
      <c r="C168" s="377">
        <f>IFERROR(SUMPRODUCT((IF('NOVIEMBRE 2026'!Y6:Y110&lt;&gt;"",'NOVIEMBRE 2026'!Y6:Y110,'NOVIEMBRE 2026'!I6:I110)="MARIA")*('NOVIEMBRE 2026'!K6:K110="PETROLEO")*'NOVIEMBRE 2026'!M6:M110),0)</f>
        <v/>
      </c>
      <c r="D168" s="377">
        <f>IFERROR(SUMPRODUCT((IF('NOVIEMBRE 2026'!Y6:Y110&lt;&gt;"",'NOVIEMBRE 2026'!Y6:Y110,'NOVIEMBRE 2026'!I6:I110)="MARIA")*('NOVIEMBRE 2026'!K6:K110="PETROLEO")*'NOVIEMBRE 2026'!L6:L110*'NOVIEMBRE 2026'!M6:M110),0)</f>
        <v/>
      </c>
      <c r="E168" s="377">
        <f>IFERROR(SUMPRODUCT((IF('NOVIEMBRE 2026'!Y6:Y110&lt;&gt;"",'NOVIEMBRE 2026'!Y6:Y110,'NOVIEMBRE 2026'!I6:I110)="MARIA")*('NOVIEMBRE 2026'!K6:K110="GASOLINA")*'NOVIEMBRE 2026'!M6:M110),0)</f>
        <v/>
      </c>
      <c r="F168" s="377">
        <f>IFERROR(SUMPRODUCT((IF('NOVIEMBRE 2026'!Y6:Y110&lt;&gt;"",'NOVIEMBRE 2026'!Y6:Y110,'NOVIEMBRE 2026'!I6:I110)="MARIA")*('NOVIEMBRE 2026'!K6:K110="GASOLINA")*'NOVIEMBRE 2026'!L6:L110*'NOVIEMBRE 2026'!M6:M110),0)</f>
        <v/>
      </c>
      <c r="G168" s="194" t="n"/>
      <c r="H168" s="194" t="n"/>
      <c r="I168" s="194" t="n"/>
      <c r="J168" s="194" t="n"/>
      <c r="K168" s="194" t="n"/>
      <c r="L168" s="194" t="n"/>
      <c r="M168" s="194" t="n"/>
      <c r="N168" s="194" t="n"/>
      <c r="O168" s="194" t="n"/>
      <c r="P168" s="194" t="n"/>
      <c r="Q168" s="194" t="n"/>
      <c r="R168" s="194" t="n"/>
      <c r="S168" s="194" t="n"/>
      <c r="T168" s="194" t="n"/>
      <c r="U168" s="194" t="n"/>
      <c r="V168" s="194" t="n"/>
      <c r="W168" s="194" t="n"/>
      <c r="X168" s="194" t="n"/>
      <c r="Y168" s="194" t="n"/>
      <c r="Z168" s="194" t="n"/>
    </row>
    <row r="169" ht="15" customHeight="1" s="195">
      <c r="A169" s="194" t="inlineStr">
        <is>
          <t>MARIA</t>
        </is>
      </c>
      <c r="B169" s="194" t="inlineStr">
        <is>
          <t>DICIEMBRE 2026</t>
        </is>
      </c>
      <c r="C169" s="377">
        <f>IFERROR(SUMPRODUCT((IF('DICIEMBRE 2026'!Y6:Y110&lt;&gt;"",'DICIEMBRE 2026'!Y6:Y110,'DICIEMBRE 2026'!I6:I110)="MARIA")*('DICIEMBRE 2026'!K6:K110="PETROLEO")*'DICIEMBRE 2026'!M6:M110),0)</f>
        <v/>
      </c>
      <c r="D169" s="377">
        <f>IFERROR(SUMPRODUCT((IF('DICIEMBRE 2026'!Y6:Y110&lt;&gt;"",'DICIEMBRE 2026'!Y6:Y110,'DICIEMBRE 2026'!I6:I110)="MARIA")*('DICIEMBRE 2026'!K6:K110="PETROLEO")*'DICIEMBRE 2026'!L6:L110*'DICIEMBRE 2026'!M6:M110),0)</f>
        <v/>
      </c>
      <c r="E169" s="377">
        <f>IFERROR(SUMPRODUCT((IF('DICIEMBRE 2026'!Y6:Y110&lt;&gt;"",'DICIEMBRE 2026'!Y6:Y110,'DICIEMBRE 2026'!I6:I110)="MARIA")*('DICIEMBRE 2026'!K6:K110="GASOLINA")*'DICIEMBRE 2026'!M6:M110),0)</f>
        <v/>
      </c>
      <c r="F169" s="377">
        <f>IFERROR(SUMPRODUCT((IF('DICIEMBRE 2026'!Y6:Y110&lt;&gt;"",'DICIEMBRE 2026'!Y6:Y110,'DICIEMBRE 2026'!I6:I110)="MARIA")*('DICIEMBRE 2026'!K6:K110="GASOLINA")*'DICIEMBRE 2026'!L6:L110*'DICIEMBRE 2026'!M6:M110),0)</f>
        <v/>
      </c>
      <c r="G169" s="194" t="n"/>
      <c r="H169" s="194" t="n"/>
      <c r="I169" s="194" t="n"/>
      <c r="J169" s="194" t="n"/>
      <c r="K169" s="194" t="n"/>
      <c r="L169" s="194" t="n"/>
      <c r="M169" s="194" t="n"/>
      <c r="N169" s="194" t="n"/>
      <c r="O169" s="194" t="n"/>
      <c r="P169" s="194" t="n"/>
      <c r="Q169" s="194" t="n"/>
      <c r="R169" s="194" t="n"/>
      <c r="S169" s="194" t="n"/>
      <c r="T169" s="194" t="n"/>
      <c r="U169" s="194" t="n"/>
      <c r="V169" s="194" t="n"/>
      <c r="W169" s="194" t="n"/>
      <c r="X169" s="194" t="n"/>
      <c r="Y169" s="194" t="n"/>
      <c r="Z169" s="194" t="n"/>
    </row>
    <row r="170" ht="15" customHeight="1" s="195">
      <c r="A170" s="194" t="inlineStr">
        <is>
          <t>MARIA AUXILIADORA</t>
        </is>
      </c>
      <c r="B170" s="194" t="inlineStr">
        <is>
          <t>ENERO 2026</t>
        </is>
      </c>
      <c r="C170" s="377">
        <f>IFERROR(SUMPRODUCT((IF('ENERO 2026'!Y6:Y119&lt;&gt;"",'ENERO 2026'!Y6:Y119,'ENERO 2026'!I6:I119)="MARIA AUXILIADORA")*('ENERO 2026'!K6:K119="PETROLEO")*'ENERO 2026'!M6:M119),0)</f>
        <v/>
      </c>
      <c r="D170" s="377">
        <f>IFERROR(SUMPRODUCT((IF('ENERO 2026'!Y6:Y119&lt;&gt;"",'ENERO 2026'!Y6:Y119,'ENERO 2026'!I6:I119)="MARIA AUXILIADORA")*('ENERO 2026'!K6:K119="PETROLEO")*'ENERO 2026'!L6:L119*'ENERO 2026'!M6:M119),0)</f>
        <v/>
      </c>
      <c r="E170" s="377">
        <f>IFERROR(SUMPRODUCT((IF('ENERO 2026'!Y6:Y119&lt;&gt;"",'ENERO 2026'!Y6:Y119,'ENERO 2026'!I6:I119)="MARIA AUXILIADORA")*('ENERO 2026'!K6:K119="GASOLINA")*'ENERO 2026'!M6:M119),0)</f>
        <v/>
      </c>
      <c r="F170" s="377">
        <f>IFERROR(SUMPRODUCT((IF('ENERO 2026'!Y6:Y119&lt;&gt;"",'ENERO 2026'!Y6:Y119,'ENERO 2026'!I6:I119)="MARIA AUXILIADORA")*('ENERO 2026'!K6:K119="GASOLINA")*'ENERO 2026'!L6:L119*'ENERO 2026'!M6:M119),0)</f>
        <v/>
      </c>
      <c r="G170" s="194" t="n"/>
      <c r="H170" s="194" t="n"/>
      <c r="I170" s="194" t="n"/>
      <c r="J170" s="194" t="n"/>
      <c r="K170" s="194" t="n"/>
      <c r="L170" s="194" t="n"/>
      <c r="M170" s="194" t="n"/>
      <c r="N170" s="194" t="n"/>
      <c r="O170" s="194" t="n"/>
      <c r="P170" s="194" t="n"/>
      <c r="Q170" s="194" t="n"/>
      <c r="R170" s="194" t="n"/>
      <c r="S170" s="194" t="n"/>
      <c r="T170" s="194" t="n"/>
      <c r="U170" s="194" t="n"/>
      <c r="V170" s="194" t="n"/>
      <c r="W170" s="194" t="n"/>
      <c r="X170" s="194" t="n"/>
      <c r="Y170" s="194" t="n"/>
      <c r="Z170" s="194" t="n"/>
    </row>
    <row r="171" ht="15" customHeight="1" s="195">
      <c r="A171" s="194" t="inlineStr">
        <is>
          <t>MARIA AUXILIADORA</t>
        </is>
      </c>
      <c r="B171" s="194" t="inlineStr">
        <is>
          <t>FEBRERO 2026</t>
        </is>
      </c>
      <c r="C171" s="377">
        <f>IFERROR(SUMPRODUCT((IF('FEBRERO 2026'!Y6:Y124&lt;&gt;"",'FEBRERO 2026'!Y6:Y124,'FEBRERO 2026'!I6:I124)="MARIA AUXILIADORA")*('FEBRERO 2026'!K6:K124="PETROLEO")*'FEBRERO 2026'!M6:M124),0)</f>
        <v/>
      </c>
      <c r="D171" s="377">
        <f>IFERROR(SUMPRODUCT((IF('FEBRERO 2026'!Y6:Y124&lt;&gt;"",'FEBRERO 2026'!Y6:Y124,'FEBRERO 2026'!I6:I124)="MARIA AUXILIADORA")*('FEBRERO 2026'!K6:K124="PETROLEO")*'FEBRERO 2026'!L6:L124*'FEBRERO 2026'!M6:M124),0)</f>
        <v/>
      </c>
      <c r="E171" s="377">
        <f>IFERROR(SUMPRODUCT((IF('FEBRERO 2026'!Y6:Y124&lt;&gt;"",'FEBRERO 2026'!Y6:Y124,'FEBRERO 2026'!I6:I124)="MARIA AUXILIADORA")*('FEBRERO 2026'!K6:K124="GASOLINA")*'FEBRERO 2026'!M6:M124),0)</f>
        <v/>
      </c>
      <c r="F171" s="377">
        <f>IFERROR(SUMPRODUCT((IF('FEBRERO 2026'!Y6:Y124&lt;&gt;"",'FEBRERO 2026'!Y6:Y124,'FEBRERO 2026'!I6:I124)="MARIA AUXILIADORA")*('FEBRERO 2026'!K6:K124="GASOLINA")*'FEBRERO 2026'!L6:L124*'FEBRERO 2026'!M6:M124),0)</f>
        <v/>
      </c>
      <c r="G171" s="194" t="n"/>
      <c r="H171" s="194" t="n"/>
      <c r="I171" s="194" t="n"/>
      <c r="J171" s="194" t="n"/>
      <c r="K171" s="194" t="n"/>
      <c r="L171" s="194" t="n"/>
      <c r="M171" s="194" t="n"/>
      <c r="N171" s="194" t="n"/>
      <c r="O171" s="194" t="n"/>
      <c r="P171" s="194" t="n"/>
      <c r="Q171" s="194" t="n"/>
      <c r="R171" s="194" t="n"/>
      <c r="S171" s="194" t="n"/>
      <c r="T171" s="194" t="n"/>
      <c r="U171" s="194" t="n"/>
      <c r="V171" s="194" t="n"/>
      <c r="W171" s="194" t="n"/>
      <c r="X171" s="194" t="n"/>
      <c r="Y171" s="194" t="n"/>
      <c r="Z171" s="194" t="n"/>
    </row>
    <row r="172" ht="15" customHeight="1" s="195">
      <c r="A172" s="194" t="inlineStr">
        <is>
          <t>MARIA AUXILIADORA</t>
        </is>
      </c>
      <c r="B172" s="194" t="inlineStr">
        <is>
          <t>MARZO 2026</t>
        </is>
      </c>
      <c r="C172" s="377">
        <f>IFERROR(SUMPRODUCT((IF('MARZO 2026'!Y6:Y119&lt;&gt;"",'MARZO 2026'!Y6:Y119,'MARZO 2026'!I6:I119)="MARIA AUXILIADORA")*('MARZO 2026'!K6:K119="PETROLEO")*'MARZO 2026'!M6:M119),0)</f>
        <v/>
      </c>
      <c r="D172" s="377">
        <f>IFERROR(SUMPRODUCT((IF('MARZO 2026'!Y6:Y119&lt;&gt;"",'MARZO 2026'!Y6:Y119,'MARZO 2026'!I6:I119)="MARIA AUXILIADORA")*('MARZO 2026'!K6:K119="PETROLEO")*'MARZO 2026'!L6:L119*'MARZO 2026'!M6:M119),0)</f>
        <v/>
      </c>
      <c r="E172" s="377">
        <f>IFERROR(SUMPRODUCT((IF('MARZO 2026'!Y6:Y119&lt;&gt;"",'MARZO 2026'!Y6:Y119,'MARZO 2026'!I6:I119)="MARIA AUXILIADORA")*('MARZO 2026'!K6:K119="GASOLINA")*'MARZO 2026'!M6:M119),0)</f>
        <v/>
      </c>
      <c r="F172" s="377">
        <f>IFERROR(SUMPRODUCT((IF('MARZO 2026'!Y6:Y119&lt;&gt;"",'MARZO 2026'!Y6:Y119,'MARZO 2026'!I6:I119)="MARIA AUXILIADORA")*('MARZO 2026'!K6:K119="GASOLINA")*'MARZO 2026'!L6:L119*'MARZO 2026'!M6:M119),0)</f>
        <v/>
      </c>
      <c r="G172" s="194" t="n"/>
      <c r="H172" s="194" t="n"/>
      <c r="I172" s="194" t="n"/>
      <c r="J172" s="194" t="n"/>
      <c r="K172" s="194" t="n"/>
      <c r="L172" s="194" t="n"/>
      <c r="M172" s="194" t="n"/>
      <c r="N172" s="194" t="n"/>
      <c r="O172" s="194" t="n"/>
      <c r="P172" s="194" t="n"/>
      <c r="Q172" s="194" t="n"/>
      <c r="R172" s="194" t="n"/>
      <c r="S172" s="194" t="n"/>
      <c r="T172" s="194" t="n"/>
      <c r="U172" s="194" t="n"/>
      <c r="V172" s="194" t="n"/>
      <c r="W172" s="194" t="n"/>
      <c r="X172" s="194" t="n"/>
      <c r="Y172" s="194" t="n"/>
      <c r="Z172" s="194" t="n"/>
    </row>
    <row r="173" ht="15" customHeight="1" s="195">
      <c r="A173" s="194" t="inlineStr">
        <is>
          <t>MARIA AUXILIADORA</t>
        </is>
      </c>
      <c r="B173" s="194" t="inlineStr">
        <is>
          <t>ABRIL 2026</t>
        </is>
      </c>
      <c r="C173" s="377">
        <f>IFERROR(SUMPRODUCT((IF('ABRIL 2026'!Y6:Y119&lt;&gt;"",'ABRIL 2026'!Y6:Y119,'ABRIL 2026'!I6:I119)="MARIA AUXILIADORA")*('ABRIL 2026'!K6:K119="PETROLEO")*'ABRIL 2026'!M6:M119),0)</f>
        <v/>
      </c>
      <c r="D173" s="377">
        <f>IFERROR(SUMPRODUCT((IF('ABRIL 2026'!Y6:Y119&lt;&gt;"",'ABRIL 2026'!Y6:Y119,'ABRIL 2026'!I6:I119)="MARIA AUXILIADORA")*('ABRIL 2026'!K6:K119="PETROLEO")*'ABRIL 2026'!L6:L119*'ABRIL 2026'!M6:M119),0)</f>
        <v/>
      </c>
      <c r="E173" s="377">
        <f>IFERROR(SUMPRODUCT((IF('ABRIL 2026'!Y6:Y119&lt;&gt;"",'ABRIL 2026'!Y6:Y119,'ABRIL 2026'!I6:I119)="MARIA AUXILIADORA")*('ABRIL 2026'!K6:K119="GASOLINA")*'ABRIL 2026'!M6:M119),0)</f>
        <v/>
      </c>
      <c r="F173" s="377">
        <f>IFERROR(SUMPRODUCT((IF('ABRIL 2026'!Y6:Y119&lt;&gt;"",'ABRIL 2026'!Y6:Y119,'ABRIL 2026'!I6:I119)="MARIA AUXILIADORA")*('ABRIL 2026'!K6:K119="GASOLINA")*'ABRIL 2026'!L6:L119*'ABRIL 2026'!M6:M119),0)</f>
        <v/>
      </c>
      <c r="G173" s="194" t="n"/>
      <c r="H173" s="194" t="n"/>
      <c r="I173" s="194" t="n"/>
      <c r="J173" s="194" t="n"/>
      <c r="K173" s="194" t="n"/>
      <c r="L173" s="194" t="n"/>
      <c r="M173" s="194" t="n"/>
      <c r="N173" s="194" t="n"/>
      <c r="O173" s="194" t="n"/>
      <c r="P173" s="194" t="n"/>
      <c r="Q173" s="194" t="n"/>
      <c r="R173" s="194" t="n"/>
      <c r="S173" s="194" t="n"/>
      <c r="T173" s="194" t="n"/>
      <c r="U173" s="194" t="n"/>
      <c r="V173" s="194" t="n"/>
      <c r="W173" s="194" t="n"/>
      <c r="X173" s="194" t="n"/>
      <c r="Y173" s="194" t="n"/>
      <c r="Z173" s="194" t="n"/>
    </row>
    <row r="174" ht="15" customHeight="1" s="195">
      <c r="A174" s="194" t="inlineStr">
        <is>
          <t>MARIA AUXILIADORA</t>
        </is>
      </c>
      <c r="B174" s="194" t="inlineStr">
        <is>
          <t>MAYO 2026</t>
        </is>
      </c>
      <c r="C174" s="377">
        <f>IFERROR(SUMPRODUCT((IF('MAYO 2026'!Y6:Y110&lt;&gt;"",'MAYO 2026'!Y6:Y110,'MAYO 2026'!I6:I110)="MARIA AUXILIADORA")*('MAYO 2026'!K6:K110="PETROLEO")*'MAYO 2026'!M6:M110),0)</f>
        <v/>
      </c>
      <c r="D174" s="377">
        <f>IFERROR(SUMPRODUCT((IF('MAYO 2026'!Y6:Y110&lt;&gt;"",'MAYO 2026'!Y6:Y110,'MAYO 2026'!I6:I110)="MARIA AUXILIADORA")*('MAYO 2026'!K6:K110="PETROLEO")*'MAYO 2026'!L6:L110*'MAYO 2026'!M6:M110),0)</f>
        <v/>
      </c>
      <c r="E174" s="377">
        <f>IFERROR(SUMPRODUCT((IF('MAYO 2026'!Y6:Y110&lt;&gt;"",'MAYO 2026'!Y6:Y110,'MAYO 2026'!I6:I110)="MARIA AUXILIADORA")*('MAYO 2026'!K6:K110="GASOLINA")*'MAYO 2026'!M6:M110),0)</f>
        <v/>
      </c>
      <c r="F174" s="377">
        <f>IFERROR(SUMPRODUCT((IF('MAYO 2026'!Y6:Y110&lt;&gt;"",'MAYO 2026'!Y6:Y110,'MAYO 2026'!I6:I110)="MARIA AUXILIADORA")*('MAYO 2026'!K6:K110="GASOLINA")*'MAYO 2026'!L6:L110*'MAYO 2026'!M6:M110),0)</f>
        <v/>
      </c>
      <c r="G174" s="194" t="n"/>
      <c r="H174" s="194" t="n"/>
      <c r="I174" s="194" t="n"/>
      <c r="J174" s="194" t="n"/>
      <c r="K174" s="194" t="n"/>
      <c r="L174" s="194" t="n"/>
      <c r="M174" s="194" t="n"/>
      <c r="N174" s="194" t="n"/>
      <c r="O174" s="194" t="n"/>
      <c r="P174" s="194" t="n"/>
      <c r="Q174" s="194" t="n"/>
      <c r="R174" s="194" t="n"/>
      <c r="S174" s="194" t="n"/>
      <c r="T174" s="194" t="n"/>
      <c r="U174" s="194" t="n"/>
      <c r="V174" s="194" t="n"/>
      <c r="W174" s="194" t="n"/>
      <c r="X174" s="194" t="n"/>
      <c r="Y174" s="194" t="n"/>
      <c r="Z174" s="194" t="n"/>
    </row>
    <row r="175" ht="15" customHeight="1" s="195">
      <c r="A175" s="194" t="inlineStr">
        <is>
          <t>MARIA AUXILIADORA</t>
        </is>
      </c>
      <c r="B175" s="194" t="inlineStr">
        <is>
          <t>JUNIO 2026</t>
        </is>
      </c>
      <c r="C175" s="377">
        <f>IFERROR(SUMPRODUCT((IF('JUNIO 2026'!Y6:Y110&lt;&gt;"",'JUNIO 2026'!Y6:Y110,'JUNIO 2026'!I6:I110)="MARIA AUXILIADORA")*('JUNIO 2026'!K6:K110="PETROLEO")*'JUNIO 2026'!M6:M110),0)</f>
        <v/>
      </c>
      <c r="D175" s="377">
        <f>IFERROR(SUMPRODUCT((IF('JUNIO 2026'!Y6:Y110&lt;&gt;"",'JUNIO 2026'!Y6:Y110,'JUNIO 2026'!I6:I110)="MARIA AUXILIADORA")*('JUNIO 2026'!K6:K110="PETROLEO")*'JUNIO 2026'!L6:L110*'JUNIO 2026'!M6:M110),0)</f>
        <v/>
      </c>
      <c r="E175" s="377">
        <f>IFERROR(SUMPRODUCT((IF('JUNIO 2026'!Y6:Y110&lt;&gt;"",'JUNIO 2026'!Y6:Y110,'JUNIO 2026'!I6:I110)="MARIA AUXILIADORA")*('JUNIO 2026'!K6:K110="GASOLINA")*'JUNIO 2026'!M6:M110),0)</f>
        <v/>
      </c>
      <c r="F175" s="377">
        <f>IFERROR(SUMPRODUCT((IF('JUNIO 2026'!Y6:Y110&lt;&gt;"",'JUNIO 2026'!Y6:Y110,'JUNIO 2026'!I6:I110)="MARIA AUXILIADORA")*('JUNIO 2026'!K6:K110="GASOLINA")*'JUNIO 2026'!L6:L110*'JUNIO 2026'!M6:M110),0)</f>
        <v/>
      </c>
      <c r="G175" s="194" t="n"/>
      <c r="H175" s="194" t="n"/>
      <c r="I175" s="194" t="n"/>
      <c r="J175" s="194" t="n"/>
      <c r="K175" s="194" t="n"/>
      <c r="L175" s="194" t="n"/>
      <c r="M175" s="194" t="n"/>
      <c r="N175" s="194" t="n"/>
      <c r="O175" s="194" t="n"/>
      <c r="P175" s="194" t="n"/>
      <c r="Q175" s="194" t="n"/>
      <c r="R175" s="194" t="n"/>
      <c r="S175" s="194" t="n"/>
      <c r="T175" s="194" t="n"/>
      <c r="U175" s="194" t="n"/>
      <c r="V175" s="194" t="n"/>
      <c r="W175" s="194" t="n"/>
      <c r="X175" s="194" t="n"/>
      <c r="Y175" s="194" t="n"/>
      <c r="Z175" s="194" t="n"/>
    </row>
    <row r="176" ht="15" customHeight="1" s="195">
      <c r="A176" s="194" t="inlineStr">
        <is>
          <t>MARIA AUXILIADORA</t>
        </is>
      </c>
      <c r="B176" s="194" t="inlineStr">
        <is>
          <t>JULIO 2026</t>
        </is>
      </c>
      <c r="C176" s="377">
        <f>IFERROR(SUMPRODUCT((IF('JULIO 2026'!Y6:Y110&lt;&gt;"",'JULIO 2026'!Y6:Y110,'JULIO 2026'!I6:I110)="MARIA AUXILIADORA")*('JULIO 2026'!K6:K110="PETROLEO")*'JULIO 2026'!M6:M110),0)</f>
        <v/>
      </c>
      <c r="D176" s="377">
        <f>IFERROR(SUMPRODUCT((IF('JULIO 2026'!Y6:Y110&lt;&gt;"",'JULIO 2026'!Y6:Y110,'JULIO 2026'!I6:I110)="MARIA AUXILIADORA")*('JULIO 2026'!K6:K110="PETROLEO")*'JULIO 2026'!L6:L110*'JULIO 2026'!M6:M110),0)</f>
        <v/>
      </c>
      <c r="E176" s="377">
        <f>IFERROR(SUMPRODUCT((IF('JULIO 2026'!Y6:Y110&lt;&gt;"",'JULIO 2026'!Y6:Y110,'JULIO 2026'!I6:I110)="MARIA AUXILIADORA")*('JULIO 2026'!K6:K110="GASOLINA")*'JULIO 2026'!M6:M110),0)</f>
        <v/>
      </c>
      <c r="F176" s="377">
        <f>IFERROR(SUMPRODUCT((IF('JULIO 2026'!Y6:Y110&lt;&gt;"",'JULIO 2026'!Y6:Y110,'JULIO 2026'!I6:I110)="MARIA AUXILIADORA")*('JULIO 2026'!K6:K110="GASOLINA")*'JULIO 2026'!L6:L110*'JULIO 2026'!M6:M110),0)</f>
        <v/>
      </c>
      <c r="G176" s="194" t="n"/>
      <c r="H176" s="194" t="n"/>
      <c r="I176" s="194" t="n"/>
      <c r="J176" s="194" t="n"/>
      <c r="K176" s="194" t="n"/>
      <c r="L176" s="194" t="n"/>
      <c r="M176" s="194" t="n"/>
      <c r="N176" s="194" t="n"/>
      <c r="O176" s="194" t="n"/>
      <c r="P176" s="194" t="n"/>
      <c r="Q176" s="194" t="n"/>
      <c r="R176" s="194" t="n"/>
      <c r="S176" s="194" t="n"/>
      <c r="T176" s="194" t="n"/>
      <c r="U176" s="194" t="n"/>
      <c r="V176" s="194" t="n"/>
      <c r="W176" s="194" t="n"/>
      <c r="X176" s="194" t="n"/>
      <c r="Y176" s="194" t="n"/>
      <c r="Z176" s="194" t="n"/>
    </row>
    <row r="177" ht="15" customHeight="1" s="195">
      <c r="A177" s="194" t="inlineStr">
        <is>
          <t>MARIA AUXILIADORA</t>
        </is>
      </c>
      <c r="B177" s="194" t="inlineStr">
        <is>
          <t>AGOSTO 2026</t>
        </is>
      </c>
      <c r="C177" s="377">
        <f>IFERROR(SUMPRODUCT((IF('AGOSTO 2026'!Y6:Y110&lt;&gt;"",'AGOSTO 2026'!Y6:Y110,'AGOSTO 2026'!I6:I110)="MARIA AUXILIADORA")*('AGOSTO 2026'!K6:K110="PETROLEO")*'AGOSTO 2026'!M6:M110),0)</f>
        <v/>
      </c>
      <c r="D177" s="377">
        <f>IFERROR(SUMPRODUCT((IF('AGOSTO 2026'!Y6:Y110&lt;&gt;"",'AGOSTO 2026'!Y6:Y110,'AGOSTO 2026'!I6:I110)="MARIA AUXILIADORA")*('AGOSTO 2026'!K6:K110="PETROLEO")*'AGOSTO 2026'!L6:L110*'AGOSTO 2026'!M6:M110),0)</f>
        <v/>
      </c>
      <c r="E177" s="377">
        <f>IFERROR(SUMPRODUCT((IF('AGOSTO 2026'!Y6:Y110&lt;&gt;"",'AGOSTO 2026'!Y6:Y110,'AGOSTO 2026'!I6:I110)="MARIA AUXILIADORA")*('AGOSTO 2026'!K6:K110="GASOLINA")*'AGOSTO 2026'!M6:M110),0)</f>
        <v/>
      </c>
      <c r="F177" s="377">
        <f>IFERROR(SUMPRODUCT((IF('AGOSTO 2026'!Y6:Y110&lt;&gt;"",'AGOSTO 2026'!Y6:Y110,'AGOSTO 2026'!I6:I110)="MARIA AUXILIADORA")*('AGOSTO 2026'!K6:K110="GASOLINA")*'AGOSTO 2026'!L6:L110*'AGOSTO 2026'!M6:M110),0)</f>
        <v/>
      </c>
      <c r="G177" s="194" t="n"/>
      <c r="H177" s="194" t="n"/>
      <c r="I177" s="194" t="n"/>
      <c r="J177" s="194" t="n"/>
      <c r="K177" s="194" t="n"/>
      <c r="L177" s="194" t="n"/>
      <c r="M177" s="194" t="n"/>
      <c r="N177" s="194" t="n"/>
      <c r="O177" s="194" t="n"/>
      <c r="P177" s="194" t="n"/>
      <c r="Q177" s="194" t="n"/>
      <c r="R177" s="194" t="n"/>
      <c r="S177" s="194" t="n"/>
      <c r="T177" s="194" t="n"/>
      <c r="U177" s="194" t="n"/>
      <c r="V177" s="194" t="n"/>
      <c r="W177" s="194" t="n"/>
      <c r="X177" s="194" t="n"/>
      <c r="Y177" s="194" t="n"/>
      <c r="Z177" s="194" t="n"/>
    </row>
    <row r="178" ht="15" customHeight="1" s="195">
      <c r="A178" s="194" t="inlineStr">
        <is>
          <t>MARIA AUXILIADORA</t>
        </is>
      </c>
      <c r="B178" s="194" t="inlineStr">
        <is>
          <t>SETIEMBRE 2026</t>
        </is>
      </c>
      <c r="C178" s="377">
        <f>IFERROR(SUMPRODUCT((IF('SETIEMBRE 2026'!Y6:Y110&lt;&gt;"",'SETIEMBRE 2026'!Y6:Y110,'SETIEMBRE 2026'!I6:I110)="MARIA AUXILIADORA")*('SETIEMBRE 2026'!K6:K110="PETROLEO")*'SETIEMBRE 2026'!M6:M110),0)</f>
        <v/>
      </c>
      <c r="D178" s="377">
        <f>IFERROR(SUMPRODUCT((IF('SETIEMBRE 2026'!Y6:Y110&lt;&gt;"",'SETIEMBRE 2026'!Y6:Y110,'SETIEMBRE 2026'!I6:I110)="MARIA AUXILIADORA")*('SETIEMBRE 2026'!K6:K110="PETROLEO")*'SETIEMBRE 2026'!L6:L110*'SETIEMBRE 2026'!M6:M110),0)</f>
        <v/>
      </c>
      <c r="E178" s="377">
        <f>IFERROR(SUMPRODUCT((IF('SETIEMBRE 2026'!Y6:Y110&lt;&gt;"",'SETIEMBRE 2026'!Y6:Y110,'SETIEMBRE 2026'!I6:I110)="MARIA AUXILIADORA")*('SETIEMBRE 2026'!K6:K110="GASOLINA")*'SETIEMBRE 2026'!M6:M110),0)</f>
        <v/>
      </c>
      <c r="F178" s="377">
        <f>IFERROR(SUMPRODUCT((IF('SETIEMBRE 2026'!Y6:Y110&lt;&gt;"",'SETIEMBRE 2026'!Y6:Y110,'SETIEMBRE 2026'!I6:I110)="MARIA AUXILIADORA")*('SETIEMBRE 2026'!K6:K110="GASOLINA")*'SETIEMBRE 2026'!L6:L110*'SETIEMBRE 2026'!M6:M110),0)</f>
        <v/>
      </c>
      <c r="G178" s="194" t="n"/>
      <c r="H178" s="194" t="n"/>
      <c r="I178" s="194" t="n"/>
      <c r="J178" s="194" t="n"/>
      <c r="K178" s="194" t="n"/>
      <c r="L178" s="194" t="n"/>
      <c r="M178" s="194" t="n"/>
      <c r="N178" s="194" t="n"/>
      <c r="O178" s="194" t="n"/>
      <c r="P178" s="194" t="n"/>
      <c r="Q178" s="194" t="n"/>
      <c r="R178" s="194" t="n"/>
      <c r="S178" s="194" t="n"/>
      <c r="T178" s="194" t="n"/>
      <c r="U178" s="194" t="n"/>
      <c r="V178" s="194" t="n"/>
      <c r="W178" s="194" t="n"/>
      <c r="X178" s="194" t="n"/>
      <c r="Y178" s="194" t="n"/>
      <c r="Z178" s="194" t="n"/>
    </row>
    <row r="179" ht="15" customHeight="1" s="195">
      <c r="A179" s="194" t="inlineStr">
        <is>
          <t>MARIA AUXILIADORA</t>
        </is>
      </c>
      <c r="B179" s="194" t="inlineStr">
        <is>
          <t>OCTUBRE 2026</t>
        </is>
      </c>
      <c r="C179" s="377">
        <f>IFERROR(SUMPRODUCT((IF('OCTUBRE 2026'!Y6:Y110&lt;&gt;"",'OCTUBRE 2026'!Y6:Y110,'OCTUBRE 2026'!I6:I110)="MARIA AUXILIADORA")*('OCTUBRE 2026'!K6:K110="PETROLEO")*'OCTUBRE 2026'!M6:M110),0)</f>
        <v/>
      </c>
      <c r="D179" s="377">
        <f>IFERROR(SUMPRODUCT((IF('OCTUBRE 2026'!Y6:Y110&lt;&gt;"",'OCTUBRE 2026'!Y6:Y110,'OCTUBRE 2026'!I6:I110)="MARIA AUXILIADORA")*('OCTUBRE 2026'!K6:K110="PETROLEO")*'OCTUBRE 2026'!L6:L110*'OCTUBRE 2026'!M6:M110),0)</f>
        <v/>
      </c>
      <c r="E179" s="377">
        <f>IFERROR(SUMPRODUCT((IF('OCTUBRE 2026'!Y6:Y110&lt;&gt;"",'OCTUBRE 2026'!Y6:Y110,'OCTUBRE 2026'!I6:I110)="MARIA AUXILIADORA")*('OCTUBRE 2026'!K6:K110="GASOLINA")*'OCTUBRE 2026'!M6:M110),0)</f>
        <v/>
      </c>
      <c r="F179" s="377">
        <f>IFERROR(SUMPRODUCT((IF('OCTUBRE 2026'!Y6:Y110&lt;&gt;"",'OCTUBRE 2026'!Y6:Y110,'OCTUBRE 2026'!I6:I110)="MARIA AUXILIADORA")*('OCTUBRE 2026'!K6:K110="GASOLINA")*'OCTUBRE 2026'!L6:L110*'OCTUBRE 2026'!M6:M110),0)</f>
        <v/>
      </c>
      <c r="G179" s="194" t="n"/>
      <c r="H179" s="194" t="n"/>
      <c r="I179" s="194" t="n"/>
      <c r="J179" s="194" t="n"/>
      <c r="K179" s="194" t="n"/>
      <c r="L179" s="194" t="n"/>
      <c r="M179" s="194" t="n"/>
      <c r="N179" s="194" t="n"/>
      <c r="O179" s="194" t="n"/>
      <c r="P179" s="194" t="n"/>
      <c r="Q179" s="194" t="n"/>
      <c r="R179" s="194" t="n"/>
      <c r="S179" s="194" t="n"/>
      <c r="T179" s="194" t="n"/>
      <c r="U179" s="194" t="n"/>
      <c r="V179" s="194" t="n"/>
      <c r="W179" s="194" t="n"/>
      <c r="X179" s="194" t="n"/>
      <c r="Y179" s="194" t="n"/>
      <c r="Z179" s="194" t="n"/>
    </row>
    <row r="180" ht="15" customHeight="1" s="195">
      <c r="A180" s="194" t="inlineStr">
        <is>
          <t>MARIA AUXILIADORA</t>
        </is>
      </c>
      <c r="B180" s="194" t="inlineStr">
        <is>
          <t>NOVIEMBRE 2026</t>
        </is>
      </c>
      <c r="C180" s="377">
        <f>IFERROR(SUMPRODUCT((IF('NOVIEMBRE 2026'!Y6:Y110&lt;&gt;"",'NOVIEMBRE 2026'!Y6:Y110,'NOVIEMBRE 2026'!I6:I110)="MARIA AUXILIADORA")*('NOVIEMBRE 2026'!K6:K110="PETROLEO")*'NOVIEMBRE 2026'!M6:M110),0)</f>
        <v/>
      </c>
      <c r="D180" s="377">
        <f>IFERROR(SUMPRODUCT((IF('NOVIEMBRE 2026'!Y6:Y110&lt;&gt;"",'NOVIEMBRE 2026'!Y6:Y110,'NOVIEMBRE 2026'!I6:I110)="MARIA AUXILIADORA")*('NOVIEMBRE 2026'!K6:K110="PETROLEO")*'NOVIEMBRE 2026'!L6:L110*'NOVIEMBRE 2026'!M6:M110),0)</f>
        <v/>
      </c>
      <c r="E180" s="377">
        <f>IFERROR(SUMPRODUCT((IF('NOVIEMBRE 2026'!Y6:Y110&lt;&gt;"",'NOVIEMBRE 2026'!Y6:Y110,'NOVIEMBRE 2026'!I6:I110)="MARIA AUXILIADORA")*('NOVIEMBRE 2026'!K6:K110="GASOLINA")*'NOVIEMBRE 2026'!M6:M110),0)</f>
        <v/>
      </c>
      <c r="F180" s="377">
        <f>IFERROR(SUMPRODUCT((IF('NOVIEMBRE 2026'!Y6:Y110&lt;&gt;"",'NOVIEMBRE 2026'!Y6:Y110,'NOVIEMBRE 2026'!I6:I110)="MARIA AUXILIADORA")*('NOVIEMBRE 2026'!K6:K110="GASOLINA")*'NOVIEMBRE 2026'!L6:L110*'NOVIEMBRE 2026'!M6:M110),0)</f>
        <v/>
      </c>
      <c r="G180" s="194" t="n"/>
      <c r="H180" s="194" t="n"/>
      <c r="I180" s="194" t="n"/>
      <c r="J180" s="194" t="n"/>
      <c r="K180" s="194" t="n"/>
      <c r="L180" s="194" t="n"/>
      <c r="M180" s="194" t="n"/>
      <c r="N180" s="194" t="n"/>
      <c r="O180" s="194" t="n"/>
      <c r="P180" s="194" t="n"/>
      <c r="Q180" s="194" t="n"/>
      <c r="R180" s="194" t="n"/>
      <c r="S180" s="194" t="n"/>
      <c r="T180" s="194" t="n"/>
      <c r="U180" s="194" t="n"/>
      <c r="V180" s="194" t="n"/>
      <c r="W180" s="194" t="n"/>
      <c r="X180" s="194" t="n"/>
      <c r="Y180" s="194" t="n"/>
      <c r="Z180" s="194" t="n"/>
    </row>
    <row r="181" ht="15" customHeight="1" s="195">
      <c r="A181" s="194" t="inlineStr">
        <is>
          <t>MARIA AUXILIADORA</t>
        </is>
      </c>
      <c r="B181" s="194" t="inlineStr">
        <is>
          <t>DICIEMBRE 2026</t>
        </is>
      </c>
      <c r="C181" s="377">
        <f>IFERROR(SUMPRODUCT((IF('DICIEMBRE 2026'!Y6:Y110&lt;&gt;"",'DICIEMBRE 2026'!Y6:Y110,'DICIEMBRE 2026'!I6:I110)="MARIA AUXILIADORA")*('DICIEMBRE 2026'!K6:K110="PETROLEO")*'DICIEMBRE 2026'!M6:M110),0)</f>
        <v/>
      </c>
      <c r="D181" s="377">
        <f>IFERROR(SUMPRODUCT((IF('DICIEMBRE 2026'!Y6:Y110&lt;&gt;"",'DICIEMBRE 2026'!Y6:Y110,'DICIEMBRE 2026'!I6:I110)="MARIA AUXILIADORA")*('DICIEMBRE 2026'!K6:K110="PETROLEO")*'DICIEMBRE 2026'!L6:L110*'DICIEMBRE 2026'!M6:M110),0)</f>
        <v/>
      </c>
      <c r="E181" s="377">
        <f>IFERROR(SUMPRODUCT((IF('DICIEMBRE 2026'!Y6:Y110&lt;&gt;"",'DICIEMBRE 2026'!Y6:Y110,'DICIEMBRE 2026'!I6:I110)="MARIA AUXILIADORA")*('DICIEMBRE 2026'!K6:K110="GASOLINA")*'DICIEMBRE 2026'!M6:M110),0)</f>
        <v/>
      </c>
      <c r="F181" s="377">
        <f>IFERROR(SUMPRODUCT((IF('DICIEMBRE 2026'!Y6:Y110&lt;&gt;"",'DICIEMBRE 2026'!Y6:Y110,'DICIEMBRE 2026'!I6:I110)="MARIA AUXILIADORA")*('DICIEMBRE 2026'!K6:K110="GASOLINA")*'DICIEMBRE 2026'!L6:L110*'DICIEMBRE 2026'!M6:M110),0)</f>
        <v/>
      </c>
      <c r="G181" s="194" t="n"/>
      <c r="H181" s="194" t="n"/>
      <c r="I181" s="194" t="n"/>
      <c r="J181" s="194" t="n"/>
      <c r="K181" s="194" t="n"/>
      <c r="L181" s="194" t="n"/>
      <c r="M181" s="194" t="n"/>
      <c r="N181" s="194" t="n"/>
      <c r="O181" s="194" t="n"/>
      <c r="P181" s="194" t="n"/>
      <c r="Q181" s="194" t="n"/>
      <c r="R181" s="194" t="n"/>
      <c r="S181" s="194" t="n"/>
      <c r="T181" s="194" t="n"/>
      <c r="U181" s="194" t="n"/>
      <c r="V181" s="194" t="n"/>
      <c r="W181" s="194" t="n"/>
      <c r="X181" s="194" t="n"/>
      <c r="Y181" s="194" t="n"/>
      <c r="Z181" s="194" t="n"/>
    </row>
    <row r="182" ht="15" customHeight="1" s="195">
      <c r="A182" s="194" t="inlineStr">
        <is>
          <t>MARISCAL BENAVIDES</t>
        </is>
      </c>
      <c r="B182" s="194" t="inlineStr">
        <is>
          <t>ENERO 2026</t>
        </is>
      </c>
      <c r="C182" s="377">
        <f>IFERROR(SUMPRODUCT((IF('ENERO 2026'!Y6:Y119&lt;&gt;"",'ENERO 2026'!Y6:Y119,'ENERO 2026'!I6:I119)="MARISCAL BENAVIDES")*('ENERO 2026'!K6:K119="PETROLEO")*'ENERO 2026'!M6:M119),0)</f>
        <v/>
      </c>
      <c r="D182" s="377">
        <f>IFERROR(SUMPRODUCT((IF('ENERO 2026'!Y6:Y119&lt;&gt;"",'ENERO 2026'!Y6:Y119,'ENERO 2026'!I6:I119)="MARISCAL BENAVIDES")*('ENERO 2026'!K6:K119="PETROLEO")*'ENERO 2026'!L6:L119*'ENERO 2026'!M6:M119),0)</f>
        <v/>
      </c>
      <c r="E182" s="377">
        <f>IFERROR(SUMPRODUCT((IF('ENERO 2026'!Y6:Y119&lt;&gt;"",'ENERO 2026'!Y6:Y119,'ENERO 2026'!I6:I119)="MARISCAL BENAVIDES")*('ENERO 2026'!K6:K119="GASOLINA")*'ENERO 2026'!M6:M119),0)</f>
        <v/>
      </c>
      <c r="F182" s="377">
        <f>IFERROR(SUMPRODUCT((IF('ENERO 2026'!Y6:Y119&lt;&gt;"",'ENERO 2026'!Y6:Y119,'ENERO 2026'!I6:I119)="MARISCAL BENAVIDES")*('ENERO 2026'!K6:K119="GASOLINA")*'ENERO 2026'!L6:L119*'ENERO 2026'!M6:M119),0)</f>
        <v/>
      </c>
      <c r="G182" s="194" t="n"/>
      <c r="H182" s="194" t="n"/>
      <c r="I182" s="194" t="n"/>
      <c r="J182" s="194" t="n"/>
      <c r="K182" s="194" t="n"/>
      <c r="L182" s="194" t="n"/>
      <c r="M182" s="194" t="n"/>
      <c r="N182" s="194" t="n"/>
      <c r="O182" s="194" t="n"/>
      <c r="P182" s="194" t="n"/>
      <c r="Q182" s="194" t="n"/>
      <c r="R182" s="194" t="n"/>
      <c r="S182" s="194" t="n"/>
      <c r="T182" s="194" t="n"/>
      <c r="U182" s="194" t="n"/>
      <c r="V182" s="194" t="n"/>
      <c r="W182" s="194" t="n"/>
      <c r="X182" s="194" t="n"/>
      <c r="Y182" s="194" t="n"/>
      <c r="Z182" s="194" t="n"/>
    </row>
    <row r="183" ht="15" customHeight="1" s="195">
      <c r="A183" s="194" t="inlineStr">
        <is>
          <t>MARISCAL BENAVIDES</t>
        </is>
      </c>
      <c r="B183" s="194" t="inlineStr">
        <is>
          <t>FEBRERO 2026</t>
        </is>
      </c>
      <c r="C183" s="377">
        <f>IFERROR(SUMPRODUCT((IF('FEBRERO 2026'!Y6:Y124&lt;&gt;"",'FEBRERO 2026'!Y6:Y124,'FEBRERO 2026'!I6:I124)="MARISCAL BENAVIDES")*('FEBRERO 2026'!K6:K124="PETROLEO")*'FEBRERO 2026'!M6:M124),0)</f>
        <v/>
      </c>
      <c r="D183" s="377">
        <f>IFERROR(SUMPRODUCT((IF('FEBRERO 2026'!Y6:Y124&lt;&gt;"",'FEBRERO 2026'!Y6:Y124,'FEBRERO 2026'!I6:I124)="MARISCAL BENAVIDES")*('FEBRERO 2026'!K6:K124="PETROLEO")*'FEBRERO 2026'!L6:L124*'FEBRERO 2026'!M6:M124),0)</f>
        <v/>
      </c>
      <c r="E183" s="377">
        <f>IFERROR(SUMPRODUCT((IF('FEBRERO 2026'!Y6:Y124&lt;&gt;"",'FEBRERO 2026'!Y6:Y124,'FEBRERO 2026'!I6:I124)="MARISCAL BENAVIDES")*('FEBRERO 2026'!K6:K124="GASOLINA")*'FEBRERO 2026'!M6:M124),0)</f>
        <v/>
      </c>
      <c r="F183" s="377">
        <f>IFERROR(SUMPRODUCT((IF('FEBRERO 2026'!Y6:Y124&lt;&gt;"",'FEBRERO 2026'!Y6:Y124,'FEBRERO 2026'!I6:I124)="MARISCAL BENAVIDES")*('FEBRERO 2026'!K6:K124="GASOLINA")*'FEBRERO 2026'!L6:L124*'FEBRERO 2026'!M6:M124),0)</f>
        <v/>
      </c>
      <c r="G183" s="194" t="n"/>
      <c r="H183" s="194" t="n"/>
      <c r="I183" s="194" t="n"/>
      <c r="J183" s="194" t="n"/>
      <c r="K183" s="194" t="n"/>
      <c r="L183" s="194" t="n"/>
      <c r="M183" s="194" t="n"/>
      <c r="N183" s="194" t="n"/>
      <c r="O183" s="194" t="n"/>
      <c r="P183" s="194" t="n"/>
      <c r="Q183" s="194" t="n"/>
      <c r="R183" s="194" t="n"/>
      <c r="S183" s="194" t="n"/>
      <c r="T183" s="194" t="n"/>
      <c r="U183" s="194" t="n"/>
      <c r="V183" s="194" t="n"/>
      <c r="W183" s="194" t="n"/>
      <c r="X183" s="194" t="n"/>
      <c r="Y183" s="194" t="n"/>
      <c r="Z183" s="194" t="n"/>
    </row>
    <row r="184" ht="15" customHeight="1" s="195">
      <c r="A184" s="194" t="inlineStr">
        <is>
          <t>MARISCAL BENAVIDES</t>
        </is>
      </c>
      <c r="B184" s="194" t="inlineStr">
        <is>
          <t>MARZO 2026</t>
        </is>
      </c>
      <c r="C184" s="377">
        <f>IFERROR(SUMPRODUCT((IF('MARZO 2026'!Y6:Y119&lt;&gt;"",'MARZO 2026'!Y6:Y119,'MARZO 2026'!I6:I119)="MARISCAL BENAVIDES")*('MARZO 2026'!K6:K119="PETROLEO")*'MARZO 2026'!M6:M119),0)</f>
        <v/>
      </c>
      <c r="D184" s="377">
        <f>IFERROR(SUMPRODUCT((IF('MARZO 2026'!Y6:Y119&lt;&gt;"",'MARZO 2026'!Y6:Y119,'MARZO 2026'!I6:I119)="MARISCAL BENAVIDES")*('MARZO 2026'!K6:K119="PETROLEO")*'MARZO 2026'!L6:L119*'MARZO 2026'!M6:M119),0)</f>
        <v/>
      </c>
      <c r="E184" s="377">
        <f>IFERROR(SUMPRODUCT((IF('MARZO 2026'!Y6:Y119&lt;&gt;"",'MARZO 2026'!Y6:Y119,'MARZO 2026'!I6:I119)="MARISCAL BENAVIDES")*('MARZO 2026'!K6:K119="GASOLINA")*'MARZO 2026'!M6:M119),0)</f>
        <v/>
      </c>
      <c r="F184" s="377">
        <f>IFERROR(SUMPRODUCT((IF('MARZO 2026'!Y6:Y119&lt;&gt;"",'MARZO 2026'!Y6:Y119,'MARZO 2026'!I6:I119)="MARISCAL BENAVIDES")*('MARZO 2026'!K6:K119="GASOLINA")*'MARZO 2026'!L6:L119*'MARZO 2026'!M6:M119),0)</f>
        <v/>
      </c>
      <c r="G184" s="194" t="n"/>
      <c r="H184" s="194" t="n"/>
      <c r="I184" s="194" t="n"/>
      <c r="J184" s="194" t="n"/>
      <c r="K184" s="194" t="n"/>
      <c r="L184" s="194" t="n"/>
      <c r="M184" s="194" t="n"/>
      <c r="N184" s="194" t="n"/>
      <c r="O184" s="194" t="n"/>
      <c r="P184" s="194" t="n"/>
      <c r="Q184" s="194" t="n"/>
      <c r="R184" s="194" t="n"/>
      <c r="S184" s="194" t="n"/>
      <c r="T184" s="194" t="n"/>
      <c r="U184" s="194" t="n"/>
      <c r="V184" s="194" t="n"/>
      <c r="W184" s="194" t="n"/>
      <c r="X184" s="194" t="n"/>
      <c r="Y184" s="194" t="n"/>
      <c r="Z184" s="194" t="n"/>
    </row>
    <row r="185" ht="15" customHeight="1" s="195">
      <c r="A185" s="194" t="inlineStr">
        <is>
          <t>MARISCAL BENAVIDES</t>
        </is>
      </c>
      <c r="B185" s="194" t="inlineStr">
        <is>
          <t>ABRIL 2026</t>
        </is>
      </c>
      <c r="C185" s="377">
        <f>IFERROR(SUMPRODUCT((IF('ABRIL 2026'!Y6:Y119&lt;&gt;"",'ABRIL 2026'!Y6:Y119,'ABRIL 2026'!I6:I119)="MARISCAL BENAVIDES")*('ABRIL 2026'!K6:K119="PETROLEO")*'ABRIL 2026'!M6:M119),0)</f>
        <v/>
      </c>
      <c r="D185" s="377">
        <f>IFERROR(SUMPRODUCT((IF('ABRIL 2026'!Y6:Y119&lt;&gt;"",'ABRIL 2026'!Y6:Y119,'ABRIL 2026'!I6:I119)="MARISCAL BENAVIDES")*('ABRIL 2026'!K6:K119="PETROLEO")*'ABRIL 2026'!L6:L119*'ABRIL 2026'!M6:M119),0)</f>
        <v/>
      </c>
      <c r="E185" s="377">
        <f>IFERROR(SUMPRODUCT((IF('ABRIL 2026'!Y6:Y119&lt;&gt;"",'ABRIL 2026'!Y6:Y119,'ABRIL 2026'!I6:I119)="MARISCAL BENAVIDES")*('ABRIL 2026'!K6:K119="GASOLINA")*'ABRIL 2026'!M6:M119),0)</f>
        <v/>
      </c>
      <c r="F185" s="377">
        <f>IFERROR(SUMPRODUCT((IF('ABRIL 2026'!Y6:Y119&lt;&gt;"",'ABRIL 2026'!Y6:Y119,'ABRIL 2026'!I6:I119)="MARISCAL BENAVIDES")*('ABRIL 2026'!K6:K119="GASOLINA")*'ABRIL 2026'!L6:L119*'ABRIL 2026'!M6:M119),0)</f>
        <v/>
      </c>
      <c r="G185" s="194" t="n"/>
      <c r="H185" s="194" t="n"/>
      <c r="I185" s="194" t="n"/>
      <c r="J185" s="194" t="n"/>
      <c r="K185" s="194" t="n"/>
      <c r="L185" s="194" t="n"/>
      <c r="M185" s="194" t="n"/>
      <c r="N185" s="194" t="n"/>
      <c r="O185" s="194" t="n"/>
      <c r="P185" s="194" t="n"/>
      <c r="Q185" s="194" t="n"/>
      <c r="R185" s="194" t="n"/>
      <c r="S185" s="194" t="n"/>
      <c r="T185" s="194" t="n"/>
      <c r="U185" s="194" t="n"/>
      <c r="V185" s="194" t="n"/>
      <c r="W185" s="194" t="n"/>
      <c r="X185" s="194" t="n"/>
      <c r="Y185" s="194" t="n"/>
      <c r="Z185" s="194" t="n"/>
    </row>
    <row r="186" ht="15" customHeight="1" s="195">
      <c r="A186" s="194" t="inlineStr">
        <is>
          <t>MARISCAL BENAVIDES</t>
        </is>
      </c>
      <c r="B186" s="194" t="inlineStr">
        <is>
          <t>MAYO 2026</t>
        </is>
      </c>
      <c r="C186" s="377">
        <f>IFERROR(SUMPRODUCT((IF('MAYO 2026'!Y6:Y110&lt;&gt;"",'MAYO 2026'!Y6:Y110,'MAYO 2026'!I6:I110)="MARISCAL BENAVIDES")*('MAYO 2026'!K6:K110="PETROLEO")*'MAYO 2026'!M6:M110),0)</f>
        <v/>
      </c>
      <c r="D186" s="377">
        <f>IFERROR(SUMPRODUCT((IF('MAYO 2026'!Y6:Y110&lt;&gt;"",'MAYO 2026'!Y6:Y110,'MAYO 2026'!I6:I110)="MARISCAL BENAVIDES")*('MAYO 2026'!K6:K110="PETROLEO")*'MAYO 2026'!L6:L110*'MAYO 2026'!M6:M110),0)</f>
        <v/>
      </c>
      <c r="E186" s="377">
        <f>IFERROR(SUMPRODUCT((IF('MAYO 2026'!Y6:Y110&lt;&gt;"",'MAYO 2026'!Y6:Y110,'MAYO 2026'!I6:I110)="MARISCAL BENAVIDES")*('MAYO 2026'!K6:K110="GASOLINA")*'MAYO 2026'!M6:M110),0)</f>
        <v/>
      </c>
      <c r="F186" s="377">
        <f>IFERROR(SUMPRODUCT((IF('MAYO 2026'!Y6:Y110&lt;&gt;"",'MAYO 2026'!Y6:Y110,'MAYO 2026'!I6:I110)="MARISCAL BENAVIDES")*('MAYO 2026'!K6:K110="GASOLINA")*'MAYO 2026'!L6:L110*'MAYO 2026'!M6:M110),0)</f>
        <v/>
      </c>
      <c r="G186" s="194" t="n"/>
      <c r="H186" s="194" t="n"/>
      <c r="I186" s="194" t="n"/>
      <c r="J186" s="194" t="n"/>
      <c r="K186" s="194" t="n"/>
      <c r="L186" s="194" t="n"/>
      <c r="M186" s="194" t="n"/>
      <c r="N186" s="194" t="n"/>
      <c r="O186" s="194" t="n"/>
      <c r="P186" s="194" t="n"/>
      <c r="Q186" s="194" t="n"/>
      <c r="R186" s="194" t="n"/>
      <c r="S186" s="194" t="n"/>
      <c r="T186" s="194" t="n"/>
      <c r="U186" s="194" t="n"/>
      <c r="V186" s="194" t="n"/>
      <c r="W186" s="194" t="n"/>
      <c r="X186" s="194" t="n"/>
      <c r="Y186" s="194" t="n"/>
      <c r="Z186" s="194" t="n"/>
    </row>
    <row r="187" ht="15" customHeight="1" s="195">
      <c r="A187" s="194" t="inlineStr">
        <is>
          <t>MARISCAL BENAVIDES</t>
        </is>
      </c>
      <c r="B187" s="194" t="inlineStr">
        <is>
          <t>JUNIO 2026</t>
        </is>
      </c>
      <c r="C187" s="377">
        <f>IFERROR(SUMPRODUCT((IF('JUNIO 2026'!Y6:Y110&lt;&gt;"",'JUNIO 2026'!Y6:Y110,'JUNIO 2026'!I6:I110)="MARISCAL BENAVIDES")*('JUNIO 2026'!K6:K110="PETROLEO")*'JUNIO 2026'!M6:M110),0)</f>
        <v/>
      </c>
      <c r="D187" s="377">
        <f>IFERROR(SUMPRODUCT((IF('JUNIO 2026'!Y6:Y110&lt;&gt;"",'JUNIO 2026'!Y6:Y110,'JUNIO 2026'!I6:I110)="MARISCAL BENAVIDES")*('JUNIO 2026'!K6:K110="PETROLEO")*'JUNIO 2026'!L6:L110*'JUNIO 2026'!M6:M110),0)</f>
        <v/>
      </c>
      <c r="E187" s="377">
        <f>IFERROR(SUMPRODUCT((IF('JUNIO 2026'!Y6:Y110&lt;&gt;"",'JUNIO 2026'!Y6:Y110,'JUNIO 2026'!I6:I110)="MARISCAL BENAVIDES")*('JUNIO 2026'!K6:K110="GASOLINA")*'JUNIO 2026'!M6:M110),0)</f>
        <v/>
      </c>
      <c r="F187" s="377">
        <f>IFERROR(SUMPRODUCT((IF('JUNIO 2026'!Y6:Y110&lt;&gt;"",'JUNIO 2026'!Y6:Y110,'JUNIO 2026'!I6:I110)="MARISCAL BENAVIDES")*('JUNIO 2026'!K6:K110="GASOLINA")*'JUNIO 2026'!L6:L110*'JUNIO 2026'!M6:M110),0)</f>
        <v/>
      </c>
      <c r="G187" s="194" t="n"/>
      <c r="H187" s="194" t="n"/>
      <c r="I187" s="194" t="n"/>
      <c r="J187" s="194" t="n"/>
      <c r="K187" s="194" t="n"/>
      <c r="L187" s="194" t="n"/>
      <c r="M187" s="194" t="n"/>
      <c r="N187" s="194" t="n"/>
      <c r="O187" s="194" t="n"/>
      <c r="P187" s="194" t="n"/>
      <c r="Q187" s="194" t="n"/>
      <c r="R187" s="194" t="n"/>
      <c r="S187" s="194" t="n"/>
      <c r="T187" s="194" t="n"/>
      <c r="U187" s="194" t="n"/>
      <c r="V187" s="194" t="n"/>
      <c r="W187" s="194" t="n"/>
      <c r="X187" s="194" t="n"/>
      <c r="Y187" s="194" t="n"/>
      <c r="Z187" s="194" t="n"/>
    </row>
    <row r="188" ht="15" customHeight="1" s="195">
      <c r="A188" s="194" t="inlineStr">
        <is>
          <t>MARISCAL BENAVIDES</t>
        </is>
      </c>
      <c r="B188" s="194" t="inlineStr">
        <is>
          <t>JULIO 2026</t>
        </is>
      </c>
      <c r="C188" s="377">
        <f>IFERROR(SUMPRODUCT((IF('JULIO 2026'!Y6:Y110&lt;&gt;"",'JULIO 2026'!Y6:Y110,'JULIO 2026'!I6:I110)="MARISCAL BENAVIDES")*('JULIO 2026'!K6:K110="PETROLEO")*'JULIO 2026'!M6:M110),0)</f>
        <v/>
      </c>
      <c r="D188" s="377">
        <f>IFERROR(SUMPRODUCT((IF('JULIO 2026'!Y6:Y110&lt;&gt;"",'JULIO 2026'!Y6:Y110,'JULIO 2026'!I6:I110)="MARISCAL BENAVIDES")*('JULIO 2026'!K6:K110="PETROLEO")*'JULIO 2026'!L6:L110*'JULIO 2026'!M6:M110),0)</f>
        <v/>
      </c>
      <c r="E188" s="377">
        <f>IFERROR(SUMPRODUCT((IF('JULIO 2026'!Y6:Y110&lt;&gt;"",'JULIO 2026'!Y6:Y110,'JULIO 2026'!I6:I110)="MARISCAL BENAVIDES")*('JULIO 2026'!K6:K110="GASOLINA")*'JULIO 2026'!M6:M110),0)</f>
        <v/>
      </c>
      <c r="F188" s="377">
        <f>IFERROR(SUMPRODUCT((IF('JULIO 2026'!Y6:Y110&lt;&gt;"",'JULIO 2026'!Y6:Y110,'JULIO 2026'!I6:I110)="MARISCAL BENAVIDES")*('JULIO 2026'!K6:K110="GASOLINA")*'JULIO 2026'!L6:L110*'JULIO 2026'!M6:M110),0)</f>
        <v/>
      </c>
      <c r="G188" s="194" t="n"/>
      <c r="H188" s="194" t="n"/>
      <c r="I188" s="194" t="n"/>
      <c r="J188" s="194" t="n"/>
      <c r="K188" s="194" t="n"/>
      <c r="L188" s="194" t="n"/>
      <c r="M188" s="194" t="n"/>
      <c r="N188" s="194" t="n"/>
      <c r="O188" s="194" t="n"/>
      <c r="P188" s="194" t="n"/>
      <c r="Q188" s="194" t="n"/>
      <c r="R188" s="194" t="n"/>
      <c r="S188" s="194" t="n"/>
      <c r="T188" s="194" t="n"/>
      <c r="U188" s="194" t="n"/>
      <c r="V188" s="194" t="n"/>
      <c r="W188" s="194" t="n"/>
      <c r="X188" s="194" t="n"/>
      <c r="Y188" s="194" t="n"/>
      <c r="Z188" s="194" t="n"/>
    </row>
    <row r="189" ht="15" customHeight="1" s="195">
      <c r="A189" s="194" t="inlineStr">
        <is>
          <t>MARISCAL BENAVIDES</t>
        </is>
      </c>
      <c r="B189" s="194" t="inlineStr">
        <is>
          <t>AGOSTO 2026</t>
        </is>
      </c>
      <c r="C189" s="377">
        <f>IFERROR(SUMPRODUCT((IF('AGOSTO 2026'!Y6:Y110&lt;&gt;"",'AGOSTO 2026'!Y6:Y110,'AGOSTO 2026'!I6:I110)="MARISCAL BENAVIDES")*('AGOSTO 2026'!K6:K110="PETROLEO")*'AGOSTO 2026'!M6:M110),0)</f>
        <v/>
      </c>
      <c r="D189" s="377">
        <f>IFERROR(SUMPRODUCT((IF('AGOSTO 2026'!Y6:Y110&lt;&gt;"",'AGOSTO 2026'!Y6:Y110,'AGOSTO 2026'!I6:I110)="MARISCAL BENAVIDES")*('AGOSTO 2026'!K6:K110="PETROLEO")*'AGOSTO 2026'!L6:L110*'AGOSTO 2026'!M6:M110),0)</f>
        <v/>
      </c>
      <c r="E189" s="377">
        <f>IFERROR(SUMPRODUCT((IF('AGOSTO 2026'!Y6:Y110&lt;&gt;"",'AGOSTO 2026'!Y6:Y110,'AGOSTO 2026'!I6:I110)="MARISCAL BENAVIDES")*('AGOSTO 2026'!K6:K110="GASOLINA")*'AGOSTO 2026'!M6:M110),0)</f>
        <v/>
      </c>
      <c r="F189" s="377">
        <f>IFERROR(SUMPRODUCT((IF('AGOSTO 2026'!Y6:Y110&lt;&gt;"",'AGOSTO 2026'!Y6:Y110,'AGOSTO 2026'!I6:I110)="MARISCAL BENAVIDES")*('AGOSTO 2026'!K6:K110="GASOLINA")*'AGOSTO 2026'!L6:L110*'AGOSTO 2026'!M6:M110),0)</f>
        <v/>
      </c>
      <c r="G189" s="194" t="n"/>
      <c r="H189" s="194" t="n"/>
      <c r="I189" s="194" t="n"/>
      <c r="J189" s="194" t="n"/>
      <c r="K189" s="194" t="n"/>
      <c r="L189" s="194" t="n"/>
      <c r="M189" s="194" t="n"/>
      <c r="N189" s="194" t="n"/>
      <c r="O189" s="194" t="n"/>
      <c r="P189" s="194" t="n"/>
      <c r="Q189" s="194" t="n"/>
      <c r="R189" s="194" t="n"/>
      <c r="S189" s="194" t="n"/>
      <c r="T189" s="194" t="n"/>
      <c r="U189" s="194" t="n"/>
      <c r="V189" s="194" t="n"/>
      <c r="W189" s="194" t="n"/>
      <c r="X189" s="194" t="n"/>
      <c r="Y189" s="194" t="n"/>
      <c r="Z189" s="194" t="n"/>
    </row>
    <row r="190" ht="15" customHeight="1" s="195">
      <c r="A190" s="194" t="inlineStr">
        <is>
          <t>MARISCAL BENAVIDES</t>
        </is>
      </c>
      <c r="B190" s="194" t="inlineStr">
        <is>
          <t>SETIEMBRE 2026</t>
        </is>
      </c>
      <c r="C190" s="377">
        <f>IFERROR(SUMPRODUCT((IF('SETIEMBRE 2026'!Y6:Y110&lt;&gt;"",'SETIEMBRE 2026'!Y6:Y110,'SETIEMBRE 2026'!I6:I110)="MARISCAL BENAVIDES")*('SETIEMBRE 2026'!K6:K110="PETROLEO")*'SETIEMBRE 2026'!M6:M110),0)</f>
        <v/>
      </c>
      <c r="D190" s="377">
        <f>IFERROR(SUMPRODUCT((IF('SETIEMBRE 2026'!Y6:Y110&lt;&gt;"",'SETIEMBRE 2026'!Y6:Y110,'SETIEMBRE 2026'!I6:I110)="MARISCAL BENAVIDES")*('SETIEMBRE 2026'!K6:K110="PETROLEO")*'SETIEMBRE 2026'!L6:L110*'SETIEMBRE 2026'!M6:M110),0)</f>
        <v/>
      </c>
      <c r="E190" s="377">
        <f>IFERROR(SUMPRODUCT((IF('SETIEMBRE 2026'!Y6:Y110&lt;&gt;"",'SETIEMBRE 2026'!Y6:Y110,'SETIEMBRE 2026'!I6:I110)="MARISCAL BENAVIDES")*('SETIEMBRE 2026'!K6:K110="GASOLINA")*'SETIEMBRE 2026'!M6:M110),0)</f>
        <v/>
      </c>
      <c r="F190" s="377">
        <f>IFERROR(SUMPRODUCT((IF('SETIEMBRE 2026'!Y6:Y110&lt;&gt;"",'SETIEMBRE 2026'!Y6:Y110,'SETIEMBRE 2026'!I6:I110)="MARISCAL BENAVIDES")*('SETIEMBRE 2026'!K6:K110="GASOLINA")*'SETIEMBRE 2026'!L6:L110*'SETIEMBRE 2026'!M6:M110),0)</f>
        <v/>
      </c>
      <c r="G190" s="194" t="n"/>
      <c r="H190" s="194" t="n"/>
      <c r="I190" s="194" t="n"/>
      <c r="J190" s="194" t="n"/>
      <c r="K190" s="194" t="n"/>
      <c r="L190" s="194" t="n"/>
      <c r="M190" s="194" t="n"/>
      <c r="N190" s="194" t="n"/>
      <c r="O190" s="194" t="n"/>
      <c r="P190" s="194" t="n"/>
      <c r="Q190" s="194" t="n"/>
      <c r="R190" s="194" t="n"/>
      <c r="S190" s="194" t="n"/>
      <c r="T190" s="194" t="n"/>
      <c r="U190" s="194" t="n"/>
      <c r="V190" s="194" t="n"/>
      <c r="W190" s="194" t="n"/>
      <c r="X190" s="194" t="n"/>
      <c r="Y190" s="194" t="n"/>
      <c r="Z190" s="194" t="n"/>
    </row>
    <row r="191" ht="15" customHeight="1" s="195">
      <c r="A191" s="194" t="inlineStr">
        <is>
          <t>MARISCAL BENAVIDES</t>
        </is>
      </c>
      <c r="B191" s="194" t="inlineStr">
        <is>
          <t>OCTUBRE 2026</t>
        </is>
      </c>
      <c r="C191" s="377">
        <f>IFERROR(SUMPRODUCT((IF('OCTUBRE 2026'!Y6:Y110&lt;&gt;"",'OCTUBRE 2026'!Y6:Y110,'OCTUBRE 2026'!I6:I110)="MARISCAL BENAVIDES")*('OCTUBRE 2026'!K6:K110="PETROLEO")*'OCTUBRE 2026'!M6:M110),0)</f>
        <v/>
      </c>
      <c r="D191" s="377">
        <f>IFERROR(SUMPRODUCT((IF('OCTUBRE 2026'!Y6:Y110&lt;&gt;"",'OCTUBRE 2026'!Y6:Y110,'OCTUBRE 2026'!I6:I110)="MARISCAL BENAVIDES")*('OCTUBRE 2026'!K6:K110="PETROLEO")*'OCTUBRE 2026'!L6:L110*'OCTUBRE 2026'!M6:M110),0)</f>
        <v/>
      </c>
      <c r="E191" s="377">
        <f>IFERROR(SUMPRODUCT((IF('OCTUBRE 2026'!Y6:Y110&lt;&gt;"",'OCTUBRE 2026'!Y6:Y110,'OCTUBRE 2026'!I6:I110)="MARISCAL BENAVIDES")*('OCTUBRE 2026'!K6:K110="GASOLINA")*'OCTUBRE 2026'!M6:M110),0)</f>
        <v/>
      </c>
      <c r="F191" s="377">
        <f>IFERROR(SUMPRODUCT((IF('OCTUBRE 2026'!Y6:Y110&lt;&gt;"",'OCTUBRE 2026'!Y6:Y110,'OCTUBRE 2026'!I6:I110)="MARISCAL BENAVIDES")*('OCTUBRE 2026'!K6:K110="GASOLINA")*'OCTUBRE 2026'!L6:L110*'OCTUBRE 2026'!M6:M110),0)</f>
        <v/>
      </c>
      <c r="G191" s="194" t="n"/>
      <c r="H191" s="194" t="n"/>
      <c r="I191" s="194" t="n"/>
      <c r="J191" s="194" t="n"/>
      <c r="K191" s="194" t="n"/>
      <c r="L191" s="194" t="n"/>
      <c r="M191" s="194" t="n"/>
      <c r="N191" s="194" t="n"/>
      <c r="O191" s="194" t="n"/>
      <c r="P191" s="194" t="n"/>
      <c r="Q191" s="194" t="n"/>
      <c r="R191" s="194" t="n"/>
      <c r="S191" s="194" t="n"/>
      <c r="T191" s="194" t="n"/>
      <c r="U191" s="194" t="n"/>
      <c r="V191" s="194" t="n"/>
      <c r="W191" s="194" t="n"/>
      <c r="X191" s="194" t="n"/>
      <c r="Y191" s="194" t="n"/>
      <c r="Z191" s="194" t="n"/>
    </row>
    <row r="192" ht="15" customHeight="1" s="195">
      <c r="A192" s="194" t="inlineStr">
        <is>
          <t>MARISCAL BENAVIDES</t>
        </is>
      </c>
      <c r="B192" s="194" t="inlineStr">
        <is>
          <t>NOVIEMBRE 2026</t>
        </is>
      </c>
      <c r="C192" s="377">
        <f>IFERROR(SUMPRODUCT((IF('NOVIEMBRE 2026'!Y6:Y110&lt;&gt;"",'NOVIEMBRE 2026'!Y6:Y110,'NOVIEMBRE 2026'!I6:I110)="MARISCAL BENAVIDES")*('NOVIEMBRE 2026'!K6:K110="PETROLEO")*'NOVIEMBRE 2026'!M6:M110),0)</f>
        <v/>
      </c>
      <c r="D192" s="377">
        <f>IFERROR(SUMPRODUCT((IF('NOVIEMBRE 2026'!Y6:Y110&lt;&gt;"",'NOVIEMBRE 2026'!Y6:Y110,'NOVIEMBRE 2026'!I6:I110)="MARISCAL BENAVIDES")*('NOVIEMBRE 2026'!K6:K110="PETROLEO")*'NOVIEMBRE 2026'!L6:L110*'NOVIEMBRE 2026'!M6:M110),0)</f>
        <v/>
      </c>
      <c r="E192" s="377">
        <f>IFERROR(SUMPRODUCT((IF('NOVIEMBRE 2026'!Y6:Y110&lt;&gt;"",'NOVIEMBRE 2026'!Y6:Y110,'NOVIEMBRE 2026'!I6:I110)="MARISCAL BENAVIDES")*('NOVIEMBRE 2026'!K6:K110="GASOLINA")*'NOVIEMBRE 2026'!M6:M110),0)</f>
        <v/>
      </c>
      <c r="F192" s="377">
        <f>IFERROR(SUMPRODUCT((IF('NOVIEMBRE 2026'!Y6:Y110&lt;&gt;"",'NOVIEMBRE 2026'!Y6:Y110,'NOVIEMBRE 2026'!I6:I110)="MARISCAL BENAVIDES")*('NOVIEMBRE 2026'!K6:K110="GASOLINA")*'NOVIEMBRE 2026'!L6:L110*'NOVIEMBRE 2026'!M6:M110),0)</f>
        <v/>
      </c>
      <c r="G192" s="194" t="n"/>
      <c r="H192" s="194" t="n"/>
      <c r="I192" s="194" t="n"/>
      <c r="J192" s="194" t="n"/>
      <c r="K192" s="194" t="n"/>
      <c r="L192" s="194" t="n"/>
      <c r="M192" s="194" t="n"/>
      <c r="N192" s="194" t="n"/>
      <c r="O192" s="194" t="n"/>
      <c r="P192" s="194" t="n"/>
      <c r="Q192" s="194" t="n"/>
      <c r="R192" s="194" t="n"/>
      <c r="S192" s="194" t="n"/>
      <c r="T192" s="194" t="n"/>
      <c r="U192" s="194" t="n"/>
      <c r="V192" s="194" t="n"/>
      <c r="W192" s="194" t="n"/>
      <c r="X192" s="194" t="n"/>
      <c r="Y192" s="194" t="n"/>
      <c r="Z192" s="194" t="n"/>
    </row>
    <row r="193" ht="15" customHeight="1" s="195">
      <c r="A193" s="194" t="inlineStr">
        <is>
          <t>MARISCAL BENAVIDES</t>
        </is>
      </c>
      <c r="B193" s="194" t="inlineStr">
        <is>
          <t>DICIEMBRE 2026</t>
        </is>
      </c>
      <c r="C193" s="377">
        <f>IFERROR(SUMPRODUCT((IF('DICIEMBRE 2026'!Y6:Y110&lt;&gt;"",'DICIEMBRE 2026'!Y6:Y110,'DICIEMBRE 2026'!I6:I110)="MARISCAL BENAVIDES")*('DICIEMBRE 2026'!K6:K110="PETROLEO")*'DICIEMBRE 2026'!M6:M110),0)</f>
        <v/>
      </c>
      <c r="D193" s="377">
        <f>IFERROR(SUMPRODUCT((IF('DICIEMBRE 2026'!Y6:Y110&lt;&gt;"",'DICIEMBRE 2026'!Y6:Y110,'DICIEMBRE 2026'!I6:I110)="MARISCAL BENAVIDES")*('DICIEMBRE 2026'!K6:K110="PETROLEO")*'DICIEMBRE 2026'!L6:L110*'DICIEMBRE 2026'!M6:M110),0)</f>
        <v/>
      </c>
      <c r="E193" s="377">
        <f>IFERROR(SUMPRODUCT((IF('DICIEMBRE 2026'!Y6:Y110&lt;&gt;"",'DICIEMBRE 2026'!Y6:Y110,'DICIEMBRE 2026'!I6:I110)="MARISCAL BENAVIDES")*('DICIEMBRE 2026'!K6:K110="GASOLINA")*'DICIEMBRE 2026'!M6:M110),0)</f>
        <v/>
      </c>
      <c r="F193" s="377">
        <f>IFERROR(SUMPRODUCT((IF('DICIEMBRE 2026'!Y6:Y110&lt;&gt;"",'DICIEMBRE 2026'!Y6:Y110,'DICIEMBRE 2026'!I6:I110)="MARISCAL BENAVIDES")*('DICIEMBRE 2026'!K6:K110="GASOLINA")*'DICIEMBRE 2026'!L6:L110*'DICIEMBRE 2026'!M6:M110),0)</f>
        <v/>
      </c>
      <c r="G193" s="194" t="n"/>
      <c r="H193" s="194" t="n"/>
      <c r="I193" s="194" t="n"/>
      <c r="J193" s="194" t="n"/>
      <c r="K193" s="194" t="n"/>
      <c r="L193" s="194" t="n"/>
      <c r="M193" s="194" t="n"/>
      <c r="N193" s="194" t="n"/>
      <c r="O193" s="194" t="n"/>
      <c r="P193" s="194" t="n"/>
      <c r="Q193" s="194" t="n"/>
      <c r="R193" s="194" t="n"/>
      <c r="S193" s="194" t="n"/>
      <c r="T193" s="194" t="n"/>
      <c r="U193" s="194" t="n"/>
      <c r="V193" s="194" t="n"/>
      <c r="W193" s="194" t="n"/>
      <c r="X193" s="194" t="n"/>
      <c r="Y193" s="194" t="n"/>
      <c r="Z193" s="194" t="n"/>
    </row>
    <row r="194" ht="15" customHeight="1" s="195">
      <c r="A194" s="194" t="inlineStr">
        <is>
          <t>MOLINOPAMPA</t>
        </is>
      </c>
      <c r="B194" s="194" t="inlineStr">
        <is>
          <t>ENERO 2026</t>
        </is>
      </c>
      <c r="C194" s="377">
        <f>IFERROR(SUMPRODUCT((IF('ENERO 2026'!Y6:Y119&lt;&gt;"",'ENERO 2026'!Y6:Y119,'ENERO 2026'!I6:I119)="MOLINOPAMPA")*('ENERO 2026'!K6:K119="PETROLEO")*'ENERO 2026'!M6:M119),0)</f>
        <v/>
      </c>
      <c r="D194" s="377">
        <f>IFERROR(SUMPRODUCT((IF('ENERO 2026'!Y6:Y119&lt;&gt;"",'ENERO 2026'!Y6:Y119,'ENERO 2026'!I6:I119)="MOLINOPAMPA")*('ENERO 2026'!K6:K119="PETROLEO")*'ENERO 2026'!L6:L119*'ENERO 2026'!M6:M119),0)</f>
        <v/>
      </c>
      <c r="E194" s="377">
        <f>IFERROR(SUMPRODUCT((IF('ENERO 2026'!Y6:Y119&lt;&gt;"",'ENERO 2026'!Y6:Y119,'ENERO 2026'!I6:I119)="MOLINOPAMPA")*('ENERO 2026'!K6:K119="GASOLINA")*'ENERO 2026'!M6:M119),0)</f>
        <v/>
      </c>
      <c r="F194" s="377">
        <f>IFERROR(SUMPRODUCT((IF('ENERO 2026'!Y6:Y119&lt;&gt;"",'ENERO 2026'!Y6:Y119,'ENERO 2026'!I6:I119)="MOLINOPAMPA")*('ENERO 2026'!K6:K119="GASOLINA")*'ENERO 2026'!L6:L119*'ENERO 2026'!M6:M119),0)</f>
        <v/>
      </c>
      <c r="G194" s="194" t="n"/>
      <c r="H194" s="194" t="n"/>
      <c r="I194" s="194" t="n"/>
      <c r="J194" s="194" t="n"/>
      <c r="K194" s="194" t="n"/>
      <c r="L194" s="194" t="n"/>
      <c r="M194" s="194" t="n"/>
      <c r="N194" s="194" t="n"/>
      <c r="O194" s="194" t="n"/>
      <c r="P194" s="194" t="n"/>
      <c r="Q194" s="194" t="n"/>
      <c r="R194" s="194" t="n"/>
      <c r="S194" s="194" t="n"/>
      <c r="T194" s="194" t="n"/>
      <c r="U194" s="194" t="n"/>
      <c r="V194" s="194" t="n"/>
      <c r="W194" s="194" t="n"/>
      <c r="X194" s="194" t="n"/>
      <c r="Y194" s="194" t="n"/>
      <c r="Z194" s="194" t="n"/>
    </row>
    <row r="195" ht="15" customHeight="1" s="195">
      <c r="A195" s="194" t="inlineStr">
        <is>
          <t>MOLINOPAMPA</t>
        </is>
      </c>
      <c r="B195" s="194" t="inlineStr">
        <is>
          <t>FEBRERO 2026</t>
        </is>
      </c>
      <c r="C195" s="377">
        <f>IFERROR(SUMPRODUCT((IF('FEBRERO 2026'!Y6:Y124&lt;&gt;"",'FEBRERO 2026'!Y6:Y124,'FEBRERO 2026'!I6:I124)="MOLINOPAMPA")*('FEBRERO 2026'!K6:K124="PETROLEO")*'FEBRERO 2026'!M6:M124),0)</f>
        <v/>
      </c>
      <c r="D195" s="377">
        <f>IFERROR(SUMPRODUCT((IF('FEBRERO 2026'!Y6:Y124&lt;&gt;"",'FEBRERO 2026'!Y6:Y124,'FEBRERO 2026'!I6:I124)="MOLINOPAMPA")*('FEBRERO 2026'!K6:K124="PETROLEO")*'FEBRERO 2026'!L6:L124*'FEBRERO 2026'!M6:M124),0)</f>
        <v/>
      </c>
      <c r="E195" s="377">
        <f>IFERROR(SUMPRODUCT((IF('FEBRERO 2026'!Y6:Y124&lt;&gt;"",'FEBRERO 2026'!Y6:Y124,'FEBRERO 2026'!I6:I124)="MOLINOPAMPA")*('FEBRERO 2026'!K6:K124="GASOLINA")*'FEBRERO 2026'!M6:M124),0)</f>
        <v/>
      </c>
      <c r="F195" s="377">
        <f>IFERROR(SUMPRODUCT((IF('FEBRERO 2026'!Y6:Y124&lt;&gt;"",'FEBRERO 2026'!Y6:Y124,'FEBRERO 2026'!I6:I124)="MOLINOPAMPA")*('FEBRERO 2026'!K6:K124="GASOLINA")*'FEBRERO 2026'!L6:L124*'FEBRERO 2026'!M6:M124),0)</f>
        <v/>
      </c>
      <c r="G195" s="194" t="n"/>
      <c r="H195" s="194" t="n"/>
      <c r="I195" s="194" t="n"/>
      <c r="J195" s="194" t="n"/>
      <c r="K195" s="194" t="n"/>
      <c r="L195" s="194" t="n"/>
      <c r="M195" s="194" t="n"/>
      <c r="N195" s="194" t="n"/>
      <c r="O195" s="194" t="n"/>
      <c r="P195" s="194" t="n"/>
      <c r="Q195" s="194" t="n"/>
      <c r="R195" s="194" t="n"/>
      <c r="S195" s="194" t="n"/>
      <c r="T195" s="194" t="n"/>
      <c r="U195" s="194" t="n"/>
      <c r="V195" s="194" t="n"/>
      <c r="W195" s="194" t="n"/>
      <c r="X195" s="194" t="n"/>
      <c r="Y195" s="194" t="n"/>
      <c r="Z195" s="194" t="n"/>
    </row>
    <row r="196" ht="15" customHeight="1" s="195">
      <c r="A196" s="194" t="inlineStr">
        <is>
          <t>MOLINOPAMPA</t>
        </is>
      </c>
      <c r="B196" s="194" t="inlineStr">
        <is>
          <t>MARZO 2026</t>
        </is>
      </c>
      <c r="C196" s="377">
        <f>IFERROR(SUMPRODUCT((IF('MARZO 2026'!Y6:Y119&lt;&gt;"",'MARZO 2026'!Y6:Y119,'MARZO 2026'!I6:I119)="MOLINOPAMPA")*('MARZO 2026'!K6:K119="PETROLEO")*'MARZO 2026'!M6:M119),0)</f>
        <v/>
      </c>
      <c r="D196" s="377">
        <f>IFERROR(SUMPRODUCT((IF('MARZO 2026'!Y6:Y119&lt;&gt;"",'MARZO 2026'!Y6:Y119,'MARZO 2026'!I6:I119)="MOLINOPAMPA")*('MARZO 2026'!K6:K119="PETROLEO")*'MARZO 2026'!L6:L119*'MARZO 2026'!M6:M119),0)</f>
        <v/>
      </c>
      <c r="E196" s="377">
        <f>IFERROR(SUMPRODUCT((IF('MARZO 2026'!Y6:Y119&lt;&gt;"",'MARZO 2026'!Y6:Y119,'MARZO 2026'!I6:I119)="MOLINOPAMPA")*('MARZO 2026'!K6:K119="GASOLINA")*'MARZO 2026'!M6:M119),0)</f>
        <v/>
      </c>
      <c r="F196" s="377">
        <f>IFERROR(SUMPRODUCT((IF('MARZO 2026'!Y6:Y119&lt;&gt;"",'MARZO 2026'!Y6:Y119,'MARZO 2026'!I6:I119)="MOLINOPAMPA")*('MARZO 2026'!K6:K119="GASOLINA")*'MARZO 2026'!L6:L119*'MARZO 2026'!M6:M119),0)</f>
        <v/>
      </c>
      <c r="G196" s="194" t="n"/>
      <c r="H196" s="194" t="n"/>
      <c r="I196" s="194" t="n"/>
      <c r="J196" s="194" t="n"/>
      <c r="K196" s="194" t="n"/>
      <c r="L196" s="194" t="n"/>
      <c r="M196" s="194" t="n"/>
      <c r="N196" s="194" t="n"/>
      <c r="O196" s="194" t="n"/>
      <c r="P196" s="194" t="n"/>
      <c r="Q196" s="194" t="n"/>
      <c r="R196" s="194" t="n"/>
      <c r="S196" s="194" t="n"/>
      <c r="T196" s="194" t="n"/>
      <c r="U196" s="194" t="n"/>
      <c r="V196" s="194" t="n"/>
      <c r="W196" s="194" t="n"/>
      <c r="X196" s="194" t="n"/>
      <c r="Y196" s="194" t="n"/>
      <c r="Z196" s="194" t="n"/>
    </row>
    <row r="197" ht="15" customHeight="1" s="195">
      <c r="A197" s="194" t="inlineStr">
        <is>
          <t>MOLINOPAMPA</t>
        </is>
      </c>
      <c r="B197" s="194" t="inlineStr">
        <is>
          <t>ABRIL 2026</t>
        </is>
      </c>
      <c r="C197" s="377">
        <f>IFERROR(SUMPRODUCT((IF('ABRIL 2026'!Y6:Y119&lt;&gt;"",'ABRIL 2026'!Y6:Y119,'ABRIL 2026'!I6:I119)="MOLINOPAMPA")*('ABRIL 2026'!K6:K119="PETROLEO")*'ABRIL 2026'!M6:M119),0)</f>
        <v/>
      </c>
      <c r="D197" s="377">
        <f>IFERROR(SUMPRODUCT((IF('ABRIL 2026'!Y6:Y119&lt;&gt;"",'ABRIL 2026'!Y6:Y119,'ABRIL 2026'!I6:I119)="MOLINOPAMPA")*('ABRIL 2026'!K6:K119="PETROLEO")*'ABRIL 2026'!L6:L119*'ABRIL 2026'!M6:M119),0)</f>
        <v/>
      </c>
      <c r="E197" s="377">
        <f>IFERROR(SUMPRODUCT((IF('ABRIL 2026'!Y6:Y119&lt;&gt;"",'ABRIL 2026'!Y6:Y119,'ABRIL 2026'!I6:I119)="MOLINOPAMPA")*('ABRIL 2026'!K6:K119="GASOLINA")*'ABRIL 2026'!M6:M119),0)</f>
        <v/>
      </c>
      <c r="F197" s="377">
        <f>IFERROR(SUMPRODUCT((IF('ABRIL 2026'!Y6:Y119&lt;&gt;"",'ABRIL 2026'!Y6:Y119,'ABRIL 2026'!I6:I119)="MOLINOPAMPA")*('ABRIL 2026'!K6:K119="GASOLINA")*'ABRIL 2026'!L6:L119*'ABRIL 2026'!M6:M119),0)</f>
        <v/>
      </c>
      <c r="G197" s="194" t="n"/>
      <c r="H197" s="194" t="n"/>
      <c r="I197" s="194" t="n"/>
      <c r="J197" s="194" t="n"/>
      <c r="K197" s="194" t="n"/>
      <c r="L197" s="194" t="n"/>
      <c r="M197" s="194" t="n"/>
      <c r="N197" s="194" t="n"/>
      <c r="O197" s="194" t="n"/>
      <c r="P197" s="194" t="n"/>
      <c r="Q197" s="194" t="n"/>
      <c r="R197" s="194" t="n"/>
      <c r="S197" s="194" t="n"/>
      <c r="T197" s="194" t="n"/>
      <c r="U197" s="194" t="n"/>
      <c r="V197" s="194" t="n"/>
      <c r="W197" s="194" t="n"/>
      <c r="X197" s="194" t="n"/>
      <c r="Y197" s="194" t="n"/>
      <c r="Z197" s="194" t="n"/>
    </row>
    <row r="198" ht="15" customHeight="1" s="195">
      <c r="A198" s="194" t="inlineStr">
        <is>
          <t>MOLINOPAMPA</t>
        </is>
      </c>
      <c r="B198" s="194" t="inlineStr">
        <is>
          <t>MAYO 2026</t>
        </is>
      </c>
      <c r="C198" s="377">
        <f>IFERROR(SUMPRODUCT((IF('MAYO 2026'!Y6:Y110&lt;&gt;"",'MAYO 2026'!Y6:Y110,'MAYO 2026'!I6:I110)="MOLINOPAMPA")*('MAYO 2026'!K6:K110="PETROLEO")*'MAYO 2026'!M6:M110),0)</f>
        <v/>
      </c>
      <c r="D198" s="377">
        <f>IFERROR(SUMPRODUCT((IF('MAYO 2026'!Y6:Y110&lt;&gt;"",'MAYO 2026'!Y6:Y110,'MAYO 2026'!I6:I110)="MOLINOPAMPA")*('MAYO 2026'!K6:K110="PETROLEO")*'MAYO 2026'!L6:L110*'MAYO 2026'!M6:M110),0)</f>
        <v/>
      </c>
      <c r="E198" s="377">
        <f>IFERROR(SUMPRODUCT((IF('MAYO 2026'!Y6:Y110&lt;&gt;"",'MAYO 2026'!Y6:Y110,'MAYO 2026'!I6:I110)="MOLINOPAMPA")*('MAYO 2026'!K6:K110="GASOLINA")*'MAYO 2026'!M6:M110),0)</f>
        <v/>
      </c>
      <c r="F198" s="377">
        <f>IFERROR(SUMPRODUCT((IF('MAYO 2026'!Y6:Y110&lt;&gt;"",'MAYO 2026'!Y6:Y110,'MAYO 2026'!I6:I110)="MOLINOPAMPA")*('MAYO 2026'!K6:K110="GASOLINA")*'MAYO 2026'!L6:L110*'MAYO 2026'!M6:M110),0)</f>
        <v/>
      </c>
      <c r="G198" s="194" t="n"/>
      <c r="H198" s="194" t="n"/>
      <c r="I198" s="194" t="n"/>
      <c r="J198" s="194" t="n"/>
      <c r="K198" s="194" t="n"/>
      <c r="L198" s="194" t="n"/>
      <c r="M198" s="194" t="n"/>
      <c r="N198" s="194" t="n"/>
      <c r="O198" s="194" t="n"/>
      <c r="P198" s="194" t="n"/>
      <c r="Q198" s="194" t="n"/>
      <c r="R198" s="194" t="n"/>
      <c r="S198" s="194" t="n"/>
      <c r="T198" s="194" t="n"/>
      <c r="U198" s="194" t="n"/>
      <c r="V198" s="194" t="n"/>
      <c r="W198" s="194" t="n"/>
      <c r="X198" s="194" t="n"/>
      <c r="Y198" s="194" t="n"/>
      <c r="Z198" s="194" t="n"/>
    </row>
    <row r="199" ht="15" customHeight="1" s="195">
      <c r="A199" s="194" t="inlineStr">
        <is>
          <t>MOLINOPAMPA</t>
        </is>
      </c>
      <c r="B199" s="194" t="inlineStr">
        <is>
          <t>JUNIO 2026</t>
        </is>
      </c>
      <c r="C199" s="377">
        <f>IFERROR(SUMPRODUCT((IF('JUNIO 2026'!Y6:Y110&lt;&gt;"",'JUNIO 2026'!Y6:Y110,'JUNIO 2026'!I6:I110)="MOLINOPAMPA")*('JUNIO 2026'!K6:K110="PETROLEO")*'JUNIO 2026'!M6:M110),0)</f>
        <v/>
      </c>
      <c r="D199" s="377">
        <f>IFERROR(SUMPRODUCT((IF('JUNIO 2026'!Y6:Y110&lt;&gt;"",'JUNIO 2026'!Y6:Y110,'JUNIO 2026'!I6:I110)="MOLINOPAMPA")*('JUNIO 2026'!K6:K110="PETROLEO")*'JUNIO 2026'!L6:L110*'JUNIO 2026'!M6:M110),0)</f>
        <v/>
      </c>
      <c r="E199" s="377">
        <f>IFERROR(SUMPRODUCT((IF('JUNIO 2026'!Y6:Y110&lt;&gt;"",'JUNIO 2026'!Y6:Y110,'JUNIO 2026'!I6:I110)="MOLINOPAMPA")*('JUNIO 2026'!K6:K110="GASOLINA")*'JUNIO 2026'!M6:M110),0)</f>
        <v/>
      </c>
      <c r="F199" s="377">
        <f>IFERROR(SUMPRODUCT((IF('JUNIO 2026'!Y6:Y110&lt;&gt;"",'JUNIO 2026'!Y6:Y110,'JUNIO 2026'!I6:I110)="MOLINOPAMPA")*('JUNIO 2026'!K6:K110="GASOLINA")*'JUNIO 2026'!L6:L110*'JUNIO 2026'!M6:M110),0)</f>
        <v/>
      </c>
      <c r="G199" s="194" t="n"/>
      <c r="H199" s="194" t="n"/>
      <c r="I199" s="194" t="n"/>
      <c r="J199" s="194" t="n"/>
      <c r="K199" s="194" t="n"/>
      <c r="L199" s="194" t="n"/>
      <c r="M199" s="194" t="n"/>
      <c r="N199" s="194" t="n"/>
      <c r="O199" s="194" t="n"/>
      <c r="P199" s="194" t="n"/>
      <c r="Q199" s="194" t="n"/>
      <c r="R199" s="194" t="n"/>
      <c r="S199" s="194" t="n"/>
      <c r="T199" s="194" t="n"/>
      <c r="U199" s="194" t="n"/>
      <c r="V199" s="194" t="n"/>
      <c r="W199" s="194" t="n"/>
      <c r="X199" s="194" t="n"/>
      <c r="Y199" s="194" t="n"/>
      <c r="Z199" s="194" t="n"/>
    </row>
    <row r="200" ht="15" customHeight="1" s="195">
      <c r="A200" s="194" t="inlineStr">
        <is>
          <t>MOLINOPAMPA</t>
        </is>
      </c>
      <c r="B200" s="194" t="inlineStr">
        <is>
          <t>JULIO 2026</t>
        </is>
      </c>
      <c r="C200" s="377">
        <f>IFERROR(SUMPRODUCT((IF('JULIO 2026'!Y6:Y110&lt;&gt;"",'JULIO 2026'!Y6:Y110,'JULIO 2026'!I6:I110)="MOLINOPAMPA")*('JULIO 2026'!K6:K110="PETROLEO")*'JULIO 2026'!M6:M110),0)</f>
        <v/>
      </c>
      <c r="D200" s="377">
        <f>IFERROR(SUMPRODUCT((IF('JULIO 2026'!Y6:Y110&lt;&gt;"",'JULIO 2026'!Y6:Y110,'JULIO 2026'!I6:I110)="MOLINOPAMPA")*('JULIO 2026'!K6:K110="PETROLEO")*'JULIO 2026'!L6:L110*'JULIO 2026'!M6:M110),0)</f>
        <v/>
      </c>
      <c r="E200" s="377">
        <f>IFERROR(SUMPRODUCT((IF('JULIO 2026'!Y6:Y110&lt;&gt;"",'JULIO 2026'!Y6:Y110,'JULIO 2026'!I6:I110)="MOLINOPAMPA")*('JULIO 2026'!K6:K110="GASOLINA")*'JULIO 2026'!M6:M110),0)</f>
        <v/>
      </c>
      <c r="F200" s="377">
        <f>IFERROR(SUMPRODUCT((IF('JULIO 2026'!Y6:Y110&lt;&gt;"",'JULIO 2026'!Y6:Y110,'JULIO 2026'!I6:I110)="MOLINOPAMPA")*('JULIO 2026'!K6:K110="GASOLINA")*'JULIO 2026'!L6:L110*'JULIO 2026'!M6:M110),0)</f>
        <v/>
      </c>
      <c r="G200" s="194" t="n"/>
      <c r="H200" s="194" t="n"/>
      <c r="I200" s="194" t="n"/>
      <c r="J200" s="194" t="n"/>
      <c r="K200" s="194" t="n"/>
      <c r="L200" s="194" t="n"/>
      <c r="M200" s="194" t="n"/>
      <c r="N200" s="194" t="n"/>
      <c r="O200" s="194" t="n"/>
      <c r="P200" s="194" t="n"/>
      <c r="Q200" s="194" t="n"/>
      <c r="R200" s="194" t="n"/>
      <c r="S200" s="194" t="n"/>
      <c r="T200" s="194" t="n"/>
      <c r="U200" s="194" t="n"/>
      <c r="V200" s="194" t="n"/>
      <c r="W200" s="194" t="n"/>
      <c r="X200" s="194" t="n"/>
      <c r="Y200" s="194" t="n"/>
      <c r="Z200" s="194" t="n"/>
    </row>
    <row r="201" ht="15" customHeight="1" s="195">
      <c r="A201" s="194" t="inlineStr">
        <is>
          <t>MOLINOPAMPA</t>
        </is>
      </c>
      <c r="B201" s="194" t="inlineStr">
        <is>
          <t>AGOSTO 2026</t>
        </is>
      </c>
      <c r="C201" s="377">
        <f>IFERROR(SUMPRODUCT((IF('AGOSTO 2026'!Y6:Y110&lt;&gt;"",'AGOSTO 2026'!Y6:Y110,'AGOSTO 2026'!I6:I110)="MOLINOPAMPA")*('AGOSTO 2026'!K6:K110="PETROLEO")*'AGOSTO 2026'!M6:M110),0)</f>
        <v/>
      </c>
      <c r="D201" s="377">
        <f>IFERROR(SUMPRODUCT((IF('AGOSTO 2026'!Y6:Y110&lt;&gt;"",'AGOSTO 2026'!Y6:Y110,'AGOSTO 2026'!I6:I110)="MOLINOPAMPA")*('AGOSTO 2026'!K6:K110="PETROLEO")*'AGOSTO 2026'!L6:L110*'AGOSTO 2026'!M6:M110),0)</f>
        <v/>
      </c>
      <c r="E201" s="377">
        <f>IFERROR(SUMPRODUCT((IF('AGOSTO 2026'!Y6:Y110&lt;&gt;"",'AGOSTO 2026'!Y6:Y110,'AGOSTO 2026'!I6:I110)="MOLINOPAMPA")*('AGOSTO 2026'!K6:K110="GASOLINA")*'AGOSTO 2026'!M6:M110),0)</f>
        <v/>
      </c>
      <c r="F201" s="377">
        <f>IFERROR(SUMPRODUCT((IF('AGOSTO 2026'!Y6:Y110&lt;&gt;"",'AGOSTO 2026'!Y6:Y110,'AGOSTO 2026'!I6:I110)="MOLINOPAMPA")*('AGOSTO 2026'!K6:K110="GASOLINA")*'AGOSTO 2026'!L6:L110*'AGOSTO 2026'!M6:M110),0)</f>
        <v/>
      </c>
      <c r="G201" s="194" t="n"/>
      <c r="H201" s="194" t="n"/>
      <c r="I201" s="194" t="n"/>
      <c r="J201" s="194" t="n"/>
      <c r="K201" s="194" t="n"/>
      <c r="L201" s="194" t="n"/>
      <c r="M201" s="194" t="n"/>
      <c r="N201" s="194" t="n"/>
      <c r="O201" s="194" t="n"/>
      <c r="P201" s="194" t="n"/>
      <c r="Q201" s="194" t="n"/>
      <c r="R201" s="194" t="n"/>
      <c r="S201" s="194" t="n"/>
      <c r="T201" s="194" t="n"/>
      <c r="U201" s="194" t="n"/>
      <c r="V201" s="194" t="n"/>
      <c r="W201" s="194" t="n"/>
      <c r="X201" s="194" t="n"/>
      <c r="Y201" s="194" t="n"/>
      <c r="Z201" s="194" t="n"/>
    </row>
    <row r="202" ht="15" customHeight="1" s="195">
      <c r="A202" s="194" t="inlineStr">
        <is>
          <t>MOLINOPAMPA</t>
        </is>
      </c>
      <c r="B202" s="194" t="inlineStr">
        <is>
          <t>SETIEMBRE 2026</t>
        </is>
      </c>
      <c r="C202" s="377">
        <f>IFERROR(SUMPRODUCT((IF('SETIEMBRE 2026'!Y6:Y110&lt;&gt;"",'SETIEMBRE 2026'!Y6:Y110,'SETIEMBRE 2026'!I6:I110)="MOLINOPAMPA")*('SETIEMBRE 2026'!K6:K110="PETROLEO")*'SETIEMBRE 2026'!M6:M110),0)</f>
        <v/>
      </c>
      <c r="D202" s="377">
        <f>IFERROR(SUMPRODUCT((IF('SETIEMBRE 2026'!Y6:Y110&lt;&gt;"",'SETIEMBRE 2026'!Y6:Y110,'SETIEMBRE 2026'!I6:I110)="MOLINOPAMPA")*('SETIEMBRE 2026'!K6:K110="PETROLEO")*'SETIEMBRE 2026'!L6:L110*'SETIEMBRE 2026'!M6:M110),0)</f>
        <v/>
      </c>
      <c r="E202" s="377">
        <f>IFERROR(SUMPRODUCT((IF('SETIEMBRE 2026'!Y6:Y110&lt;&gt;"",'SETIEMBRE 2026'!Y6:Y110,'SETIEMBRE 2026'!I6:I110)="MOLINOPAMPA")*('SETIEMBRE 2026'!K6:K110="GASOLINA")*'SETIEMBRE 2026'!M6:M110),0)</f>
        <v/>
      </c>
      <c r="F202" s="377">
        <f>IFERROR(SUMPRODUCT((IF('SETIEMBRE 2026'!Y6:Y110&lt;&gt;"",'SETIEMBRE 2026'!Y6:Y110,'SETIEMBRE 2026'!I6:I110)="MOLINOPAMPA")*('SETIEMBRE 2026'!K6:K110="GASOLINA")*'SETIEMBRE 2026'!L6:L110*'SETIEMBRE 2026'!M6:M110),0)</f>
        <v/>
      </c>
      <c r="G202" s="194" t="n"/>
      <c r="H202" s="194" t="n"/>
      <c r="I202" s="194" t="n"/>
      <c r="J202" s="194" t="n"/>
      <c r="K202" s="194" t="n"/>
      <c r="L202" s="194" t="n"/>
      <c r="M202" s="194" t="n"/>
      <c r="N202" s="194" t="n"/>
      <c r="O202" s="194" t="n"/>
      <c r="P202" s="194" t="n"/>
      <c r="Q202" s="194" t="n"/>
      <c r="R202" s="194" t="n"/>
      <c r="S202" s="194" t="n"/>
      <c r="T202" s="194" t="n"/>
      <c r="U202" s="194" t="n"/>
      <c r="V202" s="194" t="n"/>
      <c r="W202" s="194" t="n"/>
      <c r="X202" s="194" t="n"/>
      <c r="Y202" s="194" t="n"/>
      <c r="Z202" s="194" t="n"/>
    </row>
    <row r="203" ht="15" customHeight="1" s="195">
      <c r="A203" s="194" t="inlineStr">
        <is>
          <t>MOLINOPAMPA</t>
        </is>
      </c>
      <c r="B203" s="194" t="inlineStr">
        <is>
          <t>OCTUBRE 2026</t>
        </is>
      </c>
      <c r="C203" s="377">
        <f>IFERROR(SUMPRODUCT((IF('OCTUBRE 2026'!Y6:Y110&lt;&gt;"",'OCTUBRE 2026'!Y6:Y110,'OCTUBRE 2026'!I6:I110)="MOLINOPAMPA")*('OCTUBRE 2026'!K6:K110="PETROLEO")*'OCTUBRE 2026'!M6:M110),0)</f>
        <v/>
      </c>
      <c r="D203" s="377">
        <f>IFERROR(SUMPRODUCT((IF('OCTUBRE 2026'!Y6:Y110&lt;&gt;"",'OCTUBRE 2026'!Y6:Y110,'OCTUBRE 2026'!I6:I110)="MOLINOPAMPA")*('OCTUBRE 2026'!K6:K110="PETROLEO")*'OCTUBRE 2026'!L6:L110*'OCTUBRE 2026'!M6:M110),0)</f>
        <v/>
      </c>
      <c r="E203" s="377">
        <f>IFERROR(SUMPRODUCT((IF('OCTUBRE 2026'!Y6:Y110&lt;&gt;"",'OCTUBRE 2026'!Y6:Y110,'OCTUBRE 2026'!I6:I110)="MOLINOPAMPA")*('OCTUBRE 2026'!K6:K110="GASOLINA")*'OCTUBRE 2026'!M6:M110),0)</f>
        <v/>
      </c>
      <c r="F203" s="377">
        <f>IFERROR(SUMPRODUCT((IF('OCTUBRE 2026'!Y6:Y110&lt;&gt;"",'OCTUBRE 2026'!Y6:Y110,'OCTUBRE 2026'!I6:I110)="MOLINOPAMPA")*('OCTUBRE 2026'!K6:K110="GASOLINA")*'OCTUBRE 2026'!L6:L110*'OCTUBRE 2026'!M6:M110),0)</f>
        <v/>
      </c>
      <c r="G203" s="194" t="n"/>
      <c r="H203" s="194" t="n"/>
      <c r="I203" s="194" t="n"/>
      <c r="J203" s="194" t="n"/>
      <c r="K203" s="194" t="n"/>
      <c r="L203" s="194" t="n"/>
      <c r="M203" s="194" t="n"/>
      <c r="N203" s="194" t="n"/>
      <c r="O203" s="194" t="n"/>
      <c r="P203" s="194" t="n"/>
      <c r="Q203" s="194" t="n"/>
      <c r="R203" s="194" t="n"/>
      <c r="S203" s="194" t="n"/>
      <c r="T203" s="194" t="n"/>
      <c r="U203" s="194" t="n"/>
      <c r="V203" s="194" t="n"/>
      <c r="W203" s="194" t="n"/>
      <c r="X203" s="194" t="n"/>
      <c r="Y203" s="194" t="n"/>
      <c r="Z203" s="194" t="n"/>
    </row>
    <row r="204" ht="15" customHeight="1" s="195">
      <c r="A204" s="194" t="inlineStr">
        <is>
          <t>MOLINOPAMPA</t>
        </is>
      </c>
      <c r="B204" s="194" t="inlineStr">
        <is>
          <t>NOVIEMBRE 2026</t>
        </is>
      </c>
      <c r="C204" s="377">
        <f>IFERROR(SUMPRODUCT((IF('NOVIEMBRE 2026'!Y6:Y110&lt;&gt;"",'NOVIEMBRE 2026'!Y6:Y110,'NOVIEMBRE 2026'!I6:I110)="MOLINOPAMPA")*('NOVIEMBRE 2026'!K6:K110="PETROLEO")*'NOVIEMBRE 2026'!M6:M110),0)</f>
        <v/>
      </c>
      <c r="D204" s="377">
        <f>IFERROR(SUMPRODUCT((IF('NOVIEMBRE 2026'!Y6:Y110&lt;&gt;"",'NOVIEMBRE 2026'!Y6:Y110,'NOVIEMBRE 2026'!I6:I110)="MOLINOPAMPA")*('NOVIEMBRE 2026'!K6:K110="PETROLEO")*'NOVIEMBRE 2026'!L6:L110*'NOVIEMBRE 2026'!M6:M110),0)</f>
        <v/>
      </c>
      <c r="E204" s="377">
        <f>IFERROR(SUMPRODUCT((IF('NOVIEMBRE 2026'!Y6:Y110&lt;&gt;"",'NOVIEMBRE 2026'!Y6:Y110,'NOVIEMBRE 2026'!I6:I110)="MOLINOPAMPA")*('NOVIEMBRE 2026'!K6:K110="GASOLINA")*'NOVIEMBRE 2026'!M6:M110),0)</f>
        <v/>
      </c>
      <c r="F204" s="377">
        <f>IFERROR(SUMPRODUCT((IF('NOVIEMBRE 2026'!Y6:Y110&lt;&gt;"",'NOVIEMBRE 2026'!Y6:Y110,'NOVIEMBRE 2026'!I6:I110)="MOLINOPAMPA")*('NOVIEMBRE 2026'!K6:K110="GASOLINA")*'NOVIEMBRE 2026'!L6:L110*'NOVIEMBRE 2026'!M6:M110),0)</f>
        <v/>
      </c>
      <c r="G204" s="194" t="n"/>
      <c r="H204" s="194" t="n"/>
      <c r="I204" s="194" t="n"/>
      <c r="J204" s="194" t="n"/>
      <c r="K204" s="194" t="n"/>
      <c r="L204" s="194" t="n"/>
      <c r="M204" s="194" t="n"/>
      <c r="N204" s="194" t="n"/>
      <c r="O204" s="194" t="n"/>
      <c r="P204" s="194" t="n"/>
      <c r="Q204" s="194" t="n"/>
      <c r="R204" s="194" t="n"/>
      <c r="S204" s="194" t="n"/>
      <c r="T204" s="194" t="n"/>
      <c r="U204" s="194" t="n"/>
      <c r="V204" s="194" t="n"/>
      <c r="W204" s="194" t="n"/>
      <c r="X204" s="194" t="n"/>
      <c r="Y204" s="194" t="n"/>
      <c r="Z204" s="194" t="n"/>
    </row>
    <row r="205" ht="15" customHeight="1" s="195">
      <c r="A205" s="194" t="inlineStr">
        <is>
          <t>MOLINOPAMPA</t>
        </is>
      </c>
      <c r="B205" s="194" t="inlineStr">
        <is>
          <t>DICIEMBRE 2026</t>
        </is>
      </c>
      <c r="C205" s="377">
        <f>IFERROR(SUMPRODUCT((IF('DICIEMBRE 2026'!Y6:Y110&lt;&gt;"",'DICIEMBRE 2026'!Y6:Y110,'DICIEMBRE 2026'!I6:I110)="MOLINOPAMPA")*('DICIEMBRE 2026'!K6:K110="PETROLEO")*'DICIEMBRE 2026'!M6:M110),0)</f>
        <v/>
      </c>
      <c r="D205" s="377">
        <f>IFERROR(SUMPRODUCT((IF('DICIEMBRE 2026'!Y6:Y110&lt;&gt;"",'DICIEMBRE 2026'!Y6:Y110,'DICIEMBRE 2026'!I6:I110)="MOLINOPAMPA")*('DICIEMBRE 2026'!K6:K110="PETROLEO")*'DICIEMBRE 2026'!L6:L110*'DICIEMBRE 2026'!M6:M110),0)</f>
        <v/>
      </c>
      <c r="E205" s="377">
        <f>IFERROR(SUMPRODUCT((IF('DICIEMBRE 2026'!Y6:Y110&lt;&gt;"",'DICIEMBRE 2026'!Y6:Y110,'DICIEMBRE 2026'!I6:I110)="MOLINOPAMPA")*('DICIEMBRE 2026'!K6:K110="GASOLINA")*'DICIEMBRE 2026'!M6:M110),0)</f>
        <v/>
      </c>
      <c r="F205" s="377">
        <f>IFERROR(SUMPRODUCT((IF('DICIEMBRE 2026'!Y6:Y110&lt;&gt;"",'DICIEMBRE 2026'!Y6:Y110,'DICIEMBRE 2026'!I6:I110)="MOLINOPAMPA")*('DICIEMBRE 2026'!K6:K110="GASOLINA")*'DICIEMBRE 2026'!L6:L110*'DICIEMBRE 2026'!M6:M110),0)</f>
        <v/>
      </c>
      <c r="G205" s="194" t="n"/>
      <c r="H205" s="194" t="n"/>
      <c r="I205" s="194" t="n"/>
      <c r="J205" s="194" t="n"/>
      <c r="K205" s="194" t="n"/>
      <c r="L205" s="194" t="n"/>
      <c r="M205" s="194" t="n"/>
      <c r="N205" s="194" t="n"/>
      <c r="O205" s="194" t="n"/>
      <c r="P205" s="194" t="n"/>
      <c r="Q205" s="194" t="n"/>
      <c r="R205" s="194" t="n"/>
      <c r="S205" s="194" t="n"/>
      <c r="T205" s="194" t="n"/>
      <c r="U205" s="194" t="n"/>
      <c r="V205" s="194" t="n"/>
      <c r="W205" s="194" t="n"/>
      <c r="X205" s="194" t="n"/>
      <c r="Y205" s="194" t="n"/>
      <c r="Z205" s="194" t="n"/>
    </row>
    <row r="206" ht="15" customHeight="1" s="195">
      <c r="A206" s="194" t="inlineStr">
        <is>
          <t>NUEVO CHIRIMOTO</t>
        </is>
      </c>
      <c r="B206" s="194" t="inlineStr">
        <is>
          <t>ENERO 2026</t>
        </is>
      </c>
      <c r="C206" s="377">
        <f>IFERROR(SUMPRODUCT((IF('ENERO 2026'!Y6:Y119&lt;&gt;"",'ENERO 2026'!Y6:Y119,'ENERO 2026'!I6:I119)="NUEVO CHIRIMOTO")*('ENERO 2026'!K6:K119="PETROLEO")*'ENERO 2026'!M6:M119),0)</f>
        <v/>
      </c>
      <c r="D206" s="377">
        <f>IFERROR(SUMPRODUCT((IF('ENERO 2026'!Y6:Y119&lt;&gt;"",'ENERO 2026'!Y6:Y119,'ENERO 2026'!I6:I119)="NUEVO CHIRIMOTO")*('ENERO 2026'!K6:K119="PETROLEO")*'ENERO 2026'!L6:L119*'ENERO 2026'!M6:M119),0)</f>
        <v/>
      </c>
      <c r="E206" s="377">
        <f>IFERROR(SUMPRODUCT((IF('ENERO 2026'!Y6:Y119&lt;&gt;"",'ENERO 2026'!Y6:Y119,'ENERO 2026'!I6:I119)="NUEVO CHIRIMOTO")*('ENERO 2026'!K6:K119="GASOLINA")*'ENERO 2026'!M6:M119),0)</f>
        <v/>
      </c>
      <c r="F206" s="377">
        <f>IFERROR(SUMPRODUCT((IF('ENERO 2026'!Y6:Y119&lt;&gt;"",'ENERO 2026'!Y6:Y119,'ENERO 2026'!I6:I119)="NUEVO CHIRIMOTO")*('ENERO 2026'!K6:K119="GASOLINA")*'ENERO 2026'!L6:L119*'ENERO 2026'!M6:M119),0)</f>
        <v/>
      </c>
      <c r="G206" s="194" t="n"/>
      <c r="H206" s="194" t="n"/>
      <c r="I206" s="194" t="n"/>
      <c r="J206" s="194" t="n"/>
      <c r="K206" s="194" t="n"/>
      <c r="L206" s="194" t="n"/>
      <c r="M206" s="194" t="n"/>
      <c r="N206" s="194" t="n"/>
      <c r="O206" s="194" t="n"/>
      <c r="P206" s="194" t="n"/>
      <c r="Q206" s="194" t="n"/>
      <c r="R206" s="194" t="n"/>
      <c r="S206" s="194" t="n"/>
      <c r="T206" s="194" t="n"/>
      <c r="U206" s="194" t="n"/>
      <c r="V206" s="194" t="n"/>
      <c r="W206" s="194" t="n"/>
      <c r="X206" s="194" t="n"/>
      <c r="Y206" s="194" t="n"/>
      <c r="Z206" s="194" t="n"/>
    </row>
    <row r="207" ht="15" customHeight="1" s="195">
      <c r="A207" s="194" t="inlineStr">
        <is>
          <t>NUEVO CHIRIMOTO</t>
        </is>
      </c>
      <c r="B207" s="194" t="inlineStr">
        <is>
          <t>FEBRERO 2026</t>
        </is>
      </c>
      <c r="C207" s="377">
        <f>IFERROR(SUMPRODUCT((IF('FEBRERO 2026'!Y6:Y124&lt;&gt;"",'FEBRERO 2026'!Y6:Y124,'FEBRERO 2026'!I6:I124)="NUEVO CHIRIMOTO")*('FEBRERO 2026'!K6:K124="PETROLEO")*'FEBRERO 2026'!M6:M124),0)</f>
        <v/>
      </c>
      <c r="D207" s="377">
        <f>IFERROR(SUMPRODUCT((IF('FEBRERO 2026'!Y6:Y124&lt;&gt;"",'FEBRERO 2026'!Y6:Y124,'FEBRERO 2026'!I6:I124)="NUEVO CHIRIMOTO")*('FEBRERO 2026'!K6:K124="PETROLEO")*'FEBRERO 2026'!L6:L124*'FEBRERO 2026'!M6:M124),0)</f>
        <v/>
      </c>
      <c r="E207" s="377">
        <f>IFERROR(SUMPRODUCT((IF('FEBRERO 2026'!Y6:Y124&lt;&gt;"",'FEBRERO 2026'!Y6:Y124,'FEBRERO 2026'!I6:I124)="NUEVO CHIRIMOTO")*('FEBRERO 2026'!K6:K124="GASOLINA")*'FEBRERO 2026'!M6:M124),0)</f>
        <v/>
      </c>
      <c r="F207" s="377">
        <f>IFERROR(SUMPRODUCT((IF('FEBRERO 2026'!Y6:Y124&lt;&gt;"",'FEBRERO 2026'!Y6:Y124,'FEBRERO 2026'!I6:I124)="NUEVO CHIRIMOTO")*('FEBRERO 2026'!K6:K124="GASOLINA")*'FEBRERO 2026'!L6:L124*'FEBRERO 2026'!M6:M124),0)</f>
        <v/>
      </c>
      <c r="G207" s="194" t="n"/>
      <c r="H207" s="194" t="n"/>
      <c r="I207" s="194" t="n"/>
      <c r="J207" s="194" t="n"/>
      <c r="K207" s="194" t="n"/>
      <c r="L207" s="194" t="n"/>
      <c r="M207" s="194" t="n"/>
      <c r="N207" s="194" t="n"/>
      <c r="O207" s="194" t="n"/>
      <c r="P207" s="194" t="n"/>
      <c r="Q207" s="194" t="n"/>
      <c r="R207" s="194" t="n"/>
      <c r="S207" s="194" t="n"/>
      <c r="T207" s="194" t="n"/>
      <c r="U207" s="194" t="n"/>
      <c r="V207" s="194" t="n"/>
      <c r="W207" s="194" t="n"/>
      <c r="X207" s="194" t="n"/>
      <c r="Y207" s="194" t="n"/>
      <c r="Z207" s="194" t="n"/>
    </row>
    <row r="208" ht="15" customHeight="1" s="195">
      <c r="A208" s="194" t="inlineStr">
        <is>
          <t>NUEVO CHIRIMOTO</t>
        </is>
      </c>
      <c r="B208" s="194" t="inlineStr">
        <is>
          <t>MARZO 2026</t>
        </is>
      </c>
      <c r="C208" s="377">
        <f>IFERROR(SUMPRODUCT((IF('MARZO 2026'!Y6:Y119&lt;&gt;"",'MARZO 2026'!Y6:Y119,'MARZO 2026'!I6:I119)="NUEVO CHIRIMOTO")*('MARZO 2026'!K6:K119="PETROLEO")*'MARZO 2026'!M6:M119),0)</f>
        <v/>
      </c>
      <c r="D208" s="377">
        <f>IFERROR(SUMPRODUCT((IF('MARZO 2026'!Y6:Y119&lt;&gt;"",'MARZO 2026'!Y6:Y119,'MARZO 2026'!I6:I119)="NUEVO CHIRIMOTO")*('MARZO 2026'!K6:K119="PETROLEO")*'MARZO 2026'!L6:L119*'MARZO 2026'!M6:M119),0)</f>
        <v/>
      </c>
      <c r="E208" s="377">
        <f>IFERROR(SUMPRODUCT((IF('MARZO 2026'!Y6:Y119&lt;&gt;"",'MARZO 2026'!Y6:Y119,'MARZO 2026'!I6:I119)="NUEVO CHIRIMOTO")*('MARZO 2026'!K6:K119="GASOLINA")*'MARZO 2026'!M6:M119),0)</f>
        <v/>
      </c>
      <c r="F208" s="377">
        <f>IFERROR(SUMPRODUCT((IF('MARZO 2026'!Y6:Y119&lt;&gt;"",'MARZO 2026'!Y6:Y119,'MARZO 2026'!I6:I119)="NUEVO CHIRIMOTO")*('MARZO 2026'!K6:K119="GASOLINA")*'MARZO 2026'!L6:L119*'MARZO 2026'!M6:M119),0)</f>
        <v/>
      </c>
      <c r="G208" s="194" t="n"/>
      <c r="H208" s="194" t="n"/>
      <c r="I208" s="194" t="n"/>
      <c r="J208" s="194" t="n"/>
      <c r="K208" s="194" t="n"/>
      <c r="L208" s="194" t="n"/>
      <c r="M208" s="194" t="n"/>
      <c r="N208" s="194" t="n"/>
      <c r="O208" s="194" t="n"/>
      <c r="P208" s="194" t="n"/>
      <c r="Q208" s="194" t="n"/>
      <c r="R208" s="194" t="n"/>
      <c r="S208" s="194" t="n"/>
      <c r="T208" s="194" t="n"/>
      <c r="U208" s="194" t="n"/>
      <c r="V208" s="194" t="n"/>
      <c r="W208" s="194" t="n"/>
      <c r="X208" s="194" t="n"/>
      <c r="Y208" s="194" t="n"/>
      <c r="Z208" s="194" t="n"/>
    </row>
    <row r="209" ht="15" customHeight="1" s="195">
      <c r="A209" s="194" t="inlineStr">
        <is>
          <t>NUEVO CHIRIMOTO</t>
        </is>
      </c>
      <c r="B209" s="194" t="inlineStr">
        <is>
          <t>ABRIL 2026</t>
        </is>
      </c>
      <c r="C209" s="377">
        <f>IFERROR(SUMPRODUCT((IF('ABRIL 2026'!Y6:Y119&lt;&gt;"",'ABRIL 2026'!Y6:Y119,'ABRIL 2026'!I6:I119)="NUEVO CHIRIMOTO")*('ABRIL 2026'!K6:K119="PETROLEO")*'ABRIL 2026'!M6:M119),0)</f>
        <v/>
      </c>
      <c r="D209" s="377">
        <f>IFERROR(SUMPRODUCT((IF('ABRIL 2026'!Y6:Y119&lt;&gt;"",'ABRIL 2026'!Y6:Y119,'ABRIL 2026'!I6:I119)="NUEVO CHIRIMOTO")*('ABRIL 2026'!K6:K119="PETROLEO")*'ABRIL 2026'!L6:L119*'ABRIL 2026'!M6:M119),0)</f>
        <v/>
      </c>
      <c r="E209" s="377">
        <f>IFERROR(SUMPRODUCT((IF('ABRIL 2026'!Y6:Y119&lt;&gt;"",'ABRIL 2026'!Y6:Y119,'ABRIL 2026'!I6:I119)="NUEVO CHIRIMOTO")*('ABRIL 2026'!K6:K119="GASOLINA")*'ABRIL 2026'!M6:M119),0)</f>
        <v/>
      </c>
      <c r="F209" s="377">
        <f>IFERROR(SUMPRODUCT((IF('ABRIL 2026'!Y6:Y119&lt;&gt;"",'ABRIL 2026'!Y6:Y119,'ABRIL 2026'!I6:I119)="NUEVO CHIRIMOTO")*('ABRIL 2026'!K6:K119="GASOLINA")*'ABRIL 2026'!L6:L119*'ABRIL 2026'!M6:M119),0)</f>
        <v/>
      </c>
      <c r="G209" s="194" t="n"/>
      <c r="H209" s="194" t="n"/>
      <c r="I209" s="194" t="n"/>
      <c r="J209" s="194" t="n"/>
      <c r="K209" s="194" t="n"/>
      <c r="L209" s="194" t="n"/>
      <c r="M209" s="194" t="n"/>
      <c r="N209" s="194" t="n"/>
      <c r="O209" s="194" t="n"/>
      <c r="P209" s="194" t="n"/>
      <c r="Q209" s="194" t="n"/>
      <c r="R209" s="194" t="n"/>
      <c r="S209" s="194" t="n"/>
      <c r="T209" s="194" t="n"/>
      <c r="U209" s="194" t="n"/>
      <c r="V209" s="194" t="n"/>
      <c r="W209" s="194" t="n"/>
      <c r="X209" s="194" t="n"/>
      <c r="Y209" s="194" t="n"/>
      <c r="Z209" s="194" t="n"/>
    </row>
    <row r="210" ht="15" customHeight="1" s="195">
      <c r="A210" s="194" t="inlineStr">
        <is>
          <t>NUEVO CHIRIMOTO</t>
        </is>
      </c>
      <c r="B210" s="194" t="inlineStr">
        <is>
          <t>MAYO 2026</t>
        </is>
      </c>
      <c r="C210" s="377">
        <f>IFERROR(SUMPRODUCT((IF('MAYO 2026'!Y6:Y110&lt;&gt;"",'MAYO 2026'!Y6:Y110,'MAYO 2026'!I6:I110)="NUEVO CHIRIMOTO")*('MAYO 2026'!K6:K110="PETROLEO")*'MAYO 2026'!M6:M110),0)</f>
        <v/>
      </c>
      <c r="D210" s="377">
        <f>IFERROR(SUMPRODUCT((IF('MAYO 2026'!Y6:Y110&lt;&gt;"",'MAYO 2026'!Y6:Y110,'MAYO 2026'!I6:I110)="NUEVO CHIRIMOTO")*('MAYO 2026'!K6:K110="PETROLEO")*'MAYO 2026'!L6:L110*'MAYO 2026'!M6:M110),0)</f>
        <v/>
      </c>
      <c r="E210" s="377">
        <f>IFERROR(SUMPRODUCT((IF('MAYO 2026'!Y6:Y110&lt;&gt;"",'MAYO 2026'!Y6:Y110,'MAYO 2026'!I6:I110)="NUEVO CHIRIMOTO")*('MAYO 2026'!K6:K110="GASOLINA")*'MAYO 2026'!M6:M110),0)</f>
        <v/>
      </c>
      <c r="F210" s="377">
        <f>IFERROR(SUMPRODUCT((IF('MAYO 2026'!Y6:Y110&lt;&gt;"",'MAYO 2026'!Y6:Y110,'MAYO 2026'!I6:I110)="NUEVO CHIRIMOTO")*('MAYO 2026'!K6:K110="GASOLINA")*'MAYO 2026'!L6:L110*'MAYO 2026'!M6:M110),0)</f>
        <v/>
      </c>
      <c r="G210" s="194" t="n"/>
      <c r="H210" s="194" t="n"/>
      <c r="I210" s="194" t="n"/>
      <c r="J210" s="194" t="n"/>
      <c r="K210" s="194" t="n"/>
      <c r="L210" s="194" t="n"/>
      <c r="M210" s="194" t="n"/>
      <c r="N210" s="194" t="n"/>
      <c r="O210" s="194" t="n"/>
      <c r="P210" s="194" t="n"/>
      <c r="Q210" s="194" t="n"/>
      <c r="R210" s="194" t="n"/>
      <c r="S210" s="194" t="n"/>
      <c r="T210" s="194" t="n"/>
      <c r="U210" s="194" t="n"/>
      <c r="V210" s="194" t="n"/>
      <c r="W210" s="194" t="n"/>
      <c r="X210" s="194" t="n"/>
      <c r="Y210" s="194" t="n"/>
      <c r="Z210" s="194" t="n"/>
    </row>
    <row r="211" ht="15" customHeight="1" s="195">
      <c r="A211" s="194" t="inlineStr">
        <is>
          <t>NUEVO CHIRIMOTO</t>
        </is>
      </c>
      <c r="B211" s="194" t="inlineStr">
        <is>
          <t>JUNIO 2026</t>
        </is>
      </c>
      <c r="C211" s="377">
        <f>IFERROR(SUMPRODUCT((IF('JUNIO 2026'!Y6:Y110&lt;&gt;"",'JUNIO 2026'!Y6:Y110,'JUNIO 2026'!I6:I110)="NUEVO CHIRIMOTO")*('JUNIO 2026'!K6:K110="PETROLEO")*'JUNIO 2026'!M6:M110),0)</f>
        <v/>
      </c>
      <c r="D211" s="377">
        <f>IFERROR(SUMPRODUCT((IF('JUNIO 2026'!Y6:Y110&lt;&gt;"",'JUNIO 2026'!Y6:Y110,'JUNIO 2026'!I6:I110)="NUEVO CHIRIMOTO")*('JUNIO 2026'!K6:K110="PETROLEO")*'JUNIO 2026'!L6:L110*'JUNIO 2026'!M6:M110),0)</f>
        <v/>
      </c>
      <c r="E211" s="377">
        <f>IFERROR(SUMPRODUCT((IF('JUNIO 2026'!Y6:Y110&lt;&gt;"",'JUNIO 2026'!Y6:Y110,'JUNIO 2026'!I6:I110)="NUEVO CHIRIMOTO")*('JUNIO 2026'!K6:K110="GASOLINA")*'JUNIO 2026'!M6:M110),0)</f>
        <v/>
      </c>
      <c r="F211" s="377">
        <f>IFERROR(SUMPRODUCT((IF('JUNIO 2026'!Y6:Y110&lt;&gt;"",'JUNIO 2026'!Y6:Y110,'JUNIO 2026'!I6:I110)="NUEVO CHIRIMOTO")*('JUNIO 2026'!K6:K110="GASOLINA")*'JUNIO 2026'!L6:L110*'JUNIO 2026'!M6:M110),0)</f>
        <v/>
      </c>
      <c r="G211" s="194" t="n"/>
      <c r="H211" s="194" t="n"/>
      <c r="I211" s="194" t="n"/>
      <c r="J211" s="194" t="n"/>
      <c r="K211" s="194" t="n"/>
      <c r="L211" s="194" t="n"/>
      <c r="M211" s="194" t="n"/>
      <c r="N211" s="194" t="n"/>
      <c r="O211" s="194" t="n"/>
      <c r="P211" s="194" t="n"/>
      <c r="Q211" s="194" t="n"/>
      <c r="R211" s="194" t="n"/>
      <c r="S211" s="194" t="n"/>
      <c r="T211" s="194" t="n"/>
      <c r="U211" s="194" t="n"/>
      <c r="V211" s="194" t="n"/>
      <c r="W211" s="194" t="n"/>
      <c r="X211" s="194" t="n"/>
      <c r="Y211" s="194" t="n"/>
      <c r="Z211" s="194" t="n"/>
    </row>
    <row r="212" ht="15" customHeight="1" s="195">
      <c r="A212" s="194" t="inlineStr">
        <is>
          <t>NUEVO CHIRIMOTO</t>
        </is>
      </c>
      <c r="B212" s="194" t="inlineStr">
        <is>
          <t>JULIO 2026</t>
        </is>
      </c>
      <c r="C212" s="377">
        <f>IFERROR(SUMPRODUCT((IF('JULIO 2026'!Y6:Y110&lt;&gt;"",'JULIO 2026'!Y6:Y110,'JULIO 2026'!I6:I110)="NUEVO CHIRIMOTO")*('JULIO 2026'!K6:K110="PETROLEO")*'JULIO 2026'!M6:M110),0)</f>
        <v/>
      </c>
      <c r="D212" s="377">
        <f>IFERROR(SUMPRODUCT((IF('JULIO 2026'!Y6:Y110&lt;&gt;"",'JULIO 2026'!Y6:Y110,'JULIO 2026'!I6:I110)="NUEVO CHIRIMOTO")*('JULIO 2026'!K6:K110="PETROLEO")*'JULIO 2026'!L6:L110*'JULIO 2026'!M6:M110),0)</f>
        <v/>
      </c>
      <c r="E212" s="377">
        <f>IFERROR(SUMPRODUCT((IF('JULIO 2026'!Y6:Y110&lt;&gt;"",'JULIO 2026'!Y6:Y110,'JULIO 2026'!I6:I110)="NUEVO CHIRIMOTO")*('JULIO 2026'!K6:K110="GASOLINA")*'JULIO 2026'!M6:M110),0)</f>
        <v/>
      </c>
      <c r="F212" s="377">
        <f>IFERROR(SUMPRODUCT((IF('JULIO 2026'!Y6:Y110&lt;&gt;"",'JULIO 2026'!Y6:Y110,'JULIO 2026'!I6:I110)="NUEVO CHIRIMOTO")*('JULIO 2026'!K6:K110="GASOLINA")*'JULIO 2026'!L6:L110*'JULIO 2026'!M6:M110),0)</f>
        <v/>
      </c>
      <c r="G212" s="194" t="n"/>
      <c r="H212" s="194" t="n"/>
      <c r="I212" s="194" t="n"/>
      <c r="J212" s="194" t="n"/>
      <c r="K212" s="194" t="n"/>
      <c r="L212" s="194" t="n"/>
      <c r="M212" s="194" t="n"/>
      <c r="N212" s="194" t="n"/>
      <c r="O212" s="194" t="n"/>
      <c r="P212" s="194" t="n"/>
      <c r="Q212" s="194" t="n"/>
      <c r="R212" s="194" t="n"/>
      <c r="S212" s="194" t="n"/>
      <c r="T212" s="194" t="n"/>
      <c r="U212" s="194" t="n"/>
      <c r="V212" s="194" t="n"/>
      <c r="W212" s="194" t="n"/>
      <c r="X212" s="194" t="n"/>
      <c r="Y212" s="194" t="n"/>
      <c r="Z212" s="194" t="n"/>
    </row>
    <row r="213" ht="15" customHeight="1" s="195">
      <c r="A213" s="194" t="inlineStr">
        <is>
          <t>NUEVO CHIRIMOTO</t>
        </is>
      </c>
      <c r="B213" s="194" t="inlineStr">
        <is>
          <t>AGOSTO 2026</t>
        </is>
      </c>
      <c r="C213" s="377">
        <f>IFERROR(SUMPRODUCT((IF('AGOSTO 2026'!Y6:Y110&lt;&gt;"",'AGOSTO 2026'!Y6:Y110,'AGOSTO 2026'!I6:I110)="NUEVO CHIRIMOTO")*('AGOSTO 2026'!K6:K110="PETROLEO")*'AGOSTO 2026'!M6:M110),0)</f>
        <v/>
      </c>
      <c r="D213" s="377">
        <f>IFERROR(SUMPRODUCT((IF('AGOSTO 2026'!Y6:Y110&lt;&gt;"",'AGOSTO 2026'!Y6:Y110,'AGOSTO 2026'!I6:I110)="NUEVO CHIRIMOTO")*('AGOSTO 2026'!K6:K110="PETROLEO")*'AGOSTO 2026'!L6:L110*'AGOSTO 2026'!M6:M110),0)</f>
        <v/>
      </c>
      <c r="E213" s="377">
        <f>IFERROR(SUMPRODUCT((IF('AGOSTO 2026'!Y6:Y110&lt;&gt;"",'AGOSTO 2026'!Y6:Y110,'AGOSTO 2026'!I6:I110)="NUEVO CHIRIMOTO")*('AGOSTO 2026'!K6:K110="GASOLINA")*'AGOSTO 2026'!M6:M110),0)</f>
        <v/>
      </c>
      <c r="F213" s="377">
        <f>IFERROR(SUMPRODUCT((IF('AGOSTO 2026'!Y6:Y110&lt;&gt;"",'AGOSTO 2026'!Y6:Y110,'AGOSTO 2026'!I6:I110)="NUEVO CHIRIMOTO")*('AGOSTO 2026'!K6:K110="GASOLINA")*'AGOSTO 2026'!L6:L110*'AGOSTO 2026'!M6:M110),0)</f>
        <v/>
      </c>
      <c r="G213" s="194" t="n"/>
      <c r="H213" s="194" t="n"/>
      <c r="I213" s="194" t="n"/>
      <c r="J213" s="194" t="n"/>
      <c r="K213" s="194" t="n"/>
      <c r="L213" s="194" t="n"/>
      <c r="M213" s="194" t="n"/>
      <c r="N213" s="194" t="n"/>
      <c r="O213" s="194" t="n"/>
      <c r="P213" s="194" t="n"/>
      <c r="Q213" s="194" t="n"/>
      <c r="R213" s="194" t="n"/>
      <c r="S213" s="194" t="n"/>
      <c r="T213" s="194" t="n"/>
      <c r="U213" s="194" t="n"/>
      <c r="V213" s="194" t="n"/>
      <c r="W213" s="194" t="n"/>
      <c r="X213" s="194" t="n"/>
      <c r="Y213" s="194" t="n"/>
      <c r="Z213" s="194" t="n"/>
    </row>
    <row r="214" ht="15" customHeight="1" s="195">
      <c r="A214" s="194" t="inlineStr">
        <is>
          <t>NUEVO CHIRIMOTO</t>
        </is>
      </c>
      <c r="B214" s="194" t="inlineStr">
        <is>
          <t>SETIEMBRE 2026</t>
        </is>
      </c>
      <c r="C214" s="377">
        <f>IFERROR(SUMPRODUCT((IF('SETIEMBRE 2026'!Y6:Y110&lt;&gt;"",'SETIEMBRE 2026'!Y6:Y110,'SETIEMBRE 2026'!I6:I110)="NUEVO CHIRIMOTO")*('SETIEMBRE 2026'!K6:K110="PETROLEO")*'SETIEMBRE 2026'!M6:M110),0)</f>
        <v/>
      </c>
      <c r="D214" s="377">
        <f>IFERROR(SUMPRODUCT((IF('SETIEMBRE 2026'!Y6:Y110&lt;&gt;"",'SETIEMBRE 2026'!Y6:Y110,'SETIEMBRE 2026'!I6:I110)="NUEVO CHIRIMOTO")*('SETIEMBRE 2026'!K6:K110="PETROLEO")*'SETIEMBRE 2026'!L6:L110*'SETIEMBRE 2026'!M6:M110),0)</f>
        <v/>
      </c>
      <c r="E214" s="377">
        <f>IFERROR(SUMPRODUCT((IF('SETIEMBRE 2026'!Y6:Y110&lt;&gt;"",'SETIEMBRE 2026'!Y6:Y110,'SETIEMBRE 2026'!I6:I110)="NUEVO CHIRIMOTO")*('SETIEMBRE 2026'!K6:K110="GASOLINA")*'SETIEMBRE 2026'!M6:M110),0)</f>
        <v/>
      </c>
      <c r="F214" s="377">
        <f>IFERROR(SUMPRODUCT((IF('SETIEMBRE 2026'!Y6:Y110&lt;&gt;"",'SETIEMBRE 2026'!Y6:Y110,'SETIEMBRE 2026'!I6:I110)="NUEVO CHIRIMOTO")*('SETIEMBRE 2026'!K6:K110="GASOLINA")*'SETIEMBRE 2026'!L6:L110*'SETIEMBRE 2026'!M6:M110),0)</f>
        <v/>
      </c>
      <c r="G214" s="194" t="n"/>
      <c r="H214" s="194" t="n"/>
      <c r="I214" s="194" t="n"/>
      <c r="J214" s="194" t="n"/>
      <c r="K214" s="194" t="n"/>
      <c r="L214" s="194" t="n"/>
      <c r="M214" s="194" t="n"/>
      <c r="N214" s="194" t="n"/>
      <c r="O214" s="194" t="n"/>
      <c r="P214" s="194" t="n"/>
      <c r="Q214" s="194" t="n"/>
      <c r="R214" s="194" t="n"/>
      <c r="S214" s="194" t="n"/>
      <c r="T214" s="194" t="n"/>
      <c r="U214" s="194" t="n"/>
      <c r="V214" s="194" t="n"/>
      <c r="W214" s="194" t="n"/>
      <c r="X214" s="194" t="n"/>
      <c r="Y214" s="194" t="n"/>
      <c r="Z214" s="194" t="n"/>
    </row>
    <row r="215" ht="15" customHeight="1" s="195">
      <c r="A215" s="194" t="inlineStr">
        <is>
          <t>NUEVO CHIRIMOTO</t>
        </is>
      </c>
      <c r="B215" s="194" t="inlineStr">
        <is>
          <t>OCTUBRE 2026</t>
        </is>
      </c>
      <c r="C215" s="377">
        <f>IFERROR(SUMPRODUCT((IF('OCTUBRE 2026'!Y6:Y110&lt;&gt;"",'OCTUBRE 2026'!Y6:Y110,'OCTUBRE 2026'!I6:I110)="NUEVO CHIRIMOTO")*('OCTUBRE 2026'!K6:K110="PETROLEO")*'OCTUBRE 2026'!M6:M110),0)</f>
        <v/>
      </c>
      <c r="D215" s="377">
        <f>IFERROR(SUMPRODUCT((IF('OCTUBRE 2026'!Y6:Y110&lt;&gt;"",'OCTUBRE 2026'!Y6:Y110,'OCTUBRE 2026'!I6:I110)="NUEVO CHIRIMOTO")*('OCTUBRE 2026'!K6:K110="PETROLEO")*'OCTUBRE 2026'!L6:L110*'OCTUBRE 2026'!M6:M110),0)</f>
        <v/>
      </c>
      <c r="E215" s="377">
        <f>IFERROR(SUMPRODUCT((IF('OCTUBRE 2026'!Y6:Y110&lt;&gt;"",'OCTUBRE 2026'!Y6:Y110,'OCTUBRE 2026'!I6:I110)="NUEVO CHIRIMOTO")*('OCTUBRE 2026'!K6:K110="GASOLINA")*'OCTUBRE 2026'!M6:M110),0)</f>
        <v/>
      </c>
      <c r="F215" s="377">
        <f>IFERROR(SUMPRODUCT((IF('OCTUBRE 2026'!Y6:Y110&lt;&gt;"",'OCTUBRE 2026'!Y6:Y110,'OCTUBRE 2026'!I6:I110)="NUEVO CHIRIMOTO")*('OCTUBRE 2026'!K6:K110="GASOLINA")*'OCTUBRE 2026'!L6:L110*'OCTUBRE 2026'!M6:M110),0)</f>
        <v/>
      </c>
      <c r="G215" s="194" t="n"/>
      <c r="H215" s="194" t="n"/>
      <c r="I215" s="194" t="n"/>
      <c r="J215" s="194" t="n"/>
      <c r="K215" s="194" t="n"/>
      <c r="L215" s="194" t="n"/>
      <c r="M215" s="194" t="n"/>
      <c r="N215" s="194" t="n"/>
      <c r="O215" s="194" t="n"/>
      <c r="P215" s="194" t="n"/>
      <c r="Q215" s="194" t="n"/>
      <c r="R215" s="194" t="n"/>
      <c r="S215" s="194" t="n"/>
      <c r="T215" s="194" t="n"/>
      <c r="U215" s="194" t="n"/>
      <c r="V215" s="194" t="n"/>
      <c r="W215" s="194" t="n"/>
      <c r="X215" s="194" t="n"/>
      <c r="Y215" s="194" t="n"/>
      <c r="Z215" s="194" t="n"/>
    </row>
    <row r="216" ht="15" customHeight="1" s="195">
      <c r="A216" s="194" t="inlineStr">
        <is>
          <t>NUEVO CHIRIMOTO</t>
        </is>
      </c>
      <c r="B216" s="194" t="inlineStr">
        <is>
          <t>NOVIEMBRE 2026</t>
        </is>
      </c>
      <c r="C216" s="377">
        <f>IFERROR(SUMPRODUCT((IF('NOVIEMBRE 2026'!Y6:Y110&lt;&gt;"",'NOVIEMBRE 2026'!Y6:Y110,'NOVIEMBRE 2026'!I6:I110)="NUEVO CHIRIMOTO")*('NOVIEMBRE 2026'!K6:K110="PETROLEO")*'NOVIEMBRE 2026'!M6:M110),0)</f>
        <v/>
      </c>
      <c r="D216" s="377">
        <f>IFERROR(SUMPRODUCT((IF('NOVIEMBRE 2026'!Y6:Y110&lt;&gt;"",'NOVIEMBRE 2026'!Y6:Y110,'NOVIEMBRE 2026'!I6:I110)="NUEVO CHIRIMOTO")*('NOVIEMBRE 2026'!K6:K110="PETROLEO")*'NOVIEMBRE 2026'!L6:L110*'NOVIEMBRE 2026'!M6:M110),0)</f>
        <v/>
      </c>
      <c r="E216" s="377">
        <f>IFERROR(SUMPRODUCT((IF('NOVIEMBRE 2026'!Y6:Y110&lt;&gt;"",'NOVIEMBRE 2026'!Y6:Y110,'NOVIEMBRE 2026'!I6:I110)="NUEVO CHIRIMOTO")*('NOVIEMBRE 2026'!K6:K110="GASOLINA")*'NOVIEMBRE 2026'!M6:M110),0)</f>
        <v/>
      </c>
      <c r="F216" s="377">
        <f>IFERROR(SUMPRODUCT((IF('NOVIEMBRE 2026'!Y6:Y110&lt;&gt;"",'NOVIEMBRE 2026'!Y6:Y110,'NOVIEMBRE 2026'!I6:I110)="NUEVO CHIRIMOTO")*('NOVIEMBRE 2026'!K6:K110="GASOLINA")*'NOVIEMBRE 2026'!L6:L110*'NOVIEMBRE 2026'!M6:M110),0)</f>
        <v/>
      </c>
      <c r="G216" s="194" t="n"/>
      <c r="H216" s="194" t="n"/>
      <c r="I216" s="194" t="n"/>
      <c r="J216" s="194" t="n"/>
      <c r="K216" s="194" t="n"/>
      <c r="L216" s="194" t="n"/>
      <c r="M216" s="194" t="n"/>
      <c r="N216" s="194" t="n"/>
      <c r="O216" s="194" t="n"/>
      <c r="P216" s="194" t="n"/>
      <c r="Q216" s="194" t="n"/>
      <c r="R216" s="194" t="n"/>
      <c r="S216" s="194" t="n"/>
      <c r="T216" s="194" t="n"/>
      <c r="U216" s="194" t="n"/>
      <c r="V216" s="194" t="n"/>
      <c r="W216" s="194" t="n"/>
      <c r="X216" s="194" t="n"/>
      <c r="Y216" s="194" t="n"/>
      <c r="Z216" s="194" t="n"/>
    </row>
    <row r="217" ht="15" customHeight="1" s="195">
      <c r="A217" s="194" t="inlineStr">
        <is>
          <t>NUEVO CHIRIMOTO</t>
        </is>
      </c>
      <c r="B217" s="194" t="inlineStr">
        <is>
          <t>DICIEMBRE 2026</t>
        </is>
      </c>
      <c r="C217" s="377">
        <f>IFERROR(SUMPRODUCT((IF('DICIEMBRE 2026'!Y6:Y110&lt;&gt;"",'DICIEMBRE 2026'!Y6:Y110,'DICIEMBRE 2026'!I6:I110)="NUEVO CHIRIMOTO")*('DICIEMBRE 2026'!K6:K110="PETROLEO")*'DICIEMBRE 2026'!M6:M110),0)</f>
        <v/>
      </c>
      <c r="D217" s="377">
        <f>IFERROR(SUMPRODUCT((IF('DICIEMBRE 2026'!Y6:Y110&lt;&gt;"",'DICIEMBRE 2026'!Y6:Y110,'DICIEMBRE 2026'!I6:I110)="NUEVO CHIRIMOTO")*('DICIEMBRE 2026'!K6:K110="PETROLEO")*'DICIEMBRE 2026'!L6:L110*'DICIEMBRE 2026'!M6:M110),0)</f>
        <v/>
      </c>
      <c r="E217" s="377">
        <f>IFERROR(SUMPRODUCT((IF('DICIEMBRE 2026'!Y6:Y110&lt;&gt;"",'DICIEMBRE 2026'!Y6:Y110,'DICIEMBRE 2026'!I6:I110)="NUEVO CHIRIMOTO")*('DICIEMBRE 2026'!K6:K110="GASOLINA")*'DICIEMBRE 2026'!M6:M110),0)</f>
        <v/>
      </c>
      <c r="F217" s="377">
        <f>IFERROR(SUMPRODUCT((IF('DICIEMBRE 2026'!Y6:Y110&lt;&gt;"",'DICIEMBRE 2026'!Y6:Y110,'DICIEMBRE 2026'!I6:I110)="NUEVO CHIRIMOTO")*('DICIEMBRE 2026'!K6:K110="GASOLINA")*'DICIEMBRE 2026'!L6:L110*'DICIEMBRE 2026'!M6:M110),0)</f>
        <v/>
      </c>
      <c r="G217" s="194" t="n"/>
      <c r="H217" s="194" t="n"/>
      <c r="I217" s="194" t="n"/>
      <c r="J217" s="194" t="n"/>
      <c r="K217" s="194" t="n"/>
      <c r="L217" s="194" t="n"/>
      <c r="M217" s="194" t="n"/>
      <c r="N217" s="194" t="n"/>
      <c r="O217" s="194" t="n"/>
      <c r="P217" s="194" t="n"/>
      <c r="Q217" s="194" t="n"/>
      <c r="R217" s="194" t="n"/>
      <c r="S217" s="194" t="n"/>
      <c r="T217" s="194" t="n"/>
      <c r="U217" s="194" t="n"/>
      <c r="V217" s="194" t="n"/>
      <c r="W217" s="194" t="n"/>
      <c r="X217" s="194" t="n"/>
      <c r="Y217" s="194" t="n"/>
      <c r="Z217" s="194" t="n"/>
    </row>
    <row r="218" ht="15.75" customHeight="1" s="195">
      <c r="A218" s="194" t="inlineStr">
        <is>
          <t>OCALLI</t>
        </is>
      </c>
      <c r="B218" s="194" t="inlineStr">
        <is>
          <t>ENERO 2026</t>
        </is>
      </c>
      <c r="C218" s="377">
        <f>IFERROR(SUMPRODUCT((IF('ENERO 2026'!Y6:Y119&lt;&gt;"",'ENERO 2026'!Y6:Y119,'ENERO 2026'!I6:I119)="OCALLI")*('ENERO 2026'!K6:K119="PETROLEO")*'ENERO 2026'!M6:M119),0)</f>
        <v/>
      </c>
      <c r="D218" s="377">
        <f>IFERROR(SUMPRODUCT((IF('ENERO 2026'!Y6:Y119&lt;&gt;"",'ENERO 2026'!Y6:Y119,'ENERO 2026'!I6:I119)="OCALLI")*('ENERO 2026'!K6:K119="PETROLEO")*'ENERO 2026'!L6:L119*'ENERO 2026'!M6:M119),0)</f>
        <v/>
      </c>
      <c r="E218" s="377">
        <f>IFERROR(SUMPRODUCT((IF('ENERO 2026'!Y6:Y119&lt;&gt;"",'ENERO 2026'!Y6:Y119,'ENERO 2026'!I6:I119)="OCALLI")*('ENERO 2026'!K6:K119="GASOLINA")*'ENERO 2026'!M6:M119),0)</f>
        <v/>
      </c>
      <c r="F218" s="377">
        <f>IFERROR(SUMPRODUCT((IF('ENERO 2026'!Y6:Y119&lt;&gt;"",'ENERO 2026'!Y6:Y119,'ENERO 2026'!I6:I119)="OCALLI")*('ENERO 2026'!K6:K119="GASOLINA")*'ENERO 2026'!L6:L119*'ENERO 2026'!M6:M119),0)</f>
        <v/>
      </c>
      <c r="G218" s="194" t="n"/>
      <c r="H218" s="194" t="n"/>
      <c r="I218" s="194" t="n"/>
      <c r="J218" s="194" t="n"/>
      <c r="K218" s="194" t="n"/>
      <c r="L218" s="194" t="n"/>
      <c r="M218" s="194" t="n"/>
      <c r="N218" s="194" t="n"/>
      <c r="O218" s="194" t="n"/>
      <c r="P218" s="194" t="n"/>
      <c r="Q218" s="194" t="n"/>
      <c r="R218" s="194" t="n"/>
      <c r="S218" s="194" t="n"/>
      <c r="T218" s="194" t="n"/>
      <c r="U218" s="194" t="n"/>
      <c r="V218" s="194" t="n"/>
      <c r="W218" s="194" t="n"/>
      <c r="X218" s="194" t="n"/>
      <c r="Y218" s="194" t="n"/>
      <c r="Z218" s="194" t="n"/>
    </row>
    <row r="219" ht="15.75" customHeight="1" s="195">
      <c r="A219" s="194" t="inlineStr">
        <is>
          <t>OCALLI</t>
        </is>
      </c>
      <c r="B219" s="194" t="inlineStr">
        <is>
          <t>FEBRERO 2026</t>
        </is>
      </c>
      <c r="C219" s="377">
        <f>IFERROR(SUMPRODUCT((IF('FEBRERO 2026'!Y6:Y124&lt;&gt;"",'FEBRERO 2026'!Y6:Y124,'FEBRERO 2026'!I6:I124)="OCALLI")*('FEBRERO 2026'!K6:K124="PETROLEO")*'FEBRERO 2026'!M6:M124),0)</f>
        <v/>
      </c>
      <c r="D219" s="377">
        <f>IFERROR(SUMPRODUCT((IF('FEBRERO 2026'!Y6:Y124&lt;&gt;"",'FEBRERO 2026'!Y6:Y124,'FEBRERO 2026'!I6:I124)="OCALLI")*('FEBRERO 2026'!K6:K124="PETROLEO")*'FEBRERO 2026'!L6:L124*'FEBRERO 2026'!M6:M124),0)</f>
        <v/>
      </c>
      <c r="E219" s="377">
        <f>IFERROR(SUMPRODUCT((IF('FEBRERO 2026'!Y6:Y124&lt;&gt;"",'FEBRERO 2026'!Y6:Y124,'FEBRERO 2026'!I6:I124)="OCALLI")*('FEBRERO 2026'!K6:K124="GASOLINA")*'FEBRERO 2026'!M6:M124),0)</f>
        <v/>
      </c>
      <c r="F219" s="377">
        <f>IFERROR(SUMPRODUCT((IF('FEBRERO 2026'!Y6:Y124&lt;&gt;"",'FEBRERO 2026'!Y6:Y124,'FEBRERO 2026'!I6:I124)="OCALLI")*('FEBRERO 2026'!K6:K124="GASOLINA")*'FEBRERO 2026'!L6:L124*'FEBRERO 2026'!M6:M124),0)</f>
        <v/>
      </c>
      <c r="G219" s="194" t="n"/>
      <c r="H219" s="194" t="n"/>
      <c r="I219" s="194" t="n"/>
      <c r="J219" s="194" t="n"/>
      <c r="K219" s="194" t="n"/>
      <c r="L219" s="194" t="n"/>
      <c r="M219" s="194" t="n"/>
      <c r="N219" s="194" t="n"/>
      <c r="O219" s="194" t="n"/>
      <c r="P219" s="194" t="n"/>
      <c r="Q219" s="194" t="n"/>
      <c r="R219" s="194" t="n"/>
      <c r="S219" s="194" t="n"/>
      <c r="T219" s="194" t="n"/>
      <c r="U219" s="194" t="n"/>
      <c r="V219" s="194" t="n"/>
      <c r="W219" s="194" t="n"/>
      <c r="X219" s="194" t="n"/>
      <c r="Y219" s="194" t="n"/>
      <c r="Z219" s="194" t="n"/>
    </row>
    <row r="220" ht="15.75" customHeight="1" s="195">
      <c r="A220" s="194" t="inlineStr">
        <is>
          <t>OCALLI</t>
        </is>
      </c>
      <c r="B220" s="194" t="inlineStr">
        <is>
          <t>MARZO 2026</t>
        </is>
      </c>
      <c r="C220" s="377">
        <f>IFERROR(SUMPRODUCT((IF('MARZO 2026'!Y6:Y119&lt;&gt;"",'MARZO 2026'!Y6:Y119,'MARZO 2026'!I6:I119)="OCALLI")*('MARZO 2026'!K6:K119="PETROLEO")*'MARZO 2026'!M6:M119),0)</f>
        <v/>
      </c>
      <c r="D220" s="377">
        <f>IFERROR(SUMPRODUCT((IF('MARZO 2026'!Y6:Y119&lt;&gt;"",'MARZO 2026'!Y6:Y119,'MARZO 2026'!I6:I119)="OCALLI")*('MARZO 2026'!K6:K119="PETROLEO")*'MARZO 2026'!L6:L119*'MARZO 2026'!M6:M119),0)</f>
        <v/>
      </c>
      <c r="E220" s="377">
        <f>IFERROR(SUMPRODUCT((IF('MARZO 2026'!Y6:Y119&lt;&gt;"",'MARZO 2026'!Y6:Y119,'MARZO 2026'!I6:I119)="OCALLI")*('MARZO 2026'!K6:K119="GASOLINA")*'MARZO 2026'!M6:M119),0)</f>
        <v/>
      </c>
      <c r="F220" s="377">
        <f>IFERROR(SUMPRODUCT((IF('MARZO 2026'!Y6:Y119&lt;&gt;"",'MARZO 2026'!Y6:Y119,'MARZO 2026'!I6:I119)="OCALLI")*('MARZO 2026'!K6:K119="GASOLINA")*'MARZO 2026'!L6:L119*'MARZO 2026'!M6:M119),0)</f>
        <v/>
      </c>
      <c r="G220" s="194" t="n"/>
      <c r="H220" s="194" t="n"/>
      <c r="I220" s="194" t="n"/>
      <c r="J220" s="194" t="n"/>
      <c r="K220" s="194" t="n"/>
      <c r="L220" s="194" t="n"/>
      <c r="M220" s="194" t="n"/>
      <c r="N220" s="194" t="n"/>
      <c r="O220" s="194" t="n"/>
      <c r="P220" s="194" t="n"/>
      <c r="Q220" s="194" t="n"/>
      <c r="R220" s="194" t="n"/>
      <c r="S220" s="194" t="n"/>
      <c r="T220" s="194" t="n"/>
      <c r="U220" s="194" t="n"/>
      <c r="V220" s="194" t="n"/>
      <c r="W220" s="194" t="n"/>
      <c r="X220" s="194" t="n"/>
      <c r="Y220" s="194" t="n"/>
      <c r="Z220" s="194" t="n"/>
    </row>
    <row r="221" ht="15.75" customHeight="1" s="195">
      <c r="A221" s="194" t="inlineStr">
        <is>
          <t>OCALLI</t>
        </is>
      </c>
      <c r="B221" s="194" t="inlineStr">
        <is>
          <t>ABRIL 2026</t>
        </is>
      </c>
      <c r="C221" s="377">
        <f>IFERROR(SUMPRODUCT((IF('ABRIL 2026'!Y6:Y119&lt;&gt;"",'ABRIL 2026'!Y6:Y119,'ABRIL 2026'!I6:I119)="OCALLI")*('ABRIL 2026'!K6:K119="PETROLEO")*'ABRIL 2026'!M6:M119),0)</f>
        <v/>
      </c>
      <c r="D221" s="377">
        <f>IFERROR(SUMPRODUCT((IF('ABRIL 2026'!Y6:Y119&lt;&gt;"",'ABRIL 2026'!Y6:Y119,'ABRIL 2026'!I6:I119)="OCALLI")*('ABRIL 2026'!K6:K119="PETROLEO")*'ABRIL 2026'!L6:L119*'ABRIL 2026'!M6:M119),0)</f>
        <v/>
      </c>
      <c r="E221" s="377">
        <f>IFERROR(SUMPRODUCT((IF('ABRIL 2026'!Y6:Y119&lt;&gt;"",'ABRIL 2026'!Y6:Y119,'ABRIL 2026'!I6:I119)="OCALLI")*('ABRIL 2026'!K6:K119="GASOLINA")*'ABRIL 2026'!M6:M119),0)</f>
        <v/>
      </c>
      <c r="F221" s="377">
        <f>IFERROR(SUMPRODUCT((IF('ABRIL 2026'!Y6:Y119&lt;&gt;"",'ABRIL 2026'!Y6:Y119,'ABRIL 2026'!I6:I119)="OCALLI")*('ABRIL 2026'!K6:K119="GASOLINA")*'ABRIL 2026'!L6:L119*'ABRIL 2026'!M6:M119),0)</f>
        <v/>
      </c>
      <c r="G221" s="194" t="n"/>
      <c r="H221" s="194" t="n"/>
      <c r="I221" s="194" t="n"/>
      <c r="J221" s="194" t="n"/>
      <c r="K221" s="194" t="n"/>
      <c r="L221" s="194" t="n"/>
      <c r="M221" s="194" t="n"/>
      <c r="N221" s="194" t="n"/>
      <c r="O221" s="194" t="n"/>
      <c r="P221" s="194" t="n"/>
      <c r="Q221" s="194" t="n"/>
      <c r="R221" s="194" t="n"/>
      <c r="S221" s="194" t="n"/>
      <c r="T221" s="194" t="n"/>
      <c r="U221" s="194" t="n"/>
      <c r="V221" s="194" t="n"/>
      <c r="W221" s="194" t="n"/>
      <c r="X221" s="194" t="n"/>
      <c r="Y221" s="194" t="n"/>
      <c r="Z221" s="194" t="n"/>
    </row>
    <row r="222" ht="15.75" customHeight="1" s="195">
      <c r="A222" s="194" t="inlineStr">
        <is>
          <t>OCALLI</t>
        </is>
      </c>
      <c r="B222" s="194" t="inlineStr">
        <is>
          <t>MAYO 2026</t>
        </is>
      </c>
      <c r="C222" s="377">
        <f>IFERROR(SUMPRODUCT((IF('MAYO 2026'!Y6:Y110&lt;&gt;"",'MAYO 2026'!Y6:Y110,'MAYO 2026'!I6:I110)="OCALLI")*('MAYO 2026'!K6:K110="PETROLEO")*'MAYO 2026'!M6:M110),0)</f>
        <v/>
      </c>
      <c r="D222" s="377">
        <f>IFERROR(SUMPRODUCT((IF('MAYO 2026'!Y6:Y110&lt;&gt;"",'MAYO 2026'!Y6:Y110,'MAYO 2026'!I6:I110)="OCALLI")*('MAYO 2026'!K6:K110="PETROLEO")*'MAYO 2026'!L6:L110*'MAYO 2026'!M6:M110),0)</f>
        <v/>
      </c>
      <c r="E222" s="377">
        <f>IFERROR(SUMPRODUCT((IF('MAYO 2026'!Y6:Y110&lt;&gt;"",'MAYO 2026'!Y6:Y110,'MAYO 2026'!I6:I110)="OCALLI")*('MAYO 2026'!K6:K110="GASOLINA")*'MAYO 2026'!M6:M110),0)</f>
        <v/>
      </c>
      <c r="F222" s="377">
        <f>IFERROR(SUMPRODUCT((IF('MAYO 2026'!Y6:Y110&lt;&gt;"",'MAYO 2026'!Y6:Y110,'MAYO 2026'!I6:I110)="OCALLI")*('MAYO 2026'!K6:K110="GASOLINA")*'MAYO 2026'!L6:L110*'MAYO 2026'!M6:M110),0)</f>
        <v/>
      </c>
      <c r="G222" s="194" t="n"/>
      <c r="H222" s="194" t="n"/>
      <c r="I222" s="194" t="n"/>
      <c r="J222" s="194" t="n"/>
      <c r="K222" s="194" t="n"/>
      <c r="L222" s="194" t="n"/>
      <c r="M222" s="194" t="n"/>
      <c r="N222" s="194" t="n"/>
      <c r="O222" s="194" t="n"/>
      <c r="P222" s="194" t="n"/>
      <c r="Q222" s="194" t="n"/>
      <c r="R222" s="194" t="n"/>
      <c r="S222" s="194" t="n"/>
      <c r="T222" s="194" t="n"/>
      <c r="U222" s="194" t="n"/>
      <c r="V222" s="194" t="n"/>
      <c r="W222" s="194" t="n"/>
      <c r="X222" s="194" t="n"/>
      <c r="Y222" s="194" t="n"/>
      <c r="Z222" s="194" t="n"/>
    </row>
    <row r="223" ht="15.75" customHeight="1" s="195">
      <c r="A223" s="194" t="inlineStr">
        <is>
          <t>OCALLI</t>
        </is>
      </c>
      <c r="B223" s="194" t="inlineStr">
        <is>
          <t>JUNIO 2026</t>
        </is>
      </c>
      <c r="C223" s="377">
        <f>IFERROR(SUMPRODUCT((IF('JUNIO 2026'!Y6:Y110&lt;&gt;"",'JUNIO 2026'!Y6:Y110,'JUNIO 2026'!I6:I110)="OCALLI")*('JUNIO 2026'!K6:K110="PETROLEO")*'JUNIO 2026'!M6:M110),0)</f>
        <v/>
      </c>
      <c r="D223" s="377">
        <f>IFERROR(SUMPRODUCT((IF('JUNIO 2026'!Y6:Y110&lt;&gt;"",'JUNIO 2026'!Y6:Y110,'JUNIO 2026'!I6:I110)="OCALLI")*('JUNIO 2026'!K6:K110="PETROLEO")*'JUNIO 2026'!L6:L110*'JUNIO 2026'!M6:M110),0)</f>
        <v/>
      </c>
      <c r="E223" s="377">
        <f>IFERROR(SUMPRODUCT((IF('JUNIO 2026'!Y6:Y110&lt;&gt;"",'JUNIO 2026'!Y6:Y110,'JUNIO 2026'!I6:I110)="OCALLI")*('JUNIO 2026'!K6:K110="GASOLINA")*'JUNIO 2026'!M6:M110),0)</f>
        <v/>
      </c>
      <c r="F223" s="377">
        <f>IFERROR(SUMPRODUCT((IF('JUNIO 2026'!Y6:Y110&lt;&gt;"",'JUNIO 2026'!Y6:Y110,'JUNIO 2026'!I6:I110)="OCALLI")*('JUNIO 2026'!K6:K110="GASOLINA")*'JUNIO 2026'!L6:L110*'JUNIO 2026'!M6:M110),0)</f>
        <v/>
      </c>
      <c r="G223" s="194" t="n"/>
      <c r="H223" s="194" t="n"/>
      <c r="I223" s="194" t="n"/>
      <c r="J223" s="194" t="n"/>
      <c r="K223" s="194" t="n"/>
      <c r="L223" s="194" t="n"/>
      <c r="M223" s="194" t="n"/>
      <c r="N223" s="194" t="n"/>
      <c r="O223" s="194" t="n"/>
      <c r="P223" s="194" t="n"/>
      <c r="Q223" s="194" t="n"/>
      <c r="R223" s="194" t="n"/>
      <c r="S223" s="194" t="n"/>
      <c r="T223" s="194" t="n"/>
      <c r="U223" s="194" t="n"/>
      <c r="V223" s="194" t="n"/>
      <c r="W223" s="194" t="n"/>
      <c r="X223" s="194" t="n"/>
      <c r="Y223" s="194" t="n"/>
      <c r="Z223" s="194" t="n"/>
    </row>
    <row r="224" ht="15.75" customHeight="1" s="195">
      <c r="A224" s="194" t="inlineStr">
        <is>
          <t>OCALLI</t>
        </is>
      </c>
      <c r="B224" s="194" t="inlineStr">
        <is>
          <t>JULIO 2026</t>
        </is>
      </c>
      <c r="C224" s="377">
        <f>IFERROR(SUMPRODUCT((IF('JULIO 2026'!Y6:Y110&lt;&gt;"",'JULIO 2026'!Y6:Y110,'JULIO 2026'!I6:I110)="OCALLI")*('JULIO 2026'!K6:K110="PETROLEO")*'JULIO 2026'!M6:M110),0)</f>
        <v/>
      </c>
      <c r="D224" s="377">
        <f>IFERROR(SUMPRODUCT((IF('JULIO 2026'!Y6:Y110&lt;&gt;"",'JULIO 2026'!Y6:Y110,'JULIO 2026'!I6:I110)="OCALLI")*('JULIO 2026'!K6:K110="PETROLEO")*'JULIO 2026'!L6:L110*'JULIO 2026'!M6:M110),0)</f>
        <v/>
      </c>
      <c r="E224" s="377">
        <f>IFERROR(SUMPRODUCT((IF('JULIO 2026'!Y6:Y110&lt;&gt;"",'JULIO 2026'!Y6:Y110,'JULIO 2026'!I6:I110)="OCALLI")*('JULIO 2026'!K6:K110="GASOLINA")*'JULIO 2026'!M6:M110),0)</f>
        <v/>
      </c>
      <c r="F224" s="377">
        <f>IFERROR(SUMPRODUCT((IF('JULIO 2026'!Y6:Y110&lt;&gt;"",'JULIO 2026'!Y6:Y110,'JULIO 2026'!I6:I110)="OCALLI")*('JULIO 2026'!K6:K110="GASOLINA")*'JULIO 2026'!L6:L110*'JULIO 2026'!M6:M110),0)</f>
        <v/>
      </c>
      <c r="G224" s="194" t="n"/>
      <c r="H224" s="194" t="n"/>
      <c r="I224" s="194" t="n"/>
      <c r="J224" s="194" t="n"/>
      <c r="K224" s="194" t="n"/>
      <c r="L224" s="194" t="n"/>
      <c r="M224" s="194" t="n"/>
      <c r="N224" s="194" t="n"/>
      <c r="O224" s="194" t="n"/>
      <c r="P224" s="194" t="n"/>
      <c r="Q224" s="194" t="n"/>
      <c r="R224" s="194" t="n"/>
      <c r="S224" s="194" t="n"/>
      <c r="T224" s="194" t="n"/>
      <c r="U224" s="194" t="n"/>
      <c r="V224" s="194" t="n"/>
      <c r="W224" s="194" t="n"/>
      <c r="X224" s="194" t="n"/>
      <c r="Y224" s="194" t="n"/>
      <c r="Z224" s="194" t="n"/>
    </row>
    <row r="225" ht="15.75" customHeight="1" s="195">
      <c r="A225" s="194" t="inlineStr">
        <is>
          <t>OCALLI</t>
        </is>
      </c>
      <c r="B225" s="194" t="inlineStr">
        <is>
          <t>AGOSTO 2026</t>
        </is>
      </c>
      <c r="C225" s="377">
        <f>IFERROR(SUMPRODUCT((IF('AGOSTO 2026'!Y6:Y110&lt;&gt;"",'AGOSTO 2026'!Y6:Y110,'AGOSTO 2026'!I6:I110)="OCALLI")*('AGOSTO 2026'!K6:K110="PETROLEO")*'AGOSTO 2026'!M6:M110),0)</f>
        <v/>
      </c>
      <c r="D225" s="377">
        <f>IFERROR(SUMPRODUCT((IF('AGOSTO 2026'!Y6:Y110&lt;&gt;"",'AGOSTO 2026'!Y6:Y110,'AGOSTO 2026'!I6:I110)="OCALLI")*('AGOSTO 2026'!K6:K110="PETROLEO")*'AGOSTO 2026'!L6:L110*'AGOSTO 2026'!M6:M110),0)</f>
        <v/>
      </c>
      <c r="E225" s="377">
        <f>IFERROR(SUMPRODUCT((IF('AGOSTO 2026'!Y6:Y110&lt;&gt;"",'AGOSTO 2026'!Y6:Y110,'AGOSTO 2026'!I6:I110)="OCALLI")*('AGOSTO 2026'!K6:K110="GASOLINA")*'AGOSTO 2026'!M6:M110),0)</f>
        <v/>
      </c>
      <c r="F225" s="377">
        <f>IFERROR(SUMPRODUCT((IF('AGOSTO 2026'!Y6:Y110&lt;&gt;"",'AGOSTO 2026'!Y6:Y110,'AGOSTO 2026'!I6:I110)="OCALLI")*('AGOSTO 2026'!K6:K110="GASOLINA")*'AGOSTO 2026'!L6:L110*'AGOSTO 2026'!M6:M110),0)</f>
        <v/>
      </c>
      <c r="G225" s="194" t="n"/>
      <c r="H225" s="194" t="n"/>
      <c r="I225" s="194" t="n"/>
      <c r="J225" s="194" t="n"/>
      <c r="K225" s="194" t="n"/>
      <c r="L225" s="194" t="n"/>
      <c r="M225" s="194" t="n"/>
      <c r="N225" s="194" t="n"/>
      <c r="O225" s="194" t="n"/>
      <c r="P225" s="194" t="n"/>
      <c r="Q225" s="194" t="n"/>
      <c r="R225" s="194" t="n"/>
      <c r="S225" s="194" t="n"/>
      <c r="T225" s="194" t="n"/>
      <c r="U225" s="194" t="n"/>
      <c r="V225" s="194" t="n"/>
      <c r="W225" s="194" t="n"/>
      <c r="X225" s="194" t="n"/>
      <c r="Y225" s="194" t="n"/>
      <c r="Z225" s="194" t="n"/>
    </row>
    <row r="226" ht="15.75" customHeight="1" s="195">
      <c r="A226" s="194" t="inlineStr">
        <is>
          <t>OCALLI</t>
        </is>
      </c>
      <c r="B226" s="194" t="inlineStr">
        <is>
          <t>SETIEMBRE 2026</t>
        </is>
      </c>
      <c r="C226" s="377">
        <f>IFERROR(SUMPRODUCT((IF('SETIEMBRE 2026'!Y6:Y110&lt;&gt;"",'SETIEMBRE 2026'!Y6:Y110,'SETIEMBRE 2026'!I6:I110)="OCALLI")*('SETIEMBRE 2026'!K6:K110="PETROLEO")*'SETIEMBRE 2026'!M6:M110),0)</f>
        <v/>
      </c>
      <c r="D226" s="377">
        <f>IFERROR(SUMPRODUCT((IF('SETIEMBRE 2026'!Y6:Y110&lt;&gt;"",'SETIEMBRE 2026'!Y6:Y110,'SETIEMBRE 2026'!I6:I110)="OCALLI")*('SETIEMBRE 2026'!K6:K110="PETROLEO")*'SETIEMBRE 2026'!L6:L110*'SETIEMBRE 2026'!M6:M110),0)</f>
        <v/>
      </c>
      <c r="E226" s="377">
        <f>IFERROR(SUMPRODUCT((IF('SETIEMBRE 2026'!Y6:Y110&lt;&gt;"",'SETIEMBRE 2026'!Y6:Y110,'SETIEMBRE 2026'!I6:I110)="OCALLI")*('SETIEMBRE 2026'!K6:K110="GASOLINA")*'SETIEMBRE 2026'!M6:M110),0)</f>
        <v/>
      </c>
      <c r="F226" s="377">
        <f>IFERROR(SUMPRODUCT((IF('SETIEMBRE 2026'!Y6:Y110&lt;&gt;"",'SETIEMBRE 2026'!Y6:Y110,'SETIEMBRE 2026'!I6:I110)="OCALLI")*('SETIEMBRE 2026'!K6:K110="GASOLINA")*'SETIEMBRE 2026'!L6:L110*'SETIEMBRE 2026'!M6:M110),0)</f>
        <v/>
      </c>
      <c r="G226" s="194" t="n"/>
      <c r="H226" s="194" t="n"/>
      <c r="I226" s="194" t="n"/>
      <c r="J226" s="194" t="n"/>
      <c r="K226" s="194" t="n"/>
      <c r="L226" s="194" t="n"/>
      <c r="M226" s="194" t="n"/>
      <c r="N226" s="194" t="n"/>
      <c r="O226" s="194" t="n"/>
      <c r="P226" s="194" t="n"/>
      <c r="Q226" s="194" t="n"/>
      <c r="R226" s="194" t="n"/>
      <c r="S226" s="194" t="n"/>
      <c r="T226" s="194" t="n"/>
      <c r="U226" s="194" t="n"/>
      <c r="V226" s="194" t="n"/>
      <c r="W226" s="194" t="n"/>
      <c r="X226" s="194" t="n"/>
      <c r="Y226" s="194" t="n"/>
      <c r="Z226" s="194" t="n"/>
    </row>
    <row r="227" ht="15.75" customHeight="1" s="195">
      <c r="A227" s="194" t="inlineStr">
        <is>
          <t>OCALLI</t>
        </is>
      </c>
      <c r="B227" s="194" t="inlineStr">
        <is>
          <t>OCTUBRE 2026</t>
        </is>
      </c>
      <c r="C227" s="377">
        <f>IFERROR(SUMPRODUCT((IF('OCTUBRE 2026'!Y6:Y110&lt;&gt;"",'OCTUBRE 2026'!Y6:Y110,'OCTUBRE 2026'!I6:I110)="OCALLI")*('OCTUBRE 2026'!K6:K110="PETROLEO")*'OCTUBRE 2026'!M6:M110),0)</f>
        <v/>
      </c>
      <c r="D227" s="377">
        <f>IFERROR(SUMPRODUCT((IF('OCTUBRE 2026'!Y6:Y110&lt;&gt;"",'OCTUBRE 2026'!Y6:Y110,'OCTUBRE 2026'!I6:I110)="OCALLI")*('OCTUBRE 2026'!K6:K110="PETROLEO")*'OCTUBRE 2026'!L6:L110*'OCTUBRE 2026'!M6:M110),0)</f>
        <v/>
      </c>
      <c r="E227" s="377">
        <f>IFERROR(SUMPRODUCT((IF('OCTUBRE 2026'!Y6:Y110&lt;&gt;"",'OCTUBRE 2026'!Y6:Y110,'OCTUBRE 2026'!I6:I110)="OCALLI")*('OCTUBRE 2026'!K6:K110="GASOLINA")*'OCTUBRE 2026'!M6:M110),0)</f>
        <v/>
      </c>
      <c r="F227" s="377">
        <f>IFERROR(SUMPRODUCT((IF('OCTUBRE 2026'!Y6:Y110&lt;&gt;"",'OCTUBRE 2026'!Y6:Y110,'OCTUBRE 2026'!I6:I110)="OCALLI")*('OCTUBRE 2026'!K6:K110="GASOLINA")*'OCTUBRE 2026'!L6:L110*'OCTUBRE 2026'!M6:M110),0)</f>
        <v/>
      </c>
      <c r="G227" s="194" t="n"/>
      <c r="H227" s="194" t="n"/>
      <c r="I227" s="194" t="n"/>
      <c r="J227" s="194" t="n"/>
      <c r="K227" s="194" t="n"/>
      <c r="L227" s="194" t="n"/>
      <c r="M227" s="194" t="n"/>
      <c r="N227" s="194" t="n"/>
      <c r="O227" s="194" t="n"/>
      <c r="P227" s="194" t="n"/>
      <c r="Q227" s="194" t="n"/>
      <c r="R227" s="194" t="n"/>
      <c r="S227" s="194" t="n"/>
      <c r="T227" s="194" t="n"/>
      <c r="U227" s="194" t="n"/>
      <c r="V227" s="194" t="n"/>
      <c r="W227" s="194" t="n"/>
      <c r="X227" s="194" t="n"/>
      <c r="Y227" s="194" t="n"/>
      <c r="Z227" s="194" t="n"/>
    </row>
    <row r="228" ht="15.75" customHeight="1" s="195">
      <c r="A228" s="194" t="inlineStr">
        <is>
          <t>OCALLI</t>
        </is>
      </c>
      <c r="B228" s="194" t="inlineStr">
        <is>
          <t>NOVIEMBRE 2026</t>
        </is>
      </c>
      <c r="C228" s="377">
        <f>IFERROR(SUMPRODUCT((IF('NOVIEMBRE 2026'!Y6:Y110&lt;&gt;"",'NOVIEMBRE 2026'!Y6:Y110,'NOVIEMBRE 2026'!I6:I110)="OCALLI")*('NOVIEMBRE 2026'!K6:K110="PETROLEO")*'NOVIEMBRE 2026'!M6:M110),0)</f>
        <v/>
      </c>
      <c r="D228" s="377">
        <f>IFERROR(SUMPRODUCT((IF('NOVIEMBRE 2026'!Y6:Y110&lt;&gt;"",'NOVIEMBRE 2026'!Y6:Y110,'NOVIEMBRE 2026'!I6:I110)="OCALLI")*('NOVIEMBRE 2026'!K6:K110="PETROLEO")*'NOVIEMBRE 2026'!L6:L110*'NOVIEMBRE 2026'!M6:M110),0)</f>
        <v/>
      </c>
      <c r="E228" s="377">
        <f>IFERROR(SUMPRODUCT((IF('NOVIEMBRE 2026'!Y6:Y110&lt;&gt;"",'NOVIEMBRE 2026'!Y6:Y110,'NOVIEMBRE 2026'!I6:I110)="OCALLI")*('NOVIEMBRE 2026'!K6:K110="GASOLINA")*'NOVIEMBRE 2026'!M6:M110),0)</f>
        <v/>
      </c>
      <c r="F228" s="377">
        <f>IFERROR(SUMPRODUCT((IF('NOVIEMBRE 2026'!Y6:Y110&lt;&gt;"",'NOVIEMBRE 2026'!Y6:Y110,'NOVIEMBRE 2026'!I6:I110)="OCALLI")*('NOVIEMBRE 2026'!K6:K110="GASOLINA")*'NOVIEMBRE 2026'!L6:L110*'NOVIEMBRE 2026'!M6:M110),0)</f>
        <v/>
      </c>
      <c r="G228" s="194" t="n"/>
      <c r="H228" s="194" t="n"/>
      <c r="I228" s="194" t="n"/>
      <c r="J228" s="194" t="n"/>
      <c r="K228" s="194" t="n"/>
      <c r="L228" s="194" t="n"/>
      <c r="M228" s="194" t="n"/>
      <c r="N228" s="194" t="n"/>
      <c r="O228" s="194" t="n"/>
      <c r="P228" s="194" t="n"/>
      <c r="Q228" s="194" t="n"/>
      <c r="R228" s="194" t="n"/>
      <c r="S228" s="194" t="n"/>
      <c r="T228" s="194" t="n"/>
      <c r="U228" s="194" t="n"/>
      <c r="V228" s="194" t="n"/>
      <c r="W228" s="194" t="n"/>
      <c r="X228" s="194" t="n"/>
      <c r="Y228" s="194" t="n"/>
      <c r="Z228" s="194" t="n"/>
    </row>
    <row r="229" ht="15.75" customHeight="1" s="195">
      <c r="A229" s="194" t="inlineStr">
        <is>
          <t>OCALLI</t>
        </is>
      </c>
      <c r="B229" s="194" t="inlineStr">
        <is>
          <t>DICIEMBRE 2026</t>
        </is>
      </c>
      <c r="C229" s="377">
        <f>IFERROR(SUMPRODUCT((IF('DICIEMBRE 2026'!Y6:Y110&lt;&gt;"",'DICIEMBRE 2026'!Y6:Y110,'DICIEMBRE 2026'!I6:I110)="OCALLI")*('DICIEMBRE 2026'!K6:K110="PETROLEO")*'DICIEMBRE 2026'!M6:M110),0)</f>
        <v/>
      </c>
      <c r="D229" s="377">
        <f>IFERROR(SUMPRODUCT((IF('DICIEMBRE 2026'!Y6:Y110&lt;&gt;"",'DICIEMBRE 2026'!Y6:Y110,'DICIEMBRE 2026'!I6:I110)="OCALLI")*('DICIEMBRE 2026'!K6:K110="PETROLEO")*'DICIEMBRE 2026'!L6:L110*'DICIEMBRE 2026'!M6:M110),0)</f>
        <v/>
      </c>
      <c r="E229" s="377">
        <f>IFERROR(SUMPRODUCT((IF('DICIEMBRE 2026'!Y6:Y110&lt;&gt;"",'DICIEMBRE 2026'!Y6:Y110,'DICIEMBRE 2026'!I6:I110)="OCALLI")*('DICIEMBRE 2026'!K6:K110="GASOLINA")*'DICIEMBRE 2026'!M6:M110),0)</f>
        <v/>
      </c>
      <c r="F229" s="377">
        <f>IFERROR(SUMPRODUCT((IF('DICIEMBRE 2026'!Y6:Y110&lt;&gt;"",'DICIEMBRE 2026'!Y6:Y110,'DICIEMBRE 2026'!I6:I110)="OCALLI")*('DICIEMBRE 2026'!K6:K110="GASOLINA")*'DICIEMBRE 2026'!L6:L110*'DICIEMBRE 2026'!M6:M110),0)</f>
        <v/>
      </c>
      <c r="G229" s="194" t="n"/>
      <c r="H229" s="194" t="n"/>
      <c r="I229" s="194" t="n"/>
      <c r="J229" s="194" t="n"/>
      <c r="K229" s="194" t="n"/>
      <c r="L229" s="194" t="n"/>
      <c r="M229" s="194" t="n"/>
      <c r="N229" s="194" t="n"/>
      <c r="O229" s="194" t="n"/>
      <c r="P229" s="194" t="n"/>
      <c r="Q229" s="194" t="n"/>
      <c r="R229" s="194" t="n"/>
      <c r="S229" s="194" t="n"/>
      <c r="T229" s="194" t="n"/>
      <c r="U229" s="194" t="n"/>
      <c r="V229" s="194" t="n"/>
      <c r="W229" s="194" t="n"/>
      <c r="X229" s="194" t="n"/>
      <c r="Y229" s="194" t="n"/>
      <c r="Z229" s="194" t="n"/>
    </row>
    <row r="230" ht="15.75" customHeight="1" s="195">
      <c r="A230" s="194" t="inlineStr">
        <is>
          <t>OMIA</t>
        </is>
      </c>
      <c r="B230" s="194" t="inlineStr">
        <is>
          <t>ENERO 2026</t>
        </is>
      </c>
      <c r="C230" s="377">
        <f>IFERROR(SUMPRODUCT((IF('ENERO 2026'!Y6:Y119&lt;&gt;"",'ENERO 2026'!Y6:Y119,'ENERO 2026'!I6:I119)="OMIA")*('ENERO 2026'!K6:K119="PETROLEO")*'ENERO 2026'!M6:M119),0)</f>
        <v/>
      </c>
      <c r="D230" s="377">
        <f>IFERROR(SUMPRODUCT((IF('ENERO 2026'!Y6:Y119&lt;&gt;"",'ENERO 2026'!Y6:Y119,'ENERO 2026'!I6:I119)="OMIA")*('ENERO 2026'!K6:K119="PETROLEO")*'ENERO 2026'!L6:L119*'ENERO 2026'!M6:M119),0)</f>
        <v/>
      </c>
      <c r="E230" s="377">
        <f>IFERROR(SUMPRODUCT((IF('ENERO 2026'!Y6:Y119&lt;&gt;"",'ENERO 2026'!Y6:Y119,'ENERO 2026'!I6:I119)="OMIA")*('ENERO 2026'!K6:K119="GASOLINA")*'ENERO 2026'!M6:M119),0)</f>
        <v/>
      </c>
      <c r="F230" s="377">
        <f>IFERROR(SUMPRODUCT((IF('ENERO 2026'!Y6:Y119&lt;&gt;"",'ENERO 2026'!Y6:Y119,'ENERO 2026'!I6:I119)="OMIA")*('ENERO 2026'!K6:K119="GASOLINA")*'ENERO 2026'!L6:L119*'ENERO 2026'!M6:M119),0)</f>
        <v/>
      </c>
      <c r="G230" s="194" t="n"/>
      <c r="H230" s="194" t="n"/>
      <c r="I230" s="194" t="n"/>
      <c r="J230" s="194" t="n"/>
      <c r="K230" s="194" t="n"/>
      <c r="L230" s="194" t="n"/>
      <c r="M230" s="194" t="n"/>
      <c r="N230" s="194" t="n"/>
      <c r="O230" s="194" t="n"/>
      <c r="P230" s="194" t="n"/>
      <c r="Q230" s="194" t="n"/>
      <c r="R230" s="194" t="n"/>
      <c r="S230" s="194" t="n"/>
      <c r="T230" s="194" t="n"/>
      <c r="U230" s="194" t="n"/>
      <c r="V230" s="194" t="n"/>
      <c r="W230" s="194" t="n"/>
      <c r="X230" s="194" t="n"/>
      <c r="Y230" s="194" t="n"/>
      <c r="Z230" s="194" t="n"/>
    </row>
    <row r="231" ht="15.75" customHeight="1" s="195">
      <c r="A231" s="194" t="inlineStr">
        <is>
          <t>OMIA</t>
        </is>
      </c>
      <c r="B231" s="194" t="inlineStr">
        <is>
          <t>FEBRERO 2026</t>
        </is>
      </c>
      <c r="C231" s="377">
        <f>IFERROR(SUMPRODUCT((IF('FEBRERO 2026'!Y6:Y124&lt;&gt;"",'FEBRERO 2026'!Y6:Y124,'FEBRERO 2026'!I6:I124)="OMIA")*('FEBRERO 2026'!K6:K124="PETROLEO")*'FEBRERO 2026'!M6:M124),0)</f>
        <v/>
      </c>
      <c r="D231" s="377">
        <f>IFERROR(SUMPRODUCT((IF('FEBRERO 2026'!Y6:Y124&lt;&gt;"",'FEBRERO 2026'!Y6:Y124,'FEBRERO 2026'!I6:I124)="OMIA")*('FEBRERO 2026'!K6:K124="PETROLEO")*'FEBRERO 2026'!L6:L124*'FEBRERO 2026'!M6:M124),0)</f>
        <v/>
      </c>
      <c r="E231" s="377">
        <f>IFERROR(SUMPRODUCT((IF('FEBRERO 2026'!Y6:Y124&lt;&gt;"",'FEBRERO 2026'!Y6:Y124,'FEBRERO 2026'!I6:I124)="OMIA")*('FEBRERO 2026'!K6:K124="GASOLINA")*'FEBRERO 2026'!M6:M124),0)</f>
        <v/>
      </c>
      <c r="F231" s="377">
        <f>IFERROR(SUMPRODUCT((IF('FEBRERO 2026'!Y6:Y124&lt;&gt;"",'FEBRERO 2026'!Y6:Y124,'FEBRERO 2026'!I6:I124)="OMIA")*('FEBRERO 2026'!K6:K124="GASOLINA")*'FEBRERO 2026'!L6:L124*'FEBRERO 2026'!M6:M124),0)</f>
        <v/>
      </c>
      <c r="G231" s="194" t="n"/>
      <c r="H231" s="194" t="n"/>
      <c r="I231" s="194" t="n"/>
      <c r="J231" s="194" t="n"/>
      <c r="K231" s="194" t="n"/>
      <c r="L231" s="194" t="n"/>
      <c r="M231" s="194" t="n"/>
      <c r="N231" s="194" t="n"/>
      <c r="O231" s="194" t="n"/>
      <c r="P231" s="194" t="n"/>
      <c r="Q231" s="194" t="n"/>
      <c r="R231" s="194" t="n"/>
      <c r="S231" s="194" t="n"/>
      <c r="T231" s="194" t="n"/>
      <c r="U231" s="194" t="n"/>
      <c r="V231" s="194" t="n"/>
      <c r="W231" s="194" t="n"/>
      <c r="X231" s="194" t="n"/>
      <c r="Y231" s="194" t="n"/>
      <c r="Z231" s="194" t="n"/>
    </row>
    <row r="232" ht="15.75" customHeight="1" s="195">
      <c r="A232" s="194" t="inlineStr">
        <is>
          <t>OMIA</t>
        </is>
      </c>
      <c r="B232" s="194" t="inlineStr">
        <is>
          <t>MARZO 2026</t>
        </is>
      </c>
      <c r="C232" s="377">
        <f>IFERROR(SUMPRODUCT((IF('MARZO 2026'!Y6:Y119&lt;&gt;"",'MARZO 2026'!Y6:Y119,'MARZO 2026'!I6:I119)="OMIA")*('MARZO 2026'!K6:K119="PETROLEO")*'MARZO 2026'!M6:M119),0)</f>
        <v/>
      </c>
      <c r="D232" s="377">
        <f>IFERROR(SUMPRODUCT((IF('MARZO 2026'!Y6:Y119&lt;&gt;"",'MARZO 2026'!Y6:Y119,'MARZO 2026'!I6:I119)="OMIA")*('MARZO 2026'!K6:K119="PETROLEO")*'MARZO 2026'!L6:L119*'MARZO 2026'!M6:M119),0)</f>
        <v/>
      </c>
      <c r="E232" s="377">
        <f>IFERROR(SUMPRODUCT((IF('MARZO 2026'!Y6:Y119&lt;&gt;"",'MARZO 2026'!Y6:Y119,'MARZO 2026'!I6:I119)="OMIA")*('MARZO 2026'!K6:K119="GASOLINA")*'MARZO 2026'!M6:M119),0)</f>
        <v/>
      </c>
      <c r="F232" s="377">
        <f>IFERROR(SUMPRODUCT((IF('MARZO 2026'!Y6:Y119&lt;&gt;"",'MARZO 2026'!Y6:Y119,'MARZO 2026'!I6:I119)="OMIA")*('MARZO 2026'!K6:K119="GASOLINA")*'MARZO 2026'!L6:L119*'MARZO 2026'!M6:M119),0)</f>
        <v/>
      </c>
      <c r="G232" s="194" t="n"/>
      <c r="H232" s="194" t="n"/>
      <c r="I232" s="194" t="n"/>
      <c r="J232" s="194" t="n"/>
      <c r="K232" s="194" t="n"/>
      <c r="L232" s="194" t="n"/>
      <c r="M232" s="194" t="n"/>
      <c r="N232" s="194" t="n"/>
      <c r="O232" s="194" t="n"/>
      <c r="P232" s="194" t="n"/>
      <c r="Q232" s="194" t="n"/>
      <c r="R232" s="194" t="n"/>
      <c r="S232" s="194" t="n"/>
      <c r="T232" s="194" t="n"/>
      <c r="U232" s="194" t="n"/>
      <c r="V232" s="194" t="n"/>
      <c r="W232" s="194" t="n"/>
      <c r="X232" s="194" t="n"/>
      <c r="Y232" s="194" t="n"/>
      <c r="Z232" s="194" t="n"/>
    </row>
    <row r="233" ht="15.75" customHeight="1" s="195">
      <c r="A233" s="194" t="inlineStr">
        <is>
          <t>OMIA</t>
        </is>
      </c>
      <c r="B233" s="194" t="inlineStr">
        <is>
          <t>ABRIL 2026</t>
        </is>
      </c>
      <c r="C233" s="377">
        <f>IFERROR(SUMPRODUCT((IF('ABRIL 2026'!Y6:Y119&lt;&gt;"",'ABRIL 2026'!Y6:Y119,'ABRIL 2026'!I6:I119)="OMIA")*('ABRIL 2026'!K6:K119="PETROLEO")*'ABRIL 2026'!M6:M119),0)</f>
        <v/>
      </c>
      <c r="D233" s="377">
        <f>IFERROR(SUMPRODUCT((IF('ABRIL 2026'!Y6:Y119&lt;&gt;"",'ABRIL 2026'!Y6:Y119,'ABRIL 2026'!I6:I119)="OMIA")*('ABRIL 2026'!K6:K119="PETROLEO")*'ABRIL 2026'!L6:L119*'ABRIL 2026'!M6:M119),0)</f>
        <v/>
      </c>
      <c r="E233" s="377">
        <f>IFERROR(SUMPRODUCT((IF('ABRIL 2026'!Y6:Y119&lt;&gt;"",'ABRIL 2026'!Y6:Y119,'ABRIL 2026'!I6:I119)="OMIA")*('ABRIL 2026'!K6:K119="GASOLINA")*'ABRIL 2026'!M6:M119),0)</f>
        <v/>
      </c>
      <c r="F233" s="377">
        <f>IFERROR(SUMPRODUCT((IF('ABRIL 2026'!Y6:Y119&lt;&gt;"",'ABRIL 2026'!Y6:Y119,'ABRIL 2026'!I6:I119)="OMIA")*('ABRIL 2026'!K6:K119="GASOLINA")*'ABRIL 2026'!L6:L119*'ABRIL 2026'!M6:M119),0)</f>
        <v/>
      </c>
      <c r="G233" s="194" t="n"/>
      <c r="H233" s="194" t="n"/>
      <c r="I233" s="194" t="n"/>
      <c r="J233" s="194" t="n"/>
      <c r="K233" s="194" t="n"/>
      <c r="L233" s="194" t="n"/>
      <c r="M233" s="194" t="n"/>
      <c r="N233" s="194" t="n"/>
      <c r="O233" s="194" t="n"/>
      <c r="P233" s="194" t="n"/>
      <c r="Q233" s="194" t="n"/>
      <c r="R233" s="194" t="n"/>
      <c r="S233" s="194" t="n"/>
      <c r="T233" s="194" t="n"/>
      <c r="U233" s="194" t="n"/>
      <c r="V233" s="194" t="n"/>
      <c r="W233" s="194" t="n"/>
      <c r="X233" s="194" t="n"/>
      <c r="Y233" s="194" t="n"/>
      <c r="Z233" s="194" t="n"/>
    </row>
    <row r="234" ht="15.75" customHeight="1" s="195">
      <c r="A234" s="194" t="inlineStr">
        <is>
          <t>OMIA</t>
        </is>
      </c>
      <c r="B234" s="194" t="inlineStr">
        <is>
          <t>MAYO 2026</t>
        </is>
      </c>
      <c r="C234" s="377">
        <f>IFERROR(SUMPRODUCT((IF('MAYO 2026'!Y6:Y110&lt;&gt;"",'MAYO 2026'!Y6:Y110,'MAYO 2026'!I6:I110)="OMIA")*('MAYO 2026'!K6:K110="PETROLEO")*'MAYO 2026'!M6:M110),0)</f>
        <v/>
      </c>
      <c r="D234" s="377">
        <f>IFERROR(SUMPRODUCT((IF('MAYO 2026'!Y6:Y110&lt;&gt;"",'MAYO 2026'!Y6:Y110,'MAYO 2026'!I6:I110)="OMIA")*('MAYO 2026'!K6:K110="PETROLEO")*'MAYO 2026'!L6:L110*'MAYO 2026'!M6:M110),0)</f>
        <v/>
      </c>
      <c r="E234" s="377">
        <f>IFERROR(SUMPRODUCT((IF('MAYO 2026'!Y6:Y110&lt;&gt;"",'MAYO 2026'!Y6:Y110,'MAYO 2026'!I6:I110)="OMIA")*('MAYO 2026'!K6:K110="GASOLINA")*'MAYO 2026'!M6:M110),0)</f>
        <v/>
      </c>
      <c r="F234" s="377">
        <f>IFERROR(SUMPRODUCT((IF('MAYO 2026'!Y6:Y110&lt;&gt;"",'MAYO 2026'!Y6:Y110,'MAYO 2026'!I6:I110)="OMIA")*('MAYO 2026'!K6:K110="GASOLINA")*'MAYO 2026'!L6:L110*'MAYO 2026'!M6:M110),0)</f>
        <v/>
      </c>
      <c r="G234" s="194" t="n"/>
      <c r="H234" s="194" t="n"/>
      <c r="I234" s="194" t="n"/>
      <c r="J234" s="194" t="n"/>
      <c r="K234" s="194" t="n"/>
      <c r="L234" s="194" t="n"/>
      <c r="M234" s="194" t="n"/>
      <c r="N234" s="194" t="n"/>
      <c r="O234" s="194" t="n"/>
      <c r="P234" s="194" t="n"/>
      <c r="Q234" s="194" t="n"/>
      <c r="R234" s="194" t="n"/>
      <c r="S234" s="194" t="n"/>
      <c r="T234" s="194" t="n"/>
      <c r="U234" s="194" t="n"/>
      <c r="V234" s="194" t="n"/>
      <c r="W234" s="194" t="n"/>
      <c r="X234" s="194" t="n"/>
      <c r="Y234" s="194" t="n"/>
      <c r="Z234" s="194" t="n"/>
    </row>
    <row r="235" ht="15.75" customHeight="1" s="195">
      <c r="A235" s="194" t="inlineStr">
        <is>
          <t>OMIA</t>
        </is>
      </c>
      <c r="B235" s="194" t="inlineStr">
        <is>
          <t>JUNIO 2026</t>
        </is>
      </c>
      <c r="C235" s="377">
        <f>IFERROR(SUMPRODUCT((IF('JUNIO 2026'!Y6:Y110&lt;&gt;"",'JUNIO 2026'!Y6:Y110,'JUNIO 2026'!I6:I110)="OMIA")*('JUNIO 2026'!K6:K110="PETROLEO")*'JUNIO 2026'!M6:M110),0)</f>
        <v/>
      </c>
      <c r="D235" s="377">
        <f>IFERROR(SUMPRODUCT((IF('JUNIO 2026'!Y6:Y110&lt;&gt;"",'JUNIO 2026'!Y6:Y110,'JUNIO 2026'!I6:I110)="OMIA")*('JUNIO 2026'!K6:K110="PETROLEO")*'JUNIO 2026'!L6:L110*'JUNIO 2026'!M6:M110),0)</f>
        <v/>
      </c>
      <c r="E235" s="377">
        <f>IFERROR(SUMPRODUCT((IF('JUNIO 2026'!Y6:Y110&lt;&gt;"",'JUNIO 2026'!Y6:Y110,'JUNIO 2026'!I6:I110)="OMIA")*('JUNIO 2026'!K6:K110="GASOLINA")*'JUNIO 2026'!M6:M110),0)</f>
        <v/>
      </c>
      <c r="F235" s="377">
        <f>IFERROR(SUMPRODUCT((IF('JUNIO 2026'!Y6:Y110&lt;&gt;"",'JUNIO 2026'!Y6:Y110,'JUNIO 2026'!I6:I110)="OMIA")*('JUNIO 2026'!K6:K110="GASOLINA")*'JUNIO 2026'!L6:L110*'JUNIO 2026'!M6:M110),0)</f>
        <v/>
      </c>
      <c r="G235" s="194" t="n"/>
      <c r="H235" s="194" t="n"/>
      <c r="I235" s="194" t="n"/>
      <c r="J235" s="194" t="n"/>
      <c r="K235" s="194" t="n"/>
      <c r="L235" s="194" t="n"/>
      <c r="M235" s="194" t="n"/>
      <c r="N235" s="194" t="n"/>
      <c r="O235" s="194" t="n"/>
      <c r="P235" s="194" t="n"/>
      <c r="Q235" s="194" t="n"/>
      <c r="R235" s="194" t="n"/>
      <c r="S235" s="194" t="n"/>
      <c r="T235" s="194" t="n"/>
      <c r="U235" s="194" t="n"/>
      <c r="V235" s="194" t="n"/>
      <c r="W235" s="194" t="n"/>
      <c r="X235" s="194" t="n"/>
      <c r="Y235" s="194" t="n"/>
      <c r="Z235" s="194" t="n"/>
    </row>
    <row r="236" ht="15.75" customHeight="1" s="195">
      <c r="A236" s="194" t="inlineStr">
        <is>
          <t>OMIA</t>
        </is>
      </c>
      <c r="B236" s="194" t="inlineStr">
        <is>
          <t>JULIO 2026</t>
        </is>
      </c>
      <c r="C236" s="377">
        <f>IFERROR(SUMPRODUCT((IF('JULIO 2026'!Y6:Y110&lt;&gt;"",'JULIO 2026'!Y6:Y110,'JULIO 2026'!I6:I110)="OMIA")*('JULIO 2026'!K6:K110="PETROLEO")*'JULIO 2026'!M6:M110),0)</f>
        <v/>
      </c>
      <c r="D236" s="377">
        <f>IFERROR(SUMPRODUCT((IF('JULIO 2026'!Y6:Y110&lt;&gt;"",'JULIO 2026'!Y6:Y110,'JULIO 2026'!I6:I110)="OMIA")*('JULIO 2026'!K6:K110="PETROLEO")*'JULIO 2026'!L6:L110*'JULIO 2026'!M6:M110),0)</f>
        <v/>
      </c>
      <c r="E236" s="377">
        <f>IFERROR(SUMPRODUCT((IF('JULIO 2026'!Y6:Y110&lt;&gt;"",'JULIO 2026'!Y6:Y110,'JULIO 2026'!I6:I110)="OMIA")*('JULIO 2026'!K6:K110="GASOLINA")*'JULIO 2026'!M6:M110),0)</f>
        <v/>
      </c>
      <c r="F236" s="377">
        <f>IFERROR(SUMPRODUCT((IF('JULIO 2026'!Y6:Y110&lt;&gt;"",'JULIO 2026'!Y6:Y110,'JULIO 2026'!I6:I110)="OMIA")*('JULIO 2026'!K6:K110="GASOLINA")*'JULIO 2026'!L6:L110*'JULIO 2026'!M6:M110),0)</f>
        <v/>
      </c>
      <c r="G236" s="194" t="n"/>
      <c r="H236" s="194" t="n"/>
      <c r="I236" s="194" t="n"/>
      <c r="J236" s="194" t="n"/>
      <c r="K236" s="194" t="n"/>
      <c r="L236" s="194" t="n"/>
      <c r="M236" s="194" t="n"/>
      <c r="N236" s="194" t="n"/>
      <c r="O236" s="194" t="n"/>
      <c r="P236" s="194" t="n"/>
      <c r="Q236" s="194" t="n"/>
      <c r="R236" s="194" t="n"/>
      <c r="S236" s="194" t="n"/>
      <c r="T236" s="194" t="n"/>
      <c r="U236" s="194" t="n"/>
      <c r="V236" s="194" t="n"/>
      <c r="W236" s="194" t="n"/>
      <c r="X236" s="194" t="n"/>
      <c r="Y236" s="194" t="n"/>
      <c r="Z236" s="194" t="n"/>
    </row>
    <row r="237" ht="15.75" customHeight="1" s="195">
      <c r="A237" s="194" t="inlineStr">
        <is>
          <t>OMIA</t>
        </is>
      </c>
      <c r="B237" s="194" t="inlineStr">
        <is>
          <t>AGOSTO 2026</t>
        </is>
      </c>
      <c r="C237" s="377">
        <f>IFERROR(SUMPRODUCT((IF('AGOSTO 2026'!Y6:Y110&lt;&gt;"",'AGOSTO 2026'!Y6:Y110,'AGOSTO 2026'!I6:I110)="OMIA")*('AGOSTO 2026'!K6:K110="PETROLEO")*'AGOSTO 2026'!M6:M110),0)</f>
        <v/>
      </c>
      <c r="D237" s="377">
        <f>IFERROR(SUMPRODUCT((IF('AGOSTO 2026'!Y6:Y110&lt;&gt;"",'AGOSTO 2026'!Y6:Y110,'AGOSTO 2026'!I6:I110)="OMIA")*('AGOSTO 2026'!K6:K110="PETROLEO")*'AGOSTO 2026'!L6:L110*'AGOSTO 2026'!M6:M110),0)</f>
        <v/>
      </c>
      <c r="E237" s="377">
        <f>IFERROR(SUMPRODUCT((IF('AGOSTO 2026'!Y6:Y110&lt;&gt;"",'AGOSTO 2026'!Y6:Y110,'AGOSTO 2026'!I6:I110)="OMIA")*('AGOSTO 2026'!K6:K110="GASOLINA")*'AGOSTO 2026'!M6:M110),0)</f>
        <v/>
      </c>
      <c r="F237" s="377">
        <f>IFERROR(SUMPRODUCT((IF('AGOSTO 2026'!Y6:Y110&lt;&gt;"",'AGOSTO 2026'!Y6:Y110,'AGOSTO 2026'!I6:I110)="OMIA")*('AGOSTO 2026'!K6:K110="GASOLINA")*'AGOSTO 2026'!L6:L110*'AGOSTO 2026'!M6:M110),0)</f>
        <v/>
      </c>
      <c r="G237" s="194" t="n"/>
      <c r="H237" s="194" t="n"/>
      <c r="I237" s="194" t="n"/>
      <c r="J237" s="194" t="n"/>
      <c r="K237" s="194" t="n"/>
      <c r="L237" s="194" t="n"/>
      <c r="M237" s="194" t="n"/>
      <c r="N237" s="194" t="n"/>
      <c r="O237" s="194" t="n"/>
      <c r="P237" s="194" t="n"/>
      <c r="Q237" s="194" t="n"/>
      <c r="R237" s="194" t="n"/>
      <c r="S237" s="194" t="n"/>
      <c r="T237" s="194" t="n"/>
      <c r="U237" s="194" t="n"/>
      <c r="V237" s="194" t="n"/>
      <c r="W237" s="194" t="n"/>
      <c r="X237" s="194" t="n"/>
      <c r="Y237" s="194" t="n"/>
      <c r="Z237" s="194" t="n"/>
    </row>
    <row r="238" ht="15.75" customHeight="1" s="195">
      <c r="A238" s="194" t="inlineStr">
        <is>
          <t>OMIA</t>
        </is>
      </c>
      <c r="B238" s="194" t="inlineStr">
        <is>
          <t>SETIEMBRE 2026</t>
        </is>
      </c>
      <c r="C238" s="377">
        <f>IFERROR(SUMPRODUCT((IF('SETIEMBRE 2026'!Y6:Y110&lt;&gt;"",'SETIEMBRE 2026'!Y6:Y110,'SETIEMBRE 2026'!I6:I110)="OMIA")*('SETIEMBRE 2026'!K6:K110="PETROLEO")*'SETIEMBRE 2026'!M6:M110),0)</f>
        <v/>
      </c>
      <c r="D238" s="377">
        <f>IFERROR(SUMPRODUCT((IF('SETIEMBRE 2026'!Y6:Y110&lt;&gt;"",'SETIEMBRE 2026'!Y6:Y110,'SETIEMBRE 2026'!I6:I110)="OMIA")*('SETIEMBRE 2026'!K6:K110="PETROLEO")*'SETIEMBRE 2026'!L6:L110*'SETIEMBRE 2026'!M6:M110),0)</f>
        <v/>
      </c>
      <c r="E238" s="377">
        <f>IFERROR(SUMPRODUCT((IF('SETIEMBRE 2026'!Y6:Y110&lt;&gt;"",'SETIEMBRE 2026'!Y6:Y110,'SETIEMBRE 2026'!I6:I110)="OMIA")*('SETIEMBRE 2026'!K6:K110="GASOLINA")*'SETIEMBRE 2026'!M6:M110),0)</f>
        <v/>
      </c>
      <c r="F238" s="377">
        <f>IFERROR(SUMPRODUCT((IF('SETIEMBRE 2026'!Y6:Y110&lt;&gt;"",'SETIEMBRE 2026'!Y6:Y110,'SETIEMBRE 2026'!I6:I110)="OMIA")*('SETIEMBRE 2026'!K6:K110="GASOLINA")*'SETIEMBRE 2026'!L6:L110*'SETIEMBRE 2026'!M6:M110),0)</f>
        <v/>
      </c>
      <c r="G238" s="194" t="n"/>
      <c r="H238" s="194" t="n"/>
      <c r="I238" s="194" t="n"/>
      <c r="J238" s="194" t="n"/>
      <c r="K238" s="194" t="n"/>
      <c r="L238" s="194" t="n"/>
      <c r="M238" s="194" t="n"/>
      <c r="N238" s="194" t="n"/>
      <c r="O238" s="194" t="n"/>
      <c r="P238" s="194" t="n"/>
      <c r="Q238" s="194" t="n"/>
      <c r="R238" s="194" t="n"/>
      <c r="S238" s="194" t="n"/>
      <c r="T238" s="194" t="n"/>
      <c r="U238" s="194" t="n"/>
      <c r="V238" s="194" t="n"/>
      <c r="W238" s="194" t="n"/>
      <c r="X238" s="194" t="n"/>
      <c r="Y238" s="194" t="n"/>
      <c r="Z238" s="194" t="n"/>
    </row>
    <row r="239" ht="15.75" customHeight="1" s="195">
      <c r="A239" s="194" t="inlineStr">
        <is>
          <t>OMIA</t>
        </is>
      </c>
      <c r="B239" s="194" t="inlineStr">
        <is>
          <t>OCTUBRE 2026</t>
        </is>
      </c>
      <c r="C239" s="377">
        <f>IFERROR(SUMPRODUCT((IF('OCTUBRE 2026'!Y6:Y110&lt;&gt;"",'OCTUBRE 2026'!Y6:Y110,'OCTUBRE 2026'!I6:I110)="OMIA")*('OCTUBRE 2026'!K6:K110="PETROLEO")*'OCTUBRE 2026'!M6:M110),0)</f>
        <v/>
      </c>
      <c r="D239" s="377">
        <f>IFERROR(SUMPRODUCT((IF('OCTUBRE 2026'!Y6:Y110&lt;&gt;"",'OCTUBRE 2026'!Y6:Y110,'OCTUBRE 2026'!I6:I110)="OMIA")*('OCTUBRE 2026'!K6:K110="PETROLEO")*'OCTUBRE 2026'!L6:L110*'OCTUBRE 2026'!M6:M110),0)</f>
        <v/>
      </c>
      <c r="E239" s="377">
        <f>IFERROR(SUMPRODUCT((IF('OCTUBRE 2026'!Y6:Y110&lt;&gt;"",'OCTUBRE 2026'!Y6:Y110,'OCTUBRE 2026'!I6:I110)="OMIA")*('OCTUBRE 2026'!K6:K110="GASOLINA")*'OCTUBRE 2026'!M6:M110),0)</f>
        <v/>
      </c>
      <c r="F239" s="377">
        <f>IFERROR(SUMPRODUCT((IF('OCTUBRE 2026'!Y6:Y110&lt;&gt;"",'OCTUBRE 2026'!Y6:Y110,'OCTUBRE 2026'!I6:I110)="OMIA")*('OCTUBRE 2026'!K6:K110="GASOLINA")*'OCTUBRE 2026'!L6:L110*'OCTUBRE 2026'!M6:M110),0)</f>
        <v/>
      </c>
      <c r="G239" s="194" t="n"/>
      <c r="H239" s="194" t="n"/>
      <c r="I239" s="194" t="n"/>
      <c r="J239" s="194" t="n"/>
      <c r="K239" s="194" t="n"/>
      <c r="L239" s="194" t="n"/>
      <c r="M239" s="194" t="n"/>
      <c r="N239" s="194" t="n"/>
      <c r="O239" s="194" t="n"/>
      <c r="P239" s="194" t="n"/>
      <c r="Q239" s="194" t="n"/>
      <c r="R239" s="194" t="n"/>
      <c r="S239" s="194" t="n"/>
      <c r="T239" s="194" t="n"/>
      <c r="U239" s="194" t="n"/>
      <c r="V239" s="194" t="n"/>
      <c r="W239" s="194" t="n"/>
      <c r="X239" s="194" t="n"/>
      <c r="Y239" s="194" t="n"/>
      <c r="Z239" s="194" t="n"/>
    </row>
    <row r="240" ht="15.75" customHeight="1" s="195">
      <c r="A240" s="194" t="inlineStr">
        <is>
          <t>OMIA</t>
        </is>
      </c>
      <c r="B240" s="194" t="inlineStr">
        <is>
          <t>NOVIEMBRE 2026</t>
        </is>
      </c>
      <c r="C240" s="377">
        <f>IFERROR(SUMPRODUCT((IF('NOVIEMBRE 2026'!Y6:Y110&lt;&gt;"",'NOVIEMBRE 2026'!Y6:Y110,'NOVIEMBRE 2026'!I6:I110)="OMIA")*('NOVIEMBRE 2026'!K6:K110="PETROLEO")*'NOVIEMBRE 2026'!M6:M110),0)</f>
        <v/>
      </c>
      <c r="D240" s="377">
        <f>IFERROR(SUMPRODUCT((IF('NOVIEMBRE 2026'!Y6:Y110&lt;&gt;"",'NOVIEMBRE 2026'!Y6:Y110,'NOVIEMBRE 2026'!I6:I110)="OMIA")*('NOVIEMBRE 2026'!K6:K110="PETROLEO")*'NOVIEMBRE 2026'!L6:L110*'NOVIEMBRE 2026'!M6:M110),0)</f>
        <v/>
      </c>
      <c r="E240" s="377">
        <f>IFERROR(SUMPRODUCT((IF('NOVIEMBRE 2026'!Y6:Y110&lt;&gt;"",'NOVIEMBRE 2026'!Y6:Y110,'NOVIEMBRE 2026'!I6:I110)="OMIA")*('NOVIEMBRE 2026'!K6:K110="GASOLINA")*'NOVIEMBRE 2026'!M6:M110),0)</f>
        <v/>
      </c>
      <c r="F240" s="377">
        <f>IFERROR(SUMPRODUCT((IF('NOVIEMBRE 2026'!Y6:Y110&lt;&gt;"",'NOVIEMBRE 2026'!Y6:Y110,'NOVIEMBRE 2026'!I6:I110)="OMIA")*('NOVIEMBRE 2026'!K6:K110="GASOLINA")*'NOVIEMBRE 2026'!L6:L110*'NOVIEMBRE 2026'!M6:M110),0)</f>
        <v/>
      </c>
      <c r="G240" s="194" t="n"/>
      <c r="H240" s="194" t="n"/>
      <c r="I240" s="194" t="n"/>
      <c r="J240" s="194" t="n"/>
      <c r="K240" s="194" t="n"/>
      <c r="L240" s="194" t="n"/>
      <c r="M240" s="194" t="n"/>
      <c r="N240" s="194" t="n"/>
      <c r="O240" s="194" t="n"/>
      <c r="P240" s="194" t="n"/>
      <c r="Q240" s="194" t="n"/>
      <c r="R240" s="194" t="n"/>
      <c r="S240" s="194" t="n"/>
      <c r="T240" s="194" t="n"/>
      <c r="U240" s="194" t="n"/>
      <c r="V240" s="194" t="n"/>
      <c r="W240" s="194" t="n"/>
      <c r="X240" s="194" t="n"/>
      <c r="Y240" s="194" t="n"/>
      <c r="Z240" s="194" t="n"/>
    </row>
    <row r="241" ht="15.75" customHeight="1" s="195">
      <c r="A241" s="194" t="inlineStr">
        <is>
          <t>OMIA</t>
        </is>
      </c>
      <c r="B241" s="194" t="inlineStr">
        <is>
          <t>DICIEMBRE 2026</t>
        </is>
      </c>
      <c r="C241" s="377">
        <f>IFERROR(SUMPRODUCT((IF('DICIEMBRE 2026'!Y6:Y110&lt;&gt;"",'DICIEMBRE 2026'!Y6:Y110,'DICIEMBRE 2026'!I6:I110)="OMIA")*('DICIEMBRE 2026'!K6:K110="PETROLEO")*'DICIEMBRE 2026'!M6:M110),0)</f>
        <v/>
      </c>
      <c r="D241" s="377">
        <f>IFERROR(SUMPRODUCT((IF('DICIEMBRE 2026'!Y6:Y110&lt;&gt;"",'DICIEMBRE 2026'!Y6:Y110,'DICIEMBRE 2026'!I6:I110)="OMIA")*('DICIEMBRE 2026'!K6:K110="PETROLEO")*'DICIEMBRE 2026'!L6:L110*'DICIEMBRE 2026'!M6:M110),0)</f>
        <v/>
      </c>
      <c r="E241" s="377">
        <f>IFERROR(SUMPRODUCT((IF('DICIEMBRE 2026'!Y6:Y110&lt;&gt;"",'DICIEMBRE 2026'!Y6:Y110,'DICIEMBRE 2026'!I6:I110)="OMIA")*('DICIEMBRE 2026'!K6:K110="GASOLINA")*'DICIEMBRE 2026'!M6:M110),0)</f>
        <v/>
      </c>
      <c r="F241" s="377">
        <f>IFERROR(SUMPRODUCT((IF('DICIEMBRE 2026'!Y6:Y110&lt;&gt;"",'DICIEMBRE 2026'!Y6:Y110,'DICIEMBRE 2026'!I6:I110)="OMIA")*('DICIEMBRE 2026'!K6:K110="GASOLINA")*'DICIEMBRE 2026'!L6:L110*'DICIEMBRE 2026'!M6:M110),0)</f>
        <v/>
      </c>
      <c r="G241" s="194" t="n"/>
      <c r="H241" s="194" t="n"/>
      <c r="I241" s="194" t="n"/>
      <c r="J241" s="194" t="n"/>
      <c r="K241" s="194" t="n"/>
      <c r="L241" s="194" t="n"/>
      <c r="M241" s="194" t="n"/>
      <c r="N241" s="194" t="n"/>
      <c r="O241" s="194" t="n"/>
      <c r="P241" s="194" t="n"/>
      <c r="Q241" s="194" t="n"/>
      <c r="R241" s="194" t="n"/>
      <c r="S241" s="194" t="n"/>
      <c r="T241" s="194" t="n"/>
      <c r="U241" s="194" t="n"/>
      <c r="V241" s="194" t="n"/>
      <c r="W241" s="194" t="n"/>
      <c r="X241" s="194" t="n"/>
      <c r="Y241" s="194" t="n"/>
      <c r="Z241" s="194" t="n"/>
    </row>
    <row r="242" ht="15.75" customHeight="1" s="195">
      <c r="A242" s="194" t="inlineStr">
        <is>
          <t>PEDRO RUIZ GALLO</t>
        </is>
      </c>
      <c r="B242" s="194" t="inlineStr">
        <is>
          <t>ENERO 2026</t>
        </is>
      </c>
      <c r="C242" s="377">
        <f>IFERROR(SUMPRODUCT((IF('ENERO 2026'!Y6:Y119&lt;&gt;"",'ENERO 2026'!Y6:Y119,'ENERO 2026'!I6:I119)="PEDRO RUIZ GALLO")*('ENERO 2026'!K6:K119="PETROLEO")*'ENERO 2026'!M6:M119),0)</f>
        <v/>
      </c>
      <c r="D242" s="377">
        <f>IFERROR(SUMPRODUCT((IF('ENERO 2026'!Y6:Y119&lt;&gt;"",'ENERO 2026'!Y6:Y119,'ENERO 2026'!I6:I119)="PEDRO RUIZ GALLO")*('ENERO 2026'!K6:K119="PETROLEO")*'ENERO 2026'!L6:L119*'ENERO 2026'!M6:M119),0)</f>
        <v/>
      </c>
      <c r="E242" s="377">
        <f>IFERROR(SUMPRODUCT((IF('ENERO 2026'!Y6:Y119&lt;&gt;"",'ENERO 2026'!Y6:Y119,'ENERO 2026'!I6:I119)="PEDRO RUIZ GALLO")*('ENERO 2026'!K6:K119="GASOLINA")*'ENERO 2026'!M6:M119),0)</f>
        <v/>
      </c>
      <c r="F242" s="377">
        <f>IFERROR(SUMPRODUCT((IF('ENERO 2026'!Y6:Y119&lt;&gt;"",'ENERO 2026'!Y6:Y119,'ENERO 2026'!I6:I119)="PEDRO RUIZ GALLO")*('ENERO 2026'!K6:K119="GASOLINA")*'ENERO 2026'!L6:L119*'ENERO 2026'!M6:M119),0)</f>
        <v/>
      </c>
      <c r="G242" s="194" t="n"/>
      <c r="H242" s="194" t="n"/>
      <c r="I242" s="194" t="n"/>
      <c r="J242" s="194" t="n"/>
      <c r="K242" s="194" t="n"/>
      <c r="L242" s="194" t="n"/>
      <c r="M242" s="194" t="n"/>
      <c r="N242" s="194" t="n"/>
      <c r="O242" s="194" t="n"/>
      <c r="P242" s="194" t="n"/>
      <c r="Q242" s="194" t="n"/>
      <c r="R242" s="194" t="n"/>
      <c r="S242" s="194" t="n"/>
      <c r="T242" s="194" t="n"/>
      <c r="U242" s="194" t="n"/>
      <c r="V242" s="194" t="n"/>
      <c r="W242" s="194" t="n"/>
      <c r="X242" s="194" t="n"/>
      <c r="Y242" s="194" t="n"/>
      <c r="Z242" s="194" t="n"/>
    </row>
    <row r="243" ht="15.75" customHeight="1" s="195">
      <c r="A243" s="194" t="inlineStr">
        <is>
          <t>PEDRO RUIZ GALLO</t>
        </is>
      </c>
      <c r="B243" s="194" t="inlineStr">
        <is>
          <t>FEBRERO 2026</t>
        </is>
      </c>
      <c r="C243" s="377">
        <f>IFERROR(SUMPRODUCT((IF('FEBRERO 2026'!Y6:Y124&lt;&gt;"",'FEBRERO 2026'!Y6:Y124,'FEBRERO 2026'!I6:I124)="PEDRO RUIZ GALLO")*('FEBRERO 2026'!K6:K124="PETROLEO")*'FEBRERO 2026'!M6:M124),0)</f>
        <v/>
      </c>
      <c r="D243" s="377">
        <f>IFERROR(SUMPRODUCT((IF('FEBRERO 2026'!Y6:Y124&lt;&gt;"",'FEBRERO 2026'!Y6:Y124,'FEBRERO 2026'!I6:I124)="PEDRO RUIZ GALLO")*('FEBRERO 2026'!K6:K124="PETROLEO")*'FEBRERO 2026'!L6:L124*'FEBRERO 2026'!M6:M124),0)</f>
        <v/>
      </c>
      <c r="E243" s="377">
        <f>IFERROR(SUMPRODUCT((IF('FEBRERO 2026'!Y6:Y124&lt;&gt;"",'FEBRERO 2026'!Y6:Y124,'FEBRERO 2026'!I6:I124)="PEDRO RUIZ GALLO")*('FEBRERO 2026'!K6:K124="GASOLINA")*'FEBRERO 2026'!M6:M124),0)</f>
        <v/>
      </c>
      <c r="F243" s="377">
        <f>IFERROR(SUMPRODUCT((IF('FEBRERO 2026'!Y6:Y124&lt;&gt;"",'FEBRERO 2026'!Y6:Y124,'FEBRERO 2026'!I6:I124)="PEDRO RUIZ GALLO")*('FEBRERO 2026'!K6:K124="GASOLINA")*'FEBRERO 2026'!L6:L124*'FEBRERO 2026'!M6:M124),0)</f>
        <v/>
      </c>
      <c r="G243" s="194" t="n"/>
      <c r="H243" s="194" t="n"/>
      <c r="I243" s="194" t="n"/>
      <c r="J243" s="194" t="n"/>
      <c r="K243" s="194" t="n"/>
      <c r="L243" s="194" t="n"/>
      <c r="M243" s="194" t="n"/>
      <c r="N243" s="194" t="n"/>
      <c r="O243" s="194" t="n"/>
      <c r="P243" s="194" t="n"/>
      <c r="Q243" s="194" t="n"/>
      <c r="R243" s="194" t="n"/>
      <c r="S243" s="194" t="n"/>
      <c r="T243" s="194" t="n"/>
      <c r="U243" s="194" t="n"/>
      <c r="V243" s="194" t="n"/>
      <c r="W243" s="194" t="n"/>
      <c r="X243" s="194" t="n"/>
      <c r="Y243" s="194" t="n"/>
      <c r="Z243" s="194" t="n"/>
    </row>
    <row r="244" ht="15.75" customHeight="1" s="195">
      <c r="A244" s="194" t="inlineStr">
        <is>
          <t>PEDRO RUIZ GALLO</t>
        </is>
      </c>
      <c r="B244" s="194" t="inlineStr">
        <is>
          <t>MARZO 2026</t>
        </is>
      </c>
      <c r="C244" s="377">
        <f>IFERROR(SUMPRODUCT((IF('MARZO 2026'!Y6:Y119&lt;&gt;"",'MARZO 2026'!Y6:Y119,'MARZO 2026'!I6:I119)="PEDRO RUIZ GALLO")*('MARZO 2026'!K6:K119="PETROLEO")*'MARZO 2026'!M6:M119),0)</f>
        <v/>
      </c>
      <c r="D244" s="377">
        <f>IFERROR(SUMPRODUCT((IF('MARZO 2026'!Y6:Y119&lt;&gt;"",'MARZO 2026'!Y6:Y119,'MARZO 2026'!I6:I119)="PEDRO RUIZ GALLO")*('MARZO 2026'!K6:K119="PETROLEO")*'MARZO 2026'!L6:L119*'MARZO 2026'!M6:M119),0)</f>
        <v/>
      </c>
      <c r="E244" s="377">
        <f>IFERROR(SUMPRODUCT((IF('MARZO 2026'!Y6:Y119&lt;&gt;"",'MARZO 2026'!Y6:Y119,'MARZO 2026'!I6:I119)="PEDRO RUIZ GALLO")*('MARZO 2026'!K6:K119="GASOLINA")*'MARZO 2026'!M6:M119),0)</f>
        <v/>
      </c>
      <c r="F244" s="377">
        <f>IFERROR(SUMPRODUCT((IF('MARZO 2026'!Y6:Y119&lt;&gt;"",'MARZO 2026'!Y6:Y119,'MARZO 2026'!I6:I119)="PEDRO RUIZ GALLO")*('MARZO 2026'!K6:K119="GASOLINA")*'MARZO 2026'!L6:L119*'MARZO 2026'!M6:M119),0)</f>
        <v/>
      </c>
      <c r="G244" s="194" t="n"/>
      <c r="H244" s="194" t="n"/>
      <c r="I244" s="194" t="n"/>
      <c r="J244" s="194" t="n"/>
      <c r="K244" s="194" t="n"/>
      <c r="L244" s="194" t="n"/>
      <c r="M244" s="194" t="n"/>
      <c r="N244" s="194" t="n"/>
      <c r="O244" s="194" t="n"/>
      <c r="P244" s="194" t="n"/>
      <c r="Q244" s="194" t="n"/>
      <c r="R244" s="194" t="n"/>
      <c r="S244" s="194" t="n"/>
      <c r="T244" s="194" t="n"/>
      <c r="U244" s="194" t="n"/>
      <c r="V244" s="194" t="n"/>
      <c r="W244" s="194" t="n"/>
      <c r="X244" s="194" t="n"/>
      <c r="Y244" s="194" t="n"/>
      <c r="Z244" s="194" t="n"/>
    </row>
    <row r="245" ht="15.75" customHeight="1" s="195">
      <c r="A245" s="194" t="inlineStr">
        <is>
          <t>PEDRO RUIZ GALLO</t>
        </is>
      </c>
      <c r="B245" s="194" t="inlineStr">
        <is>
          <t>ABRIL 2026</t>
        </is>
      </c>
      <c r="C245" s="377">
        <f>IFERROR(SUMPRODUCT((IF('ABRIL 2026'!Y6:Y119&lt;&gt;"",'ABRIL 2026'!Y6:Y119,'ABRIL 2026'!I6:I119)="PEDRO RUIZ GALLO")*('ABRIL 2026'!K6:K119="PETROLEO")*'ABRIL 2026'!M6:M119),0)</f>
        <v/>
      </c>
      <c r="D245" s="377">
        <f>IFERROR(SUMPRODUCT((IF('ABRIL 2026'!Y6:Y119&lt;&gt;"",'ABRIL 2026'!Y6:Y119,'ABRIL 2026'!I6:I119)="PEDRO RUIZ GALLO")*('ABRIL 2026'!K6:K119="PETROLEO")*'ABRIL 2026'!L6:L119*'ABRIL 2026'!M6:M119),0)</f>
        <v/>
      </c>
      <c r="E245" s="377">
        <f>IFERROR(SUMPRODUCT((IF('ABRIL 2026'!Y6:Y119&lt;&gt;"",'ABRIL 2026'!Y6:Y119,'ABRIL 2026'!I6:I119)="PEDRO RUIZ GALLO")*('ABRIL 2026'!K6:K119="GASOLINA")*'ABRIL 2026'!M6:M119),0)</f>
        <v/>
      </c>
      <c r="F245" s="377">
        <f>IFERROR(SUMPRODUCT((IF('ABRIL 2026'!Y6:Y119&lt;&gt;"",'ABRIL 2026'!Y6:Y119,'ABRIL 2026'!I6:I119)="PEDRO RUIZ GALLO")*('ABRIL 2026'!K6:K119="GASOLINA")*'ABRIL 2026'!L6:L119*'ABRIL 2026'!M6:M119),0)</f>
        <v/>
      </c>
      <c r="G245" s="194" t="n"/>
      <c r="H245" s="194" t="n"/>
      <c r="I245" s="194" t="n"/>
      <c r="J245" s="194" t="n"/>
      <c r="K245" s="194" t="n"/>
      <c r="L245" s="194" t="n"/>
      <c r="M245" s="194" t="n"/>
      <c r="N245" s="194" t="n"/>
      <c r="O245" s="194" t="n"/>
      <c r="P245" s="194" t="n"/>
      <c r="Q245" s="194" t="n"/>
      <c r="R245" s="194" t="n"/>
      <c r="S245" s="194" t="n"/>
      <c r="T245" s="194" t="n"/>
      <c r="U245" s="194" t="n"/>
      <c r="V245" s="194" t="n"/>
      <c r="W245" s="194" t="n"/>
      <c r="X245" s="194" t="n"/>
      <c r="Y245" s="194" t="n"/>
      <c r="Z245" s="194" t="n"/>
    </row>
    <row r="246" ht="15.75" customHeight="1" s="195">
      <c r="A246" s="194" t="inlineStr">
        <is>
          <t>PEDRO RUIZ GALLO</t>
        </is>
      </c>
      <c r="B246" s="194" t="inlineStr">
        <is>
          <t>MAYO 2026</t>
        </is>
      </c>
      <c r="C246" s="377">
        <f>IFERROR(SUMPRODUCT((IF('MAYO 2026'!Y6:Y110&lt;&gt;"",'MAYO 2026'!Y6:Y110,'MAYO 2026'!I6:I110)="PEDRO RUIZ GALLO")*('MAYO 2026'!K6:K110="PETROLEO")*'MAYO 2026'!M6:M110),0)</f>
        <v/>
      </c>
      <c r="D246" s="377">
        <f>IFERROR(SUMPRODUCT((IF('MAYO 2026'!Y6:Y110&lt;&gt;"",'MAYO 2026'!Y6:Y110,'MAYO 2026'!I6:I110)="PEDRO RUIZ GALLO")*('MAYO 2026'!K6:K110="PETROLEO")*'MAYO 2026'!L6:L110*'MAYO 2026'!M6:M110),0)</f>
        <v/>
      </c>
      <c r="E246" s="377">
        <f>IFERROR(SUMPRODUCT((IF('MAYO 2026'!Y6:Y110&lt;&gt;"",'MAYO 2026'!Y6:Y110,'MAYO 2026'!I6:I110)="PEDRO RUIZ GALLO")*('MAYO 2026'!K6:K110="GASOLINA")*'MAYO 2026'!M6:M110),0)</f>
        <v/>
      </c>
      <c r="F246" s="377">
        <f>IFERROR(SUMPRODUCT((IF('MAYO 2026'!Y6:Y110&lt;&gt;"",'MAYO 2026'!Y6:Y110,'MAYO 2026'!I6:I110)="PEDRO RUIZ GALLO")*('MAYO 2026'!K6:K110="GASOLINA")*'MAYO 2026'!L6:L110*'MAYO 2026'!M6:M110),0)</f>
        <v/>
      </c>
      <c r="G246" s="194" t="n"/>
      <c r="H246" s="194" t="n"/>
      <c r="I246" s="194" t="n"/>
      <c r="J246" s="194" t="n"/>
      <c r="K246" s="194" t="n"/>
      <c r="L246" s="194" t="n"/>
      <c r="M246" s="194" t="n"/>
      <c r="N246" s="194" t="n"/>
      <c r="O246" s="194" t="n"/>
      <c r="P246" s="194" t="n"/>
      <c r="Q246" s="194" t="n"/>
      <c r="R246" s="194" t="n"/>
      <c r="S246" s="194" t="n"/>
      <c r="T246" s="194" t="n"/>
      <c r="U246" s="194" t="n"/>
      <c r="V246" s="194" t="n"/>
      <c r="W246" s="194" t="n"/>
      <c r="X246" s="194" t="n"/>
      <c r="Y246" s="194" t="n"/>
      <c r="Z246" s="194" t="n"/>
    </row>
    <row r="247" ht="15.75" customHeight="1" s="195">
      <c r="A247" s="194" t="inlineStr">
        <is>
          <t>PEDRO RUIZ GALLO</t>
        </is>
      </c>
      <c r="B247" s="194" t="inlineStr">
        <is>
          <t>JUNIO 2026</t>
        </is>
      </c>
      <c r="C247" s="377">
        <f>IFERROR(SUMPRODUCT((IF('JUNIO 2026'!Y6:Y110&lt;&gt;"",'JUNIO 2026'!Y6:Y110,'JUNIO 2026'!I6:I110)="PEDRO RUIZ GALLO")*('JUNIO 2026'!K6:K110="PETROLEO")*'JUNIO 2026'!M6:M110),0)</f>
        <v/>
      </c>
      <c r="D247" s="377">
        <f>IFERROR(SUMPRODUCT((IF('JUNIO 2026'!Y6:Y110&lt;&gt;"",'JUNIO 2026'!Y6:Y110,'JUNIO 2026'!I6:I110)="PEDRO RUIZ GALLO")*('JUNIO 2026'!K6:K110="PETROLEO")*'JUNIO 2026'!L6:L110*'JUNIO 2026'!M6:M110),0)</f>
        <v/>
      </c>
      <c r="E247" s="377">
        <f>IFERROR(SUMPRODUCT((IF('JUNIO 2026'!Y6:Y110&lt;&gt;"",'JUNIO 2026'!Y6:Y110,'JUNIO 2026'!I6:I110)="PEDRO RUIZ GALLO")*('JUNIO 2026'!K6:K110="GASOLINA")*'JUNIO 2026'!M6:M110),0)</f>
        <v/>
      </c>
      <c r="F247" s="377">
        <f>IFERROR(SUMPRODUCT((IF('JUNIO 2026'!Y6:Y110&lt;&gt;"",'JUNIO 2026'!Y6:Y110,'JUNIO 2026'!I6:I110)="PEDRO RUIZ GALLO")*('JUNIO 2026'!K6:K110="GASOLINA")*'JUNIO 2026'!L6:L110*'JUNIO 2026'!M6:M110),0)</f>
        <v/>
      </c>
      <c r="G247" s="194" t="n"/>
      <c r="H247" s="194" t="n"/>
      <c r="I247" s="194" t="n"/>
      <c r="J247" s="194" t="n"/>
      <c r="K247" s="194" t="n"/>
      <c r="L247" s="194" t="n"/>
      <c r="M247" s="194" t="n"/>
      <c r="N247" s="194" t="n"/>
      <c r="O247" s="194" t="n"/>
      <c r="P247" s="194" t="n"/>
      <c r="Q247" s="194" t="n"/>
      <c r="R247" s="194" t="n"/>
      <c r="S247" s="194" t="n"/>
      <c r="T247" s="194" t="n"/>
      <c r="U247" s="194" t="n"/>
      <c r="V247" s="194" t="n"/>
      <c r="W247" s="194" t="n"/>
      <c r="X247" s="194" t="n"/>
      <c r="Y247" s="194" t="n"/>
      <c r="Z247" s="194" t="n"/>
    </row>
    <row r="248" ht="15.75" customHeight="1" s="195">
      <c r="A248" s="194" t="inlineStr">
        <is>
          <t>PEDRO RUIZ GALLO</t>
        </is>
      </c>
      <c r="B248" s="194" t="inlineStr">
        <is>
          <t>JULIO 2026</t>
        </is>
      </c>
      <c r="C248" s="377">
        <f>IFERROR(SUMPRODUCT((IF('JULIO 2026'!Y6:Y110&lt;&gt;"",'JULIO 2026'!Y6:Y110,'JULIO 2026'!I6:I110)="PEDRO RUIZ GALLO")*('JULIO 2026'!K6:K110="PETROLEO")*'JULIO 2026'!M6:M110),0)</f>
        <v/>
      </c>
      <c r="D248" s="377">
        <f>IFERROR(SUMPRODUCT((IF('JULIO 2026'!Y6:Y110&lt;&gt;"",'JULIO 2026'!Y6:Y110,'JULIO 2026'!I6:I110)="PEDRO RUIZ GALLO")*('JULIO 2026'!K6:K110="PETROLEO")*'JULIO 2026'!L6:L110*'JULIO 2026'!M6:M110),0)</f>
        <v/>
      </c>
      <c r="E248" s="377">
        <f>IFERROR(SUMPRODUCT((IF('JULIO 2026'!Y6:Y110&lt;&gt;"",'JULIO 2026'!Y6:Y110,'JULIO 2026'!I6:I110)="PEDRO RUIZ GALLO")*('JULIO 2026'!K6:K110="GASOLINA")*'JULIO 2026'!M6:M110),0)</f>
        <v/>
      </c>
      <c r="F248" s="377">
        <f>IFERROR(SUMPRODUCT((IF('JULIO 2026'!Y6:Y110&lt;&gt;"",'JULIO 2026'!Y6:Y110,'JULIO 2026'!I6:I110)="PEDRO RUIZ GALLO")*('JULIO 2026'!K6:K110="GASOLINA")*'JULIO 2026'!L6:L110*'JULIO 2026'!M6:M110),0)</f>
        <v/>
      </c>
      <c r="G248" s="194" t="n"/>
      <c r="H248" s="194" t="n"/>
      <c r="I248" s="194" t="n"/>
      <c r="J248" s="194" t="n"/>
      <c r="K248" s="194" t="n"/>
      <c r="L248" s="194" t="n"/>
      <c r="M248" s="194" t="n"/>
      <c r="N248" s="194" t="n"/>
      <c r="O248" s="194" t="n"/>
      <c r="P248" s="194" t="n"/>
      <c r="Q248" s="194" t="n"/>
      <c r="R248" s="194" t="n"/>
      <c r="S248" s="194" t="n"/>
      <c r="T248" s="194" t="n"/>
      <c r="U248" s="194" t="n"/>
      <c r="V248" s="194" t="n"/>
      <c r="W248" s="194" t="n"/>
      <c r="X248" s="194" t="n"/>
      <c r="Y248" s="194" t="n"/>
      <c r="Z248" s="194" t="n"/>
    </row>
    <row r="249" ht="15.75" customHeight="1" s="195">
      <c r="A249" s="194" t="inlineStr">
        <is>
          <t>PEDRO RUIZ GALLO</t>
        </is>
      </c>
      <c r="B249" s="194" t="inlineStr">
        <is>
          <t>AGOSTO 2026</t>
        </is>
      </c>
      <c r="C249" s="377">
        <f>IFERROR(SUMPRODUCT((IF('AGOSTO 2026'!Y6:Y110&lt;&gt;"",'AGOSTO 2026'!Y6:Y110,'AGOSTO 2026'!I6:I110)="PEDRO RUIZ GALLO")*('AGOSTO 2026'!K6:K110="PETROLEO")*'AGOSTO 2026'!M6:M110),0)</f>
        <v/>
      </c>
      <c r="D249" s="377">
        <f>IFERROR(SUMPRODUCT((IF('AGOSTO 2026'!Y6:Y110&lt;&gt;"",'AGOSTO 2026'!Y6:Y110,'AGOSTO 2026'!I6:I110)="PEDRO RUIZ GALLO")*('AGOSTO 2026'!K6:K110="PETROLEO")*'AGOSTO 2026'!L6:L110*'AGOSTO 2026'!M6:M110),0)</f>
        <v/>
      </c>
      <c r="E249" s="377">
        <f>IFERROR(SUMPRODUCT((IF('AGOSTO 2026'!Y6:Y110&lt;&gt;"",'AGOSTO 2026'!Y6:Y110,'AGOSTO 2026'!I6:I110)="PEDRO RUIZ GALLO")*('AGOSTO 2026'!K6:K110="GASOLINA")*'AGOSTO 2026'!M6:M110),0)</f>
        <v/>
      </c>
      <c r="F249" s="377">
        <f>IFERROR(SUMPRODUCT((IF('AGOSTO 2026'!Y6:Y110&lt;&gt;"",'AGOSTO 2026'!Y6:Y110,'AGOSTO 2026'!I6:I110)="PEDRO RUIZ GALLO")*('AGOSTO 2026'!K6:K110="GASOLINA")*'AGOSTO 2026'!L6:L110*'AGOSTO 2026'!M6:M110),0)</f>
        <v/>
      </c>
      <c r="G249" s="194" t="n"/>
      <c r="H249" s="194" t="n"/>
      <c r="I249" s="194" t="n"/>
      <c r="J249" s="194" t="n"/>
      <c r="K249" s="194" t="n"/>
      <c r="L249" s="194" t="n"/>
      <c r="M249" s="194" t="n"/>
      <c r="N249" s="194" t="n"/>
      <c r="O249" s="194" t="n"/>
      <c r="P249" s="194" t="n"/>
      <c r="Q249" s="194" t="n"/>
      <c r="R249" s="194" t="n"/>
      <c r="S249" s="194" t="n"/>
      <c r="T249" s="194" t="n"/>
      <c r="U249" s="194" t="n"/>
      <c r="V249" s="194" t="n"/>
      <c r="W249" s="194" t="n"/>
      <c r="X249" s="194" t="n"/>
      <c r="Y249" s="194" t="n"/>
      <c r="Z249" s="194" t="n"/>
    </row>
    <row r="250" ht="15.75" customHeight="1" s="195">
      <c r="A250" s="194" t="inlineStr">
        <is>
          <t>PEDRO RUIZ GALLO</t>
        </is>
      </c>
      <c r="B250" s="194" t="inlineStr">
        <is>
          <t>SETIEMBRE 2026</t>
        </is>
      </c>
      <c r="C250" s="377">
        <f>IFERROR(SUMPRODUCT((IF('SETIEMBRE 2026'!Y6:Y110&lt;&gt;"",'SETIEMBRE 2026'!Y6:Y110,'SETIEMBRE 2026'!I6:I110)="PEDRO RUIZ GALLO")*('SETIEMBRE 2026'!K6:K110="PETROLEO")*'SETIEMBRE 2026'!M6:M110),0)</f>
        <v/>
      </c>
      <c r="D250" s="377">
        <f>IFERROR(SUMPRODUCT((IF('SETIEMBRE 2026'!Y6:Y110&lt;&gt;"",'SETIEMBRE 2026'!Y6:Y110,'SETIEMBRE 2026'!I6:I110)="PEDRO RUIZ GALLO")*('SETIEMBRE 2026'!K6:K110="PETROLEO")*'SETIEMBRE 2026'!L6:L110*'SETIEMBRE 2026'!M6:M110),0)</f>
        <v/>
      </c>
      <c r="E250" s="377">
        <f>IFERROR(SUMPRODUCT((IF('SETIEMBRE 2026'!Y6:Y110&lt;&gt;"",'SETIEMBRE 2026'!Y6:Y110,'SETIEMBRE 2026'!I6:I110)="PEDRO RUIZ GALLO")*('SETIEMBRE 2026'!K6:K110="GASOLINA")*'SETIEMBRE 2026'!M6:M110),0)</f>
        <v/>
      </c>
      <c r="F250" s="377">
        <f>IFERROR(SUMPRODUCT((IF('SETIEMBRE 2026'!Y6:Y110&lt;&gt;"",'SETIEMBRE 2026'!Y6:Y110,'SETIEMBRE 2026'!I6:I110)="PEDRO RUIZ GALLO")*('SETIEMBRE 2026'!K6:K110="GASOLINA")*'SETIEMBRE 2026'!L6:L110*'SETIEMBRE 2026'!M6:M110),0)</f>
        <v/>
      </c>
      <c r="G250" s="194" t="n"/>
      <c r="H250" s="194" t="n"/>
      <c r="I250" s="194" t="n"/>
      <c r="J250" s="194" t="n"/>
      <c r="K250" s="194" t="n"/>
      <c r="L250" s="194" t="n"/>
      <c r="M250" s="194" t="n"/>
      <c r="N250" s="194" t="n"/>
      <c r="O250" s="194" t="n"/>
      <c r="P250" s="194" t="n"/>
      <c r="Q250" s="194" t="n"/>
      <c r="R250" s="194" t="n"/>
      <c r="S250" s="194" t="n"/>
      <c r="T250" s="194" t="n"/>
      <c r="U250" s="194" t="n"/>
      <c r="V250" s="194" t="n"/>
      <c r="W250" s="194" t="n"/>
      <c r="X250" s="194" t="n"/>
      <c r="Y250" s="194" t="n"/>
      <c r="Z250" s="194" t="n"/>
    </row>
    <row r="251" ht="15.75" customHeight="1" s="195">
      <c r="A251" s="194" t="inlineStr">
        <is>
          <t>PEDRO RUIZ GALLO</t>
        </is>
      </c>
      <c r="B251" s="194" t="inlineStr">
        <is>
          <t>OCTUBRE 2026</t>
        </is>
      </c>
      <c r="C251" s="377">
        <f>IFERROR(SUMPRODUCT((IF('OCTUBRE 2026'!Y6:Y110&lt;&gt;"",'OCTUBRE 2026'!Y6:Y110,'OCTUBRE 2026'!I6:I110)="PEDRO RUIZ GALLO")*('OCTUBRE 2026'!K6:K110="PETROLEO")*'OCTUBRE 2026'!M6:M110),0)</f>
        <v/>
      </c>
      <c r="D251" s="377">
        <f>IFERROR(SUMPRODUCT((IF('OCTUBRE 2026'!Y6:Y110&lt;&gt;"",'OCTUBRE 2026'!Y6:Y110,'OCTUBRE 2026'!I6:I110)="PEDRO RUIZ GALLO")*('OCTUBRE 2026'!K6:K110="PETROLEO")*'OCTUBRE 2026'!L6:L110*'OCTUBRE 2026'!M6:M110),0)</f>
        <v/>
      </c>
      <c r="E251" s="377">
        <f>IFERROR(SUMPRODUCT((IF('OCTUBRE 2026'!Y6:Y110&lt;&gt;"",'OCTUBRE 2026'!Y6:Y110,'OCTUBRE 2026'!I6:I110)="PEDRO RUIZ GALLO")*('OCTUBRE 2026'!K6:K110="GASOLINA")*'OCTUBRE 2026'!M6:M110),0)</f>
        <v/>
      </c>
      <c r="F251" s="377">
        <f>IFERROR(SUMPRODUCT((IF('OCTUBRE 2026'!Y6:Y110&lt;&gt;"",'OCTUBRE 2026'!Y6:Y110,'OCTUBRE 2026'!I6:I110)="PEDRO RUIZ GALLO")*('OCTUBRE 2026'!K6:K110="GASOLINA")*'OCTUBRE 2026'!L6:L110*'OCTUBRE 2026'!M6:M110),0)</f>
        <v/>
      </c>
      <c r="G251" s="194" t="n"/>
      <c r="H251" s="194" t="n"/>
      <c r="I251" s="194" t="n"/>
      <c r="J251" s="194" t="n"/>
      <c r="K251" s="194" t="n"/>
      <c r="L251" s="194" t="n"/>
      <c r="M251" s="194" t="n"/>
      <c r="N251" s="194" t="n"/>
      <c r="O251" s="194" t="n"/>
      <c r="P251" s="194" t="n"/>
      <c r="Q251" s="194" t="n"/>
      <c r="R251" s="194" t="n"/>
      <c r="S251" s="194" t="n"/>
      <c r="T251" s="194" t="n"/>
      <c r="U251" s="194" t="n"/>
      <c r="V251" s="194" t="n"/>
      <c r="W251" s="194" t="n"/>
      <c r="X251" s="194" t="n"/>
      <c r="Y251" s="194" t="n"/>
      <c r="Z251" s="194" t="n"/>
    </row>
    <row r="252" ht="15.75" customHeight="1" s="195">
      <c r="A252" s="194" t="inlineStr">
        <is>
          <t>PEDRO RUIZ GALLO</t>
        </is>
      </c>
      <c r="B252" s="194" t="inlineStr">
        <is>
          <t>NOVIEMBRE 2026</t>
        </is>
      </c>
      <c r="C252" s="377">
        <f>IFERROR(SUMPRODUCT((IF('NOVIEMBRE 2026'!Y6:Y110&lt;&gt;"",'NOVIEMBRE 2026'!Y6:Y110,'NOVIEMBRE 2026'!I6:I110)="PEDRO RUIZ GALLO")*('NOVIEMBRE 2026'!K6:K110="PETROLEO")*'NOVIEMBRE 2026'!M6:M110),0)</f>
        <v/>
      </c>
      <c r="D252" s="377">
        <f>IFERROR(SUMPRODUCT((IF('NOVIEMBRE 2026'!Y6:Y110&lt;&gt;"",'NOVIEMBRE 2026'!Y6:Y110,'NOVIEMBRE 2026'!I6:I110)="PEDRO RUIZ GALLO")*('NOVIEMBRE 2026'!K6:K110="PETROLEO")*'NOVIEMBRE 2026'!L6:L110*'NOVIEMBRE 2026'!M6:M110),0)</f>
        <v/>
      </c>
      <c r="E252" s="377">
        <f>IFERROR(SUMPRODUCT((IF('NOVIEMBRE 2026'!Y6:Y110&lt;&gt;"",'NOVIEMBRE 2026'!Y6:Y110,'NOVIEMBRE 2026'!I6:I110)="PEDRO RUIZ GALLO")*('NOVIEMBRE 2026'!K6:K110="GASOLINA")*'NOVIEMBRE 2026'!M6:M110),0)</f>
        <v/>
      </c>
      <c r="F252" s="377">
        <f>IFERROR(SUMPRODUCT((IF('NOVIEMBRE 2026'!Y6:Y110&lt;&gt;"",'NOVIEMBRE 2026'!Y6:Y110,'NOVIEMBRE 2026'!I6:I110)="PEDRO RUIZ GALLO")*('NOVIEMBRE 2026'!K6:K110="GASOLINA")*'NOVIEMBRE 2026'!L6:L110*'NOVIEMBRE 2026'!M6:M110),0)</f>
        <v/>
      </c>
      <c r="G252" s="194" t="n"/>
      <c r="H252" s="194" t="n"/>
      <c r="I252" s="194" t="n"/>
      <c r="J252" s="194" t="n"/>
      <c r="K252" s="194" t="n"/>
      <c r="L252" s="194" t="n"/>
      <c r="M252" s="194" t="n"/>
      <c r="N252" s="194" t="n"/>
      <c r="O252" s="194" t="n"/>
      <c r="P252" s="194" t="n"/>
      <c r="Q252" s="194" t="n"/>
      <c r="R252" s="194" t="n"/>
      <c r="S252" s="194" t="n"/>
      <c r="T252" s="194" t="n"/>
      <c r="U252" s="194" t="n"/>
      <c r="V252" s="194" t="n"/>
      <c r="W252" s="194" t="n"/>
      <c r="X252" s="194" t="n"/>
      <c r="Y252" s="194" t="n"/>
      <c r="Z252" s="194" t="n"/>
    </row>
    <row r="253" ht="15.75" customHeight="1" s="195">
      <c r="A253" s="194" t="inlineStr">
        <is>
          <t>PEDRO RUIZ GALLO</t>
        </is>
      </c>
      <c r="B253" s="194" t="inlineStr">
        <is>
          <t>DICIEMBRE 2026</t>
        </is>
      </c>
      <c r="C253" s="377">
        <f>IFERROR(SUMPRODUCT((IF('DICIEMBRE 2026'!Y6:Y110&lt;&gt;"",'DICIEMBRE 2026'!Y6:Y110,'DICIEMBRE 2026'!I6:I110)="PEDRO RUIZ GALLO")*('DICIEMBRE 2026'!K6:K110="PETROLEO")*'DICIEMBRE 2026'!M6:M110),0)</f>
        <v/>
      </c>
      <c r="D253" s="377">
        <f>IFERROR(SUMPRODUCT((IF('DICIEMBRE 2026'!Y6:Y110&lt;&gt;"",'DICIEMBRE 2026'!Y6:Y110,'DICIEMBRE 2026'!I6:I110)="PEDRO RUIZ GALLO")*('DICIEMBRE 2026'!K6:K110="PETROLEO")*'DICIEMBRE 2026'!L6:L110*'DICIEMBRE 2026'!M6:M110),0)</f>
        <v/>
      </c>
      <c r="E253" s="377">
        <f>IFERROR(SUMPRODUCT((IF('DICIEMBRE 2026'!Y6:Y110&lt;&gt;"",'DICIEMBRE 2026'!Y6:Y110,'DICIEMBRE 2026'!I6:I110)="PEDRO RUIZ GALLO")*('DICIEMBRE 2026'!K6:K110="GASOLINA")*'DICIEMBRE 2026'!M6:M110),0)</f>
        <v/>
      </c>
      <c r="F253" s="377">
        <f>IFERROR(SUMPRODUCT((IF('DICIEMBRE 2026'!Y6:Y110&lt;&gt;"",'DICIEMBRE 2026'!Y6:Y110,'DICIEMBRE 2026'!I6:I110)="PEDRO RUIZ GALLO")*('DICIEMBRE 2026'!K6:K110="GASOLINA")*'DICIEMBRE 2026'!L6:L110*'DICIEMBRE 2026'!M6:M110),0)</f>
        <v/>
      </c>
      <c r="G253" s="194" t="n"/>
      <c r="H253" s="194" t="n"/>
      <c r="I253" s="194" t="n"/>
      <c r="J253" s="194" t="n"/>
      <c r="K253" s="194" t="n"/>
      <c r="L253" s="194" t="n"/>
      <c r="M253" s="194" t="n"/>
      <c r="N253" s="194" t="n"/>
      <c r="O253" s="194" t="n"/>
      <c r="P253" s="194" t="n"/>
      <c r="Q253" s="194" t="n"/>
      <c r="R253" s="194" t="n"/>
      <c r="S253" s="194" t="n"/>
      <c r="T253" s="194" t="n"/>
      <c r="U253" s="194" t="n"/>
      <c r="V253" s="194" t="n"/>
      <c r="W253" s="194" t="n"/>
      <c r="X253" s="194" t="n"/>
      <c r="Y253" s="194" t="n"/>
      <c r="Z253" s="194" t="n"/>
    </row>
    <row r="254" ht="15.75" customHeight="1" s="195">
      <c r="A254" s="194" t="inlineStr">
        <is>
          <t>POMACOCHAS</t>
        </is>
      </c>
      <c r="B254" s="194" t="inlineStr">
        <is>
          <t>ENERO 2026</t>
        </is>
      </c>
      <c r="C254" s="377">
        <f>IFERROR(SUMPRODUCT((IF('ENERO 2026'!Y6:Y119&lt;&gt;"",'ENERO 2026'!Y6:Y119,'ENERO 2026'!I6:I119)="POMACOCHAS")*('ENERO 2026'!K6:K119="PETROLEO")*'ENERO 2026'!M6:M119),0)</f>
        <v/>
      </c>
      <c r="D254" s="377">
        <f>IFERROR(SUMPRODUCT((IF('ENERO 2026'!Y6:Y119&lt;&gt;"",'ENERO 2026'!Y6:Y119,'ENERO 2026'!I6:I119)="POMACOCHAS")*('ENERO 2026'!K6:K119="PETROLEO")*'ENERO 2026'!L6:L119*'ENERO 2026'!M6:M119),0)</f>
        <v/>
      </c>
      <c r="E254" s="377">
        <f>IFERROR(SUMPRODUCT((IF('ENERO 2026'!Y6:Y119&lt;&gt;"",'ENERO 2026'!Y6:Y119,'ENERO 2026'!I6:I119)="POMACOCHAS")*('ENERO 2026'!K6:K119="GASOLINA")*'ENERO 2026'!M6:M119),0)</f>
        <v/>
      </c>
      <c r="F254" s="377">
        <f>IFERROR(SUMPRODUCT((IF('ENERO 2026'!Y6:Y119&lt;&gt;"",'ENERO 2026'!Y6:Y119,'ENERO 2026'!I6:I119)="POMACOCHAS")*('ENERO 2026'!K6:K119="GASOLINA")*'ENERO 2026'!L6:L119*'ENERO 2026'!M6:M119),0)</f>
        <v/>
      </c>
      <c r="G254" s="194" t="n"/>
      <c r="H254" s="194" t="n"/>
      <c r="I254" s="194" t="n"/>
      <c r="J254" s="194" t="n"/>
      <c r="K254" s="194" t="n"/>
      <c r="L254" s="194" t="n"/>
      <c r="M254" s="194" t="n"/>
      <c r="N254" s="194" t="n"/>
      <c r="O254" s="194" t="n"/>
      <c r="P254" s="194" t="n"/>
      <c r="Q254" s="194" t="n"/>
      <c r="R254" s="194" t="n"/>
      <c r="S254" s="194" t="n"/>
      <c r="T254" s="194" t="n"/>
      <c r="U254" s="194" t="n"/>
      <c r="V254" s="194" t="n"/>
      <c r="W254" s="194" t="n"/>
      <c r="X254" s="194" t="n"/>
      <c r="Y254" s="194" t="n"/>
      <c r="Z254" s="194" t="n"/>
    </row>
    <row r="255" ht="15.75" customHeight="1" s="195">
      <c r="A255" s="194" t="inlineStr">
        <is>
          <t>POMACOCHAS</t>
        </is>
      </c>
      <c r="B255" s="194" t="inlineStr">
        <is>
          <t>FEBRERO 2026</t>
        </is>
      </c>
      <c r="C255" s="377">
        <f>IFERROR(SUMPRODUCT((IF('FEBRERO 2026'!Y6:Y124&lt;&gt;"",'FEBRERO 2026'!Y6:Y124,'FEBRERO 2026'!I6:I124)="POMACOCHAS")*('FEBRERO 2026'!K6:K124="PETROLEO")*'FEBRERO 2026'!M6:M124),0)</f>
        <v/>
      </c>
      <c r="D255" s="377">
        <f>IFERROR(SUMPRODUCT((IF('FEBRERO 2026'!Y6:Y124&lt;&gt;"",'FEBRERO 2026'!Y6:Y124,'FEBRERO 2026'!I6:I124)="POMACOCHAS")*('FEBRERO 2026'!K6:K124="PETROLEO")*'FEBRERO 2026'!L6:L124*'FEBRERO 2026'!M6:M124),0)</f>
        <v/>
      </c>
      <c r="E255" s="377">
        <f>IFERROR(SUMPRODUCT((IF('FEBRERO 2026'!Y6:Y124&lt;&gt;"",'FEBRERO 2026'!Y6:Y124,'FEBRERO 2026'!I6:I124)="POMACOCHAS")*('FEBRERO 2026'!K6:K124="GASOLINA")*'FEBRERO 2026'!M6:M124),0)</f>
        <v/>
      </c>
      <c r="F255" s="377">
        <f>IFERROR(SUMPRODUCT((IF('FEBRERO 2026'!Y6:Y124&lt;&gt;"",'FEBRERO 2026'!Y6:Y124,'FEBRERO 2026'!I6:I124)="POMACOCHAS")*('FEBRERO 2026'!K6:K124="GASOLINA")*'FEBRERO 2026'!L6:L124*'FEBRERO 2026'!M6:M124),0)</f>
        <v/>
      </c>
      <c r="G255" s="194" t="n"/>
      <c r="H255" s="194" t="n"/>
      <c r="I255" s="194" t="n"/>
      <c r="J255" s="194" t="n"/>
      <c r="K255" s="194" t="n"/>
      <c r="L255" s="194" t="n"/>
      <c r="M255" s="194" t="n"/>
      <c r="N255" s="194" t="n"/>
      <c r="O255" s="194" t="n"/>
      <c r="P255" s="194" t="n"/>
      <c r="Q255" s="194" t="n"/>
      <c r="R255" s="194" t="n"/>
      <c r="S255" s="194" t="n"/>
      <c r="T255" s="194" t="n"/>
      <c r="U255" s="194" t="n"/>
      <c r="V255" s="194" t="n"/>
      <c r="W255" s="194" t="n"/>
      <c r="X255" s="194" t="n"/>
      <c r="Y255" s="194" t="n"/>
      <c r="Z255" s="194" t="n"/>
    </row>
    <row r="256" ht="15.75" customHeight="1" s="195">
      <c r="A256" s="194" t="inlineStr">
        <is>
          <t>POMACOCHAS</t>
        </is>
      </c>
      <c r="B256" s="194" t="inlineStr">
        <is>
          <t>MARZO 2026</t>
        </is>
      </c>
      <c r="C256" s="377">
        <f>IFERROR(SUMPRODUCT((IF('MARZO 2026'!Y6:Y119&lt;&gt;"",'MARZO 2026'!Y6:Y119,'MARZO 2026'!I6:I119)="POMACOCHAS")*('MARZO 2026'!K6:K119="PETROLEO")*'MARZO 2026'!M6:M119),0)</f>
        <v/>
      </c>
      <c r="D256" s="377">
        <f>IFERROR(SUMPRODUCT((IF('MARZO 2026'!Y6:Y119&lt;&gt;"",'MARZO 2026'!Y6:Y119,'MARZO 2026'!I6:I119)="POMACOCHAS")*('MARZO 2026'!K6:K119="PETROLEO")*'MARZO 2026'!L6:L119*'MARZO 2026'!M6:M119),0)</f>
        <v/>
      </c>
      <c r="E256" s="377">
        <f>IFERROR(SUMPRODUCT((IF('MARZO 2026'!Y6:Y119&lt;&gt;"",'MARZO 2026'!Y6:Y119,'MARZO 2026'!I6:I119)="POMACOCHAS")*('MARZO 2026'!K6:K119="GASOLINA")*'MARZO 2026'!M6:M119),0)</f>
        <v/>
      </c>
      <c r="F256" s="377">
        <f>IFERROR(SUMPRODUCT((IF('MARZO 2026'!Y6:Y119&lt;&gt;"",'MARZO 2026'!Y6:Y119,'MARZO 2026'!I6:I119)="POMACOCHAS")*('MARZO 2026'!K6:K119="GASOLINA")*'MARZO 2026'!L6:L119*'MARZO 2026'!M6:M119),0)</f>
        <v/>
      </c>
      <c r="G256" s="194" t="n"/>
      <c r="H256" s="194" t="n"/>
      <c r="I256" s="194" t="n"/>
      <c r="J256" s="194" t="n"/>
      <c r="K256" s="194" t="n"/>
      <c r="L256" s="194" t="n"/>
      <c r="M256" s="194" t="n"/>
      <c r="N256" s="194" t="n"/>
      <c r="O256" s="194" t="n"/>
      <c r="P256" s="194" t="n"/>
      <c r="Q256" s="194" t="n"/>
      <c r="R256" s="194" t="n"/>
      <c r="S256" s="194" t="n"/>
      <c r="T256" s="194" t="n"/>
      <c r="U256" s="194" t="n"/>
      <c r="V256" s="194" t="n"/>
      <c r="W256" s="194" t="n"/>
      <c r="X256" s="194" t="n"/>
      <c r="Y256" s="194" t="n"/>
      <c r="Z256" s="194" t="n"/>
    </row>
    <row r="257" ht="15.75" customHeight="1" s="195">
      <c r="A257" s="194" t="inlineStr">
        <is>
          <t>POMACOCHAS</t>
        </is>
      </c>
      <c r="B257" s="194" t="inlineStr">
        <is>
          <t>ABRIL 2026</t>
        </is>
      </c>
      <c r="C257" s="377">
        <f>IFERROR(SUMPRODUCT((IF('ABRIL 2026'!Y6:Y119&lt;&gt;"",'ABRIL 2026'!Y6:Y119,'ABRIL 2026'!I6:I119)="POMACOCHAS")*('ABRIL 2026'!K6:K119="PETROLEO")*'ABRIL 2026'!M6:M119),0)</f>
        <v/>
      </c>
      <c r="D257" s="377">
        <f>IFERROR(SUMPRODUCT((IF('ABRIL 2026'!Y6:Y119&lt;&gt;"",'ABRIL 2026'!Y6:Y119,'ABRIL 2026'!I6:I119)="POMACOCHAS")*('ABRIL 2026'!K6:K119="PETROLEO")*'ABRIL 2026'!L6:L119*'ABRIL 2026'!M6:M119),0)</f>
        <v/>
      </c>
      <c r="E257" s="377">
        <f>IFERROR(SUMPRODUCT((IF('ABRIL 2026'!Y6:Y119&lt;&gt;"",'ABRIL 2026'!Y6:Y119,'ABRIL 2026'!I6:I119)="POMACOCHAS")*('ABRIL 2026'!K6:K119="GASOLINA")*'ABRIL 2026'!M6:M119),0)</f>
        <v/>
      </c>
      <c r="F257" s="377">
        <f>IFERROR(SUMPRODUCT((IF('ABRIL 2026'!Y6:Y119&lt;&gt;"",'ABRIL 2026'!Y6:Y119,'ABRIL 2026'!I6:I119)="POMACOCHAS")*('ABRIL 2026'!K6:K119="GASOLINA")*'ABRIL 2026'!L6:L119*'ABRIL 2026'!M6:M119),0)</f>
        <v/>
      </c>
      <c r="G257" s="194" t="n"/>
      <c r="H257" s="194" t="n"/>
      <c r="I257" s="194" t="n"/>
      <c r="J257" s="194" t="n"/>
      <c r="K257" s="194" t="n"/>
      <c r="L257" s="194" t="n"/>
      <c r="M257" s="194" t="n"/>
      <c r="N257" s="194" t="n"/>
      <c r="O257" s="194" t="n"/>
      <c r="P257" s="194" t="n"/>
      <c r="Q257" s="194" t="n"/>
      <c r="R257" s="194" t="n"/>
      <c r="S257" s="194" t="n"/>
      <c r="T257" s="194" t="n"/>
      <c r="U257" s="194" t="n"/>
      <c r="V257" s="194" t="n"/>
      <c r="W257" s="194" t="n"/>
      <c r="X257" s="194" t="n"/>
      <c r="Y257" s="194" t="n"/>
      <c r="Z257" s="194" t="n"/>
    </row>
    <row r="258" ht="15.75" customHeight="1" s="195">
      <c r="A258" s="194" t="inlineStr">
        <is>
          <t>POMACOCHAS</t>
        </is>
      </c>
      <c r="B258" s="194" t="inlineStr">
        <is>
          <t>MAYO 2026</t>
        </is>
      </c>
      <c r="C258" s="377">
        <f>IFERROR(SUMPRODUCT((IF('MAYO 2026'!Y6:Y110&lt;&gt;"",'MAYO 2026'!Y6:Y110,'MAYO 2026'!I6:I110)="POMACOCHAS")*('MAYO 2026'!K6:K110="PETROLEO")*'MAYO 2026'!M6:M110),0)</f>
        <v/>
      </c>
      <c r="D258" s="377">
        <f>IFERROR(SUMPRODUCT((IF('MAYO 2026'!Y6:Y110&lt;&gt;"",'MAYO 2026'!Y6:Y110,'MAYO 2026'!I6:I110)="POMACOCHAS")*('MAYO 2026'!K6:K110="PETROLEO")*'MAYO 2026'!L6:L110*'MAYO 2026'!M6:M110),0)</f>
        <v/>
      </c>
      <c r="E258" s="377">
        <f>IFERROR(SUMPRODUCT((IF('MAYO 2026'!Y6:Y110&lt;&gt;"",'MAYO 2026'!Y6:Y110,'MAYO 2026'!I6:I110)="POMACOCHAS")*('MAYO 2026'!K6:K110="GASOLINA")*'MAYO 2026'!M6:M110),0)</f>
        <v/>
      </c>
      <c r="F258" s="377">
        <f>IFERROR(SUMPRODUCT((IF('MAYO 2026'!Y6:Y110&lt;&gt;"",'MAYO 2026'!Y6:Y110,'MAYO 2026'!I6:I110)="POMACOCHAS")*('MAYO 2026'!K6:K110="GASOLINA")*'MAYO 2026'!L6:L110*'MAYO 2026'!M6:M110),0)</f>
        <v/>
      </c>
      <c r="G258" s="194" t="n"/>
      <c r="H258" s="194" t="n"/>
      <c r="I258" s="194" t="n"/>
      <c r="J258" s="194" t="n"/>
      <c r="K258" s="194" t="n"/>
      <c r="L258" s="194" t="n"/>
      <c r="M258" s="194" t="n"/>
      <c r="N258" s="194" t="n"/>
      <c r="O258" s="194" t="n"/>
      <c r="P258" s="194" t="n"/>
      <c r="Q258" s="194" t="n"/>
      <c r="R258" s="194" t="n"/>
      <c r="S258" s="194" t="n"/>
      <c r="T258" s="194" t="n"/>
      <c r="U258" s="194" t="n"/>
      <c r="V258" s="194" t="n"/>
      <c r="W258" s="194" t="n"/>
      <c r="X258" s="194" t="n"/>
      <c r="Y258" s="194" t="n"/>
      <c r="Z258" s="194" t="n"/>
    </row>
    <row r="259" ht="15.75" customHeight="1" s="195">
      <c r="A259" s="194" t="inlineStr">
        <is>
          <t>POMACOCHAS</t>
        </is>
      </c>
      <c r="B259" s="194" t="inlineStr">
        <is>
          <t>JUNIO 2026</t>
        </is>
      </c>
      <c r="C259" s="377">
        <f>IFERROR(SUMPRODUCT((IF('JUNIO 2026'!Y6:Y110&lt;&gt;"",'JUNIO 2026'!Y6:Y110,'JUNIO 2026'!I6:I110)="POMACOCHAS")*('JUNIO 2026'!K6:K110="PETROLEO")*'JUNIO 2026'!M6:M110),0)</f>
        <v/>
      </c>
      <c r="D259" s="377">
        <f>IFERROR(SUMPRODUCT((IF('JUNIO 2026'!Y6:Y110&lt;&gt;"",'JUNIO 2026'!Y6:Y110,'JUNIO 2026'!I6:I110)="POMACOCHAS")*('JUNIO 2026'!K6:K110="PETROLEO")*'JUNIO 2026'!L6:L110*'JUNIO 2026'!M6:M110),0)</f>
        <v/>
      </c>
      <c r="E259" s="377">
        <f>IFERROR(SUMPRODUCT((IF('JUNIO 2026'!Y6:Y110&lt;&gt;"",'JUNIO 2026'!Y6:Y110,'JUNIO 2026'!I6:I110)="POMACOCHAS")*('JUNIO 2026'!K6:K110="GASOLINA")*'JUNIO 2026'!M6:M110),0)</f>
        <v/>
      </c>
      <c r="F259" s="377">
        <f>IFERROR(SUMPRODUCT((IF('JUNIO 2026'!Y6:Y110&lt;&gt;"",'JUNIO 2026'!Y6:Y110,'JUNIO 2026'!I6:I110)="POMACOCHAS")*('JUNIO 2026'!K6:K110="GASOLINA")*'JUNIO 2026'!L6:L110*'JUNIO 2026'!M6:M110),0)</f>
        <v/>
      </c>
      <c r="G259" s="194" t="n"/>
      <c r="H259" s="194" t="n"/>
      <c r="I259" s="194" t="n"/>
      <c r="J259" s="194" t="n"/>
      <c r="K259" s="194" t="n"/>
      <c r="L259" s="194" t="n"/>
      <c r="M259" s="194" t="n"/>
      <c r="N259" s="194" t="n"/>
      <c r="O259" s="194" t="n"/>
      <c r="P259" s="194" t="n"/>
      <c r="Q259" s="194" t="n"/>
      <c r="R259" s="194" t="n"/>
      <c r="S259" s="194" t="n"/>
      <c r="T259" s="194" t="n"/>
      <c r="U259" s="194" t="n"/>
      <c r="V259" s="194" t="n"/>
      <c r="W259" s="194" t="n"/>
      <c r="X259" s="194" t="n"/>
      <c r="Y259" s="194" t="n"/>
      <c r="Z259" s="194" t="n"/>
    </row>
    <row r="260" ht="15.75" customHeight="1" s="195">
      <c r="A260" s="194" t="inlineStr">
        <is>
          <t>POMACOCHAS</t>
        </is>
      </c>
      <c r="B260" s="194" t="inlineStr">
        <is>
          <t>JULIO 2026</t>
        </is>
      </c>
      <c r="C260" s="377">
        <f>IFERROR(SUMPRODUCT((IF('JULIO 2026'!Y6:Y110&lt;&gt;"",'JULIO 2026'!Y6:Y110,'JULIO 2026'!I6:I110)="POMACOCHAS")*('JULIO 2026'!K6:K110="PETROLEO")*'JULIO 2026'!M6:M110),0)</f>
        <v/>
      </c>
      <c r="D260" s="377">
        <f>IFERROR(SUMPRODUCT((IF('JULIO 2026'!Y6:Y110&lt;&gt;"",'JULIO 2026'!Y6:Y110,'JULIO 2026'!I6:I110)="POMACOCHAS")*('JULIO 2026'!K6:K110="PETROLEO")*'JULIO 2026'!L6:L110*'JULIO 2026'!M6:M110),0)</f>
        <v/>
      </c>
      <c r="E260" s="377">
        <f>IFERROR(SUMPRODUCT((IF('JULIO 2026'!Y6:Y110&lt;&gt;"",'JULIO 2026'!Y6:Y110,'JULIO 2026'!I6:I110)="POMACOCHAS")*('JULIO 2026'!K6:K110="GASOLINA")*'JULIO 2026'!M6:M110),0)</f>
        <v/>
      </c>
      <c r="F260" s="377">
        <f>IFERROR(SUMPRODUCT((IF('JULIO 2026'!Y6:Y110&lt;&gt;"",'JULIO 2026'!Y6:Y110,'JULIO 2026'!I6:I110)="POMACOCHAS")*('JULIO 2026'!K6:K110="GASOLINA")*'JULIO 2026'!L6:L110*'JULIO 2026'!M6:M110),0)</f>
        <v/>
      </c>
      <c r="G260" s="194" t="n"/>
      <c r="H260" s="194" t="n"/>
      <c r="I260" s="194" t="n"/>
      <c r="J260" s="194" t="n"/>
      <c r="K260" s="194" t="n"/>
      <c r="L260" s="194" t="n"/>
      <c r="M260" s="194" t="n"/>
      <c r="N260" s="194" t="n"/>
      <c r="O260" s="194" t="n"/>
      <c r="P260" s="194" t="n"/>
      <c r="Q260" s="194" t="n"/>
      <c r="R260" s="194" t="n"/>
      <c r="S260" s="194" t="n"/>
      <c r="T260" s="194" t="n"/>
      <c r="U260" s="194" t="n"/>
      <c r="V260" s="194" t="n"/>
      <c r="W260" s="194" t="n"/>
      <c r="X260" s="194" t="n"/>
      <c r="Y260" s="194" t="n"/>
      <c r="Z260" s="194" t="n"/>
    </row>
    <row r="261" ht="15.75" customHeight="1" s="195">
      <c r="A261" s="194" t="inlineStr">
        <is>
          <t>POMACOCHAS</t>
        </is>
      </c>
      <c r="B261" s="194" t="inlineStr">
        <is>
          <t>AGOSTO 2026</t>
        </is>
      </c>
      <c r="C261" s="377">
        <f>IFERROR(SUMPRODUCT((IF('AGOSTO 2026'!Y6:Y110&lt;&gt;"",'AGOSTO 2026'!Y6:Y110,'AGOSTO 2026'!I6:I110)="POMACOCHAS")*('AGOSTO 2026'!K6:K110="PETROLEO")*'AGOSTO 2026'!M6:M110),0)</f>
        <v/>
      </c>
      <c r="D261" s="377">
        <f>IFERROR(SUMPRODUCT((IF('AGOSTO 2026'!Y6:Y110&lt;&gt;"",'AGOSTO 2026'!Y6:Y110,'AGOSTO 2026'!I6:I110)="POMACOCHAS")*('AGOSTO 2026'!K6:K110="PETROLEO")*'AGOSTO 2026'!L6:L110*'AGOSTO 2026'!M6:M110),0)</f>
        <v/>
      </c>
      <c r="E261" s="377">
        <f>IFERROR(SUMPRODUCT((IF('AGOSTO 2026'!Y6:Y110&lt;&gt;"",'AGOSTO 2026'!Y6:Y110,'AGOSTO 2026'!I6:I110)="POMACOCHAS")*('AGOSTO 2026'!K6:K110="GASOLINA")*'AGOSTO 2026'!M6:M110),0)</f>
        <v/>
      </c>
      <c r="F261" s="377">
        <f>IFERROR(SUMPRODUCT((IF('AGOSTO 2026'!Y6:Y110&lt;&gt;"",'AGOSTO 2026'!Y6:Y110,'AGOSTO 2026'!I6:I110)="POMACOCHAS")*('AGOSTO 2026'!K6:K110="GASOLINA")*'AGOSTO 2026'!L6:L110*'AGOSTO 2026'!M6:M110),0)</f>
        <v/>
      </c>
      <c r="G261" s="194" t="n"/>
      <c r="H261" s="194" t="n"/>
      <c r="I261" s="194" t="n"/>
      <c r="J261" s="194" t="n"/>
      <c r="K261" s="194" t="n"/>
      <c r="L261" s="194" t="n"/>
      <c r="M261" s="194" t="n"/>
      <c r="N261" s="194" t="n"/>
      <c r="O261" s="194" t="n"/>
      <c r="P261" s="194" t="n"/>
      <c r="Q261" s="194" t="n"/>
      <c r="R261" s="194" t="n"/>
      <c r="S261" s="194" t="n"/>
      <c r="T261" s="194" t="n"/>
      <c r="U261" s="194" t="n"/>
      <c r="V261" s="194" t="n"/>
      <c r="W261" s="194" t="n"/>
      <c r="X261" s="194" t="n"/>
      <c r="Y261" s="194" t="n"/>
      <c r="Z261" s="194" t="n"/>
    </row>
    <row r="262" ht="15.75" customHeight="1" s="195">
      <c r="A262" s="194" t="inlineStr">
        <is>
          <t>POMACOCHAS</t>
        </is>
      </c>
      <c r="B262" s="194" t="inlineStr">
        <is>
          <t>SETIEMBRE 2026</t>
        </is>
      </c>
      <c r="C262" s="377">
        <f>IFERROR(SUMPRODUCT((IF('SETIEMBRE 2026'!Y6:Y110&lt;&gt;"",'SETIEMBRE 2026'!Y6:Y110,'SETIEMBRE 2026'!I6:I110)="POMACOCHAS")*('SETIEMBRE 2026'!K6:K110="PETROLEO")*'SETIEMBRE 2026'!M6:M110),0)</f>
        <v/>
      </c>
      <c r="D262" s="377">
        <f>IFERROR(SUMPRODUCT((IF('SETIEMBRE 2026'!Y6:Y110&lt;&gt;"",'SETIEMBRE 2026'!Y6:Y110,'SETIEMBRE 2026'!I6:I110)="POMACOCHAS")*('SETIEMBRE 2026'!K6:K110="PETROLEO")*'SETIEMBRE 2026'!L6:L110*'SETIEMBRE 2026'!M6:M110),0)</f>
        <v/>
      </c>
      <c r="E262" s="377">
        <f>IFERROR(SUMPRODUCT((IF('SETIEMBRE 2026'!Y6:Y110&lt;&gt;"",'SETIEMBRE 2026'!Y6:Y110,'SETIEMBRE 2026'!I6:I110)="POMACOCHAS")*('SETIEMBRE 2026'!K6:K110="GASOLINA")*'SETIEMBRE 2026'!M6:M110),0)</f>
        <v/>
      </c>
      <c r="F262" s="377">
        <f>IFERROR(SUMPRODUCT((IF('SETIEMBRE 2026'!Y6:Y110&lt;&gt;"",'SETIEMBRE 2026'!Y6:Y110,'SETIEMBRE 2026'!I6:I110)="POMACOCHAS")*('SETIEMBRE 2026'!K6:K110="GASOLINA")*'SETIEMBRE 2026'!L6:L110*'SETIEMBRE 2026'!M6:M110),0)</f>
        <v/>
      </c>
      <c r="G262" s="194" t="n"/>
      <c r="H262" s="194" t="n"/>
      <c r="I262" s="194" t="n"/>
      <c r="J262" s="194" t="n"/>
      <c r="K262" s="194" t="n"/>
      <c r="L262" s="194" t="n"/>
      <c r="M262" s="194" t="n"/>
      <c r="N262" s="194" t="n"/>
      <c r="O262" s="194" t="n"/>
      <c r="P262" s="194" t="n"/>
      <c r="Q262" s="194" t="n"/>
      <c r="R262" s="194" t="n"/>
      <c r="S262" s="194" t="n"/>
      <c r="T262" s="194" t="n"/>
      <c r="U262" s="194" t="n"/>
      <c r="V262" s="194" t="n"/>
      <c r="W262" s="194" t="n"/>
      <c r="X262" s="194" t="n"/>
      <c r="Y262" s="194" t="n"/>
      <c r="Z262" s="194" t="n"/>
    </row>
    <row r="263" ht="15.75" customHeight="1" s="195">
      <c r="A263" s="194" t="inlineStr">
        <is>
          <t>POMACOCHAS</t>
        </is>
      </c>
      <c r="B263" s="194" t="inlineStr">
        <is>
          <t>OCTUBRE 2026</t>
        </is>
      </c>
      <c r="C263" s="377">
        <f>IFERROR(SUMPRODUCT((IF('OCTUBRE 2026'!Y6:Y110&lt;&gt;"",'OCTUBRE 2026'!Y6:Y110,'OCTUBRE 2026'!I6:I110)="POMACOCHAS")*('OCTUBRE 2026'!K6:K110="PETROLEO")*'OCTUBRE 2026'!M6:M110),0)</f>
        <v/>
      </c>
      <c r="D263" s="377">
        <f>IFERROR(SUMPRODUCT((IF('OCTUBRE 2026'!Y6:Y110&lt;&gt;"",'OCTUBRE 2026'!Y6:Y110,'OCTUBRE 2026'!I6:I110)="POMACOCHAS")*('OCTUBRE 2026'!K6:K110="PETROLEO")*'OCTUBRE 2026'!L6:L110*'OCTUBRE 2026'!M6:M110),0)</f>
        <v/>
      </c>
      <c r="E263" s="377">
        <f>IFERROR(SUMPRODUCT((IF('OCTUBRE 2026'!Y6:Y110&lt;&gt;"",'OCTUBRE 2026'!Y6:Y110,'OCTUBRE 2026'!I6:I110)="POMACOCHAS")*('OCTUBRE 2026'!K6:K110="GASOLINA")*'OCTUBRE 2026'!M6:M110),0)</f>
        <v/>
      </c>
      <c r="F263" s="377">
        <f>IFERROR(SUMPRODUCT((IF('OCTUBRE 2026'!Y6:Y110&lt;&gt;"",'OCTUBRE 2026'!Y6:Y110,'OCTUBRE 2026'!I6:I110)="POMACOCHAS")*('OCTUBRE 2026'!K6:K110="GASOLINA")*'OCTUBRE 2026'!L6:L110*'OCTUBRE 2026'!M6:M110),0)</f>
        <v/>
      </c>
      <c r="G263" s="194" t="n"/>
      <c r="H263" s="194" t="n"/>
      <c r="I263" s="194" t="n"/>
      <c r="J263" s="194" t="n"/>
      <c r="K263" s="194" t="n"/>
      <c r="L263" s="194" t="n"/>
      <c r="M263" s="194" t="n"/>
      <c r="N263" s="194" t="n"/>
      <c r="O263" s="194" t="n"/>
      <c r="P263" s="194" t="n"/>
      <c r="Q263" s="194" t="n"/>
      <c r="R263" s="194" t="n"/>
      <c r="S263" s="194" t="n"/>
      <c r="T263" s="194" t="n"/>
      <c r="U263" s="194" t="n"/>
      <c r="V263" s="194" t="n"/>
      <c r="W263" s="194" t="n"/>
      <c r="X263" s="194" t="n"/>
      <c r="Y263" s="194" t="n"/>
      <c r="Z263" s="194" t="n"/>
    </row>
    <row r="264" ht="15.75" customHeight="1" s="195">
      <c r="A264" s="194" t="inlineStr">
        <is>
          <t>POMACOCHAS</t>
        </is>
      </c>
      <c r="B264" s="194" t="inlineStr">
        <is>
          <t>NOVIEMBRE 2026</t>
        </is>
      </c>
      <c r="C264" s="377">
        <f>IFERROR(SUMPRODUCT((IF('NOVIEMBRE 2026'!Y6:Y110&lt;&gt;"",'NOVIEMBRE 2026'!Y6:Y110,'NOVIEMBRE 2026'!I6:I110)="POMACOCHAS")*('NOVIEMBRE 2026'!K6:K110="PETROLEO")*'NOVIEMBRE 2026'!M6:M110),0)</f>
        <v/>
      </c>
      <c r="D264" s="377">
        <f>IFERROR(SUMPRODUCT((IF('NOVIEMBRE 2026'!Y6:Y110&lt;&gt;"",'NOVIEMBRE 2026'!Y6:Y110,'NOVIEMBRE 2026'!I6:I110)="POMACOCHAS")*('NOVIEMBRE 2026'!K6:K110="PETROLEO")*'NOVIEMBRE 2026'!L6:L110*'NOVIEMBRE 2026'!M6:M110),0)</f>
        <v/>
      </c>
      <c r="E264" s="377">
        <f>IFERROR(SUMPRODUCT((IF('NOVIEMBRE 2026'!Y6:Y110&lt;&gt;"",'NOVIEMBRE 2026'!Y6:Y110,'NOVIEMBRE 2026'!I6:I110)="POMACOCHAS")*('NOVIEMBRE 2026'!K6:K110="GASOLINA")*'NOVIEMBRE 2026'!M6:M110),0)</f>
        <v/>
      </c>
      <c r="F264" s="377">
        <f>IFERROR(SUMPRODUCT((IF('NOVIEMBRE 2026'!Y6:Y110&lt;&gt;"",'NOVIEMBRE 2026'!Y6:Y110,'NOVIEMBRE 2026'!I6:I110)="POMACOCHAS")*('NOVIEMBRE 2026'!K6:K110="GASOLINA")*'NOVIEMBRE 2026'!L6:L110*'NOVIEMBRE 2026'!M6:M110),0)</f>
        <v/>
      </c>
      <c r="G264" s="194" t="n"/>
      <c r="H264" s="194" t="n"/>
      <c r="I264" s="194" t="n"/>
      <c r="J264" s="194" t="n"/>
      <c r="K264" s="194" t="n"/>
      <c r="L264" s="194" t="n"/>
      <c r="M264" s="194" t="n"/>
      <c r="N264" s="194" t="n"/>
      <c r="O264" s="194" t="n"/>
      <c r="P264" s="194" t="n"/>
      <c r="Q264" s="194" t="n"/>
      <c r="R264" s="194" t="n"/>
      <c r="S264" s="194" t="n"/>
      <c r="T264" s="194" t="n"/>
      <c r="U264" s="194" t="n"/>
      <c r="V264" s="194" t="n"/>
      <c r="W264" s="194" t="n"/>
      <c r="X264" s="194" t="n"/>
      <c r="Y264" s="194" t="n"/>
      <c r="Z264" s="194" t="n"/>
    </row>
    <row r="265" ht="15.75" customHeight="1" s="195">
      <c r="A265" s="194" t="inlineStr">
        <is>
          <t>POMACOCHAS</t>
        </is>
      </c>
      <c r="B265" s="194" t="inlineStr">
        <is>
          <t>DICIEMBRE 2026</t>
        </is>
      </c>
      <c r="C265" s="377">
        <f>IFERROR(SUMPRODUCT((IF('DICIEMBRE 2026'!Y6:Y110&lt;&gt;"",'DICIEMBRE 2026'!Y6:Y110,'DICIEMBRE 2026'!I6:I110)="POMACOCHAS")*('DICIEMBRE 2026'!K6:K110="PETROLEO")*'DICIEMBRE 2026'!M6:M110),0)</f>
        <v/>
      </c>
      <c r="D265" s="377">
        <f>IFERROR(SUMPRODUCT((IF('DICIEMBRE 2026'!Y6:Y110&lt;&gt;"",'DICIEMBRE 2026'!Y6:Y110,'DICIEMBRE 2026'!I6:I110)="POMACOCHAS")*('DICIEMBRE 2026'!K6:K110="PETROLEO")*'DICIEMBRE 2026'!L6:L110*'DICIEMBRE 2026'!M6:M110),0)</f>
        <v/>
      </c>
      <c r="E265" s="377">
        <f>IFERROR(SUMPRODUCT((IF('DICIEMBRE 2026'!Y6:Y110&lt;&gt;"",'DICIEMBRE 2026'!Y6:Y110,'DICIEMBRE 2026'!I6:I110)="POMACOCHAS")*('DICIEMBRE 2026'!K6:K110="GASOLINA")*'DICIEMBRE 2026'!M6:M110),0)</f>
        <v/>
      </c>
      <c r="F265" s="377">
        <f>IFERROR(SUMPRODUCT((IF('DICIEMBRE 2026'!Y6:Y110&lt;&gt;"",'DICIEMBRE 2026'!Y6:Y110,'DICIEMBRE 2026'!I6:I110)="POMACOCHAS")*('DICIEMBRE 2026'!K6:K110="GASOLINA")*'DICIEMBRE 2026'!L6:L110*'DICIEMBRE 2026'!M6:M110),0)</f>
        <v/>
      </c>
      <c r="G265" s="194" t="n"/>
      <c r="H265" s="194" t="n"/>
      <c r="I265" s="194" t="n"/>
      <c r="J265" s="194" t="n"/>
      <c r="K265" s="194" t="n"/>
      <c r="L265" s="194" t="n"/>
      <c r="M265" s="194" t="n"/>
      <c r="N265" s="194" t="n"/>
      <c r="O265" s="194" t="n"/>
      <c r="P265" s="194" t="n"/>
      <c r="Q265" s="194" t="n"/>
      <c r="R265" s="194" t="n"/>
      <c r="S265" s="194" t="n"/>
      <c r="T265" s="194" t="n"/>
      <c r="U265" s="194" t="n"/>
      <c r="V265" s="194" t="n"/>
      <c r="W265" s="194" t="n"/>
      <c r="X265" s="194" t="n"/>
      <c r="Y265" s="194" t="n"/>
      <c r="Z265" s="194" t="n"/>
    </row>
    <row r="266" ht="15.75" customHeight="1" s="195">
      <c r="A266" s="194" t="inlineStr">
        <is>
          <t>SALAZAR</t>
        </is>
      </c>
      <c r="B266" s="194" t="inlineStr">
        <is>
          <t>ENERO 2026</t>
        </is>
      </c>
      <c r="C266" s="377">
        <f>IFERROR(SUMPRODUCT((IF('ENERO 2026'!Y6:Y119&lt;&gt;"",'ENERO 2026'!Y6:Y119,'ENERO 2026'!I6:I119)="SALAZAR")*('ENERO 2026'!K6:K119="PETROLEO")*'ENERO 2026'!M6:M119),0)</f>
        <v/>
      </c>
      <c r="D266" s="377">
        <f>IFERROR(SUMPRODUCT((IF('ENERO 2026'!Y6:Y119&lt;&gt;"",'ENERO 2026'!Y6:Y119,'ENERO 2026'!I6:I119)="SALAZAR")*('ENERO 2026'!K6:K119="PETROLEO")*'ENERO 2026'!L6:L119*'ENERO 2026'!M6:M119),0)</f>
        <v/>
      </c>
      <c r="E266" s="377">
        <f>IFERROR(SUMPRODUCT((IF('ENERO 2026'!Y6:Y119&lt;&gt;"",'ENERO 2026'!Y6:Y119,'ENERO 2026'!I6:I119)="SALAZAR")*('ENERO 2026'!K6:K119="GASOLINA")*'ENERO 2026'!M6:M119),0)</f>
        <v/>
      </c>
      <c r="F266" s="377">
        <f>IFERROR(SUMPRODUCT((IF('ENERO 2026'!Y6:Y119&lt;&gt;"",'ENERO 2026'!Y6:Y119,'ENERO 2026'!I6:I119)="SALAZAR")*('ENERO 2026'!K6:K119="GASOLINA")*'ENERO 2026'!L6:L119*'ENERO 2026'!M6:M119),0)</f>
        <v/>
      </c>
      <c r="G266" s="194" t="n"/>
      <c r="H266" s="194" t="n"/>
      <c r="I266" s="194" t="n"/>
      <c r="J266" s="194" t="n"/>
      <c r="K266" s="194" t="n"/>
      <c r="L266" s="194" t="n"/>
      <c r="M266" s="194" t="n"/>
      <c r="N266" s="194" t="n"/>
      <c r="O266" s="194" t="n"/>
      <c r="P266" s="194" t="n"/>
      <c r="Q266" s="194" t="n"/>
      <c r="R266" s="194" t="n"/>
      <c r="S266" s="194" t="n"/>
      <c r="T266" s="194" t="n"/>
      <c r="U266" s="194" t="n"/>
      <c r="V266" s="194" t="n"/>
      <c r="W266" s="194" t="n"/>
      <c r="X266" s="194" t="n"/>
      <c r="Y266" s="194" t="n"/>
      <c r="Z266" s="194" t="n"/>
    </row>
    <row r="267" ht="15.75" customHeight="1" s="195">
      <c r="A267" s="194" t="inlineStr">
        <is>
          <t>SALAZAR</t>
        </is>
      </c>
      <c r="B267" s="194" t="inlineStr">
        <is>
          <t>FEBRERO 2026</t>
        </is>
      </c>
      <c r="C267" s="377">
        <f>IFERROR(SUMPRODUCT((IF('FEBRERO 2026'!Y6:Y124&lt;&gt;"",'FEBRERO 2026'!Y6:Y124,'FEBRERO 2026'!I6:I124)="SALAZAR")*('FEBRERO 2026'!K6:K124="PETROLEO")*'FEBRERO 2026'!M6:M124),0)</f>
        <v/>
      </c>
      <c r="D267" s="377">
        <f>IFERROR(SUMPRODUCT((IF('FEBRERO 2026'!Y6:Y124&lt;&gt;"",'FEBRERO 2026'!Y6:Y124,'FEBRERO 2026'!I6:I124)="SALAZAR")*('FEBRERO 2026'!K6:K124="PETROLEO")*'FEBRERO 2026'!L6:L124*'FEBRERO 2026'!M6:M124),0)</f>
        <v/>
      </c>
      <c r="E267" s="377">
        <f>IFERROR(SUMPRODUCT((IF('FEBRERO 2026'!Y6:Y124&lt;&gt;"",'FEBRERO 2026'!Y6:Y124,'FEBRERO 2026'!I6:I124)="SALAZAR")*('FEBRERO 2026'!K6:K124="GASOLINA")*'FEBRERO 2026'!M6:M124),0)</f>
        <v/>
      </c>
      <c r="F267" s="377">
        <f>IFERROR(SUMPRODUCT((IF('FEBRERO 2026'!Y6:Y124&lt;&gt;"",'FEBRERO 2026'!Y6:Y124,'FEBRERO 2026'!I6:I124)="SALAZAR")*('FEBRERO 2026'!K6:K124="GASOLINA")*'FEBRERO 2026'!L6:L124*'FEBRERO 2026'!M6:M124),0)</f>
        <v/>
      </c>
      <c r="G267" s="194" t="n"/>
      <c r="H267" s="194" t="n"/>
      <c r="I267" s="194" t="n"/>
      <c r="J267" s="194" t="n"/>
      <c r="K267" s="194" t="n"/>
      <c r="L267" s="194" t="n"/>
      <c r="M267" s="194" t="n"/>
      <c r="N267" s="194" t="n"/>
      <c r="O267" s="194" t="n"/>
      <c r="P267" s="194" t="n"/>
      <c r="Q267" s="194" t="n"/>
      <c r="R267" s="194" t="n"/>
      <c r="S267" s="194" t="n"/>
      <c r="T267" s="194" t="n"/>
      <c r="U267" s="194" t="n"/>
      <c r="V267" s="194" t="n"/>
      <c r="W267" s="194" t="n"/>
      <c r="X267" s="194" t="n"/>
      <c r="Y267" s="194" t="n"/>
      <c r="Z267" s="194" t="n"/>
    </row>
    <row r="268" ht="15.75" customHeight="1" s="195">
      <c r="A268" s="194" t="inlineStr">
        <is>
          <t>SALAZAR</t>
        </is>
      </c>
      <c r="B268" s="194" t="inlineStr">
        <is>
          <t>MARZO 2026</t>
        </is>
      </c>
      <c r="C268" s="377">
        <f>IFERROR(SUMPRODUCT((IF('MARZO 2026'!Y6:Y119&lt;&gt;"",'MARZO 2026'!Y6:Y119,'MARZO 2026'!I6:I119)="SALAZAR")*('MARZO 2026'!K6:K119="PETROLEO")*'MARZO 2026'!M6:M119),0)</f>
        <v/>
      </c>
      <c r="D268" s="377">
        <f>IFERROR(SUMPRODUCT((IF('MARZO 2026'!Y6:Y119&lt;&gt;"",'MARZO 2026'!Y6:Y119,'MARZO 2026'!I6:I119)="SALAZAR")*('MARZO 2026'!K6:K119="PETROLEO")*'MARZO 2026'!L6:L119*'MARZO 2026'!M6:M119),0)</f>
        <v/>
      </c>
      <c r="E268" s="377">
        <f>IFERROR(SUMPRODUCT((IF('MARZO 2026'!Y6:Y119&lt;&gt;"",'MARZO 2026'!Y6:Y119,'MARZO 2026'!I6:I119)="SALAZAR")*('MARZO 2026'!K6:K119="GASOLINA")*'MARZO 2026'!M6:M119),0)</f>
        <v/>
      </c>
      <c r="F268" s="377">
        <f>IFERROR(SUMPRODUCT((IF('MARZO 2026'!Y6:Y119&lt;&gt;"",'MARZO 2026'!Y6:Y119,'MARZO 2026'!I6:I119)="SALAZAR")*('MARZO 2026'!K6:K119="GASOLINA")*'MARZO 2026'!L6:L119*'MARZO 2026'!M6:M119),0)</f>
        <v/>
      </c>
      <c r="G268" s="194" t="n"/>
      <c r="H268" s="194" t="n"/>
      <c r="I268" s="194" t="n"/>
      <c r="J268" s="194" t="n"/>
      <c r="K268" s="194" t="n"/>
      <c r="L268" s="194" t="n"/>
      <c r="M268" s="194" t="n"/>
      <c r="N268" s="194" t="n"/>
      <c r="O268" s="194" t="n"/>
      <c r="P268" s="194" t="n"/>
      <c r="Q268" s="194" t="n"/>
      <c r="R268" s="194" t="n"/>
      <c r="S268" s="194" t="n"/>
      <c r="T268" s="194" t="n"/>
      <c r="U268" s="194" t="n"/>
      <c r="V268" s="194" t="n"/>
      <c r="W268" s="194" t="n"/>
      <c r="X268" s="194" t="n"/>
      <c r="Y268" s="194" t="n"/>
      <c r="Z268" s="194" t="n"/>
    </row>
    <row r="269" ht="15.75" customHeight="1" s="195">
      <c r="A269" s="194" t="inlineStr">
        <is>
          <t>SALAZAR</t>
        </is>
      </c>
      <c r="B269" s="194" t="inlineStr">
        <is>
          <t>ABRIL 2026</t>
        </is>
      </c>
      <c r="C269" s="377">
        <f>IFERROR(SUMPRODUCT((IF('ABRIL 2026'!Y6:Y119&lt;&gt;"",'ABRIL 2026'!Y6:Y119,'ABRIL 2026'!I6:I119)="SALAZAR")*('ABRIL 2026'!K6:K119="PETROLEO")*'ABRIL 2026'!M6:M119),0)</f>
        <v/>
      </c>
      <c r="D269" s="377">
        <f>IFERROR(SUMPRODUCT((IF('ABRIL 2026'!Y6:Y119&lt;&gt;"",'ABRIL 2026'!Y6:Y119,'ABRIL 2026'!I6:I119)="SALAZAR")*('ABRIL 2026'!K6:K119="PETROLEO")*'ABRIL 2026'!L6:L119*'ABRIL 2026'!M6:M119),0)</f>
        <v/>
      </c>
      <c r="E269" s="377">
        <f>IFERROR(SUMPRODUCT((IF('ABRIL 2026'!Y6:Y119&lt;&gt;"",'ABRIL 2026'!Y6:Y119,'ABRIL 2026'!I6:I119)="SALAZAR")*('ABRIL 2026'!K6:K119="GASOLINA")*'ABRIL 2026'!M6:M119),0)</f>
        <v/>
      </c>
      <c r="F269" s="377">
        <f>IFERROR(SUMPRODUCT((IF('ABRIL 2026'!Y6:Y119&lt;&gt;"",'ABRIL 2026'!Y6:Y119,'ABRIL 2026'!I6:I119)="SALAZAR")*('ABRIL 2026'!K6:K119="GASOLINA")*'ABRIL 2026'!L6:L119*'ABRIL 2026'!M6:M119),0)</f>
        <v/>
      </c>
      <c r="G269" s="194" t="n"/>
      <c r="H269" s="194" t="n"/>
      <c r="I269" s="194" t="n"/>
      <c r="J269" s="194" t="n"/>
      <c r="K269" s="194" t="n"/>
      <c r="L269" s="194" t="n"/>
      <c r="M269" s="194" t="n"/>
      <c r="N269" s="194" t="n"/>
      <c r="O269" s="194" t="n"/>
      <c r="P269" s="194" t="n"/>
      <c r="Q269" s="194" t="n"/>
      <c r="R269" s="194" t="n"/>
      <c r="S269" s="194" t="n"/>
      <c r="T269" s="194" t="n"/>
      <c r="U269" s="194" t="n"/>
      <c r="V269" s="194" t="n"/>
      <c r="W269" s="194" t="n"/>
      <c r="X269" s="194" t="n"/>
      <c r="Y269" s="194" t="n"/>
      <c r="Z269" s="194" t="n"/>
    </row>
    <row r="270" ht="15.75" customHeight="1" s="195">
      <c r="A270" s="194" t="inlineStr">
        <is>
          <t>SALAZAR</t>
        </is>
      </c>
      <c r="B270" s="194" t="inlineStr">
        <is>
          <t>MAYO 2026</t>
        </is>
      </c>
      <c r="C270" s="377">
        <f>IFERROR(SUMPRODUCT((IF('MAYO 2026'!Y6:Y110&lt;&gt;"",'MAYO 2026'!Y6:Y110,'MAYO 2026'!I6:I110)="SALAZAR")*('MAYO 2026'!K6:K110="PETROLEO")*'MAYO 2026'!M6:M110),0)</f>
        <v/>
      </c>
      <c r="D270" s="377">
        <f>IFERROR(SUMPRODUCT((IF('MAYO 2026'!Y6:Y110&lt;&gt;"",'MAYO 2026'!Y6:Y110,'MAYO 2026'!I6:I110)="SALAZAR")*('MAYO 2026'!K6:K110="PETROLEO")*'MAYO 2026'!L6:L110*'MAYO 2026'!M6:M110),0)</f>
        <v/>
      </c>
      <c r="E270" s="377">
        <f>IFERROR(SUMPRODUCT((IF('MAYO 2026'!Y6:Y110&lt;&gt;"",'MAYO 2026'!Y6:Y110,'MAYO 2026'!I6:I110)="SALAZAR")*('MAYO 2026'!K6:K110="GASOLINA")*'MAYO 2026'!M6:M110),0)</f>
        <v/>
      </c>
      <c r="F270" s="377">
        <f>IFERROR(SUMPRODUCT((IF('MAYO 2026'!Y6:Y110&lt;&gt;"",'MAYO 2026'!Y6:Y110,'MAYO 2026'!I6:I110)="SALAZAR")*('MAYO 2026'!K6:K110="GASOLINA")*'MAYO 2026'!L6:L110*'MAYO 2026'!M6:M110),0)</f>
        <v/>
      </c>
      <c r="G270" s="194" t="n"/>
      <c r="H270" s="194" t="n"/>
      <c r="I270" s="194" t="n"/>
      <c r="J270" s="194" t="n"/>
      <c r="K270" s="194" t="n"/>
      <c r="L270" s="194" t="n"/>
      <c r="M270" s="194" t="n"/>
      <c r="N270" s="194" t="n"/>
      <c r="O270" s="194" t="n"/>
      <c r="P270" s="194" t="n"/>
      <c r="Q270" s="194" t="n"/>
      <c r="R270" s="194" t="n"/>
      <c r="S270" s="194" t="n"/>
      <c r="T270" s="194" t="n"/>
      <c r="U270" s="194" t="n"/>
      <c r="V270" s="194" t="n"/>
      <c r="W270" s="194" t="n"/>
      <c r="X270" s="194" t="n"/>
      <c r="Y270" s="194" t="n"/>
      <c r="Z270" s="194" t="n"/>
    </row>
    <row r="271" ht="15.75" customHeight="1" s="195">
      <c r="A271" s="194" t="inlineStr">
        <is>
          <t>SALAZAR</t>
        </is>
      </c>
      <c r="B271" s="194" t="inlineStr">
        <is>
          <t>JUNIO 2026</t>
        </is>
      </c>
      <c r="C271" s="377">
        <f>IFERROR(SUMPRODUCT((IF('JUNIO 2026'!Y6:Y110&lt;&gt;"",'JUNIO 2026'!Y6:Y110,'JUNIO 2026'!I6:I110)="SALAZAR")*('JUNIO 2026'!K6:K110="PETROLEO")*'JUNIO 2026'!M6:M110),0)</f>
        <v/>
      </c>
      <c r="D271" s="377">
        <f>IFERROR(SUMPRODUCT((IF('JUNIO 2026'!Y6:Y110&lt;&gt;"",'JUNIO 2026'!Y6:Y110,'JUNIO 2026'!I6:I110)="SALAZAR")*('JUNIO 2026'!K6:K110="PETROLEO")*'JUNIO 2026'!L6:L110*'JUNIO 2026'!M6:M110),0)</f>
        <v/>
      </c>
      <c r="E271" s="377">
        <f>IFERROR(SUMPRODUCT((IF('JUNIO 2026'!Y6:Y110&lt;&gt;"",'JUNIO 2026'!Y6:Y110,'JUNIO 2026'!I6:I110)="SALAZAR")*('JUNIO 2026'!K6:K110="GASOLINA")*'JUNIO 2026'!M6:M110),0)</f>
        <v/>
      </c>
      <c r="F271" s="377">
        <f>IFERROR(SUMPRODUCT((IF('JUNIO 2026'!Y6:Y110&lt;&gt;"",'JUNIO 2026'!Y6:Y110,'JUNIO 2026'!I6:I110)="SALAZAR")*('JUNIO 2026'!K6:K110="GASOLINA")*'JUNIO 2026'!L6:L110*'JUNIO 2026'!M6:M110),0)</f>
        <v/>
      </c>
      <c r="G271" s="194" t="n"/>
      <c r="H271" s="194" t="n"/>
      <c r="I271" s="194" t="n"/>
      <c r="J271" s="194" t="n"/>
      <c r="K271" s="194" t="n"/>
      <c r="L271" s="194" t="n"/>
      <c r="M271" s="194" t="n"/>
      <c r="N271" s="194" t="n"/>
      <c r="O271" s="194" t="n"/>
      <c r="P271" s="194" t="n"/>
      <c r="Q271" s="194" t="n"/>
      <c r="R271" s="194" t="n"/>
      <c r="S271" s="194" t="n"/>
      <c r="T271" s="194" t="n"/>
      <c r="U271" s="194" t="n"/>
      <c r="V271" s="194" t="n"/>
      <c r="W271" s="194" t="n"/>
      <c r="X271" s="194" t="n"/>
      <c r="Y271" s="194" t="n"/>
      <c r="Z271" s="194" t="n"/>
    </row>
    <row r="272" ht="15.75" customHeight="1" s="195">
      <c r="A272" s="194" t="inlineStr">
        <is>
          <t>SALAZAR</t>
        </is>
      </c>
      <c r="B272" s="194" t="inlineStr">
        <is>
          <t>JULIO 2026</t>
        </is>
      </c>
      <c r="C272" s="377">
        <f>IFERROR(SUMPRODUCT((IF('JULIO 2026'!Y6:Y110&lt;&gt;"",'JULIO 2026'!Y6:Y110,'JULIO 2026'!I6:I110)="SALAZAR")*('JULIO 2026'!K6:K110="PETROLEO")*'JULIO 2026'!M6:M110),0)</f>
        <v/>
      </c>
      <c r="D272" s="377">
        <f>IFERROR(SUMPRODUCT((IF('JULIO 2026'!Y6:Y110&lt;&gt;"",'JULIO 2026'!Y6:Y110,'JULIO 2026'!I6:I110)="SALAZAR")*('JULIO 2026'!K6:K110="PETROLEO")*'JULIO 2026'!L6:L110*'JULIO 2026'!M6:M110),0)</f>
        <v/>
      </c>
      <c r="E272" s="377">
        <f>IFERROR(SUMPRODUCT((IF('JULIO 2026'!Y6:Y110&lt;&gt;"",'JULIO 2026'!Y6:Y110,'JULIO 2026'!I6:I110)="SALAZAR")*('JULIO 2026'!K6:K110="GASOLINA")*'JULIO 2026'!M6:M110),0)</f>
        <v/>
      </c>
      <c r="F272" s="377">
        <f>IFERROR(SUMPRODUCT((IF('JULIO 2026'!Y6:Y110&lt;&gt;"",'JULIO 2026'!Y6:Y110,'JULIO 2026'!I6:I110)="SALAZAR")*('JULIO 2026'!K6:K110="GASOLINA")*'JULIO 2026'!L6:L110*'JULIO 2026'!M6:M110),0)</f>
        <v/>
      </c>
      <c r="G272" s="194" t="n"/>
      <c r="H272" s="194" t="n"/>
      <c r="I272" s="194" t="n"/>
      <c r="J272" s="194" t="n"/>
      <c r="K272" s="194" t="n"/>
      <c r="L272" s="194" t="n"/>
      <c r="M272" s="194" t="n"/>
      <c r="N272" s="194" t="n"/>
      <c r="O272" s="194" t="n"/>
      <c r="P272" s="194" t="n"/>
      <c r="Q272" s="194" t="n"/>
      <c r="R272" s="194" t="n"/>
      <c r="S272" s="194" t="n"/>
      <c r="T272" s="194" t="n"/>
      <c r="U272" s="194" t="n"/>
      <c r="V272" s="194" t="n"/>
      <c r="W272" s="194" t="n"/>
      <c r="X272" s="194" t="n"/>
      <c r="Y272" s="194" t="n"/>
      <c r="Z272" s="194" t="n"/>
    </row>
    <row r="273" ht="15.75" customHeight="1" s="195">
      <c r="A273" s="194" t="inlineStr">
        <is>
          <t>SALAZAR</t>
        </is>
      </c>
      <c r="B273" s="194" t="inlineStr">
        <is>
          <t>AGOSTO 2026</t>
        </is>
      </c>
      <c r="C273" s="377">
        <f>IFERROR(SUMPRODUCT((IF('AGOSTO 2026'!Y6:Y110&lt;&gt;"",'AGOSTO 2026'!Y6:Y110,'AGOSTO 2026'!I6:I110)="SALAZAR")*('AGOSTO 2026'!K6:K110="PETROLEO")*'AGOSTO 2026'!M6:M110),0)</f>
        <v/>
      </c>
      <c r="D273" s="377">
        <f>IFERROR(SUMPRODUCT((IF('AGOSTO 2026'!Y6:Y110&lt;&gt;"",'AGOSTO 2026'!Y6:Y110,'AGOSTO 2026'!I6:I110)="SALAZAR")*('AGOSTO 2026'!K6:K110="PETROLEO")*'AGOSTO 2026'!L6:L110*'AGOSTO 2026'!M6:M110),0)</f>
        <v/>
      </c>
      <c r="E273" s="377">
        <f>IFERROR(SUMPRODUCT((IF('AGOSTO 2026'!Y6:Y110&lt;&gt;"",'AGOSTO 2026'!Y6:Y110,'AGOSTO 2026'!I6:I110)="SALAZAR")*('AGOSTO 2026'!K6:K110="GASOLINA")*'AGOSTO 2026'!M6:M110),0)</f>
        <v/>
      </c>
      <c r="F273" s="377">
        <f>IFERROR(SUMPRODUCT((IF('AGOSTO 2026'!Y6:Y110&lt;&gt;"",'AGOSTO 2026'!Y6:Y110,'AGOSTO 2026'!I6:I110)="SALAZAR")*('AGOSTO 2026'!K6:K110="GASOLINA")*'AGOSTO 2026'!L6:L110*'AGOSTO 2026'!M6:M110),0)</f>
        <v/>
      </c>
      <c r="G273" s="194" t="n"/>
      <c r="H273" s="194" t="n"/>
      <c r="I273" s="194" t="n"/>
      <c r="J273" s="194" t="n"/>
      <c r="K273" s="194" t="n"/>
      <c r="L273" s="194" t="n"/>
      <c r="M273" s="194" t="n"/>
      <c r="N273" s="194" t="n"/>
      <c r="O273" s="194" t="n"/>
      <c r="P273" s="194" t="n"/>
      <c r="Q273" s="194" t="n"/>
      <c r="R273" s="194" t="n"/>
      <c r="S273" s="194" t="n"/>
      <c r="T273" s="194" t="n"/>
      <c r="U273" s="194" t="n"/>
      <c r="V273" s="194" t="n"/>
      <c r="W273" s="194" t="n"/>
      <c r="X273" s="194" t="n"/>
      <c r="Y273" s="194" t="n"/>
      <c r="Z273" s="194" t="n"/>
    </row>
    <row r="274" ht="15.75" customHeight="1" s="195">
      <c r="A274" s="194" t="inlineStr">
        <is>
          <t>SALAZAR</t>
        </is>
      </c>
      <c r="B274" s="194" t="inlineStr">
        <is>
          <t>SETIEMBRE 2026</t>
        </is>
      </c>
      <c r="C274" s="377">
        <f>IFERROR(SUMPRODUCT((IF('SETIEMBRE 2026'!Y6:Y110&lt;&gt;"",'SETIEMBRE 2026'!Y6:Y110,'SETIEMBRE 2026'!I6:I110)="SALAZAR")*('SETIEMBRE 2026'!K6:K110="PETROLEO")*'SETIEMBRE 2026'!M6:M110),0)</f>
        <v/>
      </c>
      <c r="D274" s="377">
        <f>IFERROR(SUMPRODUCT((IF('SETIEMBRE 2026'!Y6:Y110&lt;&gt;"",'SETIEMBRE 2026'!Y6:Y110,'SETIEMBRE 2026'!I6:I110)="SALAZAR")*('SETIEMBRE 2026'!K6:K110="PETROLEO")*'SETIEMBRE 2026'!L6:L110*'SETIEMBRE 2026'!M6:M110),0)</f>
        <v/>
      </c>
      <c r="E274" s="377">
        <f>IFERROR(SUMPRODUCT((IF('SETIEMBRE 2026'!Y6:Y110&lt;&gt;"",'SETIEMBRE 2026'!Y6:Y110,'SETIEMBRE 2026'!I6:I110)="SALAZAR")*('SETIEMBRE 2026'!K6:K110="GASOLINA")*'SETIEMBRE 2026'!M6:M110),0)</f>
        <v/>
      </c>
      <c r="F274" s="377">
        <f>IFERROR(SUMPRODUCT((IF('SETIEMBRE 2026'!Y6:Y110&lt;&gt;"",'SETIEMBRE 2026'!Y6:Y110,'SETIEMBRE 2026'!I6:I110)="SALAZAR")*('SETIEMBRE 2026'!K6:K110="GASOLINA")*'SETIEMBRE 2026'!L6:L110*'SETIEMBRE 2026'!M6:M110),0)</f>
        <v/>
      </c>
      <c r="G274" s="194" t="n"/>
      <c r="H274" s="194" t="n"/>
      <c r="I274" s="194" t="n"/>
      <c r="J274" s="194" t="n"/>
      <c r="K274" s="194" t="n"/>
      <c r="L274" s="194" t="n"/>
      <c r="M274" s="194" t="n"/>
      <c r="N274" s="194" t="n"/>
      <c r="O274" s="194" t="n"/>
      <c r="P274" s="194" t="n"/>
      <c r="Q274" s="194" t="n"/>
      <c r="R274" s="194" t="n"/>
      <c r="S274" s="194" t="n"/>
      <c r="T274" s="194" t="n"/>
      <c r="U274" s="194" t="n"/>
      <c r="V274" s="194" t="n"/>
      <c r="W274" s="194" t="n"/>
      <c r="X274" s="194" t="n"/>
      <c r="Y274" s="194" t="n"/>
      <c r="Z274" s="194" t="n"/>
    </row>
    <row r="275" ht="15.75" customHeight="1" s="195">
      <c r="A275" s="194" t="inlineStr">
        <is>
          <t>SALAZAR</t>
        </is>
      </c>
      <c r="B275" s="194" t="inlineStr">
        <is>
          <t>OCTUBRE 2026</t>
        </is>
      </c>
      <c r="C275" s="377">
        <f>IFERROR(SUMPRODUCT((IF('OCTUBRE 2026'!Y6:Y110&lt;&gt;"",'OCTUBRE 2026'!Y6:Y110,'OCTUBRE 2026'!I6:I110)="SALAZAR")*('OCTUBRE 2026'!K6:K110="PETROLEO")*'OCTUBRE 2026'!M6:M110),0)</f>
        <v/>
      </c>
      <c r="D275" s="377">
        <f>IFERROR(SUMPRODUCT((IF('OCTUBRE 2026'!Y6:Y110&lt;&gt;"",'OCTUBRE 2026'!Y6:Y110,'OCTUBRE 2026'!I6:I110)="SALAZAR")*('OCTUBRE 2026'!K6:K110="PETROLEO")*'OCTUBRE 2026'!L6:L110*'OCTUBRE 2026'!M6:M110),0)</f>
        <v/>
      </c>
      <c r="E275" s="377">
        <f>IFERROR(SUMPRODUCT((IF('OCTUBRE 2026'!Y6:Y110&lt;&gt;"",'OCTUBRE 2026'!Y6:Y110,'OCTUBRE 2026'!I6:I110)="SALAZAR")*('OCTUBRE 2026'!K6:K110="GASOLINA")*'OCTUBRE 2026'!M6:M110),0)</f>
        <v/>
      </c>
      <c r="F275" s="377">
        <f>IFERROR(SUMPRODUCT((IF('OCTUBRE 2026'!Y6:Y110&lt;&gt;"",'OCTUBRE 2026'!Y6:Y110,'OCTUBRE 2026'!I6:I110)="SALAZAR")*('OCTUBRE 2026'!K6:K110="GASOLINA")*'OCTUBRE 2026'!L6:L110*'OCTUBRE 2026'!M6:M110),0)</f>
        <v/>
      </c>
      <c r="G275" s="194" t="n"/>
      <c r="H275" s="194" t="n"/>
      <c r="I275" s="194" t="n"/>
      <c r="J275" s="194" t="n"/>
      <c r="K275" s="194" t="n"/>
      <c r="L275" s="194" t="n"/>
      <c r="M275" s="194" t="n"/>
      <c r="N275" s="194" t="n"/>
      <c r="O275" s="194" t="n"/>
      <c r="P275" s="194" t="n"/>
      <c r="Q275" s="194" t="n"/>
      <c r="R275" s="194" t="n"/>
      <c r="S275" s="194" t="n"/>
      <c r="T275" s="194" t="n"/>
      <c r="U275" s="194" t="n"/>
      <c r="V275" s="194" t="n"/>
      <c r="W275" s="194" t="n"/>
      <c r="X275" s="194" t="n"/>
      <c r="Y275" s="194" t="n"/>
      <c r="Z275" s="194" t="n"/>
    </row>
    <row r="276" ht="15.75" customHeight="1" s="195">
      <c r="A276" s="194" t="inlineStr">
        <is>
          <t>SALAZAR</t>
        </is>
      </c>
      <c r="B276" s="194" t="inlineStr">
        <is>
          <t>NOVIEMBRE 2026</t>
        </is>
      </c>
      <c r="C276" s="377">
        <f>IFERROR(SUMPRODUCT((IF('NOVIEMBRE 2026'!Y6:Y110&lt;&gt;"",'NOVIEMBRE 2026'!Y6:Y110,'NOVIEMBRE 2026'!I6:I110)="SALAZAR")*('NOVIEMBRE 2026'!K6:K110="PETROLEO")*'NOVIEMBRE 2026'!M6:M110),0)</f>
        <v/>
      </c>
      <c r="D276" s="377">
        <f>IFERROR(SUMPRODUCT((IF('NOVIEMBRE 2026'!Y6:Y110&lt;&gt;"",'NOVIEMBRE 2026'!Y6:Y110,'NOVIEMBRE 2026'!I6:I110)="SALAZAR")*('NOVIEMBRE 2026'!K6:K110="PETROLEO")*'NOVIEMBRE 2026'!L6:L110*'NOVIEMBRE 2026'!M6:M110),0)</f>
        <v/>
      </c>
      <c r="E276" s="377">
        <f>IFERROR(SUMPRODUCT((IF('NOVIEMBRE 2026'!Y6:Y110&lt;&gt;"",'NOVIEMBRE 2026'!Y6:Y110,'NOVIEMBRE 2026'!I6:I110)="SALAZAR")*('NOVIEMBRE 2026'!K6:K110="GASOLINA")*'NOVIEMBRE 2026'!M6:M110),0)</f>
        <v/>
      </c>
      <c r="F276" s="377">
        <f>IFERROR(SUMPRODUCT((IF('NOVIEMBRE 2026'!Y6:Y110&lt;&gt;"",'NOVIEMBRE 2026'!Y6:Y110,'NOVIEMBRE 2026'!I6:I110)="SALAZAR")*('NOVIEMBRE 2026'!K6:K110="GASOLINA")*'NOVIEMBRE 2026'!L6:L110*'NOVIEMBRE 2026'!M6:M110),0)</f>
        <v/>
      </c>
      <c r="G276" s="194" t="n"/>
      <c r="H276" s="194" t="n"/>
      <c r="I276" s="194" t="n"/>
      <c r="J276" s="194" t="n"/>
      <c r="K276" s="194" t="n"/>
      <c r="L276" s="194" t="n"/>
      <c r="M276" s="194" t="n"/>
      <c r="N276" s="194" t="n"/>
      <c r="O276" s="194" t="n"/>
      <c r="P276" s="194" t="n"/>
      <c r="Q276" s="194" t="n"/>
      <c r="R276" s="194" t="n"/>
      <c r="S276" s="194" t="n"/>
      <c r="T276" s="194" t="n"/>
      <c r="U276" s="194" t="n"/>
      <c r="V276" s="194" t="n"/>
      <c r="W276" s="194" t="n"/>
      <c r="X276" s="194" t="n"/>
      <c r="Y276" s="194" t="n"/>
      <c r="Z276" s="194" t="n"/>
    </row>
    <row r="277" ht="15.75" customHeight="1" s="195">
      <c r="A277" s="194" t="inlineStr">
        <is>
          <t>SALAZAR</t>
        </is>
      </c>
      <c r="B277" s="194" t="inlineStr">
        <is>
          <t>DICIEMBRE 2026</t>
        </is>
      </c>
      <c r="C277" s="377">
        <f>IFERROR(SUMPRODUCT((IF('DICIEMBRE 2026'!Y6:Y110&lt;&gt;"",'DICIEMBRE 2026'!Y6:Y110,'DICIEMBRE 2026'!I6:I110)="SALAZAR")*('DICIEMBRE 2026'!K6:K110="PETROLEO")*'DICIEMBRE 2026'!M6:M110),0)</f>
        <v/>
      </c>
      <c r="D277" s="377">
        <f>IFERROR(SUMPRODUCT((IF('DICIEMBRE 2026'!Y6:Y110&lt;&gt;"",'DICIEMBRE 2026'!Y6:Y110,'DICIEMBRE 2026'!I6:I110)="SALAZAR")*('DICIEMBRE 2026'!K6:K110="PETROLEO")*'DICIEMBRE 2026'!L6:L110*'DICIEMBRE 2026'!M6:M110),0)</f>
        <v/>
      </c>
      <c r="E277" s="377">
        <f>IFERROR(SUMPRODUCT((IF('DICIEMBRE 2026'!Y6:Y110&lt;&gt;"",'DICIEMBRE 2026'!Y6:Y110,'DICIEMBRE 2026'!I6:I110)="SALAZAR")*('DICIEMBRE 2026'!K6:K110="GASOLINA")*'DICIEMBRE 2026'!M6:M110),0)</f>
        <v/>
      </c>
      <c r="F277" s="377">
        <f>IFERROR(SUMPRODUCT((IF('DICIEMBRE 2026'!Y6:Y110&lt;&gt;"",'DICIEMBRE 2026'!Y6:Y110,'DICIEMBRE 2026'!I6:I110)="SALAZAR")*('DICIEMBRE 2026'!K6:K110="GASOLINA")*'DICIEMBRE 2026'!L6:L110*'DICIEMBRE 2026'!M6:M110),0)</f>
        <v/>
      </c>
      <c r="G277" s="194" t="n"/>
      <c r="H277" s="194" t="n"/>
      <c r="I277" s="194" t="n"/>
      <c r="J277" s="194" t="n"/>
      <c r="K277" s="194" t="n"/>
      <c r="L277" s="194" t="n"/>
      <c r="M277" s="194" t="n"/>
      <c r="N277" s="194" t="n"/>
      <c r="O277" s="194" t="n"/>
      <c r="P277" s="194" t="n"/>
      <c r="Q277" s="194" t="n"/>
      <c r="R277" s="194" t="n"/>
      <c r="S277" s="194" t="n"/>
      <c r="T277" s="194" t="n"/>
      <c r="U277" s="194" t="n"/>
      <c r="V277" s="194" t="n"/>
      <c r="W277" s="194" t="n"/>
      <c r="X277" s="194" t="n"/>
      <c r="Y277" s="194" t="n"/>
      <c r="Z277" s="194" t="n"/>
    </row>
    <row r="278" ht="15.75" customHeight="1" s="195">
      <c r="A278" s="194" t="inlineStr">
        <is>
          <t>SANTO TOMAS</t>
        </is>
      </c>
      <c r="B278" s="194" t="inlineStr">
        <is>
          <t>ENERO 2026</t>
        </is>
      </c>
      <c r="C278" s="377">
        <f>IFERROR(SUMPRODUCT((IF('ENERO 2026'!Y6:Y119&lt;&gt;"",'ENERO 2026'!Y6:Y119,'ENERO 2026'!I6:I119)="SANTO TOMAS")*('ENERO 2026'!K6:K119="PETROLEO")*'ENERO 2026'!M6:M119),0)</f>
        <v/>
      </c>
      <c r="D278" s="377">
        <f>IFERROR(SUMPRODUCT((IF('ENERO 2026'!Y6:Y119&lt;&gt;"",'ENERO 2026'!Y6:Y119,'ENERO 2026'!I6:I119)="SANTO TOMAS")*('ENERO 2026'!K6:K119="PETROLEO")*'ENERO 2026'!L6:L119*'ENERO 2026'!M6:M119),0)</f>
        <v/>
      </c>
      <c r="E278" s="377">
        <f>IFERROR(SUMPRODUCT((IF('ENERO 2026'!Y6:Y119&lt;&gt;"",'ENERO 2026'!Y6:Y119,'ENERO 2026'!I6:I119)="SANTO TOMAS")*('ENERO 2026'!K6:K119="GASOLINA")*'ENERO 2026'!M6:M119),0)</f>
        <v/>
      </c>
      <c r="F278" s="377">
        <f>IFERROR(SUMPRODUCT((IF('ENERO 2026'!Y6:Y119&lt;&gt;"",'ENERO 2026'!Y6:Y119,'ENERO 2026'!I6:I119)="SANTO TOMAS")*('ENERO 2026'!K6:K119="GASOLINA")*'ENERO 2026'!L6:L119*'ENERO 2026'!M6:M119),0)</f>
        <v/>
      </c>
      <c r="G278" s="194" t="n"/>
      <c r="H278" s="194" t="n"/>
      <c r="I278" s="194" t="n"/>
      <c r="J278" s="194" t="n"/>
      <c r="K278" s="194" t="n"/>
      <c r="L278" s="194" t="n"/>
      <c r="M278" s="194" t="n"/>
      <c r="N278" s="194" t="n"/>
      <c r="O278" s="194" t="n"/>
      <c r="P278" s="194" t="n"/>
      <c r="Q278" s="194" t="n"/>
      <c r="R278" s="194" t="n"/>
      <c r="S278" s="194" t="n"/>
      <c r="T278" s="194" t="n"/>
      <c r="U278" s="194" t="n"/>
      <c r="V278" s="194" t="n"/>
      <c r="W278" s="194" t="n"/>
      <c r="X278" s="194" t="n"/>
      <c r="Y278" s="194" t="n"/>
      <c r="Z278" s="194" t="n"/>
    </row>
    <row r="279" ht="15.75" customHeight="1" s="195">
      <c r="A279" s="194" t="inlineStr">
        <is>
          <t>SANTO TOMAS</t>
        </is>
      </c>
      <c r="B279" s="194" t="inlineStr">
        <is>
          <t>FEBRERO 2026</t>
        </is>
      </c>
      <c r="C279" s="377">
        <f>IFERROR(SUMPRODUCT((IF('FEBRERO 2026'!Y6:Y124&lt;&gt;"",'FEBRERO 2026'!Y6:Y124,'FEBRERO 2026'!I6:I124)="SANTO TOMAS")*('FEBRERO 2026'!K6:K124="PETROLEO")*'FEBRERO 2026'!M6:M124),0)</f>
        <v/>
      </c>
      <c r="D279" s="377">
        <f>IFERROR(SUMPRODUCT((IF('FEBRERO 2026'!Y6:Y124&lt;&gt;"",'FEBRERO 2026'!Y6:Y124,'FEBRERO 2026'!I6:I124)="SANTO TOMAS")*('FEBRERO 2026'!K6:K124="PETROLEO")*'FEBRERO 2026'!L6:L124*'FEBRERO 2026'!M6:M124),0)</f>
        <v/>
      </c>
      <c r="E279" s="377">
        <f>IFERROR(SUMPRODUCT((IF('FEBRERO 2026'!Y6:Y124&lt;&gt;"",'FEBRERO 2026'!Y6:Y124,'FEBRERO 2026'!I6:I124)="SANTO TOMAS")*('FEBRERO 2026'!K6:K124="GASOLINA")*'FEBRERO 2026'!M6:M124),0)</f>
        <v/>
      </c>
      <c r="F279" s="377">
        <f>IFERROR(SUMPRODUCT((IF('FEBRERO 2026'!Y6:Y124&lt;&gt;"",'FEBRERO 2026'!Y6:Y124,'FEBRERO 2026'!I6:I124)="SANTO TOMAS")*('FEBRERO 2026'!K6:K124="GASOLINA")*'FEBRERO 2026'!L6:L124*'FEBRERO 2026'!M6:M124),0)</f>
        <v/>
      </c>
      <c r="G279" s="194" t="n"/>
      <c r="H279" s="194" t="n"/>
      <c r="I279" s="194" t="n"/>
      <c r="J279" s="194" t="n"/>
      <c r="K279" s="194" t="n"/>
      <c r="L279" s="194" t="n"/>
      <c r="M279" s="194" t="n"/>
      <c r="N279" s="194" t="n"/>
      <c r="O279" s="194" t="n"/>
      <c r="P279" s="194" t="n"/>
      <c r="Q279" s="194" t="n"/>
      <c r="R279" s="194" t="n"/>
      <c r="S279" s="194" t="n"/>
      <c r="T279" s="194" t="n"/>
      <c r="U279" s="194" t="n"/>
      <c r="V279" s="194" t="n"/>
      <c r="W279" s="194" t="n"/>
      <c r="X279" s="194" t="n"/>
      <c r="Y279" s="194" t="n"/>
      <c r="Z279" s="194" t="n"/>
    </row>
    <row r="280" ht="15.75" customHeight="1" s="195">
      <c r="A280" s="194" t="inlineStr">
        <is>
          <t>SANTO TOMAS</t>
        </is>
      </c>
      <c r="B280" s="194" t="inlineStr">
        <is>
          <t>MARZO 2026</t>
        </is>
      </c>
      <c r="C280" s="377">
        <f>IFERROR(SUMPRODUCT((IF('MARZO 2026'!Y6:Y119&lt;&gt;"",'MARZO 2026'!Y6:Y119,'MARZO 2026'!I6:I119)="SANTO TOMAS")*('MARZO 2026'!K6:K119="PETROLEO")*'MARZO 2026'!M6:M119),0)</f>
        <v/>
      </c>
      <c r="D280" s="377">
        <f>IFERROR(SUMPRODUCT((IF('MARZO 2026'!Y6:Y119&lt;&gt;"",'MARZO 2026'!Y6:Y119,'MARZO 2026'!I6:I119)="SANTO TOMAS")*('MARZO 2026'!K6:K119="PETROLEO")*'MARZO 2026'!L6:L119*'MARZO 2026'!M6:M119),0)</f>
        <v/>
      </c>
      <c r="E280" s="377">
        <f>IFERROR(SUMPRODUCT((IF('MARZO 2026'!Y6:Y119&lt;&gt;"",'MARZO 2026'!Y6:Y119,'MARZO 2026'!I6:I119)="SANTO TOMAS")*('MARZO 2026'!K6:K119="GASOLINA")*'MARZO 2026'!M6:M119),0)</f>
        <v/>
      </c>
      <c r="F280" s="377">
        <f>IFERROR(SUMPRODUCT((IF('MARZO 2026'!Y6:Y119&lt;&gt;"",'MARZO 2026'!Y6:Y119,'MARZO 2026'!I6:I119)="SANTO TOMAS")*('MARZO 2026'!K6:K119="GASOLINA")*'MARZO 2026'!L6:L119*'MARZO 2026'!M6:M119),0)</f>
        <v/>
      </c>
      <c r="G280" s="194" t="n"/>
      <c r="H280" s="194" t="n"/>
      <c r="I280" s="194" t="n"/>
      <c r="J280" s="194" t="n"/>
      <c r="K280" s="194" t="n"/>
      <c r="L280" s="194" t="n"/>
      <c r="M280" s="194" t="n"/>
      <c r="N280" s="194" t="n"/>
      <c r="O280" s="194" t="n"/>
      <c r="P280" s="194" t="n"/>
      <c r="Q280" s="194" t="n"/>
      <c r="R280" s="194" t="n"/>
      <c r="S280" s="194" t="n"/>
      <c r="T280" s="194" t="n"/>
      <c r="U280" s="194" t="n"/>
      <c r="V280" s="194" t="n"/>
      <c r="W280" s="194" t="n"/>
      <c r="X280" s="194" t="n"/>
      <c r="Y280" s="194" t="n"/>
      <c r="Z280" s="194" t="n"/>
    </row>
    <row r="281" ht="15.75" customHeight="1" s="195">
      <c r="A281" s="194" t="inlineStr">
        <is>
          <t>SANTO TOMAS</t>
        </is>
      </c>
      <c r="B281" s="194" t="inlineStr">
        <is>
          <t>ABRIL 2026</t>
        </is>
      </c>
      <c r="C281" s="377">
        <f>IFERROR(SUMPRODUCT((IF('ABRIL 2026'!Y6:Y119&lt;&gt;"",'ABRIL 2026'!Y6:Y119,'ABRIL 2026'!I6:I119)="SANTO TOMAS")*('ABRIL 2026'!K6:K119="PETROLEO")*'ABRIL 2026'!M6:M119),0)</f>
        <v/>
      </c>
      <c r="D281" s="377">
        <f>IFERROR(SUMPRODUCT((IF('ABRIL 2026'!Y6:Y119&lt;&gt;"",'ABRIL 2026'!Y6:Y119,'ABRIL 2026'!I6:I119)="SANTO TOMAS")*('ABRIL 2026'!K6:K119="PETROLEO")*'ABRIL 2026'!L6:L119*'ABRIL 2026'!M6:M119),0)</f>
        <v/>
      </c>
      <c r="E281" s="377">
        <f>IFERROR(SUMPRODUCT((IF('ABRIL 2026'!Y6:Y119&lt;&gt;"",'ABRIL 2026'!Y6:Y119,'ABRIL 2026'!I6:I119)="SANTO TOMAS")*('ABRIL 2026'!K6:K119="GASOLINA")*'ABRIL 2026'!M6:M119),0)</f>
        <v/>
      </c>
      <c r="F281" s="377">
        <f>IFERROR(SUMPRODUCT((IF('ABRIL 2026'!Y6:Y119&lt;&gt;"",'ABRIL 2026'!Y6:Y119,'ABRIL 2026'!I6:I119)="SANTO TOMAS")*('ABRIL 2026'!K6:K119="GASOLINA")*'ABRIL 2026'!L6:L119*'ABRIL 2026'!M6:M119),0)</f>
        <v/>
      </c>
      <c r="G281" s="194" t="n"/>
      <c r="H281" s="194" t="n"/>
      <c r="I281" s="194" t="n"/>
      <c r="J281" s="194" t="n"/>
      <c r="K281" s="194" t="n"/>
      <c r="L281" s="194" t="n"/>
      <c r="M281" s="194" t="n"/>
      <c r="N281" s="194" t="n"/>
      <c r="O281" s="194" t="n"/>
      <c r="P281" s="194" t="n"/>
      <c r="Q281" s="194" t="n"/>
      <c r="R281" s="194" t="n"/>
      <c r="S281" s="194" t="n"/>
      <c r="T281" s="194" t="n"/>
      <c r="U281" s="194" t="n"/>
      <c r="V281" s="194" t="n"/>
      <c r="W281" s="194" t="n"/>
      <c r="X281" s="194" t="n"/>
      <c r="Y281" s="194" t="n"/>
      <c r="Z281" s="194" t="n"/>
    </row>
    <row r="282" ht="15.75" customHeight="1" s="195">
      <c r="A282" s="194" t="inlineStr">
        <is>
          <t>SANTO TOMAS</t>
        </is>
      </c>
      <c r="B282" s="194" t="inlineStr">
        <is>
          <t>MAYO 2026</t>
        </is>
      </c>
      <c r="C282" s="377">
        <f>IFERROR(SUMPRODUCT((IF('MAYO 2026'!Y6:Y110&lt;&gt;"",'MAYO 2026'!Y6:Y110,'MAYO 2026'!I6:I110)="SANTO TOMAS")*('MAYO 2026'!K6:K110="PETROLEO")*'MAYO 2026'!M6:M110),0)</f>
        <v/>
      </c>
      <c r="D282" s="377">
        <f>IFERROR(SUMPRODUCT((IF('MAYO 2026'!Y6:Y110&lt;&gt;"",'MAYO 2026'!Y6:Y110,'MAYO 2026'!I6:I110)="SANTO TOMAS")*('MAYO 2026'!K6:K110="PETROLEO")*'MAYO 2026'!L6:L110*'MAYO 2026'!M6:M110),0)</f>
        <v/>
      </c>
      <c r="E282" s="377">
        <f>IFERROR(SUMPRODUCT((IF('MAYO 2026'!Y6:Y110&lt;&gt;"",'MAYO 2026'!Y6:Y110,'MAYO 2026'!I6:I110)="SANTO TOMAS")*('MAYO 2026'!K6:K110="GASOLINA")*'MAYO 2026'!M6:M110),0)</f>
        <v/>
      </c>
      <c r="F282" s="377">
        <f>IFERROR(SUMPRODUCT((IF('MAYO 2026'!Y6:Y110&lt;&gt;"",'MAYO 2026'!Y6:Y110,'MAYO 2026'!I6:I110)="SANTO TOMAS")*('MAYO 2026'!K6:K110="GASOLINA")*'MAYO 2026'!L6:L110*'MAYO 2026'!M6:M110),0)</f>
        <v/>
      </c>
      <c r="G282" s="194" t="n"/>
      <c r="H282" s="194" t="n"/>
      <c r="I282" s="194" t="n"/>
      <c r="J282" s="194" t="n"/>
      <c r="K282" s="194" t="n"/>
      <c r="L282" s="194" t="n"/>
      <c r="M282" s="194" t="n"/>
      <c r="N282" s="194" t="n"/>
      <c r="O282" s="194" t="n"/>
      <c r="P282" s="194" t="n"/>
      <c r="Q282" s="194" t="n"/>
      <c r="R282" s="194" t="n"/>
      <c r="S282" s="194" t="n"/>
      <c r="T282" s="194" t="n"/>
      <c r="U282" s="194" t="n"/>
      <c r="V282" s="194" t="n"/>
      <c r="W282" s="194" t="n"/>
      <c r="X282" s="194" t="n"/>
      <c r="Y282" s="194" t="n"/>
      <c r="Z282" s="194" t="n"/>
    </row>
    <row r="283" ht="15.75" customHeight="1" s="195">
      <c r="A283" s="194" t="inlineStr">
        <is>
          <t>SANTO TOMAS</t>
        </is>
      </c>
      <c r="B283" s="194" t="inlineStr">
        <is>
          <t>JUNIO 2026</t>
        </is>
      </c>
      <c r="C283" s="377">
        <f>IFERROR(SUMPRODUCT((IF('JUNIO 2026'!Y6:Y110&lt;&gt;"",'JUNIO 2026'!Y6:Y110,'JUNIO 2026'!I6:I110)="SANTO TOMAS")*('JUNIO 2026'!K6:K110="PETROLEO")*'JUNIO 2026'!M6:M110),0)</f>
        <v/>
      </c>
      <c r="D283" s="377">
        <f>IFERROR(SUMPRODUCT((IF('JUNIO 2026'!Y6:Y110&lt;&gt;"",'JUNIO 2026'!Y6:Y110,'JUNIO 2026'!I6:I110)="SANTO TOMAS")*('JUNIO 2026'!K6:K110="PETROLEO")*'JUNIO 2026'!L6:L110*'JUNIO 2026'!M6:M110),0)</f>
        <v/>
      </c>
      <c r="E283" s="377">
        <f>IFERROR(SUMPRODUCT((IF('JUNIO 2026'!Y6:Y110&lt;&gt;"",'JUNIO 2026'!Y6:Y110,'JUNIO 2026'!I6:I110)="SANTO TOMAS")*('JUNIO 2026'!K6:K110="GASOLINA")*'JUNIO 2026'!M6:M110),0)</f>
        <v/>
      </c>
      <c r="F283" s="377">
        <f>IFERROR(SUMPRODUCT((IF('JUNIO 2026'!Y6:Y110&lt;&gt;"",'JUNIO 2026'!Y6:Y110,'JUNIO 2026'!I6:I110)="SANTO TOMAS")*('JUNIO 2026'!K6:K110="GASOLINA")*'JUNIO 2026'!L6:L110*'JUNIO 2026'!M6:M110),0)</f>
        <v/>
      </c>
      <c r="G283" s="194" t="n"/>
      <c r="H283" s="194" t="n"/>
      <c r="I283" s="194" t="n"/>
      <c r="J283" s="194" t="n"/>
      <c r="K283" s="194" t="n"/>
      <c r="L283" s="194" t="n"/>
      <c r="M283" s="194" t="n"/>
      <c r="N283" s="194" t="n"/>
      <c r="O283" s="194" t="n"/>
      <c r="P283" s="194" t="n"/>
      <c r="Q283" s="194" t="n"/>
      <c r="R283" s="194" t="n"/>
      <c r="S283" s="194" t="n"/>
      <c r="T283" s="194" t="n"/>
      <c r="U283" s="194" t="n"/>
      <c r="V283" s="194" t="n"/>
      <c r="W283" s="194" t="n"/>
      <c r="X283" s="194" t="n"/>
      <c r="Y283" s="194" t="n"/>
      <c r="Z283" s="194" t="n"/>
    </row>
    <row r="284" ht="15.75" customHeight="1" s="195">
      <c r="A284" s="194" t="inlineStr">
        <is>
          <t>SANTO TOMAS</t>
        </is>
      </c>
      <c r="B284" s="194" t="inlineStr">
        <is>
          <t>JULIO 2026</t>
        </is>
      </c>
      <c r="C284" s="377">
        <f>IFERROR(SUMPRODUCT((IF('JULIO 2026'!Y6:Y110&lt;&gt;"",'JULIO 2026'!Y6:Y110,'JULIO 2026'!I6:I110)="SANTO TOMAS")*('JULIO 2026'!K6:K110="PETROLEO")*'JULIO 2026'!M6:M110),0)</f>
        <v/>
      </c>
      <c r="D284" s="377">
        <f>IFERROR(SUMPRODUCT((IF('JULIO 2026'!Y6:Y110&lt;&gt;"",'JULIO 2026'!Y6:Y110,'JULIO 2026'!I6:I110)="SANTO TOMAS")*('JULIO 2026'!K6:K110="PETROLEO")*'JULIO 2026'!L6:L110*'JULIO 2026'!M6:M110),0)</f>
        <v/>
      </c>
      <c r="E284" s="377">
        <f>IFERROR(SUMPRODUCT((IF('JULIO 2026'!Y6:Y110&lt;&gt;"",'JULIO 2026'!Y6:Y110,'JULIO 2026'!I6:I110)="SANTO TOMAS")*('JULIO 2026'!K6:K110="GASOLINA")*'JULIO 2026'!M6:M110),0)</f>
        <v/>
      </c>
      <c r="F284" s="377">
        <f>IFERROR(SUMPRODUCT((IF('JULIO 2026'!Y6:Y110&lt;&gt;"",'JULIO 2026'!Y6:Y110,'JULIO 2026'!I6:I110)="SANTO TOMAS")*('JULIO 2026'!K6:K110="GASOLINA")*'JULIO 2026'!L6:L110*'JULIO 2026'!M6:M110),0)</f>
        <v/>
      </c>
      <c r="G284" s="194" t="n"/>
      <c r="H284" s="194" t="n"/>
      <c r="I284" s="194" t="n"/>
      <c r="J284" s="194" t="n"/>
      <c r="K284" s="194" t="n"/>
      <c r="L284" s="194" t="n"/>
      <c r="M284" s="194" t="n"/>
      <c r="N284" s="194" t="n"/>
      <c r="O284" s="194" t="n"/>
      <c r="P284" s="194" t="n"/>
      <c r="Q284" s="194" t="n"/>
      <c r="R284" s="194" t="n"/>
      <c r="S284" s="194" t="n"/>
      <c r="T284" s="194" t="n"/>
      <c r="U284" s="194" t="n"/>
      <c r="V284" s="194" t="n"/>
      <c r="W284" s="194" t="n"/>
      <c r="X284" s="194" t="n"/>
      <c r="Y284" s="194" t="n"/>
      <c r="Z284" s="194" t="n"/>
    </row>
    <row r="285" ht="15.75" customHeight="1" s="195">
      <c r="A285" s="194" t="inlineStr">
        <is>
          <t>SANTO TOMAS</t>
        </is>
      </c>
      <c r="B285" s="194" t="inlineStr">
        <is>
          <t>AGOSTO 2026</t>
        </is>
      </c>
      <c r="C285" s="377">
        <f>IFERROR(SUMPRODUCT((IF('AGOSTO 2026'!Y6:Y110&lt;&gt;"",'AGOSTO 2026'!Y6:Y110,'AGOSTO 2026'!I6:I110)="SANTO TOMAS")*('AGOSTO 2026'!K6:K110="PETROLEO")*'AGOSTO 2026'!M6:M110),0)</f>
        <v/>
      </c>
      <c r="D285" s="377">
        <f>IFERROR(SUMPRODUCT((IF('AGOSTO 2026'!Y6:Y110&lt;&gt;"",'AGOSTO 2026'!Y6:Y110,'AGOSTO 2026'!I6:I110)="SANTO TOMAS")*('AGOSTO 2026'!K6:K110="PETROLEO")*'AGOSTO 2026'!L6:L110*'AGOSTO 2026'!M6:M110),0)</f>
        <v/>
      </c>
      <c r="E285" s="377">
        <f>IFERROR(SUMPRODUCT((IF('AGOSTO 2026'!Y6:Y110&lt;&gt;"",'AGOSTO 2026'!Y6:Y110,'AGOSTO 2026'!I6:I110)="SANTO TOMAS")*('AGOSTO 2026'!K6:K110="GASOLINA")*'AGOSTO 2026'!M6:M110),0)</f>
        <v/>
      </c>
      <c r="F285" s="377">
        <f>IFERROR(SUMPRODUCT((IF('AGOSTO 2026'!Y6:Y110&lt;&gt;"",'AGOSTO 2026'!Y6:Y110,'AGOSTO 2026'!I6:I110)="SANTO TOMAS")*('AGOSTO 2026'!K6:K110="GASOLINA")*'AGOSTO 2026'!L6:L110*'AGOSTO 2026'!M6:M110),0)</f>
        <v/>
      </c>
      <c r="G285" s="194" t="n"/>
      <c r="H285" s="194" t="n"/>
      <c r="I285" s="194" t="n"/>
      <c r="J285" s="194" t="n"/>
      <c r="K285" s="194" t="n"/>
      <c r="L285" s="194" t="n"/>
      <c r="M285" s="194" t="n"/>
      <c r="N285" s="194" t="n"/>
      <c r="O285" s="194" t="n"/>
      <c r="P285" s="194" t="n"/>
      <c r="Q285" s="194" t="n"/>
      <c r="R285" s="194" t="n"/>
      <c r="S285" s="194" t="n"/>
      <c r="T285" s="194" t="n"/>
      <c r="U285" s="194" t="n"/>
      <c r="V285" s="194" t="n"/>
      <c r="W285" s="194" t="n"/>
      <c r="X285" s="194" t="n"/>
      <c r="Y285" s="194" t="n"/>
      <c r="Z285" s="194" t="n"/>
    </row>
    <row r="286" ht="15.75" customHeight="1" s="195">
      <c r="A286" s="194" t="inlineStr">
        <is>
          <t>SANTO TOMAS</t>
        </is>
      </c>
      <c r="B286" s="194" t="inlineStr">
        <is>
          <t>SETIEMBRE 2026</t>
        </is>
      </c>
      <c r="C286" s="377">
        <f>IFERROR(SUMPRODUCT((IF('SETIEMBRE 2026'!Y6:Y110&lt;&gt;"",'SETIEMBRE 2026'!Y6:Y110,'SETIEMBRE 2026'!I6:I110)="SANTO TOMAS")*('SETIEMBRE 2026'!K6:K110="PETROLEO")*'SETIEMBRE 2026'!M6:M110),0)</f>
        <v/>
      </c>
      <c r="D286" s="377">
        <f>IFERROR(SUMPRODUCT((IF('SETIEMBRE 2026'!Y6:Y110&lt;&gt;"",'SETIEMBRE 2026'!Y6:Y110,'SETIEMBRE 2026'!I6:I110)="SANTO TOMAS")*('SETIEMBRE 2026'!K6:K110="PETROLEO")*'SETIEMBRE 2026'!L6:L110*'SETIEMBRE 2026'!M6:M110),0)</f>
        <v/>
      </c>
      <c r="E286" s="377">
        <f>IFERROR(SUMPRODUCT((IF('SETIEMBRE 2026'!Y6:Y110&lt;&gt;"",'SETIEMBRE 2026'!Y6:Y110,'SETIEMBRE 2026'!I6:I110)="SANTO TOMAS")*('SETIEMBRE 2026'!K6:K110="GASOLINA")*'SETIEMBRE 2026'!M6:M110),0)</f>
        <v/>
      </c>
      <c r="F286" s="377">
        <f>IFERROR(SUMPRODUCT((IF('SETIEMBRE 2026'!Y6:Y110&lt;&gt;"",'SETIEMBRE 2026'!Y6:Y110,'SETIEMBRE 2026'!I6:I110)="SANTO TOMAS")*('SETIEMBRE 2026'!K6:K110="GASOLINA")*'SETIEMBRE 2026'!L6:L110*'SETIEMBRE 2026'!M6:M110),0)</f>
        <v/>
      </c>
      <c r="G286" s="194" t="n"/>
      <c r="H286" s="194" t="n"/>
      <c r="I286" s="194" t="n"/>
      <c r="J286" s="194" t="n"/>
      <c r="K286" s="194" t="n"/>
      <c r="L286" s="194" t="n"/>
      <c r="M286" s="194" t="n"/>
      <c r="N286" s="194" t="n"/>
      <c r="O286" s="194" t="n"/>
      <c r="P286" s="194" t="n"/>
      <c r="Q286" s="194" t="n"/>
      <c r="R286" s="194" t="n"/>
      <c r="S286" s="194" t="n"/>
      <c r="T286" s="194" t="n"/>
      <c r="U286" s="194" t="n"/>
      <c r="V286" s="194" t="n"/>
      <c r="W286" s="194" t="n"/>
      <c r="X286" s="194" t="n"/>
      <c r="Y286" s="194" t="n"/>
      <c r="Z286" s="194" t="n"/>
    </row>
    <row r="287" ht="15.75" customHeight="1" s="195">
      <c r="A287" s="194" t="inlineStr">
        <is>
          <t>SANTO TOMAS</t>
        </is>
      </c>
      <c r="B287" s="194" t="inlineStr">
        <is>
          <t>OCTUBRE 2026</t>
        </is>
      </c>
      <c r="C287" s="377">
        <f>IFERROR(SUMPRODUCT((IF('OCTUBRE 2026'!Y6:Y110&lt;&gt;"",'OCTUBRE 2026'!Y6:Y110,'OCTUBRE 2026'!I6:I110)="SANTO TOMAS")*('OCTUBRE 2026'!K6:K110="PETROLEO")*'OCTUBRE 2026'!M6:M110),0)</f>
        <v/>
      </c>
      <c r="D287" s="377">
        <f>IFERROR(SUMPRODUCT((IF('OCTUBRE 2026'!Y6:Y110&lt;&gt;"",'OCTUBRE 2026'!Y6:Y110,'OCTUBRE 2026'!I6:I110)="SANTO TOMAS")*('OCTUBRE 2026'!K6:K110="PETROLEO")*'OCTUBRE 2026'!L6:L110*'OCTUBRE 2026'!M6:M110),0)</f>
        <v/>
      </c>
      <c r="E287" s="377">
        <f>IFERROR(SUMPRODUCT((IF('OCTUBRE 2026'!Y6:Y110&lt;&gt;"",'OCTUBRE 2026'!Y6:Y110,'OCTUBRE 2026'!I6:I110)="SANTO TOMAS")*('OCTUBRE 2026'!K6:K110="GASOLINA")*'OCTUBRE 2026'!M6:M110),0)</f>
        <v/>
      </c>
      <c r="F287" s="377">
        <f>IFERROR(SUMPRODUCT((IF('OCTUBRE 2026'!Y6:Y110&lt;&gt;"",'OCTUBRE 2026'!Y6:Y110,'OCTUBRE 2026'!I6:I110)="SANTO TOMAS")*('OCTUBRE 2026'!K6:K110="GASOLINA")*'OCTUBRE 2026'!L6:L110*'OCTUBRE 2026'!M6:M110),0)</f>
        <v/>
      </c>
      <c r="G287" s="194" t="n"/>
      <c r="H287" s="194" t="n"/>
      <c r="I287" s="194" t="n"/>
      <c r="J287" s="194" t="n"/>
      <c r="K287" s="194" t="n"/>
      <c r="L287" s="194" t="n"/>
      <c r="M287" s="194" t="n"/>
      <c r="N287" s="194" t="n"/>
      <c r="O287" s="194" t="n"/>
      <c r="P287" s="194" t="n"/>
      <c r="Q287" s="194" t="n"/>
      <c r="R287" s="194" t="n"/>
      <c r="S287" s="194" t="n"/>
      <c r="T287" s="194" t="n"/>
      <c r="U287" s="194" t="n"/>
      <c r="V287" s="194" t="n"/>
      <c r="W287" s="194" t="n"/>
      <c r="X287" s="194" t="n"/>
      <c r="Y287" s="194" t="n"/>
      <c r="Z287" s="194" t="n"/>
    </row>
    <row r="288" ht="15.75" customHeight="1" s="195">
      <c r="A288" s="194" t="inlineStr">
        <is>
          <t>SANTO TOMAS</t>
        </is>
      </c>
      <c r="B288" s="194" t="inlineStr">
        <is>
          <t>NOVIEMBRE 2026</t>
        </is>
      </c>
      <c r="C288" s="377">
        <f>IFERROR(SUMPRODUCT((IF('NOVIEMBRE 2026'!Y6:Y110&lt;&gt;"",'NOVIEMBRE 2026'!Y6:Y110,'NOVIEMBRE 2026'!I6:I110)="SANTO TOMAS")*('NOVIEMBRE 2026'!K6:K110="PETROLEO")*'NOVIEMBRE 2026'!M6:M110),0)</f>
        <v/>
      </c>
      <c r="D288" s="377">
        <f>IFERROR(SUMPRODUCT((IF('NOVIEMBRE 2026'!Y6:Y110&lt;&gt;"",'NOVIEMBRE 2026'!Y6:Y110,'NOVIEMBRE 2026'!I6:I110)="SANTO TOMAS")*('NOVIEMBRE 2026'!K6:K110="PETROLEO")*'NOVIEMBRE 2026'!L6:L110*'NOVIEMBRE 2026'!M6:M110),0)</f>
        <v/>
      </c>
      <c r="E288" s="377">
        <f>IFERROR(SUMPRODUCT((IF('NOVIEMBRE 2026'!Y6:Y110&lt;&gt;"",'NOVIEMBRE 2026'!Y6:Y110,'NOVIEMBRE 2026'!I6:I110)="SANTO TOMAS")*('NOVIEMBRE 2026'!K6:K110="GASOLINA")*'NOVIEMBRE 2026'!M6:M110),0)</f>
        <v/>
      </c>
      <c r="F288" s="377">
        <f>IFERROR(SUMPRODUCT((IF('NOVIEMBRE 2026'!Y6:Y110&lt;&gt;"",'NOVIEMBRE 2026'!Y6:Y110,'NOVIEMBRE 2026'!I6:I110)="SANTO TOMAS")*('NOVIEMBRE 2026'!K6:K110="GASOLINA")*'NOVIEMBRE 2026'!L6:L110*'NOVIEMBRE 2026'!M6:M110),0)</f>
        <v/>
      </c>
      <c r="G288" s="194" t="n"/>
      <c r="H288" s="194" t="n"/>
      <c r="I288" s="194" t="n"/>
      <c r="J288" s="194" t="n"/>
      <c r="K288" s="194" t="n"/>
      <c r="L288" s="194" t="n"/>
      <c r="M288" s="194" t="n"/>
      <c r="N288" s="194" t="n"/>
      <c r="O288" s="194" t="n"/>
      <c r="P288" s="194" t="n"/>
      <c r="Q288" s="194" t="n"/>
      <c r="R288" s="194" t="n"/>
      <c r="S288" s="194" t="n"/>
      <c r="T288" s="194" t="n"/>
      <c r="U288" s="194" t="n"/>
      <c r="V288" s="194" t="n"/>
      <c r="W288" s="194" t="n"/>
      <c r="X288" s="194" t="n"/>
      <c r="Y288" s="194" t="n"/>
      <c r="Z288" s="194" t="n"/>
    </row>
    <row r="289" ht="15.75" customHeight="1" s="195">
      <c r="A289" s="194" t="inlineStr">
        <is>
          <t>SANTO TOMAS</t>
        </is>
      </c>
      <c r="B289" s="194" t="inlineStr">
        <is>
          <t>DICIEMBRE 2026</t>
        </is>
      </c>
      <c r="C289" s="377">
        <f>IFERROR(SUMPRODUCT((IF('DICIEMBRE 2026'!Y6:Y110&lt;&gt;"",'DICIEMBRE 2026'!Y6:Y110,'DICIEMBRE 2026'!I6:I110)="SANTO TOMAS")*('DICIEMBRE 2026'!K6:K110="PETROLEO")*'DICIEMBRE 2026'!M6:M110),0)</f>
        <v/>
      </c>
      <c r="D289" s="377">
        <f>IFERROR(SUMPRODUCT((IF('DICIEMBRE 2026'!Y6:Y110&lt;&gt;"",'DICIEMBRE 2026'!Y6:Y110,'DICIEMBRE 2026'!I6:I110)="SANTO TOMAS")*('DICIEMBRE 2026'!K6:K110="PETROLEO")*'DICIEMBRE 2026'!L6:L110*'DICIEMBRE 2026'!M6:M110),0)</f>
        <v/>
      </c>
      <c r="E289" s="377">
        <f>IFERROR(SUMPRODUCT((IF('DICIEMBRE 2026'!Y6:Y110&lt;&gt;"",'DICIEMBRE 2026'!Y6:Y110,'DICIEMBRE 2026'!I6:I110)="SANTO TOMAS")*('DICIEMBRE 2026'!K6:K110="GASOLINA")*'DICIEMBRE 2026'!M6:M110),0)</f>
        <v/>
      </c>
      <c r="F289" s="377">
        <f>IFERROR(SUMPRODUCT((IF('DICIEMBRE 2026'!Y6:Y110&lt;&gt;"",'DICIEMBRE 2026'!Y6:Y110,'DICIEMBRE 2026'!I6:I110)="SANTO TOMAS")*('DICIEMBRE 2026'!K6:K110="GASOLINA")*'DICIEMBRE 2026'!L6:L110*'DICIEMBRE 2026'!M6:M110),0)</f>
        <v/>
      </c>
      <c r="G289" s="194" t="n"/>
      <c r="H289" s="194" t="n"/>
      <c r="I289" s="194" t="n"/>
      <c r="J289" s="194" t="n"/>
      <c r="K289" s="194" t="n"/>
      <c r="L289" s="194" t="n"/>
      <c r="M289" s="194" t="n"/>
      <c r="N289" s="194" t="n"/>
      <c r="O289" s="194" t="n"/>
      <c r="P289" s="194" t="n"/>
      <c r="Q289" s="194" t="n"/>
      <c r="R289" s="194" t="n"/>
      <c r="S289" s="194" t="n"/>
      <c r="T289" s="194" t="n"/>
      <c r="U289" s="194" t="n"/>
      <c r="V289" s="194" t="n"/>
      <c r="W289" s="194" t="n"/>
      <c r="X289" s="194" t="n"/>
      <c r="Y289" s="194" t="n"/>
      <c r="Z289" s="194" t="n"/>
    </row>
    <row r="290" ht="15.75" customHeight="1" s="195">
      <c r="A290" s="194" t="inlineStr">
        <is>
          <t>TINGO</t>
        </is>
      </c>
      <c r="B290" s="194" t="inlineStr">
        <is>
          <t>ENERO 2026</t>
        </is>
      </c>
      <c r="C290" s="377">
        <f>IFERROR(SUMPRODUCT((IF('ENERO 2026'!Y6:Y119&lt;&gt;"",'ENERO 2026'!Y6:Y119,'ENERO 2026'!I6:I119)="TINGO")*('ENERO 2026'!K6:K119="PETROLEO")*'ENERO 2026'!M6:M119),0)</f>
        <v/>
      </c>
      <c r="D290" s="377">
        <f>IFERROR(SUMPRODUCT((IF('ENERO 2026'!Y6:Y119&lt;&gt;"",'ENERO 2026'!Y6:Y119,'ENERO 2026'!I6:I119)="TINGO")*('ENERO 2026'!K6:K119="PETROLEO")*'ENERO 2026'!L6:L119*'ENERO 2026'!M6:M119),0)</f>
        <v/>
      </c>
      <c r="E290" s="377">
        <f>IFERROR(SUMPRODUCT((IF('ENERO 2026'!Y6:Y119&lt;&gt;"",'ENERO 2026'!Y6:Y119,'ENERO 2026'!I6:I119)="TINGO")*('ENERO 2026'!K6:K119="GASOLINA")*'ENERO 2026'!M6:M119),0)</f>
        <v/>
      </c>
      <c r="F290" s="377">
        <f>IFERROR(SUMPRODUCT((IF('ENERO 2026'!Y6:Y119&lt;&gt;"",'ENERO 2026'!Y6:Y119,'ENERO 2026'!I6:I119)="TINGO")*('ENERO 2026'!K6:K119="GASOLINA")*'ENERO 2026'!L6:L119*'ENERO 2026'!M6:M119),0)</f>
        <v/>
      </c>
      <c r="G290" s="194" t="n"/>
      <c r="H290" s="194" t="n"/>
      <c r="I290" s="194" t="n"/>
      <c r="J290" s="194" t="n"/>
      <c r="K290" s="194" t="n"/>
      <c r="L290" s="194" t="n"/>
      <c r="M290" s="194" t="n"/>
      <c r="N290" s="194" t="n"/>
      <c r="O290" s="194" t="n"/>
      <c r="P290" s="194" t="n"/>
      <c r="Q290" s="194" t="n"/>
      <c r="R290" s="194" t="n"/>
      <c r="S290" s="194" t="n"/>
      <c r="T290" s="194" t="n"/>
      <c r="U290" s="194" t="n"/>
      <c r="V290" s="194" t="n"/>
      <c r="W290" s="194" t="n"/>
      <c r="X290" s="194" t="n"/>
      <c r="Y290" s="194" t="n"/>
      <c r="Z290" s="194" t="n"/>
    </row>
    <row r="291" ht="15.75" customHeight="1" s="195">
      <c r="A291" s="194" t="inlineStr">
        <is>
          <t>TINGO</t>
        </is>
      </c>
      <c r="B291" s="194" t="inlineStr">
        <is>
          <t>FEBRERO 2026</t>
        </is>
      </c>
      <c r="C291" s="377">
        <f>IFERROR(SUMPRODUCT((IF('FEBRERO 2026'!Y6:Y124&lt;&gt;"",'FEBRERO 2026'!Y6:Y124,'FEBRERO 2026'!I6:I124)="TINGO")*('FEBRERO 2026'!K6:K124="PETROLEO")*'FEBRERO 2026'!M6:M124),0)</f>
        <v/>
      </c>
      <c r="D291" s="377">
        <f>IFERROR(SUMPRODUCT((IF('FEBRERO 2026'!Y6:Y124&lt;&gt;"",'FEBRERO 2026'!Y6:Y124,'FEBRERO 2026'!I6:I124)="TINGO")*('FEBRERO 2026'!K6:K124="PETROLEO")*'FEBRERO 2026'!L6:L124*'FEBRERO 2026'!M6:M124),0)</f>
        <v/>
      </c>
      <c r="E291" s="377">
        <f>IFERROR(SUMPRODUCT((IF('FEBRERO 2026'!Y6:Y124&lt;&gt;"",'FEBRERO 2026'!Y6:Y124,'FEBRERO 2026'!I6:I124)="TINGO")*('FEBRERO 2026'!K6:K124="GASOLINA")*'FEBRERO 2026'!M6:M124),0)</f>
        <v/>
      </c>
      <c r="F291" s="377">
        <f>IFERROR(SUMPRODUCT((IF('FEBRERO 2026'!Y6:Y124&lt;&gt;"",'FEBRERO 2026'!Y6:Y124,'FEBRERO 2026'!I6:I124)="TINGO")*('FEBRERO 2026'!K6:K124="GASOLINA")*'FEBRERO 2026'!L6:L124*'FEBRERO 2026'!M6:M124),0)</f>
        <v/>
      </c>
      <c r="G291" s="194" t="n"/>
      <c r="H291" s="194" t="n"/>
      <c r="I291" s="194" t="n"/>
      <c r="J291" s="194" t="n"/>
      <c r="K291" s="194" t="n"/>
      <c r="L291" s="194" t="n"/>
      <c r="M291" s="194" t="n"/>
      <c r="N291" s="194" t="n"/>
      <c r="O291" s="194" t="n"/>
      <c r="P291" s="194" t="n"/>
      <c r="Q291" s="194" t="n"/>
      <c r="R291" s="194" t="n"/>
      <c r="S291" s="194" t="n"/>
      <c r="T291" s="194" t="n"/>
      <c r="U291" s="194" t="n"/>
      <c r="V291" s="194" t="n"/>
      <c r="W291" s="194" t="n"/>
      <c r="X291" s="194" t="n"/>
      <c r="Y291" s="194" t="n"/>
      <c r="Z291" s="194" t="n"/>
    </row>
    <row r="292" ht="15.75" customHeight="1" s="195">
      <c r="A292" s="194" t="inlineStr">
        <is>
          <t>TINGO</t>
        </is>
      </c>
      <c r="B292" s="194" t="inlineStr">
        <is>
          <t>MARZO 2026</t>
        </is>
      </c>
      <c r="C292" s="377">
        <f>IFERROR(SUMPRODUCT((IF('MARZO 2026'!Y6:Y119&lt;&gt;"",'MARZO 2026'!Y6:Y119,'MARZO 2026'!I6:I119)="TINGO")*('MARZO 2026'!K6:K119="PETROLEO")*'MARZO 2026'!M6:M119),0)</f>
        <v/>
      </c>
      <c r="D292" s="377">
        <f>IFERROR(SUMPRODUCT((IF('MARZO 2026'!Y6:Y119&lt;&gt;"",'MARZO 2026'!Y6:Y119,'MARZO 2026'!I6:I119)="TINGO")*('MARZO 2026'!K6:K119="PETROLEO")*'MARZO 2026'!L6:L119*'MARZO 2026'!M6:M119),0)</f>
        <v/>
      </c>
      <c r="E292" s="377">
        <f>IFERROR(SUMPRODUCT((IF('MARZO 2026'!Y6:Y119&lt;&gt;"",'MARZO 2026'!Y6:Y119,'MARZO 2026'!I6:I119)="TINGO")*('MARZO 2026'!K6:K119="GASOLINA")*'MARZO 2026'!M6:M119),0)</f>
        <v/>
      </c>
      <c r="F292" s="377">
        <f>IFERROR(SUMPRODUCT((IF('MARZO 2026'!Y6:Y119&lt;&gt;"",'MARZO 2026'!Y6:Y119,'MARZO 2026'!I6:I119)="TINGO")*('MARZO 2026'!K6:K119="GASOLINA")*'MARZO 2026'!L6:L119*'MARZO 2026'!M6:M119),0)</f>
        <v/>
      </c>
      <c r="G292" s="194" t="n"/>
      <c r="H292" s="194" t="n"/>
      <c r="I292" s="194" t="n"/>
      <c r="J292" s="194" t="n"/>
      <c r="K292" s="194" t="n"/>
      <c r="L292" s="194" t="n"/>
      <c r="M292" s="194" t="n"/>
      <c r="N292" s="194" t="n"/>
      <c r="O292" s="194" t="n"/>
      <c r="P292" s="194" t="n"/>
      <c r="Q292" s="194" t="n"/>
      <c r="R292" s="194" t="n"/>
      <c r="S292" s="194" t="n"/>
      <c r="T292" s="194" t="n"/>
      <c r="U292" s="194" t="n"/>
      <c r="V292" s="194" t="n"/>
      <c r="W292" s="194" t="n"/>
      <c r="X292" s="194" t="n"/>
      <c r="Y292" s="194" t="n"/>
      <c r="Z292" s="194" t="n"/>
    </row>
    <row r="293" ht="15.75" customHeight="1" s="195">
      <c r="A293" s="194" t="inlineStr">
        <is>
          <t>TINGO</t>
        </is>
      </c>
      <c r="B293" s="194" t="inlineStr">
        <is>
          <t>ABRIL 2026</t>
        </is>
      </c>
      <c r="C293" s="377">
        <f>IFERROR(SUMPRODUCT((IF('ABRIL 2026'!Y6:Y119&lt;&gt;"",'ABRIL 2026'!Y6:Y119,'ABRIL 2026'!I6:I119)="TINGO")*('ABRIL 2026'!K6:K119="PETROLEO")*'ABRIL 2026'!M6:M119),0)</f>
        <v/>
      </c>
      <c r="D293" s="377">
        <f>IFERROR(SUMPRODUCT((IF('ABRIL 2026'!Y6:Y119&lt;&gt;"",'ABRIL 2026'!Y6:Y119,'ABRIL 2026'!I6:I119)="TINGO")*('ABRIL 2026'!K6:K119="PETROLEO")*'ABRIL 2026'!L6:L119*'ABRIL 2026'!M6:M119),0)</f>
        <v/>
      </c>
      <c r="E293" s="377">
        <f>IFERROR(SUMPRODUCT((IF('ABRIL 2026'!Y6:Y119&lt;&gt;"",'ABRIL 2026'!Y6:Y119,'ABRIL 2026'!I6:I119)="TINGO")*('ABRIL 2026'!K6:K119="GASOLINA")*'ABRIL 2026'!M6:M119),0)</f>
        <v/>
      </c>
      <c r="F293" s="377">
        <f>IFERROR(SUMPRODUCT((IF('ABRIL 2026'!Y6:Y119&lt;&gt;"",'ABRIL 2026'!Y6:Y119,'ABRIL 2026'!I6:I119)="TINGO")*('ABRIL 2026'!K6:K119="GASOLINA")*'ABRIL 2026'!L6:L119*'ABRIL 2026'!M6:M119),0)</f>
        <v/>
      </c>
      <c r="G293" s="194" t="n"/>
      <c r="H293" s="194" t="n"/>
      <c r="I293" s="194" t="n"/>
      <c r="J293" s="194" t="n"/>
      <c r="K293" s="194" t="n"/>
      <c r="L293" s="194" t="n"/>
      <c r="M293" s="194" t="n"/>
      <c r="N293" s="194" t="n"/>
      <c r="O293" s="194" t="n"/>
      <c r="P293" s="194" t="n"/>
      <c r="Q293" s="194" t="n"/>
      <c r="R293" s="194" t="n"/>
      <c r="S293" s="194" t="n"/>
      <c r="T293" s="194" t="n"/>
      <c r="U293" s="194" t="n"/>
      <c r="V293" s="194" t="n"/>
      <c r="W293" s="194" t="n"/>
      <c r="X293" s="194" t="n"/>
      <c r="Y293" s="194" t="n"/>
      <c r="Z293" s="194" t="n"/>
    </row>
    <row r="294" ht="15.75" customHeight="1" s="195">
      <c r="A294" s="194" t="inlineStr">
        <is>
          <t>TINGO</t>
        </is>
      </c>
      <c r="B294" s="194" t="inlineStr">
        <is>
          <t>MAYO 2026</t>
        </is>
      </c>
      <c r="C294" s="377">
        <f>IFERROR(SUMPRODUCT((IF('MAYO 2026'!Y6:Y110&lt;&gt;"",'MAYO 2026'!Y6:Y110,'MAYO 2026'!I6:I110)="TINGO")*('MAYO 2026'!K6:K110="PETROLEO")*'MAYO 2026'!M6:M110),0)</f>
        <v/>
      </c>
      <c r="D294" s="377">
        <f>IFERROR(SUMPRODUCT((IF('MAYO 2026'!Y6:Y110&lt;&gt;"",'MAYO 2026'!Y6:Y110,'MAYO 2026'!I6:I110)="TINGO")*('MAYO 2026'!K6:K110="PETROLEO")*'MAYO 2026'!L6:L110*'MAYO 2026'!M6:M110),0)</f>
        <v/>
      </c>
      <c r="E294" s="377">
        <f>IFERROR(SUMPRODUCT((IF('MAYO 2026'!Y6:Y110&lt;&gt;"",'MAYO 2026'!Y6:Y110,'MAYO 2026'!I6:I110)="TINGO")*('MAYO 2026'!K6:K110="GASOLINA")*'MAYO 2026'!M6:M110),0)</f>
        <v/>
      </c>
      <c r="F294" s="377">
        <f>IFERROR(SUMPRODUCT((IF('MAYO 2026'!Y6:Y110&lt;&gt;"",'MAYO 2026'!Y6:Y110,'MAYO 2026'!I6:I110)="TINGO")*('MAYO 2026'!K6:K110="GASOLINA")*'MAYO 2026'!L6:L110*'MAYO 2026'!M6:M110),0)</f>
        <v/>
      </c>
      <c r="G294" s="194" t="n"/>
      <c r="H294" s="194" t="n"/>
      <c r="I294" s="194" t="n"/>
      <c r="J294" s="194" t="n"/>
      <c r="K294" s="194" t="n"/>
      <c r="L294" s="194" t="n"/>
      <c r="M294" s="194" t="n"/>
      <c r="N294" s="194" t="n"/>
      <c r="O294" s="194" t="n"/>
      <c r="P294" s="194" t="n"/>
      <c r="Q294" s="194" t="n"/>
      <c r="R294" s="194" t="n"/>
      <c r="S294" s="194" t="n"/>
      <c r="T294" s="194" t="n"/>
      <c r="U294" s="194" t="n"/>
      <c r="V294" s="194" t="n"/>
      <c r="W294" s="194" t="n"/>
      <c r="X294" s="194" t="n"/>
      <c r="Y294" s="194" t="n"/>
      <c r="Z294" s="194" t="n"/>
    </row>
    <row r="295" ht="15.75" customHeight="1" s="195">
      <c r="A295" s="194" t="inlineStr">
        <is>
          <t>TINGO</t>
        </is>
      </c>
      <c r="B295" s="194" t="inlineStr">
        <is>
          <t>JUNIO 2026</t>
        </is>
      </c>
      <c r="C295" s="377">
        <f>IFERROR(SUMPRODUCT((IF('JUNIO 2026'!Y6:Y110&lt;&gt;"",'JUNIO 2026'!Y6:Y110,'JUNIO 2026'!I6:I110)="TINGO")*('JUNIO 2026'!K6:K110="PETROLEO")*'JUNIO 2026'!M6:M110),0)</f>
        <v/>
      </c>
      <c r="D295" s="377">
        <f>IFERROR(SUMPRODUCT((IF('JUNIO 2026'!Y6:Y110&lt;&gt;"",'JUNIO 2026'!Y6:Y110,'JUNIO 2026'!I6:I110)="TINGO")*('JUNIO 2026'!K6:K110="PETROLEO")*'JUNIO 2026'!L6:L110*'JUNIO 2026'!M6:M110),0)</f>
        <v/>
      </c>
      <c r="E295" s="377">
        <f>IFERROR(SUMPRODUCT((IF('JUNIO 2026'!Y6:Y110&lt;&gt;"",'JUNIO 2026'!Y6:Y110,'JUNIO 2026'!I6:I110)="TINGO")*('JUNIO 2026'!K6:K110="GASOLINA")*'JUNIO 2026'!M6:M110),0)</f>
        <v/>
      </c>
      <c r="F295" s="377">
        <f>IFERROR(SUMPRODUCT((IF('JUNIO 2026'!Y6:Y110&lt;&gt;"",'JUNIO 2026'!Y6:Y110,'JUNIO 2026'!I6:I110)="TINGO")*('JUNIO 2026'!K6:K110="GASOLINA")*'JUNIO 2026'!L6:L110*'JUNIO 2026'!M6:M110),0)</f>
        <v/>
      </c>
      <c r="G295" s="194" t="n"/>
      <c r="H295" s="194" t="n"/>
      <c r="I295" s="194" t="n"/>
      <c r="J295" s="194" t="n"/>
      <c r="K295" s="194" t="n"/>
      <c r="L295" s="194" t="n"/>
      <c r="M295" s="194" t="n"/>
      <c r="N295" s="194" t="n"/>
      <c r="O295" s="194" t="n"/>
      <c r="P295" s="194" t="n"/>
      <c r="Q295" s="194" t="n"/>
      <c r="R295" s="194" t="n"/>
      <c r="S295" s="194" t="n"/>
      <c r="T295" s="194" t="n"/>
      <c r="U295" s="194" t="n"/>
      <c r="V295" s="194" t="n"/>
      <c r="W295" s="194" t="n"/>
      <c r="X295" s="194" t="n"/>
      <c r="Y295" s="194" t="n"/>
      <c r="Z295" s="194" t="n"/>
    </row>
    <row r="296" ht="15.75" customHeight="1" s="195">
      <c r="A296" s="194" t="inlineStr">
        <is>
          <t>TINGO</t>
        </is>
      </c>
      <c r="B296" s="194" t="inlineStr">
        <is>
          <t>JULIO 2026</t>
        </is>
      </c>
      <c r="C296" s="377">
        <f>IFERROR(SUMPRODUCT((IF('JULIO 2026'!Y6:Y110&lt;&gt;"",'JULIO 2026'!Y6:Y110,'JULIO 2026'!I6:I110)="TINGO")*('JULIO 2026'!K6:K110="PETROLEO")*'JULIO 2026'!M6:M110),0)</f>
        <v/>
      </c>
      <c r="D296" s="377">
        <f>IFERROR(SUMPRODUCT((IF('JULIO 2026'!Y6:Y110&lt;&gt;"",'JULIO 2026'!Y6:Y110,'JULIO 2026'!I6:I110)="TINGO")*('JULIO 2026'!K6:K110="PETROLEO")*'JULIO 2026'!L6:L110*'JULIO 2026'!M6:M110),0)</f>
        <v/>
      </c>
      <c r="E296" s="377">
        <f>IFERROR(SUMPRODUCT((IF('JULIO 2026'!Y6:Y110&lt;&gt;"",'JULIO 2026'!Y6:Y110,'JULIO 2026'!I6:I110)="TINGO")*('JULIO 2026'!K6:K110="GASOLINA")*'JULIO 2026'!M6:M110),0)</f>
        <v/>
      </c>
      <c r="F296" s="377">
        <f>IFERROR(SUMPRODUCT((IF('JULIO 2026'!Y6:Y110&lt;&gt;"",'JULIO 2026'!Y6:Y110,'JULIO 2026'!I6:I110)="TINGO")*('JULIO 2026'!K6:K110="GASOLINA")*'JULIO 2026'!L6:L110*'JULIO 2026'!M6:M110),0)</f>
        <v/>
      </c>
      <c r="G296" s="194" t="n"/>
      <c r="H296" s="194" t="n"/>
      <c r="I296" s="194" t="n"/>
      <c r="J296" s="194" t="n"/>
      <c r="K296" s="194" t="n"/>
      <c r="L296" s="194" t="n"/>
      <c r="M296" s="194" t="n"/>
      <c r="N296" s="194" t="n"/>
      <c r="O296" s="194" t="n"/>
      <c r="P296" s="194" t="n"/>
      <c r="Q296" s="194" t="n"/>
      <c r="R296" s="194" t="n"/>
      <c r="S296" s="194" t="n"/>
      <c r="T296" s="194" t="n"/>
      <c r="U296" s="194" t="n"/>
      <c r="V296" s="194" t="n"/>
      <c r="W296" s="194" t="n"/>
      <c r="X296" s="194" t="n"/>
      <c r="Y296" s="194" t="n"/>
      <c r="Z296" s="194" t="n"/>
    </row>
    <row r="297" ht="15.75" customHeight="1" s="195">
      <c r="A297" s="194" t="inlineStr">
        <is>
          <t>TINGO</t>
        </is>
      </c>
      <c r="B297" s="194" t="inlineStr">
        <is>
          <t>AGOSTO 2026</t>
        </is>
      </c>
      <c r="C297" s="377">
        <f>IFERROR(SUMPRODUCT((IF('AGOSTO 2026'!Y6:Y110&lt;&gt;"",'AGOSTO 2026'!Y6:Y110,'AGOSTO 2026'!I6:I110)="TINGO")*('AGOSTO 2026'!K6:K110="PETROLEO")*'AGOSTO 2026'!M6:M110),0)</f>
        <v/>
      </c>
      <c r="D297" s="377">
        <f>IFERROR(SUMPRODUCT((IF('AGOSTO 2026'!Y6:Y110&lt;&gt;"",'AGOSTO 2026'!Y6:Y110,'AGOSTO 2026'!I6:I110)="TINGO")*('AGOSTO 2026'!K6:K110="PETROLEO")*'AGOSTO 2026'!L6:L110*'AGOSTO 2026'!M6:M110),0)</f>
        <v/>
      </c>
      <c r="E297" s="377">
        <f>IFERROR(SUMPRODUCT((IF('AGOSTO 2026'!Y6:Y110&lt;&gt;"",'AGOSTO 2026'!Y6:Y110,'AGOSTO 2026'!I6:I110)="TINGO")*('AGOSTO 2026'!K6:K110="GASOLINA")*'AGOSTO 2026'!M6:M110),0)</f>
        <v/>
      </c>
      <c r="F297" s="377">
        <f>IFERROR(SUMPRODUCT((IF('AGOSTO 2026'!Y6:Y110&lt;&gt;"",'AGOSTO 2026'!Y6:Y110,'AGOSTO 2026'!I6:I110)="TINGO")*('AGOSTO 2026'!K6:K110="GASOLINA")*'AGOSTO 2026'!L6:L110*'AGOSTO 2026'!M6:M110),0)</f>
        <v/>
      </c>
      <c r="G297" s="194" t="n"/>
      <c r="H297" s="194" t="n"/>
      <c r="I297" s="194" t="n"/>
      <c r="J297" s="194" t="n"/>
      <c r="K297" s="194" t="n"/>
      <c r="L297" s="194" t="n"/>
      <c r="M297" s="194" t="n"/>
      <c r="N297" s="194" t="n"/>
      <c r="O297" s="194" t="n"/>
      <c r="P297" s="194" t="n"/>
      <c r="Q297" s="194" t="n"/>
      <c r="R297" s="194" t="n"/>
      <c r="S297" s="194" t="n"/>
      <c r="T297" s="194" t="n"/>
      <c r="U297" s="194" t="n"/>
      <c r="V297" s="194" t="n"/>
      <c r="W297" s="194" t="n"/>
      <c r="X297" s="194" t="n"/>
      <c r="Y297" s="194" t="n"/>
      <c r="Z297" s="194" t="n"/>
    </row>
    <row r="298" ht="15.75" customHeight="1" s="195">
      <c r="A298" s="194" t="inlineStr">
        <is>
          <t>TINGO</t>
        </is>
      </c>
      <c r="B298" s="194" t="inlineStr">
        <is>
          <t>SETIEMBRE 2026</t>
        </is>
      </c>
      <c r="C298" s="377">
        <f>IFERROR(SUMPRODUCT((IF('SETIEMBRE 2026'!Y6:Y110&lt;&gt;"",'SETIEMBRE 2026'!Y6:Y110,'SETIEMBRE 2026'!I6:I110)="TINGO")*('SETIEMBRE 2026'!K6:K110="PETROLEO")*'SETIEMBRE 2026'!M6:M110),0)</f>
        <v/>
      </c>
      <c r="D298" s="377">
        <f>IFERROR(SUMPRODUCT((IF('SETIEMBRE 2026'!Y6:Y110&lt;&gt;"",'SETIEMBRE 2026'!Y6:Y110,'SETIEMBRE 2026'!I6:I110)="TINGO")*('SETIEMBRE 2026'!K6:K110="PETROLEO")*'SETIEMBRE 2026'!L6:L110*'SETIEMBRE 2026'!M6:M110),0)</f>
        <v/>
      </c>
      <c r="E298" s="377">
        <f>IFERROR(SUMPRODUCT((IF('SETIEMBRE 2026'!Y6:Y110&lt;&gt;"",'SETIEMBRE 2026'!Y6:Y110,'SETIEMBRE 2026'!I6:I110)="TINGO")*('SETIEMBRE 2026'!K6:K110="GASOLINA")*'SETIEMBRE 2026'!M6:M110),0)</f>
        <v/>
      </c>
      <c r="F298" s="377">
        <f>IFERROR(SUMPRODUCT((IF('SETIEMBRE 2026'!Y6:Y110&lt;&gt;"",'SETIEMBRE 2026'!Y6:Y110,'SETIEMBRE 2026'!I6:I110)="TINGO")*('SETIEMBRE 2026'!K6:K110="GASOLINA")*'SETIEMBRE 2026'!L6:L110*'SETIEMBRE 2026'!M6:M110),0)</f>
        <v/>
      </c>
      <c r="G298" s="194" t="n"/>
      <c r="H298" s="194" t="n"/>
      <c r="I298" s="194" t="n"/>
      <c r="J298" s="194" t="n"/>
      <c r="K298" s="194" t="n"/>
      <c r="L298" s="194" t="n"/>
      <c r="M298" s="194" t="n"/>
      <c r="N298" s="194" t="n"/>
      <c r="O298" s="194" t="n"/>
      <c r="P298" s="194" t="n"/>
      <c r="Q298" s="194" t="n"/>
      <c r="R298" s="194" t="n"/>
      <c r="S298" s="194" t="n"/>
      <c r="T298" s="194" t="n"/>
      <c r="U298" s="194" t="n"/>
      <c r="V298" s="194" t="n"/>
      <c r="W298" s="194" t="n"/>
      <c r="X298" s="194" t="n"/>
      <c r="Y298" s="194" t="n"/>
      <c r="Z298" s="194" t="n"/>
    </row>
    <row r="299" ht="15.75" customHeight="1" s="195">
      <c r="A299" s="194" t="inlineStr">
        <is>
          <t>TINGO</t>
        </is>
      </c>
      <c r="B299" s="194" t="inlineStr">
        <is>
          <t>OCTUBRE 2026</t>
        </is>
      </c>
      <c r="C299" s="377">
        <f>IFERROR(SUMPRODUCT((IF('OCTUBRE 2026'!Y6:Y110&lt;&gt;"",'OCTUBRE 2026'!Y6:Y110,'OCTUBRE 2026'!I6:I110)="TINGO")*('OCTUBRE 2026'!K6:K110="PETROLEO")*'OCTUBRE 2026'!M6:M110),0)</f>
        <v/>
      </c>
      <c r="D299" s="377">
        <f>IFERROR(SUMPRODUCT((IF('OCTUBRE 2026'!Y6:Y110&lt;&gt;"",'OCTUBRE 2026'!Y6:Y110,'OCTUBRE 2026'!I6:I110)="TINGO")*('OCTUBRE 2026'!K6:K110="PETROLEO")*'OCTUBRE 2026'!L6:L110*'OCTUBRE 2026'!M6:M110),0)</f>
        <v/>
      </c>
      <c r="E299" s="377">
        <f>IFERROR(SUMPRODUCT((IF('OCTUBRE 2026'!Y6:Y110&lt;&gt;"",'OCTUBRE 2026'!Y6:Y110,'OCTUBRE 2026'!I6:I110)="TINGO")*('OCTUBRE 2026'!K6:K110="GASOLINA")*'OCTUBRE 2026'!M6:M110),0)</f>
        <v/>
      </c>
      <c r="F299" s="377">
        <f>IFERROR(SUMPRODUCT((IF('OCTUBRE 2026'!Y6:Y110&lt;&gt;"",'OCTUBRE 2026'!Y6:Y110,'OCTUBRE 2026'!I6:I110)="TINGO")*('OCTUBRE 2026'!K6:K110="GASOLINA")*'OCTUBRE 2026'!L6:L110*'OCTUBRE 2026'!M6:M110),0)</f>
        <v/>
      </c>
      <c r="G299" s="194" t="n"/>
      <c r="H299" s="194" t="n"/>
      <c r="I299" s="194" t="n"/>
      <c r="J299" s="194" t="n"/>
      <c r="K299" s="194" t="n"/>
      <c r="L299" s="194" t="n"/>
      <c r="M299" s="194" t="n"/>
      <c r="N299" s="194" t="n"/>
      <c r="O299" s="194" t="n"/>
      <c r="P299" s="194" t="n"/>
      <c r="Q299" s="194" t="n"/>
      <c r="R299" s="194" t="n"/>
      <c r="S299" s="194" t="n"/>
      <c r="T299" s="194" t="n"/>
      <c r="U299" s="194" t="n"/>
      <c r="V299" s="194" t="n"/>
      <c r="W299" s="194" t="n"/>
      <c r="X299" s="194" t="n"/>
      <c r="Y299" s="194" t="n"/>
      <c r="Z299" s="194" t="n"/>
    </row>
    <row r="300" ht="15.75" customHeight="1" s="195">
      <c r="A300" s="194" t="inlineStr">
        <is>
          <t>TINGO</t>
        </is>
      </c>
      <c r="B300" s="194" t="inlineStr">
        <is>
          <t>NOVIEMBRE 2026</t>
        </is>
      </c>
      <c r="C300" s="377">
        <f>IFERROR(SUMPRODUCT((IF('NOVIEMBRE 2026'!Y6:Y110&lt;&gt;"",'NOVIEMBRE 2026'!Y6:Y110,'NOVIEMBRE 2026'!I6:I110)="TINGO")*('NOVIEMBRE 2026'!K6:K110="PETROLEO")*'NOVIEMBRE 2026'!M6:M110),0)</f>
        <v/>
      </c>
      <c r="D300" s="377">
        <f>IFERROR(SUMPRODUCT((IF('NOVIEMBRE 2026'!Y6:Y110&lt;&gt;"",'NOVIEMBRE 2026'!Y6:Y110,'NOVIEMBRE 2026'!I6:I110)="TINGO")*('NOVIEMBRE 2026'!K6:K110="PETROLEO")*'NOVIEMBRE 2026'!L6:L110*'NOVIEMBRE 2026'!M6:M110),0)</f>
        <v/>
      </c>
      <c r="E300" s="377">
        <f>IFERROR(SUMPRODUCT((IF('NOVIEMBRE 2026'!Y6:Y110&lt;&gt;"",'NOVIEMBRE 2026'!Y6:Y110,'NOVIEMBRE 2026'!I6:I110)="TINGO")*('NOVIEMBRE 2026'!K6:K110="GASOLINA")*'NOVIEMBRE 2026'!M6:M110),0)</f>
        <v/>
      </c>
      <c r="F300" s="377">
        <f>IFERROR(SUMPRODUCT((IF('NOVIEMBRE 2026'!Y6:Y110&lt;&gt;"",'NOVIEMBRE 2026'!Y6:Y110,'NOVIEMBRE 2026'!I6:I110)="TINGO")*('NOVIEMBRE 2026'!K6:K110="GASOLINA")*'NOVIEMBRE 2026'!L6:L110*'NOVIEMBRE 2026'!M6:M110),0)</f>
        <v/>
      </c>
      <c r="G300" s="194" t="n"/>
      <c r="H300" s="194" t="n"/>
      <c r="I300" s="194" t="n"/>
      <c r="J300" s="194" t="n"/>
      <c r="K300" s="194" t="n"/>
      <c r="L300" s="194" t="n"/>
      <c r="M300" s="194" t="n"/>
      <c r="N300" s="194" t="n"/>
      <c r="O300" s="194" t="n"/>
      <c r="P300" s="194" t="n"/>
      <c r="Q300" s="194" t="n"/>
      <c r="R300" s="194" t="n"/>
      <c r="S300" s="194" t="n"/>
      <c r="T300" s="194" t="n"/>
      <c r="U300" s="194" t="n"/>
      <c r="V300" s="194" t="n"/>
      <c r="W300" s="194" t="n"/>
      <c r="X300" s="194" t="n"/>
      <c r="Y300" s="194" t="n"/>
      <c r="Z300" s="194" t="n"/>
    </row>
    <row r="301" ht="15.75" customHeight="1" s="195">
      <c r="A301" s="194" t="inlineStr">
        <is>
          <t>TINGO</t>
        </is>
      </c>
      <c r="B301" s="194" t="inlineStr">
        <is>
          <t>DICIEMBRE 2026</t>
        </is>
      </c>
      <c r="C301" s="377">
        <f>IFERROR(SUMPRODUCT((IF('DICIEMBRE 2026'!Y6:Y110&lt;&gt;"",'DICIEMBRE 2026'!Y6:Y110,'DICIEMBRE 2026'!I6:I110)="TINGO")*('DICIEMBRE 2026'!K6:K110="PETROLEO")*'DICIEMBRE 2026'!M6:M110),0)</f>
        <v/>
      </c>
      <c r="D301" s="377">
        <f>IFERROR(SUMPRODUCT((IF('DICIEMBRE 2026'!Y6:Y110&lt;&gt;"",'DICIEMBRE 2026'!Y6:Y110,'DICIEMBRE 2026'!I6:I110)="TINGO")*('DICIEMBRE 2026'!K6:K110="PETROLEO")*'DICIEMBRE 2026'!L6:L110*'DICIEMBRE 2026'!M6:M110),0)</f>
        <v/>
      </c>
      <c r="E301" s="377">
        <f>IFERROR(SUMPRODUCT((IF('DICIEMBRE 2026'!Y6:Y110&lt;&gt;"",'DICIEMBRE 2026'!Y6:Y110,'DICIEMBRE 2026'!I6:I110)="TINGO")*('DICIEMBRE 2026'!K6:K110="GASOLINA")*'DICIEMBRE 2026'!M6:M110),0)</f>
        <v/>
      </c>
      <c r="F301" s="377">
        <f>IFERROR(SUMPRODUCT((IF('DICIEMBRE 2026'!Y6:Y110&lt;&gt;"",'DICIEMBRE 2026'!Y6:Y110,'DICIEMBRE 2026'!I6:I110)="TINGO")*('DICIEMBRE 2026'!K6:K110="GASOLINA")*'DICIEMBRE 2026'!L6:L110*'DICIEMBRE 2026'!M6:M110),0)</f>
        <v/>
      </c>
      <c r="G301" s="194" t="n"/>
      <c r="H301" s="194" t="n"/>
      <c r="I301" s="194" t="n"/>
      <c r="J301" s="194" t="n"/>
      <c r="K301" s="194" t="n"/>
      <c r="L301" s="194" t="n"/>
      <c r="M301" s="194" t="n"/>
      <c r="N301" s="194" t="n"/>
      <c r="O301" s="194" t="n"/>
      <c r="P301" s="194" t="n"/>
      <c r="Q301" s="194" t="n"/>
      <c r="R301" s="194" t="n"/>
      <c r="S301" s="194" t="n"/>
      <c r="T301" s="194" t="n"/>
      <c r="U301" s="194" t="n"/>
      <c r="V301" s="194" t="n"/>
      <c r="W301" s="194" t="n"/>
      <c r="X301" s="194" t="n"/>
      <c r="Y301" s="194" t="n"/>
      <c r="Z301" s="194" t="n"/>
    </row>
    <row r="302" ht="15.75" customHeight="1" s="195">
      <c r="A302" s="194" t="inlineStr">
        <is>
          <t>TOTORA</t>
        </is>
      </c>
      <c r="B302" s="194" t="inlineStr">
        <is>
          <t>ENERO 2026</t>
        </is>
      </c>
      <c r="C302" s="377">
        <f>IFERROR(SUMPRODUCT((IF('ENERO 2026'!Y6:Y119&lt;&gt;"",'ENERO 2026'!Y6:Y119,'ENERO 2026'!I6:I119)="TOTORA")*('ENERO 2026'!K6:K119="PETROLEO")*'ENERO 2026'!M6:M119),0)</f>
        <v/>
      </c>
      <c r="D302" s="377">
        <f>IFERROR(SUMPRODUCT((IF('ENERO 2026'!Y6:Y119&lt;&gt;"",'ENERO 2026'!Y6:Y119,'ENERO 2026'!I6:I119)="TOTORA")*('ENERO 2026'!K6:K119="PETROLEO")*'ENERO 2026'!L6:L119*'ENERO 2026'!M6:M119),0)</f>
        <v/>
      </c>
      <c r="E302" s="377">
        <f>IFERROR(SUMPRODUCT((IF('ENERO 2026'!Y6:Y119&lt;&gt;"",'ENERO 2026'!Y6:Y119,'ENERO 2026'!I6:I119)="TOTORA")*('ENERO 2026'!K6:K119="GASOLINA")*'ENERO 2026'!M6:M119),0)</f>
        <v/>
      </c>
      <c r="F302" s="377">
        <f>IFERROR(SUMPRODUCT((IF('ENERO 2026'!Y6:Y119&lt;&gt;"",'ENERO 2026'!Y6:Y119,'ENERO 2026'!I6:I119)="TOTORA")*('ENERO 2026'!K6:K119="GASOLINA")*'ENERO 2026'!L6:L119*'ENERO 2026'!M6:M119),0)</f>
        <v/>
      </c>
      <c r="G302" s="194" t="n"/>
      <c r="H302" s="194" t="n"/>
      <c r="I302" s="194" t="n"/>
      <c r="J302" s="194" t="n"/>
      <c r="K302" s="194" t="n"/>
      <c r="L302" s="194" t="n"/>
      <c r="M302" s="194" t="n"/>
      <c r="N302" s="194" t="n"/>
      <c r="O302" s="194" t="n"/>
      <c r="P302" s="194" t="n"/>
      <c r="Q302" s="194" t="n"/>
      <c r="R302" s="194" t="n"/>
      <c r="S302" s="194" t="n"/>
      <c r="T302" s="194" t="n"/>
      <c r="U302" s="194" t="n"/>
      <c r="V302" s="194" t="n"/>
      <c r="W302" s="194" t="n"/>
      <c r="X302" s="194" t="n"/>
      <c r="Y302" s="194" t="n"/>
      <c r="Z302" s="194" t="n"/>
    </row>
    <row r="303" ht="15.75" customHeight="1" s="195">
      <c r="A303" s="194" t="inlineStr">
        <is>
          <t>TOTORA</t>
        </is>
      </c>
      <c r="B303" s="194" t="inlineStr">
        <is>
          <t>FEBRERO 2026</t>
        </is>
      </c>
      <c r="C303" s="377">
        <f>IFERROR(SUMPRODUCT((IF('FEBRERO 2026'!Y6:Y124&lt;&gt;"",'FEBRERO 2026'!Y6:Y124,'FEBRERO 2026'!I6:I124)="TOTORA")*('FEBRERO 2026'!K6:K124="PETROLEO")*'FEBRERO 2026'!M6:M124),0)</f>
        <v/>
      </c>
      <c r="D303" s="377">
        <f>IFERROR(SUMPRODUCT((IF('FEBRERO 2026'!Y6:Y124&lt;&gt;"",'FEBRERO 2026'!Y6:Y124,'FEBRERO 2026'!I6:I124)="TOTORA")*('FEBRERO 2026'!K6:K124="PETROLEO")*'FEBRERO 2026'!L6:L124*'FEBRERO 2026'!M6:M124),0)</f>
        <v/>
      </c>
      <c r="E303" s="377">
        <f>IFERROR(SUMPRODUCT((IF('FEBRERO 2026'!Y6:Y124&lt;&gt;"",'FEBRERO 2026'!Y6:Y124,'FEBRERO 2026'!I6:I124)="TOTORA")*('FEBRERO 2026'!K6:K124="GASOLINA")*'FEBRERO 2026'!M6:M124),0)</f>
        <v/>
      </c>
      <c r="F303" s="377">
        <f>IFERROR(SUMPRODUCT((IF('FEBRERO 2026'!Y6:Y124&lt;&gt;"",'FEBRERO 2026'!Y6:Y124,'FEBRERO 2026'!I6:I124)="TOTORA")*('FEBRERO 2026'!K6:K124="GASOLINA")*'FEBRERO 2026'!L6:L124*'FEBRERO 2026'!M6:M124),0)</f>
        <v/>
      </c>
      <c r="G303" s="194" t="n"/>
      <c r="H303" s="194" t="n"/>
      <c r="I303" s="194" t="n"/>
      <c r="J303" s="194" t="n"/>
      <c r="K303" s="194" t="n"/>
      <c r="L303" s="194" t="n"/>
      <c r="M303" s="194" t="n"/>
      <c r="N303" s="194" t="n"/>
      <c r="O303" s="194" t="n"/>
      <c r="P303" s="194" t="n"/>
      <c r="Q303" s="194" t="n"/>
      <c r="R303" s="194" t="n"/>
      <c r="S303" s="194" t="n"/>
      <c r="T303" s="194" t="n"/>
      <c r="U303" s="194" t="n"/>
      <c r="V303" s="194" t="n"/>
      <c r="W303" s="194" t="n"/>
      <c r="X303" s="194" t="n"/>
      <c r="Y303" s="194" t="n"/>
      <c r="Z303" s="194" t="n"/>
    </row>
    <row r="304" ht="15.75" customHeight="1" s="195">
      <c r="A304" s="194" t="inlineStr">
        <is>
          <t>TOTORA</t>
        </is>
      </c>
      <c r="B304" s="194" t="inlineStr">
        <is>
          <t>MARZO 2026</t>
        </is>
      </c>
      <c r="C304" s="377">
        <f>IFERROR(SUMPRODUCT((IF('MARZO 2026'!Y6:Y119&lt;&gt;"",'MARZO 2026'!Y6:Y119,'MARZO 2026'!I6:I119)="TOTORA")*('MARZO 2026'!K6:K119="PETROLEO")*'MARZO 2026'!M6:M119),0)</f>
        <v/>
      </c>
      <c r="D304" s="377">
        <f>IFERROR(SUMPRODUCT((IF('MARZO 2026'!Y6:Y119&lt;&gt;"",'MARZO 2026'!Y6:Y119,'MARZO 2026'!I6:I119)="TOTORA")*('MARZO 2026'!K6:K119="PETROLEO")*'MARZO 2026'!L6:L119*'MARZO 2026'!M6:M119),0)</f>
        <v/>
      </c>
      <c r="E304" s="377">
        <f>IFERROR(SUMPRODUCT((IF('MARZO 2026'!Y6:Y119&lt;&gt;"",'MARZO 2026'!Y6:Y119,'MARZO 2026'!I6:I119)="TOTORA")*('MARZO 2026'!K6:K119="GASOLINA")*'MARZO 2026'!M6:M119),0)</f>
        <v/>
      </c>
      <c r="F304" s="377">
        <f>IFERROR(SUMPRODUCT((IF('MARZO 2026'!Y6:Y119&lt;&gt;"",'MARZO 2026'!Y6:Y119,'MARZO 2026'!I6:I119)="TOTORA")*('MARZO 2026'!K6:K119="GASOLINA")*'MARZO 2026'!L6:L119*'MARZO 2026'!M6:M119),0)</f>
        <v/>
      </c>
      <c r="G304" s="194" t="n"/>
      <c r="H304" s="194" t="n"/>
      <c r="I304" s="194" t="n"/>
      <c r="J304" s="194" t="n"/>
      <c r="K304" s="194" t="n"/>
      <c r="L304" s="194" t="n"/>
      <c r="M304" s="194" t="n"/>
      <c r="N304" s="194" t="n"/>
      <c r="O304" s="194" t="n"/>
      <c r="P304" s="194" t="n"/>
      <c r="Q304" s="194" t="n"/>
      <c r="R304" s="194" t="n"/>
      <c r="S304" s="194" t="n"/>
      <c r="T304" s="194" t="n"/>
      <c r="U304" s="194" t="n"/>
      <c r="V304" s="194" t="n"/>
      <c r="W304" s="194" t="n"/>
      <c r="X304" s="194" t="n"/>
      <c r="Y304" s="194" t="n"/>
      <c r="Z304" s="194" t="n"/>
    </row>
    <row r="305" ht="15.75" customHeight="1" s="195">
      <c r="A305" s="194" t="inlineStr">
        <is>
          <t>TOTORA</t>
        </is>
      </c>
      <c r="B305" s="194" t="inlineStr">
        <is>
          <t>ABRIL 2026</t>
        </is>
      </c>
      <c r="C305" s="377">
        <f>IFERROR(SUMPRODUCT((IF('ABRIL 2026'!Y6:Y119&lt;&gt;"",'ABRIL 2026'!Y6:Y119,'ABRIL 2026'!I6:I119)="TOTORA")*('ABRIL 2026'!K6:K119="PETROLEO")*'ABRIL 2026'!M6:M119),0)</f>
        <v/>
      </c>
      <c r="D305" s="377">
        <f>IFERROR(SUMPRODUCT((IF('ABRIL 2026'!Y6:Y119&lt;&gt;"",'ABRIL 2026'!Y6:Y119,'ABRIL 2026'!I6:I119)="TOTORA")*('ABRIL 2026'!K6:K119="PETROLEO")*'ABRIL 2026'!L6:L119*'ABRIL 2026'!M6:M119),0)</f>
        <v/>
      </c>
      <c r="E305" s="377">
        <f>IFERROR(SUMPRODUCT((IF('ABRIL 2026'!Y6:Y119&lt;&gt;"",'ABRIL 2026'!Y6:Y119,'ABRIL 2026'!I6:I119)="TOTORA")*('ABRIL 2026'!K6:K119="GASOLINA")*'ABRIL 2026'!M6:M119),0)</f>
        <v/>
      </c>
      <c r="F305" s="377">
        <f>IFERROR(SUMPRODUCT((IF('ABRIL 2026'!Y6:Y119&lt;&gt;"",'ABRIL 2026'!Y6:Y119,'ABRIL 2026'!I6:I119)="TOTORA")*('ABRIL 2026'!K6:K119="GASOLINA")*'ABRIL 2026'!L6:L119*'ABRIL 2026'!M6:M119),0)</f>
        <v/>
      </c>
      <c r="G305" s="194" t="n"/>
      <c r="H305" s="194" t="n"/>
      <c r="I305" s="194" t="n"/>
      <c r="J305" s="194" t="n"/>
      <c r="K305" s="194" t="n"/>
      <c r="L305" s="194" t="n"/>
      <c r="M305" s="194" t="n"/>
      <c r="N305" s="194" t="n"/>
      <c r="O305" s="194" t="n"/>
      <c r="P305" s="194" t="n"/>
      <c r="Q305" s="194" t="n"/>
      <c r="R305" s="194" t="n"/>
      <c r="S305" s="194" t="n"/>
      <c r="T305" s="194" t="n"/>
      <c r="U305" s="194" t="n"/>
      <c r="V305" s="194" t="n"/>
      <c r="W305" s="194" t="n"/>
      <c r="X305" s="194" t="n"/>
      <c r="Y305" s="194" t="n"/>
      <c r="Z305" s="194" t="n"/>
    </row>
    <row r="306" ht="15.75" customHeight="1" s="195">
      <c r="A306" s="194" t="inlineStr">
        <is>
          <t>TOTORA</t>
        </is>
      </c>
      <c r="B306" s="194" t="inlineStr">
        <is>
          <t>MAYO 2026</t>
        </is>
      </c>
      <c r="C306" s="377">
        <f>IFERROR(SUMPRODUCT((IF('MAYO 2026'!Y6:Y110&lt;&gt;"",'MAYO 2026'!Y6:Y110,'MAYO 2026'!I6:I110)="TOTORA")*('MAYO 2026'!K6:K110="PETROLEO")*'MAYO 2026'!M6:M110),0)</f>
        <v/>
      </c>
      <c r="D306" s="377">
        <f>IFERROR(SUMPRODUCT((IF('MAYO 2026'!Y6:Y110&lt;&gt;"",'MAYO 2026'!Y6:Y110,'MAYO 2026'!I6:I110)="TOTORA")*('MAYO 2026'!K6:K110="PETROLEO")*'MAYO 2026'!L6:L110*'MAYO 2026'!M6:M110),0)</f>
        <v/>
      </c>
      <c r="E306" s="377">
        <f>IFERROR(SUMPRODUCT((IF('MAYO 2026'!Y6:Y110&lt;&gt;"",'MAYO 2026'!Y6:Y110,'MAYO 2026'!I6:I110)="TOTORA")*('MAYO 2026'!K6:K110="GASOLINA")*'MAYO 2026'!M6:M110),0)</f>
        <v/>
      </c>
      <c r="F306" s="377">
        <f>IFERROR(SUMPRODUCT((IF('MAYO 2026'!Y6:Y110&lt;&gt;"",'MAYO 2026'!Y6:Y110,'MAYO 2026'!I6:I110)="TOTORA")*('MAYO 2026'!K6:K110="GASOLINA")*'MAYO 2026'!L6:L110*'MAYO 2026'!M6:M110),0)</f>
        <v/>
      </c>
      <c r="G306" s="194" t="n"/>
      <c r="H306" s="194" t="n"/>
      <c r="I306" s="194" t="n"/>
      <c r="J306" s="194" t="n"/>
      <c r="K306" s="194" t="n"/>
      <c r="L306" s="194" t="n"/>
      <c r="M306" s="194" t="n"/>
      <c r="N306" s="194" t="n"/>
      <c r="O306" s="194" t="n"/>
      <c r="P306" s="194" t="n"/>
      <c r="Q306" s="194" t="n"/>
      <c r="R306" s="194" t="n"/>
      <c r="S306" s="194" t="n"/>
      <c r="T306" s="194" t="n"/>
      <c r="U306" s="194" t="n"/>
      <c r="V306" s="194" t="n"/>
      <c r="W306" s="194" t="n"/>
      <c r="X306" s="194" t="n"/>
      <c r="Y306" s="194" t="n"/>
      <c r="Z306" s="194" t="n"/>
    </row>
    <row r="307" ht="15.75" customHeight="1" s="195">
      <c r="A307" s="194" t="inlineStr">
        <is>
          <t>TOTORA</t>
        </is>
      </c>
      <c r="B307" s="194" t="inlineStr">
        <is>
          <t>JUNIO 2026</t>
        </is>
      </c>
      <c r="C307" s="377">
        <f>IFERROR(SUMPRODUCT((IF('JUNIO 2026'!Y6:Y110&lt;&gt;"",'JUNIO 2026'!Y6:Y110,'JUNIO 2026'!I6:I110)="TOTORA")*('JUNIO 2026'!K6:K110="PETROLEO")*'JUNIO 2026'!M6:M110),0)</f>
        <v/>
      </c>
      <c r="D307" s="377">
        <f>IFERROR(SUMPRODUCT((IF('JUNIO 2026'!Y6:Y110&lt;&gt;"",'JUNIO 2026'!Y6:Y110,'JUNIO 2026'!I6:I110)="TOTORA")*('JUNIO 2026'!K6:K110="PETROLEO")*'JUNIO 2026'!L6:L110*'JUNIO 2026'!M6:M110),0)</f>
        <v/>
      </c>
      <c r="E307" s="377">
        <f>IFERROR(SUMPRODUCT((IF('JUNIO 2026'!Y6:Y110&lt;&gt;"",'JUNIO 2026'!Y6:Y110,'JUNIO 2026'!I6:I110)="TOTORA")*('JUNIO 2026'!K6:K110="GASOLINA")*'JUNIO 2026'!M6:M110),0)</f>
        <v/>
      </c>
      <c r="F307" s="377">
        <f>IFERROR(SUMPRODUCT((IF('JUNIO 2026'!Y6:Y110&lt;&gt;"",'JUNIO 2026'!Y6:Y110,'JUNIO 2026'!I6:I110)="TOTORA")*('JUNIO 2026'!K6:K110="GASOLINA")*'JUNIO 2026'!L6:L110*'JUNIO 2026'!M6:M110),0)</f>
        <v/>
      </c>
      <c r="G307" s="194" t="n"/>
      <c r="H307" s="194" t="n"/>
      <c r="I307" s="194" t="n"/>
      <c r="J307" s="194" t="n"/>
      <c r="K307" s="194" t="n"/>
      <c r="L307" s="194" t="n"/>
      <c r="M307" s="194" t="n"/>
      <c r="N307" s="194" t="n"/>
      <c r="O307" s="194" t="n"/>
      <c r="P307" s="194" t="n"/>
      <c r="Q307" s="194" t="n"/>
      <c r="R307" s="194" t="n"/>
      <c r="S307" s="194" t="n"/>
      <c r="T307" s="194" t="n"/>
      <c r="U307" s="194" t="n"/>
      <c r="V307" s="194" t="n"/>
      <c r="W307" s="194" t="n"/>
      <c r="X307" s="194" t="n"/>
      <c r="Y307" s="194" t="n"/>
      <c r="Z307" s="194" t="n"/>
    </row>
    <row r="308" ht="15.75" customHeight="1" s="195">
      <c r="A308" s="194" t="inlineStr">
        <is>
          <t>TOTORA</t>
        </is>
      </c>
      <c r="B308" s="194" t="inlineStr">
        <is>
          <t>JULIO 2026</t>
        </is>
      </c>
      <c r="C308" s="377">
        <f>IFERROR(SUMPRODUCT((IF('JULIO 2026'!Y6:Y110&lt;&gt;"",'JULIO 2026'!Y6:Y110,'JULIO 2026'!I6:I110)="TOTORA")*('JULIO 2026'!K6:K110="PETROLEO")*'JULIO 2026'!M6:M110),0)</f>
        <v/>
      </c>
      <c r="D308" s="377">
        <f>IFERROR(SUMPRODUCT((IF('JULIO 2026'!Y6:Y110&lt;&gt;"",'JULIO 2026'!Y6:Y110,'JULIO 2026'!I6:I110)="TOTORA")*('JULIO 2026'!K6:K110="PETROLEO")*'JULIO 2026'!L6:L110*'JULIO 2026'!M6:M110),0)</f>
        <v/>
      </c>
      <c r="E308" s="377">
        <f>IFERROR(SUMPRODUCT((IF('JULIO 2026'!Y6:Y110&lt;&gt;"",'JULIO 2026'!Y6:Y110,'JULIO 2026'!I6:I110)="TOTORA")*('JULIO 2026'!K6:K110="GASOLINA")*'JULIO 2026'!M6:M110),0)</f>
        <v/>
      </c>
      <c r="F308" s="377">
        <f>IFERROR(SUMPRODUCT((IF('JULIO 2026'!Y6:Y110&lt;&gt;"",'JULIO 2026'!Y6:Y110,'JULIO 2026'!I6:I110)="TOTORA")*('JULIO 2026'!K6:K110="GASOLINA")*'JULIO 2026'!L6:L110*'JULIO 2026'!M6:M110),0)</f>
        <v/>
      </c>
      <c r="G308" s="194" t="n"/>
      <c r="H308" s="194" t="n"/>
      <c r="I308" s="194" t="n"/>
      <c r="J308" s="194" t="n"/>
      <c r="K308" s="194" t="n"/>
      <c r="L308" s="194" t="n"/>
      <c r="M308" s="194" t="n"/>
      <c r="N308" s="194" t="n"/>
      <c r="O308" s="194" t="n"/>
      <c r="P308" s="194" t="n"/>
      <c r="Q308" s="194" t="n"/>
      <c r="R308" s="194" t="n"/>
      <c r="S308" s="194" t="n"/>
      <c r="T308" s="194" t="n"/>
      <c r="U308" s="194" t="n"/>
      <c r="V308" s="194" t="n"/>
      <c r="W308" s="194" t="n"/>
      <c r="X308" s="194" t="n"/>
      <c r="Y308" s="194" t="n"/>
      <c r="Z308" s="194" t="n"/>
    </row>
    <row r="309" ht="15.75" customHeight="1" s="195">
      <c r="A309" s="194" t="inlineStr">
        <is>
          <t>TOTORA</t>
        </is>
      </c>
      <c r="B309" s="194" t="inlineStr">
        <is>
          <t>AGOSTO 2026</t>
        </is>
      </c>
      <c r="C309" s="377">
        <f>IFERROR(SUMPRODUCT((IF('AGOSTO 2026'!Y6:Y110&lt;&gt;"",'AGOSTO 2026'!Y6:Y110,'AGOSTO 2026'!I6:I110)="TOTORA")*('AGOSTO 2026'!K6:K110="PETROLEO")*'AGOSTO 2026'!M6:M110),0)</f>
        <v/>
      </c>
      <c r="D309" s="377">
        <f>IFERROR(SUMPRODUCT((IF('AGOSTO 2026'!Y6:Y110&lt;&gt;"",'AGOSTO 2026'!Y6:Y110,'AGOSTO 2026'!I6:I110)="TOTORA")*('AGOSTO 2026'!K6:K110="PETROLEO")*'AGOSTO 2026'!L6:L110*'AGOSTO 2026'!M6:M110),0)</f>
        <v/>
      </c>
      <c r="E309" s="377">
        <f>IFERROR(SUMPRODUCT((IF('AGOSTO 2026'!Y6:Y110&lt;&gt;"",'AGOSTO 2026'!Y6:Y110,'AGOSTO 2026'!I6:I110)="TOTORA")*('AGOSTO 2026'!K6:K110="GASOLINA")*'AGOSTO 2026'!M6:M110),0)</f>
        <v/>
      </c>
      <c r="F309" s="377">
        <f>IFERROR(SUMPRODUCT((IF('AGOSTO 2026'!Y6:Y110&lt;&gt;"",'AGOSTO 2026'!Y6:Y110,'AGOSTO 2026'!I6:I110)="TOTORA")*('AGOSTO 2026'!K6:K110="GASOLINA")*'AGOSTO 2026'!L6:L110*'AGOSTO 2026'!M6:M110),0)</f>
        <v/>
      </c>
      <c r="G309" s="194" t="n"/>
      <c r="H309" s="194" t="n"/>
      <c r="I309" s="194" t="n"/>
      <c r="J309" s="194" t="n"/>
      <c r="K309" s="194" t="n"/>
      <c r="L309" s="194" t="n"/>
      <c r="M309" s="194" t="n"/>
      <c r="N309" s="194" t="n"/>
      <c r="O309" s="194" t="n"/>
      <c r="P309" s="194" t="n"/>
      <c r="Q309" s="194" t="n"/>
      <c r="R309" s="194" t="n"/>
      <c r="S309" s="194" t="n"/>
      <c r="T309" s="194" t="n"/>
      <c r="U309" s="194" t="n"/>
      <c r="V309" s="194" t="n"/>
      <c r="W309" s="194" t="n"/>
      <c r="X309" s="194" t="n"/>
      <c r="Y309" s="194" t="n"/>
      <c r="Z309" s="194" t="n"/>
    </row>
    <row r="310" ht="15.75" customHeight="1" s="195">
      <c r="A310" s="194" t="inlineStr">
        <is>
          <t>TOTORA</t>
        </is>
      </c>
      <c r="B310" s="194" t="inlineStr">
        <is>
          <t>SETIEMBRE 2026</t>
        </is>
      </c>
      <c r="C310" s="377">
        <f>IFERROR(SUMPRODUCT((IF('SETIEMBRE 2026'!Y6:Y110&lt;&gt;"",'SETIEMBRE 2026'!Y6:Y110,'SETIEMBRE 2026'!I6:I110)="TOTORA")*('SETIEMBRE 2026'!K6:K110="PETROLEO")*'SETIEMBRE 2026'!M6:M110),0)</f>
        <v/>
      </c>
      <c r="D310" s="377">
        <f>IFERROR(SUMPRODUCT((IF('SETIEMBRE 2026'!Y6:Y110&lt;&gt;"",'SETIEMBRE 2026'!Y6:Y110,'SETIEMBRE 2026'!I6:I110)="TOTORA")*('SETIEMBRE 2026'!K6:K110="PETROLEO")*'SETIEMBRE 2026'!L6:L110*'SETIEMBRE 2026'!M6:M110),0)</f>
        <v/>
      </c>
      <c r="E310" s="377">
        <f>IFERROR(SUMPRODUCT((IF('SETIEMBRE 2026'!Y6:Y110&lt;&gt;"",'SETIEMBRE 2026'!Y6:Y110,'SETIEMBRE 2026'!I6:I110)="TOTORA")*('SETIEMBRE 2026'!K6:K110="GASOLINA")*'SETIEMBRE 2026'!M6:M110),0)</f>
        <v/>
      </c>
      <c r="F310" s="377">
        <f>IFERROR(SUMPRODUCT((IF('SETIEMBRE 2026'!Y6:Y110&lt;&gt;"",'SETIEMBRE 2026'!Y6:Y110,'SETIEMBRE 2026'!I6:I110)="TOTORA")*('SETIEMBRE 2026'!K6:K110="GASOLINA")*'SETIEMBRE 2026'!L6:L110*'SETIEMBRE 2026'!M6:M110),0)</f>
        <v/>
      </c>
      <c r="G310" s="194" t="n"/>
      <c r="H310" s="194" t="n"/>
      <c r="I310" s="194" t="n"/>
      <c r="J310" s="194" t="n"/>
      <c r="K310" s="194" t="n"/>
      <c r="L310" s="194" t="n"/>
      <c r="M310" s="194" t="n"/>
      <c r="N310" s="194" t="n"/>
      <c r="O310" s="194" t="n"/>
      <c r="P310" s="194" t="n"/>
      <c r="Q310" s="194" t="n"/>
      <c r="R310" s="194" t="n"/>
      <c r="S310" s="194" t="n"/>
      <c r="T310" s="194" t="n"/>
      <c r="U310" s="194" t="n"/>
      <c r="V310" s="194" t="n"/>
      <c r="W310" s="194" t="n"/>
      <c r="X310" s="194" t="n"/>
      <c r="Y310" s="194" t="n"/>
      <c r="Z310" s="194" t="n"/>
    </row>
    <row r="311" ht="15.75" customHeight="1" s="195">
      <c r="A311" s="194" t="inlineStr">
        <is>
          <t>TOTORA</t>
        </is>
      </c>
      <c r="B311" s="194" t="inlineStr">
        <is>
          <t>OCTUBRE 2026</t>
        </is>
      </c>
      <c r="C311" s="377">
        <f>IFERROR(SUMPRODUCT((IF('OCTUBRE 2026'!Y6:Y110&lt;&gt;"",'OCTUBRE 2026'!Y6:Y110,'OCTUBRE 2026'!I6:I110)="TOTORA")*('OCTUBRE 2026'!K6:K110="PETROLEO")*'OCTUBRE 2026'!M6:M110),0)</f>
        <v/>
      </c>
      <c r="D311" s="377">
        <f>IFERROR(SUMPRODUCT((IF('OCTUBRE 2026'!Y6:Y110&lt;&gt;"",'OCTUBRE 2026'!Y6:Y110,'OCTUBRE 2026'!I6:I110)="TOTORA")*('OCTUBRE 2026'!K6:K110="PETROLEO")*'OCTUBRE 2026'!L6:L110*'OCTUBRE 2026'!M6:M110),0)</f>
        <v/>
      </c>
      <c r="E311" s="377">
        <f>IFERROR(SUMPRODUCT((IF('OCTUBRE 2026'!Y6:Y110&lt;&gt;"",'OCTUBRE 2026'!Y6:Y110,'OCTUBRE 2026'!I6:I110)="TOTORA")*('OCTUBRE 2026'!K6:K110="GASOLINA")*'OCTUBRE 2026'!M6:M110),0)</f>
        <v/>
      </c>
      <c r="F311" s="377">
        <f>IFERROR(SUMPRODUCT((IF('OCTUBRE 2026'!Y6:Y110&lt;&gt;"",'OCTUBRE 2026'!Y6:Y110,'OCTUBRE 2026'!I6:I110)="TOTORA")*('OCTUBRE 2026'!K6:K110="GASOLINA")*'OCTUBRE 2026'!L6:L110*'OCTUBRE 2026'!M6:M110),0)</f>
        <v/>
      </c>
      <c r="G311" s="194" t="n"/>
      <c r="H311" s="194" t="n"/>
      <c r="I311" s="194" t="n"/>
      <c r="J311" s="194" t="n"/>
      <c r="K311" s="194" t="n"/>
      <c r="L311" s="194" t="n"/>
      <c r="M311" s="194" t="n"/>
      <c r="N311" s="194" t="n"/>
      <c r="O311" s="194" t="n"/>
      <c r="P311" s="194" t="n"/>
      <c r="Q311" s="194" t="n"/>
      <c r="R311" s="194" t="n"/>
      <c r="S311" s="194" t="n"/>
      <c r="T311" s="194" t="n"/>
      <c r="U311" s="194" t="n"/>
      <c r="V311" s="194" t="n"/>
      <c r="W311" s="194" t="n"/>
      <c r="X311" s="194" t="n"/>
      <c r="Y311" s="194" t="n"/>
      <c r="Z311" s="194" t="n"/>
    </row>
    <row r="312" ht="15.75" customHeight="1" s="195">
      <c r="A312" s="194" t="inlineStr">
        <is>
          <t>TOTORA</t>
        </is>
      </c>
      <c r="B312" s="194" t="inlineStr">
        <is>
          <t>NOVIEMBRE 2026</t>
        </is>
      </c>
      <c r="C312" s="377">
        <f>IFERROR(SUMPRODUCT((IF('NOVIEMBRE 2026'!Y6:Y110&lt;&gt;"",'NOVIEMBRE 2026'!Y6:Y110,'NOVIEMBRE 2026'!I6:I110)="TOTORA")*('NOVIEMBRE 2026'!K6:K110="PETROLEO")*'NOVIEMBRE 2026'!M6:M110),0)</f>
        <v/>
      </c>
      <c r="D312" s="377">
        <f>IFERROR(SUMPRODUCT((IF('NOVIEMBRE 2026'!Y6:Y110&lt;&gt;"",'NOVIEMBRE 2026'!Y6:Y110,'NOVIEMBRE 2026'!I6:I110)="TOTORA")*('NOVIEMBRE 2026'!K6:K110="PETROLEO")*'NOVIEMBRE 2026'!L6:L110*'NOVIEMBRE 2026'!M6:M110),0)</f>
        <v/>
      </c>
      <c r="E312" s="377">
        <f>IFERROR(SUMPRODUCT((IF('NOVIEMBRE 2026'!Y6:Y110&lt;&gt;"",'NOVIEMBRE 2026'!Y6:Y110,'NOVIEMBRE 2026'!I6:I110)="TOTORA")*('NOVIEMBRE 2026'!K6:K110="GASOLINA")*'NOVIEMBRE 2026'!M6:M110),0)</f>
        <v/>
      </c>
      <c r="F312" s="377">
        <f>IFERROR(SUMPRODUCT((IF('NOVIEMBRE 2026'!Y6:Y110&lt;&gt;"",'NOVIEMBRE 2026'!Y6:Y110,'NOVIEMBRE 2026'!I6:I110)="TOTORA")*('NOVIEMBRE 2026'!K6:K110="GASOLINA")*'NOVIEMBRE 2026'!L6:L110*'NOVIEMBRE 2026'!M6:M110),0)</f>
        <v/>
      </c>
      <c r="G312" s="194" t="n"/>
      <c r="H312" s="194" t="n"/>
      <c r="I312" s="194" t="n"/>
      <c r="J312" s="194" t="n"/>
      <c r="K312" s="194" t="n"/>
      <c r="L312" s="194" t="n"/>
      <c r="M312" s="194" t="n"/>
      <c r="N312" s="194" t="n"/>
      <c r="O312" s="194" t="n"/>
      <c r="P312" s="194" t="n"/>
      <c r="Q312" s="194" t="n"/>
      <c r="R312" s="194" t="n"/>
      <c r="S312" s="194" t="n"/>
      <c r="T312" s="194" t="n"/>
      <c r="U312" s="194" t="n"/>
      <c r="V312" s="194" t="n"/>
      <c r="W312" s="194" t="n"/>
      <c r="X312" s="194" t="n"/>
      <c r="Y312" s="194" t="n"/>
      <c r="Z312" s="194" t="n"/>
    </row>
    <row r="313" ht="15.75" customHeight="1" s="195">
      <c r="A313" s="194" t="inlineStr">
        <is>
          <t>TOTORA</t>
        </is>
      </c>
      <c r="B313" s="194" t="inlineStr">
        <is>
          <t>DICIEMBRE 2026</t>
        </is>
      </c>
      <c r="C313" s="377">
        <f>IFERROR(SUMPRODUCT((IF('DICIEMBRE 2026'!Y6:Y110&lt;&gt;"",'DICIEMBRE 2026'!Y6:Y110,'DICIEMBRE 2026'!I6:I110)="TOTORA")*('DICIEMBRE 2026'!K6:K110="PETROLEO")*'DICIEMBRE 2026'!M6:M110),0)</f>
        <v/>
      </c>
      <c r="D313" s="377">
        <f>IFERROR(SUMPRODUCT((IF('DICIEMBRE 2026'!Y6:Y110&lt;&gt;"",'DICIEMBRE 2026'!Y6:Y110,'DICIEMBRE 2026'!I6:I110)="TOTORA")*('DICIEMBRE 2026'!K6:K110="PETROLEO")*'DICIEMBRE 2026'!L6:L110*'DICIEMBRE 2026'!M6:M110),0)</f>
        <v/>
      </c>
      <c r="E313" s="377">
        <f>IFERROR(SUMPRODUCT((IF('DICIEMBRE 2026'!Y6:Y110&lt;&gt;"",'DICIEMBRE 2026'!Y6:Y110,'DICIEMBRE 2026'!I6:I110)="TOTORA")*('DICIEMBRE 2026'!K6:K110="GASOLINA")*'DICIEMBRE 2026'!M6:M110),0)</f>
        <v/>
      </c>
      <c r="F313" s="377">
        <f>IFERROR(SUMPRODUCT((IF('DICIEMBRE 2026'!Y6:Y110&lt;&gt;"",'DICIEMBRE 2026'!Y6:Y110,'DICIEMBRE 2026'!I6:I110)="TOTORA")*('DICIEMBRE 2026'!K6:K110="GASOLINA")*'DICIEMBRE 2026'!L6:L110*'DICIEMBRE 2026'!M6:M110),0)</f>
        <v/>
      </c>
      <c r="G313" s="194" t="n"/>
      <c r="H313" s="194" t="n"/>
      <c r="I313" s="194" t="n"/>
      <c r="J313" s="194" t="n"/>
      <c r="K313" s="194" t="n"/>
      <c r="L313" s="194" t="n"/>
      <c r="M313" s="194" t="n"/>
      <c r="N313" s="194" t="n"/>
      <c r="O313" s="194" t="n"/>
      <c r="P313" s="194" t="n"/>
      <c r="Q313" s="194" t="n"/>
      <c r="R313" s="194" t="n"/>
      <c r="S313" s="194" t="n"/>
      <c r="T313" s="194" t="n"/>
      <c r="U313" s="194" t="n"/>
      <c r="V313" s="194" t="n"/>
      <c r="W313" s="194" t="n"/>
      <c r="X313" s="194" t="n"/>
      <c r="Y313" s="194" t="n"/>
      <c r="Z313" s="194" t="n"/>
    </row>
    <row r="314" ht="15.75" customHeight="1" s="195">
      <c r="A314" s="194" t="inlineStr">
        <is>
          <t>YAMBRASBAMBA</t>
        </is>
      </c>
      <c r="B314" s="194" t="inlineStr">
        <is>
          <t>ENERO 2026</t>
        </is>
      </c>
      <c r="C314" s="377">
        <f>IFERROR(SUMPRODUCT((IF('ENERO 2026'!Y6:Y119&lt;&gt;"",'ENERO 2026'!Y6:Y119,'ENERO 2026'!I6:I119)="YAMBRASBAMBA")*('ENERO 2026'!K6:K119="PETROLEO")*'ENERO 2026'!M6:M119),0)</f>
        <v/>
      </c>
      <c r="D314" s="377">
        <f>IFERROR(SUMPRODUCT((IF('ENERO 2026'!Y6:Y119&lt;&gt;"",'ENERO 2026'!Y6:Y119,'ENERO 2026'!I6:I119)="YAMBRASBAMBA")*('ENERO 2026'!K6:K119="PETROLEO")*'ENERO 2026'!L6:L119*'ENERO 2026'!M6:M119),0)</f>
        <v/>
      </c>
      <c r="E314" s="377">
        <f>IFERROR(SUMPRODUCT((IF('ENERO 2026'!Y6:Y119&lt;&gt;"",'ENERO 2026'!Y6:Y119,'ENERO 2026'!I6:I119)="YAMBRASBAMBA")*('ENERO 2026'!K6:K119="GASOLINA")*'ENERO 2026'!M6:M119),0)</f>
        <v/>
      </c>
      <c r="F314" s="377">
        <f>IFERROR(SUMPRODUCT((IF('ENERO 2026'!Y6:Y119&lt;&gt;"",'ENERO 2026'!Y6:Y119,'ENERO 2026'!I6:I119)="YAMBRASBAMBA")*('ENERO 2026'!K6:K119="GASOLINA")*'ENERO 2026'!L6:L119*'ENERO 2026'!M6:M119),0)</f>
        <v/>
      </c>
      <c r="G314" s="194" t="n"/>
      <c r="H314" s="194" t="n"/>
      <c r="I314" s="194" t="n"/>
      <c r="J314" s="194" t="n"/>
      <c r="K314" s="194" t="n"/>
      <c r="L314" s="194" t="n"/>
      <c r="M314" s="194" t="n"/>
      <c r="N314" s="194" t="n"/>
      <c r="O314" s="194" t="n"/>
      <c r="P314" s="194" t="n"/>
      <c r="Q314" s="194" t="n"/>
      <c r="R314" s="194" t="n"/>
      <c r="S314" s="194" t="n"/>
      <c r="T314" s="194" t="n"/>
      <c r="U314" s="194" t="n"/>
      <c r="V314" s="194" t="n"/>
      <c r="W314" s="194" t="n"/>
      <c r="X314" s="194" t="n"/>
      <c r="Y314" s="194" t="n"/>
      <c r="Z314" s="194" t="n"/>
    </row>
    <row r="315" ht="15.75" customHeight="1" s="195">
      <c r="A315" s="194" t="inlineStr">
        <is>
          <t>YAMBRASBAMBA</t>
        </is>
      </c>
      <c r="B315" s="194" t="inlineStr">
        <is>
          <t>FEBRERO 2026</t>
        </is>
      </c>
      <c r="C315" s="377">
        <f>IFERROR(SUMPRODUCT((IF('FEBRERO 2026'!Y6:Y124&lt;&gt;"",'FEBRERO 2026'!Y6:Y124,'FEBRERO 2026'!I6:I124)="YAMBRASBAMBA")*('FEBRERO 2026'!K6:K124="PETROLEO")*'FEBRERO 2026'!M6:M124),0)</f>
        <v/>
      </c>
      <c r="D315" s="377">
        <f>IFERROR(SUMPRODUCT((IF('FEBRERO 2026'!Y6:Y124&lt;&gt;"",'FEBRERO 2026'!Y6:Y124,'FEBRERO 2026'!I6:I124)="YAMBRASBAMBA")*('FEBRERO 2026'!K6:K124="PETROLEO")*'FEBRERO 2026'!L6:L124*'FEBRERO 2026'!M6:M124),0)</f>
        <v/>
      </c>
      <c r="E315" s="377">
        <f>IFERROR(SUMPRODUCT((IF('FEBRERO 2026'!Y6:Y124&lt;&gt;"",'FEBRERO 2026'!Y6:Y124,'FEBRERO 2026'!I6:I124)="YAMBRASBAMBA")*('FEBRERO 2026'!K6:K124="GASOLINA")*'FEBRERO 2026'!M6:M124),0)</f>
        <v/>
      </c>
      <c r="F315" s="377">
        <f>IFERROR(SUMPRODUCT((IF('FEBRERO 2026'!Y6:Y124&lt;&gt;"",'FEBRERO 2026'!Y6:Y124,'FEBRERO 2026'!I6:I124)="YAMBRASBAMBA")*('FEBRERO 2026'!K6:K124="GASOLINA")*'FEBRERO 2026'!L6:L124*'FEBRERO 2026'!M6:M124),0)</f>
        <v/>
      </c>
      <c r="G315" s="194" t="n"/>
      <c r="H315" s="194" t="n"/>
      <c r="I315" s="194" t="n"/>
      <c r="J315" s="194" t="n"/>
      <c r="K315" s="194" t="n"/>
      <c r="L315" s="194" t="n"/>
      <c r="M315" s="194" t="n"/>
      <c r="N315" s="194" t="n"/>
      <c r="O315" s="194" t="n"/>
      <c r="P315" s="194" t="n"/>
      <c r="Q315" s="194" t="n"/>
      <c r="R315" s="194" t="n"/>
      <c r="S315" s="194" t="n"/>
      <c r="T315" s="194" t="n"/>
      <c r="U315" s="194" t="n"/>
      <c r="V315" s="194" t="n"/>
      <c r="W315" s="194" t="n"/>
      <c r="X315" s="194" t="n"/>
      <c r="Y315" s="194" t="n"/>
      <c r="Z315" s="194" t="n"/>
    </row>
    <row r="316" ht="15.75" customHeight="1" s="195">
      <c r="A316" s="194" t="inlineStr">
        <is>
          <t>YAMBRASBAMBA</t>
        </is>
      </c>
      <c r="B316" s="194" t="inlineStr">
        <is>
          <t>MARZO 2026</t>
        </is>
      </c>
      <c r="C316" s="377">
        <f>IFERROR(SUMPRODUCT((IF('MARZO 2026'!Y6:Y119&lt;&gt;"",'MARZO 2026'!Y6:Y119,'MARZO 2026'!I6:I119)="YAMBRASBAMBA")*('MARZO 2026'!K6:K119="PETROLEO")*'MARZO 2026'!M6:M119),0)</f>
        <v/>
      </c>
      <c r="D316" s="377">
        <f>IFERROR(SUMPRODUCT((IF('MARZO 2026'!Y6:Y119&lt;&gt;"",'MARZO 2026'!Y6:Y119,'MARZO 2026'!I6:I119)="YAMBRASBAMBA")*('MARZO 2026'!K6:K119="PETROLEO")*'MARZO 2026'!L6:L119*'MARZO 2026'!M6:M119),0)</f>
        <v/>
      </c>
      <c r="E316" s="377">
        <f>IFERROR(SUMPRODUCT((IF('MARZO 2026'!Y6:Y119&lt;&gt;"",'MARZO 2026'!Y6:Y119,'MARZO 2026'!I6:I119)="YAMBRASBAMBA")*('MARZO 2026'!K6:K119="GASOLINA")*'MARZO 2026'!M6:M119),0)</f>
        <v/>
      </c>
      <c r="F316" s="377">
        <f>IFERROR(SUMPRODUCT((IF('MARZO 2026'!Y6:Y119&lt;&gt;"",'MARZO 2026'!Y6:Y119,'MARZO 2026'!I6:I119)="YAMBRASBAMBA")*('MARZO 2026'!K6:K119="GASOLINA")*'MARZO 2026'!L6:L119*'MARZO 2026'!M6:M119),0)</f>
        <v/>
      </c>
      <c r="G316" s="194" t="n"/>
      <c r="H316" s="194" t="n"/>
      <c r="I316" s="194" t="n"/>
      <c r="J316" s="194" t="n"/>
      <c r="K316" s="194" t="n"/>
      <c r="L316" s="194" t="n"/>
      <c r="M316" s="194" t="n"/>
      <c r="N316" s="194" t="n"/>
      <c r="O316" s="194" t="n"/>
      <c r="P316" s="194" t="n"/>
      <c r="Q316" s="194" t="n"/>
      <c r="R316" s="194" t="n"/>
      <c r="S316" s="194" t="n"/>
      <c r="T316" s="194" t="n"/>
      <c r="U316" s="194" t="n"/>
      <c r="V316" s="194" t="n"/>
      <c r="W316" s="194" t="n"/>
      <c r="X316" s="194" t="n"/>
      <c r="Y316" s="194" t="n"/>
      <c r="Z316" s="194" t="n"/>
    </row>
    <row r="317" ht="15.75" customHeight="1" s="195">
      <c r="A317" s="194" t="inlineStr">
        <is>
          <t>YAMBRASBAMBA</t>
        </is>
      </c>
      <c r="B317" s="194" t="inlineStr">
        <is>
          <t>ABRIL 2026</t>
        </is>
      </c>
      <c r="C317" s="377">
        <f>IFERROR(SUMPRODUCT((IF('ABRIL 2026'!Y6:Y119&lt;&gt;"",'ABRIL 2026'!Y6:Y119,'ABRIL 2026'!I6:I119)="YAMBRASBAMBA")*('ABRIL 2026'!K6:K119="PETROLEO")*'ABRIL 2026'!M6:M119),0)</f>
        <v/>
      </c>
      <c r="D317" s="377">
        <f>IFERROR(SUMPRODUCT((IF('ABRIL 2026'!Y6:Y119&lt;&gt;"",'ABRIL 2026'!Y6:Y119,'ABRIL 2026'!I6:I119)="YAMBRASBAMBA")*('ABRIL 2026'!K6:K119="PETROLEO")*'ABRIL 2026'!L6:L119*'ABRIL 2026'!M6:M119),0)</f>
        <v/>
      </c>
      <c r="E317" s="377">
        <f>IFERROR(SUMPRODUCT((IF('ABRIL 2026'!Y6:Y119&lt;&gt;"",'ABRIL 2026'!Y6:Y119,'ABRIL 2026'!I6:I119)="YAMBRASBAMBA")*('ABRIL 2026'!K6:K119="GASOLINA")*'ABRIL 2026'!M6:M119),0)</f>
        <v/>
      </c>
      <c r="F317" s="377">
        <f>IFERROR(SUMPRODUCT((IF('ABRIL 2026'!Y6:Y119&lt;&gt;"",'ABRIL 2026'!Y6:Y119,'ABRIL 2026'!I6:I119)="YAMBRASBAMBA")*('ABRIL 2026'!K6:K119="GASOLINA")*'ABRIL 2026'!L6:L119*'ABRIL 2026'!M6:M119),0)</f>
        <v/>
      </c>
      <c r="G317" s="194" t="n"/>
      <c r="H317" s="194" t="n"/>
      <c r="I317" s="194" t="n"/>
      <c r="J317" s="194" t="n"/>
      <c r="K317" s="194" t="n"/>
      <c r="L317" s="194" t="n"/>
      <c r="M317" s="194" t="n"/>
      <c r="N317" s="194" t="n"/>
      <c r="O317" s="194" t="n"/>
      <c r="P317" s="194" t="n"/>
      <c r="Q317" s="194" t="n"/>
      <c r="R317" s="194" t="n"/>
      <c r="S317" s="194" t="n"/>
      <c r="T317" s="194" t="n"/>
      <c r="U317" s="194" t="n"/>
      <c r="V317" s="194" t="n"/>
      <c r="W317" s="194" t="n"/>
      <c r="X317" s="194" t="n"/>
      <c r="Y317" s="194" t="n"/>
      <c r="Z317" s="194" t="n"/>
    </row>
    <row r="318" ht="15.75" customHeight="1" s="195">
      <c r="A318" s="194" t="inlineStr">
        <is>
          <t>YAMBRASBAMBA</t>
        </is>
      </c>
      <c r="B318" s="194" t="inlineStr">
        <is>
          <t>MAYO 2026</t>
        </is>
      </c>
      <c r="C318" s="377">
        <f>IFERROR(SUMPRODUCT((IF('MAYO 2026'!Y6:Y110&lt;&gt;"",'MAYO 2026'!Y6:Y110,'MAYO 2026'!I6:I110)="YAMBRASBAMBA")*('MAYO 2026'!K6:K110="PETROLEO")*'MAYO 2026'!M6:M110),0)</f>
        <v/>
      </c>
      <c r="D318" s="377">
        <f>IFERROR(SUMPRODUCT((IF('MAYO 2026'!Y6:Y110&lt;&gt;"",'MAYO 2026'!Y6:Y110,'MAYO 2026'!I6:I110)="YAMBRASBAMBA")*('MAYO 2026'!K6:K110="PETROLEO")*'MAYO 2026'!L6:L110*'MAYO 2026'!M6:M110),0)</f>
        <v/>
      </c>
      <c r="E318" s="377">
        <f>IFERROR(SUMPRODUCT((IF('MAYO 2026'!Y6:Y110&lt;&gt;"",'MAYO 2026'!Y6:Y110,'MAYO 2026'!I6:I110)="YAMBRASBAMBA")*('MAYO 2026'!K6:K110="GASOLINA")*'MAYO 2026'!M6:M110),0)</f>
        <v/>
      </c>
      <c r="F318" s="377">
        <f>IFERROR(SUMPRODUCT((IF('MAYO 2026'!Y6:Y110&lt;&gt;"",'MAYO 2026'!Y6:Y110,'MAYO 2026'!I6:I110)="YAMBRASBAMBA")*('MAYO 2026'!K6:K110="GASOLINA")*'MAYO 2026'!L6:L110*'MAYO 2026'!M6:M110),0)</f>
        <v/>
      </c>
      <c r="G318" s="194" t="n"/>
      <c r="H318" s="194" t="n"/>
      <c r="I318" s="194" t="n"/>
      <c r="J318" s="194" t="n"/>
      <c r="K318" s="194" t="n"/>
      <c r="L318" s="194" t="n"/>
      <c r="M318" s="194" t="n"/>
      <c r="N318" s="194" t="n"/>
      <c r="O318" s="194" t="n"/>
      <c r="P318" s="194" t="n"/>
      <c r="Q318" s="194" t="n"/>
      <c r="R318" s="194" t="n"/>
      <c r="S318" s="194" t="n"/>
      <c r="T318" s="194" t="n"/>
      <c r="U318" s="194" t="n"/>
      <c r="V318" s="194" t="n"/>
      <c r="W318" s="194" t="n"/>
      <c r="X318" s="194" t="n"/>
      <c r="Y318" s="194" t="n"/>
      <c r="Z318" s="194" t="n"/>
    </row>
    <row r="319" ht="15.75" customHeight="1" s="195">
      <c r="A319" s="194" t="inlineStr">
        <is>
          <t>YAMBRASBAMBA</t>
        </is>
      </c>
      <c r="B319" s="194" t="inlineStr">
        <is>
          <t>JUNIO 2026</t>
        </is>
      </c>
      <c r="C319" s="377">
        <f>IFERROR(SUMPRODUCT((IF('JUNIO 2026'!Y6:Y110&lt;&gt;"",'JUNIO 2026'!Y6:Y110,'JUNIO 2026'!I6:I110)="YAMBRASBAMBA")*('JUNIO 2026'!K6:K110="PETROLEO")*'JUNIO 2026'!M6:M110),0)</f>
        <v/>
      </c>
      <c r="D319" s="377">
        <f>IFERROR(SUMPRODUCT((IF('JUNIO 2026'!Y6:Y110&lt;&gt;"",'JUNIO 2026'!Y6:Y110,'JUNIO 2026'!I6:I110)="YAMBRASBAMBA")*('JUNIO 2026'!K6:K110="PETROLEO")*'JUNIO 2026'!L6:L110*'JUNIO 2026'!M6:M110),0)</f>
        <v/>
      </c>
      <c r="E319" s="377">
        <f>IFERROR(SUMPRODUCT((IF('JUNIO 2026'!Y6:Y110&lt;&gt;"",'JUNIO 2026'!Y6:Y110,'JUNIO 2026'!I6:I110)="YAMBRASBAMBA")*('JUNIO 2026'!K6:K110="GASOLINA")*'JUNIO 2026'!M6:M110),0)</f>
        <v/>
      </c>
      <c r="F319" s="377">
        <f>IFERROR(SUMPRODUCT((IF('JUNIO 2026'!Y6:Y110&lt;&gt;"",'JUNIO 2026'!Y6:Y110,'JUNIO 2026'!I6:I110)="YAMBRASBAMBA")*('JUNIO 2026'!K6:K110="GASOLINA")*'JUNIO 2026'!L6:L110*'JUNIO 2026'!M6:M110),0)</f>
        <v/>
      </c>
      <c r="G319" s="194" t="n"/>
      <c r="H319" s="194" t="n"/>
      <c r="I319" s="194" t="n"/>
      <c r="J319" s="194" t="n"/>
      <c r="K319" s="194" t="n"/>
      <c r="L319" s="194" t="n"/>
      <c r="M319" s="194" t="n"/>
      <c r="N319" s="194" t="n"/>
      <c r="O319" s="194" t="n"/>
      <c r="P319" s="194" t="n"/>
      <c r="Q319" s="194" t="n"/>
      <c r="R319" s="194" t="n"/>
      <c r="S319" s="194" t="n"/>
      <c r="T319" s="194" t="n"/>
      <c r="U319" s="194" t="n"/>
      <c r="V319" s="194" t="n"/>
      <c r="W319" s="194" t="n"/>
      <c r="X319" s="194" t="n"/>
      <c r="Y319" s="194" t="n"/>
      <c r="Z319" s="194" t="n"/>
    </row>
    <row r="320" ht="15.75" customHeight="1" s="195">
      <c r="A320" s="194" t="inlineStr">
        <is>
          <t>YAMBRASBAMBA</t>
        </is>
      </c>
      <c r="B320" s="194" t="inlineStr">
        <is>
          <t>JULIO 2026</t>
        </is>
      </c>
      <c r="C320" s="377">
        <f>IFERROR(SUMPRODUCT((IF('JULIO 2026'!Y6:Y110&lt;&gt;"",'JULIO 2026'!Y6:Y110,'JULIO 2026'!I6:I110)="YAMBRASBAMBA")*('JULIO 2026'!K6:K110="PETROLEO")*'JULIO 2026'!M6:M110),0)</f>
        <v/>
      </c>
      <c r="D320" s="377">
        <f>IFERROR(SUMPRODUCT((IF('JULIO 2026'!Y6:Y110&lt;&gt;"",'JULIO 2026'!Y6:Y110,'JULIO 2026'!I6:I110)="YAMBRASBAMBA")*('JULIO 2026'!K6:K110="PETROLEO")*'JULIO 2026'!L6:L110*'JULIO 2026'!M6:M110),0)</f>
        <v/>
      </c>
      <c r="E320" s="377">
        <f>IFERROR(SUMPRODUCT((IF('JULIO 2026'!Y6:Y110&lt;&gt;"",'JULIO 2026'!Y6:Y110,'JULIO 2026'!I6:I110)="YAMBRASBAMBA")*('JULIO 2026'!K6:K110="GASOLINA")*'JULIO 2026'!M6:M110),0)</f>
        <v/>
      </c>
      <c r="F320" s="377">
        <f>IFERROR(SUMPRODUCT((IF('JULIO 2026'!Y6:Y110&lt;&gt;"",'JULIO 2026'!Y6:Y110,'JULIO 2026'!I6:I110)="YAMBRASBAMBA")*('JULIO 2026'!K6:K110="GASOLINA")*'JULIO 2026'!L6:L110*'JULIO 2026'!M6:M110),0)</f>
        <v/>
      </c>
      <c r="G320" s="194" t="n"/>
      <c r="H320" s="194" t="n"/>
      <c r="I320" s="194" t="n"/>
      <c r="J320" s="194" t="n"/>
      <c r="K320" s="194" t="n"/>
      <c r="L320" s="194" t="n"/>
      <c r="M320" s="194" t="n"/>
      <c r="N320" s="194" t="n"/>
      <c r="O320" s="194" t="n"/>
      <c r="P320" s="194" t="n"/>
      <c r="Q320" s="194" t="n"/>
      <c r="R320" s="194" t="n"/>
      <c r="S320" s="194" t="n"/>
      <c r="T320" s="194" t="n"/>
      <c r="U320" s="194" t="n"/>
      <c r="V320" s="194" t="n"/>
      <c r="W320" s="194" t="n"/>
      <c r="X320" s="194" t="n"/>
      <c r="Y320" s="194" t="n"/>
      <c r="Z320" s="194" t="n"/>
    </row>
    <row r="321" ht="15.75" customHeight="1" s="195">
      <c r="A321" s="194" t="inlineStr">
        <is>
          <t>YAMBRASBAMBA</t>
        </is>
      </c>
      <c r="B321" s="194" t="inlineStr">
        <is>
          <t>AGOSTO 2026</t>
        </is>
      </c>
      <c r="C321" s="377">
        <f>IFERROR(SUMPRODUCT((IF('AGOSTO 2026'!Y6:Y110&lt;&gt;"",'AGOSTO 2026'!Y6:Y110,'AGOSTO 2026'!I6:I110)="YAMBRASBAMBA")*('AGOSTO 2026'!K6:K110="PETROLEO")*'AGOSTO 2026'!M6:M110),0)</f>
        <v/>
      </c>
      <c r="D321" s="377">
        <f>IFERROR(SUMPRODUCT((IF('AGOSTO 2026'!Y6:Y110&lt;&gt;"",'AGOSTO 2026'!Y6:Y110,'AGOSTO 2026'!I6:I110)="YAMBRASBAMBA")*('AGOSTO 2026'!K6:K110="PETROLEO")*'AGOSTO 2026'!L6:L110*'AGOSTO 2026'!M6:M110),0)</f>
        <v/>
      </c>
      <c r="E321" s="377">
        <f>IFERROR(SUMPRODUCT((IF('AGOSTO 2026'!Y6:Y110&lt;&gt;"",'AGOSTO 2026'!Y6:Y110,'AGOSTO 2026'!I6:I110)="YAMBRASBAMBA")*('AGOSTO 2026'!K6:K110="GASOLINA")*'AGOSTO 2026'!M6:M110),0)</f>
        <v/>
      </c>
      <c r="F321" s="377">
        <f>IFERROR(SUMPRODUCT((IF('AGOSTO 2026'!Y6:Y110&lt;&gt;"",'AGOSTO 2026'!Y6:Y110,'AGOSTO 2026'!I6:I110)="YAMBRASBAMBA")*('AGOSTO 2026'!K6:K110="GASOLINA")*'AGOSTO 2026'!L6:L110*'AGOSTO 2026'!M6:M110),0)</f>
        <v/>
      </c>
      <c r="G321" s="194" t="n"/>
      <c r="H321" s="194" t="n"/>
      <c r="I321" s="194" t="n"/>
      <c r="J321" s="194" t="n"/>
      <c r="K321" s="194" t="n"/>
      <c r="L321" s="194" t="n"/>
      <c r="M321" s="194" t="n"/>
      <c r="N321" s="194" t="n"/>
      <c r="O321" s="194" t="n"/>
      <c r="P321" s="194" t="n"/>
      <c r="Q321" s="194" t="n"/>
      <c r="R321" s="194" t="n"/>
      <c r="S321" s="194" t="n"/>
      <c r="T321" s="194" t="n"/>
      <c r="U321" s="194" t="n"/>
      <c r="V321" s="194" t="n"/>
      <c r="W321" s="194" t="n"/>
      <c r="X321" s="194" t="n"/>
      <c r="Y321" s="194" t="n"/>
      <c r="Z321" s="194" t="n"/>
    </row>
    <row r="322" ht="15.75" customHeight="1" s="195">
      <c r="A322" s="194" t="inlineStr">
        <is>
          <t>YAMBRASBAMBA</t>
        </is>
      </c>
      <c r="B322" s="194" t="inlineStr">
        <is>
          <t>SETIEMBRE 2026</t>
        </is>
      </c>
      <c r="C322" s="377">
        <f>IFERROR(SUMPRODUCT((IF('SETIEMBRE 2026'!Y6:Y110&lt;&gt;"",'SETIEMBRE 2026'!Y6:Y110,'SETIEMBRE 2026'!I6:I110)="YAMBRASBAMBA")*('SETIEMBRE 2026'!K6:K110="PETROLEO")*'SETIEMBRE 2026'!M6:M110),0)</f>
        <v/>
      </c>
      <c r="D322" s="377">
        <f>IFERROR(SUMPRODUCT((IF('SETIEMBRE 2026'!Y6:Y110&lt;&gt;"",'SETIEMBRE 2026'!Y6:Y110,'SETIEMBRE 2026'!I6:I110)="YAMBRASBAMBA")*('SETIEMBRE 2026'!K6:K110="PETROLEO")*'SETIEMBRE 2026'!L6:L110*'SETIEMBRE 2026'!M6:M110),0)</f>
        <v/>
      </c>
      <c r="E322" s="377">
        <f>IFERROR(SUMPRODUCT((IF('SETIEMBRE 2026'!Y6:Y110&lt;&gt;"",'SETIEMBRE 2026'!Y6:Y110,'SETIEMBRE 2026'!I6:I110)="YAMBRASBAMBA")*('SETIEMBRE 2026'!K6:K110="GASOLINA")*'SETIEMBRE 2026'!M6:M110),0)</f>
        <v/>
      </c>
      <c r="F322" s="377">
        <f>IFERROR(SUMPRODUCT((IF('SETIEMBRE 2026'!Y6:Y110&lt;&gt;"",'SETIEMBRE 2026'!Y6:Y110,'SETIEMBRE 2026'!I6:I110)="YAMBRASBAMBA")*('SETIEMBRE 2026'!K6:K110="GASOLINA")*'SETIEMBRE 2026'!L6:L110*'SETIEMBRE 2026'!M6:M110),0)</f>
        <v/>
      </c>
      <c r="G322" s="194" t="n"/>
      <c r="H322" s="194" t="n"/>
      <c r="I322" s="194" t="n"/>
      <c r="J322" s="194" t="n"/>
      <c r="K322" s="194" t="n"/>
      <c r="L322" s="194" t="n"/>
      <c r="M322" s="194" t="n"/>
      <c r="N322" s="194" t="n"/>
      <c r="O322" s="194" t="n"/>
      <c r="P322" s="194" t="n"/>
      <c r="Q322" s="194" t="n"/>
      <c r="R322" s="194" t="n"/>
      <c r="S322" s="194" t="n"/>
      <c r="T322" s="194" t="n"/>
      <c r="U322" s="194" t="n"/>
      <c r="V322" s="194" t="n"/>
      <c r="W322" s="194" t="n"/>
      <c r="X322" s="194" t="n"/>
      <c r="Y322" s="194" t="n"/>
      <c r="Z322" s="194" t="n"/>
    </row>
    <row r="323" ht="15.75" customHeight="1" s="195">
      <c r="A323" s="194" t="inlineStr">
        <is>
          <t>YAMBRASBAMBA</t>
        </is>
      </c>
      <c r="B323" s="194" t="inlineStr">
        <is>
          <t>OCTUBRE 2026</t>
        </is>
      </c>
      <c r="C323" s="377">
        <f>IFERROR(SUMPRODUCT((IF('OCTUBRE 2026'!Y6:Y110&lt;&gt;"",'OCTUBRE 2026'!Y6:Y110,'OCTUBRE 2026'!I6:I110)="YAMBRASBAMBA")*('OCTUBRE 2026'!K6:K110="PETROLEO")*'OCTUBRE 2026'!M6:M110),0)</f>
        <v/>
      </c>
      <c r="D323" s="377">
        <f>IFERROR(SUMPRODUCT((IF('OCTUBRE 2026'!Y6:Y110&lt;&gt;"",'OCTUBRE 2026'!Y6:Y110,'OCTUBRE 2026'!I6:I110)="YAMBRASBAMBA")*('OCTUBRE 2026'!K6:K110="PETROLEO")*'OCTUBRE 2026'!L6:L110*'OCTUBRE 2026'!M6:M110),0)</f>
        <v/>
      </c>
      <c r="E323" s="377">
        <f>IFERROR(SUMPRODUCT((IF('OCTUBRE 2026'!Y6:Y110&lt;&gt;"",'OCTUBRE 2026'!Y6:Y110,'OCTUBRE 2026'!I6:I110)="YAMBRASBAMBA")*('OCTUBRE 2026'!K6:K110="GASOLINA")*'OCTUBRE 2026'!M6:M110),0)</f>
        <v/>
      </c>
      <c r="F323" s="377">
        <f>IFERROR(SUMPRODUCT((IF('OCTUBRE 2026'!Y6:Y110&lt;&gt;"",'OCTUBRE 2026'!Y6:Y110,'OCTUBRE 2026'!I6:I110)="YAMBRASBAMBA")*('OCTUBRE 2026'!K6:K110="GASOLINA")*'OCTUBRE 2026'!L6:L110*'OCTUBRE 2026'!M6:M110),0)</f>
        <v/>
      </c>
      <c r="G323" s="194" t="n"/>
      <c r="H323" s="194" t="n"/>
      <c r="I323" s="194" t="n"/>
      <c r="J323" s="194" t="n"/>
      <c r="K323" s="194" t="n"/>
      <c r="L323" s="194" t="n"/>
      <c r="M323" s="194" t="n"/>
      <c r="N323" s="194" t="n"/>
      <c r="O323" s="194" t="n"/>
      <c r="P323" s="194" t="n"/>
      <c r="Q323" s="194" t="n"/>
      <c r="R323" s="194" t="n"/>
      <c r="S323" s="194" t="n"/>
      <c r="T323" s="194" t="n"/>
      <c r="U323" s="194" t="n"/>
      <c r="V323" s="194" t="n"/>
      <c r="W323" s="194" t="n"/>
      <c r="X323" s="194" t="n"/>
      <c r="Y323" s="194" t="n"/>
      <c r="Z323" s="194" t="n"/>
    </row>
    <row r="324" ht="15.75" customHeight="1" s="195">
      <c r="A324" s="194" t="inlineStr">
        <is>
          <t>YAMBRASBAMBA</t>
        </is>
      </c>
      <c r="B324" s="194" t="inlineStr">
        <is>
          <t>NOVIEMBRE 2026</t>
        </is>
      </c>
      <c r="C324" s="377">
        <f>IFERROR(SUMPRODUCT((IF('NOVIEMBRE 2026'!Y6:Y110&lt;&gt;"",'NOVIEMBRE 2026'!Y6:Y110,'NOVIEMBRE 2026'!I6:I110)="YAMBRASBAMBA")*('NOVIEMBRE 2026'!K6:K110="PETROLEO")*'NOVIEMBRE 2026'!M6:M110),0)</f>
        <v/>
      </c>
      <c r="D324" s="377">
        <f>IFERROR(SUMPRODUCT((IF('NOVIEMBRE 2026'!Y6:Y110&lt;&gt;"",'NOVIEMBRE 2026'!Y6:Y110,'NOVIEMBRE 2026'!I6:I110)="YAMBRASBAMBA")*('NOVIEMBRE 2026'!K6:K110="PETROLEO")*'NOVIEMBRE 2026'!L6:L110*'NOVIEMBRE 2026'!M6:M110),0)</f>
        <v/>
      </c>
      <c r="E324" s="377">
        <f>IFERROR(SUMPRODUCT((IF('NOVIEMBRE 2026'!Y6:Y110&lt;&gt;"",'NOVIEMBRE 2026'!Y6:Y110,'NOVIEMBRE 2026'!I6:I110)="YAMBRASBAMBA")*('NOVIEMBRE 2026'!K6:K110="GASOLINA")*'NOVIEMBRE 2026'!M6:M110),0)</f>
        <v/>
      </c>
      <c r="F324" s="377">
        <f>IFERROR(SUMPRODUCT((IF('NOVIEMBRE 2026'!Y6:Y110&lt;&gt;"",'NOVIEMBRE 2026'!Y6:Y110,'NOVIEMBRE 2026'!I6:I110)="YAMBRASBAMBA")*('NOVIEMBRE 2026'!K6:K110="GASOLINA")*'NOVIEMBRE 2026'!L6:L110*'NOVIEMBRE 2026'!M6:M110),0)</f>
        <v/>
      </c>
      <c r="G324" s="194" t="n"/>
      <c r="H324" s="194" t="n"/>
      <c r="I324" s="194" t="n"/>
      <c r="J324" s="194" t="n"/>
      <c r="K324" s="194" t="n"/>
      <c r="L324" s="194" t="n"/>
      <c r="M324" s="194" t="n"/>
      <c r="N324" s="194" t="n"/>
      <c r="O324" s="194" t="n"/>
      <c r="P324" s="194" t="n"/>
      <c r="Q324" s="194" t="n"/>
      <c r="R324" s="194" t="n"/>
      <c r="S324" s="194" t="n"/>
      <c r="T324" s="194" t="n"/>
      <c r="U324" s="194" t="n"/>
      <c r="V324" s="194" t="n"/>
      <c r="W324" s="194" t="n"/>
      <c r="X324" s="194" t="n"/>
      <c r="Y324" s="194" t="n"/>
      <c r="Z324" s="194" t="n"/>
    </row>
    <row r="325" ht="15.75" customHeight="1" s="195">
      <c r="A325" s="194" t="inlineStr">
        <is>
          <t>YAMBRASBAMBA</t>
        </is>
      </c>
      <c r="B325" s="194" t="inlineStr">
        <is>
          <t>DICIEMBRE 2026</t>
        </is>
      </c>
      <c r="C325" s="377">
        <f>IFERROR(SUMPRODUCT((IF('DICIEMBRE 2026'!Y6:Y110&lt;&gt;"",'DICIEMBRE 2026'!Y6:Y110,'DICIEMBRE 2026'!I6:I110)="YAMBRASBAMBA")*('DICIEMBRE 2026'!K6:K110="PETROLEO")*'DICIEMBRE 2026'!M6:M110),0)</f>
        <v/>
      </c>
      <c r="D325" s="377">
        <f>IFERROR(SUMPRODUCT((IF('DICIEMBRE 2026'!Y6:Y110&lt;&gt;"",'DICIEMBRE 2026'!Y6:Y110,'DICIEMBRE 2026'!I6:I110)="YAMBRASBAMBA")*('DICIEMBRE 2026'!K6:K110="PETROLEO")*'DICIEMBRE 2026'!L6:L110*'DICIEMBRE 2026'!M6:M110),0)</f>
        <v/>
      </c>
      <c r="E325" s="377">
        <f>IFERROR(SUMPRODUCT((IF('DICIEMBRE 2026'!Y6:Y110&lt;&gt;"",'DICIEMBRE 2026'!Y6:Y110,'DICIEMBRE 2026'!I6:I110)="YAMBRASBAMBA")*('DICIEMBRE 2026'!K6:K110="GASOLINA")*'DICIEMBRE 2026'!M6:M110),0)</f>
        <v/>
      </c>
      <c r="F325" s="377">
        <f>IFERROR(SUMPRODUCT((IF('DICIEMBRE 2026'!Y6:Y110&lt;&gt;"",'DICIEMBRE 2026'!Y6:Y110,'DICIEMBRE 2026'!I6:I110)="YAMBRASBAMBA")*('DICIEMBRE 2026'!K6:K110="GASOLINA")*'DICIEMBRE 2026'!L6:L110*'DICIEMBRE 2026'!M6:M110),0)</f>
        <v/>
      </c>
      <c r="G325" s="194" t="n"/>
      <c r="H325" s="194" t="n"/>
      <c r="I325" s="194" t="n"/>
      <c r="J325" s="194" t="n"/>
      <c r="K325" s="194" t="n"/>
      <c r="L325" s="194" t="n"/>
      <c r="M325" s="194" t="n"/>
      <c r="N325" s="194" t="n"/>
      <c r="O325" s="194" t="n"/>
      <c r="P325" s="194" t="n"/>
      <c r="Q325" s="194" t="n"/>
      <c r="R325" s="194" t="n"/>
      <c r="S325" s="194" t="n"/>
      <c r="T325" s="194" t="n"/>
      <c r="U325" s="194" t="n"/>
      <c r="V325" s="194" t="n"/>
      <c r="W325" s="194" t="n"/>
      <c r="X325" s="194" t="n"/>
      <c r="Y325" s="194" t="n"/>
      <c r="Z325" s="194" t="n"/>
    </row>
    <row r="326" ht="15.75" customHeight="1" s="195">
      <c r="A326" s="194" t="inlineStr">
        <is>
          <t>YERBABUENA</t>
        </is>
      </c>
      <c r="B326" s="194" t="inlineStr">
        <is>
          <t>ENERO 2026</t>
        </is>
      </c>
      <c r="C326" s="377">
        <f>IFERROR(SUMPRODUCT((IF('ENERO 2026'!Y6:Y119&lt;&gt;"",'ENERO 2026'!Y6:Y119,'ENERO 2026'!I6:I119)="YERBABUENA")*('ENERO 2026'!K6:K119="PETROLEO")*'ENERO 2026'!M6:M119),0)</f>
        <v/>
      </c>
      <c r="D326" s="377">
        <f>IFERROR(SUMPRODUCT((IF('ENERO 2026'!Y6:Y119&lt;&gt;"",'ENERO 2026'!Y6:Y119,'ENERO 2026'!I6:I119)="YERBABUENA")*('ENERO 2026'!K6:K119="PETROLEO")*'ENERO 2026'!L6:L119*'ENERO 2026'!M6:M119),0)</f>
        <v/>
      </c>
      <c r="E326" s="377">
        <f>IFERROR(SUMPRODUCT((IF('ENERO 2026'!Y6:Y119&lt;&gt;"",'ENERO 2026'!Y6:Y119,'ENERO 2026'!I6:I119)="YERBABUENA")*('ENERO 2026'!K6:K119="GASOLINA")*'ENERO 2026'!M6:M119),0)</f>
        <v/>
      </c>
      <c r="F326" s="377">
        <f>IFERROR(SUMPRODUCT((IF('ENERO 2026'!Y6:Y119&lt;&gt;"",'ENERO 2026'!Y6:Y119,'ENERO 2026'!I6:I119)="YERBABUENA")*('ENERO 2026'!K6:K119="GASOLINA")*'ENERO 2026'!L6:L119*'ENERO 2026'!M6:M119),0)</f>
        <v/>
      </c>
      <c r="G326" s="194" t="n"/>
      <c r="H326" s="194" t="n"/>
      <c r="I326" s="194" t="n"/>
      <c r="J326" s="194" t="n"/>
      <c r="K326" s="194" t="n"/>
      <c r="L326" s="194" t="n"/>
      <c r="M326" s="194" t="n"/>
      <c r="N326" s="194" t="n"/>
      <c r="O326" s="194" t="n"/>
      <c r="P326" s="194" t="n"/>
      <c r="Q326" s="194" t="n"/>
      <c r="R326" s="194" t="n"/>
      <c r="S326" s="194" t="n"/>
      <c r="T326" s="194" t="n"/>
      <c r="U326" s="194" t="n"/>
      <c r="V326" s="194" t="n"/>
      <c r="W326" s="194" t="n"/>
      <c r="X326" s="194" t="n"/>
      <c r="Y326" s="194" t="n"/>
      <c r="Z326" s="194" t="n"/>
    </row>
    <row r="327" ht="15.75" customHeight="1" s="195">
      <c r="A327" s="194" t="inlineStr">
        <is>
          <t>YERBABUENA</t>
        </is>
      </c>
      <c r="B327" s="194" t="inlineStr">
        <is>
          <t>FEBRERO 2026</t>
        </is>
      </c>
      <c r="C327" s="377">
        <f>IFERROR(SUMPRODUCT((IF('FEBRERO 2026'!Y6:Y124&lt;&gt;"",'FEBRERO 2026'!Y6:Y124,'FEBRERO 2026'!I6:I124)="YERBABUENA")*('FEBRERO 2026'!K6:K124="PETROLEO")*'FEBRERO 2026'!M6:M124),0)</f>
        <v/>
      </c>
      <c r="D327" s="377">
        <f>IFERROR(SUMPRODUCT((IF('FEBRERO 2026'!Y6:Y124&lt;&gt;"",'FEBRERO 2026'!Y6:Y124,'FEBRERO 2026'!I6:I124)="YERBABUENA")*('FEBRERO 2026'!K6:K124="PETROLEO")*'FEBRERO 2026'!L6:L124*'FEBRERO 2026'!M6:M124),0)</f>
        <v/>
      </c>
      <c r="E327" s="377">
        <f>IFERROR(SUMPRODUCT((IF('FEBRERO 2026'!Y6:Y124&lt;&gt;"",'FEBRERO 2026'!Y6:Y124,'FEBRERO 2026'!I6:I124)="YERBABUENA")*('FEBRERO 2026'!K6:K124="GASOLINA")*'FEBRERO 2026'!M6:M124),0)</f>
        <v/>
      </c>
      <c r="F327" s="377">
        <f>IFERROR(SUMPRODUCT((IF('FEBRERO 2026'!Y6:Y124&lt;&gt;"",'FEBRERO 2026'!Y6:Y124,'FEBRERO 2026'!I6:I124)="YERBABUENA")*('FEBRERO 2026'!K6:K124="GASOLINA")*'FEBRERO 2026'!L6:L124*'FEBRERO 2026'!M6:M124),0)</f>
        <v/>
      </c>
      <c r="G327" s="194" t="n"/>
      <c r="H327" s="194" t="n"/>
      <c r="I327" s="194" t="n"/>
      <c r="J327" s="194" t="n"/>
      <c r="K327" s="194" t="n"/>
      <c r="L327" s="194" t="n"/>
      <c r="M327" s="194" t="n"/>
      <c r="N327" s="194" t="n"/>
      <c r="O327" s="194" t="n"/>
      <c r="P327" s="194" t="n"/>
      <c r="Q327" s="194" t="n"/>
      <c r="R327" s="194" t="n"/>
      <c r="S327" s="194" t="n"/>
      <c r="T327" s="194" t="n"/>
      <c r="U327" s="194" t="n"/>
      <c r="V327" s="194" t="n"/>
      <c r="W327" s="194" t="n"/>
      <c r="X327" s="194" t="n"/>
      <c r="Y327" s="194" t="n"/>
      <c r="Z327" s="194" t="n"/>
    </row>
    <row r="328" ht="15.75" customHeight="1" s="195">
      <c r="A328" s="194" t="inlineStr">
        <is>
          <t>YERBABUENA</t>
        </is>
      </c>
      <c r="B328" s="194" t="inlineStr">
        <is>
          <t>MARZO 2026</t>
        </is>
      </c>
      <c r="C328" s="377">
        <f>IFERROR(SUMPRODUCT((IF('MARZO 2026'!Y6:Y119&lt;&gt;"",'MARZO 2026'!Y6:Y119,'MARZO 2026'!I6:I119)="YERBABUENA")*('MARZO 2026'!K6:K119="PETROLEO")*'MARZO 2026'!M6:M119),0)</f>
        <v/>
      </c>
      <c r="D328" s="377">
        <f>IFERROR(SUMPRODUCT((IF('MARZO 2026'!Y6:Y119&lt;&gt;"",'MARZO 2026'!Y6:Y119,'MARZO 2026'!I6:I119)="YERBABUENA")*('MARZO 2026'!K6:K119="PETROLEO")*'MARZO 2026'!L6:L119*'MARZO 2026'!M6:M119),0)</f>
        <v/>
      </c>
      <c r="E328" s="377">
        <f>IFERROR(SUMPRODUCT((IF('MARZO 2026'!Y6:Y119&lt;&gt;"",'MARZO 2026'!Y6:Y119,'MARZO 2026'!I6:I119)="YERBABUENA")*('MARZO 2026'!K6:K119="GASOLINA")*'MARZO 2026'!M6:M119),0)</f>
        <v/>
      </c>
      <c r="F328" s="377">
        <f>IFERROR(SUMPRODUCT((IF('MARZO 2026'!Y6:Y119&lt;&gt;"",'MARZO 2026'!Y6:Y119,'MARZO 2026'!I6:I119)="YERBABUENA")*('MARZO 2026'!K6:K119="GASOLINA")*'MARZO 2026'!L6:L119*'MARZO 2026'!M6:M119),0)</f>
        <v/>
      </c>
      <c r="G328" s="194" t="n"/>
      <c r="H328" s="194" t="n"/>
      <c r="I328" s="194" t="n"/>
      <c r="J328" s="194" t="n"/>
      <c r="K328" s="194" t="n"/>
      <c r="L328" s="194" t="n"/>
      <c r="M328" s="194" t="n"/>
      <c r="N328" s="194" t="n"/>
      <c r="O328" s="194" t="n"/>
      <c r="P328" s="194" t="n"/>
      <c r="Q328" s="194" t="n"/>
      <c r="R328" s="194" t="n"/>
      <c r="S328" s="194" t="n"/>
      <c r="T328" s="194" t="n"/>
      <c r="U328" s="194" t="n"/>
      <c r="V328" s="194" t="n"/>
      <c r="W328" s="194" t="n"/>
      <c r="X328" s="194" t="n"/>
      <c r="Y328" s="194" t="n"/>
      <c r="Z328" s="194" t="n"/>
    </row>
    <row r="329" ht="15.75" customHeight="1" s="195">
      <c r="A329" s="194" t="inlineStr">
        <is>
          <t>YERBABUENA</t>
        </is>
      </c>
      <c r="B329" s="194" t="inlineStr">
        <is>
          <t>ABRIL 2026</t>
        </is>
      </c>
      <c r="C329" s="377">
        <f>IFERROR(SUMPRODUCT((IF('ABRIL 2026'!Y6:Y119&lt;&gt;"",'ABRIL 2026'!Y6:Y119,'ABRIL 2026'!I6:I119)="YERBABUENA")*('ABRIL 2026'!K6:K119="PETROLEO")*'ABRIL 2026'!M6:M119),0)</f>
        <v/>
      </c>
      <c r="D329" s="377">
        <f>IFERROR(SUMPRODUCT((IF('ABRIL 2026'!Y6:Y119&lt;&gt;"",'ABRIL 2026'!Y6:Y119,'ABRIL 2026'!I6:I119)="YERBABUENA")*('ABRIL 2026'!K6:K119="PETROLEO")*'ABRIL 2026'!L6:L119*'ABRIL 2026'!M6:M119),0)</f>
        <v/>
      </c>
      <c r="E329" s="377">
        <f>IFERROR(SUMPRODUCT((IF('ABRIL 2026'!Y6:Y119&lt;&gt;"",'ABRIL 2026'!Y6:Y119,'ABRIL 2026'!I6:I119)="YERBABUENA")*('ABRIL 2026'!K6:K119="GASOLINA")*'ABRIL 2026'!M6:M119),0)</f>
        <v/>
      </c>
      <c r="F329" s="377">
        <f>IFERROR(SUMPRODUCT((IF('ABRIL 2026'!Y6:Y119&lt;&gt;"",'ABRIL 2026'!Y6:Y119,'ABRIL 2026'!I6:I119)="YERBABUENA")*('ABRIL 2026'!K6:K119="GASOLINA")*'ABRIL 2026'!L6:L119*'ABRIL 2026'!M6:M119),0)</f>
        <v/>
      </c>
      <c r="G329" s="194" t="n"/>
      <c r="H329" s="194" t="n"/>
      <c r="I329" s="194" t="n"/>
      <c r="J329" s="194" t="n"/>
      <c r="K329" s="194" t="n"/>
      <c r="L329" s="194" t="n"/>
      <c r="M329" s="194" t="n"/>
      <c r="N329" s="194" t="n"/>
      <c r="O329" s="194" t="n"/>
      <c r="P329" s="194" t="n"/>
      <c r="Q329" s="194" t="n"/>
      <c r="R329" s="194" t="n"/>
      <c r="S329" s="194" t="n"/>
      <c r="T329" s="194" t="n"/>
      <c r="U329" s="194" t="n"/>
      <c r="V329" s="194" t="n"/>
      <c r="W329" s="194" t="n"/>
      <c r="X329" s="194" t="n"/>
      <c r="Y329" s="194" t="n"/>
      <c r="Z329" s="194" t="n"/>
    </row>
    <row r="330" ht="15.75" customHeight="1" s="195">
      <c r="A330" s="194" t="inlineStr">
        <is>
          <t>YERBABUENA</t>
        </is>
      </c>
      <c r="B330" s="194" t="inlineStr">
        <is>
          <t>MAYO 2026</t>
        </is>
      </c>
      <c r="C330" s="377">
        <f>IFERROR(SUMPRODUCT((IF('MAYO 2026'!Y6:Y110&lt;&gt;"",'MAYO 2026'!Y6:Y110,'MAYO 2026'!I6:I110)="YERBABUENA")*('MAYO 2026'!K6:K110="PETROLEO")*'MAYO 2026'!M6:M110),0)</f>
        <v/>
      </c>
      <c r="D330" s="377">
        <f>IFERROR(SUMPRODUCT((IF('MAYO 2026'!Y6:Y110&lt;&gt;"",'MAYO 2026'!Y6:Y110,'MAYO 2026'!I6:I110)="YERBABUENA")*('MAYO 2026'!K6:K110="PETROLEO")*'MAYO 2026'!L6:L110*'MAYO 2026'!M6:M110),0)</f>
        <v/>
      </c>
      <c r="E330" s="377">
        <f>IFERROR(SUMPRODUCT((IF('MAYO 2026'!Y6:Y110&lt;&gt;"",'MAYO 2026'!Y6:Y110,'MAYO 2026'!I6:I110)="YERBABUENA")*('MAYO 2026'!K6:K110="GASOLINA")*'MAYO 2026'!M6:M110),0)</f>
        <v/>
      </c>
      <c r="F330" s="377">
        <f>IFERROR(SUMPRODUCT((IF('MAYO 2026'!Y6:Y110&lt;&gt;"",'MAYO 2026'!Y6:Y110,'MAYO 2026'!I6:I110)="YERBABUENA")*('MAYO 2026'!K6:K110="GASOLINA")*'MAYO 2026'!L6:L110*'MAYO 2026'!M6:M110),0)</f>
        <v/>
      </c>
      <c r="G330" s="194" t="n"/>
      <c r="H330" s="194" t="n"/>
      <c r="I330" s="194" t="n"/>
      <c r="J330" s="194" t="n"/>
      <c r="K330" s="194" t="n"/>
      <c r="L330" s="194" t="n"/>
      <c r="M330" s="194" t="n"/>
      <c r="N330" s="194" t="n"/>
      <c r="O330" s="194" t="n"/>
      <c r="P330" s="194" t="n"/>
      <c r="Q330" s="194" t="n"/>
      <c r="R330" s="194" t="n"/>
      <c r="S330" s="194" t="n"/>
      <c r="T330" s="194" t="n"/>
      <c r="U330" s="194" t="n"/>
      <c r="V330" s="194" t="n"/>
      <c r="W330" s="194" t="n"/>
      <c r="X330" s="194" t="n"/>
      <c r="Y330" s="194" t="n"/>
      <c r="Z330" s="194" t="n"/>
    </row>
    <row r="331" ht="15.75" customHeight="1" s="195">
      <c r="A331" s="194" t="inlineStr">
        <is>
          <t>YERBABUENA</t>
        </is>
      </c>
      <c r="B331" s="194" t="inlineStr">
        <is>
          <t>JUNIO 2026</t>
        </is>
      </c>
      <c r="C331" s="377">
        <f>IFERROR(SUMPRODUCT((IF('JUNIO 2026'!Y6:Y110&lt;&gt;"",'JUNIO 2026'!Y6:Y110,'JUNIO 2026'!I6:I110)="YERBABUENA")*('JUNIO 2026'!K6:K110="PETROLEO")*'JUNIO 2026'!M6:M110),0)</f>
        <v/>
      </c>
      <c r="D331" s="377">
        <f>IFERROR(SUMPRODUCT((IF('JUNIO 2026'!Y6:Y110&lt;&gt;"",'JUNIO 2026'!Y6:Y110,'JUNIO 2026'!I6:I110)="YERBABUENA")*('JUNIO 2026'!K6:K110="PETROLEO")*'JUNIO 2026'!L6:L110*'JUNIO 2026'!M6:M110),0)</f>
        <v/>
      </c>
      <c r="E331" s="377">
        <f>IFERROR(SUMPRODUCT((IF('JUNIO 2026'!Y6:Y110&lt;&gt;"",'JUNIO 2026'!Y6:Y110,'JUNIO 2026'!I6:I110)="YERBABUENA")*('JUNIO 2026'!K6:K110="GASOLINA")*'JUNIO 2026'!M6:M110),0)</f>
        <v/>
      </c>
      <c r="F331" s="377">
        <f>IFERROR(SUMPRODUCT((IF('JUNIO 2026'!Y6:Y110&lt;&gt;"",'JUNIO 2026'!Y6:Y110,'JUNIO 2026'!I6:I110)="YERBABUENA")*('JUNIO 2026'!K6:K110="GASOLINA")*'JUNIO 2026'!L6:L110*'JUNIO 2026'!M6:M110),0)</f>
        <v/>
      </c>
      <c r="G331" s="194" t="n"/>
      <c r="H331" s="194" t="n"/>
      <c r="I331" s="194" t="n"/>
      <c r="J331" s="194" t="n"/>
      <c r="K331" s="194" t="n"/>
      <c r="L331" s="194" t="n"/>
      <c r="M331" s="194" t="n"/>
      <c r="N331" s="194" t="n"/>
      <c r="O331" s="194" t="n"/>
      <c r="P331" s="194" t="n"/>
      <c r="Q331" s="194" t="n"/>
      <c r="R331" s="194" t="n"/>
      <c r="S331" s="194" t="n"/>
      <c r="T331" s="194" t="n"/>
      <c r="U331" s="194" t="n"/>
      <c r="V331" s="194" t="n"/>
      <c r="W331" s="194" t="n"/>
      <c r="X331" s="194" t="n"/>
      <c r="Y331" s="194" t="n"/>
      <c r="Z331" s="194" t="n"/>
    </row>
    <row r="332" ht="15.75" customHeight="1" s="195">
      <c r="A332" s="194" t="inlineStr">
        <is>
          <t>YERBABUENA</t>
        </is>
      </c>
      <c r="B332" s="194" t="inlineStr">
        <is>
          <t>JULIO 2026</t>
        </is>
      </c>
      <c r="C332" s="377">
        <f>IFERROR(SUMPRODUCT((IF('JULIO 2026'!Y6:Y110&lt;&gt;"",'JULIO 2026'!Y6:Y110,'JULIO 2026'!I6:I110)="YERBABUENA")*('JULIO 2026'!K6:K110="PETROLEO")*'JULIO 2026'!M6:M110),0)</f>
        <v/>
      </c>
      <c r="D332" s="377">
        <f>IFERROR(SUMPRODUCT((IF('JULIO 2026'!Y6:Y110&lt;&gt;"",'JULIO 2026'!Y6:Y110,'JULIO 2026'!I6:I110)="YERBABUENA")*('JULIO 2026'!K6:K110="PETROLEO")*'JULIO 2026'!L6:L110*'JULIO 2026'!M6:M110),0)</f>
        <v/>
      </c>
      <c r="E332" s="377">
        <f>IFERROR(SUMPRODUCT((IF('JULIO 2026'!Y6:Y110&lt;&gt;"",'JULIO 2026'!Y6:Y110,'JULIO 2026'!I6:I110)="YERBABUENA")*('JULIO 2026'!K6:K110="GASOLINA")*'JULIO 2026'!M6:M110),0)</f>
        <v/>
      </c>
      <c r="F332" s="377">
        <f>IFERROR(SUMPRODUCT((IF('JULIO 2026'!Y6:Y110&lt;&gt;"",'JULIO 2026'!Y6:Y110,'JULIO 2026'!I6:I110)="YERBABUENA")*('JULIO 2026'!K6:K110="GASOLINA")*'JULIO 2026'!L6:L110*'JULIO 2026'!M6:M110),0)</f>
        <v/>
      </c>
      <c r="G332" s="194" t="n"/>
      <c r="H332" s="194" t="n"/>
      <c r="I332" s="194" t="n"/>
      <c r="J332" s="194" t="n"/>
      <c r="K332" s="194" t="n"/>
      <c r="L332" s="194" t="n"/>
      <c r="M332" s="194" t="n"/>
      <c r="N332" s="194" t="n"/>
      <c r="O332" s="194" t="n"/>
      <c r="P332" s="194" t="n"/>
      <c r="Q332" s="194" t="n"/>
      <c r="R332" s="194" t="n"/>
      <c r="S332" s="194" t="n"/>
      <c r="T332" s="194" t="n"/>
      <c r="U332" s="194" t="n"/>
      <c r="V332" s="194" t="n"/>
      <c r="W332" s="194" t="n"/>
      <c r="X332" s="194" t="n"/>
      <c r="Y332" s="194" t="n"/>
      <c r="Z332" s="194" t="n"/>
    </row>
    <row r="333" ht="15.75" customHeight="1" s="195">
      <c r="A333" s="194" t="inlineStr">
        <is>
          <t>YERBABUENA</t>
        </is>
      </c>
      <c r="B333" s="194" t="inlineStr">
        <is>
          <t>AGOSTO 2026</t>
        </is>
      </c>
      <c r="C333" s="377">
        <f>IFERROR(SUMPRODUCT((IF('AGOSTO 2026'!Y6:Y110&lt;&gt;"",'AGOSTO 2026'!Y6:Y110,'AGOSTO 2026'!I6:I110)="YERBABUENA")*('AGOSTO 2026'!K6:K110="PETROLEO")*'AGOSTO 2026'!M6:M110),0)</f>
        <v/>
      </c>
      <c r="D333" s="377">
        <f>IFERROR(SUMPRODUCT((IF('AGOSTO 2026'!Y6:Y110&lt;&gt;"",'AGOSTO 2026'!Y6:Y110,'AGOSTO 2026'!I6:I110)="YERBABUENA")*('AGOSTO 2026'!K6:K110="PETROLEO")*'AGOSTO 2026'!L6:L110*'AGOSTO 2026'!M6:M110),0)</f>
        <v/>
      </c>
      <c r="E333" s="377">
        <f>IFERROR(SUMPRODUCT((IF('AGOSTO 2026'!Y6:Y110&lt;&gt;"",'AGOSTO 2026'!Y6:Y110,'AGOSTO 2026'!I6:I110)="YERBABUENA")*('AGOSTO 2026'!K6:K110="GASOLINA")*'AGOSTO 2026'!M6:M110),0)</f>
        <v/>
      </c>
      <c r="F333" s="377">
        <f>IFERROR(SUMPRODUCT((IF('AGOSTO 2026'!Y6:Y110&lt;&gt;"",'AGOSTO 2026'!Y6:Y110,'AGOSTO 2026'!I6:I110)="YERBABUENA")*('AGOSTO 2026'!K6:K110="GASOLINA")*'AGOSTO 2026'!L6:L110*'AGOSTO 2026'!M6:M110),0)</f>
        <v/>
      </c>
      <c r="G333" s="194" t="n"/>
      <c r="H333" s="194" t="n"/>
      <c r="I333" s="194" t="n"/>
      <c r="J333" s="194" t="n"/>
      <c r="K333" s="194" t="n"/>
      <c r="L333" s="194" t="n"/>
      <c r="M333" s="194" t="n"/>
      <c r="N333" s="194" t="n"/>
      <c r="O333" s="194" t="n"/>
      <c r="P333" s="194" t="n"/>
      <c r="Q333" s="194" t="n"/>
      <c r="R333" s="194" t="n"/>
      <c r="S333" s="194" t="n"/>
      <c r="T333" s="194" t="n"/>
      <c r="U333" s="194" t="n"/>
      <c r="V333" s="194" t="n"/>
      <c r="W333" s="194" t="n"/>
      <c r="X333" s="194" t="n"/>
      <c r="Y333" s="194" t="n"/>
      <c r="Z333" s="194" t="n"/>
    </row>
    <row r="334" ht="15.75" customHeight="1" s="195">
      <c r="A334" s="194" t="inlineStr">
        <is>
          <t>YERBABUENA</t>
        </is>
      </c>
      <c r="B334" s="194" t="inlineStr">
        <is>
          <t>SETIEMBRE 2026</t>
        </is>
      </c>
      <c r="C334" s="377">
        <f>IFERROR(SUMPRODUCT((IF('SETIEMBRE 2026'!Y6:Y110&lt;&gt;"",'SETIEMBRE 2026'!Y6:Y110,'SETIEMBRE 2026'!I6:I110)="YERBABUENA")*('SETIEMBRE 2026'!K6:K110="PETROLEO")*'SETIEMBRE 2026'!M6:M110),0)</f>
        <v/>
      </c>
      <c r="D334" s="377">
        <f>IFERROR(SUMPRODUCT((IF('SETIEMBRE 2026'!Y6:Y110&lt;&gt;"",'SETIEMBRE 2026'!Y6:Y110,'SETIEMBRE 2026'!I6:I110)="YERBABUENA")*('SETIEMBRE 2026'!K6:K110="PETROLEO")*'SETIEMBRE 2026'!L6:L110*'SETIEMBRE 2026'!M6:M110),0)</f>
        <v/>
      </c>
      <c r="E334" s="377">
        <f>IFERROR(SUMPRODUCT((IF('SETIEMBRE 2026'!Y6:Y110&lt;&gt;"",'SETIEMBRE 2026'!Y6:Y110,'SETIEMBRE 2026'!I6:I110)="YERBABUENA")*('SETIEMBRE 2026'!K6:K110="GASOLINA")*'SETIEMBRE 2026'!M6:M110),0)</f>
        <v/>
      </c>
      <c r="F334" s="377">
        <f>IFERROR(SUMPRODUCT((IF('SETIEMBRE 2026'!Y6:Y110&lt;&gt;"",'SETIEMBRE 2026'!Y6:Y110,'SETIEMBRE 2026'!I6:I110)="YERBABUENA")*('SETIEMBRE 2026'!K6:K110="GASOLINA")*'SETIEMBRE 2026'!L6:L110*'SETIEMBRE 2026'!M6:M110),0)</f>
        <v/>
      </c>
      <c r="G334" s="194" t="n"/>
      <c r="H334" s="194" t="n"/>
      <c r="I334" s="194" t="n"/>
      <c r="J334" s="194" t="n"/>
      <c r="K334" s="194" t="n"/>
      <c r="L334" s="194" t="n"/>
      <c r="M334" s="194" t="n"/>
      <c r="N334" s="194" t="n"/>
      <c r="O334" s="194" t="n"/>
      <c r="P334" s="194" t="n"/>
      <c r="Q334" s="194" t="n"/>
      <c r="R334" s="194" t="n"/>
      <c r="S334" s="194" t="n"/>
      <c r="T334" s="194" t="n"/>
      <c r="U334" s="194" t="n"/>
      <c r="V334" s="194" t="n"/>
      <c r="W334" s="194" t="n"/>
      <c r="X334" s="194" t="n"/>
      <c r="Y334" s="194" t="n"/>
      <c r="Z334" s="194" t="n"/>
    </row>
    <row r="335" ht="15.75" customHeight="1" s="195">
      <c r="A335" s="194" t="inlineStr">
        <is>
          <t>YERBABUENA</t>
        </is>
      </c>
      <c r="B335" s="194" t="inlineStr">
        <is>
          <t>OCTUBRE 2026</t>
        </is>
      </c>
      <c r="C335" s="377">
        <f>IFERROR(SUMPRODUCT((IF('OCTUBRE 2026'!Y6:Y110&lt;&gt;"",'OCTUBRE 2026'!Y6:Y110,'OCTUBRE 2026'!I6:I110)="YERBABUENA")*('OCTUBRE 2026'!K6:K110="PETROLEO")*'OCTUBRE 2026'!M6:M110),0)</f>
        <v/>
      </c>
      <c r="D335" s="377">
        <f>IFERROR(SUMPRODUCT((IF('OCTUBRE 2026'!Y6:Y110&lt;&gt;"",'OCTUBRE 2026'!Y6:Y110,'OCTUBRE 2026'!I6:I110)="YERBABUENA")*('OCTUBRE 2026'!K6:K110="PETROLEO")*'OCTUBRE 2026'!L6:L110*'OCTUBRE 2026'!M6:M110),0)</f>
        <v/>
      </c>
      <c r="E335" s="377">
        <f>IFERROR(SUMPRODUCT((IF('OCTUBRE 2026'!Y6:Y110&lt;&gt;"",'OCTUBRE 2026'!Y6:Y110,'OCTUBRE 2026'!I6:I110)="YERBABUENA")*('OCTUBRE 2026'!K6:K110="GASOLINA")*'OCTUBRE 2026'!M6:M110),0)</f>
        <v/>
      </c>
      <c r="F335" s="377">
        <f>IFERROR(SUMPRODUCT((IF('OCTUBRE 2026'!Y6:Y110&lt;&gt;"",'OCTUBRE 2026'!Y6:Y110,'OCTUBRE 2026'!I6:I110)="YERBABUENA")*('OCTUBRE 2026'!K6:K110="GASOLINA")*'OCTUBRE 2026'!L6:L110*'OCTUBRE 2026'!M6:M110),0)</f>
        <v/>
      </c>
      <c r="G335" s="194" t="n"/>
      <c r="H335" s="194" t="n"/>
      <c r="I335" s="194" t="n"/>
      <c r="J335" s="194" t="n"/>
      <c r="K335" s="194" t="n"/>
      <c r="L335" s="194" t="n"/>
      <c r="M335" s="194" t="n"/>
      <c r="N335" s="194" t="n"/>
      <c r="O335" s="194" t="n"/>
      <c r="P335" s="194" t="n"/>
      <c r="Q335" s="194" t="n"/>
      <c r="R335" s="194" t="n"/>
      <c r="S335" s="194" t="n"/>
      <c r="T335" s="194" t="n"/>
      <c r="U335" s="194" t="n"/>
      <c r="V335" s="194" t="n"/>
      <c r="W335" s="194" t="n"/>
      <c r="X335" s="194" t="n"/>
      <c r="Y335" s="194" t="n"/>
      <c r="Z335" s="194" t="n"/>
    </row>
    <row r="336" ht="15.75" customHeight="1" s="195">
      <c r="A336" s="194" t="inlineStr">
        <is>
          <t>YERBABUENA</t>
        </is>
      </c>
      <c r="B336" s="194" t="inlineStr">
        <is>
          <t>NOVIEMBRE 2026</t>
        </is>
      </c>
      <c r="C336" s="377">
        <f>IFERROR(SUMPRODUCT((IF('NOVIEMBRE 2026'!Y6:Y110&lt;&gt;"",'NOVIEMBRE 2026'!Y6:Y110,'NOVIEMBRE 2026'!I6:I110)="YERBABUENA")*('NOVIEMBRE 2026'!K6:K110="PETROLEO")*'NOVIEMBRE 2026'!M6:M110),0)</f>
        <v/>
      </c>
      <c r="D336" s="377">
        <f>IFERROR(SUMPRODUCT((IF('NOVIEMBRE 2026'!Y6:Y110&lt;&gt;"",'NOVIEMBRE 2026'!Y6:Y110,'NOVIEMBRE 2026'!I6:I110)="YERBABUENA")*('NOVIEMBRE 2026'!K6:K110="PETROLEO")*'NOVIEMBRE 2026'!L6:L110*'NOVIEMBRE 2026'!M6:M110),0)</f>
        <v/>
      </c>
      <c r="E336" s="377">
        <f>IFERROR(SUMPRODUCT((IF('NOVIEMBRE 2026'!Y6:Y110&lt;&gt;"",'NOVIEMBRE 2026'!Y6:Y110,'NOVIEMBRE 2026'!I6:I110)="YERBABUENA")*('NOVIEMBRE 2026'!K6:K110="GASOLINA")*'NOVIEMBRE 2026'!M6:M110),0)</f>
        <v/>
      </c>
      <c r="F336" s="377">
        <f>IFERROR(SUMPRODUCT((IF('NOVIEMBRE 2026'!Y6:Y110&lt;&gt;"",'NOVIEMBRE 2026'!Y6:Y110,'NOVIEMBRE 2026'!I6:I110)="YERBABUENA")*('NOVIEMBRE 2026'!K6:K110="GASOLINA")*'NOVIEMBRE 2026'!L6:L110*'NOVIEMBRE 2026'!M6:M110),0)</f>
        <v/>
      </c>
      <c r="G336" s="194" t="n"/>
      <c r="H336" s="194" t="n"/>
      <c r="I336" s="194" t="n"/>
      <c r="J336" s="194" t="n"/>
      <c r="K336" s="194" t="n"/>
      <c r="L336" s="194" t="n"/>
      <c r="M336" s="194" t="n"/>
      <c r="N336" s="194" t="n"/>
      <c r="O336" s="194" t="n"/>
      <c r="P336" s="194" t="n"/>
      <c r="Q336" s="194" t="n"/>
      <c r="R336" s="194" t="n"/>
      <c r="S336" s="194" t="n"/>
      <c r="T336" s="194" t="n"/>
      <c r="U336" s="194" t="n"/>
      <c r="V336" s="194" t="n"/>
      <c r="W336" s="194" t="n"/>
      <c r="X336" s="194" t="n"/>
      <c r="Y336" s="194" t="n"/>
      <c r="Z336" s="194" t="n"/>
    </row>
    <row r="337" ht="15.75" customHeight="1" s="195">
      <c r="A337" s="194" t="inlineStr">
        <is>
          <t>YERBABUENA</t>
        </is>
      </c>
      <c r="B337" s="194" t="inlineStr">
        <is>
          <t>DICIEMBRE 2026</t>
        </is>
      </c>
      <c r="C337" s="377">
        <f>IFERROR(SUMPRODUCT((IF('DICIEMBRE 2026'!Y6:Y110&lt;&gt;"",'DICIEMBRE 2026'!Y6:Y110,'DICIEMBRE 2026'!I6:I110)="YERBABUENA")*('DICIEMBRE 2026'!K6:K110="PETROLEO")*'DICIEMBRE 2026'!M6:M110),0)</f>
        <v/>
      </c>
      <c r="D337" s="377">
        <f>IFERROR(SUMPRODUCT((IF('DICIEMBRE 2026'!Y6:Y110&lt;&gt;"",'DICIEMBRE 2026'!Y6:Y110,'DICIEMBRE 2026'!I6:I110)="YERBABUENA")*('DICIEMBRE 2026'!K6:K110="PETROLEO")*'DICIEMBRE 2026'!L6:L110*'DICIEMBRE 2026'!M6:M110),0)</f>
        <v/>
      </c>
      <c r="E337" s="377">
        <f>IFERROR(SUMPRODUCT((IF('DICIEMBRE 2026'!Y6:Y110&lt;&gt;"",'DICIEMBRE 2026'!Y6:Y110,'DICIEMBRE 2026'!I6:I110)="YERBABUENA")*('DICIEMBRE 2026'!K6:K110="GASOLINA")*'DICIEMBRE 2026'!M6:M110),0)</f>
        <v/>
      </c>
      <c r="F337" s="377">
        <f>IFERROR(SUMPRODUCT((IF('DICIEMBRE 2026'!Y6:Y110&lt;&gt;"",'DICIEMBRE 2026'!Y6:Y110,'DICIEMBRE 2026'!I6:I110)="YERBABUENA")*('DICIEMBRE 2026'!K6:K110="GASOLINA")*'DICIEMBRE 2026'!L6:L110*'DICIEMBRE 2026'!M6:M110),0)</f>
        <v/>
      </c>
      <c r="G337" s="194" t="n"/>
      <c r="H337" s="194" t="n"/>
      <c r="I337" s="194" t="n"/>
      <c r="J337" s="194" t="n"/>
      <c r="K337" s="194" t="n"/>
      <c r="L337" s="194" t="n"/>
      <c r="M337" s="194" t="n"/>
      <c r="N337" s="194" t="n"/>
      <c r="O337" s="194" t="n"/>
      <c r="P337" s="194" t="n"/>
      <c r="Q337" s="194" t="n"/>
      <c r="R337" s="194" t="n"/>
      <c r="S337" s="194" t="n"/>
      <c r="T337" s="194" t="n"/>
      <c r="U337" s="194" t="n"/>
      <c r="V337" s="194" t="n"/>
      <c r="W337" s="194" t="n"/>
      <c r="X337" s="194" t="n"/>
      <c r="Y337" s="194" t="n"/>
      <c r="Z337" s="194" t="n"/>
    </row>
    <row r="338" ht="15.75" customHeight="1" s="195">
      <c r="A338" s="194" t="inlineStr">
        <is>
          <t>ZARUMILLA</t>
        </is>
      </c>
      <c r="B338" s="194" t="inlineStr">
        <is>
          <t>ENERO 2026</t>
        </is>
      </c>
      <c r="C338" s="377">
        <f>IFERROR(SUMPRODUCT((IF('ENERO 2026'!Y6:Y119&lt;&gt;"",'ENERO 2026'!Y6:Y119,'ENERO 2026'!I6:I119)="ZARUMILLA")*('ENERO 2026'!K6:K119="PETROLEO")*'ENERO 2026'!M6:M119),0)</f>
        <v/>
      </c>
      <c r="D338" s="377">
        <f>IFERROR(SUMPRODUCT((IF('ENERO 2026'!Y6:Y119&lt;&gt;"",'ENERO 2026'!Y6:Y119,'ENERO 2026'!I6:I119)="ZARUMILLA")*('ENERO 2026'!K6:K119="PETROLEO")*'ENERO 2026'!L6:L119*'ENERO 2026'!M6:M119),0)</f>
        <v/>
      </c>
      <c r="E338" s="377">
        <f>IFERROR(SUMPRODUCT((IF('ENERO 2026'!Y6:Y119&lt;&gt;"",'ENERO 2026'!Y6:Y119,'ENERO 2026'!I6:I119)="ZARUMILLA")*('ENERO 2026'!K6:K119="GASOLINA")*'ENERO 2026'!M6:M119),0)</f>
        <v/>
      </c>
      <c r="F338" s="377">
        <f>IFERROR(SUMPRODUCT((IF('ENERO 2026'!Y6:Y119&lt;&gt;"",'ENERO 2026'!Y6:Y119,'ENERO 2026'!I6:I119)="ZARUMILLA")*('ENERO 2026'!K6:K119="GASOLINA")*'ENERO 2026'!L6:L119*'ENERO 2026'!M6:M119),0)</f>
        <v/>
      </c>
      <c r="G338" s="194" t="n"/>
      <c r="H338" s="194" t="n"/>
      <c r="I338" s="194" t="n"/>
      <c r="J338" s="194" t="n"/>
      <c r="K338" s="194" t="n"/>
      <c r="L338" s="194" t="n"/>
      <c r="M338" s="194" t="n"/>
      <c r="N338" s="194" t="n"/>
      <c r="O338" s="194" t="n"/>
      <c r="P338" s="194" t="n"/>
      <c r="Q338" s="194" t="n"/>
      <c r="R338" s="194" t="n"/>
      <c r="S338" s="194" t="n"/>
      <c r="T338" s="194" t="n"/>
      <c r="U338" s="194" t="n"/>
      <c r="V338" s="194" t="n"/>
      <c r="W338" s="194" t="n"/>
      <c r="X338" s="194" t="n"/>
      <c r="Y338" s="194" t="n"/>
      <c r="Z338" s="194" t="n"/>
    </row>
    <row r="339" ht="15.75" customHeight="1" s="195">
      <c r="A339" s="194" t="inlineStr">
        <is>
          <t>ZARUMILLA</t>
        </is>
      </c>
      <c r="B339" s="194" t="inlineStr">
        <is>
          <t>FEBRERO 2026</t>
        </is>
      </c>
      <c r="C339" s="377">
        <f>IFERROR(SUMPRODUCT((IF('FEBRERO 2026'!Y6:Y124&lt;&gt;"",'FEBRERO 2026'!Y6:Y124,'FEBRERO 2026'!I6:I124)="ZARUMILLA")*('FEBRERO 2026'!K6:K124="PETROLEO")*'FEBRERO 2026'!M6:M124),0)</f>
        <v/>
      </c>
      <c r="D339" s="377">
        <f>IFERROR(SUMPRODUCT((IF('FEBRERO 2026'!Y6:Y124&lt;&gt;"",'FEBRERO 2026'!Y6:Y124,'FEBRERO 2026'!I6:I124)="ZARUMILLA")*('FEBRERO 2026'!K6:K124="PETROLEO")*'FEBRERO 2026'!L6:L124*'FEBRERO 2026'!M6:M124),0)</f>
        <v/>
      </c>
      <c r="E339" s="377">
        <f>IFERROR(SUMPRODUCT((IF('FEBRERO 2026'!Y6:Y124&lt;&gt;"",'FEBRERO 2026'!Y6:Y124,'FEBRERO 2026'!I6:I124)="ZARUMILLA")*('FEBRERO 2026'!K6:K124="GASOLINA")*'FEBRERO 2026'!M6:M124),0)</f>
        <v/>
      </c>
      <c r="F339" s="377">
        <f>IFERROR(SUMPRODUCT((IF('FEBRERO 2026'!Y6:Y124&lt;&gt;"",'FEBRERO 2026'!Y6:Y124,'FEBRERO 2026'!I6:I124)="ZARUMILLA")*('FEBRERO 2026'!K6:K124="GASOLINA")*'FEBRERO 2026'!L6:L124*'FEBRERO 2026'!M6:M124),0)</f>
        <v/>
      </c>
      <c r="G339" s="194" t="n"/>
      <c r="H339" s="194" t="n"/>
      <c r="I339" s="194" t="n"/>
      <c r="J339" s="194" t="n"/>
      <c r="K339" s="194" t="n"/>
      <c r="L339" s="194" t="n"/>
      <c r="M339" s="194" t="n"/>
      <c r="N339" s="194" t="n"/>
      <c r="O339" s="194" t="n"/>
      <c r="P339" s="194" t="n"/>
      <c r="Q339" s="194" t="n"/>
      <c r="R339" s="194" t="n"/>
      <c r="S339" s="194" t="n"/>
      <c r="T339" s="194" t="n"/>
      <c r="U339" s="194" t="n"/>
      <c r="V339" s="194" t="n"/>
      <c r="W339" s="194" t="n"/>
      <c r="X339" s="194" t="n"/>
      <c r="Y339" s="194" t="n"/>
      <c r="Z339" s="194" t="n"/>
    </row>
    <row r="340" ht="15.75" customHeight="1" s="195">
      <c r="A340" s="194" t="inlineStr">
        <is>
          <t>ZARUMILLA</t>
        </is>
      </c>
      <c r="B340" s="194" t="inlineStr">
        <is>
          <t>MARZO 2026</t>
        </is>
      </c>
      <c r="C340" s="377">
        <f>IFERROR(SUMPRODUCT((IF('MARZO 2026'!Y6:Y119&lt;&gt;"",'MARZO 2026'!Y6:Y119,'MARZO 2026'!I6:I119)="ZARUMILLA")*('MARZO 2026'!K6:K119="PETROLEO")*'MARZO 2026'!M6:M119),0)</f>
        <v/>
      </c>
      <c r="D340" s="377">
        <f>IFERROR(SUMPRODUCT((IF('MARZO 2026'!Y6:Y119&lt;&gt;"",'MARZO 2026'!Y6:Y119,'MARZO 2026'!I6:I119)="ZARUMILLA")*('MARZO 2026'!K6:K119="PETROLEO")*'MARZO 2026'!L6:L119*'MARZO 2026'!M6:M119),0)</f>
        <v/>
      </c>
      <c r="E340" s="377">
        <f>IFERROR(SUMPRODUCT((IF('MARZO 2026'!Y6:Y119&lt;&gt;"",'MARZO 2026'!Y6:Y119,'MARZO 2026'!I6:I119)="ZARUMILLA")*('MARZO 2026'!K6:K119="GASOLINA")*'MARZO 2026'!M6:M119),0)</f>
        <v/>
      </c>
      <c r="F340" s="377">
        <f>IFERROR(SUMPRODUCT((IF('MARZO 2026'!Y6:Y119&lt;&gt;"",'MARZO 2026'!Y6:Y119,'MARZO 2026'!I6:I119)="ZARUMILLA")*('MARZO 2026'!K6:K119="GASOLINA")*'MARZO 2026'!L6:L119*'MARZO 2026'!M6:M119),0)</f>
        <v/>
      </c>
      <c r="G340" s="194" t="n"/>
      <c r="H340" s="194" t="n"/>
      <c r="I340" s="194" t="n"/>
      <c r="J340" s="194" t="n"/>
      <c r="K340" s="194" t="n"/>
      <c r="L340" s="194" t="n"/>
      <c r="M340" s="194" t="n"/>
      <c r="N340" s="194" t="n"/>
      <c r="O340" s="194" t="n"/>
      <c r="P340" s="194" t="n"/>
      <c r="Q340" s="194" t="n"/>
      <c r="R340" s="194" t="n"/>
      <c r="S340" s="194" t="n"/>
      <c r="T340" s="194" t="n"/>
      <c r="U340" s="194" t="n"/>
      <c r="V340" s="194" t="n"/>
      <c r="W340" s="194" t="n"/>
      <c r="X340" s="194" t="n"/>
      <c r="Y340" s="194" t="n"/>
      <c r="Z340" s="194" t="n"/>
    </row>
    <row r="341" ht="15.75" customHeight="1" s="195">
      <c r="A341" s="194" t="inlineStr">
        <is>
          <t>ZARUMILLA</t>
        </is>
      </c>
      <c r="B341" s="194" t="inlineStr">
        <is>
          <t>ABRIL 2026</t>
        </is>
      </c>
      <c r="C341" s="377">
        <f>IFERROR(SUMPRODUCT((IF('ABRIL 2026'!Y6:Y119&lt;&gt;"",'ABRIL 2026'!Y6:Y119,'ABRIL 2026'!I6:I119)="ZARUMILLA")*('ABRIL 2026'!K6:K119="PETROLEO")*'ABRIL 2026'!M6:M119),0)</f>
        <v/>
      </c>
      <c r="D341" s="377">
        <f>IFERROR(SUMPRODUCT((IF('ABRIL 2026'!Y6:Y119&lt;&gt;"",'ABRIL 2026'!Y6:Y119,'ABRIL 2026'!I6:I119)="ZARUMILLA")*('ABRIL 2026'!K6:K119="PETROLEO")*'ABRIL 2026'!L6:L119*'ABRIL 2026'!M6:M119),0)</f>
        <v/>
      </c>
      <c r="E341" s="377">
        <f>IFERROR(SUMPRODUCT((IF('ABRIL 2026'!Y6:Y119&lt;&gt;"",'ABRIL 2026'!Y6:Y119,'ABRIL 2026'!I6:I119)="ZARUMILLA")*('ABRIL 2026'!K6:K119="GASOLINA")*'ABRIL 2026'!M6:M119),0)</f>
        <v/>
      </c>
      <c r="F341" s="377">
        <f>IFERROR(SUMPRODUCT((IF('ABRIL 2026'!Y6:Y119&lt;&gt;"",'ABRIL 2026'!Y6:Y119,'ABRIL 2026'!I6:I119)="ZARUMILLA")*('ABRIL 2026'!K6:K119="GASOLINA")*'ABRIL 2026'!L6:L119*'ABRIL 2026'!M6:M119),0)</f>
        <v/>
      </c>
      <c r="G341" s="194" t="n"/>
      <c r="H341" s="194" t="n"/>
      <c r="I341" s="194" t="n"/>
      <c r="J341" s="194" t="n"/>
      <c r="K341" s="194" t="n"/>
      <c r="L341" s="194" t="n"/>
      <c r="M341" s="194" t="n"/>
      <c r="N341" s="194" t="n"/>
      <c r="O341" s="194" t="n"/>
      <c r="P341" s="194" t="n"/>
      <c r="Q341" s="194" t="n"/>
      <c r="R341" s="194" t="n"/>
      <c r="S341" s="194" t="n"/>
      <c r="T341" s="194" t="n"/>
      <c r="U341" s="194" t="n"/>
      <c r="V341" s="194" t="n"/>
      <c r="W341" s="194" t="n"/>
      <c r="X341" s="194" t="n"/>
      <c r="Y341" s="194" t="n"/>
      <c r="Z341" s="194" t="n"/>
    </row>
    <row r="342" ht="15.75" customHeight="1" s="195">
      <c r="A342" s="194" t="inlineStr">
        <is>
          <t>ZARUMILLA</t>
        </is>
      </c>
      <c r="B342" s="194" t="inlineStr">
        <is>
          <t>MAYO 2026</t>
        </is>
      </c>
      <c r="C342" s="377">
        <f>IFERROR(SUMPRODUCT((IF('MAYO 2026'!Y6:Y110&lt;&gt;"",'MAYO 2026'!Y6:Y110,'MAYO 2026'!I6:I110)="ZARUMILLA")*('MAYO 2026'!K6:K110="PETROLEO")*'MAYO 2026'!M6:M110),0)</f>
        <v/>
      </c>
      <c r="D342" s="377">
        <f>IFERROR(SUMPRODUCT((IF('MAYO 2026'!Y6:Y110&lt;&gt;"",'MAYO 2026'!Y6:Y110,'MAYO 2026'!I6:I110)="ZARUMILLA")*('MAYO 2026'!K6:K110="PETROLEO")*'MAYO 2026'!L6:L110*'MAYO 2026'!M6:M110),0)</f>
        <v/>
      </c>
      <c r="E342" s="377">
        <f>IFERROR(SUMPRODUCT((IF('MAYO 2026'!Y6:Y110&lt;&gt;"",'MAYO 2026'!Y6:Y110,'MAYO 2026'!I6:I110)="ZARUMILLA")*('MAYO 2026'!K6:K110="GASOLINA")*'MAYO 2026'!M6:M110),0)</f>
        <v/>
      </c>
      <c r="F342" s="377">
        <f>IFERROR(SUMPRODUCT((IF('MAYO 2026'!Y6:Y110&lt;&gt;"",'MAYO 2026'!Y6:Y110,'MAYO 2026'!I6:I110)="ZARUMILLA")*('MAYO 2026'!K6:K110="GASOLINA")*'MAYO 2026'!L6:L110*'MAYO 2026'!M6:M110),0)</f>
        <v/>
      </c>
      <c r="G342" s="194" t="n"/>
      <c r="H342" s="194" t="n"/>
      <c r="I342" s="194" t="n"/>
      <c r="J342" s="194" t="n"/>
      <c r="K342" s="194" t="n"/>
      <c r="L342" s="194" t="n"/>
      <c r="M342" s="194" t="n"/>
      <c r="N342" s="194" t="n"/>
      <c r="O342" s="194" t="n"/>
      <c r="P342" s="194" t="n"/>
      <c r="Q342" s="194" t="n"/>
      <c r="R342" s="194" t="n"/>
      <c r="S342" s="194" t="n"/>
      <c r="T342" s="194" t="n"/>
      <c r="U342" s="194" t="n"/>
      <c r="V342" s="194" t="n"/>
      <c r="W342" s="194" t="n"/>
      <c r="X342" s="194" t="n"/>
      <c r="Y342" s="194" t="n"/>
      <c r="Z342" s="194" t="n"/>
    </row>
    <row r="343" ht="15.75" customHeight="1" s="195">
      <c r="A343" s="194" t="inlineStr">
        <is>
          <t>ZARUMILLA</t>
        </is>
      </c>
      <c r="B343" s="194" t="inlineStr">
        <is>
          <t>JUNIO 2026</t>
        </is>
      </c>
      <c r="C343" s="377">
        <f>IFERROR(SUMPRODUCT((IF('JUNIO 2026'!Y6:Y110&lt;&gt;"",'JUNIO 2026'!Y6:Y110,'JUNIO 2026'!I6:I110)="ZARUMILLA")*('JUNIO 2026'!K6:K110="PETROLEO")*'JUNIO 2026'!M6:M110),0)</f>
        <v/>
      </c>
      <c r="D343" s="377">
        <f>IFERROR(SUMPRODUCT((IF('JUNIO 2026'!Y6:Y110&lt;&gt;"",'JUNIO 2026'!Y6:Y110,'JUNIO 2026'!I6:I110)="ZARUMILLA")*('JUNIO 2026'!K6:K110="PETROLEO")*'JUNIO 2026'!L6:L110*'JUNIO 2026'!M6:M110),0)</f>
        <v/>
      </c>
      <c r="E343" s="377">
        <f>IFERROR(SUMPRODUCT((IF('JUNIO 2026'!Y6:Y110&lt;&gt;"",'JUNIO 2026'!Y6:Y110,'JUNIO 2026'!I6:I110)="ZARUMILLA")*('JUNIO 2026'!K6:K110="GASOLINA")*'JUNIO 2026'!M6:M110),0)</f>
        <v/>
      </c>
      <c r="F343" s="377">
        <f>IFERROR(SUMPRODUCT((IF('JUNIO 2026'!Y6:Y110&lt;&gt;"",'JUNIO 2026'!Y6:Y110,'JUNIO 2026'!I6:I110)="ZARUMILLA")*('JUNIO 2026'!K6:K110="GASOLINA")*'JUNIO 2026'!L6:L110*'JUNIO 2026'!M6:M110),0)</f>
        <v/>
      </c>
      <c r="G343" s="194" t="n"/>
      <c r="H343" s="194" t="n"/>
      <c r="I343" s="194" t="n"/>
      <c r="J343" s="194" t="n"/>
      <c r="K343" s="194" t="n"/>
      <c r="L343" s="194" t="n"/>
      <c r="M343" s="194" t="n"/>
      <c r="N343" s="194" t="n"/>
      <c r="O343" s="194" t="n"/>
      <c r="P343" s="194" t="n"/>
      <c r="Q343" s="194" t="n"/>
      <c r="R343" s="194" t="n"/>
      <c r="S343" s="194" t="n"/>
      <c r="T343" s="194" t="n"/>
      <c r="U343" s="194" t="n"/>
      <c r="V343" s="194" t="n"/>
      <c r="W343" s="194" t="n"/>
      <c r="X343" s="194" t="n"/>
      <c r="Y343" s="194" t="n"/>
      <c r="Z343" s="194" t="n"/>
    </row>
    <row r="344" ht="15.75" customHeight="1" s="195">
      <c r="A344" s="194" t="inlineStr">
        <is>
          <t>ZARUMILLA</t>
        </is>
      </c>
      <c r="B344" s="194" t="inlineStr">
        <is>
          <t>JULIO 2026</t>
        </is>
      </c>
      <c r="C344" s="377">
        <f>IFERROR(SUMPRODUCT((IF('JULIO 2026'!Y6:Y110&lt;&gt;"",'JULIO 2026'!Y6:Y110,'JULIO 2026'!I6:I110)="ZARUMILLA")*('JULIO 2026'!K6:K110="PETROLEO")*'JULIO 2026'!M6:M110),0)</f>
        <v/>
      </c>
      <c r="D344" s="377">
        <f>IFERROR(SUMPRODUCT((IF('JULIO 2026'!Y6:Y110&lt;&gt;"",'JULIO 2026'!Y6:Y110,'JULIO 2026'!I6:I110)="ZARUMILLA")*('JULIO 2026'!K6:K110="PETROLEO")*'JULIO 2026'!L6:L110*'JULIO 2026'!M6:M110),0)</f>
        <v/>
      </c>
      <c r="E344" s="377">
        <f>IFERROR(SUMPRODUCT((IF('JULIO 2026'!Y6:Y110&lt;&gt;"",'JULIO 2026'!Y6:Y110,'JULIO 2026'!I6:I110)="ZARUMILLA")*('JULIO 2026'!K6:K110="GASOLINA")*'JULIO 2026'!M6:M110),0)</f>
        <v/>
      </c>
      <c r="F344" s="377">
        <f>IFERROR(SUMPRODUCT((IF('JULIO 2026'!Y6:Y110&lt;&gt;"",'JULIO 2026'!Y6:Y110,'JULIO 2026'!I6:I110)="ZARUMILLA")*('JULIO 2026'!K6:K110="GASOLINA")*'JULIO 2026'!L6:L110*'JULIO 2026'!M6:M110),0)</f>
        <v/>
      </c>
      <c r="G344" s="194" t="n"/>
      <c r="H344" s="194" t="n"/>
      <c r="I344" s="194" t="n"/>
      <c r="J344" s="194" t="n"/>
      <c r="K344" s="194" t="n"/>
      <c r="L344" s="194" t="n"/>
      <c r="M344" s="194" t="n"/>
      <c r="N344" s="194" t="n"/>
      <c r="O344" s="194" t="n"/>
      <c r="P344" s="194" t="n"/>
      <c r="Q344" s="194" t="n"/>
      <c r="R344" s="194" t="n"/>
      <c r="S344" s="194" t="n"/>
      <c r="T344" s="194" t="n"/>
      <c r="U344" s="194" t="n"/>
      <c r="V344" s="194" t="n"/>
      <c r="W344" s="194" t="n"/>
      <c r="X344" s="194" t="n"/>
      <c r="Y344" s="194" t="n"/>
      <c r="Z344" s="194" t="n"/>
    </row>
    <row r="345" ht="15.75" customHeight="1" s="195">
      <c r="A345" s="194" t="inlineStr">
        <is>
          <t>ZARUMILLA</t>
        </is>
      </c>
      <c r="B345" s="194" t="inlineStr">
        <is>
          <t>AGOSTO 2026</t>
        </is>
      </c>
      <c r="C345" s="377">
        <f>IFERROR(SUMPRODUCT((IF('AGOSTO 2026'!Y6:Y110&lt;&gt;"",'AGOSTO 2026'!Y6:Y110,'AGOSTO 2026'!I6:I110)="ZARUMILLA")*('AGOSTO 2026'!K6:K110="PETROLEO")*'AGOSTO 2026'!M6:M110),0)</f>
        <v/>
      </c>
      <c r="D345" s="377">
        <f>IFERROR(SUMPRODUCT((IF('AGOSTO 2026'!Y6:Y110&lt;&gt;"",'AGOSTO 2026'!Y6:Y110,'AGOSTO 2026'!I6:I110)="ZARUMILLA")*('AGOSTO 2026'!K6:K110="PETROLEO")*'AGOSTO 2026'!L6:L110*'AGOSTO 2026'!M6:M110),0)</f>
        <v/>
      </c>
      <c r="E345" s="377">
        <f>IFERROR(SUMPRODUCT((IF('AGOSTO 2026'!Y6:Y110&lt;&gt;"",'AGOSTO 2026'!Y6:Y110,'AGOSTO 2026'!I6:I110)="ZARUMILLA")*('AGOSTO 2026'!K6:K110="GASOLINA")*'AGOSTO 2026'!M6:M110),0)</f>
        <v/>
      </c>
      <c r="F345" s="377">
        <f>IFERROR(SUMPRODUCT((IF('AGOSTO 2026'!Y6:Y110&lt;&gt;"",'AGOSTO 2026'!Y6:Y110,'AGOSTO 2026'!I6:I110)="ZARUMILLA")*('AGOSTO 2026'!K6:K110="GASOLINA")*'AGOSTO 2026'!L6:L110*'AGOSTO 2026'!M6:M110),0)</f>
        <v/>
      </c>
      <c r="G345" s="194" t="n"/>
      <c r="H345" s="194" t="n"/>
      <c r="I345" s="194" t="n"/>
      <c r="J345" s="194" t="n"/>
      <c r="K345" s="194" t="n"/>
      <c r="L345" s="194" t="n"/>
      <c r="M345" s="194" t="n"/>
      <c r="N345" s="194" t="n"/>
      <c r="O345" s="194" t="n"/>
      <c r="P345" s="194" t="n"/>
      <c r="Q345" s="194" t="n"/>
      <c r="R345" s="194" t="n"/>
      <c r="S345" s="194" t="n"/>
      <c r="T345" s="194" t="n"/>
      <c r="U345" s="194" t="n"/>
      <c r="V345" s="194" t="n"/>
      <c r="W345" s="194" t="n"/>
      <c r="X345" s="194" t="n"/>
      <c r="Y345" s="194" t="n"/>
      <c r="Z345" s="194" t="n"/>
    </row>
    <row r="346" ht="15.75" customHeight="1" s="195">
      <c r="A346" s="194" t="inlineStr">
        <is>
          <t>ZARUMILLA</t>
        </is>
      </c>
      <c r="B346" s="194" t="inlineStr">
        <is>
          <t>SETIEMBRE 2026</t>
        </is>
      </c>
      <c r="C346" s="377">
        <f>IFERROR(SUMPRODUCT((IF('SETIEMBRE 2026'!Y6:Y110&lt;&gt;"",'SETIEMBRE 2026'!Y6:Y110,'SETIEMBRE 2026'!I6:I110)="ZARUMILLA")*('SETIEMBRE 2026'!K6:K110="PETROLEO")*'SETIEMBRE 2026'!M6:M110),0)</f>
        <v/>
      </c>
      <c r="D346" s="377">
        <f>IFERROR(SUMPRODUCT((IF('SETIEMBRE 2026'!Y6:Y110&lt;&gt;"",'SETIEMBRE 2026'!Y6:Y110,'SETIEMBRE 2026'!I6:I110)="ZARUMILLA")*('SETIEMBRE 2026'!K6:K110="PETROLEO")*'SETIEMBRE 2026'!L6:L110*'SETIEMBRE 2026'!M6:M110),0)</f>
        <v/>
      </c>
      <c r="E346" s="377">
        <f>IFERROR(SUMPRODUCT((IF('SETIEMBRE 2026'!Y6:Y110&lt;&gt;"",'SETIEMBRE 2026'!Y6:Y110,'SETIEMBRE 2026'!I6:I110)="ZARUMILLA")*('SETIEMBRE 2026'!K6:K110="GASOLINA")*'SETIEMBRE 2026'!M6:M110),0)</f>
        <v/>
      </c>
      <c r="F346" s="377">
        <f>IFERROR(SUMPRODUCT((IF('SETIEMBRE 2026'!Y6:Y110&lt;&gt;"",'SETIEMBRE 2026'!Y6:Y110,'SETIEMBRE 2026'!I6:I110)="ZARUMILLA")*('SETIEMBRE 2026'!K6:K110="GASOLINA")*'SETIEMBRE 2026'!L6:L110*'SETIEMBRE 2026'!M6:M110),0)</f>
        <v/>
      </c>
      <c r="G346" s="194" t="n"/>
      <c r="H346" s="194" t="n"/>
      <c r="I346" s="194" t="n"/>
      <c r="J346" s="194" t="n"/>
      <c r="K346" s="194" t="n"/>
      <c r="L346" s="194" t="n"/>
      <c r="M346" s="194" t="n"/>
      <c r="N346" s="194" t="n"/>
      <c r="O346" s="194" t="n"/>
      <c r="P346" s="194" t="n"/>
      <c r="Q346" s="194" t="n"/>
      <c r="R346" s="194" t="n"/>
      <c r="S346" s="194" t="n"/>
      <c r="T346" s="194" t="n"/>
      <c r="U346" s="194" t="n"/>
      <c r="V346" s="194" t="n"/>
      <c r="W346" s="194" t="n"/>
      <c r="X346" s="194" t="n"/>
      <c r="Y346" s="194" t="n"/>
      <c r="Z346" s="194" t="n"/>
    </row>
    <row r="347" ht="15.75" customHeight="1" s="195">
      <c r="A347" s="194" t="inlineStr">
        <is>
          <t>ZARUMILLA</t>
        </is>
      </c>
      <c r="B347" s="194" t="inlineStr">
        <is>
          <t>OCTUBRE 2026</t>
        </is>
      </c>
      <c r="C347" s="377">
        <f>IFERROR(SUMPRODUCT((IF('OCTUBRE 2026'!Y6:Y110&lt;&gt;"",'OCTUBRE 2026'!Y6:Y110,'OCTUBRE 2026'!I6:I110)="ZARUMILLA")*('OCTUBRE 2026'!K6:K110="PETROLEO")*'OCTUBRE 2026'!M6:M110),0)</f>
        <v/>
      </c>
      <c r="D347" s="377">
        <f>IFERROR(SUMPRODUCT((IF('OCTUBRE 2026'!Y6:Y110&lt;&gt;"",'OCTUBRE 2026'!Y6:Y110,'OCTUBRE 2026'!I6:I110)="ZARUMILLA")*('OCTUBRE 2026'!K6:K110="PETROLEO")*'OCTUBRE 2026'!L6:L110*'OCTUBRE 2026'!M6:M110),0)</f>
        <v/>
      </c>
      <c r="E347" s="377">
        <f>IFERROR(SUMPRODUCT((IF('OCTUBRE 2026'!Y6:Y110&lt;&gt;"",'OCTUBRE 2026'!Y6:Y110,'OCTUBRE 2026'!I6:I110)="ZARUMILLA")*('OCTUBRE 2026'!K6:K110="GASOLINA")*'OCTUBRE 2026'!M6:M110),0)</f>
        <v/>
      </c>
      <c r="F347" s="377">
        <f>IFERROR(SUMPRODUCT((IF('OCTUBRE 2026'!Y6:Y110&lt;&gt;"",'OCTUBRE 2026'!Y6:Y110,'OCTUBRE 2026'!I6:I110)="ZARUMILLA")*('OCTUBRE 2026'!K6:K110="GASOLINA")*'OCTUBRE 2026'!L6:L110*'OCTUBRE 2026'!M6:M110),0)</f>
        <v/>
      </c>
      <c r="G347" s="194" t="n"/>
      <c r="H347" s="194" t="n"/>
      <c r="I347" s="194" t="n"/>
      <c r="J347" s="194" t="n"/>
      <c r="K347" s="194" t="n"/>
      <c r="L347" s="194" t="n"/>
      <c r="M347" s="194" t="n"/>
      <c r="N347" s="194" t="n"/>
      <c r="O347" s="194" t="n"/>
      <c r="P347" s="194" t="n"/>
      <c r="Q347" s="194" t="n"/>
      <c r="R347" s="194" t="n"/>
      <c r="S347" s="194" t="n"/>
      <c r="T347" s="194" t="n"/>
      <c r="U347" s="194" t="n"/>
      <c r="V347" s="194" t="n"/>
      <c r="W347" s="194" t="n"/>
      <c r="X347" s="194" t="n"/>
      <c r="Y347" s="194" t="n"/>
      <c r="Z347" s="194" t="n"/>
    </row>
    <row r="348" ht="15.75" customHeight="1" s="195">
      <c r="A348" s="194" t="inlineStr">
        <is>
          <t>ZARUMILLA</t>
        </is>
      </c>
      <c r="B348" s="194" t="inlineStr">
        <is>
          <t>NOVIEMBRE 2026</t>
        </is>
      </c>
      <c r="C348" s="377">
        <f>IFERROR(SUMPRODUCT((IF('NOVIEMBRE 2026'!Y6:Y110&lt;&gt;"",'NOVIEMBRE 2026'!Y6:Y110,'NOVIEMBRE 2026'!I6:I110)="ZARUMILLA")*('NOVIEMBRE 2026'!K6:K110="PETROLEO")*'NOVIEMBRE 2026'!M6:M110),0)</f>
        <v/>
      </c>
      <c r="D348" s="377">
        <f>IFERROR(SUMPRODUCT((IF('NOVIEMBRE 2026'!Y6:Y110&lt;&gt;"",'NOVIEMBRE 2026'!Y6:Y110,'NOVIEMBRE 2026'!I6:I110)="ZARUMILLA")*('NOVIEMBRE 2026'!K6:K110="PETROLEO")*'NOVIEMBRE 2026'!L6:L110*'NOVIEMBRE 2026'!M6:M110),0)</f>
        <v/>
      </c>
      <c r="E348" s="377">
        <f>IFERROR(SUMPRODUCT((IF('NOVIEMBRE 2026'!Y6:Y110&lt;&gt;"",'NOVIEMBRE 2026'!Y6:Y110,'NOVIEMBRE 2026'!I6:I110)="ZARUMILLA")*('NOVIEMBRE 2026'!K6:K110="GASOLINA")*'NOVIEMBRE 2026'!M6:M110),0)</f>
        <v/>
      </c>
      <c r="F348" s="377">
        <f>IFERROR(SUMPRODUCT((IF('NOVIEMBRE 2026'!Y6:Y110&lt;&gt;"",'NOVIEMBRE 2026'!Y6:Y110,'NOVIEMBRE 2026'!I6:I110)="ZARUMILLA")*('NOVIEMBRE 2026'!K6:K110="GASOLINA")*'NOVIEMBRE 2026'!L6:L110*'NOVIEMBRE 2026'!M6:M110),0)</f>
        <v/>
      </c>
      <c r="G348" s="194" t="n"/>
      <c r="H348" s="194" t="n"/>
      <c r="I348" s="194" t="n"/>
      <c r="J348" s="194" t="n"/>
      <c r="K348" s="194" t="n"/>
      <c r="L348" s="194" t="n"/>
      <c r="M348" s="194" t="n"/>
      <c r="N348" s="194" t="n"/>
      <c r="O348" s="194" t="n"/>
      <c r="P348" s="194" t="n"/>
      <c r="Q348" s="194" t="n"/>
      <c r="R348" s="194" t="n"/>
      <c r="S348" s="194" t="n"/>
      <c r="T348" s="194" t="n"/>
      <c r="U348" s="194" t="n"/>
      <c r="V348" s="194" t="n"/>
      <c r="W348" s="194" t="n"/>
      <c r="X348" s="194" t="n"/>
      <c r="Y348" s="194" t="n"/>
      <c r="Z348" s="194" t="n"/>
    </row>
    <row r="349" ht="15.75" customHeight="1" s="195">
      <c r="A349" s="194" t="inlineStr">
        <is>
          <t>ZARUMILLA</t>
        </is>
      </c>
      <c r="B349" s="194" t="inlineStr">
        <is>
          <t>DICIEMBRE 2026</t>
        </is>
      </c>
      <c r="C349" s="377">
        <f>IFERROR(SUMPRODUCT((IF('DICIEMBRE 2026'!Y6:Y110&lt;&gt;"",'DICIEMBRE 2026'!Y6:Y110,'DICIEMBRE 2026'!I6:I110)="ZARUMILLA")*('DICIEMBRE 2026'!K6:K110="PETROLEO")*'DICIEMBRE 2026'!M6:M110),0)</f>
        <v/>
      </c>
      <c r="D349" s="377">
        <f>IFERROR(SUMPRODUCT((IF('DICIEMBRE 2026'!Y6:Y110&lt;&gt;"",'DICIEMBRE 2026'!Y6:Y110,'DICIEMBRE 2026'!I6:I110)="ZARUMILLA")*('DICIEMBRE 2026'!K6:K110="PETROLEO")*'DICIEMBRE 2026'!L6:L110*'DICIEMBRE 2026'!M6:M110),0)</f>
        <v/>
      </c>
      <c r="E349" s="377">
        <f>IFERROR(SUMPRODUCT((IF('DICIEMBRE 2026'!Y6:Y110&lt;&gt;"",'DICIEMBRE 2026'!Y6:Y110,'DICIEMBRE 2026'!I6:I110)="ZARUMILLA")*('DICIEMBRE 2026'!K6:K110="GASOLINA")*'DICIEMBRE 2026'!M6:M110),0)</f>
        <v/>
      </c>
      <c r="F349" s="377">
        <f>IFERROR(SUMPRODUCT((IF('DICIEMBRE 2026'!Y6:Y110&lt;&gt;"",'DICIEMBRE 2026'!Y6:Y110,'DICIEMBRE 2026'!I6:I110)="ZARUMILLA")*('DICIEMBRE 2026'!K6:K110="GASOLINA")*'DICIEMBRE 2026'!L6:L110*'DICIEMBRE 2026'!M6:M110),0)</f>
        <v/>
      </c>
      <c r="G349" s="194" t="n"/>
      <c r="H349" s="194" t="n"/>
      <c r="I349" s="194" t="n"/>
      <c r="J349" s="194" t="n"/>
      <c r="K349" s="194" t="n"/>
      <c r="L349" s="194" t="n"/>
      <c r="M349" s="194" t="n"/>
      <c r="N349" s="194" t="n"/>
      <c r="O349" s="194" t="n"/>
      <c r="P349" s="194" t="n"/>
      <c r="Q349" s="194" t="n"/>
      <c r="R349" s="194" t="n"/>
      <c r="S349" s="194" t="n"/>
      <c r="T349" s="194" t="n"/>
      <c r="U349" s="194" t="n"/>
      <c r="V349" s="194" t="n"/>
      <c r="W349" s="194" t="n"/>
      <c r="X349" s="194" t="n"/>
      <c r="Y349" s="194" t="n"/>
      <c r="Z349" s="194" t="n"/>
    </row>
    <row r="350" ht="15.75" customHeight="1" s="195">
      <c r="A350" s="194" t="inlineStr">
        <is>
          <t>SAN SALVADOR</t>
        </is>
      </c>
      <c r="B350" s="194" t="inlineStr">
        <is>
          <t>ENERO 2026</t>
        </is>
      </c>
      <c r="C350" s="377">
        <f>IFERROR(SUMPRODUCT((IF('ENERO 2026'!Y6:Y119&lt;&gt;"",'ENERO 2026'!Y6:Y119,'ENERO 2026'!I6:I119)="SAN SALVADOR")*('ENERO 2026'!K6:K119="PETROLEO")*'ENERO 2026'!M6:M119),0)</f>
        <v/>
      </c>
      <c r="D350" s="377">
        <f>IFERROR(SUMPRODUCT((IF('ENERO 2026'!Y6:Y119&lt;&gt;"",'ENERO 2026'!Y6:Y119,'ENERO 2026'!I6:I119)="SAN SALVADOR")*('ENERO 2026'!K6:K119="PETROLEO")*'ENERO 2026'!L6:L119*'ENERO 2026'!M6:M119),0)</f>
        <v/>
      </c>
      <c r="E350" s="377">
        <f>IFERROR(SUMPRODUCT((IF('ENERO 2026'!Y6:Y119&lt;&gt;"",'ENERO 2026'!Y6:Y119,'ENERO 2026'!I6:I119)="SAN SALVADOR")*('ENERO 2026'!K6:K119="GASOLINA")*'ENERO 2026'!M6:M119),0)</f>
        <v/>
      </c>
      <c r="F350" s="377">
        <f>IFERROR(SUMPRODUCT((IF('ENERO 2026'!Y6:Y119&lt;&gt;"",'ENERO 2026'!Y6:Y119,'ENERO 2026'!I6:I119)="SAN SALVADOR")*('ENERO 2026'!K6:K119="GASOLINA")*'ENERO 2026'!L6:L119*'ENERO 2026'!M6:M119),0)</f>
        <v/>
      </c>
      <c r="G350" s="194" t="n"/>
      <c r="H350" s="194" t="n"/>
      <c r="I350" s="194" t="n"/>
      <c r="J350" s="194" t="n"/>
      <c r="K350" s="194" t="n"/>
      <c r="L350" s="194" t="n"/>
      <c r="M350" s="194" t="n"/>
      <c r="N350" s="194" t="n"/>
      <c r="O350" s="194" t="n"/>
      <c r="P350" s="194" t="n"/>
      <c r="Q350" s="194" t="n"/>
      <c r="R350" s="194" t="n"/>
      <c r="S350" s="194" t="n"/>
      <c r="T350" s="194" t="n"/>
      <c r="U350" s="194" t="n"/>
      <c r="V350" s="194" t="n"/>
      <c r="W350" s="194" t="n"/>
      <c r="X350" s="194" t="n"/>
      <c r="Y350" s="194" t="n"/>
      <c r="Z350" s="194" t="n"/>
    </row>
    <row r="351" ht="15.75" customHeight="1" s="195">
      <c r="A351" s="194" t="inlineStr">
        <is>
          <t>SAN SALVADOR</t>
        </is>
      </c>
      <c r="B351" s="194" t="inlineStr">
        <is>
          <t>FEBRERO 2026</t>
        </is>
      </c>
      <c r="C351" s="377">
        <f>IFERROR(SUMPRODUCT((IF('FEBRERO 2026'!Y6:Y124&lt;&gt;"",'FEBRERO 2026'!Y6:Y124,'FEBRERO 2026'!I6:I124)="SAN SALVADOR")*('FEBRERO 2026'!K6:K124="PETROLEO")*'FEBRERO 2026'!M6:M124),0)</f>
        <v/>
      </c>
      <c r="D351" s="377">
        <f>IFERROR(SUMPRODUCT((IF('FEBRERO 2026'!Y6:Y124&lt;&gt;"",'FEBRERO 2026'!Y6:Y124,'FEBRERO 2026'!I6:I124)="SAN SALVADOR")*('FEBRERO 2026'!K6:K124="PETROLEO")*'FEBRERO 2026'!L6:L124*'FEBRERO 2026'!M6:M124),0)</f>
        <v/>
      </c>
      <c r="E351" s="377">
        <f>IFERROR(SUMPRODUCT((IF('FEBRERO 2026'!Y6:Y124&lt;&gt;"",'FEBRERO 2026'!Y6:Y124,'FEBRERO 2026'!I6:I124)="SAN SALVADOR")*('FEBRERO 2026'!K6:K124="GASOLINA")*'FEBRERO 2026'!M6:M124),0)</f>
        <v/>
      </c>
      <c r="F351" s="377">
        <f>IFERROR(SUMPRODUCT((IF('FEBRERO 2026'!Y6:Y124&lt;&gt;"",'FEBRERO 2026'!Y6:Y124,'FEBRERO 2026'!I6:I124)="SAN SALVADOR")*('FEBRERO 2026'!K6:K124="GASOLINA")*'FEBRERO 2026'!L6:L124*'FEBRERO 2026'!M6:M124),0)</f>
        <v/>
      </c>
      <c r="G351" s="194" t="n"/>
      <c r="H351" s="194" t="n"/>
      <c r="I351" s="194" t="n"/>
      <c r="J351" s="194" t="n"/>
      <c r="K351" s="194" t="n"/>
      <c r="L351" s="194" t="n"/>
      <c r="M351" s="194" t="n"/>
      <c r="N351" s="194" t="n"/>
      <c r="O351" s="194" t="n"/>
      <c r="P351" s="194" t="n"/>
      <c r="Q351" s="194" t="n"/>
      <c r="R351" s="194" t="n"/>
      <c r="S351" s="194" t="n"/>
      <c r="T351" s="194" t="n"/>
      <c r="U351" s="194" t="n"/>
      <c r="V351" s="194" t="n"/>
      <c r="W351" s="194" t="n"/>
      <c r="X351" s="194" t="n"/>
      <c r="Y351" s="194" t="n"/>
      <c r="Z351" s="194" t="n"/>
    </row>
    <row r="352" ht="15.75" customHeight="1" s="195">
      <c r="A352" s="194" t="inlineStr">
        <is>
          <t>SAN SALVADOR</t>
        </is>
      </c>
      <c r="B352" s="194" t="inlineStr">
        <is>
          <t>MARZO 2026</t>
        </is>
      </c>
      <c r="C352" s="377">
        <f>IFERROR(SUMPRODUCT((IF('MARZO 2026'!Y6:Y119&lt;&gt;"",'MARZO 2026'!Y6:Y119,'MARZO 2026'!I6:I119)="SAN SALVADOR")*('MARZO 2026'!K6:K119="PETROLEO")*'MARZO 2026'!M6:M119),0)</f>
        <v/>
      </c>
      <c r="D352" s="377">
        <f>IFERROR(SUMPRODUCT((IF('MARZO 2026'!Y6:Y119&lt;&gt;"",'MARZO 2026'!Y6:Y119,'MARZO 2026'!I6:I119)="SAN SALVADOR")*('MARZO 2026'!K6:K119="PETROLEO")*'MARZO 2026'!L6:L119*'MARZO 2026'!M6:M119),0)</f>
        <v/>
      </c>
      <c r="E352" s="377">
        <f>IFERROR(SUMPRODUCT((IF('MARZO 2026'!Y6:Y119&lt;&gt;"",'MARZO 2026'!Y6:Y119,'MARZO 2026'!I6:I119)="SAN SALVADOR")*('MARZO 2026'!K6:K119="GASOLINA")*'MARZO 2026'!M6:M119),0)</f>
        <v/>
      </c>
      <c r="F352" s="377">
        <f>IFERROR(SUMPRODUCT((IF('MARZO 2026'!Y6:Y119&lt;&gt;"",'MARZO 2026'!Y6:Y119,'MARZO 2026'!I6:I119)="SAN SALVADOR")*('MARZO 2026'!K6:K119="GASOLINA")*'MARZO 2026'!L6:L119*'MARZO 2026'!M6:M119),0)</f>
        <v/>
      </c>
      <c r="G352" s="194" t="n"/>
      <c r="H352" s="194" t="n"/>
      <c r="I352" s="194" t="n"/>
      <c r="J352" s="194" t="n"/>
      <c r="K352" s="194" t="n"/>
      <c r="L352" s="194" t="n"/>
      <c r="M352" s="194" t="n"/>
      <c r="N352" s="194" t="n"/>
      <c r="O352" s="194" t="n"/>
      <c r="P352" s="194" t="n"/>
      <c r="Q352" s="194" t="n"/>
      <c r="R352" s="194" t="n"/>
      <c r="S352" s="194" t="n"/>
      <c r="T352" s="194" t="n"/>
      <c r="U352" s="194" t="n"/>
      <c r="V352" s="194" t="n"/>
      <c r="W352" s="194" t="n"/>
      <c r="X352" s="194" t="n"/>
      <c r="Y352" s="194" t="n"/>
      <c r="Z352" s="194" t="n"/>
    </row>
    <row r="353" ht="15.75" customHeight="1" s="195">
      <c r="A353" s="194" t="inlineStr">
        <is>
          <t>SAN SALVADOR</t>
        </is>
      </c>
      <c r="B353" s="194" t="inlineStr">
        <is>
          <t>ABRIL 2026</t>
        </is>
      </c>
      <c r="C353" s="377">
        <f>IFERROR(SUMPRODUCT((IF('ABRIL 2026'!Y6:Y119&lt;&gt;"",'ABRIL 2026'!Y6:Y119,'ABRIL 2026'!I6:I119)="SAN SALVADOR")*('ABRIL 2026'!K6:K119="PETROLEO")*'ABRIL 2026'!M6:M119),0)</f>
        <v/>
      </c>
      <c r="D353" s="377">
        <f>IFERROR(SUMPRODUCT((IF('ABRIL 2026'!Y6:Y119&lt;&gt;"",'ABRIL 2026'!Y6:Y119,'ABRIL 2026'!I6:I119)="SAN SALVADOR")*('ABRIL 2026'!K6:K119="PETROLEO")*'ABRIL 2026'!L6:L119*'ABRIL 2026'!M6:M119),0)</f>
        <v/>
      </c>
      <c r="E353" s="377">
        <f>IFERROR(SUMPRODUCT((IF('ABRIL 2026'!Y6:Y119&lt;&gt;"",'ABRIL 2026'!Y6:Y119,'ABRIL 2026'!I6:I119)="SAN SALVADOR")*('ABRIL 2026'!K6:K119="GASOLINA")*'ABRIL 2026'!M6:M119),0)</f>
        <v/>
      </c>
      <c r="F353" s="377">
        <f>IFERROR(SUMPRODUCT((IF('ABRIL 2026'!Y6:Y119&lt;&gt;"",'ABRIL 2026'!Y6:Y119,'ABRIL 2026'!I6:I119)="SAN SALVADOR")*('ABRIL 2026'!K6:K119="GASOLINA")*'ABRIL 2026'!L6:L119*'ABRIL 2026'!M6:M119),0)</f>
        <v/>
      </c>
      <c r="G353" s="194" t="n"/>
      <c r="H353" s="194" t="n"/>
      <c r="I353" s="194" t="n"/>
      <c r="J353" s="194" t="n"/>
      <c r="K353" s="194" t="n"/>
      <c r="L353" s="194" t="n"/>
      <c r="M353" s="194" t="n"/>
      <c r="N353" s="194" t="n"/>
      <c r="O353" s="194" t="n"/>
      <c r="P353" s="194" t="n"/>
      <c r="Q353" s="194" t="n"/>
      <c r="R353" s="194" t="n"/>
      <c r="S353" s="194" t="n"/>
      <c r="T353" s="194" t="n"/>
      <c r="U353" s="194" t="n"/>
      <c r="V353" s="194" t="n"/>
      <c r="W353" s="194" t="n"/>
      <c r="X353" s="194" t="n"/>
      <c r="Y353" s="194" t="n"/>
      <c r="Z353" s="194" t="n"/>
    </row>
    <row r="354" ht="15.75" customHeight="1" s="195">
      <c r="A354" s="194" t="inlineStr">
        <is>
          <t>SAN SALVADOR</t>
        </is>
      </c>
      <c r="B354" s="194" t="inlineStr">
        <is>
          <t>MAYO 2026</t>
        </is>
      </c>
      <c r="C354" s="377">
        <f>IFERROR(SUMPRODUCT((IF('MAYO 2026'!Y6:Y110&lt;&gt;"",'MAYO 2026'!Y6:Y110,'MAYO 2026'!I6:I110)="SAN SALVADOR")*('MAYO 2026'!K6:K110="PETROLEO")*'MAYO 2026'!M6:M110),0)</f>
        <v/>
      </c>
      <c r="D354" s="377">
        <f>IFERROR(SUMPRODUCT((IF('MAYO 2026'!Y6:Y110&lt;&gt;"",'MAYO 2026'!Y6:Y110,'MAYO 2026'!I6:I110)="SAN SALVADOR")*('MAYO 2026'!K6:K110="PETROLEO")*'MAYO 2026'!L6:L110*'MAYO 2026'!M6:M110),0)</f>
        <v/>
      </c>
      <c r="E354" s="377">
        <f>IFERROR(SUMPRODUCT((IF('MAYO 2026'!Y6:Y110&lt;&gt;"",'MAYO 2026'!Y6:Y110,'MAYO 2026'!I6:I110)="SAN SALVADOR")*('MAYO 2026'!K6:K110="GASOLINA")*'MAYO 2026'!M6:M110),0)</f>
        <v/>
      </c>
      <c r="F354" s="377">
        <f>IFERROR(SUMPRODUCT((IF('MAYO 2026'!Y6:Y110&lt;&gt;"",'MAYO 2026'!Y6:Y110,'MAYO 2026'!I6:I110)="SAN SALVADOR")*('MAYO 2026'!K6:K110="GASOLINA")*'MAYO 2026'!L6:L110*'MAYO 2026'!M6:M110),0)</f>
        <v/>
      </c>
      <c r="G354" s="194" t="n"/>
      <c r="H354" s="194" t="n"/>
      <c r="I354" s="194" t="n"/>
      <c r="J354" s="194" t="n"/>
      <c r="K354" s="194" t="n"/>
      <c r="L354" s="194" t="n"/>
      <c r="M354" s="194" t="n"/>
      <c r="N354" s="194" t="n"/>
      <c r="O354" s="194" t="n"/>
      <c r="P354" s="194" t="n"/>
      <c r="Q354" s="194" t="n"/>
      <c r="R354" s="194" t="n"/>
      <c r="S354" s="194" t="n"/>
      <c r="T354" s="194" t="n"/>
      <c r="U354" s="194" t="n"/>
      <c r="V354" s="194" t="n"/>
      <c r="W354" s="194" t="n"/>
      <c r="X354" s="194" t="n"/>
      <c r="Y354" s="194" t="n"/>
      <c r="Z354" s="194" t="n"/>
    </row>
    <row r="355" ht="15.75" customHeight="1" s="195">
      <c r="A355" s="194" t="inlineStr">
        <is>
          <t>SAN SALVADOR</t>
        </is>
      </c>
      <c r="B355" s="194" t="inlineStr">
        <is>
          <t>JUNIO 2026</t>
        </is>
      </c>
      <c r="C355" s="377">
        <f>IFERROR(SUMPRODUCT((IF('JUNIO 2026'!Y6:Y110&lt;&gt;"",'JUNIO 2026'!Y6:Y110,'JUNIO 2026'!I6:I110)="SAN SALVADOR")*('JUNIO 2026'!K6:K110="PETROLEO")*'JUNIO 2026'!M6:M110),0)</f>
        <v/>
      </c>
      <c r="D355" s="377">
        <f>IFERROR(SUMPRODUCT((IF('JUNIO 2026'!Y6:Y110&lt;&gt;"",'JUNIO 2026'!Y6:Y110,'JUNIO 2026'!I6:I110)="SAN SALVADOR")*('JUNIO 2026'!K6:K110="PETROLEO")*'JUNIO 2026'!L6:L110*'JUNIO 2026'!M6:M110),0)</f>
        <v/>
      </c>
      <c r="E355" s="377">
        <f>IFERROR(SUMPRODUCT((IF('JUNIO 2026'!Y6:Y110&lt;&gt;"",'JUNIO 2026'!Y6:Y110,'JUNIO 2026'!I6:I110)="SAN SALVADOR")*('JUNIO 2026'!K6:K110="GASOLINA")*'JUNIO 2026'!M6:M110),0)</f>
        <v/>
      </c>
      <c r="F355" s="377">
        <f>IFERROR(SUMPRODUCT((IF('JUNIO 2026'!Y6:Y110&lt;&gt;"",'JUNIO 2026'!Y6:Y110,'JUNIO 2026'!I6:I110)="SAN SALVADOR")*('JUNIO 2026'!K6:K110="GASOLINA")*'JUNIO 2026'!L6:L110*'JUNIO 2026'!M6:M110),0)</f>
        <v/>
      </c>
      <c r="G355" s="194" t="n"/>
      <c r="H355" s="194" t="n"/>
      <c r="I355" s="194" t="n"/>
      <c r="J355" s="194" t="n"/>
      <c r="K355" s="194" t="n"/>
      <c r="L355" s="194" t="n"/>
      <c r="M355" s="194" t="n"/>
      <c r="N355" s="194" t="n"/>
      <c r="O355" s="194" t="n"/>
      <c r="P355" s="194" t="n"/>
      <c r="Q355" s="194" t="n"/>
      <c r="R355" s="194" t="n"/>
      <c r="S355" s="194" t="n"/>
      <c r="T355" s="194" t="n"/>
      <c r="U355" s="194" t="n"/>
      <c r="V355" s="194" t="n"/>
      <c r="W355" s="194" t="n"/>
      <c r="X355" s="194" t="n"/>
      <c r="Y355" s="194" t="n"/>
      <c r="Z355" s="194" t="n"/>
    </row>
    <row r="356" ht="15.75" customHeight="1" s="195">
      <c r="A356" s="194" t="inlineStr">
        <is>
          <t>SAN SALVADOR</t>
        </is>
      </c>
      <c r="B356" s="194" t="inlineStr">
        <is>
          <t>JULIO 2026</t>
        </is>
      </c>
      <c r="C356" s="377">
        <f>IFERROR(SUMPRODUCT((IF('JULIO 2026'!Y6:Y110&lt;&gt;"",'JULIO 2026'!Y6:Y110,'JULIO 2026'!I6:I110)="SAN SALVADOR")*('JULIO 2026'!K6:K110="PETROLEO")*'JULIO 2026'!M6:M110),0)</f>
        <v/>
      </c>
      <c r="D356" s="377">
        <f>IFERROR(SUMPRODUCT((IF('JULIO 2026'!Y6:Y110&lt;&gt;"",'JULIO 2026'!Y6:Y110,'JULIO 2026'!I6:I110)="SAN SALVADOR")*('JULIO 2026'!K6:K110="PETROLEO")*'JULIO 2026'!L6:L110*'JULIO 2026'!M6:M110),0)</f>
        <v/>
      </c>
      <c r="E356" s="377">
        <f>IFERROR(SUMPRODUCT((IF('JULIO 2026'!Y6:Y110&lt;&gt;"",'JULIO 2026'!Y6:Y110,'JULIO 2026'!I6:I110)="SAN SALVADOR")*('JULIO 2026'!K6:K110="GASOLINA")*'JULIO 2026'!M6:M110),0)</f>
        <v/>
      </c>
      <c r="F356" s="377">
        <f>IFERROR(SUMPRODUCT((IF('JULIO 2026'!Y6:Y110&lt;&gt;"",'JULIO 2026'!Y6:Y110,'JULIO 2026'!I6:I110)="SAN SALVADOR")*('JULIO 2026'!K6:K110="GASOLINA")*'JULIO 2026'!L6:L110*'JULIO 2026'!M6:M110),0)</f>
        <v/>
      </c>
      <c r="G356" s="194" t="n"/>
      <c r="H356" s="194" t="n"/>
      <c r="I356" s="194" t="n"/>
      <c r="J356" s="194" t="n"/>
      <c r="K356" s="194" t="n"/>
      <c r="L356" s="194" t="n"/>
      <c r="M356" s="194" t="n"/>
      <c r="N356" s="194" t="n"/>
      <c r="O356" s="194" t="n"/>
      <c r="P356" s="194" t="n"/>
      <c r="Q356" s="194" t="n"/>
      <c r="R356" s="194" t="n"/>
      <c r="S356" s="194" t="n"/>
      <c r="T356" s="194" t="n"/>
      <c r="U356" s="194" t="n"/>
      <c r="V356" s="194" t="n"/>
      <c r="W356" s="194" t="n"/>
      <c r="X356" s="194" t="n"/>
      <c r="Y356" s="194" t="n"/>
      <c r="Z356" s="194" t="n"/>
    </row>
    <row r="357" ht="15.75" customHeight="1" s="195">
      <c r="A357" s="194" t="inlineStr">
        <is>
          <t>SAN SALVADOR</t>
        </is>
      </c>
      <c r="B357" s="194" t="inlineStr">
        <is>
          <t>AGOSTO 2026</t>
        </is>
      </c>
      <c r="C357" s="377">
        <f>IFERROR(SUMPRODUCT((IF('AGOSTO 2026'!Y6:Y110&lt;&gt;"",'AGOSTO 2026'!Y6:Y110,'AGOSTO 2026'!I6:I110)="SAN SALVADOR")*('AGOSTO 2026'!K6:K110="PETROLEO")*'AGOSTO 2026'!M6:M110),0)</f>
        <v/>
      </c>
      <c r="D357" s="377">
        <f>IFERROR(SUMPRODUCT((IF('AGOSTO 2026'!Y6:Y110&lt;&gt;"",'AGOSTO 2026'!Y6:Y110,'AGOSTO 2026'!I6:I110)="SAN SALVADOR")*('AGOSTO 2026'!K6:K110="PETROLEO")*'AGOSTO 2026'!L6:L110*'AGOSTO 2026'!M6:M110),0)</f>
        <v/>
      </c>
      <c r="E357" s="377">
        <f>IFERROR(SUMPRODUCT((IF('AGOSTO 2026'!Y6:Y110&lt;&gt;"",'AGOSTO 2026'!Y6:Y110,'AGOSTO 2026'!I6:I110)="SAN SALVADOR")*('AGOSTO 2026'!K6:K110="GASOLINA")*'AGOSTO 2026'!M6:M110),0)</f>
        <v/>
      </c>
      <c r="F357" s="377">
        <f>IFERROR(SUMPRODUCT((IF('AGOSTO 2026'!Y6:Y110&lt;&gt;"",'AGOSTO 2026'!Y6:Y110,'AGOSTO 2026'!I6:I110)="SAN SALVADOR")*('AGOSTO 2026'!K6:K110="GASOLINA")*'AGOSTO 2026'!L6:L110*'AGOSTO 2026'!M6:M110),0)</f>
        <v/>
      </c>
      <c r="G357" s="194" t="n"/>
      <c r="H357" s="194" t="n"/>
      <c r="I357" s="194" t="n"/>
      <c r="J357" s="194" t="n"/>
      <c r="K357" s="194" t="n"/>
      <c r="L357" s="194" t="n"/>
      <c r="M357" s="194" t="n"/>
      <c r="N357" s="194" t="n"/>
      <c r="O357" s="194" t="n"/>
      <c r="P357" s="194" t="n"/>
      <c r="Q357" s="194" t="n"/>
      <c r="R357" s="194" t="n"/>
      <c r="S357" s="194" t="n"/>
      <c r="T357" s="194" t="n"/>
      <c r="U357" s="194" t="n"/>
      <c r="V357" s="194" t="n"/>
      <c r="W357" s="194" t="n"/>
      <c r="X357" s="194" t="n"/>
      <c r="Y357" s="194" t="n"/>
      <c r="Z357" s="194" t="n"/>
    </row>
    <row r="358" ht="15.75" customHeight="1" s="195">
      <c r="A358" s="194" t="inlineStr">
        <is>
          <t>SAN SALVADOR</t>
        </is>
      </c>
      <c r="B358" s="194" t="inlineStr">
        <is>
          <t>SETIEMBRE 2026</t>
        </is>
      </c>
      <c r="C358" s="377">
        <f>IFERROR(SUMPRODUCT((IF('SETIEMBRE 2026'!Y6:Y110&lt;&gt;"",'SETIEMBRE 2026'!Y6:Y110,'SETIEMBRE 2026'!I6:I110)="SAN SALVADOR")*('SETIEMBRE 2026'!K6:K110="PETROLEO")*'SETIEMBRE 2026'!M6:M110),0)</f>
        <v/>
      </c>
      <c r="D358" s="377">
        <f>IFERROR(SUMPRODUCT((IF('SETIEMBRE 2026'!Y6:Y110&lt;&gt;"",'SETIEMBRE 2026'!Y6:Y110,'SETIEMBRE 2026'!I6:I110)="SAN SALVADOR")*('SETIEMBRE 2026'!K6:K110="PETROLEO")*'SETIEMBRE 2026'!L6:L110*'SETIEMBRE 2026'!M6:M110),0)</f>
        <v/>
      </c>
      <c r="E358" s="377">
        <f>IFERROR(SUMPRODUCT((IF('SETIEMBRE 2026'!Y6:Y110&lt;&gt;"",'SETIEMBRE 2026'!Y6:Y110,'SETIEMBRE 2026'!I6:I110)="SAN SALVADOR")*('SETIEMBRE 2026'!K6:K110="GASOLINA")*'SETIEMBRE 2026'!M6:M110),0)</f>
        <v/>
      </c>
      <c r="F358" s="377">
        <f>IFERROR(SUMPRODUCT((IF('SETIEMBRE 2026'!Y6:Y110&lt;&gt;"",'SETIEMBRE 2026'!Y6:Y110,'SETIEMBRE 2026'!I6:I110)="SAN SALVADOR")*('SETIEMBRE 2026'!K6:K110="GASOLINA")*'SETIEMBRE 2026'!L6:L110*'SETIEMBRE 2026'!M6:M110),0)</f>
        <v/>
      </c>
      <c r="G358" s="194" t="n"/>
      <c r="H358" s="194" t="n"/>
      <c r="I358" s="194" t="n"/>
      <c r="J358" s="194" t="n"/>
      <c r="K358" s="194" t="n"/>
      <c r="L358" s="194" t="n"/>
      <c r="M358" s="194" t="n"/>
      <c r="N358" s="194" t="n"/>
      <c r="O358" s="194" t="n"/>
      <c r="P358" s="194" t="n"/>
      <c r="Q358" s="194" t="n"/>
      <c r="R358" s="194" t="n"/>
      <c r="S358" s="194" t="n"/>
      <c r="T358" s="194" t="n"/>
      <c r="U358" s="194" t="n"/>
      <c r="V358" s="194" t="n"/>
      <c r="W358" s="194" t="n"/>
      <c r="X358" s="194" t="n"/>
      <c r="Y358" s="194" t="n"/>
      <c r="Z358" s="194" t="n"/>
    </row>
    <row r="359" ht="15.75" customHeight="1" s="195">
      <c r="A359" s="194" t="inlineStr">
        <is>
          <t>SAN SALVADOR</t>
        </is>
      </c>
      <c r="B359" s="194" t="inlineStr">
        <is>
          <t>OCTUBRE 2026</t>
        </is>
      </c>
      <c r="C359" s="377">
        <f>IFERROR(SUMPRODUCT((IF('OCTUBRE 2026'!Y6:Y110&lt;&gt;"",'OCTUBRE 2026'!Y6:Y110,'OCTUBRE 2026'!I6:I110)="SAN SALVADOR")*('OCTUBRE 2026'!K6:K110="PETROLEO")*'OCTUBRE 2026'!M6:M110),0)</f>
        <v/>
      </c>
      <c r="D359" s="377">
        <f>IFERROR(SUMPRODUCT((IF('OCTUBRE 2026'!Y6:Y110&lt;&gt;"",'OCTUBRE 2026'!Y6:Y110,'OCTUBRE 2026'!I6:I110)="SAN SALVADOR")*('OCTUBRE 2026'!K6:K110="PETROLEO")*'OCTUBRE 2026'!L6:L110*'OCTUBRE 2026'!M6:M110),0)</f>
        <v/>
      </c>
      <c r="E359" s="377">
        <f>IFERROR(SUMPRODUCT((IF('OCTUBRE 2026'!Y6:Y110&lt;&gt;"",'OCTUBRE 2026'!Y6:Y110,'OCTUBRE 2026'!I6:I110)="SAN SALVADOR")*('OCTUBRE 2026'!K6:K110="GASOLINA")*'OCTUBRE 2026'!M6:M110),0)</f>
        <v/>
      </c>
      <c r="F359" s="377">
        <f>IFERROR(SUMPRODUCT((IF('OCTUBRE 2026'!Y6:Y110&lt;&gt;"",'OCTUBRE 2026'!Y6:Y110,'OCTUBRE 2026'!I6:I110)="SAN SALVADOR")*('OCTUBRE 2026'!K6:K110="GASOLINA")*'OCTUBRE 2026'!L6:L110*'OCTUBRE 2026'!M6:M110),0)</f>
        <v/>
      </c>
      <c r="G359" s="194" t="n"/>
      <c r="H359" s="194" t="n"/>
      <c r="I359" s="194" t="n"/>
      <c r="J359" s="194" t="n"/>
      <c r="K359" s="194" t="n"/>
      <c r="L359" s="194" t="n"/>
      <c r="M359" s="194" t="n"/>
      <c r="N359" s="194" t="n"/>
      <c r="O359" s="194" t="n"/>
      <c r="P359" s="194" t="n"/>
      <c r="Q359" s="194" t="n"/>
      <c r="R359" s="194" t="n"/>
      <c r="S359" s="194" t="n"/>
      <c r="T359" s="194" t="n"/>
      <c r="U359" s="194" t="n"/>
      <c r="V359" s="194" t="n"/>
      <c r="W359" s="194" t="n"/>
      <c r="X359" s="194" t="n"/>
      <c r="Y359" s="194" t="n"/>
      <c r="Z359" s="194" t="n"/>
    </row>
    <row r="360" ht="15.75" customHeight="1" s="195">
      <c r="A360" s="194" t="inlineStr">
        <is>
          <t>SAN SALVADOR</t>
        </is>
      </c>
      <c r="B360" s="194" t="inlineStr">
        <is>
          <t>NOVIEMBRE 2026</t>
        </is>
      </c>
      <c r="C360" s="377">
        <f>IFERROR(SUMPRODUCT((IF('NOVIEMBRE 2026'!Y6:Y110&lt;&gt;"",'NOVIEMBRE 2026'!Y6:Y110,'NOVIEMBRE 2026'!I6:I110)="SAN SALVADOR")*('NOVIEMBRE 2026'!K6:K110="PETROLEO")*'NOVIEMBRE 2026'!M6:M110),0)</f>
        <v/>
      </c>
      <c r="D360" s="377">
        <f>IFERROR(SUMPRODUCT((IF('NOVIEMBRE 2026'!Y6:Y110&lt;&gt;"",'NOVIEMBRE 2026'!Y6:Y110,'NOVIEMBRE 2026'!I6:I110)="SAN SALVADOR")*('NOVIEMBRE 2026'!K6:K110="PETROLEO")*'NOVIEMBRE 2026'!L6:L110*'NOVIEMBRE 2026'!M6:M110),0)</f>
        <v/>
      </c>
      <c r="E360" s="377">
        <f>IFERROR(SUMPRODUCT((IF('NOVIEMBRE 2026'!Y6:Y110&lt;&gt;"",'NOVIEMBRE 2026'!Y6:Y110,'NOVIEMBRE 2026'!I6:I110)="SAN SALVADOR")*('NOVIEMBRE 2026'!K6:K110="GASOLINA")*'NOVIEMBRE 2026'!M6:M110),0)</f>
        <v/>
      </c>
      <c r="F360" s="377">
        <f>IFERROR(SUMPRODUCT((IF('NOVIEMBRE 2026'!Y6:Y110&lt;&gt;"",'NOVIEMBRE 2026'!Y6:Y110,'NOVIEMBRE 2026'!I6:I110)="SAN SALVADOR")*('NOVIEMBRE 2026'!K6:K110="GASOLINA")*'NOVIEMBRE 2026'!L6:L110*'NOVIEMBRE 2026'!M6:M110),0)</f>
        <v/>
      </c>
      <c r="G360" s="194" t="n"/>
      <c r="H360" s="194" t="n"/>
      <c r="I360" s="194" t="n"/>
      <c r="J360" s="194" t="n"/>
      <c r="K360" s="194" t="n"/>
      <c r="L360" s="194" t="n"/>
      <c r="M360" s="194" t="n"/>
      <c r="N360" s="194" t="n"/>
      <c r="O360" s="194" t="n"/>
      <c r="P360" s="194" t="n"/>
      <c r="Q360" s="194" t="n"/>
      <c r="R360" s="194" t="n"/>
      <c r="S360" s="194" t="n"/>
      <c r="T360" s="194" t="n"/>
      <c r="U360" s="194" t="n"/>
      <c r="V360" s="194" t="n"/>
      <c r="W360" s="194" t="n"/>
      <c r="X360" s="194" t="n"/>
      <c r="Y360" s="194" t="n"/>
      <c r="Z360" s="194" t="n"/>
    </row>
    <row r="361" ht="15.75" customHeight="1" s="195">
      <c r="A361" s="194" t="inlineStr">
        <is>
          <t>SAN SALVADOR</t>
        </is>
      </c>
      <c r="B361" s="194" t="inlineStr">
        <is>
          <t>DICIEMBRE 2026</t>
        </is>
      </c>
      <c r="C361" s="377">
        <f>IFERROR(SUMPRODUCT((IF('DICIEMBRE 2026'!Y6:Y110&lt;&gt;"",'DICIEMBRE 2026'!Y6:Y110,'DICIEMBRE 2026'!I6:I110)="SAN SALVADOR")*('DICIEMBRE 2026'!K6:K110="PETROLEO")*'DICIEMBRE 2026'!M6:M110),0)</f>
        <v/>
      </c>
      <c r="D361" s="377">
        <f>IFERROR(SUMPRODUCT((IF('DICIEMBRE 2026'!Y6:Y110&lt;&gt;"",'DICIEMBRE 2026'!Y6:Y110,'DICIEMBRE 2026'!I6:I110)="SAN SALVADOR")*('DICIEMBRE 2026'!K6:K110="PETROLEO")*'DICIEMBRE 2026'!L6:L110*'DICIEMBRE 2026'!M6:M110),0)</f>
        <v/>
      </c>
      <c r="E361" s="377">
        <f>IFERROR(SUMPRODUCT((IF('DICIEMBRE 2026'!Y6:Y110&lt;&gt;"",'DICIEMBRE 2026'!Y6:Y110,'DICIEMBRE 2026'!I6:I110)="SAN SALVADOR")*('DICIEMBRE 2026'!K6:K110="GASOLINA")*'DICIEMBRE 2026'!M6:M110),0)</f>
        <v/>
      </c>
      <c r="F361" s="377">
        <f>IFERROR(SUMPRODUCT((IF('DICIEMBRE 2026'!Y6:Y110&lt;&gt;"",'DICIEMBRE 2026'!Y6:Y110,'DICIEMBRE 2026'!I6:I110)="SAN SALVADOR")*('DICIEMBRE 2026'!K6:K110="GASOLINA")*'DICIEMBRE 2026'!L6:L110*'DICIEMBRE 2026'!M6:M110),0)</f>
        <v/>
      </c>
      <c r="G361" s="194" t="n"/>
      <c r="H361" s="194" t="n"/>
      <c r="I361" s="194" t="n"/>
      <c r="J361" s="194" t="n"/>
      <c r="K361" s="194" t="n"/>
      <c r="L361" s="194" t="n"/>
      <c r="M361" s="194" t="n"/>
      <c r="N361" s="194" t="n"/>
      <c r="O361" s="194" t="n"/>
      <c r="P361" s="194" t="n"/>
      <c r="Q361" s="194" t="n"/>
      <c r="R361" s="194" t="n"/>
      <c r="S361" s="194" t="n"/>
      <c r="T361" s="194" t="n"/>
      <c r="U361" s="194" t="n"/>
      <c r="V361" s="194" t="n"/>
      <c r="W361" s="194" t="n"/>
      <c r="X361" s="194" t="n"/>
      <c r="Y361" s="194" t="n"/>
      <c r="Z361" s="194" t="n"/>
    </row>
    <row r="362" ht="15.75" customHeight="1" s="195">
      <c r="A362" s="194" t="inlineStr">
        <is>
          <t>SAN JUAN DE OCUMAL</t>
        </is>
      </c>
      <c r="B362" s="194" t="inlineStr">
        <is>
          <t>ENERO 2026</t>
        </is>
      </c>
      <c r="C362" s="377">
        <f>IFERROR(SUMPRODUCT((IF('ENERO 2026'!Y6:Y119&lt;&gt;"",'ENERO 2026'!Y6:Y119,'ENERO 2026'!I6:I119)="SAN JUAN DE OCUMAL")*('ENERO 2026'!K6:K119="PETROLEO")*'ENERO 2026'!M6:M119),0)</f>
        <v/>
      </c>
      <c r="D362" s="377">
        <f>IFERROR(SUMPRODUCT((IF('ENERO 2026'!Y6:Y119&lt;&gt;"",'ENERO 2026'!Y6:Y119,'ENERO 2026'!I6:I119)="SAN JUAN DE OCUMAL")*('ENERO 2026'!K6:K119="PETROLEO")*'ENERO 2026'!L6:L119*'ENERO 2026'!M6:M119),0)</f>
        <v/>
      </c>
      <c r="E362" s="377">
        <f>IFERROR(SUMPRODUCT((IF('ENERO 2026'!Y6:Y119&lt;&gt;"",'ENERO 2026'!Y6:Y119,'ENERO 2026'!I6:I119)="SAN JUAN DE OCUMAL")*('ENERO 2026'!K6:K119="GASOLINA")*'ENERO 2026'!M6:M119),0)</f>
        <v/>
      </c>
      <c r="F362" s="377">
        <f>IFERROR(SUMPRODUCT((IF('ENERO 2026'!Y6:Y119&lt;&gt;"",'ENERO 2026'!Y6:Y119,'ENERO 2026'!I6:I119)="SAN JUAN DE OCUMAL")*('ENERO 2026'!K6:K119="GASOLINA")*'ENERO 2026'!L6:L119*'ENERO 2026'!M6:M119),0)</f>
        <v/>
      </c>
      <c r="G362" s="194" t="n"/>
      <c r="H362" s="194" t="n"/>
      <c r="I362" s="194" t="n"/>
      <c r="J362" s="194" t="n"/>
      <c r="K362" s="194" t="n"/>
      <c r="L362" s="194" t="n"/>
      <c r="M362" s="194" t="n"/>
      <c r="N362" s="194" t="n"/>
      <c r="O362" s="194" t="n"/>
      <c r="P362" s="194" t="n"/>
      <c r="Q362" s="194" t="n"/>
      <c r="R362" s="194" t="n"/>
      <c r="S362" s="194" t="n"/>
      <c r="T362" s="194" t="n"/>
      <c r="U362" s="194" t="n"/>
      <c r="V362" s="194" t="n"/>
      <c r="W362" s="194" t="n"/>
      <c r="X362" s="194" t="n"/>
      <c r="Y362" s="194" t="n"/>
      <c r="Z362" s="194" t="n"/>
    </row>
    <row r="363" ht="15.75" customHeight="1" s="195">
      <c r="A363" s="194" t="inlineStr">
        <is>
          <t>SAN JUAN DE OCUMAL</t>
        </is>
      </c>
      <c r="B363" s="194" t="inlineStr">
        <is>
          <t>FEBRERO 2026</t>
        </is>
      </c>
      <c r="C363" s="377">
        <f>IFERROR(SUMPRODUCT((IF('FEBRERO 2026'!Y6:Y124&lt;&gt;"",'FEBRERO 2026'!Y6:Y124,'FEBRERO 2026'!I6:I124)="SAN JUAN DE OCUMAL")*('FEBRERO 2026'!K6:K124="PETROLEO")*'FEBRERO 2026'!M6:M124),0)</f>
        <v/>
      </c>
      <c r="D363" s="377">
        <f>IFERROR(SUMPRODUCT((IF('FEBRERO 2026'!Y6:Y124&lt;&gt;"",'FEBRERO 2026'!Y6:Y124,'FEBRERO 2026'!I6:I124)="SAN JUAN DE OCUMAL")*('FEBRERO 2026'!K6:K124="PETROLEO")*'FEBRERO 2026'!L6:L124*'FEBRERO 2026'!M6:M124),0)</f>
        <v/>
      </c>
      <c r="E363" s="377">
        <f>IFERROR(SUMPRODUCT((IF('FEBRERO 2026'!Y6:Y124&lt;&gt;"",'FEBRERO 2026'!Y6:Y124,'FEBRERO 2026'!I6:I124)="SAN JUAN DE OCUMAL")*('FEBRERO 2026'!K6:K124="GASOLINA")*'FEBRERO 2026'!M6:M124),0)</f>
        <v/>
      </c>
      <c r="F363" s="377">
        <f>IFERROR(SUMPRODUCT((IF('FEBRERO 2026'!Y6:Y124&lt;&gt;"",'FEBRERO 2026'!Y6:Y124,'FEBRERO 2026'!I6:I124)="SAN JUAN DE OCUMAL")*('FEBRERO 2026'!K6:K124="GASOLINA")*'FEBRERO 2026'!L6:L124*'FEBRERO 2026'!M6:M124),0)</f>
        <v/>
      </c>
      <c r="G363" s="194" t="n"/>
      <c r="H363" s="194" t="n"/>
      <c r="I363" s="194" t="n"/>
      <c r="J363" s="194" t="n"/>
      <c r="K363" s="194" t="n"/>
      <c r="L363" s="194" t="n"/>
      <c r="M363" s="194" t="n"/>
      <c r="N363" s="194" t="n"/>
      <c r="O363" s="194" t="n"/>
      <c r="P363" s="194" t="n"/>
      <c r="Q363" s="194" t="n"/>
      <c r="R363" s="194" t="n"/>
      <c r="S363" s="194" t="n"/>
      <c r="T363" s="194" t="n"/>
      <c r="U363" s="194" t="n"/>
      <c r="V363" s="194" t="n"/>
      <c r="W363" s="194" t="n"/>
      <c r="X363" s="194" t="n"/>
      <c r="Y363" s="194" t="n"/>
      <c r="Z363" s="194" t="n"/>
    </row>
    <row r="364" ht="15.75" customHeight="1" s="195">
      <c r="A364" s="194" t="inlineStr">
        <is>
          <t>SAN JUAN DE OCUMAL</t>
        </is>
      </c>
      <c r="B364" s="194" t="inlineStr">
        <is>
          <t>MARZO 2026</t>
        </is>
      </c>
      <c r="C364" s="377">
        <f>IFERROR(SUMPRODUCT((IF('MARZO 2026'!Y6:Y119&lt;&gt;"",'MARZO 2026'!Y6:Y119,'MARZO 2026'!I6:I119)="SAN JUAN DE OCUMAL")*('MARZO 2026'!K6:K119="PETROLEO")*'MARZO 2026'!M6:M119),0)</f>
        <v/>
      </c>
      <c r="D364" s="377">
        <f>IFERROR(SUMPRODUCT((IF('MARZO 2026'!Y6:Y119&lt;&gt;"",'MARZO 2026'!Y6:Y119,'MARZO 2026'!I6:I119)="SAN JUAN DE OCUMAL")*('MARZO 2026'!K6:K119="PETROLEO")*'MARZO 2026'!L6:L119*'MARZO 2026'!M6:M119),0)</f>
        <v/>
      </c>
      <c r="E364" s="377">
        <f>IFERROR(SUMPRODUCT((IF('MARZO 2026'!Y6:Y119&lt;&gt;"",'MARZO 2026'!Y6:Y119,'MARZO 2026'!I6:I119)="SAN JUAN DE OCUMAL")*('MARZO 2026'!K6:K119="GASOLINA")*'MARZO 2026'!M6:M119),0)</f>
        <v/>
      </c>
      <c r="F364" s="377">
        <f>IFERROR(SUMPRODUCT((IF('MARZO 2026'!Y6:Y119&lt;&gt;"",'MARZO 2026'!Y6:Y119,'MARZO 2026'!I6:I119)="SAN JUAN DE OCUMAL")*('MARZO 2026'!K6:K119="GASOLINA")*'MARZO 2026'!L6:L119*'MARZO 2026'!M6:M119),0)</f>
        <v/>
      </c>
      <c r="G364" s="194" t="n"/>
      <c r="H364" s="194" t="n"/>
      <c r="I364" s="194" t="n"/>
      <c r="J364" s="194" t="n"/>
      <c r="K364" s="194" t="n"/>
      <c r="L364" s="194" t="n"/>
      <c r="M364" s="194" t="n"/>
      <c r="N364" s="194" t="n"/>
      <c r="O364" s="194" t="n"/>
      <c r="P364" s="194" t="n"/>
      <c r="Q364" s="194" t="n"/>
      <c r="R364" s="194" t="n"/>
      <c r="S364" s="194" t="n"/>
      <c r="T364" s="194" t="n"/>
      <c r="U364" s="194" t="n"/>
      <c r="V364" s="194" t="n"/>
      <c r="W364" s="194" t="n"/>
      <c r="X364" s="194" t="n"/>
      <c r="Y364" s="194" t="n"/>
      <c r="Z364" s="194" t="n"/>
    </row>
    <row r="365" ht="15.75" customHeight="1" s="195">
      <c r="A365" s="194" t="inlineStr">
        <is>
          <t>SAN JUAN DE OCUMAL</t>
        </is>
      </c>
      <c r="B365" s="194" t="inlineStr">
        <is>
          <t>ABRIL 2026</t>
        </is>
      </c>
      <c r="C365" s="377">
        <f>IFERROR(SUMPRODUCT((IF('ABRIL 2026'!Y6:Y119&lt;&gt;"",'ABRIL 2026'!Y6:Y119,'ABRIL 2026'!I6:I119)="SAN JUAN DE OCUMAL")*('ABRIL 2026'!K6:K119="PETROLEO")*'ABRIL 2026'!M6:M119),0)</f>
        <v/>
      </c>
      <c r="D365" s="377">
        <f>IFERROR(SUMPRODUCT((IF('ABRIL 2026'!Y6:Y119&lt;&gt;"",'ABRIL 2026'!Y6:Y119,'ABRIL 2026'!I6:I119)="SAN JUAN DE OCUMAL")*('ABRIL 2026'!K6:K119="PETROLEO")*'ABRIL 2026'!L6:L119*'ABRIL 2026'!M6:M119),0)</f>
        <v/>
      </c>
      <c r="E365" s="377">
        <f>IFERROR(SUMPRODUCT((IF('ABRIL 2026'!Y6:Y119&lt;&gt;"",'ABRIL 2026'!Y6:Y119,'ABRIL 2026'!I6:I119)="SAN JUAN DE OCUMAL")*('ABRIL 2026'!K6:K119="GASOLINA")*'ABRIL 2026'!M6:M119),0)</f>
        <v/>
      </c>
      <c r="F365" s="377">
        <f>IFERROR(SUMPRODUCT((IF('ABRIL 2026'!Y6:Y119&lt;&gt;"",'ABRIL 2026'!Y6:Y119,'ABRIL 2026'!I6:I119)="SAN JUAN DE OCUMAL")*('ABRIL 2026'!K6:K119="GASOLINA")*'ABRIL 2026'!L6:L119*'ABRIL 2026'!M6:M119),0)</f>
        <v/>
      </c>
      <c r="G365" s="194" t="n"/>
      <c r="H365" s="194" t="n"/>
      <c r="I365" s="194" t="n"/>
      <c r="J365" s="194" t="n"/>
      <c r="K365" s="194" t="n"/>
      <c r="L365" s="194" t="n"/>
      <c r="M365" s="194" t="n"/>
      <c r="N365" s="194" t="n"/>
      <c r="O365" s="194" t="n"/>
      <c r="P365" s="194" t="n"/>
      <c r="Q365" s="194" t="n"/>
      <c r="R365" s="194" t="n"/>
      <c r="S365" s="194" t="n"/>
      <c r="T365" s="194" t="n"/>
      <c r="U365" s="194" t="n"/>
      <c r="V365" s="194" t="n"/>
      <c r="W365" s="194" t="n"/>
      <c r="X365" s="194" t="n"/>
      <c r="Y365" s="194" t="n"/>
      <c r="Z365" s="194" t="n"/>
    </row>
    <row r="366" ht="15.75" customHeight="1" s="195">
      <c r="A366" s="194" t="inlineStr">
        <is>
          <t>SAN JUAN DE OCUMAL</t>
        </is>
      </c>
      <c r="B366" s="194" t="inlineStr">
        <is>
          <t>MAYO 2026</t>
        </is>
      </c>
      <c r="C366" s="377">
        <f>IFERROR(SUMPRODUCT((IF('MAYO 2026'!Y6:Y110&lt;&gt;"",'MAYO 2026'!Y6:Y110,'MAYO 2026'!I6:I110)="SAN JUAN DE OCUMAL")*('MAYO 2026'!K6:K110="PETROLEO")*'MAYO 2026'!M6:M110),0)</f>
        <v/>
      </c>
      <c r="D366" s="377">
        <f>IFERROR(SUMPRODUCT((IF('MAYO 2026'!Y6:Y110&lt;&gt;"",'MAYO 2026'!Y6:Y110,'MAYO 2026'!I6:I110)="SAN JUAN DE OCUMAL")*('MAYO 2026'!K6:K110="PETROLEO")*'MAYO 2026'!L6:L110*'MAYO 2026'!M6:M110),0)</f>
        <v/>
      </c>
      <c r="E366" s="377">
        <f>IFERROR(SUMPRODUCT((IF('MAYO 2026'!Y6:Y110&lt;&gt;"",'MAYO 2026'!Y6:Y110,'MAYO 2026'!I6:I110)="SAN JUAN DE OCUMAL")*('MAYO 2026'!K6:K110="GASOLINA")*'MAYO 2026'!M6:M110),0)</f>
        <v/>
      </c>
      <c r="F366" s="377">
        <f>IFERROR(SUMPRODUCT((IF('MAYO 2026'!Y6:Y110&lt;&gt;"",'MAYO 2026'!Y6:Y110,'MAYO 2026'!I6:I110)="SAN JUAN DE OCUMAL")*('MAYO 2026'!K6:K110="GASOLINA")*'MAYO 2026'!L6:L110*'MAYO 2026'!M6:M110),0)</f>
        <v/>
      </c>
      <c r="G366" s="194" t="n"/>
      <c r="H366" s="194" t="n"/>
      <c r="I366" s="194" t="n"/>
      <c r="J366" s="194" t="n"/>
      <c r="K366" s="194" t="n"/>
      <c r="L366" s="194" t="n"/>
      <c r="M366" s="194" t="n"/>
      <c r="N366" s="194" t="n"/>
      <c r="O366" s="194" t="n"/>
      <c r="P366" s="194" t="n"/>
      <c r="Q366" s="194" t="n"/>
      <c r="R366" s="194" t="n"/>
      <c r="S366" s="194" t="n"/>
      <c r="T366" s="194" t="n"/>
      <c r="U366" s="194" t="n"/>
      <c r="V366" s="194" t="n"/>
      <c r="W366" s="194" t="n"/>
      <c r="X366" s="194" t="n"/>
      <c r="Y366" s="194" t="n"/>
      <c r="Z366" s="194" t="n"/>
    </row>
    <row r="367" ht="15.75" customHeight="1" s="195">
      <c r="A367" s="194" t="inlineStr">
        <is>
          <t>SAN JUAN DE OCUMAL</t>
        </is>
      </c>
      <c r="B367" s="194" t="inlineStr">
        <is>
          <t>JUNIO 2026</t>
        </is>
      </c>
      <c r="C367" s="377">
        <f>IFERROR(SUMPRODUCT((IF('JUNIO 2026'!Y6:Y110&lt;&gt;"",'JUNIO 2026'!Y6:Y110,'JUNIO 2026'!I6:I110)="SAN JUAN DE OCUMAL")*('JUNIO 2026'!K6:K110="PETROLEO")*'JUNIO 2026'!M6:M110),0)</f>
        <v/>
      </c>
      <c r="D367" s="377">
        <f>IFERROR(SUMPRODUCT((IF('JUNIO 2026'!Y6:Y110&lt;&gt;"",'JUNIO 2026'!Y6:Y110,'JUNIO 2026'!I6:I110)="SAN JUAN DE OCUMAL")*('JUNIO 2026'!K6:K110="PETROLEO")*'JUNIO 2026'!L6:L110*'JUNIO 2026'!M6:M110),0)</f>
        <v/>
      </c>
      <c r="E367" s="377">
        <f>IFERROR(SUMPRODUCT((IF('JUNIO 2026'!Y6:Y110&lt;&gt;"",'JUNIO 2026'!Y6:Y110,'JUNIO 2026'!I6:I110)="SAN JUAN DE OCUMAL")*('JUNIO 2026'!K6:K110="GASOLINA")*'JUNIO 2026'!M6:M110),0)</f>
        <v/>
      </c>
      <c r="F367" s="377">
        <f>IFERROR(SUMPRODUCT((IF('JUNIO 2026'!Y6:Y110&lt;&gt;"",'JUNIO 2026'!Y6:Y110,'JUNIO 2026'!I6:I110)="SAN JUAN DE OCUMAL")*('JUNIO 2026'!K6:K110="GASOLINA")*'JUNIO 2026'!L6:L110*'JUNIO 2026'!M6:M110),0)</f>
        <v/>
      </c>
      <c r="G367" s="194" t="n"/>
      <c r="H367" s="194" t="n"/>
      <c r="I367" s="194" t="n"/>
      <c r="J367" s="194" t="n"/>
      <c r="K367" s="194" t="n"/>
      <c r="L367" s="194" t="n"/>
      <c r="M367" s="194" t="n"/>
      <c r="N367" s="194" t="n"/>
      <c r="O367" s="194" t="n"/>
      <c r="P367" s="194" t="n"/>
      <c r="Q367" s="194" t="n"/>
      <c r="R367" s="194" t="n"/>
      <c r="S367" s="194" t="n"/>
      <c r="T367" s="194" t="n"/>
      <c r="U367" s="194" t="n"/>
      <c r="V367" s="194" t="n"/>
      <c r="W367" s="194" t="n"/>
      <c r="X367" s="194" t="n"/>
      <c r="Y367" s="194" t="n"/>
      <c r="Z367" s="194" t="n"/>
    </row>
    <row r="368" ht="15.75" customHeight="1" s="195">
      <c r="A368" s="194" t="inlineStr">
        <is>
          <t>SAN JUAN DE OCUMAL</t>
        </is>
      </c>
      <c r="B368" s="194" t="inlineStr">
        <is>
          <t>JULIO 2026</t>
        </is>
      </c>
      <c r="C368" s="377">
        <f>IFERROR(SUMPRODUCT((IF('JULIO 2026'!Y6:Y110&lt;&gt;"",'JULIO 2026'!Y6:Y110,'JULIO 2026'!I6:I110)="SAN JUAN DE OCUMAL")*('JULIO 2026'!K6:K110="PETROLEO")*'JULIO 2026'!M6:M110),0)</f>
        <v/>
      </c>
      <c r="D368" s="377">
        <f>IFERROR(SUMPRODUCT((IF('JULIO 2026'!Y6:Y110&lt;&gt;"",'JULIO 2026'!Y6:Y110,'JULIO 2026'!I6:I110)="SAN JUAN DE OCUMAL")*('JULIO 2026'!K6:K110="PETROLEO")*'JULIO 2026'!L6:L110*'JULIO 2026'!M6:M110),0)</f>
        <v/>
      </c>
      <c r="E368" s="377">
        <f>IFERROR(SUMPRODUCT((IF('JULIO 2026'!Y6:Y110&lt;&gt;"",'JULIO 2026'!Y6:Y110,'JULIO 2026'!I6:I110)="SAN JUAN DE OCUMAL")*('JULIO 2026'!K6:K110="GASOLINA")*'JULIO 2026'!M6:M110),0)</f>
        <v/>
      </c>
      <c r="F368" s="377">
        <f>IFERROR(SUMPRODUCT((IF('JULIO 2026'!Y6:Y110&lt;&gt;"",'JULIO 2026'!Y6:Y110,'JULIO 2026'!I6:I110)="SAN JUAN DE OCUMAL")*('JULIO 2026'!K6:K110="GASOLINA")*'JULIO 2026'!L6:L110*'JULIO 2026'!M6:M110),0)</f>
        <v/>
      </c>
      <c r="G368" s="194" t="n"/>
      <c r="H368" s="194" t="n"/>
      <c r="I368" s="194" t="n"/>
      <c r="J368" s="194" t="n"/>
      <c r="K368" s="194" t="n"/>
      <c r="L368" s="194" t="n"/>
      <c r="M368" s="194" t="n"/>
      <c r="N368" s="194" t="n"/>
      <c r="O368" s="194" t="n"/>
      <c r="P368" s="194" t="n"/>
      <c r="Q368" s="194" t="n"/>
      <c r="R368" s="194" t="n"/>
      <c r="S368" s="194" t="n"/>
      <c r="T368" s="194" t="n"/>
      <c r="U368" s="194" t="n"/>
      <c r="V368" s="194" t="n"/>
      <c r="W368" s="194" t="n"/>
      <c r="X368" s="194" t="n"/>
      <c r="Y368" s="194" t="n"/>
      <c r="Z368" s="194" t="n"/>
    </row>
    <row r="369" ht="15.75" customHeight="1" s="195">
      <c r="A369" s="194" t="inlineStr">
        <is>
          <t>SAN JUAN DE OCUMAL</t>
        </is>
      </c>
      <c r="B369" s="194" t="inlineStr">
        <is>
          <t>AGOSTO 2026</t>
        </is>
      </c>
      <c r="C369" s="377">
        <f>IFERROR(SUMPRODUCT((IF('AGOSTO 2026'!Y6:Y110&lt;&gt;"",'AGOSTO 2026'!Y6:Y110,'AGOSTO 2026'!I6:I110)="SAN JUAN DE OCUMAL")*('AGOSTO 2026'!K6:K110="PETROLEO")*'AGOSTO 2026'!M6:M110),0)</f>
        <v/>
      </c>
      <c r="D369" s="377">
        <f>IFERROR(SUMPRODUCT((IF('AGOSTO 2026'!Y6:Y110&lt;&gt;"",'AGOSTO 2026'!Y6:Y110,'AGOSTO 2026'!I6:I110)="SAN JUAN DE OCUMAL")*('AGOSTO 2026'!K6:K110="PETROLEO")*'AGOSTO 2026'!L6:L110*'AGOSTO 2026'!M6:M110),0)</f>
        <v/>
      </c>
      <c r="E369" s="377">
        <f>IFERROR(SUMPRODUCT((IF('AGOSTO 2026'!Y6:Y110&lt;&gt;"",'AGOSTO 2026'!Y6:Y110,'AGOSTO 2026'!I6:I110)="SAN JUAN DE OCUMAL")*('AGOSTO 2026'!K6:K110="GASOLINA")*'AGOSTO 2026'!M6:M110),0)</f>
        <v/>
      </c>
      <c r="F369" s="377">
        <f>IFERROR(SUMPRODUCT((IF('AGOSTO 2026'!Y6:Y110&lt;&gt;"",'AGOSTO 2026'!Y6:Y110,'AGOSTO 2026'!I6:I110)="SAN JUAN DE OCUMAL")*('AGOSTO 2026'!K6:K110="GASOLINA")*'AGOSTO 2026'!L6:L110*'AGOSTO 2026'!M6:M110),0)</f>
        <v/>
      </c>
      <c r="G369" s="194" t="n"/>
      <c r="H369" s="194" t="n"/>
      <c r="I369" s="194" t="n"/>
      <c r="J369" s="194" t="n"/>
      <c r="K369" s="194" t="n"/>
      <c r="L369" s="194" t="n"/>
      <c r="M369" s="194" t="n"/>
      <c r="N369" s="194" t="n"/>
      <c r="O369" s="194" t="n"/>
      <c r="P369" s="194" t="n"/>
      <c r="Q369" s="194" t="n"/>
      <c r="R369" s="194" t="n"/>
      <c r="S369" s="194" t="n"/>
      <c r="T369" s="194" t="n"/>
      <c r="U369" s="194" t="n"/>
      <c r="V369" s="194" t="n"/>
      <c r="W369" s="194" t="n"/>
      <c r="X369" s="194" t="n"/>
      <c r="Y369" s="194" t="n"/>
      <c r="Z369" s="194" t="n"/>
    </row>
    <row r="370" ht="15.75" customHeight="1" s="195">
      <c r="A370" s="194" t="inlineStr">
        <is>
          <t>SAN JUAN DE OCUMAL</t>
        </is>
      </c>
      <c r="B370" s="194" t="inlineStr">
        <is>
          <t>SETIEMBRE 2026</t>
        </is>
      </c>
      <c r="C370" s="377">
        <f>IFERROR(SUMPRODUCT((IF('SETIEMBRE 2026'!Y6:Y110&lt;&gt;"",'SETIEMBRE 2026'!Y6:Y110,'SETIEMBRE 2026'!I6:I110)="SAN JUAN DE OCUMAL")*('SETIEMBRE 2026'!K6:K110="PETROLEO")*'SETIEMBRE 2026'!M6:M110),0)</f>
        <v/>
      </c>
      <c r="D370" s="377">
        <f>IFERROR(SUMPRODUCT((IF('SETIEMBRE 2026'!Y6:Y110&lt;&gt;"",'SETIEMBRE 2026'!Y6:Y110,'SETIEMBRE 2026'!I6:I110)="SAN JUAN DE OCUMAL")*('SETIEMBRE 2026'!K6:K110="PETROLEO")*'SETIEMBRE 2026'!L6:L110*'SETIEMBRE 2026'!M6:M110),0)</f>
        <v/>
      </c>
      <c r="E370" s="377">
        <f>IFERROR(SUMPRODUCT((IF('SETIEMBRE 2026'!Y6:Y110&lt;&gt;"",'SETIEMBRE 2026'!Y6:Y110,'SETIEMBRE 2026'!I6:I110)="SAN JUAN DE OCUMAL")*('SETIEMBRE 2026'!K6:K110="GASOLINA")*'SETIEMBRE 2026'!M6:M110),0)</f>
        <v/>
      </c>
      <c r="F370" s="377">
        <f>IFERROR(SUMPRODUCT((IF('SETIEMBRE 2026'!Y6:Y110&lt;&gt;"",'SETIEMBRE 2026'!Y6:Y110,'SETIEMBRE 2026'!I6:I110)="SAN JUAN DE OCUMAL")*('SETIEMBRE 2026'!K6:K110="GASOLINA")*'SETIEMBRE 2026'!L6:L110*'SETIEMBRE 2026'!M6:M110),0)</f>
        <v/>
      </c>
      <c r="G370" s="194" t="n"/>
      <c r="H370" s="194" t="n"/>
      <c r="I370" s="194" t="n"/>
      <c r="J370" s="194" t="n"/>
      <c r="K370" s="194" t="n"/>
      <c r="L370" s="194" t="n"/>
      <c r="M370" s="194" t="n"/>
      <c r="N370" s="194" t="n"/>
      <c r="O370" s="194" t="n"/>
      <c r="P370" s="194" t="n"/>
      <c r="Q370" s="194" t="n"/>
      <c r="R370" s="194" t="n"/>
      <c r="S370" s="194" t="n"/>
      <c r="T370" s="194" t="n"/>
      <c r="U370" s="194" t="n"/>
      <c r="V370" s="194" t="n"/>
      <c r="W370" s="194" t="n"/>
      <c r="X370" s="194" t="n"/>
      <c r="Y370" s="194" t="n"/>
      <c r="Z370" s="194" t="n"/>
    </row>
    <row r="371" ht="15.75" customHeight="1" s="195">
      <c r="A371" s="194" t="inlineStr">
        <is>
          <t>SAN JUAN DE OCUMAL</t>
        </is>
      </c>
      <c r="B371" s="194" t="inlineStr">
        <is>
          <t>OCTUBRE 2026</t>
        </is>
      </c>
      <c r="C371" s="377">
        <f>IFERROR(SUMPRODUCT((IF('OCTUBRE 2026'!Y6:Y110&lt;&gt;"",'OCTUBRE 2026'!Y6:Y110,'OCTUBRE 2026'!I6:I110)="SAN JUAN DE OCUMAL")*('OCTUBRE 2026'!K6:K110="PETROLEO")*'OCTUBRE 2026'!M6:M110),0)</f>
        <v/>
      </c>
      <c r="D371" s="377">
        <f>IFERROR(SUMPRODUCT((IF('OCTUBRE 2026'!Y6:Y110&lt;&gt;"",'OCTUBRE 2026'!Y6:Y110,'OCTUBRE 2026'!I6:I110)="SAN JUAN DE OCUMAL")*('OCTUBRE 2026'!K6:K110="PETROLEO")*'OCTUBRE 2026'!L6:L110*'OCTUBRE 2026'!M6:M110),0)</f>
        <v/>
      </c>
      <c r="E371" s="377">
        <f>IFERROR(SUMPRODUCT((IF('OCTUBRE 2026'!Y6:Y110&lt;&gt;"",'OCTUBRE 2026'!Y6:Y110,'OCTUBRE 2026'!I6:I110)="SAN JUAN DE OCUMAL")*('OCTUBRE 2026'!K6:K110="GASOLINA")*'OCTUBRE 2026'!M6:M110),0)</f>
        <v/>
      </c>
      <c r="F371" s="377">
        <f>IFERROR(SUMPRODUCT((IF('OCTUBRE 2026'!Y6:Y110&lt;&gt;"",'OCTUBRE 2026'!Y6:Y110,'OCTUBRE 2026'!I6:I110)="SAN JUAN DE OCUMAL")*('OCTUBRE 2026'!K6:K110="GASOLINA")*'OCTUBRE 2026'!L6:L110*'OCTUBRE 2026'!M6:M110),0)</f>
        <v/>
      </c>
      <c r="G371" s="194" t="n"/>
      <c r="H371" s="194" t="n"/>
      <c r="I371" s="194" t="n"/>
      <c r="J371" s="194" t="n"/>
      <c r="K371" s="194" t="n"/>
      <c r="L371" s="194" t="n"/>
      <c r="M371" s="194" t="n"/>
      <c r="N371" s="194" t="n"/>
      <c r="O371" s="194" t="n"/>
      <c r="P371" s="194" t="n"/>
      <c r="Q371" s="194" t="n"/>
      <c r="R371" s="194" t="n"/>
      <c r="S371" s="194" t="n"/>
      <c r="T371" s="194" t="n"/>
      <c r="U371" s="194" t="n"/>
      <c r="V371" s="194" t="n"/>
      <c r="W371" s="194" t="n"/>
      <c r="X371" s="194" t="n"/>
      <c r="Y371" s="194" t="n"/>
      <c r="Z371" s="194" t="n"/>
    </row>
    <row r="372" ht="15.75" customHeight="1" s="195">
      <c r="A372" s="194" t="inlineStr">
        <is>
          <t>SAN JUAN DE OCUMAL</t>
        </is>
      </c>
      <c r="B372" s="194" t="inlineStr">
        <is>
          <t>NOVIEMBRE 2026</t>
        </is>
      </c>
      <c r="C372" s="377">
        <f>IFERROR(SUMPRODUCT((IF('NOVIEMBRE 2026'!Y6:Y110&lt;&gt;"",'NOVIEMBRE 2026'!Y6:Y110,'NOVIEMBRE 2026'!I6:I110)="SAN JUAN DE OCUMAL")*('NOVIEMBRE 2026'!K6:K110="PETROLEO")*'NOVIEMBRE 2026'!M6:M110),0)</f>
        <v/>
      </c>
      <c r="D372" s="377">
        <f>IFERROR(SUMPRODUCT((IF('NOVIEMBRE 2026'!Y6:Y110&lt;&gt;"",'NOVIEMBRE 2026'!Y6:Y110,'NOVIEMBRE 2026'!I6:I110)="SAN JUAN DE OCUMAL")*('NOVIEMBRE 2026'!K6:K110="PETROLEO")*'NOVIEMBRE 2026'!L6:L110*'NOVIEMBRE 2026'!M6:M110),0)</f>
        <v/>
      </c>
      <c r="E372" s="377">
        <f>IFERROR(SUMPRODUCT((IF('NOVIEMBRE 2026'!Y6:Y110&lt;&gt;"",'NOVIEMBRE 2026'!Y6:Y110,'NOVIEMBRE 2026'!I6:I110)="SAN JUAN DE OCUMAL")*('NOVIEMBRE 2026'!K6:K110="GASOLINA")*'NOVIEMBRE 2026'!M6:M110),0)</f>
        <v/>
      </c>
      <c r="F372" s="377">
        <f>IFERROR(SUMPRODUCT((IF('NOVIEMBRE 2026'!Y6:Y110&lt;&gt;"",'NOVIEMBRE 2026'!Y6:Y110,'NOVIEMBRE 2026'!I6:I110)="SAN JUAN DE OCUMAL")*('NOVIEMBRE 2026'!K6:K110="GASOLINA")*'NOVIEMBRE 2026'!L6:L110*'NOVIEMBRE 2026'!M6:M110),0)</f>
        <v/>
      </c>
      <c r="G372" s="194" t="n"/>
      <c r="H372" s="194" t="n"/>
      <c r="I372" s="194" t="n"/>
      <c r="J372" s="194" t="n"/>
      <c r="K372" s="194" t="n"/>
      <c r="L372" s="194" t="n"/>
      <c r="M372" s="194" t="n"/>
      <c r="N372" s="194" t="n"/>
      <c r="O372" s="194" t="n"/>
      <c r="P372" s="194" t="n"/>
      <c r="Q372" s="194" t="n"/>
      <c r="R372" s="194" t="n"/>
      <c r="S372" s="194" t="n"/>
      <c r="T372" s="194" t="n"/>
      <c r="U372" s="194" t="n"/>
      <c r="V372" s="194" t="n"/>
      <c r="W372" s="194" t="n"/>
      <c r="X372" s="194" t="n"/>
      <c r="Y372" s="194" t="n"/>
      <c r="Z372" s="194" t="n"/>
    </row>
    <row r="373" ht="15.75" customHeight="1" s="195">
      <c r="A373" s="194" t="inlineStr">
        <is>
          <t>SAN JUAN DE OCUMAL</t>
        </is>
      </c>
      <c r="B373" s="194" t="inlineStr">
        <is>
          <t>DICIEMBRE 2026</t>
        </is>
      </c>
      <c r="C373" s="377">
        <f>IFERROR(SUMPRODUCT((IF('DICIEMBRE 2026'!Y6:Y110&lt;&gt;"",'DICIEMBRE 2026'!Y6:Y110,'DICIEMBRE 2026'!I6:I110)="SAN JUAN DE OCUMAL")*('DICIEMBRE 2026'!K6:K110="PETROLEO")*'DICIEMBRE 2026'!M6:M110),0)</f>
        <v/>
      </c>
      <c r="D373" s="377">
        <f>IFERROR(SUMPRODUCT((IF('DICIEMBRE 2026'!Y6:Y110&lt;&gt;"",'DICIEMBRE 2026'!Y6:Y110,'DICIEMBRE 2026'!I6:I110)="SAN JUAN DE OCUMAL")*('DICIEMBRE 2026'!K6:K110="PETROLEO")*'DICIEMBRE 2026'!L6:L110*'DICIEMBRE 2026'!M6:M110),0)</f>
        <v/>
      </c>
      <c r="E373" s="377">
        <f>IFERROR(SUMPRODUCT((IF('DICIEMBRE 2026'!Y6:Y110&lt;&gt;"",'DICIEMBRE 2026'!Y6:Y110,'DICIEMBRE 2026'!I6:I110)="SAN JUAN DE OCUMAL")*('DICIEMBRE 2026'!K6:K110="GASOLINA")*'DICIEMBRE 2026'!M6:M110),0)</f>
        <v/>
      </c>
      <c r="F373" s="377">
        <f>IFERROR(SUMPRODUCT((IF('DICIEMBRE 2026'!Y6:Y110&lt;&gt;"",'DICIEMBRE 2026'!Y6:Y110,'DICIEMBRE 2026'!I6:I110)="SAN JUAN DE OCUMAL")*('DICIEMBRE 2026'!K6:K110="GASOLINA")*'DICIEMBRE 2026'!L6:L110*'DICIEMBRE 2026'!M6:M110),0)</f>
        <v/>
      </c>
      <c r="G373" s="194" t="n"/>
      <c r="H373" s="194" t="n"/>
      <c r="I373" s="194" t="n"/>
      <c r="J373" s="194" t="n"/>
      <c r="K373" s="194" t="n"/>
      <c r="L373" s="194" t="n"/>
      <c r="M373" s="194" t="n"/>
      <c r="N373" s="194" t="n"/>
      <c r="O373" s="194" t="n"/>
      <c r="P373" s="194" t="n"/>
      <c r="Q373" s="194" t="n"/>
      <c r="R373" s="194" t="n"/>
      <c r="S373" s="194" t="n"/>
      <c r="T373" s="194" t="n"/>
      <c r="U373" s="194" t="n"/>
      <c r="V373" s="194" t="n"/>
      <c r="W373" s="194" t="n"/>
      <c r="X373" s="194" t="n"/>
      <c r="Y373" s="194" t="n"/>
      <c r="Z373" s="194" t="n"/>
    </row>
    <row r="374" ht="15.75" customHeight="1" s="195">
      <c r="A374" s="194" t="inlineStr">
        <is>
          <t>YAULICACHI</t>
        </is>
      </c>
      <c r="B374" s="194" t="inlineStr">
        <is>
          <t>ENERO 2026</t>
        </is>
      </c>
      <c r="C374" s="377">
        <f>IFERROR(SUMPRODUCT((IF('ENERO 2026'!Y6:Y119&lt;&gt;"",'ENERO 2026'!Y6:Y119,'ENERO 2026'!I6:I119)="YAULICACHI")*('ENERO 2026'!K6:K119="PETROLEO")*'ENERO 2026'!M6:M119),0)</f>
        <v/>
      </c>
      <c r="D374" s="377">
        <f>IFERROR(SUMPRODUCT((IF('ENERO 2026'!Y6:Y119&lt;&gt;"",'ENERO 2026'!Y6:Y119,'ENERO 2026'!I6:I119)="YAULICACHI")*('ENERO 2026'!K6:K119="PETROLEO")*'ENERO 2026'!L6:L119*'ENERO 2026'!M6:M119),0)</f>
        <v/>
      </c>
      <c r="E374" s="377">
        <f>IFERROR(SUMPRODUCT((IF('ENERO 2026'!Y6:Y119&lt;&gt;"",'ENERO 2026'!Y6:Y119,'ENERO 2026'!I6:I119)="YAULICACHI")*('ENERO 2026'!K6:K119="GASOLINA")*'ENERO 2026'!M6:M119),0)</f>
        <v/>
      </c>
      <c r="F374" s="377">
        <f>IFERROR(SUMPRODUCT((IF('ENERO 2026'!Y6:Y119&lt;&gt;"",'ENERO 2026'!Y6:Y119,'ENERO 2026'!I6:I119)="YAULICACHI")*('ENERO 2026'!K6:K119="GASOLINA")*'ENERO 2026'!L6:L119*'ENERO 2026'!M6:M119),0)</f>
        <v/>
      </c>
      <c r="G374" s="194" t="n"/>
      <c r="H374" s="194" t="n"/>
      <c r="I374" s="194" t="n"/>
      <c r="J374" s="194" t="n"/>
      <c r="K374" s="194" t="n"/>
      <c r="L374" s="194" t="n"/>
      <c r="M374" s="194" t="n"/>
      <c r="N374" s="194" t="n"/>
      <c r="O374" s="194" t="n"/>
      <c r="P374" s="194" t="n"/>
      <c r="Q374" s="194" t="n"/>
      <c r="R374" s="194" t="n"/>
      <c r="S374" s="194" t="n"/>
      <c r="T374" s="194" t="n"/>
      <c r="U374" s="194" t="n"/>
      <c r="V374" s="194" t="n"/>
      <c r="W374" s="194" t="n"/>
      <c r="X374" s="194" t="n"/>
      <c r="Y374" s="194" t="n"/>
      <c r="Z374" s="194" t="n"/>
    </row>
    <row r="375" ht="15.75" customHeight="1" s="195">
      <c r="A375" s="194" t="inlineStr">
        <is>
          <t>YAULICACHI</t>
        </is>
      </c>
      <c r="B375" s="194" t="inlineStr">
        <is>
          <t>FEBRERO 2026</t>
        </is>
      </c>
      <c r="C375" s="377">
        <f>IFERROR(SUMPRODUCT((IF('FEBRERO 2026'!Y6:Y124&lt;&gt;"",'FEBRERO 2026'!Y6:Y124,'FEBRERO 2026'!I6:I124)="YAULICACHI")*('FEBRERO 2026'!K6:K124="PETROLEO")*'FEBRERO 2026'!M6:M124),0)</f>
        <v/>
      </c>
      <c r="D375" s="377">
        <f>IFERROR(SUMPRODUCT((IF('FEBRERO 2026'!Y6:Y124&lt;&gt;"",'FEBRERO 2026'!Y6:Y124,'FEBRERO 2026'!I6:I124)="YAULICACHI")*('FEBRERO 2026'!K6:K124="PETROLEO")*'FEBRERO 2026'!L6:L124*'FEBRERO 2026'!M6:M124),0)</f>
        <v/>
      </c>
      <c r="E375" s="377">
        <f>IFERROR(SUMPRODUCT((IF('FEBRERO 2026'!Y6:Y124&lt;&gt;"",'FEBRERO 2026'!Y6:Y124,'FEBRERO 2026'!I6:I124)="YAULICACHI")*('FEBRERO 2026'!K6:K124="GASOLINA")*'FEBRERO 2026'!M6:M124),0)</f>
        <v/>
      </c>
      <c r="F375" s="377">
        <f>IFERROR(SUMPRODUCT((IF('FEBRERO 2026'!Y6:Y124&lt;&gt;"",'FEBRERO 2026'!Y6:Y124,'FEBRERO 2026'!I6:I124)="YAULICACHI")*('FEBRERO 2026'!K6:K124="GASOLINA")*'FEBRERO 2026'!L6:L124*'FEBRERO 2026'!M6:M124),0)</f>
        <v/>
      </c>
      <c r="G375" s="194" t="n"/>
      <c r="H375" s="194" t="n"/>
      <c r="I375" s="194" t="n"/>
      <c r="J375" s="194" t="n"/>
      <c r="K375" s="194" t="n"/>
      <c r="L375" s="194" t="n"/>
      <c r="M375" s="194" t="n"/>
      <c r="N375" s="194" t="n"/>
      <c r="O375" s="194" t="n"/>
      <c r="P375" s="194" t="n"/>
      <c r="Q375" s="194" t="n"/>
      <c r="R375" s="194" t="n"/>
      <c r="S375" s="194" t="n"/>
      <c r="T375" s="194" t="n"/>
      <c r="U375" s="194" t="n"/>
      <c r="V375" s="194" t="n"/>
      <c r="W375" s="194" t="n"/>
      <c r="X375" s="194" t="n"/>
      <c r="Y375" s="194" t="n"/>
      <c r="Z375" s="194" t="n"/>
    </row>
    <row r="376" ht="15.75" customHeight="1" s="195">
      <c r="A376" s="194" t="inlineStr">
        <is>
          <t>YAULICACHI</t>
        </is>
      </c>
      <c r="B376" s="194" t="inlineStr">
        <is>
          <t>MARZO 2026</t>
        </is>
      </c>
      <c r="C376" s="377">
        <f>IFERROR(SUMPRODUCT((IF('MARZO 2026'!Y6:Y119&lt;&gt;"",'MARZO 2026'!Y6:Y119,'MARZO 2026'!I6:I119)="YAULICACHI")*('MARZO 2026'!K6:K119="PETROLEO")*'MARZO 2026'!M6:M119),0)</f>
        <v/>
      </c>
      <c r="D376" s="377">
        <f>IFERROR(SUMPRODUCT((IF('MARZO 2026'!Y6:Y119&lt;&gt;"",'MARZO 2026'!Y6:Y119,'MARZO 2026'!I6:I119)="YAULICACHI")*('MARZO 2026'!K6:K119="PETROLEO")*'MARZO 2026'!L6:L119*'MARZO 2026'!M6:M119),0)</f>
        <v/>
      </c>
      <c r="E376" s="377">
        <f>IFERROR(SUMPRODUCT((IF('MARZO 2026'!Y6:Y119&lt;&gt;"",'MARZO 2026'!Y6:Y119,'MARZO 2026'!I6:I119)="YAULICACHI")*('MARZO 2026'!K6:K119="GASOLINA")*'MARZO 2026'!M6:M119),0)</f>
        <v/>
      </c>
      <c r="F376" s="377">
        <f>IFERROR(SUMPRODUCT((IF('MARZO 2026'!Y6:Y119&lt;&gt;"",'MARZO 2026'!Y6:Y119,'MARZO 2026'!I6:I119)="YAULICACHI")*('MARZO 2026'!K6:K119="GASOLINA")*'MARZO 2026'!L6:L119*'MARZO 2026'!M6:M119),0)</f>
        <v/>
      </c>
      <c r="G376" s="194" t="n"/>
      <c r="H376" s="194" t="n"/>
      <c r="I376" s="194" t="n"/>
      <c r="J376" s="194" t="n"/>
      <c r="K376" s="194" t="n"/>
      <c r="L376" s="194" t="n"/>
      <c r="M376" s="194" t="n"/>
      <c r="N376" s="194" t="n"/>
      <c r="O376" s="194" t="n"/>
      <c r="P376" s="194" t="n"/>
      <c r="Q376" s="194" t="n"/>
      <c r="R376" s="194" t="n"/>
      <c r="S376" s="194" t="n"/>
      <c r="T376" s="194" t="n"/>
      <c r="U376" s="194" t="n"/>
      <c r="V376" s="194" t="n"/>
      <c r="W376" s="194" t="n"/>
      <c r="X376" s="194" t="n"/>
      <c r="Y376" s="194" t="n"/>
      <c r="Z376" s="194" t="n"/>
    </row>
    <row r="377" ht="15.75" customHeight="1" s="195">
      <c r="A377" s="194" t="inlineStr">
        <is>
          <t>YAULICACHI</t>
        </is>
      </c>
      <c r="B377" s="194" t="inlineStr">
        <is>
          <t>ABRIL 2026</t>
        </is>
      </c>
      <c r="C377" s="377">
        <f>IFERROR(SUMPRODUCT((IF('ABRIL 2026'!Y6:Y119&lt;&gt;"",'ABRIL 2026'!Y6:Y119,'ABRIL 2026'!I6:I119)="YAULICACHI")*('ABRIL 2026'!K6:K119="PETROLEO")*'ABRIL 2026'!M6:M119),0)</f>
        <v/>
      </c>
      <c r="D377" s="377">
        <f>IFERROR(SUMPRODUCT((IF('ABRIL 2026'!Y6:Y119&lt;&gt;"",'ABRIL 2026'!Y6:Y119,'ABRIL 2026'!I6:I119)="YAULICACHI")*('ABRIL 2026'!K6:K119="PETROLEO")*'ABRIL 2026'!L6:L119*'ABRIL 2026'!M6:M119),0)</f>
        <v/>
      </c>
      <c r="E377" s="377">
        <f>IFERROR(SUMPRODUCT((IF('ABRIL 2026'!Y6:Y119&lt;&gt;"",'ABRIL 2026'!Y6:Y119,'ABRIL 2026'!I6:I119)="YAULICACHI")*('ABRIL 2026'!K6:K119="GASOLINA")*'ABRIL 2026'!M6:M119),0)</f>
        <v/>
      </c>
      <c r="F377" s="377">
        <f>IFERROR(SUMPRODUCT((IF('ABRIL 2026'!Y6:Y119&lt;&gt;"",'ABRIL 2026'!Y6:Y119,'ABRIL 2026'!I6:I119)="YAULICACHI")*('ABRIL 2026'!K6:K119="GASOLINA")*'ABRIL 2026'!L6:L119*'ABRIL 2026'!M6:M119),0)</f>
        <v/>
      </c>
      <c r="G377" s="194" t="n"/>
      <c r="H377" s="194" t="n"/>
      <c r="I377" s="194" t="n"/>
      <c r="J377" s="194" t="n"/>
      <c r="K377" s="194" t="n"/>
      <c r="L377" s="194" t="n"/>
      <c r="M377" s="194" t="n"/>
      <c r="N377" s="194" t="n"/>
      <c r="O377" s="194" t="n"/>
      <c r="P377" s="194" t="n"/>
      <c r="Q377" s="194" t="n"/>
      <c r="R377" s="194" t="n"/>
      <c r="S377" s="194" t="n"/>
      <c r="T377" s="194" t="n"/>
      <c r="U377" s="194" t="n"/>
      <c r="V377" s="194" t="n"/>
      <c r="W377" s="194" t="n"/>
      <c r="X377" s="194" t="n"/>
      <c r="Y377" s="194" t="n"/>
      <c r="Z377" s="194" t="n"/>
    </row>
    <row r="378" ht="15.75" customHeight="1" s="195">
      <c r="A378" s="194" t="inlineStr">
        <is>
          <t>YAULICACHI</t>
        </is>
      </c>
      <c r="B378" s="194" t="inlineStr">
        <is>
          <t>MAYO 2026</t>
        </is>
      </c>
      <c r="C378" s="377">
        <f>IFERROR(SUMPRODUCT((IF('MAYO 2026'!Y6:Y110&lt;&gt;"",'MAYO 2026'!Y6:Y110,'MAYO 2026'!I6:I110)="YAULICACHI")*('MAYO 2026'!K6:K110="PETROLEO")*'MAYO 2026'!M6:M110),0)</f>
        <v/>
      </c>
      <c r="D378" s="377">
        <f>IFERROR(SUMPRODUCT((IF('MAYO 2026'!Y6:Y110&lt;&gt;"",'MAYO 2026'!Y6:Y110,'MAYO 2026'!I6:I110)="YAULICACHI")*('MAYO 2026'!K6:K110="PETROLEO")*'MAYO 2026'!L6:L110*'MAYO 2026'!M6:M110),0)</f>
        <v/>
      </c>
      <c r="E378" s="377">
        <f>IFERROR(SUMPRODUCT((IF('MAYO 2026'!Y6:Y110&lt;&gt;"",'MAYO 2026'!Y6:Y110,'MAYO 2026'!I6:I110)="YAULICACHI")*('MAYO 2026'!K6:K110="GASOLINA")*'MAYO 2026'!M6:M110),0)</f>
        <v/>
      </c>
      <c r="F378" s="377">
        <f>IFERROR(SUMPRODUCT((IF('MAYO 2026'!Y6:Y110&lt;&gt;"",'MAYO 2026'!Y6:Y110,'MAYO 2026'!I6:I110)="YAULICACHI")*('MAYO 2026'!K6:K110="GASOLINA")*'MAYO 2026'!L6:L110*'MAYO 2026'!M6:M110),0)</f>
        <v/>
      </c>
      <c r="G378" s="194" t="n"/>
      <c r="H378" s="194" t="n"/>
      <c r="I378" s="194" t="n"/>
      <c r="J378" s="194" t="n"/>
      <c r="K378" s="194" t="n"/>
      <c r="L378" s="194" t="n"/>
      <c r="M378" s="194" t="n"/>
      <c r="N378" s="194" t="n"/>
      <c r="O378" s="194" t="n"/>
      <c r="P378" s="194" t="n"/>
      <c r="Q378" s="194" t="n"/>
      <c r="R378" s="194" t="n"/>
      <c r="S378" s="194" t="n"/>
      <c r="T378" s="194" t="n"/>
      <c r="U378" s="194" t="n"/>
      <c r="V378" s="194" t="n"/>
      <c r="W378" s="194" t="n"/>
      <c r="X378" s="194" t="n"/>
      <c r="Y378" s="194" t="n"/>
      <c r="Z378" s="194" t="n"/>
    </row>
    <row r="379" ht="15.75" customHeight="1" s="195">
      <c r="A379" s="194" t="inlineStr">
        <is>
          <t>YAULICACHI</t>
        </is>
      </c>
      <c r="B379" s="194" t="inlineStr">
        <is>
          <t>JUNIO 2026</t>
        </is>
      </c>
      <c r="C379" s="377">
        <f>IFERROR(SUMPRODUCT((IF('JUNIO 2026'!Y6:Y110&lt;&gt;"",'JUNIO 2026'!Y6:Y110,'JUNIO 2026'!I6:I110)="YAULICACHI")*('JUNIO 2026'!K6:K110="PETROLEO")*'JUNIO 2026'!M6:M110),0)</f>
        <v/>
      </c>
      <c r="D379" s="377">
        <f>IFERROR(SUMPRODUCT((IF('JUNIO 2026'!Y6:Y110&lt;&gt;"",'JUNIO 2026'!Y6:Y110,'JUNIO 2026'!I6:I110)="YAULICACHI")*('JUNIO 2026'!K6:K110="PETROLEO")*'JUNIO 2026'!L6:L110*'JUNIO 2026'!M6:M110),0)</f>
        <v/>
      </c>
      <c r="E379" s="377">
        <f>IFERROR(SUMPRODUCT((IF('JUNIO 2026'!Y6:Y110&lt;&gt;"",'JUNIO 2026'!Y6:Y110,'JUNIO 2026'!I6:I110)="YAULICACHI")*('JUNIO 2026'!K6:K110="GASOLINA")*'JUNIO 2026'!M6:M110),0)</f>
        <v/>
      </c>
      <c r="F379" s="377">
        <f>IFERROR(SUMPRODUCT((IF('JUNIO 2026'!Y6:Y110&lt;&gt;"",'JUNIO 2026'!Y6:Y110,'JUNIO 2026'!I6:I110)="YAULICACHI")*('JUNIO 2026'!K6:K110="GASOLINA")*'JUNIO 2026'!L6:L110*'JUNIO 2026'!M6:M110),0)</f>
        <v/>
      </c>
      <c r="G379" s="194" t="n"/>
      <c r="H379" s="194" t="n"/>
      <c r="I379" s="194" t="n"/>
      <c r="J379" s="194" t="n"/>
      <c r="K379" s="194" t="n"/>
      <c r="L379" s="194" t="n"/>
      <c r="M379" s="194" t="n"/>
      <c r="N379" s="194" t="n"/>
      <c r="O379" s="194" t="n"/>
      <c r="P379" s="194" t="n"/>
      <c r="Q379" s="194" t="n"/>
      <c r="R379" s="194" t="n"/>
      <c r="S379" s="194" t="n"/>
      <c r="T379" s="194" t="n"/>
      <c r="U379" s="194" t="n"/>
      <c r="V379" s="194" t="n"/>
      <c r="W379" s="194" t="n"/>
      <c r="X379" s="194" t="n"/>
      <c r="Y379" s="194" t="n"/>
      <c r="Z379" s="194" t="n"/>
    </row>
    <row r="380" ht="15.75" customHeight="1" s="195">
      <c r="A380" s="194" t="inlineStr">
        <is>
          <t>YAULICACHI</t>
        </is>
      </c>
      <c r="B380" s="194" t="inlineStr">
        <is>
          <t>JULIO 2026</t>
        </is>
      </c>
      <c r="C380" s="377">
        <f>IFERROR(SUMPRODUCT((IF('JULIO 2026'!Y6:Y110&lt;&gt;"",'JULIO 2026'!Y6:Y110,'JULIO 2026'!I6:I110)="YAULICACHI")*('JULIO 2026'!K6:K110="PETROLEO")*'JULIO 2026'!M6:M110),0)</f>
        <v/>
      </c>
      <c r="D380" s="377">
        <f>IFERROR(SUMPRODUCT((IF('JULIO 2026'!Y6:Y110&lt;&gt;"",'JULIO 2026'!Y6:Y110,'JULIO 2026'!I6:I110)="YAULICACHI")*('JULIO 2026'!K6:K110="PETROLEO")*'JULIO 2026'!L6:L110*'JULIO 2026'!M6:M110),0)</f>
        <v/>
      </c>
      <c r="E380" s="377">
        <f>IFERROR(SUMPRODUCT((IF('JULIO 2026'!Y6:Y110&lt;&gt;"",'JULIO 2026'!Y6:Y110,'JULIO 2026'!I6:I110)="YAULICACHI")*('JULIO 2026'!K6:K110="GASOLINA")*'JULIO 2026'!M6:M110),0)</f>
        <v/>
      </c>
      <c r="F380" s="377">
        <f>IFERROR(SUMPRODUCT((IF('JULIO 2026'!Y6:Y110&lt;&gt;"",'JULIO 2026'!Y6:Y110,'JULIO 2026'!I6:I110)="YAULICACHI")*('JULIO 2026'!K6:K110="GASOLINA")*'JULIO 2026'!L6:L110*'JULIO 2026'!M6:M110),0)</f>
        <v/>
      </c>
      <c r="G380" s="194" t="n"/>
      <c r="H380" s="194" t="n"/>
      <c r="I380" s="194" t="n"/>
      <c r="J380" s="194" t="n"/>
      <c r="K380" s="194" t="n"/>
      <c r="L380" s="194" t="n"/>
      <c r="M380" s="194" t="n"/>
      <c r="N380" s="194" t="n"/>
      <c r="O380" s="194" t="n"/>
      <c r="P380" s="194" t="n"/>
      <c r="Q380" s="194" t="n"/>
      <c r="R380" s="194" t="n"/>
      <c r="S380" s="194" t="n"/>
      <c r="T380" s="194" t="n"/>
      <c r="U380" s="194" t="n"/>
      <c r="V380" s="194" t="n"/>
      <c r="W380" s="194" t="n"/>
      <c r="X380" s="194" t="n"/>
      <c r="Y380" s="194" t="n"/>
      <c r="Z380" s="194" t="n"/>
    </row>
    <row r="381" ht="15.75" customHeight="1" s="195">
      <c r="A381" s="194" t="inlineStr">
        <is>
          <t>YAULICACHI</t>
        </is>
      </c>
      <c r="B381" s="194" t="inlineStr">
        <is>
          <t>AGOSTO 2026</t>
        </is>
      </c>
      <c r="C381" s="377">
        <f>IFERROR(SUMPRODUCT((IF('AGOSTO 2026'!Y6:Y110&lt;&gt;"",'AGOSTO 2026'!Y6:Y110,'AGOSTO 2026'!I6:I110)="YAULICACHI")*('AGOSTO 2026'!K6:K110="PETROLEO")*'AGOSTO 2026'!M6:M110),0)</f>
        <v/>
      </c>
      <c r="D381" s="377">
        <f>IFERROR(SUMPRODUCT((IF('AGOSTO 2026'!Y6:Y110&lt;&gt;"",'AGOSTO 2026'!Y6:Y110,'AGOSTO 2026'!I6:I110)="YAULICACHI")*('AGOSTO 2026'!K6:K110="PETROLEO")*'AGOSTO 2026'!L6:L110*'AGOSTO 2026'!M6:M110),0)</f>
        <v/>
      </c>
      <c r="E381" s="377">
        <f>IFERROR(SUMPRODUCT((IF('AGOSTO 2026'!Y6:Y110&lt;&gt;"",'AGOSTO 2026'!Y6:Y110,'AGOSTO 2026'!I6:I110)="YAULICACHI")*('AGOSTO 2026'!K6:K110="GASOLINA")*'AGOSTO 2026'!M6:M110),0)</f>
        <v/>
      </c>
      <c r="F381" s="377">
        <f>IFERROR(SUMPRODUCT((IF('AGOSTO 2026'!Y6:Y110&lt;&gt;"",'AGOSTO 2026'!Y6:Y110,'AGOSTO 2026'!I6:I110)="YAULICACHI")*('AGOSTO 2026'!K6:K110="GASOLINA")*'AGOSTO 2026'!L6:L110*'AGOSTO 2026'!M6:M110),0)</f>
        <v/>
      </c>
      <c r="G381" s="194" t="n"/>
      <c r="H381" s="194" t="n"/>
      <c r="I381" s="194" t="n"/>
      <c r="J381" s="194" t="n"/>
      <c r="K381" s="194" t="n"/>
      <c r="L381" s="194" t="n"/>
      <c r="M381" s="194" t="n"/>
      <c r="N381" s="194" t="n"/>
      <c r="O381" s="194" t="n"/>
      <c r="P381" s="194" t="n"/>
      <c r="Q381" s="194" t="n"/>
      <c r="R381" s="194" t="n"/>
      <c r="S381" s="194" t="n"/>
      <c r="T381" s="194" t="n"/>
      <c r="U381" s="194" t="n"/>
      <c r="V381" s="194" t="n"/>
      <c r="W381" s="194" t="n"/>
      <c r="X381" s="194" t="n"/>
      <c r="Y381" s="194" t="n"/>
      <c r="Z381" s="194" t="n"/>
    </row>
    <row r="382" ht="15.75" customHeight="1" s="195">
      <c r="A382" s="194" t="inlineStr">
        <is>
          <t>YAULICACHI</t>
        </is>
      </c>
      <c r="B382" s="194" t="inlineStr">
        <is>
          <t>SETIEMBRE 2026</t>
        </is>
      </c>
      <c r="C382" s="377">
        <f>IFERROR(SUMPRODUCT((IF('SETIEMBRE 2026'!Y6:Y110&lt;&gt;"",'SETIEMBRE 2026'!Y6:Y110,'SETIEMBRE 2026'!I6:I110)="YAULICACHI")*('SETIEMBRE 2026'!K6:K110="PETROLEO")*'SETIEMBRE 2026'!M6:M110),0)</f>
        <v/>
      </c>
      <c r="D382" s="377">
        <f>IFERROR(SUMPRODUCT((IF('SETIEMBRE 2026'!Y6:Y110&lt;&gt;"",'SETIEMBRE 2026'!Y6:Y110,'SETIEMBRE 2026'!I6:I110)="YAULICACHI")*('SETIEMBRE 2026'!K6:K110="PETROLEO")*'SETIEMBRE 2026'!L6:L110*'SETIEMBRE 2026'!M6:M110),0)</f>
        <v/>
      </c>
      <c r="E382" s="377">
        <f>IFERROR(SUMPRODUCT((IF('SETIEMBRE 2026'!Y6:Y110&lt;&gt;"",'SETIEMBRE 2026'!Y6:Y110,'SETIEMBRE 2026'!I6:I110)="YAULICACHI")*('SETIEMBRE 2026'!K6:K110="GASOLINA")*'SETIEMBRE 2026'!M6:M110),0)</f>
        <v/>
      </c>
      <c r="F382" s="377">
        <f>IFERROR(SUMPRODUCT((IF('SETIEMBRE 2026'!Y6:Y110&lt;&gt;"",'SETIEMBRE 2026'!Y6:Y110,'SETIEMBRE 2026'!I6:I110)="YAULICACHI")*('SETIEMBRE 2026'!K6:K110="GASOLINA")*'SETIEMBRE 2026'!L6:L110*'SETIEMBRE 2026'!M6:M110),0)</f>
        <v/>
      </c>
      <c r="G382" s="194" t="n"/>
      <c r="H382" s="194" t="n"/>
      <c r="I382" s="194" t="n"/>
      <c r="J382" s="194" t="n"/>
      <c r="K382" s="194" t="n"/>
      <c r="L382" s="194" t="n"/>
      <c r="M382" s="194" t="n"/>
      <c r="N382" s="194" t="n"/>
      <c r="O382" s="194" t="n"/>
      <c r="P382" s="194" t="n"/>
      <c r="Q382" s="194" t="n"/>
      <c r="R382" s="194" t="n"/>
      <c r="S382" s="194" t="n"/>
      <c r="T382" s="194" t="n"/>
      <c r="U382" s="194" t="n"/>
      <c r="V382" s="194" t="n"/>
      <c r="W382" s="194" t="n"/>
      <c r="X382" s="194" t="n"/>
      <c r="Y382" s="194" t="n"/>
      <c r="Z382" s="194" t="n"/>
    </row>
    <row r="383" ht="15.75" customHeight="1" s="195">
      <c r="A383" s="194" t="inlineStr">
        <is>
          <t>YAULICACHI</t>
        </is>
      </c>
      <c r="B383" s="194" t="inlineStr">
        <is>
          <t>OCTUBRE 2026</t>
        </is>
      </c>
      <c r="C383" s="377">
        <f>IFERROR(SUMPRODUCT((IF('OCTUBRE 2026'!Y6:Y110&lt;&gt;"",'OCTUBRE 2026'!Y6:Y110,'OCTUBRE 2026'!I6:I110)="YAULICACHI")*('OCTUBRE 2026'!K6:K110="PETROLEO")*'OCTUBRE 2026'!M6:M110),0)</f>
        <v/>
      </c>
      <c r="D383" s="377">
        <f>IFERROR(SUMPRODUCT((IF('OCTUBRE 2026'!Y6:Y110&lt;&gt;"",'OCTUBRE 2026'!Y6:Y110,'OCTUBRE 2026'!I6:I110)="YAULICACHI")*('OCTUBRE 2026'!K6:K110="PETROLEO")*'OCTUBRE 2026'!L6:L110*'OCTUBRE 2026'!M6:M110),0)</f>
        <v/>
      </c>
      <c r="E383" s="377">
        <f>IFERROR(SUMPRODUCT((IF('OCTUBRE 2026'!Y6:Y110&lt;&gt;"",'OCTUBRE 2026'!Y6:Y110,'OCTUBRE 2026'!I6:I110)="YAULICACHI")*('OCTUBRE 2026'!K6:K110="GASOLINA")*'OCTUBRE 2026'!M6:M110),0)</f>
        <v/>
      </c>
      <c r="F383" s="377">
        <f>IFERROR(SUMPRODUCT((IF('OCTUBRE 2026'!Y6:Y110&lt;&gt;"",'OCTUBRE 2026'!Y6:Y110,'OCTUBRE 2026'!I6:I110)="YAULICACHI")*('OCTUBRE 2026'!K6:K110="GASOLINA")*'OCTUBRE 2026'!L6:L110*'OCTUBRE 2026'!M6:M110),0)</f>
        <v/>
      </c>
      <c r="G383" s="194" t="n"/>
      <c r="H383" s="194" t="n"/>
      <c r="I383" s="194" t="n"/>
      <c r="J383" s="194" t="n"/>
      <c r="K383" s="194" t="n"/>
      <c r="L383" s="194" t="n"/>
      <c r="M383" s="194" t="n"/>
      <c r="N383" s="194" t="n"/>
      <c r="O383" s="194" t="n"/>
      <c r="P383" s="194" t="n"/>
      <c r="Q383" s="194" t="n"/>
      <c r="R383" s="194" t="n"/>
      <c r="S383" s="194" t="n"/>
      <c r="T383" s="194" t="n"/>
      <c r="U383" s="194" t="n"/>
      <c r="V383" s="194" t="n"/>
      <c r="W383" s="194" t="n"/>
      <c r="X383" s="194" t="n"/>
      <c r="Y383" s="194" t="n"/>
      <c r="Z383" s="194" t="n"/>
    </row>
    <row r="384" ht="15.75" customHeight="1" s="195">
      <c r="A384" s="194" t="inlineStr">
        <is>
          <t>YAULICACHI</t>
        </is>
      </c>
      <c r="B384" s="194" t="inlineStr">
        <is>
          <t>NOVIEMBRE 2026</t>
        </is>
      </c>
      <c r="C384" s="377">
        <f>IFERROR(SUMPRODUCT((IF('NOVIEMBRE 2026'!Y6:Y110&lt;&gt;"",'NOVIEMBRE 2026'!Y6:Y110,'NOVIEMBRE 2026'!I6:I110)="YAULICACHI")*('NOVIEMBRE 2026'!K6:K110="PETROLEO")*'NOVIEMBRE 2026'!M6:M110),0)</f>
        <v/>
      </c>
      <c r="D384" s="377">
        <f>IFERROR(SUMPRODUCT((IF('NOVIEMBRE 2026'!Y6:Y110&lt;&gt;"",'NOVIEMBRE 2026'!Y6:Y110,'NOVIEMBRE 2026'!I6:I110)="YAULICACHI")*('NOVIEMBRE 2026'!K6:K110="PETROLEO")*'NOVIEMBRE 2026'!L6:L110*'NOVIEMBRE 2026'!M6:M110),0)</f>
        <v/>
      </c>
      <c r="E384" s="377">
        <f>IFERROR(SUMPRODUCT((IF('NOVIEMBRE 2026'!Y6:Y110&lt;&gt;"",'NOVIEMBRE 2026'!Y6:Y110,'NOVIEMBRE 2026'!I6:I110)="YAULICACHI")*('NOVIEMBRE 2026'!K6:K110="GASOLINA")*'NOVIEMBRE 2026'!M6:M110),0)</f>
        <v/>
      </c>
      <c r="F384" s="377">
        <f>IFERROR(SUMPRODUCT((IF('NOVIEMBRE 2026'!Y6:Y110&lt;&gt;"",'NOVIEMBRE 2026'!Y6:Y110,'NOVIEMBRE 2026'!I6:I110)="YAULICACHI")*('NOVIEMBRE 2026'!K6:K110="GASOLINA")*'NOVIEMBRE 2026'!L6:L110*'NOVIEMBRE 2026'!M6:M110),0)</f>
        <v/>
      </c>
      <c r="G384" s="194" t="n"/>
      <c r="H384" s="194" t="n"/>
      <c r="I384" s="194" t="n"/>
      <c r="J384" s="194" t="n"/>
      <c r="K384" s="194" t="n"/>
      <c r="L384" s="194" t="n"/>
      <c r="M384" s="194" t="n"/>
      <c r="N384" s="194" t="n"/>
      <c r="O384" s="194" t="n"/>
      <c r="P384" s="194" t="n"/>
      <c r="Q384" s="194" t="n"/>
      <c r="R384" s="194" t="n"/>
      <c r="S384" s="194" t="n"/>
      <c r="T384" s="194" t="n"/>
      <c r="U384" s="194" t="n"/>
      <c r="V384" s="194" t="n"/>
      <c r="W384" s="194" t="n"/>
      <c r="X384" s="194" t="n"/>
      <c r="Y384" s="194" t="n"/>
      <c r="Z384" s="194" t="n"/>
    </row>
    <row r="385" ht="15.75" customHeight="1" s="195">
      <c r="A385" s="194" t="inlineStr">
        <is>
          <t>YAULICACHI</t>
        </is>
      </c>
      <c r="B385" s="194" t="inlineStr">
        <is>
          <t>DICIEMBRE 2026</t>
        </is>
      </c>
      <c r="C385" s="377">
        <f>IFERROR(SUMPRODUCT((IF('DICIEMBRE 2026'!Y6:Y110&lt;&gt;"",'DICIEMBRE 2026'!Y6:Y110,'DICIEMBRE 2026'!I6:I110)="YAULICACHI")*('DICIEMBRE 2026'!K6:K110="PETROLEO")*'DICIEMBRE 2026'!M6:M110),0)</f>
        <v/>
      </c>
      <c r="D385" s="377">
        <f>IFERROR(SUMPRODUCT((IF('DICIEMBRE 2026'!Y6:Y110&lt;&gt;"",'DICIEMBRE 2026'!Y6:Y110,'DICIEMBRE 2026'!I6:I110)="YAULICACHI")*('DICIEMBRE 2026'!K6:K110="PETROLEO")*'DICIEMBRE 2026'!L6:L110*'DICIEMBRE 2026'!M6:M110),0)</f>
        <v/>
      </c>
      <c r="E385" s="377">
        <f>IFERROR(SUMPRODUCT((IF('DICIEMBRE 2026'!Y6:Y110&lt;&gt;"",'DICIEMBRE 2026'!Y6:Y110,'DICIEMBRE 2026'!I6:I110)="YAULICACHI")*('DICIEMBRE 2026'!K6:K110="GASOLINA")*'DICIEMBRE 2026'!M6:M110),0)</f>
        <v/>
      </c>
      <c r="F385" s="377">
        <f>IFERROR(SUMPRODUCT((IF('DICIEMBRE 2026'!Y6:Y110&lt;&gt;"",'DICIEMBRE 2026'!Y6:Y110,'DICIEMBRE 2026'!I6:I110)="YAULICACHI")*('DICIEMBRE 2026'!K6:K110="GASOLINA")*'DICIEMBRE 2026'!L6:L110*'DICIEMBRE 2026'!M6:M110),0)</f>
        <v/>
      </c>
      <c r="G385" s="194" t="n"/>
      <c r="H385" s="194" t="n"/>
      <c r="I385" s="194" t="n"/>
      <c r="J385" s="194" t="n"/>
      <c r="K385" s="194" t="n"/>
      <c r="L385" s="194" t="n"/>
      <c r="M385" s="194" t="n"/>
      <c r="N385" s="194" t="n"/>
      <c r="O385" s="194" t="n"/>
      <c r="P385" s="194" t="n"/>
      <c r="Q385" s="194" t="n"/>
      <c r="R385" s="194" t="n"/>
      <c r="S385" s="194" t="n"/>
      <c r="T385" s="194" t="n"/>
      <c r="U385" s="194" t="n"/>
      <c r="V385" s="194" t="n"/>
      <c r="W385" s="194" t="n"/>
      <c r="X385" s="194" t="n"/>
      <c r="Y385" s="194" t="n"/>
      <c r="Z385" s="194" t="n"/>
    </row>
    <row r="386" ht="15.75" customHeight="1" s="195">
      <c r="A386" s="194" t="inlineStr">
        <is>
          <t>DURAZNOPAMPA</t>
        </is>
      </c>
      <c r="B386" s="194" t="inlineStr">
        <is>
          <t>ENERO 2026</t>
        </is>
      </c>
      <c r="C386" s="377">
        <f>IFERROR(SUMPRODUCT((IF('ENERO 2026'!Y6:Y119&lt;&gt;"",'ENERO 2026'!Y6:Y119,'ENERO 2026'!I6:I119)="DURAZNOPAMPA")*('ENERO 2026'!K6:K119="PETROLEO")*'ENERO 2026'!M6:M119),0)</f>
        <v/>
      </c>
      <c r="D386" s="377">
        <f>IFERROR(SUMPRODUCT((IF('ENERO 2026'!Y6:Y119&lt;&gt;"",'ENERO 2026'!Y6:Y119,'ENERO 2026'!I6:I119)="DURAZNOPAMPA")*('ENERO 2026'!K6:K119="PETROLEO")*'ENERO 2026'!L6:L119*'ENERO 2026'!M6:M119),0)</f>
        <v/>
      </c>
      <c r="E386" s="377">
        <f>IFERROR(SUMPRODUCT((IF('ENERO 2026'!Y6:Y119&lt;&gt;"",'ENERO 2026'!Y6:Y119,'ENERO 2026'!I6:I119)="DURAZNOPAMPA")*('ENERO 2026'!K6:K119="GASOLINA")*'ENERO 2026'!M6:M119),0)</f>
        <v/>
      </c>
      <c r="F386" s="377">
        <f>IFERROR(SUMPRODUCT((IF('ENERO 2026'!Y6:Y119&lt;&gt;"",'ENERO 2026'!Y6:Y119,'ENERO 2026'!I6:I119)="DURAZNOPAMPA")*('ENERO 2026'!K6:K119="GASOLINA")*'ENERO 2026'!L6:L119*'ENERO 2026'!M6:M119),0)</f>
        <v/>
      </c>
      <c r="G386" s="194" t="n"/>
      <c r="H386" s="194" t="n"/>
      <c r="I386" s="194" t="n"/>
      <c r="J386" s="194" t="n"/>
      <c r="K386" s="194" t="n"/>
      <c r="L386" s="194" t="n"/>
      <c r="M386" s="194" t="n"/>
      <c r="N386" s="194" t="n"/>
      <c r="O386" s="194" t="n"/>
      <c r="P386" s="194" t="n"/>
      <c r="Q386" s="194" t="n"/>
      <c r="R386" s="194" t="n"/>
      <c r="S386" s="194" t="n"/>
      <c r="T386" s="194" t="n"/>
      <c r="U386" s="194" t="n"/>
      <c r="V386" s="194" t="n"/>
      <c r="W386" s="194" t="n"/>
      <c r="X386" s="194" t="n"/>
      <c r="Y386" s="194" t="n"/>
      <c r="Z386" s="194" t="n"/>
    </row>
    <row r="387" ht="15.75" customHeight="1" s="195">
      <c r="A387" s="194" t="inlineStr">
        <is>
          <t>DURAZNOPAMPA</t>
        </is>
      </c>
      <c r="B387" s="194" t="inlineStr">
        <is>
          <t>FEBRERO 2026</t>
        </is>
      </c>
      <c r="C387" s="377">
        <f>IFERROR(SUMPRODUCT((IF('FEBRERO 2026'!Y6:Y124&lt;&gt;"",'FEBRERO 2026'!Y6:Y124,'FEBRERO 2026'!I6:I124)="DURAZNOPAMPA")*('FEBRERO 2026'!K6:K124="PETROLEO")*'FEBRERO 2026'!M6:M124),0)</f>
        <v/>
      </c>
      <c r="D387" s="377">
        <f>IFERROR(SUMPRODUCT((IF('FEBRERO 2026'!Y6:Y124&lt;&gt;"",'FEBRERO 2026'!Y6:Y124,'FEBRERO 2026'!I6:I124)="DURAZNOPAMPA")*('FEBRERO 2026'!K6:K124="PETROLEO")*'FEBRERO 2026'!L6:L124*'FEBRERO 2026'!M6:M124),0)</f>
        <v/>
      </c>
      <c r="E387" s="377">
        <f>IFERROR(SUMPRODUCT((IF('FEBRERO 2026'!Y6:Y124&lt;&gt;"",'FEBRERO 2026'!Y6:Y124,'FEBRERO 2026'!I6:I124)="DURAZNOPAMPA")*('FEBRERO 2026'!K6:K124="GASOLINA")*'FEBRERO 2026'!M6:M124),0)</f>
        <v/>
      </c>
      <c r="F387" s="377">
        <f>IFERROR(SUMPRODUCT((IF('FEBRERO 2026'!Y6:Y124&lt;&gt;"",'FEBRERO 2026'!Y6:Y124,'FEBRERO 2026'!I6:I124)="DURAZNOPAMPA")*('FEBRERO 2026'!K6:K124="GASOLINA")*'FEBRERO 2026'!L6:L124*'FEBRERO 2026'!M6:M124),0)</f>
        <v/>
      </c>
      <c r="G387" s="194" t="n"/>
      <c r="H387" s="194" t="n"/>
      <c r="I387" s="194" t="n"/>
      <c r="J387" s="194" t="n"/>
      <c r="K387" s="194" t="n"/>
      <c r="L387" s="194" t="n"/>
      <c r="M387" s="194" t="n"/>
      <c r="N387" s="194" t="n"/>
      <c r="O387" s="194" t="n"/>
      <c r="P387" s="194" t="n"/>
      <c r="Q387" s="194" t="n"/>
      <c r="R387" s="194" t="n"/>
      <c r="S387" s="194" t="n"/>
      <c r="T387" s="194" t="n"/>
      <c r="U387" s="194" t="n"/>
      <c r="V387" s="194" t="n"/>
      <c r="W387" s="194" t="n"/>
      <c r="X387" s="194" t="n"/>
      <c r="Y387" s="194" t="n"/>
      <c r="Z387" s="194" t="n"/>
    </row>
    <row r="388" ht="15.75" customHeight="1" s="195">
      <c r="A388" s="194" t="inlineStr">
        <is>
          <t>DURAZNOPAMPA</t>
        </is>
      </c>
      <c r="B388" s="194" t="inlineStr">
        <is>
          <t>MARZO 2026</t>
        </is>
      </c>
      <c r="C388" s="377">
        <f>IFERROR(SUMPRODUCT((IF('MARZO 2026'!Y6:Y119&lt;&gt;"",'MARZO 2026'!Y6:Y119,'MARZO 2026'!I6:I119)="DURAZNOPAMPA")*('MARZO 2026'!K6:K119="PETROLEO")*'MARZO 2026'!M6:M119),0)</f>
        <v/>
      </c>
      <c r="D388" s="377">
        <f>IFERROR(SUMPRODUCT((IF('MARZO 2026'!Y6:Y119&lt;&gt;"",'MARZO 2026'!Y6:Y119,'MARZO 2026'!I6:I119)="DURAZNOPAMPA")*('MARZO 2026'!K6:K119="PETROLEO")*'MARZO 2026'!L6:L119*'MARZO 2026'!M6:M119),0)</f>
        <v/>
      </c>
      <c r="E388" s="377">
        <f>IFERROR(SUMPRODUCT((IF('MARZO 2026'!Y6:Y119&lt;&gt;"",'MARZO 2026'!Y6:Y119,'MARZO 2026'!I6:I119)="DURAZNOPAMPA")*('MARZO 2026'!K6:K119="GASOLINA")*'MARZO 2026'!M6:M119),0)</f>
        <v/>
      </c>
      <c r="F388" s="377">
        <f>IFERROR(SUMPRODUCT((IF('MARZO 2026'!Y6:Y119&lt;&gt;"",'MARZO 2026'!Y6:Y119,'MARZO 2026'!I6:I119)="DURAZNOPAMPA")*('MARZO 2026'!K6:K119="GASOLINA")*'MARZO 2026'!L6:L119*'MARZO 2026'!M6:M119),0)</f>
        <v/>
      </c>
      <c r="G388" s="194" t="n"/>
      <c r="H388" s="194" t="n"/>
      <c r="I388" s="194" t="n"/>
      <c r="J388" s="194" t="n"/>
      <c r="K388" s="194" t="n"/>
      <c r="L388" s="194" t="n"/>
      <c r="M388" s="194" t="n"/>
      <c r="N388" s="194" t="n"/>
      <c r="O388" s="194" t="n"/>
      <c r="P388" s="194" t="n"/>
      <c r="Q388" s="194" t="n"/>
      <c r="R388" s="194" t="n"/>
      <c r="S388" s="194" t="n"/>
      <c r="T388" s="194" t="n"/>
      <c r="U388" s="194" t="n"/>
      <c r="V388" s="194" t="n"/>
      <c r="W388" s="194" t="n"/>
      <c r="X388" s="194" t="n"/>
      <c r="Y388" s="194" t="n"/>
      <c r="Z388" s="194" t="n"/>
    </row>
    <row r="389" ht="15.75" customHeight="1" s="195">
      <c r="A389" s="194" t="inlineStr">
        <is>
          <t>DURAZNOPAMPA</t>
        </is>
      </c>
      <c r="B389" s="194" t="inlineStr">
        <is>
          <t>ABRIL 2026</t>
        </is>
      </c>
      <c r="C389" s="377">
        <f>IFERROR(SUMPRODUCT((IF('ABRIL 2026'!Y6:Y119&lt;&gt;"",'ABRIL 2026'!Y6:Y119,'ABRIL 2026'!I6:I119)="DURAZNOPAMPA")*('ABRIL 2026'!K6:K119="PETROLEO")*'ABRIL 2026'!M6:M119),0)</f>
        <v/>
      </c>
      <c r="D389" s="377">
        <f>IFERROR(SUMPRODUCT((IF('ABRIL 2026'!Y6:Y119&lt;&gt;"",'ABRIL 2026'!Y6:Y119,'ABRIL 2026'!I6:I119)="DURAZNOPAMPA")*('ABRIL 2026'!K6:K119="PETROLEO")*'ABRIL 2026'!L6:L119*'ABRIL 2026'!M6:M119),0)</f>
        <v/>
      </c>
      <c r="E389" s="377">
        <f>IFERROR(SUMPRODUCT((IF('ABRIL 2026'!Y6:Y119&lt;&gt;"",'ABRIL 2026'!Y6:Y119,'ABRIL 2026'!I6:I119)="DURAZNOPAMPA")*('ABRIL 2026'!K6:K119="GASOLINA")*'ABRIL 2026'!M6:M119),0)</f>
        <v/>
      </c>
      <c r="F389" s="377">
        <f>IFERROR(SUMPRODUCT((IF('ABRIL 2026'!Y6:Y119&lt;&gt;"",'ABRIL 2026'!Y6:Y119,'ABRIL 2026'!I6:I119)="DURAZNOPAMPA")*('ABRIL 2026'!K6:K119="GASOLINA")*'ABRIL 2026'!L6:L119*'ABRIL 2026'!M6:M119),0)</f>
        <v/>
      </c>
      <c r="G389" s="194" t="n"/>
      <c r="H389" s="194" t="n"/>
      <c r="I389" s="194" t="n"/>
      <c r="J389" s="194" t="n"/>
      <c r="K389" s="194" t="n"/>
      <c r="L389" s="194" t="n"/>
      <c r="M389" s="194" t="n"/>
      <c r="N389" s="194" t="n"/>
      <c r="O389" s="194" t="n"/>
      <c r="P389" s="194" t="n"/>
      <c r="Q389" s="194" t="n"/>
      <c r="R389" s="194" t="n"/>
      <c r="S389" s="194" t="n"/>
      <c r="T389" s="194" t="n"/>
      <c r="U389" s="194" t="n"/>
      <c r="V389" s="194" t="n"/>
      <c r="W389" s="194" t="n"/>
      <c r="X389" s="194" t="n"/>
      <c r="Y389" s="194" t="n"/>
      <c r="Z389" s="194" t="n"/>
    </row>
    <row r="390" ht="15.75" customHeight="1" s="195">
      <c r="A390" s="194" t="inlineStr">
        <is>
          <t>DURAZNOPAMPA</t>
        </is>
      </c>
      <c r="B390" s="194" t="inlineStr">
        <is>
          <t>MAYO 2026</t>
        </is>
      </c>
      <c r="C390" s="377">
        <f>IFERROR(SUMPRODUCT((IF('MAYO 2026'!Y6:Y110&lt;&gt;"",'MAYO 2026'!Y6:Y110,'MAYO 2026'!I6:I110)="DURAZNOPAMPA")*('MAYO 2026'!K6:K110="PETROLEO")*'MAYO 2026'!M6:M110),0)</f>
        <v/>
      </c>
      <c r="D390" s="377">
        <f>IFERROR(SUMPRODUCT((IF('MAYO 2026'!Y6:Y110&lt;&gt;"",'MAYO 2026'!Y6:Y110,'MAYO 2026'!I6:I110)="DURAZNOPAMPA")*('MAYO 2026'!K6:K110="PETROLEO")*'MAYO 2026'!L6:L110*'MAYO 2026'!M6:M110),0)</f>
        <v/>
      </c>
      <c r="E390" s="377">
        <f>IFERROR(SUMPRODUCT((IF('MAYO 2026'!Y6:Y110&lt;&gt;"",'MAYO 2026'!Y6:Y110,'MAYO 2026'!I6:I110)="DURAZNOPAMPA")*('MAYO 2026'!K6:K110="GASOLINA")*'MAYO 2026'!M6:M110),0)</f>
        <v/>
      </c>
      <c r="F390" s="377">
        <f>IFERROR(SUMPRODUCT((IF('MAYO 2026'!Y6:Y110&lt;&gt;"",'MAYO 2026'!Y6:Y110,'MAYO 2026'!I6:I110)="DURAZNOPAMPA")*('MAYO 2026'!K6:K110="GASOLINA")*'MAYO 2026'!L6:L110*'MAYO 2026'!M6:M110),0)</f>
        <v/>
      </c>
      <c r="G390" s="194" t="n"/>
      <c r="H390" s="194" t="n"/>
      <c r="I390" s="194" t="n"/>
      <c r="J390" s="194" t="n"/>
      <c r="K390" s="194" t="n"/>
      <c r="L390" s="194" t="n"/>
      <c r="M390" s="194" t="n"/>
      <c r="N390" s="194" t="n"/>
      <c r="O390" s="194" t="n"/>
      <c r="P390" s="194" t="n"/>
      <c r="Q390" s="194" t="n"/>
      <c r="R390" s="194" t="n"/>
      <c r="S390" s="194" t="n"/>
      <c r="T390" s="194" t="n"/>
      <c r="U390" s="194" t="n"/>
      <c r="V390" s="194" t="n"/>
      <c r="W390" s="194" t="n"/>
      <c r="X390" s="194" t="n"/>
      <c r="Y390" s="194" t="n"/>
      <c r="Z390" s="194" t="n"/>
    </row>
    <row r="391" ht="15.75" customHeight="1" s="195">
      <c r="A391" s="194" t="inlineStr">
        <is>
          <t>DURAZNOPAMPA</t>
        </is>
      </c>
      <c r="B391" s="194" t="inlineStr">
        <is>
          <t>JUNIO 2026</t>
        </is>
      </c>
      <c r="C391" s="377">
        <f>IFERROR(SUMPRODUCT((IF('JUNIO 2026'!Y6:Y110&lt;&gt;"",'JUNIO 2026'!Y6:Y110,'JUNIO 2026'!I6:I110)="DURAZNOPAMPA")*('JUNIO 2026'!K6:K110="PETROLEO")*'JUNIO 2026'!M6:M110),0)</f>
        <v/>
      </c>
      <c r="D391" s="377">
        <f>IFERROR(SUMPRODUCT((IF('JUNIO 2026'!Y6:Y110&lt;&gt;"",'JUNIO 2026'!Y6:Y110,'JUNIO 2026'!I6:I110)="DURAZNOPAMPA")*('JUNIO 2026'!K6:K110="PETROLEO")*'JUNIO 2026'!L6:L110*'JUNIO 2026'!M6:M110),0)</f>
        <v/>
      </c>
      <c r="E391" s="377">
        <f>IFERROR(SUMPRODUCT((IF('JUNIO 2026'!Y6:Y110&lt;&gt;"",'JUNIO 2026'!Y6:Y110,'JUNIO 2026'!I6:I110)="DURAZNOPAMPA")*('JUNIO 2026'!K6:K110="GASOLINA")*'JUNIO 2026'!M6:M110),0)</f>
        <v/>
      </c>
      <c r="F391" s="377">
        <f>IFERROR(SUMPRODUCT((IF('JUNIO 2026'!Y6:Y110&lt;&gt;"",'JUNIO 2026'!Y6:Y110,'JUNIO 2026'!I6:I110)="DURAZNOPAMPA")*('JUNIO 2026'!K6:K110="GASOLINA")*'JUNIO 2026'!L6:L110*'JUNIO 2026'!M6:M110),0)</f>
        <v/>
      </c>
      <c r="G391" s="194" t="n"/>
      <c r="H391" s="194" t="n"/>
      <c r="I391" s="194" t="n"/>
      <c r="J391" s="194" t="n"/>
      <c r="K391" s="194" t="n"/>
      <c r="L391" s="194" t="n"/>
      <c r="M391" s="194" t="n"/>
      <c r="N391" s="194" t="n"/>
      <c r="O391" s="194" t="n"/>
      <c r="P391" s="194" t="n"/>
      <c r="Q391" s="194" t="n"/>
      <c r="R391" s="194" t="n"/>
      <c r="S391" s="194" t="n"/>
      <c r="T391" s="194" t="n"/>
      <c r="U391" s="194" t="n"/>
      <c r="V391" s="194" t="n"/>
      <c r="W391" s="194" t="n"/>
      <c r="X391" s="194" t="n"/>
      <c r="Y391" s="194" t="n"/>
      <c r="Z391" s="194" t="n"/>
    </row>
    <row r="392" ht="15.75" customHeight="1" s="195">
      <c r="A392" s="194" t="inlineStr">
        <is>
          <t>DURAZNOPAMPA</t>
        </is>
      </c>
      <c r="B392" s="194" t="inlineStr">
        <is>
          <t>JULIO 2026</t>
        </is>
      </c>
      <c r="C392" s="377">
        <f>IFERROR(SUMPRODUCT((IF('JULIO 2026'!Y6:Y110&lt;&gt;"",'JULIO 2026'!Y6:Y110,'JULIO 2026'!I6:I110)="DURAZNOPAMPA")*('JULIO 2026'!K6:K110="PETROLEO")*'JULIO 2026'!M6:M110),0)</f>
        <v/>
      </c>
      <c r="D392" s="377">
        <f>IFERROR(SUMPRODUCT((IF('JULIO 2026'!Y6:Y110&lt;&gt;"",'JULIO 2026'!Y6:Y110,'JULIO 2026'!I6:I110)="DURAZNOPAMPA")*('JULIO 2026'!K6:K110="PETROLEO")*'JULIO 2026'!L6:L110*'JULIO 2026'!M6:M110),0)</f>
        <v/>
      </c>
      <c r="E392" s="377">
        <f>IFERROR(SUMPRODUCT((IF('JULIO 2026'!Y6:Y110&lt;&gt;"",'JULIO 2026'!Y6:Y110,'JULIO 2026'!I6:I110)="DURAZNOPAMPA")*('JULIO 2026'!K6:K110="GASOLINA")*'JULIO 2026'!M6:M110),0)</f>
        <v/>
      </c>
      <c r="F392" s="377">
        <f>IFERROR(SUMPRODUCT((IF('JULIO 2026'!Y6:Y110&lt;&gt;"",'JULIO 2026'!Y6:Y110,'JULIO 2026'!I6:I110)="DURAZNOPAMPA")*('JULIO 2026'!K6:K110="GASOLINA")*'JULIO 2026'!L6:L110*'JULIO 2026'!M6:M110),0)</f>
        <v/>
      </c>
      <c r="G392" s="194" t="n"/>
      <c r="H392" s="194" t="n"/>
      <c r="I392" s="194" t="n"/>
      <c r="J392" s="194" t="n"/>
      <c r="K392" s="194" t="n"/>
      <c r="L392" s="194" t="n"/>
      <c r="M392" s="194" t="n"/>
      <c r="N392" s="194" t="n"/>
      <c r="O392" s="194" t="n"/>
      <c r="P392" s="194" t="n"/>
      <c r="Q392" s="194" t="n"/>
      <c r="R392" s="194" t="n"/>
      <c r="S392" s="194" t="n"/>
      <c r="T392" s="194" t="n"/>
      <c r="U392" s="194" t="n"/>
      <c r="V392" s="194" t="n"/>
      <c r="W392" s="194" t="n"/>
      <c r="X392" s="194" t="n"/>
      <c r="Y392" s="194" t="n"/>
      <c r="Z392" s="194" t="n"/>
    </row>
    <row r="393" ht="15.75" customHeight="1" s="195">
      <c r="A393" s="194" t="inlineStr">
        <is>
          <t>DURAZNOPAMPA</t>
        </is>
      </c>
      <c r="B393" s="194" t="inlineStr">
        <is>
          <t>AGOSTO 2026</t>
        </is>
      </c>
      <c r="C393" s="377">
        <f>IFERROR(SUMPRODUCT((IF('AGOSTO 2026'!Y6:Y110&lt;&gt;"",'AGOSTO 2026'!Y6:Y110,'AGOSTO 2026'!I6:I110)="DURAZNOPAMPA")*('AGOSTO 2026'!K6:K110="PETROLEO")*'AGOSTO 2026'!M6:M110),0)</f>
        <v/>
      </c>
      <c r="D393" s="377">
        <f>IFERROR(SUMPRODUCT((IF('AGOSTO 2026'!Y6:Y110&lt;&gt;"",'AGOSTO 2026'!Y6:Y110,'AGOSTO 2026'!I6:I110)="DURAZNOPAMPA")*('AGOSTO 2026'!K6:K110="PETROLEO")*'AGOSTO 2026'!L6:L110*'AGOSTO 2026'!M6:M110),0)</f>
        <v/>
      </c>
      <c r="E393" s="377">
        <f>IFERROR(SUMPRODUCT((IF('AGOSTO 2026'!Y6:Y110&lt;&gt;"",'AGOSTO 2026'!Y6:Y110,'AGOSTO 2026'!I6:I110)="DURAZNOPAMPA")*('AGOSTO 2026'!K6:K110="GASOLINA")*'AGOSTO 2026'!M6:M110),0)</f>
        <v/>
      </c>
      <c r="F393" s="377">
        <f>IFERROR(SUMPRODUCT((IF('AGOSTO 2026'!Y6:Y110&lt;&gt;"",'AGOSTO 2026'!Y6:Y110,'AGOSTO 2026'!I6:I110)="DURAZNOPAMPA")*('AGOSTO 2026'!K6:K110="GASOLINA")*'AGOSTO 2026'!L6:L110*'AGOSTO 2026'!M6:M110),0)</f>
        <v/>
      </c>
      <c r="G393" s="194" t="n"/>
      <c r="H393" s="194" t="n"/>
      <c r="I393" s="194" t="n"/>
      <c r="J393" s="194" t="n"/>
      <c r="K393" s="194" t="n"/>
      <c r="L393" s="194" t="n"/>
      <c r="M393" s="194" t="n"/>
      <c r="N393" s="194" t="n"/>
      <c r="O393" s="194" t="n"/>
      <c r="P393" s="194" t="n"/>
      <c r="Q393" s="194" t="n"/>
      <c r="R393" s="194" t="n"/>
      <c r="S393" s="194" t="n"/>
      <c r="T393" s="194" t="n"/>
      <c r="U393" s="194" t="n"/>
      <c r="V393" s="194" t="n"/>
      <c r="W393" s="194" t="n"/>
      <c r="X393" s="194" t="n"/>
      <c r="Y393" s="194" t="n"/>
      <c r="Z393" s="194" t="n"/>
    </row>
    <row r="394" ht="15.75" customHeight="1" s="195">
      <c r="A394" s="194" t="inlineStr">
        <is>
          <t>DURAZNOPAMPA</t>
        </is>
      </c>
      <c r="B394" s="194" t="inlineStr">
        <is>
          <t>SETIEMBRE 2026</t>
        </is>
      </c>
      <c r="C394" s="377">
        <f>IFERROR(SUMPRODUCT((IF('SETIEMBRE 2026'!Y6:Y110&lt;&gt;"",'SETIEMBRE 2026'!Y6:Y110,'SETIEMBRE 2026'!I6:I110)="DURAZNOPAMPA")*('SETIEMBRE 2026'!K6:K110="PETROLEO")*'SETIEMBRE 2026'!M6:M110),0)</f>
        <v/>
      </c>
      <c r="D394" s="377">
        <f>IFERROR(SUMPRODUCT((IF('SETIEMBRE 2026'!Y6:Y110&lt;&gt;"",'SETIEMBRE 2026'!Y6:Y110,'SETIEMBRE 2026'!I6:I110)="DURAZNOPAMPA")*('SETIEMBRE 2026'!K6:K110="PETROLEO")*'SETIEMBRE 2026'!L6:L110*'SETIEMBRE 2026'!M6:M110),0)</f>
        <v/>
      </c>
      <c r="E394" s="377">
        <f>IFERROR(SUMPRODUCT((IF('SETIEMBRE 2026'!Y6:Y110&lt;&gt;"",'SETIEMBRE 2026'!Y6:Y110,'SETIEMBRE 2026'!I6:I110)="DURAZNOPAMPA")*('SETIEMBRE 2026'!K6:K110="GASOLINA")*'SETIEMBRE 2026'!M6:M110),0)</f>
        <v/>
      </c>
      <c r="F394" s="377">
        <f>IFERROR(SUMPRODUCT((IF('SETIEMBRE 2026'!Y6:Y110&lt;&gt;"",'SETIEMBRE 2026'!Y6:Y110,'SETIEMBRE 2026'!I6:I110)="DURAZNOPAMPA")*('SETIEMBRE 2026'!K6:K110="GASOLINA")*'SETIEMBRE 2026'!L6:L110*'SETIEMBRE 2026'!M6:M110),0)</f>
        <v/>
      </c>
      <c r="G394" s="194" t="n"/>
      <c r="H394" s="194" t="n"/>
      <c r="I394" s="194" t="n"/>
      <c r="J394" s="194" t="n"/>
      <c r="K394" s="194" t="n"/>
      <c r="L394" s="194" t="n"/>
      <c r="M394" s="194" t="n"/>
      <c r="N394" s="194" t="n"/>
      <c r="O394" s="194" t="n"/>
      <c r="P394" s="194" t="n"/>
      <c r="Q394" s="194" t="n"/>
      <c r="R394" s="194" t="n"/>
      <c r="S394" s="194" t="n"/>
      <c r="T394" s="194" t="n"/>
      <c r="U394" s="194" t="n"/>
      <c r="V394" s="194" t="n"/>
      <c r="W394" s="194" t="n"/>
      <c r="X394" s="194" t="n"/>
      <c r="Y394" s="194" t="n"/>
      <c r="Z394" s="194" t="n"/>
    </row>
    <row r="395" ht="15.75" customHeight="1" s="195">
      <c r="A395" s="194" t="inlineStr">
        <is>
          <t>DURAZNOPAMPA</t>
        </is>
      </c>
      <c r="B395" s="194" t="inlineStr">
        <is>
          <t>OCTUBRE 2026</t>
        </is>
      </c>
      <c r="C395" s="377">
        <f>IFERROR(SUMPRODUCT((IF('OCTUBRE 2026'!Y6:Y110&lt;&gt;"",'OCTUBRE 2026'!Y6:Y110,'OCTUBRE 2026'!I6:I110)="DURAZNOPAMPA")*('OCTUBRE 2026'!K6:K110="PETROLEO")*'OCTUBRE 2026'!M6:M110),0)</f>
        <v/>
      </c>
      <c r="D395" s="377">
        <f>IFERROR(SUMPRODUCT((IF('OCTUBRE 2026'!Y6:Y110&lt;&gt;"",'OCTUBRE 2026'!Y6:Y110,'OCTUBRE 2026'!I6:I110)="DURAZNOPAMPA")*('OCTUBRE 2026'!K6:K110="PETROLEO")*'OCTUBRE 2026'!L6:L110*'OCTUBRE 2026'!M6:M110),0)</f>
        <v/>
      </c>
      <c r="E395" s="377">
        <f>IFERROR(SUMPRODUCT((IF('OCTUBRE 2026'!Y6:Y110&lt;&gt;"",'OCTUBRE 2026'!Y6:Y110,'OCTUBRE 2026'!I6:I110)="DURAZNOPAMPA")*('OCTUBRE 2026'!K6:K110="GASOLINA")*'OCTUBRE 2026'!M6:M110),0)</f>
        <v/>
      </c>
      <c r="F395" s="377">
        <f>IFERROR(SUMPRODUCT((IF('OCTUBRE 2026'!Y6:Y110&lt;&gt;"",'OCTUBRE 2026'!Y6:Y110,'OCTUBRE 2026'!I6:I110)="DURAZNOPAMPA")*('OCTUBRE 2026'!K6:K110="GASOLINA")*'OCTUBRE 2026'!L6:L110*'OCTUBRE 2026'!M6:M110),0)</f>
        <v/>
      </c>
      <c r="G395" s="194" t="n"/>
      <c r="H395" s="194" t="n"/>
      <c r="I395" s="194" t="n"/>
      <c r="J395" s="194" t="n"/>
      <c r="K395" s="194" t="n"/>
      <c r="L395" s="194" t="n"/>
      <c r="M395" s="194" t="n"/>
      <c r="N395" s="194" t="n"/>
      <c r="O395" s="194" t="n"/>
      <c r="P395" s="194" t="n"/>
      <c r="Q395" s="194" t="n"/>
      <c r="R395" s="194" t="n"/>
      <c r="S395" s="194" t="n"/>
      <c r="T395" s="194" t="n"/>
      <c r="U395" s="194" t="n"/>
      <c r="V395" s="194" t="n"/>
      <c r="W395" s="194" t="n"/>
      <c r="X395" s="194" t="n"/>
      <c r="Y395" s="194" t="n"/>
      <c r="Z395" s="194" t="n"/>
    </row>
    <row r="396" ht="15.75" customHeight="1" s="195">
      <c r="A396" s="194" t="inlineStr">
        <is>
          <t>DURAZNOPAMPA</t>
        </is>
      </c>
      <c r="B396" s="194" t="inlineStr">
        <is>
          <t>NOVIEMBRE 2026</t>
        </is>
      </c>
      <c r="C396" s="377">
        <f>IFERROR(SUMPRODUCT((IF('NOVIEMBRE 2026'!Y6:Y110&lt;&gt;"",'NOVIEMBRE 2026'!Y6:Y110,'NOVIEMBRE 2026'!I6:I110)="DURAZNOPAMPA")*('NOVIEMBRE 2026'!K6:K110="PETROLEO")*'NOVIEMBRE 2026'!M6:M110),0)</f>
        <v/>
      </c>
      <c r="D396" s="377">
        <f>IFERROR(SUMPRODUCT((IF('NOVIEMBRE 2026'!Y6:Y110&lt;&gt;"",'NOVIEMBRE 2026'!Y6:Y110,'NOVIEMBRE 2026'!I6:I110)="DURAZNOPAMPA")*('NOVIEMBRE 2026'!K6:K110="PETROLEO")*'NOVIEMBRE 2026'!L6:L110*'NOVIEMBRE 2026'!M6:M110),0)</f>
        <v/>
      </c>
      <c r="E396" s="377">
        <f>IFERROR(SUMPRODUCT((IF('NOVIEMBRE 2026'!Y6:Y110&lt;&gt;"",'NOVIEMBRE 2026'!Y6:Y110,'NOVIEMBRE 2026'!I6:I110)="DURAZNOPAMPA")*('NOVIEMBRE 2026'!K6:K110="GASOLINA")*'NOVIEMBRE 2026'!M6:M110),0)</f>
        <v/>
      </c>
      <c r="F396" s="377">
        <f>IFERROR(SUMPRODUCT((IF('NOVIEMBRE 2026'!Y6:Y110&lt;&gt;"",'NOVIEMBRE 2026'!Y6:Y110,'NOVIEMBRE 2026'!I6:I110)="DURAZNOPAMPA")*('NOVIEMBRE 2026'!K6:K110="GASOLINA")*'NOVIEMBRE 2026'!L6:L110*'NOVIEMBRE 2026'!M6:M110),0)</f>
        <v/>
      </c>
      <c r="G396" s="194" t="n"/>
      <c r="H396" s="194" t="n"/>
      <c r="I396" s="194" t="n"/>
      <c r="J396" s="194" t="n"/>
      <c r="K396" s="194" t="n"/>
      <c r="L396" s="194" t="n"/>
      <c r="M396" s="194" t="n"/>
      <c r="N396" s="194" t="n"/>
      <c r="O396" s="194" t="n"/>
      <c r="P396" s="194" t="n"/>
      <c r="Q396" s="194" t="n"/>
      <c r="R396" s="194" t="n"/>
      <c r="S396" s="194" t="n"/>
      <c r="T396" s="194" t="n"/>
      <c r="U396" s="194" t="n"/>
      <c r="V396" s="194" t="n"/>
      <c r="W396" s="194" t="n"/>
      <c r="X396" s="194" t="n"/>
      <c r="Y396" s="194" t="n"/>
      <c r="Z396" s="194" t="n"/>
    </row>
    <row r="397" ht="15.75" customHeight="1" s="195">
      <c r="A397" s="194" t="inlineStr">
        <is>
          <t>DURAZNOPAMPA</t>
        </is>
      </c>
      <c r="B397" s="194" t="inlineStr">
        <is>
          <t>DICIEMBRE 2026</t>
        </is>
      </c>
      <c r="C397" s="377">
        <f>IFERROR(SUMPRODUCT((IF('DICIEMBRE 2026'!Y6:Y110&lt;&gt;"",'DICIEMBRE 2026'!Y6:Y110,'DICIEMBRE 2026'!I6:I110)="DURAZNOPAMPA")*('DICIEMBRE 2026'!K6:K110="PETROLEO")*'DICIEMBRE 2026'!M6:M110),0)</f>
        <v/>
      </c>
      <c r="D397" s="377">
        <f>IFERROR(SUMPRODUCT((IF('DICIEMBRE 2026'!Y6:Y110&lt;&gt;"",'DICIEMBRE 2026'!Y6:Y110,'DICIEMBRE 2026'!I6:I110)="DURAZNOPAMPA")*('DICIEMBRE 2026'!K6:K110="PETROLEO")*'DICIEMBRE 2026'!L6:L110*'DICIEMBRE 2026'!M6:M110),0)</f>
        <v/>
      </c>
      <c r="E397" s="377">
        <f>IFERROR(SUMPRODUCT((IF('DICIEMBRE 2026'!Y6:Y110&lt;&gt;"",'DICIEMBRE 2026'!Y6:Y110,'DICIEMBRE 2026'!I6:I110)="DURAZNOPAMPA")*('DICIEMBRE 2026'!K6:K110="GASOLINA")*'DICIEMBRE 2026'!M6:M110),0)</f>
        <v/>
      </c>
      <c r="F397" s="377">
        <f>IFERROR(SUMPRODUCT((IF('DICIEMBRE 2026'!Y6:Y110&lt;&gt;"",'DICIEMBRE 2026'!Y6:Y110,'DICIEMBRE 2026'!I6:I110)="DURAZNOPAMPA")*('DICIEMBRE 2026'!K6:K110="GASOLINA")*'DICIEMBRE 2026'!L6:L110*'DICIEMBRE 2026'!M6:M110),0)</f>
        <v/>
      </c>
      <c r="G397" s="194" t="n"/>
      <c r="H397" s="194" t="n"/>
      <c r="I397" s="194" t="n"/>
      <c r="J397" s="194" t="n"/>
      <c r="K397" s="194" t="n"/>
      <c r="L397" s="194" t="n"/>
      <c r="M397" s="194" t="n"/>
      <c r="N397" s="194" t="n"/>
      <c r="O397" s="194" t="n"/>
      <c r="P397" s="194" t="n"/>
      <c r="Q397" s="194" t="n"/>
      <c r="R397" s="194" t="n"/>
      <c r="S397" s="194" t="n"/>
      <c r="T397" s="194" t="n"/>
      <c r="U397" s="194" t="n"/>
      <c r="V397" s="194" t="n"/>
      <c r="W397" s="194" t="n"/>
      <c r="X397" s="194" t="n"/>
      <c r="Y397" s="194" t="n"/>
      <c r="Z397" s="194" t="n"/>
    </row>
    <row r="398" ht="15.75" customHeight="1" s="195">
      <c r="C398" s="377" t="n"/>
      <c r="D398" s="377" t="n"/>
      <c r="E398" s="377" t="n"/>
      <c r="F398" s="377" t="n"/>
      <c r="G398" s="194" t="n"/>
      <c r="H398" s="194" t="n"/>
      <c r="I398" s="194" t="n"/>
      <c r="J398" s="194" t="n"/>
      <c r="K398" s="194" t="n"/>
      <c r="L398" s="194" t="n"/>
      <c r="M398" s="194" t="n"/>
      <c r="N398" s="194" t="n"/>
      <c r="O398" s="194" t="n"/>
      <c r="P398" s="194" t="n"/>
      <c r="Q398" s="194" t="n"/>
      <c r="R398" s="194" t="n"/>
      <c r="S398" s="194" t="n"/>
      <c r="T398" s="194" t="n"/>
      <c r="U398" s="194" t="n"/>
      <c r="V398" s="194" t="n"/>
      <c r="W398" s="194" t="n"/>
      <c r="X398" s="194" t="n"/>
      <c r="Y398" s="194" t="n"/>
      <c r="Z398" s="194" t="n"/>
    </row>
    <row r="399" ht="15.75" customHeight="1" s="195">
      <c r="C399" s="377" t="n"/>
      <c r="D399" s="377" t="n"/>
      <c r="E399" s="377" t="n"/>
      <c r="F399" s="377" t="n"/>
      <c r="G399" s="194" t="n"/>
      <c r="H399" s="194" t="n"/>
      <c r="I399" s="194" t="n"/>
      <c r="J399" s="194" t="n"/>
      <c r="K399" s="194" t="n"/>
      <c r="L399" s="194" t="n"/>
      <c r="M399" s="194" t="n"/>
      <c r="N399" s="194" t="n"/>
      <c r="O399" s="194" t="n"/>
      <c r="P399" s="194" t="n"/>
      <c r="Q399" s="194" t="n"/>
      <c r="R399" s="194" t="n"/>
      <c r="S399" s="194" t="n"/>
      <c r="T399" s="194" t="n"/>
      <c r="U399" s="194" t="n"/>
      <c r="V399" s="194" t="n"/>
      <c r="W399" s="194" t="n"/>
      <c r="X399" s="194" t="n"/>
      <c r="Y399" s="194" t="n"/>
      <c r="Z399" s="194" t="n"/>
    </row>
    <row r="400" ht="15.75" customHeight="1" s="195">
      <c r="C400" s="377" t="n"/>
      <c r="D400" s="377" t="n"/>
      <c r="E400" s="377" t="n"/>
      <c r="F400" s="377" t="n"/>
      <c r="G400" s="194" t="n"/>
      <c r="H400" s="194" t="n"/>
      <c r="I400" s="194" t="n"/>
      <c r="J400" s="194" t="n"/>
      <c r="K400" s="194" t="n"/>
      <c r="L400" s="194" t="n"/>
      <c r="M400" s="194" t="n"/>
      <c r="N400" s="194" t="n"/>
      <c r="O400" s="194" t="n"/>
      <c r="P400" s="194" t="n"/>
      <c r="Q400" s="194" t="n"/>
      <c r="R400" s="194" t="n"/>
      <c r="S400" s="194" t="n"/>
      <c r="T400" s="194" t="n"/>
      <c r="U400" s="194" t="n"/>
      <c r="V400" s="194" t="n"/>
      <c r="W400" s="194" t="n"/>
      <c r="X400" s="194" t="n"/>
      <c r="Y400" s="194" t="n"/>
      <c r="Z400" s="194" t="n"/>
    </row>
    <row r="401" ht="15.75" customHeight="1" s="195">
      <c r="C401" s="377" t="n"/>
      <c r="D401" s="377" t="n"/>
      <c r="E401" s="377" t="n"/>
      <c r="F401" s="377" t="n"/>
      <c r="G401" s="194" t="n"/>
      <c r="H401" s="194" t="n"/>
      <c r="I401" s="194" t="n"/>
      <c r="J401" s="194" t="n"/>
      <c r="K401" s="194" t="n"/>
      <c r="L401" s="194" t="n"/>
      <c r="M401" s="194" t="n"/>
      <c r="N401" s="194" t="n"/>
      <c r="O401" s="194" t="n"/>
      <c r="P401" s="194" t="n"/>
      <c r="Q401" s="194" t="n"/>
      <c r="R401" s="194" t="n"/>
      <c r="S401" s="194" t="n"/>
      <c r="T401" s="194" t="n"/>
      <c r="U401" s="194" t="n"/>
      <c r="V401" s="194" t="n"/>
      <c r="W401" s="194" t="n"/>
      <c r="X401" s="194" t="n"/>
      <c r="Y401" s="194" t="n"/>
      <c r="Z401" s="194" t="n"/>
    </row>
    <row r="402" ht="15.75" customHeight="1" s="195">
      <c r="C402" s="377" t="n"/>
      <c r="D402" s="377" t="n"/>
      <c r="E402" s="377" t="n"/>
      <c r="F402" s="377" t="n"/>
      <c r="G402" s="194" t="n"/>
      <c r="H402" s="194" t="n"/>
      <c r="I402" s="194" t="n"/>
      <c r="J402" s="194" t="n"/>
      <c r="K402" s="194" t="n"/>
      <c r="L402" s="194" t="n"/>
      <c r="M402" s="194" t="n"/>
      <c r="N402" s="194" t="n"/>
      <c r="O402" s="194" t="n"/>
      <c r="P402" s="194" t="n"/>
      <c r="Q402" s="194" t="n"/>
      <c r="R402" s="194" t="n"/>
      <c r="S402" s="194" t="n"/>
      <c r="T402" s="194" t="n"/>
      <c r="U402" s="194" t="n"/>
      <c r="V402" s="194" t="n"/>
      <c r="W402" s="194" t="n"/>
      <c r="X402" s="194" t="n"/>
      <c r="Y402" s="194" t="n"/>
      <c r="Z402" s="194" t="n"/>
    </row>
    <row r="403" ht="15.75" customHeight="1" s="195">
      <c r="C403" s="377" t="n"/>
      <c r="D403" s="377" t="n"/>
      <c r="E403" s="377" t="n"/>
      <c r="F403" s="377" t="n"/>
      <c r="G403" s="194" t="n"/>
      <c r="H403" s="194" t="n"/>
      <c r="I403" s="194" t="n"/>
      <c r="J403" s="194" t="n"/>
      <c r="K403" s="194" t="n"/>
      <c r="L403" s="194" t="n"/>
      <c r="M403" s="194" t="n"/>
      <c r="N403" s="194" t="n"/>
      <c r="O403" s="194" t="n"/>
      <c r="P403" s="194" t="n"/>
      <c r="Q403" s="194" t="n"/>
      <c r="R403" s="194" t="n"/>
      <c r="S403" s="194" t="n"/>
      <c r="T403" s="194" t="n"/>
      <c r="U403" s="194" t="n"/>
      <c r="V403" s="194" t="n"/>
      <c r="W403" s="194" t="n"/>
      <c r="X403" s="194" t="n"/>
      <c r="Y403" s="194" t="n"/>
      <c r="Z403" s="194" t="n"/>
    </row>
    <row r="404" ht="15.75" customHeight="1" s="195">
      <c r="C404" s="377" t="n"/>
      <c r="D404" s="377" t="n"/>
      <c r="E404" s="377" t="n"/>
      <c r="F404" s="377" t="n"/>
      <c r="G404" s="194" t="n"/>
      <c r="H404" s="194" t="n"/>
      <c r="I404" s="194" t="n"/>
      <c r="J404" s="194" t="n"/>
      <c r="K404" s="194" t="n"/>
      <c r="L404" s="194" t="n"/>
      <c r="M404" s="194" t="n"/>
      <c r="N404" s="194" t="n"/>
      <c r="O404" s="194" t="n"/>
      <c r="P404" s="194" t="n"/>
      <c r="Q404" s="194" t="n"/>
      <c r="R404" s="194" t="n"/>
      <c r="S404" s="194" t="n"/>
      <c r="T404" s="194" t="n"/>
      <c r="U404" s="194" t="n"/>
      <c r="V404" s="194" t="n"/>
      <c r="W404" s="194" t="n"/>
      <c r="X404" s="194" t="n"/>
      <c r="Y404" s="194" t="n"/>
      <c r="Z404" s="194" t="n"/>
    </row>
    <row r="405" ht="15.75" customHeight="1" s="195">
      <c r="C405" s="377" t="n"/>
      <c r="D405" s="377" t="n"/>
      <c r="E405" s="377" t="n"/>
      <c r="F405" s="377" t="n"/>
      <c r="G405" s="194" t="n"/>
      <c r="H405" s="194" t="n"/>
      <c r="I405" s="194" t="n"/>
      <c r="J405" s="194" t="n"/>
      <c r="K405" s="194" t="n"/>
      <c r="L405" s="194" t="n"/>
      <c r="M405" s="194" t="n"/>
      <c r="N405" s="194" t="n"/>
      <c r="O405" s="194" t="n"/>
      <c r="P405" s="194" t="n"/>
      <c r="Q405" s="194" t="n"/>
      <c r="R405" s="194" t="n"/>
      <c r="S405" s="194" t="n"/>
      <c r="T405" s="194" t="n"/>
      <c r="U405" s="194" t="n"/>
      <c r="V405" s="194" t="n"/>
      <c r="W405" s="194" t="n"/>
      <c r="X405" s="194" t="n"/>
      <c r="Y405" s="194" t="n"/>
      <c r="Z405" s="194" t="n"/>
    </row>
    <row r="406" ht="15.75" customHeight="1" s="195">
      <c r="C406" s="377" t="n"/>
      <c r="D406" s="377" t="n"/>
      <c r="E406" s="377" t="n"/>
      <c r="F406" s="377" t="n"/>
      <c r="G406" s="194" t="n"/>
      <c r="H406" s="194" t="n"/>
      <c r="I406" s="194" t="n"/>
      <c r="J406" s="194" t="n"/>
      <c r="K406" s="194" t="n"/>
      <c r="L406" s="194" t="n"/>
      <c r="M406" s="194" t="n"/>
      <c r="N406" s="194" t="n"/>
      <c r="O406" s="194" t="n"/>
      <c r="P406" s="194" t="n"/>
      <c r="Q406" s="194" t="n"/>
      <c r="R406" s="194" t="n"/>
      <c r="S406" s="194" t="n"/>
      <c r="T406" s="194" t="n"/>
      <c r="U406" s="194" t="n"/>
      <c r="V406" s="194" t="n"/>
      <c r="W406" s="194" t="n"/>
      <c r="X406" s="194" t="n"/>
      <c r="Y406" s="194" t="n"/>
      <c r="Z406" s="194" t="n"/>
    </row>
    <row r="407" ht="15.75" customHeight="1" s="195">
      <c r="C407" s="377" t="n"/>
      <c r="D407" s="377" t="n"/>
      <c r="E407" s="377" t="n"/>
      <c r="F407" s="377" t="n"/>
      <c r="G407" s="194" t="n"/>
      <c r="H407" s="194" t="n"/>
      <c r="I407" s="194" t="n"/>
      <c r="J407" s="194" t="n"/>
      <c r="K407" s="194" t="n"/>
      <c r="L407" s="194" t="n"/>
      <c r="M407" s="194" t="n"/>
      <c r="N407" s="194" t="n"/>
      <c r="O407" s="194" t="n"/>
      <c r="P407" s="194" t="n"/>
      <c r="Q407" s="194" t="n"/>
      <c r="R407" s="194" t="n"/>
      <c r="S407" s="194" t="n"/>
      <c r="T407" s="194" t="n"/>
      <c r="U407" s="194" t="n"/>
      <c r="V407" s="194" t="n"/>
      <c r="W407" s="194" t="n"/>
      <c r="X407" s="194" t="n"/>
      <c r="Y407" s="194" t="n"/>
      <c r="Z407" s="194" t="n"/>
    </row>
    <row r="408" ht="15.75" customHeight="1" s="195">
      <c r="C408" s="377" t="n"/>
      <c r="D408" s="377" t="n"/>
      <c r="E408" s="377" t="n"/>
      <c r="F408" s="377" t="n"/>
      <c r="G408" s="194" t="n"/>
      <c r="H408" s="194" t="n"/>
      <c r="I408" s="194" t="n"/>
      <c r="J408" s="194" t="n"/>
      <c r="K408" s="194" t="n"/>
      <c r="L408" s="194" t="n"/>
      <c r="M408" s="194" t="n"/>
      <c r="N408" s="194" t="n"/>
      <c r="O408" s="194" t="n"/>
      <c r="P408" s="194" t="n"/>
      <c r="Q408" s="194" t="n"/>
      <c r="R408" s="194" t="n"/>
      <c r="S408" s="194" t="n"/>
      <c r="T408" s="194" t="n"/>
      <c r="U408" s="194" t="n"/>
      <c r="V408" s="194" t="n"/>
      <c r="W408" s="194" t="n"/>
      <c r="X408" s="194" t="n"/>
      <c r="Y408" s="194" t="n"/>
      <c r="Z408" s="194" t="n"/>
    </row>
    <row r="409" ht="15.75" customHeight="1" s="195">
      <c r="C409" s="377" t="n"/>
      <c r="D409" s="377" t="n"/>
      <c r="E409" s="377" t="n"/>
      <c r="F409" s="377" t="n"/>
      <c r="G409" s="194" t="n"/>
      <c r="H409" s="194" t="n"/>
      <c r="I409" s="194" t="n"/>
      <c r="J409" s="194" t="n"/>
      <c r="K409" s="194" t="n"/>
      <c r="L409" s="194" t="n"/>
      <c r="M409" s="194" t="n"/>
      <c r="N409" s="194" t="n"/>
      <c r="O409" s="194" t="n"/>
      <c r="P409" s="194" t="n"/>
      <c r="Q409" s="194" t="n"/>
      <c r="R409" s="194" t="n"/>
      <c r="S409" s="194" t="n"/>
      <c r="T409" s="194" t="n"/>
      <c r="U409" s="194" t="n"/>
      <c r="V409" s="194" t="n"/>
      <c r="W409" s="194" t="n"/>
      <c r="X409" s="194" t="n"/>
      <c r="Y409" s="194" t="n"/>
      <c r="Z409" s="194" t="n"/>
    </row>
    <row r="410" ht="15.75" customHeight="1" s="195">
      <c r="C410" s="377" t="n"/>
      <c r="D410" s="377" t="n"/>
      <c r="E410" s="377" t="n"/>
      <c r="F410" s="377" t="n"/>
      <c r="G410" s="194" t="n"/>
      <c r="H410" s="194" t="n"/>
      <c r="I410" s="194" t="n"/>
      <c r="J410" s="194" t="n"/>
      <c r="K410" s="194" t="n"/>
      <c r="L410" s="194" t="n"/>
      <c r="M410" s="194" t="n"/>
      <c r="N410" s="194" t="n"/>
      <c r="O410" s="194" t="n"/>
      <c r="P410" s="194" t="n"/>
      <c r="Q410" s="194" t="n"/>
      <c r="R410" s="194" t="n"/>
      <c r="S410" s="194" t="n"/>
      <c r="T410" s="194" t="n"/>
      <c r="U410" s="194" t="n"/>
      <c r="V410" s="194" t="n"/>
      <c r="W410" s="194" t="n"/>
      <c r="X410" s="194" t="n"/>
      <c r="Y410" s="194" t="n"/>
      <c r="Z410" s="194" t="n"/>
    </row>
    <row r="411" ht="15.75" customHeight="1" s="195">
      <c r="C411" s="377" t="n"/>
      <c r="D411" s="377" t="n"/>
      <c r="E411" s="377" t="n"/>
      <c r="F411" s="377" t="n"/>
      <c r="G411" s="194" t="n"/>
      <c r="H411" s="194" t="n"/>
      <c r="I411" s="194" t="n"/>
      <c r="J411" s="194" t="n"/>
      <c r="K411" s="194" t="n"/>
      <c r="L411" s="194" t="n"/>
      <c r="M411" s="194" t="n"/>
      <c r="N411" s="194" t="n"/>
      <c r="O411" s="194" t="n"/>
      <c r="P411" s="194" t="n"/>
      <c r="Q411" s="194" t="n"/>
      <c r="R411" s="194" t="n"/>
      <c r="S411" s="194" t="n"/>
      <c r="T411" s="194" t="n"/>
      <c r="U411" s="194" t="n"/>
      <c r="V411" s="194" t="n"/>
      <c r="W411" s="194" t="n"/>
      <c r="X411" s="194" t="n"/>
      <c r="Y411" s="194" t="n"/>
      <c r="Z411" s="194" t="n"/>
    </row>
    <row r="412" ht="15.75" customHeight="1" s="195">
      <c r="C412" s="377" t="n"/>
      <c r="D412" s="377" t="n"/>
      <c r="E412" s="377" t="n"/>
      <c r="F412" s="377" t="n"/>
      <c r="G412" s="194" t="n"/>
      <c r="H412" s="194" t="n"/>
      <c r="I412" s="194" t="n"/>
      <c r="J412" s="194" t="n"/>
      <c r="K412" s="194" t="n"/>
      <c r="L412" s="194" t="n"/>
      <c r="M412" s="194" t="n"/>
      <c r="N412" s="194" t="n"/>
      <c r="O412" s="194" t="n"/>
      <c r="P412" s="194" t="n"/>
      <c r="Q412" s="194" t="n"/>
      <c r="R412" s="194" t="n"/>
      <c r="S412" s="194" t="n"/>
      <c r="T412" s="194" t="n"/>
      <c r="U412" s="194" t="n"/>
      <c r="V412" s="194" t="n"/>
      <c r="W412" s="194" t="n"/>
      <c r="X412" s="194" t="n"/>
      <c r="Y412" s="194" t="n"/>
      <c r="Z412" s="194" t="n"/>
    </row>
    <row r="413" ht="15.75" customHeight="1" s="195">
      <c r="C413" s="377" t="n"/>
      <c r="D413" s="377" t="n"/>
      <c r="E413" s="377" t="n"/>
      <c r="F413" s="377" t="n"/>
      <c r="G413" s="194" t="n"/>
      <c r="H413" s="194" t="n"/>
      <c r="I413" s="194" t="n"/>
      <c r="J413" s="194" t="n"/>
      <c r="K413" s="194" t="n"/>
      <c r="L413" s="194" t="n"/>
      <c r="M413" s="194" t="n"/>
      <c r="N413" s="194" t="n"/>
      <c r="O413" s="194" t="n"/>
      <c r="P413" s="194" t="n"/>
      <c r="Q413" s="194" t="n"/>
      <c r="R413" s="194" t="n"/>
      <c r="S413" s="194" t="n"/>
      <c r="T413" s="194" t="n"/>
      <c r="U413" s="194" t="n"/>
      <c r="V413" s="194" t="n"/>
      <c r="W413" s="194" t="n"/>
      <c r="X413" s="194" t="n"/>
      <c r="Y413" s="194" t="n"/>
      <c r="Z413" s="194" t="n"/>
    </row>
    <row r="414" ht="15.75" customHeight="1" s="195">
      <c r="C414" s="377" t="n"/>
      <c r="D414" s="377" t="n"/>
      <c r="E414" s="377" t="n"/>
      <c r="F414" s="377" t="n"/>
      <c r="G414" s="194" t="n"/>
      <c r="H414" s="194" t="n"/>
      <c r="I414" s="194" t="n"/>
      <c r="J414" s="194" t="n"/>
      <c r="K414" s="194" t="n"/>
      <c r="L414" s="194" t="n"/>
      <c r="M414" s="194" t="n"/>
      <c r="N414" s="194" t="n"/>
      <c r="O414" s="194" t="n"/>
      <c r="P414" s="194" t="n"/>
      <c r="Q414" s="194" t="n"/>
      <c r="R414" s="194" t="n"/>
      <c r="S414" s="194" t="n"/>
      <c r="T414" s="194" t="n"/>
      <c r="U414" s="194" t="n"/>
      <c r="V414" s="194" t="n"/>
      <c r="W414" s="194" t="n"/>
      <c r="X414" s="194" t="n"/>
      <c r="Y414" s="194" t="n"/>
      <c r="Z414" s="194" t="n"/>
    </row>
    <row r="415" ht="15.75" customHeight="1" s="195">
      <c r="C415" s="377" t="n"/>
      <c r="D415" s="377" t="n"/>
      <c r="E415" s="377" t="n"/>
      <c r="F415" s="377" t="n"/>
      <c r="G415" s="194" t="n"/>
      <c r="H415" s="194" t="n"/>
      <c r="I415" s="194" t="n"/>
      <c r="J415" s="194" t="n"/>
      <c r="K415" s="194" t="n"/>
      <c r="L415" s="194" t="n"/>
      <c r="M415" s="194" t="n"/>
      <c r="N415" s="194" t="n"/>
      <c r="O415" s="194" t="n"/>
      <c r="P415" s="194" t="n"/>
      <c r="Q415" s="194" t="n"/>
      <c r="R415" s="194" t="n"/>
      <c r="S415" s="194" t="n"/>
      <c r="T415" s="194" t="n"/>
      <c r="U415" s="194" t="n"/>
      <c r="V415" s="194" t="n"/>
      <c r="W415" s="194" t="n"/>
      <c r="X415" s="194" t="n"/>
      <c r="Y415" s="194" t="n"/>
      <c r="Z415" s="194" t="n"/>
    </row>
    <row r="416" ht="15.75" customHeight="1" s="195">
      <c r="C416" s="377" t="n"/>
      <c r="D416" s="377" t="n"/>
      <c r="E416" s="377" t="n"/>
      <c r="F416" s="377" t="n"/>
      <c r="G416" s="194" t="n"/>
      <c r="H416" s="194" t="n"/>
      <c r="I416" s="194" t="n"/>
      <c r="J416" s="194" t="n"/>
      <c r="K416" s="194" t="n"/>
      <c r="L416" s="194" t="n"/>
      <c r="M416" s="194" t="n"/>
      <c r="N416" s="194" t="n"/>
      <c r="O416" s="194" t="n"/>
      <c r="P416" s="194" t="n"/>
      <c r="Q416" s="194" t="n"/>
      <c r="R416" s="194" t="n"/>
      <c r="S416" s="194" t="n"/>
      <c r="T416" s="194" t="n"/>
      <c r="U416" s="194" t="n"/>
      <c r="V416" s="194" t="n"/>
      <c r="W416" s="194" t="n"/>
      <c r="X416" s="194" t="n"/>
      <c r="Y416" s="194" t="n"/>
      <c r="Z416" s="194" t="n"/>
    </row>
    <row r="417" ht="15.75" customHeight="1" s="195">
      <c r="C417" s="377" t="n"/>
      <c r="D417" s="377" t="n"/>
      <c r="E417" s="377" t="n"/>
      <c r="F417" s="377" t="n"/>
      <c r="G417" s="194" t="n"/>
      <c r="H417" s="194" t="n"/>
      <c r="I417" s="194" t="n"/>
      <c r="J417" s="194" t="n"/>
      <c r="K417" s="194" t="n"/>
      <c r="L417" s="194" t="n"/>
      <c r="M417" s="194" t="n"/>
      <c r="N417" s="194" t="n"/>
      <c r="O417" s="194" t="n"/>
      <c r="P417" s="194" t="n"/>
      <c r="Q417" s="194" t="n"/>
      <c r="R417" s="194" t="n"/>
      <c r="S417" s="194" t="n"/>
      <c r="T417" s="194" t="n"/>
      <c r="U417" s="194" t="n"/>
      <c r="V417" s="194" t="n"/>
      <c r="W417" s="194" t="n"/>
      <c r="X417" s="194" t="n"/>
      <c r="Y417" s="194" t="n"/>
      <c r="Z417" s="194" t="n"/>
    </row>
    <row r="418" ht="15.75" customHeight="1" s="195">
      <c r="C418" s="377" t="n"/>
      <c r="D418" s="377" t="n"/>
      <c r="E418" s="377" t="n"/>
      <c r="F418" s="377" t="n"/>
    </row>
    <row r="419" ht="15.75" customHeight="1" s="195">
      <c r="C419" s="377" t="n"/>
      <c r="D419" s="377" t="n"/>
      <c r="E419" s="377" t="n"/>
      <c r="F419" s="377" t="n"/>
    </row>
    <row r="420" ht="15.75" customHeight="1" s="195">
      <c r="C420" s="377" t="n"/>
      <c r="D420" s="377" t="n"/>
      <c r="E420" s="377" t="n"/>
      <c r="F420" s="377" t="n"/>
    </row>
    <row r="421" ht="15.75" customHeight="1" s="195">
      <c r="C421" s="377" t="n"/>
      <c r="D421" s="377" t="n"/>
      <c r="E421" s="377" t="n"/>
      <c r="F421" s="377" t="n"/>
    </row>
    <row r="422" ht="15.75" customHeight="1" s="195">
      <c r="C422" s="377" t="n"/>
      <c r="D422" s="377" t="n"/>
      <c r="E422" s="377" t="n"/>
      <c r="F422" s="377" t="n"/>
    </row>
    <row r="423" ht="15.75" customHeight="1" s="195">
      <c r="C423" s="377" t="n"/>
      <c r="D423" s="377" t="n"/>
      <c r="E423" s="377" t="n"/>
      <c r="F423" s="377" t="n"/>
    </row>
    <row r="424" ht="15.75" customHeight="1" s="195">
      <c r="C424" s="377" t="n"/>
      <c r="D424" s="377" t="n"/>
      <c r="E424" s="377" t="n"/>
      <c r="F424" s="377" t="n"/>
    </row>
    <row r="425" ht="15.75" customHeight="1" s="195">
      <c r="C425" s="377" t="n"/>
      <c r="D425" s="377" t="n"/>
      <c r="E425" s="377" t="n"/>
      <c r="F425" s="377" t="n"/>
    </row>
    <row r="426" ht="15.75" customHeight="1" s="195">
      <c r="C426" s="377" t="n"/>
      <c r="D426" s="377" t="n"/>
      <c r="E426" s="377" t="n"/>
      <c r="F426" s="377" t="n"/>
    </row>
    <row r="427" ht="15.75" customHeight="1" s="195">
      <c r="C427" s="377" t="n"/>
      <c r="D427" s="377" t="n"/>
      <c r="E427" s="377" t="n"/>
      <c r="F427" s="377" t="n"/>
    </row>
    <row r="428" ht="15.75" customHeight="1" s="195">
      <c r="C428" s="377" t="n"/>
      <c r="D428" s="377" t="n"/>
      <c r="E428" s="377" t="n"/>
      <c r="F428" s="377" t="n"/>
    </row>
    <row r="429" ht="15.75" customHeight="1" s="195">
      <c r="C429" s="377" t="n"/>
      <c r="D429" s="377" t="n"/>
      <c r="E429" s="377" t="n"/>
      <c r="F429" s="377" t="n"/>
    </row>
    <row r="430" ht="15.75" customHeight="1" s="195">
      <c r="C430" s="377" t="n"/>
      <c r="D430" s="377" t="n"/>
      <c r="E430" s="377" t="n"/>
      <c r="F430" s="377" t="n"/>
    </row>
    <row r="431" ht="15.75" customHeight="1" s="195">
      <c r="C431" s="377" t="n"/>
      <c r="D431" s="377" t="n"/>
      <c r="E431" s="377" t="n"/>
      <c r="F431" s="377" t="n"/>
    </row>
    <row r="432" ht="15.75" customHeight="1" s="195">
      <c r="C432" s="377" t="n"/>
      <c r="D432" s="377" t="n"/>
      <c r="E432" s="377" t="n"/>
      <c r="F432" s="377" t="n"/>
    </row>
    <row r="433" ht="15.75" customHeight="1" s="195">
      <c r="C433" s="377" t="n"/>
      <c r="D433" s="377" t="n"/>
      <c r="E433" s="377" t="n"/>
      <c r="F433" s="377" t="n"/>
    </row>
    <row r="434" ht="15.75" customHeight="1" s="195">
      <c r="C434" s="377" t="n"/>
      <c r="D434" s="377" t="n"/>
      <c r="E434" s="377" t="n"/>
      <c r="F434" s="377" t="n"/>
    </row>
    <row r="435" ht="15.75" customHeight="1" s="195">
      <c r="C435" s="377" t="n"/>
      <c r="D435" s="377" t="n"/>
      <c r="E435" s="377" t="n"/>
      <c r="F435" s="377" t="n"/>
    </row>
    <row r="436" ht="15.75" customHeight="1" s="195">
      <c r="C436" s="377" t="n"/>
      <c r="D436" s="377" t="n"/>
      <c r="E436" s="377" t="n"/>
      <c r="F436" s="377" t="n"/>
    </row>
    <row r="437" ht="15.75" customHeight="1" s="195">
      <c r="C437" s="377" t="n"/>
      <c r="D437" s="377" t="n"/>
      <c r="E437" s="377" t="n"/>
      <c r="F437" s="377" t="n"/>
    </row>
    <row r="438" ht="15.75" customHeight="1" s="195">
      <c r="C438" s="377" t="n"/>
      <c r="D438" s="377" t="n"/>
      <c r="E438" s="377" t="n"/>
      <c r="F438" s="377" t="n"/>
    </row>
    <row r="439" ht="15.75" customHeight="1" s="195">
      <c r="C439" s="377" t="n"/>
      <c r="D439" s="377" t="n"/>
      <c r="E439" s="377" t="n"/>
      <c r="F439" s="377" t="n"/>
    </row>
    <row r="440" ht="15.75" customHeight="1" s="195">
      <c r="C440" s="377" t="n"/>
      <c r="D440" s="377" t="n"/>
      <c r="E440" s="377" t="n"/>
      <c r="F440" s="377" t="n"/>
    </row>
    <row r="441" ht="15.75" customHeight="1" s="195">
      <c r="C441" s="377" t="n"/>
      <c r="D441" s="377" t="n"/>
      <c r="E441" s="377" t="n"/>
      <c r="F441" s="377" t="n"/>
    </row>
    <row r="442" ht="15.75" customHeight="1" s="195">
      <c r="C442" s="377" t="n"/>
      <c r="D442" s="377" t="n"/>
      <c r="E442" s="377" t="n"/>
      <c r="F442" s="377" t="n"/>
    </row>
    <row r="443" ht="15.75" customHeight="1" s="195">
      <c r="C443" s="377" t="n"/>
      <c r="D443" s="377" t="n"/>
      <c r="E443" s="377" t="n"/>
      <c r="F443" s="377" t="n"/>
    </row>
    <row r="444" ht="15.75" customHeight="1" s="195">
      <c r="C444" s="377" t="n"/>
      <c r="D444" s="377" t="n"/>
      <c r="E444" s="377" t="n"/>
      <c r="F444" s="377" t="n"/>
    </row>
    <row r="445" ht="15.75" customHeight="1" s="195">
      <c r="C445" s="377" t="n"/>
      <c r="D445" s="377" t="n"/>
      <c r="E445" s="377" t="n"/>
      <c r="F445" s="377" t="n"/>
    </row>
    <row r="446" ht="15.75" customHeight="1" s="195">
      <c r="C446" s="377" t="n"/>
      <c r="D446" s="377" t="n"/>
      <c r="E446" s="377" t="n"/>
      <c r="F446" s="377" t="n"/>
    </row>
    <row r="447" ht="15.75" customHeight="1" s="195">
      <c r="C447" s="377" t="n"/>
      <c r="D447" s="377" t="n"/>
      <c r="E447" s="377" t="n"/>
      <c r="F447" s="377" t="n"/>
    </row>
    <row r="448" ht="15.75" customHeight="1" s="195">
      <c r="C448" s="377" t="n"/>
      <c r="D448" s="377" t="n"/>
      <c r="E448" s="377" t="n"/>
      <c r="F448" s="377" t="n"/>
    </row>
    <row r="449" ht="15.75" customHeight="1" s="195">
      <c r="C449" s="377" t="n"/>
      <c r="D449" s="377" t="n"/>
      <c r="E449" s="377" t="n"/>
      <c r="F449" s="377" t="n"/>
    </row>
    <row r="450" ht="15.75" customHeight="1" s="195">
      <c r="C450" s="377" t="n"/>
      <c r="D450" s="377" t="n"/>
      <c r="E450" s="377" t="n"/>
      <c r="F450" s="377" t="n"/>
    </row>
    <row r="451" ht="15.75" customHeight="1" s="195">
      <c r="C451" s="377" t="n"/>
      <c r="D451" s="377" t="n"/>
      <c r="E451" s="377" t="n"/>
      <c r="F451" s="377" t="n"/>
    </row>
    <row r="452" ht="15.75" customHeight="1" s="195">
      <c r="C452" s="377" t="n"/>
      <c r="D452" s="377" t="n"/>
      <c r="E452" s="377" t="n"/>
      <c r="F452" s="377" t="n"/>
    </row>
    <row r="453" ht="15.75" customHeight="1" s="195">
      <c r="C453" s="377" t="n"/>
      <c r="D453" s="377" t="n"/>
      <c r="E453" s="377" t="n"/>
      <c r="F453" s="377" t="n"/>
    </row>
    <row r="454" ht="15.75" customHeight="1" s="195">
      <c r="C454" s="377" t="n"/>
      <c r="D454" s="377" t="n"/>
      <c r="E454" s="377" t="n"/>
      <c r="F454" s="377" t="n"/>
    </row>
    <row r="455" ht="15.75" customHeight="1" s="195">
      <c r="C455" s="377" t="n"/>
      <c r="D455" s="377" t="n"/>
      <c r="E455" s="377" t="n"/>
      <c r="F455" s="377" t="n"/>
    </row>
    <row r="456" ht="15.75" customHeight="1" s="195">
      <c r="C456" s="377" t="n"/>
      <c r="D456" s="377" t="n"/>
      <c r="E456" s="377" t="n"/>
      <c r="F456" s="377" t="n"/>
    </row>
    <row r="457" ht="15.75" customHeight="1" s="195">
      <c r="C457" s="377" t="n"/>
      <c r="D457" s="377" t="n"/>
      <c r="E457" s="377" t="n"/>
      <c r="F457" s="377" t="n"/>
    </row>
    <row r="458" ht="15.75" customHeight="1" s="195">
      <c r="C458" s="377" t="n"/>
      <c r="D458" s="377" t="n"/>
      <c r="E458" s="377" t="n"/>
      <c r="F458" s="377" t="n"/>
    </row>
    <row r="459" ht="15.75" customHeight="1" s="195">
      <c r="C459" s="377" t="n"/>
      <c r="D459" s="377" t="n"/>
      <c r="E459" s="377" t="n"/>
      <c r="F459" s="377" t="n"/>
    </row>
    <row r="460" ht="15.75" customHeight="1" s="195">
      <c r="C460" s="377" t="n"/>
      <c r="D460" s="377" t="n"/>
      <c r="E460" s="377" t="n"/>
      <c r="F460" s="377" t="n"/>
    </row>
    <row r="461" ht="15.75" customHeight="1" s="195">
      <c r="C461" s="377" t="n"/>
      <c r="D461" s="377" t="n"/>
      <c r="E461" s="377" t="n"/>
      <c r="F461" s="377" t="n"/>
    </row>
    <row r="462" ht="15.75" customHeight="1" s="195">
      <c r="C462" s="377" t="n"/>
      <c r="D462" s="377" t="n"/>
      <c r="E462" s="377" t="n"/>
      <c r="F462" s="377" t="n"/>
    </row>
    <row r="463" ht="15.75" customHeight="1" s="195">
      <c r="C463" s="377" t="n"/>
      <c r="D463" s="377" t="n"/>
      <c r="E463" s="377" t="n"/>
      <c r="F463" s="377" t="n"/>
    </row>
    <row r="464" ht="15.75" customHeight="1" s="195">
      <c r="C464" s="377" t="n"/>
      <c r="D464" s="377" t="n"/>
      <c r="E464" s="377" t="n"/>
      <c r="F464" s="377" t="n"/>
    </row>
    <row r="465" ht="15.75" customHeight="1" s="195">
      <c r="C465" s="377" t="n"/>
      <c r="D465" s="377" t="n"/>
      <c r="E465" s="377" t="n"/>
      <c r="F465" s="377" t="n"/>
    </row>
    <row r="466" ht="15.75" customHeight="1" s="195">
      <c r="C466" s="377" t="n"/>
      <c r="D466" s="377" t="n"/>
      <c r="E466" s="377" t="n"/>
      <c r="F466" s="377" t="n"/>
    </row>
    <row r="467" ht="15.75" customHeight="1" s="195">
      <c r="C467" s="377" t="n"/>
      <c r="D467" s="377" t="n"/>
      <c r="E467" s="377" t="n"/>
      <c r="F467" s="377" t="n"/>
    </row>
    <row r="468" ht="15.75" customHeight="1" s="195">
      <c r="C468" s="377" t="n"/>
      <c r="D468" s="377" t="n"/>
      <c r="E468" s="377" t="n"/>
      <c r="F468" s="377" t="n"/>
    </row>
    <row r="469" ht="15.75" customHeight="1" s="195">
      <c r="C469" s="377" t="n"/>
      <c r="D469" s="377" t="n"/>
      <c r="E469" s="377" t="n"/>
      <c r="F469" s="377" t="n"/>
    </row>
    <row r="470" ht="15.75" customHeight="1" s="195">
      <c r="C470" s="377" t="n"/>
      <c r="D470" s="377" t="n"/>
      <c r="E470" s="377" t="n"/>
      <c r="F470" s="377" t="n"/>
    </row>
    <row r="471" ht="15.75" customHeight="1" s="195">
      <c r="C471" s="377" t="n"/>
      <c r="D471" s="377" t="n"/>
      <c r="E471" s="377" t="n"/>
      <c r="F471" s="377" t="n"/>
    </row>
    <row r="472" ht="15.75" customHeight="1" s="195">
      <c r="C472" s="377" t="n"/>
      <c r="D472" s="377" t="n"/>
      <c r="E472" s="377" t="n"/>
      <c r="F472" s="377" t="n"/>
    </row>
    <row r="473" ht="15.75" customHeight="1" s="195">
      <c r="C473" s="377" t="n"/>
      <c r="D473" s="377" t="n"/>
      <c r="E473" s="377" t="n"/>
      <c r="F473" s="377" t="n"/>
    </row>
    <row r="474" ht="15.75" customHeight="1" s="195">
      <c r="C474" s="377" t="n"/>
      <c r="D474" s="377" t="n"/>
      <c r="E474" s="377" t="n"/>
      <c r="F474" s="377" t="n"/>
    </row>
    <row r="475" ht="15.75" customHeight="1" s="195">
      <c r="C475" s="377" t="n"/>
      <c r="D475" s="377" t="n"/>
      <c r="E475" s="377" t="n"/>
      <c r="F475" s="377" t="n"/>
    </row>
    <row r="476" ht="15.75" customHeight="1" s="195">
      <c r="C476" s="377" t="n"/>
      <c r="D476" s="377" t="n"/>
      <c r="E476" s="377" t="n"/>
      <c r="F476" s="377" t="n"/>
    </row>
    <row r="477" ht="15.75" customHeight="1" s="195">
      <c r="C477" s="377" t="n"/>
      <c r="D477" s="377" t="n"/>
      <c r="E477" s="377" t="n"/>
      <c r="F477" s="377" t="n"/>
    </row>
    <row r="478" ht="15.75" customHeight="1" s="195">
      <c r="C478" s="377" t="n"/>
      <c r="D478" s="377" t="n"/>
      <c r="E478" s="377" t="n"/>
      <c r="F478" s="377" t="n"/>
    </row>
    <row r="479" ht="15.75" customHeight="1" s="195">
      <c r="C479" s="377" t="n"/>
      <c r="D479" s="377" t="n"/>
      <c r="E479" s="377" t="n"/>
      <c r="F479" s="377" t="n"/>
    </row>
    <row r="480" ht="15.75" customHeight="1" s="195">
      <c r="C480" s="377" t="n"/>
      <c r="D480" s="377" t="n"/>
      <c r="E480" s="377" t="n"/>
      <c r="F480" s="377" t="n"/>
    </row>
    <row r="481" ht="15.75" customHeight="1" s="195">
      <c r="C481" s="377" t="n"/>
      <c r="D481" s="377" t="n"/>
      <c r="E481" s="377" t="n"/>
      <c r="F481" s="377" t="n"/>
    </row>
    <row r="482" ht="15.75" customHeight="1" s="195">
      <c r="C482" s="377" t="n"/>
      <c r="D482" s="377" t="n"/>
      <c r="E482" s="377" t="n"/>
      <c r="F482" s="377" t="n"/>
    </row>
    <row r="483" ht="15.75" customHeight="1" s="195">
      <c r="C483" s="377" t="n"/>
      <c r="D483" s="377" t="n"/>
      <c r="E483" s="377" t="n"/>
      <c r="F483" s="377" t="n"/>
    </row>
    <row r="484" ht="15.75" customHeight="1" s="195">
      <c r="C484" s="377" t="n"/>
      <c r="D484" s="377" t="n"/>
      <c r="E484" s="377" t="n"/>
      <c r="F484" s="377" t="n"/>
    </row>
    <row r="485" ht="15.75" customHeight="1" s="195">
      <c r="C485" s="377" t="n"/>
      <c r="D485" s="377" t="n"/>
      <c r="E485" s="377" t="n"/>
      <c r="F485" s="377" t="n"/>
    </row>
    <row r="486" ht="15.75" customHeight="1" s="195">
      <c r="C486" s="377" t="n"/>
      <c r="D486" s="377" t="n"/>
      <c r="E486" s="377" t="n"/>
      <c r="F486" s="377" t="n"/>
    </row>
    <row r="487" ht="15.75" customHeight="1" s="195">
      <c r="C487" s="377" t="n"/>
      <c r="D487" s="377" t="n"/>
      <c r="E487" s="377" t="n"/>
      <c r="F487" s="377" t="n"/>
    </row>
    <row r="488" ht="15.75" customHeight="1" s="195">
      <c r="C488" s="377" t="n"/>
      <c r="D488" s="377" t="n"/>
      <c r="E488" s="377" t="n"/>
      <c r="F488" s="377" t="n"/>
    </row>
    <row r="489" ht="15.75" customHeight="1" s="195">
      <c r="C489" s="377" t="n"/>
      <c r="D489" s="377" t="n"/>
      <c r="E489" s="377" t="n"/>
      <c r="F489" s="377" t="n"/>
    </row>
    <row r="490" ht="15.75" customHeight="1" s="195">
      <c r="C490" s="377" t="n"/>
      <c r="D490" s="377" t="n"/>
      <c r="E490" s="377" t="n"/>
      <c r="F490" s="377" t="n"/>
    </row>
    <row r="491" ht="15.75" customHeight="1" s="195">
      <c r="C491" s="377" t="n"/>
      <c r="D491" s="377" t="n"/>
      <c r="E491" s="377" t="n"/>
      <c r="F491" s="377" t="n"/>
    </row>
    <row r="492" ht="15.75" customHeight="1" s="195">
      <c r="C492" s="377" t="n"/>
      <c r="D492" s="377" t="n"/>
      <c r="E492" s="377" t="n"/>
      <c r="F492" s="377" t="n"/>
    </row>
    <row r="493" ht="15.75" customHeight="1" s="195">
      <c r="C493" s="377" t="n"/>
      <c r="D493" s="377" t="n"/>
      <c r="E493" s="377" t="n"/>
      <c r="F493" s="377" t="n"/>
    </row>
    <row r="494" ht="15.75" customHeight="1" s="195">
      <c r="C494" s="377" t="n"/>
      <c r="D494" s="377" t="n"/>
      <c r="E494" s="377" t="n"/>
      <c r="F494" s="377" t="n"/>
    </row>
    <row r="495" ht="15.75" customHeight="1" s="195">
      <c r="C495" s="377" t="n"/>
      <c r="D495" s="377" t="n"/>
      <c r="E495" s="377" t="n"/>
      <c r="F495" s="377" t="n"/>
    </row>
    <row r="496" ht="15.75" customHeight="1" s="195">
      <c r="C496" s="377" t="n"/>
      <c r="D496" s="377" t="n"/>
      <c r="E496" s="377" t="n"/>
      <c r="F496" s="377" t="n"/>
    </row>
    <row r="497" ht="15.75" customHeight="1" s="195">
      <c r="C497" s="377" t="n"/>
      <c r="D497" s="377" t="n"/>
      <c r="E497" s="377" t="n"/>
      <c r="F497" s="377" t="n"/>
    </row>
    <row r="498" ht="15.75" customHeight="1" s="195">
      <c r="C498" s="377" t="n"/>
      <c r="D498" s="377" t="n"/>
      <c r="E498" s="377" t="n"/>
      <c r="F498" s="377" t="n"/>
    </row>
    <row r="499" ht="15.75" customHeight="1" s="195">
      <c r="C499" s="377" t="n"/>
      <c r="D499" s="377" t="n"/>
      <c r="E499" s="377" t="n"/>
      <c r="F499" s="377" t="n"/>
    </row>
    <row r="500" ht="15.75" customHeight="1" s="195">
      <c r="C500" s="377" t="n"/>
      <c r="D500" s="377" t="n"/>
      <c r="E500" s="377" t="n"/>
      <c r="F500" s="377" t="n"/>
    </row>
    <row r="501" ht="15.75" customHeight="1" s="195">
      <c r="C501" s="377" t="n"/>
      <c r="D501" s="377" t="n"/>
      <c r="E501" s="377" t="n"/>
      <c r="F501" s="377" t="n"/>
    </row>
    <row r="502" ht="15.75" customHeight="1" s="195">
      <c r="C502" s="377" t="n"/>
      <c r="D502" s="377" t="n"/>
      <c r="E502" s="377" t="n"/>
      <c r="F502" s="377" t="n"/>
    </row>
    <row r="503" ht="15.75" customHeight="1" s="195">
      <c r="C503" s="377" t="n"/>
      <c r="D503" s="377" t="n"/>
      <c r="E503" s="377" t="n"/>
      <c r="F503" s="377" t="n"/>
    </row>
    <row r="504" ht="15.75" customHeight="1" s="195">
      <c r="C504" s="377" t="n"/>
      <c r="D504" s="377" t="n"/>
      <c r="E504" s="377" t="n"/>
      <c r="F504" s="377" t="n"/>
    </row>
    <row r="505" ht="15.75" customHeight="1" s="195">
      <c r="C505" s="377" t="n"/>
      <c r="D505" s="377" t="n"/>
      <c r="E505" s="377" t="n"/>
      <c r="F505" s="377" t="n"/>
    </row>
    <row r="506" ht="15.75" customHeight="1" s="195">
      <c r="C506" s="377" t="n"/>
      <c r="D506" s="377" t="n"/>
      <c r="E506" s="377" t="n"/>
      <c r="F506" s="377" t="n"/>
    </row>
    <row r="507" ht="15.75" customHeight="1" s="195">
      <c r="C507" s="377" t="n"/>
      <c r="D507" s="377" t="n"/>
      <c r="E507" s="377" t="n"/>
      <c r="F507" s="377" t="n"/>
    </row>
    <row r="508" ht="15.75" customHeight="1" s="195">
      <c r="C508" s="377" t="n"/>
      <c r="D508" s="377" t="n"/>
      <c r="E508" s="377" t="n"/>
      <c r="F508" s="377" t="n"/>
    </row>
    <row r="509" ht="15.75" customHeight="1" s="195">
      <c r="C509" s="377" t="n"/>
      <c r="D509" s="377" t="n"/>
      <c r="E509" s="377" t="n"/>
      <c r="F509" s="377" t="n"/>
    </row>
    <row r="510" ht="15.75" customHeight="1" s="195">
      <c r="C510" s="377" t="n"/>
      <c r="D510" s="377" t="n"/>
      <c r="E510" s="377" t="n"/>
      <c r="F510" s="377" t="n"/>
    </row>
    <row r="511" ht="15.75" customHeight="1" s="195">
      <c r="C511" s="377" t="n"/>
      <c r="D511" s="377" t="n"/>
      <c r="E511" s="377" t="n"/>
      <c r="F511" s="377" t="n"/>
    </row>
    <row r="512" ht="15.75" customHeight="1" s="195">
      <c r="C512" s="377" t="n"/>
      <c r="D512" s="377" t="n"/>
      <c r="E512" s="377" t="n"/>
      <c r="F512" s="377" t="n"/>
    </row>
    <row r="513" ht="15.75" customHeight="1" s="195">
      <c r="C513" s="377" t="n"/>
      <c r="D513" s="377" t="n"/>
      <c r="E513" s="377" t="n"/>
      <c r="F513" s="377" t="n"/>
    </row>
    <row r="514" ht="15.75" customHeight="1" s="195">
      <c r="C514" s="377" t="n"/>
      <c r="D514" s="377" t="n"/>
      <c r="E514" s="377" t="n"/>
      <c r="F514" s="377" t="n"/>
    </row>
    <row r="515" ht="15.75" customHeight="1" s="195">
      <c r="C515" s="377" t="n"/>
      <c r="D515" s="377" t="n"/>
      <c r="E515" s="377" t="n"/>
      <c r="F515" s="377" t="n"/>
    </row>
    <row r="516" ht="15.75" customHeight="1" s="195">
      <c r="C516" s="377" t="n"/>
      <c r="D516" s="377" t="n"/>
      <c r="E516" s="377" t="n"/>
      <c r="F516" s="377" t="n"/>
    </row>
    <row r="517" ht="15.75" customHeight="1" s="195">
      <c r="C517" s="377" t="n"/>
      <c r="D517" s="377" t="n"/>
      <c r="E517" s="377" t="n"/>
      <c r="F517" s="377" t="n"/>
    </row>
    <row r="518" ht="15.75" customHeight="1" s="195">
      <c r="C518" s="377" t="n"/>
      <c r="D518" s="377" t="n"/>
      <c r="E518" s="377" t="n"/>
      <c r="F518" s="377" t="n"/>
    </row>
    <row r="519" ht="15.75" customHeight="1" s="195">
      <c r="C519" s="377" t="n"/>
      <c r="D519" s="377" t="n"/>
      <c r="E519" s="377" t="n"/>
      <c r="F519" s="377" t="n"/>
    </row>
    <row r="520" ht="15.75" customHeight="1" s="195">
      <c r="C520" s="377" t="n"/>
      <c r="D520" s="377" t="n"/>
      <c r="E520" s="377" t="n"/>
      <c r="F520" s="377" t="n"/>
    </row>
    <row r="521" ht="15.75" customHeight="1" s="195">
      <c r="C521" s="377" t="n"/>
      <c r="D521" s="377" t="n"/>
      <c r="E521" s="377" t="n"/>
      <c r="F521" s="377" t="n"/>
    </row>
    <row r="522" ht="15.75" customHeight="1" s="195">
      <c r="C522" s="377" t="n"/>
      <c r="D522" s="377" t="n"/>
      <c r="E522" s="377" t="n"/>
      <c r="F522" s="377" t="n"/>
    </row>
    <row r="523" ht="15.75" customHeight="1" s="195">
      <c r="C523" s="377" t="n"/>
      <c r="D523" s="377" t="n"/>
      <c r="E523" s="377" t="n"/>
      <c r="F523" s="377" t="n"/>
    </row>
    <row r="524" ht="15.75" customHeight="1" s="195">
      <c r="C524" s="377" t="n"/>
      <c r="D524" s="377" t="n"/>
      <c r="E524" s="377" t="n"/>
      <c r="F524" s="377" t="n"/>
    </row>
    <row r="525" ht="15.75" customHeight="1" s="195">
      <c r="C525" s="377" t="n"/>
      <c r="D525" s="377" t="n"/>
      <c r="E525" s="377" t="n"/>
      <c r="F525" s="377" t="n"/>
    </row>
    <row r="526" ht="15.75" customHeight="1" s="195">
      <c r="C526" s="377" t="n"/>
      <c r="D526" s="377" t="n"/>
      <c r="E526" s="377" t="n"/>
      <c r="F526" s="377" t="n"/>
    </row>
    <row r="527" ht="15.75" customHeight="1" s="195">
      <c r="C527" s="377" t="n"/>
      <c r="D527" s="377" t="n"/>
      <c r="E527" s="377" t="n"/>
      <c r="F527" s="377" t="n"/>
    </row>
    <row r="528" ht="15.75" customHeight="1" s="195">
      <c r="C528" s="377" t="n"/>
      <c r="D528" s="377" t="n"/>
      <c r="E528" s="377" t="n"/>
      <c r="F528" s="377" t="n"/>
    </row>
    <row r="529" ht="15.75" customHeight="1" s="195">
      <c r="C529" s="377" t="n"/>
      <c r="D529" s="377" t="n"/>
      <c r="E529" s="377" t="n"/>
      <c r="F529" s="377" t="n"/>
    </row>
    <row r="530" ht="15.75" customHeight="1" s="195">
      <c r="C530" s="377" t="n"/>
      <c r="D530" s="377" t="n"/>
      <c r="E530" s="377" t="n"/>
      <c r="F530" s="377" t="n"/>
    </row>
    <row r="531" ht="15.75" customHeight="1" s="195">
      <c r="C531" s="377" t="n"/>
      <c r="D531" s="377" t="n"/>
      <c r="E531" s="377" t="n"/>
      <c r="F531" s="377" t="n"/>
    </row>
    <row r="532" ht="15.75" customHeight="1" s="195">
      <c r="C532" s="377" t="n"/>
      <c r="D532" s="377" t="n"/>
      <c r="E532" s="377" t="n"/>
      <c r="F532" s="377" t="n"/>
    </row>
    <row r="533" ht="15.75" customHeight="1" s="195">
      <c r="C533" s="377" t="n"/>
      <c r="D533" s="377" t="n"/>
      <c r="E533" s="377" t="n"/>
      <c r="F533" s="377" t="n"/>
    </row>
    <row r="534" ht="15.75" customHeight="1" s="195">
      <c r="C534" s="377" t="n"/>
      <c r="D534" s="377" t="n"/>
      <c r="E534" s="377" t="n"/>
      <c r="F534" s="377" t="n"/>
    </row>
    <row r="535" ht="15.75" customHeight="1" s="195">
      <c r="C535" s="377" t="n"/>
      <c r="D535" s="377" t="n"/>
      <c r="E535" s="377" t="n"/>
      <c r="F535" s="377" t="n"/>
    </row>
    <row r="536" ht="15.75" customHeight="1" s="195">
      <c r="C536" s="377" t="n"/>
      <c r="D536" s="377" t="n"/>
      <c r="E536" s="377" t="n"/>
      <c r="F536" s="377" t="n"/>
    </row>
    <row r="537" ht="15.75" customHeight="1" s="195">
      <c r="C537" s="377" t="n"/>
      <c r="D537" s="377" t="n"/>
      <c r="E537" s="377" t="n"/>
      <c r="F537" s="377" t="n"/>
    </row>
    <row r="538" ht="15.75" customHeight="1" s="195">
      <c r="C538" s="377" t="n"/>
      <c r="D538" s="377" t="n"/>
      <c r="E538" s="377" t="n"/>
      <c r="F538" s="377" t="n"/>
    </row>
    <row r="539" ht="15.75" customHeight="1" s="195">
      <c r="C539" s="377" t="n"/>
      <c r="D539" s="377" t="n"/>
      <c r="E539" s="377" t="n"/>
      <c r="F539" s="377" t="n"/>
    </row>
    <row r="540" ht="15.75" customHeight="1" s="195">
      <c r="C540" s="377" t="n"/>
      <c r="D540" s="377" t="n"/>
      <c r="E540" s="377" t="n"/>
      <c r="F540" s="377" t="n"/>
    </row>
    <row r="541" ht="15.75" customHeight="1" s="195">
      <c r="C541" s="377" t="n"/>
      <c r="D541" s="377" t="n"/>
      <c r="E541" s="377" t="n"/>
      <c r="F541" s="377" t="n"/>
    </row>
    <row r="542" ht="15.75" customHeight="1" s="195">
      <c r="C542" s="377" t="n"/>
      <c r="D542" s="377" t="n"/>
      <c r="E542" s="377" t="n"/>
      <c r="F542" s="377" t="n"/>
    </row>
    <row r="543" ht="15.75" customHeight="1" s="195">
      <c r="C543" s="377" t="n"/>
      <c r="D543" s="377" t="n"/>
      <c r="E543" s="377" t="n"/>
      <c r="F543" s="377" t="n"/>
    </row>
    <row r="544" ht="15.75" customHeight="1" s="195">
      <c r="C544" s="377" t="n"/>
      <c r="D544" s="377" t="n"/>
      <c r="E544" s="377" t="n"/>
      <c r="F544" s="377" t="n"/>
    </row>
    <row r="545" ht="15.75" customHeight="1" s="195">
      <c r="C545" s="377" t="n"/>
      <c r="D545" s="377" t="n"/>
      <c r="E545" s="377" t="n"/>
      <c r="F545" s="377" t="n"/>
    </row>
    <row r="546" ht="15.75" customHeight="1" s="195">
      <c r="C546" s="377" t="n"/>
      <c r="D546" s="377" t="n"/>
      <c r="E546" s="377" t="n"/>
      <c r="F546" s="377" t="n"/>
    </row>
    <row r="547" ht="15.75" customHeight="1" s="195">
      <c r="C547" s="377" t="n"/>
      <c r="D547" s="377" t="n"/>
      <c r="E547" s="377" t="n"/>
      <c r="F547" s="377" t="n"/>
    </row>
    <row r="548" ht="15.75" customHeight="1" s="195">
      <c r="C548" s="377" t="n"/>
      <c r="D548" s="377" t="n"/>
      <c r="E548" s="377" t="n"/>
      <c r="F548" s="377" t="n"/>
    </row>
    <row r="549" ht="15.75" customHeight="1" s="195">
      <c r="C549" s="377" t="n"/>
      <c r="D549" s="377" t="n"/>
      <c r="E549" s="377" t="n"/>
      <c r="F549" s="377" t="n"/>
    </row>
    <row r="550" ht="15.75" customHeight="1" s="195">
      <c r="C550" s="377" t="n"/>
      <c r="D550" s="377" t="n"/>
      <c r="E550" s="377" t="n"/>
      <c r="F550" s="377" t="n"/>
    </row>
    <row r="551" ht="15.75" customHeight="1" s="195">
      <c r="C551" s="377" t="n"/>
      <c r="D551" s="377" t="n"/>
      <c r="E551" s="377" t="n"/>
      <c r="F551" s="377" t="n"/>
    </row>
    <row r="552" ht="15.75" customHeight="1" s="195">
      <c r="C552" s="377" t="n"/>
      <c r="D552" s="377" t="n"/>
      <c r="E552" s="377" t="n"/>
      <c r="F552" s="377" t="n"/>
    </row>
    <row r="553" ht="15.75" customHeight="1" s="195">
      <c r="C553" s="377" t="n"/>
      <c r="D553" s="377" t="n"/>
      <c r="E553" s="377" t="n"/>
      <c r="F553" s="377" t="n"/>
    </row>
    <row r="554" ht="15.75" customHeight="1" s="195">
      <c r="C554" s="377" t="n"/>
      <c r="D554" s="377" t="n"/>
      <c r="E554" s="377" t="n"/>
      <c r="F554" s="377" t="n"/>
    </row>
    <row r="555" ht="15.75" customHeight="1" s="195">
      <c r="C555" s="377" t="n"/>
      <c r="D555" s="377" t="n"/>
      <c r="E555" s="377" t="n"/>
      <c r="F555" s="377" t="n"/>
    </row>
    <row r="556" ht="15.75" customHeight="1" s="195">
      <c r="C556" s="377" t="n"/>
      <c r="D556" s="377" t="n"/>
      <c r="E556" s="377" t="n"/>
      <c r="F556" s="377" t="n"/>
    </row>
    <row r="557" ht="15.75" customHeight="1" s="195">
      <c r="C557" s="377" t="n"/>
      <c r="D557" s="377" t="n"/>
      <c r="E557" s="377" t="n"/>
      <c r="F557" s="377" t="n"/>
    </row>
    <row r="558" ht="15.75" customHeight="1" s="195">
      <c r="C558" s="377" t="n"/>
      <c r="D558" s="377" t="n"/>
      <c r="E558" s="377" t="n"/>
      <c r="F558" s="377" t="n"/>
    </row>
    <row r="559" ht="15.75" customHeight="1" s="195">
      <c r="C559" s="377" t="n"/>
      <c r="D559" s="377" t="n"/>
      <c r="E559" s="377" t="n"/>
      <c r="F559" s="377" t="n"/>
    </row>
    <row r="560" ht="15.75" customHeight="1" s="195">
      <c r="C560" s="377" t="n"/>
      <c r="D560" s="377" t="n"/>
      <c r="E560" s="377" t="n"/>
      <c r="F560" s="377" t="n"/>
    </row>
    <row r="561" ht="15.75" customHeight="1" s="195">
      <c r="C561" s="377" t="n"/>
      <c r="D561" s="377" t="n"/>
      <c r="E561" s="377" t="n"/>
      <c r="F561" s="377" t="n"/>
    </row>
    <row r="562" ht="15.75" customHeight="1" s="195">
      <c r="C562" s="377" t="n"/>
      <c r="D562" s="377" t="n"/>
      <c r="E562" s="377" t="n"/>
      <c r="F562" s="377" t="n"/>
    </row>
    <row r="563" ht="15.75" customHeight="1" s="195">
      <c r="C563" s="377" t="n"/>
      <c r="D563" s="377" t="n"/>
      <c r="E563" s="377" t="n"/>
      <c r="F563" s="377" t="n"/>
    </row>
    <row r="564" ht="15.75" customHeight="1" s="195">
      <c r="C564" s="377" t="n"/>
      <c r="D564" s="377" t="n"/>
      <c r="E564" s="377" t="n"/>
      <c r="F564" s="377" t="n"/>
    </row>
    <row r="565" ht="15.75" customHeight="1" s="195">
      <c r="C565" s="377" t="n"/>
      <c r="D565" s="377" t="n"/>
      <c r="E565" s="377" t="n"/>
      <c r="F565" s="377" t="n"/>
    </row>
    <row r="566" ht="15.75" customHeight="1" s="195">
      <c r="C566" s="377" t="n"/>
      <c r="D566" s="377" t="n"/>
      <c r="E566" s="377" t="n"/>
      <c r="F566" s="377" t="n"/>
    </row>
    <row r="567" ht="15.75" customHeight="1" s="195">
      <c r="C567" s="377" t="n"/>
      <c r="D567" s="377" t="n"/>
      <c r="E567" s="377" t="n"/>
      <c r="F567" s="377" t="n"/>
    </row>
    <row r="568" ht="15.75" customHeight="1" s="195">
      <c r="C568" s="377" t="n"/>
      <c r="D568" s="377" t="n"/>
      <c r="E568" s="377" t="n"/>
      <c r="F568" s="377" t="n"/>
    </row>
    <row r="569" ht="15.75" customHeight="1" s="195">
      <c r="C569" s="377" t="n"/>
      <c r="D569" s="377" t="n"/>
      <c r="E569" s="377" t="n"/>
      <c r="F569" s="377" t="n"/>
    </row>
    <row r="570" ht="15.75" customHeight="1" s="195">
      <c r="C570" s="377" t="n"/>
      <c r="D570" s="377" t="n"/>
      <c r="E570" s="377" t="n"/>
      <c r="F570" s="377" t="n"/>
    </row>
    <row r="571" ht="15.75" customHeight="1" s="195">
      <c r="C571" s="377" t="n"/>
      <c r="D571" s="377" t="n"/>
      <c r="E571" s="377" t="n"/>
      <c r="F571" s="377" t="n"/>
    </row>
    <row r="572" ht="15.75" customHeight="1" s="195">
      <c r="C572" s="377" t="n"/>
      <c r="D572" s="377" t="n"/>
      <c r="E572" s="377" t="n"/>
      <c r="F572" s="377" t="n"/>
    </row>
    <row r="573" ht="15.75" customHeight="1" s="195">
      <c r="C573" s="377" t="n"/>
      <c r="D573" s="377" t="n"/>
      <c r="E573" s="377" t="n"/>
      <c r="F573" s="377" t="n"/>
    </row>
    <row r="574" ht="15.75" customHeight="1" s="195">
      <c r="C574" s="377" t="n"/>
      <c r="D574" s="377" t="n"/>
      <c r="E574" s="377" t="n"/>
      <c r="F574" s="377" t="n"/>
    </row>
    <row r="575" ht="15.75" customHeight="1" s="195">
      <c r="C575" s="377" t="n"/>
      <c r="D575" s="377" t="n"/>
      <c r="E575" s="377" t="n"/>
      <c r="F575" s="377" t="n"/>
    </row>
    <row r="576" ht="15.75" customHeight="1" s="195">
      <c r="C576" s="377" t="n"/>
      <c r="D576" s="377" t="n"/>
      <c r="E576" s="377" t="n"/>
      <c r="F576" s="377" t="n"/>
    </row>
    <row r="577" ht="15.75" customHeight="1" s="195">
      <c r="C577" s="377" t="n"/>
      <c r="D577" s="377" t="n"/>
      <c r="E577" s="377" t="n"/>
      <c r="F577" s="377" t="n"/>
    </row>
    <row r="578" ht="15.75" customHeight="1" s="195">
      <c r="C578" s="377" t="n"/>
      <c r="D578" s="377" t="n"/>
      <c r="E578" s="377" t="n"/>
      <c r="F578" s="377" t="n"/>
    </row>
    <row r="579" ht="15.75" customHeight="1" s="195">
      <c r="C579" s="377" t="n"/>
      <c r="D579" s="377" t="n"/>
      <c r="E579" s="377" t="n"/>
      <c r="F579" s="377" t="n"/>
    </row>
    <row r="580" ht="15.75" customHeight="1" s="195">
      <c r="C580" s="377" t="n"/>
      <c r="D580" s="377" t="n"/>
      <c r="E580" s="377" t="n"/>
      <c r="F580" s="377" t="n"/>
    </row>
    <row r="581" ht="15.75" customHeight="1" s="195">
      <c r="C581" s="377" t="n"/>
      <c r="D581" s="377" t="n"/>
      <c r="E581" s="377" t="n"/>
      <c r="F581" s="377" t="n"/>
    </row>
    <row r="582" ht="15.75" customHeight="1" s="195">
      <c r="C582" s="377" t="n"/>
      <c r="D582" s="377" t="n"/>
      <c r="E582" s="377" t="n"/>
      <c r="F582" s="377" t="n"/>
    </row>
    <row r="583" ht="15.75" customHeight="1" s="195">
      <c r="C583" s="377" t="n"/>
      <c r="D583" s="377" t="n"/>
      <c r="E583" s="377" t="n"/>
      <c r="F583" s="377" t="n"/>
    </row>
    <row r="584" ht="15.75" customHeight="1" s="195">
      <c r="C584" s="377" t="n"/>
      <c r="D584" s="377" t="n"/>
      <c r="E584" s="377" t="n"/>
      <c r="F584" s="377" t="n"/>
    </row>
    <row r="585" ht="15.75" customHeight="1" s="195">
      <c r="C585" s="377" t="n"/>
      <c r="D585" s="377" t="n"/>
      <c r="E585" s="377" t="n"/>
      <c r="F585" s="377" t="n"/>
    </row>
    <row r="586" ht="15.75" customHeight="1" s="195">
      <c r="C586" s="377" t="n"/>
      <c r="D586" s="377" t="n"/>
      <c r="E586" s="377" t="n"/>
      <c r="F586" s="377" t="n"/>
    </row>
    <row r="587" ht="15.75" customHeight="1" s="195">
      <c r="C587" s="377" t="n"/>
      <c r="D587" s="377" t="n"/>
      <c r="E587" s="377" t="n"/>
      <c r="F587" s="377" t="n"/>
    </row>
    <row r="588" ht="15.75" customHeight="1" s="195">
      <c r="C588" s="377" t="n"/>
      <c r="D588" s="377" t="n"/>
      <c r="E588" s="377" t="n"/>
      <c r="F588" s="377" t="n"/>
    </row>
    <row r="589" ht="15.75" customHeight="1" s="195">
      <c r="C589" s="377" t="n"/>
      <c r="D589" s="377" t="n"/>
      <c r="E589" s="377" t="n"/>
      <c r="F589" s="377" t="n"/>
    </row>
    <row r="590" ht="15.75" customHeight="1" s="195">
      <c r="C590" s="377" t="n"/>
      <c r="D590" s="377" t="n"/>
      <c r="E590" s="377" t="n"/>
      <c r="F590" s="377" t="n"/>
    </row>
    <row r="591" ht="15.75" customHeight="1" s="195">
      <c r="C591" s="377" t="n"/>
      <c r="D591" s="377" t="n"/>
      <c r="E591" s="377" t="n"/>
      <c r="F591" s="377" t="n"/>
    </row>
    <row r="592" ht="15.75" customHeight="1" s="195">
      <c r="C592" s="377" t="n"/>
      <c r="D592" s="377" t="n"/>
      <c r="E592" s="377" t="n"/>
      <c r="F592" s="377" t="n"/>
    </row>
    <row r="593" ht="15.75" customHeight="1" s="195">
      <c r="C593" s="377" t="n"/>
      <c r="D593" s="377" t="n"/>
      <c r="E593" s="377" t="n"/>
      <c r="F593" s="377" t="n"/>
    </row>
    <row r="594" ht="15.75" customHeight="1" s="195">
      <c r="C594" s="377" t="n"/>
      <c r="D594" s="377" t="n"/>
      <c r="E594" s="377" t="n"/>
      <c r="F594" s="377" t="n"/>
    </row>
    <row r="595" ht="15.75" customHeight="1" s="195">
      <c r="C595" s="377" t="n"/>
      <c r="D595" s="377" t="n"/>
      <c r="E595" s="377" t="n"/>
      <c r="F595" s="377" t="n"/>
    </row>
    <row r="596" ht="15.75" customHeight="1" s="195">
      <c r="C596" s="377" t="n"/>
      <c r="D596" s="377" t="n"/>
      <c r="E596" s="377" t="n"/>
      <c r="F596" s="377" t="n"/>
    </row>
    <row r="597" ht="15.75" customHeight="1" s="195">
      <c r="C597" s="377" t="n"/>
      <c r="D597" s="377" t="n"/>
      <c r="E597" s="377" t="n"/>
      <c r="F597" s="377" t="n"/>
    </row>
    <row r="598" ht="15.75" customHeight="1" s="195">
      <c r="C598" s="377" t="n"/>
      <c r="D598" s="377" t="n"/>
      <c r="E598" s="377" t="n"/>
      <c r="F598" s="377" t="n"/>
    </row>
    <row r="599" ht="15.75" customHeight="1" s="195">
      <c r="C599" s="377" t="n"/>
      <c r="D599" s="377" t="n"/>
      <c r="E599" s="377" t="n"/>
      <c r="F599" s="377" t="n"/>
    </row>
    <row r="600" ht="15.75" customHeight="1" s="195">
      <c r="C600" s="377" t="n"/>
      <c r="D600" s="377" t="n"/>
      <c r="E600" s="377" t="n"/>
      <c r="F600" s="377" t="n"/>
    </row>
    <row r="601" ht="15.75" customHeight="1" s="195">
      <c r="C601" s="377" t="n"/>
      <c r="D601" s="377" t="n"/>
      <c r="E601" s="377" t="n"/>
      <c r="F601" s="377" t="n"/>
    </row>
    <row r="602" ht="15.75" customHeight="1" s="195">
      <c r="C602" s="377" t="n"/>
      <c r="D602" s="377" t="n"/>
      <c r="E602" s="377" t="n"/>
      <c r="F602" s="377" t="n"/>
    </row>
    <row r="603" ht="15.75" customHeight="1" s="195">
      <c r="C603" s="377" t="n"/>
      <c r="D603" s="377" t="n"/>
      <c r="E603" s="377" t="n"/>
      <c r="F603" s="377" t="n"/>
    </row>
    <row r="604" ht="15.75" customHeight="1" s="195">
      <c r="C604" s="377" t="n"/>
      <c r="D604" s="377" t="n"/>
      <c r="E604" s="377" t="n"/>
      <c r="F604" s="377" t="n"/>
    </row>
    <row r="605" ht="15.75" customHeight="1" s="195">
      <c r="C605" s="377" t="n"/>
      <c r="D605" s="377" t="n"/>
      <c r="E605" s="377" t="n"/>
      <c r="F605" s="377" t="n"/>
    </row>
    <row r="606" ht="15.75" customHeight="1" s="195">
      <c r="C606" s="377" t="n"/>
      <c r="D606" s="377" t="n"/>
      <c r="E606" s="377" t="n"/>
      <c r="F606" s="377" t="n"/>
    </row>
    <row r="607" ht="15.75" customHeight="1" s="195">
      <c r="C607" s="377" t="n"/>
      <c r="D607" s="377" t="n"/>
      <c r="E607" s="377" t="n"/>
      <c r="F607" s="377" t="n"/>
    </row>
    <row r="608" ht="15.75" customHeight="1" s="195">
      <c r="C608" s="377" t="n"/>
      <c r="D608" s="377" t="n"/>
      <c r="E608" s="377" t="n"/>
      <c r="F608" s="377" t="n"/>
    </row>
    <row r="609" ht="15.75" customHeight="1" s="195">
      <c r="C609" s="377" t="n"/>
      <c r="D609" s="377" t="n"/>
      <c r="E609" s="377" t="n"/>
      <c r="F609" s="377" t="n"/>
    </row>
    <row r="610" ht="15.75" customHeight="1" s="195">
      <c r="C610" s="377" t="n"/>
      <c r="D610" s="377" t="n"/>
      <c r="E610" s="377" t="n"/>
      <c r="F610" s="377" t="n"/>
    </row>
    <row r="611" ht="15.75" customHeight="1" s="195">
      <c r="C611" s="377" t="n"/>
      <c r="D611" s="377" t="n"/>
      <c r="E611" s="377" t="n"/>
      <c r="F611" s="377" t="n"/>
    </row>
    <row r="612" ht="15.75" customHeight="1" s="195">
      <c r="C612" s="377" t="n"/>
      <c r="D612" s="377" t="n"/>
      <c r="E612" s="377" t="n"/>
      <c r="F612" s="377" t="n"/>
    </row>
    <row r="613" ht="15.75" customHeight="1" s="195">
      <c r="C613" s="377" t="n"/>
      <c r="D613" s="377" t="n"/>
      <c r="E613" s="377" t="n"/>
      <c r="F613" s="377" t="n"/>
    </row>
    <row r="614" ht="15.75" customHeight="1" s="195">
      <c r="C614" s="377" t="n"/>
      <c r="D614" s="377" t="n"/>
      <c r="E614" s="377" t="n"/>
      <c r="F614" s="377" t="n"/>
    </row>
    <row r="615" ht="15.75" customHeight="1" s="195">
      <c r="C615" s="377" t="n"/>
      <c r="D615" s="377" t="n"/>
      <c r="E615" s="377" t="n"/>
      <c r="F615" s="377" t="n"/>
    </row>
    <row r="616" ht="15.75" customHeight="1" s="195">
      <c r="C616" s="377" t="n"/>
      <c r="D616" s="377" t="n"/>
      <c r="E616" s="377" t="n"/>
      <c r="F616" s="377" t="n"/>
    </row>
    <row r="617" ht="15.75" customHeight="1" s="195">
      <c r="C617" s="377" t="n"/>
      <c r="D617" s="377" t="n"/>
      <c r="E617" s="377" t="n"/>
      <c r="F617" s="377" t="n"/>
    </row>
    <row r="618" ht="15.75" customHeight="1" s="195">
      <c r="C618" s="377" t="n"/>
      <c r="D618" s="377" t="n"/>
      <c r="E618" s="377" t="n"/>
      <c r="F618" s="377" t="n"/>
    </row>
    <row r="619" ht="15.75" customHeight="1" s="195">
      <c r="C619" s="377" t="n"/>
      <c r="D619" s="377" t="n"/>
      <c r="E619" s="377" t="n"/>
      <c r="F619" s="377" t="n"/>
    </row>
    <row r="620" ht="15.75" customHeight="1" s="195">
      <c r="C620" s="377" t="n"/>
      <c r="D620" s="377" t="n"/>
      <c r="E620" s="377" t="n"/>
      <c r="F620" s="377" t="n"/>
    </row>
    <row r="621" ht="15.75" customHeight="1" s="195">
      <c r="C621" s="377" t="n"/>
      <c r="D621" s="377" t="n"/>
      <c r="E621" s="377" t="n"/>
      <c r="F621" s="377" t="n"/>
    </row>
    <row r="622" ht="15.75" customHeight="1" s="195">
      <c r="C622" s="377" t="n"/>
      <c r="D622" s="377" t="n"/>
      <c r="E622" s="377" t="n"/>
      <c r="F622" s="377" t="n"/>
    </row>
    <row r="623" ht="15.75" customHeight="1" s="195">
      <c r="C623" s="377" t="n"/>
      <c r="D623" s="377" t="n"/>
      <c r="E623" s="377" t="n"/>
      <c r="F623" s="377" t="n"/>
    </row>
    <row r="624" ht="15.75" customHeight="1" s="195">
      <c r="C624" s="377" t="n"/>
      <c r="D624" s="377" t="n"/>
      <c r="E624" s="377" t="n"/>
      <c r="F624" s="377" t="n"/>
    </row>
    <row r="625" ht="15.75" customHeight="1" s="195">
      <c r="C625" s="377" t="n"/>
      <c r="D625" s="377" t="n"/>
      <c r="E625" s="377" t="n"/>
      <c r="F625" s="377" t="n"/>
    </row>
    <row r="626" ht="15.75" customHeight="1" s="195">
      <c r="C626" s="377" t="n"/>
      <c r="D626" s="377" t="n"/>
      <c r="E626" s="377" t="n"/>
      <c r="F626" s="377" t="n"/>
    </row>
    <row r="627" ht="15.75" customHeight="1" s="195">
      <c r="C627" s="377" t="n"/>
      <c r="D627" s="377" t="n"/>
      <c r="E627" s="377" t="n"/>
      <c r="F627" s="377" t="n"/>
    </row>
    <row r="628" ht="15.75" customHeight="1" s="195">
      <c r="C628" s="377" t="n"/>
      <c r="D628" s="377" t="n"/>
      <c r="E628" s="377" t="n"/>
      <c r="F628" s="377" t="n"/>
    </row>
    <row r="629" ht="15.75" customHeight="1" s="195">
      <c r="C629" s="377" t="n"/>
      <c r="D629" s="377" t="n"/>
      <c r="E629" s="377" t="n"/>
      <c r="F629" s="377" t="n"/>
    </row>
    <row r="630" ht="15.75" customHeight="1" s="195">
      <c r="C630" s="377" t="n"/>
      <c r="D630" s="377" t="n"/>
      <c r="E630" s="377" t="n"/>
      <c r="F630" s="377" t="n"/>
    </row>
    <row r="631" ht="15.75" customHeight="1" s="195">
      <c r="C631" s="377" t="n"/>
      <c r="D631" s="377" t="n"/>
      <c r="E631" s="377" t="n"/>
      <c r="F631" s="377" t="n"/>
    </row>
    <row r="632" ht="15.75" customHeight="1" s="195">
      <c r="C632" s="377" t="n"/>
      <c r="D632" s="377" t="n"/>
      <c r="E632" s="377" t="n"/>
      <c r="F632" s="377" t="n"/>
    </row>
    <row r="633" ht="15.75" customHeight="1" s="195">
      <c r="C633" s="377" t="n"/>
      <c r="D633" s="377" t="n"/>
      <c r="E633" s="377" t="n"/>
      <c r="F633" s="377" t="n"/>
    </row>
    <row r="634" ht="15.75" customHeight="1" s="195">
      <c r="C634" s="377" t="n"/>
      <c r="D634" s="377" t="n"/>
      <c r="E634" s="377" t="n"/>
      <c r="F634" s="377" t="n"/>
    </row>
    <row r="635" ht="15.75" customHeight="1" s="195">
      <c r="C635" s="377" t="n"/>
      <c r="D635" s="377" t="n"/>
      <c r="E635" s="377" t="n"/>
      <c r="F635" s="377" t="n"/>
    </row>
    <row r="636" ht="15.75" customHeight="1" s="195">
      <c r="C636" s="377" t="n"/>
      <c r="D636" s="377" t="n"/>
      <c r="E636" s="377" t="n"/>
      <c r="F636" s="377" t="n"/>
    </row>
    <row r="637" ht="15.75" customHeight="1" s="195">
      <c r="C637" s="377" t="n"/>
      <c r="D637" s="377" t="n"/>
      <c r="E637" s="377" t="n"/>
      <c r="F637" s="377" t="n"/>
    </row>
    <row r="638" ht="15.75" customHeight="1" s="195">
      <c r="C638" s="377" t="n"/>
      <c r="D638" s="377" t="n"/>
      <c r="E638" s="377" t="n"/>
      <c r="F638" s="377" t="n"/>
    </row>
    <row r="639" ht="15.75" customHeight="1" s="195">
      <c r="C639" s="377" t="n"/>
      <c r="D639" s="377" t="n"/>
      <c r="E639" s="377" t="n"/>
      <c r="F639" s="377" t="n"/>
    </row>
    <row r="640" ht="15.75" customHeight="1" s="195">
      <c r="C640" s="377" t="n"/>
      <c r="D640" s="377" t="n"/>
      <c r="E640" s="377" t="n"/>
      <c r="F640" s="377" t="n"/>
    </row>
    <row r="641" ht="15.75" customHeight="1" s="195">
      <c r="C641" s="377" t="n"/>
      <c r="D641" s="377" t="n"/>
      <c r="E641" s="377" t="n"/>
      <c r="F641" s="377" t="n"/>
    </row>
    <row r="642" ht="15.75" customHeight="1" s="195">
      <c r="C642" s="377" t="n"/>
      <c r="D642" s="377" t="n"/>
      <c r="E642" s="377" t="n"/>
      <c r="F642" s="377" t="n"/>
    </row>
    <row r="643" ht="15.75" customHeight="1" s="195">
      <c r="C643" s="377" t="n"/>
      <c r="D643" s="377" t="n"/>
      <c r="E643" s="377" t="n"/>
      <c r="F643" s="377" t="n"/>
    </row>
    <row r="644" ht="15.75" customHeight="1" s="195">
      <c r="C644" s="377" t="n"/>
      <c r="D644" s="377" t="n"/>
      <c r="E644" s="377" t="n"/>
      <c r="F644" s="377" t="n"/>
    </row>
    <row r="645" ht="15.75" customHeight="1" s="195">
      <c r="C645" s="377" t="n"/>
      <c r="D645" s="377" t="n"/>
      <c r="E645" s="377" t="n"/>
      <c r="F645" s="377" t="n"/>
    </row>
    <row r="646" ht="15.75" customHeight="1" s="195">
      <c r="C646" s="377" t="n"/>
      <c r="D646" s="377" t="n"/>
      <c r="E646" s="377" t="n"/>
      <c r="F646" s="377" t="n"/>
    </row>
    <row r="647" ht="15.75" customHeight="1" s="195">
      <c r="C647" s="377" t="n"/>
      <c r="D647" s="377" t="n"/>
      <c r="E647" s="377" t="n"/>
      <c r="F647" s="377" t="n"/>
    </row>
    <row r="648" ht="15.75" customHeight="1" s="195">
      <c r="C648" s="377" t="n"/>
      <c r="D648" s="377" t="n"/>
      <c r="E648" s="377" t="n"/>
      <c r="F648" s="377" t="n"/>
    </row>
    <row r="649" ht="15.75" customHeight="1" s="195">
      <c r="C649" s="377" t="n"/>
      <c r="D649" s="377" t="n"/>
      <c r="E649" s="377" t="n"/>
      <c r="F649" s="377" t="n"/>
    </row>
    <row r="650" ht="15.75" customHeight="1" s="195">
      <c r="C650" s="377" t="n"/>
      <c r="D650" s="377" t="n"/>
      <c r="E650" s="377" t="n"/>
      <c r="F650" s="377" t="n"/>
    </row>
    <row r="651" ht="15.75" customHeight="1" s="195">
      <c r="C651" s="377" t="n"/>
      <c r="D651" s="377" t="n"/>
      <c r="E651" s="377" t="n"/>
      <c r="F651" s="377" t="n"/>
    </row>
    <row r="652" ht="15.75" customHeight="1" s="195">
      <c r="C652" s="377" t="n"/>
      <c r="D652" s="377" t="n"/>
      <c r="E652" s="377" t="n"/>
      <c r="F652" s="377" t="n"/>
    </row>
    <row r="653" ht="15.75" customHeight="1" s="195">
      <c r="C653" s="377" t="n"/>
      <c r="D653" s="377" t="n"/>
      <c r="E653" s="377" t="n"/>
      <c r="F653" s="377" t="n"/>
    </row>
    <row r="654" ht="15.75" customHeight="1" s="195">
      <c r="C654" s="377" t="n"/>
      <c r="D654" s="377" t="n"/>
      <c r="E654" s="377" t="n"/>
      <c r="F654" s="377" t="n"/>
    </row>
    <row r="655" ht="15.75" customHeight="1" s="195">
      <c r="C655" s="377" t="n"/>
      <c r="D655" s="377" t="n"/>
      <c r="E655" s="377" t="n"/>
      <c r="F655" s="377" t="n"/>
    </row>
    <row r="656" ht="15.75" customHeight="1" s="195">
      <c r="C656" s="377" t="n"/>
      <c r="D656" s="377" t="n"/>
      <c r="E656" s="377" t="n"/>
      <c r="F656" s="377" t="n"/>
    </row>
    <row r="657" ht="15.75" customHeight="1" s="195">
      <c r="C657" s="377" t="n"/>
      <c r="D657" s="377" t="n"/>
      <c r="E657" s="377" t="n"/>
      <c r="F657" s="377" t="n"/>
    </row>
    <row r="658" ht="15.75" customHeight="1" s="195">
      <c r="C658" s="377" t="n"/>
      <c r="D658" s="377" t="n"/>
      <c r="E658" s="377" t="n"/>
      <c r="F658" s="377" t="n"/>
    </row>
    <row r="659" ht="15.75" customHeight="1" s="195">
      <c r="C659" s="377" t="n"/>
      <c r="D659" s="377" t="n"/>
      <c r="E659" s="377" t="n"/>
      <c r="F659" s="377" t="n"/>
    </row>
    <row r="660" ht="15.75" customHeight="1" s="195">
      <c r="C660" s="377" t="n"/>
      <c r="D660" s="377" t="n"/>
      <c r="E660" s="377" t="n"/>
      <c r="F660" s="377" t="n"/>
    </row>
    <row r="661" ht="15.75" customHeight="1" s="195">
      <c r="C661" s="377" t="n"/>
      <c r="D661" s="377" t="n"/>
      <c r="E661" s="377" t="n"/>
      <c r="F661" s="377" t="n"/>
    </row>
    <row r="662" ht="15.75" customHeight="1" s="195">
      <c r="C662" s="377" t="n"/>
      <c r="D662" s="377" t="n"/>
      <c r="E662" s="377" t="n"/>
      <c r="F662" s="377" t="n"/>
    </row>
    <row r="663" ht="15.75" customHeight="1" s="195">
      <c r="C663" s="377" t="n"/>
      <c r="D663" s="377" t="n"/>
      <c r="E663" s="377" t="n"/>
      <c r="F663" s="377" t="n"/>
    </row>
    <row r="664" ht="15.75" customHeight="1" s="195">
      <c r="C664" s="377" t="n"/>
      <c r="D664" s="377" t="n"/>
      <c r="E664" s="377" t="n"/>
      <c r="F664" s="377" t="n"/>
    </row>
    <row r="665" ht="15.75" customHeight="1" s="195">
      <c r="C665" s="377" t="n"/>
      <c r="D665" s="377" t="n"/>
      <c r="E665" s="377" t="n"/>
      <c r="F665" s="377" t="n"/>
    </row>
    <row r="666" ht="15.75" customHeight="1" s="195">
      <c r="C666" s="377" t="n"/>
      <c r="D666" s="377" t="n"/>
      <c r="E666" s="377" t="n"/>
      <c r="F666" s="377" t="n"/>
    </row>
    <row r="667" ht="15.75" customHeight="1" s="195">
      <c r="C667" s="377" t="n"/>
      <c r="D667" s="377" t="n"/>
      <c r="E667" s="377" t="n"/>
      <c r="F667" s="377" t="n"/>
    </row>
    <row r="668" ht="15.75" customHeight="1" s="195">
      <c r="C668" s="377" t="n"/>
      <c r="D668" s="377" t="n"/>
      <c r="E668" s="377" t="n"/>
      <c r="F668" s="377" t="n"/>
    </row>
    <row r="669" ht="15.75" customHeight="1" s="195">
      <c r="C669" s="377" t="n"/>
      <c r="D669" s="377" t="n"/>
      <c r="E669" s="377" t="n"/>
      <c r="F669" s="377" t="n"/>
    </row>
    <row r="670" ht="15.75" customHeight="1" s="195">
      <c r="C670" s="377" t="n"/>
      <c r="D670" s="377" t="n"/>
      <c r="E670" s="377" t="n"/>
      <c r="F670" s="377" t="n"/>
    </row>
    <row r="671" ht="15.75" customHeight="1" s="195">
      <c r="C671" s="377" t="n"/>
      <c r="D671" s="377" t="n"/>
      <c r="E671" s="377" t="n"/>
      <c r="F671" s="377" t="n"/>
    </row>
    <row r="672" ht="15.75" customHeight="1" s="195">
      <c r="C672" s="377" t="n"/>
      <c r="D672" s="377" t="n"/>
      <c r="E672" s="377" t="n"/>
      <c r="F672" s="377" t="n"/>
    </row>
    <row r="673" ht="15.75" customHeight="1" s="195">
      <c r="C673" s="377" t="n"/>
      <c r="D673" s="377" t="n"/>
      <c r="E673" s="377" t="n"/>
      <c r="F673" s="377" t="n"/>
    </row>
    <row r="674" ht="15.75" customHeight="1" s="195">
      <c r="C674" s="377" t="n"/>
      <c r="D674" s="377" t="n"/>
      <c r="E674" s="377" t="n"/>
      <c r="F674" s="377" t="n"/>
    </row>
    <row r="675" ht="15.75" customHeight="1" s="195">
      <c r="C675" s="377" t="n"/>
      <c r="D675" s="377" t="n"/>
      <c r="E675" s="377" t="n"/>
      <c r="F675" s="377" t="n"/>
    </row>
    <row r="676" ht="15.75" customHeight="1" s="195">
      <c r="C676" s="377" t="n"/>
      <c r="D676" s="377" t="n"/>
      <c r="E676" s="377" t="n"/>
      <c r="F676" s="377" t="n"/>
    </row>
    <row r="677" ht="15.75" customHeight="1" s="195">
      <c r="C677" s="377" t="n"/>
      <c r="D677" s="377" t="n"/>
      <c r="E677" s="377" t="n"/>
      <c r="F677" s="377" t="n"/>
    </row>
    <row r="678" ht="15.75" customHeight="1" s="195">
      <c r="C678" s="377" t="n"/>
      <c r="D678" s="377" t="n"/>
      <c r="E678" s="377" t="n"/>
      <c r="F678" s="377" t="n"/>
    </row>
    <row r="679" ht="15.75" customHeight="1" s="195">
      <c r="C679" s="377" t="n"/>
      <c r="D679" s="377" t="n"/>
      <c r="E679" s="377" t="n"/>
      <c r="F679" s="377" t="n"/>
    </row>
    <row r="680" ht="15.75" customHeight="1" s="195">
      <c r="C680" s="377" t="n"/>
      <c r="D680" s="377" t="n"/>
      <c r="E680" s="377" t="n"/>
      <c r="F680" s="377" t="n"/>
    </row>
    <row r="681" ht="15.75" customHeight="1" s="195">
      <c r="C681" s="377" t="n"/>
      <c r="D681" s="377" t="n"/>
      <c r="E681" s="377" t="n"/>
      <c r="F681" s="377" t="n"/>
    </row>
    <row r="682" ht="15.75" customHeight="1" s="195">
      <c r="C682" s="377" t="n"/>
      <c r="D682" s="377" t="n"/>
      <c r="E682" s="377" t="n"/>
      <c r="F682" s="377" t="n"/>
    </row>
    <row r="683" ht="15.75" customHeight="1" s="195">
      <c r="C683" s="377" t="n"/>
      <c r="D683" s="377" t="n"/>
      <c r="E683" s="377" t="n"/>
      <c r="F683" s="377" t="n"/>
    </row>
    <row r="684" ht="15.75" customHeight="1" s="195">
      <c r="C684" s="377" t="n"/>
      <c r="D684" s="377" t="n"/>
      <c r="E684" s="377" t="n"/>
      <c r="F684" s="377" t="n"/>
    </row>
    <row r="685" ht="15.75" customHeight="1" s="195">
      <c r="C685" s="377" t="n"/>
      <c r="D685" s="377" t="n"/>
      <c r="E685" s="377" t="n"/>
      <c r="F685" s="377" t="n"/>
    </row>
    <row r="686" ht="15.75" customHeight="1" s="195">
      <c r="C686" s="377" t="n"/>
      <c r="D686" s="377" t="n"/>
      <c r="E686" s="377" t="n"/>
      <c r="F686" s="377" t="n"/>
    </row>
    <row r="687" ht="15.75" customHeight="1" s="195">
      <c r="C687" s="377" t="n"/>
      <c r="D687" s="377" t="n"/>
      <c r="E687" s="377" t="n"/>
      <c r="F687" s="377" t="n"/>
    </row>
    <row r="688" ht="15.75" customHeight="1" s="195">
      <c r="C688" s="377" t="n"/>
      <c r="D688" s="377" t="n"/>
      <c r="E688" s="377" t="n"/>
      <c r="F688" s="377" t="n"/>
    </row>
    <row r="689" ht="15.75" customHeight="1" s="195">
      <c r="C689" s="377" t="n"/>
      <c r="D689" s="377" t="n"/>
      <c r="E689" s="377" t="n"/>
      <c r="F689" s="377" t="n"/>
    </row>
    <row r="690" ht="15.75" customHeight="1" s="195">
      <c r="C690" s="377" t="n"/>
      <c r="D690" s="377" t="n"/>
      <c r="E690" s="377" t="n"/>
      <c r="F690" s="377" t="n"/>
    </row>
    <row r="691" ht="15.75" customHeight="1" s="195">
      <c r="C691" s="377" t="n"/>
      <c r="D691" s="377" t="n"/>
      <c r="E691" s="377" t="n"/>
      <c r="F691" s="377" t="n"/>
    </row>
    <row r="692" ht="15.75" customHeight="1" s="195">
      <c r="C692" s="377" t="n"/>
      <c r="D692" s="377" t="n"/>
      <c r="E692" s="377" t="n"/>
      <c r="F692" s="377" t="n"/>
    </row>
    <row r="693" ht="15.75" customHeight="1" s="195">
      <c r="C693" s="377" t="n"/>
      <c r="D693" s="377" t="n"/>
      <c r="E693" s="377" t="n"/>
      <c r="F693" s="377" t="n"/>
    </row>
    <row r="694" ht="15.75" customHeight="1" s="195">
      <c r="C694" s="377" t="n"/>
      <c r="D694" s="377" t="n"/>
      <c r="E694" s="377" t="n"/>
      <c r="F694" s="377" t="n"/>
    </row>
    <row r="695" ht="15.75" customHeight="1" s="195">
      <c r="C695" s="377" t="n"/>
      <c r="D695" s="377" t="n"/>
      <c r="E695" s="377" t="n"/>
      <c r="F695" s="377" t="n"/>
    </row>
    <row r="696" ht="15.75" customHeight="1" s="195">
      <c r="C696" s="377" t="n"/>
      <c r="D696" s="377" t="n"/>
      <c r="E696" s="377" t="n"/>
      <c r="F696" s="377" t="n"/>
    </row>
    <row r="697" ht="15.75" customHeight="1" s="195">
      <c r="C697" s="377" t="n"/>
      <c r="D697" s="377" t="n"/>
      <c r="E697" s="377" t="n"/>
      <c r="F697" s="377" t="n"/>
    </row>
    <row r="698" ht="15.75" customHeight="1" s="195">
      <c r="C698" s="377" t="n"/>
      <c r="D698" s="377" t="n"/>
      <c r="E698" s="377" t="n"/>
      <c r="F698" s="377" t="n"/>
    </row>
    <row r="699" ht="15.75" customHeight="1" s="195">
      <c r="C699" s="377" t="n"/>
      <c r="D699" s="377" t="n"/>
      <c r="E699" s="377" t="n"/>
      <c r="F699" s="377" t="n"/>
    </row>
    <row r="700" ht="15.75" customHeight="1" s="195">
      <c r="C700" s="377" t="n"/>
      <c r="D700" s="377" t="n"/>
      <c r="E700" s="377" t="n"/>
      <c r="F700" s="377" t="n"/>
    </row>
    <row r="701" ht="15.75" customHeight="1" s="195">
      <c r="C701" s="377" t="n"/>
      <c r="D701" s="377" t="n"/>
      <c r="E701" s="377" t="n"/>
      <c r="F701" s="377" t="n"/>
    </row>
    <row r="702" ht="15.75" customHeight="1" s="195">
      <c r="C702" s="377" t="n"/>
      <c r="D702" s="377" t="n"/>
      <c r="E702" s="377" t="n"/>
      <c r="F702" s="377" t="n"/>
    </row>
    <row r="703" ht="15.75" customHeight="1" s="195">
      <c r="C703" s="377" t="n"/>
      <c r="D703" s="377" t="n"/>
      <c r="E703" s="377" t="n"/>
      <c r="F703" s="377" t="n"/>
    </row>
    <row r="704" ht="15.75" customHeight="1" s="195">
      <c r="C704" s="377" t="n"/>
      <c r="D704" s="377" t="n"/>
      <c r="E704" s="377" t="n"/>
      <c r="F704" s="377" t="n"/>
    </row>
    <row r="705" ht="15.75" customHeight="1" s="195">
      <c r="C705" s="377" t="n"/>
      <c r="D705" s="377" t="n"/>
      <c r="E705" s="377" t="n"/>
      <c r="F705" s="377" t="n"/>
    </row>
    <row r="706" ht="15.75" customHeight="1" s="195">
      <c r="C706" s="377" t="n"/>
      <c r="D706" s="377" t="n"/>
      <c r="E706" s="377" t="n"/>
      <c r="F706" s="377" t="n"/>
    </row>
    <row r="707" ht="15.75" customHeight="1" s="195">
      <c r="C707" s="377" t="n"/>
      <c r="D707" s="377" t="n"/>
      <c r="E707" s="377" t="n"/>
      <c r="F707" s="377" t="n"/>
    </row>
    <row r="708" ht="15.75" customHeight="1" s="195">
      <c r="C708" s="377" t="n"/>
      <c r="D708" s="377" t="n"/>
      <c r="E708" s="377" t="n"/>
      <c r="F708" s="377" t="n"/>
    </row>
    <row r="709" ht="15.75" customHeight="1" s="195">
      <c r="C709" s="377" t="n"/>
      <c r="D709" s="377" t="n"/>
      <c r="E709" s="377" t="n"/>
      <c r="F709" s="377" t="n"/>
    </row>
    <row r="710" ht="15.75" customHeight="1" s="195">
      <c r="C710" s="377" t="n"/>
      <c r="D710" s="377" t="n"/>
      <c r="E710" s="377" t="n"/>
      <c r="F710" s="377" t="n"/>
    </row>
    <row r="711" ht="15.75" customHeight="1" s="195">
      <c r="C711" s="377" t="n"/>
      <c r="D711" s="377" t="n"/>
      <c r="E711" s="377" t="n"/>
      <c r="F711" s="377" t="n"/>
    </row>
    <row r="712" ht="15.75" customHeight="1" s="195">
      <c r="C712" s="377" t="n"/>
      <c r="D712" s="377" t="n"/>
      <c r="E712" s="377" t="n"/>
      <c r="F712" s="377" t="n"/>
    </row>
    <row r="713" ht="15.75" customHeight="1" s="195">
      <c r="C713" s="377" t="n"/>
      <c r="D713" s="377" t="n"/>
      <c r="E713" s="377" t="n"/>
      <c r="F713" s="377" t="n"/>
    </row>
    <row r="714" ht="15.75" customHeight="1" s="195">
      <c r="C714" s="377" t="n"/>
      <c r="D714" s="377" t="n"/>
      <c r="E714" s="377" t="n"/>
      <c r="F714" s="377" t="n"/>
    </row>
    <row r="715" ht="15.75" customHeight="1" s="195">
      <c r="C715" s="377" t="n"/>
      <c r="D715" s="377" t="n"/>
      <c r="E715" s="377" t="n"/>
      <c r="F715" s="377" t="n"/>
    </row>
    <row r="716" ht="15.75" customHeight="1" s="195">
      <c r="C716" s="377" t="n"/>
      <c r="D716" s="377" t="n"/>
      <c r="E716" s="377" t="n"/>
      <c r="F716" s="377" t="n"/>
    </row>
    <row r="717" ht="15.75" customHeight="1" s="195">
      <c r="C717" s="377" t="n"/>
      <c r="D717" s="377" t="n"/>
      <c r="E717" s="377" t="n"/>
      <c r="F717" s="377" t="n"/>
    </row>
    <row r="718" ht="15.75" customHeight="1" s="195">
      <c r="C718" s="377" t="n"/>
      <c r="D718" s="377" t="n"/>
      <c r="E718" s="377" t="n"/>
      <c r="F718" s="377" t="n"/>
    </row>
    <row r="719" ht="15.75" customHeight="1" s="195">
      <c r="C719" s="377" t="n"/>
      <c r="D719" s="377" t="n"/>
      <c r="E719" s="377" t="n"/>
      <c r="F719" s="377" t="n"/>
    </row>
    <row r="720" ht="15.75" customHeight="1" s="195">
      <c r="C720" s="377" t="n"/>
      <c r="D720" s="377" t="n"/>
      <c r="E720" s="377" t="n"/>
      <c r="F720" s="377" t="n"/>
    </row>
    <row r="721" ht="15.75" customHeight="1" s="195">
      <c r="C721" s="377" t="n"/>
      <c r="D721" s="377" t="n"/>
      <c r="E721" s="377" t="n"/>
      <c r="F721" s="377" t="n"/>
    </row>
    <row r="722" ht="15.75" customHeight="1" s="195">
      <c r="C722" s="377" t="n"/>
      <c r="D722" s="377" t="n"/>
      <c r="E722" s="377" t="n"/>
      <c r="F722" s="377" t="n"/>
    </row>
    <row r="723" ht="15.75" customHeight="1" s="195">
      <c r="C723" s="377" t="n"/>
      <c r="D723" s="377" t="n"/>
      <c r="E723" s="377" t="n"/>
      <c r="F723" s="377" t="n"/>
    </row>
    <row r="724" ht="15.75" customHeight="1" s="195">
      <c r="C724" s="377" t="n"/>
      <c r="D724" s="377" t="n"/>
      <c r="E724" s="377" t="n"/>
      <c r="F724" s="377" t="n"/>
    </row>
    <row r="725" ht="15.75" customHeight="1" s="195">
      <c r="C725" s="377" t="n"/>
      <c r="D725" s="377" t="n"/>
      <c r="E725" s="377" t="n"/>
      <c r="F725" s="377" t="n"/>
    </row>
    <row r="726" ht="15.75" customHeight="1" s="195">
      <c r="C726" s="377" t="n"/>
      <c r="D726" s="377" t="n"/>
      <c r="E726" s="377" t="n"/>
      <c r="F726" s="377" t="n"/>
    </row>
    <row r="727" ht="15.75" customHeight="1" s="195">
      <c r="C727" s="377" t="n"/>
      <c r="D727" s="377" t="n"/>
      <c r="E727" s="377" t="n"/>
      <c r="F727" s="377" t="n"/>
    </row>
    <row r="728" ht="15.75" customHeight="1" s="195">
      <c r="C728" s="377" t="n"/>
      <c r="D728" s="377" t="n"/>
      <c r="E728" s="377" t="n"/>
      <c r="F728" s="377" t="n"/>
    </row>
    <row r="729" ht="15.75" customHeight="1" s="195">
      <c r="C729" s="377" t="n"/>
      <c r="D729" s="377" t="n"/>
      <c r="E729" s="377" t="n"/>
      <c r="F729" s="377" t="n"/>
    </row>
    <row r="730" ht="15.75" customHeight="1" s="195">
      <c r="C730" s="377" t="n"/>
      <c r="D730" s="377" t="n"/>
      <c r="E730" s="377" t="n"/>
      <c r="F730" s="377" t="n"/>
    </row>
    <row r="731" ht="15.75" customHeight="1" s="195">
      <c r="C731" s="377" t="n"/>
      <c r="D731" s="377" t="n"/>
      <c r="E731" s="377" t="n"/>
      <c r="F731" s="377" t="n"/>
    </row>
    <row r="732" ht="15.75" customHeight="1" s="195">
      <c r="C732" s="377" t="n"/>
      <c r="D732" s="377" t="n"/>
      <c r="E732" s="377" t="n"/>
      <c r="F732" s="377" t="n"/>
    </row>
    <row r="733" ht="15.75" customHeight="1" s="195">
      <c r="C733" s="377" t="n"/>
      <c r="D733" s="377" t="n"/>
      <c r="E733" s="377" t="n"/>
      <c r="F733" s="377" t="n"/>
    </row>
    <row r="734" ht="15.75" customHeight="1" s="195">
      <c r="C734" s="377" t="n"/>
      <c r="D734" s="377" t="n"/>
      <c r="E734" s="377" t="n"/>
      <c r="F734" s="377" t="n"/>
    </row>
    <row r="735" ht="15.75" customHeight="1" s="195">
      <c r="C735" s="377" t="n"/>
      <c r="D735" s="377" t="n"/>
      <c r="E735" s="377" t="n"/>
      <c r="F735" s="377" t="n"/>
    </row>
    <row r="736" ht="15.75" customHeight="1" s="195">
      <c r="C736" s="377" t="n"/>
      <c r="D736" s="377" t="n"/>
      <c r="E736" s="377" t="n"/>
      <c r="F736" s="377" t="n"/>
    </row>
    <row r="737" ht="15.75" customHeight="1" s="195">
      <c r="C737" s="377" t="n"/>
      <c r="D737" s="377" t="n"/>
      <c r="E737" s="377" t="n"/>
      <c r="F737" s="377" t="n"/>
    </row>
    <row r="738" ht="15.75" customHeight="1" s="195">
      <c r="C738" s="377" t="n"/>
      <c r="D738" s="377" t="n"/>
      <c r="E738" s="377" t="n"/>
      <c r="F738" s="377" t="n"/>
    </row>
    <row r="739" ht="15.75" customHeight="1" s="195">
      <c r="C739" s="377" t="n"/>
      <c r="D739" s="377" t="n"/>
      <c r="E739" s="377" t="n"/>
      <c r="F739" s="377" t="n"/>
    </row>
    <row r="740" ht="15.75" customHeight="1" s="195">
      <c r="C740" s="377" t="n"/>
      <c r="D740" s="377" t="n"/>
      <c r="E740" s="377" t="n"/>
      <c r="F740" s="377" t="n"/>
    </row>
    <row r="741" ht="15.75" customHeight="1" s="195">
      <c r="C741" s="377" t="n"/>
      <c r="D741" s="377" t="n"/>
      <c r="E741" s="377" t="n"/>
      <c r="F741" s="377" t="n"/>
    </row>
    <row r="742" ht="15.75" customHeight="1" s="195">
      <c r="C742" s="377" t="n"/>
      <c r="D742" s="377" t="n"/>
      <c r="E742" s="377" t="n"/>
      <c r="F742" s="377" t="n"/>
    </row>
    <row r="743" ht="15.75" customHeight="1" s="195">
      <c r="C743" s="377" t="n"/>
      <c r="D743" s="377" t="n"/>
      <c r="E743" s="377" t="n"/>
      <c r="F743" s="377" t="n"/>
    </row>
    <row r="744" ht="15.75" customHeight="1" s="195">
      <c r="C744" s="377" t="n"/>
      <c r="D744" s="377" t="n"/>
      <c r="E744" s="377" t="n"/>
      <c r="F744" s="377" t="n"/>
    </row>
    <row r="745" ht="15.75" customHeight="1" s="195">
      <c r="C745" s="377" t="n"/>
      <c r="D745" s="377" t="n"/>
      <c r="E745" s="377" t="n"/>
      <c r="F745" s="377" t="n"/>
    </row>
    <row r="746" ht="15.75" customHeight="1" s="195">
      <c r="C746" s="377" t="n"/>
      <c r="D746" s="377" t="n"/>
      <c r="E746" s="377" t="n"/>
      <c r="F746" s="377" t="n"/>
    </row>
    <row r="747" ht="15.75" customHeight="1" s="195">
      <c r="C747" s="377" t="n"/>
      <c r="D747" s="377" t="n"/>
      <c r="E747" s="377" t="n"/>
      <c r="F747" s="377" t="n"/>
    </row>
    <row r="748" ht="15.75" customHeight="1" s="195">
      <c r="C748" s="377" t="n"/>
      <c r="D748" s="377" t="n"/>
      <c r="E748" s="377" t="n"/>
      <c r="F748" s="377" t="n"/>
    </row>
    <row r="749" ht="15.75" customHeight="1" s="195">
      <c r="C749" s="377" t="n"/>
      <c r="D749" s="377" t="n"/>
      <c r="E749" s="377" t="n"/>
      <c r="F749" s="377" t="n"/>
    </row>
    <row r="750" ht="15.75" customHeight="1" s="195">
      <c r="C750" s="377" t="n"/>
      <c r="D750" s="377" t="n"/>
      <c r="E750" s="377" t="n"/>
      <c r="F750" s="377" t="n"/>
    </row>
    <row r="751" ht="15.75" customHeight="1" s="195">
      <c r="C751" s="377" t="n"/>
      <c r="D751" s="377" t="n"/>
      <c r="E751" s="377" t="n"/>
      <c r="F751" s="377" t="n"/>
    </row>
    <row r="752" ht="15.75" customHeight="1" s="195">
      <c r="C752" s="377" t="n"/>
      <c r="D752" s="377" t="n"/>
      <c r="E752" s="377" t="n"/>
      <c r="F752" s="377" t="n"/>
    </row>
    <row r="753" ht="15.75" customHeight="1" s="195">
      <c r="C753" s="377" t="n"/>
      <c r="D753" s="377" t="n"/>
      <c r="E753" s="377" t="n"/>
      <c r="F753" s="377" t="n"/>
    </row>
    <row r="754" ht="15.75" customHeight="1" s="195">
      <c r="C754" s="377" t="n"/>
      <c r="D754" s="377" t="n"/>
      <c r="E754" s="377" t="n"/>
      <c r="F754" s="377" t="n"/>
    </row>
    <row r="755" ht="15.75" customHeight="1" s="195">
      <c r="C755" s="377" t="n"/>
      <c r="D755" s="377" t="n"/>
      <c r="E755" s="377" t="n"/>
      <c r="F755" s="377" t="n"/>
    </row>
    <row r="756" ht="15.75" customHeight="1" s="195">
      <c r="C756" s="377" t="n"/>
      <c r="D756" s="377" t="n"/>
      <c r="E756" s="377" t="n"/>
      <c r="F756" s="377" t="n"/>
    </row>
    <row r="757" ht="15.75" customHeight="1" s="195">
      <c r="C757" s="377" t="n"/>
      <c r="D757" s="377" t="n"/>
      <c r="E757" s="377" t="n"/>
      <c r="F757" s="377" t="n"/>
    </row>
    <row r="758" ht="15.75" customHeight="1" s="195">
      <c r="C758" s="377" t="n"/>
      <c r="D758" s="377" t="n"/>
      <c r="E758" s="377" t="n"/>
      <c r="F758" s="377" t="n"/>
    </row>
    <row r="759" ht="15.75" customHeight="1" s="195">
      <c r="C759" s="377" t="n"/>
      <c r="D759" s="377" t="n"/>
      <c r="E759" s="377" t="n"/>
      <c r="F759" s="377" t="n"/>
    </row>
    <row r="760" ht="15.75" customHeight="1" s="195">
      <c r="C760" s="377" t="n"/>
      <c r="D760" s="377" t="n"/>
      <c r="E760" s="377" t="n"/>
      <c r="F760" s="377" t="n"/>
    </row>
    <row r="761" ht="15.75" customHeight="1" s="195">
      <c r="C761" s="377" t="n"/>
      <c r="D761" s="377" t="n"/>
      <c r="E761" s="377" t="n"/>
      <c r="F761" s="377" t="n"/>
    </row>
    <row r="762" ht="15.75" customHeight="1" s="195">
      <c r="C762" s="377" t="n"/>
      <c r="D762" s="377" t="n"/>
      <c r="E762" s="377" t="n"/>
      <c r="F762" s="377" t="n"/>
    </row>
    <row r="763" ht="15.75" customHeight="1" s="195">
      <c r="C763" s="377" t="n"/>
      <c r="D763" s="377" t="n"/>
      <c r="E763" s="377" t="n"/>
      <c r="F763" s="377" t="n"/>
    </row>
    <row r="764" ht="15.75" customHeight="1" s="195">
      <c r="C764" s="377" t="n"/>
      <c r="D764" s="377" t="n"/>
      <c r="E764" s="377" t="n"/>
      <c r="F764" s="377" t="n"/>
    </row>
    <row r="765" ht="15.75" customHeight="1" s="195">
      <c r="C765" s="377" t="n"/>
      <c r="D765" s="377" t="n"/>
      <c r="E765" s="377" t="n"/>
      <c r="F765" s="377" t="n"/>
    </row>
    <row r="766" ht="15.75" customHeight="1" s="195">
      <c r="C766" s="377" t="n"/>
      <c r="D766" s="377" t="n"/>
      <c r="E766" s="377" t="n"/>
      <c r="F766" s="377" t="n"/>
    </row>
    <row r="767" ht="15.75" customHeight="1" s="195">
      <c r="C767" s="377" t="n"/>
      <c r="D767" s="377" t="n"/>
      <c r="E767" s="377" t="n"/>
      <c r="F767" s="377" t="n"/>
    </row>
    <row r="768" ht="15.75" customHeight="1" s="195">
      <c r="C768" s="377" t="n"/>
      <c r="D768" s="377" t="n"/>
      <c r="E768" s="377" t="n"/>
      <c r="F768" s="377" t="n"/>
    </row>
    <row r="769" ht="15.75" customHeight="1" s="195">
      <c r="C769" s="377" t="n"/>
      <c r="D769" s="377" t="n"/>
      <c r="E769" s="377" t="n"/>
      <c r="F769" s="377" t="n"/>
    </row>
    <row r="770" ht="15.75" customHeight="1" s="195">
      <c r="C770" s="377" t="n"/>
      <c r="D770" s="377" t="n"/>
      <c r="E770" s="377" t="n"/>
      <c r="F770" s="377" t="n"/>
    </row>
    <row r="771" ht="15.75" customHeight="1" s="195">
      <c r="C771" s="377" t="n"/>
      <c r="D771" s="377" t="n"/>
      <c r="E771" s="377" t="n"/>
      <c r="F771" s="377" t="n"/>
    </row>
    <row r="772" ht="15.75" customHeight="1" s="195">
      <c r="C772" s="377" t="n"/>
      <c r="D772" s="377" t="n"/>
      <c r="E772" s="377" t="n"/>
      <c r="F772" s="377" t="n"/>
    </row>
    <row r="773" ht="15.75" customHeight="1" s="195">
      <c r="C773" s="377" t="n"/>
      <c r="D773" s="377" t="n"/>
      <c r="E773" s="377" t="n"/>
      <c r="F773" s="377" t="n"/>
    </row>
    <row r="774" ht="15.75" customHeight="1" s="195">
      <c r="C774" s="377" t="n"/>
      <c r="D774" s="377" t="n"/>
      <c r="E774" s="377" t="n"/>
      <c r="F774" s="377" t="n"/>
    </row>
    <row r="775" ht="15.75" customHeight="1" s="195">
      <c r="C775" s="377" t="n"/>
      <c r="D775" s="377" t="n"/>
      <c r="E775" s="377" t="n"/>
      <c r="F775" s="377" t="n"/>
    </row>
    <row r="776" ht="15.75" customHeight="1" s="195">
      <c r="C776" s="377" t="n"/>
      <c r="D776" s="377" t="n"/>
      <c r="E776" s="377" t="n"/>
      <c r="F776" s="377" t="n"/>
    </row>
    <row r="777" ht="15.75" customHeight="1" s="195">
      <c r="C777" s="377" t="n"/>
      <c r="D777" s="377" t="n"/>
      <c r="E777" s="377" t="n"/>
      <c r="F777" s="377" t="n"/>
    </row>
    <row r="778" ht="15.75" customHeight="1" s="195">
      <c r="C778" s="377" t="n"/>
      <c r="D778" s="377" t="n"/>
      <c r="E778" s="377" t="n"/>
      <c r="F778" s="377" t="n"/>
    </row>
    <row r="779" ht="15.75" customHeight="1" s="195">
      <c r="C779" s="377" t="n"/>
      <c r="D779" s="377" t="n"/>
      <c r="E779" s="377" t="n"/>
      <c r="F779" s="377" t="n"/>
    </row>
    <row r="780" ht="15.75" customHeight="1" s="195">
      <c r="C780" s="377" t="n"/>
      <c r="D780" s="377" t="n"/>
      <c r="E780" s="377" t="n"/>
      <c r="F780" s="377" t="n"/>
    </row>
    <row r="781" ht="15.75" customHeight="1" s="195">
      <c r="C781" s="377" t="n"/>
      <c r="D781" s="377" t="n"/>
      <c r="E781" s="377" t="n"/>
      <c r="F781" s="377" t="n"/>
    </row>
    <row r="782" ht="15.75" customHeight="1" s="195">
      <c r="C782" s="377" t="n"/>
      <c r="D782" s="377" t="n"/>
      <c r="E782" s="377" t="n"/>
      <c r="F782" s="377" t="n"/>
    </row>
    <row r="783" ht="15.75" customHeight="1" s="195">
      <c r="C783" s="377" t="n"/>
      <c r="D783" s="377" t="n"/>
      <c r="E783" s="377" t="n"/>
      <c r="F783" s="377" t="n"/>
    </row>
    <row r="784" ht="15.75" customHeight="1" s="195">
      <c r="C784" s="377" t="n"/>
      <c r="D784" s="377" t="n"/>
      <c r="E784" s="377" t="n"/>
      <c r="F784" s="377" t="n"/>
    </row>
    <row r="785" ht="15.75" customHeight="1" s="195">
      <c r="C785" s="377" t="n"/>
      <c r="D785" s="377" t="n"/>
      <c r="E785" s="377" t="n"/>
      <c r="F785" s="377" t="n"/>
    </row>
    <row r="786" ht="15.75" customHeight="1" s="195">
      <c r="C786" s="377" t="n"/>
      <c r="D786" s="377" t="n"/>
      <c r="E786" s="377" t="n"/>
      <c r="F786" s="377" t="n"/>
    </row>
    <row r="787" ht="15.75" customHeight="1" s="195">
      <c r="C787" s="377" t="n"/>
      <c r="D787" s="377" t="n"/>
      <c r="E787" s="377" t="n"/>
      <c r="F787" s="377" t="n"/>
    </row>
    <row r="788" ht="15.75" customHeight="1" s="195">
      <c r="C788" s="377" t="n"/>
      <c r="D788" s="377" t="n"/>
      <c r="E788" s="377" t="n"/>
      <c r="F788" s="377" t="n"/>
    </row>
    <row r="789" ht="15.75" customHeight="1" s="195">
      <c r="C789" s="377" t="n"/>
      <c r="D789" s="377" t="n"/>
      <c r="E789" s="377" t="n"/>
      <c r="F789" s="377" t="n"/>
    </row>
    <row r="790" ht="15.75" customHeight="1" s="195">
      <c r="C790" s="377" t="n"/>
      <c r="D790" s="377" t="n"/>
      <c r="E790" s="377" t="n"/>
      <c r="F790" s="377" t="n"/>
    </row>
    <row r="791" ht="15.75" customHeight="1" s="195">
      <c r="C791" s="377" t="n"/>
      <c r="D791" s="377" t="n"/>
      <c r="E791" s="377" t="n"/>
      <c r="F791" s="377" t="n"/>
    </row>
    <row r="792" ht="15.75" customHeight="1" s="195">
      <c r="C792" s="377" t="n"/>
      <c r="D792" s="377" t="n"/>
      <c r="E792" s="377" t="n"/>
      <c r="F792" s="377" t="n"/>
    </row>
    <row r="793" ht="15.75" customHeight="1" s="195">
      <c r="C793" s="377" t="n"/>
      <c r="D793" s="377" t="n"/>
      <c r="E793" s="377" t="n"/>
      <c r="F793" s="377" t="n"/>
    </row>
    <row r="794" ht="15.75" customHeight="1" s="195">
      <c r="C794" s="377" t="n"/>
      <c r="D794" s="377" t="n"/>
      <c r="E794" s="377" t="n"/>
      <c r="F794" s="377" t="n"/>
    </row>
    <row r="795" ht="15.75" customHeight="1" s="195">
      <c r="C795" s="377" t="n"/>
      <c r="D795" s="377" t="n"/>
      <c r="E795" s="377" t="n"/>
      <c r="F795" s="377" t="n"/>
    </row>
    <row r="796" ht="15.75" customHeight="1" s="195">
      <c r="C796" s="377" t="n"/>
      <c r="D796" s="377" t="n"/>
      <c r="E796" s="377" t="n"/>
      <c r="F796" s="377" t="n"/>
    </row>
    <row r="797" ht="15.75" customHeight="1" s="195">
      <c r="C797" s="377" t="n"/>
      <c r="D797" s="377" t="n"/>
      <c r="E797" s="377" t="n"/>
      <c r="F797" s="377" t="n"/>
    </row>
    <row r="798" ht="15.75" customHeight="1" s="195">
      <c r="C798" s="377" t="n"/>
      <c r="D798" s="377" t="n"/>
      <c r="E798" s="377" t="n"/>
      <c r="F798" s="377" t="n"/>
    </row>
    <row r="799" ht="15.75" customHeight="1" s="195">
      <c r="C799" s="377" t="n"/>
      <c r="D799" s="377" t="n"/>
      <c r="E799" s="377" t="n"/>
      <c r="F799" s="377" t="n"/>
    </row>
    <row r="800" ht="15.75" customHeight="1" s="195">
      <c r="C800" s="377" t="n"/>
      <c r="D800" s="377" t="n"/>
      <c r="E800" s="377" t="n"/>
      <c r="F800" s="377" t="n"/>
    </row>
    <row r="801" ht="15.75" customHeight="1" s="195">
      <c r="C801" s="377" t="n"/>
      <c r="D801" s="377" t="n"/>
      <c r="E801" s="377" t="n"/>
      <c r="F801" s="377" t="n"/>
    </row>
    <row r="802" ht="15.75" customHeight="1" s="195">
      <c r="C802" s="377" t="n"/>
      <c r="D802" s="377" t="n"/>
      <c r="E802" s="377" t="n"/>
      <c r="F802" s="377" t="n"/>
    </row>
    <row r="803" ht="15.75" customHeight="1" s="195">
      <c r="C803" s="377" t="n"/>
      <c r="D803" s="377" t="n"/>
      <c r="E803" s="377" t="n"/>
      <c r="F803" s="377" t="n"/>
    </row>
    <row r="804" ht="15.75" customHeight="1" s="195">
      <c r="C804" s="377" t="n"/>
      <c r="D804" s="377" t="n"/>
      <c r="E804" s="377" t="n"/>
      <c r="F804" s="377" t="n"/>
    </row>
    <row r="805" ht="15.75" customHeight="1" s="195">
      <c r="C805" s="377" t="n"/>
      <c r="D805" s="377" t="n"/>
      <c r="E805" s="377" t="n"/>
      <c r="F805" s="377" t="n"/>
    </row>
    <row r="806" ht="15.75" customHeight="1" s="195">
      <c r="C806" s="377" t="n"/>
      <c r="D806" s="377" t="n"/>
      <c r="E806" s="377" t="n"/>
      <c r="F806" s="377" t="n"/>
    </row>
    <row r="807" ht="15.75" customHeight="1" s="195">
      <c r="C807" s="377" t="n"/>
      <c r="D807" s="377" t="n"/>
      <c r="E807" s="377" t="n"/>
      <c r="F807" s="377" t="n"/>
    </row>
    <row r="808" ht="15.75" customHeight="1" s="195">
      <c r="C808" s="377" t="n"/>
      <c r="D808" s="377" t="n"/>
      <c r="E808" s="377" t="n"/>
      <c r="F808" s="377" t="n"/>
    </row>
    <row r="809" ht="15.75" customHeight="1" s="195">
      <c r="C809" s="377" t="n"/>
      <c r="D809" s="377" t="n"/>
      <c r="E809" s="377" t="n"/>
      <c r="F809" s="377" t="n"/>
    </row>
    <row r="810" ht="15.75" customHeight="1" s="195">
      <c r="C810" s="377" t="n"/>
      <c r="D810" s="377" t="n"/>
      <c r="E810" s="377" t="n"/>
      <c r="F810" s="377" t="n"/>
    </row>
    <row r="811" ht="15.75" customHeight="1" s="195">
      <c r="C811" s="377" t="n"/>
      <c r="D811" s="377" t="n"/>
      <c r="E811" s="377" t="n"/>
      <c r="F811" s="377" t="n"/>
    </row>
    <row r="812" ht="15.75" customHeight="1" s="195">
      <c r="C812" s="377" t="n"/>
      <c r="D812" s="377" t="n"/>
      <c r="E812" s="377" t="n"/>
      <c r="F812" s="377" t="n"/>
    </row>
    <row r="813" ht="15.75" customHeight="1" s="195">
      <c r="C813" s="377" t="n"/>
      <c r="D813" s="377" t="n"/>
      <c r="E813" s="377" t="n"/>
      <c r="F813" s="377" t="n"/>
    </row>
    <row r="814" ht="15.75" customHeight="1" s="195">
      <c r="C814" s="377" t="n"/>
      <c r="D814" s="377" t="n"/>
      <c r="E814" s="377" t="n"/>
      <c r="F814" s="377" t="n"/>
    </row>
    <row r="815" ht="15.75" customHeight="1" s="195">
      <c r="C815" s="377" t="n"/>
      <c r="D815" s="377" t="n"/>
      <c r="E815" s="377" t="n"/>
      <c r="F815" s="377" t="n"/>
    </row>
    <row r="816" ht="15.75" customHeight="1" s="195">
      <c r="C816" s="377" t="n"/>
      <c r="D816" s="377" t="n"/>
      <c r="E816" s="377" t="n"/>
      <c r="F816" s="377" t="n"/>
    </row>
    <row r="817" ht="15.75" customHeight="1" s="195">
      <c r="C817" s="377" t="n"/>
      <c r="D817" s="377" t="n"/>
      <c r="E817" s="377" t="n"/>
      <c r="F817" s="377" t="n"/>
    </row>
    <row r="818" ht="15.75" customHeight="1" s="195">
      <c r="C818" s="377" t="n"/>
      <c r="D818" s="377" t="n"/>
      <c r="E818" s="377" t="n"/>
      <c r="F818" s="377" t="n"/>
    </row>
    <row r="819" ht="15.75" customHeight="1" s="195">
      <c r="C819" s="377" t="n"/>
      <c r="D819" s="377" t="n"/>
      <c r="E819" s="377" t="n"/>
      <c r="F819" s="377" t="n"/>
    </row>
    <row r="820" ht="15.75" customHeight="1" s="195">
      <c r="C820" s="377" t="n"/>
      <c r="D820" s="377" t="n"/>
      <c r="E820" s="377" t="n"/>
      <c r="F820" s="377" t="n"/>
    </row>
    <row r="821" ht="15.75" customHeight="1" s="195">
      <c r="C821" s="377" t="n"/>
      <c r="D821" s="377" t="n"/>
      <c r="E821" s="377" t="n"/>
      <c r="F821" s="377" t="n"/>
    </row>
    <row r="822" ht="15.75" customHeight="1" s="195">
      <c r="C822" s="377" t="n"/>
      <c r="D822" s="377" t="n"/>
      <c r="E822" s="377" t="n"/>
      <c r="F822" s="377" t="n"/>
    </row>
    <row r="823" ht="15.75" customHeight="1" s="195">
      <c r="C823" s="377" t="n"/>
      <c r="D823" s="377" t="n"/>
      <c r="E823" s="377" t="n"/>
      <c r="F823" s="377" t="n"/>
    </row>
    <row r="824" ht="15.75" customHeight="1" s="195">
      <c r="C824" s="377" t="n"/>
      <c r="D824" s="377" t="n"/>
      <c r="E824" s="377" t="n"/>
      <c r="F824" s="377" t="n"/>
    </row>
    <row r="825" ht="15.75" customHeight="1" s="195">
      <c r="C825" s="377" t="n"/>
      <c r="D825" s="377" t="n"/>
      <c r="E825" s="377" t="n"/>
      <c r="F825" s="377" t="n"/>
    </row>
    <row r="826" ht="15.75" customHeight="1" s="195">
      <c r="C826" s="377" t="n"/>
      <c r="D826" s="377" t="n"/>
      <c r="E826" s="377" t="n"/>
      <c r="F826" s="377" t="n"/>
    </row>
    <row r="827" ht="15.75" customHeight="1" s="195">
      <c r="C827" s="377" t="n"/>
      <c r="D827" s="377" t="n"/>
      <c r="E827" s="377" t="n"/>
      <c r="F827" s="377" t="n"/>
    </row>
    <row r="828" ht="15.75" customHeight="1" s="195">
      <c r="C828" s="377" t="n"/>
      <c r="D828" s="377" t="n"/>
      <c r="E828" s="377" t="n"/>
      <c r="F828" s="377" t="n"/>
    </row>
    <row r="829" ht="15.75" customHeight="1" s="195">
      <c r="C829" s="377" t="n"/>
      <c r="D829" s="377" t="n"/>
      <c r="E829" s="377" t="n"/>
      <c r="F829" s="377" t="n"/>
    </row>
    <row r="830" ht="15.75" customHeight="1" s="195">
      <c r="C830" s="377" t="n"/>
      <c r="D830" s="377" t="n"/>
      <c r="E830" s="377" t="n"/>
      <c r="F830" s="377" t="n"/>
    </row>
    <row r="831" ht="15.75" customHeight="1" s="195">
      <c r="C831" s="377" t="n"/>
      <c r="D831" s="377" t="n"/>
      <c r="E831" s="377" t="n"/>
      <c r="F831" s="377" t="n"/>
    </row>
    <row r="832" ht="15.75" customHeight="1" s="195">
      <c r="C832" s="377" t="n"/>
      <c r="D832" s="377" t="n"/>
      <c r="E832" s="377" t="n"/>
      <c r="F832" s="377" t="n"/>
    </row>
    <row r="833" ht="15.75" customHeight="1" s="195">
      <c r="C833" s="377" t="n"/>
      <c r="D833" s="377" t="n"/>
      <c r="E833" s="377" t="n"/>
      <c r="F833" s="377" t="n"/>
    </row>
    <row r="834" ht="15.75" customHeight="1" s="195">
      <c r="C834" s="377" t="n"/>
      <c r="D834" s="377" t="n"/>
      <c r="E834" s="377" t="n"/>
      <c r="F834" s="377" t="n"/>
    </row>
    <row r="835" ht="15.75" customHeight="1" s="195">
      <c r="C835" s="377" t="n"/>
      <c r="D835" s="377" t="n"/>
      <c r="E835" s="377" t="n"/>
      <c r="F835" s="377" t="n"/>
    </row>
    <row r="836" ht="15.75" customHeight="1" s="195">
      <c r="C836" s="377" t="n"/>
      <c r="D836" s="377" t="n"/>
      <c r="E836" s="377" t="n"/>
      <c r="F836" s="377" t="n"/>
    </row>
    <row r="837" ht="15.75" customHeight="1" s="195">
      <c r="C837" s="377" t="n"/>
      <c r="D837" s="377" t="n"/>
      <c r="E837" s="377" t="n"/>
      <c r="F837" s="377" t="n"/>
    </row>
    <row r="838" ht="15.75" customHeight="1" s="195">
      <c r="C838" s="377" t="n"/>
      <c r="D838" s="377" t="n"/>
      <c r="E838" s="377" t="n"/>
      <c r="F838" s="377" t="n"/>
    </row>
    <row r="839" ht="15.75" customHeight="1" s="195">
      <c r="C839" s="377" t="n"/>
      <c r="D839" s="377" t="n"/>
      <c r="E839" s="377" t="n"/>
      <c r="F839" s="377" t="n"/>
    </row>
    <row r="840" ht="15.75" customHeight="1" s="195">
      <c r="C840" s="377" t="n"/>
      <c r="D840" s="377" t="n"/>
      <c r="E840" s="377" t="n"/>
      <c r="F840" s="377" t="n"/>
    </row>
    <row r="841" ht="15.75" customHeight="1" s="195">
      <c r="C841" s="377" t="n"/>
      <c r="D841" s="377" t="n"/>
      <c r="E841" s="377" t="n"/>
      <c r="F841" s="377" t="n"/>
    </row>
    <row r="842" ht="15.75" customHeight="1" s="195">
      <c r="C842" s="377" t="n"/>
      <c r="D842" s="377" t="n"/>
      <c r="E842" s="377" t="n"/>
      <c r="F842" s="377" t="n"/>
    </row>
    <row r="843" ht="15.75" customHeight="1" s="195">
      <c r="C843" s="377" t="n"/>
      <c r="D843" s="377" t="n"/>
      <c r="E843" s="377" t="n"/>
      <c r="F843" s="377" t="n"/>
    </row>
    <row r="844" ht="15.75" customHeight="1" s="195">
      <c r="C844" s="377" t="n"/>
      <c r="D844" s="377" t="n"/>
      <c r="E844" s="377" t="n"/>
      <c r="F844" s="377" t="n"/>
    </row>
    <row r="845" ht="15.75" customHeight="1" s="195">
      <c r="C845" s="377" t="n"/>
      <c r="D845" s="377" t="n"/>
      <c r="E845" s="377" t="n"/>
      <c r="F845" s="377" t="n"/>
    </row>
    <row r="846" ht="15.75" customHeight="1" s="195">
      <c r="C846" s="377" t="n"/>
      <c r="D846" s="377" t="n"/>
      <c r="E846" s="377" t="n"/>
      <c r="F846" s="377" t="n"/>
    </row>
    <row r="847" ht="15.75" customHeight="1" s="195">
      <c r="C847" s="377" t="n"/>
      <c r="D847" s="377" t="n"/>
      <c r="E847" s="377" t="n"/>
      <c r="F847" s="377" t="n"/>
    </row>
    <row r="848" ht="15.75" customHeight="1" s="195">
      <c r="C848" s="377" t="n"/>
      <c r="D848" s="377" t="n"/>
      <c r="E848" s="377" t="n"/>
      <c r="F848" s="377" t="n"/>
    </row>
    <row r="849" ht="15.75" customHeight="1" s="195">
      <c r="C849" s="377" t="n"/>
      <c r="D849" s="377" t="n"/>
      <c r="E849" s="377" t="n"/>
      <c r="F849" s="377" t="n"/>
    </row>
    <row r="850" ht="15.75" customHeight="1" s="195">
      <c r="C850" s="377" t="n"/>
      <c r="D850" s="377" t="n"/>
      <c r="E850" s="377" t="n"/>
      <c r="F850" s="377" t="n"/>
    </row>
    <row r="851" ht="15.75" customHeight="1" s="195">
      <c r="C851" s="377" t="n"/>
      <c r="D851" s="377" t="n"/>
      <c r="E851" s="377" t="n"/>
      <c r="F851" s="377" t="n"/>
    </row>
    <row r="852" ht="15.75" customHeight="1" s="195">
      <c r="C852" s="377" t="n"/>
      <c r="D852" s="377" t="n"/>
      <c r="E852" s="377" t="n"/>
      <c r="F852" s="377" t="n"/>
    </row>
    <row r="853" ht="15.75" customHeight="1" s="195">
      <c r="C853" s="377" t="n"/>
      <c r="D853" s="377" t="n"/>
      <c r="E853" s="377" t="n"/>
      <c r="F853" s="377" t="n"/>
    </row>
    <row r="854" ht="15.75" customHeight="1" s="195">
      <c r="C854" s="377" t="n"/>
      <c r="D854" s="377" t="n"/>
      <c r="E854" s="377" t="n"/>
      <c r="F854" s="377" t="n"/>
    </row>
    <row r="855" ht="15.75" customHeight="1" s="195">
      <c r="C855" s="377" t="n"/>
      <c r="D855" s="377" t="n"/>
      <c r="E855" s="377" t="n"/>
      <c r="F855" s="377" t="n"/>
    </row>
    <row r="856" ht="15.75" customHeight="1" s="195">
      <c r="C856" s="377" t="n"/>
      <c r="D856" s="377" t="n"/>
      <c r="E856" s="377" t="n"/>
      <c r="F856" s="377" t="n"/>
    </row>
    <row r="857" ht="15.75" customHeight="1" s="195">
      <c r="C857" s="377" t="n"/>
      <c r="D857" s="377" t="n"/>
      <c r="E857" s="377" t="n"/>
      <c r="F857" s="377" t="n"/>
    </row>
    <row r="858" ht="15.75" customHeight="1" s="195">
      <c r="C858" s="377" t="n"/>
      <c r="D858" s="377" t="n"/>
      <c r="E858" s="377" t="n"/>
      <c r="F858" s="377" t="n"/>
    </row>
    <row r="859" ht="15.75" customHeight="1" s="195">
      <c r="C859" s="377" t="n"/>
      <c r="D859" s="377" t="n"/>
      <c r="E859" s="377" t="n"/>
      <c r="F859" s="377" t="n"/>
    </row>
    <row r="860" ht="15.75" customHeight="1" s="195">
      <c r="C860" s="377" t="n"/>
      <c r="D860" s="377" t="n"/>
      <c r="E860" s="377" t="n"/>
      <c r="F860" s="377" t="n"/>
    </row>
    <row r="861" ht="15.75" customHeight="1" s="195">
      <c r="C861" s="377" t="n"/>
      <c r="D861" s="377" t="n"/>
      <c r="E861" s="377" t="n"/>
      <c r="F861" s="377" t="n"/>
    </row>
    <row r="862" ht="15.75" customHeight="1" s="195">
      <c r="C862" s="377" t="n"/>
      <c r="D862" s="377" t="n"/>
      <c r="E862" s="377" t="n"/>
      <c r="F862" s="377" t="n"/>
    </row>
    <row r="863" ht="15.75" customHeight="1" s="195">
      <c r="C863" s="377" t="n"/>
      <c r="D863" s="377" t="n"/>
      <c r="E863" s="377" t="n"/>
      <c r="F863" s="377" t="n"/>
    </row>
    <row r="864" ht="15.75" customHeight="1" s="195">
      <c r="C864" s="377" t="n"/>
      <c r="D864" s="377" t="n"/>
      <c r="E864" s="377" t="n"/>
      <c r="F864" s="377" t="n"/>
    </row>
    <row r="865" ht="15.75" customHeight="1" s="195">
      <c r="C865" s="377" t="n"/>
      <c r="D865" s="377" t="n"/>
      <c r="E865" s="377" t="n"/>
      <c r="F865" s="377" t="n"/>
    </row>
    <row r="866" ht="15.75" customHeight="1" s="195">
      <c r="C866" s="377" t="n"/>
      <c r="D866" s="377" t="n"/>
      <c r="E866" s="377" t="n"/>
      <c r="F866" s="377" t="n"/>
    </row>
    <row r="867" ht="15.75" customHeight="1" s="195">
      <c r="C867" s="377" t="n"/>
      <c r="D867" s="377" t="n"/>
      <c r="E867" s="377" t="n"/>
      <c r="F867" s="377" t="n"/>
    </row>
    <row r="868" ht="15.75" customHeight="1" s="195">
      <c r="C868" s="377" t="n"/>
      <c r="D868" s="377" t="n"/>
      <c r="E868" s="377" t="n"/>
      <c r="F868" s="377" t="n"/>
    </row>
    <row r="869" ht="15.75" customHeight="1" s="195">
      <c r="C869" s="377" t="n"/>
      <c r="D869" s="377" t="n"/>
      <c r="E869" s="377" t="n"/>
      <c r="F869" s="377" t="n"/>
    </row>
    <row r="870" ht="15.75" customHeight="1" s="195">
      <c r="C870" s="377" t="n"/>
      <c r="D870" s="377" t="n"/>
      <c r="E870" s="377" t="n"/>
      <c r="F870" s="377" t="n"/>
    </row>
    <row r="871" ht="15.75" customHeight="1" s="195">
      <c r="C871" s="377" t="n"/>
      <c r="D871" s="377" t="n"/>
      <c r="E871" s="377" t="n"/>
      <c r="F871" s="377" t="n"/>
    </row>
    <row r="872" ht="15.75" customHeight="1" s="195">
      <c r="C872" s="377" t="n"/>
      <c r="D872" s="377" t="n"/>
      <c r="E872" s="377" t="n"/>
      <c r="F872" s="377" t="n"/>
    </row>
    <row r="873" ht="15.75" customHeight="1" s="195">
      <c r="C873" s="377" t="n"/>
      <c r="D873" s="377" t="n"/>
      <c r="E873" s="377" t="n"/>
      <c r="F873" s="377" t="n"/>
    </row>
    <row r="874" ht="15.75" customHeight="1" s="195">
      <c r="C874" s="377" t="n"/>
      <c r="D874" s="377" t="n"/>
      <c r="E874" s="377" t="n"/>
      <c r="F874" s="377" t="n"/>
    </row>
    <row r="875" ht="15.75" customHeight="1" s="195">
      <c r="C875" s="377" t="n"/>
      <c r="D875" s="377" t="n"/>
      <c r="E875" s="377" t="n"/>
      <c r="F875" s="377" t="n"/>
    </row>
    <row r="876" ht="15.75" customHeight="1" s="195">
      <c r="C876" s="377" t="n"/>
      <c r="D876" s="377" t="n"/>
      <c r="E876" s="377" t="n"/>
      <c r="F876" s="377" t="n"/>
    </row>
    <row r="877" ht="15.75" customHeight="1" s="195">
      <c r="C877" s="377" t="n"/>
      <c r="D877" s="377" t="n"/>
      <c r="E877" s="377" t="n"/>
      <c r="F877" s="377" t="n"/>
    </row>
    <row r="878" ht="15.75" customHeight="1" s="195">
      <c r="C878" s="377" t="n"/>
      <c r="D878" s="377" t="n"/>
      <c r="E878" s="377" t="n"/>
      <c r="F878" s="377" t="n"/>
    </row>
    <row r="879" ht="15.75" customHeight="1" s="195">
      <c r="C879" s="377" t="n"/>
      <c r="D879" s="377" t="n"/>
      <c r="E879" s="377" t="n"/>
      <c r="F879" s="377" t="n"/>
    </row>
    <row r="880" ht="15.75" customHeight="1" s="195">
      <c r="C880" s="377" t="n"/>
      <c r="D880" s="377" t="n"/>
      <c r="E880" s="377" t="n"/>
      <c r="F880" s="377" t="n"/>
    </row>
    <row r="881" ht="15.75" customHeight="1" s="195">
      <c r="C881" s="377" t="n"/>
      <c r="D881" s="377" t="n"/>
      <c r="E881" s="377" t="n"/>
      <c r="F881" s="377" t="n"/>
    </row>
    <row r="882" ht="15.75" customHeight="1" s="195">
      <c r="C882" s="377" t="n"/>
      <c r="D882" s="377" t="n"/>
      <c r="E882" s="377" t="n"/>
      <c r="F882" s="377" t="n"/>
    </row>
    <row r="883" ht="15.75" customHeight="1" s="195">
      <c r="C883" s="377" t="n"/>
      <c r="D883" s="377" t="n"/>
      <c r="E883" s="377" t="n"/>
      <c r="F883" s="377" t="n"/>
    </row>
    <row r="884" ht="15.75" customHeight="1" s="195">
      <c r="C884" s="377" t="n"/>
      <c r="D884" s="377" t="n"/>
      <c r="E884" s="377" t="n"/>
      <c r="F884" s="377" t="n"/>
    </row>
    <row r="885" ht="15.75" customHeight="1" s="195">
      <c r="C885" s="377" t="n"/>
      <c r="D885" s="377" t="n"/>
      <c r="E885" s="377" t="n"/>
      <c r="F885" s="377" t="n"/>
    </row>
    <row r="886" ht="15.75" customHeight="1" s="195">
      <c r="C886" s="377" t="n"/>
      <c r="D886" s="377" t="n"/>
      <c r="E886" s="377" t="n"/>
      <c r="F886" s="377" t="n"/>
    </row>
    <row r="887" ht="15.75" customHeight="1" s="195">
      <c r="C887" s="377" t="n"/>
      <c r="D887" s="377" t="n"/>
      <c r="E887" s="377" t="n"/>
      <c r="F887" s="377" t="n"/>
    </row>
    <row r="888" ht="15.75" customHeight="1" s="195">
      <c r="C888" s="377" t="n"/>
      <c r="D888" s="377" t="n"/>
      <c r="E888" s="377" t="n"/>
      <c r="F888" s="377" t="n"/>
    </row>
    <row r="889" ht="15.75" customHeight="1" s="195">
      <c r="C889" s="377" t="n"/>
      <c r="D889" s="377" t="n"/>
      <c r="E889" s="377" t="n"/>
      <c r="F889" s="377" t="n"/>
    </row>
    <row r="890" ht="15.75" customHeight="1" s="195">
      <c r="C890" s="377" t="n"/>
      <c r="D890" s="377" t="n"/>
      <c r="E890" s="377" t="n"/>
      <c r="F890" s="377" t="n"/>
    </row>
    <row r="891" ht="15.75" customHeight="1" s="195">
      <c r="C891" s="377" t="n"/>
      <c r="D891" s="377" t="n"/>
      <c r="E891" s="377" t="n"/>
      <c r="F891" s="377" t="n"/>
    </row>
    <row r="892" ht="15.75" customHeight="1" s="195">
      <c r="C892" s="377" t="n"/>
      <c r="D892" s="377" t="n"/>
      <c r="E892" s="377" t="n"/>
      <c r="F892" s="377" t="n"/>
    </row>
    <row r="893" ht="15.75" customHeight="1" s="195">
      <c r="C893" s="377" t="n"/>
      <c r="D893" s="377" t="n"/>
      <c r="E893" s="377" t="n"/>
      <c r="F893" s="377" t="n"/>
    </row>
    <row r="894" ht="15.75" customHeight="1" s="195">
      <c r="C894" s="377" t="n"/>
      <c r="D894" s="377" t="n"/>
      <c r="E894" s="377" t="n"/>
      <c r="F894" s="377" t="n"/>
    </row>
    <row r="895" ht="15.75" customHeight="1" s="195">
      <c r="C895" s="377" t="n"/>
      <c r="D895" s="377" t="n"/>
      <c r="E895" s="377" t="n"/>
      <c r="F895" s="377" t="n"/>
    </row>
    <row r="896" ht="15.75" customHeight="1" s="195">
      <c r="C896" s="377" t="n"/>
      <c r="D896" s="377" t="n"/>
      <c r="E896" s="377" t="n"/>
      <c r="F896" s="377" t="n"/>
    </row>
    <row r="897" ht="15.75" customHeight="1" s="195">
      <c r="C897" s="377" t="n"/>
      <c r="D897" s="377" t="n"/>
      <c r="E897" s="377" t="n"/>
      <c r="F897" s="377" t="n"/>
    </row>
    <row r="898" ht="15.75" customHeight="1" s="195">
      <c r="C898" s="377" t="n"/>
      <c r="D898" s="377" t="n"/>
      <c r="E898" s="377" t="n"/>
      <c r="F898" s="377" t="n"/>
    </row>
    <row r="899" ht="15.75" customHeight="1" s="195">
      <c r="C899" s="377" t="n"/>
      <c r="D899" s="377" t="n"/>
      <c r="E899" s="377" t="n"/>
      <c r="F899" s="377" t="n"/>
    </row>
    <row r="900" ht="15.75" customHeight="1" s="195">
      <c r="C900" s="377" t="n"/>
      <c r="D900" s="377" t="n"/>
      <c r="E900" s="377" t="n"/>
      <c r="F900" s="377" t="n"/>
    </row>
    <row r="901" ht="15.75" customHeight="1" s="195">
      <c r="C901" s="377" t="n"/>
      <c r="D901" s="377" t="n"/>
      <c r="E901" s="377" t="n"/>
      <c r="F901" s="377" t="n"/>
    </row>
    <row r="902" ht="15.75" customHeight="1" s="195">
      <c r="C902" s="377" t="n"/>
      <c r="D902" s="377" t="n"/>
      <c r="E902" s="377" t="n"/>
      <c r="F902" s="377" t="n"/>
    </row>
    <row r="903" ht="15.75" customHeight="1" s="195">
      <c r="C903" s="377" t="n"/>
      <c r="D903" s="377" t="n"/>
      <c r="E903" s="377" t="n"/>
      <c r="F903" s="377" t="n"/>
    </row>
    <row r="904" ht="15.75" customHeight="1" s="195">
      <c r="C904" s="377" t="n"/>
      <c r="D904" s="377" t="n"/>
      <c r="E904" s="377" t="n"/>
      <c r="F904" s="377" t="n"/>
    </row>
    <row r="905" ht="15.75" customHeight="1" s="195">
      <c r="C905" s="377" t="n"/>
      <c r="D905" s="377" t="n"/>
      <c r="E905" s="377" t="n"/>
      <c r="F905" s="377" t="n"/>
    </row>
    <row r="906" ht="15.75" customHeight="1" s="195">
      <c r="C906" s="377" t="n"/>
      <c r="D906" s="377" t="n"/>
      <c r="E906" s="377" t="n"/>
      <c r="F906" s="377" t="n"/>
    </row>
    <row r="907" ht="15.75" customHeight="1" s="195">
      <c r="C907" s="377" t="n"/>
      <c r="D907" s="377" t="n"/>
      <c r="E907" s="377" t="n"/>
      <c r="F907" s="377" t="n"/>
    </row>
    <row r="908" ht="15.75" customHeight="1" s="195">
      <c r="C908" s="377" t="n"/>
      <c r="D908" s="377" t="n"/>
      <c r="E908" s="377" t="n"/>
      <c r="F908" s="377" t="n"/>
    </row>
    <row r="909" ht="15.75" customHeight="1" s="195">
      <c r="C909" s="377" t="n"/>
      <c r="D909" s="377" t="n"/>
      <c r="E909" s="377" t="n"/>
      <c r="F909" s="377" t="n"/>
    </row>
    <row r="910" ht="15.75" customHeight="1" s="195">
      <c r="C910" s="377" t="n"/>
      <c r="D910" s="377" t="n"/>
      <c r="E910" s="377" t="n"/>
      <c r="F910" s="377" t="n"/>
    </row>
    <row r="911" ht="15.75" customHeight="1" s="195">
      <c r="C911" s="377" t="n"/>
      <c r="D911" s="377" t="n"/>
      <c r="E911" s="377" t="n"/>
      <c r="F911" s="377" t="n"/>
    </row>
    <row r="912" ht="15.75" customHeight="1" s="195">
      <c r="C912" s="377" t="n"/>
      <c r="D912" s="377" t="n"/>
      <c r="E912" s="377" t="n"/>
      <c r="F912" s="377" t="n"/>
    </row>
    <row r="913" ht="15.75" customHeight="1" s="195">
      <c r="C913" s="377" t="n"/>
      <c r="D913" s="377" t="n"/>
      <c r="E913" s="377" t="n"/>
      <c r="F913" s="377" t="n"/>
    </row>
    <row r="914" ht="15.75" customHeight="1" s="195">
      <c r="C914" s="377" t="n"/>
      <c r="D914" s="377" t="n"/>
      <c r="E914" s="377" t="n"/>
      <c r="F914" s="377" t="n"/>
    </row>
    <row r="915" ht="15.75" customHeight="1" s="195">
      <c r="C915" s="377" t="n"/>
      <c r="D915" s="377" t="n"/>
      <c r="E915" s="377" t="n"/>
      <c r="F915" s="377" t="n"/>
    </row>
    <row r="916" ht="15.75" customHeight="1" s="195">
      <c r="C916" s="377" t="n"/>
      <c r="D916" s="377" t="n"/>
      <c r="E916" s="377" t="n"/>
      <c r="F916" s="377" t="n"/>
    </row>
    <row r="917" ht="15.75" customHeight="1" s="195">
      <c r="C917" s="377" t="n"/>
      <c r="D917" s="377" t="n"/>
      <c r="E917" s="377" t="n"/>
      <c r="F917" s="377" t="n"/>
    </row>
    <row r="918" ht="15.75" customHeight="1" s="195">
      <c r="C918" s="377" t="n"/>
      <c r="D918" s="377" t="n"/>
      <c r="E918" s="377" t="n"/>
      <c r="F918" s="377" t="n"/>
    </row>
    <row r="919" ht="15.75" customHeight="1" s="195">
      <c r="C919" s="377" t="n"/>
      <c r="D919" s="377" t="n"/>
      <c r="E919" s="377" t="n"/>
      <c r="F919" s="377" t="n"/>
    </row>
    <row r="920" ht="15.75" customHeight="1" s="195">
      <c r="C920" s="377" t="n"/>
      <c r="D920" s="377" t="n"/>
      <c r="E920" s="377" t="n"/>
      <c r="F920" s="377" t="n"/>
    </row>
    <row r="921" ht="15.75" customHeight="1" s="195">
      <c r="C921" s="377" t="n"/>
      <c r="D921" s="377" t="n"/>
      <c r="E921" s="377" t="n"/>
      <c r="F921" s="377" t="n"/>
    </row>
    <row r="922" ht="15.75" customHeight="1" s="195">
      <c r="C922" s="377" t="n"/>
      <c r="D922" s="377" t="n"/>
      <c r="E922" s="377" t="n"/>
      <c r="F922" s="377" t="n"/>
    </row>
    <row r="923" ht="15.75" customHeight="1" s="195">
      <c r="C923" s="377" t="n"/>
      <c r="D923" s="377" t="n"/>
      <c r="E923" s="377" t="n"/>
      <c r="F923" s="377" t="n"/>
    </row>
    <row r="924" ht="15.75" customHeight="1" s="195">
      <c r="C924" s="377" t="n"/>
      <c r="D924" s="377" t="n"/>
      <c r="E924" s="377" t="n"/>
      <c r="F924" s="377" t="n"/>
    </row>
    <row r="925" ht="15.75" customHeight="1" s="195">
      <c r="C925" s="377" t="n"/>
      <c r="D925" s="377" t="n"/>
      <c r="E925" s="377" t="n"/>
      <c r="F925" s="377" t="n"/>
    </row>
    <row r="926" ht="15.75" customHeight="1" s="195">
      <c r="C926" s="377" t="n"/>
      <c r="D926" s="377" t="n"/>
      <c r="E926" s="377" t="n"/>
      <c r="F926" s="377" t="n"/>
    </row>
    <row r="927" ht="15.75" customHeight="1" s="195">
      <c r="C927" s="377" t="n"/>
      <c r="D927" s="377" t="n"/>
      <c r="E927" s="377" t="n"/>
      <c r="F927" s="377" t="n"/>
    </row>
    <row r="928" ht="15.75" customHeight="1" s="195">
      <c r="C928" s="377" t="n"/>
      <c r="D928" s="377" t="n"/>
      <c r="E928" s="377" t="n"/>
      <c r="F928" s="377" t="n"/>
    </row>
    <row r="929" ht="15.75" customHeight="1" s="195">
      <c r="C929" s="377" t="n"/>
      <c r="D929" s="377" t="n"/>
      <c r="E929" s="377" t="n"/>
      <c r="F929" s="377" t="n"/>
    </row>
    <row r="930" ht="15.75" customHeight="1" s="195">
      <c r="C930" s="377" t="n"/>
      <c r="D930" s="377" t="n"/>
      <c r="E930" s="377" t="n"/>
      <c r="F930" s="377" t="n"/>
    </row>
    <row r="931" ht="15.75" customHeight="1" s="195">
      <c r="C931" s="377" t="n"/>
      <c r="D931" s="377" t="n"/>
      <c r="E931" s="377" t="n"/>
      <c r="F931" s="377" t="n"/>
    </row>
    <row r="932" ht="15.75" customHeight="1" s="195">
      <c r="C932" s="377" t="n"/>
      <c r="D932" s="377" t="n"/>
      <c r="E932" s="377" t="n"/>
      <c r="F932" s="377" t="n"/>
    </row>
    <row r="933" ht="15.75" customHeight="1" s="195">
      <c r="C933" s="377" t="n"/>
      <c r="D933" s="377" t="n"/>
      <c r="E933" s="377" t="n"/>
      <c r="F933" s="377" t="n"/>
    </row>
    <row r="934" ht="15.75" customHeight="1" s="195">
      <c r="C934" s="377" t="n"/>
      <c r="D934" s="377" t="n"/>
      <c r="E934" s="377" t="n"/>
      <c r="F934" s="377" t="n"/>
    </row>
    <row r="935" ht="15.75" customHeight="1" s="195">
      <c r="C935" s="377" t="n"/>
      <c r="D935" s="377" t="n"/>
      <c r="E935" s="377" t="n"/>
      <c r="F935" s="377" t="n"/>
    </row>
    <row r="936" ht="15.75" customHeight="1" s="195">
      <c r="C936" s="377" t="n"/>
      <c r="D936" s="377" t="n"/>
      <c r="E936" s="377" t="n"/>
      <c r="F936" s="377" t="n"/>
    </row>
    <row r="937" ht="15.75" customHeight="1" s="195">
      <c r="C937" s="377" t="n"/>
      <c r="D937" s="377" t="n"/>
      <c r="E937" s="377" t="n"/>
      <c r="F937" s="377" t="n"/>
    </row>
    <row r="938" ht="15.75" customHeight="1" s="195">
      <c r="C938" s="377" t="n"/>
      <c r="D938" s="377" t="n"/>
      <c r="E938" s="377" t="n"/>
      <c r="F938" s="377" t="n"/>
    </row>
    <row r="939" ht="15.75" customHeight="1" s="195">
      <c r="C939" s="377" t="n"/>
      <c r="D939" s="377" t="n"/>
      <c r="E939" s="377" t="n"/>
      <c r="F939" s="377" t="n"/>
    </row>
    <row r="940" ht="15.75" customHeight="1" s="195">
      <c r="C940" s="377" t="n"/>
      <c r="D940" s="377" t="n"/>
      <c r="E940" s="377" t="n"/>
      <c r="F940" s="377" t="n"/>
    </row>
    <row r="941" ht="15.75" customHeight="1" s="195">
      <c r="C941" s="377" t="n"/>
      <c r="D941" s="377" t="n"/>
      <c r="E941" s="377" t="n"/>
      <c r="F941" s="377" t="n"/>
    </row>
    <row r="942" ht="15.75" customHeight="1" s="195">
      <c r="C942" s="377" t="n"/>
      <c r="D942" s="377" t="n"/>
      <c r="E942" s="377" t="n"/>
      <c r="F942" s="377" t="n"/>
    </row>
    <row r="943" ht="15.75" customHeight="1" s="195">
      <c r="C943" s="377" t="n"/>
      <c r="D943" s="377" t="n"/>
      <c r="E943" s="377" t="n"/>
      <c r="F943" s="377" t="n"/>
    </row>
    <row r="944" ht="15.75" customHeight="1" s="195">
      <c r="C944" s="377" t="n"/>
      <c r="D944" s="377" t="n"/>
      <c r="E944" s="377" t="n"/>
      <c r="F944" s="377" t="n"/>
    </row>
    <row r="945" ht="15.75" customHeight="1" s="195">
      <c r="C945" s="377" t="n"/>
      <c r="D945" s="377" t="n"/>
      <c r="E945" s="377" t="n"/>
      <c r="F945" s="377" t="n"/>
    </row>
    <row r="946" ht="15.75" customHeight="1" s="195">
      <c r="C946" s="377" t="n"/>
      <c r="D946" s="377" t="n"/>
      <c r="E946" s="377" t="n"/>
      <c r="F946" s="377" t="n"/>
    </row>
    <row r="947" ht="15.75" customHeight="1" s="195">
      <c r="C947" s="377" t="n"/>
      <c r="D947" s="377" t="n"/>
      <c r="E947" s="377" t="n"/>
      <c r="F947" s="377" t="n"/>
    </row>
    <row r="948" ht="15.75" customHeight="1" s="195">
      <c r="C948" s="377" t="n"/>
      <c r="D948" s="377" t="n"/>
      <c r="E948" s="377" t="n"/>
      <c r="F948" s="377" t="n"/>
    </row>
    <row r="949" ht="15.75" customHeight="1" s="195">
      <c r="C949" s="377" t="n"/>
      <c r="D949" s="377" t="n"/>
      <c r="E949" s="377" t="n"/>
      <c r="F949" s="377" t="n"/>
    </row>
    <row r="950" ht="15.75" customHeight="1" s="195">
      <c r="C950" s="377" t="n"/>
      <c r="D950" s="377" t="n"/>
      <c r="E950" s="377" t="n"/>
      <c r="F950" s="377" t="n"/>
    </row>
    <row r="951" ht="15.75" customHeight="1" s="195">
      <c r="C951" s="377" t="n"/>
      <c r="D951" s="377" t="n"/>
      <c r="E951" s="377" t="n"/>
      <c r="F951" s="377" t="n"/>
    </row>
    <row r="952" ht="15.75" customHeight="1" s="195">
      <c r="C952" s="377" t="n"/>
      <c r="D952" s="377" t="n"/>
      <c r="E952" s="377" t="n"/>
      <c r="F952" s="377" t="n"/>
    </row>
    <row r="953" ht="15.75" customHeight="1" s="195">
      <c r="C953" s="377" t="n"/>
      <c r="D953" s="377" t="n"/>
      <c r="E953" s="377" t="n"/>
      <c r="F953" s="377" t="n"/>
    </row>
    <row r="954" ht="15.75" customHeight="1" s="195">
      <c r="C954" s="377" t="n"/>
      <c r="D954" s="377" t="n"/>
      <c r="E954" s="377" t="n"/>
      <c r="F954" s="377" t="n"/>
    </row>
    <row r="955" ht="15.75" customHeight="1" s="195">
      <c r="C955" s="377" t="n"/>
      <c r="D955" s="377" t="n"/>
      <c r="E955" s="377" t="n"/>
      <c r="F955" s="377" t="n"/>
    </row>
    <row r="956" ht="15.75" customHeight="1" s="195">
      <c r="C956" s="377" t="n"/>
      <c r="D956" s="377" t="n"/>
      <c r="E956" s="377" t="n"/>
      <c r="F956" s="377" t="n"/>
    </row>
    <row r="957" ht="15.75" customHeight="1" s="195">
      <c r="C957" s="377" t="n"/>
      <c r="D957" s="377" t="n"/>
      <c r="E957" s="377" t="n"/>
      <c r="F957" s="377" t="n"/>
    </row>
    <row r="958" ht="15.75" customHeight="1" s="195">
      <c r="C958" s="377" t="n"/>
      <c r="D958" s="377" t="n"/>
      <c r="E958" s="377" t="n"/>
      <c r="F958" s="377" t="n"/>
    </row>
    <row r="959" ht="15.75" customHeight="1" s="195">
      <c r="C959" s="377" t="n"/>
      <c r="D959" s="377" t="n"/>
      <c r="E959" s="377" t="n"/>
      <c r="F959" s="377" t="n"/>
    </row>
    <row r="960" ht="15.75" customHeight="1" s="195">
      <c r="C960" s="377" t="n"/>
      <c r="D960" s="377" t="n"/>
      <c r="E960" s="377" t="n"/>
      <c r="F960" s="377" t="n"/>
    </row>
    <row r="961" ht="15.75" customHeight="1" s="195">
      <c r="C961" s="377" t="n"/>
      <c r="D961" s="377" t="n"/>
      <c r="E961" s="377" t="n"/>
      <c r="F961" s="377" t="n"/>
    </row>
    <row r="962" ht="15.75" customHeight="1" s="195">
      <c r="C962" s="377" t="n"/>
      <c r="D962" s="377" t="n"/>
      <c r="E962" s="377" t="n"/>
      <c r="F962" s="377" t="n"/>
    </row>
    <row r="963" ht="15.75" customHeight="1" s="195">
      <c r="C963" s="377" t="n"/>
      <c r="D963" s="377" t="n"/>
      <c r="E963" s="377" t="n"/>
      <c r="F963" s="377" t="n"/>
    </row>
    <row r="964" ht="15.75" customHeight="1" s="195">
      <c r="C964" s="377" t="n"/>
      <c r="D964" s="377" t="n"/>
      <c r="E964" s="377" t="n"/>
      <c r="F964" s="377" t="n"/>
    </row>
    <row r="965" ht="15.75" customHeight="1" s="195">
      <c r="C965" s="377" t="n"/>
      <c r="D965" s="377" t="n"/>
      <c r="E965" s="377" t="n"/>
      <c r="F965" s="377" t="n"/>
    </row>
    <row r="966" ht="15.75" customHeight="1" s="195">
      <c r="C966" s="377" t="n"/>
      <c r="D966" s="377" t="n"/>
      <c r="E966" s="377" t="n"/>
      <c r="F966" s="377" t="n"/>
    </row>
    <row r="967" ht="15.75" customHeight="1" s="195">
      <c r="C967" s="377" t="n"/>
      <c r="D967" s="377" t="n"/>
      <c r="E967" s="377" t="n"/>
      <c r="F967" s="377" t="n"/>
    </row>
    <row r="968" ht="15.75" customHeight="1" s="195">
      <c r="C968" s="377" t="n"/>
      <c r="D968" s="377" t="n"/>
      <c r="E968" s="377" t="n"/>
      <c r="F968" s="377" t="n"/>
    </row>
    <row r="969" ht="15.75" customHeight="1" s="195">
      <c r="C969" s="377" t="n"/>
      <c r="D969" s="377" t="n"/>
      <c r="E969" s="377" t="n"/>
      <c r="F969" s="377" t="n"/>
    </row>
    <row r="970" ht="15.75" customHeight="1" s="195">
      <c r="C970" s="377" t="n"/>
      <c r="D970" s="377" t="n"/>
      <c r="E970" s="377" t="n"/>
      <c r="F970" s="377" t="n"/>
    </row>
    <row r="971" ht="15.75" customHeight="1" s="195">
      <c r="C971" s="377" t="n"/>
      <c r="D971" s="377" t="n"/>
      <c r="E971" s="377" t="n"/>
      <c r="F971" s="377" t="n"/>
    </row>
    <row r="972" ht="15.75" customHeight="1" s="195">
      <c r="C972" s="377" t="n"/>
      <c r="D972" s="377" t="n"/>
      <c r="E972" s="377" t="n"/>
      <c r="F972" s="377" t="n"/>
    </row>
    <row r="973" ht="15.75" customHeight="1" s="195">
      <c r="C973" s="377" t="n"/>
      <c r="D973" s="377" t="n"/>
      <c r="E973" s="377" t="n"/>
      <c r="F973" s="377" t="n"/>
    </row>
    <row r="974" ht="15.75" customHeight="1" s="195">
      <c r="C974" s="377" t="n"/>
      <c r="D974" s="377" t="n"/>
      <c r="E974" s="377" t="n"/>
      <c r="F974" s="377" t="n"/>
    </row>
    <row r="975" ht="15.75" customHeight="1" s="195">
      <c r="C975" s="377" t="n"/>
      <c r="D975" s="377" t="n"/>
      <c r="E975" s="377" t="n"/>
      <c r="F975" s="377" t="n"/>
    </row>
    <row r="976" ht="15.75" customHeight="1" s="195">
      <c r="C976" s="377" t="n"/>
      <c r="D976" s="377" t="n"/>
      <c r="E976" s="377" t="n"/>
      <c r="F976" s="377" t="n"/>
    </row>
    <row r="977" ht="15.75" customHeight="1" s="195">
      <c r="C977" s="377" t="n"/>
      <c r="D977" s="377" t="n"/>
      <c r="E977" s="377" t="n"/>
      <c r="F977" s="377" t="n"/>
    </row>
    <row r="978" ht="15.75" customHeight="1" s="195">
      <c r="C978" s="377" t="n"/>
      <c r="D978" s="377" t="n"/>
      <c r="E978" s="377" t="n"/>
      <c r="F978" s="377" t="n"/>
    </row>
    <row r="979" ht="15.75" customHeight="1" s="195">
      <c r="C979" s="377" t="n"/>
      <c r="D979" s="377" t="n"/>
      <c r="E979" s="377" t="n"/>
      <c r="F979" s="377" t="n"/>
    </row>
    <row r="980" ht="15.75" customHeight="1" s="195">
      <c r="C980" s="377" t="n"/>
      <c r="D980" s="377" t="n"/>
      <c r="E980" s="377" t="n"/>
      <c r="F980" s="377" t="n"/>
    </row>
    <row r="981" ht="15.75" customHeight="1" s="195">
      <c r="C981" s="377" t="n"/>
      <c r="D981" s="377" t="n"/>
      <c r="E981" s="377" t="n"/>
      <c r="F981" s="377" t="n"/>
    </row>
    <row r="982" ht="15.75" customHeight="1" s="195">
      <c r="C982" s="377" t="n"/>
      <c r="D982" s="377" t="n"/>
      <c r="E982" s="377" t="n"/>
      <c r="F982" s="377" t="n"/>
    </row>
    <row r="983" ht="15.75" customHeight="1" s="195">
      <c r="C983" s="377" t="n"/>
      <c r="D983" s="377" t="n"/>
      <c r="E983" s="377" t="n"/>
      <c r="F983" s="377" t="n"/>
    </row>
    <row r="984" ht="15.75" customHeight="1" s="195">
      <c r="C984" s="377" t="n"/>
      <c r="D984" s="377" t="n"/>
      <c r="E984" s="377" t="n"/>
      <c r="F984" s="377" t="n"/>
    </row>
    <row r="985" ht="15.75" customHeight="1" s="195">
      <c r="C985" s="377" t="n"/>
      <c r="D985" s="377" t="n"/>
      <c r="E985" s="377" t="n"/>
      <c r="F985" s="377" t="n"/>
    </row>
    <row r="986" ht="15.75" customHeight="1" s="195">
      <c r="C986" s="377" t="n"/>
      <c r="D986" s="377" t="n"/>
      <c r="E986" s="377" t="n"/>
      <c r="F986" s="377" t="n"/>
    </row>
    <row r="987" ht="15.75" customHeight="1" s="195">
      <c r="C987" s="377" t="n"/>
      <c r="D987" s="377" t="n"/>
      <c r="E987" s="377" t="n"/>
      <c r="F987" s="377" t="n"/>
    </row>
    <row r="988" ht="15.75" customHeight="1" s="195">
      <c r="C988" s="377" t="n"/>
      <c r="D988" s="377" t="n"/>
      <c r="E988" s="377" t="n"/>
      <c r="F988" s="377" t="n"/>
    </row>
    <row r="989" ht="15.75" customHeight="1" s="195">
      <c r="C989" s="377" t="n"/>
      <c r="D989" s="377" t="n"/>
      <c r="E989" s="377" t="n"/>
      <c r="F989" s="377" t="n"/>
    </row>
    <row r="990" ht="15.75" customHeight="1" s="195">
      <c r="C990" s="377" t="n"/>
      <c r="D990" s="377" t="n"/>
      <c r="E990" s="377" t="n"/>
      <c r="F990" s="377" t="n"/>
    </row>
    <row r="991" ht="15.75" customHeight="1" s="195">
      <c r="C991" s="377" t="n"/>
      <c r="D991" s="377" t="n"/>
      <c r="E991" s="377" t="n"/>
      <c r="F991" s="377" t="n"/>
    </row>
    <row r="992" ht="15.75" customHeight="1" s="195">
      <c r="C992" s="377" t="n"/>
      <c r="D992" s="377" t="n"/>
      <c r="E992" s="377" t="n"/>
      <c r="F992" s="377" t="n"/>
    </row>
    <row r="993" ht="15.75" customHeight="1" s="195">
      <c r="C993" s="377" t="n"/>
      <c r="D993" s="377" t="n"/>
      <c r="E993" s="377" t="n"/>
      <c r="F993" s="377" t="n"/>
    </row>
    <row r="994" ht="15.75" customHeight="1" s="195">
      <c r="C994" s="377" t="n"/>
      <c r="D994" s="377" t="n"/>
      <c r="E994" s="377" t="n"/>
      <c r="F994" s="377" t="n"/>
    </row>
    <row r="995" ht="15.75" customHeight="1" s="195">
      <c r="C995" s="377" t="n"/>
      <c r="D995" s="377" t="n"/>
      <c r="E995" s="377" t="n"/>
      <c r="F995" s="377" t="n"/>
    </row>
    <row r="996" ht="15.75" customHeight="1" s="195">
      <c r="C996" s="377" t="n"/>
      <c r="D996" s="377" t="n"/>
      <c r="E996" s="377" t="n"/>
      <c r="F996" s="377" t="n"/>
    </row>
    <row r="997" ht="15.75" customHeight="1" s="195">
      <c r="C997" s="377" t="n"/>
      <c r="D997" s="377" t="n"/>
      <c r="E997" s="377" t="n"/>
      <c r="F997" s="377" t="n"/>
    </row>
    <row r="998" ht="15.75" customHeight="1" s="195">
      <c r="C998" s="377" t="n"/>
      <c r="D998" s="377" t="n"/>
      <c r="E998" s="377" t="n"/>
      <c r="F998" s="377" t="n"/>
    </row>
    <row r="999" ht="15.75" customHeight="1" s="195">
      <c r="C999" s="377" t="n"/>
      <c r="D999" s="377" t="n"/>
      <c r="E999" s="377" t="n"/>
      <c r="F999" s="377" t="n"/>
    </row>
    <row r="1000" ht="15.75" customHeight="1" s="195">
      <c r="C1000" s="377" t="n"/>
      <c r="D1000" s="377" t="n"/>
      <c r="E1000" s="377" t="n"/>
      <c r="F1000" s="377" t="n"/>
    </row>
    <row r="1001" ht="15" customHeight="1" s="195">
      <c r="C1001" s="377" t="n"/>
      <c r="D1001" s="377" t="n"/>
      <c r="E1001" s="377" t="n"/>
      <c r="F1001" s="377" t="n"/>
    </row>
    <row r="1002" ht="15" customHeight="1" s="195">
      <c r="C1002" s="377" t="n"/>
      <c r="D1002" s="377" t="n"/>
      <c r="E1002" s="377" t="n"/>
      <c r="F1002" s="377" t="n"/>
    </row>
    <row r="1003" ht="15" customHeight="1" s="195">
      <c r="C1003" s="377" t="n"/>
      <c r="D1003" s="377" t="n"/>
      <c r="E1003" s="377" t="n"/>
      <c r="F1003" s="377" t="n"/>
    </row>
    <row r="1004" ht="15" customHeight="1" s="195">
      <c r="C1004" s="377" t="n"/>
      <c r="D1004" s="377" t="n"/>
      <c r="E1004" s="377" t="n"/>
      <c r="F1004" s="377" t="n"/>
    </row>
    <row r="1005" ht="15" customHeight="1" s="195">
      <c r="C1005" s="377" t="n"/>
      <c r="D1005" s="377" t="n"/>
      <c r="E1005" s="377" t="n"/>
      <c r="F1005" s="377" t="n"/>
    </row>
    <row r="1006" ht="15" customHeight="1" s="195">
      <c r="C1006" s="377" t="n"/>
      <c r="D1006" s="377" t="n"/>
      <c r="E1006" s="377" t="n"/>
      <c r="F1006" s="377" t="n"/>
    </row>
    <row r="1007" ht="15" customHeight="1" s="195">
      <c r="C1007" s="377" t="n"/>
      <c r="D1007" s="377" t="n"/>
      <c r="E1007" s="377" t="n"/>
      <c r="F1007" s="377" t="n"/>
    </row>
    <row r="1008" ht="15" customHeight="1" s="195">
      <c r="C1008" s="377" t="n"/>
      <c r="D1008" s="377" t="n"/>
      <c r="E1008" s="377" t="n"/>
      <c r="F1008" s="377" t="n"/>
    </row>
    <row r="1009" ht="15" customHeight="1" s="195">
      <c r="C1009" s="377" t="n"/>
      <c r="D1009" s="377" t="n"/>
      <c r="E1009" s="377" t="n"/>
      <c r="F1009" s="377" t="n"/>
    </row>
    <row r="1010" ht="15" customHeight="1" s="195">
      <c r="C1010" s="377" t="n"/>
      <c r="D1010" s="377" t="n"/>
      <c r="E1010" s="377" t="n"/>
      <c r="F1010" s="377" t="n"/>
    </row>
    <row r="1011" ht="15" customHeight="1" s="195">
      <c r="C1011" s="377" t="n"/>
      <c r="D1011" s="377" t="n"/>
      <c r="E1011" s="377" t="n"/>
      <c r="F1011" s="377" t="n"/>
    </row>
    <row r="1012" ht="15" customHeight="1" s="195">
      <c r="C1012" s="377" t="n"/>
      <c r="D1012" s="377" t="n"/>
      <c r="E1012" s="377" t="n"/>
      <c r="F1012" s="377" t="n"/>
    </row>
    <row r="1013" ht="15" customHeight="1" s="195">
      <c r="C1013" s="377" t="n"/>
      <c r="D1013" s="377" t="n"/>
      <c r="E1013" s="377" t="n"/>
      <c r="F1013" s="377" t="n"/>
    </row>
    <row r="1014" ht="15" customHeight="1" s="195">
      <c r="C1014" s="377" t="n"/>
      <c r="D1014" s="377" t="n"/>
      <c r="E1014" s="377" t="n"/>
      <c r="F1014" s="377" t="n"/>
    </row>
    <row r="1015" ht="15" customHeight="1" s="195">
      <c r="C1015" s="377" t="n"/>
      <c r="D1015" s="377" t="n"/>
      <c r="E1015" s="377" t="n"/>
      <c r="F1015" s="377" t="n"/>
    </row>
    <row r="1016" ht="15" customHeight="1" s="195">
      <c r="C1016" s="377" t="n"/>
      <c r="D1016" s="377" t="n"/>
      <c r="E1016" s="377" t="n"/>
      <c r="F1016" s="377" t="n"/>
    </row>
    <row r="1017" ht="15" customHeight="1" s="195">
      <c r="C1017" s="377" t="n"/>
      <c r="D1017" s="377" t="n"/>
      <c r="E1017" s="377" t="n"/>
      <c r="F1017" s="377" t="n"/>
    </row>
    <row r="1018" ht="15" customHeight="1" s="195">
      <c r="C1018" s="377" t="n"/>
      <c r="D1018" s="377" t="n"/>
      <c r="E1018" s="377" t="n"/>
      <c r="F1018" s="377" t="n"/>
    </row>
    <row r="1019" ht="15" customHeight="1" s="195">
      <c r="C1019" s="377" t="n"/>
      <c r="D1019" s="377" t="n"/>
      <c r="E1019" s="377" t="n"/>
      <c r="F1019" s="377" t="n"/>
    </row>
    <row r="1020" ht="15" customHeight="1" s="195">
      <c r="C1020" s="377" t="n"/>
      <c r="D1020" s="377" t="n"/>
      <c r="E1020" s="377" t="n"/>
      <c r="F1020" s="377" t="n"/>
    </row>
    <row r="1021" ht="15" customHeight="1" s="195">
      <c r="C1021" s="377" t="n"/>
      <c r="D1021" s="377" t="n"/>
      <c r="E1021" s="377" t="n"/>
      <c r="F1021" s="377" t="n"/>
    </row>
    <row r="1022" ht="15" customHeight="1" s="195">
      <c r="C1022" s="377" t="n"/>
      <c r="D1022" s="377" t="n"/>
      <c r="E1022" s="377" t="n"/>
      <c r="F1022" s="377" t="n"/>
    </row>
    <row r="1023" ht="15" customHeight="1" s="195">
      <c r="C1023" s="377" t="n"/>
      <c r="D1023" s="377" t="n"/>
      <c r="E1023" s="377" t="n"/>
      <c r="F1023" s="377" t="n"/>
    </row>
    <row r="1024" ht="15" customHeight="1" s="195">
      <c r="C1024" s="377" t="n"/>
      <c r="D1024" s="377" t="n"/>
      <c r="E1024" s="377" t="n"/>
      <c r="F1024" s="377" t="n"/>
    </row>
    <row r="1025" ht="15" customHeight="1" s="195">
      <c r="C1025" s="377" t="n"/>
      <c r="D1025" s="377" t="n"/>
      <c r="E1025" s="377" t="n"/>
      <c r="F1025" s="377" t="n"/>
    </row>
    <row r="1026" ht="15" customHeight="1" s="195">
      <c r="C1026" s="377" t="n"/>
      <c r="D1026" s="377" t="n"/>
      <c r="E1026" s="377" t="n"/>
      <c r="F1026" s="377" t="n"/>
    </row>
    <row r="1027" ht="15" customHeight="1" s="195">
      <c r="C1027" s="377" t="n"/>
      <c r="D1027" s="377" t="n"/>
      <c r="E1027" s="377" t="n"/>
      <c r="F1027" s="377" t="n"/>
    </row>
    <row r="1028" ht="15" customHeight="1" s="195">
      <c r="C1028" s="377" t="n"/>
      <c r="D1028" s="377" t="n"/>
      <c r="E1028" s="377" t="n"/>
      <c r="F1028" s="377" t="n"/>
    </row>
    <row r="1029" ht="15" customHeight="1" s="195">
      <c r="C1029" s="377" t="n"/>
      <c r="D1029" s="377" t="n"/>
      <c r="E1029" s="377" t="n"/>
      <c r="F1029" s="377" t="n"/>
    </row>
    <row r="1030" ht="15" customHeight="1" s="195">
      <c r="C1030" s="377" t="n"/>
      <c r="D1030" s="377" t="n"/>
      <c r="E1030" s="377" t="n"/>
      <c r="F1030" s="377" t="n"/>
    </row>
    <row r="1031" ht="15" customHeight="1" s="195">
      <c r="C1031" s="377" t="n"/>
      <c r="D1031" s="377" t="n"/>
      <c r="E1031" s="377" t="n"/>
      <c r="F1031" s="377" t="n"/>
    </row>
    <row r="1032" ht="15" customHeight="1" s="195">
      <c r="C1032" s="377" t="n"/>
      <c r="D1032" s="377" t="n"/>
      <c r="E1032" s="377" t="n"/>
      <c r="F1032" s="377" t="n"/>
    </row>
    <row r="1033" ht="15" customHeight="1" s="195">
      <c r="C1033" s="377" t="n"/>
      <c r="D1033" s="377" t="n"/>
      <c r="E1033" s="377" t="n"/>
      <c r="F1033" s="377" t="n"/>
    </row>
    <row r="1034" ht="15" customHeight="1" s="195">
      <c r="C1034" s="377" t="n"/>
      <c r="D1034" s="377" t="n"/>
      <c r="E1034" s="377" t="n"/>
      <c r="F1034" s="377" t="n"/>
    </row>
    <row r="1035" ht="15" customHeight="1" s="195">
      <c r="C1035" s="377" t="n"/>
      <c r="D1035" s="377" t="n"/>
      <c r="E1035" s="377" t="n"/>
      <c r="F1035" s="377" t="n"/>
    </row>
    <row r="1036" ht="15" customHeight="1" s="195">
      <c r="C1036" s="377" t="n"/>
      <c r="D1036" s="377" t="n"/>
      <c r="E1036" s="377" t="n"/>
      <c r="F1036" s="377" t="n"/>
    </row>
    <row r="1037" ht="15" customHeight="1" s="195">
      <c r="C1037" s="377" t="n"/>
      <c r="D1037" s="377" t="n"/>
      <c r="E1037" s="377" t="n"/>
      <c r="F1037" s="377" t="n"/>
    </row>
    <row r="1038" ht="15" customHeight="1" s="195">
      <c r="C1038" s="377" t="n"/>
      <c r="D1038" s="377" t="n"/>
      <c r="E1038" s="377" t="n"/>
      <c r="F1038" s="377" t="n"/>
    </row>
    <row r="1039" ht="15" customHeight="1" s="195">
      <c r="C1039" s="377" t="n"/>
      <c r="D1039" s="377" t="n"/>
      <c r="E1039" s="377" t="n"/>
      <c r="F1039" s="377" t="n"/>
    </row>
    <row r="1040" ht="15" customHeight="1" s="195">
      <c r="C1040" s="377" t="n"/>
      <c r="D1040" s="377" t="n"/>
      <c r="E1040" s="377" t="n"/>
      <c r="F1040" s="377" t="n"/>
    </row>
    <row r="1041" ht="15" customHeight="1" s="195">
      <c r="C1041" s="377" t="n"/>
      <c r="D1041" s="377" t="n"/>
      <c r="E1041" s="377" t="n"/>
      <c r="F1041" s="377" t="n"/>
    </row>
    <row r="1042" ht="15" customHeight="1" s="195">
      <c r="C1042" s="377" t="n"/>
      <c r="D1042" s="377" t="n"/>
      <c r="E1042" s="377" t="n"/>
      <c r="F1042" s="377" t="n"/>
    </row>
    <row r="1043" ht="15" customHeight="1" s="195">
      <c r="C1043" s="377" t="n"/>
      <c r="D1043" s="377" t="n"/>
      <c r="E1043" s="377" t="n"/>
      <c r="F1043" s="377" t="n"/>
    </row>
    <row r="1044" ht="15" customHeight="1" s="195">
      <c r="C1044" s="377" t="n"/>
      <c r="D1044" s="377" t="n"/>
      <c r="E1044" s="377" t="n"/>
      <c r="F1044" s="377" t="n"/>
    </row>
    <row r="1045" ht="15" customHeight="1" s="195">
      <c r="C1045" s="377" t="n"/>
      <c r="D1045" s="377" t="n"/>
      <c r="E1045" s="377" t="n"/>
      <c r="F1045" s="377" t="n"/>
    </row>
    <row r="1046" ht="15" customHeight="1" s="195">
      <c r="C1046" s="377" t="n"/>
      <c r="D1046" s="377" t="n"/>
      <c r="E1046" s="377" t="n"/>
      <c r="F1046" s="377" t="n"/>
    </row>
    <row r="1047" ht="15" customHeight="1" s="195">
      <c r="C1047" s="377" t="n"/>
      <c r="D1047" s="377" t="n"/>
      <c r="E1047" s="377" t="n"/>
      <c r="F1047" s="377" t="n"/>
    </row>
    <row r="1048" ht="15" customHeight="1" s="195">
      <c r="C1048" s="377" t="n"/>
      <c r="D1048" s="377" t="n"/>
      <c r="E1048" s="377" t="n"/>
      <c r="F1048" s="377" t="n"/>
    </row>
    <row r="1049" ht="15" customHeight="1" s="195">
      <c r="C1049" s="377" t="n"/>
      <c r="D1049" s="377" t="n"/>
      <c r="E1049" s="377" t="n"/>
      <c r="F1049" s="377" t="n"/>
    </row>
    <row r="1050" ht="15" customHeight="1" s="195">
      <c r="C1050" s="377" t="n"/>
      <c r="D1050" s="377" t="n"/>
      <c r="E1050" s="377" t="n"/>
      <c r="F1050" s="377" t="n"/>
    </row>
    <row r="1051" ht="15" customHeight="1" s="195">
      <c r="C1051" s="377" t="n"/>
      <c r="D1051" s="377" t="n"/>
      <c r="E1051" s="377" t="n"/>
      <c r="F1051" s="377" t="n"/>
    </row>
    <row r="1052" ht="15" customHeight="1" s="195">
      <c r="C1052" s="377" t="n"/>
      <c r="D1052" s="377" t="n"/>
      <c r="E1052" s="377" t="n"/>
      <c r="F1052" s="377" t="n"/>
    </row>
    <row r="1053" ht="15" customHeight="1" s="195">
      <c r="C1053" s="377" t="n"/>
      <c r="D1053" s="377" t="n"/>
      <c r="E1053" s="377" t="n"/>
      <c r="F1053" s="377" t="n"/>
    </row>
    <row r="1054" ht="15" customHeight="1" s="195">
      <c r="C1054" s="377" t="n"/>
      <c r="D1054" s="377" t="n"/>
      <c r="E1054" s="377" t="n"/>
      <c r="F1054" s="377" t="n"/>
    </row>
    <row r="1055" ht="15" customHeight="1" s="195">
      <c r="C1055" s="377" t="n"/>
      <c r="D1055" s="377" t="n"/>
      <c r="E1055" s="377" t="n"/>
      <c r="F1055" s="377" t="n"/>
    </row>
    <row r="1056" ht="15" customHeight="1" s="195">
      <c r="C1056" s="377" t="n"/>
      <c r="D1056" s="377" t="n"/>
      <c r="E1056" s="377" t="n"/>
      <c r="F1056" s="377" t="n"/>
    </row>
    <row r="1057" ht="15" customHeight="1" s="195">
      <c r="C1057" s="377" t="n"/>
      <c r="D1057" s="377" t="n"/>
      <c r="E1057" s="377" t="n"/>
      <c r="F1057" s="377" t="n"/>
    </row>
    <row r="1058" ht="15" customHeight="1" s="195">
      <c r="C1058" s="377" t="n"/>
      <c r="D1058" s="377" t="n"/>
      <c r="E1058" s="377" t="n"/>
      <c r="F1058" s="377" t="n"/>
    </row>
    <row r="1059" ht="15" customHeight="1" s="195">
      <c r="C1059" s="377" t="n"/>
      <c r="D1059" s="377" t="n"/>
      <c r="E1059" s="377" t="n"/>
      <c r="F1059" s="377" t="n"/>
    </row>
    <row r="1060" ht="15" customHeight="1" s="195">
      <c r="C1060" s="377" t="n"/>
      <c r="D1060" s="377" t="n"/>
      <c r="E1060" s="377" t="n"/>
      <c r="F1060" s="377" t="n"/>
    </row>
    <row r="1061" ht="15" customHeight="1" s="195">
      <c r="C1061" s="377" t="n"/>
      <c r="D1061" s="377" t="n"/>
      <c r="E1061" s="377" t="n"/>
      <c r="F1061" s="377" t="n"/>
    </row>
    <row r="1062" ht="15" customHeight="1" s="195">
      <c r="C1062" s="377" t="n"/>
      <c r="D1062" s="377" t="n"/>
      <c r="E1062" s="377" t="n"/>
      <c r="F1062" s="377" t="n"/>
    </row>
    <row r="1063" ht="15" customHeight="1" s="195">
      <c r="C1063" s="377" t="n"/>
      <c r="D1063" s="377" t="n"/>
      <c r="E1063" s="377" t="n"/>
      <c r="F1063" s="377" t="n"/>
    </row>
    <row r="1064" ht="15" customHeight="1" s="195">
      <c r="C1064" s="377" t="n"/>
      <c r="D1064" s="377" t="n"/>
      <c r="E1064" s="377" t="n"/>
      <c r="F1064" s="377" t="n"/>
    </row>
    <row r="1065" ht="15" customHeight="1" s="195">
      <c r="C1065" s="377" t="n"/>
      <c r="D1065" s="377" t="n"/>
      <c r="E1065" s="377" t="n"/>
      <c r="F1065" s="377" t="n"/>
    </row>
    <row r="1066" ht="15" customHeight="1" s="195">
      <c r="C1066" s="377" t="n"/>
      <c r="D1066" s="377" t="n"/>
      <c r="E1066" s="377" t="n"/>
      <c r="F1066" s="377" t="n"/>
    </row>
    <row r="1067" ht="15" customHeight="1" s="195">
      <c r="C1067" s="377" t="n"/>
      <c r="D1067" s="377" t="n"/>
      <c r="E1067" s="377" t="n"/>
      <c r="F1067" s="377" t="n"/>
    </row>
    <row r="1068" ht="15" customHeight="1" s="195">
      <c r="C1068" s="377" t="n"/>
      <c r="D1068" s="377" t="n"/>
      <c r="E1068" s="377" t="n"/>
      <c r="F1068" s="377" t="n"/>
    </row>
    <row r="1069" ht="15" customHeight="1" s="195">
      <c r="C1069" s="377" t="n"/>
      <c r="D1069" s="377" t="n"/>
      <c r="E1069" s="377" t="n"/>
      <c r="F1069" s="377" t="n"/>
    </row>
    <row r="1070" ht="15" customHeight="1" s="195">
      <c r="C1070" s="377" t="n"/>
      <c r="D1070" s="377" t="n"/>
      <c r="E1070" s="377" t="n"/>
      <c r="F1070" s="377" t="n"/>
    </row>
    <row r="1071" ht="15" customHeight="1" s="195">
      <c r="C1071" s="377" t="n"/>
      <c r="D1071" s="377" t="n"/>
      <c r="E1071" s="377" t="n"/>
      <c r="F1071" s="377" t="n"/>
    </row>
    <row r="1072" ht="15" customHeight="1" s="195">
      <c r="C1072" s="377" t="n"/>
      <c r="D1072" s="377" t="n"/>
      <c r="E1072" s="377" t="n"/>
      <c r="F1072" s="377" t="n"/>
    </row>
    <row r="1073" ht="15" customHeight="1" s="195">
      <c r="C1073" s="377" t="n"/>
      <c r="D1073" s="377" t="n"/>
      <c r="E1073" s="377" t="n"/>
      <c r="F1073" s="377" t="n"/>
    </row>
    <row r="1074" ht="15" customHeight="1" s="195">
      <c r="C1074" s="377" t="n"/>
      <c r="D1074" s="377" t="n"/>
      <c r="E1074" s="377" t="n"/>
      <c r="F1074" s="377" t="n"/>
    </row>
    <row r="1075" ht="15" customHeight="1" s="195">
      <c r="C1075" s="377" t="n"/>
      <c r="D1075" s="377" t="n"/>
      <c r="E1075" s="377" t="n"/>
      <c r="F1075" s="377" t="n"/>
    </row>
    <row r="1076" ht="15" customHeight="1" s="195">
      <c r="C1076" s="377" t="n"/>
      <c r="D1076" s="377" t="n"/>
      <c r="E1076" s="377" t="n"/>
      <c r="F1076" s="377" t="n"/>
    </row>
    <row r="1077" ht="15" customHeight="1" s="195">
      <c r="C1077" s="377" t="n"/>
      <c r="D1077" s="377" t="n"/>
      <c r="E1077" s="377" t="n"/>
      <c r="F1077" s="377" t="n"/>
    </row>
    <row r="1078" ht="15" customHeight="1" s="195">
      <c r="C1078" s="377" t="n"/>
      <c r="D1078" s="377" t="n"/>
      <c r="E1078" s="377" t="n"/>
      <c r="F1078" s="377" t="n"/>
    </row>
    <row r="1079" ht="15" customHeight="1" s="195">
      <c r="C1079" s="377" t="n"/>
      <c r="D1079" s="377" t="n"/>
      <c r="E1079" s="377" t="n"/>
      <c r="F1079" s="377" t="n"/>
    </row>
    <row r="1080" ht="15" customHeight="1" s="195">
      <c r="C1080" s="377" t="n"/>
      <c r="D1080" s="377" t="n"/>
      <c r="E1080" s="377" t="n"/>
      <c r="F1080" s="377" t="n"/>
    </row>
    <row r="1081" ht="15" customHeight="1" s="195">
      <c r="C1081" s="377" t="n"/>
      <c r="D1081" s="377" t="n"/>
      <c r="E1081" s="377" t="n"/>
      <c r="F1081" s="377" t="n"/>
    </row>
    <row r="1082" ht="15" customHeight="1" s="195">
      <c r="C1082" s="377" t="n"/>
      <c r="D1082" s="377" t="n"/>
      <c r="E1082" s="377" t="n"/>
      <c r="F1082" s="377" t="n"/>
    </row>
    <row r="1083" ht="15" customHeight="1" s="195">
      <c r="C1083" s="377" t="n"/>
      <c r="D1083" s="377" t="n"/>
      <c r="E1083" s="377" t="n"/>
      <c r="F1083" s="377" t="n"/>
    </row>
    <row r="1084" ht="15" customHeight="1" s="195">
      <c r="C1084" s="377" t="n"/>
      <c r="D1084" s="377" t="n"/>
      <c r="E1084" s="377" t="n"/>
      <c r="F1084" s="377" t="n"/>
    </row>
    <row r="1085" ht="15" customHeight="1" s="195">
      <c r="C1085" s="377" t="n"/>
      <c r="D1085" s="377" t="n"/>
      <c r="E1085" s="377" t="n"/>
      <c r="F1085" s="377" t="n"/>
    </row>
    <row r="1086" ht="15" customHeight="1" s="195">
      <c r="C1086" s="377" t="n"/>
      <c r="D1086" s="377" t="n"/>
      <c r="E1086" s="377" t="n"/>
      <c r="F1086" s="377" t="n"/>
    </row>
    <row r="1087" ht="15" customHeight="1" s="195">
      <c r="C1087" s="377" t="n"/>
      <c r="D1087" s="377" t="n"/>
      <c r="E1087" s="377" t="n"/>
      <c r="F1087" s="377" t="n"/>
    </row>
    <row r="1088" ht="15" customHeight="1" s="195">
      <c r="C1088" s="377" t="n"/>
      <c r="D1088" s="377" t="n"/>
      <c r="E1088" s="377" t="n"/>
      <c r="F1088" s="377" t="n"/>
    </row>
    <row r="1089" ht="15" customHeight="1" s="195">
      <c r="C1089" s="377" t="n"/>
      <c r="D1089" s="377" t="n"/>
      <c r="E1089" s="377" t="n"/>
      <c r="F1089" s="377" t="n"/>
    </row>
    <row r="1090" ht="15" customHeight="1" s="195">
      <c r="C1090" s="377" t="n"/>
      <c r="D1090" s="377" t="n"/>
      <c r="E1090" s="377" t="n"/>
      <c r="F1090" s="377" t="n"/>
    </row>
    <row r="1091" ht="15" customHeight="1" s="195">
      <c r="C1091" s="377" t="n"/>
      <c r="D1091" s="377" t="n"/>
      <c r="E1091" s="377" t="n"/>
      <c r="F1091" s="377" t="n"/>
    </row>
    <row r="1092" ht="15" customHeight="1" s="195">
      <c r="C1092" s="377" t="n"/>
      <c r="D1092" s="377" t="n"/>
      <c r="E1092" s="377" t="n"/>
      <c r="F1092" s="377" t="n"/>
    </row>
    <row r="1093" ht="15" customHeight="1" s="195">
      <c r="C1093" s="377" t="n"/>
      <c r="D1093" s="377" t="n"/>
      <c r="E1093" s="377" t="n"/>
      <c r="F1093" s="377" t="n"/>
    </row>
    <row r="1094" ht="15" customHeight="1" s="195">
      <c r="C1094" s="377" t="n"/>
      <c r="D1094" s="377" t="n"/>
      <c r="E1094" s="377" t="n"/>
      <c r="F1094" s="377" t="n"/>
    </row>
    <row r="1095" ht="15" customHeight="1" s="195">
      <c r="C1095" s="377" t="n"/>
      <c r="D1095" s="377" t="n"/>
      <c r="E1095" s="377" t="n"/>
      <c r="F1095" s="377" t="n"/>
    </row>
    <row r="1096" ht="15" customHeight="1" s="195">
      <c r="C1096" s="377" t="n"/>
      <c r="D1096" s="377" t="n"/>
      <c r="E1096" s="377" t="n"/>
      <c r="F1096" s="377" t="n"/>
    </row>
    <row r="1097" ht="15" customHeight="1" s="195">
      <c r="C1097" s="377" t="n"/>
      <c r="D1097" s="377" t="n"/>
      <c r="E1097" s="377" t="n"/>
      <c r="F1097" s="377" t="n"/>
    </row>
    <row r="1098" ht="15" customHeight="1" s="195">
      <c r="C1098" s="377" t="n"/>
      <c r="D1098" s="377" t="n"/>
      <c r="E1098" s="377" t="n"/>
      <c r="F1098" s="377" t="n"/>
    </row>
    <row r="1099" ht="15" customHeight="1" s="195">
      <c r="C1099" s="377" t="n"/>
      <c r="D1099" s="377" t="n"/>
      <c r="E1099" s="377" t="n"/>
      <c r="F1099" s="377" t="n"/>
    </row>
    <row r="1100" ht="15" customHeight="1" s="195">
      <c r="C1100" s="377" t="n"/>
      <c r="D1100" s="377" t="n"/>
      <c r="E1100" s="377" t="n"/>
      <c r="F1100" s="377" t="n"/>
    </row>
    <row r="1101" ht="15" customHeight="1" s="195">
      <c r="C1101" s="377" t="n"/>
      <c r="D1101" s="377" t="n"/>
      <c r="E1101" s="377" t="n"/>
      <c r="F1101" s="377" t="n"/>
    </row>
    <row r="1102" ht="15" customHeight="1" s="195">
      <c r="C1102" s="377" t="n"/>
      <c r="D1102" s="377" t="n"/>
      <c r="E1102" s="377" t="n"/>
      <c r="F1102" s="377" t="n"/>
    </row>
    <row r="1103" ht="15" customHeight="1" s="195">
      <c r="C1103" s="377" t="n"/>
      <c r="D1103" s="377" t="n"/>
      <c r="E1103" s="377" t="n"/>
      <c r="F1103" s="377" t="n"/>
    </row>
    <row r="1104" ht="15" customHeight="1" s="195">
      <c r="C1104" s="377" t="n"/>
      <c r="D1104" s="377" t="n"/>
      <c r="E1104" s="377" t="n"/>
      <c r="F1104" s="377" t="n"/>
    </row>
    <row r="1105" ht="15" customHeight="1" s="195">
      <c r="C1105" s="377" t="n"/>
      <c r="D1105" s="377" t="n"/>
      <c r="E1105" s="377" t="n"/>
      <c r="F1105" s="377" t="n"/>
    </row>
    <row r="1106" ht="15" customHeight="1" s="195">
      <c r="C1106" s="377" t="n"/>
      <c r="D1106" s="377" t="n"/>
      <c r="E1106" s="377" t="n"/>
      <c r="F1106" s="377" t="n"/>
    </row>
    <row r="1107" ht="15" customHeight="1" s="195">
      <c r="C1107" s="377" t="n"/>
      <c r="D1107" s="377" t="n"/>
      <c r="E1107" s="377" t="n"/>
      <c r="F1107" s="377" t="n"/>
    </row>
    <row r="1108" ht="15" customHeight="1" s="195">
      <c r="C1108" s="377" t="n"/>
      <c r="D1108" s="377" t="n"/>
      <c r="E1108" s="377" t="n"/>
      <c r="F1108" s="377" t="n"/>
    </row>
    <row r="1109" ht="15" customHeight="1" s="195">
      <c r="C1109" s="377" t="n"/>
      <c r="D1109" s="377" t="n"/>
      <c r="E1109" s="377" t="n"/>
      <c r="F1109" s="377" t="n"/>
    </row>
    <row r="1110" ht="15" customHeight="1" s="195">
      <c r="C1110" s="377" t="n"/>
      <c r="D1110" s="377" t="n"/>
      <c r="E1110" s="377" t="n"/>
      <c r="F1110" s="377" t="n"/>
    </row>
    <row r="1111" ht="15" customHeight="1" s="195">
      <c r="C1111" s="377" t="n"/>
      <c r="D1111" s="377" t="n"/>
      <c r="E1111" s="377" t="n"/>
      <c r="F1111" s="377" t="n"/>
    </row>
    <row r="1112" ht="15" customHeight="1" s="195">
      <c r="C1112" s="377" t="n"/>
      <c r="D1112" s="377" t="n"/>
      <c r="E1112" s="377" t="n"/>
      <c r="F1112" s="377" t="n"/>
    </row>
    <row r="1113" ht="15" customHeight="1" s="195">
      <c r="C1113" s="377" t="n"/>
      <c r="D1113" s="377" t="n"/>
      <c r="E1113" s="377" t="n"/>
      <c r="F1113" s="377" t="n"/>
    </row>
    <row r="1114" ht="15" customHeight="1" s="195">
      <c r="C1114" s="377" t="n"/>
      <c r="D1114" s="377" t="n"/>
      <c r="E1114" s="377" t="n"/>
      <c r="F1114" s="377" t="n"/>
    </row>
    <row r="1115" ht="15" customHeight="1" s="195">
      <c r="C1115" s="377" t="n"/>
      <c r="D1115" s="377" t="n"/>
      <c r="E1115" s="377" t="n"/>
      <c r="F1115" s="377" t="n"/>
    </row>
    <row r="1116" ht="15" customHeight="1" s="195">
      <c r="C1116" s="377" t="n"/>
      <c r="D1116" s="377" t="n"/>
      <c r="E1116" s="377" t="n"/>
      <c r="F1116" s="377" t="n"/>
    </row>
    <row r="1117" ht="15" customHeight="1" s="195">
      <c r="C1117" s="377" t="n"/>
      <c r="D1117" s="377" t="n"/>
      <c r="E1117" s="377" t="n"/>
      <c r="F1117" s="377" t="n"/>
    </row>
    <row r="1118" ht="15" customHeight="1" s="195">
      <c r="C1118" s="377" t="n"/>
      <c r="D1118" s="377" t="n"/>
      <c r="E1118" s="377" t="n"/>
      <c r="F1118" s="377" t="n"/>
    </row>
    <row r="1119" ht="15" customHeight="1" s="195">
      <c r="C1119" s="377" t="n"/>
      <c r="D1119" s="377" t="n"/>
      <c r="E1119" s="377" t="n"/>
      <c r="F1119" s="377" t="n"/>
    </row>
    <row r="1120" ht="15" customHeight="1" s="195">
      <c r="C1120" s="377" t="n"/>
      <c r="D1120" s="377" t="n"/>
      <c r="E1120" s="377" t="n"/>
      <c r="F1120" s="377" t="n"/>
    </row>
    <row r="1121" ht="15" customHeight="1" s="195">
      <c r="C1121" s="377" t="n"/>
      <c r="D1121" s="377" t="n"/>
      <c r="E1121" s="377" t="n"/>
      <c r="F1121" s="377" t="n"/>
    </row>
    <row r="1122" ht="15" customHeight="1" s="195">
      <c r="C1122" s="377" t="n"/>
      <c r="D1122" s="377" t="n"/>
      <c r="E1122" s="377" t="n"/>
      <c r="F1122" s="377" t="n"/>
    </row>
    <row r="1123" ht="15" customHeight="1" s="195">
      <c r="C1123" s="377" t="n"/>
      <c r="D1123" s="377" t="n"/>
      <c r="E1123" s="377" t="n"/>
      <c r="F1123" s="377" t="n"/>
    </row>
    <row r="1124" ht="15" customHeight="1" s="195">
      <c r="C1124" s="377" t="n"/>
      <c r="D1124" s="377" t="n"/>
      <c r="E1124" s="377" t="n"/>
      <c r="F1124" s="377" t="n"/>
    </row>
    <row r="1125" ht="15" customHeight="1" s="195">
      <c r="C1125" s="377" t="n"/>
      <c r="D1125" s="377" t="n"/>
      <c r="E1125" s="377" t="n"/>
      <c r="F1125" s="377" t="n"/>
    </row>
    <row r="1126" ht="15" customHeight="1" s="195">
      <c r="C1126" s="377" t="n"/>
      <c r="D1126" s="377" t="n"/>
      <c r="E1126" s="377" t="n"/>
      <c r="F1126" s="377" t="n"/>
    </row>
    <row r="1127" ht="15" customHeight="1" s="195">
      <c r="C1127" s="377" t="n"/>
      <c r="D1127" s="377" t="n"/>
      <c r="E1127" s="377" t="n"/>
      <c r="F1127" s="377" t="n"/>
    </row>
    <row r="1128" ht="15" customHeight="1" s="195">
      <c r="C1128" s="377" t="n"/>
      <c r="D1128" s="377" t="n"/>
      <c r="E1128" s="377" t="n"/>
      <c r="F1128" s="377" t="n"/>
    </row>
    <row r="1129" ht="15" customHeight="1" s="195">
      <c r="C1129" s="377" t="n"/>
      <c r="D1129" s="377" t="n"/>
      <c r="E1129" s="377" t="n"/>
      <c r="F1129" s="377" t="n"/>
    </row>
    <row r="1130" ht="15" customHeight="1" s="195">
      <c r="C1130" s="377" t="n"/>
      <c r="D1130" s="377" t="n"/>
      <c r="E1130" s="377" t="n"/>
      <c r="F1130" s="377" t="n"/>
    </row>
    <row r="1131" ht="15" customHeight="1" s="195">
      <c r="C1131" s="377" t="n"/>
      <c r="D1131" s="377" t="n"/>
      <c r="E1131" s="377" t="n"/>
      <c r="F1131" s="377" t="n"/>
    </row>
    <row r="1132" ht="15" customHeight="1" s="195">
      <c r="C1132" s="377" t="n"/>
      <c r="D1132" s="377" t="n"/>
      <c r="E1132" s="377" t="n"/>
      <c r="F1132" s="377" t="n"/>
    </row>
    <row r="1133" ht="15" customHeight="1" s="195">
      <c r="C1133" s="377" t="n"/>
      <c r="D1133" s="377" t="n"/>
      <c r="E1133" s="377" t="n"/>
      <c r="F1133" s="377" t="n"/>
    </row>
    <row r="1134" ht="15" customHeight="1" s="195">
      <c r="C1134" s="377" t="n"/>
      <c r="D1134" s="377" t="n"/>
      <c r="E1134" s="377" t="n"/>
      <c r="F1134" s="377" t="n"/>
    </row>
    <row r="1135" ht="15" customHeight="1" s="195">
      <c r="C1135" s="377" t="n"/>
      <c r="D1135" s="377" t="n"/>
      <c r="E1135" s="377" t="n"/>
      <c r="F1135" s="377" t="n"/>
    </row>
    <row r="1136" ht="15" customHeight="1" s="195">
      <c r="C1136" s="377" t="n"/>
      <c r="D1136" s="377" t="n"/>
      <c r="E1136" s="377" t="n"/>
      <c r="F1136" s="377" t="n"/>
    </row>
    <row r="1137" ht="15" customHeight="1" s="195">
      <c r="C1137" s="377" t="n"/>
      <c r="D1137" s="377" t="n"/>
      <c r="E1137" s="377" t="n"/>
      <c r="F1137" s="377" t="n"/>
    </row>
    <row r="1138" ht="15" customHeight="1" s="195">
      <c r="C1138" s="377" t="n"/>
      <c r="D1138" s="377" t="n"/>
      <c r="E1138" s="377" t="n"/>
      <c r="F1138" s="377" t="n"/>
    </row>
    <row r="1139" ht="15" customHeight="1" s="195">
      <c r="C1139" s="377" t="n"/>
      <c r="D1139" s="377" t="n"/>
      <c r="E1139" s="377" t="n"/>
      <c r="F1139" s="377" t="n"/>
    </row>
    <row r="1140" ht="15" customHeight="1" s="195">
      <c r="C1140" s="377" t="n"/>
      <c r="D1140" s="377" t="n"/>
      <c r="E1140" s="377" t="n"/>
      <c r="F1140" s="377" t="n"/>
    </row>
    <row r="1141" ht="15" customHeight="1" s="195">
      <c r="C1141" s="377" t="n"/>
      <c r="D1141" s="377" t="n"/>
      <c r="E1141" s="377" t="n"/>
      <c r="F1141" s="377" t="n"/>
    </row>
    <row r="1142" ht="15" customHeight="1" s="195">
      <c r="C1142" s="377" t="n"/>
      <c r="D1142" s="377" t="n"/>
      <c r="E1142" s="377" t="n"/>
      <c r="F1142" s="377" t="n"/>
    </row>
    <row r="1143" ht="15" customHeight="1" s="195">
      <c r="C1143" s="377" t="n"/>
      <c r="D1143" s="377" t="n"/>
      <c r="E1143" s="377" t="n"/>
      <c r="F1143" s="377" t="n"/>
    </row>
    <row r="1144" ht="15" customHeight="1" s="195">
      <c r="C1144" s="377" t="n"/>
      <c r="D1144" s="377" t="n"/>
      <c r="E1144" s="377" t="n"/>
      <c r="F1144" s="377" t="n"/>
    </row>
    <row r="1145" ht="15" customHeight="1" s="195">
      <c r="C1145" s="377" t="n"/>
      <c r="D1145" s="377" t="n"/>
      <c r="E1145" s="377" t="n"/>
      <c r="F1145" s="377" t="n"/>
    </row>
    <row r="1146" ht="15" customHeight="1" s="195">
      <c r="C1146" s="377" t="n"/>
      <c r="D1146" s="377" t="n"/>
      <c r="E1146" s="377" t="n"/>
      <c r="F1146" s="377" t="n"/>
    </row>
    <row r="1147" ht="15" customHeight="1" s="195">
      <c r="C1147" s="377" t="n"/>
      <c r="D1147" s="377" t="n"/>
      <c r="E1147" s="377" t="n"/>
      <c r="F1147" s="377" t="n"/>
    </row>
    <row r="1148" ht="15" customHeight="1" s="195">
      <c r="C1148" s="377" t="n"/>
      <c r="D1148" s="377" t="n"/>
      <c r="E1148" s="377" t="n"/>
      <c r="F1148" s="377" t="n"/>
    </row>
    <row r="1149" ht="15" customHeight="1" s="195">
      <c r="C1149" s="377" t="n"/>
      <c r="D1149" s="377" t="n"/>
      <c r="E1149" s="377" t="n"/>
      <c r="F1149" s="377" t="n"/>
    </row>
    <row r="1150" ht="15" customHeight="1" s="195">
      <c r="C1150" s="377" t="n"/>
      <c r="D1150" s="377" t="n"/>
      <c r="E1150" s="377" t="n"/>
      <c r="F1150" s="377" t="n"/>
    </row>
    <row r="1151" ht="15" customHeight="1" s="195">
      <c r="C1151" s="377" t="n"/>
      <c r="D1151" s="377" t="n"/>
      <c r="E1151" s="377" t="n"/>
      <c r="F1151" s="377" t="n"/>
    </row>
    <row r="1152" ht="15" customHeight="1" s="195">
      <c r="C1152" s="377" t="n"/>
      <c r="D1152" s="377" t="n"/>
      <c r="E1152" s="377" t="n"/>
      <c r="F1152" s="377" t="n"/>
    </row>
    <row r="1153" ht="15" customHeight="1" s="195">
      <c r="C1153" s="377" t="n"/>
      <c r="D1153" s="377" t="n"/>
      <c r="E1153" s="377" t="n"/>
      <c r="F1153" s="377" t="n"/>
    </row>
    <row r="1154" ht="15" customHeight="1" s="195">
      <c r="C1154" s="377" t="n"/>
      <c r="D1154" s="377" t="n"/>
      <c r="E1154" s="377" t="n"/>
      <c r="F1154" s="377" t="n"/>
    </row>
    <row r="1155" ht="15" customHeight="1" s="195">
      <c r="C1155" s="377" t="n"/>
      <c r="D1155" s="377" t="n"/>
      <c r="E1155" s="377" t="n"/>
      <c r="F1155" s="377" t="n"/>
    </row>
    <row r="1156" ht="15" customHeight="1" s="195">
      <c r="C1156" s="377" t="n"/>
      <c r="D1156" s="377" t="n"/>
      <c r="E1156" s="377" t="n"/>
      <c r="F1156" s="377" t="n"/>
    </row>
    <row r="1157" ht="15" customHeight="1" s="195">
      <c r="C1157" s="377" t="n"/>
      <c r="D1157" s="377" t="n"/>
      <c r="E1157" s="377" t="n"/>
      <c r="F1157" s="377" t="n"/>
    </row>
    <row r="1158" ht="15" customHeight="1" s="195">
      <c r="C1158" s="377" t="n"/>
      <c r="D1158" s="377" t="n"/>
      <c r="E1158" s="377" t="n"/>
      <c r="F1158" s="377" t="n"/>
    </row>
    <row r="1159" ht="15" customHeight="1" s="195">
      <c r="C1159" s="377" t="n"/>
      <c r="D1159" s="377" t="n"/>
      <c r="E1159" s="377" t="n"/>
      <c r="F1159" s="377" t="n"/>
    </row>
    <row r="1160" ht="15" customHeight="1" s="195">
      <c r="C1160" s="377" t="n"/>
      <c r="D1160" s="377" t="n"/>
      <c r="E1160" s="377" t="n"/>
      <c r="F1160" s="377" t="n"/>
    </row>
    <row r="1161" ht="15" customHeight="1" s="195">
      <c r="C1161" s="377" t="n"/>
      <c r="D1161" s="377" t="n"/>
      <c r="E1161" s="377" t="n"/>
      <c r="F1161" s="377" t="n"/>
    </row>
    <row r="1162" ht="15" customHeight="1" s="195">
      <c r="C1162" s="377" t="n"/>
      <c r="D1162" s="377" t="n"/>
      <c r="E1162" s="377" t="n"/>
      <c r="F1162" s="377" t="n"/>
    </row>
    <row r="1163" ht="15" customHeight="1" s="195">
      <c r="C1163" s="377" t="n"/>
      <c r="D1163" s="377" t="n"/>
      <c r="E1163" s="377" t="n"/>
      <c r="F1163" s="377" t="n"/>
    </row>
    <row r="1164" ht="15" customHeight="1" s="195">
      <c r="C1164" s="377" t="n"/>
      <c r="D1164" s="377" t="n"/>
      <c r="E1164" s="377" t="n"/>
      <c r="F1164" s="377" t="n"/>
    </row>
    <row r="1165" ht="15" customHeight="1" s="195">
      <c r="C1165" s="377" t="n"/>
      <c r="D1165" s="377" t="n"/>
      <c r="E1165" s="377" t="n"/>
      <c r="F1165" s="377" t="n"/>
    </row>
    <row r="1166" ht="15" customHeight="1" s="195">
      <c r="C1166" s="377" t="n"/>
      <c r="D1166" s="377" t="n"/>
      <c r="E1166" s="377" t="n"/>
      <c r="F1166" s="377" t="n"/>
    </row>
    <row r="1167" ht="15" customHeight="1" s="195">
      <c r="C1167" s="377" t="n"/>
      <c r="D1167" s="377" t="n"/>
      <c r="E1167" s="377" t="n"/>
      <c r="F1167" s="377" t="n"/>
    </row>
    <row r="1168" ht="15" customHeight="1" s="195">
      <c r="C1168" s="377" t="n"/>
      <c r="D1168" s="377" t="n"/>
      <c r="E1168" s="377" t="n"/>
      <c r="F1168" s="377" t="n"/>
    </row>
    <row r="1169" ht="15" customHeight="1" s="195">
      <c r="C1169" s="377" t="n"/>
      <c r="D1169" s="377" t="n"/>
      <c r="E1169" s="377" t="n"/>
      <c r="F1169" s="377" t="n"/>
    </row>
    <row r="1170" ht="15" customHeight="1" s="195">
      <c r="C1170" s="377" t="n"/>
      <c r="D1170" s="377" t="n"/>
      <c r="E1170" s="377" t="n"/>
      <c r="F1170" s="377" t="n"/>
    </row>
    <row r="1171" ht="15" customHeight="1" s="195">
      <c r="C1171" s="377" t="n"/>
      <c r="D1171" s="377" t="n"/>
      <c r="E1171" s="377" t="n"/>
      <c r="F1171" s="377" t="n"/>
    </row>
    <row r="1172" ht="15" customHeight="1" s="195">
      <c r="C1172" s="377" t="n"/>
      <c r="D1172" s="377" t="n"/>
      <c r="E1172" s="377" t="n"/>
      <c r="F1172" s="377" t="n"/>
    </row>
    <row r="1173" ht="15" customHeight="1" s="195">
      <c r="C1173" s="377" t="n"/>
      <c r="D1173" s="377" t="n"/>
      <c r="E1173" s="377" t="n"/>
      <c r="F1173" s="377" t="n"/>
    </row>
    <row r="1174" ht="15" customHeight="1" s="195">
      <c r="C1174" s="377" t="n"/>
      <c r="D1174" s="377" t="n"/>
      <c r="E1174" s="377" t="n"/>
      <c r="F1174" s="377" t="n"/>
    </row>
    <row r="1175" ht="15" customHeight="1" s="195">
      <c r="C1175" s="377" t="n"/>
      <c r="D1175" s="377" t="n"/>
      <c r="E1175" s="377" t="n"/>
      <c r="F1175" s="377" t="n"/>
    </row>
    <row r="1176" ht="15" customHeight="1" s="195">
      <c r="C1176" s="377" t="n"/>
      <c r="D1176" s="377" t="n"/>
      <c r="E1176" s="377" t="n"/>
      <c r="F1176" s="377" t="n"/>
    </row>
    <row r="1177" ht="15" customHeight="1" s="195">
      <c r="C1177" s="377" t="n"/>
      <c r="D1177" s="377" t="n"/>
      <c r="E1177" s="377" t="n"/>
      <c r="F1177" s="377" t="n"/>
    </row>
    <row r="1178" ht="15" customHeight="1" s="195">
      <c r="A1178" s="194" t="inlineStr">
        <is>
          <t>BUENOS AIRES</t>
        </is>
      </c>
      <c r="B1178" s="194" t="inlineStr">
        <is>
          <t>ENERO 2026</t>
        </is>
      </c>
      <c r="C1178" s="377">
        <f>IFERROR(SUMPRODUCT((IF('ENERO 2026'!Y6:Y119&lt;&gt;"",'ENERO 2026'!Y6:Y119,'ENERO 2026'!I6:I119)="BUENOS AIRES")*('ENERO 2026'!K6:K119="PETROLEO")*'ENERO 2026'!M6:M119),0)</f>
        <v/>
      </c>
      <c r="D1178" s="377">
        <f>IFERROR(SUMPRODUCT((IF('ENERO 2026'!Y6:Y119&lt;&gt;"",'ENERO 2026'!Y6:Y119,'ENERO 2026'!I6:I119)="BUENOS AIRES")*('ENERO 2026'!K6:K119="PETROLEO")*'ENERO 2026'!N6:N119),0)</f>
        <v/>
      </c>
      <c r="E1178" s="377">
        <f>IFERROR(SUMPRODUCT((IF('ENERO 2026'!Y6:Y119&lt;&gt;"",'ENERO 2026'!Y6:Y119,'ENERO 2026'!I6:I119)="BUENOS AIRES")*('ENERO 2026'!K6:K119="GASOLINA")*'ENERO 2026'!M6:M119),0)</f>
        <v/>
      </c>
      <c r="F1178" s="377">
        <f>IFERROR(SUMPRODUCT((IF('ENERO 2026'!Y6:Y119&lt;&gt;"",'ENERO 2026'!Y6:Y119,'ENERO 2026'!I6:I119)="BUENOS AIRES")*('ENERO 2026'!K6:K119="GASOLINA")*'ENERO 2026'!N6:N119),0)</f>
        <v/>
      </c>
    </row>
    <row r="1179" ht="15" customHeight="1" s="195">
      <c r="A1179" s="194" t="inlineStr">
        <is>
          <t>BUENOS AIRES</t>
        </is>
      </c>
      <c r="B1179" s="194" t="inlineStr">
        <is>
          <t>FEBRERO 2026</t>
        </is>
      </c>
      <c r="C1179" s="377">
        <f>IFERROR(SUMPRODUCT((IF('FEBRERO 2026'!Y6:Y124&lt;&gt;"",'FEBRERO 2026'!Y6:Y124,'FEBRERO 2026'!I6:I124)="BUENOS AIRES")*('FEBRERO 2026'!K6:K124="PETROLEO")*'FEBRERO 2026'!M6:M124),0)</f>
        <v/>
      </c>
      <c r="D1179" s="377">
        <f>IFERROR(SUMPRODUCT((IF('FEBRERO 2026'!Y6:Y124&lt;&gt;"",'FEBRERO 2026'!Y6:Y124,'FEBRERO 2026'!I6:I124)="BUENOS AIRES")*('FEBRERO 2026'!K6:K124="PETROLEO")*'FEBRERO 2026'!N6:N124),0)</f>
        <v/>
      </c>
      <c r="E1179" s="377">
        <f>IFERROR(SUMPRODUCT((IF('FEBRERO 2026'!Y6:Y124&lt;&gt;"",'FEBRERO 2026'!Y6:Y124,'FEBRERO 2026'!I6:I124)="BUENOS AIRES")*('FEBRERO 2026'!K6:K124="GASOLINA")*'FEBRERO 2026'!M6:M124),0)</f>
        <v/>
      </c>
      <c r="F1179" s="377">
        <f>IFERROR(SUMPRODUCT((IF('FEBRERO 2026'!Y6:Y124&lt;&gt;"",'FEBRERO 2026'!Y6:Y124,'FEBRERO 2026'!I6:I124)="BUENOS AIRES")*('FEBRERO 2026'!K6:K124="GASOLINA")*'FEBRERO 2026'!N6:N124),0)</f>
        <v/>
      </c>
    </row>
    <row r="1180" ht="15" customHeight="1" s="195">
      <c r="A1180" s="194" t="inlineStr">
        <is>
          <t>BUENOS AIRES</t>
        </is>
      </c>
      <c r="B1180" s="194" t="inlineStr">
        <is>
          <t>MARZO 2026</t>
        </is>
      </c>
      <c r="C1180" s="377">
        <f>IFERROR(SUMPRODUCT((IF('MARZO 2026'!Y6:Y119&lt;&gt;"",'MARZO 2026'!Y6:Y119,'MARZO 2026'!I6:I119)="BUENOS AIRES")*('MARZO 2026'!K6:K119="PETROLEO")*'MARZO 2026'!M6:M119),0)</f>
        <v/>
      </c>
      <c r="D1180" s="377">
        <f>IFERROR(SUMPRODUCT((IF('MARZO 2026'!Y6:Y119&lt;&gt;"",'MARZO 2026'!Y6:Y119,'MARZO 2026'!I6:I119)="BUENOS AIRES")*('MARZO 2026'!K6:K119="PETROLEO")*'MARZO 2026'!N6:N119),0)</f>
        <v/>
      </c>
      <c r="E1180" s="377">
        <f>IFERROR(SUMPRODUCT((IF('MARZO 2026'!Y6:Y119&lt;&gt;"",'MARZO 2026'!Y6:Y119,'MARZO 2026'!I6:I119)="BUENOS AIRES")*('MARZO 2026'!K6:K119="GASOLINA")*'MARZO 2026'!M6:M119),0)</f>
        <v/>
      </c>
      <c r="F1180" s="377">
        <f>IFERROR(SUMPRODUCT((IF('MARZO 2026'!Y6:Y119&lt;&gt;"",'MARZO 2026'!Y6:Y119,'MARZO 2026'!I6:I119)="BUENOS AIRES")*('MARZO 2026'!K6:K119="GASOLINA")*'MARZO 2026'!N6:N119),0)</f>
        <v/>
      </c>
    </row>
    <row r="1181" ht="15" customHeight="1" s="195">
      <c r="A1181" s="194" t="inlineStr">
        <is>
          <t>BUENOS AIRES</t>
        </is>
      </c>
      <c r="B1181" s="194" t="inlineStr">
        <is>
          <t>ABRIL 2026</t>
        </is>
      </c>
      <c r="C1181" s="377">
        <f>IFERROR(SUMPRODUCT((IF('ABRIL 2026'!Y6:Y119&lt;&gt;"",'ABRIL 2026'!Y6:Y119,'ABRIL 2026'!I6:I119)="BUENOS AIRES")*('ABRIL 2026'!K6:K119="PETROLEO")*'ABRIL 2026'!M6:M119),0)</f>
        <v/>
      </c>
      <c r="D1181" s="377">
        <f>IFERROR(SUMPRODUCT((IF('ABRIL 2026'!Y6:Y119&lt;&gt;"",'ABRIL 2026'!Y6:Y119,'ABRIL 2026'!I6:I119)="BUENOS AIRES")*('ABRIL 2026'!K6:K119="PETROLEO")*'ABRIL 2026'!N6:N119),0)</f>
        <v/>
      </c>
      <c r="E1181" s="377">
        <f>IFERROR(SUMPRODUCT((IF('ABRIL 2026'!Y6:Y119&lt;&gt;"",'ABRIL 2026'!Y6:Y119,'ABRIL 2026'!I6:I119)="BUENOS AIRES")*('ABRIL 2026'!K6:K119="GASOLINA")*'ABRIL 2026'!M6:M119),0)</f>
        <v/>
      </c>
      <c r="F1181" s="377">
        <f>IFERROR(SUMPRODUCT((IF('ABRIL 2026'!Y6:Y119&lt;&gt;"",'ABRIL 2026'!Y6:Y119,'ABRIL 2026'!I6:I119)="BUENOS AIRES")*('ABRIL 2026'!K6:K119="GASOLINA")*'ABRIL 2026'!N6:N119),0)</f>
        <v/>
      </c>
    </row>
    <row r="1182" ht="15" customHeight="1" s="195">
      <c r="A1182" s="194" t="inlineStr">
        <is>
          <t>BUENOS AIRES</t>
        </is>
      </c>
      <c r="B1182" s="194" t="inlineStr">
        <is>
          <t>MAYO 2026</t>
        </is>
      </c>
      <c r="C1182" s="377">
        <f>IFERROR(SUMPRODUCT((IF('MAYO 2026'!Y6:Y110&lt;&gt;"",'MAYO 2026'!Y6:Y110,'MAYO 2026'!I6:I110)="BUENOS AIRES")*('MAYO 2026'!K6:K110="PETROLEO")*'MAYO 2026'!M6:M110),0)</f>
        <v/>
      </c>
      <c r="D1182" s="377">
        <f>IFERROR(SUMPRODUCT((IF('MAYO 2026'!Y6:Y110&lt;&gt;"",'MAYO 2026'!Y6:Y110,'MAYO 2026'!I6:I110)="BUENOS AIRES")*('MAYO 2026'!K6:K110="PETROLEO")*'MAYO 2026'!N6:N110),0)</f>
        <v/>
      </c>
      <c r="E1182" s="377">
        <f>IFERROR(SUMPRODUCT((IF('MAYO 2026'!Y6:Y110&lt;&gt;"",'MAYO 2026'!Y6:Y110,'MAYO 2026'!I6:I110)="BUENOS AIRES")*('MAYO 2026'!K6:K110="GASOLINA")*'MAYO 2026'!M6:M110),0)</f>
        <v/>
      </c>
      <c r="F1182" s="377">
        <f>IFERROR(SUMPRODUCT((IF('MAYO 2026'!Y6:Y110&lt;&gt;"",'MAYO 2026'!Y6:Y110,'MAYO 2026'!I6:I110)="BUENOS AIRES")*('MAYO 2026'!K6:K110="GASOLINA")*'MAYO 2026'!N6:N110),0)</f>
        <v/>
      </c>
    </row>
    <row r="1183" ht="15" customHeight="1" s="195">
      <c r="A1183" s="194" t="inlineStr">
        <is>
          <t>BUENOS AIRES</t>
        </is>
      </c>
      <c r="B1183" s="194" t="inlineStr">
        <is>
          <t>JUNIO 2026</t>
        </is>
      </c>
      <c r="C1183" s="377">
        <f>IFERROR(SUMPRODUCT((IF('JUNIO 2026'!Y6:Y110&lt;&gt;"",'JUNIO 2026'!Y6:Y110,'JUNIO 2026'!I6:I110)="BUENOS AIRES")*('JUNIO 2026'!K6:K110="PETROLEO")*'JUNIO 2026'!M6:M110),0)</f>
        <v/>
      </c>
      <c r="D1183" s="377">
        <f>IFERROR(SUMPRODUCT((IF('JUNIO 2026'!Y6:Y110&lt;&gt;"",'JUNIO 2026'!Y6:Y110,'JUNIO 2026'!I6:I110)="BUENOS AIRES")*('JUNIO 2026'!K6:K110="PETROLEO")*'JUNIO 2026'!N6:N110),0)</f>
        <v/>
      </c>
      <c r="E1183" s="377">
        <f>IFERROR(SUMPRODUCT((IF('JUNIO 2026'!Y6:Y110&lt;&gt;"",'JUNIO 2026'!Y6:Y110,'JUNIO 2026'!I6:I110)="BUENOS AIRES")*('JUNIO 2026'!K6:K110="GASOLINA")*'JUNIO 2026'!M6:M110),0)</f>
        <v/>
      </c>
      <c r="F1183" s="377">
        <f>IFERROR(SUMPRODUCT((IF('JUNIO 2026'!Y6:Y110&lt;&gt;"",'JUNIO 2026'!Y6:Y110,'JUNIO 2026'!I6:I110)="BUENOS AIRES")*('JUNIO 2026'!K6:K110="GASOLINA")*'JUNIO 2026'!N6:N110),0)</f>
        <v/>
      </c>
    </row>
    <row r="1184" ht="15" customHeight="1" s="195">
      <c r="A1184" s="194" t="inlineStr">
        <is>
          <t>BUENOS AIRES</t>
        </is>
      </c>
      <c r="B1184" s="194" t="inlineStr">
        <is>
          <t>JULIO 2026</t>
        </is>
      </c>
      <c r="C1184" s="377">
        <f>IFERROR(SUMPRODUCT((IF('JULIO 2026'!Y6:Y110&lt;&gt;"",'JULIO 2026'!Y6:Y110,'JULIO 2026'!I6:I110)="BUENOS AIRES")*('JULIO 2026'!K6:K110="PETROLEO")*'JULIO 2026'!M6:M110),0)</f>
        <v/>
      </c>
      <c r="D1184" s="377">
        <f>IFERROR(SUMPRODUCT((IF('JULIO 2026'!Y6:Y110&lt;&gt;"",'JULIO 2026'!Y6:Y110,'JULIO 2026'!I6:I110)="BUENOS AIRES")*('JULIO 2026'!K6:K110="PETROLEO")*'JULIO 2026'!N6:N110),0)</f>
        <v/>
      </c>
      <c r="E1184" s="377">
        <f>IFERROR(SUMPRODUCT((IF('JULIO 2026'!Y6:Y110&lt;&gt;"",'JULIO 2026'!Y6:Y110,'JULIO 2026'!I6:I110)="BUENOS AIRES")*('JULIO 2026'!K6:K110="GASOLINA")*'JULIO 2026'!M6:M110),0)</f>
        <v/>
      </c>
      <c r="F1184" s="377">
        <f>IFERROR(SUMPRODUCT((IF('JULIO 2026'!Y6:Y110&lt;&gt;"",'JULIO 2026'!Y6:Y110,'JULIO 2026'!I6:I110)="BUENOS AIRES")*('JULIO 2026'!K6:K110="GASOLINA")*'JULIO 2026'!N6:N110),0)</f>
        <v/>
      </c>
    </row>
    <row r="1185" ht="15" customHeight="1" s="195">
      <c r="A1185" s="194" t="inlineStr">
        <is>
          <t>BUENOS AIRES</t>
        </is>
      </c>
      <c r="B1185" s="194" t="inlineStr">
        <is>
          <t>AGOSTO 2026</t>
        </is>
      </c>
      <c r="C1185" s="377">
        <f>IFERROR(SUMPRODUCT((IF('AGOSTO 2026'!Y6:Y110&lt;&gt;"",'AGOSTO 2026'!Y6:Y110,'AGOSTO 2026'!I6:I110)="BUENOS AIRES")*('AGOSTO 2026'!K6:K110="PETROLEO")*'AGOSTO 2026'!M6:M110),0)</f>
        <v/>
      </c>
      <c r="D1185" s="377">
        <f>IFERROR(SUMPRODUCT((IF('AGOSTO 2026'!Y6:Y110&lt;&gt;"",'AGOSTO 2026'!Y6:Y110,'AGOSTO 2026'!I6:I110)="BUENOS AIRES")*('AGOSTO 2026'!K6:K110="PETROLEO")*'AGOSTO 2026'!N6:N110),0)</f>
        <v/>
      </c>
      <c r="E1185" s="377">
        <f>IFERROR(SUMPRODUCT((IF('AGOSTO 2026'!Y6:Y110&lt;&gt;"",'AGOSTO 2026'!Y6:Y110,'AGOSTO 2026'!I6:I110)="BUENOS AIRES")*('AGOSTO 2026'!K6:K110="GASOLINA")*'AGOSTO 2026'!M6:M110),0)</f>
        <v/>
      </c>
      <c r="F1185" s="377">
        <f>IFERROR(SUMPRODUCT((IF('AGOSTO 2026'!Y6:Y110&lt;&gt;"",'AGOSTO 2026'!Y6:Y110,'AGOSTO 2026'!I6:I110)="BUENOS AIRES")*('AGOSTO 2026'!K6:K110="GASOLINA")*'AGOSTO 2026'!N6:N110),0)</f>
        <v/>
      </c>
    </row>
    <row r="1186" ht="15" customHeight="1" s="195">
      <c r="A1186" s="194" t="inlineStr">
        <is>
          <t>BUENOS AIRES</t>
        </is>
      </c>
      <c r="B1186" s="194" t="inlineStr">
        <is>
          <t>SETIEMBRE 2026</t>
        </is>
      </c>
      <c r="C1186" s="377">
        <f>IFERROR(SUMPRODUCT((IF('SETIEMBRE 2026'!Y6:Y110&lt;&gt;"",'SETIEMBRE 2026'!Y6:Y110,'SETIEMBRE 2026'!I6:I110)="BUENOS AIRES")*('SETIEMBRE 2026'!K6:K110="PETROLEO")*'SETIEMBRE 2026'!M6:M110),0)</f>
        <v/>
      </c>
      <c r="D1186" s="377">
        <f>IFERROR(SUMPRODUCT((IF('SETIEMBRE 2026'!Y6:Y110&lt;&gt;"",'SETIEMBRE 2026'!Y6:Y110,'SETIEMBRE 2026'!I6:I110)="BUENOS AIRES")*('SETIEMBRE 2026'!K6:K110="PETROLEO")*'SETIEMBRE 2026'!N6:N110),0)</f>
        <v/>
      </c>
      <c r="E1186" s="377">
        <f>IFERROR(SUMPRODUCT((IF('SETIEMBRE 2026'!Y6:Y110&lt;&gt;"",'SETIEMBRE 2026'!Y6:Y110,'SETIEMBRE 2026'!I6:I110)="BUENOS AIRES")*('SETIEMBRE 2026'!K6:K110="GASOLINA")*'SETIEMBRE 2026'!M6:M110),0)</f>
        <v/>
      </c>
      <c r="F1186" s="377">
        <f>IFERROR(SUMPRODUCT((IF('SETIEMBRE 2026'!Y6:Y110&lt;&gt;"",'SETIEMBRE 2026'!Y6:Y110,'SETIEMBRE 2026'!I6:I110)="BUENOS AIRES")*('SETIEMBRE 2026'!K6:K110="GASOLINA")*'SETIEMBRE 2026'!N6:N110),0)</f>
        <v/>
      </c>
    </row>
    <row r="1187" ht="15" customHeight="1" s="195">
      <c r="A1187" s="194" t="inlineStr">
        <is>
          <t>BUENOS AIRES</t>
        </is>
      </c>
      <c r="B1187" s="194" t="inlineStr">
        <is>
          <t>OCTUBRE 2026</t>
        </is>
      </c>
      <c r="C1187" s="377">
        <f>IFERROR(SUMPRODUCT((IF('OCTUBRE 2026'!Y6:Y110&lt;&gt;"",'OCTUBRE 2026'!Y6:Y110,'OCTUBRE 2026'!I6:I110)="BUENOS AIRES")*('OCTUBRE 2026'!K6:K110="PETROLEO")*'OCTUBRE 2026'!M6:M110),0)</f>
        <v/>
      </c>
      <c r="D1187" s="377">
        <f>IFERROR(SUMPRODUCT((IF('OCTUBRE 2026'!Y6:Y110&lt;&gt;"",'OCTUBRE 2026'!Y6:Y110,'OCTUBRE 2026'!I6:I110)="BUENOS AIRES")*('OCTUBRE 2026'!K6:K110="PETROLEO")*'OCTUBRE 2026'!N6:N110),0)</f>
        <v/>
      </c>
      <c r="E1187" s="377">
        <f>IFERROR(SUMPRODUCT((IF('OCTUBRE 2026'!Y6:Y110&lt;&gt;"",'OCTUBRE 2026'!Y6:Y110,'OCTUBRE 2026'!I6:I110)="BUENOS AIRES")*('OCTUBRE 2026'!K6:K110="GASOLINA")*'OCTUBRE 2026'!M6:M110),0)</f>
        <v/>
      </c>
      <c r="F1187" s="377">
        <f>IFERROR(SUMPRODUCT((IF('OCTUBRE 2026'!Y6:Y110&lt;&gt;"",'OCTUBRE 2026'!Y6:Y110,'OCTUBRE 2026'!I6:I110)="BUENOS AIRES")*('OCTUBRE 2026'!K6:K110="GASOLINA")*'OCTUBRE 2026'!N6:N110),0)</f>
        <v/>
      </c>
    </row>
    <row r="1188" ht="15" customHeight="1" s="195">
      <c r="A1188" s="194" t="inlineStr">
        <is>
          <t>BUENOS AIRES</t>
        </is>
      </c>
      <c r="B1188" s="194" t="inlineStr">
        <is>
          <t>NOVIEMBRE 2026</t>
        </is>
      </c>
      <c r="C1188" s="377">
        <f>IFERROR(SUMPRODUCT((IF('NOVIEMBRE 2026'!Y6:Y110&lt;&gt;"",'NOVIEMBRE 2026'!Y6:Y110,'NOVIEMBRE 2026'!I6:I110)="BUENOS AIRES")*('NOVIEMBRE 2026'!K6:K110="PETROLEO")*'NOVIEMBRE 2026'!M6:M110),0)</f>
        <v/>
      </c>
      <c r="D1188" s="377">
        <f>IFERROR(SUMPRODUCT((IF('NOVIEMBRE 2026'!Y6:Y110&lt;&gt;"",'NOVIEMBRE 2026'!Y6:Y110,'NOVIEMBRE 2026'!I6:I110)="BUENOS AIRES")*('NOVIEMBRE 2026'!K6:K110="PETROLEO")*'NOVIEMBRE 2026'!N6:N110),0)</f>
        <v/>
      </c>
      <c r="E1188" s="377">
        <f>IFERROR(SUMPRODUCT((IF('NOVIEMBRE 2026'!Y6:Y110&lt;&gt;"",'NOVIEMBRE 2026'!Y6:Y110,'NOVIEMBRE 2026'!I6:I110)="BUENOS AIRES")*('NOVIEMBRE 2026'!K6:K110="GASOLINA")*'NOVIEMBRE 2026'!M6:M110),0)</f>
        <v/>
      </c>
      <c r="F1188" s="377">
        <f>IFERROR(SUMPRODUCT((IF('NOVIEMBRE 2026'!Y6:Y110&lt;&gt;"",'NOVIEMBRE 2026'!Y6:Y110,'NOVIEMBRE 2026'!I6:I110)="BUENOS AIRES")*('NOVIEMBRE 2026'!K6:K110="GASOLINA")*'NOVIEMBRE 2026'!N6:N110),0)</f>
        <v/>
      </c>
    </row>
    <row r="1189" ht="15" customHeight="1" s="195">
      <c r="A1189" s="194" t="inlineStr">
        <is>
          <t>BUENOS AIRES</t>
        </is>
      </c>
      <c r="B1189" s="194" t="inlineStr">
        <is>
          <t>DICIEMBRE 2026</t>
        </is>
      </c>
      <c r="C1189" s="377">
        <f>IFERROR(SUMPRODUCT((IF('DICIEMBRE 2026'!Y6:Y110&lt;&gt;"",'DICIEMBRE 2026'!Y6:Y110,'DICIEMBRE 2026'!I6:I110)="BUENOS AIRES")*('DICIEMBRE 2026'!K6:K110="PETROLEO")*'DICIEMBRE 2026'!M6:M110),0)</f>
        <v/>
      </c>
      <c r="D1189" s="377">
        <f>IFERROR(SUMPRODUCT((IF('DICIEMBRE 2026'!Y6:Y110&lt;&gt;"",'DICIEMBRE 2026'!Y6:Y110,'DICIEMBRE 2026'!I6:I110)="BUENOS AIRES")*('DICIEMBRE 2026'!K6:K110="PETROLEO")*'DICIEMBRE 2026'!N6:N110),0)</f>
        <v/>
      </c>
      <c r="E1189" s="377">
        <f>IFERROR(SUMPRODUCT((IF('DICIEMBRE 2026'!Y6:Y110&lt;&gt;"",'DICIEMBRE 2026'!Y6:Y110,'DICIEMBRE 2026'!I6:I110)="BUENOS AIRES")*('DICIEMBRE 2026'!K6:K110="GASOLINA")*'DICIEMBRE 2026'!M6:M110),0)</f>
        <v/>
      </c>
      <c r="F1189" s="377">
        <f>IFERROR(SUMPRODUCT((IF('DICIEMBRE 2026'!Y6:Y110&lt;&gt;"",'DICIEMBRE 2026'!Y6:Y110,'DICIEMBRE 2026'!I6:I110)="BUENOS AIRES")*('DICIEMBRE 2026'!K6:K110="GASOLINA")*'DICIEMBRE 2026'!N6:N110),0)</f>
        <v/>
      </c>
    </row>
    <row r="1190" ht="15" customHeight="1" s="195">
      <c r="A1190" s="194" t="inlineStr">
        <is>
          <t>CAMPORREDONDO</t>
        </is>
      </c>
      <c r="B1190" s="194" t="inlineStr">
        <is>
          <t>ENERO 2026</t>
        </is>
      </c>
      <c r="C1190" s="377">
        <f>IFERROR(SUMPRODUCT((IF('ENERO 2026'!Y6:Y119&lt;&gt;"",'ENERO 2026'!Y6:Y119,'ENERO 2026'!I6:I119)="CAMPORREDONDO")*('ENERO 2026'!K6:K119="PETROLEO")*'ENERO 2026'!M6:M119),0)</f>
        <v/>
      </c>
      <c r="D1190" s="377">
        <f>IFERROR(SUMPRODUCT((IF('ENERO 2026'!Y6:Y119&lt;&gt;"",'ENERO 2026'!Y6:Y119,'ENERO 2026'!I6:I119)="CAMPORREDONDO")*('ENERO 2026'!K6:K119="PETROLEO")*'ENERO 2026'!N6:N119),0)</f>
        <v/>
      </c>
      <c r="E1190" s="377">
        <f>IFERROR(SUMPRODUCT((IF('ENERO 2026'!Y6:Y119&lt;&gt;"",'ENERO 2026'!Y6:Y119,'ENERO 2026'!I6:I119)="CAMPORREDONDO")*('ENERO 2026'!K6:K119="GASOLINA")*'ENERO 2026'!M6:M119),0)</f>
        <v/>
      </c>
      <c r="F1190" s="377">
        <f>IFERROR(SUMPRODUCT((IF('ENERO 2026'!Y6:Y119&lt;&gt;"",'ENERO 2026'!Y6:Y119,'ENERO 2026'!I6:I119)="CAMPORREDONDO")*('ENERO 2026'!K6:K119="GASOLINA")*'ENERO 2026'!N6:N119),0)</f>
        <v/>
      </c>
    </row>
    <row r="1191" ht="15" customHeight="1" s="195">
      <c r="A1191" s="194" t="inlineStr">
        <is>
          <t>CAMPORREDONDO</t>
        </is>
      </c>
      <c r="B1191" s="194" t="inlineStr">
        <is>
          <t>FEBRERO 2026</t>
        </is>
      </c>
      <c r="C1191" s="377">
        <f>IFERROR(SUMPRODUCT((IF('FEBRERO 2026'!Y6:Y124&lt;&gt;"",'FEBRERO 2026'!Y6:Y124,'FEBRERO 2026'!I6:I124)="CAMPORREDONDO")*('FEBRERO 2026'!K6:K124="PETROLEO")*'FEBRERO 2026'!M6:M124),0)</f>
        <v/>
      </c>
      <c r="D1191" s="377">
        <f>IFERROR(SUMPRODUCT((IF('FEBRERO 2026'!Y6:Y124&lt;&gt;"",'FEBRERO 2026'!Y6:Y124,'FEBRERO 2026'!I6:I124)="CAMPORREDONDO")*('FEBRERO 2026'!K6:K124="PETROLEO")*'FEBRERO 2026'!N6:N124),0)</f>
        <v/>
      </c>
      <c r="E1191" s="377">
        <f>IFERROR(SUMPRODUCT((IF('FEBRERO 2026'!Y6:Y124&lt;&gt;"",'FEBRERO 2026'!Y6:Y124,'FEBRERO 2026'!I6:I124)="CAMPORREDONDO")*('FEBRERO 2026'!K6:K124="GASOLINA")*'FEBRERO 2026'!M6:M124),0)</f>
        <v/>
      </c>
      <c r="F1191" s="377">
        <f>IFERROR(SUMPRODUCT((IF('FEBRERO 2026'!Y6:Y124&lt;&gt;"",'FEBRERO 2026'!Y6:Y124,'FEBRERO 2026'!I6:I124)="CAMPORREDONDO")*('FEBRERO 2026'!K6:K124="GASOLINA")*'FEBRERO 2026'!N6:N124),0)</f>
        <v/>
      </c>
    </row>
    <row r="1192" ht="15" customHeight="1" s="195">
      <c r="A1192" s="194" t="inlineStr">
        <is>
          <t>CAMPORREDONDO</t>
        </is>
      </c>
      <c r="B1192" s="194" t="inlineStr">
        <is>
          <t>MARZO 2026</t>
        </is>
      </c>
      <c r="C1192" s="377">
        <f>IFERROR(SUMPRODUCT((IF('MARZO 2026'!Y6:Y119&lt;&gt;"",'MARZO 2026'!Y6:Y119,'MARZO 2026'!I6:I119)="CAMPORREDONDO")*('MARZO 2026'!K6:K119="PETROLEO")*'MARZO 2026'!M6:M119),0)</f>
        <v/>
      </c>
      <c r="D1192" s="377">
        <f>IFERROR(SUMPRODUCT((IF('MARZO 2026'!Y6:Y119&lt;&gt;"",'MARZO 2026'!Y6:Y119,'MARZO 2026'!I6:I119)="CAMPORREDONDO")*('MARZO 2026'!K6:K119="PETROLEO")*'MARZO 2026'!N6:N119),0)</f>
        <v/>
      </c>
      <c r="E1192" s="377">
        <f>IFERROR(SUMPRODUCT((IF('MARZO 2026'!Y6:Y119&lt;&gt;"",'MARZO 2026'!Y6:Y119,'MARZO 2026'!I6:I119)="CAMPORREDONDO")*('MARZO 2026'!K6:K119="GASOLINA")*'MARZO 2026'!M6:M119),0)</f>
        <v/>
      </c>
      <c r="F1192" s="377">
        <f>IFERROR(SUMPRODUCT((IF('MARZO 2026'!Y6:Y119&lt;&gt;"",'MARZO 2026'!Y6:Y119,'MARZO 2026'!I6:I119)="CAMPORREDONDO")*('MARZO 2026'!K6:K119="GASOLINA")*'MARZO 2026'!N6:N119),0)</f>
        <v/>
      </c>
    </row>
    <row r="1193" ht="15" customHeight="1" s="195">
      <c r="A1193" s="194" t="inlineStr">
        <is>
          <t>CAMPORREDONDO</t>
        </is>
      </c>
      <c r="B1193" s="194" t="inlineStr">
        <is>
          <t>ABRIL 2026</t>
        </is>
      </c>
      <c r="C1193" s="377">
        <f>IFERROR(SUMPRODUCT((IF('ABRIL 2026'!Y6:Y119&lt;&gt;"",'ABRIL 2026'!Y6:Y119,'ABRIL 2026'!I6:I119)="CAMPORREDONDO")*('ABRIL 2026'!K6:K119="PETROLEO")*'ABRIL 2026'!M6:M119),0)</f>
        <v/>
      </c>
      <c r="D1193" s="377">
        <f>IFERROR(SUMPRODUCT((IF('ABRIL 2026'!Y6:Y119&lt;&gt;"",'ABRIL 2026'!Y6:Y119,'ABRIL 2026'!I6:I119)="CAMPORREDONDO")*('ABRIL 2026'!K6:K119="PETROLEO")*'ABRIL 2026'!N6:N119),0)</f>
        <v/>
      </c>
      <c r="E1193" s="377">
        <f>IFERROR(SUMPRODUCT((IF('ABRIL 2026'!Y6:Y119&lt;&gt;"",'ABRIL 2026'!Y6:Y119,'ABRIL 2026'!I6:I119)="CAMPORREDONDO")*('ABRIL 2026'!K6:K119="GASOLINA")*'ABRIL 2026'!M6:M119),0)</f>
        <v/>
      </c>
      <c r="F1193" s="377">
        <f>IFERROR(SUMPRODUCT((IF('ABRIL 2026'!Y6:Y119&lt;&gt;"",'ABRIL 2026'!Y6:Y119,'ABRIL 2026'!I6:I119)="CAMPORREDONDO")*('ABRIL 2026'!K6:K119="GASOLINA")*'ABRIL 2026'!N6:N119),0)</f>
        <v/>
      </c>
    </row>
    <row r="1194" ht="15" customHeight="1" s="195">
      <c r="A1194" s="194" t="inlineStr">
        <is>
          <t>CAMPORREDONDO</t>
        </is>
      </c>
      <c r="B1194" s="194" t="inlineStr">
        <is>
          <t>MAYO 2026</t>
        </is>
      </c>
      <c r="C1194" s="377">
        <f>IFERROR(SUMPRODUCT((IF('MAYO 2026'!Y6:Y110&lt;&gt;"",'MAYO 2026'!Y6:Y110,'MAYO 2026'!I6:I110)="CAMPORREDONDO")*('MAYO 2026'!K6:K110="PETROLEO")*'MAYO 2026'!M6:M110),0)</f>
        <v/>
      </c>
      <c r="D1194" s="377">
        <f>IFERROR(SUMPRODUCT((IF('MAYO 2026'!Y6:Y110&lt;&gt;"",'MAYO 2026'!Y6:Y110,'MAYO 2026'!I6:I110)="CAMPORREDONDO")*('MAYO 2026'!K6:K110="PETROLEO")*'MAYO 2026'!N6:N110),0)</f>
        <v/>
      </c>
      <c r="E1194" s="377">
        <f>IFERROR(SUMPRODUCT((IF('MAYO 2026'!Y6:Y110&lt;&gt;"",'MAYO 2026'!Y6:Y110,'MAYO 2026'!I6:I110)="CAMPORREDONDO")*('MAYO 2026'!K6:K110="GASOLINA")*'MAYO 2026'!M6:M110),0)</f>
        <v/>
      </c>
      <c r="F1194" s="377">
        <f>IFERROR(SUMPRODUCT((IF('MAYO 2026'!Y6:Y110&lt;&gt;"",'MAYO 2026'!Y6:Y110,'MAYO 2026'!I6:I110)="CAMPORREDONDO")*('MAYO 2026'!K6:K110="GASOLINA")*'MAYO 2026'!N6:N110),0)</f>
        <v/>
      </c>
    </row>
    <row r="1195" ht="15" customHeight="1" s="195">
      <c r="A1195" s="194" t="inlineStr">
        <is>
          <t>CAMPORREDONDO</t>
        </is>
      </c>
      <c r="B1195" s="194" t="inlineStr">
        <is>
          <t>JUNIO 2026</t>
        </is>
      </c>
      <c r="C1195" s="377">
        <f>IFERROR(SUMPRODUCT((IF('JUNIO 2026'!Y6:Y110&lt;&gt;"",'JUNIO 2026'!Y6:Y110,'JUNIO 2026'!I6:I110)="CAMPORREDONDO")*('JUNIO 2026'!K6:K110="PETROLEO")*'JUNIO 2026'!M6:M110),0)</f>
        <v/>
      </c>
      <c r="D1195" s="377">
        <f>IFERROR(SUMPRODUCT((IF('JUNIO 2026'!Y6:Y110&lt;&gt;"",'JUNIO 2026'!Y6:Y110,'JUNIO 2026'!I6:I110)="CAMPORREDONDO")*('JUNIO 2026'!K6:K110="PETROLEO")*'JUNIO 2026'!N6:N110),0)</f>
        <v/>
      </c>
      <c r="E1195" s="377">
        <f>IFERROR(SUMPRODUCT((IF('JUNIO 2026'!Y6:Y110&lt;&gt;"",'JUNIO 2026'!Y6:Y110,'JUNIO 2026'!I6:I110)="CAMPORREDONDO")*('JUNIO 2026'!K6:K110="GASOLINA")*'JUNIO 2026'!M6:M110),0)</f>
        <v/>
      </c>
      <c r="F1195" s="377">
        <f>IFERROR(SUMPRODUCT((IF('JUNIO 2026'!Y6:Y110&lt;&gt;"",'JUNIO 2026'!Y6:Y110,'JUNIO 2026'!I6:I110)="CAMPORREDONDO")*('JUNIO 2026'!K6:K110="GASOLINA")*'JUNIO 2026'!N6:N110),0)</f>
        <v/>
      </c>
    </row>
    <row r="1196" ht="15" customHeight="1" s="195">
      <c r="A1196" s="194" t="inlineStr">
        <is>
          <t>CAMPORREDONDO</t>
        </is>
      </c>
      <c r="B1196" s="194" t="inlineStr">
        <is>
          <t>JULIO 2026</t>
        </is>
      </c>
      <c r="C1196" s="377">
        <f>IFERROR(SUMPRODUCT((IF('JULIO 2026'!Y6:Y110&lt;&gt;"",'JULIO 2026'!Y6:Y110,'JULIO 2026'!I6:I110)="CAMPORREDONDO")*('JULIO 2026'!K6:K110="PETROLEO")*'JULIO 2026'!M6:M110),0)</f>
        <v/>
      </c>
      <c r="D1196" s="377">
        <f>IFERROR(SUMPRODUCT((IF('JULIO 2026'!Y6:Y110&lt;&gt;"",'JULIO 2026'!Y6:Y110,'JULIO 2026'!I6:I110)="CAMPORREDONDO")*('JULIO 2026'!K6:K110="PETROLEO")*'JULIO 2026'!N6:N110),0)</f>
        <v/>
      </c>
      <c r="E1196" s="377">
        <f>IFERROR(SUMPRODUCT((IF('JULIO 2026'!Y6:Y110&lt;&gt;"",'JULIO 2026'!Y6:Y110,'JULIO 2026'!I6:I110)="CAMPORREDONDO")*('JULIO 2026'!K6:K110="GASOLINA")*'JULIO 2026'!M6:M110),0)</f>
        <v/>
      </c>
      <c r="F1196" s="377">
        <f>IFERROR(SUMPRODUCT((IF('JULIO 2026'!Y6:Y110&lt;&gt;"",'JULIO 2026'!Y6:Y110,'JULIO 2026'!I6:I110)="CAMPORREDONDO")*('JULIO 2026'!K6:K110="GASOLINA")*'JULIO 2026'!N6:N110),0)</f>
        <v/>
      </c>
    </row>
    <row r="1197" ht="15" customHeight="1" s="195">
      <c r="A1197" s="194" t="inlineStr">
        <is>
          <t>CAMPORREDONDO</t>
        </is>
      </c>
      <c r="B1197" s="194" t="inlineStr">
        <is>
          <t>AGOSTO 2026</t>
        </is>
      </c>
      <c r="C1197" s="377">
        <f>IFERROR(SUMPRODUCT((IF('AGOSTO 2026'!Y6:Y110&lt;&gt;"",'AGOSTO 2026'!Y6:Y110,'AGOSTO 2026'!I6:I110)="CAMPORREDONDO")*('AGOSTO 2026'!K6:K110="PETROLEO")*'AGOSTO 2026'!M6:M110),0)</f>
        <v/>
      </c>
      <c r="D1197" s="377">
        <f>IFERROR(SUMPRODUCT((IF('AGOSTO 2026'!Y6:Y110&lt;&gt;"",'AGOSTO 2026'!Y6:Y110,'AGOSTO 2026'!I6:I110)="CAMPORREDONDO")*('AGOSTO 2026'!K6:K110="PETROLEO")*'AGOSTO 2026'!N6:N110),0)</f>
        <v/>
      </c>
      <c r="E1197" s="377">
        <f>IFERROR(SUMPRODUCT((IF('AGOSTO 2026'!Y6:Y110&lt;&gt;"",'AGOSTO 2026'!Y6:Y110,'AGOSTO 2026'!I6:I110)="CAMPORREDONDO")*('AGOSTO 2026'!K6:K110="GASOLINA")*'AGOSTO 2026'!M6:M110),0)</f>
        <v/>
      </c>
      <c r="F1197" s="377">
        <f>IFERROR(SUMPRODUCT((IF('AGOSTO 2026'!Y6:Y110&lt;&gt;"",'AGOSTO 2026'!Y6:Y110,'AGOSTO 2026'!I6:I110)="CAMPORREDONDO")*('AGOSTO 2026'!K6:K110="GASOLINA")*'AGOSTO 2026'!N6:N110),0)</f>
        <v/>
      </c>
    </row>
    <row r="1198" ht="15" customHeight="1" s="195">
      <c r="A1198" s="194" t="inlineStr">
        <is>
          <t>CAMPORREDONDO</t>
        </is>
      </c>
      <c r="B1198" s="194" t="inlineStr">
        <is>
          <t>SETIEMBRE 2026</t>
        </is>
      </c>
      <c r="C1198" s="377">
        <f>IFERROR(SUMPRODUCT((IF('SETIEMBRE 2026'!Y6:Y110&lt;&gt;"",'SETIEMBRE 2026'!Y6:Y110,'SETIEMBRE 2026'!I6:I110)="CAMPORREDONDO")*('SETIEMBRE 2026'!K6:K110="PETROLEO")*'SETIEMBRE 2026'!M6:M110),0)</f>
        <v/>
      </c>
      <c r="D1198" s="377">
        <f>IFERROR(SUMPRODUCT((IF('SETIEMBRE 2026'!Y6:Y110&lt;&gt;"",'SETIEMBRE 2026'!Y6:Y110,'SETIEMBRE 2026'!I6:I110)="CAMPORREDONDO")*('SETIEMBRE 2026'!K6:K110="PETROLEO")*'SETIEMBRE 2026'!N6:N110),0)</f>
        <v/>
      </c>
      <c r="E1198" s="377">
        <f>IFERROR(SUMPRODUCT((IF('SETIEMBRE 2026'!Y6:Y110&lt;&gt;"",'SETIEMBRE 2026'!Y6:Y110,'SETIEMBRE 2026'!I6:I110)="CAMPORREDONDO")*('SETIEMBRE 2026'!K6:K110="GASOLINA")*'SETIEMBRE 2026'!M6:M110),0)</f>
        <v/>
      </c>
      <c r="F1198" s="377">
        <f>IFERROR(SUMPRODUCT((IF('SETIEMBRE 2026'!Y6:Y110&lt;&gt;"",'SETIEMBRE 2026'!Y6:Y110,'SETIEMBRE 2026'!I6:I110)="CAMPORREDONDO")*('SETIEMBRE 2026'!K6:K110="GASOLINA")*'SETIEMBRE 2026'!N6:N110),0)</f>
        <v/>
      </c>
    </row>
    <row r="1199" ht="15" customHeight="1" s="195">
      <c r="A1199" s="194" t="inlineStr">
        <is>
          <t>CAMPORREDONDO</t>
        </is>
      </c>
      <c r="B1199" s="194" t="inlineStr">
        <is>
          <t>OCTUBRE 2026</t>
        </is>
      </c>
      <c r="C1199" s="377">
        <f>IFERROR(SUMPRODUCT((IF('OCTUBRE 2026'!Y6:Y110&lt;&gt;"",'OCTUBRE 2026'!Y6:Y110,'OCTUBRE 2026'!I6:I110)="CAMPORREDONDO")*('OCTUBRE 2026'!K6:K110="PETROLEO")*'OCTUBRE 2026'!M6:M110),0)</f>
        <v/>
      </c>
      <c r="D1199" s="377">
        <f>IFERROR(SUMPRODUCT((IF('OCTUBRE 2026'!Y6:Y110&lt;&gt;"",'OCTUBRE 2026'!Y6:Y110,'OCTUBRE 2026'!I6:I110)="CAMPORREDONDO")*('OCTUBRE 2026'!K6:K110="PETROLEO")*'OCTUBRE 2026'!N6:N110),0)</f>
        <v/>
      </c>
      <c r="E1199" s="377">
        <f>IFERROR(SUMPRODUCT((IF('OCTUBRE 2026'!Y6:Y110&lt;&gt;"",'OCTUBRE 2026'!Y6:Y110,'OCTUBRE 2026'!I6:I110)="CAMPORREDONDO")*('OCTUBRE 2026'!K6:K110="GASOLINA")*'OCTUBRE 2026'!M6:M110),0)</f>
        <v/>
      </c>
      <c r="F1199" s="377">
        <f>IFERROR(SUMPRODUCT((IF('OCTUBRE 2026'!Y6:Y110&lt;&gt;"",'OCTUBRE 2026'!Y6:Y110,'OCTUBRE 2026'!I6:I110)="CAMPORREDONDO")*('OCTUBRE 2026'!K6:K110="GASOLINA")*'OCTUBRE 2026'!N6:N110),0)</f>
        <v/>
      </c>
    </row>
    <row r="1200" ht="15" customHeight="1" s="195">
      <c r="A1200" s="194" t="inlineStr">
        <is>
          <t>CAMPORREDONDO</t>
        </is>
      </c>
      <c r="B1200" s="194" t="inlineStr">
        <is>
          <t>NOVIEMBRE 2026</t>
        </is>
      </c>
      <c r="C1200" s="377">
        <f>IFERROR(SUMPRODUCT((IF('NOVIEMBRE 2026'!Y6:Y110&lt;&gt;"",'NOVIEMBRE 2026'!Y6:Y110,'NOVIEMBRE 2026'!I6:I110)="CAMPORREDONDO")*('NOVIEMBRE 2026'!K6:K110="PETROLEO")*'NOVIEMBRE 2026'!M6:M110),0)</f>
        <v/>
      </c>
      <c r="D1200" s="377">
        <f>IFERROR(SUMPRODUCT((IF('NOVIEMBRE 2026'!Y6:Y110&lt;&gt;"",'NOVIEMBRE 2026'!Y6:Y110,'NOVIEMBRE 2026'!I6:I110)="CAMPORREDONDO")*('NOVIEMBRE 2026'!K6:K110="PETROLEO")*'NOVIEMBRE 2026'!N6:N110),0)</f>
        <v/>
      </c>
      <c r="E1200" s="377">
        <f>IFERROR(SUMPRODUCT((IF('NOVIEMBRE 2026'!Y6:Y110&lt;&gt;"",'NOVIEMBRE 2026'!Y6:Y110,'NOVIEMBRE 2026'!I6:I110)="CAMPORREDONDO")*('NOVIEMBRE 2026'!K6:K110="GASOLINA")*'NOVIEMBRE 2026'!M6:M110),0)</f>
        <v/>
      </c>
      <c r="F1200" s="377">
        <f>IFERROR(SUMPRODUCT((IF('NOVIEMBRE 2026'!Y6:Y110&lt;&gt;"",'NOVIEMBRE 2026'!Y6:Y110,'NOVIEMBRE 2026'!I6:I110)="CAMPORREDONDO")*('NOVIEMBRE 2026'!K6:K110="GASOLINA")*'NOVIEMBRE 2026'!N6:N110),0)</f>
        <v/>
      </c>
    </row>
    <row r="1201" ht="15" customHeight="1" s="195">
      <c r="A1201" s="194" t="inlineStr">
        <is>
          <t>CAMPORREDONDO</t>
        </is>
      </c>
      <c r="B1201" s="194" t="inlineStr">
        <is>
          <t>DICIEMBRE 2026</t>
        </is>
      </c>
      <c r="C1201" s="377">
        <f>IFERROR(SUMPRODUCT((IF('DICIEMBRE 2026'!Y6:Y110&lt;&gt;"",'DICIEMBRE 2026'!Y6:Y110,'DICIEMBRE 2026'!I6:I110)="CAMPORREDONDO")*('DICIEMBRE 2026'!K6:K110="PETROLEO")*'DICIEMBRE 2026'!M6:M110),0)</f>
        <v/>
      </c>
      <c r="D1201" s="377">
        <f>IFERROR(SUMPRODUCT((IF('DICIEMBRE 2026'!Y6:Y110&lt;&gt;"",'DICIEMBRE 2026'!Y6:Y110,'DICIEMBRE 2026'!I6:I110)="CAMPORREDONDO")*('DICIEMBRE 2026'!K6:K110="PETROLEO")*'DICIEMBRE 2026'!N6:N110),0)</f>
        <v/>
      </c>
      <c r="E1201" s="377">
        <f>IFERROR(SUMPRODUCT((IF('DICIEMBRE 2026'!Y6:Y110&lt;&gt;"",'DICIEMBRE 2026'!Y6:Y110,'DICIEMBRE 2026'!I6:I110)="CAMPORREDONDO")*('DICIEMBRE 2026'!K6:K110="GASOLINA")*'DICIEMBRE 2026'!M6:M110),0)</f>
        <v/>
      </c>
      <c r="F1201" s="377">
        <f>IFERROR(SUMPRODUCT((IF('DICIEMBRE 2026'!Y6:Y110&lt;&gt;"",'DICIEMBRE 2026'!Y6:Y110,'DICIEMBRE 2026'!I6:I110)="CAMPORREDONDO")*('DICIEMBRE 2026'!K6:K110="GASOLINA")*'DICIEMBRE 2026'!N6:N110),0)</f>
        <v/>
      </c>
    </row>
    <row r="1202" ht="15" customHeight="1" s="195">
      <c r="A1202" s="194" t="inlineStr">
        <is>
          <t>CHUQUIBAMBA</t>
        </is>
      </c>
      <c r="B1202" s="194" t="inlineStr">
        <is>
          <t>ENERO 2026</t>
        </is>
      </c>
      <c r="C1202" s="377">
        <f>IFERROR(SUMPRODUCT((IF('ENERO 2026'!Y6:Y119&lt;&gt;"",'ENERO 2026'!Y6:Y119,'ENERO 2026'!I6:I119)="CHUQUIBAMBA")*('ENERO 2026'!K6:K119="PETROLEO")*'ENERO 2026'!M6:M119),0)</f>
        <v/>
      </c>
      <c r="D1202" s="377">
        <f>IFERROR(SUMPRODUCT((IF('ENERO 2026'!Y6:Y119&lt;&gt;"",'ENERO 2026'!Y6:Y119,'ENERO 2026'!I6:I119)="CHUQUIBAMBA")*('ENERO 2026'!K6:K119="PETROLEO")*'ENERO 2026'!N6:N119),0)</f>
        <v/>
      </c>
      <c r="E1202" s="377">
        <f>IFERROR(SUMPRODUCT((IF('ENERO 2026'!Y6:Y119&lt;&gt;"",'ENERO 2026'!Y6:Y119,'ENERO 2026'!I6:I119)="CHUQUIBAMBA")*('ENERO 2026'!K6:K119="GASOLINA")*'ENERO 2026'!M6:M119),0)</f>
        <v/>
      </c>
      <c r="F1202" s="377">
        <f>IFERROR(SUMPRODUCT((IF('ENERO 2026'!Y6:Y119&lt;&gt;"",'ENERO 2026'!Y6:Y119,'ENERO 2026'!I6:I119)="CHUQUIBAMBA")*('ENERO 2026'!K6:K119="GASOLINA")*'ENERO 2026'!N6:N119),0)</f>
        <v/>
      </c>
    </row>
    <row r="1203" ht="15" customHeight="1" s="195">
      <c r="A1203" s="194" t="inlineStr">
        <is>
          <t>CHUQUIBAMBA</t>
        </is>
      </c>
      <c r="B1203" s="194" t="inlineStr">
        <is>
          <t>FEBRERO 2026</t>
        </is>
      </c>
      <c r="C1203" s="377">
        <f>IFERROR(SUMPRODUCT((IF('FEBRERO 2026'!Y6:Y124&lt;&gt;"",'FEBRERO 2026'!Y6:Y124,'FEBRERO 2026'!I6:I124)="CHUQUIBAMBA")*('FEBRERO 2026'!K6:K124="PETROLEO")*'FEBRERO 2026'!M6:M124),0)</f>
        <v/>
      </c>
      <c r="D1203" s="377">
        <f>IFERROR(SUMPRODUCT((IF('FEBRERO 2026'!Y6:Y124&lt;&gt;"",'FEBRERO 2026'!Y6:Y124,'FEBRERO 2026'!I6:I124)="CHUQUIBAMBA")*('FEBRERO 2026'!K6:K124="PETROLEO")*'FEBRERO 2026'!N6:N124),0)</f>
        <v/>
      </c>
      <c r="E1203" s="377">
        <f>IFERROR(SUMPRODUCT((IF('FEBRERO 2026'!Y6:Y124&lt;&gt;"",'FEBRERO 2026'!Y6:Y124,'FEBRERO 2026'!I6:I124)="CHUQUIBAMBA")*('FEBRERO 2026'!K6:K124="GASOLINA")*'FEBRERO 2026'!M6:M124),0)</f>
        <v/>
      </c>
      <c r="F1203" s="377">
        <f>IFERROR(SUMPRODUCT((IF('FEBRERO 2026'!Y6:Y124&lt;&gt;"",'FEBRERO 2026'!Y6:Y124,'FEBRERO 2026'!I6:I124)="CHUQUIBAMBA")*('FEBRERO 2026'!K6:K124="GASOLINA")*'FEBRERO 2026'!N6:N124),0)</f>
        <v/>
      </c>
    </row>
    <row r="1204" ht="15" customHeight="1" s="195">
      <c r="A1204" s="194" t="inlineStr">
        <is>
          <t>CHUQUIBAMBA</t>
        </is>
      </c>
      <c r="B1204" s="194" t="inlineStr">
        <is>
          <t>MARZO 2026</t>
        </is>
      </c>
      <c r="C1204" s="377">
        <f>IFERROR(SUMPRODUCT((IF('MARZO 2026'!Y6:Y119&lt;&gt;"",'MARZO 2026'!Y6:Y119,'MARZO 2026'!I6:I119)="CHUQUIBAMBA")*('MARZO 2026'!K6:K119="PETROLEO")*'MARZO 2026'!M6:M119),0)</f>
        <v/>
      </c>
      <c r="D1204" s="377">
        <f>IFERROR(SUMPRODUCT((IF('MARZO 2026'!Y6:Y119&lt;&gt;"",'MARZO 2026'!Y6:Y119,'MARZO 2026'!I6:I119)="CHUQUIBAMBA")*('MARZO 2026'!K6:K119="PETROLEO")*'MARZO 2026'!N6:N119),0)</f>
        <v/>
      </c>
      <c r="E1204" s="377">
        <f>IFERROR(SUMPRODUCT((IF('MARZO 2026'!Y6:Y119&lt;&gt;"",'MARZO 2026'!Y6:Y119,'MARZO 2026'!I6:I119)="CHUQUIBAMBA")*('MARZO 2026'!K6:K119="GASOLINA")*'MARZO 2026'!M6:M119),0)</f>
        <v/>
      </c>
      <c r="F1204" s="377">
        <f>IFERROR(SUMPRODUCT((IF('MARZO 2026'!Y6:Y119&lt;&gt;"",'MARZO 2026'!Y6:Y119,'MARZO 2026'!I6:I119)="CHUQUIBAMBA")*('MARZO 2026'!K6:K119="GASOLINA")*'MARZO 2026'!N6:N119),0)</f>
        <v/>
      </c>
    </row>
    <row r="1205" ht="15" customHeight="1" s="195">
      <c r="A1205" s="194" t="inlineStr">
        <is>
          <t>CHUQUIBAMBA</t>
        </is>
      </c>
      <c r="B1205" s="194" t="inlineStr">
        <is>
          <t>ABRIL 2026</t>
        </is>
      </c>
      <c r="C1205" s="377">
        <f>IFERROR(SUMPRODUCT((IF('ABRIL 2026'!Y6:Y119&lt;&gt;"",'ABRIL 2026'!Y6:Y119,'ABRIL 2026'!I6:I119)="CHUQUIBAMBA")*('ABRIL 2026'!K6:K119="PETROLEO")*'ABRIL 2026'!M6:M119),0)</f>
        <v/>
      </c>
      <c r="D1205" s="377">
        <f>IFERROR(SUMPRODUCT((IF('ABRIL 2026'!Y6:Y119&lt;&gt;"",'ABRIL 2026'!Y6:Y119,'ABRIL 2026'!I6:I119)="CHUQUIBAMBA")*('ABRIL 2026'!K6:K119="PETROLEO")*'ABRIL 2026'!N6:N119),0)</f>
        <v/>
      </c>
      <c r="E1205" s="377">
        <f>IFERROR(SUMPRODUCT((IF('ABRIL 2026'!Y6:Y119&lt;&gt;"",'ABRIL 2026'!Y6:Y119,'ABRIL 2026'!I6:I119)="CHUQUIBAMBA")*('ABRIL 2026'!K6:K119="GASOLINA")*'ABRIL 2026'!M6:M119),0)</f>
        <v/>
      </c>
      <c r="F1205" s="377">
        <f>IFERROR(SUMPRODUCT((IF('ABRIL 2026'!Y6:Y119&lt;&gt;"",'ABRIL 2026'!Y6:Y119,'ABRIL 2026'!I6:I119)="CHUQUIBAMBA")*('ABRIL 2026'!K6:K119="GASOLINA")*'ABRIL 2026'!N6:N119),0)</f>
        <v/>
      </c>
    </row>
    <row r="1206" ht="15" customHeight="1" s="195">
      <c r="A1206" s="194" t="inlineStr">
        <is>
          <t>CHUQUIBAMBA</t>
        </is>
      </c>
      <c r="B1206" s="194" t="inlineStr">
        <is>
          <t>MAYO 2026</t>
        </is>
      </c>
      <c r="C1206" s="377">
        <f>IFERROR(SUMPRODUCT((IF('MAYO 2026'!Y6:Y110&lt;&gt;"",'MAYO 2026'!Y6:Y110,'MAYO 2026'!I6:I110)="CHUQUIBAMBA")*('MAYO 2026'!K6:K110="PETROLEO")*'MAYO 2026'!M6:M110),0)</f>
        <v/>
      </c>
      <c r="D1206" s="377">
        <f>IFERROR(SUMPRODUCT((IF('MAYO 2026'!Y6:Y110&lt;&gt;"",'MAYO 2026'!Y6:Y110,'MAYO 2026'!I6:I110)="CHUQUIBAMBA")*('MAYO 2026'!K6:K110="PETROLEO")*'MAYO 2026'!N6:N110),0)</f>
        <v/>
      </c>
      <c r="E1206" s="377">
        <f>IFERROR(SUMPRODUCT((IF('MAYO 2026'!Y6:Y110&lt;&gt;"",'MAYO 2026'!Y6:Y110,'MAYO 2026'!I6:I110)="CHUQUIBAMBA")*('MAYO 2026'!K6:K110="GASOLINA")*'MAYO 2026'!M6:M110),0)</f>
        <v/>
      </c>
      <c r="F1206" s="377">
        <f>IFERROR(SUMPRODUCT((IF('MAYO 2026'!Y6:Y110&lt;&gt;"",'MAYO 2026'!Y6:Y110,'MAYO 2026'!I6:I110)="CHUQUIBAMBA")*('MAYO 2026'!K6:K110="GASOLINA")*'MAYO 2026'!N6:N110),0)</f>
        <v/>
      </c>
    </row>
    <row r="1207" ht="15" customHeight="1" s="195">
      <c r="A1207" s="194" t="inlineStr">
        <is>
          <t>CHUQUIBAMBA</t>
        </is>
      </c>
      <c r="B1207" s="194" t="inlineStr">
        <is>
          <t>JUNIO 2026</t>
        </is>
      </c>
      <c r="C1207" s="377">
        <f>IFERROR(SUMPRODUCT((IF('JUNIO 2026'!Y6:Y110&lt;&gt;"",'JUNIO 2026'!Y6:Y110,'JUNIO 2026'!I6:I110)="CHUQUIBAMBA")*('JUNIO 2026'!K6:K110="PETROLEO")*'JUNIO 2026'!M6:M110),0)</f>
        <v/>
      </c>
      <c r="D1207" s="377">
        <f>IFERROR(SUMPRODUCT((IF('JUNIO 2026'!Y6:Y110&lt;&gt;"",'JUNIO 2026'!Y6:Y110,'JUNIO 2026'!I6:I110)="CHUQUIBAMBA")*('JUNIO 2026'!K6:K110="PETROLEO")*'JUNIO 2026'!N6:N110),0)</f>
        <v/>
      </c>
      <c r="E1207" s="377">
        <f>IFERROR(SUMPRODUCT((IF('JUNIO 2026'!Y6:Y110&lt;&gt;"",'JUNIO 2026'!Y6:Y110,'JUNIO 2026'!I6:I110)="CHUQUIBAMBA")*('JUNIO 2026'!K6:K110="GASOLINA")*'JUNIO 2026'!M6:M110),0)</f>
        <v/>
      </c>
      <c r="F1207" s="377">
        <f>IFERROR(SUMPRODUCT((IF('JUNIO 2026'!Y6:Y110&lt;&gt;"",'JUNIO 2026'!Y6:Y110,'JUNIO 2026'!I6:I110)="CHUQUIBAMBA")*('JUNIO 2026'!K6:K110="GASOLINA")*'JUNIO 2026'!N6:N110),0)</f>
        <v/>
      </c>
    </row>
    <row r="1208" ht="15" customHeight="1" s="195">
      <c r="A1208" s="194" t="inlineStr">
        <is>
          <t>CHUQUIBAMBA</t>
        </is>
      </c>
      <c r="B1208" s="194" t="inlineStr">
        <is>
          <t>JULIO 2026</t>
        </is>
      </c>
      <c r="C1208" s="377">
        <f>IFERROR(SUMPRODUCT((IF('JULIO 2026'!Y6:Y110&lt;&gt;"",'JULIO 2026'!Y6:Y110,'JULIO 2026'!I6:I110)="CHUQUIBAMBA")*('JULIO 2026'!K6:K110="PETROLEO")*'JULIO 2026'!M6:M110),0)</f>
        <v/>
      </c>
      <c r="D1208" s="377">
        <f>IFERROR(SUMPRODUCT((IF('JULIO 2026'!Y6:Y110&lt;&gt;"",'JULIO 2026'!Y6:Y110,'JULIO 2026'!I6:I110)="CHUQUIBAMBA")*('JULIO 2026'!K6:K110="PETROLEO")*'JULIO 2026'!N6:N110),0)</f>
        <v/>
      </c>
      <c r="E1208" s="377">
        <f>IFERROR(SUMPRODUCT((IF('JULIO 2026'!Y6:Y110&lt;&gt;"",'JULIO 2026'!Y6:Y110,'JULIO 2026'!I6:I110)="CHUQUIBAMBA")*('JULIO 2026'!K6:K110="GASOLINA")*'JULIO 2026'!M6:M110),0)</f>
        <v/>
      </c>
      <c r="F1208" s="377">
        <f>IFERROR(SUMPRODUCT((IF('JULIO 2026'!Y6:Y110&lt;&gt;"",'JULIO 2026'!Y6:Y110,'JULIO 2026'!I6:I110)="CHUQUIBAMBA")*('JULIO 2026'!K6:K110="GASOLINA")*'JULIO 2026'!N6:N110),0)</f>
        <v/>
      </c>
    </row>
    <row r="1209" ht="15" customHeight="1" s="195">
      <c r="A1209" s="194" t="inlineStr">
        <is>
          <t>CHUQUIBAMBA</t>
        </is>
      </c>
      <c r="B1209" s="194" t="inlineStr">
        <is>
          <t>AGOSTO 2026</t>
        </is>
      </c>
      <c r="C1209" s="377">
        <f>IFERROR(SUMPRODUCT((IF('AGOSTO 2026'!Y6:Y110&lt;&gt;"",'AGOSTO 2026'!Y6:Y110,'AGOSTO 2026'!I6:I110)="CHUQUIBAMBA")*('AGOSTO 2026'!K6:K110="PETROLEO")*'AGOSTO 2026'!M6:M110),0)</f>
        <v/>
      </c>
      <c r="D1209" s="377">
        <f>IFERROR(SUMPRODUCT((IF('AGOSTO 2026'!Y6:Y110&lt;&gt;"",'AGOSTO 2026'!Y6:Y110,'AGOSTO 2026'!I6:I110)="CHUQUIBAMBA")*('AGOSTO 2026'!K6:K110="PETROLEO")*'AGOSTO 2026'!N6:N110),0)</f>
        <v/>
      </c>
      <c r="E1209" s="377">
        <f>IFERROR(SUMPRODUCT((IF('AGOSTO 2026'!Y6:Y110&lt;&gt;"",'AGOSTO 2026'!Y6:Y110,'AGOSTO 2026'!I6:I110)="CHUQUIBAMBA")*('AGOSTO 2026'!K6:K110="GASOLINA")*'AGOSTO 2026'!M6:M110),0)</f>
        <v/>
      </c>
      <c r="F1209" s="377">
        <f>IFERROR(SUMPRODUCT((IF('AGOSTO 2026'!Y6:Y110&lt;&gt;"",'AGOSTO 2026'!Y6:Y110,'AGOSTO 2026'!I6:I110)="CHUQUIBAMBA")*('AGOSTO 2026'!K6:K110="GASOLINA")*'AGOSTO 2026'!N6:N110),0)</f>
        <v/>
      </c>
    </row>
    <row r="1210" ht="15" customHeight="1" s="195">
      <c r="A1210" s="194" t="inlineStr">
        <is>
          <t>CHUQUIBAMBA</t>
        </is>
      </c>
      <c r="B1210" s="194" t="inlineStr">
        <is>
          <t>SETIEMBRE 2026</t>
        </is>
      </c>
      <c r="C1210" s="377">
        <f>IFERROR(SUMPRODUCT((IF('SETIEMBRE 2026'!Y6:Y110&lt;&gt;"",'SETIEMBRE 2026'!Y6:Y110,'SETIEMBRE 2026'!I6:I110)="CHUQUIBAMBA")*('SETIEMBRE 2026'!K6:K110="PETROLEO")*'SETIEMBRE 2026'!M6:M110),0)</f>
        <v/>
      </c>
      <c r="D1210" s="377">
        <f>IFERROR(SUMPRODUCT((IF('SETIEMBRE 2026'!Y6:Y110&lt;&gt;"",'SETIEMBRE 2026'!Y6:Y110,'SETIEMBRE 2026'!I6:I110)="CHUQUIBAMBA")*('SETIEMBRE 2026'!K6:K110="PETROLEO")*'SETIEMBRE 2026'!N6:N110),0)</f>
        <v/>
      </c>
      <c r="E1210" s="377">
        <f>IFERROR(SUMPRODUCT((IF('SETIEMBRE 2026'!Y6:Y110&lt;&gt;"",'SETIEMBRE 2026'!Y6:Y110,'SETIEMBRE 2026'!I6:I110)="CHUQUIBAMBA")*('SETIEMBRE 2026'!K6:K110="GASOLINA")*'SETIEMBRE 2026'!M6:M110),0)</f>
        <v/>
      </c>
      <c r="F1210" s="377">
        <f>IFERROR(SUMPRODUCT((IF('SETIEMBRE 2026'!Y6:Y110&lt;&gt;"",'SETIEMBRE 2026'!Y6:Y110,'SETIEMBRE 2026'!I6:I110)="CHUQUIBAMBA")*('SETIEMBRE 2026'!K6:K110="GASOLINA")*'SETIEMBRE 2026'!N6:N110),0)</f>
        <v/>
      </c>
    </row>
    <row r="1211" ht="15" customHeight="1" s="195">
      <c r="A1211" s="194" t="inlineStr">
        <is>
          <t>CHUQUIBAMBA</t>
        </is>
      </c>
      <c r="B1211" s="194" t="inlineStr">
        <is>
          <t>OCTUBRE 2026</t>
        </is>
      </c>
      <c r="C1211" s="377">
        <f>IFERROR(SUMPRODUCT((IF('OCTUBRE 2026'!Y6:Y110&lt;&gt;"",'OCTUBRE 2026'!Y6:Y110,'OCTUBRE 2026'!I6:I110)="CHUQUIBAMBA")*('OCTUBRE 2026'!K6:K110="PETROLEO")*'OCTUBRE 2026'!M6:M110),0)</f>
        <v/>
      </c>
      <c r="D1211" s="377">
        <f>IFERROR(SUMPRODUCT((IF('OCTUBRE 2026'!Y6:Y110&lt;&gt;"",'OCTUBRE 2026'!Y6:Y110,'OCTUBRE 2026'!I6:I110)="CHUQUIBAMBA")*('OCTUBRE 2026'!K6:K110="PETROLEO")*'OCTUBRE 2026'!N6:N110),0)</f>
        <v/>
      </c>
      <c r="E1211" s="377">
        <f>IFERROR(SUMPRODUCT((IF('OCTUBRE 2026'!Y6:Y110&lt;&gt;"",'OCTUBRE 2026'!Y6:Y110,'OCTUBRE 2026'!I6:I110)="CHUQUIBAMBA")*('OCTUBRE 2026'!K6:K110="GASOLINA")*'OCTUBRE 2026'!M6:M110),0)</f>
        <v/>
      </c>
      <c r="F1211" s="377">
        <f>IFERROR(SUMPRODUCT((IF('OCTUBRE 2026'!Y6:Y110&lt;&gt;"",'OCTUBRE 2026'!Y6:Y110,'OCTUBRE 2026'!I6:I110)="CHUQUIBAMBA")*('OCTUBRE 2026'!K6:K110="GASOLINA")*'OCTUBRE 2026'!N6:N110),0)</f>
        <v/>
      </c>
    </row>
    <row r="1212" ht="15" customHeight="1" s="195">
      <c r="A1212" s="194" t="inlineStr">
        <is>
          <t>CHUQUIBAMBA</t>
        </is>
      </c>
      <c r="B1212" s="194" t="inlineStr">
        <is>
          <t>NOVIEMBRE 2026</t>
        </is>
      </c>
      <c r="C1212" s="377">
        <f>IFERROR(SUMPRODUCT((IF('NOVIEMBRE 2026'!Y6:Y110&lt;&gt;"",'NOVIEMBRE 2026'!Y6:Y110,'NOVIEMBRE 2026'!I6:I110)="CHUQUIBAMBA")*('NOVIEMBRE 2026'!K6:K110="PETROLEO")*'NOVIEMBRE 2026'!M6:M110),0)</f>
        <v/>
      </c>
      <c r="D1212" s="377">
        <f>IFERROR(SUMPRODUCT((IF('NOVIEMBRE 2026'!Y6:Y110&lt;&gt;"",'NOVIEMBRE 2026'!Y6:Y110,'NOVIEMBRE 2026'!I6:I110)="CHUQUIBAMBA")*('NOVIEMBRE 2026'!K6:K110="PETROLEO")*'NOVIEMBRE 2026'!N6:N110),0)</f>
        <v/>
      </c>
      <c r="E1212" s="377">
        <f>IFERROR(SUMPRODUCT((IF('NOVIEMBRE 2026'!Y6:Y110&lt;&gt;"",'NOVIEMBRE 2026'!Y6:Y110,'NOVIEMBRE 2026'!I6:I110)="CHUQUIBAMBA")*('NOVIEMBRE 2026'!K6:K110="GASOLINA")*'NOVIEMBRE 2026'!M6:M110),0)</f>
        <v/>
      </c>
      <c r="F1212" s="377">
        <f>IFERROR(SUMPRODUCT((IF('NOVIEMBRE 2026'!Y6:Y110&lt;&gt;"",'NOVIEMBRE 2026'!Y6:Y110,'NOVIEMBRE 2026'!I6:I110)="CHUQUIBAMBA")*('NOVIEMBRE 2026'!K6:K110="GASOLINA")*'NOVIEMBRE 2026'!N6:N110),0)</f>
        <v/>
      </c>
    </row>
    <row r="1213" ht="15" customHeight="1" s="195">
      <c r="A1213" s="194" t="inlineStr">
        <is>
          <t>CHUQUIBAMBA</t>
        </is>
      </c>
      <c r="B1213" s="194" t="inlineStr">
        <is>
          <t>DICIEMBRE 2026</t>
        </is>
      </c>
      <c r="C1213" s="377">
        <f>IFERROR(SUMPRODUCT((IF('DICIEMBRE 2026'!Y6:Y110&lt;&gt;"",'DICIEMBRE 2026'!Y6:Y110,'DICIEMBRE 2026'!I6:I110)="CHUQUIBAMBA")*('DICIEMBRE 2026'!K6:K110="PETROLEO")*'DICIEMBRE 2026'!M6:M110),0)</f>
        <v/>
      </c>
      <c r="D1213" s="377">
        <f>IFERROR(SUMPRODUCT((IF('DICIEMBRE 2026'!Y6:Y110&lt;&gt;"",'DICIEMBRE 2026'!Y6:Y110,'DICIEMBRE 2026'!I6:I110)="CHUQUIBAMBA")*('DICIEMBRE 2026'!K6:K110="PETROLEO")*'DICIEMBRE 2026'!N6:N110),0)</f>
        <v/>
      </c>
      <c r="E1213" s="377">
        <f>IFERROR(SUMPRODUCT((IF('DICIEMBRE 2026'!Y6:Y110&lt;&gt;"",'DICIEMBRE 2026'!Y6:Y110,'DICIEMBRE 2026'!I6:I110)="CHUQUIBAMBA")*('DICIEMBRE 2026'!K6:K110="GASOLINA")*'DICIEMBRE 2026'!M6:M110),0)</f>
        <v/>
      </c>
      <c r="F1213" s="377">
        <f>IFERROR(SUMPRODUCT((IF('DICIEMBRE 2026'!Y6:Y110&lt;&gt;"",'DICIEMBRE 2026'!Y6:Y110,'DICIEMBRE 2026'!I6:I110)="CHUQUIBAMBA")*('DICIEMBRE 2026'!K6:K110="GASOLINA")*'DICIEMBRE 2026'!N6:N110),0)</f>
        <v/>
      </c>
    </row>
    <row r="1214" ht="15" customHeight="1" s="195">
      <c r="A1214" s="194" t="inlineStr">
        <is>
          <t>COCABAMBA</t>
        </is>
      </c>
      <c r="B1214" s="194" t="inlineStr">
        <is>
          <t>ENERO 2026</t>
        </is>
      </c>
      <c r="C1214" s="377">
        <f>IFERROR(SUMPRODUCT((IF('ENERO 2026'!Y6:Y119&lt;&gt;"",'ENERO 2026'!Y6:Y119,'ENERO 2026'!I6:I119)="COCABAMBA")*('ENERO 2026'!K6:K119="PETROLEO")*'ENERO 2026'!M6:M119),0)</f>
        <v/>
      </c>
      <c r="D1214" s="377">
        <f>IFERROR(SUMPRODUCT((IF('ENERO 2026'!Y6:Y119&lt;&gt;"",'ENERO 2026'!Y6:Y119,'ENERO 2026'!I6:I119)="COCABAMBA")*('ENERO 2026'!K6:K119="PETROLEO")*'ENERO 2026'!N6:N119),0)</f>
        <v/>
      </c>
      <c r="E1214" s="377">
        <f>IFERROR(SUMPRODUCT((IF('ENERO 2026'!Y6:Y119&lt;&gt;"",'ENERO 2026'!Y6:Y119,'ENERO 2026'!I6:I119)="COCABAMBA")*('ENERO 2026'!K6:K119="GASOLINA")*'ENERO 2026'!M6:M119),0)</f>
        <v/>
      </c>
      <c r="F1214" s="377">
        <f>IFERROR(SUMPRODUCT((IF('ENERO 2026'!Y6:Y119&lt;&gt;"",'ENERO 2026'!Y6:Y119,'ENERO 2026'!I6:I119)="COCABAMBA")*('ENERO 2026'!K6:K119="GASOLINA")*'ENERO 2026'!N6:N119),0)</f>
        <v/>
      </c>
    </row>
    <row r="1215" ht="15" customHeight="1" s="195">
      <c r="A1215" s="194" t="inlineStr">
        <is>
          <t>COCABAMBA</t>
        </is>
      </c>
      <c r="B1215" s="194" t="inlineStr">
        <is>
          <t>FEBRERO 2026</t>
        </is>
      </c>
      <c r="C1215" s="377">
        <f>IFERROR(SUMPRODUCT((IF('FEBRERO 2026'!Y6:Y124&lt;&gt;"",'FEBRERO 2026'!Y6:Y124,'FEBRERO 2026'!I6:I124)="COCABAMBA")*('FEBRERO 2026'!K6:K124="PETROLEO")*'FEBRERO 2026'!M6:M124),0)</f>
        <v/>
      </c>
      <c r="D1215" s="377">
        <f>IFERROR(SUMPRODUCT((IF('FEBRERO 2026'!Y6:Y124&lt;&gt;"",'FEBRERO 2026'!Y6:Y124,'FEBRERO 2026'!I6:I124)="COCABAMBA")*('FEBRERO 2026'!K6:K124="PETROLEO")*'FEBRERO 2026'!N6:N124),0)</f>
        <v/>
      </c>
      <c r="E1215" s="377">
        <f>IFERROR(SUMPRODUCT((IF('FEBRERO 2026'!Y6:Y124&lt;&gt;"",'FEBRERO 2026'!Y6:Y124,'FEBRERO 2026'!I6:I124)="COCABAMBA")*('FEBRERO 2026'!K6:K124="GASOLINA")*'FEBRERO 2026'!M6:M124),0)</f>
        <v/>
      </c>
      <c r="F1215" s="377">
        <f>IFERROR(SUMPRODUCT((IF('FEBRERO 2026'!Y6:Y124&lt;&gt;"",'FEBRERO 2026'!Y6:Y124,'FEBRERO 2026'!I6:I124)="COCABAMBA")*('FEBRERO 2026'!K6:K124="GASOLINA")*'FEBRERO 2026'!N6:N124),0)</f>
        <v/>
      </c>
    </row>
    <row r="1216" ht="15" customHeight="1" s="195">
      <c r="A1216" s="194" t="inlineStr">
        <is>
          <t>COCABAMBA</t>
        </is>
      </c>
      <c r="B1216" s="194" t="inlineStr">
        <is>
          <t>MARZO 2026</t>
        </is>
      </c>
      <c r="C1216" s="377">
        <f>IFERROR(SUMPRODUCT((IF('MARZO 2026'!Y6:Y119&lt;&gt;"",'MARZO 2026'!Y6:Y119,'MARZO 2026'!I6:I119)="COCABAMBA")*('MARZO 2026'!K6:K119="PETROLEO")*'MARZO 2026'!M6:M119),0)</f>
        <v/>
      </c>
      <c r="D1216" s="377">
        <f>IFERROR(SUMPRODUCT((IF('MARZO 2026'!Y6:Y119&lt;&gt;"",'MARZO 2026'!Y6:Y119,'MARZO 2026'!I6:I119)="COCABAMBA")*('MARZO 2026'!K6:K119="PETROLEO")*'MARZO 2026'!N6:N119),0)</f>
        <v/>
      </c>
      <c r="E1216" s="377">
        <f>IFERROR(SUMPRODUCT((IF('MARZO 2026'!Y6:Y119&lt;&gt;"",'MARZO 2026'!Y6:Y119,'MARZO 2026'!I6:I119)="COCABAMBA")*('MARZO 2026'!K6:K119="GASOLINA")*'MARZO 2026'!M6:M119),0)</f>
        <v/>
      </c>
      <c r="F1216" s="377">
        <f>IFERROR(SUMPRODUCT((IF('MARZO 2026'!Y6:Y119&lt;&gt;"",'MARZO 2026'!Y6:Y119,'MARZO 2026'!I6:I119)="COCABAMBA")*('MARZO 2026'!K6:K119="GASOLINA")*'MARZO 2026'!N6:N119),0)</f>
        <v/>
      </c>
    </row>
    <row r="1217" ht="15" customHeight="1" s="195">
      <c r="A1217" s="194" t="inlineStr">
        <is>
          <t>COCABAMBA</t>
        </is>
      </c>
      <c r="B1217" s="194" t="inlineStr">
        <is>
          <t>ABRIL 2026</t>
        </is>
      </c>
      <c r="C1217" s="377">
        <f>IFERROR(SUMPRODUCT((IF('ABRIL 2026'!Y6:Y119&lt;&gt;"",'ABRIL 2026'!Y6:Y119,'ABRIL 2026'!I6:I119)="COCABAMBA")*('ABRIL 2026'!K6:K119="PETROLEO")*'ABRIL 2026'!M6:M119),0)</f>
        <v/>
      </c>
      <c r="D1217" s="377">
        <f>IFERROR(SUMPRODUCT((IF('ABRIL 2026'!Y6:Y119&lt;&gt;"",'ABRIL 2026'!Y6:Y119,'ABRIL 2026'!I6:I119)="COCABAMBA")*('ABRIL 2026'!K6:K119="PETROLEO")*'ABRIL 2026'!N6:N119),0)</f>
        <v/>
      </c>
      <c r="E1217" s="377">
        <f>IFERROR(SUMPRODUCT((IF('ABRIL 2026'!Y6:Y119&lt;&gt;"",'ABRIL 2026'!Y6:Y119,'ABRIL 2026'!I6:I119)="COCABAMBA")*('ABRIL 2026'!K6:K119="GASOLINA")*'ABRIL 2026'!M6:M119),0)</f>
        <v/>
      </c>
      <c r="F1217" s="377">
        <f>IFERROR(SUMPRODUCT((IF('ABRIL 2026'!Y6:Y119&lt;&gt;"",'ABRIL 2026'!Y6:Y119,'ABRIL 2026'!I6:I119)="COCABAMBA")*('ABRIL 2026'!K6:K119="GASOLINA")*'ABRIL 2026'!N6:N119),0)</f>
        <v/>
      </c>
    </row>
    <row r="1218" ht="15" customHeight="1" s="195">
      <c r="A1218" s="194" t="inlineStr">
        <is>
          <t>COCABAMBA</t>
        </is>
      </c>
      <c r="B1218" s="194" t="inlineStr">
        <is>
          <t>MAYO 2026</t>
        </is>
      </c>
      <c r="C1218" s="377">
        <f>IFERROR(SUMPRODUCT((IF('MAYO 2026'!Y6:Y110&lt;&gt;"",'MAYO 2026'!Y6:Y110,'MAYO 2026'!I6:I110)="COCABAMBA")*('MAYO 2026'!K6:K110="PETROLEO")*'MAYO 2026'!M6:M110),0)</f>
        <v/>
      </c>
      <c r="D1218" s="377">
        <f>IFERROR(SUMPRODUCT((IF('MAYO 2026'!Y6:Y110&lt;&gt;"",'MAYO 2026'!Y6:Y110,'MAYO 2026'!I6:I110)="COCABAMBA")*('MAYO 2026'!K6:K110="PETROLEO")*'MAYO 2026'!N6:N110),0)</f>
        <v/>
      </c>
      <c r="E1218" s="377">
        <f>IFERROR(SUMPRODUCT((IF('MAYO 2026'!Y6:Y110&lt;&gt;"",'MAYO 2026'!Y6:Y110,'MAYO 2026'!I6:I110)="COCABAMBA")*('MAYO 2026'!K6:K110="GASOLINA")*'MAYO 2026'!M6:M110),0)</f>
        <v/>
      </c>
      <c r="F1218" s="377">
        <f>IFERROR(SUMPRODUCT((IF('MAYO 2026'!Y6:Y110&lt;&gt;"",'MAYO 2026'!Y6:Y110,'MAYO 2026'!I6:I110)="COCABAMBA")*('MAYO 2026'!K6:K110="GASOLINA")*'MAYO 2026'!N6:N110),0)</f>
        <v/>
      </c>
    </row>
    <row r="1219" ht="15" customHeight="1" s="195">
      <c r="A1219" s="194" t="inlineStr">
        <is>
          <t>COCABAMBA</t>
        </is>
      </c>
      <c r="B1219" s="194" t="inlineStr">
        <is>
          <t>JUNIO 2026</t>
        </is>
      </c>
      <c r="C1219" s="377">
        <f>IFERROR(SUMPRODUCT((IF('JUNIO 2026'!Y6:Y110&lt;&gt;"",'JUNIO 2026'!Y6:Y110,'JUNIO 2026'!I6:I110)="COCABAMBA")*('JUNIO 2026'!K6:K110="PETROLEO")*'JUNIO 2026'!M6:M110),0)</f>
        <v/>
      </c>
      <c r="D1219" s="377">
        <f>IFERROR(SUMPRODUCT((IF('JUNIO 2026'!Y6:Y110&lt;&gt;"",'JUNIO 2026'!Y6:Y110,'JUNIO 2026'!I6:I110)="COCABAMBA")*('JUNIO 2026'!K6:K110="PETROLEO")*'JUNIO 2026'!N6:N110),0)</f>
        <v/>
      </c>
      <c r="E1219" s="377">
        <f>IFERROR(SUMPRODUCT((IF('JUNIO 2026'!Y6:Y110&lt;&gt;"",'JUNIO 2026'!Y6:Y110,'JUNIO 2026'!I6:I110)="COCABAMBA")*('JUNIO 2026'!K6:K110="GASOLINA")*'JUNIO 2026'!M6:M110),0)</f>
        <v/>
      </c>
      <c r="F1219" s="377">
        <f>IFERROR(SUMPRODUCT((IF('JUNIO 2026'!Y6:Y110&lt;&gt;"",'JUNIO 2026'!Y6:Y110,'JUNIO 2026'!I6:I110)="COCABAMBA")*('JUNIO 2026'!K6:K110="GASOLINA")*'JUNIO 2026'!N6:N110),0)</f>
        <v/>
      </c>
    </row>
    <row r="1220" ht="15" customHeight="1" s="195">
      <c r="A1220" s="194" t="inlineStr">
        <is>
          <t>COCABAMBA</t>
        </is>
      </c>
      <c r="B1220" s="194" t="inlineStr">
        <is>
          <t>JULIO 2026</t>
        </is>
      </c>
      <c r="C1220" s="377">
        <f>IFERROR(SUMPRODUCT((IF('JULIO 2026'!Y6:Y110&lt;&gt;"",'JULIO 2026'!Y6:Y110,'JULIO 2026'!I6:I110)="COCABAMBA")*('JULIO 2026'!K6:K110="PETROLEO")*'JULIO 2026'!M6:M110),0)</f>
        <v/>
      </c>
      <c r="D1220" s="377">
        <f>IFERROR(SUMPRODUCT((IF('JULIO 2026'!Y6:Y110&lt;&gt;"",'JULIO 2026'!Y6:Y110,'JULIO 2026'!I6:I110)="COCABAMBA")*('JULIO 2026'!K6:K110="PETROLEO")*'JULIO 2026'!N6:N110),0)</f>
        <v/>
      </c>
      <c r="E1220" s="377">
        <f>IFERROR(SUMPRODUCT((IF('JULIO 2026'!Y6:Y110&lt;&gt;"",'JULIO 2026'!Y6:Y110,'JULIO 2026'!I6:I110)="COCABAMBA")*('JULIO 2026'!K6:K110="GASOLINA")*'JULIO 2026'!M6:M110),0)</f>
        <v/>
      </c>
      <c r="F1220" s="377">
        <f>IFERROR(SUMPRODUCT((IF('JULIO 2026'!Y6:Y110&lt;&gt;"",'JULIO 2026'!Y6:Y110,'JULIO 2026'!I6:I110)="COCABAMBA")*('JULIO 2026'!K6:K110="GASOLINA")*'JULIO 2026'!N6:N110),0)</f>
        <v/>
      </c>
    </row>
    <row r="1221" ht="15" customHeight="1" s="195">
      <c r="A1221" s="194" t="inlineStr">
        <is>
          <t>COCABAMBA</t>
        </is>
      </c>
      <c r="B1221" s="194" t="inlineStr">
        <is>
          <t>AGOSTO 2026</t>
        </is>
      </c>
      <c r="C1221" s="377">
        <f>IFERROR(SUMPRODUCT((IF('AGOSTO 2026'!Y6:Y110&lt;&gt;"",'AGOSTO 2026'!Y6:Y110,'AGOSTO 2026'!I6:I110)="COCABAMBA")*('AGOSTO 2026'!K6:K110="PETROLEO")*'AGOSTO 2026'!M6:M110),0)</f>
        <v/>
      </c>
      <c r="D1221" s="377">
        <f>IFERROR(SUMPRODUCT((IF('AGOSTO 2026'!Y6:Y110&lt;&gt;"",'AGOSTO 2026'!Y6:Y110,'AGOSTO 2026'!I6:I110)="COCABAMBA")*('AGOSTO 2026'!K6:K110="PETROLEO")*'AGOSTO 2026'!N6:N110),0)</f>
        <v/>
      </c>
      <c r="E1221" s="377">
        <f>IFERROR(SUMPRODUCT((IF('AGOSTO 2026'!Y6:Y110&lt;&gt;"",'AGOSTO 2026'!Y6:Y110,'AGOSTO 2026'!I6:I110)="COCABAMBA")*('AGOSTO 2026'!K6:K110="GASOLINA")*'AGOSTO 2026'!M6:M110),0)</f>
        <v/>
      </c>
      <c r="F1221" s="377">
        <f>IFERROR(SUMPRODUCT((IF('AGOSTO 2026'!Y6:Y110&lt;&gt;"",'AGOSTO 2026'!Y6:Y110,'AGOSTO 2026'!I6:I110)="COCABAMBA")*('AGOSTO 2026'!K6:K110="GASOLINA")*'AGOSTO 2026'!N6:N110),0)</f>
        <v/>
      </c>
    </row>
    <row r="1222" ht="15" customHeight="1" s="195">
      <c r="A1222" s="194" t="inlineStr">
        <is>
          <t>COCABAMBA</t>
        </is>
      </c>
      <c r="B1222" s="194" t="inlineStr">
        <is>
          <t>SETIEMBRE 2026</t>
        </is>
      </c>
      <c r="C1222" s="377">
        <f>IFERROR(SUMPRODUCT((IF('SETIEMBRE 2026'!Y6:Y110&lt;&gt;"",'SETIEMBRE 2026'!Y6:Y110,'SETIEMBRE 2026'!I6:I110)="COCABAMBA")*('SETIEMBRE 2026'!K6:K110="PETROLEO")*'SETIEMBRE 2026'!M6:M110),0)</f>
        <v/>
      </c>
      <c r="D1222" s="377">
        <f>IFERROR(SUMPRODUCT((IF('SETIEMBRE 2026'!Y6:Y110&lt;&gt;"",'SETIEMBRE 2026'!Y6:Y110,'SETIEMBRE 2026'!I6:I110)="COCABAMBA")*('SETIEMBRE 2026'!K6:K110="PETROLEO")*'SETIEMBRE 2026'!N6:N110),0)</f>
        <v/>
      </c>
      <c r="E1222" s="377">
        <f>IFERROR(SUMPRODUCT((IF('SETIEMBRE 2026'!Y6:Y110&lt;&gt;"",'SETIEMBRE 2026'!Y6:Y110,'SETIEMBRE 2026'!I6:I110)="COCABAMBA")*('SETIEMBRE 2026'!K6:K110="GASOLINA")*'SETIEMBRE 2026'!M6:M110),0)</f>
        <v/>
      </c>
      <c r="F1222" s="377">
        <f>IFERROR(SUMPRODUCT((IF('SETIEMBRE 2026'!Y6:Y110&lt;&gt;"",'SETIEMBRE 2026'!Y6:Y110,'SETIEMBRE 2026'!I6:I110)="COCABAMBA")*('SETIEMBRE 2026'!K6:K110="GASOLINA")*'SETIEMBRE 2026'!N6:N110),0)</f>
        <v/>
      </c>
    </row>
    <row r="1223" ht="15" customHeight="1" s="195">
      <c r="A1223" s="194" t="inlineStr">
        <is>
          <t>COCABAMBA</t>
        </is>
      </c>
      <c r="B1223" s="194" t="inlineStr">
        <is>
          <t>OCTUBRE 2026</t>
        </is>
      </c>
      <c r="C1223" s="377">
        <f>IFERROR(SUMPRODUCT((IF('OCTUBRE 2026'!Y6:Y110&lt;&gt;"",'OCTUBRE 2026'!Y6:Y110,'OCTUBRE 2026'!I6:I110)="COCABAMBA")*('OCTUBRE 2026'!K6:K110="PETROLEO")*'OCTUBRE 2026'!M6:M110),0)</f>
        <v/>
      </c>
      <c r="D1223" s="377">
        <f>IFERROR(SUMPRODUCT((IF('OCTUBRE 2026'!Y6:Y110&lt;&gt;"",'OCTUBRE 2026'!Y6:Y110,'OCTUBRE 2026'!I6:I110)="COCABAMBA")*('OCTUBRE 2026'!K6:K110="PETROLEO")*'OCTUBRE 2026'!N6:N110),0)</f>
        <v/>
      </c>
      <c r="E1223" s="377">
        <f>IFERROR(SUMPRODUCT((IF('OCTUBRE 2026'!Y6:Y110&lt;&gt;"",'OCTUBRE 2026'!Y6:Y110,'OCTUBRE 2026'!I6:I110)="COCABAMBA")*('OCTUBRE 2026'!K6:K110="GASOLINA")*'OCTUBRE 2026'!M6:M110),0)</f>
        <v/>
      </c>
      <c r="F1223" s="377">
        <f>IFERROR(SUMPRODUCT((IF('OCTUBRE 2026'!Y6:Y110&lt;&gt;"",'OCTUBRE 2026'!Y6:Y110,'OCTUBRE 2026'!I6:I110)="COCABAMBA")*('OCTUBRE 2026'!K6:K110="GASOLINA")*'OCTUBRE 2026'!N6:N110),0)</f>
        <v/>
      </c>
    </row>
    <row r="1224" ht="15" customHeight="1" s="195">
      <c r="A1224" s="194" t="inlineStr">
        <is>
          <t>COCABAMBA</t>
        </is>
      </c>
      <c r="B1224" s="194" t="inlineStr">
        <is>
          <t>NOVIEMBRE 2026</t>
        </is>
      </c>
      <c r="C1224" s="377">
        <f>IFERROR(SUMPRODUCT((IF('NOVIEMBRE 2026'!Y6:Y110&lt;&gt;"",'NOVIEMBRE 2026'!Y6:Y110,'NOVIEMBRE 2026'!I6:I110)="COCABAMBA")*('NOVIEMBRE 2026'!K6:K110="PETROLEO")*'NOVIEMBRE 2026'!M6:M110),0)</f>
        <v/>
      </c>
      <c r="D1224" s="377">
        <f>IFERROR(SUMPRODUCT((IF('NOVIEMBRE 2026'!Y6:Y110&lt;&gt;"",'NOVIEMBRE 2026'!Y6:Y110,'NOVIEMBRE 2026'!I6:I110)="COCABAMBA")*('NOVIEMBRE 2026'!K6:K110="PETROLEO")*'NOVIEMBRE 2026'!N6:N110),0)</f>
        <v/>
      </c>
      <c r="E1224" s="377">
        <f>IFERROR(SUMPRODUCT((IF('NOVIEMBRE 2026'!Y6:Y110&lt;&gt;"",'NOVIEMBRE 2026'!Y6:Y110,'NOVIEMBRE 2026'!I6:I110)="COCABAMBA")*('NOVIEMBRE 2026'!K6:K110="GASOLINA")*'NOVIEMBRE 2026'!M6:M110),0)</f>
        <v/>
      </c>
      <c r="F1224" s="377">
        <f>IFERROR(SUMPRODUCT((IF('NOVIEMBRE 2026'!Y6:Y110&lt;&gt;"",'NOVIEMBRE 2026'!Y6:Y110,'NOVIEMBRE 2026'!I6:I110)="COCABAMBA")*('NOVIEMBRE 2026'!K6:K110="GASOLINA")*'NOVIEMBRE 2026'!N6:N110),0)</f>
        <v/>
      </c>
    </row>
    <row r="1225" ht="15" customHeight="1" s="195">
      <c r="A1225" s="194" t="inlineStr">
        <is>
          <t>COCABAMBA</t>
        </is>
      </c>
      <c r="B1225" s="194" t="inlineStr">
        <is>
          <t>DICIEMBRE 2026</t>
        </is>
      </c>
      <c r="C1225" s="377">
        <f>IFERROR(SUMPRODUCT((IF('DICIEMBRE 2026'!Y6:Y110&lt;&gt;"",'DICIEMBRE 2026'!Y6:Y110,'DICIEMBRE 2026'!I6:I110)="COCABAMBA")*('DICIEMBRE 2026'!K6:K110="PETROLEO")*'DICIEMBRE 2026'!M6:M110),0)</f>
        <v/>
      </c>
      <c r="D1225" s="377">
        <f>IFERROR(SUMPRODUCT((IF('DICIEMBRE 2026'!Y6:Y110&lt;&gt;"",'DICIEMBRE 2026'!Y6:Y110,'DICIEMBRE 2026'!I6:I110)="COCABAMBA")*('DICIEMBRE 2026'!K6:K110="PETROLEO")*'DICIEMBRE 2026'!N6:N110),0)</f>
        <v/>
      </c>
      <c r="E1225" s="377">
        <f>IFERROR(SUMPRODUCT((IF('DICIEMBRE 2026'!Y6:Y110&lt;&gt;"",'DICIEMBRE 2026'!Y6:Y110,'DICIEMBRE 2026'!I6:I110)="COCABAMBA")*('DICIEMBRE 2026'!K6:K110="GASOLINA")*'DICIEMBRE 2026'!M6:M110),0)</f>
        <v/>
      </c>
      <c r="F1225" s="377">
        <f>IFERROR(SUMPRODUCT((IF('DICIEMBRE 2026'!Y6:Y110&lt;&gt;"",'DICIEMBRE 2026'!Y6:Y110,'DICIEMBRE 2026'!I6:I110)="COCABAMBA")*('DICIEMBRE 2026'!K6:K110="GASOLINA")*'DICIEMBRE 2026'!N6:N110),0)</f>
        <v/>
      </c>
    </row>
    <row r="1226" ht="15" customHeight="1" s="195">
      <c r="A1226" s="194" t="inlineStr">
        <is>
          <t>COCOCHO</t>
        </is>
      </c>
      <c r="B1226" s="194" t="inlineStr">
        <is>
          <t>ENERO 2026</t>
        </is>
      </c>
      <c r="C1226" s="377">
        <f>IFERROR(SUMPRODUCT((IF('ENERO 2026'!Y6:Y119&lt;&gt;"",'ENERO 2026'!Y6:Y119,'ENERO 2026'!I6:I119)="COCOCHO")*('ENERO 2026'!K6:K119="PETROLEO")*'ENERO 2026'!M6:M119),0)</f>
        <v/>
      </c>
      <c r="D1226" s="377">
        <f>IFERROR(SUMPRODUCT((IF('ENERO 2026'!Y6:Y119&lt;&gt;"",'ENERO 2026'!Y6:Y119,'ENERO 2026'!I6:I119)="COCOCHO")*('ENERO 2026'!K6:K119="PETROLEO")*'ENERO 2026'!N6:N119),0)</f>
        <v/>
      </c>
      <c r="E1226" s="377">
        <f>IFERROR(SUMPRODUCT((IF('ENERO 2026'!Y6:Y119&lt;&gt;"",'ENERO 2026'!Y6:Y119,'ENERO 2026'!I6:I119)="COCOCHO")*('ENERO 2026'!K6:K119="GASOLINA")*'ENERO 2026'!M6:M119),0)</f>
        <v/>
      </c>
      <c r="F1226" s="377">
        <f>IFERROR(SUMPRODUCT((IF('ENERO 2026'!Y6:Y119&lt;&gt;"",'ENERO 2026'!Y6:Y119,'ENERO 2026'!I6:I119)="COCOCHO")*('ENERO 2026'!K6:K119="GASOLINA")*'ENERO 2026'!N6:N119),0)</f>
        <v/>
      </c>
    </row>
    <row r="1227" ht="15" customHeight="1" s="195">
      <c r="A1227" s="194" t="inlineStr">
        <is>
          <t>COCOCHO</t>
        </is>
      </c>
      <c r="B1227" s="194" t="inlineStr">
        <is>
          <t>FEBRERO 2026</t>
        </is>
      </c>
      <c r="C1227" s="377">
        <f>IFERROR(SUMPRODUCT((IF('FEBRERO 2026'!Y6:Y124&lt;&gt;"",'FEBRERO 2026'!Y6:Y124,'FEBRERO 2026'!I6:I124)="COCOCHO")*('FEBRERO 2026'!K6:K124="PETROLEO")*'FEBRERO 2026'!M6:M124),0)</f>
        <v/>
      </c>
      <c r="D1227" s="377">
        <f>IFERROR(SUMPRODUCT((IF('FEBRERO 2026'!Y6:Y124&lt;&gt;"",'FEBRERO 2026'!Y6:Y124,'FEBRERO 2026'!I6:I124)="COCOCHO")*('FEBRERO 2026'!K6:K124="PETROLEO")*'FEBRERO 2026'!N6:N124),0)</f>
        <v/>
      </c>
      <c r="E1227" s="377">
        <f>IFERROR(SUMPRODUCT((IF('FEBRERO 2026'!Y6:Y124&lt;&gt;"",'FEBRERO 2026'!Y6:Y124,'FEBRERO 2026'!I6:I124)="COCOCHO")*('FEBRERO 2026'!K6:K124="GASOLINA")*'FEBRERO 2026'!M6:M124),0)</f>
        <v/>
      </c>
      <c r="F1227" s="377">
        <f>IFERROR(SUMPRODUCT((IF('FEBRERO 2026'!Y6:Y124&lt;&gt;"",'FEBRERO 2026'!Y6:Y124,'FEBRERO 2026'!I6:I124)="COCOCHO")*('FEBRERO 2026'!K6:K124="GASOLINA")*'FEBRERO 2026'!N6:N124),0)</f>
        <v/>
      </c>
    </row>
    <row r="1228" ht="15" customHeight="1" s="195">
      <c r="A1228" s="194" t="inlineStr">
        <is>
          <t>COCOCHO</t>
        </is>
      </c>
      <c r="B1228" s="194" t="inlineStr">
        <is>
          <t>MARZO 2026</t>
        </is>
      </c>
      <c r="C1228" s="377">
        <f>IFERROR(SUMPRODUCT((IF('MARZO 2026'!Y6:Y119&lt;&gt;"",'MARZO 2026'!Y6:Y119,'MARZO 2026'!I6:I119)="COCOCHO")*('MARZO 2026'!K6:K119="PETROLEO")*'MARZO 2026'!M6:M119),0)</f>
        <v/>
      </c>
      <c r="D1228" s="377">
        <f>IFERROR(SUMPRODUCT((IF('MARZO 2026'!Y6:Y119&lt;&gt;"",'MARZO 2026'!Y6:Y119,'MARZO 2026'!I6:I119)="COCOCHO")*('MARZO 2026'!K6:K119="PETROLEO")*'MARZO 2026'!N6:N119),0)</f>
        <v/>
      </c>
      <c r="E1228" s="377">
        <f>IFERROR(SUMPRODUCT((IF('MARZO 2026'!Y6:Y119&lt;&gt;"",'MARZO 2026'!Y6:Y119,'MARZO 2026'!I6:I119)="COCOCHO")*('MARZO 2026'!K6:K119="GASOLINA")*'MARZO 2026'!M6:M119),0)</f>
        <v/>
      </c>
      <c r="F1228" s="377">
        <f>IFERROR(SUMPRODUCT((IF('MARZO 2026'!Y6:Y119&lt;&gt;"",'MARZO 2026'!Y6:Y119,'MARZO 2026'!I6:I119)="COCOCHO")*('MARZO 2026'!K6:K119="GASOLINA")*'MARZO 2026'!N6:N119),0)</f>
        <v/>
      </c>
    </row>
    <row r="1229" ht="15" customHeight="1" s="195">
      <c r="A1229" s="194" t="inlineStr">
        <is>
          <t>COCOCHO</t>
        </is>
      </c>
      <c r="B1229" s="194" t="inlineStr">
        <is>
          <t>ABRIL 2026</t>
        </is>
      </c>
      <c r="C1229" s="377">
        <f>IFERROR(SUMPRODUCT((IF('ABRIL 2026'!Y6:Y119&lt;&gt;"",'ABRIL 2026'!Y6:Y119,'ABRIL 2026'!I6:I119)="COCOCHO")*('ABRIL 2026'!K6:K119="PETROLEO")*'ABRIL 2026'!M6:M119),0)</f>
        <v/>
      </c>
      <c r="D1229" s="377">
        <f>IFERROR(SUMPRODUCT((IF('ABRIL 2026'!Y6:Y119&lt;&gt;"",'ABRIL 2026'!Y6:Y119,'ABRIL 2026'!I6:I119)="COCOCHO")*('ABRIL 2026'!K6:K119="PETROLEO")*'ABRIL 2026'!N6:N119),0)</f>
        <v/>
      </c>
      <c r="E1229" s="377">
        <f>IFERROR(SUMPRODUCT((IF('ABRIL 2026'!Y6:Y119&lt;&gt;"",'ABRIL 2026'!Y6:Y119,'ABRIL 2026'!I6:I119)="COCOCHO")*('ABRIL 2026'!K6:K119="GASOLINA")*'ABRIL 2026'!M6:M119),0)</f>
        <v/>
      </c>
      <c r="F1229" s="377">
        <f>IFERROR(SUMPRODUCT((IF('ABRIL 2026'!Y6:Y119&lt;&gt;"",'ABRIL 2026'!Y6:Y119,'ABRIL 2026'!I6:I119)="COCOCHO")*('ABRIL 2026'!K6:K119="GASOLINA")*'ABRIL 2026'!N6:N119),0)</f>
        <v/>
      </c>
    </row>
    <row r="1230" ht="15" customHeight="1" s="195">
      <c r="A1230" s="194" t="inlineStr">
        <is>
          <t>COCOCHO</t>
        </is>
      </c>
      <c r="B1230" s="194" t="inlineStr">
        <is>
          <t>MAYO 2026</t>
        </is>
      </c>
      <c r="C1230" s="377">
        <f>IFERROR(SUMPRODUCT((IF('MAYO 2026'!Y6:Y110&lt;&gt;"",'MAYO 2026'!Y6:Y110,'MAYO 2026'!I6:I110)="COCOCHO")*('MAYO 2026'!K6:K110="PETROLEO")*'MAYO 2026'!M6:M110),0)</f>
        <v/>
      </c>
      <c r="D1230" s="377">
        <f>IFERROR(SUMPRODUCT((IF('MAYO 2026'!Y6:Y110&lt;&gt;"",'MAYO 2026'!Y6:Y110,'MAYO 2026'!I6:I110)="COCOCHO")*('MAYO 2026'!K6:K110="PETROLEO")*'MAYO 2026'!N6:N110),0)</f>
        <v/>
      </c>
      <c r="E1230" s="377">
        <f>IFERROR(SUMPRODUCT((IF('MAYO 2026'!Y6:Y110&lt;&gt;"",'MAYO 2026'!Y6:Y110,'MAYO 2026'!I6:I110)="COCOCHO")*('MAYO 2026'!K6:K110="GASOLINA")*'MAYO 2026'!M6:M110),0)</f>
        <v/>
      </c>
      <c r="F1230" s="377">
        <f>IFERROR(SUMPRODUCT((IF('MAYO 2026'!Y6:Y110&lt;&gt;"",'MAYO 2026'!Y6:Y110,'MAYO 2026'!I6:I110)="COCOCHO")*('MAYO 2026'!K6:K110="GASOLINA")*'MAYO 2026'!N6:N110),0)</f>
        <v/>
      </c>
    </row>
    <row r="1231" ht="15" customHeight="1" s="195">
      <c r="A1231" s="194" t="inlineStr">
        <is>
          <t>COCOCHO</t>
        </is>
      </c>
      <c r="B1231" s="194" t="inlineStr">
        <is>
          <t>JUNIO 2026</t>
        </is>
      </c>
      <c r="C1231" s="377">
        <f>IFERROR(SUMPRODUCT((IF('JUNIO 2026'!Y6:Y110&lt;&gt;"",'JUNIO 2026'!Y6:Y110,'JUNIO 2026'!I6:I110)="COCOCHO")*('JUNIO 2026'!K6:K110="PETROLEO")*'JUNIO 2026'!M6:M110),0)</f>
        <v/>
      </c>
      <c r="D1231" s="377">
        <f>IFERROR(SUMPRODUCT((IF('JUNIO 2026'!Y6:Y110&lt;&gt;"",'JUNIO 2026'!Y6:Y110,'JUNIO 2026'!I6:I110)="COCOCHO")*('JUNIO 2026'!K6:K110="PETROLEO")*'JUNIO 2026'!N6:N110),0)</f>
        <v/>
      </c>
      <c r="E1231" s="377">
        <f>IFERROR(SUMPRODUCT((IF('JUNIO 2026'!Y6:Y110&lt;&gt;"",'JUNIO 2026'!Y6:Y110,'JUNIO 2026'!I6:I110)="COCOCHO")*('JUNIO 2026'!K6:K110="GASOLINA")*'JUNIO 2026'!M6:M110),0)</f>
        <v/>
      </c>
      <c r="F1231" s="377">
        <f>IFERROR(SUMPRODUCT((IF('JUNIO 2026'!Y6:Y110&lt;&gt;"",'JUNIO 2026'!Y6:Y110,'JUNIO 2026'!I6:I110)="COCOCHO")*('JUNIO 2026'!K6:K110="GASOLINA")*'JUNIO 2026'!N6:N110),0)</f>
        <v/>
      </c>
    </row>
    <row r="1232" ht="15" customHeight="1" s="195">
      <c r="A1232" s="194" t="inlineStr">
        <is>
          <t>COCOCHO</t>
        </is>
      </c>
      <c r="B1232" s="194" t="inlineStr">
        <is>
          <t>JULIO 2026</t>
        </is>
      </c>
      <c r="C1232" s="377">
        <f>IFERROR(SUMPRODUCT((IF('JULIO 2026'!Y6:Y110&lt;&gt;"",'JULIO 2026'!Y6:Y110,'JULIO 2026'!I6:I110)="COCOCHO")*('JULIO 2026'!K6:K110="PETROLEO")*'JULIO 2026'!M6:M110),0)</f>
        <v/>
      </c>
      <c r="D1232" s="377">
        <f>IFERROR(SUMPRODUCT((IF('JULIO 2026'!Y6:Y110&lt;&gt;"",'JULIO 2026'!Y6:Y110,'JULIO 2026'!I6:I110)="COCOCHO")*('JULIO 2026'!K6:K110="PETROLEO")*'JULIO 2026'!N6:N110),0)</f>
        <v/>
      </c>
      <c r="E1232" s="377">
        <f>IFERROR(SUMPRODUCT((IF('JULIO 2026'!Y6:Y110&lt;&gt;"",'JULIO 2026'!Y6:Y110,'JULIO 2026'!I6:I110)="COCOCHO")*('JULIO 2026'!K6:K110="GASOLINA")*'JULIO 2026'!M6:M110),0)</f>
        <v/>
      </c>
      <c r="F1232" s="377">
        <f>IFERROR(SUMPRODUCT((IF('JULIO 2026'!Y6:Y110&lt;&gt;"",'JULIO 2026'!Y6:Y110,'JULIO 2026'!I6:I110)="COCOCHO")*('JULIO 2026'!K6:K110="GASOLINA")*'JULIO 2026'!N6:N110),0)</f>
        <v/>
      </c>
    </row>
    <row r="1233" ht="15" customHeight="1" s="195">
      <c r="A1233" s="194" t="inlineStr">
        <is>
          <t>COCOCHO</t>
        </is>
      </c>
      <c r="B1233" s="194" t="inlineStr">
        <is>
          <t>AGOSTO 2026</t>
        </is>
      </c>
      <c r="C1233" s="377">
        <f>IFERROR(SUMPRODUCT((IF('AGOSTO 2026'!Y6:Y110&lt;&gt;"",'AGOSTO 2026'!Y6:Y110,'AGOSTO 2026'!I6:I110)="COCOCHO")*('AGOSTO 2026'!K6:K110="PETROLEO")*'AGOSTO 2026'!M6:M110),0)</f>
        <v/>
      </c>
      <c r="D1233" s="377">
        <f>IFERROR(SUMPRODUCT((IF('AGOSTO 2026'!Y6:Y110&lt;&gt;"",'AGOSTO 2026'!Y6:Y110,'AGOSTO 2026'!I6:I110)="COCOCHO")*('AGOSTO 2026'!K6:K110="PETROLEO")*'AGOSTO 2026'!N6:N110),0)</f>
        <v/>
      </c>
      <c r="E1233" s="377">
        <f>IFERROR(SUMPRODUCT((IF('AGOSTO 2026'!Y6:Y110&lt;&gt;"",'AGOSTO 2026'!Y6:Y110,'AGOSTO 2026'!I6:I110)="COCOCHO")*('AGOSTO 2026'!K6:K110="GASOLINA")*'AGOSTO 2026'!M6:M110),0)</f>
        <v/>
      </c>
      <c r="F1233" s="377">
        <f>IFERROR(SUMPRODUCT((IF('AGOSTO 2026'!Y6:Y110&lt;&gt;"",'AGOSTO 2026'!Y6:Y110,'AGOSTO 2026'!I6:I110)="COCOCHO")*('AGOSTO 2026'!K6:K110="GASOLINA")*'AGOSTO 2026'!N6:N110),0)</f>
        <v/>
      </c>
    </row>
    <row r="1234" ht="15" customHeight="1" s="195">
      <c r="A1234" s="194" t="inlineStr">
        <is>
          <t>COCOCHO</t>
        </is>
      </c>
      <c r="B1234" s="194" t="inlineStr">
        <is>
          <t>SETIEMBRE 2026</t>
        </is>
      </c>
      <c r="C1234" s="377">
        <f>IFERROR(SUMPRODUCT((IF('SETIEMBRE 2026'!Y6:Y110&lt;&gt;"",'SETIEMBRE 2026'!Y6:Y110,'SETIEMBRE 2026'!I6:I110)="COCOCHO")*('SETIEMBRE 2026'!K6:K110="PETROLEO")*'SETIEMBRE 2026'!M6:M110),0)</f>
        <v/>
      </c>
      <c r="D1234" s="377">
        <f>IFERROR(SUMPRODUCT((IF('SETIEMBRE 2026'!Y6:Y110&lt;&gt;"",'SETIEMBRE 2026'!Y6:Y110,'SETIEMBRE 2026'!I6:I110)="COCOCHO")*('SETIEMBRE 2026'!K6:K110="PETROLEO")*'SETIEMBRE 2026'!N6:N110),0)</f>
        <v/>
      </c>
      <c r="E1234" s="377">
        <f>IFERROR(SUMPRODUCT((IF('SETIEMBRE 2026'!Y6:Y110&lt;&gt;"",'SETIEMBRE 2026'!Y6:Y110,'SETIEMBRE 2026'!I6:I110)="COCOCHO")*('SETIEMBRE 2026'!K6:K110="GASOLINA")*'SETIEMBRE 2026'!M6:M110),0)</f>
        <v/>
      </c>
      <c r="F1234" s="377">
        <f>IFERROR(SUMPRODUCT((IF('SETIEMBRE 2026'!Y6:Y110&lt;&gt;"",'SETIEMBRE 2026'!Y6:Y110,'SETIEMBRE 2026'!I6:I110)="COCOCHO")*('SETIEMBRE 2026'!K6:K110="GASOLINA")*'SETIEMBRE 2026'!N6:N110),0)</f>
        <v/>
      </c>
    </row>
    <row r="1235" ht="15" customHeight="1" s="195">
      <c r="A1235" s="194" t="inlineStr">
        <is>
          <t>COCOCHO</t>
        </is>
      </c>
      <c r="B1235" s="194" t="inlineStr">
        <is>
          <t>OCTUBRE 2026</t>
        </is>
      </c>
      <c r="C1235" s="377">
        <f>IFERROR(SUMPRODUCT((IF('OCTUBRE 2026'!Y6:Y110&lt;&gt;"",'OCTUBRE 2026'!Y6:Y110,'OCTUBRE 2026'!I6:I110)="COCOCHO")*('OCTUBRE 2026'!K6:K110="PETROLEO")*'OCTUBRE 2026'!M6:M110),0)</f>
        <v/>
      </c>
      <c r="D1235" s="377">
        <f>IFERROR(SUMPRODUCT((IF('OCTUBRE 2026'!Y6:Y110&lt;&gt;"",'OCTUBRE 2026'!Y6:Y110,'OCTUBRE 2026'!I6:I110)="COCOCHO")*('OCTUBRE 2026'!K6:K110="PETROLEO")*'OCTUBRE 2026'!N6:N110),0)</f>
        <v/>
      </c>
      <c r="E1235" s="377">
        <f>IFERROR(SUMPRODUCT((IF('OCTUBRE 2026'!Y6:Y110&lt;&gt;"",'OCTUBRE 2026'!Y6:Y110,'OCTUBRE 2026'!I6:I110)="COCOCHO")*('OCTUBRE 2026'!K6:K110="GASOLINA")*'OCTUBRE 2026'!M6:M110),0)</f>
        <v/>
      </c>
      <c r="F1235" s="377">
        <f>IFERROR(SUMPRODUCT((IF('OCTUBRE 2026'!Y6:Y110&lt;&gt;"",'OCTUBRE 2026'!Y6:Y110,'OCTUBRE 2026'!I6:I110)="COCOCHO")*('OCTUBRE 2026'!K6:K110="GASOLINA")*'OCTUBRE 2026'!N6:N110),0)</f>
        <v/>
      </c>
    </row>
    <row r="1236" ht="15" customHeight="1" s="195">
      <c r="A1236" s="194" t="inlineStr">
        <is>
          <t>COCOCHO</t>
        </is>
      </c>
      <c r="B1236" s="194" t="inlineStr">
        <is>
          <t>NOVIEMBRE 2026</t>
        </is>
      </c>
      <c r="C1236" s="377">
        <f>IFERROR(SUMPRODUCT((IF('NOVIEMBRE 2026'!Y6:Y110&lt;&gt;"",'NOVIEMBRE 2026'!Y6:Y110,'NOVIEMBRE 2026'!I6:I110)="COCOCHO")*('NOVIEMBRE 2026'!K6:K110="PETROLEO")*'NOVIEMBRE 2026'!M6:M110),0)</f>
        <v/>
      </c>
      <c r="D1236" s="377">
        <f>IFERROR(SUMPRODUCT((IF('NOVIEMBRE 2026'!Y6:Y110&lt;&gt;"",'NOVIEMBRE 2026'!Y6:Y110,'NOVIEMBRE 2026'!I6:I110)="COCOCHO")*('NOVIEMBRE 2026'!K6:K110="PETROLEO")*'NOVIEMBRE 2026'!N6:N110),0)</f>
        <v/>
      </c>
      <c r="E1236" s="377">
        <f>IFERROR(SUMPRODUCT((IF('NOVIEMBRE 2026'!Y6:Y110&lt;&gt;"",'NOVIEMBRE 2026'!Y6:Y110,'NOVIEMBRE 2026'!I6:I110)="COCOCHO")*('NOVIEMBRE 2026'!K6:K110="GASOLINA")*'NOVIEMBRE 2026'!M6:M110),0)</f>
        <v/>
      </c>
      <c r="F1236" s="377">
        <f>IFERROR(SUMPRODUCT((IF('NOVIEMBRE 2026'!Y6:Y110&lt;&gt;"",'NOVIEMBRE 2026'!Y6:Y110,'NOVIEMBRE 2026'!I6:I110)="COCOCHO")*('NOVIEMBRE 2026'!K6:K110="GASOLINA")*'NOVIEMBRE 2026'!N6:N110),0)</f>
        <v/>
      </c>
    </row>
    <row r="1237" ht="15" customHeight="1" s="195">
      <c r="A1237" s="194" t="inlineStr">
        <is>
          <t>COCOCHO</t>
        </is>
      </c>
      <c r="B1237" s="194" t="inlineStr">
        <is>
          <t>DICIEMBRE 2026</t>
        </is>
      </c>
      <c r="C1237" s="377">
        <f>IFERROR(SUMPRODUCT((IF('DICIEMBRE 2026'!Y6:Y110&lt;&gt;"",'DICIEMBRE 2026'!Y6:Y110,'DICIEMBRE 2026'!I6:I110)="COCOCHO")*('DICIEMBRE 2026'!K6:K110="PETROLEO")*'DICIEMBRE 2026'!M6:M110),0)</f>
        <v/>
      </c>
      <c r="D1237" s="377">
        <f>IFERROR(SUMPRODUCT((IF('DICIEMBRE 2026'!Y6:Y110&lt;&gt;"",'DICIEMBRE 2026'!Y6:Y110,'DICIEMBRE 2026'!I6:I110)="COCOCHO")*('DICIEMBRE 2026'!K6:K110="PETROLEO")*'DICIEMBRE 2026'!N6:N110),0)</f>
        <v/>
      </c>
      <c r="E1237" s="377">
        <f>IFERROR(SUMPRODUCT((IF('DICIEMBRE 2026'!Y6:Y110&lt;&gt;"",'DICIEMBRE 2026'!Y6:Y110,'DICIEMBRE 2026'!I6:I110)="COCOCHO")*('DICIEMBRE 2026'!K6:K110="GASOLINA")*'DICIEMBRE 2026'!M6:M110),0)</f>
        <v/>
      </c>
      <c r="F1237" s="377">
        <f>IFERROR(SUMPRODUCT((IF('DICIEMBRE 2026'!Y6:Y110&lt;&gt;"",'DICIEMBRE 2026'!Y6:Y110,'DICIEMBRE 2026'!I6:I110)="COCOCHO")*('DICIEMBRE 2026'!K6:K110="GASOLINA")*'DICIEMBRE 2026'!N6:N110),0)</f>
        <v/>
      </c>
    </row>
    <row r="1238" ht="15" customHeight="1" s="195">
      <c r="A1238" s="194" t="inlineStr">
        <is>
          <t>COLCAMAR</t>
        </is>
      </c>
      <c r="B1238" s="194" t="inlineStr">
        <is>
          <t>ENERO 2026</t>
        </is>
      </c>
      <c r="C1238" s="377">
        <f>IFERROR(SUMPRODUCT((IF('ENERO 2026'!Y6:Y119&lt;&gt;"",'ENERO 2026'!Y6:Y119,'ENERO 2026'!I6:I119)="COLCAMAR")*('ENERO 2026'!K6:K119="PETROLEO")*'ENERO 2026'!M6:M119),0)</f>
        <v/>
      </c>
      <c r="D1238" s="377">
        <f>IFERROR(SUMPRODUCT((IF('ENERO 2026'!Y6:Y119&lt;&gt;"",'ENERO 2026'!Y6:Y119,'ENERO 2026'!I6:I119)="COLCAMAR")*('ENERO 2026'!K6:K119="PETROLEO")*'ENERO 2026'!N6:N119),0)</f>
        <v/>
      </c>
      <c r="E1238" s="377">
        <f>IFERROR(SUMPRODUCT((IF('ENERO 2026'!Y6:Y119&lt;&gt;"",'ENERO 2026'!Y6:Y119,'ENERO 2026'!I6:I119)="COLCAMAR")*('ENERO 2026'!K6:K119="GASOLINA")*'ENERO 2026'!M6:M119),0)</f>
        <v/>
      </c>
      <c r="F1238" s="377">
        <f>IFERROR(SUMPRODUCT((IF('ENERO 2026'!Y6:Y119&lt;&gt;"",'ENERO 2026'!Y6:Y119,'ENERO 2026'!I6:I119)="COLCAMAR")*('ENERO 2026'!K6:K119="GASOLINA")*'ENERO 2026'!N6:N119),0)</f>
        <v/>
      </c>
    </row>
    <row r="1239" ht="15" customHeight="1" s="195">
      <c r="A1239" s="194" t="inlineStr">
        <is>
          <t>COLCAMAR</t>
        </is>
      </c>
      <c r="B1239" s="194" t="inlineStr">
        <is>
          <t>FEBRERO 2026</t>
        </is>
      </c>
      <c r="C1239" s="377">
        <f>IFERROR(SUMPRODUCT((IF('FEBRERO 2026'!Y6:Y124&lt;&gt;"",'FEBRERO 2026'!Y6:Y124,'FEBRERO 2026'!I6:I124)="COLCAMAR")*('FEBRERO 2026'!K6:K124="PETROLEO")*'FEBRERO 2026'!M6:M124),0)</f>
        <v/>
      </c>
      <c r="D1239" s="377">
        <f>IFERROR(SUMPRODUCT((IF('FEBRERO 2026'!Y6:Y124&lt;&gt;"",'FEBRERO 2026'!Y6:Y124,'FEBRERO 2026'!I6:I124)="COLCAMAR")*('FEBRERO 2026'!K6:K124="PETROLEO")*'FEBRERO 2026'!N6:N124),0)</f>
        <v/>
      </c>
      <c r="E1239" s="377">
        <f>IFERROR(SUMPRODUCT((IF('FEBRERO 2026'!Y6:Y124&lt;&gt;"",'FEBRERO 2026'!Y6:Y124,'FEBRERO 2026'!I6:I124)="COLCAMAR")*('FEBRERO 2026'!K6:K124="GASOLINA")*'FEBRERO 2026'!M6:M124),0)</f>
        <v/>
      </c>
      <c r="F1239" s="377">
        <f>IFERROR(SUMPRODUCT((IF('FEBRERO 2026'!Y6:Y124&lt;&gt;"",'FEBRERO 2026'!Y6:Y124,'FEBRERO 2026'!I6:I124)="COLCAMAR")*('FEBRERO 2026'!K6:K124="GASOLINA")*'FEBRERO 2026'!N6:N124),0)</f>
        <v/>
      </c>
    </row>
    <row r="1240" ht="15" customHeight="1" s="195">
      <c r="A1240" s="194" t="inlineStr">
        <is>
          <t>COLCAMAR</t>
        </is>
      </c>
      <c r="B1240" s="194" t="inlineStr">
        <is>
          <t>MARZO 2026</t>
        </is>
      </c>
      <c r="C1240" s="377">
        <f>IFERROR(SUMPRODUCT((IF('MARZO 2026'!Y6:Y119&lt;&gt;"",'MARZO 2026'!Y6:Y119,'MARZO 2026'!I6:I119)="COLCAMAR")*('MARZO 2026'!K6:K119="PETROLEO")*'MARZO 2026'!M6:M119),0)</f>
        <v/>
      </c>
      <c r="D1240" s="377">
        <f>IFERROR(SUMPRODUCT((IF('MARZO 2026'!Y6:Y119&lt;&gt;"",'MARZO 2026'!Y6:Y119,'MARZO 2026'!I6:I119)="COLCAMAR")*('MARZO 2026'!K6:K119="PETROLEO")*'MARZO 2026'!N6:N119),0)</f>
        <v/>
      </c>
      <c r="E1240" s="377">
        <f>IFERROR(SUMPRODUCT((IF('MARZO 2026'!Y6:Y119&lt;&gt;"",'MARZO 2026'!Y6:Y119,'MARZO 2026'!I6:I119)="COLCAMAR")*('MARZO 2026'!K6:K119="GASOLINA")*'MARZO 2026'!M6:M119),0)</f>
        <v/>
      </c>
      <c r="F1240" s="377">
        <f>IFERROR(SUMPRODUCT((IF('MARZO 2026'!Y6:Y119&lt;&gt;"",'MARZO 2026'!Y6:Y119,'MARZO 2026'!I6:I119)="COLCAMAR")*('MARZO 2026'!K6:K119="GASOLINA")*'MARZO 2026'!N6:N119),0)</f>
        <v/>
      </c>
    </row>
    <row r="1241" ht="15" customHeight="1" s="195">
      <c r="A1241" s="194" t="inlineStr">
        <is>
          <t>COLCAMAR</t>
        </is>
      </c>
      <c r="B1241" s="194" t="inlineStr">
        <is>
          <t>ABRIL 2026</t>
        </is>
      </c>
      <c r="C1241" s="377">
        <f>IFERROR(SUMPRODUCT((IF('ABRIL 2026'!Y6:Y119&lt;&gt;"",'ABRIL 2026'!Y6:Y119,'ABRIL 2026'!I6:I119)="COLCAMAR")*('ABRIL 2026'!K6:K119="PETROLEO")*'ABRIL 2026'!M6:M119),0)</f>
        <v/>
      </c>
      <c r="D1241" s="377">
        <f>IFERROR(SUMPRODUCT((IF('ABRIL 2026'!Y6:Y119&lt;&gt;"",'ABRIL 2026'!Y6:Y119,'ABRIL 2026'!I6:I119)="COLCAMAR")*('ABRIL 2026'!K6:K119="PETROLEO")*'ABRIL 2026'!N6:N119),0)</f>
        <v/>
      </c>
      <c r="E1241" s="377">
        <f>IFERROR(SUMPRODUCT((IF('ABRIL 2026'!Y6:Y119&lt;&gt;"",'ABRIL 2026'!Y6:Y119,'ABRIL 2026'!I6:I119)="COLCAMAR")*('ABRIL 2026'!K6:K119="GASOLINA")*'ABRIL 2026'!M6:M119),0)</f>
        <v/>
      </c>
      <c r="F1241" s="377">
        <f>IFERROR(SUMPRODUCT((IF('ABRIL 2026'!Y6:Y119&lt;&gt;"",'ABRIL 2026'!Y6:Y119,'ABRIL 2026'!I6:I119)="COLCAMAR")*('ABRIL 2026'!K6:K119="GASOLINA")*'ABRIL 2026'!N6:N119),0)</f>
        <v/>
      </c>
    </row>
    <row r="1242" ht="15" customHeight="1" s="195">
      <c r="A1242" s="194" t="inlineStr">
        <is>
          <t>COLCAMAR</t>
        </is>
      </c>
      <c r="B1242" s="194" t="inlineStr">
        <is>
          <t>MAYO 2026</t>
        </is>
      </c>
      <c r="C1242" s="377">
        <f>IFERROR(SUMPRODUCT((IF('MAYO 2026'!Y6:Y110&lt;&gt;"",'MAYO 2026'!Y6:Y110,'MAYO 2026'!I6:I110)="COLCAMAR")*('MAYO 2026'!K6:K110="PETROLEO")*'MAYO 2026'!M6:M110),0)</f>
        <v/>
      </c>
      <c r="D1242" s="377">
        <f>IFERROR(SUMPRODUCT((IF('MAYO 2026'!Y6:Y110&lt;&gt;"",'MAYO 2026'!Y6:Y110,'MAYO 2026'!I6:I110)="COLCAMAR")*('MAYO 2026'!K6:K110="PETROLEO")*'MAYO 2026'!N6:N110),0)</f>
        <v/>
      </c>
      <c r="E1242" s="377">
        <f>IFERROR(SUMPRODUCT((IF('MAYO 2026'!Y6:Y110&lt;&gt;"",'MAYO 2026'!Y6:Y110,'MAYO 2026'!I6:I110)="COLCAMAR")*('MAYO 2026'!K6:K110="GASOLINA")*'MAYO 2026'!M6:M110),0)</f>
        <v/>
      </c>
      <c r="F1242" s="377">
        <f>IFERROR(SUMPRODUCT((IF('MAYO 2026'!Y6:Y110&lt;&gt;"",'MAYO 2026'!Y6:Y110,'MAYO 2026'!I6:I110)="COLCAMAR")*('MAYO 2026'!K6:K110="GASOLINA")*'MAYO 2026'!N6:N110),0)</f>
        <v/>
      </c>
    </row>
    <row r="1243" ht="15" customHeight="1" s="195">
      <c r="A1243" s="194" t="inlineStr">
        <is>
          <t>COLCAMAR</t>
        </is>
      </c>
      <c r="B1243" s="194" t="inlineStr">
        <is>
          <t>JUNIO 2026</t>
        </is>
      </c>
      <c r="C1243" s="377">
        <f>IFERROR(SUMPRODUCT((IF('JUNIO 2026'!Y6:Y110&lt;&gt;"",'JUNIO 2026'!Y6:Y110,'JUNIO 2026'!I6:I110)="COLCAMAR")*('JUNIO 2026'!K6:K110="PETROLEO")*'JUNIO 2026'!M6:M110),0)</f>
        <v/>
      </c>
      <c r="D1243" s="377">
        <f>IFERROR(SUMPRODUCT((IF('JUNIO 2026'!Y6:Y110&lt;&gt;"",'JUNIO 2026'!Y6:Y110,'JUNIO 2026'!I6:I110)="COLCAMAR")*('JUNIO 2026'!K6:K110="PETROLEO")*'JUNIO 2026'!N6:N110),0)</f>
        <v/>
      </c>
      <c r="E1243" s="377">
        <f>IFERROR(SUMPRODUCT((IF('JUNIO 2026'!Y6:Y110&lt;&gt;"",'JUNIO 2026'!Y6:Y110,'JUNIO 2026'!I6:I110)="COLCAMAR")*('JUNIO 2026'!K6:K110="GASOLINA")*'JUNIO 2026'!M6:M110),0)</f>
        <v/>
      </c>
      <c r="F1243" s="377">
        <f>IFERROR(SUMPRODUCT((IF('JUNIO 2026'!Y6:Y110&lt;&gt;"",'JUNIO 2026'!Y6:Y110,'JUNIO 2026'!I6:I110)="COLCAMAR")*('JUNIO 2026'!K6:K110="GASOLINA")*'JUNIO 2026'!N6:N110),0)</f>
        <v/>
      </c>
    </row>
    <row r="1244" ht="15" customHeight="1" s="195">
      <c r="A1244" s="194" t="inlineStr">
        <is>
          <t>COLCAMAR</t>
        </is>
      </c>
      <c r="B1244" s="194" t="inlineStr">
        <is>
          <t>JULIO 2026</t>
        </is>
      </c>
      <c r="C1244" s="377">
        <f>IFERROR(SUMPRODUCT((IF('JULIO 2026'!Y6:Y110&lt;&gt;"",'JULIO 2026'!Y6:Y110,'JULIO 2026'!I6:I110)="COLCAMAR")*('JULIO 2026'!K6:K110="PETROLEO")*'JULIO 2026'!M6:M110),0)</f>
        <v/>
      </c>
      <c r="D1244" s="377">
        <f>IFERROR(SUMPRODUCT((IF('JULIO 2026'!Y6:Y110&lt;&gt;"",'JULIO 2026'!Y6:Y110,'JULIO 2026'!I6:I110)="COLCAMAR")*('JULIO 2026'!K6:K110="PETROLEO")*'JULIO 2026'!N6:N110),0)</f>
        <v/>
      </c>
      <c r="E1244" s="377">
        <f>IFERROR(SUMPRODUCT((IF('JULIO 2026'!Y6:Y110&lt;&gt;"",'JULIO 2026'!Y6:Y110,'JULIO 2026'!I6:I110)="COLCAMAR")*('JULIO 2026'!K6:K110="GASOLINA")*'JULIO 2026'!M6:M110),0)</f>
        <v/>
      </c>
      <c r="F1244" s="377">
        <f>IFERROR(SUMPRODUCT((IF('JULIO 2026'!Y6:Y110&lt;&gt;"",'JULIO 2026'!Y6:Y110,'JULIO 2026'!I6:I110)="COLCAMAR")*('JULIO 2026'!K6:K110="GASOLINA")*'JULIO 2026'!N6:N110),0)</f>
        <v/>
      </c>
    </row>
    <row r="1245" ht="15" customHeight="1" s="195">
      <c r="A1245" s="194" t="inlineStr">
        <is>
          <t>COLCAMAR</t>
        </is>
      </c>
      <c r="B1245" s="194" t="inlineStr">
        <is>
          <t>AGOSTO 2026</t>
        </is>
      </c>
      <c r="C1245" s="377">
        <f>IFERROR(SUMPRODUCT((IF('AGOSTO 2026'!Y6:Y110&lt;&gt;"",'AGOSTO 2026'!Y6:Y110,'AGOSTO 2026'!I6:I110)="COLCAMAR")*('AGOSTO 2026'!K6:K110="PETROLEO")*'AGOSTO 2026'!M6:M110),0)</f>
        <v/>
      </c>
      <c r="D1245" s="377">
        <f>IFERROR(SUMPRODUCT((IF('AGOSTO 2026'!Y6:Y110&lt;&gt;"",'AGOSTO 2026'!Y6:Y110,'AGOSTO 2026'!I6:I110)="COLCAMAR")*('AGOSTO 2026'!K6:K110="PETROLEO")*'AGOSTO 2026'!N6:N110),0)</f>
        <v/>
      </c>
      <c r="E1245" s="377">
        <f>IFERROR(SUMPRODUCT((IF('AGOSTO 2026'!Y6:Y110&lt;&gt;"",'AGOSTO 2026'!Y6:Y110,'AGOSTO 2026'!I6:I110)="COLCAMAR")*('AGOSTO 2026'!K6:K110="GASOLINA")*'AGOSTO 2026'!M6:M110),0)</f>
        <v/>
      </c>
      <c r="F1245" s="377">
        <f>IFERROR(SUMPRODUCT((IF('AGOSTO 2026'!Y6:Y110&lt;&gt;"",'AGOSTO 2026'!Y6:Y110,'AGOSTO 2026'!I6:I110)="COLCAMAR")*('AGOSTO 2026'!K6:K110="GASOLINA")*'AGOSTO 2026'!N6:N110),0)</f>
        <v/>
      </c>
    </row>
    <row r="1246" ht="15" customHeight="1" s="195">
      <c r="A1246" s="194" t="inlineStr">
        <is>
          <t>COLCAMAR</t>
        </is>
      </c>
      <c r="B1246" s="194" t="inlineStr">
        <is>
          <t>SETIEMBRE 2026</t>
        </is>
      </c>
      <c r="C1246" s="377">
        <f>IFERROR(SUMPRODUCT((IF('SETIEMBRE 2026'!Y6:Y110&lt;&gt;"",'SETIEMBRE 2026'!Y6:Y110,'SETIEMBRE 2026'!I6:I110)="COLCAMAR")*('SETIEMBRE 2026'!K6:K110="PETROLEO")*'SETIEMBRE 2026'!M6:M110),0)</f>
        <v/>
      </c>
      <c r="D1246" s="377">
        <f>IFERROR(SUMPRODUCT((IF('SETIEMBRE 2026'!Y6:Y110&lt;&gt;"",'SETIEMBRE 2026'!Y6:Y110,'SETIEMBRE 2026'!I6:I110)="COLCAMAR")*('SETIEMBRE 2026'!K6:K110="PETROLEO")*'SETIEMBRE 2026'!N6:N110),0)</f>
        <v/>
      </c>
      <c r="E1246" s="377">
        <f>IFERROR(SUMPRODUCT((IF('SETIEMBRE 2026'!Y6:Y110&lt;&gt;"",'SETIEMBRE 2026'!Y6:Y110,'SETIEMBRE 2026'!I6:I110)="COLCAMAR")*('SETIEMBRE 2026'!K6:K110="GASOLINA")*'SETIEMBRE 2026'!M6:M110),0)</f>
        <v/>
      </c>
      <c r="F1246" s="377">
        <f>IFERROR(SUMPRODUCT((IF('SETIEMBRE 2026'!Y6:Y110&lt;&gt;"",'SETIEMBRE 2026'!Y6:Y110,'SETIEMBRE 2026'!I6:I110)="COLCAMAR")*('SETIEMBRE 2026'!K6:K110="GASOLINA")*'SETIEMBRE 2026'!N6:N110),0)</f>
        <v/>
      </c>
    </row>
    <row r="1247" ht="15" customHeight="1" s="195">
      <c r="A1247" s="194" t="inlineStr">
        <is>
          <t>COLCAMAR</t>
        </is>
      </c>
      <c r="B1247" s="194" t="inlineStr">
        <is>
          <t>OCTUBRE 2026</t>
        </is>
      </c>
      <c r="C1247" s="377">
        <f>IFERROR(SUMPRODUCT((IF('OCTUBRE 2026'!Y6:Y110&lt;&gt;"",'OCTUBRE 2026'!Y6:Y110,'OCTUBRE 2026'!I6:I110)="COLCAMAR")*('OCTUBRE 2026'!K6:K110="PETROLEO")*'OCTUBRE 2026'!M6:M110),0)</f>
        <v/>
      </c>
      <c r="D1247" s="377">
        <f>IFERROR(SUMPRODUCT((IF('OCTUBRE 2026'!Y6:Y110&lt;&gt;"",'OCTUBRE 2026'!Y6:Y110,'OCTUBRE 2026'!I6:I110)="COLCAMAR")*('OCTUBRE 2026'!K6:K110="PETROLEO")*'OCTUBRE 2026'!N6:N110),0)</f>
        <v/>
      </c>
      <c r="E1247" s="377">
        <f>IFERROR(SUMPRODUCT((IF('OCTUBRE 2026'!Y6:Y110&lt;&gt;"",'OCTUBRE 2026'!Y6:Y110,'OCTUBRE 2026'!I6:I110)="COLCAMAR")*('OCTUBRE 2026'!K6:K110="GASOLINA")*'OCTUBRE 2026'!M6:M110),0)</f>
        <v/>
      </c>
      <c r="F1247" s="377">
        <f>IFERROR(SUMPRODUCT((IF('OCTUBRE 2026'!Y6:Y110&lt;&gt;"",'OCTUBRE 2026'!Y6:Y110,'OCTUBRE 2026'!I6:I110)="COLCAMAR")*('OCTUBRE 2026'!K6:K110="GASOLINA")*'OCTUBRE 2026'!N6:N110),0)</f>
        <v/>
      </c>
    </row>
    <row r="1248" ht="15" customHeight="1" s="195">
      <c r="A1248" s="194" t="inlineStr">
        <is>
          <t>COLCAMAR</t>
        </is>
      </c>
      <c r="B1248" s="194" t="inlineStr">
        <is>
          <t>NOVIEMBRE 2026</t>
        </is>
      </c>
      <c r="C1248" s="377">
        <f>IFERROR(SUMPRODUCT((IF('NOVIEMBRE 2026'!Y6:Y110&lt;&gt;"",'NOVIEMBRE 2026'!Y6:Y110,'NOVIEMBRE 2026'!I6:I110)="COLCAMAR")*('NOVIEMBRE 2026'!K6:K110="PETROLEO")*'NOVIEMBRE 2026'!M6:M110),0)</f>
        <v/>
      </c>
      <c r="D1248" s="377">
        <f>IFERROR(SUMPRODUCT((IF('NOVIEMBRE 2026'!Y6:Y110&lt;&gt;"",'NOVIEMBRE 2026'!Y6:Y110,'NOVIEMBRE 2026'!I6:I110)="COLCAMAR")*('NOVIEMBRE 2026'!K6:K110="PETROLEO")*'NOVIEMBRE 2026'!N6:N110),0)</f>
        <v/>
      </c>
      <c r="E1248" s="377">
        <f>IFERROR(SUMPRODUCT((IF('NOVIEMBRE 2026'!Y6:Y110&lt;&gt;"",'NOVIEMBRE 2026'!Y6:Y110,'NOVIEMBRE 2026'!I6:I110)="COLCAMAR")*('NOVIEMBRE 2026'!K6:K110="GASOLINA")*'NOVIEMBRE 2026'!M6:M110),0)</f>
        <v/>
      </c>
      <c r="F1248" s="377">
        <f>IFERROR(SUMPRODUCT((IF('NOVIEMBRE 2026'!Y6:Y110&lt;&gt;"",'NOVIEMBRE 2026'!Y6:Y110,'NOVIEMBRE 2026'!I6:I110)="COLCAMAR")*('NOVIEMBRE 2026'!K6:K110="GASOLINA")*'NOVIEMBRE 2026'!N6:N110),0)</f>
        <v/>
      </c>
    </row>
    <row r="1249" ht="15" customHeight="1" s="195">
      <c r="A1249" s="194" t="inlineStr">
        <is>
          <t>COLCAMAR</t>
        </is>
      </c>
      <c r="B1249" s="194" t="inlineStr">
        <is>
          <t>DICIEMBRE 2026</t>
        </is>
      </c>
      <c r="C1249" s="377">
        <f>IFERROR(SUMPRODUCT((IF('DICIEMBRE 2026'!Y6:Y110&lt;&gt;"",'DICIEMBRE 2026'!Y6:Y110,'DICIEMBRE 2026'!I6:I110)="COLCAMAR")*('DICIEMBRE 2026'!K6:K110="PETROLEO")*'DICIEMBRE 2026'!M6:M110),0)</f>
        <v/>
      </c>
      <c r="D1249" s="377">
        <f>IFERROR(SUMPRODUCT((IF('DICIEMBRE 2026'!Y6:Y110&lt;&gt;"",'DICIEMBRE 2026'!Y6:Y110,'DICIEMBRE 2026'!I6:I110)="COLCAMAR")*('DICIEMBRE 2026'!K6:K110="PETROLEO")*'DICIEMBRE 2026'!N6:N110),0)</f>
        <v/>
      </c>
      <c r="E1249" s="377">
        <f>IFERROR(SUMPRODUCT((IF('DICIEMBRE 2026'!Y6:Y110&lt;&gt;"",'DICIEMBRE 2026'!Y6:Y110,'DICIEMBRE 2026'!I6:I110)="COLCAMAR")*('DICIEMBRE 2026'!K6:K110="GASOLINA")*'DICIEMBRE 2026'!M6:M110),0)</f>
        <v/>
      </c>
      <c r="F1249" s="377">
        <f>IFERROR(SUMPRODUCT((IF('DICIEMBRE 2026'!Y6:Y110&lt;&gt;"",'DICIEMBRE 2026'!Y6:Y110,'DICIEMBRE 2026'!I6:I110)="COLCAMAR")*('DICIEMBRE 2026'!K6:K110="GASOLINA")*'DICIEMBRE 2026'!N6:N110),0)</f>
        <v/>
      </c>
    </row>
    <row r="1250" ht="15" customHeight="1" s="195">
      <c r="A1250" s="194" t="inlineStr">
        <is>
          <t>COLLONCE</t>
        </is>
      </c>
      <c r="B1250" s="194" t="inlineStr">
        <is>
          <t>ENERO 2026</t>
        </is>
      </c>
      <c r="C1250" s="377">
        <f>IFERROR(SUMPRODUCT((IF('ENERO 2026'!Y6:Y119&lt;&gt;"",'ENERO 2026'!Y6:Y119,'ENERO 2026'!I6:I119)="COLLONCE")*('ENERO 2026'!K6:K119="PETROLEO")*'ENERO 2026'!M6:M119),0)</f>
        <v/>
      </c>
      <c r="D1250" s="377">
        <f>IFERROR(SUMPRODUCT((IF('ENERO 2026'!Y6:Y119&lt;&gt;"",'ENERO 2026'!Y6:Y119,'ENERO 2026'!I6:I119)="COLLONCE")*('ENERO 2026'!K6:K119="PETROLEO")*'ENERO 2026'!N6:N119),0)</f>
        <v/>
      </c>
      <c r="E1250" s="377">
        <f>IFERROR(SUMPRODUCT((IF('ENERO 2026'!Y6:Y119&lt;&gt;"",'ENERO 2026'!Y6:Y119,'ENERO 2026'!I6:I119)="COLLONCE")*('ENERO 2026'!K6:K119="GASOLINA")*'ENERO 2026'!M6:M119),0)</f>
        <v/>
      </c>
      <c r="F1250" s="377">
        <f>IFERROR(SUMPRODUCT((IF('ENERO 2026'!Y6:Y119&lt;&gt;"",'ENERO 2026'!Y6:Y119,'ENERO 2026'!I6:I119)="COLLONCE")*('ENERO 2026'!K6:K119="GASOLINA")*'ENERO 2026'!N6:N119),0)</f>
        <v/>
      </c>
    </row>
    <row r="1251" ht="15" customHeight="1" s="195">
      <c r="A1251" s="194" t="inlineStr">
        <is>
          <t>COLLONCE</t>
        </is>
      </c>
      <c r="B1251" s="194" t="inlineStr">
        <is>
          <t>FEBRERO 2026</t>
        </is>
      </c>
      <c r="C1251" s="377">
        <f>IFERROR(SUMPRODUCT((IF('FEBRERO 2026'!Y6:Y124&lt;&gt;"",'FEBRERO 2026'!Y6:Y124,'FEBRERO 2026'!I6:I124)="COLLONCE")*('FEBRERO 2026'!K6:K124="PETROLEO")*'FEBRERO 2026'!M6:M124),0)</f>
        <v/>
      </c>
      <c r="D1251" s="377">
        <f>IFERROR(SUMPRODUCT((IF('FEBRERO 2026'!Y6:Y124&lt;&gt;"",'FEBRERO 2026'!Y6:Y124,'FEBRERO 2026'!I6:I124)="COLLONCE")*('FEBRERO 2026'!K6:K124="PETROLEO")*'FEBRERO 2026'!N6:N124),0)</f>
        <v/>
      </c>
      <c r="E1251" s="377">
        <f>IFERROR(SUMPRODUCT((IF('FEBRERO 2026'!Y6:Y124&lt;&gt;"",'FEBRERO 2026'!Y6:Y124,'FEBRERO 2026'!I6:I124)="COLLONCE")*('FEBRERO 2026'!K6:K124="GASOLINA")*'FEBRERO 2026'!M6:M124),0)</f>
        <v/>
      </c>
      <c r="F1251" s="377">
        <f>IFERROR(SUMPRODUCT((IF('FEBRERO 2026'!Y6:Y124&lt;&gt;"",'FEBRERO 2026'!Y6:Y124,'FEBRERO 2026'!I6:I124)="COLLONCE")*('FEBRERO 2026'!K6:K124="GASOLINA")*'FEBRERO 2026'!N6:N124),0)</f>
        <v/>
      </c>
    </row>
    <row r="1252" ht="15" customHeight="1" s="195">
      <c r="A1252" s="194" t="inlineStr">
        <is>
          <t>COLLONCE</t>
        </is>
      </c>
      <c r="B1252" s="194" t="inlineStr">
        <is>
          <t>MARZO 2026</t>
        </is>
      </c>
      <c r="C1252" s="377">
        <f>IFERROR(SUMPRODUCT((IF('MARZO 2026'!Y6:Y119&lt;&gt;"",'MARZO 2026'!Y6:Y119,'MARZO 2026'!I6:I119)="COLLONCE")*('MARZO 2026'!K6:K119="PETROLEO")*'MARZO 2026'!M6:M119),0)</f>
        <v/>
      </c>
      <c r="D1252" s="377">
        <f>IFERROR(SUMPRODUCT((IF('MARZO 2026'!Y6:Y119&lt;&gt;"",'MARZO 2026'!Y6:Y119,'MARZO 2026'!I6:I119)="COLLONCE")*('MARZO 2026'!K6:K119="PETROLEO")*'MARZO 2026'!N6:N119),0)</f>
        <v/>
      </c>
      <c r="E1252" s="377">
        <f>IFERROR(SUMPRODUCT((IF('MARZO 2026'!Y6:Y119&lt;&gt;"",'MARZO 2026'!Y6:Y119,'MARZO 2026'!I6:I119)="COLLONCE")*('MARZO 2026'!K6:K119="GASOLINA")*'MARZO 2026'!M6:M119),0)</f>
        <v/>
      </c>
      <c r="F1252" s="377">
        <f>IFERROR(SUMPRODUCT((IF('MARZO 2026'!Y6:Y119&lt;&gt;"",'MARZO 2026'!Y6:Y119,'MARZO 2026'!I6:I119)="COLLONCE")*('MARZO 2026'!K6:K119="GASOLINA")*'MARZO 2026'!N6:N119),0)</f>
        <v/>
      </c>
    </row>
    <row r="1253" ht="15" customHeight="1" s="195">
      <c r="A1253" s="194" t="inlineStr">
        <is>
          <t>COLLONCE</t>
        </is>
      </c>
      <c r="B1253" s="194" t="inlineStr">
        <is>
          <t>ABRIL 2026</t>
        </is>
      </c>
      <c r="C1253" s="377">
        <f>IFERROR(SUMPRODUCT((IF('ABRIL 2026'!Y6:Y119&lt;&gt;"",'ABRIL 2026'!Y6:Y119,'ABRIL 2026'!I6:I119)="COLLONCE")*('ABRIL 2026'!K6:K119="PETROLEO")*'ABRIL 2026'!M6:M119),0)</f>
        <v/>
      </c>
      <c r="D1253" s="377">
        <f>IFERROR(SUMPRODUCT((IF('ABRIL 2026'!Y6:Y119&lt;&gt;"",'ABRIL 2026'!Y6:Y119,'ABRIL 2026'!I6:I119)="COLLONCE")*('ABRIL 2026'!K6:K119="PETROLEO")*'ABRIL 2026'!N6:N119),0)</f>
        <v/>
      </c>
      <c r="E1253" s="377">
        <f>IFERROR(SUMPRODUCT((IF('ABRIL 2026'!Y6:Y119&lt;&gt;"",'ABRIL 2026'!Y6:Y119,'ABRIL 2026'!I6:I119)="COLLONCE")*('ABRIL 2026'!K6:K119="GASOLINA")*'ABRIL 2026'!M6:M119),0)</f>
        <v/>
      </c>
      <c r="F1253" s="377">
        <f>IFERROR(SUMPRODUCT((IF('ABRIL 2026'!Y6:Y119&lt;&gt;"",'ABRIL 2026'!Y6:Y119,'ABRIL 2026'!I6:I119)="COLLONCE")*('ABRIL 2026'!K6:K119="GASOLINA")*'ABRIL 2026'!N6:N119),0)</f>
        <v/>
      </c>
    </row>
    <row r="1254" ht="15" customHeight="1" s="195">
      <c r="A1254" s="194" t="inlineStr">
        <is>
          <t>COLLONCE</t>
        </is>
      </c>
      <c r="B1254" s="194" t="inlineStr">
        <is>
          <t>MAYO 2026</t>
        </is>
      </c>
      <c r="C1254" s="377">
        <f>IFERROR(SUMPRODUCT((IF('MAYO 2026'!Y6:Y110&lt;&gt;"",'MAYO 2026'!Y6:Y110,'MAYO 2026'!I6:I110)="COLLONCE")*('MAYO 2026'!K6:K110="PETROLEO")*'MAYO 2026'!M6:M110),0)</f>
        <v/>
      </c>
      <c r="D1254" s="377">
        <f>IFERROR(SUMPRODUCT((IF('MAYO 2026'!Y6:Y110&lt;&gt;"",'MAYO 2026'!Y6:Y110,'MAYO 2026'!I6:I110)="COLLONCE")*('MAYO 2026'!K6:K110="PETROLEO")*'MAYO 2026'!N6:N110),0)</f>
        <v/>
      </c>
      <c r="E1254" s="377">
        <f>IFERROR(SUMPRODUCT((IF('MAYO 2026'!Y6:Y110&lt;&gt;"",'MAYO 2026'!Y6:Y110,'MAYO 2026'!I6:I110)="COLLONCE")*('MAYO 2026'!K6:K110="GASOLINA")*'MAYO 2026'!M6:M110),0)</f>
        <v/>
      </c>
      <c r="F1254" s="377">
        <f>IFERROR(SUMPRODUCT((IF('MAYO 2026'!Y6:Y110&lt;&gt;"",'MAYO 2026'!Y6:Y110,'MAYO 2026'!I6:I110)="COLLONCE")*('MAYO 2026'!K6:K110="GASOLINA")*'MAYO 2026'!N6:N110),0)</f>
        <v/>
      </c>
    </row>
    <row r="1255" ht="15" customHeight="1" s="195">
      <c r="A1255" s="194" t="inlineStr">
        <is>
          <t>COLLONCE</t>
        </is>
      </c>
      <c r="B1255" s="194" t="inlineStr">
        <is>
          <t>JUNIO 2026</t>
        </is>
      </c>
      <c r="C1255" s="377">
        <f>IFERROR(SUMPRODUCT((IF('JUNIO 2026'!Y6:Y110&lt;&gt;"",'JUNIO 2026'!Y6:Y110,'JUNIO 2026'!I6:I110)="COLLONCE")*('JUNIO 2026'!K6:K110="PETROLEO")*'JUNIO 2026'!M6:M110),0)</f>
        <v/>
      </c>
      <c r="D1255" s="377">
        <f>IFERROR(SUMPRODUCT((IF('JUNIO 2026'!Y6:Y110&lt;&gt;"",'JUNIO 2026'!Y6:Y110,'JUNIO 2026'!I6:I110)="COLLONCE")*('JUNIO 2026'!K6:K110="PETROLEO")*'JUNIO 2026'!N6:N110),0)</f>
        <v/>
      </c>
      <c r="E1255" s="377">
        <f>IFERROR(SUMPRODUCT((IF('JUNIO 2026'!Y6:Y110&lt;&gt;"",'JUNIO 2026'!Y6:Y110,'JUNIO 2026'!I6:I110)="COLLONCE")*('JUNIO 2026'!K6:K110="GASOLINA")*'JUNIO 2026'!M6:M110),0)</f>
        <v/>
      </c>
      <c r="F1255" s="377">
        <f>IFERROR(SUMPRODUCT((IF('JUNIO 2026'!Y6:Y110&lt;&gt;"",'JUNIO 2026'!Y6:Y110,'JUNIO 2026'!I6:I110)="COLLONCE")*('JUNIO 2026'!K6:K110="GASOLINA")*'JUNIO 2026'!N6:N110),0)</f>
        <v/>
      </c>
    </row>
    <row r="1256" ht="15" customHeight="1" s="195">
      <c r="A1256" s="194" t="inlineStr">
        <is>
          <t>COLLONCE</t>
        </is>
      </c>
      <c r="B1256" s="194" t="inlineStr">
        <is>
          <t>JULIO 2026</t>
        </is>
      </c>
      <c r="C1256" s="377">
        <f>IFERROR(SUMPRODUCT((IF('JULIO 2026'!Y6:Y110&lt;&gt;"",'JULIO 2026'!Y6:Y110,'JULIO 2026'!I6:I110)="COLLONCE")*('JULIO 2026'!K6:K110="PETROLEO")*'JULIO 2026'!M6:M110),0)</f>
        <v/>
      </c>
      <c r="D1256" s="377">
        <f>IFERROR(SUMPRODUCT((IF('JULIO 2026'!Y6:Y110&lt;&gt;"",'JULIO 2026'!Y6:Y110,'JULIO 2026'!I6:I110)="COLLONCE")*('JULIO 2026'!K6:K110="PETROLEO")*'JULIO 2026'!N6:N110),0)</f>
        <v/>
      </c>
      <c r="E1256" s="377">
        <f>IFERROR(SUMPRODUCT((IF('JULIO 2026'!Y6:Y110&lt;&gt;"",'JULIO 2026'!Y6:Y110,'JULIO 2026'!I6:I110)="COLLONCE")*('JULIO 2026'!K6:K110="GASOLINA")*'JULIO 2026'!M6:M110),0)</f>
        <v/>
      </c>
      <c r="F1256" s="377">
        <f>IFERROR(SUMPRODUCT((IF('JULIO 2026'!Y6:Y110&lt;&gt;"",'JULIO 2026'!Y6:Y110,'JULIO 2026'!I6:I110)="COLLONCE")*('JULIO 2026'!K6:K110="GASOLINA")*'JULIO 2026'!N6:N110),0)</f>
        <v/>
      </c>
    </row>
    <row r="1257" ht="15" customHeight="1" s="195">
      <c r="A1257" s="194" t="inlineStr">
        <is>
          <t>COLLONCE</t>
        </is>
      </c>
      <c r="B1257" s="194" t="inlineStr">
        <is>
          <t>AGOSTO 2026</t>
        </is>
      </c>
      <c r="C1257" s="377">
        <f>IFERROR(SUMPRODUCT((IF('AGOSTO 2026'!Y6:Y110&lt;&gt;"",'AGOSTO 2026'!Y6:Y110,'AGOSTO 2026'!I6:I110)="COLLONCE")*('AGOSTO 2026'!K6:K110="PETROLEO")*'AGOSTO 2026'!M6:M110),0)</f>
        <v/>
      </c>
      <c r="D1257" s="377">
        <f>IFERROR(SUMPRODUCT((IF('AGOSTO 2026'!Y6:Y110&lt;&gt;"",'AGOSTO 2026'!Y6:Y110,'AGOSTO 2026'!I6:I110)="COLLONCE")*('AGOSTO 2026'!K6:K110="PETROLEO")*'AGOSTO 2026'!N6:N110),0)</f>
        <v/>
      </c>
      <c r="E1257" s="377">
        <f>IFERROR(SUMPRODUCT((IF('AGOSTO 2026'!Y6:Y110&lt;&gt;"",'AGOSTO 2026'!Y6:Y110,'AGOSTO 2026'!I6:I110)="COLLONCE")*('AGOSTO 2026'!K6:K110="GASOLINA")*'AGOSTO 2026'!M6:M110),0)</f>
        <v/>
      </c>
      <c r="F1257" s="377">
        <f>IFERROR(SUMPRODUCT((IF('AGOSTO 2026'!Y6:Y110&lt;&gt;"",'AGOSTO 2026'!Y6:Y110,'AGOSTO 2026'!I6:I110)="COLLONCE")*('AGOSTO 2026'!K6:K110="GASOLINA")*'AGOSTO 2026'!N6:N110),0)</f>
        <v/>
      </c>
    </row>
    <row r="1258" ht="15" customHeight="1" s="195">
      <c r="A1258" s="194" t="inlineStr">
        <is>
          <t>COLLONCE</t>
        </is>
      </c>
      <c r="B1258" s="194" t="inlineStr">
        <is>
          <t>SETIEMBRE 2026</t>
        </is>
      </c>
      <c r="C1258" s="377">
        <f>IFERROR(SUMPRODUCT((IF('SETIEMBRE 2026'!Y6:Y110&lt;&gt;"",'SETIEMBRE 2026'!Y6:Y110,'SETIEMBRE 2026'!I6:I110)="COLLONCE")*('SETIEMBRE 2026'!K6:K110="PETROLEO")*'SETIEMBRE 2026'!M6:M110),0)</f>
        <v/>
      </c>
      <c r="D1258" s="377">
        <f>IFERROR(SUMPRODUCT((IF('SETIEMBRE 2026'!Y6:Y110&lt;&gt;"",'SETIEMBRE 2026'!Y6:Y110,'SETIEMBRE 2026'!I6:I110)="COLLONCE")*('SETIEMBRE 2026'!K6:K110="PETROLEO")*'SETIEMBRE 2026'!N6:N110),0)</f>
        <v/>
      </c>
      <c r="E1258" s="377">
        <f>IFERROR(SUMPRODUCT((IF('SETIEMBRE 2026'!Y6:Y110&lt;&gt;"",'SETIEMBRE 2026'!Y6:Y110,'SETIEMBRE 2026'!I6:I110)="COLLONCE")*('SETIEMBRE 2026'!K6:K110="GASOLINA")*'SETIEMBRE 2026'!M6:M110),0)</f>
        <v/>
      </c>
      <c r="F1258" s="377">
        <f>IFERROR(SUMPRODUCT((IF('SETIEMBRE 2026'!Y6:Y110&lt;&gt;"",'SETIEMBRE 2026'!Y6:Y110,'SETIEMBRE 2026'!I6:I110)="COLLONCE")*('SETIEMBRE 2026'!K6:K110="GASOLINA")*'SETIEMBRE 2026'!N6:N110),0)</f>
        <v/>
      </c>
    </row>
    <row r="1259" ht="15" customHeight="1" s="195">
      <c r="A1259" s="194" t="inlineStr">
        <is>
          <t>COLLONCE</t>
        </is>
      </c>
      <c r="B1259" s="194" t="inlineStr">
        <is>
          <t>OCTUBRE 2026</t>
        </is>
      </c>
      <c r="C1259" s="377">
        <f>IFERROR(SUMPRODUCT((IF('OCTUBRE 2026'!Y6:Y110&lt;&gt;"",'OCTUBRE 2026'!Y6:Y110,'OCTUBRE 2026'!I6:I110)="COLLONCE")*('OCTUBRE 2026'!K6:K110="PETROLEO")*'OCTUBRE 2026'!M6:M110),0)</f>
        <v/>
      </c>
      <c r="D1259" s="377">
        <f>IFERROR(SUMPRODUCT((IF('OCTUBRE 2026'!Y6:Y110&lt;&gt;"",'OCTUBRE 2026'!Y6:Y110,'OCTUBRE 2026'!I6:I110)="COLLONCE")*('OCTUBRE 2026'!K6:K110="PETROLEO")*'OCTUBRE 2026'!N6:N110),0)</f>
        <v/>
      </c>
      <c r="E1259" s="377">
        <f>IFERROR(SUMPRODUCT((IF('OCTUBRE 2026'!Y6:Y110&lt;&gt;"",'OCTUBRE 2026'!Y6:Y110,'OCTUBRE 2026'!I6:I110)="COLLONCE")*('OCTUBRE 2026'!K6:K110="GASOLINA")*'OCTUBRE 2026'!M6:M110),0)</f>
        <v/>
      </c>
      <c r="F1259" s="377">
        <f>IFERROR(SUMPRODUCT((IF('OCTUBRE 2026'!Y6:Y110&lt;&gt;"",'OCTUBRE 2026'!Y6:Y110,'OCTUBRE 2026'!I6:I110)="COLLONCE")*('OCTUBRE 2026'!K6:K110="GASOLINA")*'OCTUBRE 2026'!N6:N110),0)</f>
        <v/>
      </c>
    </row>
    <row r="1260" ht="15" customHeight="1" s="195">
      <c r="A1260" s="194" t="inlineStr">
        <is>
          <t>COLLONCE</t>
        </is>
      </c>
      <c r="B1260" s="194" t="inlineStr">
        <is>
          <t>NOVIEMBRE 2026</t>
        </is>
      </c>
      <c r="C1260" s="377">
        <f>IFERROR(SUMPRODUCT((IF('NOVIEMBRE 2026'!Y6:Y110&lt;&gt;"",'NOVIEMBRE 2026'!Y6:Y110,'NOVIEMBRE 2026'!I6:I110)="COLLONCE")*('NOVIEMBRE 2026'!K6:K110="PETROLEO")*'NOVIEMBRE 2026'!M6:M110),0)</f>
        <v/>
      </c>
      <c r="D1260" s="377">
        <f>IFERROR(SUMPRODUCT((IF('NOVIEMBRE 2026'!Y6:Y110&lt;&gt;"",'NOVIEMBRE 2026'!Y6:Y110,'NOVIEMBRE 2026'!I6:I110)="COLLONCE")*('NOVIEMBRE 2026'!K6:K110="PETROLEO")*'NOVIEMBRE 2026'!N6:N110),0)</f>
        <v/>
      </c>
      <c r="E1260" s="377">
        <f>IFERROR(SUMPRODUCT((IF('NOVIEMBRE 2026'!Y6:Y110&lt;&gt;"",'NOVIEMBRE 2026'!Y6:Y110,'NOVIEMBRE 2026'!I6:I110)="COLLONCE")*('NOVIEMBRE 2026'!K6:K110="GASOLINA")*'NOVIEMBRE 2026'!M6:M110),0)</f>
        <v/>
      </c>
      <c r="F1260" s="377">
        <f>IFERROR(SUMPRODUCT((IF('NOVIEMBRE 2026'!Y6:Y110&lt;&gt;"",'NOVIEMBRE 2026'!Y6:Y110,'NOVIEMBRE 2026'!I6:I110)="COLLONCE")*('NOVIEMBRE 2026'!K6:K110="GASOLINA")*'NOVIEMBRE 2026'!N6:N110),0)</f>
        <v/>
      </c>
    </row>
    <row r="1261" ht="15" customHeight="1" s="195">
      <c r="A1261" s="194" t="inlineStr">
        <is>
          <t>COLLONCE</t>
        </is>
      </c>
      <c r="B1261" s="194" t="inlineStr">
        <is>
          <t>DICIEMBRE 2026</t>
        </is>
      </c>
      <c r="C1261" s="377">
        <f>IFERROR(SUMPRODUCT((IF('DICIEMBRE 2026'!Y6:Y110&lt;&gt;"",'DICIEMBRE 2026'!Y6:Y110,'DICIEMBRE 2026'!I6:I110)="COLLONCE")*('DICIEMBRE 2026'!K6:K110="PETROLEO")*'DICIEMBRE 2026'!M6:M110),0)</f>
        <v/>
      </c>
      <c r="D1261" s="377">
        <f>IFERROR(SUMPRODUCT((IF('DICIEMBRE 2026'!Y6:Y110&lt;&gt;"",'DICIEMBRE 2026'!Y6:Y110,'DICIEMBRE 2026'!I6:I110)="COLLONCE")*('DICIEMBRE 2026'!K6:K110="PETROLEO")*'DICIEMBRE 2026'!N6:N110),0)</f>
        <v/>
      </c>
      <c r="E1261" s="377">
        <f>IFERROR(SUMPRODUCT((IF('DICIEMBRE 2026'!Y6:Y110&lt;&gt;"",'DICIEMBRE 2026'!Y6:Y110,'DICIEMBRE 2026'!I6:I110)="COLLONCE")*('DICIEMBRE 2026'!K6:K110="GASOLINA")*'DICIEMBRE 2026'!M6:M110),0)</f>
        <v/>
      </c>
      <c r="F1261" s="377">
        <f>IFERROR(SUMPRODUCT((IF('DICIEMBRE 2026'!Y6:Y110&lt;&gt;"",'DICIEMBRE 2026'!Y6:Y110,'DICIEMBRE 2026'!I6:I110)="COLLONCE")*('DICIEMBRE 2026'!K6:K110="GASOLINA")*'DICIEMBRE 2026'!N6:N110),0)</f>
        <v/>
      </c>
    </row>
    <row r="1262" ht="15" customHeight="1" s="195">
      <c r="A1262" s="194" t="inlineStr">
        <is>
          <t>HUAMBO</t>
        </is>
      </c>
      <c r="B1262" s="194" t="inlineStr">
        <is>
          <t>ENERO 2026</t>
        </is>
      </c>
      <c r="C1262" s="377">
        <f>IFERROR(SUMPRODUCT((IF('ENERO 2026'!Y6:Y119&lt;&gt;"",'ENERO 2026'!Y6:Y119,'ENERO 2026'!I6:I119)="HUAMBO")*('ENERO 2026'!K6:K119="PETROLEO")*'ENERO 2026'!M6:M119),0)</f>
        <v/>
      </c>
      <c r="D1262" s="377">
        <f>IFERROR(SUMPRODUCT((IF('ENERO 2026'!Y6:Y119&lt;&gt;"",'ENERO 2026'!Y6:Y119,'ENERO 2026'!I6:I119)="HUAMBO")*('ENERO 2026'!K6:K119="PETROLEO")*'ENERO 2026'!N6:N119),0)</f>
        <v/>
      </c>
      <c r="E1262" s="377">
        <f>IFERROR(SUMPRODUCT((IF('ENERO 2026'!Y6:Y119&lt;&gt;"",'ENERO 2026'!Y6:Y119,'ENERO 2026'!I6:I119)="HUAMBO")*('ENERO 2026'!K6:K119="GASOLINA")*'ENERO 2026'!M6:M119),0)</f>
        <v/>
      </c>
      <c r="F1262" s="377">
        <f>IFERROR(SUMPRODUCT((IF('ENERO 2026'!Y6:Y119&lt;&gt;"",'ENERO 2026'!Y6:Y119,'ENERO 2026'!I6:I119)="HUAMBO")*('ENERO 2026'!K6:K119="GASOLINA")*'ENERO 2026'!N6:N119),0)</f>
        <v/>
      </c>
    </row>
    <row r="1263" ht="15" customHeight="1" s="195">
      <c r="A1263" s="194" t="inlineStr">
        <is>
          <t>HUAMBO</t>
        </is>
      </c>
      <c r="B1263" s="194" t="inlineStr">
        <is>
          <t>FEBRERO 2026</t>
        </is>
      </c>
      <c r="C1263" s="377">
        <f>IFERROR(SUMPRODUCT((IF('FEBRERO 2026'!Y6:Y124&lt;&gt;"",'FEBRERO 2026'!Y6:Y124,'FEBRERO 2026'!I6:I124)="HUAMBO")*('FEBRERO 2026'!K6:K124="PETROLEO")*'FEBRERO 2026'!M6:M124),0)</f>
        <v/>
      </c>
      <c r="D1263" s="377">
        <f>IFERROR(SUMPRODUCT((IF('FEBRERO 2026'!Y6:Y124&lt;&gt;"",'FEBRERO 2026'!Y6:Y124,'FEBRERO 2026'!I6:I124)="HUAMBO")*('FEBRERO 2026'!K6:K124="PETROLEO")*'FEBRERO 2026'!N6:N124),0)</f>
        <v/>
      </c>
      <c r="E1263" s="377">
        <f>IFERROR(SUMPRODUCT((IF('FEBRERO 2026'!Y6:Y124&lt;&gt;"",'FEBRERO 2026'!Y6:Y124,'FEBRERO 2026'!I6:I124)="HUAMBO")*('FEBRERO 2026'!K6:K124="GASOLINA")*'FEBRERO 2026'!M6:M124),0)</f>
        <v/>
      </c>
      <c r="F1263" s="377">
        <f>IFERROR(SUMPRODUCT((IF('FEBRERO 2026'!Y6:Y124&lt;&gt;"",'FEBRERO 2026'!Y6:Y124,'FEBRERO 2026'!I6:I124)="HUAMBO")*('FEBRERO 2026'!K6:K124="GASOLINA")*'FEBRERO 2026'!N6:N124),0)</f>
        <v/>
      </c>
    </row>
    <row r="1264" ht="15" customHeight="1" s="195">
      <c r="A1264" s="194" t="inlineStr">
        <is>
          <t>HUAMBO</t>
        </is>
      </c>
      <c r="B1264" s="194" t="inlineStr">
        <is>
          <t>MARZO 2026</t>
        </is>
      </c>
      <c r="C1264" s="377">
        <f>IFERROR(SUMPRODUCT((IF('MARZO 2026'!Y6:Y119&lt;&gt;"",'MARZO 2026'!Y6:Y119,'MARZO 2026'!I6:I119)="HUAMBO")*('MARZO 2026'!K6:K119="PETROLEO")*'MARZO 2026'!M6:M119),0)</f>
        <v/>
      </c>
      <c r="D1264" s="377">
        <f>IFERROR(SUMPRODUCT((IF('MARZO 2026'!Y6:Y119&lt;&gt;"",'MARZO 2026'!Y6:Y119,'MARZO 2026'!I6:I119)="HUAMBO")*('MARZO 2026'!K6:K119="PETROLEO")*'MARZO 2026'!N6:N119),0)</f>
        <v/>
      </c>
      <c r="E1264" s="377">
        <f>IFERROR(SUMPRODUCT((IF('MARZO 2026'!Y6:Y119&lt;&gt;"",'MARZO 2026'!Y6:Y119,'MARZO 2026'!I6:I119)="HUAMBO")*('MARZO 2026'!K6:K119="GASOLINA")*'MARZO 2026'!M6:M119),0)</f>
        <v/>
      </c>
      <c r="F1264" s="377">
        <f>IFERROR(SUMPRODUCT((IF('MARZO 2026'!Y6:Y119&lt;&gt;"",'MARZO 2026'!Y6:Y119,'MARZO 2026'!I6:I119)="HUAMBO")*('MARZO 2026'!K6:K119="GASOLINA")*'MARZO 2026'!N6:N119),0)</f>
        <v/>
      </c>
    </row>
    <row r="1265" ht="15" customHeight="1" s="195">
      <c r="A1265" s="194" t="inlineStr">
        <is>
          <t>HUAMBO</t>
        </is>
      </c>
      <c r="B1265" s="194" t="inlineStr">
        <is>
          <t>ABRIL 2026</t>
        </is>
      </c>
      <c r="C1265" s="377">
        <f>IFERROR(SUMPRODUCT((IF('ABRIL 2026'!Y6:Y119&lt;&gt;"",'ABRIL 2026'!Y6:Y119,'ABRIL 2026'!I6:I119)="HUAMBO")*('ABRIL 2026'!K6:K119="PETROLEO")*'ABRIL 2026'!M6:M119),0)</f>
        <v/>
      </c>
      <c r="D1265" s="377">
        <f>IFERROR(SUMPRODUCT((IF('ABRIL 2026'!Y6:Y119&lt;&gt;"",'ABRIL 2026'!Y6:Y119,'ABRIL 2026'!I6:I119)="HUAMBO")*('ABRIL 2026'!K6:K119="PETROLEO")*'ABRIL 2026'!N6:N119),0)</f>
        <v/>
      </c>
      <c r="E1265" s="377">
        <f>IFERROR(SUMPRODUCT((IF('ABRIL 2026'!Y6:Y119&lt;&gt;"",'ABRIL 2026'!Y6:Y119,'ABRIL 2026'!I6:I119)="HUAMBO")*('ABRIL 2026'!K6:K119="GASOLINA")*'ABRIL 2026'!M6:M119),0)</f>
        <v/>
      </c>
      <c r="F1265" s="377">
        <f>IFERROR(SUMPRODUCT((IF('ABRIL 2026'!Y6:Y119&lt;&gt;"",'ABRIL 2026'!Y6:Y119,'ABRIL 2026'!I6:I119)="HUAMBO")*('ABRIL 2026'!K6:K119="GASOLINA")*'ABRIL 2026'!N6:N119),0)</f>
        <v/>
      </c>
    </row>
    <row r="1266" ht="15" customHeight="1" s="195">
      <c r="A1266" s="194" t="inlineStr">
        <is>
          <t>HUAMBO</t>
        </is>
      </c>
      <c r="B1266" s="194" t="inlineStr">
        <is>
          <t>MAYO 2026</t>
        </is>
      </c>
      <c r="C1266" s="377">
        <f>IFERROR(SUMPRODUCT((IF('MAYO 2026'!Y6:Y110&lt;&gt;"",'MAYO 2026'!Y6:Y110,'MAYO 2026'!I6:I110)="HUAMBO")*('MAYO 2026'!K6:K110="PETROLEO")*'MAYO 2026'!M6:M110),0)</f>
        <v/>
      </c>
      <c r="D1266" s="377">
        <f>IFERROR(SUMPRODUCT((IF('MAYO 2026'!Y6:Y110&lt;&gt;"",'MAYO 2026'!Y6:Y110,'MAYO 2026'!I6:I110)="HUAMBO")*('MAYO 2026'!K6:K110="PETROLEO")*'MAYO 2026'!N6:N110),0)</f>
        <v/>
      </c>
      <c r="E1266" s="377">
        <f>IFERROR(SUMPRODUCT((IF('MAYO 2026'!Y6:Y110&lt;&gt;"",'MAYO 2026'!Y6:Y110,'MAYO 2026'!I6:I110)="HUAMBO")*('MAYO 2026'!K6:K110="GASOLINA")*'MAYO 2026'!M6:M110),0)</f>
        <v/>
      </c>
      <c r="F1266" s="377">
        <f>IFERROR(SUMPRODUCT((IF('MAYO 2026'!Y6:Y110&lt;&gt;"",'MAYO 2026'!Y6:Y110,'MAYO 2026'!I6:I110)="HUAMBO")*('MAYO 2026'!K6:K110="GASOLINA")*'MAYO 2026'!N6:N110),0)</f>
        <v/>
      </c>
    </row>
    <row r="1267" ht="15" customHeight="1" s="195">
      <c r="A1267" s="194" t="inlineStr">
        <is>
          <t>HUAMBO</t>
        </is>
      </c>
      <c r="B1267" s="194" t="inlineStr">
        <is>
          <t>JUNIO 2026</t>
        </is>
      </c>
      <c r="C1267" s="377">
        <f>IFERROR(SUMPRODUCT((IF('JUNIO 2026'!Y6:Y110&lt;&gt;"",'JUNIO 2026'!Y6:Y110,'JUNIO 2026'!I6:I110)="HUAMBO")*('JUNIO 2026'!K6:K110="PETROLEO")*'JUNIO 2026'!M6:M110),0)</f>
        <v/>
      </c>
      <c r="D1267" s="377">
        <f>IFERROR(SUMPRODUCT((IF('JUNIO 2026'!Y6:Y110&lt;&gt;"",'JUNIO 2026'!Y6:Y110,'JUNIO 2026'!I6:I110)="HUAMBO")*('JUNIO 2026'!K6:K110="PETROLEO")*'JUNIO 2026'!N6:N110),0)</f>
        <v/>
      </c>
      <c r="E1267" s="377">
        <f>IFERROR(SUMPRODUCT((IF('JUNIO 2026'!Y6:Y110&lt;&gt;"",'JUNIO 2026'!Y6:Y110,'JUNIO 2026'!I6:I110)="HUAMBO")*('JUNIO 2026'!K6:K110="GASOLINA")*'JUNIO 2026'!M6:M110),0)</f>
        <v/>
      </c>
      <c r="F1267" s="377">
        <f>IFERROR(SUMPRODUCT((IF('JUNIO 2026'!Y6:Y110&lt;&gt;"",'JUNIO 2026'!Y6:Y110,'JUNIO 2026'!I6:I110)="HUAMBO")*('JUNIO 2026'!K6:K110="GASOLINA")*'JUNIO 2026'!N6:N110),0)</f>
        <v/>
      </c>
    </row>
    <row r="1268" ht="15" customHeight="1" s="195">
      <c r="A1268" s="194" t="inlineStr">
        <is>
          <t>HUAMBO</t>
        </is>
      </c>
      <c r="B1268" s="194" t="inlineStr">
        <is>
          <t>JULIO 2026</t>
        </is>
      </c>
      <c r="C1268" s="377">
        <f>IFERROR(SUMPRODUCT((IF('JULIO 2026'!Y6:Y110&lt;&gt;"",'JULIO 2026'!Y6:Y110,'JULIO 2026'!I6:I110)="HUAMBO")*('JULIO 2026'!K6:K110="PETROLEO")*'JULIO 2026'!M6:M110),0)</f>
        <v/>
      </c>
      <c r="D1268" s="377">
        <f>IFERROR(SUMPRODUCT((IF('JULIO 2026'!Y6:Y110&lt;&gt;"",'JULIO 2026'!Y6:Y110,'JULIO 2026'!I6:I110)="HUAMBO")*('JULIO 2026'!K6:K110="PETROLEO")*'JULIO 2026'!N6:N110),0)</f>
        <v/>
      </c>
      <c r="E1268" s="377">
        <f>IFERROR(SUMPRODUCT((IF('JULIO 2026'!Y6:Y110&lt;&gt;"",'JULIO 2026'!Y6:Y110,'JULIO 2026'!I6:I110)="HUAMBO")*('JULIO 2026'!K6:K110="GASOLINA")*'JULIO 2026'!M6:M110),0)</f>
        <v/>
      </c>
      <c r="F1268" s="377">
        <f>IFERROR(SUMPRODUCT((IF('JULIO 2026'!Y6:Y110&lt;&gt;"",'JULIO 2026'!Y6:Y110,'JULIO 2026'!I6:I110)="HUAMBO")*('JULIO 2026'!K6:K110="GASOLINA")*'JULIO 2026'!N6:N110),0)</f>
        <v/>
      </c>
    </row>
    <row r="1269" ht="15" customHeight="1" s="195">
      <c r="A1269" s="194" t="inlineStr">
        <is>
          <t>HUAMBO</t>
        </is>
      </c>
      <c r="B1269" s="194" t="inlineStr">
        <is>
          <t>AGOSTO 2026</t>
        </is>
      </c>
      <c r="C1269" s="377">
        <f>IFERROR(SUMPRODUCT((IF('AGOSTO 2026'!Y6:Y110&lt;&gt;"",'AGOSTO 2026'!Y6:Y110,'AGOSTO 2026'!I6:I110)="HUAMBO")*('AGOSTO 2026'!K6:K110="PETROLEO")*'AGOSTO 2026'!M6:M110),0)</f>
        <v/>
      </c>
      <c r="D1269" s="377">
        <f>IFERROR(SUMPRODUCT((IF('AGOSTO 2026'!Y6:Y110&lt;&gt;"",'AGOSTO 2026'!Y6:Y110,'AGOSTO 2026'!I6:I110)="HUAMBO")*('AGOSTO 2026'!K6:K110="PETROLEO")*'AGOSTO 2026'!N6:N110),0)</f>
        <v/>
      </c>
      <c r="E1269" s="377">
        <f>IFERROR(SUMPRODUCT((IF('AGOSTO 2026'!Y6:Y110&lt;&gt;"",'AGOSTO 2026'!Y6:Y110,'AGOSTO 2026'!I6:I110)="HUAMBO")*('AGOSTO 2026'!K6:K110="GASOLINA")*'AGOSTO 2026'!M6:M110),0)</f>
        <v/>
      </c>
      <c r="F1269" s="377">
        <f>IFERROR(SUMPRODUCT((IF('AGOSTO 2026'!Y6:Y110&lt;&gt;"",'AGOSTO 2026'!Y6:Y110,'AGOSTO 2026'!I6:I110)="HUAMBO")*('AGOSTO 2026'!K6:K110="GASOLINA")*'AGOSTO 2026'!N6:N110),0)</f>
        <v/>
      </c>
    </row>
    <row r="1270" ht="15" customHeight="1" s="195">
      <c r="A1270" s="194" t="inlineStr">
        <is>
          <t>HUAMBO</t>
        </is>
      </c>
      <c r="B1270" s="194" t="inlineStr">
        <is>
          <t>SETIEMBRE 2026</t>
        </is>
      </c>
      <c r="C1270" s="377">
        <f>IFERROR(SUMPRODUCT((IF('SETIEMBRE 2026'!Y6:Y110&lt;&gt;"",'SETIEMBRE 2026'!Y6:Y110,'SETIEMBRE 2026'!I6:I110)="HUAMBO")*('SETIEMBRE 2026'!K6:K110="PETROLEO")*'SETIEMBRE 2026'!M6:M110),0)</f>
        <v/>
      </c>
      <c r="D1270" s="377">
        <f>IFERROR(SUMPRODUCT((IF('SETIEMBRE 2026'!Y6:Y110&lt;&gt;"",'SETIEMBRE 2026'!Y6:Y110,'SETIEMBRE 2026'!I6:I110)="HUAMBO")*('SETIEMBRE 2026'!K6:K110="PETROLEO")*'SETIEMBRE 2026'!N6:N110),0)</f>
        <v/>
      </c>
      <c r="E1270" s="377">
        <f>IFERROR(SUMPRODUCT((IF('SETIEMBRE 2026'!Y6:Y110&lt;&gt;"",'SETIEMBRE 2026'!Y6:Y110,'SETIEMBRE 2026'!I6:I110)="HUAMBO")*('SETIEMBRE 2026'!K6:K110="GASOLINA")*'SETIEMBRE 2026'!M6:M110),0)</f>
        <v/>
      </c>
      <c r="F1270" s="377">
        <f>IFERROR(SUMPRODUCT((IF('SETIEMBRE 2026'!Y6:Y110&lt;&gt;"",'SETIEMBRE 2026'!Y6:Y110,'SETIEMBRE 2026'!I6:I110)="HUAMBO")*('SETIEMBRE 2026'!K6:K110="GASOLINA")*'SETIEMBRE 2026'!N6:N110),0)</f>
        <v/>
      </c>
    </row>
    <row r="1271" ht="15" customHeight="1" s="195">
      <c r="A1271" s="194" t="inlineStr">
        <is>
          <t>HUAMBO</t>
        </is>
      </c>
      <c r="B1271" s="194" t="inlineStr">
        <is>
          <t>OCTUBRE 2026</t>
        </is>
      </c>
      <c r="C1271" s="377">
        <f>IFERROR(SUMPRODUCT((IF('OCTUBRE 2026'!Y6:Y110&lt;&gt;"",'OCTUBRE 2026'!Y6:Y110,'OCTUBRE 2026'!I6:I110)="HUAMBO")*('OCTUBRE 2026'!K6:K110="PETROLEO")*'OCTUBRE 2026'!M6:M110),0)</f>
        <v/>
      </c>
      <c r="D1271" s="377">
        <f>IFERROR(SUMPRODUCT((IF('OCTUBRE 2026'!Y6:Y110&lt;&gt;"",'OCTUBRE 2026'!Y6:Y110,'OCTUBRE 2026'!I6:I110)="HUAMBO")*('OCTUBRE 2026'!K6:K110="PETROLEO")*'OCTUBRE 2026'!N6:N110),0)</f>
        <v/>
      </c>
      <c r="E1271" s="377">
        <f>IFERROR(SUMPRODUCT((IF('OCTUBRE 2026'!Y6:Y110&lt;&gt;"",'OCTUBRE 2026'!Y6:Y110,'OCTUBRE 2026'!I6:I110)="HUAMBO")*('OCTUBRE 2026'!K6:K110="GASOLINA")*'OCTUBRE 2026'!M6:M110),0)</f>
        <v/>
      </c>
      <c r="F1271" s="377">
        <f>IFERROR(SUMPRODUCT((IF('OCTUBRE 2026'!Y6:Y110&lt;&gt;"",'OCTUBRE 2026'!Y6:Y110,'OCTUBRE 2026'!I6:I110)="HUAMBO")*('OCTUBRE 2026'!K6:K110="GASOLINA")*'OCTUBRE 2026'!N6:N110),0)</f>
        <v/>
      </c>
    </row>
    <row r="1272" ht="15" customHeight="1" s="195">
      <c r="A1272" s="194" t="inlineStr">
        <is>
          <t>HUAMBO</t>
        </is>
      </c>
      <c r="B1272" s="194" t="inlineStr">
        <is>
          <t>NOVIEMBRE 2026</t>
        </is>
      </c>
      <c r="C1272" s="377">
        <f>IFERROR(SUMPRODUCT((IF('NOVIEMBRE 2026'!Y6:Y110&lt;&gt;"",'NOVIEMBRE 2026'!Y6:Y110,'NOVIEMBRE 2026'!I6:I110)="HUAMBO")*('NOVIEMBRE 2026'!K6:K110="PETROLEO")*'NOVIEMBRE 2026'!M6:M110),0)</f>
        <v/>
      </c>
      <c r="D1272" s="377">
        <f>IFERROR(SUMPRODUCT((IF('NOVIEMBRE 2026'!Y6:Y110&lt;&gt;"",'NOVIEMBRE 2026'!Y6:Y110,'NOVIEMBRE 2026'!I6:I110)="HUAMBO")*('NOVIEMBRE 2026'!K6:K110="PETROLEO")*'NOVIEMBRE 2026'!N6:N110),0)</f>
        <v/>
      </c>
      <c r="E1272" s="377">
        <f>IFERROR(SUMPRODUCT((IF('NOVIEMBRE 2026'!Y6:Y110&lt;&gt;"",'NOVIEMBRE 2026'!Y6:Y110,'NOVIEMBRE 2026'!I6:I110)="HUAMBO")*('NOVIEMBRE 2026'!K6:K110="GASOLINA")*'NOVIEMBRE 2026'!M6:M110),0)</f>
        <v/>
      </c>
      <c r="F1272" s="377">
        <f>IFERROR(SUMPRODUCT((IF('NOVIEMBRE 2026'!Y6:Y110&lt;&gt;"",'NOVIEMBRE 2026'!Y6:Y110,'NOVIEMBRE 2026'!I6:I110)="HUAMBO")*('NOVIEMBRE 2026'!K6:K110="GASOLINA")*'NOVIEMBRE 2026'!N6:N110),0)</f>
        <v/>
      </c>
    </row>
    <row r="1273" ht="15" customHeight="1" s="195">
      <c r="A1273" s="194" t="inlineStr">
        <is>
          <t>HUAMBO</t>
        </is>
      </c>
      <c r="B1273" s="194" t="inlineStr">
        <is>
          <t>DICIEMBRE 2026</t>
        </is>
      </c>
      <c r="C1273" s="377">
        <f>IFERROR(SUMPRODUCT((IF('DICIEMBRE 2026'!Y6:Y110&lt;&gt;"",'DICIEMBRE 2026'!Y6:Y110,'DICIEMBRE 2026'!I6:I110)="HUAMBO")*('DICIEMBRE 2026'!K6:K110="PETROLEO")*'DICIEMBRE 2026'!M6:M110),0)</f>
        <v/>
      </c>
      <c r="D1273" s="377">
        <f>IFERROR(SUMPRODUCT((IF('DICIEMBRE 2026'!Y6:Y110&lt;&gt;"",'DICIEMBRE 2026'!Y6:Y110,'DICIEMBRE 2026'!I6:I110)="HUAMBO")*('DICIEMBRE 2026'!K6:K110="PETROLEO")*'DICIEMBRE 2026'!N6:N110),0)</f>
        <v/>
      </c>
      <c r="E1273" s="377">
        <f>IFERROR(SUMPRODUCT((IF('DICIEMBRE 2026'!Y6:Y110&lt;&gt;"",'DICIEMBRE 2026'!Y6:Y110,'DICIEMBRE 2026'!I6:I110)="HUAMBO")*('DICIEMBRE 2026'!K6:K110="GASOLINA")*'DICIEMBRE 2026'!M6:M110),0)</f>
        <v/>
      </c>
      <c r="F1273" s="377">
        <f>IFERROR(SUMPRODUCT((IF('DICIEMBRE 2026'!Y6:Y110&lt;&gt;"",'DICIEMBRE 2026'!Y6:Y110,'DICIEMBRE 2026'!I6:I110)="HUAMBO")*('DICIEMBRE 2026'!K6:K110="GASOLINA")*'DICIEMBRE 2026'!N6:N110),0)</f>
        <v/>
      </c>
    </row>
    <row r="1274" ht="15" customHeight="1" s="195">
      <c r="A1274" s="194" t="inlineStr">
        <is>
          <t>JALCA GRANDE</t>
        </is>
      </c>
      <c r="B1274" s="194" t="inlineStr">
        <is>
          <t>ENERO 2026</t>
        </is>
      </c>
      <c r="C1274" s="377">
        <f>IFERROR(SUMPRODUCT((IF('ENERO 2026'!Y6:Y119&lt;&gt;"",'ENERO 2026'!Y6:Y119,'ENERO 2026'!I6:I119)="JALCA GRANDE")*('ENERO 2026'!K6:K119="PETROLEO")*'ENERO 2026'!M6:M119),0)</f>
        <v/>
      </c>
      <c r="D1274" s="377">
        <f>IFERROR(SUMPRODUCT((IF('ENERO 2026'!Y6:Y119&lt;&gt;"",'ENERO 2026'!Y6:Y119,'ENERO 2026'!I6:I119)="JALCA GRANDE")*('ENERO 2026'!K6:K119="PETROLEO")*'ENERO 2026'!N6:N119),0)</f>
        <v/>
      </c>
      <c r="E1274" s="377">
        <f>IFERROR(SUMPRODUCT((IF('ENERO 2026'!Y6:Y119&lt;&gt;"",'ENERO 2026'!Y6:Y119,'ENERO 2026'!I6:I119)="JALCA GRANDE")*('ENERO 2026'!K6:K119="GASOLINA")*'ENERO 2026'!M6:M119),0)</f>
        <v/>
      </c>
      <c r="F1274" s="377">
        <f>IFERROR(SUMPRODUCT((IF('ENERO 2026'!Y6:Y119&lt;&gt;"",'ENERO 2026'!Y6:Y119,'ENERO 2026'!I6:I119)="JALCA GRANDE")*('ENERO 2026'!K6:K119="GASOLINA")*'ENERO 2026'!N6:N119),0)</f>
        <v/>
      </c>
    </row>
    <row r="1275" ht="15" customHeight="1" s="195">
      <c r="A1275" s="194" t="inlineStr">
        <is>
          <t>JALCA GRANDE</t>
        </is>
      </c>
      <c r="B1275" s="194" t="inlineStr">
        <is>
          <t>FEBRERO 2026</t>
        </is>
      </c>
      <c r="C1275" s="377">
        <f>IFERROR(SUMPRODUCT((IF('FEBRERO 2026'!Y6:Y124&lt;&gt;"",'FEBRERO 2026'!Y6:Y124,'FEBRERO 2026'!I6:I124)="JALCA GRANDE")*('FEBRERO 2026'!K6:K124="PETROLEO")*'FEBRERO 2026'!M6:M124),0)</f>
        <v/>
      </c>
      <c r="D1275" s="377">
        <f>IFERROR(SUMPRODUCT((IF('FEBRERO 2026'!Y6:Y124&lt;&gt;"",'FEBRERO 2026'!Y6:Y124,'FEBRERO 2026'!I6:I124)="JALCA GRANDE")*('FEBRERO 2026'!K6:K124="PETROLEO")*'FEBRERO 2026'!N6:N124),0)</f>
        <v/>
      </c>
      <c r="E1275" s="377">
        <f>IFERROR(SUMPRODUCT((IF('FEBRERO 2026'!Y6:Y124&lt;&gt;"",'FEBRERO 2026'!Y6:Y124,'FEBRERO 2026'!I6:I124)="JALCA GRANDE")*('FEBRERO 2026'!K6:K124="GASOLINA")*'FEBRERO 2026'!M6:M124),0)</f>
        <v/>
      </c>
      <c r="F1275" s="377">
        <f>IFERROR(SUMPRODUCT((IF('FEBRERO 2026'!Y6:Y124&lt;&gt;"",'FEBRERO 2026'!Y6:Y124,'FEBRERO 2026'!I6:I124)="JALCA GRANDE")*('FEBRERO 2026'!K6:K124="GASOLINA")*'FEBRERO 2026'!N6:N124),0)</f>
        <v/>
      </c>
    </row>
    <row r="1276" ht="15" customHeight="1" s="195">
      <c r="A1276" s="194" t="inlineStr">
        <is>
          <t>JALCA GRANDE</t>
        </is>
      </c>
      <c r="B1276" s="194" t="inlineStr">
        <is>
          <t>MARZO 2026</t>
        </is>
      </c>
      <c r="C1276" s="377">
        <f>IFERROR(SUMPRODUCT((IF('MARZO 2026'!Y6:Y119&lt;&gt;"",'MARZO 2026'!Y6:Y119,'MARZO 2026'!I6:I119)="JALCA GRANDE")*('MARZO 2026'!K6:K119="PETROLEO")*'MARZO 2026'!M6:M119),0)</f>
        <v/>
      </c>
      <c r="D1276" s="377">
        <f>IFERROR(SUMPRODUCT((IF('MARZO 2026'!Y6:Y119&lt;&gt;"",'MARZO 2026'!Y6:Y119,'MARZO 2026'!I6:I119)="JALCA GRANDE")*('MARZO 2026'!K6:K119="PETROLEO")*'MARZO 2026'!N6:N119),0)</f>
        <v/>
      </c>
      <c r="E1276" s="377">
        <f>IFERROR(SUMPRODUCT((IF('MARZO 2026'!Y6:Y119&lt;&gt;"",'MARZO 2026'!Y6:Y119,'MARZO 2026'!I6:I119)="JALCA GRANDE")*('MARZO 2026'!K6:K119="GASOLINA")*'MARZO 2026'!M6:M119),0)</f>
        <v/>
      </c>
      <c r="F1276" s="377">
        <f>IFERROR(SUMPRODUCT((IF('MARZO 2026'!Y6:Y119&lt;&gt;"",'MARZO 2026'!Y6:Y119,'MARZO 2026'!I6:I119)="JALCA GRANDE")*('MARZO 2026'!K6:K119="GASOLINA")*'MARZO 2026'!N6:N119),0)</f>
        <v/>
      </c>
    </row>
    <row r="1277" ht="15" customHeight="1" s="195">
      <c r="A1277" s="194" t="inlineStr">
        <is>
          <t>JALCA GRANDE</t>
        </is>
      </c>
      <c r="B1277" s="194" t="inlineStr">
        <is>
          <t>ABRIL 2026</t>
        </is>
      </c>
      <c r="C1277" s="377">
        <f>IFERROR(SUMPRODUCT((IF('ABRIL 2026'!Y6:Y119&lt;&gt;"",'ABRIL 2026'!Y6:Y119,'ABRIL 2026'!I6:I119)="JALCA GRANDE")*('ABRIL 2026'!K6:K119="PETROLEO")*'ABRIL 2026'!M6:M119),0)</f>
        <v/>
      </c>
      <c r="D1277" s="377">
        <f>IFERROR(SUMPRODUCT((IF('ABRIL 2026'!Y6:Y119&lt;&gt;"",'ABRIL 2026'!Y6:Y119,'ABRIL 2026'!I6:I119)="JALCA GRANDE")*('ABRIL 2026'!K6:K119="PETROLEO")*'ABRIL 2026'!N6:N119),0)</f>
        <v/>
      </c>
      <c r="E1277" s="377">
        <f>IFERROR(SUMPRODUCT((IF('ABRIL 2026'!Y6:Y119&lt;&gt;"",'ABRIL 2026'!Y6:Y119,'ABRIL 2026'!I6:I119)="JALCA GRANDE")*('ABRIL 2026'!K6:K119="GASOLINA")*'ABRIL 2026'!M6:M119),0)</f>
        <v/>
      </c>
      <c r="F1277" s="377">
        <f>IFERROR(SUMPRODUCT((IF('ABRIL 2026'!Y6:Y119&lt;&gt;"",'ABRIL 2026'!Y6:Y119,'ABRIL 2026'!I6:I119)="JALCA GRANDE")*('ABRIL 2026'!K6:K119="GASOLINA")*'ABRIL 2026'!N6:N119),0)</f>
        <v/>
      </c>
    </row>
    <row r="1278" ht="15" customHeight="1" s="195">
      <c r="A1278" s="194" t="inlineStr">
        <is>
          <t>JALCA GRANDE</t>
        </is>
      </c>
      <c r="B1278" s="194" t="inlineStr">
        <is>
          <t>MAYO 2026</t>
        </is>
      </c>
      <c r="C1278" s="377">
        <f>IFERROR(SUMPRODUCT((IF('MAYO 2026'!Y6:Y110&lt;&gt;"",'MAYO 2026'!Y6:Y110,'MAYO 2026'!I6:I110)="JALCA GRANDE")*('MAYO 2026'!K6:K110="PETROLEO")*'MAYO 2026'!M6:M110),0)</f>
        <v/>
      </c>
      <c r="D1278" s="377">
        <f>IFERROR(SUMPRODUCT((IF('MAYO 2026'!Y6:Y110&lt;&gt;"",'MAYO 2026'!Y6:Y110,'MAYO 2026'!I6:I110)="JALCA GRANDE")*('MAYO 2026'!K6:K110="PETROLEO")*'MAYO 2026'!N6:N110),0)</f>
        <v/>
      </c>
      <c r="E1278" s="377">
        <f>IFERROR(SUMPRODUCT((IF('MAYO 2026'!Y6:Y110&lt;&gt;"",'MAYO 2026'!Y6:Y110,'MAYO 2026'!I6:I110)="JALCA GRANDE")*('MAYO 2026'!K6:K110="GASOLINA")*'MAYO 2026'!M6:M110),0)</f>
        <v/>
      </c>
      <c r="F1278" s="377">
        <f>IFERROR(SUMPRODUCT((IF('MAYO 2026'!Y6:Y110&lt;&gt;"",'MAYO 2026'!Y6:Y110,'MAYO 2026'!I6:I110)="JALCA GRANDE")*('MAYO 2026'!K6:K110="GASOLINA")*'MAYO 2026'!N6:N110),0)</f>
        <v/>
      </c>
    </row>
    <row r="1279" ht="15" customHeight="1" s="195">
      <c r="A1279" s="194" t="inlineStr">
        <is>
          <t>JALCA GRANDE</t>
        </is>
      </c>
      <c r="B1279" s="194" t="inlineStr">
        <is>
          <t>JUNIO 2026</t>
        </is>
      </c>
      <c r="C1279" s="377">
        <f>IFERROR(SUMPRODUCT((IF('JUNIO 2026'!Y6:Y110&lt;&gt;"",'JUNIO 2026'!Y6:Y110,'JUNIO 2026'!I6:I110)="JALCA GRANDE")*('JUNIO 2026'!K6:K110="PETROLEO")*'JUNIO 2026'!M6:M110),0)</f>
        <v/>
      </c>
      <c r="D1279" s="377">
        <f>IFERROR(SUMPRODUCT((IF('JUNIO 2026'!Y6:Y110&lt;&gt;"",'JUNIO 2026'!Y6:Y110,'JUNIO 2026'!I6:I110)="JALCA GRANDE")*('JUNIO 2026'!K6:K110="PETROLEO")*'JUNIO 2026'!N6:N110),0)</f>
        <v/>
      </c>
      <c r="E1279" s="377">
        <f>IFERROR(SUMPRODUCT((IF('JUNIO 2026'!Y6:Y110&lt;&gt;"",'JUNIO 2026'!Y6:Y110,'JUNIO 2026'!I6:I110)="JALCA GRANDE")*('JUNIO 2026'!K6:K110="GASOLINA")*'JUNIO 2026'!M6:M110),0)</f>
        <v/>
      </c>
      <c r="F1279" s="377">
        <f>IFERROR(SUMPRODUCT((IF('JUNIO 2026'!Y6:Y110&lt;&gt;"",'JUNIO 2026'!Y6:Y110,'JUNIO 2026'!I6:I110)="JALCA GRANDE")*('JUNIO 2026'!K6:K110="GASOLINA")*'JUNIO 2026'!N6:N110),0)</f>
        <v/>
      </c>
    </row>
    <row r="1280" ht="15" customHeight="1" s="195">
      <c r="A1280" s="194" t="inlineStr">
        <is>
          <t>JALCA GRANDE</t>
        </is>
      </c>
      <c r="B1280" s="194" t="inlineStr">
        <is>
          <t>JULIO 2026</t>
        </is>
      </c>
      <c r="C1280" s="377">
        <f>IFERROR(SUMPRODUCT((IF('JULIO 2026'!Y6:Y110&lt;&gt;"",'JULIO 2026'!Y6:Y110,'JULIO 2026'!I6:I110)="JALCA GRANDE")*('JULIO 2026'!K6:K110="PETROLEO")*'JULIO 2026'!M6:M110),0)</f>
        <v/>
      </c>
      <c r="D1280" s="377">
        <f>IFERROR(SUMPRODUCT((IF('JULIO 2026'!Y6:Y110&lt;&gt;"",'JULIO 2026'!Y6:Y110,'JULIO 2026'!I6:I110)="JALCA GRANDE")*('JULIO 2026'!K6:K110="PETROLEO")*'JULIO 2026'!N6:N110),0)</f>
        <v/>
      </c>
      <c r="E1280" s="377">
        <f>IFERROR(SUMPRODUCT((IF('JULIO 2026'!Y6:Y110&lt;&gt;"",'JULIO 2026'!Y6:Y110,'JULIO 2026'!I6:I110)="JALCA GRANDE")*('JULIO 2026'!K6:K110="GASOLINA")*'JULIO 2026'!M6:M110),0)</f>
        <v/>
      </c>
      <c r="F1280" s="377">
        <f>IFERROR(SUMPRODUCT((IF('JULIO 2026'!Y6:Y110&lt;&gt;"",'JULIO 2026'!Y6:Y110,'JULIO 2026'!I6:I110)="JALCA GRANDE")*('JULIO 2026'!K6:K110="GASOLINA")*'JULIO 2026'!N6:N110),0)</f>
        <v/>
      </c>
    </row>
    <row r="1281" ht="15" customHeight="1" s="195">
      <c r="A1281" s="194" t="inlineStr">
        <is>
          <t>JALCA GRANDE</t>
        </is>
      </c>
      <c r="B1281" s="194" t="inlineStr">
        <is>
          <t>AGOSTO 2026</t>
        </is>
      </c>
      <c r="C1281" s="377">
        <f>IFERROR(SUMPRODUCT((IF('AGOSTO 2026'!Y6:Y110&lt;&gt;"",'AGOSTO 2026'!Y6:Y110,'AGOSTO 2026'!I6:I110)="JALCA GRANDE")*('AGOSTO 2026'!K6:K110="PETROLEO")*'AGOSTO 2026'!M6:M110),0)</f>
        <v/>
      </c>
      <c r="D1281" s="377">
        <f>IFERROR(SUMPRODUCT((IF('AGOSTO 2026'!Y6:Y110&lt;&gt;"",'AGOSTO 2026'!Y6:Y110,'AGOSTO 2026'!I6:I110)="JALCA GRANDE")*('AGOSTO 2026'!K6:K110="PETROLEO")*'AGOSTO 2026'!N6:N110),0)</f>
        <v/>
      </c>
      <c r="E1281" s="377">
        <f>IFERROR(SUMPRODUCT((IF('AGOSTO 2026'!Y6:Y110&lt;&gt;"",'AGOSTO 2026'!Y6:Y110,'AGOSTO 2026'!I6:I110)="JALCA GRANDE")*('AGOSTO 2026'!K6:K110="GASOLINA")*'AGOSTO 2026'!M6:M110),0)</f>
        <v/>
      </c>
      <c r="F1281" s="377">
        <f>IFERROR(SUMPRODUCT((IF('AGOSTO 2026'!Y6:Y110&lt;&gt;"",'AGOSTO 2026'!Y6:Y110,'AGOSTO 2026'!I6:I110)="JALCA GRANDE")*('AGOSTO 2026'!K6:K110="GASOLINA")*'AGOSTO 2026'!N6:N110),0)</f>
        <v/>
      </c>
    </row>
    <row r="1282" ht="15" customHeight="1" s="195">
      <c r="A1282" s="194" t="inlineStr">
        <is>
          <t>JALCA GRANDE</t>
        </is>
      </c>
      <c r="B1282" s="194" t="inlineStr">
        <is>
          <t>SETIEMBRE 2026</t>
        </is>
      </c>
      <c r="C1282" s="377">
        <f>IFERROR(SUMPRODUCT((IF('SETIEMBRE 2026'!Y6:Y110&lt;&gt;"",'SETIEMBRE 2026'!Y6:Y110,'SETIEMBRE 2026'!I6:I110)="JALCA GRANDE")*('SETIEMBRE 2026'!K6:K110="PETROLEO")*'SETIEMBRE 2026'!M6:M110),0)</f>
        <v/>
      </c>
      <c r="D1282" s="377">
        <f>IFERROR(SUMPRODUCT((IF('SETIEMBRE 2026'!Y6:Y110&lt;&gt;"",'SETIEMBRE 2026'!Y6:Y110,'SETIEMBRE 2026'!I6:I110)="JALCA GRANDE")*('SETIEMBRE 2026'!K6:K110="PETROLEO")*'SETIEMBRE 2026'!N6:N110),0)</f>
        <v/>
      </c>
      <c r="E1282" s="377">
        <f>IFERROR(SUMPRODUCT((IF('SETIEMBRE 2026'!Y6:Y110&lt;&gt;"",'SETIEMBRE 2026'!Y6:Y110,'SETIEMBRE 2026'!I6:I110)="JALCA GRANDE")*('SETIEMBRE 2026'!K6:K110="GASOLINA")*'SETIEMBRE 2026'!M6:M110),0)</f>
        <v/>
      </c>
      <c r="F1282" s="377">
        <f>IFERROR(SUMPRODUCT((IF('SETIEMBRE 2026'!Y6:Y110&lt;&gt;"",'SETIEMBRE 2026'!Y6:Y110,'SETIEMBRE 2026'!I6:I110)="JALCA GRANDE")*('SETIEMBRE 2026'!K6:K110="GASOLINA")*'SETIEMBRE 2026'!N6:N110),0)</f>
        <v/>
      </c>
    </row>
    <row r="1283" ht="15" customHeight="1" s="195">
      <c r="A1283" s="194" t="inlineStr">
        <is>
          <t>JALCA GRANDE</t>
        </is>
      </c>
      <c r="B1283" s="194" t="inlineStr">
        <is>
          <t>OCTUBRE 2026</t>
        </is>
      </c>
      <c r="C1283" s="377">
        <f>IFERROR(SUMPRODUCT((IF('OCTUBRE 2026'!Y6:Y110&lt;&gt;"",'OCTUBRE 2026'!Y6:Y110,'OCTUBRE 2026'!I6:I110)="JALCA GRANDE")*('OCTUBRE 2026'!K6:K110="PETROLEO")*'OCTUBRE 2026'!M6:M110),0)</f>
        <v/>
      </c>
      <c r="D1283" s="377">
        <f>IFERROR(SUMPRODUCT((IF('OCTUBRE 2026'!Y6:Y110&lt;&gt;"",'OCTUBRE 2026'!Y6:Y110,'OCTUBRE 2026'!I6:I110)="JALCA GRANDE")*('OCTUBRE 2026'!K6:K110="PETROLEO")*'OCTUBRE 2026'!N6:N110),0)</f>
        <v/>
      </c>
      <c r="E1283" s="377">
        <f>IFERROR(SUMPRODUCT((IF('OCTUBRE 2026'!Y6:Y110&lt;&gt;"",'OCTUBRE 2026'!Y6:Y110,'OCTUBRE 2026'!I6:I110)="JALCA GRANDE")*('OCTUBRE 2026'!K6:K110="GASOLINA")*'OCTUBRE 2026'!M6:M110),0)</f>
        <v/>
      </c>
      <c r="F1283" s="377">
        <f>IFERROR(SUMPRODUCT((IF('OCTUBRE 2026'!Y6:Y110&lt;&gt;"",'OCTUBRE 2026'!Y6:Y110,'OCTUBRE 2026'!I6:I110)="JALCA GRANDE")*('OCTUBRE 2026'!K6:K110="GASOLINA")*'OCTUBRE 2026'!N6:N110),0)</f>
        <v/>
      </c>
    </row>
    <row r="1284" ht="15" customHeight="1" s="195">
      <c r="A1284" s="194" t="inlineStr">
        <is>
          <t>JALCA GRANDE</t>
        </is>
      </c>
      <c r="B1284" s="194" t="inlineStr">
        <is>
          <t>NOVIEMBRE 2026</t>
        </is>
      </c>
      <c r="C1284" s="377">
        <f>IFERROR(SUMPRODUCT((IF('NOVIEMBRE 2026'!Y6:Y110&lt;&gt;"",'NOVIEMBRE 2026'!Y6:Y110,'NOVIEMBRE 2026'!I6:I110)="JALCA GRANDE")*('NOVIEMBRE 2026'!K6:K110="PETROLEO")*'NOVIEMBRE 2026'!M6:M110),0)</f>
        <v/>
      </c>
      <c r="D1284" s="377">
        <f>IFERROR(SUMPRODUCT((IF('NOVIEMBRE 2026'!Y6:Y110&lt;&gt;"",'NOVIEMBRE 2026'!Y6:Y110,'NOVIEMBRE 2026'!I6:I110)="JALCA GRANDE")*('NOVIEMBRE 2026'!K6:K110="PETROLEO")*'NOVIEMBRE 2026'!N6:N110),0)</f>
        <v/>
      </c>
      <c r="E1284" s="377">
        <f>IFERROR(SUMPRODUCT((IF('NOVIEMBRE 2026'!Y6:Y110&lt;&gt;"",'NOVIEMBRE 2026'!Y6:Y110,'NOVIEMBRE 2026'!I6:I110)="JALCA GRANDE")*('NOVIEMBRE 2026'!K6:K110="GASOLINA")*'NOVIEMBRE 2026'!M6:M110),0)</f>
        <v/>
      </c>
      <c r="F1284" s="377">
        <f>IFERROR(SUMPRODUCT((IF('NOVIEMBRE 2026'!Y6:Y110&lt;&gt;"",'NOVIEMBRE 2026'!Y6:Y110,'NOVIEMBRE 2026'!I6:I110)="JALCA GRANDE")*('NOVIEMBRE 2026'!K6:K110="GASOLINA")*'NOVIEMBRE 2026'!N6:N110),0)</f>
        <v/>
      </c>
    </row>
    <row r="1285" ht="15" customHeight="1" s="195">
      <c r="A1285" s="194" t="inlineStr">
        <is>
          <t>JALCA GRANDE</t>
        </is>
      </c>
      <c r="B1285" s="194" t="inlineStr">
        <is>
          <t>DICIEMBRE 2026</t>
        </is>
      </c>
      <c r="C1285" s="377">
        <f>IFERROR(SUMPRODUCT((IF('DICIEMBRE 2026'!Y6:Y110&lt;&gt;"",'DICIEMBRE 2026'!Y6:Y110,'DICIEMBRE 2026'!I6:I110)="JALCA GRANDE")*('DICIEMBRE 2026'!K6:K110="PETROLEO")*'DICIEMBRE 2026'!M6:M110),0)</f>
        <v/>
      </c>
      <c r="D1285" s="377">
        <f>IFERROR(SUMPRODUCT((IF('DICIEMBRE 2026'!Y6:Y110&lt;&gt;"",'DICIEMBRE 2026'!Y6:Y110,'DICIEMBRE 2026'!I6:I110)="JALCA GRANDE")*('DICIEMBRE 2026'!K6:K110="PETROLEO")*'DICIEMBRE 2026'!N6:N110),0)</f>
        <v/>
      </c>
      <c r="E1285" s="377">
        <f>IFERROR(SUMPRODUCT((IF('DICIEMBRE 2026'!Y6:Y110&lt;&gt;"",'DICIEMBRE 2026'!Y6:Y110,'DICIEMBRE 2026'!I6:I110)="JALCA GRANDE")*('DICIEMBRE 2026'!K6:K110="GASOLINA")*'DICIEMBRE 2026'!M6:M110),0)</f>
        <v/>
      </c>
      <c r="F1285" s="377">
        <f>IFERROR(SUMPRODUCT((IF('DICIEMBRE 2026'!Y6:Y110&lt;&gt;"",'DICIEMBRE 2026'!Y6:Y110,'DICIEMBRE 2026'!I6:I110)="JALCA GRANDE")*('DICIEMBRE 2026'!K6:K110="GASOLINA")*'DICIEMBRE 2026'!N6:N110),0)</f>
        <v/>
      </c>
    </row>
    <row r="1286" ht="15" customHeight="1" s="195">
      <c r="A1286" s="194" t="inlineStr">
        <is>
          <t>JUMBILLA</t>
        </is>
      </c>
      <c r="B1286" s="194" t="inlineStr">
        <is>
          <t>ENERO 2026</t>
        </is>
      </c>
      <c r="C1286" s="377">
        <f>IFERROR(SUMPRODUCT((IF('ENERO 2026'!Y6:Y119&lt;&gt;"",'ENERO 2026'!Y6:Y119,'ENERO 2026'!I6:I119)="JUMBILLA")*('ENERO 2026'!K6:K119="PETROLEO")*'ENERO 2026'!M6:M119),0)</f>
        <v/>
      </c>
      <c r="D1286" s="377">
        <f>IFERROR(SUMPRODUCT((IF('ENERO 2026'!Y6:Y119&lt;&gt;"",'ENERO 2026'!Y6:Y119,'ENERO 2026'!I6:I119)="JUMBILLA")*('ENERO 2026'!K6:K119="PETROLEO")*'ENERO 2026'!N6:N119),0)</f>
        <v/>
      </c>
      <c r="E1286" s="377">
        <f>IFERROR(SUMPRODUCT((IF('ENERO 2026'!Y6:Y119&lt;&gt;"",'ENERO 2026'!Y6:Y119,'ENERO 2026'!I6:I119)="JUMBILLA")*('ENERO 2026'!K6:K119="GASOLINA")*'ENERO 2026'!M6:M119),0)</f>
        <v/>
      </c>
      <c r="F1286" s="377">
        <f>IFERROR(SUMPRODUCT((IF('ENERO 2026'!Y6:Y119&lt;&gt;"",'ENERO 2026'!Y6:Y119,'ENERO 2026'!I6:I119)="JUMBILLA")*('ENERO 2026'!K6:K119="GASOLINA")*'ENERO 2026'!N6:N119),0)</f>
        <v/>
      </c>
    </row>
    <row r="1287" ht="15" customHeight="1" s="195">
      <c r="A1287" s="194" t="inlineStr">
        <is>
          <t>JUMBILLA</t>
        </is>
      </c>
      <c r="B1287" s="194" t="inlineStr">
        <is>
          <t>FEBRERO 2026</t>
        </is>
      </c>
      <c r="C1287" s="377">
        <f>IFERROR(SUMPRODUCT((IF('FEBRERO 2026'!Y6:Y124&lt;&gt;"",'FEBRERO 2026'!Y6:Y124,'FEBRERO 2026'!I6:I124)="JUMBILLA")*('FEBRERO 2026'!K6:K124="PETROLEO")*'FEBRERO 2026'!M6:M124),0)</f>
        <v/>
      </c>
      <c r="D1287" s="377">
        <f>IFERROR(SUMPRODUCT((IF('FEBRERO 2026'!Y6:Y124&lt;&gt;"",'FEBRERO 2026'!Y6:Y124,'FEBRERO 2026'!I6:I124)="JUMBILLA")*('FEBRERO 2026'!K6:K124="PETROLEO")*'FEBRERO 2026'!N6:N124),0)</f>
        <v/>
      </c>
      <c r="E1287" s="377">
        <f>IFERROR(SUMPRODUCT((IF('FEBRERO 2026'!Y6:Y124&lt;&gt;"",'FEBRERO 2026'!Y6:Y124,'FEBRERO 2026'!I6:I124)="JUMBILLA")*('FEBRERO 2026'!K6:K124="GASOLINA")*'FEBRERO 2026'!M6:M124),0)</f>
        <v/>
      </c>
      <c r="F1287" s="377">
        <f>IFERROR(SUMPRODUCT((IF('FEBRERO 2026'!Y6:Y124&lt;&gt;"",'FEBRERO 2026'!Y6:Y124,'FEBRERO 2026'!I6:I124)="JUMBILLA")*('FEBRERO 2026'!K6:K124="GASOLINA")*'FEBRERO 2026'!N6:N124),0)</f>
        <v/>
      </c>
    </row>
    <row r="1288" ht="15" customHeight="1" s="195">
      <c r="A1288" s="194" t="inlineStr">
        <is>
          <t>JUMBILLA</t>
        </is>
      </c>
      <c r="B1288" s="194" t="inlineStr">
        <is>
          <t>MARZO 2026</t>
        </is>
      </c>
      <c r="C1288" s="377">
        <f>IFERROR(SUMPRODUCT((IF('MARZO 2026'!Y6:Y119&lt;&gt;"",'MARZO 2026'!Y6:Y119,'MARZO 2026'!I6:I119)="JUMBILLA")*('MARZO 2026'!K6:K119="PETROLEO")*'MARZO 2026'!M6:M119),0)</f>
        <v/>
      </c>
      <c r="D1288" s="377">
        <f>IFERROR(SUMPRODUCT((IF('MARZO 2026'!Y6:Y119&lt;&gt;"",'MARZO 2026'!Y6:Y119,'MARZO 2026'!I6:I119)="JUMBILLA")*('MARZO 2026'!K6:K119="PETROLEO")*'MARZO 2026'!N6:N119),0)</f>
        <v/>
      </c>
      <c r="E1288" s="377">
        <f>IFERROR(SUMPRODUCT((IF('MARZO 2026'!Y6:Y119&lt;&gt;"",'MARZO 2026'!Y6:Y119,'MARZO 2026'!I6:I119)="JUMBILLA")*('MARZO 2026'!K6:K119="GASOLINA")*'MARZO 2026'!M6:M119),0)</f>
        <v/>
      </c>
      <c r="F1288" s="377">
        <f>IFERROR(SUMPRODUCT((IF('MARZO 2026'!Y6:Y119&lt;&gt;"",'MARZO 2026'!Y6:Y119,'MARZO 2026'!I6:I119)="JUMBILLA")*('MARZO 2026'!K6:K119="GASOLINA")*'MARZO 2026'!N6:N119),0)</f>
        <v/>
      </c>
    </row>
    <row r="1289" ht="15" customHeight="1" s="195">
      <c r="A1289" s="194" t="inlineStr">
        <is>
          <t>JUMBILLA</t>
        </is>
      </c>
      <c r="B1289" s="194" t="inlineStr">
        <is>
          <t>ABRIL 2026</t>
        </is>
      </c>
      <c r="C1289" s="377">
        <f>IFERROR(SUMPRODUCT((IF('ABRIL 2026'!Y6:Y119&lt;&gt;"",'ABRIL 2026'!Y6:Y119,'ABRIL 2026'!I6:I119)="JUMBILLA")*('ABRIL 2026'!K6:K119="PETROLEO")*'ABRIL 2026'!M6:M119),0)</f>
        <v/>
      </c>
      <c r="D1289" s="377">
        <f>IFERROR(SUMPRODUCT((IF('ABRIL 2026'!Y6:Y119&lt;&gt;"",'ABRIL 2026'!Y6:Y119,'ABRIL 2026'!I6:I119)="JUMBILLA")*('ABRIL 2026'!K6:K119="PETROLEO")*'ABRIL 2026'!N6:N119),0)</f>
        <v/>
      </c>
      <c r="E1289" s="377">
        <f>IFERROR(SUMPRODUCT((IF('ABRIL 2026'!Y6:Y119&lt;&gt;"",'ABRIL 2026'!Y6:Y119,'ABRIL 2026'!I6:I119)="JUMBILLA")*('ABRIL 2026'!K6:K119="GASOLINA")*'ABRIL 2026'!M6:M119),0)</f>
        <v/>
      </c>
      <c r="F1289" s="377">
        <f>IFERROR(SUMPRODUCT((IF('ABRIL 2026'!Y6:Y119&lt;&gt;"",'ABRIL 2026'!Y6:Y119,'ABRIL 2026'!I6:I119)="JUMBILLA")*('ABRIL 2026'!K6:K119="GASOLINA")*'ABRIL 2026'!N6:N119),0)</f>
        <v/>
      </c>
    </row>
    <row r="1290" ht="15" customHeight="1" s="195">
      <c r="A1290" s="194" t="inlineStr">
        <is>
          <t>JUMBILLA</t>
        </is>
      </c>
      <c r="B1290" s="194" t="inlineStr">
        <is>
          <t>MAYO 2026</t>
        </is>
      </c>
      <c r="C1290" s="377">
        <f>IFERROR(SUMPRODUCT((IF('MAYO 2026'!Y6:Y110&lt;&gt;"",'MAYO 2026'!Y6:Y110,'MAYO 2026'!I6:I110)="JUMBILLA")*('MAYO 2026'!K6:K110="PETROLEO")*'MAYO 2026'!M6:M110),0)</f>
        <v/>
      </c>
      <c r="D1290" s="377">
        <f>IFERROR(SUMPRODUCT((IF('MAYO 2026'!Y6:Y110&lt;&gt;"",'MAYO 2026'!Y6:Y110,'MAYO 2026'!I6:I110)="JUMBILLA")*('MAYO 2026'!K6:K110="PETROLEO")*'MAYO 2026'!N6:N110),0)</f>
        <v/>
      </c>
      <c r="E1290" s="377">
        <f>IFERROR(SUMPRODUCT((IF('MAYO 2026'!Y6:Y110&lt;&gt;"",'MAYO 2026'!Y6:Y110,'MAYO 2026'!I6:I110)="JUMBILLA")*('MAYO 2026'!K6:K110="GASOLINA")*'MAYO 2026'!M6:M110),0)</f>
        <v/>
      </c>
      <c r="F1290" s="377">
        <f>IFERROR(SUMPRODUCT((IF('MAYO 2026'!Y6:Y110&lt;&gt;"",'MAYO 2026'!Y6:Y110,'MAYO 2026'!I6:I110)="JUMBILLA")*('MAYO 2026'!K6:K110="GASOLINA")*'MAYO 2026'!N6:N110),0)</f>
        <v/>
      </c>
    </row>
    <row r="1291" ht="15" customHeight="1" s="195">
      <c r="A1291" s="194" t="inlineStr">
        <is>
          <t>JUMBILLA</t>
        </is>
      </c>
      <c r="B1291" s="194" t="inlineStr">
        <is>
          <t>JUNIO 2026</t>
        </is>
      </c>
      <c r="C1291" s="377">
        <f>IFERROR(SUMPRODUCT((IF('JUNIO 2026'!Y6:Y110&lt;&gt;"",'JUNIO 2026'!Y6:Y110,'JUNIO 2026'!I6:I110)="JUMBILLA")*('JUNIO 2026'!K6:K110="PETROLEO")*'JUNIO 2026'!M6:M110),0)</f>
        <v/>
      </c>
      <c r="D1291" s="377">
        <f>IFERROR(SUMPRODUCT((IF('JUNIO 2026'!Y6:Y110&lt;&gt;"",'JUNIO 2026'!Y6:Y110,'JUNIO 2026'!I6:I110)="JUMBILLA")*('JUNIO 2026'!K6:K110="PETROLEO")*'JUNIO 2026'!N6:N110),0)</f>
        <v/>
      </c>
      <c r="E1291" s="377">
        <f>IFERROR(SUMPRODUCT((IF('JUNIO 2026'!Y6:Y110&lt;&gt;"",'JUNIO 2026'!Y6:Y110,'JUNIO 2026'!I6:I110)="JUMBILLA")*('JUNIO 2026'!K6:K110="GASOLINA")*'JUNIO 2026'!M6:M110),0)</f>
        <v/>
      </c>
      <c r="F1291" s="377">
        <f>IFERROR(SUMPRODUCT((IF('JUNIO 2026'!Y6:Y110&lt;&gt;"",'JUNIO 2026'!Y6:Y110,'JUNIO 2026'!I6:I110)="JUMBILLA")*('JUNIO 2026'!K6:K110="GASOLINA")*'JUNIO 2026'!N6:N110),0)</f>
        <v/>
      </c>
    </row>
    <row r="1292" ht="15" customHeight="1" s="195">
      <c r="A1292" s="194" t="inlineStr">
        <is>
          <t>JUMBILLA</t>
        </is>
      </c>
      <c r="B1292" s="194" t="inlineStr">
        <is>
          <t>JULIO 2026</t>
        </is>
      </c>
      <c r="C1292" s="377">
        <f>IFERROR(SUMPRODUCT((IF('JULIO 2026'!Y6:Y110&lt;&gt;"",'JULIO 2026'!Y6:Y110,'JULIO 2026'!I6:I110)="JUMBILLA")*('JULIO 2026'!K6:K110="PETROLEO")*'JULIO 2026'!M6:M110),0)</f>
        <v/>
      </c>
      <c r="D1292" s="377">
        <f>IFERROR(SUMPRODUCT((IF('JULIO 2026'!Y6:Y110&lt;&gt;"",'JULIO 2026'!Y6:Y110,'JULIO 2026'!I6:I110)="JUMBILLA")*('JULIO 2026'!K6:K110="PETROLEO")*'JULIO 2026'!N6:N110),0)</f>
        <v/>
      </c>
      <c r="E1292" s="377">
        <f>IFERROR(SUMPRODUCT((IF('JULIO 2026'!Y6:Y110&lt;&gt;"",'JULIO 2026'!Y6:Y110,'JULIO 2026'!I6:I110)="JUMBILLA")*('JULIO 2026'!K6:K110="GASOLINA")*'JULIO 2026'!M6:M110),0)</f>
        <v/>
      </c>
      <c r="F1292" s="377">
        <f>IFERROR(SUMPRODUCT((IF('JULIO 2026'!Y6:Y110&lt;&gt;"",'JULIO 2026'!Y6:Y110,'JULIO 2026'!I6:I110)="JUMBILLA")*('JULIO 2026'!K6:K110="GASOLINA")*'JULIO 2026'!N6:N110),0)</f>
        <v/>
      </c>
    </row>
    <row r="1293" ht="15" customHeight="1" s="195">
      <c r="A1293" s="194" t="inlineStr">
        <is>
          <t>JUMBILLA</t>
        </is>
      </c>
      <c r="B1293" s="194" t="inlineStr">
        <is>
          <t>AGOSTO 2026</t>
        </is>
      </c>
      <c r="C1293" s="377">
        <f>IFERROR(SUMPRODUCT((IF('AGOSTO 2026'!Y6:Y110&lt;&gt;"",'AGOSTO 2026'!Y6:Y110,'AGOSTO 2026'!I6:I110)="JUMBILLA")*('AGOSTO 2026'!K6:K110="PETROLEO")*'AGOSTO 2026'!M6:M110),0)</f>
        <v/>
      </c>
      <c r="D1293" s="377">
        <f>IFERROR(SUMPRODUCT((IF('AGOSTO 2026'!Y6:Y110&lt;&gt;"",'AGOSTO 2026'!Y6:Y110,'AGOSTO 2026'!I6:I110)="JUMBILLA")*('AGOSTO 2026'!K6:K110="PETROLEO")*'AGOSTO 2026'!N6:N110),0)</f>
        <v/>
      </c>
      <c r="E1293" s="377">
        <f>IFERROR(SUMPRODUCT((IF('AGOSTO 2026'!Y6:Y110&lt;&gt;"",'AGOSTO 2026'!Y6:Y110,'AGOSTO 2026'!I6:I110)="JUMBILLA")*('AGOSTO 2026'!K6:K110="GASOLINA")*'AGOSTO 2026'!M6:M110),0)</f>
        <v/>
      </c>
      <c r="F1293" s="377">
        <f>IFERROR(SUMPRODUCT((IF('AGOSTO 2026'!Y6:Y110&lt;&gt;"",'AGOSTO 2026'!Y6:Y110,'AGOSTO 2026'!I6:I110)="JUMBILLA")*('AGOSTO 2026'!K6:K110="GASOLINA")*'AGOSTO 2026'!N6:N110),0)</f>
        <v/>
      </c>
    </row>
    <row r="1294" ht="15" customHeight="1" s="195">
      <c r="A1294" s="194" t="inlineStr">
        <is>
          <t>JUMBILLA</t>
        </is>
      </c>
      <c r="B1294" s="194" t="inlineStr">
        <is>
          <t>SETIEMBRE 2026</t>
        </is>
      </c>
      <c r="C1294" s="377">
        <f>IFERROR(SUMPRODUCT((IF('SETIEMBRE 2026'!Y6:Y110&lt;&gt;"",'SETIEMBRE 2026'!Y6:Y110,'SETIEMBRE 2026'!I6:I110)="JUMBILLA")*('SETIEMBRE 2026'!K6:K110="PETROLEO")*'SETIEMBRE 2026'!M6:M110),0)</f>
        <v/>
      </c>
      <c r="D1294" s="377">
        <f>IFERROR(SUMPRODUCT((IF('SETIEMBRE 2026'!Y6:Y110&lt;&gt;"",'SETIEMBRE 2026'!Y6:Y110,'SETIEMBRE 2026'!I6:I110)="JUMBILLA")*('SETIEMBRE 2026'!K6:K110="PETROLEO")*'SETIEMBRE 2026'!N6:N110),0)</f>
        <v/>
      </c>
      <c r="E1294" s="377">
        <f>IFERROR(SUMPRODUCT((IF('SETIEMBRE 2026'!Y6:Y110&lt;&gt;"",'SETIEMBRE 2026'!Y6:Y110,'SETIEMBRE 2026'!I6:I110)="JUMBILLA")*('SETIEMBRE 2026'!K6:K110="GASOLINA")*'SETIEMBRE 2026'!M6:M110),0)</f>
        <v/>
      </c>
      <c r="F1294" s="377">
        <f>IFERROR(SUMPRODUCT((IF('SETIEMBRE 2026'!Y6:Y110&lt;&gt;"",'SETIEMBRE 2026'!Y6:Y110,'SETIEMBRE 2026'!I6:I110)="JUMBILLA")*('SETIEMBRE 2026'!K6:K110="GASOLINA")*'SETIEMBRE 2026'!N6:N110),0)</f>
        <v/>
      </c>
    </row>
    <row r="1295" ht="15" customHeight="1" s="195">
      <c r="A1295" s="194" t="inlineStr">
        <is>
          <t>JUMBILLA</t>
        </is>
      </c>
      <c r="B1295" s="194" t="inlineStr">
        <is>
          <t>OCTUBRE 2026</t>
        </is>
      </c>
      <c r="C1295" s="377">
        <f>IFERROR(SUMPRODUCT((IF('OCTUBRE 2026'!Y6:Y110&lt;&gt;"",'OCTUBRE 2026'!Y6:Y110,'OCTUBRE 2026'!I6:I110)="JUMBILLA")*('OCTUBRE 2026'!K6:K110="PETROLEO")*'OCTUBRE 2026'!M6:M110),0)</f>
        <v/>
      </c>
      <c r="D1295" s="377">
        <f>IFERROR(SUMPRODUCT((IF('OCTUBRE 2026'!Y6:Y110&lt;&gt;"",'OCTUBRE 2026'!Y6:Y110,'OCTUBRE 2026'!I6:I110)="JUMBILLA")*('OCTUBRE 2026'!K6:K110="PETROLEO")*'OCTUBRE 2026'!N6:N110),0)</f>
        <v/>
      </c>
      <c r="E1295" s="377">
        <f>IFERROR(SUMPRODUCT((IF('OCTUBRE 2026'!Y6:Y110&lt;&gt;"",'OCTUBRE 2026'!Y6:Y110,'OCTUBRE 2026'!I6:I110)="JUMBILLA")*('OCTUBRE 2026'!K6:K110="GASOLINA")*'OCTUBRE 2026'!M6:M110),0)</f>
        <v/>
      </c>
      <c r="F1295" s="377">
        <f>IFERROR(SUMPRODUCT((IF('OCTUBRE 2026'!Y6:Y110&lt;&gt;"",'OCTUBRE 2026'!Y6:Y110,'OCTUBRE 2026'!I6:I110)="JUMBILLA")*('OCTUBRE 2026'!K6:K110="GASOLINA")*'OCTUBRE 2026'!N6:N110),0)</f>
        <v/>
      </c>
    </row>
    <row r="1296" ht="15" customHeight="1" s="195">
      <c r="A1296" s="194" t="inlineStr">
        <is>
          <t>JUMBILLA</t>
        </is>
      </c>
      <c r="B1296" s="194" t="inlineStr">
        <is>
          <t>NOVIEMBRE 2026</t>
        </is>
      </c>
      <c r="C1296" s="377">
        <f>IFERROR(SUMPRODUCT((IF('NOVIEMBRE 2026'!Y6:Y110&lt;&gt;"",'NOVIEMBRE 2026'!Y6:Y110,'NOVIEMBRE 2026'!I6:I110)="JUMBILLA")*('NOVIEMBRE 2026'!K6:K110="PETROLEO")*'NOVIEMBRE 2026'!M6:M110),0)</f>
        <v/>
      </c>
      <c r="D1296" s="377">
        <f>IFERROR(SUMPRODUCT((IF('NOVIEMBRE 2026'!Y6:Y110&lt;&gt;"",'NOVIEMBRE 2026'!Y6:Y110,'NOVIEMBRE 2026'!I6:I110)="JUMBILLA")*('NOVIEMBRE 2026'!K6:K110="PETROLEO")*'NOVIEMBRE 2026'!N6:N110),0)</f>
        <v/>
      </c>
      <c r="E1296" s="377">
        <f>IFERROR(SUMPRODUCT((IF('NOVIEMBRE 2026'!Y6:Y110&lt;&gt;"",'NOVIEMBRE 2026'!Y6:Y110,'NOVIEMBRE 2026'!I6:I110)="JUMBILLA")*('NOVIEMBRE 2026'!K6:K110="GASOLINA")*'NOVIEMBRE 2026'!M6:M110),0)</f>
        <v/>
      </c>
      <c r="F1296" s="377">
        <f>IFERROR(SUMPRODUCT((IF('NOVIEMBRE 2026'!Y6:Y110&lt;&gt;"",'NOVIEMBRE 2026'!Y6:Y110,'NOVIEMBRE 2026'!I6:I110)="JUMBILLA")*('NOVIEMBRE 2026'!K6:K110="GASOLINA")*'NOVIEMBRE 2026'!N6:N110),0)</f>
        <v/>
      </c>
    </row>
    <row r="1297" ht="15" customHeight="1" s="195">
      <c r="A1297" s="194" t="inlineStr">
        <is>
          <t>JUMBILLA</t>
        </is>
      </c>
      <c r="B1297" s="194" t="inlineStr">
        <is>
          <t>DICIEMBRE 2026</t>
        </is>
      </c>
      <c r="C1297" s="377">
        <f>IFERROR(SUMPRODUCT((IF('DICIEMBRE 2026'!Y6:Y110&lt;&gt;"",'DICIEMBRE 2026'!Y6:Y110,'DICIEMBRE 2026'!I6:I110)="JUMBILLA")*('DICIEMBRE 2026'!K6:K110="PETROLEO")*'DICIEMBRE 2026'!M6:M110),0)</f>
        <v/>
      </c>
      <c r="D1297" s="377">
        <f>IFERROR(SUMPRODUCT((IF('DICIEMBRE 2026'!Y6:Y110&lt;&gt;"",'DICIEMBRE 2026'!Y6:Y110,'DICIEMBRE 2026'!I6:I110)="JUMBILLA")*('DICIEMBRE 2026'!K6:K110="PETROLEO")*'DICIEMBRE 2026'!N6:N110),0)</f>
        <v/>
      </c>
      <c r="E1297" s="377">
        <f>IFERROR(SUMPRODUCT((IF('DICIEMBRE 2026'!Y6:Y110&lt;&gt;"",'DICIEMBRE 2026'!Y6:Y110,'DICIEMBRE 2026'!I6:I110)="JUMBILLA")*('DICIEMBRE 2026'!K6:K110="GASOLINA")*'DICIEMBRE 2026'!M6:M110),0)</f>
        <v/>
      </c>
      <c r="F1297" s="377">
        <f>IFERROR(SUMPRODUCT((IF('DICIEMBRE 2026'!Y6:Y110&lt;&gt;"",'DICIEMBRE 2026'!Y6:Y110,'DICIEMBRE 2026'!I6:I110)="JUMBILLA")*('DICIEMBRE 2026'!K6:K110="GASOLINA")*'DICIEMBRE 2026'!N6:N110),0)</f>
        <v/>
      </c>
    </row>
    <row r="1298" ht="15" customHeight="1" s="195">
      <c r="A1298" s="194" t="inlineStr">
        <is>
          <t>LAMUD</t>
        </is>
      </c>
      <c r="B1298" s="194" t="inlineStr">
        <is>
          <t>ENERO 2026</t>
        </is>
      </c>
      <c r="C1298" s="377">
        <f>IFERROR(SUMPRODUCT((IF('ENERO 2026'!Y6:Y119&lt;&gt;"",'ENERO 2026'!Y6:Y119,'ENERO 2026'!I6:I119)="LAMUD")*('ENERO 2026'!K6:K119="PETROLEO")*'ENERO 2026'!M6:M119),0)</f>
        <v/>
      </c>
      <c r="D1298" s="377">
        <f>IFERROR(SUMPRODUCT((IF('ENERO 2026'!Y6:Y119&lt;&gt;"",'ENERO 2026'!Y6:Y119,'ENERO 2026'!I6:I119)="LAMUD")*('ENERO 2026'!K6:K119="PETROLEO")*'ENERO 2026'!N6:N119),0)</f>
        <v/>
      </c>
      <c r="E1298" s="377">
        <f>IFERROR(SUMPRODUCT((IF('ENERO 2026'!Y6:Y119&lt;&gt;"",'ENERO 2026'!Y6:Y119,'ENERO 2026'!I6:I119)="LAMUD")*('ENERO 2026'!K6:K119="GASOLINA")*'ENERO 2026'!M6:M119),0)</f>
        <v/>
      </c>
      <c r="F1298" s="377">
        <f>IFERROR(SUMPRODUCT((IF('ENERO 2026'!Y6:Y119&lt;&gt;"",'ENERO 2026'!Y6:Y119,'ENERO 2026'!I6:I119)="LAMUD")*('ENERO 2026'!K6:K119="GASOLINA")*'ENERO 2026'!N6:N119),0)</f>
        <v/>
      </c>
    </row>
    <row r="1299" ht="15" customHeight="1" s="195">
      <c r="A1299" s="194" t="inlineStr">
        <is>
          <t>LAMUD</t>
        </is>
      </c>
      <c r="B1299" s="194" t="inlineStr">
        <is>
          <t>FEBRERO 2026</t>
        </is>
      </c>
      <c r="C1299" s="377">
        <f>IFERROR(SUMPRODUCT((IF('FEBRERO 2026'!Y6:Y124&lt;&gt;"",'FEBRERO 2026'!Y6:Y124,'FEBRERO 2026'!I6:I124)="LAMUD")*('FEBRERO 2026'!K6:K124="PETROLEO")*'FEBRERO 2026'!M6:M124),0)</f>
        <v/>
      </c>
      <c r="D1299" s="377">
        <f>IFERROR(SUMPRODUCT((IF('FEBRERO 2026'!Y6:Y124&lt;&gt;"",'FEBRERO 2026'!Y6:Y124,'FEBRERO 2026'!I6:I124)="LAMUD")*('FEBRERO 2026'!K6:K124="PETROLEO")*'FEBRERO 2026'!N6:N124),0)</f>
        <v/>
      </c>
      <c r="E1299" s="377">
        <f>IFERROR(SUMPRODUCT((IF('FEBRERO 2026'!Y6:Y124&lt;&gt;"",'FEBRERO 2026'!Y6:Y124,'FEBRERO 2026'!I6:I124)="LAMUD")*('FEBRERO 2026'!K6:K124="GASOLINA")*'FEBRERO 2026'!M6:M124),0)</f>
        <v/>
      </c>
      <c r="F1299" s="377">
        <f>IFERROR(SUMPRODUCT((IF('FEBRERO 2026'!Y6:Y124&lt;&gt;"",'FEBRERO 2026'!Y6:Y124,'FEBRERO 2026'!I6:I124)="LAMUD")*('FEBRERO 2026'!K6:K124="GASOLINA")*'FEBRERO 2026'!N6:N124),0)</f>
        <v/>
      </c>
    </row>
    <row r="1300" ht="15" customHeight="1" s="195">
      <c r="A1300" s="194" t="inlineStr">
        <is>
          <t>LAMUD</t>
        </is>
      </c>
      <c r="B1300" s="194" t="inlineStr">
        <is>
          <t>MARZO 2026</t>
        </is>
      </c>
      <c r="C1300" s="377">
        <f>IFERROR(SUMPRODUCT((IF('MARZO 2026'!Y6:Y119&lt;&gt;"",'MARZO 2026'!Y6:Y119,'MARZO 2026'!I6:I119)="LAMUD")*('MARZO 2026'!K6:K119="PETROLEO")*'MARZO 2026'!M6:M119),0)</f>
        <v/>
      </c>
      <c r="D1300" s="377">
        <f>IFERROR(SUMPRODUCT((IF('MARZO 2026'!Y6:Y119&lt;&gt;"",'MARZO 2026'!Y6:Y119,'MARZO 2026'!I6:I119)="LAMUD")*('MARZO 2026'!K6:K119="PETROLEO")*'MARZO 2026'!N6:N119),0)</f>
        <v/>
      </c>
      <c r="E1300" s="377">
        <f>IFERROR(SUMPRODUCT((IF('MARZO 2026'!Y6:Y119&lt;&gt;"",'MARZO 2026'!Y6:Y119,'MARZO 2026'!I6:I119)="LAMUD")*('MARZO 2026'!K6:K119="GASOLINA")*'MARZO 2026'!M6:M119),0)</f>
        <v/>
      </c>
      <c r="F1300" s="377">
        <f>IFERROR(SUMPRODUCT((IF('MARZO 2026'!Y6:Y119&lt;&gt;"",'MARZO 2026'!Y6:Y119,'MARZO 2026'!I6:I119)="LAMUD")*('MARZO 2026'!K6:K119="GASOLINA")*'MARZO 2026'!N6:N119),0)</f>
        <v/>
      </c>
    </row>
    <row r="1301" ht="15" customHeight="1" s="195">
      <c r="A1301" s="194" t="inlineStr">
        <is>
          <t>LAMUD</t>
        </is>
      </c>
      <c r="B1301" s="194" t="inlineStr">
        <is>
          <t>ABRIL 2026</t>
        </is>
      </c>
      <c r="C1301" s="377">
        <f>IFERROR(SUMPRODUCT((IF('ABRIL 2026'!Y6:Y119&lt;&gt;"",'ABRIL 2026'!Y6:Y119,'ABRIL 2026'!I6:I119)="LAMUD")*('ABRIL 2026'!K6:K119="PETROLEO")*'ABRIL 2026'!M6:M119),0)</f>
        <v/>
      </c>
      <c r="D1301" s="377">
        <f>IFERROR(SUMPRODUCT((IF('ABRIL 2026'!Y6:Y119&lt;&gt;"",'ABRIL 2026'!Y6:Y119,'ABRIL 2026'!I6:I119)="LAMUD")*('ABRIL 2026'!K6:K119="PETROLEO")*'ABRIL 2026'!N6:N119),0)</f>
        <v/>
      </c>
      <c r="E1301" s="377">
        <f>IFERROR(SUMPRODUCT((IF('ABRIL 2026'!Y6:Y119&lt;&gt;"",'ABRIL 2026'!Y6:Y119,'ABRIL 2026'!I6:I119)="LAMUD")*('ABRIL 2026'!K6:K119="GASOLINA")*'ABRIL 2026'!M6:M119),0)</f>
        <v/>
      </c>
      <c r="F1301" s="377">
        <f>IFERROR(SUMPRODUCT((IF('ABRIL 2026'!Y6:Y119&lt;&gt;"",'ABRIL 2026'!Y6:Y119,'ABRIL 2026'!I6:I119)="LAMUD")*('ABRIL 2026'!K6:K119="GASOLINA")*'ABRIL 2026'!N6:N119),0)</f>
        <v/>
      </c>
    </row>
    <row r="1302" ht="15" customHeight="1" s="195">
      <c r="A1302" s="194" t="inlineStr">
        <is>
          <t>LAMUD</t>
        </is>
      </c>
      <c r="B1302" s="194" t="inlineStr">
        <is>
          <t>MAYO 2026</t>
        </is>
      </c>
      <c r="C1302" s="377">
        <f>IFERROR(SUMPRODUCT((IF('MAYO 2026'!Y6:Y110&lt;&gt;"",'MAYO 2026'!Y6:Y110,'MAYO 2026'!I6:I110)="LAMUD")*('MAYO 2026'!K6:K110="PETROLEO")*'MAYO 2026'!M6:M110),0)</f>
        <v/>
      </c>
      <c r="D1302" s="377">
        <f>IFERROR(SUMPRODUCT((IF('MAYO 2026'!Y6:Y110&lt;&gt;"",'MAYO 2026'!Y6:Y110,'MAYO 2026'!I6:I110)="LAMUD")*('MAYO 2026'!K6:K110="PETROLEO")*'MAYO 2026'!N6:N110),0)</f>
        <v/>
      </c>
      <c r="E1302" s="377">
        <f>IFERROR(SUMPRODUCT((IF('MAYO 2026'!Y6:Y110&lt;&gt;"",'MAYO 2026'!Y6:Y110,'MAYO 2026'!I6:I110)="LAMUD")*('MAYO 2026'!K6:K110="GASOLINA")*'MAYO 2026'!M6:M110),0)</f>
        <v/>
      </c>
      <c r="F1302" s="377">
        <f>IFERROR(SUMPRODUCT((IF('MAYO 2026'!Y6:Y110&lt;&gt;"",'MAYO 2026'!Y6:Y110,'MAYO 2026'!I6:I110)="LAMUD")*('MAYO 2026'!K6:K110="GASOLINA")*'MAYO 2026'!N6:N110),0)</f>
        <v/>
      </c>
    </row>
    <row r="1303" ht="15" customHeight="1" s="195">
      <c r="A1303" s="194" t="inlineStr">
        <is>
          <t>LAMUD</t>
        </is>
      </c>
      <c r="B1303" s="194" t="inlineStr">
        <is>
          <t>JUNIO 2026</t>
        </is>
      </c>
      <c r="C1303" s="377">
        <f>IFERROR(SUMPRODUCT((IF('JUNIO 2026'!Y6:Y110&lt;&gt;"",'JUNIO 2026'!Y6:Y110,'JUNIO 2026'!I6:I110)="LAMUD")*('JUNIO 2026'!K6:K110="PETROLEO")*'JUNIO 2026'!M6:M110),0)</f>
        <v/>
      </c>
      <c r="D1303" s="377">
        <f>IFERROR(SUMPRODUCT((IF('JUNIO 2026'!Y6:Y110&lt;&gt;"",'JUNIO 2026'!Y6:Y110,'JUNIO 2026'!I6:I110)="LAMUD")*('JUNIO 2026'!K6:K110="PETROLEO")*'JUNIO 2026'!N6:N110),0)</f>
        <v/>
      </c>
      <c r="E1303" s="377">
        <f>IFERROR(SUMPRODUCT((IF('JUNIO 2026'!Y6:Y110&lt;&gt;"",'JUNIO 2026'!Y6:Y110,'JUNIO 2026'!I6:I110)="LAMUD")*('JUNIO 2026'!K6:K110="GASOLINA")*'JUNIO 2026'!M6:M110),0)</f>
        <v/>
      </c>
      <c r="F1303" s="377">
        <f>IFERROR(SUMPRODUCT((IF('JUNIO 2026'!Y6:Y110&lt;&gt;"",'JUNIO 2026'!Y6:Y110,'JUNIO 2026'!I6:I110)="LAMUD")*('JUNIO 2026'!K6:K110="GASOLINA")*'JUNIO 2026'!N6:N110),0)</f>
        <v/>
      </c>
    </row>
    <row r="1304" ht="15" customHeight="1" s="195">
      <c r="A1304" s="194" t="inlineStr">
        <is>
          <t>LAMUD</t>
        </is>
      </c>
      <c r="B1304" s="194" t="inlineStr">
        <is>
          <t>JULIO 2026</t>
        </is>
      </c>
      <c r="C1304" s="377">
        <f>IFERROR(SUMPRODUCT((IF('JULIO 2026'!Y6:Y110&lt;&gt;"",'JULIO 2026'!Y6:Y110,'JULIO 2026'!I6:I110)="LAMUD")*('JULIO 2026'!K6:K110="PETROLEO")*'JULIO 2026'!M6:M110),0)</f>
        <v/>
      </c>
      <c r="D1304" s="377">
        <f>IFERROR(SUMPRODUCT((IF('JULIO 2026'!Y6:Y110&lt;&gt;"",'JULIO 2026'!Y6:Y110,'JULIO 2026'!I6:I110)="LAMUD")*('JULIO 2026'!K6:K110="PETROLEO")*'JULIO 2026'!N6:N110),0)</f>
        <v/>
      </c>
      <c r="E1304" s="377">
        <f>IFERROR(SUMPRODUCT((IF('JULIO 2026'!Y6:Y110&lt;&gt;"",'JULIO 2026'!Y6:Y110,'JULIO 2026'!I6:I110)="LAMUD")*('JULIO 2026'!K6:K110="GASOLINA")*'JULIO 2026'!M6:M110),0)</f>
        <v/>
      </c>
      <c r="F1304" s="377">
        <f>IFERROR(SUMPRODUCT((IF('JULIO 2026'!Y6:Y110&lt;&gt;"",'JULIO 2026'!Y6:Y110,'JULIO 2026'!I6:I110)="LAMUD")*('JULIO 2026'!K6:K110="GASOLINA")*'JULIO 2026'!N6:N110),0)</f>
        <v/>
      </c>
    </row>
    <row r="1305" ht="15" customHeight="1" s="195">
      <c r="A1305" s="194" t="inlineStr">
        <is>
          <t>LAMUD</t>
        </is>
      </c>
      <c r="B1305" s="194" t="inlineStr">
        <is>
          <t>AGOSTO 2026</t>
        </is>
      </c>
      <c r="C1305" s="377">
        <f>IFERROR(SUMPRODUCT((IF('AGOSTO 2026'!Y6:Y110&lt;&gt;"",'AGOSTO 2026'!Y6:Y110,'AGOSTO 2026'!I6:I110)="LAMUD")*('AGOSTO 2026'!K6:K110="PETROLEO")*'AGOSTO 2026'!M6:M110),0)</f>
        <v/>
      </c>
      <c r="D1305" s="377">
        <f>IFERROR(SUMPRODUCT((IF('AGOSTO 2026'!Y6:Y110&lt;&gt;"",'AGOSTO 2026'!Y6:Y110,'AGOSTO 2026'!I6:I110)="LAMUD")*('AGOSTO 2026'!K6:K110="PETROLEO")*'AGOSTO 2026'!N6:N110),0)</f>
        <v/>
      </c>
      <c r="E1305" s="377">
        <f>IFERROR(SUMPRODUCT((IF('AGOSTO 2026'!Y6:Y110&lt;&gt;"",'AGOSTO 2026'!Y6:Y110,'AGOSTO 2026'!I6:I110)="LAMUD")*('AGOSTO 2026'!K6:K110="GASOLINA")*'AGOSTO 2026'!M6:M110),0)</f>
        <v/>
      </c>
      <c r="F1305" s="377">
        <f>IFERROR(SUMPRODUCT((IF('AGOSTO 2026'!Y6:Y110&lt;&gt;"",'AGOSTO 2026'!Y6:Y110,'AGOSTO 2026'!I6:I110)="LAMUD")*('AGOSTO 2026'!K6:K110="GASOLINA")*'AGOSTO 2026'!N6:N110),0)</f>
        <v/>
      </c>
    </row>
    <row r="1306" ht="15" customHeight="1" s="195">
      <c r="A1306" s="194" t="inlineStr">
        <is>
          <t>LAMUD</t>
        </is>
      </c>
      <c r="B1306" s="194" t="inlineStr">
        <is>
          <t>SETIEMBRE 2026</t>
        </is>
      </c>
      <c r="C1306" s="377">
        <f>IFERROR(SUMPRODUCT((IF('SETIEMBRE 2026'!Y6:Y110&lt;&gt;"",'SETIEMBRE 2026'!Y6:Y110,'SETIEMBRE 2026'!I6:I110)="LAMUD")*('SETIEMBRE 2026'!K6:K110="PETROLEO")*'SETIEMBRE 2026'!M6:M110),0)</f>
        <v/>
      </c>
      <c r="D1306" s="377">
        <f>IFERROR(SUMPRODUCT((IF('SETIEMBRE 2026'!Y6:Y110&lt;&gt;"",'SETIEMBRE 2026'!Y6:Y110,'SETIEMBRE 2026'!I6:I110)="LAMUD")*('SETIEMBRE 2026'!K6:K110="PETROLEO")*'SETIEMBRE 2026'!N6:N110),0)</f>
        <v/>
      </c>
      <c r="E1306" s="377">
        <f>IFERROR(SUMPRODUCT((IF('SETIEMBRE 2026'!Y6:Y110&lt;&gt;"",'SETIEMBRE 2026'!Y6:Y110,'SETIEMBRE 2026'!I6:I110)="LAMUD")*('SETIEMBRE 2026'!K6:K110="GASOLINA")*'SETIEMBRE 2026'!M6:M110),0)</f>
        <v/>
      </c>
      <c r="F1306" s="377">
        <f>IFERROR(SUMPRODUCT((IF('SETIEMBRE 2026'!Y6:Y110&lt;&gt;"",'SETIEMBRE 2026'!Y6:Y110,'SETIEMBRE 2026'!I6:I110)="LAMUD")*('SETIEMBRE 2026'!K6:K110="GASOLINA")*'SETIEMBRE 2026'!N6:N110),0)</f>
        <v/>
      </c>
    </row>
    <row r="1307" ht="15" customHeight="1" s="195">
      <c r="A1307" s="194" t="inlineStr">
        <is>
          <t>LAMUD</t>
        </is>
      </c>
      <c r="B1307" s="194" t="inlineStr">
        <is>
          <t>OCTUBRE 2026</t>
        </is>
      </c>
      <c r="C1307" s="377">
        <f>IFERROR(SUMPRODUCT((IF('OCTUBRE 2026'!Y6:Y110&lt;&gt;"",'OCTUBRE 2026'!Y6:Y110,'OCTUBRE 2026'!I6:I110)="LAMUD")*('OCTUBRE 2026'!K6:K110="PETROLEO")*'OCTUBRE 2026'!M6:M110),0)</f>
        <v/>
      </c>
      <c r="D1307" s="377">
        <f>IFERROR(SUMPRODUCT((IF('OCTUBRE 2026'!Y6:Y110&lt;&gt;"",'OCTUBRE 2026'!Y6:Y110,'OCTUBRE 2026'!I6:I110)="LAMUD")*('OCTUBRE 2026'!K6:K110="PETROLEO")*'OCTUBRE 2026'!N6:N110),0)</f>
        <v/>
      </c>
      <c r="E1307" s="377">
        <f>IFERROR(SUMPRODUCT((IF('OCTUBRE 2026'!Y6:Y110&lt;&gt;"",'OCTUBRE 2026'!Y6:Y110,'OCTUBRE 2026'!I6:I110)="LAMUD")*('OCTUBRE 2026'!K6:K110="GASOLINA")*'OCTUBRE 2026'!M6:M110),0)</f>
        <v/>
      </c>
      <c r="F1307" s="377">
        <f>IFERROR(SUMPRODUCT((IF('OCTUBRE 2026'!Y6:Y110&lt;&gt;"",'OCTUBRE 2026'!Y6:Y110,'OCTUBRE 2026'!I6:I110)="LAMUD")*('OCTUBRE 2026'!K6:K110="GASOLINA")*'OCTUBRE 2026'!N6:N110),0)</f>
        <v/>
      </c>
    </row>
    <row r="1308" ht="15" customHeight="1" s="195">
      <c r="A1308" s="194" t="inlineStr">
        <is>
          <t>LAMUD</t>
        </is>
      </c>
      <c r="B1308" s="194" t="inlineStr">
        <is>
          <t>NOVIEMBRE 2026</t>
        </is>
      </c>
      <c r="C1308" s="377">
        <f>IFERROR(SUMPRODUCT((IF('NOVIEMBRE 2026'!Y6:Y110&lt;&gt;"",'NOVIEMBRE 2026'!Y6:Y110,'NOVIEMBRE 2026'!I6:I110)="LAMUD")*('NOVIEMBRE 2026'!K6:K110="PETROLEO")*'NOVIEMBRE 2026'!M6:M110),0)</f>
        <v/>
      </c>
      <c r="D1308" s="377">
        <f>IFERROR(SUMPRODUCT((IF('NOVIEMBRE 2026'!Y6:Y110&lt;&gt;"",'NOVIEMBRE 2026'!Y6:Y110,'NOVIEMBRE 2026'!I6:I110)="LAMUD")*('NOVIEMBRE 2026'!K6:K110="PETROLEO")*'NOVIEMBRE 2026'!N6:N110),0)</f>
        <v/>
      </c>
      <c r="E1308" s="377">
        <f>IFERROR(SUMPRODUCT((IF('NOVIEMBRE 2026'!Y6:Y110&lt;&gt;"",'NOVIEMBRE 2026'!Y6:Y110,'NOVIEMBRE 2026'!I6:I110)="LAMUD")*('NOVIEMBRE 2026'!K6:K110="GASOLINA")*'NOVIEMBRE 2026'!M6:M110),0)</f>
        <v/>
      </c>
      <c r="F1308" s="377">
        <f>IFERROR(SUMPRODUCT((IF('NOVIEMBRE 2026'!Y6:Y110&lt;&gt;"",'NOVIEMBRE 2026'!Y6:Y110,'NOVIEMBRE 2026'!I6:I110)="LAMUD")*('NOVIEMBRE 2026'!K6:K110="GASOLINA")*'NOVIEMBRE 2026'!N6:N110),0)</f>
        <v/>
      </c>
    </row>
    <row r="1309" ht="15" customHeight="1" s="195">
      <c r="A1309" s="194" t="inlineStr">
        <is>
          <t>LAMUD</t>
        </is>
      </c>
      <c r="B1309" s="194" t="inlineStr">
        <is>
          <t>DICIEMBRE 2026</t>
        </is>
      </c>
      <c r="C1309" s="377">
        <f>IFERROR(SUMPRODUCT((IF('DICIEMBRE 2026'!Y6:Y110&lt;&gt;"",'DICIEMBRE 2026'!Y6:Y110,'DICIEMBRE 2026'!I6:I110)="LAMUD")*('DICIEMBRE 2026'!K6:K110="PETROLEO")*'DICIEMBRE 2026'!M6:M110),0)</f>
        <v/>
      </c>
      <c r="D1309" s="377">
        <f>IFERROR(SUMPRODUCT((IF('DICIEMBRE 2026'!Y6:Y110&lt;&gt;"",'DICIEMBRE 2026'!Y6:Y110,'DICIEMBRE 2026'!I6:I110)="LAMUD")*('DICIEMBRE 2026'!K6:K110="PETROLEO")*'DICIEMBRE 2026'!N6:N110),0)</f>
        <v/>
      </c>
      <c r="E1309" s="377">
        <f>IFERROR(SUMPRODUCT((IF('DICIEMBRE 2026'!Y6:Y110&lt;&gt;"",'DICIEMBRE 2026'!Y6:Y110,'DICIEMBRE 2026'!I6:I110)="LAMUD")*('DICIEMBRE 2026'!K6:K110="GASOLINA")*'DICIEMBRE 2026'!M6:M110),0)</f>
        <v/>
      </c>
      <c r="F1309" s="377">
        <f>IFERROR(SUMPRODUCT((IF('DICIEMBRE 2026'!Y6:Y110&lt;&gt;"",'DICIEMBRE 2026'!Y6:Y110,'DICIEMBRE 2026'!I6:I110)="LAMUD")*('DICIEMBRE 2026'!K6:K110="GASOLINA")*'DICIEMBRE 2026'!N6:N110),0)</f>
        <v/>
      </c>
    </row>
    <row r="1310" ht="15" customHeight="1" s="195">
      <c r="A1310" s="194" t="inlineStr">
        <is>
          <t>LEYMEBAMBA</t>
        </is>
      </c>
      <c r="B1310" s="194" t="inlineStr">
        <is>
          <t>ENERO 2026</t>
        </is>
      </c>
      <c r="C1310" s="377">
        <f>IFERROR(SUMPRODUCT((IF('ENERO 2026'!Y6:Y119&lt;&gt;"",'ENERO 2026'!Y6:Y119,'ENERO 2026'!I6:I119)="LEYMEBAMBA")*('ENERO 2026'!K6:K119="PETROLEO")*'ENERO 2026'!M6:M119),0)</f>
        <v/>
      </c>
      <c r="D1310" s="377">
        <f>IFERROR(SUMPRODUCT((IF('ENERO 2026'!Y6:Y119&lt;&gt;"",'ENERO 2026'!Y6:Y119,'ENERO 2026'!I6:I119)="LEYMEBAMBA")*('ENERO 2026'!K6:K119="PETROLEO")*'ENERO 2026'!N6:N119),0)</f>
        <v/>
      </c>
      <c r="E1310" s="377">
        <f>IFERROR(SUMPRODUCT((IF('ENERO 2026'!Y6:Y119&lt;&gt;"",'ENERO 2026'!Y6:Y119,'ENERO 2026'!I6:I119)="LEYMEBAMBA")*('ENERO 2026'!K6:K119="GASOLINA")*'ENERO 2026'!M6:M119),0)</f>
        <v/>
      </c>
      <c r="F1310" s="377">
        <f>IFERROR(SUMPRODUCT((IF('ENERO 2026'!Y6:Y119&lt;&gt;"",'ENERO 2026'!Y6:Y119,'ENERO 2026'!I6:I119)="LEYMEBAMBA")*('ENERO 2026'!K6:K119="GASOLINA")*'ENERO 2026'!N6:N119),0)</f>
        <v/>
      </c>
    </row>
    <row r="1311" ht="15" customHeight="1" s="195">
      <c r="A1311" s="194" t="inlineStr">
        <is>
          <t>LEYMEBAMBA</t>
        </is>
      </c>
      <c r="B1311" s="194" t="inlineStr">
        <is>
          <t>FEBRERO 2026</t>
        </is>
      </c>
      <c r="C1311" s="377">
        <f>IFERROR(SUMPRODUCT((IF('FEBRERO 2026'!Y6:Y124&lt;&gt;"",'FEBRERO 2026'!Y6:Y124,'FEBRERO 2026'!I6:I124)="LEYMEBAMBA")*('FEBRERO 2026'!K6:K124="PETROLEO")*'FEBRERO 2026'!M6:M124),0)</f>
        <v/>
      </c>
      <c r="D1311" s="377">
        <f>IFERROR(SUMPRODUCT((IF('FEBRERO 2026'!Y6:Y124&lt;&gt;"",'FEBRERO 2026'!Y6:Y124,'FEBRERO 2026'!I6:I124)="LEYMEBAMBA")*('FEBRERO 2026'!K6:K124="PETROLEO")*'FEBRERO 2026'!N6:N124),0)</f>
        <v/>
      </c>
      <c r="E1311" s="377">
        <f>IFERROR(SUMPRODUCT((IF('FEBRERO 2026'!Y6:Y124&lt;&gt;"",'FEBRERO 2026'!Y6:Y124,'FEBRERO 2026'!I6:I124)="LEYMEBAMBA")*('FEBRERO 2026'!K6:K124="GASOLINA")*'FEBRERO 2026'!M6:M124),0)</f>
        <v/>
      </c>
      <c r="F1311" s="377">
        <f>IFERROR(SUMPRODUCT((IF('FEBRERO 2026'!Y6:Y124&lt;&gt;"",'FEBRERO 2026'!Y6:Y124,'FEBRERO 2026'!I6:I124)="LEYMEBAMBA")*('FEBRERO 2026'!K6:K124="GASOLINA")*'FEBRERO 2026'!N6:N124),0)</f>
        <v/>
      </c>
    </row>
    <row r="1312" ht="15" customHeight="1" s="195">
      <c r="A1312" s="194" t="inlineStr">
        <is>
          <t>LEYMEBAMBA</t>
        </is>
      </c>
      <c r="B1312" s="194" t="inlineStr">
        <is>
          <t>MARZO 2026</t>
        </is>
      </c>
      <c r="C1312" s="377">
        <f>IFERROR(SUMPRODUCT((IF('MARZO 2026'!Y6:Y119&lt;&gt;"",'MARZO 2026'!Y6:Y119,'MARZO 2026'!I6:I119)="LEYMEBAMBA")*('MARZO 2026'!K6:K119="PETROLEO")*'MARZO 2026'!M6:M119),0)</f>
        <v/>
      </c>
      <c r="D1312" s="377">
        <f>IFERROR(SUMPRODUCT((IF('MARZO 2026'!Y6:Y119&lt;&gt;"",'MARZO 2026'!Y6:Y119,'MARZO 2026'!I6:I119)="LEYMEBAMBA")*('MARZO 2026'!K6:K119="PETROLEO")*'MARZO 2026'!N6:N119),0)</f>
        <v/>
      </c>
      <c r="E1312" s="377">
        <f>IFERROR(SUMPRODUCT((IF('MARZO 2026'!Y6:Y119&lt;&gt;"",'MARZO 2026'!Y6:Y119,'MARZO 2026'!I6:I119)="LEYMEBAMBA")*('MARZO 2026'!K6:K119="GASOLINA")*'MARZO 2026'!M6:M119),0)</f>
        <v/>
      </c>
      <c r="F1312" s="377">
        <f>IFERROR(SUMPRODUCT((IF('MARZO 2026'!Y6:Y119&lt;&gt;"",'MARZO 2026'!Y6:Y119,'MARZO 2026'!I6:I119)="LEYMEBAMBA")*('MARZO 2026'!K6:K119="GASOLINA")*'MARZO 2026'!N6:N119),0)</f>
        <v/>
      </c>
    </row>
    <row r="1313" ht="15" customHeight="1" s="195">
      <c r="A1313" s="194" t="inlineStr">
        <is>
          <t>LEYMEBAMBA</t>
        </is>
      </c>
      <c r="B1313" s="194" t="inlineStr">
        <is>
          <t>ABRIL 2026</t>
        </is>
      </c>
      <c r="C1313" s="377">
        <f>IFERROR(SUMPRODUCT((IF('ABRIL 2026'!Y6:Y119&lt;&gt;"",'ABRIL 2026'!Y6:Y119,'ABRIL 2026'!I6:I119)="LEYMEBAMBA")*('ABRIL 2026'!K6:K119="PETROLEO")*'ABRIL 2026'!M6:M119),0)</f>
        <v/>
      </c>
      <c r="D1313" s="377">
        <f>IFERROR(SUMPRODUCT((IF('ABRIL 2026'!Y6:Y119&lt;&gt;"",'ABRIL 2026'!Y6:Y119,'ABRIL 2026'!I6:I119)="LEYMEBAMBA")*('ABRIL 2026'!K6:K119="PETROLEO")*'ABRIL 2026'!N6:N119),0)</f>
        <v/>
      </c>
      <c r="E1313" s="377">
        <f>IFERROR(SUMPRODUCT((IF('ABRIL 2026'!Y6:Y119&lt;&gt;"",'ABRIL 2026'!Y6:Y119,'ABRIL 2026'!I6:I119)="LEYMEBAMBA")*('ABRIL 2026'!K6:K119="GASOLINA")*'ABRIL 2026'!M6:M119),0)</f>
        <v/>
      </c>
      <c r="F1313" s="377">
        <f>IFERROR(SUMPRODUCT((IF('ABRIL 2026'!Y6:Y119&lt;&gt;"",'ABRIL 2026'!Y6:Y119,'ABRIL 2026'!I6:I119)="LEYMEBAMBA")*('ABRIL 2026'!K6:K119="GASOLINA")*'ABRIL 2026'!N6:N119),0)</f>
        <v/>
      </c>
    </row>
    <row r="1314" ht="15" customHeight="1" s="195">
      <c r="A1314" s="194" t="inlineStr">
        <is>
          <t>LEYMEBAMBA</t>
        </is>
      </c>
      <c r="B1314" s="194" t="inlineStr">
        <is>
          <t>MAYO 2026</t>
        </is>
      </c>
      <c r="C1314" s="377">
        <f>IFERROR(SUMPRODUCT((IF('MAYO 2026'!Y6:Y110&lt;&gt;"",'MAYO 2026'!Y6:Y110,'MAYO 2026'!I6:I110)="LEYMEBAMBA")*('MAYO 2026'!K6:K110="PETROLEO")*'MAYO 2026'!M6:M110),0)</f>
        <v/>
      </c>
      <c r="D1314" s="377">
        <f>IFERROR(SUMPRODUCT((IF('MAYO 2026'!Y6:Y110&lt;&gt;"",'MAYO 2026'!Y6:Y110,'MAYO 2026'!I6:I110)="LEYMEBAMBA")*('MAYO 2026'!K6:K110="PETROLEO")*'MAYO 2026'!N6:N110),0)</f>
        <v/>
      </c>
      <c r="E1314" s="377">
        <f>IFERROR(SUMPRODUCT((IF('MAYO 2026'!Y6:Y110&lt;&gt;"",'MAYO 2026'!Y6:Y110,'MAYO 2026'!I6:I110)="LEYMEBAMBA")*('MAYO 2026'!K6:K110="GASOLINA")*'MAYO 2026'!M6:M110),0)</f>
        <v/>
      </c>
      <c r="F1314" s="377">
        <f>IFERROR(SUMPRODUCT((IF('MAYO 2026'!Y6:Y110&lt;&gt;"",'MAYO 2026'!Y6:Y110,'MAYO 2026'!I6:I110)="LEYMEBAMBA")*('MAYO 2026'!K6:K110="GASOLINA")*'MAYO 2026'!N6:N110),0)</f>
        <v/>
      </c>
    </row>
    <row r="1315" ht="15" customHeight="1" s="195">
      <c r="A1315" s="194" t="inlineStr">
        <is>
          <t>LEYMEBAMBA</t>
        </is>
      </c>
      <c r="B1315" s="194" t="inlineStr">
        <is>
          <t>JUNIO 2026</t>
        </is>
      </c>
      <c r="C1315" s="377">
        <f>IFERROR(SUMPRODUCT((IF('JUNIO 2026'!Y6:Y110&lt;&gt;"",'JUNIO 2026'!Y6:Y110,'JUNIO 2026'!I6:I110)="LEYMEBAMBA")*('JUNIO 2026'!K6:K110="PETROLEO")*'JUNIO 2026'!M6:M110),0)</f>
        <v/>
      </c>
      <c r="D1315" s="377">
        <f>IFERROR(SUMPRODUCT((IF('JUNIO 2026'!Y6:Y110&lt;&gt;"",'JUNIO 2026'!Y6:Y110,'JUNIO 2026'!I6:I110)="LEYMEBAMBA")*('JUNIO 2026'!K6:K110="PETROLEO")*'JUNIO 2026'!N6:N110),0)</f>
        <v/>
      </c>
      <c r="E1315" s="377">
        <f>IFERROR(SUMPRODUCT((IF('JUNIO 2026'!Y6:Y110&lt;&gt;"",'JUNIO 2026'!Y6:Y110,'JUNIO 2026'!I6:I110)="LEYMEBAMBA")*('JUNIO 2026'!K6:K110="GASOLINA")*'JUNIO 2026'!M6:M110),0)</f>
        <v/>
      </c>
      <c r="F1315" s="377">
        <f>IFERROR(SUMPRODUCT((IF('JUNIO 2026'!Y6:Y110&lt;&gt;"",'JUNIO 2026'!Y6:Y110,'JUNIO 2026'!I6:I110)="LEYMEBAMBA")*('JUNIO 2026'!K6:K110="GASOLINA")*'JUNIO 2026'!N6:N110),0)</f>
        <v/>
      </c>
    </row>
    <row r="1316" ht="15" customHeight="1" s="195">
      <c r="A1316" s="194" t="inlineStr">
        <is>
          <t>LEYMEBAMBA</t>
        </is>
      </c>
      <c r="B1316" s="194" t="inlineStr">
        <is>
          <t>JULIO 2026</t>
        </is>
      </c>
      <c r="C1316" s="377">
        <f>IFERROR(SUMPRODUCT((IF('JULIO 2026'!Y6:Y110&lt;&gt;"",'JULIO 2026'!Y6:Y110,'JULIO 2026'!I6:I110)="LEYMEBAMBA")*('JULIO 2026'!K6:K110="PETROLEO")*'JULIO 2026'!M6:M110),0)</f>
        <v/>
      </c>
      <c r="D1316" s="377">
        <f>IFERROR(SUMPRODUCT((IF('JULIO 2026'!Y6:Y110&lt;&gt;"",'JULIO 2026'!Y6:Y110,'JULIO 2026'!I6:I110)="LEYMEBAMBA")*('JULIO 2026'!K6:K110="PETROLEO")*'JULIO 2026'!N6:N110),0)</f>
        <v/>
      </c>
      <c r="E1316" s="377">
        <f>IFERROR(SUMPRODUCT((IF('JULIO 2026'!Y6:Y110&lt;&gt;"",'JULIO 2026'!Y6:Y110,'JULIO 2026'!I6:I110)="LEYMEBAMBA")*('JULIO 2026'!K6:K110="GASOLINA")*'JULIO 2026'!M6:M110),0)</f>
        <v/>
      </c>
      <c r="F1316" s="377">
        <f>IFERROR(SUMPRODUCT((IF('JULIO 2026'!Y6:Y110&lt;&gt;"",'JULIO 2026'!Y6:Y110,'JULIO 2026'!I6:I110)="LEYMEBAMBA")*('JULIO 2026'!K6:K110="GASOLINA")*'JULIO 2026'!N6:N110),0)</f>
        <v/>
      </c>
    </row>
    <row r="1317" ht="15" customHeight="1" s="195">
      <c r="A1317" s="194" t="inlineStr">
        <is>
          <t>LEYMEBAMBA</t>
        </is>
      </c>
      <c r="B1317" s="194" t="inlineStr">
        <is>
          <t>AGOSTO 2026</t>
        </is>
      </c>
      <c r="C1317" s="377">
        <f>IFERROR(SUMPRODUCT((IF('AGOSTO 2026'!Y6:Y110&lt;&gt;"",'AGOSTO 2026'!Y6:Y110,'AGOSTO 2026'!I6:I110)="LEYMEBAMBA")*('AGOSTO 2026'!K6:K110="PETROLEO")*'AGOSTO 2026'!M6:M110),0)</f>
        <v/>
      </c>
      <c r="D1317" s="377">
        <f>IFERROR(SUMPRODUCT((IF('AGOSTO 2026'!Y6:Y110&lt;&gt;"",'AGOSTO 2026'!Y6:Y110,'AGOSTO 2026'!I6:I110)="LEYMEBAMBA")*('AGOSTO 2026'!K6:K110="PETROLEO")*'AGOSTO 2026'!N6:N110),0)</f>
        <v/>
      </c>
      <c r="E1317" s="377">
        <f>IFERROR(SUMPRODUCT((IF('AGOSTO 2026'!Y6:Y110&lt;&gt;"",'AGOSTO 2026'!Y6:Y110,'AGOSTO 2026'!I6:I110)="LEYMEBAMBA")*('AGOSTO 2026'!K6:K110="GASOLINA")*'AGOSTO 2026'!M6:M110),0)</f>
        <v/>
      </c>
      <c r="F1317" s="377">
        <f>IFERROR(SUMPRODUCT((IF('AGOSTO 2026'!Y6:Y110&lt;&gt;"",'AGOSTO 2026'!Y6:Y110,'AGOSTO 2026'!I6:I110)="LEYMEBAMBA")*('AGOSTO 2026'!K6:K110="GASOLINA")*'AGOSTO 2026'!N6:N110),0)</f>
        <v/>
      </c>
    </row>
    <row r="1318" ht="15" customHeight="1" s="195">
      <c r="A1318" s="194" t="inlineStr">
        <is>
          <t>LEYMEBAMBA</t>
        </is>
      </c>
      <c r="B1318" s="194" t="inlineStr">
        <is>
          <t>SETIEMBRE 2026</t>
        </is>
      </c>
      <c r="C1318" s="377">
        <f>IFERROR(SUMPRODUCT((IF('SETIEMBRE 2026'!Y6:Y110&lt;&gt;"",'SETIEMBRE 2026'!Y6:Y110,'SETIEMBRE 2026'!I6:I110)="LEYMEBAMBA")*('SETIEMBRE 2026'!K6:K110="PETROLEO")*'SETIEMBRE 2026'!M6:M110),0)</f>
        <v/>
      </c>
      <c r="D1318" s="377">
        <f>IFERROR(SUMPRODUCT((IF('SETIEMBRE 2026'!Y6:Y110&lt;&gt;"",'SETIEMBRE 2026'!Y6:Y110,'SETIEMBRE 2026'!I6:I110)="LEYMEBAMBA")*('SETIEMBRE 2026'!K6:K110="PETROLEO")*'SETIEMBRE 2026'!N6:N110),0)</f>
        <v/>
      </c>
      <c r="E1318" s="377">
        <f>IFERROR(SUMPRODUCT((IF('SETIEMBRE 2026'!Y6:Y110&lt;&gt;"",'SETIEMBRE 2026'!Y6:Y110,'SETIEMBRE 2026'!I6:I110)="LEYMEBAMBA")*('SETIEMBRE 2026'!K6:K110="GASOLINA")*'SETIEMBRE 2026'!M6:M110),0)</f>
        <v/>
      </c>
      <c r="F1318" s="377">
        <f>IFERROR(SUMPRODUCT((IF('SETIEMBRE 2026'!Y6:Y110&lt;&gt;"",'SETIEMBRE 2026'!Y6:Y110,'SETIEMBRE 2026'!I6:I110)="LEYMEBAMBA")*('SETIEMBRE 2026'!K6:K110="GASOLINA")*'SETIEMBRE 2026'!N6:N110),0)</f>
        <v/>
      </c>
    </row>
    <row r="1319" ht="15" customHeight="1" s="195">
      <c r="A1319" s="194" t="inlineStr">
        <is>
          <t>LEYMEBAMBA</t>
        </is>
      </c>
      <c r="B1319" s="194" t="inlineStr">
        <is>
          <t>OCTUBRE 2026</t>
        </is>
      </c>
      <c r="C1319" s="377">
        <f>IFERROR(SUMPRODUCT((IF('OCTUBRE 2026'!Y6:Y110&lt;&gt;"",'OCTUBRE 2026'!Y6:Y110,'OCTUBRE 2026'!I6:I110)="LEYMEBAMBA")*('OCTUBRE 2026'!K6:K110="PETROLEO")*'OCTUBRE 2026'!M6:M110),0)</f>
        <v/>
      </c>
      <c r="D1319" s="377">
        <f>IFERROR(SUMPRODUCT((IF('OCTUBRE 2026'!Y6:Y110&lt;&gt;"",'OCTUBRE 2026'!Y6:Y110,'OCTUBRE 2026'!I6:I110)="LEYMEBAMBA")*('OCTUBRE 2026'!K6:K110="PETROLEO")*'OCTUBRE 2026'!N6:N110),0)</f>
        <v/>
      </c>
      <c r="E1319" s="377">
        <f>IFERROR(SUMPRODUCT((IF('OCTUBRE 2026'!Y6:Y110&lt;&gt;"",'OCTUBRE 2026'!Y6:Y110,'OCTUBRE 2026'!I6:I110)="LEYMEBAMBA")*('OCTUBRE 2026'!K6:K110="GASOLINA")*'OCTUBRE 2026'!M6:M110),0)</f>
        <v/>
      </c>
      <c r="F1319" s="377">
        <f>IFERROR(SUMPRODUCT((IF('OCTUBRE 2026'!Y6:Y110&lt;&gt;"",'OCTUBRE 2026'!Y6:Y110,'OCTUBRE 2026'!I6:I110)="LEYMEBAMBA")*('OCTUBRE 2026'!K6:K110="GASOLINA")*'OCTUBRE 2026'!N6:N110),0)</f>
        <v/>
      </c>
    </row>
    <row r="1320" ht="15" customHeight="1" s="195">
      <c r="A1320" s="194" t="inlineStr">
        <is>
          <t>LEYMEBAMBA</t>
        </is>
      </c>
      <c r="B1320" s="194" t="inlineStr">
        <is>
          <t>NOVIEMBRE 2026</t>
        </is>
      </c>
      <c r="C1320" s="377">
        <f>IFERROR(SUMPRODUCT((IF('NOVIEMBRE 2026'!Y6:Y110&lt;&gt;"",'NOVIEMBRE 2026'!Y6:Y110,'NOVIEMBRE 2026'!I6:I110)="LEYMEBAMBA")*('NOVIEMBRE 2026'!K6:K110="PETROLEO")*'NOVIEMBRE 2026'!M6:M110),0)</f>
        <v/>
      </c>
      <c r="D1320" s="377">
        <f>IFERROR(SUMPRODUCT((IF('NOVIEMBRE 2026'!Y6:Y110&lt;&gt;"",'NOVIEMBRE 2026'!Y6:Y110,'NOVIEMBRE 2026'!I6:I110)="LEYMEBAMBA")*('NOVIEMBRE 2026'!K6:K110="PETROLEO")*'NOVIEMBRE 2026'!N6:N110),0)</f>
        <v/>
      </c>
      <c r="E1320" s="377">
        <f>IFERROR(SUMPRODUCT((IF('NOVIEMBRE 2026'!Y6:Y110&lt;&gt;"",'NOVIEMBRE 2026'!Y6:Y110,'NOVIEMBRE 2026'!I6:I110)="LEYMEBAMBA")*('NOVIEMBRE 2026'!K6:K110="GASOLINA")*'NOVIEMBRE 2026'!M6:M110),0)</f>
        <v/>
      </c>
      <c r="F1320" s="377">
        <f>IFERROR(SUMPRODUCT((IF('NOVIEMBRE 2026'!Y6:Y110&lt;&gt;"",'NOVIEMBRE 2026'!Y6:Y110,'NOVIEMBRE 2026'!I6:I110)="LEYMEBAMBA")*('NOVIEMBRE 2026'!K6:K110="GASOLINA")*'NOVIEMBRE 2026'!N6:N110),0)</f>
        <v/>
      </c>
    </row>
    <row r="1321" ht="15" customHeight="1" s="195">
      <c r="A1321" s="194" t="inlineStr">
        <is>
          <t>LEYMEBAMBA</t>
        </is>
      </c>
      <c r="B1321" s="194" t="inlineStr">
        <is>
          <t>DICIEMBRE 2026</t>
        </is>
      </c>
      <c r="C1321" s="377">
        <f>IFERROR(SUMPRODUCT((IF('DICIEMBRE 2026'!Y6:Y110&lt;&gt;"",'DICIEMBRE 2026'!Y6:Y110,'DICIEMBRE 2026'!I6:I110)="LEYMEBAMBA")*('DICIEMBRE 2026'!K6:K110="PETROLEO")*'DICIEMBRE 2026'!M6:M110),0)</f>
        <v/>
      </c>
      <c r="D1321" s="377">
        <f>IFERROR(SUMPRODUCT((IF('DICIEMBRE 2026'!Y6:Y110&lt;&gt;"",'DICIEMBRE 2026'!Y6:Y110,'DICIEMBRE 2026'!I6:I110)="LEYMEBAMBA")*('DICIEMBRE 2026'!K6:K110="PETROLEO")*'DICIEMBRE 2026'!N6:N110),0)</f>
        <v/>
      </c>
      <c r="E1321" s="377">
        <f>IFERROR(SUMPRODUCT((IF('DICIEMBRE 2026'!Y6:Y110&lt;&gt;"",'DICIEMBRE 2026'!Y6:Y110,'DICIEMBRE 2026'!I6:I110)="LEYMEBAMBA")*('DICIEMBRE 2026'!K6:K110="GASOLINA")*'DICIEMBRE 2026'!M6:M110),0)</f>
        <v/>
      </c>
      <c r="F1321" s="377">
        <f>IFERROR(SUMPRODUCT((IF('DICIEMBRE 2026'!Y6:Y110&lt;&gt;"",'DICIEMBRE 2026'!Y6:Y110,'DICIEMBRE 2026'!I6:I110)="LEYMEBAMBA")*('DICIEMBRE 2026'!K6:K110="GASOLINA")*'DICIEMBRE 2026'!N6:N110),0)</f>
        <v/>
      </c>
    </row>
    <row r="1322" ht="15" customHeight="1" s="195">
      <c r="A1322" s="194" t="inlineStr">
        <is>
          <t>LUYA</t>
        </is>
      </c>
      <c r="B1322" s="194" t="inlineStr">
        <is>
          <t>ENERO 2026</t>
        </is>
      </c>
      <c r="C1322" s="377">
        <f>IFERROR(SUMPRODUCT((IF('ENERO 2026'!Y6:Y119&lt;&gt;"",'ENERO 2026'!Y6:Y119,'ENERO 2026'!I6:I119)="LUYA")*('ENERO 2026'!K6:K119="PETROLEO")*'ENERO 2026'!M6:M119),0)</f>
        <v/>
      </c>
      <c r="D1322" s="377">
        <f>IFERROR(SUMPRODUCT((IF('ENERO 2026'!Y6:Y119&lt;&gt;"",'ENERO 2026'!Y6:Y119,'ENERO 2026'!I6:I119)="LUYA")*('ENERO 2026'!K6:K119="PETROLEO")*'ENERO 2026'!N6:N119),0)</f>
        <v/>
      </c>
      <c r="E1322" s="377">
        <f>IFERROR(SUMPRODUCT((IF('ENERO 2026'!Y6:Y119&lt;&gt;"",'ENERO 2026'!Y6:Y119,'ENERO 2026'!I6:I119)="LUYA")*('ENERO 2026'!K6:K119="GASOLINA")*'ENERO 2026'!M6:M119),0)</f>
        <v/>
      </c>
      <c r="F1322" s="377">
        <f>IFERROR(SUMPRODUCT((IF('ENERO 2026'!Y6:Y119&lt;&gt;"",'ENERO 2026'!Y6:Y119,'ENERO 2026'!I6:I119)="LUYA")*('ENERO 2026'!K6:K119="GASOLINA")*'ENERO 2026'!N6:N119),0)</f>
        <v/>
      </c>
    </row>
    <row r="1323" ht="15" customHeight="1" s="195">
      <c r="A1323" s="194" t="inlineStr">
        <is>
          <t>LUYA</t>
        </is>
      </c>
      <c r="B1323" s="194" t="inlineStr">
        <is>
          <t>FEBRERO 2026</t>
        </is>
      </c>
      <c r="C1323" s="377">
        <f>IFERROR(SUMPRODUCT((IF('FEBRERO 2026'!Y6:Y124&lt;&gt;"",'FEBRERO 2026'!Y6:Y124,'FEBRERO 2026'!I6:I124)="LUYA")*('FEBRERO 2026'!K6:K124="PETROLEO")*'FEBRERO 2026'!M6:M124),0)</f>
        <v/>
      </c>
      <c r="D1323" s="377">
        <f>IFERROR(SUMPRODUCT((IF('FEBRERO 2026'!Y6:Y124&lt;&gt;"",'FEBRERO 2026'!Y6:Y124,'FEBRERO 2026'!I6:I124)="LUYA")*('FEBRERO 2026'!K6:K124="PETROLEO")*'FEBRERO 2026'!N6:N124),0)</f>
        <v/>
      </c>
      <c r="E1323" s="377">
        <f>IFERROR(SUMPRODUCT((IF('FEBRERO 2026'!Y6:Y124&lt;&gt;"",'FEBRERO 2026'!Y6:Y124,'FEBRERO 2026'!I6:I124)="LUYA")*('FEBRERO 2026'!K6:K124="GASOLINA")*'FEBRERO 2026'!M6:M124),0)</f>
        <v/>
      </c>
      <c r="F1323" s="377">
        <f>IFERROR(SUMPRODUCT((IF('FEBRERO 2026'!Y6:Y124&lt;&gt;"",'FEBRERO 2026'!Y6:Y124,'FEBRERO 2026'!I6:I124)="LUYA")*('FEBRERO 2026'!K6:K124="GASOLINA")*'FEBRERO 2026'!N6:N124),0)</f>
        <v/>
      </c>
    </row>
    <row r="1324" ht="15" customHeight="1" s="195">
      <c r="A1324" s="194" t="inlineStr">
        <is>
          <t>LUYA</t>
        </is>
      </c>
      <c r="B1324" s="194" t="inlineStr">
        <is>
          <t>MARZO 2026</t>
        </is>
      </c>
      <c r="C1324" s="377">
        <f>IFERROR(SUMPRODUCT((IF('MARZO 2026'!Y6:Y119&lt;&gt;"",'MARZO 2026'!Y6:Y119,'MARZO 2026'!I6:I119)="LUYA")*('MARZO 2026'!K6:K119="PETROLEO")*'MARZO 2026'!M6:M119),0)</f>
        <v/>
      </c>
      <c r="D1324" s="377">
        <f>IFERROR(SUMPRODUCT((IF('MARZO 2026'!Y6:Y119&lt;&gt;"",'MARZO 2026'!Y6:Y119,'MARZO 2026'!I6:I119)="LUYA")*('MARZO 2026'!K6:K119="PETROLEO")*'MARZO 2026'!N6:N119),0)</f>
        <v/>
      </c>
      <c r="E1324" s="377">
        <f>IFERROR(SUMPRODUCT((IF('MARZO 2026'!Y6:Y119&lt;&gt;"",'MARZO 2026'!Y6:Y119,'MARZO 2026'!I6:I119)="LUYA")*('MARZO 2026'!K6:K119="GASOLINA")*'MARZO 2026'!M6:M119),0)</f>
        <v/>
      </c>
      <c r="F1324" s="377">
        <f>IFERROR(SUMPRODUCT((IF('MARZO 2026'!Y6:Y119&lt;&gt;"",'MARZO 2026'!Y6:Y119,'MARZO 2026'!I6:I119)="LUYA")*('MARZO 2026'!K6:K119="GASOLINA")*'MARZO 2026'!N6:N119),0)</f>
        <v/>
      </c>
    </row>
    <row r="1325" ht="15" customHeight="1" s="195">
      <c r="A1325" s="194" t="inlineStr">
        <is>
          <t>LUYA</t>
        </is>
      </c>
      <c r="B1325" s="194" t="inlineStr">
        <is>
          <t>ABRIL 2026</t>
        </is>
      </c>
      <c r="C1325" s="377">
        <f>IFERROR(SUMPRODUCT((IF('ABRIL 2026'!Y6:Y119&lt;&gt;"",'ABRIL 2026'!Y6:Y119,'ABRIL 2026'!I6:I119)="LUYA")*('ABRIL 2026'!K6:K119="PETROLEO")*'ABRIL 2026'!M6:M119),0)</f>
        <v/>
      </c>
      <c r="D1325" s="377">
        <f>IFERROR(SUMPRODUCT((IF('ABRIL 2026'!Y6:Y119&lt;&gt;"",'ABRIL 2026'!Y6:Y119,'ABRIL 2026'!I6:I119)="LUYA")*('ABRIL 2026'!K6:K119="PETROLEO")*'ABRIL 2026'!N6:N119),0)</f>
        <v/>
      </c>
      <c r="E1325" s="377">
        <f>IFERROR(SUMPRODUCT((IF('ABRIL 2026'!Y6:Y119&lt;&gt;"",'ABRIL 2026'!Y6:Y119,'ABRIL 2026'!I6:I119)="LUYA")*('ABRIL 2026'!K6:K119="GASOLINA")*'ABRIL 2026'!M6:M119),0)</f>
        <v/>
      </c>
      <c r="F1325" s="377">
        <f>IFERROR(SUMPRODUCT((IF('ABRIL 2026'!Y6:Y119&lt;&gt;"",'ABRIL 2026'!Y6:Y119,'ABRIL 2026'!I6:I119)="LUYA")*('ABRIL 2026'!K6:K119="GASOLINA")*'ABRIL 2026'!N6:N119),0)</f>
        <v/>
      </c>
    </row>
    <row r="1326" ht="15" customHeight="1" s="195">
      <c r="A1326" s="194" t="inlineStr">
        <is>
          <t>LUYA</t>
        </is>
      </c>
      <c r="B1326" s="194" t="inlineStr">
        <is>
          <t>MAYO 2026</t>
        </is>
      </c>
      <c r="C1326" s="377">
        <f>IFERROR(SUMPRODUCT((IF('MAYO 2026'!Y6:Y110&lt;&gt;"",'MAYO 2026'!Y6:Y110,'MAYO 2026'!I6:I110)="LUYA")*('MAYO 2026'!K6:K110="PETROLEO")*'MAYO 2026'!M6:M110),0)</f>
        <v/>
      </c>
      <c r="D1326" s="377">
        <f>IFERROR(SUMPRODUCT((IF('MAYO 2026'!Y6:Y110&lt;&gt;"",'MAYO 2026'!Y6:Y110,'MAYO 2026'!I6:I110)="LUYA")*('MAYO 2026'!K6:K110="PETROLEO")*'MAYO 2026'!N6:N110),0)</f>
        <v/>
      </c>
      <c r="E1326" s="377">
        <f>IFERROR(SUMPRODUCT((IF('MAYO 2026'!Y6:Y110&lt;&gt;"",'MAYO 2026'!Y6:Y110,'MAYO 2026'!I6:I110)="LUYA")*('MAYO 2026'!K6:K110="GASOLINA")*'MAYO 2026'!M6:M110),0)</f>
        <v/>
      </c>
      <c r="F1326" s="377">
        <f>IFERROR(SUMPRODUCT((IF('MAYO 2026'!Y6:Y110&lt;&gt;"",'MAYO 2026'!Y6:Y110,'MAYO 2026'!I6:I110)="LUYA")*('MAYO 2026'!K6:K110="GASOLINA")*'MAYO 2026'!N6:N110),0)</f>
        <v/>
      </c>
    </row>
    <row r="1327" ht="15" customHeight="1" s="195">
      <c r="A1327" s="194" t="inlineStr">
        <is>
          <t>LUYA</t>
        </is>
      </c>
      <c r="B1327" s="194" t="inlineStr">
        <is>
          <t>JUNIO 2026</t>
        </is>
      </c>
      <c r="C1327" s="377">
        <f>IFERROR(SUMPRODUCT((IF('JUNIO 2026'!Y6:Y110&lt;&gt;"",'JUNIO 2026'!Y6:Y110,'JUNIO 2026'!I6:I110)="LUYA")*('JUNIO 2026'!K6:K110="PETROLEO")*'JUNIO 2026'!M6:M110),0)</f>
        <v/>
      </c>
      <c r="D1327" s="377">
        <f>IFERROR(SUMPRODUCT((IF('JUNIO 2026'!Y6:Y110&lt;&gt;"",'JUNIO 2026'!Y6:Y110,'JUNIO 2026'!I6:I110)="LUYA")*('JUNIO 2026'!K6:K110="PETROLEO")*'JUNIO 2026'!N6:N110),0)</f>
        <v/>
      </c>
      <c r="E1327" s="377">
        <f>IFERROR(SUMPRODUCT((IF('JUNIO 2026'!Y6:Y110&lt;&gt;"",'JUNIO 2026'!Y6:Y110,'JUNIO 2026'!I6:I110)="LUYA")*('JUNIO 2026'!K6:K110="GASOLINA")*'JUNIO 2026'!M6:M110),0)</f>
        <v/>
      </c>
      <c r="F1327" s="377">
        <f>IFERROR(SUMPRODUCT((IF('JUNIO 2026'!Y6:Y110&lt;&gt;"",'JUNIO 2026'!Y6:Y110,'JUNIO 2026'!I6:I110)="LUYA")*('JUNIO 2026'!K6:K110="GASOLINA")*'JUNIO 2026'!N6:N110),0)</f>
        <v/>
      </c>
    </row>
    <row r="1328" ht="15" customHeight="1" s="195">
      <c r="A1328" s="194" t="inlineStr">
        <is>
          <t>LUYA</t>
        </is>
      </c>
      <c r="B1328" s="194" t="inlineStr">
        <is>
          <t>JULIO 2026</t>
        </is>
      </c>
      <c r="C1328" s="377">
        <f>IFERROR(SUMPRODUCT((IF('JULIO 2026'!Y6:Y110&lt;&gt;"",'JULIO 2026'!Y6:Y110,'JULIO 2026'!I6:I110)="LUYA")*('JULIO 2026'!K6:K110="PETROLEO")*'JULIO 2026'!M6:M110),0)</f>
        <v/>
      </c>
      <c r="D1328" s="377">
        <f>IFERROR(SUMPRODUCT((IF('JULIO 2026'!Y6:Y110&lt;&gt;"",'JULIO 2026'!Y6:Y110,'JULIO 2026'!I6:I110)="LUYA")*('JULIO 2026'!K6:K110="PETROLEO")*'JULIO 2026'!N6:N110),0)</f>
        <v/>
      </c>
      <c r="E1328" s="377">
        <f>IFERROR(SUMPRODUCT((IF('JULIO 2026'!Y6:Y110&lt;&gt;"",'JULIO 2026'!Y6:Y110,'JULIO 2026'!I6:I110)="LUYA")*('JULIO 2026'!K6:K110="GASOLINA")*'JULIO 2026'!M6:M110),0)</f>
        <v/>
      </c>
      <c r="F1328" s="377">
        <f>IFERROR(SUMPRODUCT((IF('JULIO 2026'!Y6:Y110&lt;&gt;"",'JULIO 2026'!Y6:Y110,'JULIO 2026'!I6:I110)="LUYA")*('JULIO 2026'!K6:K110="GASOLINA")*'JULIO 2026'!N6:N110),0)</f>
        <v/>
      </c>
    </row>
    <row r="1329" ht="15" customHeight="1" s="195">
      <c r="A1329" s="194" t="inlineStr">
        <is>
          <t>LUYA</t>
        </is>
      </c>
      <c r="B1329" s="194" t="inlineStr">
        <is>
          <t>AGOSTO 2026</t>
        </is>
      </c>
      <c r="C1329" s="377">
        <f>IFERROR(SUMPRODUCT((IF('AGOSTO 2026'!Y6:Y110&lt;&gt;"",'AGOSTO 2026'!Y6:Y110,'AGOSTO 2026'!I6:I110)="LUYA")*('AGOSTO 2026'!K6:K110="PETROLEO")*'AGOSTO 2026'!M6:M110),0)</f>
        <v/>
      </c>
      <c r="D1329" s="377">
        <f>IFERROR(SUMPRODUCT((IF('AGOSTO 2026'!Y6:Y110&lt;&gt;"",'AGOSTO 2026'!Y6:Y110,'AGOSTO 2026'!I6:I110)="LUYA")*('AGOSTO 2026'!K6:K110="PETROLEO")*'AGOSTO 2026'!N6:N110),0)</f>
        <v/>
      </c>
      <c r="E1329" s="377">
        <f>IFERROR(SUMPRODUCT((IF('AGOSTO 2026'!Y6:Y110&lt;&gt;"",'AGOSTO 2026'!Y6:Y110,'AGOSTO 2026'!I6:I110)="LUYA")*('AGOSTO 2026'!K6:K110="GASOLINA")*'AGOSTO 2026'!M6:M110),0)</f>
        <v/>
      </c>
      <c r="F1329" s="377">
        <f>IFERROR(SUMPRODUCT((IF('AGOSTO 2026'!Y6:Y110&lt;&gt;"",'AGOSTO 2026'!Y6:Y110,'AGOSTO 2026'!I6:I110)="LUYA")*('AGOSTO 2026'!K6:K110="GASOLINA")*'AGOSTO 2026'!N6:N110),0)</f>
        <v/>
      </c>
    </row>
    <row r="1330" ht="15" customHeight="1" s="195">
      <c r="A1330" s="194" t="inlineStr">
        <is>
          <t>LUYA</t>
        </is>
      </c>
      <c r="B1330" s="194" t="inlineStr">
        <is>
          <t>SETIEMBRE 2026</t>
        </is>
      </c>
      <c r="C1330" s="377">
        <f>IFERROR(SUMPRODUCT((IF('SETIEMBRE 2026'!Y6:Y110&lt;&gt;"",'SETIEMBRE 2026'!Y6:Y110,'SETIEMBRE 2026'!I6:I110)="LUYA")*('SETIEMBRE 2026'!K6:K110="PETROLEO")*'SETIEMBRE 2026'!M6:M110),0)</f>
        <v/>
      </c>
      <c r="D1330" s="377">
        <f>IFERROR(SUMPRODUCT((IF('SETIEMBRE 2026'!Y6:Y110&lt;&gt;"",'SETIEMBRE 2026'!Y6:Y110,'SETIEMBRE 2026'!I6:I110)="LUYA")*('SETIEMBRE 2026'!K6:K110="PETROLEO")*'SETIEMBRE 2026'!N6:N110),0)</f>
        <v/>
      </c>
      <c r="E1330" s="377">
        <f>IFERROR(SUMPRODUCT((IF('SETIEMBRE 2026'!Y6:Y110&lt;&gt;"",'SETIEMBRE 2026'!Y6:Y110,'SETIEMBRE 2026'!I6:I110)="LUYA")*('SETIEMBRE 2026'!K6:K110="GASOLINA")*'SETIEMBRE 2026'!M6:M110),0)</f>
        <v/>
      </c>
      <c r="F1330" s="377">
        <f>IFERROR(SUMPRODUCT((IF('SETIEMBRE 2026'!Y6:Y110&lt;&gt;"",'SETIEMBRE 2026'!Y6:Y110,'SETIEMBRE 2026'!I6:I110)="LUYA")*('SETIEMBRE 2026'!K6:K110="GASOLINA")*'SETIEMBRE 2026'!N6:N110),0)</f>
        <v/>
      </c>
    </row>
    <row r="1331" ht="15" customHeight="1" s="195">
      <c r="A1331" s="194" t="inlineStr">
        <is>
          <t>LUYA</t>
        </is>
      </c>
      <c r="B1331" s="194" t="inlineStr">
        <is>
          <t>OCTUBRE 2026</t>
        </is>
      </c>
      <c r="C1331" s="377">
        <f>IFERROR(SUMPRODUCT((IF('OCTUBRE 2026'!Y6:Y110&lt;&gt;"",'OCTUBRE 2026'!Y6:Y110,'OCTUBRE 2026'!I6:I110)="LUYA")*('OCTUBRE 2026'!K6:K110="PETROLEO")*'OCTUBRE 2026'!M6:M110),0)</f>
        <v/>
      </c>
      <c r="D1331" s="377">
        <f>IFERROR(SUMPRODUCT((IF('OCTUBRE 2026'!Y6:Y110&lt;&gt;"",'OCTUBRE 2026'!Y6:Y110,'OCTUBRE 2026'!I6:I110)="LUYA")*('OCTUBRE 2026'!K6:K110="PETROLEO")*'OCTUBRE 2026'!N6:N110),0)</f>
        <v/>
      </c>
      <c r="E1331" s="377">
        <f>IFERROR(SUMPRODUCT((IF('OCTUBRE 2026'!Y6:Y110&lt;&gt;"",'OCTUBRE 2026'!Y6:Y110,'OCTUBRE 2026'!I6:I110)="LUYA")*('OCTUBRE 2026'!K6:K110="GASOLINA")*'OCTUBRE 2026'!M6:M110),0)</f>
        <v/>
      </c>
      <c r="F1331" s="377">
        <f>IFERROR(SUMPRODUCT((IF('OCTUBRE 2026'!Y6:Y110&lt;&gt;"",'OCTUBRE 2026'!Y6:Y110,'OCTUBRE 2026'!I6:I110)="LUYA")*('OCTUBRE 2026'!K6:K110="GASOLINA")*'OCTUBRE 2026'!N6:N110),0)</f>
        <v/>
      </c>
    </row>
    <row r="1332" ht="15" customHeight="1" s="195">
      <c r="A1332" s="194" t="inlineStr">
        <is>
          <t>LUYA</t>
        </is>
      </c>
      <c r="B1332" s="194" t="inlineStr">
        <is>
          <t>NOVIEMBRE 2026</t>
        </is>
      </c>
      <c r="C1332" s="377">
        <f>IFERROR(SUMPRODUCT((IF('NOVIEMBRE 2026'!Y6:Y110&lt;&gt;"",'NOVIEMBRE 2026'!Y6:Y110,'NOVIEMBRE 2026'!I6:I110)="LUYA")*('NOVIEMBRE 2026'!K6:K110="PETROLEO")*'NOVIEMBRE 2026'!M6:M110),0)</f>
        <v/>
      </c>
      <c r="D1332" s="377">
        <f>IFERROR(SUMPRODUCT((IF('NOVIEMBRE 2026'!Y6:Y110&lt;&gt;"",'NOVIEMBRE 2026'!Y6:Y110,'NOVIEMBRE 2026'!I6:I110)="LUYA")*('NOVIEMBRE 2026'!K6:K110="PETROLEO")*'NOVIEMBRE 2026'!N6:N110),0)</f>
        <v/>
      </c>
      <c r="E1332" s="377">
        <f>IFERROR(SUMPRODUCT((IF('NOVIEMBRE 2026'!Y6:Y110&lt;&gt;"",'NOVIEMBRE 2026'!Y6:Y110,'NOVIEMBRE 2026'!I6:I110)="LUYA")*('NOVIEMBRE 2026'!K6:K110="GASOLINA")*'NOVIEMBRE 2026'!M6:M110),0)</f>
        <v/>
      </c>
      <c r="F1332" s="377">
        <f>IFERROR(SUMPRODUCT((IF('NOVIEMBRE 2026'!Y6:Y110&lt;&gt;"",'NOVIEMBRE 2026'!Y6:Y110,'NOVIEMBRE 2026'!I6:I110)="LUYA")*('NOVIEMBRE 2026'!K6:K110="GASOLINA")*'NOVIEMBRE 2026'!N6:N110),0)</f>
        <v/>
      </c>
    </row>
    <row r="1333" ht="15" customHeight="1" s="195">
      <c r="A1333" s="194" t="inlineStr">
        <is>
          <t>LUYA</t>
        </is>
      </c>
      <c r="B1333" s="194" t="inlineStr">
        <is>
          <t>DICIEMBRE 2026</t>
        </is>
      </c>
      <c r="C1333" s="377">
        <f>IFERROR(SUMPRODUCT((IF('DICIEMBRE 2026'!Y6:Y110&lt;&gt;"",'DICIEMBRE 2026'!Y6:Y110,'DICIEMBRE 2026'!I6:I110)="LUYA")*('DICIEMBRE 2026'!K6:K110="PETROLEO")*'DICIEMBRE 2026'!M6:M110),0)</f>
        <v/>
      </c>
      <c r="D1333" s="377">
        <f>IFERROR(SUMPRODUCT((IF('DICIEMBRE 2026'!Y6:Y110&lt;&gt;"",'DICIEMBRE 2026'!Y6:Y110,'DICIEMBRE 2026'!I6:I110)="LUYA")*('DICIEMBRE 2026'!K6:K110="PETROLEO")*'DICIEMBRE 2026'!N6:N110),0)</f>
        <v/>
      </c>
      <c r="E1333" s="377">
        <f>IFERROR(SUMPRODUCT((IF('DICIEMBRE 2026'!Y6:Y110&lt;&gt;"",'DICIEMBRE 2026'!Y6:Y110,'DICIEMBRE 2026'!I6:I110)="LUYA")*('DICIEMBRE 2026'!K6:K110="GASOLINA")*'DICIEMBRE 2026'!M6:M110),0)</f>
        <v/>
      </c>
      <c r="F1333" s="377">
        <f>IFERROR(SUMPRODUCT((IF('DICIEMBRE 2026'!Y6:Y110&lt;&gt;"",'DICIEMBRE 2026'!Y6:Y110,'DICIEMBRE 2026'!I6:I110)="LUYA")*('DICIEMBRE 2026'!K6:K110="GASOLINA")*'DICIEMBRE 2026'!N6:N110),0)</f>
        <v/>
      </c>
    </row>
    <row r="1334" ht="15" customHeight="1" s="195">
      <c r="A1334" s="194" t="inlineStr">
        <is>
          <t>MARIA</t>
        </is>
      </c>
      <c r="B1334" s="194" t="inlineStr">
        <is>
          <t>ENERO 2026</t>
        </is>
      </c>
      <c r="C1334" s="377">
        <f>IFERROR(SUMPRODUCT((IF('ENERO 2026'!Y6:Y119&lt;&gt;"",'ENERO 2026'!Y6:Y119,'ENERO 2026'!I6:I119)="MARIA")*('ENERO 2026'!K6:K119="PETROLEO")*'ENERO 2026'!M6:M119),0)</f>
        <v/>
      </c>
      <c r="D1334" s="377">
        <f>IFERROR(SUMPRODUCT((IF('ENERO 2026'!Y6:Y119&lt;&gt;"",'ENERO 2026'!Y6:Y119,'ENERO 2026'!I6:I119)="MARIA")*('ENERO 2026'!K6:K119="PETROLEO")*'ENERO 2026'!N6:N119),0)</f>
        <v/>
      </c>
      <c r="E1334" s="377">
        <f>IFERROR(SUMPRODUCT((IF('ENERO 2026'!Y6:Y119&lt;&gt;"",'ENERO 2026'!Y6:Y119,'ENERO 2026'!I6:I119)="MARIA")*('ENERO 2026'!K6:K119="GASOLINA")*'ENERO 2026'!M6:M119),0)</f>
        <v/>
      </c>
      <c r="F1334" s="377">
        <f>IFERROR(SUMPRODUCT((IF('ENERO 2026'!Y6:Y119&lt;&gt;"",'ENERO 2026'!Y6:Y119,'ENERO 2026'!I6:I119)="MARIA")*('ENERO 2026'!K6:K119="GASOLINA")*'ENERO 2026'!N6:N119),0)</f>
        <v/>
      </c>
    </row>
    <row r="1335" ht="15" customHeight="1" s="195">
      <c r="A1335" s="194" t="inlineStr">
        <is>
          <t>MARIA</t>
        </is>
      </c>
      <c r="B1335" s="194" t="inlineStr">
        <is>
          <t>FEBRERO 2026</t>
        </is>
      </c>
      <c r="C1335" s="377">
        <f>IFERROR(SUMPRODUCT((IF('FEBRERO 2026'!Y6:Y124&lt;&gt;"",'FEBRERO 2026'!Y6:Y124,'FEBRERO 2026'!I6:I124)="MARIA")*('FEBRERO 2026'!K6:K124="PETROLEO")*'FEBRERO 2026'!M6:M124),0)</f>
        <v/>
      </c>
      <c r="D1335" s="377">
        <f>IFERROR(SUMPRODUCT((IF('FEBRERO 2026'!Y6:Y124&lt;&gt;"",'FEBRERO 2026'!Y6:Y124,'FEBRERO 2026'!I6:I124)="MARIA")*('FEBRERO 2026'!K6:K124="PETROLEO")*'FEBRERO 2026'!N6:N124),0)</f>
        <v/>
      </c>
      <c r="E1335" s="377">
        <f>IFERROR(SUMPRODUCT((IF('FEBRERO 2026'!Y6:Y124&lt;&gt;"",'FEBRERO 2026'!Y6:Y124,'FEBRERO 2026'!I6:I124)="MARIA")*('FEBRERO 2026'!K6:K124="GASOLINA")*'FEBRERO 2026'!M6:M124),0)</f>
        <v/>
      </c>
      <c r="F1335" s="377">
        <f>IFERROR(SUMPRODUCT((IF('FEBRERO 2026'!Y6:Y124&lt;&gt;"",'FEBRERO 2026'!Y6:Y124,'FEBRERO 2026'!I6:I124)="MARIA")*('FEBRERO 2026'!K6:K124="GASOLINA")*'FEBRERO 2026'!N6:N124),0)</f>
        <v/>
      </c>
    </row>
    <row r="1336" ht="15" customHeight="1" s="195">
      <c r="A1336" s="194" t="inlineStr">
        <is>
          <t>MARIA</t>
        </is>
      </c>
      <c r="B1336" s="194" t="inlineStr">
        <is>
          <t>MARZO 2026</t>
        </is>
      </c>
      <c r="C1336" s="377">
        <f>IFERROR(SUMPRODUCT((IF('MARZO 2026'!Y6:Y119&lt;&gt;"",'MARZO 2026'!Y6:Y119,'MARZO 2026'!I6:I119)="MARIA")*('MARZO 2026'!K6:K119="PETROLEO")*'MARZO 2026'!M6:M119),0)</f>
        <v/>
      </c>
      <c r="D1336" s="377">
        <f>IFERROR(SUMPRODUCT((IF('MARZO 2026'!Y6:Y119&lt;&gt;"",'MARZO 2026'!Y6:Y119,'MARZO 2026'!I6:I119)="MARIA")*('MARZO 2026'!K6:K119="PETROLEO")*'MARZO 2026'!N6:N119),0)</f>
        <v/>
      </c>
      <c r="E1336" s="377">
        <f>IFERROR(SUMPRODUCT((IF('MARZO 2026'!Y6:Y119&lt;&gt;"",'MARZO 2026'!Y6:Y119,'MARZO 2026'!I6:I119)="MARIA")*('MARZO 2026'!K6:K119="GASOLINA")*'MARZO 2026'!M6:M119),0)</f>
        <v/>
      </c>
      <c r="F1336" s="377">
        <f>IFERROR(SUMPRODUCT((IF('MARZO 2026'!Y6:Y119&lt;&gt;"",'MARZO 2026'!Y6:Y119,'MARZO 2026'!I6:I119)="MARIA")*('MARZO 2026'!K6:K119="GASOLINA")*'MARZO 2026'!N6:N119),0)</f>
        <v/>
      </c>
    </row>
    <row r="1337" ht="15" customHeight="1" s="195">
      <c r="A1337" s="194" t="inlineStr">
        <is>
          <t>MARIA</t>
        </is>
      </c>
      <c r="B1337" s="194" t="inlineStr">
        <is>
          <t>ABRIL 2026</t>
        </is>
      </c>
      <c r="C1337" s="377">
        <f>IFERROR(SUMPRODUCT((IF('ABRIL 2026'!Y6:Y119&lt;&gt;"",'ABRIL 2026'!Y6:Y119,'ABRIL 2026'!I6:I119)="MARIA")*('ABRIL 2026'!K6:K119="PETROLEO")*'ABRIL 2026'!M6:M119),0)</f>
        <v/>
      </c>
      <c r="D1337" s="377">
        <f>IFERROR(SUMPRODUCT((IF('ABRIL 2026'!Y6:Y119&lt;&gt;"",'ABRIL 2026'!Y6:Y119,'ABRIL 2026'!I6:I119)="MARIA")*('ABRIL 2026'!K6:K119="PETROLEO")*'ABRIL 2026'!N6:N119),0)</f>
        <v/>
      </c>
      <c r="E1337" s="377">
        <f>IFERROR(SUMPRODUCT((IF('ABRIL 2026'!Y6:Y119&lt;&gt;"",'ABRIL 2026'!Y6:Y119,'ABRIL 2026'!I6:I119)="MARIA")*('ABRIL 2026'!K6:K119="GASOLINA")*'ABRIL 2026'!M6:M119),0)</f>
        <v/>
      </c>
      <c r="F1337" s="377">
        <f>IFERROR(SUMPRODUCT((IF('ABRIL 2026'!Y6:Y119&lt;&gt;"",'ABRIL 2026'!Y6:Y119,'ABRIL 2026'!I6:I119)="MARIA")*('ABRIL 2026'!K6:K119="GASOLINA")*'ABRIL 2026'!N6:N119),0)</f>
        <v/>
      </c>
    </row>
    <row r="1338" ht="15" customHeight="1" s="195">
      <c r="A1338" s="194" t="inlineStr">
        <is>
          <t>MARIA</t>
        </is>
      </c>
      <c r="B1338" s="194" t="inlineStr">
        <is>
          <t>MAYO 2026</t>
        </is>
      </c>
      <c r="C1338" s="377">
        <f>IFERROR(SUMPRODUCT((IF('MAYO 2026'!Y6:Y110&lt;&gt;"",'MAYO 2026'!Y6:Y110,'MAYO 2026'!I6:I110)="MARIA")*('MAYO 2026'!K6:K110="PETROLEO")*'MAYO 2026'!M6:M110),0)</f>
        <v/>
      </c>
      <c r="D1338" s="377">
        <f>IFERROR(SUMPRODUCT((IF('MAYO 2026'!Y6:Y110&lt;&gt;"",'MAYO 2026'!Y6:Y110,'MAYO 2026'!I6:I110)="MARIA")*('MAYO 2026'!K6:K110="PETROLEO")*'MAYO 2026'!N6:N110),0)</f>
        <v/>
      </c>
      <c r="E1338" s="377">
        <f>IFERROR(SUMPRODUCT((IF('MAYO 2026'!Y6:Y110&lt;&gt;"",'MAYO 2026'!Y6:Y110,'MAYO 2026'!I6:I110)="MARIA")*('MAYO 2026'!K6:K110="GASOLINA")*'MAYO 2026'!M6:M110),0)</f>
        <v/>
      </c>
      <c r="F1338" s="377">
        <f>IFERROR(SUMPRODUCT((IF('MAYO 2026'!Y6:Y110&lt;&gt;"",'MAYO 2026'!Y6:Y110,'MAYO 2026'!I6:I110)="MARIA")*('MAYO 2026'!K6:K110="GASOLINA")*'MAYO 2026'!N6:N110),0)</f>
        <v/>
      </c>
    </row>
    <row r="1339" ht="15" customHeight="1" s="195">
      <c r="A1339" s="194" t="inlineStr">
        <is>
          <t>MARIA</t>
        </is>
      </c>
      <c r="B1339" s="194" t="inlineStr">
        <is>
          <t>JUNIO 2026</t>
        </is>
      </c>
      <c r="C1339" s="377">
        <f>IFERROR(SUMPRODUCT((IF('JUNIO 2026'!Y6:Y110&lt;&gt;"",'JUNIO 2026'!Y6:Y110,'JUNIO 2026'!I6:I110)="MARIA")*('JUNIO 2026'!K6:K110="PETROLEO")*'JUNIO 2026'!M6:M110),0)</f>
        <v/>
      </c>
      <c r="D1339" s="377">
        <f>IFERROR(SUMPRODUCT((IF('JUNIO 2026'!Y6:Y110&lt;&gt;"",'JUNIO 2026'!Y6:Y110,'JUNIO 2026'!I6:I110)="MARIA")*('JUNIO 2026'!K6:K110="PETROLEO")*'JUNIO 2026'!N6:N110),0)</f>
        <v/>
      </c>
      <c r="E1339" s="377">
        <f>IFERROR(SUMPRODUCT((IF('JUNIO 2026'!Y6:Y110&lt;&gt;"",'JUNIO 2026'!Y6:Y110,'JUNIO 2026'!I6:I110)="MARIA")*('JUNIO 2026'!K6:K110="GASOLINA")*'JUNIO 2026'!M6:M110),0)</f>
        <v/>
      </c>
      <c r="F1339" s="377">
        <f>IFERROR(SUMPRODUCT((IF('JUNIO 2026'!Y6:Y110&lt;&gt;"",'JUNIO 2026'!Y6:Y110,'JUNIO 2026'!I6:I110)="MARIA")*('JUNIO 2026'!K6:K110="GASOLINA")*'JUNIO 2026'!N6:N110),0)</f>
        <v/>
      </c>
    </row>
    <row r="1340" ht="15" customHeight="1" s="195">
      <c r="A1340" s="194" t="inlineStr">
        <is>
          <t>MARIA</t>
        </is>
      </c>
      <c r="B1340" s="194" t="inlineStr">
        <is>
          <t>JULIO 2026</t>
        </is>
      </c>
      <c r="C1340" s="377">
        <f>IFERROR(SUMPRODUCT((IF('JULIO 2026'!Y6:Y110&lt;&gt;"",'JULIO 2026'!Y6:Y110,'JULIO 2026'!I6:I110)="MARIA")*('JULIO 2026'!K6:K110="PETROLEO")*'JULIO 2026'!M6:M110),0)</f>
        <v/>
      </c>
      <c r="D1340" s="377">
        <f>IFERROR(SUMPRODUCT((IF('JULIO 2026'!Y6:Y110&lt;&gt;"",'JULIO 2026'!Y6:Y110,'JULIO 2026'!I6:I110)="MARIA")*('JULIO 2026'!K6:K110="PETROLEO")*'JULIO 2026'!N6:N110),0)</f>
        <v/>
      </c>
      <c r="E1340" s="377">
        <f>IFERROR(SUMPRODUCT((IF('JULIO 2026'!Y6:Y110&lt;&gt;"",'JULIO 2026'!Y6:Y110,'JULIO 2026'!I6:I110)="MARIA")*('JULIO 2026'!K6:K110="GASOLINA")*'JULIO 2026'!M6:M110),0)</f>
        <v/>
      </c>
      <c r="F1340" s="377">
        <f>IFERROR(SUMPRODUCT((IF('JULIO 2026'!Y6:Y110&lt;&gt;"",'JULIO 2026'!Y6:Y110,'JULIO 2026'!I6:I110)="MARIA")*('JULIO 2026'!K6:K110="GASOLINA")*'JULIO 2026'!N6:N110),0)</f>
        <v/>
      </c>
    </row>
    <row r="1341" ht="15" customHeight="1" s="195">
      <c r="A1341" s="194" t="inlineStr">
        <is>
          <t>MARIA</t>
        </is>
      </c>
      <c r="B1341" s="194" t="inlineStr">
        <is>
          <t>AGOSTO 2026</t>
        </is>
      </c>
      <c r="C1341" s="377">
        <f>IFERROR(SUMPRODUCT((IF('AGOSTO 2026'!Y6:Y110&lt;&gt;"",'AGOSTO 2026'!Y6:Y110,'AGOSTO 2026'!I6:I110)="MARIA")*('AGOSTO 2026'!K6:K110="PETROLEO")*'AGOSTO 2026'!M6:M110),0)</f>
        <v/>
      </c>
      <c r="D1341" s="377">
        <f>IFERROR(SUMPRODUCT((IF('AGOSTO 2026'!Y6:Y110&lt;&gt;"",'AGOSTO 2026'!Y6:Y110,'AGOSTO 2026'!I6:I110)="MARIA")*('AGOSTO 2026'!K6:K110="PETROLEO")*'AGOSTO 2026'!N6:N110),0)</f>
        <v/>
      </c>
      <c r="E1341" s="377">
        <f>IFERROR(SUMPRODUCT((IF('AGOSTO 2026'!Y6:Y110&lt;&gt;"",'AGOSTO 2026'!Y6:Y110,'AGOSTO 2026'!I6:I110)="MARIA")*('AGOSTO 2026'!K6:K110="GASOLINA")*'AGOSTO 2026'!M6:M110),0)</f>
        <v/>
      </c>
      <c r="F1341" s="377">
        <f>IFERROR(SUMPRODUCT((IF('AGOSTO 2026'!Y6:Y110&lt;&gt;"",'AGOSTO 2026'!Y6:Y110,'AGOSTO 2026'!I6:I110)="MARIA")*('AGOSTO 2026'!K6:K110="GASOLINA")*'AGOSTO 2026'!N6:N110),0)</f>
        <v/>
      </c>
    </row>
    <row r="1342" ht="15" customHeight="1" s="195">
      <c r="A1342" s="194" t="inlineStr">
        <is>
          <t>MARIA</t>
        </is>
      </c>
      <c r="B1342" s="194" t="inlineStr">
        <is>
          <t>SETIEMBRE 2026</t>
        </is>
      </c>
      <c r="C1342" s="377">
        <f>IFERROR(SUMPRODUCT((IF('SETIEMBRE 2026'!Y6:Y110&lt;&gt;"",'SETIEMBRE 2026'!Y6:Y110,'SETIEMBRE 2026'!I6:I110)="MARIA")*('SETIEMBRE 2026'!K6:K110="PETROLEO")*'SETIEMBRE 2026'!M6:M110),0)</f>
        <v/>
      </c>
      <c r="D1342" s="377">
        <f>IFERROR(SUMPRODUCT((IF('SETIEMBRE 2026'!Y6:Y110&lt;&gt;"",'SETIEMBRE 2026'!Y6:Y110,'SETIEMBRE 2026'!I6:I110)="MARIA")*('SETIEMBRE 2026'!K6:K110="PETROLEO")*'SETIEMBRE 2026'!N6:N110),0)</f>
        <v/>
      </c>
      <c r="E1342" s="377">
        <f>IFERROR(SUMPRODUCT((IF('SETIEMBRE 2026'!Y6:Y110&lt;&gt;"",'SETIEMBRE 2026'!Y6:Y110,'SETIEMBRE 2026'!I6:I110)="MARIA")*('SETIEMBRE 2026'!K6:K110="GASOLINA")*'SETIEMBRE 2026'!M6:M110),0)</f>
        <v/>
      </c>
      <c r="F1342" s="377">
        <f>IFERROR(SUMPRODUCT((IF('SETIEMBRE 2026'!Y6:Y110&lt;&gt;"",'SETIEMBRE 2026'!Y6:Y110,'SETIEMBRE 2026'!I6:I110)="MARIA")*('SETIEMBRE 2026'!K6:K110="GASOLINA")*'SETIEMBRE 2026'!N6:N110),0)</f>
        <v/>
      </c>
    </row>
    <row r="1343" ht="15" customHeight="1" s="195">
      <c r="A1343" s="194" t="inlineStr">
        <is>
          <t>MARIA</t>
        </is>
      </c>
      <c r="B1343" s="194" t="inlineStr">
        <is>
          <t>OCTUBRE 2026</t>
        </is>
      </c>
      <c r="C1343" s="377">
        <f>IFERROR(SUMPRODUCT((IF('OCTUBRE 2026'!Y6:Y110&lt;&gt;"",'OCTUBRE 2026'!Y6:Y110,'OCTUBRE 2026'!I6:I110)="MARIA")*('OCTUBRE 2026'!K6:K110="PETROLEO")*'OCTUBRE 2026'!M6:M110),0)</f>
        <v/>
      </c>
      <c r="D1343" s="377">
        <f>IFERROR(SUMPRODUCT((IF('OCTUBRE 2026'!Y6:Y110&lt;&gt;"",'OCTUBRE 2026'!Y6:Y110,'OCTUBRE 2026'!I6:I110)="MARIA")*('OCTUBRE 2026'!K6:K110="PETROLEO")*'OCTUBRE 2026'!N6:N110),0)</f>
        <v/>
      </c>
      <c r="E1343" s="377">
        <f>IFERROR(SUMPRODUCT((IF('OCTUBRE 2026'!Y6:Y110&lt;&gt;"",'OCTUBRE 2026'!Y6:Y110,'OCTUBRE 2026'!I6:I110)="MARIA")*('OCTUBRE 2026'!K6:K110="GASOLINA")*'OCTUBRE 2026'!M6:M110),0)</f>
        <v/>
      </c>
      <c r="F1343" s="377">
        <f>IFERROR(SUMPRODUCT((IF('OCTUBRE 2026'!Y6:Y110&lt;&gt;"",'OCTUBRE 2026'!Y6:Y110,'OCTUBRE 2026'!I6:I110)="MARIA")*('OCTUBRE 2026'!K6:K110="GASOLINA")*'OCTUBRE 2026'!N6:N110),0)</f>
        <v/>
      </c>
    </row>
    <row r="1344" ht="15" customHeight="1" s="195">
      <c r="A1344" s="194" t="inlineStr">
        <is>
          <t>MARIA</t>
        </is>
      </c>
      <c r="B1344" s="194" t="inlineStr">
        <is>
          <t>NOVIEMBRE 2026</t>
        </is>
      </c>
      <c r="C1344" s="377">
        <f>IFERROR(SUMPRODUCT((IF('NOVIEMBRE 2026'!Y6:Y110&lt;&gt;"",'NOVIEMBRE 2026'!Y6:Y110,'NOVIEMBRE 2026'!I6:I110)="MARIA")*('NOVIEMBRE 2026'!K6:K110="PETROLEO")*'NOVIEMBRE 2026'!M6:M110),0)</f>
        <v/>
      </c>
      <c r="D1344" s="377">
        <f>IFERROR(SUMPRODUCT((IF('NOVIEMBRE 2026'!Y6:Y110&lt;&gt;"",'NOVIEMBRE 2026'!Y6:Y110,'NOVIEMBRE 2026'!I6:I110)="MARIA")*('NOVIEMBRE 2026'!K6:K110="PETROLEO")*'NOVIEMBRE 2026'!N6:N110),0)</f>
        <v/>
      </c>
      <c r="E1344" s="377">
        <f>IFERROR(SUMPRODUCT((IF('NOVIEMBRE 2026'!Y6:Y110&lt;&gt;"",'NOVIEMBRE 2026'!Y6:Y110,'NOVIEMBRE 2026'!I6:I110)="MARIA")*('NOVIEMBRE 2026'!K6:K110="GASOLINA")*'NOVIEMBRE 2026'!M6:M110),0)</f>
        <v/>
      </c>
      <c r="F1344" s="377">
        <f>IFERROR(SUMPRODUCT((IF('NOVIEMBRE 2026'!Y6:Y110&lt;&gt;"",'NOVIEMBRE 2026'!Y6:Y110,'NOVIEMBRE 2026'!I6:I110)="MARIA")*('NOVIEMBRE 2026'!K6:K110="GASOLINA")*'NOVIEMBRE 2026'!N6:N110),0)</f>
        <v/>
      </c>
    </row>
    <row r="1345" ht="15" customHeight="1" s="195">
      <c r="A1345" s="194" t="inlineStr">
        <is>
          <t>MARIA</t>
        </is>
      </c>
      <c r="B1345" s="194" t="inlineStr">
        <is>
          <t>DICIEMBRE 2026</t>
        </is>
      </c>
      <c r="C1345" s="377">
        <f>IFERROR(SUMPRODUCT((IF('DICIEMBRE 2026'!Y6:Y110&lt;&gt;"",'DICIEMBRE 2026'!Y6:Y110,'DICIEMBRE 2026'!I6:I110)="MARIA")*('DICIEMBRE 2026'!K6:K110="PETROLEO")*'DICIEMBRE 2026'!M6:M110),0)</f>
        <v/>
      </c>
      <c r="D1345" s="377">
        <f>IFERROR(SUMPRODUCT((IF('DICIEMBRE 2026'!Y6:Y110&lt;&gt;"",'DICIEMBRE 2026'!Y6:Y110,'DICIEMBRE 2026'!I6:I110)="MARIA")*('DICIEMBRE 2026'!K6:K110="PETROLEO")*'DICIEMBRE 2026'!N6:N110),0)</f>
        <v/>
      </c>
      <c r="E1345" s="377">
        <f>IFERROR(SUMPRODUCT((IF('DICIEMBRE 2026'!Y6:Y110&lt;&gt;"",'DICIEMBRE 2026'!Y6:Y110,'DICIEMBRE 2026'!I6:I110)="MARIA")*('DICIEMBRE 2026'!K6:K110="GASOLINA")*'DICIEMBRE 2026'!M6:M110),0)</f>
        <v/>
      </c>
      <c r="F1345" s="377">
        <f>IFERROR(SUMPRODUCT((IF('DICIEMBRE 2026'!Y6:Y110&lt;&gt;"",'DICIEMBRE 2026'!Y6:Y110,'DICIEMBRE 2026'!I6:I110)="MARIA")*('DICIEMBRE 2026'!K6:K110="GASOLINA")*'DICIEMBRE 2026'!N6:N110),0)</f>
        <v/>
      </c>
    </row>
    <row r="1346" ht="15" customHeight="1" s="195">
      <c r="A1346" s="194" t="inlineStr">
        <is>
          <t>MARIA AUXILIADORA</t>
        </is>
      </c>
      <c r="B1346" s="194" t="inlineStr">
        <is>
          <t>ENERO 2026</t>
        </is>
      </c>
      <c r="C1346" s="377">
        <f>IFERROR(SUMPRODUCT((IF('ENERO 2026'!Y6:Y119&lt;&gt;"",'ENERO 2026'!Y6:Y119,'ENERO 2026'!I6:I119)="MARIA AUXILIADORA")*('ENERO 2026'!K6:K119="PETROLEO")*'ENERO 2026'!M6:M119),0)</f>
        <v/>
      </c>
      <c r="D1346" s="377">
        <f>IFERROR(SUMPRODUCT((IF('ENERO 2026'!Y6:Y119&lt;&gt;"",'ENERO 2026'!Y6:Y119,'ENERO 2026'!I6:I119)="MARIA AUXILIADORA")*('ENERO 2026'!K6:K119="PETROLEO")*'ENERO 2026'!N6:N119),0)</f>
        <v/>
      </c>
      <c r="E1346" s="377">
        <f>IFERROR(SUMPRODUCT((IF('ENERO 2026'!Y6:Y119&lt;&gt;"",'ENERO 2026'!Y6:Y119,'ENERO 2026'!I6:I119)="MARIA AUXILIADORA")*('ENERO 2026'!K6:K119="GASOLINA")*'ENERO 2026'!M6:M119),0)</f>
        <v/>
      </c>
      <c r="F1346" s="377">
        <f>IFERROR(SUMPRODUCT((IF('ENERO 2026'!Y6:Y119&lt;&gt;"",'ENERO 2026'!Y6:Y119,'ENERO 2026'!I6:I119)="MARIA AUXILIADORA")*('ENERO 2026'!K6:K119="GASOLINA")*'ENERO 2026'!N6:N119),0)</f>
        <v/>
      </c>
    </row>
    <row r="1347" ht="15" customHeight="1" s="195">
      <c r="A1347" s="194" t="inlineStr">
        <is>
          <t>MARIA AUXILIADORA</t>
        </is>
      </c>
      <c r="B1347" s="194" t="inlineStr">
        <is>
          <t>FEBRERO 2026</t>
        </is>
      </c>
      <c r="C1347" s="377">
        <f>IFERROR(SUMPRODUCT((IF('FEBRERO 2026'!Y6:Y124&lt;&gt;"",'FEBRERO 2026'!Y6:Y124,'FEBRERO 2026'!I6:I124)="MARIA AUXILIADORA")*('FEBRERO 2026'!K6:K124="PETROLEO")*'FEBRERO 2026'!M6:M124),0)</f>
        <v/>
      </c>
      <c r="D1347" s="377">
        <f>IFERROR(SUMPRODUCT((IF('FEBRERO 2026'!Y6:Y124&lt;&gt;"",'FEBRERO 2026'!Y6:Y124,'FEBRERO 2026'!I6:I124)="MARIA AUXILIADORA")*('FEBRERO 2026'!K6:K124="PETROLEO")*'FEBRERO 2026'!N6:N124),0)</f>
        <v/>
      </c>
      <c r="E1347" s="377">
        <f>IFERROR(SUMPRODUCT((IF('FEBRERO 2026'!Y6:Y124&lt;&gt;"",'FEBRERO 2026'!Y6:Y124,'FEBRERO 2026'!I6:I124)="MARIA AUXILIADORA")*('FEBRERO 2026'!K6:K124="GASOLINA")*'FEBRERO 2026'!M6:M124),0)</f>
        <v/>
      </c>
      <c r="F1347" s="377">
        <f>IFERROR(SUMPRODUCT((IF('FEBRERO 2026'!Y6:Y124&lt;&gt;"",'FEBRERO 2026'!Y6:Y124,'FEBRERO 2026'!I6:I124)="MARIA AUXILIADORA")*('FEBRERO 2026'!K6:K124="GASOLINA")*'FEBRERO 2026'!N6:N124),0)</f>
        <v/>
      </c>
    </row>
    <row r="1348" ht="15" customHeight="1" s="195">
      <c r="A1348" s="194" t="inlineStr">
        <is>
          <t>MARIA AUXILIADORA</t>
        </is>
      </c>
      <c r="B1348" s="194" t="inlineStr">
        <is>
          <t>MARZO 2026</t>
        </is>
      </c>
      <c r="C1348" s="377">
        <f>IFERROR(SUMPRODUCT((IF('MARZO 2026'!Y6:Y119&lt;&gt;"",'MARZO 2026'!Y6:Y119,'MARZO 2026'!I6:I119)="MARIA AUXILIADORA")*('MARZO 2026'!K6:K119="PETROLEO")*'MARZO 2026'!M6:M119),0)</f>
        <v/>
      </c>
      <c r="D1348" s="377">
        <f>IFERROR(SUMPRODUCT((IF('MARZO 2026'!Y6:Y119&lt;&gt;"",'MARZO 2026'!Y6:Y119,'MARZO 2026'!I6:I119)="MARIA AUXILIADORA")*('MARZO 2026'!K6:K119="PETROLEO")*'MARZO 2026'!N6:N119),0)</f>
        <v/>
      </c>
      <c r="E1348" s="377">
        <f>IFERROR(SUMPRODUCT((IF('MARZO 2026'!Y6:Y119&lt;&gt;"",'MARZO 2026'!Y6:Y119,'MARZO 2026'!I6:I119)="MARIA AUXILIADORA")*('MARZO 2026'!K6:K119="GASOLINA")*'MARZO 2026'!M6:M119),0)</f>
        <v/>
      </c>
      <c r="F1348" s="377">
        <f>IFERROR(SUMPRODUCT((IF('MARZO 2026'!Y6:Y119&lt;&gt;"",'MARZO 2026'!Y6:Y119,'MARZO 2026'!I6:I119)="MARIA AUXILIADORA")*('MARZO 2026'!K6:K119="GASOLINA")*'MARZO 2026'!N6:N119),0)</f>
        <v/>
      </c>
    </row>
    <row r="1349" ht="15" customHeight="1" s="195">
      <c r="A1349" s="194" t="inlineStr">
        <is>
          <t>MARIA AUXILIADORA</t>
        </is>
      </c>
      <c r="B1349" s="194" t="inlineStr">
        <is>
          <t>ABRIL 2026</t>
        </is>
      </c>
      <c r="C1349" s="377">
        <f>IFERROR(SUMPRODUCT((IF('ABRIL 2026'!Y6:Y119&lt;&gt;"",'ABRIL 2026'!Y6:Y119,'ABRIL 2026'!I6:I119)="MARIA AUXILIADORA")*('ABRIL 2026'!K6:K119="PETROLEO")*'ABRIL 2026'!M6:M119),0)</f>
        <v/>
      </c>
      <c r="D1349" s="377">
        <f>IFERROR(SUMPRODUCT((IF('ABRIL 2026'!Y6:Y119&lt;&gt;"",'ABRIL 2026'!Y6:Y119,'ABRIL 2026'!I6:I119)="MARIA AUXILIADORA")*('ABRIL 2026'!K6:K119="PETROLEO")*'ABRIL 2026'!N6:N119),0)</f>
        <v/>
      </c>
      <c r="E1349" s="377">
        <f>IFERROR(SUMPRODUCT((IF('ABRIL 2026'!Y6:Y119&lt;&gt;"",'ABRIL 2026'!Y6:Y119,'ABRIL 2026'!I6:I119)="MARIA AUXILIADORA")*('ABRIL 2026'!K6:K119="GASOLINA")*'ABRIL 2026'!M6:M119),0)</f>
        <v/>
      </c>
      <c r="F1349" s="377">
        <f>IFERROR(SUMPRODUCT((IF('ABRIL 2026'!Y6:Y119&lt;&gt;"",'ABRIL 2026'!Y6:Y119,'ABRIL 2026'!I6:I119)="MARIA AUXILIADORA")*('ABRIL 2026'!K6:K119="GASOLINA")*'ABRIL 2026'!N6:N119),0)</f>
        <v/>
      </c>
    </row>
    <row r="1350" ht="15" customHeight="1" s="195">
      <c r="A1350" s="194" t="inlineStr">
        <is>
          <t>MARIA AUXILIADORA</t>
        </is>
      </c>
      <c r="B1350" s="194" t="inlineStr">
        <is>
          <t>MAYO 2026</t>
        </is>
      </c>
      <c r="C1350" s="377">
        <f>IFERROR(SUMPRODUCT((IF('MAYO 2026'!Y6:Y110&lt;&gt;"",'MAYO 2026'!Y6:Y110,'MAYO 2026'!I6:I110)="MARIA AUXILIADORA")*('MAYO 2026'!K6:K110="PETROLEO")*'MAYO 2026'!M6:M110),0)</f>
        <v/>
      </c>
      <c r="D1350" s="377">
        <f>IFERROR(SUMPRODUCT((IF('MAYO 2026'!Y6:Y110&lt;&gt;"",'MAYO 2026'!Y6:Y110,'MAYO 2026'!I6:I110)="MARIA AUXILIADORA")*('MAYO 2026'!K6:K110="PETROLEO")*'MAYO 2026'!N6:N110),0)</f>
        <v/>
      </c>
      <c r="E1350" s="377">
        <f>IFERROR(SUMPRODUCT((IF('MAYO 2026'!Y6:Y110&lt;&gt;"",'MAYO 2026'!Y6:Y110,'MAYO 2026'!I6:I110)="MARIA AUXILIADORA")*('MAYO 2026'!K6:K110="GASOLINA")*'MAYO 2026'!M6:M110),0)</f>
        <v/>
      </c>
      <c r="F1350" s="377">
        <f>IFERROR(SUMPRODUCT((IF('MAYO 2026'!Y6:Y110&lt;&gt;"",'MAYO 2026'!Y6:Y110,'MAYO 2026'!I6:I110)="MARIA AUXILIADORA")*('MAYO 2026'!K6:K110="GASOLINA")*'MAYO 2026'!N6:N110),0)</f>
        <v/>
      </c>
    </row>
    <row r="1351" ht="15" customHeight="1" s="195">
      <c r="A1351" s="194" t="inlineStr">
        <is>
          <t>MARIA AUXILIADORA</t>
        </is>
      </c>
      <c r="B1351" s="194" t="inlineStr">
        <is>
          <t>JUNIO 2026</t>
        </is>
      </c>
      <c r="C1351" s="377">
        <f>IFERROR(SUMPRODUCT((IF('JUNIO 2026'!Y6:Y110&lt;&gt;"",'JUNIO 2026'!Y6:Y110,'JUNIO 2026'!I6:I110)="MARIA AUXILIADORA")*('JUNIO 2026'!K6:K110="PETROLEO")*'JUNIO 2026'!M6:M110),0)</f>
        <v/>
      </c>
      <c r="D1351" s="377">
        <f>IFERROR(SUMPRODUCT((IF('JUNIO 2026'!Y6:Y110&lt;&gt;"",'JUNIO 2026'!Y6:Y110,'JUNIO 2026'!I6:I110)="MARIA AUXILIADORA")*('JUNIO 2026'!K6:K110="PETROLEO")*'JUNIO 2026'!N6:N110),0)</f>
        <v/>
      </c>
      <c r="E1351" s="377">
        <f>IFERROR(SUMPRODUCT((IF('JUNIO 2026'!Y6:Y110&lt;&gt;"",'JUNIO 2026'!Y6:Y110,'JUNIO 2026'!I6:I110)="MARIA AUXILIADORA")*('JUNIO 2026'!K6:K110="GASOLINA")*'JUNIO 2026'!M6:M110),0)</f>
        <v/>
      </c>
      <c r="F1351" s="377">
        <f>IFERROR(SUMPRODUCT((IF('JUNIO 2026'!Y6:Y110&lt;&gt;"",'JUNIO 2026'!Y6:Y110,'JUNIO 2026'!I6:I110)="MARIA AUXILIADORA")*('JUNIO 2026'!K6:K110="GASOLINA")*'JUNIO 2026'!N6:N110),0)</f>
        <v/>
      </c>
    </row>
    <row r="1352" ht="15" customHeight="1" s="195">
      <c r="A1352" s="194" t="inlineStr">
        <is>
          <t>MARIA AUXILIADORA</t>
        </is>
      </c>
      <c r="B1352" s="194" t="inlineStr">
        <is>
          <t>JULIO 2026</t>
        </is>
      </c>
      <c r="C1352" s="377">
        <f>IFERROR(SUMPRODUCT((IF('JULIO 2026'!Y6:Y110&lt;&gt;"",'JULIO 2026'!Y6:Y110,'JULIO 2026'!I6:I110)="MARIA AUXILIADORA")*('JULIO 2026'!K6:K110="PETROLEO")*'JULIO 2026'!M6:M110),0)</f>
        <v/>
      </c>
      <c r="D1352" s="377">
        <f>IFERROR(SUMPRODUCT((IF('JULIO 2026'!Y6:Y110&lt;&gt;"",'JULIO 2026'!Y6:Y110,'JULIO 2026'!I6:I110)="MARIA AUXILIADORA")*('JULIO 2026'!K6:K110="PETROLEO")*'JULIO 2026'!N6:N110),0)</f>
        <v/>
      </c>
      <c r="E1352" s="377">
        <f>IFERROR(SUMPRODUCT((IF('JULIO 2026'!Y6:Y110&lt;&gt;"",'JULIO 2026'!Y6:Y110,'JULIO 2026'!I6:I110)="MARIA AUXILIADORA")*('JULIO 2026'!K6:K110="GASOLINA")*'JULIO 2026'!M6:M110),0)</f>
        <v/>
      </c>
      <c r="F1352" s="377">
        <f>IFERROR(SUMPRODUCT((IF('JULIO 2026'!Y6:Y110&lt;&gt;"",'JULIO 2026'!Y6:Y110,'JULIO 2026'!I6:I110)="MARIA AUXILIADORA")*('JULIO 2026'!K6:K110="GASOLINA")*'JULIO 2026'!N6:N110),0)</f>
        <v/>
      </c>
    </row>
    <row r="1353" ht="15" customHeight="1" s="195">
      <c r="A1353" s="194" t="inlineStr">
        <is>
          <t>MARIA AUXILIADORA</t>
        </is>
      </c>
      <c r="B1353" s="194" t="inlineStr">
        <is>
          <t>AGOSTO 2026</t>
        </is>
      </c>
      <c r="C1353" s="377">
        <f>IFERROR(SUMPRODUCT((IF('AGOSTO 2026'!Y6:Y110&lt;&gt;"",'AGOSTO 2026'!Y6:Y110,'AGOSTO 2026'!I6:I110)="MARIA AUXILIADORA")*('AGOSTO 2026'!K6:K110="PETROLEO")*'AGOSTO 2026'!M6:M110),0)</f>
        <v/>
      </c>
      <c r="D1353" s="377">
        <f>IFERROR(SUMPRODUCT((IF('AGOSTO 2026'!Y6:Y110&lt;&gt;"",'AGOSTO 2026'!Y6:Y110,'AGOSTO 2026'!I6:I110)="MARIA AUXILIADORA")*('AGOSTO 2026'!K6:K110="PETROLEO")*'AGOSTO 2026'!N6:N110),0)</f>
        <v/>
      </c>
      <c r="E1353" s="377">
        <f>IFERROR(SUMPRODUCT((IF('AGOSTO 2026'!Y6:Y110&lt;&gt;"",'AGOSTO 2026'!Y6:Y110,'AGOSTO 2026'!I6:I110)="MARIA AUXILIADORA")*('AGOSTO 2026'!K6:K110="GASOLINA")*'AGOSTO 2026'!M6:M110),0)</f>
        <v/>
      </c>
      <c r="F1353" s="377">
        <f>IFERROR(SUMPRODUCT((IF('AGOSTO 2026'!Y6:Y110&lt;&gt;"",'AGOSTO 2026'!Y6:Y110,'AGOSTO 2026'!I6:I110)="MARIA AUXILIADORA")*('AGOSTO 2026'!K6:K110="GASOLINA")*'AGOSTO 2026'!N6:N110),0)</f>
        <v/>
      </c>
    </row>
    <row r="1354" ht="15" customHeight="1" s="195">
      <c r="A1354" s="194" t="inlineStr">
        <is>
          <t>MARIA AUXILIADORA</t>
        </is>
      </c>
      <c r="B1354" s="194" t="inlineStr">
        <is>
          <t>SETIEMBRE 2026</t>
        </is>
      </c>
      <c r="C1354" s="377">
        <f>IFERROR(SUMPRODUCT((IF('SETIEMBRE 2026'!Y6:Y110&lt;&gt;"",'SETIEMBRE 2026'!Y6:Y110,'SETIEMBRE 2026'!I6:I110)="MARIA AUXILIADORA")*('SETIEMBRE 2026'!K6:K110="PETROLEO")*'SETIEMBRE 2026'!M6:M110),0)</f>
        <v/>
      </c>
      <c r="D1354" s="377">
        <f>IFERROR(SUMPRODUCT((IF('SETIEMBRE 2026'!Y6:Y110&lt;&gt;"",'SETIEMBRE 2026'!Y6:Y110,'SETIEMBRE 2026'!I6:I110)="MARIA AUXILIADORA")*('SETIEMBRE 2026'!K6:K110="PETROLEO")*'SETIEMBRE 2026'!N6:N110),0)</f>
        <v/>
      </c>
      <c r="E1354" s="377">
        <f>IFERROR(SUMPRODUCT((IF('SETIEMBRE 2026'!Y6:Y110&lt;&gt;"",'SETIEMBRE 2026'!Y6:Y110,'SETIEMBRE 2026'!I6:I110)="MARIA AUXILIADORA")*('SETIEMBRE 2026'!K6:K110="GASOLINA")*'SETIEMBRE 2026'!M6:M110),0)</f>
        <v/>
      </c>
      <c r="F1354" s="377">
        <f>IFERROR(SUMPRODUCT((IF('SETIEMBRE 2026'!Y6:Y110&lt;&gt;"",'SETIEMBRE 2026'!Y6:Y110,'SETIEMBRE 2026'!I6:I110)="MARIA AUXILIADORA")*('SETIEMBRE 2026'!K6:K110="GASOLINA")*'SETIEMBRE 2026'!N6:N110),0)</f>
        <v/>
      </c>
    </row>
    <row r="1355" ht="15" customHeight="1" s="195">
      <c r="A1355" s="194" t="inlineStr">
        <is>
          <t>MARIA AUXILIADORA</t>
        </is>
      </c>
      <c r="B1355" s="194" t="inlineStr">
        <is>
          <t>OCTUBRE 2026</t>
        </is>
      </c>
      <c r="C1355" s="377">
        <f>IFERROR(SUMPRODUCT((IF('OCTUBRE 2026'!Y6:Y110&lt;&gt;"",'OCTUBRE 2026'!Y6:Y110,'OCTUBRE 2026'!I6:I110)="MARIA AUXILIADORA")*('OCTUBRE 2026'!K6:K110="PETROLEO")*'OCTUBRE 2026'!M6:M110),0)</f>
        <v/>
      </c>
      <c r="D1355" s="377">
        <f>IFERROR(SUMPRODUCT((IF('OCTUBRE 2026'!Y6:Y110&lt;&gt;"",'OCTUBRE 2026'!Y6:Y110,'OCTUBRE 2026'!I6:I110)="MARIA AUXILIADORA")*('OCTUBRE 2026'!K6:K110="PETROLEO")*'OCTUBRE 2026'!N6:N110),0)</f>
        <v/>
      </c>
      <c r="E1355" s="377">
        <f>IFERROR(SUMPRODUCT((IF('OCTUBRE 2026'!Y6:Y110&lt;&gt;"",'OCTUBRE 2026'!Y6:Y110,'OCTUBRE 2026'!I6:I110)="MARIA AUXILIADORA")*('OCTUBRE 2026'!K6:K110="GASOLINA")*'OCTUBRE 2026'!M6:M110),0)</f>
        <v/>
      </c>
      <c r="F1355" s="377">
        <f>IFERROR(SUMPRODUCT((IF('OCTUBRE 2026'!Y6:Y110&lt;&gt;"",'OCTUBRE 2026'!Y6:Y110,'OCTUBRE 2026'!I6:I110)="MARIA AUXILIADORA")*('OCTUBRE 2026'!K6:K110="GASOLINA")*'OCTUBRE 2026'!N6:N110),0)</f>
        <v/>
      </c>
    </row>
    <row r="1356" ht="15" customHeight="1" s="195">
      <c r="A1356" s="194" t="inlineStr">
        <is>
          <t>MARIA AUXILIADORA</t>
        </is>
      </c>
      <c r="B1356" s="194" t="inlineStr">
        <is>
          <t>NOVIEMBRE 2026</t>
        </is>
      </c>
      <c r="C1356" s="377">
        <f>IFERROR(SUMPRODUCT((IF('NOVIEMBRE 2026'!Y6:Y110&lt;&gt;"",'NOVIEMBRE 2026'!Y6:Y110,'NOVIEMBRE 2026'!I6:I110)="MARIA AUXILIADORA")*('NOVIEMBRE 2026'!K6:K110="PETROLEO")*'NOVIEMBRE 2026'!M6:M110),0)</f>
        <v/>
      </c>
      <c r="D1356" s="377">
        <f>IFERROR(SUMPRODUCT((IF('NOVIEMBRE 2026'!Y6:Y110&lt;&gt;"",'NOVIEMBRE 2026'!Y6:Y110,'NOVIEMBRE 2026'!I6:I110)="MARIA AUXILIADORA")*('NOVIEMBRE 2026'!K6:K110="PETROLEO")*'NOVIEMBRE 2026'!N6:N110),0)</f>
        <v/>
      </c>
      <c r="E1356" s="377">
        <f>IFERROR(SUMPRODUCT((IF('NOVIEMBRE 2026'!Y6:Y110&lt;&gt;"",'NOVIEMBRE 2026'!Y6:Y110,'NOVIEMBRE 2026'!I6:I110)="MARIA AUXILIADORA")*('NOVIEMBRE 2026'!K6:K110="GASOLINA")*'NOVIEMBRE 2026'!M6:M110),0)</f>
        <v/>
      </c>
      <c r="F1356" s="377">
        <f>IFERROR(SUMPRODUCT((IF('NOVIEMBRE 2026'!Y6:Y110&lt;&gt;"",'NOVIEMBRE 2026'!Y6:Y110,'NOVIEMBRE 2026'!I6:I110)="MARIA AUXILIADORA")*('NOVIEMBRE 2026'!K6:K110="GASOLINA")*'NOVIEMBRE 2026'!N6:N110),0)</f>
        <v/>
      </c>
    </row>
    <row r="1357" ht="15" customHeight="1" s="195">
      <c r="A1357" s="194" t="inlineStr">
        <is>
          <t>MARIA AUXILIADORA</t>
        </is>
      </c>
      <c r="B1357" s="194" t="inlineStr">
        <is>
          <t>DICIEMBRE 2026</t>
        </is>
      </c>
      <c r="C1357" s="377">
        <f>IFERROR(SUMPRODUCT((IF('DICIEMBRE 2026'!Y6:Y110&lt;&gt;"",'DICIEMBRE 2026'!Y6:Y110,'DICIEMBRE 2026'!I6:I110)="MARIA AUXILIADORA")*('DICIEMBRE 2026'!K6:K110="PETROLEO")*'DICIEMBRE 2026'!M6:M110),0)</f>
        <v/>
      </c>
      <c r="D1357" s="377">
        <f>IFERROR(SUMPRODUCT((IF('DICIEMBRE 2026'!Y6:Y110&lt;&gt;"",'DICIEMBRE 2026'!Y6:Y110,'DICIEMBRE 2026'!I6:I110)="MARIA AUXILIADORA")*('DICIEMBRE 2026'!K6:K110="PETROLEO")*'DICIEMBRE 2026'!N6:N110),0)</f>
        <v/>
      </c>
      <c r="E1357" s="377">
        <f>IFERROR(SUMPRODUCT((IF('DICIEMBRE 2026'!Y6:Y110&lt;&gt;"",'DICIEMBRE 2026'!Y6:Y110,'DICIEMBRE 2026'!I6:I110)="MARIA AUXILIADORA")*('DICIEMBRE 2026'!K6:K110="GASOLINA")*'DICIEMBRE 2026'!M6:M110),0)</f>
        <v/>
      </c>
      <c r="F1357" s="377">
        <f>IFERROR(SUMPRODUCT((IF('DICIEMBRE 2026'!Y6:Y110&lt;&gt;"",'DICIEMBRE 2026'!Y6:Y110,'DICIEMBRE 2026'!I6:I110)="MARIA AUXILIADORA")*('DICIEMBRE 2026'!K6:K110="GASOLINA")*'DICIEMBRE 2026'!N6:N110),0)</f>
        <v/>
      </c>
    </row>
    <row r="1358" ht="15" customHeight="1" s="195">
      <c r="A1358" s="194" t="inlineStr">
        <is>
          <t>MARISCAL BENAVIDES</t>
        </is>
      </c>
      <c r="B1358" s="194" t="inlineStr">
        <is>
          <t>ENERO 2026</t>
        </is>
      </c>
      <c r="C1358" s="377">
        <f>IFERROR(SUMPRODUCT((IF('ENERO 2026'!Y6:Y119&lt;&gt;"",'ENERO 2026'!Y6:Y119,'ENERO 2026'!I6:I119)="MARISCAL BENAVIDES")*('ENERO 2026'!K6:K119="PETROLEO")*'ENERO 2026'!M6:M119),0)</f>
        <v/>
      </c>
      <c r="D1358" s="377">
        <f>IFERROR(SUMPRODUCT((IF('ENERO 2026'!Y6:Y119&lt;&gt;"",'ENERO 2026'!Y6:Y119,'ENERO 2026'!I6:I119)="MARISCAL BENAVIDES")*('ENERO 2026'!K6:K119="PETROLEO")*'ENERO 2026'!N6:N119),0)</f>
        <v/>
      </c>
      <c r="E1358" s="377">
        <f>IFERROR(SUMPRODUCT((IF('ENERO 2026'!Y6:Y119&lt;&gt;"",'ENERO 2026'!Y6:Y119,'ENERO 2026'!I6:I119)="MARISCAL BENAVIDES")*('ENERO 2026'!K6:K119="GASOLINA")*'ENERO 2026'!M6:M119),0)</f>
        <v/>
      </c>
      <c r="F1358" s="377">
        <f>IFERROR(SUMPRODUCT((IF('ENERO 2026'!Y6:Y119&lt;&gt;"",'ENERO 2026'!Y6:Y119,'ENERO 2026'!I6:I119)="MARISCAL BENAVIDES")*('ENERO 2026'!K6:K119="GASOLINA")*'ENERO 2026'!N6:N119),0)</f>
        <v/>
      </c>
    </row>
    <row r="1359" ht="15" customHeight="1" s="195">
      <c r="A1359" s="194" t="inlineStr">
        <is>
          <t>MARISCAL BENAVIDES</t>
        </is>
      </c>
      <c r="B1359" s="194" t="inlineStr">
        <is>
          <t>FEBRERO 2026</t>
        </is>
      </c>
      <c r="C1359" s="377">
        <f>IFERROR(SUMPRODUCT((IF('FEBRERO 2026'!Y6:Y124&lt;&gt;"",'FEBRERO 2026'!Y6:Y124,'FEBRERO 2026'!I6:I124)="MARISCAL BENAVIDES")*('FEBRERO 2026'!K6:K124="PETROLEO")*'FEBRERO 2026'!M6:M124),0)</f>
        <v/>
      </c>
      <c r="D1359" s="377">
        <f>IFERROR(SUMPRODUCT((IF('FEBRERO 2026'!Y6:Y124&lt;&gt;"",'FEBRERO 2026'!Y6:Y124,'FEBRERO 2026'!I6:I124)="MARISCAL BENAVIDES")*('FEBRERO 2026'!K6:K124="PETROLEO")*'FEBRERO 2026'!N6:N124),0)</f>
        <v/>
      </c>
      <c r="E1359" s="377">
        <f>IFERROR(SUMPRODUCT((IF('FEBRERO 2026'!Y6:Y124&lt;&gt;"",'FEBRERO 2026'!Y6:Y124,'FEBRERO 2026'!I6:I124)="MARISCAL BENAVIDES")*('FEBRERO 2026'!K6:K124="GASOLINA")*'FEBRERO 2026'!M6:M124),0)</f>
        <v/>
      </c>
      <c r="F1359" s="377">
        <f>IFERROR(SUMPRODUCT((IF('FEBRERO 2026'!Y6:Y124&lt;&gt;"",'FEBRERO 2026'!Y6:Y124,'FEBRERO 2026'!I6:I124)="MARISCAL BENAVIDES")*('FEBRERO 2026'!K6:K124="GASOLINA")*'FEBRERO 2026'!N6:N124),0)</f>
        <v/>
      </c>
    </row>
    <row r="1360" ht="15" customHeight="1" s="195">
      <c r="A1360" s="194" t="inlineStr">
        <is>
          <t>MARISCAL BENAVIDES</t>
        </is>
      </c>
      <c r="B1360" s="194" t="inlineStr">
        <is>
          <t>MARZO 2026</t>
        </is>
      </c>
      <c r="C1360" s="377">
        <f>IFERROR(SUMPRODUCT((IF('MARZO 2026'!Y6:Y119&lt;&gt;"",'MARZO 2026'!Y6:Y119,'MARZO 2026'!I6:I119)="MARISCAL BENAVIDES")*('MARZO 2026'!K6:K119="PETROLEO")*'MARZO 2026'!M6:M119),0)</f>
        <v/>
      </c>
      <c r="D1360" s="377">
        <f>IFERROR(SUMPRODUCT((IF('MARZO 2026'!Y6:Y119&lt;&gt;"",'MARZO 2026'!Y6:Y119,'MARZO 2026'!I6:I119)="MARISCAL BENAVIDES")*('MARZO 2026'!K6:K119="PETROLEO")*'MARZO 2026'!N6:N119),0)</f>
        <v/>
      </c>
      <c r="E1360" s="377">
        <f>IFERROR(SUMPRODUCT((IF('MARZO 2026'!Y6:Y119&lt;&gt;"",'MARZO 2026'!Y6:Y119,'MARZO 2026'!I6:I119)="MARISCAL BENAVIDES")*('MARZO 2026'!K6:K119="GASOLINA")*'MARZO 2026'!M6:M119),0)</f>
        <v/>
      </c>
      <c r="F1360" s="377">
        <f>IFERROR(SUMPRODUCT((IF('MARZO 2026'!Y6:Y119&lt;&gt;"",'MARZO 2026'!Y6:Y119,'MARZO 2026'!I6:I119)="MARISCAL BENAVIDES")*('MARZO 2026'!K6:K119="GASOLINA")*'MARZO 2026'!N6:N119),0)</f>
        <v/>
      </c>
    </row>
    <row r="1361" ht="15" customHeight="1" s="195">
      <c r="A1361" s="194" t="inlineStr">
        <is>
          <t>MARISCAL BENAVIDES</t>
        </is>
      </c>
      <c r="B1361" s="194" t="inlineStr">
        <is>
          <t>ABRIL 2026</t>
        </is>
      </c>
      <c r="C1361" s="377">
        <f>IFERROR(SUMPRODUCT((IF('ABRIL 2026'!Y6:Y119&lt;&gt;"",'ABRIL 2026'!Y6:Y119,'ABRIL 2026'!I6:I119)="MARISCAL BENAVIDES")*('ABRIL 2026'!K6:K119="PETROLEO")*'ABRIL 2026'!M6:M119),0)</f>
        <v/>
      </c>
      <c r="D1361" s="377">
        <f>IFERROR(SUMPRODUCT((IF('ABRIL 2026'!Y6:Y119&lt;&gt;"",'ABRIL 2026'!Y6:Y119,'ABRIL 2026'!I6:I119)="MARISCAL BENAVIDES")*('ABRIL 2026'!K6:K119="PETROLEO")*'ABRIL 2026'!N6:N119),0)</f>
        <v/>
      </c>
      <c r="E1361" s="377">
        <f>IFERROR(SUMPRODUCT((IF('ABRIL 2026'!Y6:Y119&lt;&gt;"",'ABRIL 2026'!Y6:Y119,'ABRIL 2026'!I6:I119)="MARISCAL BENAVIDES")*('ABRIL 2026'!K6:K119="GASOLINA")*'ABRIL 2026'!M6:M119),0)</f>
        <v/>
      </c>
      <c r="F1361" s="377">
        <f>IFERROR(SUMPRODUCT((IF('ABRIL 2026'!Y6:Y119&lt;&gt;"",'ABRIL 2026'!Y6:Y119,'ABRIL 2026'!I6:I119)="MARISCAL BENAVIDES")*('ABRIL 2026'!K6:K119="GASOLINA")*'ABRIL 2026'!N6:N119),0)</f>
        <v/>
      </c>
    </row>
    <row r="1362" ht="15" customHeight="1" s="195">
      <c r="A1362" s="194" t="inlineStr">
        <is>
          <t>MARISCAL BENAVIDES</t>
        </is>
      </c>
      <c r="B1362" s="194" t="inlineStr">
        <is>
          <t>MAYO 2026</t>
        </is>
      </c>
      <c r="C1362" s="377">
        <f>IFERROR(SUMPRODUCT((IF('MAYO 2026'!Y6:Y110&lt;&gt;"",'MAYO 2026'!Y6:Y110,'MAYO 2026'!I6:I110)="MARISCAL BENAVIDES")*('MAYO 2026'!K6:K110="PETROLEO")*'MAYO 2026'!M6:M110),0)</f>
        <v/>
      </c>
      <c r="D1362" s="377">
        <f>IFERROR(SUMPRODUCT((IF('MAYO 2026'!Y6:Y110&lt;&gt;"",'MAYO 2026'!Y6:Y110,'MAYO 2026'!I6:I110)="MARISCAL BENAVIDES")*('MAYO 2026'!K6:K110="PETROLEO")*'MAYO 2026'!N6:N110),0)</f>
        <v/>
      </c>
      <c r="E1362" s="377">
        <f>IFERROR(SUMPRODUCT((IF('MAYO 2026'!Y6:Y110&lt;&gt;"",'MAYO 2026'!Y6:Y110,'MAYO 2026'!I6:I110)="MARISCAL BENAVIDES")*('MAYO 2026'!K6:K110="GASOLINA")*'MAYO 2026'!M6:M110),0)</f>
        <v/>
      </c>
      <c r="F1362" s="377">
        <f>IFERROR(SUMPRODUCT((IF('MAYO 2026'!Y6:Y110&lt;&gt;"",'MAYO 2026'!Y6:Y110,'MAYO 2026'!I6:I110)="MARISCAL BENAVIDES")*('MAYO 2026'!K6:K110="GASOLINA")*'MAYO 2026'!N6:N110),0)</f>
        <v/>
      </c>
    </row>
    <row r="1363" ht="15" customHeight="1" s="195">
      <c r="A1363" s="194" t="inlineStr">
        <is>
          <t>MARISCAL BENAVIDES</t>
        </is>
      </c>
      <c r="B1363" s="194" t="inlineStr">
        <is>
          <t>JUNIO 2026</t>
        </is>
      </c>
      <c r="C1363" s="377">
        <f>IFERROR(SUMPRODUCT((IF('JUNIO 2026'!Y6:Y110&lt;&gt;"",'JUNIO 2026'!Y6:Y110,'JUNIO 2026'!I6:I110)="MARISCAL BENAVIDES")*('JUNIO 2026'!K6:K110="PETROLEO")*'JUNIO 2026'!M6:M110),0)</f>
        <v/>
      </c>
      <c r="D1363" s="377">
        <f>IFERROR(SUMPRODUCT((IF('JUNIO 2026'!Y6:Y110&lt;&gt;"",'JUNIO 2026'!Y6:Y110,'JUNIO 2026'!I6:I110)="MARISCAL BENAVIDES")*('JUNIO 2026'!K6:K110="PETROLEO")*'JUNIO 2026'!N6:N110),0)</f>
        <v/>
      </c>
      <c r="E1363" s="377">
        <f>IFERROR(SUMPRODUCT((IF('JUNIO 2026'!Y6:Y110&lt;&gt;"",'JUNIO 2026'!Y6:Y110,'JUNIO 2026'!I6:I110)="MARISCAL BENAVIDES")*('JUNIO 2026'!K6:K110="GASOLINA")*'JUNIO 2026'!M6:M110),0)</f>
        <v/>
      </c>
      <c r="F1363" s="377">
        <f>IFERROR(SUMPRODUCT((IF('JUNIO 2026'!Y6:Y110&lt;&gt;"",'JUNIO 2026'!Y6:Y110,'JUNIO 2026'!I6:I110)="MARISCAL BENAVIDES")*('JUNIO 2026'!K6:K110="GASOLINA")*'JUNIO 2026'!N6:N110),0)</f>
        <v/>
      </c>
    </row>
    <row r="1364" ht="15" customHeight="1" s="195">
      <c r="A1364" s="194" t="inlineStr">
        <is>
          <t>MARISCAL BENAVIDES</t>
        </is>
      </c>
      <c r="B1364" s="194" t="inlineStr">
        <is>
          <t>JULIO 2026</t>
        </is>
      </c>
      <c r="C1364" s="377">
        <f>IFERROR(SUMPRODUCT((IF('JULIO 2026'!Y6:Y110&lt;&gt;"",'JULIO 2026'!Y6:Y110,'JULIO 2026'!I6:I110)="MARISCAL BENAVIDES")*('JULIO 2026'!K6:K110="PETROLEO")*'JULIO 2026'!M6:M110),0)</f>
        <v/>
      </c>
      <c r="D1364" s="377">
        <f>IFERROR(SUMPRODUCT((IF('JULIO 2026'!Y6:Y110&lt;&gt;"",'JULIO 2026'!Y6:Y110,'JULIO 2026'!I6:I110)="MARISCAL BENAVIDES")*('JULIO 2026'!K6:K110="PETROLEO")*'JULIO 2026'!N6:N110),0)</f>
        <v/>
      </c>
      <c r="E1364" s="377">
        <f>IFERROR(SUMPRODUCT((IF('JULIO 2026'!Y6:Y110&lt;&gt;"",'JULIO 2026'!Y6:Y110,'JULIO 2026'!I6:I110)="MARISCAL BENAVIDES")*('JULIO 2026'!K6:K110="GASOLINA")*'JULIO 2026'!M6:M110),0)</f>
        <v/>
      </c>
      <c r="F1364" s="377">
        <f>IFERROR(SUMPRODUCT((IF('JULIO 2026'!Y6:Y110&lt;&gt;"",'JULIO 2026'!Y6:Y110,'JULIO 2026'!I6:I110)="MARISCAL BENAVIDES")*('JULIO 2026'!K6:K110="GASOLINA")*'JULIO 2026'!N6:N110),0)</f>
        <v/>
      </c>
    </row>
    <row r="1365" ht="15" customHeight="1" s="195">
      <c r="A1365" s="194" t="inlineStr">
        <is>
          <t>MARISCAL BENAVIDES</t>
        </is>
      </c>
      <c r="B1365" s="194" t="inlineStr">
        <is>
          <t>AGOSTO 2026</t>
        </is>
      </c>
      <c r="C1365" s="377">
        <f>IFERROR(SUMPRODUCT((IF('AGOSTO 2026'!Y6:Y110&lt;&gt;"",'AGOSTO 2026'!Y6:Y110,'AGOSTO 2026'!I6:I110)="MARISCAL BENAVIDES")*('AGOSTO 2026'!K6:K110="PETROLEO")*'AGOSTO 2026'!M6:M110),0)</f>
        <v/>
      </c>
      <c r="D1365" s="377">
        <f>IFERROR(SUMPRODUCT((IF('AGOSTO 2026'!Y6:Y110&lt;&gt;"",'AGOSTO 2026'!Y6:Y110,'AGOSTO 2026'!I6:I110)="MARISCAL BENAVIDES")*('AGOSTO 2026'!K6:K110="PETROLEO")*'AGOSTO 2026'!N6:N110),0)</f>
        <v/>
      </c>
      <c r="E1365" s="377">
        <f>IFERROR(SUMPRODUCT((IF('AGOSTO 2026'!Y6:Y110&lt;&gt;"",'AGOSTO 2026'!Y6:Y110,'AGOSTO 2026'!I6:I110)="MARISCAL BENAVIDES")*('AGOSTO 2026'!K6:K110="GASOLINA")*'AGOSTO 2026'!M6:M110),0)</f>
        <v/>
      </c>
      <c r="F1365" s="377">
        <f>IFERROR(SUMPRODUCT((IF('AGOSTO 2026'!Y6:Y110&lt;&gt;"",'AGOSTO 2026'!Y6:Y110,'AGOSTO 2026'!I6:I110)="MARISCAL BENAVIDES")*('AGOSTO 2026'!K6:K110="GASOLINA")*'AGOSTO 2026'!N6:N110),0)</f>
        <v/>
      </c>
    </row>
    <row r="1366" ht="15" customHeight="1" s="195">
      <c r="A1366" s="194" t="inlineStr">
        <is>
          <t>MARISCAL BENAVIDES</t>
        </is>
      </c>
      <c r="B1366" s="194" t="inlineStr">
        <is>
          <t>SETIEMBRE 2026</t>
        </is>
      </c>
      <c r="C1366" s="377">
        <f>IFERROR(SUMPRODUCT((IF('SETIEMBRE 2026'!Y6:Y110&lt;&gt;"",'SETIEMBRE 2026'!Y6:Y110,'SETIEMBRE 2026'!I6:I110)="MARISCAL BENAVIDES")*('SETIEMBRE 2026'!K6:K110="PETROLEO")*'SETIEMBRE 2026'!M6:M110),0)</f>
        <v/>
      </c>
      <c r="D1366" s="377">
        <f>IFERROR(SUMPRODUCT((IF('SETIEMBRE 2026'!Y6:Y110&lt;&gt;"",'SETIEMBRE 2026'!Y6:Y110,'SETIEMBRE 2026'!I6:I110)="MARISCAL BENAVIDES")*('SETIEMBRE 2026'!K6:K110="PETROLEO")*'SETIEMBRE 2026'!N6:N110),0)</f>
        <v/>
      </c>
      <c r="E1366" s="377">
        <f>IFERROR(SUMPRODUCT((IF('SETIEMBRE 2026'!Y6:Y110&lt;&gt;"",'SETIEMBRE 2026'!Y6:Y110,'SETIEMBRE 2026'!I6:I110)="MARISCAL BENAVIDES")*('SETIEMBRE 2026'!K6:K110="GASOLINA")*'SETIEMBRE 2026'!M6:M110),0)</f>
        <v/>
      </c>
      <c r="F1366" s="377">
        <f>IFERROR(SUMPRODUCT((IF('SETIEMBRE 2026'!Y6:Y110&lt;&gt;"",'SETIEMBRE 2026'!Y6:Y110,'SETIEMBRE 2026'!I6:I110)="MARISCAL BENAVIDES")*('SETIEMBRE 2026'!K6:K110="GASOLINA")*'SETIEMBRE 2026'!N6:N110),0)</f>
        <v/>
      </c>
    </row>
    <row r="1367" ht="15" customHeight="1" s="195">
      <c r="A1367" s="194" t="inlineStr">
        <is>
          <t>MARISCAL BENAVIDES</t>
        </is>
      </c>
      <c r="B1367" s="194" t="inlineStr">
        <is>
          <t>OCTUBRE 2026</t>
        </is>
      </c>
      <c r="C1367" s="377">
        <f>IFERROR(SUMPRODUCT((IF('OCTUBRE 2026'!Y6:Y110&lt;&gt;"",'OCTUBRE 2026'!Y6:Y110,'OCTUBRE 2026'!I6:I110)="MARISCAL BENAVIDES")*('OCTUBRE 2026'!K6:K110="PETROLEO")*'OCTUBRE 2026'!M6:M110),0)</f>
        <v/>
      </c>
      <c r="D1367" s="377">
        <f>IFERROR(SUMPRODUCT((IF('OCTUBRE 2026'!Y6:Y110&lt;&gt;"",'OCTUBRE 2026'!Y6:Y110,'OCTUBRE 2026'!I6:I110)="MARISCAL BENAVIDES")*('OCTUBRE 2026'!K6:K110="PETROLEO")*'OCTUBRE 2026'!N6:N110),0)</f>
        <v/>
      </c>
      <c r="E1367" s="377">
        <f>IFERROR(SUMPRODUCT((IF('OCTUBRE 2026'!Y6:Y110&lt;&gt;"",'OCTUBRE 2026'!Y6:Y110,'OCTUBRE 2026'!I6:I110)="MARISCAL BENAVIDES")*('OCTUBRE 2026'!K6:K110="GASOLINA")*'OCTUBRE 2026'!M6:M110),0)</f>
        <v/>
      </c>
      <c r="F1367" s="377">
        <f>IFERROR(SUMPRODUCT((IF('OCTUBRE 2026'!Y6:Y110&lt;&gt;"",'OCTUBRE 2026'!Y6:Y110,'OCTUBRE 2026'!I6:I110)="MARISCAL BENAVIDES")*('OCTUBRE 2026'!K6:K110="GASOLINA")*'OCTUBRE 2026'!N6:N110),0)</f>
        <v/>
      </c>
    </row>
    <row r="1368" ht="15" customHeight="1" s="195">
      <c r="A1368" s="194" t="inlineStr">
        <is>
          <t>MARISCAL BENAVIDES</t>
        </is>
      </c>
      <c r="B1368" s="194" t="inlineStr">
        <is>
          <t>NOVIEMBRE 2026</t>
        </is>
      </c>
      <c r="C1368" s="377">
        <f>IFERROR(SUMPRODUCT((IF('NOVIEMBRE 2026'!Y6:Y110&lt;&gt;"",'NOVIEMBRE 2026'!Y6:Y110,'NOVIEMBRE 2026'!I6:I110)="MARISCAL BENAVIDES")*('NOVIEMBRE 2026'!K6:K110="PETROLEO")*'NOVIEMBRE 2026'!M6:M110),0)</f>
        <v/>
      </c>
      <c r="D1368" s="377">
        <f>IFERROR(SUMPRODUCT((IF('NOVIEMBRE 2026'!Y6:Y110&lt;&gt;"",'NOVIEMBRE 2026'!Y6:Y110,'NOVIEMBRE 2026'!I6:I110)="MARISCAL BENAVIDES")*('NOVIEMBRE 2026'!K6:K110="PETROLEO")*'NOVIEMBRE 2026'!N6:N110),0)</f>
        <v/>
      </c>
      <c r="E1368" s="377">
        <f>IFERROR(SUMPRODUCT((IF('NOVIEMBRE 2026'!Y6:Y110&lt;&gt;"",'NOVIEMBRE 2026'!Y6:Y110,'NOVIEMBRE 2026'!I6:I110)="MARISCAL BENAVIDES")*('NOVIEMBRE 2026'!K6:K110="GASOLINA")*'NOVIEMBRE 2026'!M6:M110),0)</f>
        <v/>
      </c>
      <c r="F1368" s="377">
        <f>IFERROR(SUMPRODUCT((IF('NOVIEMBRE 2026'!Y6:Y110&lt;&gt;"",'NOVIEMBRE 2026'!Y6:Y110,'NOVIEMBRE 2026'!I6:I110)="MARISCAL BENAVIDES")*('NOVIEMBRE 2026'!K6:K110="GASOLINA")*'NOVIEMBRE 2026'!N6:N110),0)</f>
        <v/>
      </c>
    </row>
    <row r="1369" ht="15" customHeight="1" s="195">
      <c r="A1369" s="194" t="inlineStr">
        <is>
          <t>MARISCAL BENAVIDES</t>
        </is>
      </c>
      <c r="B1369" s="194" t="inlineStr">
        <is>
          <t>DICIEMBRE 2026</t>
        </is>
      </c>
      <c r="C1369" s="377">
        <f>IFERROR(SUMPRODUCT((IF('DICIEMBRE 2026'!Y6:Y110&lt;&gt;"",'DICIEMBRE 2026'!Y6:Y110,'DICIEMBRE 2026'!I6:I110)="MARISCAL BENAVIDES")*('DICIEMBRE 2026'!K6:K110="PETROLEO")*'DICIEMBRE 2026'!M6:M110),0)</f>
        <v/>
      </c>
      <c r="D1369" s="377">
        <f>IFERROR(SUMPRODUCT((IF('DICIEMBRE 2026'!Y6:Y110&lt;&gt;"",'DICIEMBRE 2026'!Y6:Y110,'DICIEMBRE 2026'!I6:I110)="MARISCAL BENAVIDES")*('DICIEMBRE 2026'!K6:K110="PETROLEO")*'DICIEMBRE 2026'!N6:N110),0)</f>
        <v/>
      </c>
      <c r="E1369" s="377">
        <f>IFERROR(SUMPRODUCT((IF('DICIEMBRE 2026'!Y6:Y110&lt;&gt;"",'DICIEMBRE 2026'!Y6:Y110,'DICIEMBRE 2026'!I6:I110)="MARISCAL BENAVIDES")*('DICIEMBRE 2026'!K6:K110="GASOLINA")*'DICIEMBRE 2026'!M6:M110),0)</f>
        <v/>
      </c>
      <c r="F1369" s="377">
        <f>IFERROR(SUMPRODUCT((IF('DICIEMBRE 2026'!Y6:Y110&lt;&gt;"",'DICIEMBRE 2026'!Y6:Y110,'DICIEMBRE 2026'!I6:I110)="MARISCAL BENAVIDES")*('DICIEMBRE 2026'!K6:K110="GASOLINA")*'DICIEMBRE 2026'!N6:N110),0)</f>
        <v/>
      </c>
    </row>
    <row r="1370" ht="15" customHeight="1" s="195">
      <c r="A1370" s="194" t="inlineStr">
        <is>
          <t>MOLINOPAMPA</t>
        </is>
      </c>
      <c r="B1370" s="194" t="inlineStr">
        <is>
          <t>ENERO 2026</t>
        </is>
      </c>
      <c r="C1370" s="377">
        <f>IFERROR(SUMPRODUCT((IF('ENERO 2026'!Y6:Y119&lt;&gt;"",'ENERO 2026'!Y6:Y119,'ENERO 2026'!I6:I119)="MOLINOPAMPA")*('ENERO 2026'!K6:K119="PETROLEO")*'ENERO 2026'!M6:M119),0)</f>
        <v/>
      </c>
      <c r="D1370" s="377">
        <f>IFERROR(SUMPRODUCT((IF('ENERO 2026'!Y6:Y119&lt;&gt;"",'ENERO 2026'!Y6:Y119,'ENERO 2026'!I6:I119)="MOLINOPAMPA")*('ENERO 2026'!K6:K119="PETROLEO")*'ENERO 2026'!N6:N119),0)</f>
        <v/>
      </c>
      <c r="E1370" s="377">
        <f>IFERROR(SUMPRODUCT((IF('ENERO 2026'!Y6:Y119&lt;&gt;"",'ENERO 2026'!Y6:Y119,'ENERO 2026'!I6:I119)="MOLINOPAMPA")*('ENERO 2026'!K6:K119="GASOLINA")*'ENERO 2026'!M6:M119),0)</f>
        <v/>
      </c>
      <c r="F1370" s="377">
        <f>IFERROR(SUMPRODUCT((IF('ENERO 2026'!Y6:Y119&lt;&gt;"",'ENERO 2026'!Y6:Y119,'ENERO 2026'!I6:I119)="MOLINOPAMPA")*('ENERO 2026'!K6:K119="GASOLINA")*'ENERO 2026'!N6:N119),0)</f>
        <v/>
      </c>
    </row>
    <row r="1371" ht="15" customHeight="1" s="195">
      <c r="A1371" s="194" t="inlineStr">
        <is>
          <t>MOLINOPAMPA</t>
        </is>
      </c>
      <c r="B1371" s="194" t="inlineStr">
        <is>
          <t>FEBRERO 2026</t>
        </is>
      </c>
      <c r="C1371" s="377">
        <f>IFERROR(SUMPRODUCT((IF('FEBRERO 2026'!Y6:Y124&lt;&gt;"",'FEBRERO 2026'!Y6:Y124,'FEBRERO 2026'!I6:I124)="MOLINOPAMPA")*('FEBRERO 2026'!K6:K124="PETROLEO")*'FEBRERO 2026'!M6:M124),0)</f>
        <v/>
      </c>
      <c r="D1371" s="377">
        <f>IFERROR(SUMPRODUCT((IF('FEBRERO 2026'!Y6:Y124&lt;&gt;"",'FEBRERO 2026'!Y6:Y124,'FEBRERO 2026'!I6:I124)="MOLINOPAMPA")*('FEBRERO 2026'!K6:K124="PETROLEO")*'FEBRERO 2026'!N6:N124),0)</f>
        <v/>
      </c>
      <c r="E1371" s="377">
        <f>IFERROR(SUMPRODUCT((IF('FEBRERO 2026'!Y6:Y124&lt;&gt;"",'FEBRERO 2026'!Y6:Y124,'FEBRERO 2026'!I6:I124)="MOLINOPAMPA")*('FEBRERO 2026'!K6:K124="GASOLINA")*'FEBRERO 2026'!M6:M124),0)</f>
        <v/>
      </c>
      <c r="F1371" s="377">
        <f>IFERROR(SUMPRODUCT((IF('FEBRERO 2026'!Y6:Y124&lt;&gt;"",'FEBRERO 2026'!Y6:Y124,'FEBRERO 2026'!I6:I124)="MOLINOPAMPA")*('FEBRERO 2026'!K6:K124="GASOLINA")*'FEBRERO 2026'!N6:N124),0)</f>
        <v/>
      </c>
    </row>
    <row r="1372" ht="15" customHeight="1" s="195">
      <c r="A1372" s="194" t="inlineStr">
        <is>
          <t>MOLINOPAMPA</t>
        </is>
      </c>
      <c r="B1372" s="194" t="inlineStr">
        <is>
          <t>MARZO 2026</t>
        </is>
      </c>
      <c r="C1372" s="377">
        <f>IFERROR(SUMPRODUCT((IF('MARZO 2026'!Y6:Y119&lt;&gt;"",'MARZO 2026'!Y6:Y119,'MARZO 2026'!I6:I119)="MOLINOPAMPA")*('MARZO 2026'!K6:K119="PETROLEO")*'MARZO 2026'!M6:M119),0)</f>
        <v/>
      </c>
      <c r="D1372" s="377">
        <f>IFERROR(SUMPRODUCT((IF('MARZO 2026'!Y6:Y119&lt;&gt;"",'MARZO 2026'!Y6:Y119,'MARZO 2026'!I6:I119)="MOLINOPAMPA")*('MARZO 2026'!K6:K119="PETROLEO")*'MARZO 2026'!N6:N119),0)</f>
        <v/>
      </c>
      <c r="E1372" s="377">
        <f>IFERROR(SUMPRODUCT((IF('MARZO 2026'!Y6:Y119&lt;&gt;"",'MARZO 2026'!Y6:Y119,'MARZO 2026'!I6:I119)="MOLINOPAMPA")*('MARZO 2026'!K6:K119="GASOLINA")*'MARZO 2026'!M6:M119),0)</f>
        <v/>
      </c>
      <c r="F1372" s="377">
        <f>IFERROR(SUMPRODUCT((IF('MARZO 2026'!Y6:Y119&lt;&gt;"",'MARZO 2026'!Y6:Y119,'MARZO 2026'!I6:I119)="MOLINOPAMPA")*('MARZO 2026'!K6:K119="GASOLINA")*'MARZO 2026'!N6:N119),0)</f>
        <v/>
      </c>
    </row>
    <row r="1373" ht="15" customHeight="1" s="195">
      <c r="A1373" s="194" t="inlineStr">
        <is>
          <t>MOLINOPAMPA</t>
        </is>
      </c>
      <c r="B1373" s="194" t="inlineStr">
        <is>
          <t>ABRIL 2026</t>
        </is>
      </c>
      <c r="C1373" s="377">
        <f>IFERROR(SUMPRODUCT((IF('ABRIL 2026'!Y6:Y119&lt;&gt;"",'ABRIL 2026'!Y6:Y119,'ABRIL 2026'!I6:I119)="MOLINOPAMPA")*('ABRIL 2026'!K6:K119="PETROLEO")*'ABRIL 2026'!M6:M119),0)</f>
        <v/>
      </c>
      <c r="D1373" s="377">
        <f>IFERROR(SUMPRODUCT((IF('ABRIL 2026'!Y6:Y119&lt;&gt;"",'ABRIL 2026'!Y6:Y119,'ABRIL 2026'!I6:I119)="MOLINOPAMPA")*('ABRIL 2026'!K6:K119="PETROLEO")*'ABRIL 2026'!N6:N119),0)</f>
        <v/>
      </c>
      <c r="E1373" s="377">
        <f>IFERROR(SUMPRODUCT((IF('ABRIL 2026'!Y6:Y119&lt;&gt;"",'ABRIL 2026'!Y6:Y119,'ABRIL 2026'!I6:I119)="MOLINOPAMPA")*('ABRIL 2026'!K6:K119="GASOLINA")*'ABRIL 2026'!M6:M119),0)</f>
        <v/>
      </c>
      <c r="F1373" s="377">
        <f>IFERROR(SUMPRODUCT((IF('ABRIL 2026'!Y6:Y119&lt;&gt;"",'ABRIL 2026'!Y6:Y119,'ABRIL 2026'!I6:I119)="MOLINOPAMPA")*('ABRIL 2026'!K6:K119="GASOLINA")*'ABRIL 2026'!N6:N119),0)</f>
        <v/>
      </c>
    </row>
    <row r="1374" ht="15" customHeight="1" s="195">
      <c r="A1374" s="194" t="inlineStr">
        <is>
          <t>MOLINOPAMPA</t>
        </is>
      </c>
      <c r="B1374" s="194" t="inlineStr">
        <is>
          <t>MAYO 2026</t>
        </is>
      </c>
      <c r="C1374" s="377">
        <f>IFERROR(SUMPRODUCT((IF('MAYO 2026'!Y6:Y110&lt;&gt;"",'MAYO 2026'!Y6:Y110,'MAYO 2026'!I6:I110)="MOLINOPAMPA")*('MAYO 2026'!K6:K110="PETROLEO")*'MAYO 2026'!M6:M110),0)</f>
        <v/>
      </c>
      <c r="D1374" s="377">
        <f>IFERROR(SUMPRODUCT((IF('MAYO 2026'!Y6:Y110&lt;&gt;"",'MAYO 2026'!Y6:Y110,'MAYO 2026'!I6:I110)="MOLINOPAMPA")*('MAYO 2026'!K6:K110="PETROLEO")*'MAYO 2026'!N6:N110),0)</f>
        <v/>
      </c>
      <c r="E1374" s="377">
        <f>IFERROR(SUMPRODUCT((IF('MAYO 2026'!Y6:Y110&lt;&gt;"",'MAYO 2026'!Y6:Y110,'MAYO 2026'!I6:I110)="MOLINOPAMPA")*('MAYO 2026'!K6:K110="GASOLINA")*'MAYO 2026'!M6:M110),0)</f>
        <v/>
      </c>
      <c r="F1374" s="377">
        <f>IFERROR(SUMPRODUCT((IF('MAYO 2026'!Y6:Y110&lt;&gt;"",'MAYO 2026'!Y6:Y110,'MAYO 2026'!I6:I110)="MOLINOPAMPA")*('MAYO 2026'!K6:K110="GASOLINA")*'MAYO 2026'!N6:N110),0)</f>
        <v/>
      </c>
    </row>
    <row r="1375" ht="15" customHeight="1" s="195">
      <c r="A1375" s="194" t="inlineStr">
        <is>
          <t>MOLINOPAMPA</t>
        </is>
      </c>
      <c r="B1375" s="194" t="inlineStr">
        <is>
          <t>JUNIO 2026</t>
        </is>
      </c>
      <c r="C1375" s="377">
        <f>IFERROR(SUMPRODUCT((IF('JUNIO 2026'!Y6:Y110&lt;&gt;"",'JUNIO 2026'!Y6:Y110,'JUNIO 2026'!I6:I110)="MOLINOPAMPA")*('JUNIO 2026'!K6:K110="PETROLEO")*'JUNIO 2026'!M6:M110),0)</f>
        <v/>
      </c>
      <c r="D1375" s="377">
        <f>IFERROR(SUMPRODUCT((IF('JUNIO 2026'!Y6:Y110&lt;&gt;"",'JUNIO 2026'!Y6:Y110,'JUNIO 2026'!I6:I110)="MOLINOPAMPA")*('JUNIO 2026'!K6:K110="PETROLEO")*'JUNIO 2026'!N6:N110),0)</f>
        <v/>
      </c>
      <c r="E1375" s="377">
        <f>IFERROR(SUMPRODUCT((IF('JUNIO 2026'!Y6:Y110&lt;&gt;"",'JUNIO 2026'!Y6:Y110,'JUNIO 2026'!I6:I110)="MOLINOPAMPA")*('JUNIO 2026'!K6:K110="GASOLINA")*'JUNIO 2026'!M6:M110),0)</f>
        <v/>
      </c>
      <c r="F1375" s="377">
        <f>IFERROR(SUMPRODUCT((IF('JUNIO 2026'!Y6:Y110&lt;&gt;"",'JUNIO 2026'!Y6:Y110,'JUNIO 2026'!I6:I110)="MOLINOPAMPA")*('JUNIO 2026'!K6:K110="GASOLINA")*'JUNIO 2026'!N6:N110),0)</f>
        <v/>
      </c>
    </row>
    <row r="1376" ht="15" customHeight="1" s="195">
      <c r="A1376" s="194" t="inlineStr">
        <is>
          <t>MOLINOPAMPA</t>
        </is>
      </c>
      <c r="B1376" s="194" t="inlineStr">
        <is>
          <t>JULIO 2026</t>
        </is>
      </c>
      <c r="C1376" s="377">
        <f>IFERROR(SUMPRODUCT((IF('JULIO 2026'!Y6:Y110&lt;&gt;"",'JULIO 2026'!Y6:Y110,'JULIO 2026'!I6:I110)="MOLINOPAMPA")*('JULIO 2026'!K6:K110="PETROLEO")*'JULIO 2026'!M6:M110),0)</f>
        <v/>
      </c>
      <c r="D1376" s="377">
        <f>IFERROR(SUMPRODUCT((IF('JULIO 2026'!Y6:Y110&lt;&gt;"",'JULIO 2026'!Y6:Y110,'JULIO 2026'!I6:I110)="MOLINOPAMPA")*('JULIO 2026'!K6:K110="PETROLEO")*'JULIO 2026'!N6:N110),0)</f>
        <v/>
      </c>
      <c r="E1376" s="377">
        <f>IFERROR(SUMPRODUCT((IF('JULIO 2026'!Y6:Y110&lt;&gt;"",'JULIO 2026'!Y6:Y110,'JULIO 2026'!I6:I110)="MOLINOPAMPA")*('JULIO 2026'!K6:K110="GASOLINA")*'JULIO 2026'!M6:M110),0)</f>
        <v/>
      </c>
      <c r="F1376" s="377">
        <f>IFERROR(SUMPRODUCT((IF('JULIO 2026'!Y6:Y110&lt;&gt;"",'JULIO 2026'!Y6:Y110,'JULIO 2026'!I6:I110)="MOLINOPAMPA")*('JULIO 2026'!K6:K110="GASOLINA")*'JULIO 2026'!N6:N110),0)</f>
        <v/>
      </c>
    </row>
    <row r="1377" ht="15" customHeight="1" s="195">
      <c r="A1377" s="194" t="inlineStr">
        <is>
          <t>MOLINOPAMPA</t>
        </is>
      </c>
      <c r="B1377" s="194" t="inlineStr">
        <is>
          <t>AGOSTO 2026</t>
        </is>
      </c>
      <c r="C1377" s="377">
        <f>IFERROR(SUMPRODUCT((IF('AGOSTO 2026'!Y6:Y110&lt;&gt;"",'AGOSTO 2026'!Y6:Y110,'AGOSTO 2026'!I6:I110)="MOLINOPAMPA")*('AGOSTO 2026'!K6:K110="PETROLEO")*'AGOSTO 2026'!M6:M110),0)</f>
        <v/>
      </c>
      <c r="D1377" s="377">
        <f>IFERROR(SUMPRODUCT((IF('AGOSTO 2026'!Y6:Y110&lt;&gt;"",'AGOSTO 2026'!Y6:Y110,'AGOSTO 2026'!I6:I110)="MOLINOPAMPA")*('AGOSTO 2026'!K6:K110="PETROLEO")*'AGOSTO 2026'!N6:N110),0)</f>
        <v/>
      </c>
      <c r="E1377" s="377">
        <f>IFERROR(SUMPRODUCT((IF('AGOSTO 2026'!Y6:Y110&lt;&gt;"",'AGOSTO 2026'!Y6:Y110,'AGOSTO 2026'!I6:I110)="MOLINOPAMPA")*('AGOSTO 2026'!K6:K110="GASOLINA")*'AGOSTO 2026'!M6:M110),0)</f>
        <v/>
      </c>
      <c r="F1377" s="377">
        <f>IFERROR(SUMPRODUCT((IF('AGOSTO 2026'!Y6:Y110&lt;&gt;"",'AGOSTO 2026'!Y6:Y110,'AGOSTO 2026'!I6:I110)="MOLINOPAMPA")*('AGOSTO 2026'!K6:K110="GASOLINA")*'AGOSTO 2026'!N6:N110),0)</f>
        <v/>
      </c>
    </row>
    <row r="1378" ht="15" customHeight="1" s="195">
      <c r="A1378" s="194" t="inlineStr">
        <is>
          <t>MOLINOPAMPA</t>
        </is>
      </c>
      <c r="B1378" s="194" t="inlineStr">
        <is>
          <t>SETIEMBRE 2026</t>
        </is>
      </c>
      <c r="C1378" s="377">
        <f>IFERROR(SUMPRODUCT((IF('SETIEMBRE 2026'!Y6:Y110&lt;&gt;"",'SETIEMBRE 2026'!Y6:Y110,'SETIEMBRE 2026'!I6:I110)="MOLINOPAMPA")*('SETIEMBRE 2026'!K6:K110="PETROLEO")*'SETIEMBRE 2026'!M6:M110),0)</f>
        <v/>
      </c>
      <c r="D1378" s="377">
        <f>IFERROR(SUMPRODUCT((IF('SETIEMBRE 2026'!Y6:Y110&lt;&gt;"",'SETIEMBRE 2026'!Y6:Y110,'SETIEMBRE 2026'!I6:I110)="MOLINOPAMPA")*('SETIEMBRE 2026'!K6:K110="PETROLEO")*'SETIEMBRE 2026'!N6:N110),0)</f>
        <v/>
      </c>
      <c r="E1378" s="377">
        <f>IFERROR(SUMPRODUCT((IF('SETIEMBRE 2026'!Y6:Y110&lt;&gt;"",'SETIEMBRE 2026'!Y6:Y110,'SETIEMBRE 2026'!I6:I110)="MOLINOPAMPA")*('SETIEMBRE 2026'!K6:K110="GASOLINA")*'SETIEMBRE 2026'!M6:M110),0)</f>
        <v/>
      </c>
      <c r="F1378" s="377">
        <f>IFERROR(SUMPRODUCT((IF('SETIEMBRE 2026'!Y6:Y110&lt;&gt;"",'SETIEMBRE 2026'!Y6:Y110,'SETIEMBRE 2026'!I6:I110)="MOLINOPAMPA")*('SETIEMBRE 2026'!K6:K110="GASOLINA")*'SETIEMBRE 2026'!N6:N110),0)</f>
        <v/>
      </c>
    </row>
    <row r="1379" ht="15" customHeight="1" s="195">
      <c r="A1379" s="194" t="inlineStr">
        <is>
          <t>MOLINOPAMPA</t>
        </is>
      </c>
      <c r="B1379" s="194" t="inlineStr">
        <is>
          <t>OCTUBRE 2026</t>
        </is>
      </c>
      <c r="C1379" s="377">
        <f>IFERROR(SUMPRODUCT((IF('OCTUBRE 2026'!Y6:Y110&lt;&gt;"",'OCTUBRE 2026'!Y6:Y110,'OCTUBRE 2026'!I6:I110)="MOLINOPAMPA")*('OCTUBRE 2026'!K6:K110="PETROLEO")*'OCTUBRE 2026'!M6:M110),0)</f>
        <v/>
      </c>
      <c r="D1379" s="377">
        <f>IFERROR(SUMPRODUCT((IF('OCTUBRE 2026'!Y6:Y110&lt;&gt;"",'OCTUBRE 2026'!Y6:Y110,'OCTUBRE 2026'!I6:I110)="MOLINOPAMPA")*('OCTUBRE 2026'!K6:K110="PETROLEO")*'OCTUBRE 2026'!N6:N110),0)</f>
        <v/>
      </c>
      <c r="E1379" s="377">
        <f>IFERROR(SUMPRODUCT((IF('OCTUBRE 2026'!Y6:Y110&lt;&gt;"",'OCTUBRE 2026'!Y6:Y110,'OCTUBRE 2026'!I6:I110)="MOLINOPAMPA")*('OCTUBRE 2026'!K6:K110="GASOLINA")*'OCTUBRE 2026'!M6:M110),0)</f>
        <v/>
      </c>
      <c r="F1379" s="377">
        <f>IFERROR(SUMPRODUCT((IF('OCTUBRE 2026'!Y6:Y110&lt;&gt;"",'OCTUBRE 2026'!Y6:Y110,'OCTUBRE 2026'!I6:I110)="MOLINOPAMPA")*('OCTUBRE 2026'!K6:K110="GASOLINA")*'OCTUBRE 2026'!N6:N110),0)</f>
        <v/>
      </c>
    </row>
    <row r="1380" ht="15" customHeight="1" s="195">
      <c r="A1380" s="194" t="inlineStr">
        <is>
          <t>MOLINOPAMPA</t>
        </is>
      </c>
      <c r="B1380" s="194" t="inlineStr">
        <is>
          <t>NOVIEMBRE 2026</t>
        </is>
      </c>
      <c r="C1380" s="377">
        <f>IFERROR(SUMPRODUCT((IF('NOVIEMBRE 2026'!Y6:Y110&lt;&gt;"",'NOVIEMBRE 2026'!Y6:Y110,'NOVIEMBRE 2026'!I6:I110)="MOLINOPAMPA")*('NOVIEMBRE 2026'!K6:K110="PETROLEO")*'NOVIEMBRE 2026'!M6:M110),0)</f>
        <v/>
      </c>
      <c r="D1380" s="377">
        <f>IFERROR(SUMPRODUCT((IF('NOVIEMBRE 2026'!Y6:Y110&lt;&gt;"",'NOVIEMBRE 2026'!Y6:Y110,'NOVIEMBRE 2026'!I6:I110)="MOLINOPAMPA")*('NOVIEMBRE 2026'!K6:K110="PETROLEO")*'NOVIEMBRE 2026'!N6:N110),0)</f>
        <v/>
      </c>
      <c r="E1380" s="377">
        <f>IFERROR(SUMPRODUCT((IF('NOVIEMBRE 2026'!Y6:Y110&lt;&gt;"",'NOVIEMBRE 2026'!Y6:Y110,'NOVIEMBRE 2026'!I6:I110)="MOLINOPAMPA")*('NOVIEMBRE 2026'!K6:K110="GASOLINA")*'NOVIEMBRE 2026'!M6:M110),0)</f>
        <v/>
      </c>
      <c r="F1380" s="377">
        <f>IFERROR(SUMPRODUCT((IF('NOVIEMBRE 2026'!Y6:Y110&lt;&gt;"",'NOVIEMBRE 2026'!Y6:Y110,'NOVIEMBRE 2026'!I6:I110)="MOLINOPAMPA")*('NOVIEMBRE 2026'!K6:K110="GASOLINA")*'NOVIEMBRE 2026'!N6:N110),0)</f>
        <v/>
      </c>
    </row>
    <row r="1381" ht="15" customHeight="1" s="195">
      <c r="A1381" s="194" t="inlineStr">
        <is>
          <t>MOLINOPAMPA</t>
        </is>
      </c>
      <c r="B1381" s="194" t="inlineStr">
        <is>
          <t>DICIEMBRE 2026</t>
        </is>
      </c>
      <c r="C1381" s="377">
        <f>IFERROR(SUMPRODUCT((IF('DICIEMBRE 2026'!Y6:Y110&lt;&gt;"",'DICIEMBRE 2026'!Y6:Y110,'DICIEMBRE 2026'!I6:I110)="MOLINOPAMPA")*('DICIEMBRE 2026'!K6:K110="PETROLEO")*'DICIEMBRE 2026'!M6:M110),0)</f>
        <v/>
      </c>
      <c r="D1381" s="377">
        <f>IFERROR(SUMPRODUCT((IF('DICIEMBRE 2026'!Y6:Y110&lt;&gt;"",'DICIEMBRE 2026'!Y6:Y110,'DICIEMBRE 2026'!I6:I110)="MOLINOPAMPA")*('DICIEMBRE 2026'!K6:K110="PETROLEO")*'DICIEMBRE 2026'!N6:N110),0)</f>
        <v/>
      </c>
      <c r="E1381" s="377">
        <f>IFERROR(SUMPRODUCT((IF('DICIEMBRE 2026'!Y6:Y110&lt;&gt;"",'DICIEMBRE 2026'!Y6:Y110,'DICIEMBRE 2026'!I6:I110)="MOLINOPAMPA")*('DICIEMBRE 2026'!K6:K110="GASOLINA")*'DICIEMBRE 2026'!M6:M110),0)</f>
        <v/>
      </c>
      <c r="F1381" s="377">
        <f>IFERROR(SUMPRODUCT((IF('DICIEMBRE 2026'!Y6:Y110&lt;&gt;"",'DICIEMBRE 2026'!Y6:Y110,'DICIEMBRE 2026'!I6:I110)="MOLINOPAMPA")*('DICIEMBRE 2026'!K6:K110="GASOLINA")*'DICIEMBRE 2026'!N6:N110),0)</f>
        <v/>
      </c>
    </row>
    <row r="1382" ht="15" customHeight="1" s="195">
      <c r="A1382" s="194" t="inlineStr">
        <is>
          <t>NUEVO CHIRIMOTO</t>
        </is>
      </c>
      <c r="B1382" s="194" t="inlineStr">
        <is>
          <t>ENERO 2026</t>
        </is>
      </c>
      <c r="C1382" s="377">
        <f>IFERROR(SUMPRODUCT((IF('ENERO 2026'!Y6:Y119&lt;&gt;"",'ENERO 2026'!Y6:Y119,'ENERO 2026'!I6:I119)="NUEVO CHIRIMOTO")*('ENERO 2026'!K6:K119="PETROLEO")*'ENERO 2026'!M6:M119),0)</f>
        <v/>
      </c>
      <c r="D1382" s="377">
        <f>IFERROR(SUMPRODUCT((IF('ENERO 2026'!Y6:Y119&lt;&gt;"",'ENERO 2026'!Y6:Y119,'ENERO 2026'!I6:I119)="NUEVO CHIRIMOTO")*('ENERO 2026'!K6:K119="PETROLEO")*'ENERO 2026'!N6:N119),0)</f>
        <v/>
      </c>
      <c r="E1382" s="377">
        <f>IFERROR(SUMPRODUCT((IF('ENERO 2026'!Y6:Y119&lt;&gt;"",'ENERO 2026'!Y6:Y119,'ENERO 2026'!I6:I119)="NUEVO CHIRIMOTO")*('ENERO 2026'!K6:K119="GASOLINA")*'ENERO 2026'!M6:M119),0)</f>
        <v/>
      </c>
      <c r="F1382" s="377">
        <f>IFERROR(SUMPRODUCT((IF('ENERO 2026'!Y6:Y119&lt;&gt;"",'ENERO 2026'!Y6:Y119,'ENERO 2026'!I6:I119)="NUEVO CHIRIMOTO")*('ENERO 2026'!K6:K119="GASOLINA")*'ENERO 2026'!N6:N119),0)</f>
        <v/>
      </c>
    </row>
    <row r="1383" ht="15" customHeight="1" s="195">
      <c r="A1383" s="194" t="inlineStr">
        <is>
          <t>NUEVO CHIRIMOTO</t>
        </is>
      </c>
      <c r="B1383" s="194" t="inlineStr">
        <is>
          <t>FEBRERO 2026</t>
        </is>
      </c>
      <c r="C1383" s="377">
        <f>IFERROR(SUMPRODUCT((IF('FEBRERO 2026'!Y6:Y124&lt;&gt;"",'FEBRERO 2026'!Y6:Y124,'FEBRERO 2026'!I6:I124)="NUEVO CHIRIMOTO")*('FEBRERO 2026'!K6:K124="PETROLEO")*'FEBRERO 2026'!M6:M124),0)</f>
        <v/>
      </c>
      <c r="D1383" s="377">
        <f>IFERROR(SUMPRODUCT((IF('FEBRERO 2026'!Y6:Y124&lt;&gt;"",'FEBRERO 2026'!Y6:Y124,'FEBRERO 2026'!I6:I124)="NUEVO CHIRIMOTO")*('FEBRERO 2026'!K6:K124="PETROLEO")*'FEBRERO 2026'!N6:N124),0)</f>
        <v/>
      </c>
      <c r="E1383" s="377">
        <f>IFERROR(SUMPRODUCT((IF('FEBRERO 2026'!Y6:Y124&lt;&gt;"",'FEBRERO 2026'!Y6:Y124,'FEBRERO 2026'!I6:I124)="NUEVO CHIRIMOTO")*('FEBRERO 2026'!K6:K124="GASOLINA")*'FEBRERO 2026'!M6:M124),0)</f>
        <v/>
      </c>
      <c r="F1383" s="377">
        <f>IFERROR(SUMPRODUCT((IF('FEBRERO 2026'!Y6:Y124&lt;&gt;"",'FEBRERO 2026'!Y6:Y124,'FEBRERO 2026'!I6:I124)="NUEVO CHIRIMOTO")*('FEBRERO 2026'!K6:K124="GASOLINA")*'FEBRERO 2026'!N6:N124),0)</f>
        <v/>
      </c>
    </row>
    <row r="1384" ht="15" customHeight="1" s="195">
      <c r="A1384" s="194" t="inlineStr">
        <is>
          <t>NUEVO CHIRIMOTO</t>
        </is>
      </c>
      <c r="B1384" s="194" t="inlineStr">
        <is>
          <t>MARZO 2026</t>
        </is>
      </c>
      <c r="C1384" s="377">
        <f>IFERROR(SUMPRODUCT((IF('MARZO 2026'!Y6:Y119&lt;&gt;"",'MARZO 2026'!Y6:Y119,'MARZO 2026'!I6:I119)="NUEVO CHIRIMOTO")*('MARZO 2026'!K6:K119="PETROLEO")*'MARZO 2026'!M6:M119),0)</f>
        <v/>
      </c>
      <c r="D1384" s="377">
        <f>IFERROR(SUMPRODUCT((IF('MARZO 2026'!Y6:Y119&lt;&gt;"",'MARZO 2026'!Y6:Y119,'MARZO 2026'!I6:I119)="NUEVO CHIRIMOTO")*('MARZO 2026'!K6:K119="PETROLEO")*'MARZO 2026'!N6:N119),0)</f>
        <v/>
      </c>
      <c r="E1384" s="377">
        <f>IFERROR(SUMPRODUCT((IF('MARZO 2026'!Y6:Y119&lt;&gt;"",'MARZO 2026'!Y6:Y119,'MARZO 2026'!I6:I119)="NUEVO CHIRIMOTO")*('MARZO 2026'!K6:K119="GASOLINA")*'MARZO 2026'!M6:M119),0)</f>
        <v/>
      </c>
      <c r="F1384" s="377">
        <f>IFERROR(SUMPRODUCT((IF('MARZO 2026'!Y6:Y119&lt;&gt;"",'MARZO 2026'!Y6:Y119,'MARZO 2026'!I6:I119)="NUEVO CHIRIMOTO")*('MARZO 2026'!K6:K119="GASOLINA")*'MARZO 2026'!N6:N119),0)</f>
        <v/>
      </c>
    </row>
    <row r="1385" ht="15" customHeight="1" s="195">
      <c r="A1385" s="194" t="inlineStr">
        <is>
          <t>NUEVO CHIRIMOTO</t>
        </is>
      </c>
      <c r="B1385" s="194" t="inlineStr">
        <is>
          <t>ABRIL 2026</t>
        </is>
      </c>
      <c r="C1385" s="377">
        <f>IFERROR(SUMPRODUCT((IF('ABRIL 2026'!Y6:Y119&lt;&gt;"",'ABRIL 2026'!Y6:Y119,'ABRIL 2026'!I6:I119)="NUEVO CHIRIMOTO")*('ABRIL 2026'!K6:K119="PETROLEO")*'ABRIL 2026'!M6:M119),0)</f>
        <v/>
      </c>
      <c r="D1385" s="377">
        <f>IFERROR(SUMPRODUCT((IF('ABRIL 2026'!Y6:Y119&lt;&gt;"",'ABRIL 2026'!Y6:Y119,'ABRIL 2026'!I6:I119)="NUEVO CHIRIMOTO")*('ABRIL 2026'!K6:K119="PETROLEO")*'ABRIL 2026'!N6:N119),0)</f>
        <v/>
      </c>
      <c r="E1385" s="377">
        <f>IFERROR(SUMPRODUCT((IF('ABRIL 2026'!Y6:Y119&lt;&gt;"",'ABRIL 2026'!Y6:Y119,'ABRIL 2026'!I6:I119)="NUEVO CHIRIMOTO")*('ABRIL 2026'!K6:K119="GASOLINA")*'ABRIL 2026'!M6:M119),0)</f>
        <v/>
      </c>
      <c r="F1385" s="377">
        <f>IFERROR(SUMPRODUCT((IF('ABRIL 2026'!Y6:Y119&lt;&gt;"",'ABRIL 2026'!Y6:Y119,'ABRIL 2026'!I6:I119)="NUEVO CHIRIMOTO")*('ABRIL 2026'!K6:K119="GASOLINA")*'ABRIL 2026'!N6:N119),0)</f>
        <v/>
      </c>
    </row>
    <row r="1386" ht="15" customHeight="1" s="195">
      <c r="A1386" s="194" t="inlineStr">
        <is>
          <t>NUEVO CHIRIMOTO</t>
        </is>
      </c>
      <c r="B1386" s="194" t="inlineStr">
        <is>
          <t>MAYO 2026</t>
        </is>
      </c>
      <c r="C1386" s="377">
        <f>IFERROR(SUMPRODUCT((IF('MAYO 2026'!Y6:Y110&lt;&gt;"",'MAYO 2026'!Y6:Y110,'MAYO 2026'!I6:I110)="NUEVO CHIRIMOTO")*('MAYO 2026'!K6:K110="PETROLEO")*'MAYO 2026'!M6:M110),0)</f>
        <v/>
      </c>
      <c r="D1386" s="377">
        <f>IFERROR(SUMPRODUCT((IF('MAYO 2026'!Y6:Y110&lt;&gt;"",'MAYO 2026'!Y6:Y110,'MAYO 2026'!I6:I110)="NUEVO CHIRIMOTO")*('MAYO 2026'!K6:K110="PETROLEO")*'MAYO 2026'!N6:N110),0)</f>
        <v/>
      </c>
      <c r="E1386" s="377">
        <f>IFERROR(SUMPRODUCT((IF('MAYO 2026'!Y6:Y110&lt;&gt;"",'MAYO 2026'!Y6:Y110,'MAYO 2026'!I6:I110)="NUEVO CHIRIMOTO")*('MAYO 2026'!K6:K110="GASOLINA")*'MAYO 2026'!M6:M110),0)</f>
        <v/>
      </c>
      <c r="F1386" s="377">
        <f>IFERROR(SUMPRODUCT((IF('MAYO 2026'!Y6:Y110&lt;&gt;"",'MAYO 2026'!Y6:Y110,'MAYO 2026'!I6:I110)="NUEVO CHIRIMOTO")*('MAYO 2026'!K6:K110="GASOLINA")*'MAYO 2026'!N6:N110),0)</f>
        <v/>
      </c>
    </row>
    <row r="1387" ht="15" customHeight="1" s="195">
      <c r="A1387" s="194" t="inlineStr">
        <is>
          <t>NUEVO CHIRIMOTO</t>
        </is>
      </c>
      <c r="B1387" s="194" t="inlineStr">
        <is>
          <t>JUNIO 2026</t>
        </is>
      </c>
      <c r="C1387" s="377">
        <f>IFERROR(SUMPRODUCT((IF('JUNIO 2026'!Y6:Y110&lt;&gt;"",'JUNIO 2026'!Y6:Y110,'JUNIO 2026'!I6:I110)="NUEVO CHIRIMOTO")*('JUNIO 2026'!K6:K110="PETROLEO")*'JUNIO 2026'!M6:M110),0)</f>
        <v/>
      </c>
      <c r="D1387" s="377">
        <f>IFERROR(SUMPRODUCT((IF('JUNIO 2026'!Y6:Y110&lt;&gt;"",'JUNIO 2026'!Y6:Y110,'JUNIO 2026'!I6:I110)="NUEVO CHIRIMOTO")*('JUNIO 2026'!K6:K110="PETROLEO")*'JUNIO 2026'!N6:N110),0)</f>
        <v/>
      </c>
      <c r="E1387" s="377">
        <f>IFERROR(SUMPRODUCT((IF('JUNIO 2026'!Y6:Y110&lt;&gt;"",'JUNIO 2026'!Y6:Y110,'JUNIO 2026'!I6:I110)="NUEVO CHIRIMOTO")*('JUNIO 2026'!K6:K110="GASOLINA")*'JUNIO 2026'!M6:M110),0)</f>
        <v/>
      </c>
      <c r="F1387" s="377">
        <f>IFERROR(SUMPRODUCT((IF('JUNIO 2026'!Y6:Y110&lt;&gt;"",'JUNIO 2026'!Y6:Y110,'JUNIO 2026'!I6:I110)="NUEVO CHIRIMOTO")*('JUNIO 2026'!K6:K110="GASOLINA")*'JUNIO 2026'!N6:N110),0)</f>
        <v/>
      </c>
    </row>
    <row r="1388" ht="15" customHeight="1" s="195">
      <c r="A1388" s="194" t="inlineStr">
        <is>
          <t>NUEVO CHIRIMOTO</t>
        </is>
      </c>
      <c r="B1388" s="194" t="inlineStr">
        <is>
          <t>JULIO 2026</t>
        </is>
      </c>
      <c r="C1388" s="377">
        <f>IFERROR(SUMPRODUCT((IF('JULIO 2026'!Y6:Y110&lt;&gt;"",'JULIO 2026'!Y6:Y110,'JULIO 2026'!I6:I110)="NUEVO CHIRIMOTO")*('JULIO 2026'!K6:K110="PETROLEO")*'JULIO 2026'!M6:M110),0)</f>
        <v/>
      </c>
      <c r="D1388" s="377">
        <f>IFERROR(SUMPRODUCT((IF('JULIO 2026'!Y6:Y110&lt;&gt;"",'JULIO 2026'!Y6:Y110,'JULIO 2026'!I6:I110)="NUEVO CHIRIMOTO")*('JULIO 2026'!K6:K110="PETROLEO")*'JULIO 2026'!N6:N110),0)</f>
        <v/>
      </c>
      <c r="E1388" s="377">
        <f>IFERROR(SUMPRODUCT((IF('JULIO 2026'!Y6:Y110&lt;&gt;"",'JULIO 2026'!Y6:Y110,'JULIO 2026'!I6:I110)="NUEVO CHIRIMOTO")*('JULIO 2026'!K6:K110="GASOLINA")*'JULIO 2026'!M6:M110),0)</f>
        <v/>
      </c>
      <c r="F1388" s="377">
        <f>IFERROR(SUMPRODUCT((IF('JULIO 2026'!Y6:Y110&lt;&gt;"",'JULIO 2026'!Y6:Y110,'JULIO 2026'!I6:I110)="NUEVO CHIRIMOTO")*('JULIO 2026'!K6:K110="GASOLINA")*'JULIO 2026'!N6:N110),0)</f>
        <v/>
      </c>
    </row>
    <row r="1389" ht="15" customHeight="1" s="195">
      <c r="A1389" s="194" t="inlineStr">
        <is>
          <t>NUEVO CHIRIMOTO</t>
        </is>
      </c>
      <c r="B1389" s="194" t="inlineStr">
        <is>
          <t>AGOSTO 2026</t>
        </is>
      </c>
      <c r="C1389" s="377">
        <f>IFERROR(SUMPRODUCT((IF('AGOSTO 2026'!Y6:Y110&lt;&gt;"",'AGOSTO 2026'!Y6:Y110,'AGOSTO 2026'!I6:I110)="NUEVO CHIRIMOTO")*('AGOSTO 2026'!K6:K110="PETROLEO")*'AGOSTO 2026'!M6:M110),0)</f>
        <v/>
      </c>
      <c r="D1389" s="377">
        <f>IFERROR(SUMPRODUCT((IF('AGOSTO 2026'!Y6:Y110&lt;&gt;"",'AGOSTO 2026'!Y6:Y110,'AGOSTO 2026'!I6:I110)="NUEVO CHIRIMOTO")*('AGOSTO 2026'!K6:K110="PETROLEO")*'AGOSTO 2026'!N6:N110),0)</f>
        <v/>
      </c>
      <c r="E1389" s="377">
        <f>IFERROR(SUMPRODUCT((IF('AGOSTO 2026'!Y6:Y110&lt;&gt;"",'AGOSTO 2026'!Y6:Y110,'AGOSTO 2026'!I6:I110)="NUEVO CHIRIMOTO")*('AGOSTO 2026'!K6:K110="GASOLINA")*'AGOSTO 2026'!M6:M110),0)</f>
        <v/>
      </c>
      <c r="F1389" s="377">
        <f>IFERROR(SUMPRODUCT((IF('AGOSTO 2026'!Y6:Y110&lt;&gt;"",'AGOSTO 2026'!Y6:Y110,'AGOSTO 2026'!I6:I110)="NUEVO CHIRIMOTO")*('AGOSTO 2026'!K6:K110="GASOLINA")*'AGOSTO 2026'!N6:N110),0)</f>
        <v/>
      </c>
    </row>
    <row r="1390" ht="15" customHeight="1" s="195">
      <c r="A1390" s="194" t="inlineStr">
        <is>
          <t>NUEVO CHIRIMOTO</t>
        </is>
      </c>
      <c r="B1390" s="194" t="inlineStr">
        <is>
          <t>SETIEMBRE 2026</t>
        </is>
      </c>
      <c r="C1390" s="377">
        <f>IFERROR(SUMPRODUCT((IF('SETIEMBRE 2026'!Y6:Y110&lt;&gt;"",'SETIEMBRE 2026'!Y6:Y110,'SETIEMBRE 2026'!I6:I110)="NUEVO CHIRIMOTO")*('SETIEMBRE 2026'!K6:K110="PETROLEO")*'SETIEMBRE 2026'!M6:M110),0)</f>
        <v/>
      </c>
      <c r="D1390" s="377">
        <f>IFERROR(SUMPRODUCT((IF('SETIEMBRE 2026'!Y6:Y110&lt;&gt;"",'SETIEMBRE 2026'!Y6:Y110,'SETIEMBRE 2026'!I6:I110)="NUEVO CHIRIMOTO")*('SETIEMBRE 2026'!K6:K110="PETROLEO")*'SETIEMBRE 2026'!N6:N110),0)</f>
        <v/>
      </c>
      <c r="E1390" s="377">
        <f>IFERROR(SUMPRODUCT((IF('SETIEMBRE 2026'!Y6:Y110&lt;&gt;"",'SETIEMBRE 2026'!Y6:Y110,'SETIEMBRE 2026'!I6:I110)="NUEVO CHIRIMOTO")*('SETIEMBRE 2026'!K6:K110="GASOLINA")*'SETIEMBRE 2026'!M6:M110),0)</f>
        <v/>
      </c>
      <c r="F1390" s="377">
        <f>IFERROR(SUMPRODUCT((IF('SETIEMBRE 2026'!Y6:Y110&lt;&gt;"",'SETIEMBRE 2026'!Y6:Y110,'SETIEMBRE 2026'!I6:I110)="NUEVO CHIRIMOTO")*('SETIEMBRE 2026'!K6:K110="GASOLINA")*'SETIEMBRE 2026'!N6:N110),0)</f>
        <v/>
      </c>
    </row>
    <row r="1391" ht="15" customHeight="1" s="195">
      <c r="A1391" s="194" t="inlineStr">
        <is>
          <t>NUEVO CHIRIMOTO</t>
        </is>
      </c>
      <c r="B1391" s="194" t="inlineStr">
        <is>
          <t>OCTUBRE 2026</t>
        </is>
      </c>
      <c r="C1391" s="377">
        <f>IFERROR(SUMPRODUCT((IF('OCTUBRE 2026'!Y6:Y110&lt;&gt;"",'OCTUBRE 2026'!Y6:Y110,'OCTUBRE 2026'!I6:I110)="NUEVO CHIRIMOTO")*('OCTUBRE 2026'!K6:K110="PETROLEO")*'OCTUBRE 2026'!M6:M110),0)</f>
        <v/>
      </c>
      <c r="D1391" s="377">
        <f>IFERROR(SUMPRODUCT((IF('OCTUBRE 2026'!Y6:Y110&lt;&gt;"",'OCTUBRE 2026'!Y6:Y110,'OCTUBRE 2026'!I6:I110)="NUEVO CHIRIMOTO")*('OCTUBRE 2026'!K6:K110="PETROLEO")*'OCTUBRE 2026'!N6:N110),0)</f>
        <v/>
      </c>
      <c r="E1391" s="377">
        <f>IFERROR(SUMPRODUCT((IF('OCTUBRE 2026'!Y6:Y110&lt;&gt;"",'OCTUBRE 2026'!Y6:Y110,'OCTUBRE 2026'!I6:I110)="NUEVO CHIRIMOTO")*('OCTUBRE 2026'!K6:K110="GASOLINA")*'OCTUBRE 2026'!M6:M110),0)</f>
        <v/>
      </c>
      <c r="F1391" s="377">
        <f>IFERROR(SUMPRODUCT((IF('OCTUBRE 2026'!Y6:Y110&lt;&gt;"",'OCTUBRE 2026'!Y6:Y110,'OCTUBRE 2026'!I6:I110)="NUEVO CHIRIMOTO")*('OCTUBRE 2026'!K6:K110="GASOLINA")*'OCTUBRE 2026'!N6:N110),0)</f>
        <v/>
      </c>
    </row>
    <row r="1392" ht="15" customHeight="1" s="195">
      <c r="A1392" s="194" t="inlineStr">
        <is>
          <t>NUEVO CHIRIMOTO</t>
        </is>
      </c>
      <c r="B1392" s="194" t="inlineStr">
        <is>
          <t>NOVIEMBRE 2026</t>
        </is>
      </c>
      <c r="C1392" s="377">
        <f>IFERROR(SUMPRODUCT((IF('NOVIEMBRE 2026'!Y6:Y110&lt;&gt;"",'NOVIEMBRE 2026'!Y6:Y110,'NOVIEMBRE 2026'!I6:I110)="NUEVO CHIRIMOTO")*('NOVIEMBRE 2026'!K6:K110="PETROLEO")*'NOVIEMBRE 2026'!M6:M110),0)</f>
        <v/>
      </c>
      <c r="D1392" s="377">
        <f>IFERROR(SUMPRODUCT((IF('NOVIEMBRE 2026'!Y6:Y110&lt;&gt;"",'NOVIEMBRE 2026'!Y6:Y110,'NOVIEMBRE 2026'!I6:I110)="NUEVO CHIRIMOTO")*('NOVIEMBRE 2026'!K6:K110="PETROLEO")*'NOVIEMBRE 2026'!N6:N110),0)</f>
        <v/>
      </c>
      <c r="E1392" s="377">
        <f>IFERROR(SUMPRODUCT((IF('NOVIEMBRE 2026'!Y6:Y110&lt;&gt;"",'NOVIEMBRE 2026'!Y6:Y110,'NOVIEMBRE 2026'!I6:I110)="NUEVO CHIRIMOTO")*('NOVIEMBRE 2026'!K6:K110="GASOLINA")*'NOVIEMBRE 2026'!M6:M110),0)</f>
        <v/>
      </c>
      <c r="F1392" s="377">
        <f>IFERROR(SUMPRODUCT((IF('NOVIEMBRE 2026'!Y6:Y110&lt;&gt;"",'NOVIEMBRE 2026'!Y6:Y110,'NOVIEMBRE 2026'!I6:I110)="NUEVO CHIRIMOTO")*('NOVIEMBRE 2026'!K6:K110="GASOLINA")*'NOVIEMBRE 2026'!N6:N110),0)</f>
        <v/>
      </c>
    </row>
    <row r="1393" ht="15" customHeight="1" s="195">
      <c r="A1393" s="194" t="inlineStr">
        <is>
          <t>NUEVO CHIRIMOTO</t>
        </is>
      </c>
      <c r="B1393" s="194" t="inlineStr">
        <is>
          <t>DICIEMBRE 2026</t>
        </is>
      </c>
      <c r="C1393" s="377">
        <f>IFERROR(SUMPRODUCT((IF('DICIEMBRE 2026'!Y6:Y110&lt;&gt;"",'DICIEMBRE 2026'!Y6:Y110,'DICIEMBRE 2026'!I6:I110)="NUEVO CHIRIMOTO")*('DICIEMBRE 2026'!K6:K110="PETROLEO")*'DICIEMBRE 2026'!M6:M110),0)</f>
        <v/>
      </c>
      <c r="D1393" s="377">
        <f>IFERROR(SUMPRODUCT((IF('DICIEMBRE 2026'!Y6:Y110&lt;&gt;"",'DICIEMBRE 2026'!Y6:Y110,'DICIEMBRE 2026'!I6:I110)="NUEVO CHIRIMOTO")*('DICIEMBRE 2026'!K6:K110="PETROLEO")*'DICIEMBRE 2026'!N6:N110),0)</f>
        <v/>
      </c>
      <c r="E1393" s="377">
        <f>IFERROR(SUMPRODUCT((IF('DICIEMBRE 2026'!Y6:Y110&lt;&gt;"",'DICIEMBRE 2026'!Y6:Y110,'DICIEMBRE 2026'!I6:I110)="NUEVO CHIRIMOTO")*('DICIEMBRE 2026'!K6:K110="GASOLINA")*'DICIEMBRE 2026'!M6:M110),0)</f>
        <v/>
      </c>
      <c r="F1393" s="377">
        <f>IFERROR(SUMPRODUCT((IF('DICIEMBRE 2026'!Y6:Y110&lt;&gt;"",'DICIEMBRE 2026'!Y6:Y110,'DICIEMBRE 2026'!I6:I110)="NUEVO CHIRIMOTO")*('DICIEMBRE 2026'!K6:K110="GASOLINA")*'DICIEMBRE 2026'!N6:N110),0)</f>
        <v/>
      </c>
    </row>
    <row r="1394" ht="15" customHeight="1" s="195">
      <c r="A1394" s="194" t="inlineStr">
        <is>
          <t>OCALLI</t>
        </is>
      </c>
      <c r="B1394" s="194" t="inlineStr">
        <is>
          <t>ENERO 2026</t>
        </is>
      </c>
      <c r="C1394" s="377">
        <f>IFERROR(SUMPRODUCT((IF('ENERO 2026'!Y6:Y119&lt;&gt;"",'ENERO 2026'!Y6:Y119,'ENERO 2026'!I6:I119)="OCALLI")*('ENERO 2026'!K6:K119="PETROLEO")*'ENERO 2026'!M6:M119),0)</f>
        <v/>
      </c>
      <c r="D1394" s="377">
        <f>IFERROR(SUMPRODUCT((IF('ENERO 2026'!Y6:Y119&lt;&gt;"",'ENERO 2026'!Y6:Y119,'ENERO 2026'!I6:I119)="OCALLI")*('ENERO 2026'!K6:K119="PETROLEO")*'ENERO 2026'!N6:N119),0)</f>
        <v/>
      </c>
      <c r="E1394" s="377">
        <f>IFERROR(SUMPRODUCT((IF('ENERO 2026'!Y6:Y119&lt;&gt;"",'ENERO 2026'!Y6:Y119,'ENERO 2026'!I6:I119)="OCALLI")*('ENERO 2026'!K6:K119="GASOLINA")*'ENERO 2026'!M6:M119),0)</f>
        <v/>
      </c>
      <c r="F1394" s="377">
        <f>IFERROR(SUMPRODUCT((IF('ENERO 2026'!Y6:Y119&lt;&gt;"",'ENERO 2026'!Y6:Y119,'ENERO 2026'!I6:I119)="OCALLI")*('ENERO 2026'!K6:K119="GASOLINA")*'ENERO 2026'!N6:N119),0)</f>
        <v/>
      </c>
    </row>
    <row r="1395" ht="15" customHeight="1" s="195">
      <c r="A1395" s="194" t="inlineStr">
        <is>
          <t>OCALLI</t>
        </is>
      </c>
      <c r="B1395" s="194" t="inlineStr">
        <is>
          <t>FEBRERO 2026</t>
        </is>
      </c>
      <c r="C1395" s="377">
        <f>IFERROR(SUMPRODUCT((IF('FEBRERO 2026'!Y6:Y124&lt;&gt;"",'FEBRERO 2026'!Y6:Y124,'FEBRERO 2026'!I6:I124)="OCALLI")*('FEBRERO 2026'!K6:K124="PETROLEO")*'FEBRERO 2026'!M6:M124),0)</f>
        <v/>
      </c>
      <c r="D1395" s="377">
        <f>IFERROR(SUMPRODUCT((IF('FEBRERO 2026'!Y6:Y124&lt;&gt;"",'FEBRERO 2026'!Y6:Y124,'FEBRERO 2026'!I6:I124)="OCALLI")*('FEBRERO 2026'!K6:K124="PETROLEO")*'FEBRERO 2026'!N6:N124),0)</f>
        <v/>
      </c>
      <c r="E1395" s="377">
        <f>IFERROR(SUMPRODUCT((IF('FEBRERO 2026'!Y6:Y124&lt;&gt;"",'FEBRERO 2026'!Y6:Y124,'FEBRERO 2026'!I6:I124)="OCALLI")*('FEBRERO 2026'!K6:K124="GASOLINA")*'FEBRERO 2026'!M6:M124),0)</f>
        <v/>
      </c>
      <c r="F1395" s="377">
        <f>IFERROR(SUMPRODUCT((IF('FEBRERO 2026'!Y6:Y124&lt;&gt;"",'FEBRERO 2026'!Y6:Y124,'FEBRERO 2026'!I6:I124)="OCALLI")*('FEBRERO 2026'!K6:K124="GASOLINA")*'FEBRERO 2026'!N6:N124),0)</f>
        <v/>
      </c>
    </row>
    <row r="1396" ht="15" customHeight="1" s="195">
      <c r="A1396" s="194" t="inlineStr">
        <is>
          <t>OCALLI</t>
        </is>
      </c>
      <c r="B1396" s="194" t="inlineStr">
        <is>
          <t>MARZO 2026</t>
        </is>
      </c>
      <c r="C1396" s="377">
        <f>IFERROR(SUMPRODUCT((IF('MARZO 2026'!Y6:Y119&lt;&gt;"",'MARZO 2026'!Y6:Y119,'MARZO 2026'!I6:I119)="OCALLI")*('MARZO 2026'!K6:K119="PETROLEO")*'MARZO 2026'!M6:M119),0)</f>
        <v/>
      </c>
      <c r="D1396" s="377">
        <f>IFERROR(SUMPRODUCT((IF('MARZO 2026'!Y6:Y119&lt;&gt;"",'MARZO 2026'!Y6:Y119,'MARZO 2026'!I6:I119)="OCALLI")*('MARZO 2026'!K6:K119="PETROLEO")*'MARZO 2026'!N6:N119),0)</f>
        <v/>
      </c>
      <c r="E1396" s="377">
        <f>IFERROR(SUMPRODUCT((IF('MARZO 2026'!Y6:Y119&lt;&gt;"",'MARZO 2026'!Y6:Y119,'MARZO 2026'!I6:I119)="OCALLI")*('MARZO 2026'!K6:K119="GASOLINA")*'MARZO 2026'!M6:M119),0)</f>
        <v/>
      </c>
      <c r="F1396" s="377">
        <f>IFERROR(SUMPRODUCT((IF('MARZO 2026'!Y6:Y119&lt;&gt;"",'MARZO 2026'!Y6:Y119,'MARZO 2026'!I6:I119)="OCALLI")*('MARZO 2026'!K6:K119="GASOLINA")*'MARZO 2026'!N6:N119),0)</f>
        <v/>
      </c>
    </row>
    <row r="1397" ht="15" customHeight="1" s="195">
      <c r="A1397" s="194" t="inlineStr">
        <is>
          <t>OCALLI</t>
        </is>
      </c>
      <c r="B1397" s="194" t="inlineStr">
        <is>
          <t>ABRIL 2026</t>
        </is>
      </c>
      <c r="C1397" s="377">
        <f>IFERROR(SUMPRODUCT((IF('ABRIL 2026'!Y6:Y119&lt;&gt;"",'ABRIL 2026'!Y6:Y119,'ABRIL 2026'!I6:I119)="OCALLI")*('ABRIL 2026'!K6:K119="PETROLEO")*'ABRIL 2026'!M6:M119),0)</f>
        <v/>
      </c>
      <c r="D1397" s="377">
        <f>IFERROR(SUMPRODUCT((IF('ABRIL 2026'!Y6:Y119&lt;&gt;"",'ABRIL 2026'!Y6:Y119,'ABRIL 2026'!I6:I119)="OCALLI")*('ABRIL 2026'!K6:K119="PETROLEO")*'ABRIL 2026'!N6:N119),0)</f>
        <v/>
      </c>
      <c r="E1397" s="377">
        <f>IFERROR(SUMPRODUCT((IF('ABRIL 2026'!Y6:Y119&lt;&gt;"",'ABRIL 2026'!Y6:Y119,'ABRIL 2026'!I6:I119)="OCALLI")*('ABRIL 2026'!K6:K119="GASOLINA")*'ABRIL 2026'!M6:M119),0)</f>
        <v/>
      </c>
      <c r="F1397" s="377">
        <f>IFERROR(SUMPRODUCT((IF('ABRIL 2026'!Y6:Y119&lt;&gt;"",'ABRIL 2026'!Y6:Y119,'ABRIL 2026'!I6:I119)="OCALLI")*('ABRIL 2026'!K6:K119="GASOLINA")*'ABRIL 2026'!N6:N119),0)</f>
        <v/>
      </c>
    </row>
    <row r="1398" ht="15" customHeight="1" s="195">
      <c r="A1398" s="194" t="inlineStr">
        <is>
          <t>OCALLI</t>
        </is>
      </c>
      <c r="B1398" s="194" t="inlineStr">
        <is>
          <t>MAYO 2026</t>
        </is>
      </c>
      <c r="C1398" s="377">
        <f>IFERROR(SUMPRODUCT((IF('MAYO 2026'!Y6:Y110&lt;&gt;"",'MAYO 2026'!Y6:Y110,'MAYO 2026'!I6:I110)="OCALLI")*('MAYO 2026'!K6:K110="PETROLEO")*'MAYO 2026'!M6:M110),0)</f>
        <v/>
      </c>
      <c r="D1398" s="377">
        <f>IFERROR(SUMPRODUCT((IF('MAYO 2026'!Y6:Y110&lt;&gt;"",'MAYO 2026'!Y6:Y110,'MAYO 2026'!I6:I110)="OCALLI")*('MAYO 2026'!K6:K110="PETROLEO")*'MAYO 2026'!N6:N110),0)</f>
        <v/>
      </c>
      <c r="E1398" s="377">
        <f>IFERROR(SUMPRODUCT((IF('MAYO 2026'!Y6:Y110&lt;&gt;"",'MAYO 2026'!Y6:Y110,'MAYO 2026'!I6:I110)="OCALLI")*('MAYO 2026'!K6:K110="GASOLINA")*'MAYO 2026'!M6:M110),0)</f>
        <v/>
      </c>
      <c r="F1398" s="377">
        <f>IFERROR(SUMPRODUCT((IF('MAYO 2026'!Y6:Y110&lt;&gt;"",'MAYO 2026'!Y6:Y110,'MAYO 2026'!I6:I110)="OCALLI")*('MAYO 2026'!K6:K110="GASOLINA")*'MAYO 2026'!N6:N110),0)</f>
        <v/>
      </c>
    </row>
    <row r="1399" ht="15" customHeight="1" s="195">
      <c r="A1399" s="194" t="inlineStr">
        <is>
          <t>OCALLI</t>
        </is>
      </c>
      <c r="B1399" s="194" t="inlineStr">
        <is>
          <t>JUNIO 2026</t>
        </is>
      </c>
      <c r="C1399" s="377">
        <f>IFERROR(SUMPRODUCT((IF('JUNIO 2026'!Y6:Y110&lt;&gt;"",'JUNIO 2026'!Y6:Y110,'JUNIO 2026'!I6:I110)="OCALLI")*('JUNIO 2026'!K6:K110="PETROLEO")*'JUNIO 2026'!M6:M110),0)</f>
        <v/>
      </c>
      <c r="D1399" s="377">
        <f>IFERROR(SUMPRODUCT((IF('JUNIO 2026'!Y6:Y110&lt;&gt;"",'JUNIO 2026'!Y6:Y110,'JUNIO 2026'!I6:I110)="OCALLI")*('JUNIO 2026'!K6:K110="PETROLEO")*'JUNIO 2026'!N6:N110),0)</f>
        <v/>
      </c>
      <c r="E1399" s="377">
        <f>IFERROR(SUMPRODUCT((IF('JUNIO 2026'!Y6:Y110&lt;&gt;"",'JUNIO 2026'!Y6:Y110,'JUNIO 2026'!I6:I110)="OCALLI")*('JUNIO 2026'!K6:K110="GASOLINA")*'JUNIO 2026'!M6:M110),0)</f>
        <v/>
      </c>
      <c r="F1399" s="377">
        <f>IFERROR(SUMPRODUCT((IF('JUNIO 2026'!Y6:Y110&lt;&gt;"",'JUNIO 2026'!Y6:Y110,'JUNIO 2026'!I6:I110)="OCALLI")*('JUNIO 2026'!K6:K110="GASOLINA")*'JUNIO 2026'!N6:N110),0)</f>
        <v/>
      </c>
    </row>
    <row r="1400" ht="15" customHeight="1" s="195">
      <c r="A1400" s="194" t="inlineStr">
        <is>
          <t>OCALLI</t>
        </is>
      </c>
      <c r="B1400" s="194" t="inlineStr">
        <is>
          <t>JULIO 2026</t>
        </is>
      </c>
      <c r="C1400" s="377">
        <f>IFERROR(SUMPRODUCT((IF('JULIO 2026'!Y6:Y110&lt;&gt;"",'JULIO 2026'!Y6:Y110,'JULIO 2026'!I6:I110)="OCALLI")*('JULIO 2026'!K6:K110="PETROLEO")*'JULIO 2026'!M6:M110),0)</f>
        <v/>
      </c>
      <c r="D1400" s="377">
        <f>IFERROR(SUMPRODUCT((IF('JULIO 2026'!Y6:Y110&lt;&gt;"",'JULIO 2026'!Y6:Y110,'JULIO 2026'!I6:I110)="OCALLI")*('JULIO 2026'!K6:K110="PETROLEO")*'JULIO 2026'!N6:N110),0)</f>
        <v/>
      </c>
      <c r="E1400" s="377">
        <f>IFERROR(SUMPRODUCT((IF('JULIO 2026'!Y6:Y110&lt;&gt;"",'JULIO 2026'!Y6:Y110,'JULIO 2026'!I6:I110)="OCALLI")*('JULIO 2026'!K6:K110="GASOLINA")*'JULIO 2026'!M6:M110),0)</f>
        <v/>
      </c>
      <c r="F1400" s="377">
        <f>IFERROR(SUMPRODUCT((IF('JULIO 2026'!Y6:Y110&lt;&gt;"",'JULIO 2026'!Y6:Y110,'JULIO 2026'!I6:I110)="OCALLI")*('JULIO 2026'!K6:K110="GASOLINA")*'JULIO 2026'!N6:N110),0)</f>
        <v/>
      </c>
    </row>
    <row r="1401" ht="15" customHeight="1" s="195">
      <c r="A1401" s="194" t="inlineStr">
        <is>
          <t>OCALLI</t>
        </is>
      </c>
      <c r="B1401" s="194" t="inlineStr">
        <is>
          <t>AGOSTO 2026</t>
        </is>
      </c>
      <c r="C1401" s="377">
        <f>IFERROR(SUMPRODUCT((IF('AGOSTO 2026'!Y6:Y110&lt;&gt;"",'AGOSTO 2026'!Y6:Y110,'AGOSTO 2026'!I6:I110)="OCALLI")*('AGOSTO 2026'!K6:K110="PETROLEO")*'AGOSTO 2026'!M6:M110),0)</f>
        <v/>
      </c>
      <c r="D1401" s="377">
        <f>IFERROR(SUMPRODUCT((IF('AGOSTO 2026'!Y6:Y110&lt;&gt;"",'AGOSTO 2026'!Y6:Y110,'AGOSTO 2026'!I6:I110)="OCALLI")*('AGOSTO 2026'!K6:K110="PETROLEO")*'AGOSTO 2026'!N6:N110),0)</f>
        <v/>
      </c>
      <c r="E1401" s="377">
        <f>IFERROR(SUMPRODUCT((IF('AGOSTO 2026'!Y6:Y110&lt;&gt;"",'AGOSTO 2026'!Y6:Y110,'AGOSTO 2026'!I6:I110)="OCALLI")*('AGOSTO 2026'!K6:K110="GASOLINA")*'AGOSTO 2026'!M6:M110),0)</f>
        <v/>
      </c>
      <c r="F1401" s="377">
        <f>IFERROR(SUMPRODUCT((IF('AGOSTO 2026'!Y6:Y110&lt;&gt;"",'AGOSTO 2026'!Y6:Y110,'AGOSTO 2026'!I6:I110)="OCALLI")*('AGOSTO 2026'!K6:K110="GASOLINA")*'AGOSTO 2026'!N6:N110),0)</f>
        <v/>
      </c>
    </row>
    <row r="1402" ht="15" customHeight="1" s="195">
      <c r="A1402" s="194" t="inlineStr">
        <is>
          <t>OCALLI</t>
        </is>
      </c>
      <c r="B1402" s="194" t="inlineStr">
        <is>
          <t>SETIEMBRE 2026</t>
        </is>
      </c>
      <c r="C1402" s="377">
        <f>IFERROR(SUMPRODUCT((IF('SETIEMBRE 2026'!Y6:Y110&lt;&gt;"",'SETIEMBRE 2026'!Y6:Y110,'SETIEMBRE 2026'!I6:I110)="OCALLI")*('SETIEMBRE 2026'!K6:K110="PETROLEO")*'SETIEMBRE 2026'!M6:M110),0)</f>
        <v/>
      </c>
      <c r="D1402" s="377">
        <f>IFERROR(SUMPRODUCT((IF('SETIEMBRE 2026'!Y6:Y110&lt;&gt;"",'SETIEMBRE 2026'!Y6:Y110,'SETIEMBRE 2026'!I6:I110)="OCALLI")*('SETIEMBRE 2026'!K6:K110="PETROLEO")*'SETIEMBRE 2026'!N6:N110),0)</f>
        <v/>
      </c>
      <c r="E1402" s="377">
        <f>IFERROR(SUMPRODUCT((IF('SETIEMBRE 2026'!Y6:Y110&lt;&gt;"",'SETIEMBRE 2026'!Y6:Y110,'SETIEMBRE 2026'!I6:I110)="OCALLI")*('SETIEMBRE 2026'!K6:K110="GASOLINA")*'SETIEMBRE 2026'!M6:M110),0)</f>
        <v/>
      </c>
      <c r="F1402" s="377">
        <f>IFERROR(SUMPRODUCT((IF('SETIEMBRE 2026'!Y6:Y110&lt;&gt;"",'SETIEMBRE 2026'!Y6:Y110,'SETIEMBRE 2026'!I6:I110)="OCALLI")*('SETIEMBRE 2026'!K6:K110="GASOLINA")*'SETIEMBRE 2026'!N6:N110),0)</f>
        <v/>
      </c>
    </row>
    <row r="1403" ht="15" customHeight="1" s="195">
      <c r="A1403" s="194" t="inlineStr">
        <is>
          <t>OCALLI</t>
        </is>
      </c>
      <c r="B1403" s="194" t="inlineStr">
        <is>
          <t>OCTUBRE 2026</t>
        </is>
      </c>
      <c r="C1403" s="377">
        <f>IFERROR(SUMPRODUCT((IF('OCTUBRE 2026'!Y6:Y110&lt;&gt;"",'OCTUBRE 2026'!Y6:Y110,'OCTUBRE 2026'!I6:I110)="OCALLI")*('OCTUBRE 2026'!K6:K110="PETROLEO")*'OCTUBRE 2026'!M6:M110),0)</f>
        <v/>
      </c>
      <c r="D1403" s="377">
        <f>IFERROR(SUMPRODUCT((IF('OCTUBRE 2026'!Y6:Y110&lt;&gt;"",'OCTUBRE 2026'!Y6:Y110,'OCTUBRE 2026'!I6:I110)="OCALLI")*('OCTUBRE 2026'!K6:K110="PETROLEO")*'OCTUBRE 2026'!N6:N110),0)</f>
        <v/>
      </c>
      <c r="E1403" s="377">
        <f>IFERROR(SUMPRODUCT((IF('OCTUBRE 2026'!Y6:Y110&lt;&gt;"",'OCTUBRE 2026'!Y6:Y110,'OCTUBRE 2026'!I6:I110)="OCALLI")*('OCTUBRE 2026'!K6:K110="GASOLINA")*'OCTUBRE 2026'!M6:M110),0)</f>
        <v/>
      </c>
      <c r="F1403" s="377">
        <f>IFERROR(SUMPRODUCT((IF('OCTUBRE 2026'!Y6:Y110&lt;&gt;"",'OCTUBRE 2026'!Y6:Y110,'OCTUBRE 2026'!I6:I110)="OCALLI")*('OCTUBRE 2026'!K6:K110="GASOLINA")*'OCTUBRE 2026'!N6:N110),0)</f>
        <v/>
      </c>
    </row>
    <row r="1404" ht="15" customHeight="1" s="195">
      <c r="A1404" s="194" t="inlineStr">
        <is>
          <t>OCALLI</t>
        </is>
      </c>
      <c r="B1404" s="194" t="inlineStr">
        <is>
          <t>NOVIEMBRE 2026</t>
        </is>
      </c>
      <c r="C1404" s="377">
        <f>IFERROR(SUMPRODUCT((IF('NOVIEMBRE 2026'!Y6:Y110&lt;&gt;"",'NOVIEMBRE 2026'!Y6:Y110,'NOVIEMBRE 2026'!I6:I110)="OCALLI")*('NOVIEMBRE 2026'!K6:K110="PETROLEO")*'NOVIEMBRE 2026'!M6:M110),0)</f>
        <v/>
      </c>
      <c r="D1404" s="377">
        <f>IFERROR(SUMPRODUCT((IF('NOVIEMBRE 2026'!Y6:Y110&lt;&gt;"",'NOVIEMBRE 2026'!Y6:Y110,'NOVIEMBRE 2026'!I6:I110)="OCALLI")*('NOVIEMBRE 2026'!K6:K110="PETROLEO")*'NOVIEMBRE 2026'!N6:N110),0)</f>
        <v/>
      </c>
      <c r="E1404" s="377">
        <f>IFERROR(SUMPRODUCT((IF('NOVIEMBRE 2026'!Y6:Y110&lt;&gt;"",'NOVIEMBRE 2026'!Y6:Y110,'NOVIEMBRE 2026'!I6:I110)="OCALLI")*('NOVIEMBRE 2026'!K6:K110="GASOLINA")*'NOVIEMBRE 2026'!M6:M110),0)</f>
        <v/>
      </c>
      <c r="F1404" s="377">
        <f>IFERROR(SUMPRODUCT((IF('NOVIEMBRE 2026'!Y6:Y110&lt;&gt;"",'NOVIEMBRE 2026'!Y6:Y110,'NOVIEMBRE 2026'!I6:I110)="OCALLI")*('NOVIEMBRE 2026'!K6:K110="GASOLINA")*'NOVIEMBRE 2026'!N6:N110),0)</f>
        <v/>
      </c>
    </row>
    <row r="1405" ht="15" customHeight="1" s="195">
      <c r="A1405" s="194" t="inlineStr">
        <is>
          <t>OCALLI</t>
        </is>
      </c>
      <c r="B1405" s="194" t="inlineStr">
        <is>
          <t>DICIEMBRE 2026</t>
        </is>
      </c>
      <c r="C1405" s="377">
        <f>IFERROR(SUMPRODUCT((IF('DICIEMBRE 2026'!Y6:Y110&lt;&gt;"",'DICIEMBRE 2026'!Y6:Y110,'DICIEMBRE 2026'!I6:I110)="OCALLI")*('DICIEMBRE 2026'!K6:K110="PETROLEO")*'DICIEMBRE 2026'!M6:M110),0)</f>
        <v/>
      </c>
      <c r="D1405" s="377">
        <f>IFERROR(SUMPRODUCT((IF('DICIEMBRE 2026'!Y6:Y110&lt;&gt;"",'DICIEMBRE 2026'!Y6:Y110,'DICIEMBRE 2026'!I6:I110)="OCALLI")*('DICIEMBRE 2026'!K6:K110="PETROLEO")*'DICIEMBRE 2026'!N6:N110),0)</f>
        <v/>
      </c>
      <c r="E1405" s="377">
        <f>IFERROR(SUMPRODUCT((IF('DICIEMBRE 2026'!Y6:Y110&lt;&gt;"",'DICIEMBRE 2026'!Y6:Y110,'DICIEMBRE 2026'!I6:I110)="OCALLI")*('DICIEMBRE 2026'!K6:K110="GASOLINA")*'DICIEMBRE 2026'!M6:M110),0)</f>
        <v/>
      </c>
      <c r="F1405" s="377">
        <f>IFERROR(SUMPRODUCT((IF('DICIEMBRE 2026'!Y6:Y110&lt;&gt;"",'DICIEMBRE 2026'!Y6:Y110,'DICIEMBRE 2026'!I6:I110)="OCALLI")*('DICIEMBRE 2026'!K6:K110="GASOLINA")*'DICIEMBRE 2026'!N6:N110),0)</f>
        <v/>
      </c>
    </row>
    <row r="1406" ht="15" customHeight="1" s="195">
      <c r="A1406" s="194" t="inlineStr">
        <is>
          <t>OMIA</t>
        </is>
      </c>
      <c r="B1406" s="194" t="inlineStr">
        <is>
          <t>ENERO 2026</t>
        </is>
      </c>
      <c r="C1406" s="377">
        <f>IFERROR(SUMPRODUCT((IF('ENERO 2026'!Y6:Y119&lt;&gt;"",'ENERO 2026'!Y6:Y119,'ENERO 2026'!I6:I119)="OMIA")*('ENERO 2026'!K6:K119="PETROLEO")*'ENERO 2026'!M6:M119),0)</f>
        <v/>
      </c>
      <c r="D1406" s="377">
        <f>IFERROR(SUMPRODUCT((IF('ENERO 2026'!Y6:Y119&lt;&gt;"",'ENERO 2026'!Y6:Y119,'ENERO 2026'!I6:I119)="OMIA")*('ENERO 2026'!K6:K119="PETROLEO")*'ENERO 2026'!N6:N119),0)</f>
        <v/>
      </c>
      <c r="E1406" s="377">
        <f>IFERROR(SUMPRODUCT((IF('ENERO 2026'!Y6:Y119&lt;&gt;"",'ENERO 2026'!Y6:Y119,'ENERO 2026'!I6:I119)="OMIA")*('ENERO 2026'!K6:K119="GASOLINA")*'ENERO 2026'!M6:M119),0)</f>
        <v/>
      </c>
      <c r="F1406" s="377">
        <f>IFERROR(SUMPRODUCT((IF('ENERO 2026'!Y6:Y119&lt;&gt;"",'ENERO 2026'!Y6:Y119,'ENERO 2026'!I6:I119)="OMIA")*('ENERO 2026'!K6:K119="GASOLINA")*'ENERO 2026'!N6:N119),0)</f>
        <v/>
      </c>
    </row>
    <row r="1407" ht="15" customHeight="1" s="195">
      <c r="A1407" s="194" t="inlineStr">
        <is>
          <t>OMIA</t>
        </is>
      </c>
      <c r="B1407" s="194" t="inlineStr">
        <is>
          <t>FEBRERO 2026</t>
        </is>
      </c>
      <c r="C1407" s="377">
        <f>IFERROR(SUMPRODUCT((IF('FEBRERO 2026'!Y6:Y124&lt;&gt;"",'FEBRERO 2026'!Y6:Y124,'FEBRERO 2026'!I6:I124)="OMIA")*('FEBRERO 2026'!K6:K124="PETROLEO")*'FEBRERO 2026'!M6:M124),0)</f>
        <v/>
      </c>
      <c r="D1407" s="377">
        <f>IFERROR(SUMPRODUCT((IF('FEBRERO 2026'!Y6:Y124&lt;&gt;"",'FEBRERO 2026'!Y6:Y124,'FEBRERO 2026'!I6:I124)="OMIA")*('FEBRERO 2026'!K6:K124="PETROLEO")*'FEBRERO 2026'!N6:N124),0)</f>
        <v/>
      </c>
      <c r="E1407" s="377">
        <f>IFERROR(SUMPRODUCT((IF('FEBRERO 2026'!Y6:Y124&lt;&gt;"",'FEBRERO 2026'!Y6:Y124,'FEBRERO 2026'!I6:I124)="OMIA")*('FEBRERO 2026'!K6:K124="GASOLINA")*'FEBRERO 2026'!M6:M124),0)</f>
        <v/>
      </c>
      <c r="F1407" s="377">
        <f>IFERROR(SUMPRODUCT((IF('FEBRERO 2026'!Y6:Y124&lt;&gt;"",'FEBRERO 2026'!Y6:Y124,'FEBRERO 2026'!I6:I124)="OMIA")*('FEBRERO 2026'!K6:K124="GASOLINA")*'FEBRERO 2026'!N6:N124),0)</f>
        <v/>
      </c>
    </row>
    <row r="1408" ht="15" customHeight="1" s="195">
      <c r="A1408" s="194" t="inlineStr">
        <is>
          <t>OMIA</t>
        </is>
      </c>
      <c r="B1408" s="194" t="inlineStr">
        <is>
          <t>MARZO 2026</t>
        </is>
      </c>
      <c r="C1408" s="377">
        <f>IFERROR(SUMPRODUCT((IF('MARZO 2026'!Y6:Y119&lt;&gt;"",'MARZO 2026'!Y6:Y119,'MARZO 2026'!I6:I119)="OMIA")*('MARZO 2026'!K6:K119="PETROLEO")*'MARZO 2026'!M6:M119),0)</f>
        <v/>
      </c>
      <c r="D1408" s="377">
        <f>IFERROR(SUMPRODUCT((IF('MARZO 2026'!Y6:Y119&lt;&gt;"",'MARZO 2026'!Y6:Y119,'MARZO 2026'!I6:I119)="OMIA")*('MARZO 2026'!K6:K119="PETROLEO")*'MARZO 2026'!N6:N119),0)</f>
        <v/>
      </c>
      <c r="E1408" s="377">
        <f>IFERROR(SUMPRODUCT((IF('MARZO 2026'!Y6:Y119&lt;&gt;"",'MARZO 2026'!Y6:Y119,'MARZO 2026'!I6:I119)="OMIA")*('MARZO 2026'!K6:K119="GASOLINA")*'MARZO 2026'!M6:M119),0)</f>
        <v/>
      </c>
      <c r="F1408" s="377">
        <f>IFERROR(SUMPRODUCT((IF('MARZO 2026'!Y6:Y119&lt;&gt;"",'MARZO 2026'!Y6:Y119,'MARZO 2026'!I6:I119)="OMIA")*('MARZO 2026'!K6:K119="GASOLINA")*'MARZO 2026'!N6:N119),0)</f>
        <v/>
      </c>
    </row>
    <row r="1409" ht="15" customHeight="1" s="195">
      <c r="A1409" s="194" t="inlineStr">
        <is>
          <t>OMIA</t>
        </is>
      </c>
      <c r="B1409" s="194" t="inlineStr">
        <is>
          <t>ABRIL 2026</t>
        </is>
      </c>
      <c r="C1409" s="377">
        <f>IFERROR(SUMPRODUCT((IF('ABRIL 2026'!Y6:Y119&lt;&gt;"",'ABRIL 2026'!Y6:Y119,'ABRIL 2026'!I6:I119)="OMIA")*('ABRIL 2026'!K6:K119="PETROLEO")*'ABRIL 2026'!M6:M119),0)</f>
        <v/>
      </c>
      <c r="D1409" s="377">
        <f>IFERROR(SUMPRODUCT((IF('ABRIL 2026'!Y6:Y119&lt;&gt;"",'ABRIL 2026'!Y6:Y119,'ABRIL 2026'!I6:I119)="OMIA")*('ABRIL 2026'!K6:K119="PETROLEO")*'ABRIL 2026'!N6:N119),0)</f>
        <v/>
      </c>
      <c r="E1409" s="377">
        <f>IFERROR(SUMPRODUCT((IF('ABRIL 2026'!Y6:Y119&lt;&gt;"",'ABRIL 2026'!Y6:Y119,'ABRIL 2026'!I6:I119)="OMIA")*('ABRIL 2026'!K6:K119="GASOLINA")*'ABRIL 2026'!M6:M119),0)</f>
        <v/>
      </c>
      <c r="F1409" s="377">
        <f>IFERROR(SUMPRODUCT((IF('ABRIL 2026'!Y6:Y119&lt;&gt;"",'ABRIL 2026'!Y6:Y119,'ABRIL 2026'!I6:I119)="OMIA")*('ABRIL 2026'!K6:K119="GASOLINA")*'ABRIL 2026'!N6:N119),0)</f>
        <v/>
      </c>
    </row>
    <row r="1410" ht="15" customHeight="1" s="195">
      <c r="A1410" s="194" t="inlineStr">
        <is>
          <t>OMIA</t>
        </is>
      </c>
      <c r="B1410" s="194" t="inlineStr">
        <is>
          <t>MAYO 2026</t>
        </is>
      </c>
      <c r="C1410" s="377">
        <f>IFERROR(SUMPRODUCT((IF('MAYO 2026'!Y6:Y110&lt;&gt;"",'MAYO 2026'!Y6:Y110,'MAYO 2026'!I6:I110)="OMIA")*('MAYO 2026'!K6:K110="PETROLEO")*'MAYO 2026'!M6:M110),0)</f>
        <v/>
      </c>
      <c r="D1410" s="377">
        <f>IFERROR(SUMPRODUCT((IF('MAYO 2026'!Y6:Y110&lt;&gt;"",'MAYO 2026'!Y6:Y110,'MAYO 2026'!I6:I110)="OMIA")*('MAYO 2026'!K6:K110="PETROLEO")*'MAYO 2026'!N6:N110),0)</f>
        <v/>
      </c>
      <c r="E1410" s="377">
        <f>IFERROR(SUMPRODUCT((IF('MAYO 2026'!Y6:Y110&lt;&gt;"",'MAYO 2026'!Y6:Y110,'MAYO 2026'!I6:I110)="OMIA")*('MAYO 2026'!K6:K110="GASOLINA")*'MAYO 2026'!M6:M110),0)</f>
        <v/>
      </c>
      <c r="F1410" s="377">
        <f>IFERROR(SUMPRODUCT((IF('MAYO 2026'!Y6:Y110&lt;&gt;"",'MAYO 2026'!Y6:Y110,'MAYO 2026'!I6:I110)="OMIA")*('MAYO 2026'!K6:K110="GASOLINA")*'MAYO 2026'!N6:N110),0)</f>
        <v/>
      </c>
    </row>
    <row r="1411" ht="15" customHeight="1" s="195">
      <c r="A1411" s="194" t="inlineStr">
        <is>
          <t>OMIA</t>
        </is>
      </c>
      <c r="B1411" s="194" t="inlineStr">
        <is>
          <t>JUNIO 2026</t>
        </is>
      </c>
      <c r="C1411" s="377">
        <f>IFERROR(SUMPRODUCT((IF('JUNIO 2026'!Y6:Y110&lt;&gt;"",'JUNIO 2026'!Y6:Y110,'JUNIO 2026'!I6:I110)="OMIA")*('JUNIO 2026'!K6:K110="PETROLEO")*'JUNIO 2026'!M6:M110),0)</f>
        <v/>
      </c>
      <c r="D1411" s="377">
        <f>IFERROR(SUMPRODUCT((IF('JUNIO 2026'!Y6:Y110&lt;&gt;"",'JUNIO 2026'!Y6:Y110,'JUNIO 2026'!I6:I110)="OMIA")*('JUNIO 2026'!K6:K110="PETROLEO")*'JUNIO 2026'!N6:N110),0)</f>
        <v/>
      </c>
      <c r="E1411" s="377">
        <f>IFERROR(SUMPRODUCT((IF('JUNIO 2026'!Y6:Y110&lt;&gt;"",'JUNIO 2026'!Y6:Y110,'JUNIO 2026'!I6:I110)="OMIA")*('JUNIO 2026'!K6:K110="GASOLINA")*'JUNIO 2026'!M6:M110),0)</f>
        <v/>
      </c>
      <c r="F1411" s="377">
        <f>IFERROR(SUMPRODUCT((IF('JUNIO 2026'!Y6:Y110&lt;&gt;"",'JUNIO 2026'!Y6:Y110,'JUNIO 2026'!I6:I110)="OMIA")*('JUNIO 2026'!K6:K110="GASOLINA")*'JUNIO 2026'!N6:N110),0)</f>
        <v/>
      </c>
    </row>
    <row r="1412" ht="15" customHeight="1" s="195">
      <c r="A1412" s="194" t="inlineStr">
        <is>
          <t>OMIA</t>
        </is>
      </c>
      <c r="B1412" s="194" t="inlineStr">
        <is>
          <t>JULIO 2026</t>
        </is>
      </c>
      <c r="C1412" s="377">
        <f>IFERROR(SUMPRODUCT((IF('JULIO 2026'!Y6:Y110&lt;&gt;"",'JULIO 2026'!Y6:Y110,'JULIO 2026'!I6:I110)="OMIA")*('JULIO 2026'!K6:K110="PETROLEO")*'JULIO 2026'!M6:M110),0)</f>
        <v/>
      </c>
      <c r="D1412" s="377">
        <f>IFERROR(SUMPRODUCT((IF('JULIO 2026'!Y6:Y110&lt;&gt;"",'JULIO 2026'!Y6:Y110,'JULIO 2026'!I6:I110)="OMIA")*('JULIO 2026'!K6:K110="PETROLEO")*'JULIO 2026'!N6:N110),0)</f>
        <v/>
      </c>
      <c r="E1412" s="377">
        <f>IFERROR(SUMPRODUCT((IF('JULIO 2026'!Y6:Y110&lt;&gt;"",'JULIO 2026'!Y6:Y110,'JULIO 2026'!I6:I110)="OMIA")*('JULIO 2026'!K6:K110="GASOLINA")*'JULIO 2026'!M6:M110),0)</f>
        <v/>
      </c>
      <c r="F1412" s="377">
        <f>IFERROR(SUMPRODUCT((IF('JULIO 2026'!Y6:Y110&lt;&gt;"",'JULIO 2026'!Y6:Y110,'JULIO 2026'!I6:I110)="OMIA")*('JULIO 2026'!K6:K110="GASOLINA")*'JULIO 2026'!N6:N110),0)</f>
        <v/>
      </c>
    </row>
    <row r="1413" ht="15" customHeight="1" s="195">
      <c r="A1413" s="194" t="inlineStr">
        <is>
          <t>OMIA</t>
        </is>
      </c>
      <c r="B1413" s="194" t="inlineStr">
        <is>
          <t>AGOSTO 2026</t>
        </is>
      </c>
      <c r="C1413" s="377">
        <f>IFERROR(SUMPRODUCT((IF('AGOSTO 2026'!Y6:Y110&lt;&gt;"",'AGOSTO 2026'!Y6:Y110,'AGOSTO 2026'!I6:I110)="OMIA")*('AGOSTO 2026'!K6:K110="PETROLEO")*'AGOSTO 2026'!M6:M110),0)</f>
        <v/>
      </c>
      <c r="D1413" s="377">
        <f>IFERROR(SUMPRODUCT((IF('AGOSTO 2026'!Y6:Y110&lt;&gt;"",'AGOSTO 2026'!Y6:Y110,'AGOSTO 2026'!I6:I110)="OMIA")*('AGOSTO 2026'!K6:K110="PETROLEO")*'AGOSTO 2026'!N6:N110),0)</f>
        <v/>
      </c>
      <c r="E1413" s="377">
        <f>IFERROR(SUMPRODUCT((IF('AGOSTO 2026'!Y6:Y110&lt;&gt;"",'AGOSTO 2026'!Y6:Y110,'AGOSTO 2026'!I6:I110)="OMIA")*('AGOSTO 2026'!K6:K110="GASOLINA")*'AGOSTO 2026'!M6:M110),0)</f>
        <v/>
      </c>
      <c r="F1413" s="377">
        <f>IFERROR(SUMPRODUCT((IF('AGOSTO 2026'!Y6:Y110&lt;&gt;"",'AGOSTO 2026'!Y6:Y110,'AGOSTO 2026'!I6:I110)="OMIA")*('AGOSTO 2026'!K6:K110="GASOLINA")*'AGOSTO 2026'!N6:N110),0)</f>
        <v/>
      </c>
    </row>
    <row r="1414" ht="15" customHeight="1" s="195">
      <c r="A1414" s="194" t="inlineStr">
        <is>
          <t>OMIA</t>
        </is>
      </c>
      <c r="B1414" s="194" t="inlineStr">
        <is>
          <t>SETIEMBRE 2026</t>
        </is>
      </c>
      <c r="C1414" s="377">
        <f>IFERROR(SUMPRODUCT((IF('SETIEMBRE 2026'!Y6:Y110&lt;&gt;"",'SETIEMBRE 2026'!Y6:Y110,'SETIEMBRE 2026'!I6:I110)="OMIA")*('SETIEMBRE 2026'!K6:K110="PETROLEO")*'SETIEMBRE 2026'!M6:M110),0)</f>
        <v/>
      </c>
      <c r="D1414" s="377">
        <f>IFERROR(SUMPRODUCT((IF('SETIEMBRE 2026'!Y6:Y110&lt;&gt;"",'SETIEMBRE 2026'!Y6:Y110,'SETIEMBRE 2026'!I6:I110)="OMIA")*('SETIEMBRE 2026'!K6:K110="PETROLEO")*'SETIEMBRE 2026'!N6:N110),0)</f>
        <v/>
      </c>
      <c r="E1414" s="377">
        <f>IFERROR(SUMPRODUCT((IF('SETIEMBRE 2026'!Y6:Y110&lt;&gt;"",'SETIEMBRE 2026'!Y6:Y110,'SETIEMBRE 2026'!I6:I110)="OMIA")*('SETIEMBRE 2026'!K6:K110="GASOLINA")*'SETIEMBRE 2026'!M6:M110),0)</f>
        <v/>
      </c>
      <c r="F1414" s="377">
        <f>IFERROR(SUMPRODUCT((IF('SETIEMBRE 2026'!Y6:Y110&lt;&gt;"",'SETIEMBRE 2026'!Y6:Y110,'SETIEMBRE 2026'!I6:I110)="OMIA")*('SETIEMBRE 2026'!K6:K110="GASOLINA")*'SETIEMBRE 2026'!N6:N110),0)</f>
        <v/>
      </c>
    </row>
    <row r="1415" ht="15" customHeight="1" s="195">
      <c r="A1415" s="194" t="inlineStr">
        <is>
          <t>OMIA</t>
        </is>
      </c>
      <c r="B1415" s="194" t="inlineStr">
        <is>
          <t>OCTUBRE 2026</t>
        </is>
      </c>
      <c r="C1415" s="377">
        <f>IFERROR(SUMPRODUCT((IF('OCTUBRE 2026'!Y6:Y110&lt;&gt;"",'OCTUBRE 2026'!Y6:Y110,'OCTUBRE 2026'!I6:I110)="OMIA")*('OCTUBRE 2026'!K6:K110="PETROLEO")*'OCTUBRE 2026'!M6:M110),0)</f>
        <v/>
      </c>
      <c r="D1415" s="377">
        <f>IFERROR(SUMPRODUCT((IF('OCTUBRE 2026'!Y6:Y110&lt;&gt;"",'OCTUBRE 2026'!Y6:Y110,'OCTUBRE 2026'!I6:I110)="OMIA")*('OCTUBRE 2026'!K6:K110="PETROLEO")*'OCTUBRE 2026'!N6:N110),0)</f>
        <v/>
      </c>
      <c r="E1415" s="377">
        <f>IFERROR(SUMPRODUCT((IF('OCTUBRE 2026'!Y6:Y110&lt;&gt;"",'OCTUBRE 2026'!Y6:Y110,'OCTUBRE 2026'!I6:I110)="OMIA")*('OCTUBRE 2026'!K6:K110="GASOLINA")*'OCTUBRE 2026'!M6:M110),0)</f>
        <v/>
      </c>
      <c r="F1415" s="377">
        <f>IFERROR(SUMPRODUCT((IF('OCTUBRE 2026'!Y6:Y110&lt;&gt;"",'OCTUBRE 2026'!Y6:Y110,'OCTUBRE 2026'!I6:I110)="OMIA")*('OCTUBRE 2026'!K6:K110="GASOLINA")*'OCTUBRE 2026'!N6:N110),0)</f>
        <v/>
      </c>
    </row>
    <row r="1416" ht="15" customHeight="1" s="195">
      <c r="A1416" s="194" t="inlineStr">
        <is>
          <t>OMIA</t>
        </is>
      </c>
      <c r="B1416" s="194" t="inlineStr">
        <is>
          <t>NOVIEMBRE 2026</t>
        </is>
      </c>
      <c r="C1416" s="377">
        <f>IFERROR(SUMPRODUCT((IF('NOVIEMBRE 2026'!Y6:Y110&lt;&gt;"",'NOVIEMBRE 2026'!Y6:Y110,'NOVIEMBRE 2026'!I6:I110)="OMIA")*('NOVIEMBRE 2026'!K6:K110="PETROLEO")*'NOVIEMBRE 2026'!M6:M110),0)</f>
        <v/>
      </c>
      <c r="D1416" s="377">
        <f>IFERROR(SUMPRODUCT((IF('NOVIEMBRE 2026'!Y6:Y110&lt;&gt;"",'NOVIEMBRE 2026'!Y6:Y110,'NOVIEMBRE 2026'!I6:I110)="OMIA")*('NOVIEMBRE 2026'!K6:K110="PETROLEO")*'NOVIEMBRE 2026'!N6:N110),0)</f>
        <v/>
      </c>
      <c r="E1416" s="377">
        <f>IFERROR(SUMPRODUCT((IF('NOVIEMBRE 2026'!Y6:Y110&lt;&gt;"",'NOVIEMBRE 2026'!Y6:Y110,'NOVIEMBRE 2026'!I6:I110)="OMIA")*('NOVIEMBRE 2026'!K6:K110="GASOLINA")*'NOVIEMBRE 2026'!M6:M110),0)</f>
        <v/>
      </c>
      <c r="F1416" s="377">
        <f>IFERROR(SUMPRODUCT((IF('NOVIEMBRE 2026'!Y6:Y110&lt;&gt;"",'NOVIEMBRE 2026'!Y6:Y110,'NOVIEMBRE 2026'!I6:I110)="OMIA")*('NOVIEMBRE 2026'!K6:K110="GASOLINA")*'NOVIEMBRE 2026'!N6:N110),0)</f>
        <v/>
      </c>
    </row>
    <row r="1417" ht="15" customHeight="1" s="195">
      <c r="A1417" s="194" t="inlineStr">
        <is>
          <t>OMIA</t>
        </is>
      </c>
      <c r="B1417" s="194" t="inlineStr">
        <is>
          <t>DICIEMBRE 2026</t>
        </is>
      </c>
      <c r="C1417" s="377">
        <f>IFERROR(SUMPRODUCT((IF('DICIEMBRE 2026'!Y6:Y110&lt;&gt;"",'DICIEMBRE 2026'!Y6:Y110,'DICIEMBRE 2026'!I6:I110)="OMIA")*('DICIEMBRE 2026'!K6:K110="PETROLEO")*'DICIEMBRE 2026'!M6:M110),0)</f>
        <v/>
      </c>
      <c r="D1417" s="377">
        <f>IFERROR(SUMPRODUCT((IF('DICIEMBRE 2026'!Y6:Y110&lt;&gt;"",'DICIEMBRE 2026'!Y6:Y110,'DICIEMBRE 2026'!I6:I110)="OMIA")*('DICIEMBRE 2026'!K6:K110="PETROLEO")*'DICIEMBRE 2026'!N6:N110),0)</f>
        <v/>
      </c>
      <c r="E1417" s="377">
        <f>IFERROR(SUMPRODUCT((IF('DICIEMBRE 2026'!Y6:Y110&lt;&gt;"",'DICIEMBRE 2026'!Y6:Y110,'DICIEMBRE 2026'!I6:I110)="OMIA")*('DICIEMBRE 2026'!K6:K110="GASOLINA")*'DICIEMBRE 2026'!M6:M110),0)</f>
        <v/>
      </c>
      <c r="F1417" s="377">
        <f>IFERROR(SUMPRODUCT((IF('DICIEMBRE 2026'!Y6:Y110&lt;&gt;"",'DICIEMBRE 2026'!Y6:Y110,'DICIEMBRE 2026'!I6:I110)="OMIA")*('DICIEMBRE 2026'!K6:K110="GASOLINA")*'DICIEMBRE 2026'!N6:N110),0)</f>
        <v/>
      </c>
    </row>
    <row r="1418" ht="15" customHeight="1" s="195">
      <c r="A1418" s="194" t="inlineStr">
        <is>
          <t>PEDRO RUIZ GALLO</t>
        </is>
      </c>
      <c r="B1418" s="194" t="inlineStr">
        <is>
          <t>ENERO 2026</t>
        </is>
      </c>
      <c r="C1418" s="377">
        <f>IFERROR(SUMPRODUCT((IF('ENERO 2026'!Y6:Y119&lt;&gt;"",'ENERO 2026'!Y6:Y119,'ENERO 2026'!I6:I119)="PEDRO RUIZ GALLO")*('ENERO 2026'!K6:K119="PETROLEO")*'ENERO 2026'!M6:M119),0)</f>
        <v/>
      </c>
      <c r="D1418" s="377">
        <f>IFERROR(SUMPRODUCT((IF('ENERO 2026'!Y6:Y119&lt;&gt;"",'ENERO 2026'!Y6:Y119,'ENERO 2026'!I6:I119)="PEDRO RUIZ GALLO")*('ENERO 2026'!K6:K119="PETROLEO")*'ENERO 2026'!N6:N119),0)</f>
        <v/>
      </c>
      <c r="E1418" s="377">
        <f>IFERROR(SUMPRODUCT((IF('ENERO 2026'!Y6:Y119&lt;&gt;"",'ENERO 2026'!Y6:Y119,'ENERO 2026'!I6:I119)="PEDRO RUIZ GALLO")*('ENERO 2026'!K6:K119="GASOLINA")*'ENERO 2026'!M6:M119),0)</f>
        <v/>
      </c>
      <c r="F1418" s="377">
        <f>IFERROR(SUMPRODUCT((IF('ENERO 2026'!Y6:Y119&lt;&gt;"",'ENERO 2026'!Y6:Y119,'ENERO 2026'!I6:I119)="PEDRO RUIZ GALLO")*('ENERO 2026'!K6:K119="GASOLINA")*'ENERO 2026'!N6:N119),0)</f>
        <v/>
      </c>
    </row>
    <row r="1419" ht="15" customHeight="1" s="195">
      <c r="A1419" s="194" t="inlineStr">
        <is>
          <t>PEDRO RUIZ GALLO</t>
        </is>
      </c>
      <c r="B1419" s="194" t="inlineStr">
        <is>
          <t>FEBRERO 2026</t>
        </is>
      </c>
      <c r="C1419" s="377">
        <f>IFERROR(SUMPRODUCT((IF('FEBRERO 2026'!Y6:Y124&lt;&gt;"",'FEBRERO 2026'!Y6:Y124,'FEBRERO 2026'!I6:I124)="PEDRO RUIZ GALLO")*('FEBRERO 2026'!K6:K124="PETROLEO")*'FEBRERO 2026'!M6:M124),0)</f>
        <v/>
      </c>
      <c r="D1419" s="377">
        <f>IFERROR(SUMPRODUCT((IF('FEBRERO 2026'!Y6:Y124&lt;&gt;"",'FEBRERO 2026'!Y6:Y124,'FEBRERO 2026'!I6:I124)="PEDRO RUIZ GALLO")*('FEBRERO 2026'!K6:K124="PETROLEO")*'FEBRERO 2026'!N6:N124),0)</f>
        <v/>
      </c>
      <c r="E1419" s="377">
        <f>IFERROR(SUMPRODUCT((IF('FEBRERO 2026'!Y6:Y124&lt;&gt;"",'FEBRERO 2026'!Y6:Y124,'FEBRERO 2026'!I6:I124)="PEDRO RUIZ GALLO")*('FEBRERO 2026'!K6:K124="GASOLINA")*'FEBRERO 2026'!M6:M124),0)</f>
        <v/>
      </c>
      <c r="F1419" s="377">
        <f>IFERROR(SUMPRODUCT((IF('FEBRERO 2026'!Y6:Y124&lt;&gt;"",'FEBRERO 2026'!Y6:Y124,'FEBRERO 2026'!I6:I124)="PEDRO RUIZ GALLO")*('FEBRERO 2026'!K6:K124="GASOLINA")*'FEBRERO 2026'!N6:N124),0)</f>
        <v/>
      </c>
    </row>
    <row r="1420" ht="15" customHeight="1" s="195">
      <c r="A1420" s="194" t="inlineStr">
        <is>
          <t>PEDRO RUIZ GALLO</t>
        </is>
      </c>
      <c r="B1420" s="194" t="inlineStr">
        <is>
          <t>MARZO 2026</t>
        </is>
      </c>
      <c r="C1420" s="377">
        <f>IFERROR(SUMPRODUCT((IF('MARZO 2026'!Y6:Y119&lt;&gt;"",'MARZO 2026'!Y6:Y119,'MARZO 2026'!I6:I119)="PEDRO RUIZ GALLO")*('MARZO 2026'!K6:K119="PETROLEO")*'MARZO 2026'!M6:M119),0)</f>
        <v/>
      </c>
      <c r="D1420" s="377">
        <f>IFERROR(SUMPRODUCT((IF('MARZO 2026'!Y6:Y119&lt;&gt;"",'MARZO 2026'!Y6:Y119,'MARZO 2026'!I6:I119)="PEDRO RUIZ GALLO")*('MARZO 2026'!K6:K119="PETROLEO")*'MARZO 2026'!N6:N119),0)</f>
        <v/>
      </c>
      <c r="E1420" s="377">
        <f>IFERROR(SUMPRODUCT((IF('MARZO 2026'!Y6:Y119&lt;&gt;"",'MARZO 2026'!Y6:Y119,'MARZO 2026'!I6:I119)="PEDRO RUIZ GALLO")*('MARZO 2026'!K6:K119="GASOLINA")*'MARZO 2026'!M6:M119),0)</f>
        <v/>
      </c>
      <c r="F1420" s="377">
        <f>IFERROR(SUMPRODUCT((IF('MARZO 2026'!Y6:Y119&lt;&gt;"",'MARZO 2026'!Y6:Y119,'MARZO 2026'!I6:I119)="PEDRO RUIZ GALLO")*('MARZO 2026'!K6:K119="GASOLINA")*'MARZO 2026'!N6:N119),0)</f>
        <v/>
      </c>
    </row>
    <row r="1421" ht="15" customHeight="1" s="195">
      <c r="A1421" s="194" t="inlineStr">
        <is>
          <t>PEDRO RUIZ GALLO</t>
        </is>
      </c>
      <c r="B1421" s="194" t="inlineStr">
        <is>
          <t>ABRIL 2026</t>
        </is>
      </c>
      <c r="C1421" s="377">
        <f>IFERROR(SUMPRODUCT((IF('ABRIL 2026'!Y6:Y119&lt;&gt;"",'ABRIL 2026'!Y6:Y119,'ABRIL 2026'!I6:I119)="PEDRO RUIZ GALLO")*('ABRIL 2026'!K6:K119="PETROLEO")*'ABRIL 2026'!M6:M119),0)</f>
        <v/>
      </c>
      <c r="D1421" s="377">
        <f>IFERROR(SUMPRODUCT((IF('ABRIL 2026'!Y6:Y119&lt;&gt;"",'ABRIL 2026'!Y6:Y119,'ABRIL 2026'!I6:I119)="PEDRO RUIZ GALLO")*('ABRIL 2026'!K6:K119="PETROLEO")*'ABRIL 2026'!N6:N119),0)</f>
        <v/>
      </c>
      <c r="E1421" s="377">
        <f>IFERROR(SUMPRODUCT((IF('ABRIL 2026'!Y6:Y119&lt;&gt;"",'ABRIL 2026'!Y6:Y119,'ABRIL 2026'!I6:I119)="PEDRO RUIZ GALLO")*('ABRIL 2026'!K6:K119="GASOLINA")*'ABRIL 2026'!M6:M119),0)</f>
        <v/>
      </c>
      <c r="F1421" s="377">
        <f>IFERROR(SUMPRODUCT((IF('ABRIL 2026'!Y6:Y119&lt;&gt;"",'ABRIL 2026'!Y6:Y119,'ABRIL 2026'!I6:I119)="PEDRO RUIZ GALLO")*('ABRIL 2026'!K6:K119="GASOLINA")*'ABRIL 2026'!N6:N119),0)</f>
        <v/>
      </c>
    </row>
    <row r="1422" ht="15" customHeight="1" s="195">
      <c r="A1422" s="194" t="inlineStr">
        <is>
          <t>PEDRO RUIZ GALLO</t>
        </is>
      </c>
      <c r="B1422" s="194" t="inlineStr">
        <is>
          <t>MAYO 2026</t>
        </is>
      </c>
      <c r="C1422" s="377">
        <f>IFERROR(SUMPRODUCT((IF('MAYO 2026'!Y6:Y110&lt;&gt;"",'MAYO 2026'!Y6:Y110,'MAYO 2026'!I6:I110)="PEDRO RUIZ GALLO")*('MAYO 2026'!K6:K110="PETROLEO")*'MAYO 2026'!M6:M110),0)</f>
        <v/>
      </c>
      <c r="D1422" s="377">
        <f>IFERROR(SUMPRODUCT((IF('MAYO 2026'!Y6:Y110&lt;&gt;"",'MAYO 2026'!Y6:Y110,'MAYO 2026'!I6:I110)="PEDRO RUIZ GALLO")*('MAYO 2026'!K6:K110="PETROLEO")*'MAYO 2026'!N6:N110),0)</f>
        <v/>
      </c>
      <c r="E1422" s="377">
        <f>IFERROR(SUMPRODUCT((IF('MAYO 2026'!Y6:Y110&lt;&gt;"",'MAYO 2026'!Y6:Y110,'MAYO 2026'!I6:I110)="PEDRO RUIZ GALLO")*('MAYO 2026'!K6:K110="GASOLINA")*'MAYO 2026'!M6:M110),0)</f>
        <v/>
      </c>
      <c r="F1422" s="377">
        <f>IFERROR(SUMPRODUCT((IF('MAYO 2026'!Y6:Y110&lt;&gt;"",'MAYO 2026'!Y6:Y110,'MAYO 2026'!I6:I110)="PEDRO RUIZ GALLO")*('MAYO 2026'!K6:K110="GASOLINA")*'MAYO 2026'!N6:N110),0)</f>
        <v/>
      </c>
    </row>
    <row r="1423" ht="15" customHeight="1" s="195">
      <c r="A1423" s="194" t="inlineStr">
        <is>
          <t>PEDRO RUIZ GALLO</t>
        </is>
      </c>
      <c r="B1423" s="194" t="inlineStr">
        <is>
          <t>JUNIO 2026</t>
        </is>
      </c>
      <c r="C1423" s="377">
        <f>IFERROR(SUMPRODUCT((IF('JUNIO 2026'!Y6:Y110&lt;&gt;"",'JUNIO 2026'!Y6:Y110,'JUNIO 2026'!I6:I110)="PEDRO RUIZ GALLO")*('JUNIO 2026'!K6:K110="PETROLEO")*'JUNIO 2026'!M6:M110),0)</f>
        <v/>
      </c>
      <c r="D1423" s="377">
        <f>IFERROR(SUMPRODUCT((IF('JUNIO 2026'!Y6:Y110&lt;&gt;"",'JUNIO 2026'!Y6:Y110,'JUNIO 2026'!I6:I110)="PEDRO RUIZ GALLO")*('JUNIO 2026'!K6:K110="PETROLEO")*'JUNIO 2026'!N6:N110),0)</f>
        <v/>
      </c>
      <c r="E1423" s="377">
        <f>IFERROR(SUMPRODUCT((IF('JUNIO 2026'!Y6:Y110&lt;&gt;"",'JUNIO 2026'!Y6:Y110,'JUNIO 2026'!I6:I110)="PEDRO RUIZ GALLO")*('JUNIO 2026'!K6:K110="GASOLINA")*'JUNIO 2026'!M6:M110),0)</f>
        <v/>
      </c>
      <c r="F1423" s="377">
        <f>IFERROR(SUMPRODUCT((IF('JUNIO 2026'!Y6:Y110&lt;&gt;"",'JUNIO 2026'!Y6:Y110,'JUNIO 2026'!I6:I110)="PEDRO RUIZ GALLO")*('JUNIO 2026'!K6:K110="GASOLINA")*'JUNIO 2026'!N6:N110),0)</f>
        <v/>
      </c>
    </row>
    <row r="1424" ht="15" customHeight="1" s="195">
      <c r="A1424" s="194" t="inlineStr">
        <is>
          <t>PEDRO RUIZ GALLO</t>
        </is>
      </c>
      <c r="B1424" s="194" t="inlineStr">
        <is>
          <t>JULIO 2026</t>
        </is>
      </c>
      <c r="C1424" s="377">
        <f>IFERROR(SUMPRODUCT((IF('JULIO 2026'!Y6:Y110&lt;&gt;"",'JULIO 2026'!Y6:Y110,'JULIO 2026'!I6:I110)="PEDRO RUIZ GALLO")*('JULIO 2026'!K6:K110="PETROLEO")*'JULIO 2026'!M6:M110),0)</f>
        <v/>
      </c>
      <c r="D1424" s="377">
        <f>IFERROR(SUMPRODUCT((IF('JULIO 2026'!Y6:Y110&lt;&gt;"",'JULIO 2026'!Y6:Y110,'JULIO 2026'!I6:I110)="PEDRO RUIZ GALLO")*('JULIO 2026'!K6:K110="PETROLEO")*'JULIO 2026'!N6:N110),0)</f>
        <v/>
      </c>
      <c r="E1424" s="377">
        <f>IFERROR(SUMPRODUCT((IF('JULIO 2026'!Y6:Y110&lt;&gt;"",'JULIO 2026'!Y6:Y110,'JULIO 2026'!I6:I110)="PEDRO RUIZ GALLO")*('JULIO 2026'!K6:K110="GASOLINA")*'JULIO 2026'!M6:M110),0)</f>
        <v/>
      </c>
      <c r="F1424" s="377">
        <f>IFERROR(SUMPRODUCT((IF('JULIO 2026'!Y6:Y110&lt;&gt;"",'JULIO 2026'!Y6:Y110,'JULIO 2026'!I6:I110)="PEDRO RUIZ GALLO")*('JULIO 2026'!K6:K110="GASOLINA")*'JULIO 2026'!N6:N110),0)</f>
        <v/>
      </c>
    </row>
    <row r="1425" ht="15" customHeight="1" s="195">
      <c r="A1425" s="194" t="inlineStr">
        <is>
          <t>PEDRO RUIZ GALLO</t>
        </is>
      </c>
      <c r="B1425" s="194" t="inlineStr">
        <is>
          <t>AGOSTO 2026</t>
        </is>
      </c>
      <c r="C1425" s="377">
        <f>IFERROR(SUMPRODUCT((IF('AGOSTO 2026'!Y6:Y110&lt;&gt;"",'AGOSTO 2026'!Y6:Y110,'AGOSTO 2026'!I6:I110)="PEDRO RUIZ GALLO")*('AGOSTO 2026'!K6:K110="PETROLEO")*'AGOSTO 2026'!M6:M110),0)</f>
        <v/>
      </c>
      <c r="D1425" s="377">
        <f>IFERROR(SUMPRODUCT((IF('AGOSTO 2026'!Y6:Y110&lt;&gt;"",'AGOSTO 2026'!Y6:Y110,'AGOSTO 2026'!I6:I110)="PEDRO RUIZ GALLO")*('AGOSTO 2026'!K6:K110="PETROLEO")*'AGOSTO 2026'!N6:N110),0)</f>
        <v/>
      </c>
      <c r="E1425" s="377">
        <f>IFERROR(SUMPRODUCT((IF('AGOSTO 2026'!Y6:Y110&lt;&gt;"",'AGOSTO 2026'!Y6:Y110,'AGOSTO 2026'!I6:I110)="PEDRO RUIZ GALLO")*('AGOSTO 2026'!K6:K110="GASOLINA")*'AGOSTO 2026'!M6:M110),0)</f>
        <v/>
      </c>
      <c r="F1425" s="377">
        <f>IFERROR(SUMPRODUCT((IF('AGOSTO 2026'!Y6:Y110&lt;&gt;"",'AGOSTO 2026'!Y6:Y110,'AGOSTO 2026'!I6:I110)="PEDRO RUIZ GALLO")*('AGOSTO 2026'!K6:K110="GASOLINA")*'AGOSTO 2026'!N6:N110),0)</f>
        <v/>
      </c>
    </row>
    <row r="1426" ht="15" customHeight="1" s="195">
      <c r="A1426" s="194" t="inlineStr">
        <is>
          <t>PEDRO RUIZ GALLO</t>
        </is>
      </c>
      <c r="B1426" s="194" t="inlineStr">
        <is>
          <t>SETIEMBRE 2026</t>
        </is>
      </c>
      <c r="C1426" s="377">
        <f>IFERROR(SUMPRODUCT((IF('SETIEMBRE 2026'!Y6:Y110&lt;&gt;"",'SETIEMBRE 2026'!Y6:Y110,'SETIEMBRE 2026'!I6:I110)="PEDRO RUIZ GALLO")*('SETIEMBRE 2026'!K6:K110="PETROLEO")*'SETIEMBRE 2026'!M6:M110),0)</f>
        <v/>
      </c>
      <c r="D1426" s="377">
        <f>IFERROR(SUMPRODUCT((IF('SETIEMBRE 2026'!Y6:Y110&lt;&gt;"",'SETIEMBRE 2026'!Y6:Y110,'SETIEMBRE 2026'!I6:I110)="PEDRO RUIZ GALLO")*('SETIEMBRE 2026'!K6:K110="PETROLEO")*'SETIEMBRE 2026'!N6:N110),0)</f>
        <v/>
      </c>
      <c r="E1426" s="377">
        <f>IFERROR(SUMPRODUCT((IF('SETIEMBRE 2026'!Y6:Y110&lt;&gt;"",'SETIEMBRE 2026'!Y6:Y110,'SETIEMBRE 2026'!I6:I110)="PEDRO RUIZ GALLO")*('SETIEMBRE 2026'!K6:K110="GASOLINA")*'SETIEMBRE 2026'!M6:M110),0)</f>
        <v/>
      </c>
      <c r="F1426" s="377">
        <f>IFERROR(SUMPRODUCT((IF('SETIEMBRE 2026'!Y6:Y110&lt;&gt;"",'SETIEMBRE 2026'!Y6:Y110,'SETIEMBRE 2026'!I6:I110)="PEDRO RUIZ GALLO")*('SETIEMBRE 2026'!K6:K110="GASOLINA")*'SETIEMBRE 2026'!N6:N110),0)</f>
        <v/>
      </c>
    </row>
    <row r="1427" ht="15" customHeight="1" s="195">
      <c r="A1427" s="194" t="inlineStr">
        <is>
          <t>PEDRO RUIZ GALLO</t>
        </is>
      </c>
      <c r="B1427" s="194" t="inlineStr">
        <is>
          <t>OCTUBRE 2026</t>
        </is>
      </c>
      <c r="C1427" s="377">
        <f>IFERROR(SUMPRODUCT((IF('OCTUBRE 2026'!Y6:Y110&lt;&gt;"",'OCTUBRE 2026'!Y6:Y110,'OCTUBRE 2026'!I6:I110)="PEDRO RUIZ GALLO")*('OCTUBRE 2026'!K6:K110="PETROLEO")*'OCTUBRE 2026'!M6:M110),0)</f>
        <v/>
      </c>
      <c r="D1427" s="377">
        <f>IFERROR(SUMPRODUCT((IF('OCTUBRE 2026'!Y6:Y110&lt;&gt;"",'OCTUBRE 2026'!Y6:Y110,'OCTUBRE 2026'!I6:I110)="PEDRO RUIZ GALLO")*('OCTUBRE 2026'!K6:K110="PETROLEO")*'OCTUBRE 2026'!N6:N110),0)</f>
        <v/>
      </c>
      <c r="E1427" s="377">
        <f>IFERROR(SUMPRODUCT((IF('OCTUBRE 2026'!Y6:Y110&lt;&gt;"",'OCTUBRE 2026'!Y6:Y110,'OCTUBRE 2026'!I6:I110)="PEDRO RUIZ GALLO")*('OCTUBRE 2026'!K6:K110="GASOLINA")*'OCTUBRE 2026'!M6:M110),0)</f>
        <v/>
      </c>
      <c r="F1427" s="377">
        <f>IFERROR(SUMPRODUCT((IF('OCTUBRE 2026'!Y6:Y110&lt;&gt;"",'OCTUBRE 2026'!Y6:Y110,'OCTUBRE 2026'!I6:I110)="PEDRO RUIZ GALLO")*('OCTUBRE 2026'!K6:K110="GASOLINA")*'OCTUBRE 2026'!N6:N110),0)</f>
        <v/>
      </c>
    </row>
    <row r="1428" ht="15" customHeight="1" s="195">
      <c r="A1428" s="194" t="inlineStr">
        <is>
          <t>PEDRO RUIZ GALLO</t>
        </is>
      </c>
      <c r="B1428" s="194" t="inlineStr">
        <is>
          <t>NOVIEMBRE 2026</t>
        </is>
      </c>
      <c r="C1428" s="377">
        <f>IFERROR(SUMPRODUCT((IF('NOVIEMBRE 2026'!Y6:Y110&lt;&gt;"",'NOVIEMBRE 2026'!Y6:Y110,'NOVIEMBRE 2026'!I6:I110)="PEDRO RUIZ GALLO")*('NOVIEMBRE 2026'!K6:K110="PETROLEO")*'NOVIEMBRE 2026'!M6:M110),0)</f>
        <v/>
      </c>
      <c r="D1428" s="377">
        <f>IFERROR(SUMPRODUCT((IF('NOVIEMBRE 2026'!Y6:Y110&lt;&gt;"",'NOVIEMBRE 2026'!Y6:Y110,'NOVIEMBRE 2026'!I6:I110)="PEDRO RUIZ GALLO")*('NOVIEMBRE 2026'!K6:K110="PETROLEO")*'NOVIEMBRE 2026'!N6:N110),0)</f>
        <v/>
      </c>
      <c r="E1428" s="377">
        <f>IFERROR(SUMPRODUCT((IF('NOVIEMBRE 2026'!Y6:Y110&lt;&gt;"",'NOVIEMBRE 2026'!Y6:Y110,'NOVIEMBRE 2026'!I6:I110)="PEDRO RUIZ GALLO")*('NOVIEMBRE 2026'!K6:K110="GASOLINA")*'NOVIEMBRE 2026'!M6:M110),0)</f>
        <v/>
      </c>
      <c r="F1428" s="377">
        <f>IFERROR(SUMPRODUCT((IF('NOVIEMBRE 2026'!Y6:Y110&lt;&gt;"",'NOVIEMBRE 2026'!Y6:Y110,'NOVIEMBRE 2026'!I6:I110)="PEDRO RUIZ GALLO")*('NOVIEMBRE 2026'!K6:K110="GASOLINA")*'NOVIEMBRE 2026'!N6:N110),0)</f>
        <v/>
      </c>
    </row>
    <row r="1429" ht="15" customHeight="1" s="195">
      <c r="A1429" s="194" t="inlineStr">
        <is>
          <t>PEDRO RUIZ GALLO</t>
        </is>
      </c>
      <c r="B1429" s="194" t="inlineStr">
        <is>
          <t>DICIEMBRE 2026</t>
        </is>
      </c>
      <c r="C1429" s="377">
        <f>IFERROR(SUMPRODUCT((IF('DICIEMBRE 2026'!Y6:Y110&lt;&gt;"",'DICIEMBRE 2026'!Y6:Y110,'DICIEMBRE 2026'!I6:I110)="PEDRO RUIZ GALLO")*('DICIEMBRE 2026'!K6:K110="PETROLEO")*'DICIEMBRE 2026'!M6:M110),0)</f>
        <v/>
      </c>
      <c r="D1429" s="377">
        <f>IFERROR(SUMPRODUCT((IF('DICIEMBRE 2026'!Y6:Y110&lt;&gt;"",'DICIEMBRE 2026'!Y6:Y110,'DICIEMBRE 2026'!I6:I110)="PEDRO RUIZ GALLO")*('DICIEMBRE 2026'!K6:K110="PETROLEO")*'DICIEMBRE 2026'!N6:N110),0)</f>
        <v/>
      </c>
      <c r="E1429" s="377">
        <f>IFERROR(SUMPRODUCT((IF('DICIEMBRE 2026'!Y6:Y110&lt;&gt;"",'DICIEMBRE 2026'!Y6:Y110,'DICIEMBRE 2026'!I6:I110)="PEDRO RUIZ GALLO")*('DICIEMBRE 2026'!K6:K110="GASOLINA")*'DICIEMBRE 2026'!M6:M110),0)</f>
        <v/>
      </c>
      <c r="F1429" s="377">
        <f>IFERROR(SUMPRODUCT((IF('DICIEMBRE 2026'!Y6:Y110&lt;&gt;"",'DICIEMBRE 2026'!Y6:Y110,'DICIEMBRE 2026'!I6:I110)="PEDRO RUIZ GALLO")*('DICIEMBRE 2026'!K6:K110="GASOLINA")*'DICIEMBRE 2026'!N6:N110),0)</f>
        <v/>
      </c>
    </row>
    <row r="1430" ht="15" customHeight="1" s="195">
      <c r="A1430" s="194" t="inlineStr">
        <is>
          <t>POMACOCHAS</t>
        </is>
      </c>
      <c r="B1430" s="194" t="inlineStr">
        <is>
          <t>ENERO 2026</t>
        </is>
      </c>
      <c r="C1430" s="377">
        <f>IFERROR(SUMPRODUCT((IF('ENERO 2026'!Y6:Y119&lt;&gt;"",'ENERO 2026'!Y6:Y119,'ENERO 2026'!I6:I119)="POMACOCHAS")*('ENERO 2026'!K6:K119="PETROLEO")*'ENERO 2026'!M6:M119),0)</f>
        <v/>
      </c>
      <c r="D1430" s="377">
        <f>IFERROR(SUMPRODUCT((IF('ENERO 2026'!Y6:Y119&lt;&gt;"",'ENERO 2026'!Y6:Y119,'ENERO 2026'!I6:I119)="POMACOCHAS")*('ENERO 2026'!K6:K119="PETROLEO")*'ENERO 2026'!N6:N119),0)</f>
        <v/>
      </c>
      <c r="E1430" s="377">
        <f>IFERROR(SUMPRODUCT((IF('ENERO 2026'!Y6:Y119&lt;&gt;"",'ENERO 2026'!Y6:Y119,'ENERO 2026'!I6:I119)="POMACOCHAS")*('ENERO 2026'!K6:K119="GASOLINA")*'ENERO 2026'!M6:M119),0)</f>
        <v/>
      </c>
      <c r="F1430" s="377">
        <f>IFERROR(SUMPRODUCT((IF('ENERO 2026'!Y6:Y119&lt;&gt;"",'ENERO 2026'!Y6:Y119,'ENERO 2026'!I6:I119)="POMACOCHAS")*('ENERO 2026'!K6:K119="GASOLINA")*'ENERO 2026'!N6:N119),0)</f>
        <v/>
      </c>
    </row>
    <row r="1431" ht="15" customHeight="1" s="195">
      <c r="A1431" s="194" t="inlineStr">
        <is>
          <t>POMACOCHAS</t>
        </is>
      </c>
      <c r="B1431" s="194" t="inlineStr">
        <is>
          <t>FEBRERO 2026</t>
        </is>
      </c>
      <c r="C1431" s="377">
        <f>IFERROR(SUMPRODUCT((IF('FEBRERO 2026'!Y6:Y124&lt;&gt;"",'FEBRERO 2026'!Y6:Y124,'FEBRERO 2026'!I6:I124)="POMACOCHAS")*('FEBRERO 2026'!K6:K124="PETROLEO")*'FEBRERO 2026'!M6:M124),0)</f>
        <v/>
      </c>
      <c r="D1431" s="377">
        <f>IFERROR(SUMPRODUCT((IF('FEBRERO 2026'!Y6:Y124&lt;&gt;"",'FEBRERO 2026'!Y6:Y124,'FEBRERO 2026'!I6:I124)="POMACOCHAS")*('FEBRERO 2026'!K6:K124="PETROLEO")*'FEBRERO 2026'!N6:N124),0)</f>
        <v/>
      </c>
      <c r="E1431" s="377">
        <f>IFERROR(SUMPRODUCT((IF('FEBRERO 2026'!Y6:Y124&lt;&gt;"",'FEBRERO 2026'!Y6:Y124,'FEBRERO 2026'!I6:I124)="POMACOCHAS")*('FEBRERO 2026'!K6:K124="GASOLINA")*'FEBRERO 2026'!M6:M124),0)</f>
        <v/>
      </c>
      <c r="F1431" s="377">
        <f>IFERROR(SUMPRODUCT((IF('FEBRERO 2026'!Y6:Y124&lt;&gt;"",'FEBRERO 2026'!Y6:Y124,'FEBRERO 2026'!I6:I124)="POMACOCHAS")*('FEBRERO 2026'!K6:K124="GASOLINA")*'FEBRERO 2026'!N6:N124),0)</f>
        <v/>
      </c>
    </row>
    <row r="1432" ht="15" customHeight="1" s="195">
      <c r="A1432" s="194" t="inlineStr">
        <is>
          <t>POMACOCHAS</t>
        </is>
      </c>
      <c r="B1432" s="194" t="inlineStr">
        <is>
          <t>MARZO 2026</t>
        </is>
      </c>
      <c r="C1432" s="377">
        <f>IFERROR(SUMPRODUCT((IF('MARZO 2026'!Y6:Y119&lt;&gt;"",'MARZO 2026'!Y6:Y119,'MARZO 2026'!I6:I119)="POMACOCHAS")*('MARZO 2026'!K6:K119="PETROLEO")*'MARZO 2026'!M6:M119),0)</f>
        <v/>
      </c>
      <c r="D1432" s="377">
        <f>IFERROR(SUMPRODUCT((IF('MARZO 2026'!Y6:Y119&lt;&gt;"",'MARZO 2026'!Y6:Y119,'MARZO 2026'!I6:I119)="POMACOCHAS")*('MARZO 2026'!K6:K119="PETROLEO")*'MARZO 2026'!N6:N119),0)</f>
        <v/>
      </c>
      <c r="E1432" s="377">
        <f>IFERROR(SUMPRODUCT((IF('MARZO 2026'!Y6:Y119&lt;&gt;"",'MARZO 2026'!Y6:Y119,'MARZO 2026'!I6:I119)="POMACOCHAS")*('MARZO 2026'!K6:K119="GASOLINA")*'MARZO 2026'!M6:M119),0)</f>
        <v/>
      </c>
      <c r="F1432" s="377">
        <f>IFERROR(SUMPRODUCT((IF('MARZO 2026'!Y6:Y119&lt;&gt;"",'MARZO 2026'!Y6:Y119,'MARZO 2026'!I6:I119)="POMACOCHAS")*('MARZO 2026'!K6:K119="GASOLINA")*'MARZO 2026'!N6:N119),0)</f>
        <v/>
      </c>
    </row>
    <row r="1433" ht="15" customHeight="1" s="195">
      <c r="A1433" s="194" t="inlineStr">
        <is>
          <t>POMACOCHAS</t>
        </is>
      </c>
      <c r="B1433" s="194" t="inlineStr">
        <is>
          <t>ABRIL 2026</t>
        </is>
      </c>
      <c r="C1433" s="377">
        <f>IFERROR(SUMPRODUCT((IF('ABRIL 2026'!Y6:Y119&lt;&gt;"",'ABRIL 2026'!Y6:Y119,'ABRIL 2026'!I6:I119)="POMACOCHAS")*('ABRIL 2026'!K6:K119="PETROLEO")*'ABRIL 2026'!M6:M119),0)</f>
        <v/>
      </c>
      <c r="D1433" s="377">
        <f>IFERROR(SUMPRODUCT((IF('ABRIL 2026'!Y6:Y119&lt;&gt;"",'ABRIL 2026'!Y6:Y119,'ABRIL 2026'!I6:I119)="POMACOCHAS")*('ABRIL 2026'!K6:K119="PETROLEO")*'ABRIL 2026'!N6:N119),0)</f>
        <v/>
      </c>
      <c r="E1433" s="377">
        <f>IFERROR(SUMPRODUCT((IF('ABRIL 2026'!Y6:Y119&lt;&gt;"",'ABRIL 2026'!Y6:Y119,'ABRIL 2026'!I6:I119)="POMACOCHAS")*('ABRIL 2026'!K6:K119="GASOLINA")*'ABRIL 2026'!M6:M119),0)</f>
        <v/>
      </c>
      <c r="F1433" s="377">
        <f>IFERROR(SUMPRODUCT((IF('ABRIL 2026'!Y6:Y119&lt;&gt;"",'ABRIL 2026'!Y6:Y119,'ABRIL 2026'!I6:I119)="POMACOCHAS")*('ABRIL 2026'!K6:K119="GASOLINA")*'ABRIL 2026'!N6:N119),0)</f>
        <v/>
      </c>
    </row>
    <row r="1434" ht="15" customHeight="1" s="195">
      <c r="A1434" s="194" t="inlineStr">
        <is>
          <t>POMACOCHAS</t>
        </is>
      </c>
      <c r="B1434" s="194" t="inlineStr">
        <is>
          <t>MAYO 2026</t>
        </is>
      </c>
      <c r="C1434" s="377">
        <f>IFERROR(SUMPRODUCT((IF('MAYO 2026'!Y6:Y110&lt;&gt;"",'MAYO 2026'!Y6:Y110,'MAYO 2026'!I6:I110)="POMACOCHAS")*('MAYO 2026'!K6:K110="PETROLEO")*'MAYO 2026'!M6:M110),0)</f>
        <v/>
      </c>
      <c r="D1434" s="377">
        <f>IFERROR(SUMPRODUCT((IF('MAYO 2026'!Y6:Y110&lt;&gt;"",'MAYO 2026'!Y6:Y110,'MAYO 2026'!I6:I110)="POMACOCHAS")*('MAYO 2026'!K6:K110="PETROLEO")*'MAYO 2026'!N6:N110),0)</f>
        <v/>
      </c>
      <c r="E1434" s="377">
        <f>IFERROR(SUMPRODUCT((IF('MAYO 2026'!Y6:Y110&lt;&gt;"",'MAYO 2026'!Y6:Y110,'MAYO 2026'!I6:I110)="POMACOCHAS")*('MAYO 2026'!K6:K110="GASOLINA")*'MAYO 2026'!M6:M110),0)</f>
        <v/>
      </c>
      <c r="F1434" s="377">
        <f>IFERROR(SUMPRODUCT((IF('MAYO 2026'!Y6:Y110&lt;&gt;"",'MAYO 2026'!Y6:Y110,'MAYO 2026'!I6:I110)="POMACOCHAS")*('MAYO 2026'!K6:K110="GASOLINA")*'MAYO 2026'!N6:N110),0)</f>
        <v/>
      </c>
    </row>
    <row r="1435" ht="15" customHeight="1" s="195">
      <c r="A1435" s="194" t="inlineStr">
        <is>
          <t>POMACOCHAS</t>
        </is>
      </c>
      <c r="B1435" s="194" t="inlineStr">
        <is>
          <t>JUNIO 2026</t>
        </is>
      </c>
      <c r="C1435" s="377">
        <f>IFERROR(SUMPRODUCT((IF('JUNIO 2026'!Y6:Y110&lt;&gt;"",'JUNIO 2026'!Y6:Y110,'JUNIO 2026'!I6:I110)="POMACOCHAS")*('JUNIO 2026'!K6:K110="PETROLEO")*'JUNIO 2026'!M6:M110),0)</f>
        <v/>
      </c>
      <c r="D1435" s="377">
        <f>IFERROR(SUMPRODUCT((IF('JUNIO 2026'!Y6:Y110&lt;&gt;"",'JUNIO 2026'!Y6:Y110,'JUNIO 2026'!I6:I110)="POMACOCHAS")*('JUNIO 2026'!K6:K110="PETROLEO")*'JUNIO 2026'!N6:N110),0)</f>
        <v/>
      </c>
      <c r="E1435" s="377">
        <f>IFERROR(SUMPRODUCT((IF('JUNIO 2026'!Y6:Y110&lt;&gt;"",'JUNIO 2026'!Y6:Y110,'JUNIO 2026'!I6:I110)="POMACOCHAS")*('JUNIO 2026'!K6:K110="GASOLINA")*'JUNIO 2026'!M6:M110),0)</f>
        <v/>
      </c>
      <c r="F1435" s="377">
        <f>IFERROR(SUMPRODUCT((IF('JUNIO 2026'!Y6:Y110&lt;&gt;"",'JUNIO 2026'!Y6:Y110,'JUNIO 2026'!I6:I110)="POMACOCHAS")*('JUNIO 2026'!K6:K110="GASOLINA")*'JUNIO 2026'!N6:N110),0)</f>
        <v/>
      </c>
    </row>
    <row r="1436" ht="15" customHeight="1" s="195">
      <c r="A1436" s="194" t="inlineStr">
        <is>
          <t>POMACOCHAS</t>
        </is>
      </c>
      <c r="B1436" s="194" t="inlineStr">
        <is>
          <t>JULIO 2026</t>
        </is>
      </c>
      <c r="C1436" s="377">
        <f>IFERROR(SUMPRODUCT((IF('JULIO 2026'!Y6:Y110&lt;&gt;"",'JULIO 2026'!Y6:Y110,'JULIO 2026'!I6:I110)="POMACOCHAS")*('JULIO 2026'!K6:K110="PETROLEO")*'JULIO 2026'!M6:M110),0)</f>
        <v/>
      </c>
      <c r="D1436" s="377">
        <f>IFERROR(SUMPRODUCT((IF('JULIO 2026'!Y6:Y110&lt;&gt;"",'JULIO 2026'!Y6:Y110,'JULIO 2026'!I6:I110)="POMACOCHAS")*('JULIO 2026'!K6:K110="PETROLEO")*'JULIO 2026'!N6:N110),0)</f>
        <v/>
      </c>
      <c r="E1436" s="377">
        <f>IFERROR(SUMPRODUCT((IF('JULIO 2026'!Y6:Y110&lt;&gt;"",'JULIO 2026'!Y6:Y110,'JULIO 2026'!I6:I110)="POMACOCHAS")*('JULIO 2026'!K6:K110="GASOLINA")*'JULIO 2026'!M6:M110),0)</f>
        <v/>
      </c>
      <c r="F1436" s="377">
        <f>IFERROR(SUMPRODUCT((IF('JULIO 2026'!Y6:Y110&lt;&gt;"",'JULIO 2026'!Y6:Y110,'JULIO 2026'!I6:I110)="POMACOCHAS")*('JULIO 2026'!K6:K110="GASOLINA")*'JULIO 2026'!N6:N110),0)</f>
        <v/>
      </c>
    </row>
    <row r="1437" ht="15" customHeight="1" s="195">
      <c r="A1437" s="194" t="inlineStr">
        <is>
          <t>POMACOCHAS</t>
        </is>
      </c>
      <c r="B1437" s="194" t="inlineStr">
        <is>
          <t>AGOSTO 2026</t>
        </is>
      </c>
      <c r="C1437" s="377">
        <f>IFERROR(SUMPRODUCT((IF('AGOSTO 2026'!Y6:Y110&lt;&gt;"",'AGOSTO 2026'!Y6:Y110,'AGOSTO 2026'!I6:I110)="POMACOCHAS")*('AGOSTO 2026'!K6:K110="PETROLEO")*'AGOSTO 2026'!M6:M110),0)</f>
        <v/>
      </c>
      <c r="D1437" s="377">
        <f>IFERROR(SUMPRODUCT((IF('AGOSTO 2026'!Y6:Y110&lt;&gt;"",'AGOSTO 2026'!Y6:Y110,'AGOSTO 2026'!I6:I110)="POMACOCHAS")*('AGOSTO 2026'!K6:K110="PETROLEO")*'AGOSTO 2026'!N6:N110),0)</f>
        <v/>
      </c>
      <c r="E1437" s="377">
        <f>IFERROR(SUMPRODUCT((IF('AGOSTO 2026'!Y6:Y110&lt;&gt;"",'AGOSTO 2026'!Y6:Y110,'AGOSTO 2026'!I6:I110)="POMACOCHAS")*('AGOSTO 2026'!K6:K110="GASOLINA")*'AGOSTO 2026'!M6:M110),0)</f>
        <v/>
      </c>
      <c r="F1437" s="377">
        <f>IFERROR(SUMPRODUCT((IF('AGOSTO 2026'!Y6:Y110&lt;&gt;"",'AGOSTO 2026'!Y6:Y110,'AGOSTO 2026'!I6:I110)="POMACOCHAS")*('AGOSTO 2026'!K6:K110="GASOLINA")*'AGOSTO 2026'!N6:N110),0)</f>
        <v/>
      </c>
    </row>
    <row r="1438" ht="15" customHeight="1" s="195">
      <c r="A1438" s="194" t="inlineStr">
        <is>
          <t>POMACOCHAS</t>
        </is>
      </c>
      <c r="B1438" s="194" t="inlineStr">
        <is>
          <t>SETIEMBRE 2026</t>
        </is>
      </c>
      <c r="C1438" s="377">
        <f>IFERROR(SUMPRODUCT((IF('SETIEMBRE 2026'!Y6:Y110&lt;&gt;"",'SETIEMBRE 2026'!Y6:Y110,'SETIEMBRE 2026'!I6:I110)="POMACOCHAS")*('SETIEMBRE 2026'!K6:K110="PETROLEO")*'SETIEMBRE 2026'!M6:M110),0)</f>
        <v/>
      </c>
      <c r="D1438" s="377">
        <f>IFERROR(SUMPRODUCT((IF('SETIEMBRE 2026'!Y6:Y110&lt;&gt;"",'SETIEMBRE 2026'!Y6:Y110,'SETIEMBRE 2026'!I6:I110)="POMACOCHAS")*('SETIEMBRE 2026'!K6:K110="PETROLEO")*'SETIEMBRE 2026'!N6:N110),0)</f>
        <v/>
      </c>
      <c r="E1438" s="377">
        <f>IFERROR(SUMPRODUCT((IF('SETIEMBRE 2026'!Y6:Y110&lt;&gt;"",'SETIEMBRE 2026'!Y6:Y110,'SETIEMBRE 2026'!I6:I110)="POMACOCHAS")*('SETIEMBRE 2026'!K6:K110="GASOLINA")*'SETIEMBRE 2026'!M6:M110),0)</f>
        <v/>
      </c>
      <c r="F1438" s="377">
        <f>IFERROR(SUMPRODUCT((IF('SETIEMBRE 2026'!Y6:Y110&lt;&gt;"",'SETIEMBRE 2026'!Y6:Y110,'SETIEMBRE 2026'!I6:I110)="POMACOCHAS")*('SETIEMBRE 2026'!K6:K110="GASOLINA")*'SETIEMBRE 2026'!N6:N110),0)</f>
        <v/>
      </c>
    </row>
    <row r="1439" ht="15" customHeight="1" s="195">
      <c r="A1439" s="194" t="inlineStr">
        <is>
          <t>POMACOCHAS</t>
        </is>
      </c>
      <c r="B1439" s="194" t="inlineStr">
        <is>
          <t>OCTUBRE 2026</t>
        </is>
      </c>
      <c r="C1439" s="377">
        <f>IFERROR(SUMPRODUCT((IF('OCTUBRE 2026'!Y6:Y110&lt;&gt;"",'OCTUBRE 2026'!Y6:Y110,'OCTUBRE 2026'!I6:I110)="POMACOCHAS")*('OCTUBRE 2026'!K6:K110="PETROLEO")*'OCTUBRE 2026'!M6:M110),0)</f>
        <v/>
      </c>
      <c r="D1439" s="377">
        <f>IFERROR(SUMPRODUCT((IF('OCTUBRE 2026'!Y6:Y110&lt;&gt;"",'OCTUBRE 2026'!Y6:Y110,'OCTUBRE 2026'!I6:I110)="POMACOCHAS")*('OCTUBRE 2026'!K6:K110="PETROLEO")*'OCTUBRE 2026'!N6:N110),0)</f>
        <v/>
      </c>
      <c r="E1439" s="377">
        <f>IFERROR(SUMPRODUCT((IF('OCTUBRE 2026'!Y6:Y110&lt;&gt;"",'OCTUBRE 2026'!Y6:Y110,'OCTUBRE 2026'!I6:I110)="POMACOCHAS")*('OCTUBRE 2026'!K6:K110="GASOLINA")*'OCTUBRE 2026'!M6:M110),0)</f>
        <v/>
      </c>
      <c r="F1439" s="377">
        <f>IFERROR(SUMPRODUCT((IF('OCTUBRE 2026'!Y6:Y110&lt;&gt;"",'OCTUBRE 2026'!Y6:Y110,'OCTUBRE 2026'!I6:I110)="POMACOCHAS")*('OCTUBRE 2026'!K6:K110="GASOLINA")*'OCTUBRE 2026'!N6:N110),0)</f>
        <v/>
      </c>
    </row>
    <row r="1440" ht="15" customHeight="1" s="195">
      <c r="A1440" s="194" t="inlineStr">
        <is>
          <t>POMACOCHAS</t>
        </is>
      </c>
      <c r="B1440" s="194" t="inlineStr">
        <is>
          <t>NOVIEMBRE 2026</t>
        </is>
      </c>
      <c r="C1440" s="377">
        <f>IFERROR(SUMPRODUCT((IF('NOVIEMBRE 2026'!Y6:Y110&lt;&gt;"",'NOVIEMBRE 2026'!Y6:Y110,'NOVIEMBRE 2026'!I6:I110)="POMACOCHAS")*('NOVIEMBRE 2026'!K6:K110="PETROLEO")*'NOVIEMBRE 2026'!M6:M110),0)</f>
        <v/>
      </c>
      <c r="D1440" s="377">
        <f>IFERROR(SUMPRODUCT((IF('NOVIEMBRE 2026'!Y6:Y110&lt;&gt;"",'NOVIEMBRE 2026'!Y6:Y110,'NOVIEMBRE 2026'!I6:I110)="POMACOCHAS")*('NOVIEMBRE 2026'!K6:K110="PETROLEO")*'NOVIEMBRE 2026'!N6:N110),0)</f>
        <v/>
      </c>
      <c r="E1440" s="377">
        <f>IFERROR(SUMPRODUCT((IF('NOVIEMBRE 2026'!Y6:Y110&lt;&gt;"",'NOVIEMBRE 2026'!Y6:Y110,'NOVIEMBRE 2026'!I6:I110)="POMACOCHAS")*('NOVIEMBRE 2026'!K6:K110="GASOLINA")*'NOVIEMBRE 2026'!M6:M110),0)</f>
        <v/>
      </c>
      <c r="F1440" s="377">
        <f>IFERROR(SUMPRODUCT((IF('NOVIEMBRE 2026'!Y6:Y110&lt;&gt;"",'NOVIEMBRE 2026'!Y6:Y110,'NOVIEMBRE 2026'!I6:I110)="POMACOCHAS")*('NOVIEMBRE 2026'!K6:K110="GASOLINA")*'NOVIEMBRE 2026'!N6:N110),0)</f>
        <v/>
      </c>
    </row>
    <row r="1441" ht="15" customHeight="1" s="195">
      <c r="A1441" s="194" t="inlineStr">
        <is>
          <t>POMACOCHAS</t>
        </is>
      </c>
      <c r="B1441" s="194" t="inlineStr">
        <is>
          <t>DICIEMBRE 2026</t>
        </is>
      </c>
      <c r="C1441" s="377">
        <f>IFERROR(SUMPRODUCT((IF('DICIEMBRE 2026'!Y6:Y110&lt;&gt;"",'DICIEMBRE 2026'!Y6:Y110,'DICIEMBRE 2026'!I6:I110)="POMACOCHAS")*('DICIEMBRE 2026'!K6:K110="PETROLEO")*'DICIEMBRE 2026'!M6:M110),0)</f>
        <v/>
      </c>
      <c r="D1441" s="377">
        <f>IFERROR(SUMPRODUCT((IF('DICIEMBRE 2026'!Y6:Y110&lt;&gt;"",'DICIEMBRE 2026'!Y6:Y110,'DICIEMBRE 2026'!I6:I110)="POMACOCHAS")*('DICIEMBRE 2026'!K6:K110="PETROLEO")*'DICIEMBRE 2026'!N6:N110),0)</f>
        <v/>
      </c>
      <c r="E1441" s="377">
        <f>IFERROR(SUMPRODUCT((IF('DICIEMBRE 2026'!Y6:Y110&lt;&gt;"",'DICIEMBRE 2026'!Y6:Y110,'DICIEMBRE 2026'!I6:I110)="POMACOCHAS")*('DICIEMBRE 2026'!K6:K110="GASOLINA")*'DICIEMBRE 2026'!M6:M110),0)</f>
        <v/>
      </c>
      <c r="F1441" s="377">
        <f>IFERROR(SUMPRODUCT((IF('DICIEMBRE 2026'!Y6:Y110&lt;&gt;"",'DICIEMBRE 2026'!Y6:Y110,'DICIEMBRE 2026'!I6:I110)="POMACOCHAS")*('DICIEMBRE 2026'!K6:K110="GASOLINA")*'DICIEMBRE 2026'!N6:N110),0)</f>
        <v/>
      </c>
    </row>
    <row r="1442" ht="15" customHeight="1" s="195">
      <c r="A1442" s="194" t="inlineStr">
        <is>
          <t>SALAZAR</t>
        </is>
      </c>
      <c r="B1442" s="194" t="inlineStr">
        <is>
          <t>ENERO 2026</t>
        </is>
      </c>
      <c r="C1442" s="377">
        <f>IFERROR(SUMPRODUCT((IF('ENERO 2026'!Y6:Y119&lt;&gt;"",'ENERO 2026'!Y6:Y119,'ENERO 2026'!I6:I119)="SALAZAR")*('ENERO 2026'!K6:K119="PETROLEO")*'ENERO 2026'!M6:M119),0)</f>
        <v/>
      </c>
      <c r="D1442" s="377">
        <f>IFERROR(SUMPRODUCT((IF('ENERO 2026'!Y6:Y119&lt;&gt;"",'ENERO 2026'!Y6:Y119,'ENERO 2026'!I6:I119)="SALAZAR")*('ENERO 2026'!K6:K119="PETROLEO")*'ENERO 2026'!N6:N119),0)</f>
        <v/>
      </c>
      <c r="E1442" s="377">
        <f>IFERROR(SUMPRODUCT((IF('ENERO 2026'!Y6:Y119&lt;&gt;"",'ENERO 2026'!Y6:Y119,'ENERO 2026'!I6:I119)="SALAZAR")*('ENERO 2026'!K6:K119="GASOLINA")*'ENERO 2026'!M6:M119),0)</f>
        <v/>
      </c>
      <c r="F1442" s="377">
        <f>IFERROR(SUMPRODUCT((IF('ENERO 2026'!Y6:Y119&lt;&gt;"",'ENERO 2026'!Y6:Y119,'ENERO 2026'!I6:I119)="SALAZAR")*('ENERO 2026'!K6:K119="GASOLINA")*'ENERO 2026'!N6:N119),0)</f>
        <v/>
      </c>
    </row>
    <row r="1443" ht="15" customHeight="1" s="195">
      <c r="A1443" s="194" t="inlineStr">
        <is>
          <t>SALAZAR</t>
        </is>
      </c>
      <c r="B1443" s="194" t="inlineStr">
        <is>
          <t>FEBRERO 2026</t>
        </is>
      </c>
      <c r="C1443" s="377">
        <f>IFERROR(SUMPRODUCT((IF('FEBRERO 2026'!Y6:Y124&lt;&gt;"",'FEBRERO 2026'!Y6:Y124,'FEBRERO 2026'!I6:I124)="SALAZAR")*('FEBRERO 2026'!K6:K124="PETROLEO")*'FEBRERO 2026'!M6:M124),0)</f>
        <v/>
      </c>
      <c r="D1443" s="377">
        <f>IFERROR(SUMPRODUCT((IF('FEBRERO 2026'!Y6:Y124&lt;&gt;"",'FEBRERO 2026'!Y6:Y124,'FEBRERO 2026'!I6:I124)="SALAZAR")*('FEBRERO 2026'!K6:K124="PETROLEO")*'FEBRERO 2026'!N6:N124),0)</f>
        <v/>
      </c>
      <c r="E1443" s="377">
        <f>IFERROR(SUMPRODUCT((IF('FEBRERO 2026'!Y6:Y124&lt;&gt;"",'FEBRERO 2026'!Y6:Y124,'FEBRERO 2026'!I6:I124)="SALAZAR")*('FEBRERO 2026'!K6:K124="GASOLINA")*'FEBRERO 2026'!M6:M124),0)</f>
        <v/>
      </c>
      <c r="F1443" s="377">
        <f>IFERROR(SUMPRODUCT((IF('FEBRERO 2026'!Y6:Y124&lt;&gt;"",'FEBRERO 2026'!Y6:Y124,'FEBRERO 2026'!I6:I124)="SALAZAR")*('FEBRERO 2026'!K6:K124="GASOLINA")*'FEBRERO 2026'!N6:N124),0)</f>
        <v/>
      </c>
    </row>
    <row r="1444" ht="15" customHeight="1" s="195">
      <c r="A1444" s="194" t="inlineStr">
        <is>
          <t>SALAZAR</t>
        </is>
      </c>
      <c r="B1444" s="194" t="inlineStr">
        <is>
          <t>MARZO 2026</t>
        </is>
      </c>
      <c r="C1444" s="377">
        <f>IFERROR(SUMPRODUCT((IF('MARZO 2026'!Y6:Y119&lt;&gt;"",'MARZO 2026'!Y6:Y119,'MARZO 2026'!I6:I119)="SALAZAR")*('MARZO 2026'!K6:K119="PETROLEO")*'MARZO 2026'!M6:M119),0)</f>
        <v/>
      </c>
      <c r="D1444" s="377">
        <f>IFERROR(SUMPRODUCT((IF('MARZO 2026'!Y6:Y119&lt;&gt;"",'MARZO 2026'!Y6:Y119,'MARZO 2026'!I6:I119)="SALAZAR")*('MARZO 2026'!K6:K119="PETROLEO")*'MARZO 2026'!N6:N119),0)</f>
        <v/>
      </c>
      <c r="E1444" s="377">
        <f>IFERROR(SUMPRODUCT((IF('MARZO 2026'!Y6:Y119&lt;&gt;"",'MARZO 2026'!Y6:Y119,'MARZO 2026'!I6:I119)="SALAZAR")*('MARZO 2026'!K6:K119="GASOLINA")*'MARZO 2026'!M6:M119),0)</f>
        <v/>
      </c>
      <c r="F1444" s="377">
        <f>IFERROR(SUMPRODUCT((IF('MARZO 2026'!Y6:Y119&lt;&gt;"",'MARZO 2026'!Y6:Y119,'MARZO 2026'!I6:I119)="SALAZAR")*('MARZO 2026'!K6:K119="GASOLINA")*'MARZO 2026'!N6:N119),0)</f>
        <v/>
      </c>
    </row>
    <row r="1445" ht="15" customHeight="1" s="195">
      <c r="A1445" s="194" t="inlineStr">
        <is>
          <t>SALAZAR</t>
        </is>
      </c>
      <c r="B1445" s="194" t="inlineStr">
        <is>
          <t>ABRIL 2026</t>
        </is>
      </c>
      <c r="C1445" s="377">
        <f>IFERROR(SUMPRODUCT((IF('ABRIL 2026'!Y6:Y119&lt;&gt;"",'ABRIL 2026'!Y6:Y119,'ABRIL 2026'!I6:I119)="SALAZAR")*('ABRIL 2026'!K6:K119="PETROLEO")*'ABRIL 2026'!M6:M119),0)</f>
        <v/>
      </c>
      <c r="D1445" s="377">
        <f>IFERROR(SUMPRODUCT((IF('ABRIL 2026'!Y6:Y119&lt;&gt;"",'ABRIL 2026'!Y6:Y119,'ABRIL 2026'!I6:I119)="SALAZAR")*('ABRIL 2026'!K6:K119="PETROLEO")*'ABRIL 2026'!N6:N119),0)</f>
        <v/>
      </c>
      <c r="E1445" s="377">
        <f>IFERROR(SUMPRODUCT((IF('ABRIL 2026'!Y6:Y119&lt;&gt;"",'ABRIL 2026'!Y6:Y119,'ABRIL 2026'!I6:I119)="SALAZAR")*('ABRIL 2026'!K6:K119="GASOLINA")*'ABRIL 2026'!M6:M119),0)</f>
        <v/>
      </c>
      <c r="F1445" s="377">
        <f>IFERROR(SUMPRODUCT((IF('ABRIL 2026'!Y6:Y119&lt;&gt;"",'ABRIL 2026'!Y6:Y119,'ABRIL 2026'!I6:I119)="SALAZAR")*('ABRIL 2026'!K6:K119="GASOLINA")*'ABRIL 2026'!N6:N119),0)</f>
        <v/>
      </c>
    </row>
    <row r="1446" ht="15" customHeight="1" s="195">
      <c r="A1446" s="194" t="inlineStr">
        <is>
          <t>SALAZAR</t>
        </is>
      </c>
      <c r="B1446" s="194" t="inlineStr">
        <is>
          <t>MAYO 2026</t>
        </is>
      </c>
      <c r="C1446" s="377">
        <f>IFERROR(SUMPRODUCT((IF('MAYO 2026'!Y6:Y110&lt;&gt;"",'MAYO 2026'!Y6:Y110,'MAYO 2026'!I6:I110)="SALAZAR")*('MAYO 2026'!K6:K110="PETROLEO")*'MAYO 2026'!M6:M110),0)</f>
        <v/>
      </c>
      <c r="D1446" s="377">
        <f>IFERROR(SUMPRODUCT((IF('MAYO 2026'!Y6:Y110&lt;&gt;"",'MAYO 2026'!Y6:Y110,'MAYO 2026'!I6:I110)="SALAZAR")*('MAYO 2026'!K6:K110="PETROLEO")*'MAYO 2026'!N6:N110),0)</f>
        <v/>
      </c>
      <c r="E1446" s="377">
        <f>IFERROR(SUMPRODUCT((IF('MAYO 2026'!Y6:Y110&lt;&gt;"",'MAYO 2026'!Y6:Y110,'MAYO 2026'!I6:I110)="SALAZAR")*('MAYO 2026'!K6:K110="GASOLINA")*'MAYO 2026'!M6:M110),0)</f>
        <v/>
      </c>
      <c r="F1446" s="377">
        <f>IFERROR(SUMPRODUCT((IF('MAYO 2026'!Y6:Y110&lt;&gt;"",'MAYO 2026'!Y6:Y110,'MAYO 2026'!I6:I110)="SALAZAR")*('MAYO 2026'!K6:K110="GASOLINA")*'MAYO 2026'!N6:N110),0)</f>
        <v/>
      </c>
    </row>
    <row r="1447" ht="15" customHeight="1" s="195">
      <c r="A1447" s="194" t="inlineStr">
        <is>
          <t>SALAZAR</t>
        </is>
      </c>
      <c r="B1447" s="194" t="inlineStr">
        <is>
          <t>JUNIO 2026</t>
        </is>
      </c>
      <c r="C1447" s="377">
        <f>IFERROR(SUMPRODUCT((IF('JUNIO 2026'!Y6:Y110&lt;&gt;"",'JUNIO 2026'!Y6:Y110,'JUNIO 2026'!I6:I110)="SALAZAR")*('JUNIO 2026'!K6:K110="PETROLEO")*'JUNIO 2026'!M6:M110),0)</f>
        <v/>
      </c>
      <c r="D1447" s="377">
        <f>IFERROR(SUMPRODUCT((IF('JUNIO 2026'!Y6:Y110&lt;&gt;"",'JUNIO 2026'!Y6:Y110,'JUNIO 2026'!I6:I110)="SALAZAR")*('JUNIO 2026'!K6:K110="PETROLEO")*'JUNIO 2026'!N6:N110),0)</f>
        <v/>
      </c>
      <c r="E1447" s="377">
        <f>IFERROR(SUMPRODUCT((IF('JUNIO 2026'!Y6:Y110&lt;&gt;"",'JUNIO 2026'!Y6:Y110,'JUNIO 2026'!I6:I110)="SALAZAR")*('JUNIO 2026'!K6:K110="GASOLINA")*'JUNIO 2026'!M6:M110),0)</f>
        <v/>
      </c>
      <c r="F1447" s="377">
        <f>IFERROR(SUMPRODUCT((IF('JUNIO 2026'!Y6:Y110&lt;&gt;"",'JUNIO 2026'!Y6:Y110,'JUNIO 2026'!I6:I110)="SALAZAR")*('JUNIO 2026'!K6:K110="GASOLINA")*'JUNIO 2026'!N6:N110),0)</f>
        <v/>
      </c>
    </row>
    <row r="1448" ht="15" customHeight="1" s="195">
      <c r="A1448" s="194" t="inlineStr">
        <is>
          <t>SALAZAR</t>
        </is>
      </c>
      <c r="B1448" s="194" t="inlineStr">
        <is>
          <t>JULIO 2026</t>
        </is>
      </c>
      <c r="C1448" s="377">
        <f>IFERROR(SUMPRODUCT((IF('JULIO 2026'!Y6:Y110&lt;&gt;"",'JULIO 2026'!Y6:Y110,'JULIO 2026'!I6:I110)="SALAZAR")*('JULIO 2026'!K6:K110="PETROLEO")*'JULIO 2026'!M6:M110),0)</f>
        <v/>
      </c>
      <c r="D1448" s="377">
        <f>IFERROR(SUMPRODUCT((IF('JULIO 2026'!Y6:Y110&lt;&gt;"",'JULIO 2026'!Y6:Y110,'JULIO 2026'!I6:I110)="SALAZAR")*('JULIO 2026'!K6:K110="PETROLEO")*'JULIO 2026'!N6:N110),0)</f>
        <v/>
      </c>
      <c r="E1448" s="377">
        <f>IFERROR(SUMPRODUCT((IF('JULIO 2026'!Y6:Y110&lt;&gt;"",'JULIO 2026'!Y6:Y110,'JULIO 2026'!I6:I110)="SALAZAR")*('JULIO 2026'!K6:K110="GASOLINA")*'JULIO 2026'!M6:M110),0)</f>
        <v/>
      </c>
      <c r="F1448" s="377">
        <f>IFERROR(SUMPRODUCT((IF('JULIO 2026'!Y6:Y110&lt;&gt;"",'JULIO 2026'!Y6:Y110,'JULIO 2026'!I6:I110)="SALAZAR")*('JULIO 2026'!K6:K110="GASOLINA")*'JULIO 2026'!N6:N110),0)</f>
        <v/>
      </c>
    </row>
    <row r="1449" ht="15" customHeight="1" s="195">
      <c r="A1449" s="194" t="inlineStr">
        <is>
          <t>SALAZAR</t>
        </is>
      </c>
      <c r="B1449" s="194" t="inlineStr">
        <is>
          <t>AGOSTO 2026</t>
        </is>
      </c>
      <c r="C1449" s="377">
        <f>IFERROR(SUMPRODUCT((IF('AGOSTO 2026'!Y6:Y110&lt;&gt;"",'AGOSTO 2026'!Y6:Y110,'AGOSTO 2026'!I6:I110)="SALAZAR")*('AGOSTO 2026'!K6:K110="PETROLEO")*'AGOSTO 2026'!M6:M110),0)</f>
        <v/>
      </c>
      <c r="D1449" s="377">
        <f>IFERROR(SUMPRODUCT((IF('AGOSTO 2026'!Y6:Y110&lt;&gt;"",'AGOSTO 2026'!Y6:Y110,'AGOSTO 2026'!I6:I110)="SALAZAR")*('AGOSTO 2026'!K6:K110="PETROLEO")*'AGOSTO 2026'!N6:N110),0)</f>
        <v/>
      </c>
      <c r="E1449" s="377">
        <f>IFERROR(SUMPRODUCT((IF('AGOSTO 2026'!Y6:Y110&lt;&gt;"",'AGOSTO 2026'!Y6:Y110,'AGOSTO 2026'!I6:I110)="SALAZAR")*('AGOSTO 2026'!K6:K110="GASOLINA")*'AGOSTO 2026'!M6:M110),0)</f>
        <v/>
      </c>
      <c r="F1449" s="377">
        <f>IFERROR(SUMPRODUCT((IF('AGOSTO 2026'!Y6:Y110&lt;&gt;"",'AGOSTO 2026'!Y6:Y110,'AGOSTO 2026'!I6:I110)="SALAZAR")*('AGOSTO 2026'!K6:K110="GASOLINA")*'AGOSTO 2026'!N6:N110),0)</f>
        <v/>
      </c>
    </row>
    <row r="1450" ht="15" customHeight="1" s="195">
      <c r="A1450" s="194" t="inlineStr">
        <is>
          <t>SALAZAR</t>
        </is>
      </c>
      <c r="B1450" s="194" t="inlineStr">
        <is>
          <t>SETIEMBRE 2026</t>
        </is>
      </c>
      <c r="C1450" s="377">
        <f>IFERROR(SUMPRODUCT((IF('SETIEMBRE 2026'!Y6:Y110&lt;&gt;"",'SETIEMBRE 2026'!Y6:Y110,'SETIEMBRE 2026'!I6:I110)="SALAZAR")*('SETIEMBRE 2026'!K6:K110="PETROLEO")*'SETIEMBRE 2026'!M6:M110),0)</f>
        <v/>
      </c>
      <c r="D1450" s="377">
        <f>IFERROR(SUMPRODUCT((IF('SETIEMBRE 2026'!Y6:Y110&lt;&gt;"",'SETIEMBRE 2026'!Y6:Y110,'SETIEMBRE 2026'!I6:I110)="SALAZAR")*('SETIEMBRE 2026'!K6:K110="PETROLEO")*'SETIEMBRE 2026'!N6:N110),0)</f>
        <v/>
      </c>
      <c r="E1450" s="377">
        <f>IFERROR(SUMPRODUCT((IF('SETIEMBRE 2026'!Y6:Y110&lt;&gt;"",'SETIEMBRE 2026'!Y6:Y110,'SETIEMBRE 2026'!I6:I110)="SALAZAR")*('SETIEMBRE 2026'!K6:K110="GASOLINA")*'SETIEMBRE 2026'!M6:M110),0)</f>
        <v/>
      </c>
      <c r="F1450" s="377">
        <f>IFERROR(SUMPRODUCT((IF('SETIEMBRE 2026'!Y6:Y110&lt;&gt;"",'SETIEMBRE 2026'!Y6:Y110,'SETIEMBRE 2026'!I6:I110)="SALAZAR")*('SETIEMBRE 2026'!K6:K110="GASOLINA")*'SETIEMBRE 2026'!N6:N110),0)</f>
        <v/>
      </c>
    </row>
    <row r="1451" ht="15" customHeight="1" s="195">
      <c r="A1451" s="194" t="inlineStr">
        <is>
          <t>SALAZAR</t>
        </is>
      </c>
      <c r="B1451" s="194" t="inlineStr">
        <is>
          <t>OCTUBRE 2026</t>
        </is>
      </c>
      <c r="C1451" s="377">
        <f>IFERROR(SUMPRODUCT((IF('OCTUBRE 2026'!Y6:Y110&lt;&gt;"",'OCTUBRE 2026'!Y6:Y110,'OCTUBRE 2026'!I6:I110)="SALAZAR")*('OCTUBRE 2026'!K6:K110="PETROLEO")*'OCTUBRE 2026'!M6:M110),0)</f>
        <v/>
      </c>
      <c r="D1451" s="377">
        <f>IFERROR(SUMPRODUCT((IF('OCTUBRE 2026'!Y6:Y110&lt;&gt;"",'OCTUBRE 2026'!Y6:Y110,'OCTUBRE 2026'!I6:I110)="SALAZAR")*('OCTUBRE 2026'!K6:K110="PETROLEO")*'OCTUBRE 2026'!N6:N110),0)</f>
        <v/>
      </c>
      <c r="E1451" s="377">
        <f>IFERROR(SUMPRODUCT((IF('OCTUBRE 2026'!Y6:Y110&lt;&gt;"",'OCTUBRE 2026'!Y6:Y110,'OCTUBRE 2026'!I6:I110)="SALAZAR")*('OCTUBRE 2026'!K6:K110="GASOLINA")*'OCTUBRE 2026'!M6:M110),0)</f>
        <v/>
      </c>
      <c r="F1451" s="377">
        <f>IFERROR(SUMPRODUCT((IF('OCTUBRE 2026'!Y6:Y110&lt;&gt;"",'OCTUBRE 2026'!Y6:Y110,'OCTUBRE 2026'!I6:I110)="SALAZAR")*('OCTUBRE 2026'!K6:K110="GASOLINA")*'OCTUBRE 2026'!N6:N110),0)</f>
        <v/>
      </c>
    </row>
    <row r="1452" ht="15" customHeight="1" s="195">
      <c r="A1452" s="194" t="inlineStr">
        <is>
          <t>SALAZAR</t>
        </is>
      </c>
      <c r="B1452" s="194" t="inlineStr">
        <is>
          <t>NOVIEMBRE 2026</t>
        </is>
      </c>
      <c r="C1452" s="377">
        <f>IFERROR(SUMPRODUCT((IF('NOVIEMBRE 2026'!Y6:Y110&lt;&gt;"",'NOVIEMBRE 2026'!Y6:Y110,'NOVIEMBRE 2026'!I6:I110)="SALAZAR")*('NOVIEMBRE 2026'!K6:K110="PETROLEO")*'NOVIEMBRE 2026'!M6:M110),0)</f>
        <v/>
      </c>
      <c r="D1452" s="377">
        <f>IFERROR(SUMPRODUCT((IF('NOVIEMBRE 2026'!Y6:Y110&lt;&gt;"",'NOVIEMBRE 2026'!Y6:Y110,'NOVIEMBRE 2026'!I6:I110)="SALAZAR")*('NOVIEMBRE 2026'!K6:K110="PETROLEO")*'NOVIEMBRE 2026'!N6:N110),0)</f>
        <v/>
      </c>
      <c r="E1452" s="377">
        <f>IFERROR(SUMPRODUCT((IF('NOVIEMBRE 2026'!Y6:Y110&lt;&gt;"",'NOVIEMBRE 2026'!Y6:Y110,'NOVIEMBRE 2026'!I6:I110)="SALAZAR")*('NOVIEMBRE 2026'!K6:K110="GASOLINA")*'NOVIEMBRE 2026'!M6:M110),0)</f>
        <v/>
      </c>
      <c r="F1452" s="377">
        <f>IFERROR(SUMPRODUCT((IF('NOVIEMBRE 2026'!Y6:Y110&lt;&gt;"",'NOVIEMBRE 2026'!Y6:Y110,'NOVIEMBRE 2026'!I6:I110)="SALAZAR")*('NOVIEMBRE 2026'!K6:K110="GASOLINA")*'NOVIEMBRE 2026'!N6:N110),0)</f>
        <v/>
      </c>
    </row>
    <row r="1453" ht="15" customHeight="1" s="195">
      <c r="A1453" s="194" t="inlineStr">
        <is>
          <t>SALAZAR</t>
        </is>
      </c>
      <c r="B1453" s="194" t="inlineStr">
        <is>
          <t>DICIEMBRE 2026</t>
        </is>
      </c>
      <c r="C1453" s="377">
        <f>IFERROR(SUMPRODUCT((IF('DICIEMBRE 2026'!Y6:Y110&lt;&gt;"",'DICIEMBRE 2026'!Y6:Y110,'DICIEMBRE 2026'!I6:I110)="SALAZAR")*('DICIEMBRE 2026'!K6:K110="PETROLEO")*'DICIEMBRE 2026'!M6:M110),0)</f>
        <v/>
      </c>
      <c r="D1453" s="377">
        <f>IFERROR(SUMPRODUCT((IF('DICIEMBRE 2026'!Y6:Y110&lt;&gt;"",'DICIEMBRE 2026'!Y6:Y110,'DICIEMBRE 2026'!I6:I110)="SALAZAR")*('DICIEMBRE 2026'!K6:K110="PETROLEO")*'DICIEMBRE 2026'!N6:N110),0)</f>
        <v/>
      </c>
      <c r="E1453" s="377">
        <f>IFERROR(SUMPRODUCT((IF('DICIEMBRE 2026'!Y6:Y110&lt;&gt;"",'DICIEMBRE 2026'!Y6:Y110,'DICIEMBRE 2026'!I6:I110)="SALAZAR")*('DICIEMBRE 2026'!K6:K110="GASOLINA")*'DICIEMBRE 2026'!M6:M110),0)</f>
        <v/>
      </c>
      <c r="F1453" s="377">
        <f>IFERROR(SUMPRODUCT((IF('DICIEMBRE 2026'!Y6:Y110&lt;&gt;"",'DICIEMBRE 2026'!Y6:Y110,'DICIEMBRE 2026'!I6:I110)="SALAZAR")*('DICIEMBRE 2026'!K6:K110="GASOLINA")*'DICIEMBRE 2026'!N6:N110),0)</f>
        <v/>
      </c>
    </row>
    <row r="1454" ht="15" customHeight="1" s="195">
      <c r="A1454" s="194" t="inlineStr">
        <is>
          <t>SANTO TOMAS</t>
        </is>
      </c>
      <c r="B1454" s="194" t="inlineStr">
        <is>
          <t>ENERO 2026</t>
        </is>
      </c>
      <c r="C1454" s="377">
        <f>IFERROR(SUMPRODUCT((IF('ENERO 2026'!Y6:Y119&lt;&gt;"",'ENERO 2026'!Y6:Y119,'ENERO 2026'!I6:I119)="SANTO TOMAS")*('ENERO 2026'!K6:K119="PETROLEO")*'ENERO 2026'!M6:M119),0)</f>
        <v/>
      </c>
      <c r="D1454" s="377">
        <f>IFERROR(SUMPRODUCT((IF('ENERO 2026'!Y6:Y119&lt;&gt;"",'ENERO 2026'!Y6:Y119,'ENERO 2026'!I6:I119)="SANTO TOMAS")*('ENERO 2026'!K6:K119="PETROLEO")*'ENERO 2026'!N6:N119),0)</f>
        <v/>
      </c>
      <c r="E1454" s="377">
        <f>IFERROR(SUMPRODUCT((IF('ENERO 2026'!Y6:Y119&lt;&gt;"",'ENERO 2026'!Y6:Y119,'ENERO 2026'!I6:I119)="SANTO TOMAS")*('ENERO 2026'!K6:K119="GASOLINA")*'ENERO 2026'!M6:M119),0)</f>
        <v/>
      </c>
      <c r="F1454" s="377">
        <f>IFERROR(SUMPRODUCT((IF('ENERO 2026'!Y6:Y119&lt;&gt;"",'ENERO 2026'!Y6:Y119,'ENERO 2026'!I6:I119)="SANTO TOMAS")*('ENERO 2026'!K6:K119="GASOLINA")*'ENERO 2026'!N6:N119),0)</f>
        <v/>
      </c>
    </row>
    <row r="1455" ht="15" customHeight="1" s="195">
      <c r="A1455" s="194" t="inlineStr">
        <is>
          <t>SANTO TOMAS</t>
        </is>
      </c>
      <c r="B1455" s="194" t="inlineStr">
        <is>
          <t>FEBRERO 2026</t>
        </is>
      </c>
      <c r="C1455" s="377">
        <f>IFERROR(SUMPRODUCT((IF('FEBRERO 2026'!Y6:Y124&lt;&gt;"",'FEBRERO 2026'!Y6:Y124,'FEBRERO 2026'!I6:I124)="SANTO TOMAS")*('FEBRERO 2026'!K6:K124="PETROLEO")*'FEBRERO 2026'!M6:M124),0)</f>
        <v/>
      </c>
      <c r="D1455" s="377">
        <f>IFERROR(SUMPRODUCT((IF('FEBRERO 2026'!Y6:Y124&lt;&gt;"",'FEBRERO 2026'!Y6:Y124,'FEBRERO 2026'!I6:I124)="SANTO TOMAS")*('FEBRERO 2026'!K6:K124="PETROLEO")*'FEBRERO 2026'!N6:N124),0)</f>
        <v/>
      </c>
      <c r="E1455" s="377">
        <f>IFERROR(SUMPRODUCT((IF('FEBRERO 2026'!Y6:Y124&lt;&gt;"",'FEBRERO 2026'!Y6:Y124,'FEBRERO 2026'!I6:I124)="SANTO TOMAS")*('FEBRERO 2026'!K6:K124="GASOLINA")*'FEBRERO 2026'!M6:M124),0)</f>
        <v/>
      </c>
      <c r="F1455" s="377">
        <f>IFERROR(SUMPRODUCT((IF('FEBRERO 2026'!Y6:Y124&lt;&gt;"",'FEBRERO 2026'!Y6:Y124,'FEBRERO 2026'!I6:I124)="SANTO TOMAS")*('FEBRERO 2026'!K6:K124="GASOLINA")*'FEBRERO 2026'!N6:N124),0)</f>
        <v/>
      </c>
    </row>
    <row r="1456" ht="15" customHeight="1" s="195">
      <c r="A1456" s="194" t="inlineStr">
        <is>
          <t>SANTO TOMAS</t>
        </is>
      </c>
      <c r="B1456" s="194" t="inlineStr">
        <is>
          <t>MARZO 2026</t>
        </is>
      </c>
      <c r="C1456" s="377">
        <f>IFERROR(SUMPRODUCT((IF('MARZO 2026'!Y6:Y119&lt;&gt;"",'MARZO 2026'!Y6:Y119,'MARZO 2026'!I6:I119)="SANTO TOMAS")*('MARZO 2026'!K6:K119="PETROLEO")*'MARZO 2026'!M6:M119),0)</f>
        <v/>
      </c>
      <c r="D1456" s="377">
        <f>IFERROR(SUMPRODUCT((IF('MARZO 2026'!Y6:Y119&lt;&gt;"",'MARZO 2026'!Y6:Y119,'MARZO 2026'!I6:I119)="SANTO TOMAS")*('MARZO 2026'!K6:K119="PETROLEO")*'MARZO 2026'!N6:N119),0)</f>
        <v/>
      </c>
      <c r="E1456" s="377">
        <f>IFERROR(SUMPRODUCT((IF('MARZO 2026'!Y6:Y119&lt;&gt;"",'MARZO 2026'!Y6:Y119,'MARZO 2026'!I6:I119)="SANTO TOMAS")*('MARZO 2026'!K6:K119="GASOLINA")*'MARZO 2026'!M6:M119),0)</f>
        <v/>
      </c>
      <c r="F1456" s="377">
        <f>IFERROR(SUMPRODUCT((IF('MARZO 2026'!Y6:Y119&lt;&gt;"",'MARZO 2026'!Y6:Y119,'MARZO 2026'!I6:I119)="SANTO TOMAS")*('MARZO 2026'!K6:K119="GASOLINA")*'MARZO 2026'!N6:N119),0)</f>
        <v/>
      </c>
    </row>
    <row r="1457" ht="15" customHeight="1" s="195">
      <c r="A1457" s="194" t="inlineStr">
        <is>
          <t>SANTO TOMAS</t>
        </is>
      </c>
      <c r="B1457" s="194" t="inlineStr">
        <is>
          <t>ABRIL 2026</t>
        </is>
      </c>
      <c r="C1457" s="377">
        <f>IFERROR(SUMPRODUCT((IF('ABRIL 2026'!Y6:Y119&lt;&gt;"",'ABRIL 2026'!Y6:Y119,'ABRIL 2026'!I6:I119)="SANTO TOMAS")*('ABRIL 2026'!K6:K119="PETROLEO")*'ABRIL 2026'!M6:M119),0)</f>
        <v/>
      </c>
      <c r="D1457" s="377">
        <f>IFERROR(SUMPRODUCT((IF('ABRIL 2026'!Y6:Y119&lt;&gt;"",'ABRIL 2026'!Y6:Y119,'ABRIL 2026'!I6:I119)="SANTO TOMAS")*('ABRIL 2026'!K6:K119="PETROLEO")*'ABRIL 2026'!N6:N119),0)</f>
        <v/>
      </c>
      <c r="E1457" s="377">
        <f>IFERROR(SUMPRODUCT((IF('ABRIL 2026'!Y6:Y119&lt;&gt;"",'ABRIL 2026'!Y6:Y119,'ABRIL 2026'!I6:I119)="SANTO TOMAS")*('ABRIL 2026'!K6:K119="GASOLINA")*'ABRIL 2026'!M6:M119),0)</f>
        <v/>
      </c>
      <c r="F1457" s="377">
        <f>IFERROR(SUMPRODUCT((IF('ABRIL 2026'!Y6:Y119&lt;&gt;"",'ABRIL 2026'!Y6:Y119,'ABRIL 2026'!I6:I119)="SANTO TOMAS")*('ABRIL 2026'!K6:K119="GASOLINA")*'ABRIL 2026'!N6:N119),0)</f>
        <v/>
      </c>
    </row>
    <row r="1458" ht="15" customHeight="1" s="195">
      <c r="A1458" s="194" t="inlineStr">
        <is>
          <t>SANTO TOMAS</t>
        </is>
      </c>
      <c r="B1458" s="194" t="inlineStr">
        <is>
          <t>MAYO 2026</t>
        </is>
      </c>
      <c r="C1458" s="377">
        <f>IFERROR(SUMPRODUCT((IF('MAYO 2026'!Y6:Y110&lt;&gt;"",'MAYO 2026'!Y6:Y110,'MAYO 2026'!I6:I110)="SANTO TOMAS")*('MAYO 2026'!K6:K110="PETROLEO")*'MAYO 2026'!M6:M110),0)</f>
        <v/>
      </c>
      <c r="D1458" s="377">
        <f>IFERROR(SUMPRODUCT((IF('MAYO 2026'!Y6:Y110&lt;&gt;"",'MAYO 2026'!Y6:Y110,'MAYO 2026'!I6:I110)="SANTO TOMAS")*('MAYO 2026'!K6:K110="PETROLEO")*'MAYO 2026'!N6:N110),0)</f>
        <v/>
      </c>
      <c r="E1458" s="377">
        <f>IFERROR(SUMPRODUCT((IF('MAYO 2026'!Y6:Y110&lt;&gt;"",'MAYO 2026'!Y6:Y110,'MAYO 2026'!I6:I110)="SANTO TOMAS")*('MAYO 2026'!K6:K110="GASOLINA")*'MAYO 2026'!M6:M110),0)</f>
        <v/>
      </c>
      <c r="F1458" s="377">
        <f>IFERROR(SUMPRODUCT((IF('MAYO 2026'!Y6:Y110&lt;&gt;"",'MAYO 2026'!Y6:Y110,'MAYO 2026'!I6:I110)="SANTO TOMAS")*('MAYO 2026'!K6:K110="GASOLINA")*'MAYO 2026'!N6:N110),0)</f>
        <v/>
      </c>
    </row>
    <row r="1459" ht="15" customHeight="1" s="195">
      <c r="A1459" s="194" t="inlineStr">
        <is>
          <t>SANTO TOMAS</t>
        </is>
      </c>
      <c r="B1459" s="194" t="inlineStr">
        <is>
          <t>JUNIO 2026</t>
        </is>
      </c>
      <c r="C1459" s="377">
        <f>IFERROR(SUMPRODUCT((IF('JUNIO 2026'!Y6:Y110&lt;&gt;"",'JUNIO 2026'!Y6:Y110,'JUNIO 2026'!I6:I110)="SANTO TOMAS")*('JUNIO 2026'!K6:K110="PETROLEO")*'JUNIO 2026'!M6:M110),0)</f>
        <v/>
      </c>
      <c r="D1459" s="377">
        <f>IFERROR(SUMPRODUCT((IF('JUNIO 2026'!Y6:Y110&lt;&gt;"",'JUNIO 2026'!Y6:Y110,'JUNIO 2026'!I6:I110)="SANTO TOMAS")*('JUNIO 2026'!K6:K110="PETROLEO")*'JUNIO 2026'!N6:N110),0)</f>
        <v/>
      </c>
      <c r="E1459" s="377">
        <f>IFERROR(SUMPRODUCT((IF('JUNIO 2026'!Y6:Y110&lt;&gt;"",'JUNIO 2026'!Y6:Y110,'JUNIO 2026'!I6:I110)="SANTO TOMAS")*('JUNIO 2026'!K6:K110="GASOLINA")*'JUNIO 2026'!M6:M110),0)</f>
        <v/>
      </c>
      <c r="F1459" s="377">
        <f>IFERROR(SUMPRODUCT((IF('JUNIO 2026'!Y6:Y110&lt;&gt;"",'JUNIO 2026'!Y6:Y110,'JUNIO 2026'!I6:I110)="SANTO TOMAS")*('JUNIO 2026'!K6:K110="GASOLINA")*'JUNIO 2026'!N6:N110),0)</f>
        <v/>
      </c>
    </row>
    <row r="1460" ht="15" customHeight="1" s="195">
      <c r="A1460" s="194" t="inlineStr">
        <is>
          <t>SANTO TOMAS</t>
        </is>
      </c>
      <c r="B1460" s="194" t="inlineStr">
        <is>
          <t>JULIO 2026</t>
        </is>
      </c>
      <c r="C1460" s="377">
        <f>IFERROR(SUMPRODUCT((IF('JULIO 2026'!Y6:Y110&lt;&gt;"",'JULIO 2026'!Y6:Y110,'JULIO 2026'!I6:I110)="SANTO TOMAS")*('JULIO 2026'!K6:K110="PETROLEO")*'JULIO 2026'!M6:M110),0)</f>
        <v/>
      </c>
      <c r="D1460" s="377">
        <f>IFERROR(SUMPRODUCT((IF('JULIO 2026'!Y6:Y110&lt;&gt;"",'JULIO 2026'!Y6:Y110,'JULIO 2026'!I6:I110)="SANTO TOMAS")*('JULIO 2026'!K6:K110="PETROLEO")*'JULIO 2026'!N6:N110),0)</f>
        <v/>
      </c>
      <c r="E1460" s="377">
        <f>IFERROR(SUMPRODUCT((IF('JULIO 2026'!Y6:Y110&lt;&gt;"",'JULIO 2026'!Y6:Y110,'JULIO 2026'!I6:I110)="SANTO TOMAS")*('JULIO 2026'!K6:K110="GASOLINA")*'JULIO 2026'!M6:M110),0)</f>
        <v/>
      </c>
      <c r="F1460" s="377">
        <f>IFERROR(SUMPRODUCT((IF('JULIO 2026'!Y6:Y110&lt;&gt;"",'JULIO 2026'!Y6:Y110,'JULIO 2026'!I6:I110)="SANTO TOMAS")*('JULIO 2026'!K6:K110="GASOLINA")*'JULIO 2026'!N6:N110),0)</f>
        <v/>
      </c>
    </row>
    <row r="1461" ht="15" customHeight="1" s="195">
      <c r="A1461" s="194" t="inlineStr">
        <is>
          <t>SANTO TOMAS</t>
        </is>
      </c>
      <c r="B1461" s="194" t="inlineStr">
        <is>
          <t>AGOSTO 2026</t>
        </is>
      </c>
      <c r="C1461" s="377">
        <f>IFERROR(SUMPRODUCT((IF('AGOSTO 2026'!Y6:Y110&lt;&gt;"",'AGOSTO 2026'!Y6:Y110,'AGOSTO 2026'!I6:I110)="SANTO TOMAS")*('AGOSTO 2026'!K6:K110="PETROLEO")*'AGOSTO 2026'!M6:M110),0)</f>
        <v/>
      </c>
      <c r="D1461" s="377">
        <f>IFERROR(SUMPRODUCT((IF('AGOSTO 2026'!Y6:Y110&lt;&gt;"",'AGOSTO 2026'!Y6:Y110,'AGOSTO 2026'!I6:I110)="SANTO TOMAS")*('AGOSTO 2026'!K6:K110="PETROLEO")*'AGOSTO 2026'!N6:N110),0)</f>
        <v/>
      </c>
      <c r="E1461" s="377">
        <f>IFERROR(SUMPRODUCT((IF('AGOSTO 2026'!Y6:Y110&lt;&gt;"",'AGOSTO 2026'!Y6:Y110,'AGOSTO 2026'!I6:I110)="SANTO TOMAS")*('AGOSTO 2026'!K6:K110="GASOLINA")*'AGOSTO 2026'!M6:M110),0)</f>
        <v/>
      </c>
      <c r="F1461" s="377">
        <f>IFERROR(SUMPRODUCT((IF('AGOSTO 2026'!Y6:Y110&lt;&gt;"",'AGOSTO 2026'!Y6:Y110,'AGOSTO 2026'!I6:I110)="SANTO TOMAS")*('AGOSTO 2026'!K6:K110="GASOLINA")*'AGOSTO 2026'!N6:N110),0)</f>
        <v/>
      </c>
    </row>
    <row r="1462" ht="15" customHeight="1" s="195">
      <c r="A1462" s="194" t="inlineStr">
        <is>
          <t>SANTO TOMAS</t>
        </is>
      </c>
      <c r="B1462" s="194" t="inlineStr">
        <is>
          <t>SETIEMBRE 2026</t>
        </is>
      </c>
      <c r="C1462" s="377">
        <f>IFERROR(SUMPRODUCT((IF('SETIEMBRE 2026'!Y6:Y110&lt;&gt;"",'SETIEMBRE 2026'!Y6:Y110,'SETIEMBRE 2026'!I6:I110)="SANTO TOMAS")*('SETIEMBRE 2026'!K6:K110="PETROLEO")*'SETIEMBRE 2026'!M6:M110),0)</f>
        <v/>
      </c>
      <c r="D1462" s="377">
        <f>IFERROR(SUMPRODUCT((IF('SETIEMBRE 2026'!Y6:Y110&lt;&gt;"",'SETIEMBRE 2026'!Y6:Y110,'SETIEMBRE 2026'!I6:I110)="SANTO TOMAS")*('SETIEMBRE 2026'!K6:K110="PETROLEO")*'SETIEMBRE 2026'!N6:N110),0)</f>
        <v/>
      </c>
      <c r="E1462" s="377">
        <f>IFERROR(SUMPRODUCT((IF('SETIEMBRE 2026'!Y6:Y110&lt;&gt;"",'SETIEMBRE 2026'!Y6:Y110,'SETIEMBRE 2026'!I6:I110)="SANTO TOMAS")*('SETIEMBRE 2026'!K6:K110="GASOLINA")*'SETIEMBRE 2026'!M6:M110),0)</f>
        <v/>
      </c>
      <c r="F1462" s="377">
        <f>IFERROR(SUMPRODUCT((IF('SETIEMBRE 2026'!Y6:Y110&lt;&gt;"",'SETIEMBRE 2026'!Y6:Y110,'SETIEMBRE 2026'!I6:I110)="SANTO TOMAS")*('SETIEMBRE 2026'!K6:K110="GASOLINA")*'SETIEMBRE 2026'!N6:N110),0)</f>
        <v/>
      </c>
    </row>
    <row r="1463" ht="15" customHeight="1" s="195">
      <c r="A1463" s="194" t="inlineStr">
        <is>
          <t>SANTO TOMAS</t>
        </is>
      </c>
      <c r="B1463" s="194" t="inlineStr">
        <is>
          <t>OCTUBRE 2026</t>
        </is>
      </c>
      <c r="C1463" s="377">
        <f>IFERROR(SUMPRODUCT((IF('OCTUBRE 2026'!Y6:Y110&lt;&gt;"",'OCTUBRE 2026'!Y6:Y110,'OCTUBRE 2026'!I6:I110)="SANTO TOMAS")*('OCTUBRE 2026'!K6:K110="PETROLEO")*'OCTUBRE 2026'!M6:M110),0)</f>
        <v/>
      </c>
      <c r="D1463" s="377">
        <f>IFERROR(SUMPRODUCT((IF('OCTUBRE 2026'!Y6:Y110&lt;&gt;"",'OCTUBRE 2026'!Y6:Y110,'OCTUBRE 2026'!I6:I110)="SANTO TOMAS")*('OCTUBRE 2026'!K6:K110="PETROLEO")*'OCTUBRE 2026'!N6:N110),0)</f>
        <v/>
      </c>
      <c r="E1463" s="377">
        <f>IFERROR(SUMPRODUCT((IF('OCTUBRE 2026'!Y6:Y110&lt;&gt;"",'OCTUBRE 2026'!Y6:Y110,'OCTUBRE 2026'!I6:I110)="SANTO TOMAS")*('OCTUBRE 2026'!K6:K110="GASOLINA")*'OCTUBRE 2026'!M6:M110),0)</f>
        <v/>
      </c>
      <c r="F1463" s="377">
        <f>IFERROR(SUMPRODUCT((IF('OCTUBRE 2026'!Y6:Y110&lt;&gt;"",'OCTUBRE 2026'!Y6:Y110,'OCTUBRE 2026'!I6:I110)="SANTO TOMAS")*('OCTUBRE 2026'!K6:K110="GASOLINA")*'OCTUBRE 2026'!N6:N110),0)</f>
        <v/>
      </c>
    </row>
    <row r="1464" ht="15" customHeight="1" s="195">
      <c r="A1464" s="194" t="inlineStr">
        <is>
          <t>SANTO TOMAS</t>
        </is>
      </c>
      <c r="B1464" s="194" t="inlineStr">
        <is>
          <t>NOVIEMBRE 2026</t>
        </is>
      </c>
      <c r="C1464" s="377">
        <f>IFERROR(SUMPRODUCT((IF('NOVIEMBRE 2026'!Y6:Y110&lt;&gt;"",'NOVIEMBRE 2026'!Y6:Y110,'NOVIEMBRE 2026'!I6:I110)="SANTO TOMAS")*('NOVIEMBRE 2026'!K6:K110="PETROLEO")*'NOVIEMBRE 2026'!M6:M110),0)</f>
        <v/>
      </c>
      <c r="D1464" s="377">
        <f>IFERROR(SUMPRODUCT((IF('NOVIEMBRE 2026'!Y6:Y110&lt;&gt;"",'NOVIEMBRE 2026'!Y6:Y110,'NOVIEMBRE 2026'!I6:I110)="SANTO TOMAS")*('NOVIEMBRE 2026'!K6:K110="PETROLEO")*'NOVIEMBRE 2026'!N6:N110),0)</f>
        <v/>
      </c>
      <c r="E1464" s="377">
        <f>IFERROR(SUMPRODUCT((IF('NOVIEMBRE 2026'!Y6:Y110&lt;&gt;"",'NOVIEMBRE 2026'!Y6:Y110,'NOVIEMBRE 2026'!I6:I110)="SANTO TOMAS")*('NOVIEMBRE 2026'!K6:K110="GASOLINA")*'NOVIEMBRE 2026'!M6:M110),0)</f>
        <v/>
      </c>
      <c r="F1464" s="377">
        <f>IFERROR(SUMPRODUCT((IF('NOVIEMBRE 2026'!Y6:Y110&lt;&gt;"",'NOVIEMBRE 2026'!Y6:Y110,'NOVIEMBRE 2026'!I6:I110)="SANTO TOMAS")*('NOVIEMBRE 2026'!K6:K110="GASOLINA")*'NOVIEMBRE 2026'!N6:N110),0)</f>
        <v/>
      </c>
    </row>
    <row r="1465" ht="15" customHeight="1" s="195">
      <c r="A1465" s="194" t="inlineStr">
        <is>
          <t>SANTO TOMAS</t>
        </is>
      </c>
      <c r="B1465" s="194" t="inlineStr">
        <is>
          <t>DICIEMBRE 2026</t>
        </is>
      </c>
      <c r="C1465" s="377">
        <f>IFERROR(SUMPRODUCT((IF('DICIEMBRE 2026'!Y6:Y110&lt;&gt;"",'DICIEMBRE 2026'!Y6:Y110,'DICIEMBRE 2026'!I6:I110)="SANTO TOMAS")*('DICIEMBRE 2026'!K6:K110="PETROLEO")*'DICIEMBRE 2026'!M6:M110),0)</f>
        <v/>
      </c>
      <c r="D1465" s="377">
        <f>IFERROR(SUMPRODUCT((IF('DICIEMBRE 2026'!Y6:Y110&lt;&gt;"",'DICIEMBRE 2026'!Y6:Y110,'DICIEMBRE 2026'!I6:I110)="SANTO TOMAS")*('DICIEMBRE 2026'!K6:K110="PETROLEO")*'DICIEMBRE 2026'!N6:N110),0)</f>
        <v/>
      </c>
      <c r="E1465" s="377">
        <f>IFERROR(SUMPRODUCT((IF('DICIEMBRE 2026'!Y6:Y110&lt;&gt;"",'DICIEMBRE 2026'!Y6:Y110,'DICIEMBRE 2026'!I6:I110)="SANTO TOMAS")*('DICIEMBRE 2026'!K6:K110="GASOLINA")*'DICIEMBRE 2026'!M6:M110),0)</f>
        <v/>
      </c>
      <c r="F1465" s="377">
        <f>IFERROR(SUMPRODUCT((IF('DICIEMBRE 2026'!Y6:Y110&lt;&gt;"",'DICIEMBRE 2026'!Y6:Y110,'DICIEMBRE 2026'!I6:I110)="SANTO TOMAS")*('DICIEMBRE 2026'!K6:K110="GASOLINA")*'DICIEMBRE 2026'!N6:N110),0)</f>
        <v/>
      </c>
    </row>
    <row r="1466" ht="15" customHeight="1" s="195">
      <c r="A1466" s="194" t="inlineStr">
        <is>
          <t>TINGO</t>
        </is>
      </c>
      <c r="B1466" s="194" t="inlineStr">
        <is>
          <t>ENERO 2026</t>
        </is>
      </c>
      <c r="C1466" s="377">
        <f>IFERROR(SUMPRODUCT((IF('ENERO 2026'!Y6:Y119&lt;&gt;"",'ENERO 2026'!Y6:Y119,'ENERO 2026'!I6:I119)="TINGO")*('ENERO 2026'!K6:K119="PETROLEO")*'ENERO 2026'!M6:M119),0)</f>
        <v/>
      </c>
      <c r="D1466" s="377">
        <f>IFERROR(SUMPRODUCT((IF('ENERO 2026'!Y6:Y119&lt;&gt;"",'ENERO 2026'!Y6:Y119,'ENERO 2026'!I6:I119)="TINGO")*('ENERO 2026'!K6:K119="PETROLEO")*'ENERO 2026'!N6:N119),0)</f>
        <v/>
      </c>
      <c r="E1466" s="377">
        <f>IFERROR(SUMPRODUCT((IF('ENERO 2026'!Y6:Y119&lt;&gt;"",'ENERO 2026'!Y6:Y119,'ENERO 2026'!I6:I119)="TINGO")*('ENERO 2026'!K6:K119="GASOLINA")*'ENERO 2026'!M6:M119),0)</f>
        <v/>
      </c>
      <c r="F1466" s="377">
        <f>IFERROR(SUMPRODUCT((IF('ENERO 2026'!Y6:Y119&lt;&gt;"",'ENERO 2026'!Y6:Y119,'ENERO 2026'!I6:I119)="TINGO")*('ENERO 2026'!K6:K119="GASOLINA")*'ENERO 2026'!N6:N119),0)</f>
        <v/>
      </c>
    </row>
    <row r="1467" ht="15" customHeight="1" s="195">
      <c r="A1467" s="194" t="inlineStr">
        <is>
          <t>TINGO</t>
        </is>
      </c>
      <c r="B1467" s="194" t="inlineStr">
        <is>
          <t>FEBRERO 2026</t>
        </is>
      </c>
      <c r="C1467" s="377">
        <f>IFERROR(SUMPRODUCT((IF('FEBRERO 2026'!Y6:Y124&lt;&gt;"",'FEBRERO 2026'!Y6:Y124,'FEBRERO 2026'!I6:I124)="TINGO")*('FEBRERO 2026'!K6:K124="PETROLEO")*'FEBRERO 2026'!M6:M124),0)</f>
        <v/>
      </c>
      <c r="D1467" s="377">
        <f>IFERROR(SUMPRODUCT((IF('FEBRERO 2026'!Y6:Y124&lt;&gt;"",'FEBRERO 2026'!Y6:Y124,'FEBRERO 2026'!I6:I124)="TINGO")*('FEBRERO 2026'!K6:K124="PETROLEO")*'FEBRERO 2026'!N6:N124),0)</f>
        <v/>
      </c>
      <c r="E1467" s="377">
        <f>IFERROR(SUMPRODUCT((IF('FEBRERO 2026'!Y6:Y124&lt;&gt;"",'FEBRERO 2026'!Y6:Y124,'FEBRERO 2026'!I6:I124)="TINGO")*('FEBRERO 2026'!K6:K124="GASOLINA")*'FEBRERO 2026'!M6:M124),0)</f>
        <v/>
      </c>
      <c r="F1467" s="377">
        <f>IFERROR(SUMPRODUCT((IF('FEBRERO 2026'!Y6:Y124&lt;&gt;"",'FEBRERO 2026'!Y6:Y124,'FEBRERO 2026'!I6:I124)="TINGO")*('FEBRERO 2026'!K6:K124="GASOLINA")*'FEBRERO 2026'!N6:N124),0)</f>
        <v/>
      </c>
    </row>
    <row r="1468" ht="15" customHeight="1" s="195">
      <c r="A1468" s="194" t="inlineStr">
        <is>
          <t>TINGO</t>
        </is>
      </c>
      <c r="B1468" s="194" t="inlineStr">
        <is>
          <t>MARZO 2026</t>
        </is>
      </c>
      <c r="C1468" s="377">
        <f>IFERROR(SUMPRODUCT((IF('MARZO 2026'!Y6:Y119&lt;&gt;"",'MARZO 2026'!Y6:Y119,'MARZO 2026'!I6:I119)="TINGO")*('MARZO 2026'!K6:K119="PETROLEO")*'MARZO 2026'!M6:M119),0)</f>
        <v/>
      </c>
      <c r="D1468" s="377">
        <f>IFERROR(SUMPRODUCT((IF('MARZO 2026'!Y6:Y119&lt;&gt;"",'MARZO 2026'!Y6:Y119,'MARZO 2026'!I6:I119)="TINGO")*('MARZO 2026'!K6:K119="PETROLEO")*'MARZO 2026'!N6:N119),0)</f>
        <v/>
      </c>
      <c r="E1468" s="377">
        <f>IFERROR(SUMPRODUCT((IF('MARZO 2026'!Y6:Y119&lt;&gt;"",'MARZO 2026'!Y6:Y119,'MARZO 2026'!I6:I119)="TINGO")*('MARZO 2026'!K6:K119="GASOLINA")*'MARZO 2026'!M6:M119),0)</f>
        <v/>
      </c>
      <c r="F1468" s="377">
        <f>IFERROR(SUMPRODUCT((IF('MARZO 2026'!Y6:Y119&lt;&gt;"",'MARZO 2026'!Y6:Y119,'MARZO 2026'!I6:I119)="TINGO")*('MARZO 2026'!K6:K119="GASOLINA")*'MARZO 2026'!N6:N119),0)</f>
        <v/>
      </c>
    </row>
    <row r="1469" ht="15" customHeight="1" s="195">
      <c r="A1469" s="194" t="inlineStr">
        <is>
          <t>TINGO</t>
        </is>
      </c>
      <c r="B1469" s="194" t="inlineStr">
        <is>
          <t>ABRIL 2026</t>
        </is>
      </c>
      <c r="C1469" s="377">
        <f>IFERROR(SUMPRODUCT((IF('ABRIL 2026'!Y6:Y119&lt;&gt;"",'ABRIL 2026'!Y6:Y119,'ABRIL 2026'!I6:I119)="TINGO")*('ABRIL 2026'!K6:K119="PETROLEO")*'ABRIL 2026'!M6:M119),0)</f>
        <v/>
      </c>
      <c r="D1469" s="377">
        <f>IFERROR(SUMPRODUCT((IF('ABRIL 2026'!Y6:Y119&lt;&gt;"",'ABRIL 2026'!Y6:Y119,'ABRIL 2026'!I6:I119)="TINGO")*('ABRIL 2026'!K6:K119="PETROLEO")*'ABRIL 2026'!N6:N119),0)</f>
        <v/>
      </c>
      <c r="E1469" s="377">
        <f>IFERROR(SUMPRODUCT((IF('ABRIL 2026'!Y6:Y119&lt;&gt;"",'ABRIL 2026'!Y6:Y119,'ABRIL 2026'!I6:I119)="TINGO")*('ABRIL 2026'!K6:K119="GASOLINA")*'ABRIL 2026'!M6:M119),0)</f>
        <v/>
      </c>
      <c r="F1469" s="377">
        <f>IFERROR(SUMPRODUCT((IF('ABRIL 2026'!Y6:Y119&lt;&gt;"",'ABRIL 2026'!Y6:Y119,'ABRIL 2026'!I6:I119)="TINGO")*('ABRIL 2026'!K6:K119="GASOLINA")*'ABRIL 2026'!N6:N119),0)</f>
        <v/>
      </c>
    </row>
    <row r="1470" ht="15" customHeight="1" s="195">
      <c r="A1470" s="194" t="inlineStr">
        <is>
          <t>TINGO</t>
        </is>
      </c>
      <c r="B1470" s="194" t="inlineStr">
        <is>
          <t>MAYO 2026</t>
        </is>
      </c>
      <c r="C1470" s="377">
        <f>IFERROR(SUMPRODUCT((IF('MAYO 2026'!Y6:Y110&lt;&gt;"",'MAYO 2026'!Y6:Y110,'MAYO 2026'!I6:I110)="TINGO")*('MAYO 2026'!K6:K110="PETROLEO")*'MAYO 2026'!M6:M110),0)</f>
        <v/>
      </c>
      <c r="D1470" s="377">
        <f>IFERROR(SUMPRODUCT((IF('MAYO 2026'!Y6:Y110&lt;&gt;"",'MAYO 2026'!Y6:Y110,'MAYO 2026'!I6:I110)="TINGO")*('MAYO 2026'!K6:K110="PETROLEO")*'MAYO 2026'!N6:N110),0)</f>
        <v/>
      </c>
      <c r="E1470" s="377">
        <f>IFERROR(SUMPRODUCT((IF('MAYO 2026'!Y6:Y110&lt;&gt;"",'MAYO 2026'!Y6:Y110,'MAYO 2026'!I6:I110)="TINGO")*('MAYO 2026'!K6:K110="GASOLINA")*'MAYO 2026'!M6:M110),0)</f>
        <v/>
      </c>
      <c r="F1470" s="377">
        <f>IFERROR(SUMPRODUCT((IF('MAYO 2026'!Y6:Y110&lt;&gt;"",'MAYO 2026'!Y6:Y110,'MAYO 2026'!I6:I110)="TINGO")*('MAYO 2026'!K6:K110="GASOLINA")*'MAYO 2026'!N6:N110),0)</f>
        <v/>
      </c>
    </row>
    <row r="1471" ht="15" customHeight="1" s="195">
      <c r="A1471" s="194" t="inlineStr">
        <is>
          <t>TINGO</t>
        </is>
      </c>
      <c r="B1471" s="194" t="inlineStr">
        <is>
          <t>JUNIO 2026</t>
        </is>
      </c>
      <c r="C1471" s="377">
        <f>IFERROR(SUMPRODUCT((IF('JUNIO 2026'!Y6:Y110&lt;&gt;"",'JUNIO 2026'!Y6:Y110,'JUNIO 2026'!I6:I110)="TINGO")*('JUNIO 2026'!K6:K110="PETROLEO")*'JUNIO 2026'!M6:M110),0)</f>
        <v/>
      </c>
      <c r="D1471" s="377">
        <f>IFERROR(SUMPRODUCT((IF('JUNIO 2026'!Y6:Y110&lt;&gt;"",'JUNIO 2026'!Y6:Y110,'JUNIO 2026'!I6:I110)="TINGO")*('JUNIO 2026'!K6:K110="PETROLEO")*'JUNIO 2026'!N6:N110),0)</f>
        <v/>
      </c>
      <c r="E1471" s="377">
        <f>IFERROR(SUMPRODUCT((IF('JUNIO 2026'!Y6:Y110&lt;&gt;"",'JUNIO 2026'!Y6:Y110,'JUNIO 2026'!I6:I110)="TINGO")*('JUNIO 2026'!K6:K110="GASOLINA")*'JUNIO 2026'!M6:M110),0)</f>
        <v/>
      </c>
      <c r="F1471" s="377">
        <f>IFERROR(SUMPRODUCT((IF('JUNIO 2026'!Y6:Y110&lt;&gt;"",'JUNIO 2026'!Y6:Y110,'JUNIO 2026'!I6:I110)="TINGO")*('JUNIO 2026'!K6:K110="GASOLINA")*'JUNIO 2026'!N6:N110),0)</f>
        <v/>
      </c>
    </row>
    <row r="1472" ht="15" customHeight="1" s="195">
      <c r="A1472" s="194" t="inlineStr">
        <is>
          <t>TINGO</t>
        </is>
      </c>
      <c r="B1472" s="194" t="inlineStr">
        <is>
          <t>JULIO 2026</t>
        </is>
      </c>
      <c r="C1472" s="377">
        <f>IFERROR(SUMPRODUCT((IF('JULIO 2026'!Y6:Y110&lt;&gt;"",'JULIO 2026'!Y6:Y110,'JULIO 2026'!I6:I110)="TINGO")*('JULIO 2026'!K6:K110="PETROLEO")*'JULIO 2026'!M6:M110),0)</f>
        <v/>
      </c>
      <c r="D1472" s="377">
        <f>IFERROR(SUMPRODUCT((IF('JULIO 2026'!Y6:Y110&lt;&gt;"",'JULIO 2026'!Y6:Y110,'JULIO 2026'!I6:I110)="TINGO")*('JULIO 2026'!K6:K110="PETROLEO")*'JULIO 2026'!N6:N110),0)</f>
        <v/>
      </c>
      <c r="E1472" s="377">
        <f>IFERROR(SUMPRODUCT((IF('JULIO 2026'!Y6:Y110&lt;&gt;"",'JULIO 2026'!Y6:Y110,'JULIO 2026'!I6:I110)="TINGO")*('JULIO 2026'!K6:K110="GASOLINA")*'JULIO 2026'!M6:M110),0)</f>
        <v/>
      </c>
      <c r="F1472" s="377">
        <f>IFERROR(SUMPRODUCT((IF('JULIO 2026'!Y6:Y110&lt;&gt;"",'JULIO 2026'!Y6:Y110,'JULIO 2026'!I6:I110)="TINGO")*('JULIO 2026'!K6:K110="GASOLINA")*'JULIO 2026'!N6:N110),0)</f>
        <v/>
      </c>
    </row>
    <row r="1473" ht="15" customHeight="1" s="195">
      <c r="A1473" s="194" t="inlineStr">
        <is>
          <t>TINGO</t>
        </is>
      </c>
      <c r="B1473" s="194" t="inlineStr">
        <is>
          <t>AGOSTO 2026</t>
        </is>
      </c>
      <c r="C1473" s="377">
        <f>IFERROR(SUMPRODUCT((IF('AGOSTO 2026'!Y6:Y110&lt;&gt;"",'AGOSTO 2026'!Y6:Y110,'AGOSTO 2026'!I6:I110)="TINGO")*('AGOSTO 2026'!K6:K110="PETROLEO")*'AGOSTO 2026'!M6:M110),0)</f>
        <v/>
      </c>
      <c r="D1473" s="377">
        <f>IFERROR(SUMPRODUCT((IF('AGOSTO 2026'!Y6:Y110&lt;&gt;"",'AGOSTO 2026'!Y6:Y110,'AGOSTO 2026'!I6:I110)="TINGO")*('AGOSTO 2026'!K6:K110="PETROLEO")*'AGOSTO 2026'!N6:N110),0)</f>
        <v/>
      </c>
      <c r="E1473" s="377">
        <f>IFERROR(SUMPRODUCT((IF('AGOSTO 2026'!Y6:Y110&lt;&gt;"",'AGOSTO 2026'!Y6:Y110,'AGOSTO 2026'!I6:I110)="TINGO")*('AGOSTO 2026'!K6:K110="GASOLINA")*'AGOSTO 2026'!M6:M110),0)</f>
        <v/>
      </c>
      <c r="F1473" s="377">
        <f>IFERROR(SUMPRODUCT((IF('AGOSTO 2026'!Y6:Y110&lt;&gt;"",'AGOSTO 2026'!Y6:Y110,'AGOSTO 2026'!I6:I110)="TINGO")*('AGOSTO 2026'!K6:K110="GASOLINA")*'AGOSTO 2026'!N6:N110),0)</f>
        <v/>
      </c>
    </row>
    <row r="1474" ht="15" customHeight="1" s="195">
      <c r="A1474" s="194" t="inlineStr">
        <is>
          <t>TINGO</t>
        </is>
      </c>
      <c r="B1474" s="194" t="inlineStr">
        <is>
          <t>SETIEMBRE 2026</t>
        </is>
      </c>
      <c r="C1474" s="377">
        <f>IFERROR(SUMPRODUCT((IF('SETIEMBRE 2026'!Y6:Y110&lt;&gt;"",'SETIEMBRE 2026'!Y6:Y110,'SETIEMBRE 2026'!I6:I110)="TINGO")*('SETIEMBRE 2026'!K6:K110="PETROLEO")*'SETIEMBRE 2026'!M6:M110),0)</f>
        <v/>
      </c>
      <c r="D1474" s="377">
        <f>IFERROR(SUMPRODUCT((IF('SETIEMBRE 2026'!Y6:Y110&lt;&gt;"",'SETIEMBRE 2026'!Y6:Y110,'SETIEMBRE 2026'!I6:I110)="TINGO")*('SETIEMBRE 2026'!K6:K110="PETROLEO")*'SETIEMBRE 2026'!N6:N110),0)</f>
        <v/>
      </c>
      <c r="E1474" s="377">
        <f>IFERROR(SUMPRODUCT((IF('SETIEMBRE 2026'!Y6:Y110&lt;&gt;"",'SETIEMBRE 2026'!Y6:Y110,'SETIEMBRE 2026'!I6:I110)="TINGO")*('SETIEMBRE 2026'!K6:K110="GASOLINA")*'SETIEMBRE 2026'!M6:M110),0)</f>
        <v/>
      </c>
      <c r="F1474" s="377">
        <f>IFERROR(SUMPRODUCT((IF('SETIEMBRE 2026'!Y6:Y110&lt;&gt;"",'SETIEMBRE 2026'!Y6:Y110,'SETIEMBRE 2026'!I6:I110)="TINGO")*('SETIEMBRE 2026'!K6:K110="GASOLINA")*'SETIEMBRE 2026'!N6:N110),0)</f>
        <v/>
      </c>
    </row>
    <row r="1475" ht="15" customHeight="1" s="195">
      <c r="A1475" s="194" t="inlineStr">
        <is>
          <t>TINGO</t>
        </is>
      </c>
      <c r="B1475" s="194" t="inlineStr">
        <is>
          <t>OCTUBRE 2026</t>
        </is>
      </c>
      <c r="C1475" s="377">
        <f>IFERROR(SUMPRODUCT((IF('OCTUBRE 2026'!Y6:Y110&lt;&gt;"",'OCTUBRE 2026'!Y6:Y110,'OCTUBRE 2026'!I6:I110)="TINGO")*('OCTUBRE 2026'!K6:K110="PETROLEO")*'OCTUBRE 2026'!M6:M110),0)</f>
        <v/>
      </c>
      <c r="D1475" s="377">
        <f>IFERROR(SUMPRODUCT((IF('OCTUBRE 2026'!Y6:Y110&lt;&gt;"",'OCTUBRE 2026'!Y6:Y110,'OCTUBRE 2026'!I6:I110)="TINGO")*('OCTUBRE 2026'!K6:K110="PETROLEO")*'OCTUBRE 2026'!N6:N110),0)</f>
        <v/>
      </c>
      <c r="E1475" s="377">
        <f>IFERROR(SUMPRODUCT((IF('OCTUBRE 2026'!Y6:Y110&lt;&gt;"",'OCTUBRE 2026'!Y6:Y110,'OCTUBRE 2026'!I6:I110)="TINGO")*('OCTUBRE 2026'!K6:K110="GASOLINA")*'OCTUBRE 2026'!M6:M110),0)</f>
        <v/>
      </c>
      <c r="F1475" s="377">
        <f>IFERROR(SUMPRODUCT((IF('OCTUBRE 2026'!Y6:Y110&lt;&gt;"",'OCTUBRE 2026'!Y6:Y110,'OCTUBRE 2026'!I6:I110)="TINGO")*('OCTUBRE 2026'!K6:K110="GASOLINA")*'OCTUBRE 2026'!N6:N110),0)</f>
        <v/>
      </c>
    </row>
    <row r="1476" ht="15" customHeight="1" s="195">
      <c r="A1476" s="194" t="inlineStr">
        <is>
          <t>TINGO</t>
        </is>
      </c>
      <c r="B1476" s="194" t="inlineStr">
        <is>
          <t>NOVIEMBRE 2026</t>
        </is>
      </c>
      <c r="C1476" s="377">
        <f>IFERROR(SUMPRODUCT((IF('NOVIEMBRE 2026'!Y6:Y110&lt;&gt;"",'NOVIEMBRE 2026'!Y6:Y110,'NOVIEMBRE 2026'!I6:I110)="TINGO")*('NOVIEMBRE 2026'!K6:K110="PETROLEO")*'NOVIEMBRE 2026'!M6:M110),0)</f>
        <v/>
      </c>
      <c r="D1476" s="377">
        <f>IFERROR(SUMPRODUCT((IF('NOVIEMBRE 2026'!Y6:Y110&lt;&gt;"",'NOVIEMBRE 2026'!Y6:Y110,'NOVIEMBRE 2026'!I6:I110)="TINGO")*('NOVIEMBRE 2026'!K6:K110="PETROLEO")*'NOVIEMBRE 2026'!N6:N110),0)</f>
        <v/>
      </c>
      <c r="E1476" s="377">
        <f>IFERROR(SUMPRODUCT((IF('NOVIEMBRE 2026'!Y6:Y110&lt;&gt;"",'NOVIEMBRE 2026'!Y6:Y110,'NOVIEMBRE 2026'!I6:I110)="TINGO")*('NOVIEMBRE 2026'!K6:K110="GASOLINA")*'NOVIEMBRE 2026'!M6:M110),0)</f>
        <v/>
      </c>
      <c r="F1476" s="377">
        <f>IFERROR(SUMPRODUCT((IF('NOVIEMBRE 2026'!Y6:Y110&lt;&gt;"",'NOVIEMBRE 2026'!Y6:Y110,'NOVIEMBRE 2026'!I6:I110)="TINGO")*('NOVIEMBRE 2026'!K6:K110="GASOLINA")*'NOVIEMBRE 2026'!N6:N110),0)</f>
        <v/>
      </c>
    </row>
    <row r="1477" ht="15" customHeight="1" s="195">
      <c r="A1477" s="194" t="inlineStr">
        <is>
          <t>TINGO</t>
        </is>
      </c>
      <c r="B1477" s="194" t="inlineStr">
        <is>
          <t>DICIEMBRE 2026</t>
        </is>
      </c>
      <c r="C1477" s="377">
        <f>IFERROR(SUMPRODUCT((IF('DICIEMBRE 2026'!Y6:Y110&lt;&gt;"",'DICIEMBRE 2026'!Y6:Y110,'DICIEMBRE 2026'!I6:I110)="TINGO")*('DICIEMBRE 2026'!K6:K110="PETROLEO")*'DICIEMBRE 2026'!M6:M110),0)</f>
        <v/>
      </c>
      <c r="D1477" s="377">
        <f>IFERROR(SUMPRODUCT((IF('DICIEMBRE 2026'!Y6:Y110&lt;&gt;"",'DICIEMBRE 2026'!Y6:Y110,'DICIEMBRE 2026'!I6:I110)="TINGO")*('DICIEMBRE 2026'!K6:K110="PETROLEO")*'DICIEMBRE 2026'!N6:N110),0)</f>
        <v/>
      </c>
      <c r="E1477" s="377">
        <f>IFERROR(SUMPRODUCT((IF('DICIEMBRE 2026'!Y6:Y110&lt;&gt;"",'DICIEMBRE 2026'!Y6:Y110,'DICIEMBRE 2026'!I6:I110)="TINGO")*('DICIEMBRE 2026'!K6:K110="GASOLINA")*'DICIEMBRE 2026'!M6:M110),0)</f>
        <v/>
      </c>
      <c r="F1477" s="377">
        <f>IFERROR(SUMPRODUCT((IF('DICIEMBRE 2026'!Y6:Y110&lt;&gt;"",'DICIEMBRE 2026'!Y6:Y110,'DICIEMBRE 2026'!I6:I110)="TINGO")*('DICIEMBRE 2026'!K6:K110="GASOLINA")*'DICIEMBRE 2026'!N6:N110),0)</f>
        <v/>
      </c>
    </row>
    <row r="1478" ht="15" customHeight="1" s="195">
      <c r="A1478" s="194" t="inlineStr">
        <is>
          <t>TOTORA</t>
        </is>
      </c>
      <c r="B1478" s="194" t="inlineStr">
        <is>
          <t>ENERO 2026</t>
        </is>
      </c>
      <c r="C1478" s="377">
        <f>IFERROR(SUMPRODUCT((IF('ENERO 2026'!Y6:Y119&lt;&gt;"",'ENERO 2026'!Y6:Y119,'ENERO 2026'!I6:I119)="TOTORA")*('ENERO 2026'!K6:K119="PETROLEO")*'ENERO 2026'!M6:M119),0)</f>
        <v/>
      </c>
      <c r="D1478" s="377">
        <f>IFERROR(SUMPRODUCT((IF('ENERO 2026'!Y6:Y119&lt;&gt;"",'ENERO 2026'!Y6:Y119,'ENERO 2026'!I6:I119)="TOTORA")*('ENERO 2026'!K6:K119="PETROLEO")*'ENERO 2026'!N6:N119),0)</f>
        <v/>
      </c>
      <c r="E1478" s="377">
        <f>IFERROR(SUMPRODUCT((IF('ENERO 2026'!Y6:Y119&lt;&gt;"",'ENERO 2026'!Y6:Y119,'ENERO 2026'!I6:I119)="TOTORA")*('ENERO 2026'!K6:K119="GASOLINA")*'ENERO 2026'!M6:M119),0)</f>
        <v/>
      </c>
      <c r="F1478" s="377">
        <f>IFERROR(SUMPRODUCT((IF('ENERO 2026'!Y6:Y119&lt;&gt;"",'ENERO 2026'!Y6:Y119,'ENERO 2026'!I6:I119)="TOTORA")*('ENERO 2026'!K6:K119="GASOLINA")*'ENERO 2026'!N6:N119),0)</f>
        <v/>
      </c>
    </row>
    <row r="1479" ht="15" customHeight="1" s="195">
      <c r="A1479" s="194" t="inlineStr">
        <is>
          <t>TOTORA</t>
        </is>
      </c>
      <c r="B1479" s="194" t="inlineStr">
        <is>
          <t>FEBRERO 2026</t>
        </is>
      </c>
      <c r="C1479" s="377">
        <f>IFERROR(SUMPRODUCT((IF('FEBRERO 2026'!Y6:Y124&lt;&gt;"",'FEBRERO 2026'!Y6:Y124,'FEBRERO 2026'!I6:I124)="TOTORA")*('FEBRERO 2026'!K6:K124="PETROLEO")*'FEBRERO 2026'!M6:M124),0)</f>
        <v/>
      </c>
      <c r="D1479" s="377">
        <f>IFERROR(SUMPRODUCT((IF('FEBRERO 2026'!Y6:Y124&lt;&gt;"",'FEBRERO 2026'!Y6:Y124,'FEBRERO 2026'!I6:I124)="TOTORA")*('FEBRERO 2026'!K6:K124="PETROLEO")*'FEBRERO 2026'!N6:N124),0)</f>
        <v/>
      </c>
      <c r="E1479" s="377">
        <f>IFERROR(SUMPRODUCT((IF('FEBRERO 2026'!Y6:Y124&lt;&gt;"",'FEBRERO 2026'!Y6:Y124,'FEBRERO 2026'!I6:I124)="TOTORA")*('FEBRERO 2026'!K6:K124="GASOLINA")*'FEBRERO 2026'!M6:M124),0)</f>
        <v/>
      </c>
      <c r="F1479" s="377">
        <f>IFERROR(SUMPRODUCT((IF('FEBRERO 2026'!Y6:Y124&lt;&gt;"",'FEBRERO 2026'!Y6:Y124,'FEBRERO 2026'!I6:I124)="TOTORA")*('FEBRERO 2026'!K6:K124="GASOLINA")*'FEBRERO 2026'!N6:N124),0)</f>
        <v/>
      </c>
    </row>
    <row r="1480" ht="15" customHeight="1" s="195">
      <c r="A1480" s="194" t="inlineStr">
        <is>
          <t>TOTORA</t>
        </is>
      </c>
      <c r="B1480" s="194" t="inlineStr">
        <is>
          <t>MARZO 2026</t>
        </is>
      </c>
      <c r="C1480" s="377">
        <f>IFERROR(SUMPRODUCT((IF('MARZO 2026'!Y6:Y119&lt;&gt;"",'MARZO 2026'!Y6:Y119,'MARZO 2026'!I6:I119)="TOTORA")*('MARZO 2026'!K6:K119="PETROLEO")*'MARZO 2026'!M6:M119),0)</f>
        <v/>
      </c>
      <c r="D1480" s="377">
        <f>IFERROR(SUMPRODUCT((IF('MARZO 2026'!Y6:Y119&lt;&gt;"",'MARZO 2026'!Y6:Y119,'MARZO 2026'!I6:I119)="TOTORA")*('MARZO 2026'!K6:K119="PETROLEO")*'MARZO 2026'!N6:N119),0)</f>
        <v/>
      </c>
      <c r="E1480" s="377">
        <f>IFERROR(SUMPRODUCT((IF('MARZO 2026'!Y6:Y119&lt;&gt;"",'MARZO 2026'!Y6:Y119,'MARZO 2026'!I6:I119)="TOTORA")*('MARZO 2026'!K6:K119="GASOLINA")*'MARZO 2026'!M6:M119),0)</f>
        <v/>
      </c>
      <c r="F1480" s="377">
        <f>IFERROR(SUMPRODUCT((IF('MARZO 2026'!Y6:Y119&lt;&gt;"",'MARZO 2026'!Y6:Y119,'MARZO 2026'!I6:I119)="TOTORA")*('MARZO 2026'!K6:K119="GASOLINA")*'MARZO 2026'!N6:N119),0)</f>
        <v/>
      </c>
    </row>
    <row r="1481" ht="15" customHeight="1" s="195">
      <c r="A1481" s="194" t="inlineStr">
        <is>
          <t>TOTORA</t>
        </is>
      </c>
      <c r="B1481" s="194" t="inlineStr">
        <is>
          <t>ABRIL 2026</t>
        </is>
      </c>
      <c r="C1481" s="377">
        <f>IFERROR(SUMPRODUCT((IF('ABRIL 2026'!Y6:Y119&lt;&gt;"",'ABRIL 2026'!Y6:Y119,'ABRIL 2026'!I6:I119)="TOTORA")*('ABRIL 2026'!K6:K119="PETROLEO")*'ABRIL 2026'!M6:M119),0)</f>
        <v/>
      </c>
      <c r="D1481" s="377">
        <f>IFERROR(SUMPRODUCT((IF('ABRIL 2026'!Y6:Y119&lt;&gt;"",'ABRIL 2026'!Y6:Y119,'ABRIL 2026'!I6:I119)="TOTORA")*('ABRIL 2026'!K6:K119="PETROLEO")*'ABRIL 2026'!N6:N119),0)</f>
        <v/>
      </c>
      <c r="E1481" s="377">
        <f>IFERROR(SUMPRODUCT((IF('ABRIL 2026'!Y6:Y119&lt;&gt;"",'ABRIL 2026'!Y6:Y119,'ABRIL 2026'!I6:I119)="TOTORA")*('ABRIL 2026'!K6:K119="GASOLINA")*'ABRIL 2026'!M6:M119),0)</f>
        <v/>
      </c>
      <c r="F1481" s="377">
        <f>IFERROR(SUMPRODUCT((IF('ABRIL 2026'!Y6:Y119&lt;&gt;"",'ABRIL 2026'!Y6:Y119,'ABRIL 2026'!I6:I119)="TOTORA")*('ABRIL 2026'!K6:K119="GASOLINA")*'ABRIL 2026'!N6:N119),0)</f>
        <v/>
      </c>
    </row>
    <row r="1482" ht="15" customHeight="1" s="195">
      <c r="A1482" s="194" t="inlineStr">
        <is>
          <t>TOTORA</t>
        </is>
      </c>
      <c r="B1482" s="194" t="inlineStr">
        <is>
          <t>MAYO 2026</t>
        </is>
      </c>
      <c r="C1482" s="377">
        <f>IFERROR(SUMPRODUCT((IF('MAYO 2026'!Y6:Y110&lt;&gt;"",'MAYO 2026'!Y6:Y110,'MAYO 2026'!I6:I110)="TOTORA")*('MAYO 2026'!K6:K110="PETROLEO")*'MAYO 2026'!M6:M110),0)</f>
        <v/>
      </c>
      <c r="D1482" s="377">
        <f>IFERROR(SUMPRODUCT((IF('MAYO 2026'!Y6:Y110&lt;&gt;"",'MAYO 2026'!Y6:Y110,'MAYO 2026'!I6:I110)="TOTORA")*('MAYO 2026'!K6:K110="PETROLEO")*'MAYO 2026'!N6:N110),0)</f>
        <v/>
      </c>
      <c r="E1482" s="377">
        <f>IFERROR(SUMPRODUCT((IF('MAYO 2026'!Y6:Y110&lt;&gt;"",'MAYO 2026'!Y6:Y110,'MAYO 2026'!I6:I110)="TOTORA")*('MAYO 2026'!K6:K110="GASOLINA")*'MAYO 2026'!M6:M110),0)</f>
        <v/>
      </c>
      <c r="F1482" s="377">
        <f>IFERROR(SUMPRODUCT((IF('MAYO 2026'!Y6:Y110&lt;&gt;"",'MAYO 2026'!Y6:Y110,'MAYO 2026'!I6:I110)="TOTORA")*('MAYO 2026'!K6:K110="GASOLINA")*'MAYO 2026'!N6:N110),0)</f>
        <v/>
      </c>
    </row>
    <row r="1483" ht="15" customHeight="1" s="195">
      <c r="A1483" s="194" t="inlineStr">
        <is>
          <t>TOTORA</t>
        </is>
      </c>
      <c r="B1483" s="194" t="inlineStr">
        <is>
          <t>JUNIO 2026</t>
        </is>
      </c>
      <c r="C1483" s="377">
        <f>IFERROR(SUMPRODUCT((IF('JUNIO 2026'!Y6:Y110&lt;&gt;"",'JUNIO 2026'!Y6:Y110,'JUNIO 2026'!I6:I110)="TOTORA")*('JUNIO 2026'!K6:K110="PETROLEO")*'JUNIO 2026'!M6:M110),0)</f>
        <v/>
      </c>
      <c r="D1483" s="377">
        <f>IFERROR(SUMPRODUCT((IF('JUNIO 2026'!Y6:Y110&lt;&gt;"",'JUNIO 2026'!Y6:Y110,'JUNIO 2026'!I6:I110)="TOTORA")*('JUNIO 2026'!K6:K110="PETROLEO")*'JUNIO 2026'!N6:N110),0)</f>
        <v/>
      </c>
      <c r="E1483" s="377">
        <f>IFERROR(SUMPRODUCT((IF('JUNIO 2026'!Y6:Y110&lt;&gt;"",'JUNIO 2026'!Y6:Y110,'JUNIO 2026'!I6:I110)="TOTORA")*('JUNIO 2026'!K6:K110="GASOLINA")*'JUNIO 2026'!M6:M110),0)</f>
        <v/>
      </c>
      <c r="F1483" s="377">
        <f>IFERROR(SUMPRODUCT((IF('JUNIO 2026'!Y6:Y110&lt;&gt;"",'JUNIO 2026'!Y6:Y110,'JUNIO 2026'!I6:I110)="TOTORA")*('JUNIO 2026'!K6:K110="GASOLINA")*'JUNIO 2026'!N6:N110),0)</f>
        <v/>
      </c>
    </row>
    <row r="1484" ht="15" customHeight="1" s="195">
      <c r="A1484" s="194" t="inlineStr">
        <is>
          <t>TOTORA</t>
        </is>
      </c>
      <c r="B1484" s="194" t="inlineStr">
        <is>
          <t>JULIO 2026</t>
        </is>
      </c>
      <c r="C1484" s="377">
        <f>IFERROR(SUMPRODUCT((IF('JULIO 2026'!Y6:Y110&lt;&gt;"",'JULIO 2026'!Y6:Y110,'JULIO 2026'!I6:I110)="TOTORA")*('JULIO 2026'!K6:K110="PETROLEO")*'JULIO 2026'!M6:M110),0)</f>
        <v/>
      </c>
      <c r="D1484" s="377">
        <f>IFERROR(SUMPRODUCT((IF('JULIO 2026'!Y6:Y110&lt;&gt;"",'JULIO 2026'!Y6:Y110,'JULIO 2026'!I6:I110)="TOTORA")*('JULIO 2026'!K6:K110="PETROLEO")*'JULIO 2026'!N6:N110),0)</f>
        <v/>
      </c>
      <c r="E1484" s="377">
        <f>IFERROR(SUMPRODUCT((IF('JULIO 2026'!Y6:Y110&lt;&gt;"",'JULIO 2026'!Y6:Y110,'JULIO 2026'!I6:I110)="TOTORA")*('JULIO 2026'!K6:K110="GASOLINA")*'JULIO 2026'!M6:M110),0)</f>
        <v/>
      </c>
      <c r="F1484" s="377">
        <f>IFERROR(SUMPRODUCT((IF('JULIO 2026'!Y6:Y110&lt;&gt;"",'JULIO 2026'!Y6:Y110,'JULIO 2026'!I6:I110)="TOTORA")*('JULIO 2026'!K6:K110="GASOLINA")*'JULIO 2026'!N6:N110),0)</f>
        <v/>
      </c>
    </row>
    <row r="1485" ht="15" customHeight="1" s="195">
      <c r="A1485" s="194" t="inlineStr">
        <is>
          <t>TOTORA</t>
        </is>
      </c>
      <c r="B1485" s="194" t="inlineStr">
        <is>
          <t>AGOSTO 2026</t>
        </is>
      </c>
      <c r="C1485" s="377">
        <f>IFERROR(SUMPRODUCT((IF('AGOSTO 2026'!Y6:Y110&lt;&gt;"",'AGOSTO 2026'!Y6:Y110,'AGOSTO 2026'!I6:I110)="TOTORA")*('AGOSTO 2026'!K6:K110="PETROLEO")*'AGOSTO 2026'!M6:M110),0)</f>
        <v/>
      </c>
      <c r="D1485" s="377">
        <f>IFERROR(SUMPRODUCT((IF('AGOSTO 2026'!Y6:Y110&lt;&gt;"",'AGOSTO 2026'!Y6:Y110,'AGOSTO 2026'!I6:I110)="TOTORA")*('AGOSTO 2026'!K6:K110="PETROLEO")*'AGOSTO 2026'!N6:N110),0)</f>
        <v/>
      </c>
      <c r="E1485" s="377">
        <f>IFERROR(SUMPRODUCT((IF('AGOSTO 2026'!Y6:Y110&lt;&gt;"",'AGOSTO 2026'!Y6:Y110,'AGOSTO 2026'!I6:I110)="TOTORA")*('AGOSTO 2026'!K6:K110="GASOLINA")*'AGOSTO 2026'!M6:M110),0)</f>
        <v/>
      </c>
      <c r="F1485" s="377">
        <f>IFERROR(SUMPRODUCT((IF('AGOSTO 2026'!Y6:Y110&lt;&gt;"",'AGOSTO 2026'!Y6:Y110,'AGOSTO 2026'!I6:I110)="TOTORA")*('AGOSTO 2026'!K6:K110="GASOLINA")*'AGOSTO 2026'!N6:N110),0)</f>
        <v/>
      </c>
    </row>
    <row r="1486" ht="15" customHeight="1" s="195">
      <c r="A1486" s="194" t="inlineStr">
        <is>
          <t>TOTORA</t>
        </is>
      </c>
      <c r="B1486" s="194" t="inlineStr">
        <is>
          <t>SETIEMBRE 2026</t>
        </is>
      </c>
      <c r="C1486" s="377">
        <f>IFERROR(SUMPRODUCT((IF('SETIEMBRE 2026'!Y6:Y110&lt;&gt;"",'SETIEMBRE 2026'!Y6:Y110,'SETIEMBRE 2026'!I6:I110)="TOTORA")*('SETIEMBRE 2026'!K6:K110="PETROLEO")*'SETIEMBRE 2026'!M6:M110),0)</f>
        <v/>
      </c>
      <c r="D1486" s="377">
        <f>IFERROR(SUMPRODUCT((IF('SETIEMBRE 2026'!Y6:Y110&lt;&gt;"",'SETIEMBRE 2026'!Y6:Y110,'SETIEMBRE 2026'!I6:I110)="TOTORA")*('SETIEMBRE 2026'!K6:K110="PETROLEO")*'SETIEMBRE 2026'!N6:N110),0)</f>
        <v/>
      </c>
      <c r="E1486" s="377">
        <f>IFERROR(SUMPRODUCT((IF('SETIEMBRE 2026'!Y6:Y110&lt;&gt;"",'SETIEMBRE 2026'!Y6:Y110,'SETIEMBRE 2026'!I6:I110)="TOTORA")*('SETIEMBRE 2026'!K6:K110="GASOLINA")*'SETIEMBRE 2026'!M6:M110),0)</f>
        <v/>
      </c>
      <c r="F1486" s="377">
        <f>IFERROR(SUMPRODUCT((IF('SETIEMBRE 2026'!Y6:Y110&lt;&gt;"",'SETIEMBRE 2026'!Y6:Y110,'SETIEMBRE 2026'!I6:I110)="TOTORA")*('SETIEMBRE 2026'!K6:K110="GASOLINA")*'SETIEMBRE 2026'!N6:N110),0)</f>
        <v/>
      </c>
    </row>
    <row r="1487" ht="15" customHeight="1" s="195">
      <c r="A1487" s="194" t="inlineStr">
        <is>
          <t>TOTORA</t>
        </is>
      </c>
      <c r="B1487" s="194" t="inlineStr">
        <is>
          <t>OCTUBRE 2026</t>
        </is>
      </c>
      <c r="C1487" s="377">
        <f>IFERROR(SUMPRODUCT((IF('OCTUBRE 2026'!Y6:Y110&lt;&gt;"",'OCTUBRE 2026'!Y6:Y110,'OCTUBRE 2026'!I6:I110)="TOTORA")*('OCTUBRE 2026'!K6:K110="PETROLEO")*'OCTUBRE 2026'!M6:M110),0)</f>
        <v/>
      </c>
      <c r="D1487" s="377">
        <f>IFERROR(SUMPRODUCT((IF('OCTUBRE 2026'!Y6:Y110&lt;&gt;"",'OCTUBRE 2026'!Y6:Y110,'OCTUBRE 2026'!I6:I110)="TOTORA")*('OCTUBRE 2026'!K6:K110="PETROLEO")*'OCTUBRE 2026'!N6:N110),0)</f>
        <v/>
      </c>
      <c r="E1487" s="377">
        <f>IFERROR(SUMPRODUCT((IF('OCTUBRE 2026'!Y6:Y110&lt;&gt;"",'OCTUBRE 2026'!Y6:Y110,'OCTUBRE 2026'!I6:I110)="TOTORA")*('OCTUBRE 2026'!K6:K110="GASOLINA")*'OCTUBRE 2026'!M6:M110),0)</f>
        <v/>
      </c>
      <c r="F1487" s="377">
        <f>IFERROR(SUMPRODUCT((IF('OCTUBRE 2026'!Y6:Y110&lt;&gt;"",'OCTUBRE 2026'!Y6:Y110,'OCTUBRE 2026'!I6:I110)="TOTORA")*('OCTUBRE 2026'!K6:K110="GASOLINA")*'OCTUBRE 2026'!N6:N110),0)</f>
        <v/>
      </c>
    </row>
    <row r="1488" ht="15" customHeight="1" s="195">
      <c r="A1488" s="194" t="inlineStr">
        <is>
          <t>TOTORA</t>
        </is>
      </c>
      <c r="B1488" s="194" t="inlineStr">
        <is>
          <t>NOVIEMBRE 2026</t>
        </is>
      </c>
      <c r="C1488" s="377">
        <f>IFERROR(SUMPRODUCT((IF('NOVIEMBRE 2026'!Y6:Y110&lt;&gt;"",'NOVIEMBRE 2026'!Y6:Y110,'NOVIEMBRE 2026'!I6:I110)="TOTORA")*('NOVIEMBRE 2026'!K6:K110="PETROLEO")*'NOVIEMBRE 2026'!M6:M110),0)</f>
        <v/>
      </c>
      <c r="D1488" s="377">
        <f>IFERROR(SUMPRODUCT((IF('NOVIEMBRE 2026'!Y6:Y110&lt;&gt;"",'NOVIEMBRE 2026'!Y6:Y110,'NOVIEMBRE 2026'!I6:I110)="TOTORA")*('NOVIEMBRE 2026'!K6:K110="PETROLEO")*'NOVIEMBRE 2026'!N6:N110),0)</f>
        <v/>
      </c>
      <c r="E1488" s="377">
        <f>IFERROR(SUMPRODUCT((IF('NOVIEMBRE 2026'!Y6:Y110&lt;&gt;"",'NOVIEMBRE 2026'!Y6:Y110,'NOVIEMBRE 2026'!I6:I110)="TOTORA")*('NOVIEMBRE 2026'!K6:K110="GASOLINA")*'NOVIEMBRE 2026'!M6:M110),0)</f>
        <v/>
      </c>
      <c r="F1488" s="377">
        <f>IFERROR(SUMPRODUCT((IF('NOVIEMBRE 2026'!Y6:Y110&lt;&gt;"",'NOVIEMBRE 2026'!Y6:Y110,'NOVIEMBRE 2026'!I6:I110)="TOTORA")*('NOVIEMBRE 2026'!K6:K110="GASOLINA")*'NOVIEMBRE 2026'!N6:N110),0)</f>
        <v/>
      </c>
    </row>
    <row r="1489" ht="15" customHeight="1" s="195">
      <c r="A1489" s="194" t="inlineStr">
        <is>
          <t>TOTORA</t>
        </is>
      </c>
      <c r="B1489" s="194" t="inlineStr">
        <is>
          <t>DICIEMBRE 2026</t>
        </is>
      </c>
      <c r="C1489" s="377">
        <f>IFERROR(SUMPRODUCT((IF('DICIEMBRE 2026'!Y6:Y110&lt;&gt;"",'DICIEMBRE 2026'!Y6:Y110,'DICIEMBRE 2026'!I6:I110)="TOTORA")*('DICIEMBRE 2026'!K6:K110="PETROLEO")*'DICIEMBRE 2026'!M6:M110),0)</f>
        <v/>
      </c>
      <c r="D1489" s="377">
        <f>IFERROR(SUMPRODUCT((IF('DICIEMBRE 2026'!Y6:Y110&lt;&gt;"",'DICIEMBRE 2026'!Y6:Y110,'DICIEMBRE 2026'!I6:I110)="TOTORA")*('DICIEMBRE 2026'!K6:K110="PETROLEO")*'DICIEMBRE 2026'!N6:N110),0)</f>
        <v/>
      </c>
      <c r="E1489" s="377">
        <f>IFERROR(SUMPRODUCT((IF('DICIEMBRE 2026'!Y6:Y110&lt;&gt;"",'DICIEMBRE 2026'!Y6:Y110,'DICIEMBRE 2026'!I6:I110)="TOTORA")*('DICIEMBRE 2026'!K6:K110="GASOLINA")*'DICIEMBRE 2026'!M6:M110),0)</f>
        <v/>
      </c>
      <c r="F1489" s="377">
        <f>IFERROR(SUMPRODUCT((IF('DICIEMBRE 2026'!Y6:Y110&lt;&gt;"",'DICIEMBRE 2026'!Y6:Y110,'DICIEMBRE 2026'!I6:I110)="TOTORA")*('DICIEMBRE 2026'!K6:K110="GASOLINA")*'DICIEMBRE 2026'!N6:N110),0)</f>
        <v/>
      </c>
    </row>
    <row r="1490" ht="15" customHeight="1" s="195">
      <c r="A1490" s="194" t="inlineStr">
        <is>
          <t>YAMBRASBAMBA</t>
        </is>
      </c>
      <c r="B1490" s="194" t="inlineStr">
        <is>
          <t>ENERO 2026</t>
        </is>
      </c>
      <c r="C1490" s="377">
        <f>IFERROR(SUMPRODUCT((IF('ENERO 2026'!Y6:Y119&lt;&gt;"",'ENERO 2026'!Y6:Y119,'ENERO 2026'!I6:I119)="YAMBRASBAMBA")*('ENERO 2026'!K6:K119="PETROLEO")*'ENERO 2026'!M6:M119),0)</f>
        <v/>
      </c>
      <c r="D1490" s="377">
        <f>IFERROR(SUMPRODUCT((IF('ENERO 2026'!Y6:Y119&lt;&gt;"",'ENERO 2026'!Y6:Y119,'ENERO 2026'!I6:I119)="YAMBRASBAMBA")*('ENERO 2026'!K6:K119="PETROLEO")*'ENERO 2026'!N6:N119),0)</f>
        <v/>
      </c>
      <c r="E1490" s="377">
        <f>IFERROR(SUMPRODUCT((IF('ENERO 2026'!Y6:Y119&lt;&gt;"",'ENERO 2026'!Y6:Y119,'ENERO 2026'!I6:I119)="YAMBRASBAMBA")*('ENERO 2026'!K6:K119="GASOLINA")*'ENERO 2026'!M6:M119),0)</f>
        <v/>
      </c>
      <c r="F1490" s="377">
        <f>IFERROR(SUMPRODUCT((IF('ENERO 2026'!Y6:Y119&lt;&gt;"",'ENERO 2026'!Y6:Y119,'ENERO 2026'!I6:I119)="YAMBRASBAMBA")*('ENERO 2026'!K6:K119="GASOLINA")*'ENERO 2026'!N6:N119),0)</f>
        <v/>
      </c>
    </row>
    <row r="1491" ht="15" customHeight="1" s="195">
      <c r="A1491" s="194" t="inlineStr">
        <is>
          <t>YAMBRASBAMBA</t>
        </is>
      </c>
      <c r="B1491" s="194" t="inlineStr">
        <is>
          <t>FEBRERO 2026</t>
        </is>
      </c>
      <c r="C1491" s="377">
        <f>IFERROR(SUMPRODUCT((IF('FEBRERO 2026'!Y6:Y124&lt;&gt;"",'FEBRERO 2026'!Y6:Y124,'FEBRERO 2026'!I6:I124)="YAMBRASBAMBA")*('FEBRERO 2026'!K6:K124="PETROLEO")*'FEBRERO 2026'!M6:M124),0)</f>
        <v/>
      </c>
      <c r="D1491" s="377">
        <f>IFERROR(SUMPRODUCT((IF('FEBRERO 2026'!Y6:Y124&lt;&gt;"",'FEBRERO 2026'!Y6:Y124,'FEBRERO 2026'!I6:I124)="YAMBRASBAMBA")*('FEBRERO 2026'!K6:K124="PETROLEO")*'FEBRERO 2026'!N6:N124),0)</f>
        <v/>
      </c>
      <c r="E1491" s="377">
        <f>IFERROR(SUMPRODUCT((IF('FEBRERO 2026'!Y6:Y124&lt;&gt;"",'FEBRERO 2026'!Y6:Y124,'FEBRERO 2026'!I6:I124)="YAMBRASBAMBA")*('FEBRERO 2026'!K6:K124="GASOLINA")*'FEBRERO 2026'!M6:M124),0)</f>
        <v/>
      </c>
      <c r="F1491" s="377">
        <f>IFERROR(SUMPRODUCT((IF('FEBRERO 2026'!Y6:Y124&lt;&gt;"",'FEBRERO 2026'!Y6:Y124,'FEBRERO 2026'!I6:I124)="YAMBRASBAMBA")*('FEBRERO 2026'!K6:K124="GASOLINA")*'FEBRERO 2026'!N6:N124),0)</f>
        <v/>
      </c>
    </row>
    <row r="1492" ht="15" customHeight="1" s="195">
      <c r="A1492" s="194" t="inlineStr">
        <is>
          <t>YAMBRASBAMBA</t>
        </is>
      </c>
      <c r="B1492" s="194" t="inlineStr">
        <is>
          <t>MARZO 2026</t>
        </is>
      </c>
      <c r="C1492" s="377">
        <f>IFERROR(SUMPRODUCT((IF('MARZO 2026'!Y6:Y119&lt;&gt;"",'MARZO 2026'!Y6:Y119,'MARZO 2026'!I6:I119)="YAMBRASBAMBA")*('MARZO 2026'!K6:K119="PETROLEO")*'MARZO 2026'!M6:M119),0)</f>
        <v/>
      </c>
      <c r="D1492" s="377">
        <f>IFERROR(SUMPRODUCT((IF('MARZO 2026'!Y6:Y119&lt;&gt;"",'MARZO 2026'!Y6:Y119,'MARZO 2026'!I6:I119)="YAMBRASBAMBA")*('MARZO 2026'!K6:K119="PETROLEO")*'MARZO 2026'!N6:N119),0)</f>
        <v/>
      </c>
      <c r="E1492" s="377">
        <f>IFERROR(SUMPRODUCT((IF('MARZO 2026'!Y6:Y119&lt;&gt;"",'MARZO 2026'!Y6:Y119,'MARZO 2026'!I6:I119)="YAMBRASBAMBA")*('MARZO 2026'!K6:K119="GASOLINA")*'MARZO 2026'!M6:M119),0)</f>
        <v/>
      </c>
      <c r="F1492" s="377">
        <f>IFERROR(SUMPRODUCT((IF('MARZO 2026'!Y6:Y119&lt;&gt;"",'MARZO 2026'!Y6:Y119,'MARZO 2026'!I6:I119)="YAMBRASBAMBA")*('MARZO 2026'!K6:K119="GASOLINA")*'MARZO 2026'!N6:N119),0)</f>
        <v/>
      </c>
    </row>
    <row r="1493" ht="15" customHeight="1" s="195">
      <c r="A1493" s="194" t="inlineStr">
        <is>
          <t>YAMBRASBAMBA</t>
        </is>
      </c>
      <c r="B1493" s="194" t="inlineStr">
        <is>
          <t>ABRIL 2026</t>
        </is>
      </c>
      <c r="C1493" s="377">
        <f>IFERROR(SUMPRODUCT((IF('ABRIL 2026'!Y6:Y119&lt;&gt;"",'ABRIL 2026'!Y6:Y119,'ABRIL 2026'!I6:I119)="YAMBRASBAMBA")*('ABRIL 2026'!K6:K119="PETROLEO")*'ABRIL 2026'!M6:M119),0)</f>
        <v/>
      </c>
      <c r="D1493" s="377">
        <f>IFERROR(SUMPRODUCT((IF('ABRIL 2026'!Y6:Y119&lt;&gt;"",'ABRIL 2026'!Y6:Y119,'ABRIL 2026'!I6:I119)="YAMBRASBAMBA")*('ABRIL 2026'!K6:K119="PETROLEO")*'ABRIL 2026'!N6:N119),0)</f>
        <v/>
      </c>
      <c r="E1493" s="377">
        <f>IFERROR(SUMPRODUCT((IF('ABRIL 2026'!Y6:Y119&lt;&gt;"",'ABRIL 2026'!Y6:Y119,'ABRIL 2026'!I6:I119)="YAMBRASBAMBA")*('ABRIL 2026'!K6:K119="GASOLINA")*'ABRIL 2026'!M6:M119),0)</f>
        <v/>
      </c>
      <c r="F1493" s="377">
        <f>IFERROR(SUMPRODUCT((IF('ABRIL 2026'!Y6:Y119&lt;&gt;"",'ABRIL 2026'!Y6:Y119,'ABRIL 2026'!I6:I119)="YAMBRASBAMBA")*('ABRIL 2026'!K6:K119="GASOLINA")*'ABRIL 2026'!N6:N119),0)</f>
        <v/>
      </c>
    </row>
    <row r="1494" ht="15" customHeight="1" s="195">
      <c r="A1494" s="194" t="inlineStr">
        <is>
          <t>YAMBRASBAMBA</t>
        </is>
      </c>
      <c r="B1494" s="194" t="inlineStr">
        <is>
          <t>MAYO 2026</t>
        </is>
      </c>
      <c r="C1494" s="377">
        <f>IFERROR(SUMPRODUCT((IF('MAYO 2026'!Y6:Y110&lt;&gt;"",'MAYO 2026'!Y6:Y110,'MAYO 2026'!I6:I110)="YAMBRASBAMBA")*('MAYO 2026'!K6:K110="PETROLEO")*'MAYO 2026'!M6:M110),0)</f>
        <v/>
      </c>
      <c r="D1494" s="377">
        <f>IFERROR(SUMPRODUCT((IF('MAYO 2026'!Y6:Y110&lt;&gt;"",'MAYO 2026'!Y6:Y110,'MAYO 2026'!I6:I110)="YAMBRASBAMBA")*('MAYO 2026'!K6:K110="PETROLEO")*'MAYO 2026'!N6:N110),0)</f>
        <v/>
      </c>
      <c r="E1494" s="377">
        <f>IFERROR(SUMPRODUCT((IF('MAYO 2026'!Y6:Y110&lt;&gt;"",'MAYO 2026'!Y6:Y110,'MAYO 2026'!I6:I110)="YAMBRASBAMBA")*('MAYO 2026'!K6:K110="GASOLINA")*'MAYO 2026'!M6:M110),0)</f>
        <v/>
      </c>
      <c r="F1494" s="377">
        <f>IFERROR(SUMPRODUCT((IF('MAYO 2026'!Y6:Y110&lt;&gt;"",'MAYO 2026'!Y6:Y110,'MAYO 2026'!I6:I110)="YAMBRASBAMBA")*('MAYO 2026'!K6:K110="GASOLINA")*'MAYO 2026'!N6:N110),0)</f>
        <v/>
      </c>
    </row>
    <row r="1495" ht="15" customHeight="1" s="195">
      <c r="A1495" s="194" t="inlineStr">
        <is>
          <t>YAMBRASBAMBA</t>
        </is>
      </c>
      <c r="B1495" s="194" t="inlineStr">
        <is>
          <t>JUNIO 2026</t>
        </is>
      </c>
      <c r="C1495" s="377">
        <f>IFERROR(SUMPRODUCT((IF('JUNIO 2026'!Y6:Y110&lt;&gt;"",'JUNIO 2026'!Y6:Y110,'JUNIO 2026'!I6:I110)="YAMBRASBAMBA")*('JUNIO 2026'!K6:K110="PETROLEO")*'JUNIO 2026'!M6:M110),0)</f>
        <v/>
      </c>
      <c r="D1495" s="377">
        <f>IFERROR(SUMPRODUCT((IF('JUNIO 2026'!Y6:Y110&lt;&gt;"",'JUNIO 2026'!Y6:Y110,'JUNIO 2026'!I6:I110)="YAMBRASBAMBA")*('JUNIO 2026'!K6:K110="PETROLEO")*'JUNIO 2026'!N6:N110),0)</f>
        <v/>
      </c>
      <c r="E1495" s="377">
        <f>IFERROR(SUMPRODUCT((IF('JUNIO 2026'!Y6:Y110&lt;&gt;"",'JUNIO 2026'!Y6:Y110,'JUNIO 2026'!I6:I110)="YAMBRASBAMBA")*('JUNIO 2026'!K6:K110="GASOLINA")*'JUNIO 2026'!M6:M110),0)</f>
        <v/>
      </c>
      <c r="F1495" s="377">
        <f>IFERROR(SUMPRODUCT((IF('JUNIO 2026'!Y6:Y110&lt;&gt;"",'JUNIO 2026'!Y6:Y110,'JUNIO 2026'!I6:I110)="YAMBRASBAMBA")*('JUNIO 2026'!K6:K110="GASOLINA")*'JUNIO 2026'!N6:N110),0)</f>
        <v/>
      </c>
    </row>
    <row r="1496" ht="15" customHeight="1" s="195">
      <c r="A1496" s="194" t="inlineStr">
        <is>
          <t>YAMBRASBAMBA</t>
        </is>
      </c>
      <c r="B1496" s="194" t="inlineStr">
        <is>
          <t>JULIO 2026</t>
        </is>
      </c>
      <c r="C1496" s="377">
        <f>IFERROR(SUMPRODUCT((IF('JULIO 2026'!Y6:Y110&lt;&gt;"",'JULIO 2026'!Y6:Y110,'JULIO 2026'!I6:I110)="YAMBRASBAMBA")*('JULIO 2026'!K6:K110="PETROLEO")*'JULIO 2026'!M6:M110),0)</f>
        <v/>
      </c>
      <c r="D1496" s="377">
        <f>IFERROR(SUMPRODUCT((IF('JULIO 2026'!Y6:Y110&lt;&gt;"",'JULIO 2026'!Y6:Y110,'JULIO 2026'!I6:I110)="YAMBRASBAMBA")*('JULIO 2026'!K6:K110="PETROLEO")*'JULIO 2026'!N6:N110),0)</f>
        <v/>
      </c>
      <c r="E1496" s="377">
        <f>IFERROR(SUMPRODUCT((IF('JULIO 2026'!Y6:Y110&lt;&gt;"",'JULIO 2026'!Y6:Y110,'JULIO 2026'!I6:I110)="YAMBRASBAMBA")*('JULIO 2026'!K6:K110="GASOLINA")*'JULIO 2026'!M6:M110),0)</f>
        <v/>
      </c>
      <c r="F1496" s="377">
        <f>IFERROR(SUMPRODUCT((IF('JULIO 2026'!Y6:Y110&lt;&gt;"",'JULIO 2026'!Y6:Y110,'JULIO 2026'!I6:I110)="YAMBRASBAMBA")*('JULIO 2026'!K6:K110="GASOLINA")*'JULIO 2026'!N6:N110),0)</f>
        <v/>
      </c>
    </row>
    <row r="1497" ht="15" customHeight="1" s="195">
      <c r="A1497" s="194" t="inlineStr">
        <is>
          <t>YAMBRASBAMBA</t>
        </is>
      </c>
      <c r="B1497" s="194" t="inlineStr">
        <is>
          <t>AGOSTO 2026</t>
        </is>
      </c>
      <c r="C1497" s="377">
        <f>IFERROR(SUMPRODUCT((IF('AGOSTO 2026'!Y6:Y110&lt;&gt;"",'AGOSTO 2026'!Y6:Y110,'AGOSTO 2026'!I6:I110)="YAMBRASBAMBA")*('AGOSTO 2026'!K6:K110="PETROLEO")*'AGOSTO 2026'!M6:M110),0)</f>
        <v/>
      </c>
      <c r="D1497" s="377">
        <f>IFERROR(SUMPRODUCT((IF('AGOSTO 2026'!Y6:Y110&lt;&gt;"",'AGOSTO 2026'!Y6:Y110,'AGOSTO 2026'!I6:I110)="YAMBRASBAMBA")*('AGOSTO 2026'!K6:K110="PETROLEO")*'AGOSTO 2026'!N6:N110),0)</f>
        <v/>
      </c>
      <c r="E1497" s="377">
        <f>IFERROR(SUMPRODUCT((IF('AGOSTO 2026'!Y6:Y110&lt;&gt;"",'AGOSTO 2026'!Y6:Y110,'AGOSTO 2026'!I6:I110)="YAMBRASBAMBA")*('AGOSTO 2026'!K6:K110="GASOLINA")*'AGOSTO 2026'!M6:M110),0)</f>
        <v/>
      </c>
      <c r="F1497" s="377">
        <f>IFERROR(SUMPRODUCT((IF('AGOSTO 2026'!Y6:Y110&lt;&gt;"",'AGOSTO 2026'!Y6:Y110,'AGOSTO 2026'!I6:I110)="YAMBRASBAMBA")*('AGOSTO 2026'!K6:K110="GASOLINA")*'AGOSTO 2026'!N6:N110),0)</f>
        <v/>
      </c>
    </row>
    <row r="1498" ht="15" customHeight="1" s="195">
      <c r="A1498" s="194" t="inlineStr">
        <is>
          <t>YAMBRASBAMBA</t>
        </is>
      </c>
      <c r="B1498" s="194" t="inlineStr">
        <is>
          <t>SETIEMBRE 2026</t>
        </is>
      </c>
      <c r="C1498" s="377">
        <f>IFERROR(SUMPRODUCT((IF('SETIEMBRE 2026'!Y6:Y110&lt;&gt;"",'SETIEMBRE 2026'!Y6:Y110,'SETIEMBRE 2026'!I6:I110)="YAMBRASBAMBA")*('SETIEMBRE 2026'!K6:K110="PETROLEO")*'SETIEMBRE 2026'!M6:M110),0)</f>
        <v/>
      </c>
      <c r="D1498" s="377">
        <f>IFERROR(SUMPRODUCT((IF('SETIEMBRE 2026'!Y6:Y110&lt;&gt;"",'SETIEMBRE 2026'!Y6:Y110,'SETIEMBRE 2026'!I6:I110)="YAMBRASBAMBA")*('SETIEMBRE 2026'!K6:K110="PETROLEO")*'SETIEMBRE 2026'!N6:N110),0)</f>
        <v/>
      </c>
      <c r="E1498" s="377">
        <f>IFERROR(SUMPRODUCT((IF('SETIEMBRE 2026'!Y6:Y110&lt;&gt;"",'SETIEMBRE 2026'!Y6:Y110,'SETIEMBRE 2026'!I6:I110)="YAMBRASBAMBA")*('SETIEMBRE 2026'!K6:K110="GASOLINA")*'SETIEMBRE 2026'!M6:M110),0)</f>
        <v/>
      </c>
      <c r="F1498" s="377">
        <f>IFERROR(SUMPRODUCT((IF('SETIEMBRE 2026'!Y6:Y110&lt;&gt;"",'SETIEMBRE 2026'!Y6:Y110,'SETIEMBRE 2026'!I6:I110)="YAMBRASBAMBA")*('SETIEMBRE 2026'!K6:K110="GASOLINA")*'SETIEMBRE 2026'!N6:N110),0)</f>
        <v/>
      </c>
    </row>
    <row r="1499" ht="15" customHeight="1" s="195">
      <c r="A1499" s="194" t="inlineStr">
        <is>
          <t>YAMBRASBAMBA</t>
        </is>
      </c>
      <c r="B1499" s="194" t="inlineStr">
        <is>
          <t>OCTUBRE 2026</t>
        </is>
      </c>
      <c r="C1499" s="377">
        <f>IFERROR(SUMPRODUCT((IF('OCTUBRE 2026'!Y6:Y110&lt;&gt;"",'OCTUBRE 2026'!Y6:Y110,'OCTUBRE 2026'!I6:I110)="YAMBRASBAMBA")*('OCTUBRE 2026'!K6:K110="PETROLEO")*'OCTUBRE 2026'!M6:M110),0)</f>
        <v/>
      </c>
      <c r="D1499" s="377">
        <f>IFERROR(SUMPRODUCT((IF('OCTUBRE 2026'!Y6:Y110&lt;&gt;"",'OCTUBRE 2026'!Y6:Y110,'OCTUBRE 2026'!I6:I110)="YAMBRASBAMBA")*('OCTUBRE 2026'!K6:K110="PETROLEO")*'OCTUBRE 2026'!N6:N110),0)</f>
        <v/>
      </c>
      <c r="E1499" s="377">
        <f>IFERROR(SUMPRODUCT((IF('OCTUBRE 2026'!Y6:Y110&lt;&gt;"",'OCTUBRE 2026'!Y6:Y110,'OCTUBRE 2026'!I6:I110)="YAMBRASBAMBA")*('OCTUBRE 2026'!K6:K110="GASOLINA")*'OCTUBRE 2026'!M6:M110),0)</f>
        <v/>
      </c>
      <c r="F1499" s="377">
        <f>IFERROR(SUMPRODUCT((IF('OCTUBRE 2026'!Y6:Y110&lt;&gt;"",'OCTUBRE 2026'!Y6:Y110,'OCTUBRE 2026'!I6:I110)="YAMBRASBAMBA")*('OCTUBRE 2026'!K6:K110="GASOLINA")*'OCTUBRE 2026'!N6:N110),0)</f>
        <v/>
      </c>
    </row>
    <row r="1500" ht="15" customHeight="1" s="195">
      <c r="A1500" s="194" t="inlineStr">
        <is>
          <t>YAMBRASBAMBA</t>
        </is>
      </c>
      <c r="B1500" s="194" t="inlineStr">
        <is>
          <t>NOVIEMBRE 2026</t>
        </is>
      </c>
      <c r="C1500" s="377">
        <f>IFERROR(SUMPRODUCT((IF('NOVIEMBRE 2026'!Y6:Y110&lt;&gt;"",'NOVIEMBRE 2026'!Y6:Y110,'NOVIEMBRE 2026'!I6:I110)="YAMBRASBAMBA")*('NOVIEMBRE 2026'!K6:K110="PETROLEO")*'NOVIEMBRE 2026'!M6:M110),0)</f>
        <v/>
      </c>
      <c r="D1500" s="377">
        <f>IFERROR(SUMPRODUCT((IF('NOVIEMBRE 2026'!Y6:Y110&lt;&gt;"",'NOVIEMBRE 2026'!Y6:Y110,'NOVIEMBRE 2026'!I6:I110)="YAMBRASBAMBA")*('NOVIEMBRE 2026'!K6:K110="PETROLEO")*'NOVIEMBRE 2026'!N6:N110),0)</f>
        <v/>
      </c>
      <c r="E1500" s="377">
        <f>IFERROR(SUMPRODUCT((IF('NOVIEMBRE 2026'!Y6:Y110&lt;&gt;"",'NOVIEMBRE 2026'!Y6:Y110,'NOVIEMBRE 2026'!I6:I110)="YAMBRASBAMBA")*('NOVIEMBRE 2026'!K6:K110="GASOLINA")*'NOVIEMBRE 2026'!M6:M110),0)</f>
        <v/>
      </c>
      <c r="F1500" s="377">
        <f>IFERROR(SUMPRODUCT((IF('NOVIEMBRE 2026'!Y6:Y110&lt;&gt;"",'NOVIEMBRE 2026'!Y6:Y110,'NOVIEMBRE 2026'!I6:I110)="YAMBRASBAMBA")*('NOVIEMBRE 2026'!K6:K110="GASOLINA")*'NOVIEMBRE 2026'!N6:N110),0)</f>
        <v/>
      </c>
    </row>
    <row r="1501" ht="15" customHeight="1" s="195">
      <c r="A1501" s="194" t="inlineStr">
        <is>
          <t>YAMBRASBAMBA</t>
        </is>
      </c>
      <c r="B1501" s="194" t="inlineStr">
        <is>
          <t>DICIEMBRE 2026</t>
        </is>
      </c>
      <c r="C1501" s="377">
        <f>IFERROR(SUMPRODUCT((IF('DICIEMBRE 2026'!Y6:Y110&lt;&gt;"",'DICIEMBRE 2026'!Y6:Y110,'DICIEMBRE 2026'!I6:I110)="YAMBRASBAMBA")*('DICIEMBRE 2026'!K6:K110="PETROLEO")*'DICIEMBRE 2026'!M6:M110),0)</f>
        <v/>
      </c>
      <c r="D1501" s="377">
        <f>IFERROR(SUMPRODUCT((IF('DICIEMBRE 2026'!Y6:Y110&lt;&gt;"",'DICIEMBRE 2026'!Y6:Y110,'DICIEMBRE 2026'!I6:I110)="YAMBRASBAMBA")*('DICIEMBRE 2026'!K6:K110="PETROLEO")*'DICIEMBRE 2026'!N6:N110),0)</f>
        <v/>
      </c>
      <c r="E1501" s="377">
        <f>IFERROR(SUMPRODUCT((IF('DICIEMBRE 2026'!Y6:Y110&lt;&gt;"",'DICIEMBRE 2026'!Y6:Y110,'DICIEMBRE 2026'!I6:I110)="YAMBRASBAMBA")*('DICIEMBRE 2026'!K6:K110="GASOLINA")*'DICIEMBRE 2026'!M6:M110),0)</f>
        <v/>
      </c>
      <c r="F1501" s="377">
        <f>IFERROR(SUMPRODUCT((IF('DICIEMBRE 2026'!Y6:Y110&lt;&gt;"",'DICIEMBRE 2026'!Y6:Y110,'DICIEMBRE 2026'!I6:I110)="YAMBRASBAMBA")*('DICIEMBRE 2026'!K6:K110="GASOLINA")*'DICIEMBRE 2026'!N6:N110),0)</f>
        <v/>
      </c>
    </row>
    <row r="1502" ht="15" customHeight="1" s="195">
      <c r="A1502" s="194" t="inlineStr">
        <is>
          <t>YERBABUENA</t>
        </is>
      </c>
      <c r="B1502" s="194" t="inlineStr">
        <is>
          <t>ENERO 2026</t>
        </is>
      </c>
      <c r="C1502" s="377">
        <f>IFERROR(SUMPRODUCT((IF('ENERO 2026'!Y6:Y119&lt;&gt;"",'ENERO 2026'!Y6:Y119,'ENERO 2026'!I6:I119)="YERBABUENA")*('ENERO 2026'!K6:K119="PETROLEO")*'ENERO 2026'!M6:M119),0)</f>
        <v/>
      </c>
      <c r="D1502" s="377">
        <f>IFERROR(SUMPRODUCT((IF('ENERO 2026'!Y6:Y119&lt;&gt;"",'ENERO 2026'!Y6:Y119,'ENERO 2026'!I6:I119)="YERBABUENA")*('ENERO 2026'!K6:K119="PETROLEO")*'ENERO 2026'!N6:N119),0)</f>
        <v/>
      </c>
      <c r="E1502" s="377">
        <f>IFERROR(SUMPRODUCT((IF('ENERO 2026'!Y6:Y119&lt;&gt;"",'ENERO 2026'!Y6:Y119,'ENERO 2026'!I6:I119)="YERBABUENA")*('ENERO 2026'!K6:K119="GASOLINA")*'ENERO 2026'!M6:M119),0)</f>
        <v/>
      </c>
      <c r="F1502" s="377">
        <f>IFERROR(SUMPRODUCT((IF('ENERO 2026'!Y6:Y119&lt;&gt;"",'ENERO 2026'!Y6:Y119,'ENERO 2026'!I6:I119)="YERBABUENA")*('ENERO 2026'!K6:K119="GASOLINA")*'ENERO 2026'!N6:N119),0)</f>
        <v/>
      </c>
    </row>
    <row r="1503" ht="15" customHeight="1" s="195">
      <c r="A1503" s="194" t="inlineStr">
        <is>
          <t>YERBABUENA</t>
        </is>
      </c>
      <c r="B1503" s="194" t="inlineStr">
        <is>
          <t>FEBRERO 2026</t>
        </is>
      </c>
      <c r="C1503" s="377">
        <f>IFERROR(SUMPRODUCT((IF('FEBRERO 2026'!Y6:Y124&lt;&gt;"",'FEBRERO 2026'!Y6:Y124,'FEBRERO 2026'!I6:I124)="YERBABUENA")*('FEBRERO 2026'!K6:K124="PETROLEO")*'FEBRERO 2026'!M6:M124),0)</f>
        <v/>
      </c>
      <c r="D1503" s="377">
        <f>IFERROR(SUMPRODUCT((IF('FEBRERO 2026'!Y6:Y124&lt;&gt;"",'FEBRERO 2026'!Y6:Y124,'FEBRERO 2026'!I6:I124)="YERBABUENA")*('FEBRERO 2026'!K6:K124="PETROLEO")*'FEBRERO 2026'!N6:N124),0)</f>
        <v/>
      </c>
      <c r="E1503" s="377">
        <f>IFERROR(SUMPRODUCT((IF('FEBRERO 2026'!Y6:Y124&lt;&gt;"",'FEBRERO 2026'!Y6:Y124,'FEBRERO 2026'!I6:I124)="YERBABUENA")*('FEBRERO 2026'!K6:K124="GASOLINA")*'FEBRERO 2026'!M6:M124),0)</f>
        <v/>
      </c>
      <c r="F1503" s="377">
        <f>IFERROR(SUMPRODUCT((IF('FEBRERO 2026'!Y6:Y124&lt;&gt;"",'FEBRERO 2026'!Y6:Y124,'FEBRERO 2026'!I6:I124)="YERBABUENA")*('FEBRERO 2026'!K6:K124="GASOLINA")*'FEBRERO 2026'!N6:N124),0)</f>
        <v/>
      </c>
    </row>
    <row r="1504" ht="15" customHeight="1" s="195">
      <c r="A1504" s="194" t="inlineStr">
        <is>
          <t>YERBABUENA</t>
        </is>
      </c>
      <c r="B1504" s="194" t="inlineStr">
        <is>
          <t>MARZO 2026</t>
        </is>
      </c>
      <c r="C1504" s="377">
        <f>IFERROR(SUMPRODUCT((IF('MARZO 2026'!Y6:Y119&lt;&gt;"",'MARZO 2026'!Y6:Y119,'MARZO 2026'!I6:I119)="YERBABUENA")*('MARZO 2026'!K6:K119="PETROLEO")*'MARZO 2026'!M6:M119),0)</f>
        <v/>
      </c>
      <c r="D1504" s="377">
        <f>IFERROR(SUMPRODUCT((IF('MARZO 2026'!Y6:Y119&lt;&gt;"",'MARZO 2026'!Y6:Y119,'MARZO 2026'!I6:I119)="YERBABUENA")*('MARZO 2026'!K6:K119="PETROLEO")*'MARZO 2026'!N6:N119),0)</f>
        <v/>
      </c>
      <c r="E1504" s="377">
        <f>IFERROR(SUMPRODUCT((IF('MARZO 2026'!Y6:Y119&lt;&gt;"",'MARZO 2026'!Y6:Y119,'MARZO 2026'!I6:I119)="YERBABUENA")*('MARZO 2026'!K6:K119="GASOLINA")*'MARZO 2026'!M6:M119),0)</f>
        <v/>
      </c>
      <c r="F1504" s="377">
        <f>IFERROR(SUMPRODUCT((IF('MARZO 2026'!Y6:Y119&lt;&gt;"",'MARZO 2026'!Y6:Y119,'MARZO 2026'!I6:I119)="YERBABUENA")*('MARZO 2026'!K6:K119="GASOLINA")*'MARZO 2026'!N6:N119),0)</f>
        <v/>
      </c>
    </row>
    <row r="1505" ht="15" customHeight="1" s="195">
      <c r="A1505" s="194" t="inlineStr">
        <is>
          <t>YERBABUENA</t>
        </is>
      </c>
      <c r="B1505" s="194" t="inlineStr">
        <is>
          <t>ABRIL 2026</t>
        </is>
      </c>
      <c r="C1505" s="377">
        <f>IFERROR(SUMPRODUCT((IF('ABRIL 2026'!Y6:Y119&lt;&gt;"",'ABRIL 2026'!Y6:Y119,'ABRIL 2026'!I6:I119)="YERBABUENA")*('ABRIL 2026'!K6:K119="PETROLEO")*'ABRIL 2026'!M6:M119),0)</f>
        <v/>
      </c>
      <c r="D1505" s="377">
        <f>IFERROR(SUMPRODUCT((IF('ABRIL 2026'!Y6:Y119&lt;&gt;"",'ABRIL 2026'!Y6:Y119,'ABRIL 2026'!I6:I119)="YERBABUENA")*('ABRIL 2026'!K6:K119="PETROLEO")*'ABRIL 2026'!N6:N119),0)</f>
        <v/>
      </c>
      <c r="E1505" s="377">
        <f>IFERROR(SUMPRODUCT((IF('ABRIL 2026'!Y6:Y119&lt;&gt;"",'ABRIL 2026'!Y6:Y119,'ABRIL 2026'!I6:I119)="YERBABUENA")*('ABRIL 2026'!K6:K119="GASOLINA")*'ABRIL 2026'!M6:M119),0)</f>
        <v/>
      </c>
      <c r="F1505" s="377">
        <f>IFERROR(SUMPRODUCT((IF('ABRIL 2026'!Y6:Y119&lt;&gt;"",'ABRIL 2026'!Y6:Y119,'ABRIL 2026'!I6:I119)="YERBABUENA")*('ABRIL 2026'!K6:K119="GASOLINA")*'ABRIL 2026'!N6:N119),0)</f>
        <v/>
      </c>
    </row>
    <row r="1506" ht="15" customHeight="1" s="195">
      <c r="A1506" s="194" t="inlineStr">
        <is>
          <t>YERBABUENA</t>
        </is>
      </c>
      <c r="B1506" s="194" t="inlineStr">
        <is>
          <t>MAYO 2026</t>
        </is>
      </c>
      <c r="C1506" s="377">
        <f>IFERROR(SUMPRODUCT((IF('MAYO 2026'!Y6:Y110&lt;&gt;"",'MAYO 2026'!Y6:Y110,'MAYO 2026'!I6:I110)="YERBABUENA")*('MAYO 2026'!K6:K110="PETROLEO")*'MAYO 2026'!M6:M110),0)</f>
        <v/>
      </c>
      <c r="D1506" s="377">
        <f>IFERROR(SUMPRODUCT((IF('MAYO 2026'!Y6:Y110&lt;&gt;"",'MAYO 2026'!Y6:Y110,'MAYO 2026'!I6:I110)="YERBABUENA")*('MAYO 2026'!K6:K110="PETROLEO")*'MAYO 2026'!N6:N110),0)</f>
        <v/>
      </c>
      <c r="E1506" s="377">
        <f>IFERROR(SUMPRODUCT((IF('MAYO 2026'!Y6:Y110&lt;&gt;"",'MAYO 2026'!Y6:Y110,'MAYO 2026'!I6:I110)="YERBABUENA")*('MAYO 2026'!K6:K110="GASOLINA")*'MAYO 2026'!M6:M110),0)</f>
        <v/>
      </c>
      <c r="F1506" s="377">
        <f>IFERROR(SUMPRODUCT((IF('MAYO 2026'!Y6:Y110&lt;&gt;"",'MAYO 2026'!Y6:Y110,'MAYO 2026'!I6:I110)="YERBABUENA")*('MAYO 2026'!K6:K110="GASOLINA")*'MAYO 2026'!N6:N110),0)</f>
        <v/>
      </c>
    </row>
    <row r="1507" ht="15" customHeight="1" s="195">
      <c r="A1507" s="194" t="inlineStr">
        <is>
          <t>YERBABUENA</t>
        </is>
      </c>
      <c r="B1507" s="194" t="inlineStr">
        <is>
          <t>JUNIO 2026</t>
        </is>
      </c>
      <c r="C1507" s="377">
        <f>IFERROR(SUMPRODUCT((IF('JUNIO 2026'!Y6:Y110&lt;&gt;"",'JUNIO 2026'!Y6:Y110,'JUNIO 2026'!I6:I110)="YERBABUENA")*('JUNIO 2026'!K6:K110="PETROLEO")*'JUNIO 2026'!M6:M110),0)</f>
        <v/>
      </c>
      <c r="D1507" s="377">
        <f>IFERROR(SUMPRODUCT((IF('JUNIO 2026'!Y6:Y110&lt;&gt;"",'JUNIO 2026'!Y6:Y110,'JUNIO 2026'!I6:I110)="YERBABUENA")*('JUNIO 2026'!K6:K110="PETROLEO")*'JUNIO 2026'!N6:N110),0)</f>
        <v/>
      </c>
      <c r="E1507" s="377">
        <f>IFERROR(SUMPRODUCT((IF('JUNIO 2026'!Y6:Y110&lt;&gt;"",'JUNIO 2026'!Y6:Y110,'JUNIO 2026'!I6:I110)="YERBABUENA")*('JUNIO 2026'!K6:K110="GASOLINA")*'JUNIO 2026'!M6:M110),0)</f>
        <v/>
      </c>
      <c r="F1507" s="377">
        <f>IFERROR(SUMPRODUCT((IF('JUNIO 2026'!Y6:Y110&lt;&gt;"",'JUNIO 2026'!Y6:Y110,'JUNIO 2026'!I6:I110)="YERBABUENA")*('JUNIO 2026'!K6:K110="GASOLINA")*'JUNIO 2026'!N6:N110),0)</f>
        <v/>
      </c>
    </row>
    <row r="1508" ht="15" customHeight="1" s="195">
      <c r="A1508" s="194" t="inlineStr">
        <is>
          <t>YERBABUENA</t>
        </is>
      </c>
      <c r="B1508" s="194" t="inlineStr">
        <is>
          <t>JULIO 2026</t>
        </is>
      </c>
      <c r="C1508" s="377">
        <f>IFERROR(SUMPRODUCT((IF('JULIO 2026'!Y6:Y110&lt;&gt;"",'JULIO 2026'!Y6:Y110,'JULIO 2026'!I6:I110)="YERBABUENA")*('JULIO 2026'!K6:K110="PETROLEO")*'JULIO 2026'!M6:M110),0)</f>
        <v/>
      </c>
      <c r="D1508" s="377">
        <f>IFERROR(SUMPRODUCT((IF('JULIO 2026'!Y6:Y110&lt;&gt;"",'JULIO 2026'!Y6:Y110,'JULIO 2026'!I6:I110)="YERBABUENA")*('JULIO 2026'!K6:K110="PETROLEO")*'JULIO 2026'!N6:N110),0)</f>
        <v/>
      </c>
      <c r="E1508" s="377">
        <f>IFERROR(SUMPRODUCT((IF('JULIO 2026'!Y6:Y110&lt;&gt;"",'JULIO 2026'!Y6:Y110,'JULIO 2026'!I6:I110)="YERBABUENA")*('JULIO 2026'!K6:K110="GASOLINA")*'JULIO 2026'!M6:M110),0)</f>
        <v/>
      </c>
      <c r="F1508" s="377">
        <f>IFERROR(SUMPRODUCT((IF('JULIO 2026'!Y6:Y110&lt;&gt;"",'JULIO 2026'!Y6:Y110,'JULIO 2026'!I6:I110)="YERBABUENA")*('JULIO 2026'!K6:K110="GASOLINA")*'JULIO 2026'!N6:N110),0)</f>
        <v/>
      </c>
    </row>
    <row r="1509" ht="15" customHeight="1" s="195">
      <c r="A1509" s="194" t="inlineStr">
        <is>
          <t>YERBABUENA</t>
        </is>
      </c>
      <c r="B1509" s="194" t="inlineStr">
        <is>
          <t>AGOSTO 2026</t>
        </is>
      </c>
      <c r="C1509" s="377">
        <f>IFERROR(SUMPRODUCT((IF('AGOSTO 2026'!Y6:Y110&lt;&gt;"",'AGOSTO 2026'!Y6:Y110,'AGOSTO 2026'!I6:I110)="YERBABUENA")*('AGOSTO 2026'!K6:K110="PETROLEO")*'AGOSTO 2026'!M6:M110),0)</f>
        <v/>
      </c>
      <c r="D1509" s="377">
        <f>IFERROR(SUMPRODUCT((IF('AGOSTO 2026'!Y6:Y110&lt;&gt;"",'AGOSTO 2026'!Y6:Y110,'AGOSTO 2026'!I6:I110)="YERBABUENA")*('AGOSTO 2026'!K6:K110="PETROLEO")*'AGOSTO 2026'!N6:N110),0)</f>
        <v/>
      </c>
      <c r="E1509" s="377">
        <f>IFERROR(SUMPRODUCT((IF('AGOSTO 2026'!Y6:Y110&lt;&gt;"",'AGOSTO 2026'!Y6:Y110,'AGOSTO 2026'!I6:I110)="YERBABUENA")*('AGOSTO 2026'!K6:K110="GASOLINA")*'AGOSTO 2026'!M6:M110),0)</f>
        <v/>
      </c>
      <c r="F1509" s="377">
        <f>IFERROR(SUMPRODUCT((IF('AGOSTO 2026'!Y6:Y110&lt;&gt;"",'AGOSTO 2026'!Y6:Y110,'AGOSTO 2026'!I6:I110)="YERBABUENA")*('AGOSTO 2026'!K6:K110="GASOLINA")*'AGOSTO 2026'!N6:N110),0)</f>
        <v/>
      </c>
    </row>
    <row r="1510" ht="15" customHeight="1" s="195">
      <c r="A1510" s="194" t="inlineStr">
        <is>
          <t>YERBABUENA</t>
        </is>
      </c>
      <c r="B1510" s="194" t="inlineStr">
        <is>
          <t>SETIEMBRE 2026</t>
        </is>
      </c>
      <c r="C1510" s="377">
        <f>IFERROR(SUMPRODUCT((IF('SETIEMBRE 2026'!Y6:Y110&lt;&gt;"",'SETIEMBRE 2026'!Y6:Y110,'SETIEMBRE 2026'!I6:I110)="YERBABUENA")*('SETIEMBRE 2026'!K6:K110="PETROLEO")*'SETIEMBRE 2026'!M6:M110),0)</f>
        <v/>
      </c>
      <c r="D1510" s="377">
        <f>IFERROR(SUMPRODUCT((IF('SETIEMBRE 2026'!Y6:Y110&lt;&gt;"",'SETIEMBRE 2026'!Y6:Y110,'SETIEMBRE 2026'!I6:I110)="YERBABUENA")*('SETIEMBRE 2026'!K6:K110="PETROLEO")*'SETIEMBRE 2026'!N6:N110),0)</f>
        <v/>
      </c>
      <c r="E1510" s="377">
        <f>IFERROR(SUMPRODUCT((IF('SETIEMBRE 2026'!Y6:Y110&lt;&gt;"",'SETIEMBRE 2026'!Y6:Y110,'SETIEMBRE 2026'!I6:I110)="YERBABUENA")*('SETIEMBRE 2026'!K6:K110="GASOLINA")*'SETIEMBRE 2026'!M6:M110),0)</f>
        <v/>
      </c>
      <c r="F1510" s="377">
        <f>IFERROR(SUMPRODUCT((IF('SETIEMBRE 2026'!Y6:Y110&lt;&gt;"",'SETIEMBRE 2026'!Y6:Y110,'SETIEMBRE 2026'!I6:I110)="YERBABUENA")*('SETIEMBRE 2026'!K6:K110="GASOLINA")*'SETIEMBRE 2026'!N6:N110),0)</f>
        <v/>
      </c>
    </row>
    <row r="1511" ht="15" customHeight="1" s="195">
      <c r="A1511" s="194" t="inlineStr">
        <is>
          <t>YERBABUENA</t>
        </is>
      </c>
      <c r="B1511" s="194" t="inlineStr">
        <is>
          <t>OCTUBRE 2026</t>
        </is>
      </c>
      <c r="C1511" s="377">
        <f>IFERROR(SUMPRODUCT((IF('OCTUBRE 2026'!Y6:Y110&lt;&gt;"",'OCTUBRE 2026'!Y6:Y110,'OCTUBRE 2026'!I6:I110)="YERBABUENA")*('OCTUBRE 2026'!K6:K110="PETROLEO")*'OCTUBRE 2026'!M6:M110),0)</f>
        <v/>
      </c>
      <c r="D1511" s="377">
        <f>IFERROR(SUMPRODUCT((IF('OCTUBRE 2026'!Y6:Y110&lt;&gt;"",'OCTUBRE 2026'!Y6:Y110,'OCTUBRE 2026'!I6:I110)="YERBABUENA")*('OCTUBRE 2026'!K6:K110="PETROLEO")*'OCTUBRE 2026'!N6:N110),0)</f>
        <v/>
      </c>
      <c r="E1511" s="377">
        <f>IFERROR(SUMPRODUCT((IF('OCTUBRE 2026'!Y6:Y110&lt;&gt;"",'OCTUBRE 2026'!Y6:Y110,'OCTUBRE 2026'!I6:I110)="YERBABUENA")*('OCTUBRE 2026'!K6:K110="GASOLINA")*'OCTUBRE 2026'!M6:M110),0)</f>
        <v/>
      </c>
      <c r="F1511" s="377">
        <f>IFERROR(SUMPRODUCT((IF('OCTUBRE 2026'!Y6:Y110&lt;&gt;"",'OCTUBRE 2026'!Y6:Y110,'OCTUBRE 2026'!I6:I110)="YERBABUENA")*('OCTUBRE 2026'!K6:K110="GASOLINA")*'OCTUBRE 2026'!N6:N110),0)</f>
        <v/>
      </c>
    </row>
    <row r="1512" ht="15" customHeight="1" s="195">
      <c r="A1512" s="194" t="inlineStr">
        <is>
          <t>YERBABUENA</t>
        </is>
      </c>
      <c r="B1512" s="194" t="inlineStr">
        <is>
          <t>NOVIEMBRE 2026</t>
        </is>
      </c>
      <c r="C1512" s="377">
        <f>IFERROR(SUMPRODUCT((IF('NOVIEMBRE 2026'!Y6:Y110&lt;&gt;"",'NOVIEMBRE 2026'!Y6:Y110,'NOVIEMBRE 2026'!I6:I110)="YERBABUENA")*('NOVIEMBRE 2026'!K6:K110="PETROLEO")*'NOVIEMBRE 2026'!M6:M110),0)</f>
        <v/>
      </c>
      <c r="D1512" s="377">
        <f>IFERROR(SUMPRODUCT((IF('NOVIEMBRE 2026'!Y6:Y110&lt;&gt;"",'NOVIEMBRE 2026'!Y6:Y110,'NOVIEMBRE 2026'!I6:I110)="YERBABUENA")*('NOVIEMBRE 2026'!K6:K110="PETROLEO")*'NOVIEMBRE 2026'!N6:N110),0)</f>
        <v/>
      </c>
      <c r="E1512" s="377">
        <f>IFERROR(SUMPRODUCT((IF('NOVIEMBRE 2026'!Y6:Y110&lt;&gt;"",'NOVIEMBRE 2026'!Y6:Y110,'NOVIEMBRE 2026'!I6:I110)="YERBABUENA")*('NOVIEMBRE 2026'!K6:K110="GASOLINA")*'NOVIEMBRE 2026'!M6:M110),0)</f>
        <v/>
      </c>
      <c r="F1512" s="377">
        <f>IFERROR(SUMPRODUCT((IF('NOVIEMBRE 2026'!Y6:Y110&lt;&gt;"",'NOVIEMBRE 2026'!Y6:Y110,'NOVIEMBRE 2026'!I6:I110)="YERBABUENA")*('NOVIEMBRE 2026'!K6:K110="GASOLINA")*'NOVIEMBRE 2026'!N6:N110),0)</f>
        <v/>
      </c>
    </row>
    <row r="1513" ht="15" customHeight="1" s="195">
      <c r="A1513" s="194" t="inlineStr">
        <is>
          <t>YERBABUENA</t>
        </is>
      </c>
      <c r="B1513" s="194" t="inlineStr">
        <is>
          <t>DICIEMBRE 2026</t>
        </is>
      </c>
      <c r="C1513" s="377">
        <f>IFERROR(SUMPRODUCT((IF('DICIEMBRE 2026'!Y6:Y110&lt;&gt;"",'DICIEMBRE 2026'!Y6:Y110,'DICIEMBRE 2026'!I6:I110)="YERBABUENA")*('DICIEMBRE 2026'!K6:K110="PETROLEO")*'DICIEMBRE 2026'!M6:M110),0)</f>
        <v/>
      </c>
      <c r="D1513" s="377">
        <f>IFERROR(SUMPRODUCT((IF('DICIEMBRE 2026'!Y6:Y110&lt;&gt;"",'DICIEMBRE 2026'!Y6:Y110,'DICIEMBRE 2026'!I6:I110)="YERBABUENA")*('DICIEMBRE 2026'!K6:K110="PETROLEO")*'DICIEMBRE 2026'!N6:N110),0)</f>
        <v/>
      </c>
      <c r="E1513" s="377">
        <f>IFERROR(SUMPRODUCT((IF('DICIEMBRE 2026'!Y6:Y110&lt;&gt;"",'DICIEMBRE 2026'!Y6:Y110,'DICIEMBRE 2026'!I6:I110)="YERBABUENA")*('DICIEMBRE 2026'!K6:K110="GASOLINA")*'DICIEMBRE 2026'!M6:M110),0)</f>
        <v/>
      </c>
      <c r="F1513" s="377">
        <f>IFERROR(SUMPRODUCT((IF('DICIEMBRE 2026'!Y6:Y110&lt;&gt;"",'DICIEMBRE 2026'!Y6:Y110,'DICIEMBRE 2026'!I6:I110)="YERBABUENA")*('DICIEMBRE 2026'!K6:K110="GASOLINA")*'DICIEMBRE 2026'!N6:N110),0)</f>
        <v/>
      </c>
    </row>
    <row r="1514" ht="15" customHeight="1" s="195">
      <c r="A1514" s="194" t="inlineStr">
        <is>
          <t>ZARUMILLA</t>
        </is>
      </c>
      <c r="B1514" s="194" t="inlineStr">
        <is>
          <t>ENERO 2026</t>
        </is>
      </c>
      <c r="C1514" s="377">
        <f>IFERROR(SUMPRODUCT((IF('ENERO 2026'!Y6:Y119&lt;&gt;"",'ENERO 2026'!Y6:Y119,'ENERO 2026'!I6:I119)="ZARUMILLA")*('ENERO 2026'!K6:K119="PETROLEO")*'ENERO 2026'!M6:M119),0)</f>
        <v/>
      </c>
      <c r="D1514" s="377">
        <f>IFERROR(SUMPRODUCT((IF('ENERO 2026'!Y6:Y119&lt;&gt;"",'ENERO 2026'!Y6:Y119,'ENERO 2026'!I6:I119)="ZARUMILLA")*('ENERO 2026'!K6:K119="PETROLEO")*'ENERO 2026'!N6:N119),0)</f>
        <v/>
      </c>
      <c r="E1514" s="377">
        <f>IFERROR(SUMPRODUCT((IF('ENERO 2026'!Y6:Y119&lt;&gt;"",'ENERO 2026'!Y6:Y119,'ENERO 2026'!I6:I119)="ZARUMILLA")*('ENERO 2026'!K6:K119="GASOLINA")*'ENERO 2026'!M6:M119),0)</f>
        <v/>
      </c>
      <c r="F1514" s="377">
        <f>IFERROR(SUMPRODUCT((IF('ENERO 2026'!Y6:Y119&lt;&gt;"",'ENERO 2026'!Y6:Y119,'ENERO 2026'!I6:I119)="ZARUMILLA")*('ENERO 2026'!K6:K119="GASOLINA")*'ENERO 2026'!N6:N119),0)</f>
        <v/>
      </c>
    </row>
    <row r="1515" ht="15" customHeight="1" s="195">
      <c r="A1515" s="194" t="inlineStr">
        <is>
          <t>ZARUMILLA</t>
        </is>
      </c>
      <c r="B1515" s="194" t="inlineStr">
        <is>
          <t>FEBRERO 2026</t>
        </is>
      </c>
      <c r="C1515" s="377">
        <f>IFERROR(SUMPRODUCT((IF('FEBRERO 2026'!Y6:Y124&lt;&gt;"",'FEBRERO 2026'!Y6:Y124,'FEBRERO 2026'!I6:I124)="ZARUMILLA")*('FEBRERO 2026'!K6:K124="PETROLEO")*'FEBRERO 2026'!M6:M124),0)</f>
        <v/>
      </c>
      <c r="D1515" s="377">
        <f>IFERROR(SUMPRODUCT((IF('FEBRERO 2026'!Y6:Y124&lt;&gt;"",'FEBRERO 2026'!Y6:Y124,'FEBRERO 2026'!I6:I124)="ZARUMILLA")*('FEBRERO 2026'!K6:K124="PETROLEO")*'FEBRERO 2026'!N6:N124),0)</f>
        <v/>
      </c>
      <c r="E1515" s="377">
        <f>IFERROR(SUMPRODUCT((IF('FEBRERO 2026'!Y6:Y124&lt;&gt;"",'FEBRERO 2026'!Y6:Y124,'FEBRERO 2026'!I6:I124)="ZARUMILLA")*('FEBRERO 2026'!K6:K124="GASOLINA")*'FEBRERO 2026'!M6:M124),0)</f>
        <v/>
      </c>
      <c r="F1515" s="377">
        <f>IFERROR(SUMPRODUCT((IF('FEBRERO 2026'!Y6:Y124&lt;&gt;"",'FEBRERO 2026'!Y6:Y124,'FEBRERO 2026'!I6:I124)="ZARUMILLA")*('FEBRERO 2026'!K6:K124="GASOLINA")*'FEBRERO 2026'!N6:N124),0)</f>
        <v/>
      </c>
    </row>
    <row r="1516" ht="15" customHeight="1" s="195">
      <c r="A1516" s="194" t="inlineStr">
        <is>
          <t>ZARUMILLA</t>
        </is>
      </c>
      <c r="B1516" s="194" t="inlineStr">
        <is>
          <t>MARZO 2026</t>
        </is>
      </c>
      <c r="C1516" s="377">
        <f>IFERROR(SUMPRODUCT((IF('MARZO 2026'!Y6:Y119&lt;&gt;"",'MARZO 2026'!Y6:Y119,'MARZO 2026'!I6:I119)="ZARUMILLA")*('MARZO 2026'!K6:K119="PETROLEO")*'MARZO 2026'!M6:M119),0)</f>
        <v/>
      </c>
      <c r="D1516" s="377">
        <f>IFERROR(SUMPRODUCT((IF('MARZO 2026'!Y6:Y119&lt;&gt;"",'MARZO 2026'!Y6:Y119,'MARZO 2026'!I6:I119)="ZARUMILLA")*('MARZO 2026'!K6:K119="PETROLEO")*'MARZO 2026'!N6:N119),0)</f>
        <v/>
      </c>
      <c r="E1516" s="377">
        <f>IFERROR(SUMPRODUCT((IF('MARZO 2026'!Y6:Y119&lt;&gt;"",'MARZO 2026'!Y6:Y119,'MARZO 2026'!I6:I119)="ZARUMILLA")*('MARZO 2026'!K6:K119="GASOLINA")*'MARZO 2026'!M6:M119),0)</f>
        <v/>
      </c>
      <c r="F1516" s="377">
        <f>IFERROR(SUMPRODUCT((IF('MARZO 2026'!Y6:Y119&lt;&gt;"",'MARZO 2026'!Y6:Y119,'MARZO 2026'!I6:I119)="ZARUMILLA")*('MARZO 2026'!K6:K119="GASOLINA")*'MARZO 2026'!N6:N119),0)</f>
        <v/>
      </c>
    </row>
    <row r="1517" ht="15" customHeight="1" s="195">
      <c r="A1517" s="194" t="inlineStr">
        <is>
          <t>ZARUMILLA</t>
        </is>
      </c>
      <c r="B1517" s="194" t="inlineStr">
        <is>
          <t>ABRIL 2026</t>
        </is>
      </c>
      <c r="C1517" s="377">
        <f>IFERROR(SUMPRODUCT((IF('ABRIL 2026'!Y6:Y119&lt;&gt;"",'ABRIL 2026'!Y6:Y119,'ABRIL 2026'!I6:I119)="ZARUMILLA")*('ABRIL 2026'!K6:K119="PETROLEO")*'ABRIL 2026'!M6:M119),0)</f>
        <v/>
      </c>
      <c r="D1517" s="377">
        <f>IFERROR(SUMPRODUCT((IF('ABRIL 2026'!Y6:Y119&lt;&gt;"",'ABRIL 2026'!Y6:Y119,'ABRIL 2026'!I6:I119)="ZARUMILLA")*('ABRIL 2026'!K6:K119="PETROLEO")*'ABRIL 2026'!N6:N119),0)</f>
        <v/>
      </c>
      <c r="E1517" s="377">
        <f>IFERROR(SUMPRODUCT((IF('ABRIL 2026'!Y6:Y119&lt;&gt;"",'ABRIL 2026'!Y6:Y119,'ABRIL 2026'!I6:I119)="ZARUMILLA")*('ABRIL 2026'!K6:K119="GASOLINA")*'ABRIL 2026'!M6:M119),0)</f>
        <v/>
      </c>
      <c r="F1517" s="377">
        <f>IFERROR(SUMPRODUCT((IF('ABRIL 2026'!Y6:Y119&lt;&gt;"",'ABRIL 2026'!Y6:Y119,'ABRIL 2026'!I6:I119)="ZARUMILLA")*('ABRIL 2026'!K6:K119="GASOLINA")*'ABRIL 2026'!N6:N119),0)</f>
        <v/>
      </c>
    </row>
    <row r="1518" ht="15" customHeight="1" s="195">
      <c r="A1518" s="194" t="inlineStr">
        <is>
          <t>ZARUMILLA</t>
        </is>
      </c>
      <c r="B1518" s="194" t="inlineStr">
        <is>
          <t>MAYO 2026</t>
        </is>
      </c>
      <c r="C1518" s="377">
        <f>IFERROR(SUMPRODUCT((IF('MAYO 2026'!Y6:Y110&lt;&gt;"",'MAYO 2026'!Y6:Y110,'MAYO 2026'!I6:I110)="ZARUMILLA")*('MAYO 2026'!K6:K110="PETROLEO")*'MAYO 2026'!M6:M110),0)</f>
        <v/>
      </c>
      <c r="D1518" s="377">
        <f>IFERROR(SUMPRODUCT((IF('MAYO 2026'!Y6:Y110&lt;&gt;"",'MAYO 2026'!Y6:Y110,'MAYO 2026'!I6:I110)="ZARUMILLA")*('MAYO 2026'!K6:K110="PETROLEO")*'MAYO 2026'!N6:N110),0)</f>
        <v/>
      </c>
      <c r="E1518" s="377">
        <f>IFERROR(SUMPRODUCT((IF('MAYO 2026'!Y6:Y110&lt;&gt;"",'MAYO 2026'!Y6:Y110,'MAYO 2026'!I6:I110)="ZARUMILLA")*('MAYO 2026'!K6:K110="GASOLINA")*'MAYO 2026'!M6:M110),0)</f>
        <v/>
      </c>
      <c r="F1518" s="377">
        <f>IFERROR(SUMPRODUCT((IF('MAYO 2026'!Y6:Y110&lt;&gt;"",'MAYO 2026'!Y6:Y110,'MAYO 2026'!I6:I110)="ZARUMILLA")*('MAYO 2026'!K6:K110="GASOLINA")*'MAYO 2026'!N6:N110),0)</f>
        <v/>
      </c>
    </row>
    <row r="1519" ht="15" customHeight="1" s="195">
      <c r="A1519" s="194" t="inlineStr">
        <is>
          <t>ZARUMILLA</t>
        </is>
      </c>
      <c r="B1519" s="194" t="inlineStr">
        <is>
          <t>JUNIO 2026</t>
        </is>
      </c>
      <c r="C1519" s="377">
        <f>IFERROR(SUMPRODUCT((IF('JUNIO 2026'!Y6:Y110&lt;&gt;"",'JUNIO 2026'!Y6:Y110,'JUNIO 2026'!I6:I110)="ZARUMILLA")*('JUNIO 2026'!K6:K110="PETROLEO")*'JUNIO 2026'!M6:M110),0)</f>
        <v/>
      </c>
      <c r="D1519" s="377">
        <f>IFERROR(SUMPRODUCT((IF('JUNIO 2026'!Y6:Y110&lt;&gt;"",'JUNIO 2026'!Y6:Y110,'JUNIO 2026'!I6:I110)="ZARUMILLA")*('JUNIO 2026'!K6:K110="PETROLEO")*'JUNIO 2026'!N6:N110),0)</f>
        <v/>
      </c>
      <c r="E1519" s="377">
        <f>IFERROR(SUMPRODUCT((IF('JUNIO 2026'!Y6:Y110&lt;&gt;"",'JUNIO 2026'!Y6:Y110,'JUNIO 2026'!I6:I110)="ZARUMILLA")*('JUNIO 2026'!K6:K110="GASOLINA")*'JUNIO 2026'!M6:M110),0)</f>
        <v/>
      </c>
      <c r="F1519" s="377">
        <f>IFERROR(SUMPRODUCT((IF('JUNIO 2026'!Y6:Y110&lt;&gt;"",'JUNIO 2026'!Y6:Y110,'JUNIO 2026'!I6:I110)="ZARUMILLA")*('JUNIO 2026'!K6:K110="GASOLINA")*'JUNIO 2026'!N6:N110),0)</f>
        <v/>
      </c>
    </row>
    <row r="1520" ht="15" customHeight="1" s="195">
      <c r="A1520" s="194" t="inlineStr">
        <is>
          <t>ZARUMILLA</t>
        </is>
      </c>
      <c r="B1520" s="194" t="inlineStr">
        <is>
          <t>JULIO 2026</t>
        </is>
      </c>
      <c r="C1520" s="377">
        <f>IFERROR(SUMPRODUCT((IF('JULIO 2026'!Y6:Y110&lt;&gt;"",'JULIO 2026'!Y6:Y110,'JULIO 2026'!I6:I110)="ZARUMILLA")*('JULIO 2026'!K6:K110="PETROLEO")*'JULIO 2026'!M6:M110),0)</f>
        <v/>
      </c>
      <c r="D1520" s="377">
        <f>IFERROR(SUMPRODUCT((IF('JULIO 2026'!Y6:Y110&lt;&gt;"",'JULIO 2026'!Y6:Y110,'JULIO 2026'!I6:I110)="ZARUMILLA")*('JULIO 2026'!K6:K110="PETROLEO")*'JULIO 2026'!N6:N110),0)</f>
        <v/>
      </c>
      <c r="E1520" s="377">
        <f>IFERROR(SUMPRODUCT((IF('JULIO 2026'!Y6:Y110&lt;&gt;"",'JULIO 2026'!Y6:Y110,'JULIO 2026'!I6:I110)="ZARUMILLA")*('JULIO 2026'!K6:K110="GASOLINA")*'JULIO 2026'!M6:M110),0)</f>
        <v/>
      </c>
      <c r="F1520" s="377">
        <f>IFERROR(SUMPRODUCT((IF('JULIO 2026'!Y6:Y110&lt;&gt;"",'JULIO 2026'!Y6:Y110,'JULIO 2026'!I6:I110)="ZARUMILLA")*('JULIO 2026'!K6:K110="GASOLINA")*'JULIO 2026'!N6:N110),0)</f>
        <v/>
      </c>
    </row>
    <row r="1521" ht="15" customHeight="1" s="195">
      <c r="A1521" s="194" t="inlineStr">
        <is>
          <t>ZARUMILLA</t>
        </is>
      </c>
      <c r="B1521" s="194" t="inlineStr">
        <is>
          <t>AGOSTO 2026</t>
        </is>
      </c>
      <c r="C1521" s="377">
        <f>IFERROR(SUMPRODUCT((IF('AGOSTO 2026'!Y6:Y110&lt;&gt;"",'AGOSTO 2026'!Y6:Y110,'AGOSTO 2026'!I6:I110)="ZARUMILLA")*('AGOSTO 2026'!K6:K110="PETROLEO")*'AGOSTO 2026'!M6:M110),0)</f>
        <v/>
      </c>
      <c r="D1521" s="377">
        <f>IFERROR(SUMPRODUCT((IF('AGOSTO 2026'!Y6:Y110&lt;&gt;"",'AGOSTO 2026'!Y6:Y110,'AGOSTO 2026'!I6:I110)="ZARUMILLA")*('AGOSTO 2026'!K6:K110="PETROLEO")*'AGOSTO 2026'!N6:N110),0)</f>
        <v/>
      </c>
      <c r="E1521" s="377">
        <f>IFERROR(SUMPRODUCT((IF('AGOSTO 2026'!Y6:Y110&lt;&gt;"",'AGOSTO 2026'!Y6:Y110,'AGOSTO 2026'!I6:I110)="ZARUMILLA")*('AGOSTO 2026'!K6:K110="GASOLINA")*'AGOSTO 2026'!M6:M110),0)</f>
        <v/>
      </c>
      <c r="F1521" s="377">
        <f>IFERROR(SUMPRODUCT((IF('AGOSTO 2026'!Y6:Y110&lt;&gt;"",'AGOSTO 2026'!Y6:Y110,'AGOSTO 2026'!I6:I110)="ZARUMILLA")*('AGOSTO 2026'!K6:K110="GASOLINA")*'AGOSTO 2026'!N6:N110),0)</f>
        <v/>
      </c>
    </row>
    <row r="1522" ht="15" customHeight="1" s="195">
      <c r="A1522" s="194" t="inlineStr">
        <is>
          <t>ZARUMILLA</t>
        </is>
      </c>
      <c r="B1522" s="194" t="inlineStr">
        <is>
          <t>SETIEMBRE 2026</t>
        </is>
      </c>
      <c r="C1522" s="377">
        <f>IFERROR(SUMPRODUCT((IF('SETIEMBRE 2026'!Y6:Y110&lt;&gt;"",'SETIEMBRE 2026'!Y6:Y110,'SETIEMBRE 2026'!I6:I110)="ZARUMILLA")*('SETIEMBRE 2026'!K6:K110="PETROLEO")*'SETIEMBRE 2026'!M6:M110),0)</f>
        <v/>
      </c>
      <c r="D1522" s="377">
        <f>IFERROR(SUMPRODUCT((IF('SETIEMBRE 2026'!Y6:Y110&lt;&gt;"",'SETIEMBRE 2026'!Y6:Y110,'SETIEMBRE 2026'!I6:I110)="ZARUMILLA")*('SETIEMBRE 2026'!K6:K110="PETROLEO")*'SETIEMBRE 2026'!N6:N110),0)</f>
        <v/>
      </c>
      <c r="E1522" s="377">
        <f>IFERROR(SUMPRODUCT((IF('SETIEMBRE 2026'!Y6:Y110&lt;&gt;"",'SETIEMBRE 2026'!Y6:Y110,'SETIEMBRE 2026'!I6:I110)="ZARUMILLA")*('SETIEMBRE 2026'!K6:K110="GASOLINA")*'SETIEMBRE 2026'!M6:M110),0)</f>
        <v/>
      </c>
      <c r="F1522" s="377">
        <f>IFERROR(SUMPRODUCT((IF('SETIEMBRE 2026'!Y6:Y110&lt;&gt;"",'SETIEMBRE 2026'!Y6:Y110,'SETIEMBRE 2026'!I6:I110)="ZARUMILLA")*('SETIEMBRE 2026'!K6:K110="GASOLINA")*'SETIEMBRE 2026'!N6:N110),0)</f>
        <v/>
      </c>
    </row>
    <row r="1523" ht="15" customHeight="1" s="195">
      <c r="A1523" s="194" t="inlineStr">
        <is>
          <t>ZARUMILLA</t>
        </is>
      </c>
      <c r="B1523" s="194" t="inlineStr">
        <is>
          <t>OCTUBRE 2026</t>
        </is>
      </c>
      <c r="C1523" s="377">
        <f>IFERROR(SUMPRODUCT((IF('OCTUBRE 2026'!Y6:Y110&lt;&gt;"",'OCTUBRE 2026'!Y6:Y110,'OCTUBRE 2026'!I6:I110)="ZARUMILLA")*('OCTUBRE 2026'!K6:K110="PETROLEO")*'OCTUBRE 2026'!M6:M110),0)</f>
        <v/>
      </c>
      <c r="D1523" s="377">
        <f>IFERROR(SUMPRODUCT((IF('OCTUBRE 2026'!Y6:Y110&lt;&gt;"",'OCTUBRE 2026'!Y6:Y110,'OCTUBRE 2026'!I6:I110)="ZARUMILLA")*('OCTUBRE 2026'!K6:K110="PETROLEO")*'OCTUBRE 2026'!N6:N110),0)</f>
        <v/>
      </c>
      <c r="E1523" s="377">
        <f>IFERROR(SUMPRODUCT((IF('OCTUBRE 2026'!Y6:Y110&lt;&gt;"",'OCTUBRE 2026'!Y6:Y110,'OCTUBRE 2026'!I6:I110)="ZARUMILLA")*('OCTUBRE 2026'!K6:K110="GASOLINA")*'OCTUBRE 2026'!M6:M110),0)</f>
        <v/>
      </c>
      <c r="F1523" s="377">
        <f>IFERROR(SUMPRODUCT((IF('OCTUBRE 2026'!Y6:Y110&lt;&gt;"",'OCTUBRE 2026'!Y6:Y110,'OCTUBRE 2026'!I6:I110)="ZARUMILLA")*('OCTUBRE 2026'!K6:K110="GASOLINA")*'OCTUBRE 2026'!N6:N110),0)</f>
        <v/>
      </c>
    </row>
    <row r="1524" ht="15" customHeight="1" s="195">
      <c r="A1524" s="194" t="inlineStr">
        <is>
          <t>ZARUMILLA</t>
        </is>
      </c>
      <c r="B1524" s="194" t="inlineStr">
        <is>
          <t>NOVIEMBRE 2026</t>
        </is>
      </c>
      <c r="C1524" s="377">
        <f>IFERROR(SUMPRODUCT((IF('NOVIEMBRE 2026'!Y6:Y110&lt;&gt;"",'NOVIEMBRE 2026'!Y6:Y110,'NOVIEMBRE 2026'!I6:I110)="ZARUMILLA")*('NOVIEMBRE 2026'!K6:K110="PETROLEO")*'NOVIEMBRE 2026'!M6:M110),0)</f>
        <v/>
      </c>
      <c r="D1524" s="377">
        <f>IFERROR(SUMPRODUCT((IF('NOVIEMBRE 2026'!Y6:Y110&lt;&gt;"",'NOVIEMBRE 2026'!Y6:Y110,'NOVIEMBRE 2026'!I6:I110)="ZARUMILLA")*('NOVIEMBRE 2026'!K6:K110="PETROLEO")*'NOVIEMBRE 2026'!N6:N110),0)</f>
        <v/>
      </c>
      <c r="E1524" s="377">
        <f>IFERROR(SUMPRODUCT((IF('NOVIEMBRE 2026'!Y6:Y110&lt;&gt;"",'NOVIEMBRE 2026'!Y6:Y110,'NOVIEMBRE 2026'!I6:I110)="ZARUMILLA")*('NOVIEMBRE 2026'!K6:K110="GASOLINA")*'NOVIEMBRE 2026'!M6:M110),0)</f>
        <v/>
      </c>
      <c r="F1524" s="377">
        <f>IFERROR(SUMPRODUCT((IF('NOVIEMBRE 2026'!Y6:Y110&lt;&gt;"",'NOVIEMBRE 2026'!Y6:Y110,'NOVIEMBRE 2026'!I6:I110)="ZARUMILLA")*('NOVIEMBRE 2026'!K6:K110="GASOLINA")*'NOVIEMBRE 2026'!N6:N110),0)</f>
        <v/>
      </c>
    </row>
    <row r="1525" ht="15" customHeight="1" s="195">
      <c r="A1525" s="194" t="inlineStr">
        <is>
          <t>ZARUMILLA</t>
        </is>
      </c>
      <c r="B1525" s="194" t="inlineStr">
        <is>
          <t>DICIEMBRE 2026</t>
        </is>
      </c>
      <c r="C1525" s="377">
        <f>IFERROR(SUMPRODUCT((IF('DICIEMBRE 2026'!Y6:Y110&lt;&gt;"",'DICIEMBRE 2026'!Y6:Y110,'DICIEMBRE 2026'!I6:I110)="ZARUMILLA")*('DICIEMBRE 2026'!K6:K110="PETROLEO")*'DICIEMBRE 2026'!M6:M110),0)</f>
        <v/>
      </c>
      <c r="D1525" s="377">
        <f>IFERROR(SUMPRODUCT((IF('DICIEMBRE 2026'!Y6:Y110&lt;&gt;"",'DICIEMBRE 2026'!Y6:Y110,'DICIEMBRE 2026'!I6:I110)="ZARUMILLA")*('DICIEMBRE 2026'!K6:K110="PETROLEO")*'DICIEMBRE 2026'!N6:N110),0)</f>
        <v/>
      </c>
      <c r="E1525" s="377">
        <f>IFERROR(SUMPRODUCT((IF('DICIEMBRE 2026'!Y6:Y110&lt;&gt;"",'DICIEMBRE 2026'!Y6:Y110,'DICIEMBRE 2026'!I6:I110)="ZARUMILLA")*('DICIEMBRE 2026'!K6:K110="GASOLINA")*'DICIEMBRE 2026'!M6:M110),0)</f>
        <v/>
      </c>
      <c r="F1525" s="377">
        <f>IFERROR(SUMPRODUCT((IF('DICIEMBRE 2026'!Y6:Y110&lt;&gt;"",'DICIEMBRE 2026'!Y6:Y110,'DICIEMBRE 2026'!I6:I110)="ZARUMILLA")*('DICIEMBRE 2026'!K6:K110="GASOLINA")*'DICIEMBRE 2026'!N6:N110),0)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Z2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100" customWidth="1" style="194" min="1" max="1"/>
    <col width="80" customWidth="1" style="194" min="2" max="2"/>
    <col width="8.710000000000001" customWidth="1" style="194" min="3" max="6"/>
  </cols>
  <sheetData>
    <row r="1" ht="30" customHeight="1" s="195">
      <c r="A1" s="283" t="inlineStr">
        <is>
          <t>CODIGO APPS SCRIPT — Copiar y pegar en Extensiones → Apps Script</t>
        </is>
      </c>
      <c r="G1" s="194" t="n"/>
      <c r="H1" s="194" t="n"/>
      <c r="I1" s="194" t="n"/>
      <c r="J1" s="194" t="n"/>
      <c r="K1" s="194" t="n"/>
      <c r="L1" s="194" t="n"/>
      <c r="M1" s="194" t="n"/>
      <c r="N1" s="194" t="n"/>
      <c r="O1" s="194" t="n"/>
      <c r="P1" s="194" t="n"/>
      <c r="Q1" s="194" t="n"/>
      <c r="R1" s="194" t="n"/>
      <c r="S1" s="194" t="n"/>
      <c r="T1" s="194" t="n"/>
      <c r="U1" s="194" t="n"/>
      <c r="V1" s="194" t="n"/>
      <c r="W1" s="194" t="n"/>
      <c r="X1" s="194" t="n"/>
      <c r="Y1" s="194" t="n"/>
      <c r="Z1" s="194" t="n"/>
    </row>
    <row r="2" ht="18" customHeight="1" s="195">
      <c r="A2" s="378" t="inlineStr">
        <is>
          <t>PASO 1: Con el archivo abierto en Google Sheets, ve al menú: Extensiones → Apps Script</t>
        </is>
      </c>
      <c r="B2" s="378" t="n"/>
      <c r="G2" s="194" t="n"/>
      <c r="H2" s="194" t="n"/>
      <c r="I2" s="194" t="n"/>
      <c r="J2" s="194" t="n"/>
      <c r="K2" s="194" t="n"/>
      <c r="L2" s="194" t="n"/>
      <c r="M2" s="194" t="n"/>
      <c r="N2" s="194" t="n"/>
      <c r="O2" s="194" t="n"/>
      <c r="P2" s="194" t="n"/>
      <c r="Q2" s="194" t="n"/>
      <c r="R2" s="194" t="n"/>
      <c r="S2" s="194" t="n"/>
      <c r="T2" s="194" t="n"/>
      <c r="U2" s="194" t="n"/>
      <c r="V2" s="194" t="n"/>
      <c r="W2" s="194" t="n"/>
      <c r="X2" s="194" t="n"/>
      <c r="Y2" s="194" t="n"/>
      <c r="Z2" s="194" t="n"/>
    </row>
    <row r="3" ht="18" customHeight="1" s="195">
      <c r="A3" s="378" t="inlineStr">
        <is>
          <t>PASO 2: Se abre el editor. Borra TODO lo que haya y pega el código de abajo</t>
        </is>
      </c>
      <c r="B3" s="378" t="n"/>
      <c r="G3" s="194" t="n"/>
      <c r="H3" s="194" t="n"/>
      <c r="I3" s="194" t="n"/>
      <c r="J3" s="194" t="n"/>
      <c r="K3" s="194" t="n"/>
      <c r="L3" s="194" t="n"/>
      <c r="M3" s="194" t="n"/>
      <c r="N3" s="194" t="n"/>
      <c r="O3" s="194" t="n"/>
      <c r="P3" s="194" t="n"/>
      <c r="Q3" s="194" t="n"/>
      <c r="R3" s="194" t="n"/>
      <c r="S3" s="194" t="n"/>
      <c r="T3" s="194" t="n"/>
      <c r="U3" s="194" t="n"/>
      <c r="V3" s="194" t="n"/>
      <c r="W3" s="194" t="n"/>
      <c r="X3" s="194" t="n"/>
      <c r="Y3" s="194" t="n"/>
      <c r="Z3" s="194" t="n"/>
    </row>
    <row r="4" ht="18" customHeight="1" s="195">
      <c r="A4" s="378" t="inlineStr">
        <is>
          <t>PASO 3: Presiona Ctrl+S para guardar</t>
        </is>
      </c>
      <c r="B4" s="378" t="n"/>
      <c r="G4" s="194" t="n"/>
      <c r="H4" s="194" t="n"/>
      <c r="I4" s="194" t="n"/>
      <c r="J4" s="194" t="n"/>
      <c r="K4" s="194" t="n"/>
      <c r="L4" s="194" t="n"/>
      <c r="M4" s="194" t="n"/>
      <c r="N4" s="194" t="n"/>
      <c r="O4" s="194" t="n"/>
      <c r="P4" s="194" t="n"/>
      <c r="Q4" s="194" t="n"/>
      <c r="R4" s="194" t="n"/>
      <c r="S4" s="194" t="n"/>
      <c r="T4" s="194" t="n"/>
      <c r="U4" s="194" t="n"/>
      <c r="V4" s="194" t="n"/>
      <c r="W4" s="194" t="n"/>
      <c r="X4" s="194" t="n"/>
      <c r="Y4" s="194" t="n"/>
      <c r="Z4" s="194" t="n"/>
    </row>
    <row r="5" ht="18" customHeight="1" s="195">
      <c r="A5" s="378" t="inlineStr">
        <is>
          <t>PASO 4: Cierra el editor y vuelve al Sheets</t>
        </is>
      </c>
      <c r="B5" s="378" t="n"/>
      <c r="G5" s="194" t="n"/>
      <c r="H5" s="194" t="n"/>
      <c r="I5" s="194" t="n"/>
      <c r="J5" s="194" t="n"/>
      <c r="K5" s="194" t="n"/>
      <c r="L5" s="194" t="n"/>
      <c r="M5" s="194" t="n"/>
      <c r="N5" s="194" t="n"/>
      <c r="O5" s="194" t="n"/>
      <c r="P5" s="194" t="n"/>
      <c r="Q5" s="194" t="n"/>
      <c r="R5" s="194" t="n"/>
      <c r="S5" s="194" t="n"/>
      <c r="T5" s="194" t="n"/>
      <c r="U5" s="194" t="n"/>
      <c r="V5" s="194" t="n"/>
      <c r="W5" s="194" t="n"/>
      <c r="X5" s="194" t="n"/>
      <c r="Y5" s="194" t="n"/>
      <c r="Z5" s="194" t="n"/>
    </row>
    <row r="6" ht="18" customHeight="1" s="195">
      <c r="A6" s="378" t="inlineStr">
        <is>
          <t>PASO 5: La primera vez que cambies E3, puede pedir permiso — acepta todos los permisos</t>
        </is>
      </c>
      <c r="B6" s="378" t="n"/>
      <c r="G6" s="194" t="n"/>
      <c r="H6" s="194" t="n"/>
      <c r="I6" s="194" t="n"/>
      <c r="J6" s="194" t="n"/>
      <c r="K6" s="194" t="n"/>
      <c r="L6" s="194" t="n"/>
      <c r="M6" s="194" t="n"/>
      <c r="N6" s="194" t="n"/>
      <c r="O6" s="194" t="n"/>
      <c r="P6" s="194" t="n"/>
      <c r="Q6" s="194" t="n"/>
      <c r="R6" s="194" t="n"/>
      <c r="S6" s="194" t="n"/>
      <c r="T6" s="194" t="n"/>
      <c r="U6" s="194" t="n"/>
      <c r="V6" s="194" t="n"/>
      <c r="W6" s="194" t="n"/>
      <c r="X6" s="194" t="n"/>
      <c r="Y6" s="194" t="n"/>
      <c r="Z6" s="194" t="n"/>
    </row>
    <row r="7" ht="18" customHeight="1" s="195">
      <c r="A7" s="378" t="inlineStr">
        <is>
          <t>PASO 6: Listo. Al cambiar IPRESS en E3 solo verás esa IPRESS sin filas vacías</t>
        </is>
      </c>
      <c r="G7" s="194" t="n"/>
      <c r="H7" s="194" t="n"/>
      <c r="I7" s="194" t="n"/>
      <c r="J7" s="194" t="n"/>
      <c r="K7" s="194" t="n"/>
      <c r="L7" s="194" t="n"/>
      <c r="M7" s="194" t="n"/>
      <c r="N7" s="194" t="n"/>
      <c r="O7" s="194" t="n"/>
      <c r="P7" s="194" t="n"/>
      <c r="Q7" s="194" t="n"/>
      <c r="R7" s="194" t="n"/>
      <c r="S7" s="194" t="n"/>
      <c r="T7" s="194" t="n"/>
      <c r="U7" s="194" t="n"/>
      <c r="V7" s="194" t="n"/>
      <c r="W7" s="194" t="n"/>
      <c r="X7" s="194" t="n"/>
      <c r="Y7" s="194" t="n"/>
      <c r="Z7" s="194" t="n"/>
    </row>
    <row r="8" ht="18" customHeight="1" s="195">
      <c r="A8" s="378" t="inlineStr">
        <is>
          <t xml:space="preserve">           Si seleccionas '-- TODOS --' verás todos los registros</t>
        </is>
      </c>
      <c r="G8" s="194" t="n"/>
      <c r="H8" s="194" t="n"/>
      <c r="I8" s="194" t="n"/>
      <c r="J8" s="194" t="n"/>
      <c r="K8" s="194" t="n"/>
      <c r="L8" s="194" t="n"/>
      <c r="M8" s="194" t="n"/>
      <c r="N8" s="194" t="n"/>
      <c r="O8" s="194" t="n"/>
      <c r="P8" s="194" t="n"/>
      <c r="Q8" s="194" t="n"/>
      <c r="R8" s="194" t="n"/>
      <c r="S8" s="194" t="n"/>
      <c r="T8" s="194" t="n"/>
      <c r="U8" s="194" t="n"/>
      <c r="V8" s="194" t="n"/>
      <c r="W8" s="194" t="n"/>
      <c r="X8" s="194" t="n"/>
      <c r="Y8" s="194" t="n"/>
      <c r="Z8" s="194" t="n"/>
    </row>
    <row r="9" ht="21.75" customHeight="1" s="195">
      <c r="A9" s="286" t="n"/>
      <c r="G9" s="194" t="n"/>
      <c r="H9" s="194" t="n"/>
      <c r="I9" s="194" t="n"/>
      <c r="J9" s="194" t="n"/>
      <c r="K9" s="194" t="n"/>
      <c r="L9" s="194" t="n"/>
      <c r="M9" s="194" t="n"/>
      <c r="N9" s="194" t="n"/>
      <c r="O9" s="194" t="n"/>
      <c r="P9" s="194" t="n"/>
      <c r="Q9" s="194" t="n"/>
      <c r="R9" s="194" t="n"/>
      <c r="S9" s="194" t="n"/>
      <c r="T9" s="194" t="n"/>
      <c r="U9" s="194" t="n"/>
      <c r="V9" s="194" t="n"/>
      <c r="W9" s="194" t="n"/>
      <c r="X9" s="194" t="n"/>
      <c r="Y9" s="194" t="n"/>
      <c r="Z9" s="194" t="n"/>
    </row>
    <row r="10" ht="21.75" customHeight="1" s="195">
      <c r="A10" s="286" t="inlineStr">
        <is>
          <t>══════ CÓDIGO A PEGAR EN APPS SCRIPT ══════</t>
        </is>
      </c>
      <c r="G10" s="194" t="n"/>
      <c r="H10" s="194" t="n"/>
      <c r="I10" s="194" t="n"/>
      <c r="J10" s="194" t="n"/>
      <c r="K10" s="194" t="n"/>
      <c r="L10" s="194" t="n"/>
      <c r="M10" s="194" t="n"/>
      <c r="N10" s="194" t="n"/>
      <c r="O10" s="194" t="n"/>
      <c r="P10" s="194" t="n"/>
      <c r="Q10" s="194" t="n"/>
      <c r="R10" s="194" t="n"/>
      <c r="S10" s="194" t="n"/>
      <c r="T10" s="194" t="n"/>
      <c r="U10" s="194" t="n"/>
      <c r="V10" s="194" t="n"/>
      <c r="W10" s="194" t="n"/>
      <c r="X10" s="194" t="n"/>
      <c r="Y10" s="194" t="n"/>
      <c r="Z10" s="194" t="n"/>
    </row>
    <row r="11" ht="12.75" customHeight="1" s="195">
      <c r="A11" s="379" t="inlineStr">
        <is>
          <t>function onEdit(e) {
  var sheet = e.source.getActiveSheet();
  if (sheet.getName() !== "DETALLE IPRESS") return;
  var range = e.range;
  if (range.getRow() !== 3 || range.getColumn() &lt; 5 || range.getColumn() &gt; 10) return;
  filtrarIPRESS(sheet);
}
function filtrarIPRESS(sheet) {
  if (!sheet) {
    sheet = SpreadsheetApp.getActiveSpreadsheet()
              .getSheetByName("DETALLE IPRESS");
  }
  var ipressSel = sheet.getRange("E3").getValue().toString().trim();
  var dataStart = 8;
  // Encontrar ultima fila con datos en col M
  var lastRow = dataStart;
  var colM = sheet.getRange(dataStart, 13, 300, 1).getValues();
  for (var i = 0; i &lt; colM.length; i++) {
    if (colM[i][0] !== "") lastRow = dataStart + i;
    else break;
  }
  // Primero mostrar todas las filas
  sheet.showRows(dataStart, lastRow - dataStart + 1);
  // Si es TODOS, no ocultar nada
  if (ipressSel === "-- TODOS --" || ipressSel === "") return;
  // Ocultar filas que no coinciden
  var toHide = [];
  for (var r = dataStart; r &lt;= lastRow; r++) {
    var ipressRow = sheet.getRange(r, 13).getValue().toString().trim();
    if (ipressRow !== ipressSel) {
      toHide.push(r);
    }
  }
  // Ocultar en bloques para mejor rendimiento
  if (toHide.length &gt; 0) {
    var start = toHide[0], prev = toHide[0];
    for (var j = 1; j &lt;= toHide.length; j++) {
      if (j === toHide.length || toHide[j] !== prev + 1) {
        sheet.hideRows(start, prev - start + 1);
        if (j &lt; toHide.length) { start = toHide[j]; prev = toHide[j]; }
      } else {
        prev = toHide[j];
      }
    }
  }
}
// Ejecutar manualmente desde el menu
function filtrarManual() {
  filtrarIPRESS(null);
}</t>
        </is>
      </c>
      <c r="G11" s="194" t="n"/>
      <c r="H11" s="194" t="n"/>
      <c r="I11" s="194" t="n"/>
      <c r="J11" s="194" t="n"/>
      <c r="K11" s="194" t="n"/>
      <c r="L11" s="194" t="n"/>
      <c r="M11" s="194" t="n"/>
      <c r="N11" s="194" t="n"/>
      <c r="O11" s="194" t="n"/>
      <c r="P11" s="194" t="n"/>
      <c r="Q11" s="194" t="n"/>
      <c r="R11" s="194" t="n"/>
      <c r="S11" s="194" t="n"/>
      <c r="T11" s="194" t="n"/>
      <c r="U11" s="194" t="n"/>
      <c r="V11" s="194" t="n"/>
      <c r="W11" s="194" t="n"/>
      <c r="X11" s="194" t="n"/>
      <c r="Y11" s="194" t="n"/>
      <c r="Z11" s="194" t="n"/>
    </row>
    <row r="12" ht="12.75" customHeight="1" s="195">
      <c r="G12" s="194" t="n"/>
      <c r="H12" s="194" t="n"/>
      <c r="I12" s="194" t="n"/>
      <c r="J12" s="194" t="n"/>
      <c r="K12" s="194" t="n"/>
      <c r="L12" s="194" t="n"/>
      <c r="M12" s="194" t="n"/>
      <c r="N12" s="194" t="n"/>
      <c r="O12" s="194" t="n"/>
      <c r="P12" s="194" t="n"/>
      <c r="Q12" s="194" t="n"/>
      <c r="R12" s="194" t="n"/>
      <c r="S12" s="194" t="n"/>
      <c r="T12" s="194" t="n"/>
      <c r="U12" s="194" t="n"/>
      <c r="V12" s="194" t="n"/>
      <c r="W12" s="194" t="n"/>
      <c r="X12" s="194" t="n"/>
      <c r="Y12" s="194" t="n"/>
      <c r="Z12" s="194" t="n"/>
    </row>
    <row r="13" ht="12.75" customHeight="1" s="195">
      <c r="G13" s="194" t="n"/>
      <c r="H13" s="194" t="n"/>
      <c r="I13" s="194" t="n"/>
      <c r="J13" s="194" t="n"/>
      <c r="K13" s="194" t="n"/>
      <c r="L13" s="194" t="n"/>
      <c r="M13" s="194" t="n"/>
      <c r="N13" s="194" t="n"/>
      <c r="O13" s="194" t="n"/>
      <c r="P13" s="194" t="n"/>
      <c r="Q13" s="194" t="n"/>
      <c r="R13" s="194" t="n"/>
      <c r="S13" s="194" t="n"/>
      <c r="T13" s="194" t="n"/>
      <c r="U13" s="194" t="n"/>
      <c r="V13" s="194" t="n"/>
      <c r="W13" s="194" t="n"/>
      <c r="X13" s="194" t="n"/>
      <c r="Y13" s="194" t="n"/>
      <c r="Z13" s="194" t="n"/>
    </row>
    <row r="14" ht="12.75" customHeight="1" s="195">
      <c r="G14" s="194" t="n"/>
      <c r="H14" s="194" t="n"/>
      <c r="I14" s="194" t="n"/>
      <c r="J14" s="194" t="n"/>
      <c r="K14" s="194" t="n"/>
      <c r="L14" s="194" t="n"/>
      <c r="M14" s="194" t="n"/>
      <c r="N14" s="194" t="n"/>
      <c r="O14" s="194" t="n"/>
      <c r="P14" s="194" t="n"/>
      <c r="Q14" s="194" t="n"/>
      <c r="R14" s="194" t="n"/>
      <c r="S14" s="194" t="n"/>
      <c r="T14" s="194" t="n"/>
      <c r="U14" s="194" t="n"/>
      <c r="V14" s="194" t="n"/>
      <c r="W14" s="194" t="n"/>
      <c r="X14" s="194" t="n"/>
      <c r="Y14" s="194" t="n"/>
      <c r="Z14" s="194" t="n"/>
    </row>
    <row r="15" ht="12.75" customHeight="1" s="195">
      <c r="G15" s="194" t="n"/>
      <c r="H15" s="194" t="n"/>
      <c r="I15" s="194" t="n"/>
      <c r="J15" s="194" t="n"/>
      <c r="K15" s="194" t="n"/>
      <c r="L15" s="194" t="n"/>
      <c r="M15" s="194" t="n"/>
      <c r="N15" s="194" t="n"/>
      <c r="O15" s="194" t="n"/>
      <c r="P15" s="194" t="n"/>
      <c r="Q15" s="194" t="n"/>
      <c r="R15" s="194" t="n"/>
      <c r="S15" s="194" t="n"/>
      <c r="T15" s="194" t="n"/>
      <c r="U15" s="194" t="n"/>
      <c r="V15" s="194" t="n"/>
      <c r="W15" s="194" t="n"/>
      <c r="X15" s="194" t="n"/>
      <c r="Y15" s="194" t="n"/>
      <c r="Z15" s="194" t="n"/>
    </row>
    <row r="16" ht="12.75" customHeight="1" s="195">
      <c r="G16" s="194" t="n"/>
      <c r="H16" s="194" t="n"/>
      <c r="I16" s="194" t="n"/>
      <c r="J16" s="194" t="n"/>
      <c r="K16" s="194" t="n"/>
      <c r="L16" s="194" t="n"/>
      <c r="M16" s="194" t="n"/>
      <c r="N16" s="194" t="n"/>
      <c r="O16" s="194" t="n"/>
      <c r="P16" s="194" t="n"/>
      <c r="Q16" s="194" t="n"/>
      <c r="R16" s="194" t="n"/>
      <c r="S16" s="194" t="n"/>
      <c r="T16" s="194" t="n"/>
      <c r="U16" s="194" t="n"/>
      <c r="V16" s="194" t="n"/>
      <c r="W16" s="194" t="n"/>
      <c r="X16" s="194" t="n"/>
      <c r="Y16" s="194" t="n"/>
      <c r="Z16" s="194" t="n"/>
    </row>
    <row r="17" ht="12.75" customHeight="1" s="195">
      <c r="G17" s="194" t="n"/>
      <c r="H17" s="194" t="n"/>
      <c r="I17" s="194" t="n"/>
      <c r="J17" s="194" t="n"/>
      <c r="K17" s="194" t="n"/>
      <c r="L17" s="194" t="n"/>
      <c r="M17" s="194" t="n"/>
      <c r="N17" s="194" t="n"/>
      <c r="O17" s="194" t="n"/>
      <c r="P17" s="194" t="n"/>
      <c r="Q17" s="194" t="n"/>
      <c r="R17" s="194" t="n"/>
      <c r="S17" s="194" t="n"/>
      <c r="T17" s="194" t="n"/>
      <c r="U17" s="194" t="n"/>
      <c r="V17" s="194" t="n"/>
      <c r="W17" s="194" t="n"/>
      <c r="X17" s="194" t="n"/>
      <c r="Y17" s="194" t="n"/>
      <c r="Z17" s="194" t="n"/>
    </row>
    <row r="18" ht="12.75" customHeight="1" s="195">
      <c r="G18" s="194" t="n"/>
      <c r="H18" s="194" t="n"/>
      <c r="I18" s="194" t="n"/>
      <c r="J18" s="194" t="n"/>
      <c r="K18" s="194" t="n"/>
      <c r="L18" s="194" t="n"/>
      <c r="M18" s="194" t="n"/>
      <c r="N18" s="194" t="n"/>
      <c r="O18" s="194" t="n"/>
      <c r="P18" s="194" t="n"/>
      <c r="Q18" s="194" t="n"/>
      <c r="R18" s="194" t="n"/>
      <c r="S18" s="194" t="n"/>
      <c r="T18" s="194" t="n"/>
      <c r="U18" s="194" t="n"/>
      <c r="V18" s="194" t="n"/>
      <c r="W18" s="194" t="n"/>
      <c r="X18" s="194" t="n"/>
      <c r="Y18" s="194" t="n"/>
      <c r="Z18" s="194" t="n"/>
    </row>
    <row r="19" ht="12.75" customHeight="1" s="195">
      <c r="G19" s="194" t="n"/>
      <c r="H19" s="194" t="n"/>
      <c r="I19" s="194" t="n"/>
      <c r="J19" s="194" t="n"/>
      <c r="K19" s="194" t="n"/>
      <c r="L19" s="194" t="n"/>
      <c r="M19" s="194" t="n"/>
      <c r="N19" s="194" t="n"/>
      <c r="O19" s="194" t="n"/>
      <c r="P19" s="194" t="n"/>
      <c r="Q19" s="194" t="n"/>
      <c r="R19" s="194" t="n"/>
      <c r="S19" s="194" t="n"/>
      <c r="T19" s="194" t="n"/>
      <c r="U19" s="194" t="n"/>
      <c r="V19" s="194" t="n"/>
      <c r="W19" s="194" t="n"/>
      <c r="X19" s="194" t="n"/>
      <c r="Y19" s="194" t="n"/>
      <c r="Z19" s="194" t="n"/>
    </row>
    <row r="20" ht="12.75" customHeight="1" s="195">
      <c r="G20" s="194" t="n"/>
      <c r="H20" s="194" t="n"/>
      <c r="I20" s="194" t="n"/>
      <c r="J20" s="194" t="n"/>
      <c r="K20" s="194" t="n"/>
      <c r="L20" s="194" t="n"/>
      <c r="M20" s="194" t="n"/>
      <c r="N20" s="194" t="n"/>
      <c r="O20" s="194" t="n"/>
      <c r="P20" s="194" t="n"/>
      <c r="Q20" s="194" t="n"/>
      <c r="R20" s="194" t="n"/>
      <c r="S20" s="194" t="n"/>
      <c r="T20" s="194" t="n"/>
      <c r="U20" s="194" t="n"/>
      <c r="V20" s="194" t="n"/>
      <c r="W20" s="194" t="n"/>
      <c r="X20" s="194" t="n"/>
      <c r="Y20" s="194" t="n"/>
      <c r="Z20" s="194" t="n"/>
    </row>
    <row r="21" ht="12.75" customHeight="1" s="195">
      <c r="G21" s="194" t="n"/>
      <c r="H21" s="194" t="n"/>
      <c r="I21" s="194" t="n"/>
      <c r="J21" s="194" t="n"/>
      <c r="K21" s="194" t="n"/>
      <c r="L21" s="194" t="n"/>
      <c r="M21" s="194" t="n"/>
      <c r="N21" s="194" t="n"/>
      <c r="O21" s="194" t="n"/>
      <c r="P21" s="194" t="n"/>
      <c r="Q21" s="194" t="n"/>
      <c r="R21" s="194" t="n"/>
      <c r="S21" s="194" t="n"/>
      <c r="T21" s="194" t="n"/>
      <c r="U21" s="194" t="n"/>
      <c r="V21" s="194" t="n"/>
      <c r="W21" s="194" t="n"/>
      <c r="X21" s="194" t="n"/>
      <c r="Y21" s="194" t="n"/>
      <c r="Z21" s="194" t="n"/>
    </row>
    <row r="22" ht="12.75" customHeight="1" s="195">
      <c r="G22" s="194" t="n"/>
      <c r="H22" s="194" t="n"/>
      <c r="I22" s="194" t="n"/>
      <c r="J22" s="194" t="n"/>
      <c r="K22" s="194" t="n"/>
      <c r="L22" s="194" t="n"/>
      <c r="M22" s="194" t="n"/>
      <c r="N22" s="194" t="n"/>
      <c r="O22" s="194" t="n"/>
      <c r="P22" s="194" t="n"/>
      <c r="Q22" s="194" t="n"/>
      <c r="R22" s="194" t="n"/>
      <c r="S22" s="194" t="n"/>
      <c r="T22" s="194" t="n"/>
      <c r="U22" s="194" t="n"/>
      <c r="V22" s="194" t="n"/>
      <c r="W22" s="194" t="n"/>
      <c r="X22" s="194" t="n"/>
      <c r="Y22" s="194" t="n"/>
      <c r="Z22" s="194" t="n"/>
    </row>
    <row r="23" ht="12.75" customHeight="1" s="195">
      <c r="G23" s="194" t="n"/>
      <c r="H23" s="194" t="n"/>
      <c r="I23" s="194" t="n"/>
      <c r="J23" s="194" t="n"/>
      <c r="K23" s="194" t="n"/>
      <c r="L23" s="194" t="n"/>
      <c r="M23" s="194" t="n"/>
      <c r="N23" s="194" t="n"/>
      <c r="O23" s="194" t="n"/>
      <c r="P23" s="194" t="n"/>
      <c r="Q23" s="194" t="n"/>
      <c r="R23" s="194" t="n"/>
      <c r="S23" s="194" t="n"/>
      <c r="T23" s="194" t="n"/>
      <c r="U23" s="194" t="n"/>
      <c r="V23" s="194" t="n"/>
      <c r="W23" s="194" t="n"/>
      <c r="X23" s="194" t="n"/>
      <c r="Y23" s="194" t="n"/>
      <c r="Z23" s="194" t="n"/>
    </row>
    <row r="24" ht="12.75" customHeight="1" s="195">
      <c r="G24" s="194" t="n"/>
      <c r="H24" s="194" t="n"/>
      <c r="I24" s="194" t="n"/>
      <c r="J24" s="194" t="n"/>
      <c r="K24" s="194" t="n"/>
      <c r="L24" s="194" t="n"/>
      <c r="M24" s="194" t="n"/>
      <c r="N24" s="194" t="n"/>
      <c r="O24" s="194" t="n"/>
      <c r="P24" s="194" t="n"/>
      <c r="Q24" s="194" t="n"/>
      <c r="R24" s="194" t="n"/>
      <c r="S24" s="194" t="n"/>
      <c r="T24" s="194" t="n"/>
      <c r="U24" s="194" t="n"/>
      <c r="V24" s="194" t="n"/>
      <c r="W24" s="194" t="n"/>
      <c r="X24" s="194" t="n"/>
      <c r="Y24" s="194" t="n"/>
      <c r="Z24" s="194" t="n"/>
    </row>
    <row r="25" ht="12.75" customHeight="1" s="195">
      <c r="G25" s="194" t="n"/>
      <c r="H25" s="194" t="n"/>
      <c r="I25" s="194" t="n"/>
      <c r="J25" s="194" t="n"/>
      <c r="K25" s="194" t="n"/>
      <c r="L25" s="194" t="n"/>
      <c r="M25" s="194" t="n"/>
      <c r="N25" s="194" t="n"/>
      <c r="O25" s="194" t="n"/>
      <c r="P25" s="194" t="n"/>
      <c r="Q25" s="194" t="n"/>
      <c r="R25" s="194" t="n"/>
      <c r="S25" s="194" t="n"/>
      <c r="T25" s="194" t="n"/>
      <c r="U25" s="194" t="n"/>
      <c r="V25" s="194" t="n"/>
      <c r="W25" s="194" t="n"/>
      <c r="X25" s="194" t="n"/>
      <c r="Y25" s="194" t="n"/>
      <c r="Z25" s="194" t="n"/>
    </row>
    <row r="26" ht="12.75" customHeight="1" s="195">
      <c r="G26" s="194" t="n"/>
      <c r="H26" s="194" t="n"/>
      <c r="I26" s="194" t="n"/>
      <c r="J26" s="194" t="n"/>
      <c r="K26" s="194" t="n"/>
      <c r="L26" s="194" t="n"/>
      <c r="M26" s="194" t="n"/>
      <c r="N26" s="194" t="n"/>
      <c r="O26" s="194" t="n"/>
      <c r="P26" s="194" t="n"/>
      <c r="Q26" s="194" t="n"/>
      <c r="R26" s="194" t="n"/>
      <c r="S26" s="194" t="n"/>
      <c r="T26" s="194" t="n"/>
      <c r="U26" s="194" t="n"/>
      <c r="V26" s="194" t="n"/>
      <c r="W26" s="194" t="n"/>
      <c r="X26" s="194" t="n"/>
      <c r="Y26" s="194" t="n"/>
      <c r="Z26" s="194" t="n"/>
    </row>
    <row r="27" ht="12.75" customHeight="1" s="195">
      <c r="G27" s="194" t="n"/>
      <c r="H27" s="194" t="n"/>
      <c r="I27" s="194" t="n"/>
      <c r="J27" s="194" t="n"/>
      <c r="K27" s="194" t="n"/>
      <c r="L27" s="194" t="n"/>
      <c r="M27" s="194" t="n"/>
      <c r="N27" s="194" t="n"/>
      <c r="O27" s="194" t="n"/>
      <c r="P27" s="194" t="n"/>
      <c r="Q27" s="194" t="n"/>
      <c r="R27" s="194" t="n"/>
      <c r="S27" s="194" t="n"/>
      <c r="T27" s="194" t="n"/>
      <c r="U27" s="194" t="n"/>
      <c r="V27" s="194" t="n"/>
      <c r="W27" s="194" t="n"/>
      <c r="X27" s="194" t="n"/>
      <c r="Y27" s="194" t="n"/>
      <c r="Z27" s="194" t="n"/>
    </row>
    <row r="28" ht="12.75" customHeight="1" s="195">
      <c r="G28" s="194" t="n"/>
      <c r="H28" s="194" t="n"/>
      <c r="I28" s="194" t="n"/>
      <c r="J28" s="194" t="n"/>
      <c r="K28" s="194" t="n"/>
      <c r="L28" s="194" t="n"/>
      <c r="M28" s="194" t="n"/>
      <c r="N28" s="194" t="n"/>
      <c r="O28" s="194" t="n"/>
      <c r="P28" s="194" t="n"/>
      <c r="Q28" s="194" t="n"/>
      <c r="R28" s="194" t="n"/>
      <c r="S28" s="194" t="n"/>
      <c r="T28" s="194" t="n"/>
      <c r="U28" s="194" t="n"/>
      <c r="V28" s="194" t="n"/>
      <c r="W28" s="194" t="n"/>
      <c r="X28" s="194" t="n"/>
      <c r="Y28" s="194" t="n"/>
      <c r="Z28" s="194" t="n"/>
    </row>
    <row r="29" ht="12.75" customHeight="1" s="195">
      <c r="G29" s="194" t="n"/>
      <c r="H29" s="194" t="n"/>
      <c r="I29" s="194" t="n"/>
      <c r="J29" s="194" t="n"/>
      <c r="K29" s="194" t="n"/>
      <c r="L29" s="194" t="n"/>
      <c r="M29" s="194" t="n"/>
      <c r="N29" s="194" t="n"/>
      <c r="O29" s="194" t="n"/>
      <c r="P29" s="194" t="n"/>
      <c r="Q29" s="194" t="n"/>
      <c r="R29" s="194" t="n"/>
      <c r="S29" s="194" t="n"/>
      <c r="T29" s="194" t="n"/>
      <c r="U29" s="194" t="n"/>
      <c r="V29" s="194" t="n"/>
      <c r="W29" s="194" t="n"/>
      <c r="X29" s="194" t="n"/>
      <c r="Y29" s="194" t="n"/>
      <c r="Z29" s="194" t="n"/>
    </row>
    <row r="30" ht="12.75" customHeight="1" s="195">
      <c r="G30" s="194" t="n"/>
      <c r="H30" s="194" t="n"/>
      <c r="I30" s="194" t="n"/>
      <c r="J30" s="194" t="n"/>
      <c r="K30" s="194" t="n"/>
      <c r="L30" s="194" t="n"/>
      <c r="M30" s="194" t="n"/>
      <c r="N30" s="194" t="n"/>
      <c r="O30" s="194" t="n"/>
      <c r="P30" s="194" t="n"/>
      <c r="Q30" s="194" t="n"/>
      <c r="R30" s="194" t="n"/>
      <c r="S30" s="194" t="n"/>
      <c r="T30" s="194" t="n"/>
      <c r="U30" s="194" t="n"/>
      <c r="V30" s="194" t="n"/>
      <c r="W30" s="194" t="n"/>
      <c r="X30" s="194" t="n"/>
      <c r="Y30" s="194" t="n"/>
      <c r="Z30" s="194" t="n"/>
    </row>
    <row r="31" ht="12.75" customHeight="1" s="195">
      <c r="G31" s="194" t="n"/>
      <c r="H31" s="194" t="n"/>
      <c r="I31" s="194" t="n"/>
      <c r="J31" s="194" t="n"/>
      <c r="K31" s="194" t="n"/>
      <c r="L31" s="194" t="n"/>
      <c r="M31" s="194" t="n"/>
      <c r="N31" s="194" t="n"/>
      <c r="O31" s="194" t="n"/>
      <c r="P31" s="194" t="n"/>
      <c r="Q31" s="194" t="n"/>
      <c r="R31" s="194" t="n"/>
      <c r="S31" s="194" t="n"/>
      <c r="T31" s="194" t="n"/>
      <c r="U31" s="194" t="n"/>
      <c r="V31" s="194" t="n"/>
      <c r="W31" s="194" t="n"/>
      <c r="X31" s="194" t="n"/>
      <c r="Y31" s="194" t="n"/>
      <c r="Z31" s="194" t="n"/>
    </row>
    <row r="32" ht="12.75" customHeight="1" s="195">
      <c r="G32" s="194" t="n"/>
      <c r="H32" s="194" t="n"/>
      <c r="I32" s="194" t="n"/>
      <c r="J32" s="194" t="n"/>
      <c r="K32" s="194" t="n"/>
      <c r="L32" s="194" t="n"/>
      <c r="M32" s="194" t="n"/>
      <c r="N32" s="194" t="n"/>
      <c r="O32" s="194" t="n"/>
      <c r="P32" s="194" t="n"/>
      <c r="Q32" s="194" t="n"/>
      <c r="R32" s="194" t="n"/>
      <c r="S32" s="194" t="n"/>
      <c r="T32" s="194" t="n"/>
      <c r="U32" s="194" t="n"/>
      <c r="V32" s="194" t="n"/>
      <c r="W32" s="194" t="n"/>
      <c r="X32" s="194" t="n"/>
      <c r="Y32" s="194" t="n"/>
      <c r="Z32" s="194" t="n"/>
    </row>
    <row r="33" ht="12.75" customHeight="1" s="195">
      <c r="G33" s="194" t="n"/>
      <c r="H33" s="194" t="n"/>
      <c r="I33" s="194" t="n"/>
      <c r="J33" s="194" t="n"/>
      <c r="K33" s="194" t="n"/>
      <c r="L33" s="194" t="n"/>
      <c r="M33" s="194" t="n"/>
      <c r="N33" s="194" t="n"/>
      <c r="O33" s="194" t="n"/>
      <c r="P33" s="194" t="n"/>
      <c r="Q33" s="194" t="n"/>
      <c r="R33" s="194" t="n"/>
      <c r="S33" s="194" t="n"/>
      <c r="T33" s="194" t="n"/>
      <c r="U33" s="194" t="n"/>
      <c r="V33" s="194" t="n"/>
      <c r="W33" s="194" t="n"/>
      <c r="X33" s="194" t="n"/>
      <c r="Y33" s="194" t="n"/>
      <c r="Z33" s="194" t="n"/>
    </row>
    <row r="34" ht="12.75" customHeight="1" s="195">
      <c r="G34" s="194" t="n"/>
      <c r="H34" s="194" t="n"/>
      <c r="I34" s="194" t="n"/>
      <c r="J34" s="194" t="n"/>
      <c r="K34" s="194" t="n"/>
      <c r="L34" s="194" t="n"/>
      <c r="M34" s="194" t="n"/>
      <c r="N34" s="194" t="n"/>
      <c r="O34" s="194" t="n"/>
      <c r="P34" s="194" t="n"/>
      <c r="Q34" s="194" t="n"/>
      <c r="R34" s="194" t="n"/>
      <c r="S34" s="194" t="n"/>
      <c r="T34" s="194" t="n"/>
      <c r="U34" s="194" t="n"/>
      <c r="V34" s="194" t="n"/>
      <c r="W34" s="194" t="n"/>
      <c r="X34" s="194" t="n"/>
      <c r="Y34" s="194" t="n"/>
      <c r="Z34" s="194" t="n"/>
    </row>
    <row r="35" ht="12.75" customHeight="1" s="195">
      <c r="G35" s="194" t="n"/>
      <c r="H35" s="194" t="n"/>
      <c r="I35" s="194" t="n"/>
      <c r="J35" s="194" t="n"/>
      <c r="K35" s="194" t="n"/>
      <c r="L35" s="194" t="n"/>
      <c r="M35" s="194" t="n"/>
      <c r="N35" s="194" t="n"/>
      <c r="O35" s="194" t="n"/>
      <c r="P35" s="194" t="n"/>
      <c r="Q35" s="194" t="n"/>
      <c r="R35" s="194" t="n"/>
      <c r="S35" s="194" t="n"/>
      <c r="T35" s="194" t="n"/>
      <c r="U35" s="194" t="n"/>
      <c r="V35" s="194" t="n"/>
      <c r="W35" s="194" t="n"/>
      <c r="X35" s="194" t="n"/>
      <c r="Y35" s="194" t="n"/>
      <c r="Z35" s="194" t="n"/>
    </row>
    <row r="36" ht="12.75" customHeight="1" s="195">
      <c r="G36" s="194" t="n"/>
      <c r="H36" s="194" t="n"/>
      <c r="I36" s="194" t="n"/>
      <c r="J36" s="194" t="n"/>
      <c r="K36" s="194" t="n"/>
      <c r="L36" s="194" t="n"/>
      <c r="M36" s="194" t="n"/>
      <c r="N36" s="194" t="n"/>
      <c r="O36" s="194" t="n"/>
      <c r="P36" s="194" t="n"/>
      <c r="Q36" s="194" t="n"/>
      <c r="R36" s="194" t="n"/>
      <c r="S36" s="194" t="n"/>
      <c r="T36" s="194" t="n"/>
      <c r="U36" s="194" t="n"/>
      <c r="V36" s="194" t="n"/>
      <c r="W36" s="194" t="n"/>
      <c r="X36" s="194" t="n"/>
      <c r="Y36" s="194" t="n"/>
      <c r="Z36" s="194" t="n"/>
    </row>
    <row r="37" ht="12.75" customHeight="1" s="195">
      <c r="G37" s="194" t="n"/>
      <c r="H37" s="194" t="n"/>
      <c r="I37" s="194" t="n"/>
      <c r="J37" s="194" t="n"/>
      <c r="K37" s="194" t="n"/>
      <c r="L37" s="194" t="n"/>
      <c r="M37" s="194" t="n"/>
      <c r="N37" s="194" t="n"/>
      <c r="O37" s="194" t="n"/>
      <c r="P37" s="194" t="n"/>
      <c r="Q37" s="194" t="n"/>
      <c r="R37" s="194" t="n"/>
      <c r="S37" s="194" t="n"/>
      <c r="T37" s="194" t="n"/>
      <c r="U37" s="194" t="n"/>
      <c r="V37" s="194" t="n"/>
      <c r="W37" s="194" t="n"/>
      <c r="X37" s="194" t="n"/>
      <c r="Y37" s="194" t="n"/>
      <c r="Z37" s="194" t="n"/>
    </row>
    <row r="38" ht="12.75" customHeight="1" s="195">
      <c r="G38" s="194" t="n"/>
      <c r="H38" s="194" t="n"/>
      <c r="I38" s="194" t="n"/>
      <c r="J38" s="194" t="n"/>
      <c r="K38" s="194" t="n"/>
      <c r="L38" s="194" t="n"/>
      <c r="M38" s="194" t="n"/>
      <c r="N38" s="194" t="n"/>
      <c r="O38" s="194" t="n"/>
      <c r="P38" s="194" t="n"/>
      <c r="Q38" s="194" t="n"/>
      <c r="R38" s="194" t="n"/>
      <c r="S38" s="194" t="n"/>
      <c r="T38" s="194" t="n"/>
      <c r="U38" s="194" t="n"/>
      <c r="V38" s="194" t="n"/>
      <c r="W38" s="194" t="n"/>
      <c r="X38" s="194" t="n"/>
      <c r="Y38" s="194" t="n"/>
      <c r="Z38" s="194" t="n"/>
    </row>
    <row r="39" ht="12.75" customHeight="1" s="195">
      <c r="G39" s="194" t="n"/>
      <c r="H39" s="194" t="n"/>
      <c r="I39" s="194" t="n"/>
      <c r="J39" s="194" t="n"/>
      <c r="K39" s="194" t="n"/>
      <c r="L39" s="194" t="n"/>
      <c r="M39" s="194" t="n"/>
      <c r="N39" s="194" t="n"/>
      <c r="O39" s="194" t="n"/>
      <c r="P39" s="194" t="n"/>
      <c r="Q39" s="194" t="n"/>
      <c r="R39" s="194" t="n"/>
      <c r="S39" s="194" t="n"/>
      <c r="T39" s="194" t="n"/>
      <c r="U39" s="194" t="n"/>
      <c r="V39" s="194" t="n"/>
      <c r="W39" s="194" t="n"/>
      <c r="X39" s="194" t="n"/>
      <c r="Y39" s="194" t="n"/>
      <c r="Z39" s="194" t="n"/>
    </row>
    <row r="40" ht="12.75" customHeight="1" s="195">
      <c r="G40" s="194" t="n"/>
      <c r="H40" s="194" t="n"/>
      <c r="I40" s="194" t="n"/>
      <c r="J40" s="194" t="n"/>
      <c r="K40" s="194" t="n"/>
      <c r="L40" s="194" t="n"/>
      <c r="M40" s="194" t="n"/>
      <c r="N40" s="194" t="n"/>
      <c r="O40" s="194" t="n"/>
      <c r="P40" s="194" t="n"/>
      <c r="Q40" s="194" t="n"/>
      <c r="R40" s="194" t="n"/>
      <c r="S40" s="194" t="n"/>
      <c r="T40" s="194" t="n"/>
      <c r="U40" s="194" t="n"/>
      <c r="V40" s="194" t="n"/>
      <c r="W40" s="194" t="n"/>
      <c r="X40" s="194" t="n"/>
      <c r="Y40" s="194" t="n"/>
      <c r="Z40" s="194" t="n"/>
    </row>
    <row r="41" ht="12.75" customHeight="1" s="195">
      <c r="G41" s="194" t="n"/>
      <c r="H41" s="194" t="n"/>
      <c r="I41" s="194" t="n"/>
      <c r="J41" s="194" t="n"/>
      <c r="K41" s="194" t="n"/>
      <c r="L41" s="194" t="n"/>
      <c r="M41" s="194" t="n"/>
      <c r="N41" s="194" t="n"/>
      <c r="O41" s="194" t="n"/>
      <c r="P41" s="194" t="n"/>
      <c r="Q41" s="194" t="n"/>
      <c r="R41" s="194" t="n"/>
      <c r="S41" s="194" t="n"/>
      <c r="T41" s="194" t="n"/>
      <c r="U41" s="194" t="n"/>
      <c r="V41" s="194" t="n"/>
      <c r="W41" s="194" t="n"/>
      <c r="X41" s="194" t="n"/>
      <c r="Y41" s="194" t="n"/>
      <c r="Z41" s="194" t="n"/>
    </row>
    <row r="42" ht="12.75" customHeight="1" s="195">
      <c r="G42" s="194" t="n"/>
      <c r="H42" s="194" t="n"/>
      <c r="I42" s="194" t="n"/>
      <c r="J42" s="194" t="n"/>
      <c r="K42" s="194" t="n"/>
      <c r="L42" s="194" t="n"/>
      <c r="M42" s="194" t="n"/>
      <c r="N42" s="194" t="n"/>
      <c r="O42" s="194" t="n"/>
      <c r="P42" s="194" t="n"/>
      <c r="Q42" s="194" t="n"/>
      <c r="R42" s="194" t="n"/>
      <c r="S42" s="194" t="n"/>
      <c r="T42" s="194" t="n"/>
      <c r="U42" s="194" t="n"/>
      <c r="V42" s="194" t="n"/>
      <c r="W42" s="194" t="n"/>
      <c r="X42" s="194" t="n"/>
      <c r="Y42" s="194" t="n"/>
      <c r="Z42" s="194" t="n"/>
    </row>
    <row r="43" ht="12.75" customHeight="1" s="195">
      <c r="G43" s="194" t="n"/>
      <c r="H43" s="194" t="n"/>
      <c r="I43" s="194" t="n"/>
      <c r="J43" s="194" t="n"/>
      <c r="K43" s="194" t="n"/>
      <c r="L43" s="194" t="n"/>
      <c r="M43" s="194" t="n"/>
      <c r="N43" s="194" t="n"/>
      <c r="O43" s="194" t="n"/>
      <c r="P43" s="194" t="n"/>
      <c r="Q43" s="194" t="n"/>
      <c r="R43" s="194" t="n"/>
      <c r="S43" s="194" t="n"/>
      <c r="T43" s="194" t="n"/>
      <c r="U43" s="194" t="n"/>
      <c r="V43" s="194" t="n"/>
      <c r="W43" s="194" t="n"/>
      <c r="X43" s="194" t="n"/>
      <c r="Y43" s="194" t="n"/>
      <c r="Z43" s="194" t="n"/>
    </row>
    <row r="44" ht="12.75" customHeight="1" s="195">
      <c r="G44" s="194" t="n"/>
      <c r="H44" s="194" t="n"/>
      <c r="I44" s="194" t="n"/>
      <c r="J44" s="194" t="n"/>
      <c r="K44" s="194" t="n"/>
      <c r="L44" s="194" t="n"/>
      <c r="M44" s="194" t="n"/>
      <c r="N44" s="194" t="n"/>
      <c r="O44" s="194" t="n"/>
      <c r="P44" s="194" t="n"/>
      <c r="Q44" s="194" t="n"/>
      <c r="R44" s="194" t="n"/>
      <c r="S44" s="194" t="n"/>
      <c r="T44" s="194" t="n"/>
      <c r="U44" s="194" t="n"/>
      <c r="V44" s="194" t="n"/>
      <c r="W44" s="194" t="n"/>
      <c r="X44" s="194" t="n"/>
      <c r="Y44" s="194" t="n"/>
      <c r="Z44" s="194" t="n"/>
    </row>
    <row r="45" ht="12.75" customHeight="1" s="195">
      <c r="G45" s="194" t="n"/>
      <c r="H45" s="194" t="n"/>
      <c r="I45" s="194" t="n"/>
      <c r="J45" s="194" t="n"/>
      <c r="K45" s="194" t="n"/>
      <c r="L45" s="194" t="n"/>
      <c r="M45" s="194" t="n"/>
      <c r="N45" s="194" t="n"/>
      <c r="O45" s="194" t="n"/>
      <c r="P45" s="194" t="n"/>
      <c r="Q45" s="194" t="n"/>
      <c r="R45" s="194" t="n"/>
      <c r="S45" s="194" t="n"/>
      <c r="T45" s="194" t="n"/>
      <c r="U45" s="194" t="n"/>
      <c r="V45" s="194" t="n"/>
      <c r="W45" s="194" t="n"/>
      <c r="X45" s="194" t="n"/>
      <c r="Y45" s="194" t="n"/>
      <c r="Z45" s="194" t="n"/>
    </row>
    <row r="46" ht="12.75" customHeight="1" s="195">
      <c r="G46" s="194" t="n"/>
      <c r="H46" s="194" t="n"/>
      <c r="I46" s="194" t="n"/>
      <c r="J46" s="194" t="n"/>
      <c r="K46" s="194" t="n"/>
      <c r="L46" s="194" t="n"/>
      <c r="M46" s="194" t="n"/>
      <c r="N46" s="194" t="n"/>
      <c r="O46" s="194" t="n"/>
      <c r="P46" s="194" t="n"/>
      <c r="Q46" s="194" t="n"/>
      <c r="R46" s="194" t="n"/>
      <c r="S46" s="194" t="n"/>
      <c r="T46" s="194" t="n"/>
      <c r="U46" s="194" t="n"/>
      <c r="V46" s="194" t="n"/>
      <c r="W46" s="194" t="n"/>
      <c r="X46" s="194" t="n"/>
      <c r="Y46" s="194" t="n"/>
      <c r="Z46" s="194" t="n"/>
    </row>
    <row r="47" ht="12.75" customHeight="1" s="195">
      <c r="G47" s="194" t="n"/>
      <c r="H47" s="194" t="n"/>
      <c r="I47" s="194" t="n"/>
      <c r="J47" s="194" t="n"/>
      <c r="K47" s="194" t="n"/>
      <c r="L47" s="194" t="n"/>
      <c r="M47" s="194" t="n"/>
      <c r="N47" s="194" t="n"/>
      <c r="O47" s="194" t="n"/>
      <c r="P47" s="194" t="n"/>
      <c r="Q47" s="194" t="n"/>
      <c r="R47" s="194" t="n"/>
      <c r="S47" s="194" t="n"/>
      <c r="T47" s="194" t="n"/>
      <c r="U47" s="194" t="n"/>
      <c r="V47" s="194" t="n"/>
      <c r="W47" s="194" t="n"/>
      <c r="X47" s="194" t="n"/>
      <c r="Y47" s="194" t="n"/>
      <c r="Z47" s="194" t="n"/>
    </row>
    <row r="48" ht="12.75" customHeight="1" s="195">
      <c r="G48" s="194" t="n"/>
      <c r="H48" s="194" t="n"/>
      <c r="I48" s="194" t="n"/>
      <c r="J48" s="194" t="n"/>
      <c r="K48" s="194" t="n"/>
      <c r="L48" s="194" t="n"/>
      <c r="M48" s="194" t="n"/>
      <c r="N48" s="194" t="n"/>
      <c r="O48" s="194" t="n"/>
      <c r="P48" s="194" t="n"/>
      <c r="Q48" s="194" t="n"/>
      <c r="R48" s="194" t="n"/>
      <c r="S48" s="194" t="n"/>
      <c r="T48" s="194" t="n"/>
      <c r="U48" s="194" t="n"/>
      <c r="V48" s="194" t="n"/>
      <c r="W48" s="194" t="n"/>
      <c r="X48" s="194" t="n"/>
      <c r="Y48" s="194" t="n"/>
      <c r="Z48" s="194" t="n"/>
    </row>
    <row r="49" ht="12.75" customHeight="1" s="195">
      <c r="G49" s="194" t="n"/>
      <c r="H49" s="194" t="n"/>
      <c r="I49" s="194" t="n"/>
      <c r="J49" s="194" t="n"/>
      <c r="K49" s="194" t="n"/>
      <c r="L49" s="194" t="n"/>
      <c r="M49" s="194" t="n"/>
      <c r="N49" s="194" t="n"/>
      <c r="O49" s="194" t="n"/>
      <c r="P49" s="194" t="n"/>
      <c r="Q49" s="194" t="n"/>
      <c r="R49" s="194" t="n"/>
      <c r="S49" s="194" t="n"/>
      <c r="T49" s="194" t="n"/>
      <c r="U49" s="194" t="n"/>
      <c r="V49" s="194" t="n"/>
      <c r="W49" s="194" t="n"/>
      <c r="X49" s="194" t="n"/>
      <c r="Y49" s="194" t="n"/>
      <c r="Z49" s="194" t="n"/>
    </row>
    <row r="50" ht="12.75" customHeight="1" s="195">
      <c r="G50" s="194" t="n"/>
      <c r="H50" s="194" t="n"/>
      <c r="I50" s="194" t="n"/>
      <c r="J50" s="194" t="n"/>
      <c r="K50" s="194" t="n"/>
      <c r="L50" s="194" t="n"/>
      <c r="M50" s="194" t="n"/>
      <c r="N50" s="194" t="n"/>
      <c r="O50" s="194" t="n"/>
      <c r="P50" s="194" t="n"/>
      <c r="Q50" s="194" t="n"/>
      <c r="R50" s="194" t="n"/>
      <c r="S50" s="194" t="n"/>
      <c r="T50" s="194" t="n"/>
      <c r="U50" s="194" t="n"/>
      <c r="V50" s="194" t="n"/>
      <c r="W50" s="194" t="n"/>
      <c r="X50" s="194" t="n"/>
      <c r="Y50" s="194" t="n"/>
      <c r="Z50" s="194" t="n"/>
    </row>
    <row r="51" ht="12.75" customHeight="1" s="195">
      <c r="G51" s="194" t="n"/>
      <c r="H51" s="194" t="n"/>
      <c r="I51" s="194" t="n"/>
      <c r="J51" s="194" t="n"/>
      <c r="K51" s="194" t="n"/>
      <c r="L51" s="194" t="n"/>
      <c r="M51" s="194" t="n"/>
      <c r="N51" s="194" t="n"/>
      <c r="O51" s="194" t="n"/>
      <c r="P51" s="194" t="n"/>
      <c r="Q51" s="194" t="n"/>
      <c r="R51" s="194" t="n"/>
      <c r="S51" s="194" t="n"/>
      <c r="T51" s="194" t="n"/>
      <c r="U51" s="194" t="n"/>
      <c r="V51" s="194" t="n"/>
      <c r="W51" s="194" t="n"/>
      <c r="X51" s="194" t="n"/>
      <c r="Y51" s="194" t="n"/>
      <c r="Z51" s="194" t="n"/>
    </row>
    <row r="52" ht="12.75" customHeight="1" s="195">
      <c r="G52" s="194" t="n"/>
      <c r="H52" s="194" t="n"/>
      <c r="I52" s="194" t="n"/>
      <c r="J52" s="194" t="n"/>
      <c r="K52" s="194" t="n"/>
      <c r="L52" s="194" t="n"/>
      <c r="M52" s="194" t="n"/>
      <c r="N52" s="194" t="n"/>
      <c r="O52" s="194" t="n"/>
      <c r="P52" s="194" t="n"/>
      <c r="Q52" s="194" t="n"/>
      <c r="R52" s="194" t="n"/>
      <c r="S52" s="194" t="n"/>
      <c r="T52" s="194" t="n"/>
      <c r="U52" s="194" t="n"/>
      <c r="V52" s="194" t="n"/>
      <c r="W52" s="194" t="n"/>
      <c r="X52" s="194" t="n"/>
      <c r="Y52" s="194" t="n"/>
      <c r="Z52" s="194" t="n"/>
    </row>
    <row r="53" ht="12.75" customHeight="1" s="195">
      <c r="G53" s="194" t="n"/>
      <c r="H53" s="194" t="n"/>
      <c r="I53" s="194" t="n"/>
      <c r="J53" s="194" t="n"/>
      <c r="K53" s="194" t="n"/>
      <c r="L53" s="194" t="n"/>
      <c r="M53" s="194" t="n"/>
      <c r="N53" s="194" t="n"/>
      <c r="O53" s="194" t="n"/>
      <c r="P53" s="194" t="n"/>
      <c r="Q53" s="194" t="n"/>
      <c r="R53" s="194" t="n"/>
      <c r="S53" s="194" t="n"/>
      <c r="T53" s="194" t="n"/>
      <c r="U53" s="194" t="n"/>
      <c r="V53" s="194" t="n"/>
      <c r="W53" s="194" t="n"/>
      <c r="X53" s="194" t="n"/>
      <c r="Y53" s="194" t="n"/>
      <c r="Z53" s="194" t="n"/>
    </row>
    <row r="54" ht="12.75" customHeight="1" s="195">
      <c r="G54" s="194" t="n"/>
      <c r="H54" s="194" t="n"/>
      <c r="I54" s="194" t="n"/>
      <c r="J54" s="194" t="n"/>
      <c r="K54" s="194" t="n"/>
      <c r="L54" s="194" t="n"/>
      <c r="M54" s="194" t="n"/>
      <c r="N54" s="194" t="n"/>
      <c r="O54" s="194" t="n"/>
      <c r="P54" s="194" t="n"/>
      <c r="Q54" s="194" t="n"/>
      <c r="R54" s="194" t="n"/>
      <c r="S54" s="194" t="n"/>
      <c r="T54" s="194" t="n"/>
      <c r="U54" s="194" t="n"/>
      <c r="V54" s="194" t="n"/>
      <c r="W54" s="194" t="n"/>
      <c r="X54" s="194" t="n"/>
      <c r="Y54" s="194" t="n"/>
      <c r="Z54" s="194" t="n"/>
    </row>
    <row r="55" ht="12.75" customHeight="1" s="195">
      <c r="G55" s="194" t="n"/>
      <c r="H55" s="194" t="n"/>
      <c r="I55" s="194" t="n"/>
      <c r="J55" s="194" t="n"/>
      <c r="K55" s="194" t="n"/>
      <c r="L55" s="194" t="n"/>
      <c r="M55" s="194" t="n"/>
      <c r="N55" s="194" t="n"/>
      <c r="O55" s="194" t="n"/>
      <c r="P55" s="194" t="n"/>
      <c r="Q55" s="194" t="n"/>
      <c r="R55" s="194" t="n"/>
      <c r="S55" s="194" t="n"/>
      <c r="T55" s="194" t="n"/>
      <c r="U55" s="194" t="n"/>
      <c r="V55" s="194" t="n"/>
      <c r="W55" s="194" t="n"/>
      <c r="X55" s="194" t="n"/>
      <c r="Y55" s="194" t="n"/>
      <c r="Z55" s="194" t="n"/>
    </row>
    <row r="56" ht="12.75" customHeight="1" s="195">
      <c r="G56" s="194" t="n"/>
      <c r="H56" s="194" t="n"/>
      <c r="I56" s="194" t="n"/>
      <c r="J56" s="194" t="n"/>
      <c r="K56" s="194" t="n"/>
      <c r="L56" s="194" t="n"/>
      <c r="M56" s="194" t="n"/>
      <c r="N56" s="194" t="n"/>
      <c r="O56" s="194" t="n"/>
      <c r="P56" s="194" t="n"/>
      <c r="Q56" s="194" t="n"/>
      <c r="R56" s="194" t="n"/>
      <c r="S56" s="194" t="n"/>
      <c r="T56" s="194" t="n"/>
      <c r="U56" s="194" t="n"/>
      <c r="V56" s="194" t="n"/>
      <c r="W56" s="194" t="n"/>
      <c r="X56" s="194" t="n"/>
      <c r="Y56" s="194" t="n"/>
      <c r="Z56" s="194" t="n"/>
    </row>
    <row r="57" ht="12.75" customHeight="1" s="195">
      <c r="G57" s="194" t="n"/>
      <c r="H57" s="194" t="n"/>
      <c r="I57" s="194" t="n"/>
      <c r="J57" s="194" t="n"/>
      <c r="K57" s="194" t="n"/>
      <c r="L57" s="194" t="n"/>
      <c r="M57" s="194" t="n"/>
      <c r="N57" s="194" t="n"/>
      <c r="O57" s="194" t="n"/>
      <c r="P57" s="194" t="n"/>
      <c r="Q57" s="194" t="n"/>
      <c r="R57" s="194" t="n"/>
      <c r="S57" s="194" t="n"/>
      <c r="T57" s="194" t="n"/>
      <c r="U57" s="194" t="n"/>
      <c r="V57" s="194" t="n"/>
      <c r="W57" s="194" t="n"/>
      <c r="X57" s="194" t="n"/>
      <c r="Y57" s="194" t="n"/>
      <c r="Z57" s="194" t="n"/>
    </row>
    <row r="58" ht="12.75" customHeight="1" s="195">
      <c r="G58" s="194" t="n"/>
      <c r="H58" s="194" t="n"/>
      <c r="I58" s="194" t="n"/>
      <c r="J58" s="194" t="n"/>
      <c r="K58" s="194" t="n"/>
      <c r="L58" s="194" t="n"/>
      <c r="M58" s="194" t="n"/>
      <c r="N58" s="194" t="n"/>
      <c r="O58" s="194" t="n"/>
      <c r="P58" s="194" t="n"/>
      <c r="Q58" s="194" t="n"/>
      <c r="R58" s="194" t="n"/>
      <c r="S58" s="194" t="n"/>
      <c r="T58" s="194" t="n"/>
      <c r="U58" s="194" t="n"/>
      <c r="V58" s="194" t="n"/>
      <c r="W58" s="194" t="n"/>
      <c r="X58" s="194" t="n"/>
      <c r="Y58" s="194" t="n"/>
      <c r="Z58" s="194" t="n"/>
    </row>
    <row r="59" ht="12.75" customHeight="1" s="195">
      <c r="G59" s="194" t="n"/>
      <c r="H59" s="194" t="n"/>
      <c r="I59" s="194" t="n"/>
      <c r="J59" s="194" t="n"/>
      <c r="K59" s="194" t="n"/>
      <c r="L59" s="194" t="n"/>
      <c r="M59" s="194" t="n"/>
      <c r="N59" s="194" t="n"/>
      <c r="O59" s="194" t="n"/>
      <c r="P59" s="194" t="n"/>
      <c r="Q59" s="194" t="n"/>
      <c r="R59" s="194" t="n"/>
      <c r="S59" s="194" t="n"/>
      <c r="T59" s="194" t="n"/>
      <c r="U59" s="194" t="n"/>
      <c r="V59" s="194" t="n"/>
      <c r="W59" s="194" t="n"/>
      <c r="X59" s="194" t="n"/>
      <c r="Y59" s="194" t="n"/>
      <c r="Z59" s="194" t="n"/>
    </row>
    <row r="60" ht="12.75" customHeight="1" s="195">
      <c r="G60" s="194" t="n"/>
      <c r="H60" s="194" t="n"/>
      <c r="I60" s="194" t="n"/>
      <c r="J60" s="194" t="n"/>
      <c r="K60" s="194" t="n"/>
      <c r="L60" s="194" t="n"/>
      <c r="M60" s="194" t="n"/>
      <c r="N60" s="194" t="n"/>
      <c r="O60" s="194" t="n"/>
      <c r="P60" s="194" t="n"/>
      <c r="Q60" s="194" t="n"/>
      <c r="R60" s="194" t="n"/>
      <c r="S60" s="194" t="n"/>
      <c r="T60" s="194" t="n"/>
      <c r="U60" s="194" t="n"/>
      <c r="V60" s="194" t="n"/>
      <c r="W60" s="194" t="n"/>
      <c r="X60" s="194" t="n"/>
      <c r="Y60" s="194" t="n"/>
      <c r="Z60" s="194" t="n"/>
    </row>
    <row r="61" ht="12.75" customHeight="1" s="195">
      <c r="G61" s="194" t="n"/>
      <c r="H61" s="194" t="n"/>
      <c r="I61" s="194" t="n"/>
      <c r="J61" s="194" t="n"/>
      <c r="K61" s="194" t="n"/>
      <c r="L61" s="194" t="n"/>
      <c r="M61" s="194" t="n"/>
      <c r="N61" s="194" t="n"/>
      <c r="O61" s="194" t="n"/>
      <c r="P61" s="194" t="n"/>
      <c r="Q61" s="194" t="n"/>
      <c r="R61" s="194" t="n"/>
      <c r="S61" s="194" t="n"/>
      <c r="T61" s="194" t="n"/>
      <c r="U61" s="194" t="n"/>
      <c r="V61" s="194" t="n"/>
      <c r="W61" s="194" t="n"/>
      <c r="X61" s="194" t="n"/>
      <c r="Y61" s="194" t="n"/>
      <c r="Z61" s="194" t="n"/>
    </row>
    <row r="62" ht="12.75" customHeight="1" s="195">
      <c r="G62" s="194" t="n"/>
      <c r="H62" s="194" t="n"/>
      <c r="I62" s="194" t="n"/>
      <c r="J62" s="194" t="n"/>
      <c r="K62" s="194" t="n"/>
      <c r="L62" s="194" t="n"/>
      <c r="M62" s="194" t="n"/>
      <c r="N62" s="194" t="n"/>
      <c r="O62" s="194" t="n"/>
      <c r="P62" s="194" t="n"/>
      <c r="Q62" s="194" t="n"/>
      <c r="R62" s="194" t="n"/>
      <c r="S62" s="194" t="n"/>
      <c r="T62" s="194" t="n"/>
      <c r="U62" s="194" t="n"/>
      <c r="V62" s="194" t="n"/>
      <c r="W62" s="194" t="n"/>
      <c r="X62" s="194" t="n"/>
      <c r="Y62" s="194" t="n"/>
      <c r="Z62" s="194" t="n"/>
    </row>
    <row r="63" ht="12.75" customHeight="1" s="195">
      <c r="G63" s="194" t="n"/>
      <c r="H63" s="194" t="n"/>
      <c r="I63" s="194" t="n"/>
      <c r="J63" s="194" t="n"/>
      <c r="K63" s="194" t="n"/>
      <c r="L63" s="194" t="n"/>
      <c r="M63" s="194" t="n"/>
      <c r="N63" s="194" t="n"/>
      <c r="O63" s="194" t="n"/>
      <c r="P63" s="194" t="n"/>
      <c r="Q63" s="194" t="n"/>
      <c r="R63" s="194" t="n"/>
      <c r="S63" s="194" t="n"/>
      <c r="T63" s="194" t="n"/>
      <c r="U63" s="194" t="n"/>
      <c r="V63" s="194" t="n"/>
      <c r="W63" s="194" t="n"/>
      <c r="X63" s="194" t="n"/>
      <c r="Y63" s="194" t="n"/>
      <c r="Z63" s="194" t="n"/>
    </row>
    <row r="64" ht="12.75" customHeight="1" s="195">
      <c r="G64" s="194" t="n"/>
      <c r="H64" s="194" t="n"/>
      <c r="I64" s="194" t="n"/>
      <c r="J64" s="194" t="n"/>
      <c r="K64" s="194" t="n"/>
      <c r="L64" s="194" t="n"/>
      <c r="M64" s="194" t="n"/>
      <c r="N64" s="194" t="n"/>
      <c r="O64" s="194" t="n"/>
      <c r="P64" s="194" t="n"/>
      <c r="Q64" s="194" t="n"/>
      <c r="R64" s="194" t="n"/>
      <c r="S64" s="194" t="n"/>
      <c r="T64" s="194" t="n"/>
      <c r="U64" s="194" t="n"/>
      <c r="V64" s="194" t="n"/>
      <c r="W64" s="194" t="n"/>
      <c r="X64" s="194" t="n"/>
      <c r="Y64" s="194" t="n"/>
      <c r="Z64" s="194" t="n"/>
    </row>
    <row r="65" ht="12.75" customHeight="1" s="195">
      <c r="G65" s="194" t="n"/>
      <c r="H65" s="194" t="n"/>
      <c r="I65" s="194" t="n"/>
      <c r="J65" s="194" t="n"/>
      <c r="K65" s="194" t="n"/>
      <c r="L65" s="194" t="n"/>
      <c r="M65" s="194" t="n"/>
      <c r="N65" s="194" t="n"/>
      <c r="O65" s="194" t="n"/>
      <c r="P65" s="194" t="n"/>
      <c r="Q65" s="194" t="n"/>
      <c r="R65" s="194" t="n"/>
      <c r="S65" s="194" t="n"/>
      <c r="T65" s="194" t="n"/>
      <c r="U65" s="194" t="n"/>
      <c r="V65" s="194" t="n"/>
      <c r="W65" s="194" t="n"/>
      <c r="X65" s="194" t="n"/>
      <c r="Y65" s="194" t="n"/>
      <c r="Z65" s="194" t="n"/>
    </row>
    <row r="66" ht="12.75" customHeight="1" s="195">
      <c r="G66" s="194" t="n"/>
      <c r="H66" s="194" t="n"/>
      <c r="I66" s="194" t="n"/>
      <c r="J66" s="194" t="n"/>
      <c r="K66" s="194" t="n"/>
      <c r="L66" s="194" t="n"/>
      <c r="M66" s="194" t="n"/>
      <c r="N66" s="194" t="n"/>
      <c r="O66" s="194" t="n"/>
      <c r="P66" s="194" t="n"/>
      <c r="Q66" s="194" t="n"/>
      <c r="R66" s="194" t="n"/>
      <c r="S66" s="194" t="n"/>
      <c r="T66" s="194" t="n"/>
      <c r="U66" s="194" t="n"/>
      <c r="V66" s="194" t="n"/>
      <c r="W66" s="194" t="n"/>
      <c r="X66" s="194" t="n"/>
      <c r="Y66" s="194" t="n"/>
      <c r="Z66" s="194" t="n"/>
    </row>
    <row r="67" ht="12.75" customHeight="1" s="195">
      <c r="G67" s="194" t="n"/>
      <c r="H67" s="194" t="n"/>
      <c r="I67" s="194" t="n"/>
      <c r="J67" s="194" t="n"/>
      <c r="K67" s="194" t="n"/>
      <c r="L67" s="194" t="n"/>
      <c r="M67" s="194" t="n"/>
      <c r="N67" s="194" t="n"/>
      <c r="O67" s="194" t="n"/>
      <c r="P67" s="194" t="n"/>
      <c r="Q67" s="194" t="n"/>
      <c r="R67" s="194" t="n"/>
      <c r="S67" s="194" t="n"/>
      <c r="T67" s="194" t="n"/>
      <c r="U67" s="194" t="n"/>
      <c r="V67" s="194" t="n"/>
      <c r="W67" s="194" t="n"/>
      <c r="X67" s="194" t="n"/>
      <c r="Y67" s="194" t="n"/>
      <c r="Z67" s="194" t="n"/>
    </row>
    <row r="68" ht="12.75" customHeight="1" s="195">
      <c r="G68" s="194" t="n"/>
      <c r="H68" s="194" t="n"/>
      <c r="I68" s="194" t="n"/>
      <c r="J68" s="194" t="n"/>
      <c r="K68" s="194" t="n"/>
      <c r="L68" s="194" t="n"/>
      <c r="M68" s="194" t="n"/>
      <c r="N68" s="194" t="n"/>
      <c r="O68" s="194" t="n"/>
      <c r="P68" s="194" t="n"/>
      <c r="Q68" s="194" t="n"/>
      <c r="R68" s="194" t="n"/>
      <c r="S68" s="194" t="n"/>
      <c r="T68" s="194" t="n"/>
      <c r="U68" s="194" t="n"/>
      <c r="V68" s="194" t="n"/>
      <c r="W68" s="194" t="n"/>
      <c r="X68" s="194" t="n"/>
      <c r="Y68" s="194" t="n"/>
      <c r="Z68" s="194" t="n"/>
    </row>
    <row r="69" ht="12.75" customHeight="1" s="195">
      <c r="G69" s="194" t="n"/>
      <c r="H69" s="194" t="n"/>
      <c r="I69" s="194" t="n"/>
      <c r="J69" s="194" t="n"/>
      <c r="K69" s="194" t="n"/>
      <c r="L69" s="194" t="n"/>
      <c r="M69" s="194" t="n"/>
      <c r="N69" s="194" t="n"/>
      <c r="O69" s="194" t="n"/>
      <c r="P69" s="194" t="n"/>
      <c r="Q69" s="194" t="n"/>
      <c r="R69" s="194" t="n"/>
      <c r="S69" s="194" t="n"/>
      <c r="T69" s="194" t="n"/>
      <c r="U69" s="194" t="n"/>
      <c r="V69" s="194" t="n"/>
      <c r="W69" s="194" t="n"/>
      <c r="X69" s="194" t="n"/>
      <c r="Y69" s="194" t="n"/>
      <c r="Z69" s="194" t="n"/>
    </row>
    <row r="70" ht="12.75" customHeight="1" s="195">
      <c r="G70" s="194" t="n"/>
      <c r="H70" s="194" t="n"/>
      <c r="I70" s="194" t="n"/>
      <c r="J70" s="194" t="n"/>
      <c r="K70" s="194" t="n"/>
      <c r="L70" s="194" t="n"/>
      <c r="M70" s="194" t="n"/>
      <c r="N70" s="194" t="n"/>
      <c r="O70" s="194" t="n"/>
      <c r="P70" s="194" t="n"/>
      <c r="Q70" s="194" t="n"/>
      <c r="R70" s="194" t="n"/>
      <c r="S70" s="194" t="n"/>
      <c r="T70" s="194" t="n"/>
      <c r="U70" s="194" t="n"/>
      <c r="V70" s="194" t="n"/>
      <c r="W70" s="194" t="n"/>
      <c r="X70" s="194" t="n"/>
      <c r="Y70" s="194" t="n"/>
      <c r="Z70" s="194" t="n"/>
    </row>
    <row r="71" ht="15.75" customHeight="1" s="195">
      <c r="G71" s="194" t="n"/>
      <c r="H71" s="194" t="n"/>
      <c r="I71" s="194" t="n"/>
      <c r="J71" s="194" t="n"/>
      <c r="K71" s="194" t="n"/>
      <c r="L71" s="194" t="n"/>
      <c r="M71" s="194" t="n"/>
      <c r="N71" s="194" t="n"/>
      <c r="O71" s="194" t="n"/>
      <c r="P71" s="194" t="n"/>
      <c r="Q71" s="194" t="n"/>
      <c r="R71" s="194" t="n"/>
      <c r="S71" s="194" t="n"/>
      <c r="T71" s="194" t="n"/>
      <c r="U71" s="194" t="n"/>
      <c r="V71" s="194" t="n"/>
      <c r="W71" s="194" t="n"/>
      <c r="X71" s="194" t="n"/>
      <c r="Y71" s="194" t="n"/>
      <c r="Z71" s="194" t="n"/>
    </row>
    <row r="72" ht="15.75" customHeight="1" s="195">
      <c r="G72" s="194" t="n"/>
      <c r="H72" s="194" t="n"/>
      <c r="I72" s="194" t="n"/>
      <c r="J72" s="194" t="n"/>
      <c r="K72" s="194" t="n"/>
      <c r="L72" s="194" t="n"/>
      <c r="M72" s="194" t="n"/>
      <c r="N72" s="194" t="n"/>
      <c r="O72" s="194" t="n"/>
      <c r="P72" s="194" t="n"/>
      <c r="Q72" s="194" t="n"/>
      <c r="R72" s="194" t="n"/>
      <c r="S72" s="194" t="n"/>
      <c r="T72" s="194" t="n"/>
      <c r="U72" s="194" t="n"/>
      <c r="V72" s="194" t="n"/>
      <c r="W72" s="194" t="n"/>
      <c r="X72" s="194" t="n"/>
      <c r="Y72" s="194" t="n"/>
      <c r="Z72" s="194" t="n"/>
    </row>
    <row r="73" ht="15.75" customHeight="1" s="195">
      <c r="G73" s="194" t="n"/>
      <c r="H73" s="194" t="n"/>
      <c r="I73" s="194" t="n"/>
      <c r="J73" s="194" t="n"/>
      <c r="K73" s="194" t="n"/>
      <c r="L73" s="194" t="n"/>
      <c r="M73" s="194" t="n"/>
      <c r="N73" s="194" t="n"/>
      <c r="O73" s="194" t="n"/>
      <c r="P73" s="194" t="n"/>
      <c r="Q73" s="194" t="n"/>
      <c r="R73" s="194" t="n"/>
      <c r="S73" s="194" t="n"/>
      <c r="T73" s="194" t="n"/>
      <c r="U73" s="194" t="n"/>
      <c r="V73" s="194" t="n"/>
      <c r="W73" s="194" t="n"/>
      <c r="X73" s="194" t="n"/>
      <c r="Y73" s="194" t="n"/>
      <c r="Z73" s="194" t="n"/>
    </row>
    <row r="74" ht="15.75" customHeight="1" s="195">
      <c r="G74" s="194" t="n"/>
      <c r="H74" s="194" t="n"/>
      <c r="I74" s="194" t="n"/>
      <c r="J74" s="194" t="n"/>
      <c r="K74" s="194" t="n"/>
      <c r="L74" s="194" t="n"/>
      <c r="M74" s="194" t="n"/>
      <c r="N74" s="194" t="n"/>
      <c r="O74" s="194" t="n"/>
      <c r="P74" s="194" t="n"/>
      <c r="Q74" s="194" t="n"/>
      <c r="R74" s="194" t="n"/>
      <c r="S74" s="194" t="n"/>
      <c r="T74" s="194" t="n"/>
      <c r="U74" s="194" t="n"/>
      <c r="V74" s="194" t="n"/>
      <c r="W74" s="194" t="n"/>
      <c r="X74" s="194" t="n"/>
      <c r="Y74" s="194" t="n"/>
      <c r="Z74" s="194" t="n"/>
    </row>
    <row r="75" ht="15.75" customHeight="1" s="195">
      <c r="G75" s="194" t="n"/>
      <c r="H75" s="194" t="n"/>
      <c r="I75" s="194" t="n"/>
      <c r="J75" s="194" t="n"/>
      <c r="K75" s="194" t="n"/>
      <c r="L75" s="194" t="n"/>
      <c r="M75" s="194" t="n"/>
      <c r="N75" s="194" t="n"/>
      <c r="O75" s="194" t="n"/>
      <c r="P75" s="194" t="n"/>
      <c r="Q75" s="194" t="n"/>
      <c r="R75" s="194" t="n"/>
      <c r="S75" s="194" t="n"/>
      <c r="T75" s="194" t="n"/>
      <c r="U75" s="194" t="n"/>
      <c r="V75" s="194" t="n"/>
      <c r="W75" s="194" t="n"/>
      <c r="X75" s="194" t="n"/>
      <c r="Y75" s="194" t="n"/>
      <c r="Z75" s="194" t="n"/>
    </row>
    <row r="76" ht="15.75" customHeight="1" s="195">
      <c r="G76" s="194" t="n"/>
      <c r="H76" s="194" t="n"/>
      <c r="I76" s="194" t="n"/>
      <c r="J76" s="194" t="n"/>
      <c r="K76" s="194" t="n"/>
      <c r="L76" s="194" t="n"/>
      <c r="M76" s="194" t="n"/>
      <c r="N76" s="194" t="n"/>
      <c r="O76" s="194" t="n"/>
      <c r="P76" s="194" t="n"/>
      <c r="Q76" s="194" t="n"/>
      <c r="R76" s="194" t="n"/>
      <c r="S76" s="194" t="n"/>
      <c r="T76" s="194" t="n"/>
      <c r="U76" s="194" t="n"/>
      <c r="V76" s="194" t="n"/>
      <c r="W76" s="194" t="n"/>
      <c r="X76" s="194" t="n"/>
      <c r="Y76" s="194" t="n"/>
      <c r="Z76" s="194" t="n"/>
    </row>
    <row r="77" ht="15.75" customHeight="1" s="195">
      <c r="G77" s="194" t="n"/>
      <c r="H77" s="194" t="n"/>
      <c r="I77" s="194" t="n"/>
      <c r="J77" s="194" t="n"/>
      <c r="K77" s="194" t="n"/>
      <c r="L77" s="194" t="n"/>
      <c r="M77" s="194" t="n"/>
      <c r="N77" s="194" t="n"/>
      <c r="O77" s="194" t="n"/>
      <c r="P77" s="194" t="n"/>
      <c r="Q77" s="194" t="n"/>
      <c r="R77" s="194" t="n"/>
      <c r="S77" s="194" t="n"/>
      <c r="T77" s="194" t="n"/>
      <c r="U77" s="194" t="n"/>
      <c r="V77" s="194" t="n"/>
      <c r="W77" s="194" t="n"/>
      <c r="X77" s="194" t="n"/>
      <c r="Y77" s="194" t="n"/>
      <c r="Z77" s="194" t="n"/>
    </row>
    <row r="78" ht="15.75" customHeight="1" s="195">
      <c r="G78" s="194" t="n"/>
      <c r="H78" s="194" t="n"/>
      <c r="I78" s="194" t="n"/>
      <c r="J78" s="194" t="n"/>
      <c r="K78" s="194" t="n"/>
      <c r="L78" s="194" t="n"/>
      <c r="M78" s="194" t="n"/>
      <c r="N78" s="194" t="n"/>
      <c r="O78" s="194" t="n"/>
      <c r="P78" s="194" t="n"/>
      <c r="Q78" s="194" t="n"/>
      <c r="R78" s="194" t="n"/>
      <c r="S78" s="194" t="n"/>
      <c r="T78" s="194" t="n"/>
      <c r="U78" s="194" t="n"/>
      <c r="V78" s="194" t="n"/>
      <c r="W78" s="194" t="n"/>
      <c r="X78" s="194" t="n"/>
      <c r="Y78" s="194" t="n"/>
      <c r="Z78" s="194" t="n"/>
    </row>
    <row r="79" ht="15.75" customHeight="1" s="195">
      <c r="G79" s="194" t="n"/>
      <c r="H79" s="194" t="n"/>
      <c r="I79" s="194" t="n"/>
      <c r="J79" s="194" t="n"/>
      <c r="K79" s="194" t="n"/>
      <c r="L79" s="194" t="n"/>
      <c r="M79" s="194" t="n"/>
      <c r="N79" s="194" t="n"/>
      <c r="O79" s="194" t="n"/>
      <c r="P79" s="194" t="n"/>
      <c r="Q79" s="194" t="n"/>
      <c r="R79" s="194" t="n"/>
      <c r="S79" s="194" t="n"/>
      <c r="T79" s="194" t="n"/>
      <c r="U79" s="194" t="n"/>
      <c r="V79" s="194" t="n"/>
      <c r="W79" s="194" t="n"/>
      <c r="X79" s="194" t="n"/>
      <c r="Y79" s="194" t="n"/>
      <c r="Z79" s="194" t="n"/>
    </row>
    <row r="80" ht="15.75" customHeight="1" s="195">
      <c r="G80" s="194" t="n"/>
      <c r="H80" s="194" t="n"/>
      <c r="I80" s="194" t="n"/>
      <c r="J80" s="194" t="n"/>
      <c r="K80" s="194" t="n"/>
      <c r="L80" s="194" t="n"/>
      <c r="M80" s="194" t="n"/>
      <c r="N80" s="194" t="n"/>
      <c r="O80" s="194" t="n"/>
      <c r="P80" s="194" t="n"/>
      <c r="Q80" s="194" t="n"/>
      <c r="R80" s="194" t="n"/>
      <c r="S80" s="194" t="n"/>
      <c r="T80" s="194" t="n"/>
      <c r="U80" s="194" t="n"/>
      <c r="V80" s="194" t="n"/>
      <c r="W80" s="194" t="n"/>
      <c r="X80" s="194" t="n"/>
      <c r="Y80" s="194" t="n"/>
      <c r="Z80" s="194" t="n"/>
    </row>
    <row r="81" ht="15.75" customHeight="1" s="195">
      <c r="G81" s="194" t="n"/>
      <c r="H81" s="194" t="n"/>
      <c r="I81" s="194" t="n"/>
      <c r="J81" s="194" t="n"/>
      <c r="K81" s="194" t="n"/>
      <c r="L81" s="194" t="n"/>
      <c r="M81" s="194" t="n"/>
      <c r="N81" s="194" t="n"/>
      <c r="O81" s="194" t="n"/>
      <c r="P81" s="194" t="n"/>
      <c r="Q81" s="194" t="n"/>
      <c r="R81" s="194" t="n"/>
      <c r="S81" s="194" t="n"/>
      <c r="T81" s="194" t="n"/>
      <c r="U81" s="194" t="n"/>
      <c r="V81" s="194" t="n"/>
      <c r="W81" s="194" t="n"/>
      <c r="X81" s="194" t="n"/>
      <c r="Y81" s="194" t="n"/>
      <c r="Z81" s="194" t="n"/>
    </row>
    <row r="82" ht="15.75" customHeight="1" s="195">
      <c r="G82" s="194" t="n"/>
      <c r="H82" s="194" t="n"/>
      <c r="I82" s="194" t="n"/>
      <c r="J82" s="194" t="n"/>
      <c r="K82" s="194" t="n"/>
      <c r="L82" s="194" t="n"/>
      <c r="M82" s="194" t="n"/>
      <c r="N82" s="194" t="n"/>
      <c r="O82" s="194" t="n"/>
      <c r="P82" s="194" t="n"/>
      <c r="Q82" s="194" t="n"/>
      <c r="R82" s="194" t="n"/>
      <c r="S82" s="194" t="n"/>
      <c r="T82" s="194" t="n"/>
      <c r="U82" s="194" t="n"/>
      <c r="V82" s="194" t="n"/>
      <c r="W82" s="194" t="n"/>
      <c r="X82" s="194" t="n"/>
      <c r="Y82" s="194" t="n"/>
      <c r="Z82" s="194" t="n"/>
    </row>
    <row r="83" ht="15.75" customHeight="1" s="195">
      <c r="G83" s="194" t="n"/>
      <c r="H83" s="194" t="n"/>
      <c r="I83" s="194" t="n"/>
      <c r="J83" s="194" t="n"/>
      <c r="K83" s="194" t="n"/>
      <c r="L83" s="194" t="n"/>
      <c r="M83" s="194" t="n"/>
      <c r="N83" s="194" t="n"/>
      <c r="O83" s="194" t="n"/>
      <c r="P83" s="194" t="n"/>
      <c r="Q83" s="194" t="n"/>
      <c r="R83" s="194" t="n"/>
      <c r="S83" s="194" t="n"/>
      <c r="T83" s="194" t="n"/>
      <c r="U83" s="194" t="n"/>
      <c r="V83" s="194" t="n"/>
      <c r="W83" s="194" t="n"/>
      <c r="X83" s="194" t="n"/>
      <c r="Y83" s="194" t="n"/>
      <c r="Z83" s="194" t="n"/>
    </row>
    <row r="84" ht="15.75" customHeight="1" s="195">
      <c r="G84" s="194" t="n"/>
      <c r="H84" s="194" t="n"/>
      <c r="I84" s="194" t="n"/>
      <c r="J84" s="194" t="n"/>
      <c r="K84" s="194" t="n"/>
      <c r="L84" s="194" t="n"/>
      <c r="M84" s="194" t="n"/>
      <c r="N84" s="194" t="n"/>
      <c r="O84" s="194" t="n"/>
      <c r="P84" s="194" t="n"/>
      <c r="Q84" s="194" t="n"/>
      <c r="R84" s="194" t="n"/>
      <c r="S84" s="194" t="n"/>
      <c r="T84" s="194" t="n"/>
      <c r="U84" s="194" t="n"/>
      <c r="V84" s="194" t="n"/>
      <c r="W84" s="194" t="n"/>
      <c r="X84" s="194" t="n"/>
      <c r="Y84" s="194" t="n"/>
      <c r="Z84" s="194" t="n"/>
    </row>
    <row r="85" ht="15.75" customHeight="1" s="195">
      <c r="G85" s="194" t="n"/>
      <c r="H85" s="194" t="n"/>
      <c r="I85" s="194" t="n"/>
      <c r="J85" s="194" t="n"/>
      <c r="K85" s="194" t="n"/>
      <c r="L85" s="194" t="n"/>
      <c r="M85" s="194" t="n"/>
      <c r="N85" s="194" t="n"/>
      <c r="O85" s="194" t="n"/>
      <c r="P85" s="194" t="n"/>
      <c r="Q85" s="194" t="n"/>
      <c r="R85" s="194" t="n"/>
      <c r="S85" s="194" t="n"/>
      <c r="T85" s="194" t="n"/>
      <c r="U85" s="194" t="n"/>
      <c r="V85" s="194" t="n"/>
      <c r="W85" s="194" t="n"/>
      <c r="X85" s="194" t="n"/>
      <c r="Y85" s="194" t="n"/>
      <c r="Z85" s="194" t="n"/>
    </row>
    <row r="86" ht="15.75" customHeight="1" s="195">
      <c r="G86" s="194" t="n"/>
      <c r="H86" s="194" t="n"/>
      <c r="I86" s="194" t="n"/>
      <c r="J86" s="194" t="n"/>
      <c r="K86" s="194" t="n"/>
      <c r="L86" s="194" t="n"/>
      <c r="M86" s="194" t="n"/>
      <c r="N86" s="194" t="n"/>
      <c r="O86" s="194" t="n"/>
      <c r="P86" s="194" t="n"/>
      <c r="Q86" s="194" t="n"/>
      <c r="R86" s="194" t="n"/>
      <c r="S86" s="194" t="n"/>
      <c r="T86" s="194" t="n"/>
      <c r="U86" s="194" t="n"/>
      <c r="V86" s="194" t="n"/>
      <c r="W86" s="194" t="n"/>
      <c r="X86" s="194" t="n"/>
      <c r="Y86" s="194" t="n"/>
      <c r="Z86" s="194" t="n"/>
    </row>
    <row r="87" ht="15.75" customHeight="1" s="195">
      <c r="G87" s="194" t="n"/>
      <c r="H87" s="194" t="n"/>
      <c r="I87" s="194" t="n"/>
      <c r="J87" s="194" t="n"/>
      <c r="K87" s="194" t="n"/>
      <c r="L87" s="194" t="n"/>
      <c r="M87" s="194" t="n"/>
      <c r="N87" s="194" t="n"/>
      <c r="O87" s="194" t="n"/>
      <c r="P87" s="194" t="n"/>
      <c r="Q87" s="194" t="n"/>
      <c r="R87" s="194" t="n"/>
      <c r="S87" s="194" t="n"/>
      <c r="T87" s="194" t="n"/>
      <c r="U87" s="194" t="n"/>
      <c r="V87" s="194" t="n"/>
      <c r="W87" s="194" t="n"/>
      <c r="X87" s="194" t="n"/>
      <c r="Y87" s="194" t="n"/>
      <c r="Z87" s="194" t="n"/>
    </row>
    <row r="88" ht="15.75" customHeight="1" s="195">
      <c r="G88" s="194" t="n"/>
      <c r="H88" s="194" t="n"/>
      <c r="I88" s="194" t="n"/>
      <c r="J88" s="194" t="n"/>
      <c r="K88" s="194" t="n"/>
      <c r="L88" s="194" t="n"/>
      <c r="M88" s="194" t="n"/>
      <c r="N88" s="194" t="n"/>
      <c r="O88" s="194" t="n"/>
      <c r="P88" s="194" t="n"/>
      <c r="Q88" s="194" t="n"/>
      <c r="R88" s="194" t="n"/>
      <c r="S88" s="194" t="n"/>
      <c r="T88" s="194" t="n"/>
      <c r="U88" s="194" t="n"/>
      <c r="V88" s="194" t="n"/>
      <c r="W88" s="194" t="n"/>
      <c r="X88" s="194" t="n"/>
      <c r="Y88" s="194" t="n"/>
      <c r="Z88" s="194" t="n"/>
    </row>
    <row r="89" ht="15.75" customHeight="1" s="195">
      <c r="G89" s="194" t="n"/>
      <c r="H89" s="194" t="n"/>
      <c r="I89" s="194" t="n"/>
      <c r="J89" s="194" t="n"/>
      <c r="K89" s="194" t="n"/>
      <c r="L89" s="194" t="n"/>
      <c r="M89" s="194" t="n"/>
      <c r="N89" s="194" t="n"/>
      <c r="O89" s="194" t="n"/>
      <c r="P89" s="194" t="n"/>
      <c r="Q89" s="194" t="n"/>
      <c r="R89" s="194" t="n"/>
      <c r="S89" s="194" t="n"/>
      <c r="T89" s="194" t="n"/>
      <c r="U89" s="194" t="n"/>
      <c r="V89" s="194" t="n"/>
      <c r="W89" s="194" t="n"/>
      <c r="X89" s="194" t="n"/>
      <c r="Y89" s="194" t="n"/>
      <c r="Z89" s="194" t="n"/>
    </row>
    <row r="90" ht="15.75" customHeight="1" s="195">
      <c r="G90" s="194" t="n"/>
      <c r="H90" s="194" t="n"/>
      <c r="I90" s="194" t="n"/>
      <c r="J90" s="194" t="n"/>
      <c r="K90" s="194" t="n"/>
      <c r="L90" s="194" t="n"/>
      <c r="M90" s="194" t="n"/>
      <c r="N90" s="194" t="n"/>
      <c r="O90" s="194" t="n"/>
      <c r="P90" s="194" t="n"/>
      <c r="Q90" s="194" t="n"/>
      <c r="R90" s="194" t="n"/>
      <c r="S90" s="194" t="n"/>
      <c r="T90" s="194" t="n"/>
      <c r="U90" s="194" t="n"/>
      <c r="V90" s="194" t="n"/>
      <c r="W90" s="194" t="n"/>
      <c r="X90" s="194" t="n"/>
      <c r="Y90" s="194" t="n"/>
      <c r="Z90" s="194" t="n"/>
    </row>
    <row r="91" ht="15.75" customHeight="1" s="195">
      <c r="G91" s="194" t="n"/>
      <c r="H91" s="194" t="n"/>
      <c r="I91" s="194" t="n"/>
      <c r="J91" s="194" t="n"/>
      <c r="K91" s="194" t="n"/>
      <c r="L91" s="194" t="n"/>
      <c r="M91" s="194" t="n"/>
      <c r="N91" s="194" t="n"/>
      <c r="O91" s="194" t="n"/>
      <c r="P91" s="194" t="n"/>
      <c r="Q91" s="194" t="n"/>
      <c r="R91" s="194" t="n"/>
      <c r="S91" s="194" t="n"/>
      <c r="T91" s="194" t="n"/>
      <c r="U91" s="194" t="n"/>
      <c r="V91" s="194" t="n"/>
      <c r="W91" s="194" t="n"/>
      <c r="X91" s="194" t="n"/>
      <c r="Y91" s="194" t="n"/>
      <c r="Z91" s="194" t="n"/>
    </row>
    <row r="92" ht="15.75" customHeight="1" s="195">
      <c r="G92" s="194" t="n"/>
      <c r="H92" s="194" t="n"/>
      <c r="I92" s="194" t="n"/>
      <c r="J92" s="194" t="n"/>
      <c r="K92" s="194" t="n"/>
      <c r="L92" s="194" t="n"/>
      <c r="M92" s="194" t="n"/>
      <c r="N92" s="194" t="n"/>
      <c r="O92" s="194" t="n"/>
      <c r="P92" s="194" t="n"/>
      <c r="Q92" s="194" t="n"/>
      <c r="R92" s="194" t="n"/>
      <c r="S92" s="194" t="n"/>
      <c r="T92" s="194" t="n"/>
      <c r="U92" s="194" t="n"/>
      <c r="V92" s="194" t="n"/>
      <c r="W92" s="194" t="n"/>
      <c r="X92" s="194" t="n"/>
      <c r="Y92" s="194" t="n"/>
      <c r="Z92" s="194" t="n"/>
    </row>
    <row r="93" ht="15.75" customHeight="1" s="195">
      <c r="G93" s="194" t="n"/>
      <c r="H93" s="194" t="n"/>
      <c r="I93" s="194" t="n"/>
      <c r="J93" s="194" t="n"/>
      <c r="K93" s="194" t="n"/>
      <c r="L93" s="194" t="n"/>
      <c r="M93" s="194" t="n"/>
      <c r="N93" s="194" t="n"/>
      <c r="O93" s="194" t="n"/>
      <c r="P93" s="194" t="n"/>
      <c r="Q93" s="194" t="n"/>
      <c r="R93" s="194" t="n"/>
      <c r="S93" s="194" t="n"/>
      <c r="T93" s="194" t="n"/>
      <c r="U93" s="194" t="n"/>
      <c r="V93" s="194" t="n"/>
      <c r="W93" s="194" t="n"/>
      <c r="X93" s="194" t="n"/>
      <c r="Y93" s="194" t="n"/>
      <c r="Z93" s="194" t="n"/>
    </row>
    <row r="94" ht="15.75" customHeight="1" s="195">
      <c r="G94" s="194" t="n"/>
      <c r="H94" s="194" t="n"/>
      <c r="I94" s="194" t="n"/>
      <c r="J94" s="194" t="n"/>
      <c r="K94" s="194" t="n"/>
      <c r="L94" s="194" t="n"/>
      <c r="M94" s="194" t="n"/>
      <c r="N94" s="194" t="n"/>
      <c r="O94" s="194" t="n"/>
      <c r="P94" s="194" t="n"/>
      <c r="Q94" s="194" t="n"/>
      <c r="R94" s="194" t="n"/>
      <c r="S94" s="194" t="n"/>
      <c r="T94" s="194" t="n"/>
      <c r="U94" s="194" t="n"/>
      <c r="V94" s="194" t="n"/>
      <c r="W94" s="194" t="n"/>
      <c r="X94" s="194" t="n"/>
      <c r="Y94" s="194" t="n"/>
      <c r="Z94" s="194" t="n"/>
    </row>
    <row r="95" ht="15.75" customHeight="1" s="195">
      <c r="G95" s="194" t="n"/>
      <c r="H95" s="194" t="n"/>
      <c r="I95" s="194" t="n"/>
      <c r="J95" s="194" t="n"/>
      <c r="K95" s="194" t="n"/>
      <c r="L95" s="194" t="n"/>
      <c r="M95" s="194" t="n"/>
      <c r="N95" s="194" t="n"/>
      <c r="O95" s="194" t="n"/>
      <c r="P95" s="194" t="n"/>
      <c r="Q95" s="194" t="n"/>
      <c r="R95" s="194" t="n"/>
      <c r="S95" s="194" t="n"/>
      <c r="T95" s="194" t="n"/>
      <c r="U95" s="194" t="n"/>
      <c r="V95" s="194" t="n"/>
      <c r="W95" s="194" t="n"/>
      <c r="X95" s="194" t="n"/>
      <c r="Y95" s="194" t="n"/>
      <c r="Z95" s="194" t="n"/>
    </row>
    <row r="96" ht="15.75" customHeight="1" s="195">
      <c r="G96" s="194" t="n"/>
      <c r="H96" s="194" t="n"/>
      <c r="I96" s="194" t="n"/>
      <c r="J96" s="194" t="n"/>
      <c r="K96" s="194" t="n"/>
      <c r="L96" s="194" t="n"/>
      <c r="M96" s="194" t="n"/>
      <c r="N96" s="194" t="n"/>
      <c r="O96" s="194" t="n"/>
      <c r="P96" s="194" t="n"/>
      <c r="Q96" s="194" t="n"/>
      <c r="R96" s="194" t="n"/>
      <c r="S96" s="194" t="n"/>
      <c r="T96" s="194" t="n"/>
      <c r="U96" s="194" t="n"/>
      <c r="V96" s="194" t="n"/>
      <c r="W96" s="194" t="n"/>
      <c r="X96" s="194" t="n"/>
      <c r="Y96" s="194" t="n"/>
      <c r="Z96" s="194" t="n"/>
    </row>
    <row r="97" ht="15.75" customHeight="1" s="195">
      <c r="G97" s="194" t="n"/>
      <c r="H97" s="194" t="n"/>
      <c r="I97" s="194" t="n"/>
      <c r="J97" s="194" t="n"/>
      <c r="K97" s="194" t="n"/>
      <c r="L97" s="194" t="n"/>
      <c r="M97" s="194" t="n"/>
      <c r="N97" s="194" t="n"/>
      <c r="O97" s="194" t="n"/>
      <c r="P97" s="194" t="n"/>
      <c r="Q97" s="194" t="n"/>
      <c r="R97" s="194" t="n"/>
      <c r="S97" s="194" t="n"/>
      <c r="T97" s="194" t="n"/>
      <c r="U97" s="194" t="n"/>
      <c r="V97" s="194" t="n"/>
      <c r="W97" s="194" t="n"/>
      <c r="X97" s="194" t="n"/>
      <c r="Y97" s="194" t="n"/>
      <c r="Z97" s="194" t="n"/>
    </row>
    <row r="98" ht="15.75" customHeight="1" s="195">
      <c r="G98" s="194" t="n"/>
      <c r="H98" s="194" t="n"/>
      <c r="I98" s="194" t="n"/>
      <c r="J98" s="194" t="n"/>
      <c r="K98" s="194" t="n"/>
      <c r="L98" s="194" t="n"/>
      <c r="M98" s="194" t="n"/>
      <c r="N98" s="194" t="n"/>
      <c r="O98" s="194" t="n"/>
      <c r="P98" s="194" t="n"/>
      <c r="Q98" s="194" t="n"/>
      <c r="R98" s="194" t="n"/>
      <c r="S98" s="194" t="n"/>
      <c r="T98" s="194" t="n"/>
      <c r="U98" s="194" t="n"/>
      <c r="V98" s="194" t="n"/>
      <c r="W98" s="194" t="n"/>
      <c r="X98" s="194" t="n"/>
      <c r="Y98" s="194" t="n"/>
      <c r="Z98" s="194" t="n"/>
    </row>
    <row r="99" ht="15.75" customHeight="1" s="195">
      <c r="G99" s="194" t="n"/>
      <c r="H99" s="194" t="n"/>
      <c r="I99" s="194" t="n"/>
      <c r="J99" s="194" t="n"/>
      <c r="K99" s="194" t="n"/>
      <c r="L99" s="194" t="n"/>
      <c r="M99" s="194" t="n"/>
      <c r="N99" s="194" t="n"/>
      <c r="O99" s="194" t="n"/>
      <c r="P99" s="194" t="n"/>
      <c r="Q99" s="194" t="n"/>
      <c r="R99" s="194" t="n"/>
      <c r="S99" s="194" t="n"/>
      <c r="T99" s="194" t="n"/>
      <c r="U99" s="194" t="n"/>
      <c r="V99" s="194" t="n"/>
      <c r="W99" s="194" t="n"/>
      <c r="X99" s="194" t="n"/>
      <c r="Y99" s="194" t="n"/>
      <c r="Z99" s="194" t="n"/>
    </row>
    <row r="100" ht="15.75" customHeight="1" s="195">
      <c r="G100" s="194" t="n"/>
      <c r="H100" s="194" t="n"/>
      <c r="I100" s="194" t="n"/>
      <c r="J100" s="194" t="n"/>
      <c r="K100" s="194" t="n"/>
      <c r="L100" s="194" t="n"/>
      <c r="M100" s="194" t="n"/>
      <c r="N100" s="194" t="n"/>
      <c r="O100" s="194" t="n"/>
      <c r="P100" s="194" t="n"/>
      <c r="Q100" s="194" t="n"/>
      <c r="R100" s="194" t="n"/>
      <c r="S100" s="194" t="n"/>
      <c r="T100" s="194" t="n"/>
      <c r="U100" s="194" t="n"/>
      <c r="V100" s="194" t="n"/>
      <c r="W100" s="194" t="n"/>
      <c r="X100" s="194" t="n"/>
      <c r="Y100" s="194" t="n"/>
      <c r="Z100" s="194" t="n"/>
    </row>
    <row r="101" ht="15.75" customHeight="1" s="195">
      <c r="G101" s="194" t="n"/>
      <c r="H101" s="194" t="n"/>
      <c r="I101" s="194" t="n"/>
      <c r="J101" s="194" t="n"/>
      <c r="K101" s="194" t="n"/>
      <c r="L101" s="194" t="n"/>
      <c r="M101" s="194" t="n"/>
      <c r="N101" s="194" t="n"/>
      <c r="O101" s="194" t="n"/>
      <c r="P101" s="194" t="n"/>
      <c r="Q101" s="194" t="n"/>
      <c r="R101" s="194" t="n"/>
      <c r="S101" s="194" t="n"/>
      <c r="T101" s="194" t="n"/>
      <c r="U101" s="194" t="n"/>
      <c r="V101" s="194" t="n"/>
      <c r="W101" s="194" t="n"/>
      <c r="X101" s="194" t="n"/>
      <c r="Y101" s="194" t="n"/>
      <c r="Z101" s="194" t="n"/>
    </row>
    <row r="102" ht="15.75" customHeight="1" s="195">
      <c r="G102" s="194" t="n"/>
      <c r="H102" s="194" t="n"/>
      <c r="I102" s="194" t="n"/>
      <c r="J102" s="194" t="n"/>
      <c r="K102" s="194" t="n"/>
      <c r="L102" s="194" t="n"/>
      <c r="M102" s="194" t="n"/>
      <c r="N102" s="194" t="n"/>
      <c r="O102" s="194" t="n"/>
      <c r="P102" s="194" t="n"/>
      <c r="Q102" s="194" t="n"/>
      <c r="R102" s="194" t="n"/>
      <c r="S102" s="194" t="n"/>
      <c r="T102" s="194" t="n"/>
      <c r="U102" s="194" t="n"/>
      <c r="V102" s="194" t="n"/>
      <c r="W102" s="194" t="n"/>
      <c r="X102" s="194" t="n"/>
      <c r="Y102" s="194" t="n"/>
      <c r="Z102" s="194" t="n"/>
    </row>
    <row r="103" ht="15.75" customHeight="1" s="195">
      <c r="G103" s="194" t="n"/>
      <c r="H103" s="194" t="n"/>
      <c r="I103" s="194" t="n"/>
      <c r="J103" s="194" t="n"/>
      <c r="K103" s="194" t="n"/>
      <c r="L103" s="194" t="n"/>
      <c r="M103" s="194" t="n"/>
      <c r="N103" s="194" t="n"/>
      <c r="O103" s="194" t="n"/>
      <c r="P103" s="194" t="n"/>
      <c r="Q103" s="194" t="n"/>
      <c r="R103" s="194" t="n"/>
      <c r="S103" s="194" t="n"/>
      <c r="T103" s="194" t="n"/>
      <c r="U103" s="194" t="n"/>
      <c r="V103" s="194" t="n"/>
      <c r="W103" s="194" t="n"/>
      <c r="X103" s="194" t="n"/>
      <c r="Y103" s="194" t="n"/>
      <c r="Z103" s="194" t="n"/>
    </row>
    <row r="104" ht="15.75" customHeight="1" s="195">
      <c r="G104" s="194" t="n"/>
      <c r="H104" s="194" t="n"/>
      <c r="I104" s="194" t="n"/>
      <c r="J104" s="194" t="n"/>
      <c r="K104" s="194" t="n"/>
      <c r="L104" s="194" t="n"/>
      <c r="M104" s="194" t="n"/>
      <c r="N104" s="194" t="n"/>
      <c r="O104" s="194" t="n"/>
      <c r="P104" s="194" t="n"/>
      <c r="Q104" s="194" t="n"/>
      <c r="R104" s="194" t="n"/>
      <c r="S104" s="194" t="n"/>
      <c r="T104" s="194" t="n"/>
      <c r="U104" s="194" t="n"/>
      <c r="V104" s="194" t="n"/>
      <c r="W104" s="194" t="n"/>
      <c r="X104" s="194" t="n"/>
      <c r="Y104" s="194" t="n"/>
      <c r="Z104" s="194" t="n"/>
    </row>
    <row r="105" ht="15.75" customHeight="1" s="195">
      <c r="G105" s="194" t="n"/>
      <c r="H105" s="194" t="n"/>
      <c r="I105" s="194" t="n"/>
      <c r="J105" s="194" t="n"/>
      <c r="K105" s="194" t="n"/>
      <c r="L105" s="194" t="n"/>
      <c r="M105" s="194" t="n"/>
      <c r="N105" s="194" t="n"/>
      <c r="O105" s="194" t="n"/>
      <c r="P105" s="194" t="n"/>
      <c r="Q105" s="194" t="n"/>
      <c r="R105" s="194" t="n"/>
      <c r="S105" s="194" t="n"/>
      <c r="T105" s="194" t="n"/>
      <c r="U105" s="194" t="n"/>
      <c r="V105" s="194" t="n"/>
      <c r="W105" s="194" t="n"/>
      <c r="X105" s="194" t="n"/>
      <c r="Y105" s="194" t="n"/>
      <c r="Z105" s="194" t="n"/>
    </row>
    <row r="106" ht="15.75" customHeight="1" s="195">
      <c r="G106" s="194" t="n"/>
      <c r="H106" s="194" t="n"/>
      <c r="I106" s="194" t="n"/>
      <c r="J106" s="194" t="n"/>
      <c r="K106" s="194" t="n"/>
      <c r="L106" s="194" t="n"/>
      <c r="M106" s="194" t="n"/>
      <c r="N106" s="194" t="n"/>
      <c r="O106" s="194" t="n"/>
      <c r="P106" s="194" t="n"/>
      <c r="Q106" s="194" t="n"/>
      <c r="R106" s="194" t="n"/>
      <c r="S106" s="194" t="n"/>
      <c r="T106" s="194" t="n"/>
      <c r="U106" s="194" t="n"/>
      <c r="V106" s="194" t="n"/>
      <c r="W106" s="194" t="n"/>
      <c r="X106" s="194" t="n"/>
      <c r="Y106" s="194" t="n"/>
      <c r="Z106" s="194" t="n"/>
    </row>
    <row r="107" ht="15.75" customHeight="1" s="195">
      <c r="G107" s="194" t="n"/>
      <c r="H107" s="194" t="n"/>
      <c r="I107" s="194" t="n"/>
      <c r="J107" s="194" t="n"/>
      <c r="K107" s="194" t="n"/>
      <c r="L107" s="194" t="n"/>
      <c r="M107" s="194" t="n"/>
      <c r="N107" s="194" t="n"/>
      <c r="O107" s="194" t="n"/>
      <c r="P107" s="194" t="n"/>
      <c r="Q107" s="194" t="n"/>
      <c r="R107" s="194" t="n"/>
      <c r="S107" s="194" t="n"/>
      <c r="T107" s="194" t="n"/>
      <c r="U107" s="194" t="n"/>
      <c r="V107" s="194" t="n"/>
      <c r="W107" s="194" t="n"/>
      <c r="X107" s="194" t="n"/>
      <c r="Y107" s="194" t="n"/>
      <c r="Z107" s="194" t="n"/>
    </row>
    <row r="108" ht="15.75" customHeight="1" s="195">
      <c r="G108" s="194" t="n"/>
      <c r="H108" s="194" t="n"/>
      <c r="I108" s="194" t="n"/>
      <c r="J108" s="194" t="n"/>
      <c r="K108" s="194" t="n"/>
      <c r="L108" s="194" t="n"/>
      <c r="M108" s="194" t="n"/>
      <c r="N108" s="194" t="n"/>
      <c r="O108" s="194" t="n"/>
      <c r="P108" s="194" t="n"/>
      <c r="Q108" s="194" t="n"/>
      <c r="R108" s="194" t="n"/>
      <c r="S108" s="194" t="n"/>
      <c r="T108" s="194" t="n"/>
      <c r="U108" s="194" t="n"/>
      <c r="V108" s="194" t="n"/>
      <c r="W108" s="194" t="n"/>
      <c r="X108" s="194" t="n"/>
      <c r="Y108" s="194" t="n"/>
      <c r="Z108" s="194" t="n"/>
    </row>
    <row r="109" ht="15.75" customHeight="1" s="195">
      <c r="G109" s="194" t="n"/>
      <c r="H109" s="194" t="n"/>
      <c r="I109" s="194" t="n"/>
      <c r="J109" s="194" t="n"/>
      <c r="K109" s="194" t="n"/>
      <c r="L109" s="194" t="n"/>
      <c r="M109" s="194" t="n"/>
      <c r="N109" s="194" t="n"/>
      <c r="O109" s="194" t="n"/>
      <c r="P109" s="194" t="n"/>
      <c r="Q109" s="194" t="n"/>
      <c r="R109" s="194" t="n"/>
      <c r="S109" s="194" t="n"/>
      <c r="T109" s="194" t="n"/>
      <c r="U109" s="194" t="n"/>
      <c r="V109" s="194" t="n"/>
      <c r="W109" s="194" t="n"/>
      <c r="X109" s="194" t="n"/>
      <c r="Y109" s="194" t="n"/>
      <c r="Z109" s="194" t="n"/>
    </row>
    <row r="110" ht="15.75" customHeight="1" s="195">
      <c r="G110" s="194" t="n"/>
      <c r="H110" s="194" t="n"/>
      <c r="I110" s="194" t="n"/>
      <c r="J110" s="194" t="n"/>
      <c r="K110" s="194" t="n"/>
      <c r="L110" s="194" t="n"/>
      <c r="M110" s="194" t="n"/>
      <c r="N110" s="194" t="n"/>
      <c r="O110" s="194" t="n"/>
      <c r="P110" s="194" t="n"/>
      <c r="Q110" s="194" t="n"/>
      <c r="R110" s="194" t="n"/>
      <c r="S110" s="194" t="n"/>
      <c r="T110" s="194" t="n"/>
      <c r="U110" s="194" t="n"/>
      <c r="V110" s="194" t="n"/>
      <c r="W110" s="194" t="n"/>
      <c r="X110" s="194" t="n"/>
      <c r="Y110" s="194" t="n"/>
      <c r="Z110" s="194" t="n"/>
    </row>
    <row r="111" ht="15.75" customHeight="1" s="195">
      <c r="G111" s="194" t="n"/>
      <c r="H111" s="194" t="n"/>
      <c r="I111" s="194" t="n"/>
      <c r="J111" s="194" t="n"/>
      <c r="K111" s="194" t="n"/>
      <c r="L111" s="194" t="n"/>
      <c r="M111" s="194" t="n"/>
      <c r="N111" s="194" t="n"/>
      <c r="O111" s="194" t="n"/>
      <c r="P111" s="194" t="n"/>
      <c r="Q111" s="194" t="n"/>
      <c r="R111" s="194" t="n"/>
      <c r="S111" s="194" t="n"/>
      <c r="T111" s="194" t="n"/>
      <c r="U111" s="194" t="n"/>
      <c r="V111" s="194" t="n"/>
      <c r="W111" s="194" t="n"/>
      <c r="X111" s="194" t="n"/>
      <c r="Y111" s="194" t="n"/>
      <c r="Z111" s="194" t="n"/>
    </row>
    <row r="112" ht="15.75" customHeight="1" s="195">
      <c r="G112" s="194" t="n"/>
      <c r="H112" s="194" t="n"/>
      <c r="I112" s="194" t="n"/>
      <c r="J112" s="194" t="n"/>
      <c r="K112" s="194" t="n"/>
      <c r="L112" s="194" t="n"/>
      <c r="M112" s="194" t="n"/>
      <c r="N112" s="194" t="n"/>
      <c r="O112" s="194" t="n"/>
      <c r="P112" s="194" t="n"/>
      <c r="Q112" s="194" t="n"/>
      <c r="R112" s="194" t="n"/>
      <c r="S112" s="194" t="n"/>
      <c r="T112" s="194" t="n"/>
      <c r="U112" s="194" t="n"/>
      <c r="V112" s="194" t="n"/>
      <c r="W112" s="194" t="n"/>
      <c r="X112" s="194" t="n"/>
      <c r="Y112" s="194" t="n"/>
      <c r="Z112" s="194" t="n"/>
    </row>
    <row r="113" ht="15.75" customHeight="1" s="195">
      <c r="G113" s="194" t="n"/>
      <c r="H113" s="194" t="n"/>
      <c r="I113" s="194" t="n"/>
      <c r="J113" s="194" t="n"/>
      <c r="K113" s="194" t="n"/>
      <c r="L113" s="194" t="n"/>
      <c r="M113" s="194" t="n"/>
      <c r="N113" s="194" t="n"/>
      <c r="O113" s="194" t="n"/>
      <c r="P113" s="194" t="n"/>
      <c r="Q113" s="194" t="n"/>
      <c r="R113" s="194" t="n"/>
      <c r="S113" s="194" t="n"/>
      <c r="T113" s="194" t="n"/>
      <c r="U113" s="194" t="n"/>
      <c r="V113" s="194" t="n"/>
      <c r="W113" s="194" t="n"/>
      <c r="X113" s="194" t="n"/>
      <c r="Y113" s="194" t="n"/>
      <c r="Z113" s="194" t="n"/>
    </row>
    <row r="114" ht="15.75" customHeight="1" s="195">
      <c r="G114" s="194" t="n"/>
      <c r="H114" s="194" t="n"/>
      <c r="I114" s="194" t="n"/>
      <c r="J114" s="194" t="n"/>
      <c r="K114" s="194" t="n"/>
      <c r="L114" s="194" t="n"/>
      <c r="M114" s="194" t="n"/>
      <c r="N114" s="194" t="n"/>
      <c r="O114" s="194" t="n"/>
      <c r="P114" s="194" t="n"/>
      <c r="Q114" s="194" t="n"/>
      <c r="R114" s="194" t="n"/>
      <c r="S114" s="194" t="n"/>
      <c r="T114" s="194" t="n"/>
      <c r="U114" s="194" t="n"/>
      <c r="V114" s="194" t="n"/>
      <c r="W114" s="194" t="n"/>
      <c r="X114" s="194" t="n"/>
      <c r="Y114" s="194" t="n"/>
      <c r="Z114" s="194" t="n"/>
    </row>
    <row r="115" ht="15.75" customHeight="1" s="195">
      <c r="G115" s="194" t="n"/>
      <c r="H115" s="194" t="n"/>
      <c r="I115" s="194" t="n"/>
      <c r="J115" s="194" t="n"/>
      <c r="K115" s="194" t="n"/>
      <c r="L115" s="194" t="n"/>
      <c r="M115" s="194" t="n"/>
      <c r="N115" s="194" t="n"/>
      <c r="O115" s="194" t="n"/>
      <c r="P115" s="194" t="n"/>
      <c r="Q115" s="194" t="n"/>
      <c r="R115" s="194" t="n"/>
      <c r="S115" s="194" t="n"/>
      <c r="T115" s="194" t="n"/>
      <c r="U115" s="194" t="n"/>
      <c r="V115" s="194" t="n"/>
      <c r="W115" s="194" t="n"/>
      <c r="X115" s="194" t="n"/>
      <c r="Y115" s="194" t="n"/>
      <c r="Z115" s="194" t="n"/>
    </row>
    <row r="116" ht="15.75" customHeight="1" s="195">
      <c r="G116" s="194" t="n"/>
      <c r="H116" s="194" t="n"/>
      <c r="I116" s="194" t="n"/>
      <c r="J116" s="194" t="n"/>
      <c r="K116" s="194" t="n"/>
      <c r="L116" s="194" t="n"/>
      <c r="M116" s="194" t="n"/>
      <c r="N116" s="194" t="n"/>
      <c r="O116" s="194" t="n"/>
      <c r="P116" s="194" t="n"/>
      <c r="Q116" s="194" t="n"/>
      <c r="R116" s="194" t="n"/>
      <c r="S116" s="194" t="n"/>
      <c r="T116" s="194" t="n"/>
      <c r="U116" s="194" t="n"/>
      <c r="V116" s="194" t="n"/>
      <c r="W116" s="194" t="n"/>
      <c r="X116" s="194" t="n"/>
      <c r="Y116" s="194" t="n"/>
      <c r="Z116" s="194" t="n"/>
    </row>
    <row r="117" ht="15.75" customHeight="1" s="195">
      <c r="G117" s="194" t="n"/>
      <c r="H117" s="194" t="n"/>
      <c r="I117" s="194" t="n"/>
      <c r="J117" s="194" t="n"/>
      <c r="K117" s="194" t="n"/>
      <c r="L117" s="194" t="n"/>
      <c r="M117" s="194" t="n"/>
      <c r="N117" s="194" t="n"/>
      <c r="O117" s="194" t="n"/>
      <c r="P117" s="194" t="n"/>
      <c r="Q117" s="194" t="n"/>
      <c r="R117" s="194" t="n"/>
      <c r="S117" s="194" t="n"/>
      <c r="T117" s="194" t="n"/>
      <c r="U117" s="194" t="n"/>
      <c r="V117" s="194" t="n"/>
      <c r="W117" s="194" t="n"/>
      <c r="X117" s="194" t="n"/>
      <c r="Y117" s="194" t="n"/>
      <c r="Z117" s="194" t="n"/>
    </row>
    <row r="118" ht="15.75" customHeight="1" s="195">
      <c r="G118" s="194" t="n"/>
      <c r="H118" s="194" t="n"/>
      <c r="I118" s="194" t="n"/>
      <c r="J118" s="194" t="n"/>
      <c r="K118" s="194" t="n"/>
      <c r="L118" s="194" t="n"/>
      <c r="M118" s="194" t="n"/>
      <c r="N118" s="194" t="n"/>
      <c r="O118" s="194" t="n"/>
      <c r="P118" s="194" t="n"/>
      <c r="Q118" s="194" t="n"/>
      <c r="R118" s="194" t="n"/>
      <c r="S118" s="194" t="n"/>
      <c r="T118" s="194" t="n"/>
      <c r="U118" s="194" t="n"/>
      <c r="V118" s="194" t="n"/>
      <c r="W118" s="194" t="n"/>
      <c r="X118" s="194" t="n"/>
      <c r="Y118" s="194" t="n"/>
      <c r="Z118" s="194" t="n"/>
    </row>
    <row r="119" ht="15.75" customHeight="1" s="195">
      <c r="G119" s="194" t="n"/>
      <c r="H119" s="194" t="n"/>
      <c r="I119" s="194" t="n"/>
      <c r="J119" s="194" t="n"/>
      <c r="K119" s="194" t="n"/>
      <c r="L119" s="194" t="n"/>
      <c r="M119" s="194" t="n"/>
      <c r="N119" s="194" t="n"/>
      <c r="O119" s="194" t="n"/>
      <c r="P119" s="194" t="n"/>
      <c r="Q119" s="194" t="n"/>
      <c r="R119" s="194" t="n"/>
      <c r="S119" s="194" t="n"/>
      <c r="T119" s="194" t="n"/>
      <c r="U119" s="194" t="n"/>
      <c r="V119" s="194" t="n"/>
      <c r="W119" s="194" t="n"/>
      <c r="X119" s="194" t="n"/>
      <c r="Y119" s="194" t="n"/>
      <c r="Z119" s="194" t="n"/>
    </row>
    <row r="120" ht="15.75" customHeight="1" s="195">
      <c r="G120" s="194" t="n"/>
      <c r="H120" s="194" t="n"/>
      <c r="I120" s="194" t="n"/>
      <c r="J120" s="194" t="n"/>
      <c r="K120" s="194" t="n"/>
      <c r="L120" s="194" t="n"/>
      <c r="M120" s="194" t="n"/>
      <c r="N120" s="194" t="n"/>
      <c r="O120" s="194" t="n"/>
      <c r="P120" s="194" t="n"/>
      <c r="Q120" s="194" t="n"/>
      <c r="R120" s="194" t="n"/>
      <c r="S120" s="194" t="n"/>
      <c r="T120" s="194" t="n"/>
      <c r="U120" s="194" t="n"/>
      <c r="V120" s="194" t="n"/>
      <c r="W120" s="194" t="n"/>
      <c r="X120" s="194" t="n"/>
      <c r="Y120" s="194" t="n"/>
      <c r="Z120" s="194" t="n"/>
    </row>
    <row r="121" ht="15.75" customHeight="1" s="195">
      <c r="G121" s="194" t="n"/>
      <c r="H121" s="194" t="n"/>
      <c r="I121" s="194" t="n"/>
      <c r="J121" s="194" t="n"/>
      <c r="K121" s="194" t="n"/>
      <c r="L121" s="194" t="n"/>
      <c r="M121" s="194" t="n"/>
      <c r="N121" s="194" t="n"/>
      <c r="O121" s="194" t="n"/>
      <c r="P121" s="194" t="n"/>
      <c r="Q121" s="194" t="n"/>
      <c r="R121" s="194" t="n"/>
      <c r="S121" s="194" t="n"/>
      <c r="T121" s="194" t="n"/>
      <c r="U121" s="194" t="n"/>
      <c r="V121" s="194" t="n"/>
      <c r="W121" s="194" t="n"/>
      <c r="X121" s="194" t="n"/>
      <c r="Y121" s="194" t="n"/>
      <c r="Z121" s="194" t="n"/>
    </row>
    <row r="122" ht="15.75" customHeight="1" s="195">
      <c r="G122" s="194" t="n"/>
      <c r="H122" s="194" t="n"/>
      <c r="I122" s="194" t="n"/>
      <c r="J122" s="194" t="n"/>
      <c r="K122" s="194" t="n"/>
      <c r="L122" s="194" t="n"/>
      <c r="M122" s="194" t="n"/>
      <c r="N122" s="194" t="n"/>
      <c r="O122" s="194" t="n"/>
      <c r="P122" s="194" t="n"/>
      <c r="Q122" s="194" t="n"/>
      <c r="R122" s="194" t="n"/>
      <c r="S122" s="194" t="n"/>
      <c r="T122" s="194" t="n"/>
      <c r="U122" s="194" t="n"/>
      <c r="V122" s="194" t="n"/>
      <c r="W122" s="194" t="n"/>
      <c r="X122" s="194" t="n"/>
      <c r="Y122" s="194" t="n"/>
      <c r="Z122" s="194" t="n"/>
    </row>
    <row r="123" ht="15.75" customHeight="1" s="195">
      <c r="G123" s="194" t="n"/>
      <c r="H123" s="194" t="n"/>
      <c r="I123" s="194" t="n"/>
      <c r="J123" s="194" t="n"/>
      <c r="K123" s="194" t="n"/>
      <c r="L123" s="194" t="n"/>
      <c r="M123" s="194" t="n"/>
      <c r="N123" s="194" t="n"/>
      <c r="O123" s="194" t="n"/>
      <c r="P123" s="194" t="n"/>
      <c r="Q123" s="194" t="n"/>
      <c r="R123" s="194" t="n"/>
      <c r="S123" s="194" t="n"/>
      <c r="T123" s="194" t="n"/>
      <c r="U123" s="194" t="n"/>
      <c r="V123" s="194" t="n"/>
      <c r="W123" s="194" t="n"/>
      <c r="X123" s="194" t="n"/>
      <c r="Y123" s="194" t="n"/>
      <c r="Z123" s="194" t="n"/>
    </row>
    <row r="124" ht="15.75" customHeight="1" s="195">
      <c r="G124" s="194" t="n"/>
      <c r="H124" s="194" t="n"/>
      <c r="I124" s="194" t="n"/>
      <c r="J124" s="194" t="n"/>
      <c r="K124" s="194" t="n"/>
      <c r="L124" s="194" t="n"/>
      <c r="M124" s="194" t="n"/>
      <c r="N124" s="194" t="n"/>
      <c r="O124" s="194" t="n"/>
      <c r="P124" s="194" t="n"/>
      <c r="Q124" s="194" t="n"/>
      <c r="R124" s="194" t="n"/>
      <c r="S124" s="194" t="n"/>
      <c r="T124" s="194" t="n"/>
      <c r="U124" s="194" t="n"/>
      <c r="V124" s="194" t="n"/>
      <c r="W124" s="194" t="n"/>
      <c r="X124" s="194" t="n"/>
      <c r="Y124" s="194" t="n"/>
      <c r="Z124" s="194" t="n"/>
    </row>
    <row r="125" ht="15.75" customHeight="1" s="195">
      <c r="G125" s="194" t="n"/>
      <c r="H125" s="194" t="n"/>
      <c r="I125" s="194" t="n"/>
      <c r="J125" s="194" t="n"/>
      <c r="K125" s="194" t="n"/>
      <c r="L125" s="194" t="n"/>
      <c r="M125" s="194" t="n"/>
      <c r="N125" s="194" t="n"/>
      <c r="O125" s="194" t="n"/>
      <c r="P125" s="194" t="n"/>
      <c r="Q125" s="194" t="n"/>
      <c r="R125" s="194" t="n"/>
      <c r="S125" s="194" t="n"/>
      <c r="T125" s="194" t="n"/>
      <c r="U125" s="194" t="n"/>
      <c r="V125" s="194" t="n"/>
      <c r="W125" s="194" t="n"/>
      <c r="X125" s="194" t="n"/>
      <c r="Y125" s="194" t="n"/>
      <c r="Z125" s="194" t="n"/>
    </row>
    <row r="126" ht="15.75" customHeight="1" s="195">
      <c r="G126" s="194" t="n"/>
      <c r="H126" s="194" t="n"/>
      <c r="I126" s="194" t="n"/>
      <c r="J126" s="194" t="n"/>
      <c r="K126" s="194" t="n"/>
      <c r="L126" s="194" t="n"/>
      <c r="M126" s="194" t="n"/>
      <c r="N126" s="194" t="n"/>
      <c r="O126" s="194" t="n"/>
      <c r="P126" s="194" t="n"/>
      <c r="Q126" s="194" t="n"/>
      <c r="R126" s="194" t="n"/>
      <c r="S126" s="194" t="n"/>
      <c r="T126" s="194" t="n"/>
      <c r="U126" s="194" t="n"/>
      <c r="V126" s="194" t="n"/>
      <c r="W126" s="194" t="n"/>
      <c r="X126" s="194" t="n"/>
      <c r="Y126" s="194" t="n"/>
      <c r="Z126" s="194" t="n"/>
    </row>
    <row r="127" ht="15.75" customHeight="1" s="195">
      <c r="G127" s="194" t="n"/>
      <c r="H127" s="194" t="n"/>
      <c r="I127" s="194" t="n"/>
      <c r="J127" s="194" t="n"/>
      <c r="K127" s="194" t="n"/>
      <c r="L127" s="194" t="n"/>
      <c r="M127" s="194" t="n"/>
      <c r="N127" s="194" t="n"/>
      <c r="O127" s="194" t="n"/>
      <c r="P127" s="194" t="n"/>
      <c r="Q127" s="194" t="n"/>
      <c r="R127" s="194" t="n"/>
      <c r="S127" s="194" t="n"/>
      <c r="T127" s="194" t="n"/>
      <c r="U127" s="194" t="n"/>
      <c r="V127" s="194" t="n"/>
      <c r="W127" s="194" t="n"/>
      <c r="X127" s="194" t="n"/>
      <c r="Y127" s="194" t="n"/>
      <c r="Z127" s="194" t="n"/>
    </row>
    <row r="128" ht="15.75" customHeight="1" s="195">
      <c r="G128" s="194" t="n"/>
      <c r="H128" s="194" t="n"/>
      <c r="I128" s="194" t="n"/>
      <c r="J128" s="194" t="n"/>
      <c r="K128" s="194" t="n"/>
      <c r="L128" s="194" t="n"/>
      <c r="M128" s="194" t="n"/>
      <c r="N128" s="194" t="n"/>
      <c r="O128" s="194" t="n"/>
      <c r="P128" s="194" t="n"/>
      <c r="Q128" s="194" t="n"/>
      <c r="R128" s="194" t="n"/>
      <c r="S128" s="194" t="n"/>
      <c r="T128" s="194" t="n"/>
      <c r="U128" s="194" t="n"/>
      <c r="V128" s="194" t="n"/>
      <c r="W128" s="194" t="n"/>
      <c r="X128" s="194" t="n"/>
      <c r="Y128" s="194" t="n"/>
      <c r="Z128" s="194" t="n"/>
    </row>
    <row r="129" ht="15.75" customHeight="1" s="195">
      <c r="G129" s="194" t="n"/>
      <c r="H129" s="194" t="n"/>
      <c r="I129" s="194" t="n"/>
      <c r="J129" s="194" t="n"/>
      <c r="K129" s="194" t="n"/>
      <c r="L129" s="194" t="n"/>
      <c r="M129" s="194" t="n"/>
      <c r="N129" s="194" t="n"/>
      <c r="O129" s="194" t="n"/>
      <c r="P129" s="194" t="n"/>
      <c r="Q129" s="194" t="n"/>
      <c r="R129" s="194" t="n"/>
      <c r="S129" s="194" t="n"/>
      <c r="T129" s="194" t="n"/>
      <c r="U129" s="194" t="n"/>
      <c r="V129" s="194" t="n"/>
      <c r="W129" s="194" t="n"/>
      <c r="X129" s="194" t="n"/>
      <c r="Y129" s="194" t="n"/>
      <c r="Z129" s="194" t="n"/>
    </row>
    <row r="130" ht="15.75" customHeight="1" s="195">
      <c r="G130" s="194" t="n"/>
      <c r="H130" s="194" t="n"/>
      <c r="I130" s="194" t="n"/>
      <c r="J130" s="194" t="n"/>
      <c r="K130" s="194" t="n"/>
      <c r="L130" s="194" t="n"/>
      <c r="M130" s="194" t="n"/>
      <c r="N130" s="194" t="n"/>
      <c r="O130" s="194" t="n"/>
      <c r="P130" s="194" t="n"/>
      <c r="Q130" s="194" t="n"/>
      <c r="R130" s="194" t="n"/>
      <c r="S130" s="194" t="n"/>
      <c r="T130" s="194" t="n"/>
      <c r="U130" s="194" t="n"/>
      <c r="V130" s="194" t="n"/>
      <c r="W130" s="194" t="n"/>
      <c r="X130" s="194" t="n"/>
      <c r="Y130" s="194" t="n"/>
      <c r="Z130" s="194" t="n"/>
    </row>
    <row r="131" ht="15.75" customHeight="1" s="195">
      <c r="G131" s="194" t="n"/>
      <c r="H131" s="194" t="n"/>
      <c r="I131" s="194" t="n"/>
      <c r="J131" s="194" t="n"/>
      <c r="K131" s="194" t="n"/>
      <c r="L131" s="194" t="n"/>
      <c r="M131" s="194" t="n"/>
      <c r="N131" s="194" t="n"/>
      <c r="O131" s="194" t="n"/>
      <c r="P131" s="194" t="n"/>
      <c r="Q131" s="194" t="n"/>
      <c r="R131" s="194" t="n"/>
      <c r="S131" s="194" t="n"/>
      <c r="T131" s="194" t="n"/>
      <c r="U131" s="194" t="n"/>
      <c r="V131" s="194" t="n"/>
      <c r="W131" s="194" t="n"/>
      <c r="X131" s="194" t="n"/>
      <c r="Y131" s="194" t="n"/>
      <c r="Z131" s="194" t="n"/>
    </row>
    <row r="132" ht="15.75" customHeight="1" s="195">
      <c r="G132" s="194" t="n"/>
      <c r="H132" s="194" t="n"/>
      <c r="I132" s="194" t="n"/>
      <c r="J132" s="194" t="n"/>
      <c r="K132" s="194" t="n"/>
      <c r="L132" s="194" t="n"/>
      <c r="M132" s="194" t="n"/>
      <c r="N132" s="194" t="n"/>
      <c r="O132" s="194" t="n"/>
      <c r="P132" s="194" t="n"/>
      <c r="Q132" s="194" t="n"/>
      <c r="R132" s="194" t="n"/>
      <c r="S132" s="194" t="n"/>
      <c r="T132" s="194" t="n"/>
      <c r="U132" s="194" t="n"/>
      <c r="V132" s="194" t="n"/>
      <c r="W132" s="194" t="n"/>
      <c r="X132" s="194" t="n"/>
      <c r="Y132" s="194" t="n"/>
      <c r="Z132" s="194" t="n"/>
    </row>
    <row r="133" ht="15.75" customHeight="1" s="195">
      <c r="G133" s="194" t="n"/>
      <c r="H133" s="194" t="n"/>
      <c r="I133" s="194" t="n"/>
      <c r="J133" s="194" t="n"/>
      <c r="K133" s="194" t="n"/>
      <c r="L133" s="194" t="n"/>
      <c r="M133" s="194" t="n"/>
      <c r="N133" s="194" t="n"/>
      <c r="O133" s="194" t="n"/>
      <c r="P133" s="194" t="n"/>
      <c r="Q133" s="194" t="n"/>
      <c r="R133" s="194" t="n"/>
      <c r="S133" s="194" t="n"/>
      <c r="T133" s="194" t="n"/>
      <c r="U133" s="194" t="n"/>
      <c r="V133" s="194" t="n"/>
      <c r="W133" s="194" t="n"/>
      <c r="X133" s="194" t="n"/>
      <c r="Y133" s="194" t="n"/>
      <c r="Z133" s="194" t="n"/>
    </row>
    <row r="134" ht="15.75" customHeight="1" s="195">
      <c r="G134" s="194" t="n"/>
      <c r="H134" s="194" t="n"/>
      <c r="I134" s="194" t="n"/>
      <c r="J134" s="194" t="n"/>
      <c r="K134" s="194" t="n"/>
      <c r="L134" s="194" t="n"/>
      <c r="M134" s="194" t="n"/>
      <c r="N134" s="194" t="n"/>
      <c r="O134" s="194" t="n"/>
      <c r="P134" s="194" t="n"/>
      <c r="Q134" s="194" t="n"/>
      <c r="R134" s="194" t="n"/>
      <c r="S134" s="194" t="n"/>
      <c r="T134" s="194" t="n"/>
      <c r="U134" s="194" t="n"/>
      <c r="V134" s="194" t="n"/>
      <c r="W134" s="194" t="n"/>
      <c r="X134" s="194" t="n"/>
      <c r="Y134" s="194" t="n"/>
      <c r="Z134" s="194" t="n"/>
    </row>
    <row r="135" ht="15.75" customHeight="1" s="195">
      <c r="G135" s="194" t="n"/>
      <c r="H135" s="194" t="n"/>
      <c r="I135" s="194" t="n"/>
      <c r="J135" s="194" t="n"/>
      <c r="K135" s="194" t="n"/>
      <c r="L135" s="194" t="n"/>
      <c r="M135" s="194" t="n"/>
      <c r="N135" s="194" t="n"/>
      <c r="O135" s="194" t="n"/>
      <c r="P135" s="194" t="n"/>
      <c r="Q135" s="194" t="n"/>
      <c r="R135" s="194" t="n"/>
      <c r="S135" s="194" t="n"/>
      <c r="T135" s="194" t="n"/>
      <c r="U135" s="194" t="n"/>
      <c r="V135" s="194" t="n"/>
      <c r="W135" s="194" t="n"/>
      <c r="X135" s="194" t="n"/>
      <c r="Y135" s="194" t="n"/>
      <c r="Z135" s="194" t="n"/>
    </row>
    <row r="136" ht="15.75" customHeight="1" s="195">
      <c r="G136" s="194" t="n"/>
      <c r="H136" s="194" t="n"/>
      <c r="I136" s="194" t="n"/>
      <c r="J136" s="194" t="n"/>
      <c r="K136" s="194" t="n"/>
      <c r="L136" s="194" t="n"/>
      <c r="M136" s="194" t="n"/>
      <c r="N136" s="194" t="n"/>
      <c r="O136" s="194" t="n"/>
      <c r="P136" s="194" t="n"/>
      <c r="Q136" s="194" t="n"/>
      <c r="R136" s="194" t="n"/>
      <c r="S136" s="194" t="n"/>
      <c r="T136" s="194" t="n"/>
      <c r="U136" s="194" t="n"/>
      <c r="V136" s="194" t="n"/>
      <c r="W136" s="194" t="n"/>
      <c r="X136" s="194" t="n"/>
      <c r="Y136" s="194" t="n"/>
      <c r="Z136" s="194" t="n"/>
    </row>
    <row r="137" ht="15.75" customHeight="1" s="195">
      <c r="G137" s="194" t="n"/>
      <c r="H137" s="194" t="n"/>
      <c r="I137" s="194" t="n"/>
      <c r="J137" s="194" t="n"/>
      <c r="K137" s="194" t="n"/>
      <c r="L137" s="194" t="n"/>
      <c r="M137" s="194" t="n"/>
      <c r="N137" s="194" t="n"/>
      <c r="O137" s="194" t="n"/>
      <c r="P137" s="194" t="n"/>
      <c r="Q137" s="194" t="n"/>
      <c r="R137" s="194" t="n"/>
      <c r="S137" s="194" t="n"/>
      <c r="T137" s="194" t="n"/>
      <c r="U137" s="194" t="n"/>
      <c r="V137" s="194" t="n"/>
      <c r="W137" s="194" t="n"/>
      <c r="X137" s="194" t="n"/>
      <c r="Y137" s="194" t="n"/>
      <c r="Z137" s="194" t="n"/>
    </row>
    <row r="138" ht="15.75" customHeight="1" s="195">
      <c r="G138" s="194" t="n"/>
      <c r="H138" s="194" t="n"/>
      <c r="I138" s="194" t="n"/>
      <c r="J138" s="194" t="n"/>
      <c r="K138" s="194" t="n"/>
      <c r="L138" s="194" t="n"/>
      <c r="M138" s="194" t="n"/>
      <c r="N138" s="194" t="n"/>
      <c r="O138" s="194" t="n"/>
      <c r="P138" s="194" t="n"/>
      <c r="Q138" s="194" t="n"/>
      <c r="R138" s="194" t="n"/>
      <c r="S138" s="194" t="n"/>
      <c r="T138" s="194" t="n"/>
      <c r="U138" s="194" t="n"/>
      <c r="V138" s="194" t="n"/>
      <c r="W138" s="194" t="n"/>
      <c r="X138" s="194" t="n"/>
      <c r="Y138" s="194" t="n"/>
      <c r="Z138" s="194" t="n"/>
    </row>
    <row r="139" ht="15.75" customHeight="1" s="195">
      <c r="G139" s="194" t="n"/>
      <c r="H139" s="194" t="n"/>
      <c r="I139" s="194" t="n"/>
      <c r="J139" s="194" t="n"/>
      <c r="K139" s="194" t="n"/>
      <c r="L139" s="194" t="n"/>
      <c r="M139" s="194" t="n"/>
      <c r="N139" s="194" t="n"/>
      <c r="O139" s="194" t="n"/>
      <c r="P139" s="194" t="n"/>
      <c r="Q139" s="194" t="n"/>
      <c r="R139" s="194" t="n"/>
      <c r="S139" s="194" t="n"/>
      <c r="T139" s="194" t="n"/>
      <c r="U139" s="194" t="n"/>
      <c r="V139" s="194" t="n"/>
      <c r="W139" s="194" t="n"/>
      <c r="X139" s="194" t="n"/>
      <c r="Y139" s="194" t="n"/>
      <c r="Z139" s="194" t="n"/>
    </row>
    <row r="140" ht="15.75" customHeight="1" s="195">
      <c r="G140" s="194" t="n"/>
      <c r="H140" s="194" t="n"/>
      <c r="I140" s="194" t="n"/>
      <c r="J140" s="194" t="n"/>
      <c r="K140" s="194" t="n"/>
      <c r="L140" s="194" t="n"/>
      <c r="M140" s="194" t="n"/>
      <c r="N140" s="194" t="n"/>
      <c r="O140" s="194" t="n"/>
      <c r="P140" s="194" t="n"/>
      <c r="Q140" s="194" t="n"/>
      <c r="R140" s="194" t="n"/>
      <c r="S140" s="194" t="n"/>
      <c r="T140" s="194" t="n"/>
      <c r="U140" s="194" t="n"/>
      <c r="V140" s="194" t="n"/>
      <c r="W140" s="194" t="n"/>
      <c r="X140" s="194" t="n"/>
      <c r="Y140" s="194" t="n"/>
      <c r="Z140" s="194" t="n"/>
    </row>
    <row r="141" ht="15.75" customHeight="1" s="195">
      <c r="G141" s="194" t="n"/>
      <c r="H141" s="194" t="n"/>
      <c r="I141" s="194" t="n"/>
      <c r="J141" s="194" t="n"/>
      <c r="K141" s="194" t="n"/>
      <c r="L141" s="194" t="n"/>
      <c r="M141" s="194" t="n"/>
      <c r="N141" s="194" t="n"/>
      <c r="O141" s="194" t="n"/>
      <c r="P141" s="194" t="n"/>
      <c r="Q141" s="194" t="n"/>
      <c r="R141" s="194" t="n"/>
      <c r="S141" s="194" t="n"/>
      <c r="T141" s="194" t="n"/>
      <c r="U141" s="194" t="n"/>
      <c r="V141" s="194" t="n"/>
      <c r="W141" s="194" t="n"/>
      <c r="X141" s="194" t="n"/>
      <c r="Y141" s="194" t="n"/>
      <c r="Z141" s="194" t="n"/>
    </row>
    <row r="142" ht="15.75" customHeight="1" s="195">
      <c r="G142" s="194" t="n"/>
      <c r="H142" s="194" t="n"/>
      <c r="I142" s="194" t="n"/>
      <c r="J142" s="194" t="n"/>
      <c r="K142" s="194" t="n"/>
      <c r="L142" s="194" t="n"/>
      <c r="M142" s="194" t="n"/>
      <c r="N142" s="194" t="n"/>
      <c r="O142" s="194" t="n"/>
      <c r="P142" s="194" t="n"/>
      <c r="Q142" s="194" t="n"/>
      <c r="R142" s="194" t="n"/>
      <c r="S142" s="194" t="n"/>
      <c r="T142" s="194" t="n"/>
      <c r="U142" s="194" t="n"/>
      <c r="V142" s="194" t="n"/>
      <c r="W142" s="194" t="n"/>
      <c r="X142" s="194" t="n"/>
      <c r="Y142" s="194" t="n"/>
      <c r="Z142" s="194" t="n"/>
    </row>
    <row r="143" ht="15.75" customHeight="1" s="195">
      <c r="G143" s="194" t="n"/>
      <c r="H143" s="194" t="n"/>
      <c r="I143" s="194" t="n"/>
      <c r="J143" s="194" t="n"/>
      <c r="K143" s="194" t="n"/>
      <c r="L143" s="194" t="n"/>
      <c r="M143" s="194" t="n"/>
      <c r="N143" s="194" t="n"/>
      <c r="O143" s="194" t="n"/>
      <c r="P143" s="194" t="n"/>
      <c r="Q143" s="194" t="n"/>
      <c r="R143" s="194" t="n"/>
      <c r="S143" s="194" t="n"/>
      <c r="T143" s="194" t="n"/>
      <c r="U143" s="194" t="n"/>
      <c r="V143" s="194" t="n"/>
      <c r="W143" s="194" t="n"/>
      <c r="X143" s="194" t="n"/>
      <c r="Y143" s="194" t="n"/>
      <c r="Z143" s="194" t="n"/>
    </row>
    <row r="144" ht="15.75" customHeight="1" s="195">
      <c r="G144" s="194" t="n"/>
      <c r="H144" s="194" t="n"/>
      <c r="I144" s="194" t="n"/>
      <c r="J144" s="194" t="n"/>
      <c r="K144" s="194" t="n"/>
      <c r="L144" s="194" t="n"/>
      <c r="M144" s="194" t="n"/>
      <c r="N144" s="194" t="n"/>
      <c r="O144" s="194" t="n"/>
      <c r="P144" s="194" t="n"/>
      <c r="Q144" s="194" t="n"/>
      <c r="R144" s="194" t="n"/>
      <c r="S144" s="194" t="n"/>
      <c r="T144" s="194" t="n"/>
      <c r="U144" s="194" t="n"/>
      <c r="V144" s="194" t="n"/>
      <c r="W144" s="194" t="n"/>
      <c r="X144" s="194" t="n"/>
      <c r="Y144" s="194" t="n"/>
      <c r="Z144" s="194" t="n"/>
    </row>
    <row r="145" ht="15.75" customHeight="1" s="195">
      <c r="G145" s="194" t="n"/>
      <c r="H145" s="194" t="n"/>
      <c r="I145" s="194" t="n"/>
      <c r="J145" s="194" t="n"/>
      <c r="K145" s="194" t="n"/>
      <c r="L145" s="194" t="n"/>
      <c r="M145" s="194" t="n"/>
      <c r="N145" s="194" t="n"/>
      <c r="O145" s="194" t="n"/>
      <c r="P145" s="194" t="n"/>
      <c r="Q145" s="194" t="n"/>
      <c r="R145" s="194" t="n"/>
      <c r="S145" s="194" t="n"/>
      <c r="T145" s="194" t="n"/>
      <c r="U145" s="194" t="n"/>
      <c r="V145" s="194" t="n"/>
      <c r="W145" s="194" t="n"/>
      <c r="X145" s="194" t="n"/>
      <c r="Y145" s="194" t="n"/>
      <c r="Z145" s="194" t="n"/>
    </row>
    <row r="146" ht="15.75" customHeight="1" s="195">
      <c r="G146" s="194" t="n"/>
      <c r="H146" s="194" t="n"/>
      <c r="I146" s="194" t="n"/>
      <c r="J146" s="194" t="n"/>
      <c r="K146" s="194" t="n"/>
      <c r="L146" s="194" t="n"/>
      <c r="M146" s="194" t="n"/>
      <c r="N146" s="194" t="n"/>
      <c r="O146" s="194" t="n"/>
      <c r="P146" s="194" t="n"/>
      <c r="Q146" s="194" t="n"/>
      <c r="R146" s="194" t="n"/>
      <c r="S146" s="194" t="n"/>
      <c r="T146" s="194" t="n"/>
      <c r="U146" s="194" t="n"/>
      <c r="V146" s="194" t="n"/>
      <c r="W146" s="194" t="n"/>
      <c r="X146" s="194" t="n"/>
      <c r="Y146" s="194" t="n"/>
      <c r="Z146" s="194" t="n"/>
    </row>
    <row r="147" ht="15.75" customHeight="1" s="195">
      <c r="G147" s="194" t="n"/>
      <c r="H147" s="194" t="n"/>
      <c r="I147" s="194" t="n"/>
      <c r="J147" s="194" t="n"/>
      <c r="K147" s="194" t="n"/>
      <c r="L147" s="194" t="n"/>
      <c r="M147" s="194" t="n"/>
      <c r="N147" s="194" t="n"/>
      <c r="O147" s="194" t="n"/>
      <c r="P147" s="194" t="n"/>
      <c r="Q147" s="194" t="n"/>
      <c r="R147" s="194" t="n"/>
      <c r="S147" s="194" t="n"/>
      <c r="T147" s="194" t="n"/>
      <c r="U147" s="194" t="n"/>
      <c r="V147" s="194" t="n"/>
      <c r="W147" s="194" t="n"/>
      <c r="X147" s="194" t="n"/>
      <c r="Y147" s="194" t="n"/>
      <c r="Z147" s="194" t="n"/>
    </row>
    <row r="148" ht="15.75" customHeight="1" s="195">
      <c r="G148" s="194" t="n"/>
      <c r="H148" s="194" t="n"/>
      <c r="I148" s="194" t="n"/>
      <c r="J148" s="194" t="n"/>
      <c r="K148" s="194" t="n"/>
      <c r="L148" s="194" t="n"/>
      <c r="M148" s="194" t="n"/>
      <c r="N148" s="194" t="n"/>
      <c r="O148" s="194" t="n"/>
      <c r="P148" s="194" t="n"/>
      <c r="Q148" s="194" t="n"/>
      <c r="R148" s="194" t="n"/>
      <c r="S148" s="194" t="n"/>
      <c r="T148" s="194" t="n"/>
      <c r="U148" s="194" t="n"/>
      <c r="V148" s="194" t="n"/>
      <c r="W148" s="194" t="n"/>
      <c r="X148" s="194" t="n"/>
      <c r="Y148" s="194" t="n"/>
      <c r="Z148" s="194" t="n"/>
    </row>
    <row r="149" ht="15.75" customHeight="1" s="195">
      <c r="G149" s="194" t="n"/>
      <c r="H149" s="194" t="n"/>
      <c r="I149" s="194" t="n"/>
      <c r="J149" s="194" t="n"/>
      <c r="K149" s="194" t="n"/>
      <c r="L149" s="194" t="n"/>
      <c r="M149" s="194" t="n"/>
      <c r="N149" s="194" t="n"/>
      <c r="O149" s="194" t="n"/>
      <c r="P149" s="194" t="n"/>
      <c r="Q149" s="194" t="n"/>
      <c r="R149" s="194" t="n"/>
      <c r="S149" s="194" t="n"/>
      <c r="T149" s="194" t="n"/>
      <c r="U149" s="194" t="n"/>
      <c r="V149" s="194" t="n"/>
      <c r="W149" s="194" t="n"/>
      <c r="X149" s="194" t="n"/>
      <c r="Y149" s="194" t="n"/>
      <c r="Z149" s="194" t="n"/>
    </row>
    <row r="150" ht="15.75" customHeight="1" s="195">
      <c r="G150" s="194" t="n"/>
      <c r="H150" s="194" t="n"/>
      <c r="I150" s="194" t="n"/>
      <c r="J150" s="194" t="n"/>
      <c r="K150" s="194" t="n"/>
      <c r="L150" s="194" t="n"/>
      <c r="M150" s="194" t="n"/>
      <c r="N150" s="194" t="n"/>
      <c r="O150" s="194" t="n"/>
      <c r="P150" s="194" t="n"/>
      <c r="Q150" s="194" t="n"/>
      <c r="R150" s="194" t="n"/>
      <c r="S150" s="194" t="n"/>
      <c r="T150" s="194" t="n"/>
      <c r="U150" s="194" t="n"/>
      <c r="V150" s="194" t="n"/>
      <c r="W150" s="194" t="n"/>
      <c r="X150" s="194" t="n"/>
      <c r="Y150" s="194" t="n"/>
      <c r="Z150" s="194" t="n"/>
    </row>
    <row r="151" ht="15.75" customHeight="1" s="195">
      <c r="G151" s="194" t="n"/>
      <c r="H151" s="194" t="n"/>
      <c r="I151" s="194" t="n"/>
      <c r="J151" s="194" t="n"/>
      <c r="K151" s="194" t="n"/>
      <c r="L151" s="194" t="n"/>
      <c r="M151" s="194" t="n"/>
      <c r="N151" s="194" t="n"/>
      <c r="O151" s="194" t="n"/>
      <c r="P151" s="194" t="n"/>
      <c r="Q151" s="194" t="n"/>
      <c r="R151" s="194" t="n"/>
      <c r="S151" s="194" t="n"/>
      <c r="T151" s="194" t="n"/>
      <c r="U151" s="194" t="n"/>
      <c r="V151" s="194" t="n"/>
      <c r="W151" s="194" t="n"/>
      <c r="X151" s="194" t="n"/>
      <c r="Y151" s="194" t="n"/>
      <c r="Z151" s="194" t="n"/>
    </row>
    <row r="152" ht="15.75" customHeight="1" s="195">
      <c r="G152" s="194" t="n"/>
      <c r="H152" s="194" t="n"/>
      <c r="I152" s="194" t="n"/>
      <c r="J152" s="194" t="n"/>
      <c r="K152" s="194" t="n"/>
      <c r="L152" s="194" t="n"/>
      <c r="M152" s="194" t="n"/>
      <c r="N152" s="194" t="n"/>
      <c r="O152" s="194" t="n"/>
      <c r="P152" s="194" t="n"/>
      <c r="Q152" s="194" t="n"/>
      <c r="R152" s="194" t="n"/>
      <c r="S152" s="194" t="n"/>
      <c r="T152" s="194" t="n"/>
      <c r="U152" s="194" t="n"/>
      <c r="V152" s="194" t="n"/>
      <c r="W152" s="194" t="n"/>
      <c r="X152" s="194" t="n"/>
      <c r="Y152" s="194" t="n"/>
      <c r="Z152" s="194" t="n"/>
    </row>
    <row r="153" ht="15.75" customHeight="1" s="195">
      <c r="G153" s="194" t="n"/>
      <c r="H153" s="194" t="n"/>
      <c r="I153" s="194" t="n"/>
      <c r="J153" s="194" t="n"/>
      <c r="K153" s="194" t="n"/>
      <c r="L153" s="194" t="n"/>
      <c r="M153" s="194" t="n"/>
      <c r="N153" s="194" t="n"/>
      <c r="O153" s="194" t="n"/>
      <c r="P153" s="194" t="n"/>
      <c r="Q153" s="194" t="n"/>
      <c r="R153" s="194" t="n"/>
      <c r="S153" s="194" t="n"/>
      <c r="T153" s="194" t="n"/>
      <c r="U153" s="194" t="n"/>
      <c r="V153" s="194" t="n"/>
      <c r="W153" s="194" t="n"/>
      <c r="X153" s="194" t="n"/>
      <c r="Y153" s="194" t="n"/>
      <c r="Z153" s="194" t="n"/>
    </row>
    <row r="154" ht="15.75" customHeight="1" s="195">
      <c r="G154" s="194" t="n"/>
      <c r="H154" s="194" t="n"/>
      <c r="I154" s="194" t="n"/>
      <c r="J154" s="194" t="n"/>
      <c r="K154" s="194" t="n"/>
      <c r="L154" s="194" t="n"/>
      <c r="M154" s="194" t="n"/>
      <c r="N154" s="194" t="n"/>
      <c r="O154" s="194" t="n"/>
      <c r="P154" s="194" t="n"/>
      <c r="Q154" s="194" t="n"/>
      <c r="R154" s="194" t="n"/>
      <c r="S154" s="194" t="n"/>
      <c r="T154" s="194" t="n"/>
      <c r="U154" s="194" t="n"/>
      <c r="V154" s="194" t="n"/>
      <c r="W154" s="194" t="n"/>
      <c r="X154" s="194" t="n"/>
      <c r="Y154" s="194" t="n"/>
      <c r="Z154" s="194" t="n"/>
    </row>
    <row r="155" ht="15.75" customHeight="1" s="195">
      <c r="G155" s="194" t="n"/>
      <c r="H155" s="194" t="n"/>
      <c r="I155" s="194" t="n"/>
      <c r="J155" s="194" t="n"/>
      <c r="K155" s="194" t="n"/>
      <c r="L155" s="194" t="n"/>
      <c r="M155" s="194" t="n"/>
      <c r="N155" s="194" t="n"/>
      <c r="O155" s="194" t="n"/>
      <c r="P155" s="194" t="n"/>
      <c r="Q155" s="194" t="n"/>
      <c r="R155" s="194" t="n"/>
      <c r="S155" s="194" t="n"/>
      <c r="T155" s="194" t="n"/>
      <c r="U155" s="194" t="n"/>
      <c r="V155" s="194" t="n"/>
      <c r="W155" s="194" t="n"/>
      <c r="X155" s="194" t="n"/>
      <c r="Y155" s="194" t="n"/>
      <c r="Z155" s="194" t="n"/>
    </row>
    <row r="156" ht="15.75" customHeight="1" s="195">
      <c r="G156" s="194" t="n"/>
      <c r="H156" s="194" t="n"/>
      <c r="I156" s="194" t="n"/>
      <c r="J156" s="194" t="n"/>
      <c r="K156" s="194" t="n"/>
      <c r="L156" s="194" t="n"/>
      <c r="M156" s="194" t="n"/>
      <c r="N156" s="194" t="n"/>
      <c r="O156" s="194" t="n"/>
      <c r="P156" s="194" t="n"/>
      <c r="Q156" s="194" t="n"/>
      <c r="R156" s="194" t="n"/>
      <c r="S156" s="194" t="n"/>
      <c r="T156" s="194" t="n"/>
      <c r="U156" s="194" t="n"/>
      <c r="V156" s="194" t="n"/>
      <c r="W156" s="194" t="n"/>
      <c r="X156" s="194" t="n"/>
      <c r="Y156" s="194" t="n"/>
      <c r="Z156" s="194" t="n"/>
    </row>
    <row r="157" ht="15.75" customHeight="1" s="195">
      <c r="G157" s="194" t="n"/>
      <c r="H157" s="194" t="n"/>
      <c r="I157" s="194" t="n"/>
      <c r="J157" s="194" t="n"/>
      <c r="K157" s="194" t="n"/>
      <c r="L157" s="194" t="n"/>
      <c r="M157" s="194" t="n"/>
      <c r="N157" s="194" t="n"/>
      <c r="O157" s="194" t="n"/>
      <c r="P157" s="194" t="n"/>
      <c r="Q157" s="194" t="n"/>
      <c r="R157" s="194" t="n"/>
      <c r="S157" s="194" t="n"/>
      <c r="T157" s="194" t="n"/>
      <c r="U157" s="194" t="n"/>
      <c r="V157" s="194" t="n"/>
      <c r="W157" s="194" t="n"/>
      <c r="X157" s="194" t="n"/>
      <c r="Y157" s="194" t="n"/>
      <c r="Z157" s="194" t="n"/>
    </row>
    <row r="158" ht="15.75" customHeight="1" s="195">
      <c r="G158" s="194" t="n"/>
      <c r="H158" s="194" t="n"/>
      <c r="I158" s="194" t="n"/>
      <c r="J158" s="194" t="n"/>
      <c r="K158" s="194" t="n"/>
      <c r="L158" s="194" t="n"/>
      <c r="M158" s="194" t="n"/>
      <c r="N158" s="194" t="n"/>
      <c r="O158" s="194" t="n"/>
      <c r="P158" s="194" t="n"/>
      <c r="Q158" s="194" t="n"/>
      <c r="R158" s="194" t="n"/>
      <c r="S158" s="194" t="n"/>
      <c r="T158" s="194" t="n"/>
      <c r="U158" s="194" t="n"/>
      <c r="V158" s="194" t="n"/>
      <c r="W158" s="194" t="n"/>
      <c r="X158" s="194" t="n"/>
      <c r="Y158" s="194" t="n"/>
      <c r="Z158" s="194" t="n"/>
    </row>
    <row r="159" ht="15.75" customHeight="1" s="195">
      <c r="G159" s="194" t="n"/>
      <c r="H159" s="194" t="n"/>
      <c r="I159" s="194" t="n"/>
      <c r="J159" s="194" t="n"/>
      <c r="K159" s="194" t="n"/>
      <c r="L159" s="194" t="n"/>
      <c r="M159" s="194" t="n"/>
      <c r="N159" s="194" t="n"/>
      <c r="O159" s="194" t="n"/>
      <c r="P159" s="194" t="n"/>
      <c r="Q159" s="194" t="n"/>
      <c r="R159" s="194" t="n"/>
      <c r="S159" s="194" t="n"/>
      <c r="T159" s="194" t="n"/>
      <c r="U159" s="194" t="n"/>
      <c r="V159" s="194" t="n"/>
      <c r="W159" s="194" t="n"/>
      <c r="X159" s="194" t="n"/>
      <c r="Y159" s="194" t="n"/>
      <c r="Z159" s="194" t="n"/>
    </row>
    <row r="160" ht="15.75" customHeight="1" s="195">
      <c r="G160" s="194" t="n"/>
      <c r="H160" s="194" t="n"/>
      <c r="I160" s="194" t="n"/>
      <c r="J160" s="194" t="n"/>
      <c r="K160" s="194" t="n"/>
      <c r="L160" s="194" t="n"/>
      <c r="M160" s="194" t="n"/>
      <c r="N160" s="194" t="n"/>
      <c r="O160" s="194" t="n"/>
      <c r="P160" s="194" t="n"/>
      <c r="Q160" s="194" t="n"/>
      <c r="R160" s="194" t="n"/>
      <c r="S160" s="194" t="n"/>
      <c r="T160" s="194" t="n"/>
      <c r="U160" s="194" t="n"/>
      <c r="V160" s="194" t="n"/>
      <c r="W160" s="194" t="n"/>
      <c r="X160" s="194" t="n"/>
      <c r="Y160" s="194" t="n"/>
      <c r="Z160" s="194" t="n"/>
    </row>
    <row r="161" ht="15.75" customHeight="1" s="195">
      <c r="G161" s="194" t="n"/>
      <c r="H161" s="194" t="n"/>
      <c r="I161" s="194" t="n"/>
      <c r="J161" s="194" t="n"/>
      <c r="K161" s="194" t="n"/>
      <c r="L161" s="194" t="n"/>
      <c r="M161" s="194" t="n"/>
      <c r="N161" s="194" t="n"/>
      <c r="O161" s="194" t="n"/>
      <c r="P161" s="194" t="n"/>
      <c r="Q161" s="194" t="n"/>
      <c r="R161" s="194" t="n"/>
      <c r="S161" s="194" t="n"/>
      <c r="T161" s="194" t="n"/>
      <c r="U161" s="194" t="n"/>
      <c r="V161" s="194" t="n"/>
      <c r="W161" s="194" t="n"/>
      <c r="X161" s="194" t="n"/>
      <c r="Y161" s="194" t="n"/>
      <c r="Z161" s="194" t="n"/>
    </row>
    <row r="162" ht="15.75" customHeight="1" s="195">
      <c r="G162" s="194" t="n"/>
      <c r="H162" s="194" t="n"/>
      <c r="I162" s="194" t="n"/>
      <c r="J162" s="194" t="n"/>
      <c r="K162" s="194" t="n"/>
      <c r="L162" s="194" t="n"/>
      <c r="M162" s="194" t="n"/>
      <c r="N162" s="194" t="n"/>
      <c r="O162" s="194" t="n"/>
      <c r="P162" s="194" t="n"/>
      <c r="Q162" s="194" t="n"/>
      <c r="R162" s="194" t="n"/>
      <c r="S162" s="194" t="n"/>
      <c r="T162" s="194" t="n"/>
      <c r="U162" s="194" t="n"/>
      <c r="V162" s="194" t="n"/>
      <c r="W162" s="194" t="n"/>
      <c r="X162" s="194" t="n"/>
      <c r="Y162" s="194" t="n"/>
      <c r="Z162" s="194" t="n"/>
    </row>
    <row r="163" ht="15.75" customHeight="1" s="195">
      <c r="G163" s="194" t="n"/>
      <c r="H163" s="194" t="n"/>
      <c r="I163" s="194" t="n"/>
      <c r="J163" s="194" t="n"/>
      <c r="K163" s="194" t="n"/>
      <c r="L163" s="194" t="n"/>
      <c r="M163" s="194" t="n"/>
      <c r="N163" s="194" t="n"/>
      <c r="O163" s="194" t="n"/>
      <c r="P163" s="194" t="n"/>
      <c r="Q163" s="194" t="n"/>
      <c r="R163" s="194" t="n"/>
      <c r="S163" s="194" t="n"/>
      <c r="T163" s="194" t="n"/>
      <c r="U163" s="194" t="n"/>
      <c r="V163" s="194" t="n"/>
      <c r="W163" s="194" t="n"/>
      <c r="X163" s="194" t="n"/>
      <c r="Y163" s="194" t="n"/>
      <c r="Z163" s="194" t="n"/>
    </row>
    <row r="164" ht="15.75" customHeight="1" s="195">
      <c r="G164" s="194" t="n"/>
      <c r="H164" s="194" t="n"/>
      <c r="I164" s="194" t="n"/>
      <c r="J164" s="194" t="n"/>
      <c r="K164" s="194" t="n"/>
      <c r="L164" s="194" t="n"/>
      <c r="M164" s="194" t="n"/>
      <c r="N164" s="194" t="n"/>
      <c r="O164" s="194" t="n"/>
      <c r="P164" s="194" t="n"/>
      <c r="Q164" s="194" t="n"/>
      <c r="R164" s="194" t="n"/>
      <c r="S164" s="194" t="n"/>
      <c r="T164" s="194" t="n"/>
      <c r="U164" s="194" t="n"/>
      <c r="V164" s="194" t="n"/>
      <c r="W164" s="194" t="n"/>
      <c r="X164" s="194" t="n"/>
      <c r="Y164" s="194" t="n"/>
      <c r="Z164" s="194" t="n"/>
    </row>
    <row r="165" ht="15.75" customHeight="1" s="195">
      <c r="G165" s="194" t="n"/>
      <c r="H165" s="194" t="n"/>
      <c r="I165" s="194" t="n"/>
      <c r="J165" s="194" t="n"/>
      <c r="K165" s="194" t="n"/>
      <c r="L165" s="194" t="n"/>
      <c r="M165" s="194" t="n"/>
      <c r="N165" s="194" t="n"/>
      <c r="O165" s="194" t="n"/>
      <c r="P165" s="194" t="n"/>
      <c r="Q165" s="194" t="n"/>
      <c r="R165" s="194" t="n"/>
      <c r="S165" s="194" t="n"/>
      <c r="T165" s="194" t="n"/>
      <c r="U165" s="194" t="n"/>
      <c r="V165" s="194" t="n"/>
      <c r="W165" s="194" t="n"/>
      <c r="X165" s="194" t="n"/>
      <c r="Y165" s="194" t="n"/>
      <c r="Z165" s="194" t="n"/>
    </row>
    <row r="166" ht="15.75" customHeight="1" s="195">
      <c r="G166" s="194" t="n"/>
      <c r="H166" s="194" t="n"/>
      <c r="I166" s="194" t="n"/>
      <c r="J166" s="194" t="n"/>
      <c r="K166" s="194" t="n"/>
      <c r="L166" s="194" t="n"/>
      <c r="M166" s="194" t="n"/>
      <c r="N166" s="194" t="n"/>
      <c r="O166" s="194" t="n"/>
      <c r="P166" s="194" t="n"/>
      <c r="Q166" s="194" t="n"/>
      <c r="R166" s="194" t="n"/>
      <c r="S166" s="194" t="n"/>
      <c r="T166" s="194" t="n"/>
      <c r="U166" s="194" t="n"/>
      <c r="V166" s="194" t="n"/>
      <c r="W166" s="194" t="n"/>
      <c r="X166" s="194" t="n"/>
      <c r="Y166" s="194" t="n"/>
      <c r="Z166" s="194" t="n"/>
    </row>
    <row r="167" ht="15.75" customHeight="1" s="195">
      <c r="G167" s="194" t="n"/>
      <c r="H167" s="194" t="n"/>
      <c r="I167" s="194" t="n"/>
      <c r="J167" s="194" t="n"/>
      <c r="K167" s="194" t="n"/>
      <c r="L167" s="194" t="n"/>
      <c r="M167" s="194" t="n"/>
      <c r="N167" s="194" t="n"/>
      <c r="O167" s="194" t="n"/>
      <c r="P167" s="194" t="n"/>
      <c r="Q167" s="194" t="n"/>
      <c r="R167" s="194" t="n"/>
      <c r="S167" s="194" t="n"/>
      <c r="T167" s="194" t="n"/>
      <c r="U167" s="194" t="n"/>
      <c r="V167" s="194" t="n"/>
      <c r="W167" s="194" t="n"/>
      <c r="X167" s="194" t="n"/>
      <c r="Y167" s="194" t="n"/>
      <c r="Z167" s="194" t="n"/>
    </row>
    <row r="168" ht="15.75" customHeight="1" s="195">
      <c r="G168" s="194" t="n"/>
      <c r="H168" s="194" t="n"/>
      <c r="I168" s="194" t="n"/>
      <c r="J168" s="194" t="n"/>
      <c r="K168" s="194" t="n"/>
      <c r="L168" s="194" t="n"/>
      <c r="M168" s="194" t="n"/>
      <c r="N168" s="194" t="n"/>
      <c r="O168" s="194" t="n"/>
      <c r="P168" s="194" t="n"/>
      <c r="Q168" s="194" t="n"/>
      <c r="R168" s="194" t="n"/>
      <c r="S168" s="194" t="n"/>
      <c r="T168" s="194" t="n"/>
      <c r="U168" s="194" t="n"/>
      <c r="V168" s="194" t="n"/>
      <c r="W168" s="194" t="n"/>
      <c r="X168" s="194" t="n"/>
      <c r="Y168" s="194" t="n"/>
      <c r="Z168" s="194" t="n"/>
    </row>
    <row r="169" ht="15.75" customHeight="1" s="195">
      <c r="G169" s="194" t="n"/>
      <c r="H169" s="194" t="n"/>
      <c r="I169" s="194" t="n"/>
      <c r="J169" s="194" t="n"/>
      <c r="K169" s="194" t="n"/>
      <c r="L169" s="194" t="n"/>
      <c r="M169" s="194" t="n"/>
      <c r="N169" s="194" t="n"/>
      <c r="O169" s="194" t="n"/>
      <c r="P169" s="194" t="n"/>
      <c r="Q169" s="194" t="n"/>
      <c r="R169" s="194" t="n"/>
      <c r="S169" s="194" t="n"/>
      <c r="T169" s="194" t="n"/>
      <c r="U169" s="194" t="n"/>
      <c r="V169" s="194" t="n"/>
      <c r="W169" s="194" t="n"/>
      <c r="X169" s="194" t="n"/>
      <c r="Y169" s="194" t="n"/>
      <c r="Z169" s="194" t="n"/>
    </row>
    <row r="170" ht="15.75" customHeight="1" s="195">
      <c r="G170" s="194" t="n"/>
      <c r="H170" s="194" t="n"/>
      <c r="I170" s="194" t="n"/>
      <c r="J170" s="194" t="n"/>
      <c r="K170" s="194" t="n"/>
      <c r="L170" s="194" t="n"/>
      <c r="M170" s="194" t="n"/>
      <c r="N170" s="194" t="n"/>
      <c r="O170" s="194" t="n"/>
      <c r="P170" s="194" t="n"/>
      <c r="Q170" s="194" t="n"/>
      <c r="R170" s="194" t="n"/>
      <c r="S170" s="194" t="n"/>
      <c r="T170" s="194" t="n"/>
      <c r="U170" s="194" t="n"/>
      <c r="V170" s="194" t="n"/>
      <c r="W170" s="194" t="n"/>
      <c r="X170" s="194" t="n"/>
      <c r="Y170" s="194" t="n"/>
      <c r="Z170" s="194" t="n"/>
    </row>
    <row r="171" ht="15.75" customHeight="1" s="195">
      <c r="G171" s="194" t="n"/>
      <c r="H171" s="194" t="n"/>
      <c r="I171" s="194" t="n"/>
      <c r="J171" s="194" t="n"/>
      <c r="K171" s="194" t="n"/>
      <c r="L171" s="194" t="n"/>
      <c r="M171" s="194" t="n"/>
      <c r="N171" s="194" t="n"/>
      <c r="O171" s="194" t="n"/>
      <c r="P171" s="194" t="n"/>
      <c r="Q171" s="194" t="n"/>
      <c r="R171" s="194" t="n"/>
      <c r="S171" s="194" t="n"/>
      <c r="T171" s="194" t="n"/>
      <c r="U171" s="194" t="n"/>
      <c r="V171" s="194" t="n"/>
      <c r="W171" s="194" t="n"/>
      <c r="X171" s="194" t="n"/>
      <c r="Y171" s="194" t="n"/>
      <c r="Z171" s="194" t="n"/>
    </row>
    <row r="172" ht="15.75" customHeight="1" s="195">
      <c r="G172" s="194" t="n"/>
      <c r="H172" s="194" t="n"/>
      <c r="I172" s="194" t="n"/>
      <c r="J172" s="194" t="n"/>
      <c r="K172" s="194" t="n"/>
      <c r="L172" s="194" t="n"/>
      <c r="M172" s="194" t="n"/>
      <c r="N172" s="194" t="n"/>
      <c r="O172" s="194" t="n"/>
      <c r="P172" s="194" t="n"/>
      <c r="Q172" s="194" t="n"/>
      <c r="R172" s="194" t="n"/>
      <c r="S172" s="194" t="n"/>
      <c r="T172" s="194" t="n"/>
      <c r="U172" s="194" t="n"/>
      <c r="V172" s="194" t="n"/>
      <c r="W172" s="194" t="n"/>
      <c r="X172" s="194" t="n"/>
      <c r="Y172" s="194" t="n"/>
      <c r="Z172" s="194" t="n"/>
    </row>
    <row r="173" ht="15.75" customHeight="1" s="195">
      <c r="G173" s="194" t="n"/>
      <c r="H173" s="194" t="n"/>
      <c r="I173" s="194" t="n"/>
      <c r="J173" s="194" t="n"/>
      <c r="K173" s="194" t="n"/>
      <c r="L173" s="194" t="n"/>
      <c r="M173" s="194" t="n"/>
      <c r="N173" s="194" t="n"/>
      <c r="O173" s="194" t="n"/>
      <c r="P173" s="194" t="n"/>
      <c r="Q173" s="194" t="n"/>
      <c r="R173" s="194" t="n"/>
      <c r="S173" s="194" t="n"/>
      <c r="T173" s="194" t="n"/>
      <c r="U173" s="194" t="n"/>
      <c r="V173" s="194" t="n"/>
      <c r="W173" s="194" t="n"/>
      <c r="X173" s="194" t="n"/>
      <c r="Y173" s="194" t="n"/>
      <c r="Z173" s="194" t="n"/>
    </row>
    <row r="174" ht="15.75" customHeight="1" s="195">
      <c r="G174" s="194" t="n"/>
      <c r="H174" s="194" t="n"/>
      <c r="I174" s="194" t="n"/>
      <c r="J174" s="194" t="n"/>
      <c r="K174" s="194" t="n"/>
      <c r="L174" s="194" t="n"/>
      <c r="M174" s="194" t="n"/>
      <c r="N174" s="194" t="n"/>
      <c r="O174" s="194" t="n"/>
      <c r="P174" s="194" t="n"/>
      <c r="Q174" s="194" t="n"/>
      <c r="R174" s="194" t="n"/>
      <c r="S174" s="194" t="n"/>
      <c r="T174" s="194" t="n"/>
      <c r="U174" s="194" t="n"/>
      <c r="V174" s="194" t="n"/>
      <c r="W174" s="194" t="n"/>
      <c r="X174" s="194" t="n"/>
      <c r="Y174" s="194" t="n"/>
      <c r="Z174" s="194" t="n"/>
    </row>
    <row r="175" ht="15.75" customHeight="1" s="195">
      <c r="G175" s="194" t="n"/>
      <c r="H175" s="194" t="n"/>
      <c r="I175" s="194" t="n"/>
      <c r="J175" s="194" t="n"/>
      <c r="K175" s="194" t="n"/>
      <c r="L175" s="194" t="n"/>
      <c r="M175" s="194" t="n"/>
      <c r="N175" s="194" t="n"/>
      <c r="O175" s="194" t="n"/>
      <c r="P175" s="194" t="n"/>
      <c r="Q175" s="194" t="n"/>
      <c r="R175" s="194" t="n"/>
      <c r="S175" s="194" t="n"/>
      <c r="T175" s="194" t="n"/>
      <c r="U175" s="194" t="n"/>
      <c r="V175" s="194" t="n"/>
      <c r="W175" s="194" t="n"/>
      <c r="X175" s="194" t="n"/>
      <c r="Y175" s="194" t="n"/>
      <c r="Z175" s="194" t="n"/>
    </row>
    <row r="176" ht="15.75" customHeight="1" s="195">
      <c r="G176" s="194" t="n"/>
      <c r="H176" s="194" t="n"/>
      <c r="I176" s="194" t="n"/>
      <c r="J176" s="194" t="n"/>
      <c r="K176" s="194" t="n"/>
      <c r="L176" s="194" t="n"/>
      <c r="M176" s="194" t="n"/>
      <c r="N176" s="194" t="n"/>
      <c r="O176" s="194" t="n"/>
      <c r="P176" s="194" t="n"/>
      <c r="Q176" s="194" t="n"/>
      <c r="R176" s="194" t="n"/>
      <c r="S176" s="194" t="n"/>
      <c r="T176" s="194" t="n"/>
      <c r="U176" s="194" t="n"/>
      <c r="V176" s="194" t="n"/>
      <c r="W176" s="194" t="n"/>
      <c r="X176" s="194" t="n"/>
      <c r="Y176" s="194" t="n"/>
      <c r="Z176" s="194" t="n"/>
    </row>
    <row r="177" ht="15.75" customHeight="1" s="195">
      <c r="G177" s="194" t="n"/>
      <c r="H177" s="194" t="n"/>
      <c r="I177" s="194" t="n"/>
      <c r="J177" s="194" t="n"/>
      <c r="K177" s="194" t="n"/>
      <c r="L177" s="194" t="n"/>
      <c r="M177" s="194" t="n"/>
      <c r="N177" s="194" t="n"/>
      <c r="O177" s="194" t="n"/>
      <c r="P177" s="194" t="n"/>
      <c r="Q177" s="194" t="n"/>
      <c r="R177" s="194" t="n"/>
      <c r="S177" s="194" t="n"/>
      <c r="T177" s="194" t="n"/>
      <c r="U177" s="194" t="n"/>
      <c r="V177" s="194" t="n"/>
      <c r="W177" s="194" t="n"/>
      <c r="X177" s="194" t="n"/>
      <c r="Y177" s="194" t="n"/>
      <c r="Z177" s="194" t="n"/>
    </row>
    <row r="178" ht="15.75" customHeight="1" s="195">
      <c r="G178" s="194" t="n"/>
      <c r="H178" s="194" t="n"/>
      <c r="I178" s="194" t="n"/>
      <c r="J178" s="194" t="n"/>
      <c r="K178" s="194" t="n"/>
      <c r="L178" s="194" t="n"/>
      <c r="M178" s="194" t="n"/>
      <c r="N178" s="194" t="n"/>
      <c r="O178" s="194" t="n"/>
      <c r="P178" s="194" t="n"/>
      <c r="Q178" s="194" t="n"/>
      <c r="R178" s="194" t="n"/>
      <c r="S178" s="194" t="n"/>
      <c r="T178" s="194" t="n"/>
      <c r="U178" s="194" t="n"/>
      <c r="V178" s="194" t="n"/>
      <c r="W178" s="194" t="n"/>
      <c r="X178" s="194" t="n"/>
      <c r="Y178" s="194" t="n"/>
      <c r="Z178" s="194" t="n"/>
    </row>
    <row r="179" ht="15.75" customHeight="1" s="195">
      <c r="G179" s="194" t="n"/>
      <c r="H179" s="194" t="n"/>
      <c r="I179" s="194" t="n"/>
      <c r="J179" s="194" t="n"/>
      <c r="K179" s="194" t="n"/>
      <c r="L179" s="194" t="n"/>
      <c r="M179" s="194" t="n"/>
      <c r="N179" s="194" t="n"/>
      <c r="O179" s="194" t="n"/>
      <c r="P179" s="194" t="n"/>
      <c r="Q179" s="194" t="n"/>
      <c r="R179" s="194" t="n"/>
      <c r="S179" s="194" t="n"/>
      <c r="T179" s="194" t="n"/>
      <c r="U179" s="194" t="n"/>
      <c r="V179" s="194" t="n"/>
      <c r="W179" s="194" t="n"/>
      <c r="X179" s="194" t="n"/>
      <c r="Y179" s="194" t="n"/>
      <c r="Z179" s="194" t="n"/>
    </row>
    <row r="180" ht="15.75" customHeight="1" s="195">
      <c r="G180" s="194" t="n"/>
      <c r="H180" s="194" t="n"/>
      <c r="I180" s="194" t="n"/>
      <c r="J180" s="194" t="n"/>
      <c r="K180" s="194" t="n"/>
      <c r="L180" s="194" t="n"/>
      <c r="M180" s="194" t="n"/>
      <c r="N180" s="194" t="n"/>
      <c r="O180" s="194" t="n"/>
      <c r="P180" s="194" t="n"/>
      <c r="Q180" s="194" t="n"/>
      <c r="R180" s="194" t="n"/>
      <c r="S180" s="194" t="n"/>
      <c r="T180" s="194" t="n"/>
      <c r="U180" s="194" t="n"/>
      <c r="V180" s="194" t="n"/>
      <c r="W180" s="194" t="n"/>
      <c r="X180" s="194" t="n"/>
      <c r="Y180" s="194" t="n"/>
      <c r="Z180" s="194" t="n"/>
    </row>
    <row r="181" ht="15.75" customHeight="1" s="195">
      <c r="G181" s="194" t="n"/>
      <c r="H181" s="194" t="n"/>
      <c r="I181" s="194" t="n"/>
      <c r="J181" s="194" t="n"/>
      <c r="K181" s="194" t="n"/>
      <c r="L181" s="194" t="n"/>
      <c r="M181" s="194" t="n"/>
      <c r="N181" s="194" t="n"/>
      <c r="O181" s="194" t="n"/>
      <c r="P181" s="194" t="n"/>
      <c r="Q181" s="194" t="n"/>
      <c r="R181" s="194" t="n"/>
      <c r="S181" s="194" t="n"/>
      <c r="T181" s="194" t="n"/>
      <c r="U181" s="194" t="n"/>
      <c r="V181" s="194" t="n"/>
      <c r="W181" s="194" t="n"/>
      <c r="X181" s="194" t="n"/>
      <c r="Y181" s="194" t="n"/>
      <c r="Z181" s="194" t="n"/>
    </row>
    <row r="182" ht="15.75" customHeight="1" s="195">
      <c r="G182" s="194" t="n"/>
      <c r="H182" s="194" t="n"/>
      <c r="I182" s="194" t="n"/>
      <c r="J182" s="194" t="n"/>
      <c r="K182" s="194" t="n"/>
      <c r="L182" s="194" t="n"/>
      <c r="M182" s="194" t="n"/>
      <c r="N182" s="194" t="n"/>
      <c r="O182" s="194" t="n"/>
      <c r="P182" s="194" t="n"/>
      <c r="Q182" s="194" t="n"/>
      <c r="R182" s="194" t="n"/>
      <c r="S182" s="194" t="n"/>
      <c r="T182" s="194" t="n"/>
      <c r="U182" s="194" t="n"/>
      <c r="V182" s="194" t="n"/>
      <c r="W182" s="194" t="n"/>
      <c r="X182" s="194" t="n"/>
      <c r="Y182" s="194" t="n"/>
      <c r="Z182" s="194" t="n"/>
    </row>
    <row r="183" ht="15.75" customHeight="1" s="195">
      <c r="G183" s="194" t="n"/>
      <c r="H183" s="194" t="n"/>
      <c r="I183" s="194" t="n"/>
      <c r="J183" s="194" t="n"/>
      <c r="K183" s="194" t="n"/>
      <c r="L183" s="194" t="n"/>
      <c r="M183" s="194" t="n"/>
      <c r="N183" s="194" t="n"/>
      <c r="O183" s="194" t="n"/>
      <c r="P183" s="194" t="n"/>
      <c r="Q183" s="194" t="n"/>
      <c r="R183" s="194" t="n"/>
      <c r="S183" s="194" t="n"/>
      <c r="T183" s="194" t="n"/>
      <c r="U183" s="194" t="n"/>
      <c r="V183" s="194" t="n"/>
      <c r="W183" s="194" t="n"/>
      <c r="X183" s="194" t="n"/>
      <c r="Y183" s="194" t="n"/>
      <c r="Z183" s="194" t="n"/>
    </row>
    <row r="184" ht="15.75" customHeight="1" s="195">
      <c r="G184" s="194" t="n"/>
      <c r="H184" s="194" t="n"/>
      <c r="I184" s="194" t="n"/>
      <c r="J184" s="194" t="n"/>
      <c r="K184" s="194" t="n"/>
      <c r="L184" s="194" t="n"/>
      <c r="M184" s="194" t="n"/>
      <c r="N184" s="194" t="n"/>
      <c r="O184" s="194" t="n"/>
      <c r="P184" s="194" t="n"/>
      <c r="Q184" s="194" t="n"/>
      <c r="R184" s="194" t="n"/>
      <c r="S184" s="194" t="n"/>
      <c r="T184" s="194" t="n"/>
      <c r="U184" s="194" t="n"/>
      <c r="V184" s="194" t="n"/>
      <c r="W184" s="194" t="n"/>
      <c r="X184" s="194" t="n"/>
      <c r="Y184" s="194" t="n"/>
      <c r="Z184" s="194" t="n"/>
    </row>
    <row r="185" ht="15.75" customHeight="1" s="195">
      <c r="G185" s="194" t="n"/>
      <c r="H185" s="194" t="n"/>
      <c r="I185" s="194" t="n"/>
      <c r="J185" s="194" t="n"/>
      <c r="K185" s="194" t="n"/>
      <c r="L185" s="194" t="n"/>
      <c r="M185" s="194" t="n"/>
      <c r="N185" s="194" t="n"/>
      <c r="O185" s="194" t="n"/>
      <c r="P185" s="194" t="n"/>
      <c r="Q185" s="194" t="n"/>
      <c r="R185" s="194" t="n"/>
      <c r="S185" s="194" t="n"/>
      <c r="T185" s="194" t="n"/>
      <c r="U185" s="194" t="n"/>
      <c r="V185" s="194" t="n"/>
      <c r="W185" s="194" t="n"/>
      <c r="X185" s="194" t="n"/>
      <c r="Y185" s="194" t="n"/>
      <c r="Z185" s="194" t="n"/>
    </row>
    <row r="186" ht="15.75" customHeight="1" s="195">
      <c r="G186" s="194" t="n"/>
      <c r="H186" s="194" t="n"/>
      <c r="I186" s="194" t="n"/>
      <c r="J186" s="194" t="n"/>
      <c r="K186" s="194" t="n"/>
      <c r="L186" s="194" t="n"/>
      <c r="M186" s="194" t="n"/>
      <c r="N186" s="194" t="n"/>
      <c r="O186" s="194" t="n"/>
      <c r="P186" s="194" t="n"/>
      <c r="Q186" s="194" t="n"/>
      <c r="R186" s="194" t="n"/>
      <c r="S186" s="194" t="n"/>
      <c r="T186" s="194" t="n"/>
      <c r="U186" s="194" t="n"/>
      <c r="V186" s="194" t="n"/>
      <c r="W186" s="194" t="n"/>
      <c r="X186" s="194" t="n"/>
      <c r="Y186" s="194" t="n"/>
      <c r="Z186" s="194" t="n"/>
    </row>
    <row r="187" ht="15.75" customHeight="1" s="195">
      <c r="G187" s="194" t="n"/>
      <c r="H187" s="194" t="n"/>
      <c r="I187" s="194" t="n"/>
      <c r="J187" s="194" t="n"/>
      <c r="K187" s="194" t="n"/>
      <c r="L187" s="194" t="n"/>
      <c r="M187" s="194" t="n"/>
      <c r="N187" s="194" t="n"/>
      <c r="O187" s="194" t="n"/>
      <c r="P187" s="194" t="n"/>
      <c r="Q187" s="194" t="n"/>
      <c r="R187" s="194" t="n"/>
      <c r="S187" s="194" t="n"/>
      <c r="T187" s="194" t="n"/>
      <c r="U187" s="194" t="n"/>
      <c r="V187" s="194" t="n"/>
      <c r="W187" s="194" t="n"/>
      <c r="X187" s="194" t="n"/>
      <c r="Y187" s="194" t="n"/>
      <c r="Z187" s="194" t="n"/>
    </row>
    <row r="188" ht="15.75" customHeight="1" s="195">
      <c r="G188" s="194" t="n"/>
      <c r="H188" s="194" t="n"/>
      <c r="I188" s="194" t="n"/>
      <c r="J188" s="194" t="n"/>
      <c r="K188" s="194" t="n"/>
      <c r="L188" s="194" t="n"/>
      <c r="M188" s="194" t="n"/>
      <c r="N188" s="194" t="n"/>
      <c r="O188" s="194" t="n"/>
      <c r="P188" s="194" t="n"/>
      <c r="Q188" s="194" t="n"/>
      <c r="R188" s="194" t="n"/>
      <c r="S188" s="194" t="n"/>
      <c r="T188" s="194" t="n"/>
      <c r="U188" s="194" t="n"/>
      <c r="V188" s="194" t="n"/>
      <c r="W188" s="194" t="n"/>
      <c r="X188" s="194" t="n"/>
      <c r="Y188" s="194" t="n"/>
      <c r="Z188" s="194" t="n"/>
    </row>
    <row r="189" ht="15.75" customHeight="1" s="195">
      <c r="G189" s="194" t="n"/>
      <c r="H189" s="194" t="n"/>
      <c r="I189" s="194" t="n"/>
      <c r="J189" s="194" t="n"/>
      <c r="K189" s="194" t="n"/>
      <c r="L189" s="194" t="n"/>
      <c r="M189" s="194" t="n"/>
      <c r="N189" s="194" t="n"/>
      <c r="O189" s="194" t="n"/>
      <c r="P189" s="194" t="n"/>
      <c r="Q189" s="194" t="n"/>
      <c r="R189" s="194" t="n"/>
      <c r="S189" s="194" t="n"/>
      <c r="T189" s="194" t="n"/>
      <c r="U189" s="194" t="n"/>
      <c r="V189" s="194" t="n"/>
      <c r="W189" s="194" t="n"/>
      <c r="X189" s="194" t="n"/>
      <c r="Y189" s="194" t="n"/>
      <c r="Z189" s="194" t="n"/>
    </row>
    <row r="190" ht="15.75" customHeight="1" s="195">
      <c r="G190" s="194" t="n"/>
      <c r="H190" s="194" t="n"/>
      <c r="I190" s="194" t="n"/>
      <c r="J190" s="194" t="n"/>
      <c r="K190" s="194" t="n"/>
      <c r="L190" s="194" t="n"/>
      <c r="M190" s="194" t="n"/>
      <c r="N190" s="194" t="n"/>
      <c r="O190" s="194" t="n"/>
      <c r="P190" s="194" t="n"/>
      <c r="Q190" s="194" t="n"/>
      <c r="R190" s="194" t="n"/>
      <c r="S190" s="194" t="n"/>
      <c r="T190" s="194" t="n"/>
      <c r="U190" s="194" t="n"/>
      <c r="V190" s="194" t="n"/>
      <c r="W190" s="194" t="n"/>
      <c r="X190" s="194" t="n"/>
      <c r="Y190" s="194" t="n"/>
      <c r="Z190" s="194" t="n"/>
    </row>
    <row r="191" ht="15.75" customHeight="1" s="195">
      <c r="G191" s="194" t="n"/>
      <c r="H191" s="194" t="n"/>
      <c r="I191" s="194" t="n"/>
      <c r="J191" s="194" t="n"/>
      <c r="K191" s="194" t="n"/>
      <c r="L191" s="194" t="n"/>
      <c r="M191" s="194" t="n"/>
      <c r="N191" s="194" t="n"/>
      <c r="O191" s="194" t="n"/>
      <c r="P191" s="194" t="n"/>
      <c r="Q191" s="194" t="n"/>
      <c r="R191" s="194" t="n"/>
      <c r="S191" s="194" t="n"/>
      <c r="T191" s="194" t="n"/>
      <c r="U191" s="194" t="n"/>
      <c r="V191" s="194" t="n"/>
      <c r="W191" s="194" t="n"/>
      <c r="X191" s="194" t="n"/>
      <c r="Y191" s="194" t="n"/>
      <c r="Z191" s="194" t="n"/>
    </row>
    <row r="192" ht="15.75" customHeight="1" s="195">
      <c r="G192" s="194" t="n"/>
      <c r="H192" s="194" t="n"/>
      <c r="I192" s="194" t="n"/>
      <c r="J192" s="194" t="n"/>
      <c r="K192" s="194" t="n"/>
      <c r="L192" s="194" t="n"/>
      <c r="M192" s="194" t="n"/>
      <c r="N192" s="194" t="n"/>
      <c r="O192" s="194" t="n"/>
      <c r="P192" s="194" t="n"/>
      <c r="Q192" s="194" t="n"/>
      <c r="R192" s="194" t="n"/>
      <c r="S192" s="194" t="n"/>
      <c r="T192" s="194" t="n"/>
      <c r="U192" s="194" t="n"/>
      <c r="V192" s="194" t="n"/>
      <c r="W192" s="194" t="n"/>
      <c r="X192" s="194" t="n"/>
      <c r="Y192" s="194" t="n"/>
      <c r="Z192" s="194" t="n"/>
    </row>
    <row r="193" ht="15.75" customHeight="1" s="195">
      <c r="G193" s="194" t="n"/>
      <c r="H193" s="194" t="n"/>
      <c r="I193" s="194" t="n"/>
      <c r="J193" s="194" t="n"/>
      <c r="K193" s="194" t="n"/>
      <c r="L193" s="194" t="n"/>
      <c r="M193" s="194" t="n"/>
      <c r="N193" s="194" t="n"/>
      <c r="O193" s="194" t="n"/>
      <c r="P193" s="194" t="n"/>
      <c r="Q193" s="194" t="n"/>
      <c r="R193" s="194" t="n"/>
      <c r="S193" s="194" t="n"/>
      <c r="T193" s="194" t="n"/>
      <c r="U193" s="194" t="n"/>
      <c r="V193" s="194" t="n"/>
      <c r="W193" s="194" t="n"/>
      <c r="X193" s="194" t="n"/>
      <c r="Y193" s="194" t="n"/>
      <c r="Z193" s="194" t="n"/>
    </row>
    <row r="194" ht="15.75" customHeight="1" s="195">
      <c r="G194" s="194" t="n"/>
      <c r="H194" s="194" t="n"/>
      <c r="I194" s="194" t="n"/>
      <c r="J194" s="194" t="n"/>
      <c r="K194" s="194" t="n"/>
      <c r="L194" s="194" t="n"/>
      <c r="M194" s="194" t="n"/>
      <c r="N194" s="194" t="n"/>
      <c r="O194" s="194" t="n"/>
      <c r="P194" s="194" t="n"/>
      <c r="Q194" s="194" t="n"/>
      <c r="R194" s="194" t="n"/>
      <c r="S194" s="194" t="n"/>
      <c r="T194" s="194" t="n"/>
      <c r="U194" s="194" t="n"/>
      <c r="V194" s="194" t="n"/>
      <c r="W194" s="194" t="n"/>
      <c r="X194" s="194" t="n"/>
      <c r="Y194" s="194" t="n"/>
      <c r="Z194" s="194" t="n"/>
    </row>
    <row r="195" ht="15.75" customHeight="1" s="195">
      <c r="G195" s="194" t="n"/>
      <c r="H195" s="194" t="n"/>
      <c r="I195" s="194" t="n"/>
      <c r="J195" s="194" t="n"/>
      <c r="K195" s="194" t="n"/>
      <c r="L195" s="194" t="n"/>
      <c r="M195" s="194" t="n"/>
      <c r="N195" s="194" t="n"/>
      <c r="O195" s="194" t="n"/>
      <c r="P195" s="194" t="n"/>
      <c r="Q195" s="194" t="n"/>
      <c r="R195" s="194" t="n"/>
      <c r="S195" s="194" t="n"/>
      <c r="T195" s="194" t="n"/>
      <c r="U195" s="194" t="n"/>
      <c r="V195" s="194" t="n"/>
      <c r="W195" s="194" t="n"/>
      <c r="X195" s="194" t="n"/>
      <c r="Y195" s="194" t="n"/>
      <c r="Z195" s="194" t="n"/>
    </row>
    <row r="196" ht="15.75" customHeight="1" s="195">
      <c r="G196" s="194" t="n"/>
      <c r="H196" s="194" t="n"/>
      <c r="I196" s="194" t="n"/>
      <c r="J196" s="194" t="n"/>
      <c r="K196" s="194" t="n"/>
      <c r="L196" s="194" t="n"/>
      <c r="M196" s="194" t="n"/>
      <c r="N196" s="194" t="n"/>
      <c r="O196" s="194" t="n"/>
      <c r="P196" s="194" t="n"/>
      <c r="Q196" s="194" t="n"/>
      <c r="R196" s="194" t="n"/>
      <c r="S196" s="194" t="n"/>
      <c r="T196" s="194" t="n"/>
      <c r="U196" s="194" t="n"/>
      <c r="V196" s="194" t="n"/>
      <c r="W196" s="194" t="n"/>
      <c r="X196" s="194" t="n"/>
      <c r="Y196" s="194" t="n"/>
      <c r="Z196" s="194" t="n"/>
    </row>
    <row r="197" ht="15.75" customHeight="1" s="195">
      <c r="G197" s="194" t="n"/>
      <c r="H197" s="194" t="n"/>
      <c r="I197" s="194" t="n"/>
      <c r="J197" s="194" t="n"/>
      <c r="K197" s="194" t="n"/>
      <c r="L197" s="194" t="n"/>
      <c r="M197" s="194" t="n"/>
      <c r="N197" s="194" t="n"/>
      <c r="O197" s="194" t="n"/>
      <c r="P197" s="194" t="n"/>
      <c r="Q197" s="194" t="n"/>
      <c r="R197" s="194" t="n"/>
      <c r="S197" s="194" t="n"/>
      <c r="T197" s="194" t="n"/>
      <c r="U197" s="194" t="n"/>
      <c r="V197" s="194" t="n"/>
      <c r="W197" s="194" t="n"/>
      <c r="X197" s="194" t="n"/>
      <c r="Y197" s="194" t="n"/>
      <c r="Z197" s="194" t="n"/>
    </row>
    <row r="198" ht="15.75" customHeight="1" s="195">
      <c r="G198" s="194" t="n"/>
      <c r="H198" s="194" t="n"/>
      <c r="I198" s="194" t="n"/>
      <c r="J198" s="194" t="n"/>
      <c r="K198" s="194" t="n"/>
      <c r="L198" s="194" t="n"/>
      <c r="M198" s="194" t="n"/>
      <c r="N198" s="194" t="n"/>
      <c r="O198" s="194" t="n"/>
      <c r="P198" s="194" t="n"/>
      <c r="Q198" s="194" t="n"/>
      <c r="R198" s="194" t="n"/>
      <c r="S198" s="194" t="n"/>
      <c r="T198" s="194" t="n"/>
      <c r="U198" s="194" t="n"/>
      <c r="V198" s="194" t="n"/>
      <c r="W198" s="194" t="n"/>
      <c r="X198" s="194" t="n"/>
      <c r="Y198" s="194" t="n"/>
      <c r="Z198" s="194" t="n"/>
    </row>
    <row r="199" ht="15.75" customHeight="1" s="195">
      <c r="G199" s="194" t="n"/>
      <c r="H199" s="194" t="n"/>
      <c r="I199" s="194" t="n"/>
      <c r="J199" s="194" t="n"/>
      <c r="K199" s="194" t="n"/>
      <c r="L199" s="194" t="n"/>
      <c r="M199" s="194" t="n"/>
      <c r="N199" s="194" t="n"/>
      <c r="O199" s="194" t="n"/>
      <c r="P199" s="194" t="n"/>
      <c r="Q199" s="194" t="n"/>
      <c r="R199" s="194" t="n"/>
      <c r="S199" s="194" t="n"/>
      <c r="T199" s="194" t="n"/>
      <c r="U199" s="194" t="n"/>
      <c r="V199" s="194" t="n"/>
      <c r="W199" s="194" t="n"/>
      <c r="X199" s="194" t="n"/>
      <c r="Y199" s="194" t="n"/>
      <c r="Z199" s="194" t="n"/>
    </row>
    <row r="200" ht="15.75" customHeight="1" s="195">
      <c r="G200" s="194" t="n"/>
      <c r="H200" s="194" t="n"/>
      <c r="I200" s="194" t="n"/>
      <c r="J200" s="194" t="n"/>
      <c r="K200" s="194" t="n"/>
      <c r="L200" s="194" t="n"/>
      <c r="M200" s="194" t="n"/>
      <c r="N200" s="194" t="n"/>
      <c r="O200" s="194" t="n"/>
      <c r="P200" s="194" t="n"/>
      <c r="Q200" s="194" t="n"/>
      <c r="R200" s="194" t="n"/>
      <c r="S200" s="194" t="n"/>
      <c r="T200" s="194" t="n"/>
      <c r="U200" s="194" t="n"/>
      <c r="V200" s="194" t="n"/>
      <c r="W200" s="194" t="n"/>
      <c r="X200" s="194" t="n"/>
      <c r="Y200" s="194" t="n"/>
      <c r="Z200" s="194" t="n"/>
    </row>
    <row r="201" ht="15.75" customHeight="1" s="195">
      <c r="G201" s="194" t="n"/>
      <c r="H201" s="194" t="n"/>
      <c r="I201" s="194" t="n"/>
      <c r="J201" s="194" t="n"/>
      <c r="K201" s="194" t="n"/>
      <c r="L201" s="194" t="n"/>
      <c r="M201" s="194" t="n"/>
      <c r="N201" s="194" t="n"/>
      <c r="O201" s="194" t="n"/>
      <c r="P201" s="194" t="n"/>
      <c r="Q201" s="194" t="n"/>
      <c r="R201" s="194" t="n"/>
      <c r="S201" s="194" t="n"/>
      <c r="T201" s="194" t="n"/>
      <c r="U201" s="194" t="n"/>
      <c r="V201" s="194" t="n"/>
      <c r="W201" s="194" t="n"/>
      <c r="X201" s="194" t="n"/>
      <c r="Y201" s="194" t="n"/>
      <c r="Z201" s="194" t="n"/>
    </row>
    <row r="202" ht="15.75" customHeight="1" s="195">
      <c r="G202" s="194" t="n"/>
      <c r="H202" s="194" t="n"/>
      <c r="I202" s="194" t="n"/>
      <c r="J202" s="194" t="n"/>
      <c r="K202" s="194" t="n"/>
      <c r="L202" s="194" t="n"/>
      <c r="M202" s="194" t="n"/>
      <c r="N202" s="194" t="n"/>
      <c r="O202" s="194" t="n"/>
      <c r="P202" s="194" t="n"/>
      <c r="Q202" s="194" t="n"/>
      <c r="R202" s="194" t="n"/>
      <c r="S202" s="194" t="n"/>
      <c r="T202" s="194" t="n"/>
      <c r="U202" s="194" t="n"/>
      <c r="V202" s="194" t="n"/>
      <c r="W202" s="194" t="n"/>
      <c r="X202" s="194" t="n"/>
      <c r="Y202" s="194" t="n"/>
      <c r="Z202" s="194" t="n"/>
    </row>
    <row r="203" ht="15.75" customHeight="1" s="195">
      <c r="G203" s="194" t="n"/>
      <c r="H203" s="194" t="n"/>
      <c r="I203" s="194" t="n"/>
      <c r="J203" s="194" t="n"/>
      <c r="K203" s="194" t="n"/>
      <c r="L203" s="194" t="n"/>
      <c r="M203" s="194" t="n"/>
      <c r="N203" s="194" t="n"/>
      <c r="O203" s="194" t="n"/>
      <c r="P203" s="194" t="n"/>
      <c r="Q203" s="194" t="n"/>
      <c r="R203" s="194" t="n"/>
      <c r="S203" s="194" t="n"/>
      <c r="T203" s="194" t="n"/>
      <c r="U203" s="194" t="n"/>
      <c r="V203" s="194" t="n"/>
      <c r="W203" s="194" t="n"/>
      <c r="X203" s="194" t="n"/>
      <c r="Y203" s="194" t="n"/>
      <c r="Z203" s="194" t="n"/>
    </row>
    <row r="204" ht="15.75" customHeight="1" s="195">
      <c r="G204" s="194" t="n"/>
      <c r="H204" s="194" t="n"/>
      <c r="I204" s="194" t="n"/>
      <c r="J204" s="194" t="n"/>
      <c r="K204" s="194" t="n"/>
      <c r="L204" s="194" t="n"/>
      <c r="M204" s="194" t="n"/>
      <c r="N204" s="194" t="n"/>
      <c r="O204" s="194" t="n"/>
      <c r="P204" s="194" t="n"/>
      <c r="Q204" s="194" t="n"/>
      <c r="R204" s="194" t="n"/>
      <c r="S204" s="194" t="n"/>
      <c r="T204" s="194" t="n"/>
      <c r="U204" s="194" t="n"/>
      <c r="V204" s="194" t="n"/>
      <c r="W204" s="194" t="n"/>
      <c r="X204" s="194" t="n"/>
      <c r="Y204" s="194" t="n"/>
      <c r="Z204" s="194" t="n"/>
    </row>
    <row r="205" ht="15.75" customHeight="1" s="195">
      <c r="G205" s="194" t="n"/>
      <c r="H205" s="194" t="n"/>
      <c r="I205" s="194" t="n"/>
      <c r="J205" s="194" t="n"/>
      <c r="K205" s="194" t="n"/>
      <c r="L205" s="194" t="n"/>
      <c r="M205" s="194" t="n"/>
      <c r="N205" s="194" t="n"/>
      <c r="O205" s="194" t="n"/>
      <c r="P205" s="194" t="n"/>
      <c r="Q205" s="194" t="n"/>
      <c r="R205" s="194" t="n"/>
      <c r="S205" s="194" t="n"/>
      <c r="T205" s="194" t="n"/>
      <c r="U205" s="194" t="n"/>
      <c r="V205" s="194" t="n"/>
      <c r="W205" s="194" t="n"/>
      <c r="X205" s="194" t="n"/>
      <c r="Y205" s="194" t="n"/>
      <c r="Z205" s="194" t="n"/>
    </row>
    <row r="206" ht="15.75" customHeight="1" s="195">
      <c r="G206" s="194" t="n"/>
      <c r="H206" s="194" t="n"/>
      <c r="I206" s="194" t="n"/>
      <c r="J206" s="194" t="n"/>
      <c r="K206" s="194" t="n"/>
      <c r="L206" s="194" t="n"/>
      <c r="M206" s="194" t="n"/>
      <c r="N206" s="194" t="n"/>
      <c r="O206" s="194" t="n"/>
      <c r="P206" s="194" t="n"/>
      <c r="Q206" s="194" t="n"/>
      <c r="R206" s="194" t="n"/>
      <c r="S206" s="194" t="n"/>
      <c r="T206" s="194" t="n"/>
      <c r="U206" s="194" t="n"/>
      <c r="V206" s="194" t="n"/>
      <c r="W206" s="194" t="n"/>
      <c r="X206" s="194" t="n"/>
      <c r="Y206" s="194" t="n"/>
      <c r="Z206" s="194" t="n"/>
    </row>
    <row r="207" ht="15.75" customHeight="1" s="195">
      <c r="G207" s="194" t="n"/>
      <c r="H207" s="194" t="n"/>
      <c r="I207" s="194" t="n"/>
      <c r="J207" s="194" t="n"/>
      <c r="K207" s="194" t="n"/>
      <c r="L207" s="194" t="n"/>
      <c r="M207" s="194" t="n"/>
      <c r="N207" s="194" t="n"/>
      <c r="O207" s="194" t="n"/>
      <c r="P207" s="194" t="n"/>
      <c r="Q207" s="194" t="n"/>
      <c r="R207" s="194" t="n"/>
      <c r="S207" s="194" t="n"/>
      <c r="T207" s="194" t="n"/>
      <c r="U207" s="194" t="n"/>
      <c r="V207" s="194" t="n"/>
      <c r="W207" s="194" t="n"/>
      <c r="X207" s="194" t="n"/>
      <c r="Y207" s="194" t="n"/>
      <c r="Z207" s="194" t="n"/>
    </row>
    <row r="208" ht="15.75" customHeight="1" s="195">
      <c r="G208" s="194" t="n"/>
      <c r="H208" s="194" t="n"/>
      <c r="I208" s="194" t="n"/>
      <c r="J208" s="194" t="n"/>
      <c r="K208" s="194" t="n"/>
      <c r="L208" s="194" t="n"/>
      <c r="M208" s="194" t="n"/>
      <c r="N208" s="194" t="n"/>
      <c r="O208" s="194" t="n"/>
      <c r="P208" s="194" t="n"/>
      <c r="Q208" s="194" t="n"/>
      <c r="R208" s="194" t="n"/>
      <c r="S208" s="194" t="n"/>
      <c r="T208" s="194" t="n"/>
      <c r="U208" s="194" t="n"/>
      <c r="V208" s="194" t="n"/>
      <c r="W208" s="194" t="n"/>
      <c r="X208" s="194" t="n"/>
      <c r="Y208" s="194" t="n"/>
      <c r="Z208" s="194" t="n"/>
    </row>
    <row r="209" ht="15.75" customHeight="1" s="195">
      <c r="G209" s="194" t="n"/>
      <c r="H209" s="194" t="n"/>
      <c r="I209" s="194" t="n"/>
      <c r="J209" s="194" t="n"/>
      <c r="K209" s="194" t="n"/>
      <c r="L209" s="194" t="n"/>
      <c r="M209" s="194" t="n"/>
      <c r="N209" s="194" t="n"/>
      <c r="O209" s="194" t="n"/>
      <c r="P209" s="194" t="n"/>
      <c r="Q209" s="194" t="n"/>
      <c r="R209" s="194" t="n"/>
      <c r="S209" s="194" t="n"/>
      <c r="T209" s="194" t="n"/>
      <c r="U209" s="194" t="n"/>
      <c r="V209" s="194" t="n"/>
      <c r="W209" s="194" t="n"/>
      <c r="X209" s="194" t="n"/>
      <c r="Y209" s="194" t="n"/>
      <c r="Z209" s="194" t="n"/>
    </row>
    <row r="210" ht="15.75" customHeight="1" s="195">
      <c r="G210" s="194" t="n"/>
      <c r="H210" s="194" t="n"/>
      <c r="I210" s="194" t="n"/>
      <c r="J210" s="194" t="n"/>
      <c r="K210" s="194" t="n"/>
      <c r="L210" s="194" t="n"/>
      <c r="M210" s="194" t="n"/>
      <c r="N210" s="194" t="n"/>
      <c r="O210" s="194" t="n"/>
      <c r="P210" s="194" t="n"/>
      <c r="Q210" s="194" t="n"/>
      <c r="R210" s="194" t="n"/>
      <c r="S210" s="194" t="n"/>
      <c r="T210" s="194" t="n"/>
      <c r="U210" s="194" t="n"/>
      <c r="V210" s="194" t="n"/>
      <c r="W210" s="194" t="n"/>
      <c r="X210" s="194" t="n"/>
      <c r="Y210" s="194" t="n"/>
      <c r="Z210" s="194" t="n"/>
    </row>
    <row r="211" ht="15.75" customHeight="1" s="195">
      <c r="G211" s="194" t="n"/>
      <c r="H211" s="194" t="n"/>
      <c r="I211" s="194" t="n"/>
      <c r="J211" s="194" t="n"/>
      <c r="K211" s="194" t="n"/>
      <c r="L211" s="194" t="n"/>
      <c r="M211" s="194" t="n"/>
      <c r="N211" s="194" t="n"/>
      <c r="O211" s="194" t="n"/>
      <c r="P211" s="194" t="n"/>
      <c r="Q211" s="194" t="n"/>
      <c r="R211" s="194" t="n"/>
      <c r="S211" s="194" t="n"/>
      <c r="T211" s="194" t="n"/>
      <c r="U211" s="194" t="n"/>
      <c r="V211" s="194" t="n"/>
      <c r="W211" s="194" t="n"/>
      <c r="X211" s="194" t="n"/>
      <c r="Y211" s="194" t="n"/>
      <c r="Z211" s="194" t="n"/>
    </row>
    <row r="212" ht="15.75" customHeight="1" s="195">
      <c r="G212" s="194" t="n"/>
      <c r="H212" s="194" t="n"/>
      <c r="I212" s="194" t="n"/>
      <c r="J212" s="194" t="n"/>
      <c r="K212" s="194" t="n"/>
      <c r="L212" s="194" t="n"/>
      <c r="M212" s="194" t="n"/>
      <c r="N212" s="194" t="n"/>
      <c r="O212" s="194" t="n"/>
      <c r="P212" s="194" t="n"/>
      <c r="Q212" s="194" t="n"/>
      <c r="R212" s="194" t="n"/>
      <c r="S212" s="194" t="n"/>
      <c r="T212" s="194" t="n"/>
      <c r="U212" s="194" t="n"/>
      <c r="V212" s="194" t="n"/>
      <c r="W212" s="194" t="n"/>
      <c r="X212" s="194" t="n"/>
      <c r="Y212" s="194" t="n"/>
      <c r="Z212" s="194" t="n"/>
    </row>
    <row r="213" ht="15.75" customHeight="1" s="195">
      <c r="G213" s="194" t="n"/>
      <c r="H213" s="194" t="n"/>
      <c r="I213" s="194" t="n"/>
      <c r="J213" s="194" t="n"/>
      <c r="K213" s="194" t="n"/>
      <c r="L213" s="194" t="n"/>
      <c r="M213" s="194" t="n"/>
      <c r="N213" s="194" t="n"/>
      <c r="O213" s="194" t="n"/>
      <c r="P213" s="194" t="n"/>
      <c r="Q213" s="194" t="n"/>
      <c r="R213" s="194" t="n"/>
      <c r="S213" s="194" t="n"/>
      <c r="T213" s="194" t="n"/>
      <c r="U213" s="194" t="n"/>
      <c r="V213" s="194" t="n"/>
      <c r="W213" s="194" t="n"/>
      <c r="X213" s="194" t="n"/>
      <c r="Y213" s="194" t="n"/>
      <c r="Z213" s="194" t="n"/>
    </row>
    <row r="214" ht="15.75" customHeight="1" s="195">
      <c r="G214" s="194" t="n"/>
      <c r="H214" s="194" t="n"/>
      <c r="I214" s="194" t="n"/>
      <c r="J214" s="194" t="n"/>
      <c r="K214" s="194" t="n"/>
      <c r="L214" s="194" t="n"/>
      <c r="M214" s="194" t="n"/>
      <c r="N214" s="194" t="n"/>
      <c r="O214" s="194" t="n"/>
      <c r="P214" s="194" t="n"/>
      <c r="Q214" s="194" t="n"/>
      <c r="R214" s="194" t="n"/>
      <c r="S214" s="194" t="n"/>
      <c r="T214" s="194" t="n"/>
      <c r="U214" s="194" t="n"/>
      <c r="V214" s="194" t="n"/>
      <c r="W214" s="194" t="n"/>
      <c r="X214" s="194" t="n"/>
      <c r="Y214" s="194" t="n"/>
      <c r="Z214" s="194" t="n"/>
    </row>
    <row r="215" ht="15.75" customHeight="1" s="195">
      <c r="G215" s="194" t="n"/>
      <c r="H215" s="194" t="n"/>
      <c r="I215" s="194" t="n"/>
      <c r="J215" s="194" t="n"/>
      <c r="K215" s="194" t="n"/>
      <c r="L215" s="194" t="n"/>
      <c r="M215" s="194" t="n"/>
      <c r="N215" s="194" t="n"/>
      <c r="O215" s="194" t="n"/>
      <c r="P215" s="194" t="n"/>
      <c r="Q215" s="194" t="n"/>
      <c r="R215" s="194" t="n"/>
      <c r="S215" s="194" t="n"/>
      <c r="T215" s="194" t="n"/>
      <c r="U215" s="194" t="n"/>
      <c r="V215" s="194" t="n"/>
      <c r="W215" s="194" t="n"/>
      <c r="X215" s="194" t="n"/>
      <c r="Y215" s="194" t="n"/>
      <c r="Z215" s="194" t="n"/>
    </row>
    <row r="216" ht="15.75" customHeight="1" s="195">
      <c r="G216" s="194" t="n"/>
      <c r="H216" s="194" t="n"/>
      <c r="I216" s="194" t="n"/>
      <c r="J216" s="194" t="n"/>
      <c r="K216" s="194" t="n"/>
      <c r="L216" s="194" t="n"/>
      <c r="M216" s="194" t="n"/>
      <c r="N216" s="194" t="n"/>
      <c r="O216" s="194" t="n"/>
      <c r="P216" s="194" t="n"/>
      <c r="Q216" s="194" t="n"/>
      <c r="R216" s="194" t="n"/>
      <c r="S216" s="194" t="n"/>
      <c r="T216" s="194" t="n"/>
      <c r="U216" s="194" t="n"/>
      <c r="V216" s="194" t="n"/>
      <c r="W216" s="194" t="n"/>
      <c r="X216" s="194" t="n"/>
      <c r="Y216" s="194" t="n"/>
      <c r="Z216" s="194" t="n"/>
    </row>
    <row r="217" ht="15.75" customHeight="1" s="195">
      <c r="G217" s="194" t="n"/>
      <c r="H217" s="194" t="n"/>
      <c r="I217" s="194" t="n"/>
      <c r="J217" s="194" t="n"/>
      <c r="K217" s="194" t="n"/>
      <c r="L217" s="194" t="n"/>
      <c r="M217" s="194" t="n"/>
      <c r="N217" s="194" t="n"/>
      <c r="O217" s="194" t="n"/>
      <c r="P217" s="194" t="n"/>
      <c r="Q217" s="194" t="n"/>
      <c r="R217" s="194" t="n"/>
      <c r="S217" s="194" t="n"/>
      <c r="T217" s="194" t="n"/>
      <c r="U217" s="194" t="n"/>
      <c r="V217" s="194" t="n"/>
      <c r="W217" s="194" t="n"/>
      <c r="X217" s="194" t="n"/>
      <c r="Y217" s="194" t="n"/>
      <c r="Z217" s="194" t="n"/>
    </row>
    <row r="218" ht="15.75" customHeight="1" s="195">
      <c r="G218" s="194" t="n"/>
      <c r="H218" s="194" t="n"/>
      <c r="I218" s="194" t="n"/>
      <c r="J218" s="194" t="n"/>
      <c r="K218" s="194" t="n"/>
      <c r="L218" s="194" t="n"/>
      <c r="M218" s="194" t="n"/>
      <c r="N218" s="194" t="n"/>
      <c r="O218" s="194" t="n"/>
      <c r="P218" s="194" t="n"/>
      <c r="Q218" s="194" t="n"/>
      <c r="R218" s="194" t="n"/>
      <c r="S218" s="194" t="n"/>
      <c r="T218" s="194" t="n"/>
      <c r="U218" s="194" t="n"/>
      <c r="V218" s="194" t="n"/>
      <c r="W218" s="194" t="n"/>
      <c r="X218" s="194" t="n"/>
      <c r="Y218" s="194" t="n"/>
      <c r="Z218" s="194" t="n"/>
    </row>
    <row r="219" ht="15.75" customHeight="1" s="195">
      <c r="G219" s="194" t="n"/>
      <c r="H219" s="194" t="n"/>
      <c r="I219" s="194" t="n"/>
      <c r="J219" s="194" t="n"/>
      <c r="K219" s="194" t="n"/>
      <c r="L219" s="194" t="n"/>
      <c r="M219" s="194" t="n"/>
      <c r="N219" s="194" t="n"/>
      <c r="O219" s="194" t="n"/>
      <c r="P219" s="194" t="n"/>
      <c r="Q219" s="194" t="n"/>
      <c r="R219" s="194" t="n"/>
      <c r="S219" s="194" t="n"/>
      <c r="T219" s="194" t="n"/>
      <c r="U219" s="194" t="n"/>
      <c r="V219" s="194" t="n"/>
      <c r="W219" s="194" t="n"/>
      <c r="X219" s="194" t="n"/>
      <c r="Y219" s="194" t="n"/>
      <c r="Z219" s="194" t="n"/>
    </row>
    <row r="220" ht="15.75" customHeight="1" s="195">
      <c r="G220" s="194" t="n"/>
      <c r="H220" s="194" t="n"/>
      <c r="I220" s="194" t="n"/>
      <c r="J220" s="194" t="n"/>
      <c r="K220" s="194" t="n"/>
      <c r="L220" s="194" t="n"/>
      <c r="M220" s="194" t="n"/>
      <c r="N220" s="194" t="n"/>
      <c r="O220" s="194" t="n"/>
      <c r="P220" s="194" t="n"/>
      <c r="Q220" s="194" t="n"/>
      <c r="R220" s="194" t="n"/>
      <c r="S220" s="194" t="n"/>
      <c r="T220" s="194" t="n"/>
      <c r="U220" s="194" t="n"/>
      <c r="V220" s="194" t="n"/>
      <c r="W220" s="194" t="n"/>
      <c r="X220" s="194" t="n"/>
      <c r="Y220" s="194" t="n"/>
      <c r="Z220" s="194" t="n"/>
    </row>
    <row r="221" ht="15.75" customHeight="1" s="195"/>
    <row r="222" ht="15.75" customHeight="1" s="195"/>
    <row r="223" ht="15.75" customHeight="1" s="195"/>
    <row r="224" ht="15.75" customHeight="1" s="195"/>
    <row r="225" ht="15.75" customHeight="1" s="195"/>
    <row r="226" ht="15.75" customHeight="1" s="195"/>
    <row r="227" ht="15.75" customHeight="1" s="195"/>
    <row r="228" ht="15.75" customHeight="1" s="195"/>
    <row r="229" ht="15.75" customHeight="1" s="195"/>
    <row r="230" ht="15.75" customHeight="1" s="195"/>
    <row r="231" ht="15.75" customHeight="1" s="195"/>
    <row r="232" ht="15.75" customHeight="1" s="195"/>
    <row r="233" ht="15.75" customHeight="1" s="195"/>
    <row r="234" ht="15.75" customHeight="1" s="195"/>
    <row r="235" ht="15.75" customHeight="1" s="195"/>
    <row r="236" ht="15.75" customHeight="1" s="195"/>
    <row r="237" ht="15.75" customHeight="1" s="195"/>
    <row r="238" ht="15.75" customHeight="1" s="195"/>
    <row r="239" ht="15.75" customHeight="1" s="195"/>
    <row r="240" ht="15.75" customHeight="1" s="195"/>
    <row r="241" ht="15.75" customHeight="1" s="195"/>
    <row r="242" ht="15.75" customHeight="1" s="195"/>
    <row r="243" ht="15.75" customHeight="1" s="195"/>
    <row r="244" ht="15.75" customHeight="1" s="195"/>
    <row r="245" ht="15.75" customHeight="1" s="195"/>
    <row r="246" ht="15.75" customHeight="1" s="195"/>
    <row r="247" ht="15.75" customHeight="1" s="195"/>
    <row r="248" ht="15.75" customHeight="1" s="195"/>
    <row r="249" ht="15.75" customHeight="1" s="195"/>
    <row r="250" ht="15.75" customHeight="1" s="195"/>
    <row r="251" ht="15.75" customHeight="1" s="195"/>
    <row r="252" ht="15.75" customHeight="1" s="195"/>
    <row r="253" ht="15.75" customHeight="1" s="195"/>
    <row r="254" ht="15.75" customHeight="1" s="195"/>
    <row r="255" ht="15.75" customHeight="1" s="195"/>
    <row r="256" ht="15.75" customHeight="1" s="195"/>
    <row r="257" ht="15.75" customHeight="1" s="195"/>
    <row r="258" ht="15.75" customHeight="1" s="195"/>
    <row r="259" ht="15.75" customHeight="1" s="195"/>
    <row r="260" ht="15.75" customHeight="1" s="195"/>
    <row r="261" ht="15.75" customHeight="1" s="195"/>
    <row r="262" ht="15.75" customHeight="1" s="195"/>
    <row r="263" ht="15.75" customHeight="1" s="195"/>
    <row r="264" ht="15.75" customHeight="1" s="195"/>
    <row r="265" ht="15.75" customHeight="1" s="195"/>
    <row r="266" ht="15.75" customHeight="1" s="195"/>
    <row r="267" ht="15.75" customHeight="1" s="195"/>
    <row r="268" ht="15.75" customHeight="1" s="195"/>
    <row r="269" ht="15.75" customHeight="1" s="195"/>
    <row r="270" ht="15.75" customHeight="1" s="195"/>
    <row r="271" ht="15.75" customHeight="1" s="195"/>
    <row r="272" ht="15.75" customHeight="1" s="195"/>
    <row r="273" ht="15.75" customHeight="1" s="195"/>
    <row r="274" ht="15.75" customHeight="1" s="195"/>
    <row r="275" ht="15.75" customHeight="1" s="195"/>
    <row r="276" ht="15.75" customHeight="1" s="195"/>
    <row r="277" ht="15.75" customHeight="1" s="195"/>
    <row r="278" ht="15.75" customHeight="1" s="195"/>
    <row r="279" ht="15.75" customHeight="1" s="195"/>
    <row r="280" ht="15.75" customHeight="1" s="195"/>
    <row r="281" ht="15.75" customHeight="1" s="195"/>
    <row r="282" ht="15.75" customHeight="1" s="195"/>
    <row r="283" ht="15.75" customHeight="1" s="195"/>
    <row r="284" ht="15.75" customHeight="1" s="195"/>
    <row r="285" ht="15.75" customHeight="1" s="195"/>
    <row r="286" ht="15.75" customHeight="1" s="195"/>
    <row r="287" ht="15.75" customHeight="1" s="195"/>
    <row r="288" ht="15.75" customHeight="1" s="195"/>
    <row r="289" ht="15.75" customHeight="1" s="195"/>
    <row r="290" ht="15.75" customHeight="1" s="195"/>
    <row r="291" ht="15.75" customHeight="1" s="195"/>
    <row r="292" ht="15.75" customHeight="1" s="195"/>
    <row r="293" ht="15.75" customHeight="1" s="195"/>
    <row r="294" ht="15.75" customHeight="1" s="195"/>
    <row r="295" ht="15.75" customHeight="1" s="195"/>
    <row r="296" ht="15.75" customHeight="1" s="195"/>
    <row r="297" ht="15.75" customHeight="1" s="195"/>
    <row r="298" ht="15.75" customHeight="1" s="195"/>
    <row r="299" ht="15.75" customHeight="1" s="195"/>
    <row r="300" ht="15.75" customHeight="1" s="195"/>
    <row r="301" ht="15.75" customHeight="1" s="195"/>
    <row r="302" ht="15.75" customHeight="1" s="195"/>
    <row r="303" ht="15.75" customHeight="1" s="195"/>
    <row r="304" ht="15.75" customHeight="1" s="195"/>
    <row r="305" ht="15.75" customHeight="1" s="195"/>
    <row r="306" ht="15.75" customHeight="1" s="195"/>
    <row r="307" ht="15.75" customHeight="1" s="195"/>
    <row r="308" ht="15.75" customHeight="1" s="195"/>
    <row r="309" ht="15.75" customHeight="1" s="195"/>
    <row r="310" ht="15.75" customHeight="1" s="195"/>
    <row r="311" ht="15.75" customHeight="1" s="195"/>
    <row r="312" ht="15.75" customHeight="1" s="195"/>
    <row r="313" ht="15.75" customHeight="1" s="195"/>
    <row r="314" ht="15.75" customHeight="1" s="195"/>
    <row r="315" ht="15.75" customHeight="1" s="195"/>
    <row r="316" ht="15.75" customHeight="1" s="195"/>
    <row r="317" ht="15.75" customHeight="1" s="195"/>
    <row r="318" ht="15.75" customHeight="1" s="195"/>
    <row r="319" ht="15.75" customHeight="1" s="195"/>
    <row r="320" ht="15.75" customHeight="1" s="195"/>
    <row r="321" ht="15.75" customHeight="1" s="195"/>
    <row r="322" ht="15.75" customHeight="1" s="195"/>
    <row r="323" ht="15.75" customHeight="1" s="195"/>
    <row r="324" ht="15.75" customHeight="1" s="195"/>
    <row r="325" ht="15.75" customHeight="1" s="195"/>
    <row r="326" ht="15.75" customHeight="1" s="195"/>
    <row r="327" ht="15.75" customHeight="1" s="195"/>
    <row r="328" ht="15.75" customHeight="1" s="195"/>
    <row r="329" ht="15.75" customHeight="1" s="195"/>
    <row r="330" ht="15.75" customHeight="1" s="195"/>
    <row r="331" ht="15.75" customHeight="1" s="195"/>
    <row r="332" ht="15.75" customHeight="1" s="195"/>
    <row r="333" ht="15.75" customHeight="1" s="195"/>
    <row r="334" ht="15.75" customHeight="1" s="195"/>
    <row r="335" ht="15.75" customHeight="1" s="195"/>
    <row r="336" ht="15.75" customHeight="1" s="195"/>
    <row r="337" ht="15.75" customHeight="1" s="195"/>
    <row r="338" ht="15.75" customHeight="1" s="195"/>
    <row r="339" ht="15.75" customHeight="1" s="195"/>
    <row r="340" ht="15.75" customHeight="1" s="195"/>
    <row r="341" ht="15.75" customHeight="1" s="195"/>
    <row r="342" ht="15.75" customHeight="1" s="195"/>
    <row r="343" ht="15.75" customHeight="1" s="195"/>
    <row r="344" ht="15.75" customHeight="1" s="195"/>
    <row r="345" ht="15.75" customHeight="1" s="195"/>
    <row r="346" ht="15.75" customHeight="1" s="195"/>
    <row r="347" ht="15.75" customHeight="1" s="195"/>
    <row r="348" ht="15.75" customHeight="1" s="195"/>
    <row r="349" ht="15.75" customHeight="1" s="195"/>
    <row r="350" ht="15.75" customHeight="1" s="195"/>
    <row r="351" ht="15.75" customHeight="1" s="195"/>
    <row r="352" ht="15.75" customHeight="1" s="195"/>
    <row r="353" ht="15.75" customHeight="1" s="195"/>
    <row r="354" ht="15.75" customHeight="1" s="195"/>
    <row r="355" ht="15.75" customHeight="1" s="195"/>
    <row r="356" ht="15.75" customHeight="1" s="195"/>
    <row r="357" ht="15.75" customHeight="1" s="195"/>
    <row r="358" ht="15.75" customHeight="1" s="195"/>
    <row r="359" ht="15.75" customHeight="1" s="195"/>
    <row r="360" ht="15.75" customHeight="1" s="195"/>
    <row r="361" ht="15.75" customHeight="1" s="195"/>
    <row r="362" ht="15.75" customHeight="1" s="195"/>
    <row r="363" ht="15.75" customHeight="1" s="195"/>
    <row r="364" ht="15.75" customHeight="1" s="195"/>
    <row r="365" ht="15.75" customHeight="1" s="195"/>
    <row r="366" ht="15.75" customHeight="1" s="195"/>
    <row r="367" ht="15.75" customHeight="1" s="195"/>
    <row r="368" ht="15.75" customHeight="1" s="195"/>
    <row r="369" ht="15.75" customHeight="1" s="195"/>
    <row r="370" ht="15.75" customHeight="1" s="195"/>
    <row r="371" ht="15.75" customHeight="1" s="195"/>
    <row r="372" ht="15.75" customHeight="1" s="195"/>
    <row r="373" ht="15.75" customHeight="1" s="195"/>
    <row r="374" ht="15.75" customHeight="1" s="195"/>
    <row r="375" ht="15.75" customHeight="1" s="195"/>
    <row r="376" ht="15.75" customHeight="1" s="195"/>
    <row r="377" ht="15.75" customHeight="1" s="195"/>
    <row r="378" ht="15.75" customHeight="1" s="195"/>
    <row r="379" ht="15.75" customHeight="1" s="195"/>
    <row r="380" ht="15.75" customHeight="1" s="195"/>
    <row r="381" ht="15.75" customHeight="1" s="195"/>
    <row r="382" ht="15.75" customHeight="1" s="195"/>
    <row r="383" ht="15.75" customHeight="1" s="195"/>
    <row r="384" ht="15.75" customHeight="1" s="195"/>
    <row r="385" ht="15.75" customHeight="1" s="195"/>
    <row r="386" ht="15.75" customHeight="1" s="195"/>
    <row r="387" ht="15.75" customHeight="1" s="195"/>
    <row r="388" ht="15.75" customHeight="1" s="195"/>
    <row r="389" ht="15.75" customHeight="1" s="195"/>
    <row r="390" ht="15.75" customHeight="1" s="195"/>
    <row r="391" ht="15.75" customHeight="1" s="195"/>
    <row r="392" ht="15.75" customHeight="1" s="195"/>
    <row r="393" ht="15.75" customHeight="1" s="195"/>
    <row r="394" ht="15.75" customHeight="1" s="195"/>
    <row r="395" ht="15.75" customHeight="1" s="195"/>
    <row r="396" ht="15.75" customHeight="1" s="195"/>
    <row r="397" ht="15.75" customHeight="1" s="195"/>
    <row r="398" ht="15.75" customHeight="1" s="195"/>
    <row r="399" ht="15.75" customHeight="1" s="195"/>
    <row r="400" ht="15.75" customHeight="1" s="195"/>
    <row r="401" ht="15.75" customHeight="1" s="195"/>
    <row r="402" ht="15.75" customHeight="1" s="195"/>
    <row r="403" ht="15.75" customHeight="1" s="195"/>
    <row r="404" ht="15.75" customHeight="1" s="195"/>
    <row r="405" ht="15.75" customHeight="1" s="195"/>
    <row r="406" ht="15.75" customHeight="1" s="195"/>
    <row r="407" ht="15.75" customHeight="1" s="195"/>
    <row r="408" ht="15.75" customHeight="1" s="195"/>
    <row r="409" ht="15.75" customHeight="1" s="195"/>
    <row r="410" ht="15.75" customHeight="1" s="195"/>
    <row r="411" ht="15.75" customHeight="1" s="195"/>
    <row r="412" ht="15.75" customHeight="1" s="195"/>
    <row r="413" ht="15.75" customHeight="1" s="195"/>
    <row r="414" ht="15.75" customHeight="1" s="195"/>
    <row r="415" ht="15.75" customHeight="1" s="195"/>
    <row r="416" ht="15.75" customHeight="1" s="195"/>
    <row r="417" ht="15.75" customHeight="1" s="195"/>
    <row r="418" ht="15.75" customHeight="1" s="195"/>
    <row r="419" ht="15.75" customHeight="1" s="195"/>
    <row r="420" ht="15.75" customHeight="1" s="195"/>
    <row r="421" ht="15.75" customHeight="1" s="195"/>
    <row r="422" ht="15.75" customHeight="1" s="195"/>
    <row r="423" ht="15.75" customHeight="1" s="195"/>
    <row r="424" ht="15.75" customHeight="1" s="195"/>
    <row r="425" ht="15.75" customHeight="1" s="195"/>
    <row r="426" ht="15.75" customHeight="1" s="195"/>
    <row r="427" ht="15.75" customHeight="1" s="195"/>
    <row r="428" ht="15.75" customHeight="1" s="195"/>
    <row r="429" ht="15.75" customHeight="1" s="195"/>
    <row r="430" ht="15.75" customHeight="1" s="195"/>
    <row r="431" ht="15.75" customHeight="1" s="195"/>
    <row r="432" ht="15.75" customHeight="1" s="195"/>
    <row r="433" ht="15.75" customHeight="1" s="195"/>
    <row r="434" ht="15.75" customHeight="1" s="195"/>
    <row r="435" ht="15.75" customHeight="1" s="195"/>
    <row r="436" ht="15.75" customHeight="1" s="195"/>
    <row r="437" ht="15.75" customHeight="1" s="195"/>
    <row r="438" ht="15.75" customHeight="1" s="195"/>
    <row r="439" ht="15.75" customHeight="1" s="195"/>
    <row r="440" ht="15.75" customHeight="1" s="195"/>
    <row r="441" ht="15.75" customHeight="1" s="195"/>
    <row r="442" ht="15.75" customHeight="1" s="195"/>
    <row r="443" ht="15.75" customHeight="1" s="195"/>
    <row r="444" ht="15.75" customHeight="1" s="195"/>
    <row r="445" ht="15.75" customHeight="1" s="195"/>
    <row r="446" ht="15.75" customHeight="1" s="195"/>
    <row r="447" ht="15.75" customHeight="1" s="195"/>
    <row r="448" ht="15.75" customHeight="1" s="195"/>
    <row r="449" ht="15.75" customHeight="1" s="195"/>
    <row r="450" ht="15.75" customHeight="1" s="195"/>
    <row r="451" ht="15.75" customHeight="1" s="195"/>
    <row r="452" ht="15.75" customHeight="1" s="195"/>
    <row r="453" ht="15.75" customHeight="1" s="195"/>
    <row r="454" ht="15.75" customHeight="1" s="195"/>
    <row r="455" ht="15.75" customHeight="1" s="195"/>
    <row r="456" ht="15.75" customHeight="1" s="195"/>
    <row r="457" ht="15.75" customHeight="1" s="195"/>
    <row r="458" ht="15.75" customHeight="1" s="195"/>
    <row r="459" ht="15.75" customHeight="1" s="195"/>
    <row r="460" ht="15.75" customHeight="1" s="195"/>
    <row r="461" ht="15.75" customHeight="1" s="195"/>
    <row r="462" ht="15.75" customHeight="1" s="195"/>
    <row r="463" ht="15.75" customHeight="1" s="195"/>
    <row r="464" ht="15.75" customHeight="1" s="195"/>
    <row r="465" ht="15.75" customHeight="1" s="195"/>
    <row r="466" ht="15.75" customHeight="1" s="195"/>
    <row r="467" ht="15.75" customHeight="1" s="195"/>
    <row r="468" ht="15.75" customHeight="1" s="195"/>
    <row r="469" ht="15.75" customHeight="1" s="195"/>
    <row r="470" ht="15.75" customHeight="1" s="195"/>
    <row r="471" ht="15.75" customHeight="1" s="195"/>
    <row r="472" ht="15.75" customHeight="1" s="195"/>
    <row r="473" ht="15.75" customHeight="1" s="195"/>
    <row r="474" ht="15.75" customHeight="1" s="195"/>
    <row r="475" ht="15.75" customHeight="1" s="195"/>
    <row r="476" ht="15.75" customHeight="1" s="195"/>
    <row r="477" ht="15.75" customHeight="1" s="195"/>
    <row r="478" ht="15.75" customHeight="1" s="195"/>
    <row r="479" ht="15.75" customHeight="1" s="195"/>
    <row r="480" ht="15.75" customHeight="1" s="195"/>
    <row r="481" ht="15.75" customHeight="1" s="195"/>
    <row r="482" ht="15.75" customHeight="1" s="195"/>
    <row r="483" ht="15.75" customHeight="1" s="195"/>
    <row r="484" ht="15.75" customHeight="1" s="195"/>
    <row r="485" ht="15.75" customHeight="1" s="195"/>
    <row r="486" ht="15.75" customHeight="1" s="195"/>
    <row r="487" ht="15.75" customHeight="1" s="195"/>
    <row r="488" ht="15.75" customHeight="1" s="195"/>
    <row r="489" ht="15.75" customHeight="1" s="195"/>
    <row r="490" ht="15.75" customHeight="1" s="195"/>
    <row r="491" ht="15.75" customHeight="1" s="195"/>
    <row r="492" ht="15.75" customHeight="1" s="195"/>
    <row r="493" ht="15.75" customHeight="1" s="195"/>
    <row r="494" ht="15.75" customHeight="1" s="195"/>
    <row r="495" ht="15.75" customHeight="1" s="195"/>
    <row r="496" ht="15.75" customHeight="1" s="195"/>
    <row r="497" ht="15.75" customHeight="1" s="195"/>
    <row r="498" ht="15.75" customHeight="1" s="195"/>
    <row r="499" ht="15.75" customHeight="1" s="195"/>
    <row r="500" ht="15.75" customHeight="1" s="195"/>
    <row r="501" ht="15.75" customHeight="1" s="195"/>
    <row r="502" ht="15.75" customHeight="1" s="195"/>
    <row r="503" ht="15.75" customHeight="1" s="195"/>
    <row r="504" ht="15.75" customHeight="1" s="195"/>
    <row r="505" ht="15.75" customHeight="1" s="195"/>
    <row r="506" ht="15.75" customHeight="1" s="195"/>
    <row r="507" ht="15.75" customHeight="1" s="195"/>
    <row r="508" ht="15.75" customHeight="1" s="195"/>
    <row r="509" ht="15.75" customHeight="1" s="195"/>
    <row r="510" ht="15.75" customHeight="1" s="195"/>
    <row r="511" ht="15.75" customHeight="1" s="195"/>
    <row r="512" ht="15.75" customHeight="1" s="195"/>
    <row r="513" ht="15.75" customHeight="1" s="195"/>
    <row r="514" ht="15.75" customHeight="1" s="195"/>
    <row r="515" ht="15.75" customHeight="1" s="195"/>
    <row r="516" ht="15.75" customHeight="1" s="195"/>
    <row r="517" ht="15.75" customHeight="1" s="195"/>
    <row r="518" ht="15.75" customHeight="1" s="195"/>
    <row r="519" ht="15.75" customHeight="1" s="195"/>
    <row r="520" ht="15.75" customHeight="1" s="195"/>
    <row r="521" ht="15.75" customHeight="1" s="195"/>
    <row r="522" ht="15.75" customHeight="1" s="195"/>
    <row r="523" ht="15.75" customHeight="1" s="195"/>
    <row r="524" ht="15.75" customHeight="1" s="195"/>
    <row r="525" ht="15.75" customHeight="1" s="195"/>
    <row r="526" ht="15.75" customHeight="1" s="195"/>
    <row r="527" ht="15.75" customHeight="1" s="195"/>
    <row r="528" ht="15.75" customHeight="1" s="195"/>
    <row r="529" ht="15.75" customHeight="1" s="195"/>
    <row r="530" ht="15.75" customHeight="1" s="195"/>
    <row r="531" ht="15.75" customHeight="1" s="195"/>
    <row r="532" ht="15.75" customHeight="1" s="195"/>
    <row r="533" ht="15.75" customHeight="1" s="195"/>
    <row r="534" ht="15.75" customHeight="1" s="195"/>
    <row r="535" ht="15.75" customHeight="1" s="195"/>
    <row r="536" ht="15.75" customHeight="1" s="195"/>
    <row r="537" ht="15.75" customHeight="1" s="195"/>
    <row r="538" ht="15.75" customHeight="1" s="195"/>
    <row r="539" ht="15.75" customHeight="1" s="195"/>
    <row r="540" ht="15.75" customHeight="1" s="195"/>
    <row r="541" ht="15.75" customHeight="1" s="195"/>
    <row r="542" ht="15.75" customHeight="1" s="195"/>
    <row r="543" ht="15.75" customHeight="1" s="195"/>
    <row r="544" ht="15.75" customHeight="1" s="195"/>
    <row r="545" ht="15.75" customHeight="1" s="195"/>
    <row r="546" ht="15.75" customHeight="1" s="195"/>
    <row r="547" ht="15.75" customHeight="1" s="195"/>
    <row r="548" ht="15.75" customHeight="1" s="195"/>
    <row r="549" ht="15.75" customHeight="1" s="195"/>
    <row r="550" ht="15.75" customHeight="1" s="195"/>
    <row r="551" ht="15.75" customHeight="1" s="195"/>
    <row r="552" ht="15.75" customHeight="1" s="195"/>
    <row r="553" ht="15.75" customHeight="1" s="195"/>
    <row r="554" ht="15.75" customHeight="1" s="195"/>
    <row r="555" ht="15.75" customHeight="1" s="195"/>
    <row r="556" ht="15.75" customHeight="1" s="195"/>
    <row r="557" ht="15.75" customHeight="1" s="195"/>
    <row r="558" ht="15.75" customHeight="1" s="195"/>
    <row r="559" ht="15.75" customHeight="1" s="195"/>
    <row r="560" ht="15.75" customHeight="1" s="195"/>
    <row r="561" ht="15.75" customHeight="1" s="195"/>
    <row r="562" ht="15.75" customHeight="1" s="195"/>
    <row r="563" ht="15.75" customHeight="1" s="195"/>
    <row r="564" ht="15.75" customHeight="1" s="195"/>
    <row r="565" ht="15.75" customHeight="1" s="195"/>
    <row r="566" ht="15.75" customHeight="1" s="195"/>
    <row r="567" ht="15.75" customHeight="1" s="195"/>
    <row r="568" ht="15.75" customHeight="1" s="195"/>
    <row r="569" ht="15.75" customHeight="1" s="195"/>
    <row r="570" ht="15.75" customHeight="1" s="195"/>
    <row r="571" ht="15.75" customHeight="1" s="195"/>
    <row r="572" ht="15.75" customHeight="1" s="195"/>
    <row r="573" ht="15.75" customHeight="1" s="195"/>
    <row r="574" ht="15.75" customHeight="1" s="195"/>
    <row r="575" ht="15.75" customHeight="1" s="195"/>
    <row r="576" ht="15.75" customHeight="1" s="195"/>
    <row r="577" ht="15.75" customHeight="1" s="195"/>
    <row r="578" ht="15.75" customHeight="1" s="195"/>
    <row r="579" ht="15.75" customHeight="1" s="195"/>
    <row r="580" ht="15.75" customHeight="1" s="195"/>
    <row r="581" ht="15.75" customHeight="1" s="195"/>
    <row r="582" ht="15.75" customHeight="1" s="195"/>
    <row r="583" ht="15.75" customHeight="1" s="195"/>
    <row r="584" ht="15.75" customHeight="1" s="195"/>
    <row r="585" ht="15.75" customHeight="1" s="195"/>
    <row r="586" ht="15.75" customHeight="1" s="195"/>
    <row r="587" ht="15.75" customHeight="1" s="195"/>
    <row r="588" ht="15.75" customHeight="1" s="195"/>
    <row r="589" ht="15.75" customHeight="1" s="195"/>
    <row r="590" ht="15.75" customHeight="1" s="195"/>
    <row r="591" ht="15.75" customHeight="1" s="195"/>
    <row r="592" ht="15.75" customHeight="1" s="195"/>
    <row r="593" ht="15.75" customHeight="1" s="195"/>
    <row r="594" ht="15.75" customHeight="1" s="195"/>
    <row r="595" ht="15.75" customHeight="1" s="195"/>
    <row r="596" ht="15.75" customHeight="1" s="195"/>
    <row r="597" ht="15.75" customHeight="1" s="195"/>
    <row r="598" ht="15.75" customHeight="1" s="195"/>
    <row r="599" ht="15.75" customHeight="1" s="195"/>
    <row r="600" ht="15.75" customHeight="1" s="195"/>
    <row r="601" ht="15.75" customHeight="1" s="195"/>
    <row r="602" ht="15.75" customHeight="1" s="195"/>
    <row r="603" ht="15.75" customHeight="1" s="195"/>
    <row r="604" ht="15.75" customHeight="1" s="195"/>
    <row r="605" ht="15.75" customHeight="1" s="195"/>
    <row r="606" ht="15.75" customHeight="1" s="195"/>
    <row r="607" ht="15.75" customHeight="1" s="195"/>
    <row r="608" ht="15.75" customHeight="1" s="195"/>
    <row r="609" ht="15.75" customHeight="1" s="195"/>
    <row r="610" ht="15.75" customHeight="1" s="195"/>
    <row r="611" ht="15.75" customHeight="1" s="195"/>
    <row r="612" ht="15.75" customHeight="1" s="195"/>
    <row r="613" ht="15.75" customHeight="1" s="195"/>
    <row r="614" ht="15.75" customHeight="1" s="195"/>
    <row r="615" ht="15.75" customHeight="1" s="195"/>
    <row r="616" ht="15.75" customHeight="1" s="195"/>
    <row r="617" ht="15.75" customHeight="1" s="195"/>
    <row r="618" ht="15.75" customHeight="1" s="195"/>
    <row r="619" ht="15.75" customHeight="1" s="195"/>
    <row r="620" ht="15.75" customHeight="1" s="195"/>
    <row r="621" ht="15.75" customHeight="1" s="195"/>
    <row r="622" ht="15.75" customHeight="1" s="195"/>
    <row r="623" ht="15.75" customHeight="1" s="195"/>
    <row r="624" ht="15.75" customHeight="1" s="195"/>
    <row r="625" ht="15.75" customHeight="1" s="195"/>
    <row r="626" ht="15.75" customHeight="1" s="195"/>
    <row r="627" ht="15.75" customHeight="1" s="195"/>
    <row r="628" ht="15.75" customHeight="1" s="195"/>
    <row r="629" ht="15.75" customHeight="1" s="195"/>
    <row r="630" ht="15.75" customHeight="1" s="195"/>
    <row r="631" ht="15.75" customHeight="1" s="195"/>
    <row r="632" ht="15.75" customHeight="1" s="195"/>
    <row r="633" ht="15.75" customHeight="1" s="195"/>
    <row r="634" ht="15.75" customHeight="1" s="195"/>
    <row r="635" ht="15.75" customHeight="1" s="195"/>
    <row r="636" ht="15.75" customHeight="1" s="195"/>
    <row r="637" ht="15.75" customHeight="1" s="195"/>
    <row r="638" ht="15.75" customHeight="1" s="195"/>
    <row r="639" ht="15.75" customHeight="1" s="195"/>
    <row r="640" ht="15.75" customHeight="1" s="195"/>
    <row r="641" ht="15.75" customHeight="1" s="195"/>
    <row r="642" ht="15.75" customHeight="1" s="195"/>
    <row r="643" ht="15.75" customHeight="1" s="195"/>
    <row r="644" ht="15.75" customHeight="1" s="195"/>
    <row r="645" ht="15.75" customHeight="1" s="195"/>
    <row r="646" ht="15.75" customHeight="1" s="195"/>
    <row r="647" ht="15.75" customHeight="1" s="195"/>
    <row r="648" ht="15.75" customHeight="1" s="195"/>
    <row r="649" ht="15.75" customHeight="1" s="195"/>
    <row r="650" ht="15.75" customHeight="1" s="195"/>
    <row r="651" ht="15.75" customHeight="1" s="195"/>
    <row r="652" ht="15.75" customHeight="1" s="195"/>
    <row r="653" ht="15.75" customHeight="1" s="195"/>
    <row r="654" ht="15.75" customHeight="1" s="195"/>
    <row r="655" ht="15.75" customHeight="1" s="195"/>
    <row r="656" ht="15.75" customHeight="1" s="195"/>
    <row r="657" ht="15.75" customHeight="1" s="195"/>
    <row r="658" ht="15.75" customHeight="1" s="195"/>
    <row r="659" ht="15.75" customHeight="1" s="195"/>
    <row r="660" ht="15.75" customHeight="1" s="195"/>
    <row r="661" ht="15.75" customHeight="1" s="195"/>
    <row r="662" ht="15.75" customHeight="1" s="195"/>
    <row r="663" ht="15.75" customHeight="1" s="195"/>
    <row r="664" ht="15.75" customHeight="1" s="195"/>
    <row r="665" ht="15.75" customHeight="1" s="195"/>
    <row r="666" ht="15.75" customHeight="1" s="195"/>
    <row r="667" ht="15.75" customHeight="1" s="195"/>
    <row r="668" ht="15.75" customHeight="1" s="195"/>
    <row r="669" ht="15.75" customHeight="1" s="195"/>
    <row r="670" ht="15.75" customHeight="1" s="195"/>
    <row r="671" ht="15.75" customHeight="1" s="195"/>
    <row r="672" ht="15.75" customHeight="1" s="195"/>
    <row r="673" ht="15.75" customHeight="1" s="195"/>
    <row r="674" ht="15.75" customHeight="1" s="195"/>
    <row r="675" ht="15.75" customHeight="1" s="195"/>
    <row r="676" ht="15.75" customHeight="1" s="195"/>
    <row r="677" ht="15.75" customHeight="1" s="195"/>
    <row r="678" ht="15.75" customHeight="1" s="195"/>
    <row r="679" ht="15.75" customHeight="1" s="195"/>
    <row r="680" ht="15.75" customHeight="1" s="195"/>
    <row r="681" ht="15.75" customHeight="1" s="195"/>
    <row r="682" ht="15.75" customHeight="1" s="195"/>
    <row r="683" ht="15.75" customHeight="1" s="195"/>
    <row r="684" ht="15.75" customHeight="1" s="195"/>
    <row r="685" ht="15.75" customHeight="1" s="195"/>
    <row r="686" ht="15.75" customHeight="1" s="195"/>
    <row r="687" ht="15.75" customHeight="1" s="195"/>
    <row r="688" ht="15.75" customHeight="1" s="195"/>
    <row r="689" ht="15.75" customHeight="1" s="195"/>
    <row r="690" ht="15.75" customHeight="1" s="195"/>
    <row r="691" ht="15.75" customHeight="1" s="195"/>
    <row r="692" ht="15.75" customHeight="1" s="195"/>
    <row r="693" ht="15.75" customHeight="1" s="195"/>
    <row r="694" ht="15.75" customHeight="1" s="195"/>
    <row r="695" ht="15.75" customHeight="1" s="195"/>
    <row r="696" ht="15.75" customHeight="1" s="195"/>
    <row r="697" ht="15.75" customHeight="1" s="195"/>
    <row r="698" ht="15.75" customHeight="1" s="195"/>
    <row r="699" ht="15.75" customHeight="1" s="195"/>
    <row r="700" ht="15.75" customHeight="1" s="195"/>
    <row r="701" ht="15.75" customHeight="1" s="195"/>
    <row r="702" ht="15.75" customHeight="1" s="195"/>
    <row r="703" ht="15.75" customHeight="1" s="195"/>
    <row r="704" ht="15.75" customHeight="1" s="195"/>
    <row r="705" ht="15.75" customHeight="1" s="195"/>
    <row r="706" ht="15.75" customHeight="1" s="195"/>
    <row r="707" ht="15.75" customHeight="1" s="195"/>
    <row r="708" ht="15.75" customHeight="1" s="195"/>
    <row r="709" ht="15.75" customHeight="1" s="195"/>
    <row r="710" ht="15.75" customHeight="1" s="195"/>
    <row r="711" ht="15.75" customHeight="1" s="195"/>
    <row r="712" ht="15.75" customHeight="1" s="195"/>
    <row r="713" ht="15.75" customHeight="1" s="195"/>
    <row r="714" ht="15.75" customHeight="1" s="195"/>
    <row r="715" ht="15.75" customHeight="1" s="195"/>
    <row r="716" ht="15.75" customHeight="1" s="195"/>
    <row r="717" ht="15.75" customHeight="1" s="195"/>
    <row r="718" ht="15.75" customHeight="1" s="195"/>
    <row r="719" ht="15.75" customHeight="1" s="195"/>
    <row r="720" ht="15.75" customHeight="1" s="195"/>
    <row r="721" ht="15.75" customHeight="1" s="195"/>
    <row r="722" ht="15.75" customHeight="1" s="195"/>
    <row r="723" ht="15.75" customHeight="1" s="195"/>
    <row r="724" ht="15.75" customHeight="1" s="195"/>
    <row r="725" ht="15.75" customHeight="1" s="195"/>
    <row r="726" ht="15.75" customHeight="1" s="195"/>
    <row r="727" ht="15.75" customHeight="1" s="195"/>
    <row r="728" ht="15.75" customHeight="1" s="195"/>
    <row r="729" ht="15.75" customHeight="1" s="195"/>
    <row r="730" ht="15.75" customHeight="1" s="195"/>
    <row r="731" ht="15.75" customHeight="1" s="195"/>
    <row r="732" ht="15.75" customHeight="1" s="195"/>
    <row r="733" ht="15.75" customHeight="1" s="195"/>
    <row r="734" ht="15.75" customHeight="1" s="195"/>
    <row r="735" ht="15.75" customHeight="1" s="195"/>
    <row r="736" ht="15.75" customHeight="1" s="195"/>
    <row r="737" ht="15.75" customHeight="1" s="195"/>
    <row r="738" ht="15.75" customHeight="1" s="195"/>
    <row r="739" ht="15.75" customHeight="1" s="195"/>
    <row r="740" ht="15.75" customHeight="1" s="195"/>
    <row r="741" ht="15.75" customHeight="1" s="195"/>
    <row r="742" ht="15.75" customHeight="1" s="195"/>
    <row r="743" ht="15.75" customHeight="1" s="195"/>
    <row r="744" ht="15.75" customHeight="1" s="195"/>
    <row r="745" ht="15.75" customHeight="1" s="195"/>
    <row r="746" ht="15.75" customHeight="1" s="195"/>
    <row r="747" ht="15.75" customHeight="1" s="195"/>
    <row r="748" ht="15.75" customHeight="1" s="195"/>
    <row r="749" ht="15.75" customHeight="1" s="195"/>
    <row r="750" ht="15.75" customHeight="1" s="195"/>
    <row r="751" ht="15.75" customHeight="1" s="195"/>
    <row r="752" ht="15.75" customHeight="1" s="195"/>
    <row r="753" ht="15.75" customHeight="1" s="195"/>
    <row r="754" ht="15.75" customHeight="1" s="195"/>
    <row r="755" ht="15.75" customHeight="1" s="195"/>
    <row r="756" ht="15.75" customHeight="1" s="195"/>
    <row r="757" ht="15.75" customHeight="1" s="195"/>
    <row r="758" ht="15.75" customHeight="1" s="195"/>
    <row r="759" ht="15.75" customHeight="1" s="195"/>
    <row r="760" ht="15.75" customHeight="1" s="195"/>
    <row r="761" ht="15.75" customHeight="1" s="195"/>
    <row r="762" ht="15.75" customHeight="1" s="195"/>
    <row r="763" ht="15.75" customHeight="1" s="195"/>
    <row r="764" ht="15.75" customHeight="1" s="195"/>
    <row r="765" ht="15.75" customHeight="1" s="195"/>
    <row r="766" ht="15.75" customHeight="1" s="195"/>
    <row r="767" ht="15.75" customHeight="1" s="195"/>
    <row r="768" ht="15.75" customHeight="1" s="195"/>
    <row r="769" ht="15.75" customHeight="1" s="195"/>
    <row r="770" ht="15.75" customHeight="1" s="195"/>
    <row r="771" ht="15.75" customHeight="1" s="195"/>
    <row r="772" ht="15.75" customHeight="1" s="195"/>
    <row r="773" ht="15.75" customHeight="1" s="195"/>
    <row r="774" ht="15.75" customHeight="1" s="195"/>
    <row r="775" ht="15.75" customHeight="1" s="195"/>
    <row r="776" ht="15.75" customHeight="1" s="195"/>
    <row r="777" ht="15.75" customHeight="1" s="195"/>
    <row r="778" ht="15.75" customHeight="1" s="195"/>
    <row r="779" ht="15.75" customHeight="1" s="195"/>
    <row r="780" ht="15.75" customHeight="1" s="195"/>
    <row r="781" ht="15.75" customHeight="1" s="195"/>
    <row r="782" ht="15.75" customHeight="1" s="195"/>
    <row r="783" ht="15.75" customHeight="1" s="195"/>
    <row r="784" ht="15.75" customHeight="1" s="195"/>
    <row r="785" ht="15.75" customHeight="1" s="195"/>
    <row r="786" ht="15.75" customHeight="1" s="195"/>
    <row r="787" ht="15.75" customHeight="1" s="195"/>
    <row r="788" ht="15.75" customHeight="1" s="195"/>
    <row r="789" ht="15.75" customHeight="1" s="195"/>
    <row r="790" ht="15.75" customHeight="1" s="195"/>
    <row r="791" ht="15.75" customHeight="1" s="195"/>
    <row r="792" ht="15.75" customHeight="1" s="195"/>
    <row r="793" ht="15.75" customHeight="1" s="195"/>
    <row r="794" ht="15.75" customHeight="1" s="195"/>
    <row r="795" ht="15.75" customHeight="1" s="195"/>
    <row r="796" ht="15.75" customHeight="1" s="195"/>
    <row r="797" ht="15.75" customHeight="1" s="195"/>
    <row r="798" ht="15.75" customHeight="1" s="195"/>
    <row r="799" ht="15.75" customHeight="1" s="195"/>
    <row r="800" ht="15.75" customHeight="1" s="195"/>
    <row r="801" ht="15.75" customHeight="1" s="195"/>
    <row r="802" ht="15.75" customHeight="1" s="195"/>
    <row r="803" ht="15.75" customHeight="1" s="195"/>
    <row r="804" ht="15.75" customHeight="1" s="195"/>
    <row r="805" ht="15.75" customHeight="1" s="195"/>
    <row r="806" ht="15.75" customHeight="1" s="195"/>
    <row r="807" ht="15.75" customHeight="1" s="195"/>
    <row r="808" ht="15.75" customHeight="1" s="195"/>
    <row r="809" ht="15.75" customHeight="1" s="195"/>
    <row r="810" ht="15.75" customHeight="1" s="195"/>
    <row r="811" ht="15.75" customHeight="1" s="195"/>
    <row r="812" ht="15.75" customHeight="1" s="195"/>
    <row r="813" ht="15.75" customHeight="1" s="195"/>
    <row r="814" ht="15.75" customHeight="1" s="195"/>
    <row r="815" ht="15.75" customHeight="1" s="195"/>
    <row r="816" ht="15.75" customHeight="1" s="195"/>
    <row r="817" ht="15.75" customHeight="1" s="195"/>
    <row r="818" ht="15.75" customHeight="1" s="195"/>
    <row r="819" ht="15.75" customHeight="1" s="195"/>
    <row r="820" ht="15.75" customHeight="1" s="195"/>
    <row r="821" ht="15.75" customHeight="1" s="195"/>
    <row r="822" ht="15.75" customHeight="1" s="195"/>
    <row r="823" ht="15.75" customHeight="1" s="195"/>
    <row r="824" ht="15.75" customHeight="1" s="195"/>
    <row r="825" ht="15.75" customHeight="1" s="195"/>
    <row r="826" ht="15.75" customHeight="1" s="195"/>
    <row r="827" ht="15.75" customHeight="1" s="195"/>
    <row r="828" ht="15.75" customHeight="1" s="195"/>
    <row r="829" ht="15.75" customHeight="1" s="195"/>
    <row r="830" ht="15.75" customHeight="1" s="195"/>
    <row r="831" ht="15.75" customHeight="1" s="195"/>
    <row r="832" ht="15.75" customHeight="1" s="195"/>
    <row r="833" ht="15.75" customHeight="1" s="195"/>
    <row r="834" ht="15.75" customHeight="1" s="195"/>
    <row r="835" ht="15.75" customHeight="1" s="195"/>
    <row r="836" ht="15.75" customHeight="1" s="195"/>
    <row r="837" ht="15.75" customHeight="1" s="195"/>
    <row r="838" ht="15.75" customHeight="1" s="195"/>
    <row r="839" ht="15.75" customHeight="1" s="195"/>
    <row r="840" ht="15.75" customHeight="1" s="195"/>
    <row r="841" ht="15.75" customHeight="1" s="195"/>
    <row r="842" ht="15.75" customHeight="1" s="195"/>
    <row r="843" ht="15.75" customHeight="1" s="195"/>
    <row r="844" ht="15.75" customHeight="1" s="195"/>
    <row r="845" ht="15.75" customHeight="1" s="195"/>
    <row r="846" ht="15.75" customHeight="1" s="195"/>
    <row r="847" ht="15.75" customHeight="1" s="195"/>
    <row r="848" ht="15.75" customHeight="1" s="195"/>
    <row r="849" ht="15.75" customHeight="1" s="195"/>
    <row r="850" ht="15.75" customHeight="1" s="195"/>
    <row r="851" ht="15.75" customHeight="1" s="195"/>
    <row r="852" ht="15.75" customHeight="1" s="195"/>
    <row r="853" ht="15.75" customHeight="1" s="195"/>
    <row r="854" ht="15.75" customHeight="1" s="195"/>
    <row r="855" ht="15.75" customHeight="1" s="195"/>
    <row r="856" ht="15.75" customHeight="1" s="195"/>
    <row r="857" ht="15.75" customHeight="1" s="195"/>
    <row r="858" ht="15.75" customHeight="1" s="195"/>
    <row r="859" ht="15.75" customHeight="1" s="195"/>
    <row r="860" ht="15.75" customHeight="1" s="195"/>
    <row r="861" ht="15.75" customHeight="1" s="195"/>
    <row r="862" ht="15.75" customHeight="1" s="195"/>
    <row r="863" ht="15.75" customHeight="1" s="195"/>
    <row r="864" ht="15.75" customHeight="1" s="195"/>
    <row r="865" ht="15.75" customHeight="1" s="195"/>
    <row r="866" ht="15.75" customHeight="1" s="195"/>
    <row r="867" ht="15.75" customHeight="1" s="195"/>
    <row r="868" ht="15.75" customHeight="1" s="195"/>
    <row r="869" ht="15.75" customHeight="1" s="195"/>
    <row r="870" ht="15.75" customHeight="1" s="195"/>
    <row r="871" ht="15.75" customHeight="1" s="195"/>
    <row r="872" ht="15.75" customHeight="1" s="195"/>
    <row r="873" ht="15.75" customHeight="1" s="195"/>
    <row r="874" ht="15.75" customHeight="1" s="195"/>
    <row r="875" ht="15.75" customHeight="1" s="195"/>
    <row r="876" ht="15.75" customHeight="1" s="195"/>
    <row r="877" ht="15.75" customHeight="1" s="195"/>
    <row r="878" ht="15.75" customHeight="1" s="195"/>
    <row r="879" ht="15.75" customHeight="1" s="195"/>
    <row r="880" ht="15.75" customHeight="1" s="195"/>
    <row r="881" ht="15.75" customHeight="1" s="195"/>
    <row r="882" ht="15.75" customHeight="1" s="195"/>
    <row r="883" ht="15.75" customHeight="1" s="195"/>
    <row r="884" ht="15.75" customHeight="1" s="195"/>
    <row r="885" ht="15.75" customHeight="1" s="195"/>
    <row r="886" ht="15.75" customHeight="1" s="195"/>
    <row r="887" ht="15.75" customHeight="1" s="195"/>
    <row r="888" ht="15.75" customHeight="1" s="195"/>
    <row r="889" ht="15.75" customHeight="1" s="195"/>
    <row r="890" ht="15.75" customHeight="1" s="195"/>
    <row r="891" ht="15.75" customHeight="1" s="195"/>
    <row r="892" ht="15.75" customHeight="1" s="195"/>
    <row r="893" ht="15.75" customHeight="1" s="195"/>
    <row r="894" ht="15.75" customHeight="1" s="195"/>
    <row r="895" ht="15.75" customHeight="1" s="195"/>
    <row r="896" ht="15.75" customHeight="1" s="195"/>
    <row r="897" ht="15.75" customHeight="1" s="195"/>
    <row r="898" ht="15.75" customHeight="1" s="195"/>
    <row r="899" ht="15.75" customHeight="1" s="195"/>
    <row r="900" ht="15.75" customHeight="1" s="195"/>
    <row r="901" ht="15.75" customHeight="1" s="195"/>
    <row r="902" ht="15.75" customHeight="1" s="195"/>
    <row r="903" ht="15.75" customHeight="1" s="195"/>
    <row r="904" ht="15.75" customHeight="1" s="195"/>
    <row r="905" ht="15.75" customHeight="1" s="195"/>
    <row r="906" ht="15.75" customHeight="1" s="195"/>
    <row r="907" ht="15.75" customHeight="1" s="195"/>
    <row r="908" ht="15.75" customHeight="1" s="195"/>
    <row r="909" ht="15.75" customHeight="1" s="195"/>
    <row r="910" ht="15.75" customHeight="1" s="195"/>
    <row r="911" ht="15.75" customHeight="1" s="195"/>
    <row r="912" ht="15.75" customHeight="1" s="195"/>
    <row r="913" ht="15.75" customHeight="1" s="195"/>
    <row r="914" ht="15.75" customHeight="1" s="195"/>
    <row r="915" ht="15.75" customHeight="1" s="195"/>
    <row r="916" ht="15.75" customHeight="1" s="195"/>
    <row r="917" ht="15.75" customHeight="1" s="195"/>
    <row r="918" ht="15.75" customHeight="1" s="195"/>
    <row r="919" ht="15.75" customHeight="1" s="195"/>
    <row r="920" ht="15.75" customHeight="1" s="195"/>
    <row r="921" ht="15.75" customHeight="1" s="195"/>
    <row r="922" ht="15.75" customHeight="1" s="195"/>
    <row r="923" ht="15.75" customHeight="1" s="195"/>
    <row r="924" ht="15.75" customHeight="1" s="195"/>
    <row r="925" ht="15.75" customHeight="1" s="195"/>
    <row r="926" ht="15.75" customHeight="1" s="195"/>
    <row r="927" ht="15.75" customHeight="1" s="195"/>
    <row r="928" ht="15.75" customHeight="1" s="195"/>
    <row r="929" ht="15.75" customHeight="1" s="195"/>
    <row r="930" ht="15.75" customHeight="1" s="195"/>
    <row r="931" ht="15.75" customHeight="1" s="195"/>
    <row r="932" ht="15.75" customHeight="1" s="195"/>
    <row r="933" ht="15.75" customHeight="1" s="195"/>
    <row r="934" ht="15.75" customHeight="1" s="195"/>
    <row r="935" ht="15.75" customHeight="1" s="195"/>
    <row r="936" ht="15.75" customHeight="1" s="195"/>
    <row r="937" ht="15.75" customHeight="1" s="195"/>
    <row r="938" ht="15.75" customHeight="1" s="195"/>
    <row r="939" ht="15.75" customHeight="1" s="195"/>
    <row r="940" ht="15.75" customHeight="1" s="195"/>
    <row r="941" ht="15.75" customHeight="1" s="195"/>
    <row r="942" ht="15.75" customHeight="1" s="195"/>
    <row r="943" ht="15.75" customHeight="1" s="195"/>
    <row r="944" ht="15.75" customHeight="1" s="195"/>
    <row r="945" ht="15.75" customHeight="1" s="195"/>
    <row r="946" ht="15.75" customHeight="1" s="195"/>
    <row r="947" ht="15.75" customHeight="1" s="195"/>
    <row r="948" ht="15.75" customHeight="1" s="195"/>
    <row r="949" ht="15.75" customHeight="1" s="195"/>
    <row r="950" ht="15.75" customHeight="1" s="195"/>
    <row r="951" ht="15.75" customHeight="1" s="195"/>
    <row r="952" ht="15.75" customHeight="1" s="195"/>
    <row r="953" ht="15.75" customHeight="1" s="195"/>
    <row r="954" ht="15.75" customHeight="1" s="195"/>
    <row r="955" ht="15.75" customHeight="1" s="195"/>
    <row r="956" ht="15.75" customHeight="1" s="195"/>
    <row r="957" ht="15.75" customHeight="1" s="195"/>
    <row r="958" ht="15.75" customHeight="1" s="195"/>
    <row r="959" ht="15.75" customHeight="1" s="195"/>
    <row r="960" ht="15.75" customHeight="1" s="195"/>
    <row r="961" ht="15.75" customHeight="1" s="195"/>
    <row r="962" ht="15.75" customHeight="1" s="195"/>
    <row r="963" ht="15.75" customHeight="1" s="195"/>
    <row r="964" ht="15.75" customHeight="1" s="195"/>
    <row r="965" ht="15.75" customHeight="1" s="195"/>
    <row r="966" ht="15.75" customHeight="1" s="195"/>
    <row r="967" ht="15.75" customHeight="1" s="195"/>
    <row r="968" ht="15.75" customHeight="1" s="195"/>
    <row r="969" ht="15.75" customHeight="1" s="195"/>
    <row r="970" ht="15.75" customHeight="1" s="195"/>
    <row r="971" ht="15.75" customHeight="1" s="195"/>
    <row r="972" ht="15.75" customHeight="1" s="195"/>
    <row r="973" ht="15.75" customHeight="1" s="195"/>
    <row r="974" ht="15.75" customHeight="1" s="195"/>
    <row r="975" ht="15.75" customHeight="1" s="195"/>
    <row r="976" ht="15.75" customHeight="1" s="195"/>
    <row r="977" ht="15.75" customHeight="1" s="195"/>
    <row r="978" ht="15.75" customHeight="1" s="195"/>
    <row r="979" ht="15.75" customHeight="1" s="195"/>
    <row r="980" ht="15.75" customHeight="1" s="195"/>
    <row r="981" ht="15.75" customHeight="1" s="195"/>
    <row r="982" ht="15.75" customHeight="1" s="195"/>
    <row r="983" ht="15.75" customHeight="1" s="195"/>
    <row r="984" ht="15.75" customHeight="1" s="195"/>
    <row r="985" ht="15.75" customHeight="1" s="195"/>
    <row r="986" ht="15.75" customHeight="1" s="195"/>
    <row r="987" ht="15.75" customHeight="1" s="195"/>
    <row r="988" ht="15.75" customHeight="1" s="195"/>
    <row r="989" ht="15.75" customHeight="1" s="195"/>
    <row r="990" ht="15.75" customHeight="1" s="195"/>
    <row r="991" ht="15.75" customHeight="1" s="195"/>
    <row r="992" ht="15.75" customHeight="1" s="195"/>
    <row r="993" ht="15.75" customHeight="1" s="195"/>
    <row r="994" ht="15.75" customHeight="1" s="195"/>
    <row r="995" ht="15.75" customHeight="1" s="195"/>
    <row r="996" ht="15.75" customHeight="1" s="195"/>
    <row r="997" ht="15.75" customHeight="1" s="195"/>
    <row r="998" ht="15.75" customHeight="1" s="195"/>
    <row r="999" ht="15.75" customHeight="1" s="195"/>
    <row r="1000" ht="15.75" customHeight="1" s="195"/>
  </sheetData>
  <mergeCells count="3">
    <mergeCell ref="A1:D1"/>
    <mergeCell ref="A11:D70"/>
    <mergeCell ref="A10:D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Z12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8.710000000000001" customWidth="1" style="194" min="1" max="15"/>
  </cols>
  <sheetData>
    <row r="1" ht="15" customHeight="1" s="195">
      <c r="A1" s="380" t="inlineStr">
        <is>
          <t>MES</t>
        </is>
      </c>
      <c r="B1" s="380" t="inlineStr">
        <is>
          <t>IPRESS</t>
        </is>
      </c>
      <c r="C1" s="380" t="inlineStr">
        <is>
          <t>AFILIADO</t>
        </is>
      </c>
      <c r="D1" s="380" t="inlineStr">
        <is>
          <t>NRO_DOC</t>
        </is>
      </c>
      <c r="E1" s="380" t="inlineStr">
        <is>
          <t>FECHA_TRASLADO</t>
        </is>
      </c>
      <c r="F1" s="380" t="inlineStr">
        <is>
          <t>TIPO</t>
        </is>
      </c>
      <c r="G1" s="380" t="inlineStr">
        <is>
          <t>GALONES</t>
        </is>
      </c>
      <c r="H1" s="380" t="inlineStr">
        <is>
          <t>TOTAL_SOL</t>
        </is>
      </c>
      <c r="I1" s="380" t="inlineStr">
        <is>
          <t>CONDUCTOR</t>
        </is>
      </c>
      <c r="J1" s="380" t="inlineStr">
        <is>
          <t>PLACA</t>
        </is>
      </c>
      <c r="K1" s="380" t="inlineStr">
        <is>
          <t>DEVOLVER_A</t>
        </is>
      </c>
      <c r="L1" s="380" t="inlineStr">
        <is>
          <t>IPRESS_ORIGEN</t>
        </is>
      </c>
      <c r="O1" s="194" t="inlineStr">
        <is>
          <t>-- TODOS --</t>
        </is>
      </c>
      <c r="P1" s="194" t="n"/>
      <c r="Q1" s="194" t="n"/>
      <c r="R1" s="194" t="n"/>
      <c r="S1" s="194" t="n"/>
      <c r="T1" s="194" t="n"/>
      <c r="U1" s="194" t="n"/>
      <c r="V1" s="194" t="n"/>
      <c r="W1" s="194" t="n"/>
      <c r="X1" s="194" t="n"/>
      <c r="Y1" s="194" t="n"/>
      <c r="Z1" s="194" t="n"/>
    </row>
    <row r="2" ht="15" customHeight="1" s="195">
      <c r="A2" s="381">
        <f>IF(AND('ENERO 2026'!D6&lt;&gt;"",'ENERO 2026'!Z6="POR RECOGER"),"ENE","")</f>
        <v/>
      </c>
      <c r="B2" s="381">
        <f>IF(AND('ENERO 2026'!D6&lt;&gt;"",'ENERO 2026'!Z6="POR RECOGER"),IF('ENERO 2026'!Y6&lt;&gt;"",'ENERO 2026'!Y6,'ENERO 2026'!I6),"")</f>
        <v/>
      </c>
      <c r="C2" s="381">
        <f>IF(AND('ENERO 2026'!D6&lt;&gt;"",'ENERO 2026'!Z6="POR RECOGER"),'ENERO 2026'!D6,"")</f>
        <v/>
      </c>
      <c r="D2" s="381">
        <f>IF(AND('ENERO 2026'!D6&lt;&gt;"",'ENERO 2026'!Z6="POR RECOGER"),'ENERO 2026'!F6,"")</f>
        <v/>
      </c>
      <c r="E2" s="381">
        <f>IF(AND('ENERO 2026'!D6&lt;&gt;"",'ENERO 2026'!Z6="POR RECOGER"),TEXT('ENERO 2026'!G6,"DD/MM/YYYY"),"")</f>
        <v/>
      </c>
      <c r="F2" s="381">
        <f>IF(AND('ENERO 2026'!D6&lt;&gt;"",'ENERO 2026'!Z6="POR RECOGER"),'ENERO 2026'!K6,"")</f>
        <v/>
      </c>
      <c r="G2" s="382">
        <f>IF(AND('ENERO 2026'!D6&lt;&gt;"",'ENERO 2026'!Z6="POR RECOGER"),'ENERO 2026'!M6,"")</f>
        <v/>
      </c>
      <c r="H2" s="382">
        <f>IF(AND('ENERO 2026'!D6&lt;&gt;"",'ENERO 2026'!Z6="POR RECOGER"),'ENERO 2026'!N6,"")</f>
        <v/>
      </c>
      <c r="I2" s="381">
        <f>IF(AND('ENERO 2026'!D6&lt;&gt;"",'ENERO 2026'!Z6="POR RECOGER"),'ENERO 2026'!P6,"")</f>
        <v/>
      </c>
      <c r="J2" s="381">
        <f>IF(AND('ENERO 2026'!D6&lt;&gt;"",'ENERO 2026'!Z6="POR RECOGER"),'ENERO 2026'!Q6,"")</f>
        <v/>
      </c>
      <c r="K2" s="381">
        <f>IF(AND('ENERO 2026'!D6&lt;&gt;"",'ENERO 2026'!Z6="POR RECOGER"),'ENERO 2026'!Y6,"")</f>
        <v/>
      </c>
      <c r="L2" s="381">
        <f>IF(AND('ENERO 2026'!D6&lt;&gt;"",'ENERO 2026'!Z6="POR RECOGER"),'ENERO 2026'!I6,"")</f>
        <v/>
      </c>
      <c r="O2" s="194" t="inlineStr">
        <is>
          <t>BUENOS AIRES</t>
        </is>
      </c>
      <c r="P2" s="194" t="n"/>
      <c r="Q2" s="194" t="n"/>
      <c r="R2" s="194" t="n"/>
      <c r="S2" s="194" t="n"/>
      <c r="T2" s="194" t="n"/>
      <c r="U2" s="194" t="n"/>
      <c r="V2" s="194" t="n"/>
      <c r="W2" s="194" t="n"/>
      <c r="X2" s="194" t="n"/>
      <c r="Y2" s="194" t="n"/>
      <c r="Z2" s="194" t="n"/>
    </row>
    <row r="3" ht="15" customHeight="1" s="195">
      <c r="A3" s="381">
        <f>IF(AND('ENERO 2026'!D7&lt;&gt;"",'ENERO 2026'!Z7="POR RECOGER"),"ENE","")</f>
        <v/>
      </c>
      <c r="B3" s="381">
        <f>IF(AND('ENERO 2026'!D7&lt;&gt;"",'ENERO 2026'!Z7="POR RECOGER"),IF('ENERO 2026'!Y7&lt;&gt;"",'ENERO 2026'!Y7,'ENERO 2026'!I7),"")</f>
        <v/>
      </c>
      <c r="C3" s="381">
        <f>IF(AND('ENERO 2026'!D7&lt;&gt;"",'ENERO 2026'!Z7="POR RECOGER"),'ENERO 2026'!D7,"")</f>
        <v/>
      </c>
      <c r="D3" s="381">
        <f>IF(AND('ENERO 2026'!D7&lt;&gt;"",'ENERO 2026'!Z7="POR RECOGER"),'ENERO 2026'!F7,"")</f>
        <v/>
      </c>
      <c r="E3" s="381">
        <f>IF(AND('ENERO 2026'!D7&lt;&gt;"",'ENERO 2026'!Z7="POR RECOGER"),TEXT('ENERO 2026'!G7,"DD/MM/YYYY"),"")</f>
        <v/>
      </c>
      <c r="F3" s="381">
        <f>IF(AND('ENERO 2026'!D7&lt;&gt;"",'ENERO 2026'!Z7="POR RECOGER"),'ENERO 2026'!K7,"")</f>
        <v/>
      </c>
      <c r="G3" s="382">
        <f>IF(AND('ENERO 2026'!D7&lt;&gt;"",'ENERO 2026'!Z7="POR RECOGER"),'ENERO 2026'!M7,"")</f>
        <v/>
      </c>
      <c r="H3" s="382">
        <f>IF(AND('ENERO 2026'!D7&lt;&gt;"",'ENERO 2026'!Z7="POR RECOGER"),'ENERO 2026'!N7,"")</f>
        <v/>
      </c>
      <c r="I3" s="381">
        <f>IF(AND('ENERO 2026'!D7&lt;&gt;"",'ENERO 2026'!Z7="POR RECOGER"),'ENERO 2026'!P7,"")</f>
        <v/>
      </c>
      <c r="J3" s="381">
        <f>IF(AND('ENERO 2026'!D7&lt;&gt;"",'ENERO 2026'!Z7="POR RECOGER"),'ENERO 2026'!Q7,"")</f>
        <v/>
      </c>
      <c r="K3" s="381">
        <f>IF(AND('ENERO 2026'!D7&lt;&gt;"",'ENERO 2026'!Z7="POR RECOGER"),'ENERO 2026'!Y7,"")</f>
        <v/>
      </c>
      <c r="L3" s="381">
        <f>IF(AND('ENERO 2026'!D7&lt;&gt;"",'ENERO 2026'!Z7="POR RECOGER"),'ENERO 2026'!I7,"")</f>
        <v/>
      </c>
      <c r="O3" s="194" t="inlineStr">
        <is>
          <t>CAMPORREDONDO</t>
        </is>
      </c>
      <c r="P3" s="194" t="n"/>
      <c r="Q3" s="194" t="n"/>
      <c r="R3" s="194" t="n"/>
      <c r="S3" s="194" t="n"/>
      <c r="T3" s="194" t="n"/>
      <c r="U3" s="194" t="n"/>
      <c r="V3" s="194" t="n"/>
      <c r="W3" s="194" t="n"/>
      <c r="X3" s="194" t="n"/>
      <c r="Y3" s="194" t="n"/>
      <c r="Z3" s="194" t="n"/>
    </row>
    <row r="4" ht="15" customHeight="1" s="195">
      <c r="A4" s="381">
        <f>IF(AND('ENERO 2026'!D8&lt;&gt;"",'ENERO 2026'!Z8="POR RECOGER"),"ENE","")</f>
        <v/>
      </c>
      <c r="B4" s="381">
        <f>IF(AND('ENERO 2026'!D8&lt;&gt;"",'ENERO 2026'!Z8="POR RECOGER"),IF('ENERO 2026'!Y8&lt;&gt;"",'ENERO 2026'!Y8,'ENERO 2026'!I8),"")</f>
        <v/>
      </c>
      <c r="C4" s="381">
        <f>IF(AND('ENERO 2026'!D8&lt;&gt;"",'ENERO 2026'!Z8="POR RECOGER"),'ENERO 2026'!D8,"")</f>
        <v/>
      </c>
      <c r="D4" s="381">
        <f>IF(AND('ENERO 2026'!D8&lt;&gt;"",'ENERO 2026'!Z8="POR RECOGER"),'ENERO 2026'!F8,"")</f>
        <v/>
      </c>
      <c r="E4" s="381">
        <f>IF(AND('ENERO 2026'!D8&lt;&gt;"",'ENERO 2026'!Z8="POR RECOGER"),TEXT('ENERO 2026'!G8,"DD/MM/YYYY"),"")</f>
        <v/>
      </c>
      <c r="F4" s="381">
        <f>IF(AND('ENERO 2026'!D8&lt;&gt;"",'ENERO 2026'!Z8="POR RECOGER"),'ENERO 2026'!K8,"")</f>
        <v/>
      </c>
      <c r="G4" s="382">
        <f>IF(AND('ENERO 2026'!D8&lt;&gt;"",'ENERO 2026'!Z8="POR RECOGER"),'ENERO 2026'!M8,"")</f>
        <v/>
      </c>
      <c r="H4" s="382">
        <f>IF(AND('ENERO 2026'!D8&lt;&gt;"",'ENERO 2026'!Z8="POR RECOGER"),'ENERO 2026'!N8,"")</f>
        <v/>
      </c>
      <c r="I4" s="381">
        <f>IF(AND('ENERO 2026'!D8&lt;&gt;"",'ENERO 2026'!Z8="POR RECOGER"),'ENERO 2026'!P8,"")</f>
        <v/>
      </c>
      <c r="J4" s="381">
        <f>IF(AND('ENERO 2026'!D8&lt;&gt;"",'ENERO 2026'!Z8="POR RECOGER"),'ENERO 2026'!Q8,"")</f>
        <v/>
      </c>
      <c r="K4" s="381">
        <f>IF(AND('ENERO 2026'!D8&lt;&gt;"",'ENERO 2026'!Z8="POR RECOGER"),'ENERO 2026'!Y8,"")</f>
        <v/>
      </c>
      <c r="L4" s="381">
        <f>IF(AND('ENERO 2026'!D8&lt;&gt;"",'ENERO 2026'!Z8="POR RECOGER"),'ENERO 2026'!I8,"")</f>
        <v/>
      </c>
      <c r="O4" s="194" t="inlineStr">
        <is>
          <t>CHUQUIBAMBA</t>
        </is>
      </c>
      <c r="P4" s="194" t="n"/>
      <c r="Q4" s="194" t="n"/>
      <c r="R4" s="194" t="n"/>
      <c r="S4" s="194" t="n"/>
      <c r="T4" s="194" t="n"/>
      <c r="U4" s="194" t="n"/>
      <c r="V4" s="194" t="n"/>
      <c r="W4" s="194" t="n"/>
      <c r="X4" s="194" t="n"/>
      <c r="Y4" s="194" t="n"/>
      <c r="Z4" s="194" t="n"/>
    </row>
    <row r="5" ht="15" customHeight="1" s="195">
      <c r="A5" s="381">
        <f>IF(AND('ENERO 2026'!D9&lt;&gt;"",'ENERO 2026'!Z9="POR RECOGER"),"ENE","")</f>
        <v/>
      </c>
      <c r="B5" s="381">
        <f>IF(AND('ENERO 2026'!D9&lt;&gt;"",'ENERO 2026'!Z9="POR RECOGER"),IF('ENERO 2026'!Y9&lt;&gt;"",'ENERO 2026'!Y9,'ENERO 2026'!I9),"")</f>
        <v/>
      </c>
      <c r="C5" s="381">
        <f>IF(AND('ENERO 2026'!D9&lt;&gt;"",'ENERO 2026'!Z9="POR RECOGER"),'ENERO 2026'!D9,"")</f>
        <v/>
      </c>
      <c r="D5" s="381">
        <f>IF(AND('ENERO 2026'!D9&lt;&gt;"",'ENERO 2026'!Z9="POR RECOGER"),'ENERO 2026'!F9,"")</f>
        <v/>
      </c>
      <c r="E5" s="381">
        <f>IF(AND('ENERO 2026'!D9&lt;&gt;"",'ENERO 2026'!Z9="POR RECOGER"),TEXT('ENERO 2026'!G9,"DD/MM/YYYY"),"")</f>
        <v/>
      </c>
      <c r="F5" s="381">
        <f>IF(AND('ENERO 2026'!D9&lt;&gt;"",'ENERO 2026'!Z9="POR RECOGER"),'ENERO 2026'!K9,"")</f>
        <v/>
      </c>
      <c r="G5" s="382">
        <f>IF(AND('ENERO 2026'!D9&lt;&gt;"",'ENERO 2026'!Z9="POR RECOGER"),'ENERO 2026'!M9,"")</f>
        <v/>
      </c>
      <c r="H5" s="382">
        <f>IF(AND('ENERO 2026'!D9&lt;&gt;"",'ENERO 2026'!Z9="POR RECOGER"),'ENERO 2026'!N9,"")</f>
        <v/>
      </c>
      <c r="I5" s="381">
        <f>IF(AND('ENERO 2026'!D9&lt;&gt;"",'ENERO 2026'!Z9="POR RECOGER"),'ENERO 2026'!P9,"")</f>
        <v/>
      </c>
      <c r="J5" s="381">
        <f>IF(AND('ENERO 2026'!D9&lt;&gt;"",'ENERO 2026'!Z9="POR RECOGER"),'ENERO 2026'!Q9,"")</f>
        <v/>
      </c>
      <c r="K5" s="381">
        <f>IF(AND('ENERO 2026'!D9&lt;&gt;"",'ENERO 2026'!Z9="POR RECOGER"),'ENERO 2026'!Y9,"")</f>
        <v/>
      </c>
      <c r="L5" s="381">
        <f>IF(AND('ENERO 2026'!D9&lt;&gt;"",'ENERO 2026'!Z9="POR RECOGER"),'ENERO 2026'!I9,"")</f>
        <v/>
      </c>
      <c r="O5" s="194" t="inlineStr">
        <is>
          <t>COCABAMBA</t>
        </is>
      </c>
      <c r="P5" s="194" t="n"/>
      <c r="Q5" s="194" t="n"/>
      <c r="R5" s="194" t="n"/>
      <c r="S5" s="194" t="n"/>
      <c r="T5" s="194" t="n"/>
      <c r="U5" s="194" t="n"/>
      <c r="V5" s="194" t="n"/>
      <c r="W5" s="194" t="n"/>
      <c r="X5" s="194" t="n"/>
      <c r="Y5" s="194" t="n"/>
      <c r="Z5" s="194" t="n"/>
    </row>
    <row r="6" ht="15" customHeight="1" s="195">
      <c r="A6" s="381">
        <f>IF(AND('ENERO 2026'!D10&lt;&gt;"",'ENERO 2026'!Z10="POR RECOGER"),"ENE","")</f>
        <v/>
      </c>
      <c r="B6" s="381">
        <f>IF(AND('ENERO 2026'!D10&lt;&gt;"",'ENERO 2026'!Z10="POR RECOGER"),IF('ENERO 2026'!Y10&lt;&gt;"",'ENERO 2026'!Y10,'ENERO 2026'!I10),"")</f>
        <v/>
      </c>
      <c r="C6" s="381">
        <f>IF(AND('ENERO 2026'!D10&lt;&gt;"",'ENERO 2026'!Z10="POR RECOGER"),'ENERO 2026'!D10,"")</f>
        <v/>
      </c>
      <c r="D6" s="381">
        <f>IF(AND('ENERO 2026'!D10&lt;&gt;"",'ENERO 2026'!Z10="POR RECOGER"),'ENERO 2026'!F10,"")</f>
        <v/>
      </c>
      <c r="E6" s="381">
        <f>IF(AND('ENERO 2026'!D10&lt;&gt;"",'ENERO 2026'!Z10="POR RECOGER"),TEXT('ENERO 2026'!G10,"DD/MM/YYYY"),"")</f>
        <v/>
      </c>
      <c r="F6" s="381">
        <f>IF(AND('ENERO 2026'!D10&lt;&gt;"",'ENERO 2026'!Z10="POR RECOGER"),'ENERO 2026'!K10,"")</f>
        <v/>
      </c>
      <c r="G6" s="382">
        <f>IF(AND('ENERO 2026'!D10&lt;&gt;"",'ENERO 2026'!Z10="POR RECOGER"),'ENERO 2026'!M10,"")</f>
        <v/>
      </c>
      <c r="H6" s="382">
        <f>IF(AND('ENERO 2026'!D10&lt;&gt;"",'ENERO 2026'!Z10="POR RECOGER"),'ENERO 2026'!N10,"")</f>
        <v/>
      </c>
      <c r="I6" s="381">
        <f>IF(AND('ENERO 2026'!D10&lt;&gt;"",'ENERO 2026'!Z10="POR RECOGER"),'ENERO 2026'!P10,"")</f>
        <v/>
      </c>
      <c r="J6" s="381">
        <f>IF(AND('ENERO 2026'!D10&lt;&gt;"",'ENERO 2026'!Z10="POR RECOGER"),'ENERO 2026'!Q10,"")</f>
        <v/>
      </c>
      <c r="K6" s="381">
        <f>IF(AND('ENERO 2026'!D10&lt;&gt;"",'ENERO 2026'!Z10="POR RECOGER"),'ENERO 2026'!Y10,"")</f>
        <v/>
      </c>
      <c r="L6" s="381">
        <f>IF(AND('ENERO 2026'!D10&lt;&gt;"",'ENERO 2026'!Z10="POR RECOGER"),'ENERO 2026'!I10,"")</f>
        <v/>
      </c>
      <c r="O6" s="194" t="inlineStr">
        <is>
          <t>COCOCHO</t>
        </is>
      </c>
      <c r="P6" s="194" t="n"/>
      <c r="Q6" s="194" t="n"/>
      <c r="R6" s="194" t="n"/>
      <c r="S6" s="194" t="n"/>
      <c r="T6" s="194" t="n"/>
      <c r="U6" s="194" t="n"/>
      <c r="V6" s="194" t="n"/>
      <c r="W6" s="194" t="n"/>
      <c r="X6" s="194" t="n"/>
      <c r="Y6" s="194" t="n"/>
      <c r="Z6" s="194" t="n"/>
    </row>
    <row r="7" ht="15" customHeight="1" s="195">
      <c r="A7" s="381">
        <f>IF(AND('ENERO 2026'!D11&lt;&gt;"",'ENERO 2026'!Z11="POR RECOGER"),"ENE","")</f>
        <v/>
      </c>
      <c r="B7" s="381">
        <f>IF(AND('ENERO 2026'!D11&lt;&gt;"",'ENERO 2026'!Z11="POR RECOGER"),IF('ENERO 2026'!Y11&lt;&gt;"",'ENERO 2026'!Y11,'ENERO 2026'!I11),"")</f>
        <v/>
      </c>
      <c r="C7" s="381">
        <f>IF(AND('ENERO 2026'!D11&lt;&gt;"",'ENERO 2026'!Z11="POR RECOGER"),'ENERO 2026'!D11,"")</f>
        <v/>
      </c>
      <c r="D7" s="381">
        <f>IF(AND('ENERO 2026'!D11&lt;&gt;"",'ENERO 2026'!Z11="POR RECOGER"),'ENERO 2026'!F11,"")</f>
        <v/>
      </c>
      <c r="E7" s="381">
        <f>IF(AND('ENERO 2026'!D11&lt;&gt;"",'ENERO 2026'!Z11="POR RECOGER"),TEXT('ENERO 2026'!G11,"DD/MM/YYYY"),"")</f>
        <v/>
      </c>
      <c r="F7" s="381">
        <f>IF(AND('ENERO 2026'!D11&lt;&gt;"",'ENERO 2026'!Z11="POR RECOGER"),'ENERO 2026'!K11,"")</f>
        <v/>
      </c>
      <c r="G7" s="382">
        <f>IF(AND('ENERO 2026'!D11&lt;&gt;"",'ENERO 2026'!Z11="POR RECOGER"),'ENERO 2026'!M11,"")</f>
        <v/>
      </c>
      <c r="H7" s="382">
        <f>IF(AND('ENERO 2026'!D11&lt;&gt;"",'ENERO 2026'!Z11="POR RECOGER"),'ENERO 2026'!N11,"")</f>
        <v/>
      </c>
      <c r="I7" s="381">
        <f>IF(AND('ENERO 2026'!D11&lt;&gt;"",'ENERO 2026'!Z11="POR RECOGER"),'ENERO 2026'!P11,"")</f>
        <v/>
      </c>
      <c r="J7" s="381">
        <f>IF(AND('ENERO 2026'!D11&lt;&gt;"",'ENERO 2026'!Z11="POR RECOGER"),'ENERO 2026'!Q11,"")</f>
        <v/>
      </c>
      <c r="K7" s="381">
        <f>IF(AND('ENERO 2026'!D11&lt;&gt;"",'ENERO 2026'!Z11="POR RECOGER"),'ENERO 2026'!Y11,"")</f>
        <v/>
      </c>
      <c r="L7" s="381">
        <f>IF(AND('ENERO 2026'!D11&lt;&gt;"",'ENERO 2026'!Z11="POR RECOGER"),'ENERO 2026'!I11,"")</f>
        <v/>
      </c>
      <c r="O7" s="194" t="inlineStr">
        <is>
          <t>COLCAMAR</t>
        </is>
      </c>
      <c r="P7" s="194" t="n"/>
      <c r="Q7" s="194" t="n"/>
      <c r="R7" s="194" t="n"/>
      <c r="S7" s="194" t="n"/>
      <c r="T7" s="194" t="n"/>
      <c r="U7" s="194" t="n"/>
      <c r="V7" s="194" t="n"/>
      <c r="W7" s="194" t="n"/>
      <c r="X7" s="194" t="n"/>
      <c r="Y7" s="194" t="n"/>
      <c r="Z7" s="194" t="n"/>
    </row>
    <row r="8" ht="15" customHeight="1" s="195">
      <c r="A8" s="381">
        <f>IF(AND('ENERO 2026'!D12&lt;&gt;"",'ENERO 2026'!Z12="POR RECOGER"),"ENE","")</f>
        <v/>
      </c>
      <c r="B8" s="381">
        <f>IF(AND('ENERO 2026'!D12&lt;&gt;"",'ENERO 2026'!Z12="POR RECOGER"),IF('ENERO 2026'!Y12&lt;&gt;"",'ENERO 2026'!Y12,'ENERO 2026'!I12),"")</f>
        <v/>
      </c>
      <c r="C8" s="381">
        <f>IF(AND('ENERO 2026'!D12&lt;&gt;"",'ENERO 2026'!Z12="POR RECOGER"),'ENERO 2026'!D12,"")</f>
        <v/>
      </c>
      <c r="D8" s="381">
        <f>IF(AND('ENERO 2026'!D12&lt;&gt;"",'ENERO 2026'!Z12="POR RECOGER"),'ENERO 2026'!F12,"")</f>
        <v/>
      </c>
      <c r="E8" s="381">
        <f>IF(AND('ENERO 2026'!D12&lt;&gt;"",'ENERO 2026'!Z12="POR RECOGER"),TEXT('ENERO 2026'!G12,"DD/MM/YYYY"),"")</f>
        <v/>
      </c>
      <c r="F8" s="381">
        <f>IF(AND('ENERO 2026'!D12&lt;&gt;"",'ENERO 2026'!Z12="POR RECOGER"),'ENERO 2026'!K12,"")</f>
        <v/>
      </c>
      <c r="G8" s="382">
        <f>IF(AND('ENERO 2026'!D12&lt;&gt;"",'ENERO 2026'!Z12="POR RECOGER"),'ENERO 2026'!M12,"")</f>
        <v/>
      </c>
      <c r="H8" s="382">
        <f>IF(AND('ENERO 2026'!D12&lt;&gt;"",'ENERO 2026'!Z12="POR RECOGER"),'ENERO 2026'!N12,"")</f>
        <v/>
      </c>
      <c r="I8" s="381">
        <f>IF(AND('ENERO 2026'!D12&lt;&gt;"",'ENERO 2026'!Z12="POR RECOGER"),'ENERO 2026'!P12,"")</f>
        <v/>
      </c>
      <c r="J8" s="381">
        <f>IF(AND('ENERO 2026'!D12&lt;&gt;"",'ENERO 2026'!Z12="POR RECOGER"),'ENERO 2026'!Q12,"")</f>
        <v/>
      </c>
      <c r="K8" s="381">
        <f>IF(AND('ENERO 2026'!D12&lt;&gt;"",'ENERO 2026'!Z12="POR RECOGER"),'ENERO 2026'!Y12,"")</f>
        <v/>
      </c>
      <c r="L8" s="381">
        <f>IF(AND('ENERO 2026'!D12&lt;&gt;"",'ENERO 2026'!Z12="POR RECOGER"),'ENERO 2026'!I12,"")</f>
        <v/>
      </c>
      <c r="O8" s="194" t="inlineStr">
        <is>
          <t>COLLONCE</t>
        </is>
      </c>
      <c r="P8" s="194" t="n"/>
      <c r="Q8" s="194" t="n"/>
      <c r="R8" s="194" t="n"/>
      <c r="S8" s="194" t="n"/>
      <c r="T8" s="194" t="n"/>
      <c r="U8" s="194" t="n"/>
      <c r="V8" s="194" t="n"/>
      <c r="W8" s="194" t="n"/>
      <c r="X8" s="194" t="n"/>
      <c r="Y8" s="194" t="n"/>
      <c r="Z8" s="194" t="n"/>
    </row>
    <row r="9" ht="15" customHeight="1" s="195">
      <c r="A9" s="381">
        <f>IF(AND('ENERO 2026'!D13&lt;&gt;"",'ENERO 2026'!Z13="POR RECOGER"),"ENE","")</f>
        <v/>
      </c>
      <c r="B9" s="381">
        <f>IF(AND('ENERO 2026'!D13&lt;&gt;"",'ENERO 2026'!Z13="POR RECOGER"),IF('ENERO 2026'!Y13&lt;&gt;"",'ENERO 2026'!Y13,'ENERO 2026'!I13),"")</f>
        <v/>
      </c>
      <c r="C9" s="381">
        <f>IF(AND('ENERO 2026'!D13&lt;&gt;"",'ENERO 2026'!Z13="POR RECOGER"),'ENERO 2026'!D13,"")</f>
        <v/>
      </c>
      <c r="D9" s="381">
        <f>IF(AND('ENERO 2026'!D13&lt;&gt;"",'ENERO 2026'!Z13="POR RECOGER"),'ENERO 2026'!F13,"")</f>
        <v/>
      </c>
      <c r="E9" s="381">
        <f>IF(AND('ENERO 2026'!D13&lt;&gt;"",'ENERO 2026'!Z13="POR RECOGER"),TEXT('ENERO 2026'!G13,"DD/MM/YYYY"),"")</f>
        <v/>
      </c>
      <c r="F9" s="381">
        <f>IF(AND('ENERO 2026'!D13&lt;&gt;"",'ENERO 2026'!Z13="POR RECOGER"),'ENERO 2026'!K13,"")</f>
        <v/>
      </c>
      <c r="G9" s="382">
        <f>IF(AND('ENERO 2026'!D13&lt;&gt;"",'ENERO 2026'!Z13="POR RECOGER"),'ENERO 2026'!M13,"")</f>
        <v/>
      </c>
      <c r="H9" s="382">
        <f>IF(AND('ENERO 2026'!D13&lt;&gt;"",'ENERO 2026'!Z13="POR RECOGER"),'ENERO 2026'!N13,"")</f>
        <v/>
      </c>
      <c r="I9" s="381">
        <f>IF(AND('ENERO 2026'!D13&lt;&gt;"",'ENERO 2026'!Z13="POR RECOGER"),'ENERO 2026'!P13,"")</f>
        <v/>
      </c>
      <c r="J9" s="381">
        <f>IF(AND('ENERO 2026'!D13&lt;&gt;"",'ENERO 2026'!Z13="POR RECOGER"),'ENERO 2026'!Q13,"")</f>
        <v/>
      </c>
      <c r="K9" s="381">
        <f>IF(AND('ENERO 2026'!D13&lt;&gt;"",'ENERO 2026'!Z13="POR RECOGER"),'ENERO 2026'!Y13,"")</f>
        <v/>
      </c>
      <c r="L9" s="381">
        <f>IF(AND('ENERO 2026'!D13&lt;&gt;"",'ENERO 2026'!Z13="POR RECOGER"),'ENERO 2026'!I13,"")</f>
        <v/>
      </c>
      <c r="O9" s="194" t="inlineStr">
        <is>
          <t>COROSHA</t>
        </is>
      </c>
      <c r="P9" s="194" t="n"/>
      <c r="Q9" s="194" t="n"/>
      <c r="R9" s="194" t="n"/>
      <c r="S9" s="194" t="n"/>
      <c r="T9" s="194" t="n"/>
      <c r="U9" s="194" t="n"/>
      <c r="V9" s="194" t="n"/>
      <c r="W9" s="194" t="n"/>
      <c r="X9" s="194" t="n"/>
      <c r="Y9" s="194" t="n"/>
      <c r="Z9" s="194" t="n"/>
    </row>
    <row r="10" ht="15" customHeight="1" s="195">
      <c r="A10" s="381">
        <f>IF(AND('ENERO 2026'!D14&lt;&gt;"",'ENERO 2026'!Z14="POR RECOGER"),"ENE","")</f>
        <v/>
      </c>
      <c r="B10" s="381">
        <f>IF(AND('ENERO 2026'!D14&lt;&gt;"",'ENERO 2026'!Z14="POR RECOGER"),IF('ENERO 2026'!Y14&lt;&gt;"",'ENERO 2026'!Y14,'ENERO 2026'!I14),"")</f>
        <v/>
      </c>
      <c r="C10" s="381">
        <f>IF(AND('ENERO 2026'!D14&lt;&gt;"",'ENERO 2026'!Z14="POR RECOGER"),'ENERO 2026'!D14,"")</f>
        <v/>
      </c>
      <c r="D10" s="381">
        <f>IF(AND('ENERO 2026'!D14&lt;&gt;"",'ENERO 2026'!Z14="POR RECOGER"),'ENERO 2026'!F14,"")</f>
        <v/>
      </c>
      <c r="E10" s="381">
        <f>IF(AND('ENERO 2026'!D14&lt;&gt;"",'ENERO 2026'!Z14="POR RECOGER"),TEXT('ENERO 2026'!G14,"DD/MM/YYYY"),"")</f>
        <v/>
      </c>
      <c r="F10" s="381">
        <f>IF(AND('ENERO 2026'!D14&lt;&gt;"",'ENERO 2026'!Z14="POR RECOGER"),'ENERO 2026'!K14,"")</f>
        <v/>
      </c>
      <c r="G10" s="382">
        <f>IF(AND('ENERO 2026'!D14&lt;&gt;"",'ENERO 2026'!Z14="POR RECOGER"),'ENERO 2026'!M14,"")</f>
        <v/>
      </c>
      <c r="H10" s="382">
        <f>IF(AND('ENERO 2026'!D14&lt;&gt;"",'ENERO 2026'!Z14="POR RECOGER"),'ENERO 2026'!N14,"")</f>
        <v/>
      </c>
      <c r="I10" s="381">
        <f>IF(AND('ENERO 2026'!D14&lt;&gt;"",'ENERO 2026'!Z14="POR RECOGER"),'ENERO 2026'!P14,"")</f>
        <v/>
      </c>
      <c r="J10" s="381">
        <f>IF(AND('ENERO 2026'!D14&lt;&gt;"",'ENERO 2026'!Z14="POR RECOGER"),'ENERO 2026'!Q14,"")</f>
        <v/>
      </c>
      <c r="K10" s="381">
        <f>IF(AND('ENERO 2026'!D14&lt;&gt;"",'ENERO 2026'!Z14="POR RECOGER"),'ENERO 2026'!Y14,"")</f>
        <v/>
      </c>
      <c r="L10" s="381">
        <f>IF(AND('ENERO 2026'!D14&lt;&gt;"",'ENERO 2026'!Z14="POR RECOGER"),'ENERO 2026'!I14,"")</f>
        <v/>
      </c>
      <c r="O10" s="194" t="inlineStr">
        <is>
          <t>DURAZNOPAMPA</t>
        </is>
      </c>
      <c r="P10" s="194" t="n"/>
      <c r="Q10" s="194" t="n"/>
      <c r="R10" s="194" t="n"/>
      <c r="S10" s="194" t="n"/>
      <c r="T10" s="194" t="n"/>
      <c r="U10" s="194" t="n"/>
      <c r="V10" s="194" t="n"/>
      <c r="W10" s="194" t="n"/>
      <c r="X10" s="194" t="n"/>
      <c r="Y10" s="194" t="n"/>
      <c r="Z10" s="194" t="n"/>
    </row>
    <row r="11" ht="15" customHeight="1" s="195">
      <c r="A11" s="381">
        <f>IF(AND('ENERO 2026'!D15&lt;&gt;"",'ENERO 2026'!Z15="POR RECOGER"),"ENE","")</f>
        <v/>
      </c>
      <c r="B11" s="381">
        <f>IF(AND('ENERO 2026'!D15&lt;&gt;"",'ENERO 2026'!Z15="POR RECOGER"),IF('ENERO 2026'!Y15&lt;&gt;"",'ENERO 2026'!Y15,'ENERO 2026'!I15),"")</f>
        <v/>
      </c>
      <c r="C11" s="381">
        <f>IF(AND('ENERO 2026'!D15&lt;&gt;"",'ENERO 2026'!Z15="POR RECOGER"),'ENERO 2026'!D15,"")</f>
        <v/>
      </c>
      <c r="D11" s="381">
        <f>IF(AND('ENERO 2026'!D15&lt;&gt;"",'ENERO 2026'!Z15="POR RECOGER"),'ENERO 2026'!F15,"")</f>
        <v/>
      </c>
      <c r="E11" s="381">
        <f>IF(AND('ENERO 2026'!D15&lt;&gt;"",'ENERO 2026'!Z15="POR RECOGER"),TEXT('ENERO 2026'!G15,"DD/MM/YYYY"),"")</f>
        <v/>
      </c>
      <c r="F11" s="381">
        <f>IF(AND('ENERO 2026'!D15&lt;&gt;"",'ENERO 2026'!Z15="POR RECOGER"),'ENERO 2026'!K15,"")</f>
        <v/>
      </c>
      <c r="G11" s="382">
        <f>IF(AND('ENERO 2026'!D15&lt;&gt;"",'ENERO 2026'!Z15="POR RECOGER"),'ENERO 2026'!M15,"")</f>
        <v/>
      </c>
      <c r="H11" s="382">
        <f>IF(AND('ENERO 2026'!D15&lt;&gt;"",'ENERO 2026'!Z15="POR RECOGER"),'ENERO 2026'!N15,"")</f>
        <v/>
      </c>
      <c r="I11" s="381">
        <f>IF(AND('ENERO 2026'!D15&lt;&gt;"",'ENERO 2026'!Z15="POR RECOGER"),'ENERO 2026'!P15,"")</f>
        <v/>
      </c>
      <c r="J11" s="381">
        <f>IF(AND('ENERO 2026'!D15&lt;&gt;"",'ENERO 2026'!Z15="POR RECOGER"),'ENERO 2026'!Q15,"")</f>
        <v/>
      </c>
      <c r="K11" s="381">
        <f>IF(AND('ENERO 2026'!D15&lt;&gt;"",'ENERO 2026'!Z15="POR RECOGER"),'ENERO 2026'!Y15,"")</f>
        <v/>
      </c>
      <c r="L11" s="381">
        <f>IF(AND('ENERO 2026'!D15&lt;&gt;"",'ENERO 2026'!Z15="POR RECOGER"),'ENERO 2026'!I15,"")</f>
        <v/>
      </c>
      <c r="O11" s="194" t="inlineStr">
        <is>
          <t>EL TRIUNFO</t>
        </is>
      </c>
      <c r="P11" s="194" t="n"/>
      <c r="Q11" s="194" t="n"/>
      <c r="R11" s="194" t="n"/>
      <c r="S11" s="194" t="n"/>
      <c r="T11" s="194" t="n"/>
      <c r="U11" s="194" t="n"/>
      <c r="V11" s="194" t="n"/>
      <c r="W11" s="194" t="n"/>
      <c r="X11" s="194" t="n"/>
      <c r="Y11" s="194" t="n"/>
      <c r="Z11" s="194" t="n"/>
    </row>
    <row r="12" ht="15" customHeight="1" s="195">
      <c r="A12" s="381">
        <f>IF(AND('ENERO 2026'!D16&lt;&gt;"",'ENERO 2026'!Z16="POR RECOGER"),"ENE","")</f>
        <v/>
      </c>
      <c r="B12" s="381">
        <f>IF(AND('ENERO 2026'!D16&lt;&gt;"",'ENERO 2026'!Z16="POR RECOGER"),IF('ENERO 2026'!Y16&lt;&gt;"",'ENERO 2026'!Y16,'ENERO 2026'!I16),"")</f>
        <v/>
      </c>
      <c r="C12" s="381">
        <f>IF(AND('ENERO 2026'!D16&lt;&gt;"",'ENERO 2026'!Z16="POR RECOGER"),'ENERO 2026'!D16,"")</f>
        <v/>
      </c>
      <c r="D12" s="381">
        <f>IF(AND('ENERO 2026'!D16&lt;&gt;"",'ENERO 2026'!Z16="POR RECOGER"),'ENERO 2026'!F16,"")</f>
        <v/>
      </c>
      <c r="E12" s="381">
        <f>IF(AND('ENERO 2026'!D16&lt;&gt;"",'ENERO 2026'!Z16="POR RECOGER"),TEXT('ENERO 2026'!G16,"DD/MM/YYYY"),"")</f>
        <v/>
      </c>
      <c r="F12" s="381">
        <f>IF(AND('ENERO 2026'!D16&lt;&gt;"",'ENERO 2026'!Z16="POR RECOGER"),'ENERO 2026'!K16,"")</f>
        <v/>
      </c>
      <c r="G12" s="382">
        <f>IF(AND('ENERO 2026'!D16&lt;&gt;"",'ENERO 2026'!Z16="POR RECOGER"),'ENERO 2026'!M16,"")</f>
        <v/>
      </c>
      <c r="H12" s="382">
        <f>IF(AND('ENERO 2026'!D16&lt;&gt;"",'ENERO 2026'!Z16="POR RECOGER"),'ENERO 2026'!N16,"")</f>
        <v/>
      </c>
      <c r="I12" s="381">
        <f>IF(AND('ENERO 2026'!D16&lt;&gt;"",'ENERO 2026'!Z16="POR RECOGER"),'ENERO 2026'!P16,"")</f>
        <v/>
      </c>
      <c r="J12" s="381">
        <f>IF(AND('ENERO 2026'!D16&lt;&gt;"",'ENERO 2026'!Z16="POR RECOGER"),'ENERO 2026'!Q16,"")</f>
        <v/>
      </c>
      <c r="K12" s="381">
        <f>IF(AND('ENERO 2026'!D16&lt;&gt;"",'ENERO 2026'!Z16="POR RECOGER"),'ENERO 2026'!Y16,"")</f>
        <v/>
      </c>
      <c r="L12" s="381">
        <f>IF(AND('ENERO 2026'!D16&lt;&gt;"",'ENERO 2026'!Z16="POR RECOGER"),'ENERO 2026'!I16,"")</f>
        <v/>
      </c>
      <c r="O12" s="194" t="inlineStr">
        <is>
          <t>GUADALUPE</t>
        </is>
      </c>
      <c r="P12" s="194" t="n"/>
      <c r="Q12" s="194" t="n"/>
      <c r="R12" s="194" t="n"/>
      <c r="S12" s="194" t="n"/>
      <c r="T12" s="194" t="n"/>
      <c r="U12" s="194" t="n"/>
      <c r="V12" s="194" t="n"/>
      <c r="W12" s="194" t="n"/>
      <c r="X12" s="194" t="n"/>
      <c r="Y12" s="194" t="n"/>
      <c r="Z12" s="194" t="n"/>
    </row>
    <row r="13" ht="15" customHeight="1" s="195">
      <c r="A13" s="381">
        <f>IF(AND('ENERO 2026'!D17&lt;&gt;"",'ENERO 2026'!Z17="POR RECOGER"),"ENE","")</f>
        <v/>
      </c>
      <c r="B13" s="381">
        <f>IF(AND('ENERO 2026'!D17&lt;&gt;"",'ENERO 2026'!Z17="POR RECOGER"),IF('ENERO 2026'!Y17&lt;&gt;"",'ENERO 2026'!Y17,'ENERO 2026'!I17),"")</f>
        <v/>
      </c>
      <c r="C13" s="381">
        <f>IF(AND('ENERO 2026'!D17&lt;&gt;"",'ENERO 2026'!Z17="POR RECOGER"),'ENERO 2026'!D17,"")</f>
        <v/>
      </c>
      <c r="D13" s="381">
        <f>IF(AND('ENERO 2026'!D17&lt;&gt;"",'ENERO 2026'!Z17="POR RECOGER"),'ENERO 2026'!F17,"")</f>
        <v/>
      </c>
      <c r="E13" s="381">
        <f>IF(AND('ENERO 2026'!D17&lt;&gt;"",'ENERO 2026'!Z17="POR RECOGER"),TEXT('ENERO 2026'!G17,"DD/MM/YYYY"),"")</f>
        <v/>
      </c>
      <c r="F13" s="381">
        <f>IF(AND('ENERO 2026'!D17&lt;&gt;"",'ENERO 2026'!Z17="POR RECOGER"),'ENERO 2026'!K17,"")</f>
        <v/>
      </c>
      <c r="G13" s="382">
        <f>IF(AND('ENERO 2026'!D17&lt;&gt;"",'ENERO 2026'!Z17="POR RECOGER"),'ENERO 2026'!M17,"")</f>
        <v/>
      </c>
      <c r="H13" s="382">
        <f>IF(AND('ENERO 2026'!D17&lt;&gt;"",'ENERO 2026'!Z17="POR RECOGER"),'ENERO 2026'!N17,"")</f>
        <v/>
      </c>
      <c r="I13" s="381">
        <f>IF(AND('ENERO 2026'!D17&lt;&gt;"",'ENERO 2026'!Z17="POR RECOGER"),'ENERO 2026'!P17,"")</f>
        <v/>
      </c>
      <c r="J13" s="381">
        <f>IF(AND('ENERO 2026'!D17&lt;&gt;"",'ENERO 2026'!Z17="POR RECOGER"),'ENERO 2026'!Q17,"")</f>
        <v/>
      </c>
      <c r="K13" s="381">
        <f>IF(AND('ENERO 2026'!D17&lt;&gt;"",'ENERO 2026'!Z17="POR RECOGER"),'ENERO 2026'!Y17,"")</f>
        <v/>
      </c>
      <c r="L13" s="381">
        <f>IF(AND('ENERO 2026'!D17&lt;&gt;"",'ENERO 2026'!Z17="POR RECOGER"),'ENERO 2026'!I17,"")</f>
        <v/>
      </c>
      <c r="O13" s="194" t="inlineStr">
        <is>
          <t>HUAMBO</t>
        </is>
      </c>
      <c r="P13" s="194" t="n"/>
      <c r="Q13" s="194" t="n"/>
      <c r="R13" s="194" t="n"/>
      <c r="S13" s="194" t="n"/>
      <c r="T13" s="194" t="n"/>
      <c r="U13" s="194" t="n"/>
      <c r="V13" s="194" t="n"/>
      <c r="W13" s="194" t="n"/>
      <c r="X13" s="194" t="n"/>
      <c r="Y13" s="194" t="n"/>
      <c r="Z13" s="194" t="n"/>
    </row>
    <row r="14" ht="15" customHeight="1" s="195">
      <c r="A14" s="381">
        <f>IF(AND('ENERO 2026'!D18&lt;&gt;"",'ENERO 2026'!Z18="POR RECOGER"),"ENE","")</f>
        <v/>
      </c>
      <c r="B14" s="381">
        <f>IF(AND('ENERO 2026'!D18&lt;&gt;"",'ENERO 2026'!Z18="POR RECOGER"),IF('ENERO 2026'!Y18&lt;&gt;"",'ENERO 2026'!Y18,'ENERO 2026'!I18),"")</f>
        <v/>
      </c>
      <c r="C14" s="381">
        <f>IF(AND('ENERO 2026'!D18&lt;&gt;"",'ENERO 2026'!Z18="POR RECOGER"),'ENERO 2026'!D18,"")</f>
        <v/>
      </c>
      <c r="D14" s="381">
        <f>IF(AND('ENERO 2026'!D18&lt;&gt;"",'ENERO 2026'!Z18="POR RECOGER"),'ENERO 2026'!F18,"")</f>
        <v/>
      </c>
      <c r="E14" s="381">
        <f>IF(AND('ENERO 2026'!D18&lt;&gt;"",'ENERO 2026'!Z18="POR RECOGER"),TEXT('ENERO 2026'!G18,"DD/MM/YYYY"),"")</f>
        <v/>
      </c>
      <c r="F14" s="381">
        <f>IF(AND('ENERO 2026'!D18&lt;&gt;"",'ENERO 2026'!Z18="POR RECOGER"),'ENERO 2026'!K18,"")</f>
        <v/>
      </c>
      <c r="G14" s="382">
        <f>IF(AND('ENERO 2026'!D18&lt;&gt;"",'ENERO 2026'!Z18="POR RECOGER"),'ENERO 2026'!M18,"")</f>
        <v/>
      </c>
      <c r="H14" s="382">
        <f>IF(AND('ENERO 2026'!D18&lt;&gt;"",'ENERO 2026'!Z18="POR RECOGER"),'ENERO 2026'!N18,"")</f>
        <v/>
      </c>
      <c r="I14" s="381">
        <f>IF(AND('ENERO 2026'!D18&lt;&gt;"",'ENERO 2026'!Z18="POR RECOGER"),'ENERO 2026'!P18,"")</f>
        <v/>
      </c>
      <c r="J14" s="381">
        <f>IF(AND('ENERO 2026'!D18&lt;&gt;"",'ENERO 2026'!Z18="POR RECOGER"),'ENERO 2026'!Q18,"")</f>
        <v/>
      </c>
      <c r="K14" s="381">
        <f>IF(AND('ENERO 2026'!D18&lt;&gt;"",'ENERO 2026'!Z18="POR RECOGER"),'ENERO 2026'!Y18,"")</f>
        <v/>
      </c>
      <c r="L14" s="381">
        <f>IF(AND('ENERO 2026'!D18&lt;&gt;"",'ENERO 2026'!Z18="POR RECOGER"),'ENERO 2026'!I18,"")</f>
        <v/>
      </c>
      <c r="O14" s="194" t="inlineStr">
        <is>
          <t>JALCA GRANDE</t>
        </is>
      </c>
      <c r="P14" s="194" t="n"/>
      <c r="Q14" s="194" t="n"/>
      <c r="R14" s="194" t="n"/>
      <c r="S14" s="194" t="n"/>
      <c r="T14" s="194" t="n"/>
      <c r="U14" s="194" t="n"/>
      <c r="V14" s="194" t="n"/>
      <c r="W14" s="194" t="n"/>
      <c r="X14" s="194" t="n"/>
      <c r="Y14" s="194" t="n"/>
      <c r="Z14" s="194" t="n"/>
    </row>
    <row r="15" ht="15" customHeight="1" s="195">
      <c r="A15" s="381">
        <f>IF(AND('ENERO 2026'!D19&lt;&gt;"",'ENERO 2026'!Z19="POR RECOGER"),"ENE","")</f>
        <v/>
      </c>
      <c r="B15" s="381">
        <f>IF(AND('ENERO 2026'!D19&lt;&gt;"",'ENERO 2026'!Z19="POR RECOGER"),IF('ENERO 2026'!Y19&lt;&gt;"",'ENERO 2026'!Y19,'ENERO 2026'!I19),"")</f>
        <v/>
      </c>
      <c r="C15" s="381">
        <f>IF(AND('ENERO 2026'!D19&lt;&gt;"",'ENERO 2026'!Z19="POR RECOGER"),'ENERO 2026'!D19,"")</f>
        <v/>
      </c>
      <c r="D15" s="381">
        <f>IF(AND('ENERO 2026'!D19&lt;&gt;"",'ENERO 2026'!Z19="POR RECOGER"),'ENERO 2026'!F19,"")</f>
        <v/>
      </c>
      <c r="E15" s="381">
        <f>IF(AND('ENERO 2026'!D19&lt;&gt;"",'ENERO 2026'!Z19="POR RECOGER"),TEXT('ENERO 2026'!G19,"DD/MM/YYYY"),"")</f>
        <v/>
      </c>
      <c r="F15" s="381">
        <f>IF(AND('ENERO 2026'!D19&lt;&gt;"",'ENERO 2026'!Z19="POR RECOGER"),'ENERO 2026'!K19,"")</f>
        <v/>
      </c>
      <c r="G15" s="382">
        <f>IF(AND('ENERO 2026'!D19&lt;&gt;"",'ENERO 2026'!Z19="POR RECOGER"),'ENERO 2026'!M19,"")</f>
        <v/>
      </c>
      <c r="H15" s="382">
        <f>IF(AND('ENERO 2026'!D19&lt;&gt;"",'ENERO 2026'!Z19="POR RECOGER"),'ENERO 2026'!N19,"")</f>
        <v/>
      </c>
      <c r="I15" s="381">
        <f>IF(AND('ENERO 2026'!D19&lt;&gt;"",'ENERO 2026'!Z19="POR RECOGER"),'ENERO 2026'!P19,"")</f>
        <v/>
      </c>
      <c r="J15" s="381">
        <f>IF(AND('ENERO 2026'!D19&lt;&gt;"",'ENERO 2026'!Z19="POR RECOGER"),'ENERO 2026'!Q19,"")</f>
        <v/>
      </c>
      <c r="K15" s="381">
        <f>IF(AND('ENERO 2026'!D19&lt;&gt;"",'ENERO 2026'!Z19="POR RECOGER"),'ENERO 2026'!Y19,"")</f>
        <v/>
      </c>
      <c r="L15" s="381">
        <f>IF(AND('ENERO 2026'!D19&lt;&gt;"",'ENERO 2026'!Z19="POR RECOGER"),'ENERO 2026'!I19,"")</f>
        <v/>
      </c>
      <c r="O15" s="194" t="inlineStr">
        <is>
          <t>JUMBILLA</t>
        </is>
      </c>
      <c r="P15" s="194" t="n"/>
      <c r="Q15" s="194" t="n"/>
      <c r="R15" s="194" t="n"/>
      <c r="S15" s="194" t="n"/>
      <c r="T15" s="194" t="n"/>
      <c r="U15" s="194" t="n"/>
      <c r="V15" s="194" t="n"/>
      <c r="W15" s="194" t="n"/>
      <c r="X15" s="194" t="n"/>
      <c r="Y15" s="194" t="n"/>
      <c r="Z15" s="194" t="n"/>
    </row>
    <row r="16" ht="15" customHeight="1" s="195">
      <c r="A16" s="381">
        <f>IF(AND('ENERO 2026'!D20&lt;&gt;"",'ENERO 2026'!Z20="POR RECOGER"),"ENE","")</f>
        <v/>
      </c>
      <c r="B16" s="381">
        <f>IF(AND('ENERO 2026'!D20&lt;&gt;"",'ENERO 2026'!Z20="POR RECOGER"),IF('ENERO 2026'!Y20&lt;&gt;"",'ENERO 2026'!Y20,'ENERO 2026'!I20),"")</f>
        <v/>
      </c>
      <c r="C16" s="381">
        <f>IF(AND('ENERO 2026'!D20&lt;&gt;"",'ENERO 2026'!Z20="POR RECOGER"),'ENERO 2026'!D20,"")</f>
        <v/>
      </c>
      <c r="D16" s="381">
        <f>IF(AND('ENERO 2026'!D20&lt;&gt;"",'ENERO 2026'!Z20="POR RECOGER"),'ENERO 2026'!F20,"")</f>
        <v/>
      </c>
      <c r="E16" s="381">
        <f>IF(AND('ENERO 2026'!D20&lt;&gt;"",'ENERO 2026'!Z20="POR RECOGER"),TEXT('ENERO 2026'!G20,"DD/MM/YYYY"),"")</f>
        <v/>
      </c>
      <c r="F16" s="381">
        <f>IF(AND('ENERO 2026'!D20&lt;&gt;"",'ENERO 2026'!Z20="POR RECOGER"),'ENERO 2026'!K20,"")</f>
        <v/>
      </c>
      <c r="G16" s="382">
        <f>IF(AND('ENERO 2026'!D20&lt;&gt;"",'ENERO 2026'!Z20="POR RECOGER"),'ENERO 2026'!M20,"")</f>
        <v/>
      </c>
      <c r="H16" s="382">
        <f>IF(AND('ENERO 2026'!D20&lt;&gt;"",'ENERO 2026'!Z20="POR RECOGER"),'ENERO 2026'!N20,"")</f>
        <v/>
      </c>
      <c r="I16" s="381">
        <f>IF(AND('ENERO 2026'!D20&lt;&gt;"",'ENERO 2026'!Z20="POR RECOGER"),'ENERO 2026'!P20,"")</f>
        <v/>
      </c>
      <c r="J16" s="381">
        <f>IF(AND('ENERO 2026'!D20&lt;&gt;"",'ENERO 2026'!Z20="POR RECOGER"),'ENERO 2026'!Q20,"")</f>
        <v/>
      </c>
      <c r="K16" s="381">
        <f>IF(AND('ENERO 2026'!D20&lt;&gt;"",'ENERO 2026'!Z20="POR RECOGER"),'ENERO 2026'!Y20,"")</f>
        <v/>
      </c>
      <c r="L16" s="381">
        <f>IF(AND('ENERO 2026'!D20&lt;&gt;"",'ENERO 2026'!Z20="POR RECOGER"),'ENERO 2026'!I20,"")</f>
        <v/>
      </c>
      <c r="O16" s="194" t="inlineStr">
        <is>
          <t>LAMUD</t>
        </is>
      </c>
      <c r="P16" s="194" t="n"/>
      <c r="Q16" s="194" t="n"/>
      <c r="R16" s="194" t="n"/>
      <c r="S16" s="194" t="n"/>
      <c r="T16" s="194" t="n"/>
      <c r="U16" s="194" t="n"/>
      <c r="V16" s="194" t="n"/>
      <c r="W16" s="194" t="n"/>
      <c r="X16" s="194" t="n"/>
      <c r="Y16" s="194" t="n"/>
      <c r="Z16" s="194" t="n"/>
    </row>
    <row r="17" ht="15" customHeight="1" s="195">
      <c r="A17" s="381">
        <f>IF(AND('ENERO 2026'!D21&lt;&gt;"",'ENERO 2026'!Z21="POR RECOGER"),"ENE","")</f>
        <v/>
      </c>
      <c r="B17" s="381">
        <f>IF(AND('ENERO 2026'!D21&lt;&gt;"",'ENERO 2026'!Z21="POR RECOGER"),IF('ENERO 2026'!Y21&lt;&gt;"",'ENERO 2026'!Y21,'ENERO 2026'!I21),"")</f>
        <v/>
      </c>
      <c r="C17" s="381">
        <f>IF(AND('ENERO 2026'!D21&lt;&gt;"",'ENERO 2026'!Z21="POR RECOGER"),'ENERO 2026'!D21,"")</f>
        <v/>
      </c>
      <c r="D17" s="381">
        <f>IF(AND('ENERO 2026'!D21&lt;&gt;"",'ENERO 2026'!Z21="POR RECOGER"),'ENERO 2026'!F21,"")</f>
        <v/>
      </c>
      <c r="E17" s="381">
        <f>IF(AND('ENERO 2026'!D21&lt;&gt;"",'ENERO 2026'!Z21="POR RECOGER"),TEXT('ENERO 2026'!G21,"DD/MM/YYYY"),"")</f>
        <v/>
      </c>
      <c r="F17" s="381">
        <f>IF(AND('ENERO 2026'!D21&lt;&gt;"",'ENERO 2026'!Z21="POR RECOGER"),'ENERO 2026'!K21,"")</f>
        <v/>
      </c>
      <c r="G17" s="382">
        <f>IF(AND('ENERO 2026'!D21&lt;&gt;"",'ENERO 2026'!Z21="POR RECOGER"),'ENERO 2026'!M21,"")</f>
        <v/>
      </c>
      <c r="H17" s="382">
        <f>IF(AND('ENERO 2026'!D21&lt;&gt;"",'ENERO 2026'!Z21="POR RECOGER"),'ENERO 2026'!N21,"")</f>
        <v/>
      </c>
      <c r="I17" s="381">
        <f>IF(AND('ENERO 2026'!D21&lt;&gt;"",'ENERO 2026'!Z21="POR RECOGER"),'ENERO 2026'!P21,"")</f>
        <v/>
      </c>
      <c r="J17" s="381">
        <f>IF(AND('ENERO 2026'!D21&lt;&gt;"",'ENERO 2026'!Z21="POR RECOGER"),'ENERO 2026'!Q21,"")</f>
        <v/>
      </c>
      <c r="K17" s="381">
        <f>IF(AND('ENERO 2026'!D21&lt;&gt;"",'ENERO 2026'!Z21="POR RECOGER"),'ENERO 2026'!Y21,"")</f>
        <v/>
      </c>
      <c r="L17" s="381">
        <f>IF(AND('ENERO 2026'!D21&lt;&gt;"",'ENERO 2026'!Z21="POR RECOGER"),'ENERO 2026'!I21,"")</f>
        <v/>
      </c>
      <c r="O17" s="194" t="inlineStr">
        <is>
          <t>LEYMEBAMBA</t>
        </is>
      </c>
      <c r="P17" s="194" t="n"/>
      <c r="Q17" s="194" t="n"/>
      <c r="R17" s="194" t="n"/>
      <c r="S17" s="194" t="n"/>
      <c r="T17" s="194" t="n"/>
      <c r="U17" s="194" t="n"/>
      <c r="V17" s="194" t="n"/>
      <c r="W17" s="194" t="n"/>
      <c r="X17" s="194" t="n"/>
      <c r="Y17" s="194" t="n"/>
      <c r="Z17" s="194" t="n"/>
    </row>
    <row r="18" ht="15" customHeight="1" s="195">
      <c r="A18" s="381">
        <f>IF(AND('ENERO 2026'!D22&lt;&gt;"",'ENERO 2026'!Z22="POR RECOGER"),"ENE","")</f>
        <v/>
      </c>
      <c r="B18" s="381">
        <f>IF(AND('ENERO 2026'!D22&lt;&gt;"",'ENERO 2026'!Z22="POR RECOGER"),IF('ENERO 2026'!Y22&lt;&gt;"",'ENERO 2026'!Y22,'ENERO 2026'!I22),"")</f>
        <v/>
      </c>
      <c r="C18" s="381">
        <f>IF(AND('ENERO 2026'!D22&lt;&gt;"",'ENERO 2026'!Z22="POR RECOGER"),'ENERO 2026'!D22,"")</f>
        <v/>
      </c>
      <c r="D18" s="381">
        <f>IF(AND('ENERO 2026'!D22&lt;&gt;"",'ENERO 2026'!Z22="POR RECOGER"),'ENERO 2026'!F22,"")</f>
        <v/>
      </c>
      <c r="E18" s="381">
        <f>IF(AND('ENERO 2026'!D22&lt;&gt;"",'ENERO 2026'!Z22="POR RECOGER"),TEXT('ENERO 2026'!G22,"DD/MM/YYYY"),"")</f>
        <v/>
      </c>
      <c r="F18" s="381">
        <f>IF(AND('ENERO 2026'!D22&lt;&gt;"",'ENERO 2026'!Z22="POR RECOGER"),'ENERO 2026'!K22,"")</f>
        <v/>
      </c>
      <c r="G18" s="382">
        <f>IF(AND('ENERO 2026'!D22&lt;&gt;"",'ENERO 2026'!Z22="POR RECOGER"),'ENERO 2026'!M22,"")</f>
        <v/>
      </c>
      <c r="H18" s="382">
        <f>IF(AND('ENERO 2026'!D22&lt;&gt;"",'ENERO 2026'!Z22="POR RECOGER"),'ENERO 2026'!N22,"")</f>
        <v/>
      </c>
      <c r="I18" s="381">
        <f>IF(AND('ENERO 2026'!D22&lt;&gt;"",'ENERO 2026'!Z22="POR RECOGER"),'ENERO 2026'!P22,"")</f>
        <v/>
      </c>
      <c r="J18" s="381">
        <f>IF(AND('ENERO 2026'!D22&lt;&gt;"",'ENERO 2026'!Z22="POR RECOGER"),'ENERO 2026'!Q22,"")</f>
        <v/>
      </c>
      <c r="K18" s="381">
        <f>IF(AND('ENERO 2026'!D22&lt;&gt;"",'ENERO 2026'!Z22="POR RECOGER"),'ENERO 2026'!Y22,"")</f>
        <v/>
      </c>
      <c r="L18" s="381">
        <f>IF(AND('ENERO 2026'!D22&lt;&gt;"",'ENERO 2026'!Z22="POR RECOGER"),'ENERO 2026'!I22,"")</f>
        <v/>
      </c>
      <c r="O18" s="194" t="inlineStr">
        <is>
          <t>LIMABAMBA</t>
        </is>
      </c>
      <c r="P18" s="194" t="n"/>
      <c r="Q18" s="194" t="n"/>
      <c r="R18" s="194" t="n"/>
      <c r="S18" s="194" t="n"/>
      <c r="T18" s="194" t="n"/>
      <c r="U18" s="194" t="n"/>
      <c r="V18" s="194" t="n"/>
      <c r="W18" s="194" t="n"/>
      <c r="X18" s="194" t="n"/>
      <c r="Y18" s="194" t="n"/>
      <c r="Z18" s="194" t="n"/>
    </row>
    <row r="19" ht="15" customHeight="1" s="195">
      <c r="A19" s="381">
        <f>IF(AND('ENERO 2026'!D23&lt;&gt;"",'ENERO 2026'!Z23="POR RECOGER"),"ENE","")</f>
        <v/>
      </c>
      <c r="B19" s="381">
        <f>IF(AND('ENERO 2026'!D23&lt;&gt;"",'ENERO 2026'!Z23="POR RECOGER"),IF('ENERO 2026'!Y23&lt;&gt;"",'ENERO 2026'!Y23,'ENERO 2026'!I23),"")</f>
        <v/>
      </c>
      <c r="C19" s="381">
        <f>IF(AND('ENERO 2026'!D23&lt;&gt;"",'ENERO 2026'!Z23="POR RECOGER"),'ENERO 2026'!D23,"")</f>
        <v/>
      </c>
      <c r="D19" s="381">
        <f>IF(AND('ENERO 2026'!D23&lt;&gt;"",'ENERO 2026'!Z23="POR RECOGER"),'ENERO 2026'!F23,"")</f>
        <v/>
      </c>
      <c r="E19" s="381">
        <f>IF(AND('ENERO 2026'!D23&lt;&gt;"",'ENERO 2026'!Z23="POR RECOGER"),TEXT('ENERO 2026'!G23,"DD/MM/YYYY"),"")</f>
        <v/>
      </c>
      <c r="F19" s="381">
        <f>IF(AND('ENERO 2026'!D23&lt;&gt;"",'ENERO 2026'!Z23="POR RECOGER"),'ENERO 2026'!K23,"")</f>
        <v/>
      </c>
      <c r="G19" s="382">
        <f>IF(AND('ENERO 2026'!D23&lt;&gt;"",'ENERO 2026'!Z23="POR RECOGER"),'ENERO 2026'!M23,"")</f>
        <v/>
      </c>
      <c r="H19" s="382">
        <f>IF(AND('ENERO 2026'!D23&lt;&gt;"",'ENERO 2026'!Z23="POR RECOGER"),'ENERO 2026'!N23,"")</f>
        <v/>
      </c>
      <c r="I19" s="381">
        <f>IF(AND('ENERO 2026'!D23&lt;&gt;"",'ENERO 2026'!Z23="POR RECOGER"),'ENERO 2026'!P23,"")</f>
        <v/>
      </c>
      <c r="J19" s="381">
        <f>IF(AND('ENERO 2026'!D23&lt;&gt;"",'ENERO 2026'!Z23="POR RECOGER"),'ENERO 2026'!Q23,"")</f>
        <v/>
      </c>
      <c r="K19" s="381">
        <f>IF(AND('ENERO 2026'!D23&lt;&gt;"",'ENERO 2026'!Z23="POR RECOGER"),'ENERO 2026'!Y23,"")</f>
        <v/>
      </c>
      <c r="L19" s="381">
        <f>IF(AND('ENERO 2026'!D23&lt;&gt;"",'ENERO 2026'!Z23="POR RECOGER"),'ENERO 2026'!I23,"")</f>
        <v/>
      </c>
      <c r="O19" s="194" t="inlineStr">
        <is>
          <t>LLACTAPAMPA</t>
        </is>
      </c>
      <c r="P19" s="194" t="n"/>
      <c r="Q19" s="194" t="n"/>
      <c r="R19" s="194" t="n"/>
      <c r="S19" s="194" t="n"/>
      <c r="T19" s="194" t="n"/>
      <c r="U19" s="194" t="n"/>
      <c r="V19" s="194" t="n"/>
      <c r="W19" s="194" t="n"/>
      <c r="X19" s="194" t="n"/>
      <c r="Y19" s="194" t="n"/>
      <c r="Z19" s="194" t="n"/>
    </row>
    <row r="20" ht="15" customHeight="1" s="195">
      <c r="A20" s="381">
        <f>IF(AND('ENERO 2026'!D24&lt;&gt;"",'ENERO 2026'!Z24="POR RECOGER"),"ENE","")</f>
        <v/>
      </c>
      <c r="B20" s="381">
        <f>IF(AND('ENERO 2026'!D24&lt;&gt;"",'ENERO 2026'!Z24="POR RECOGER"),IF('ENERO 2026'!Y24&lt;&gt;"",'ENERO 2026'!Y24,'ENERO 2026'!I24),"")</f>
        <v/>
      </c>
      <c r="C20" s="381">
        <f>IF(AND('ENERO 2026'!D24&lt;&gt;"",'ENERO 2026'!Z24="POR RECOGER"),'ENERO 2026'!D24,"")</f>
        <v/>
      </c>
      <c r="D20" s="381">
        <f>IF(AND('ENERO 2026'!D24&lt;&gt;"",'ENERO 2026'!Z24="POR RECOGER"),'ENERO 2026'!F24,"")</f>
        <v/>
      </c>
      <c r="E20" s="381">
        <f>IF(AND('ENERO 2026'!D24&lt;&gt;"",'ENERO 2026'!Z24="POR RECOGER"),TEXT('ENERO 2026'!G24,"DD/MM/YYYY"),"")</f>
        <v/>
      </c>
      <c r="F20" s="381">
        <f>IF(AND('ENERO 2026'!D24&lt;&gt;"",'ENERO 2026'!Z24="POR RECOGER"),'ENERO 2026'!K24,"")</f>
        <v/>
      </c>
      <c r="G20" s="382">
        <f>IF(AND('ENERO 2026'!D24&lt;&gt;"",'ENERO 2026'!Z24="POR RECOGER"),'ENERO 2026'!M24,"")</f>
        <v/>
      </c>
      <c r="H20" s="382">
        <f>IF(AND('ENERO 2026'!D24&lt;&gt;"",'ENERO 2026'!Z24="POR RECOGER"),'ENERO 2026'!N24,"")</f>
        <v/>
      </c>
      <c r="I20" s="381">
        <f>IF(AND('ENERO 2026'!D24&lt;&gt;"",'ENERO 2026'!Z24="POR RECOGER"),'ENERO 2026'!P24,"")</f>
        <v/>
      </c>
      <c r="J20" s="381">
        <f>IF(AND('ENERO 2026'!D24&lt;&gt;"",'ENERO 2026'!Z24="POR RECOGER"),'ENERO 2026'!Q24,"")</f>
        <v/>
      </c>
      <c r="K20" s="381">
        <f>IF(AND('ENERO 2026'!D24&lt;&gt;"",'ENERO 2026'!Z24="POR RECOGER"),'ENERO 2026'!Y24,"")</f>
        <v/>
      </c>
      <c r="L20" s="381">
        <f>IF(AND('ENERO 2026'!D24&lt;&gt;"",'ENERO 2026'!Z24="POR RECOGER"),'ENERO 2026'!I24,"")</f>
        <v/>
      </c>
      <c r="O20" s="194" t="inlineStr">
        <is>
          <t>LUYA</t>
        </is>
      </c>
      <c r="P20" s="194" t="n"/>
      <c r="Q20" s="194" t="n"/>
      <c r="R20" s="194" t="n"/>
      <c r="S20" s="194" t="n"/>
      <c r="T20" s="194" t="n"/>
      <c r="U20" s="194" t="n"/>
      <c r="V20" s="194" t="n"/>
      <c r="W20" s="194" t="n"/>
      <c r="X20" s="194" t="n"/>
      <c r="Y20" s="194" t="n"/>
      <c r="Z20" s="194" t="n"/>
    </row>
    <row r="21" ht="15" customHeight="1" s="195">
      <c r="A21" s="381">
        <f>IF(AND('ENERO 2026'!D25&lt;&gt;"",'ENERO 2026'!Z25="POR RECOGER"),"ENE","")</f>
        <v/>
      </c>
      <c r="B21" s="381">
        <f>IF(AND('ENERO 2026'!D25&lt;&gt;"",'ENERO 2026'!Z25="POR RECOGER"),IF('ENERO 2026'!Y25&lt;&gt;"",'ENERO 2026'!Y25,'ENERO 2026'!I25),"")</f>
        <v/>
      </c>
      <c r="C21" s="381">
        <f>IF(AND('ENERO 2026'!D25&lt;&gt;"",'ENERO 2026'!Z25="POR RECOGER"),'ENERO 2026'!D25,"")</f>
        <v/>
      </c>
      <c r="D21" s="381">
        <f>IF(AND('ENERO 2026'!D25&lt;&gt;"",'ENERO 2026'!Z25="POR RECOGER"),'ENERO 2026'!F25,"")</f>
        <v/>
      </c>
      <c r="E21" s="381">
        <f>IF(AND('ENERO 2026'!D25&lt;&gt;"",'ENERO 2026'!Z25="POR RECOGER"),TEXT('ENERO 2026'!G25,"DD/MM/YYYY"),"")</f>
        <v/>
      </c>
      <c r="F21" s="381">
        <f>IF(AND('ENERO 2026'!D25&lt;&gt;"",'ENERO 2026'!Z25="POR RECOGER"),'ENERO 2026'!K25,"")</f>
        <v/>
      </c>
      <c r="G21" s="382">
        <f>IF(AND('ENERO 2026'!D25&lt;&gt;"",'ENERO 2026'!Z25="POR RECOGER"),'ENERO 2026'!M25,"")</f>
        <v/>
      </c>
      <c r="H21" s="382">
        <f>IF(AND('ENERO 2026'!D25&lt;&gt;"",'ENERO 2026'!Z25="POR RECOGER"),'ENERO 2026'!N25,"")</f>
        <v/>
      </c>
      <c r="I21" s="381">
        <f>IF(AND('ENERO 2026'!D25&lt;&gt;"",'ENERO 2026'!Z25="POR RECOGER"),'ENERO 2026'!P25,"")</f>
        <v/>
      </c>
      <c r="J21" s="381">
        <f>IF(AND('ENERO 2026'!D25&lt;&gt;"",'ENERO 2026'!Z25="POR RECOGER"),'ENERO 2026'!Q25,"")</f>
        <v/>
      </c>
      <c r="K21" s="381">
        <f>IF(AND('ENERO 2026'!D25&lt;&gt;"",'ENERO 2026'!Z25="POR RECOGER"),'ENERO 2026'!Y25,"")</f>
        <v/>
      </c>
      <c r="L21" s="381">
        <f>IF(AND('ENERO 2026'!D25&lt;&gt;"",'ENERO 2026'!Z25="POR RECOGER"),'ENERO 2026'!I25,"")</f>
        <v/>
      </c>
      <c r="O21" s="194" t="inlineStr">
        <is>
          <t>MARIA</t>
        </is>
      </c>
      <c r="P21" s="194" t="n"/>
      <c r="Q21" s="194" t="n"/>
      <c r="R21" s="194" t="n"/>
      <c r="S21" s="194" t="n"/>
      <c r="T21" s="194" t="n"/>
      <c r="U21" s="194" t="n"/>
      <c r="V21" s="194" t="n"/>
      <c r="W21" s="194" t="n"/>
      <c r="X21" s="194" t="n"/>
      <c r="Y21" s="194" t="n"/>
      <c r="Z21" s="194" t="n"/>
    </row>
    <row r="22" ht="15" customHeight="1" s="195">
      <c r="A22" s="381">
        <f>IF(AND('ENERO 2026'!D26&lt;&gt;"",'ENERO 2026'!Z26="POR RECOGER"),"ENE","")</f>
        <v/>
      </c>
      <c r="B22" s="381">
        <f>IF(AND('ENERO 2026'!D26&lt;&gt;"",'ENERO 2026'!Z26="POR RECOGER"),IF('ENERO 2026'!Y26&lt;&gt;"",'ENERO 2026'!Y26,'ENERO 2026'!I26),"")</f>
        <v/>
      </c>
      <c r="C22" s="381">
        <f>IF(AND('ENERO 2026'!D26&lt;&gt;"",'ENERO 2026'!Z26="POR RECOGER"),'ENERO 2026'!D26,"")</f>
        <v/>
      </c>
      <c r="D22" s="381">
        <f>IF(AND('ENERO 2026'!D26&lt;&gt;"",'ENERO 2026'!Z26="POR RECOGER"),'ENERO 2026'!F26,"")</f>
        <v/>
      </c>
      <c r="E22" s="381">
        <f>IF(AND('ENERO 2026'!D26&lt;&gt;"",'ENERO 2026'!Z26="POR RECOGER"),TEXT('ENERO 2026'!G26,"DD/MM/YYYY"),"")</f>
        <v/>
      </c>
      <c r="F22" s="381">
        <f>IF(AND('ENERO 2026'!D26&lt;&gt;"",'ENERO 2026'!Z26="POR RECOGER"),'ENERO 2026'!K26,"")</f>
        <v/>
      </c>
      <c r="G22" s="382">
        <f>IF(AND('ENERO 2026'!D26&lt;&gt;"",'ENERO 2026'!Z26="POR RECOGER"),'ENERO 2026'!M26,"")</f>
        <v/>
      </c>
      <c r="H22" s="382">
        <f>IF(AND('ENERO 2026'!D26&lt;&gt;"",'ENERO 2026'!Z26="POR RECOGER"),'ENERO 2026'!N26,"")</f>
        <v/>
      </c>
      <c r="I22" s="381">
        <f>IF(AND('ENERO 2026'!D26&lt;&gt;"",'ENERO 2026'!Z26="POR RECOGER"),'ENERO 2026'!P26,"")</f>
        <v/>
      </c>
      <c r="J22" s="381">
        <f>IF(AND('ENERO 2026'!D26&lt;&gt;"",'ENERO 2026'!Z26="POR RECOGER"),'ENERO 2026'!Q26,"")</f>
        <v/>
      </c>
      <c r="K22" s="381">
        <f>IF(AND('ENERO 2026'!D26&lt;&gt;"",'ENERO 2026'!Z26="POR RECOGER"),'ENERO 2026'!Y26,"")</f>
        <v/>
      </c>
      <c r="L22" s="381">
        <f>IF(AND('ENERO 2026'!D26&lt;&gt;"",'ENERO 2026'!Z26="POR RECOGER"),'ENERO 2026'!I26,"")</f>
        <v/>
      </c>
      <c r="O22" s="194" t="inlineStr">
        <is>
          <t>MARIA AUXILIADORA</t>
        </is>
      </c>
      <c r="P22" s="194" t="n"/>
      <c r="Q22" s="194" t="n"/>
      <c r="R22" s="194" t="n"/>
      <c r="S22" s="194" t="n"/>
      <c r="T22" s="194" t="n"/>
      <c r="U22" s="194" t="n"/>
      <c r="V22" s="194" t="n"/>
      <c r="W22" s="194" t="n"/>
      <c r="X22" s="194" t="n"/>
      <c r="Y22" s="194" t="n"/>
      <c r="Z22" s="194" t="n"/>
    </row>
    <row r="23" ht="15" customHeight="1" s="195">
      <c r="A23" s="381">
        <f>IF(AND('ENERO 2026'!D27&lt;&gt;"",'ENERO 2026'!Z27="POR RECOGER"),"ENE","")</f>
        <v/>
      </c>
      <c r="B23" s="381">
        <f>IF(AND('ENERO 2026'!D27&lt;&gt;"",'ENERO 2026'!Z27="POR RECOGER"),IF('ENERO 2026'!Y27&lt;&gt;"",'ENERO 2026'!Y27,'ENERO 2026'!I27),"")</f>
        <v/>
      </c>
      <c r="C23" s="381">
        <f>IF(AND('ENERO 2026'!D27&lt;&gt;"",'ENERO 2026'!Z27="POR RECOGER"),'ENERO 2026'!D27,"")</f>
        <v/>
      </c>
      <c r="D23" s="381">
        <f>IF(AND('ENERO 2026'!D27&lt;&gt;"",'ENERO 2026'!Z27="POR RECOGER"),'ENERO 2026'!F27,"")</f>
        <v/>
      </c>
      <c r="E23" s="381">
        <f>IF(AND('ENERO 2026'!D27&lt;&gt;"",'ENERO 2026'!Z27="POR RECOGER"),TEXT('ENERO 2026'!G27,"DD/MM/YYYY"),"")</f>
        <v/>
      </c>
      <c r="F23" s="381">
        <f>IF(AND('ENERO 2026'!D27&lt;&gt;"",'ENERO 2026'!Z27="POR RECOGER"),'ENERO 2026'!K27,"")</f>
        <v/>
      </c>
      <c r="G23" s="382">
        <f>IF(AND('ENERO 2026'!D27&lt;&gt;"",'ENERO 2026'!Z27="POR RECOGER"),'ENERO 2026'!M27,"")</f>
        <v/>
      </c>
      <c r="H23" s="382">
        <f>IF(AND('ENERO 2026'!D27&lt;&gt;"",'ENERO 2026'!Z27="POR RECOGER"),'ENERO 2026'!N27,"")</f>
        <v/>
      </c>
      <c r="I23" s="381">
        <f>IF(AND('ENERO 2026'!D27&lt;&gt;"",'ENERO 2026'!Z27="POR RECOGER"),'ENERO 2026'!P27,"")</f>
        <v/>
      </c>
      <c r="J23" s="381">
        <f>IF(AND('ENERO 2026'!D27&lt;&gt;"",'ENERO 2026'!Z27="POR RECOGER"),'ENERO 2026'!Q27,"")</f>
        <v/>
      </c>
      <c r="K23" s="381">
        <f>IF(AND('ENERO 2026'!D27&lt;&gt;"",'ENERO 2026'!Z27="POR RECOGER"),'ENERO 2026'!Y27,"")</f>
        <v/>
      </c>
      <c r="L23" s="381">
        <f>IF(AND('ENERO 2026'!D27&lt;&gt;"",'ENERO 2026'!Z27="POR RECOGER"),'ENERO 2026'!I27,"")</f>
        <v/>
      </c>
      <c r="O23" s="194" t="inlineStr">
        <is>
          <t>MOLINOPAMPA</t>
        </is>
      </c>
      <c r="P23" s="194" t="n"/>
      <c r="Q23" s="194" t="n"/>
      <c r="R23" s="194" t="n"/>
      <c r="S23" s="194" t="n"/>
      <c r="T23" s="194" t="n"/>
      <c r="U23" s="194" t="n"/>
      <c r="V23" s="194" t="n"/>
      <c r="W23" s="194" t="n"/>
      <c r="X23" s="194" t="n"/>
      <c r="Y23" s="194" t="n"/>
      <c r="Z23" s="194" t="n"/>
    </row>
    <row r="24" ht="15" customHeight="1" s="195">
      <c r="A24" s="381">
        <f>IF(AND('ENERO 2026'!D28&lt;&gt;"",'ENERO 2026'!Z28="POR RECOGER"),"ENE","")</f>
        <v/>
      </c>
      <c r="B24" s="381">
        <f>IF(AND('ENERO 2026'!D28&lt;&gt;"",'ENERO 2026'!Z28="POR RECOGER"),IF('ENERO 2026'!Y28&lt;&gt;"",'ENERO 2026'!Y28,'ENERO 2026'!I28),"")</f>
        <v/>
      </c>
      <c r="C24" s="381">
        <f>IF(AND('ENERO 2026'!D28&lt;&gt;"",'ENERO 2026'!Z28="POR RECOGER"),'ENERO 2026'!D28,"")</f>
        <v/>
      </c>
      <c r="D24" s="381">
        <f>IF(AND('ENERO 2026'!D28&lt;&gt;"",'ENERO 2026'!Z28="POR RECOGER"),'ENERO 2026'!F28,"")</f>
        <v/>
      </c>
      <c r="E24" s="381">
        <f>IF(AND('ENERO 2026'!D28&lt;&gt;"",'ENERO 2026'!Z28="POR RECOGER"),TEXT('ENERO 2026'!G28,"DD/MM/YYYY"),"")</f>
        <v/>
      </c>
      <c r="F24" s="381">
        <f>IF(AND('ENERO 2026'!D28&lt;&gt;"",'ENERO 2026'!Z28="POR RECOGER"),'ENERO 2026'!K28,"")</f>
        <v/>
      </c>
      <c r="G24" s="382">
        <f>IF(AND('ENERO 2026'!D28&lt;&gt;"",'ENERO 2026'!Z28="POR RECOGER"),'ENERO 2026'!M28,"")</f>
        <v/>
      </c>
      <c r="H24" s="382">
        <f>IF(AND('ENERO 2026'!D28&lt;&gt;"",'ENERO 2026'!Z28="POR RECOGER"),'ENERO 2026'!N28,"")</f>
        <v/>
      </c>
      <c r="I24" s="381">
        <f>IF(AND('ENERO 2026'!D28&lt;&gt;"",'ENERO 2026'!Z28="POR RECOGER"),'ENERO 2026'!P28,"")</f>
        <v/>
      </c>
      <c r="J24" s="381">
        <f>IF(AND('ENERO 2026'!D28&lt;&gt;"",'ENERO 2026'!Z28="POR RECOGER"),'ENERO 2026'!Q28,"")</f>
        <v/>
      </c>
      <c r="K24" s="381">
        <f>IF(AND('ENERO 2026'!D28&lt;&gt;"",'ENERO 2026'!Z28="POR RECOGER"),'ENERO 2026'!Y28,"")</f>
        <v/>
      </c>
      <c r="L24" s="381">
        <f>IF(AND('ENERO 2026'!D28&lt;&gt;"",'ENERO 2026'!Z28="POR RECOGER"),'ENERO 2026'!I28,"")</f>
        <v/>
      </c>
      <c r="O24" s="194" t="inlineStr">
        <is>
          <t>OCALLI</t>
        </is>
      </c>
      <c r="P24" s="194" t="n"/>
      <c r="Q24" s="194" t="n"/>
      <c r="R24" s="194" t="n"/>
      <c r="S24" s="194" t="n"/>
      <c r="T24" s="194" t="n"/>
      <c r="U24" s="194" t="n"/>
      <c r="V24" s="194" t="n"/>
      <c r="W24" s="194" t="n"/>
      <c r="X24" s="194" t="n"/>
      <c r="Y24" s="194" t="n"/>
      <c r="Z24" s="194" t="n"/>
    </row>
    <row r="25" ht="15" customHeight="1" s="195">
      <c r="A25" s="381">
        <f>IF(AND('ENERO 2026'!D29&lt;&gt;"",'ENERO 2026'!Z29="POR RECOGER"),"ENE","")</f>
        <v/>
      </c>
      <c r="B25" s="381">
        <f>IF(AND('ENERO 2026'!D29&lt;&gt;"",'ENERO 2026'!Z29="POR RECOGER"),IF('ENERO 2026'!Y29&lt;&gt;"",'ENERO 2026'!Y29,'ENERO 2026'!I29),"")</f>
        <v/>
      </c>
      <c r="C25" s="381">
        <f>IF(AND('ENERO 2026'!D29&lt;&gt;"",'ENERO 2026'!Z29="POR RECOGER"),'ENERO 2026'!D29,"")</f>
        <v/>
      </c>
      <c r="D25" s="381">
        <f>IF(AND('ENERO 2026'!D29&lt;&gt;"",'ENERO 2026'!Z29="POR RECOGER"),'ENERO 2026'!F29,"")</f>
        <v/>
      </c>
      <c r="E25" s="381">
        <f>IF(AND('ENERO 2026'!D29&lt;&gt;"",'ENERO 2026'!Z29="POR RECOGER"),TEXT('ENERO 2026'!G29,"DD/MM/YYYY"),"")</f>
        <v/>
      </c>
      <c r="F25" s="381">
        <f>IF(AND('ENERO 2026'!D29&lt;&gt;"",'ENERO 2026'!Z29="POR RECOGER"),'ENERO 2026'!K29,"")</f>
        <v/>
      </c>
      <c r="G25" s="382">
        <f>IF(AND('ENERO 2026'!D29&lt;&gt;"",'ENERO 2026'!Z29="POR RECOGER"),'ENERO 2026'!M29,"")</f>
        <v/>
      </c>
      <c r="H25" s="382">
        <f>IF(AND('ENERO 2026'!D29&lt;&gt;"",'ENERO 2026'!Z29="POR RECOGER"),'ENERO 2026'!N29,"")</f>
        <v/>
      </c>
      <c r="I25" s="381">
        <f>IF(AND('ENERO 2026'!D29&lt;&gt;"",'ENERO 2026'!Z29="POR RECOGER"),'ENERO 2026'!P29,"")</f>
        <v/>
      </c>
      <c r="J25" s="381">
        <f>IF(AND('ENERO 2026'!D29&lt;&gt;"",'ENERO 2026'!Z29="POR RECOGER"),'ENERO 2026'!Q29,"")</f>
        <v/>
      </c>
      <c r="K25" s="381">
        <f>IF(AND('ENERO 2026'!D29&lt;&gt;"",'ENERO 2026'!Z29="POR RECOGER"),'ENERO 2026'!Y29,"")</f>
        <v/>
      </c>
      <c r="L25" s="381">
        <f>IF(AND('ENERO 2026'!D29&lt;&gt;"",'ENERO 2026'!Z29="POR RECOGER"),'ENERO 2026'!I29,"")</f>
        <v/>
      </c>
      <c r="O25" s="194" t="inlineStr">
        <is>
          <t>OMIA</t>
        </is>
      </c>
      <c r="P25" s="194" t="n"/>
      <c r="Q25" s="194" t="n"/>
      <c r="R25" s="194" t="n"/>
      <c r="S25" s="194" t="n"/>
      <c r="T25" s="194" t="n"/>
      <c r="U25" s="194" t="n"/>
      <c r="V25" s="194" t="n"/>
      <c r="W25" s="194" t="n"/>
      <c r="X25" s="194" t="n"/>
      <c r="Y25" s="194" t="n"/>
      <c r="Z25" s="194" t="n"/>
    </row>
    <row r="26" ht="15" customHeight="1" s="195">
      <c r="A26" s="381">
        <f>IF(AND('ENERO 2026'!D30&lt;&gt;"",'ENERO 2026'!Z30="POR RECOGER"),"ENE","")</f>
        <v/>
      </c>
      <c r="B26" s="381">
        <f>IF(AND('ENERO 2026'!D30&lt;&gt;"",'ENERO 2026'!Z30="POR RECOGER"),IF('ENERO 2026'!Y30&lt;&gt;"",'ENERO 2026'!Y30,'ENERO 2026'!I30),"")</f>
        <v/>
      </c>
      <c r="C26" s="381">
        <f>IF(AND('ENERO 2026'!D30&lt;&gt;"",'ENERO 2026'!Z30="POR RECOGER"),'ENERO 2026'!D30,"")</f>
        <v/>
      </c>
      <c r="D26" s="381">
        <f>IF(AND('ENERO 2026'!D30&lt;&gt;"",'ENERO 2026'!Z30="POR RECOGER"),'ENERO 2026'!F30,"")</f>
        <v/>
      </c>
      <c r="E26" s="381">
        <f>IF(AND('ENERO 2026'!D30&lt;&gt;"",'ENERO 2026'!Z30="POR RECOGER"),TEXT('ENERO 2026'!G30,"DD/MM/YYYY"),"")</f>
        <v/>
      </c>
      <c r="F26" s="381">
        <f>IF(AND('ENERO 2026'!D30&lt;&gt;"",'ENERO 2026'!Z30="POR RECOGER"),'ENERO 2026'!K30,"")</f>
        <v/>
      </c>
      <c r="G26" s="382">
        <f>IF(AND('ENERO 2026'!D30&lt;&gt;"",'ENERO 2026'!Z30="POR RECOGER"),'ENERO 2026'!M30,"")</f>
        <v/>
      </c>
      <c r="H26" s="382">
        <f>IF(AND('ENERO 2026'!D30&lt;&gt;"",'ENERO 2026'!Z30="POR RECOGER"),'ENERO 2026'!N30,"")</f>
        <v/>
      </c>
      <c r="I26" s="381">
        <f>IF(AND('ENERO 2026'!D30&lt;&gt;"",'ENERO 2026'!Z30="POR RECOGER"),'ENERO 2026'!P30,"")</f>
        <v/>
      </c>
      <c r="J26" s="381">
        <f>IF(AND('ENERO 2026'!D30&lt;&gt;"",'ENERO 2026'!Z30="POR RECOGER"),'ENERO 2026'!Q30,"")</f>
        <v/>
      </c>
      <c r="K26" s="381">
        <f>IF(AND('ENERO 2026'!D30&lt;&gt;"",'ENERO 2026'!Z30="POR RECOGER"),'ENERO 2026'!Y30,"")</f>
        <v/>
      </c>
      <c r="L26" s="381">
        <f>IF(AND('ENERO 2026'!D30&lt;&gt;"",'ENERO 2026'!Z30="POR RECOGER"),'ENERO 2026'!I30,"")</f>
        <v/>
      </c>
      <c r="O26" s="194" t="inlineStr">
        <is>
          <t>PEDRO RUIZ GALLO</t>
        </is>
      </c>
      <c r="P26" s="194" t="n"/>
      <c r="Q26" s="194" t="n"/>
      <c r="R26" s="194" t="n"/>
      <c r="S26" s="194" t="n"/>
      <c r="T26" s="194" t="n"/>
      <c r="U26" s="194" t="n"/>
      <c r="V26" s="194" t="n"/>
      <c r="W26" s="194" t="n"/>
      <c r="X26" s="194" t="n"/>
      <c r="Y26" s="194" t="n"/>
      <c r="Z26" s="194" t="n"/>
    </row>
    <row r="27" ht="15" customHeight="1" s="195">
      <c r="A27" s="381">
        <f>IF(AND('ENERO 2026'!D31&lt;&gt;"",'ENERO 2026'!Z31="POR RECOGER"),"ENE","")</f>
        <v/>
      </c>
      <c r="B27" s="381">
        <f>IF(AND('ENERO 2026'!D31&lt;&gt;"",'ENERO 2026'!Z31="POR RECOGER"),IF('ENERO 2026'!Y31&lt;&gt;"",'ENERO 2026'!Y31,'ENERO 2026'!I31),"")</f>
        <v/>
      </c>
      <c r="C27" s="381">
        <f>IF(AND('ENERO 2026'!D31&lt;&gt;"",'ENERO 2026'!Z31="POR RECOGER"),'ENERO 2026'!D31,"")</f>
        <v/>
      </c>
      <c r="D27" s="381">
        <f>IF(AND('ENERO 2026'!D31&lt;&gt;"",'ENERO 2026'!Z31="POR RECOGER"),'ENERO 2026'!F31,"")</f>
        <v/>
      </c>
      <c r="E27" s="381">
        <f>IF(AND('ENERO 2026'!D31&lt;&gt;"",'ENERO 2026'!Z31="POR RECOGER"),TEXT('ENERO 2026'!G31,"DD/MM/YYYY"),"")</f>
        <v/>
      </c>
      <c r="F27" s="381">
        <f>IF(AND('ENERO 2026'!D31&lt;&gt;"",'ENERO 2026'!Z31="POR RECOGER"),'ENERO 2026'!K31,"")</f>
        <v/>
      </c>
      <c r="G27" s="382">
        <f>IF(AND('ENERO 2026'!D31&lt;&gt;"",'ENERO 2026'!Z31="POR RECOGER"),'ENERO 2026'!M31,"")</f>
        <v/>
      </c>
      <c r="H27" s="382">
        <f>IF(AND('ENERO 2026'!D31&lt;&gt;"",'ENERO 2026'!Z31="POR RECOGER"),'ENERO 2026'!N31,"")</f>
        <v/>
      </c>
      <c r="I27" s="381">
        <f>IF(AND('ENERO 2026'!D31&lt;&gt;"",'ENERO 2026'!Z31="POR RECOGER"),'ENERO 2026'!P31,"")</f>
        <v/>
      </c>
      <c r="J27" s="381">
        <f>IF(AND('ENERO 2026'!D31&lt;&gt;"",'ENERO 2026'!Z31="POR RECOGER"),'ENERO 2026'!Q31,"")</f>
        <v/>
      </c>
      <c r="K27" s="381">
        <f>IF(AND('ENERO 2026'!D31&lt;&gt;"",'ENERO 2026'!Z31="POR RECOGER"),'ENERO 2026'!Y31,"")</f>
        <v/>
      </c>
      <c r="L27" s="381">
        <f>IF(AND('ENERO 2026'!D31&lt;&gt;"",'ENERO 2026'!Z31="POR RECOGER"),'ENERO 2026'!I31,"")</f>
        <v/>
      </c>
      <c r="O27" s="194" t="inlineStr">
        <is>
          <t>POMACOCHAS</t>
        </is>
      </c>
      <c r="P27" s="194" t="n"/>
      <c r="Q27" s="194" t="n"/>
      <c r="R27" s="194" t="n"/>
      <c r="S27" s="194" t="n"/>
      <c r="T27" s="194" t="n"/>
      <c r="U27" s="194" t="n"/>
      <c r="V27" s="194" t="n"/>
      <c r="W27" s="194" t="n"/>
      <c r="X27" s="194" t="n"/>
      <c r="Y27" s="194" t="n"/>
      <c r="Z27" s="194" t="n"/>
    </row>
    <row r="28" ht="15" customHeight="1" s="195">
      <c r="A28" s="381">
        <f>IF(AND('ENERO 2026'!D32&lt;&gt;"",'ENERO 2026'!Z32="POR RECOGER"),"ENE","")</f>
        <v/>
      </c>
      <c r="B28" s="381">
        <f>IF(AND('ENERO 2026'!D32&lt;&gt;"",'ENERO 2026'!Z32="POR RECOGER"),IF('ENERO 2026'!Y32&lt;&gt;"",'ENERO 2026'!Y32,'ENERO 2026'!I32),"")</f>
        <v/>
      </c>
      <c r="C28" s="381">
        <f>IF(AND('ENERO 2026'!D32&lt;&gt;"",'ENERO 2026'!Z32="POR RECOGER"),'ENERO 2026'!D32,"")</f>
        <v/>
      </c>
      <c r="D28" s="381">
        <f>IF(AND('ENERO 2026'!D32&lt;&gt;"",'ENERO 2026'!Z32="POR RECOGER"),'ENERO 2026'!F32,"")</f>
        <v/>
      </c>
      <c r="E28" s="381">
        <f>IF(AND('ENERO 2026'!D32&lt;&gt;"",'ENERO 2026'!Z32="POR RECOGER"),TEXT('ENERO 2026'!G32,"DD/MM/YYYY"),"")</f>
        <v/>
      </c>
      <c r="F28" s="381">
        <f>IF(AND('ENERO 2026'!D32&lt;&gt;"",'ENERO 2026'!Z32="POR RECOGER"),'ENERO 2026'!K32,"")</f>
        <v/>
      </c>
      <c r="G28" s="382">
        <f>IF(AND('ENERO 2026'!D32&lt;&gt;"",'ENERO 2026'!Z32="POR RECOGER"),'ENERO 2026'!M32,"")</f>
        <v/>
      </c>
      <c r="H28" s="382">
        <f>IF(AND('ENERO 2026'!D32&lt;&gt;"",'ENERO 2026'!Z32="POR RECOGER"),'ENERO 2026'!N32,"")</f>
        <v/>
      </c>
      <c r="I28" s="381">
        <f>IF(AND('ENERO 2026'!D32&lt;&gt;"",'ENERO 2026'!Z32="POR RECOGER"),'ENERO 2026'!P32,"")</f>
        <v/>
      </c>
      <c r="J28" s="381">
        <f>IF(AND('ENERO 2026'!D32&lt;&gt;"",'ENERO 2026'!Z32="POR RECOGER"),'ENERO 2026'!Q32,"")</f>
        <v/>
      </c>
      <c r="K28" s="381">
        <f>IF(AND('ENERO 2026'!D32&lt;&gt;"",'ENERO 2026'!Z32="POR RECOGER"),'ENERO 2026'!Y32,"")</f>
        <v/>
      </c>
      <c r="L28" s="381">
        <f>IF(AND('ENERO 2026'!D32&lt;&gt;"",'ENERO 2026'!Z32="POR RECOGER"),'ENERO 2026'!I32,"")</f>
        <v/>
      </c>
      <c r="O28" s="194" t="inlineStr">
        <is>
          <t>SALAZAR</t>
        </is>
      </c>
      <c r="P28" s="194" t="n"/>
      <c r="Q28" s="194" t="n"/>
      <c r="R28" s="194" t="n"/>
      <c r="S28" s="194" t="n"/>
      <c r="T28" s="194" t="n"/>
      <c r="U28" s="194" t="n"/>
      <c r="V28" s="194" t="n"/>
      <c r="W28" s="194" t="n"/>
      <c r="X28" s="194" t="n"/>
      <c r="Y28" s="194" t="n"/>
      <c r="Z28" s="194" t="n"/>
    </row>
    <row r="29" ht="15" customHeight="1" s="195">
      <c r="A29" s="381">
        <f>IF(AND('ENERO 2026'!D33&lt;&gt;"",'ENERO 2026'!Z33="POR RECOGER"),"ENE","")</f>
        <v/>
      </c>
      <c r="B29" s="381">
        <f>IF(AND('ENERO 2026'!D33&lt;&gt;"",'ENERO 2026'!Z33="POR RECOGER"),IF('ENERO 2026'!Y33&lt;&gt;"",'ENERO 2026'!Y33,'ENERO 2026'!I33),"")</f>
        <v/>
      </c>
      <c r="C29" s="381">
        <f>IF(AND('ENERO 2026'!D33&lt;&gt;"",'ENERO 2026'!Z33="POR RECOGER"),'ENERO 2026'!D33,"")</f>
        <v/>
      </c>
      <c r="D29" s="381">
        <f>IF(AND('ENERO 2026'!D33&lt;&gt;"",'ENERO 2026'!Z33="POR RECOGER"),'ENERO 2026'!F33,"")</f>
        <v/>
      </c>
      <c r="E29" s="381">
        <f>IF(AND('ENERO 2026'!D33&lt;&gt;"",'ENERO 2026'!Z33="POR RECOGER"),TEXT('ENERO 2026'!G33,"DD/MM/YYYY"),"")</f>
        <v/>
      </c>
      <c r="F29" s="381">
        <f>IF(AND('ENERO 2026'!D33&lt;&gt;"",'ENERO 2026'!Z33="POR RECOGER"),'ENERO 2026'!K33,"")</f>
        <v/>
      </c>
      <c r="G29" s="382">
        <f>IF(AND('ENERO 2026'!D33&lt;&gt;"",'ENERO 2026'!Z33="POR RECOGER"),'ENERO 2026'!M33,"")</f>
        <v/>
      </c>
      <c r="H29" s="382">
        <f>IF(AND('ENERO 2026'!D33&lt;&gt;"",'ENERO 2026'!Z33="POR RECOGER"),'ENERO 2026'!N33,"")</f>
        <v/>
      </c>
      <c r="I29" s="381">
        <f>IF(AND('ENERO 2026'!D33&lt;&gt;"",'ENERO 2026'!Z33="POR RECOGER"),'ENERO 2026'!P33,"")</f>
        <v/>
      </c>
      <c r="J29" s="381">
        <f>IF(AND('ENERO 2026'!D33&lt;&gt;"",'ENERO 2026'!Z33="POR RECOGER"),'ENERO 2026'!Q33,"")</f>
        <v/>
      </c>
      <c r="K29" s="381">
        <f>IF(AND('ENERO 2026'!D33&lt;&gt;"",'ENERO 2026'!Z33="POR RECOGER"),'ENERO 2026'!Y33,"")</f>
        <v/>
      </c>
      <c r="L29" s="381">
        <f>IF(AND('ENERO 2026'!D33&lt;&gt;"",'ENERO 2026'!Z33="POR RECOGER"),'ENERO 2026'!I33,"")</f>
        <v/>
      </c>
      <c r="O29" s="194" t="inlineStr">
        <is>
          <t>SAN JUAN DE OCUMAL</t>
        </is>
      </c>
      <c r="P29" s="194" t="n"/>
      <c r="Q29" s="194" t="n"/>
      <c r="R29" s="194" t="n"/>
      <c r="S29" s="194" t="n"/>
      <c r="T29" s="194" t="n"/>
      <c r="U29" s="194" t="n"/>
      <c r="V29" s="194" t="n"/>
      <c r="W29" s="194" t="n"/>
      <c r="X29" s="194" t="n"/>
      <c r="Y29" s="194" t="n"/>
      <c r="Z29" s="194" t="n"/>
    </row>
    <row r="30" ht="15" customHeight="1" s="195">
      <c r="A30" s="381">
        <f>IF(AND('ENERO 2026'!D34&lt;&gt;"",'ENERO 2026'!Z34="POR RECOGER"),"ENE","")</f>
        <v/>
      </c>
      <c r="B30" s="381">
        <f>IF(AND('ENERO 2026'!D34&lt;&gt;"",'ENERO 2026'!Z34="POR RECOGER"),IF('ENERO 2026'!Y34&lt;&gt;"",'ENERO 2026'!Y34,'ENERO 2026'!I34),"")</f>
        <v/>
      </c>
      <c r="C30" s="381">
        <f>IF(AND('ENERO 2026'!D34&lt;&gt;"",'ENERO 2026'!Z34="POR RECOGER"),'ENERO 2026'!D34,"")</f>
        <v/>
      </c>
      <c r="D30" s="381">
        <f>IF(AND('ENERO 2026'!D34&lt;&gt;"",'ENERO 2026'!Z34="POR RECOGER"),'ENERO 2026'!F34,"")</f>
        <v/>
      </c>
      <c r="E30" s="381">
        <f>IF(AND('ENERO 2026'!D34&lt;&gt;"",'ENERO 2026'!Z34="POR RECOGER"),TEXT('ENERO 2026'!G34,"DD/MM/YYYY"),"")</f>
        <v/>
      </c>
      <c r="F30" s="381">
        <f>IF(AND('ENERO 2026'!D34&lt;&gt;"",'ENERO 2026'!Z34="POR RECOGER"),'ENERO 2026'!K34,"")</f>
        <v/>
      </c>
      <c r="G30" s="382">
        <f>IF(AND('ENERO 2026'!D34&lt;&gt;"",'ENERO 2026'!Z34="POR RECOGER"),'ENERO 2026'!M34,"")</f>
        <v/>
      </c>
      <c r="H30" s="382">
        <f>IF(AND('ENERO 2026'!D34&lt;&gt;"",'ENERO 2026'!Z34="POR RECOGER"),'ENERO 2026'!N34,"")</f>
        <v/>
      </c>
      <c r="I30" s="381">
        <f>IF(AND('ENERO 2026'!D34&lt;&gt;"",'ENERO 2026'!Z34="POR RECOGER"),'ENERO 2026'!P34,"")</f>
        <v/>
      </c>
      <c r="J30" s="381">
        <f>IF(AND('ENERO 2026'!D34&lt;&gt;"",'ENERO 2026'!Z34="POR RECOGER"),'ENERO 2026'!Q34,"")</f>
        <v/>
      </c>
      <c r="K30" s="381">
        <f>IF(AND('ENERO 2026'!D34&lt;&gt;"",'ENERO 2026'!Z34="POR RECOGER"),'ENERO 2026'!Y34,"")</f>
        <v/>
      </c>
      <c r="L30" s="381">
        <f>IF(AND('ENERO 2026'!D34&lt;&gt;"",'ENERO 2026'!Z34="POR RECOGER"),'ENERO 2026'!I34,"")</f>
        <v/>
      </c>
      <c r="O30" s="194" t="inlineStr">
        <is>
          <t>SAN JUAN DE PROVIDENCIA</t>
        </is>
      </c>
      <c r="P30" s="194" t="n"/>
      <c r="Q30" s="194" t="n"/>
      <c r="R30" s="194" t="n"/>
      <c r="S30" s="194" t="n"/>
      <c r="T30" s="194" t="n"/>
      <c r="U30" s="194" t="n"/>
      <c r="V30" s="194" t="n"/>
      <c r="W30" s="194" t="n"/>
      <c r="X30" s="194" t="n"/>
      <c r="Y30" s="194" t="n"/>
      <c r="Z30" s="194" t="n"/>
    </row>
    <row r="31" ht="15" customHeight="1" s="195">
      <c r="A31" s="381">
        <f>IF(AND('ENERO 2026'!D35&lt;&gt;"",'ENERO 2026'!Z35="POR RECOGER"),"ENE","")</f>
        <v/>
      </c>
      <c r="B31" s="381">
        <f>IF(AND('ENERO 2026'!D35&lt;&gt;"",'ENERO 2026'!Z35="POR RECOGER"),IF('ENERO 2026'!Y35&lt;&gt;"",'ENERO 2026'!Y35,'ENERO 2026'!I35),"")</f>
        <v/>
      </c>
      <c r="C31" s="381">
        <f>IF(AND('ENERO 2026'!D35&lt;&gt;"",'ENERO 2026'!Z35="POR RECOGER"),'ENERO 2026'!D35,"")</f>
        <v/>
      </c>
      <c r="D31" s="381">
        <f>IF(AND('ENERO 2026'!D35&lt;&gt;"",'ENERO 2026'!Z35="POR RECOGER"),'ENERO 2026'!F35,"")</f>
        <v/>
      </c>
      <c r="E31" s="381">
        <f>IF(AND('ENERO 2026'!D35&lt;&gt;"",'ENERO 2026'!Z35="POR RECOGER"),TEXT('ENERO 2026'!G35,"DD/MM/YYYY"),"")</f>
        <v/>
      </c>
      <c r="F31" s="381">
        <f>IF(AND('ENERO 2026'!D35&lt;&gt;"",'ENERO 2026'!Z35="POR RECOGER"),'ENERO 2026'!K35,"")</f>
        <v/>
      </c>
      <c r="G31" s="382">
        <f>IF(AND('ENERO 2026'!D35&lt;&gt;"",'ENERO 2026'!Z35="POR RECOGER"),'ENERO 2026'!M35,"")</f>
        <v/>
      </c>
      <c r="H31" s="382">
        <f>IF(AND('ENERO 2026'!D35&lt;&gt;"",'ENERO 2026'!Z35="POR RECOGER"),'ENERO 2026'!N35,"")</f>
        <v/>
      </c>
      <c r="I31" s="381">
        <f>IF(AND('ENERO 2026'!D35&lt;&gt;"",'ENERO 2026'!Z35="POR RECOGER"),'ENERO 2026'!P35,"")</f>
        <v/>
      </c>
      <c r="J31" s="381">
        <f>IF(AND('ENERO 2026'!D35&lt;&gt;"",'ENERO 2026'!Z35="POR RECOGER"),'ENERO 2026'!Q35,"")</f>
        <v/>
      </c>
      <c r="K31" s="381">
        <f>IF(AND('ENERO 2026'!D35&lt;&gt;"",'ENERO 2026'!Z35="POR RECOGER"),'ENERO 2026'!Y35,"")</f>
        <v/>
      </c>
      <c r="L31" s="381">
        <f>IF(AND('ENERO 2026'!D35&lt;&gt;"",'ENERO 2026'!Z35="POR RECOGER"),'ENERO 2026'!I35,"")</f>
        <v/>
      </c>
      <c r="O31" s="194" t="inlineStr">
        <is>
          <t>SAN SALVADOR</t>
        </is>
      </c>
      <c r="P31" s="194" t="n"/>
      <c r="Q31" s="194" t="n"/>
      <c r="R31" s="194" t="n"/>
      <c r="S31" s="194" t="n"/>
      <c r="T31" s="194" t="n"/>
      <c r="U31" s="194" t="n"/>
      <c r="V31" s="194" t="n"/>
      <c r="W31" s="194" t="n"/>
      <c r="X31" s="194" t="n"/>
      <c r="Y31" s="194" t="n"/>
      <c r="Z31" s="194" t="n"/>
    </row>
    <row r="32" ht="15" customHeight="1" s="195">
      <c r="A32" s="381">
        <f>IF(AND('ENERO 2026'!D36&lt;&gt;"",'ENERO 2026'!Z36="POR RECOGER"),"ENE","")</f>
        <v/>
      </c>
      <c r="B32" s="381">
        <f>IF(AND('ENERO 2026'!D36&lt;&gt;"",'ENERO 2026'!Z36="POR RECOGER"),IF('ENERO 2026'!Y36&lt;&gt;"",'ENERO 2026'!Y36,'ENERO 2026'!I36),"")</f>
        <v/>
      </c>
      <c r="C32" s="381">
        <f>IF(AND('ENERO 2026'!D36&lt;&gt;"",'ENERO 2026'!Z36="POR RECOGER"),'ENERO 2026'!D36,"")</f>
        <v/>
      </c>
      <c r="D32" s="381">
        <f>IF(AND('ENERO 2026'!D36&lt;&gt;"",'ENERO 2026'!Z36="POR RECOGER"),'ENERO 2026'!F36,"")</f>
        <v/>
      </c>
      <c r="E32" s="381">
        <f>IF(AND('ENERO 2026'!D36&lt;&gt;"",'ENERO 2026'!Z36="POR RECOGER"),TEXT('ENERO 2026'!G36,"DD/MM/YYYY"),"")</f>
        <v/>
      </c>
      <c r="F32" s="381">
        <f>IF(AND('ENERO 2026'!D36&lt;&gt;"",'ENERO 2026'!Z36="POR RECOGER"),'ENERO 2026'!K36,"")</f>
        <v/>
      </c>
      <c r="G32" s="382">
        <f>IF(AND('ENERO 2026'!D36&lt;&gt;"",'ENERO 2026'!Z36="POR RECOGER"),'ENERO 2026'!M36,"")</f>
        <v/>
      </c>
      <c r="H32" s="382">
        <f>IF(AND('ENERO 2026'!D36&lt;&gt;"",'ENERO 2026'!Z36="POR RECOGER"),'ENERO 2026'!N36,"")</f>
        <v/>
      </c>
      <c r="I32" s="381">
        <f>IF(AND('ENERO 2026'!D36&lt;&gt;"",'ENERO 2026'!Z36="POR RECOGER"),'ENERO 2026'!P36,"")</f>
        <v/>
      </c>
      <c r="J32" s="381">
        <f>IF(AND('ENERO 2026'!D36&lt;&gt;"",'ENERO 2026'!Z36="POR RECOGER"),'ENERO 2026'!Q36,"")</f>
        <v/>
      </c>
      <c r="K32" s="381">
        <f>IF(AND('ENERO 2026'!D36&lt;&gt;"",'ENERO 2026'!Z36="POR RECOGER"),'ENERO 2026'!Y36,"")</f>
        <v/>
      </c>
      <c r="L32" s="381">
        <f>IF(AND('ENERO 2026'!D36&lt;&gt;"",'ENERO 2026'!Z36="POR RECOGER"),'ENERO 2026'!I36,"")</f>
        <v/>
      </c>
      <c r="O32" s="194" t="inlineStr">
        <is>
          <t>SANTA CATALINA</t>
        </is>
      </c>
      <c r="P32" s="194" t="n"/>
      <c r="Q32" s="194" t="n"/>
      <c r="R32" s="194" t="n"/>
      <c r="S32" s="194" t="n"/>
      <c r="T32" s="194" t="n"/>
      <c r="U32" s="194" t="n"/>
      <c r="V32" s="194" t="n"/>
      <c r="W32" s="194" t="n"/>
      <c r="X32" s="194" t="n"/>
      <c r="Y32" s="194" t="n"/>
      <c r="Z32" s="194" t="n"/>
    </row>
    <row r="33" ht="15" customHeight="1" s="195">
      <c r="A33" s="381">
        <f>IF(AND('ENERO 2026'!D37&lt;&gt;"",'ENERO 2026'!Z37="POR RECOGER"),"ENE","")</f>
        <v/>
      </c>
      <c r="B33" s="381">
        <f>IF(AND('ENERO 2026'!D37&lt;&gt;"",'ENERO 2026'!Z37="POR RECOGER"),IF('ENERO 2026'!Y37&lt;&gt;"",'ENERO 2026'!Y37,'ENERO 2026'!I37),"")</f>
        <v/>
      </c>
      <c r="C33" s="381">
        <f>IF(AND('ENERO 2026'!D37&lt;&gt;"",'ENERO 2026'!Z37="POR RECOGER"),'ENERO 2026'!D37,"")</f>
        <v/>
      </c>
      <c r="D33" s="381">
        <f>IF(AND('ENERO 2026'!D37&lt;&gt;"",'ENERO 2026'!Z37="POR RECOGER"),'ENERO 2026'!F37,"")</f>
        <v/>
      </c>
      <c r="E33" s="381">
        <f>IF(AND('ENERO 2026'!D37&lt;&gt;"",'ENERO 2026'!Z37="POR RECOGER"),TEXT('ENERO 2026'!G37,"DD/MM/YYYY"),"")</f>
        <v/>
      </c>
      <c r="F33" s="381">
        <f>IF(AND('ENERO 2026'!D37&lt;&gt;"",'ENERO 2026'!Z37="POR RECOGER"),'ENERO 2026'!K37,"")</f>
        <v/>
      </c>
      <c r="G33" s="382">
        <f>IF(AND('ENERO 2026'!D37&lt;&gt;"",'ENERO 2026'!Z37="POR RECOGER"),'ENERO 2026'!M37,"")</f>
        <v/>
      </c>
      <c r="H33" s="382">
        <f>IF(AND('ENERO 2026'!D37&lt;&gt;"",'ENERO 2026'!Z37="POR RECOGER"),'ENERO 2026'!N37,"")</f>
        <v/>
      </c>
      <c r="I33" s="381">
        <f>IF(AND('ENERO 2026'!D37&lt;&gt;"",'ENERO 2026'!Z37="POR RECOGER"),'ENERO 2026'!P37,"")</f>
        <v/>
      </c>
      <c r="J33" s="381">
        <f>IF(AND('ENERO 2026'!D37&lt;&gt;"",'ENERO 2026'!Z37="POR RECOGER"),'ENERO 2026'!Q37,"")</f>
        <v/>
      </c>
      <c r="K33" s="381">
        <f>IF(AND('ENERO 2026'!D37&lt;&gt;"",'ENERO 2026'!Z37="POR RECOGER"),'ENERO 2026'!Y37,"")</f>
        <v/>
      </c>
      <c r="L33" s="381">
        <f>IF(AND('ENERO 2026'!D37&lt;&gt;"",'ENERO 2026'!Z37="POR RECOGER"),'ENERO 2026'!I37,"")</f>
        <v/>
      </c>
      <c r="O33" s="194" t="inlineStr">
        <is>
          <t>SANTO TOMAS</t>
        </is>
      </c>
      <c r="P33" s="194" t="n"/>
      <c r="Q33" s="194" t="n"/>
      <c r="R33" s="194" t="n"/>
      <c r="S33" s="194" t="n"/>
      <c r="T33" s="194" t="n"/>
      <c r="U33" s="194" t="n"/>
      <c r="V33" s="194" t="n"/>
      <c r="W33" s="194" t="n"/>
      <c r="X33" s="194" t="n"/>
      <c r="Y33" s="194" t="n"/>
      <c r="Z33" s="194" t="n"/>
    </row>
    <row r="34" ht="15" customHeight="1" s="195">
      <c r="A34" s="381">
        <f>IF(AND('ENERO 2026'!D38&lt;&gt;"",'ENERO 2026'!Z38="POR RECOGER"),"ENE","")</f>
        <v/>
      </c>
      <c r="B34" s="381">
        <f>IF(AND('ENERO 2026'!D38&lt;&gt;"",'ENERO 2026'!Z38="POR RECOGER"),IF('ENERO 2026'!Y38&lt;&gt;"",'ENERO 2026'!Y38,'ENERO 2026'!I38),"")</f>
        <v/>
      </c>
      <c r="C34" s="381">
        <f>IF(AND('ENERO 2026'!D38&lt;&gt;"",'ENERO 2026'!Z38="POR RECOGER"),'ENERO 2026'!D38,"")</f>
        <v/>
      </c>
      <c r="D34" s="381">
        <f>IF(AND('ENERO 2026'!D38&lt;&gt;"",'ENERO 2026'!Z38="POR RECOGER"),'ENERO 2026'!F38,"")</f>
        <v/>
      </c>
      <c r="E34" s="381">
        <f>IF(AND('ENERO 2026'!D38&lt;&gt;"",'ENERO 2026'!Z38="POR RECOGER"),TEXT('ENERO 2026'!G38,"DD/MM/YYYY"),"")</f>
        <v/>
      </c>
      <c r="F34" s="381">
        <f>IF(AND('ENERO 2026'!D38&lt;&gt;"",'ENERO 2026'!Z38="POR RECOGER"),'ENERO 2026'!K38,"")</f>
        <v/>
      </c>
      <c r="G34" s="382">
        <f>IF(AND('ENERO 2026'!D38&lt;&gt;"",'ENERO 2026'!Z38="POR RECOGER"),'ENERO 2026'!M38,"")</f>
        <v/>
      </c>
      <c r="H34" s="382">
        <f>IF(AND('ENERO 2026'!D38&lt;&gt;"",'ENERO 2026'!Z38="POR RECOGER"),'ENERO 2026'!N38,"")</f>
        <v/>
      </c>
      <c r="I34" s="381">
        <f>IF(AND('ENERO 2026'!D38&lt;&gt;"",'ENERO 2026'!Z38="POR RECOGER"),'ENERO 2026'!P38,"")</f>
        <v/>
      </c>
      <c r="J34" s="381">
        <f>IF(AND('ENERO 2026'!D38&lt;&gt;"",'ENERO 2026'!Z38="POR RECOGER"),'ENERO 2026'!Q38,"")</f>
        <v/>
      </c>
      <c r="K34" s="381">
        <f>IF(AND('ENERO 2026'!D38&lt;&gt;"",'ENERO 2026'!Z38="POR RECOGER"),'ENERO 2026'!Y38,"")</f>
        <v/>
      </c>
      <c r="L34" s="381">
        <f>IF(AND('ENERO 2026'!D38&lt;&gt;"",'ENERO 2026'!Z38="POR RECOGER"),'ENERO 2026'!I38,"")</f>
        <v/>
      </c>
      <c r="O34" s="194" t="inlineStr">
        <is>
          <t>TINGO</t>
        </is>
      </c>
      <c r="P34" s="194" t="n"/>
      <c r="Q34" s="194" t="n"/>
      <c r="R34" s="194" t="n"/>
      <c r="S34" s="194" t="n"/>
      <c r="T34" s="194" t="n"/>
      <c r="U34" s="194" t="n"/>
      <c r="V34" s="194" t="n"/>
      <c r="W34" s="194" t="n"/>
      <c r="X34" s="194" t="n"/>
      <c r="Y34" s="194" t="n"/>
      <c r="Z34" s="194" t="n"/>
    </row>
    <row r="35" ht="15" customHeight="1" s="195">
      <c r="A35" s="381">
        <f>IF(AND('ENERO 2026'!D39&lt;&gt;"",'ENERO 2026'!Z39="POR RECOGER"),"ENE","")</f>
        <v/>
      </c>
      <c r="B35" s="381">
        <f>IF(AND('ENERO 2026'!D39&lt;&gt;"",'ENERO 2026'!Z39="POR RECOGER"),IF('ENERO 2026'!Y39&lt;&gt;"",'ENERO 2026'!Y39,'ENERO 2026'!I39),"")</f>
        <v/>
      </c>
      <c r="C35" s="381">
        <f>IF(AND('ENERO 2026'!D39&lt;&gt;"",'ENERO 2026'!Z39="POR RECOGER"),'ENERO 2026'!D39,"")</f>
        <v/>
      </c>
      <c r="D35" s="381">
        <f>IF(AND('ENERO 2026'!D39&lt;&gt;"",'ENERO 2026'!Z39="POR RECOGER"),'ENERO 2026'!F39,"")</f>
        <v/>
      </c>
      <c r="E35" s="381">
        <f>IF(AND('ENERO 2026'!D39&lt;&gt;"",'ENERO 2026'!Z39="POR RECOGER"),TEXT('ENERO 2026'!G39,"DD/MM/YYYY"),"")</f>
        <v/>
      </c>
      <c r="F35" s="381">
        <f>IF(AND('ENERO 2026'!D39&lt;&gt;"",'ENERO 2026'!Z39="POR RECOGER"),'ENERO 2026'!K39,"")</f>
        <v/>
      </c>
      <c r="G35" s="382">
        <f>IF(AND('ENERO 2026'!D39&lt;&gt;"",'ENERO 2026'!Z39="POR RECOGER"),'ENERO 2026'!M39,"")</f>
        <v/>
      </c>
      <c r="H35" s="382">
        <f>IF(AND('ENERO 2026'!D39&lt;&gt;"",'ENERO 2026'!Z39="POR RECOGER"),'ENERO 2026'!N39,"")</f>
        <v/>
      </c>
      <c r="I35" s="381">
        <f>IF(AND('ENERO 2026'!D39&lt;&gt;"",'ENERO 2026'!Z39="POR RECOGER"),'ENERO 2026'!P39,"")</f>
        <v/>
      </c>
      <c r="J35" s="381">
        <f>IF(AND('ENERO 2026'!D39&lt;&gt;"",'ENERO 2026'!Z39="POR RECOGER"),'ENERO 2026'!Q39,"")</f>
        <v/>
      </c>
      <c r="K35" s="381">
        <f>IF(AND('ENERO 2026'!D39&lt;&gt;"",'ENERO 2026'!Z39="POR RECOGER"),'ENERO 2026'!Y39,"")</f>
        <v/>
      </c>
      <c r="L35" s="381">
        <f>IF(AND('ENERO 2026'!D39&lt;&gt;"",'ENERO 2026'!Z39="POR RECOGER"),'ENERO 2026'!I39,"")</f>
        <v/>
      </c>
      <c r="O35" s="194" t="inlineStr">
        <is>
          <t>TINTIN</t>
        </is>
      </c>
      <c r="P35" s="194" t="n"/>
      <c r="Q35" s="194" t="n"/>
      <c r="R35" s="194" t="n"/>
      <c r="S35" s="194" t="n"/>
      <c r="T35" s="194" t="n"/>
      <c r="U35" s="194" t="n"/>
      <c r="V35" s="194" t="n"/>
      <c r="W35" s="194" t="n"/>
      <c r="X35" s="194" t="n"/>
      <c r="Y35" s="194" t="n"/>
      <c r="Z35" s="194" t="n"/>
    </row>
    <row r="36" ht="15" customHeight="1" s="195">
      <c r="A36" s="381">
        <f>IF(AND('ENERO 2026'!D40&lt;&gt;"",'ENERO 2026'!Z40="POR RECOGER"),"ENE","")</f>
        <v/>
      </c>
      <c r="B36" s="381">
        <f>IF(AND('ENERO 2026'!D40&lt;&gt;"",'ENERO 2026'!Z40="POR RECOGER"),IF('ENERO 2026'!Y40&lt;&gt;"",'ENERO 2026'!Y40,'ENERO 2026'!I40),"")</f>
        <v/>
      </c>
      <c r="C36" s="381">
        <f>IF(AND('ENERO 2026'!D40&lt;&gt;"",'ENERO 2026'!Z40="POR RECOGER"),'ENERO 2026'!D40,"")</f>
        <v/>
      </c>
      <c r="D36" s="381">
        <f>IF(AND('ENERO 2026'!D40&lt;&gt;"",'ENERO 2026'!Z40="POR RECOGER"),'ENERO 2026'!F40,"")</f>
        <v/>
      </c>
      <c r="E36" s="381">
        <f>IF(AND('ENERO 2026'!D40&lt;&gt;"",'ENERO 2026'!Z40="POR RECOGER"),TEXT('ENERO 2026'!G40,"DD/MM/YYYY"),"")</f>
        <v/>
      </c>
      <c r="F36" s="381">
        <f>IF(AND('ENERO 2026'!D40&lt;&gt;"",'ENERO 2026'!Z40="POR RECOGER"),'ENERO 2026'!K40,"")</f>
        <v/>
      </c>
      <c r="G36" s="382">
        <f>IF(AND('ENERO 2026'!D40&lt;&gt;"",'ENERO 2026'!Z40="POR RECOGER"),'ENERO 2026'!M40,"")</f>
        <v/>
      </c>
      <c r="H36" s="382">
        <f>IF(AND('ENERO 2026'!D40&lt;&gt;"",'ENERO 2026'!Z40="POR RECOGER"),'ENERO 2026'!N40,"")</f>
        <v/>
      </c>
      <c r="I36" s="381">
        <f>IF(AND('ENERO 2026'!D40&lt;&gt;"",'ENERO 2026'!Z40="POR RECOGER"),'ENERO 2026'!P40,"")</f>
        <v/>
      </c>
      <c r="J36" s="381">
        <f>IF(AND('ENERO 2026'!D40&lt;&gt;"",'ENERO 2026'!Z40="POR RECOGER"),'ENERO 2026'!Q40,"")</f>
        <v/>
      </c>
      <c r="K36" s="381">
        <f>IF(AND('ENERO 2026'!D40&lt;&gt;"",'ENERO 2026'!Z40="POR RECOGER"),'ENERO 2026'!Y40,"")</f>
        <v/>
      </c>
      <c r="L36" s="381">
        <f>IF(AND('ENERO 2026'!D40&lt;&gt;"",'ENERO 2026'!Z40="POR RECOGER"),'ENERO 2026'!I40,"")</f>
        <v/>
      </c>
      <c r="O36" s="194" t="inlineStr">
        <is>
          <t>TOTORA</t>
        </is>
      </c>
      <c r="P36" s="194" t="n"/>
      <c r="Q36" s="194" t="n"/>
      <c r="R36" s="194" t="n"/>
      <c r="S36" s="194" t="n"/>
      <c r="T36" s="194" t="n"/>
      <c r="U36" s="194" t="n"/>
      <c r="V36" s="194" t="n"/>
      <c r="W36" s="194" t="n"/>
      <c r="X36" s="194" t="n"/>
      <c r="Y36" s="194" t="n"/>
      <c r="Z36" s="194" t="n"/>
    </row>
    <row r="37" ht="15" customHeight="1" s="195">
      <c r="A37" s="381">
        <f>IF(AND('ENERO 2026'!D41&lt;&gt;"",'ENERO 2026'!Z41="POR RECOGER"),"ENE","")</f>
        <v/>
      </c>
      <c r="B37" s="381">
        <f>IF(AND('ENERO 2026'!D41&lt;&gt;"",'ENERO 2026'!Z41="POR RECOGER"),IF('ENERO 2026'!Y41&lt;&gt;"",'ENERO 2026'!Y41,'ENERO 2026'!I41),"")</f>
        <v/>
      </c>
      <c r="C37" s="381">
        <f>IF(AND('ENERO 2026'!D41&lt;&gt;"",'ENERO 2026'!Z41="POR RECOGER"),'ENERO 2026'!D41,"")</f>
        <v/>
      </c>
      <c r="D37" s="381">
        <f>IF(AND('ENERO 2026'!D41&lt;&gt;"",'ENERO 2026'!Z41="POR RECOGER"),'ENERO 2026'!F41,"")</f>
        <v/>
      </c>
      <c r="E37" s="381">
        <f>IF(AND('ENERO 2026'!D41&lt;&gt;"",'ENERO 2026'!Z41="POR RECOGER"),TEXT('ENERO 2026'!G41,"DD/MM/YYYY"),"")</f>
        <v/>
      </c>
      <c r="F37" s="381">
        <f>IF(AND('ENERO 2026'!D41&lt;&gt;"",'ENERO 2026'!Z41="POR RECOGER"),'ENERO 2026'!K41,"")</f>
        <v/>
      </c>
      <c r="G37" s="382">
        <f>IF(AND('ENERO 2026'!D41&lt;&gt;"",'ENERO 2026'!Z41="POR RECOGER"),'ENERO 2026'!M41,"")</f>
        <v/>
      </c>
      <c r="H37" s="382">
        <f>IF(AND('ENERO 2026'!D41&lt;&gt;"",'ENERO 2026'!Z41="POR RECOGER"),'ENERO 2026'!N41,"")</f>
        <v/>
      </c>
      <c r="I37" s="381">
        <f>IF(AND('ENERO 2026'!D41&lt;&gt;"",'ENERO 2026'!Z41="POR RECOGER"),'ENERO 2026'!P41,"")</f>
        <v/>
      </c>
      <c r="J37" s="381">
        <f>IF(AND('ENERO 2026'!D41&lt;&gt;"",'ENERO 2026'!Z41="POR RECOGER"),'ENERO 2026'!Q41,"")</f>
        <v/>
      </c>
      <c r="K37" s="381">
        <f>IF(AND('ENERO 2026'!D41&lt;&gt;"",'ENERO 2026'!Z41="POR RECOGER"),'ENERO 2026'!Y41,"")</f>
        <v/>
      </c>
      <c r="L37" s="381">
        <f>IF(AND('ENERO 2026'!D41&lt;&gt;"",'ENERO 2026'!Z41="POR RECOGER"),'ENERO 2026'!I41,"")</f>
        <v/>
      </c>
      <c r="O37" s="194" t="inlineStr">
        <is>
          <t>YAMBRASBAMBA</t>
        </is>
      </c>
      <c r="P37" s="194" t="n"/>
      <c r="Q37" s="194" t="n"/>
      <c r="R37" s="194" t="n"/>
      <c r="S37" s="194" t="n"/>
      <c r="T37" s="194" t="n"/>
      <c r="U37" s="194" t="n"/>
      <c r="V37" s="194" t="n"/>
      <c r="W37" s="194" t="n"/>
      <c r="X37" s="194" t="n"/>
      <c r="Y37" s="194" t="n"/>
      <c r="Z37" s="194" t="n"/>
    </row>
    <row r="38" ht="15" customHeight="1" s="195">
      <c r="A38" s="381">
        <f>IF(AND('ENERO 2026'!D42&lt;&gt;"",'ENERO 2026'!Z42="POR RECOGER"),"ENE","")</f>
        <v/>
      </c>
      <c r="B38" s="381">
        <f>IF(AND('ENERO 2026'!D42&lt;&gt;"",'ENERO 2026'!Z42="POR RECOGER"),IF('ENERO 2026'!Y42&lt;&gt;"",'ENERO 2026'!Y42,'ENERO 2026'!I42),"")</f>
        <v/>
      </c>
      <c r="C38" s="381">
        <f>IF(AND('ENERO 2026'!D42&lt;&gt;"",'ENERO 2026'!Z42="POR RECOGER"),'ENERO 2026'!D42,"")</f>
        <v/>
      </c>
      <c r="D38" s="381">
        <f>IF(AND('ENERO 2026'!D42&lt;&gt;"",'ENERO 2026'!Z42="POR RECOGER"),'ENERO 2026'!F42,"")</f>
        <v/>
      </c>
      <c r="E38" s="381">
        <f>IF(AND('ENERO 2026'!D42&lt;&gt;"",'ENERO 2026'!Z42="POR RECOGER"),TEXT('ENERO 2026'!G42,"DD/MM/YYYY"),"")</f>
        <v/>
      </c>
      <c r="F38" s="381">
        <f>IF(AND('ENERO 2026'!D42&lt;&gt;"",'ENERO 2026'!Z42="POR RECOGER"),'ENERO 2026'!K42,"")</f>
        <v/>
      </c>
      <c r="G38" s="382">
        <f>IF(AND('ENERO 2026'!D42&lt;&gt;"",'ENERO 2026'!Z42="POR RECOGER"),'ENERO 2026'!M42,"")</f>
        <v/>
      </c>
      <c r="H38" s="382">
        <f>IF(AND('ENERO 2026'!D42&lt;&gt;"",'ENERO 2026'!Z42="POR RECOGER"),'ENERO 2026'!N42,"")</f>
        <v/>
      </c>
      <c r="I38" s="381">
        <f>IF(AND('ENERO 2026'!D42&lt;&gt;"",'ENERO 2026'!Z42="POR RECOGER"),'ENERO 2026'!P42,"")</f>
        <v/>
      </c>
      <c r="J38" s="381">
        <f>IF(AND('ENERO 2026'!D42&lt;&gt;"",'ENERO 2026'!Z42="POR RECOGER"),'ENERO 2026'!Q42,"")</f>
        <v/>
      </c>
      <c r="K38" s="381">
        <f>IF(AND('ENERO 2026'!D42&lt;&gt;"",'ENERO 2026'!Z42="POR RECOGER"),'ENERO 2026'!Y42,"")</f>
        <v/>
      </c>
      <c r="L38" s="381">
        <f>IF(AND('ENERO 2026'!D42&lt;&gt;"",'ENERO 2026'!Z42="POR RECOGER"),'ENERO 2026'!I42,"")</f>
        <v/>
      </c>
      <c r="O38" s="194" t="inlineStr">
        <is>
          <t>YAULICACHI</t>
        </is>
      </c>
      <c r="P38" s="194" t="n"/>
      <c r="Q38" s="194" t="n"/>
      <c r="R38" s="194" t="n"/>
      <c r="S38" s="194" t="n"/>
      <c r="T38" s="194" t="n"/>
      <c r="U38" s="194" t="n"/>
      <c r="V38" s="194" t="n"/>
      <c r="W38" s="194" t="n"/>
      <c r="X38" s="194" t="n"/>
      <c r="Y38" s="194" t="n"/>
      <c r="Z38" s="194" t="n"/>
    </row>
    <row r="39" ht="15" customHeight="1" s="195">
      <c r="A39" s="381">
        <f>IF(AND('ENERO 2026'!D43&lt;&gt;"",'ENERO 2026'!Z43="POR RECOGER"),"ENE","")</f>
        <v/>
      </c>
      <c r="B39" s="381">
        <f>IF(AND('ENERO 2026'!D43&lt;&gt;"",'ENERO 2026'!Z43="POR RECOGER"),IF('ENERO 2026'!Y43&lt;&gt;"",'ENERO 2026'!Y43,'ENERO 2026'!I43),"")</f>
        <v/>
      </c>
      <c r="C39" s="381">
        <f>IF(AND('ENERO 2026'!D43&lt;&gt;"",'ENERO 2026'!Z43="POR RECOGER"),'ENERO 2026'!D43,"")</f>
        <v/>
      </c>
      <c r="D39" s="381">
        <f>IF(AND('ENERO 2026'!D43&lt;&gt;"",'ENERO 2026'!Z43="POR RECOGER"),'ENERO 2026'!F43,"")</f>
        <v/>
      </c>
      <c r="E39" s="381">
        <f>IF(AND('ENERO 2026'!D43&lt;&gt;"",'ENERO 2026'!Z43="POR RECOGER"),TEXT('ENERO 2026'!G43,"DD/MM/YYYY"),"")</f>
        <v/>
      </c>
      <c r="F39" s="381">
        <f>IF(AND('ENERO 2026'!D43&lt;&gt;"",'ENERO 2026'!Z43="POR RECOGER"),'ENERO 2026'!K43,"")</f>
        <v/>
      </c>
      <c r="G39" s="382">
        <f>IF(AND('ENERO 2026'!D43&lt;&gt;"",'ENERO 2026'!Z43="POR RECOGER"),'ENERO 2026'!M43,"")</f>
        <v/>
      </c>
      <c r="H39" s="382">
        <f>IF(AND('ENERO 2026'!D43&lt;&gt;"",'ENERO 2026'!Z43="POR RECOGER"),'ENERO 2026'!N43,"")</f>
        <v/>
      </c>
      <c r="I39" s="381">
        <f>IF(AND('ENERO 2026'!D43&lt;&gt;"",'ENERO 2026'!Z43="POR RECOGER"),'ENERO 2026'!P43,"")</f>
        <v/>
      </c>
      <c r="J39" s="381">
        <f>IF(AND('ENERO 2026'!D43&lt;&gt;"",'ENERO 2026'!Z43="POR RECOGER"),'ENERO 2026'!Q43,"")</f>
        <v/>
      </c>
      <c r="K39" s="381">
        <f>IF(AND('ENERO 2026'!D43&lt;&gt;"",'ENERO 2026'!Z43="POR RECOGER"),'ENERO 2026'!Y43,"")</f>
        <v/>
      </c>
      <c r="L39" s="381">
        <f>IF(AND('ENERO 2026'!D43&lt;&gt;"",'ENERO 2026'!Z43="POR RECOGER"),'ENERO 2026'!I43,"")</f>
        <v/>
      </c>
      <c r="O39" s="194" t="inlineStr">
        <is>
          <t>YERBABUENA</t>
        </is>
      </c>
      <c r="P39" s="194" t="n"/>
      <c r="Q39" s="194" t="n"/>
      <c r="R39" s="194" t="n"/>
      <c r="S39" s="194" t="n"/>
      <c r="T39" s="194" t="n"/>
      <c r="U39" s="194" t="n"/>
      <c r="V39" s="194" t="n"/>
      <c r="W39" s="194" t="n"/>
      <c r="X39" s="194" t="n"/>
      <c r="Y39" s="194" t="n"/>
      <c r="Z39" s="194" t="n"/>
    </row>
    <row r="40" ht="15" customHeight="1" s="195">
      <c r="A40" s="381">
        <f>IF(AND('ENERO 2026'!D44&lt;&gt;"",'ENERO 2026'!Z44="POR RECOGER"),"ENE","")</f>
        <v/>
      </c>
      <c r="B40" s="381">
        <f>IF(AND('ENERO 2026'!D44&lt;&gt;"",'ENERO 2026'!Z44="POR RECOGER"),IF('ENERO 2026'!Y44&lt;&gt;"",'ENERO 2026'!Y44,'ENERO 2026'!I44),"")</f>
        <v/>
      </c>
      <c r="C40" s="381">
        <f>IF(AND('ENERO 2026'!D44&lt;&gt;"",'ENERO 2026'!Z44="POR RECOGER"),'ENERO 2026'!D44,"")</f>
        <v/>
      </c>
      <c r="D40" s="381">
        <f>IF(AND('ENERO 2026'!D44&lt;&gt;"",'ENERO 2026'!Z44="POR RECOGER"),'ENERO 2026'!F44,"")</f>
        <v/>
      </c>
      <c r="E40" s="381">
        <f>IF(AND('ENERO 2026'!D44&lt;&gt;"",'ENERO 2026'!Z44="POR RECOGER"),TEXT('ENERO 2026'!G44,"DD/MM/YYYY"),"")</f>
        <v/>
      </c>
      <c r="F40" s="381">
        <f>IF(AND('ENERO 2026'!D44&lt;&gt;"",'ENERO 2026'!Z44="POR RECOGER"),'ENERO 2026'!K44,"")</f>
        <v/>
      </c>
      <c r="G40" s="382">
        <f>IF(AND('ENERO 2026'!D44&lt;&gt;"",'ENERO 2026'!Z44="POR RECOGER"),'ENERO 2026'!M44,"")</f>
        <v/>
      </c>
      <c r="H40" s="382">
        <f>IF(AND('ENERO 2026'!D44&lt;&gt;"",'ENERO 2026'!Z44="POR RECOGER"),'ENERO 2026'!N44,"")</f>
        <v/>
      </c>
      <c r="I40" s="381">
        <f>IF(AND('ENERO 2026'!D44&lt;&gt;"",'ENERO 2026'!Z44="POR RECOGER"),'ENERO 2026'!P44,"")</f>
        <v/>
      </c>
      <c r="J40" s="381">
        <f>IF(AND('ENERO 2026'!D44&lt;&gt;"",'ENERO 2026'!Z44="POR RECOGER"),'ENERO 2026'!Q44,"")</f>
        <v/>
      </c>
      <c r="K40" s="381">
        <f>IF(AND('ENERO 2026'!D44&lt;&gt;"",'ENERO 2026'!Z44="POR RECOGER"),'ENERO 2026'!Y44,"")</f>
        <v/>
      </c>
      <c r="L40" s="381">
        <f>IF(AND('ENERO 2026'!D44&lt;&gt;"",'ENERO 2026'!Z44="POR RECOGER"),'ENERO 2026'!I44,"")</f>
        <v/>
      </c>
      <c r="P40" s="194" t="n"/>
      <c r="Q40" s="194" t="n"/>
      <c r="R40" s="194" t="n"/>
      <c r="S40" s="194" t="n"/>
      <c r="T40" s="194" t="n"/>
      <c r="U40" s="194" t="n"/>
      <c r="V40" s="194" t="n"/>
      <c r="W40" s="194" t="n"/>
      <c r="X40" s="194" t="n"/>
      <c r="Y40" s="194" t="n"/>
      <c r="Z40" s="194" t="n"/>
    </row>
    <row r="41" ht="15" customHeight="1" s="195">
      <c r="A41" s="381">
        <f>IF(AND('ENERO 2026'!D45&lt;&gt;"",'ENERO 2026'!Z45="POR RECOGER"),"ENE","")</f>
        <v/>
      </c>
      <c r="B41" s="381">
        <f>IF(AND('ENERO 2026'!D45&lt;&gt;"",'ENERO 2026'!Z45="POR RECOGER"),IF('ENERO 2026'!Y45&lt;&gt;"",'ENERO 2026'!Y45,'ENERO 2026'!I45),"")</f>
        <v/>
      </c>
      <c r="C41" s="381">
        <f>IF(AND('ENERO 2026'!D45&lt;&gt;"",'ENERO 2026'!Z45="POR RECOGER"),'ENERO 2026'!D45,"")</f>
        <v/>
      </c>
      <c r="D41" s="381">
        <f>IF(AND('ENERO 2026'!D45&lt;&gt;"",'ENERO 2026'!Z45="POR RECOGER"),'ENERO 2026'!F45,"")</f>
        <v/>
      </c>
      <c r="E41" s="381">
        <f>IF(AND('ENERO 2026'!D45&lt;&gt;"",'ENERO 2026'!Z45="POR RECOGER"),TEXT('ENERO 2026'!G45,"DD/MM/YYYY"),"")</f>
        <v/>
      </c>
      <c r="F41" s="381">
        <f>IF(AND('ENERO 2026'!D45&lt;&gt;"",'ENERO 2026'!Z45="POR RECOGER"),'ENERO 2026'!K45,"")</f>
        <v/>
      </c>
      <c r="G41" s="382">
        <f>IF(AND('ENERO 2026'!D45&lt;&gt;"",'ENERO 2026'!Z45="POR RECOGER"),'ENERO 2026'!M45,"")</f>
        <v/>
      </c>
      <c r="H41" s="382">
        <f>IF(AND('ENERO 2026'!D45&lt;&gt;"",'ENERO 2026'!Z45="POR RECOGER"),'ENERO 2026'!N45,"")</f>
        <v/>
      </c>
      <c r="I41" s="381">
        <f>IF(AND('ENERO 2026'!D45&lt;&gt;"",'ENERO 2026'!Z45="POR RECOGER"),'ENERO 2026'!P45,"")</f>
        <v/>
      </c>
      <c r="J41" s="381">
        <f>IF(AND('ENERO 2026'!D45&lt;&gt;"",'ENERO 2026'!Z45="POR RECOGER"),'ENERO 2026'!Q45,"")</f>
        <v/>
      </c>
      <c r="K41" s="381">
        <f>IF(AND('ENERO 2026'!D45&lt;&gt;"",'ENERO 2026'!Z45="POR RECOGER"),'ENERO 2026'!Y45,"")</f>
        <v/>
      </c>
      <c r="L41" s="381">
        <f>IF(AND('ENERO 2026'!D45&lt;&gt;"",'ENERO 2026'!Z45="POR RECOGER"),'ENERO 2026'!I45,"")</f>
        <v/>
      </c>
      <c r="P41" s="194" t="n"/>
      <c r="Q41" s="194" t="n"/>
      <c r="R41" s="194" t="n"/>
      <c r="S41" s="194" t="n"/>
      <c r="T41" s="194" t="n"/>
      <c r="U41" s="194" t="n"/>
      <c r="V41" s="194" t="n"/>
      <c r="W41" s="194" t="n"/>
      <c r="X41" s="194" t="n"/>
      <c r="Y41" s="194" t="n"/>
      <c r="Z41" s="194" t="n"/>
    </row>
    <row r="42" ht="15" customHeight="1" s="195">
      <c r="A42" s="381">
        <f>IF(AND('ENERO 2026'!D46&lt;&gt;"",'ENERO 2026'!Z46="POR RECOGER"),"ENE","")</f>
        <v/>
      </c>
      <c r="B42" s="381">
        <f>IF(AND('ENERO 2026'!D46&lt;&gt;"",'ENERO 2026'!Z46="POR RECOGER"),IF('ENERO 2026'!Y46&lt;&gt;"",'ENERO 2026'!Y46,'ENERO 2026'!I46),"")</f>
        <v/>
      </c>
      <c r="C42" s="381">
        <f>IF(AND('ENERO 2026'!D46&lt;&gt;"",'ENERO 2026'!Z46="POR RECOGER"),'ENERO 2026'!D46,"")</f>
        <v/>
      </c>
      <c r="D42" s="381">
        <f>IF(AND('ENERO 2026'!D46&lt;&gt;"",'ENERO 2026'!Z46="POR RECOGER"),'ENERO 2026'!F46,"")</f>
        <v/>
      </c>
      <c r="E42" s="381">
        <f>IF(AND('ENERO 2026'!D46&lt;&gt;"",'ENERO 2026'!Z46="POR RECOGER"),TEXT('ENERO 2026'!G46,"DD/MM/YYYY"),"")</f>
        <v/>
      </c>
      <c r="F42" s="381">
        <f>IF(AND('ENERO 2026'!D46&lt;&gt;"",'ENERO 2026'!Z46="POR RECOGER"),'ENERO 2026'!K46,"")</f>
        <v/>
      </c>
      <c r="G42" s="382">
        <f>IF(AND('ENERO 2026'!D46&lt;&gt;"",'ENERO 2026'!Z46="POR RECOGER"),'ENERO 2026'!M46,"")</f>
        <v/>
      </c>
      <c r="H42" s="382">
        <f>IF(AND('ENERO 2026'!D46&lt;&gt;"",'ENERO 2026'!Z46="POR RECOGER"),'ENERO 2026'!N46,"")</f>
        <v/>
      </c>
      <c r="I42" s="381">
        <f>IF(AND('ENERO 2026'!D46&lt;&gt;"",'ENERO 2026'!Z46="POR RECOGER"),'ENERO 2026'!P46,"")</f>
        <v/>
      </c>
      <c r="J42" s="381">
        <f>IF(AND('ENERO 2026'!D46&lt;&gt;"",'ENERO 2026'!Z46="POR RECOGER"),'ENERO 2026'!Q46,"")</f>
        <v/>
      </c>
      <c r="K42" s="381">
        <f>IF(AND('ENERO 2026'!D46&lt;&gt;"",'ENERO 2026'!Z46="POR RECOGER"),'ENERO 2026'!Y46,"")</f>
        <v/>
      </c>
      <c r="L42" s="381">
        <f>IF(AND('ENERO 2026'!D46&lt;&gt;"",'ENERO 2026'!Z46="POR RECOGER"),'ENERO 2026'!I46,"")</f>
        <v/>
      </c>
      <c r="P42" s="194" t="n"/>
      <c r="Q42" s="194" t="n"/>
      <c r="R42" s="194" t="n"/>
      <c r="S42" s="194" t="n"/>
      <c r="T42" s="194" t="n"/>
      <c r="U42" s="194" t="n"/>
      <c r="V42" s="194" t="n"/>
      <c r="W42" s="194" t="n"/>
      <c r="X42" s="194" t="n"/>
      <c r="Y42" s="194" t="n"/>
      <c r="Z42" s="194" t="n"/>
    </row>
    <row r="43" ht="15" customHeight="1" s="195">
      <c r="A43" s="381">
        <f>IF(AND('ENERO 2026'!D47&lt;&gt;"",'ENERO 2026'!Z47="POR RECOGER"),"ENE","")</f>
        <v/>
      </c>
      <c r="B43" s="381">
        <f>IF(AND('ENERO 2026'!D47&lt;&gt;"",'ENERO 2026'!Z47="POR RECOGER"),IF('ENERO 2026'!Y47&lt;&gt;"",'ENERO 2026'!Y47,'ENERO 2026'!I47),"")</f>
        <v/>
      </c>
      <c r="C43" s="381">
        <f>IF(AND('ENERO 2026'!D47&lt;&gt;"",'ENERO 2026'!Z47="POR RECOGER"),'ENERO 2026'!D47,"")</f>
        <v/>
      </c>
      <c r="D43" s="381">
        <f>IF(AND('ENERO 2026'!D47&lt;&gt;"",'ENERO 2026'!Z47="POR RECOGER"),'ENERO 2026'!F47,"")</f>
        <v/>
      </c>
      <c r="E43" s="381">
        <f>IF(AND('ENERO 2026'!D47&lt;&gt;"",'ENERO 2026'!Z47="POR RECOGER"),TEXT('ENERO 2026'!G47,"DD/MM/YYYY"),"")</f>
        <v/>
      </c>
      <c r="F43" s="381">
        <f>IF(AND('ENERO 2026'!D47&lt;&gt;"",'ENERO 2026'!Z47="POR RECOGER"),'ENERO 2026'!K47,"")</f>
        <v/>
      </c>
      <c r="G43" s="382">
        <f>IF(AND('ENERO 2026'!D47&lt;&gt;"",'ENERO 2026'!Z47="POR RECOGER"),'ENERO 2026'!M47,"")</f>
        <v/>
      </c>
      <c r="H43" s="382">
        <f>IF(AND('ENERO 2026'!D47&lt;&gt;"",'ENERO 2026'!Z47="POR RECOGER"),'ENERO 2026'!N47,"")</f>
        <v/>
      </c>
      <c r="I43" s="381">
        <f>IF(AND('ENERO 2026'!D47&lt;&gt;"",'ENERO 2026'!Z47="POR RECOGER"),'ENERO 2026'!P47,"")</f>
        <v/>
      </c>
      <c r="J43" s="381">
        <f>IF(AND('ENERO 2026'!D47&lt;&gt;"",'ENERO 2026'!Z47="POR RECOGER"),'ENERO 2026'!Q47,"")</f>
        <v/>
      </c>
      <c r="K43" s="381">
        <f>IF(AND('ENERO 2026'!D47&lt;&gt;"",'ENERO 2026'!Z47="POR RECOGER"),'ENERO 2026'!Y47,"")</f>
        <v/>
      </c>
      <c r="L43" s="381">
        <f>IF(AND('ENERO 2026'!D47&lt;&gt;"",'ENERO 2026'!Z47="POR RECOGER"),'ENERO 2026'!I47,"")</f>
        <v/>
      </c>
      <c r="P43" s="194" t="n"/>
      <c r="Q43" s="194" t="n"/>
      <c r="R43" s="194" t="n"/>
      <c r="S43" s="194" t="n"/>
      <c r="T43" s="194" t="n"/>
      <c r="U43" s="194" t="n"/>
      <c r="V43" s="194" t="n"/>
      <c r="W43" s="194" t="n"/>
      <c r="X43" s="194" t="n"/>
      <c r="Y43" s="194" t="n"/>
      <c r="Z43" s="194" t="n"/>
    </row>
    <row r="44" ht="15" customHeight="1" s="195">
      <c r="A44" s="381">
        <f>IF(AND('ENERO 2026'!D48&lt;&gt;"",'ENERO 2026'!Z48="POR RECOGER"),"ENE","")</f>
        <v/>
      </c>
      <c r="B44" s="381">
        <f>IF(AND('ENERO 2026'!D48&lt;&gt;"",'ENERO 2026'!Z48="POR RECOGER"),IF('ENERO 2026'!Y48&lt;&gt;"",'ENERO 2026'!Y48,'ENERO 2026'!I48),"")</f>
        <v/>
      </c>
      <c r="C44" s="381">
        <f>IF(AND('ENERO 2026'!D48&lt;&gt;"",'ENERO 2026'!Z48="POR RECOGER"),'ENERO 2026'!D48,"")</f>
        <v/>
      </c>
      <c r="D44" s="381">
        <f>IF(AND('ENERO 2026'!D48&lt;&gt;"",'ENERO 2026'!Z48="POR RECOGER"),'ENERO 2026'!F48,"")</f>
        <v/>
      </c>
      <c r="E44" s="381">
        <f>IF(AND('ENERO 2026'!D48&lt;&gt;"",'ENERO 2026'!Z48="POR RECOGER"),TEXT('ENERO 2026'!G48,"DD/MM/YYYY"),"")</f>
        <v/>
      </c>
      <c r="F44" s="381">
        <f>IF(AND('ENERO 2026'!D48&lt;&gt;"",'ENERO 2026'!Z48="POR RECOGER"),'ENERO 2026'!K48,"")</f>
        <v/>
      </c>
      <c r="G44" s="382">
        <f>IF(AND('ENERO 2026'!D48&lt;&gt;"",'ENERO 2026'!Z48="POR RECOGER"),'ENERO 2026'!M48,"")</f>
        <v/>
      </c>
      <c r="H44" s="382">
        <f>IF(AND('ENERO 2026'!D48&lt;&gt;"",'ENERO 2026'!Z48="POR RECOGER"),'ENERO 2026'!N48,"")</f>
        <v/>
      </c>
      <c r="I44" s="381">
        <f>IF(AND('ENERO 2026'!D48&lt;&gt;"",'ENERO 2026'!Z48="POR RECOGER"),'ENERO 2026'!P48,"")</f>
        <v/>
      </c>
      <c r="J44" s="381">
        <f>IF(AND('ENERO 2026'!D48&lt;&gt;"",'ENERO 2026'!Z48="POR RECOGER"),'ENERO 2026'!Q48,"")</f>
        <v/>
      </c>
      <c r="K44" s="381">
        <f>IF(AND('ENERO 2026'!D48&lt;&gt;"",'ENERO 2026'!Z48="POR RECOGER"),'ENERO 2026'!Y48,"")</f>
        <v/>
      </c>
      <c r="L44" s="381">
        <f>IF(AND('ENERO 2026'!D48&lt;&gt;"",'ENERO 2026'!Z48="POR RECOGER"),'ENERO 2026'!I48,"")</f>
        <v/>
      </c>
      <c r="P44" s="194" t="n"/>
      <c r="Q44" s="194" t="n"/>
      <c r="R44" s="194" t="n"/>
      <c r="S44" s="194" t="n"/>
      <c r="T44" s="194" t="n"/>
      <c r="U44" s="194" t="n"/>
      <c r="V44" s="194" t="n"/>
      <c r="W44" s="194" t="n"/>
      <c r="X44" s="194" t="n"/>
      <c r="Y44" s="194" t="n"/>
      <c r="Z44" s="194" t="n"/>
    </row>
    <row r="45" ht="15" customHeight="1" s="195">
      <c r="A45" s="381">
        <f>IF(AND('ENERO 2026'!D49&lt;&gt;"",'ENERO 2026'!Z49="POR RECOGER"),"ENE","")</f>
        <v/>
      </c>
      <c r="B45" s="381">
        <f>IF(AND('ENERO 2026'!D49&lt;&gt;"",'ENERO 2026'!Z49="POR RECOGER"),IF('ENERO 2026'!Y49&lt;&gt;"",'ENERO 2026'!Y49,'ENERO 2026'!I49),"")</f>
        <v/>
      </c>
      <c r="C45" s="381">
        <f>IF(AND('ENERO 2026'!D49&lt;&gt;"",'ENERO 2026'!Z49="POR RECOGER"),'ENERO 2026'!D49,"")</f>
        <v/>
      </c>
      <c r="D45" s="381">
        <f>IF(AND('ENERO 2026'!D49&lt;&gt;"",'ENERO 2026'!Z49="POR RECOGER"),'ENERO 2026'!F49,"")</f>
        <v/>
      </c>
      <c r="E45" s="381">
        <f>IF(AND('ENERO 2026'!D49&lt;&gt;"",'ENERO 2026'!Z49="POR RECOGER"),TEXT('ENERO 2026'!G49,"DD/MM/YYYY"),"")</f>
        <v/>
      </c>
      <c r="F45" s="381">
        <f>IF(AND('ENERO 2026'!D49&lt;&gt;"",'ENERO 2026'!Z49="POR RECOGER"),'ENERO 2026'!K49,"")</f>
        <v/>
      </c>
      <c r="G45" s="382">
        <f>IF(AND('ENERO 2026'!D49&lt;&gt;"",'ENERO 2026'!Z49="POR RECOGER"),'ENERO 2026'!M49,"")</f>
        <v/>
      </c>
      <c r="H45" s="382">
        <f>IF(AND('ENERO 2026'!D49&lt;&gt;"",'ENERO 2026'!Z49="POR RECOGER"),'ENERO 2026'!N49,"")</f>
        <v/>
      </c>
      <c r="I45" s="381">
        <f>IF(AND('ENERO 2026'!D49&lt;&gt;"",'ENERO 2026'!Z49="POR RECOGER"),'ENERO 2026'!P49,"")</f>
        <v/>
      </c>
      <c r="J45" s="381">
        <f>IF(AND('ENERO 2026'!D49&lt;&gt;"",'ENERO 2026'!Z49="POR RECOGER"),'ENERO 2026'!Q49,"")</f>
        <v/>
      </c>
      <c r="K45" s="381">
        <f>IF(AND('ENERO 2026'!D49&lt;&gt;"",'ENERO 2026'!Z49="POR RECOGER"),'ENERO 2026'!Y49,"")</f>
        <v/>
      </c>
      <c r="L45" s="381">
        <f>IF(AND('ENERO 2026'!D49&lt;&gt;"",'ENERO 2026'!Z49="POR RECOGER"),'ENERO 2026'!I49,"")</f>
        <v/>
      </c>
      <c r="P45" s="194" t="n"/>
      <c r="Q45" s="194" t="n"/>
      <c r="R45" s="194" t="n"/>
      <c r="S45" s="194" t="n"/>
      <c r="T45" s="194" t="n"/>
      <c r="U45" s="194" t="n"/>
      <c r="V45" s="194" t="n"/>
      <c r="W45" s="194" t="n"/>
      <c r="X45" s="194" t="n"/>
      <c r="Y45" s="194" t="n"/>
      <c r="Z45" s="194" t="n"/>
    </row>
    <row r="46" ht="15" customHeight="1" s="195">
      <c r="A46" s="381">
        <f>IF(AND('ENERO 2026'!D50&lt;&gt;"",'ENERO 2026'!Z50="POR RECOGER"),"ENE","")</f>
        <v/>
      </c>
      <c r="B46" s="381">
        <f>IF(AND('ENERO 2026'!D50&lt;&gt;"",'ENERO 2026'!Z50="POR RECOGER"),IF('ENERO 2026'!Y50&lt;&gt;"",'ENERO 2026'!Y50,'ENERO 2026'!I50),"")</f>
        <v/>
      </c>
      <c r="C46" s="381">
        <f>IF(AND('ENERO 2026'!D50&lt;&gt;"",'ENERO 2026'!Z50="POR RECOGER"),'ENERO 2026'!D50,"")</f>
        <v/>
      </c>
      <c r="D46" s="381">
        <f>IF(AND('ENERO 2026'!D50&lt;&gt;"",'ENERO 2026'!Z50="POR RECOGER"),'ENERO 2026'!F50,"")</f>
        <v/>
      </c>
      <c r="E46" s="381">
        <f>IF(AND('ENERO 2026'!D50&lt;&gt;"",'ENERO 2026'!Z50="POR RECOGER"),TEXT('ENERO 2026'!G50,"DD/MM/YYYY"),"")</f>
        <v/>
      </c>
      <c r="F46" s="381">
        <f>IF(AND('ENERO 2026'!D50&lt;&gt;"",'ENERO 2026'!Z50="POR RECOGER"),'ENERO 2026'!K50,"")</f>
        <v/>
      </c>
      <c r="G46" s="382">
        <f>IF(AND('ENERO 2026'!D50&lt;&gt;"",'ENERO 2026'!Z50="POR RECOGER"),'ENERO 2026'!M50,"")</f>
        <v/>
      </c>
      <c r="H46" s="382">
        <f>IF(AND('ENERO 2026'!D50&lt;&gt;"",'ENERO 2026'!Z50="POR RECOGER"),'ENERO 2026'!N50,"")</f>
        <v/>
      </c>
      <c r="I46" s="381">
        <f>IF(AND('ENERO 2026'!D50&lt;&gt;"",'ENERO 2026'!Z50="POR RECOGER"),'ENERO 2026'!P50,"")</f>
        <v/>
      </c>
      <c r="J46" s="381">
        <f>IF(AND('ENERO 2026'!D50&lt;&gt;"",'ENERO 2026'!Z50="POR RECOGER"),'ENERO 2026'!Q50,"")</f>
        <v/>
      </c>
      <c r="K46" s="381">
        <f>IF(AND('ENERO 2026'!D50&lt;&gt;"",'ENERO 2026'!Z50="POR RECOGER"),'ENERO 2026'!Y50,"")</f>
        <v/>
      </c>
      <c r="L46" s="381">
        <f>IF(AND('ENERO 2026'!D50&lt;&gt;"",'ENERO 2026'!Z50="POR RECOGER"),'ENERO 2026'!I50,"")</f>
        <v/>
      </c>
      <c r="P46" s="194" t="n"/>
      <c r="Q46" s="194" t="n"/>
      <c r="R46" s="194" t="n"/>
      <c r="S46" s="194" t="n"/>
      <c r="T46" s="194" t="n"/>
      <c r="U46" s="194" t="n"/>
      <c r="V46" s="194" t="n"/>
      <c r="W46" s="194" t="n"/>
      <c r="X46" s="194" t="n"/>
      <c r="Y46" s="194" t="n"/>
      <c r="Z46" s="194" t="n"/>
    </row>
    <row r="47" ht="15" customHeight="1" s="195">
      <c r="A47" s="381">
        <f>IF(AND('ENERO 2026'!D51&lt;&gt;"",'ENERO 2026'!Z51="POR RECOGER"),"ENE","")</f>
        <v/>
      </c>
      <c r="B47" s="381">
        <f>IF(AND('ENERO 2026'!D51&lt;&gt;"",'ENERO 2026'!Z51="POR RECOGER"),IF('ENERO 2026'!Y51&lt;&gt;"",'ENERO 2026'!Y51,'ENERO 2026'!I51),"")</f>
        <v/>
      </c>
      <c r="C47" s="381">
        <f>IF(AND('ENERO 2026'!D51&lt;&gt;"",'ENERO 2026'!Z51="POR RECOGER"),'ENERO 2026'!D51,"")</f>
        <v/>
      </c>
      <c r="D47" s="381">
        <f>IF(AND('ENERO 2026'!D51&lt;&gt;"",'ENERO 2026'!Z51="POR RECOGER"),'ENERO 2026'!F51,"")</f>
        <v/>
      </c>
      <c r="E47" s="381">
        <f>IF(AND('ENERO 2026'!D51&lt;&gt;"",'ENERO 2026'!Z51="POR RECOGER"),TEXT('ENERO 2026'!G51,"DD/MM/YYYY"),"")</f>
        <v/>
      </c>
      <c r="F47" s="381">
        <f>IF(AND('ENERO 2026'!D51&lt;&gt;"",'ENERO 2026'!Z51="POR RECOGER"),'ENERO 2026'!K51,"")</f>
        <v/>
      </c>
      <c r="G47" s="382">
        <f>IF(AND('ENERO 2026'!D51&lt;&gt;"",'ENERO 2026'!Z51="POR RECOGER"),'ENERO 2026'!M51,"")</f>
        <v/>
      </c>
      <c r="H47" s="382">
        <f>IF(AND('ENERO 2026'!D51&lt;&gt;"",'ENERO 2026'!Z51="POR RECOGER"),'ENERO 2026'!N51,"")</f>
        <v/>
      </c>
      <c r="I47" s="381">
        <f>IF(AND('ENERO 2026'!D51&lt;&gt;"",'ENERO 2026'!Z51="POR RECOGER"),'ENERO 2026'!P51,"")</f>
        <v/>
      </c>
      <c r="J47" s="381">
        <f>IF(AND('ENERO 2026'!D51&lt;&gt;"",'ENERO 2026'!Z51="POR RECOGER"),'ENERO 2026'!Q51,"")</f>
        <v/>
      </c>
      <c r="K47" s="381">
        <f>IF(AND('ENERO 2026'!D51&lt;&gt;"",'ENERO 2026'!Z51="POR RECOGER"),'ENERO 2026'!Y51,"")</f>
        <v/>
      </c>
      <c r="L47" s="381">
        <f>IF(AND('ENERO 2026'!D51&lt;&gt;"",'ENERO 2026'!Z51="POR RECOGER"),'ENERO 2026'!I51,"")</f>
        <v/>
      </c>
      <c r="P47" s="194" t="n"/>
      <c r="Q47" s="194" t="n"/>
      <c r="R47" s="194" t="n"/>
      <c r="S47" s="194" t="n"/>
      <c r="T47" s="194" t="n"/>
      <c r="U47" s="194" t="n"/>
      <c r="V47" s="194" t="n"/>
      <c r="W47" s="194" t="n"/>
      <c r="X47" s="194" t="n"/>
      <c r="Y47" s="194" t="n"/>
      <c r="Z47" s="194" t="n"/>
    </row>
    <row r="48" ht="15" customHeight="1" s="195">
      <c r="A48" s="381">
        <f>IF(AND('ENERO 2026'!D52&lt;&gt;"",'ENERO 2026'!Z52="POR RECOGER"),"ENE","")</f>
        <v/>
      </c>
      <c r="B48" s="381">
        <f>IF(AND('ENERO 2026'!D52&lt;&gt;"",'ENERO 2026'!Z52="POR RECOGER"),IF('ENERO 2026'!Y52&lt;&gt;"",'ENERO 2026'!Y52,'ENERO 2026'!I52),"")</f>
        <v/>
      </c>
      <c r="C48" s="381">
        <f>IF(AND('ENERO 2026'!D52&lt;&gt;"",'ENERO 2026'!Z52="POR RECOGER"),'ENERO 2026'!D52,"")</f>
        <v/>
      </c>
      <c r="D48" s="381">
        <f>IF(AND('ENERO 2026'!D52&lt;&gt;"",'ENERO 2026'!Z52="POR RECOGER"),'ENERO 2026'!F52,"")</f>
        <v/>
      </c>
      <c r="E48" s="381">
        <f>IF(AND('ENERO 2026'!D52&lt;&gt;"",'ENERO 2026'!Z52="POR RECOGER"),TEXT('ENERO 2026'!G52,"DD/MM/YYYY"),"")</f>
        <v/>
      </c>
      <c r="F48" s="381">
        <f>IF(AND('ENERO 2026'!D52&lt;&gt;"",'ENERO 2026'!Z52="POR RECOGER"),'ENERO 2026'!K52,"")</f>
        <v/>
      </c>
      <c r="G48" s="382">
        <f>IF(AND('ENERO 2026'!D52&lt;&gt;"",'ENERO 2026'!Z52="POR RECOGER"),'ENERO 2026'!M52,"")</f>
        <v/>
      </c>
      <c r="H48" s="382">
        <f>IF(AND('ENERO 2026'!D52&lt;&gt;"",'ENERO 2026'!Z52="POR RECOGER"),'ENERO 2026'!N52,"")</f>
        <v/>
      </c>
      <c r="I48" s="381">
        <f>IF(AND('ENERO 2026'!D52&lt;&gt;"",'ENERO 2026'!Z52="POR RECOGER"),'ENERO 2026'!P52,"")</f>
        <v/>
      </c>
      <c r="J48" s="381">
        <f>IF(AND('ENERO 2026'!D52&lt;&gt;"",'ENERO 2026'!Z52="POR RECOGER"),'ENERO 2026'!Q52,"")</f>
        <v/>
      </c>
      <c r="K48" s="381">
        <f>IF(AND('ENERO 2026'!D52&lt;&gt;"",'ENERO 2026'!Z52="POR RECOGER"),'ENERO 2026'!Y52,"")</f>
        <v/>
      </c>
      <c r="L48" s="381">
        <f>IF(AND('ENERO 2026'!D52&lt;&gt;"",'ENERO 2026'!Z52="POR RECOGER"),'ENERO 2026'!I52,"")</f>
        <v/>
      </c>
      <c r="P48" s="194" t="n"/>
      <c r="Q48" s="194" t="n"/>
      <c r="R48" s="194" t="n"/>
      <c r="S48" s="194" t="n"/>
      <c r="T48" s="194" t="n"/>
      <c r="U48" s="194" t="n"/>
      <c r="V48" s="194" t="n"/>
      <c r="W48" s="194" t="n"/>
      <c r="X48" s="194" t="n"/>
      <c r="Y48" s="194" t="n"/>
      <c r="Z48" s="194" t="n"/>
    </row>
    <row r="49" ht="15" customHeight="1" s="195">
      <c r="A49" s="381">
        <f>IF(AND('ENERO 2026'!D53&lt;&gt;"",'ENERO 2026'!Z53="POR RECOGER"),"ENE","")</f>
        <v/>
      </c>
      <c r="B49" s="381">
        <f>IF(AND('ENERO 2026'!D53&lt;&gt;"",'ENERO 2026'!Z53="POR RECOGER"),IF('ENERO 2026'!Y53&lt;&gt;"",'ENERO 2026'!Y53,'ENERO 2026'!I53),"")</f>
        <v/>
      </c>
      <c r="C49" s="381">
        <f>IF(AND('ENERO 2026'!D53&lt;&gt;"",'ENERO 2026'!Z53="POR RECOGER"),'ENERO 2026'!D53,"")</f>
        <v/>
      </c>
      <c r="D49" s="381">
        <f>IF(AND('ENERO 2026'!D53&lt;&gt;"",'ENERO 2026'!Z53="POR RECOGER"),'ENERO 2026'!F53,"")</f>
        <v/>
      </c>
      <c r="E49" s="381">
        <f>IF(AND('ENERO 2026'!D53&lt;&gt;"",'ENERO 2026'!Z53="POR RECOGER"),TEXT('ENERO 2026'!G53,"DD/MM/YYYY"),"")</f>
        <v/>
      </c>
      <c r="F49" s="381">
        <f>IF(AND('ENERO 2026'!D53&lt;&gt;"",'ENERO 2026'!Z53="POR RECOGER"),'ENERO 2026'!K53,"")</f>
        <v/>
      </c>
      <c r="G49" s="382">
        <f>IF(AND('ENERO 2026'!D53&lt;&gt;"",'ENERO 2026'!Z53="POR RECOGER"),'ENERO 2026'!M53,"")</f>
        <v/>
      </c>
      <c r="H49" s="382">
        <f>IF(AND('ENERO 2026'!D53&lt;&gt;"",'ENERO 2026'!Z53="POR RECOGER"),'ENERO 2026'!N53,"")</f>
        <v/>
      </c>
      <c r="I49" s="381">
        <f>IF(AND('ENERO 2026'!D53&lt;&gt;"",'ENERO 2026'!Z53="POR RECOGER"),'ENERO 2026'!P53,"")</f>
        <v/>
      </c>
      <c r="J49" s="381">
        <f>IF(AND('ENERO 2026'!D53&lt;&gt;"",'ENERO 2026'!Z53="POR RECOGER"),'ENERO 2026'!Q53,"")</f>
        <v/>
      </c>
      <c r="K49" s="381">
        <f>IF(AND('ENERO 2026'!D53&lt;&gt;"",'ENERO 2026'!Z53="POR RECOGER"),'ENERO 2026'!Y53,"")</f>
        <v/>
      </c>
      <c r="L49" s="381">
        <f>IF(AND('ENERO 2026'!D53&lt;&gt;"",'ENERO 2026'!Z53="POR RECOGER"),'ENERO 2026'!I53,"")</f>
        <v/>
      </c>
      <c r="P49" s="194" t="n"/>
      <c r="Q49" s="194" t="n"/>
      <c r="R49" s="194" t="n"/>
      <c r="S49" s="194" t="n"/>
      <c r="T49" s="194" t="n"/>
      <c r="U49" s="194" t="n"/>
      <c r="V49" s="194" t="n"/>
      <c r="W49" s="194" t="n"/>
      <c r="X49" s="194" t="n"/>
      <c r="Y49" s="194" t="n"/>
      <c r="Z49" s="194" t="n"/>
    </row>
    <row r="50" ht="15" customHeight="1" s="195">
      <c r="A50" s="381">
        <f>IF(AND('ENERO 2026'!D54&lt;&gt;"",'ENERO 2026'!Z54="POR RECOGER"),"ENE","")</f>
        <v/>
      </c>
      <c r="B50" s="381">
        <f>IF(AND('ENERO 2026'!D54&lt;&gt;"",'ENERO 2026'!Z54="POR RECOGER"),IF('ENERO 2026'!Y54&lt;&gt;"",'ENERO 2026'!Y54,'ENERO 2026'!I54),"")</f>
        <v/>
      </c>
      <c r="C50" s="381">
        <f>IF(AND('ENERO 2026'!D54&lt;&gt;"",'ENERO 2026'!Z54="POR RECOGER"),'ENERO 2026'!D54,"")</f>
        <v/>
      </c>
      <c r="D50" s="381">
        <f>IF(AND('ENERO 2026'!D54&lt;&gt;"",'ENERO 2026'!Z54="POR RECOGER"),'ENERO 2026'!F54,"")</f>
        <v/>
      </c>
      <c r="E50" s="381">
        <f>IF(AND('ENERO 2026'!D54&lt;&gt;"",'ENERO 2026'!Z54="POR RECOGER"),TEXT('ENERO 2026'!G54,"DD/MM/YYYY"),"")</f>
        <v/>
      </c>
      <c r="F50" s="381">
        <f>IF(AND('ENERO 2026'!D54&lt;&gt;"",'ENERO 2026'!Z54="POR RECOGER"),'ENERO 2026'!K54,"")</f>
        <v/>
      </c>
      <c r="G50" s="382">
        <f>IF(AND('ENERO 2026'!D54&lt;&gt;"",'ENERO 2026'!Z54="POR RECOGER"),'ENERO 2026'!M54,"")</f>
        <v/>
      </c>
      <c r="H50" s="382">
        <f>IF(AND('ENERO 2026'!D54&lt;&gt;"",'ENERO 2026'!Z54="POR RECOGER"),'ENERO 2026'!N54,"")</f>
        <v/>
      </c>
      <c r="I50" s="381">
        <f>IF(AND('ENERO 2026'!D54&lt;&gt;"",'ENERO 2026'!Z54="POR RECOGER"),'ENERO 2026'!P54,"")</f>
        <v/>
      </c>
      <c r="J50" s="381">
        <f>IF(AND('ENERO 2026'!D54&lt;&gt;"",'ENERO 2026'!Z54="POR RECOGER"),'ENERO 2026'!Q54,"")</f>
        <v/>
      </c>
      <c r="K50" s="381">
        <f>IF(AND('ENERO 2026'!D54&lt;&gt;"",'ENERO 2026'!Z54="POR RECOGER"),'ENERO 2026'!Y54,"")</f>
        <v/>
      </c>
      <c r="L50" s="381">
        <f>IF(AND('ENERO 2026'!D54&lt;&gt;"",'ENERO 2026'!Z54="POR RECOGER"),'ENERO 2026'!I54,"")</f>
        <v/>
      </c>
      <c r="P50" s="194" t="n"/>
      <c r="Q50" s="194" t="n"/>
      <c r="R50" s="194" t="n"/>
      <c r="S50" s="194" t="n"/>
      <c r="T50" s="194" t="n"/>
      <c r="U50" s="194" t="n"/>
      <c r="V50" s="194" t="n"/>
      <c r="W50" s="194" t="n"/>
      <c r="X50" s="194" t="n"/>
      <c r="Y50" s="194" t="n"/>
      <c r="Z50" s="194" t="n"/>
    </row>
    <row r="51" ht="15" customHeight="1" s="195">
      <c r="A51" s="381">
        <f>IF(AND('ENERO 2026'!D55&lt;&gt;"",'ENERO 2026'!Z55="POR RECOGER"),"ENE","")</f>
        <v/>
      </c>
      <c r="B51" s="381">
        <f>IF(AND('ENERO 2026'!D55&lt;&gt;"",'ENERO 2026'!Z55="POR RECOGER"),IF('ENERO 2026'!Y55&lt;&gt;"",'ENERO 2026'!Y55,'ENERO 2026'!I55),"")</f>
        <v/>
      </c>
      <c r="C51" s="381">
        <f>IF(AND('ENERO 2026'!D55&lt;&gt;"",'ENERO 2026'!Z55="POR RECOGER"),'ENERO 2026'!D55,"")</f>
        <v/>
      </c>
      <c r="D51" s="381">
        <f>IF(AND('ENERO 2026'!D55&lt;&gt;"",'ENERO 2026'!Z55="POR RECOGER"),'ENERO 2026'!F55,"")</f>
        <v/>
      </c>
      <c r="E51" s="381">
        <f>IF(AND('ENERO 2026'!D55&lt;&gt;"",'ENERO 2026'!Z55="POR RECOGER"),TEXT('ENERO 2026'!G55,"DD/MM/YYYY"),"")</f>
        <v/>
      </c>
      <c r="F51" s="381">
        <f>IF(AND('ENERO 2026'!D55&lt;&gt;"",'ENERO 2026'!Z55="POR RECOGER"),'ENERO 2026'!K55,"")</f>
        <v/>
      </c>
      <c r="G51" s="382">
        <f>IF(AND('ENERO 2026'!D55&lt;&gt;"",'ENERO 2026'!Z55="POR RECOGER"),'ENERO 2026'!M55,"")</f>
        <v/>
      </c>
      <c r="H51" s="382">
        <f>IF(AND('ENERO 2026'!D55&lt;&gt;"",'ENERO 2026'!Z55="POR RECOGER"),'ENERO 2026'!N55,"")</f>
        <v/>
      </c>
      <c r="I51" s="381">
        <f>IF(AND('ENERO 2026'!D55&lt;&gt;"",'ENERO 2026'!Z55="POR RECOGER"),'ENERO 2026'!P55,"")</f>
        <v/>
      </c>
      <c r="J51" s="381">
        <f>IF(AND('ENERO 2026'!D55&lt;&gt;"",'ENERO 2026'!Z55="POR RECOGER"),'ENERO 2026'!Q55,"")</f>
        <v/>
      </c>
      <c r="K51" s="381">
        <f>IF(AND('ENERO 2026'!D55&lt;&gt;"",'ENERO 2026'!Z55="POR RECOGER"),'ENERO 2026'!Y55,"")</f>
        <v/>
      </c>
      <c r="L51" s="381">
        <f>IF(AND('ENERO 2026'!D55&lt;&gt;"",'ENERO 2026'!Z55="POR RECOGER"),'ENERO 2026'!I55,"")</f>
        <v/>
      </c>
      <c r="P51" s="194" t="n"/>
      <c r="Q51" s="194" t="n"/>
      <c r="R51" s="194" t="n"/>
      <c r="S51" s="194" t="n"/>
      <c r="T51" s="194" t="n"/>
      <c r="U51" s="194" t="n"/>
      <c r="V51" s="194" t="n"/>
      <c r="W51" s="194" t="n"/>
      <c r="X51" s="194" t="n"/>
      <c r="Y51" s="194" t="n"/>
      <c r="Z51" s="194" t="n"/>
    </row>
    <row r="52" ht="15" customHeight="1" s="195">
      <c r="A52" s="381">
        <f>IF(AND('ENERO 2026'!D56&lt;&gt;"",'ENERO 2026'!Z56="POR RECOGER"),"ENE","")</f>
        <v/>
      </c>
      <c r="B52" s="381">
        <f>IF(AND('ENERO 2026'!D56&lt;&gt;"",'ENERO 2026'!Z56="POR RECOGER"),IF('ENERO 2026'!Y56&lt;&gt;"",'ENERO 2026'!Y56,'ENERO 2026'!I56),"")</f>
        <v/>
      </c>
      <c r="C52" s="381">
        <f>IF(AND('ENERO 2026'!D56&lt;&gt;"",'ENERO 2026'!Z56="POR RECOGER"),'ENERO 2026'!D56,"")</f>
        <v/>
      </c>
      <c r="D52" s="381">
        <f>IF(AND('ENERO 2026'!D56&lt;&gt;"",'ENERO 2026'!Z56="POR RECOGER"),'ENERO 2026'!F56,"")</f>
        <v/>
      </c>
      <c r="E52" s="381">
        <f>IF(AND('ENERO 2026'!D56&lt;&gt;"",'ENERO 2026'!Z56="POR RECOGER"),TEXT('ENERO 2026'!G56,"DD/MM/YYYY"),"")</f>
        <v/>
      </c>
      <c r="F52" s="381">
        <f>IF(AND('ENERO 2026'!D56&lt;&gt;"",'ENERO 2026'!Z56="POR RECOGER"),'ENERO 2026'!K56,"")</f>
        <v/>
      </c>
      <c r="G52" s="382">
        <f>IF(AND('ENERO 2026'!D56&lt;&gt;"",'ENERO 2026'!Z56="POR RECOGER"),'ENERO 2026'!M56,"")</f>
        <v/>
      </c>
      <c r="H52" s="382">
        <f>IF(AND('ENERO 2026'!D56&lt;&gt;"",'ENERO 2026'!Z56="POR RECOGER"),'ENERO 2026'!N56,"")</f>
        <v/>
      </c>
      <c r="I52" s="381">
        <f>IF(AND('ENERO 2026'!D56&lt;&gt;"",'ENERO 2026'!Z56="POR RECOGER"),'ENERO 2026'!P56,"")</f>
        <v/>
      </c>
      <c r="J52" s="381">
        <f>IF(AND('ENERO 2026'!D56&lt;&gt;"",'ENERO 2026'!Z56="POR RECOGER"),'ENERO 2026'!Q56,"")</f>
        <v/>
      </c>
      <c r="K52" s="381">
        <f>IF(AND('ENERO 2026'!D56&lt;&gt;"",'ENERO 2026'!Z56="POR RECOGER"),'ENERO 2026'!Y56,"")</f>
        <v/>
      </c>
      <c r="L52" s="381">
        <f>IF(AND('ENERO 2026'!D56&lt;&gt;"",'ENERO 2026'!Z56="POR RECOGER"),'ENERO 2026'!I56,"")</f>
        <v/>
      </c>
      <c r="P52" s="194" t="n"/>
      <c r="Q52" s="194" t="n"/>
      <c r="R52" s="194" t="n"/>
      <c r="S52" s="194" t="n"/>
      <c r="T52" s="194" t="n"/>
      <c r="U52" s="194" t="n"/>
      <c r="V52" s="194" t="n"/>
      <c r="W52" s="194" t="n"/>
      <c r="X52" s="194" t="n"/>
      <c r="Y52" s="194" t="n"/>
      <c r="Z52" s="194" t="n"/>
    </row>
    <row r="53" ht="15" customHeight="1" s="195">
      <c r="A53" s="381">
        <f>IF(AND('ENERO 2026'!D57&lt;&gt;"",'ENERO 2026'!Z57="POR RECOGER"),"ENE","")</f>
        <v/>
      </c>
      <c r="B53" s="381">
        <f>IF(AND('ENERO 2026'!D57&lt;&gt;"",'ENERO 2026'!Z57="POR RECOGER"),IF('ENERO 2026'!Y57&lt;&gt;"",'ENERO 2026'!Y57,'ENERO 2026'!I57),"")</f>
        <v/>
      </c>
      <c r="C53" s="381">
        <f>IF(AND('ENERO 2026'!D57&lt;&gt;"",'ENERO 2026'!Z57="POR RECOGER"),'ENERO 2026'!D57,"")</f>
        <v/>
      </c>
      <c r="D53" s="381">
        <f>IF(AND('ENERO 2026'!D57&lt;&gt;"",'ENERO 2026'!Z57="POR RECOGER"),'ENERO 2026'!F57,"")</f>
        <v/>
      </c>
      <c r="E53" s="381">
        <f>IF(AND('ENERO 2026'!D57&lt;&gt;"",'ENERO 2026'!Z57="POR RECOGER"),TEXT('ENERO 2026'!G57,"DD/MM/YYYY"),"")</f>
        <v/>
      </c>
      <c r="F53" s="381">
        <f>IF(AND('ENERO 2026'!D57&lt;&gt;"",'ENERO 2026'!Z57="POR RECOGER"),'ENERO 2026'!K57,"")</f>
        <v/>
      </c>
      <c r="G53" s="382">
        <f>IF(AND('ENERO 2026'!D57&lt;&gt;"",'ENERO 2026'!Z57="POR RECOGER"),'ENERO 2026'!M57,"")</f>
        <v/>
      </c>
      <c r="H53" s="382">
        <f>IF(AND('ENERO 2026'!D57&lt;&gt;"",'ENERO 2026'!Z57="POR RECOGER"),'ENERO 2026'!N57,"")</f>
        <v/>
      </c>
      <c r="I53" s="381">
        <f>IF(AND('ENERO 2026'!D57&lt;&gt;"",'ENERO 2026'!Z57="POR RECOGER"),'ENERO 2026'!P57,"")</f>
        <v/>
      </c>
      <c r="J53" s="381">
        <f>IF(AND('ENERO 2026'!D57&lt;&gt;"",'ENERO 2026'!Z57="POR RECOGER"),'ENERO 2026'!Q57,"")</f>
        <v/>
      </c>
      <c r="K53" s="381">
        <f>IF(AND('ENERO 2026'!D57&lt;&gt;"",'ENERO 2026'!Z57="POR RECOGER"),'ENERO 2026'!Y57,"")</f>
        <v/>
      </c>
      <c r="L53" s="381">
        <f>IF(AND('ENERO 2026'!D57&lt;&gt;"",'ENERO 2026'!Z57="POR RECOGER"),'ENERO 2026'!I57,"")</f>
        <v/>
      </c>
      <c r="P53" s="194" t="n"/>
      <c r="Q53" s="194" t="n"/>
      <c r="R53" s="194" t="n"/>
      <c r="S53" s="194" t="n"/>
      <c r="T53" s="194" t="n"/>
      <c r="U53" s="194" t="n"/>
      <c r="V53" s="194" t="n"/>
      <c r="W53" s="194" t="n"/>
      <c r="X53" s="194" t="n"/>
      <c r="Y53" s="194" t="n"/>
      <c r="Z53" s="194" t="n"/>
    </row>
    <row r="54" ht="15" customHeight="1" s="195">
      <c r="A54" s="381">
        <f>IF(AND('ENERO 2026'!D58&lt;&gt;"",'ENERO 2026'!Z58="POR RECOGER"),"ENE","")</f>
        <v/>
      </c>
      <c r="B54" s="381">
        <f>IF(AND('ENERO 2026'!D58&lt;&gt;"",'ENERO 2026'!Z58="POR RECOGER"),IF('ENERO 2026'!Y58&lt;&gt;"",'ENERO 2026'!Y58,'ENERO 2026'!I58),"")</f>
        <v/>
      </c>
      <c r="C54" s="381">
        <f>IF(AND('ENERO 2026'!D58&lt;&gt;"",'ENERO 2026'!Z58="POR RECOGER"),'ENERO 2026'!D58,"")</f>
        <v/>
      </c>
      <c r="D54" s="381">
        <f>IF(AND('ENERO 2026'!D58&lt;&gt;"",'ENERO 2026'!Z58="POR RECOGER"),'ENERO 2026'!F58,"")</f>
        <v/>
      </c>
      <c r="E54" s="381">
        <f>IF(AND('ENERO 2026'!D58&lt;&gt;"",'ENERO 2026'!Z58="POR RECOGER"),TEXT('ENERO 2026'!G58,"DD/MM/YYYY"),"")</f>
        <v/>
      </c>
      <c r="F54" s="381">
        <f>IF(AND('ENERO 2026'!D58&lt;&gt;"",'ENERO 2026'!Z58="POR RECOGER"),'ENERO 2026'!K58,"")</f>
        <v/>
      </c>
      <c r="G54" s="382">
        <f>IF(AND('ENERO 2026'!D58&lt;&gt;"",'ENERO 2026'!Z58="POR RECOGER"),'ENERO 2026'!M58,"")</f>
        <v/>
      </c>
      <c r="H54" s="382">
        <f>IF(AND('ENERO 2026'!D58&lt;&gt;"",'ENERO 2026'!Z58="POR RECOGER"),'ENERO 2026'!N58,"")</f>
        <v/>
      </c>
      <c r="I54" s="381">
        <f>IF(AND('ENERO 2026'!D58&lt;&gt;"",'ENERO 2026'!Z58="POR RECOGER"),'ENERO 2026'!P58,"")</f>
        <v/>
      </c>
      <c r="J54" s="381">
        <f>IF(AND('ENERO 2026'!D58&lt;&gt;"",'ENERO 2026'!Z58="POR RECOGER"),'ENERO 2026'!Q58,"")</f>
        <v/>
      </c>
      <c r="K54" s="381">
        <f>IF(AND('ENERO 2026'!D58&lt;&gt;"",'ENERO 2026'!Z58="POR RECOGER"),'ENERO 2026'!Y58,"")</f>
        <v/>
      </c>
      <c r="L54" s="381">
        <f>IF(AND('ENERO 2026'!D58&lt;&gt;"",'ENERO 2026'!Z58="POR RECOGER"),'ENERO 2026'!I58,"")</f>
        <v/>
      </c>
      <c r="P54" s="194" t="n"/>
      <c r="Q54" s="194" t="n"/>
      <c r="R54" s="194" t="n"/>
      <c r="S54" s="194" t="n"/>
      <c r="T54" s="194" t="n"/>
      <c r="U54" s="194" t="n"/>
      <c r="V54" s="194" t="n"/>
      <c r="W54" s="194" t="n"/>
      <c r="X54" s="194" t="n"/>
      <c r="Y54" s="194" t="n"/>
      <c r="Z54" s="194" t="n"/>
    </row>
    <row r="55" ht="15" customHeight="1" s="195">
      <c r="A55" s="381">
        <f>IF(AND('ENERO 2026'!D59&lt;&gt;"",'ENERO 2026'!Z59="POR RECOGER"),"ENE","")</f>
        <v/>
      </c>
      <c r="B55" s="381">
        <f>IF(AND('ENERO 2026'!D59&lt;&gt;"",'ENERO 2026'!Z59="POR RECOGER"),IF('ENERO 2026'!Y59&lt;&gt;"",'ENERO 2026'!Y59,'ENERO 2026'!I59),"")</f>
        <v/>
      </c>
      <c r="C55" s="381">
        <f>IF(AND('ENERO 2026'!D59&lt;&gt;"",'ENERO 2026'!Z59="POR RECOGER"),'ENERO 2026'!D59,"")</f>
        <v/>
      </c>
      <c r="D55" s="381">
        <f>IF(AND('ENERO 2026'!D59&lt;&gt;"",'ENERO 2026'!Z59="POR RECOGER"),'ENERO 2026'!F59,"")</f>
        <v/>
      </c>
      <c r="E55" s="381">
        <f>IF(AND('ENERO 2026'!D59&lt;&gt;"",'ENERO 2026'!Z59="POR RECOGER"),TEXT('ENERO 2026'!G59,"DD/MM/YYYY"),"")</f>
        <v/>
      </c>
      <c r="F55" s="381">
        <f>IF(AND('ENERO 2026'!D59&lt;&gt;"",'ENERO 2026'!Z59="POR RECOGER"),'ENERO 2026'!K59,"")</f>
        <v/>
      </c>
      <c r="G55" s="382">
        <f>IF(AND('ENERO 2026'!D59&lt;&gt;"",'ENERO 2026'!Z59="POR RECOGER"),'ENERO 2026'!M59,"")</f>
        <v/>
      </c>
      <c r="H55" s="382">
        <f>IF(AND('ENERO 2026'!D59&lt;&gt;"",'ENERO 2026'!Z59="POR RECOGER"),'ENERO 2026'!N59,"")</f>
        <v/>
      </c>
      <c r="I55" s="381">
        <f>IF(AND('ENERO 2026'!D59&lt;&gt;"",'ENERO 2026'!Z59="POR RECOGER"),'ENERO 2026'!P59,"")</f>
        <v/>
      </c>
      <c r="J55" s="381">
        <f>IF(AND('ENERO 2026'!D59&lt;&gt;"",'ENERO 2026'!Z59="POR RECOGER"),'ENERO 2026'!Q59,"")</f>
        <v/>
      </c>
      <c r="K55" s="381">
        <f>IF(AND('ENERO 2026'!D59&lt;&gt;"",'ENERO 2026'!Z59="POR RECOGER"),'ENERO 2026'!Y59,"")</f>
        <v/>
      </c>
      <c r="L55" s="381">
        <f>IF(AND('ENERO 2026'!D59&lt;&gt;"",'ENERO 2026'!Z59="POR RECOGER"),'ENERO 2026'!I59,"")</f>
        <v/>
      </c>
      <c r="P55" s="194" t="n"/>
      <c r="Q55" s="194" t="n"/>
      <c r="R55" s="194" t="n"/>
      <c r="S55" s="194" t="n"/>
      <c r="T55" s="194" t="n"/>
      <c r="U55" s="194" t="n"/>
      <c r="V55" s="194" t="n"/>
      <c r="W55" s="194" t="n"/>
      <c r="X55" s="194" t="n"/>
      <c r="Y55" s="194" t="n"/>
      <c r="Z55" s="194" t="n"/>
    </row>
    <row r="56" ht="15" customHeight="1" s="195">
      <c r="A56" s="381">
        <f>IF(AND('ENERO 2026'!D60&lt;&gt;"",'ENERO 2026'!Z60="POR RECOGER"),"ENE","")</f>
        <v/>
      </c>
      <c r="B56" s="381">
        <f>IF(AND('ENERO 2026'!D60&lt;&gt;"",'ENERO 2026'!Z60="POR RECOGER"),IF('ENERO 2026'!Y60&lt;&gt;"",'ENERO 2026'!Y60,'ENERO 2026'!I60),"")</f>
        <v/>
      </c>
      <c r="C56" s="381">
        <f>IF(AND('ENERO 2026'!D60&lt;&gt;"",'ENERO 2026'!Z60="POR RECOGER"),'ENERO 2026'!D60,"")</f>
        <v/>
      </c>
      <c r="D56" s="381">
        <f>IF(AND('ENERO 2026'!D60&lt;&gt;"",'ENERO 2026'!Z60="POR RECOGER"),'ENERO 2026'!F60,"")</f>
        <v/>
      </c>
      <c r="E56" s="381">
        <f>IF(AND('ENERO 2026'!D60&lt;&gt;"",'ENERO 2026'!Z60="POR RECOGER"),TEXT('ENERO 2026'!G60,"DD/MM/YYYY"),"")</f>
        <v/>
      </c>
      <c r="F56" s="381">
        <f>IF(AND('ENERO 2026'!D60&lt;&gt;"",'ENERO 2026'!Z60="POR RECOGER"),'ENERO 2026'!K60,"")</f>
        <v/>
      </c>
      <c r="G56" s="382">
        <f>IF(AND('ENERO 2026'!D60&lt;&gt;"",'ENERO 2026'!Z60="POR RECOGER"),'ENERO 2026'!M60,"")</f>
        <v/>
      </c>
      <c r="H56" s="382">
        <f>IF(AND('ENERO 2026'!D60&lt;&gt;"",'ENERO 2026'!Z60="POR RECOGER"),'ENERO 2026'!N60,"")</f>
        <v/>
      </c>
      <c r="I56" s="381">
        <f>IF(AND('ENERO 2026'!D60&lt;&gt;"",'ENERO 2026'!Z60="POR RECOGER"),'ENERO 2026'!P60,"")</f>
        <v/>
      </c>
      <c r="J56" s="381">
        <f>IF(AND('ENERO 2026'!D60&lt;&gt;"",'ENERO 2026'!Z60="POR RECOGER"),'ENERO 2026'!Q60,"")</f>
        <v/>
      </c>
      <c r="K56" s="381">
        <f>IF(AND('ENERO 2026'!D60&lt;&gt;"",'ENERO 2026'!Z60="POR RECOGER"),'ENERO 2026'!Y60,"")</f>
        <v/>
      </c>
      <c r="L56" s="381">
        <f>IF(AND('ENERO 2026'!D60&lt;&gt;"",'ENERO 2026'!Z60="POR RECOGER"),'ENERO 2026'!I60,"")</f>
        <v/>
      </c>
      <c r="P56" s="194" t="n"/>
      <c r="Q56" s="194" t="n"/>
      <c r="R56" s="194" t="n"/>
      <c r="S56" s="194" t="n"/>
      <c r="T56" s="194" t="n"/>
      <c r="U56" s="194" t="n"/>
      <c r="V56" s="194" t="n"/>
      <c r="W56" s="194" t="n"/>
      <c r="X56" s="194" t="n"/>
      <c r="Y56" s="194" t="n"/>
      <c r="Z56" s="194" t="n"/>
    </row>
    <row r="57" ht="15" customHeight="1" s="195">
      <c r="A57" s="381">
        <f>IF(AND('ENERO 2026'!D61&lt;&gt;"",'ENERO 2026'!Z61="POR RECOGER"),"ENE","")</f>
        <v/>
      </c>
      <c r="B57" s="381">
        <f>IF(AND('ENERO 2026'!D61&lt;&gt;"",'ENERO 2026'!Z61="POR RECOGER"),IF('ENERO 2026'!Y61&lt;&gt;"",'ENERO 2026'!Y61,'ENERO 2026'!I61),"")</f>
        <v/>
      </c>
      <c r="C57" s="381">
        <f>IF(AND('ENERO 2026'!D61&lt;&gt;"",'ENERO 2026'!Z61="POR RECOGER"),'ENERO 2026'!D61,"")</f>
        <v/>
      </c>
      <c r="D57" s="381">
        <f>IF(AND('ENERO 2026'!D61&lt;&gt;"",'ENERO 2026'!Z61="POR RECOGER"),'ENERO 2026'!F61,"")</f>
        <v/>
      </c>
      <c r="E57" s="381">
        <f>IF(AND('ENERO 2026'!D61&lt;&gt;"",'ENERO 2026'!Z61="POR RECOGER"),TEXT('ENERO 2026'!G61,"DD/MM/YYYY"),"")</f>
        <v/>
      </c>
      <c r="F57" s="381">
        <f>IF(AND('ENERO 2026'!D61&lt;&gt;"",'ENERO 2026'!Z61="POR RECOGER"),'ENERO 2026'!K61,"")</f>
        <v/>
      </c>
      <c r="G57" s="382">
        <f>IF(AND('ENERO 2026'!D61&lt;&gt;"",'ENERO 2026'!Z61="POR RECOGER"),'ENERO 2026'!M61,"")</f>
        <v/>
      </c>
      <c r="H57" s="382">
        <f>IF(AND('ENERO 2026'!D61&lt;&gt;"",'ENERO 2026'!Z61="POR RECOGER"),'ENERO 2026'!N61,"")</f>
        <v/>
      </c>
      <c r="I57" s="381">
        <f>IF(AND('ENERO 2026'!D61&lt;&gt;"",'ENERO 2026'!Z61="POR RECOGER"),'ENERO 2026'!P61,"")</f>
        <v/>
      </c>
      <c r="J57" s="381">
        <f>IF(AND('ENERO 2026'!D61&lt;&gt;"",'ENERO 2026'!Z61="POR RECOGER"),'ENERO 2026'!Q61,"")</f>
        <v/>
      </c>
      <c r="K57" s="381">
        <f>IF(AND('ENERO 2026'!D61&lt;&gt;"",'ENERO 2026'!Z61="POR RECOGER"),'ENERO 2026'!Y61,"")</f>
        <v/>
      </c>
      <c r="L57" s="381">
        <f>IF(AND('ENERO 2026'!D61&lt;&gt;"",'ENERO 2026'!Z61="POR RECOGER"),'ENERO 2026'!I61,"")</f>
        <v/>
      </c>
      <c r="P57" s="194" t="n"/>
      <c r="Q57" s="194" t="n"/>
      <c r="R57" s="194" t="n"/>
      <c r="S57" s="194" t="n"/>
      <c r="T57" s="194" t="n"/>
      <c r="U57" s="194" t="n"/>
      <c r="V57" s="194" t="n"/>
      <c r="W57" s="194" t="n"/>
      <c r="X57" s="194" t="n"/>
      <c r="Y57" s="194" t="n"/>
      <c r="Z57" s="194" t="n"/>
    </row>
    <row r="58" ht="15" customHeight="1" s="195">
      <c r="A58" s="381">
        <f>IF(AND('ENERO 2026'!D62&lt;&gt;"",'ENERO 2026'!Z62="POR RECOGER"),"ENE","")</f>
        <v/>
      </c>
      <c r="B58" s="381">
        <f>IF(AND('ENERO 2026'!D62&lt;&gt;"",'ENERO 2026'!Z62="POR RECOGER"),IF('ENERO 2026'!Y62&lt;&gt;"",'ENERO 2026'!Y62,'ENERO 2026'!I62),"")</f>
        <v/>
      </c>
      <c r="C58" s="381">
        <f>IF(AND('ENERO 2026'!D62&lt;&gt;"",'ENERO 2026'!Z62="POR RECOGER"),'ENERO 2026'!D62,"")</f>
        <v/>
      </c>
      <c r="D58" s="381">
        <f>IF(AND('ENERO 2026'!D62&lt;&gt;"",'ENERO 2026'!Z62="POR RECOGER"),'ENERO 2026'!F62,"")</f>
        <v/>
      </c>
      <c r="E58" s="381">
        <f>IF(AND('ENERO 2026'!D62&lt;&gt;"",'ENERO 2026'!Z62="POR RECOGER"),TEXT('ENERO 2026'!G62,"DD/MM/YYYY"),"")</f>
        <v/>
      </c>
      <c r="F58" s="381">
        <f>IF(AND('ENERO 2026'!D62&lt;&gt;"",'ENERO 2026'!Z62="POR RECOGER"),'ENERO 2026'!K62,"")</f>
        <v/>
      </c>
      <c r="G58" s="382">
        <f>IF(AND('ENERO 2026'!D62&lt;&gt;"",'ENERO 2026'!Z62="POR RECOGER"),'ENERO 2026'!M62,"")</f>
        <v/>
      </c>
      <c r="H58" s="382">
        <f>IF(AND('ENERO 2026'!D62&lt;&gt;"",'ENERO 2026'!Z62="POR RECOGER"),'ENERO 2026'!N62,"")</f>
        <v/>
      </c>
      <c r="I58" s="381">
        <f>IF(AND('ENERO 2026'!D62&lt;&gt;"",'ENERO 2026'!Z62="POR RECOGER"),'ENERO 2026'!P62,"")</f>
        <v/>
      </c>
      <c r="J58" s="381">
        <f>IF(AND('ENERO 2026'!D62&lt;&gt;"",'ENERO 2026'!Z62="POR RECOGER"),'ENERO 2026'!Q62,"")</f>
        <v/>
      </c>
      <c r="K58" s="381">
        <f>IF(AND('ENERO 2026'!D62&lt;&gt;"",'ENERO 2026'!Z62="POR RECOGER"),'ENERO 2026'!Y62,"")</f>
        <v/>
      </c>
      <c r="L58" s="381">
        <f>IF(AND('ENERO 2026'!D62&lt;&gt;"",'ENERO 2026'!Z62="POR RECOGER"),'ENERO 2026'!I62,"")</f>
        <v/>
      </c>
      <c r="P58" s="194" t="n"/>
      <c r="Q58" s="194" t="n"/>
      <c r="R58" s="194" t="n"/>
      <c r="S58" s="194" t="n"/>
      <c r="T58" s="194" t="n"/>
      <c r="U58" s="194" t="n"/>
      <c r="V58" s="194" t="n"/>
      <c r="W58" s="194" t="n"/>
      <c r="X58" s="194" t="n"/>
      <c r="Y58" s="194" t="n"/>
      <c r="Z58" s="194" t="n"/>
    </row>
    <row r="59" ht="15" customHeight="1" s="195">
      <c r="A59" s="381">
        <f>IF(AND('ENERO 2026'!D63&lt;&gt;"",'ENERO 2026'!Z63="POR RECOGER"),"ENE","")</f>
        <v/>
      </c>
      <c r="B59" s="381">
        <f>IF(AND('ENERO 2026'!D63&lt;&gt;"",'ENERO 2026'!Z63="POR RECOGER"),IF('ENERO 2026'!Y63&lt;&gt;"",'ENERO 2026'!Y63,'ENERO 2026'!I63),"")</f>
        <v/>
      </c>
      <c r="C59" s="381">
        <f>IF(AND('ENERO 2026'!D63&lt;&gt;"",'ENERO 2026'!Z63="POR RECOGER"),'ENERO 2026'!D63,"")</f>
        <v/>
      </c>
      <c r="D59" s="381">
        <f>IF(AND('ENERO 2026'!D63&lt;&gt;"",'ENERO 2026'!Z63="POR RECOGER"),'ENERO 2026'!F63,"")</f>
        <v/>
      </c>
      <c r="E59" s="381">
        <f>IF(AND('ENERO 2026'!D63&lt;&gt;"",'ENERO 2026'!Z63="POR RECOGER"),TEXT('ENERO 2026'!G63,"DD/MM/YYYY"),"")</f>
        <v/>
      </c>
      <c r="F59" s="381">
        <f>IF(AND('ENERO 2026'!D63&lt;&gt;"",'ENERO 2026'!Z63="POR RECOGER"),'ENERO 2026'!K63,"")</f>
        <v/>
      </c>
      <c r="G59" s="382">
        <f>IF(AND('ENERO 2026'!D63&lt;&gt;"",'ENERO 2026'!Z63="POR RECOGER"),'ENERO 2026'!M63,"")</f>
        <v/>
      </c>
      <c r="H59" s="382">
        <f>IF(AND('ENERO 2026'!D63&lt;&gt;"",'ENERO 2026'!Z63="POR RECOGER"),'ENERO 2026'!N63,"")</f>
        <v/>
      </c>
      <c r="I59" s="381">
        <f>IF(AND('ENERO 2026'!D63&lt;&gt;"",'ENERO 2026'!Z63="POR RECOGER"),'ENERO 2026'!P63,"")</f>
        <v/>
      </c>
      <c r="J59" s="381">
        <f>IF(AND('ENERO 2026'!D63&lt;&gt;"",'ENERO 2026'!Z63="POR RECOGER"),'ENERO 2026'!Q63,"")</f>
        <v/>
      </c>
      <c r="K59" s="381">
        <f>IF(AND('ENERO 2026'!D63&lt;&gt;"",'ENERO 2026'!Z63="POR RECOGER"),'ENERO 2026'!Y63,"")</f>
        <v/>
      </c>
      <c r="L59" s="381">
        <f>IF(AND('ENERO 2026'!D63&lt;&gt;"",'ENERO 2026'!Z63="POR RECOGER"),'ENERO 2026'!I63,"")</f>
        <v/>
      </c>
      <c r="P59" s="194" t="n"/>
      <c r="Q59" s="194" t="n"/>
      <c r="R59" s="194" t="n"/>
      <c r="S59" s="194" t="n"/>
      <c r="T59" s="194" t="n"/>
      <c r="U59" s="194" t="n"/>
      <c r="V59" s="194" t="n"/>
      <c r="W59" s="194" t="n"/>
      <c r="X59" s="194" t="n"/>
      <c r="Y59" s="194" t="n"/>
      <c r="Z59" s="194" t="n"/>
    </row>
    <row r="60" ht="15" customHeight="1" s="195">
      <c r="A60" s="381">
        <f>IF(AND('ENERO 2026'!D64&lt;&gt;"",'ENERO 2026'!Z64="POR RECOGER"),"ENE","")</f>
        <v/>
      </c>
      <c r="B60" s="381">
        <f>IF(AND('ENERO 2026'!D64&lt;&gt;"",'ENERO 2026'!Z64="POR RECOGER"),IF('ENERO 2026'!Y64&lt;&gt;"",'ENERO 2026'!Y64,'ENERO 2026'!I64),"")</f>
        <v/>
      </c>
      <c r="C60" s="381">
        <f>IF(AND('ENERO 2026'!D64&lt;&gt;"",'ENERO 2026'!Z64="POR RECOGER"),'ENERO 2026'!D64,"")</f>
        <v/>
      </c>
      <c r="D60" s="381">
        <f>IF(AND('ENERO 2026'!D64&lt;&gt;"",'ENERO 2026'!Z64="POR RECOGER"),'ENERO 2026'!F64,"")</f>
        <v/>
      </c>
      <c r="E60" s="381">
        <f>IF(AND('ENERO 2026'!D64&lt;&gt;"",'ENERO 2026'!Z64="POR RECOGER"),TEXT('ENERO 2026'!G64,"DD/MM/YYYY"),"")</f>
        <v/>
      </c>
      <c r="F60" s="381">
        <f>IF(AND('ENERO 2026'!D64&lt;&gt;"",'ENERO 2026'!Z64="POR RECOGER"),'ENERO 2026'!K64,"")</f>
        <v/>
      </c>
      <c r="G60" s="382">
        <f>IF(AND('ENERO 2026'!D64&lt;&gt;"",'ENERO 2026'!Z64="POR RECOGER"),'ENERO 2026'!M64,"")</f>
        <v/>
      </c>
      <c r="H60" s="382">
        <f>IF(AND('ENERO 2026'!D64&lt;&gt;"",'ENERO 2026'!Z64="POR RECOGER"),'ENERO 2026'!N64,"")</f>
        <v/>
      </c>
      <c r="I60" s="381">
        <f>IF(AND('ENERO 2026'!D64&lt;&gt;"",'ENERO 2026'!Z64="POR RECOGER"),'ENERO 2026'!P64,"")</f>
        <v/>
      </c>
      <c r="J60" s="381">
        <f>IF(AND('ENERO 2026'!D64&lt;&gt;"",'ENERO 2026'!Z64="POR RECOGER"),'ENERO 2026'!Q64,"")</f>
        <v/>
      </c>
      <c r="K60" s="381">
        <f>IF(AND('ENERO 2026'!D64&lt;&gt;"",'ENERO 2026'!Z64="POR RECOGER"),'ENERO 2026'!Y64,"")</f>
        <v/>
      </c>
      <c r="L60" s="381">
        <f>IF(AND('ENERO 2026'!D64&lt;&gt;"",'ENERO 2026'!Z64="POR RECOGER"),'ENERO 2026'!I64,"")</f>
        <v/>
      </c>
      <c r="P60" s="194" t="n"/>
      <c r="Q60" s="194" t="n"/>
      <c r="R60" s="194" t="n"/>
      <c r="S60" s="194" t="n"/>
      <c r="T60" s="194" t="n"/>
      <c r="U60" s="194" t="n"/>
      <c r="V60" s="194" t="n"/>
      <c r="W60" s="194" t="n"/>
      <c r="X60" s="194" t="n"/>
      <c r="Y60" s="194" t="n"/>
      <c r="Z60" s="194" t="n"/>
    </row>
    <row r="61" ht="15" customHeight="1" s="195">
      <c r="A61" s="381">
        <f>IF(AND('ENERO 2026'!D65&lt;&gt;"",'ENERO 2026'!Z65="POR RECOGER"),"ENE","")</f>
        <v/>
      </c>
      <c r="B61" s="381">
        <f>IF(AND('ENERO 2026'!D65&lt;&gt;"",'ENERO 2026'!Z65="POR RECOGER"),IF('ENERO 2026'!Y65&lt;&gt;"",'ENERO 2026'!Y65,'ENERO 2026'!I65),"")</f>
        <v/>
      </c>
      <c r="C61" s="381">
        <f>IF(AND('ENERO 2026'!D65&lt;&gt;"",'ENERO 2026'!Z65="POR RECOGER"),'ENERO 2026'!D65,"")</f>
        <v/>
      </c>
      <c r="D61" s="381">
        <f>IF(AND('ENERO 2026'!D65&lt;&gt;"",'ENERO 2026'!Z65="POR RECOGER"),'ENERO 2026'!F65,"")</f>
        <v/>
      </c>
      <c r="E61" s="381">
        <f>IF(AND('ENERO 2026'!D65&lt;&gt;"",'ENERO 2026'!Z65="POR RECOGER"),TEXT('ENERO 2026'!G65,"DD/MM/YYYY"),"")</f>
        <v/>
      </c>
      <c r="F61" s="381">
        <f>IF(AND('ENERO 2026'!D65&lt;&gt;"",'ENERO 2026'!Z65="POR RECOGER"),'ENERO 2026'!K65,"")</f>
        <v/>
      </c>
      <c r="G61" s="382">
        <f>IF(AND('ENERO 2026'!D65&lt;&gt;"",'ENERO 2026'!Z65="POR RECOGER"),'ENERO 2026'!M65,"")</f>
        <v/>
      </c>
      <c r="H61" s="382">
        <f>IF(AND('ENERO 2026'!D65&lt;&gt;"",'ENERO 2026'!Z65="POR RECOGER"),'ENERO 2026'!N65,"")</f>
        <v/>
      </c>
      <c r="I61" s="381">
        <f>IF(AND('ENERO 2026'!D65&lt;&gt;"",'ENERO 2026'!Z65="POR RECOGER"),'ENERO 2026'!P65,"")</f>
        <v/>
      </c>
      <c r="J61" s="381">
        <f>IF(AND('ENERO 2026'!D65&lt;&gt;"",'ENERO 2026'!Z65="POR RECOGER"),'ENERO 2026'!Q65,"")</f>
        <v/>
      </c>
      <c r="K61" s="381">
        <f>IF(AND('ENERO 2026'!D65&lt;&gt;"",'ENERO 2026'!Z65="POR RECOGER"),'ENERO 2026'!Y65,"")</f>
        <v/>
      </c>
      <c r="L61" s="381">
        <f>IF(AND('ENERO 2026'!D65&lt;&gt;"",'ENERO 2026'!Z65="POR RECOGER"),'ENERO 2026'!I65,"")</f>
        <v/>
      </c>
      <c r="P61" s="194" t="n"/>
      <c r="Q61" s="194" t="n"/>
      <c r="R61" s="194" t="n"/>
      <c r="S61" s="194" t="n"/>
      <c r="T61" s="194" t="n"/>
      <c r="U61" s="194" t="n"/>
      <c r="V61" s="194" t="n"/>
      <c r="W61" s="194" t="n"/>
      <c r="X61" s="194" t="n"/>
      <c r="Y61" s="194" t="n"/>
      <c r="Z61" s="194" t="n"/>
    </row>
    <row r="62" ht="15" customHeight="1" s="195">
      <c r="A62" s="381">
        <f>IF(AND('ENERO 2026'!D66&lt;&gt;"",'ENERO 2026'!Z66="POR RECOGER"),"ENE","")</f>
        <v/>
      </c>
      <c r="B62" s="381">
        <f>IF(AND('ENERO 2026'!D66&lt;&gt;"",'ENERO 2026'!Z66="POR RECOGER"),IF('ENERO 2026'!Y66&lt;&gt;"",'ENERO 2026'!Y66,'ENERO 2026'!I66),"")</f>
        <v/>
      </c>
      <c r="C62" s="381">
        <f>IF(AND('ENERO 2026'!D66&lt;&gt;"",'ENERO 2026'!Z66="POR RECOGER"),'ENERO 2026'!D66,"")</f>
        <v/>
      </c>
      <c r="D62" s="381">
        <f>IF(AND('ENERO 2026'!D66&lt;&gt;"",'ENERO 2026'!Z66="POR RECOGER"),'ENERO 2026'!F66,"")</f>
        <v/>
      </c>
      <c r="E62" s="381">
        <f>IF(AND('ENERO 2026'!D66&lt;&gt;"",'ENERO 2026'!Z66="POR RECOGER"),TEXT('ENERO 2026'!G66,"DD/MM/YYYY"),"")</f>
        <v/>
      </c>
      <c r="F62" s="381">
        <f>IF(AND('ENERO 2026'!D66&lt;&gt;"",'ENERO 2026'!Z66="POR RECOGER"),'ENERO 2026'!K66,"")</f>
        <v/>
      </c>
      <c r="G62" s="382">
        <f>IF(AND('ENERO 2026'!D66&lt;&gt;"",'ENERO 2026'!Z66="POR RECOGER"),'ENERO 2026'!M66,"")</f>
        <v/>
      </c>
      <c r="H62" s="382">
        <f>IF(AND('ENERO 2026'!D66&lt;&gt;"",'ENERO 2026'!Z66="POR RECOGER"),'ENERO 2026'!N66,"")</f>
        <v/>
      </c>
      <c r="I62" s="381">
        <f>IF(AND('ENERO 2026'!D66&lt;&gt;"",'ENERO 2026'!Z66="POR RECOGER"),'ENERO 2026'!P66,"")</f>
        <v/>
      </c>
      <c r="J62" s="381">
        <f>IF(AND('ENERO 2026'!D66&lt;&gt;"",'ENERO 2026'!Z66="POR RECOGER"),'ENERO 2026'!Q66,"")</f>
        <v/>
      </c>
      <c r="K62" s="381">
        <f>IF(AND('ENERO 2026'!D66&lt;&gt;"",'ENERO 2026'!Z66="POR RECOGER"),'ENERO 2026'!Y66,"")</f>
        <v/>
      </c>
      <c r="L62" s="381">
        <f>IF(AND('ENERO 2026'!D66&lt;&gt;"",'ENERO 2026'!Z66="POR RECOGER"),'ENERO 2026'!I66,"")</f>
        <v/>
      </c>
      <c r="P62" s="194" t="n"/>
      <c r="Q62" s="194" t="n"/>
      <c r="R62" s="194" t="n"/>
      <c r="S62" s="194" t="n"/>
      <c r="T62" s="194" t="n"/>
      <c r="U62" s="194" t="n"/>
      <c r="V62" s="194" t="n"/>
      <c r="W62" s="194" t="n"/>
      <c r="X62" s="194" t="n"/>
      <c r="Y62" s="194" t="n"/>
      <c r="Z62" s="194" t="n"/>
    </row>
    <row r="63" ht="15" customHeight="1" s="195">
      <c r="A63" s="381">
        <f>IF(AND('ENERO 2026'!D67&lt;&gt;"",'ENERO 2026'!Z67="POR RECOGER"),"ENE","")</f>
        <v/>
      </c>
      <c r="B63" s="381">
        <f>IF(AND('ENERO 2026'!D67&lt;&gt;"",'ENERO 2026'!Z67="POR RECOGER"),IF('ENERO 2026'!Y67&lt;&gt;"",'ENERO 2026'!Y67,'ENERO 2026'!I67),"")</f>
        <v/>
      </c>
      <c r="C63" s="381">
        <f>IF(AND('ENERO 2026'!D67&lt;&gt;"",'ENERO 2026'!Z67="POR RECOGER"),'ENERO 2026'!D67,"")</f>
        <v/>
      </c>
      <c r="D63" s="381">
        <f>IF(AND('ENERO 2026'!D67&lt;&gt;"",'ENERO 2026'!Z67="POR RECOGER"),'ENERO 2026'!F67,"")</f>
        <v/>
      </c>
      <c r="E63" s="381">
        <f>IF(AND('ENERO 2026'!D67&lt;&gt;"",'ENERO 2026'!Z67="POR RECOGER"),TEXT('ENERO 2026'!G67,"DD/MM/YYYY"),"")</f>
        <v/>
      </c>
      <c r="F63" s="381">
        <f>IF(AND('ENERO 2026'!D67&lt;&gt;"",'ENERO 2026'!Z67="POR RECOGER"),'ENERO 2026'!K67,"")</f>
        <v/>
      </c>
      <c r="G63" s="382">
        <f>IF(AND('ENERO 2026'!D67&lt;&gt;"",'ENERO 2026'!Z67="POR RECOGER"),'ENERO 2026'!M67,"")</f>
        <v/>
      </c>
      <c r="H63" s="382">
        <f>IF(AND('ENERO 2026'!D67&lt;&gt;"",'ENERO 2026'!Z67="POR RECOGER"),'ENERO 2026'!N67,"")</f>
        <v/>
      </c>
      <c r="I63" s="381">
        <f>IF(AND('ENERO 2026'!D67&lt;&gt;"",'ENERO 2026'!Z67="POR RECOGER"),'ENERO 2026'!P67,"")</f>
        <v/>
      </c>
      <c r="J63" s="381">
        <f>IF(AND('ENERO 2026'!D67&lt;&gt;"",'ENERO 2026'!Z67="POR RECOGER"),'ENERO 2026'!Q67,"")</f>
        <v/>
      </c>
      <c r="K63" s="381">
        <f>IF(AND('ENERO 2026'!D67&lt;&gt;"",'ENERO 2026'!Z67="POR RECOGER"),'ENERO 2026'!Y67,"")</f>
        <v/>
      </c>
      <c r="L63" s="381">
        <f>IF(AND('ENERO 2026'!D67&lt;&gt;"",'ENERO 2026'!Z67="POR RECOGER"),'ENERO 2026'!I67,"")</f>
        <v/>
      </c>
      <c r="P63" s="194" t="n"/>
      <c r="Q63" s="194" t="n"/>
      <c r="R63" s="194" t="n"/>
      <c r="S63" s="194" t="n"/>
      <c r="T63" s="194" t="n"/>
      <c r="U63" s="194" t="n"/>
      <c r="V63" s="194" t="n"/>
      <c r="W63" s="194" t="n"/>
      <c r="X63" s="194" t="n"/>
      <c r="Y63" s="194" t="n"/>
      <c r="Z63" s="194" t="n"/>
    </row>
    <row r="64" ht="15" customHeight="1" s="195">
      <c r="A64" s="381">
        <f>IF(AND('ENERO 2026'!D68&lt;&gt;"",'ENERO 2026'!Z68="POR RECOGER"),"ENE","")</f>
        <v/>
      </c>
      <c r="B64" s="381">
        <f>IF(AND('ENERO 2026'!D68&lt;&gt;"",'ENERO 2026'!Z68="POR RECOGER"),IF('ENERO 2026'!Y68&lt;&gt;"",'ENERO 2026'!Y68,'ENERO 2026'!I68),"")</f>
        <v/>
      </c>
      <c r="C64" s="381">
        <f>IF(AND('ENERO 2026'!D68&lt;&gt;"",'ENERO 2026'!Z68="POR RECOGER"),'ENERO 2026'!D68,"")</f>
        <v/>
      </c>
      <c r="D64" s="381">
        <f>IF(AND('ENERO 2026'!D68&lt;&gt;"",'ENERO 2026'!Z68="POR RECOGER"),'ENERO 2026'!F68,"")</f>
        <v/>
      </c>
      <c r="E64" s="381">
        <f>IF(AND('ENERO 2026'!D68&lt;&gt;"",'ENERO 2026'!Z68="POR RECOGER"),TEXT('ENERO 2026'!G68,"DD/MM/YYYY"),"")</f>
        <v/>
      </c>
      <c r="F64" s="381">
        <f>IF(AND('ENERO 2026'!D68&lt;&gt;"",'ENERO 2026'!Z68="POR RECOGER"),'ENERO 2026'!K68,"")</f>
        <v/>
      </c>
      <c r="G64" s="382">
        <f>IF(AND('ENERO 2026'!D68&lt;&gt;"",'ENERO 2026'!Z68="POR RECOGER"),'ENERO 2026'!M68,"")</f>
        <v/>
      </c>
      <c r="H64" s="382">
        <f>IF(AND('ENERO 2026'!D68&lt;&gt;"",'ENERO 2026'!Z68="POR RECOGER"),'ENERO 2026'!N68,"")</f>
        <v/>
      </c>
      <c r="I64" s="381">
        <f>IF(AND('ENERO 2026'!D68&lt;&gt;"",'ENERO 2026'!Z68="POR RECOGER"),'ENERO 2026'!P68,"")</f>
        <v/>
      </c>
      <c r="J64" s="381">
        <f>IF(AND('ENERO 2026'!D68&lt;&gt;"",'ENERO 2026'!Z68="POR RECOGER"),'ENERO 2026'!Q68,"")</f>
        <v/>
      </c>
      <c r="K64" s="381">
        <f>IF(AND('ENERO 2026'!D68&lt;&gt;"",'ENERO 2026'!Z68="POR RECOGER"),'ENERO 2026'!Y68,"")</f>
        <v/>
      </c>
      <c r="L64" s="381">
        <f>IF(AND('ENERO 2026'!D68&lt;&gt;"",'ENERO 2026'!Z68="POR RECOGER"),'ENERO 2026'!I68,"")</f>
        <v/>
      </c>
      <c r="P64" s="194" t="n"/>
      <c r="Q64" s="194" t="n"/>
      <c r="R64" s="194" t="n"/>
      <c r="S64" s="194" t="n"/>
      <c r="T64" s="194" t="n"/>
      <c r="U64" s="194" t="n"/>
      <c r="V64" s="194" t="n"/>
      <c r="W64" s="194" t="n"/>
      <c r="X64" s="194" t="n"/>
      <c r="Y64" s="194" t="n"/>
      <c r="Z64" s="194" t="n"/>
    </row>
    <row r="65" ht="15" customHeight="1" s="195">
      <c r="A65" s="381">
        <f>IF(AND('ENERO 2026'!D69&lt;&gt;"",'ENERO 2026'!Z69="POR RECOGER"),"ENE","")</f>
        <v/>
      </c>
      <c r="B65" s="381">
        <f>IF(AND('ENERO 2026'!D69&lt;&gt;"",'ENERO 2026'!Z69="POR RECOGER"),IF('ENERO 2026'!Y69&lt;&gt;"",'ENERO 2026'!Y69,'ENERO 2026'!I69),"")</f>
        <v/>
      </c>
      <c r="C65" s="381">
        <f>IF(AND('ENERO 2026'!D69&lt;&gt;"",'ENERO 2026'!Z69="POR RECOGER"),'ENERO 2026'!D69,"")</f>
        <v/>
      </c>
      <c r="D65" s="381">
        <f>IF(AND('ENERO 2026'!D69&lt;&gt;"",'ENERO 2026'!Z69="POR RECOGER"),'ENERO 2026'!F69,"")</f>
        <v/>
      </c>
      <c r="E65" s="381">
        <f>IF(AND('ENERO 2026'!D69&lt;&gt;"",'ENERO 2026'!Z69="POR RECOGER"),TEXT('ENERO 2026'!G69,"DD/MM/YYYY"),"")</f>
        <v/>
      </c>
      <c r="F65" s="381">
        <f>IF(AND('ENERO 2026'!D69&lt;&gt;"",'ENERO 2026'!Z69="POR RECOGER"),'ENERO 2026'!K69,"")</f>
        <v/>
      </c>
      <c r="G65" s="382">
        <f>IF(AND('ENERO 2026'!D69&lt;&gt;"",'ENERO 2026'!Z69="POR RECOGER"),'ENERO 2026'!M69,"")</f>
        <v/>
      </c>
      <c r="H65" s="382">
        <f>IF(AND('ENERO 2026'!D69&lt;&gt;"",'ENERO 2026'!Z69="POR RECOGER"),'ENERO 2026'!N69,"")</f>
        <v/>
      </c>
      <c r="I65" s="381">
        <f>IF(AND('ENERO 2026'!D69&lt;&gt;"",'ENERO 2026'!Z69="POR RECOGER"),'ENERO 2026'!P69,"")</f>
        <v/>
      </c>
      <c r="J65" s="381">
        <f>IF(AND('ENERO 2026'!D69&lt;&gt;"",'ENERO 2026'!Z69="POR RECOGER"),'ENERO 2026'!Q69,"")</f>
        <v/>
      </c>
      <c r="K65" s="381">
        <f>IF(AND('ENERO 2026'!D69&lt;&gt;"",'ENERO 2026'!Z69="POR RECOGER"),'ENERO 2026'!Y69,"")</f>
        <v/>
      </c>
      <c r="L65" s="381">
        <f>IF(AND('ENERO 2026'!D69&lt;&gt;"",'ENERO 2026'!Z69="POR RECOGER"),'ENERO 2026'!I69,"")</f>
        <v/>
      </c>
      <c r="P65" s="194" t="n"/>
      <c r="Q65" s="194" t="n"/>
      <c r="R65" s="194" t="n"/>
      <c r="S65" s="194" t="n"/>
      <c r="T65" s="194" t="n"/>
      <c r="U65" s="194" t="n"/>
      <c r="V65" s="194" t="n"/>
      <c r="W65" s="194" t="n"/>
      <c r="X65" s="194" t="n"/>
      <c r="Y65" s="194" t="n"/>
      <c r="Z65" s="194" t="n"/>
    </row>
    <row r="66" ht="15" customHeight="1" s="195">
      <c r="A66" s="381">
        <f>IF(AND('ENERO 2026'!D70&lt;&gt;"",'ENERO 2026'!Z70="POR RECOGER"),"ENE","")</f>
        <v/>
      </c>
      <c r="B66" s="381">
        <f>IF(AND('ENERO 2026'!D70&lt;&gt;"",'ENERO 2026'!Z70="POR RECOGER"),IF('ENERO 2026'!Y70&lt;&gt;"",'ENERO 2026'!Y70,'ENERO 2026'!I70),"")</f>
        <v/>
      </c>
      <c r="C66" s="381">
        <f>IF(AND('ENERO 2026'!D70&lt;&gt;"",'ENERO 2026'!Z70="POR RECOGER"),'ENERO 2026'!D70,"")</f>
        <v/>
      </c>
      <c r="D66" s="381">
        <f>IF(AND('ENERO 2026'!D70&lt;&gt;"",'ENERO 2026'!Z70="POR RECOGER"),'ENERO 2026'!F70,"")</f>
        <v/>
      </c>
      <c r="E66" s="381">
        <f>IF(AND('ENERO 2026'!D70&lt;&gt;"",'ENERO 2026'!Z70="POR RECOGER"),TEXT('ENERO 2026'!G70,"DD/MM/YYYY"),"")</f>
        <v/>
      </c>
      <c r="F66" s="381">
        <f>IF(AND('ENERO 2026'!D70&lt;&gt;"",'ENERO 2026'!Z70="POR RECOGER"),'ENERO 2026'!K70,"")</f>
        <v/>
      </c>
      <c r="G66" s="382">
        <f>IF(AND('ENERO 2026'!D70&lt;&gt;"",'ENERO 2026'!Z70="POR RECOGER"),'ENERO 2026'!M70,"")</f>
        <v/>
      </c>
      <c r="H66" s="382">
        <f>IF(AND('ENERO 2026'!D70&lt;&gt;"",'ENERO 2026'!Z70="POR RECOGER"),'ENERO 2026'!N70,"")</f>
        <v/>
      </c>
      <c r="I66" s="381">
        <f>IF(AND('ENERO 2026'!D70&lt;&gt;"",'ENERO 2026'!Z70="POR RECOGER"),'ENERO 2026'!P70,"")</f>
        <v/>
      </c>
      <c r="J66" s="381">
        <f>IF(AND('ENERO 2026'!D70&lt;&gt;"",'ENERO 2026'!Z70="POR RECOGER"),'ENERO 2026'!Q70,"")</f>
        <v/>
      </c>
      <c r="K66" s="381">
        <f>IF(AND('ENERO 2026'!D70&lt;&gt;"",'ENERO 2026'!Z70="POR RECOGER"),'ENERO 2026'!Y70,"")</f>
        <v/>
      </c>
      <c r="L66" s="381">
        <f>IF(AND('ENERO 2026'!D70&lt;&gt;"",'ENERO 2026'!Z70="POR RECOGER"),'ENERO 2026'!I70,"")</f>
        <v/>
      </c>
      <c r="P66" s="194" t="n"/>
      <c r="Q66" s="194" t="n"/>
      <c r="R66" s="194" t="n"/>
      <c r="S66" s="194" t="n"/>
      <c r="T66" s="194" t="n"/>
      <c r="U66" s="194" t="n"/>
      <c r="V66" s="194" t="n"/>
      <c r="W66" s="194" t="n"/>
      <c r="X66" s="194" t="n"/>
      <c r="Y66" s="194" t="n"/>
      <c r="Z66" s="194" t="n"/>
    </row>
    <row r="67" ht="15" customHeight="1" s="195">
      <c r="A67" s="381">
        <f>IF(AND('ENERO 2026'!D71&lt;&gt;"",'ENERO 2026'!Z71="POR RECOGER"),"ENE","")</f>
        <v/>
      </c>
      <c r="B67" s="381">
        <f>IF(AND('ENERO 2026'!D71&lt;&gt;"",'ENERO 2026'!Z71="POR RECOGER"),IF('ENERO 2026'!Y71&lt;&gt;"",'ENERO 2026'!Y71,'ENERO 2026'!I71),"")</f>
        <v/>
      </c>
      <c r="C67" s="381">
        <f>IF(AND('ENERO 2026'!D71&lt;&gt;"",'ENERO 2026'!Z71="POR RECOGER"),'ENERO 2026'!D71,"")</f>
        <v/>
      </c>
      <c r="D67" s="381">
        <f>IF(AND('ENERO 2026'!D71&lt;&gt;"",'ENERO 2026'!Z71="POR RECOGER"),'ENERO 2026'!F71,"")</f>
        <v/>
      </c>
      <c r="E67" s="381">
        <f>IF(AND('ENERO 2026'!D71&lt;&gt;"",'ENERO 2026'!Z71="POR RECOGER"),TEXT('ENERO 2026'!G71,"DD/MM/YYYY"),"")</f>
        <v/>
      </c>
      <c r="F67" s="381">
        <f>IF(AND('ENERO 2026'!D71&lt;&gt;"",'ENERO 2026'!Z71="POR RECOGER"),'ENERO 2026'!K71,"")</f>
        <v/>
      </c>
      <c r="G67" s="382">
        <f>IF(AND('ENERO 2026'!D71&lt;&gt;"",'ENERO 2026'!Z71="POR RECOGER"),'ENERO 2026'!M71,"")</f>
        <v/>
      </c>
      <c r="H67" s="382">
        <f>IF(AND('ENERO 2026'!D71&lt;&gt;"",'ENERO 2026'!Z71="POR RECOGER"),'ENERO 2026'!N71,"")</f>
        <v/>
      </c>
      <c r="I67" s="381">
        <f>IF(AND('ENERO 2026'!D71&lt;&gt;"",'ENERO 2026'!Z71="POR RECOGER"),'ENERO 2026'!P71,"")</f>
        <v/>
      </c>
      <c r="J67" s="381">
        <f>IF(AND('ENERO 2026'!D71&lt;&gt;"",'ENERO 2026'!Z71="POR RECOGER"),'ENERO 2026'!Q71,"")</f>
        <v/>
      </c>
      <c r="K67" s="381">
        <f>IF(AND('ENERO 2026'!D71&lt;&gt;"",'ENERO 2026'!Z71="POR RECOGER"),'ENERO 2026'!Y71,"")</f>
        <v/>
      </c>
      <c r="L67" s="381">
        <f>IF(AND('ENERO 2026'!D71&lt;&gt;"",'ENERO 2026'!Z71="POR RECOGER"),'ENERO 2026'!I71,"")</f>
        <v/>
      </c>
      <c r="P67" s="194" t="n"/>
      <c r="Q67" s="194" t="n"/>
      <c r="R67" s="194" t="n"/>
      <c r="S67" s="194" t="n"/>
      <c r="T67" s="194" t="n"/>
      <c r="U67" s="194" t="n"/>
      <c r="V67" s="194" t="n"/>
      <c r="W67" s="194" t="n"/>
      <c r="X67" s="194" t="n"/>
      <c r="Y67" s="194" t="n"/>
      <c r="Z67" s="194" t="n"/>
    </row>
    <row r="68" ht="15" customHeight="1" s="195">
      <c r="A68" s="381">
        <f>IF(AND('ENERO 2026'!D72&lt;&gt;"",'ENERO 2026'!Z72="POR RECOGER"),"ENE","")</f>
        <v/>
      </c>
      <c r="B68" s="381">
        <f>IF(AND('ENERO 2026'!D72&lt;&gt;"",'ENERO 2026'!Z72="POR RECOGER"),IF('ENERO 2026'!Y72&lt;&gt;"",'ENERO 2026'!Y72,'ENERO 2026'!I72),"")</f>
        <v/>
      </c>
      <c r="C68" s="381">
        <f>IF(AND('ENERO 2026'!D72&lt;&gt;"",'ENERO 2026'!Z72="POR RECOGER"),'ENERO 2026'!D72,"")</f>
        <v/>
      </c>
      <c r="D68" s="381">
        <f>IF(AND('ENERO 2026'!D72&lt;&gt;"",'ENERO 2026'!Z72="POR RECOGER"),'ENERO 2026'!F72,"")</f>
        <v/>
      </c>
      <c r="E68" s="381">
        <f>IF(AND('ENERO 2026'!D72&lt;&gt;"",'ENERO 2026'!Z72="POR RECOGER"),TEXT('ENERO 2026'!G72,"DD/MM/YYYY"),"")</f>
        <v/>
      </c>
      <c r="F68" s="381">
        <f>IF(AND('ENERO 2026'!D72&lt;&gt;"",'ENERO 2026'!Z72="POR RECOGER"),'ENERO 2026'!K72,"")</f>
        <v/>
      </c>
      <c r="G68" s="382">
        <f>IF(AND('ENERO 2026'!D72&lt;&gt;"",'ENERO 2026'!Z72="POR RECOGER"),'ENERO 2026'!M72,"")</f>
        <v/>
      </c>
      <c r="H68" s="382">
        <f>IF(AND('ENERO 2026'!D72&lt;&gt;"",'ENERO 2026'!Z72="POR RECOGER"),'ENERO 2026'!N72,"")</f>
        <v/>
      </c>
      <c r="I68" s="381">
        <f>IF(AND('ENERO 2026'!D72&lt;&gt;"",'ENERO 2026'!Z72="POR RECOGER"),'ENERO 2026'!P72,"")</f>
        <v/>
      </c>
      <c r="J68" s="381">
        <f>IF(AND('ENERO 2026'!D72&lt;&gt;"",'ENERO 2026'!Z72="POR RECOGER"),'ENERO 2026'!Q72,"")</f>
        <v/>
      </c>
      <c r="K68" s="381">
        <f>IF(AND('ENERO 2026'!D72&lt;&gt;"",'ENERO 2026'!Z72="POR RECOGER"),'ENERO 2026'!Y72,"")</f>
        <v/>
      </c>
      <c r="L68" s="381">
        <f>IF(AND('ENERO 2026'!D72&lt;&gt;"",'ENERO 2026'!Z72="POR RECOGER"),'ENERO 2026'!I72,"")</f>
        <v/>
      </c>
      <c r="P68" s="194" t="n"/>
      <c r="Q68" s="194" t="n"/>
      <c r="R68" s="194" t="n"/>
      <c r="S68" s="194" t="n"/>
      <c r="T68" s="194" t="n"/>
      <c r="U68" s="194" t="n"/>
      <c r="V68" s="194" t="n"/>
      <c r="W68" s="194" t="n"/>
      <c r="X68" s="194" t="n"/>
      <c r="Y68" s="194" t="n"/>
      <c r="Z68" s="194" t="n"/>
    </row>
    <row r="69" ht="15" customHeight="1" s="195">
      <c r="A69" s="381">
        <f>IF(AND('ENERO 2026'!D73&lt;&gt;"",'ENERO 2026'!Z73="POR RECOGER"),"ENE","")</f>
        <v/>
      </c>
      <c r="B69" s="381">
        <f>IF(AND('ENERO 2026'!D73&lt;&gt;"",'ENERO 2026'!Z73="POR RECOGER"),IF('ENERO 2026'!Y73&lt;&gt;"",'ENERO 2026'!Y73,'ENERO 2026'!I73),"")</f>
        <v/>
      </c>
      <c r="C69" s="381">
        <f>IF(AND('ENERO 2026'!D73&lt;&gt;"",'ENERO 2026'!Z73="POR RECOGER"),'ENERO 2026'!D73,"")</f>
        <v/>
      </c>
      <c r="D69" s="381">
        <f>IF(AND('ENERO 2026'!D73&lt;&gt;"",'ENERO 2026'!Z73="POR RECOGER"),'ENERO 2026'!F73,"")</f>
        <v/>
      </c>
      <c r="E69" s="381">
        <f>IF(AND('ENERO 2026'!D73&lt;&gt;"",'ENERO 2026'!Z73="POR RECOGER"),TEXT('ENERO 2026'!G73,"DD/MM/YYYY"),"")</f>
        <v/>
      </c>
      <c r="F69" s="381">
        <f>IF(AND('ENERO 2026'!D73&lt;&gt;"",'ENERO 2026'!Z73="POR RECOGER"),'ENERO 2026'!K73,"")</f>
        <v/>
      </c>
      <c r="G69" s="382">
        <f>IF(AND('ENERO 2026'!D73&lt;&gt;"",'ENERO 2026'!Z73="POR RECOGER"),'ENERO 2026'!M73,"")</f>
        <v/>
      </c>
      <c r="H69" s="382">
        <f>IF(AND('ENERO 2026'!D73&lt;&gt;"",'ENERO 2026'!Z73="POR RECOGER"),'ENERO 2026'!N73,"")</f>
        <v/>
      </c>
      <c r="I69" s="381">
        <f>IF(AND('ENERO 2026'!D73&lt;&gt;"",'ENERO 2026'!Z73="POR RECOGER"),'ENERO 2026'!P73,"")</f>
        <v/>
      </c>
      <c r="J69" s="381">
        <f>IF(AND('ENERO 2026'!D73&lt;&gt;"",'ENERO 2026'!Z73="POR RECOGER"),'ENERO 2026'!Q73,"")</f>
        <v/>
      </c>
      <c r="K69" s="381">
        <f>IF(AND('ENERO 2026'!D73&lt;&gt;"",'ENERO 2026'!Z73="POR RECOGER"),'ENERO 2026'!Y73,"")</f>
        <v/>
      </c>
      <c r="L69" s="381">
        <f>IF(AND('ENERO 2026'!D73&lt;&gt;"",'ENERO 2026'!Z73="POR RECOGER"),'ENERO 2026'!I73,"")</f>
        <v/>
      </c>
      <c r="P69" s="194" t="n"/>
      <c r="Q69" s="194" t="n"/>
      <c r="R69" s="194" t="n"/>
      <c r="S69" s="194" t="n"/>
      <c r="T69" s="194" t="n"/>
      <c r="U69" s="194" t="n"/>
      <c r="V69" s="194" t="n"/>
      <c r="W69" s="194" t="n"/>
      <c r="X69" s="194" t="n"/>
      <c r="Y69" s="194" t="n"/>
      <c r="Z69" s="194" t="n"/>
    </row>
    <row r="70" ht="15" customHeight="1" s="195">
      <c r="A70" s="381">
        <f>IF(AND('ENERO 2026'!D74&lt;&gt;"",'ENERO 2026'!Z74="POR RECOGER"),"ENE","")</f>
        <v/>
      </c>
      <c r="B70" s="381">
        <f>IF(AND('ENERO 2026'!D74&lt;&gt;"",'ENERO 2026'!Z74="POR RECOGER"),IF('ENERO 2026'!Y74&lt;&gt;"",'ENERO 2026'!Y74,'ENERO 2026'!I74),"")</f>
        <v/>
      </c>
      <c r="C70" s="381">
        <f>IF(AND('ENERO 2026'!D74&lt;&gt;"",'ENERO 2026'!Z74="POR RECOGER"),'ENERO 2026'!D74,"")</f>
        <v/>
      </c>
      <c r="D70" s="381">
        <f>IF(AND('ENERO 2026'!D74&lt;&gt;"",'ENERO 2026'!Z74="POR RECOGER"),'ENERO 2026'!F74,"")</f>
        <v/>
      </c>
      <c r="E70" s="381">
        <f>IF(AND('ENERO 2026'!D74&lt;&gt;"",'ENERO 2026'!Z74="POR RECOGER"),TEXT('ENERO 2026'!G74,"DD/MM/YYYY"),"")</f>
        <v/>
      </c>
      <c r="F70" s="381">
        <f>IF(AND('ENERO 2026'!D74&lt;&gt;"",'ENERO 2026'!Z74="POR RECOGER"),'ENERO 2026'!K74,"")</f>
        <v/>
      </c>
      <c r="G70" s="382">
        <f>IF(AND('ENERO 2026'!D74&lt;&gt;"",'ENERO 2026'!Z74="POR RECOGER"),'ENERO 2026'!M74,"")</f>
        <v/>
      </c>
      <c r="H70" s="382">
        <f>IF(AND('ENERO 2026'!D74&lt;&gt;"",'ENERO 2026'!Z74="POR RECOGER"),'ENERO 2026'!N74,"")</f>
        <v/>
      </c>
      <c r="I70" s="381">
        <f>IF(AND('ENERO 2026'!D74&lt;&gt;"",'ENERO 2026'!Z74="POR RECOGER"),'ENERO 2026'!P74,"")</f>
        <v/>
      </c>
      <c r="J70" s="381">
        <f>IF(AND('ENERO 2026'!D74&lt;&gt;"",'ENERO 2026'!Z74="POR RECOGER"),'ENERO 2026'!Q74,"")</f>
        <v/>
      </c>
      <c r="K70" s="381">
        <f>IF(AND('ENERO 2026'!D74&lt;&gt;"",'ENERO 2026'!Z74="POR RECOGER"),'ENERO 2026'!Y74,"")</f>
        <v/>
      </c>
      <c r="L70" s="381">
        <f>IF(AND('ENERO 2026'!D74&lt;&gt;"",'ENERO 2026'!Z74="POR RECOGER"),'ENERO 2026'!I74,"")</f>
        <v/>
      </c>
      <c r="P70" s="194" t="n"/>
      <c r="Q70" s="194" t="n"/>
      <c r="R70" s="194" t="n"/>
      <c r="S70" s="194" t="n"/>
      <c r="T70" s="194" t="n"/>
      <c r="U70" s="194" t="n"/>
      <c r="V70" s="194" t="n"/>
      <c r="W70" s="194" t="n"/>
      <c r="X70" s="194" t="n"/>
      <c r="Y70" s="194" t="n"/>
      <c r="Z70" s="194" t="n"/>
    </row>
    <row r="71" ht="15" customHeight="1" s="195">
      <c r="A71" s="381">
        <f>IF(AND('ENERO 2026'!D75&lt;&gt;"",'ENERO 2026'!Z75="POR RECOGER"),"ENE","")</f>
        <v/>
      </c>
      <c r="B71" s="381">
        <f>IF(AND('ENERO 2026'!D75&lt;&gt;"",'ENERO 2026'!Z75="POR RECOGER"),IF('ENERO 2026'!Y75&lt;&gt;"",'ENERO 2026'!Y75,'ENERO 2026'!I75),"")</f>
        <v/>
      </c>
      <c r="C71" s="381">
        <f>IF(AND('ENERO 2026'!D75&lt;&gt;"",'ENERO 2026'!Z75="POR RECOGER"),'ENERO 2026'!D75,"")</f>
        <v/>
      </c>
      <c r="D71" s="381">
        <f>IF(AND('ENERO 2026'!D75&lt;&gt;"",'ENERO 2026'!Z75="POR RECOGER"),'ENERO 2026'!F75,"")</f>
        <v/>
      </c>
      <c r="E71" s="381">
        <f>IF(AND('ENERO 2026'!D75&lt;&gt;"",'ENERO 2026'!Z75="POR RECOGER"),TEXT('ENERO 2026'!G75,"DD/MM/YYYY"),"")</f>
        <v/>
      </c>
      <c r="F71" s="381">
        <f>IF(AND('ENERO 2026'!D75&lt;&gt;"",'ENERO 2026'!Z75="POR RECOGER"),'ENERO 2026'!K75,"")</f>
        <v/>
      </c>
      <c r="G71" s="382">
        <f>IF(AND('ENERO 2026'!D75&lt;&gt;"",'ENERO 2026'!Z75="POR RECOGER"),'ENERO 2026'!M75,"")</f>
        <v/>
      </c>
      <c r="H71" s="382">
        <f>IF(AND('ENERO 2026'!D75&lt;&gt;"",'ENERO 2026'!Z75="POR RECOGER"),'ENERO 2026'!N75,"")</f>
        <v/>
      </c>
      <c r="I71" s="381">
        <f>IF(AND('ENERO 2026'!D75&lt;&gt;"",'ENERO 2026'!Z75="POR RECOGER"),'ENERO 2026'!P75,"")</f>
        <v/>
      </c>
      <c r="J71" s="381">
        <f>IF(AND('ENERO 2026'!D75&lt;&gt;"",'ENERO 2026'!Z75="POR RECOGER"),'ENERO 2026'!Q75,"")</f>
        <v/>
      </c>
      <c r="K71" s="381">
        <f>IF(AND('ENERO 2026'!D75&lt;&gt;"",'ENERO 2026'!Z75="POR RECOGER"),'ENERO 2026'!Y75,"")</f>
        <v/>
      </c>
      <c r="L71" s="381">
        <f>IF(AND('ENERO 2026'!D75&lt;&gt;"",'ENERO 2026'!Z75="POR RECOGER"),'ENERO 2026'!I75,"")</f>
        <v/>
      </c>
      <c r="P71" s="194" t="n"/>
      <c r="Q71" s="194" t="n"/>
      <c r="R71" s="194" t="n"/>
      <c r="S71" s="194" t="n"/>
      <c r="T71" s="194" t="n"/>
      <c r="U71" s="194" t="n"/>
      <c r="V71" s="194" t="n"/>
      <c r="W71" s="194" t="n"/>
      <c r="X71" s="194" t="n"/>
      <c r="Y71" s="194" t="n"/>
      <c r="Z71" s="194" t="n"/>
    </row>
    <row r="72" ht="15" customHeight="1" s="195">
      <c r="A72" s="381">
        <f>IF(AND('ENERO 2026'!D76&lt;&gt;"",'ENERO 2026'!Z76="POR RECOGER"),"ENE","")</f>
        <v/>
      </c>
      <c r="B72" s="381">
        <f>IF(AND('ENERO 2026'!D76&lt;&gt;"",'ENERO 2026'!Z76="POR RECOGER"),IF('ENERO 2026'!Y76&lt;&gt;"",'ENERO 2026'!Y76,'ENERO 2026'!I76),"")</f>
        <v/>
      </c>
      <c r="C72" s="381">
        <f>IF(AND('ENERO 2026'!D76&lt;&gt;"",'ENERO 2026'!Z76="POR RECOGER"),'ENERO 2026'!D76,"")</f>
        <v/>
      </c>
      <c r="D72" s="381">
        <f>IF(AND('ENERO 2026'!D76&lt;&gt;"",'ENERO 2026'!Z76="POR RECOGER"),'ENERO 2026'!F76,"")</f>
        <v/>
      </c>
      <c r="E72" s="381">
        <f>IF(AND('ENERO 2026'!D76&lt;&gt;"",'ENERO 2026'!Z76="POR RECOGER"),TEXT('ENERO 2026'!G76,"DD/MM/YYYY"),"")</f>
        <v/>
      </c>
      <c r="F72" s="381">
        <f>IF(AND('ENERO 2026'!D76&lt;&gt;"",'ENERO 2026'!Z76="POR RECOGER"),'ENERO 2026'!K76,"")</f>
        <v/>
      </c>
      <c r="G72" s="382">
        <f>IF(AND('ENERO 2026'!D76&lt;&gt;"",'ENERO 2026'!Z76="POR RECOGER"),'ENERO 2026'!M76,"")</f>
        <v/>
      </c>
      <c r="H72" s="382">
        <f>IF(AND('ENERO 2026'!D76&lt;&gt;"",'ENERO 2026'!Z76="POR RECOGER"),'ENERO 2026'!N76,"")</f>
        <v/>
      </c>
      <c r="I72" s="381">
        <f>IF(AND('ENERO 2026'!D76&lt;&gt;"",'ENERO 2026'!Z76="POR RECOGER"),'ENERO 2026'!P76,"")</f>
        <v/>
      </c>
      <c r="J72" s="381">
        <f>IF(AND('ENERO 2026'!D76&lt;&gt;"",'ENERO 2026'!Z76="POR RECOGER"),'ENERO 2026'!Q76,"")</f>
        <v/>
      </c>
      <c r="K72" s="381">
        <f>IF(AND('ENERO 2026'!D76&lt;&gt;"",'ENERO 2026'!Z76="POR RECOGER"),'ENERO 2026'!Y76,"")</f>
        <v/>
      </c>
      <c r="L72" s="381">
        <f>IF(AND('ENERO 2026'!D76&lt;&gt;"",'ENERO 2026'!Z76="POR RECOGER"),'ENERO 2026'!I76,"")</f>
        <v/>
      </c>
      <c r="P72" s="194" t="n"/>
      <c r="Q72" s="194" t="n"/>
      <c r="R72" s="194" t="n"/>
      <c r="S72" s="194" t="n"/>
      <c r="T72" s="194" t="n"/>
      <c r="U72" s="194" t="n"/>
      <c r="V72" s="194" t="n"/>
      <c r="W72" s="194" t="n"/>
      <c r="X72" s="194" t="n"/>
      <c r="Y72" s="194" t="n"/>
      <c r="Z72" s="194" t="n"/>
    </row>
    <row r="73" ht="15" customHeight="1" s="195">
      <c r="A73" s="381">
        <f>IF(AND('ENERO 2026'!D77&lt;&gt;"",'ENERO 2026'!Z77="POR RECOGER"),"ENE","")</f>
        <v/>
      </c>
      <c r="B73" s="381">
        <f>IF(AND('ENERO 2026'!D77&lt;&gt;"",'ENERO 2026'!Z77="POR RECOGER"),IF('ENERO 2026'!Y77&lt;&gt;"",'ENERO 2026'!Y77,'ENERO 2026'!I77),"")</f>
        <v/>
      </c>
      <c r="C73" s="381">
        <f>IF(AND('ENERO 2026'!D77&lt;&gt;"",'ENERO 2026'!Z77="POR RECOGER"),'ENERO 2026'!D77,"")</f>
        <v/>
      </c>
      <c r="D73" s="381">
        <f>IF(AND('ENERO 2026'!D77&lt;&gt;"",'ENERO 2026'!Z77="POR RECOGER"),'ENERO 2026'!F77,"")</f>
        <v/>
      </c>
      <c r="E73" s="381">
        <f>IF(AND('ENERO 2026'!D77&lt;&gt;"",'ENERO 2026'!Z77="POR RECOGER"),TEXT('ENERO 2026'!G77,"DD/MM/YYYY"),"")</f>
        <v/>
      </c>
      <c r="F73" s="381">
        <f>IF(AND('ENERO 2026'!D77&lt;&gt;"",'ENERO 2026'!Z77="POR RECOGER"),'ENERO 2026'!K77,"")</f>
        <v/>
      </c>
      <c r="G73" s="382">
        <f>IF(AND('ENERO 2026'!D77&lt;&gt;"",'ENERO 2026'!Z77="POR RECOGER"),'ENERO 2026'!M77,"")</f>
        <v/>
      </c>
      <c r="H73" s="382">
        <f>IF(AND('ENERO 2026'!D77&lt;&gt;"",'ENERO 2026'!Z77="POR RECOGER"),'ENERO 2026'!N77,"")</f>
        <v/>
      </c>
      <c r="I73" s="381">
        <f>IF(AND('ENERO 2026'!D77&lt;&gt;"",'ENERO 2026'!Z77="POR RECOGER"),'ENERO 2026'!P77,"")</f>
        <v/>
      </c>
      <c r="J73" s="381">
        <f>IF(AND('ENERO 2026'!D77&lt;&gt;"",'ENERO 2026'!Z77="POR RECOGER"),'ENERO 2026'!Q77,"")</f>
        <v/>
      </c>
      <c r="K73" s="381">
        <f>IF(AND('ENERO 2026'!D77&lt;&gt;"",'ENERO 2026'!Z77="POR RECOGER"),'ENERO 2026'!Y77,"")</f>
        <v/>
      </c>
      <c r="L73" s="381">
        <f>IF(AND('ENERO 2026'!D77&lt;&gt;"",'ENERO 2026'!Z77="POR RECOGER"),'ENERO 2026'!I77,"")</f>
        <v/>
      </c>
      <c r="P73" s="194" t="n"/>
      <c r="Q73" s="194" t="n"/>
      <c r="R73" s="194" t="n"/>
      <c r="S73" s="194" t="n"/>
      <c r="T73" s="194" t="n"/>
      <c r="U73" s="194" t="n"/>
      <c r="V73" s="194" t="n"/>
      <c r="W73" s="194" t="n"/>
      <c r="X73" s="194" t="n"/>
      <c r="Y73" s="194" t="n"/>
      <c r="Z73" s="194" t="n"/>
    </row>
    <row r="74" ht="15" customHeight="1" s="195">
      <c r="A74" s="381">
        <f>IF(AND('ENERO 2026'!D78&lt;&gt;"",'ENERO 2026'!Z78="POR RECOGER"),"ENE","")</f>
        <v/>
      </c>
      <c r="B74" s="381">
        <f>IF(AND('ENERO 2026'!D78&lt;&gt;"",'ENERO 2026'!Z78="POR RECOGER"),IF('ENERO 2026'!Y78&lt;&gt;"",'ENERO 2026'!Y78,'ENERO 2026'!I78),"")</f>
        <v/>
      </c>
      <c r="C74" s="381">
        <f>IF(AND('ENERO 2026'!D78&lt;&gt;"",'ENERO 2026'!Z78="POR RECOGER"),'ENERO 2026'!D78,"")</f>
        <v/>
      </c>
      <c r="D74" s="381">
        <f>IF(AND('ENERO 2026'!D78&lt;&gt;"",'ENERO 2026'!Z78="POR RECOGER"),'ENERO 2026'!F78,"")</f>
        <v/>
      </c>
      <c r="E74" s="381">
        <f>IF(AND('ENERO 2026'!D78&lt;&gt;"",'ENERO 2026'!Z78="POR RECOGER"),TEXT('ENERO 2026'!G78,"DD/MM/YYYY"),"")</f>
        <v/>
      </c>
      <c r="F74" s="381">
        <f>IF(AND('ENERO 2026'!D78&lt;&gt;"",'ENERO 2026'!Z78="POR RECOGER"),'ENERO 2026'!K78,"")</f>
        <v/>
      </c>
      <c r="G74" s="382">
        <f>IF(AND('ENERO 2026'!D78&lt;&gt;"",'ENERO 2026'!Z78="POR RECOGER"),'ENERO 2026'!M78,"")</f>
        <v/>
      </c>
      <c r="H74" s="382">
        <f>IF(AND('ENERO 2026'!D78&lt;&gt;"",'ENERO 2026'!Z78="POR RECOGER"),'ENERO 2026'!N78,"")</f>
        <v/>
      </c>
      <c r="I74" s="381">
        <f>IF(AND('ENERO 2026'!D78&lt;&gt;"",'ENERO 2026'!Z78="POR RECOGER"),'ENERO 2026'!P78,"")</f>
        <v/>
      </c>
      <c r="J74" s="381">
        <f>IF(AND('ENERO 2026'!D78&lt;&gt;"",'ENERO 2026'!Z78="POR RECOGER"),'ENERO 2026'!Q78,"")</f>
        <v/>
      </c>
      <c r="K74" s="381">
        <f>IF(AND('ENERO 2026'!D78&lt;&gt;"",'ENERO 2026'!Z78="POR RECOGER"),'ENERO 2026'!Y78,"")</f>
        <v/>
      </c>
      <c r="L74" s="381">
        <f>IF(AND('ENERO 2026'!D78&lt;&gt;"",'ENERO 2026'!Z78="POR RECOGER"),'ENERO 2026'!I78,"")</f>
        <v/>
      </c>
      <c r="P74" s="194" t="n"/>
      <c r="Q74" s="194" t="n"/>
      <c r="R74" s="194" t="n"/>
      <c r="S74" s="194" t="n"/>
      <c r="T74" s="194" t="n"/>
      <c r="U74" s="194" t="n"/>
      <c r="V74" s="194" t="n"/>
      <c r="W74" s="194" t="n"/>
      <c r="X74" s="194" t="n"/>
      <c r="Y74" s="194" t="n"/>
      <c r="Z74" s="194" t="n"/>
    </row>
    <row r="75" ht="15" customHeight="1" s="195">
      <c r="A75" s="381">
        <f>IF(AND('ENERO 2026'!D79&lt;&gt;"",'ENERO 2026'!Z79="POR RECOGER"),"ENE","")</f>
        <v/>
      </c>
      <c r="B75" s="381">
        <f>IF(AND('ENERO 2026'!D79&lt;&gt;"",'ENERO 2026'!Z79="POR RECOGER"),IF('ENERO 2026'!Y79&lt;&gt;"",'ENERO 2026'!Y79,'ENERO 2026'!I79),"")</f>
        <v/>
      </c>
      <c r="C75" s="381">
        <f>IF(AND('ENERO 2026'!D79&lt;&gt;"",'ENERO 2026'!Z79="POR RECOGER"),'ENERO 2026'!D79,"")</f>
        <v/>
      </c>
      <c r="D75" s="381">
        <f>IF(AND('ENERO 2026'!D79&lt;&gt;"",'ENERO 2026'!Z79="POR RECOGER"),'ENERO 2026'!F79,"")</f>
        <v/>
      </c>
      <c r="E75" s="381">
        <f>IF(AND('ENERO 2026'!D79&lt;&gt;"",'ENERO 2026'!Z79="POR RECOGER"),TEXT('ENERO 2026'!G79,"DD/MM/YYYY"),"")</f>
        <v/>
      </c>
      <c r="F75" s="381">
        <f>IF(AND('ENERO 2026'!D79&lt;&gt;"",'ENERO 2026'!Z79="POR RECOGER"),'ENERO 2026'!K79,"")</f>
        <v/>
      </c>
      <c r="G75" s="382">
        <f>IF(AND('ENERO 2026'!D79&lt;&gt;"",'ENERO 2026'!Z79="POR RECOGER"),'ENERO 2026'!M79,"")</f>
        <v/>
      </c>
      <c r="H75" s="382">
        <f>IF(AND('ENERO 2026'!D79&lt;&gt;"",'ENERO 2026'!Z79="POR RECOGER"),'ENERO 2026'!N79,"")</f>
        <v/>
      </c>
      <c r="I75" s="381">
        <f>IF(AND('ENERO 2026'!D79&lt;&gt;"",'ENERO 2026'!Z79="POR RECOGER"),'ENERO 2026'!P79,"")</f>
        <v/>
      </c>
      <c r="J75" s="381">
        <f>IF(AND('ENERO 2026'!D79&lt;&gt;"",'ENERO 2026'!Z79="POR RECOGER"),'ENERO 2026'!Q79,"")</f>
        <v/>
      </c>
      <c r="K75" s="381">
        <f>IF(AND('ENERO 2026'!D79&lt;&gt;"",'ENERO 2026'!Z79="POR RECOGER"),'ENERO 2026'!Y79,"")</f>
        <v/>
      </c>
      <c r="L75" s="381">
        <f>IF(AND('ENERO 2026'!D79&lt;&gt;"",'ENERO 2026'!Z79="POR RECOGER"),'ENERO 2026'!I79,"")</f>
        <v/>
      </c>
      <c r="P75" s="194" t="n"/>
      <c r="Q75" s="194" t="n"/>
      <c r="R75" s="194" t="n"/>
      <c r="S75" s="194" t="n"/>
      <c r="T75" s="194" t="n"/>
      <c r="U75" s="194" t="n"/>
      <c r="V75" s="194" t="n"/>
      <c r="W75" s="194" t="n"/>
      <c r="X75" s="194" t="n"/>
      <c r="Y75" s="194" t="n"/>
      <c r="Z75" s="194" t="n"/>
    </row>
    <row r="76" ht="15" customHeight="1" s="195">
      <c r="A76" s="381">
        <f>IF(AND('ENERO 2026'!D80&lt;&gt;"",'ENERO 2026'!Z80="POR RECOGER"),"ENE","")</f>
        <v/>
      </c>
      <c r="B76" s="381">
        <f>IF(AND('ENERO 2026'!D80&lt;&gt;"",'ENERO 2026'!Z80="POR RECOGER"),IF('ENERO 2026'!Y80&lt;&gt;"",'ENERO 2026'!Y80,'ENERO 2026'!I80),"")</f>
        <v/>
      </c>
      <c r="C76" s="381">
        <f>IF(AND('ENERO 2026'!D80&lt;&gt;"",'ENERO 2026'!Z80="POR RECOGER"),'ENERO 2026'!D80,"")</f>
        <v/>
      </c>
      <c r="D76" s="381">
        <f>IF(AND('ENERO 2026'!D80&lt;&gt;"",'ENERO 2026'!Z80="POR RECOGER"),'ENERO 2026'!F80,"")</f>
        <v/>
      </c>
      <c r="E76" s="381">
        <f>IF(AND('ENERO 2026'!D80&lt;&gt;"",'ENERO 2026'!Z80="POR RECOGER"),TEXT('ENERO 2026'!G80,"DD/MM/YYYY"),"")</f>
        <v/>
      </c>
      <c r="F76" s="381">
        <f>IF(AND('ENERO 2026'!D80&lt;&gt;"",'ENERO 2026'!Z80="POR RECOGER"),'ENERO 2026'!K80,"")</f>
        <v/>
      </c>
      <c r="G76" s="382">
        <f>IF(AND('ENERO 2026'!D80&lt;&gt;"",'ENERO 2026'!Z80="POR RECOGER"),'ENERO 2026'!M80,"")</f>
        <v/>
      </c>
      <c r="H76" s="382">
        <f>IF(AND('ENERO 2026'!D80&lt;&gt;"",'ENERO 2026'!Z80="POR RECOGER"),'ENERO 2026'!N80,"")</f>
        <v/>
      </c>
      <c r="I76" s="381">
        <f>IF(AND('ENERO 2026'!D80&lt;&gt;"",'ENERO 2026'!Z80="POR RECOGER"),'ENERO 2026'!P80,"")</f>
        <v/>
      </c>
      <c r="J76" s="381">
        <f>IF(AND('ENERO 2026'!D80&lt;&gt;"",'ENERO 2026'!Z80="POR RECOGER"),'ENERO 2026'!Q80,"")</f>
        <v/>
      </c>
      <c r="K76" s="381">
        <f>IF(AND('ENERO 2026'!D80&lt;&gt;"",'ENERO 2026'!Z80="POR RECOGER"),'ENERO 2026'!Y80,"")</f>
        <v/>
      </c>
      <c r="L76" s="381">
        <f>IF(AND('ENERO 2026'!D80&lt;&gt;"",'ENERO 2026'!Z80="POR RECOGER"),'ENERO 2026'!I80,"")</f>
        <v/>
      </c>
      <c r="P76" s="194" t="n"/>
      <c r="Q76" s="194" t="n"/>
      <c r="R76" s="194" t="n"/>
      <c r="S76" s="194" t="n"/>
      <c r="T76" s="194" t="n"/>
      <c r="U76" s="194" t="n"/>
      <c r="V76" s="194" t="n"/>
      <c r="W76" s="194" t="n"/>
      <c r="X76" s="194" t="n"/>
      <c r="Y76" s="194" t="n"/>
      <c r="Z76" s="194" t="n"/>
    </row>
    <row r="77" ht="15" customHeight="1" s="195">
      <c r="A77" s="381">
        <f>IF(AND('ENERO 2026'!D81&lt;&gt;"",'ENERO 2026'!Z81="POR RECOGER"),"ENE","")</f>
        <v/>
      </c>
      <c r="B77" s="381">
        <f>IF(AND('ENERO 2026'!D81&lt;&gt;"",'ENERO 2026'!Z81="POR RECOGER"),IF('ENERO 2026'!Y81&lt;&gt;"",'ENERO 2026'!Y81,'ENERO 2026'!I81),"")</f>
        <v/>
      </c>
      <c r="C77" s="381">
        <f>IF(AND('ENERO 2026'!D81&lt;&gt;"",'ENERO 2026'!Z81="POR RECOGER"),'ENERO 2026'!D81,"")</f>
        <v/>
      </c>
      <c r="D77" s="381">
        <f>IF(AND('ENERO 2026'!D81&lt;&gt;"",'ENERO 2026'!Z81="POR RECOGER"),'ENERO 2026'!F81,"")</f>
        <v/>
      </c>
      <c r="E77" s="381">
        <f>IF(AND('ENERO 2026'!D81&lt;&gt;"",'ENERO 2026'!Z81="POR RECOGER"),TEXT('ENERO 2026'!G81,"DD/MM/YYYY"),"")</f>
        <v/>
      </c>
      <c r="F77" s="381">
        <f>IF(AND('ENERO 2026'!D81&lt;&gt;"",'ENERO 2026'!Z81="POR RECOGER"),'ENERO 2026'!K81,"")</f>
        <v/>
      </c>
      <c r="G77" s="382">
        <f>IF(AND('ENERO 2026'!D81&lt;&gt;"",'ENERO 2026'!Z81="POR RECOGER"),'ENERO 2026'!M81,"")</f>
        <v/>
      </c>
      <c r="H77" s="382">
        <f>IF(AND('ENERO 2026'!D81&lt;&gt;"",'ENERO 2026'!Z81="POR RECOGER"),'ENERO 2026'!N81,"")</f>
        <v/>
      </c>
      <c r="I77" s="381">
        <f>IF(AND('ENERO 2026'!D81&lt;&gt;"",'ENERO 2026'!Z81="POR RECOGER"),'ENERO 2026'!P81,"")</f>
        <v/>
      </c>
      <c r="J77" s="381">
        <f>IF(AND('ENERO 2026'!D81&lt;&gt;"",'ENERO 2026'!Z81="POR RECOGER"),'ENERO 2026'!Q81,"")</f>
        <v/>
      </c>
      <c r="K77" s="381">
        <f>IF(AND('ENERO 2026'!D81&lt;&gt;"",'ENERO 2026'!Z81="POR RECOGER"),'ENERO 2026'!Y81,"")</f>
        <v/>
      </c>
      <c r="L77" s="381">
        <f>IF(AND('ENERO 2026'!D81&lt;&gt;"",'ENERO 2026'!Z81="POR RECOGER"),'ENERO 2026'!I81,"")</f>
        <v/>
      </c>
      <c r="P77" s="194" t="n"/>
      <c r="Q77" s="194" t="n"/>
      <c r="R77" s="194" t="n"/>
      <c r="S77" s="194" t="n"/>
      <c r="T77" s="194" t="n"/>
      <c r="U77" s="194" t="n"/>
      <c r="V77" s="194" t="n"/>
      <c r="W77" s="194" t="n"/>
      <c r="X77" s="194" t="n"/>
      <c r="Y77" s="194" t="n"/>
      <c r="Z77" s="194" t="n"/>
    </row>
    <row r="78" ht="15" customHeight="1" s="195">
      <c r="A78" s="381">
        <f>IF(AND('ENERO 2026'!D82&lt;&gt;"",'ENERO 2026'!Z82="POR RECOGER"),"ENE","")</f>
        <v/>
      </c>
      <c r="B78" s="381">
        <f>IF(AND('ENERO 2026'!D82&lt;&gt;"",'ENERO 2026'!Z82="POR RECOGER"),IF('ENERO 2026'!Y82&lt;&gt;"",'ENERO 2026'!Y82,'ENERO 2026'!I82),"")</f>
        <v/>
      </c>
      <c r="C78" s="381">
        <f>IF(AND('ENERO 2026'!D82&lt;&gt;"",'ENERO 2026'!Z82="POR RECOGER"),'ENERO 2026'!D82,"")</f>
        <v/>
      </c>
      <c r="D78" s="381">
        <f>IF(AND('ENERO 2026'!D82&lt;&gt;"",'ENERO 2026'!Z82="POR RECOGER"),'ENERO 2026'!F82,"")</f>
        <v/>
      </c>
      <c r="E78" s="381">
        <f>IF(AND('ENERO 2026'!D82&lt;&gt;"",'ENERO 2026'!Z82="POR RECOGER"),TEXT('ENERO 2026'!G82,"DD/MM/YYYY"),"")</f>
        <v/>
      </c>
      <c r="F78" s="381">
        <f>IF(AND('ENERO 2026'!D82&lt;&gt;"",'ENERO 2026'!Z82="POR RECOGER"),'ENERO 2026'!K82,"")</f>
        <v/>
      </c>
      <c r="G78" s="382">
        <f>IF(AND('ENERO 2026'!D82&lt;&gt;"",'ENERO 2026'!Z82="POR RECOGER"),'ENERO 2026'!M82,"")</f>
        <v/>
      </c>
      <c r="H78" s="382">
        <f>IF(AND('ENERO 2026'!D82&lt;&gt;"",'ENERO 2026'!Z82="POR RECOGER"),'ENERO 2026'!N82,"")</f>
        <v/>
      </c>
      <c r="I78" s="381">
        <f>IF(AND('ENERO 2026'!D82&lt;&gt;"",'ENERO 2026'!Z82="POR RECOGER"),'ENERO 2026'!P82,"")</f>
        <v/>
      </c>
      <c r="J78" s="381">
        <f>IF(AND('ENERO 2026'!D82&lt;&gt;"",'ENERO 2026'!Z82="POR RECOGER"),'ENERO 2026'!Q82,"")</f>
        <v/>
      </c>
      <c r="K78" s="381">
        <f>IF(AND('ENERO 2026'!D82&lt;&gt;"",'ENERO 2026'!Z82="POR RECOGER"),'ENERO 2026'!Y82,"")</f>
        <v/>
      </c>
      <c r="L78" s="381">
        <f>IF(AND('ENERO 2026'!D82&lt;&gt;"",'ENERO 2026'!Z82="POR RECOGER"),'ENERO 2026'!I82,"")</f>
        <v/>
      </c>
      <c r="P78" s="194" t="n"/>
      <c r="Q78" s="194" t="n"/>
      <c r="R78" s="194" t="n"/>
      <c r="S78" s="194" t="n"/>
      <c r="T78" s="194" t="n"/>
      <c r="U78" s="194" t="n"/>
      <c r="V78" s="194" t="n"/>
      <c r="W78" s="194" t="n"/>
      <c r="X78" s="194" t="n"/>
      <c r="Y78" s="194" t="n"/>
      <c r="Z78" s="194" t="n"/>
    </row>
    <row r="79" ht="15" customHeight="1" s="195">
      <c r="A79" s="381">
        <f>IF(AND('ENERO 2026'!D83&lt;&gt;"",'ENERO 2026'!Z83="POR RECOGER"),"ENE","")</f>
        <v/>
      </c>
      <c r="B79" s="381">
        <f>IF(AND('ENERO 2026'!D83&lt;&gt;"",'ENERO 2026'!Z83="POR RECOGER"),IF('ENERO 2026'!Y83&lt;&gt;"",'ENERO 2026'!Y83,'ENERO 2026'!I83),"")</f>
        <v/>
      </c>
      <c r="C79" s="381">
        <f>IF(AND('ENERO 2026'!D83&lt;&gt;"",'ENERO 2026'!Z83="POR RECOGER"),'ENERO 2026'!D83,"")</f>
        <v/>
      </c>
      <c r="D79" s="381">
        <f>IF(AND('ENERO 2026'!D83&lt;&gt;"",'ENERO 2026'!Z83="POR RECOGER"),'ENERO 2026'!F83,"")</f>
        <v/>
      </c>
      <c r="E79" s="381">
        <f>IF(AND('ENERO 2026'!D83&lt;&gt;"",'ENERO 2026'!Z83="POR RECOGER"),TEXT('ENERO 2026'!G83,"DD/MM/YYYY"),"")</f>
        <v/>
      </c>
      <c r="F79" s="381">
        <f>IF(AND('ENERO 2026'!D83&lt;&gt;"",'ENERO 2026'!Z83="POR RECOGER"),'ENERO 2026'!K83,"")</f>
        <v/>
      </c>
      <c r="G79" s="382">
        <f>IF(AND('ENERO 2026'!D83&lt;&gt;"",'ENERO 2026'!Z83="POR RECOGER"),'ENERO 2026'!M83,"")</f>
        <v/>
      </c>
      <c r="H79" s="382">
        <f>IF(AND('ENERO 2026'!D83&lt;&gt;"",'ENERO 2026'!Z83="POR RECOGER"),'ENERO 2026'!N83,"")</f>
        <v/>
      </c>
      <c r="I79" s="381">
        <f>IF(AND('ENERO 2026'!D83&lt;&gt;"",'ENERO 2026'!Z83="POR RECOGER"),'ENERO 2026'!P83,"")</f>
        <v/>
      </c>
      <c r="J79" s="381">
        <f>IF(AND('ENERO 2026'!D83&lt;&gt;"",'ENERO 2026'!Z83="POR RECOGER"),'ENERO 2026'!Q83,"")</f>
        <v/>
      </c>
      <c r="K79" s="381">
        <f>IF(AND('ENERO 2026'!D83&lt;&gt;"",'ENERO 2026'!Z83="POR RECOGER"),'ENERO 2026'!Y83,"")</f>
        <v/>
      </c>
      <c r="L79" s="381">
        <f>IF(AND('ENERO 2026'!D83&lt;&gt;"",'ENERO 2026'!Z83="POR RECOGER"),'ENERO 2026'!I83,"")</f>
        <v/>
      </c>
      <c r="P79" s="194" t="n"/>
      <c r="Q79" s="194" t="n"/>
      <c r="R79" s="194" t="n"/>
      <c r="S79" s="194" t="n"/>
      <c r="T79" s="194" t="n"/>
      <c r="U79" s="194" t="n"/>
      <c r="V79" s="194" t="n"/>
      <c r="W79" s="194" t="n"/>
      <c r="X79" s="194" t="n"/>
      <c r="Y79" s="194" t="n"/>
      <c r="Z79" s="194" t="n"/>
    </row>
    <row r="80" ht="15" customHeight="1" s="195">
      <c r="A80" s="381">
        <f>IF(AND('ENERO 2026'!D84&lt;&gt;"",'ENERO 2026'!Z84="POR RECOGER"),"ENE","")</f>
        <v/>
      </c>
      <c r="B80" s="381">
        <f>IF(AND('ENERO 2026'!D84&lt;&gt;"",'ENERO 2026'!Z84="POR RECOGER"),IF('ENERO 2026'!Y84&lt;&gt;"",'ENERO 2026'!Y84,'ENERO 2026'!I84),"")</f>
        <v/>
      </c>
      <c r="C80" s="381">
        <f>IF(AND('ENERO 2026'!D84&lt;&gt;"",'ENERO 2026'!Z84="POR RECOGER"),'ENERO 2026'!D84,"")</f>
        <v/>
      </c>
      <c r="D80" s="381">
        <f>IF(AND('ENERO 2026'!D84&lt;&gt;"",'ENERO 2026'!Z84="POR RECOGER"),'ENERO 2026'!F84,"")</f>
        <v/>
      </c>
      <c r="E80" s="381">
        <f>IF(AND('ENERO 2026'!D84&lt;&gt;"",'ENERO 2026'!Z84="POR RECOGER"),TEXT('ENERO 2026'!G84,"DD/MM/YYYY"),"")</f>
        <v/>
      </c>
      <c r="F80" s="381">
        <f>IF(AND('ENERO 2026'!D84&lt;&gt;"",'ENERO 2026'!Z84="POR RECOGER"),'ENERO 2026'!K84,"")</f>
        <v/>
      </c>
      <c r="G80" s="382">
        <f>IF(AND('ENERO 2026'!D84&lt;&gt;"",'ENERO 2026'!Z84="POR RECOGER"),'ENERO 2026'!M84,"")</f>
        <v/>
      </c>
      <c r="H80" s="382">
        <f>IF(AND('ENERO 2026'!D84&lt;&gt;"",'ENERO 2026'!Z84="POR RECOGER"),'ENERO 2026'!N84,"")</f>
        <v/>
      </c>
      <c r="I80" s="381">
        <f>IF(AND('ENERO 2026'!D84&lt;&gt;"",'ENERO 2026'!Z84="POR RECOGER"),'ENERO 2026'!P84,"")</f>
        <v/>
      </c>
      <c r="J80" s="381">
        <f>IF(AND('ENERO 2026'!D84&lt;&gt;"",'ENERO 2026'!Z84="POR RECOGER"),'ENERO 2026'!Q84,"")</f>
        <v/>
      </c>
      <c r="K80" s="381">
        <f>IF(AND('ENERO 2026'!D84&lt;&gt;"",'ENERO 2026'!Z84="POR RECOGER"),'ENERO 2026'!Y84,"")</f>
        <v/>
      </c>
      <c r="L80" s="381">
        <f>IF(AND('ENERO 2026'!D84&lt;&gt;"",'ENERO 2026'!Z84="POR RECOGER"),'ENERO 2026'!I84,"")</f>
        <v/>
      </c>
      <c r="P80" s="194" t="n"/>
      <c r="Q80" s="194" t="n"/>
      <c r="R80" s="194" t="n"/>
      <c r="S80" s="194" t="n"/>
      <c r="T80" s="194" t="n"/>
      <c r="U80" s="194" t="n"/>
      <c r="V80" s="194" t="n"/>
      <c r="W80" s="194" t="n"/>
      <c r="X80" s="194" t="n"/>
      <c r="Y80" s="194" t="n"/>
      <c r="Z80" s="194" t="n"/>
    </row>
    <row r="81" ht="15" customHeight="1" s="195">
      <c r="A81" s="381">
        <f>IF(AND('ENERO 2026'!D85&lt;&gt;"",'ENERO 2026'!Z85="POR RECOGER"),"ENE","")</f>
        <v/>
      </c>
      <c r="B81" s="381">
        <f>IF(AND('ENERO 2026'!D85&lt;&gt;"",'ENERO 2026'!Z85="POR RECOGER"),IF('ENERO 2026'!Y85&lt;&gt;"",'ENERO 2026'!Y85,'ENERO 2026'!I85),"")</f>
        <v/>
      </c>
      <c r="C81" s="381">
        <f>IF(AND('ENERO 2026'!D85&lt;&gt;"",'ENERO 2026'!Z85="POR RECOGER"),'ENERO 2026'!D85,"")</f>
        <v/>
      </c>
      <c r="D81" s="381">
        <f>IF(AND('ENERO 2026'!D85&lt;&gt;"",'ENERO 2026'!Z85="POR RECOGER"),'ENERO 2026'!F85,"")</f>
        <v/>
      </c>
      <c r="E81" s="381">
        <f>IF(AND('ENERO 2026'!D85&lt;&gt;"",'ENERO 2026'!Z85="POR RECOGER"),TEXT('ENERO 2026'!G85,"DD/MM/YYYY"),"")</f>
        <v/>
      </c>
      <c r="F81" s="381">
        <f>IF(AND('ENERO 2026'!D85&lt;&gt;"",'ENERO 2026'!Z85="POR RECOGER"),'ENERO 2026'!K85,"")</f>
        <v/>
      </c>
      <c r="G81" s="382">
        <f>IF(AND('ENERO 2026'!D85&lt;&gt;"",'ENERO 2026'!Z85="POR RECOGER"),'ENERO 2026'!M85,"")</f>
        <v/>
      </c>
      <c r="H81" s="382">
        <f>IF(AND('ENERO 2026'!D85&lt;&gt;"",'ENERO 2026'!Z85="POR RECOGER"),'ENERO 2026'!N85,"")</f>
        <v/>
      </c>
      <c r="I81" s="381">
        <f>IF(AND('ENERO 2026'!D85&lt;&gt;"",'ENERO 2026'!Z85="POR RECOGER"),'ENERO 2026'!P85,"")</f>
        <v/>
      </c>
      <c r="J81" s="381">
        <f>IF(AND('ENERO 2026'!D85&lt;&gt;"",'ENERO 2026'!Z85="POR RECOGER"),'ENERO 2026'!Q85,"")</f>
        <v/>
      </c>
      <c r="K81" s="381">
        <f>IF(AND('ENERO 2026'!D85&lt;&gt;"",'ENERO 2026'!Z85="POR RECOGER"),'ENERO 2026'!Y85,"")</f>
        <v/>
      </c>
      <c r="L81" s="381">
        <f>IF(AND('ENERO 2026'!D85&lt;&gt;"",'ENERO 2026'!Z85="POR RECOGER"),'ENERO 2026'!I85,"")</f>
        <v/>
      </c>
      <c r="P81" s="194" t="n"/>
      <c r="Q81" s="194" t="n"/>
      <c r="R81" s="194" t="n"/>
      <c r="S81" s="194" t="n"/>
      <c r="T81" s="194" t="n"/>
      <c r="U81" s="194" t="n"/>
      <c r="V81" s="194" t="n"/>
      <c r="W81" s="194" t="n"/>
      <c r="X81" s="194" t="n"/>
      <c r="Y81" s="194" t="n"/>
      <c r="Z81" s="194" t="n"/>
    </row>
    <row r="82" ht="15" customHeight="1" s="195">
      <c r="A82" s="381">
        <f>IF(AND('ENERO 2026'!D86&lt;&gt;"",'ENERO 2026'!Z86="POR RECOGER"),"ENE","")</f>
        <v/>
      </c>
      <c r="B82" s="381">
        <f>IF(AND('ENERO 2026'!D86&lt;&gt;"",'ENERO 2026'!Z86="POR RECOGER"),IF('ENERO 2026'!Y86&lt;&gt;"",'ENERO 2026'!Y86,'ENERO 2026'!I86),"")</f>
        <v/>
      </c>
      <c r="C82" s="381">
        <f>IF(AND('ENERO 2026'!D86&lt;&gt;"",'ENERO 2026'!Z86="POR RECOGER"),'ENERO 2026'!D86,"")</f>
        <v/>
      </c>
      <c r="D82" s="381">
        <f>IF(AND('ENERO 2026'!D86&lt;&gt;"",'ENERO 2026'!Z86="POR RECOGER"),'ENERO 2026'!F86,"")</f>
        <v/>
      </c>
      <c r="E82" s="381">
        <f>IF(AND('ENERO 2026'!D86&lt;&gt;"",'ENERO 2026'!Z86="POR RECOGER"),TEXT('ENERO 2026'!G86,"DD/MM/YYYY"),"")</f>
        <v/>
      </c>
      <c r="F82" s="381">
        <f>IF(AND('ENERO 2026'!D86&lt;&gt;"",'ENERO 2026'!Z86="POR RECOGER"),'ENERO 2026'!K86,"")</f>
        <v/>
      </c>
      <c r="G82" s="382">
        <f>IF(AND('ENERO 2026'!D86&lt;&gt;"",'ENERO 2026'!Z86="POR RECOGER"),'ENERO 2026'!M86,"")</f>
        <v/>
      </c>
      <c r="H82" s="382">
        <f>IF(AND('ENERO 2026'!D86&lt;&gt;"",'ENERO 2026'!Z86="POR RECOGER"),'ENERO 2026'!N86,"")</f>
        <v/>
      </c>
      <c r="I82" s="381">
        <f>IF(AND('ENERO 2026'!D86&lt;&gt;"",'ENERO 2026'!Z86="POR RECOGER"),'ENERO 2026'!P86,"")</f>
        <v/>
      </c>
      <c r="J82" s="381">
        <f>IF(AND('ENERO 2026'!D86&lt;&gt;"",'ENERO 2026'!Z86="POR RECOGER"),'ENERO 2026'!Q86,"")</f>
        <v/>
      </c>
      <c r="K82" s="381">
        <f>IF(AND('ENERO 2026'!D86&lt;&gt;"",'ENERO 2026'!Z86="POR RECOGER"),'ENERO 2026'!Y86,"")</f>
        <v/>
      </c>
      <c r="L82" s="381">
        <f>IF(AND('ENERO 2026'!D86&lt;&gt;"",'ENERO 2026'!Z86="POR RECOGER"),'ENERO 2026'!I86,"")</f>
        <v/>
      </c>
      <c r="P82" s="194" t="n"/>
      <c r="Q82" s="194" t="n"/>
      <c r="R82" s="194" t="n"/>
      <c r="S82" s="194" t="n"/>
      <c r="T82" s="194" t="n"/>
      <c r="U82" s="194" t="n"/>
      <c r="V82" s="194" t="n"/>
      <c r="W82" s="194" t="n"/>
      <c r="X82" s="194" t="n"/>
      <c r="Y82" s="194" t="n"/>
      <c r="Z82" s="194" t="n"/>
    </row>
    <row r="83" ht="15" customHeight="1" s="195">
      <c r="A83" s="381">
        <f>IF(AND('ENERO 2026'!D87&lt;&gt;"",'ENERO 2026'!Z87="POR RECOGER"),"ENE","")</f>
        <v/>
      </c>
      <c r="B83" s="381">
        <f>IF(AND('ENERO 2026'!D87&lt;&gt;"",'ENERO 2026'!Z87="POR RECOGER"),IF('ENERO 2026'!Y87&lt;&gt;"",'ENERO 2026'!Y87,'ENERO 2026'!I87),"")</f>
        <v/>
      </c>
      <c r="C83" s="381">
        <f>IF(AND('ENERO 2026'!D87&lt;&gt;"",'ENERO 2026'!Z87="POR RECOGER"),'ENERO 2026'!D87,"")</f>
        <v/>
      </c>
      <c r="D83" s="381">
        <f>IF(AND('ENERO 2026'!D87&lt;&gt;"",'ENERO 2026'!Z87="POR RECOGER"),'ENERO 2026'!F87,"")</f>
        <v/>
      </c>
      <c r="E83" s="381">
        <f>IF(AND('ENERO 2026'!D87&lt;&gt;"",'ENERO 2026'!Z87="POR RECOGER"),TEXT('ENERO 2026'!G87,"DD/MM/YYYY"),"")</f>
        <v/>
      </c>
      <c r="F83" s="381">
        <f>IF(AND('ENERO 2026'!D87&lt;&gt;"",'ENERO 2026'!Z87="POR RECOGER"),'ENERO 2026'!K87,"")</f>
        <v/>
      </c>
      <c r="G83" s="382">
        <f>IF(AND('ENERO 2026'!D87&lt;&gt;"",'ENERO 2026'!Z87="POR RECOGER"),'ENERO 2026'!M87,"")</f>
        <v/>
      </c>
      <c r="H83" s="382">
        <f>IF(AND('ENERO 2026'!D87&lt;&gt;"",'ENERO 2026'!Z87="POR RECOGER"),'ENERO 2026'!N87,"")</f>
        <v/>
      </c>
      <c r="I83" s="381">
        <f>IF(AND('ENERO 2026'!D87&lt;&gt;"",'ENERO 2026'!Z87="POR RECOGER"),'ENERO 2026'!P87,"")</f>
        <v/>
      </c>
      <c r="J83" s="381">
        <f>IF(AND('ENERO 2026'!D87&lt;&gt;"",'ENERO 2026'!Z87="POR RECOGER"),'ENERO 2026'!Q87,"")</f>
        <v/>
      </c>
      <c r="K83" s="381">
        <f>IF(AND('ENERO 2026'!D87&lt;&gt;"",'ENERO 2026'!Z87="POR RECOGER"),'ENERO 2026'!Y87,"")</f>
        <v/>
      </c>
      <c r="L83" s="381">
        <f>IF(AND('ENERO 2026'!D87&lt;&gt;"",'ENERO 2026'!Z87="POR RECOGER"),'ENERO 2026'!I87,"")</f>
        <v/>
      </c>
      <c r="P83" s="194" t="n"/>
      <c r="Q83" s="194" t="n"/>
      <c r="R83" s="194" t="n"/>
      <c r="S83" s="194" t="n"/>
      <c r="T83" s="194" t="n"/>
      <c r="U83" s="194" t="n"/>
      <c r="V83" s="194" t="n"/>
      <c r="W83" s="194" t="n"/>
      <c r="X83" s="194" t="n"/>
      <c r="Y83" s="194" t="n"/>
      <c r="Z83" s="194" t="n"/>
    </row>
    <row r="84" ht="15" customHeight="1" s="195">
      <c r="A84" s="381">
        <f>IF(AND('ENERO 2026'!D88&lt;&gt;"",'ENERO 2026'!Z88="POR RECOGER"),"ENE","")</f>
        <v/>
      </c>
      <c r="B84" s="381">
        <f>IF(AND('ENERO 2026'!D88&lt;&gt;"",'ENERO 2026'!Z88="POR RECOGER"),IF('ENERO 2026'!Y88&lt;&gt;"",'ENERO 2026'!Y88,'ENERO 2026'!I88),"")</f>
        <v/>
      </c>
      <c r="C84" s="381">
        <f>IF(AND('ENERO 2026'!D88&lt;&gt;"",'ENERO 2026'!Z88="POR RECOGER"),'ENERO 2026'!D88,"")</f>
        <v/>
      </c>
      <c r="D84" s="381">
        <f>IF(AND('ENERO 2026'!D88&lt;&gt;"",'ENERO 2026'!Z88="POR RECOGER"),'ENERO 2026'!F88,"")</f>
        <v/>
      </c>
      <c r="E84" s="381">
        <f>IF(AND('ENERO 2026'!D88&lt;&gt;"",'ENERO 2026'!Z88="POR RECOGER"),TEXT('ENERO 2026'!G88,"DD/MM/YYYY"),"")</f>
        <v/>
      </c>
      <c r="F84" s="381">
        <f>IF(AND('ENERO 2026'!D88&lt;&gt;"",'ENERO 2026'!Z88="POR RECOGER"),'ENERO 2026'!K88,"")</f>
        <v/>
      </c>
      <c r="G84" s="382">
        <f>IF(AND('ENERO 2026'!D88&lt;&gt;"",'ENERO 2026'!Z88="POR RECOGER"),'ENERO 2026'!M88,"")</f>
        <v/>
      </c>
      <c r="H84" s="382">
        <f>IF(AND('ENERO 2026'!D88&lt;&gt;"",'ENERO 2026'!Z88="POR RECOGER"),'ENERO 2026'!N88,"")</f>
        <v/>
      </c>
      <c r="I84" s="381">
        <f>IF(AND('ENERO 2026'!D88&lt;&gt;"",'ENERO 2026'!Z88="POR RECOGER"),'ENERO 2026'!P88,"")</f>
        <v/>
      </c>
      <c r="J84" s="381">
        <f>IF(AND('ENERO 2026'!D88&lt;&gt;"",'ENERO 2026'!Z88="POR RECOGER"),'ENERO 2026'!Q88,"")</f>
        <v/>
      </c>
      <c r="K84" s="381">
        <f>IF(AND('ENERO 2026'!D88&lt;&gt;"",'ENERO 2026'!Z88="POR RECOGER"),'ENERO 2026'!Y88,"")</f>
        <v/>
      </c>
      <c r="L84" s="381">
        <f>IF(AND('ENERO 2026'!D88&lt;&gt;"",'ENERO 2026'!Z88="POR RECOGER"),'ENERO 2026'!I88,"")</f>
        <v/>
      </c>
      <c r="P84" s="194" t="n"/>
      <c r="Q84" s="194" t="n"/>
      <c r="R84" s="194" t="n"/>
      <c r="S84" s="194" t="n"/>
      <c r="T84" s="194" t="n"/>
      <c r="U84" s="194" t="n"/>
      <c r="V84" s="194" t="n"/>
      <c r="W84" s="194" t="n"/>
      <c r="X84" s="194" t="n"/>
      <c r="Y84" s="194" t="n"/>
      <c r="Z84" s="194" t="n"/>
    </row>
    <row r="85" ht="15" customHeight="1" s="195">
      <c r="A85" s="381">
        <f>IF(AND('ENERO 2026'!D89&lt;&gt;"",'ENERO 2026'!Z89="POR RECOGER"),"ENE","")</f>
        <v/>
      </c>
      <c r="B85" s="381">
        <f>IF(AND('ENERO 2026'!D89&lt;&gt;"",'ENERO 2026'!Z89="POR RECOGER"),IF('ENERO 2026'!Y89&lt;&gt;"",'ENERO 2026'!Y89,'ENERO 2026'!I89),"")</f>
        <v/>
      </c>
      <c r="C85" s="381">
        <f>IF(AND('ENERO 2026'!D89&lt;&gt;"",'ENERO 2026'!Z89="POR RECOGER"),'ENERO 2026'!D89,"")</f>
        <v/>
      </c>
      <c r="D85" s="381">
        <f>IF(AND('ENERO 2026'!D89&lt;&gt;"",'ENERO 2026'!Z89="POR RECOGER"),'ENERO 2026'!F89,"")</f>
        <v/>
      </c>
      <c r="E85" s="381">
        <f>IF(AND('ENERO 2026'!D89&lt;&gt;"",'ENERO 2026'!Z89="POR RECOGER"),TEXT('ENERO 2026'!G89,"DD/MM/YYYY"),"")</f>
        <v/>
      </c>
      <c r="F85" s="381">
        <f>IF(AND('ENERO 2026'!D89&lt;&gt;"",'ENERO 2026'!Z89="POR RECOGER"),'ENERO 2026'!K89,"")</f>
        <v/>
      </c>
      <c r="G85" s="382">
        <f>IF(AND('ENERO 2026'!D89&lt;&gt;"",'ENERO 2026'!Z89="POR RECOGER"),'ENERO 2026'!M89,"")</f>
        <v/>
      </c>
      <c r="H85" s="382">
        <f>IF(AND('ENERO 2026'!D89&lt;&gt;"",'ENERO 2026'!Z89="POR RECOGER"),'ENERO 2026'!N89,"")</f>
        <v/>
      </c>
      <c r="I85" s="381">
        <f>IF(AND('ENERO 2026'!D89&lt;&gt;"",'ENERO 2026'!Z89="POR RECOGER"),'ENERO 2026'!P89,"")</f>
        <v/>
      </c>
      <c r="J85" s="381">
        <f>IF(AND('ENERO 2026'!D89&lt;&gt;"",'ENERO 2026'!Z89="POR RECOGER"),'ENERO 2026'!Q89,"")</f>
        <v/>
      </c>
      <c r="K85" s="381">
        <f>IF(AND('ENERO 2026'!D89&lt;&gt;"",'ENERO 2026'!Z89="POR RECOGER"),'ENERO 2026'!Y89,"")</f>
        <v/>
      </c>
      <c r="L85" s="381">
        <f>IF(AND('ENERO 2026'!D89&lt;&gt;"",'ENERO 2026'!Z89="POR RECOGER"),'ENERO 2026'!I89,"")</f>
        <v/>
      </c>
      <c r="P85" s="194" t="n"/>
      <c r="Q85" s="194" t="n"/>
      <c r="R85" s="194" t="n"/>
      <c r="S85" s="194" t="n"/>
      <c r="T85" s="194" t="n"/>
      <c r="U85" s="194" t="n"/>
      <c r="V85" s="194" t="n"/>
      <c r="W85" s="194" t="n"/>
      <c r="X85" s="194" t="n"/>
      <c r="Y85" s="194" t="n"/>
      <c r="Z85" s="194" t="n"/>
    </row>
    <row r="86" ht="15" customHeight="1" s="195">
      <c r="A86" s="381">
        <f>IF(AND('ENERO 2026'!D90&lt;&gt;"",'ENERO 2026'!Z90="POR RECOGER"),"ENE","")</f>
        <v/>
      </c>
      <c r="B86" s="381">
        <f>IF(AND('ENERO 2026'!D90&lt;&gt;"",'ENERO 2026'!Z90="POR RECOGER"),IF('ENERO 2026'!Y90&lt;&gt;"",'ENERO 2026'!Y90,'ENERO 2026'!I90),"")</f>
        <v/>
      </c>
      <c r="C86" s="381">
        <f>IF(AND('ENERO 2026'!D90&lt;&gt;"",'ENERO 2026'!Z90="POR RECOGER"),'ENERO 2026'!D90,"")</f>
        <v/>
      </c>
      <c r="D86" s="381">
        <f>IF(AND('ENERO 2026'!D90&lt;&gt;"",'ENERO 2026'!Z90="POR RECOGER"),'ENERO 2026'!F90,"")</f>
        <v/>
      </c>
      <c r="E86" s="381">
        <f>IF(AND('ENERO 2026'!D90&lt;&gt;"",'ENERO 2026'!Z90="POR RECOGER"),TEXT('ENERO 2026'!G90,"DD/MM/YYYY"),"")</f>
        <v/>
      </c>
      <c r="F86" s="381">
        <f>IF(AND('ENERO 2026'!D90&lt;&gt;"",'ENERO 2026'!Z90="POR RECOGER"),'ENERO 2026'!K90,"")</f>
        <v/>
      </c>
      <c r="G86" s="382">
        <f>IF(AND('ENERO 2026'!D90&lt;&gt;"",'ENERO 2026'!Z90="POR RECOGER"),'ENERO 2026'!M90,"")</f>
        <v/>
      </c>
      <c r="H86" s="382">
        <f>IF(AND('ENERO 2026'!D90&lt;&gt;"",'ENERO 2026'!Z90="POR RECOGER"),'ENERO 2026'!N90,"")</f>
        <v/>
      </c>
      <c r="I86" s="381">
        <f>IF(AND('ENERO 2026'!D90&lt;&gt;"",'ENERO 2026'!Z90="POR RECOGER"),'ENERO 2026'!P90,"")</f>
        <v/>
      </c>
      <c r="J86" s="381">
        <f>IF(AND('ENERO 2026'!D90&lt;&gt;"",'ENERO 2026'!Z90="POR RECOGER"),'ENERO 2026'!Q90,"")</f>
        <v/>
      </c>
      <c r="K86" s="381">
        <f>IF(AND('ENERO 2026'!D90&lt;&gt;"",'ENERO 2026'!Z90="POR RECOGER"),'ENERO 2026'!Y90,"")</f>
        <v/>
      </c>
      <c r="L86" s="381">
        <f>IF(AND('ENERO 2026'!D90&lt;&gt;"",'ENERO 2026'!Z90="POR RECOGER"),'ENERO 2026'!I90,"")</f>
        <v/>
      </c>
      <c r="P86" s="194" t="n"/>
      <c r="Q86" s="194" t="n"/>
      <c r="R86" s="194" t="n"/>
      <c r="S86" s="194" t="n"/>
      <c r="T86" s="194" t="n"/>
      <c r="U86" s="194" t="n"/>
      <c r="V86" s="194" t="n"/>
      <c r="W86" s="194" t="n"/>
      <c r="X86" s="194" t="n"/>
      <c r="Y86" s="194" t="n"/>
      <c r="Z86" s="194" t="n"/>
    </row>
    <row r="87" ht="15" customHeight="1" s="195">
      <c r="A87" s="381">
        <f>IF(AND('ENERO 2026'!D91&lt;&gt;"",'ENERO 2026'!Z91="POR RECOGER"),"ENE","")</f>
        <v/>
      </c>
      <c r="B87" s="381">
        <f>IF(AND('ENERO 2026'!D91&lt;&gt;"",'ENERO 2026'!Z91="POR RECOGER"),IF('ENERO 2026'!Y91&lt;&gt;"",'ENERO 2026'!Y91,'ENERO 2026'!I91),"")</f>
        <v/>
      </c>
      <c r="C87" s="381">
        <f>IF(AND('ENERO 2026'!D91&lt;&gt;"",'ENERO 2026'!Z91="POR RECOGER"),'ENERO 2026'!D91,"")</f>
        <v/>
      </c>
      <c r="D87" s="381">
        <f>IF(AND('ENERO 2026'!D91&lt;&gt;"",'ENERO 2026'!Z91="POR RECOGER"),'ENERO 2026'!F91,"")</f>
        <v/>
      </c>
      <c r="E87" s="381">
        <f>IF(AND('ENERO 2026'!D91&lt;&gt;"",'ENERO 2026'!Z91="POR RECOGER"),TEXT('ENERO 2026'!G91,"DD/MM/YYYY"),"")</f>
        <v/>
      </c>
      <c r="F87" s="381">
        <f>IF(AND('ENERO 2026'!D91&lt;&gt;"",'ENERO 2026'!Z91="POR RECOGER"),'ENERO 2026'!K91,"")</f>
        <v/>
      </c>
      <c r="G87" s="382">
        <f>IF(AND('ENERO 2026'!D91&lt;&gt;"",'ENERO 2026'!Z91="POR RECOGER"),'ENERO 2026'!M91,"")</f>
        <v/>
      </c>
      <c r="H87" s="382">
        <f>IF(AND('ENERO 2026'!D91&lt;&gt;"",'ENERO 2026'!Z91="POR RECOGER"),'ENERO 2026'!N91,"")</f>
        <v/>
      </c>
      <c r="I87" s="381">
        <f>IF(AND('ENERO 2026'!D91&lt;&gt;"",'ENERO 2026'!Z91="POR RECOGER"),'ENERO 2026'!P91,"")</f>
        <v/>
      </c>
      <c r="J87" s="381">
        <f>IF(AND('ENERO 2026'!D91&lt;&gt;"",'ENERO 2026'!Z91="POR RECOGER"),'ENERO 2026'!Q91,"")</f>
        <v/>
      </c>
      <c r="K87" s="381">
        <f>IF(AND('ENERO 2026'!D91&lt;&gt;"",'ENERO 2026'!Z91="POR RECOGER"),'ENERO 2026'!Y91,"")</f>
        <v/>
      </c>
      <c r="L87" s="381">
        <f>IF(AND('ENERO 2026'!D91&lt;&gt;"",'ENERO 2026'!Z91="POR RECOGER"),'ENERO 2026'!I91,"")</f>
        <v/>
      </c>
      <c r="P87" s="194" t="n"/>
      <c r="Q87" s="194" t="n"/>
      <c r="R87" s="194" t="n"/>
      <c r="S87" s="194" t="n"/>
      <c r="T87" s="194" t="n"/>
      <c r="U87" s="194" t="n"/>
      <c r="V87" s="194" t="n"/>
      <c r="W87" s="194" t="n"/>
      <c r="X87" s="194" t="n"/>
      <c r="Y87" s="194" t="n"/>
      <c r="Z87" s="194" t="n"/>
    </row>
    <row r="88" ht="15" customHeight="1" s="195">
      <c r="A88" s="381">
        <f>IF(AND('ENERO 2026'!D92&lt;&gt;"",'ENERO 2026'!Z92="POR RECOGER"),"ENE","")</f>
        <v/>
      </c>
      <c r="B88" s="381">
        <f>IF(AND('ENERO 2026'!D92&lt;&gt;"",'ENERO 2026'!Z92="POR RECOGER"),IF('ENERO 2026'!Y92&lt;&gt;"",'ENERO 2026'!Y92,'ENERO 2026'!I92),"")</f>
        <v/>
      </c>
      <c r="C88" s="381">
        <f>IF(AND('ENERO 2026'!D92&lt;&gt;"",'ENERO 2026'!Z92="POR RECOGER"),'ENERO 2026'!D92,"")</f>
        <v/>
      </c>
      <c r="D88" s="381">
        <f>IF(AND('ENERO 2026'!D92&lt;&gt;"",'ENERO 2026'!Z92="POR RECOGER"),'ENERO 2026'!F92,"")</f>
        <v/>
      </c>
      <c r="E88" s="381">
        <f>IF(AND('ENERO 2026'!D92&lt;&gt;"",'ENERO 2026'!Z92="POR RECOGER"),TEXT('ENERO 2026'!G92,"DD/MM/YYYY"),"")</f>
        <v/>
      </c>
      <c r="F88" s="381">
        <f>IF(AND('ENERO 2026'!D92&lt;&gt;"",'ENERO 2026'!Z92="POR RECOGER"),'ENERO 2026'!K92,"")</f>
        <v/>
      </c>
      <c r="G88" s="382">
        <f>IF(AND('ENERO 2026'!D92&lt;&gt;"",'ENERO 2026'!Z92="POR RECOGER"),'ENERO 2026'!M92,"")</f>
        <v/>
      </c>
      <c r="H88" s="382">
        <f>IF(AND('ENERO 2026'!D92&lt;&gt;"",'ENERO 2026'!Z92="POR RECOGER"),'ENERO 2026'!N92,"")</f>
        <v/>
      </c>
      <c r="I88" s="381">
        <f>IF(AND('ENERO 2026'!D92&lt;&gt;"",'ENERO 2026'!Z92="POR RECOGER"),'ENERO 2026'!P92,"")</f>
        <v/>
      </c>
      <c r="J88" s="381">
        <f>IF(AND('ENERO 2026'!D92&lt;&gt;"",'ENERO 2026'!Z92="POR RECOGER"),'ENERO 2026'!Q92,"")</f>
        <v/>
      </c>
      <c r="K88" s="381">
        <f>IF(AND('ENERO 2026'!D92&lt;&gt;"",'ENERO 2026'!Z92="POR RECOGER"),'ENERO 2026'!Y92,"")</f>
        <v/>
      </c>
      <c r="L88" s="381">
        <f>IF(AND('ENERO 2026'!D92&lt;&gt;"",'ENERO 2026'!Z92="POR RECOGER"),'ENERO 2026'!I92,"")</f>
        <v/>
      </c>
      <c r="P88" s="194" t="n"/>
      <c r="Q88" s="194" t="n"/>
      <c r="R88" s="194" t="n"/>
      <c r="S88" s="194" t="n"/>
      <c r="T88" s="194" t="n"/>
      <c r="U88" s="194" t="n"/>
      <c r="V88" s="194" t="n"/>
      <c r="W88" s="194" t="n"/>
      <c r="X88" s="194" t="n"/>
      <c r="Y88" s="194" t="n"/>
      <c r="Z88" s="194" t="n"/>
    </row>
    <row r="89" ht="15" customHeight="1" s="195">
      <c r="A89" s="381">
        <f>IF(AND('ENERO 2026'!D93&lt;&gt;"",'ENERO 2026'!Z93="POR RECOGER"),"ENE","")</f>
        <v/>
      </c>
      <c r="B89" s="381">
        <f>IF(AND('ENERO 2026'!D93&lt;&gt;"",'ENERO 2026'!Z93="POR RECOGER"),IF('ENERO 2026'!Y93&lt;&gt;"",'ENERO 2026'!Y93,'ENERO 2026'!I93),"")</f>
        <v/>
      </c>
      <c r="C89" s="381">
        <f>IF(AND('ENERO 2026'!D93&lt;&gt;"",'ENERO 2026'!Z93="POR RECOGER"),'ENERO 2026'!D93,"")</f>
        <v/>
      </c>
      <c r="D89" s="381">
        <f>IF(AND('ENERO 2026'!D93&lt;&gt;"",'ENERO 2026'!Z93="POR RECOGER"),'ENERO 2026'!F93,"")</f>
        <v/>
      </c>
      <c r="E89" s="381">
        <f>IF(AND('ENERO 2026'!D93&lt;&gt;"",'ENERO 2026'!Z93="POR RECOGER"),TEXT('ENERO 2026'!G93,"DD/MM/YYYY"),"")</f>
        <v/>
      </c>
      <c r="F89" s="381">
        <f>IF(AND('ENERO 2026'!D93&lt;&gt;"",'ENERO 2026'!Z93="POR RECOGER"),'ENERO 2026'!K93,"")</f>
        <v/>
      </c>
      <c r="G89" s="382">
        <f>IF(AND('ENERO 2026'!D93&lt;&gt;"",'ENERO 2026'!Z93="POR RECOGER"),'ENERO 2026'!M93,"")</f>
        <v/>
      </c>
      <c r="H89" s="382">
        <f>IF(AND('ENERO 2026'!D93&lt;&gt;"",'ENERO 2026'!Z93="POR RECOGER"),'ENERO 2026'!N93,"")</f>
        <v/>
      </c>
      <c r="I89" s="381">
        <f>IF(AND('ENERO 2026'!D93&lt;&gt;"",'ENERO 2026'!Z93="POR RECOGER"),'ENERO 2026'!P93,"")</f>
        <v/>
      </c>
      <c r="J89" s="381">
        <f>IF(AND('ENERO 2026'!D93&lt;&gt;"",'ENERO 2026'!Z93="POR RECOGER"),'ENERO 2026'!Q93,"")</f>
        <v/>
      </c>
      <c r="K89" s="381">
        <f>IF(AND('ENERO 2026'!D93&lt;&gt;"",'ENERO 2026'!Z93="POR RECOGER"),'ENERO 2026'!Y93,"")</f>
        <v/>
      </c>
      <c r="L89" s="381">
        <f>IF(AND('ENERO 2026'!D93&lt;&gt;"",'ENERO 2026'!Z93="POR RECOGER"),'ENERO 2026'!I93,"")</f>
        <v/>
      </c>
      <c r="P89" s="194" t="n"/>
      <c r="Q89" s="194" t="n"/>
      <c r="R89" s="194" t="n"/>
      <c r="S89" s="194" t="n"/>
      <c r="T89" s="194" t="n"/>
      <c r="U89" s="194" t="n"/>
      <c r="V89" s="194" t="n"/>
      <c r="W89" s="194" t="n"/>
      <c r="X89" s="194" t="n"/>
      <c r="Y89" s="194" t="n"/>
      <c r="Z89" s="194" t="n"/>
    </row>
    <row r="90" ht="15" customHeight="1" s="195">
      <c r="A90" s="381">
        <f>IF(AND('ENERO 2026'!D94&lt;&gt;"",'ENERO 2026'!Z94="POR RECOGER"),"ENE","")</f>
        <v/>
      </c>
      <c r="B90" s="381">
        <f>IF(AND('ENERO 2026'!D94&lt;&gt;"",'ENERO 2026'!Z94="POR RECOGER"),IF('ENERO 2026'!Y94&lt;&gt;"",'ENERO 2026'!Y94,'ENERO 2026'!I94),"")</f>
        <v/>
      </c>
      <c r="C90" s="381">
        <f>IF(AND('ENERO 2026'!D94&lt;&gt;"",'ENERO 2026'!Z94="POR RECOGER"),'ENERO 2026'!D94,"")</f>
        <v/>
      </c>
      <c r="D90" s="381">
        <f>IF(AND('ENERO 2026'!D94&lt;&gt;"",'ENERO 2026'!Z94="POR RECOGER"),'ENERO 2026'!F94,"")</f>
        <v/>
      </c>
      <c r="E90" s="381">
        <f>IF(AND('ENERO 2026'!D94&lt;&gt;"",'ENERO 2026'!Z94="POR RECOGER"),TEXT('ENERO 2026'!G94,"DD/MM/YYYY"),"")</f>
        <v/>
      </c>
      <c r="F90" s="381">
        <f>IF(AND('ENERO 2026'!D94&lt;&gt;"",'ENERO 2026'!Z94="POR RECOGER"),'ENERO 2026'!K94,"")</f>
        <v/>
      </c>
      <c r="G90" s="382">
        <f>IF(AND('ENERO 2026'!D94&lt;&gt;"",'ENERO 2026'!Z94="POR RECOGER"),'ENERO 2026'!M94,"")</f>
        <v/>
      </c>
      <c r="H90" s="382">
        <f>IF(AND('ENERO 2026'!D94&lt;&gt;"",'ENERO 2026'!Z94="POR RECOGER"),'ENERO 2026'!N94,"")</f>
        <v/>
      </c>
      <c r="I90" s="381">
        <f>IF(AND('ENERO 2026'!D94&lt;&gt;"",'ENERO 2026'!Z94="POR RECOGER"),'ENERO 2026'!P94,"")</f>
        <v/>
      </c>
      <c r="J90" s="381">
        <f>IF(AND('ENERO 2026'!D94&lt;&gt;"",'ENERO 2026'!Z94="POR RECOGER"),'ENERO 2026'!Q94,"")</f>
        <v/>
      </c>
      <c r="K90" s="381">
        <f>IF(AND('ENERO 2026'!D94&lt;&gt;"",'ENERO 2026'!Z94="POR RECOGER"),'ENERO 2026'!Y94,"")</f>
        <v/>
      </c>
      <c r="L90" s="381">
        <f>IF(AND('ENERO 2026'!D94&lt;&gt;"",'ENERO 2026'!Z94="POR RECOGER"),'ENERO 2026'!I94,"")</f>
        <v/>
      </c>
      <c r="P90" s="194" t="n"/>
      <c r="Q90" s="194" t="n"/>
      <c r="R90" s="194" t="n"/>
      <c r="S90" s="194" t="n"/>
      <c r="T90" s="194" t="n"/>
      <c r="U90" s="194" t="n"/>
      <c r="V90" s="194" t="n"/>
      <c r="W90" s="194" t="n"/>
      <c r="X90" s="194" t="n"/>
      <c r="Y90" s="194" t="n"/>
      <c r="Z90" s="194" t="n"/>
    </row>
    <row r="91" ht="15" customHeight="1" s="195">
      <c r="A91" s="381">
        <f>IF(AND('ENERO 2026'!D95&lt;&gt;"",'ENERO 2026'!Z95="POR RECOGER"),"ENE","")</f>
        <v/>
      </c>
      <c r="B91" s="381">
        <f>IF(AND('ENERO 2026'!D95&lt;&gt;"",'ENERO 2026'!Z95="POR RECOGER"),IF('ENERO 2026'!Y95&lt;&gt;"",'ENERO 2026'!Y95,'ENERO 2026'!I95),"")</f>
        <v/>
      </c>
      <c r="C91" s="381">
        <f>IF(AND('ENERO 2026'!D95&lt;&gt;"",'ENERO 2026'!Z95="POR RECOGER"),'ENERO 2026'!D95,"")</f>
        <v/>
      </c>
      <c r="D91" s="381">
        <f>IF(AND('ENERO 2026'!D95&lt;&gt;"",'ENERO 2026'!Z95="POR RECOGER"),'ENERO 2026'!F95,"")</f>
        <v/>
      </c>
      <c r="E91" s="381">
        <f>IF(AND('ENERO 2026'!D95&lt;&gt;"",'ENERO 2026'!Z95="POR RECOGER"),TEXT('ENERO 2026'!G95,"DD/MM/YYYY"),"")</f>
        <v/>
      </c>
      <c r="F91" s="381">
        <f>IF(AND('ENERO 2026'!D95&lt;&gt;"",'ENERO 2026'!Z95="POR RECOGER"),'ENERO 2026'!K95,"")</f>
        <v/>
      </c>
      <c r="G91" s="382">
        <f>IF(AND('ENERO 2026'!D95&lt;&gt;"",'ENERO 2026'!Z95="POR RECOGER"),'ENERO 2026'!M95,"")</f>
        <v/>
      </c>
      <c r="H91" s="382">
        <f>IF(AND('ENERO 2026'!D95&lt;&gt;"",'ENERO 2026'!Z95="POR RECOGER"),'ENERO 2026'!N95,"")</f>
        <v/>
      </c>
      <c r="I91" s="381">
        <f>IF(AND('ENERO 2026'!D95&lt;&gt;"",'ENERO 2026'!Z95="POR RECOGER"),'ENERO 2026'!P95,"")</f>
        <v/>
      </c>
      <c r="J91" s="381">
        <f>IF(AND('ENERO 2026'!D95&lt;&gt;"",'ENERO 2026'!Z95="POR RECOGER"),'ENERO 2026'!Q95,"")</f>
        <v/>
      </c>
      <c r="K91" s="381">
        <f>IF(AND('ENERO 2026'!D95&lt;&gt;"",'ENERO 2026'!Z95="POR RECOGER"),'ENERO 2026'!Y95,"")</f>
        <v/>
      </c>
      <c r="L91" s="381">
        <f>IF(AND('ENERO 2026'!D95&lt;&gt;"",'ENERO 2026'!Z95="POR RECOGER"),'ENERO 2026'!I95,"")</f>
        <v/>
      </c>
      <c r="P91" s="194" t="n"/>
      <c r="Q91" s="194" t="n"/>
      <c r="R91" s="194" t="n"/>
      <c r="S91" s="194" t="n"/>
      <c r="T91" s="194" t="n"/>
      <c r="U91" s="194" t="n"/>
      <c r="V91" s="194" t="n"/>
      <c r="W91" s="194" t="n"/>
      <c r="X91" s="194" t="n"/>
      <c r="Y91" s="194" t="n"/>
      <c r="Z91" s="194" t="n"/>
    </row>
    <row r="92" ht="15" customHeight="1" s="195">
      <c r="A92" s="381">
        <f>IF(AND('ENERO 2026'!D96&lt;&gt;"",'ENERO 2026'!Z96="POR RECOGER"),"ENE","")</f>
        <v/>
      </c>
      <c r="B92" s="381">
        <f>IF(AND('ENERO 2026'!D96&lt;&gt;"",'ENERO 2026'!Z96="POR RECOGER"),IF('ENERO 2026'!Y96&lt;&gt;"",'ENERO 2026'!Y96,'ENERO 2026'!I96),"")</f>
        <v/>
      </c>
      <c r="C92" s="381">
        <f>IF(AND('ENERO 2026'!D96&lt;&gt;"",'ENERO 2026'!Z96="POR RECOGER"),'ENERO 2026'!D96,"")</f>
        <v/>
      </c>
      <c r="D92" s="381">
        <f>IF(AND('ENERO 2026'!D96&lt;&gt;"",'ENERO 2026'!Z96="POR RECOGER"),'ENERO 2026'!F96,"")</f>
        <v/>
      </c>
      <c r="E92" s="381">
        <f>IF(AND('ENERO 2026'!D96&lt;&gt;"",'ENERO 2026'!Z96="POR RECOGER"),TEXT('ENERO 2026'!G96,"DD/MM/YYYY"),"")</f>
        <v/>
      </c>
      <c r="F92" s="381">
        <f>IF(AND('ENERO 2026'!D96&lt;&gt;"",'ENERO 2026'!Z96="POR RECOGER"),'ENERO 2026'!K96,"")</f>
        <v/>
      </c>
      <c r="G92" s="382">
        <f>IF(AND('ENERO 2026'!D96&lt;&gt;"",'ENERO 2026'!Z96="POR RECOGER"),'ENERO 2026'!M96,"")</f>
        <v/>
      </c>
      <c r="H92" s="382">
        <f>IF(AND('ENERO 2026'!D96&lt;&gt;"",'ENERO 2026'!Z96="POR RECOGER"),'ENERO 2026'!N96,"")</f>
        <v/>
      </c>
      <c r="I92" s="381">
        <f>IF(AND('ENERO 2026'!D96&lt;&gt;"",'ENERO 2026'!Z96="POR RECOGER"),'ENERO 2026'!P96,"")</f>
        <v/>
      </c>
      <c r="J92" s="381">
        <f>IF(AND('ENERO 2026'!D96&lt;&gt;"",'ENERO 2026'!Z96="POR RECOGER"),'ENERO 2026'!Q96,"")</f>
        <v/>
      </c>
      <c r="K92" s="381">
        <f>IF(AND('ENERO 2026'!D96&lt;&gt;"",'ENERO 2026'!Z96="POR RECOGER"),'ENERO 2026'!Y96,"")</f>
        <v/>
      </c>
      <c r="L92" s="381">
        <f>IF(AND('ENERO 2026'!D96&lt;&gt;"",'ENERO 2026'!Z96="POR RECOGER"),'ENERO 2026'!I96,"")</f>
        <v/>
      </c>
      <c r="P92" s="194" t="n"/>
      <c r="Q92" s="194" t="n"/>
      <c r="R92" s="194" t="n"/>
      <c r="S92" s="194" t="n"/>
      <c r="T92" s="194" t="n"/>
      <c r="U92" s="194" t="n"/>
      <c r="V92" s="194" t="n"/>
      <c r="W92" s="194" t="n"/>
      <c r="X92" s="194" t="n"/>
      <c r="Y92" s="194" t="n"/>
      <c r="Z92" s="194" t="n"/>
    </row>
    <row r="93" ht="15" customHeight="1" s="195">
      <c r="A93" s="381">
        <f>IF(AND('ENERO 2026'!D97&lt;&gt;"",'ENERO 2026'!Z97="POR RECOGER"),"ENE","")</f>
        <v/>
      </c>
      <c r="B93" s="381">
        <f>IF(AND('ENERO 2026'!D97&lt;&gt;"",'ENERO 2026'!Z97="POR RECOGER"),IF('ENERO 2026'!Y97&lt;&gt;"",'ENERO 2026'!Y97,'ENERO 2026'!I97),"")</f>
        <v/>
      </c>
      <c r="C93" s="381">
        <f>IF(AND('ENERO 2026'!D97&lt;&gt;"",'ENERO 2026'!Z97="POR RECOGER"),'ENERO 2026'!D97,"")</f>
        <v/>
      </c>
      <c r="D93" s="381">
        <f>IF(AND('ENERO 2026'!D97&lt;&gt;"",'ENERO 2026'!Z97="POR RECOGER"),'ENERO 2026'!F97,"")</f>
        <v/>
      </c>
      <c r="E93" s="381">
        <f>IF(AND('ENERO 2026'!D97&lt;&gt;"",'ENERO 2026'!Z97="POR RECOGER"),TEXT('ENERO 2026'!G97,"DD/MM/YYYY"),"")</f>
        <v/>
      </c>
      <c r="F93" s="381">
        <f>IF(AND('ENERO 2026'!D97&lt;&gt;"",'ENERO 2026'!Z97="POR RECOGER"),'ENERO 2026'!K97,"")</f>
        <v/>
      </c>
      <c r="G93" s="382">
        <f>IF(AND('ENERO 2026'!D97&lt;&gt;"",'ENERO 2026'!Z97="POR RECOGER"),'ENERO 2026'!M97,"")</f>
        <v/>
      </c>
      <c r="H93" s="382">
        <f>IF(AND('ENERO 2026'!D97&lt;&gt;"",'ENERO 2026'!Z97="POR RECOGER"),'ENERO 2026'!N97,"")</f>
        <v/>
      </c>
      <c r="I93" s="381">
        <f>IF(AND('ENERO 2026'!D97&lt;&gt;"",'ENERO 2026'!Z97="POR RECOGER"),'ENERO 2026'!P97,"")</f>
        <v/>
      </c>
      <c r="J93" s="381">
        <f>IF(AND('ENERO 2026'!D97&lt;&gt;"",'ENERO 2026'!Z97="POR RECOGER"),'ENERO 2026'!Q97,"")</f>
        <v/>
      </c>
      <c r="K93" s="381">
        <f>IF(AND('ENERO 2026'!D97&lt;&gt;"",'ENERO 2026'!Z97="POR RECOGER"),'ENERO 2026'!Y97,"")</f>
        <v/>
      </c>
      <c r="L93" s="381">
        <f>IF(AND('ENERO 2026'!D97&lt;&gt;"",'ENERO 2026'!Z97="POR RECOGER"),'ENERO 2026'!I97,"")</f>
        <v/>
      </c>
      <c r="P93" s="194" t="n"/>
      <c r="Q93" s="194" t="n"/>
      <c r="R93" s="194" t="n"/>
      <c r="S93" s="194" t="n"/>
      <c r="T93" s="194" t="n"/>
      <c r="U93" s="194" t="n"/>
      <c r="V93" s="194" t="n"/>
      <c r="W93" s="194" t="n"/>
      <c r="X93" s="194" t="n"/>
      <c r="Y93" s="194" t="n"/>
      <c r="Z93" s="194" t="n"/>
    </row>
    <row r="94" ht="15" customHeight="1" s="195">
      <c r="A94" s="381">
        <f>IF(AND('ENERO 2026'!D98&lt;&gt;"",'ENERO 2026'!Z98="POR RECOGER"),"ENE","")</f>
        <v/>
      </c>
      <c r="B94" s="381">
        <f>IF(AND('ENERO 2026'!D98&lt;&gt;"",'ENERO 2026'!Z98="POR RECOGER"),IF('ENERO 2026'!Y98&lt;&gt;"",'ENERO 2026'!Y98,'ENERO 2026'!I98),"")</f>
        <v/>
      </c>
      <c r="C94" s="381">
        <f>IF(AND('ENERO 2026'!D98&lt;&gt;"",'ENERO 2026'!Z98="POR RECOGER"),'ENERO 2026'!D98,"")</f>
        <v/>
      </c>
      <c r="D94" s="381">
        <f>IF(AND('ENERO 2026'!D98&lt;&gt;"",'ENERO 2026'!Z98="POR RECOGER"),'ENERO 2026'!F98,"")</f>
        <v/>
      </c>
      <c r="E94" s="381">
        <f>IF(AND('ENERO 2026'!D98&lt;&gt;"",'ENERO 2026'!Z98="POR RECOGER"),TEXT('ENERO 2026'!G98,"DD/MM/YYYY"),"")</f>
        <v/>
      </c>
      <c r="F94" s="381">
        <f>IF(AND('ENERO 2026'!D98&lt;&gt;"",'ENERO 2026'!Z98="POR RECOGER"),'ENERO 2026'!K98,"")</f>
        <v/>
      </c>
      <c r="G94" s="382">
        <f>IF(AND('ENERO 2026'!D98&lt;&gt;"",'ENERO 2026'!Z98="POR RECOGER"),'ENERO 2026'!M98,"")</f>
        <v/>
      </c>
      <c r="H94" s="382">
        <f>IF(AND('ENERO 2026'!D98&lt;&gt;"",'ENERO 2026'!Z98="POR RECOGER"),'ENERO 2026'!N98,"")</f>
        <v/>
      </c>
      <c r="I94" s="381">
        <f>IF(AND('ENERO 2026'!D98&lt;&gt;"",'ENERO 2026'!Z98="POR RECOGER"),'ENERO 2026'!P98,"")</f>
        <v/>
      </c>
      <c r="J94" s="381">
        <f>IF(AND('ENERO 2026'!D98&lt;&gt;"",'ENERO 2026'!Z98="POR RECOGER"),'ENERO 2026'!Q98,"")</f>
        <v/>
      </c>
      <c r="K94" s="381">
        <f>IF(AND('ENERO 2026'!D98&lt;&gt;"",'ENERO 2026'!Z98="POR RECOGER"),'ENERO 2026'!Y98,"")</f>
        <v/>
      </c>
      <c r="L94" s="381">
        <f>IF(AND('ENERO 2026'!D98&lt;&gt;"",'ENERO 2026'!Z98="POR RECOGER"),'ENERO 2026'!I98,"")</f>
        <v/>
      </c>
      <c r="P94" s="194" t="n"/>
      <c r="Q94" s="194" t="n"/>
      <c r="R94" s="194" t="n"/>
      <c r="S94" s="194" t="n"/>
      <c r="T94" s="194" t="n"/>
      <c r="U94" s="194" t="n"/>
      <c r="V94" s="194" t="n"/>
      <c r="W94" s="194" t="n"/>
      <c r="X94" s="194" t="n"/>
      <c r="Y94" s="194" t="n"/>
      <c r="Z94" s="194" t="n"/>
    </row>
    <row r="95" ht="15" customHeight="1" s="195">
      <c r="A95" s="381">
        <f>IF(AND('ENERO 2026'!D99&lt;&gt;"",'ENERO 2026'!Z99="POR RECOGER"),"ENE","")</f>
        <v/>
      </c>
      <c r="B95" s="381">
        <f>IF(AND('ENERO 2026'!D99&lt;&gt;"",'ENERO 2026'!Z99="POR RECOGER"),IF('ENERO 2026'!Y99&lt;&gt;"",'ENERO 2026'!Y99,'ENERO 2026'!I99),"")</f>
        <v/>
      </c>
      <c r="C95" s="381">
        <f>IF(AND('ENERO 2026'!D99&lt;&gt;"",'ENERO 2026'!Z99="POR RECOGER"),'ENERO 2026'!D99,"")</f>
        <v/>
      </c>
      <c r="D95" s="381">
        <f>IF(AND('ENERO 2026'!D99&lt;&gt;"",'ENERO 2026'!Z99="POR RECOGER"),'ENERO 2026'!F99,"")</f>
        <v/>
      </c>
      <c r="E95" s="381">
        <f>IF(AND('ENERO 2026'!D99&lt;&gt;"",'ENERO 2026'!Z99="POR RECOGER"),TEXT('ENERO 2026'!G99,"DD/MM/YYYY"),"")</f>
        <v/>
      </c>
      <c r="F95" s="381">
        <f>IF(AND('ENERO 2026'!D99&lt;&gt;"",'ENERO 2026'!Z99="POR RECOGER"),'ENERO 2026'!K99,"")</f>
        <v/>
      </c>
      <c r="G95" s="382">
        <f>IF(AND('ENERO 2026'!D99&lt;&gt;"",'ENERO 2026'!Z99="POR RECOGER"),'ENERO 2026'!M99,"")</f>
        <v/>
      </c>
      <c r="H95" s="382">
        <f>IF(AND('ENERO 2026'!D99&lt;&gt;"",'ENERO 2026'!Z99="POR RECOGER"),'ENERO 2026'!N99,"")</f>
        <v/>
      </c>
      <c r="I95" s="381">
        <f>IF(AND('ENERO 2026'!D99&lt;&gt;"",'ENERO 2026'!Z99="POR RECOGER"),'ENERO 2026'!P99,"")</f>
        <v/>
      </c>
      <c r="J95" s="381">
        <f>IF(AND('ENERO 2026'!D99&lt;&gt;"",'ENERO 2026'!Z99="POR RECOGER"),'ENERO 2026'!Q99,"")</f>
        <v/>
      </c>
      <c r="K95" s="381">
        <f>IF(AND('ENERO 2026'!D99&lt;&gt;"",'ENERO 2026'!Z99="POR RECOGER"),'ENERO 2026'!Y99,"")</f>
        <v/>
      </c>
      <c r="L95" s="381">
        <f>IF(AND('ENERO 2026'!D99&lt;&gt;"",'ENERO 2026'!Z99="POR RECOGER"),'ENERO 2026'!I99,"")</f>
        <v/>
      </c>
      <c r="P95" s="194" t="n"/>
      <c r="Q95" s="194" t="n"/>
      <c r="R95" s="194" t="n"/>
      <c r="S95" s="194" t="n"/>
      <c r="T95" s="194" t="n"/>
      <c r="U95" s="194" t="n"/>
      <c r="V95" s="194" t="n"/>
      <c r="W95" s="194" t="n"/>
      <c r="X95" s="194" t="n"/>
      <c r="Y95" s="194" t="n"/>
      <c r="Z95" s="194" t="n"/>
    </row>
    <row r="96" ht="15" customHeight="1" s="195">
      <c r="A96" s="381">
        <f>IF(AND('ENERO 2026'!D100&lt;&gt;"",'ENERO 2026'!Z100="POR RECOGER"),"ENE","")</f>
        <v/>
      </c>
      <c r="B96" s="381">
        <f>IF(AND('ENERO 2026'!D100&lt;&gt;"",'ENERO 2026'!Z100="POR RECOGER"),IF('ENERO 2026'!Y100&lt;&gt;"",'ENERO 2026'!Y100,'ENERO 2026'!I100),"")</f>
        <v/>
      </c>
      <c r="C96" s="381">
        <f>IF(AND('ENERO 2026'!D100&lt;&gt;"",'ENERO 2026'!Z100="POR RECOGER"),'ENERO 2026'!D100,"")</f>
        <v/>
      </c>
      <c r="D96" s="381">
        <f>IF(AND('ENERO 2026'!D100&lt;&gt;"",'ENERO 2026'!Z100="POR RECOGER"),'ENERO 2026'!F100,"")</f>
        <v/>
      </c>
      <c r="E96" s="381">
        <f>IF(AND('ENERO 2026'!D100&lt;&gt;"",'ENERO 2026'!Z100="POR RECOGER"),TEXT('ENERO 2026'!G100,"DD/MM/YYYY"),"")</f>
        <v/>
      </c>
      <c r="F96" s="381">
        <f>IF(AND('ENERO 2026'!D100&lt;&gt;"",'ENERO 2026'!Z100="POR RECOGER"),'ENERO 2026'!K100,"")</f>
        <v/>
      </c>
      <c r="G96" s="382">
        <f>IF(AND('ENERO 2026'!D100&lt;&gt;"",'ENERO 2026'!Z100="POR RECOGER"),'ENERO 2026'!M100,"")</f>
        <v/>
      </c>
      <c r="H96" s="382">
        <f>IF(AND('ENERO 2026'!D100&lt;&gt;"",'ENERO 2026'!Z100="POR RECOGER"),'ENERO 2026'!N100,"")</f>
        <v/>
      </c>
      <c r="I96" s="381">
        <f>IF(AND('ENERO 2026'!D100&lt;&gt;"",'ENERO 2026'!Z100="POR RECOGER"),'ENERO 2026'!P100,"")</f>
        <v/>
      </c>
      <c r="J96" s="381">
        <f>IF(AND('ENERO 2026'!D100&lt;&gt;"",'ENERO 2026'!Z100="POR RECOGER"),'ENERO 2026'!Q100,"")</f>
        <v/>
      </c>
      <c r="K96" s="381">
        <f>IF(AND('ENERO 2026'!D100&lt;&gt;"",'ENERO 2026'!Z100="POR RECOGER"),'ENERO 2026'!Y100,"")</f>
        <v/>
      </c>
      <c r="L96" s="381">
        <f>IF(AND('ENERO 2026'!D100&lt;&gt;"",'ENERO 2026'!Z100="POR RECOGER"),'ENERO 2026'!I100,"")</f>
        <v/>
      </c>
      <c r="P96" s="194" t="n"/>
      <c r="Q96" s="194" t="n"/>
      <c r="R96" s="194" t="n"/>
      <c r="S96" s="194" t="n"/>
      <c r="T96" s="194" t="n"/>
      <c r="U96" s="194" t="n"/>
      <c r="V96" s="194" t="n"/>
      <c r="W96" s="194" t="n"/>
      <c r="X96" s="194" t="n"/>
      <c r="Y96" s="194" t="n"/>
      <c r="Z96" s="194" t="n"/>
    </row>
    <row r="97" ht="15" customHeight="1" s="195">
      <c r="A97" s="381">
        <f>IF(AND('ENERO 2026'!D101&lt;&gt;"",'ENERO 2026'!Z101="POR RECOGER"),"ENE","")</f>
        <v/>
      </c>
      <c r="B97" s="381">
        <f>IF(AND('ENERO 2026'!D101&lt;&gt;"",'ENERO 2026'!Z101="POR RECOGER"),IF('ENERO 2026'!Y101&lt;&gt;"",'ENERO 2026'!Y101,'ENERO 2026'!I101),"")</f>
        <v/>
      </c>
      <c r="C97" s="381">
        <f>IF(AND('ENERO 2026'!D101&lt;&gt;"",'ENERO 2026'!Z101="POR RECOGER"),'ENERO 2026'!D101,"")</f>
        <v/>
      </c>
      <c r="D97" s="381">
        <f>IF(AND('ENERO 2026'!D101&lt;&gt;"",'ENERO 2026'!Z101="POR RECOGER"),'ENERO 2026'!F101,"")</f>
        <v/>
      </c>
      <c r="E97" s="381">
        <f>IF(AND('ENERO 2026'!D101&lt;&gt;"",'ENERO 2026'!Z101="POR RECOGER"),TEXT('ENERO 2026'!G101,"DD/MM/YYYY"),"")</f>
        <v/>
      </c>
      <c r="F97" s="381">
        <f>IF(AND('ENERO 2026'!D101&lt;&gt;"",'ENERO 2026'!Z101="POR RECOGER"),'ENERO 2026'!K101,"")</f>
        <v/>
      </c>
      <c r="G97" s="382">
        <f>IF(AND('ENERO 2026'!D101&lt;&gt;"",'ENERO 2026'!Z101="POR RECOGER"),'ENERO 2026'!M101,"")</f>
        <v/>
      </c>
      <c r="H97" s="382">
        <f>IF(AND('ENERO 2026'!D101&lt;&gt;"",'ENERO 2026'!Z101="POR RECOGER"),'ENERO 2026'!N101,"")</f>
        <v/>
      </c>
      <c r="I97" s="381">
        <f>IF(AND('ENERO 2026'!D101&lt;&gt;"",'ENERO 2026'!Z101="POR RECOGER"),'ENERO 2026'!P101,"")</f>
        <v/>
      </c>
      <c r="J97" s="381">
        <f>IF(AND('ENERO 2026'!D101&lt;&gt;"",'ENERO 2026'!Z101="POR RECOGER"),'ENERO 2026'!Q101,"")</f>
        <v/>
      </c>
      <c r="K97" s="381">
        <f>IF(AND('ENERO 2026'!D101&lt;&gt;"",'ENERO 2026'!Z101="POR RECOGER"),'ENERO 2026'!Y101,"")</f>
        <v/>
      </c>
      <c r="L97" s="381">
        <f>IF(AND('ENERO 2026'!D101&lt;&gt;"",'ENERO 2026'!Z101="POR RECOGER"),'ENERO 2026'!I101,"")</f>
        <v/>
      </c>
      <c r="P97" s="194" t="n"/>
      <c r="Q97" s="194" t="n"/>
      <c r="R97" s="194" t="n"/>
      <c r="S97" s="194" t="n"/>
      <c r="T97" s="194" t="n"/>
      <c r="U97" s="194" t="n"/>
      <c r="V97" s="194" t="n"/>
      <c r="W97" s="194" t="n"/>
      <c r="X97" s="194" t="n"/>
      <c r="Y97" s="194" t="n"/>
      <c r="Z97" s="194" t="n"/>
    </row>
    <row r="98" ht="15" customHeight="1" s="195">
      <c r="A98" s="381">
        <f>IF(AND('ENERO 2026'!D102&lt;&gt;"",'ENERO 2026'!Z102="POR RECOGER"),"ENE","")</f>
        <v/>
      </c>
      <c r="B98" s="381">
        <f>IF(AND('ENERO 2026'!D102&lt;&gt;"",'ENERO 2026'!Z102="POR RECOGER"),IF('ENERO 2026'!Y102&lt;&gt;"",'ENERO 2026'!Y102,'ENERO 2026'!I102),"")</f>
        <v/>
      </c>
      <c r="C98" s="381">
        <f>IF(AND('ENERO 2026'!D102&lt;&gt;"",'ENERO 2026'!Z102="POR RECOGER"),'ENERO 2026'!D102,"")</f>
        <v/>
      </c>
      <c r="D98" s="381">
        <f>IF(AND('ENERO 2026'!D102&lt;&gt;"",'ENERO 2026'!Z102="POR RECOGER"),'ENERO 2026'!F102,"")</f>
        <v/>
      </c>
      <c r="E98" s="381">
        <f>IF(AND('ENERO 2026'!D102&lt;&gt;"",'ENERO 2026'!Z102="POR RECOGER"),TEXT('ENERO 2026'!G102,"DD/MM/YYYY"),"")</f>
        <v/>
      </c>
      <c r="F98" s="381">
        <f>IF(AND('ENERO 2026'!D102&lt;&gt;"",'ENERO 2026'!Z102="POR RECOGER"),'ENERO 2026'!K102,"")</f>
        <v/>
      </c>
      <c r="G98" s="382">
        <f>IF(AND('ENERO 2026'!D102&lt;&gt;"",'ENERO 2026'!Z102="POR RECOGER"),'ENERO 2026'!M102,"")</f>
        <v/>
      </c>
      <c r="H98" s="382">
        <f>IF(AND('ENERO 2026'!D102&lt;&gt;"",'ENERO 2026'!Z102="POR RECOGER"),'ENERO 2026'!N102,"")</f>
        <v/>
      </c>
      <c r="I98" s="381">
        <f>IF(AND('ENERO 2026'!D102&lt;&gt;"",'ENERO 2026'!Z102="POR RECOGER"),'ENERO 2026'!P102,"")</f>
        <v/>
      </c>
      <c r="J98" s="381">
        <f>IF(AND('ENERO 2026'!D102&lt;&gt;"",'ENERO 2026'!Z102="POR RECOGER"),'ENERO 2026'!Q102,"")</f>
        <v/>
      </c>
      <c r="K98" s="381">
        <f>IF(AND('ENERO 2026'!D102&lt;&gt;"",'ENERO 2026'!Z102="POR RECOGER"),'ENERO 2026'!Y102,"")</f>
        <v/>
      </c>
      <c r="L98" s="381">
        <f>IF(AND('ENERO 2026'!D102&lt;&gt;"",'ENERO 2026'!Z102="POR RECOGER"),'ENERO 2026'!I102,"")</f>
        <v/>
      </c>
      <c r="P98" s="194" t="n"/>
      <c r="Q98" s="194" t="n"/>
      <c r="R98" s="194" t="n"/>
      <c r="S98" s="194" t="n"/>
      <c r="T98" s="194" t="n"/>
      <c r="U98" s="194" t="n"/>
      <c r="V98" s="194" t="n"/>
      <c r="W98" s="194" t="n"/>
      <c r="X98" s="194" t="n"/>
      <c r="Y98" s="194" t="n"/>
      <c r="Z98" s="194" t="n"/>
    </row>
    <row r="99" ht="15" customHeight="1" s="195">
      <c r="A99" s="381">
        <f>IF(AND('ENERO 2026'!D103&lt;&gt;"",'ENERO 2026'!Z103="POR RECOGER"),"ENE","")</f>
        <v/>
      </c>
      <c r="B99" s="381">
        <f>IF(AND('ENERO 2026'!D103&lt;&gt;"",'ENERO 2026'!Z103="POR RECOGER"),IF('ENERO 2026'!Y103&lt;&gt;"",'ENERO 2026'!Y103,'ENERO 2026'!I103),"")</f>
        <v/>
      </c>
      <c r="C99" s="381">
        <f>IF(AND('ENERO 2026'!D103&lt;&gt;"",'ENERO 2026'!Z103="POR RECOGER"),'ENERO 2026'!D103,"")</f>
        <v/>
      </c>
      <c r="D99" s="381">
        <f>IF(AND('ENERO 2026'!D103&lt;&gt;"",'ENERO 2026'!Z103="POR RECOGER"),'ENERO 2026'!F103,"")</f>
        <v/>
      </c>
      <c r="E99" s="381">
        <f>IF(AND('ENERO 2026'!D103&lt;&gt;"",'ENERO 2026'!Z103="POR RECOGER"),TEXT('ENERO 2026'!G103,"DD/MM/YYYY"),"")</f>
        <v/>
      </c>
      <c r="F99" s="381">
        <f>IF(AND('ENERO 2026'!D103&lt;&gt;"",'ENERO 2026'!Z103="POR RECOGER"),'ENERO 2026'!K103,"")</f>
        <v/>
      </c>
      <c r="G99" s="382">
        <f>IF(AND('ENERO 2026'!D103&lt;&gt;"",'ENERO 2026'!Z103="POR RECOGER"),'ENERO 2026'!M103,"")</f>
        <v/>
      </c>
      <c r="H99" s="382">
        <f>IF(AND('ENERO 2026'!D103&lt;&gt;"",'ENERO 2026'!Z103="POR RECOGER"),'ENERO 2026'!N103,"")</f>
        <v/>
      </c>
      <c r="I99" s="381">
        <f>IF(AND('ENERO 2026'!D103&lt;&gt;"",'ENERO 2026'!Z103="POR RECOGER"),'ENERO 2026'!P103,"")</f>
        <v/>
      </c>
      <c r="J99" s="381">
        <f>IF(AND('ENERO 2026'!D103&lt;&gt;"",'ENERO 2026'!Z103="POR RECOGER"),'ENERO 2026'!Q103,"")</f>
        <v/>
      </c>
      <c r="K99" s="381">
        <f>IF(AND('ENERO 2026'!D103&lt;&gt;"",'ENERO 2026'!Z103="POR RECOGER"),'ENERO 2026'!Y103,"")</f>
        <v/>
      </c>
      <c r="L99" s="381">
        <f>IF(AND('ENERO 2026'!D103&lt;&gt;"",'ENERO 2026'!Z103="POR RECOGER"),'ENERO 2026'!I103,"")</f>
        <v/>
      </c>
      <c r="P99" s="194" t="n"/>
      <c r="Q99" s="194" t="n"/>
      <c r="R99" s="194" t="n"/>
      <c r="S99" s="194" t="n"/>
      <c r="T99" s="194" t="n"/>
      <c r="U99" s="194" t="n"/>
      <c r="V99" s="194" t="n"/>
      <c r="W99" s="194" t="n"/>
      <c r="X99" s="194" t="n"/>
      <c r="Y99" s="194" t="n"/>
      <c r="Z99" s="194" t="n"/>
    </row>
    <row r="100" ht="15" customHeight="1" s="195">
      <c r="A100" s="381">
        <f>IF(AND('ENERO 2026'!D104&lt;&gt;"",'ENERO 2026'!Z104="POR RECOGER"),"ENE","")</f>
        <v/>
      </c>
      <c r="B100" s="381">
        <f>IF(AND('ENERO 2026'!D104&lt;&gt;"",'ENERO 2026'!Z104="POR RECOGER"),IF('ENERO 2026'!Y104&lt;&gt;"",'ENERO 2026'!Y104,'ENERO 2026'!I104),"")</f>
        <v/>
      </c>
      <c r="C100" s="381">
        <f>IF(AND('ENERO 2026'!D104&lt;&gt;"",'ENERO 2026'!Z104="POR RECOGER"),'ENERO 2026'!D104,"")</f>
        <v/>
      </c>
      <c r="D100" s="381">
        <f>IF(AND('ENERO 2026'!D104&lt;&gt;"",'ENERO 2026'!Z104="POR RECOGER"),'ENERO 2026'!F104,"")</f>
        <v/>
      </c>
      <c r="E100" s="381">
        <f>IF(AND('ENERO 2026'!D104&lt;&gt;"",'ENERO 2026'!Z104="POR RECOGER"),TEXT('ENERO 2026'!G104,"DD/MM/YYYY"),"")</f>
        <v/>
      </c>
      <c r="F100" s="381">
        <f>IF(AND('ENERO 2026'!D104&lt;&gt;"",'ENERO 2026'!Z104="POR RECOGER"),'ENERO 2026'!K104,"")</f>
        <v/>
      </c>
      <c r="G100" s="382">
        <f>IF(AND('ENERO 2026'!D104&lt;&gt;"",'ENERO 2026'!Z104="POR RECOGER"),'ENERO 2026'!M104,"")</f>
        <v/>
      </c>
      <c r="H100" s="382">
        <f>IF(AND('ENERO 2026'!D104&lt;&gt;"",'ENERO 2026'!Z104="POR RECOGER"),'ENERO 2026'!N104,"")</f>
        <v/>
      </c>
      <c r="I100" s="381">
        <f>IF(AND('ENERO 2026'!D104&lt;&gt;"",'ENERO 2026'!Z104="POR RECOGER"),'ENERO 2026'!P104,"")</f>
        <v/>
      </c>
      <c r="J100" s="381">
        <f>IF(AND('ENERO 2026'!D104&lt;&gt;"",'ENERO 2026'!Z104="POR RECOGER"),'ENERO 2026'!Q104,"")</f>
        <v/>
      </c>
      <c r="K100" s="381">
        <f>IF(AND('ENERO 2026'!D104&lt;&gt;"",'ENERO 2026'!Z104="POR RECOGER"),'ENERO 2026'!Y104,"")</f>
        <v/>
      </c>
      <c r="L100" s="381">
        <f>IF(AND('ENERO 2026'!D104&lt;&gt;"",'ENERO 2026'!Z104="POR RECOGER"),'ENERO 2026'!I104,"")</f>
        <v/>
      </c>
      <c r="P100" s="194" t="n"/>
      <c r="Q100" s="194" t="n"/>
      <c r="R100" s="194" t="n"/>
      <c r="S100" s="194" t="n"/>
      <c r="T100" s="194" t="n"/>
      <c r="U100" s="194" t="n"/>
      <c r="V100" s="194" t="n"/>
      <c r="W100" s="194" t="n"/>
      <c r="X100" s="194" t="n"/>
      <c r="Y100" s="194" t="n"/>
      <c r="Z100" s="194" t="n"/>
    </row>
    <row r="101" ht="15" customHeight="1" s="195">
      <c r="A101" s="381">
        <f>IF(AND('ENERO 2026'!D105&lt;&gt;"",'ENERO 2026'!Z105="POR RECOGER"),"ENE","")</f>
        <v/>
      </c>
      <c r="B101" s="381">
        <f>IF(AND('ENERO 2026'!D105&lt;&gt;"",'ENERO 2026'!Z105="POR RECOGER"),IF('ENERO 2026'!Y105&lt;&gt;"",'ENERO 2026'!Y105,'ENERO 2026'!I105),"")</f>
        <v/>
      </c>
      <c r="C101" s="381">
        <f>IF(AND('ENERO 2026'!D105&lt;&gt;"",'ENERO 2026'!Z105="POR RECOGER"),'ENERO 2026'!D105,"")</f>
        <v/>
      </c>
      <c r="D101" s="381">
        <f>IF(AND('ENERO 2026'!D105&lt;&gt;"",'ENERO 2026'!Z105="POR RECOGER"),'ENERO 2026'!F105,"")</f>
        <v/>
      </c>
      <c r="E101" s="381">
        <f>IF(AND('ENERO 2026'!D105&lt;&gt;"",'ENERO 2026'!Z105="POR RECOGER"),TEXT('ENERO 2026'!G105,"DD/MM/YYYY"),"")</f>
        <v/>
      </c>
      <c r="F101" s="381">
        <f>IF(AND('ENERO 2026'!D105&lt;&gt;"",'ENERO 2026'!Z105="POR RECOGER"),'ENERO 2026'!K105,"")</f>
        <v/>
      </c>
      <c r="G101" s="382">
        <f>IF(AND('ENERO 2026'!D105&lt;&gt;"",'ENERO 2026'!Z105="POR RECOGER"),'ENERO 2026'!M105,"")</f>
        <v/>
      </c>
      <c r="H101" s="382">
        <f>IF(AND('ENERO 2026'!D105&lt;&gt;"",'ENERO 2026'!Z105="POR RECOGER"),'ENERO 2026'!N105,"")</f>
        <v/>
      </c>
      <c r="I101" s="381">
        <f>IF(AND('ENERO 2026'!D105&lt;&gt;"",'ENERO 2026'!Z105="POR RECOGER"),'ENERO 2026'!P105,"")</f>
        <v/>
      </c>
      <c r="J101" s="381">
        <f>IF(AND('ENERO 2026'!D105&lt;&gt;"",'ENERO 2026'!Z105="POR RECOGER"),'ENERO 2026'!Q105,"")</f>
        <v/>
      </c>
      <c r="K101" s="381">
        <f>IF(AND('ENERO 2026'!D105&lt;&gt;"",'ENERO 2026'!Z105="POR RECOGER"),'ENERO 2026'!Y105,"")</f>
        <v/>
      </c>
      <c r="L101" s="381">
        <f>IF(AND('ENERO 2026'!D105&lt;&gt;"",'ENERO 2026'!Z105="POR RECOGER"),'ENERO 2026'!I105,"")</f>
        <v/>
      </c>
      <c r="P101" s="194" t="n"/>
      <c r="Q101" s="194" t="n"/>
      <c r="R101" s="194" t="n"/>
      <c r="S101" s="194" t="n"/>
      <c r="T101" s="194" t="n"/>
      <c r="U101" s="194" t="n"/>
      <c r="V101" s="194" t="n"/>
      <c r="W101" s="194" t="n"/>
      <c r="X101" s="194" t="n"/>
      <c r="Y101" s="194" t="n"/>
      <c r="Z101" s="194" t="n"/>
    </row>
    <row r="102" ht="15" customHeight="1" s="195">
      <c r="A102" s="381">
        <f>IF(AND('ENERO 2026'!D106&lt;&gt;"",'ENERO 2026'!Z106="POR RECOGER"),"ENE","")</f>
        <v/>
      </c>
      <c r="B102" s="381">
        <f>IF(AND('ENERO 2026'!D106&lt;&gt;"",'ENERO 2026'!Z106="POR RECOGER"),IF('ENERO 2026'!Y106&lt;&gt;"",'ENERO 2026'!Y106,'ENERO 2026'!I106),"")</f>
        <v/>
      </c>
      <c r="C102" s="381">
        <f>IF(AND('ENERO 2026'!D106&lt;&gt;"",'ENERO 2026'!Z106="POR RECOGER"),'ENERO 2026'!D106,"")</f>
        <v/>
      </c>
      <c r="D102" s="381">
        <f>IF(AND('ENERO 2026'!D106&lt;&gt;"",'ENERO 2026'!Z106="POR RECOGER"),'ENERO 2026'!F106,"")</f>
        <v/>
      </c>
      <c r="E102" s="381">
        <f>IF(AND('ENERO 2026'!D106&lt;&gt;"",'ENERO 2026'!Z106="POR RECOGER"),TEXT('ENERO 2026'!G106,"DD/MM/YYYY"),"")</f>
        <v/>
      </c>
      <c r="F102" s="381">
        <f>IF(AND('ENERO 2026'!D106&lt;&gt;"",'ENERO 2026'!Z106="POR RECOGER"),'ENERO 2026'!K106,"")</f>
        <v/>
      </c>
      <c r="G102" s="382">
        <f>IF(AND('ENERO 2026'!D106&lt;&gt;"",'ENERO 2026'!Z106="POR RECOGER"),'ENERO 2026'!M106,"")</f>
        <v/>
      </c>
      <c r="H102" s="382">
        <f>IF(AND('ENERO 2026'!D106&lt;&gt;"",'ENERO 2026'!Z106="POR RECOGER"),'ENERO 2026'!N106,"")</f>
        <v/>
      </c>
      <c r="I102" s="381">
        <f>IF(AND('ENERO 2026'!D106&lt;&gt;"",'ENERO 2026'!Z106="POR RECOGER"),'ENERO 2026'!P106,"")</f>
        <v/>
      </c>
      <c r="J102" s="381">
        <f>IF(AND('ENERO 2026'!D106&lt;&gt;"",'ENERO 2026'!Z106="POR RECOGER"),'ENERO 2026'!Q106,"")</f>
        <v/>
      </c>
      <c r="K102" s="381">
        <f>IF(AND('ENERO 2026'!D106&lt;&gt;"",'ENERO 2026'!Z106="POR RECOGER"),'ENERO 2026'!Y106,"")</f>
        <v/>
      </c>
      <c r="L102" s="381">
        <f>IF(AND('ENERO 2026'!D106&lt;&gt;"",'ENERO 2026'!Z106="POR RECOGER"),'ENERO 2026'!I106,"")</f>
        <v/>
      </c>
      <c r="P102" s="194" t="n"/>
      <c r="Q102" s="194" t="n"/>
      <c r="R102" s="194" t="n"/>
      <c r="S102" s="194" t="n"/>
      <c r="T102" s="194" t="n"/>
      <c r="U102" s="194" t="n"/>
      <c r="V102" s="194" t="n"/>
      <c r="W102" s="194" t="n"/>
      <c r="X102" s="194" t="n"/>
      <c r="Y102" s="194" t="n"/>
      <c r="Z102" s="194" t="n"/>
    </row>
    <row r="103" ht="15" customHeight="1" s="195">
      <c r="A103" s="381">
        <f>IF(AND('ENERO 2026'!D107&lt;&gt;"",'ENERO 2026'!Z107="POR RECOGER"),"ENE","")</f>
        <v/>
      </c>
      <c r="B103" s="381">
        <f>IF(AND('ENERO 2026'!D107&lt;&gt;"",'ENERO 2026'!Z107="POR RECOGER"),IF('ENERO 2026'!Y107&lt;&gt;"",'ENERO 2026'!Y107,'ENERO 2026'!I107),"")</f>
        <v/>
      </c>
      <c r="C103" s="381">
        <f>IF(AND('ENERO 2026'!D107&lt;&gt;"",'ENERO 2026'!Z107="POR RECOGER"),'ENERO 2026'!D107,"")</f>
        <v/>
      </c>
      <c r="D103" s="381">
        <f>IF(AND('ENERO 2026'!D107&lt;&gt;"",'ENERO 2026'!Z107="POR RECOGER"),'ENERO 2026'!F107,"")</f>
        <v/>
      </c>
      <c r="E103" s="381">
        <f>IF(AND('ENERO 2026'!D107&lt;&gt;"",'ENERO 2026'!Z107="POR RECOGER"),TEXT('ENERO 2026'!G107,"DD/MM/YYYY"),"")</f>
        <v/>
      </c>
      <c r="F103" s="381">
        <f>IF(AND('ENERO 2026'!D107&lt;&gt;"",'ENERO 2026'!Z107="POR RECOGER"),'ENERO 2026'!K107,"")</f>
        <v/>
      </c>
      <c r="G103" s="382">
        <f>IF(AND('ENERO 2026'!D107&lt;&gt;"",'ENERO 2026'!Z107="POR RECOGER"),'ENERO 2026'!M107,"")</f>
        <v/>
      </c>
      <c r="H103" s="382">
        <f>IF(AND('ENERO 2026'!D107&lt;&gt;"",'ENERO 2026'!Z107="POR RECOGER"),'ENERO 2026'!N107,"")</f>
        <v/>
      </c>
      <c r="I103" s="381">
        <f>IF(AND('ENERO 2026'!D107&lt;&gt;"",'ENERO 2026'!Z107="POR RECOGER"),'ENERO 2026'!P107,"")</f>
        <v/>
      </c>
      <c r="J103" s="381">
        <f>IF(AND('ENERO 2026'!D107&lt;&gt;"",'ENERO 2026'!Z107="POR RECOGER"),'ENERO 2026'!Q107,"")</f>
        <v/>
      </c>
      <c r="K103" s="381">
        <f>IF(AND('ENERO 2026'!D107&lt;&gt;"",'ENERO 2026'!Z107="POR RECOGER"),'ENERO 2026'!Y107,"")</f>
        <v/>
      </c>
      <c r="L103" s="381">
        <f>IF(AND('ENERO 2026'!D107&lt;&gt;"",'ENERO 2026'!Z107="POR RECOGER"),'ENERO 2026'!I107,"")</f>
        <v/>
      </c>
      <c r="P103" s="194" t="n"/>
      <c r="Q103" s="194" t="n"/>
      <c r="R103" s="194" t="n"/>
      <c r="S103" s="194" t="n"/>
      <c r="T103" s="194" t="n"/>
      <c r="U103" s="194" t="n"/>
      <c r="V103" s="194" t="n"/>
      <c r="W103" s="194" t="n"/>
      <c r="X103" s="194" t="n"/>
      <c r="Y103" s="194" t="n"/>
      <c r="Z103" s="194" t="n"/>
    </row>
    <row r="104" ht="15" customHeight="1" s="195">
      <c r="A104" s="381">
        <f>IF(AND('ENERO 2026'!D108&lt;&gt;"",'ENERO 2026'!Z108="POR RECOGER"),"ENE","")</f>
        <v/>
      </c>
      <c r="B104" s="381">
        <f>IF(AND('ENERO 2026'!D108&lt;&gt;"",'ENERO 2026'!Z108="POR RECOGER"),IF('ENERO 2026'!Y108&lt;&gt;"",'ENERO 2026'!Y108,'ENERO 2026'!I108),"")</f>
        <v/>
      </c>
      <c r="C104" s="381">
        <f>IF(AND('ENERO 2026'!D108&lt;&gt;"",'ENERO 2026'!Z108="POR RECOGER"),'ENERO 2026'!D108,"")</f>
        <v/>
      </c>
      <c r="D104" s="381">
        <f>IF(AND('ENERO 2026'!D108&lt;&gt;"",'ENERO 2026'!Z108="POR RECOGER"),'ENERO 2026'!F108,"")</f>
        <v/>
      </c>
      <c r="E104" s="381">
        <f>IF(AND('ENERO 2026'!D108&lt;&gt;"",'ENERO 2026'!Z108="POR RECOGER"),TEXT('ENERO 2026'!G108,"DD/MM/YYYY"),"")</f>
        <v/>
      </c>
      <c r="F104" s="381">
        <f>IF(AND('ENERO 2026'!D108&lt;&gt;"",'ENERO 2026'!Z108="POR RECOGER"),'ENERO 2026'!K108,"")</f>
        <v/>
      </c>
      <c r="G104" s="382">
        <f>IF(AND('ENERO 2026'!D108&lt;&gt;"",'ENERO 2026'!Z108="POR RECOGER"),'ENERO 2026'!M108,"")</f>
        <v/>
      </c>
      <c r="H104" s="382">
        <f>IF(AND('ENERO 2026'!D108&lt;&gt;"",'ENERO 2026'!Z108="POR RECOGER"),'ENERO 2026'!N108,"")</f>
        <v/>
      </c>
      <c r="I104" s="381">
        <f>IF(AND('ENERO 2026'!D108&lt;&gt;"",'ENERO 2026'!Z108="POR RECOGER"),'ENERO 2026'!P108,"")</f>
        <v/>
      </c>
      <c r="J104" s="381">
        <f>IF(AND('ENERO 2026'!D108&lt;&gt;"",'ENERO 2026'!Z108="POR RECOGER"),'ENERO 2026'!Q108,"")</f>
        <v/>
      </c>
      <c r="K104" s="381">
        <f>IF(AND('ENERO 2026'!D108&lt;&gt;"",'ENERO 2026'!Z108="POR RECOGER"),'ENERO 2026'!Y108,"")</f>
        <v/>
      </c>
      <c r="L104" s="381">
        <f>IF(AND('ENERO 2026'!D108&lt;&gt;"",'ENERO 2026'!Z108="POR RECOGER"),'ENERO 2026'!I108,"")</f>
        <v/>
      </c>
      <c r="P104" s="194" t="n"/>
      <c r="Q104" s="194" t="n"/>
      <c r="R104" s="194" t="n"/>
      <c r="S104" s="194" t="n"/>
      <c r="T104" s="194" t="n"/>
      <c r="U104" s="194" t="n"/>
      <c r="V104" s="194" t="n"/>
      <c r="W104" s="194" t="n"/>
      <c r="X104" s="194" t="n"/>
      <c r="Y104" s="194" t="n"/>
      <c r="Z104" s="194" t="n"/>
    </row>
    <row r="105" ht="15" customHeight="1" s="195">
      <c r="A105" s="381">
        <f>IF(AND('ENERO 2026'!D109&lt;&gt;"",'ENERO 2026'!Z109="POR RECOGER"),"ENE","")</f>
        <v/>
      </c>
      <c r="B105" s="381">
        <f>IF(AND('ENERO 2026'!D109&lt;&gt;"",'ENERO 2026'!Z109="POR RECOGER"),IF('ENERO 2026'!Y109&lt;&gt;"",'ENERO 2026'!Y109,'ENERO 2026'!I109),"")</f>
        <v/>
      </c>
      <c r="C105" s="381">
        <f>IF(AND('ENERO 2026'!D109&lt;&gt;"",'ENERO 2026'!Z109="POR RECOGER"),'ENERO 2026'!D109,"")</f>
        <v/>
      </c>
      <c r="D105" s="381">
        <f>IF(AND('ENERO 2026'!D109&lt;&gt;"",'ENERO 2026'!Z109="POR RECOGER"),'ENERO 2026'!F109,"")</f>
        <v/>
      </c>
      <c r="E105" s="381">
        <f>IF(AND('ENERO 2026'!D109&lt;&gt;"",'ENERO 2026'!Z109="POR RECOGER"),TEXT('ENERO 2026'!G109,"DD/MM/YYYY"),"")</f>
        <v/>
      </c>
      <c r="F105" s="381">
        <f>IF(AND('ENERO 2026'!D109&lt;&gt;"",'ENERO 2026'!Z109="POR RECOGER"),'ENERO 2026'!K109,"")</f>
        <v/>
      </c>
      <c r="G105" s="382">
        <f>IF(AND('ENERO 2026'!D109&lt;&gt;"",'ENERO 2026'!Z109="POR RECOGER"),'ENERO 2026'!M109,"")</f>
        <v/>
      </c>
      <c r="H105" s="382">
        <f>IF(AND('ENERO 2026'!D109&lt;&gt;"",'ENERO 2026'!Z109="POR RECOGER"),'ENERO 2026'!N109,"")</f>
        <v/>
      </c>
      <c r="I105" s="381">
        <f>IF(AND('ENERO 2026'!D109&lt;&gt;"",'ENERO 2026'!Z109="POR RECOGER"),'ENERO 2026'!P109,"")</f>
        <v/>
      </c>
      <c r="J105" s="381">
        <f>IF(AND('ENERO 2026'!D109&lt;&gt;"",'ENERO 2026'!Z109="POR RECOGER"),'ENERO 2026'!Q109,"")</f>
        <v/>
      </c>
      <c r="K105" s="381">
        <f>IF(AND('ENERO 2026'!D109&lt;&gt;"",'ENERO 2026'!Z109="POR RECOGER"),'ENERO 2026'!Y109,"")</f>
        <v/>
      </c>
      <c r="L105" s="381">
        <f>IF(AND('ENERO 2026'!D109&lt;&gt;"",'ENERO 2026'!Z109="POR RECOGER"),'ENERO 2026'!I109,"")</f>
        <v/>
      </c>
      <c r="P105" s="194" t="n"/>
      <c r="Q105" s="194" t="n"/>
      <c r="R105" s="194" t="n"/>
      <c r="S105" s="194" t="n"/>
      <c r="T105" s="194" t="n"/>
      <c r="U105" s="194" t="n"/>
      <c r="V105" s="194" t="n"/>
      <c r="W105" s="194" t="n"/>
      <c r="X105" s="194" t="n"/>
      <c r="Y105" s="194" t="n"/>
      <c r="Z105" s="194" t="n"/>
    </row>
    <row r="106" ht="15" customHeight="1" s="195">
      <c r="A106" s="381">
        <f>IF(AND('ENERO 2026'!D110&lt;&gt;"",'ENERO 2026'!Z110="POR RECOGER"),"ENE","")</f>
        <v/>
      </c>
      <c r="B106" s="381">
        <f>IF(AND('ENERO 2026'!D110&lt;&gt;"",'ENERO 2026'!Z110="POR RECOGER"),IF('ENERO 2026'!Y110&lt;&gt;"",'ENERO 2026'!Y110,'ENERO 2026'!I110),"")</f>
        <v/>
      </c>
      <c r="C106" s="381">
        <f>IF(AND('ENERO 2026'!D110&lt;&gt;"",'ENERO 2026'!Z110="POR RECOGER"),'ENERO 2026'!D110,"")</f>
        <v/>
      </c>
      <c r="D106" s="381">
        <f>IF(AND('ENERO 2026'!D110&lt;&gt;"",'ENERO 2026'!Z110="POR RECOGER"),'ENERO 2026'!F110,"")</f>
        <v/>
      </c>
      <c r="E106" s="381">
        <f>IF(AND('ENERO 2026'!D110&lt;&gt;"",'ENERO 2026'!Z110="POR RECOGER"),TEXT('ENERO 2026'!G110,"DD/MM/YYYY"),"")</f>
        <v/>
      </c>
      <c r="F106" s="381">
        <f>IF(AND('ENERO 2026'!D110&lt;&gt;"",'ENERO 2026'!Z110="POR RECOGER"),'ENERO 2026'!K110,"")</f>
        <v/>
      </c>
      <c r="G106" s="382">
        <f>IF(AND('ENERO 2026'!D110&lt;&gt;"",'ENERO 2026'!Z110="POR RECOGER"),'ENERO 2026'!M110,"")</f>
        <v/>
      </c>
      <c r="H106" s="382">
        <f>IF(AND('ENERO 2026'!D110&lt;&gt;"",'ENERO 2026'!Z110="POR RECOGER"),'ENERO 2026'!N110,"")</f>
        <v/>
      </c>
      <c r="I106" s="381">
        <f>IF(AND('ENERO 2026'!D110&lt;&gt;"",'ENERO 2026'!Z110="POR RECOGER"),'ENERO 2026'!P110,"")</f>
        <v/>
      </c>
      <c r="J106" s="381">
        <f>IF(AND('ENERO 2026'!D110&lt;&gt;"",'ENERO 2026'!Z110="POR RECOGER"),'ENERO 2026'!Q110,"")</f>
        <v/>
      </c>
      <c r="K106" s="381">
        <f>IF(AND('ENERO 2026'!D110&lt;&gt;"",'ENERO 2026'!Z110="POR RECOGER"),'ENERO 2026'!Y110,"")</f>
        <v/>
      </c>
      <c r="L106" s="381">
        <f>IF(AND('ENERO 2026'!D110&lt;&gt;"",'ENERO 2026'!Z110="POR RECOGER"),'ENERO 2026'!I110,"")</f>
        <v/>
      </c>
      <c r="P106" s="194" t="n"/>
      <c r="Q106" s="194" t="n"/>
      <c r="R106" s="194" t="n"/>
      <c r="S106" s="194" t="n"/>
      <c r="T106" s="194" t="n"/>
      <c r="U106" s="194" t="n"/>
      <c r="V106" s="194" t="n"/>
      <c r="W106" s="194" t="n"/>
      <c r="X106" s="194" t="n"/>
      <c r="Y106" s="194" t="n"/>
      <c r="Z106" s="194" t="n"/>
    </row>
    <row r="107" ht="15" customHeight="1" s="195">
      <c r="A107" s="381">
        <f>IF(AND('FEBRERO 2026'!D6&lt;&gt;"",'FEBRERO 2026'!Z6="POR RECOGER"),"FEB","")</f>
        <v/>
      </c>
      <c r="B107" s="381">
        <f>IF(AND('FEBRERO 2026'!D6&lt;&gt;"",'FEBRERO 2026'!Z6="POR RECOGER"),IF('FEBRERO 2026'!Y6&lt;&gt;"",'FEBRERO 2026'!Y6,'FEBRERO 2026'!I6),"")</f>
        <v/>
      </c>
      <c r="C107" s="381">
        <f>IF(AND('FEBRERO 2026'!D6&lt;&gt;"",'FEBRERO 2026'!Z6="POR RECOGER"),'FEBRERO 2026'!D6,"")</f>
        <v/>
      </c>
      <c r="D107" s="381">
        <f>IF(AND('FEBRERO 2026'!D6&lt;&gt;"",'FEBRERO 2026'!Z6="POR RECOGER"),'FEBRERO 2026'!F6,"")</f>
        <v/>
      </c>
      <c r="E107" s="381">
        <f>IF(AND('FEBRERO 2026'!D6&lt;&gt;"",'FEBRERO 2026'!Z6="POR RECOGER"),TEXT('FEBRERO 2026'!G6,"DD/MM/YYYY"),"")</f>
        <v/>
      </c>
      <c r="F107" s="381">
        <f>IF(AND('FEBRERO 2026'!D6&lt;&gt;"",'FEBRERO 2026'!Z6="POR RECOGER"),'FEBRERO 2026'!K6,"")</f>
        <v/>
      </c>
      <c r="G107" s="382">
        <f>IF(AND('FEBRERO 2026'!D6&lt;&gt;"",'FEBRERO 2026'!Z6="POR RECOGER"),'FEBRERO 2026'!M6,"")</f>
        <v/>
      </c>
      <c r="H107" s="382">
        <f>IF(AND('FEBRERO 2026'!D6&lt;&gt;"",'FEBRERO 2026'!Z6="POR RECOGER"),'FEBRERO 2026'!N6,"")</f>
        <v/>
      </c>
      <c r="I107" s="381">
        <f>IF(AND('FEBRERO 2026'!D6&lt;&gt;"",'FEBRERO 2026'!Z6="POR RECOGER"),'FEBRERO 2026'!P6,"")</f>
        <v/>
      </c>
      <c r="J107" s="381">
        <f>IF(AND('FEBRERO 2026'!D6&lt;&gt;"",'FEBRERO 2026'!Z6="POR RECOGER"),'FEBRERO 2026'!Q6,"")</f>
        <v/>
      </c>
      <c r="K107" s="381">
        <f>IF(AND('FEBRERO 2026'!D6&lt;&gt;"",'FEBRERO 2026'!Z6="POR RECOGER"),'FEBRERO 2026'!Y6,"")</f>
        <v/>
      </c>
      <c r="L107" s="381">
        <f>IF(AND('FEBRERO 2026'!D6&lt;&gt;"",'FEBRERO 2026'!Z6="POR RECOGER"),'FEBRERO 2026'!I6,"")</f>
        <v/>
      </c>
      <c r="P107" s="194" t="n"/>
      <c r="Q107" s="194" t="n"/>
      <c r="R107" s="194" t="n"/>
      <c r="S107" s="194" t="n"/>
      <c r="T107" s="194" t="n"/>
      <c r="U107" s="194" t="n"/>
      <c r="V107" s="194" t="n"/>
      <c r="W107" s="194" t="n"/>
      <c r="X107" s="194" t="n"/>
      <c r="Y107" s="194" t="n"/>
      <c r="Z107" s="194" t="n"/>
    </row>
    <row r="108" ht="15" customHeight="1" s="195">
      <c r="A108" s="381">
        <f>IF(AND('FEBRERO 2026'!D7&lt;&gt;"",'FEBRERO 2026'!Z7="POR RECOGER"),"FEB","")</f>
        <v/>
      </c>
      <c r="B108" s="381">
        <f>IF(AND('FEBRERO 2026'!D7&lt;&gt;"",'FEBRERO 2026'!Z7="POR RECOGER"),IF('FEBRERO 2026'!Y7&lt;&gt;"",'FEBRERO 2026'!Y7,'FEBRERO 2026'!I7),"")</f>
        <v/>
      </c>
      <c r="C108" s="381">
        <f>IF(AND('FEBRERO 2026'!D7&lt;&gt;"",'FEBRERO 2026'!Z7="POR RECOGER"),'FEBRERO 2026'!D7,"")</f>
        <v/>
      </c>
      <c r="D108" s="381">
        <f>IF(AND('FEBRERO 2026'!D7&lt;&gt;"",'FEBRERO 2026'!Z7="POR RECOGER"),'FEBRERO 2026'!F7,"")</f>
        <v/>
      </c>
      <c r="E108" s="381">
        <f>IF(AND('FEBRERO 2026'!D7&lt;&gt;"",'FEBRERO 2026'!Z7="POR RECOGER"),TEXT('FEBRERO 2026'!G7,"DD/MM/YYYY"),"")</f>
        <v/>
      </c>
      <c r="F108" s="381">
        <f>IF(AND('FEBRERO 2026'!D7&lt;&gt;"",'FEBRERO 2026'!Z7="POR RECOGER"),'FEBRERO 2026'!K7,"")</f>
        <v/>
      </c>
      <c r="G108" s="382">
        <f>IF(AND('FEBRERO 2026'!D7&lt;&gt;"",'FEBRERO 2026'!Z7="POR RECOGER"),'FEBRERO 2026'!M7,"")</f>
        <v/>
      </c>
      <c r="H108" s="382">
        <f>IF(AND('FEBRERO 2026'!D7&lt;&gt;"",'FEBRERO 2026'!Z7="POR RECOGER"),'FEBRERO 2026'!N7,"")</f>
        <v/>
      </c>
      <c r="I108" s="381">
        <f>IF(AND('FEBRERO 2026'!D7&lt;&gt;"",'FEBRERO 2026'!Z7="POR RECOGER"),'FEBRERO 2026'!P7,"")</f>
        <v/>
      </c>
      <c r="J108" s="381">
        <f>IF(AND('FEBRERO 2026'!D7&lt;&gt;"",'FEBRERO 2026'!Z7="POR RECOGER"),'FEBRERO 2026'!Q7,"")</f>
        <v/>
      </c>
      <c r="K108" s="381">
        <f>IF(AND('FEBRERO 2026'!D7&lt;&gt;"",'FEBRERO 2026'!Z7="POR RECOGER"),'FEBRERO 2026'!Y7,"")</f>
        <v/>
      </c>
      <c r="L108" s="381">
        <f>IF(AND('FEBRERO 2026'!D7&lt;&gt;"",'FEBRERO 2026'!Z7="POR RECOGER"),'FEBRERO 2026'!I7,"")</f>
        <v/>
      </c>
      <c r="P108" s="194" t="n"/>
      <c r="Q108" s="194" t="n"/>
      <c r="R108" s="194" t="n"/>
      <c r="S108" s="194" t="n"/>
      <c r="T108" s="194" t="n"/>
      <c r="U108" s="194" t="n"/>
      <c r="V108" s="194" t="n"/>
      <c r="W108" s="194" t="n"/>
      <c r="X108" s="194" t="n"/>
      <c r="Y108" s="194" t="n"/>
      <c r="Z108" s="194" t="n"/>
    </row>
    <row r="109" ht="15" customHeight="1" s="195">
      <c r="A109" s="381">
        <f>IF(AND('FEBRERO 2026'!D8&lt;&gt;"",'FEBRERO 2026'!Z8="POR RECOGER"),"FEB","")</f>
        <v/>
      </c>
      <c r="B109" s="381">
        <f>IF(AND('FEBRERO 2026'!D8&lt;&gt;"",'FEBRERO 2026'!Z8="POR RECOGER"),IF('FEBRERO 2026'!Y8&lt;&gt;"",'FEBRERO 2026'!Y8,'FEBRERO 2026'!I8),"")</f>
        <v/>
      </c>
      <c r="C109" s="381">
        <f>IF(AND('FEBRERO 2026'!D8&lt;&gt;"",'FEBRERO 2026'!Z8="POR RECOGER"),'FEBRERO 2026'!D8,"")</f>
        <v/>
      </c>
      <c r="D109" s="381">
        <f>IF(AND('FEBRERO 2026'!D8&lt;&gt;"",'FEBRERO 2026'!Z8="POR RECOGER"),'FEBRERO 2026'!F8,"")</f>
        <v/>
      </c>
      <c r="E109" s="381">
        <f>IF(AND('FEBRERO 2026'!D8&lt;&gt;"",'FEBRERO 2026'!Z8="POR RECOGER"),TEXT('FEBRERO 2026'!G8,"DD/MM/YYYY"),"")</f>
        <v/>
      </c>
      <c r="F109" s="381">
        <f>IF(AND('FEBRERO 2026'!D8&lt;&gt;"",'FEBRERO 2026'!Z8="POR RECOGER"),'FEBRERO 2026'!K8,"")</f>
        <v/>
      </c>
      <c r="G109" s="382">
        <f>IF(AND('FEBRERO 2026'!D8&lt;&gt;"",'FEBRERO 2026'!Z8="POR RECOGER"),'FEBRERO 2026'!M8,"")</f>
        <v/>
      </c>
      <c r="H109" s="382">
        <f>IF(AND('FEBRERO 2026'!D8&lt;&gt;"",'FEBRERO 2026'!Z8="POR RECOGER"),'FEBRERO 2026'!N8,"")</f>
        <v/>
      </c>
      <c r="I109" s="381">
        <f>IF(AND('FEBRERO 2026'!D8&lt;&gt;"",'FEBRERO 2026'!Z8="POR RECOGER"),'FEBRERO 2026'!P8,"")</f>
        <v/>
      </c>
      <c r="J109" s="381">
        <f>IF(AND('FEBRERO 2026'!D8&lt;&gt;"",'FEBRERO 2026'!Z8="POR RECOGER"),'FEBRERO 2026'!Q8,"")</f>
        <v/>
      </c>
      <c r="K109" s="381">
        <f>IF(AND('FEBRERO 2026'!D8&lt;&gt;"",'FEBRERO 2026'!Z8="POR RECOGER"),'FEBRERO 2026'!Y8,"")</f>
        <v/>
      </c>
      <c r="L109" s="381">
        <f>IF(AND('FEBRERO 2026'!D8&lt;&gt;"",'FEBRERO 2026'!Z8="POR RECOGER"),'FEBRERO 2026'!I8,"")</f>
        <v/>
      </c>
      <c r="P109" s="194" t="n"/>
      <c r="Q109" s="194" t="n"/>
      <c r="R109" s="194" t="n"/>
      <c r="S109" s="194" t="n"/>
      <c r="T109" s="194" t="n"/>
      <c r="U109" s="194" t="n"/>
      <c r="V109" s="194" t="n"/>
      <c r="W109" s="194" t="n"/>
      <c r="X109" s="194" t="n"/>
      <c r="Y109" s="194" t="n"/>
      <c r="Z109" s="194" t="n"/>
    </row>
    <row r="110" ht="15" customHeight="1" s="195">
      <c r="A110" s="381">
        <f>IF(AND('FEBRERO 2026'!D9&lt;&gt;"",'FEBRERO 2026'!Z9="POR RECOGER"),"FEB","")</f>
        <v/>
      </c>
      <c r="B110" s="381">
        <f>IF(AND('FEBRERO 2026'!D9&lt;&gt;"",'FEBRERO 2026'!Z9="POR RECOGER"),IF('FEBRERO 2026'!Y9&lt;&gt;"",'FEBRERO 2026'!Y9,'FEBRERO 2026'!I9),"")</f>
        <v/>
      </c>
      <c r="C110" s="381">
        <f>IF(AND('FEBRERO 2026'!D9&lt;&gt;"",'FEBRERO 2026'!Z9="POR RECOGER"),'FEBRERO 2026'!D9,"")</f>
        <v/>
      </c>
      <c r="D110" s="381">
        <f>IF(AND('FEBRERO 2026'!D9&lt;&gt;"",'FEBRERO 2026'!Z9="POR RECOGER"),'FEBRERO 2026'!F9,"")</f>
        <v/>
      </c>
      <c r="E110" s="381">
        <f>IF(AND('FEBRERO 2026'!D9&lt;&gt;"",'FEBRERO 2026'!Z9="POR RECOGER"),TEXT('FEBRERO 2026'!G9,"DD/MM/YYYY"),"")</f>
        <v/>
      </c>
      <c r="F110" s="381">
        <f>IF(AND('FEBRERO 2026'!D9&lt;&gt;"",'FEBRERO 2026'!Z9="POR RECOGER"),'FEBRERO 2026'!K9,"")</f>
        <v/>
      </c>
      <c r="G110" s="382">
        <f>IF(AND('FEBRERO 2026'!D9&lt;&gt;"",'FEBRERO 2026'!Z9="POR RECOGER"),'FEBRERO 2026'!M9,"")</f>
        <v/>
      </c>
      <c r="H110" s="382">
        <f>IF(AND('FEBRERO 2026'!D9&lt;&gt;"",'FEBRERO 2026'!Z9="POR RECOGER"),'FEBRERO 2026'!N9,"")</f>
        <v/>
      </c>
      <c r="I110" s="381">
        <f>IF(AND('FEBRERO 2026'!D9&lt;&gt;"",'FEBRERO 2026'!Z9="POR RECOGER"),'FEBRERO 2026'!P9,"")</f>
        <v/>
      </c>
      <c r="J110" s="381">
        <f>IF(AND('FEBRERO 2026'!D9&lt;&gt;"",'FEBRERO 2026'!Z9="POR RECOGER"),'FEBRERO 2026'!Q9,"")</f>
        <v/>
      </c>
      <c r="K110" s="381">
        <f>IF(AND('FEBRERO 2026'!D9&lt;&gt;"",'FEBRERO 2026'!Z9="POR RECOGER"),'FEBRERO 2026'!Y9,"")</f>
        <v/>
      </c>
      <c r="L110" s="381">
        <f>IF(AND('FEBRERO 2026'!D9&lt;&gt;"",'FEBRERO 2026'!Z9="POR RECOGER"),'FEBRERO 2026'!I9,"")</f>
        <v/>
      </c>
      <c r="P110" s="194" t="n"/>
      <c r="Q110" s="194" t="n"/>
      <c r="R110" s="194" t="n"/>
      <c r="S110" s="194" t="n"/>
      <c r="T110" s="194" t="n"/>
      <c r="U110" s="194" t="n"/>
      <c r="V110" s="194" t="n"/>
      <c r="W110" s="194" t="n"/>
      <c r="X110" s="194" t="n"/>
      <c r="Y110" s="194" t="n"/>
      <c r="Z110" s="194" t="n"/>
    </row>
    <row r="111" ht="15" customHeight="1" s="195">
      <c r="A111" s="381">
        <f>IF(AND('FEBRERO 2026'!D10&lt;&gt;"",'FEBRERO 2026'!Z10="POR RECOGER"),"FEB","")</f>
        <v/>
      </c>
      <c r="B111" s="381">
        <f>IF(AND('FEBRERO 2026'!D10&lt;&gt;"",'FEBRERO 2026'!Z10="POR RECOGER"),IF('FEBRERO 2026'!Y10&lt;&gt;"",'FEBRERO 2026'!Y10,'FEBRERO 2026'!I10),"")</f>
        <v/>
      </c>
      <c r="C111" s="381">
        <f>IF(AND('FEBRERO 2026'!D10&lt;&gt;"",'FEBRERO 2026'!Z10="POR RECOGER"),'FEBRERO 2026'!D10,"")</f>
        <v/>
      </c>
      <c r="D111" s="381">
        <f>IF(AND('FEBRERO 2026'!D10&lt;&gt;"",'FEBRERO 2026'!Z10="POR RECOGER"),'FEBRERO 2026'!F10,"")</f>
        <v/>
      </c>
      <c r="E111" s="381">
        <f>IF(AND('FEBRERO 2026'!D10&lt;&gt;"",'FEBRERO 2026'!Z10="POR RECOGER"),TEXT('FEBRERO 2026'!G10,"DD/MM/YYYY"),"")</f>
        <v/>
      </c>
      <c r="F111" s="381">
        <f>IF(AND('FEBRERO 2026'!D10&lt;&gt;"",'FEBRERO 2026'!Z10="POR RECOGER"),'FEBRERO 2026'!K10,"")</f>
        <v/>
      </c>
      <c r="G111" s="382">
        <f>IF(AND('FEBRERO 2026'!D10&lt;&gt;"",'FEBRERO 2026'!Z10="POR RECOGER"),'FEBRERO 2026'!M10,"")</f>
        <v/>
      </c>
      <c r="H111" s="382">
        <f>IF(AND('FEBRERO 2026'!D10&lt;&gt;"",'FEBRERO 2026'!Z10="POR RECOGER"),'FEBRERO 2026'!N10,"")</f>
        <v/>
      </c>
      <c r="I111" s="381">
        <f>IF(AND('FEBRERO 2026'!D10&lt;&gt;"",'FEBRERO 2026'!Z10="POR RECOGER"),'FEBRERO 2026'!P10,"")</f>
        <v/>
      </c>
      <c r="J111" s="381">
        <f>IF(AND('FEBRERO 2026'!D10&lt;&gt;"",'FEBRERO 2026'!Z10="POR RECOGER"),'FEBRERO 2026'!Q10,"")</f>
        <v/>
      </c>
      <c r="K111" s="381">
        <f>IF(AND('FEBRERO 2026'!D10&lt;&gt;"",'FEBRERO 2026'!Z10="POR RECOGER"),'FEBRERO 2026'!Y10,"")</f>
        <v/>
      </c>
      <c r="L111" s="381">
        <f>IF(AND('FEBRERO 2026'!D10&lt;&gt;"",'FEBRERO 2026'!Z10="POR RECOGER"),'FEBRERO 2026'!I10,"")</f>
        <v/>
      </c>
      <c r="P111" s="194" t="n"/>
      <c r="Q111" s="194" t="n"/>
      <c r="R111" s="194" t="n"/>
      <c r="S111" s="194" t="n"/>
      <c r="T111" s="194" t="n"/>
      <c r="U111" s="194" t="n"/>
      <c r="V111" s="194" t="n"/>
      <c r="W111" s="194" t="n"/>
      <c r="X111" s="194" t="n"/>
      <c r="Y111" s="194" t="n"/>
      <c r="Z111" s="194" t="n"/>
    </row>
    <row r="112" ht="15" customHeight="1" s="195">
      <c r="A112" s="381">
        <f>IF(AND('FEBRERO 2026'!D11&lt;&gt;"",'FEBRERO 2026'!Z11="POR RECOGER"),"FEB","")</f>
        <v/>
      </c>
      <c r="B112" s="381">
        <f>IF(AND('FEBRERO 2026'!D11&lt;&gt;"",'FEBRERO 2026'!Z11="POR RECOGER"),IF('FEBRERO 2026'!Y11&lt;&gt;"",'FEBRERO 2026'!Y11,'FEBRERO 2026'!I11),"")</f>
        <v/>
      </c>
      <c r="C112" s="381">
        <f>IF(AND('FEBRERO 2026'!D11&lt;&gt;"",'FEBRERO 2026'!Z11="POR RECOGER"),'FEBRERO 2026'!D11,"")</f>
        <v/>
      </c>
      <c r="D112" s="381">
        <f>IF(AND('FEBRERO 2026'!D11&lt;&gt;"",'FEBRERO 2026'!Z11="POR RECOGER"),'FEBRERO 2026'!F11,"")</f>
        <v/>
      </c>
      <c r="E112" s="381">
        <f>IF(AND('FEBRERO 2026'!D11&lt;&gt;"",'FEBRERO 2026'!Z11="POR RECOGER"),TEXT('FEBRERO 2026'!G11,"DD/MM/YYYY"),"")</f>
        <v/>
      </c>
      <c r="F112" s="381">
        <f>IF(AND('FEBRERO 2026'!D11&lt;&gt;"",'FEBRERO 2026'!Z11="POR RECOGER"),'FEBRERO 2026'!K11,"")</f>
        <v/>
      </c>
      <c r="G112" s="382">
        <f>IF(AND('FEBRERO 2026'!D11&lt;&gt;"",'FEBRERO 2026'!Z11="POR RECOGER"),'FEBRERO 2026'!M11,"")</f>
        <v/>
      </c>
      <c r="H112" s="382">
        <f>IF(AND('FEBRERO 2026'!D11&lt;&gt;"",'FEBRERO 2026'!Z11="POR RECOGER"),'FEBRERO 2026'!N11,"")</f>
        <v/>
      </c>
      <c r="I112" s="381">
        <f>IF(AND('FEBRERO 2026'!D11&lt;&gt;"",'FEBRERO 2026'!Z11="POR RECOGER"),'FEBRERO 2026'!P11,"")</f>
        <v/>
      </c>
      <c r="J112" s="381">
        <f>IF(AND('FEBRERO 2026'!D11&lt;&gt;"",'FEBRERO 2026'!Z11="POR RECOGER"),'FEBRERO 2026'!Q11,"")</f>
        <v/>
      </c>
      <c r="K112" s="381">
        <f>IF(AND('FEBRERO 2026'!D11&lt;&gt;"",'FEBRERO 2026'!Z11="POR RECOGER"),'FEBRERO 2026'!Y11,"")</f>
        <v/>
      </c>
      <c r="L112" s="381">
        <f>IF(AND('FEBRERO 2026'!D11&lt;&gt;"",'FEBRERO 2026'!Z11="POR RECOGER"),'FEBRERO 2026'!I11,"")</f>
        <v/>
      </c>
      <c r="P112" s="194" t="n"/>
      <c r="Q112" s="194" t="n"/>
      <c r="R112" s="194" t="n"/>
      <c r="S112" s="194" t="n"/>
      <c r="T112" s="194" t="n"/>
      <c r="U112" s="194" t="n"/>
      <c r="V112" s="194" t="n"/>
      <c r="W112" s="194" t="n"/>
      <c r="X112" s="194" t="n"/>
      <c r="Y112" s="194" t="n"/>
      <c r="Z112" s="194" t="n"/>
    </row>
    <row r="113" ht="15" customHeight="1" s="195">
      <c r="A113" s="381">
        <f>IF(AND('FEBRERO 2026'!D12&lt;&gt;"",'FEBRERO 2026'!Z12="POR RECOGER"),"FEB","")</f>
        <v/>
      </c>
      <c r="B113" s="381">
        <f>IF(AND('FEBRERO 2026'!D12&lt;&gt;"",'FEBRERO 2026'!Z12="POR RECOGER"),IF('FEBRERO 2026'!Y12&lt;&gt;"",'FEBRERO 2026'!Y12,'FEBRERO 2026'!I12),"")</f>
        <v/>
      </c>
      <c r="C113" s="381">
        <f>IF(AND('FEBRERO 2026'!D12&lt;&gt;"",'FEBRERO 2026'!Z12="POR RECOGER"),'FEBRERO 2026'!D12,"")</f>
        <v/>
      </c>
      <c r="D113" s="381">
        <f>IF(AND('FEBRERO 2026'!D12&lt;&gt;"",'FEBRERO 2026'!Z12="POR RECOGER"),'FEBRERO 2026'!F12,"")</f>
        <v/>
      </c>
      <c r="E113" s="381">
        <f>IF(AND('FEBRERO 2026'!D12&lt;&gt;"",'FEBRERO 2026'!Z12="POR RECOGER"),TEXT('FEBRERO 2026'!G12,"DD/MM/YYYY"),"")</f>
        <v/>
      </c>
      <c r="F113" s="381">
        <f>IF(AND('FEBRERO 2026'!D12&lt;&gt;"",'FEBRERO 2026'!Z12="POR RECOGER"),'FEBRERO 2026'!K12,"")</f>
        <v/>
      </c>
      <c r="G113" s="382">
        <f>IF(AND('FEBRERO 2026'!D12&lt;&gt;"",'FEBRERO 2026'!Z12="POR RECOGER"),'FEBRERO 2026'!M12,"")</f>
        <v/>
      </c>
      <c r="H113" s="382">
        <f>IF(AND('FEBRERO 2026'!D12&lt;&gt;"",'FEBRERO 2026'!Z12="POR RECOGER"),'FEBRERO 2026'!N12,"")</f>
        <v/>
      </c>
      <c r="I113" s="381">
        <f>IF(AND('FEBRERO 2026'!D12&lt;&gt;"",'FEBRERO 2026'!Z12="POR RECOGER"),'FEBRERO 2026'!P12,"")</f>
        <v/>
      </c>
      <c r="J113" s="381">
        <f>IF(AND('FEBRERO 2026'!D12&lt;&gt;"",'FEBRERO 2026'!Z12="POR RECOGER"),'FEBRERO 2026'!Q12,"")</f>
        <v/>
      </c>
      <c r="K113" s="381">
        <f>IF(AND('FEBRERO 2026'!D12&lt;&gt;"",'FEBRERO 2026'!Z12="POR RECOGER"),'FEBRERO 2026'!Y12,"")</f>
        <v/>
      </c>
      <c r="L113" s="381">
        <f>IF(AND('FEBRERO 2026'!D12&lt;&gt;"",'FEBRERO 2026'!Z12="POR RECOGER"),'FEBRERO 2026'!I12,"")</f>
        <v/>
      </c>
      <c r="P113" s="194" t="n"/>
      <c r="Q113" s="194" t="n"/>
      <c r="R113" s="194" t="n"/>
      <c r="S113" s="194" t="n"/>
      <c r="T113" s="194" t="n"/>
      <c r="U113" s="194" t="n"/>
      <c r="V113" s="194" t="n"/>
      <c r="W113" s="194" t="n"/>
      <c r="X113" s="194" t="n"/>
      <c r="Y113" s="194" t="n"/>
      <c r="Z113" s="194" t="n"/>
    </row>
    <row r="114" ht="15" customHeight="1" s="195">
      <c r="A114" s="381">
        <f>IF(AND('FEBRERO 2026'!D13&lt;&gt;"",'FEBRERO 2026'!Z13="POR RECOGER"),"FEB","")</f>
        <v/>
      </c>
      <c r="B114" s="381">
        <f>IF(AND('FEBRERO 2026'!D13&lt;&gt;"",'FEBRERO 2026'!Z13="POR RECOGER"),IF('FEBRERO 2026'!Y13&lt;&gt;"",'FEBRERO 2026'!Y13,'FEBRERO 2026'!I13),"")</f>
        <v/>
      </c>
      <c r="C114" s="381">
        <f>IF(AND('FEBRERO 2026'!D13&lt;&gt;"",'FEBRERO 2026'!Z13="POR RECOGER"),'FEBRERO 2026'!D13,"")</f>
        <v/>
      </c>
      <c r="D114" s="381">
        <f>IF(AND('FEBRERO 2026'!D13&lt;&gt;"",'FEBRERO 2026'!Z13="POR RECOGER"),'FEBRERO 2026'!F13,"")</f>
        <v/>
      </c>
      <c r="E114" s="381">
        <f>IF(AND('FEBRERO 2026'!D13&lt;&gt;"",'FEBRERO 2026'!Z13="POR RECOGER"),TEXT('FEBRERO 2026'!G13,"DD/MM/YYYY"),"")</f>
        <v/>
      </c>
      <c r="F114" s="381">
        <f>IF(AND('FEBRERO 2026'!D13&lt;&gt;"",'FEBRERO 2026'!Z13="POR RECOGER"),'FEBRERO 2026'!K13,"")</f>
        <v/>
      </c>
      <c r="G114" s="382">
        <f>IF(AND('FEBRERO 2026'!D13&lt;&gt;"",'FEBRERO 2026'!Z13="POR RECOGER"),'FEBRERO 2026'!M13,"")</f>
        <v/>
      </c>
      <c r="H114" s="382">
        <f>IF(AND('FEBRERO 2026'!D13&lt;&gt;"",'FEBRERO 2026'!Z13="POR RECOGER"),'FEBRERO 2026'!N13,"")</f>
        <v/>
      </c>
      <c r="I114" s="381">
        <f>IF(AND('FEBRERO 2026'!D13&lt;&gt;"",'FEBRERO 2026'!Z13="POR RECOGER"),'FEBRERO 2026'!P13,"")</f>
        <v/>
      </c>
      <c r="J114" s="381">
        <f>IF(AND('FEBRERO 2026'!D13&lt;&gt;"",'FEBRERO 2026'!Z13="POR RECOGER"),'FEBRERO 2026'!Q13,"")</f>
        <v/>
      </c>
      <c r="K114" s="381">
        <f>IF(AND('FEBRERO 2026'!D13&lt;&gt;"",'FEBRERO 2026'!Z13="POR RECOGER"),'FEBRERO 2026'!Y13,"")</f>
        <v/>
      </c>
      <c r="L114" s="381">
        <f>IF(AND('FEBRERO 2026'!D13&lt;&gt;"",'FEBRERO 2026'!Z13="POR RECOGER"),'FEBRERO 2026'!I13,"")</f>
        <v/>
      </c>
      <c r="P114" s="194" t="n"/>
      <c r="Q114" s="194" t="n"/>
      <c r="R114" s="194" t="n"/>
      <c r="S114" s="194" t="n"/>
      <c r="T114" s="194" t="n"/>
      <c r="U114" s="194" t="n"/>
      <c r="V114" s="194" t="n"/>
      <c r="W114" s="194" t="n"/>
      <c r="X114" s="194" t="n"/>
      <c r="Y114" s="194" t="n"/>
      <c r="Z114" s="194" t="n"/>
    </row>
    <row r="115" ht="15" customHeight="1" s="195">
      <c r="A115" s="381">
        <f>IF(AND('FEBRERO 2026'!D14&lt;&gt;"",'FEBRERO 2026'!Z14="POR RECOGER"),"FEB","")</f>
        <v/>
      </c>
      <c r="B115" s="381">
        <f>IF(AND('FEBRERO 2026'!D14&lt;&gt;"",'FEBRERO 2026'!Z14="POR RECOGER"),IF('FEBRERO 2026'!Y14&lt;&gt;"",'FEBRERO 2026'!Y14,'FEBRERO 2026'!I14),"")</f>
        <v/>
      </c>
      <c r="C115" s="381">
        <f>IF(AND('FEBRERO 2026'!D14&lt;&gt;"",'FEBRERO 2026'!Z14="POR RECOGER"),'FEBRERO 2026'!D14,"")</f>
        <v/>
      </c>
      <c r="D115" s="381">
        <f>IF(AND('FEBRERO 2026'!D14&lt;&gt;"",'FEBRERO 2026'!Z14="POR RECOGER"),'FEBRERO 2026'!F14,"")</f>
        <v/>
      </c>
      <c r="E115" s="381">
        <f>IF(AND('FEBRERO 2026'!D14&lt;&gt;"",'FEBRERO 2026'!Z14="POR RECOGER"),TEXT('FEBRERO 2026'!G14,"DD/MM/YYYY"),"")</f>
        <v/>
      </c>
      <c r="F115" s="381">
        <f>IF(AND('FEBRERO 2026'!D14&lt;&gt;"",'FEBRERO 2026'!Z14="POR RECOGER"),'FEBRERO 2026'!K14,"")</f>
        <v/>
      </c>
      <c r="G115" s="382">
        <f>IF(AND('FEBRERO 2026'!D14&lt;&gt;"",'FEBRERO 2026'!Z14="POR RECOGER"),'FEBRERO 2026'!M14,"")</f>
        <v/>
      </c>
      <c r="H115" s="382">
        <f>IF(AND('FEBRERO 2026'!D14&lt;&gt;"",'FEBRERO 2026'!Z14="POR RECOGER"),'FEBRERO 2026'!N14,"")</f>
        <v/>
      </c>
      <c r="I115" s="381">
        <f>IF(AND('FEBRERO 2026'!D14&lt;&gt;"",'FEBRERO 2026'!Z14="POR RECOGER"),'FEBRERO 2026'!P14,"")</f>
        <v/>
      </c>
      <c r="J115" s="381">
        <f>IF(AND('FEBRERO 2026'!D14&lt;&gt;"",'FEBRERO 2026'!Z14="POR RECOGER"),'FEBRERO 2026'!Q14,"")</f>
        <v/>
      </c>
      <c r="K115" s="381">
        <f>IF(AND('FEBRERO 2026'!D14&lt;&gt;"",'FEBRERO 2026'!Z14="POR RECOGER"),'FEBRERO 2026'!Y14,"")</f>
        <v/>
      </c>
      <c r="L115" s="381">
        <f>IF(AND('FEBRERO 2026'!D14&lt;&gt;"",'FEBRERO 2026'!Z14="POR RECOGER"),'FEBRERO 2026'!I14,"")</f>
        <v/>
      </c>
      <c r="P115" s="194" t="n"/>
      <c r="Q115" s="194" t="n"/>
      <c r="R115" s="194" t="n"/>
      <c r="S115" s="194" t="n"/>
      <c r="T115" s="194" t="n"/>
      <c r="U115" s="194" t="n"/>
      <c r="V115" s="194" t="n"/>
      <c r="W115" s="194" t="n"/>
      <c r="X115" s="194" t="n"/>
      <c r="Y115" s="194" t="n"/>
      <c r="Z115" s="194" t="n"/>
    </row>
    <row r="116" ht="15" customHeight="1" s="195">
      <c r="A116" s="381">
        <f>IF(AND('FEBRERO 2026'!D15&lt;&gt;"",'FEBRERO 2026'!Z15="POR RECOGER"),"FEB","")</f>
        <v/>
      </c>
      <c r="B116" s="381">
        <f>IF(AND('FEBRERO 2026'!D15&lt;&gt;"",'FEBRERO 2026'!Z15="POR RECOGER"),IF('FEBRERO 2026'!Y15&lt;&gt;"",'FEBRERO 2026'!Y15,'FEBRERO 2026'!I15),"")</f>
        <v/>
      </c>
      <c r="C116" s="381">
        <f>IF(AND('FEBRERO 2026'!D15&lt;&gt;"",'FEBRERO 2026'!Z15="POR RECOGER"),'FEBRERO 2026'!D15,"")</f>
        <v/>
      </c>
      <c r="D116" s="381">
        <f>IF(AND('FEBRERO 2026'!D15&lt;&gt;"",'FEBRERO 2026'!Z15="POR RECOGER"),'FEBRERO 2026'!F15,"")</f>
        <v/>
      </c>
      <c r="E116" s="381">
        <f>IF(AND('FEBRERO 2026'!D15&lt;&gt;"",'FEBRERO 2026'!Z15="POR RECOGER"),TEXT('FEBRERO 2026'!G15,"DD/MM/YYYY"),"")</f>
        <v/>
      </c>
      <c r="F116" s="381">
        <f>IF(AND('FEBRERO 2026'!D15&lt;&gt;"",'FEBRERO 2026'!Z15="POR RECOGER"),'FEBRERO 2026'!K15,"")</f>
        <v/>
      </c>
      <c r="G116" s="382">
        <f>IF(AND('FEBRERO 2026'!D15&lt;&gt;"",'FEBRERO 2026'!Z15="POR RECOGER"),'FEBRERO 2026'!M15,"")</f>
        <v/>
      </c>
      <c r="H116" s="382">
        <f>IF(AND('FEBRERO 2026'!D15&lt;&gt;"",'FEBRERO 2026'!Z15="POR RECOGER"),'FEBRERO 2026'!N15,"")</f>
        <v/>
      </c>
      <c r="I116" s="381">
        <f>IF(AND('FEBRERO 2026'!D15&lt;&gt;"",'FEBRERO 2026'!Z15="POR RECOGER"),'FEBRERO 2026'!P15,"")</f>
        <v/>
      </c>
      <c r="J116" s="381">
        <f>IF(AND('FEBRERO 2026'!D15&lt;&gt;"",'FEBRERO 2026'!Z15="POR RECOGER"),'FEBRERO 2026'!Q15,"")</f>
        <v/>
      </c>
      <c r="K116" s="381">
        <f>IF(AND('FEBRERO 2026'!D15&lt;&gt;"",'FEBRERO 2026'!Z15="POR RECOGER"),'FEBRERO 2026'!Y15,"")</f>
        <v/>
      </c>
      <c r="L116" s="381">
        <f>IF(AND('FEBRERO 2026'!D15&lt;&gt;"",'FEBRERO 2026'!Z15="POR RECOGER"),'FEBRERO 2026'!I15,"")</f>
        <v/>
      </c>
      <c r="P116" s="194" t="n"/>
      <c r="Q116" s="194" t="n"/>
      <c r="R116" s="194" t="n"/>
      <c r="S116" s="194" t="n"/>
      <c r="T116" s="194" t="n"/>
      <c r="U116" s="194" t="n"/>
      <c r="V116" s="194" t="n"/>
      <c r="W116" s="194" t="n"/>
      <c r="X116" s="194" t="n"/>
      <c r="Y116" s="194" t="n"/>
      <c r="Z116" s="194" t="n"/>
    </row>
    <row r="117" ht="15" customHeight="1" s="195">
      <c r="A117" s="381">
        <f>IF(AND('FEBRERO 2026'!D16&lt;&gt;"",'FEBRERO 2026'!Z16="POR RECOGER"),"FEB","")</f>
        <v/>
      </c>
      <c r="B117" s="381">
        <f>IF(AND('FEBRERO 2026'!D16&lt;&gt;"",'FEBRERO 2026'!Z16="POR RECOGER"),IF('FEBRERO 2026'!Y16&lt;&gt;"",'FEBRERO 2026'!Y16,'FEBRERO 2026'!I16),"")</f>
        <v/>
      </c>
      <c r="C117" s="381">
        <f>IF(AND('FEBRERO 2026'!D16&lt;&gt;"",'FEBRERO 2026'!Z16="POR RECOGER"),'FEBRERO 2026'!D16,"")</f>
        <v/>
      </c>
      <c r="D117" s="381">
        <f>IF(AND('FEBRERO 2026'!D16&lt;&gt;"",'FEBRERO 2026'!Z16="POR RECOGER"),'FEBRERO 2026'!F16,"")</f>
        <v/>
      </c>
      <c r="E117" s="381">
        <f>IF(AND('FEBRERO 2026'!D16&lt;&gt;"",'FEBRERO 2026'!Z16="POR RECOGER"),TEXT('FEBRERO 2026'!G16,"DD/MM/YYYY"),"")</f>
        <v/>
      </c>
      <c r="F117" s="381">
        <f>IF(AND('FEBRERO 2026'!D16&lt;&gt;"",'FEBRERO 2026'!Z16="POR RECOGER"),'FEBRERO 2026'!K16,"")</f>
        <v/>
      </c>
      <c r="G117" s="382">
        <f>IF(AND('FEBRERO 2026'!D16&lt;&gt;"",'FEBRERO 2026'!Z16="POR RECOGER"),'FEBRERO 2026'!M16,"")</f>
        <v/>
      </c>
      <c r="H117" s="382">
        <f>IF(AND('FEBRERO 2026'!D16&lt;&gt;"",'FEBRERO 2026'!Z16="POR RECOGER"),'FEBRERO 2026'!N16,"")</f>
        <v/>
      </c>
      <c r="I117" s="381">
        <f>IF(AND('FEBRERO 2026'!D16&lt;&gt;"",'FEBRERO 2026'!Z16="POR RECOGER"),'FEBRERO 2026'!P16,"")</f>
        <v/>
      </c>
      <c r="J117" s="381">
        <f>IF(AND('FEBRERO 2026'!D16&lt;&gt;"",'FEBRERO 2026'!Z16="POR RECOGER"),'FEBRERO 2026'!Q16,"")</f>
        <v/>
      </c>
      <c r="K117" s="381">
        <f>IF(AND('FEBRERO 2026'!D16&lt;&gt;"",'FEBRERO 2026'!Z16="POR RECOGER"),'FEBRERO 2026'!Y16,"")</f>
        <v/>
      </c>
      <c r="L117" s="381">
        <f>IF(AND('FEBRERO 2026'!D16&lt;&gt;"",'FEBRERO 2026'!Z16="POR RECOGER"),'FEBRERO 2026'!I16,"")</f>
        <v/>
      </c>
      <c r="P117" s="194" t="n"/>
      <c r="Q117" s="194" t="n"/>
      <c r="R117" s="194" t="n"/>
      <c r="S117" s="194" t="n"/>
      <c r="T117" s="194" t="n"/>
      <c r="U117" s="194" t="n"/>
      <c r="V117" s="194" t="n"/>
      <c r="W117" s="194" t="n"/>
      <c r="X117" s="194" t="n"/>
      <c r="Y117" s="194" t="n"/>
      <c r="Z117" s="194" t="n"/>
    </row>
    <row r="118" ht="15" customHeight="1" s="195">
      <c r="A118" s="381">
        <f>IF(AND('FEBRERO 2026'!D17&lt;&gt;"",'FEBRERO 2026'!Z17="POR RECOGER"),"FEB","")</f>
        <v/>
      </c>
      <c r="B118" s="381">
        <f>IF(AND('FEBRERO 2026'!D17&lt;&gt;"",'FEBRERO 2026'!Z17="POR RECOGER"),IF('FEBRERO 2026'!Y17&lt;&gt;"",'FEBRERO 2026'!Y17,'FEBRERO 2026'!I17),"")</f>
        <v/>
      </c>
      <c r="C118" s="381">
        <f>IF(AND('FEBRERO 2026'!D17&lt;&gt;"",'FEBRERO 2026'!Z17="POR RECOGER"),'FEBRERO 2026'!D17,"")</f>
        <v/>
      </c>
      <c r="D118" s="381">
        <f>IF(AND('FEBRERO 2026'!D17&lt;&gt;"",'FEBRERO 2026'!Z17="POR RECOGER"),'FEBRERO 2026'!F17,"")</f>
        <v/>
      </c>
      <c r="E118" s="381">
        <f>IF(AND('FEBRERO 2026'!D17&lt;&gt;"",'FEBRERO 2026'!Z17="POR RECOGER"),TEXT('FEBRERO 2026'!G17,"DD/MM/YYYY"),"")</f>
        <v/>
      </c>
      <c r="F118" s="381">
        <f>IF(AND('FEBRERO 2026'!D17&lt;&gt;"",'FEBRERO 2026'!Z17="POR RECOGER"),'FEBRERO 2026'!K17,"")</f>
        <v/>
      </c>
      <c r="G118" s="382">
        <f>IF(AND('FEBRERO 2026'!D17&lt;&gt;"",'FEBRERO 2026'!Z17="POR RECOGER"),'FEBRERO 2026'!M17,"")</f>
        <v/>
      </c>
      <c r="H118" s="382">
        <f>IF(AND('FEBRERO 2026'!D17&lt;&gt;"",'FEBRERO 2026'!Z17="POR RECOGER"),'FEBRERO 2026'!N17,"")</f>
        <v/>
      </c>
      <c r="I118" s="381">
        <f>IF(AND('FEBRERO 2026'!D17&lt;&gt;"",'FEBRERO 2026'!Z17="POR RECOGER"),'FEBRERO 2026'!P17,"")</f>
        <v/>
      </c>
      <c r="J118" s="381">
        <f>IF(AND('FEBRERO 2026'!D17&lt;&gt;"",'FEBRERO 2026'!Z17="POR RECOGER"),'FEBRERO 2026'!Q17,"")</f>
        <v/>
      </c>
      <c r="K118" s="381">
        <f>IF(AND('FEBRERO 2026'!D17&lt;&gt;"",'FEBRERO 2026'!Z17="POR RECOGER"),'FEBRERO 2026'!Y17,"")</f>
        <v/>
      </c>
      <c r="L118" s="381">
        <f>IF(AND('FEBRERO 2026'!D17&lt;&gt;"",'FEBRERO 2026'!Z17="POR RECOGER"),'FEBRERO 2026'!I17,"")</f>
        <v/>
      </c>
      <c r="P118" s="194" t="n"/>
      <c r="Q118" s="194" t="n"/>
      <c r="R118" s="194" t="n"/>
      <c r="S118" s="194" t="n"/>
      <c r="T118" s="194" t="n"/>
      <c r="U118" s="194" t="n"/>
      <c r="V118" s="194" t="n"/>
      <c r="W118" s="194" t="n"/>
      <c r="X118" s="194" t="n"/>
      <c r="Y118" s="194" t="n"/>
      <c r="Z118" s="194" t="n"/>
    </row>
    <row r="119" ht="15" customHeight="1" s="195">
      <c r="A119" s="381">
        <f>IF(AND('FEBRERO 2026'!D18&lt;&gt;"",'FEBRERO 2026'!Z18="POR RECOGER"),"FEB","")</f>
        <v/>
      </c>
      <c r="B119" s="381">
        <f>IF(AND('FEBRERO 2026'!D18&lt;&gt;"",'FEBRERO 2026'!Z18="POR RECOGER"),IF('FEBRERO 2026'!Y18&lt;&gt;"",'FEBRERO 2026'!Y18,'FEBRERO 2026'!I18),"")</f>
        <v/>
      </c>
      <c r="C119" s="381">
        <f>IF(AND('FEBRERO 2026'!D18&lt;&gt;"",'FEBRERO 2026'!Z18="POR RECOGER"),'FEBRERO 2026'!D18,"")</f>
        <v/>
      </c>
      <c r="D119" s="381">
        <f>IF(AND('FEBRERO 2026'!D18&lt;&gt;"",'FEBRERO 2026'!Z18="POR RECOGER"),'FEBRERO 2026'!F18,"")</f>
        <v/>
      </c>
      <c r="E119" s="381">
        <f>IF(AND('FEBRERO 2026'!D18&lt;&gt;"",'FEBRERO 2026'!Z18="POR RECOGER"),TEXT('FEBRERO 2026'!G18,"DD/MM/YYYY"),"")</f>
        <v/>
      </c>
      <c r="F119" s="381">
        <f>IF(AND('FEBRERO 2026'!D18&lt;&gt;"",'FEBRERO 2026'!Z18="POR RECOGER"),'FEBRERO 2026'!K18,"")</f>
        <v/>
      </c>
      <c r="G119" s="382">
        <f>IF(AND('FEBRERO 2026'!D18&lt;&gt;"",'FEBRERO 2026'!Z18="POR RECOGER"),'FEBRERO 2026'!M18,"")</f>
        <v/>
      </c>
      <c r="H119" s="382">
        <f>IF(AND('FEBRERO 2026'!D18&lt;&gt;"",'FEBRERO 2026'!Z18="POR RECOGER"),'FEBRERO 2026'!N18,"")</f>
        <v/>
      </c>
      <c r="I119" s="381">
        <f>IF(AND('FEBRERO 2026'!D18&lt;&gt;"",'FEBRERO 2026'!Z18="POR RECOGER"),'FEBRERO 2026'!P18,"")</f>
        <v/>
      </c>
      <c r="J119" s="381">
        <f>IF(AND('FEBRERO 2026'!D18&lt;&gt;"",'FEBRERO 2026'!Z18="POR RECOGER"),'FEBRERO 2026'!Q18,"")</f>
        <v/>
      </c>
      <c r="K119" s="381">
        <f>IF(AND('FEBRERO 2026'!D18&lt;&gt;"",'FEBRERO 2026'!Z18="POR RECOGER"),'FEBRERO 2026'!Y18,"")</f>
        <v/>
      </c>
      <c r="L119" s="381">
        <f>IF(AND('FEBRERO 2026'!D18&lt;&gt;"",'FEBRERO 2026'!Z18="POR RECOGER"),'FEBRERO 2026'!I18,"")</f>
        <v/>
      </c>
      <c r="P119" s="194" t="n"/>
      <c r="Q119" s="194" t="n"/>
      <c r="R119" s="194" t="n"/>
      <c r="S119" s="194" t="n"/>
      <c r="T119" s="194" t="n"/>
      <c r="U119" s="194" t="n"/>
      <c r="V119" s="194" t="n"/>
      <c r="W119" s="194" t="n"/>
      <c r="X119" s="194" t="n"/>
      <c r="Y119" s="194" t="n"/>
      <c r="Z119" s="194" t="n"/>
    </row>
    <row r="120" ht="15" customHeight="1" s="195">
      <c r="A120" s="381">
        <f>IF(AND('FEBRERO 2026'!D19&lt;&gt;"",'FEBRERO 2026'!Z19="POR RECOGER"),"FEB","")</f>
        <v/>
      </c>
      <c r="B120" s="381">
        <f>IF(AND('FEBRERO 2026'!D19&lt;&gt;"",'FEBRERO 2026'!Z19="POR RECOGER"),IF('FEBRERO 2026'!Y19&lt;&gt;"",'FEBRERO 2026'!Y19,'FEBRERO 2026'!I19),"")</f>
        <v/>
      </c>
      <c r="C120" s="381">
        <f>IF(AND('FEBRERO 2026'!D19&lt;&gt;"",'FEBRERO 2026'!Z19="POR RECOGER"),'FEBRERO 2026'!D19,"")</f>
        <v/>
      </c>
      <c r="D120" s="381">
        <f>IF(AND('FEBRERO 2026'!D19&lt;&gt;"",'FEBRERO 2026'!Z19="POR RECOGER"),'FEBRERO 2026'!F19,"")</f>
        <v/>
      </c>
      <c r="E120" s="381">
        <f>IF(AND('FEBRERO 2026'!D19&lt;&gt;"",'FEBRERO 2026'!Z19="POR RECOGER"),TEXT('FEBRERO 2026'!G19,"DD/MM/YYYY"),"")</f>
        <v/>
      </c>
      <c r="F120" s="381">
        <f>IF(AND('FEBRERO 2026'!D19&lt;&gt;"",'FEBRERO 2026'!Z19="POR RECOGER"),'FEBRERO 2026'!K19,"")</f>
        <v/>
      </c>
      <c r="G120" s="382">
        <f>IF(AND('FEBRERO 2026'!D19&lt;&gt;"",'FEBRERO 2026'!Z19="POR RECOGER"),'FEBRERO 2026'!M19,"")</f>
        <v/>
      </c>
      <c r="H120" s="382">
        <f>IF(AND('FEBRERO 2026'!D19&lt;&gt;"",'FEBRERO 2026'!Z19="POR RECOGER"),'FEBRERO 2026'!N19,"")</f>
        <v/>
      </c>
      <c r="I120" s="381">
        <f>IF(AND('FEBRERO 2026'!D19&lt;&gt;"",'FEBRERO 2026'!Z19="POR RECOGER"),'FEBRERO 2026'!P19,"")</f>
        <v/>
      </c>
      <c r="J120" s="381">
        <f>IF(AND('FEBRERO 2026'!D19&lt;&gt;"",'FEBRERO 2026'!Z19="POR RECOGER"),'FEBRERO 2026'!Q19,"")</f>
        <v/>
      </c>
      <c r="K120" s="381">
        <f>IF(AND('FEBRERO 2026'!D19&lt;&gt;"",'FEBRERO 2026'!Z19="POR RECOGER"),'FEBRERO 2026'!Y19,"")</f>
        <v/>
      </c>
      <c r="L120" s="381">
        <f>IF(AND('FEBRERO 2026'!D19&lt;&gt;"",'FEBRERO 2026'!Z19="POR RECOGER"),'FEBRERO 2026'!I19,"")</f>
        <v/>
      </c>
      <c r="P120" s="194" t="n"/>
      <c r="Q120" s="194" t="n"/>
      <c r="R120" s="194" t="n"/>
      <c r="S120" s="194" t="n"/>
      <c r="T120" s="194" t="n"/>
      <c r="U120" s="194" t="n"/>
      <c r="V120" s="194" t="n"/>
      <c r="W120" s="194" t="n"/>
      <c r="X120" s="194" t="n"/>
      <c r="Y120" s="194" t="n"/>
      <c r="Z120" s="194" t="n"/>
    </row>
    <row r="121" ht="15" customHeight="1" s="195">
      <c r="A121" s="381">
        <f>IF(AND('FEBRERO 2026'!D20&lt;&gt;"",'FEBRERO 2026'!Z20="POR RECOGER"),"FEB","")</f>
        <v/>
      </c>
      <c r="B121" s="381">
        <f>IF(AND('FEBRERO 2026'!D20&lt;&gt;"",'FEBRERO 2026'!Z20="POR RECOGER"),IF('FEBRERO 2026'!Y20&lt;&gt;"",'FEBRERO 2026'!Y20,'FEBRERO 2026'!I20),"")</f>
        <v/>
      </c>
      <c r="C121" s="381">
        <f>IF(AND('FEBRERO 2026'!D20&lt;&gt;"",'FEBRERO 2026'!Z20="POR RECOGER"),'FEBRERO 2026'!D20,"")</f>
        <v/>
      </c>
      <c r="D121" s="381">
        <f>IF(AND('FEBRERO 2026'!D20&lt;&gt;"",'FEBRERO 2026'!Z20="POR RECOGER"),'FEBRERO 2026'!F20,"")</f>
        <v/>
      </c>
      <c r="E121" s="381">
        <f>IF(AND('FEBRERO 2026'!D20&lt;&gt;"",'FEBRERO 2026'!Z20="POR RECOGER"),TEXT('FEBRERO 2026'!G20,"DD/MM/YYYY"),"")</f>
        <v/>
      </c>
      <c r="F121" s="381">
        <f>IF(AND('FEBRERO 2026'!D20&lt;&gt;"",'FEBRERO 2026'!Z20="POR RECOGER"),'FEBRERO 2026'!K20,"")</f>
        <v/>
      </c>
      <c r="G121" s="382">
        <f>IF(AND('FEBRERO 2026'!D20&lt;&gt;"",'FEBRERO 2026'!Z20="POR RECOGER"),'FEBRERO 2026'!M20,"")</f>
        <v/>
      </c>
      <c r="H121" s="382">
        <f>IF(AND('FEBRERO 2026'!D20&lt;&gt;"",'FEBRERO 2026'!Z20="POR RECOGER"),'FEBRERO 2026'!N20,"")</f>
        <v/>
      </c>
      <c r="I121" s="381">
        <f>IF(AND('FEBRERO 2026'!D20&lt;&gt;"",'FEBRERO 2026'!Z20="POR RECOGER"),'FEBRERO 2026'!P20,"")</f>
        <v/>
      </c>
      <c r="J121" s="381">
        <f>IF(AND('FEBRERO 2026'!D20&lt;&gt;"",'FEBRERO 2026'!Z20="POR RECOGER"),'FEBRERO 2026'!Q20,"")</f>
        <v/>
      </c>
      <c r="K121" s="381">
        <f>IF(AND('FEBRERO 2026'!D20&lt;&gt;"",'FEBRERO 2026'!Z20="POR RECOGER"),'FEBRERO 2026'!Y20,"")</f>
        <v/>
      </c>
      <c r="L121" s="381">
        <f>IF(AND('FEBRERO 2026'!D20&lt;&gt;"",'FEBRERO 2026'!Z20="POR RECOGER"),'FEBRERO 2026'!I20,"")</f>
        <v/>
      </c>
      <c r="P121" s="194" t="n"/>
      <c r="Q121" s="194" t="n"/>
      <c r="R121" s="194" t="n"/>
      <c r="S121" s="194" t="n"/>
      <c r="T121" s="194" t="n"/>
      <c r="U121" s="194" t="n"/>
      <c r="V121" s="194" t="n"/>
      <c r="W121" s="194" t="n"/>
      <c r="X121" s="194" t="n"/>
      <c r="Y121" s="194" t="n"/>
      <c r="Z121" s="194" t="n"/>
    </row>
    <row r="122" ht="15" customHeight="1" s="195">
      <c r="A122" s="381">
        <f>IF(AND('FEBRERO 2026'!D21&lt;&gt;"",'FEBRERO 2026'!Z21="POR RECOGER"),"FEB","")</f>
        <v/>
      </c>
      <c r="B122" s="381">
        <f>IF(AND('FEBRERO 2026'!D21&lt;&gt;"",'FEBRERO 2026'!Z21="POR RECOGER"),IF('FEBRERO 2026'!Y21&lt;&gt;"",'FEBRERO 2026'!Y21,'FEBRERO 2026'!I21),"")</f>
        <v/>
      </c>
      <c r="C122" s="381">
        <f>IF(AND('FEBRERO 2026'!D21&lt;&gt;"",'FEBRERO 2026'!Z21="POR RECOGER"),'FEBRERO 2026'!D21,"")</f>
        <v/>
      </c>
      <c r="D122" s="381">
        <f>IF(AND('FEBRERO 2026'!D21&lt;&gt;"",'FEBRERO 2026'!Z21="POR RECOGER"),'FEBRERO 2026'!F21,"")</f>
        <v/>
      </c>
      <c r="E122" s="381">
        <f>IF(AND('FEBRERO 2026'!D21&lt;&gt;"",'FEBRERO 2026'!Z21="POR RECOGER"),TEXT('FEBRERO 2026'!G21,"DD/MM/YYYY"),"")</f>
        <v/>
      </c>
      <c r="F122" s="381">
        <f>IF(AND('FEBRERO 2026'!D21&lt;&gt;"",'FEBRERO 2026'!Z21="POR RECOGER"),'FEBRERO 2026'!K21,"")</f>
        <v/>
      </c>
      <c r="G122" s="382">
        <f>IF(AND('FEBRERO 2026'!D21&lt;&gt;"",'FEBRERO 2026'!Z21="POR RECOGER"),'FEBRERO 2026'!M21,"")</f>
        <v/>
      </c>
      <c r="H122" s="382">
        <f>IF(AND('FEBRERO 2026'!D21&lt;&gt;"",'FEBRERO 2026'!Z21="POR RECOGER"),'FEBRERO 2026'!N21,"")</f>
        <v/>
      </c>
      <c r="I122" s="381">
        <f>IF(AND('FEBRERO 2026'!D21&lt;&gt;"",'FEBRERO 2026'!Z21="POR RECOGER"),'FEBRERO 2026'!P21,"")</f>
        <v/>
      </c>
      <c r="J122" s="381">
        <f>IF(AND('FEBRERO 2026'!D21&lt;&gt;"",'FEBRERO 2026'!Z21="POR RECOGER"),'FEBRERO 2026'!Q21,"")</f>
        <v/>
      </c>
      <c r="K122" s="381">
        <f>IF(AND('FEBRERO 2026'!D21&lt;&gt;"",'FEBRERO 2026'!Z21="POR RECOGER"),'FEBRERO 2026'!Y21,"")</f>
        <v/>
      </c>
      <c r="L122" s="381">
        <f>IF(AND('FEBRERO 2026'!D21&lt;&gt;"",'FEBRERO 2026'!Z21="POR RECOGER"),'FEBRERO 2026'!I21,"")</f>
        <v/>
      </c>
      <c r="P122" s="194" t="n"/>
      <c r="Q122" s="194" t="n"/>
      <c r="R122" s="194" t="n"/>
      <c r="S122" s="194" t="n"/>
      <c r="T122" s="194" t="n"/>
      <c r="U122" s="194" t="n"/>
      <c r="V122" s="194" t="n"/>
      <c r="W122" s="194" t="n"/>
      <c r="X122" s="194" t="n"/>
      <c r="Y122" s="194" t="n"/>
      <c r="Z122" s="194" t="n"/>
    </row>
    <row r="123" ht="15" customHeight="1" s="195">
      <c r="A123" s="381">
        <f>IF(AND('FEBRERO 2026'!D22&lt;&gt;"",'FEBRERO 2026'!Z22="POR RECOGER"),"FEB","")</f>
        <v/>
      </c>
      <c r="B123" s="381">
        <f>IF(AND('FEBRERO 2026'!D22&lt;&gt;"",'FEBRERO 2026'!Z22="POR RECOGER"),IF('FEBRERO 2026'!Y22&lt;&gt;"",'FEBRERO 2026'!Y22,'FEBRERO 2026'!I22),"")</f>
        <v/>
      </c>
      <c r="C123" s="381">
        <f>IF(AND('FEBRERO 2026'!D22&lt;&gt;"",'FEBRERO 2026'!Z22="POR RECOGER"),'FEBRERO 2026'!D22,"")</f>
        <v/>
      </c>
      <c r="D123" s="381">
        <f>IF(AND('FEBRERO 2026'!D22&lt;&gt;"",'FEBRERO 2026'!Z22="POR RECOGER"),'FEBRERO 2026'!F22,"")</f>
        <v/>
      </c>
      <c r="E123" s="381">
        <f>IF(AND('FEBRERO 2026'!D22&lt;&gt;"",'FEBRERO 2026'!Z22="POR RECOGER"),TEXT('FEBRERO 2026'!G22,"DD/MM/YYYY"),"")</f>
        <v/>
      </c>
      <c r="F123" s="381">
        <f>IF(AND('FEBRERO 2026'!D22&lt;&gt;"",'FEBRERO 2026'!Z22="POR RECOGER"),'FEBRERO 2026'!K22,"")</f>
        <v/>
      </c>
      <c r="G123" s="382">
        <f>IF(AND('FEBRERO 2026'!D22&lt;&gt;"",'FEBRERO 2026'!Z22="POR RECOGER"),'FEBRERO 2026'!M22,"")</f>
        <v/>
      </c>
      <c r="H123" s="382">
        <f>IF(AND('FEBRERO 2026'!D22&lt;&gt;"",'FEBRERO 2026'!Z22="POR RECOGER"),'FEBRERO 2026'!N22,"")</f>
        <v/>
      </c>
      <c r="I123" s="381">
        <f>IF(AND('FEBRERO 2026'!D22&lt;&gt;"",'FEBRERO 2026'!Z22="POR RECOGER"),'FEBRERO 2026'!P22,"")</f>
        <v/>
      </c>
      <c r="J123" s="381">
        <f>IF(AND('FEBRERO 2026'!D22&lt;&gt;"",'FEBRERO 2026'!Z22="POR RECOGER"),'FEBRERO 2026'!Q22,"")</f>
        <v/>
      </c>
      <c r="K123" s="381">
        <f>IF(AND('FEBRERO 2026'!D22&lt;&gt;"",'FEBRERO 2026'!Z22="POR RECOGER"),'FEBRERO 2026'!Y22,"")</f>
        <v/>
      </c>
      <c r="L123" s="381">
        <f>IF(AND('FEBRERO 2026'!D22&lt;&gt;"",'FEBRERO 2026'!Z22="POR RECOGER"),'FEBRERO 2026'!I22,"")</f>
        <v/>
      </c>
      <c r="P123" s="194" t="n"/>
      <c r="Q123" s="194" t="n"/>
      <c r="R123" s="194" t="n"/>
      <c r="S123" s="194" t="n"/>
      <c r="T123" s="194" t="n"/>
      <c r="U123" s="194" t="n"/>
      <c r="V123" s="194" t="n"/>
      <c r="W123" s="194" t="n"/>
      <c r="X123" s="194" t="n"/>
      <c r="Y123" s="194" t="n"/>
      <c r="Z123" s="194" t="n"/>
    </row>
    <row r="124" ht="15" customHeight="1" s="195">
      <c r="A124" s="381">
        <f>IF(AND('FEBRERO 2026'!D23&lt;&gt;"",'FEBRERO 2026'!Z23="POR RECOGER"),"FEB","")</f>
        <v/>
      </c>
      <c r="B124" s="381">
        <f>IF(AND('FEBRERO 2026'!D23&lt;&gt;"",'FEBRERO 2026'!Z23="POR RECOGER"),IF('FEBRERO 2026'!Y23&lt;&gt;"",'FEBRERO 2026'!Y23,'FEBRERO 2026'!I23),"")</f>
        <v/>
      </c>
      <c r="C124" s="381">
        <f>IF(AND('FEBRERO 2026'!D23&lt;&gt;"",'FEBRERO 2026'!Z23="POR RECOGER"),'FEBRERO 2026'!D23,"")</f>
        <v/>
      </c>
      <c r="D124" s="381">
        <f>IF(AND('FEBRERO 2026'!D23&lt;&gt;"",'FEBRERO 2026'!Z23="POR RECOGER"),'FEBRERO 2026'!F23,"")</f>
        <v/>
      </c>
      <c r="E124" s="381">
        <f>IF(AND('FEBRERO 2026'!D23&lt;&gt;"",'FEBRERO 2026'!Z23="POR RECOGER"),TEXT('FEBRERO 2026'!G23,"DD/MM/YYYY"),"")</f>
        <v/>
      </c>
      <c r="F124" s="381">
        <f>IF(AND('FEBRERO 2026'!D23&lt;&gt;"",'FEBRERO 2026'!Z23="POR RECOGER"),'FEBRERO 2026'!K23,"")</f>
        <v/>
      </c>
      <c r="G124" s="382">
        <f>IF(AND('FEBRERO 2026'!D23&lt;&gt;"",'FEBRERO 2026'!Z23="POR RECOGER"),'FEBRERO 2026'!M23,"")</f>
        <v/>
      </c>
      <c r="H124" s="382">
        <f>IF(AND('FEBRERO 2026'!D23&lt;&gt;"",'FEBRERO 2026'!Z23="POR RECOGER"),'FEBRERO 2026'!N23,"")</f>
        <v/>
      </c>
      <c r="I124" s="381">
        <f>IF(AND('FEBRERO 2026'!D23&lt;&gt;"",'FEBRERO 2026'!Z23="POR RECOGER"),'FEBRERO 2026'!P23,"")</f>
        <v/>
      </c>
      <c r="J124" s="381">
        <f>IF(AND('FEBRERO 2026'!D23&lt;&gt;"",'FEBRERO 2026'!Z23="POR RECOGER"),'FEBRERO 2026'!Q23,"")</f>
        <v/>
      </c>
      <c r="K124" s="381">
        <f>IF(AND('FEBRERO 2026'!D23&lt;&gt;"",'FEBRERO 2026'!Z23="POR RECOGER"),'FEBRERO 2026'!Y23,"")</f>
        <v/>
      </c>
      <c r="L124" s="381">
        <f>IF(AND('FEBRERO 2026'!D23&lt;&gt;"",'FEBRERO 2026'!Z23="POR RECOGER"),'FEBRERO 2026'!I23,"")</f>
        <v/>
      </c>
      <c r="P124" s="194" t="n"/>
      <c r="Q124" s="194" t="n"/>
      <c r="R124" s="194" t="n"/>
      <c r="S124" s="194" t="n"/>
      <c r="T124" s="194" t="n"/>
      <c r="U124" s="194" t="n"/>
      <c r="V124" s="194" t="n"/>
      <c r="W124" s="194" t="n"/>
      <c r="X124" s="194" t="n"/>
      <c r="Y124" s="194" t="n"/>
      <c r="Z124" s="194" t="n"/>
    </row>
    <row r="125" ht="15" customHeight="1" s="195">
      <c r="A125" s="381">
        <f>IF(AND('FEBRERO 2026'!D24&lt;&gt;"",'FEBRERO 2026'!Z24="POR RECOGER"),"FEB","")</f>
        <v/>
      </c>
      <c r="B125" s="381">
        <f>IF(AND('FEBRERO 2026'!D24&lt;&gt;"",'FEBRERO 2026'!Z24="POR RECOGER"),IF('FEBRERO 2026'!Y24&lt;&gt;"",'FEBRERO 2026'!Y24,'FEBRERO 2026'!I24),"")</f>
        <v/>
      </c>
      <c r="C125" s="381">
        <f>IF(AND('FEBRERO 2026'!D24&lt;&gt;"",'FEBRERO 2026'!Z24="POR RECOGER"),'FEBRERO 2026'!D24,"")</f>
        <v/>
      </c>
      <c r="D125" s="381">
        <f>IF(AND('FEBRERO 2026'!D24&lt;&gt;"",'FEBRERO 2026'!Z24="POR RECOGER"),'FEBRERO 2026'!F24,"")</f>
        <v/>
      </c>
      <c r="E125" s="381">
        <f>IF(AND('FEBRERO 2026'!D24&lt;&gt;"",'FEBRERO 2026'!Z24="POR RECOGER"),TEXT('FEBRERO 2026'!G24,"DD/MM/YYYY"),"")</f>
        <v/>
      </c>
      <c r="F125" s="381">
        <f>IF(AND('FEBRERO 2026'!D24&lt;&gt;"",'FEBRERO 2026'!Z24="POR RECOGER"),'FEBRERO 2026'!K24,"")</f>
        <v/>
      </c>
      <c r="G125" s="382">
        <f>IF(AND('FEBRERO 2026'!D24&lt;&gt;"",'FEBRERO 2026'!Z24="POR RECOGER"),'FEBRERO 2026'!M24,"")</f>
        <v/>
      </c>
      <c r="H125" s="382">
        <f>IF(AND('FEBRERO 2026'!D24&lt;&gt;"",'FEBRERO 2026'!Z24="POR RECOGER"),'FEBRERO 2026'!N24,"")</f>
        <v/>
      </c>
      <c r="I125" s="381">
        <f>IF(AND('FEBRERO 2026'!D24&lt;&gt;"",'FEBRERO 2026'!Z24="POR RECOGER"),'FEBRERO 2026'!P24,"")</f>
        <v/>
      </c>
      <c r="J125" s="381">
        <f>IF(AND('FEBRERO 2026'!D24&lt;&gt;"",'FEBRERO 2026'!Z24="POR RECOGER"),'FEBRERO 2026'!Q24,"")</f>
        <v/>
      </c>
      <c r="K125" s="381">
        <f>IF(AND('FEBRERO 2026'!D24&lt;&gt;"",'FEBRERO 2026'!Z24="POR RECOGER"),'FEBRERO 2026'!Y24,"")</f>
        <v/>
      </c>
      <c r="L125" s="381">
        <f>IF(AND('FEBRERO 2026'!D24&lt;&gt;"",'FEBRERO 2026'!Z24="POR RECOGER"),'FEBRERO 2026'!I24,"")</f>
        <v/>
      </c>
      <c r="P125" s="194" t="n"/>
      <c r="Q125" s="194" t="n"/>
      <c r="R125" s="194" t="n"/>
      <c r="S125" s="194" t="n"/>
      <c r="T125" s="194" t="n"/>
      <c r="U125" s="194" t="n"/>
      <c r="V125" s="194" t="n"/>
      <c r="W125" s="194" t="n"/>
      <c r="X125" s="194" t="n"/>
      <c r="Y125" s="194" t="n"/>
      <c r="Z125" s="194" t="n"/>
    </row>
    <row r="126" ht="15" customHeight="1" s="195">
      <c r="A126" s="381">
        <f>IF(AND('FEBRERO 2026'!D25&lt;&gt;"",'FEBRERO 2026'!Z25="POR RECOGER"),"FEB","")</f>
        <v/>
      </c>
      <c r="B126" s="381">
        <f>IF(AND('FEBRERO 2026'!D25&lt;&gt;"",'FEBRERO 2026'!Z25="POR RECOGER"),IF('FEBRERO 2026'!Y25&lt;&gt;"",'FEBRERO 2026'!Y25,'FEBRERO 2026'!I25),"")</f>
        <v/>
      </c>
      <c r="C126" s="381">
        <f>IF(AND('FEBRERO 2026'!D25&lt;&gt;"",'FEBRERO 2026'!Z25="POR RECOGER"),'FEBRERO 2026'!D25,"")</f>
        <v/>
      </c>
      <c r="D126" s="381">
        <f>IF(AND('FEBRERO 2026'!D25&lt;&gt;"",'FEBRERO 2026'!Z25="POR RECOGER"),'FEBRERO 2026'!F25,"")</f>
        <v/>
      </c>
      <c r="E126" s="381">
        <f>IF(AND('FEBRERO 2026'!D25&lt;&gt;"",'FEBRERO 2026'!Z25="POR RECOGER"),TEXT('FEBRERO 2026'!G25,"DD/MM/YYYY"),"")</f>
        <v/>
      </c>
      <c r="F126" s="381">
        <f>IF(AND('FEBRERO 2026'!D25&lt;&gt;"",'FEBRERO 2026'!Z25="POR RECOGER"),'FEBRERO 2026'!K25,"")</f>
        <v/>
      </c>
      <c r="G126" s="382">
        <f>IF(AND('FEBRERO 2026'!D25&lt;&gt;"",'FEBRERO 2026'!Z25="POR RECOGER"),'FEBRERO 2026'!M25,"")</f>
        <v/>
      </c>
      <c r="H126" s="382">
        <f>IF(AND('FEBRERO 2026'!D25&lt;&gt;"",'FEBRERO 2026'!Z25="POR RECOGER"),'FEBRERO 2026'!N25,"")</f>
        <v/>
      </c>
      <c r="I126" s="381">
        <f>IF(AND('FEBRERO 2026'!D25&lt;&gt;"",'FEBRERO 2026'!Z25="POR RECOGER"),'FEBRERO 2026'!P25,"")</f>
        <v/>
      </c>
      <c r="J126" s="381">
        <f>IF(AND('FEBRERO 2026'!D25&lt;&gt;"",'FEBRERO 2026'!Z25="POR RECOGER"),'FEBRERO 2026'!Q25,"")</f>
        <v/>
      </c>
      <c r="K126" s="381">
        <f>IF(AND('FEBRERO 2026'!D25&lt;&gt;"",'FEBRERO 2026'!Z25="POR RECOGER"),'FEBRERO 2026'!Y25,"")</f>
        <v/>
      </c>
      <c r="L126" s="381">
        <f>IF(AND('FEBRERO 2026'!D25&lt;&gt;"",'FEBRERO 2026'!Z25="POR RECOGER"),'FEBRERO 2026'!I25,"")</f>
        <v/>
      </c>
      <c r="P126" s="194" t="n"/>
      <c r="Q126" s="194" t="n"/>
      <c r="R126" s="194" t="n"/>
      <c r="S126" s="194" t="n"/>
      <c r="T126" s="194" t="n"/>
      <c r="U126" s="194" t="n"/>
      <c r="V126" s="194" t="n"/>
      <c r="W126" s="194" t="n"/>
      <c r="X126" s="194" t="n"/>
      <c r="Y126" s="194" t="n"/>
      <c r="Z126" s="194" t="n"/>
    </row>
    <row r="127" ht="15" customHeight="1" s="195">
      <c r="A127" s="381">
        <f>IF(AND('FEBRERO 2026'!D26&lt;&gt;"",'FEBRERO 2026'!Z26="POR RECOGER"),"FEB","")</f>
        <v/>
      </c>
      <c r="B127" s="381">
        <f>IF(AND('FEBRERO 2026'!D26&lt;&gt;"",'FEBRERO 2026'!Z26="POR RECOGER"),IF('FEBRERO 2026'!Y26&lt;&gt;"",'FEBRERO 2026'!Y26,'FEBRERO 2026'!I26),"")</f>
        <v/>
      </c>
      <c r="C127" s="381">
        <f>IF(AND('FEBRERO 2026'!D26&lt;&gt;"",'FEBRERO 2026'!Z26="POR RECOGER"),'FEBRERO 2026'!D26,"")</f>
        <v/>
      </c>
      <c r="D127" s="381">
        <f>IF(AND('FEBRERO 2026'!D26&lt;&gt;"",'FEBRERO 2026'!Z26="POR RECOGER"),'FEBRERO 2026'!F26,"")</f>
        <v/>
      </c>
      <c r="E127" s="381">
        <f>IF(AND('FEBRERO 2026'!D26&lt;&gt;"",'FEBRERO 2026'!Z26="POR RECOGER"),TEXT('FEBRERO 2026'!G26,"DD/MM/YYYY"),"")</f>
        <v/>
      </c>
      <c r="F127" s="381">
        <f>IF(AND('FEBRERO 2026'!D26&lt;&gt;"",'FEBRERO 2026'!Z26="POR RECOGER"),'FEBRERO 2026'!K26,"")</f>
        <v/>
      </c>
      <c r="G127" s="382">
        <f>IF(AND('FEBRERO 2026'!D26&lt;&gt;"",'FEBRERO 2026'!Z26="POR RECOGER"),'FEBRERO 2026'!M26,"")</f>
        <v/>
      </c>
      <c r="H127" s="382">
        <f>IF(AND('FEBRERO 2026'!D26&lt;&gt;"",'FEBRERO 2026'!Z26="POR RECOGER"),'FEBRERO 2026'!N26,"")</f>
        <v/>
      </c>
      <c r="I127" s="381">
        <f>IF(AND('FEBRERO 2026'!D26&lt;&gt;"",'FEBRERO 2026'!Z26="POR RECOGER"),'FEBRERO 2026'!P26,"")</f>
        <v/>
      </c>
      <c r="J127" s="381">
        <f>IF(AND('FEBRERO 2026'!D26&lt;&gt;"",'FEBRERO 2026'!Z26="POR RECOGER"),'FEBRERO 2026'!Q26,"")</f>
        <v/>
      </c>
      <c r="K127" s="381">
        <f>IF(AND('FEBRERO 2026'!D26&lt;&gt;"",'FEBRERO 2026'!Z26="POR RECOGER"),'FEBRERO 2026'!Y26,"")</f>
        <v/>
      </c>
      <c r="L127" s="381">
        <f>IF(AND('FEBRERO 2026'!D26&lt;&gt;"",'FEBRERO 2026'!Z26="POR RECOGER"),'FEBRERO 2026'!I26,"")</f>
        <v/>
      </c>
      <c r="P127" s="194" t="n"/>
      <c r="Q127" s="194" t="n"/>
      <c r="R127" s="194" t="n"/>
      <c r="S127" s="194" t="n"/>
      <c r="T127" s="194" t="n"/>
      <c r="U127" s="194" t="n"/>
      <c r="V127" s="194" t="n"/>
      <c r="W127" s="194" t="n"/>
      <c r="X127" s="194" t="n"/>
      <c r="Y127" s="194" t="n"/>
      <c r="Z127" s="194" t="n"/>
    </row>
    <row r="128" ht="15" customHeight="1" s="195">
      <c r="A128" s="381">
        <f>IF(AND('FEBRERO 2026'!D27&lt;&gt;"",'FEBRERO 2026'!Z27="POR RECOGER"),"FEB","")</f>
        <v/>
      </c>
      <c r="B128" s="381">
        <f>IF(AND('FEBRERO 2026'!D27&lt;&gt;"",'FEBRERO 2026'!Z27="POR RECOGER"),IF('FEBRERO 2026'!Y27&lt;&gt;"",'FEBRERO 2026'!Y27,'FEBRERO 2026'!I27),"")</f>
        <v/>
      </c>
      <c r="C128" s="381">
        <f>IF(AND('FEBRERO 2026'!D27&lt;&gt;"",'FEBRERO 2026'!Z27="POR RECOGER"),'FEBRERO 2026'!D27,"")</f>
        <v/>
      </c>
      <c r="D128" s="381">
        <f>IF(AND('FEBRERO 2026'!D27&lt;&gt;"",'FEBRERO 2026'!Z27="POR RECOGER"),'FEBRERO 2026'!F27,"")</f>
        <v/>
      </c>
      <c r="E128" s="381">
        <f>IF(AND('FEBRERO 2026'!D27&lt;&gt;"",'FEBRERO 2026'!Z27="POR RECOGER"),TEXT('FEBRERO 2026'!G27,"DD/MM/YYYY"),"")</f>
        <v/>
      </c>
      <c r="F128" s="381">
        <f>IF(AND('FEBRERO 2026'!D27&lt;&gt;"",'FEBRERO 2026'!Z27="POR RECOGER"),'FEBRERO 2026'!K27,"")</f>
        <v/>
      </c>
      <c r="G128" s="382">
        <f>IF(AND('FEBRERO 2026'!D27&lt;&gt;"",'FEBRERO 2026'!Z27="POR RECOGER"),'FEBRERO 2026'!M27,"")</f>
        <v/>
      </c>
      <c r="H128" s="382">
        <f>IF(AND('FEBRERO 2026'!D27&lt;&gt;"",'FEBRERO 2026'!Z27="POR RECOGER"),'FEBRERO 2026'!N27,"")</f>
        <v/>
      </c>
      <c r="I128" s="381">
        <f>IF(AND('FEBRERO 2026'!D27&lt;&gt;"",'FEBRERO 2026'!Z27="POR RECOGER"),'FEBRERO 2026'!P27,"")</f>
        <v/>
      </c>
      <c r="J128" s="381">
        <f>IF(AND('FEBRERO 2026'!D27&lt;&gt;"",'FEBRERO 2026'!Z27="POR RECOGER"),'FEBRERO 2026'!Q27,"")</f>
        <v/>
      </c>
      <c r="K128" s="381">
        <f>IF(AND('FEBRERO 2026'!D27&lt;&gt;"",'FEBRERO 2026'!Z27="POR RECOGER"),'FEBRERO 2026'!Y27,"")</f>
        <v/>
      </c>
      <c r="L128" s="381">
        <f>IF(AND('FEBRERO 2026'!D27&lt;&gt;"",'FEBRERO 2026'!Z27="POR RECOGER"),'FEBRERO 2026'!I27,"")</f>
        <v/>
      </c>
      <c r="P128" s="194" t="n"/>
      <c r="Q128" s="194" t="n"/>
      <c r="R128" s="194" t="n"/>
      <c r="S128" s="194" t="n"/>
      <c r="T128" s="194" t="n"/>
      <c r="U128" s="194" t="n"/>
      <c r="V128" s="194" t="n"/>
      <c r="W128" s="194" t="n"/>
      <c r="X128" s="194" t="n"/>
      <c r="Y128" s="194" t="n"/>
      <c r="Z128" s="194" t="n"/>
    </row>
    <row r="129" ht="15" customHeight="1" s="195">
      <c r="A129" s="381">
        <f>IF(AND('FEBRERO 2026'!D28&lt;&gt;"",'FEBRERO 2026'!Z28="POR RECOGER"),"FEB","")</f>
        <v/>
      </c>
      <c r="B129" s="381">
        <f>IF(AND('FEBRERO 2026'!D28&lt;&gt;"",'FEBRERO 2026'!Z28="POR RECOGER"),IF('FEBRERO 2026'!Y28&lt;&gt;"",'FEBRERO 2026'!Y28,'FEBRERO 2026'!I28),"")</f>
        <v/>
      </c>
      <c r="C129" s="381">
        <f>IF(AND('FEBRERO 2026'!D28&lt;&gt;"",'FEBRERO 2026'!Z28="POR RECOGER"),'FEBRERO 2026'!D28,"")</f>
        <v/>
      </c>
      <c r="D129" s="381">
        <f>IF(AND('FEBRERO 2026'!D28&lt;&gt;"",'FEBRERO 2026'!Z28="POR RECOGER"),'FEBRERO 2026'!F28,"")</f>
        <v/>
      </c>
      <c r="E129" s="381">
        <f>IF(AND('FEBRERO 2026'!D28&lt;&gt;"",'FEBRERO 2026'!Z28="POR RECOGER"),TEXT('FEBRERO 2026'!G28,"DD/MM/YYYY"),"")</f>
        <v/>
      </c>
      <c r="F129" s="381">
        <f>IF(AND('FEBRERO 2026'!D28&lt;&gt;"",'FEBRERO 2026'!Z28="POR RECOGER"),'FEBRERO 2026'!K28,"")</f>
        <v/>
      </c>
      <c r="G129" s="382">
        <f>IF(AND('FEBRERO 2026'!D28&lt;&gt;"",'FEBRERO 2026'!Z28="POR RECOGER"),'FEBRERO 2026'!M28,"")</f>
        <v/>
      </c>
      <c r="H129" s="382">
        <f>IF(AND('FEBRERO 2026'!D28&lt;&gt;"",'FEBRERO 2026'!Z28="POR RECOGER"),'FEBRERO 2026'!N28,"")</f>
        <v/>
      </c>
      <c r="I129" s="381">
        <f>IF(AND('FEBRERO 2026'!D28&lt;&gt;"",'FEBRERO 2026'!Z28="POR RECOGER"),'FEBRERO 2026'!P28,"")</f>
        <v/>
      </c>
      <c r="J129" s="381">
        <f>IF(AND('FEBRERO 2026'!D28&lt;&gt;"",'FEBRERO 2026'!Z28="POR RECOGER"),'FEBRERO 2026'!Q28,"")</f>
        <v/>
      </c>
      <c r="K129" s="381">
        <f>IF(AND('FEBRERO 2026'!D28&lt;&gt;"",'FEBRERO 2026'!Z28="POR RECOGER"),'FEBRERO 2026'!Y28,"")</f>
        <v/>
      </c>
      <c r="L129" s="381">
        <f>IF(AND('FEBRERO 2026'!D28&lt;&gt;"",'FEBRERO 2026'!Z28="POR RECOGER"),'FEBRERO 2026'!I28,"")</f>
        <v/>
      </c>
      <c r="P129" s="194" t="n"/>
      <c r="Q129" s="194" t="n"/>
      <c r="R129" s="194" t="n"/>
      <c r="S129" s="194" t="n"/>
      <c r="T129" s="194" t="n"/>
      <c r="U129" s="194" t="n"/>
      <c r="V129" s="194" t="n"/>
      <c r="W129" s="194" t="n"/>
      <c r="X129" s="194" t="n"/>
      <c r="Y129" s="194" t="n"/>
      <c r="Z129" s="194" t="n"/>
    </row>
    <row r="130" ht="15" customHeight="1" s="195">
      <c r="A130" s="381">
        <f>IF(AND('FEBRERO 2026'!D29&lt;&gt;"",'FEBRERO 2026'!Z29="POR RECOGER"),"FEB","")</f>
        <v/>
      </c>
      <c r="B130" s="381">
        <f>IF(AND('FEBRERO 2026'!D29&lt;&gt;"",'FEBRERO 2026'!Z29="POR RECOGER"),IF('FEBRERO 2026'!Y29&lt;&gt;"",'FEBRERO 2026'!Y29,'FEBRERO 2026'!I29),"")</f>
        <v/>
      </c>
      <c r="C130" s="381">
        <f>IF(AND('FEBRERO 2026'!D29&lt;&gt;"",'FEBRERO 2026'!Z29="POR RECOGER"),'FEBRERO 2026'!D29,"")</f>
        <v/>
      </c>
      <c r="D130" s="381">
        <f>IF(AND('FEBRERO 2026'!D29&lt;&gt;"",'FEBRERO 2026'!Z29="POR RECOGER"),'FEBRERO 2026'!F29,"")</f>
        <v/>
      </c>
      <c r="E130" s="381">
        <f>IF(AND('FEBRERO 2026'!D29&lt;&gt;"",'FEBRERO 2026'!Z29="POR RECOGER"),TEXT('FEBRERO 2026'!G29,"DD/MM/YYYY"),"")</f>
        <v/>
      </c>
      <c r="F130" s="381">
        <f>IF(AND('FEBRERO 2026'!D29&lt;&gt;"",'FEBRERO 2026'!Z29="POR RECOGER"),'FEBRERO 2026'!K29,"")</f>
        <v/>
      </c>
      <c r="G130" s="382">
        <f>IF(AND('FEBRERO 2026'!D29&lt;&gt;"",'FEBRERO 2026'!Z29="POR RECOGER"),'FEBRERO 2026'!M29,"")</f>
        <v/>
      </c>
      <c r="H130" s="382">
        <f>IF(AND('FEBRERO 2026'!D29&lt;&gt;"",'FEBRERO 2026'!Z29="POR RECOGER"),'FEBRERO 2026'!N29,"")</f>
        <v/>
      </c>
      <c r="I130" s="381">
        <f>IF(AND('FEBRERO 2026'!D29&lt;&gt;"",'FEBRERO 2026'!Z29="POR RECOGER"),'FEBRERO 2026'!P29,"")</f>
        <v/>
      </c>
      <c r="J130" s="381">
        <f>IF(AND('FEBRERO 2026'!D29&lt;&gt;"",'FEBRERO 2026'!Z29="POR RECOGER"),'FEBRERO 2026'!Q29,"")</f>
        <v/>
      </c>
      <c r="K130" s="381">
        <f>IF(AND('FEBRERO 2026'!D29&lt;&gt;"",'FEBRERO 2026'!Z29="POR RECOGER"),'FEBRERO 2026'!Y29,"")</f>
        <v/>
      </c>
      <c r="L130" s="381">
        <f>IF(AND('FEBRERO 2026'!D29&lt;&gt;"",'FEBRERO 2026'!Z29="POR RECOGER"),'FEBRERO 2026'!I29,"")</f>
        <v/>
      </c>
      <c r="P130" s="194" t="n"/>
      <c r="Q130" s="194" t="n"/>
      <c r="R130" s="194" t="n"/>
      <c r="S130" s="194" t="n"/>
      <c r="T130" s="194" t="n"/>
      <c r="U130" s="194" t="n"/>
      <c r="V130" s="194" t="n"/>
      <c r="W130" s="194" t="n"/>
      <c r="X130" s="194" t="n"/>
      <c r="Y130" s="194" t="n"/>
      <c r="Z130" s="194" t="n"/>
    </row>
    <row r="131" ht="15" customHeight="1" s="195">
      <c r="A131" s="381">
        <f>IF(AND('FEBRERO 2026'!D30&lt;&gt;"",'FEBRERO 2026'!Z30="POR RECOGER"),"FEB","")</f>
        <v/>
      </c>
      <c r="B131" s="381">
        <f>IF(AND('FEBRERO 2026'!D30&lt;&gt;"",'FEBRERO 2026'!Z30="POR RECOGER"),IF('FEBRERO 2026'!Y30&lt;&gt;"",'FEBRERO 2026'!Y30,'FEBRERO 2026'!I30),"")</f>
        <v/>
      </c>
      <c r="C131" s="381">
        <f>IF(AND('FEBRERO 2026'!D30&lt;&gt;"",'FEBRERO 2026'!Z30="POR RECOGER"),'FEBRERO 2026'!D30,"")</f>
        <v/>
      </c>
      <c r="D131" s="381">
        <f>IF(AND('FEBRERO 2026'!D30&lt;&gt;"",'FEBRERO 2026'!Z30="POR RECOGER"),'FEBRERO 2026'!F30,"")</f>
        <v/>
      </c>
      <c r="E131" s="381">
        <f>IF(AND('FEBRERO 2026'!D30&lt;&gt;"",'FEBRERO 2026'!Z30="POR RECOGER"),TEXT('FEBRERO 2026'!G30,"DD/MM/YYYY"),"")</f>
        <v/>
      </c>
      <c r="F131" s="381">
        <f>IF(AND('FEBRERO 2026'!D30&lt;&gt;"",'FEBRERO 2026'!Z30="POR RECOGER"),'FEBRERO 2026'!K30,"")</f>
        <v/>
      </c>
      <c r="G131" s="382">
        <f>IF(AND('FEBRERO 2026'!D30&lt;&gt;"",'FEBRERO 2026'!Z30="POR RECOGER"),'FEBRERO 2026'!M30,"")</f>
        <v/>
      </c>
      <c r="H131" s="382">
        <f>IF(AND('FEBRERO 2026'!D30&lt;&gt;"",'FEBRERO 2026'!Z30="POR RECOGER"),'FEBRERO 2026'!N30,"")</f>
        <v/>
      </c>
      <c r="I131" s="381">
        <f>IF(AND('FEBRERO 2026'!D30&lt;&gt;"",'FEBRERO 2026'!Z30="POR RECOGER"),'FEBRERO 2026'!P30,"")</f>
        <v/>
      </c>
      <c r="J131" s="381">
        <f>IF(AND('FEBRERO 2026'!D30&lt;&gt;"",'FEBRERO 2026'!Z30="POR RECOGER"),'FEBRERO 2026'!Q30,"")</f>
        <v/>
      </c>
      <c r="K131" s="381">
        <f>IF(AND('FEBRERO 2026'!D30&lt;&gt;"",'FEBRERO 2026'!Z30="POR RECOGER"),'FEBRERO 2026'!Y30,"")</f>
        <v/>
      </c>
      <c r="L131" s="381">
        <f>IF(AND('FEBRERO 2026'!D30&lt;&gt;"",'FEBRERO 2026'!Z30="POR RECOGER"),'FEBRERO 2026'!I30,"")</f>
        <v/>
      </c>
      <c r="P131" s="194" t="n"/>
      <c r="Q131" s="194" t="n"/>
      <c r="R131" s="194" t="n"/>
      <c r="S131" s="194" t="n"/>
      <c r="T131" s="194" t="n"/>
      <c r="U131" s="194" t="n"/>
      <c r="V131" s="194" t="n"/>
      <c r="W131" s="194" t="n"/>
      <c r="X131" s="194" t="n"/>
      <c r="Y131" s="194" t="n"/>
      <c r="Z131" s="194" t="n"/>
    </row>
    <row r="132" ht="15" customHeight="1" s="195">
      <c r="A132" s="381">
        <f>IF(AND('FEBRERO 2026'!D31&lt;&gt;"",'FEBRERO 2026'!Z31="POR RECOGER"),"FEB","")</f>
        <v/>
      </c>
      <c r="B132" s="381">
        <f>IF(AND('FEBRERO 2026'!D31&lt;&gt;"",'FEBRERO 2026'!Z31="POR RECOGER"),IF('FEBRERO 2026'!Y31&lt;&gt;"",'FEBRERO 2026'!Y31,'FEBRERO 2026'!I31),"")</f>
        <v/>
      </c>
      <c r="C132" s="381">
        <f>IF(AND('FEBRERO 2026'!D31&lt;&gt;"",'FEBRERO 2026'!Z31="POR RECOGER"),'FEBRERO 2026'!D31,"")</f>
        <v/>
      </c>
      <c r="D132" s="381">
        <f>IF(AND('FEBRERO 2026'!D31&lt;&gt;"",'FEBRERO 2026'!Z31="POR RECOGER"),'FEBRERO 2026'!F31,"")</f>
        <v/>
      </c>
      <c r="E132" s="381">
        <f>IF(AND('FEBRERO 2026'!D31&lt;&gt;"",'FEBRERO 2026'!Z31="POR RECOGER"),TEXT('FEBRERO 2026'!G31,"DD/MM/YYYY"),"")</f>
        <v/>
      </c>
      <c r="F132" s="381">
        <f>IF(AND('FEBRERO 2026'!D31&lt;&gt;"",'FEBRERO 2026'!Z31="POR RECOGER"),'FEBRERO 2026'!K31,"")</f>
        <v/>
      </c>
      <c r="G132" s="382">
        <f>IF(AND('FEBRERO 2026'!D31&lt;&gt;"",'FEBRERO 2026'!Z31="POR RECOGER"),'FEBRERO 2026'!M31,"")</f>
        <v/>
      </c>
      <c r="H132" s="382">
        <f>IF(AND('FEBRERO 2026'!D31&lt;&gt;"",'FEBRERO 2026'!Z31="POR RECOGER"),'FEBRERO 2026'!N31,"")</f>
        <v/>
      </c>
      <c r="I132" s="381">
        <f>IF(AND('FEBRERO 2026'!D31&lt;&gt;"",'FEBRERO 2026'!Z31="POR RECOGER"),'FEBRERO 2026'!P31,"")</f>
        <v/>
      </c>
      <c r="J132" s="381">
        <f>IF(AND('FEBRERO 2026'!D31&lt;&gt;"",'FEBRERO 2026'!Z31="POR RECOGER"),'FEBRERO 2026'!Q31,"")</f>
        <v/>
      </c>
      <c r="K132" s="381">
        <f>IF(AND('FEBRERO 2026'!D31&lt;&gt;"",'FEBRERO 2026'!Z31="POR RECOGER"),'FEBRERO 2026'!Y31,"")</f>
        <v/>
      </c>
      <c r="L132" s="381">
        <f>IF(AND('FEBRERO 2026'!D31&lt;&gt;"",'FEBRERO 2026'!Z31="POR RECOGER"),'FEBRERO 2026'!I31,"")</f>
        <v/>
      </c>
      <c r="P132" s="194" t="n"/>
      <c r="Q132" s="194" t="n"/>
      <c r="R132" s="194" t="n"/>
      <c r="S132" s="194" t="n"/>
      <c r="T132" s="194" t="n"/>
      <c r="U132" s="194" t="n"/>
      <c r="V132" s="194" t="n"/>
      <c r="W132" s="194" t="n"/>
      <c r="X132" s="194" t="n"/>
      <c r="Y132" s="194" t="n"/>
      <c r="Z132" s="194" t="n"/>
    </row>
    <row r="133" ht="15" customHeight="1" s="195">
      <c r="A133" s="381">
        <f>IF(AND('FEBRERO 2026'!D32&lt;&gt;"",'FEBRERO 2026'!Z32="POR RECOGER"),"FEB","")</f>
        <v/>
      </c>
      <c r="B133" s="381">
        <f>IF(AND('FEBRERO 2026'!D32&lt;&gt;"",'FEBRERO 2026'!Z32="POR RECOGER"),IF('FEBRERO 2026'!Y32&lt;&gt;"",'FEBRERO 2026'!Y32,'FEBRERO 2026'!I32),"")</f>
        <v/>
      </c>
      <c r="C133" s="381">
        <f>IF(AND('FEBRERO 2026'!D32&lt;&gt;"",'FEBRERO 2026'!Z32="POR RECOGER"),'FEBRERO 2026'!D32,"")</f>
        <v/>
      </c>
      <c r="D133" s="381">
        <f>IF(AND('FEBRERO 2026'!D32&lt;&gt;"",'FEBRERO 2026'!Z32="POR RECOGER"),'FEBRERO 2026'!F32,"")</f>
        <v/>
      </c>
      <c r="E133" s="381">
        <f>IF(AND('FEBRERO 2026'!D32&lt;&gt;"",'FEBRERO 2026'!Z32="POR RECOGER"),TEXT('FEBRERO 2026'!G32,"DD/MM/YYYY"),"")</f>
        <v/>
      </c>
      <c r="F133" s="381">
        <f>IF(AND('FEBRERO 2026'!D32&lt;&gt;"",'FEBRERO 2026'!Z32="POR RECOGER"),'FEBRERO 2026'!K32,"")</f>
        <v/>
      </c>
      <c r="G133" s="382">
        <f>IF(AND('FEBRERO 2026'!D32&lt;&gt;"",'FEBRERO 2026'!Z32="POR RECOGER"),'FEBRERO 2026'!M32,"")</f>
        <v/>
      </c>
      <c r="H133" s="382">
        <f>IF(AND('FEBRERO 2026'!D32&lt;&gt;"",'FEBRERO 2026'!Z32="POR RECOGER"),'FEBRERO 2026'!N32,"")</f>
        <v/>
      </c>
      <c r="I133" s="381">
        <f>IF(AND('FEBRERO 2026'!D32&lt;&gt;"",'FEBRERO 2026'!Z32="POR RECOGER"),'FEBRERO 2026'!P32,"")</f>
        <v/>
      </c>
      <c r="J133" s="381">
        <f>IF(AND('FEBRERO 2026'!D32&lt;&gt;"",'FEBRERO 2026'!Z32="POR RECOGER"),'FEBRERO 2026'!Q32,"")</f>
        <v/>
      </c>
      <c r="K133" s="381">
        <f>IF(AND('FEBRERO 2026'!D32&lt;&gt;"",'FEBRERO 2026'!Z32="POR RECOGER"),'FEBRERO 2026'!Y32,"")</f>
        <v/>
      </c>
      <c r="L133" s="381">
        <f>IF(AND('FEBRERO 2026'!D32&lt;&gt;"",'FEBRERO 2026'!Z32="POR RECOGER"),'FEBRERO 2026'!I32,"")</f>
        <v/>
      </c>
      <c r="P133" s="194" t="n"/>
      <c r="Q133" s="194" t="n"/>
      <c r="R133" s="194" t="n"/>
      <c r="S133" s="194" t="n"/>
      <c r="T133" s="194" t="n"/>
      <c r="U133" s="194" t="n"/>
      <c r="V133" s="194" t="n"/>
      <c r="W133" s="194" t="n"/>
      <c r="X133" s="194" t="n"/>
      <c r="Y133" s="194" t="n"/>
      <c r="Z133" s="194" t="n"/>
    </row>
    <row r="134" ht="15" customHeight="1" s="195">
      <c r="A134" s="381">
        <f>IF(AND('FEBRERO 2026'!D33&lt;&gt;"",'FEBRERO 2026'!Z33="POR RECOGER"),"FEB","")</f>
        <v/>
      </c>
      <c r="B134" s="381">
        <f>IF(AND('FEBRERO 2026'!D33&lt;&gt;"",'FEBRERO 2026'!Z33="POR RECOGER"),IF('FEBRERO 2026'!Y33&lt;&gt;"",'FEBRERO 2026'!Y33,'FEBRERO 2026'!I33),"")</f>
        <v/>
      </c>
      <c r="C134" s="381">
        <f>IF(AND('FEBRERO 2026'!D33&lt;&gt;"",'FEBRERO 2026'!Z33="POR RECOGER"),'FEBRERO 2026'!D33,"")</f>
        <v/>
      </c>
      <c r="D134" s="381">
        <f>IF(AND('FEBRERO 2026'!D33&lt;&gt;"",'FEBRERO 2026'!Z33="POR RECOGER"),'FEBRERO 2026'!F33,"")</f>
        <v/>
      </c>
      <c r="E134" s="381">
        <f>IF(AND('FEBRERO 2026'!D33&lt;&gt;"",'FEBRERO 2026'!Z33="POR RECOGER"),TEXT('FEBRERO 2026'!G33,"DD/MM/YYYY"),"")</f>
        <v/>
      </c>
      <c r="F134" s="381">
        <f>IF(AND('FEBRERO 2026'!D33&lt;&gt;"",'FEBRERO 2026'!Z33="POR RECOGER"),'FEBRERO 2026'!K33,"")</f>
        <v/>
      </c>
      <c r="G134" s="382">
        <f>IF(AND('FEBRERO 2026'!D33&lt;&gt;"",'FEBRERO 2026'!Z33="POR RECOGER"),'FEBRERO 2026'!M33,"")</f>
        <v/>
      </c>
      <c r="H134" s="382">
        <f>IF(AND('FEBRERO 2026'!D33&lt;&gt;"",'FEBRERO 2026'!Z33="POR RECOGER"),'FEBRERO 2026'!N33,"")</f>
        <v/>
      </c>
      <c r="I134" s="381">
        <f>IF(AND('FEBRERO 2026'!D33&lt;&gt;"",'FEBRERO 2026'!Z33="POR RECOGER"),'FEBRERO 2026'!P33,"")</f>
        <v/>
      </c>
      <c r="J134" s="381">
        <f>IF(AND('FEBRERO 2026'!D33&lt;&gt;"",'FEBRERO 2026'!Z33="POR RECOGER"),'FEBRERO 2026'!Q33,"")</f>
        <v/>
      </c>
      <c r="K134" s="381">
        <f>IF(AND('FEBRERO 2026'!D33&lt;&gt;"",'FEBRERO 2026'!Z33="POR RECOGER"),'FEBRERO 2026'!Y33,"")</f>
        <v/>
      </c>
      <c r="L134" s="381">
        <f>IF(AND('FEBRERO 2026'!D33&lt;&gt;"",'FEBRERO 2026'!Z33="POR RECOGER"),'FEBRERO 2026'!I33,"")</f>
        <v/>
      </c>
      <c r="P134" s="194" t="n"/>
      <c r="Q134" s="194" t="n"/>
      <c r="R134" s="194" t="n"/>
      <c r="S134" s="194" t="n"/>
      <c r="T134" s="194" t="n"/>
      <c r="U134" s="194" t="n"/>
      <c r="V134" s="194" t="n"/>
      <c r="W134" s="194" t="n"/>
      <c r="X134" s="194" t="n"/>
      <c r="Y134" s="194" t="n"/>
      <c r="Z134" s="194" t="n"/>
    </row>
    <row r="135" ht="15" customHeight="1" s="195">
      <c r="A135" s="381">
        <f>IF(AND('FEBRERO 2026'!D34&lt;&gt;"",'FEBRERO 2026'!Z34="POR RECOGER"),"FEB","")</f>
        <v/>
      </c>
      <c r="B135" s="381">
        <f>IF(AND('FEBRERO 2026'!D34&lt;&gt;"",'FEBRERO 2026'!Z34="POR RECOGER"),IF('FEBRERO 2026'!Y34&lt;&gt;"",'FEBRERO 2026'!Y34,'FEBRERO 2026'!I34),"")</f>
        <v/>
      </c>
      <c r="C135" s="381">
        <f>IF(AND('FEBRERO 2026'!D34&lt;&gt;"",'FEBRERO 2026'!Z34="POR RECOGER"),'FEBRERO 2026'!D34,"")</f>
        <v/>
      </c>
      <c r="D135" s="381">
        <f>IF(AND('FEBRERO 2026'!D34&lt;&gt;"",'FEBRERO 2026'!Z34="POR RECOGER"),'FEBRERO 2026'!F34,"")</f>
        <v/>
      </c>
      <c r="E135" s="381">
        <f>IF(AND('FEBRERO 2026'!D34&lt;&gt;"",'FEBRERO 2026'!Z34="POR RECOGER"),TEXT('FEBRERO 2026'!G34,"DD/MM/YYYY"),"")</f>
        <v/>
      </c>
      <c r="F135" s="381">
        <f>IF(AND('FEBRERO 2026'!D34&lt;&gt;"",'FEBRERO 2026'!Z34="POR RECOGER"),'FEBRERO 2026'!K34,"")</f>
        <v/>
      </c>
      <c r="G135" s="382">
        <f>IF(AND('FEBRERO 2026'!D34&lt;&gt;"",'FEBRERO 2026'!Z34="POR RECOGER"),'FEBRERO 2026'!M34,"")</f>
        <v/>
      </c>
      <c r="H135" s="382">
        <f>IF(AND('FEBRERO 2026'!D34&lt;&gt;"",'FEBRERO 2026'!Z34="POR RECOGER"),'FEBRERO 2026'!N34,"")</f>
        <v/>
      </c>
      <c r="I135" s="381">
        <f>IF(AND('FEBRERO 2026'!D34&lt;&gt;"",'FEBRERO 2026'!Z34="POR RECOGER"),'FEBRERO 2026'!P34,"")</f>
        <v/>
      </c>
      <c r="J135" s="381">
        <f>IF(AND('FEBRERO 2026'!D34&lt;&gt;"",'FEBRERO 2026'!Z34="POR RECOGER"),'FEBRERO 2026'!Q34,"")</f>
        <v/>
      </c>
      <c r="K135" s="381">
        <f>IF(AND('FEBRERO 2026'!D34&lt;&gt;"",'FEBRERO 2026'!Z34="POR RECOGER"),'FEBRERO 2026'!Y34,"")</f>
        <v/>
      </c>
      <c r="L135" s="381">
        <f>IF(AND('FEBRERO 2026'!D34&lt;&gt;"",'FEBRERO 2026'!Z34="POR RECOGER"),'FEBRERO 2026'!I34,"")</f>
        <v/>
      </c>
      <c r="P135" s="194" t="n"/>
      <c r="Q135" s="194" t="n"/>
      <c r="R135" s="194" t="n"/>
      <c r="S135" s="194" t="n"/>
      <c r="T135" s="194" t="n"/>
      <c r="U135" s="194" t="n"/>
      <c r="V135" s="194" t="n"/>
      <c r="W135" s="194" t="n"/>
      <c r="X135" s="194" t="n"/>
      <c r="Y135" s="194" t="n"/>
      <c r="Z135" s="194" t="n"/>
    </row>
    <row r="136" ht="15" customHeight="1" s="195">
      <c r="A136" s="381">
        <f>IF(AND('FEBRERO 2026'!D35&lt;&gt;"",'FEBRERO 2026'!Z35="POR RECOGER"),"FEB","")</f>
        <v/>
      </c>
      <c r="B136" s="381">
        <f>IF(AND('FEBRERO 2026'!D35&lt;&gt;"",'FEBRERO 2026'!Z35="POR RECOGER"),IF('FEBRERO 2026'!Y35&lt;&gt;"",'FEBRERO 2026'!Y35,'FEBRERO 2026'!I35),"")</f>
        <v/>
      </c>
      <c r="C136" s="381">
        <f>IF(AND('FEBRERO 2026'!D35&lt;&gt;"",'FEBRERO 2026'!Z35="POR RECOGER"),'FEBRERO 2026'!D35,"")</f>
        <v/>
      </c>
      <c r="D136" s="381">
        <f>IF(AND('FEBRERO 2026'!D35&lt;&gt;"",'FEBRERO 2026'!Z35="POR RECOGER"),'FEBRERO 2026'!F35,"")</f>
        <v/>
      </c>
      <c r="E136" s="381">
        <f>IF(AND('FEBRERO 2026'!D35&lt;&gt;"",'FEBRERO 2026'!Z35="POR RECOGER"),TEXT('FEBRERO 2026'!G35,"DD/MM/YYYY"),"")</f>
        <v/>
      </c>
      <c r="F136" s="381">
        <f>IF(AND('FEBRERO 2026'!D35&lt;&gt;"",'FEBRERO 2026'!Z35="POR RECOGER"),'FEBRERO 2026'!K35,"")</f>
        <v/>
      </c>
      <c r="G136" s="382">
        <f>IF(AND('FEBRERO 2026'!D35&lt;&gt;"",'FEBRERO 2026'!Z35="POR RECOGER"),'FEBRERO 2026'!M35,"")</f>
        <v/>
      </c>
      <c r="H136" s="382">
        <f>IF(AND('FEBRERO 2026'!D35&lt;&gt;"",'FEBRERO 2026'!Z35="POR RECOGER"),'FEBRERO 2026'!N35,"")</f>
        <v/>
      </c>
      <c r="I136" s="381">
        <f>IF(AND('FEBRERO 2026'!D35&lt;&gt;"",'FEBRERO 2026'!Z35="POR RECOGER"),'FEBRERO 2026'!P35,"")</f>
        <v/>
      </c>
      <c r="J136" s="381">
        <f>IF(AND('FEBRERO 2026'!D35&lt;&gt;"",'FEBRERO 2026'!Z35="POR RECOGER"),'FEBRERO 2026'!Q35,"")</f>
        <v/>
      </c>
      <c r="K136" s="381">
        <f>IF(AND('FEBRERO 2026'!D35&lt;&gt;"",'FEBRERO 2026'!Z35="POR RECOGER"),'FEBRERO 2026'!Y35,"")</f>
        <v/>
      </c>
      <c r="L136" s="381">
        <f>IF(AND('FEBRERO 2026'!D35&lt;&gt;"",'FEBRERO 2026'!Z35="POR RECOGER"),'FEBRERO 2026'!I35,"")</f>
        <v/>
      </c>
      <c r="P136" s="194" t="n"/>
      <c r="Q136" s="194" t="n"/>
      <c r="R136" s="194" t="n"/>
      <c r="S136" s="194" t="n"/>
      <c r="T136" s="194" t="n"/>
      <c r="U136" s="194" t="n"/>
      <c r="V136" s="194" t="n"/>
      <c r="W136" s="194" t="n"/>
      <c r="X136" s="194" t="n"/>
      <c r="Y136" s="194" t="n"/>
      <c r="Z136" s="194" t="n"/>
    </row>
    <row r="137" ht="15" customHeight="1" s="195">
      <c r="A137" s="381">
        <f>IF(AND('FEBRERO 2026'!D36&lt;&gt;"",'FEBRERO 2026'!Z36="POR RECOGER"),"FEB","")</f>
        <v/>
      </c>
      <c r="B137" s="381">
        <f>IF(AND('FEBRERO 2026'!D36&lt;&gt;"",'FEBRERO 2026'!Z36="POR RECOGER"),IF('FEBRERO 2026'!Y36&lt;&gt;"",'FEBRERO 2026'!Y36,'FEBRERO 2026'!I36),"")</f>
        <v/>
      </c>
      <c r="C137" s="381">
        <f>IF(AND('FEBRERO 2026'!D36&lt;&gt;"",'FEBRERO 2026'!Z36="POR RECOGER"),'FEBRERO 2026'!D36,"")</f>
        <v/>
      </c>
      <c r="D137" s="381">
        <f>IF(AND('FEBRERO 2026'!D36&lt;&gt;"",'FEBRERO 2026'!Z36="POR RECOGER"),'FEBRERO 2026'!F36,"")</f>
        <v/>
      </c>
      <c r="E137" s="381">
        <f>IF(AND('FEBRERO 2026'!D36&lt;&gt;"",'FEBRERO 2026'!Z36="POR RECOGER"),TEXT('FEBRERO 2026'!G36,"DD/MM/YYYY"),"")</f>
        <v/>
      </c>
      <c r="F137" s="381">
        <f>IF(AND('FEBRERO 2026'!D36&lt;&gt;"",'FEBRERO 2026'!Z36="POR RECOGER"),'FEBRERO 2026'!K36,"")</f>
        <v/>
      </c>
      <c r="G137" s="382">
        <f>IF(AND('FEBRERO 2026'!D36&lt;&gt;"",'FEBRERO 2026'!Z36="POR RECOGER"),'FEBRERO 2026'!M36,"")</f>
        <v/>
      </c>
      <c r="H137" s="382">
        <f>IF(AND('FEBRERO 2026'!D36&lt;&gt;"",'FEBRERO 2026'!Z36="POR RECOGER"),'FEBRERO 2026'!N36,"")</f>
        <v/>
      </c>
      <c r="I137" s="381">
        <f>IF(AND('FEBRERO 2026'!D36&lt;&gt;"",'FEBRERO 2026'!Z36="POR RECOGER"),'FEBRERO 2026'!P36,"")</f>
        <v/>
      </c>
      <c r="J137" s="381">
        <f>IF(AND('FEBRERO 2026'!D36&lt;&gt;"",'FEBRERO 2026'!Z36="POR RECOGER"),'FEBRERO 2026'!Q36,"")</f>
        <v/>
      </c>
      <c r="K137" s="381">
        <f>IF(AND('FEBRERO 2026'!D36&lt;&gt;"",'FEBRERO 2026'!Z36="POR RECOGER"),'FEBRERO 2026'!Y36,"")</f>
        <v/>
      </c>
      <c r="L137" s="381">
        <f>IF(AND('FEBRERO 2026'!D36&lt;&gt;"",'FEBRERO 2026'!Z36="POR RECOGER"),'FEBRERO 2026'!I36,"")</f>
        <v/>
      </c>
      <c r="P137" s="194" t="n"/>
      <c r="Q137" s="194" t="n"/>
      <c r="R137" s="194" t="n"/>
      <c r="S137" s="194" t="n"/>
      <c r="T137" s="194" t="n"/>
      <c r="U137" s="194" t="n"/>
      <c r="V137" s="194" t="n"/>
      <c r="W137" s="194" t="n"/>
      <c r="X137" s="194" t="n"/>
      <c r="Y137" s="194" t="n"/>
      <c r="Z137" s="194" t="n"/>
    </row>
    <row r="138" ht="15" customHeight="1" s="195">
      <c r="A138" s="381">
        <f>IF(AND('FEBRERO 2026'!D37&lt;&gt;"",'FEBRERO 2026'!Z37="POR RECOGER"),"FEB","")</f>
        <v/>
      </c>
      <c r="B138" s="381">
        <f>IF(AND('FEBRERO 2026'!D37&lt;&gt;"",'FEBRERO 2026'!Z37="POR RECOGER"),IF('FEBRERO 2026'!Y37&lt;&gt;"",'FEBRERO 2026'!Y37,'FEBRERO 2026'!I37),"")</f>
        <v/>
      </c>
      <c r="C138" s="381">
        <f>IF(AND('FEBRERO 2026'!D37&lt;&gt;"",'FEBRERO 2026'!Z37="POR RECOGER"),'FEBRERO 2026'!D37,"")</f>
        <v/>
      </c>
      <c r="D138" s="381">
        <f>IF(AND('FEBRERO 2026'!D37&lt;&gt;"",'FEBRERO 2026'!Z37="POR RECOGER"),'FEBRERO 2026'!F37,"")</f>
        <v/>
      </c>
      <c r="E138" s="381">
        <f>IF(AND('FEBRERO 2026'!D37&lt;&gt;"",'FEBRERO 2026'!Z37="POR RECOGER"),TEXT('FEBRERO 2026'!G37,"DD/MM/YYYY"),"")</f>
        <v/>
      </c>
      <c r="F138" s="381">
        <f>IF(AND('FEBRERO 2026'!D37&lt;&gt;"",'FEBRERO 2026'!Z37="POR RECOGER"),'FEBRERO 2026'!K37,"")</f>
        <v/>
      </c>
      <c r="G138" s="382">
        <f>IF(AND('FEBRERO 2026'!D37&lt;&gt;"",'FEBRERO 2026'!Z37="POR RECOGER"),'FEBRERO 2026'!M37,"")</f>
        <v/>
      </c>
      <c r="H138" s="382">
        <f>IF(AND('FEBRERO 2026'!D37&lt;&gt;"",'FEBRERO 2026'!Z37="POR RECOGER"),'FEBRERO 2026'!N37,"")</f>
        <v/>
      </c>
      <c r="I138" s="381">
        <f>IF(AND('FEBRERO 2026'!D37&lt;&gt;"",'FEBRERO 2026'!Z37="POR RECOGER"),'FEBRERO 2026'!P37,"")</f>
        <v/>
      </c>
      <c r="J138" s="381">
        <f>IF(AND('FEBRERO 2026'!D37&lt;&gt;"",'FEBRERO 2026'!Z37="POR RECOGER"),'FEBRERO 2026'!Q37,"")</f>
        <v/>
      </c>
      <c r="K138" s="381">
        <f>IF(AND('FEBRERO 2026'!D37&lt;&gt;"",'FEBRERO 2026'!Z37="POR RECOGER"),'FEBRERO 2026'!Y37,"")</f>
        <v/>
      </c>
      <c r="L138" s="381">
        <f>IF(AND('FEBRERO 2026'!D37&lt;&gt;"",'FEBRERO 2026'!Z37="POR RECOGER"),'FEBRERO 2026'!I37,"")</f>
        <v/>
      </c>
      <c r="P138" s="194" t="n"/>
      <c r="Q138" s="194" t="n"/>
      <c r="R138" s="194" t="n"/>
      <c r="S138" s="194" t="n"/>
      <c r="T138" s="194" t="n"/>
      <c r="U138" s="194" t="n"/>
      <c r="V138" s="194" t="n"/>
      <c r="W138" s="194" t="n"/>
      <c r="X138" s="194" t="n"/>
      <c r="Y138" s="194" t="n"/>
      <c r="Z138" s="194" t="n"/>
    </row>
    <row r="139" ht="15" customHeight="1" s="195">
      <c r="A139" s="381">
        <f>IF(AND('FEBRERO 2026'!D38&lt;&gt;"",'FEBRERO 2026'!Z38="POR RECOGER"),"FEB","")</f>
        <v/>
      </c>
      <c r="B139" s="381">
        <f>IF(AND('FEBRERO 2026'!D38&lt;&gt;"",'FEBRERO 2026'!Z38="POR RECOGER"),IF('FEBRERO 2026'!Y38&lt;&gt;"",'FEBRERO 2026'!Y38,'FEBRERO 2026'!I38),"")</f>
        <v/>
      </c>
      <c r="C139" s="381">
        <f>IF(AND('FEBRERO 2026'!D38&lt;&gt;"",'FEBRERO 2026'!Z38="POR RECOGER"),'FEBRERO 2026'!D38,"")</f>
        <v/>
      </c>
      <c r="D139" s="381">
        <f>IF(AND('FEBRERO 2026'!D38&lt;&gt;"",'FEBRERO 2026'!Z38="POR RECOGER"),'FEBRERO 2026'!F38,"")</f>
        <v/>
      </c>
      <c r="E139" s="381">
        <f>IF(AND('FEBRERO 2026'!D38&lt;&gt;"",'FEBRERO 2026'!Z38="POR RECOGER"),TEXT('FEBRERO 2026'!G38,"DD/MM/YYYY"),"")</f>
        <v/>
      </c>
      <c r="F139" s="381">
        <f>IF(AND('FEBRERO 2026'!D38&lt;&gt;"",'FEBRERO 2026'!Z38="POR RECOGER"),'FEBRERO 2026'!K38,"")</f>
        <v/>
      </c>
      <c r="G139" s="382">
        <f>IF(AND('FEBRERO 2026'!D38&lt;&gt;"",'FEBRERO 2026'!Z38="POR RECOGER"),'FEBRERO 2026'!M38,"")</f>
        <v/>
      </c>
      <c r="H139" s="382">
        <f>IF(AND('FEBRERO 2026'!D38&lt;&gt;"",'FEBRERO 2026'!Z38="POR RECOGER"),'FEBRERO 2026'!N38,"")</f>
        <v/>
      </c>
      <c r="I139" s="381">
        <f>IF(AND('FEBRERO 2026'!D38&lt;&gt;"",'FEBRERO 2026'!Z38="POR RECOGER"),'FEBRERO 2026'!P38,"")</f>
        <v/>
      </c>
      <c r="J139" s="381">
        <f>IF(AND('FEBRERO 2026'!D38&lt;&gt;"",'FEBRERO 2026'!Z38="POR RECOGER"),'FEBRERO 2026'!Q38,"")</f>
        <v/>
      </c>
      <c r="K139" s="381">
        <f>IF(AND('FEBRERO 2026'!D38&lt;&gt;"",'FEBRERO 2026'!Z38="POR RECOGER"),'FEBRERO 2026'!Y38,"")</f>
        <v/>
      </c>
      <c r="L139" s="381">
        <f>IF(AND('FEBRERO 2026'!D38&lt;&gt;"",'FEBRERO 2026'!Z38="POR RECOGER"),'FEBRERO 2026'!I38,"")</f>
        <v/>
      </c>
      <c r="P139" s="194" t="n"/>
      <c r="Q139" s="194" t="n"/>
      <c r="R139" s="194" t="n"/>
      <c r="S139" s="194" t="n"/>
      <c r="T139" s="194" t="n"/>
      <c r="U139" s="194" t="n"/>
      <c r="V139" s="194" t="n"/>
      <c r="W139" s="194" t="n"/>
      <c r="X139" s="194" t="n"/>
      <c r="Y139" s="194" t="n"/>
      <c r="Z139" s="194" t="n"/>
    </row>
    <row r="140" ht="15" customHeight="1" s="195">
      <c r="A140" s="381">
        <f>IF(AND('FEBRERO 2026'!D39&lt;&gt;"",'FEBRERO 2026'!Z39="POR RECOGER"),"FEB","")</f>
        <v/>
      </c>
      <c r="B140" s="381">
        <f>IF(AND('FEBRERO 2026'!D39&lt;&gt;"",'FEBRERO 2026'!Z39="POR RECOGER"),IF('FEBRERO 2026'!Y39&lt;&gt;"",'FEBRERO 2026'!Y39,'FEBRERO 2026'!I39),"")</f>
        <v/>
      </c>
      <c r="C140" s="381">
        <f>IF(AND('FEBRERO 2026'!D39&lt;&gt;"",'FEBRERO 2026'!Z39="POR RECOGER"),'FEBRERO 2026'!D39,"")</f>
        <v/>
      </c>
      <c r="D140" s="381">
        <f>IF(AND('FEBRERO 2026'!D39&lt;&gt;"",'FEBRERO 2026'!Z39="POR RECOGER"),'FEBRERO 2026'!F39,"")</f>
        <v/>
      </c>
      <c r="E140" s="381">
        <f>IF(AND('FEBRERO 2026'!D39&lt;&gt;"",'FEBRERO 2026'!Z39="POR RECOGER"),TEXT('FEBRERO 2026'!G39,"DD/MM/YYYY"),"")</f>
        <v/>
      </c>
      <c r="F140" s="381">
        <f>IF(AND('FEBRERO 2026'!D39&lt;&gt;"",'FEBRERO 2026'!Z39="POR RECOGER"),'FEBRERO 2026'!K39,"")</f>
        <v/>
      </c>
      <c r="G140" s="382">
        <f>IF(AND('FEBRERO 2026'!D39&lt;&gt;"",'FEBRERO 2026'!Z39="POR RECOGER"),'FEBRERO 2026'!M39,"")</f>
        <v/>
      </c>
      <c r="H140" s="382">
        <f>IF(AND('FEBRERO 2026'!D39&lt;&gt;"",'FEBRERO 2026'!Z39="POR RECOGER"),'FEBRERO 2026'!N39,"")</f>
        <v/>
      </c>
      <c r="I140" s="381">
        <f>IF(AND('FEBRERO 2026'!D39&lt;&gt;"",'FEBRERO 2026'!Z39="POR RECOGER"),'FEBRERO 2026'!P39,"")</f>
        <v/>
      </c>
      <c r="J140" s="381">
        <f>IF(AND('FEBRERO 2026'!D39&lt;&gt;"",'FEBRERO 2026'!Z39="POR RECOGER"),'FEBRERO 2026'!Q39,"")</f>
        <v/>
      </c>
      <c r="K140" s="381">
        <f>IF(AND('FEBRERO 2026'!D39&lt;&gt;"",'FEBRERO 2026'!Z39="POR RECOGER"),'FEBRERO 2026'!Y39,"")</f>
        <v/>
      </c>
      <c r="L140" s="381">
        <f>IF(AND('FEBRERO 2026'!D39&lt;&gt;"",'FEBRERO 2026'!Z39="POR RECOGER"),'FEBRERO 2026'!I39,"")</f>
        <v/>
      </c>
      <c r="P140" s="194" t="n"/>
      <c r="Q140" s="194" t="n"/>
      <c r="R140" s="194" t="n"/>
      <c r="S140" s="194" t="n"/>
      <c r="T140" s="194" t="n"/>
      <c r="U140" s="194" t="n"/>
      <c r="V140" s="194" t="n"/>
      <c r="W140" s="194" t="n"/>
      <c r="X140" s="194" t="n"/>
      <c r="Y140" s="194" t="n"/>
      <c r="Z140" s="194" t="n"/>
    </row>
    <row r="141" ht="15" customHeight="1" s="195">
      <c r="A141" s="381">
        <f>IF(AND('FEBRERO 2026'!D40&lt;&gt;"",'FEBRERO 2026'!Z40="POR RECOGER"),"FEB","")</f>
        <v/>
      </c>
      <c r="B141" s="381">
        <f>IF(AND('FEBRERO 2026'!D40&lt;&gt;"",'FEBRERO 2026'!Z40="POR RECOGER"),IF('FEBRERO 2026'!Y40&lt;&gt;"",'FEBRERO 2026'!Y40,'FEBRERO 2026'!I40),"")</f>
        <v/>
      </c>
      <c r="C141" s="381">
        <f>IF(AND('FEBRERO 2026'!D40&lt;&gt;"",'FEBRERO 2026'!Z40="POR RECOGER"),'FEBRERO 2026'!D40,"")</f>
        <v/>
      </c>
      <c r="D141" s="381">
        <f>IF(AND('FEBRERO 2026'!D40&lt;&gt;"",'FEBRERO 2026'!Z40="POR RECOGER"),'FEBRERO 2026'!F40,"")</f>
        <v/>
      </c>
      <c r="E141" s="381">
        <f>IF(AND('FEBRERO 2026'!D40&lt;&gt;"",'FEBRERO 2026'!Z40="POR RECOGER"),TEXT('FEBRERO 2026'!G40,"DD/MM/YYYY"),"")</f>
        <v/>
      </c>
      <c r="F141" s="381">
        <f>IF(AND('FEBRERO 2026'!D40&lt;&gt;"",'FEBRERO 2026'!Z40="POR RECOGER"),'FEBRERO 2026'!K40,"")</f>
        <v/>
      </c>
      <c r="G141" s="382">
        <f>IF(AND('FEBRERO 2026'!D40&lt;&gt;"",'FEBRERO 2026'!Z40="POR RECOGER"),'FEBRERO 2026'!M40,"")</f>
        <v/>
      </c>
      <c r="H141" s="382">
        <f>IF(AND('FEBRERO 2026'!D40&lt;&gt;"",'FEBRERO 2026'!Z40="POR RECOGER"),'FEBRERO 2026'!N40,"")</f>
        <v/>
      </c>
      <c r="I141" s="381">
        <f>IF(AND('FEBRERO 2026'!D40&lt;&gt;"",'FEBRERO 2026'!Z40="POR RECOGER"),'FEBRERO 2026'!P40,"")</f>
        <v/>
      </c>
      <c r="J141" s="381">
        <f>IF(AND('FEBRERO 2026'!D40&lt;&gt;"",'FEBRERO 2026'!Z40="POR RECOGER"),'FEBRERO 2026'!Q40,"")</f>
        <v/>
      </c>
      <c r="K141" s="381">
        <f>IF(AND('FEBRERO 2026'!D40&lt;&gt;"",'FEBRERO 2026'!Z40="POR RECOGER"),'FEBRERO 2026'!Y40,"")</f>
        <v/>
      </c>
      <c r="L141" s="381">
        <f>IF(AND('FEBRERO 2026'!D40&lt;&gt;"",'FEBRERO 2026'!Z40="POR RECOGER"),'FEBRERO 2026'!I40,"")</f>
        <v/>
      </c>
      <c r="P141" s="194" t="n"/>
      <c r="Q141" s="194" t="n"/>
      <c r="R141" s="194" t="n"/>
      <c r="S141" s="194" t="n"/>
      <c r="T141" s="194" t="n"/>
      <c r="U141" s="194" t="n"/>
      <c r="V141" s="194" t="n"/>
      <c r="W141" s="194" t="n"/>
      <c r="X141" s="194" t="n"/>
      <c r="Y141" s="194" t="n"/>
      <c r="Z141" s="194" t="n"/>
    </row>
    <row r="142" ht="15" customHeight="1" s="195">
      <c r="A142" s="381">
        <f>IF(AND('FEBRERO 2026'!D41&lt;&gt;"",'FEBRERO 2026'!Z41="POR RECOGER"),"FEB","")</f>
        <v/>
      </c>
      <c r="B142" s="381">
        <f>IF(AND('FEBRERO 2026'!D41&lt;&gt;"",'FEBRERO 2026'!Z41="POR RECOGER"),IF('FEBRERO 2026'!Y41&lt;&gt;"",'FEBRERO 2026'!Y41,'FEBRERO 2026'!I41),"")</f>
        <v/>
      </c>
      <c r="C142" s="381">
        <f>IF(AND('FEBRERO 2026'!D41&lt;&gt;"",'FEBRERO 2026'!Z41="POR RECOGER"),'FEBRERO 2026'!D41,"")</f>
        <v/>
      </c>
      <c r="D142" s="381">
        <f>IF(AND('FEBRERO 2026'!D41&lt;&gt;"",'FEBRERO 2026'!Z41="POR RECOGER"),'FEBRERO 2026'!F41,"")</f>
        <v/>
      </c>
      <c r="E142" s="381">
        <f>IF(AND('FEBRERO 2026'!D41&lt;&gt;"",'FEBRERO 2026'!Z41="POR RECOGER"),TEXT('FEBRERO 2026'!G41,"DD/MM/YYYY"),"")</f>
        <v/>
      </c>
      <c r="F142" s="381">
        <f>IF(AND('FEBRERO 2026'!D41&lt;&gt;"",'FEBRERO 2026'!Z41="POR RECOGER"),'FEBRERO 2026'!K41,"")</f>
        <v/>
      </c>
      <c r="G142" s="382">
        <f>IF(AND('FEBRERO 2026'!D41&lt;&gt;"",'FEBRERO 2026'!Z41="POR RECOGER"),'FEBRERO 2026'!M41,"")</f>
        <v/>
      </c>
      <c r="H142" s="382">
        <f>IF(AND('FEBRERO 2026'!D41&lt;&gt;"",'FEBRERO 2026'!Z41="POR RECOGER"),'FEBRERO 2026'!N41,"")</f>
        <v/>
      </c>
      <c r="I142" s="381">
        <f>IF(AND('FEBRERO 2026'!D41&lt;&gt;"",'FEBRERO 2026'!Z41="POR RECOGER"),'FEBRERO 2026'!P41,"")</f>
        <v/>
      </c>
      <c r="J142" s="381">
        <f>IF(AND('FEBRERO 2026'!D41&lt;&gt;"",'FEBRERO 2026'!Z41="POR RECOGER"),'FEBRERO 2026'!Q41,"")</f>
        <v/>
      </c>
      <c r="K142" s="381">
        <f>IF(AND('FEBRERO 2026'!D41&lt;&gt;"",'FEBRERO 2026'!Z41="POR RECOGER"),'FEBRERO 2026'!Y41,"")</f>
        <v/>
      </c>
      <c r="L142" s="381">
        <f>IF(AND('FEBRERO 2026'!D41&lt;&gt;"",'FEBRERO 2026'!Z41="POR RECOGER"),'FEBRERO 2026'!I41,"")</f>
        <v/>
      </c>
      <c r="P142" s="194" t="n"/>
      <c r="Q142" s="194" t="n"/>
      <c r="R142" s="194" t="n"/>
      <c r="S142" s="194" t="n"/>
      <c r="T142" s="194" t="n"/>
      <c r="U142" s="194" t="n"/>
      <c r="V142" s="194" t="n"/>
      <c r="W142" s="194" t="n"/>
      <c r="X142" s="194" t="n"/>
      <c r="Y142" s="194" t="n"/>
      <c r="Z142" s="194" t="n"/>
    </row>
    <row r="143" ht="15" customHeight="1" s="195">
      <c r="A143" s="381">
        <f>IF(AND('FEBRERO 2026'!D42&lt;&gt;"",'FEBRERO 2026'!Z42="POR RECOGER"),"FEB","")</f>
        <v/>
      </c>
      <c r="B143" s="381">
        <f>IF(AND('FEBRERO 2026'!D42&lt;&gt;"",'FEBRERO 2026'!Z42="POR RECOGER"),IF('FEBRERO 2026'!Y42&lt;&gt;"",'FEBRERO 2026'!Y42,'FEBRERO 2026'!I42),"")</f>
        <v/>
      </c>
      <c r="C143" s="381">
        <f>IF(AND('FEBRERO 2026'!D42&lt;&gt;"",'FEBRERO 2026'!Z42="POR RECOGER"),'FEBRERO 2026'!D42,"")</f>
        <v/>
      </c>
      <c r="D143" s="381">
        <f>IF(AND('FEBRERO 2026'!D42&lt;&gt;"",'FEBRERO 2026'!Z42="POR RECOGER"),'FEBRERO 2026'!F42,"")</f>
        <v/>
      </c>
      <c r="E143" s="381">
        <f>IF(AND('FEBRERO 2026'!D42&lt;&gt;"",'FEBRERO 2026'!Z42="POR RECOGER"),TEXT('FEBRERO 2026'!G42,"DD/MM/YYYY"),"")</f>
        <v/>
      </c>
      <c r="F143" s="381">
        <f>IF(AND('FEBRERO 2026'!D42&lt;&gt;"",'FEBRERO 2026'!Z42="POR RECOGER"),'FEBRERO 2026'!K42,"")</f>
        <v/>
      </c>
      <c r="G143" s="382">
        <f>IF(AND('FEBRERO 2026'!D42&lt;&gt;"",'FEBRERO 2026'!Z42="POR RECOGER"),'FEBRERO 2026'!M42,"")</f>
        <v/>
      </c>
      <c r="H143" s="382">
        <f>IF(AND('FEBRERO 2026'!D42&lt;&gt;"",'FEBRERO 2026'!Z42="POR RECOGER"),'FEBRERO 2026'!N42,"")</f>
        <v/>
      </c>
      <c r="I143" s="381">
        <f>IF(AND('FEBRERO 2026'!D42&lt;&gt;"",'FEBRERO 2026'!Z42="POR RECOGER"),'FEBRERO 2026'!P42,"")</f>
        <v/>
      </c>
      <c r="J143" s="381">
        <f>IF(AND('FEBRERO 2026'!D42&lt;&gt;"",'FEBRERO 2026'!Z42="POR RECOGER"),'FEBRERO 2026'!Q42,"")</f>
        <v/>
      </c>
      <c r="K143" s="381">
        <f>IF(AND('FEBRERO 2026'!D42&lt;&gt;"",'FEBRERO 2026'!Z42="POR RECOGER"),'FEBRERO 2026'!Y42,"")</f>
        <v/>
      </c>
      <c r="L143" s="381">
        <f>IF(AND('FEBRERO 2026'!D42&lt;&gt;"",'FEBRERO 2026'!Z42="POR RECOGER"),'FEBRERO 2026'!I42,"")</f>
        <v/>
      </c>
      <c r="P143" s="194" t="n"/>
      <c r="Q143" s="194" t="n"/>
      <c r="R143" s="194" t="n"/>
      <c r="S143" s="194" t="n"/>
      <c r="T143" s="194" t="n"/>
      <c r="U143" s="194" t="n"/>
      <c r="V143" s="194" t="n"/>
      <c r="W143" s="194" t="n"/>
      <c r="X143" s="194" t="n"/>
      <c r="Y143" s="194" t="n"/>
      <c r="Z143" s="194" t="n"/>
    </row>
    <row r="144" ht="15" customHeight="1" s="195">
      <c r="A144" s="381">
        <f>IF(AND('FEBRERO 2026'!D43&lt;&gt;"",'FEBRERO 2026'!Z43="POR RECOGER"),"FEB","")</f>
        <v/>
      </c>
      <c r="B144" s="381">
        <f>IF(AND('FEBRERO 2026'!D43&lt;&gt;"",'FEBRERO 2026'!Z43="POR RECOGER"),IF('FEBRERO 2026'!Y43&lt;&gt;"",'FEBRERO 2026'!Y43,'FEBRERO 2026'!I43),"")</f>
        <v/>
      </c>
      <c r="C144" s="381">
        <f>IF(AND('FEBRERO 2026'!D43&lt;&gt;"",'FEBRERO 2026'!Z43="POR RECOGER"),'FEBRERO 2026'!D43,"")</f>
        <v/>
      </c>
      <c r="D144" s="381">
        <f>IF(AND('FEBRERO 2026'!D43&lt;&gt;"",'FEBRERO 2026'!Z43="POR RECOGER"),'FEBRERO 2026'!F43,"")</f>
        <v/>
      </c>
      <c r="E144" s="381">
        <f>IF(AND('FEBRERO 2026'!D43&lt;&gt;"",'FEBRERO 2026'!Z43="POR RECOGER"),TEXT('FEBRERO 2026'!G43,"DD/MM/YYYY"),"")</f>
        <v/>
      </c>
      <c r="F144" s="381">
        <f>IF(AND('FEBRERO 2026'!D43&lt;&gt;"",'FEBRERO 2026'!Z43="POR RECOGER"),'FEBRERO 2026'!K43,"")</f>
        <v/>
      </c>
      <c r="G144" s="382">
        <f>IF(AND('FEBRERO 2026'!D43&lt;&gt;"",'FEBRERO 2026'!Z43="POR RECOGER"),'FEBRERO 2026'!M43,"")</f>
        <v/>
      </c>
      <c r="H144" s="382">
        <f>IF(AND('FEBRERO 2026'!D43&lt;&gt;"",'FEBRERO 2026'!Z43="POR RECOGER"),'FEBRERO 2026'!N43,"")</f>
        <v/>
      </c>
      <c r="I144" s="381">
        <f>IF(AND('FEBRERO 2026'!D43&lt;&gt;"",'FEBRERO 2026'!Z43="POR RECOGER"),'FEBRERO 2026'!P43,"")</f>
        <v/>
      </c>
      <c r="J144" s="381">
        <f>IF(AND('FEBRERO 2026'!D43&lt;&gt;"",'FEBRERO 2026'!Z43="POR RECOGER"),'FEBRERO 2026'!Q43,"")</f>
        <v/>
      </c>
      <c r="K144" s="381">
        <f>IF(AND('FEBRERO 2026'!D43&lt;&gt;"",'FEBRERO 2026'!Z43="POR RECOGER"),'FEBRERO 2026'!Y43,"")</f>
        <v/>
      </c>
      <c r="L144" s="381">
        <f>IF(AND('FEBRERO 2026'!D43&lt;&gt;"",'FEBRERO 2026'!Z43="POR RECOGER"),'FEBRERO 2026'!I43,"")</f>
        <v/>
      </c>
      <c r="P144" s="194" t="n"/>
      <c r="Q144" s="194" t="n"/>
      <c r="R144" s="194" t="n"/>
      <c r="S144" s="194" t="n"/>
      <c r="T144" s="194" t="n"/>
      <c r="U144" s="194" t="n"/>
      <c r="V144" s="194" t="n"/>
      <c r="W144" s="194" t="n"/>
      <c r="X144" s="194" t="n"/>
      <c r="Y144" s="194" t="n"/>
      <c r="Z144" s="194" t="n"/>
    </row>
    <row r="145" ht="15" customHeight="1" s="195">
      <c r="A145" s="381">
        <f>IF(AND('FEBRERO 2026'!D44&lt;&gt;"",'FEBRERO 2026'!Z44="POR RECOGER"),"FEB","")</f>
        <v/>
      </c>
      <c r="B145" s="381">
        <f>IF(AND('FEBRERO 2026'!D44&lt;&gt;"",'FEBRERO 2026'!Z44="POR RECOGER"),IF('FEBRERO 2026'!Y44&lt;&gt;"",'FEBRERO 2026'!Y44,'FEBRERO 2026'!I44),"")</f>
        <v/>
      </c>
      <c r="C145" s="381">
        <f>IF(AND('FEBRERO 2026'!D44&lt;&gt;"",'FEBRERO 2026'!Z44="POR RECOGER"),'FEBRERO 2026'!D44,"")</f>
        <v/>
      </c>
      <c r="D145" s="381">
        <f>IF(AND('FEBRERO 2026'!D44&lt;&gt;"",'FEBRERO 2026'!Z44="POR RECOGER"),'FEBRERO 2026'!F44,"")</f>
        <v/>
      </c>
      <c r="E145" s="381">
        <f>IF(AND('FEBRERO 2026'!D44&lt;&gt;"",'FEBRERO 2026'!Z44="POR RECOGER"),TEXT('FEBRERO 2026'!G44,"DD/MM/YYYY"),"")</f>
        <v/>
      </c>
      <c r="F145" s="381">
        <f>IF(AND('FEBRERO 2026'!D44&lt;&gt;"",'FEBRERO 2026'!Z44="POR RECOGER"),'FEBRERO 2026'!K44,"")</f>
        <v/>
      </c>
      <c r="G145" s="382">
        <f>IF(AND('FEBRERO 2026'!D44&lt;&gt;"",'FEBRERO 2026'!Z44="POR RECOGER"),'FEBRERO 2026'!M44,"")</f>
        <v/>
      </c>
      <c r="H145" s="382">
        <f>IF(AND('FEBRERO 2026'!D44&lt;&gt;"",'FEBRERO 2026'!Z44="POR RECOGER"),'FEBRERO 2026'!N44,"")</f>
        <v/>
      </c>
      <c r="I145" s="381">
        <f>IF(AND('FEBRERO 2026'!D44&lt;&gt;"",'FEBRERO 2026'!Z44="POR RECOGER"),'FEBRERO 2026'!P44,"")</f>
        <v/>
      </c>
      <c r="J145" s="381">
        <f>IF(AND('FEBRERO 2026'!D44&lt;&gt;"",'FEBRERO 2026'!Z44="POR RECOGER"),'FEBRERO 2026'!Q44,"")</f>
        <v/>
      </c>
      <c r="K145" s="381">
        <f>IF(AND('FEBRERO 2026'!D44&lt;&gt;"",'FEBRERO 2026'!Z44="POR RECOGER"),'FEBRERO 2026'!Y44,"")</f>
        <v/>
      </c>
      <c r="L145" s="381">
        <f>IF(AND('FEBRERO 2026'!D44&lt;&gt;"",'FEBRERO 2026'!Z44="POR RECOGER"),'FEBRERO 2026'!I44,"")</f>
        <v/>
      </c>
      <c r="P145" s="194" t="n"/>
      <c r="Q145" s="194" t="n"/>
      <c r="R145" s="194" t="n"/>
      <c r="S145" s="194" t="n"/>
      <c r="T145" s="194" t="n"/>
      <c r="U145" s="194" t="n"/>
      <c r="V145" s="194" t="n"/>
      <c r="W145" s="194" t="n"/>
      <c r="X145" s="194" t="n"/>
      <c r="Y145" s="194" t="n"/>
      <c r="Z145" s="194" t="n"/>
    </row>
    <row r="146" ht="15" customHeight="1" s="195">
      <c r="A146" s="381">
        <f>IF(AND('FEBRERO 2026'!D45&lt;&gt;"",'FEBRERO 2026'!Z45="POR RECOGER"),"FEB","")</f>
        <v/>
      </c>
      <c r="B146" s="381">
        <f>IF(AND('FEBRERO 2026'!D45&lt;&gt;"",'FEBRERO 2026'!Z45="POR RECOGER"),IF('FEBRERO 2026'!Y45&lt;&gt;"",'FEBRERO 2026'!Y45,'FEBRERO 2026'!I45),"")</f>
        <v/>
      </c>
      <c r="C146" s="381">
        <f>IF(AND('FEBRERO 2026'!D45&lt;&gt;"",'FEBRERO 2026'!Z45="POR RECOGER"),'FEBRERO 2026'!D45,"")</f>
        <v/>
      </c>
      <c r="D146" s="381">
        <f>IF(AND('FEBRERO 2026'!D45&lt;&gt;"",'FEBRERO 2026'!Z45="POR RECOGER"),'FEBRERO 2026'!F45,"")</f>
        <v/>
      </c>
      <c r="E146" s="381">
        <f>IF(AND('FEBRERO 2026'!D45&lt;&gt;"",'FEBRERO 2026'!Z45="POR RECOGER"),TEXT('FEBRERO 2026'!G45,"DD/MM/YYYY"),"")</f>
        <v/>
      </c>
      <c r="F146" s="381">
        <f>IF(AND('FEBRERO 2026'!D45&lt;&gt;"",'FEBRERO 2026'!Z45="POR RECOGER"),'FEBRERO 2026'!K45,"")</f>
        <v/>
      </c>
      <c r="G146" s="382">
        <f>IF(AND('FEBRERO 2026'!D45&lt;&gt;"",'FEBRERO 2026'!Z45="POR RECOGER"),'FEBRERO 2026'!M45,"")</f>
        <v/>
      </c>
      <c r="H146" s="382">
        <f>IF(AND('FEBRERO 2026'!D45&lt;&gt;"",'FEBRERO 2026'!Z45="POR RECOGER"),'FEBRERO 2026'!N45,"")</f>
        <v/>
      </c>
      <c r="I146" s="381">
        <f>IF(AND('FEBRERO 2026'!D45&lt;&gt;"",'FEBRERO 2026'!Z45="POR RECOGER"),'FEBRERO 2026'!P45,"")</f>
        <v/>
      </c>
      <c r="J146" s="381">
        <f>IF(AND('FEBRERO 2026'!D45&lt;&gt;"",'FEBRERO 2026'!Z45="POR RECOGER"),'FEBRERO 2026'!Q45,"")</f>
        <v/>
      </c>
      <c r="K146" s="381">
        <f>IF(AND('FEBRERO 2026'!D45&lt;&gt;"",'FEBRERO 2026'!Z45="POR RECOGER"),'FEBRERO 2026'!Y45,"")</f>
        <v/>
      </c>
      <c r="L146" s="381">
        <f>IF(AND('FEBRERO 2026'!D45&lt;&gt;"",'FEBRERO 2026'!Z45="POR RECOGER"),'FEBRERO 2026'!I45,"")</f>
        <v/>
      </c>
      <c r="P146" s="194" t="n"/>
      <c r="Q146" s="194" t="n"/>
      <c r="R146" s="194" t="n"/>
      <c r="S146" s="194" t="n"/>
      <c r="T146" s="194" t="n"/>
      <c r="U146" s="194" t="n"/>
      <c r="V146" s="194" t="n"/>
      <c r="W146" s="194" t="n"/>
      <c r="X146" s="194" t="n"/>
      <c r="Y146" s="194" t="n"/>
      <c r="Z146" s="194" t="n"/>
    </row>
    <row r="147" ht="15" customHeight="1" s="195">
      <c r="A147" s="381">
        <f>IF(AND('FEBRERO 2026'!D46&lt;&gt;"",'FEBRERO 2026'!Z46="POR RECOGER"),"FEB","")</f>
        <v/>
      </c>
      <c r="B147" s="381">
        <f>IF(AND('FEBRERO 2026'!D46&lt;&gt;"",'FEBRERO 2026'!Z46="POR RECOGER"),IF('FEBRERO 2026'!Y46&lt;&gt;"",'FEBRERO 2026'!Y46,'FEBRERO 2026'!I46),"")</f>
        <v/>
      </c>
      <c r="C147" s="381">
        <f>IF(AND('FEBRERO 2026'!D46&lt;&gt;"",'FEBRERO 2026'!Z46="POR RECOGER"),'FEBRERO 2026'!D46,"")</f>
        <v/>
      </c>
      <c r="D147" s="381">
        <f>IF(AND('FEBRERO 2026'!D46&lt;&gt;"",'FEBRERO 2026'!Z46="POR RECOGER"),'FEBRERO 2026'!F46,"")</f>
        <v/>
      </c>
      <c r="E147" s="381">
        <f>IF(AND('FEBRERO 2026'!D46&lt;&gt;"",'FEBRERO 2026'!Z46="POR RECOGER"),TEXT('FEBRERO 2026'!G46,"DD/MM/YYYY"),"")</f>
        <v/>
      </c>
      <c r="F147" s="381">
        <f>IF(AND('FEBRERO 2026'!D46&lt;&gt;"",'FEBRERO 2026'!Z46="POR RECOGER"),'FEBRERO 2026'!K46,"")</f>
        <v/>
      </c>
      <c r="G147" s="382">
        <f>IF(AND('FEBRERO 2026'!D46&lt;&gt;"",'FEBRERO 2026'!Z46="POR RECOGER"),'FEBRERO 2026'!M46,"")</f>
        <v/>
      </c>
      <c r="H147" s="382">
        <f>IF(AND('FEBRERO 2026'!D46&lt;&gt;"",'FEBRERO 2026'!Z46="POR RECOGER"),'FEBRERO 2026'!N46,"")</f>
        <v/>
      </c>
      <c r="I147" s="381">
        <f>IF(AND('FEBRERO 2026'!D46&lt;&gt;"",'FEBRERO 2026'!Z46="POR RECOGER"),'FEBRERO 2026'!P46,"")</f>
        <v/>
      </c>
      <c r="J147" s="381">
        <f>IF(AND('FEBRERO 2026'!D46&lt;&gt;"",'FEBRERO 2026'!Z46="POR RECOGER"),'FEBRERO 2026'!Q46,"")</f>
        <v/>
      </c>
      <c r="K147" s="381">
        <f>IF(AND('FEBRERO 2026'!D46&lt;&gt;"",'FEBRERO 2026'!Z46="POR RECOGER"),'FEBRERO 2026'!Y46,"")</f>
        <v/>
      </c>
      <c r="L147" s="381">
        <f>IF(AND('FEBRERO 2026'!D46&lt;&gt;"",'FEBRERO 2026'!Z46="POR RECOGER"),'FEBRERO 2026'!I46,"")</f>
        <v/>
      </c>
      <c r="P147" s="194" t="n"/>
      <c r="Q147" s="194" t="n"/>
      <c r="R147" s="194" t="n"/>
      <c r="S147" s="194" t="n"/>
      <c r="T147" s="194" t="n"/>
      <c r="U147" s="194" t="n"/>
      <c r="V147" s="194" t="n"/>
      <c r="W147" s="194" t="n"/>
      <c r="X147" s="194" t="n"/>
      <c r="Y147" s="194" t="n"/>
      <c r="Z147" s="194" t="n"/>
    </row>
    <row r="148" ht="15" customHeight="1" s="195">
      <c r="A148" s="381">
        <f>IF(AND('FEBRERO 2026'!D47&lt;&gt;"",'FEBRERO 2026'!Z47="POR RECOGER"),"FEB","")</f>
        <v/>
      </c>
      <c r="B148" s="381">
        <f>IF(AND('FEBRERO 2026'!D47&lt;&gt;"",'FEBRERO 2026'!Z47="POR RECOGER"),IF('FEBRERO 2026'!Y47&lt;&gt;"",'FEBRERO 2026'!Y47,'FEBRERO 2026'!I47),"")</f>
        <v/>
      </c>
      <c r="C148" s="381">
        <f>IF(AND('FEBRERO 2026'!D47&lt;&gt;"",'FEBRERO 2026'!Z47="POR RECOGER"),'FEBRERO 2026'!D47,"")</f>
        <v/>
      </c>
      <c r="D148" s="381">
        <f>IF(AND('FEBRERO 2026'!D47&lt;&gt;"",'FEBRERO 2026'!Z47="POR RECOGER"),'FEBRERO 2026'!F47,"")</f>
        <v/>
      </c>
      <c r="E148" s="381">
        <f>IF(AND('FEBRERO 2026'!D47&lt;&gt;"",'FEBRERO 2026'!Z47="POR RECOGER"),TEXT('FEBRERO 2026'!G47,"DD/MM/YYYY"),"")</f>
        <v/>
      </c>
      <c r="F148" s="381">
        <f>IF(AND('FEBRERO 2026'!D47&lt;&gt;"",'FEBRERO 2026'!Z47="POR RECOGER"),'FEBRERO 2026'!K47,"")</f>
        <v/>
      </c>
      <c r="G148" s="382">
        <f>IF(AND('FEBRERO 2026'!D47&lt;&gt;"",'FEBRERO 2026'!Z47="POR RECOGER"),'FEBRERO 2026'!M47,"")</f>
        <v/>
      </c>
      <c r="H148" s="382">
        <f>IF(AND('FEBRERO 2026'!D47&lt;&gt;"",'FEBRERO 2026'!Z47="POR RECOGER"),'FEBRERO 2026'!N47,"")</f>
        <v/>
      </c>
      <c r="I148" s="381">
        <f>IF(AND('FEBRERO 2026'!D47&lt;&gt;"",'FEBRERO 2026'!Z47="POR RECOGER"),'FEBRERO 2026'!P47,"")</f>
        <v/>
      </c>
      <c r="J148" s="381">
        <f>IF(AND('FEBRERO 2026'!D47&lt;&gt;"",'FEBRERO 2026'!Z47="POR RECOGER"),'FEBRERO 2026'!Q47,"")</f>
        <v/>
      </c>
      <c r="K148" s="381">
        <f>IF(AND('FEBRERO 2026'!D47&lt;&gt;"",'FEBRERO 2026'!Z47="POR RECOGER"),'FEBRERO 2026'!Y47,"")</f>
        <v/>
      </c>
      <c r="L148" s="381">
        <f>IF(AND('FEBRERO 2026'!D47&lt;&gt;"",'FEBRERO 2026'!Z47="POR RECOGER"),'FEBRERO 2026'!I47,"")</f>
        <v/>
      </c>
      <c r="P148" s="194" t="n"/>
      <c r="Q148" s="194" t="n"/>
      <c r="R148" s="194" t="n"/>
      <c r="S148" s="194" t="n"/>
      <c r="T148" s="194" t="n"/>
      <c r="U148" s="194" t="n"/>
      <c r="V148" s="194" t="n"/>
      <c r="W148" s="194" t="n"/>
      <c r="X148" s="194" t="n"/>
      <c r="Y148" s="194" t="n"/>
      <c r="Z148" s="194" t="n"/>
    </row>
    <row r="149" ht="15" customHeight="1" s="195">
      <c r="A149" s="381">
        <f>IF(AND('FEBRERO 2026'!D48&lt;&gt;"",'FEBRERO 2026'!Z48="POR RECOGER"),"FEB","")</f>
        <v/>
      </c>
      <c r="B149" s="381">
        <f>IF(AND('FEBRERO 2026'!D48&lt;&gt;"",'FEBRERO 2026'!Z48="POR RECOGER"),IF('FEBRERO 2026'!Y48&lt;&gt;"",'FEBRERO 2026'!Y48,'FEBRERO 2026'!I48),"")</f>
        <v/>
      </c>
      <c r="C149" s="381">
        <f>IF(AND('FEBRERO 2026'!D48&lt;&gt;"",'FEBRERO 2026'!Z48="POR RECOGER"),'FEBRERO 2026'!D48,"")</f>
        <v/>
      </c>
      <c r="D149" s="381">
        <f>IF(AND('FEBRERO 2026'!D48&lt;&gt;"",'FEBRERO 2026'!Z48="POR RECOGER"),'FEBRERO 2026'!F48,"")</f>
        <v/>
      </c>
      <c r="E149" s="381">
        <f>IF(AND('FEBRERO 2026'!D48&lt;&gt;"",'FEBRERO 2026'!Z48="POR RECOGER"),TEXT('FEBRERO 2026'!G48,"DD/MM/YYYY"),"")</f>
        <v/>
      </c>
      <c r="F149" s="381">
        <f>IF(AND('FEBRERO 2026'!D48&lt;&gt;"",'FEBRERO 2026'!Z48="POR RECOGER"),'FEBRERO 2026'!K48,"")</f>
        <v/>
      </c>
      <c r="G149" s="382">
        <f>IF(AND('FEBRERO 2026'!D48&lt;&gt;"",'FEBRERO 2026'!Z48="POR RECOGER"),'FEBRERO 2026'!M48,"")</f>
        <v/>
      </c>
      <c r="H149" s="382">
        <f>IF(AND('FEBRERO 2026'!D48&lt;&gt;"",'FEBRERO 2026'!Z48="POR RECOGER"),'FEBRERO 2026'!N48,"")</f>
        <v/>
      </c>
      <c r="I149" s="381">
        <f>IF(AND('FEBRERO 2026'!D48&lt;&gt;"",'FEBRERO 2026'!Z48="POR RECOGER"),'FEBRERO 2026'!P48,"")</f>
        <v/>
      </c>
      <c r="J149" s="381">
        <f>IF(AND('FEBRERO 2026'!D48&lt;&gt;"",'FEBRERO 2026'!Z48="POR RECOGER"),'FEBRERO 2026'!Q48,"")</f>
        <v/>
      </c>
      <c r="K149" s="381">
        <f>IF(AND('FEBRERO 2026'!D48&lt;&gt;"",'FEBRERO 2026'!Z48="POR RECOGER"),'FEBRERO 2026'!Y48,"")</f>
        <v/>
      </c>
      <c r="L149" s="381">
        <f>IF(AND('FEBRERO 2026'!D48&lt;&gt;"",'FEBRERO 2026'!Z48="POR RECOGER"),'FEBRERO 2026'!I48,"")</f>
        <v/>
      </c>
      <c r="P149" s="194" t="n"/>
      <c r="Q149" s="194" t="n"/>
      <c r="R149" s="194" t="n"/>
      <c r="S149" s="194" t="n"/>
      <c r="T149" s="194" t="n"/>
      <c r="U149" s="194" t="n"/>
      <c r="V149" s="194" t="n"/>
      <c r="W149" s="194" t="n"/>
      <c r="X149" s="194" t="n"/>
      <c r="Y149" s="194" t="n"/>
      <c r="Z149" s="194" t="n"/>
    </row>
    <row r="150" ht="15" customHeight="1" s="195">
      <c r="A150" s="381">
        <f>IF(AND('FEBRERO 2026'!D49&lt;&gt;"",'FEBRERO 2026'!Z49="POR RECOGER"),"FEB","")</f>
        <v/>
      </c>
      <c r="B150" s="381">
        <f>IF(AND('FEBRERO 2026'!D49&lt;&gt;"",'FEBRERO 2026'!Z49="POR RECOGER"),IF('FEBRERO 2026'!Y49&lt;&gt;"",'FEBRERO 2026'!Y49,'FEBRERO 2026'!I49),"")</f>
        <v/>
      </c>
      <c r="C150" s="381">
        <f>IF(AND('FEBRERO 2026'!D49&lt;&gt;"",'FEBRERO 2026'!Z49="POR RECOGER"),'FEBRERO 2026'!D49,"")</f>
        <v/>
      </c>
      <c r="D150" s="381">
        <f>IF(AND('FEBRERO 2026'!D49&lt;&gt;"",'FEBRERO 2026'!Z49="POR RECOGER"),'FEBRERO 2026'!F49,"")</f>
        <v/>
      </c>
      <c r="E150" s="381">
        <f>IF(AND('FEBRERO 2026'!D49&lt;&gt;"",'FEBRERO 2026'!Z49="POR RECOGER"),TEXT('FEBRERO 2026'!G49,"DD/MM/YYYY"),"")</f>
        <v/>
      </c>
      <c r="F150" s="381">
        <f>IF(AND('FEBRERO 2026'!D49&lt;&gt;"",'FEBRERO 2026'!Z49="POR RECOGER"),'FEBRERO 2026'!K49,"")</f>
        <v/>
      </c>
      <c r="G150" s="382">
        <f>IF(AND('FEBRERO 2026'!D49&lt;&gt;"",'FEBRERO 2026'!Z49="POR RECOGER"),'FEBRERO 2026'!M49,"")</f>
        <v/>
      </c>
      <c r="H150" s="382">
        <f>IF(AND('FEBRERO 2026'!D49&lt;&gt;"",'FEBRERO 2026'!Z49="POR RECOGER"),'FEBRERO 2026'!N49,"")</f>
        <v/>
      </c>
      <c r="I150" s="381">
        <f>IF(AND('FEBRERO 2026'!D49&lt;&gt;"",'FEBRERO 2026'!Z49="POR RECOGER"),'FEBRERO 2026'!P49,"")</f>
        <v/>
      </c>
      <c r="J150" s="381">
        <f>IF(AND('FEBRERO 2026'!D49&lt;&gt;"",'FEBRERO 2026'!Z49="POR RECOGER"),'FEBRERO 2026'!Q49,"")</f>
        <v/>
      </c>
      <c r="K150" s="381">
        <f>IF(AND('FEBRERO 2026'!D49&lt;&gt;"",'FEBRERO 2026'!Z49="POR RECOGER"),'FEBRERO 2026'!Y49,"")</f>
        <v/>
      </c>
      <c r="L150" s="381">
        <f>IF(AND('FEBRERO 2026'!D49&lt;&gt;"",'FEBRERO 2026'!Z49="POR RECOGER"),'FEBRERO 2026'!I49,"")</f>
        <v/>
      </c>
      <c r="P150" s="194" t="n"/>
      <c r="Q150" s="194" t="n"/>
      <c r="R150" s="194" t="n"/>
      <c r="S150" s="194" t="n"/>
      <c r="T150" s="194" t="n"/>
      <c r="U150" s="194" t="n"/>
      <c r="V150" s="194" t="n"/>
      <c r="W150" s="194" t="n"/>
      <c r="X150" s="194" t="n"/>
      <c r="Y150" s="194" t="n"/>
      <c r="Z150" s="194" t="n"/>
    </row>
    <row r="151" ht="15" customHeight="1" s="195">
      <c r="A151" s="381">
        <f>IF(AND('FEBRERO 2026'!D50&lt;&gt;"",'FEBRERO 2026'!Z50="POR RECOGER"),"FEB","")</f>
        <v/>
      </c>
      <c r="B151" s="381">
        <f>IF(AND('FEBRERO 2026'!D50&lt;&gt;"",'FEBRERO 2026'!Z50="POR RECOGER"),IF('FEBRERO 2026'!Y50&lt;&gt;"",'FEBRERO 2026'!Y50,'FEBRERO 2026'!I50),"")</f>
        <v/>
      </c>
      <c r="C151" s="381">
        <f>IF(AND('FEBRERO 2026'!D50&lt;&gt;"",'FEBRERO 2026'!Z50="POR RECOGER"),'FEBRERO 2026'!D50,"")</f>
        <v/>
      </c>
      <c r="D151" s="381">
        <f>IF(AND('FEBRERO 2026'!D50&lt;&gt;"",'FEBRERO 2026'!Z50="POR RECOGER"),'FEBRERO 2026'!F50,"")</f>
        <v/>
      </c>
      <c r="E151" s="381">
        <f>IF(AND('FEBRERO 2026'!D50&lt;&gt;"",'FEBRERO 2026'!Z50="POR RECOGER"),TEXT('FEBRERO 2026'!G50,"DD/MM/YYYY"),"")</f>
        <v/>
      </c>
      <c r="F151" s="381">
        <f>IF(AND('FEBRERO 2026'!D50&lt;&gt;"",'FEBRERO 2026'!Z50="POR RECOGER"),'FEBRERO 2026'!K50,"")</f>
        <v/>
      </c>
      <c r="G151" s="382">
        <f>IF(AND('FEBRERO 2026'!D50&lt;&gt;"",'FEBRERO 2026'!Z50="POR RECOGER"),'FEBRERO 2026'!M50,"")</f>
        <v/>
      </c>
      <c r="H151" s="382">
        <f>IF(AND('FEBRERO 2026'!D50&lt;&gt;"",'FEBRERO 2026'!Z50="POR RECOGER"),'FEBRERO 2026'!N50,"")</f>
        <v/>
      </c>
      <c r="I151" s="381">
        <f>IF(AND('FEBRERO 2026'!D50&lt;&gt;"",'FEBRERO 2026'!Z50="POR RECOGER"),'FEBRERO 2026'!P50,"")</f>
        <v/>
      </c>
      <c r="J151" s="381">
        <f>IF(AND('FEBRERO 2026'!D50&lt;&gt;"",'FEBRERO 2026'!Z50="POR RECOGER"),'FEBRERO 2026'!Q50,"")</f>
        <v/>
      </c>
      <c r="K151" s="381">
        <f>IF(AND('FEBRERO 2026'!D50&lt;&gt;"",'FEBRERO 2026'!Z50="POR RECOGER"),'FEBRERO 2026'!Y50,"")</f>
        <v/>
      </c>
      <c r="L151" s="381">
        <f>IF(AND('FEBRERO 2026'!D50&lt;&gt;"",'FEBRERO 2026'!Z50="POR RECOGER"),'FEBRERO 2026'!I50,"")</f>
        <v/>
      </c>
      <c r="P151" s="194" t="n"/>
      <c r="Q151" s="194" t="n"/>
      <c r="R151" s="194" t="n"/>
      <c r="S151" s="194" t="n"/>
      <c r="T151" s="194" t="n"/>
      <c r="U151" s="194" t="n"/>
      <c r="V151" s="194" t="n"/>
      <c r="W151" s="194" t="n"/>
      <c r="X151" s="194" t="n"/>
      <c r="Y151" s="194" t="n"/>
      <c r="Z151" s="194" t="n"/>
    </row>
    <row r="152" ht="15" customHeight="1" s="195">
      <c r="A152" s="381">
        <f>IF(AND('FEBRERO 2026'!D51&lt;&gt;"",'FEBRERO 2026'!Z51="POR RECOGER"),"FEB","")</f>
        <v/>
      </c>
      <c r="B152" s="381">
        <f>IF(AND('FEBRERO 2026'!D51&lt;&gt;"",'FEBRERO 2026'!Z51="POR RECOGER"),IF('FEBRERO 2026'!Y51&lt;&gt;"",'FEBRERO 2026'!Y51,'FEBRERO 2026'!I51),"")</f>
        <v/>
      </c>
      <c r="C152" s="381">
        <f>IF(AND('FEBRERO 2026'!D51&lt;&gt;"",'FEBRERO 2026'!Z51="POR RECOGER"),'FEBRERO 2026'!D51,"")</f>
        <v/>
      </c>
      <c r="D152" s="381">
        <f>IF(AND('FEBRERO 2026'!D51&lt;&gt;"",'FEBRERO 2026'!Z51="POR RECOGER"),'FEBRERO 2026'!F51,"")</f>
        <v/>
      </c>
      <c r="E152" s="381">
        <f>IF(AND('FEBRERO 2026'!D51&lt;&gt;"",'FEBRERO 2026'!Z51="POR RECOGER"),TEXT('FEBRERO 2026'!G51,"DD/MM/YYYY"),"")</f>
        <v/>
      </c>
      <c r="F152" s="381">
        <f>IF(AND('FEBRERO 2026'!D51&lt;&gt;"",'FEBRERO 2026'!Z51="POR RECOGER"),'FEBRERO 2026'!K51,"")</f>
        <v/>
      </c>
      <c r="G152" s="382">
        <f>IF(AND('FEBRERO 2026'!D51&lt;&gt;"",'FEBRERO 2026'!Z51="POR RECOGER"),'FEBRERO 2026'!M51,"")</f>
        <v/>
      </c>
      <c r="H152" s="382">
        <f>IF(AND('FEBRERO 2026'!D51&lt;&gt;"",'FEBRERO 2026'!Z51="POR RECOGER"),'FEBRERO 2026'!N51,"")</f>
        <v/>
      </c>
      <c r="I152" s="381">
        <f>IF(AND('FEBRERO 2026'!D51&lt;&gt;"",'FEBRERO 2026'!Z51="POR RECOGER"),'FEBRERO 2026'!P51,"")</f>
        <v/>
      </c>
      <c r="J152" s="381">
        <f>IF(AND('FEBRERO 2026'!D51&lt;&gt;"",'FEBRERO 2026'!Z51="POR RECOGER"),'FEBRERO 2026'!Q51,"")</f>
        <v/>
      </c>
      <c r="K152" s="381">
        <f>IF(AND('FEBRERO 2026'!D51&lt;&gt;"",'FEBRERO 2026'!Z51="POR RECOGER"),'FEBRERO 2026'!Y51,"")</f>
        <v/>
      </c>
      <c r="L152" s="381">
        <f>IF(AND('FEBRERO 2026'!D51&lt;&gt;"",'FEBRERO 2026'!Z51="POR RECOGER"),'FEBRERO 2026'!I51,"")</f>
        <v/>
      </c>
      <c r="P152" s="194" t="n"/>
      <c r="Q152" s="194" t="n"/>
      <c r="R152" s="194" t="n"/>
      <c r="S152" s="194" t="n"/>
      <c r="T152" s="194" t="n"/>
      <c r="U152" s="194" t="n"/>
      <c r="V152" s="194" t="n"/>
      <c r="W152" s="194" t="n"/>
      <c r="X152" s="194" t="n"/>
      <c r="Y152" s="194" t="n"/>
      <c r="Z152" s="194" t="n"/>
    </row>
    <row r="153" ht="15" customHeight="1" s="195">
      <c r="A153" s="381">
        <f>IF(AND('FEBRERO 2026'!D52&lt;&gt;"",'FEBRERO 2026'!Z52="POR RECOGER"),"FEB","")</f>
        <v/>
      </c>
      <c r="B153" s="381">
        <f>IF(AND('FEBRERO 2026'!D52&lt;&gt;"",'FEBRERO 2026'!Z52="POR RECOGER"),IF('FEBRERO 2026'!Y52&lt;&gt;"",'FEBRERO 2026'!Y52,'FEBRERO 2026'!I52),"")</f>
        <v/>
      </c>
      <c r="C153" s="381">
        <f>IF(AND('FEBRERO 2026'!D52&lt;&gt;"",'FEBRERO 2026'!Z52="POR RECOGER"),'FEBRERO 2026'!D52,"")</f>
        <v/>
      </c>
      <c r="D153" s="381">
        <f>IF(AND('FEBRERO 2026'!D52&lt;&gt;"",'FEBRERO 2026'!Z52="POR RECOGER"),'FEBRERO 2026'!F52,"")</f>
        <v/>
      </c>
      <c r="E153" s="381">
        <f>IF(AND('FEBRERO 2026'!D52&lt;&gt;"",'FEBRERO 2026'!Z52="POR RECOGER"),TEXT('FEBRERO 2026'!G52,"DD/MM/YYYY"),"")</f>
        <v/>
      </c>
      <c r="F153" s="381">
        <f>IF(AND('FEBRERO 2026'!D52&lt;&gt;"",'FEBRERO 2026'!Z52="POR RECOGER"),'FEBRERO 2026'!K52,"")</f>
        <v/>
      </c>
      <c r="G153" s="382">
        <f>IF(AND('FEBRERO 2026'!D52&lt;&gt;"",'FEBRERO 2026'!Z52="POR RECOGER"),'FEBRERO 2026'!M52,"")</f>
        <v/>
      </c>
      <c r="H153" s="382">
        <f>IF(AND('FEBRERO 2026'!D52&lt;&gt;"",'FEBRERO 2026'!Z52="POR RECOGER"),'FEBRERO 2026'!N52,"")</f>
        <v/>
      </c>
      <c r="I153" s="381">
        <f>IF(AND('FEBRERO 2026'!D52&lt;&gt;"",'FEBRERO 2026'!Z52="POR RECOGER"),'FEBRERO 2026'!P52,"")</f>
        <v/>
      </c>
      <c r="J153" s="381">
        <f>IF(AND('FEBRERO 2026'!D52&lt;&gt;"",'FEBRERO 2026'!Z52="POR RECOGER"),'FEBRERO 2026'!Q52,"")</f>
        <v/>
      </c>
      <c r="K153" s="381">
        <f>IF(AND('FEBRERO 2026'!D52&lt;&gt;"",'FEBRERO 2026'!Z52="POR RECOGER"),'FEBRERO 2026'!Y52,"")</f>
        <v/>
      </c>
      <c r="L153" s="381">
        <f>IF(AND('FEBRERO 2026'!D52&lt;&gt;"",'FEBRERO 2026'!Z52="POR RECOGER"),'FEBRERO 2026'!I52,"")</f>
        <v/>
      </c>
      <c r="P153" s="194" t="n"/>
      <c r="Q153" s="194" t="n"/>
      <c r="R153" s="194" t="n"/>
      <c r="S153" s="194" t="n"/>
      <c r="T153" s="194" t="n"/>
      <c r="U153" s="194" t="n"/>
      <c r="V153" s="194" t="n"/>
      <c r="W153" s="194" t="n"/>
      <c r="X153" s="194" t="n"/>
      <c r="Y153" s="194" t="n"/>
      <c r="Z153" s="194" t="n"/>
    </row>
    <row r="154" ht="15" customHeight="1" s="195">
      <c r="A154" s="381">
        <f>IF(AND('FEBRERO 2026'!D53&lt;&gt;"",'FEBRERO 2026'!Z53="POR RECOGER"),"FEB","")</f>
        <v/>
      </c>
      <c r="B154" s="381">
        <f>IF(AND('FEBRERO 2026'!D53&lt;&gt;"",'FEBRERO 2026'!Z53="POR RECOGER"),IF('FEBRERO 2026'!Y53&lt;&gt;"",'FEBRERO 2026'!Y53,'FEBRERO 2026'!I53),"")</f>
        <v/>
      </c>
      <c r="C154" s="381">
        <f>IF(AND('FEBRERO 2026'!D53&lt;&gt;"",'FEBRERO 2026'!Z53="POR RECOGER"),'FEBRERO 2026'!D53,"")</f>
        <v/>
      </c>
      <c r="D154" s="381">
        <f>IF(AND('FEBRERO 2026'!D53&lt;&gt;"",'FEBRERO 2026'!Z53="POR RECOGER"),'FEBRERO 2026'!F53,"")</f>
        <v/>
      </c>
      <c r="E154" s="381">
        <f>IF(AND('FEBRERO 2026'!D53&lt;&gt;"",'FEBRERO 2026'!Z53="POR RECOGER"),TEXT('FEBRERO 2026'!G53,"DD/MM/YYYY"),"")</f>
        <v/>
      </c>
      <c r="F154" s="381">
        <f>IF(AND('FEBRERO 2026'!D53&lt;&gt;"",'FEBRERO 2026'!Z53="POR RECOGER"),'FEBRERO 2026'!K53,"")</f>
        <v/>
      </c>
      <c r="G154" s="382">
        <f>IF(AND('FEBRERO 2026'!D53&lt;&gt;"",'FEBRERO 2026'!Z53="POR RECOGER"),'FEBRERO 2026'!M53,"")</f>
        <v/>
      </c>
      <c r="H154" s="382">
        <f>IF(AND('FEBRERO 2026'!D53&lt;&gt;"",'FEBRERO 2026'!Z53="POR RECOGER"),'FEBRERO 2026'!N53,"")</f>
        <v/>
      </c>
      <c r="I154" s="381">
        <f>IF(AND('FEBRERO 2026'!D53&lt;&gt;"",'FEBRERO 2026'!Z53="POR RECOGER"),'FEBRERO 2026'!P53,"")</f>
        <v/>
      </c>
      <c r="J154" s="381">
        <f>IF(AND('FEBRERO 2026'!D53&lt;&gt;"",'FEBRERO 2026'!Z53="POR RECOGER"),'FEBRERO 2026'!Q53,"")</f>
        <v/>
      </c>
      <c r="K154" s="381">
        <f>IF(AND('FEBRERO 2026'!D53&lt;&gt;"",'FEBRERO 2026'!Z53="POR RECOGER"),'FEBRERO 2026'!Y53,"")</f>
        <v/>
      </c>
      <c r="L154" s="381">
        <f>IF(AND('FEBRERO 2026'!D53&lt;&gt;"",'FEBRERO 2026'!Z53="POR RECOGER"),'FEBRERO 2026'!I53,"")</f>
        <v/>
      </c>
      <c r="P154" s="194" t="n"/>
      <c r="Q154" s="194" t="n"/>
      <c r="R154" s="194" t="n"/>
      <c r="S154" s="194" t="n"/>
      <c r="T154" s="194" t="n"/>
      <c r="U154" s="194" t="n"/>
      <c r="V154" s="194" t="n"/>
      <c r="W154" s="194" t="n"/>
      <c r="X154" s="194" t="n"/>
      <c r="Y154" s="194" t="n"/>
      <c r="Z154" s="194" t="n"/>
    </row>
    <row r="155" ht="15" customHeight="1" s="195">
      <c r="A155" s="381">
        <f>IF(AND('FEBRERO 2026'!D54&lt;&gt;"",'FEBRERO 2026'!Z54="POR RECOGER"),"FEB","")</f>
        <v/>
      </c>
      <c r="B155" s="381">
        <f>IF(AND('FEBRERO 2026'!D54&lt;&gt;"",'FEBRERO 2026'!Z54="POR RECOGER"),IF('FEBRERO 2026'!Y54&lt;&gt;"",'FEBRERO 2026'!Y54,'FEBRERO 2026'!I54),"")</f>
        <v/>
      </c>
      <c r="C155" s="381">
        <f>IF(AND('FEBRERO 2026'!D54&lt;&gt;"",'FEBRERO 2026'!Z54="POR RECOGER"),'FEBRERO 2026'!D54,"")</f>
        <v/>
      </c>
      <c r="D155" s="381">
        <f>IF(AND('FEBRERO 2026'!D54&lt;&gt;"",'FEBRERO 2026'!Z54="POR RECOGER"),'FEBRERO 2026'!F54,"")</f>
        <v/>
      </c>
      <c r="E155" s="381">
        <f>IF(AND('FEBRERO 2026'!D54&lt;&gt;"",'FEBRERO 2026'!Z54="POR RECOGER"),TEXT('FEBRERO 2026'!G54,"DD/MM/YYYY"),"")</f>
        <v/>
      </c>
      <c r="F155" s="381">
        <f>IF(AND('FEBRERO 2026'!D54&lt;&gt;"",'FEBRERO 2026'!Z54="POR RECOGER"),'FEBRERO 2026'!K54,"")</f>
        <v/>
      </c>
      <c r="G155" s="382">
        <f>IF(AND('FEBRERO 2026'!D54&lt;&gt;"",'FEBRERO 2026'!Z54="POR RECOGER"),'FEBRERO 2026'!M54,"")</f>
        <v/>
      </c>
      <c r="H155" s="382">
        <f>IF(AND('FEBRERO 2026'!D54&lt;&gt;"",'FEBRERO 2026'!Z54="POR RECOGER"),'FEBRERO 2026'!N54,"")</f>
        <v/>
      </c>
      <c r="I155" s="381">
        <f>IF(AND('FEBRERO 2026'!D54&lt;&gt;"",'FEBRERO 2026'!Z54="POR RECOGER"),'FEBRERO 2026'!P54,"")</f>
        <v/>
      </c>
      <c r="J155" s="381">
        <f>IF(AND('FEBRERO 2026'!D54&lt;&gt;"",'FEBRERO 2026'!Z54="POR RECOGER"),'FEBRERO 2026'!Q54,"")</f>
        <v/>
      </c>
      <c r="K155" s="381">
        <f>IF(AND('FEBRERO 2026'!D54&lt;&gt;"",'FEBRERO 2026'!Z54="POR RECOGER"),'FEBRERO 2026'!Y54,"")</f>
        <v/>
      </c>
      <c r="L155" s="381">
        <f>IF(AND('FEBRERO 2026'!D54&lt;&gt;"",'FEBRERO 2026'!Z54="POR RECOGER"),'FEBRERO 2026'!I54,"")</f>
        <v/>
      </c>
      <c r="P155" s="194" t="n"/>
      <c r="Q155" s="194" t="n"/>
      <c r="R155" s="194" t="n"/>
      <c r="S155" s="194" t="n"/>
      <c r="T155" s="194" t="n"/>
      <c r="U155" s="194" t="n"/>
      <c r="V155" s="194" t="n"/>
      <c r="W155" s="194" t="n"/>
      <c r="X155" s="194" t="n"/>
      <c r="Y155" s="194" t="n"/>
      <c r="Z155" s="194" t="n"/>
    </row>
    <row r="156" ht="15" customHeight="1" s="195">
      <c r="A156" s="381">
        <f>IF(AND('FEBRERO 2026'!D55&lt;&gt;"",'FEBRERO 2026'!Z55="POR RECOGER"),"FEB","")</f>
        <v/>
      </c>
      <c r="B156" s="381">
        <f>IF(AND('FEBRERO 2026'!D55&lt;&gt;"",'FEBRERO 2026'!Z55="POR RECOGER"),IF('FEBRERO 2026'!Y55&lt;&gt;"",'FEBRERO 2026'!Y55,'FEBRERO 2026'!I55),"")</f>
        <v/>
      </c>
      <c r="C156" s="381">
        <f>IF(AND('FEBRERO 2026'!D55&lt;&gt;"",'FEBRERO 2026'!Z55="POR RECOGER"),'FEBRERO 2026'!D55,"")</f>
        <v/>
      </c>
      <c r="D156" s="381">
        <f>IF(AND('FEBRERO 2026'!D55&lt;&gt;"",'FEBRERO 2026'!Z55="POR RECOGER"),'FEBRERO 2026'!F55,"")</f>
        <v/>
      </c>
      <c r="E156" s="381">
        <f>IF(AND('FEBRERO 2026'!D55&lt;&gt;"",'FEBRERO 2026'!Z55="POR RECOGER"),TEXT('FEBRERO 2026'!G55,"DD/MM/YYYY"),"")</f>
        <v/>
      </c>
      <c r="F156" s="381">
        <f>IF(AND('FEBRERO 2026'!D55&lt;&gt;"",'FEBRERO 2026'!Z55="POR RECOGER"),'FEBRERO 2026'!K55,"")</f>
        <v/>
      </c>
      <c r="G156" s="382">
        <f>IF(AND('FEBRERO 2026'!D55&lt;&gt;"",'FEBRERO 2026'!Z55="POR RECOGER"),'FEBRERO 2026'!M55,"")</f>
        <v/>
      </c>
      <c r="H156" s="382">
        <f>IF(AND('FEBRERO 2026'!D55&lt;&gt;"",'FEBRERO 2026'!Z55="POR RECOGER"),'FEBRERO 2026'!N55,"")</f>
        <v/>
      </c>
      <c r="I156" s="381">
        <f>IF(AND('FEBRERO 2026'!D55&lt;&gt;"",'FEBRERO 2026'!Z55="POR RECOGER"),'FEBRERO 2026'!P55,"")</f>
        <v/>
      </c>
      <c r="J156" s="381">
        <f>IF(AND('FEBRERO 2026'!D55&lt;&gt;"",'FEBRERO 2026'!Z55="POR RECOGER"),'FEBRERO 2026'!Q55,"")</f>
        <v/>
      </c>
      <c r="K156" s="381">
        <f>IF(AND('FEBRERO 2026'!D55&lt;&gt;"",'FEBRERO 2026'!Z55="POR RECOGER"),'FEBRERO 2026'!Y55,"")</f>
        <v/>
      </c>
      <c r="L156" s="381">
        <f>IF(AND('FEBRERO 2026'!D55&lt;&gt;"",'FEBRERO 2026'!Z55="POR RECOGER"),'FEBRERO 2026'!I55,"")</f>
        <v/>
      </c>
      <c r="P156" s="194" t="n"/>
      <c r="Q156" s="194" t="n"/>
      <c r="R156" s="194" t="n"/>
      <c r="S156" s="194" t="n"/>
      <c r="T156" s="194" t="n"/>
      <c r="U156" s="194" t="n"/>
      <c r="V156" s="194" t="n"/>
      <c r="W156" s="194" t="n"/>
      <c r="X156" s="194" t="n"/>
      <c r="Y156" s="194" t="n"/>
      <c r="Z156" s="194" t="n"/>
    </row>
    <row r="157" ht="15" customHeight="1" s="195">
      <c r="A157" s="381">
        <f>IF(AND('FEBRERO 2026'!D56&lt;&gt;"",'FEBRERO 2026'!Z56="POR RECOGER"),"FEB","")</f>
        <v/>
      </c>
      <c r="B157" s="381">
        <f>IF(AND('FEBRERO 2026'!D56&lt;&gt;"",'FEBRERO 2026'!Z56="POR RECOGER"),IF('FEBRERO 2026'!Y56&lt;&gt;"",'FEBRERO 2026'!Y56,'FEBRERO 2026'!I56),"")</f>
        <v/>
      </c>
      <c r="C157" s="381">
        <f>IF(AND('FEBRERO 2026'!D56&lt;&gt;"",'FEBRERO 2026'!Z56="POR RECOGER"),'FEBRERO 2026'!D56,"")</f>
        <v/>
      </c>
      <c r="D157" s="381">
        <f>IF(AND('FEBRERO 2026'!D56&lt;&gt;"",'FEBRERO 2026'!Z56="POR RECOGER"),'FEBRERO 2026'!F56,"")</f>
        <v/>
      </c>
      <c r="E157" s="381">
        <f>IF(AND('FEBRERO 2026'!D56&lt;&gt;"",'FEBRERO 2026'!Z56="POR RECOGER"),TEXT('FEBRERO 2026'!G56,"DD/MM/YYYY"),"")</f>
        <v/>
      </c>
      <c r="F157" s="381">
        <f>IF(AND('FEBRERO 2026'!D56&lt;&gt;"",'FEBRERO 2026'!Z56="POR RECOGER"),'FEBRERO 2026'!K56,"")</f>
        <v/>
      </c>
      <c r="G157" s="382">
        <f>IF(AND('FEBRERO 2026'!D56&lt;&gt;"",'FEBRERO 2026'!Z56="POR RECOGER"),'FEBRERO 2026'!M56,"")</f>
        <v/>
      </c>
      <c r="H157" s="382">
        <f>IF(AND('FEBRERO 2026'!D56&lt;&gt;"",'FEBRERO 2026'!Z56="POR RECOGER"),'FEBRERO 2026'!N56,"")</f>
        <v/>
      </c>
      <c r="I157" s="381">
        <f>IF(AND('FEBRERO 2026'!D56&lt;&gt;"",'FEBRERO 2026'!Z56="POR RECOGER"),'FEBRERO 2026'!P56,"")</f>
        <v/>
      </c>
      <c r="J157" s="381">
        <f>IF(AND('FEBRERO 2026'!D56&lt;&gt;"",'FEBRERO 2026'!Z56="POR RECOGER"),'FEBRERO 2026'!Q56,"")</f>
        <v/>
      </c>
      <c r="K157" s="381">
        <f>IF(AND('FEBRERO 2026'!D56&lt;&gt;"",'FEBRERO 2026'!Z56="POR RECOGER"),'FEBRERO 2026'!Y56,"")</f>
        <v/>
      </c>
      <c r="L157" s="381">
        <f>IF(AND('FEBRERO 2026'!D56&lt;&gt;"",'FEBRERO 2026'!Z56="POR RECOGER"),'FEBRERO 2026'!I56,"")</f>
        <v/>
      </c>
      <c r="P157" s="194" t="n"/>
      <c r="Q157" s="194" t="n"/>
      <c r="R157" s="194" t="n"/>
      <c r="S157" s="194" t="n"/>
      <c r="T157" s="194" t="n"/>
      <c r="U157" s="194" t="n"/>
      <c r="V157" s="194" t="n"/>
      <c r="W157" s="194" t="n"/>
      <c r="X157" s="194" t="n"/>
      <c r="Y157" s="194" t="n"/>
      <c r="Z157" s="194" t="n"/>
    </row>
    <row r="158" ht="15" customHeight="1" s="195">
      <c r="A158" s="381">
        <f>IF(AND('FEBRERO 2026'!D57&lt;&gt;"",'FEBRERO 2026'!Z57="POR RECOGER"),"FEB","")</f>
        <v/>
      </c>
      <c r="B158" s="381">
        <f>IF(AND('FEBRERO 2026'!D57&lt;&gt;"",'FEBRERO 2026'!Z57="POR RECOGER"),IF('FEBRERO 2026'!Y57&lt;&gt;"",'FEBRERO 2026'!Y57,'FEBRERO 2026'!I57),"")</f>
        <v/>
      </c>
      <c r="C158" s="381">
        <f>IF(AND('FEBRERO 2026'!D57&lt;&gt;"",'FEBRERO 2026'!Z57="POR RECOGER"),'FEBRERO 2026'!D57,"")</f>
        <v/>
      </c>
      <c r="D158" s="381">
        <f>IF(AND('FEBRERO 2026'!D57&lt;&gt;"",'FEBRERO 2026'!Z57="POR RECOGER"),'FEBRERO 2026'!F57,"")</f>
        <v/>
      </c>
      <c r="E158" s="381">
        <f>IF(AND('FEBRERO 2026'!D57&lt;&gt;"",'FEBRERO 2026'!Z57="POR RECOGER"),TEXT('FEBRERO 2026'!G57,"DD/MM/YYYY"),"")</f>
        <v/>
      </c>
      <c r="F158" s="381">
        <f>IF(AND('FEBRERO 2026'!D57&lt;&gt;"",'FEBRERO 2026'!Z57="POR RECOGER"),'FEBRERO 2026'!K57,"")</f>
        <v/>
      </c>
      <c r="G158" s="382">
        <f>IF(AND('FEBRERO 2026'!D57&lt;&gt;"",'FEBRERO 2026'!Z57="POR RECOGER"),'FEBRERO 2026'!M57,"")</f>
        <v/>
      </c>
      <c r="H158" s="382">
        <f>IF(AND('FEBRERO 2026'!D57&lt;&gt;"",'FEBRERO 2026'!Z57="POR RECOGER"),'FEBRERO 2026'!N57,"")</f>
        <v/>
      </c>
      <c r="I158" s="381">
        <f>IF(AND('FEBRERO 2026'!D57&lt;&gt;"",'FEBRERO 2026'!Z57="POR RECOGER"),'FEBRERO 2026'!P57,"")</f>
        <v/>
      </c>
      <c r="J158" s="381">
        <f>IF(AND('FEBRERO 2026'!D57&lt;&gt;"",'FEBRERO 2026'!Z57="POR RECOGER"),'FEBRERO 2026'!Q57,"")</f>
        <v/>
      </c>
      <c r="K158" s="381">
        <f>IF(AND('FEBRERO 2026'!D57&lt;&gt;"",'FEBRERO 2026'!Z57="POR RECOGER"),'FEBRERO 2026'!Y57,"")</f>
        <v/>
      </c>
      <c r="L158" s="381">
        <f>IF(AND('FEBRERO 2026'!D57&lt;&gt;"",'FEBRERO 2026'!Z57="POR RECOGER"),'FEBRERO 2026'!I57,"")</f>
        <v/>
      </c>
      <c r="P158" s="194" t="n"/>
      <c r="Q158" s="194" t="n"/>
      <c r="R158" s="194" t="n"/>
      <c r="S158" s="194" t="n"/>
      <c r="T158" s="194" t="n"/>
      <c r="U158" s="194" t="n"/>
      <c r="V158" s="194" t="n"/>
      <c r="W158" s="194" t="n"/>
      <c r="X158" s="194" t="n"/>
      <c r="Y158" s="194" t="n"/>
      <c r="Z158" s="194" t="n"/>
    </row>
    <row r="159" ht="15" customHeight="1" s="195">
      <c r="A159" s="381">
        <f>IF(AND('FEBRERO 2026'!D58&lt;&gt;"",'FEBRERO 2026'!Z58="POR RECOGER"),"FEB","")</f>
        <v/>
      </c>
      <c r="B159" s="381">
        <f>IF(AND('FEBRERO 2026'!D58&lt;&gt;"",'FEBRERO 2026'!Z58="POR RECOGER"),IF('FEBRERO 2026'!Y58&lt;&gt;"",'FEBRERO 2026'!Y58,'FEBRERO 2026'!I58),"")</f>
        <v/>
      </c>
      <c r="C159" s="381">
        <f>IF(AND('FEBRERO 2026'!D58&lt;&gt;"",'FEBRERO 2026'!Z58="POR RECOGER"),'FEBRERO 2026'!D58,"")</f>
        <v/>
      </c>
      <c r="D159" s="381">
        <f>IF(AND('FEBRERO 2026'!D58&lt;&gt;"",'FEBRERO 2026'!Z58="POR RECOGER"),'FEBRERO 2026'!F58,"")</f>
        <v/>
      </c>
      <c r="E159" s="381">
        <f>IF(AND('FEBRERO 2026'!D58&lt;&gt;"",'FEBRERO 2026'!Z58="POR RECOGER"),TEXT('FEBRERO 2026'!G58,"DD/MM/YYYY"),"")</f>
        <v/>
      </c>
      <c r="F159" s="381">
        <f>IF(AND('FEBRERO 2026'!D58&lt;&gt;"",'FEBRERO 2026'!Z58="POR RECOGER"),'FEBRERO 2026'!K58,"")</f>
        <v/>
      </c>
      <c r="G159" s="382">
        <f>IF(AND('FEBRERO 2026'!D58&lt;&gt;"",'FEBRERO 2026'!Z58="POR RECOGER"),'FEBRERO 2026'!M58,"")</f>
        <v/>
      </c>
      <c r="H159" s="382">
        <f>IF(AND('FEBRERO 2026'!D58&lt;&gt;"",'FEBRERO 2026'!Z58="POR RECOGER"),'FEBRERO 2026'!N58,"")</f>
        <v/>
      </c>
      <c r="I159" s="381">
        <f>IF(AND('FEBRERO 2026'!D58&lt;&gt;"",'FEBRERO 2026'!Z58="POR RECOGER"),'FEBRERO 2026'!P58,"")</f>
        <v/>
      </c>
      <c r="J159" s="381">
        <f>IF(AND('FEBRERO 2026'!D58&lt;&gt;"",'FEBRERO 2026'!Z58="POR RECOGER"),'FEBRERO 2026'!Q58,"")</f>
        <v/>
      </c>
      <c r="K159" s="381">
        <f>IF(AND('FEBRERO 2026'!D58&lt;&gt;"",'FEBRERO 2026'!Z58="POR RECOGER"),'FEBRERO 2026'!Y58,"")</f>
        <v/>
      </c>
      <c r="L159" s="381">
        <f>IF(AND('FEBRERO 2026'!D58&lt;&gt;"",'FEBRERO 2026'!Z58="POR RECOGER"),'FEBRERO 2026'!I58,"")</f>
        <v/>
      </c>
      <c r="P159" s="194" t="n"/>
      <c r="Q159" s="194" t="n"/>
      <c r="R159" s="194" t="n"/>
      <c r="S159" s="194" t="n"/>
      <c r="T159" s="194" t="n"/>
      <c r="U159" s="194" t="n"/>
      <c r="V159" s="194" t="n"/>
      <c r="W159" s="194" t="n"/>
      <c r="X159" s="194" t="n"/>
      <c r="Y159" s="194" t="n"/>
      <c r="Z159" s="194" t="n"/>
    </row>
    <row r="160" ht="15" customHeight="1" s="195">
      <c r="A160" s="381">
        <f>IF(AND('FEBRERO 2026'!D59&lt;&gt;"",'FEBRERO 2026'!Z59="POR RECOGER"),"FEB","")</f>
        <v/>
      </c>
      <c r="B160" s="381">
        <f>IF(AND('FEBRERO 2026'!D59&lt;&gt;"",'FEBRERO 2026'!Z59="POR RECOGER"),IF('FEBRERO 2026'!Y59&lt;&gt;"",'FEBRERO 2026'!Y59,'FEBRERO 2026'!I59),"")</f>
        <v/>
      </c>
      <c r="C160" s="381">
        <f>IF(AND('FEBRERO 2026'!D59&lt;&gt;"",'FEBRERO 2026'!Z59="POR RECOGER"),'FEBRERO 2026'!D59,"")</f>
        <v/>
      </c>
      <c r="D160" s="381">
        <f>IF(AND('FEBRERO 2026'!D59&lt;&gt;"",'FEBRERO 2026'!Z59="POR RECOGER"),'FEBRERO 2026'!F59,"")</f>
        <v/>
      </c>
      <c r="E160" s="381">
        <f>IF(AND('FEBRERO 2026'!D59&lt;&gt;"",'FEBRERO 2026'!Z59="POR RECOGER"),TEXT('FEBRERO 2026'!G59,"DD/MM/YYYY"),"")</f>
        <v/>
      </c>
      <c r="F160" s="381">
        <f>IF(AND('FEBRERO 2026'!D59&lt;&gt;"",'FEBRERO 2026'!Z59="POR RECOGER"),'FEBRERO 2026'!K59,"")</f>
        <v/>
      </c>
      <c r="G160" s="382">
        <f>IF(AND('FEBRERO 2026'!D59&lt;&gt;"",'FEBRERO 2026'!Z59="POR RECOGER"),'FEBRERO 2026'!M59,"")</f>
        <v/>
      </c>
      <c r="H160" s="382">
        <f>IF(AND('FEBRERO 2026'!D59&lt;&gt;"",'FEBRERO 2026'!Z59="POR RECOGER"),'FEBRERO 2026'!N59,"")</f>
        <v/>
      </c>
      <c r="I160" s="381">
        <f>IF(AND('FEBRERO 2026'!D59&lt;&gt;"",'FEBRERO 2026'!Z59="POR RECOGER"),'FEBRERO 2026'!P59,"")</f>
        <v/>
      </c>
      <c r="J160" s="381">
        <f>IF(AND('FEBRERO 2026'!D59&lt;&gt;"",'FEBRERO 2026'!Z59="POR RECOGER"),'FEBRERO 2026'!Q59,"")</f>
        <v/>
      </c>
      <c r="K160" s="381">
        <f>IF(AND('FEBRERO 2026'!D59&lt;&gt;"",'FEBRERO 2026'!Z59="POR RECOGER"),'FEBRERO 2026'!Y59,"")</f>
        <v/>
      </c>
      <c r="L160" s="381">
        <f>IF(AND('FEBRERO 2026'!D59&lt;&gt;"",'FEBRERO 2026'!Z59="POR RECOGER"),'FEBRERO 2026'!I59,"")</f>
        <v/>
      </c>
      <c r="P160" s="194" t="n"/>
      <c r="Q160" s="194" t="n"/>
      <c r="R160" s="194" t="n"/>
      <c r="S160" s="194" t="n"/>
      <c r="T160" s="194" t="n"/>
      <c r="U160" s="194" t="n"/>
      <c r="V160" s="194" t="n"/>
      <c r="W160" s="194" t="n"/>
      <c r="X160" s="194" t="n"/>
      <c r="Y160" s="194" t="n"/>
      <c r="Z160" s="194" t="n"/>
    </row>
    <row r="161" ht="15" customHeight="1" s="195">
      <c r="A161" s="381">
        <f>IF(AND('FEBRERO 2026'!D60&lt;&gt;"",'FEBRERO 2026'!Z60="POR RECOGER"),"FEB","")</f>
        <v/>
      </c>
      <c r="B161" s="381">
        <f>IF(AND('FEBRERO 2026'!D60&lt;&gt;"",'FEBRERO 2026'!Z60="POR RECOGER"),IF('FEBRERO 2026'!Y60&lt;&gt;"",'FEBRERO 2026'!Y60,'FEBRERO 2026'!I60),"")</f>
        <v/>
      </c>
      <c r="C161" s="381">
        <f>IF(AND('FEBRERO 2026'!D60&lt;&gt;"",'FEBRERO 2026'!Z60="POR RECOGER"),'FEBRERO 2026'!D60,"")</f>
        <v/>
      </c>
      <c r="D161" s="381">
        <f>IF(AND('FEBRERO 2026'!D60&lt;&gt;"",'FEBRERO 2026'!Z60="POR RECOGER"),'FEBRERO 2026'!F60,"")</f>
        <v/>
      </c>
      <c r="E161" s="381">
        <f>IF(AND('FEBRERO 2026'!D60&lt;&gt;"",'FEBRERO 2026'!Z60="POR RECOGER"),TEXT('FEBRERO 2026'!G60,"DD/MM/YYYY"),"")</f>
        <v/>
      </c>
      <c r="F161" s="381">
        <f>IF(AND('FEBRERO 2026'!D60&lt;&gt;"",'FEBRERO 2026'!Z60="POR RECOGER"),'FEBRERO 2026'!K60,"")</f>
        <v/>
      </c>
      <c r="G161" s="382">
        <f>IF(AND('FEBRERO 2026'!D60&lt;&gt;"",'FEBRERO 2026'!Z60="POR RECOGER"),'FEBRERO 2026'!M60,"")</f>
        <v/>
      </c>
      <c r="H161" s="382">
        <f>IF(AND('FEBRERO 2026'!D60&lt;&gt;"",'FEBRERO 2026'!Z60="POR RECOGER"),'FEBRERO 2026'!N60,"")</f>
        <v/>
      </c>
      <c r="I161" s="381">
        <f>IF(AND('FEBRERO 2026'!D60&lt;&gt;"",'FEBRERO 2026'!Z60="POR RECOGER"),'FEBRERO 2026'!P60,"")</f>
        <v/>
      </c>
      <c r="J161" s="381">
        <f>IF(AND('FEBRERO 2026'!D60&lt;&gt;"",'FEBRERO 2026'!Z60="POR RECOGER"),'FEBRERO 2026'!Q60,"")</f>
        <v/>
      </c>
      <c r="K161" s="381">
        <f>IF(AND('FEBRERO 2026'!D60&lt;&gt;"",'FEBRERO 2026'!Z60="POR RECOGER"),'FEBRERO 2026'!Y60,"")</f>
        <v/>
      </c>
      <c r="L161" s="381">
        <f>IF(AND('FEBRERO 2026'!D60&lt;&gt;"",'FEBRERO 2026'!Z60="POR RECOGER"),'FEBRERO 2026'!I60,"")</f>
        <v/>
      </c>
      <c r="P161" s="194" t="n"/>
      <c r="Q161" s="194" t="n"/>
      <c r="R161" s="194" t="n"/>
      <c r="S161" s="194" t="n"/>
      <c r="T161" s="194" t="n"/>
      <c r="U161" s="194" t="n"/>
      <c r="V161" s="194" t="n"/>
      <c r="W161" s="194" t="n"/>
      <c r="X161" s="194" t="n"/>
      <c r="Y161" s="194" t="n"/>
      <c r="Z161" s="194" t="n"/>
    </row>
    <row r="162" ht="15" customHeight="1" s="195">
      <c r="A162" s="381">
        <f>IF(AND('FEBRERO 2026'!D61&lt;&gt;"",'FEBRERO 2026'!Z61="POR RECOGER"),"FEB","")</f>
        <v/>
      </c>
      <c r="B162" s="381">
        <f>IF(AND('FEBRERO 2026'!D61&lt;&gt;"",'FEBRERO 2026'!Z61="POR RECOGER"),IF('FEBRERO 2026'!Y61&lt;&gt;"",'FEBRERO 2026'!Y61,'FEBRERO 2026'!I61),"")</f>
        <v/>
      </c>
      <c r="C162" s="381">
        <f>IF(AND('FEBRERO 2026'!D61&lt;&gt;"",'FEBRERO 2026'!Z61="POR RECOGER"),'FEBRERO 2026'!D61,"")</f>
        <v/>
      </c>
      <c r="D162" s="381">
        <f>IF(AND('FEBRERO 2026'!D61&lt;&gt;"",'FEBRERO 2026'!Z61="POR RECOGER"),'FEBRERO 2026'!F61,"")</f>
        <v/>
      </c>
      <c r="E162" s="381">
        <f>IF(AND('FEBRERO 2026'!D61&lt;&gt;"",'FEBRERO 2026'!Z61="POR RECOGER"),TEXT('FEBRERO 2026'!G61,"DD/MM/YYYY"),"")</f>
        <v/>
      </c>
      <c r="F162" s="381">
        <f>IF(AND('FEBRERO 2026'!D61&lt;&gt;"",'FEBRERO 2026'!Z61="POR RECOGER"),'FEBRERO 2026'!K61,"")</f>
        <v/>
      </c>
      <c r="G162" s="382">
        <f>IF(AND('FEBRERO 2026'!D61&lt;&gt;"",'FEBRERO 2026'!Z61="POR RECOGER"),'FEBRERO 2026'!M61,"")</f>
        <v/>
      </c>
      <c r="H162" s="382">
        <f>IF(AND('FEBRERO 2026'!D61&lt;&gt;"",'FEBRERO 2026'!Z61="POR RECOGER"),'FEBRERO 2026'!N61,"")</f>
        <v/>
      </c>
      <c r="I162" s="381">
        <f>IF(AND('FEBRERO 2026'!D61&lt;&gt;"",'FEBRERO 2026'!Z61="POR RECOGER"),'FEBRERO 2026'!P61,"")</f>
        <v/>
      </c>
      <c r="J162" s="381">
        <f>IF(AND('FEBRERO 2026'!D61&lt;&gt;"",'FEBRERO 2026'!Z61="POR RECOGER"),'FEBRERO 2026'!Q61,"")</f>
        <v/>
      </c>
      <c r="K162" s="381">
        <f>IF(AND('FEBRERO 2026'!D61&lt;&gt;"",'FEBRERO 2026'!Z61="POR RECOGER"),'FEBRERO 2026'!Y61,"")</f>
        <v/>
      </c>
      <c r="L162" s="381">
        <f>IF(AND('FEBRERO 2026'!D61&lt;&gt;"",'FEBRERO 2026'!Z61="POR RECOGER"),'FEBRERO 2026'!I61,"")</f>
        <v/>
      </c>
      <c r="P162" s="194" t="n"/>
      <c r="Q162" s="194" t="n"/>
      <c r="R162" s="194" t="n"/>
      <c r="S162" s="194" t="n"/>
      <c r="T162" s="194" t="n"/>
      <c r="U162" s="194" t="n"/>
      <c r="V162" s="194" t="n"/>
      <c r="W162" s="194" t="n"/>
      <c r="X162" s="194" t="n"/>
      <c r="Y162" s="194" t="n"/>
      <c r="Z162" s="194" t="n"/>
    </row>
    <row r="163" ht="15" customHeight="1" s="195">
      <c r="A163" s="381">
        <f>IF(AND('FEBRERO 2026'!D62&lt;&gt;"",'FEBRERO 2026'!Z62="POR RECOGER"),"FEB","")</f>
        <v/>
      </c>
      <c r="B163" s="381">
        <f>IF(AND('FEBRERO 2026'!D62&lt;&gt;"",'FEBRERO 2026'!Z62="POR RECOGER"),IF('FEBRERO 2026'!Y62&lt;&gt;"",'FEBRERO 2026'!Y62,'FEBRERO 2026'!I62),"")</f>
        <v/>
      </c>
      <c r="C163" s="381">
        <f>IF(AND('FEBRERO 2026'!D62&lt;&gt;"",'FEBRERO 2026'!Z62="POR RECOGER"),'FEBRERO 2026'!D62,"")</f>
        <v/>
      </c>
      <c r="D163" s="381">
        <f>IF(AND('FEBRERO 2026'!D62&lt;&gt;"",'FEBRERO 2026'!Z62="POR RECOGER"),'FEBRERO 2026'!F62,"")</f>
        <v/>
      </c>
      <c r="E163" s="381">
        <f>IF(AND('FEBRERO 2026'!D62&lt;&gt;"",'FEBRERO 2026'!Z62="POR RECOGER"),TEXT('FEBRERO 2026'!G62,"DD/MM/YYYY"),"")</f>
        <v/>
      </c>
      <c r="F163" s="381">
        <f>IF(AND('FEBRERO 2026'!D62&lt;&gt;"",'FEBRERO 2026'!Z62="POR RECOGER"),'FEBRERO 2026'!K62,"")</f>
        <v/>
      </c>
      <c r="G163" s="382">
        <f>IF(AND('FEBRERO 2026'!D62&lt;&gt;"",'FEBRERO 2026'!Z62="POR RECOGER"),'FEBRERO 2026'!M62,"")</f>
        <v/>
      </c>
      <c r="H163" s="382">
        <f>IF(AND('FEBRERO 2026'!D62&lt;&gt;"",'FEBRERO 2026'!Z62="POR RECOGER"),'FEBRERO 2026'!N62,"")</f>
        <v/>
      </c>
      <c r="I163" s="381">
        <f>IF(AND('FEBRERO 2026'!D62&lt;&gt;"",'FEBRERO 2026'!Z62="POR RECOGER"),'FEBRERO 2026'!P62,"")</f>
        <v/>
      </c>
      <c r="J163" s="381">
        <f>IF(AND('FEBRERO 2026'!D62&lt;&gt;"",'FEBRERO 2026'!Z62="POR RECOGER"),'FEBRERO 2026'!Q62,"")</f>
        <v/>
      </c>
      <c r="K163" s="381">
        <f>IF(AND('FEBRERO 2026'!D62&lt;&gt;"",'FEBRERO 2026'!Z62="POR RECOGER"),'FEBRERO 2026'!Y62,"")</f>
        <v/>
      </c>
      <c r="L163" s="381">
        <f>IF(AND('FEBRERO 2026'!D62&lt;&gt;"",'FEBRERO 2026'!Z62="POR RECOGER"),'FEBRERO 2026'!I62,"")</f>
        <v/>
      </c>
      <c r="P163" s="194" t="n"/>
      <c r="Q163" s="194" t="n"/>
      <c r="R163" s="194" t="n"/>
      <c r="S163" s="194" t="n"/>
      <c r="T163" s="194" t="n"/>
      <c r="U163" s="194" t="n"/>
      <c r="V163" s="194" t="n"/>
      <c r="W163" s="194" t="n"/>
      <c r="X163" s="194" t="n"/>
      <c r="Y163" s="194" t="n"/>
      <c r="Z163" s="194" t="n"/>
    </row>
    <row r="164" ht="15" customHeight="1" s="195">
      <c r="A164" s="381">
        <f>IF(AND('FEBRERO 2026'!D63&lt;&gt;"",'FEBRERO 2026'!Z63="POR RECOGER"),"FEB","")</f>
        <v/>
      </c>
      <c r="B164" s="381">
        <f>IF(AND('FEBRERO 2026'!D63&lt;&gt;"",'FEBRERO 2026'!Z63="POR RECOGER"),IF('FEBRERO 2026'!Y63&lt;&gt;"",'FEBRERO 2026'!Y63,'FEBRERO 2026'!I63),"")</f>
        <v/>
      </c>
      <c r="C164" s="381">
        <f>IF(AND('FEBRERO 2026'!D63&lt;&gt;"",'FEBRERO 2026'!Z63="POR RECOGER"),'FEBRERO 2026'!D63,"")</f>
        <v/>
      </c>
      <c r="D164" s="381">
        <f>IF(AND('FEBRERO 2026'!D63&lt;&gt;"",'FEBRERO 2026'!Z63="POR RECOGER"),'FEBRERO 2026'!F63,"")</f>
        <v/>
      </c>
      <c r="E164" s="381">
        <f>IF(AND('FEBRERO 2026'!D63&lt;&gt;"",'FEBRERO 2026'!Z63="POR RECOGER"),TEXT('FEBRERO 2026'!G63,"DD/MM/YYYY"),"")</f>
        <v/>
      </c>
      <c r="F164" s="381">
        <f>IF(AND('FEBRERO 2026'!D63&lt;&gt;"",'FEBRERO 2026'!Z63="POR RECOGER"),'FEBRERO 2026'!K63,"")</f>
        <v/>
      </c>
      <c r="G164" s="382">
        <f>IF(AND('FEBRERO 2026'!D63&lt;&gt;"",'FEBRERO 2026'!Z63="POR RECOGER"),'FEBRERO 2026'!M63,"")</f>
        <v/>
      </c>
      <c r="H164" s="382">
        <f>IF(AND('FEBRERO 2026'!D63&lt;&gt;"",'FEBRERO 2026'!Z63="POR RECOGER"),'FEBRERO 2026'!N63,"")</f>
        <v/>
      </c>
      <c r="I164" s="381">
        <f>IF(AND('FEBRERO 2026'!D63&lt;&gt;"",'FEBRERO 2026'!Z63="POR RECOGER"),'FEBRERO 2026'!P63,"")</f>
        <v/>
      </c>
      <c r="J164" s="381">
        <f>IF(AND('FEBRERO 2026'!D63&lt;&gt;"",'FEBRERO 2026'!Z63="POR RECOGER"),'FEBRERO 2026'!Q63,"")</f>
        <v/>
      </c>
      <c r="K164" s="381">
        <f>IF(AND('FEBRERO 2026'!D63&lt;&gt;"",'FEBRERO 2026'!Z63="POR RECOGER"),'FEBRERO 2026'!Y63,"")</f>
        <v/>
      </c>
      <c r="L164" s="381">
        <f>IF(AND('FEBRERO 2026'!D63&lt;&gt;"",'FEBRERO 2026'!Z63="POR RECOGER"),'FEBRERO 2026'!I63,"")</f>
        <v/>
      </c>
      <c r="P164" s="194" t="n"/>
      <c r="Q164" s="194" t="n"/>
      <c r="R164" s="194" t="n"/>
      <c r="S164" s="194" t="n"/>
      <c r="T164" s="194" t="n"/>
      <c r="U164" s="194" t="n"/>
      <c r="V164" s="194" t="n"/>
      <c r="W164" s="194" t="n"/>
      <c r="X164" s="194" t="n"/>
      <c r="Y164" s="194" t="n"/>
      <c r="Z164" s="194" t="n"/>
    </row>
    <row r="165" ht="15" customHeight="1" s="195">
      <c r="A165" s="381">
        <f>IF(AND('FEBRERO 2026'!D64&lt;&gt;"",'FEBRERO 2026'!Z64="POR RECOGER"),"FEB","")</f>
        <v/>
      </c>
      <c r="B165" s="381">
        <f>IF(AND('FEBRERO 2026'!D64&lt;&gt;"",'FEBRERO 2026'!Z64="POR RECOGER"),IF('FEBRERO 2026'!Y64&lt;&gt;"",'FEBRERO 2026'!Y64,'FEBRERO 2026'!I64),"")</f>
        <v/>
      </c>
      <c r="C165" s="381">
        <f>IF(AND('FEBRERO 2026'!D64&lt;&gt;"",'FEBRERO 2026'!Z64="POR RECOGER"),'FEBRERO 2026'!D64,"")</f>
        <v/>
      </c>
      <c r="D165" s="381">
        <f>IF(AND('FEBRERO 2026'!D64&lt;&gt;"",'FEBRERO 2026'!Z64="POR RECOGER"),'FEBRERO 2026'!F64,"")</f>
        <v/>
      </c>
      <c r="E165" s="381">
        <f>IF(AND('FEBRERO 2026'!D64&lt;&gt;"",'FEBRERO 2026'!Z64="POR RECOGER"),TEXT('FEBRERO 2026'!G64,"DD/MM/YYYY"),"")</f>
        <v/>
      </c>
      <c r="F165" s="381">
        <f>IF(AND('FEBRERO 2026'!D64&lt;&gt;"",'FEBRERO 2026'!Z64="POR RECOGER"),'FEBRERO 2026'!K64,"")</f>
        <v/>
      </c>
      <c r="G165" s="382">
        <f>IF(AND('FEBRERO 2026'!D64&lt;&gt;"",'FEBRERO 2026'!Z64="POR RECOGER"),'FEBRERO 2026'!M64,"")</f>
        <v/>
      </c>
      <c r="H165" s="382">
        <f>IF(AND('FEBRERO 2026'!D64&lt;&gt;"",'FEBRERO 2026'!Z64="POR RECOGER"),'FEBRERO 2026'!N64,"")</f>
        <v/>
      </c>
      <c r="I165" s="381">
        <f>IF(AND('FEBRERO 2026'!D64&lt;&gt;"",'FEBRERO 2026'!Z64="POR RECOGER"),'FEBRERO 2026'!P64,"")</f>
        <v/>
      </c>
      <c r="J165" s="381">
        <f>IF(AND('FEBRERO 2026'!D64&lt;&gt;"",'FEBRERO 2026'!Z64="POR RECOGER"),'FEBRERO 2026'!Q64,"")</f>
        <v/>
      </c>
      <c r="K165" s="381">
        <f>IF(AND('FEBRERO 2026'!D64&lt;&gt;"",'FEBRERO 2026'!Z64="POR RECOGER"),'FEBRERO 2026'!Y64,"")</f>
        <v/>
      </c>
      <c r="L165" s="381">
        <f>IF(AND('FEBRERO 2026'!D64&lt;&gt;"",'FEBRERO 2026'!Z64="POR RECOGER"),'FEBRERO 2026'!I64,"")</f>
        <v/>
      </c>
      <c r="P165" s="194" t="n"/>
      <c r="Q165" s="194" t="n"/>
      <c r="R165" s="194" t="n"/>
      <c r="S165" s="194" t="n"/>
      <c r="T165" s="194" t="n"/>
      <c r="U165" s="194" t="n"/>
      <c r="V165" s="194" t="n"/>
      <c r="W165" s="194" t="n"/>
      <c r="X165" s="194" t="n"/>
      <c r="Y165" s="194" t="n"/>
      <c r="Z165" s="194" t="n"/>
    </row>
    <row r="166" ht="15" customHeight="1" s="195">
      <c r="A166" s="381">
        <f>IF(AND('FEBRERO 2026'!D65&lt;&gt;"",'FEBRERO 2026'!Z65="POR RECOGER"),"FEB","")</f>
        <v/>
      </c>
      <c r="B166" s="381">
        <f>IF(AND('FEBRERO 2026'!D65&lt;&gt;"",'FEBRERO 2026'!Z65="POR RECOGER"),IF('FEBRERO 2026'!Y65&lt;&gt;"",'FEBRERO 2026'!Y65,'FEBRERO 2026'!I65),"")</f>
        <v/>
      </c>
      <c r="C166" s="381">
        <f>IF(AND('FEBRERO 2026'!D65&lt;&gt;"",'FEBRERO 2026'!Z65="POR RECOGER"),'FEBRERO 2026'!D65,"")</f>
        <v/>
      </c>
      <c r="D166" s="381">
        <f>IF(AND('FEBRERO 2026'!D65&lt;&gt;"",'FEBRERO 2026'!Z65="POR RECOGER"),'FEBRERO 2026'!F65,"")</f>
        <v/>
      </c>
      <c r="E166" s="381">
        <f>IF(AND('FEBRERO 2026'!D65&lt;&gt;"",'FEBRERO 2026'!Z65="POR RECOGER"),TEXT('FEBRERO 2026'!G65,"DD/MM/YYYY"),"")</f>
        <v/>
      </c>
      <c r="F166" s="381">
        <f>IF(AND('FEBRERO 2026'!D65&lt;&gt;"",'FEBRERO 2026'!Z65="POR RECOGER"),'FEBRERO 2026'!K65,"")</f>
        <v/>
      </c>
      <c r="G166" s="382">
        <f>IF(AND('FEBRERO 2026'!D65&lt;&gt;"",'FEBRERO 2026'!Z65="POR RECOGER"),'FEBRERO 2026'!M65,"")</f>
        <v/>
      </c>
      <c r="H166" s="382">
        <f>IF(AND('FEBRERO 2026'!D65&lt;&gt;"",'FEBRERO 2026'!Z65="POR RECOGER"),'FEBRERO 2026'!N65,"")</f>
        <v/>
      </c>
      <c r="I166" s="381">
        <f>IF(AND('FEBRERO 2026'!D65&lt;&gt;"",'FEBRERO 2026'!Z65="POR RECOGER"),'FEBRERO 2026'!P65,"")</f>
        <v/>
      </c>
      <c r="J166" s="381">
        <f>IF(AND('FEBRERO 2026'!D65&lt;&gt;"",'FEBRERO 2026'!Z65="POR RECOGER"),'FEBRERO 2026'!Q65,"")</f>
        <v/>
      </c>
      <c r="K166" s="381">
        <f>IF(AND('FEBRERO 2026'!D65&lt;&gt;"",'FEBRERO 2026'!Z65="POR RECOGER"),'FEBRERO 2026'!Y65,"")</f>
        <v/>
      </c>
      <c r="L166" s="381">
        <f>IF(AND('FEBRERO 2026'!D65&lt;&gt;"",'FEBRERO 2026'!Z65="POR RECOGER"),'FEBRERO 2026'!I65,"")</f>
        <v/>
      </c>
      <c r="P166" s="194" t="n"/>
      <c r="Q166" s="194" t="n"/>
      <c r="R166" s="194" t="n"/>
      <c r="S166" s="194" t="n"/>
      <c r="T166" s="194" t="n"/>
      <c r="U166" s="194" t="n"/>
      <c r="V166" s="194" t="n"/>
      <c r="W166" s="194" t="n"/>
      <c r="X166" s="194" t="n"/>
      <c r="Y166" s="194" t="n"/>
      <c r="Z166" s="194" t="n"/>
    </row>
    <row r="167" ht="15" customHeight="1" s="195">
      <c r="A167" s="381">
        <f>IF(AND('FEBRERO 2026'!D66&lt;&gt;"",'FEBRERO 2026'!Z66="POR RECOGER"),"FEB","")</f>
        <v/>
      </c>
      <c r="B167" s="381">
        <f>IF(AND('FEBRERO 2026'!D66&lt;&gt;"",'FEBRERO 2026'!Z66="POR RECOGER"),IF('FEBRERO 2026'!Y66&lt;&gt;"",'FEBRERO 2026'!Y66,'FEBRERO 2026'!I66),"")</f>
        <v/>
      </c>
      <c r="C167" s="381">
        <f>IF(AND('FEBRERO 2026'!D66&lt;&gt;"",'FEBRERO 2026'!Z66="POR RECOGER"),'FEBRERO 2026'!D66,"")</f>
        <v/>
      </c>
      <c r="D167" s="381">
        <f>IF(AND('FEBRERO 2026'!D66&lt;&gt;"",'FEBRERO 2026'!Z66="POR RECOGER"),'FEBRERO 2026'!F66,"")</f>
        <v/>
      </c>
      <c r="E167" s="381">
        <f>IF(AND('FEBRERO 2026'!D66&lt;&gt;"",'FEBRERO 2026'!Z66="POR RECOGER"),TEXT('FEBRERO 2026'!G66,"DD/MM/YYYY"),"")</f>
        <v/>
      </c>
      <c r="F167" s="381">
        <f>IF(AND('FEBRERO 2026'!D66&lt;&gt;"",'FEBRERO 2026'!Z66="POR RECOGER"),'FEBRERO 2026'!K66,"")</f>
        <v/>
      </c>
      <c r="G167" s="382">
        <f>IF(AND('FEBRERO 2026'!D66&lt;&gt;"",'FEBRERO 2026'!Z66="POR RECOGER"),'FEBRERO 2026'!M66,"")</f>
        <v/>
      </c>
      <c r="H167" s="382">
        <f>IF(AND('FEBRERO 2026'!D66&lt;&gt;"",'FEBRERO 2026'!Z66="POR RECOGER"),'FEBRERO 2026'!N66,"")</f>
        <v/>
      </c>
      <c r="I167" s="381">
        <f>IF(AND('FEBRERO 2026'!D66&lt;&gt;"",'FEBRERO 2026'!Z66="POR RECOGER"),'FEBRERO 2026'!P66,"")</f>
        <v/>
      </c>
      <c r="J167" s="381">
        <f>IF(AND('FEBRERO 2026'!D66&lt;&gt;"",'FEBRERO 2026'!Z66="POR RECOGER"),'FEBRERO 2026'!Q66,"")</f>
        <v/>
      </c>
      <c r="K167" s="381">
        <f>IF(AND('FEBRERO 2026'!D66&lt;&gt;"",'FEBRERO 2026'!Z66="POR RECOGER"),'FEBRERO 2026'!Y66,"")</f>
        <v/>
      </c>
      <c r="L167" s="381">
        <f>IF(AND('FEBRERO 2026'!D66&lt;&gt;"",'FEBRERO 2026'!Z66="POR RECOGER"),'FEBRERO 2026'!I66,"")</f>
        <v/>
      </c>
      <c r="P167" s="194" t="n"/>
      <c r="Q167" s="194" t="n"/>
      <c r="R167" s="194" t="n"/>
      <c r="S167" s="194" t="n"/>
      <c r="T167" s="194" t="n"/>
      <c r="U167" s="194" t="n"/>
      <c r="V167" s="194" t="n"/>
      <c r="W167" s="194" t="n"/>
      <c r="X167" s="194" t="n"/>
      <c r="Y167" s="194" t="n"/>
      <c r="Z167" s="194" t="n"/>
    </row>
    <row r="168" ht="15" customHeight="1" s="195">
      <c r="A168" s="381">
        <f>IF(AND('FEBRERO 2026'!D67&lt;&gt;"",'FEBRERO 2026'!Z67="POR RECOGER"),"FEB","")</f>
        <v/>
      </c>
      <c r="B168" s="381">
        <f>IF(AND('FEBRERO 2026'!D67&lt;&gt;"",'FEBRERO 2026'!Z67="POR RECOGER"),IF('FEBRERO 2026'!Y67&lt;&gt;"",'FEBRERO 2026'!Y67,'FEBRERO 2026'!I67),"")</f>
        <v/>
      </c>
      <c r="C168" s="381">
        <f>IF(AND('FEBRERO 2026'!D67&lt;&gt;"",'FEBRERO 2026'!Z67="POR RECOGER"),'FEBRERO 2026'!D67,"")</f>
        <v/>
      </c>
      <c r="D168" s="381">
        <f>IF(AND('FEBRERO 2026'!D67&lt;&gt;"",'FEBRERO 2026'!Z67="POR RECOGER"),'FEBRERO 2026'!F67,"")</f>
        <v/>
      </c>
      <c r="E168" s="381">
        <f>IF(AND('FEBRERO 2026'!D67&lt;&gt;"",'FEBRERO 2026'!Z67="POR RECOGER"),TEXT('FEBRERO 2026'!G67,"DD/MM/YYYY"),"")</f>
        <v/>
      </c>
      <c r="F168" s="381">
        <f>IF(AND('FEBRERO 2026'!D67&lt;&gt;"",'FEBRERO 2026'!Z67="POR RECOGER"),'FEBRERO 2026'!K67,"")</f>
        <v/>
      </c>
      <c r="G168" s="382">
        <f>IF(AND('FEBRERO 2026'!D67&lt;&gt;"",'FEBRERO 2026'!Z67="POR RECOGER"),'FEBRERO 2026'!M67,"")</f>
        <v/>
      </c>
      <c r="H168" s="382">
        <f>IF(AND('FEBRERO 2026'!D67&lt;&gt;"",'FEBRERO 2026'!Z67="POR RECOGER"),'FEBRERO 2026'!N67,"")</f>
        <v/>
      </c>
      <c r="I168" s="381">
        <f>IF(AND('FEBRERO 2026'!D67&lt;&gt;"",'FEBRERO 2026'!Z67="POR RECOGER"),'FEBRERO 2026'!P67,"")</f>
        <v/>
      </c>
      <c r="J168" s="381">
        <f>IF(AND('FEBRERO 2026'!D67&lt;&gt;"",'FEBRERO 2026'!Z67="POR RECOGER"),'FEBRERO 2026'!Q67,"")</f>
        <v/>
      </c>
      <c r="K168" s="381">
        <f>IF(AND('FEBRERO 2026'!D67&lt;&gt;"",'FEBRERO 2026'!Z67="POR RECOGER"),'FEBRERO 2026'!Y67,"")</f>
        <v/>
      </c>
      <c r="L168" s="381">
        <f>IF(AND('FEBRERO 2026'!D67&lt;&gt;"",'FEBRERO 2026'!Z67="POR RECOGER"),'FEBRERO 2026'!I67,"")</f>
        <v/>
      </c>
      <c r="P168" s="194" t="n"/>
      <c r="Q168" s="194" t="n"/>
      <c r="R168" s="194" t="n"/>
      <c r="S168" s="194" t="n"/>
      <c r="T168" s="194" t="n"/>
      <c r="U168" s="194" t="n"/>
      <c r="V168" s="194" t="n"/>
      <c r="W168" s="194" t="n"/>
      <c r="X168" s="194" t="n"/>
      <c r="Y168" s="194" t="n"/>
      <c r="Z168" s="194" t="n"/>
    </row>
    <row r="169" ht="15" customHeight="1" s="195">
      <c r="A169" s="381">
        <f>IF(AND('FEBRERO 2026'!D68&lt;&gt;"",'FEBRERO 2026'!Z68="POR RECOGER"),"FEB","")</f>
        <v/>
      </c>
      <c r="B169" s="381">
        <f>IF(AND('FEBRERO 2026'!D68&lt;&gt;"",'FEBRERO 2026'!Z68="POR RECOGER"),IF('FEBRERO 2026'!Y68&lt;&gt;"",'FEBRERO 2026'!Y68,'FEBRERO 2026'!I68),"")</f>
        <v/>
      </c>
      <c r="C169" s="381">
        <f>IF(AND('FEBRERO 2026'!D68&lt;&gt;"",'FEBRERO 2026'!Z68="POR RECOGER"),'FEBRERO 2026'!D68,"")</f>
        <v/>
      </c>
      <c r="D169" s="381">
        <f>IF(AND('FEBRERO 2026'!D68&lt;&gt;"",'FEBRERO 2026'!Z68="POR RECOGER"),'FEBRERO 2026'!F68,"")</f>
        <v/>
      </c>
      <c r="E169" s="381">
        <f>IF(AND('FEBRERO 2026'!D68&lt;&gt;"",'FEBRERO 2026'!Z68="POR RECOGER"),TEXT('FEBRERO 2026'!G68,"DD/MM/YYYY"),"")</f>
        <v/>
      </c>
      <c r="F169" s="381">
        <f>IF(AND('FEBRERO 2026'!D68&lt;&gt;"",'FEBRERO 2026'!Z68="POR RECOGER"),'FEBRERO 2026'!K68,"")</f>
        <v/>
      </c>
      <c r="G169" s="382">
        <f>IF(AND('FEBRERO 2026'!D68&lt;&gt;"",'FEBRERO 2026'!Z68="POR RECOGER"),'FEBRERO 2026'!M68,"")</f>
        <v/>
      </c>
      <c r="H169" s="382">
        <f>IF(AND('FEBRERO 2026'!D68&lt;&gt;"",'FEBRERO 2026'!Z68="POR RECOGER"),'FEBRERO 2026'!N68,"")</f>
        <v/>
      </c>
      <c r="I169" s="381">
        <f>IF(AND('FEBRERO 2026'!D68&lt;&gt;"",'FEBRERO 2026'!Z68="POR RECOGER"),'FEBRERO 2026'!P68,"")</f>
        <v/>
      </c>
      <c r="J169" s="381">
        <f>IF(AND('FEBRERO 2026'!D68&lt;&gt;"",'FEBRERO 2026'!Z68="POR RECOGER"),'FEBRERO 2026'!Q68,"")</f>
        <v/>
      </c>
      <c r="K169" s="381">
        <f>IF(AND('FEBRERO 2026'!D68&lt;&gt;"",'FEBRERO 2026'!Z68="POR RECOGER"),'FEBRERO 2026'!Y68,"")</f>
        <v/>
      </c>
      <c r="L169" s="381">
        <f>IF(AND('FEBRERO 2026'!D68&lt;&gt;"",'FEBRERO 2026'!Z68="POR RECOGER"),'FEBRERO 2026'!I68,"")</f>
        <v/>
      </c>
      <c r="P169" s="194" t="n"/>
      <c r="Q169" s="194" t="n"/>
      <c r="R169" s="194" t="n"/>
      <c r="S169" s="194" t="n"/>
      <c r="T169" s="194" t="n"/>
      <c r="U169" s="194" t="n"/>
      <c r="V169" s="194" t="n"/>
      <c r="W169" s="194" t="n"/>
      <c r="X169" s="194" t="n"/>
      <c r="Y169" s="194" t="n"/>
      <c r="Z169" s="194" t="n"/>
    </row>
    <row r="170" ht="15" customHeight="1" s="195">
      <c r="A170" s="381">
        <f>IF(AND('FEBRERO 2026'!D69&lt;&gt;"",'FEBRERO 2026'!Z69="POR RECOGER"),"FEB","")</f>
        <v/>
      </c>
      <c r="B170" s="381">
        <f>IF(AND('FEBRERO 2026'!D69&lt;&gt;"",'FEBRERO 2026'!Z69="POR RECOGER"),IF('FEBRERO 2026'!Y69&lt;&gt;"",'FEBRERO 2026'!Y69,'FEBRERO 2026'!I69),"")</f>
        <v/>
      </c>
      <c r="C170" s="381">
        <f>IF(AND('FEBRERO 2026'!D69&lt;&gt;"",'FEBRERO 2026'!Z69="POR RECOGER"),'FEBRERO 2026'!D69,"")</f>
        <v/>
      </c>
      <c r="D170" s="381">
        <f>IF(AND('FEBRERO 2026'!D69&lt;&gt;"",'FEBRERO 2026'!Z69="POR RECOGER"),'FEBRERO 2026'!F69,"")</f>
        <v/>
      </c>
      <c r="E170" s="381">
        <f>IF(AND('FEBRERO 2026'!D69&lt;&gt;"",'FEBRERO 2026'!Z69="POR RECOGER"),TEXT('FEBRERO 2026'!G69,"DD/MM/YYYY"),"")</f>
        <v/>
      </c>
      <c r="F170" s="381">
        <f>IF(AND('FEBRERO 2026'!D69&lt;&gt;"",'FEBRERO 2026'!Z69="POR RECOGER"),'FEBRERO 2026'!K69,"")</f>
        <v/>
      </c>
      <c r="G170" s="382">
        <f>IF(AND('FEBRERO 2026'!D69&lt;&gt;"",'FEBRERO 2026'!Z69="POR RECOGER"),'FEBRERO 2026'!M69,"")</f>
        <v/>
      </c>
      <c r="H170" s="382">
        <f>IF(AND('FEBRERO 2026'!D69&lt;&gt;"",'FEBRERO 2026'!Z69="POR RECOGER"),'FEBRERO 2026'!N69,"")</f>
        <v/>
      </c>
      <c r="I170" s="381">
        <f>IF(AND('FEBRERO 2026'!D69&lt;&gt;"",'FEBRERO 2026'!Z69="POR RECOGER"),'FEBRERO 2026'!P69,"")</f>
        <v/>
      </c>
      <c r="J170" s="381">
        <f>IF(AND('FEBRERO 2026'!D69&lt;&gt;"",'FEBRERO 2026'!Z69="POR RECOGER"),'FEBRERO 2026'!Q69,"")</f>
        <v/>
      </c>
      <c r="K170" s="381">
        <f>IF(AND('FEBRERO 2026'!D69&lt;&gt;"",'FEBRERO 2026'!Z69="POR RECOGER"),'FEBRERO 2026'!Y69,"")</f>
        <v/>
      </c>
      <c r="L170" s="381">
        <f>IF(AND('FEBRERO 2026'!D69&lt;&gt;"",'FEBRERO 2026'!Z69="POR RECOGER"),'FEBRERO 2026'!I69,"")</f>
        <v/>
      </c>
      <c r="P170" s="194" t="n"/>
      <c r="Q170" s="194" t="n"/>
      <c r="R170" s="194" t="n"/>
      <c r="S170" s="194" t="n"/>
      <c r="T170" s="194" t="n"/>
      <c r="U170" s="194" t="n"/>
      <c r="V170" s="194" t="n"/>
      <c r="W170" s="194" t="n"/>
      <c r="X170" s="194" t="n"/>
      <c r="Y170" s="194" t="n"/>
      <c r="Z170" s="194" t="n"/>
    </row>
    <row r="171" ht="15" customHeight="1" s="195">
      <c r="A171" s="381">
        <f>IF(AND('FEBRERO 2026'!D70&lt;&gt;"",'FEBRERO 2026'!Z70="POR RECOGER"),"FEB","")</f>
        <v/>
      </c>
      <c r="B171" s="381">
        <f>IF(AND('FEBRERO 2026'!D70&lt;&gt;"",'FEBRERO 2026'!Z70="POR RECOGER"),IF('FEBRERO 2026'!Y70&lt;&gt;"",'FEBRERO 2026'!Y70,'FEBRERO 2026'!I70),"")</f>
        <v/>
      </c>
      <c r="C171" s="381">
        <f>IF(AND('FEBRERO 2026'!D70&lt;&gt;"",'FEBRERO 2026'!Z70="POR RECOGER"),'FEBRERO 2026'!D70,"")</f>
        <v/>
      </c>
      <c r="D171" s="381">
        <f>IF(AND('FEBRERO 2026'!D70&lt;&gt;"",'FEBRERO 2026'!Z70="POR RECOGER"),'FEBRERO 2026'!F70,"")</f>
        <v/>
      </c>
      <c r="E171" s="381">
        <f>IF(AND('FEBRERO 2026'!D70&lt;&gt;"",'FEBRERO 2026'!Z70="POR RECOGER"),TEXT('FEBRERO 2026'!G70,"DD/MM/YYYY"),"")</f>
        <v/>
      </c>
      <c r="F171" s="381">
        <f>IF(AND('FEBRERO 2026'!D70&lt;&gt;"",'FEBRERO 2026'!Z70="POR RECOGER"),'FEBRERO 2026'!K70,"")</f>
        <v/>
      </c>
      <c r="G171" s="382">
        <f>IF(AND('FEBRERO 2026'!D70&lt;&gt;"",'FEBRERO 2026'!Z70="POR RECOGER"),'FEBRERO 2026'!M70,"")</f>
        <v/>
      </c>
      <c r="H171" s="382">
        <f>IF(AND('FEBRERO 2026'!D70&lt;&gt;"",'FEBRERO 2026'!Z70="POR RECOGER"),'FEBRERO 2026'!N70,"")</f>
        <v/>
      </c>
      <c r="I171" s="381">
        <f>IF(AND('FEBRERO 2026'!D70&lt;&gt;"",'FEBRERO 2026'!Z70="POR RECOGER"),'FEBRERO 2026'!P70,"")</f>
        <v/>
      </c>
      <c r="J171" s="381">
        <f>IF(AND('FEBRERO 2026'!D70&lt;&gt;"",'FEBRERO 2026'!Z70="POR RECOGER"),'FEBRERO 2026'!Q70,"")</f>
        <v/>
      </c>
      <c r="K171" s="381">
        <f>IF(AND('FEBRERO 2026'!D70&lt;&gt;"",'FEBRERO 2026'!Z70="POR RECOGER"),'FEBRERO 2026'!Y70,"")</f>
        <v/>
      </c>
      <c r="L171" s="381">
        <f>IF(AND('FEBRERO 2026'!D70&lt;&gt;"",'FEBRERO 2026'!Z70="POR RECOGER"),'FEBRERO 2026'!I70,"")</f>
        <v/>
      </c>
      <c r="P171" s="194" t="n"/>
      <c r="Q171" s="194" t="n"/>
      <c r="R171" s="194" t="n"/>
      <c r="S171" s="194" t="n"/>
      <c r="T171" s="194" t="n"/>
      <c r="U171" s="194" t="n"/>
      <c r="V171" s="194" t="n"/>
      <c r="W171" s="194" t="n"/>
      <c r="X171" s="194" t="n"/>
      <c r="Y171" s="194" t="n"/>
      <c r="Z171" s="194" t="n"/>
    </row>
    <row r="172" ht="15" customHeight="1" s="195">
      <c r="A172" s="381">
        <f>IF(AND('FEBRERO 2026'!D71&lt;&gt;"",'FEBRERO 2026'!Z71="POR RECOGER"),"FEB","")</f>
        <v/>
      </c>
      <c r="B172" s="381">
        <f>IF(AND('FEBRERO 2026'!D71&lt;&gt;"",'FEBRERO 2026'!Z71="POR RECOGER"),IF('FEBRERO 2026'!Y71&lt;&gt;"",'FEBRERO 2026'!Y71,'FEBRERO 2026'!I71),"")</f>
        <v/>
      </c>
      <c r="C172" s="381">
        <f>IF(AND('FEBRERO 2026'!D71&lt;&gt;"",'FEBRERO 2026'!Z71="POR RECOGER"),'FEBRERO 2026'!D71,"")</f>
        <v/>
      </c>
      <c r="D172" s="381">
        <f>IF(AND('FEBRERO 2026'!D71&lt;&gt;"",'FEBRERO 2026'!Z71="POR RECOGER"),'FEBRERO 2026'!F71,"")</f>
        <v/>
      </c>
      <c r="E172" s="381">
        <f>IF(AND('FEBRERO 2026'!D71&lt;&gt;"",'FEBRERO 2026'!Z71="POR RECOGER"),TEXT('FEBRERO 2026'!G71,"DD/MM/YYYY"),"")</f>
        <v/>
      </c>
      <c r="F172" s="381">
        <f>IF(AND('FEBRERO 2026'!D71&lt;&gt;"",'FEBRERO 2026'!Z71="POR RECOGER"),'FEBRERO 2026'!K71,"")</f>
        <v/>
      </c>
      <c r="G172" s="382">
        <f>IF(AND('FEBRERO 2026'!D71&lt;&gt;"",'FEBRERO 2026'!Z71="POR RECOGER"),'FEBRERO 2026'!M71,"")</f>
        <v/>
      </c>
      <c r="H172" s="382">
        <f>IF(AND('FEBRERO 2026'!D71&lt;&gt;"",'FEBRERO 2026'!Z71="POR RECOGER"),'FEBRERO 2026'!N71,"")</f>
        <v/>
      </c>
      <c r="I172" s="381">
        <f>IF(AND('FEBRERO 2026'!D71&lt;&gt;"",'FEBRERO 2026'!Z71="POR RECOGER"),'FEBRERO 2026'!P71,"")</f>
        <v/>
      </c>
      <c r="J172" s="381">
        <f>IF(AND('FEBRERO 2026'!D71&lt;&gt;"",'FEBRERO 2026'!Z71="POR RECOGER"),'FEBRERO 2026'!Q71,"")</f>
        <v/>
      </c>
      <c r="K172" s="381">
        <f>IF(AND('FEBRERO 2026'!D71&lt;&gt;"",'FEBRERO 2026'!Z71="POR RECOGER"),'FEBRERO 2026'!Y71,"")</f>
        <v/>
      </c>
      <c r="L172" s="381">
        <f>IF(AND('FEBRERO 2026'!D71&lt;&gt;"",'FEBRERO 2026'!Z71="POR RECOGER"),'FEBRERO 2026'!I71,"")</f>
        <v/>
      </c>
      <c r="P172" s="194" t="n"/>
      <c r="Q172" s="194" t="n"/>
      <c r="R172" s="194" t="n"/>
      <c r="S172" s="194" t="n"/>
      <c r="T172" s="194" t="n"/>
      <c r="U172" s="194" t="n"/>
      <c r="V172" s="194" t="n"/>
      <c r="W172" s="194" t="n"/>
      <c r="X172" s="194" t="n"/>
      <c r="Y172" s="194" t="n"/>
      <c r="Z172" s="194" t="n"/>
    </row>
    <row r="173" ht="15" customHeight="1" s="195">
      <c r="A173" s="381">
        <f>IF(AND('FEBRERO 2026'!D72&lt;&gt;"",'FEBRERO 2026'!Z72="POR RECOGER"),"FEB","")</f>
        <v/>
      </c>
      <c r="B173" s="381">
        <f>IF(AND('FEBRERO 2026'!D72&lt;&gt;"",'FEBRERO 2026'!Z72="POR RECOGER"),IF('FEBRERO 2026'!Y72&lt;&gt;"",'FEBRERO 2026'!Y72,'FEBRERO 2026'!I72),"")</f>
        <v/>
      </c>
      <c r="C173" s="381">
        <f>IF(AND('FEBRERO 2026'!D72&lt;&gt;"",'FEBRERO 2026'!Z72="POR RECOGER"),'FEBRERO 2026'!D72,"")</f>
        <v/>
      </c>
      <c r="D173" s="381">
        <f>IF(AND('FEBRERO 2026'!D72&lt;&gt;"",'FEBRERO 2026'!Z72="POR RECOGER"),'FEBRERO 2026'!F72,"")</f>
        <v/>
      </c>
      <c r="E173" s="381">
        <f>IF(AND('FEBRERO 2026'!D72&lt;&gt;"",'FEBRERO 2026'!Z72="POR RECOGER"),TEXT('FEBRERO 2026'!G72,"DD/MM/YYYY"),"")</f>
        <v/>
      </c>
      <c r="F173" s="381">
        <f>IF(AND('FEBRERO 2026'!D72&lt;&gt;"",'FEBRERO 2026'!Z72="POR RECOGER"),'FEBRERO 2026'!K72,"")</f>
        <v/>
      </c>
      <c r="G173" s="382">
        <f>IF(AND('FEBRERO 2026'!D72&lt;&gt;"",'FEBRERO 2026'!Z72="POR RECOGER"),'FEBRERO 2026'!M72,"")</f>
        <v/>
      </c>
      <c r="H173" s="382">
        <f>IF(AND('FEBRERO 2026'!D72&lt;&gt;"",'FEBRERO 2026'!Z72="POR RECOGER"),'FEBRERO 2026'!N72,"")</f>
        <v/>
      </c>
      <c r="I173" s="381">
        <f>IF(AND('FEBRERO 2026'!D72&lt;&gt;"",'FEBRERO 2026'!Z72="POR RECOGER"),'FEBRERO 2026'!P72,"")</f>
        <v/>
      </c>
      <c r="J173" s="381">
        <f>IF(AND('FEBRERO 2026'!D72&lt;&gt;"",'FEBRERO 2026'!Z72="POR RECOGER"),'FEBRERO 2026'!Q72,"")</f>
        <v/>
      </c>
      <c r="K173" s="381">
        <f>IF(AND('FEBRERO 2026'!D72&lt;&gt;"",'FEBRERO 2026'!Z72="POR RECOGER"),'FEBRERO 2026'!Y72,"")</f>
        <v/>
      </c>
      <c r="L173" s="381">
        <f>IF(AND('FEBRERO 2026'!D72&lt;&gt;"",'FEBRERO 2026'!Z72="POR RECOGER"),'FEBRERO 2026'!I72,"")</f>
        <v/>
      </c>
      <c r="P173" s="194" t="n"/>
      <c r="Q173" s="194" t="n"/>
      <c r="R173" s="194" t="n"/>
      <c r="S173" s="194" t="n"/>
      <c r="T173" s="194" t="n"/>
      <c r="U173" s="194" t="n"/>
      <c r="V173" s="194" t="n"/>
      <c r="W173" s="194" t="n"/>
      <c r="X173" s="194" t="n"/>
      <c r="Y173" s="194" t="n"/>
      <c r="Z173" s="194" t="n"/>
    </row>
    <row r="174" ht="15" customHeight="1" s="195">
      <c r="A174" s="381">
        <f>IF(AND('FEBRERO 2026'!D73&lt;&gt;"",'FEBRERO 2026'!Z73="POR RECOGER"),"FEB","")</f>
        <v/>
      </c>
      <c r="B174" s="381">
        <f>IF(AND('FEBRERO 2026'!D73&lt;&gt;"",'FEBRERO 2026'!Z73="POR RECOGER"),IF('FEBRERO 2026'!Y73&lt;&gt;"",'FEBRERO 2026'!Y73,'FEBRERO 2026'!I73),"")</f>
        <v/>
      </c>
      <c r="C174" s="381">
        <f>IF(AND('FEBRERO 2026'!D73&lt;&gt;"",'FEBRERO 2026'!Z73="POR RECOGER"),'FEBRERO 2026'!D73,"")</f>
        <v/>
      </c>
      <c r="D174" s="381">
        <f>IF(AND('FEBRERO 2026'!D73&lt;&gt;"",'FEBRERO 2026'!Z73="POR RECOGER"),'FEBRERO 2026'!F73,"")</f>
        <v/>
      </c>
      <c r="E174" s="381">
        <f>IF(AND('FEBRERO 2026'!D73&lt;&gt;"",'FEBRERO 2026'!Z73="POR RECOGER"),TEXT('FEBRERO 2026'!G73,"DD/MM/YYYY"),"")</f>
        <v/>
      </c>
      <c r="F174" s="381">
        <f>IF(AND('FEBRERO 2026'!D73&lt;&gt;"",'FEBRERO 2026'!Z73="POR RECOGER"),'FEBRERO 2026'!K73,"")</f>
        <v/>
      </c>
      <c r="G174" s="382">
        <f>IF(AND('FEBRERO 2026'!D73&lt;&gt;"",'FEBRERO 2026'!Z73="POR RECOGER"),'FEBRERO 2026'!M73,"")</f>
        <v/>
      </c>
      <c r="H174" s="382">
        <f>IF(AND('FEBRERO 2026'!D73&lt;&gt;"",'FEBRERO 2026'!Z73="POR RECOGER"),'FEBRERO 2026'!N73,"")</f>
        <v/>
      </c>
      <c r="I174" s="381">
        <f>IF(AND('FEBRERO 2026'!D73&lt;&gt;"",'FEBRERO 2026'!Z73="POR RECOGER"),'FEBRERO 2026'!P73,"")</f>
        <v/>
      </c>
      <c r="J174" s="381">
        <f>IF(AND('FEBRERO 2026'!D73&lt;&gt;"",'FEBRERO 2026'!Z73="POR RECOGER"),'FEBRERO 2026'!Q73,"")</f>
        <v/>
      </c>
      <c r="K174" s="381">
        <f>IF(AND('FEBRERO 2026'!D73&lt;&gt;"",'FEBRERO 2026'!Z73="POR RECOGER"),'FEBRERO 2026'!Y73,"")</f>
        <v/>
      </c>
      <c r="L174" s="381">
        <f>IF(AND('FEBRERO 2026'!D73&lt;&gt;"",'FEBRERO 2026'!Z73="POR RECOGER"),'FEBRERO 2026'!I73,"")</f>
        <v/>
      </c>
      <c r="P174" s="194" t="n"/>
      <c r="Q174" s="194" t="n"/>
      <c r="R174" s="194" t="n"/>
      <c r="S174" s="194" t="n"/>
      <c r="T174" s="194" t="n"/>
      <c r="U174" s="194" t="n"/>
      <c r="V174" s="194" t="n"/>
      <c r="W174" s="194" t="n"/>
      <c r="X174" s="194" t="n"/>
      <c r="Y174" s="194" t="n"/>
      <c r="Z174" s="194" t="n"/>
    </row>
    <row r="175" ht="15" customHeight="1" s="195">
      <c r="A175" s="381">
        <f>IF(AND('FEBRERO 2026'!D74&lt;&gt;"",'FEBRERO 2026'!Z74="POR RECOGER"),"FEB","")</f>
        <v/>
      </c>
      <c r="B175" s="381">
        <f>IF(AND('FEBRERO 2026'!D74&lt;&gt;"",'FEBRERO 2026'!Z74="POR RECOGER"),IF('FEBRERO 2026'!Y74&lt;&gt;"",'FEBRERO 2026'!Y74,'FEBRERO 2026'!I74),"")</f>
        <v/>
      </c>
      <c r="C175" s="381">
        <f>IF(AND('FEBRERO 2026'!D74&lt;&gt;"",'FEBRERO 2026'!Z74="POR RECOGER"),'FEBRERO 2026'!D74,"")</f>
        <v/>
      </c>
      <c r="D175" s="381">
        <f>IF(AND('FEBRERO 2026'!D74&lt;&gt;"",'FEBRERO 2026'!Z74="POR RECOGER"),'FEBRERO 2026'!F74,"")</f>
        <v/>
      </c>
      <c r="E175" s="381">
        <f>IF(AND('FEBRERO 2026'!D74&lt;&gt;"",'FEBRERO 2026'!Z74="POR RECOGER"),TEXT('FEBRERO 2026'!G74,"DD/MM/YYYY"),"")</f>
        <v/>
      </c>
      <c r="F175" s="381">
        <f>IF(AND('FEBRERO 2026'!D74&lt;&gt;"",'FEBRERO 2026'!Z74="POR RECOGER"),'FEBRERO 2026'!K74,"")</f>
        <v/>
      </c>
      <c r="G175" s="382">
        <f>IF(AND('FEBRERO 2026'!D74&lt;&gt;"",'FEBRERO 2026'!Z74="POR RECOGER"),'FEBRERO 2026'!M74,"")</f>
        <v/>
      </c>
      <c r="H175" s="382">
        <f>IF(AND('FEBRERO 2026'!D74&lt;&gt;"",'FEBRERO 2026'!Z74="POR RECOGER"),'FEBRERO 2026'!N74,"")</f>
        <v/>
      </c>
      <c r="I175" s="381">
        <f>IF(AND('FEBRERO 2026'!D74&lt;&gt;"",'FEBRERO 2026'!Z74="POR RECOGER"),'FEBRERO 2026'!P74,"")</f>
        <v/>
      </c>
      <c r="J175" s="381">
        <f>IF(AND('FEBRERO 2026'!D74&lt;&gt;"",'FEBRERO 2026'!Z74="POR RECOGER"),'FEBRERO 2026'!Q74,"")</f>
        <v/>
      </c>
      <c r="K175" s="381">
        <f>IF(AND('FEBRERO 2026'!D74&lt;&gt;"",'FEBRERO 2026'!Z74="POR RECOGER"),'FEBRERO 2026'!Y74,"")</f>
        <v/>
      </c>
      <c r="L175" s="381">
        <f>IF(AND('FEBRERO 2026'!D74&lt;&gt;"",'FEBRERO 2026'!Z74="POR RECOGER"),'FEBRERO 2026'!I74,"")</f>
        <v/>
      </c>
      <c r="P175" s="194" t="n"/>
      <c r="Q175" s="194" t="n"/>
      <c r="R175" s="194" t="n"/>
      <c r="S175" s="194" t="n"/>
      <c r="T175" s="194" t="n"/>
      <c r="U175" s="194" t="n"/>
      <c r="V175" s="194" t="n"/>
      <c r="W175" s="194" t="n"/>
      <c r="X175" s="194" t="n"/>
      <c r="Y175" s="194" t="n"/>
      <c r="Z175" s="194" t="n"/>
    </row>
    <row r="176" ht="15" customHeight="1" s="195">
      <c r="A176" s="381">
        <f>IF(AND('FEBRERO 2026'!D75&lt;&gt;"",'FEBRERO 2026'!Z75="POR RECOGER"),"FEB","")</f>
        <v/>
      </c>
      <c r="B176" s="381">
        <f>IF(AND('FEBRERO 2026'!D75&lt;&gt;"",'FEBRERO 2026'!Z75="POR RECOGER"),IF('FEBRERO 2026'!Y75&lt;&gt;"",'FEBRERO 2026'!Y75,'FEBRERO 2026'!I75),"")</f>
        <v/>
      </c>
      <c r="C176" s="381">
        <f>IF(AND('FEBRERO 2026'!D75&lt;&gt;"",'FEBRERO 2026'!Z75="POR RECOGER"),'FEBRERO 2026'!D75,"")</f>
        <v/>
      </c>
      <c r="D176" s="381">
        <f>IF(AND('FEBRERO 2026'!D75&lt;&gt;"",'FEBRERO 2026'!Z75="POR RECOGER"),'FEBRERO 2026'!F75,"")</f>
        <v/>
      </c>
      <c r="E176" s="381">
        <f>IF(AND('FEBRERO 2026'!D75&lt;&gt;"",'FEBRERO 2026'!Z75="POR RECOGER"),TEXT('FEBRERO 2026'!G75,"DD/MM/YYYY"),"")</f>
        <v/>
      </c>
      <c r="F176" s="381">
        <f>IF(AND('FEBRERO 2026'!D75&lt;&gt;"",'FEBRERO 2026'!Z75="POR RECOGER"),'FEBRERO 2026'!K75,"")</f>
        <v/>
      </c>
      <c r="G176" s="382">
        <f>IF(AND('FEBRERO 2026'!D75&lt;&gt;"",'FEBRERO 2026'!Z75="POR RECOGER"),'FEBRERO 2026'!M75,"")</f>
        <v/>
      </c>
      <c r="H176" s="382">
        <f>IF(AND('FEBRERO 2026'!D75&lt;&gt;"",'FEBRERO 2026'!Z75="POR RECOGER"),'FEBRERO 2026'!N75,"")</f>
        <v/>
      </c>
      <c r="I176" s="381">
        <f>IF(AND('FEBRERO 2026'!D75&lt;&gt;"",'FEBRERO 2026'!Z75="POR RECOGER"),'FEBRERO 2026'!P75,"")</f>
        <v/>
      </c>
      <c r="J176" s="381">
        <f>IF(AND('FEBRERO 2026'!D75&lt;&gt;"",'FEBRERO 2026'!Z75="POR RECOGER"),'FEBRERO 2026'!Q75,"")</f>
        <v/>
      </c>
      <c r="K176" s="381">
        <f>IF(AND('FEBRERO 2026'!D75&lt;&gt;"",'FEBRERO 2026'!Z75="POR RECOGER"),'FEBRERO 2026'!Y75,"")</f>
        <v/>
      </c>
      <c r="L176" s="381">
        <f>IF(AND('FEBRERO 2026'!D75&lt;&gt;"",'FEBRERO 2026'!Z75="POR RECOGER"),'FEBRERO 2026'!I75,"")</f>
        <v/>
      </c>
      <c r="P176" s="194" t="n"/>
      <c r="Q176" s="194" t="n"/>
      <c r="R176" s="194" t="n"/>
      <c r="S176" s="194" t="n"/>
      <c r="T176" s="194" t="n"/>
      <c r="U176" s="194" t="n"/>
      <c r="V176" s="194" t="n"/>
      <c r="W176" s="194" t="n"/>
      <c r="X176" s="194" t="n"/>
      <c r="Y176" s="194" t="n"/>
      <c r="Z176" s="194" t="n"/>
    </row>
    <row r="177" ht="15" customHeight="1" s="195">
      <c r="A177" s="381">
        <f>IF(AND('FEBRERO 2026'!D76&lt;&gt;"",'FEBRERO 2026'!Z76="POR RECOGER"),"FEB","")</f>
        <v/>
      </c>
      <c r="B177" s="381">
        <f>IF(AND('FEBRERO 2026'!D76&lt;&gt;"",'FEBRERO 2026'!Z76="POR RECOGER"),IF('FEBRERO 2026'!Y76&lt;&gt;"",'FEBRERO 2026'!Y76,'FEBRERO 2026'!I76),"")</f>
        <v/>
      </c>
      <c r="C177" s="381">
        <f>IF(AND('FEBRERO 2026'!D76&lt;&gt;"",'FEBRERO 2026'!Z76="POR RECOGER"),'FEBRERO 2026'!D76,"")</f>
        <v/>
      </c>
      <c r="D177" s="381">
        <f>IF(AND('FEBRERO 2026'!D76&lt;&gt;"",'FEBRERO 2026'!Z76="POR RECOGER"),'FEBRERO 2026'!F76,"")</f>
        <v/>
      </c>
      <c r="E177" s="381">
        <f>IF(AND('FEBRERO 2026'!D76&lt;&gt;"",'FEBRERO 2026'!Z76="POR RECOGER"),TEXT('FEBRERO 2026'!G76,"DD/MM/YYYY"),"")</f>
        <v/>
      </c>
      <c r="F177" s="381">
        <f>IF(AND('FEBRERO 2026'!D76&lt;&gt;"",'FEBRERO 2026'!Z76="POR RECOGER"),'FEBRERO 2026'!K76,"")</f>
        <v/>
      </c>
      <c r="G177" s="382">
        <f>IF(AND('FEBRERO 2026'!D76&lt;&gt;"",'FEBRERO 2026'!Z76="POR RECOGER"),'FEBRERO 2026'!M76,"")</f>
        <v/>
      </c>
      <c r="H177" s="382">
        <f>IF(AND('FEBRERO 2026'!D76&lt;&gt;"",'FEBRERO 2026'!Z76="POR RECOGER"),'FEBRERO 2026'!N76,"")</f>
        <v/>
      </c>
      <c r="I177" s="381">
        <f>IF(AND('FEBRERO 2026'!D76&lt;&gt;"",'FEBRERO 2026'!Z76="POR RECOGER"),'FEBRERO 2026'!P76,"")</f>
        <v/>
      </c>
      <c r="J177" s="381">
        <f>IF(AND('FEBRERO 2026'!D76&lt;&gt;"",'FEBRERO 2026'!Z76="POR RECOGER"),'FEBRERO 2026'!Q76,"")</f>
        <v/>
      </c>
      <c r="K177" s="381">
        <f>IF(AND('FEBRERO 2026'!D76&lt;&gt;"",'FEBRERO 2026'!Z76="POR RECOGER"),'FEBRERO 2026'!Y76,"")</f>
        <v/>
      </c>
      <c r="L177" s="381">
        <f>IF(AND('FEBRERO 2026'!D76&lt;&gt;"",'FEBRERO 2026'!Z76="POR RECOGER"),'FEBRERO 2026'!I76,"")</f>
        <v/>
      </c>
      <c r="P177" s="194" t="n"/>
      <c r="Q177" s="194" t="n"/>
      <c r="R177" s="194" t="n"/>
      <c r="S177" s="194" t="n"/>
      <c r="T177" s="194" t="n"/>
      <c r="U177" s="194" t="n"/>
      <c r="V177" s="194" t="n"/>
      <c r="W177" s="194" t="n"/>
      <c r="X177" s="194" t="n"/>
      <c r="Y177" s="194" t="n"/>
      <c r="Z177" s="194" t="n"/>
    </row>
    <row r="178" ht="15" customHeight="1" s="195">
      <c r="A178" s="381">
        <f>IF(AND('FEBRERO 2026'!D77&lt;&gt;"",'FEBRERO 2026'!Z77="POR RECOGER"),"FEB","")</f>
        <v/>
      </c>
      <c r="B178" s="381">
        <f>IF(AND('FEBRERO 2026'!D77&lt;&gt;"",'FEBRERO 2026'!Z77="POR RECOGER"),IF('FEBRERO 2026'!Y77&lt;&gt;"",'FEBRERO 2026'!Y77,'FEBRERO 2026'!I77),"")</f>
        <v/>
      </c>
      <c r="C178" s="381">
        <f>IF(AND('FEBRERO 2026'!D77&lt;&gt;"",'FEBRERO 2026'!Z77="POR RECOGER"),'FEBRERO 2026'!D77,"")</f>
        <v/>
      </c>
      <c r="D178" s="381">
        <f>IF(AND('FEBRERO 2026'!D77&lt;&gt;"",'FEBRERO 2026'!Z77="POR RECOGER"),'FEBRERO 2026'!F77,"")</f>
        <v/>
      </c>
      <c r="E178" s="381">
        <f>IF(AND('FEBRERO 2026'!D77&lt;&gt;"",'FEBRERO 2026'!Z77="POR RECOGER"),TEXT('FEBRERO 2026'!G77,"DD/MM/YYYY"),"")</f>
        <v/>
      </c>
      <c r="F178" s="381">
        <f>IF(AND('FEBRERO 2026'!D77&lt;&gt;"",'FEBRERO 2026'!Z77="POR RECOGER"),'FEBRERO 2026'!K77,"")</f>
        <v/>
      </c>
      <c r="G178" s="382">
        <f>IF(AND('FEBRERO 2026'!D77&lt;&gt;"",'FEBRERO 2026'!Z77="POR RECOGER"),'FEBRERO 2026'!M77,"")</f>
        <v/>
      </c>
      <c r="H178" s="382">
        <f>IF(AND('FEBRERO 2026'!D77&lt;&gt;"",'FEBRERO 2026'!Z77="POR RECOGER"),'FEBRERO 2026'!N77,"")</f>
        <v/>
      </c>
      <c r="I178" s="381">
        <f>IF(AND('FEBRERO 2026'!D77&lt;&gt;"",'FEBRERO 2026'!Z77="POR RECOGER"),'FEBRERO 2026'!P77,"")</f>
        <v/>
      </c>
      <c r="J178" s="381">
        <f>IF(AND('FEBRERO 2026'!D77&lt;&gt;"",'FEBRERO 2026'!Z77="POR RECOGER"),'FEBRERO 2026'!Q77,"")</f>
        <v/>
      </c>
      <c r="K178" s="381">
        <f>IF(AND('FEBRERO 2026'!D77&lt;&gt;"",'FEBRERO 2026'!Z77="POR RECOGER"),'FEBRERO 2026'!Y77,"")</f>
        <v/>
      </c>
      <c r="L178" s="381">
        <f>IF(AND('FEBRERO 2026'!D77&lt;&gt;"",'FEBRERO 2026'!Z77="POR RECOGER"),'FEBRERO 2026'!I77,"")</f>
        <v/>
      </c>
      <c r="P178" s="194" t="n"/>
      <c r="Q178" s="194" t="n"/>
      <c r="R178" s="194" t="n"/>
      <c r="S178" s="194" t="n"/>
      <c r="T178" s="194" t="n"/>
      <c r="U178" s="194" t="n"/>
      <c r="V178" s="194" t="n"/>
      <c r="W178" s="194" t="n"/>
      <c r="X178" s="194" t="n"/>
      <c r="Y178" s="194" t="n"/>
      <c r="Z178" s="194" t="n"/>
    </row>
    <row r="179" ht="15" customHeight="1" s="195">
      <c r="A179" s="381">
        <f>IF(AND('FEBRERO 2026'!D78&lt;&gt;"",'FEBRERO 2026'!Z78="POR RECOGER"),"FEB","")</f>
        <v/>
      </c>
      <c r="B179" s="381">
        <f>IF(AND('FEBRERO 2026'!D78&lt;&gt;"",'FEBRERO 2026'!Z78="POR RECOGER"),IF('FEBRERO 2026'!Y78&lt;&gt;"",'FEBRERO 2026'!Y78,'FEBRERO 2026'!I78),"")</f>
        <v/>
      </c>
      <c r="C179" s="381">
        <f>IF(AND('FEBRERO 2026'!D78&lt;&gt;"",'FEBRERO 2026'!Z78="POR RECOGER"),'FEBRERO 2026'!D78,"")</f>
        <v/>
      </c>
      <c r="D179" s="381">
        <f>IF(AND('FEBRERO 2026'!D78&lt;&gt;"",'FEBRERO 2026'!Z78="POR RECOGER"),'FEBRERO 2026'!F78,"")</f>
        <v/>
      </c>
      <c r="E179" s="381">
        <f>IF(AND('FEBRERO 2026'!D78&lt;&gt;"",'FEBRERO 2026'!Z78="POR RECOGER"),TEXT('FEBRERO 2026'!G78,"DD/MM/YYYY"),"")</f>
        <v/>
      </c>
      <c r="F179" s="381">
        <f>IF(AND('FEBRERO 2026'!D78&lt;&gt;"",'FEBRERO 2026'!Z78="POR RECOGER"),'FEBRERO 2026'!K78,"")</f>
        <v/>
      </c>
      <c r="G179" s="382">
        <f>IF(AND('FEBRERO 2026'!D78&lt;&gt;"",'FEBRERO 2026'!Z78="POR RECOGER"),'FEBRERO 2026'!M78,"")</f>
        <v/>
      </c>
      <c r="H179" s="382">
        <f>IF(AND('FEBRERO 2026'!D78&lt;&gt;"",'FEBRERO 2026'!Z78="POR RECOGER"),'FEBRERO 2026'!N78,"")</f>
        <v/>
      </c>
      <c r="I179" s="381">
        <f>IF(AND('FEBRERO 2026'!D78&lt;&gt;"",'FEBRERO 2026'!Z78="POR RECOGER"),'FEBRERO 2026'!P78,"")</f>
        <v/>
      </c>
      <c r="J179" s="381">
        <f>IF(AND('FEBRERO 2026'!D78&lt;&gt;"",'FEBRERO 2026'!Z78="POR RECOGER"),'FEBRERO 2026'!Q78,"")</f>
        <v/>
      </c>
      <c r="K179" s="381">
        <f>IF(AND('FEBRERO 2026'!D78&lt;&gt;"",'FEBRERO 2026'!Z78="POR RECOGER"),'FEBRERO 2026'!Y78,"")</f>
        <v/>
      </c>
      <c r="L179" s="381">
        <f>IF(AND('FEBRERO 2026'!D78&lt;&gt;"",'FEBRERO 2026'!Z78="POR RECOGER"),'FEBRERO 2026'!I78,"")</f>
        <v/>
      </c>
      <c r="P179" s="194" t="n"/>
      <c r="Q179" s="194" t="n"/>
      <c r="R179" s="194" t="n"/>
      <c r="S179" s="194" t="n"/>
      <c r="T179" s="194" t="n"/>
      <c r="U179" s="194" t="n"/>
      <c r="V179" s="194" t="n"/>
      <c r="W179" s="194" t="n"/>
      <c r="X179" s="194" t="n"/>
      <c r="Y179" s="194" t="n"/>
      <c r="Z179" s="194" t="n"/>
    </row>
    <row r="180" ht="15" customHeight="1" s="195">
      <c r="A180" s="381">
        <f>IF(AND('FEBRERO 2026'!D79&lt;&gt;"",'FEBRERO 2026'!Z79="POR RECOGER"),"FEB","")</f>
        <v/>
      </c>
      <c r="B180" s="381">
        <f>IF(AND('FEBRERO 2026'!D79&lt;&gt;"",'FEBRERO 2026'!Z79="POR RECOGER"),IF('FEBRERO 2026'!Y79&lt;&gt;"",'FEBRERO 2026'!Y79,'FEBRERO 2026'!I79),"")</f>
        <v/>
      </c>
      <c r="C180" s="381">
        <f>IF(AND('FEBRERO 2026'!D79&lt;&gt;"",'FEBRERO 2026'!Z79="POR RECOGER"),'FEBRERO 2026'!D79,"")</f>
        <v/>
      </c>
      <c r="D180" s="381">
        <f>IF(AND('FEBRERO 2026'!D79&lt;&gt;"",'FEBRERO 2026'!Z79="POR RECOGER"),'FEBRERO 2026'!F79,"")</f>
        <v/>
      </c>
      <c r="E180" s="381">
        <f>IF(AND('FEBRERO 2026'!D79&lt;&gt;"",'FEBRERO 2026'!Z79="POR RECOGER"),TEXT('FEBRERO 2026'!G79,"DD/MM/YYYY"),"")</f>
        <v/>
      </c>
      <c r="F180" s="381">
        <f>IF(AND('FEBRERO 2026'!D79&lt;&gt;"",'FEBRERO 2026'!Z79="POR RECOGER"),'FEBRERO 2026'!K79,"")</f>
        <v/>
      </c>
      <c r="G180" s="382">
        <f>IF(AND('FEBRERO 2026'!D79&lt;&gt;"",'FEBRERO 2026'!Z79="POR RECOGER"),'FEBRERO 2026'!M79,"")</f>
        <v/>
      </c>
      <c r="H180" s="382">
        <f>IF(AND('FEBRERO 2026'!D79&lt;&gt;"",'FEBRERO 2026'!Z79="POR RECOGER"),'FEBRERO 2026'!N79,"")</f>
        <v/>
      </c>
      <c r="I180" s="381">
        <f>IF(AND('FEBRERO 2026'!D79&lt;&gt;"",'FEBRERO 2026'!Z79="POR RECOGER"),'FEBRERO 2026'!P79,"")</f>
        <v/>
      </c>
      <c r="J180" s="381">
        <f>IF(AND('FEBRERO 2026'!D79&lt;&gt;"",'FEBRERO 2026'!Z79="POR RECOGER"),'FEBRERO 2026'!Q79,"")</f>
        <v/>
      </c>
      <c r="K180" s="381">
        <f>IF(AND('FEBRERO 2026'!D79&lt;&gt;"",'FEBRERO 2026'!Z79="POR RECOGER"),'FEBRERO 2026'!Y79,"")</f>
        <v/>
      </c>
      <c r="L180" s="381">
        <f>IF(AND('FEBRERO 2026'!D79&lt;&gt;"",'FEBRERO 2026'!Z79="POR RECOGER"),'FEBRERO 2026'!I79,"")</f>
        <v/>
      </c>
      <c r="P180" s="194" t="n"/>
      <c r="Q180" s="194" t="n"/>
      <c r="R180" s="194" t="n"/>
      <c r="S180" s="194" t="n"/>
      <c r="T180" s="194" t="n"/>
      <c r="U180" s="194" t="n"/>
      <c r="V180" s="194" t="n"/>
      <c r="W180" s="194" t="n"/>
      <c r="X180" s="194" t="n"/>
      <c r="Y180" s="194" t="n"/>
      <c r="Z180" s="194" t="n"/>
    </row>
    <row r="181" ht="15" customHeight="1" s="195">
      <c r="A181" s="381">
        <f>IF(AND('FEBRERO 2026'!D80&lt;&gt;"",'FEBRERO 2026'!Z80="POR RECOGER"),"FEB","")</f>
        <v/>
      </c>
      <c r="B181" s="381">
        <f>IF(AND('FEBRERO 2026'!D80&lt;&gt;"",'FEBRERO 2026'!Z80="POR RECOGER"),IF('FEBRERO 2026'!Y80&lt;&gt;"",'FEBRERO 2026'!Y80,'FEBRERO 2026'!I80),"")</f>
        <v/>
      </c>
      <c r="C181" s="381">
        <f>IF(AND('FEBRERO 2026'!D80&lt;&gt;"",'FEBRERO 2026'!Z80="POR RECOGER"),'FEBRERO 2026'!D80,"")</f>
        <v/>
      </c>
      <c r="D181" s="381">
        <f>IF(AND('FEBRERO 2026'!D80&lt;&gt;"",'FEBRERO 2026'!Z80="POR RECOGER"),'FEBRERO 2026'!F80,"")</f>
        <v/>
      </c>
      <c r="E181" s="381">
        <f>IF(AND('FEBRERO 2026'!D80&lt;&gt;"",'FEBRERO 2026'!Z80="POR RECOGER"),TEXT('FEBRERO 2026'!G80,"DD/MM/YYYY"),"")</f>
        <v/>
      </c>
      <c r="F181" s="381">
        <f>IF(AND('FEBRERO 2026'!D80&lt;&gt;"",'FEBRERO 2026'!Z80="POR RECOGER"),'FEBRERO 2026'!K80,"")</f>
        <v/>
      </c>
      <c r="G181" s="382">
        <f>IF(AND('FEBRERO 2026'!D80&lt;&gt;"",'FEBRERO 2026'!Z80="POR RECOGER"),'FEBRERO 2026'!M80,"")</f>
        <v/>
      </c>
      <c r="H181" s="382">
        <f>IF(AND('FEBRERO 2026'!D80&lt;&gt;"",'FEBRERO 2026'!Z80="POR RECOGER"),'FEBRERO 2026'!N80,"")</f>
        <v/>
      </c>
      <c r="I181" s="381">
        <f>IF(AND('FEBRERO 2026'!D80&lt;&gt;"",'FEBRERO 2026'!Z80="POR RECOGER"),'FEBRERO 2026'!P80,"")</f>
        <v/>
      </c>
      <c r="J181" s="381">
        <f>IF(AND('FEBRERO 2026'!D80&lt;&gt;"",'FEBRERO 2026'!Z80="POR RECOGER"),'FEBRERO 2026'!Q80,"")</f>
        <v/>
      </c>
      <c r="K181" s="381">
        <f>IF(AND('FEBRERO 2026'!D80&lt;&gt;"",'FEBRERO 2026'!Z80="POR RECOGER"),'FEBRERO 2026'!Y80,"")</f>
        <v/>
      </c>
      <c r="L181" s="381">
        <f>IF(AND('FEBRERO 2026'!D80&lt;&gt;"",'FEBRERO 2026'!Z80="POR RECOGER"),'FEBRERO 2026'!I80,"")</f>
        <v/>
      </c>
      <c r="P181" s="194" t="n"/>
      <c r="Q181" s="194" t="n"/>
      <c r="R181" s="194" t="n"/>
      <c r="S181" s="194" t="n"/>
      <c r="T181" s="194" t="n"/>
      <c r="U181" s="194" t="n"/>
      <c r="V181" s="194" t="n"/>
      <c r="W181" s="194" t="n"/>
      <c r="X181" s="194" t="n"/>
      <c r="Y181" s="194" t="n"/>
      <c r="Z181" s="194" t="n"/>
    </row>
    <row r="182" ht="15" customHeight="1" s="195">
      <c r="A182" s="381">
        <f>IF(AND('FEBRERO 2026'!D81&lt;&gt;"",'FEBRERO 2026'!Z81="POR RECOGER"),"FEB","")</f>
        <v/>
      </c>
      <c r="B182" s="381">
        <f>IF(AND('FEBRERO 2026'!D81&lt;&gt;"",'FEBRERO 2026'!Z81="POR RECOGER"),IF('FEBRERO 2026'!Y81&lt;&gt;"",'FEBRERO 2026'!Y81,'FEBRERO 2026'!I81),"")</f>
        <v/>
      </c>
      <c r="C182" s="381">
        <f>IF(AND('FEBRERO 2026'!D81&lt;&gt;"",'FEBRERO 2026'!Z81="POR RECOGER"),'FEBRERO 2026'!D81,"")</f>
        <v/>
      </c>
      <c r="D182" s="381">
        <f>IF(AND('FEBRERO 2026'!D81&lt;&gt;"",'FEBRERO 2026'!Z81="POR RECOGER"),'FEBRERO 2026'!F81,"")</f>
        <v/>
      </c>
      <c r="E182" s="381">
        <f>IF(AND('FEBRERO 2026'!D81&lt;&gt;"",'FEBRERO 2026'!Z81="POR RECOGER"),TEXT('FEBRERO 2026'!G81,"DD/MM/YYYY"),"")</f>
        <v/>
      </c>
      <c r="F182" s="381">
        <f>IF(AND('FEBRERO 2026'!D81&lt;&gt;"",'FEBRERO 2026'!Z81="POR RECOGER"),'FEBRERO 2026'!K81,"")</f>
        <v/>
      </c>
      <c r="G182" s="382">
        <f>IF(AND('FEBRERO 2026'!D81&lt;&gt;"",'FEBRERO 2026'!Z81="POR RECOGER"),'FEBRERO 2026'!M81,"")</f>
        <v/>
      </c>
      <c r="H182" s="382">
        <f>IF(AND('FEBRERO 2026'!D81&lt;&gt;"",'FEBRERO 2026'!Z81="POR RECOGER"),'FEBRERO 2026'!N81,"")</f>
        <v/>
      </c>
      <c r="I182" s="381">
        <f>IF(AND('FEBRERO 2026'!D81&lt;&gt;"",'FEBRERO 2026'!Z81="POR RECOGER"),'FEBRERO 2026'!P81,"")</f>
        <v/>
      </c>
      <c r="J182" s="381">
        <f>IF(AND('FEBRERO 2026'!D81&lt;&gt;"",'FEBRERO 2026'!Z81="POR RECOGER"),'FEBRERO 2026'!Q81,"")</f>
        <v/>
      </c>
      <c r="K182" s="381">
        <f>IF(AND('FEBRERO 2026'!D81&lt;&gt;"",'FEBRERO 2026'!Z81="POR RECOGER"),'FEBRERO 2026'!Y81,"")</f>
        <v/>
      </c>
      <c r="L182" s="381">
        <f>IF(AND('FEBRERO 2026'!D81&lt;&gt;"",'FEBRERO 2026'!Z81="POR RECOGER"),'FEBRERO 2026'!I81,"")</f>
        <v/>
      </c>
      <c r="P182" s="194" t="n"/>
      <c r="Q182" s="194" t="n"/>
      <c r="R182" s="194" t="n"/>
      <c r="S182" s="194" t="n"/>
      <c r="T182" s="194" t="n"/>
      <c r="U182" s="194" t="n"/>
      <c r="V182" s="194" t="n"/>
      <c r="W182" s="194" t="n"/>
      <c r="X182" s="194" t="n"/>
      <c r="Y182" s="194" t="n"/>
      <c r="Z182" s="194" t="n"/>
    </row>
    <row r="183" ht="15" customHeight="1" s="195">
      <c r="A183" s="381">
        <f>IF(AND('FEBRERO 2026'!D82&lt;&gt;"",'FEBRERO 2026'!Z82="POR RECOGER"),"FEB","")</f>
        <v/>
      </c>
      <c r="B183" s="381">
        <f>IF(AND('FEBRERO 2026'!D82&lt;&gt;"",'FEBRERO 2026'!Z82="POR RECOGER"),IF('FEBRERO 2026'!Y82&lt;&gt;"",'FEBRERO 2026'!Y82,'FEBRERO 2026'!I82),"")</f>
        <v/>
      </c>
      <c r="C183" s="381">
        <f>IF(AND('FEBRERO 2026'!D82&lt;&gt;"",'FEBRERO 2026'!Z82="POR RECOGER"),'FEBRERO 2026'!D82,"")</f>
        <v/>
      </c>
      <c r="D183" s="381">
        <f>IF(AND('FEBRERO 2026'!D82&lt;&gt;"",'FEBRERO 2026'!Z82="POR RECOGER"),'FEBRERO 2026'!F82,"")</f>
        <v/>
      </c>
      <c r="E183" s="381">
        <f>IF(AND('FEBRERO 2026'!D82&lt;&gt;"",'FEBRERO 2026'!Z82="POR RECOGER"),TEXT('FEBRERO 2026'!G82,"DD/MM/YYYY"),"")</f>
        <v/>
      </c>
      <c r="F183" s="381">
        <f>IF(AND('FEBRERO 2026'!D82&lt;&gt;"",'FEBRERO 2026'!Z82="POR RECOGER"),'FEBRERO 2026'!K82,"")</f>
        <v/>
      </c>
      <c r="G183" s="382">
        <f>IF(AND('FEBRERO 2026'!D82&lt;&gt;"",'FEBRERO 2026'!Z82="POR RECOGER"),'FEBRERO 2026'!M82,"")</f>
        <v/>
      </c>
      <c r="H183" s="382">
        <f>IF(AND('FEBRERO 2026'!D82&lt;&gt;"",'FEBRERO 2026'!Z82="POR RECOGER"),'FEBRERO 2026'!N82,"")</f>
        <v/>
      </c>
      <c r="I183" s="381">
        <f>IF(AND('FEBRERO 2026'!D82&lt;&gt;"",'FEBRERO 2026'!Z82="POR RECOGER"),'FEBRERO 2026'!P82,"")</f>
        <v/>
      </c>
      <c r="J183" s="381">
        <f>IF(AND('FEBRERO 2026'!D82&lt;&gt;"",'FEBRERO 2026'!Z82="POR RECOGER"),'FEBRERO 2026'!Q82,"")</f>
        <v/>
      </c>
      <c r="K183" s="381">
        <f>IF(AND('FEBRERO 2026'!D82&lt;&gt;"",'FEBRERO 2026'!Z82="POR RECOGER"),'FEBRERO 2026'!Y82,"")</f>
        <v/>
      </c>
      <c r="L183" s="381">
        <f>IF(AND('FEBRERO 2026'!D82&lt;&gt;"",'FEBRERO 2026'!Z82="POR RECOGER"),'FEBRERO 2026'!I82,"")</f>
        <v/>
      </c>
      <c r="P183" s="194" t="n"/>
      <c r="Q183" s="194" t="n"/>
      <c r="R183" s="194" t="n"/>
      <c r="S183" s="194" t="n"/>
      <c r="T183" s="194" t="n"/>
      <c r="U183" s="194" t="n"/>
      <c r="V183" s="194" t="n"/>
      <c r="W183" s="194" t="n"/>
      <c r="X183" s="194" t="n"/>
      <c r="Y183" s="194" t="n"/>
      <c r="Z183" s="194" t="n"/>
    </row>
    <row r="184" ht="15" customHeight="1" s="195">
      <c r="A184" s="381">
        <f>IF(AND('FEBRERO 2026'!D83&lt;&gt;"",'FEBRERO 2026'!Z83="POR RECOGER"),"FEB","")</f>
        <v/>
      </c>
      <c r="B184" s="381">
        <f>IF(AND('FEBRERO 2026'!D83&lt;&gt;"",'FEBRERO 2026'!Z83="POR RECOGER"),IF('FEBRERO 2026'!Y83&lt;&gt;"",'FEBRERO 2026'!Y83,'FEBRERO 2026'!I83),"")</f>
        <v/>
      </c>
      <c r="C184" s="381">
        <f>IF(AND('FEBRERO 2026'!D83&lt;&gt;"",'FEBRERO 2026'!Z83="POR RECOGER"),'FEBRERO 2026'!D83,"")</f>
        <v/>
      </c>
      <c r="D184" s="381">
        <f>IF(AND('FEBRERO 2026'!D83&lt;&gt;"",'FEBRERO 2026'!Z83="POR RECOGER"),'FEBRERO 2026'!F83,"")</f>
        <v/>
      </c>
      <c r="E184" s="381">
        <f>IF(AND('FEBRERO 2026'!D83&lt;&gt;"",'FEBRERO 2026'!Z83="POR RECOGER"),TEXT('FEBRERO 2026'!G83,"DD/MM/YYYY"),"")</f>
        <v/>
      </c>
      <c r="F184" s="381">
        <f>IF(AND('FEBRERO 2026'!D83&lt;&gt;"",'FEBRERO 2026'!Z83="POR RECOGER"),'FEBRERO 2026'!K83,"")</f>
        <v/>
      </c>
      <c r="G184" s="382">
        <f>IF(AND('FEBRERO 2026'!D83&lt;&gt;"",'FEBRERO 2026'!Z83="POR RECOGER"),'FEBRERO 2026'!M83,"")</f>
        <v/>
      </c>
      <c r="H184" s="382">
        <f>IF(AND('FEBRERO 2026'!D83&lt;&gt;"",'FEBRERO 2026'!Z83="POR RECOGER"),'FEBRERO 2026'!N83,"")</f>
        <v/>
      </c>
      <c r="I184" s="381">
        <f>IF(AND('FEBRERO 2026'!D83&lt;&gt;"",'FEBRERO 2026'!Z83="POR RECOGER"),'FEBRERO 2026'!P83,"")</f>
        <v/>
      </c>
      <c r="J184" s="381">
        <f>IF(AND('FEBRERO 2026'!D83&lt;&gt;"",'FEBRERO 2026'!Z83="POR RECOGER"),'FEBRERO 2026'!Q83,"")</f>
        <v/>
      </c>
      <c r="K184" s="381">
        <f>IF(AND('FEBRERO 2026'!D83&lt;&gt;"",'FEBRERO 2026'!Z83="POR RECOGER"),'FEBRERO 2026'!Y83,"")</f>
        <v/>
      </c>
      <c r="L184" s="381">
        <f>IF(AND('FEBRERO 2026'!D83&lt;&gt;"",'FEBRERO 2026'!Z83="POR RECOGER"),'FEBRERO 2026'!I83,"")</f>
        <v/>
      </c>
      <c r="P184" s="194" t="n"/>
      <c r="Q184" s="194" t="n"/>
      <c r="R184" s="194" t="n"/>
      <c r="S184" s="194" t="n"/>
      <c r="T184" s="194" t="n"/>
      <c r="U184" s="194" t="n"/>
      <c r="V184" s="194" t="n"/>
      <c r="W184" s="194" t="n"/>
      <c r="X184" s="194" t="n"/>
      <c r="Y184" s="194" t="n"/>
      <c r="Z184" s="194" t="n"/>
    </row>
    <row r="185" ht="15" customHeight="1" s="195">
      <c r="A185" s="381">
        <f>IF(AND('FEBRERO 2026'!D84&lt;&gt;"",'FEBRERO 2026'!Z84="POR RECOGER"),"FEB","")</f>
        <v/>
      </c>
      <c r="B185" s="381">
        <f>IF(AND('FEBRERO 2026'!D84&lt;&gt;"",'FEBRERO 2026'!Z84="POR RECOGER"),IF('FEBRERO 2026'!Y84&lt;&gt;"",'FEBRERO 2026'!Y84,'FEBRERO 2026'!I84),"")</f>
        <v/>
      </c>
      <c r="C185" s="381">
        <f>IF(AND('FEBRERO 2026'!D84&lt;&gt;"",'FEBRERO 2026'!Z84="POR RECOGER"),'FEBRERO 2026'!D84,"")</f>
        <v/>
      </c>
      <c r="D185" s="381">
        <f>IF(AND('FEBRERO 2026'!D84&lt;&gt;"",'FEBRERO 2026'!Z84="POR RECOGER"),'FEBRERO 2026'!F84,"")</f>
        <v/>
      </c>
      <c r="E185" s="381">
        <f>IF(AND('FEBRERO 2026'!D84&lt;&gt;"",'FEBRERO 2026'!Z84="POR RECOGER"),TEXT('FEBRERO 2026'!G84,"DD/MM/YYYY"),"")</f>
        <v/>
      </c>
      <c r="F185" s="381">
        <f>IF(AND('FEBRERO 2026'!D84&lt;&gt;"",'FEBRERO 2026'!Z84="POR RECOGER"),'FEBRERO 2026'!K84,"")</f>
        <v/>
      </c>
      <c r="G185" s="382">
        <f>IF(AND('FEBRERO 2026'!D84&lt;&gt;"",'FEBRERO 2026'!Z84="POR RECOGER"),'FEBRERO 2026'!M84,"")</f>
        <v/>
      </c>
      <c r="H185" s="382">
        <f>IF(AND('FEBRERO 2026'!D84&lt;&gt;"",'FEBRERO 2026'!Z84="POR RECOGER"),'FEBRERO 2026'!N84,"")</f>
        <v/>
      </c>
      <c r="I185" s="381">
        <f>IF(AND('FEBRERO 2026'!D84&lt;&gt;"",'FEBRERO 2026'!Z84="POR RECOGER"),'FEBRERO 2026'!P84,"")</f>
        <v/>
      </c>
      <c r="J185" s="381">
        <f>IF(AND('FEBRERO 2026'!D84&lt;&gt;"",'FEBRERO 2026'!Z84="POR RECOGER"),'FEBRERO 2026'!Q84,"")</f>
        <v/>
      </c>
      <c r="K185" s="381">
        <f>IF(AND('FEBRERO 2026'!D84&lt;&gt;"",'FEBRERO 2026'!Z84="POR RECOGER"),'FEBRERO 2026'!Y84,"")</f>
        <v/>
      </c>
      <c r="L185" s="381">
        <f>IF(AND('FEBRERO 2026'!D84&lt;&gt;"",'FEBRERO 2026'!Z84="POR RECOGER"),'FEBRERO 2026'!I84,"")</f>
        <v/>
      </c>
      <c r="P185" s="194" t="n"/>
      <c r="Q185" s="194" t="n"/>
      <c r="R185" s="194" t="n"/>
      <c r="S185" s="194" t="n"/>
      <c r="T185" s="194" t="n"/>
      <c r="U185" s="194" t="n"/>
      <c r="V185" s="194" t="n"/>
      <c r="W185" s="194" t="n"/>
      <c r="X185" s="194" t="n"/>
      <c r="Y185" s="194" t="n"/>
      <c r="Z185" s="194" t="n"/>
    </row>
    <row r="186" ht="15" customHeight="1" s="195">
      <c r="A186" s="381">
        <f>IF(AND('FEBRERO 2026'!D85&lt;&gt;"",'FEBRERO 2026'!Z85="POR RECOGER"),"FEB","")</f>
        <v/>
      </c>
      <c r="B186" s="381">
        <f>IF(AND('FEBRERO 2026'!D85&lt;&gt;"",'FEBRERO 2026'!Z85="POR RECOGER"),IF('FEBRERO 2026'!Y85&lt;&gt;"",'FEBRERO 2026'!Y85,'FEBRERO 2026'!I85),"")</f>
        <v/>
      </c>
      <c r="C186" s="381">
        <f>IF(AND('FEBRERO 2026'!D85&lt;&gt;"",'FEBRERO 2026'!Z85="POR RECOGER"),'FEBRERO 2026'!D85,"")</f>
        <v/>
      </c>
      <c r="D186" s="381">
        <f>IF(AND('FEBRERO 2026'!D85&lt;&gt;"",'FEBRERO 2026'!Z85="POR RECOGER"),'FEBRERO 2026'!F85,"")</f>
        <v/>
      </c>
      <c r="E186" s="381">
        <f>IF(AND('FEBRERO 2026'!D85&lt;&gt;"",'FEBRERO 2026'!Z85="POR RECOGER"),TEXT('FEBRERO 2026'!G85,"DD/MM/YYYY"),"")</f>
        <v/>
      </c>
      <c r="F186" s="381">
        <f>IF(AND('FEBRERO 2026'!D85&lt;&gt;"",'FEBRERO 2026'!Z85="POR RECOGER"),'FEBRERO 2026'!K85,"")</f>
        <v/>
      </c>
      <c r="G186" s="382">
        <f>IF(AND('FEBRERO 2026'!D85&lt;&gt;"",'FEBRERO 2026'!Z85="POR RECOGER"),'FEBRERO 2026'!M85,"")</f>
        <v/>
      </c>
      <c r="H186" s="382">
        <f>IF(AND('FEBRERO 2026'!D85&lt;&gt;"",'FEBRERO 2026'!Z85="POR RECOGER"),'FEBRERO 2026'!N85,"")</f>
        <v/>
      </c>
      <c r="I186" s="381">
        <f>IF(AND('FEBRERO 2026'!D85&lt;&gt;"",'FEBRERO 2026'!Z85="POR RECOGER"),'FEBRERO 2026'!P85,"")</f>
        <v/>
      </c>
      <c r="J186" s="381">
        <f>IF(AND('FEBRERO 2026'!D85&lt;&gt;"",'FEBRERO 2026'!Z85="POR RECOGER"),'FEBRERO 2026'!Q85,"")</f>
        <v/>
      </c>
      <c r="K186" s="381">
        <f>IF(AND('FEBRERO 2026'!D85&lt;&gt;"",'FEBRERO 2026'!Z85="POR RECOGER"),'FEBRERO 2026'!Y85,"")</f>
        <v/>
      </c>
      <c r="L186" s="381">
        <f>IF(AND('FEBRERO 2026'!D85&lt;&gt;"",'FEBRERO 2026'!Z85="POR RECOGER"),'FEBRERO 2026'!I85,"")</f>
        <v/>
      </c>
      <c r="P186" s="194" t="n"/>
      <c r="Q186" s="194" t="n"/>
      <c r="R186" s="194" t="n"/>
      <c r="S186" s="194" t="n"/>
      <c r="T186" s="194" t="n"/>
      <c r="U186" s="194" t="n"/>
      <c r="V186" s="194" t="n"/>
      <c r="W186" s="194" t="n"/>
      <c r="X186" s="194" t="n"/>
      <c r="Y186" s="194" t="n"/>
      <c r="Z186" s="194" t="n"/>
    </row>
    <row r="187" ht="15" customHeight="1" s="195">
      <c r="A187" s="381">
        <f>IF(AND('FEBRERO 2026'!D86&lt;&gt;"",'FEBRERO 2026'!Z86="POR RECOGER"),"FEB","")</f>
        <v/>
      </c>
      <c r="B187" s="381">
        <f>IF(AND('FEBRERO 2026'!D86&lt;&gt;"",'FEBRERO 2026'!Z86="POR RECOGER"),IF('FEBRERO 2026'!Y86&lt;&gt;"",'FEBRERO 2026'!Y86,'FEBRERO 2026'!I86),"")</f>
        <v/>
      </c>
      <c r="C187" s="381">
        <f>IF(AND('FEBRERO 2026'!D86&lt;&gt;"",'FEBRERO 2026'!Z86="POR RECOGER"),'FEBRERO 2026'!D86,"")</f>
        <v/>
      </c>
      <c r="D187" s="381">
        <f>IF(AND('FEBRERO 2026'!D86&lt;&gt;"",'FEBRERO 2026'!Z86="POR RECOGER"),'FEBRERO 2026'!F86,"")</f>
        <v/>
      </c>
      <c r="E187" s="381">
        <f>IF(AND('FEBRERO 2026'!D86&lt;&gt;"",'FEBRERO 2026'!Z86="POR RECOGER"),TEXT('FEBRERO 2026'!G86,"DD/MM/YYYY"),"")</f>
        <v/>
      </c>
      <c r="F187" s="381">
        <f>IF(AND('FEBRERO 2026'!D86&lt;&gt;"",'FEBRERO 2026'!Z86="POR RECOGER"),'FEBRERO 2026'!K86,"")</f>
        <v/>
      </c>
      <c r="G187" s="382">
        <f>IF(AND('FEBRERO 2026'!D86&lt;&gt;"",'FEBRERO 2026'!Z86="POR RECOGER"),'FEBRERO 2026'!M86,"")</f>
        <v/>
      </c>
      <c r="H187" s="382">
        <f>IF(AND('FEBRERO 2026'!D86&lt;&gt;"",'FEBRERO 2026'!Z86="POR RECOGER"),'FEBRERO 2026'!N86,"")</f>
        <v/>
      </c>
      <c r="I187" s="381">
        <f>IF(AND('FEBRERO 2026'!D86&lt;&gt;"",'FEBRERO 2026'!Z86="POR RECOGER"),'FEBRERO 2026'!P86,"")</f>
        <v/>
      </c>
      <c r="J187" s="381">
        <f>IF(AND('FEBRERO 2026'!D86&lt;&gt;"",'FEBRERO 2026'!Z86="POR RECOGER"),'FEBRERO 2026'!Q86,"")</f>
        <v/>
      </c>
      <c r="K187" s="381">
        <f>IF(AND('FEBRERO 2026'!D86&lt;&gt;"",'FEBRERO 2026'!Z86="POR RECOGER"),'FEBRERO 2026'!Y86,"")</f>
        <v/>
      </c>
      <c r="L187" s="381">
        <f>IF(AND('FEBRERO 2026'!D86&lt;&gt;"",'FEBRERO 2026'!Z86="POR RECOGER"),'FEBRERO 2026'!I86,"")</f>
        <v/>
      </c>
      <c r="P187" s="194" t="n"/>
      <c r="Q187" s="194" t="n"/>
      <c r="R187" s="194" t="n"/>
      <c r="S187" s="194" t="n"/>
      <c r="T187" s="194" t="n"/>
      <c r="U187" s="194" t="n"/>
      <c r="V187" s="194" t="n"/>
      <c r="W187" s="194" t="n"/>
      <c r="X187" s="194" t="n"/>
      <c r="Y187" s="194" t="n"/>
      <c r="Z187" s="194" t="n"/>
    </row>
    <row r="188" ht="15" customHeight="1" s="195">
      <c r="A188" s="381">
        <f>IF(AND('FEBRERO 2026'!D87&lt;&gt;"",'FEBRERO 2026'!Z87="POR RECOGER"),"FEB","")</f>
        <v/>
      </c>
      <c r="B188" s="381">
        <f>IF(AND('FEBRERO 2026'!D87&lt;&gt;"",'FEBRERO 2026'!Z87="POR RECOGER"),IF('FEBRERO 2026'!Y87&lt;&gt;"",'FEBRERO 2026'!Y87,'FEBRERO 2026'!I87),"")</f>
        <v/>
      </c>
      <c r="C188" s="381">
        <f>IF(AND('FEBRERO 2026'!D87&lt;&gt;"",'FEBRERO 2026'!Z87="POR RECOGER"),'FEBRERO 2026'!D87,"")</f>
        <v/>
      </c>
      <c r="D188" s="381">
        <f>IF(AND('FEBRERO 2026'!D87&lt;&gt;"",'FEBRERO 2026'!Z87="POR RECOGER"),'FEBRERO 2026'!F87,"")</f>
        <v/>
      </c>
      <c r="E188" s="381">
        <f>IF(AND('FEBRERO 2026'!D87&lt;&gt;"",'FEBRERO 2026'!Z87="POR RECOGER"),TEXT('FEBRERO 2026'!G87,"DD/MM/YYYY"),"")</f>
        <v/>
      </c>
      <c r="F188" s="381">
        <f>IF(AND('FEBRERO 2026'!D87&lt;&gt;"",'FEBRERO 2026'!Z87="POR RECOGER"),'FEBRERO 2026'!K87,"")</f>
        <v/>
      </c>
      <c r="G188" s="382">
        <f>IF(AND('FEBRERO 2026'!D87&lt;&gt;"",'FEBRERO 2026'!Z87="POR RECOGER"),'FEBRERO 2026'!M87,"")</f>
        <v/>
      </c>
      <c r="H188" s="382">
        <f>IF(AND('FEBRERO 2026'!D87&lt;&gt;"",'FEBRERO 2026'!Z87="POR RECOGER"),'FEBRERO 2026'!N87,"")</f>
        <v/>
      </c>
      <c r="I188" s="381">
        <f>IF(AND('FEBRERO 2026'!D87&lt;&gt;"",'FEBRERO 2026'!Z87="POR RECOGER"),'FEBRERO 2026'!P87,"")</f>
        <v/>
      </c>
      <c r="J188" s="381">
        <f>IF(AND('FEBRERO 2026'!D87&lt;&gt;"",'FEBRERO 2026'!Z87="POR RECOGER"),'FEBRERO 2026'!Q87,"")</f>
        <v/>
      </c>
      <c r="K188" s="381">
        <f>IF(AND('FEBRERO 2026'!D87&lt;&gt;"",'FEBRERO 2026'!Z87="POR RECOGER"),'FEBRERO 2026'!Y87,"")</f>
        <v/>
      </c>
      <c r="L188" s="381">
        <f>IF(AND('FEBRERO 2026'!D87&lt;&gt;"",'FEBRERO 2026'!Z87="POR RECOGER"),'FEBRERO 2026'!I87,"")</f>
        <v/>
      </c>
      <c r="P188" s="194" t="n"/>
      <c r="Q188" s="194" t="n"/>
      <c r="R188" s="194" t="n"/>
      <c r="S188" s="194" t="n"/>
      <c r="T188" s="194" t="n"/>
      <c r="U188" s="194" t="n"/>
      <c r="V188" s="194" t="n"/>
      <c r="W188" s="194" t="n"/>
      <c r="X188" s="194" t="n"/>
      <c r="Y188" s="194" t="n"/>
      <c r="Z188" s="194" t="n"/>
    </row>
    <row r="189" ht="15" customHeight="1" s="195">
      <c r="A189" s="381">
        <f>IF(AND('FEBRERO 2026'!D88&lt;&gt;"",'FEBRERO 2026'!Z88="POR RECOGER"),"FEB","")</f>
        <v/>
      </c>
      <c r="B189" s="381">
        <f>IF(AND('FEBRERO 2026'!D88&lt;&gt;"",'FEBRERO 2026'!Z88="POR RECOGER"),IF('FEBRERO 2026'!Y88&lt;&gt;"",'FEBRERO 2026'!Y88,'FEBRERO 2026'!I88),"")</f>
        <v/>
      </c>
      <c r="C189" s="381">
        <f>IF(AND('FEBRERO 2026'!D88&lt;&gt;"",'FEBRERO 2026'!Z88="POR RECOGER"),'FEBRERO 2026'!D88,"")</f>
        <v/>
      </c>
      <c r="D189" s="381">
        <f>IF(AND('FEBRERO 2026'!D88&lt;&gt;"",'FEBRERO 2026'!Z88="POR RECOGER"),'FEBRERO 2026'!F88,"")</f>
        <v/>
      </c>
      <c r="E189" s="381">
        <f>IF(AND('FEBRERO 2026'!D88&lt;&gt;"",'FEBRERO 2026'!Z88="POR RECOGER"),TEXT('FEBRERO 2026'!G88,"DD/MM/YYYY"),"")</f>
        <v/>
      </c>
      <c r="F189" s="381">
        <f>IF(AND('FEBRERO 2026'!D88&lt;&gt;"",'FEBRERO 2026'!Z88="POR RECOGER"),'FEBRERO 2026'!K88,"")</f>
        <v/>
      </c>
      <c r="G189" s="382">
        <f>IF(AND('FEBRERO 2026'!D88&lt;&gt;"",'FEBRERO 2026'!Z88="POR RECOGER"),'FEBRERO 2026'!M88,"")</f>
        <v/>
      </c>
      <c r="H189" s="382">
        <f>IF(AND('FEBRERO 2026'!D88&lt;&gt;"",'FEBRERO 2026'!Z88="POR RECOGER"),'FEBRERO 2026'!N88,"")</f>
        <v/>
      </c>
      <c r="I189" s="381">
        <f>IF(AND('FEBRERO 2026'!D88&lt;&gt;"",'FEBRERO 2026'!Z88="POR RECOGER"),'FEBRERO 2026'!P88,"")</f>
        <v/>
      </c>
      <c r="J189" s="381">
        <f>IF(AND('FEBRERO 2026'!D88&lt;&gt;"",'FEBRERO 2026'!Z88="POR RECOGER"),'FEBRERO 2026'!Q88,"")</f>
        <v/>
      </c>
      <c r="K189" s="381">
        <f>IF(AND('FEBRERO 2026'!D88&lt;&gt;"",'FEBRERO 2026'!Z88="POR RECOGER"),'FEBRERO 2026'!Y88,"")</f>
        <v/>
      </c>
      <c r="L189" s="381">
        <f>IF(AND('FEBRERO 2026'!D88&lt;&gt;"",'FEBRERO 2026'!Z88="POR RECOGER"),'FEBRERO 2026'!I88,"")</f>
        <v/>
      </c>
      <c r="P189" s="194" t="n"/>
      <c r="Q189" s="194" t="n"/>
      <c r="R189" s="194" t="n"/>
      <c r="S189" s="194" t="n"/>
      <c r="T189" s="194" t="n"/>
      <c r="U189" s="194" t="n"/>
      <c r="V189" s="194" t="n"/>
      <c r="W189" s="194" t="n"/>
      <c r="X189" s="194" t="n"/>
      <c r="Y189" s="194" t="n"/>
      <c r="Z189" s="194" t="n"/>
    </row>
    <row r="190" ht="15" customHeight="1" s="195">
      <c r="A190" s="381">
        <f>IF(AND('FEBRERO 2026'!D89&lt;&gt;"",'FEBRERO 2026'!Z89="POR RECOGER"),"FEB","")</f>
        <v/>
      </c>
      <c r="B190" s="381">
        <f>IF(AND('FEBRERO 2026'!D89&lt;&gt;"",'FEBRERO 2026'!Z89="POR RECOGER"),IF('FEBRERO 2026'!Y89&lt;&gt;"",'FEBRERO 2026'!Y89,'FEBRERO 2026'!I89),"")</f>
        <v/>
      </c>
      <c r="C190" s="381">
        <f>IF(AND('FEBRERO 2026'!D89&lt;&gt;"",'FEBRERO 2026'!Z89="POR RECOGER"),'FEBRERO 2026'!D89,"")</f>
        <v/>
      </c>
      <c r="D190" s="381">
        <f>IF(AND('FEBRERO 2026'!D89&lt;&gt;"",'FEBRERO 2026'!Z89="POR RECOGER"),'FEBRERO 2026'!F89,"")</f>
        <v/>
      </c>
      <c r="E190" s="381">
        <f>IF(AND('FEBRERO 2026'!D89&lt;&gt;"",'FEBRERO 2026'!Z89="POR RECOGER"),TEXT('FEBRERO 2026'!G89,"DD/MM/YYYY"),"")</f>
        <v/>
      </c>
      <c r="F190" s="381">
        <f>IF(AND('FEBRERO 2026'!D89&lt;&gt;"",'FEBRERO 2026'!Z89="POR RECOGER"),'FEBRERO 2026'!K89,"")</f>
        <v/>
      </c>
      <c r="G190" s="382">
        <f>IF(AND('FEBRERO 2026'!D89&lt;&gt;"",'FEBRERO 2026'!Z89="POR RECOGER"),'FEBRERO 2026'!M89,"")</f>
        <v/>
      </c>
      <c r="H190" s="382">
        <f>IF(AND('FEBRERO 2026'!D89&lt;&gt;"",'FEBRERO 2026'!Z89="POR RECOGER"),'FEBRERO 2026'!N89,"")</f>
        <v/>
      </c>
      <c r="I190" s="381">
        <f>IF(AND('FEBRERO 2026'!D89&lt;&gt;"",'FEBRERO 2026'!Z89="POR RECOGER"),'FEBRERO 2026'!P89,"")</f>
        <v/>
      </c>
      <c r="J190" s="381">
        <f>IF(AND('FEBRERO 2026'!D89&lt;&gt;"",'FEBRERO 2026'!Z89="POR RECOGER"),'FEBRERO 2026'!Q89,"")</f>
        <v/>
      </c>
      <c r="K190" s="381">
        <f>IF(AND('FEBRERO 2026'!D89&lt;&gt;"",'FEBRERO 2026'!Z89="POR RECOGER"),'FEBRERO 2026'!Y89,"")</f>
        <v/>
      </c>
      <c r="L190" s="381">
        <f>IF(AND('FEBRERO 2026'!D89&lt;&gt;"",'FEBRERO 2026'!Z89="POR RECOGER"),'FEBRERO 2026'!I89,"")</f>
        <v/>
      </c>
      <c r="P190" s="194" t="n"/>
      <c r="Q190" s="194" t="n"/>
      <c r="R190" s="194" t="n"/>
      <c r="S190" s="194" t="n"/>
      <c r="T190" s="194" t="n"/>
      <c r="U190" s="194" t="n"/>
      <c r="V190" s="194" t="n"/>
      <c r="W190" s="194" t="n"/>
      <c r="X190" s="194" t="n"/>
      <c r="Y190" s="194" t="n"/>
      <c r="Z190" s="194" t="n"/>
    </row>
    <row r="191" ht="15" customHeight="1" s="195">
      <c r="A191" s="381">
        <f>IF(AND('FEBRERO 2026'!D90&lt;&gt;"",'FEBRERO 2026'!Z90="POR RECOGER"),"FEB","")</f>
        <v/>
      </c>
      <c r="B191" s="381">
        <f>IF(AND('FEBRERO 2026'!D90&lt;&gt;"",'FEBRERO 2026'!Z90="POR RECOGER"),IF('FEBRERO 2026'!Y90&lt;&gt;"",'FEBRERO 2026'!Y90,'FEBRERO 2026'!I90),"")</f>
        <v/>
      </c>
      <c r="C191" s="381">
        <f>IF(AND('FEBRERO 2026'!D90&lt;&gt;"",'FEBRERO 2026'!Z90="POR RECOGER"),'FEBRERO 2026'!D90,"")</f>
        <v/>
      </c>
      <c r="D191" s="381">
        <f>IF(AND('FEBRERO 2026'!D90&lt;&gt;"",'FEBRERO 2026'!Z90="POR RECOGER"),'FEBRERO 2026'!F90,"")</f>
        <v/>
      </c>
      <c r="E191" s="381">
        <f>IF(AND('FEBRERO 2026'!D90&lt;&gt;"",'FEBRERO 2026'!Z90="POR RECOGER"),TEXT('FEBRERO 2026'!G90,"DD/MM/YYYY"),"")</f>
        <v/>
      </c>
      <c r="F191" s="381">
        <f>IF(AND('FEBRERO 2026'!D90&lt;&gt;"",'FEBRERO 2026'!Z90="POR RECOGER"),'FEBRERO 2026'!K90,"")</f>
        <v/>
      </c>
      <c r="G191" s="382">
        <f>IF(AND('FEBRERO 2026'!D90&lt;&gt;"",'FEBRERO 2026'!Z90="POR RECOGER"),'FEBRERO 2026'!M90,"")</f>
        <v/>
      </c>
      <c r="H191" s="382">
        <f>IF(AND('FEBRERO 2026'!D90&lt;&gt;"",'FEBRERO 2026'!Z90="POR RECOGER"),'FEBRERO 2026'!N90,"")</f>
        <v/>
      </c>
      <c r="I191" s="381">
        <f>IF(AND('FEBRERO 2026'!D90&lt;&gt;"",'FEBRERO 2026'!Z90="POR RECOGER"),'FEBRERO 2026'!P90,"")</f>
        <v/>
      </c>
      <c r="J191" s="381">
        <f>IF(AND('FEBRERO 2026'!D90&lt;&gt;"",'FEBRERO 2026'!Z90="POR RECOGER"),'FEBRERO 2026'!Q90,"")</f>
        <v/>
      </c>
      <c r="K191" s="381">
        <f>IF(AND('FEBRERO 2026'!D90&lt;&gt;"",'FEBRERO 2026'!Z90="POR RECOGER"),'FEBRERO 2026'!Y90,"")</f>
        <v/>
      </c>
      <c r="L191" s="381">
        <f>IF(AND('FEBRERO 2026'!D90&lt;&gt;"",'FEBRERO 2026'!Z90="POR RECOGER"),'FEBRERO 2026'!I90,"")</f>
        <v/>
      </c>
      <c r="P191" s="194" t="n"/>
      <c r="Q191" s="194" t="n"/>
      <c r="R191" s="194" t="n"/>
      <c r="S191" s="194" t="n"/>
      <c r="T191" s="194" t="n"/>
      <c r="U191" s="194" t="n"/>
      <c r="V191" s="194" t="n"/>
      <c r="W191" s="194" t="n"/>
      <c r="X191" s="194" t="n"/>
      <c r="Y191" s="194" t="n"/>
      <c r="Z191" s="194" t="n"/>
    </row>
    <row r="192" ht="15" customHeight="1" s="195">
      <c r="A192" s="381">
        <f>IF(AND('FEBRERO 2026'!D91&lt;&gt;"",'FEBRERO 2026'!Z91="POR RECOGER"),"FEB","")</f>
        <v/>
      </c>
      <c r="B192" s="381">
        <f>IF(AND('FEBRERO 2026'!D91&lt;&gt;"",'FEBRERO 2026'!Z91="POR RECOGER"),IF('FEBRERO 2026'!Y91&lt;&gt;"",'FEBRERO 2026'!Y91,'FEBRERO 2026'!I91),"")</f>
        <v/>
      </c>
      <c r="C192" s="381">
        <f>IF(AND('FEBRERO 2026'!D91&lt;&gt;"",'FEBRERO 2026'!Z91="POR RECOGER"),'FEBRERO 2026'!D91,"")</f>
        <v/>
      </c>
      <c r="D192" s="381">
        <f>IF(AND('FEBRERO 2026'!D91&lt;&gt;"",'FEBRERO 2026'!Z91="POR RECOGER"),'FEBRERO 2026'!F91,"")</f>
        <v/>
      </c>
      <c r="E192" s="381">
        <f>IF(AND('FEBRERO 2026'!D91&lt;&gt;"",'FEBRERO 2026'!Z91="POR RECOGER"),TEXT('FEBRERO 2026'!G91,"DD/MM/YYYY"),"")</f>
        <v/>
      </c>
      <c r="F192" s="381">
        <f>IF(AND('FEBRERO 2026'!D91&lt;&gt;"",'FEBRERO 2026'!Z91="POR RECOGER"),'FEBRERO 2026'!K91,"")</f>
        <v/>
      </c>
      <c r="G192" s="382">
        <f>IF(AND('FEBRERO 2026'!D91&lt;&gt;"",'FEBRERO 2026'!Z91="POR RECOGER"),'FEBRERO 2026'!M91,"")</f>
        <v/>
      </c>
      <c r="H192" s="382">
        <f>IF(AND('FEBRERO 2026'!D91&lt;&gt;"",'FEBRERO 2026'!Z91="POR RECOGER"),'FEBRERO 2026'!N91,"")</f>
        <v/>
      </c>
      <c r="I192" s="381">
        <f>IF(AND('FEBRERO 2026'!D91&lt;&gt;"",'FEBRERO 2026'!Z91="POR RECOGER"),'FEBRERO 2026'!P91,"")</f>
        <v/>
      </c>
      <c r="J192" s="381">
        <f>IF(AND('FEBRERO 2026'!D91&lt;&gt;"",'FEBRERO 2026'!Z91="POR RECOGER"),'FEBRERO 2026'!Q91,"")</f>
        <v/>
      </c>
      <c r="K192" s="381">
        <f>IF(AND('FEBRERO 2026'!D91&lt;&gt;"",'FEBRERO 2026'!Z91="POR RECOGER"),'FEBRERO 2026'!Y91,"")</f>
        <v/>
      </c>
      <c r="L192" s="381">
        <f>IF(AND('FEBRERO 2026'!D91&lt;&gt;"",'FEBRERO 2026'!Z91="POR RECOGER"),'FEBRERO 2026'!I91,"")</f>
        <v/>
      </c>
      <c r="P192" s="194" t="n"/>
      <c r="Q192" s="194" t="n"/>
      <c r="R192" s="194" t="n"/>
      <c r="S192" s="194" t="n"/>
      <c r="T192" s="194" t="n"/>
      <c r="U192" s="194" t="n"/>
      <c r="V192" s="194" t="n"/>
      <c r="W192" s="194" t="n"/>
      <c r="X192" s="194" t="n"/>
      <c r="Y192" s="194" t="n"/>
      <c r="Z192" s="194" t="n"/>
    </row>
    <row r="193" ht="15" customHeight="1" s="195">
      <c r="A193" s="381">
        <f>IF(AND('FEBRERO 2026'!D92&lt;&gt;"",'FEBRERO 2026'!Z92="POR RECOGER"),"FEB","")</f>
        <v/>
      </c>
      <c r="B193" s="381">
        <f>IF(AND('FEBRERO 2026'!D92&lt;&gt;"",'FEBRERO 2026'!Z92="POR RECOGER"),IF('FEBRERO 2026'!Y92&lt;&gt;"",'FEBRERO 2026'!Y92,'FEBRERO 2026'!I92),"")</f>
        <v/>
      </c>
      <c r="C193" s="381">
        <f>IF(AND('FEBRERO 2026'!D92&lt;&gt;"",'FEBRERO 2026'!Z92="POR RECOGER"),'FEBRERO 2026'!D92,"")</f>
        <v/>
      </c>
      <c r="D193" s="381">
        <f>IF(AND('FEBRERO 2026'!D92&lt;&gt;"",'FEBRERO 2026'!Z92="POR RECOGER"),'FEBRERO 2026'!F92,"")</f>
        <v/>
      </c>
      <c r="E193" s="381">
        <f>IF(AND('FEBRERO 2026'!D92&lt;&gt;"",'FEBRERO 2026'!Z92="POR RECOGER"),TEXT('FEBRERO 2026'!G92,"DD/MM/YYYY"),"")</f>
        <v/>
      </c>
      <c r="F193" s="381">
        <f>IF(AND('FEBRERO 2026'!D92&lt;&gt;"",'FEBRERO 2026'!Z92="POR RECOGER"),'FEBRERO 2026'!K92,"")</f>
        <v/>
      </c>
      <c r="G193" s="382">
        <f>IF(AND('FEBRERO 2026'!D92&lt;&gt;"",'FEBRERO 2026'!Z92="POR RECOGER"),'FEBRERO 2026'!M92,"")</f>
        <v/>
      </c>
      <c r="H193" s="382">
        <f>IF(AND('FEBRERO 2026'!D92&lt;&gt;"",'FEBRERO 2026'!Z92="POR RECOGER"),'FEBRERO 2026'!N92,"")</f>
        <v/>
      </c>
      <c r="I193" s="381">
        <f>IF(AND('FEBRERO 2026'!D92&lt;&gt;"",'FEBRERO 2026'!Z92="POR RECOGER"),'FEBRERO 2026'!P92,"")</f>
        <v/>
      </c>
      <c r="J193" s="381">
        <f>IF(AND('FEBRERO 2026'!D92&lt;&gt;"",'FEBRERO 2026'!Z92="POR RECOGER"),'FEBRERO 2026'!Q92,"")</f>
        <v/>
      </c>
      <c r="K193" s="381">
        <f>IF(AND('FEBRERO 2026'!D92&lt;&gt;"",'FEBRERO 2026'!Z92="POR RECOGER"),'FEBRERO 2026'!Y92,"")</f>
        <v/>
      </c>
      <c r="L193" s="381">
        <f>IF(AND('FEBRERO 2026'!D92&lt;&gt;"",'FEBRERO 2026'!Z92="POR RECOGER"),'FEBRERO 2026'!I92,"")</f>
        <v/>
      </c>
      <c r="P193" s="194" t="n"/>
      <c r="Q193" s="194" t="n"/>
      <c r="R193" s="194" t="n"/>
      <c r="S193" s="194" t="n"/>
      <c r="T193" s="194" t="n"/>
      <c r="U193" s="194" t="n"/>
      <c r="V193" s="194" t="n"/>
      <c r="W193" s="194" t="n"/>
      <c r="X193" s="194" t="n"/>
      <c r="Y193" s="194" t="n"/>
      <c r="Z193" s="194" t="n"/>
    </row>
    <row r="194" ht="15" customHeight="1" s="195">
      <c r="A194" s="381">
        <f>IF(AND('FEBRERO 2026'!D93&lt;&gt;"",'FEBRERO 2026'!Z93="POR RECOGER"),"FEB","")</f>
        <v/>
      </c>
      <c r="B194" s="381">
        <f>IF(AND('FEBRERO 2026'!D93&lt;&gt;"",'FEBRERO 2026'!Z93="POR RECOGER"),IF('FEBRERO 2026'!Y93&lt;&gt;"",'FEBRERO 2026'!Y93,'FEBRERO 2026'!I93),"")</f>
        <v/>
      </c>
      <c r="C194" s="381">
        <f>IF(AND('FEBRERO 2026'!D93&lt;&gt;"",'FEBRERO 2026'!Z93="POR RECOGER"),'FEBRERO 2026'!D93,"")</f>
        <v/>
      </c>
      <c r="D194" s="381">
        <f>IF(AND('FEBRERO 2026'!D93&lt;&gt;"",'FEBRERO 2026'!Z93="POR RECOGER"),'FEBRERO 2026'!F93,"")</f>
        <v/>
      </c>
      <c r="E194" s="381">
        <f>IF(AND('FEBRERO 2026'!D93&lt;&gt;"",'FEBRERO 2026'!Z93="POR RECOGER"),TEXT('FEBRERO 2026'!G93,"DD/MM/YYYY"),"")</f>
        <v/>
      </c>
      <c r="F194" s="381">
        <f>IF(AND('FEBRERO 2026'!D93&lt;&gt;"",'FEBRERO 2026'!Z93="POR RECOGER"),'FEBRERO 2026'!K93,"")</f>
        <v/>
      </c>
      <c r="G194" s="382">
        <f>IF(AND('FEBRERO 2026'!D93&lt;&gt;"",'FEBRERO 2026'!Z93="POR RECOGER"),'FEBRERO 2026'!M93,"")</f>
        <v/>
      </c>
      <c r="H194" s="382">
        <f>IF(AND('FEBRERO 2026'!D93&lt;&gt;"",'FEBRERO 2026'!Z93="POR RECOGER"),'FEBRERO 2026'!N93,"")</f>
        <v/>
      </c>
      <c r="I194" s="381">
        <f>IF(AND('FEBRERO 2026'!D93&lt;&gt;"",'FEBRERO 2026'!Z93="POR RECOGER"),'FEBRERO 2026'!P93,"")</f>
        <v/>
      </c>
      <c r="J194" s="381">
        <f>IF(AND('FEBRERO 2026'!D93&lt;&gt;"",'FEBRERO 2026'!Z93="POR RECOGER"),'FEBRERO 2026'!Q93,"")</f>
        <v/>
      </c>
      <c r="K194" s="381">
        <f>IF(AND('FEBRERO 2026'!D93&lt;&gt;"",'FEBRERO 2026'!Z93="POR RECOGER"),'FEBRERO 2026'!Y93,"")</f>
        <v/>
      </c>
      <c r="L194" s="381">
        <f>IF(AND('FEBRERO 2026'!D93&lt;&gt;"",'FEBRERO 2026'!Z93="POR RECOGER"),'FEBRERO 2026'!I93,"")</f>
        <v/>
      </c>
      <c r="P194" s="194" t="n"/>
      <c r="Q194" s="194" t="n"/>
      <c r="R194" s="194" t="n"/>
      <c r="S194" s="194" t="n"/>
      <c r="T194" s="194" t="n"/>
      <c r="U194" s="194" t="n"/>
      <c r="V194" s="194" t="n"/>
      <c r="W194" s="194" t="n"/>
      <c r="X194" s="194" t="n"/>
      <c r="Y194" s="194" t="n"/>
      <c r="Z194" s="194" t="n"/>
    </row>
    <row r="195" ht="15" customHeight="1" s="195">
      <c r="A195" s="381">
        <f>IF(AND('FEBRERO 2026'!D94&lt;&gt;"",'FEBRERO 2026'!Z94="POR RECOGER"),"FEB","")</f>
        <v/>
      </c>
      <c r="B195" s="381">
        <f>IF(AND('FEBRERO 2026'!D94&lt;&gt;"",'FEBRERO 2026'!Z94="POR RECOGER"),IF('FEBRERO 2026'!Y94&lt;&gt;"",'FEBRERO 2026'!Y94,'FEBRERO 2026'!I94),"")</f>
        <v/>
      </c>
      <c r="C195" s="381">
        <f>IF(AND('FEBRERO 2026'!D94&lt;&gt;"",'FEBRERO 2026'!Z94="POR RECOGER"),'FEBRERO 2026'!D94,"")</f>
        <v/>
      </c>
      <c r="D195" s="381">
        <f>IF(AND('FEBRERO 2026'!D94&lt;&gt;"",'FEBRERO 2026'!Z94="POR RECOGER"),'FEBRERO 2026'!F94,"")</f>
        <v/>
      </c>
      <c r="E195" s="381">
        <f>IF(AND('FEBRERO 2026'!D94&lt;&gt;"",'FEBRERO 2026'!Z94="POR RECOGER"),TEXT('FEBRERO 2026'!G94,"DD/MM/YYYY"),"")</f>
        <v/>
      </c>
      <c r="F195" s="381">
        <f>IF(AND('FEBRERO 2026'!D94&lt;&gt;"",'FEBRERO 2026'!Z94="POR RECOGER"),'FEBRERO 2026'!K94,"")</f>
        <v/>
      </c>
      <c r="G195" s="382">
        <f>IF(AND('FEBRERO 2026'!D94&lt;&gt;"",'FEBRERO 2026'!Z94="POR RECOGER"),'FEBRERO 2026'!M94,"")</f>
        <v/>
      </c>
      <c r="H195" s="382">
        <f>IF(AND('FEBRERO 2026'!D94&lt;&gt;"",'FEBRERO 2026'!Z94="POR RECOGER"),'FEBRERO 2026'!N94,"")</f>
        <v/>
      </c>
      <c r="I195" s="381">
        <f>IF(AND('FEBRERO 2026'!D94&lt;&gt;"",'FEBRERO 2026'!Z94="POR RECOGER"),'FEBRERO 2026'!P94,"")</f>
        <v/>
      </c>
      <c r="J195" s="381">
        <f>IF(AND('FEBRERO 2026'!D94&lt;&gt;"",'FEBRERO 2026'!Z94="POR RECOGER"),'FEBRERO 2026'!Q94,"")</f>
        <v/>
      </c>
      <c r="K195" s="381">
        <f>IF(AND('FEBRERO 2026'!D94&lt;&gt;"",'FEBRERO 2026'!Z94="POR RECOGER"),'FEBRERO 2026'!Y94,"")</f>
        <v/>
      </c>
      <c r="L195" s="381">
        <f>IF(AND('FEBRERO 2026'!D94&lt;&gt;"",'FEBRERO 2026'!Z94="POR RECOGER"),'FEBRERO 2026'!I94,"")</f>
        <v/>
      </c>
      <c r="P195" s="194" t="n"/>
      <c r="Q195" s="194" t="n"/>
      <c r="R195" s="194" t="n"/>
      <c r="S195" s="194" t="n"/>
      <c r="T195" s="194" t="n"/>
      <c r="U195" s="194" t="n"/>
      <c r="V195" s="194" t="n"/>
      <c r="W195" s="194" t="n"/>
      <c r="X195" s="194" t="n"/>
      <c r="Y195" s="194" t="n"/>
      <c r="Z195" s="194" t="n"/>
    </row>
    <row r="196" ht="15" customHeight="1" s="195">
      <c r="A196" s="381">
        <f>IF(AND('FEBRERO 2026'!D95&lt;&gt;"",'FEBRERO 2026'!Z95="POR RECOGER"),"FEB","")</f>
        <v/>
      </c>
      <c r="B196" s="381">
        <f>IF(AND('FEBRERO 2026'!D95&lt;&gt;"",'FEBRERO 2026'!Z95="POR RECOGER"),IF('FEBRERO 2026'!Y95&lt;&gt;"",'FEBRERO 2026'!Y95,'FEBRERO 2026'!I95),"")</f>
        <v/>
      </c>
      <c r="C196" s="381">
        <f>IF(AND('FEBRERO 2026'!D95&lt;&gt;"",'FEBRERO 2026'!Z95="POR RECOGER"),'FEBRERO 2026'!D95,"")</f>
        <v/>
      </c>
      <c r="D196" s="381">
        <f>IF(AND('FEBRERO 2026'!D95&lt;&gt;"",'FEBRERO 2026'!Z95="POR RECOGER"),'FEBRERO 2026'!F95,"")</f>
        <v/>
      </c>
      <c r="E196" s="381">
        <f>IF(AND('FEBRERO 2026'!D95&lt;&gt;"",'FEBRERO 2026'!Z95="POR RECOGER"),TEXT('FEBRERO 2026'!G95,"DD/MM/YYYY"),"")</f>
        <v/>
      </c>
      <c r="F196" s="381">
        <f>IF(AND('FEBRERO 2026'!D95&lt;&gt;"",'FEBRERO 2026'!Z95="POR RECOGER"),'FEBRERO 2026'!K95,"")</f>
        <v/>
      </c>
      <c r="G196" s="382">
        <f>IF(AND('FEBRERO 2026'!D95&lt;&gt;"",'FEBRERO 2026'!Z95="POR RECOGER"),'FEBRERO 2026'!M95,"")</f>
        <v/>
      </c>
      <c r="H196" s="382">
        <f>IF(AND('FEBRERO 2026'!D95&lt;&gt;"",'FEBRERO 2026'!Z95="POR RECOGER"),'FEBRERO 2026'!N95,"")</f>
        <v/>
      </c>
      <c r="I196" s="381">
        <f>IF(AND('FEBRERO 2026'!D95&lt;&gt;"",'FEBRERO 2026'!Z95="POR RECOGER"),'FEBRERO 2026'!P95,"")</f>
        <v/>
      </c>
      <c r="J196" s="381">
        <f>IF(AND('FEBRERO 2026'!D95&lt;&gt;"",'FEBRERO 2026'!Z95="POR RECOGER"),'FEBRERO 2026'!Q95,"")</f>
        <v/>
      </c>
      <c r="K196" s="381">
        <f>IF(AND('FEBRERO 2026'!D95&lt;&gt;"",'FEBRERO 2026'!Z95="POR RECOGER"),'FEBRERO 2026'!Y95,"")</f>
        <v/>
      </c>
      <c r="L196" s="381">
        <f>IF(AND('FEBRERO 2026'!D95&lt;&gt;"",'FEBRERO 2026'!Z95="POR RECOGER"),'FEBRERO 2026'!I95,"")</f>
        <v/>
      </c>
      <c r="P196" s="194" t="n"/>
      <c r="Q196" s="194" t="n"/>
      <c r="R196" s="194" t="n"/>
      <c r="S196" s="194" t="n"/>
      <c r="T196" s="194" t="n"/>
      <c r="U196" s="194" t="n"/>
      <c r="V196" s="194" t="n"/>
      <c r="W196" s="194" t="n"/>
      <c r="X196" s="194" t="n"/>
      <c r="Y196" s="194" t="n"/>
      <c r="Z196" s="194" t="n"/>
    </row>
    <row r="197" ht="15" customHeight="1" s="195">
      <c r="A197" s="381">
        <f>IF(AND('FEBRERO 2026'!D96&lt;&gt;"",'FEBRERO 2026'!Z96="POR RECOGER"),"FEB","")</f>
        <v/>
      </c>
      <c r="B197" s="381">
        <f>IF(AND('FEBRERO 2026'!D96&lt;&gt;"",'FEBRERO 2026'!Z96="POR RECOGER"),IF('FEBRERO 2026'!Y96&lt;&gt;"",'FEBRERO 2026'!Y96,'FEBRERO 2026'!I96),"")</f>
        <v/>
      </c>
      <c r="C197" s="381">
        <f>IF(AND('FEBRERO 2026'!D96&lt;&gt;"",'FEBRERO 2026'!Z96="POR RECOGER"),'FEBRERO 2026'!D96,"")</f>
        <v/>
      </c>
      <c r="D197" s="381">
        <f>IF(AND('FEBRERO 2026'!D96&lt;&gt;"",'FEBRERO 2026'!Z96="POR RECOGER"),'FEBRERO 2026'!F96,"")</f>
        <v/>
      </c>
      <c r="E197" s="381">
        <f>IF(AND('FEBRERO 2026'!D96&lt;&gt;"",'FEBRERO 2026'!Z96="POR RECOGER"),TEXT('FEBRERO 2026'!G96,"DD/MM/YYYY"),"")</f>
        <v/>
      </c>
      <c r="F197" s="381">
        <f>IF(AND('FEBRERO 2026'!D96&lt;&gt;"",'FEBRERO 2026'!Z96="POR RECOGER"),'FEBRERO 2026'!K96,"")</f>
        <v/>
      </c>
      <c r="G197" s="382">
        <f>IF(AND('FEBRERO 2026'!D96&lt;&gt;"",'FEBRERO 2026'!Z96="POR RECOGER"),'FEBRERO 2026'!M96,"")</f>
        <v/>
      </c>
      <c r="H197" s="382">
        <f>IF(AND('FEBRERO 2026'!D96&lt;&gt;"",'FEBRERO 2026'!Z96="POR RECOGER"),'FEBRERO 2026'!N96,"")</f>
        <v/>
      </c>
      <c r="I197" s="381">
        <f>IF(AND('FEBRERO 2026'!D96&lt;&gt;"",'FEBRERO 2026'!Z96="POR RECOGER"),'FEBRERO 2026'!P96,"")</f>
        <v/>
      </c>
      <c r="J197" s="381">
        <f>IF(AND('FEBRERO 2026'!D96&lt;&gt;"",'FEBRERO 2026'!Z96="POR RECOGER"),'FEBRERO 2026'!Q96,"")</f>
        <v/>
      </c>
      <c r="K197" s="381">
        <f>IF(AND('FEBRERO 2026'!D96&lt;&gt;"",'FEBRERO 2026'!Z96="POR RECOGER"),'FEBRERO 2026'!Y96,"")</f>
        <v/>
      </c>
      <c r="L197" s="381">
        <f>IF(AND('FEBRERO 2026'!D96&lt;&gt;"",'FEBRERO 2026'!Z96="POR RECOGER"),'FEBRERO 2026'!I96,"")</f>
        <v/>
      </c>
      <c r="P197" s="194" t="n"/>
      <c r="Q197" s="194" t="n"/>
      <c r="R197" s="194" t="n"/>
      <c r="S197" s="194" t="n"/>
      <c r="T197" s="194" t="n"/>
      <c r="U197" s="194" t="n"/>
      <c r="V197" s="194" t="n"/>
      <c r="W197" s="194" t="n"/>
      <c r="X197" s="194" t="n"/>
      <c r="Y197" s="194" t="n"/>
      <c r="Z197" s="194" t="n"/>
    </row>
    <row r="198" ht="15" customHeight="1" s="195">
      <c r="A198" s="381">
        <f>IF(AND('FEBRERO 2026'!D97&lt;&gt;"",'FEBRERO 2026'!Z97="POR RECOGER"),"FEB","")</f>
        <v/>
      </c>
      <c r="B198" s="381">
        <f>IF(AND('FEBRERO 2026'!D97&lt;&gt;"",'FEBRERO 2026'!Z97="POR RECOGER"),IF('FEBRERO 2026'!Y97&lt;&gt;"",'FEBRERO 2026'!Y97,'FEBRERO 2026'!I97),"")</f>
        <v/>
      </c>
      <c r="C198" s="381">
        <f>IF(AND('FEBRERO 2026'!D97&lt;&gt;"",'FEBRERO 2026'!Z97="POR RECOGER"),'FEBRERO 2026'!D97,"")</f>
        <v/>
      </c>
      <c r="D198" s="381">
        <f>IF(AND('FEBRERO 2026'!D97&lt;&gt;"",'FEBRERO 2026'!Z97="POR RECOGER"),'FEBRERO 2026'!F97,"")</f>
        <v/>
      </c>
      <c r="E198" s="381">
        <f>IF(AND('FEBRERO 2026'!D97&lt;&gt;"",'FEBRERO 2026'!Z97="POR RECOGER"),TEXT('FEBRERO 2026'!G97,"DD/MM/YYYY"),"")</f>
        <v/>
      </c>
      <c r="F198" s="381">
        <f>IF(AND('FEBRERO 2026'!D97&lt;&gt;"",'FEBRERO 2026'!Z97="POR RECOGER"),'FEBRERO 2026'!K97,"")</f>
        <v/>
      </c>
      <c r="G198" s="382">
        <f>IF(AND('FEBRERO 2026'!D97&lt;&gt;"",'FEBRERO 2026'!Z97="POR RECOGER"),'FEBRERO 2026'!M97,"")</f>
        <v/>
      </c>
      <c r="H198" s="382">
        <f>IF(AND('FEBRERO 2026'!D97&lt;&gt;"",'FEBRERO 2026'!Z97="POR RECOGER"),'FEBRERO 2026'!N97,"")</f>
        <v/>
      </c>
      <c r="I198" s="381">
        <f>IF(AND('FEBRERO 2026'!D97&lt;&gt;"",'FEBRERO 2026'!Z97="POR RECOGER"),'FEBRERO 2026'!P97,"")</f>
        <v/>
      </c>
      <c r="J198" s="381">
        <f>IF(AND('FEBRERO 2026'!D97&lt;&gt;"",'FEBRERO 2026'!Z97="POR RECOGER"),'FEBRERO 2026'!Q97,"")</f>
        <v/>
      </c>
      <c r="K198" s="381">
        <f>IF(AND('FEBRERO 2026'!D97&lt;&gt;"",'FEBRERO 2026'!Z97="POR RECOGER"),'FEBRERO 2026'!Y97,"")</f>
        <v/>
      </c>
      <c r="L198" s="381">
        <f>IF(AND('FEBRERO 2026'!D97&lt;&gt;"",'FEBRERO 2026'!Z97="POR RECOGER"),'FEBRERO 2026'!I97,"")</f>
        <v/>
      </c>
      <c r="P198" s="194" t="n"/>
      <c r="Q198" s="194" t="n"/>
      <c r="R198" s="194" t="n"/>
      <c r="S198" s="194" t="n"/>
      <c r="T198" s="194" t="n"/>
      <c r="U198" s="194" t="n"/>
      <c r="V198" s="194" t="n"/>
      <c r="W198" s="194" t="n"/>
      <c r="X198" s="194" t="n"/>
      <c r="Y198" s="194" t="n"/>
      <c r="Z198" s="194" t="n"/>
    </row>
    <row r="199" ht="15" customHeight="1" s="195">
      <c r="A199" s="381">
        <f>IF(AND('FEBRERO 2026'!D98&lt;&gt;"",'FEBRERO 2026'!Z98="POR RECOGER"),"FEB","")</f>
        <v/>
      </c>
      <c r="B199" s="381">
        <f>IF(AND('FEBRERO 2026'!D98&lt;&gt;"",'FEBRERO 2026'!Z98="POR RECOGER"),IF('FEBRERO 2026'!Y98&lt;&gt;"",'FEBRERO 2026'!Y98,'FEBRERO 2026'!I98),"")</f>
        <v/>
      </c>
      <c r="C199" s="381">
        <f>IF(AND('FEBRERO 2026'!D98&lt;&gt;"",'FEBRERO 2026'!Z98="POR RECOGER"),'FEBRERO 2026'!D98,"")</f>
        <v/>
      </c>
      <c r="D199" s="381">
        <f>IF(AND('FEBRERO 2026'!D98&lt;&gt;"",'FEBRERO 2026'!Z98="POR RECOGER"),'FEBRERO 2026'!F98,"")</f>
        <v/>
      </c>
      <c r="E199" s="381">
        <f>IF(AND('FEBRERO 2026'!D98&lt;&gt;"",'FEBRERO 2026'!Z98="POR RECOGER"),TEXT('FEBRERO 2026'!G98,"DD/MM/YYYY"),"")</f>
        <v/>
      </c>
      <c r="F199" s="381">
        <f>IF(AND('FEBRERO 2026'!D98&lt;&gt;"",'FEBRERO 2026'!Z98="POR RECOGER"),'FEBRERO 2026'!K98,"")</f>
        <v/>
      </c>
      <c r="G199" s="382">
        <f>IF(AND('FEBRERO 2026'!D98&lt;&gt;"",'FEBRERO 2026'!Z98="POR RECOGER"),'FEBRERO 2026'!M98,"")</f>
        <v/>
      </c>
      <c r="H199" s="382">
        <f>IF(AND('FEBRERO 2026'!D98&lt;&gt;"",'FEBRERO 2026'!Z98="POR RECOGER"),'FEBRERO 2026'!N98,"")</f>
        <v/>
      </c>
      <c r="I199" s="381">
        <f>IF(AND('FEBRERO 2026'!D98&lt;&gt;"",'FEBRERO 2026'!Z98="POR RECOGER"),'FEBRERO 2026'!P98,"")</f>
        <v/>
      </c>
      <c r="J199" s="381">
        <f>IF(AND('FEBRERO 2026'!D98&lt;&gt;"",'FEBRERO 2026'!Z98="POR RECOGER"),'FEBRERO 2026'!Q98,"")</f>
        <v/>
      </c>
      <c r="K199" s="381">
        <f>IF(AND('FEBRERO 2026'!D98&lt;&gt;"",'FEBRERO 2026'!Z98="POR RECOGER"),'FEBRERO 2026'!Y98,"")</f>
        <v/>
      </c>
      <c r="L199" s="381">
        <f>IF(AND('FEBRERO 2026'!D98&lt;&gt;"",'FEBRERO 2026'!Z98="POR RECOGER"),'FEBRERO 2026'!I98,"")</f>
        <v/>
      </c>
      <c r="P199" s="194" t="n"/>
      <c r="Q199" s="194" t="n"/>
      <c r="R199" s="194" t="n"/>
      <c r="S199" s="194" t="n"/>
      <c r="T199" s="194" t="n"/>
      <c r="U199" s="194" t="n"/>
      <c r="V199" s="194" t="n"/>
      <c r="W199" s="194" t="n"/>
      <c r="X199" s="194" t="n"/>
      <c r="Y199" s="194" t="n"/>
      <c r="Z199" s="194" t="n"/>
    </row>
    <row r="200" ht="15" customHeight="1" s="195">
      <c r="A200" s="381">
        <f>IF(AND('FEBRERO 2026'!D99&lt;&gt;"",'FEBRERO 2026'!Z99="POR RECOGER"),"FEB","")</f>
        <v/>
      </c>
      <c r="B200" s="381">
        <f>IF(AND('FEBRERO 2026'!D99&lt;&gt;"",'FEBRERO 2026'!Z99="POR RECOGER"),IF('FEBRERO 2026'!Y99&lt;&gt;"",'FEBRERO 2026'!Y99,'FEBRERO 2026'!I99),"")</f>
        <v/>
      </c>
      <c r="C200" s="381">
        <f>IF(AND('FEBRERO 2026'!D99&lt;&gt;"",'FEBRERO 2026'!Z99="POR RECOGER"),'FEBRERO 2026'!D99,"")</f>
        <v/>
      </c>
      <c r="D200" s="381">
        <f>IF(AND('FEBRERO 2026'!D99&lt;&gt;"",'FEBRERO 2026'!Z99="POR RECOGER"),'FEBRERO 2026'!F99,"")</f>
        <v/>
      </c>
      <c r="E200" s="381">
        <f>IF(AND('FEBRERO 2026'!D99&lt;&gt;"",'FEBRERO 2026'!Z99="POR RECOGER"),TEXT('FEBRERO 2026'!G99,"DD/MM/YYYY"),"")</f>
        <v/>
      </c>
      <c r="F200" s="381">
        <f>IF(AND('FEBRERO 2026'!D99&lt;&gt;"",'FEBRERO 2026'!Z99="POR RECOGER"),'FEBRERO 2026'!K99,"")</f>
        <v/>
      </c>
      <c r="G200" s="382">
        <f>IF(AND('FEBRERO 2026'!D99&lt;&gt;"",'FEBRERO 2026'!Z99="POR RECOGER"),'FEBRERO 2026'!M99,"")</f>
        <v/>
      </c>
      <c r="H200" s="382">
        <f>IF(AND('FEBRERO 2026'!D99&lt;&gt;"",'FEBRERO 2026'!Z99="POR RECOGER"),'FEBRERO 2026'!N99,"")</f>
        <v/>
      </c>
      <c r="I200" s="381">
        <f>IF(AND('FEBRERO 2026'!D99&lt;&gt;"",'FEBRERO 2026'!Z99="POR RECOGER"),'FEBRERO 2026'!P99,"")</f>
        <v/>
      </c>
      <c r="J200" s="381">
        <f>IF(AND('FEBRERO 2026'!D99&lt;&gt;"",'FEBRERO 2026'!Z99="POR RECOGER"),'FEBRERO 2026'!Q99,"")</f>
        <v/>
      </c>
      <c r="K200" s="381">
        <f>IF(AND('FEBRERO 2026'!D99&lt;&gt;"",'FEBRERO 2026'!Z99="POR RECOGER"),'FEBRERO 2026'!Y99,"")</f>
        <v/>
      </c>
      <c r="L200" s="381">
        <f>IF(AND('FEBRERO 2026'!D99&lt;&gt;"",'FEBRERO 2026'!Z99="POR RECOGER"),'FEBRERO 2026'!I99,"")</f>
        <v/>
      </c>
      <c r="P200" s="194" t="n"/>
      <c r="Q200" s="194" t="n"/>
      <c r="R200" s="194" t="n"/>
      <c r="S200" s="194" t="n"/>
      <c r="T200" s="194" t="n"/>
      <c r="U200" s="194" t="n"/>
      <c r="V200" s="194" t="n"/>
      <c r="W200" s="194" t="n"/>
      <c r="X200" s="194" t="n"/>
      <c r="Y200" s="194" t="n"/>
      <c r="Z200" s="194" t="n"/>
    </row>
    <row r="201" ht="15" customHeight="1" s="195">
      <c r="A201" s="381">
        <f>IF(AND('FEBRERO 2026'!D100&lt;&gt;"",'FEBRERO 2026'!Z100="POR RECOGER"),"FEB","")</f>
        <v/>
      </c>
      <c r="B201" s="381">
        <f>IF(AND('FEBRERO 2026'!D100&lt;&gt;"",'FEBRERO 2026'!Z100="POR RECOGER"),IF('FEBRERO 2026'!Y100&lt;&gt;"",'FEBRERO 2026'!Y100,'FEBRERO 2026'!I100),"")</f>
        <v/>
      </c>
      <c r="C201" s="381">
        <f>IF(AND('FEBRERO 2026'!D100&lt;&gt;"",'FEBRERO 2026'!Z100="POR RECOGER"),'FEBRERO 2026'!D100,"")</f>
        <v/>
      </c>
      <c r="D201" s="381">
        <f>IF(AND('FEBRERO 2026'!D100&lt;&gt;"",'FEBRERO 2026'!Z100="POR RECOGER"),'FEBRERO 2026'!F100,"")</f>
        <v/>
      </c>
      <c r="E201" s="381">
        <f>IF(AND('FEBRERO 2026'!D100&lt;&gt;"",'FEBRERO 2026'!Z100="POR RECOGER"),TEXT('FEBRERO 2026'!G100,"DD/MM/YYYY"),"")</f>
        <v/>
      </c>
      <c r="F201" s="381">
        <f>IF(AND('FEBRERO 2026'!D100&lt;&gt;"",'FEBRERO 2026'!Z100="POR RECOGER"),'FEBRERO 2026'!K100,"")</f>
        <v/>
      </c>
      <c r="G201" s="382">
        <f>IF(AND('FEBRERO 2026'!D100&lt;&gt;"",'FEBRERO 2026'!Z100="POR RECOGER"),'FEBRERO 2026'!M100,"")</f>
        <v/>
      </c>
      <c r="H201" s="382">
        <f>IF(AND('FEBRERO 2026'!D100&lt;&gt;"",'FEBRERO 2026'!Z100="POR RECOGER"),'FEBRERO 2026'!N100,"")</f>
        <v/>
      </c>
      <c r="I201" s="381">
        <f>IF(AND('FEBRERO 2026'!D100&lt;&gt;"",'FEBRERO 2026'!Z100="POR RECOGER"),'FEBRERO 2026'!P100,"")</f>
        <v/>
      </c>
      <c r="J201" s="381">
        <f>IF(AND('FEBRERO 2026'!D100&lt;&gt;"",'FEBRERO 2026'!Z100="POR RECOGER"),'FEBRERO 2026'!Q100,"")</f>
        <v/>
      </c>
      <c r="K201" s="381">
        <f>IF(AND('FEBRERO 2026'!D100&lt;&gt;"",'FEBRERO 2026'!Z100="POR RECOGER"),'FEBRERO 2026'!Y100,"")</f>
        <v/>
      </c>
      <c r="L201" s="381">
        <f>IF(AND('FEBRERO 2026'!D100&lt;&gt;"",'FEBRERO 2026'!Z100="POR RECOGER"),'FEBRERO 2026'!I100,"")</f>
        <v/>
      </c>
      <c r="P201" s="194" t="n"/>
      <c r="Q201" s="194" t="n"/>
      <c r="R201" s="194" t="n"/>
      <c r="S201" s="194" t="n"/>
      <c r="T201" s="194" t="n"/>
      <c r="U201" s="194" t="n"/>
      <c r="V201" s="194" t="n"/>
      <c r="W201" s="194" t="n"/>
      <c r="X201" s="194" t="n"/>
      <c r="Y201" s="194" t="n"/>
      <c r="Z201" s="194" t="n"/>
    </row>
    <row r="202" ht="15" customHeight="1" s="195">
      <c r="A202" s="381">
        <f>IF(AND('FEBRERO 2026'!D101&lt;&gt;"",'FEBRERO 2026'!Z101="POR RECOGER"),"FEB","")</f>
        <v/>
      </c>
      <c r="B202" s="381">
        <f>IF(AND('FEBRERO 2026'!D101&lt;&gt;"",'FEBRERO 2026'!Z101="POR RECOGER"),IF('FEBRERO 2026'!Y101&lt;&gt;"",'FEBRERO 2026'!Y101,'FEBRERO 2026'!I101),"")</f>
        <v/>
      </c>
      <c r="C202" s="381">
        <f>IF(AND('FEBRERO 2026'!D101&lt;&gt;"",'FEBRERO 2026'!Z101="POR RECOGER"),'FEBRERO 2026'!D101,"")</f>
        <v/>
      </c>
      <c r="D202" s="381">
        <f>IF(AND('FEBRERO 2026'!D101&lt;&gt;"",'FEBRERO 2026'!Z101="POR RECOGER"),'FEBRERO 2026'!F101,"")</f>
        <v/>
      </c>
      <c r="E202" s="381">
        <f>IF(AND('FEBRERO 2026'!D101&lt;&gt;"",'FEBRERO 2026'!Z101="POR RECOGER"),TEXT('FEBRERO 2026'!G101,"DD/MM/YYYY"),"")</f>
        <v/>
      </c>
      <c r="F202" s="381">
        <f>IF(AND('FEBRERO 2026'!D101&lt;&gt;"",'FEBRERO 2026'!Z101="POR RECOGER"),'FEBRERO 2026'!K101,"")</f>
        <v/>
      </c>
      <c r="G202" s="382">
        <f>IF(AND('FEBRERO 2026'!D101&lt;&gt;"",'FEBRERO 2026'!Z101="POR RECOGER"),'FEBRERO 2026'!M101,"")</f>
        <v/>
      </c>
      <c r="H202" s="382">
        <f>IF(AND('FEBRERO 2026'!D101&lt;&gt;"",'FEBRERO 2026'!Z101="POR RECOGER"),'FEBRERO 2026'!N101,"")</f>
        <v/>
      </c>
      <c r="I202" s="381">
        <f>IF(AND('FEBRERO 2026'!D101&lt;&gt;"",'FEBRERO 2026'!Z101="POR RECOGER"),'FEBRERO 2026'!P101,"")</f>
        <v/>
      </c>
      <c r="J202" s="381">
        <f>IF(AND('FEBRERO 2026'!D101&lt;&gt;"",'FEBRERO 2026'!Z101="POR RECOGER"),'FEBRERO 2026'!Q101,"")</f>
        <v/>
      </c>
      <c r="K202" s="381">
        <f>IF(AND('FEBRERO 2026'!D101&lt;&gt;"",'FEBRERO 2026'!Z101="POR RECOGER"),'FEBRERO 2026'!Y101,"")</f>
        <v/>
      </c>
      <c r="L202" s="381">
        <f>IF(AND('FEBRERO 2026'!D101&lt;&gt;"",'FEBRERO 2026'!Z101="POR RECOGER"),'FEBRERO 2026'!I101,"")</f>
        <v/>
      </c>
      <c r="P202" s="194" t="n"/>
      <c r="Q202" s="194" t="n"/>
      <c r="R202" s="194" t="n"/>
      <c r="S202" s="194" t="n"/>
      <c r="T202" s="194" t="n"/>
      <c r="U202" s="194" t="n"/>
      <c r="V202" s="194" t="n"/>
      <c r="W202" s="194" t="n"/>
      <c r="X202" s="194" t="n"/>
      <c r="Y202" s="194" t="n"/>
      <c r="Z202" s="194" t="n"/>
    </row>
    <row r="203" ht="15" customHeight="1" s="195">
      <c r="A203" s="381">
        <f>IF(AND('FEBRERO 2026'!D102&lt;&gt;"",'FEBRERO 2026'!Z102="POR RECOGER"),"FEB","")</f>
        <v/>
      </c>
      <c r="B203" s="381">
        <f>IF(AND('FEBRERO 2026'!D102&lt;&gt;"",'FEBRERO 2026'!Z102="POR RECOGER"),IF('FEBRERO 2026'!Y102&lt;&gt;"",'FEBRERO 2026'!Y102,'FEBRERO 2026'!I102),"")</f>
        <v/>
      </c>
      <c r="C203" s="381">
        <f>IF(AND('FEBRERO 2026'!D102&lt;&gt;"",'FEBRERO 2026'!Z102="POR RECOGER"),'FEBRERO 2026'!D102,"")</f>
        <v/>
      </c>
      <c r="D203" s="381">
        <f>IF(AND('FEBRERO 2026'!D102&lt;&gt;"",'FEBRERO 2026'!Z102="POR RECOGER"),'FEBRERO 2026'!F102,"")</f>
        <v/>
      </c>
      <c r="E203" s="381">
        <f>IF(AND('FEBRERO 2026'!D102&lt;&gt;"",'FEBRERO 2026'!Z102="POR RECOGER"),TEXT('FEBRERO 2026'!G102,"DD/MM/YYYY"),"")</f>
        <v/>
      </c>
      <c r="F203" s="381">
        <f>IF(AND('FEBRERO 2026'!D102&lt;&gt;"",'FEBRERO 2026'!Z102="POR RECOGER"),'FEBRERO 2026'!K102,"")</f>
        <v/>
      </c>
      <c r="G203" s="382">
        <f>IF(AND('FEBRERO 2026'!D102&lt;&gt;"",'FEBRERO 2026'!Z102="POR RECOGER"),'FEBRERO 2026'!M102,"")</f>
        <v/>
      </c>
      <c r="H203" s="382">
        <f>IF(AND('FEBRERO 2026'!D102&lt;&gt;"",'FEBRERO 2026'!Z102="POR RECOGER"),'FEBRERO 2026'!N102,"")</f>
        <v/>
      </c>
      <c r="I203" s="381">
        <f>IF(AND('FEBRERO 2026'!D102&lt;&gt;"",'FEBRERO 2026'!Z102="POR RECOGER"),'FEBRERO 2026'!P102,"")</f>
        <v/>
      </c>
      <c r="J203" s="381">
        <f>IF(AND('FEBRERO 2026'!D102&lt;&gt;"",'FEBRERO 2026'!Z102="POR RECOGER"),'FEBRERO 2026'!Q102,"")</f>
        <v/>
      </c>
      <c r="K203" s="381">
        <f>IF(AND('FEBRERO 2026'!D102&lt;&gt;"",'FEBRERO 2026'!Z102="POR RECOGER"),'FEBRERO 2026'!Y102,"")</f>
        <v/>
      </c>
      <c r="L203" s="381">
        <f>IF(AND('FEBRERO 2026'!D102&lt;&gt;"",'FEBRERO 2026'!Z102="POR RECOGER"),'FEBRERO 2026'!I102,"")</f>
        <v/>
      </c>
      <c r="P203" s="194" t="n"/>
      <c r="Q203" s="194" t="n"/>
      <c r="R203" s="194" t="n"/>
      <c r="S203" s="194" t="n"/>
      <c r="T203" s="194" t="n"/>
      <c r="U203" s="194" t="n"/>
      <c r="V203" s="194" t="n"/>
      <c r="W203" s="194" t="n"/>
      <c r="X203" s="194" t="n"/>
      <c r="Y203" s="194" t="n"/>
      <c r="Z203" s="194" t="n"/>
    </row>
    <row r="204" ht="15" customHeight="1" s="195">
      <c r="A204" s="381">
        <f>IF(AND('FEBRERO 2026'!D103&lt;&gt;"",'FEBRERO 2026'!Z103="POR RECOGER"),"FEB","")</f>
        <v/>
      </c>
      <c r="B204" s="381">
        <f>IF(AND('FEBRERO 2026'!D103&lt;&gt;"",'FEBRERO 2026'!Z103="POR RECOGER"),IF('FEBRERO 2026'!Y103&lt;&gt;"",'FEBRERO 2026'!Y103,'FEBRERO 2026'!I103),"")</f>
        <v/>
      </c>
      <c r="C204" s="381">
        <f>IF(AND('FEBRERO 2026'!D103&lt;&gt;"",'FEBRERO 2026'!Z103="POR RECOGER"),'FEBRERO 2026'!D103,"")</f>
        <v/>
      </c>
      <c r="D204" s="381">
        <f>IF(AND('FEBRERO 2026'!D103&lt;&gt;"",'FEBRERO 2026'!Z103="POR RECOGER"),'FEBRERO 2026'!F103,"")</f>
        <v/>
      </c>
      <c r="E204" s="381">
        <f>IF(AND('FEBRERO 2026'!D103&lt;&gt;"",'FEBRERO 2026'!Z103="POR RECOGER"),TEXT('FEBRERO 2026'!G103,"DD/MM/YYYY"),"")</f>
        <v/>
      </c>
      <c r="F204" s="381">
        <f>IF(AND('FEBRERO 2026'!D103&lt;&gt;"",'FEBRERO 2026'!Z103="POR RECOGER"),'FEBRERO 2026'!K103,"")</f>
        <v/>
      </c>
      <c r="G204" s="382">
        <f>IF(AND('FEBRERO 2026'!D103&lt;&gt;"",'FEBRERO 2026'!Z103="POR RECOGER"),'FEBRERO 2026'!M103,"")</f>
        <v/>
      </c>
      <c r="H204" s="382">
        <f>IF(AND('FEBRERO 2026'!D103&lt;&gt;"",'FEBRERO 2026'!Z103="POR RECOGER"),'FEBRERO 2026'!N103,"")</f>
        <v/>
      </c>
      <c r="I204" s="381">
        <f>IF(AND('FEBRERO 2026'!D103&lt;&gt;"",'FEBRERO 2026'!Z103="POR RECOGER"),'FEBRERO 2026'!P103,"")</f>
        <v/>
      </c>
      <c r="J204" s="381">
        <f>IF(AND('FEBRERO 2026'!D103&lt;&gt;"",'FEBRERO 2026'!Z103="POR RECOGER"),'FEBRERO 2026'!Q103,"")</f>
        <v/>
      </c>
      <c r="K204" s="381">
        <f>IF(AND('FEBRERO 2026'!D103&lt;&gt;"",'FEBRERO 2026'!Z103="POR RECOGER"),'FEBRERO 2026'!Y103,"")</f>
        <v/>
      </c>
      <c r="L204" s="381">
        <f>IF(AND('FEBRERO 2026'!D103&lt;&gt;"",'FEBRERO 2026'!Z103="POR RECOGER"),'FEBRERO 2026'!I103,"")</f>
        <v/>
      </c>
      <c r="P204" s="194" t="n"/>
      <c r="Q204" s="194" t="n"/>
      <c r="R204" s="194" t="n"/>
      <c r="S204" s="194" t="n"/>
      <c r="T204" s="194" t="n"/>
      <c r="U204" s="194" t="n"/>
      <c r="V204" s="194" t="n"/>
      <c r="W204" s="194" t="n"/>
      <c r="X204" s="194" t="n"/>
      <c r="Y204" s="194" t="n"/>
      <c r="Z204" s="194" t="n"/>
    </row>
    <row r="205" ht="15" customHeight="1" s="195">
      <c r="A205" s="381">
        <f>IF(AND('FEBRERO 2026'!D104&lt;&gt;"",'FEBRERO 2026'!Z104="POR RECOGER"),"FEB","")</f>
        <v/>
      </c>
      <c r="B205" s="381">
        <f>IF(AND('FEBRERO 2026'!D104&lt;&gt;"",'FEBRERO 2026'!Z104="POR RECOGER"),IF('FEBRERO 2026'!Y104&lt;&gt;"",'FEBRERO 2026'!Y104,'FEBRERO 2026'!I104),"")</f>
        <v/>
      </c>
      <c r="C205" s="381">
        <f>IF(AND('FEBRERO 2026'!D104&lt;&gt;"",'FEBRERO 2026'!Z104="POR RECOGER"),'FEBRERO 2026'!D104,"")</f>
        <v/>
      </c>
      <c r="D205" s="381">
        <f>IF(AND('FEBRERO 2026'!D104&lt;&gt;"",'FEBRERO 2026'!Z104="POR RECOGER"),'FEBRERO 2026'!F104,"")</f>
        <v/>
      </c>
      <c r="E205" s="381">
        <f>IF(AND('FEBRERO 2026'!D104&lt;&gt;"",'FEBRERO 2026'!Z104="POR RECOGER"),TEXT('FEBRERO 2026'!G104,"DD/MM/YYYY"),"")</f>
        <v/>
      </c>
      <c r="F205" s="381">
        <f>IF(AND('FEBRERO 2026'!D104&lt;&gt;"",'FEBRERO 2026'!Z104="POR RECOGER"),'FEBRERO 2026'!K104,"")</f>
        <v/>
      </c>
      <c r="G205" s="382">
        <f>IF(AND('FEBRERO 2026'!D104&lt;&gt;"",'FEBRERO 2026'!Z104="POR RECOGER"),'FEBRERO 2026'!M104,"")</f>
        <v/>
      </c>
      <c r="H205" s="382">
        <f>IF(AND('FEBRERO 2026'!D104&lt;&gt;"",'FEBRERO 2026'!Z104="POR RECOGER"),'FEBRERO 2026'!N104,"")</f>
        <v/>
      </c>
      <c r="I205" s="381">
        <f>IF(AND('FEBRERO 2026'!D104&lt;&gt;"",'FEBRERO 2026'!Z104="POR RECOGER"),'FEBRERO 2026'!P104,"")</f>
        <v/>
      </c>
      <c r="J205" s="381">
        <f>IF(AND('FEBRERO 2026'!D104&lt;&gt;"",'FEBRERO 2026'!Z104="POR RECOGER"),'FEBRERO 2026'!Q104,"")</f>
        <v/>
      </c>
      <c r="K205" s="381">
        <f>IF(AND('FEBRERO 2026'!D104&lt;&gt;"",'FEBRERO 2026'!Z104="POR RECOGER"),'FEBRERO 2026'!Y104,"")</f>
        <v/>
      </c>
      <c r="L205" s="381">
        <f>IF(AND('FEBRERO 2026'!D104&lt;&gt;"",'FEBRERO 2026'!Z104="POR RECOGER"),'FEBRERO 2026'!I104,"")</f>
        <v/>
      </c>
      <c r="P205" s="194" t="n"/>
      <c r="Q205" s="194" t="n"/>
      <c r="R205" s="194" t="n"/>
      <c r="S205" s="194" t="n"/>
      <c r="T205" s="194" t="n"/>
      <c r="U205" s="194" t="n"/>
      <c r="V205" s="194" t="n"/>
      <c r="W205" s="194" t="n"/>
      <c r="X205" s="194" t="n"/>
      <c r="Y205" s="194" t="n"/>
      <c r="Z205" s="194" t="n"/>
    </row>
    <row r="206" ht="15" customHeight="1" s="195">
      <c r="A206" s="381">
        <f>IF(AND('FEBRERO 2026'!D105&lt;&gt;"",'FEBRERO 2026'!Z105="POR RECOGER"),"FEB","")</f>
        <v/>
      </c>
      <c r="B206" s="381">
        <f>IF(AND('FEBRERO 2026'!D105&lt;&gt;"",'FEBRERO 2026'!Z105="POR RECOGER"),IF('FEBRERO 2026'!Y105&lt;&gt;"",'FEBRERO 2026'!Y105,'FEBRERO 2026'!I105),"")</f>
        <v/>
      </c>
      <c r="C206" s="381">
        <f>IF(AND('FEBRERO 2026'!D105&lt;&gt;"",'FEBRERO 2026'!Z105="POR RECOGER"),'FEBRERO 2026'!D105,"")</f>
        <v/>
      </c>
      <c r="D206" s="381">
        <f>IF(AND('FEBRERO 2026'!D105&lt;&gt;"",'FEBRERO 2026'!Z105="POR RECOGER"),'FEBRERO 2026'!F105,"")</f>
        <v/>
      </c>
      <c r="E206" s="381">
        <f>IF(AND('FEBRERO 2026'!D105&lt;&gt;"",'FEBRERO 2026'!Z105="POR RECOGER"),TEXT('FEBRERO 2026'!G105,"DD/MM/YYYY"),"")</f>
        <v/>
      </c>
      <c r="F206" s="381">
        <f>IF(AND('FEBRERO 2026'!D105&lt;&gt;"",'FEBRERO 2026'!Z105="POR RECOGER"),'FEBRERO 2026'!K105,"")</f>
        <v/>
      </c>
      <c r="G206" s="382">
        <f>IF(AND('FEBRERO 2026'!D105&lt;&gt;"",'FEBRERO 2026'!Z105="POR RECOGER"),'FEBRERO 2026'!M105,"")</f>
        <v/>
      </c>
      <c r="H206" s="382">
        <f>IF(AND('FEBRERO 2026'!D105&lt;&gt;"",'FEBRERO 2026'!Z105="POR RECOGER"),'FEBRERO 2026'!N105,"")</f>
        <v/>
      </c>
      <c r="I206" s="381">
        <f>IF(AND('FEBRERO 2026'!D105&lt;&gt;"",'FEBRERO 2026'!Z105="POR RECOGER"),'FEBRERO 2026'!P105,"")</f>
        <v/>
      </c>
      <c r="J206" s="381">
        <f>IF(AND('FEBRERO 2026'!D105&lt;&gt;"",'FEBRERO 2026'!Z105="POR RECOGER"),'FEBRERO 2026'!Q105,"")</f>
        <v/>
      </c>
      <c r="K206" s="381">
        <f>IF(AND('FEBRERO 2026'!D105&lt;&gt;"",'FEBRERO 2026'!Z105="POR RECOGER"),'FEBRERO 2026'!Y105,"")</f>
        <v/>
      </c>
      <c r="L206" s="381">
        <f>IF(AND('FEBRERO 2026'!D105&lt;&gt;"",'FEBRERO 2026'!Z105="POR RECOGER"),'FEBRERO 2026'!I105,"")</f>
        <v/>
      </c>
      <c r="P206" s="194" t="n"/>
      <c r="Q206" s="194" t="n"/>
      <c r="R206" s="194" t="n"/>
      <c r="S206" s="194" t="n"/>
      <c r="T206" s="194" t="n"/>
      <c r="U206" s="194" t="n"/>
      <c r="V206" s="194" t="n"/>
      <c r="W206" s="194" t="n"/>
      <c r="X206" s="194" t="n"/>
      <c r="Y206" s="194" t="n"/>
      <c r="Z206" s="194" t="n"/>
    </row>
    <row r="207" ht="15" customHeight="1" s="195">
      <c r="A207" s="381">
        <f>IF(AND('FEBRERO 2026'!D106&lt;&gt;"",'FEBRERO 2026'!Z106="POR RECOGER"),"FEB","")</f>
        <v/>
      </c>
      <c r="B207" s="381">
        <f>IF(AND('FEBRERO 2026'!D106&lt;&gt;"",'FEBRERO 2026'!Z106="POR RECOGER"),IF('FEBRERO 2026'!Y106&lt;&gt;"",'FEBRERO 2026'!Y106,'FEBRERO 2026'!I106),"")</f>
        <v/>
      </c>
      <c r="C207" s="381">
        <f>IF(AND('FEBRERO 2026'!D106&lt;&gt;"",'FEBRERO 2026'!Z106="POR RECOGER"),'FEBRERO 2026'!D106,"")</f>
        <v/>
      </c>
      <c r="D207" s="381">
        <f>IF(AND('FEBRERO 2026'!D106&lt;&gt;"",'FEBRERO 2026'!Z106="POR RECOGER"),'FEBRERO 2026'!F106,"")</f>
        <v/>
      </c>
      <c r="E207" s="381">
        <f>IF(AND('FEBRERO 2026'!D106&lt;&gt;"",'FEBRERO 2026'!Z106="POR RECOGER"),TEXT('FEBRERO 2026'!G106,"DD/MM/YYYY"),"")</f>
        <v/>
      </c>
      <c r="F207" s="381">
        <f>IF(AND('FEBRERO 2026'!D106&lt;&gt;"",'FEBRERO 2026'!Z106="POR RECOGER"),'FEBRERO 2026'!K106,"")</f>
        <v/>
      </c>
      <c r="G207" s="382">
        <f>IF(AND('FEBRERO 2026'!D106&lt;&gt;"",'FEBRERO 2026'!Z106="POR RECOGER"),'FEBRERO 2026'!M106,"")</f>
        <v/>
      </c>
      <c r="H207" s="382">
        <f>IF(AND('FEBRERO 2026'!D106&lt;&gt;"",'FEBRERO 2026'!Z106="POR RECOGER"),'FEBRERO 2026'!N106,"")</f>
        <v/>
      </c>
      <c r="I207" s="381">
        <f>IF(AND('FEBRERO 2026'!D106&lt;&gt;"",'FEBRERO 2026'!Z106="POR RECOGER"),'FEBRERO 2026'!P106,"")</f>
        <v/>
      </c>
      <c r="J207" s="381">
        <f>IF(AND('FEBRERO 2026'!D106&lt;&gt;"",'FEBRERO 2026'!Z106="POR RECOGER"),'FEBRERO 2026'!Q106,"")</f>
        <v/>
      </c>
      <c r="K207" s="381">
        <f>IF(AND('FEBRERO 2026'!D106&lt;&gt;"",'FEBRERO 2026'!Z106="POR RECOGER"),'FEBRERO 2026'!Y106,"")</f>
        <v/>
      </c>
      <c r="L207" s="381">
        <f>IF(AND('FEBRERO 2026'!D106&lt;&gt;"",'FEBRERO 2026'!Z106="POR RECOGER"),'FEBRERO 2026'!I106,"")</f>
        <v/>
      </c>
      <c r="P207" s="194" t="n"/>
      <c r="Q207" s="194" t="n"/>
      <c r="R207" s="194" t="n"/>
      <c r="S207" s="194" t="n"/>
      <c r="T207" s="194" t="n"/>
      <c r="U207" s="194" t="n"/>
      <c r="V207" s="194" t="n"/>
      <c r="W207" s="194" t="n"/>
      <c r="X207" s="194" t="n"/>
      <c r="Y207" s="194" t="n"/>
      <c r="Z207" s="194" t="n"/>
    </row>
    <row r="208" ht="15" customHeight="1" s="195">
      <c r="A208" s="381">
        <f>IF(AND('FEBRERO 2026'!D107&lt;&gt;"",'FEBRERO 2026'!Z107="POR RECOGER"),"FEB","")</f>
        <v/>
      </c>
      <c r="B208" s="381">
        <f>IF(AND('FEBRERO 2026'!D107&lt;&gt;"",'FEBRERO 2026'!Z107="POR RECOGER"),IF('FEBRERO 2026'!Y107&lt;&gt;"",'FEBRERO 2026'!Y107,'FEBRERO 2026'!I107),"")</f>
        <v/>
      </c>
      <c r="C208" s="381">
        <f>IF(AND('FEBRERO 2026'!D107&lt;&gt;"",'FEBRERO 2026'!Z107="POR RECOGER"),'FEBRERO 2026'!D107,"")</f>
        <v/>
      </c>
      <c r="D208" s="381">
        <f>IF(AND('FEBRERO 2026'!D107&lt;&gt;"",'FEBRERO 2026'!Z107="POR RECOGER"),'FEBRERO 2026'!F107,"")</f>
        <v/>
      </c>
      <c r="E208" s="381">
        <f>IF(AND('FEBRERO 2026'!D107&lt;&gt;"",'FEBRERO 2026'!Z107="POR RECOGER"),TEXT('FEBRERO 2026'!G107,"DD/MM/YYYY"),"")</f>
        <v/>
      </c>
      <c r="F208" s="381">
        <f>IF(AND('FEBRERO 2026'!D107&lt;&gt;"",'FEBRERO 2026'!Z107="POR RECOGER"),'FEBRERO 2026'!K107,"")</f>
        <v/>
      </c>
      <c r="G208" s="382">
        <f>IF(AND('FEBRERO 2026'!D107&lt;&gt;"",'FEBRERO 2026'!Z107="POR RECOGER"),'FEBRERO 2026'!M107,"")</f>
        <v/>
      </c>
      <c r="H208" s="382">
        <f>IF(AND('FEBRERO 2026'!D107&lt;&gt;"",'FEBRERO 2026'!Z107="POR RECOGER"),'FEBRERO 2026'!N107,"")</f>
        <v/>
      </c>
      <c r="I208" s="381">
        <f>IF(AND('FEBRERO 2026'!D107&lt;&gt;"",'FEBRERO 2026'!Z107="POR RECOGER"),'FEBRERO 2026'!P107,"")</f>
        <v/>
      </c>
      <c r="J208" s="381">
        <f>IF(AND('FEBRERO 2026'!D107&lt;&gt;"",'FEBRERO 2026'!Z107="POR RECOGER"),'FEBRERO 2026'!Q107,"")</f>
        <v/>
      </c>
      <c r="K208" s="381">
        <f>IF(AND('FEBRERO 2026'!D107&lt;&gt;"",'FEBRERO 2026'!Z107="POR RECOGER"),'FEBRERO 2026'!Y107,"")</f>
        <v/>
      </c>
      <c r="L208" s="381">
        <f>IF(AND('FEBRERO 2026'!D107&lt;&gt;"",'FEBRERO 2026'!Z107="POR RECOGER"),'FEBRERO 2026'!I107,"")</f>
        <v/>
      </c>
      <c r="P208" s="194" t="n"/>
      <c r="Q208" s="194" t="n"/>
      <c r="R208" s="194" t="n"/>
      <c r="S208" s="194" t="n"/>
      <c r="T208" s="194" t="n"/>
      <c r="U208" s="194" t="n"/>
      <c r="V208" s="194" t="n"/>
      <c r="W208" s="194" t="n"/>
      <c r="X208" s="194" t="n"/>
      <c r="Y208" s="194" t="n"/>
      <c r="Z208" s="194" t="n"/>
    </row>
    <row r="209" ht="15" customHeight="1" s="195">
      <c r="A209" s="381">
        <f>IF(AND('FEBRERO 2026'!D108&lt;&gt;"",'FEBRERO 2026'!Z108="POR RECOGER"),"FEB","")</f>
        <v/>
      </c>
      <c r="B209" s="381">
        <f>IF(AND('FEBRERO 2026'!D108&lt;&gt;"",'FEBRERO 2026'!Z108="POR RECOGER"),IF('FEBRERO 2026'!Y108&lt;&gt;"",'FEBRERO 2026'!Y108,'FEBRERO 2026'!I108),"")</f>
        <v/>
      </c>
      <c r="C209" s="381">
        <f>IF(AND('FEBRERO 2026'!D108&lt;&gt;"",'FEBRERO 2026'!Z108="POR RECOGER"),'FEBRERO 2026'!D108,"")</f>
        <v/>
      </c>
      <c r="D209" s="381">
        <f>IF(AND('FEBRERO 2026'!D108&lt;&gt;"",'FEBRERO 2026'!Z108="POR RECOGER"),'FEBRERO 2026'!F108,"")</f>
        <v/>
      </c>
      <c r="E209" s="381">
        <f>IF(AND('FEBRERO 2026'!D108&lt;&gt;"",'FEBRERO 2026'!Z108="POR RECOGER"),TEXT('FEBRERO 2026'!G108,"DD/MM/YYYY"),"")</f>
        <v/>
      </c>
      <c r="F209" s="381">
        <f>IF(AND('FEBRERO 2026'!D108&lt;&gt;"",'FEBRERO 2026'!Z108="POR RECOGER"),'FEBRERO 2026'!K108,"")</f>
        <v/>
      </c>
      <c r="G209" s="382">
        <f>IF(AND('FEBRERO 2026'!D108&lt;&gt;"",'FEBRERO 2026'!Z108="POR RECOGER"),'FEBRERO 2026'!M108,"")</f>
        <v/>
      </c>
      <c r="H209" s="382">
        <f>IF(AND('FEBRERO 2026'!D108&lt;&gt;"",'FEBRERO 2026'!Z108="POR RECOGER"),'FEBRERO 2026'!N108,"")</f>
        <v/>
      </c>
      <c r="I209" s="381">
        <f>IF(AND('FEBRERO 2026'!D108&lt;&gt;"",'FEBRERO 2026'!Z108="POR RECOGER"),'FEBRERO 2026'!P108,"")</f>
        <v/>
      </c>
      <c r="J209" s="381">
        <f>IF(AND('FEBRERO 2026'!D108&lt;&gt;"",'FEBRERO 2026'!Z108="POR RECOGER"),'FEBRERO 2026'!Q108,"")</f>
        <v/>
      </c>
      <c r="K209" s="381">
        <f>IF(AND('FEBRERO 2026'!D108&lt;&gt;"",'FEBRERO 2026'!Z108="POR RECOGER"),'FEBRERO 2026'!Y108,"")</f>
        <v/>
      </c>
      <c r="L209" s="381">
        <f>IF(AND('FEBRERO 2026'!D108&lt;&gt;"",'FEBRERO 2026'!Z108="POR RECOGER"),'FEBRERO 2026'!I108,"")</f>
        <v/>
      </c>
      <c r="P209" s="194" t="n"/>
      <c r="Q209" s="194" t="n"/>
      <c r="R209" s="194" t="n"/>
      <c r="S209" s="194" t="n"/>
      <c r="T209" s="194" t="n"/>
      <c r="U209" s="194" t="n"/>
      <c r="V209" s="194" t="n"/>
      <c r="W209" s="194" t="n"/>
      <c r="X209" s="194" t="n"/>
      <c r="Y209" s="194" t="n"/>
      <c r="Z209" s="194" t="n"/>
    </row>
    <row r="210" ht="15" customHeight="1" s="195">
      <c r="A210" s="381">
        <f>IF(AND('FEBRERO 2026'!D109&lt;&gt;"",'FEBRERO 2026'!Z109="POR RECOGER"),"FEB","")</f>
        <v/>
      </c>
      <c r="B210" s="381">
        <f>IF(AND('FEBRERO 2026'!D109&lt;&gt;"",'FEBRERO 2026'!Z109="POR RECOGER"),IF('FEBRERO 2026'!Y109&lt;&gt;"",'FEBRERO 2026'!Y109,'FEBRERO 2026'!I109),"")</f>
        <v/>
      </c>
      <c r="C210" s="381">
        <f>IF(AND('FEBRERO 2026'!D109&lt;&gt;"",'FEBRERO 2026'!Z109="POR RECOGER"),'FEBRERO 2026'!D109,"")</f>
        <v/>
      </c>
      <c r="D210" s="381">
        <f>IF(AND('FEBRERO 2026'!D109&lt;&gt;"",'FEBRERO 2026'!Z109="POR RECOGER"),'FEBRERO 2026'!F109,"")</f>
        <v/>
      </c>
      <c r="E210" s="381">
        <f>IF(AND('FEBRERO 2026'!D109&lt;&gt;"",'FEBRERO 2026'!Z109="POR RECOGER"),TEXT('FEBRERO 2026'!G109,"DD/MM/YYYY"),"")</f>
        <v/>
      </c>
      <c r="F210" s="381">
        <f>IF(AND('FEBRERO 2026'!D109&lt;&gt;"",'FEBRERO 2026'!Z109="POR RECOGER"),'FEBRERO 2026'!K109,"")</f>
        <v/>
      </c>
      <c r="G210" s="382">
        <f>IF(AND('FEBRERO 2026'!D109&lt;&gt;"",'FEBRERO 2026'!Z109="POR RECOGER"),'FEBRERO 2026'!M109,"")</f>
        <v/>
      </c>
      <c r="H210" s="382">
        <f>IF(AND('FEBRERO 2026'!D109&lt;&gt;"",'FEBRERO 2026'!Z109="POR RECOGER"),'FEBRERO 2026'!N109,"")</f>
        <v/>
      </c>
      <c r="I210" s="381">
        <f>IF(AND('FEBRERO 2026'!D109&lt;&gt;"",'FEBRERO 2026'!Z109="POR RECOGER"),'FEBRERO 2026'!P109,"")</f>
        <v/>
      </c>
      <c r="J210" s="381">
        <f>IF(AND('FEBRERO 2026'!D109&lt;&gt;"",'FEBRERO 2026'!Z109="POR RECOGER"),'FEBRERO 2026'!Q109,"")</f>
        <v/>
      </c>
      <c r="K210" s="381">
        <f>IF(AND('FEBRERO 2026'!D109&lt;&gt;"",'FEBRERO 2026'!Z109="POR RECOGER"),'FEBRERO 2026'!Y109,"")</f>
        <v/>
      </c>
      <c r="L210" s="381">
        <f>IF(AND('FEBRERO 2026'!D109&lt;&gt;"",'FEBRERO 2026'!Z109="POR RECOGER"),'FEBRERO 2026'!I109,"")</f>
        <v/>
      </c>
      <c r="P210" s="194" t="n"/>
      <c r="Q210" s="194" t="n"/>
      <c r="R210" s="194" t="n"/>
      <c r="S210" s="194" t="n"/>
      <c r="T210" s="194" t="n"/>
      <c r="U210" s="194" t="n"/>
      <c r="V210" s="194" t="n"/>
      <c r="W210" s="194" t="n"/>
      <c r="X210" s="194" t="n"/>
      <c r="Y210" s="194" t="n"/>
      <c r="Z210" s="194" t="n"/>
    </row>
    <row r="211" ht="15" customHeight="1" s="195">
      <c r="A211" s="381">
        <f>IF(AND('FEBRERO 2026'!D110&lt;&gt;"",'FEBRERO 2026'!Z110="POR RECOGER"),"FEB","")</f>
        <v/>
      </c>
      <c r="B211" s="381">
        <f>IF(AND('FEBRERO 2026'!D110&lt;&gt;"",'FEBRERO 2026'!Z110="POR RECOGER"),IF('FEBRERO 2026'!Y110&lt;&gt;"",'FEBRERO 2026'!Y110,'FEBRERO 2026'!I110),"")</f>
        <v/>
      </c>
      <c r="C211" s="381">
        <f>IF(AND('FEBRERO 2026'!D110&lt;&gt;"",'FEBRERO 2026'!Z110="POR RECOGER"),'FEBRERO 2026'!D110,"")</f>
        <v/>
      </c>
      <c r="D211" s="381">
        <f>IF(AND('FEBRERO 2026'!D110&lt;&gt;"",'FEBRERO 2026'!Z110="POR RECOGER"),'FEBRERO 2026'!F110,"")</f>
        <v/>
      </c>
      <c r="E211" s="381">
        <f>IF(AND('FEBRERO 2026'!D110&lt;&gt;"",'FEBRERO 2026'!Z110="POR RECOGER"),TEXT('FEBRERO 2026'!G110,"DD/MM/YYYY"),"")</f>
        <v/>
      </c>
      <c r="F211" s="381">
        <f>IF(AND('FEBRERO 2026'!D110&lt;&gt;"",'FEBRERO 2026'!Z110="POR RECOGER"),'FEBRERO 2026'!K110,"")</f>
        <v/>
      </c>
      <c r="G211" s="382">
        <f>IF(AND('FEBRERO 2026'!D110&lt;&gt;"",'FEBRERO 2026'!Z110="POR RECOGER"),'FEBRERO 2026'!M110,"")</f>
        <v/>
      </c>
      <c r="H211" s="382">
        <f>IF(AND('FEBRERO 2026'!D110&lt;&gt;"",'FEBRERO 2026'!Z110="POR RECOGER"),'FEBRERO 2026'!N110,"")</f>
        <v/>
      </c>
      <c r="I211" s="381">
        <f>IF(AND('FEBRERO 2026'!D110&lt;&gt;"",'FEBRERO 2026'!Z110="POR RECOGER"),'FEBRERO 2026'!P110,"")</f>
        <v/>
      </c>
      <c r="J211" s="381">
        <f>IF(AND('FEBRERO 2026'!D110&lt;&gt;"",'FEBRERO 2026'!Z110="POR RECOGER"),'FEBRERO 2026'!Q110,"")</f>
        <v/>
      </c>
      <c r="K211" s="381">
        <f>IF(AND('FEBRERO 2026'!D110&lt;&gt;"",'FEBRERO 2026'!Z110="POR RECOGER"),'FEBRERO 2026'!Y110,"")</f>
        <v/>
      </c>
      <c r="L211" s="381">
        <f>IF(AND('FEBRERO 2026'!D110&lt;&gt;"",'FEBRERO 2026'!Z110="POR RECOGER"),'FEBRERO 2026'!I110,"")</f>
        <v/>
      </c>
      <c r="P211" s="194" t="n"/>
      <c r="Q211" s="194" t="n"/>
      <c r="R211" s="194" t="n"/>
      <c r="S211" s="194" t="n"/>
      <c r="T211" s="194" t="n"/>
      <c r="U211" s="194" t="n"/>
      <c r="V211" s="194" t="n"/>
      <c r="W211" s="194" t="n"/>
      <c r="X211" s="194" t="n"/>
      <c r="Y211" s="194" t="n"/>
      <c r="Z211" s="194" t="n"/>
    </row>
    <row r="212" ht="15" customHeight="1" s="195">
      <c r="A212" s="381">
        <f>IF(AND('MARZO 2026'!D6&lt;&gt;"",'MARZO 2026'!Z6="POR RECOGER"),"MAR","")</f>
        <v/>
      </c>
      <c r="B212" s="381">
        <f>IF(AND('MARZO 2026'!D6&lt;&gt;"",'MARZO 2026'!Z6="POR RECOGER"),IF('MARZO 2026'!Y6&lt;&gt;"",'MARZO 2026'!Y6,'MARZO 2026'!I6),"")</f>
        <v/>
      </c>
      <c r="C212" s="381">
        <f>IF(AND('MARZO 2026'!D6&lt;&gt;"",'MARZO 2026'!Z6="POR RECOGER"),'MARZO 2026'!D6,"")</f>
        <v/>
      </c>
      <c r="D212" s="381">
        <f>IF(AND('MARZO 2026'!D6&lt;&gt;"",'MARZO 2026'!Z6="POR RECOGER"),'MARZO 2026'!F6,"")</f>
        <v/>
      </c>
      <c r="E212" s="381">
        <f>IF(AND('MARZO 2026'!D6&lt;&gt;"",'MARZO 2026'!Z6="POR RECOGER"),TEXT('MARZO 2026'!G6,"DD/MM/YYYY"),"")</f>
        <v/>
      </c>
      <c r="F212" s="381">
        <f>IF(AND('MARZO 2026'!D6&lt;&gt;"",'MARZO 2026'!Z6="POR RECOGER"),'MARZO 2026'!K6,"")</f>
        <v/>
      </c>
      <c r="G212" s="382">
        <f>IF(AND('MARZO 2026'!D6&lt;&gt;"",'MARZO 2026'!Z6="POR RECOGER"),'MARZO 2026'!M6,"")</f>
        <v/>
      </c>
      <c r="H212" s="382">
        <f>IF(AND('MARZO 2026'!D6&lt;&gt;"",'MARZO 2026'!Z6="POR RECOGER"),'MARZO 2026'!N6,"")</f>
        <v/>
      </c>
      <c r="I212" s="381">
        <f>IF(AND('MARZO 2026'!D6&lt;&gt;"",'MARZO 2026'!Z6="POR RECOGER"),'MARZO 2026'!P6,"")</f>
        <v/>
      </c>
      <c r="J212" s="381">
        <f>IF(AND('MARZO 2026'!D6&lt;&gt;"",'MARZO 2026'!Z6="POR RECOGER"),'MARZO 2026'!Q6,"")</f>
        <v/>
      </c>
      <c r="K212" s="381">
        <f>IF(AND('MARZO 2026'!D6&lt;&gt;"",'MARZO 2026'!Z6="POR RECOGER"),'MARZO 2026'!Y6,"")</f>
        <v/>
      </c>
      <c r="L212" s="381">
        <f>IF(AND('MARZO 2026'!D6&lt;&gt;"",'MARZO 2026'!Z6="POR RECOGER"),'MARZO 2026'!I6,"")</f>
        <v/>
      </c>
      <c r="P212" s="194" t="n"/>
      <c r="Q212" s="194" t="n"/>
      <c r="R212" s="194" t="n"/>
      <c r="S212" s="194" t="n"/>
      <c r="T212" s="194" t="n"/>
      <c r="U212" s="194" t="n"/>
      <c r="V212" s="194" t="n"/>
      <c r="W212" s="194" t="n"/>
      <c r="X212" s="194" t="n"/>
      <c r="Y212" s="194" t="n"/>
      <c r="Z212" s="194" t="n"/>
    </row>
    <row r="213" ht="15" customHeight="1" s="195">
      <c r="A213" s="381">
        <f>IF(AND('MARZO 2026'!D7&lt;&gt;"",'MARZO 2026'!Z7="POR RECOGER"),"MAR","")</f>
        <v/>
      </c>
      <c r="B213" s="381">
        <f>IF(AND('MARZO 2026'!D7&lt;&gt;"",'MARZO 2026'!Z7="POR RECOGER"),IF('MARZO 2026'!Y7&lt;&gt;"",'MARZO 2026'!Y7,'MARZO 2026'!I7),"")</f>
        <v/>
      </c>
      <c r="C213" s="381">
        <f>IF(AND('MARZO 2026'!D7&lt;&gt;"",'MARZO 2026'!Z7="POR RECOGER"),'MARZO 2026'!D7,"")</f>
        <v/>
      </c>
      <c r="D213" s="381">
        <f>IF(AND('MARZO 2026'!D7&lt;&gt;"",'MARZO 2026'!Z7="POR RECOGER"),'MARZO 2026'!F7,"")</f>
        <v/>
      </c>
      <c r="E213" s="381">
        <f>IF(AND('MARZO 2026'!D7&lt;&gt;"",'MARZO 2026'!Z7="POR RECOGER"),TEXT('MARZO 2026'!G7,"DD/MM/YYYY"),"")</f>
        <v/>
      </c>
      <c r="F213" s="381">
        <f>IF(AND('MARZO 2026'!D7&lt;&gt;"",'MARZO 2026'!Z7="POR RECOGER"),'MARZO 2026'!K7,"")</f>
        <v/>
      </c>
      <c r="G213" s="382">
        <f>IF(AND('MARZO 2026'!D7&lt;&gt;"",'MARZO 2026'!Z7="POR RECOGER"),'MARZO 2026'!M7,"")</f>
        <v/>
      </c>
      <c r="H213" s="382">
        <f>IF(AND('MARZO 2026'!D7&lt;&gt;"",'MARZO 2026'!Z7="POR RECOGER"),'MARZO 2026'!N7,"")</f>
        <v/>
      </c>
      <c r="I213" s="381">
        <f>IF(AND('MARZO 2026'!D7&lt;&gt;"",'MARZO 2026'!Z7="POR RECOGER"),'MARZO 2026'!P7,"")</f>
        <v/>
      </c>
      <c r="J213" s="381">
        <f>IF(AND('MARZO 2026'!D7&lt;&gt;"",'MARZO 2026'!Z7="POR RECOGER"),'MARZO 2026'!Q7,"")</f>
        <v/>
      </c>
      <c r="K213" s="381">
        <f>IF(AND('MARZO 2026'!D7&lt;&gt;"",'MARZO 2026'!Z7="POR RECOGER"),'MARZO 2026'!Y7,"")</f>
        <v/>
      </c>
      <c r="L213" s="381">
        <f>IF(AND('MARZO 2026'!D7&lt;&gt;"",'MARZO 2026'!Z7="POR RECOGER"),'MARZO 2026'!I7,"")</f>
        <v/>
      </c>
      <c r="P213" s="194" t="n"/>
      <c r="Q213" s="194" t="n"/>
      <c r="R213" s="194" t="n"/>
      <c r="S213" s="194" t="n"/>
      <c r="T213" s="194" t="n"/>
      <c r="U213" s="194" t="n"/>
      <c r="V213" s="194" t="n"/>
      <c r="W213" s="194" t="n"/>
      <c r="X213" s="194" t="n"/>
      <c r="Y213" s="194" t="n"/>
      <c r="Z213" s="194" t="n"/>
    </row>
    <row r="214" ht="15" customHeight="1" s="195">
      <c r="A214" s="381">
        <f>IF(AND('MARZO 2026'!D8&lt;&gt;"",'MARZO 2026'!Z8="POR RECOGER"),"MAR","")</f>
        <v/>
      </c>
      <c r="B214" s="381">
        <f>IF(AND('MARZO 2026'!D8&lt;&gt;"",'MARZO 2026'!Z8="POR RECOGER"),IF('MARZO 2026'!Y8&lt;&gt;"",'MARZO 2026'!Y8,'MARZO 2026'!I8),"")</f>
        <v/>
      </c>
      <c r="C214" s="381">
        <f>IF(AND('MARZO 2026'!D8&lt;&gt;"",'MARZO 2026'!Z8="POR RECOGER"),'MARZO 2026'!D8,"")</f>
        <v/>
      </c>
      <c r="D214" s="381">
        <f>IF(AND('MARZO 2026'!D8&lt;&gt;"",'MARZO 2026'!Z8="POR RECOGER"),'MARZO 2026'!F8,"")</f>
        <v/>
      </c>
      <c r="E214" s="381">
        <f>IF(AND('MARZO 2026'!D8&lt;&gt;"",'MARZO 2026'!Z8="POR RECOGER"),TEXT('MARZO 2026'!G8,"DD/MM/YYYY"),"")</f>
        <v/>
      </c>
      <c r="F214" s="381">
        <f>IF(AND('MARZO 2026'!D8&lt;&gt;"",'MARZO 2026'!Z8="POR RECOGER"),'MARZO 2026'!K8,"")</f>
        <v/>
      </c>
      <c r="G214" s="382">
        <f>IF(AND('MARZO 2026'!D8&lt;&gt;"",'MARZO 2026'!Z8="POR RECOGER"),'MARZO 2026'!M8,"")</f>
        <v/>
      </c>
      <c r="H214" s="382">
        <f>IF(AND('MARZO 2026'!D8&lt;&gt;"",'MARZO 2026'!Z8="POR RECOGER"),'MARZO 2026'!N8,"")</f>
        <v/>
      </c>
      <c r="I214" s="381">
        <f>IF(AND('MARZO 2026'!D8&lt;&gt;"",'MARZO 2026'!Z8="POR RECOGER"),'MARZO 2026'!P8,"")</f>
        <v/>
      </c>
      <c r="J214" s="381">
        <f>IF(AND('MARZO 2026'!D8&lt;&gt;"",'MARZO 2026'!Z8="POR RECOGER"),'MARZO 2026'!Q8,"")</f>
        <v/>
      </c>
      <c r="K214" s="381">
        <f>IF(AND('MARZO 2026'!D8&lt;&gt;"",'MARZO 2026'!Z8="POR RECOGER"),'MARZO 2026'!Y8,"")</f>
        <v/>
      </c>
      <c r="L214" s="381">
        <f>IF(AND('MARZO 2026'!D8&lt;&gt;"",'MARZO 2026'!Z8="POR RECOGER"),'MARZO 2026'!I8,"")</f>
        <v/>
      </c>
      <c r="P214" s="194" t="n"/>
      <c r="Q214" s="194" t="n"/>
      <c r="R214" s="194" t="n"/>
      <c r="S214" s="194" t="n"/>
      <c r="T214" s="194" t="n"/>
      <c r="U214" s="194" t="n"/>
      <c r="V214" s="194" t="n"/>
      <c r="W214" s="194" t="n"/>
      <c r="X214" s="194" t="n"/>
      <c r="Y214" s="194" t="n"/>
      <c r="Z214" s="194" t="n"/>
    </row>
    <row r="215" ht="15" customHeight="1" s="195">
      <c r="A215" s="381">
        <f>IF(AND('MARZO 2026'!D9&lt;&gt;"",'MARZO 2026'!Z9="POR RECOGER"),"MAR","")</f>
        <v/>
      </c>
      <c r="B215" s="381">
        <f>IF(AND('MARZO 2026'!D9&lt;&gt;"",'MARZO 2026'!Z9="POR RECOGER"),IF('MARZO 2026'!Y9&lt;&gt;"",'MARZO 2026'!Y9,'MARZO 2026'!I9),"")</f>
        <v/>
      </c>
      <c r="C215" s="381">
        <f>IF(AND('MARZO 2026'!D9&lt;&gt;"",'MARZO 2026'!Z9="POR RECOGER"),'MARZO 2026'!D9,"")</f>
        <v/>
      </c>
      <c r="D215" s="381">
        <f>IF(AND('MARZO 2026'!D9&lt;&gt;"",'MARZO 2026'!Z9="POR RECOGER"),'MARZO 2026'!F9,"")</f>
        <v/>
      </c>
      <c r="E215" s="381">
        <f>IF(AND('MARZO 2026'!D9&lt;&gt;"",'MARZO 2026'!Z9="POR RECOGER"),TEXT('MARZO 2026'!G9,"DD/MM/YYYY"),"")</f>
        <v/>
      </c>
      <c r="F215" s="381">
        <f>IF(AND('MARZO 2026'!D9&lt;&gt;"",'MARZO 2026'!Z9="POR RECOGER"),'MARZO 2026'!K9,"")</f>
        <v/>
      </c>
      <c r="G215" s="382">
        <f>IF(AND('MARZO 2026'!D9&lt;&gt;"",'MARZO 2026'!Z9="POR RECOGER"),'MARZO 2026'!M9,"")</f>
        <v/>
      </c>
      <c r="H215" s="382">
        <f>IF(AND('MARZO 2026'!D9&lt;&gt;"",'MARZO 2026'!Z9="POR RECOGER"),'MARZO 2026'!N9,"")</f>
        <v/>
      </c>
      <c r="I215" s="381">
        <f>IF(AND('MARZO 2026'!D9&lt;&gt;"",'MARZO 2026'!Z9="POR RECOGER"),'MARZO 2026'!P9,"")</f>
        <v/>
      </c>
      <c r="J215" s="381">
        <f>IF(AND('MARZO 2026'!D9&lt;&gt;"",'MARZO 2026'!Z9="POR RECOGER"),'MARZO 2026'!Q9,"")</f>
        <v/>
      </c>
      <c r="K215" s="381">
        <f>IF(AND('MARZO 2026'!D9&lt;&gt;"",'MARZO 2026'!Z9="POR RECOGER"),'MARZO 2026'!Y9,"")</f>
        <v/>
      </c>
      <c r="L215" s="381">
        <f>IF(AND('MARZO 2026'!D9&lt;&gt;"",'MARZO 2026'!Z9="POR RECOGER"),'MARZO 2026'!I9,"")</f>
        <v/>
      </c>
      <c r="P215" s="194" t="n"/>
      <c r="Q215" s="194" t="n"/>
      <c r="R215" s="194" t="n"/>
      <c r="S215" s="194" t="n"/>
      <c r="T215" s="194" t="n"/>
      <c r="U215" s="194" t="n"/>
      <c r="V215" s="194" t="n"/>
      <c r="W215" s="194" t="n"/>
      <c r="X215" s="194" t="n"/>
      <c r="Y215" s="194" t="n"/>
      <c r="Z215" s="194" t="n"/>
    </row>
    <row r="216" ht="15" customHeight="1" s="195">
      <c r="A216" s="381">
        <f>IF(AND('MARZO 2026'!D10&lt;&gt;"",'MARZO 2026'!Z10="POR RECOGER"),"MAR","")</f>
        <v/>
      </c>
      <c r="B216" s="381">
        <f>IF(AND('MARZO 2026'!D10&lt;&gt;"",'MARZO 2026'!Z10="POR RECOGER"),IF('MARZO 2026'!Y10&lt;&gt;"",'MARZO 2026'!Y10,'MARZO 2026'!I10),"")</f>
        <v/>
      </c>
      <c r="C216" s="381">
        <f>IF(AND('MARZO 2026'!D10&lt;&gt;"",'MARZO 2026'!Z10="POR RECOGER"),'MARZO 2026'!D10,"")</f>
        <v/>
      </c>
      <c r="D216" s="381">
        <f>IF(AND('MARZO 2026'!D10&lt;&gt;"",'MARZO 2026'!Z10="POR RECOGER"),'MARZO 2026'!F10,"")</f>
        <v/>
      </c>
      <c r="E216" s="381">
        <f>IF(AND('MARZO 2026'!D10&lt;&gt;"",'MARZO 2026'!Z10="POR RECOGER"),TEXT('MARZO 2026'!G10,"DD/MM/YYYY"),"")</f>
        <v/>
      </c>
      <c r="F216" s="381">
        <f>IF(AND('MARZO 2026'!D10&lt;&gt;"",'MARZO 2026'!Z10="POR RECOGER"),'MARZO 2026'!K10,"")</f>
        <v/>
      </c>
      <c r="G216" s="382">
        <f>IF(AND('MARZO 2026'!D10&lt;&gt;"",'MARZO 2026'!Z10="POR RECOGER"),'MARZO 2026'!M10,"")</f>
        <v/>
      </c>
      <c r="H216" s="382">
        <f>IF(AND('MARZO 2026'!D10&lt;&gt;"",'MARZO 2026'!Z10="POR RECOGER"),'MARZO 2026'!N10,"")</f>
        <v/>
      </c>
      <c r="I216" s="381">
        <f>IF(AND('MARZO 2026'!D10&lt;&gt;"",'MARZO 2026'!Z10="POR RECOGER"),'MARZO 2026'!P10,"")</f>
        <v/>
      </c>
      <c r="J216" s="381">
        <f>IF(AND('MARZO 2026'!D10&lt;&gt;"",'MARZO 2026'!Z10="POR RECOGER"),'MARZO 2026'!Q10,"")</f>
        <v/>
      </c>
      <c r="K216" s="381">
        <f>IF(AND('MARZO 2026'!D10&lt;&gt;"",'MARZO 2026'!Z10="POR RECOGER"),'MARZO 2026'!Y10,"")</f>
        <v/>
      </c>
      <c r="L216" s="381">
        <f>IF(AND('MARZO 2026'!D10&lt;&gt;"",'MARZO 2026'!Z10="POR RECOGER"),'MARZO 2026'!I10,"")</f>
        <v/>
      </c>
      <c r="P216" s="194" t="n"/>
      <c r="Q216" s="194" t="n"/>
      <c r="R216" s="194" t="n"/>
      <c r="S216" s="194" t="n"/>
      <c r="T216" s="194" t="n"/>
      <c r="U216" s="194" t="n"/>
      <c r="V216" s="194" t="n"/>
      <c r="W216" s="194" t="n"/>
      <c r="X216" s="194" t="n"/>
      <c r="Y216" s="194" t="n"/>
      <c r="Z216" s="194" t="n"/>
    </row>
    <row r="217" ht="15" customHeight="1" s="195">
      <c r="A217" s="381">
        <f>IF(AND('MARZO 2026'!D11&lt;&gt;"",'MARZO 2026'!Z11="POR RECOGER"),"MAR","")</f>
        <v/>
      </c>
      <c r="B217" s="381">
        <f>IF(AND('MARZO 2026'!D11&lt;&gt;"",'MARZO 2026'!Z11="POR RECOGER"),IF('MARZO 2026'!Y11&lt;&gt;"",'MARZO 2026'!Y11,'MARZO 2026'!I11),"")</f>
        <v/>
      </c>
      <c r="C217" s="381">
        <f>IF(AND('MARZO 2026'!D11&lt;&gt;"",'MARZO 2026'!Z11="POR RECOGER"),'MARZO 2026'!D11,"")</f>
        <v/>
      </c>
      <c r="D217" s="381">
        <f>IF(AND('MARZO 2026'!D11&lt;&gt;"",'MARZO 2026'!Z11="POR RECOGER"),'MARZO 2026'!F11,"")</f>
        <v/>
      </c>
      <c r="E217" s="381">
        <f>IF(AND('MARZO 2026'!D11&lt;&gt;"",'MARZO 2026'!Z11="POR RECOGER"),TEXT('MARZO 2026'!G11,"DD/MM/YYYY"),"")</f>
        <v/>
      </c>
      <c r="F217" s="381">
        <f>IF(AND('MARZO 2026'!D11&lt;&gt;"",'MARZO 2026'!Z11="POR RECOGER"),'MARZO 2026'!K11,"")</f>
        <v/>
      </c>
      <c r="G217" s="382">
        <f>IF(AND('MARZO 2026'!D11&lt;&gt;"",'MARZO 2026'!Z11="POR RECOGER"),'MARZO 2026'!M11,"")</f>
        <v/>
      </c>
      <c r="H217" s="382">
        <f>IF(AND('MARZO 2026'!D11&lt;&gt;"",'MARZO 2026'!Z11="POR RECOGER"),'MARZO 2026'!N11,"")</f>
        <v/>
      </c>
      <c r="I217" s="381">
        <f>IF(AND('MARZO 2026'!D11&lt;&gt;"",'MARZO 2026'!Z11="POR RECOGER"),'MARZO 2026'!P11,"")</f>
        <v/>
      </c>
      <c r="J217" s="381">
        <f>IF(AND('MARZO 2026'!D11&lt;&gt;"",'MARZO 2026'!Z11="POR RECOGER"),'MARZO 2026'!Q11,"")</f>
        <v/>
      </c>
      <c r="K217" s="381">
        <f>IF(AND('MARZO 2026'!D11&lt;&gt;"",'MARZO 2026'!Z11="POR RECOGER"),'MARZO 2026'!Y11,"")</f>
        <v/>
      </c>
      <c r="L217" s="381">
        <f>IF(AND('MARZO 2026'!D11&lt;&gt;"",'MARZO 2026'!Z11="POR RECOGER"),'MARZO 2026'!I11,"")</f>
        <v/>
      </c>
      <c r="P217" s="194" t="n"/>
      <c r="Q217" s="194" t="n"/>
      <c r="R217" s="194" t="n"/>
      <c r="S217" s="194" t="n"/>
      <c r="T217" s="194" t="n"/>
      <c r="U217" s="194" t="n"/>
      <c r="V217" s="194" t="n"/>
      <c r="W217" s="194" t="n"/>
      <c r="X217" s="194" t="n"/>
      <c r="Y217" s="194" t="n"/>
      <c r="Z217" s="194" t="n"/>
    </row>
    <row r="218" ht="15" customHeight="1" s="195">
      <c r="A218" s="381">
        <f>IF(AND('MARZO 2026'!D12&lt;&gt;"",'MARZO 2026'!Z12="POR RECOGER"),"MAR","")</f>
        <v/>
      </c>
      <c r="B218" s="381">
        <f>IF(AND('MARZO 2026'!D12&lt;&gt;"",'MARZO 2026'!Z12="POR RECOGER"),IF('MARZO 2026'!Y12&lt;&gt;"",'MARZO 2026'!Y12,'MARZO 2026'!I12),"")</f>
        <v/>
      </c>
      <c r="C218" s="381">
        <f>IF(AND('MARZO 2026'!D12&lt;&gt;"",'MARZO 2026'!Z12="POR RECOGER"),'MARZO 2026'!D12,"")</f>
        <v/>
      </c>
      <c r="D218" s="381">
        <f>IF(AND('MARZO 2026'!D12&lt;&gt;"",'MARZO 2026'!Z12="POR RECOGER"),'MARZO 2026'!F12,"")</f>
        <v/>
      </c>
      <c r="E218" s="381">
        <f>IF(AND('MARZO 2026'!D12&lt;&gt;"",'MARZO 2026'!Z12="POR RECOGER"),TEXT('MARZO 2026'!G12,"DD/MM/YYYY"),"")</f>
        <v/>
      </c>
      <c r="F218" s="381">
        <f>IF(AND('MARZO 2026'!D12&lt;&gt;"",'MARZO 2026'!Z12="POR RECOGER"),'MARZO 2026'!K12,"")</f>
        <v/>
      </c>
      <c r="G218" s="382">
        <f>IF(AND('MARZO 2026'!D12&lt;&gt;"",'MARZO 2026'!Z12="POR RECOGER"),'MARZO 2026'!M12,"")</f>
        <v/>
      </c>
      <c r="H218" s="382">
        <f>IF(AND('MARZO 2026'!D12&lt;&gt;"",'MARZO 2026'!Z12="POR RECOGER"),'MARZO 2026'!N12,"")</f>
        <v/>
      </c>
      <c r="I218" s="381">
        <f>IF(AND('MARZO 2026'!D12&lt;&gt;"",'MARZO 2026'!Z12="POR RECOGER"),'MARZO 2026'!P12,"")</f>
        <v/>
      </c>
      <c r="J218" s="381">
        <f>IF(AND('MARZO 2026'!D12&lt;&gt;"",'MARZO 2026'!Z12="POR RECOGER"),'MARZO 2026'!Q12,"")</f>
        <v/>
      </c>
      <c r="K218" s="381">
        <f>IF(AND('MARZO 2026'!D12&lt;&gt;"",'MARZO 2026'!Z12="POR RECOGER"),'MARZO 2026'!Y12,"")</f>
        <v/>
      </c>
      <c r="L218" s="381">
        <f>IF(AND('MARZO 2026'!D12&lt;&gt;"",'MARZO 2026'!Z12="POR RECOGER"),'MARZO 2026'!I12,"")</f>
        <v/>
      </c>
      <c r="P218" s="194" t="n"/>
      <c r="Q218" s="194" t="n"/>
      <c r="R218" s="194" t="n"/>
      <c r="S218" s="194" t="n"/>
      <c r="T218" s="194" t="n"/>
      <c r="U218" s="194" t="n"/>
      <c r="V218" s="194" t="n"/>
      <c r="W218" s="194" t="n"/>
      <c r="X218" s="194" t="n"/>
      <c r="Y218" s="194" t="n"/>
      <c r="Z218" s="194" t="n"/>
    </row>
    <row r="219" ht="15" customHeight="1" s="195">
      <c r="A219" s="381">
        <f>IF(AND('MARZO 2026'!D13&lt;&gt;"",'MARZO 2026'!Z13="POR RECOGER"),"MAR","")</f>
        <v/>
      </c>
      <c r="B219" s="381">
        <f>IF(AND('MARZO 2026'!D13&lt;&gt;"",'MARZO 2026'!Z13="POR RECOGER"),IF('MARZO 2026'!Y13&lt;&gt;"",'MARZO 2026'!Y13,'MARZO 2026'!I13),"")</f>
        <v/>
      </c>
      <c r="C219" s="381">
        <f>IF(AND('MARZO 2026'!D13&lt;&gt;"",'MARZO 2026'!Z13="POR RECOGER"),'MARZO 2026'!D13,"")</f>
        <v/>
      </c>
      <c r="D219" s="381">
        <f>IF(AND('MARZO 2026'!D13&lt;&gt;"",'MARZO 2026'!Z13="POR RECOGER"),'MARZO 2026'!F13,"")</f>
        <v/>
      </c>
      <c r="E219" s="381">
        <f>IF(AND('MARZO 2026'!D13&lt;&gt;"",'MARZO 2026'!Z13="POR RECOGER"),TEXT('MARZO 2026'!G13,"DD/MM/YYYY"),"")</f>
        <v/>
      </c>
      <c r="F219" s="381">
        <f>IF(AND('MARZO 2026'!D13&lt;&gt;"",'MARZO 2026'!Z13="POR RECOGER"),'MARZO 2026'!K13,"")</f>
        <v/>
      </c>
      <c r="G219" s="382">
        <f>IF(AND('MARZO 2026'!D13&lt;&gt;"",'MARZO 2026'!Z13="POR RECOGER"),'MARZO 2026'!M13,"")</f>
        <v/>
      </c>
      <c r="H219" s="382">
        <f>IF(AND('MARZO 2026'!D13&lt;&gt;"",'MARZO 2026'!Z13="POR RECOGER"),'MARZO 2026'!N13,"")</f>
        <v/>
      </c>
      <c r="I219" s="381">
        <f>IF(AND('MARZO 2026'!D13&lt;&gt;"",'MARZO 2026'!Z13="POR RECOGER"),'MARZO 2026'!P13,"")</f>
        <v/>
      </c>
      <c r="J219" s="381">
        <f>IF(AND('MARZO 2026'!D13&lt;&gt;"",'MARZO 2026'!Z13="POR RECOGER"),'MARZO 2026'!Q13,"")</f>
        <v/>
      </c>
      <c r="K219" s="381">
        <f>IF(AND('MARZO 2026'!D13&lt;&gt;"",'MARZO 2026'!Z13="POR RECOGER"),'MARZO 2026'!Y13,"")</f>
        <v/>
      </c>
      <c r="L219" s="381">
        <f>IF(AND('MARZO 2026'!D13&lt;&gt;"",'MARZO 2026'!Z13="POR RECOGER"),'MARZO 2026'!I13,"")</f>
        <v/>
      </c>
      <c r="P219" s="194" t="n"/>
      <c r="Q219" s="194" t="n"/>
      <c r="R219" s="194" t="n"/>
      <c r="S219" s="194" t="n"/>
      <c r="T219" s="194" t="n"/>
      <c r="U219" s="194" t="n"/>
      <c r="V219" s="194" t="n"/>
      <c r="W219" s="194" t="n"/>
      <c r="X219" s="194" t="n"/>
      <c r="Y219" s="194" t="n"/>
      <c r="Z219" s="194" t="n"/>
    </row>
    <row r="220" ht="15" customHeight="1" s="195">
      <c r="A220" s="381">
        <f>IF(AND('MARZO 2026'!D14&lt;&gt;"",'MARZO 2026'!Z14="POR RECOGER"),"MAR","")</f>
        <v/>
      </c>
      <c r="B220" s="381">
        <f>IF(AND('MARZO 2026'!D14&lt;&gt;"",'MARZO 2026'!Z14="POR RECOGER"),IF('MARZO 2026'!Y14&lt;&gt;"",'MARZO 2026'!Y14,'MARZO 2026'!I14),"")</f>
        <v/>
      </c>
      <c r="C220" s="381">
        <f>IF(AND('MARZO 2026'!D14&lt;&gt;"",'MARZO 2026'!Z14="POR RECOGER"),'MARZO 2026'!D14,"")</f>
        <v/>
      </c>
      <c r="D220" s="381">
        <f>IF(AND('MARZO 2026'!D14&lt;&gt;"",'MARZO 2026'!Z14="POR RECOGER"),'MARZO 2026'!F14,"")</f>
        <v/>
      </c>
      <c r="E220" s="381">
        <f>IF(AND('MARZO 2026'!D14&lt;&gt;"",'MARZO 2026'!Z14="POR RECOGER"),TEXT('MARZO 2026'!G14,"DD/MM/YYYY"),"")</f>
        <v/>
      </c>
      <c r="F220" s="381">
        <f>IF(AND('MARZO 2026'!D14&lt;&gt;"",'MARZO 2026'!Z14="POR RECOGER"),'MARZO 2026'!K14,"")</f>
        <v/>
      </c>
      <c r="G220" s="382">
        <f>IF(AND('MARZO 2026'!D14&lt;&gt;"",'MARZO 2026'!Z14="POR RECOGER"),'MARZO 2026'!M14,"")</f>
        <v/>
      </c>
      <c r="H220" s="382">
        <f>IF(AND('MARZO 2026'!D14&lt;&gt;"",'MARZO 2026'!Z14="POR RECOGER"),'MARZO 2026'!N14,"")</f>
        <v/>
      </c>
      <c r="I220" s="381">
        <f>IF(AND('MARZO 2026'!D14&lt;&gt;"",'MARZO 2026'!Z14="POR RECOGER"),'MARZO 2026'!P14,"")</f>
        <v/>
      </c>
      <c r="J220" s="381">
        <f>IF(AND('MARZO 2026'!D14&lt;&gt;"",'MARZO 2026'!Z14="POR RECOGER"),'MARZO 2026'!Q14,"")</f>
        <v/>
      </c>
      <c r="K220" s="381">
        <f>IF(AND('MARZO 2026'!D14&lt;&gt;"",'MARZO 2026'!Z14="POR RECOGER"),'MARZO 2026'!Y14,"")</f>
        <v/>
      </c>
      <c r="L220" s="381">
        <f>IF(AND('MARZO 2026'!D14&lt;&gt;"",'MARZO 2026'!Z14="POR RECOGER"),'MARZO 2026'!I14,"")</f>
        <v/>
      </c>
      <c r="P220" s="194" t="n"/>
      <c r="Q220" s="194" t="n"/>
      <c r="R220" s="194" t="n"/>
      <c r="S220" s="194" t="n"/>
      <c r="T220" s="194" t="n"/>
      <c r="U220" s="194" t="n"/>
      <c r="V220" s="194" t="n"/>
      <c r="W220" s="194" t="n"/>
      <c r="X220" s="194" t="n"/>
      <c r="Y220" s="194" t="n"/>
      <c r="Z220" s="194" t="n"/>
    </row>
    <row r="221" ht="15" customHeight="1" s="195">
      <c r="A221" s="381">
        <f>IF(AND('MARZO 2026'!D15&lt;&gt;"",'MARZO 2026'!Z15="POR RECOGER"),"MAR","")</f>
        <v/>
      </c>
      <c r="B221" s="381">
        <f>IF(AND('MARZO 2026'!D15&lt;&gt;"",'MARZO 2026'!Z15="POR RECOGER"),IF('MARZO 2026'!Y15&lt;&gt;"",'MARZO 2026'!Y15,'MARZO 2026'!I15),"")</f>
        <v/>
      </c>
      <c r="C221" s="381">
        <f>IF(AND('MARZO 2026'!D15&lt;&gt;"",'MARZO 2026'!Z15="POR RECOGER"),'MARZO 2026'!D15,"")</f>
        <v/>
      </c>
      <c r="D221" s="381">
        <f>IF(AND('MARZO 2026'!D15&lt;&gt;"",'MARZO 2026'!Z15="POR RECOGER"),'MARZO 2026'!F15,"")</f>
        <v/>
      </c>
      <c r="E221" s="381">
        <f>IF(AND('MARZO 2026'!D15&lt;&gt;"",'MARZO 2026'!Z15="POR RECOGER"),TEXT('MARZO 2026'!G15,"DD/MM/YYYY"),"")</f>
        <v/>
      </c>
      <c r="F221" s="381">
        <f>IF(AND('MARZO 2026'!D15&lt;&gt;"",'MARZO 2026'!Z15="POR RECOGER"),'MARZO 2026'!K15,"")</f>
        <v/>
      </c>
      <c r="G221" s="382">
        <f>IF(AND('MARZO 2026'!D15&lt;&gt;"",'MARZO 2026'!Z15="POR RECOGER"),'MARZO 2026'!M15,"")</f>
        <v/>
      </c>
      <c r="H221" s="382">
        <f>IF(AND('MARZO 2026'!D15&lt;&gt;"",'MARZO 2026'!Z15="POR RECOGER"),'MARZO 2026'!N15,"")</f>
        <v/>
      </c>
      <c r="I221" s="381">
        <f>IF(AND('MARZO 2026'!D15&lt;&gt;"",'MARZO 2026'!Z15="POR RECOGER"),'MARZO 2026'!P15,"")</f>
        <v/>
      </c>
      <c r="J221" s="381">
        <f>IF(AND('MARZO 2026'!D15&lt;&gt;"",'MARZO 2026'!Z15="POR RECOGER"),'MARZO 2026'!Q15,"")</f>
        <v/>
      </c>
      <c r="K221" s="381">
        <f>IF(AND('MARZO 2026'!D15&lt;&gt;"",'MARZO 2026'!Z15="POR RECOGER"),'MARZO 2026'!Y15,"")</f>
        <v/>
      </c>
      <c r="L221" s="381">
        <f>IF(AND('MARZO 2026'!D15&lt;&gt;"",'MARZO 2026'!Z15="POR RECOGER"),'MARZO 2026'!I15,"")</f>
        <v/>
      </c>
      <c r="P221" s="194" t="n"/>
      <c r="Q221" s="194" t="n"/>
      <c r="R221" s="194" t="n"/>
      <c r="S221" s="194" t="n"/>
      <c r="T221" s="194" t="n"/>
      <c r="U221" s="194" t="n"/>
      <c r="V221" s="194" t="n"/>
      <c r="W221" s="194" t="n"/>
      <c r="X221" s="194" t="n"/>
      <c r="Y221" s="194" t="n"/>
      <c r="Z221" s="194" t="n"/>
    </row>
    <row r="222" ht="15" customHeight="1" s="195">
      <c r="A222" s="381">
        <f>IF(AND('MARZO 2026'!D16&lt;&gt;"",'MARZO 2026'!Z16="POR RECOGER"),"MAR","")</f>
        <v/>
      </c>
      <c r="B222" s="381">
        <f>IF(AND('MARZO 2026'!D16&lt;&gt;"",'MARZO 2026'!Z16="POR RECOGER"),IF('MARZO 2026'!Y16&lt;&gt;"",'MARZO 2026'!Y16,'MARZO 2026'!I16),"")</f>
        <v/>
      </c>
      <c r="C222" s="381">
        <f>IF(AND('MARZO 2026'!D16&lt;&gt;"",'MARZO 2026'!Z16="POR RECOGER"),'MARZO 2026'!D16,"")</f>
        <v/>
      </c>
      <c r="D222" s="381">
        <f>IF(AND('MARZO 2026'!D16&lt;&gt;"",'MARZO 2026'!Z16="POR RECOGER"),'MARZO 2026'!F16,"")</f>
        <v/>
      </c>
      <c r="E222" s="381">
        <f>IF(AND('MARZO 2026'!D16&lt;&gt;"",'MARZO 2026'!Z16="POR RECOGER"),TEXT('MARZO 2026'!G16,"DD/MM/YYYY"),"")</f>
        <v/>
      </c>
      <c r="F222" s="381">
        <f>IF(AND('MARZO 2026'!D16&lt;&gt;"",'MARZO 2026'!Z16="POR RECOGER"),'MARZO 2026'!K16,"")</f>
        <v/>
      </c>
      <c r="G222" s="382">
        <f>IF(AND('MARZO 2026'!D16&lt;&gt;"",'MARZO 2026'!Z16="POR RECOGER"),'MARZO 2026'!M16,"")</f>
        <v/>
      </c>
      <c r="H222" s="382">
        <f>IF(AND('MARZO 2026'!D16&lt;&gt;"",'MARZO 2026'!Z16="POR RECOGER"),'MARZO 2026'!N16,"")</f>
        <v/>
      </c>
      <c r="I222" s="381">
        <f>IF(AND('MARZO 2026'!D16&lt;&gt;"",'MARZO 2026'!Z16="POR RECOGER"),'MARZO 2026'!P16,"")</f>
        <v/>
      </c>
      <c r="J222" s="381">
        <f>IF(AND('MARZO 2026'!D16&lt;&gt;"",'MARZO 2026'!Z16="POR RECOGER"),'MARZO 2026'!Q16,"")</f>
        <v/>
      </c>
      <c r="K222" s="381">
        <f>IF(AND('MARZO 2026'!D16&lt;&gt;"",'MARZO 2026'!Z16="POR RECOGER"),'MARZO 2026'!Y16,"")</f>
        <v/>
      </c>
      <c r="L222" s="381">
        <f>IF(AND('MARZO 2026'!D16&lt;&gt;"",'MARZO 2026'!Z16="POR RECOGER"),'MARZO 2026'!I16,"")</f>
        <v/>
      </c>
      <c r="P222" s="194" t="n"/>
      <c r="Q222" s="194" t="n"/>
      <c r="R222" s="194" t="n"/>
      <c r="S222" s="194" t="n"/>
      <c r="T222" s="194" t="n"/>
      <c r="U222" s="194" t="n"/>
      <c r="V222" s="194" t="n"/>
      <c r="W222" s="194" t="n"/>
      <c r="X222" s="194" t="n"/>
      <c r="Y222" s="194" t="n"/>
      <c r="Z222" s="194" t="n"/>
    </row>
    <row r="223" ht="15" customHeight="1" s="195">
      <c r="A223" s="381">
        <f>IF(AND('MARZO 2026'!D17&lt;&gt;"",'MARZO 2026'!Z17="POR RECOGER"),"MAR","")</f>
        <v/>
      </c>
      <c r="B223" s="381">
        <f>IF(AND('MARZO 2026'!D17&lt;&gt;"",'MARZO 2026'!Z17="POR RECOGER"),IF('MARZO 2026'!Y17&lt;&gt;"",'MARZO 2026'!Y17,'MARZO 2026'!I17),"")</f>
        <v/>
      </c>
      <c r="C223" s="381">
        <f>IF(AND('MARZO 2026'!D17&lt;&gt;"",'MARZO 2026'!Z17="POR RECOGER"),'MARZO 2026'!D17,"")</f>
        <v/>
      </c>
      <c r="D223" s="381">
        <f>IF(AND('MARZO 2026'!D17&lt;&gt;"",'MARZO 2026'!Z17="POR RECOGER"),'MARZO 2026'!F17,"")</f>
        <v/>
      </c>
      <c r="E223" s="381">
        <f>IF(AND('MARZO 2026'!D17&lt;&gt;"",'MARZO 2026'!Z17="POR RECOGER"),TEXT('MARZO 2026'!G17,"DD/MM/YYYY"),"")</f>
        <v/>
      </c>
      <c r="F223" s="381">
        <f>IF(AND('MARZO 2026'!D17&lt;&gt;"",'MARZO 2026'!Z17="POR RECOGER"),'MARZO 2026'!K17,"")</f>
        <v/>
      </c>
      <c r="G223" s="382">
        <f>IF(AND('MARZO 2026'!D17&lt;&gt;"",'MARZO 2026'!Z17="POR RECOGER"),'MARZO 2026'!M17,"")</f>
        <v/>
      </c>
      <c r="H223" s="382">
        <f>IF(AND('MARZO 2026'!D17&lt;&gt;"",'MARZO 2026'!Z17="POR RECOGER"),'MARZO 2026'!N17,"")</f>
        <v/>
      </c>
      <c r="I223" s="381">
        <f>IF(AND('MARZO 2026'!D17&lt;&gt;"",'MARZO 2026'!Z17="POR RECOGER"),'MARZO 2026'!P17,"")</f>
        <v/>
      </c>
      <c r="J223" s="381">
        <f>IF(AND('MARZO 2026'!D17&lt;&gt;"",'MARZO 2026'!Z17="POR RECOGER"),'MARZO 2026'!Q17,"")</f>
        <v/>
      </c>
      <c r="K223" s="381">
        <f>IF(AND('MARZO 2026'!D17&lt;&gt;"",'MARZO 2026'!Z17="POR RECOGER"),'MARZO 2026'!Y17,"")</f>
        <v/>
      </c>
      <c r="L223" s="381">
        <f>IF(AND('MARZO 2026'!D17&lt;&gt;"",'MARZO 2026'!Z17="POR RECOGER"),'MARZO 2026'!I17,"")</f>
        <v/>
      </c>
      <c r="P223" s="194" t="n"/>
      <c r="Q223" s="194" t="n"/>
      <c r="R223" s="194" t="n"/>
      <c r="S223" s="194" t="n"/>
      <c r="T223" s="194" t="n"/>
      <c r="U223" s="194" t="n"/>
      <c r="V223" s="194" t="n"/>
      <c r="W223" s="194" t="n"/>
      <c r="X223" s="194" t="n"/>
      <c r="Y223" s="194" t="n"/>
      <c r="Z223" s="194" t="n"/>
    </row>
    <row r="224" ht="15" customHeight="1" s="195">
      <c r="A224" s="381">
        <f>IF(AND('MARZO 2026'!D18&lt;&gt;"",'MARZO 2026'!Z18="POR RECOGER"),"MAR","")</f>
        <v/>
      </c>
      <c r="B224" s="381">
        <f>IF(AND('MARZO 2026'!D18&lt;&gt;"",'MARZO 2026'!Z18="POR RECOGER"),IF('MARZO 2026'!Y18&lt;&gt;"",'MARZO 2026'!Y18,'MARZO 2026'!I18),"")</f>
        <v/>
      </c>
      <c r="C224" s="381">
        <f>IF(AND('MARZO 2026'!D18&lt;&gt;"",'MARZO 2026'!Z18="POR RECOGER"),'MARZO 2026'!D18,"")</f>
        <v/>
      </c>
      <c r="D224" s="381">
        <f>IF(AND('MARZO 2026'!D18&lt;&gt;"",'MARZO 2026'!Z18="POR RECOGER"),'MARZO 2026'!F18,"")</f>
        <v/>
      </c>
      <c r="E224" s="381">
        <f>IF(AND('MARZO 2026'!D18&lt;&gt;"",'MARZO 2026'!Z18="POR RECOGER"),TEXT('MARZO 2026'!G18,"DD/MM/YYYY"),"")</f>
        <v/>
      </c>
      <c r="F224" s="381">
        <f>IF(AND('MARZO 2026'!D18&lt;&gt;"",'MARZO 2026'!Z18="POR RECOGER"),'MARZO 2026'!K18,"")</f>
        <v/>
      </c>
      <c r="G224" s="382">
        <f>IF(AND('MARZO 2026'!D18&lt;&gt;"",'MARZO 2026'!Z18="POR RECOGER"),'MARZO 2026'!M18,"")</f>
        <v/>
      </c>
      <c r="H224" s="382">
        <f>IF(AND('MARZO 2026'!D18&lt;&gt;"",'MARZO 2026'!Z18="POR RECOGER"),'MARZO 2026'!N18,"")</f>
        <v/>
      </c>
      <c r="I224" s="381">
        <f>IF(AND('MARZO 2026'!D18&lt;&gt;"",'MARZO 2026'!Z18="POR RECOGER"),'MARZO 2026'!P18,"")</f>
        <v/>
      </c>
      <c r="J224" s="381">
        <f>IF(AND('MARZO 2026'!D18&lt;&gt;"",'MARZO 2026'!Z18="POR RECOGER"),'MARZO 2026'!Q18,"")</f>
        <v/>
      </c>
      <c r="K224" s="381">
        <f>IF(AND('MARZO 2026'!D18&lt;&gt;"",'MARZO 2026'!Z18="POR RECOGER"),'MARZO 2026'!Y18,"")</f>
        <v/>
      </c>
      <c r="L224" s="381">
        <f>IF(AND('MARZO 2026'!D18&lt;&gt;"",'MARZO 2026'!Z18="POR RECOGER"),'MARZO 2026'!I18,"")</f>
        <v/>
      </c>
      <c r="P224" s="194" t="n"/>
      <c r="Q224" s="194" t="n"/>
      <c r="R224" s="194" t="n"/>
      <c r="S224" s="194" t="n"/>
      <c r="T224" s="194" t="n"/>
      <c r="U224" s="194" t="n"/>
      <c r="V224" s="194" t="n"/>
      <c r="W224" s="194" t="n"/>
      <c r="X224" s="194" t="n"/>
      <c r="Y224" s="194" t="n"/>
      <c r="Z224" s="194" t="n"/>
    </row>
    <row r="225" ht="15" customHeight="1" s="195">
      <c r="A225" s="381">
        <f>IF(AND('MARZO 2026'!D19&lt;&gt;"",'MARZO 2026'!Z19="POR RECOGER"),"MAR","")</f>
        <v/>
      </c>
      <c r="B225" s="381">
        <f>IF(AND('MARZO 2026'!D19&lt;&gt;"",'MARZO 2026'!Z19="POR RECOGER"),IF('MARZO 2026'!Y19&lt;&gt;"",'MARZO 2026'!Y19,'MARZO 2026'!I19),"")</f>
        <v/>
      </c>
      <c r="C225" s="381">
        <f>IF(AND('MARZO 2026'!D19&lt;&gt;"",'MARZO 2026'!Z19="POR RECOGER"),'MARZO 2026'!D19,"")</f>
        <v/>
      </c>
      <c r="D225" s="381">
        <f>IF(AND('MARZO 2026'!D19&lt;&gt;"",'MARZO 2026'!Z19="POR RECOGER"),'MARZO 2026'!F19,"")</f>
        <v/>
      </c>
      <c r="E225" s="381">
        <f>IF(AND('MARZO 2026'!D19&lt;&gt;"",'MARZO 2026'!Z19="POR RECOGER"),TEXT('MARZO 2026'!G19,"DD/MM/YYYY"),"")</f>
        <v/>
      </c>
      <c r="F225" s="381">
        <f>IF(AND('MARZO 2026'!D19&lt;&gt;"",'MARZO 2026'!Z19="POR RECOGER"),'MARZO 2026'!K19,"")</f>
        <v/>
      </c>
      <c r="G225" s="382">
        <f>IF(AND('MARZO 2026'!D19&lt;&gt;"",'MARZO 2026'!Z19="POR RECOGER"),'MARZO 2026'!M19,"")</f>
        <v/>
      </c>
      <c r="H225" s="382">
        <f>IF(AND('MARZO 2026'!D19&lt;&gt;"",'MARZO 2026'!Z19="POR RECOGER"),'MARZO 2026'!N19,"")</f>
        <v/>
      </c>
      <c r="I225" s="381">
        <f>IF(AND('MARZO 2026'!D19&lt;&gt;"",'MARZO 2026'!Z19="POR RECOGER"),'MARZO 2026'!P19,"")</f>
        <v/>
      </c>
      <c r="J225" s="381">
        <f>IF(AND('MARZO 2026'!D19&lt;&gt;"",'MARZO 2026'!Z19="POR RECOGER"),'MARZO 2026'!Q19,"")</f>
        <v/>
      </c>
      <c r="K225" s="381">
        <f>IF(AND('MARZO 2026'!D19&lt;&gt;"",'MARZO 2026'!Z19="POR RECOGER"),'MARZO 2026'!Y19,"")</f>
        <v/>
      </c>
      <c r="L225" s="381">
        <f>IF(AND('MARZO 2026'!D19&lt;&gt;"",'MARZO 2026'!Z19="POR RECOGER"),'MARZO 2026'!I19,"")</f>
        <v/>
      </c>
      <c r="P225" s="194" t="n"/>
      <c r="Q225" s="194" t="n"/>
      <c r="R225" s="194" t="n"/>
      <c r="S225" s="194" t="n"/>
      <c r="T225" s="194" t="n"/>
      <c r="U225" s="194" t="n"/>
      <c r="V225" s="194" t="n"/>
      <c r="W225" s="194" t="n"/>
      <c r="X225" s="194" t="n"/>
      <c r="Y225" s="194" t="n"/>
      <c r="Z225" s="194" t="n"/>
    </row>
    <row r="226" ht="15" customHeight="1" s="195">
      <c r="A226" s="381">
        <f>IF(AND('MARZO 2026'!D20&lt;&gt;"",'MARZO 2026'!Z20="POR RECOGER"),"MAR","")</f>
        <v/>
      </c>
      <c r="B226" s="381">
        <f>IF(AND('MARZO 2026'!D20&lt;&gt;"",'MARZO 2026'!Z20="POR RECOGER"),IF('MARZO 2026'!Y20&lt;&gt;"",'MARZO 2026'!Y20,'MARZO 2026'!I20),"")</f>
        <v/>
      </c>
      <c r="C226" s="381">
        <f>IF(AND('MARZO 2026'!D20&lt;&gt;"",'MARZO 2026'!Z20="POR RECOGER"),'MARZO 2026'!D20,"")</f>
        <v/>
      </c>
      <c r="D226" s="381">
        <f>IF(AND('MARZO 2026'!D20&lt;&gt;"",'MARZO 2026'!Z20="POR RECOGER"),'MARZO 2026'!F20,"")</f>
        <v/>
      </c>
      <c r="E226" s="381">
        <f>IF(AND('MARZO 2026'!D20&lt;&gt;"",'MARZO 2026'!Z20="POR RECOGER"),TEXT('MARZO 2026'!G20,"DD/MM/YYYY"),"")</f>
        <v/>
      </c>
      <c r="F226" s="381">
        <f>IF(AND('MARZO 2026'!D20&lt;&gt;"",'MARZO 2026'!Z20="POR RECOGER"),'MARZO 2026'!K20,"")</f>
        <v/>
      </c>
      <c r="G226" s="382">
        <f>IF(AND('MARZO 2026'!D20&lt;&gt;"",'MARZO 2026'!Z20="POR RECOGER"),'MARZO 2026'!M20,"")</f>
        <v/>
      </c>
      <c r="H226" s="382">
        <f>IF(AND('MARZO 2026'!D20&lt;&gt;"",'MARZO 2026'!Z20="POR RECOGER"),'MARZO 2026'!N20,"")</f>
        <v/>
      </c>
      <c r="I226" s="381">
        <f>IF(AND('MARZO 2026'!D20&lt;&gt;"",'MARZO 2026'!Z20="POR RECOGER"),'MARZO 2026'!P20,"")</f>
        <v/>
      </c>
      <c r="J226" s="381">
        <f>IF(AND('MARZO 2026'!D20&lt;&gt;"",'MARZO 2026'!Z20="POR RECOGER"),'MARZO 2026'!Q20,"")</f>
        <v/>
      </c>
      <c r="K226" s="381">
        <f>IF(AND('MARZO 2026'!D20&lt;&gt;"",'MARZO 2026'!Z20="POR RECOGER"),'MARZO 2026'!Y20,"")</f>
        <v/>
      </c>
      <c r="L226" s="381">
        <f>IF(AND('MARZO 2026'!D20&lt;&gt;"",'MARZO 2026'!Z20="POR RECOGER"),'MARZO 2026'!I20,"")</f>
        <v/>
      </c>
      <c r="P226" s="194" t="n"/>
      <c r="Q226" s="194" t="n"/>
      <c r="R226" s="194" t="n"/>
      <c r="S226" s="194" t="n"/>
      <c r="T226" s="194" t="n"/>
      <c r="U226" s="194" t="n"/>
      <c r="V226" s="194" t="n"/>
      <c r="W226" s="194" t="n"/>
      <c r="X226" s="194" t="n"/>
      <c r="Y226" s="194" t="n"/>
      <c r="Z226" s="194" t="n"/>
    </row>
    <row r="227" ht="15" customHeight="1" s="195">
      <c r="A227" s="381">
        <f>IF(AND('MARZO 2026'!D21&lt;&gt;"",'MARZO 2026'!Z21="POR RECOGER"),"MAR","")</f>
        <v/>
      </c>
      <c r="B227" s="381">
        <f>IF(AND('MARZO 2026'!D21&lt;&gt;"",'MARZO 2026'!Z21="POR RECOGER"),IF('MARZO 2026'!Y21&lt;&gt;"",'MARZO 2026'!Y21,'MARZO 2026'!I21),"")</f>
        <v/>
      </c>
      <c r="C227" s="381">
        <f>IF(AND('MARZO 2026'!D21&lt;&gt;"",'MARZO 2026'!Z21="POR RECOGER"),'MARZO 2026'!D21,"")</f>
        <v/>
      </c>
      <c r="D227" s="381">
        <f>IF(AND('MARZO 2026'!D21&lt;&gt;"",'MARZO 2026'!Z21="POR RECOGER"),'MARZO 2026'!F21,"")</f>
        <v/>
      </c>
      <c r="E227" s="381">
        <f>IF(AND('MARZO 2026'!D21&lt;&gt;"",'MARZO 2026'!Z21="POR RECOGER"),TEXT('MARZO 2026'!G21,"DD/MM/YYYY"),"")</f>
        <v/>
      </c>
      <c r="F227" s="381">
        <f>IF(AND('MARZO 2026'!D21&lt;&gt;"",'MARZO 2026'!Z21="POR RECOGER"),'MARZO 2026'!K21,"")</f>
        <v/>
      </c>
      <c r="G227" s="382">
        <f>IF(AND('MARZO 2026'!D21&lt;&gt;"",'MARZO 2026'!Z21="POR RECOGER"),'MARZO 2026'!M21,"")</f>
        <v/>
      </c>
      <c r="H227" s="382">
        <f>IF(AND('MARZO 2026'!D21&lt;&gt;"",'MARZO 2026'!Z21="POR RECOGER"),'MARZO 2026'!N21,"")</f>
        <v/>
      </c>
      <c r="I227" s="381">
        <f>IF(AND('MARZO 2026'!D21&lt;&gt;"",'MARZO 2026'!Z21="POR RECOGER"),'MARZO 2026'!P21,"")</f>
        <v/>
      </c>
      <c r="J227" s="381">
        <f>IF(AND('MARZO 2026'!D21&lt;&gt;"",'MARZO 2026'!Z21="POR RECOGER"),'MARZO 2026'!Q21,"")</f>
        <v/>
      </c>
      <c r="K227" s="381">
        <f>IF(AND('MARZO 2026'!D21&lt;&gt;"",'MARZO 2026'!Z21="POR RECOGER"),'MARZO 2026'!Y21,"")</f>
        <v/>
      </c>
      <c r="L227" s="381">
        <f>IF(AND('MARZO 2026'!D21&lt;&gt;"",'MARZO 2026'!Z21="POR RECOGER"),'MARZO 2026'!I21,"")</f>
        <v/>
      </c>
      <c r="P227" s="194" t="n"/>
      <c r="Q227" s="194" t="n"/>
      <c r="R227" s="194" t="n"/>
      <c r="S227" s="194" t="n"/>
      <c r="T227" s="194" t="n"/>
      <c r="U227" s="194" t="n"/>
      <c r="V227" s="194" t="n"/>
      <c r="W227" s="194" t="n"/>
      <c r="X227" s="194" t="n"/>
      <c r="Y227" s="194" t="n"/>
      <c r="Z227" s="194" t="n"/>
    </row>
    <row r="228" ht="15" customHeight="1" s="195">
      <c r="A228" s="381">
        <f>IF(AND('MARZO 2026'!D22&lt;&gt;"",'MARZO 2026'!Z22="POR RECOGER"),"MAR","")</f>
        <v/>
      </c>
      <c r="B228" s="381">
        <f>IF(AND('MARZO 2026'!D22&lt;&gt;"",'MARZO 2026'!Z22="POR RECOGER"),IF('MARZO 2026'!Y22&lt;&gt;"",'MARZO 2026'!Y22,'MARZO 2026'!I22),"")</f>
        <v/>
      </c>
      <c r="C228" s="381">
        <f>IF(AND('MARZO 2026'!D22&lt;&gt;"",'MARZO 2026'!Z22="POR RECOGER"),'MARZO 2026'!D22,"")</f>
        <v/>
      </c>
      <c r="D228" s="381">
        <f>IF(AND('MARZO 2026'!D22&lt;&gt;"",'MARZO 2026'!Z22="POR RECOGER"),'MARZO 2026'!F22,"")</f>
        <v/>
      </c>
      <c r="E228" s="381">
        <f>IF(AND('MARZO 2026'!D22&lt;&gt;"",'MARZO 2026'!Z22="POR RECOGER"),TEXT('MARZO 2026'!G22,"DD/MM/YYYY"),"")</f>
        <v/>
      </c>
      <c r="F228" s="381">
        <f>IF(AND('MARZO 2026'!D22&lt;&gt;"",'MARZO 2026'!Z22="POR RECOGER"),'MARZO 2026'!K22,"")</f>
        <v/>
      </c>
      <c r="G228" s="382">
        <f>IF(AND('MARZO 2026'!D22&lt;&gt;"",'MARZO 2026'!Z22="POR RECOGER"),'MARZO 2026'!M22,"")</f>
        <v/>
      </c>
      <c r="H228" s="382">
        <f>IF(AND('MARZO 2026'!D22&lt;&gt;"",'MARZO 2026'!Z22="POR RECOGER"),'MARZO 2026'!N22,"")</f>
        <v/>
      </c>
      <c r="I228" s="381">
        <f>IF(AND('MARZO 2026'!D22&lt;&gt;"",'MARZO 2026'!Z22="POR RECOGER"),'MARZO 2026'!P22,"")</f>
        <v/>
      </c>
      <c r="J228" s="381">
        <f>IF(AND('MARZO 2026'!D22&lt;&gt;"",'MARZO 2026'!Z22="POR RECOGER"),'MARZO 2026'!Q22,"")</f>
        <v/>
      </c>
      <c r="K228" s="381">
        <f>IF(AND('MARZO 2026'!D22&lt;&gt;"",'MARZO 2026'!Z22="POR RECOGER"),'MARZO 2026'!Y22,"")</f>
        <v/>
      </c>
      <c r="L228" s="381">
        <f>IF(AND('MARZO 2026'!D22&lt;&gt;"",'MARZO 2026'!Z22="POR RECOGER"),'MARZO 2026'!I22,"")</f>
        <v/>
      </c>
      <c r="P228" s="194" t="n"/>
      <c r="Q228" s="194" t="n"/>
      <c r="R228" s="194" t="n"/>
      <c r="S228" s="194" t="n"/>
      <c r="T228" s="194" t="n"/>
      <c r="U228" s="194" t="n"/>
      <c r="V228" s="194" t="n"/>
      <c r="W228" s="194" t="n"/>
      <c r="X228" s="194" t="n"/>
      <c r="Y228" s="194" t="n"/>
      <c r="Z228" s="194" t="n"/>
    </row>
    <row r="229" ht="15" customHeight="1" s="195">
      <c r="A229" s="381">
        <f>IF(AND('MARZO 2026'!D23&lt;&gt;"",'MARZO 2026'!Z23="POR RECOGER"),"MAR","")</f>
        <v/>
      </c>
      <c r="B229" s="381">
        <f>IF(AND('MARZO 2026'!D23&lt;&gt;"",'MARZO 2026'!Z23="POR RECOGER"),IF('MARZO 2026'!Y23&lt;&gt;"",'MARZO 2026'!Y23,'MARZO 2026'!I23),"")</f>
        <v/>
      </c>
      <c r="C229" s="381">
        <f>IF(AND('MARZO 2026'!D23&lt;&gt;"",'MARZO 2026'!Z23="POR RECOGER"),'MARZO 2026'!D23,"")</f>
        <v/>
      </c>
      <c r="D229" s="381">
        <f>IF(AND('MARZO 2026'!D23&lt;&gt;"",'MARZO 2026'!Z23="POR RECOGER"),'MARZO 2026'!F23,"")</f>
        <v/>
      </c>
      <c r="E229" s="381">
        <f>IF(AND('MARZO 2026'!D23&lt;&gt;"",'MARZO 2026'!Z23="POR RECOGER"),TEXT('MARZO 2026'!G23,"DD/MM/YYYY"),"")</f>
        <v/>
      </c>
      <c r="F229" s="381">
        <f>IF(AND('MARZO 2026'!D23&lt;&gt;"",'MARZO 2026'!Z23="POR RECOGER"),'MARZO 2026'!K23,"")</f>
        <v/>
      </c>
      <c r="G229" s="382">
        <f>IF(AND('MARZO 2026'!D23&lt;&gt;"",'MARZO 2026'!Z23="POR RECOGER"),'MARZO 2026'!M23,"")</f>
        <v/>
      </c>
      <c r="H229" s="382">
        <f>IF(AND('MARZO 2026'!D23&lt;&gt;"",'MARZO 2026'!Z23="POR RECOGER"),'MARZO 2026'!N23,"")</f>
        <v/>
      </c>
      <c r="I229" s="381">
        <f>IF(AND('MARZO 2026'!D23&lt;&gt;"",'MARZO 2026'!Z23="POR RECOGER"),'MARZO 2026'!P23,"")</f>
        <v/>
      </c>
      <c r="J229" s="381">
        <f>IF(AND('MARZO 2026'!D23&lt;&gt;"",'MARZO 2026'!Z23="POR RECOGER"),'MARZO 2026'!Q23,"")</f>
        <v/>
      </c>
      <c r="K229" s="381">
        <f>IF(AND('MARZO 2026'!D23&lt;&gt;"",'MARZO 2026'!Z23="POR RECOGER"),'MARZO 2026'!Y23,"")</f>
        <v/>
      </c>
      <c r="L229" s="381">
        <f>IF(AND('MARZO 2026'!D23&lt;&gt;"",'MARZO 2026'!Z23="POR RECOGER"),'MARZO 2026'!I23,"")</f>
        <v/>
      </c>
      <c r="P229" s="194" t="n"/>
      <c r="Q229" s="194" t="n"/>
      <c r="R229" s="194" t="n"/>
      <c r="S229" s="194" t="n"/>
      <c r="T229" s="194" t="n"/>
      <c r="U229" s="194" t="n"/>
      <c r="V229" s="194" t="n"/>
      <c r="W229" s="194" t="n"/>
      <c r="X229" s="194" t="n"/>
      <c r="Y229" s="194" t="n"/>
      <c r="Z229" s="194" t="n"/>
    </row>
    <row r="230" ht="15" customHeight="1" s="195">
      <c r="A230" s="381">
        <f>IF(AND('MARZO 2026'!D24&lt;&gt;"",'MARZO 2026'!Z24="POR RECOGER"),"MAR","")</f>
        <v/>
      </c>
      <c r="B230" s="381">
        <f>IF(AND('MARZO 2026'!D24&lt;&gt;"",'MARZO 2026'!Z24="POR RECOGER"),IF('MARZO 2026'!Y24&lt;&gt;"",'MARZO 2026'!Y24,'MARZO 2026'!I24),"")</f>
        <v/>
      </c>
      <c r="C230" s="381">
        <f>IF(AND('MARZO 2026'!D24&lt;&gt;"",'MARZO 2026'!Z24="POR RECOGER"),'MARZO 2026'!D24,"")</f>
        <v/>
      </c>
      <c r="D230" s="381">
        <f>IF(AND('MARZO 2026'!D24&lt;&gt;"",'MARZO 2026'!Z24="POR RECOGER"),'MARZO 2026'!F24,"")</f>
        <v/>
      </c>
      <c r="E230" s="381">
        <f>IF(AND('MARZO 2026'!D24&lt;&gt;"",'MARZO 2026'!Z24="POR RECOGER"),TEXT('MARZO 2026'!G24,"DD/MM/YYYY"),"")</f>
        <v/>
      </c>
      <c r="F230" s="381">
        <f>IF(AND('MARZO 2026'!D24&lt;&gt;"",'MARZO 2026'!Z24="POR RECOGER"),'MARZO 2026'!K24,"")</f>
        <v/>
      </c>
      <c r="G230" s="382">
        <f>IF(AND('MARZO 2026'!D24&lt;&gt;"",'MARZO 2026'!Z24="POR RECOGER"),'MARZO 2026'!M24,"")</f>
        <v/>
      </c>
      <c r="H230" s="382">
        <f>IF(AND('MARZO 2026'!D24&lt;&gt;"",'MARZO 2026'!Z24="POR RECOGER"),'MARZO 2026'!N24,"")</f>
        <v/>
      </c>
      <c r="I230" s="381">
        <f>IF(AND('MARZO 2026'!D24&lt;&gt;"",'MARZO 2026'!Z24="POR RECOGER"),'MARZO 2026'!P24,"")</f>
        <v/>
      </c>
      <c r="J230" s="381">
        <f>IF(AND('MARZO 2026'!D24&lt;&gt;"",'MARZO 2026'!Z24="POR RECOGER"),'MARZO 2026'!Q24,"")</f>
        <v/>
      </c>
      <c r="K230" s="381">
        <f>IF(AND('MARZO 2026'!D24&lt;&gt;"",'MARZO 2026'!Z24="POR RECOGER"),'MARZO 2026'!Y24,"")</f>
        <v/>
      </c>
      <c r="L230" s="381">
        <f>IF(AND('MARZO 2026'!D24&lt;&gt;"",'MARZO 2026'!Z24="POR RECOGER"),'MARZO 2026'!I24,"")</f>
        <v/>
      </c>
      <c r="P230" s="194" t="n"/>
      <c r="Q230" s="194" t="n"/>
      <c r="R230" s="194" t="n"/>
      <c r="S230" s="194" t="n"/>
      <c r="T230" s="194" t="n"/>
      <c r="U230" s="194" t="n"/>
      <c r="V230" s="194" t="n"/>
      <c r="W230" s="194" t="n"/>
      <c r="X230" s="194" t="n"/>
      <c r="Y230" s="194" t="n"/>
      <c r="Z230" s="194" t="n"/>
    </row>
    <row r="231" ht="15" customHeight="1" s="195">
      <c r="A231" s="381">
        <f>IF(AND('MARZO 2026'!D25&lt;&gt;"",'MARZO 2026'!Z25="POR RECOGER"),"MAR","")</f>
        <v/>
      </c>
      <c r="B231" s="381">
        <f>IF(AND('MARZO 2026'!D25&lt;&gt;"",'MARZO 2026'!Z25="POR RECOGER"),IF('MARZO 2026'!Y25&lt;&gt;"",'MARZO 2026'!Y25,'MARZO 2026'!I25),"")</f>
        <v/>
      </c>
      <c r="C231" s="381">
        <f>IF(AND('MARZO 2026'!D25&lt;&gt;"",'MARZO 2026'!Z25="POR RECOGER"),'MARZO 2026'!D25,"")</f>
        <v/>
      </c>
      <c r="D231" s="381">
        <f>IF(AND('MARZO 2026'!D25&lt;&gt;"",'MARZO 2026'!Z25="POR RECOGER"),'MARZO 2026'!F25,"")</f>
        <v/>
      </c>
      <c r="E231" s="381">
        <f>IF(AND('MARZO 2026'!D25&lt;&gt;"",'MARZO 2026'!Z25="POR RECOGER"),TEXT('MARZO 2026'!G25,"DD/MM/YYYY"),"")</f>
        <v/>
      </c>
      <c r="F231" s="381">
        <f>IF(AND('MARZO 2026'!D25&lt;&gt;"",'MARZO 2026'!Z25="POR RECOGER"),'MARZO 2026'!K25,"")</f>
        <v/>
      </c>
      <c r="G231" s="382">
        <f>IF(AND('MARZO 2026'!D25&lt;&gt;"",'MARZO 2026'!Z25="POR RECOGER"),'MARZO 2026'!M25,"")</f>
        <v/>
      </c>
      <c r="H231" s="382">
        <f>IF(AND('MARZO 2026'!D25&lt;&gt;"",'MARZO 2026'!Z25="POR RECOGER"),'MARZO 2026'!N25,"")</f>
        <v/>
      </c>
      <c r="I231" s="381">
        <f>IF(AND('MARZO 2026'!D25&lt;&gt;"",'MARZO 2026'!Z25="POR RECOGER"),'MARZO 2026'!P25,"")</f>
        <v/>
      </c>
      <c r="J231" s="381">
        <f>IF(AND('MARZO 2026'!D25&lt;&gt;"",'MARZO 2026'!Z25="POR RECOGER"),'MARZO 2026'!Q25,"")</f>
        <v/>
      </c>
      <c r="K231" s="381">
        <f>IF(AND('MARZO 2026'!D25&lt;&gt;"",'MARZO 2026'!Z25="POR RECOGER"),'MARZO 2026'!Y25,"")</f>
        <v/>
      </c>
      <c r="L231" s="381">
        <f>IF(AND('MARZO 2026'!D25&lt;&gt;"",'MARZO 2026'!Z25="POR RECOGER"),'MARZO 2026'!I25,"")</f>
        <v/>
      </c>
      <c r="P231" s="194" t="n"/>
      <c r="Q231" s="194" t="n"/>
      <c r="R231" s="194" t="n"/>
      <c r="S231" s="194" t="n"/>
      <c r="T231" s="194" t="n"/>
      <c r="U231" s="194" t="n"/>
      <c r="V231" s="194" t="n"/>
      <c r="W231" s="194" t="n"/>
      <c r="X231" s="194" t="n"/>
      <c r="Y231" s="194" t="n"/>
      <c r="Z231" s="194" t="n"/>
    </row>
    <row r="232" ht="15" customHeight="1" s="195">
      <c r="A232" s="381">
        <f>IF(AND('MARZO 2026'!D26&lt;&gt;"",'MARZO 2026'!Z26="POR RECOGER"),"MAR","")</f>
        <v/>
      </c>
      <c r="B232" s="381">
        <f>IF(AND('MARZO 2026'!D26&lt;&gt;"",'MARZO 2026'!Z26="POR RECOGER"),IF('MARZO 2026'!Y26&lt;&gt;"",'MARZO 2026'!Y26,'MARZO 2026'!I26),"")</f>
        <v/>
      </c>
      <c r="C232" s="381">
        <f>IF(AND('MARZO 2026'!D26&lt;&gt;"",'MARZO 2026'!Z26="POR RECOGER"),'MARZO 2026'!D26,"")</f>
        <v/>
      </c>
      <c r="D232" s="381">
        <f>IF(AND('MARZO 2026'!D26&lt;&gt;"",'MARZO 2026'!Z26="POR RECOGER"),'MARZO 2026'!F26,"")</f>
        <v/>
      </c>
      <c r="E232" s="381">
        <f>IF(AND('MARZO 2026'!D26&lt;&gt;"",'MARZO 2026'!Z26="POR RECOGER"),TEXT('MARZO 2026'!G26,"DD/MM/YYYY"),"")</f>
        <v/>
      </c>
      <c r="F232" s="381">
        <f>IF(AND('MARZO 2026'!D26&lt;&gt;"",'MARZO 2026'!Z26="POR RECOGER"),'MARZO 2026'!K26,"")</f>
        <v/>
      </c>
      <c r="G232" s="382">
        <f>IF(AND('MARZO 2026'!D26&lt;&gt;"",'MARZO 2026'!Z26="POR RECOGER"),'MARZO 2026'!M26,"")</f>
        <v/>
      </c>
      <c r="H232" s="382">
        <f>IF(AND('MARZO 2026'!D26&lt;&gt;"",'MARZO 2026'!Z26="POR RECOGER"),'MARZO 2026'!N26,"")</f>
        <v/>
      </c>
      <c r="I232" s="381">
        <f>IF(AND('MARZO 2026'!D26&lt;&gt;"",'MARZO 2026'!Z26="POR RECOGER"),'MARZO 2026'!P26,"")</f>
        <v/>
      </c>
      <c r="J232" s="381">
        <f>IF(AND('MARZO 2026'!D26&lt;&gt;"",'MARZO 2026'!Z26="POR RECOGER"),'MARZO 2026'!Q26,"")</f>
        <v/>
      </c>
      <c r="K232" s="381">
        <f>IF(AND('MARZO 2026'!D26&lt;&gt;"",'MARZO 2026'!Z26="POR RECOGER"),'MARZO 2026'!Y26,"")</f>
        <v/>
      </c>
      <c r="L232" s="381">
        <f>IF(AND('MARZO 2026'!D26&lt;&gt;"",'MARZO 2026'!Z26="POR RECOGER"),'MARZO 2026'!I26,"")</f>
        <v/>
      </c>
      <c r="P232" s="194" t="n"/>
      <c r="Q232" s="194" t="n"/>
      <c r="R232" s="194" t="n"/>
      <c r="S232" s="194" t="n"/>
      <c r="T232" s="194" t="n"/>
      <c r="U232" s="194" t="n"/>
      <c r="V232" s="194" t="n"/>
      <c r="W232" s="194" t="n"/>
      <c r="X232" s="194" t="n"/>
      <c r="Y232" s="194" t="n"/>
      <c r="Z232" s="194" t="n"/>
    </row>
    <row r="233" ht="15" customHeight="1" s="195">
      <c r="A233" s="381">
        <f>IF(AND('MARZO 2026'!D27&lt;&gt;"",'MARZO 2026'!Z27="POR RECOGER"),"MAR","")</f>
        <v/>
      </c>
      <c r="B233" s="381">
        <f>IF(AND('MARZO 2026'!D27&lt;&gt;"",'MARZO 2026'!Z27="POR RECOGER"),IF('MARZO 2026'!Y27&lt;&gt;"",'MARZO 2026'!Y27,'MARZO 2026'!I27),"")</f>
        <v/>
      </c>
      <c r="C233" s="381">
        <f>IF(AND('MARZO 2026'!D27&lt;&gt;"",'MARZO 2026'!Z27="POR RECOGER"),'MARZO 2026'!D27,"")</f>
        <v/>
      </c>
      <c r="D233" s="381">
        <f>IF(AND('MARZO 2026'!D27&lt;&gt;"",'MARZO 2026'!Z27="POR RECOGER"),'MARZO 2026'!F27,"")</f>
        <v/>
      </c>
      <c r="E233" s="381">
        <f>IF(AND('MARZO 2026'!D27&lt;&gt;"",'MARZO 2026'!Z27="POR RECOGER"),TEXT('MARZO 2026'!G27,"DD/MM/YYYY"),"")</f>
        <v/>
      </c>
      <c r="F233" s="381">
        <f>IF(AND('MARZO 2026'!D27&lt;&gt;"",'MARZO 2026'!Z27="POR RECOGER"),'MARZO 2026'!K27,"")</f>
        <v/>
      </c>
      <c r="G233" s="382">
        <f>IF(AND('MARZO 2026'!D27&lt;&gt;"",'MARZO 2026'!Z27="POR RECOGER"),'MARZO 2026'!M27,"")</f>
        <v/>
      </c>
      <c r="H233" s="382">
        <f>IF(AND('MARZO 2026'!D27&lt;&gt;"",'MARZO 2026'!Z27="POR RECOGER"),'MARZO 2026'!N27,"")</f>
        <v/>
      </c>
      <c r="I233" s="381">
        <f>IF(AND('MARZO 2026'!D27&lt;&gt;"",'MARZO 2026'!Z27="POR RECOGER"),'MARZO 2026'!P27,"")</f>
        <v/>
      </c>
      <c r="J233" s="381">
        <f>IF(AND('MARZO 2026'!D27&lt;&gt;"",'MARZO 2026'!Z27="POR RECOGER"),'MARZO 2026'!Q27,"")</f>
        <v/>
      </c>
      <c r="K233" s="381">
        <f>IF(AND('MARZO 2026'!D27&lt;&gt;"",'MARZO 2026'!Z27="POR RECOGER"),'MARZO 2026'!Y27,"")</f>
        <v/>
      </c>
      <c r="L233" s="381">
        <f>IF(AND('MARZO 2026'!D27&lt;&gt;"",'MARZO 2026'!Z27="POR RECOGER"),'MARZO 2026'!I27,"")</f>
        <v/>
      </c>
      <c r="P233" s="194" t="n"/>
      <c r="Q233" s="194" t="n"/>
      <c r="R233" s="194" t="n"/>
      <c r="S233" s="194" t="n"/>
      <c r="T233" s="194" t="n"/>
      <c r="U233" s="194" t="n"/>
      <c r="V233" s="194" t="n"/>
      <c r="W233" s="194" t="n"/>
      <c r="X233" s="194" t="n"/>
      <c r="Y233" s="194" t="n"/>
      <c r="Z233" s="194" t="n"/>
    </row>
    <row r="234" ht="15" customHeight="1" s="195">
      <c r="A234" s="381">
        <f>IF(AND('MARZO 2026'!D28&lt;&gt;"",'MARZO 2026'!Z28="POR RECOGER"),"MAR","")</f>
        <v/>
      </c>
      <c r="B234" s="381">
        <f>IF(AND('MARZO 2026'!D28&lt;&gt;"",'MARZO 2026'!Z28="POR RECOGER"),IF('MARZO 2026'!Y28&lt;&gt;"",'MARZO 2026'!Y28,'MARZO 2026'!I28),"")</f>
        <v/>
      </c>
      <c r="C234" s="381">
        <f>IF(AND('MARZO 2026'!D28&lt;&gt;"",'MARZO 2026'!Z28="POR RECOGER"),'MARZO 2026'!D28,"")</f>
        <v/>
      </c>
      <c r="D234" s="381">
        <f>IF(AND('MARZO 2026'!D28&lt;&gt;"",'MARZO 2026'!Z28="POR RECOGER"),'MARZO 2026'!F28,"")</f>
        <v/>
      </c>
      <c r="E234" s="381">
        <f>IF(AND('MARZO 2026'!D28&lt;&gt;"",'MARZO 2026'!Z28="POR RECOGER"),TEXT('MARZO 2026'!G28,"DD/MM/YYYY"),"")</f>
        <v/>
      </c>
      <c r="F234" s="381">
        <f>IF(AND('MARZO 2026'!D28&lt;&gt;"",'MARZO 2026'!Z28="POR RECOGER"),'MARZO 2026'!K28,"")</f>
        <v/>
      </c>
      <c r="G234" s="382">
        <f>IF(AND('MARZO 2026'!D28&lt;&gt;"",'MARZO 2026'!Z28="POR RECOGER"),'MARZO 2026'!M28,"")</f>
        <v/>
      </c>
      <c r="H234" s="382">
        <f>IF(AND('MARZO 2026'!D28&lt;&gt;"",'MARZO 2026'!Z28="POR RECOGER"),'MARZO 2026'!N28,"")</f>
        <v/>
      </c>
      <c r="I234" s="381">
        <f>IF(AND('MARZO 2026'!D28&lt;&gt;"",'MARZO 2026'!Z28="POR RECOGER"),'MARZO 2026'!P28,"")</f>
        <v/>
      </c>
      <c r="J234" s="381">
        <f>IF(AND('MARZO 2026'!D28&lt;&gt;"",'MARZO 2026'!Z28="POR RECOGER"),'MARZO 2026'!Q28,"")</f>
        <v/>
      </c>
      <c r="K234" s="381">
        <f>IF(AND('MARZO 2026'!D28&lt;&gt;"",'MARZO 2026'!Z28="POR RECOGER"),'MARZO 2026'!Y28,"")</f>
        <v/>
      </c>
      <c r="L234" s="381">
        <f>IF(AND('MARZO 2026'!D28&lt;&gt;"",'MARZO 2026'!Z28="POR RECOGER"),'MARZO 2026'!I28,"")</f>
        <v/>
      </c>
      <c r="P234" s="194" t="n"/>
      <c r="Q234" s="194" t="n"/>
      <c r="R234" s="194" t="n"/>
      <c r="S234" s="194" t="n"/>
      <c r="T234" s="194" t="n"/>
      <c r="U234" s="194" t="n"/>
      <c r="V234" s="194" t="n"/>
      <c r="W234" s="194" t="n"/>
      <c r="X234" s="194" t="n"/>
      <c r="Y234" s="194" t="n"/>
      <c r="Z234" s="194" t="n"/>
    </row>
    <row r="235" ht="15" customHeight="1" s="195">
      <c r="A235" s="381">
        <f>IF(AND('MARZO 2026'!D29&lt;&gt;"",'MARZO 2026'!Z29="POR RECOGER"),"MAR","")</f>
        <v/>
      </c>
      <c r="B235" s="381">
        <f>IF(AND('MARZO 2026'!D29&lt;&gt;"",'MARZO 2026'!Z29="POR RECOGER"),IF('MARZO 2026'!Y29&lt;&gt;"",'MARZO 2026'!Y29,'MARZO 2026'!I29),"")</f>
        <v/>
      </c>
      <c r="C235" s="381">
        <f>IF(AND('MARZO 2026'!D29&lt;&gt;"",'MARZO 2026'!Z29="POR RECOGER"),'MARZO 2026'!D29,"")</f>
        <v/>
      </c>
      <c r="D235" s="381">
        <f>IF(AND('MARZO 2026'!D29&lt;&gt;"",'MARZO 2026'!Z29="POR RECOGER"),'MARZO 2026'!F29,"")</f>
        <v/>
      </c>
      <c r="E235" s="381">
        <f>IF(AND('MARZO 2026'!D29&lt;&gt;"",'MARZO 2026'!Z29="POR RECOGER"),TEXT('MARZO 2026'!G29,"DD/MM/YYYY"),"")</f>
        <v/>
      </c>
      <c r="F235" s="381">
        <f>IF(AND('MARZO 2026'!D29&lt;&gt;"",'MARZO 2026'!Z29="POR RECOGER"),'MARZO 2026'!K29,"")</f>
        <v/>
      </c>
      <c r="G235" s="382">
        <f>IF(AND('MARZO 2026'!D29&lt;&gt;"",'MARZO 2026'!Z29="POR RECOGER"),'MARZO 2026'!M29,"")</f>
        <v/>
      </c>
      <c r="H235" s="382">
        <f>IF(AND('MARZO 2026'!D29&lt;&gt;"",'MARZO 2026'!Z29="POR RECOGER"),'MARZO 2026'!N29,"")</f>
        <v/>
      </c>
      <c r="I235" s="381">
        <f>IF(AND('MARZO 2026'!D29&lt;&gt;"",'MARZO 2026'!Z29="POR RECOGER"),'MARZO 2026'!P29,"")</f>
        <v/>
      </c>
      <c r="J235" s="381">
        <f>IF(AND('MARZO 2026'!D29&lt;&gt;"",'MARZO 2026'!Z29="POR RECOGER"),'MARZO 2026'!Q29,"")</f>
        <v/>
      </c>
      <c r="K235" s="381">
        <f>IF(AND('MARZO 2026'!D29&lt;&gt;"",'MARZO 2026'!Z29="POR RECOGER"),'MARZO 2026'!Y29,"")</f>
        <v/>
      </c>
      <c r="L235" s="381">
        <f>IF(AND('MARZO 2026'!D29&lt;&gt;"",'MARZO 2026'!Z29="POR RECOGER"),'MARZO 2026'!I29,"")</f>
        <v/>
      </c>
      <c r="P235" s="194" t="n"/>
      <c r="Q235" s="194" t="n"/>
      <c r="R235" s="194" t="n"/>
      <c r="S235" s="194" t="n"/>
      <c r="T235" s="194" t="n"/>
      <c r="U235" s="194" t="n"/>
      <c r="V235" s="194" t="n"/>
      <c r="W235" s="194" t="n"/>
      <c r="X235" s="194" t="n"/>
      <c r="Y235" s="194" t="n"/>
      <c r="Z235" s="194" t="n"/>
    </row>
    <row r="236" ht="15" customHeight="1" s="195">
      <c r="A236" s="381">
        <f>IF(AND('MARZO 2026'!D30&lt;&gt;"",'MARZO 2026'!Z30="POR RECOGER"),"MAR","")</f>
        <v/>
      </c>
      <c r="B236" s="381">
        <f>IF(AND('MARZO 2026'!D30&lt;&gt;"",'MARZO 2026'!Z30="POR RECOGER"),IF('MARZO 2026'!Y30&lt;&gt;"",'MARZO 2026'!Y30,'MARZO 2026'!I30),"")</f>
        <v/>
      </c>
      <c r="C236" s="381">
        <f>IF(AND('MARZO 2026'!D30&lt;&gt;"",'MARZO 2026'!Z30="POR RECOGER"),'MARZO 2026'!D30,"")</f>
        <v/>
      </c>
      <c r="D236" s="381">
        <f>IF(AND('MARZO 2026'!D30&lt;&gt;"",'MARZO 2026'!Z30="POR RECOGER"),'MARZO 2026'!F30,"")</f>
        <v/>
      </c>
      <c r="E236" s="381">
        <f>IF(AND('MARZO 2026'!D30&lt;&gt;"",'MARZO 2026'!Z30="POR RECOGER"),TEXT('MARZO 2026'!G30,"DD/MM/YYYY"),"")</f>
        <v/>
      </c>
      <c r="F236" s="381">
        <f>IF(AND('MARZO 2026'!D30&lt;&gt;"",'MARZO 2026'!Z30="POR RECOGER"),'MARZO 2026'!K30,"")</f>
        <v/>
      </c>
      <c r="G236" s="382">
        <f>IF(AND('MARZO 2026'!D30&lt;&gt;"",'MARZO 2026'!Z30="POR RECOGER"),'MARZO 2026'!M30,"")</f>
        <v/>
      </c>
      <c r="H236" s="382">
        <f>IF(AND('MARZO 2026'!D30&lt;&gt;"",'MARZO 2026'!Z30="POR RECOGER"),'MARZO 2026'!N30,"")</f>
        <v/>
      </c>
      <c r="I236" s="381">
        <f>IF(AND('MARZO 2026'!D30&lt;&gt;"",'MARZO 2026'!Z30="POR RECOGER"),'MARZO 2026'!P30,"")</f>
        <v/>
      </c>
      <c r="J236" s="381">
        <f>IF(AND('MARZO 2026'!D30&lt;&gt;"",'MARZO 2026'!Z30="POR RECOGER"),'MARZO 2026'!Q30,"")</f>
        <v/>
      </c>
      <c r="K236" s="381">
        <f>IF(AND('MARZO 2026'!D30&lt;&gt;"",'MARZO 2026'!Z30="POR RECOGER"),'MARZO 2026'!Y30,"")</f>
        <v/>
      </c>
      <c r="L236" s="381">
        <f>IF(AND('MARZO 2026'!D30&lt;&gt;"",'MARZO 2026'!Z30="POR RECOGER"),'MARZO 2026'!I30,"")</f>
        <v/>
      </c>
      <c r="P236" s="194" t="n"/>
      <c r="Q236" s="194" t="n"/>
      <c r="R236" s="194" t="n"/>
      <c r="S236" s="194" t="n"/>
      <c r="T236" s="194" t="n"/>
      <c r="U236" s="194" t="n"/>
      <c r="V236" s="194" t="n"/>
      <c r="W236" s="194" t="n"/>
      <c r="X236" s="194" t="n"/>
      <c r="Y236" s="194" t="n"/>
      <c r="Z236" s="194" t="n"/>
    </row>
    <row r="237" ht="15" customHeight="1" s="195">
      <c r="A237" s="381">
        <f>IF(AND('MARZO 2026'!D31&lt;&gt;"",'MARZO 2026'!Z31="POR RECOGER"),"MAR","")</f>
        <v/>
      </c>
      <c r="B237" s="381">
        <f>IF(AND('MARZO 2026'!D31&lt;&gt;"",'MARZO 2026'!Z31="POR RECOGER"),IF('MARZO 2026'!Y31&lt;&gt;"",'MARZO 2026'!Y31,'MARZO 2026'!I31),"")</f>
        <v/>
      </c>
      <c r="C237" s="381">
        <f>IF(AND('MARZO 2026'!D31&lt;&gt;"",'MARZO 2026'!Z31="POR RECOGER"),'MARZO 2026'!D31,"")</f>
        <v/>
      </c>
      <c r="D237" s="381">
        <f>IF(AND('MARZO 2026'!D31&lt;&gt;"",'MARZO 2026'!Z31="POR RECOGER"),'MARZO 2026'!F31,"")</f>
        <v/>
      </c>
      <c r="E237" s="381">
        <f>IF(AND('MARZO 2026'!D31&lt;&gt;"",'MARZO 2026'!Z31="POR RECOGER"),TEXT('MARZO 2026'!G31,"DD/MM/YYYY"),"")</f>
        <v/>
      </c>
      <c r="F237" s="381">
        <f>IF(AND('MARZO 2026'!D31&lt;&gt;"",'MARZO 2026'!Z31="POR RECOGER"),'MARZO 2026'!K31,"")</f>
        <v/>
      </c>
      <c r="G237" s="382">
        <f>IF(AND('MARZO 2026'!D31&lt;&gt;"",'MARZO 2026'!Z31="POR RECOGER"),'MARZO 2026'!M31,"")</f>
        <v/>
      </c>
      <c r="H237" s="382">
        <f>IF(AND('MARZO 2026'!D31&lt;&gt;"",'MARZO 2026'!Z31="POR RECOGER"),'MARZO 2026'!N31,"")</f>
        <v/>
      </c>
      <c r="I237" s="381">
        <f>IF(AND('MARZO 2026'!D31&lt;&gt;"",'MARZO 2026'!Z31="POR RECOGER"),'MARZO 2026'!P31,"")</f>
        <v/>
      </c>
      <c r="J237" s="381">
        <f>IF(AND('MARZO 2026'!D31&lt;&gt;"",'MARZO 2026'!Z31="POR RECOGER"),'MARZO 2026'!Q31,"")</f>
        <v/>
      </c>
      <c r="K237" s="381">
        <f>IF(AND('MARZO 2026'!D31&lt;&gt;"",'MARZO 2026'!Z31="POR RECOGER"),'MARZO 2026'!Y31,"")</f>
        <v/>
      </c>
      <c r="L237" s="381">
        <f>IF(AND('MARZO 2026'!D31&lt;&gt;"",'MARZO 2026'!Z31="POR RECOGER"),'MARZO 2026'!I31,"")</f>
        <v/>
      </c>
      <c r="P237" s="194" t="n"/>
      <c r="Q237" s="194" t="n"/>
      <c r="R237" s="194" t="n"/>
      <c r="S237" s="194" t="n"/>
      <c r="T237" s="194" t="n"/>
      <c r="U237" s="194" t="n"/>
      <c r="V237" s="194" t="n"/>
      <c r="W237" s="194" t="n"/>
      <c r="X237" s="194" t="n"/>
      <c r="Y237" s="194" t="n"/>
      <c r="Z237" s="194" t="n"/>
    </row>
    <row r="238" ht="15" customHeight="1" s="195">
      <c r="A238" s="381">
        <f>IF(AND('MARZO 2026'!D32&lt;&gt;"",'MARZO 2026'!Z32="POR RECOGER"),"MAR","")</f>
        <v/>
      </c>
      <c r="B238" s="381">
        <f>IF(AND('MARZO 2026'!D32&lt;&gt;"",'MARZO 2026'!Z32="POR RECOGER"),IF('MARZO 2026'!Y32&lt;&gt;"",'MARZO 2026'!Y32,'MARZO 2026'!I32),"")</f>
        <v/>
      </c>
      <c r="C238" s="381">
        <f>IF(AND('MARZO 2026'!D32&lt;&gt;"",'MARZO 2026'!Z32="POR RECOGER"),'MARZO 2026'!D32,"")</f>
        <v/>
      </c>
      <c r="D238" s="381">
        <f>IF(AND('MARZO 2026'!D32&lt;&gt;"",'MARZO 2026'!Z32="POR RECOGER"),'MARZO 2026'!F32,"")</f>
        <v/>
      </c>
      <c r="E238" s="381">
        <f>IF(AND('MARZO 2026'!D32&lt;&gt;"",'MARZO 2026'!Z32="POR RECOGER"),TEXT('MARZO 2026'!G32,"DD/MM/YYYY"),"")</f>
        <v/>
      </c>
      <c r="F238" s="381">
        <f>IF(AND('MARZO 2026'!D32&lt;&gt;"",'MARZO 2026'!Z32="POR RECOGER"),'MARZO 2026'!K32,"")</f>
        <v/>
      </c>
      <c r="G238" s="382">
        <f>IF(AND('MARZO 2026'!D32&lt;&gt;"",'MARZO 2026'!Z32="POR RECOGER"),'MARZO 2026'!M32,"")</f>
        <v/>
      </c>
      <c r="H238" s="382">
        <f>IF(AND('MARZO 2026'!D32&lt;&gt;"",'MARZO 2026'!Z32="POR RECOGER"),'MARZO 2026'!N32,"")</f>
        <v/>
      </c>
      <c r="I238" s="381">
        <f>IF(AND('MARZO 2026'!D32&lt;&gt;"",'MARZO 2026'!Z32="POR RECOGER"),'MARZO 2026'!P32,"")</f>
        <v/>
      </c>
      <c r="J238" s="381">
        <f>IF(AND('MARZO 2026'!D32&lt;&gt;"",'MARZO 2026'!Z32="POR RECOGER"),'MARZO 2026'!Q32,"")</f>
        <v/>
      </c>
      <c r="K238" s="381">
        <f>IF(AND('MARZO 2026'!D32&lt;&gt;"",'MARZO 2026'!Z32="POR RECOGER"),'MARZO 2026'!Y32,"")</f>
        <v/>
      </c>
      <c r="L238" s="381">
        <f>IF(AND('MARZO 2026'!D32&lt;&gt;"",'MARZO 2026'!Z32="POR RECOGER"),'MARZO 2026'!I32,"")</f>
        <v/>
      </c>
      <c r="P238" s="194" t="n"/>
      <c r="Q238" s="194" t="n"/>
      <c r="R238" s="194" t="n"/>
      <c r="S238" s="194" t="n"/>
      <c r="T238" s="194" t="n"/>
      <c r="U238" s="194" t="n"/>
      <c r="V238" s="194" t="n"/>
      <c r="W238" s="194" t="n"/>
      <c r="X238" s="194" t="n"/>
      <c r="Y238" s="194" t="n"/>
      <c r="Z238" s="194" t="n"/>
    </row>
    <row r="239" ht="15" customHeight="1" s="195">
      <c r="A239" s="381">
        <f>IF(AND('MARZO 2026'!D33&lt;&gt;"",'MARZO 2026'!Z33="POR RECOGER"),"MAR","")</f>
        <v/>
      </c>
      <c r="B239" s="381">
        <f>IF(AND('MARZO 2026'!D33&lt;&gt;"",'MARZO 2026'!Z33="POR RECOGER"),IF('MARZO 2026'!Y33&lt;&gt;"",'MARZO 2026'!Y33,'MARZO 2026'!I33),"")</f>
        <v/>
      </c>
      <c r="C239" s="381">
        <f>IF(AND('MARZO 2026'!D33&lt;&gt;"",'MARZO 2026'!Z33="POR RECOGER"),'MARZO 2026'!D33,"")</f>
        <v/>
      </c>
      <c r="D239" s="381">
        <f>IF(AND('MARZO 2026'!D33&lt;&gt;"",'MARZO 2026'!Z33="POR RECOGER"),'MARZO 2026'!F33,"")</f>
        <v/>
      </c>
      <c r="E239" s="381">
        <f>IF(AND('MARZO 2026'!D33&lt;&gt;"",'MARZO 2026'!Z33="POR RECOGER"),TEXT('MARZO 2026'!G33,"DD/MM/YYYY"),"")</f>
        <v/>
      </c>
      <c r="F239" s="381">
        <f>IF(AND('MARZO 2026'!D33&lt;&gt;"",'MARZO 2026'!Z33="POR RECOGER"),'MARZO 2026'!K33,"")</f>
        <v/>
      </c>
      <c r="G239" s="382">
        <f>IF(AND('MARZO 2026'!D33&lt;&gt;"",'MARZO 2026'!Z33="POR RECOGER"),'MARZO 2026'!M33,"")</f>
        <v/>
      </c>
      <c r="H239" s="382">
        <f>IF(AND('MARZO 2026'!D33&lt;&gt;"",'MARZO 2026'!Z33="POR RECOGER"),'MARZO 2026'!N33,"")</f>
        <v/>
      </c>
      <c r="I239" s="381">
        <f>IF(AND('MARZO 2026'!D33&lt;&gt;"",'MARZO 2026'!Z33="POR RECOGER"),'MARZO 2026'!P33,"")</f>
        <v/>
      </c>
      <c r="J239" s="381">
        <f>IF(AND('MARZO 2026'!D33&lt;&gt;"",'MARZO 2026'!Z33="POR RECOGER"),'MARZO 2026'!Q33,"")</f>
        <v/>
      </c>
      <c r="K239" s="381">
        <f>IF(AND('MARZO 2026'!D33&lt;&gt;"",'MARZO 2026'!Z33="POR RECOGER"),'MARZO 2026'!Y33,"")</f>
        <v/>
      </c>
      <c r="L239" s="381">
        <f>IF(AND('MARZO 2026'!D33&lt;&gt;"",'MARZO 2026'!Z33="POR RECOGER"),'MARZO 2026'!I33,"")</f>
        <v/>
      </c>
      <c r="P239" s="194" t="n"/>
      <c r="Q239" s="194" t="n"/>
      <c r="R239" s="194" t="n"/>
      <c r="S239" s="194" t="n"/>
      <c r="T239" s="194" t="n"/>
      <c r="U239" s="194" t="n"/>
      <c r="V239" s="194" t="n"/>
      <c r="W239" s="194" t="n"/>
      <c r="X239" s="194" t="n"/>
      <c r="Y239" s="194" t="n"/>
      <c r="Z239" s="194" t="n"/>
    </row>
    <row r="240" ht="15" customHeight="1" s="195">
      <c r="A240" s="381">
        <f>IF(AND('MARZO 2026'!D34&lt;&gt;"",'MARZO 2026'!Z34="POR RECOGER"),"MAR","")</f>
        <v/>
      </c>
      <c r="B240" s="381">
        <f>IF(AND('MARZO 2026'!D34&lt;&gt;"",'MARZO 2026'!Z34="POR RECOGER"),IF('MARZO 2026'!Y34&lt;&gt;"",'MARZO 2026'!Y34,'MARZO 2026'!I34),"")</f>
        <v/>
      </c>
      <c r="C240" s="381">
        <f>IF(AND('MARZO 2026'!D34&lt;&gt;"",'MARZO 2026'!Z34="POR RECOGER"),'MARZO 2026'!D34,"")</f>
        <v/>
      </c>
      <c r="D240" s="381">
        <f>IF(AND('MARZO 2026'!D34&lt;&gt;"",'MARZO 2026'!Z34="POR RECOGER"),'MARZO 2026'!F34,"")</f>
        <v/>
      </c>
      <c r="E240" s="381">
        <f>IF(AND('MARZO 2026'!D34&lt;&gt;"",'MARZO 2026'!Z34="POR RECOGER"),TEXT('MARZO 2026'!G34,"DD/MM/YYYY"),"")</f>
        <v/>
      </c>
      <c r="F240" s="381">
        <f>IF(AND('MARZO 2026'!D34&lt;&gt;"",'MARZO 2026'!Z34="POR RECOGER"),'MARZO 2026'!K34,"")</f>
        <v/>
      </c>
      <c r="G240" s="382">
        <f>IF(AND('MARZO 2026'!D34&lt;&gt;"",'MARZO 2026'!Z34="POR RECOGER"),'MARZO 2026'!M34,"")</f>
        <v/>
      </c>
      <c r="H240" s="382">
        <f>IF(AND('MARZO 2026'!D34&lt;&gt;"",'MARZO 2026'!Z34="POR RECOGER"),'MARZO 2026'!N34,"")</f>
        <v/>
      </c>
      <c r="I240" s="381">
        <f>IF(AND('MARZO 2026'!D34&lt;&gt;"",'MARZO 2026'!Z34="POR RECOGER"),'MARZO 2026'!P34,"")</f>
        <v/>
      </c>
      <c r="J240" s="381">
        <f>IF(AND('MARZO 2026'!D34&lt;&gt;"",'MARZO 2026'!Z34="POR RECOGER"),'MARZO 2026'!Q34,"")</f>
        <v/>
      </c>
      <c r="K240" s="381">
        <f>IF(AND('MARZO 2026'!D34&lt;&gt;"",'MARZO 2026'!Z34="POR RECOGER"),'MARZO 2026'!Y34,"")</f>
        <v/>
      </c>
      <c r="L240" s="381">
        <f>IF(AND('MARZO 2026'!D34&lt;&gt;"",'MARZO 2026'!Z34="POR RECOGER"),'MARZO 2026'!I34,"")</f>
        <v/>
      </c>
      <c r="P240" s="194" t="n"/>
      <c r="Q240" s="194" t="n"/>
      <c r="R240" s="194" t="n"/>
      <c r="S240" s="194" t="n"/>
      <c r="T240" s="194" t="n"/>
      <c r="U240" s="194" t="n"/>
      <c r="V240" s="194" t="n"/>
      <c r="W240" s="194" t="n"/>
      <c r="X240" s="194" t="n"/>
      <c r="Y240" s="194" t="n"/>
      <c r="Z240" s="194" t="n"/>
    </row>
    <row r="241" ht="15" customHeight="1" s="195">
      <c r="A241" s="381">
        <f>IF(AND('MARZO 2026'!D35&lt;&gt;"",'MARZO 2026'!Z35="POR RECOGER"),"MAR","")</f>
        <v/>
      </c>
      <c r="B241" s="381">
        <f>IF(AND('MARZO 2026'!D35&lt;&gt;"",'MARZO 2026'!Z35="POR RECOGER"),IF('MARZO 2026'!Y35&lt;&gt;"",'MARZO 2026'!Y35,'MARZO 2026'!I35),"")</f>
        <v/>
      </c>
      <c r="C241" s="381">
        <f>IF(AND('MARZO 2026'!D35&lt;&gt;"",'MARZO 2026'!Z35="POR RECOGER"),'MARZO 2026'!D35,"")</f>
        <v/>
      </c>
      <c r="D241" s="381">
        <f>IF(AND('MARZO 2026'!D35&lt;&gt;"",'MARZO 2026'!Z35="POR RECOGER"),'MARZO 2026'!F35,"")</f>
        <v/>
      </c>
      <c r="E241" s="381">
        <f>IF(AND('MARZO 2026'!D35&lt;&gt;"",'MARZO 2026'!Z35="POR RECOGER"),TEXT('MARZO 2026'!G35,"DD/MM/YYYY"),"")</f>
        <v/>
      </c>
      <c r="F241" s="381">
        <f>IF(AND('MARZO 2026'!D35&lt;&gt;"",'MARZO 2026'!Z35="POR RECOGER"),'MARZO 2026'!K35,"")</f>
        <v/>
      </c>
      <c r="G241" s="382">
        <f>IF(AND('MARZO 2026'!D35&lt;&gt;"",'MARZO 2026'!Z35="POR RECOGER"),'MARZO 2026'!M35,"")</f>
        <v/>
      </c>
      <c r="H241" s="382">
        <f>IF(AND('MARZO 2026'!D35&lt;&gt;"",'MARZO 2026'!Z35="POR RECOGER"),'MARZO 2026'!N35,"")</f>
        <v/>
      </c>
      <c r="I241" s="381">
        <f>IF(AND('MARZO 2026'!D35&lt;&gt;"",'MARZO 2026'!Z35="POR RECOGER"),'MARZO 2026'!P35,"")</f>
        <v/>
      </c>
      <c r="J241" s="381">
        <f>IF(AND('MARZO 2026'!D35&lt;&gt;"",'MARZO 2026'!Z35="POR RECOGER"),'MARZO 2026'!Q35,"")</f>
        <v/>
      </c>
      <c r="K241" s="381">
        <f>IF(AND('MARZO 2026'!D35&lt;&gt;"",'MARZO 2026'!Z35="POR RECOGER"),'MARZO 2026'!Y35,"")</f>
        <v/>
      </c>
      <c r="L241" s="381">
        <f>IF(AND('MARZO 2026'!D35&lt;&gt;"",'MARZO 2026'!Z35="POR RECOGER"),'MARZO 2026'!I35,"")</f>
        <v/>
      </c>
      <c r="P241" s="194" t="n"/>
      <c r="Q241" s="194" t="n"/>
      <c r="R241" s="194" t="n"/>
      <c r="S241" s="194" t="n"/>
      <c r="T241" s="194" t="n"/>
      <c r="U241" s="194" t="n"/>
      <c r="V241" s="194" t="n"/>
      <c r="W241" s="194" t="n"/>
      <c r="X241" s="194" t="n"/>
      <c r="Y241" s="194" t="n"/>
      <c r="Z241" s="194" t="n"/>
    </row>
    <row r="242" ht="15" customHeight="1" s="195">
      <c r="A242" s="381">
        <f>IF(AND('MARZO 2026'!D36&lt;&gt;"",'MARZO 2026'!Z36="POR RECOGER"),"MAR","")</f>
        <v/>
      </c>
      <c r="B242" s="381">
        <f>IF(AND('MARZO 2026'!D36&lt;&gt;"",'MARZO 2026'!Z36="POR RECOGER"),IF('MARZO 2026'!Y36&lt;&gt;"",'MARZO 2026'!Y36,'MARZO 2026'!I36),"")</f>
        <v/>
      </c>
      <c r="C242" s="381">
        <f>IF(AND('MARZO 2026'!D36&lt;&gt;"",'MARZO 2026'!Z36="POR RECOGER"),'MARZO 2026'!D36,"")</f>
        <v/>
      </c>
      <c r="D242" s="381">
        <f>IF(AND('MARZO 2026'!D36&lt;&gt;"",'MARZO 2026'!Z36="POR RECOGER"),'MARZO 2026'!F36,"")</f>
        <v/>
      </c>
      <c r="E242" s="381">
        <f>IF(AND('MARZO 2026'!D36&lt;&gt;"",'MARZO 2026'!Z36="POR RECOGER"),TEXT('MARZO 2026'!G36,"DD/MM/YYYY"),"")</f>
        <v/>
      </c>
      <c r="F242" s="381">
        <f>IF(AND('MARZO 2026'!D36&lt;&gt;"",'MARZO 2026'!Z36="POR RECOGER"),'MARZO 2026'!K36,"")</f>
        <v/>
      </c>
      <c r="G242" s="382">
        <f>IF(AND('MARZO 2026'!D36&lt;&gt;"",'MARZO 2026'!Z36="POR RECOGER"),'MARZO 2026'!M36,"")</f>
        <v/>
      </c>
      <c r="H242" s="382">
        <f>IF(AND('MARZO 2026'!D36&lt;&gt;"",'MARZO 2026'!Z36="POR RECOGER"),'MARZO 2026'!N36,"")</f>
        <v/>
      </c>
      <c r="I242" s="381">
        <f>IF(AND('MARZO 2026'!D36&lt;&gt;"",'MARZO 2026'!Z36="POR RECOGER"),'MARZO 2026'!P36,"")</f>
        <v/>
      </c>
      <c r="J242" s="381">
        <f>IF(AND('MARZO 2026'!D36&lt;&gt;"",'MARZO 2026'!Z36="POR RECOGER"),'MARZO 2026'!Q36,"")</f>
        <v/>
      </c>
      <c r="K242" s="381">
        <f>IF(AND('MARZO 2026'!D36&lt;&gt;"",'MARZO 2026'!Z36="POR RECOGER"),'MARZO 2026'!Y36,"")</f>
        <v/>
      </c>
      <c r="L242" s="381">
        <f>IF(AND('MARZO 2026'!D36&lt;&gt;"",'MARZO 2026'!Z36="POR RECOGER"),'MARZO 2026'!I36,"")</f>
        <v/>
      </c>
      <c r="P242" s="194" t="n"/>
      <c r="Q242" s="194" t="n"/>
      <c r="R242" s="194" t="n"/>
      <c r="S242" s="194" t="n"/>
      <c r="T242" s="194" t="n"/>
      <c r="U242" s="194" t="n"/>
      <c r="V242" s="194" t="n"/>
      <c r="W242" s="194" t="n"/>
      <c r="X242" s="194" t="n"/>
      <c r="Y242" s="194" t="n"/>
      <c r="Z242" s="194" t="n"/>
    </row>
    <row r="243" ht="15" customHeight="1" s="195">
      <c r="A243" s="381">
        <f>IF(AND('MARZO 2026'!D37&lt;&gt;"",'MARZO 2026'!Z37="POR RECOGER"),"MAR","")</f>
        <v/>
      </c>
      <c r="B243" s="381">
        <f>IF(AND('MARZO 2026'!D37&lt;&gt;"",'MARZO 2026'!Z37="POR RECOGER"),IF('MARZO 2026'!Y37&lt;&gt;"",'MARZO 2026'!Y37,'MARZO 2026'!I37),"")</f>
        <v/>
      </c>
      <c r="C243" s="381">
        <f>IF(AND('MARZO 2026'!D37&lt;&gt;"",'MARZO 2026'!Z37="POR RECOGER"),'MARZO 2026'!D37,"")</f>
        <v/>
      </c>
      <c r="D243" s="381">
        <f>IF(AND('MARZO 2026'!D37&lt;&gt;"",'MARZO 2026'!Z37="POR RECOGER"),'MARZO 2026'!F37,"")</f>
        <v/>
      </c>
      <c r="E243" s="381">
        <f>IF(AND('MARZO 2026'!D37&lt;&gt;"",'MARZO 2026'!Z37="POR RECOGER"),TEXT('MARZO 2026'!G37,"DD/MM/YYYY"),"")</f>
        <v/>
      </c>
      <c r="F243" s="381">
        <f>IF(AND('MARZO 2026'!D37&lt;&gt;"",'MARZO 2026'!Z37="POR RECOGER"),'MARZO 2026'!K37,"")</f>
        <v/>
      </c>
      <c r="G243" s="382">
        <f>IF(AND('MARZO 2026'!D37&lt;&gt;"",'MARZO 2026'!Z37="POR RECOGER"),'MARZO 2026'!M37,"")</f>
        <v/>
      </c>
      <c r="H243" s="382">
        <f>IF(AND('MARZO 2026'!D37&lt;&gt;"",'MARZO 2026'!Z37="POR RECOGER"),'MARZO 2026'!N37,"")</f>
        <v/>
      </c>
      <c r="I243" s="381">
        <f>IF(AND('MARZO 2026'!D37&lt;&gt;"",'MARZO 2026'!Z37="POR RECOGER"),'MARZO 2026'!P37,"")</f>
        <v/>
      </c>
      <c r="J243" s="381">
        <f>IF(AND('MARZO 2026'!D37&lt;&gt;"",'MARZO 2026'!Z37="POR RECOGER"),'MARZO 2026'!Q37,"")</f>
        <v/>
      </c>
      <c r="K243" s="381">
        <f>IF(AND('MARZO 2026'!D37&lt;&gt;"",'MARZO 2026'!Z37="POR RECOGER"),'MARZO 2026'!Y37,"")</f>
        <v/>
      </c>
      <c r="L243" s="381">
        <f>IF(AND('MARZO 2026'!D37&lt;&gt;"",'MARZO 2026'!Z37="POR RECOGER"),'MARZO 2026'!I37,"")</f>
        <v/>
      </c>
      <c r="P243" s="194" t="n"/>
      <c r="Q243" s="194" t="n"/>
      <c r="R243" s="194" t="n"/>
      <c r="S243" s="194" t="n"/>
      <c r="T243" s="194" t="n"/>
      <c r="U243" s="194" t="n"/>
      <c r="V243" s="194" t="n"/>
      <c r="W243" s="194" t="n"/>
      <c r="X243" s="194" t="n"/>
      <c r="Y243" s="194" t="n"/>
      <c r="Z243" s="194" t="n"/>
    </row>
    <row r="244" ht="15" customHeight="1" s="195">
      <c r="A244" s="381">
        <f>IF(AND('MARZO 2026'!D38&lt;&gt;"",'MARZO 2026'!Z38="POR RECOGER"),"MAR","")</f>
        <v/>
      </c>
      <c r="B244" s="381">
        <f>IF(AND('MARZO 2026'!D38&lt;&gt;"",'MARZO 2026'!Z38="POR RECOGER"),IF('MARZO 2026'!Y38&lt;&gt;"",'MARZO 2026'!Y38,'MARZO 2026'!I38),"")</f>
        <v/>
      </c>
      <c r="C244" s="381">
        <f>IF(AND('MARZO 2026'!D38&lt;&gt;"",'MARZO 2026'!Z38="POR RECOGER"),'MARZO 2026'!D38,"")</f>
        <v/>
      </c>
      <c r="D244" s="381">
        <f>IF(AND('MARZO 2026'!D38&lt;&gt;"",'MARZO 2026'!Z38="POR RECOGER"),'MARZO 2026'!F38,"")</f>
        <v/>
      </c>
      <c r="E244" s="381">
        <f>IF(AND('MARZO 2026'!D38&lt;&gt;"",'MARZO 2026'!Z38="POR RECOGER"),TEXT('MARZO 2026'!G38,"DD/MM/YYYY"),"")</f>
        <v/>
      </c>
      <c r="F244" s="381">
        <f>IF(AND('MARZO 2026'!D38&lt;&gt;"",'MARZO 2026'!Z38="POR RECOGER"),'MARZO 2026'!K38,"")</f>
        <v/>
      </c>
      <c r="G244" s="382">
        <f>IF(AND('MARZO 2026'!D38&lt;&gt;"",'MARZO 2026'!Z38="POR RECOGER"),'MARZO 2026'!M38,"")</f>
        <v/>
      </c>
      <c r="H244" s="382">
        <f>IF(AND('MARZO 2026'!D38&lt;&gt;"",'MARZO 2026'!Z38="POR RECOGER"),'MARZO 2026'!N38,"")</f>
        <v/>
      </c>
      <c r="I244" s="381">
        <f>IF(AND('MARZO 2026'!D38&lt;&gt;"",'MARZO 2026'!Z38="POR RECOGER"),'MARZO 2026'!P38,"")</f>
        <v/>
      </c>
      <c r="J244" s="381">
        <f>IF(AND('MARZO 2026'!D38&lt;&gt;"",'MARZO 2026'!Z38="POR RECOGER"),'MARZO 2026'!Q38,"")</f>
        <v/>
      </c>
      <c r="K244" s="381">
        <f>IF(AND('MARZO 2026'!D38&lt;&gt;"",'MARZO 2026'!Z38="POR RECOGER"),'MARZO 2026'!Y38,"")</f>
        <v/>
      </c>
      <c r="L244" s="381">
        <f>IF(AND('MARZO 2026'!D38&lt;&gt;"",'MARZO 2026'!Z38="POR RECOGER"),'MARZO 2026'!I38,"")</f>
        <v/>
      </c>
      <c r="P244" s="194" t="n"/>
      <c r="Q244" s="194" t="n"/>
      <c r="R244" s="194" t="n"/>
      <c r="S244" s="194" t="n"/>
      <c r="T244" s="194" t="n"/>
      <c r="U244" s="194" t="n"/>
      <c r="V244" s="194" t="n"/>
      <c r="W244" s="194" t="n"/>
      <c r="X244" s="194" t="n"/>
      <c r="Y244" s="194" t="n"/>
      <c r="Z244" s="194" t="n"/>
    </row>
    <row r="245" ht="15" customHeight="1" s="195">
      <c r="A245" s="381">
        <f>IF(AND('MARZO 2026'!D39&lt;&gt;"",'MARZO 2026'!Z39="POR RECOGER"),"MAR","")</f>
        <v/>
      </c>
      <c r="B245" s="381">
        <f>IF(AND('MARZO 2026'!D39&lt;&gt;"",'MARZO 2026'!Z39="POR RECOGER"),IF('MARZO 2026'!Y39&lt;&gt;"",'MARZO 2026'!Y39,'MARZO 2026'!I39),"")</f>
        <v/>
      </c>
      <c r="C245" s="381">
        <f>IF(AND('MARZO 2026'!D39&lt;&gt;"",'MARZO 2026'!Z39="POR RECOGER"),'MARZO 2026'!D39,"")</f>
        <v/>
      </c>
      <c r="D245" s="381">
        <f>IF(AND('MARZO 2026'!D39&lt;&gt;"",'MARZO 2026'!Z39="POR RECOGER"),'MARZO 2026'!F39,"")</f>
        <v/>
      </c>
      <c r="E245" s="381">
        <f>IF(AND('MARZO 2026'!D39&lt;&gt;"",'MARZO 2026'!Z39="POR RECOGER"),TEXT('MARZO 2026'!G39,"DD/MM/YYYY"),"")</f>
        <v/>
      </c>
      <c r="F245" s="381">
        <f>IF(AND('MARZO 2026'!D39&lt;&gt;"",'MARZO 2026'!Z39="POR RECOGER"),'MARZO 2026'!K39,"")</f>
        <v/>
      </c>
      <c r="G245" s="382">
        <f>IF(AND('MARZO 2026'!D39&lt;&gt;"",'MARZO 2026'!Z39="POR RECOGER"),'MARZO 2026'!M39,"")</f>
        <v/>
      </c>
      <c r="H245" s="382">
        <f>IF(AND('MARZO 2026'!D39&lt;&gt;"",'MARZO 2026'!Z39="POR RECOGER"),'MARZO 2026'!N39,"")</f>
        <v/>
      </c>
      <c r="I245" s="381">
        <f>IF(AND('MARZO 2026'!D39&lt;&gt;"",'MARZO 2026'!Z39="POR RECOGER"),'MARZO 2026'!P39,"")</f>
        <v/>
      </c>
      <c r="J245" s="381">
        <f>IF(AND('MARZO 2026'!D39&lt;&gt;"",'MARZO 2026'!Z39="POR RECOGER"),'MARZO 2026'!Q39,"")</f>
        <v/>
      </c>
      <c r="K245" s="381">
        <f>IF(AND('MARZO 2026'!D39&lt;&gt;"",'MARZO 2026'!Z39="POR RECOGER"),'MARZO 2026'!Y39,"")</f>
        <v/>
      </c>
      <c r="L245" s="381">
        <f>IF(AND('MARZO 2026'!D39&lt;&gt;"",'MARZO 2026'!Z39="POR RECOGER"),'MARZO 2026'!I39,"")</f>
        <v/>
      </c>
      <c r="P245" s="194" t="n"/>
      <c r="Q245" s="194" t="n"/>
      <c r="R245" s="194" t="n"/>
      <c r="S245" s="194" t="n"/>
      <c r="T245" s="194" t="n"/>
      <c r="U245" s="194" t="n"/>
      <c r="V245" s="194" t="n"/>
      <c r="W245" s="194" t="n"/>
      <c r="X245" s="194" t="n"/>
      <c r="Y245" s="194" t="n"/>
      <c r="Z245" s="194" t="n"/>
    </row>
    <row r="246" ht="15" customHeight="1" s="195">
      <c r="A246" s="381">
        <f>IF(AND('MARZO 2026'!D40&lt;&gt;"",'MARZO 2026'!Z40="POR RECOGER"),"MAR","")</f>
        <v/>
      </c>
      <c r="B246" s="381">
        <f>IF(AND('MARZO 2026'!D40&lt;&gt;"",'MARZO 2026'!Z40="POR RECOGER"),IF('MARZO 2026'!Y40&lt;&gt;"",'MARZO 2026'!Y40,'MARZO 2026'!I40),"")</f>
        <v/>
      </c>
      <c r="C246" s="381">
        <f>IF(AND('MARZO 2026'!D40&lt;&gt;"",'MARZO 2026'!Z40="POR RECOGER"),'MARZO 2026'!D40,"")</f>
        <v/>
      </c>
      <c r="D246" s="381">
        <f>IF(AND('MARZO 2026'!D40&lt;&gt;"",'MARZO 2026'!Z40="POR RECOGER"),'MARZO 2026'!F40,"")</f>
        <v/>
      </c>
      <c r="E246" s="381">
        <f>IF(AND('MARZO 2026'!D40&lt;&gt;"",'MARZO 2026'!Z40="POR RECOGER"),TEXT('MARZO 2026'!G40,"DD/MM/YYYY"),"")</f>
        <v/>
      </c>
      <c r="F246" s="381">
        <f>IF(AND('MARZO 2026'!D40&lt;&gt;"",'MARZO 2026'!Z40="POR RECOGER"),'MARZO 2026'!K40,"")</f>
        <v/>
      </c>
      <c r="G246" s="382">
        <f>IF(AND('MARZO 2026'!D40&lt;&gt;"",'MARZO 2026'!Z40="POR RECOGER"),'MARZO 2026'!M40,"")</f>
        <v/>
      </c>
      <c r="H246" s="382">
        <f>IF(AND('MARZO 2026'!D40&lt;&gt;"",'MARZO 2026'!Z40="POR RECOGER"),'MARZO 2026'!N40,"")</f>
        <v/>
      </c>
      <c r="I246" s="381">
        <f>IF(AND('MARZO 2026'!D40&lt;&gt;"",'MARZO 2026'!Z40="POR RECOGER"),'MARZO 2026'!P40,"")</f>
        <v/>
      </c>
      <c r="J246" s="381">
        <f>IF(AND('MARZO 2026'!D40&lt;&gt;"",'MARZO 2026'!Z40="POR RECOGER"),'MARZO 2026'!Q40,"")</f>
        <v/>
      </c>
      <c r="K246" s="381">
        <f>IF(AND('MARZO 2026'!D40&lt;&gt;"",'MARZO 2026'!Z40="POR RECOGER"),'MARZO 2026'!Y40,"")</f>
        <v/>
      </c>
      <c r="L246" s="381">
        <f>IF(AND('MARZO 2026'!D40&lt;&gt;"",'MARZO 2026'!Z40="POR RECOGER"),'MARZO 2026'!I40,"")</f>
        <v/>
      </c>
      <c r="P246" s="194" t="n"/>
      <c r="Q246" s="194" t="n"/>
      <c r="R246" s="194" t="n"/>
      <c r="S246" s="194" t="n"/>
      <c r="T246" s="194" t="n"/>
      <c r="U246" s="194" t="n"/>
      <c r="V246" s="194" t="n"/>
      <c r="W246" s="194" t="n"/>
      <c r="X246" s="194" t="n"/>
      <c r="Y246" s="194" t="n"/>
      <c r="Z246" s="194" t="n"/>
    </row>
    <row r="247" ht="15" customHeight="1" s="195">
      <c r="A247" s="381">
        <f>IF(AND('MARZO 2026'!D41&lt;&gt;"",'MARZO 2026'!Z41="POR RECOGER"),"MAR","")</f>
        <v/>
      </c>
      <c r="B247" s="381">
        <f>IF(AND('MARZO 2026'!D41&lt;&gt;"",'MARZO 2026'!Z41="POR RECOGER"),IF('MARZO 2026'!Y41&lt;&gt;"",'MARZO 2026'!Y41,'MARZO 2026'!I41),"")</f>
        <v/>
      </c>
      <c r="C247" s="381">
        <f>IF(AND('MARZO 2026'!D41&lt;&gt;"",'MARZO 2026'!Z41="POR RECOGER"),'MARZO 2026'!D41,"")</f>
        <v/>
      </c>
      <c r="D247" s="381">
        <f>IF(AND('MARZO 2026'!D41&lt;&gt;"",'MARZO 2026'!Z41="POR RECOGER"),'MARZO 2026'!F41,"")</f>
        <v/>
      </c>
      <c r="E247" s="381">
        <f>IF(AND('MARZO 2026'!D41&lt;&gt;"",'MARZO 2026'!Z41="POR RECOGER"),TEXT('MARZO 2026'!G41,"DD/MM/YYYY"),"")</f>
        <v/>
      </c>
      <c r="F247" s="381">
        <f>IF(AND('MARZO 2026'!D41&lt;&gt;"",'MARZO 2026'!Z41="POR RECOGER"),'MARZO 2026'!K41,"")</f>
        <v/>
      </c>
      <c r="G247" s="382">
        <f>IF(AND('MARZO 2026'!D41&lt;&gt;"",'MARZO 2026'!Z41="POR RECOGER"),'MARZO 2026'!M41,"")</f>
        <v/>
      </c>
      <c r="H247" s="382">
        <f>IF(AND('MARZO 2026'!D41&lt;&gt;"",'MARZO 2026'!Z41="POR RECOGER"),'MARZO 2026'!N41,"")</f>
        <v/>
      </c>
      <c r="I247" s="381">
        <f>IF(AND('MARZO 2026'!D41&lt;&gt;"",'MARZO 2026'!Z41="POR RECOGER"),'MARZO 2026'!P41,"")</f>
        <v/>
      </c>
      <c r="J247" s="381">
        <f>IF(AND('MARZO 2026'!D41&lt;&gt;"",'MARZO 2026'!Z41="POR RECOGER"),'MARZO 2026'!Q41,"")</f>
        <v/>
      </c>
      <c r="K247" s="381">
        <f>IF(AND('MARZO 2026'!D41&lt;&gt;"",'MARZO 2026'!Z41="POR RECOGER"),'MARZO 2026'!Y41,"")</f>
        <v/>
      </c>
      <c r="L247" s="381">
        <f>IF(AND('MARZO 2026'!D41&lt;&gt;"",'MARZO 2026'!Z41="POR RECOGER"),'MARZO 2026'!I41,"")</f>
        <v/>
      </c>
      <c r="P247" s="194" t="n"/>
      <c r="Q247" s="194" t="n"/>
      <c r="R247" s="194" t="n"/>
      <c r="S247" s="194" t="n"/>
      <c r="T247" s="194" t="n"/>
      <c r="U247" s="194" t="n"/>
      <c r="V247" s="194" t="n"/>
      <c r="W247" s="194" t="n"/>
      <c r="X247" s="194" t="n"/>
      <c r="Y247" s="194" t="n"/>
      <c r="Z247" s="194" t="n"/>
    </row>
    <row r="248" ht="15" customHeight="1" s="195">
      <c r="A248" s="381">
        <f>IF(AND('MARZO 2026'!D42&lt;&gt;"",'MARZO 2026'!Z42="POR RECOGER"),"MAR","")</f>
        <v/>
      </c>
      <c r="B248" s="381">
        <f>IF(AND('MARZO 2026'!D42&lt;&gt;"",'MARZO 2026'!Z42="POR RECOGER"),IF('MARZO 2026'!Y42&lt;&gt;"",'MARZO 2026'!Y42,'MARZO 2026'!I42),"")</f>
        <v/>
      </c>
      <c r="C248" s="381">
        <f>IF(AND('MARZO 2026'!D42&lt;&gt;"",'MARZO 2026'!Z42="POR RECOGER"),'MARZO 2026'!D42,"")</f>
        <v/>
      </c>
      <c r="D248" s="381">
        <f>IF(AND('MARZO 2026'!D42&lt;&gt;"",'MARZO 2026'!Z42="POR RECOGER"),'MARZO 2026'!F42,"")</f>
        <v/>
      </c>
      <c r="E248" s="381">
        <f>IF(AND('MARZO 2026'!D42&lt;&gt;"",'MARZO 2026'!Z42="POR RECOGER"),TEXT('MARZO 2026'!G42,"DD/MM/YYYY"),"")</f>
        <v/>
      </c>
      <c r="F248" s="381">
        <f>IF(AND('MARZO 2026'!D42&lt;&gt;"",'MARZO 2026'!Z42="POR RECOGER"),'MARZO 2026'!K42,"")</f>
        <v/>
      </c>
      <c r="G248" s="382">
        <f>IF(AND('MARZO 2026'!D42&lt;&gt;"",'MARZO 2026'!Z42="POR RECOGER"),'MARZO 2026'!M42,"")</f>
        <v/>
      </c>
      <c r="H248" s="382">
        <f>IF(AND('MARZO 2026'!D42&lt;&gt;"",'MARZO 2026'!Z42="POR RECOGER"),'MARZO 2026'!N42,"")</f>
        <v/>
      </c>
      <c r="I248" s="381">
        <f>IF(AND('MARZO 2026'!D42&lt;&gt;"",'MARZO 2026'!Z42="POR RECOGER"),'MARZO 2026'!P42,"")</f>
        <v/>
      </c>
      <c r="J248" s="381">
        <f>IF(AND('MARZO 2026'!D42&lt;&gt;"",'MARZO 2026'!Z42="POR RECOGER"),'MARZO 2026'!Q42,"")</f>
        <v/>
      </c>
      <c r="K248" s="381">
        <f>IF(AND('MARZO 2026'!D42&lt;&gt;"",'MARZO 2026'!Z42="POR RECOGER"),'MARZO 2026'!Y42,"")</f>
        <v/>
      </c>
      <c r="L248" s="381">
        <f>IF(AND('MARZO 2026'!D42&lt;&gt;"",'MARZO 2026'!Z42="POR RECOGER"),'MARZO 2026'!I42,"")</f>
        <v/>
      </c>
      <c r="P248" s="194" t="n"/>
      <c r="Q248" s="194" t="n"/>
      <c r="R248" s="194" t="n"/>
      <c r="S248" s="194" t="n"/>
      <c r="T248" s="194" t="n"/>
      <c r="U248" s="194" t="n"/>
      <c r="V248" s="194" t="n"/>
      <c r="W248" s="194" t="n"/>
      <c r="X248" s="194" t="n"/>
      <c r="Y248" s="194" t="n"/>
      <c r="Z248" s="194" t="n"/>
    </row>
    <row r="249" ht="15" customHeight="1" s="195">
      <c r="A249" s="381">
        <f>IF(AND('MARZO 2026'!D43&lt;&gt;"",'MARZO 2026'!Z43="POR RECOGER"),"MAR","")</f>
        <v/>
      </c>
      <c r="B249" s="381">
        <f>IF(AND('MARZO 2026'!D43&lt;&gt;"",'MARZO 2026'!Z43="POR RECOGER"),IF('MARZO 2026'!Y43&lt;&gt;"",'MARZO 2026'!Y43,'MARZO 2026'!I43),"")</f>
        <v/>
      </c>
      <c r="C249" s="381">
        <f>IF(AND('MARZO 2026'!D43&lt;&gt;"",'MARZO 2026'!Z43="POR RECOGER"),'MARZO 2026'!D43,"")</f>
        <v/>
      </c>
      <c r="D249" s="381">
        <f>IF(AND('MARZO 2026'!D43&lt;&gt;"",'MARZO 2026'!Z43="POR RECOGER"),'MARZO 2026'!F43,"")</f>
        <v/>
      </c>
      <c r="E249" s="381">
        <f>IF(AND('MARZO 2026'!D43&lt;&gt;"",'MARZO 2026'!Z43="POR RECOGER"),TEXT('MARZO 2026'!G43,"DD/MM/YYYY"),"")</f>
        <v/>
      </c>
      <c r="F249" s="381">
        <f>IF(AND('MARZO 2026'!D43&lt;&gt;"",'MARZO 2026'!Z43="POR RECOGER"),'MARZO 2026'!K43,"")</f>
        <v/>
      </c>
      <c r="G249" s="382">
        <f>IF(AND('MARZO 2026'!D43&lt;&gt;"",'MARZO 2026'!Z43="POR RECOGER"),'MARZO 2026'!M43,"")</f>
        <v/>
      </c>
      <c r="H249" s="382">
        <f>IF(AND('MARZO 2026'!D43&lt;&gt;"",'MARZO 2026'!Z43="POR RECOGER"),'MARZO 2026'!N43,"")</f>
        <v/>
      </c>
      <c r="I249" s="381">
        <f>IF(AND('MARZO 2026'!D43&lt;&gt;"",'MARZO 2026'!Z43="POR RECOGER"),'MARZO 2026'!P43,"")</f>
        <v/>
      </c>
      <c r="J249" s="381">
        <f>IF(AND('MARZO 2026'!D43&lt;&gt;"",'MARZO 2026'!Z43="POR RECOGER"),'MARZO 2026'!Q43,"")</f>
        <v/>
      </c>
      <c r="K249" s="381">
        <f>IF(AND('MARZO 2026'!D43&lt;&gt;"",'MARZO 2026'!Z43="POR RECOGER"),'MARZO 2026'!Y43,"")</f>
        <v/>
      </c>
      <c r="L249" s="381">
        <f>IF(AND('MARZO 2026'!D43&lt;&gt;"",'MARZO 2026'!Z43="POR RECOGER"),'MARZO 2026'!I43,"")</f>
        <v/>
      </c>
      <c r="P249" s="194" t="n"/>
      <c r="Q249" s="194" t="n"/>
      <c r="R249" s="194" t="n"/>
      <c r="S249" s="194" t="n"/>
      <c r="T249" s="194" t="n"/>
      <c r="U249" s="194" t="n"/>
      <c r="V249" s="194" t="n"/>
      <c r="W249" s="194" t="n"/>
      <c r="X249" s="194" t="n"/>
      <c r="Y249" s="194" t="n"/>
      <c r="Z249" s="194" t="n"/>
    </row>
    <row r="250" ht="15" customHeight="1" s="195">
      <c r="A250" s="381">
        <f>IF(AND('MARZO 2026'!D44&lt;&gt;"",'MARZO 2026'!Z44="POR RECOGER"),"MAR","")</f>
        <v/>
      </c>
      <c r="B250" s="381">
        <f>IF(AND('MARZO 2026'!D44&lt;&gt;"",'MARZO 2026'!Z44="POR RECOGER"),IF('MARZO 2026'!Y44&lt;&gt;"",'MARZO 2026'!Y44,'MARZO 2026'!I44),"")</f>
        <v/>
      </c>
      <c r="C250" s="381">
        <f>IF(AND('MARZO 2026'!D44&lt;&gt;"",'MARZO 2026'!Z44="POR RECOGER"),'MARZO 2026'!D44,"")</f>
        <v/>
      </c>
      <c r="D250" s="381">
        <f>IF(AND('MARZO 2026'!D44&lt;&gt;"",'MARZO 2026'!Z44="POR RECOGER"),'MARZO 2026'!F44,"")</f>
        <v/>
      </c>
      <c r="E250" s="381">
        <f>IF(AND('MARZO 2026'!D44&lt;&gt;"",'MARZO 2026'!Z44="POR RECOGER"),TEXT('MARZO 2026'!G44,"DD/MM/YYYY"),"")</f>
        <v/>
      </c>
      <c r="F250" s="381">
        <f>IF(AND('MARZO 2026'!D44&lt;&gt;"",'MARZO 2026'!Z44="POR RECOGER"),'MARZO 2026'!K44,"")</f>
        <v/>
      </c>
      <c r="G250" s="382">
        <f>IF(AND('MARZO 2026'!D44&lt;&gt;"",'MARZO 2026'!Z44="POR RECOGER"),'MARZO 2026'!M44,"")</f>
        <v/>
      </c>
      <c r="H250" s="382">
        <f>IF(AND('MARZO 2026'!D44&lt;&gt;"",'MARZO 2026'!Z44="POR RECOGER"),'MARZO 2026'!N44,"")</f>
        <v/>
      </c>
      <c r="I250" s="381">
        <f>IF(AND('MARZO 2026'!D44&lt;&gt;"",'MARZO 2026'!Z44="POR RECOGER"),'MARZO 2026'!P44,"")</f>
        <v/>
      </c>
      <c r="J250" s="381">
        <f>IF(AND('MARZO 2026'!D44&lt;&gt;"",'MARZO 2026'!Z44="POR RECOGER"),'MARZO 2026'!Q44,"")</f>
        <v/>
      </c>
      <c r="K250" s="381">
        <f>IF(AND('MARZO 2026'!D44&lt;&gt;"",'MARZO 2026'!Z44="POR RECOGER"),'MARZO 2026'!Y44,"")</f>
        <v/>
      </c>
      <c r="L250" s="381">
        <f>IF(AND('MARZO 2026'!D44&lt;&gt;"",'MARZO 2026'!Z44="POR RECOGER"),'MARZO 2026'!I44,"")</f>
        <v/>
      </c>
      <c r="P250" s="194" t="n"/>
      <c r="Q250" s="194" t="n"/>
      <c r="R250" s="194" t="n"/>
      <c r="S250" s="194" t="n"/>
      <c r="T250" s="194" t="n"/>
      <c r="U250" s="194" t="n"/>
      <c r="V250" s="194" t="n"/>
      <c r="W250" s="194" t="n"/>
      <c r="X250" s="194" t="n"/>
      <c r="Y250" s="194" t="n"/>
      <c r="Z250" s="194" t="n"/>
    </row>
    <row r="251" ht="15" customHeight="1" s="195">
      <c r="A251" s="381">
        <f>IF(AND('MARZO 2026'!D45&lt;&gt;"",'MARZO 2026'!Z45="POR RECOGER"),"MAR","")</f>
        <v/>
      </c>
      <c r="B251" s="381">
        <f>IF(AND('MARZO 2026'!D45&lt;&gt;"",'MARZO 2026'!Z45="POR RECOGER"),IF('MARZO 2026'!Y45&lt;&gt;"",'MARZO 2026'!Y45,'MARZO 2026'!I45),"")</f>
        <v/>
      </c>
      <c r="C251" s="381">
        <f>IF(AND('MARZO 2026'!D45&lt;&gt;"",'MARZO 2026'!Z45="POR RECOGER"),'MARZO 2026'!D45,"")</f>
        <v/>
      </c>
      <c r="D251" s="381">
        <f>IF(AND('MARZO 2026'!D45&lt;&gt;"",'MARZO 2026'!Z45="POR RECOGER"),'MARZO 2026'!F45,"")</f>
        <v/>
      </c>
      <c r="E251" s="381">
        <f>IF(AND('MARZO 2026'!D45&lt;&gt;"",'MARZO 2026'!Z45="POR RECOGER"),TEXT('MARZO 2026'!G45,"DD/MM/YYYY"),"")</f>
        <v/>
      </c>
      <c r="F251" s="381">
        <f>IF(AND('MARZO 2026'!D45&lt;&gt;"",'MARZO 2026'!Z45="POR RECOGER"),'MARZO 2026'!K45,"")</f>
        <v/>
      </c>
      <c r="G251" s="382">
        <f>IF(AND('MARZO 2026'!D45&lt;&gt;"",'MARZO 2026'!Z45="POR RECOGER"),'MARZO 2026'!M45,"")</f>
        <v/>
      </c>
      <c r="H251" s="382">
        <f>IF(AND('MARZO 2026'!D45&lt;&gt;"",'MARZO 2026'!Z45="POR RECOGER"),'MARZO 2026'!N45,"")</f>
        <v/>
      </c>
      <c r="I251" s="381">
        <f>IF(AND('MARZO 2026'!D45&lt;&gt;"",'MARZO 2026'!Z45="POR RECOGER"),'MARZO 2026'!P45,"")</f>
        <v/>
      </c>
      <c r="J251" s="381">
        <f>IF(AND('MARZO 2026'!D45&lt;&gt;"",'MARZO 2026'!Z45="POR RECOGER"),'MARZO 2026'!Q45,"")</f>
        <v/>
      </c>
      <c r="K251" s="381">
        <f>IF(AND('MARZO 2026'!D45&lt;&gt;"",'MARZO 2026'!Z45="POR RECOGER"),'MARZO 2026'!Y45,"")</f>
        <v/>
      </c>
      <c r="L251" s="381">
        <f>IF(AND('MARZO 2026'!D45&lt;&gt;"",'MARZO 2026'!Z45="POR RECOGER"),'MARZO 2026'!I45,"")</f>
        <v/>
      </c>
      <c r="P251" s="194" t="n"/>
      <c r="Q251" s="194" t="n"/>
      <c r="R251" s="194" t="n"/>
      <c r="S251" s="194" t="n"/>
      <c r="T251" s="194" t="n"/>
      <c r="U251" s="194" t="n"/>
      <c r="V251" s="194" t="n"/>
      <c r="W251" s="194" t="n"/>
      <c r="X251" s="194" t="n"/>
      <c r="Y251" s="194" t="n"/>
      <c r="Z251" s="194" t="n"/>
    </row>
    <row r="252" ht="15" customHeight="1" s="195">
      <c r="A252" s="381">
        <f>IF(AND('MARZO 2026'!D46&lt;&gt;"",'MARZO 2026'!Z46="POR RECOGER"),"MAR","")</f>
        <v/>
      </c>
      <c r="B252" s="381">
        <f>IF(AND('MARZO 2026'!D46&lt;&gt;"",'MARZO 2026'!Z46="POR RECOGER"),IF('MARZO 2026'!Y46&lt;&gt;"",'MARZO 2026'!Y46,'MARZO 2026'!I46),"")</f>
        <v/>
      </c>
      <c r="C252" s="381">
        <f>IF(AND('MARZO 2026'!D46&lt;&gt;"",'MARZO 2026'!Z46="POR RECOGER"),'MARZO 2026'!D46,"")</f>
        <v/>
      </c>
      <c r="D252" s="381">
        <f>IF(AND('MARZO 2026'!D46&lt;&gt;"",'MARZO 2026'!Z46="POR RECOGER"),'MARZO 2026'!F46,"")</f>
        <v/>
      </c>
      <c r="E252" s="381">
        <f>IF(AND('MARZO 2026'!D46&lt;&gt;"",'MARZO 2026'!Z46="POR RECOGER"),TEXT('MARZO 2026'!G46,"DD/MM/YYYY"),"")</f>
        <v/>
      </c>
      <c r="F252" s="381">
        <f>IF(AND('MARZO 2026'!D46&lt;&gt;"",'MARZO 2026'!Z46="POR RECOGER"),'MARZO 2026'!K46,"")</f>
        <v/>
      </c>
      <c r="G252" s="382">
        <f>IF(AND('MARZO 2026'!D46&lt;&gt;"",'MARZO 2026'!Z46="POR RECOGER"),'MARZO 2026'!M46,"")</f>
        <v/>
      </c>
      <c r="H252" s="382">
        <f>IF(AND('MARZO 2026'!D46&lt;&gt;"",'MARZO 2026'!Z46="POR RECOGER"),'MARZO 2026'!N46,"")</f>
        <v/>
      </c>
      <c r="I252" s="381">
        <f>IF(AND('MARZO 2026'!D46&lt;&gt;"",'MARZO 2026'!Z46="POR RECOGER"),'MARZO 2026'!P46,"")</f>
        <v/>
      </c>
      <c r="J252" s="381">
        <f>IF(AND('MARZO 2026'!D46&lt;&gt;"",'MARZO 2026'!Z46="POR RECOGER"),'MARZO 2026'!Q46,"")</f>
        <v/>
      </c>
      <c r="K252" s="381">
        <f>IF(AND('MARZO 2026'!D46&lt;&gt;"",'MARZO 2026'!Z46="POR RECOGER"),'MARZO 2026'!Y46,"")</f>
        <v/>
      </c>
      <c r="L252" s="381">
        <f>IF(AND('MARZO 2026'!D46&lt;&gt;"",'MARZO 2026'!Z46="POR RECOGER"),'MARZO 2026'!I46,"")</f>
        <v/>
      </c>
      <c r="P252" s="194" t="n"/>
      <c r="Q252" s="194" t="n"/>
      <c r="R252" s="194" t="n"/>
      <c r="S252" s="194" t="n"/>
      <c r="T252" s="194" t="n"/>
      <c r="U252" s="194" t="n"/>
      <c r="V252" s="194" t="n"/>
      <c r="W252" s="194" t="n"/>
      <c r="X252" s="194" t="n"/>
      <c r="Y252" s="194" t="n"/>
      <c r="Z252" s="194" t="n"/>
    </row>
    <row r="253" ht="15" customHeight="1" s="195">
      <c r="A253" s="381">
        <f>IF(AND('MARZO 2026'!D47&lt;&gt;"",'MARZO 2026'!Z47="POR RECOGER"),"MAR","")</f>
        <v/>
      </c>
      <c r="B253" s="381">
        <f>IF(AND('MARZO 2026'!D47&lt;&gt;"",'MARZO 2026'!Z47="POR RECOGER"),IF('MARZO 2026'!Y47&lt;&gt;"",'MARZO 2026'!Y47,'MARZO 2026'!I47),"")</f>
        <v/>
      </c>
      <c r="C253" s="381">
        <f>IF(AND('MARZO 2026'!D47&lt;&gt;"",'MARZO 2026'!Z47="POR RECOGER"),'MARZO 2026'!D47,"")</f>
        <v/>
      </c>
      <c r="D253" s="381">
        <f>IF(AND('MARZO 2026'!D47&lt;&gt;"",'MARZO 2026'!Z47="POR RECOGER"),'MARZO 2026'!F47,"")</f>
        <v/>
      </c>
      <c r="E253" s="381">
        <f>IF(AND('MARZO 2026'!D47&lt;&gt;"",'MARZO 2026'!Z47="POR RECOGER"),TEXT('MARZO 2026'!G47,"DD/MM/YYYY"),"")</f>
        <v/>
      </c>
      <c r="F253" s="381">
        <f>IF(AND('MARZO 2026'!D47&lt;&gt;"",'MARZO 2026'!Z47="POR RECOGER"),'MARZO 2026'!K47,"")</f>
        <v/>
      </c>
      <c r="G253" s="382">
        <f>IF(AND('MARZO 2026'!D47&lt;&gt;"",'MARZO 2026'!Z47="POR RECOGER"),'MARZO 2026'!M47,"")</f>
        <v/>
      </c>
      <c r="H253" s="382">
        <f>IF(AND('MARZO 2026'!D47&lt;&gt;"",'MARZO 2026'!Z47="POR RECOGER"),'MARZO 2026'!N47,"")</f>
        <v/>
      </c>
      <c r="I253" s="381">
        <f>IF(AND('MARZO 2026'!D47&lt;&gt;"",'MARZO 2026'!Z47="POR RECOGER"),'MARZO 2026'!P47,"")</f>
        <v/>
      </c>
      <c r="J253" s="381">
        <f>IF(AND('MARZO 2026'!D47&lt;&gt;"",'MARZO 2026'!Z47="POR RECOGER"),'MARZO 2026'!Q47,"")</f>
        <v/>
      </c>
      <c r="K253" s="381">
        <f>IF(AND('MARZO 2026'!D47&lt;&gt;"",'MARZO 2026'!Z47="POR RECOGER"),'MARZO 2026'!Y47,"")</f>
        <v/>
      </c>
      <c r="L253" s="381">
        <f>IF(AND('MARZO 2026'!D47&lt;&gt;"",'MARZO 2026'!Z47="POR RECOGER"),'MARZO 2026'!I47,"")</f>
        <v/>
      </c>
      <c r="P253" s="194" t="n"/>
      <c r="Q253" s="194" t="n"/>
      <c r="R253" s="194" t="n"/>
      <c r="S253" s="194" t="n"/>
      <c r="T253" s="194" t="n"/>
      <c r="U253" s="194" t="n"/>
      <c r="V253" s="194" t="n"/>
      <c r="W253" s="194" t="n"/>
      <c r="X253" s="194" t="n"/>
      <c r="Y253" s="194" t="n"/>
      <c r="Z253" s="194" t="n"/>
    </row>
    <row r="254" ht="15" customHeight="1" s="195">
      <c r="A254" s="381">
        <f>IF(AND('MARZO 2026'!D48&lt;&gt;"",'MARZO 2026'!Z48="POR RECOGER"),"MAR","")</f>
        <v/>
      </c>
      <c r="B254" s="381">
        <f>IF(AND('MARZO 2026'!D48&lt;&gt;"",'MARZO 2026'!Z48="POR RECOGER"),IF('MARZO 2026'!Y48&lt;&gt;"",'MARZO 2026'!Y48,'MARZO 2026'!I48),"")</f>
        <v/>
      </c>
      <c r="C254" s="381">
        <f>IF(AND('MARZO 2026'!D48&lt;&gt;"",'MARZO 2026'!Z48="POR RECOGER"),'MARZO 2026'!D48,"")</f>
        <v/>
      </c>
      <c r="D254" s="381">
        <f>IF(AND('MARZO 2026'!D48&lt;&gt;"",'MARZO 2026'!Z48="POR RECOGER"),'MARZO 2026'!F48,"")</f>
        <v/>
      </c>
      <c r="E254" s="381">
        <f>IF(AND('MARZO 2026'!D48&lt;&gt;"",'MARZO 2026'!Z48="POR RECOGER"),TEXT('MARZO 2026'!G48,"DD/MM/YYYY"),"")</f>
        <v/>
      </c>
      <c r="F254" s="381">
        <f>IF(AND('MARZO 2026'!D48&lt;&gt;"",'MARZO 2026'!Z48="POR RECOGER"),'MARZO 2026'!K48,"")</f>
        <v/>
      </c>
      <c r="G254" s="382">
        <f>IF(AND('MARZO 2026'!D48&lt;&gt;"",'MARZO 2026'!Z48="POR RECOGER"),'MARZO 2026'!M48,"")</f>
        <v/>
      </c>
      <c r="H254" s="382">
        <f>IF(AND('MARZO 2026'!D48&lt;&gt;"",'MARZO 2026'!Z48="POR RECOGER"),'MARZO 2026'!N48,"")</f>
        <v/>
      </c>
      <c r="I254" s="381">
        <f>IF(AND('MARZO 2026'!D48&lt;&gt;"",'MARZO 2026'!Z48="POR RECOGER"),'MARZO 2026'!P48,"")</f>
        <v/>
      </c>
      <c r="J254" s="381">
        <f>IF(AND('MARZO 2026'!D48&lt;&gt;"",'MARZO 2026'!Z48="POR RECOGER"),'MARZO 2026'!Q48,"")</f>
        <v/>
      </c>
      <c r="K254" s="381">
        <f>IF(AND('MARZO 2026'!D48&lt;&gt;"",'MARZO 2026'!Z48="POR RECOGER"),'MARZO 2026'!Y48,"")</f>
        <v/>
      </c>
      <c r="L254" s="381">
        <f>IF(AND('MARZO 2026'!D48&lt;&gt;"",'MARZO 2026'!Z48="POR RECOGER"),'MARZO 2026'!I48,"")</f>
        <v/>
      </c>
      <c r="P254" s="194" t="n"/>
      <c r="Q254" s="194" t="n"/>
      <c r="R254" s="194" t="n"/>
      <c r="S254" s="194" t="n"/>
      <c r="T254" s="194" t="n"/>
      <c r="U254" s="194" t="n"/>
      <c r="V254" s="194" t="n"/>
      <c r="W254" s="194" t="n"/>
      <c r="X254" s="194" t="n"/>
      <c r="Y254" s="194" t="n"/>
      <c r="Z254" s="194" t="n"/>
    </row>
    <row r="255" ht="15" customHeight="1" s="195">
      <c r="A255" s="381">
        <f>IF(AND('MARZO 2026'!D49&lt;&gt;"",'MARZO 2026'!Z49="POR RECOGER"),"MAR","")</f>
        <v/>
      </c>
      <c r="B255" s="381">
        <f>IF(AND('MARZO 2026'!D49&lt;&gt;"",'MARZO 2026'!Z49="POR RECOGER"),IF('MARZO 2026'!Y49&lt;&gt;"",'MARZO 2026'!Y49,'MARZO 2026'!I49),"")</f>
        <v/>
      </c>
      <c r="C255" s="381">
        <f>IF(AND('MARZO 2026'!D49&lt;&gt;"",'MARZO 2026'!Z49="POR RECOGER"),'MARZO 2026'!D49,"")</f>
        <v/>
      </c>
      <c r="D255" s="381">
        <f>IF(AND('MARZO 2026'!D49&lt;&gt;"",'MARZO 2026'!Z49="POR RECOGER"),'MARZO 2026'!F49,"")</f>
        <v/>
      </c>
      <c r="E255" s="381">
        <f>IF(AND('MARZO 2026'!D49&lt;&gt;"",'MARZO 2026'!Z49="POR RECOGER"),TEXT('MARZO 2026'!G49,"DD/MM/YYYY"),"")</f>
        <v/>
      </c>
      <c r="F255" s="381">
        <f>IF(AND('MARZO 2026'!D49&lt;&gt;"",'MARZO 2026'!Z49="POR RECOGER"),'MARZO 2026'!K49,"")</f>
        <v/>
      </c>
      <c r="G255" s="382">
        <f>IF(AND('MARZO 2026'!D49&lt;&gt;"",'MARZO 2026'!Z49="POR RECOGER"),'MARZO 2026'!M49,"")</f>
        <v/>
      </c>
      <c r="H255" s="382">
        <f>IF(AND('MARZO 2026'!D49&lt;&gt;"",'MARZO 2026'!Z49="POR RECOGER"),'MARZO 2026'!N49,"")</f>
        <v/>
      </c>
      <c r="I255" s="381">
        <f>IF(AND('MARZO 2026'!D49&lt;&gt;"",'MARZO 2026'!Z49="POR RECOGER"),'MARZO 2026'!P49,"")</f>
        <v/>
      </c>
      <c r="J255" s="381">
        <f>IF(AND('MARZO 2026'!D49&lt;&gt;"",'MARZO 2026'!Z49="POR RECOGER"),'MARZO 2026'!Q49,"")</f>
        <v/>
      </c>
      <c r="K255" s="381">
        <f>IF(AND('MARZO 2026'!D49&lt;&gt;"",'MARZO 2026'!Z49="POR RECOGER"),'MARZO 2026'!Y49,"")</f>
        <v/>
      </c>
      <c r="L255" s="381">
        <f>IF(AND('MARZO 2026'!D49&lt;&gt;"",'MARZO 2026'!Z49="POR RECOGER"),'MARZO 2026'!I49,"")</f>
        <v/>
      </c>
      <c r="P255" s="194" t="n"/>
      <c r="Q255" s="194" t="n"/>
      <c r="R255" s="194" t="n"/>
      <c r="S255" s="194" t="n"/>
      <c r="T255" s="194" t="n"/>
      <c r="U255" s="194" t="n"/>
      <c r="V255" s="194" t="n"/>
      <c r="W255" s="194" t="n"/>
      <c r="X255" s="194" t="n"/>
      <c r="Y255" s="194" t="n"/>
      <c r="Z255" s="194" t="n"/>
    </row>
    <row r="256" ht="15" customHeight="1" s="195">
      <c r="A256" s="381">
        <f>IF(AND('MARZO 2026'!D50&lt;&gt;"",'MARZO 2026'!Z50="POR RECOGER"),"MAR","")</f>
        <v/>
      </c>
      <c r="B256" s="381">
        <f>IF(AND('MARZO 2026'!D50&lt;&gt;"",'MARZO 2026'!Z50="POR RECOGER"),IF('MARZO 2026'!Y50&lt;&gt;"",'MARZO 2026'!Y50,'MARZO 2026'!I50),"")</f>
        <v/>
      </c>
      <c r="C256" s="381">
        <f>IF(AND('MARZO 2026'!D50&lt;&gt;"",'MARZO 2026'!Z50="POR RECOGER"),'MARZO 2026'!D50,"")</f>
        <v/>
      </c>
      <c r="D256" s="381">
        <f>IF(AND('MARZO 2026'!D50&lt;&gt;"",'MARZO 2026'!Z50="POR RECOGER"),'MARZO 2026'!F50,"")</f>
        <v/>
      </c>
      <c r="E256" s="381">
        <f>IF(AND('MARZO 2026'!D50&lt;&gt;"",'MARZO 2026'!Z50="POR RECOGER"),TEXT('MARZO 2026'!G50,"DD/MM/YYYY"),"")</f>
        <v/>
      </c>
      <c r="F256" s="381">
        <f>IF(AND('MARZO 2026'!D50&lt;&gt;"",'MARZO 2026'!Z50="POR RECOGER"),'MARZO 2026'!K50,"")</f>
        <v/>
      </c>
      <c r="G256" s="382">
        <f>IF(AND('MARZO 2026'!D50&lt;&gt;"",'MARZO 2026'!Z50="POR RECOGER"),'MARZO 2026'!M50,"")</f>
        <v/>
      </c>
      <c r="H256" s="382">
        <f>IF(AND('MARZO 2026'!D50&lt;&gt;"",'MARZO 2026'!Z50="POR RECOGER"),'MARZO 2026'!N50,"")</f>
        <v/>
      </c>
      <c r="I256" s="381">
        <f>IF(AND('MARZO 2026'!D50&lt;&gt;"",'MARZO 2026'!Z50="POR RECOGER"),'MARZO 2026'!P50,"")</f>
        <v/>
      </c>
      <c r="J256" s="381">
        <f>IF(AND('MARZO 2026'!D50&lt;&gt;"",'MARZO 2026'!Z50="POR RECOGER"),'MARZO 2026'!Q50,"")</f>
        <v/>
      </c>
      <c r="K256" s="381">
        <f>IF(AND('MARZO 2026'!D50&lt;&gt;"",'MARZO 2026'!Z50="POR RECOGER"),'MARZO 2026'!Y50,"")</f>
        <v/>
      </c>
      <c r="L256" s="381">
        <f>IF(AND('MARZO 2026'!D50&lt;&gt;"",'MARZO 2026'!Z50="POR RECOGER"),'MARZO 2026'!I50,"")</f>
        <v/>
      </c>
      <c r="P256" s="194" t="n"/>
      <c r="Q256" s="194" t="n"/>
      <c r="R256" s="194" t="n"/>
      <c r="S256" s="194" t="n"/>
      <c r="T256" s="194" t="n"/>
      <c r="U256" s="194" t="n"/>
      <c r="V256" s="194" t="n"/>
      <c r="W256" s="194" t="n"/>
      <c r="X256" s="194" t="n"/>
      <c r="Y256" s="194" t="n"/>
      <c r="Z256" s="194" t="n"/>
    </row>
    <row r="257" ht="15" customHeight="1" s="195">
      <c r="A257" s="381">
        <f>IF(AND('MARZO 2026'!D51&lt;&gt;"",'MARZO 2026'!Z51="POR RECOGER"),"MAR","")</f>
        <v/>
      </c>
      <c r="B257" s="381">
        <f>IF(AND('MARZO 2026'!D51&lt;&gt;"",'MARZO 2026'!Z51="POR RECOGER"),IF('MARZO 2026'!Y51&lt;&gt;"",'MARZO 2026'!Y51,'MARZO 2026'!I51),"")</f>
        <v/>
      </c>
      <c r="C257" s="381">
        <f>IF(AND('MARZO 2026'!D51&lt;&gt;"",'MARZO 2026'!Z51="POR RECOGER"),'MARZO 2026'!D51,"")</f>
        <v/>
      </c>
      <c r="D257" s="381">
        <f>IF(AND('MARZO 2026'!D51&lt;&gt;"",'MARZO 2026'!Z51="POR RECOGER"),'MARZO 2026'!F51,"")</f>
        <v/>
      </c>
      <c r="E257" s="381">
        <f>IF(AND('MARZO 2026'!D51&lt;&gt;"",'MARZO 2026'!Z51="POR RECOGER"),TEXT('MARZO 2026'!G51,"DD/MM/YYYY"),"")</f>
        <v/>
      </c>
      <c r="F257" s="381">
        <f>IF(AND('MARZO 2026'!D51&lt;&gt;"",'MARZO 2026'!Z51="POR RECOGER"),'MARZO 2026'!K51,"")</f>
        <v/>
      </c>
      <c r="G257" s="382">
        <f>IF(AND('MARZO 2026'!D51&lt;&gt;"",'MARZO 2026'!Z51="POR RECOGER"),'MARZO 2026'!M51,"")</f>
        <v/>
      </c>
      <c r="H257" s="382">
        <f>IF(AND('MARZO 2026'!D51&lt;&gt;"",'MARZO 2026'!Z51="POR RECOGER"),'MARZO 2026'!N51,"")</f>
        <v/>
      </c>
      <c r="I257" s="381">
        <f>IF(AND('MARZO 2026'!D51&lt;&gt;"",'MARZO 2026'!Z51="POR RECOGER"),'MARZO 2026'!P51,"")</f>
        <v/>
      </c>
      <c r="J257" s="381">
        <f>IF(AND('MARZO 2026'!D51&lt;&gt;"",'MARZO 2026'!Z51="POR RECOGER"),'MARZO 2026'!Q51,"")</f>
        <v/>
      </c>
      <c r="K257" s="381">
        <f>IF(AND('MARZO 2026'!D51&lt;&gt;"",'MARZO 2026'!Z51="POR RECOGER"),'MARZO 2026'!Y51,"")</f>
        <v/>
      </c>
      <c r="L257" s="381">
        <f>IF(AND('MARZO 2026'!D51&lt;&gt;"",'MARZO 2026'!Z51="POR RECOGER"),'MARZO 2026'!I51,"")</f>
        <v/>
      </c>
      <c r="P257" s="194" t="n"/>
      <c r="Q257" s="194" t="n"/>
      <c r="R257" s="194" t="n"/>
      <c r="S257" s="194" t="n"/>
      <c r="T257" s="194" t="n"/>
      <c r="U257" s="194" t="n"/>
      <c r="V257" s="194" t="n"/>
      <c r="W257" s="194" t="n"/>
      <c r="X257" s="194" t="n"/>
      <c r="Y257" s="194" t="n"/>
      <c r="Z257" s="194" t="n"/>
    </row>
    <row r="258" ht="15" customHeight="1" s="195">
      <c r="A258" s="381">
        <f>IF(AND('MARZO 2026'!D52&lt;&gt;"",'MARZO 2026'!Z52="POR RECOGER"),"MAR","")</f>
        <v/>
      </c>
      <c r="B258" s="381">
        <f>IF(AND('MARZO 2026'!D52&lt;&gt;"",'MARZO 2026'!Z52="POR RECOGER"),IF('MARZO 2026'!Y52&lt;&gt;"",'MARZO 2026'!Y52,'MARZO 2026'!I52),"")</f>
        <v/>
      </c>
      <c r="C258" s="381">
        <f>IF(AND('MARZO 2026'!D52&lt;&gt;"",'MARZO 2026'!Z52="POR RECOGER"),'MARZO 2026'!D52,"")</f>
        <v/>
      </c>
      <c r="D258" s="381">
        <f>IF(AND('MARZO 2026'!D52&lt;&gt;"",'MARZO 2026'!Z52="POR RECOGER"),'MARZO 2026'!F52,"")</f>
        <v/>
      </c>
      <c r="E258" s="381">
        <f>IF(AND('MARZO 2026'!D52&lt;&gt;"",'MARZO 2026'!Z52="POR RECOGER"),TEXT('MARZO 2026'!G52,"DD/MM/YYYY"),"")</f>
        <v/>
      </c>
      <c r="F258" s="381">
        <f>IF(AND('MARZO 2026'!D52&lt;&gt;"",'MARZO 2026'!Z52="POR RECOGER"),'MARZO 2026'!K52,"")</f>
        <v/>
      </c>
      <c r="G258" s="382">
        <f>IF(AND('MARZO 2026'!D52&lt;&gt;"",'MARZO 2026'!Z52="POR RECOGER"),'MARZO 2026'!M52,"")</f>
        <v/>
      </c>
      <c r="H258" s="382">
        <f>IF(AND('MARZO 2026'!D52&lt;&gt;"",'MARZO 2026'!Z52="POR RECOGER"),'MARZO 2026'!N52,"")</f>
        <v/>
      </c>
      <c r="I258" s="381">
        <f>IF(AND('MARZO 2026'!D52&lt;&gt;"",'MARZO 2026'!Z52="POR RECOGER"),'MARZO 2026'!P52,"")</f>
        <v/>
      </c>
      <c r="J258" s="381">
        <f>IF(AND('MARZO 2026'!D52&lt;&gt;"",'MARZO 2026'!Z52="POR RECOGER"),'MARZO 2026'!Q52,"")</f>
        <v/>
      </c>
      <c r="K258" s="381">
        <f>IF(AND('MARZO 2026'!D52&lt;&gt;"",'MARZO 2026'!Z52="POR RECOGER"),'MARZO 2026'!Y52,"")</f>
        <v/>
      </c>
      <c r="L258" s="381">
        <f>IF(AND('MARZO 2026'!D52&lt;&gt;"",'MARZO 2026'!Z52="POR RECOGER"),'MARZO 2026'!I52,"")</f>
        <v/>
      </c>
      <c r="P258" s="194" t="n"/>
      <c r="Q258" s="194" t="n"/>
      <c r="R258" s="194" t="n"/>
      <c r="S258" s="194" t="n"/>
      <c r="T258" s="194" t="n"/>
      <c r="U258" s="194" t="n"/>
      <c r="V258" s="194" t="n"/>
      <c r="W258" s="194" t="n"/>
      <c r="X258" s="194" t="n"/>
      <c r="Y258" s="194" t="n"/>
      <c r="Z258" s="194" t="n"/>
    </row>
    <row r="259" ht="15" customHeight="1" s="195">
      <c r="A259" s="381">
        <f>IF(AND('MARZO 2026'!D53&lt;&gt;"",'MARZO 2026'!Z53="POR RECOGER"),"MAR","")</f>
        <v/>
      </c>
      <c r="B259" s="381">
        <f>IF(AND('MARZO 2026'!D53&lt;&gt;"",'MARZO 2026'!Z53="POR RECOGER"),IF('MARZO 2026'!Y53&lt;&gt;"",'MARZO 2026'!Y53,'MARZO 2026'!I53),"")</f>
        <v/>
      </c>
      <c r="C259" s="381">
        <f>IF(AND('MARZO 2026'!D53&lt;&gt;"",'MARZO 2026'!Z53="POR RECOGER"),'MARZO 2026'!D53,"")</f>
        <v/>
      </c>
      <c r="D259" s="381">
        <f>IF(AND('MARZO 2026'!D53&lt;&gt;"",'MARZO 2026'!Z53="POR RECOGER"),'MARZO 2026'!F53,"")</f>
        <v/>
      </c>
      <c r="E259" s="381">
        <f>IF(AND('MARZO 2026'!D53&lt;&gt;"",'MARZO 2026'!Z53="POR RECOGER"),TEXT('MARZO 2026'!G53,"DD/MM/YYYY"),"")</f>
        <v/>
      </c>
      <c r="F259" s="381">
        <f>IF(AND('MARZO 2026'!D53&lt;&gt;"",'MARZO 2026'!Z53="POR RECOGER"),'MARZO 2026'!K53,"")</f>
        <v/>
      </c>
      <c r="G259" s="382">
        <f>IF(AND('MARZO 2026'!D53&lt;&gt;"",'MARZO 2026'!Z53="POR RECOGER"),'MARZO 2026'!M53,"")</f>
        <v/>
      </c>
      <c r="H259" s="382">
        <f>IF(AND('MARZO 2026'!D53&lt;&gt;"",'MARZO 2026'!Z53="POR RECOGER"),'MARZO 2026'!N53,"")</f>
        <v/>
      </c>
      <c r="I259" s="381">
        <f>IF(AND('MARZO 2026'!D53&lt;&gt;"",'MARZO 2026'!Z53="POR RECOGER"),'MARZO 2026'!P53,"")</f>
        <v/>
      </c>
      <c r="J259" s="381">
        <f>IF(AND('MARZO 2026'!D53&lt;&gt;"",'MARZO 2026'!Z53="POR RECOGER"),'MARZO 2026'!Q53,"")</f>
        <v/>
      </c>
      <c r="K259" s="381">
        <f>IF(AND('MARZO 2026'!D53&lt;&gt;"",'MARZO 2026'!Z53="POR RECOGER"),'MARZO 2026'!Y53,"")</f>
        <v/>
      </c>
      <c r="L259" s="381">
        <f>IF(AND('MARZO 2026'!D53&lt;&gt;"",'MARZO 2026'!Z53="POR RECOGER"),'MARZO 2026'!I53,"")</f>
        <v/>
      </c>
      <c r="P259" s="194" t="n"/>
      <c r="Q259" s="194" t="n"/>
      <c r="R259" s="194" t="n"/>
      <c r="S259" s="194" t="n"/>
      <c r="T259" s="194" t="n"/>
      <c r="U259" s="194" t="n"/>
      <c r="V259" s="194" t="n"/>
      <c r="W259" s="194" t="n"/>
      <c r="X259" s="194" t="n"/>
      <c r="Y259" s="194" t="n"/>
      <c r="Z259" s="194" t="n"/>
    </row>
    <row r="260" ht="15" customHeight="1" s="195">
      <c r="A260" s="381">
        <f>IF(AND('MARZO 2026'!D54&lt;&gt;"",'MARZO 2026'!Z54="POR RECOGER"),"MAR","")</f>
        <v/>
      </c>
      <c r="B260" s="381">
        <f>IF(AND('MARZO 2026'!D54&lt;&gt;"",'MARZO 2026'!Z54="POR RECOGER"),IF('MARZO 2026'!Y54&lt;&gt;"",'MARZO 2026'!Y54,'MARZO 2026'!I54),"")</f>
        <v/>
      </c>
      <c r="C260" s="381">
        <f>IF(AND('MARZO 2026'!D54&lt;&gt;"",'MARZO 2026'!Z54="POR RECOGER"),'MARZO 2026'!D54,"")</f>
        <v/>
      </c>
      <c r="D260" s="381">
        <f>IF(AND('MARZO 2026'!D54&lt;&gt;"",'MARZO 2026'!Z54="POR RECOGER"),'MARZO 2026'!F54,"")</f>
        <v/>
      </c>
      <c r="E260" s="381">
        <f>IF(AND('MARZO 2026'!D54&lt;&gt;"",'MARZO 2026'!Z54="POR RECOGER"),TEXT('MARZO 2026'!G54,"DD/MM/YYYY"),"")</f>
        <v/>
      </c>
      <c r="F260" s="381">
        <f>IF(AND('MARZO 2026'!D54&lt;&gt;"",'MARZO 2026'!Z54="POR RECOGER"),'MARZO 2026'!K54,"")</f>
        <v/>
      </c>
      <c r="G260" s="382">
        <f>IF(AND('MARZO 2026'!D54&lt;&gt;"",'MARZO 2026'!Z54="POR RECOGER"),'MARZO 2026'!M54,"")</f>
        <v/>
      </c>
      <c r="H260" s="382">
        <f>IF(AND('MARZO 2026'!D54&lt;&gt;"",'MARZO 2026'!Z54="POR RECOGER"),'MARZO 2026'!N54,"")</f>
        <v/>
      </c>
      <c r="I260" s="381">
        <f>IF(AND('MARZO 2026'!D54&lt;&gt;"",'MARZO 2026'!Z54="POR RECOGER"),'MARZO 2026'!P54,"")</f>
        <v/>
      </c>
      <c r="J260" s="381">
        <f>IF(AND('MARZO 2026'!D54&lt;&gt;"",'MARZO 2026'!Z54="POR RECOGER"),'MARZO 2026'!Q54,"")</f>
        <v/>
      </c>
      <c r="K260" s="381">
        <f>IF(AND('MARZO 2026'!D54&lt;&gt;"",'MARZO 2026'!Z54="POR RECOGER"),'MARZO 2026'!Y54,"")</f>
        <v/>
      </c>
      <c r="L260" s="381">
        <f>IF(AND('MARZO 2026'!D54&lt;&gt;"",'MARZO 2026'!Z54="POR RECOGER"),'MARZO 2026'!I54,"")</f>
        <v/>
      </c>
      <c r="P260" s="194" t="n"/>
      <c r="Q260" s="194" t="n"/>
      <c r="R260" s="194" t="n"/>
      <c r="S260" s="194" t="n"/>
      <c r="T260" s="194" t="n"/>
      <c r="U260" s="194" t="n"/>
      <c r="V260" s="194" t="n"/>
      <c r="W260" s="194" t="n"/>
      <c r="X260" s="194" t="n"/>
      <c r="Y260" s="194" t="n"/>
      <c r="Z260" s="194" t="n"/>
    </row>
    <row r="261" ht="15" customHeight="1" s="195">
      <c r="A261" s="381">
        <f>IF(AND('MARZO 2026'!D55&lt;&gt;"",'MARZO 2026'!Z55="POR RECOGER"),"MAR","")</f>
        <v/>
      </c>
      <c r="B261" s="381">
        <f>IF(AND('MARZO 2026'!D55&lt;&gt;"",'MARZO 2026'!Z55="POR RECOGER"),IF('MARZO 2026'!Y55&lt;&gt;"",'MARZO 2026'!Y55,'MARZO 2026'!I55),"")</f>
        <v/>
      </c>
      <c r="C261" s="381">
        <f>IF(AND('MARZO 2026'!D55&lt;&gt;"",'MARZO 2026'!Z55="POR RECOGER"),'MARZO 2026'!D55,"")</f>
        <v/>
      </c>
      <c r="D261" s="381">
        <f>IF(AND('MARZO 2026'!D55&lt;&gt;"",'MARZO 2026'!Z55="POR RECOGER"),'MARZO 2026'!F55,"")</f>
        <v/>
      </c>
      <c r="E261" s="381">
        <f>IF(AND('MARZO 2026'!D55&lt;&gt;"",'MARZO 2026'!Z55="POR RECOGER"),TEXT('MARZO 2026'!G55,"DD/MM/YYYY"),"")</f>
        <v/>
      </c>
      <c r="F261" s="381">
        <f>IF(AND('MARZO 2026'!D55&lt;&gt;"",'MARZO 2026'!Z55="POR RECOGER"),'MARZO 2026'!K55,"")</f>
        <v/>
      </c>
      <c r="G261" s="382">
        <f>IF(AND('MARZO 2026'!D55&lt;&gt;"",'MARZO 2026'!Z55="POR RECOGER"),'MARZO 2026'!M55,"")</f>
        <v/>
      </c>
      <c r="H261" s="382">
        <f>IF(AND('MARZO 2026'!D55&lt;&gt;"",'MARZO 2026'!Z55="POR RECOGER"),'MARZO 2026'!N55,"")</f>
        <v/>
      </c>
      <c r="I261" s="381">
        <f>IF(AND('MARZO 2026'!D55&lt;&gt;"",'MARZO 2026'!Z55="POR RECOGER"),'MARZO 2026'!P55,"")</f>
        <v/>
      </c>
      <c r="J261" s="381">
        <f>IF(AND('MARZO 2026'!D55&lt;&gt;"",'MARZO 2026'!Z55="POR RECOGER"),'MARZO 2026'!Q55,"")</f>
        <v/>
      </c>
      <c r="K261" s="381">
        <f>IF(AND('MARZO 2026'!D55&lt;&gt;"",'MARZO 2026'!Z55="POR RECOGER"),'MARZO 2026'!Y55,"")</f>
        <v/>
      </c>
      <c r="L261" s="381">
        <f>IF(AND('MARZO 2026'!D55&lt;&gt;"",'MARZO 2026'!Z55="POR RECOGER"),'MARZO 2026'!I55,"")</f>
        <v/>
      </c>
      <c r="P261" s="194" t="n"/>
      <c r="Q261" s="194" t="n"/>
      <c r="R261" s="194" t="n"/>
      <c r="S261" s="194" t="n"/>
      <c r="T261" s="194" t="n"/>
      <c r="U261" s="194" t="n"/>
      <c r="V261" s="194" t="n"/>
      <c r="W261" s="194" t="n"/>
      <c r="X261" s="194" t="n"/>
      <c r="Y261" s="194" t="n"/>
      <c r="Z261" s="194" t="n"/>
    </row>
    <row r="262" ht="15" customHeight="1" s="195">
      <c r="A262" s="381">
        <f>IF(AND('MARZO 2026'!D56&lt;&gt;"",'MARZO 2026'!Z56="POR RECOGER"),"MAR","")</f>
        <v/>
      </c>
      <c r="B262" s="381">
        <f>IF(AND('MARZO 2026'!D56&lt;&gt;"",'MARZO 2026'!Z56="POR RECOGER"),IF('MARZO 2026'!Y56&lt;&gt;"",'MARZO 2026'!Y56,'MARZO 2026'!I56),"")</f>
        <v/>
      </c>
      <c r="C262" s="381">
        <f>IF(AND('MARZO 2026'!D56&lt;&gt;"",'MARZO 2026'!Z56="POR RECOGER"),'MARZO 2026'!D56,"")</f>
        <v/>
      </c>
      <c r="D262" s="381">
        <f>IF(AND('MARZO 2026'!D56&lt;&gt;"",'MARZO 2026'!Z56="POR RECOGER"),'MARZO 2026'!F56,"")</f>
        <v/>
      </c>
      <c r="E262" s="381">
        <f>IF(AND('MARZO 2026'!D56&lt;&gt;"",'MARZO 2026'!Z56="POR RECOGER"),TEXT('MARZO 2026'!G56,"DD/MM/YYYY"),"")</f>
        <v/>
      </c>
      <c r="F262" s="381">
        <f>IF(AND('MARZO 2026'!D56&lt;&gt;"",'MARZO 2026'!Z56="POR RECOGER"),'MARZO 2026'!K56,"")</f>
        <v/>
      </c>
      <c r="G262" s="382">
        <f>IF(AND('MARZO 2026'!D56&lt;&gt;"",'MARZO 2026'!Z56="POR RECOGER"),'MARZO 2026'!M56,"")</f>
        <v/>
      </c>
      <c r="H262" s="382">
        <f>IF(AND('MARZO 2026'!D56&lt;&gt;"",'MARZO 2026'!Z56="POR RECOGER"),'MARZO 2026'!N56,"")</f>
        <v/>
      </c>
      <c r="I262" s="381">
        <f>IF(AND('MARZO 2026'!D56&lt;&gt;"",'MARZO 2026'!Z56="POR RECOGER"),'MARZO 2026'!P56,"")</f>
        <v/>
      </c>
      <c r="J262" s="381">
        <f>IF(AND('MARZO 2026'!D56&lt;&gt;"",'MARZO 2026'!Z56="POR RECOGER"),'MARZO 2026'!Q56,"")</f>
        <v/>
      </c>
      <c r="K262" s="381">
        <f>IF(AND('MARZO 2026'!D56&lt;&gt;"",'MARZO 2026'!Z56="POR RECOGER"),'MARZO 2026'!Y56,"")</f>
        <v/>
      </c>
      <c r="L262" s="381">
        <f>IF(AND('MARZO 2026'!D56&lt;&gt;"",'MARZO 2026'!Z56="POR RECOGER"),'MARZO 2026'!I56,"")</f>
        <v/>
      </c>
      <c r="P262" s="194" t="n"/>
      <c r="Q262" s="194" t="n"/>
      <c r="R262" s="194" t="n"/>
      <c r="S262" s="194" t="n"/>
      <c r="T262" s="194" t="n"/>
      <c r="U262" s="194" t="n"/>
      <c r="V262" s="194" t="n"/>
      <c r="W262" s="194" t="n"/>
      <c r="X262" s="194" t="n"/>
      <c r="Y262" s="194" t="n"/>
      <c r="Z262" s="194" t="n"/>
    </row>
    <row r="263" ht="15" customHeight="1" s="195">
      <c r="A263" s="381">
        <f>IF(AND('MARZO 2026'!D57&lt;&gt;"",'MARZO 2026'!Z57="POR RECOGER"),"MAR","")</f>
        <v/>
      </c>
      <c r="B263" s="381">
        <f>IF(AND('MARZO 2026'!D57&lt;&gt;"",'MARZO 2026'!Z57="POR RECOGER"),IF('MARZO 2026'!Y57&lt;&gt;"",'MARZO 2026'!Y57,'MARZO 2026'!I57),"")</f>
        <v/>
      </c>
      <c r="C263" s="381">
        <f>IF(AND('MARZO 2026'!D57&lt;&gt;"",'MARZO 2026'!Z57="POR RECOGER"),'MARZO 2026'!D57,"")</f>
        <v/>
      </c>
      <c r="D263" s="381">
        <f>IF(AND('MARZO 2026'!D57&lt;&gt;"",'MARZO 2026'!Z57="POR RECOGER"),'MARZO 2026'!F57,"")</f>
        <v/>
      </c>
      <c r="E263" s="381">
        <f>IF(AND('MARZO 2026'!D57&lt;&gt;"",'MARZO 2026'!Z57="POR RECOGER"),TEXT('MARZO 2026'!G57,"DD/MM/YYYY"),"")</f>
        <v/>
      </c>
      <c r="F263" s="381">
        <f>IF(AND('MARZO 2026'!D57&lt;&gt;"",'MARZO 2026'!Z57="POR RECOGER"),'MARZO 2026'!K57,"")</f>
        <v/>
      </c>
      <c r="G263" s="382">
        <f>IF(AND('MARZO 2026'!D57&lt;&gt;"",'MARZO 2026'!Z57="POR RECOGER"),'MARZO 2026'!M57,"")</f>
        <v/>
      </c>
      <c r="H263" s="382">
        <f>IF(AND('MARZO 2026'!D57&lt;&gt;"",'MARZO 2026'!Z57="POR RECOGER"),'MARZO 2026'!N57,"")</f>
        <v/>
      </c>
      <c r="I263" s="381">
        <f>IF(AND('MARZO 2026'!D57&lt;&gt;"",'MARZO 2026'!Z57="POR RECOGER"),'MARZO 2026'!P57,"")</f>
        <v/>
      </c>
      <c r="J263" s="381">
        <f>IF(AND('MARZO 2026'!D57&lt;&gt;"",'MARZO 2026'!Z57="POR RECOGER"),'MARZO 2026'!Q57,"")</f>
        <v/>
      </c>
      <c r="K263" s="381">
        <f>IF(AND('MARZO 2026'!D57&lt;&gt;"",'MARZO 2026'!Z57="POR RECOGER"),'MARZO 2026'!Y57,"")</f>
        <v/>
      </c>
      <c r="L263" s="381">
        <f>IF(AND('MARZO 2026'!D57&lt;&gt;"",'MARZO 2026'!Z57="POR RECOGER"),'MARZO 2026'!I57,"")</f>
        <v/>
      </c>
      <c r="P263" s="194" t="n"/>
      <c r="Q263" s="194" t="n"/>
      <c r="R263" s="194" t="n"/>
      <c r="S263" s="194" t="n"/>
      <c r="T263" s="194" t="n"/>
      <c r="U263" s="194" t="n"/>
      <c r="V263" s="194" t="n"/>
      <c r="W263" s="194" t="n"/>
      <c r="X263" s="194" t="n"/>
      <c r="Y263" s="194" t="n"/>
      <c r="Z263" s="194" t="n"/>
    </row>
    <row r="264" ht="15" customHeight="1" s="195">
      <c r="A264" s="381">
        <f>IF(AND('MARZO 2026'!D58&lt;&gt;"",'MARZO 2026'!Z58="POR RECOGER"),"MAR","")</f>
        <v/>
      </c>
      <c r="B264" s="381">
        <f>IF(AND('MARZO 2026'!D58&lt;&gt;"",'MARZO 2026'!Z58="POR RECOGER"),IF('MARZO 2026'!Y58&lt;&gt;"",'MARZO 2026'!Y58,'MARZO 2026'!I58),"")</f>
        <v/>
      </c>
      <c r="C264" s="381">
        <f>IF(AND('MARZO 2026'!D58&lt;&gt;"",'MARZO 2026'!Z58="POR RECOGER"),'MARZO 2026'!D58,"")</f>
        <v/>
      </c>
      <c r="D264" s="381">
        <f>IF(AND('MARZO 2026'!D58&lt;&gt;"",'MARZO 2026'!Z58="POR RECOGER"),'MARZO 2026'!F58,"")</f>
        <v/>
      </c>
      <c r="E264" s="381">
        <f>IF(AND('MARZO 2026'!D58&lt;&gt;"",'MARZO 2026'!Z58="POR RECOGER"),TEXT('MARZO 2026'!G58,"DD/MM/YYYY"),"")</f>
        <v/>
      </c>
      <c r="F264" s="381">
        <f>IF(AND('MARZO 2026'!D58&lt;&gt;"",'MARZO 2026'!Z58="POR RECOGER"),'MARZO 2026'!K58,"")</f>
        <v/>
      </c>
      <c r="G264" s="382">
        <f>IF(AND('MARZO 2026'!D58&lt;&gt;"",'MARZO 2026'!Z58="POR RECOGER"),'MARZO 2026'!M58,"")</f>
        <v/>
      </c>
      <c r="H264" s="382">
        <f>IF(AND('MARZO 2026'!D58&lt;&gt;"",'MARZO 2026'!Z58="POR RECOGER"),'MARZO 2026'!N58,"")</f>
        <v/>
      </c>
      <c r="I264" s="381">
        <f>IF(AND('MARZO 2026'!D58&lt;&gt;"",'MARZO 2026'!Z58="POR RECOGER"),'MARZO 2026'!P58,"")</f>
        <v/>
      </c>
      <c r="J264" s="381">
        <f>IF(AND('MARZO 2026'!D58&lt;&gt;"",'MARZO 2026'!Z58="POR RECOGER"),'MARZO 2026'!Q58,"")</f>
        <v/>
      </c>
      <c r="K264" s="381">
        <f>IF(AND('MARZO 2026'!D58&lt;&gt;"",'MARZO 2026'!Z58="POR RECOGER"),'MARZO 2026'!Y58,"")</f>
        <v/>
      </c>
      <c r="L264" s="381">
        <f>IF(AND('MARZO 2026'!D58&lt;&gt;"",'MARZO 2026'!Z58="POR RECOGER"),'MARZO 2026'!I58,"")</f>
        <v/>
      </c>
      <c r="P264" s="194" t="n"/>
      <c r="Q264" s="194" t="n"/>
      <c r="R264" s="194" t="n"/>
      <c r="S264" s="194" t="n"/>
      <c r="T264" s="194" t="n"/>
      <c r="U264" s="194" t="n"/>
      <c r="V264" s="194" t="n"/>
      <c r="W264" s="194" t="n"/>
      <c r="X264" s="194" t="n"/>
      <c r="Y264" s="194" t="n"/>
      <c r="Z264" s="194" t="n"/>
    </row>
    <row r="265" ht="15" customHeight="1" s="195">
      <c r="A265" s="381">
        <f>IF(AND('MARZO 2026'!D59&lt;&gt;"",'MARZO 2026'!Z59="POR RECOGER"),"MAR","")</f>
        <v/>
      </c>
      <c r="B265" s="381">
        <f>IF(AND('MARZO 2026'!D59&lt;&gt;"",'MARZO 2026'!Z59="POR RECOGER"),IF('MARZO 2026'!Y59&lt;&gt;"",'MARZO 2026'!Y59,'MARZO 2026'!I59),"")</f>
        <v/>
      </c>
      <c r="C265" s="381">
        <f>IF(AND('MARZO 2026'!D59&lt;&gt;"",'MARZO 2026'!Z59="POR RECOGER"),'MARZO 2026'!D59,"")</f>
        <v/>
      </c>
      <c r="D265" s="381">
        <f>IF(AND('MARZO 2026'!D59&lt;&gt;"",'MARZO 2026'!Z59="POR RECOGER"),'MARZO 2026'!F59,"")</f>
        <v/>
      </c>
      <c r="E265" s="381">
        <f>IF(AND('MARZO 2026'!D59&lt;&gt;"",'MARZO 2026'!Z59="POR RECOGER"),TEXT('MARZO 2026'!G59,"DD/MM/YYYY"),"")</f>
        <v/>
      </c>
      <c r="F265" s="381">
        <f>IF(AND('MARZO 2026'!D59&lt;&gt;"",'MARZO 2026'!Z59="POR RECOGER"),'MARZO 2026'!K59,"")</f>
        <v/>
      </c>
      <c r="G265" s="382">
        <f>IF(AND('MARZO 2026'!D59&lt;&gt;"",'MARZO 2026'!Z59="POR RECOGER"),'MARZO 2026'!M59,"")</f>
        <v/>
      </c>
      <c r="H265" s="382">
        <f>IF(AND('MARZO 2026'!D59&lt;&gt;"",'MARZO 2026'!Z59="POR RECOGER"),'MARZO 2026'!N59,"")</f>
        <v/>
      </c>
      <c r="I265" s="381">
        <f>IF(AND('MARZO 2026'!D59&lt;&gt;"",'MARZO 2026'!Z59="POR RECOGER"),'MARZO 2026'!P59,"")</f>
        <v/>
      </c>
      <c r="J265" s="381">
        <f>IF(AND('MARZO 2026'!D59&lt;&gt;"",'MARZO 2026'!Z59="POR RECOGER"),'MARZO 2026'!Q59,"")</f>
        <v/>
      </c>
      <c r="K265" s="381">
        <f>IF(AND('MARZO 2026'!D59&lt;&gt;"",'MARZO 2026'!Z59="POR RECOGER"),'MARZO 2026'!Y59,"")</f>
        <v/>
      </c>
      <c r="L265" s="381">
        <f>IF(AND('MARZO 2026'!D59&lt;&gt;"",'MARZO 2026'!Z59="POR RECOGER"),'MARZO 2026'!I59,"")</f>
        <v/>
      </c>
      <c r="P265" s="194" t="n"/>
      <c r="Q265" s="194" t="n"/>
      <c r="R265" s="194" t="n"/>
      <c r="S265" s="194" t="n"/>
      <c r="T265" s="194" t="n"/>
      <c r="U265" s="194" t="n"/>
      <c r="V265" s="194" t="n"/>
      <c r="W265" s="194" t="n"/>
      <c r="X265" s="194" t="n"/>
      <c r="Y265" s="194" t="n"/>
      <c r="Z265" s="194" t="n"/>
    </row>
    <row r="266" ht="15" customHeight="1" s="195">
      <c r="A266" s="381">
        <f>IF(AND('MARZO 2026'!D60&lt;&gt;"",'MARZO 2026'!Z60="POR RECOGER"),"MAR","")</f>
        <v/>
      </c>
      <c r="B266" s="381">
        <f>IF(AND('MARZO 2026'!D60&lt;&gt;"",'MARZO 2026'!Z60="POR RECOGER"),IF('MARZO 2026'!Y60&lt;&gt;"",'MARZO 2026'!Y60,'MARZO 2026'!I60),"")</f>
        <v/>
      </c>
      <c r="C266" s="381">
        <f>IF(AND('MARZO 2026'!D60&lt;&gt;"",'MARZO 2026'!Z60="POR RECOGER"),'MARZO 2026'!D60,"")</f>
        <v/>
      </c>
      <c r="D266" s="381">
        <f>IF(AND('MARZO 2026'!D60&lt;&gt;"",'MARZO 2026'!Z60="POR RECOGER"),'MARZO 2026'!F60,"")</f>
        <v/>
      </c>
      <c r="E266" s="381">
        <f>IF(AND('MARZO 2026'!D60&lt;&gt;"",'MARZO 2026'!Z60="POR RECOGER"),TEXT('MARZO 2026'!G60,"DD/MM/YYYY"),"")</f>
        <v/>
      </c>
      <c r="F266" s="381">
        <f>IF(AND('MARZO 2026'!D60&lt;&gt;"",'MARZO 2026'!Z60="POR RECOGER"),'MARZO 2026'!K60,"")</f>
        <v/>
      </c>
      <c r="G266" s="382">
        <f>IF(AND('MARZO 2026'!D60&lt;&gt;"",'MARZO 2026'!Z60="POR RECOGER"),'MARZO 2026'!M60,"")</f>
        <v/>
      </c>
      <c r="H266" s="382">
        <f>IF(AND('MARZO 2026'!D60&lt;&gt;"",'MARZO 2026'!Z60="POR RECOGER"),'MARZO 2026'!N60,"")</f>
        <v/>
      </c>
      <c r="I266" s="381">
        <f>IF(AND('MARZO 2026'!D60&lt;&gt;"",'MARZO 2026'!Z60="POR RECOGER"),'MARZO 2026'!P60,"")</f>
        <v/>
      </c>
      <c r="J266" s="381">
        <f>IF(AND('MARZO 2026'!D60&lt;&gt;"",'MARZO 2026'!Z60="POR RECOGER"),'MARZO 2026'!Q60,"")</f>
        <v/>
      </c>
      <c r="K266" s="381">
        <f>IF(AND('MARZO 2026'!D60&lt;&gt;"",'MARZO 2026'!Z60="POR RECOGER"),'MARZO 2026'!Y60,"")</f>
        <v/>
      </c>
      <c r="L266" s="381">
        <f>IF(AND('MARZO 2026'!D60&lt;&gt;"",'MARZO 2026'!Z60="POR RECOGER"),'MARZO 2026'!I60,"")</f>
        <v/>
      </c>
      <c r="P266" s="194" t="n"/>
      <c r="Q266" s="194" t="n"/>
      <c r="R266" s="194" t="n"/>
      <c r="S266" s="194" t="n"/>
      <c r="T266" s="194" t="n"/>
      <c r="U266" s="194" t="n"/>
      <c r="V266" s="194" t="n"/>
      <c r="W266" s="194" t="n"/>
      <c r="X266" s="194" t="n"/>
      <c r="Y266" s="194" t="n"/>
      <c r="Z266" s="194" t="n"/>
    </row>
    <row r="267" ht="15" customHeight="1" s="195">
      <c r="A267" s="381">
        <f>IF(AND('MARZO 2026'!D61&lt;&gt;"",'MARZO 2026'!Z61="POR RECOGER"),"MAR","")</f>
        <v/>
      </c>
      <c r="B267" s="381">
        <f>IF(AND('MARZO 2026'!D61&lt;&gt;"",'MARZO 2026'!Z61="POR RECOGER"),IF('MARZO 2026'!Y61&lt;&gt;"",'MARZO 2026'!Y61,'MARZO 2026'!I61),"")</f>
        <v/>
      </c>
      <c r="C267" s="381">
        <f>IF(AND('MARZO 2026'!D61&lt;&gt;"",'MARZO 2026'!Z61="POR RECOGER"),'MARZO 2026'!D61,"")</f>
        <v/>
      </c>
      <c r="D267" s="381">
        <f>IF(AND('MARZO 2026'!D61&lt;&gt;"",'MARZO 2026'!Z61="POR RECOGER"),'MARZO 2026'!F61,"")</f>
        <v/>
      </c>
      <c r="E267" s="381">
        <f>IF(AND('MARZO 2026'!D61&lt;&gt;"",'MARZO 2026'!Z61="POR RECOGER"),TEXT('MARZO 2026'!G61,"DD/MM/YYYY"),"")</f>
        <v/>
      </c>
      <c r="F267" s="381">
        <f>IF(AND('MARZO 2026'!D61&lt;&gt;"",'MARZO 2026'!Z61="POR RECOGER"),'MARZO 2026'!K61,"")</f>
        <v/>
      </c>
      <c r="G267" s="382">
        <f>IF(AND('MARZO 2026'!D61&lt;&gt;"",'MARZO 2026'!Z61="POR RECOGER"),'MARZO 2026'!M61,"")</f>
        <v/>
      </c>
      <c r="H267" s="382">
        <f>IF(AND('MARZO 2026'!D61&lt;&gt;"",'MARZO 2026'!Z61="POR RECOGER"),'MARZO 2026'!N61,"")</f>
        <v/>
      </c>
      <c r="I267" s="381">
        <f>IF(AND('MARZO 2026'!D61&lt;&gt;"",'MARZO 2026'!Z61="POR RECOGER"),'MARZO 2026'!P61,"")</f>
        <v/>
      </c>
      <c r="J267" s="381">
        <f>IF(AND('MARZO 2026'!D61&lt;&gt;"",'MARZO 2026'!Z61="POR RECOGER"),'MARZO 2026'!Q61,"")</f>
        <v/>
      </c>
      <c r="K267" s="381">
        <f>IF(AND('MARZO 2026'!D61&lt;&gt;"",'MARZO 2026'!Z61="POR RECOGER"),'MARZO 2026'!Y61,"")</f>
        <v/>
      </c>
      <c r="L267" s="381">
        <f>IF(AND('MARZO 2026'!D61&lt;&gt;"",'MARZO 2026'!Z61="POR RECOGER"),'MARZO 2026'!I61,"")</f>
        <v/>
      </c>
      <c r="P267" s="194" t="n"/>
      <c r="Q267" s="194" t="n"/>
      <c r="R267" s="194" t="n"/>
      <c r="S267" s="194" t="n"/>
      <c r="T267" s="194" t="n"/>
      <c r="U267" s="194" t="n"/>
      <c r="V267" s="194" t="n"/>
      <c r="W267" s="194" t="n"/>
      <c r="X267" s="194" t="n"/>
      <c r="Y267" s="194" t="n"/>
      <c r="Z267" s="194" t="n"/>
    </row>
    <row r="268" ht="15" customHeight="1" s="195">
      <c r="A268" s="381">
        <f>IF(AND('MARZO 2026'!D62&lt;&gt;"",'MARZO 2026'!Z62="POR RECOGER"),"MAR","")</f>
        <v/>
      </c>
      <c r="B268" s="381">
        <f>IF(AND('MARZO 2026'!D62&lt;&gt;"",'MARZO 2026'!Z62="POR RECOGER"),IF('MARZO 2026'!Y62&lt;&gt;"",'MARZO 2026'!Y62,'MARZO 2026'!I62),"")</f>
        <v/>
      </c>
      <c r="C268" s="381">
        <f>IF(AND('MARZO 2026'!D62&lt;&gt;"",'MARZO 2026'!Z62="POR RECOGER"),'MARZO 2026'!D62,"")</f>
        <v/>
      </c>
      <c r="D268" s="381">
        <f>IF(AND('MARZO 2026'!D62&lt;&gt;"",'MARZO 2026'!Z62="POR RECOGER"),'MARZO 2026'!F62,"")</f>
        <v/>
      </c>
      <c r="E268" s="381">
        <f>IF(AND('MARZO 2026'!D62&lt;&gt;"",'MARZO 2026'!Z62="POR RECOGER"),TEXT('MARZO 2026'!G62,"DD/MM/YYYY"),"")</f>
        <v/>
      </c>
      <c r="F268" s="381">
        <f>IF(AND('MARZO 2026'!D62&lt;&gt;"",'MARZO 2026'!Z62="POR RECOGER"),'MARZO 2026'!K62,"")</f>
        <v/>
      </c>
      <c r="G268" s="382">
        <f>IF(AND('MARZO 2026'!D62&lt;&gt;"",'MARZO 2026'!Z62="POR RECOGER"),'MARZO 2026'!M62,"")</f>
        <v/>
      </c>
      <c r="H268" s="382">
        <f>IF(AND('MARZO 2026'!D62&lt;&gt;"",'MARZO 2026'!Z62="POR RECOGER"),'MARZO 2026'!N62,"")</f>
        <v/>
      </c>
      <c r="I268" s="381">
        <f>IF(AND('MARZO 2026'!D62&lt;&gt;"",'MARZO 2026'!Z62="POR RECOGER"),'MARZO 2026'!P62,"")</f>
        <v/>
      </c>
      <c r="J268" s="381">
        <f>IF(AND('MARZO 2026'!D62&lt;&gt;"",'MARZO 2026'!Z62="POR RECOGER"),'MARZO 2026'!Q62,"")</f>
        <v/>
      </c>
      <c r="K268" s="381">
        <f>IF(AND('MARZO 2026'!D62&lt;&gt;"",'MARZO 2026'!Z62="POR RECOGER"),'MARZO 2026'!Y62,"")</f>
        <v/>
      </c>
      <c r="L268" s="381">
        <f>IF(AND('MARZO 2026'!D62&lt;&gt;"",'MARZO 2026'!Z62="POR RECOGER"),'MARZO 2026'!I62,"")</f>
        <v/>
      </c>
      <c r="P268" s="194" t="n"/>
      <c r="Q268" s="194" t="n"/>
      <c r="R268" s="194" t="n"/>
      <c r="S268" s="194" t="n"/>
      <c r="T268" s="194" t="n"/>
      <c r="U268" s="194" t="n"/>
      <c r="V268" s="194" t="n"/>
      <c r="W268" s="194" t="n"/>
      <c r="X268" s="194" t="n"/>
      <c r="Y268" s="194" t="n"/>
      <c r="Z268" s="194" t="n"/>
    </row>
    <row r="269" ht="15" customHeight="1" s="195">
      <c r="A269" s="381">
        <f>IF(AND('MARZO 2026'!D63&lt;&gt;"",'MARZO 2026'!Z63="POR RECOGER"),"MAR","")</f>
        <v/>
      </c>
      <c r="B269" s="381">
        <f>IF(AND('MARZO 2026'!D63&lt;&gt;"",'MARZO 2026'!Z63="POR RECOGER"),IF('MARZO 2026'!Y63&lt;&gt;"",'MARZO 2026'!Y63,'MARZO 2026'!I63),"")</f>
        <v/>
      </c>
      <c r="C269" s="381">
        <f>IF(AND('MARZO 2026'!D63&lt;&gt;"",'MARZO 2026'!Z63="POR RECOGER"),'MARZO 2026'!D63,"")</f>
        <v/>
      </c>
      <c r="D269" s="381">
        <f>IF(AND('MARZO 2026'!D63&lt;&gt;"",'MARZO 2026'!Z63="POR RECOGER"),'MARZO 2026'!F63,"")</f>
        <v/>
      </c>
      <c r="E269" s="381">
        <f>IF(AND('MARZO 2026'!D63&lt;&gt;"",'MARZO 2026'!Z63="POR RECOGER"),TEXT('MARZO 2026'!G63,"DD/MM/YYYY"),"")</f>
        <v/>
      </c>
      <c r="F269" s="381">
        <f>IF(AND('MARZO 2026'!D63&lt;&gt;"",'MARZO 2026'!Z63="POR RECOGER"),'MARZO 2026'!K63,"")</f>
        <v/>
      </c>
      <c r="G269" s="382">
        <f>IF(AND('MARZO 2026'!D63&lt;&gt;"",'MARZO 2026'!Z63="POR RECOGER"),'MARZO 2026'!M63,"")</f>
        <v/>
      </c>
      <c r="H269" s="382">
        <f>IF(AND('MARZO 2026'!D63&lt;&gt;"",'MARZO 2026'!Z63="POR RECOGER"),'MARZO 2026'!N63,"")</f>
        <v/>
      </c>
      <c r="I269" s="381">
        <f>IF(AND('MARZO 2026'!D63&lt;&gt;"",'MARZO 2026'!Z63="POR RECOGER"),'MARZO 2026'!P63,"")</f>
        <v/>
      </c>
      <c r="J269" s="381">
        <f>IF(AND('MARZO 2026'!D63&lt;&gt;"",'MARZO 2026'!Z63="POR RECOGER"),'MARZO 2026'!Q63,"")</f>
        <v/>
      </c>
      <c r="K269" s="381">
        <f>IF(AND('MARZO 2026'!D63&lt;&gt;"",'MARZO 2026'!Z63="POR RECOGER"),'MARZO 2026'!Y63,"")</f>
        <v/>
      </c>
      <c r="L269" s="381">
        <f>IF(AND('MARZO 2026'!D63&lt;&gt;"",'MARZO 2026'!Z63="POR RECOGER"),'MARZO 2026'!I63,"")</f>
        <v/>
      </c>
      <c r="P269" s="194" t="n"/>
      <c r="Q269" s="194" t="n"/>
      <c r="R269" s="194" t="n"/>
      <c r="S269" s="194" t="n"/>
      <c r="T269" s="194" t="n"/>
      <c r="U269" s="194" t="n"/>
      <c r="V269" s="194" t="n"/>
      <c r="W269" s="194" t="n"/>
      <c r="X269" s="194" t="n"/>
      <c r="Y269" s="194" t="n"/>
      <c r="Z269" s="194" t="n"/>
    </row>
    <row r="270" ht="15" customHeight="1" s="195">
      <c r="A270" s="381">
        <f>IF(AND('MARZO 2026'!D64&lt;&gt;"",'MARZO 2026'!Z64="POR RECOGER"),"MAR","")</f>
        <v/>
      </c>
      <c r="B270" s="381">
        <f>IF(AND('MARZO 2026'!D64&lt;&gt;"",'MARZO 2026'!Z64="POR RECOGER"),IF('MARZO 2026'!Y64&lt;&gt;"",'MARZO 2026'!Y64,'MARZO 2026'!I64),"")</f>
        <v/>
      </c>
      <c r="C270" s="381">
        <f>IF(AND('MARZO 2026'!D64&lt;&gt;"",'MARZO 2026'!Z64="POR RECOGER"),'MARZO 2026'!D64,"")</f>
        <v/>
      </c>
      <c r="D270" s="381">
        <f>IF(AND('MARZO 2026'!D64&lt;&gt;"",'MARZO 2026'!Z64="POR RECOGER"),'MARZO 2026'!F64,"")</f>
        <v/>
      </c>
      <c r="E270" s="381">
        <f>IF(AND('MARZO 2026'!D64&lt;&gt;"",'MARZO 2026'!Z64="POR RECOGER"),TEXT('MARZO 2026'!G64,"DD/MM/YYYY"),"")</f>
        <v/>
      </c>
      <c r="F270" s="381">
        <f>IF(AND('MARZO 2026'!D64&lt;&gt;"",'MARZO 2026'!Z64="POR RECOGER"),'MARZO 2026'!K64,"")</f>
        <v/>
      </c>
      <c r="G270" s="382">
        <f>IF(AND('MARZO 2026'!D64&lt;&gt;"",'MARZO 2026'!Z64="POR RECOGER"),'MARZO 2026'!M64,"")</f>
        <v/>
      </c>
      <c r="H270" s="382">
        <f>IF(AND('MARZO 2026'!D64&lt;&gt;"",'MARZO 2026'!Z64="POR RECOGER"),'MARZO 2026'!N64,"")</f>
        <v/>
      </c>
      <c r="I270" s="381">
        <f>IF(AND('MARZO 2026'!D64&lt;&gt;"",'MARZO 2026'!Z64="POR RECOGER"),'MARZO 2026'!P64,"")</f>
        <v/>
      </c>
      <c r="J270" s="381">
        <f>IF(AND('MARZO 2026'!D64&lt;&gt;"",'MARZO 2026'!Z64="POR RECOGER"),'MARZO 2026'!Q64,"")</f>
        <v/>
      </c>
      <c r="K270" s="381">
        <f>IF(AND('MARZO 2026'!D64&lt;&gt;"",'MARZO 2026'!Z64="POR RECOGER"),'MARZO 2026'!Y64,"")</f>
        <v/>
      </c>
      <c r="L270" s="381">
        <f>IF(AND('MARZO 2026'!D64&lt;&gt;"",'MARZO 2026'!Z64="POR RECOGER"),'MARZO 2026'!I64,"")</f>
        <v/>
      </c>
      <c r="P270" s="194" t="n"/>
      <c r="Q270" s="194" t="n"/>
      <c r="R270" s="194" t="n"/>
      <c r="S270" s="194" t="n"/>
      <c r="T270" s="194" t="n"/>
      <c r="U270" s="194" t="n"/>
      <c r="V270" s="194" t="n"/>
      <c r="W270" s="194" t="n"/>
      <c r="X270" s="194" t="n"/>
      <c r="Y270" s="194" t="n"/>
      <c r="Z270" s="194" t="n"/>
    </row>
    <row r="271" ht="15" customHeight="1" s="195">
      <c r="A271" s="381">
        <f>IF(AND('MARZO 2026'!D65&lt;&gt;"",'MARZO 2026'!Z65="POR RECOGER"),"MAR","")</f>
        <v/>
      </c>
      <c r="B271" s="381">
        <f>IF(AND('MARZO 2026'!D65&lt;&gt;"",'MARZO 2026'!Z65="POR RECOGER"),IF('MARZO 2026'!Y65&lt;&gt;"",'MARZO 2026'!Y65,'MARZO 2026'!I65),"")</f>
        <v/>
      </c>
      <c r="C271" s="381">
        <f>IF(AND('MARZO 2026'!D65&lt;&gt;"",'MARZO 2026'!Z65="POR RECOGER"),'MARZO 2026'!D65,"")</f>
        <v/>
      </c>
      <c r="D271" s="381">
        <f>IF(AND('MARZO 2026'!D65&lt;&gt;"",'MARZO 2026'!Z65="POR RECOGER"),'MARZO 2026'!F65,"")</f>
        <v/>
      </c>
      <c r="E271" s="381">
        <f>IF(AND('MARZO 2026'!D65&lt;&gt;"",'MARZO 2026'!Z65="POR RECOGER"),TEXT('MARZO 2026'!G65,"DD/MM/YYYY"),"")</f>
        <v/>
      </c>
      <c r="F271" s="381">
        <f>IF(AND('MARZO 2026'!D65&lt;&gt;"",'MARZO 2026'!Z65="POR RECOGER"),'MARZO 2026'!K65,"")</f>
        <v/>
      </c>
      <c r="G271" s="382">
        <f>IF(AND('MARZO 2026'!D65&lt;&gt;"",'MARZO 2026'!Z65="POR RECOGER"),'MARZO 2026'!M65,"")</f>
        <v/>
      </c>
      <c r="H271" s="382">
        <f>IF(AND('MARZO 2026'!D65&lt;&gt;"",'MARZO 2026'!Z65="POR RECOGER"),'MARZO 2026'!N65,"")</f>
        <v/>
      </c>
      <c r="I271" s="381">
        <f>IF(AND('MARZO 2026'!D65&lt;&gt;"",'MARZO 2026'!Z65="POR RECOGER"),'MARZO 2026'!P65,"")</f>
        <v/>
      </c>
      <c r="J271" s="381">
        <f>IF(AND('MARZO 2026'!D65&lt;&gt;"",'MARZO 2026'!Z65="POR RECOGER"),'MARZO 2026'!Q65,"")</f>
        <v/>
      </c>
      <c r="K271" s="381">
        <f>IF(AND('MARZO 2026'!D65&lt;&gt;"",'MARZO 2026'!Z65="POR RECOGER"),'MARZO 2026'!Y65,"")</f>
        <v/>
      </c>
      <c r="L271" s="381">
        <f>IF(AND('MARZO 2026'!D65&lt;&gt;"",'MARZO 2026'!Z65="POR RECOGER"),'MARZO 2026'!I65,"")</f>
        <v/>
      </c>
      <c r="P271" s="194" t="n"/>
      <c r="Q271" s="194" t="n"/>
      <c r="R271" s="194" t="n"/>
      <c r="S271" s="194" t="n"/>
      <c r="T271" s="194" t="n"/>
      <c r="U271" s="194" t="n"/>
      <c r="V271" s="194" t="n"/>
      <c r="W271" s="194" t="n"/>
      <c r="X271" s="194" t="n"/>
      <c r="Y271" s="194" t="n"/>
      <c r="Z271" s="194" t="n"/>
    </row>
    <row r="272" ht="15" customHeight="1" s="195">
      <c r="A272" s="381">
        <f>IF(AND('MARZO 2026'!D66&lt;&gt;"",'MARZO 2026'!Z66="POR RECOGER"),"MAR","")</f>
        <v/>
      </c>
      <c r="B272" s="381">
        <f>IF(AND('MARZO 2026'!D66&lt;&gt;"",'MARZO 2026'!Z66="POR RECOGER"),IF('MARZO 2026'!Y66&lt;&gt;"",'MARZO 2026'!Y66,'MARZO 2026'!I66),"")</f>
        <v/>
      </c>
      <c r="C272" s="381">
        <f>IF(AND('MARZO 2026'!D66&lt;&gt;"",'MARZO 2026'!Z66="POR RECOGER"),'MARZO 2026'!D66,"")</f>
        <v/>
      </c>
      <c r="D272" s="381">
        <f>IF(AND('MARZO 2026'!D66&lt;&gt;"",'MARZO 2026'!Z66="POR RECOGER"),'MARZO 2026'!F66,"")</f>
        <v/>
      </c>
      <c r="E272" s="381">
        <f>IF(AND('MARZO 2026'!D66&lt;&gt;"",'MARZO 2026'!Z66="POR RECOGER"),TEXT('MARZO 2026'!G66,"DD/MM/YYYY"),"")</f>
        <v/>
      </c>
      <c r="F272" s="381">
        <f>IF(AND('MARZO 2026'!D66&lt;&gt;"",'MARZO 2026'!Z66="POR RECOGER"),'MARZO 2026'!K66,"")</f>
        <v/>
      </c>
      <c r="G272" s="382">
        <f>IF(AND('MARZO 2026'!D66&lt;&gt;"",'MARZO 2026'!Z66="POR RECOGER"),'MARZO 2026'!M66,"")</f>
        <v/>
      </c>
      <c r="H272" s="382">
        <f>IF(AND('MARZO 2026'!D66&lt;&gt;"",'MARZO 2026'!Z66="POR RECOGER"),'MARZO 2026'!N66,"")</f>
        <v/>
      </c>
      <c r="I272" s="381">
        <f>IF(AND('MARZO 2026'!D66&lt;&gt;"",'MARZO 2026'!Z66="POR RECOGER"),'MARZO 2026'!P66,"")</f>
        <v/>
      </c>
      <c r="J272" s="381">
        <f>IF(AND('MARZO 2026'!D66&lt;&gt;"",'MARZO 2026'!Z66="POR RECOGER"),'MARZO 2026'!Q66,"")</f>
        <v/>
      </c>
      <c r="K272" s="381">
        <f>IF(AND('MARZO 2026'!D66&lt;&gt;"",'MARZO 2026'!Z66="POR RECOGER"),'MARZO 2026'!Y66,"")</f>
        <v/>
      </c>
      <c r="L272" s="381">
        <f>IF(AND('MARZO 2026'!D66&lt;&gt;"",'MARZO 2026'!Z66="POR RECOGER"),'MARZO 2026'!I66,"")</f>
        <v/>
      </c>
      <c r="P272" s="194" t="n"/>
      <c r="Q272" s="194" t="n"/>
      <c r="R272" s="194" t="n"/>
      <c r="S272" s="194" t="n"/>
      <c r="T272" s="194" t="n"/>
      <c r="U272" s="194" t="n"/>
      <c r="V272" s="194" t="n"/>
      <c r="W272" s="194" t="n"/>
      <c r="X272" s="194" t="n"/>
      <c r="Y272" s="194" t="n"/>
      <c r="Z272" s="194" t="n"/>
    </row>
    <row r="273" ht="15" customHeight="1" s="195">
      <c r="A273" s="381">
        <f>IF(AND('MARZO 2026'!D67&lt;&gt;"",'MARZO 2026'!Z67="POR RECOGER"),"MAR","")</f>
        <v/>
      </c>
      <c r="B273" s="381">
        <f>IF(AND('MARZO 2026'!D67&lt;&gt;"",'MARZO 2026'!Z67="POR RECOGER"),IF('MARZO 2026'!Y67&lt;&gt;"",'MARZO 2026'!Y67,'MARZO 2026'!I67),"")</f>
        <v/>
      </c>
      <c r="C273" s="381">
        <f>IF(AND('MARZO 2026'!D67&lt;&gt;"",'MARZO 2026'!Z67="POR RECOGER"),'MARZO 2026'!D67,"")</f>
        <v/>
      </c>
      <c r="D273" s="381">
        <f>IF(AND('MARZO 2026'!D67&lt;&gt;"",'MARZO 2026'!Z67="POR RECOGER"),'MARZO 2026'!F67,"")</f>
        <v/>
      </c>
      <c r="E273" s="381">
        <f>IF(AND('MARZO 2026'!D67&lt;&gt;"",'MARZO 2026'!Z67="POR RECOGER"),TEXT('MARZO 2026'!G67,"DD/MM/YYYY"),"")</f>
        <v/>
      </c>
      <c r="F273" s="381">
        <f>IF(AND('MARZO 2026'!D67&lt;&gt;"",'MARZO 2026'!Z67="POR RECOGER"),'MARZO 2026'!K67,"")</f>
        <v/>
      </c>
      <c r="G273" s="382">
        <f>IF(AND('MARZO 2026'!D67&lt;&gt;"",'MARZO 2026'!Z67="POR RECOGER"),'MARZO 2026'!M67,"")</f>
        <v/>
      </c>
      <c r="H273" s="382">
        <f>IF(AND('MARZO 2026'!D67&lt;&gt;"",'MARZO 2026'!Z67="POR RECOGER"),'MARZO 2026'!N67,"")</f>
        <v/>
      </c>
      <c r="I273" s="381">
        <f>IF(AND('MARZO 2026'!D67&lt;&gt;"",'MARZO 2026'!Z67="POR RECOGER"),'MARZO 2026'!P67,"")</f>
        <v/>
      </c>
      <c r="J273" s="381">
        <f>IF(AND('MARZO 2026'!D67&lt;&gt;"",'MARZO 2026'!Z67="POR RECOGER"),'MARZO 2026'!Q67,"")</f>
        <v/>
      </c>
      <c r="K273" s="381">
        <f>IF(AND('MARZO 2026'!D67&lt;&gt;"",'MARZO 2026'!Z67="POR RECOGER"),'MARZO 2026'!Y67,"")</f>
        <v/>
      </c>
      <c r="L273" s="381">
        <f>IF(AND('MARZO 2026'!D67&lt;&gt;"",'MARZO 2026'!Z67="POR RECOGER"),'MARZO 2026'!I67,"")</f>
        <v/>
      </c>
      <c r="P273" s="194" t="n"/>
      <c r="Q273" s="194" t="n"/>
      <c r="R273" s="194" t="n"/>
      <c r="S273" s="194" t="n"/>
      <c r="T273" s="194" t="n"/>
      <c r="U273" s="194" t="n"/>
      <c r="V273" s="194" t="n"/>
      <c r="W273" s="194" t="n"/>
      <c r="X273" s="194" t="n"/>
      <c r="Y273" s="194" t="n"/>
      <c r="Z273" s="194" t="n"/>
    </row>
    <row r="274" ht="15" customHeight="1" s="195">
      <c r="A274" s="381">
        <f>IF(AND('MARZO 2026'!D68&lt;&gt;"",'MARZO 2026'!Z68="POR RECOGER"),"MAR","")</f>
        <v/>
      </c>
      <c r="B274" s="381">
        <f>IF(AND('MARZO 2026'!D68&lt;&gt;"",'MARZO 2026'!Z68="POR RECOGER"),IF('MARZO 2026'!Y68&lt;&gt;"",'MARZO 2026'!Y68,'MARZO 2026'!I68),"")</f>
        <v/>
      </c>
      <c r="C274" s="381">
        <f>IF(AND('MARZO 2026'!D68&lt;&gt;"",'MARZO 2026'!Z68="POR RECOGER"),'MARZO 2026'!D68,"")</f>
        <v/>
      </c>
      <c r="D274" s="381">
        <f>IF(AND('MARZO 2026'!D68&lt;&gt;"",'MARZO 2026'!Z68="POR RECOGER"),'MARZO 2026'!F68,"")</f>
        <v/>
      </c>
      <c r="E274" s="381">
        <f>IF(AND('MARZO 2026'!D68&lt;&gt;"",'MARZO 2026'!Z68="POR RECOGER"),TEXT('MARZO 2026'!G68,"DD/MM/YYYY"),"")</f>
        <v/>
      </c>
      <c r="F274" s="381">
        <f>IF(AND('MARZO 2026'!D68&lt;&gt;"",'MARZO 2026'!Z68="POR RECOGER"),'MARZO 2026'!K68,"")</f>
        <v/>
      </c>
      <c r="G274" s="382">
        <f>IF(AND('MARZO 2026'!D68&lt;&gt;"",'MARZO 2026'!Z68="POR RECOGER"),'MARZO 2026'!M68,"")</f>
        <v/>
      </c>
      <c r="H274" s="382">
        <f>IF(AND('MARZO 2026'!D68&lt;&gt;"",'MARZO 2026'!Z68="POR RECOGER"),'MARZO 2026'!N68,"")</f>
        <v/>
      </c>
      <c r="I274" s="381">
        <f>IF(AND('MARZO 2026'!D68&lt;&gt;"",'MARZO 2026'!Z68="POR RECOGER"),'MARZO 2026'!P68,"")</f>
        <v/>
      </c>
      <c r="J274" s="381">
        <f>IF(AND('MARZO 2026'!D68&lt;&gt;"",'MARZO 2026'!Z68="POR RECOGER"),'MARZO 2026'!Q68,"")</f>
        <v/>
      </c>
      <c r="K274" s="381">
        <f>IF(AND('MARZO 2026'!D68&lt;&gt;"",'MARZO 2026'!Z68="POR RECOGER"),'MARZO 2026'!Y68,"")</f>
        <v/>
      </c>
      <c r="L274" s="381">
        <f>IF(AND('MARZO 2026'!D68&lt;&gt;"",'MARZO 2026'!Z68="POR RECOGER"),'MARZO 2026'!I68,"")</f>
        <v/>
      </c>
      <c r="P274" s="194" t="n"/>
      <c r="Q274" s="194" t="n"/>
      <c r="R274" s="194" t="n"/>
      <c r="S274" s="194" t="n"/>
      <c r="T274" s="194" t="n"/>
      <c r="U274" s="194" t="n"/>
      <c r="V274" s="194" t="n"/>
      <c r="W274" s="194" t="n"/>
      <c r="X274" s="194" t="n"/>
      <c r="Y274" s="194" t="n"/>
      <c r="Z274" s="194" t="n"/>
    </row>
    <row r="275" ht="15" customHeight="1" s="195">
      <c r="A275" s="381">
        <f>IF(AND('MARZO 2026'!D69&lt;&gt;"",'MARZO 2026'!Z69="POR RECOGER"),"MAR","")</f>
        <v/>
      </c>
      <c r="B275" s="381">
        <f>IF(AND('MARZO 2026'!D69&lt;&gt;"",'MARZO 2026'!Z69="POR RECOGER"),IF('MARZO 2026'!Y69&lt;&gt;"",'MARZO 2026'!Y69,'MARZO 2026'!I69),"")</f>
        <v/>
      </c>
      <c r="C275" s="381">
        <f>IF(AND('MARZO 2026'!D69&lt;&gt;"",'MARZO 2026'!Z69="POR RECOGER"),'MARZO 2026'!D69,"")</f>
        <v/>
      </c>
      <c r="D275" s="381">
        <f>IF(AND('MARZO 2026'!D69&lt;&gt;"",'MARZO 2026'!Z69="POR RECOGER"),'MARZO 2026'!F69,"")</f>
        <v/>
      </c>
      <c r="E275" s="381">
        <f>IF(AND('MARZO 2026'!D69&lt;&gt;"",'MARZO 2026'!Z69="POR RECOGER"),TEXT('MARZO 2026'!G69,"DD/MM/YYYY"),"")</f>
        <v/>
      </c>
      <c r="F275" s="381">
        <f>IF(AND('MARZO 2026'!D69&lt;&gt;"",'MARZO 2026'!Z69="POR RECOGER"),'MARZO 2026'!K69,"")</f>
        <v/>
      </c>
      <c r="G275" s="382">
        <f>IF(AND('MARZO 2026'!D69&lt;&gt;"",'MARZO 2026'!Z69="POR RECOGER"),'MARZO 2026'!M69,"")</f>
        <v/>
      </c>
      <c r="H275" s="382">
        <f>IF(AND('MARZO 2026'!D69&lt;&gt;"",'MARZO 2026'!Z69="POR RECOGER"),'MARZO 2026'!N69,"")</f>
        <v/>
      </c>
      <c r="I275" s="381">
        <f>IF(AND('MARZO 2026'!D69&lt;&gt;"",'MARZO 2026'!Z69="POR RECOGER"),'MARZO 2026'!P69,"")</f>
        <v/>
      </c>
      <c r="J275" s="381">
        <f>IF(AND('MARZO 2026'!D69&lt;&gt;"",'MARZO 2026'!Z69="POR RECOGER"),'MARZO 2026'!Q69,"")</f>
        <v/>
      </c>
      <c r="K275" s="381">
        <f>IF(AND('MARZO 2026'!D69&lt;&gt;"",'MARZO 2026'!Z69="POR RECOGER"),'MARZO 2026'!Y69,"")</f>
        <v/>
      </c>
      <c r="L275" s="381">
        <f>IF(AND('MARZO 2026'!D69&lt;&gt;"",'MARZO 2026'!Z69="POR RECOGER"),'MARZO 2026'!I69,"")</f>
        <v/>
      </c>
      <c r="P275" s="194" t="n"/>
      <c r="Q275" s="194" t="n"/>
      <c r="R275" s="194" t="n"/>
      <c r="S275" s="194" t="n"/>
      <c r="T275" s="194" t="n"/>
      <c r="U275" s="194" t="n"/>
      <c r="V275" s="194" t="n"/>
      <c r="W275" s="194" t="n"/>
      <c r="X275" s="194" t="n"/>
      <c r="Y275" s="194" t="n"/>
      <c r="Z275" s="194" t="n"/>
    </row>
    <row r="276" ht="15" customHeight="1" s="195">
      <c r="A276" s="381">
        <f>IF(AND('MARZO 2026'!D70&lt;&gt;"",'MARZO 2026'!Z70="POR RECOGER"),"MAR","")</f>
        <v/>
      </c>
      <c r="B276" s="381">
        <f>IF(AND('MARZO 2026'!D70&lt;&gt;"",'MARZO 2026'!Z70="POR RECOGER"),IF('MARZO 2026'!Y70&lt;&gt;"",'MARZO 2026'!Y70,'MARZO 2026'!I70),"")</f>
        <v/>
      </c>
      <c r="C276" s="381">
        <f>IF(AND('MARZO 2026'!D70&lt;&gt;"",'MARZO 2026'!Z70="POR RECOGER"),'MARZO 2026'!D70,"")</f>
        <v/>
      </c>
      <c r="D276" s="381">
        <f>IF(AND('MARZO 2026'!D70&lt;&gt;"",'MARZO 2026'!Z70="POR RECOGER"),'MARZO 2026'!F70,"")</f>
        <v/>
      </c>
      <c r="E276" s="381">
        <f>IF(AND('MARZO 2026'!D70&lt;&gt;"",'MARZO 2026'!Z70="POR RECOGER"),TEXT('MARZO 2026'!G70,"DD/MM/YYYY"),"")</f>
        <v/>
      </c>
      <c r="F276" s="381">
        <f>IF(AND('MARZO 2026'!D70&lt;&gt;"",'MARZO 2026'!Z70="POR RECOGER"),'MARZO 2026'!K70,"")</f>
        <v/>
      </c>
      <c r="G276" s="382">
        <f>IF(AND('MARZO 2026'!D70&lt;&gt;"",'MARZO 2026'!Z70="POR RECOGER"),'MARZO 2026'!M70,"")</f>
        <v/>
      </c>
      <c r="H276" s="382">
        <f>IF(AND('MARZO 2026'!D70&lt;&gt;"",'MARZO 2026'!Z70="POR RECOGER"),'MARZO 2026'!N70,"")</f>
        <v/>
      </c>
      <c r="I276" s="381">
        <f>IF(AND('MARZO 2026'!D70&lt;&gt;"",'MARZO 2026'!Z70="POR RECOGER"),'MARZO 2026'!P70,"")</f>
        <v/>
      </c>
      <c r="J276" s="381">
        <f>IF(AND('MARZO 2026'!D70&lt;&gt;"",'MARZO 2026'!Z70="POR RECOGER"),'MARZO 2026'!Q70,"")</f>
        <v/>
      </c>
      <c r="K276" s="381">
        <f>IF(AND('MARZO 2026'!D70&lt;&gt;"",'MARZO 2026'!Z70="POR RECOGER"),'MARZO 2026'!Y70,"")</f>
        <v/>
      </c>
      <c r="L276" s="381">
        <f>IF(AND('MARZO 2026'!D70&lt;&gt;"",'MARZO 2026'!Z70="POR RECOGER"),'MARZO 2026'!I70,"")</f>
        <v/>
      </c>
      <c r="P276" s="194" t="n"/>
      <c r="Q276" s="194" t="n"/>
      <c r="R276" s="194" t="n"/>
      <c r="S276" s="194" t="n"/>
      <c r="T276" s="194" t="n"/>
      <c r="U276" s="194" t="n"/>
      <c r="V276" s="194" t="n"/>
      <c r="W276" s="194" t="n"/>
      <c r="X276" s="194" t="n"/>
      <c r="Y276" s="194" t="n"/>
      <c r="Z276" s="194" t="n"/>
    </row>
    <row r="277" ht="15" customHeight="1" s="195">
      <c r="A277" s="381">
        <f>IF(AND('MARZO 2026'!D71&lt;&gt;"",'MARZO 2026'!Z71="POR RECOGER"),"MAR","")</f>
        <v/>
      </c>
      <c r="B277" s="381">
        <f>IF(AND('MARZO 2026'!D71&lt;&gt;"",'MARZO 2026'!Z71="POR RECOGER"),IF('MARZO 2026'!Y71&lt;&gt;"",'MARZO 2026'!Y71,'MARZO 2026'!I71),"")</f>
        <v/>
      </c>
      <c r="C277" s="381">
        <f>IF(AND('MARZO 2026'!D71&lt;&gt;"",'MARZO 2026'!Z71="POR RECOGER"),'MARZO 2026'!D71,"")</f>
        <v/>
      </c>
      <c r="D277" s="381">
        <f>IF(AND('MARZO 2026'!D71&lt;&gt;"",'MARZO 2026'!Z71="POR RECOGER"),'MARZO 2026'!F71,"")</f>
        <v/>
      </c>
      <c r="E277" s="381">
        <f>IF(AND('MARZO 2026'!D71&lt;&gt;"",'MARZO 2026'!Z71="POR RECOGER"),TEXT('MARZO 2026'!G71,"DD/MM/YYYY"),"")</f>
        <v/>
      </c>
      <c r="F277" s="381">
        <f>IF(AND('MARZO 2026'!D71&lt;&gt;"",'MARZO 2026'!Z71="POR RECOGER"),'MARZO 2026'!K71,"")</f>
        <v/>
      </c>
      <c r="G277" s="382">
        <f>IF(AND('MARZO 2026'!D71&lt;&gt;"",'MARZO 2026'!Z71="POR RECOGER"),'MARZO 2026'!M71,"")</f>
        <v/>
      </c>
      <c r="H277" s="382">
        <f>IF(AND('MARZO 2026'!D71&lt;&gt;"",'MARZO 2026'!Z71="POR RECOGER"),'MARZO 2026'!N71,"")</f>
        <v/>
      </c>
      <c r="I277" s="381">
        <f>IF(AND('MARZO 2026'!D71&lt;&gt;"",'MARZO 2026'!Z71="POR RECOGER"),'MARZO 2026'!P71,"")</f>
        <v/>
      </c>
      <c r="J277" s="381">
        <f>IF(AND('MARZO 2026'!D71&lt;&gt;"",'MARZO 2026'!Z71="POR RECOGER"),'MARZO 2026'!Q71,"")</f>
        <v/>
      </c>
      <c r="K277" s="381">
        <f>IF(AND('MARZO 2026'!D71&lt;&gt;"",'MARZO 2026'!Z71="POR RECOGER"),'MARZO 2026'!Y71,"")</f>
        <v/>
      </c>
      <c r="L277" s="381">
        <f>IF(AND('MARZO 2026'!D71&lt;&gt;"",'MARZO 2026'!Z71="POR RECOGER"),'MARZO 2026'!I71,"")</f>
        <v/>
      </c>
      <c r="P277" s="194" t="n"/>
      <c r="Q277" s="194" t="n"/>
      <c r="R277" s="194" t="n"/>
      <c r="S277" s="194" t="n"/>
      <c r="T277" s="194" t="n"/>
      <c r="U277" s="194" t="n"/>
      <c r="V277" s="194" t="n"/>
      <c r="W277" s="194" t="n"/>
      <c r="X277" s="194" t="n"/>
      <c r="Y277" s="194" t="n"/>
      <c r="Z277" s="194" t="n"/>
    </row>
    <row r="278" ht="15" customHeight="1" s="195">
      <c r="A278" s="381">
        <f>IF(AND('MARZO 2026'!D72&lt;&gt;"",'MARZO 2026'!Z72="POR RECOGER"),"MAR","")</f>
        <v/>
      </c>
      <c r="B278" s="381">
        <f>IF(AND('MARZO 2026'!D72&lt;&gt;"",'MARZO 2026'!Z72="POR RECOGER"),IF('MARZO 2026'!Y72&lt;&gt;"",'MARZO 2026'!Y72,'MARZO 2026'!I72),"")</f>
        <v/>
      </c>
      <c r="C278" s="381">
        <f>IF(AND('MARZO 2026'!D72&lt;&gt;"",'MARZO 2026'!Z72="POR RECOGER"),'MARZO 2026'!D72,"")</f>
        <v/>
      </c>
      <c r="D278" s="381">
        <f>IF(AND('MARZO 2026'!D72&lt;&gt;"",'MARZO 2026'!Z72="POR RECOGER"),'MARZO 2026'!F72,"")</f>
        <v/>
      </c>
      <c r="E278" s="381">
        <f>IF(AND('MARZO 2026'!D72&lt;&gt;"",'MARZO 2026'!Z72="POR RECOGER"),TEXT('MARZO 2026'!G72,"DD/MM/YYYY"),"")</f>
        <v/>
      </c>
      <c r="F278" s="381">
        <f>IF(AND('MARZO 2026'!D72&lt;&gt;"",'MARZO 2026'!Z72="POR RECOGER"),'MARZO 2026'!K72,"")</f>
        <v/>
      </c>
      <c r="G278" s="382">
        <f>IF(AND('MARZO 2026'!D72&lt;&gt;"",'MARZO 2026'!Z72="POR RECOGER"),'MARZO 2026'!M72,"")</f>
        <v/>
      </c>
      <c r="H278" s="382">
        <f>IF(AND('MARZO 2026'!D72&lt;&gt;"",'MARZO 2026'!Z72="POR RECOGER"),'MARZO 2026'!N72,"")</f>
        <v/>
      </c>
      <c r="I278" s="381">
        <f>IF(AND('MARZO 2026'!D72&lt;&gt;"",'MARZO 2026'!Z72="POR RECOGER"),'MARZO 2026'!P72,"")</f>
        <v/>
      </c>
      <c r="J278" s="381">
        <f>IF(AND('MARZO 2026'!D72&lt;&gt;"",'MARZO 2026'!Z72="POR RECOGER"),'MARZO 2026'!Q72,"")</f>
        <v/>
      </c>
      <c r="K278" s="381">
        <f>IF(AND('MARZO 2026'!D72&lt;&gt;"",'MARZO 2026'!Z72="POR RECOGER"),'MARZO 2026'!Y72,"")</f>
        <v/>
      </c>
      <c r="L278" s="381">
        <f>IF(AND('MARZO 2026'!D72&lt;&gt;"",'MARZO 2026'!Z72="POR RECOGER"),'MARZO 2026'!I72,"")</f>
        <v/>
      </c>
      <c r="P278" s="194" t="n"/>
      <c r="Q278" s="194" t="n"/>
      <c r="R278" s="194" t="n"/>
      <c r="S278" s="194" t="n"/>
      <c r="T278" s="194" t="n"/>
      <c r="U278" s="194" t="n"/>
      <c r="V278" s="194" t="n"/>
      <c r="W278" s="194" t="n"/>
      <c r="X278" s="194" t="n"/>
      <c r="Y278" s="194" t="n"/>
      <c r="Z278" s="194" t="n"/>
    </row>
    <row r="279" ht="15" customHeight="1" s="195">
      <c r="A279" s="381">
        <f>IF(AND('MARZO 2026'!D73&lt;&gt;"",'MARZO 2026'!Z73="POR RECOGER"),"MAR","")</f>
        <v/>
      </c>
      <c r="B279" s="381">
        <f>IF(AND('MARZO 2026'!D73&lt;&gt;"",'MARZO 2026'!Z73="POR RECOGER"),IF('MARZO 2026'!Y73&lt;&gt;"",'MARZO 2026'!Y73,'MARZO 2026'!I73),"")</f>
        <v/>
      </c>
      <c r="C279" s="381">
        <f>IF(AND('MARZO 2026'!D73&lt;&gt;"",'MARZO 2026'!Z73="POR RECOGER"),'MARZO 2026'!D73,"")</f>
        <v/>
      </c>
      <c r="D279" s="381">
        <f>IF(AND('MARZO 2026'!D73&lt;&gt;"",'MARZO 2026'!Z73="POR RECOGER"),'MARZO 2026'!F73,"")</f>
        <v/>
      </c>
      <c r="E279" s="381">
        <f>IF(AND('MARZO 2026'!D73&lt;&gt;"",'MARZO 2026'!Z73="POR RECOGER"),TEXT('MARZO 2026'!G73,"DD/MM/YYYY"),"")</f>
        <v/>
      </c>
      <c r="F279" s="381">
        <f>IF(AND('MARZO 2026'!D73&lt;&gt;"",'MARZO 2026'!Z73="POR RECOGER"),'MARZO 2026'!K73,"")</f>
        <v/>
      </c>
      <c r="G279" s="382">
        <f>IF(AND('MARZO 2026'!D73&lt;&gt;"",'MARZO 2026'!Z73="POR RECOGER"),'MARZO 2026'!M73,"")</f>
        <v/>
      </c>
      <c r="H279" s="382">
        <f>IF(AND('MARZO 2026'!D73&lt;&gt;"",'MARZO 2026'!Z73="POR RECOGER"),'MARZO 2026'!N73,"")</f>
        <v/>
      </c>
      <c r="I279" s="381">
        <f>IF(AND('MARZO 2026'!D73&lt;&gt;"",'MARZO 2026'!Z73="POR RECOGER"),'MARZO 2026'!P73,"")</f>
        <v/>
      </c>
      <c r="J279" s="381">
        <f>IF(AND('MARZO 2026'!D73&lt;&gt;"",'MARZO 2026'!Z73="POR RECOGER"),'MARZO 2026'!Q73,"")</f>
        <v/>
      </c>
      <c r="K279" s="381">
        <f>IF(AND('MARZO 2026'!D73&lt;&gt;"",'MARZO 2026'!Z73="POR RECOGER"),'MARZO 2026'!Y73,"")</f>
        <v/>
      </c>
      <c r="L279" s="381">
        <f>IF(AND('MARZO 2026'!D73&lt;&gt;"",'MARZO 2026'!Z73="POR RECOGER"),'MARZO 2026'!I73,"")</f>
        <v/>
      </c>
      <c r="P279" s="194" t="n"/>
      <c r="Q279" s="194" t="n"/>
      <c r="R279" s="194" t="n"/>
      <c r="S279" s="194" t="n"/>
      <c r="T279" s="194" t="n"/>
      <c r="U279" s="194" t="n"/>
      <c r="V279" s="194" t="n"/>
      <c r="W279" s="194" t="n"/>
      <c r="X279" s="194" t="n"/>
      <c r="Y279" s="194" t="n"/>
      <c r="Z279" s="194" t="n"/>
    </row>
    <row r="280" ht="15" customHeight="1" s="195">
      <c r="A280" s="381">
        <f>IF(AND('MARZO 2026'!D74&lt;&gt;"",'MARZO 2026'!Z74="POR RECOGER"),"MAR","")</f>
        <v/>
      </c>
      <c r="B280" s="381">
        <f>IF(AND('MARZO 2026'!D74&lt;&gt;"",'MARZO 2026'!Z74="POR RECOGER"),IF('MARZO 2026'!Y74&lt;&gt;"",'MARZO 2026'!Y74,'MARZO 2026'!I74),"")</f>
        <v/>
      </c>
      <c r="C280" s="381">
        <f>IF(AND('MARZO 2026'!D74&lt;&gt;"",'MARZO 2026'!Z74="POR RECOGER"),'MARZO 2026'!D74,"")</f>
        <v/>
      </c>
      <c r="D280" s="381">
        <f>IF(AND('MARZO 2026'!D74&lt;&gt;"",'MARZO 2026'!Z74="POR RECOGER"),'MARZO 2026'!F74,"")</f>
        <v/>
      </c>
      <c r="E280" s="381">
        <f>IF(AND('MARZO 2026'!D74&lt;&gt;"",'MARZO 2026'!Z74="POR RECOGER"),TEXT('MARZO 2026'!G74,"DD/MM/YYYY"),"")</f>
        <v/>
      </c>
      <c r="F280" s="381">
        <f>IF(AND('MARZO 2026'!D74&lt;&gt;"",'MARZO 2026'!Z74="POR RECOGER"),'MARZO 2026'!K74,"")</f>
        <v/>
      </c>
      <c r="G280" s="382">
        <f>IF(AND('MARZO 2026'!D74&lt;&gt;"",'MARZO 2026'!Z74="POR RECOGER"),'MARZO 2026'!M74,"")</f>
        <v/>
      </c>
      <c r="H280" s="382">
        <f>IF(AND('MARZO 2026'!D74&lt;&gt;"",'MARZO 2026'!Z74="POR RECOGER"),'MARZO 2026'!N74,"")</f>
        <v/>
      </c>
      <c r="I280" s="381">
        <f>IF(AND('MARZO 2026'!D74&lt;&gt;"",'MARZO 2026'!Z74="POR RECOGER"),'MARZO 2026'!P74,"")</f>
        <v/>
      </c>
      <c r="J280" s="381">
        <f>IF(AND('MARZO 2026'!D74&lt;&gt;"",'MARZO 2026'!Z74="POR RECOGER"),'MARZO 2026'!Q74,"")</f>
        <v/>
      </c>
      <c r="K280" s="381">
        <f>IF(AND('MARZO 2026'!D74&lt;&gt;"",'MARZO 2026'!Z74="POR RECOGER"),'MARZO 2026'!Y74,"")</f>
        <v/>
      </c>
      <c r="L280" s="381">
        <f>IF(AND('MARZO 2026'!D74&lt;&gt;"",'MARZO 2026'!Z74="POR RECOGER"),'MARZO 2026'!I74,"")</f>
        <v/>
      </c>
      <c r="P280" s="194" t="n"/>
      <c r="Q280" s="194" t="n"/>
      <c r="R280" s="194" t="n"/>
      <c r="S280" s="194" t="n"/>
      <c r="T280" s="194" t="n"/>
      <c r="U280" s="194" t="n"/>
      <c r="V280" s="194" t="n"/>
      <c r="W280" s="194" t="n"/>
      <c r="X280" s="194" t="n"/>
      <c r="Y280" s="194" t="n"/>
      <c r="Z280" s="194" t="n"/>
    </row>
    <row r="281" ht="15" customHeight="1" s="195">
      <c r="A281" s="381">
        <f>IF(AND('MARZO 2026'!D75&lt;&gt;"",'MARZO 2026'!Z75="POR RECOGER"),"MAR","")</f>
        <v/>
      </c>
      <c r="B281" s="381">
        <f>IF(AND('MARZO 2026'!D75&lt;&gt;"",'MARZO 2026'!Z75="POR RECOGER"),IF('MARZO 2026'!Y75&lt;&gt;"",'MARZO 2026'!Y75,'MARZO 2026'!I75),"")</f>
        <v/>
      </c>
      <c r="C281" s="381">
        <f>IF(AND('MARZO 2026'!D75&lt;&gt;"",'MARZO 2026'!Z75="POR RECOGER"),'MARZO 2026'!D75,"")</f>
        <v/>
      </c>
      <c r="D281" s="381">
        <f>IF(AND('MARZO 2026'!D75&lt;&gt;"",'MARZO 2026'!Z75="POR RECOGER"),'MARZO 2026'!F75,"")</f>
        <v/>
      </c>
      <c r="E281" s="381">
        <f>IF(AND('MARZO 2026'!D75&lt;&gt;"",'MARZO 2026'!Z75="POR RECOGER"),TEXT('MARZO 2026'!G75,"DD/MM/YYYY"),"")</f>
        <v/>
      </c>
      <c r="F281" s="381">
        <f>IF(AND('MARZO 2026'!D75&lt;&gt;"",'MARZO 2026'!Z75="POR RECOGER"),'MARZO 2026'!K75,"")</f>
        <v/>
      </c>
      <c r="G281" s="382">
        <f>IF(AND('MARZO 2026'!D75&lt;&gt;"",'MARZO 2026'!Z75="POR RECOGER"),'MARZO 2026'!M75,"")</f>
        <v/>
      </c>
      <c r="H281" s="382">
        <f>IF(AND('MARZO 2026'!D75&lt;&gt;"",'MARZO 2026'!Z75="POR RECOGER"),'MARZO 2026'!N75,"")</f>
        <v/>
      </c>
      <c r="I281" s="381">
        <f>IF(AND('MARZO 2026'!D75&lt;&gt;"",'MARZO 2026'!Z75="POR RECOGER"),'MARZO 2026'!P75,"")</f>
        <v/>
      </c>
      <c r="J281" s="381">
        <f>IF(AND('MARZO 2026'!D75&lt;&gt;"",'MARZO 2026'!Z75="POR RECOGER"),'MARZO 2026'!Q75,"")</f>
        <v/>
      </c>
      <c r="K281" s="381">
        <f>IF(AND('MARZO 2026'!D75&lt;&gt;"",'MARZO 2026'!Z75="POR RECOGER"),'MARZO 2026'!Y75,"")</f>
        <v/>
      </c>
      <c r="L281" s="381">
        <f>IF(AND('MARZO 2026'!D75&lt;&gt;"",'MARZO 2026'!Z75="POR RECOGER"),'MARZO 2026'!I75,"")</f>
        <v/>
      </c>
      <c r="P281" s="194" t="n"/>
      <c r="Q281" s="194" t="n"/>
      <c r="R281" s="194" t="n"/>
      <c r="S281" s="194" t="n"/>
      <c r="T281" s="194" t="n"/>
      <c r="U281" s="194" t="n"/>
      <c r="V281" s="194" t="n"/>
      <c r="W281" s="194" t="n"/>
      <c r="X281" s="194" t="n"/>
      <c r="Y281" s="194" t="n"/>
      <c r="Z281" s="194" t="n"/>
    </row>
    <row r="282" ht="15" customHeight="1" s="195">
      <c r="A282" s="381">
        <f>IF(AND('MARZO 2026'!D76&lt;&gt;"",'MARZO 2026'!Z76="POR RECOGER"),"MAR","")</f>
        <v/>
      </c>
      <c r="B282" s="381">
        <f>IF(AND('MARZO 2026'!D76&lt;&gt;"",'MARZO 2026'!Z76="POR RECOGER"),IF('MARZO 2026'!Y76&lt;&gt;"",'MARZO 2026'!Y76,'MARZO 2026'!I76),"")</f>
        <v/>
      </c>
      <c r="C282" s="381">
        <f>IF(AND('MARZO 2026'!D76&lt;&gt;"",'MARZO 2026'!Z76="POR RECOGER"),'MARZO 2026'!D76,"")</f>
        <v/>
      </c>
      <c r="D282" s="381">
        <f>IF(AND('MARZO 2026'!D76&lt;&gt;"",'MARZO 2026'!Z76="POR RECOGER"),'MARZO 2026'!F76,"")</f>
        <v/>
      </c>
      <c r="E282" s="381">
        <f>IF(AND('MARZO 2026'!D76&lt;&gt;"",'MARZO 2026'!Z76="POR RECOGER"),TEXT('MARZO 2026'!G76,"DD/MM/YYYY"),"")</f>
        <v/>
      </c>
      <c r="F282" s="381">
        <f>IF(AND('MARZO 2026'!D76&lt;&gt;"",'MARZO 2026'!Z76="POR RECOGER"),'MARZO 2026'!K76,"")</f>
        <v/>
      </c>
      <c r="G282" s="382">
        <f>IF(AND('MARZO 2026'!D76&lt;&gt;"",'MARZO 2026'!Z76="POR RECOGER"),'MARZO 2026'!M76,"")</f>
        <v/>
      </c>
      <c r="H282" s="382">
        <f>IF(AND('MARZO 2026'!D76&lt;&gt;"",'MARZO 2026'!Z76="POR RECOGER"),'MARZO 2026'!N76,"")</f>
        <v/>
      </c>
      <c r="I282" s="381">
        <f>IF(AND('MARZO 2026'!D76&lt;&gt;"",'MARZO 2026'!Z76="POR RECOGER"),'MARZO 2026'!P76,"")</f>
        <v/>
      </c>
      <c r="J282" s="381">
        <f>IF(AND('MARZO 2026'!D76&lt;&gt;"",'MARZO 2026'!Z76="POR RECOGER"),'MARZO 2026'!Q76,"")</f>
        <v/>
      </c>
      <c r="K282" s="381">
        <f>IF(AND('MARZO 2026'!D76&lt;&gt;"",'MARZO 2026'!Z76="POR RECOGER"),'MARZO 2026'!Y76,"")</f>
        <v/>
      </c>
      <c r="L282" s="381">
        <f>IF(AND('MARZO 2026'!D76&lt;&gt;"",'MARZO 2026'!Z76="POR RECOGER"),'MARZO 2026'!I76,"")</f>
        <v/>
      </c>
      <c r="P282" s="194" t="n"/>
      <c r="Q282" s="194" t="n"/>
      <c r="R282" s="194" t="n"/>
      <c r="S282" s="194" t="n"/>
      <c r="T282" s="194" t="n"/>
      <c r="U282" s="194" t="n"/>
      <c r="V282" s="194" t="n"/>
      <c r="W282" s="194" t="n"/>
      <c r="X282" s="194" t="n"/>
      <c r="Y282" s="194" t="n"/>
      <c r="Z282" s="194" t="n"/>
    </row>
    <row r="283" ht="15" customHeight="1" s="195">
      <c r="A283" s="381">
        <f>IF(AND('MARZO 2026'!D77&lt;&gt;"",'MARZO 2026'!Z77="POR RECOGER"),"MAR","")</f>
        <v/>
      </c>
      <c r="B283" s="381">
        <f>IF(AND('MARZO 2026'!D77&lt;&gt;"",'MARZO 2026'!Z77="POR RECOGER"),IF('MARZO 2026'!Y77&lt;&gt;"",'MARZO 2026'!Y77,'MARZO 2026'!I77),"")</f>
        <v/>
      </c>
      <c r="C283" s="381">
        <f>IF(AND('MARZO 2026'!D77&lt;&gt;"",'MARZO 2026'!Z77="POR RECOGER"),'MARZO 2026'!D77,"")</f>
        <v/>
      </c>
      <c r="D283" s="381">
        <f>IF(AND('MARZO 2026'!D77&lt;&gt;"",'MARZO 2026'!Z77="POR RECOGER"),'MARZO 2026'!F77,"")</f>
        <v/>
      </c>
      <c r="E283" s="381">
        <f>IF(AND('MARZO 2026'!D77&lt;&gt;"",'MARZO 2026'!Z77="POR RECOGER"),TEXT('MARZO 2026'!G77,"DD/MM/YYYY"),"")</f>
        <v/>
      </c>
      <c r="F283" s="381">
        <f>IF(AND('MARZO 2026'!D77&lt;&gt;"",'MARZO 2026'!Z77="POR RECOGER"),'MARZO 2026'!K77,"")</f>
        <v/>
      </c>
      <c r="G283" s="382">
        <f>IF(AND('MARZO 2026'!D77&lt;&gt;"",'MARZO 2026'!Z77="POR RECOGER"),'MARZO 2026'!M77,"")</f>
        <v/>
      </c>
      <c r="H283" s="382">
        <f>IF(AND('MARZO 2026'!D77&lt;&gt;"",'MARZO 2026'!Z77="POR RECOGER"),'MARZO 2026'!N77,"")</f>
        <v/>
      </c>
      <c r="I283" s="381">
        <f>IF(AND('MARZO 2026'!D77&lt;&gt;"",'MARZO 2026'!Z77="POR RECOGER"),'MARZO 2026'!P77,"")</f>
        <v/>
      </c>
      <c r="J283" s="381">
        <f>IF(AND('MARZO 2026'!D77&lt;&gt;"",'MARZO 2026'!Z77="POR RECOGER"),'MARZO 2026'!Q77,"")</f>
        <v/>
      </c>
      <c r="K283" s="381">
        <f>IF(AND('MARZO 2026'!D77&lt;&gt;"",'MARZO 2026'!Z77="POR RECOGER"),'MARZO 2026'!Y77,"")</f>
        <v/>
      </c>
      <c r="L283" s="381">
        <f>IF(AND('MARZO 2026'!D77&lt;&gt;"",'MARZO 2026'!Z77="POR RECOGER"),'MARZO 2026'!I77,"")</f>
        <v/>
      </c>
      <c r="P283" s="194" t="n"/>
      <c r="Q283" s="194" t="n"/>
      <c r="R283" s="194" t="n"/>
      <c r="S283" s="194" t="n"/>
      <c r="T283" s="194" t="n"/>
      <c r="U283" s="194" t="n"/>
      <c r="V283" s="194" t="n"/>
      <c r="W283" s="194" t="n"/>
      <c r="X283" s="194" t="n"/>
      <c r="Y283" s="194" t="n"/>
      <c r="Z283" s="194" t="n"/>
    </row>
    <row r="284" ht="15" customHeight="1" s="195">
      <c r="A284" s="381">
        <f>IF(AND('MARZO 2026'!D78&lt;&gt;"",'MARZO 2026'!Z78="POR RECOGER"),"MAR","")</f>
        <v/>
      </c>
      <c r="B284" s="381">
        <f>IF(AND('MARZO 2026'!D78&lt;&gt;"",'MARZO 2026'!Z78="POR RECOGER"),IF('MARZO 2026'!Y78&lt;&gt;"",'MARZO 2026'!Y78,'MARZO 2026'!I78),"")</f>
        <v/>
      </c>
      <c r="C284" s="381">
        <f>IF(AND('MARZO 2026'!D78&lt;&gt;"",'MARZO 2026'!Z78="POR RECOGER"),'MARZO 2026'!D78,"")</f>
        <v/>
      </c>
      <c r="D284" s="381">
        <f>IF(AND('MARZO 2026'!D78&lt;&gt;"",'MARZO 2026'!Z78="POR RECOGER"),'MARZO 2026'!F78,"")</f>
        <v/>
      </c>
      <c r="E284" s="381">
        <f>IF(AND('MARZO 2026'!D78&lt;&gt;"",'MARZO 2026'!Z78="POR RECOGER"),TEXT('MARZO 2026'!G78,"DD/MM/YYYY"),"")</f>
        <v/>
      </c>
      <c r="F284" s="381">
        <f>IF(AND('MARZO 2026'!D78&lt;&gt;"",'MARZO 2026'!Z78="POR RECOGER"),'MARZO 2026'!K78,"")</f>
        <v/>
      </c>
      <c r="G284" s="382">
        <f>IF(AND('MARZO 2026'!D78&lt;&gt;"",'MARZO 2026'!Z78="POR RECOGER"),'MARZO 2026'!M78,"")</f>
        <v/>
      </c>
      <c r="H284" s="382">
        <f>IF(AND('MARZO 2026'!D78&lt;&gt;"",'MARZO 2026'!Z78="POR RECOGER"),'MARZO 2026'!N78,"")</f>
        <v/>
      </c>
      <c r="I284" s="381">
        <f>IF(AND('MARZO 2026'!D78&lt;&gt;"",'MARZO 2026'!Z78="POR RECOGER"),'MARZO 2026'!P78,"")</f>
        <v/>
      </c>
      <c r="J284" s="381">
        <f>IF(AND('MARZO 2026'!D78&lt;&gt;"",'MARZO 2026'!Z78="POR RECOGER"),'MARZO 2026'!Q78,"")</f>
        <v/>
      </c>
      <c r="K284" s="381">
        <f>IF(AND('MARZO 2026'!D78&lt;&gt;"",'MARZO 2026'!Z78="POR RECOGER"),'MARZO 2026'!Y78,"")</f>
        <v/>
      </c>
      <c r="L284" s="381">
        <f>IF(AND('MARZO 2026'!D78&lt;&gt;"",'MARZO 2026'!Z78="POR RECOGER"),'MARZO 2026'!I78,"")</f>
        <v/>
      </c>
      <c r="P284" s="194" t="n"/>
      <c r="Q284" s="194" t="n"/>
      <c r="R284" s="194" t="n"/>
      <c r="S284" s="194" t="n"/>
      <c r="T284" s="194" t="n"/>
      <c r="U284" s="194" t="n"/>
      <c r="V284" s="194" t="n"/>
      <c r="W284" s="194" t="n"/>
      <c r="X284" s="194" t="n"/>
      <c r="Y284" s="194" t="n"/>
      <c r="Z284" s="194" t="n"/>
    </row>
    <row r="285" ht="15" customHeight="1" s="195">
      <c r="A285" s="381">
        <f>IF(AND('MARZO 2026'!D79&lt;&gt;"",'MARZO 2026'!Z79="POR RECOGER"),"MAR","")</f>
        <v/>
      </c>
      <c r="B285" s="381">
        <f>IF(AND('MARZO 2026'!D79&lt;&gt;"",'MARZO 2026'!Z79="POR RECOGER"),IF('MARZO 2026'!Y79&lt;&gt;"",'MARZO 2026'!Y79,'MARZO 2026'!I79),"")</f>
        <v/>
      </c>
      <c r="C285" s="381">
        <f>IF(AND('MARZO 2026'!D79&lt;&gt;"",'MARZO 2026'!Z79="POR RECOGER"),'MARZO 2026'!D79,"")</f>
        <v/>
      </c>
      <c r="D285" s="381">
        <f>IF(AND('MARZO 2026'!D79&lt;&gt;"",'MARZO 2026'!Z79="POR RECOGER"),'MARZO 2026'!F79,"")</f>
        <v/>
      </c>
      <c r="E285" s="381">
        <f>IF(AND('MARZO 2026'!D79&lt;&gt;"",'MARZO 2026'!Z79="POR RECOGER"),TEXT('MARZO 2026'!G79,"DD/MM/YYYY"),"")</f>
        <v/>
      </c>
      <c r="F285" s="381">
        <f>IF(AND('MARZO 2026'!D79&lt;&gt;"",'MARZO 2026'!Z79="POR RECOGER"),'MARZO 2026'!K79,"")</f>
        <v/>
      </c>
      <c r="G285" s="382">
        <f>IF(AND('MARZO 2026'!D79&lt;&gt;"",'MARZO 2026'!Z79="POR RECOGER"),'MARZO 2026'!M79,"")</f>
        <v/>
      </c>
      <c r="H285" s="382">
        <f>IF(AND('MARZO 2026'!D79&lt;&gt;"",'MARZO 2026'!Z79="POR RECOGER"),'MARZO 2026'!N79,"")</f>
        <v/>
      </c>
      <c r="I285" s="381">
        <f>IF(AND('MARZO 2026'!D79&lt;&gt;"",'MARZO 2026'!Z79="POR RECOGER"),'MARZO 2026'!P79,"")</f>
        <v/>
      </c>
      <c r="J285" s="381">
        <f>IF(AND('MARZO 2026'!D79&lt;&gt;"",'MARZO 2026'!Z79="POR RECOGER"),'MARZO 2026'!Q79,"")</f>
        <v/>
      </c>
      <c r="K285" s="381">
        <f>IF(AND('MARZO 2026'!D79&lt;&gt;"",'MARZO 2026'!Z79="POR RECOGER"),'MARZO 2026'!Y79,"")</f>
        <v/>
      </c>
      <c r="L285" s="381">
        <f>IF(AND('MARZO 2026'!D79&lt;&gt;"",'MARZO 2026'!Z79="POR RECOGER"),'MARZO 2026'!I79,"")</f>
        <v/>
      </c>
      <c r="P285" s="194" t="n"/>
      <c r="Q285" s="194" t="n"/>
      <c r="R285" s="194" t="n"/>
      <c r="S285" s="194" t="n"/>
      <c r="T285" s="194" t="n"/>
      <c r="U285" s="194" t="n"/>
      <c r="V285" s="194" t="n"/>
      <c r="W285" s="194" t="n"/>
      <c r="X285" s="194" t="n"/>
      <c r="Y285" s="194" t="n"/>
      <c r="Z285" s="194" t="n"/>
    </row>
    <row r="286" ht="15" customHeight="1" s="195">
      <c r="A286" s="381">
        <f>IF(AND('MARZO 2026'!D80&lt;&gt;"",'MARZO 2026'!Z80="POR RECOGER"),"MAR","")</f>
        <v/>
      </c>
      <c r="B286" s="381">
        <f>IF(AND('MARZO 2026'!D80&lt;&gt;"",'MARZO 2026'!Z80="POR RECOGER"),IF('MARZO 2026'!Y80&lt;&gt;"",'MARZO 2026'!Y80,'MARZO 2026'!I80),"")</f>
        <v/>
      </c>
      <c r="C286" s="381">
        <f>IF(AND('MARZO 2026'!D80&lt;&gt;"",'MARZO 2026'!Z80="POR RECOGER"),'MARZO 2026'!D80,"")</f>
        <v/>
      </c>
      <c r="D286" s="381">
        <f>IF(AND('MARZO 2026'!D80&lt;&gt;"",'MARZO 2026'!Z80="POR RECOGER"),'MARZO 2026'!F80,"")</f>
        <v/>
      </c>
      <c r="E286" s="381">
        <f>IF(AND('MARZO 2026'!D80&lt;&gt;"",'MARZO 2026'!Z80="POR RECOGER"),TEXT('MARZO 2026'!G80,"DD/MM/YYYY"),"")</f>
        <v/>
      </c>
      <c r="F286" s="381">
        <f>IF(AND('MARZO 2026'!D80&lt;&gt;"",'MARZO 2026'!Z80="POR RECOGER"),'MARZO 2026'!K80,"")</f>
        <v/>
      </c>
      <c r="G286" s="382">
        <f>IF(AND('MARZO 2026'!D80&lt;&gt;"",'MARZO 2026'!Z80="POR RECOGER"),'MARZO 2026'!M80,"")</f>
        <v/>
      </c>
      <c r="H286" s="382">
        <f>IF(AND('MARZO 2026'!D80&lt;&gt;"",'MARZO 2026'!Z80="POR RECOGER"),'MARZO 2026'!N80,"")</f>
        <v/>
      </c>
      <c r="I286" s="381">
        <f>IF(AND('MARZO 2026'!D80&lt;&gt;"",'MARZO 2026'!Z80="POR RECOGER"),'MARZO 2026'!P80,"")</f>
        <v/>
      </c>
      <c r="J286" s="381">
        <f>IF(AND('MARZO 2026'!D80&lt;&gt;"",'MARZO 2026'!Z80="POR RECOGER"),'MARZO 2026'!Q80,"")</f>
        <v/>
      </c>
      <c r="K286" s="381">
        <f>IF(AND('MARZO 2026'!D80&lt;&gt;"",'MARZO 2026'!Z80="POR RECOGER"),'MARZO 2026'!Y80,"")</f>
        <v/>
      </c>
      <c r="L286" s="381">
        <f>IF(AND('MARZO 2026'!D80&lt;&gt;"",'MARZO 2026'!Z80="POR RECOGER"),'MARZO 2026'!I80,"")</f>
        <v/>
      </c>
      <c r="P286" s="194" t="n"/>
      <c r="Q286" s="194" t="n"/>
      <c r="R286" s="194" t="n"/>
      <c r="S286" s="194" t="n"/>
      <c r="T286" s="194" t="n"/>
      <c r="U286" s="194" t="n"/>
      <c r="V286" s="194" t="n"/>
      <c r="W286" s="194" t="n"/>
      <c r="X286" s="194" t="n"/>
      <c r="Y286" s="194" t="n"/>
      <c r="Z286" s="194" t="n"/>
    </row>
    <row r="287" ht="15" customHeight="1" s="195">
      <c r="A287" s="381">
        <f>IF(AND('MARZO 2026'!D81&lt;&gt;"",'MARZO 2026'!Z81="POR RECOGER"),"MAR","")</f>
        <v/>
      </c>
      <c r="B287" s="381">
        <f>IF(AND('MARZO 2026'!D81&lt;&gt;"",'MARZO 2026'!Z81="POR RECOGER"),IF('MARZO 2026'!Y81&lt;&gt;"",'MARZO 2026'!Y81,'MARZO 2026'!I81),"")</f>
        <v/>
      </c>
      <c r="C287" s="381">
        <f>IF(AND('MARZO 2026'!D81&lt;&gt;"",'MARZO 2026'!Z81="POR RECOGER"),'MARZO 2026'!D81,"")</f>
        <v/>
      </c>
      <c r="D287" s="381">
        <f>IF(AND('MARZO 2026'!D81&lt;&gt;"",'MARZO 2026'!Z81="POR RECOGER"),'MARZO 2026'!F81,"")</f>
        <v/>
      </c>
      <c r="E287" s="381">
        <f>IF(AND('MARZO 2026'!D81&lt;&gt;"",'MARZO 2026'!Z81="POR RECOGER"),TEXT('MARZO 2026'!G81,"DD/MM/YYYY"),"")</f>
        <v/>
      </c>
      <c r="F287" s="381">
        <f>IF(AND('MARZO 2026'!D81&lt;&gt;"",'MARZO 2026'!Z81="POR RECOGER"),'MARZO 2026'!K81,"")</f>
        <v/>
      </c>
      <c r="G287" s="382">
        <f>IF(AND('MARZO 2026'!D81&lt;&gt;"",'MARZO 2026'!Z81="POR RECOGER"),'MARZO 2026'!M81,"")</f>
        <v/>
      </c>
      <c r="H287" s="382">
        <f>IF(AND('MARZO 2026'!D81&lt;&gt;"",'MARZO 2026'!Z81="POR RECOGER"),'MARZO 2026'!N81,"")</f>
        <v/>
      </c>
      <c r="I287" s="381">
        <f>IF(AND('MARZO 2026'!D81&lt;&gt;"",'MARZO 2026'!Z81="POR RECOGER"),'MARZO 2026'!P81,"")</f>
        <v/>
      </c>
      <c r="J287" s="381">
        <f>IF(AND('MARZO 2026'!D81&lt;&gt;"",'MARZO 2026'!Z81="POR RECOGER"),'MARZO 2026'!Q81,"")</f>
        <v/>
      </c>
      <c r="K287" s="381">
        <f>IF(AND('MARZO 2026'!D81&lt;&gt;"",'MARZO 2026'!Z81="POR RECOGER"),'MARZO 2026'!Y81,"")</f>
        <v/>
      </c>
      <c r="L287" s="381">
        <f>IF(AND('MARZO 2026'!D81&lt;&gt;"",'MARZO 2026'!Z81="POR RECOGER"),'MARZO 2026'!I81,"")</f>
        <v/>
      </c>
      <c r="P287" s="194" t="n"/>
      <c r="Q287" s="194" t="n"/>
      <c r="R287" s="194" t="n"/>
      <c r="S287" s="194" t="n"/>
      <c r="T287" s="194" t="n"/>
      <c r="U287" s="194" t="n"/>
      <c r="V287" s="194" t="n"/>
      <c r="W287" s="194" t="n"/>
      <c r="X287" s="194" t="n"/>
      <c r="Y287" s="194" t="n"/>
      <c r="Z287" s="194" t="n"/>
    </row>
    <row r="288" ht="15" customHeight="1" s="195">
      <c r="A288" s="381">
        <f>IF(AND('MARZO 2026'!D82&lt;&gt;"",'MARZO 2026'!Z82="POR RECOGER"),"MAR","")</f>
        <v/>
      </c>
      <c r="B288" s="381">
        <f>IF(AND('MARZO 2026'!D82&lt;&gt;"",'MARZO 2026'!Z82="POR RECOGER"),IF('MARZO 2026'!Y82&lt;&gt;"",'MARZO 2026'!Y82,'MARZO 2026'!I82),"")</f>
        <v/>
      </c>
      <c r="C288" s="381">
        <f>IF(AND('MARZO 2026'!D82&lt;&gt;"",'MARZO 2026'!Z82="POR RECOGER"),'MARZO 2026'!D82,"")</f>
        <v/>
      </c>
      <c r="D288" s="381">
        <f>IF(AND('MARZO 2026'!D82&lt;&gt;"",'MARZO 2026'!Z82="POR RECOGER"),'MARZO 2026'!F82,"")</f>
        <v/>
      </c>
      <c r="E288" s="381">
        <f>IF(AND('MARZO 2026'!D82&lt;&gt;"",'MARZO 2026'!Z82="POR RECOGER"),TEXT('MARZO 2026'!G82,"DD/MM/YYYY"),"")</f>
        <v/>
      </c>
      <c r="F288" s="381">
        <f>IF(AND('MARZO 2026'!D82&lt;&gt;"",'MARZO 2026'!Z82="POR RECOGER"),'MARZO 2026'!K82,"")</f>
        <v/>
      </c>
      <c r="G288" s="382">
        <f>IF(AND('MARZO 2026'!D82&lt;&gt;"",'MARZO 2026'!Z82="POR RECOGER"),'MARZO 2026'!M82,"")</f>
        <v/>
      </c>
      <c r="H288" s="382">
        <f>IF(AND('MARZO 2026'!D82&lt;&gt;"",'MARZO 2026'!Z82="POR RECOGER"),'MARZO 2026'!N82,"")</f>
        <v/>
      </c>
      <c r="I288" s="381">
        <f>IF(AND('MARZO 2026'!D82&lt;&gt;"",'MARZO 2026'!Z82="POR RECOGER"),'MARZO 2026'!P82,"")</f>
        <v/>
      </c>
      <c r="J288" s="381">
        <f>IF(AND('MARZO 2026'!D82&lt;&gt;"",'MARZO 2026'!Z82="POR RECOGER"),'MARZO 2026'!Q82,"")</f>
        <v/>
      </c>
      <c r="K288" s="381">
        <f>IF(AND('MARZO 2026'!D82&lt;&gt;"",'MARZO 2026'!Z82="POR RECOGER"),'MARZO 2026'!Y82,"")</f>
        <v/>
      </c>
      <c r="L288" s="381">
        <f>IF(AND('MARZO 2026'!D82&lt;&gt;"",'MARZO 2026'!Z82="POR RECOGER"),'MARZO 2026'!I82,"")</f>
        <v/>
      </c>
      <c r="P288" s="194" t="n"/>
      <c r="Q288" s="194" t="n"/>
      <c r="R288" s="194" t="n"/>
      <c r="S288" s="194" t="n"/>
      <c r="T288" s="194" t="n"/>
      <c r="U288" s="194" t="n"/>
      <c r="V288" s="194" t="n"/>
      <c r="W288" s="194" t="n"/>
      <c r="X288" s="194" t="n"/>
      <c r="Y288" s="194" t="n"/>
      <c r="Z288" s="194" t="n"/>
    </row>
    <row r="289" ht="15" customHeight="1" s="195">
      <c r="A289" s="381">
        <f>IF(AND('MARZO 2026'!D83&lt;&gt;"",'MARZO 2026'!Z83="POR RECOGER"),"MAR","")</f>
        <v/>
      </c>
      <c r="B289" s="381">
        <f>IF(AND('MARZO 2026'!D83&lt;&gt;"",'MARZO 2026'!Z83="POR RECOGER"),IF('MARZO 2026'!Y83&lt;&gt;"",'MARZO 2026'!Y83,'MARZO 2026'!I83),"")</f>
        <v/>
      </c>
      <c r="C289" s="381">
        <f>IF(AND('MARZO 2026'!D83&lt;&gt;"",'MARZO 2026'!Z83="POR RECOGER"),'MARZO 2026'!D83,"")</f>
        <v/>
      </c>
      <c r="D289" s="381">
        <f>IF(AND('MARZO 2026'!D83&lt;&gt;"",'MARZO 2026'!Z83="POR RECOGER"),'MARZO 2026'!F83,"")</f>
        <v/>
      </c>
      <c r="E289" s="381">
        <f>IF(AND('MARZO 2026'!D83&lt;&gt;"",'MARZO 2026'!Z83="POR RECOGER"),TEXT('MARZO 2026'!G83,"DD/MM/YYYY"),"")</f>
        <v/>
      </c>
      <c r="F289" s="381">
        <f>IF(AND('MARZO 2026'!D83&lt;&gt;"",'MARZO 2026'!Z83="POR RECOGER"),'MARZO 2026'!K83,"")</f>
        <v/>
      </c>
      <c r="G289" s="382">
        <f>IF(AND('MARZO 2026'!D83&lt;&gt;"",'MARZO 2026'!Z83="POR RECOGER"),'MARZO 2026'!M83,"")</f>
        <v/>
      </c>
      <c r="H289" s="382">
        <f>IF(AND('MARZO 2026'!D83&lt;&gt;"",'MARZO 2026'!Z83="POR RECOGER"),'MARZO 2026'!N83,"")</f>
        <v/>
      </c>
      <c r="I289" s="381">
        <f>IF(AND('MARZO 2026'!D83&lt;&gt;"",'MARZO 2026'!Z83="POR RECOGER"),'MARZO 2026'!P83,"")</f>
        <v/>
      </c>
      <c r="J289" s="381">
        <f>IF(AND('MARZO 2026'!D83&lt;&gt;"",'MARZO 2026'!Z83="POR RECOGER"),'MARZO 2026'!Q83,"")</f>
        <v/>
      </c>
      <c r="K289" s="381">
        <f>IF(AND('MARZO 2026'!D83&lt;&gt;"",'MARZO 2026'!Z83="POR RECOGER"),'MARZO 2026'!Y83,"")</f>
        <v/>
      </c>
      <c r="L289" s="381">
        <f>IF(AND('MARZO 2026'!D83&lt;&gt;"",'MARZO 2026'!Z83="POR RECOGER"),'MARZO 2026'!I83,"")</f>
        <v/>
      </c>
      <c r="P289" s="194" t="n"/>
      <c r="Q289" s="194" t="n"/>
      <c r="R289" s="194" t="n"/>
      <c r="S289" s="194" t="n"/>
      <c r="T289" s="194" t="n"/>
      <c r="U289" s="194" t="n"/>
      <c r="V289" s="194" t="n"/>
      <c r="W289" s="194" t="n"/>
      <c r="X289" s="194" t="n"/>
      <c r="Y289" s="194" t="n"/>
      <c r="Z289" s="194" t="n"/>
    </row>
    <row r="290" ht="15" customHeight="1" s="195">
      <c r="A290" s="381">
        <f>IF(AND('MARZO 2026'!D84&lt;&gt;"",'MARZO 2026'!Z84="POR RECOGER"),"MAR","")</f>
        <v/>
      </c>
      <c r="B290" s="381">
        <f>IF(AND('MARZO 2026'!D84&lt;&gt;"",'MARZO 2026'!Z84="POR RECOGER"),IF('MARZO 2026'!Y84&lt;&gt;"",'MARZO 2026'!Y84,'MARZO 2026'!I84),"")</f>
        <v/>
      </c>
      <c r="C290" s="381">
        <f>IF(AND('MARZO 2026'!D84&lt;&gt;"",'MARZO 2026'!Z84="POR RECOGER"),'MARZO 2026'!D84,"")</f>
        <v/>
      </c>
      <c r="D290" s="381">
        <f>IF(AND('MARZO 2026'!D84&lt;&gt;"",'MARZO 2026'!Z84="POR RECOGER"),'MARZO 2026'!F84,"")</f>
        <v/>
      </c>
      <c r="E290" s="381">
        <f>IF(AND('MARZO 2026'!D84&lt;&gt;"",'MARZO 2026'!Z84="POR RECOGER"),TEXT('MARZO 2026'!G84,"DD/MM/YYYY"),"")</f>
        <v/>
      </c>
      <c r="F290" s="381">
        <f>IF(AND('MARZO 2026'!D84&lt;&gt;"",'MARZO 2026'!Z84="POR RECOGER"),'MARZO 2026'!K84,"")</f>
        <v/>
      </c>
      <c r="G290" s="382">
        <f>IF(AND('MARZO 2026'!D84&lt;&gt;"",'MARZO 2026'!Z84="POR RECOGER"),'MARZO 2026'!M84,"")</f>
        <v/>
      </c>
      <c r="H290" s="382">
        <f>IF(AND('MARZO 2026'!D84&lt;&gt;"",'MARZO 2026'!Z84="POR RECOGER"),'MARZO 2026'!N84,"")</f>
        <v/>
      </c>
      <c r="I290" s="381">
        <f>IF(AND('MARZO 2026'!D84&lt;&gt;"",'MARZO 2026'!Z84="POR RECOGER"),'MARZO 2026'!P84,"")</f>
        <v/>
      </c>
      <c r="J290" s="381">
        <f>IF(AND('MARZO 2026'!D84&lt;&gt;"",'MARZO 2026'!Z84="POR RECOGER"),'MARZO 2026'!Q84,"")</f>
        <v/>
      </c>
      <c r="K290" s="381">
        <f>IF(AND('MARZO 2026'!D84&lt;&gt;"",'MARZO 2026'!Z84="POR RECOGER"),'MARZO 2026'!Y84,"")</f>
        <v/>
      </c>
      <c r="L290" s="381">
        <f>IF(AND('MARZO 2026'!D84&lt;&gt;"",'MARZO 2026'!Z84="POR RECOGER"),'MARZO 2026'!I84,"")</f>
        <v/>
      </c>
      <c r="P290" s="194" t="n"/>
      <c r="Q290" s="194" t="n"/>
      <c r="R290" s="194" t="n"/>
      <c r="S290" s="194" t="n"/>
      <c r="T290" s="194" t="n"/>
      <c r="U290" s="194" t="n"/>
      <c r="V290" s="194" t="n"/>
      <c r="W290" s="194" t="n"/>
      <c r="X290" s="194" t="n"/>
      <c r="Y290" s="194" t="n"/>
      <c r="Z290" s="194" t="n"/>
    </row>
    <row r="291" ht="15" customHeight="1" s="195">
      <c r="A291" s="381">
        <f>IF(AND('MARZO 2026'!D85&lt;&gt;"",'MARZO 2026'!Z85="POR RECOGER"),"MAR","")</f>
        <v/>
      </c>
      <c r="B291" s="381">
        <f>IF(AND('MARZO 2026'!D85&lt;&gt;"",'MARZO 2026'!Z85="POR RECOGER"),IF('MARZO 2026'!Y85&lt;&gt;"",'MARZO 2026'!Y85,'MARZO 2026'!I85),"")</f>
        <v/>
      </c>
      <c r="C291" s="381">
        <f>IF(AND('MARZO 2026'!D85&lt;&gt;"",'MARZO 2026'!Z85="POR RECOGER"),'MARZO 2026'!D85,"")</f>
        <v/>
      </c>
      <c r="D291" s="381">
        <f>IF(AND('MARZO 2026'!D85&lt;&gt;"",'MARZO 2026'!Z85="POR RECOGER"),'MARZO 2026'!F85,"")</f>
        <v/>
      </c>
      <c r="E291" s="381">
        <f>IF(AND('MARZO 2026'!D85&lt;&gt;"",'MARZO 2026'!Z85="POR RECOGER"),TEXT('MARZO 2026'!G85,"DD/MM/YYYY"),"")</f>
        <v/>
      </c>
      <c r="F291" s="381">
        <f>IF(AND('MARZO 2026'!D85&lt;&gt;"",'MARZO 2026'!Z85="POR RECOGER"),'MARZO 2026'!K85,"")</f>
        <v/>
      </c>
      <c r="G291" s="382">
        <f>IF(AND('MARZO 2026'!D85&lt;&gt;"",'MARZO 2026'!Z85="POR RECOGER"),'MARZO 2026'!M85,"")</f>
        <v/>
      </c>
      <c r="H291" s="382">
        <f>IF(AND('MARZO 2026'!D85&lt;&gt;"",'MARZO 2026'!Z85="POR RECOGER"),'MARZO 2026'!N85,"")</f>
        <v/>
      </c>
      <c r="I291" s="381">
        <f>IF(AND('MARZO 2026'!D85&lt;&gt;"",'MARZO 2026'!Z85="POR RECOGER"),'MARZO 2026'!P85,"")</f>
        <v/>
      </c>
      <c r="J291" s="381">
        <f>IF(AND('MARZO 2026'!D85&lt;&gt;"",'MARZO 2026'!Z85="POR RECOGER"),'MARZO 2026'!Q85,"")</f>
        <v/>
      </c>
      <c r="K291" s="381">
        <f>IF(AND('MARZO 2026'!D85&lt;&gt;"",'MARZO 2026'!Z85="POR RECOGER"),'MARZO 2026'!Y85,"")</f>
        <v/>
      </c>
      <c r="L291" s="381">
        <f>IF(AND('MARZO 2026'!D85&lt;&gt;"",'MARZO 2026'!Z85="POR RECOGER"),'MARZO 2026'!I85,"")</f>
        <v/>
      </c>
      <c r="P291" s="194" t="n"/>
      <c r="Q291" s="194" t="n"/>
      <c r="R291" s="194" t="n"/>
      <c r="S291" s="194" t="n"/>
      <c r="T291" s="194" t="n"/>
      <c r="U291" s="194" t="n"/>
      <c r="V291" s="194" t="n"/>
      <c r="W291" s="194" t="n"/>
      <c r="X291" s="194" t="n"/>
      <c r="Y291" s="194" t="n"/>
      <c r="Z291" s="194" t="n"/>
    </row>
    <row r="292" ht="15" customHeight="1" s="195">
      <c r="A292" s="381">
        <f>IF(AND('MARZO 2026'!D86&lt;&gt;"",'MARZO 2026'!Z86="POR RECOGER"),"MAR","")</f>
        <v/>
      </c>
      <c r="B292" s="381">
        <f>IF(AND('MARZO 2026'!D86&lt;&gt;"",'MARZO 2026'!Z86="POR RECOGER"),IF('MARZO 2026'!Y86&lt;&gt;"",'MARZO 2026'!Y86,'MARZO 2026'!I86),"")</f>
        <v/>
      </c>
      <c r="C292" s="381">
        <f>IF(AND('MARZO 2026'!D86&lt;&gt;"",'MARZO 2026'!Z86="POR RECOGER"),'MARZO 2026'!D86,"")</f>
        <v/>
      </c>
      <c r="D292" s="381">
        <f>IF(AND('MARZO 2026'!D86&lt;&gt;"",'MARZO 2026'!Z86="POR RECOGER"),'MARZO 2026'!F86,"")</f>
        <v/>
      </c>
      <c r="E292" s="381">
        <f>IF(AND('MARZO 2026'!D86&lt;&gt;"",'MARZO 2026'!Z86="POR RECOGER"),TEXT('MARZO 2026'!G86,"DD/MM/YYYY"),"")</f>
        <v/>
      </c>
      <c r="F292" s="381">
        <f>IF(AND('MARZO 2026'!D86&lt;&gt;"",'MARZO 2026'!Z86="POR RECOGER"),'MARZO 2026'!K86,"")</f>
        <v/>
      </c>
      <c r="G292" s="382">
        <f>IF(AND('MARZO 2026'!D86&lt;&gt;"",'MARZO 2026'!Z86="POR RECOGER"),'MARZO 2026'!M86,"")</f>
        <v/>
      </c>
      <c r="H292" s="382">
        <f>IF(AND('MARZO 2026'!D86&lt;&gt;"",'MARZO 2026'!Z86="POR RECOGER"),'MARZO 2026'!N86,"")</f>
        <v/>
      </c>
      <c r="I292" s="381">
        <f>IF(AND('MARZO 2026'!D86&lt;&gt;"",'MARZO 2026'!Z86="POR RECOGER"),'MARZO 2026'!P86,"")</f>
        <v/>
      </c>
      <c r="J292" s="381">
        <f>IF(AND('MARZO 2026'!D86&lt;&gt;"",'MARZO 2026'!Z86="POR RECOGER"),'MARZO 2026'!Q86,"")</f>
        <v/>
      </c>
      <c r="K292" s="381">
        <f>IF(AND('MARZO 2026'!D86&lt;&gt;"",'MARZO 2026'!Z86="POR RECOGER"),'MARZO 2026'!Y86,"")</f>
        <v/>
      </c>
      <c r="L292" s="381">
        <f>IF(AND('MARZO 2026'!D86&lt;&gt;"",'MARZO 2026'!Z86="POR RECOGER"),'MARZO 2026'!I86,"")</f>
        <v/>
      </c>
      <c r="P292" s="194" t="n"/>
      <c r="Q292" s="194" t="n"/>
      <c r="R292" s="194" t="n"/>
      <c r="S292" s="194" t="n"/>
      <c r="T292" s="194" t="n"/>
      <c r="U292" s="194" t="n"/>
      <c r="V292" s="194" t="n"/>
      <c r="W292" s="194" t="n"/>
      <c r="X292" s="194" t="n"/>
      <c r="Y292" s="194" t="n"/>
      <c r="Z292" s="194" t="n"/>
    </row>
    <row r="293" ht="15" customHeight="1" s="195">
      <c r="A293" s="381">
        <f>IF(AND('MARZO 2026'!D87&lt;&gt;"",'MARZO 2026'!Z87="POR RECOGER"),"MAR","")</f>
        <v/>
      </c>
      <c r="B293" s="381">
        <f>IF(AND('MARZO 2026'!D87&lt;&gt;"",'MARZO 2026'!Z87="POR RECOGER"),IF('MARZO 2026'!Y87&lt;&gt;"",'MARZO 2026'!Y87,'MARZO 2026'!I87),"")</f>
        <v/>
      </c>
      <c r="C293" s="381">
        <f>IF(AND('MARZO 2026'!D87&lt;&gt;"",'MARZO 2026'!Z87="POR RECOGER"),'MARZO 2026'!D87,"")</f>
        <v/>
      </c>
      <c r="D293" s="381">
        <f>IF(AND('MARZO 2026'!D87&lt;&gt;"",'MARZO 2026'!Z87="POR RECOGER"),'MARZO 2026'!F87,"")</f>
        <v/>
      </c>
      <c r="E293" s="381">
        <f>IF(AND('MARZO 2026'!D87&lt;&gt;"",'MARZO 2026'!Z87="POR RECOGER"),TEXT('MARZO 2026'!G87,"DD/MM/YYYY"),"")</f>
        <v/>
      </c>
      <c r="F293" s="381">
        <f>IF(AND('MARZO 2026'!D87&lt;&gt;"",'MARZO 2026'!Z87="POR RECOGER"),'MARZO 2026'!K87,"")</f>
        <v/>
      </c>
      <c r="G293" s="382">
        <f>IF(AND('MARZO 2026'!D87&lt;&gt;"",'MARZO 2026'!Z87="POR RECOGER"),'MARZO 2026'!M87,"")</f>
        <v/>
      </c>
      <c r="H293" s="382">
        <f>IF(AND('MARZO 2026'!D87&lt;&gt;"",'MARZO 2026'!Z87="POR RECOGER"),'MARZO 2026'!N87,"")</f>
        <v/>
      </c>
      <c r="I293" s="381">
        <f>IF(AND('MARZO 2026'!D87&lt;&gt;"",'MARZO 2026'!Z87="POR RECOGER"),'MARZO 2026'!P87,"")</f>
        <v/>
      </c>
      <c r="J293" s="381">
        <f>IF(AND('MARZO 2026'!D87&lt;&gt;"",'MARZO 2026'!Z87="POR RECOGER"),'MARZO 2026'!Q87,"")</f>
        <v/>
      </c>
      <c r="K293" s="381">
        <f>IF(AND('MARZO 2026'!D87&lt;&gt;"",'MARZO 2026'!Z87="POR RECOGER"),'MARZO 2026'!Y87,"")</f>
        <v/>
      </c>
      <c r="L293" s="381">
        <f>IF(AND('MARZO 2026'!D87&lt;&gt;"",'MARZO 2026'!Z87="POR RECOGER"),'MARZO 2026'!I87,"")</f>
        <v/>
      </c>
      <c r="P293" s="194" t="n"/>
      <c r="Q293" s="194" t="n"/>
      <c r="R293" s="194" t="n"/>
      <c r="S293" s="194" t="n"/>
      <c r="T293" s="194" t="n"/>
      <c r="U293" s="194" t="n"/>
      <c r="V293" s="194" t="n"/>
      <c r="W293" s="194" t="n"/>
      <c r="X293" s="194" t="n"/>
      <c r="Y293" s="194" t="n"/>
      <c r="Z293" s="194" t="n"/>
    </row>
    <row r="294" ht="15" customHeight="1" s="195">
      <c r="A294" s="381">
        <f>IF(AND('MARZO 2026'!D88&lt;&gt;"",'MARZO 2026'!Z88="POR RECOGER"),"MAR","")</f>
        <v/>
      </c>
      <c r="B294" s="381">
        <f>IF(AND('MARZO 2026'!D88&lt;&gt;"",'MARZO 2026'!Z88="POR RECOGER"),IF('MARZO 2026'!Y88&lt;&gt;"",'MARZO 2026'!Y88,'MARZO 2026'!I88),"")</f>
        <v/>
      </c>
      <c r="C294" s="381">
        <f>IF(AND('MARZO 2026'!D88&lt;&gt;"",'MARZO 2026'!Z88="POR RECOGER"),'MARZO 2026'!D88,"")</f>
        <v/>
      </c>
      <c r="D294" s="381">
        <f>IF(AND('MARZO 2026'!D88&lt;&gt;"",'MARZO 2026'!Z88="POR RECOGER"),'MARZO 2026'!F88,"")</f>
        <v/>
      </c>
      <c r="E294" s="381">
        <f>IF(AND('MARZO 2026'!D88&lt;&gt;"",'MARZO 2026'!Z88="POR RECOGER"),TEXT('MARZO 2026'!G88,"DD/MM/YYYY"),"")</f>
        <v/>
      </c>
      <c r="F294" s="381">
        <f>IF(AND('MARZO 2026'!D88&lt;&gt;"",'MARZO 2026'!Z88="POR RECOGER"),'MARZO 2026'!K88,"")</f>
        <v/>
      </c>
      <c r="G294" s="382">
        <f>IF(AND('MARZO 2026'!D88&lt;&gt;"",'MARZO 2026'!Z88="POR RECOGER"),'MARZO 2026'!M88,"")</f>
        <v/>
      </c>
      <c r="H294" s="382">
        <f>IF(AND('MARZO 2026'!D88&lt;&gt;"",'MARZO 2026'!Z88="POR RECOGER"),'MARZO 2026'!N88,"")</f>
        <v/>
      </c>
      <c r="I294" s="381">
        <f>IF(AND('MARZO 2026'!D88&lt;&gt;"",'MARZO 2026'!Z88="POR RECOGER"),'MARZO 2026'!P88,"")</f>
        <v/>
      </c>
      <c r="J294" s="381">
        <f>IF(AND('MARZO 2026'!D88&lt;&gt;"",'MARZO 2026'!Z88="POR RECOGER"),'MARZO 2026'!Q88,"")</f>
        <v/>
      </c>
      <c r="K294" s="381">
        <f>IF(AND('MARZO 2026'!D88&lt;&gt;"",'MARZO 2026'!Z88="POR RECOGER"),'MARZO 2026'!Y88,"")</f>
        <v/>
      </c>
      <c r="L294" s="381">
        <f>IF(AND('MARZO 2026'!D88&lt;&gt;"",'MARZO 2026'!Z88="POR RECOGER"),'MARZO 2026'!I88,"")</f>
        <v/>
      </c>
      <c r="P294" s="194" t="n"/>
      <c r="Q294" s="194" t="n"/>
      <c r="R294" s="194" t="n"/>
      <c r="S294" s="194" t="n"/>
      <c r="T294" s="194" t="n"/>
      <c r="U294" s="194" t="n"/>
      <c r="V294" s="194" t="n"/>
      <c r="W294" s="194" t="n"/>
      <c r="X294" s="194" t="n"/>
      <c r="Y294" s="194" t="n"/>
      <c r="Z294" s="194" t="n"/>
    </row>
    <row r="295" ht="15" customHeight="1" s="195">
      <c r="A295" s="381">
        <f>IF(AND('MARZO 2026'!D89&lt;&gt;"",'MARZO 2026'!Z89="POR RECOGER"),"MAR","")</f>
        <v/>
      </c>
      <c r="B295" s="381">
        <f>IF(AND('MARZO 2026'!D89&lt;&gt;"",'MARZO 2026'!Z89="POR RECOGER"),IF('MARZO 2026'!Y89&lt;&gt;"",'MARZO 2026'!Y89,'MARZO 2026'!I89),"")</f>
        <v/>
      </c>
      <c r="C295" s="381">
        <f>IF(AND('MARZO 2026'!D89&lt;&gt;"",'MARZO 2026'!Z89="POR RECOGER"),'MARZO 2026'!D89,"")</f>
        <v/>
      </c>
      <c r="D295" s="381">
        <f>IF(AND('MARZO 2026'!D89&lt;&gt;"",'MARZO 2026'!Z89="POR RECOGER"),'MARZO 2026'!F89,"")</f>
        <v/>
      </c>
      <c r="E295" s="381">
        <f>IF(AND('MARZO 2026'!D89&lt;&gt;"",'MARZO 2026'!Z89="POR RECOGER"),TEXT('MARZO 2026'!G89,"DD/MM/YYYY"),"")</f>
        <v/>
      </c>
      <c r="F295" s="381">
        <f>IF(AND('MARZO 2026'!D89&lt;&gt;"",'MARZO 2026'!Z89="POR RECOGER"),'MARZO 2026'!K89,"")</f>
        <v/>
      </c>
      <c r="G295" s="382">
        <f>IF(AND('MARZO 2026'!D89&lt;&gt;"",'MARZO 2026'!Z89="POR RECOGER"),'MARZO 2026'!M89,"")</f>
        <v/>
      </c>
      <c r="H295" s="382">
        <f>IF(AND('MARZO 2026'!D89&lt;&gt;"",'MARZO 2026'!Z89="POR RECOGER"),'MARZO 2026'!N89,"")</f>
        <v/>
      </c>
      <c r="I295" s="381">
        <f>IF(AND('MARZO 2026'!D89&lt;&gt;"",'MARZO 2026'!Z89="POR RECOGER"),'MARZO 2026'!P89,"")</f>
        <v/>
      </c>
      <c r="J295" s="381">
        <f>IF(AND('MARZO 2026'!D89&lt;&gt;"",'MARZO 2026'!Z89="POR RECOGER"),'MARZO 2026'!Q89,"")</f>
        <v/>
      </c>
      <c r="K295" s="381">
        <f>IF(AND('MARZO 2026'!D89&lt;&gt;"",'MARZO 2026'!Z89="POR RECOGER"),'MARZO 2026'!Y89,"")</f>
        <v/>
      </c>
      <c r="L295" s="381">
        <f>IF(AND('MARZO 2026'!D89&lt;&gt;"",'MARZO 2026'!Z89="POR RECOGER"),'MARZO 2026'!I89,"")</f>
        <v/>
      </c>
      <c r="P295" s="194" t="n"/>
      <c r="Q295" s="194" t="n"/>
      <c r="R295" s="194" t="n"/>
      <c r="S295" s="194" t="n"/>
      <c r="T295" s="194" t="n"/>
      <c r="U295" s="194" t="n"/>
      <c r="V295" s="194" t="n"/>
      <c r="W295" s="194" t="n"/>
      <c r="X295" s="194" t="n"/>
      <c r="Y295" s="194" t="n"/>
      <c r="Z295" s="194" t="n"/>
    </row>
    <row r="296" ht="15" customHeight="1" s="195">
      <c r="A296" s="381">
        <f>IF(AND('MARZO 2026'!D90&lt;&gt;"",'MARZO 2026'!Z90="POR RECOGER"),"MAR","")</f>
        <v/>
      </c>
      <c r="B296" s="381">
        <f>IF(AND('MARZO 2026'!D90&lt;&gt;"",'MARZO 2026'!Z90="POR RECOGER"),IF('MARZO 2026'!Y90&lt;&gt;"",'MARZO 2026'!Y90,'MARZO 2026'!I90),"")</f>
        <v/>
      </c>
      <c r="C296" s="381">
        <f>IF(AND('MARZO 2026'!D90&lt;&gt;"",'MARZO 2026'!Z90="POR RECOGER"),'MARZO 2026'!D90,"")</f>
        <v/>
      </c>
      <c r="D296" s="381">
        <f>IF(AND('MARZO 2026'!D90&lt;&gt;"",'MARZO 2026'!Z90="POR RECOGER"),'MARZO 2026'!F90,"")</f>
        <v/>
      </c>
      <c r="E296" s="381">
        <f>IF(AND('MARZO 2026'!D90&lt;&gt;"",'MARZO 2026'!Z90="POR RECOGER"),TEXT('MARZO 2026'!G90,"DD/MM/YYYY"),"")</f>
        <v/>
      </c>
      <c r="F296" s="381">
        <f>IF(AND('MARZO 2026'!D90&lt;&gt;"",'MARZO 2026'!Z90="POR RECOGER"),'MARZO 2026'!K90,"")</f>
        <v/>
      </c>
      <c r="G296" s="382">
        <f>IF(AND('MARZO 2026'!D90&lt;&gt;"",'MARZO 2026'!Z90="POR RECOGER"),'MARZO 2026'!M90,"")</f>
        <v/>
      </c>
      <c r="H296" s="382">
        <f>IF(AND('MARZO 2026'!D90&lt;&gt;"",'MARZO 2026'!Z90="POR RECOGER"),'MARZO 2026'!N90,"")</f>
        <v/>
      </c>
      <c r="I296" s="381">
        <f>IF(AND('MARZO 2026'!D90&lt;&gt;"",'MARZO 2026'!Z90="POR RECOGER"),'MARZO 2026'!P90,"")</f>
        <v/>
      </c>
      <c r="J296" s="381">
        <f>IF(AND('MARZO 2026'!D90&lt;&gt;"",'MARZO 2026'!Z90="POR RECOGER"),'MARZO 2026'!Q90,"")</f>
        <v/>
      </c>
      <c r="K296" s="381">
        <f>IF(AND('MARZO 2026'!D90&lt;&gt;"",'MARZO 2026'!Z90="POR RECOGER"),'MARZO 2026'!Y90,"")</f>
        <v/>
      </c>
      <c r="L296" s="381">
        <f>IF(AND('MARZO 2026'!D90&lt;&gt;"",'MARZO 2026'!Z90="POR RECOGER"),'MARZO 2026'!I90,"")</f>
        <v/>
      </c>
      <c r="P296" s="194" t="n"/>
      <c r="Q296" s="194" t="n"/>
      <c r="R296" s="194" t="n"/>
      <c r="S296" s="194" t="n"/>
      <c r="T296" s="194" t="n"/>
      <c r="U296" s="194" t="n"/>
      <c r="V296" s="194" t="n"/>
      <c r="W296" s="194" t="n"/>
      <c r="X296" s="194" t="n"/>
      <c r="Y296" s="194" t="n"/>
      <c r="Z296" s="194" t="n"/>
    </row>
    <row r="297" ht="15" customHeight="1" s="195">
      <c r="A297" s="381">
        <f>IF(AND('MARZO 2026'!D91&lt;&gt;"",'MARZO 2026'!Z91="POR RECOGER"),"MAR","")</f>
        <v/>
      </c>
      <c r="B297" s="381">
        <f>IF(AND('MARZO 2026'!D91&lt;&gt;"",'MARZO 2026'!Z91="POR RECOGER"),IF('MARZO 2026'!Y91&lt;&gt;"",'MARZO 2026'!Y91,'MARZO 2026'!I91),"")</f>
        <v/>
      </c>
      <c r="C297" s="381">
        <f>IF(AND('MARZO 2026'!D91&lt;&gt;"",'MARZO 2026'!Z91="POR RECOGER"),'MARZO 2026'!D91,"")</f>
        <v/>
      </c>
      <c r="D297" s="381">
        <f>IF(AND('MARZO 2026'!D91&lt;&gt;"",'MARZO 2026'!Z91="POR RECOGER"),'MARZO 2026'!F91,"")</f>
        <v/>
      </c>
      <c r="E297" s="381">
        <f>IF(AND('MARZO 2026'!D91&lt;&gt;"",'MARZO 2026'!Z91="POR RECOGER"),TEXT('MARZO 2026'!G91,"DD/MM/YYYY"),"")</f>
        <v/>
      </c>
      <c r="F297" s="381">
        <f>IF(AND('MARZO 2026'!D91&lt;&gt;"",'MARZO 2026'!Z91="POR RECOGER"),'MARZO 2026'!K91,"")</f>
        <v/>
      </c>
      <c r="G297" s="382">
        <f>IF(AND('MARZO 2026'!D91&lt;&gt;"",'MARZO 2026'!Z91="POR RECOGER"),'MARZO 2026'!M91,"")</f>
        <v/>
      </c>
      <c r="H297" s="382">
        <f>IF(AND('MARZO 2026'!D91&lt;&gt;"",'MARZO 2026'!Z91="POR RECOGER"),'MARZO 2026'!N91,"")</f>
        <v/>
      </c>
      <c r="I297" s="381">
        <f>IF(AND('MARZO 2026'!D91&lt;&gt;"",'MARZO 2026'!Z91="POR RECOGER"),'MARZO 2026'!P91,"")</f>
        <v/>
      </c>
      <c r="J297" s="381">
        <f>IF(AND('MARZO 2026'!D91&lt;&gt;"",'MARZO 2026'!Z91="POR RECOGER"),'MARZO 2026'!Q91,"")</f>
        <v/>
      </c>
      <c r="K297" s="381">
        <f>IF(AND('MARZO 2026'!D91&lt;&gt;"",'MARZO 2026'!Z91="POR RECOGER"),'MARZO 2026'!Y91,"")</f>
        <v/>
      </c>
      <c r="L297" s="381">
        <f>IF(AND('MARZO 2026'!D91&lt;&gt;"",'MARZO 2026'!Z91="POR RECOGER"),'MARZO 2026'!I91,"")</f>
        <v/>
      </c>
      <c r="P297" s="194" t="n"/>
      <c r="Q297" s="194" t="n"/>
      <c r="R297" s="194" t="n"/>
      <c r="S297" s="194" t="n"/>
      <c r="T297" s="194" t="n"/>
      <c r="U297" s="194" t="n"/>
      <c r="V297" s="194" t="n"/>
      <c r="W297" s="194" t="n"/>
      <c r="X297" s="194" t="n"/>
      <c r="Y297" s="194" t="n"/>
      <c r="Z297" s="194" t="n"/>
    </row>
    <row r="298" ht="15" customHeight="1" s="195">
      <c r="A298" s="381">
        <f>IF(AND('MARZO 2026'!D92&lt;&gt;"",'MARZO 2026'!Z92="POR RECOGER"),"MAR","")</f>
        <v/>
      </c>
      <c r="B298" s="381">
        <f>IF(AND('MARZO 2026'!D92&lt;&gt;"",'MARZO 2026'!Z92="POR RECOGER"),IF('MARZO 2026'!Y92&lt;&gt;"",'MARZO 2026'!Y92,'MARZO 2026'!I92),"")</f>
        <v/>
      </c>
      <c r="C298" s="381">
        <f>IF(AND('MARZO 2026'!D92&lt;&gt;"",'MARZO 2026'!Z92="POR RECOGER"),'MARZO 2026'!D92,"")</f>
        <v/>
      </c>
      <c r="D298" s="381">
        <f>IF(AND('MARZO 2026'!D92&lt;&gt;"",'MARZO 2026'!Z92="POR RECOGER"),'MARZO 2026'!F92,"")</f>
        <v/>
      </c>
      <c r="E298" s="381">
        <f>IF(AND('MARZO 2026'!D92&lt;&gt;"",'MARZO 2026'!Z92="POR RECOGER"),TEXT('MARZO 2026'!G92,"DD/MM/YYYY"),"")</f>
        <v/>
      </c>
      <c r="F298" s="381">
        <f>IF(AND('MARZO 2026'!D92&lt;&gt;"",'MARZO 2026'!Z92="POR RECOGER"),'MARZO 2026'!K92,"")</f>
        <v/>
      </c>
      <c r="G298" s="382">
        <f>IF(AND('MARZO 2026'!D92&lt;&gt;"",'MARZO 2026'!Z92="POR RECOGER"),'MARZO 2026'!M92,"")</f>
        <v/>
      </c>
      <c r="H298" s="382">
        <f>IF(AND('MARZO 2026'!D92&lt;&gt;"",'MARZO 2026'!Z92="POR RECOGER"),'MARZO 2026'!N92,"")</f>
        <v/>
      </c>
      <c r="I298" s="381">
        <f>IF(AND('MARZO 2026'!D92&lt;&gt;"",'MARZO 2026'!Z92="POR RECOGER"),'MARZO 2026'!P92,"")</f>
        <v/>
      </c>
      <c r="J298" s="381">
        <f>IF(AND('MARZO 2026'!D92&lt;&gt;"",'MARZO 2026'!Z92="POR RECOGER"),'MARZO 2026'!Q92,"")</f>
        <v/>
      </c>
      <c r="K298" s="381">
        <f>IF(AND('MARZO 2026'!D92&lt;&gt;"",'MARZO 2026'!Z92="POR RECOGER"),'MARZO 2026'!Y92,"")</f>
        <v/>
      </c>
      <c r="L298" s="381">
        <f>IF(AND('MARZO 2026'!D92&lt;&gt;"",'MARZO 2026'!Z92="POR RECOGER"),'MARZO 2026'!I92,"")</f>
        <v/>
      </c>
      <c r="P298" s="194" t="n"/>
      <c r="Q298" s="194" t="n"/>
      <c r="R298" s="194" t="n"/>
      <c r="S298" s="194" t="n"/>
      <c r="T298" s="194" t="n"/>
      <c r="U298" s="194" t="n"/>
      <c r="V298" s="194" t="n"/>
      <c r="W298" s="194" t="n"/>
      <c r="X298" s="194" t="n"/>
      <c r="Y298" s="194" t="n"/>
      <c r="Z298" s="194" t="n"/>
    </row>
    <row r="299" ht="15" customHeight="1" s="195">
      <c r="A299" s="381">
        <f>IF(AND('MARZO 2026'!D93&lt;&gt;"",'MARZO 2026'!Z93="POR RECOGER"),"MAR","")</f>
        <v/>
      </c>
      <c r="B299" s="381">
        <f>IF(AND('MARZO 2026'!D93&lt;&gt;"",'MARZO 2026'!Z93="POR RECOGER"),IF('MARZO 2026'!Y93&lt;&gt;"",'MARZO 2026'!Y93,'MARZO 2026'!I93),"")</f>
        <v/>
      </c>
      <c r="C299" s="381">
        <f>IF(AND('MARZO 2026'!D93&lt;&gt;"",'MARZO 2026'!Z93="POR RECOGER"),'MARZO 2026'!D93,"")</f>
        <v/>
      </c>
      <c r="D299" s="381">
        <f>IF(AND('MARZO 2026'!D93&lt;&gt;"",'MARZO 2026'!Z93="POR RECOGER"),'MARZO 2026'!F93,"")</f>
        <v/>
      </c>
      <c r="E299" s="381">
        <f>IF(AND('MARZO 2026'!D93&lt;&gt;"",'MARZO 2026'!Z93="POR RECOGER"),TEXT('MARZO 2026'!G93,"DD/MM/YYYY"),"")</f>
        <v/>
      </c>
      <c r="F299" s="381">
        <f>IF(AND('MARZO 2026'!D93&lt;&gt;"",'MARZO 2026'!Z93="POR RECOGER"),'MARZO 2026'!K93,"")</f>
        <v/>
      </c>
      <c r="G299" s="382">
        <f>IF(AND('MARZO 2026'!D93&lt;&gt;"",'MARZO 2026'!Z93="POR RECOGER"),'MARZO 2026'!M93,"")</f>
        <v/>
      </c>
      <c r="H299" s="382">
        <f>IF(AND('MARZO 2026'!D93&lt;&gt;"",'MARZO 2026'!Z93="POR RECOGER"),'MARZO 2026'!N93,"")</f>
        <v/>
      </c>
      <c r="I299" s="381">
        <f>IF(AND('MARZO 2026'!D93&lt;&gt;"",'MARZO 2026'!Z93="POR RECOGER"),'MARZO 2026'!P93,"")</f>
        <v/>
      </c>
      <c r="J299" s="381">
        <f>IF(AND('MARZO 2026'!D93&lt;&gt;"",'MARZO 2026'!Z93="POR RECOGER"),'MARZO 2026'!Q93,"")</f>
        <v/>
      </c>
      <c r="K299" s="381">
        <f>IF(AND('MARZO 2026'!D93&lt;&gt;"",'MARZO 2026'!Z93="POR RECOGER"),'MARZO 2026'!Y93,"")</f>
        <v/>
      </c>
      <c r="L299" s="381">
        <f>IF(AND('MARZO 2026'!D93&lt;&gt;"",'MARZO 2026'!Z93="POR RECOGER"),'MARZO 2026'!I93,"")</f>
        <v/>
      </c>
      <c r="P299" s="194" t="n"/>
      <c r="Q299" s="194" t="n"/>
      <c r="R299" s="194" t="n"/>
      <c r="S299" s="194" t="n"/>
      <c r="T299" s="194" t="n"/>
      <c r="U299" s="194" t="n"/>
      <c r="V299" s="194" t="n"/>
      <c r="W299" s="194" t="n"/>
      <c r="X299" s="194" t="n"/>
      <c r="Y299" s="194" t="n"/>
      <c r="Z299" s="194" t="n"/>
    </row>
    <row r="300" ht="15" customHeight="1" s="195">
      <c r="A300" s="381">
        <f>IF(AND('MARZO 2026'!D94&lt;&gt;"",'MARZO 2026'!Z94="POR RECOGER"),"MAR","")</f>
        <v/>
      </c>
      <c r="B300" s="381">
        <f>IF(AND('MARZO 2026'!D94&lt;&gt;"",'MARZO 2026'!Z94="POR RECOGER"),IF('MARZO 2026'!Y94&lt;&gt;"",'MARZO 2026'!Y94,'MARZO 2026'!I94),"")</f>
        <v/>
      </c>
      <c r="C300" s="381">
        <f>IF(AND('MARZO 2026'!D94&lt;&gt;"",'MARZO 2026'!Z94="POR RECOGER"),'MARZO 2026'!D94,"")</f>
        <v/>
      </c>
      <c r="D300" s="381">
        <f>IF(AND('MARZO 2026'!D94&lt;&gt;"",'MARZO 2026'!Z94="POR RECOGER"),'MARZO 2026'!F94,"")</f>
        <v/>
      </c>
      <c r="E300" s="381">
        <f>IF(AND('MARZO 2026'!D94&lt;&gt;"",'MARZO 2026'!Z94="POR RECOGER"),TEXT('MARZO 2026'!G94,"DD/MM/YYYY"),"")</f>
        <v/>
      </c>
      <c r="F300" s="381">
        <f>IF(AND('MARZO 2026'!D94&lt;&gt;"",'MARZO 2026'!Z94="POR RECOGER"),'MARZO 2026'!K94,"")</f>
        <v/>
      </c>
      <c r="G300" s="382">
        <f>IF(AND('MARZO 2026'!D94&lt;&gt;"",'MARZO 2026'!Z94="POR RECOGER"),'MARZO 2026'!M94,"")</f>
        <v/>
      </c>
      <c r="H300" s="382">
        <f>IF(AND('MARZO 2026'!D94&lt;&gt;"",'MARZO 2026'!Z94="POR RECOGER"),'MARZO 2026'!N94,"")</f>
        <v/>
      </c>
      <c r="I300" s="381">
        <f>IF(AND('MARZO 2026'!D94&lt;&gt;"",'MARZO 2026'!Z94="POR RECOGER"),'MARZO 2026'!P94,"")</f>
        <v/>
      </c>
      <c r="J300" s="381">
        <f>IF(AND('MARZO 2026'!D94&lt;&gt;"",'MARZO 2026'!Z94="POR RECOGER"),'MARZO 2026'!Q94,"")</f>
        <v/>
      </c>
      <c r="K300" s="381">
        <f>IF(AND('MARZO 2026'!D94&lt;&gt;"",'MARZO 2026'!Z94="POR RECOGER"),'MARZO 2026'!Y94,"")</f>
        <v/>
      </c>
      <c r="L300" s="381">
        <f>IF(AND('MARZO 2026'!D94&lt;&gt;"",'MARZO 2026'!Z94="POR RECOGER"),'MARZO 2026'!I94,"")</f>
        <v/>
      </c>
      <c r="P300" s="194" t="n"/>
      <c r="Q300" s="194" t="n"/>
      <c r="R300" s="194" t="n"/>
      <c r="S300" s="194" t="n"/>
      <c r="T300" s="194" t="n"/>
      <c r="U300" s="194" t="n"/>
      <c r="V300" s="194" t="n"/>
      <c r="W300" s="194" t="n"/>
      <c r="X300" s="194" t="n"/>
      <c r="Y300" s="194" t="n"/>
      <c r="Z300" s="194" t="n"/>
    </row>
    <row r="301" ht="15" customHeight="1" s="195">
      <c r="A301" s="381">
        <f>IF(AND('MARZO 2026'!D95&lt;&gt;"",'MARZO 2026'!Z95="POR RECOGER"),"MAR","")</f>
        <v/>
      </c>
      <c r="B301" s="381">
        <f>IF(AND('MARZO 2026'!D95&lt;&gt;"",'MARZO 2026'!Z95="POR RECOGER"),IF('MARZO 2026'!Y95&lt;&gt;"",'MARZO 2026'!Y95,'MARZO 2026'!I95),"")</f>
        <v/>
      </c>
      <c r="C301" s="381">
        <f>IF(AND('MARZO 2026'!D95&lt;&gt;"",'MARZO 2026'!Z95="POR RECOGER"),'MARZO 2026'!D95,"")</f>
        <v/>
      </c>
      <c r="D301" s="381">
        <f>IF(AND('MARZO 2026'!D95&lt;&gt;"",'MARZO 2026'!Z95="POR RECOGER"),'MARZO 2026'!F95,"")</f>
        <v/>
      </c>
      <c r="E301" s="381">
        <f>IF(AND('MARZO 2026'!D95&lt;&gt;"",'MARZO 2026'!Z95="POR RECOGER"),TEXT('MARZO 2026'!G95,"DD/MM/YYYY"),"")</f>
        <v/>
      </c>
      <c r="F301" s="381">
        <f>IF(AND('MARZO 2026'!D95&lt;&gt;"",'MARZO 2026'!Z95="POR RECOGER"),'MARZO 2026'!K95,"")</f>
        <v/>
      </c>
      <c r="G301" s="382">
        <f>IF(AND('MARZO 2026'!D95&lt;&gt;"",'MARZO 2026'!Z95="POR RECOGER"),'MARZO 2026'!M95,"")</f>
        <v/>
      </c>
      <c r="H301" s="382">
        <f>IF(AND('MARZO 2026'!D95&lt;&gt;"",'MARZO 2026'!Z95="POR RECOGER"),'MARZO 2026'!N95,"")</f>
        <v/>
      </c>
      <c r="I301" s="381">
        <f>IF(AND('MARZO 2026'!D95&lt;&gt;"",'MARZO 2026'!Z95="POR RECOGER"),'MARZO 2026'!P95,"")</f>
        <v/>
      </c>
      <c r="J301" s="381">
        <f>IF(AND('MARZO 2026'!D95&lt;&gt;"",'MARZO 2026'!Z95="POR RECOGER"),'MARZO 2026'!Q95,"")</f>
        <v/>
      </c>
      <c r="K301" s="381">
        <f>IF(AND('MARZO 2026'!D95&lt;&gt;"",'MARZO 2026'!Z95="POR RECOGER"),'MARZO 2026'!Y95,"")</f>
        <v/>
      </c>
      <c r="L301" s="381">
        <f>IF(AND('MARZO 2026'!D95&lt;&gt;"",'MARZO 2026'!Z95="POR RECOGER"),'MARZO 2026'!I95,"")</f>
        <v/>
      </c>
      <c r="P301" s="194" t="n"/>
      <c r="Q301" s="194" t="n"/>
      <c r="R301" s="194" t="n"/>
      <c r="S301" s="194" t="n"/>
      <c r="T301" s="194" t="n"/>
      <c r="U301" s="194" t="n"/>
      <c r="V301" s="194" t="n"/>
      <c r="W301" s="194" t="n"/>
      <c r="X301" s="194" t="n"/>
      <c r="Y301" s="194" t="n"/>
      <c r="Z301" s="194" t="n"/>
    </row>
    <row r="302" ht="15" customHeight="1" s="195">
      <c r="A302" s="381">
        <f>IF(AND('MARZO 2026'!D96&lt;&gt;"",'MARZO 2026'!Z96="POR RECOGER"),"MAR","")</f>
        <v/>
      </c>
      <c r="B302" s="381">
        <f>IF(AND('MARZO 2026'!D96&lt;&gt;"",'MARZO 2026'!Z96="POR RECOGER"),IF('MARZO 2026'!Y96&lt;&gt;"",'MARZO 2026'!Y96,'MARZO 2026'!I96),"")</f>
        <v/>
      </c>
      <c r="C302" s="381">
        <f>IF(AND('MARZO 2026'!D96&lt;&gt;"",'MARZO 2026'!Z96="POR RECOGER"),'MARZO 2026'!D96,"")</f>
        <v/>
      </c>
      <c r="D302" s="381">
        <f>IF(AND('MARZO 2026'!D96&lt;&gt;"",'MARZO 2026'!Z96="POR RECOGER"),'MARZO 2026'!F96,"")</f>
        <v/>
      </c>
      <c r="E302" s="381">
        <f>IF(AND('MARZO 2026'!D96&lt;&gt;"",'MARZO 2026'!Z96="POR RECOGER"),TEXT('MARZO 2026'!G96,"DD/MM/YYYY"),"")</f>
        <v/>
      </c>
      <c r="F302" s="381">
        <f>IF(AND('MARZO 2026'!D96&lt;&gt;"",'MARZO 2026'!Z96="POR RECOGER"),'MARZO 2026'!K96,"")</f>
        <v/>
      </c>
      <c r="G302" s="382">
        <f>IF(AND('MARZO 2026'!D96&lt;&gt;"",'MARZO 2026'!Z96="POR RECOGER"),'MARZO 2026'!M96,"")</f>
        <v/>
      </c>
      <c r="H302" s="382">
        <f>IF(AND('MARZO 2026'!D96&lt;&gt;"",'MARZO 2026'!Z96="POR RECOGER"),'MARZO 2026'!N96,"")</f>
        <v/>
      </c>
      <c r="I302" s="381">
        <f>IF(AND('MARZO 2026'!D96&lt;&gt;"",'MARZO 2026'!Z96="POR RECOGER"),'MARZO 2026'!P96,"")</f>
        <v/>
      </c>
      <c r="J302" s="381">
        <f>IF(AND('MARZO 2026'!D96&lt;&gt;"",'MARZO 2026'!Z96="POR RECOGER"),'MARZO 2026'!Q96,"")</f>
        <v/>
      </c>
      <c r="K302" s="381">
        <f>IF(AND('MARZO 2026'!D96&lt;&gt;"",'MARZO 2026'!Z96="POR RECOGER"),'MARZO 2026'!Y96,"")</f>
        <v/>
      </c>
      <c r="L302" s="381">
        <f>IF(AND('MARZO 2026'!D96&lt;&gt;"",'MARZO 2026'!Z96="POR RECOGER"),'MARZO 2026'!I96,"")</f>
        <v/>
      </c>
      <c r="P302" s="194" t="n"/>
      <c r="Q302" s="194" t="n"/>
      <c r="R302" s="194" t="n"/>
      <c r="S302" s="194" t="n"/>
      <c r="T302" s="194" t="n"/>
      <c r="U302" s="194" t="n"/>
      <c r="V302" s="194" t="n"/>
      <c r="W302" s="194" t="n"/>
      <c r="X302" s="194" t="n"/>
      <c r="Y302" s="194" t="n"/>
      <c r="Z302" s="194" t="n"/>
    </row>
    <row r="303" ht="15" customHeight="1" s="195">
      <c r="A303" s="381">
        <f>IF(AND('MARZO 2026'!D97&lt;&gt;"",'MARZO 2026'!Z97="POR RECOGER"),"MAR","")</f>
        <v/>
      </c>
      <c r="B303" s="381">
        <f>IF(AND('MARZO 2026'!D97&lt;&gt;"",'MARZO 2026'!Z97="POR RECOGER"),IF('MARZO 2026'!Y97&lt;&gt;"",'MARZO 2026'!Y97,'MARZO 2026'!I97),"")</f>
        <v/>
      </c>
      <c r="C303" s="381">
        <f>IF(AND('MARZO 2026'!D97&lt;&gt;"",'MARZO 2026'!Z97="POR RECOGER"),'MARZO 2026'!D97,"")</f>
        <v/>
      </c>
      <c r="D303" s="381">
        <f>IF(AND('MARZO 2026'!D97&lt;&gt;"",'MARZO 2026'!Z97="POR RECOGER"),'MARZO 2026'!F97,"")</f>
        <v/>
      </c>
      <c r="E303" s="381">
        <f>IF(AND('MARZO 2026'!D97&lt;&gt;"",'MARZO 2026'!Z97="POR RECOGER"),TEXT('MARZO 2026'!G97,"DD/MM/YYYY"),"")</f>
        <v/>
      </c>
      <c r="F303" s="381">
        <f>IF(AND('MARZO 2026'!D97&lt;&gt;"",'MARZO 2026'!Z97="POR RECOGER"),'MARZO 2026'!K97,"")</f>
        <v/>
      </c>
      <c r="G303" s="382">
        <f>IF(AND('MARZO 2026'!D97&lt;&gt;"",'MARZO 2026'!Z97="POR RECOGER"),'MARZO 2026'!M97,"")</f>
        <v/>
      </c>
      <c r="H303" s="382">
        <f>IF(AND('MARZO 2026'!D97&lt;&gt;"",'MARZO 2026'!Z97="POR RECOGER"),'MARZO 2026'!N97,"")</f>
        <v/>
      </c>
      <c r="I303" s="381">
        <f>IF(AND('MARZO 2026'!D97&lt;&gt;"",'MARZO 2026'!Z97="POR RECOGER"),'MARZO 2026'!P97,"")</f>
        <v/>
      </c>
      <c r="J303" s="381">
        <f>IF(AND('MARZO 2026'!D97&lt;&gt;"",'MARZO 2026'!Z97="POR RECOGER"),'MARZO 2026'!Q97,"")</f>
        <v/>
      </c>
      <c r="K303" s="381">
        <f>IF(AND('MARZO 2026'!D97&lt;&gt;"",'MARZO 2026'!Z97="POR RECOGER"),'MARZO 2026'!Y97,"")</f>
        <v/>
      </c>
      <c r="L303" s="381">
        <f>IF(AND('MARZO 2026'!D97&lt;&gt;"",'MARZO 2026'!Z97="POR RECOGER"),'MARZO 2026'!I97,"")</f>
        <v/>
      </c>
      <c r="P303" s="194" t="n"/>
      <c r="Q303" s="194" t="n"/>
      <c r="R303" s="194" t="n"/>
      <c r="S303" s="194" t="n"/>
      <c r="T303" s="194" t="n"/>
      <c r="U303" s="194" t="n"/>
      <c r="V303" s="194" t="n"/>
      <c r="W303" s="194" t="n"/>
      <c r="X303" s="194" t="n"/>
      <c r="Y303" s="194" t="n"/>
      <c r="Z303" s="194" t="n"/>
    </row>
    <row r="304" ht="15" customHeight="1" s="195">
      <c r="A304" s="381">
        <f>IF(AND('MARZO 2026'!D98&lt;&gt;"",'MARZO 2026'!Z98="POR RECOGER"),"MAR","")</f>
        <v/>
      </c>
      <c r="B304" s="381">
        <f>IF(AND('MARZO 2026'!D98&lt;&gt;"",'MARZO 2026'!Z98="POR RECOGER"),IF('MARZO 2026'!Y98&lt;&gt;"",'MARZO 2026'!Y98,'MARZO 2026'!I98),"")</f>
        <v/>
      </c>
      <c r="C304" s="381">
        <f>IF(AND('MARZO 2026'!D98&lt;&gt;"",'MARZO 2026'!Z98="POR RECOGER"),'MARZO 2026'!D98,"")</f>
        <v/>
      </c>
      <c r="D304" s="381">
        <f>IF(AND('MARZO 2026'!D98&lt;&gt;"",'MARZO 2026'!Z98="POR RECOGER"),'MARZO 2026'!F98,"")</f>
        <v/>
      </c>
      <c r="E304" s="381">
        <f>IF(AND('MARZO 2026'!D98&lt;&gt;"",'MARZO 2026'!Z98="POR RECOGER"),TEXT('MARZO 2026'!G98,"DD/MM/YYYY"),"")</f>
        <v/>
      </c>
      <c r="F304" s="381">
        <f>IF(AND('MARZO 2026'!D98&lt;&gt;"",'MARZO 2026'!Z98="POR RECOGER"),'MARZO 2026'!K98,"")</f>
        <v/>
      </c>
      <c r="G304" s="382">
        <f>IF(AND('MARZO 2026'!D98&lt;&gt;"",'MARZO 2026'!Z98="POR RECOGER"),'MARZO 2026'!M98,"")</f>
        <v/>
      </c>
      <c r="H304" s="382">
        <f>IF(AND('MARZO 2026'!D98&lt;&gt;"",'MARZO 2026'!Z98="POR RECOGER"),'MARZO 2026'!N98,"")</f>
        <v/>
      </c>
      <c r="I304" s="381">
        <f>IF(AND('MARZO 2026'!D98&lt;&gt;"",'MARZO 2026'!Z98="POR RECOGER"),'MARZO 2026'!P98,"")</f>
        <v/>
      </c>
      <c r="J304" s="381">
        <f>IF(AND('MARZO 2026'!D98&lt;&gt;"",'MARZO 2026'!Z98="POR RECOGER"),'MARZO 2026'!Q98,"")</f>
        <v/>
      </c>
      <c r="K304" s="381">
        <f>IF(AND('MARZO 2026'!D98&lt;&gt;"",'MARZO 2026'!Z98="POR RECOGER"),'MARZO 2026'!Y98,"")</f>
        <v/>
      </c>
      <c r="L304" s="381">
        <f>IF(AND('MARZO 2026'!D98&lt;&gt;"",'MARZO 2026'!Z98="POR RECOGER"),'MARZO 2026'!I98,"")</f>
        <v/>
      </c>
      <c r="P304" s="194" t="n"/>
      <c r="Q304" s="194" t="n"/>
      <c r="R304" s="194" t="n"/>
      <c r="S304" s="194" t="n"/>
      <c r="T304" s="194" t="n"/>
      <c r="U304" s="194" t="n"/>
      <c r="V304" s="194" t="n"/>
      <c r="W304" s="194" t="n"/>
      <c r="X304" s="194" t="n"/>
      <c r="Y304" s="194" t="n"/>
      <c r="Z304" s="194" t="n"/>
    </row>
    <row r="305" ht="15" customHeight="1" s="195">
      <c r="A305" s="381">
        <f>IF(AND('MARZO 2026'!D99&lt;&gt;"",'MARZO 2026'!Z99="POR RECOGER"),"MAR","")</f>
        <v/>
      </c>
      <c r="B305" s="381">
        <f>IF(AND('MARZO 2026'!D99&lt;&gt;"",'MARZO 2026'!Z99="POR RECOGER"),IF('MARZO 2026'!Y99&lt;&gt;"",'MARZO 2026'!Y99,'MARZO 2026'!I99),"")</f>
        <v/>
      </c>
      <c r="C305" s="381">
        <f>IF(AND('MARZO 2026'!D99&lt;&gt;"",'MARZO 2026'!Z99="POR RECOGER"),'MARZO 2026'!D99,"")</f>
        <v/>
      </c>
      <c r="D305" s="381">
        <f>IF(AND('MARZO 2026'!D99&lt;&gt;"",'MARZO 2026'!Z99="POR RECOGER"),'MARZO 2026'!F99,"")</f>
        <v/>
      </c>
      <c r="E305" s="381">
        <f>IF(AND('MARZO 2026'!D99&lt;&gt;"",'MARZO 2026'!Z99="POR RECOGER"),TEXT('MARZO 2026'!G99,"DD/MM/YYYY"),"")</f>
        <v/>
      </c>
      <c r="F305" s="381">
        <f>IF(AND('MARZO 2026'!D99&lt;&gt;"",'MARZO 2026'!Z99="POR RECOGER"),'MARZO 2026'!K99,"")</f>
        <v/>
      </c>
      <c r="G305" s="382">
        <f>IF(AND('MARZO 2026'!D99&lt;&gt;"",'MARZO 2026'!Z99="POR RECOGER"),'MARZO 2026'!M99,"")</f>
        <v/>
      </c>
      <c r="H305" s="382">
        <f>IF(AND('MARZO 2026'!D99&lt;&gt;"",'MARZO 2026'!Z99="POR RECOGER"),'MARZO 2026'!N99,"")</f>
        <v/>
      </c>
      <c r="I305" s="381">
        <f>IF(AND('MARZO 2026'!D99&lt;&gt;"",'MARZO 2026'!Z99="POR RECOGER"),'MARZO 2026'!P99,"")</f>
        <v/>
      </c>
      <c r="J305" s="381">
        <f>IF(AND('MARZO 2026'!D99&lt;&gt;"",'MARZO 2026'!Z99="POR RECOGER"),'MARZO 2026'!Q99,"")</f>
        <v/>
      </c>
      <c r="K305" s="381">
        <f>IF(AND('MARZO 2026'!D99&lt;&gt;"",'MARZO 2026'!Z99="POR RECOGER"),'MARZO 2026'!Y99,"")</f>
        <v/>
      </c>
      <c r="L305" s="381">
        <f>IF(AND('MARZO 2026'!D99&lt;&gt;"",'MARZO 2026'!Z99="POR RECOGER"),'MARZO 2026'!I99,"")</f>
        <v/>
      </c>
      <c r="P305" s="194" t="n"/>
      <c r="Q305" s="194" t="n"/>
      <c r="R305" s="194" t="n"/>
      <c r="S305" s="194" t="n"/>
      <c r="T305" s="194" t="n"/>
      <c r="U305" s="194" t="n"/>
      <c r="V305" s="194" t="n"/>
      <c r="W305" s="194" t="n"/>
      <c r="X305" s="194" t="n"/>
      <c r="Y305" s="194" t="n"/>
      <c r="Z305" s="194" t="n"/>
    </row>
    <row r="306" ht="15" customHeight="1" s="195">
      <c r="A306" s="381">
        <f>IF(AND('MARZO 2026'!D100&lt;&gt;"",'MARZO 2026'!Z100="POR RECOGER"),"MAR","")</f>
        <v/>
      </c>
      <c r="B306" s="381">
        <f>IF(AND('MARZO 2026'!D100&lt;&gt;"",'MARZO 2026'!Z100="POR RECOGER"),IF('MARZO 2026'!Y100&lt;&gt;"",'MARZO 2026'!Y100,'MARZO 2026'!I100),"")</f>
        <v/>
      </c>
      <c r="C306" s="381">
        <f>IF(AND('MARZO 2026'!D100&lt;&gt;"",'MARZO 2026'!Z100="POR RECOGER"),'MARZO 2026'!D100,"")</f>
        <v/>
      </c>
      <c r="D306" s="381">
        <f>IF(AND('MARZO 2026'!D100&lt;&gt;"",'MARZO 2026'!Z100="POR RECOGER"),'MARZO 2026'!F100,"")</f>
        <v/>
      </c>
      <c r="E306" s="381">
        <f>IF(AND('MARZO 2026'!D100&lt;&gt;"",'MARZO 2026'!Z100="POR RECOGER"),TEXT('MARZO 2026'!G100,"DD/MM/YYYY"),"")</f>
        <v/>
      </c>
      <c r="F306" s="381">
        <f>IF(AND('MARZO 2026'!D100&lt;&gt;"",'MARZO 2026'!Z100="POR RECOGER"),'MARZO 2026'!K100,"")</f>
        <v/>
      </c>
      <c r="G306" s="382">
        <f>IF(AND('MARZO 2026'!D100&lt;&gt;"",'MARZO 2026'!Z100="POR RECOGER"),'MARZO 2026'!M100,"")</f>
        <v/>
      </c>
      <c r="H306" s="382">
        <f>IF(AND('MARZO 2026'!D100&lt;&gt;"",'MARZO 2026'!Z100="POR RECOGER"),'MARZO 2026'!N100,"")</f>
        <v/>
      </c>
      <c r="I306" s="381">
        <f>IF(AND('MARZO 2026'!D100&lt;&gt;"",'MARZO 2026'!Z100="POR RECOGER"),'MARZO 2026'!P100,"")</f>
        <v/>
      </c>
      <c r="J306" s="381">
        <f>IF(AND('MARZO 2026'!D100&lt;&gt;"",'MARZO 2026'!Z100="POR RECOGER"),'MARZO 2026'!Q100,"")</f>
        <v/>
      </c>
      <c r="K306" s="381">
        <f>IF(AND('MARZO 2026'!D100&lt;&gt;"",'MARZO 2026'!Z100="POR RECOGER"),'MARZO 2026'!Y100,"")</f>
        <v/>
      </c>
      <c r="L306" s="381">
        <f>IF(AND('MARZO 2026'!D100&lt;&gt;"",'MARZO 2026'!Z100="POR RECOGER"),'MARZO 2026'!I100,"")</f>
        <v/>
      </c>
      <c r="P306" s="194" t="n"/>
      <c r="Q306" s="194" t="n"/>
      <c r="R306" s="194" t="n"/>
      <c r="S306" s="194" t="n"/>
      <c r="T306" s="194" t="n"/>
      <c r="U306" s="194" t="n"/>
      <c r="V306" s="194" t="n"/>
      <c r="W306" s="194" t="n"/>
      <c r="X306" s="194" t="n"/>
      <c r="Y306" s="194" t="n"/>
      <c r="Z306" s="194" t="n"/>
    </row>
    <row r="307" ht="15" customHeight="1" s="195">
      <c r="A307" s="381">
        <f>IF(AND('MARZO 2026'!D101&lt;&gt;"",'MARZO 2026'!Z101="POR RECOGER"),"MAR","")</f>
        <v/>
      </c>
      <c r="B307" s="381">
        <f>IF(AND('MARZO 2026'!D101&lt;&gt;"",'MARZO 2026'!Z101="POR RECOGER"),IF('MARZO 2026'!Y101&lt;&gt;"",'MARZO 2026'!Y101,'MARZO 2026'!I101),"")</f>
        <v/>
      </c>
      <c r="C307" s="381">
        <f>IF(AND('MARZO 2026'!D101&lt;&gt;"",'MARZO 2026'!Z101="POR RECOGER"),'MARZO 2026'!D101,"")</f>
        <v/>
      </c>
      <c r="D307" s="381">
        <f>IF(AND('MARZO 2026'!D101&lt;&gt;"",'MARZO 2026'!Z101="POR RECOGER"),'MARZO 2026'!F101,"")</f>
        <v/>
      </c>
      <c r="E307" s="381">
        <f>IF(AND('MARZO 2026'!D101&lt;&gt;"",'MARZO 2026'!Z101="POR RECOGER"),TEXT('MARZO 2026'!G101,"DD/MM/YYYY"),"")</f>
        <v/>
      </c>
      <c r="F307" s="381">
        <f>IF(AND('MARZO 2026'!D101&lt;&gt;"",'MARZO 2026'!Z101="POR RECOGER"),'MARZO 2026'!K101,"")</f>
        <v/>
      </c>
      <c r="G307" s="382">
        <f>IF(AND('MARZO 2026'!D101&lt;&gt;"",'MARZO 2026'!Z101="POR RECOGER"),'MARZO 2026'!M101,"")</f>
        <v/>
      </c>
      <c r="H307" s="382">
        <f>IF(AND('MARZO 2026'!D101&lt;&gt;"",'MARZO 2026'!Z101="POR RECOGER"),'MARZO 2026'!N101,"")</f>
        <v/>
      </c>
      <c r="I307" s="381">
        <f>IF(AND('MARZO 2026'!D101&lt;&gt;"",'MARZO 2026'!Z101="POR RECOGER"),'MARZO 2026'!P101,"")</f>
        <v/>
      </c>
      <c r="J307" s="381">
        <f>IF(AND('MARZO 2026'!D101&lt;&gt;"",'MARZO 2026'!Z101="POR RECOGER"),'MARZO 2026'!Q101,"")</f>
        <v/>
      </c>
      <c r="K307" s="381">
        <f>IF(AND('MARZO 2026'!D101&lt;&gt;"",'MARZO 2026'!Z101="POR RECOGER"),'MARZO 2026'!Y101,"")</f>
        <v/>
      </c>
      <c r="L307" s="381">
        <f>IF(AND('MARZO 2026'!D101&lt;&gt;"",'MARZO 2026'!Z101="POR RECOGER"),'MARZO 2026'!I101,"")</f>
        <v/>
      </c>
      <c r="P307" s="194" t="n"/>
      <c r="Q307" s="194" t="n"/>
      <c r="R307" s="194" t="n"/>
      <c r="S307" s="194" t="n"/>
      <c r="T307" s="194" t="n"/>
      <c r="U307" s="194" t="n"/>
      <c r="V307" s="194" t="n"/>
      <c r="W307" s="194" t="n"/>
      <c r="X307" s="194" t="n"/>
      <c r="Y307" s="194" t="n"/>
      <c r="Z307" s="194" t="n"/>
    </row>
    <row r="308" ht="15" customHeight="1" s="195">
      <c r="A308" s="381">
        <f>IF(AND('MARZO 2026'!D102&lt;&gt;"",'MARZO 2026'!Z102="POR RECOGER"),"MAR","")</f>
        <v/>
      </c>
      <c r="B308" s="381">
        <f>IF(AND('MARZO 2026'!D102&lt;&gt;"",'MARZO 2026'!Z102="POR RECOGER"),IF('MARZO 2026'!Y102&lt;&gt;"",'MARZO 2026'!Y102,'MARZO 2026'!I102),"")</f>
        <v/>
      </c>
      <c r="C308" s="381">
        <f>IF(AND('MARZO 2026'!D102&lt;&gt;"",'MARZO 2026'!Z102="POR RECOGER"),'MARZO 2026'!D102,"")</f>
        <v/>
      </c>
      <c r="D308" s="381">
        <f>IF(AND('MARZO 2026'!D102&lt;&gt;"",'MARZO 2026'!Z102="POR RECOGER"),'MARZO 2026'!F102,"")</f>
        <v/>
      </c>
      <c r="E308" s="381">
        <f>IF(AND('MARZO 2026'!D102&lt;&gt;"",'MARZO 2026'!Z102="POR RECOGER"),TEXT('MARZO 2026'!G102,"DD/MM/YYYY"),"")</f>
        <v/>
      </c>
      <c r="F308" s="381">
        <f>IF(AND('MARZO 2026'!D102&lt;&gt;"",'MARZO 2026'!Z102="POR RECOGER"),'MARZO 2026'!K102,"")</f>
        <v/>
      </c>
      <c r="G308" s="382">
        <f>IF(AND('MARZO 2026'!D102&lt;&gt;"",'MARZO 2026'!Z102="POR RECOGER"),'MARZO 2026'!M102,"")</f>
        <v/>
      </c>
      <c r="H308" s="382">
        <f>IF(AND('MARZO 2026'!D102&lt;&gt;"",'MARZO 2026'!Z102="POR RECOGER"),'MARZO 2026'!N102,"")</f>
        <v/>
      </c>
      <c r="I308" s="381">
        <f>IF(AND('MARZO 2026'!D102&lt;&gt;"",'MARZO 2026'!Z102="POR RECOGER"),'MARZO 2026'!P102,"")</f>
        <v/>
      </c>
      <c r="J308" s="381">
        <f>IF(AND('MARZO 2026'!D102&lt;&gt;"",'MARZO 2026'!Z102="POR RECOGER"),'MARZO 2026'!Q102,"")</f>
        <v/>
      </c>
      <c r="K308" s="381">
        <f>IF(AND('MARZO 2026'!D102&lt;&gt;"",'MARZO 2026'!Z102="POR RECOGER"),'MARZO 2026'!Y102,"")</f>
        <v/>
      </c>
      <c r="L308" s="381">
        <f>IF(AND('MARZO 2026'!D102&lt;&gt;"",'MARZO 2026'!Z102="POR RECOGER"),'MARZO 2026'!I102,"")</f>
        <v/>
      </c>
      <c r="P308" s="194" t="n"/>
      <c r="Q308" s="194" t="n"/>
      <c r="R308" s="194" t="n"/>
      <c r="S308" s="194" t="n"/>
      <c r="T308" s="194" t="n"/>
      <c r="U308" s="194" t="n"/>
      <c r="V308" s="194" t="n"/>
      <c r="W308" s="194" t="n"/>
      <c r="X308" s="194" t="n"/>
      <c r="Y308" s="194" t="n"/>
      <c r="Z308" s="194" t="n"/>
    </row>
    <row r="309" ht="15" customHeight="1" s="195">
      <c r="A309" s="381">
        <f>IF(AND('MARZO 2026'!D103&lt;&gt;"",'MARZO 2026'!Z103="POR RECOGER"),"MAR","")</f>
        <v/>
      </c>
      <c r="B309" s="381">
        <f>IF(AND('MARZO 2026'!D103&lt;&gt;"",'MARZO 2026'!Z103="POR RECOGER"),IF('MARZO 2026'!Y103&lt;&gt;"",'MARZO 2026'!Y103,'MARZO 2026'!I103),"")</f>
        <v/>
      </c>
      <c r="C309" s="381">
        <f>IF(AND('MARZO 2026'!D103&lt;&gt;"",'MARZO 2026'!Z103="POR RECOGER"),'MARZO 2026'!D103,"")</f>
        <v/>
      </c>
      <c r="D309" s="381">
        <f>IF(AND('MARZO 2026'!D103&lt;&gt;"",'MARZO 2026'!Z103="POR RECOGER"),'MARZO 2026'!F103,"")</f>
        <v/>
      </c>
      <c r="E309" s="381">
        <f>IF(AND('MARZO 2026'!D103&lt;&gt;"",'MARZO 2026'!Z103="POR RECOGER"),TEXT('MARZO 2026'!G103,"DD/MM/YYYY"),"")</f>
        <v/>
      </c>
      <c r="F309" s="381">
        <f>IF(AND('MARZO 2026'!D103&lt;&gt;"",'MARZO 2026'!Z103="POR RECOGER"),'MARZO 2026'!K103,"")</f>
        <v/>
      </c>
      <c r="G309" s="382">
        <f>IF(AND('MARZO 2026'!D103&lt;&gt;"",'MARZO 2026'!Z103="POR RECOGER"),'MARZO 2026'!M103,"")</f>
        <v/>
      </c>
      <c r="H309" s="382">
        <f>IF(AND('MARZO 2026'!D103&lt;&gt;"",'MARZO 2026'!Z103="POR RECOGER"),'MARZO 2026'!N103,"")</f>
        <v/>
      </c>
      <c r="I309" s="381">
        <f>IF(AND('MARZO 2026'!D103&lt;&gt;"",'MARZO 2026'!Z103="POR RECOGER"),'MARZO 2026'!P103,"")</f>
        <v/>
      </c>
      <c r="J309" s="381">
        <f>IF(AND('MARZO 2026'!D103&lt;&gt;"",'MARZO 2026'!Z103="POR RECOGER"),'MARZO 2026'!Q103,"")</f>
        <v/>
      </c>
      <c r="K309" s="381">
        <f>IF(AND('MARZO 2026'!D103&lt;&gt;"",'MARZO 2026'!Z103="POR RECOGER"),'MARZO 2026'!Y103,"")</f>
        <v/>
      </c>
      <c r="L309" s="381">
        <f>IF(AND('MARZO 2026'!D103&lt;&gt;"",'MARZO 2026'!Z103="POR RECOGER"),'MARZO 2026'!I103,"")</f>
        <v/>
      </c>
      <c r="P309" s="194" t="n"/>
      <c r="Q309" s="194" t="n"/>
      <c r="R309" s="194" t="n"/>
      <c r="S309" s="194" t="n"/>
      <c r="T309" s="194" t="n"/>
      <c r="U309" s="194" t="n"/>
      <c r="V309" s="194" t="n"/>
      <c r="W309" s="194" t="n"/>
      <c r="X309" s="194" t="n"/>
      <c r="Y309" s="194" t="n"/>
      <c r="Z309" s="194" t="n"/>
    </row>
    <row r="310" ht="15" customHeight="1" s="195">
      <c r="A310" s="381">
        <f>IF(AND('MARZO 2026'!D104&lt;&gt;"",'MARZO 2026'!Z104="POR RECOGER"),"MAR","")</f>
        <v/>
      </c>
      <c r="B310" s="381">
        <f>IF(AND('MARZO 2026'!D104&lt;&gt;"",'MARZO 2026'!Z104="POR RECOGER"),IF('MARZO 2026'!Y104&lt;&gt;"",'MARZO 2026'!Y104,'MARZO 2026'!I104),"")</f>
        <v/>
      </c>
      <c r="C310" s="381">
        <f>IF(AND('MARZO 2026'!D104&lt;&gt;"",'MARZO 2026'!Z104="POR RECOGER"),'MARZO 2026'!D104,"")</f>
        <v/>
      </c>
      <c r="D310" s="381">
        <f>IF(AND('MARZO 2026'!D104&lt;&gt;"",'MARZO 2026'!Z104="POR RECOGER"),'MARZO 2026'!F104,"")</f>
        <v/>
      </c>
      <c r="E310" s="381">
        <f>IF(AND('MARZO 2026'!D104&lt;&gt;"",'MARZO 2026'!Z104="POR RECOGER"),TEXT('MARZO 2026'!G104,"DD/MM/YYYY"),"")</f>
        <v/>
      </c>
      <c r="F310" s="381">
        <f>IF(AND('MARZO 2026'!D104&lt;&gt;"",'MARZO 2026'!Z104="POR RECOGER"),'MARZO 2026'!K104,"")</f>
        <v/>
      </c>
      <c r="G310" s="382">
        <f>IF(AND('MARZO 2026'!D104&lt;&gt;"",'MARZO 2026'!Z104="POR RECOGER"),'MARZO 2026'!M104,"")</f>
        <v/>
      </c>
      <c r="H310" s="382">
        <f>IF(AND('MARZO 2026'!D104&lt;&gt;"",'MARZO 2026'!Z104="POR RECOGER"),'MARZO 2026'!N104,"")</f>
        <v/>
      </c>
      <c r="I310" s="381">
        <f>IF(AND('MARZO 2026'!D104&lt;&gt;"",'MARZO 2026'!Z104="POR RECOGER"),'MARZO 2026'!P104,"")</f>
        <v/>
      </c>
      <c r="J310" s="381">
        <f>IF(AND('MARZO 2026'!D104&lt;&gt;"",'MARZO 2026'!Z104="POR RECOGER"),'MARZO 2026'!Q104,"")</f>
        <v/>
      </c>
      <c r="K310" s="381">
        <f>IF(AND('MARZO 2026'!D104&lt;&gt;"",'MARZO 2026'!Z104="POR RECOGER"),'MARZO 2026'!Y104,"")</f>
        <v/>
      </c>
      <c r="L310" s="381">
        <f>IF(AND('MARZO 2026'!D104&lt;&gt;"",'MARZO 2026'!Z104="POR RECOGER"),'MARZO 2026'!I104,"")</f>
        <v/>
      </c>
      <c r="P310" s="194" t="n"/>
      <c r="Q310" s="194" t="n"/>
      <c r="R310" s="194" t="n"/>
      <c r="S310" s="194" t="n"/>
      <c r="T310" s="194" t="n"/>
      <c r="U310" s="194" t="n"/>
      <c r="V310" s="194" t="n"/>
      <c r="W310" s="194" t="n"/>
      <c r="X310" s="194" t="n"/>
      <c r="Y310" s="194" t="n"/>
      <c r="Z310" s="194" t="n"/>
    </row>
    <row r="311" ht="15" customHeight="1" s="195">
      <c r="A311" s="381">
        <f>IF(AND('MARZO 2026'!D105&lt;&gt;"",'MARZO 2026'!Z105="POR RECOGER"),"MAR","")</f>
        <v/>
      </c>
      <c r="B311" s="381">
        <f>IF(AND('MARZO 2026'!D105&lt;&gt;"",'MARZO 2026'!Z105="POR RECOGER"),IF('MARZO 2026'!Y105&lt;&gt;"",'MARZO 2026'!Y105,'MARZO 2026'!I105),"")</f>
        <v/>
      </c>
      <c r="C311" s="381">
        <f>IF(AND('MARZO 2026'!D105&lt;&gt;"",'MARZO 2026'!Z105="POR RECOGER"),'MARZO 2026'!D105,"")</f>
        <v/>
      </c>
      <c r="D311" s="381">
        <f>IF(AND('MARZO 2026'!D105&lt;&gt;"",'MARZO 2026'!Z105="POR RECOGER"),'MARZO 2026'!F105,"")</f>
        <v/>
      </c>
      <c r="E311" s="381">
        <f>IF(AND('MARZO 2026'!D105&lt;&gt;"",'MARZO 2026'!Z105="POR RECOGER"),TEXT('MARZO 2026'!G105,"DD/MM/YYYY"),"")</f>
        <v/>
      </c>
      <c r="F311" s="381">
        <f>IF(AND('MARZO 2026'!D105&lt;&gt;"",'MARZO 2026'!Z105="POR RECOGER"),'MARZO 2026'!K105,"")</f>
        <v/>
      </c>
      <c r="G311" s="382">
        <f>IF(AND('MARZO 2026'!D105&lt;&gt;"",'MARZO 2026'!Z105="POR RECOGER"),'MARZO 2026'!M105,"")</f>
        <v/>
      </c>
      <c r="H311" s="382">
        <f>IF(AND('MARZO 2026'!D105&lt;&gt;"",'MARZO 2026'!Z105="POR RECOGER"),'MARZO 2026'!N105,"")</f>
        <v/>
      </c>
      <c r="I311" s="381">
        <f>IF(AND('MARZO 2026'!D105&lt;&gt;"",'MARZO 2026'!Z105="POR RECOGER"),'MARZO 2026'!P105,"")</f>
        <v/>
      </c>
      <c r="J311" s="381">
        <f>IF(AND('MARZO 2026'!D105&lt;&gt;"",'MARZO 2026'!Z105="POR RECOGER"),'MARZO 2026'!Q105,"")</f>
        <v/>
      </c>
      <c r="K311" s="381">
        <f>IF(AND('MARZO 2026'!D105&lt;&gt;"",'MARZO 2026'!Z105="POR RECOGER"),'MARZO 2026'!Y105,"")</f>
        <v/>
      </c>
      <c r="L311" s="381">
        <f>IF(AND('MARZO 2026'!D105&lt;&gt;"",'MARZO 2026'!Z105="POR RECOGER"),'MARZO 2026'!I105,"")</f>
        <v/>
      </c>
      <c r="P311" s="194" t="n"/>
      <c r="Q311" s="194" t="n"/>
      <c r="R311" s="194" t="n"/>
      <c r="S311" s="194" t="n"/>
      <c r="T311" s="194" t="n"/>
      <c r="U311" s="194" t="n"/>
      <c r="V311" s="194" t="n"/>
      <c r="W311" s="194" t="n"/>
      <c r="X311" s="194" t="n"/>
      <c r="Y311" s="194" t="n"/>
      <c r="Z311" s="194" t="n"/>
    </row>
    <row r="312" ht="15" customHeight="1" s="195">
      <c r="A312" s="381">
        <f>IF(AND('MARZO 2026'!D106&lt;&gt;"",'MARZO 2026'!Z106="POR RECOGER"),"MAR","")</f>
        <v/>
      </c>
      <c r="B312" s="381">
        <f>IF(AND('MARZO 2026'!D106&lt;&gt;"",'MARZO 2026'!Z106="POR RECOGER"),IF('MARZO 2026'!Y106&lt;&gt;"",'MARZO 2026'!Y106,'MARZO 2026'!I106),"")</f>
        <v/>
      </c>
      <c r="C312" s="381">
        <f>IF(AND('MARZO 2026'!D106&lt;&gt;"",'MARZO 2026'!Z106="POR RECOGER"),'MARZO 2026'!D106,"")</f>
        <v/>
      </c>
      <c r="D312" s="381">
        <f>IF(AND('MARZO 2026'!D106&lt;&gt;"",'MARZO 2026'!Z106="POR RECOGER"),'MARZO 2026'!F106,"")</f>
        <v/>
      </c>
      <c r="E312" s="381">
        <f>IF(AND('MARZO 2026'!D106&lt;&gt;"",'MARZO 2026'!Z106="POR RECOGER"),TEXT('MARZO 2026'!G106,"DD/MM/YYYY"),"")</f>
        <v/>
      </c>
      <c r="F312" s="381">
        <f>IF(AND('MARZO 2026'!D106&lt;&gt;"",'MARZO 2026'!Z106="POR RECOGER"),'MARZO 2026'!K106,"")</f>
        <v/>
      </c>
      <c r="G312" s="382">
        <f>IF(AND('MARZO 2026'!D106&lt;&gt;"",'MARZO 2026'!Z106="POR RECOGER"),'MARZO 2026'!M106,"")</f>
        <v/>
      </c>
      <c r="H312" s="382">
        <f>IF(AND('MARZO 2026'!D106&lt;&gt;"",'MARZO 2026'!Z106="POR RECOGER"),'MARZO 2026'!N106,"")</f>
        <v/>
      </c>
      <c r="I312" s="381">
        <f>IF(AND('MARZO 2026'!D106&lt;&gt;"",'MARZO 2026'!Z106="POR RECOGER"),'MARZO 2026'!P106,"")</f>
        <v/>
      </c>
      <c r="J312" s="381">
        <f>IF(AND('MARZO 2026'!D106&lt;&gt;"",'MARZO 2026'!Z106="POR RECOGER"),'MARZO 2026'!Q106,"")</f>
        <v/>
      </c>
      <c r="K312" s="381">
        <f>IF(AND('MARZO 2026'!D106&lt;&gt;"",'MARZO 2026'!Z106="POR RECOGER"),'MARZO 2026'!Y106,"")</f>
        <v/>
      </c>
      <c r="L312" s="381">
        <f>IF(AND('MARZO 2026'!D106&lt;&gt;"",'MARZO 2026'!Z106="POR RECOGER"),'MARZO 2026'!I106,"")</f>
        <v/>
      </c>
      <c r="P312" s="194" t="n"/>
      <c r="Q312" s="194" t="n"/>
      <c r="R312" s="194" t="n"/>
      <c r="S312" s="194" t="n"/>
      <c r="T312" s="194" t="n"/>
      <c r="U312" s="194" t="n"/>
      <c r="V312" s="194" t="n"/>
      <c r="W312" s="194" t="n"/>
      <c r="X312" s="194" t="n"/>
      <c r="Y312" s="194" t="n"/>
      <c r="Z312" s="194" t="n"/>
    </row>
    <row r="313" ht="15" customHeight="1" s="195">
      <c r="A313" s="381">
        <f>IF(AND('MARZO 2026'!D107&lt;&gt;"",'MARZO 2026'!Z107="POR RECOGER"),"MAR","")</f>
        <v/>
      </c>
      <c r="B313" s="381">
        <f>IF(AND('MARZO 2026'!D107&lt;&gt;"",'MARZO 2026'!Z107="POR RECOGER"),IF('MARZO 2026'!Y107&lt;&gt;"",'MARZO 2026'!Y107,'MARZO 2026'!I107),"")</f>
        <v/>
      </c>
      <c r="C313" s="381">
        <f>IF(AND('MARZO 2026'!D107&lt;&gt;"",'MARZO 2026'!Z107="POR RECOGER"),'MARZO 2026'!D107,"")</f>
        <v/>
      </c>
      <c r="D313" s="381">
        <f>IF(AND('MARZO 2026'!D107&lt;&gt;"",'MARZO 2026'!Z107="POR RECOGER"),'MARZO 2026'!F107,"")</f>
        <v/>
      </c>
      <c r="E313" s="381">
        <f>IF(AND('MARZO 2026'!D107&lt;&gt;"",'MARZO 2026'!Z107="POR RECOGER"),TEXT('MARZO 2026'!G107,"DD/MM/YYYY"),"")</f>
        <v/>
      </c>
      <c r="F313" s="381">
        <f>IF(AND('MARZO 2026'!D107&lt;&gt;"",'MARZO 2026'!Z107="POR RECOGER"),'MARZO 2026'!K107,"")</f>
        <v/>
      </c>
      <c r="G313" s="382">
        <f>IF(AND('MARZO 2026'!D107&lt;&gt;"",'MARZO 2026'!Z107="POR RECOGER"),'MARZO 2026'!M107,"")</f>
        <v/>
      </c>
      <c r="H313" s="382">
        <f>IF(AND('MARZO 2026'!D107&lt;&gt;"",'MARZO 2026'!Z107="POR RECOGER"),'MARZO 2026'!N107,"")</f>
        <v/>
      </c>
      <c r="I313" s="381">
        <f>IF(AND('MARZO 2026'!D107&lt;&gt;"",'MARZO 2026'!Z107="POR RECOGER"),'MARZO 2026'!P107,"")</f>
        <v/>
      </c>
      <c r="J313" s="381">
        <f>IF(AND('MARZO 2026'!D107&lt;&gt;"",'MARZO 2026'!Z107="POR RECOGER"),'MARZO 2026'!Q107,"")</f>
        <v/>
      </c>
      <c r="K313" s="381">
        <f>IF(AND('MARZO 2026'!D107&lt;&gt;"",'MARZO 2026'!Z107="POR RECOGER"),'MARZO 2026'!Y107,"")</f>
        <v/>
      </c>
      <c r="L313" s="381">
        <f>IF(AND('MARZO 2026'!D107&lt;&gt;"",'MARZO 2026'!Z107="POR RECOGER"),'MARZO 2026'!I107,"")</f>
        <v/>
      </c>
      <c r="P313" s="194" t="n"/>
      <c r="Q313" s="194" t="n"/>
      <c r="R313" s="194" t="n"/>
      <c r="S313" s="194" t="n"/>
      <c r="T313" s="194" t="n"/>
      <c r="U313" s="194" t="n"/>
      <c r="V313" s="194" t="n"/>
      <c r="W313" s="194" t="n"/>
      <c r="X313" s="194" t="n"/>
      <c r="Y313" s="194" t="n"/>
      <c r="Z313" s="194" t="n"/>
    </row>
    <row r="314" ht="15" customHeight="1" s="195">
      <c r="A314" s="381">
        <f>IF(AND('MARZO 2026'!D108&lt;&gt;"",'MARZO 2026'!Z108="POR RECOGER"),"MAR","")</f>
        <v/>
      </c>
      <c r="B314" s="381">
        <f>IF(AND('MARZO 2026'!D108&lt;&gt;"",'MARZO 2026'!Z108="POR RECOGER"),IF('MARZO 2026'!Y108&lt;&gt;"",'MARZO 2026'!Y108,'MARZO 2026'!I108),"")</f>
        <v/>
      </c>
      <c r="C314" s="381">
        <f>IF(AND('MARZO 2026'!D108&lt;&gt;"",'MARZO 2026'!Z108="POR RECOGER"),'MARZO 2026'!D108,"")</f>
        <v/>
      </c>
      <c r="D314" s="381">
        <f>IF(AND('MARZO 2026'!D108&lt;&gt;"",'MARZO 2026'!Z108="POR RECOGER"),'MARZO 2026'!F108,"")</f>
        <v/>
      </c>
      <c r="E314" s="381">
        <f>IF(AND('MARZO 2026'!D108&lt;&gt;"",'MARZO 2026'!Z108="POR RECOGER"),TEXT('MARZO 2026'!G108,"DD/MM/YYYY"),"")</f>
        <v/>
      </c>
      <c r="F314" s="381">
        <f>IF(AND('MARZO 2026'!D108&lt;&gt;"",'MARZO 2026'!Z108="POR RECOGER"),'MARZO 2026'!K108,"")</f>
        <v/>
      </c>
      <c r="G314" s="382">
        <f>IF(AND('MARZO 2026'!D108&lt;&gt;"",'MARZO 2026'!Z108="POR RECOGER"),'MARZO 2026'!M108,"")</f>
        <v/>
      </c>
      <c r="H314" s="382">
        <f>IF(AND('MARZO 2026'!D108&lt;&gt;"",'MARZO 2026'!Z108="POR RECOGER"),'MARZO 2026'!N108,"")</f>
        <v/>
      </c>
      <c r="I314" s="381">
        <f>IF(AND('MARZO 2026'!D108&lt;&gt;"",'MARZO 2026'!Z108="POR RECOGER"),'MARZO 2026'!P108,"")</f>
        <v/>
      </c>
      <c r="J314" s="381">
        <f>IF(AND('MARZO 2026'!D108&lt;&gt;"",'MARZO 2026'!Z108="POR RECOGER"),'MARZO 2026'!Q108,"")</f>
        <v/>
      </c>
      <c r="K314" s="381">
        <f>IF(AND('MARZO 2026'!D108&lt;&gt;"",'MARZO 2026'!Z108="POR RECOGER"),'MARZO 2026'!Y108,"")</f>
        <v/>
      </c>
      <c r="L314" s="381">
        <f>IF(AND('MARZO 2026'!D108&lt;&gt;"",'MARZO 2026'!Z108="POR RECOGER"),'MARZO 2026'!I108,"")</f>
        <v/>
      </c>
      <c r="P314" s="194" t="n"/>
      <c r="Q314" s="194" t="n"/>
      <c r="R314" s="194" t="n"/>
      <c r="S314" s="194" t="n"/>
      <c r="T314" s="194" t="n"/>
      <c r="U314" s="194" t="n"/>
      <c r="V314" s="194" t="n"/>
      <c r="W314" s="194" t="n"/>
      <c r="X314" s="194" t="n"/>
      <c r="Y314" s="194" t="n"/>
      <c r="Z314" s="194" t="n"/>
    </row>
    <row r="315" ht="15" customHeight="1" s="195">
      <c r="A315" s="381">
        <f>IF(AND('MARZO 2026'!D109&lt;&gt;"",'MARZO 2026'!Z109="POR RECOGER"),"MAR","")</f>
        <v/>
      </c>
      <c r="B315" s="381">
        <f>IF(AND('MARZO 2026'!D109&lt;&gt;"",'MARZO 2026'!Z109="POR RECOGER"),IF('MARZO 2026'!Y109&lt;&gt;"",'MARZO 2026'!Y109,'MARZO 2026'!I109),"")</f>
        <v/>
      </c>
      <c r="C315" s="381">
        <f>IF(AND('MARZO 2026'!D109&lt;&gt;"",'MARZO 2026'!Z109="POR RECOGER"),'MARZO 2026'!D109,"")</f>
        <v/>
      </c>
      <c r="D315" s="381">
        <f>IF(AND('MARZO 2026'!D109&lt;&gt;"",'MARZO 2026'!Z109="POR RECOGER"),'MARZO 2026'!F109,"")</f>
        <v/>
      </c>
      <c r="E315" s="381">
        <f>IF(AND('MARZO 2026'!D109&lt;&gt;"",'MARZO 2026'!Z109="POR RECOGER"),TEXT('MARZO 2026'!G109,"DD/MM/YYYY"),"")</f>
        <v/>
      </c>
      <c r="F315" s="381">
        <f>IF(AND('MARZO 2026'!D109&lt;&gt;"",'MARZO 2026'!Z109="POR RECOGER"),'MARZO 2026'!K109,"")</f>
        <v/>
      </c>
      <c r="G315" s="382">
        <f>IF(AND('MARZO 2026'!D109&lt;&gt;"",'MARZO 2026'!Z109="POR RECOGER"),'MARZO 2026'!M109,"")</f>
        <v/>
      </c>
      <c r="H315" s="382">
        <f>IF(AND('MARZO 2026'!D109&lt;&gt;"",'MARZO 2026'!Z109="POR RECOGER"),'MARZO 2026'!N109,"")</f>
        <v/>
      </c>
      <c r="I315" s="381">
        <f>IF(AND('MARZO 2026'!D109&lt;&gt;"",'MARZO 2026'!Z109="POR RECOGER"),'MARZO 2026'!P109,"")</f>
        <v/>
      </c>
      <c r="J315" s="381">
        <f>IF(AND('MARZO 2026'!D109&lt;&gt;"",'MARZO 2026'!Z109="POR RECOGER"),'MARZO 2026'!Q109,"")</f>
        <v/>
      </c>
      <c r="K315" s="381">
        <f>IF(AND('MARZO 2026'!D109&lt;&gt;"",'MARZO 2026'!Z109="POR RECOGER"),'MARZO 2026'!Y109,"")</f>
        <v/>
      </c>
      <c r="L315" s="381">
        <f>IF(AND('MARZO 2026'!D109&lt;&gt;"",'MARZO 2026'!Z109="POR RECOGER"),'MARZO 2026'!I109,"")</f>
        <v/>
      </c>
      <c r="P315" s="194" t="n"/>
      <c r="Q315" s="194" t="n"/>
      <c r="R315" s="194" t="n"/>
      <c r="S315" s="194" t="n"/>
      <c r="T315" s="194" t="n"/>
      <c r="U315" s="194" t="n"/>
      <c r="V315" s="194" t="n"/>
      <c r="W315" s="194" t="n"/>
      <c r="X315" s="194" t="n"/>
      <c r="Y315" s="194" t="n"/>
      <c r="Z315" s="194" t="n"/>
    </row>
    <row r="316" ht="15" customHeight="1" s="195">
      <c r="A316" s="381">
        <f>IF(AND('MARZO 2026'!D110&lt;&gt;"",'MARZO 2026'!Z110="POR RECOGER"),"MAR","")</f>
        <v/>
      </c>
      <c r="B316" s="381">
        <f>IF(AND('MARZO 2026'!D110&lt;&gt;"",'MARZO 2026'!Z110="POR RECOGER"),IF('MARZO 2026'!Y110&lt;&gt;"",'MARZO 2026'!Y110,'MARZO 2026'!I110),"")</f>
        <v/>
      </c>
      <c r="C316" s="381">
        <f>IF(AND('MARZO 2026'!D110&lt;&gt;"",'MARZO 2026'!Z110="POR RECOGER"),'MARZO 2026'!D110,"")</f>
        <v/>
      </c>
      <c r="D316" s="381">
        <f>IF(AND('MARZO 2026'!D110&lt;&gt;"",'MARZO 2026'!Z110="POR RECOGER"),'MARZO 2026'!F110,"")</f>
        <v/>
      </c>
      <c r="E316" s="381">
        <f>IF(AND('MARZO 2026'!D110&lt;&gt;"",'MARZO 2026'!Z110="POR RECOGER"),TEXT('MARZO 2026'!G110,"DD/MM/YYYY"),"")</f>
        <v/>
      </c>
      <c r="F316" s="381">
        <f>IF(AND('MARZO 2026'!D110&lt;&gt;"",'MARZO 2026'!Z110="POR RECOGER"),'MARZO 2026'!K110,"")</f>
        <v/>
      </c>
      <c r="G316" s="382">
        <f>IF(AND('MARZO 2026'!D110&lt;&gt;"",'MARZO 2026'!Z110="POR RECOGER"),'MARZO 2026'!M110,"")</f>
        <v/>
      </c>
      <c r="H316" s="382">
        <f>IF(AND('MARZO 2026'!D110&lt;&gt;"",'MARZO 2026'!Z110="POR RECOGER"),'MARZO 2026'!N110,"")</f>
        <v/>
      </c>
      <c r="I316" s="381">
        <f>IF(AND('MARZO 2026'!D110&lt;&gt;"",'MARZO 2026'!Z110="POR RECOGER"),'MARZO 2026'!P110,"")</f>
        <v/>
      </c>
      <c r="J316" s="381">
        <f>IF(AND('MARZO 2026'!D110&lt;&gt;"",'MARZO 2026'!Z110="POR RECOGER"),'MARZO 2026'!Q110,"")</f>
        <v/>
      </c>
      <c r="K316" s="381">
        <f>IF(AND('MARZO 2026'!D110&lt;&gt;"",'MARZO 2026'!Z110="POR RECOGER"),'MARZO 2026'!Y110,"")</f>
        <v/>
      </c>
      <c r="L316" s="381">
        <f>IF(AND('MARZO 2026'!D110&lt;&gt;"",'MARZO 2026'!Z110="POR RECOGER"),'MARZO 2026'!I110,"")</f>
        <v/>
      </c>
      <c r="P316" s="194" t="n"/>
      <c r="Q316" s="194" t="n"/>
      <c r="R316" s="194" t="n"/>
      <c r="S316" s="194" t="n"/>
      <c r="T316" s="194" t="n"/>
      <c r="U316" s="194" t="n"/>
      <c r="V316" s="194" t="n"/>
      <c r="W316" s="194" t="n"/>
      <c r="X316" s="194" t="n"/>
      <c r="Y316" s="194" t="n"/>
      <c r="Z316" s="194" t="n"/>
    </row>
    <row r="317" ht="15" customHeight="1" s="195">
      <c r="A317" s="381">
        <f>IF(AND('ABRIL 2026'!D6&lt;&gt;"",'ABRIL 2026'!Z6="POR RECOGER"),"ABR","")</f>
        <v/>
      </c>
      <c r="B317" s="381">
        <f>IF(AND('ABRIL 2026'!D6&lt;&gt;"",'ABRIL 2026'!Z6="POR RECOGER"),IF('ABRIL 2026'!Y6&lt;&gt;"",'ABRIL 2026'!Y6,'ABRIL 2026'!I6),"")</f>
        <v/>
      </c>
      <c r="C317" s="381">
        <f>IF(AND('ABRIL 2026'!D6&lt;&gt;"",'ABRIL 2026'!Z6="POR RECOGER"),'ABRIL 2026'!D6,"")</f>
        <v/>
      </c>
      <c r="D317" s="381">
        <f>IF(AND('ABRIL 2026'!D6&lt;&gt;"",'ABRIL 2026'!Z6="POR RECOGER"),'ABRIL 2026'!F6,"")</f>
        <v/>
      </c>
      <c r="E317" s="381">
        <f>IF(AND('ABRIL 2026'!D6&lt;&gt;"",'ABRIL 2026'!Z6="POR RECOGER"),TEXT('ABRIL 2026'!G6,"DD/MM/YYYY"),"")</f>
        <v/>
      </c>
      <c r="F317" s="381">
        <f>IF(AND('ABRIL 2026'!D6&lt;&gt;"",'ABRIL 2026'!Z6="POR RECOGER"),'ABRIL 2026'!K6,"")</f>
        <v/>
      </c>
      <c r="G317" s="382">
        <f>IF(AND('ABRIL 2026'!D6&lt;&gt;"",'ABRIL 2026'!Z6="POR RECOGER"),'ABRIL 2026'!M6,"")</f>
        <v/>
      </c>
      <c r="H317" s="382">
        <f>IF(AND('ABRIL 2026'!D6&lt;&gt;"",'ABRIL 2026'!Z6="POR RECOGER"),'ABRIL 2026'!N6,"")</f>
        <v/>
      </c>
      <c r="I317" s="381">
        <f>IF(AND('ABRIL 2026'!D6&lt;&gt;"",'ABRIL 2026'!Z6="POR RECOGER"),'ABRIL 2026'!P6,"")</f>
        <v/>
      </c>
      <c r="J317" s="381">
        <f>IF(AND('ABRIL 2026'!D6&lt;&gt;"",'ABRIL 2026'!Z6="POR RECOGER"),'ABRIL 2026'!Q6,"")</f>
        <v/>
      </c>
      <c r="K317" s="381">
        <f>IF(AND('ABRIL 2026'!D6&lt;&gt;"",'ABRIL 2026'!Z6="POR RECOGER"),'ABRIL 2026'!Y6,"")</f>
        <v/>
      </c>
      <c r="L317" s="381">
        <f>IF(AND('ABRIL 2026'!D6&lt;&gt;"",'ABRIL 2026'!Z6="POR RECOGER"),'ABRIL 2026'!I6,"")</f>
        <v/>
      </c>
      <c r="P317" s="194" t="n"/>
      <c r="Q317" s="194" t="n"/>
      <c r="R317" s="194" t="n"/>
      <c r="S317" s="194" t="n"/>
      <c r="T317" s="194" t="n"/>
      <c r="U317" s="194" t="n"/>
      <c r="V317" s="194" t="n"/>
      <c r="W317" s="194" t="n"/>
      <c r="X317" s="194" t="n"/>
      <c r="Y317" s="194" t="n"/>
      <c r="Z317" s="194" t="n"/>
    </row>
    <row r="318" ht="15" customHeight="1" s="195">
      <c r="A318" s="381">
        <f>IF(AND('ABRIL 2026'!D7&lt;&gt;"",'ABRIL 2026'!Z7="POR RECOGER"),"ABR","")</f>
        <v/>
      </c>
      <c r="B318" s="381">
        <f>IF(AND('ABRIL 2026'!D7&lt;&gt;"",'ABRIL 2026'!Z7="POR RECOGER"),IF('ABRIL 2026'!Y7&lt;&gt;"",'ABRIL 2026'!Y7,'ABRIL 2026'!I7),"")</f>
        <v/>
      </c>
      <c r="C318" s="381">
        <f>IF(AND('ABRIL 2026'!D7&lt;&gt;"",'ABRIL 2026'!Z7="POR RECOGER"),'ABRIL 2026'!D7,"")</f>
        <v/>
      </c>
      <c r="D318" s="381">
        <f>IF(AND('ABRIL 2026'!D7&lt;&gt;"",'ABRIL 2026'!Z7="POR RECOGER"),'ABRIL 2026'!F7,"")</f>
        <v/>
      </c>
      <c r="E318" s="381">
        <f>IF(AND('ABRIL 2026'!D7&lt;&gt;"",'ABRIL 2026'!Z7="POR RECOGER"),TEXT('ABRIL 2026'!G7,"DD/MM/YYYY"),"")</f>
        <v/>
      </c>
      <c r="F318" s="381">
        <f>IF(AND('ABRIL 2026'!D7&lt;&gt;"",'ABRIL 2026'!Z7="POR RECOGER"),'ABRIL 2026'!K7,"")</f>
        <v/>
      </c>
      <c r="G318" s="382">
        <f>IF(AND('ABRIL 2026'!D7&lt;&gt;"",'ABRIL 2026'!Z7="POR RECOGER"),'ABRIL 2026'!M7,"")</f>
        <v/>
      </c>
      <c r="H318" s="382">
        <f>IF(AND('ABRIL 2026'!D7&lt;&gt;"",'ABRIL 2026'!Z7="POR RECOGER"),'ABRIL 2026'!N7,"")</f>
        <v/>
      </c>
      <c r="I318" s="381">
        <f>IF(AND('ABRIL 2026'!D7&lt;&gt;"",'ABRIL 2026'!Z7="POR RECOGER"),'ABRIL 2026'!P7,"")</f>
        <v/>
      </c>
      <c r="J318" s="381">
        <f>IF(AND('ABRIL 2026'!D7&lt;&gt;"",'ABRIL 2026'!Z7="POR RECOGER"),'ABRIL 2026'!Q7,"")</f>
        <v/>
      </c>
      <c r="K318" s="381">
        <f>IF(AND('ABRIL 2026'!D7&lt;&gt;"",'ABRIL 2026'!Z7="POR RECOGER"),'ABRIL 2026'!Y7,"")</f>
        <v/>
      </c>
      <c r="L318" s="381">
        <f>IF(AND('ABRIL 2026'!D7&lt;&gt;"",'ABRIL 2026'!Z7="POR RECOGER"),'ABRIL 2026'!I7,"")</f>
        <v/>
      </c>
      <c r="P318" s="194" t="n"/>
      <c r="Q318" s="194" t="n"/>
      <c r="R318" s="194" t="n"/>
      <c r="S318" s="194" t="n"/>
      <c r="T318" s="194" t="n"/>
      <c r="U318" s="194" t="n"/>
      <c r="V318" s="194" t="n"/>
      <c r="W318" s="194" t="n"/>
      <c r="X318" s="194" t="n"/>
      <c r="Y318" s="194" t="n"/>
      <c r="Z318" s="194" t="n"/>
    </row>
    <row r="319" ht="15" customHeight="1" s="195">
      <c r="A319" s="381">
        <f>IF(AND('ABRIL 2026'!D8&lt;&gt;"",'ABRIL 2026'!Z8="POR RECOGER"),"ABR","")</f>
        <v/>
      </c>
      <c r="B319" s="381">
        <f>IF(AND('ABRIL 2026'!D8&lt;&gt;"",'ABRIL 2026'!Z8="POR RECOGER"),IF('ABRIL 2026'!Y8&lt;&gt;"",'ABRIL 2026'!Y8,'ABRIL 2026'!I8),"")</f>
        <v/>
      </c>
      <c r="C319" s="381">
        <f>IF(AND('ABRIL 2026'!D8&lt;&gt;"",'ABRIL 2026'!Z8="POR RECOGER"),'ABRIL 2026'!D8,"")</f>
        <v/>
      </c>
      <c r="D319" s="381">
        <f>IF(AND('ABRIL 2026'!D8&lt;&gt;"",'ABRIL 2026'!Z8="POR RECOGER"),'ABRIL 2026'!F8,"")</f>
        <v/>
      </c>
      <c r="E319" s="381">
        <f>IF(AND('ABRIL 2026'!D8&lt;&gt;"",'ABRIL 2026'!Z8="POR RECOGER"),TEXT('ABRIL 2026'!G8,"DD/MM/YYYY"),"")</f>
        <v/>
      </c>
      <c r="F319" s="381">
        <f>IF(AND('ABRIL 2026'!D8&lt;&gt;"",'ABRIL 2026'!Z8="POR RECOGER"),'ABRIL 2026'!K8,"")</f>
        <v/>
      </c>
      <c r="G319" s="382">
        <f>IF(AND('ABRIL 2026'!D8&lt;&gt;"",'ABRIL 2026'!Z8="POR RECOGER"),'ABRIL 2026'!M8,"")</f>
        <v/>
      </c>
      <c r="H319" s="382">
        <f>IF(AND('ABRIL 2026'!D8&lt;&gt;"",'ABRIL 2026'!Z8="POR RECOGER"),'ABRIL 2026'!N8,"")</f>
        <v/>
      </c>
      <c r="I319" s="381">
        <f>IF(AND('ABRIL 2026'!D8&lt;&gt;"",'ABRIL 2026'!Z8="POR RECOGER"),'ABRIL 2026'!P8,"")</f>
        <v/>
      </c>
      <c r="J319" s="381">
        <f>IF(AND('ABRIL 2026'!D8&lt;&gt;"",'ABRIL 2026'!Z8="POR RECOGER"),'ABRIL 2026'!Q8,"")</f>
        <v/>
      </c>
      <c r="K319" s="381">
        <f>IF(AND('ABRIL 2026'!D8&lt;&gt;"",'ABRIL 2026'!Z8="POR RECOGER"),'ABRIL 2026'!Y8,"")</f>
        <v/>
      </c>
      <c r="L319" s="381">
        <f>IF(AND('ABRIL 2026'!D8&lt;&gt;"",'ABRIL 2026'!Z8="POR RECOGER"),'ABRIL 2026'!I8,"")</f>
        <v/>
      </c>
      <c r="P319" s="194" t="n"/>
      <c r="Q319" s="194" t="n"/>
      <c r="R319" s="194" t="n"/>
      <c r="S319" s="194" t="n"/>
      <c r="T319" s="194" t="n"/>
      <c r="U319" s="194" t="n"/>
      <c r="V319" s="194" t="n"/>
      <c r="W319" s="194" t="n"/>
      <c r="X319" s="194" t="n"/>
      <c r="Y319" s="194" t="n"/>
      <c r="Z319" s="194" t="n"/>
    </row>
    <row r="320" ht="15" customHeight="1" s="195">
      <c r="A320" s="381">
        <f>IF(AND('ABRIL 2026'!D9&lt;&gt;"",'ABRIL 2026'!Z9="POR RECOGER"),"ABR","")</f>
        <v/>
      </c>
      <c r="B320" s="381">
        <f>IF(AND('ABRIL 2026'!D9&lt;&gt;"",'ABRIL 2026'!Z9="POR RECOGER"),IF('ABRIL 2026'!Y9&lt;&gt;"",'ABRIL 2026'!Y9,'ABRIL 2026'!I9),"")</f>
        <v/>
      </c>
      <c r="C320" s="381">
        <f>IF(AND('ABRIL 2026'!D9&lt;&gt;"",'ABRIL 2026'!Z9="POR RECOGER"),'ABRIL 2026'!D9,"")</f>
        <v/>
      </c>
      <c r="D320" s="381">
        <f>IF(AND('ABRIL 2026'!D9&lt;&gt;"",'ABRIL 2026'!Z9="POR RECOGER"),'ABRIL 2026'!F9,"")</f>
        <v/>
      </c>
      <c r="E320" s="381">
        <f>IF(AND('ABRIL 2026'!D9&lt;&gt;"",'ABRIL 2026'!Z9="POR RECOGER"),TEXT('ABRIL 2026'!G9,"DD/MM/YYYY"),"")</f>
        <v/>
      </c>
      <c r="F320" s="381">
        <f>IF(AND('ABRIL 2026'!D9&lt;&gt;"",'ABRIL 2026'!Z9="POR RECOGER"),'ABRIL 2026'!K9,"")</f>
        <v/>
      </c>
      <c r="G320" s="382">
        <f>IF(AND('ABRIL 2026'!D9&lt;&gt;"",'ABRIL 2026'!Z9="POR RECOGER"),'ABRIL 2026'!M9,"")</f>
        <v/>
      </c>
      <c r="H320" s="382">
        <f>IF(AND('ABRIL 2026'!D9&lt;&gt;"",'ABRIL 2026'!Z9="POR RECOGER"),'ABRIL 2026'!N9,"")</f>
        <v/>
      </c>
      <c r="I320" s="381">
        <f>IF(AND('ABRIL 2026'!D9&lt;&gt;"",'ABRIL 2026'!Z9="POR RECOGER"),'ABRIL 2026'!P9,"")</f>
        <v/>
      </c>
      <c r="J320" s="381">
        <f>IF(AND('ABRIL 2026'!D9&lt;&gt;"",'ABRIL 2026'!Z9="POR RECOGER"),'ABRIL 2026'!Q9,"")</f>
        <v/>
      </c>
      <c r="K320" s="381">
        <f>IF(AND('ABRIL 2026'!D9&lt;&gt;"",'ABRIL 2026'!Z9="POR RECOGER"),'ABRIL 2026'!Y9,"")</f>
        <v/>
      </c>
      <c r="L320" s="381">
        <f>IF(AND('ABRIL 2026'!D9&lt;&gt;"",'ABRIL 2026'!Z9="POR RECOGER"),'ABRIL 2026'!I9,"")</f>
        <v/>
      </c>
      <c r="P320" s="194" t="n"/>
      <c r="Q320" s="194" t="n"/>
      <c r="R320" s="194" t="n"/>
      <c r="S320" s="194" t="n"/>
      <c r="T320" s="194" t="n"/>
      <c r="U320" s="194" t="n"/>
      <c r="V320" s="194" t="n"/>
      <c r="W320" s="194" t="n"/>
      <c r="X320" s="194" t="n"/>
      <c r="Y320" s="194" t="n"/>
      <c r="Z320" s="194" t="n"/>
    </row>
    <row r="321" ht="15" customHeight="1" s="195">
      <c r="A321" s="381">
        <f>IF(AND('ABRIL 2026'!D10&lt;&gt;"",'ABRIL 2026'!Z10="POR RECOGER"),"ABR","")</f>
        <v/>
      </c>
      <c r="B321" s="381">
        <f>IF(AND('ABRIL 2026'!D10&lt;&gt;"",'ABRIL 2026'!Z10="POR RECOGER"),IF('ABRIL 2026'!Y10&lt;&gt;"",'ABRIL 2026'!Y10,'ABRIL 2026'!I10),"")</f>
        <v/>
      </c>
      <c r="C321" s="381">
        <f>IF(AND('ABRIL 2026'!D10&lt;&gt;"",'ABRIL 2026'!Z10="POR RECOGER"),'ABRIL 2026'!D10,"")</f>
        <v/>
      </c>
      <c r="D321" s="381">
        <f>IF(AND('ABRIL 2026'!D10&lt;&gt;"",'ABRIL 2026'!Z10="POR RECOGER"),'ABRIL 2026'!F10,"")</f>
        <v/>
      </c>
      <c r="E321" s="381">
        <f>IF(AND('ABRIL 2026'!D10&lt;&gt;"",'ABRIL 2026'!Z10="POR RECOGER"),TEXT('ABRIL 2026'!G10,"DD/MM/YYYY"),"")</f>
        <v/>
      </c>
      <c r="F321" s="381">
        <f>IF(AND('ABRIL 2026'!D10&lt;&gt;"",'ABRIL 2026'!Z10="POR RECOGER"),'ABRIL 2026'!K10,"")</f>
        <v/>
      </c>
      <c r="G321" s="382">
        <f>IF(AND('ABRIL 2026'!D10&lt;&gt;"",'ABRIL 2026'!Z10="POR RECOGER"),'ABRIL 2026'!M10,"")</f>
        <v/>
      </c>
      <c r="H321" s="382">
        <f>IF(AND('ABRIL 2026'!D10&lt;&gt;"",'ABRIL 2026'!Z10="POR RECOGER"),'ABRIL 2026'!N10,"")</f>
        <v/>
      </c>
      <c r="I321" s="381">
        <f>IF(AND('ABRIL 2026'!D10&lt;&gt;"",'ABRIL 2026'!Z10="POR RECOGER"),'ABRIL 2026'!P10,"")</f>
        <v/>
      </c>
      <c r="J321" s="381">
        <f>IF(AND('ABRIL 2026'!D10&lt;&gt;"",'ABRIL 2026'!Z10="POR RECOGER"),'ABRIL 2026'!Q10,"")</f>
        <v/>
      </c>
      <c r="K321" s="381">
        <f>IF(AND('ABRIL 2026'!D10&lt;&gt;"",'ABRIL 2026'!Z10="POR RECOGER"),'ABRIL 2026'!Y10,"")</f>
        <v/>
      </c>
      <c r="L321" s="381">
        <f>IF(AND('ABRIL 2026'!D10&lt;&gt;"",'ABRIL 2026'!Z10="POR RECOGER"),'ABRIL 2026'!I10,"")</f>
        <v/>
      </c>
      <c r="P321" s="194" t="n"/>
      <c r="Q321" s="194" t="n"/>
      <c r="R321" s="194" t="n"/>
      <c r="S321" s="194" t="n"/>
      <c r="T321" s="194" t="n"/>
      <c r="U321" s="194" t="n"/>
      <c r="V321" s="194" t="n"/>
      <c r="W321" s="194" t="n"/>
      <c r="X321" s="194" t="n"/>
      <c r="Y321" s="194" t="n"/>
      <c r="Z321" s="194" t="n"/>
    </row>
    <row r="322" ht="15" customHeight="1" s="195">
      <c r="A322" s="381">
        <f>IF(AND('ABRIL 2026'!D11&lt;&gt;"",'ABRIL 2026'!Z11="POR RECOGER"),"ABR","")</f>
        <v/>
      </c>
      <c r="B322" s="381">
        <f>IF(AND('ABRIL 2026'!D11&lt;&gt;"",'ABRIL 2026'!Z11="POR RECOGER"),IF('ABRIL 2026'!Y11&lt;&gt;"",'ABRIL 2026'!Y11,'ABRIL 2026'!I11),"")</f>
        <v/>
      </c>
      <c r="C322" s="381">
        <f>IF(AND('ABRIL 2026'!D11&lt;&gt;"",'ABRIL 2026'!Z11="POR RECOGER"),'ABRIL 2026'!D11,"")</f>
        <v/>
      </c>
      <c r="D322" s="381">
        <f>IF(AND('ABRIL 2026'!D11&lt;&gt;"",'ABRIL 2026'!Z11="POR RECOGER"),'ABRIL 2026'!F11,"")</f>
        <v/>
      </c>
      <c r="E322" s="381">
        <f>IF(AND('ABRIL 2026'!D11&lt;&gt;"",'ABRIL 2026'!Z11="POR RECOGER"),TEXT('ABRIL 2026'!G11,"DD/MM/YYYY"),"")</f>
        <v/>
      </c>
      <c r="F322" s="381">
        <f>IF(AND('ABRIL 2026'!D11&lt;&gt;"",'ABRIL 2026'!Z11="POR RECOGER"),'ABRIL 2026'!K11,"")</f>
        <v/>
      </c>
      <c r="G322" s="382">
        <f>IF(AND('ABRIL 2026'!D11&lt;&gt;"",'ABRIL 2026'!Z11="POR RECOGER"),'ABRIL 2026'!M11,"")</f>
        <v/>
      </c>
      <c r="H322" s="382">
        <f>IF(AND('ABRIL 2026'!D11&lt;&gt;"",'ABRIL 2026'!Z11="POR RECOGER"),'ABRIL 2026'!N11,"")</f>
        <v/>
      </c>
      <c r="I322" s="381">
        <f>IF(AND('ABRIL 2026'!D11&lt;&gt;"",'ABRIL 2026'!Z11="POR RECOGER"),'ABRIL 2026'!P11,"")</f>
        <v/>
      </c>
      <c r="J322" s="381">
        <f>IF(AND('ABRIL 2026'!D11&lt;&gt;"",'ABRIL 2026'!Z11="POR RECOGER"),'ABRIL 2026'!Q11,"")</f>
        <v/>
      </c>
      <c r="K322" s="381">
        <f>IF(AND('ABRIL 2026'!D11&lt;&gt;"",'ABRIL 2026'!Z11="POR RECOGER"),'ABRIL 2026'!Y11,"")</f>
        <v/>
      </c>
      <c r="L322" s="381">
        <f>IF(AND('ABRIL 2026'!D11&lt;&gt;"",'ABRIL 2026'!Z11="POR RECOGER"),'ABRIL 2026'!I11,"")</f>
        <v/>
      </c>
      <c r="P322" s="194" t="n"/>
      <c r="Q322" s="194" t="n"/>
      <c r="R322" s="194" t="n"/>
      <c r="S322" s="194" t="n"/>
      <c r="T322" s="194" t="n"/>
      <c r="U322" s="194" t="n"/>
      <c r="V322" s="194" t="n"/>
      <c r="W322" s="194" t="n"/>
      <c r="X322" s="194" t="n"/>
      <c r="Y322" s="194" t="n"/>
      <c r="Z322" s="194" t="n"/>
    </row>
    <row r="323" ht="15" customHeight="1" s="195">
      <c r="A323" s="381">
        <f>IF(AND('ABRIL 2026'!D12&lt;&gt;"",'ABRIL 2026'!Z12="POR RECOGER"),"ABR","")</f>
        <v/>
      </c>
      <c r="B323" s="381">
        <f>IF(AND('ABRIL 2026'!D12&lt;&gt;"",'ABRIL 2026'!Z12="POR RECOGER"),IF('ABRIL 2026'!Y12&lt;&gt;"",'ABRIL 2026'!Y12,'ABRIL 2026'!I12),"")</f>
        <v/>
      </c>
      <c r="C323" s="381">
        <f>IF(AND('ABRIL 2026'!D12&lt;&gt;"",'ABRIL 2026'!Z12="POR RECOGER"),'ABRIL 2026'!D12,"")</f>
        <v/>
      </c>
      <c r="D323" s="381">
        <f>IF(AND('ABRIL 2026'!D12&lt;&gt;"",'ABRIL 2026'!Z12="POR RECOGER"),'ABRIL 2026'!F12,"")</f>
        <v/>
      </c>
      <c r="E323" s="381">
        <f>IF(AND('ABRIL 2026'!D12&lt;&gt;"",'ABRIL 2026'!Z12="POR RECOGER"),TEXT('ABRIL 2026'!G12,"DD/MM/YYYY"),"")</f>
        <v/>
      </c>
      <c r="F323" s="381">
        <f>IF(AND('ABRIL 2026'!D12&lt;&gt;"",'ABRIL 2026'!Z12="POR RECOGER"),'ABRIL 2026'!K12,"")</f>
        <v/>
      </c>
      <c r="G323" s="382">
        <f>IF(AND('ABRIL 2026'!D12&lt;&gt;"",'ABRIL 2026'!Z12="POR RECOGER"),'ABRIL 2026'!M12,"")</f>
        <v/>
      </c>
      <c r="H323" s="382">
        <f>IF(AND('ABRIL 2026'!D12&lt;&gt;"",'ABRIL 2026'!Z12="POR RECOGER"),'ABRIL 2026'!N12,"")</f>
        <v/>
      </c>
      <c r="I323" s="381">
        <f>IF(AND('ABRIL 2026'!D12&lt;&gt;"",'ABRIL 2026'!Z12="POR RECOGER"),'ABRIL 2026'!P12,"")</f>
        <v/>
      </c>
      <c r="J323" s="381">
        <f>IF(AND('ABRIL 2026'!D12&lt;&gt;"",'ABRIL 2026'!Z12="POR RECOGER"),'ABRIL 2026'!Q12,"")</f>
        <v/>
      </c>
      <c r="K323" s="381">
        <f>IF(AND('ABRIL 2026'!D12&lt;&gt;"",'ABRIL 2026'!Z12="POR RECOGER"),'ABRIL 2026'!Y12,"")</f>
        <v/>
      </c>
      <c r="L323" s="381">
        <f>IF(AND('ABRIL 2026'!D12&lt;&gt;"",'ABRIL 2026'!Z12="POR RECOGER"),'ABRIL 2026'!I12,"")</f>
        <v/>
      </c>
      <c r="P323" s="194" t="n"/>
      <c r="Q323" s="194" t="n"/>
      <c r="R323" s="194" t="n"/>
      <c r="S323" s="194" t="n"/>
      <c r="T323" s="194" t="n"/>
      <c r="U323" s="194" t="n"/>
      <c r="V323" s="194" t="n"/>
      <c r="W323" s="194" t="n"/>
      <c r="X323" s="194" t="n"/>
      <c r="Y323" s="194" t="n"/>
      <c r="Z323" s="194" t="n"/>
    </row>
    <row r="324" ht="15" customHeight="1" s="195">
      <c r="A324" s="381">
        <f>IF(AND('ABRIL 2026'!D13&lt;&gt;"",'ABRIL 2026'!Z13="POR RECOGER"),"ABR","")</f>
        <v/>
      </c>
      <c r="B324" s="381">
        <f>IF(AND('ABRIL 2026'!D13&lt;&gt;"",'ABRIL 2026'!Z13="POR RECOGER"),IF('ABRIL 2026'!Y13&lt;&gt;"",'ABRIL 2026'!Y13,'ABRIL 2026'!I13),"")</f>
        <v/>
      </c>
      <c r="C324" s="381">
        <f>IF(AND('ABRIL 2026'!D13&lt;&gt;"",'ABRIL 2026'!Z13="POR RECOGER"),'ABRIL 2026'!D13,"")</f>
        <v/>
      </c>
      <c r="D324" s="381">
        <f>IF(AND('ABRIL 2026'!D13&lt;&gt;"",'ABRIL 2026'!Z13="POR RECOGER"),'ABRIL 2026'!F13,"")</f>
        <v/>
      </c>
      <c r="E324" s="381">
        <f>IF(AND('ABRIL 2026'!D13&lt;&gt;"",'ABRIL 2026'!Z13="POR RECOGER"),TEXT('ABRIL 2026'!G13,"DD/MM/YYYY"),"")</f>
        <v/>
      </c>
      <c r="F324" s="381">
        <f>IF(AND('ABRIL 2026'!D13&lt;&gt;"",'ABRIL 2026'!Z13="POR RECOGER"),'ABRIL 2026'!K13,"")</f>
        <v/>
      </c>
      <c r="G324" s="382">
        <f>IF(AND('ABRIL 2026'!D13&lt;&gt;"",'ABRIL 2026'!Z13="POR RECOGER"),'ABRIL 2026'!M13,"")</f>
        <v/>
      </c>
      <c r="H324" s="382">
        <f>IF(AND('ABRIL 2026'!D13&lt;&gt;"",'ABRIL 2026'!Z13="POR RECOGER"),'ABRIL 2026'!N13,"")</f>
        <v/>
      </c>
      <c r="I324" s="381">
        <f>IF(AND('ABRIL 2026'!D13&lt;&gt;"",'ABRIL 2026'!Z13="POR RECOGER"),'ABRIL 2026'!P13,"")</f>
        <v/>
      </c>
      <c r="J324" s="381">
        <f>IF(AND('ABRIL 2026'!D13&lt;&gt;"",'ABRIL 2026'!Z13="POR RECOGER"),'ABRIL 2026'!Q13,"")</f>
        <v/>
      </c>
      <c r="K324" s="381">
        <f>IF(AND('ABRIL 2026'!D13&lt;&gt;"",'ABRIL 2026'!Z13="POR RECOGER"),'ABRIL 2026'!Y13,"")</f>
        <v/>
      </c>
      <c r="L324" s="381">
        <f>IF(AND('ABRIL 2026'!D13&lt;&gt;"",'ABRIL 2026'!Z13="POR RECOGER"),'ABRIL 2026'!I13,"")</f>
        <v/>
      </c>
      <c r="P324" s="194" t="n"/>
      <c r="Q324" s="194" t="n"/>
      <c r="R324" s="194" t="n"/>
      <c r="S324" s="194" t="n"/>
      <c r="T324" s="194" t="n"/>
      <c r="U324" s="194" t="n"/>
      <c r="V324" s="194" t="n"/>
      <c r="W324" s="194" t="n"/>
      <c r="X324" s="194" t="n"/>
      <c r="Y324" s="194" t="n"/>
      <c r="Z324" s="194" t="n"/>
    </row>
    <row r="325" ht="15" customHeight="1" s="195">
      <c r="A325" s="381">
        <f>IF(AND('ABRIL 2026'!D14&lt;&gt;"",'ABRIL 2026'!Z14="POR RECOGER"),"ABR","")</f>
        <v/>
      </c>
      <c r="B325" s="381">
        <f>IF(AND('ABRIL 2026'!D14&lt;&gt;"",'ABRIL 2026'!Z14="POR RECOGER"),IF('ABRIL 2026'!Y14&lt;&gt;"",'ABRIL 2026'!Y14,'ABRIL 2026'!I14),"")</f>
        <v/>
      </c>
      <c r="C325" s="381">
        <f>IF(AND('ABRIL 2026'!D14&lt;&gt;"",'ABRIL 2026'!Z14="POR RECOGER"),'ABRIL 2026'!D14,"")</f>
        <v/>
      </c>
      <c r="D325" s="381">
        <f>IF(AND('ABRIL 2026'!D14&lt;&gt;"",'ABRIL 2026'!Z14="POR RECOGER"),'ABRIL 2026'!F14,"")</f>
        <v/>
      </c>
      <c r="E325" s="381">
        <f>IF(AND('ABRIL 2026'!D14&lt;&gt;"",'ABRIL 2026'!Z14="POR RECOGER"),TEXT('ABRIL 2026'!G14,"DD/MM/YYYY"),"")</f>
        <v/>
      </c>
      <c r="F325" s="381">
        <f>IF(AND('ABRIL 2026'!D14&lt;&gt;"",'ABRIL 2026'!Z14="POR RECOGER"),'ABRIL 2026'!K14,"")</f>
        <v/>
      </c>
      <c r="G325" s="382">
        <f>IF(AND('ABRIL 2026'!D14&lt;&gt;"",'ABRIL 2026'!Z14="POR RECOGER"),'ABRIL 2026'!M14,"")</f>
        <v/>
      </c>
      <c r="H325" s="382">
        <f>IF(AND('ABRIL 2026'!D14&lt;&gt;"",'ABRIL 2026'!Z14="POR RECOGER"),'ABRIL 2026'!N14,"")</f>
        <v/>
      </c>
      <c r="I325" s="381">
        <f>IF(AND('ABRIL 2026'!D14&lt;&gt;"",'ABRIL 2026'!Z14="POR RECOGER"),'ABRIL 2026'!P14,"")</f>
        <v/>
      </c>
      <c r="J325" s="381">
        <f>IF(AND('ABRIL 2026'!D14&lt;&gt;"",'ABRIL 2026'!Z14="POR RECOGER"),'ABRIL 2026'!Q14,"")</f>
        <v/>
      </c>
      <c r="K325" s="381">
        <f>IF(AND('ABRIL 2026'!D14&lt;&gt;"",'ABRIL 2026'!Z14="POR RECOGER"),'ABRIL 2026'!Y14,"")</f>
        <v/>
      </c>
      <c r="L325" s="381">
        <f>IF(AND('ABRIL 2026'!D14&lt;&gt;"",'ABRIL 2026'!Z14="POR RECOGER"),'ABRIL 2026'!I14,"")</f>
        <v/>
      </c>
      <c r="P325" s="194" t="n"/>
      <c r="Q325" s="194" t="n"/>
      <c r="R325" s="194" t="n"/>
      <c r="S325" s="194" t="n"/>
      <c r="T325" s="194" t="n"/>
      <c r="U325" s="194" t="n"/>
      <c r="V325" s="194" t="n"/>
      <c r="W325" s="194" t="n"/>
      <c r="X325" s="194" t="n"/>
      <c r="Y325" s="194" t="n"/>
      <c r="Z325" s="194" t="n"/>
    </row>
    <row r="326" ht="15" customHeight="1" s="195">
      <c r="A326" s="381">
        <f>IF(AND('ABRIL 2026'!D15&lt;&gt;"",'ABRIL 2026'!Z15="POR RECOGER"),"ABR","")</f>
        <v/>
      </c>
      <c r="B326" s="381">
        <f>IF(AND('ABRIL 2026'!D15&lt;&gt;"",'ABRIL 2026'!Z15="POR RECOGER"),IF('ABRIL 2026'!Y15&lt;&gt;"",'ABRIL 2026'!Y15,'ABRIL 2026'!I15),"")</f>
        <v/>
      </c>
      <c r="C326" s="381">
        <f>IF(AND('ABRIL 2026'!D15&lt;&gt;"",'ABRIL 2026'!Z15="POR RECOGER"),'ABRIL 2026'!D15,"")</f>
        <v/>
      </c>
      <c r="D326" s="381">
        <f>IF(AND('ABRIL 2026'!D15&lt;&gt;"",'ABRIL 2026'!Z15="POR RECOGER"),'ABRIL 2026'!F15,"")</f>
        <v/>
      </c>
      <c r="E326" s="381">
        <f>IF(AND('ABRIL 2026'!D15&lt;&gt;"",'ABRIL 2026'!Z15="POR RECOGER"),TEXT('ABRIL 2026'!G15,"DD/MM/YYYY"),"")</f>
        <v/>
      </c>
      <c r="F326" s="381">
        <f>IF(AND('ABRIL 2026'!D15&lt;&gt;"",'ABRIL 2026'!Z15="POR RECOGER"),'ABRIL 2026'!K15,"")</f>
        <v/>
      </c>
      <c r="G326" s="382">
        <f>IF(AND('ABRIL 2026'!D15&lt;&gt;"",'ABRIL 2026'!Z15="POR RECOGER"),'ABRIL 2026'!M15,"")</f>
        <v/>
      </c>
      <c r="H326" s="382">
        <f>IF(AND('ABRIL 2026'!D15&lt;&gt;"",'ABRIL 2026'!Z15="POR RECOGER"),'ABRIL 2026'!N15,"")</f>
        <v/>
      </c>
      <c r="I326" s="381">
        <f>IF(AND('ABRIL 2026'!D15&lt;&gt;"",'ABRIL 2026'!Z15="POR RECOGER"),'ABRIL 2026'!P15,"")</f>
        <v/>
      </c>
      <c r="J326" s="381">
        <f>IF(AND('ABRIL 2026'!D15&lt;&gt;"",'ABRIL 2026'!Z15="POR RECOGER"),'ABRIL 2026'!Q15,"")</f>
        <v/>
      </c>
      <c r="K326" s="381">
        <f>IF(AND('ABRIL 2026'!D15&lt;&gt;"",'ABRIL 2026'!Z15="POR RECOGER"),'ABRIL 2026'!Y15,"")</f>
        <v/>
      </c>
      <c r="L326" s="381">
        <f>IF(AND('ABRIL 2026'!D15&lt;&gt;"",'ABRIL 2026'!Z15="POR RECOGER"),'ABRIL 2026'!I15,"")</f>
        <v/>
      </c>
      <c r="P326" s="194" t="n"/>
      <c r="Q326" s="194" t="n"/>
      <c r="R326" s="194" t="n"/>
      <c r="S326" s="194" t="n"/>
      <c r="T326" s="194" t="n"/>
      <c r="U326" s="194" t="n"/>
      <c r="V326" s="194" t="n"/>
      <c r="W326" s="194" t="n"/>
      <c r="X326" s="194" t="n"/>
      <c r="Y326" s="194" t="n"/>
      <c r="Z326" s="194" t="n"/>
    </row>
    <row r="327" ht="15" customHeight="1" s="195">
      <c r="A327" s="381">
        <f>IF(AND('ABRIL 2026'!D16&lt;&gt;"",'ABRIL 2026'!Z16="POR RECOGER"),"ABR","")</f>
        <v/>
      </c>
      <c r="B327" s="381">
        <f>IF(AND('ABRIL 2026'!D16&lt;&gt;"",'ABRIL 2026'!Z16="POR RECOGER"),IF('ABRIL 2026'!Y16&lt;&gt;"",'ABRIL 2026'!Y16,'ABRIL 2026'!I16),"")</f>
        <v/>
      </c>
      <c r="C327" s="381">
        <f>IF(AND('ABRIL 2026'!D16&lt;&gt;"",'ABRIL 2026'!Z16="POR RECOGER"),'ABRIL 2026'!D16,"")</f>
        <v/>
      </c>
      <c r="D327" s="381">
        <f>IF(AND('ABRIL 2026'!D16&lt;&gt;"",'ABRIL 2026'!Z16="POR RECOGER"),'ABRIL 2026'!F16,"")</f>
        <v/>
      </c>
      <c r="E327" s="381">
        <f>IF(AND('ABRIL 2026'!D16&lt;&gt;"",'ABRIL 2026'!Z16="POR RECOGER"),TEXT('ABRIL 2026'!G16,"DD/MM/YYYY"),"")</f>
        <v/>
      </c>
      <c r="F327" s="381">
        <f>IF(AND('ABRIL 2026'!D16&lt;&gt;"",'ABRIL 2026'!Z16="POR RECOGER"),'ABRIL 2026'!K16,"")</f>
        <v/>
      </c>
      <c r="G327" s="382">
        <f>IF(AND('ABRIL 2026'!D16&lt;&gt;"",'ABRIL 2026'!Z16="POR RECOGER"),'ABRIL 2026'!M16,"")</f>
        <v/>
      </c>
      <c r="H327" s="382">
        <f>IF(AND('ABRIL 2026'!D16&lt;&gt;"",'ABRIL 2026'!Z16="POR RECOGER"),'ABRIL 2026'!N16,"")</f>
        <v/>
      </c>
      <c r="I327" s="381">
        <f>IF(AND('ABRIL 2026'!D16&lt;&gt;"",'ABRIL 2026'!Z16="POR RECOGER"),'ABRIL 2026'!P16,"")</f>
        <v/>
      </c>
      <c r="J327" s="381">
        <f>IF(AND('ABRIL 2026'!D16&lt;&gt;"",'ABRIL 2026'!Z16="POR RECOGER"),'ABRIL 2026'!Q16,"")</f>
        <v/>
      </c>
      <c r="K327" s="381">
        <f>IF(AND('ABRIL 2026'!D16&lt;&gt;"",'ABRIL 2026'!Z16="POR RECOGER"),'ABRIL 2026'!Y16,"")</f>
        <v/>
      </c>
      <c r="L327" s="381">
        <f>IF(AND('ABRIL 2026'!D16&lt;&gt;"",'ABRIL 2026'!Z16="POR RECOGER"),'ABRIL 2026'!I16,"")</f>
        <v/>
      </c>
      <c r="P327" s="194" t="n"/>
      <c r="Q327" s="194" t="n"/>
      <c r="R327" s="194" t="n"/>
      <c r="S327" s="194" t="n"/>
      <c r="T327" s="194" t="n"/>
      <c r="U327" s="194" t="n"/>
      <c r="V327" s="194" t="n"/>
      <c r="W327" s="194" t="n"/>
      <c r="X327" s="194" t="n"/>
      <c r="Y327" s="194" t="n"/>
      <c r="Z327" s="194" t="n"/>
    </row>
    <row r="328" ht="15" customHeight="1" s="195">
      <c r="A328" s="381">
        <f>IF(AND('ABRIL 2026'!D17&lt;&gt;"",'ABRIL 2026'!Z17="POR RECOGER"),"ABR","")</f>
        <v/>
      </c>
      <c r="B328" s="381">
        <f>IF(AND('ABRIL 2026'!D17&lt;&gt;"",'ABRIL 2026'!Z17="POR RECOGER"),IF('ABRIL 2026'!Y17&lt;&gt;"",'ABRIL 2026'!Y17,'ABRIL 2026'!I17),"")</f>
        <v/>
      </c>
      <c r="C328" s="381">
        <f>IF(AND('ABRIL 2026'!D17&lt;&gt;"",'ABRIL 2026'!Z17="POR RECOGER"),'ABRIL 2026'!D17,"")</f>
        <v/>
      </c>
      <c r="D328" s="381">
        <f>IF(AND('ABRIL 2026'!D17&lt;&gt;"",'ABRIL 2026'!Z17="POR RECOGER"),'ABRIL 2026'!F17,"")</f>
        <v/>
      </c>
      <c r="E328" s="381">
        <f>IF(AND('ABRIL 2026'!D17&lt;&gt;"",'ABRIL 2026'!Z17="POR RECOGER"),TEXT('ABRIL 2026'!G17,"DD/MM/YYYY"),"")</f>
        <v/>
      </c>
      <c r="F328" s="381">
        <f>IF(AND('ABRIL 2026'!D17&lt;&gt;"",'ABRIL 2026'!Z17="POR RECOGER"),'ABRIL 2026'!K17,"")</f>
        <v/>
      </c>
      <c r="G328" s="382">
        <f>IF(AND('ABRIL 2026'!D17&lt;&gt;"",'ABRIL 2026'!Z17="POR RECOGER"),'ABRIL 2026'!M17,"")</f>
        <v/>
      </c>
      <c r="H328" s="382">
        <f>IF(AND('ABRIL 2026'!D17&lt;&gt;"",'ABRIL 2026'!Z17="POR RECOGER"),'ABRIL 2026'!N17,"")</f>
        <v/>
      </c>
      <c r="I328" s="381">
        <f>IF(AND('ABRIL 2026'!D17&lt;&gt;"",'ABRIL 2026'!Z17="POR RECOGER"),'ABRIL 2026'!P17,"")</f>
        <v/>
      </c>
      <c r="J328" s="381">
        <f>IF(AND('ABRIL 2026'!D17&lt;&gt;"",'ABRIL 2026'!Z17="POR RECOGER"),'ABRIL 2026'!Q17,"")</f>
        <v/>
      </c>
      <c r="K328" s="381">
        <f>IF(AND('ABRIL 2026'!D17&lt;&gt;"",'ABRIL 2026'!Z17="POR RECOGER"),'ABRIL 2026'!Y17,"")</f>
        <v/>
      </c>
      <c r="L328" s="381">
        <f>IF(AND('ABRIL 2026'!D17&lt;&gt;"",'ABRIL 2026'!Z17="POR RECOGER"),'ABRIL 2026'!I17,"")</f>
        <v/>
      </c>
      <c r="P328" s="194" t="n"/>
      <c r="Q328" s="194" t="n"/>
      <c r="R328" s="194" t="n"/>
      <c r="S328" s="194" t="n"/>
      <c r="T328" s="194" t="n"/>
      <c r="U328" s="194" t="n"/>
      <c r="V328" s="194" t="n"/>
      <c r="W328" s="194" t="n"/>
      <c r="X328" s="194" t="n"/>
      <c r="Y328" s="194" t="n"/>
      <c r="Z328" s="194" t="n"/>
    </row>
    <row r="329" ht="15" customHeight="1" s="195">
      <c r="A329" s="381">
        <f>IF(AND('ABRIL 2026'!D18&lt;&gt;"",'ABRIL 2026'!Z18="POR RECOGER"),"ABR","")</f>
        <v/>
      </c>
      <c r="B329" s="381">
        <f>IF(AND('ABRIL 2026'!D18&lt;&gt;"",'ABRIL 2026'!Z18="POR RECOGER"),IF('ABRIL 2026'!Y18&lt;&gt;"",'ABRIL 2026'!Y18,'ABRIL 2026'!I18),"")</f>
        <v/>
      </c>
      <c r="C329" s="381">
        <f>IF(AND('ABRIL 2026'!D18&lt;&gt;"",'ABRIL 2026'!Z18="POR RECOGER"),'ABRIL 2026'!D18,"")</f>
        <v/>
      </c>
      <c r="D329" s="381">
        <f>IF(AND('ABRIL 2026'!D18&lt;&gt;"",'ABRIL 2026'!Z18="POR RECOGER"),'ABRIL 2026'!F18,"")</f>
        <v/>
      </c>
      <c r="E329" s="381">
        <f>IF(AND('ABRIL 2026'!D18&lt;&gt;"",'ABRIL 2026'!Z18="POR RECOGER"),TEXT('ABRIL 2026'!G18,"DD/MM/YYYY"),"")</f>
        <v/>
      </c>
      <c r="F329" s="381">
        <f>IF(AND('ABRIL 2026'!D18&lt;&gt;"",'ABRIL 2026'!Z18="POR RECOGER"),'ABRIL 2026'!K18,"")</f>
        <v/>
      </c>
      <c r="G329" s="382">
        <f>IF(AND('ABRIL 2026'!D18&lt;&gt;"",'ABRIL 2026'!Z18="POR RECOGER"),'ABRIL 2026'!M18,"")</f>
        <v/>
      </c>
      <c r="H329" s="382">
        <f>IF(AND('ABRIL 2026'!D18&lt;&gt;"",'ABRIL 2026'!Z18="POR RECOGER"),'ABRIL 2026'!N18,"")</f>
        <v/>
      </c>
      <c r="I329" s="381">
        <f>IF(AND('ABRIL 2026'!D18&lt;&gt;"",'ABRIL 2026'!Z18="POR RECOGER"),'ABRIL 2026'!P18,"")</f>
        <v/>
      </c>
      <c r="J329" s="381">
        <f>IF(AND('ABRIL 2026'!D18&lt;&gt;"",'ABRIL 2026'!Z18="POR RECOGER"),'ABRIL 2026'!Q18,"")</f>
        <v/>
      </c>
      <c r="K329" s="381">
        <f>IF(AND('ABRIL 2026'!D18&lt;&gt;"",'ABRIL 2026'!Z18="POR RECOGER"),'ABRIL 2026'!Y18,"")</f>
        <v/>
      </c>
      <c r="L329" s="381">
        <f>IF(AND('ABRIL 2026'!D18&lt;&gt;"",'ABRIL 2026'!Z18="POR RECOGER"),'ABRIL 2026'!I18,"")</f>
        <v/>
      </c>
      <c r="P329" s="194" t="n"/>
      <c r="Q329" s="194" t="n"/>
      <c r="R329" s="194" t="n"/>
      <c r="S329" s="194" t="n"/>
      <c r="T329" s="194" t="n"/>
      <c r="U329" s="194" t="n"/>
      <c r="V329" s="194" t="n"/>
      <c r="W329" s="194" t="n"/>
      <c r="X329" s="194" t="n"/>
      <c r="Y329" s="194" t="n"/>
      <c r="Z329" s="194" t="n"/>
    </row>
    <row r="330" ht="15" customHeight="1" s="195">
      <c r="A330" s="381">
        <f>IF(AND('ABRIL 2026'!D19&lt;&gt;"",'ABRIL 2026'!Z19="POR RECOGER"),"ABR","")</f>
        <v/>
      </c>
      <c r="B330" s="381">
        <f>IF(AND('ABRIL 2026'!D19&lt;&gt;"",'ABRIL 2026'!Z19="POR RECOGER"),IF('ABRIL 2026'!Y19&lt;&gt;"",'ABRIL 2026'!Y19,'ABRIL 2026'!I19),"")</f>
        <v/>
      </c>
      <c r="C330" s="381">
        <f>IF(AND('ABRIL 2026'!D19&lt;&gt;"",'ABRIL 2026'!Z19="POR RECOGER"),'ABRIL 2026'!D19,"")</f>
        <v/>
      </c>
      <c r="D330" s="381">
        <f>IF(AND('ABRIL 2026'!D19&lt;&gt;"",'ABRIL 2026'!Z19="POR RECOGER"),'ABRIL 2026'!F19,"")</f>
        <v/>
      </c>
      <c r="E330" s="381">
        <f>IF(AND('ABRIL 2026'!D19&lt;&gt;"",'ABRIL 2026'!Z19="POR RECOGER"),TEXT('ABRIL 2026'!G19,"DD/MM/YYYY"),"")</f>
        <v/>
      </c>
      <c r="F330" s="381">
        <f>IF(AND('ABRIL 2026'!D19&lt;&gt;"",'ABRIL 2026'!Z19="POR RECOGER"),'ABRIL 2026'!K19,"")</f>
        <v/>
      </c>
      <c r="G330" s="382">
        <f>IF(AND('ABRIL 2026'!D19&lt;&gt;"",'ABRIL 2026'!Z19="POR RECOGER"),'ABRIL 2026'!M19,"")</f>
        <v/>
      </c>
      <c r="H330" s="382">
        <f>IF(AND('ABRIL 2026'!D19&lt;&gt;"",'ABRIL 2026'!Z19="POR RECOGER"),'ABRIL 2026'!N19,"")</f>
        <v/>
      </c>
      <c r="I330" s="381">
        <f>IF(AND('ABRIL 2026'!D19&lt;&gt;"",'ABRIL 2026'!Z19="POR RECOGER"),'ABRIL 2026'!P19,"")</f>
        <v/>
      </c>
      <c r="J330" s="381">
        <f>IF(AND('ABRIL 2026'!D19&lt;&gt;"",'ABRIL 2026'!Z19="POR RECOGER"),'ABRIL 2026'!Q19,"")</f>
        <v/>
      </c>
      <c r="K330" s="381">
        <f>IF(AND('ABRIL 2026'!D19&lt;&gt;"",'ABRIL 2026'!Z19="POR RECOGER"),'ABRIL 2026'!Y19,"")</f>
        <v/>
      </c>
      <c r="L330" s="381">
        <f>IF(AND('ABRIL 2026'!D19&lt;&gt;"",'ABRIL 2026'!Z19="POR RECOGER"),'ABRIL 2026'!I19,"")</f>
        <v/>
      </c>
      <c r="P330" s="194" t="n"/>
      <c r="Q330" s="194" t="n"/>
      <c r="R330" s="194" t="n"/>
      <c r="S330" s="194" t="n"/>
      <c r="T330" s="194" t="n"/>
      <c r="U330" s="194" t="n"/>
      <c r="V330" s="194" t="n"/>
      <c r="W330" s="194" t="n"/>
      <c r="X330" s="194" t="n"/>
      <c r="Y330" s="194" t="n"/>
      <c r="Z330" s="194" t="n"/>
    </row>
    <row r="331" ht="15" customHeight="1" s="195">
      <c r="A331" s="381">
        <f>IF(AND('ABRIL 2026'!D20&lt;&gt;"",'ABRIL 2026'!Z20="POR RECOGER"),"ABR","")</f>
        <v/>
      </c>
      <c r="B331" s="381">
        <f>IF(AND('ABRIL 2026'!D20&lt;&gt;"",'ABRIL 2026'!Z20="POR RECOGER"),IF('ABRIL 2026'!Y20&lt;&gt;"",'ABRIL 2026'!Y20,'ABRIL 2026'!I20),"")</f>
        <v/>
      </c>
      <c r="C331" s="381">
        <f>IF(AND('ABRIL 2026'!D20&lt;&gt;"",'ABRIL 2026'!Z20="POR RECOGER"),'ABRIL 2026'!D20,"")</f>
        <v/>
      </c>
      <c r="D331" s="381">
        <f>IF(AND('ABRIL 2026'!D20&lt;&gt;"",'ABRIL 2026'!Z20="POR RECOGER"),'ABRIL 2026'!F20,"")</f>
        <v/>
      </c>
      <c r="E331" s="381">
        <f>IF(AND('ABRIL 2026'!D20&lt;&gt;"",'ABRIL 2026'!Z20="POR RECOGER"),TEXT('ABRIL 2026'!G20,"DD/MM/YYYY"),"")</f>
        <v/>
      </c>
      <c r="F331" s="381">
        <f>IF(AND('ABRIL 2026'!D20&lt;&gt;"",'ABRIL 2026'!Z20="POR RECOGER"),'ABRIL 2026'!K20,"")</f>
        <v/>
      </c>
      <c r="G331" s="382">
        <f>IF(AND('ABRIL 2026'!D20&lt;&gt;"",'ABRIL 2026'!Z20="POR RECOGER"),'ABRIL 2026'!M20,"")</f>
        <v/>
      </c>
      <c r="H331" s="382">
        <f>IF(AND('ABRIL 2026'!D20&lt;&gt;"",'ABRIL 2026'!Z20="POR RECOGER"),'ABRIL 2026'!N20,"")</f>
        <v/>
      </c>
      <c r="I331" s="381">
        <f>IF(AND('ABRIL 2026'!D20&lt;&gt;"",'ABRIL 2026'!Z20="POR RECOGER"),'ABRIL 2026'!P20,"")</f>
        <v/>
      </c>
      <c r="J331" s="381">
        <f>IF(AND('ABRIL 2026'!D20&lt;&gt;"",'ABRIL 2026'!Z20="POR RECOGER"),'ABRIL 2026'!Q20,"")</f>
        <v/>
      </c>
      <c r="K331" s="381">
        <f>IF(AND('ABRIL 2026'!D20&lt;&gt;"",'ABRIL 2026'!Z20="POR RECOGER"),'ABRIL 2026'!Y20,"")</f>
        <v/>
      </c>
      <c r="L331" s="381">
        <f>IF(AND('ABRIL 2026'!D20&lt;&gt;"",'ABRIL 2026'!Z20="POR RECOGER"),'ABRIL 2026'!I20,"")</f>
        <v/>
      </c>
      <c r="P331" s="194" t="n"/>
      <c r="Q331" s="194" t="n"/>
      <c r="R331" s="194" t="n"/>
      <c r="S331" s="194" t="n"/>
      <c r="T331" s="194" t="n"/>
      <c r="U331" s="194" t="n"/>
      <c r="V331" s="194" t="n"/>
      <c r="W331" s="194" t="n"/>
      <c r="X331" s="194" t="n"/>
      <c r="Y331" s="194" t="n"/>
      <c r="Z331" s="194" t="n"/>
    </row>
    <row r="332" ht="15" customHeight="1" s="195">
      <c r="A332" s="381">
        <f>IF(AND('ABRIL 2026'!D21&lt;&gt;"",'ABRIL 2026'!Z21="POR RECOGER"),"ABR","")</f>
        <v/>
      </c>
      <c r="B332" s="381">
        <f>IF(AND('ABRIL 2026'!D21&lt;&gt;"",'ABRIL 2026'!Z21="POR RECOGER"),IF('ABRIL 2026'!Y21&lt;&gt;"",'ABRIL 2026'!Y21,'ABRIL 2026'!I21),"")</f>
        <v/>
      </c>
      <c r="C332" s="381">
        <f>IF(AND('ABRIL 2026'!D21&lt;&gt;"",'ABRIL 2026'!Z21="POR RECOGER"),'ABRIL 2026'!D21,"")</f>
        <v/>
      </c>
      <c r="D332" s="381">
        <f>IF(AND('ABRIL 2026'!D21&lt;&gt;"",'ABRIL 2026'!Z21="POR RECOGER"),'ABRIL 2026'!F21,"")</f>
        <v/>
      </c>
      <c r="E332" s="381">
        <f>IF(AND('ABRIL 2026'!D21&lt;&gt;"",'ABRIL 2026'!Z21="POR RECOGER"),TEXT('ABRIL 2026'!G21,"DD/MM/YYYY"),"")</f>
        <v/>
      </c>
      <c r="F332" s="381">
        <f>IF(AND('ABRIL 2026'!D21&lt;&gt;"",'ABRIL 2026'!Z21="POR RECOGER"),'ABRIL 2026'!K21,"")</f>
        <v/>
      </c>
      <c r="G332" s="382">
        <f>IF(AND('ABRIL 2026'!D21&lt;&gt;"",'ABRIL 2026'!Z21="POR RECOGER"),'ABRIL 2026'!M21,"")</f>
        <v/>
      </c>
      <c r="H332" s="382">
        <f>IF(AND('ABRIL 2026'!D21&lt;&gt;"",'ABRIL 2026'!Z21="POR RECOGER"),'ABRIL 2026'!N21,"")</f>
        <v/>
      </c>
      <c r="I332" s="381">
        <f>IF(AND('ABRIL 2026'!D21&lt;&gt;"",'ABRIL 2026'!Z21="POR RECOGER"),'ABRIL 2026'!P21,"")</f>
        <v/>
      </c>
      <c r="J332" s="381">
        <f>IF(AND('ABRIL 2026'!D21&lt;&gt;"",'ABRIL 2026'!Z21="POR RECOGER"),'ABRIL 2026'!Q21,"")</f>
        <v/>
      </c>
      <c r="K332" s="381">
        <f>IF(AND('ABRIL 2026'!D21&lt;&gt;"",'ABRIL 2026'!Z21="POR RECOGER"),'ABRIL 2026'!Y21,"")</f>
        <v/>
      </c>
      <c r="L332" s="381">
        <f>IF(AND('ABRIL 2026'!D21&lt;&gt;"",'ABRIL 2026'!Z21="POR RECOGER"),'ABRIL 2026'!I21,"")</f>
        <v/>
      </c>
      <c r="P332" s="194" t="n"/>
      <c r="Q332" s="194" t="n"/>
      <c r="R332" s="194" t="n"/>
      <c r="S332" s="194" t="n"/>
      <c r="T332" s="194" t="n"/>
      <c r="U332" s="194" t="n"/>
      <c r="V332" s="194" t="n"/>
      <c r="W332" s="194" t="n"/>
      <c r="X332" s="194" t="n"/>
      <c r="Y332" s="194" t="n"/>
      <c r="Z332" s="194" t="n"/>
    </row>
    <row r="333" ht="15" customHeight="1" s="195">
      <c r="A333" s="381">
        <f>IF(AND('ABRIL 2026'!D22&lt;&gt;"",'ABRIL 2026'!Z22="POR RECOGER"),"ABR","")</f>
        <v/>
      </c>
      <c r="B333" s="381">
        <f>IF(AND('ABRIL 2026'!D22&lt;&gt;"",'ABRIL 2026'!Z22="POR RECOGER"),IF('ABRIL 2026'!Y22&lt;&gt;"",'ABRIL 2026'!Y22,'ABRIL 2026'!I22),"")</f>
        <v/>
      </c>
      <c r="C333" s="381">
        <f>IF(AND('ABRIL 2026'!D22&lt;&gt;"",'ABRIL 2026'!Z22="POR RECOGER"),'ABRIL 2026'!D22,"")</f>
        <v/>
      </c>
      <c r="D333" s="381">
        <f>IF(AND('ABRIL 2026'!D22&lt;&gt;"",'ABRIL 2026'!Z22="POR RECOGER"),'ABRIL 2026'!F22,"")</f>
        <v/>
      </c>
      <c r="E333" s="381">
        <f>IF(AND('ABRIL 2026'!D22&lt;&gt;"",'ABRIL 2026'!Z22="POR RECOGER"),TEXT('ABRIL 2026'!G22,"DD/MM/YYYY"),"")</f>
        <v/>
      </c>
      <c r="F333" s="381">
        <f>IF(AND('ABRIL 2026'!D22&lt;&gt;"",'ABRIL 2026'!Z22="POR RECOGER"),'ABRIL 2026'!K22,"")</f>
        <v/>
      </c>
      <c r="G333" s="382">
        <f>IF(AND('ABRIL 2026'!D22&lt;&gt;"",'ABRIL 2026'!Z22="POR RECOGER"),'ABRIL 2026'!M22,"")</f>
        <v/>
      </c>
      <c r="H333" s="382">
        <f>IF(AND('ABRIL 2026'!D22&lt;&gt;"",'ABRIL 2026'!Z22="POR RECOGER"),'ABRIL 2026'!N22,"")</f>
        <v/>
      </c>
      <c r="I333" s="381">
        <f>IF(AND('ABRIL 2026'!D22&lt;&gt;"",'ABRIL 2026'!Z22="POR RECOGER"),'ABRIL 2026'!P22,"")</f>
        <v/>
      </c>
      <c r="J333" s="381">
        <f>IF(AND('ABRIL 2026'!D22&lt;&gt;"",'ABRIL 2026'!Z22="POR RECOGER"),'ABRIL 2026'!Q22,"")</f>
        <v/>
      </c>
      <c r="K333" s="381">
        <f>IF(AND('ABRIL 2026'!D22&lt;&gt;"",'ABRIL 2026'!Z22="POR RECOGER"),'ABRIL 2026'!Y22,"")</f>
        <v/>
      </c>
      <c r="L333" s="381">
        <f>IF(AND('ABRIL 2026'!D22&lt;&gt;"",'ABRIL 2026'!Z22="POR RECOGER"),'ABRIL 2026'!I22,"")</f>
        <v/>
      </c>
      <c r="P333" s="194" t="n"/>
      <c r="Q333" s="194" t="n"/>
      <c r="R333" s="194" t="n"/>
      <c r="S333" s="194" t="n"/>
      <c r="T333" s="194" t="n"/>
      <c r="U333" s="194" t="n"/>
      <c r="V333" s="194" t="n"/>
      <c r="W333" s="194" t="n"/>
      <c r="X333" s="194" t="n"/>
      <c r="Y333" s="194" t="n"/>
      <c r="Z333" s="194" t="n"/>
    </row>
    <row r="334" ht="15" customHeight="1" s="195">
      <c r="A334" s="381">
        <f>IF(AND('ABRIL 2026'!D23&lt;&gt;"",'ABRIL 2026'!Z23="POR RECOGER"),"ABR","")</f>
        <v/>
      </c>
      <c r="B334" s="381">
        <f>IF(AND('ABRIL 2026'!D23&lt;&gt;"",'ABRIL 2026'!Z23="POR RECOGER"),IF('ABRIL 2026'!Y23&lt;&gt;"",'ABRIL 2026'!Y23,'ABRIL 2026'!I23),"")</f>
        <v/>
      </c>
      <c r="C334" s="381">
        <f>IF(AND('ABRIL 2026'!D23&lt;&gt;"",'ABRIL 2026'!Z23="POR RECOGER"),'ABRIL 2026'!D23,"")</f>
        <v/>
      </c>
      <c r="D334" s="381">
        <f>IF(AND('ABRIL 2026'!D23&lt;&gt;"",'ABRIL 2026'!Z23="POR RECOGER"),'ABRIL 2026'!F23,"")</f>
        <v/>
      </c>
      <c r="E334" s="381">
        <f>IF(AND('ABRIL 2026'!D23&lt;&gt;"",'ABRIL 2026'!Z23="POR RECOGER"),TEXT('ABRIL 2026'!G23,"DD/MM/YYYY"),"")</f>
        <v/>
      </c>
      <c r="F334" s="381">
        <f>IF(AND('ABRIL 2026'!D23&lt;&gt;"",'ABRIL 2026'!Z23="POR RECOGER"),'ABRIL 2026'!K23,"")</f>
        <v/>
      </c>
      <c r="G334" s="382">
        <f>IF(AND('ABRIL 2026'!D23&lt;&gt;"",'ABRIL 2026'!Z23="POR RECOGER"),'ABRIL 2026'!M23,"")</f>
        <v/>
      </c>
      <c r="H334" s="382">
        <f>IF(AND('ABRIL 2026'!D23&lt;&gt;"",'ABRIL 2026'!Z23="POR RECOGER"),'ABRIL 2026'!N23,"")</f>
        <v/>
      </c>
      <c r="I334" s="381">
        <f>IF(AND('ABRIL 2026'!D23&lt;&gt;"",'ABRIL 2026'!Z23="POR RECOGER"),'ABRIL 2026'!P23,"")</f>
        <v/>
      </c>
      <c r="J334" s="381">
        <f>IF(AND('ABRIL 2026'!D23&lt;&gt;"",'ABRIL 2026'!Z23="POR RECOGER"),'ABRIL 2026'!Q23,"")</f>
        <v/>
      </c>
      <c r="K334" s="381">
        <f>IF(AND('ABRIL 2026'!D23&lt;&gt;"",'ABRIL 2026'!Z23="POR RECOGER"),'ABRIL 2026'!Y23,"")</f>
        <v/>
      </c>
      <c r="L334" s="381">
        <f>IF(AND('ABRIL 2026'!D23&lt;&gt;"",'ABRIL 2026'!Z23="POR RECOGER"),'ABRIL 2026'!I23,"")</f>
        <v/>
      </c>
      <c r="P334" s="194" t="n"/>
      <c r="Q334" s="194" t="n"/>
      <c r="R334" s="194" t="n"/>
      <c r="S334" s="194" t="n"/>
      <c r="T334" s="194" t="n"/>
      <c r="U334" s="194" t="n"/>
      <c r="V334" s="194" t="n"/>
      <c r="W334" s="194" t="n"/>
      <c r="X334" s="194" t="n"/>
      <c r="Y334" s="194" t="n"/>
      <c r="Z334" s="194" t="n"/>
    </row>
    <row r="335" ht="15" customHeight="1" s="195">
      <c r="A335" s="381">
        <f>IF(AND('ABRIL 2026'!D24&lt;&gt;"",'ABRIL 2026'!Z24="POR RECOGER"),"ABR","")</f>
        <v/>
      </c>
      <c r="B335" s="381">
        <f>IF(AND('ABRIL 2026'!D24&lt;&gt;"",'ABRIL 2026'!Z24="POR RECOGER"),IF('ABRIL 2026'!Y24&lt;&gt;"",'ABRIL 2026'!Y24,'ABRIL 2026'!I24),"")</f>
        <v/>
      </c>
      <c r="C335" s="381">
        <f>IF(AND('ABRIL 2026'!D24&lt;&gt;"",'ABRIL 2026'!Z24="POR RECOGER"),'ABRIL 2026'!D24,"")</f>
        <v/>
      </c>
      <c r="D335" s="381">
        <f>IF(AND('ABRIL 2026'!D24&lt;&gt;"",'ABRIL 2026'!Z24="POR RECOGER"),'ABRIL 2026'!F24,"")</f>
        <v/>
      </c>
      <c r="E335" s="381">
        <f>IF(AND('ABRIL 2026'!D24&lt;&gt;"",'ABRIL 2026'!Z24="POR RECOGER"),TEXT('ABRIL 2026'!G24,"DD/MM/YYYY"),"")</f>
        <v/>
      </c>
      <c r="F335" s="381">
        <f>IF(AND('ABRIL 2026'!D24&lt;&gt;"",'ABRIL 2026'!Z24="POR RECOGER"),'ABRIL 2026'!K24,"")</f>
        <v/>
      </c>
      <c r="G335" s="382">
        <f>IF(AND('ABRIL 2026'!D24&lt;&gt;"",'ABRIL 2026'!Z24="POR RECOGER"),'ABRIL 2026'!M24,"")</f>
        <v/>
      </c>
      <c r="H335" s="382">
        <f>IF(AND('ABRIL 2026'!D24&lt;&gt;"",'ABRIL 2026'!Z24="POR RECOGER"),'ABRIL 2026'!N24,"")</f>
        <v/>
      </c>
      <c r="I335" s="381">
        <f>IF(AND('ABRIL 2026'!D24&lt;&gt;"",'ABRIL 2026'!Z24="POR RECOGER"),'ABRIL 2026'!P24,"")</f>
        <v/>
      </c>
      <c r="J335" s="381">
        <f>IF(AND('ABRIL 2026'!D24&lt;&gt;"",'ABRIL 2026'!Z24="POR RECOGER"),'ABRIL 2026'!Q24,"")</f>
        <v/>
      </c>
      <c r="K335" s="381">
        <f>IF(AND('ABRIL 2026'!D24&lt;&gt;"",'ABRIL 2026'!Z24="POR RECOGER"),'ABRIL 2026'!Y24,"")</f>
        <v/>
      </c>
      <c r="L335" s="381">
        <f>IF(AND('ABRIL 2026'!D24&lt;&gt;"",'ABRIL 2026'!Z24="POR RECOGER"),'ABRIL 2026'!I24,"")</f>
        <v/>
      </c>
      <c r="P335" s="194" t="n"/>
      <c r="Q335" s="194" t="n"/>
      <c r="R335" s="194" t="n"/>
      <c r="S335" s="194" t="n"/>
      <c r="T335" s="194" t="n"/>
      <c r="U335" s="194" t="n"/>
      <c r="V335" s="194" t="n"/>
      <c r="W335" s="194" t="n"/>
      <c r="X335" s="194" t="n"/>
      <c r="Y335" s="194" t="n"/>
      <c r="Z335" s="194" t="n"/>
    </row>
    <row r="336" ht="15" customHeight="1" s="195">
      <c r="A336" s="381">
        <f>IF(AND('ABRIL 2026'!D25&lt;&gt;"",'ABRIL 2026'!Z25="POR RECOGER"),"ABR","")</f>
        <v/>
      </c>
      <c r="B336" s="381">
        <f>IF(AND('ABRIL 2026'!D25&lt;&gt;"",'ABRIL 2026'!Z25="POR RECOGER"),IF('ABRIL 2026'!Y25&lt;&gt;"",'ABRIL 2026'!Y25,'ABRIL 2026'!I25),"")</f>
        <v/>
      </c>
      <c r="C336" s="381">
        <f>IF(AND('ABRIL 2026'!D25&lt;&gt;"",'ABRIL 2026'!Z25="POR RECOGER"),'ABRIL 2026'!D25,"")</f>
        <v/>
      </c>
      <c r="D336" s="381">
        <f>IF(AND('ABRIL 2026'!D25&lt;&gt;"",'ABRIL 2026'!Z25="POR RECOGER"),'ABRIL 2026'!F25,"")</f>
        <v/>
      </c>
      <c r="E336" s="381">
        <f>IF(AND('ABRIL 2026'!D25&lt;&gt;"",'ABRIL 2026'!Z25="POR RECOGER"),TEXT('ABRIL 2026'!G25,"DD/MM/YYYY"),"")</f>
        <v/>
      </c>
      <c r="F336" s="381">
        <f>IF(AND('ABRIL 2026'!D25&lt;&gt;"",'ABRIL 2026'!Z25="POR RECOGER"),'ABRIL 2026'!K25,"")</f>
        <v/>
      </c>
      <c r="G336" s="382">
        <f>IF(AND('ABRIL 2026'!D25&lt;&gt;"",'ABRIL 2026'!Z25="POR RECOGER"),'ABRIL 2026'!M25,"")</f>
        <v/>
      </c>
      <c r="H336" s="382">
        <f>IF(AND('ABRIL 2026'!D25&lt;&gt;"",'ABRIL 2026'!Z25="POR RECOGER"),'ABRIL 2026'!N25,"")</f>
        <v/>
      </c>
      <c r="I336" s="381">
        <f>IF(AND('ABRIL 2026'!D25&lt;&gt;"",'ABRIL 2026'!Z25="POR RECOGER"),'ABRIL 2026'!P25,"")</f>
        <v/>
      </c>
      <c r="J336" s="381">
        <f>IF(AND('ABRIL 2026'!D25&lt;&gt;"",'ABRIL 2026'!Z25="POR RECOGER"),'ABRIL 2026'!Q25,"")</f>
        <v/>
      </c>
      <c r="K336" s="381">
        <f>IF(AND('ABRIL 2026'!D25&lt;&gt;"",'ABRIL 2026'!Z25="POR RECOGER"),'ABRIL 2026'!Y25,"")</f>
        <v/>
      </c>
      <c r="L336" s="381">
        <f>IF(AND('ABRIL 2026'!D25&lt;&gt;"",'ABRIL 2026'!Z25="POR RECOGER"),'ABRIL 2026'!I25,"")</f>
        <v/>
      </c>
      <c r="P336" s="194" t="n"/>
      <c r="Q336" s="194" t="n"/>
      <c r="R336" s="194" t="n"/>
      <c r="S336" s="194" t="n"/>
      <c r="T336" s="194" t="n"/>
      <c r="U336" s="194" t="n"/>
      <c r="V336" s="194" t="n"/>
      <c r="W336" s="194" t="n"/>
      <c r="X336" s="194" t="n"/>
      <c r="Y336" s="194" t="n"/>
      <c r="Z336" s="194" t="n"/>
    </row>
    <row r="337" ht="15" customHeight="1" s="195">
      <c r="A337" s="381">
        <f>IF(AND('ABRIL 2026'!D26&lt;&gt;"",'ABRIL 2026'!Z26="POR RECOGER"),"ABR","")</f>
        <v/>
      </c>
      <c r="B337" s="381">
        <f>IF(AND('ABRIL 2026'!D26&lt;&gt;"",'ABRIL 2026'!Z26="POR RECOGER"),IF('ABRIL 2026'!Y26&lt;&gt;"",'ABRIL 2026'!Y26,'ABRIL 2026'!I26),"")</f>
        <v/>
      </c>
      <c r="C337" s="381">
        <f>IF(AND('ABRIL 2026'!D26&lt;&gt;"",'ABRIL 2026'!Z26="POR RECOGER"),'ABRIL 2026'!D26,"")</f>
        <v/>
      </c>
      <c r="D337" s="381">
        <f>IF(AND('ABRIL 2026'!D26&lt;&gt;"",'ABRIL 2026'!Z26="POR RECOGER"),'ABRIL 2026'!F26,"")</f>
        <v/>
      </c>
      <c r="E337" s="381">
        <f>IF(AND('ABRIL 2026'!D26&lt;&gt;"",'ABRIL 2026'!Z26="POR RECOGER"),TEXT('ABRIL 2026'!G26,"DD/MM/YYYY"),"")</f>
        <v/>
      </c>
      <c r="F337" s="381">
        <f>IF(AND('ABRIL 2026'!D26&lt;&gt;"",'ABRIL 2026'!Z26="POR RECOGER"),'ABRIL 2026'!K26,"")</f>
        <v/>
      </c>
      <c r="G337" s="382">
        <f>IF(AND('ABRIL 2026'!D26&lt;&gt;"",'ABRIL 2026'!Z26="POR RECOGER"),'ABRIL 2026'!M26,"")</f>
        <v/>
      </c>
      <c r="H337" s="382">
        <f>IF(AND('ABRIL 2026'!D26&lt;&gt;"",'ABRIL 2026'!Z26="POR RECOGER"),'ABRIL 2026'!N26,"")</f>
        <v/>
      </c>
      <c r="I337" s="381">
        <f>IF(AND('ABRIL 2026'!D26&lt;&gt;"",'ABRIL 2026'!Z26="POR RECOGER"),'ABRIL 2026'!P26,"")</f>
        <v/>
      </c>
      <c r="J337" s="381">
        <f>IF(AND('ABRIL 2026'!D26&lt;&gt;"",'ABRIL 2026'!Z26="POR RECOGER"),'ABRIL 2026'!Q26,"")</f>
        <v/>
      </c>
      <c r="K337" s="381">
        <f>IF(AND('ABRIL 2026'!D26&lt;&gt;"",'ABRIL 2026'!Z26="POR RECOGER"),'ABRIL 2026'!Y26,"")</f>
        <v/>
      </c>
      <c r="L337" s="381">
        <f>IF(AND('ABRIL 2026'!D26&lt;&gt;"",'ABRIL 2026'!Z26="POR RECOGER"),'ABRIL 2026'!I26,"")</f>
        <v/>
      </c>
      <c r="P337" s="194" t="n"/>
      <c r="Q337" s="194" t="n"/>
      <c r="R337" s="194" t="n"/>
      <c r="S337" s="194" t="n"/>
      <c r="T337" s="194" t="n"/>
      <c r="U337" s="194" t="n"/>
      <c r="V337" s="194" t="n"/>
      <c r="W337" s="194" t="n"/>
      <c r="X337" s="194" t="n"/>
      <c r="Y337" s="194" t="n"/>
      <c r="Z337" s="194" t="n"/>
    </row>
    <row r="338" ht="15" customHeight="1" s="195">
      <c r="A338" s="381">
        <f>IF(AND('ABRIL 2026'!D27&lt;&gt;"",'ABRIL 2026'!Z27="POR RECOGER"),"ABR","")</f>
        <v/>
      </c>
      <c r="B338" s="381">
        <f>IF(AND('ABRIL 2026'!D27&lt;&gt;"",'ABRIL 2026'!Z27="POR RECOGER"),IF('ABRIL 2026'!Y27&lt;&gt;"",'ABRIL 2026'!Y27,'ABRIL 2026'!I27),"")</f>
        <v/>
      </c>
      <c r="C338" s="381">
        <f>IF(AND('ABRIL 2026'!D27&lt;&gt;"",'ABRIL 2026'!Z27="POR RECOGER"),'ABRIL 2026'!D27,"")</f>
        <v/>
      </c>
      <c r="D338" s="381">
        <f>IF(AND('ABRIL 2026'!D27&lt;&gt;"",'ABRIL 2026'!Z27="POR RECOGER"),'ABRIL 2026'!F27,"")</f>
        <v/>
      </c>
      <c r="E338" s="381">
        <f>IF(AND('ABRIL 2026'!D27&lt;&gt;"",'ABRIL 2026'!Z27="POR RECOGER"),TEXT('ABRIL 2026'!G27,"DD/MM/YYYY"),"")</f>
        <v/>
      </c>
      <c r="F338" s="381">
        <f>IF(AND('ABRIL 2026'!D27&lt;&gt;"",'ABRIL 2026'!Z27="POR RECOGER"),'ABRIL 2026'!K27,"")</f>
        <v/>
      </c>
      <c r="G338" s="382">
        <f>IF(AND('ABRIL 2026'!D27&lt;&gt;"",'ABRIL 2026'!Z27="POR RECOGER"),'ABRIL 2026'!M27,"")</f>
        <v/>
      </c>
      <c r="H338" s="382">
        <f>IF(AND('ABRIL 2026'!D27&lt;&gt;"",'ABRIL 2026'!Z27="POR RECOGER"),'ABRIL 2026'!N27,"")</f>
        <v/>
      </c>
      <c r="I338" s="381">
        <f>IF(AND('ABRIL 2026'!D27&lt;&gt;"",'ABRIL 2026'!Z27="POR RECOGER"),'ABRIL 2026'!P27,"")</f>
        <v/>
      </c>
      <c r="J338" s="381">
        <f>IF(AND('ABRIL 2026'!D27&lt;&gt;"",'ABRIL 2026'!Z27="POR RECOGER"),'ABRIL 2026'!Q27,"")</f>
        <v/>
      </c>
      <c r="K338" s="381">
        <f>IF(AND('ABRIL 2026'!D27&lt;&gt;"",'ABRIL 2026'!Z27="POR RECOGER"),'ABRIL 2026'!Y27,"")</f>
        <v/>
      </c>
      <c r="L338" s="381">
        <f>IF(AND('ABRIL 2026'!D27&lt;&gt;"",'ABRIL 2026'!Z27="POR RECOGER"),'ABRIL 2026'!I27,"")</f>
        <v/>
      </c>
      <c r="P338" s="194" t="n"/>
      <c r="Q338" s="194" t="n"/>
      <c r="R338" s="194" t="n"/>
      <c r="S338" s="194" t="n"/>
      <c r="T338" s="194" t="n"/>
      <c r="U338" s="194" t="n"/>
      <c r="V338" s="194" t="n"/>
      <c r="W338" s="194" t="n"/>
      <c r="X338" s="194" t="n"/>
      <c r="Y338" s="194" t="n"/>
      <c r="Z338" s="194" t="n"/>
    </row>
    <row r="339" ht="15" customHeight="1" s="195">
      <c r="A339" s="381">
        <f>IF(AND('ABRIL 2026'!D28&lt;&gt;"",'ABRIL 2026'!Z28="POR RECOGER"),"ABR","")</f>
        <v/>
      </c>
      <c r="B339" s="381">
        <f>IF(AND('ABRIL 2026'!D28&lt;&gt;"",'ABRIL 2026'!Z28="POR RECOGER"),IF('ABRIL 2026'!Y28&lt;&gt;"",'ABRIL 2026'!Y28,'ABRIL 2026'!I28),"")</f>
        <v/>
      </c>
      <c r="C339" s="381">
        <f>IF(AND('ABRIL 2026'!D28&lt;&gt;"",'ABRIL 2026'!Z28="POR RECOGER"),'ABRIL 2026'!D28,"")</f>
        <v/>
      </c>
      <c r="D339" s="381">
        <f>IF(AND('ABRIL 2026'!D28&lt;&gt;"",'ABRIL 2026'!Z28="POR RECOGER"),'ABRIL 2026'!F28,"")</f>
        <v/>
      </c>
      <c r="E339" s="381">
        <f>IF(AND('ABRIL 2026'!D28&lt;&gt;"",'ABRIL 2026'!Z28="POR RECOGER"),TEXT('ABRIL 2026'!G28,"DD/MM/YYYY"),"")</f>
        <v/>
      </c>
      <c r="F339" s="381">
        <f>IF(AND('ABRIL 2026'!D28&lt;&gt;"",'ABRIL 2026'!Z28="POR RECOGER"),'ABRIL 2026'!K28,"")</f>
        <v/>
      </c>
      <c r="G339" s="382">
        <f>IF(AND('ABRIL 2026'!D28&lt;&gt;"",'ABRIL 2026'!Z28="POR RECOGER"),'ABRIL 2026'!M28,"")</f>
        <v/>
      </c>
      <c r="H339" s="382">
        <f>IF(AND('ABRIL 2026'!D28&lt;&gt;"",'ABRIL 2026'!Z28="POR RECOGER"),'ABRIL 2026'!N28,"")</f>
        <v/>
      </c>
      <c r="I339" s="381">
        <f>IF(AND('ABRIL 2026'!D28&lt;&gt;"",'ABRIL 2026'!Z28="POR RECOGER"),'ABRIL 2026'!P28,"")</f>
        <v/>
      </c>
      <c r="J339" s="381">
        <f>IF(AND('ABRIL 2026'!D28&lt;&gt;"",'ABRIL 2026'!Z28="POR RECOGER"),'ABRIL 2026'!Q28,"")</f>
        <v/>
      </c>
      <c r="K339" s="381">
        <f>IF(AND('ABRIL 2026'!D28&lt;&gt;"",'ABRIL 2026'!Z28="POR RECOGER"),'ABRIL 2026'!Y28,"")</f>
        <v/>
      </c>
      <c r="L339" s="381">
        <f>IF(AND('ABRIL 2026'!D28&lt;&gt;"",'ABRIL 2026'!Z28="POR RECOGER"),'ABRIL 2026'!I28,"")</f>
        <v/>
      </c>
      <c r="P339" s="194" t="n"/>
      <c r="Q339" s="194" t="n"/>
      <c r="R339" s="194" t="n"/>
      <c r="S339" s="194" t="n"/>
      <c r="T339" s="194" t="n"/>
      <c r="U339" s="194" t="n"/>
      <c r="V339" s="194" t="n"/>
      <c r="W339" s="194" t="n"/>
      <c r="X339" s="194" t="n"/>
      <c r="Y339" s="194" t="n"/>
      <c r="Z339" s="194" t="n"/>
    </row>
    <row r="340" ht="15" customHeight="1" s="195">
      <c r="A340" s="381">
        <f>IF(AND('ABRIL 2026'!D29&lt;&gt;"",'ABRIL 2026'!Z29="POR RECOGER"),"ABR","")</f>
        <v/>
      </c>
      <c r="B340" s="381">
        <f>IF(AND('ABRIL 2026'!D29&lt;&gt;"",'ABRIL 2026'!Z29="POR RECOGER"),IF('ABRIL 2026'!Y29&lt;&gt;"",'ABRIL 2026'!Y29,'ABRIL 2026'!I29),"")</f>
        <v/>
      </c>
      <c r="C340" s="381">
        <f>IF(AND('ABRIL 2026'!D29&lt;&gt;"",'ABRIL 2026'!Z29="POR RECOGER"),'ABRIL 2026'!D29,"")</f>
        <v/>
      </c>
      <c r="D340" s="381">
        <f>IF(AND('ABRIL 2026'!D29&lt;&gt;"",'ABRIL 2026'!Z29="POR RECOGER"),'ABRIL 2026'!F29,"")</f>
        <v/>
      </c>
      <c r="E340" s="381">
        <f>IF(AND('ABRIL 2026'!D29&lt;&gt;"",'ABRIL 2026'!Z29="POR RECOGER"),TEXT('ABRIL 2026'!G29,"DD/MM/YYYY"),"")</f>
        <v/>
      </c>
      <c r="F340" s="381">
        <f>IF(AND('ABRIL 2026'!D29&lt;&gt;"",'ABRIL 2026'!Z29="POR RECOGER"),'ABRIL 2026'!K29,"")</f>
        <v/>
      </c>
      <c r="G340" s="382">
        <f>IF(AND('ABRIL 2026'!D29&lt;&gt;"",'ABRIL 2026'!Z29="POR RECOGER"),'ABRIL 2026'!M29,"")</f>
        <v/>
      </c>
      <c r="H340" s="382">
        <f>IF(AND('ABRIL 2026'!D29&lt;&gt;"",'ABRIL 2026'!Z29="POR RECOGER"),'ABRIL 2026'!N29,"")</f>
        <v/>
      </c>
      <c r="I340" s="381">
        <f>IF(AND('ABRIL 2026'!D29&lt;&gt;"",'ABRIL 2026'!Z29="POR RECOGER"),'ABRIL 2026'!P29,"")</f>
        <v/>
      </c>
      <c r="J340" s="381">
        <f>IF(AND('ABRIL 2026'!D29&lt;&gt;"",'ABRIL 2026'!Z29="POR RECOGER"),'ABRIL 2026'!Q29,"")</f>
        <v/>
      </c>
      <c r="K340" s="381">
        <f>IF(AND('ABRIL 2026'!D29&lt;&gt;"",'ABRIL 2026'!Z29="POR RECOGER"),'ABRIL 2026'!Y29,"")</f>
        <v/>
      </c>
      <c r="L340" s="381">
        <f>IF(AND('ABRIL 2026'!D29&lt;&gt;"",'ABRIL 2026'!Z29="POR RECOGER"),'ABRIL 2026'!I29,"")</f>
        <v/>
      </c>
      <c r="P340" s="194" t="n"/>
      <c r="Q340" s="194" t="n"/>
      <c r="R340" s="194" t="n"/>
      <c r="S340" s="194" t="n"/>
      <c r="T340" s="194" t="n"/>
      <c r="U340" s="194" t="n"/>
      <c r="V340" s="194" t="n"/>
      <c r="W340" s="194" t="n"/>
      <c r="X340" s="194" t="n"/>
      <c r="Y340" s="194" t="n"/>
      <c r="Z340" s="194" t="n"/>
    </row>
    <row r="341" ht="15" customHeight="1" s="195">
      <c r="A341" s="381">
        <f>IF(AND('ABRIL 2026'!D30&lt;&gt;"",'ABRIL 2026'!Z30="POR RECOGER"),"ABR","")</f>
        <v/>
      </c>
      <c r="B341" s="381">
        <f>IF(AND('ABRIL 2026'!D30&lt;&gt;"",'ABRIL 2026'!Z30="POR RECOGER"),IF('ABRIL 2026'!Y30&lt;&gt;"",'ABRIL 2026'!Y30,'ABRIL 2026'!I30),"")</f>
        <v/>
      </c>
      <c r="C341" s="381">
        <f>IF(AND('ABRIL 2026'!D30&lt;&gt;"",'ABRIL 2026'!Z30="POR RECOGER"),'ABRIL 2026'!D30,"")</f>
        <v/>
      </c>
      <c r="D341" s="381">
        <f>IF(AND('ABRIL 2026'!D30&lt;&gt;"",'ABRIL 2026'!Z30="POR RECOGER"),'ABRIL 2026'!F30,"")</f>
        <v/>
      </c>
      <c r="E341" s="381">
        <f>IF(AND('ABRIL 2026'!D30&lt;&gt;"",'ABRIL 2026'!Z30="POR RECOGER"),TEXT('ABRIL 2026'!G30,"DD/MM/YYYY"),"")</f>
        <v/>
      </c>
      <c r="F341" s="381">
        <f>IF(AND('ABRIL 2026'!D30&lt;&gt;"",'ABRIL 2026'!Z30="POR RECOGER"),'ABRIL 2026'!K30,"")</f>
        <v/>
      </c>
      <c r="G341" s="382">
        <f>IF(AND('ABRIL 2026'!D30&lt;&gt;"",'ABRIL 2026'!Z30="POR RECOGER"),'ABRIL 2026'!M30,"")</f>
        <v/>
      </c>
      <c r="H341" s="382">
        <f>IF(AND('ABRIL 2026'!D30&lt;&gt;"",'ABRIL 2026'!Z30="POR RECOGER"),'ABRIL 2026'!N30,"")</f>
        <v/>
      </c>
      <c r="I341" s="381">
        <f>IF(AND('ABRIL 2026'!D30&lt;&gt;"",'ABRIL 2026'!Z30="POR RECOGER"),'ABRIL 2026'!P30,"")</f>
        <v/>
      </c>
      <c r="J341" s="381">
        <f>IF(AND('ABRIL 2026'!D30&lt;&gt;"",'ABRIL 2026'!Z30="POR RECOGER"),'ABRIL 2026'!Q30,"")</f>
        <v/>
      </c>
      <c r="K341" s="381">
        <f>IF(AND('ABRIL 2026'!D30&lt;&gt;"",'ABRIL 2026'!Z30="POR RECOGER"),'ABRIL 2026'!Y30,"")</f>
        <v/>
      </c>
      <c r="L341" s="381">
        <f>IF(AND('ABRIL 2026'!D30&lt;&gt;"",'ABRIL 2026'!Z30="POR RECOGER"),'ABRIL 2026'!I30,"")</f>
        <v/>
      </c>
      <c r="P341" s="194" t="n"/>
      <c r="Q341" s="194" t="n"/>
      <c r="R341" s="194" t="n"/>
      <c r="S341" s="194" t="n"/>
      <c r="T341" s="194" t="n"/>
      <c r="U341" s="194" t="n"/>
      <c r="V341" s="194" t="n"/>
      <c r="W341" s="194" t="n"/>
      <c r="X341" s="194" t="n"/>
      <c r="Y341" s="194" t="n"/>
      <c r="Z341" s="194" t="n"/>
    </row>
    <row r="342" ht="15" customHeight="1" s="195">
      <c r="A342" s="381">
        <f>IF(AND('ABRIL 2026'!D31&lt;&gt;"",'ABRIL 2026'!Z31="POR RECOGER"),"ABR","")</f>
        <v/>
      </c>
      <c r="B342" s="381">
        <f>IF(AND('ABRIL 2026'!D31&lt;&gt;"",'ABRIL 2026'!Z31="POR RECOGER"),IF('ABRIL 2026'!Y31&lt;&gt;"",'ABRIL 2026'!Y31,'ABRIL 2026'!I31),"")</f>
        <v/>
      </c>
      <c r="C342" s="381">
        <f>IF(AND('ABRIL 2026'!D31&lt;&gt;"",'ABRIL 2026'!Z31="POR RECOGER"),'ABRIL 2026'!D31,"")</f>
        <v/>
      </c>
      <c r="D342" s="381">
        <f>IF(AND('ABRIL 2026'!D31&lt;&gt;"",'ABRIL 2026'!Z31="POR RECOGER"),'ABRIL 2026'!F31,"")</f>
        <v/>
      </c>
      <c r="E342" s="381">
        <f>IF(AND('ABRIL 2026'!D31&lt;&gt;"",'ABRIL 2026'!Z31="POR RECOGER"),TEXT('ABRIL 2026'!G31,"DD/MM/YYYY"),"")</f>
        <v/>
      </c>
      <c r="F342" s="381">
        <f>IF(AND('ABRIL 2026'!D31&lt;&gt;"",'ABRIL 2026'!Z31="POR RECOGER"),'ABRIL 2026'!K31,"")</f>
        <v/>
      </c>
      <c r="G342" s="382">
        <f>IF(AND('ABRIL 2026'!D31&lt;&gt;"",'ABRIL 2026'!Z31="POR RECOGER"),'ABRIL 2026'!M31,"")</f>
        <v/>
      </c>
      <c r="H342" s="382">
        <f>IF(AND('ABRIL 2026'!D31&lt;&gt;"",'ABRIL 2026'!Z31="POR RECOGER"),'ABRIL 2026'!N31,"")</f>
        <v/>
      </c>
      <c r="I342" s="381">
        <f>IF(AND('ABRIL 2026'!D31&lt;&gt;"",'ABRIL 2026'!Z31="POR RECOGER"),'ABRIL 2026'!P31,"")</f>
        <v/>
      </c>
      <c r="J342" s="381">
        <f>IF(AND('ABRIL 2026'!D31&lt;&gt;"",'ABRIL 2026'!Z31="POR RECOGER"),'ABRIL 2026'!Q31,"")</f>
        <v/>
      </c>
      <c r="K342" s="381">
        <f>IF(AND('ABRIL 2026'!D31&lt;&gt;"",'ABRIL 2026'!Z31="POR RECOGER"),'ABRIL 2026'!Y31,"")</f>
        <v/>
      </c>
      <c r="L342" s="381">
        <f>IF(AND('ABRIL 2026'!D31&lt;&gt;"",'ABRIL 2026'!Z31="POR RECOGER"),'ABRIL 2026'!I31,"")</f>
        <v/>
      </c>
      <c r="P342" s="194" t="n"/>
      <c r="Q342" s="194" t="n"/>
      <c r="R342" s="194" t="n"/>
      <c r="S342" s="194" t="n"/>
      <c r="T342" s="194" t="n"/>
      <c r="U342" s="194" t="n"/>
      <c r="V342" s="194" t="n"/>
      <c r="W342" s="194" t="n"/>
      <c r="X342" s="194" t="n"/>
      <c r="Y342" s="194" t="n"/>
      <c r="Z342" s="194" t="n"/>
    </row>
    <row r="343" ht="15" customHeight="1" s="195">
      <c r="A343" s="381">
        <f>IF(AND('ABRIL 2026'!D32&lt;&gt;"",'ABRIL 2026'!Z32="POR RECOGER"),"ABR","")</f>
        <v/>
      </c>
      <c r="B343" s="381">
        <f>IF(AND('ABRIL 2026'!D32&lt;&gt;"",'ABRIL 2026'!Z32="POR RECOGER"),IF('ABRIL 2026'!Y32&lt;&gt;"",'ABRIL 2026'!Y32,'ABRIL 2026'!I32),"")</f>
        <v/>
      </c>
      <c r="C343" s="381">
        <f>IF(AND('ABRIL 2026'!D32&lt;&gt;"",'ABRIL 2026'!Z32="POR RECOGER"),'ABRIL 2026'!D32,"")</f>
        <v/>
      </c>
      <c r="D343" s="381">
        <f>IF(AND('ABRIL 2026'!D32&lt;&gt;"",'ABRIL 2026'!Z32="POR RECOGER"),'ABRIL 2026'!F32,"")</f>
        <v/>
      </c>
      <c r="E343" s="381">
        <f>IF(AND('ABRIL 2026'!D32&lt;&gt;"",'ABRIL 2026'!Z32="POR RECOGER"),TEXT('ABRIL 2026'!G32,"DD/MM/YYYY"),"")</f>
        <v/>
      </c>
      <c r="F343" s="381">
        <f>IF(AND('ABRIL 2026'!D32&lt;&gt;"",'ABRIL 2026'!Z32="POR RECOGER"),'ABRIL 2026'!K32,"")</f>
        <v/>
      </c>
      <c r="G343" s="382">
        <f>IF(AND('ABRIL 2026'!D32&lt;&gt;"",'ABRIL 2026'!Z32="POR RECOGER"),'ABRIL 2026'!M32,"")</f>
        <v/>
      </c>
      <c r="H343" s="382">
        <f>IF(AND('ABRIL 2026'!D32&lt;&gt;"",'ABRIL 2026'!Z32="POR RECOGER"),'ABRIL 2026'!N32,"")</f>
        <v/>
      </c>
      <c r="I343" s="381">
        <f>IF(AND('ABRIL 2026'!D32&lt;&gt;"",'ABRIL 2026'!Z32="POR RECOGER"),'ABRIL 2026'!P32,"")</f>
        <v/>
      </c>
      <c r="J343" s="381">
        <f>IF(AND('ABRIL 2026'!D32&lt;&gt;"",'ABRIL 2026'!Z32="POR RECOGER"),'ABRIL 2026'!Q32,"")</f>
        <v/>
      </c>
      <c r="K343" s="381">
        <f>IF(AND('ABRIL 2026'!D32&lt;&gt;"",'ABRIL 2026'!Z32="POR RECOGER"),'ABRIL 2026'!Y32,"")</f>
        <v/>
      </c>
      <c r="L343" s="381">
        <f>IF(AND('ABRIL 2026'!D32&lt;&gt;"",'ABRIL 2026'!Z32="POR RECOGER"),'ABRIL 2026'!I32,"")</f>
        <v/>
      </c>
      <c r="P343" s="194" t="n"/>
      <c r="Q343" s="194" t="n"/>
      <c r="R343" s="194" t="n"/>
      <c r="S343" s="194" t="n"/>
      <c r="T343" s="194" t="n"/>
      <c r="U343" s="194" t="n"/>
      <c r="V343" s="194" t="n"/>
      <c r="W343" s="194" t="n"/>
      <c r="X343" s="194" t="n"/>
      <c r="Y343" s="194" t="n"/>
      <c r="Z343" s="194" t="n"/>
    </row>
    <row r="344" ht="15" customHeight="1" s="195">
      <c r="A344" s="381">
        <f>IF(AND('ABRIL 2026'!D33&lt;&gt;"",'ABRIL 2026'!Z33="POR RECOGER"),"ABR","")</f>
        <v/>
      </c>
      <c r="B344" s="381">
        <f>IF(AND('ABRIL 2026'!D33&lt;&gt;"",'ABRIL 2026'!Z33="POR RECOGER"),IF('ABRIL 2026'!Y33&lt;&gt;"",'ABRIL 2026'!Y33,'ABRIL 2026'!I33),"")</f>
        <v/>
      </c>
      <c r="C344" s="381">
        <f>IF(AND('ABRIL 2026'!D33&lt;&gt;"",'ABRIL 2026'!Z33="POR RECOGER"),'ABRIL 2026'!D33,"")</f>
        <v/>
      </c>
      <c r="D344" s="381">
        <f>IF(AND('ABRIL 2026'!D33&lt;&gt;"",'ABRIL 2026'!Z33="POR RECOGER"),'ABRIL 2026'!F33,"")</f>
        <v/>
      </c>
      <c r="E344" s="381">
        <f>IF(AND('ABRIL 2026'!D33&lt;&gt;"",'ABRIL 2026'!Z33="POR RECOGER"),TEXT('ABRIL 2026'!G33,"DD/MM/YYYY"),"")</f>
        <v/>
      </c>
      <c r="F344" s="381">
        <f>IF(AND('ABRIL 2026'!D33&lt;&gt;"",'ABRIL 2026'!Z33="POR RECOGER"),'ABRIL 2026'!K33,"")</f>
        <v/>
      </c>
      <c r="G344" s="382">
        <f>IF(AND('ABRIL 2026'!D33&lt;&gt;"",'ABRIL 2026'!Z33="POR RECOGER"),'ABRIL 2026'!M33,"")</f>
        <v/>
      </c>
      <c r="H344" s="382">
        <f>IF(AND('ABRIL 2026'!D33&lt;&gt;"",'ABRIL 2026'!Z33="POR RECOGER"),'ABRIL 2026'!N33,"")</f>
        <v/>
      </c>
      <c r="I344" s="381">
        <f>IF(AND('ABRIL 2026'!D33&lt;&gt;"",'ABRIL 2026'!Z33="POR RECOGER"),'ABRIL 2026'!P33,"")</f>
        <v/>
      </c>
      <c r="J344" s="381">
        <f>IF(AND('ABRIL 2026'!D33&lt;&gt;"",'ABRIL 2026'!Z33="POR RECOGER"),'ABRIL 2026'!Q33,"")</f>
        <v/>
      </c>
      <c r="K344" s="381">
        <f>IF(AND('ABRIL 2026'!D33&lt;&gt;"",'ABRIL 2026'!Z33="POR RECOGER"),'ABRIL 2026'!Y33,"")</f>
        <v/>
      </c>
      <c r="L344" s="381">
        <f>IF(AND('ABRIL 2026'!D33&lt;&gt;"",'ABRIL 2026'!Z33="POR RECOGER"),'ABRIL 2026'!I33,"")</f>
        <v/>
      </c>
      <c r="P344" s="194" t="n"/>
      <c r="Q344" s="194" t="n"/>
      <c r="R344" s="194" t="n"/>
      <c r="S344" s="194" t="n"/>
      <c r="T344" s="194" t="n"/>
      <c r="U344" s="194" t="n"/>
      <c r="V344" s="194" t="n"/>
      <c r="W344" s="194" t="n"/>
      <c r="X344" s="194" t="n"/>
      <c r="Y344" s="194" t="n"/>
      <c r="Z344" s="194" t="n"/>
    </row>
    <row r="345" ht="15" customHeight="1" s="195">
      <c r="A345" s="381">
        <f>IF(AND('ABRIL 2026'!D34&lt;&gt;"",'ABRIL 2026'!Z34="POR RECOGER"),"ABR","")</f>
        <v/>
      </c>
      <c r="B345" s="381">
        <f>IF(AND('ABRIL 2026'!D34&lt;&gt;"",'ABRIL 2026'!Z34="POR RECOGER"),IF('ABRIL 2026'!Y34&lt;&gt;"",'ABRIL 2026'!Y34,'ABRIL 2026'!I34),"")</f>
        <v/>
      </c>
      <c r="C345" s="381">
        <f>IF(AND('ABRIL 2026'!D34&lt;&gt;"",'ABRIL 2026'!Z34="POR RECOGER"),'ABRIL 2026'!D34,"")</f>
        <v/>
      </c>
      <c r="D345" s="381">
        <f>IF(AND('ABRIL 2026'!D34&lt;&gt;"",'ABRIL 2026'!Z34="POR RECOGER"),'ABRIL 2026'!F34,"")</f>
        <v/>
      </c>
      <c r="E345" s="381">
        <f>IF(AND('ABRIL 2026'!D34&lt;&gt;"",'ABRIL 2026'!Z34="POR RECOGER"),TEXT('ABRIL 2026'!G34,"DD/MM/YYYY"),"")</f>
        <v/>
      </c>
      <c r="F345" s="381">
        <f>IF(AND('ABRIL 2026'!D34&lt;&gt;"",'ABRIL 2026'!Z34="POR RECOGER"),'ABRIL 2026'!K34,"")</f>
        <v/>
      </c>
      <c r="G345" s="382">
        <f>IF(AND('ABRIL 2026'!D34&lt;&gt;"",'ABRIL 2026'!Z34="POR RECOGER"),'ABRIL 2026'!M34,"")</f>
        <v/>
      </c>
      <c r="H345" s="382">
        <f>IF(AND('ABRIL 2026'!D34&lt;&gt;"",'ABRIL 2026'!Z34="POR RECOGER"),'ABRIL 2026'!N34,"")</f>
        <v/>
      </c>
      <c r="I345" s="381">
        <f>IF(AND('ABRIL 2026'!D34&lt;&gt;"",'ABRIL 2026'!Z34="POR RECOGER"),'ABRIL 2026'!P34,"")</f>
        <v/>
      </c>
      <c r="J345" s="381">
        <f>IF(AND('ABRIL 2026'!D34&lt;&gt;"",'ABRIL 2026'!Z34="POR RECOGER"),'ABRIL 2026'!Q34,"")</f>
        <v/>
      </c>
      <c r="K345" s="381">
        <f>IF(AND('ABRIL 2026'!D34&lt;&gt;"",'ABRIL 2026'!Z34="POR RECOGER"),'ABRIL 2026'!Y34,"")</f>
        <v/>
      </c>
      <c r="L345" s="381">
        <f>IF(AND('ABRIL 2026'!D34&lt;&gt;"",'ABRIL 2026'!Z34="POR RECOGER"),'ABRIL 2026'!I34,"")</f>
        <v/>
      </c>
      <c r="P345" s="194" t="n"/>
      <c r="Q345" s="194" t="n"/>
      <c r="R345" s="194" t="n"/>
      <c r="S345" s="194" t="n"/>
      <c r="T345" s="194" t="n"/>
      <c r="U345" s="194" t="n"/>
      <c r="V345" s="194" t="n"/>
      <c r="W345" s="194" t="n"/>
      <c r="X345" s="194" t="n"/>
      <c r="Y345" s="194" t="n"/>
      <c r="Z345" s="194" t="n"/>
    </row>
    <row r="346" ht="15" customHeight="1" s="195">
      <c r="A346" s="381">
        <f>IF(AND('ABRIL 2026'!D35&lt;&gt;"",'ABRIL 2026'!Z35="POR RECOGER"),"ABR","")</f>
        <v/>
      </c>
      <c r="B346" s="381">
        <f>IF(AND('ABRIL 2026'!D35&lt;&gt;"",'ABRIL 2026'!Z35="POR RECOGER"),IF('ABRIL 2026'!Y35&lt;&gt;"",'ABRIL 2026'!Y35,'ABRIL 2026'!I35),"")</f>
        <v/>
      </c>
      <c r="C346" s="381">
        <f>IF(AND('ABRIL 2026'!D35&lt;&gt;"",'ABRIL 2026'!Z35="POR RECOGER"),'ABRIL 2026'!D35,"")</f>
        <v/>
      </c>
      <c r="D346" s="381">
        <f>IF(AND('ABRIL 2026'!D35&lt;&gt;"",'ABRIL 2026'!Z35="POR RECOGER"),'ABRIL 2026'!F35,"")</f>
        <v/>
      </c>
      <c r="E346" s="381">
        <f>IF(AND('ABRIL 2026'!D35&lt;&gt;"",'ABRIL 2026'!Z35="POR RECOGER"),TEXT('ABRIL 2026'!G35,"DD/MM/YYYY"),"")</f>
        <v/>
      </c>
      <c r="F346" s="381">
        <f>IF(AND('ABRIL 2026'!D35&lt;&gt;"",'ABRIL 2026'!Z35="POR RECOGER"),'ABRIL 2026'!K35,"")</f>
        <v/>
      </c>
      <c r="G346" s="382">
        <f>IF(AND('ABRIL 2026'!D35&lt;&gt;"",'ABRIL 2026'!Z35="POR RECOGER"),'ABRIL 2026'!M35,"")</f>
        <v/>
      </c>
      <c r="H346" s="382">
        <f>IF(AND('ABRIL 2026'!D35&lt;&gt;"",'ABRIL 2026'!Z35="POR RECOGER"),'ABRIL 2026'!N35,"")</f>
        <v/>
      </c>
      <c r="I346" s="381">
        <f>IF(AND('ABRIL 2026'!D35&lt;&gt;"",'ABRIL 2026'!Z35="POR RECOGER"),'ABRIL 2026'!P35,"")</f>
        <v/>
      </c>
      <c r="J346" s="381">
        <f>IF(AND('ABRIL 2026'!D35&lt;&gt;"",'ABRIL 2026'!Z35="POR RECOGER"),'ABRIL 2026'!Q35,"")</f>
        <v/>
      </c>
      <c r="K346" s="381">
        <f>IF(AND('ABRIL 2026'!D35&lt;&gt;"",'ABRIL 2026'!Z35="POR RECOGER"),'ABRIL 2026'!Y35,"")</f>
        <v/>
      </c>
      <c r="L346" s="381">
        <f>IF(AND('ABRIL 2026'!D35&lt;&gt;"",'ABRIL 2026'!Z35="POR RECOGER"),'ABRIL 2026'!I35,"")</f>
        <v/>
      </c>
      <c r="P346" s="194" t="n"/>
      <c r="Q346" s="194" t="n"/>
      <c r="R346" s="194" t="n"/>
      <c r="S346" s="194" t="n"/>
      <c r="T346" s="194" t="n"/>
      <c r="U346" s="194" t="n"/>
      <c r="V346" s="194" t="n"/>
      <c r="W346" s="194" t="n"/>
      <c r="X346" s="194" t="n"/>
      <c r="Y346" s="194" t="n"/>
      <c r="Z346" s="194" t="n"/>
    </row>
    <row r="347" ht="15" customHeight="1" s="195">
      <c r="A347" s="381">
        <f>IF(AND('ABRIL 2026'!D36&lt;&gt;"",'ABRIL 2026'!Z36="POR RECOGER"),"ABR","")</f>
        <v/>
      </c>
      <c r="B347" s="381">
        <f>IF(AND('ABRIL 2026'!D36&lt;&gt;"",'ABRIL 2026'!Z36="POR RECOGER"),IF('ABRIL 2026'!Y36&lt;&gt;"",'ABRIL 2026'!Y36,'ABRIL 2026'!I36),"")</f>
        <v/>
      </c>
      <c r="C347" s="381">
        <f>IF(AND('ABRIL 2026'!D36&lt;&gt;"",'ABRIL 2026'!Z36="POR RECOGER"),'ABRIL 2026'!D36,"")</f>
        <v/>
      </c>
      <c r="D347" s="381">
        <f>IF(AND('ABRIL 2026'!D36&lt;&gt;"",'ABRIL 2026'!Z36="POR RECOGER"),'ABRIL 2026'!F36,"")</f>
        <v/>
      </c>
      <c r="E347" s="381">
        <f>IF(AND('ABRIL 2026'!D36&lt;&gt;"",'ABRIL 2026'!Z36="POR RECOGER"),TEXT('ABRIL 2026'!G36,"DD/MM/YYYY"),"")</f>
        <v/>
      </c>
      <c r="F347" s="381">
        <f>IF(AND('ABRIL 2026'!D36&lt;&gt;"",'ABRIL 2026'!Z36="POR RECOGER"),'ABRIL 2026'!K36,"")</f>
        <v/>
      </c>
      <c r="G347" s="382">
        <f>IF(AND('ABRIL 2026'!D36&lt;&gt;"",'ABRIL 2026'!Z36="POR RECOGER"),'ABRIL 2026'!M36,"")</f>
        <v/>
      </c>
      <c r="H347" s="382">
        <f>IF(AND('ABRIL 2026'!D36&lt;&gt;"",'ABRIL 2026'!Z36="POR RECOGER"),'ABRIL 2026'!N36,"")</f>
        <v/>
      </c>
      <c r="I347" s="381">
        <f>IF(AND('ABRIL 2026'!D36&lt;&gt;"",'ABRIL 2026'!Z36="POR RECOGER"),'ABRIL 2026'!P36,"")</f>
        <v/>
      </c>
      <c r="J347" s="381">
        <f>IF(AND('ABRIL 2026'!D36&lt;&gt;"",'ABRIL 2026'!Z36="POR RECOGER"),'ABRIL 2026'!Q36,"")</f>
        <v/>
      </c>
      <c r="K347" s="381">
        <f>IF(AND('ABRIL 2026'!D36&lt;&gt;"",'ABRIL 2026'!Z36="POR RECOGER"),'ABRIL 2026'!Y36,"")</f>
        <v/>
      </c>
      <c r="L347" s="381">
        <f>IF(AND('ABRIL 2026'!D36&lt;&gt;"",'ABRIL 2026'!Z36="POR RECOGER"),'ABRIL 2026'!I36,"")</f>
        <v/>
      </c>
      <c r="P347" s="194" t="n"/>
      <c r="Q347" s="194" t="n"/>
      <c r="R347" s="194" t="n"/>
      <c r="S347" s="194" t="n"/>
      <c r="T347" s="194" t="n"/>
      <c r="U347" s="194" t="n"/>
      <c r="V347" s="194" t="n"/>
      <c r="W347" s="194" t="n"/>
      <c r="X347" s="194" t="n"/>
      <c r="Y347" s="194" t="n"/>
      <c r="Z347" s="194" t="n"/>
    </row>
    <row r="348" ht="15" customHeight="1" s="195">
      <c r="A348" s="381">
        <f>IF(AND('ABRIL 2026'!D37&lt;&gt;"",'ABRIL 2026'!Z37="POR RECOGER"),"ABR","")</f>
        <v/>
      </c>
      <c r="B348" s="381">
        <f>IF(AND('ABRIL 2026'!D37&lt;&gt;"",'ABRIL 2026'!Z37="POR RECOGER"),IF('ABRIL 2026'!Y37&lt;&gt;"",'ABRIL 2026'!Y37,'ABRIL 2026'!I37),"")</f>
        <v/>
      </c>
      <c r="C348" s="381">
        <f>IF(AND('ABRIL 2026'!D37&lt;&gt;"",'ABRIL 2026'!Z37="POR RECOGER"),'ABRIL 2026'!D37,"")</f>
        <v/>
      </c>
      <c r="D348" s="381">
        <f>IF(AND('ABRIL 2026'!D37&lt;&gt;"",'ABRIL 2026'!Z37="POR RECOGER"),'ABRIL 2026'!F37,"")</f>
        <v/>
      </c>
      <c r="E348" s="381">
        <f>IF(AND('ABRIL 2026'!D37&lt;&gt;"",'ABRIL 2026'!Z37="POR RECOGER"),TEXT('ABRIL 2026'!G37,"DD/MM/YYYY"),"")</f>
        <v/>
      </c>
      <c r="F348" s="381">
        <f>IF(AND('ABRIL 2026'!D37&lt;&gt;"",'ABRIL 2026'!Z37="POR RECOGER"),'ABRIL 2026'!K37,"")</f>
        <v/>
      </c>
      <c r="G348" s="382">
        <f>IF(AND('ABRIL 2026'!D37&lt;&gt;"",'ABRIL 2026'!Z37="POR RECOGER"),'ABRIL 2026'!M37,"")</f>
        <v/>
      </c>
      <c r="H348" s="382">
        <f>IF(AND('ABRIL 2026'!D37&lt;&gt;"",'ABRIL 2026'!Z37="POR RECOGER"),'ABRIL 2026'!N37,"")</f>
        <v/>
      </c>
      <c r="I348" s="381">
        <f>IF(AND('ABRIL 2026'!D37&lt;&gt;"",'ABRIL 2026'!Z37="POR RECOGER"),'ABRIL 2026'!P37,"")</f>
        <v/>
      </c>
      <c r="J348" s="381">
        <f>IF(AND('ABRIL 2026'!D37&lt;&gt;"",'ABRIL 2026'!Z37="POR RECOGER"),'ABRIL 2026'!Q37,"")</f>
        <v/>
      </c>
      <c r="K348" s="381">
        <f>IF(AND('ABRIL 2026'!D37&lt;&gt;"",'ABRIL 2026'!Z37="POR RECOGER"),'ABRIL 2026'!Y37,"")</f>
        <v/>
      </c>
      <c r="L348" s="381">
        <f>IF(AND('ABRIL 2026'!D37&lt;&gt;"",'ABRIL 2026'!Z37="POR RECOGER"),'ABRIL 2026'!I37,"")</f>
        <v/>
      </c>
      <c r="P348" s="194" t="n"/>
      <c r="Q348" s="194" t="n"/>
      <c r="R348" s="194" t="n"/>
      <c r="S348" s="194" t="n"/>
      <c r="T348" s="194" t="n"/>
      <c r="U348" s="194" t="n"/>
      <c r="V348" s="194" t="n"/>
      <c r="W348" s="194" t="n"/>
      <c r="X348" s="194" t="n"/>
      <c r="Y348" s="194" t="n"/>
      <c r="Z348" s="194" t="n"/>
    </row>
    <row r="349" ht="15" customHeight="1" s="195">
      <c r="A349" s="381">
        <f>IF(AND('ABRIL 2026'!D38&lt;&gt;"",'ABRIL 2026'!Z38="POR RECOGER"),"ABR","")</f>
        <v/>
      </c>
      <c r="B349" s="381">
        <f>IF(AND('ABRIL 2026'!D38&lt;&gt;"",'ABRIL 2026'!Z38="POR RECOGER"),IF('ABRIL 2026'!Y38&lt;&gt;"",'ABRIL 2026'!Y38,'ABRIL 2026'!I38),"")</f>
        <v/>
      </c>
      <c r="C349" s="381">
        <f>IF(AND('ABRIL 2026'!D38&lt;&gt;"",'ABRIL 2026'!Z38="POR RECOGER"),'ABRIL 2026'!D38,"")</f>
        <v/>
      </c>
      <c r="D349" s="381">
        <f>IF(AND('ABRIL 2026'!D38&lt;&gt;"",'ABRIL 2026'!Z38="POR RECOGER"),'ABRIL 2026'!F38,"")</f>
        <v/>
      </c>
      <c r="E349" s="381">
        <f>IF(AND('ABRIL 2026'!D38&lt;&gt;"",'ABRIL 2026'!Z38="POR RECOGER"),TEXT('ABRIL 2026'!G38,"DD/MM/YYYY"),"")</f>
        <v/>
      </c>
      <c r="F349" s="381">
        <f>IF(AND('ABRIL 2026'!D38&lt;&gt;"",'ABRIL 2026'!Z38="POR RECOGER"),'ABRIL 2026'!K38,"")</f>
        <v/>
      </c>
      <c r="G349" s="382">
        <f>IF(AND('ABRIL 2026'!D38&lt;&gt;"",'ABRIL 2026'!Z38="POR RECOGER"),'ABRIL 2026'!M38,"")</f>
        <v/>
      </c>
      <c r="H349" s="382">
        <f>IF(AND('ABRIL 2026'!D38&lt;&gt;"",'ABRIL 2026'!Z38="POR RECOGER"),'ABRIL 2026'!N38,"")</f>
        <v/>
      </c>
      <c r="I349" s="381">
        <f>IF(AND('ABRIL 2026'!D38&lt;&gt;"",'ABRIL 2026'!Z38="POR RECOGER"),'ABRIL 2026'!P38,"")</f>
        <v/>
      </c>
      <c r="J349" s="381">
        <f>IF(AND('ABRIL 2026'!D38&lt;&gt;"",'ABRIL 2026'!Z38="POR RECOGER"),'ABRIL 2026'!Q38,"")</f>
        <v/>
      </c>
      <c r="K349" s="381">
        <f>IF(AND('ABRIL 2026'!D38&lt;&gt;"",'ABRIL 2026'!Z38="POR RECOGER"),'ABRIL 2026'!Y38,"")</f>
        <v/>
      </c>
      <c r="L349" s="381">
        <f>IF(AND('ABRIL 2026'!D38&lt;&gt;"",'ABRIL 2026'!Z38="POR RECOGER"),'ABRIL 2026'!I38,"")</f>
        <v/>
      </c>
      <c r="P349" s="194" t="n"/>
      <c r="Q349" s="194" t="n"/>
      <c r="R349" s="194" t="n"/>
      <c r="S349" s="194" t="n"/>
      <c r="T349" s="194" t="n"/>
      <c r="U349" s="194" t="n"/>
      <c r="V349" s="194" t="n"/>
      <c r="W349" s="194" t="n"/>
      <c r="X349" s="194" t="n"/>
      <c r="Y349" s="194" t="n"/>
      <c r="Z349" s="194" t="n"/>
    </row>
    <row r="350" ht="15" customHeight="1" s="195">
      <c r="A350" s="381">
        <f>IF(AND('ABRIL 2026'!D39&lt;&gt;"",'ABRIL 2026'!Z39="POR RECOGER"),"ABR","")</f>
        <v/>
      </c>
      <c r="B350" s="381">
        <f>IF(AND('ABRIL 2026'!D39&lt;&gt;"",'ABRIL 2026'!Z39="POR RECOGER"),IF('ABRIL 2026'!Y39&lt;&gt;"",'ABRIL 2026'!Y39,'ABRIL 2026'!I39),"")</f>
        <v/>
      </c>
      <c r="C350" s="381">
        <f>IF(AND('ABRIL 2026'!D39&lt;&gt;"",'ABRIL 2026'!Z39="POR RECOGER"),'ABRIL 2026'!D39,"")</f>
        <v/>
      </c>
      <c r="D350" s="381">
        <f>IF(AND('ABRIL 2026'!D39&lt;&gt;"",'ABRIL 2026'!Z39="POR RECOGER"),'ABRIL 2026'!F39,"")</f>
        <v/>
      </c>
      <c r="E350" s="381">
        <f>IF(AND('ABRIL 2026'!D39&lt;&gt;"",'ABRIL 2026'!Z39="POR RECOGER"),TEXT('ABRIL 2026'!G39,"DD/MM/YYYY"),"")</f>
        <v/>
      </c>
      <c r="F350" s="381">
        <f>IF(AND('ABRIL 2026'!D39&lt;&gt;"",'ABRIL 2026'!Z39="POR RECOGER"),'ABRIL 2026'!K39,"")</f>
        <v/>
      </c>
      <c r="G350" s="382">
        <f>IF(AND('ABRIL 2026'!D39&lt;&gt;"",'ABRIL 2026'!Z39="POR RECOGER"),'ABRIL 2026'!M39,"")</f>
        <v/>
      </c>
      <c r="H350" s="382">
        <f>IF(AND('ABRIL 2026'!D39&lt;&gt;"",'ABRIL 2026'!Z39="POR RECOGER"),'ABRIL 2026'!N39,"")</f>
        <v/>
      </c>
      <c r="I350" s="381">
        <f>IF(AND('ABRIL 2026'!D39&lt;&gt;"",'ABRIL 2026'!Z39="POR RECOGER"),'ABRIL 2026'!P39,"")</f>
        <v/>
      </c>
      <c r="J350" s="381">
        <f>IF(AND('ABRIL 2026'!D39&lt;&gt;"",'ABRIL 2026'!Z39="POR RECOGER"),'ABRIL 2026'!Q39,"")</f>
        <v/>
      </c>
      <c r="K350" s="381">
        <f>IF(AND('ABRIL 2026'!D39&lt;&gt;"",'ABRIL 2026'!Z39="POR RECOGER"),'ABRIL 2026'!Y39,"")</f>
        <v/>
      </c>
      <c r="L350" s="381">
        <f>IF(AND('ABRIL 2026'!D39&lt;&gt;"",'ABRIL 2026'!Z39="POR RECOGER"),'ABRIL 2026'!I39,"")</f>
        <v/>
      </c>
      <c r="P350" s="194" t="n"/>
      <c r="Q350" s="194" t="n"/>
      <c r="R350" s="194" t="n"/>
      <c r="S350" s="194" t="n"/>
      <c r="T350" s="194" t="n"/>
      <c r="U350" s="194" t="n"/>
      <c r="V350" s="194" t="n"/>
      <c r="W350" s="194" t="n"/>
      <c r="X350" s="194" t="n"/>
      <c r="Y350" s="194" t="n"/>
      <c r="Z350" s="194" t="n"/>
    </row>
    <row r="351" ht="15" customHeight="1" s="195">
      <c r="A351" s="381">
        <f>IF(AND('ABRIL 2026'!D40&lt;&gt;"",'ABRIL 2026'!Z40="POR RECOGER"),"ABR","")</f>
        <v/>
      </c>
      <c r="B351" s="381">
        <f>IF(AND('ABRIL 2026'!D40&lt;&gt;"",'ABRIL 2026'!Z40="POR RECOGER"),IF('ABRIL 2026'!Y40&lt;&gt;"",'ABRIL 2026'!Y40,'ABRIL 2026'!I40),"")</f>
        <v/>
      </c>
      <c r="C351" s="381">
        <f>IF(AND('ABRIL 2026'!D40&lt;&gt;"",'ABRIL 2026'!Z40="POR RECOGER"),'ABRIL 2026'!D40,"")</f>
        <v/>
      </c>
      <c r="D351" s="381">
        <f>IF(AND('ABRIL 2026'!D40&lt;&gt;"",'ABRIL 2026'!Z40="POR RECOGER"),'ABRIL 2026'!F40,"")</f>
        <v/>
      </c>
      <c r="E351" s="381">
        <f>IF(AND('ABRIL 2026'!D40&lt;&gt;"",'ABRIL 2026'!Z40="POR RECOGER"),TEXT('ABRIL 2026'!G40,"DD/MM/YYYY"),"")</f>
        <v/>
      </c>
      <c r="F351" s="381">
        <f>IF(AND('ABRIL 2026'!D40&lt;&gt;"",'ABRIL 2026'!Z40="POR RECOGER"),'ABRIL 2026'!K40,"")</f>
        <v/>
      </c>
      <c r="G351" s="382">
        <f>IF(AND('ABRIL 2026'!D40&lt;&gt;"",'ABRIL 2026'!Z40="POR RECOGER"),'ABRIL 2026'!M40,"")</f>
        <v/>
      </c>
      <c r="H351" s="382">
        <f>IF(AND('ABRIL 2026'!D40&lt;&gt;"",'ABRIL 2026'!Z40="POR RECOGER"),'ABRIL 2026'!N40,"")</f>
        <v/>
      </c>
      <c r="I351" s="381">
        <f>IF(AND('ABRIL 2026'!D40&lt;&gt;"",'ABRIL 2026'!Z40="POR RECOGER"),'ABRIL 2026'!P40,"")</f>
        <v/>
      </c>
      <c r="J351" s="381">
        <f>IF(AND('ABRIL 2026'!D40&lt;&gt;"",'ABRIL 2026'!Z40="POR RECOGER"),'ABRIL 2026'!Q40,"")</f>
        <v/>
      </c>
      <c r="K351" s="381">
        <f>IF(AND('ABRIL 2026'!D40&lt;&gt;"",'ABRIL 2026'!Z40="POR RECOGER"),'ABRIL 2026'!Y40,"")</f>
        <v/>
      </c>
      <c r="L351" s="381">
        <f>IF(AND('ABRIL 2026'!D40&lt;&gt;"",'ABRIL 2026'!Z40="POR RECOGER"),'ABRIL 2026'!I40,"")</f>
        <v/>
      </c>
      <c r="P351" s="194" t="n"/>
      <c r="Q351" s="194" t="n"/>
      <c r="R351" s="194" t="n"/>
      <c r="S351" s="194" t="n"/>
      <c r="T351" s="194" t="n"/>
      <c r="U351" s="194" t="n"/>
      <c r="V351" s="194" t="n"/>
      <c r="W351" s="194" t="n"/>
      <c r="X351" s="194" t="n"/>
      <c r="Y351" s="194" t="n"/>
      <c r="Z351" s="194" t="n"/>
    </row>
    <row r="352" ht="15" customHeight="1" s="195">
      <c r="A352" s="381">
        <f>IF(AND('ABRIL 2026'!D41&lt;&gt;"",'ABRIL 2026'!Z41="POR RECOGER"),"ABR","")</f>
        <v/>
      </c>
      <c r="B352" s="381">
        <f>IF(AND('ABRIL 2026'!D41&lt;&gt;"",'ABRIL 2026'!Z41="POR RECOGER"),IF('ABRIL 2026'!Y41&lt;&gt;"",'ABRIL 2026'!Y41,'ABRIL 2026'!I41),"")</f>
        <v/>
      </c>
      <c r="C352" s="381">
        <f>IF(AND('ABRIL 2026'!D41&lt;&gt;"",'ABRIL 2026'!Z41="POR RECOGER"),'ABRIL 2026'!D41,"")</f>
        <v/>
      </c>
      <c r="D352" s="381">
        <f>IF(AND('ABRIL 2026'!D41&lt;&gt;"",'ABRIL 2026'!Z41="POR RECOGER"),'ABRIL 2026'!F41,"")</f>
        <v/>
      </c>
      <c r="E352" s="381">
        <f>IF(AND('ABRIL 2026'!D41&lt;&gt;"",'ABRIL 2026'!Z41="POR RECOGER"),TEXT('ABRIL 2026'!G41,"DD/MM/YYYY"),"")</f>
        <v/>
      </c>
      <c r="F352" s="381">
        <f>IF(AND('ABRIL 2026'!D41&lt;&gt;"",'ABRIL 2026'!Z41="POR RECOGER"),'ABRIL 2026'!K41,"")</f>
        <v/>
      </c>
      <c r="G352" s="382">
        <f>IF(AND('ABRIL 2026'!D41&lt;&gt;"",'ABRIL 2026'!Z41="POR RECOGER"),'ABRIL 2026'!M41,"")</f>
        <v/>
      </c>
      <c r="H352" s="382">
        <f>IF(AND('ABRIL 2026'!D41&lt;&gt;"",'ABRIL 2026'!Z41="POR RECOGER"),'ABRIL 2026'!N41,"")</f>
        <v/>
      </c>
      <c r="I352" s="381">
        <f>IF(AND('ABRIL 2026'!D41&lt;&gt;"",'ABRIL 2026'!Z41="POR RECOGER"),'ABRIL 2026'!P41,"")</f>
        <v/>
      </c>
      <c r="J352" s="381">
        <f>IF(AND('ABRIL 2026'!D41&lt;&gt;"",'ABRIL 2026'!Z41="POR RECOGER"),'ABRIL 2026'!Q41,"")</f>
        <v/>
      </c>
      <c r="K352" s="381">
        <f>IF(AND('ABRIL 2026'!D41&lt;&gt;"",'ABRIL 2026'!Z41="POR RECOGER"),'ABRIL 2026'!Y41,"")</f>
        <v/>
      </c>
      <c r="L352" s="381">
        <f>IF(AND('ABRIL 2026'!D41&lt;&gt;"",'ABRIL 2026'!Z41="POR RECOGER"),'ABRIL 2026'!I41,"")</f>
        <v/>
      </c>
      <c r="P352" s="194" t="n"/>
      <c r="Q352" s="194" t="n"/>
      <c r="R352" s="194" t="n"/>
      <c r="S352" s="194" t="n"/>
      <c r="T352" s="194" t="n"/>
      <c r="U352" s="194" t="n"/>
      <c r="V352" s="194" t="n"/>
      <c r="W352" s="194" t="n"/>
      <c r="X352" s="194" t="n"/>
      <c r="Y352" s="194" t="n"/>
      <c r="Z352" s="194" t="n"/>
    </row>
    <row r="353" ht="15" customHeight="1" s="195">
      <c r="A353" s="381">
        <f>IF(AND('ABRIL 2026'!D42&lt;&gt;"",'ABRIL 2026'!Z42="POR RECOGER"),"ABR","")</f>
        <v/>
      </c>
      <c r="B353" s="381">
        <f>IF(AND('ABRIL 2026'!D42&lt;&gt;"",'ABRIL 2026'!Z42="POR RECOGER"),IF('ABRIL 2026'!Y42&lt;&gt;"",'ABRIL 2026'!Y42,'ABRIL 2026'!I42),"")</f>
        <v/>
      </c>
      <c r="C353" s="381">
        <f>IF(AND('ABRIL 2026'!D42&lt;&gt;"",'ABRIL 2026'!Z42="POR RECOGER"),'ABRIL 2026'!D42,"")</f>
        <v/>
      </c>
      <c r="D353" s="381">
        <f>IF(AND('ABRIL 2026'!D42&lt;&gt;"",'ABRIL 2026'!Z42="POR RECOGER"),'ABRIL 2026'!F42,"")</f>
        <v/>
      </c>
      <c r="E353" s="381">
        <f>IF(AND('ABRIL 2026'!D42&lt;&gt;"",'ABRIL 2026'!Z42="POR RECOGER"),TEXT('ABRIL 2026'!G42,"DD/MM/YYYY"),"")</f>
        <v/>
      </c>
      <c r="F353" s="381">
        <f>IF(AND('ABRIL 2026'!D42&lt;&gt;"",'ABRIL 2026'!Z42="POR RECOGER"),'ABRIL 2026'!K42,"")</f>
        <v/>
      </c>
      <c r="G353" s="382">
        <f>IF(AND('ABRIL 2026'!D42&lt;&gt;"",'ABRIL 2026'!Z42="POR RECOGER"),'ABRIL 2026'!M42,"")</f>
        <v/>
      </c>
      <c r="H353" s="382">
        <f>IF(AND('ABRIL 2026'!D42&lt;&gt;"",'ABRIL 2026'!Z42="POR RECOGER"),'ABRIL 2026'!N42,"")</f>
        <v/>
      </c>
      <c r="I353" s="381">
        <f>IF(AND('ABRIL 2026'!D42&lt;&gt;"",'ABRIL 2026'!Z42="POR RECOGER"),'ABRIL 2026'!P42,"")</f>
        <v/>
      </c>
      <c r="J353" s="381">
        <f>IF(AND('ABRIL 2026'!D42&lt;&gt;"",'ABRIL 2026'!Z42="POR RECOGER"),'ABRIL 2026'!Q42,"")</f>
        <v/>
      </c>
      <c r="K353" s="381">
        <f>IF(AND('ABRIL 2026'!D42&lt;&gt;"",'ABRIL 2026'!Z42="POR RECOGER"),'ABRIL 2026'!Y42,"")</f>
        <v/>
      </c>
      <c r="L353" s="381">
        <f>IF(AND('ABRIL 2026'!D42&lt;&gt;"",'ABRIL 2026'!Z42="POR RECOGER"),'ABRIL 2026'!I42,"")</f>
        <v/>
      </c>
      <c r="P353" s="194" t="n"/>
      <c r="Q353" s="194" t="n"/>
      <c r="R353" s="194" t="n"/>
      <c r="S353" s="194" t="n"/>
      <c r="T353" s="194" t="n"/>
      <c r="U353" s="194" t="n"/>
      <c r="V353" s="194" t="n"/>
      <c r="W353" s="194" t="n"/>
      <c r="X353" s="194" t="n"/>
      <c r="Y353" s="194" t="n"/>
      <c r="Z353" s="194" t="n"/>
    </row>
    <row r="354" ht="15" customHeight="1" s="195">
      <c r="A354" s="381">
        <f>IF(AND('ABRIL 2026'!D43&lt;&gt;"",'ABRIL 2026'!Z43="POR RECOGER"),"ABR","")</f>
        <v/>
      </c>
      <c r="B354" s="381">
        <f>IF(AND('ABRIL 2026'!D43&lt;&gt;"",'ABRIL 2026'!Z43="POR RECOGER"),IF('ABRIL 2026'!Y43&lt;&gt;"",'ABRIL 2026'!Y43,'ABRIL 2026'!I43),"")</f>
        <v/>
      </c>
      <c r="C354" s="381">
        <f>IF(AND('ABRIL 2026'!D43&lt;&gt;"",'ABRIL 2026'!Z43="POR RECOGER"),'ABRIL 2026'!D43,"")</f>
        <v/>
      </c>
      <c r="D354" s="381">
        <f>IF(AND('ABRIL 2026'!D43&lt;&gt;"",'ABRIL 2026'!Z43="POR RECOGER"),'ABRIL 2026'!F43,"")</f>
        <v/>
      </c>
      <c r="E354" s="381">
        <f>IF(AND('ABRIL 2026'!D43&lt;&gt;"",'ABRIL 2026'!Z43="POR RECOGER"),TEXT('ABRIL 2026'!G43,"DD/MM/YYYY"),"")</f>
        <v/>
      </c>
      <c r="F354" s="381">
        <f>IF(AND('ABRIL 2026'!D43&lt;&gt;"",'ABRIL 2026'!Z43="POR RECOGER"),'ABRIL 2026'!K43,"")</f>
        <v/>
      </c>
      <c r="G354" s="382">
        <f>IF(AND('ABRIL 2026'!D43&lt;&gt;"",'ABRIL 2026'!Z43="POR RECOGER"),'ABRIL 2026'!M43,"")</f>
        <v/>
      </c>
      <c r="H354" s="382">
        <f>IF(AND('ABRIL 2026'!D43&lt;&gt;"",'ABRIL 2026'!Z43="POR RECOGER"),'ABRIL 2026'!N43,"")</f>
        <v/>
      </c>
      <c r="I354" s="381">
        <f>IF(AND('ABRIL 2026'!D43&lt;&gt;"",'ABRIL 2026'!Z43="POR RECOGER"),'ABRIL 2026'!P43,"")</f>
        <v/>
      </c>
      <c r="J354" s="381">
        <f>IF(AND('ABRIL 2026'!D43&lt;&gt;"",'ABRIL 2026'!Z43="POR RECOGER"),'ABRIL 2026'!Q43,"")</f>
        <v/>
      </c>
      <c r="K354" s="381">
        <f>IF(AND('ABRIL 2026'!D43&lt;&gt;"",'ABRIL 2026'!Z43="POR RECOGER"),'ABRIL 2026'!Y43,"")</f>
        <v/>
      </c>
      <c r="L354" s="381">
        <f>IF(AND('ABRIL 2026'!D43&lt;&gt;"",'ABRIL 2026'!Z43="POR RECOGER"),'ABRIL 2026'!I43,"")</f>
        <v/>
      </c>
      <c r="P354" s="194" t="n"/>
      <c r="Q354" s="194" t="n"/>
      <c r="R354" s="194" t="n"/>
      <c r="S354" s="194" t="n"/>
      <c r="T354" s="194" t="n"/>
      <c r="U354" s="194" t="n"/>
      <c r="V354" s="194" t="n"/>
      <c r="W354" s="194" t="n"/>
      <c r="X354" s="194" t="n"/>
      <c r="Y354" s="194" t="n"/>
      <c r="Z354" s="194" t="n"/>
    </row>
    <row r="355" ht="15" customHeight="1" s="195">
      <c r="A355" s="381">
        <f>IF(AND('ABRIL 2026'!D44&lt;&gt;"",'ABRIL 2026'!Z44="POR RECOGER"),"ABR","")</f>
        <v/>
      </c>
      <c r="B355" s="381">
        <f>IF(AND('ABRIL 2026'!D44&lt;&gt;"",'ABRIL 2026'!Z44="POR RECOGER"),IF('ABRIL 2026'!Y44&lt;&gt;"",'ABRIL 2026'!Y44,'ABRIL 2026'!I44),"")</f>
        <v/>
      </c>
      <c r="C355" s="381">
        <f>IF(AND('ABRIL 2026'!D44&lt;&gt;"",'ABRIL 2026'!Z44="POR RECOGER"),'ABRIL 2026'!D44,"")</f>
        <v/>
      </c>
      <c r="D355" s="381">
        <f>IF(AND('ABRIL 2026'!D44&lt;&gt;"",'ABRIL 2026'!Z44="POR RECOGER"),'ABRIL 2026'!F44,"")</f>
        <v/>
      </c>
      <c r="E355" s="381">
        <f>IF(AND('ABRIL 2026'!D44&lt;&gt;"",'ABRIL 2026'!Z44="POR RECOGER"),TEXT('ABRIL 2026'!G44,"DD/MM/YYYY"),"")</f>
        <v/>
      </c>
      <c r="F355" s="381">
        <f>IF(AND('ABRIL 2026'!D44&lt;&gt;"",'ABRIL 2026'!Z44="POR RECOGER"),'ABRIL 2026'!K44,"")</f>
        <v/>
      </c>
      <c r="G355" s="382">
        <f>IF(AND('ABRIL 2026'!D44&lt;&gt;"",'ABRIL 2026'!Z44="POR RECOGER"),'ABRIL 2026'!M44,"")</f>
        <v/>
      </c>
      <c r="H355" s="382">
        <f>IF(AND('ABRIL 2026'!D44&lt;&gt;"",'ABRIL 2026'!Z44="POR RECOGER"),'ABRIL 2026'!N44,"")</f>
        <v/>
      </c>
      <c r="I355" s="381">
        <f>IF(AND('ABRIL 2026'!D44&lt;&gt;"",'ABRIL 2026'!Z44="POR RECOGER"),'ABRIL 2026'!P44,"")</f>
        <v/>
      </c>
      <c r="J355" s="381">
        <f>IF(AND('ABRIL 2026'!D44&lt;&gt;"",'ABRIL 2026'!Z44="POR RECOGER"),'ABRIL 2026'!Q44,"")</f>
        <v/>
      </c>
      <c r="K355" s="381">
        <f>IF(AND('ABRIL 2026'!D44&lt;&gt;"",'ABRIL 2026'!Z44="POR RECOGER"),'ABRIL 2026'!Y44,"")</f>
        <v/>
      </c>
      <c r="L355" s="381">
        <f>IF(AND('ABRIL 2026'!D44&lt;&gt;"",'ABRIL 2026'!Z44="POR RECOGER"),'ABRIL 2026'!I44,"")</f>
        <v/>
      </c>
      <c r="P355" s="194" t="n"/>
      <c r="Q355" s="194" t="n"/>
      <c r="R355" s="194" t="n"/>
      <c r="S355" s="194" t="n"/>
      <c r="T355" s="194" t="n"/>
      <c r="U355" s="194" t="n"/>
      <c r="V355" s="194" t="n"/>
      <c r="W355" s="194" t="n"/>
      <c r="X355" s="194" t="n"/>
      <c r="Y355" s="194" t="n"/>
      <c r="Z355" s="194" t="n"/>
    </row>
    <row r="356" ht="15" customHeight="1" s="195">
      <c r="A356" s="381">
        <f>IF(AND('ABRIL 2026'!D45&lt;&gt;"",'ABRIL 2026'!Z45="POR RECOGER"),"ABR","")</f>
        <v/>
      </c>
      <c r="B356" s="381">
        <f>IF(AND('ABRIL 2026'!D45&lt;&gt;"",'ABRIL 2026'!Z45="POR RECOGER"),IF('ABRIL 2026'!Y45&lt;&gt;"",'ABRIL 2026'!Y45,'ABRIL 2026'!I45),"")</f>
        <v/>
      </c>
      <c r="C356" s="381">
        <f>IF(AND('ABRIL 2026'!D45&lt;&gt;"",'ABRIL 2026'!Z45="POR RECOGER"),'ABRIL 2026'!D45,"")</f>
        <v/>
      </c>
      <c r="D356" s="381">
        <f>IF(AND('ABRIL 2026'!D45&lt;&gt;"",'ABRIL 2026'!Z45="POR RECOGER"),'ABRIL 2026'!F45,"")</f>
        <v/>
      </c>
      <c r="E356" s="381">
        <f>IF(AND('ABRIL 2026'!D45&lt;&gt;"",'ABRIL 2026'!Z45="POR RECOGER"),TEXT('ABRIL 2026'!G45,"DD/MM/YYYY"),"")</f>
        <v/>
      </c>
      <c r="F356" s="381">
        <f>IF(AND('ABRIL 2026'!D45&lt;&gt;"",'ABRIL 2026'!Z45="POR RECOGER"),'ABRIL 2026'!K45,"")</f>
        <v/>
      </c>
      <c r="G356" s="382">
        <f>IF(AND('ABRIL 2026'!D45&lt;&gt;"",'ABRIL 2026'!Z45="POR RECOGER"),'ABRIL 2026'!M45,"")</f>
        <v/>
      </c>
      <c r="H356" s="382">
        <f>IF(AND('ABRIL 2026'!D45&lt;&gt;"",'ABRIL 2026'!Z45="POR RECOGER"),'ABRIL 2026'!N45,"")</f>
        <v/>
      </c>
      <c r="I356" s="381">
        <f>IF(AND('ABRIL 2026'!D45&lt;&gt;"",'ABRIL 2026'!Z45="POR RECOGER"),'ABRIL 2026'!P45,"")</f>
        <v/>
      </c>
      <c r="J356" s="381">
        <f>IF(AND('ABRIL 2026'!D45&lt;&gt;"",'ABRIL 2026'!Z45="POR RECOGER"),'ABRIL 2026'!Q45,"")</f>
        <v/>
      </c>
      <c r="K356" s="381">
        <f>IF(AND('ABRIL 2026'!D45&lt;&gt;"",'ABRIL 2026'!Z45="POR RECOGER"),'ABRIL 2026'!Y45,"")</f>
        <v/>
      </c>
      <c r="L356" s="381">
        <f>IF(AND('ABRIL 2026'!D45&lt;&gt;"",'ABRIL 2026'!Z45="POR RECOGER"),'ABRIL 2026'!I45,"")</f>
        <v/>
      </c>
      <c r="P356" s="194" t="n"/>
      <c r="Q356" s="194" t="n"/>
      <c r="R356" s="194" t="n"/>
      <c r="S356" s="194" t="n"/>
      <c r="T356" s="194" t="n"/>
      <c r="U356" s="194" t="n"/>
      <c r="V356" s="194" t="n"/>
      <c r="W356" s="194" t="n"/>
      <c r="X356" s="194" t="n"/>
      <c r="Y356" s="194" t="n"/>
      <c r="Z356" s="194" t="n"/>
    </row>
    <row r="357" ht="15" customHeight="1" s="195">
      <c r="A357" s="381">
        <f>IF(AND('ABRIL 2026'!D46&lt;&gt;"",'ABRIL 2026'!Z46="POR RECOGER"),"ABR","")</f>
        <v/>
      </c>
      <c r="B357" s="381">
        <f>IF(AND('ABRIL 2026'!D46&lt;&gt;"",'ABRIL 2026'!Z46="POR RECOGER"),IF('ABRIL 2026'!Y46&lt;&gt;"",'ABRIL 2026'!Y46,'ABRIL 2026'!I46),"")</f>
        <v/>
      </c>
      <c r="C357" s="381">
        <f>IF(AND('ABRIL 2026'!D46&lt;&gt;"",'ABRIL 2026'!Z46="POR RECOGER"),'ABRIL 2026'!D46,"")</f>
        <v/>
      </c>
      <c r="D357" s="381">
        <f>IF(AND('ABRIL 2026'!D46&lt;&gt;"",'ABRIL 2026'!Z46="POR RECOGER"),'ABRIL 2026'!F46,"")</f>
        <v/>
      </c>
      <c r="E357" s="381">
        <f>IF(AND('ABRIL 2026'!D46&lt;&gt;"",'ABRIL 2026'!Z46="POR RECOGER"),TEXT('ABRIL 2026'!G46,"DD/MM/YYYY"),"")</f>
        <v/>
      </c>
      <c r="F357" s="381">
        <f>IF(AND('ABRIL 2026'!D46&lt;&gt;"",'ABRIL 2026'!Z46="POR RECOGER"),'ABRIL 2026'!K46,"")</f>
        <v/>
      </c>
      <c r="G357" s="382">
        <f>IF(AND('ABRIL 2026'!D46&lt;&gt;"",'ABRIL 2026'!Z46="POR RECOGER"),'ABRIL 2026'!M46,"")</f>
        <v/>
      </c>
      <c r="H357" s="382">
        <f>IF(AND('ABRIL 2026'!D46&lt;&gt;"",'ABRIL 2026'!Z46="POR RECOGER"),'ABRIL 2026'!N46,"")</f>
        <v/>
      </c>
      <c r="I357" s="381">
        <f>IF(AND('ABRIL 2026'!D46&lt;&gt;"",'ABRIL 2026'!Z46="POR RECOGER"),'ABRIL 2026'!P46,"")</f>
        <v/>
      </c>
      <c r="J357" s="381">
        <f>IF(AND('ABRIL 2026'!D46&lt;&gt;"",'ABRIL 2026'!Z46="POR RECOGER"),'ABRIL 2026'!Q46,"")</f>
        <v/>
      </c>
      <c r="K357" s="381">
        <f>IF(AND('ABRIL 2026'!D46&lt;&gt;"",'ABRIL 2026'!Z46="POR RECOGER"),'ABRIL 2026'!Y46,"")</f>
        <v/>
      </c>
      <c r="L357" s="381">
        <f>IF(AND('ABRIL 2026'!D46&lt;&gt;"",'ABRIL 2026'!Z46="POR RECOGER"),'ABRIL 2026'!I46,"")</f>
        <v/>
      </c>
      <c r="P357" s="194" t="n"/>
      <c r="Q357" s="194" t="n"/>
      <c r="R357" s="194" t="n"/>
      <c r="S357" s="194" t="n"/>
      <c r="T357" s="194" t="n"/>
      <c r="U357" s="194" t="n"/>
      <c r="V357" s="194" t="n"/>
      <c r="W357" s="194" t="n"/>
      <c r="X357" s="194" t="n"/>
      <c r="Y357" s="194" t="n"/>
      <c r="Z357" s="194" t="n"/>
    </row>
    <row r="358" ht="15" customHeight="1" s="195">
      <c r="A358" s="381">
        <f>IF(AND('ABRIL 2026'!D47&lt;&gt;"",'ABRIL 2026'!Z47="POR RECOGER"),"ABR","")</f>
        <v/>
      </c>
      <c r="B358" s="381">
        <f>IF(AND('ABRIL 2026'!D47&lt;&gt;"",'ABRIL 2026'!Z47="POR RECOGER"),IF('ABRIL 2026'!Y47&lt;&gt;"",'ABRIL 2026'!Y47,'ABRIL 2026'!I47),"")</f>
        <v/>
      </c>
      <c r="C358" s="381">
        <f>IF(AND('ABRIL 2026'!D47&lt;&gt;"",'ABRIL 2026'!Z47="POR RECOGER"),'ABRIL 2026'!D47,"")</f>
        <v/>
      </c>
      <c r="D358" s="381">
        <f>IF(AND('ABRIL 2026'!D47&lt;&gt;"",'ABRIL 2026'!Z47="POR RECOGER"),'ABRIL 2026'!F47,"")</f>
        <v/>
      </c>
      <c r="E358" s="381">
        <f>IF(AND('ABRIL 2026'!D47&lt;&gt;"",'ABRIL 2026'!Z47="POR RECOGER"),TEXT('ABRIL 2026'!G47,"DD/MM/YYYY"),"")</f>
        <v/>
      </c>
      <c r="F358" s="381">
        <f>IF(AND('ABRIL 2026'!D47&lt;&gt;"",'ABRIL 2026'!Z47="POR RECOGER"),'ABRIL 2026'!K47,"")</f>
        <v/>
      </c>
      <c r="G358" s="382">
        <f>IF(AND('ABRIL 2026'!D47&lt;&gt;"",'ABRIL 2026'!Z47="POR RECOGER"),'ABRIL 2026'!M47,"")</f>
        <v/>
      </c>
      <c r="H358" s="382">
        <f>IF(AND('ABRIL 2026'!D47&lt;&gt;"",'ABRIL 2026'!Z47="POR RECOGER"),'ABRIL 2026'!N47,"")</f>
        <v/>
      </c>
      <c r="I358" s="381">
        <f>IF(AND('ABRIL 2026'!D47&lt;&gt;"",'ABRIL 2026'!Z47="POR RECOGER"),'ABRIL 2026'!P47,"")</f>
        <v/>
      </c>
      <c r="J358" s="381">
        <f>IF(AND('ABRIL 2026'!D47&lt;&gt;"",'ABRIL 2026'!Z47="POR RECOGER"),'ABRIL 2026'!Q47,"")</f>
        <v/>
      </c>
      <c r="K358" s="381">
        <f>IF(AND('ABRIL 2026'!D47&lt;&gt;"",'ABRIL 2026'!Z47="POR RECOGER"),'ABRIL 2026'!Y47,"")</f>
        <v/>
      </c>
      <c r="L358" s="381">
        <f>IF(AND('ABRIL 2026'!D47&lt;&gt;"",'ABRIL 2026'!Z47="POR RECOGER"),'ABRIL 2026'!I47,"")</f>
        <v/>
      </c>
      <c r="P358" s="194" t="n"/>
      <c r="Q358" s="194" t="n"/>
      <c r="R358" s="194" t="n"/>
      <c r="S358" s="194" t="n"/>
      <c r="T358" s="194" t="n"/>
      <c r="U358" s="194" t="n"/>
      <c r="V358" s="194" t="n"/>
      <c r="W358" s="194" t="n"/>
      <c r="X358" s="194" t="n"/>
      <c r="Y358" s="194" t="n"/>
      <c r="Z358" s="194" t="n"/>
    </row>
    <row r="359" ht="15" customHeight="1" s="195">
      <c r="A359" s="381">
        <f>IF(AND('ABRIL 2026'!D48&lt;&gt;"",'ABRIL 2026'!Z48="POR RECOGER"),"ABR","")</f>
        <v/>
      </c>
      <c r="B359" s="381">
        <f>IF(AND('ABRIL 2026'!D48&lt;&gt;"",'ABRIL 2026'!Z48="POR RECOGER"),IF('ABRIL 2026'!Y48&lt;&gt;"",'ABRIL 2026'!Y48,'ABRIL 2026'!I48),"")</f>
        <v/>
      </c>
      <c r="C359" s="381">
        <f>IF(AND('ABRIL 2026'!D48&lt;&gt;"",'ABRIL 2026'!Z48="POR RECOGER"),'ABRIL 2026'!D48,"")</f>
        <v/>
      </c>
      <c r="D359" s="381">
        <f>IF(AND('ABRIL 2026'!D48&lt;&gt;"",'ABRIL 2026'!Z48="POR RECOGER"),'ABRIL 2026'!F48,"")</f>
        <v/>
      </c>
      <c r="E359" s="381">
        <f>IF(AND('ABRIL 2026'!D48&lt;&gt;"",'ABRIL 2026'!Z48="POR RECOGER"),TEXT('ABRIL 2026'!G48,"DD/MM/YYYY"),"")</f>
        <v/>
      </c>
      <c r="F359" s="381">
        <f>IF(AND('ABRIL 2026'!D48&lt;&gt;"",'ABRIL 2026'!Z48="POR RECOGER"),'ABRIL 2026'!K48,"")</f>
        <v/>
      </c>
      <c r="G359" s="382">
        <f>IF(AND('ABRIL 2026'!D48&lt;&gt;"",'ABRIL 2026'!Z48="POR RECOGER"),'ABRIL 2026'!M48,"")</f>
        <v/>
      </c>
      <c r="H359" s="382">
        <f>IF(AND('ABRIL 2026'!D48&lt;&gt;"",'ABRIL 2026'!Z48="POR RECOGER"),'ABRIL 2026'!N48,"")</f>
        <v/>
      </c>
      <c r="I359" s="381">
        <f>IF(AND('ABRIL 2026'!D48&lt;&gt;"",'ABRIL 2026'!Z48="POR RECOGER"),'ABRIL 2026'!P48,"")</f>
        <v/>
      </c>
      <c r="J359" s="381">
        <f>IF(AND('ABRIL 2026'!D48&lt;&gt;"",'ABRIL 2026'!Z48="POR RECOGER"),'ABRIL 2026'!Q48,"")</f>
        <v/>
      </c>
      <c r="K359" s="381">
        <f>IF(AND('ABRIL 2026'!D48&lt;&gt;"",'ABRIL 2026'!Z48="POR RECOGER"),'ABRIL 2026'!Y48,"")</f>
        <v/>
      </c>
      <c r="L359" s="381">
        <f>IF(AND('ABRIL 2026'!D48&lt;&gt;"",'ABRIL 2026'!Z48="POR RECOGER"),'ABRIL 2026'!I48,"")</f>
        <v/>
      </c>
      <c r="P359" s="194" t="n"/>
      <c r="Q359" s="194" t="n"/>
      <c r="R359" s="194" t="n"/>
      <c r="S359" s="194" t="n"/>
      <c r="T359" s="194" t="n"/>
      <c r="U359" s="194" t="n"/>
      <c r="V359" s="194" t="n"/>
      <c r="W359" s="194" t="n"/>
      <c r="X359" s="194" t="n"/>
      <c r="Y359" s="194" t="n"/>
      <c r="Z359" s="194" t="n"/>
    </row>
    <row r="360" ht="15" customHeight="1" s="195">
      <c r="A360" s="381">
        <f>IF(AND('ABRIL 2026'!D49&lt;&gt;"",'ABRIL 2026'!Z49="POR RECOGER"),"ABR","")</f>
        <v/>
      </c>
      <c r="B360" s="381">
        <f>IF(AND('ABRIL 2026'!D49&lt;&gt;"",'ABRIL 2026'!Z49="POR RECOGER"),IF('ABRIL 2026'!Y49&lt;&gt;"",'ABRIL 2026'!Y49,'ABRIL 2026'!I49),"")</f>
        <v/>
      </c>
      <c r="C360" s="381">
        <f>IF(AND('ABRIL 2026'!D49&lt;&gt;"",'ABRIL 2026'!Z49="POR RECOGER"),'ABRIL 2026'!D49,"")</f>
        <v/>
      </c>
      <c r="D360" s="381">
        <f>IF(AND('ABRIL 2026'!D49&lt;&gt;"",'ABRIL 2026'!Z49="POR RECOGER"),'ABRIL 2026'!F49,"")</f>
        <v/>
      </c>
      <c r="E360" s="381">
        <f>IF(AND('ABRIL 2026'!D49&lt;&gt;"",'ABRIL 2026'!Z49="POR RECOGER"),TEXT('ABRIL 2026'!G49,"DD/MM/YYYY"),"")</f>
        <v/>
      </c>
      <c r="F360" s="381">
        <f>IF(AND('ABRIL 2026'!D49&lt;&gt;"",'ABRIL 2026'!Z49="POR RECOGER"),'ABRIL 2026'!K49,"")</f>
        <v/>
      </c>
      <c r="G360" s="382">
        <f>IF(AND('ABRIL 2026'!D49&lt;&gt;"",'ABRIL 2026'!Z49="POR RECOGER"),'ABRIL 2026'!M49,"")</f>
        <v/>
      </c>
      <c r="H360" s="382">
        <f>IF(AND('ABRIL 2026'!D49&lt;&gt;"",'ABRIL 2026'!Z49="POR RECOGER"),'ABRIL 2026'!N49,"")</f>
        <v/>
      </c>
      <c r="I360" s="381">
        <f>IF(AND('ABRIL 2026'!D49&lt;&gt;"",'ABRIL 2026'!Z49="POR RECOGER"),'ABRIL 2026'!P49,"")</f>
        <v/>
      </c>
      <c r="J360" s="381">
        <f>IF(AND('ABRIL 2026'!D49&lt;&gt;"",'ABRIL 2026'!Z49="POR RECOGER"),'ABRIL 2026'!Q49,"")</f>
        <v/>
      </c>
      <c r="K360" s="381">
        <f>IF(AND('ABRIL 2026'!D49&lt;&gt;"",'ABRIL 2026'!Z49="POR RECOGER"),'ABRIL 2026'!Y49,"")</f>
        <v/>
      </c>
      <c r="L360" s="381">
        <f>IF(AND('ABRIL 2026'!D49&lt;&gt;"",'ABRIL 2026'!Z49="POR RECOGER"),'ABRIL 2026'!I49,"")</f>
        <v/>
      </c>
      <c r="P360" s="194" t="n"/>
      <c r="Q360" s="194" t="n"/>
      <c r="R360" s="194" t="n"/>
      <c r="S360" s="194" t="n"/>
      <c r="T360" s="194" t="n"/>
      <c r="U360" s="194" t="n"/>
      <c r="V360" s="194" t="n"/>
      <c r="W360" s="194" t="n"/>
      <c r="X360" s="194" t="n"/>
      <c r="Y360" s="194" t="n"/>
      <c r="Z360" s="194" t="n"/>
    </row>
    <row r="361" ht="15" customHeight="1" s="195">
      <c r="A361" s="381">
        <f>IF(AND('ABRIL 2026'!D50&lt;&gt;"",'ABRIL 2026'!Z50="POR RECOGER"),"ABR","")</f>
        <v/>
      </c>
      <c r="B361" s="381">
        <f>IF(AND('ABRIL 2026'!D50&lt;&gt;"",'ABRIL 2026'!Z50="POR RECOGER"),IF('ABRIL 2026'!Y50&lt;&gt;"",'ABRIL 2026'!Y50,'ABRIL 2026'!I50),"")</f>
        <v/>
      </c>
      <c r="C361" s="381">
        <f>IF(AND('ABRIL 2026'!D50&lt;&gt;"",'ABRIL 2026'!Z50="POR RECOGER"),'ABRIL 2026'!D50,"")</f>
        <v/>
      </c>
      <c r="D361" s="381">
        <f>IF(AND('ABRIL 2026'!D50&lt;&gt;"",'ABRIL 2026'!Z50="POR RECOGER"),'ABRIL 2026'!F50,"")</f>
        <v/>
      </c>
      <c r="E361" s="381">
        <f>IF(AND('ABRIL 2026'!D50&lt;&gt;"",'ABRIL 2026'!Z50="POR RECOGER"),TEXT('ABRIL 2026'!G50,"DD/MM/YYYY"),"")</f>
        <v/>
      </c>
      <c r="F361" s="381">
        <f>IF(AND('ABRIL 2026'!D50&lt;&gt;"",'ABRIL 2026'!Z50="POR RECOGER"),'ABRIL 2026'!K50,"")</f>
        <v/>
      </c>
      <c r="G361" s="382">
        <f>IF(AND('ABRIL 2026'!D50&lt;&gt;"",'ABRIL 2026'!Z50="POR RECOGER"),'ABRIL 2026'!M50,"")</f>
        <v/>
      </c>
      <c r="H361" s="382">
        <f>IF(AND('ABRIL 2026'!D50&lt;&gt;"",'ABRIL 2026'!Z50="POR RECOGER"),'ABRIL 2026'!N50,"")</f>
        <v/>
      </c>
      <c r="I361" s="381">
        <f>IF(AND('ABRIL 2026'!D50&lt;&gt;"",'ABRIL 2026'!Z50="POR RECOGER"),'ABRIL 2026'!P50,"")</f>
        <v/>
      </c>
      <c r="J361" s="381">
        <f>IF(AND('ABRIL 2026'!D50&lt;&gt;"",'ABRIL 2026'!Z50="POR RECOGER"),'ABRIL 2026'!Q50,"")</f>
        <v/>
      </c>
      <c r="K361" s="381">
        <f>IF(AND('ABRIL 2026'!D50&lt;&gt;"",'ABRIL 2026'!Z50="POR RECOGER"),'ABRIL 2026'!Y50,"")</f>
        <v/>
      </c>
      <c r="L361" s="381">
        <f>IF(AND('ABRIL 2026'!D50&lt;&gt;"",'ABRIL 2026'!Z50="POR RECOGER"),'ABRIL 2026'!I50,"")</f>
        <v/>
      </c>
      <c r="P361" s="194" t="n"/>
      <c r="Q361" s="194" t="n"/>
      <c r="R361" s="194" t="n"/>
      <c r="S361" s="194" t="n"/>
      <c r="T361" s="194" t="n"/>
      <c r="U361" s="194" t="n"/>
      <c r="V361" s="194" t="n"/>
      <c r="W361" s="194" t="n"/>
      <c r="X361" s="194" t="n"/>
      <c r="Y361" s="194" t="n"/>
      <c r="Z361" s="194" t="n"/>
    </row>
    <row r="362" ht="15" customHeight="1" s="195">
      <c r="A362" s="381">
        <f>IF(AND('ABRIL 2026'!D51&lt;&gt;"",'ABRIL 2026'!Z51="POR RECOGER"),"ABR","")</f>
        <v/>
      </c>
      <c r="B362" s="381">
        <f>IF(AND('ABRIL 2026'!D51&lt;&gt;"",'ABRIL 2026'!Z51="POR RECOGER"),IF('ABRIL 2026'!Y51&lt;&gt;"",'ABRIL 2026'!Y51,'ABRIL 2026'!I51),"")</f>
        <v/>
      </c>
      <c r="C362" s="381">
        <f>IF(AND('ABRIL 2026'!D51&lt;&gt;"",'ABRIL 2026'!Z51="POR RECOGER"),'ABRIL 2026'!D51,"")</f>
        <v/>
      </c>
      <c r="D362" s="381">
        <f>IF(AND('ABRIL 2026'!D51&lt;&gt;"",'ABRIL 2026'!Z51="POR RECOGER"),'ABRIL 2026'!F51,"")</f>
        <v/>
      </c>
      <c r="E362" s="381">
        <f>IF(AND('ABRIL 2026'!D51&lt;&gt;"",'ABRIL 2026'!Z51="POR RECOGER"),TEXT('ABRIL 2026'!G51,"DD/MM/YYYY"),"")</f>
        <v/>
      </c>
      <c r="F362" s="381">
        <f>IF(AND('ABRIL 2026'!D51&lt;&gt;"",'ABRIL 2026'!Z51="POR RECOGER"),'ABRIL 2026'!K51,"")</f>
        <v/>
      </c>
      <c r="G362" s="382">
        <f>IF(AND('ABRIL 2026'!D51&lt;&gt;"",'ABRIL 2026'!Z51="POR RECOGER"),'ABRIL 2026'!M51,"")</f>
        <v/>
      </c>
      <c r="H362" s="382">
        <f>IF(AND('ABRIL 2026'!D51&lt;&gt;"",'ABRIL 2026'!Z51="POR RECOGER"),'ABRIL 2026'!N51,"")</f>
        <v/>
      </c>
      <c r="I362" s="381">
        <f>IF(AND('ABRIL 2026'!D51&lt;&gt;"",'ABRIL 2026'!Z51="POR RECOGER"),'ABRIL 2026'!P51,"")</f>
        <v/>
      </c>
      <c r="J362" s="381">
        <f>IF(AND('ABRIL 2026'!D51&lt;&gt;"",'ABRIL 2026'!Z51="POR RECOGER"),'ABRIL 2026'!Q51,"")</f>
        <v/>
      </c>
      <c r="K362" s="381">
        <f>IF(AND('ABRIL 2026'!D51&lt;&gt;"",'ABRIL 2026'!Z51="POR RECOGER"),'ABRIL 2026'!Y51,"")</f>
        <v/>
      </c>
      <c r="L362" s="381">
        <f>IF(AND('ABRIL 2026'!D51&lt;&gt;"",'ABRIL 2026'!Z51="POR RECOGER"),'ABRIL 2026'!I51,"")</f>
        <v/>
      </c>
      <c r="P362" s="194" t="n"/>
      <c r="Q362" s="194" t="n"/>
      <c r="R362" s="194" t="n"/>
      <c r="S362" s="194" t="n"/>
      <c r="T362" s="194" t="n"/>
      <c r="U362" s="194" t="n"/>
      <c r="V362" s="194" t="n"/>
      <c r="W362" s="194" t="n"/>
      <c r="X362" s="194" t="n"/>
      <c r="Y362" s="194" t="n"/>
      <c r="Z362" s="194" t="n"/>
    </row>
    <row r="363" ht="15" customHeight="1" s="195">
      <c r="A363" s="381">
        <f>IF(AND('ABRIL 2026'!D52&lt;&gt;"",'ABRIL 2026'!Z52="POR RECOGER"),"ABR","")</f>
        <v/>
      </c>
      <c r="B363" s="381">
        <f>IF(AND('ABRIL 2026'!D52&lt;&gt;"",'ABRIL 2026'!Z52="POR RECOGER"),IF('ABRIL 2026'!Y52&lt;&gt;"",'ABRIL 2026'!Y52,'ABRIL 2026'!I52),"")</f>
        <v/>
      </c>
      <c r="C363" s="381">
        <f>IF(AND('ABRIL 2026'!D52&lt;&gt;"",'ABRIL 2026'!Z52="POR RECOGER"),'ABRIL 2026'!D52,"")</f>
        <v/>
      </c>
      <c r="D363" s="381">
        <f>IF(AND('ABRIL 2026'!D52&lt;&gt;"",'ABRIL 2026'!Z52="POR RECOGER"),'ABRIL 2026'!F52,"")</f>
        <v/>
      </c>
      <c r="E363" s="381">
        <f>IF(AND('ABRIL 2026'!D52&lt;&gt;"",'ABRIL 2026'!Z52="POR RECOGER"),TEXT('ABRIL 2026'!G52,"DD/MM/YYYY"),"")</f>
        <v/>
      </c>
      <c r="F363" s="381">
        <f>IF(AND('ABRIL 2026'!D52&lt;&gt;"",'ABRIL 2026'!Z52="POR RECOGER"),'ABRIL 2026'!K52,"")</f>
        <v/>
      </c>
      <c r="G363" s="382">
        <f>IF(AND('ABRIL 2026'!D52&lt;&gt;"",'ABRIL 2026'!Z52="POR RECOGER"),'ABRIL 2026'!M52,"")</f>
        <v/>
      </c>
      <c r="H363" s="382">
        <f>IF(AND('ABRIL 2026'!D52&lt;&gt;"",'ABRIL 2026'!Z52="POR RECOGER"),'ABRIL 2026'!N52,"")</f>
        <v/>
      </c>
      <c r="I363" s="381">
        <f>IF(AND('ABRIL 2026'!D52&lt;&gt;"",'ABRIL 2026'!Z52="POR RECOGER"),'ABRIL 2026'!P52,"")</f>
        <v/>
      </c>
      <c r="J363" s="381">
        <f>IF(AND('ABRIL 2026'!D52&lt;&gt;"",'ABRIL 2026'!Z52="POR RECOGER"),'ABRIL 2026'!Q52,"")</f>
        <v/>
      </c>
      <c r="K363" s="381">
        <f>IF(AND('ABRIL 2026'!D52&lt;&gt;"",'ABRIL 2026'!Z52="POR RECOGER"),'ABRIL 2026'!Y52,"")</f>
        <v/>
      </c>
      <c r="L363" s="381">
        <f>IF(AND('ABRIL 2026'!D52&lt;&gt;"",'ABRIL 2026'!Z52="POR RECOGER"),'ABRIL 2026'!I52,"")</f>
        <v/>
      </c>
      <c r="P363" s="194" t="n"/>
      <c r="Q363" s="194" t="n"/>
      <c r="R363" s="194" t="n"/>
      <c r="S363" s="194" t="n"/>
      <c r="T363" s="194" t="n"/>
      <c r="U363" s="194" t="n"/>
      <c r="V363" s="194" t="n"/>
      <c r="W363" s="194" t="n"/>
      <c r="X363" s="194" t="n"/>
      <c r="Y363" s="194" t="n"/>
      <c r="Z363" s="194" t="n"/>
    </row>
    <row r="364" ht="15" customHeight="1" s="195">
      <c r="A364" s="381">
        <f>IF(AND('ABRIL 2026'!D53&lt;&gt;"",'ABRIL 2026'!Z53="POR RECOGER"),"ABR","")</f>
        <v/>
      </c>
      <c r="B364" s="381">
        <f>IF(AND('ABRIL 2026'!D53&lt;&gt;"",'ABRIL 2026'!Z53="POR RECOGER"),IF('ABRIL 2026'!Y53&lt;&gt;"",'ABRIL 2026'!Y53,'ABRIL 2026'!I53),"")</f>
        <v/>
      </c>
      <c r="C364" s="381">
        <f>IF(AND('ABRIL 2026'!D53&lt;&gt;"",'ABRIL 2026'!Z53="POR RECOGER"),'ABRIL 2026'!D53,"")</f>
        <v/>
      </c>
      <c r="D364" s="381">
        <f>IF(AND('ABRIL 2026'!D53&lt;&gt;"",'ABRIL 2026'!Z53="POR RECOGER"),'ABRIL 2026'!F53,"")</f>
        <v/>
      </c>
      <c r="E364" s="381">
        <f>IF(AND('ABRIL 2026'!D53&lt;&gt;"",'ABRIL 2026'!Z53="POR RECOGER"),TEXT('ABRIL 2026'!G53,"DD/MM/YYYY"),"")</f>
        <v/>
      </c>
      <c r="F364" s="381">
        <f>IF(AND('ABRIL 2026'!D53&lt;&gt;"",'ABRIL 2026'!Z53="POR RECOGER"),'ABRIL 2026'!K53,"")</f>
        <v/>
      </c>
      <c r="G364" s="382">
        <f>IF(AND('ABRIL 2026'!D53&lt;&gt;"",'ABRIL 2026'!Z53="POR RECOGER"),'ABRIL 2026'!M53,"")</f>
        <v/>
      </c>
      <c r="H364" s="382">
        <f>IF(AND('ABRIL 2026'!D53&lt;&gt;"",'ABRIL 2026'!Z53="POR RECOGER"),'ABRIL 2026'!N53,"")</f>
        <v/>
      </c>
      <c r="I364" s="381">
        <f>IF(AND('ABRIL 2026'!D53&lt;&gt;"",'ABRIL 2026'!Z53="POR RECOGER"),'ABRIL 2026'!P53,"")</f>
        <v/>
      </c>
      <c r="J364" s="381">
        <f>IF(AND('ABRIL 2026'!D53&lt;&gt;"",'ABRIL 2026'!Z53="POR RECOGER"),'ABRIL 2026'!Q53,"")</f>
        <v/>
      </c>
      <c r="K364" s="381">
        <f>IF(AND('ABRIL 2026'!D53&lt;&gt;"",'ABRIL 2026'!Z53="POR RECOGER"),'ABRIL 2026'!Y53,"")</f>
        <v/>
      </c>
      <c r="L364" s="381">
        <f>IF(AND('ABRIL 2026'!D53&lt;&gt;"",'ABRIL 2026'!Z53="POR RECOGER"),'ABRIL 2026'!I53,"")</f>
        <v/>
      </c>
      <c r="P364" s="194" t="n"/>
      <c r="Q364" s="194" t="n"/>
      <c r="R364" s="194" t="n"/>
      <c r="S364" s="194" t="n"/>
      <c r="T364" s="194" t="n"/>
      <c r="U364" s="194" t="n"/>
      <c r="V364" s="194" t="n"/>
      <c r="W364" s="194" t="n"/>
      <c r="X364" s="194" t="n"/>
      <c r="Y364" s="194" t="n"/>
      <c r="Z364" s="194" t="n"/>
    </row>
    <row r="365" ht="15" customHeight="1" s="195">
      <c r="A365" s="381">
        <f>IF(AND('ABRIL 2026'!D54&lt;&gt;"",'ABRIL 2026'!Z54="POR RECOGER"),"ABR","")</f>
        <v/>
      </c>
      <c r="B365" s="381">
        <f>IF(AND('ABRIL 2026'!D54&lt;&gt;"",'ABRIL 2026'!Z54="POR RECOGER"),IF('ABRIL 2026'!Y54&lt;&gt;"",'ABRIL 2026'!Y54,'ABRIL 2026'!I54),"")</f>
        <v/>
      </c>
      <c r="C365" s="381">
        <f>IF(AND('ABRIL 2026'!D54&lt;&gt;"",'ABRIL 2026'!Z54="POR RECOGER"),'ABRIL 2026'!D54,"")</f>
        <v/>
      </c>
      <c r="D365" s="381">
        <f>IF(AND('ABRIL 2026'!D54&lt;&gt;"",'ABRIL 2026'!Z54="POR RECOGER"),'ABRIL 2026'!F54,"")</f>
        <v/>
      </c>
      <c r="E365" s="381">
        <f>IF(AND('ABRIL 2026'!D54&lt;&gt;"",'ABRIL 2026'!Z54="POR RECOGER"),TEXT('ABRIL 2026'!G54,"DD/MM/YYYY"),"")</f>
        <v/>
      </c>
      <c r="F365" s="381">
        <f>IF(AND('ABRIL 2026'!D54&lt;&gt;"",'ABRIL 2026'!Z54="POR RECOGER"),'ABRIL 2026'!K54,"")</f>
        <v/>
      </c>
      <c r="G365" s="382">
        <f>IF(AND('ABRIL 2026'!D54&lt;&gt;"",'ABRIL 2026'!Z54="POR RECOGER"),'ABRIL 2026'!M54,"")</f>
        <v/>
      </c>
      <c r="H365" s="382">
        <f>IF(AND('ABRIL 2026'!D54&lt;&gt;"",'ABRIL 2026'!Z54="POR RECOGER"),'ABRIL 2026'!N54,"")</f>
        <v/>
      </c>
      <c r="I365" s="381">
        <f>IF(AND('ABRIL 2026'!D54&lt;&gt;"",'ABRIL 2026'!Z54="POR RECOGER"),'ABRIL 2026'!P54,"")</f>
        <v/>
      </c>
      <c r="J365" s="381">
        <f>IF(AND('ABRIL 2026'!D54&lt;&gt;"",'ABRIL 2026'!Z54="POR RECOGER"),'ABRIL 2026'!Q54,"")</f>
        <v/>
      </c>
      <c r="K365" s="381">
        <f>IF(AND('ABRIL 2026'!D54&lt;&gt;"",'ABRIL 2026'!Z54="POR RECOGER"),'ABRIL 2026'!Y54,"")</f>
        <v/>
      </c>
      <c r="L365" s="381">
        <f>IF(AND('ABRIL 2026'!D54&lt;&gt;"",'ABRIL 2026'!Z54="POR RECOGER"),'ABRIL 2026'!I54,"")</f>
        <v/>
      </c>
      <c r="P365" s="194" t="n"/>
      <c r="Q365" s="194" t="n"/>
      <c r="R365" s="194" t="n"/>
      <c r="S365" s="194" t="n"/>
      <c r="T365" s="194" t="n"/>
      <c r="U365" s="194" t="n"/>
      <c r="V365" s="194" t="n"/>
      <c r="W365" s="194" t="n"/>
      <c r="X365" s="194" t="n"/>
      <c r="Y365" s="194" t="n"/>
      <c r="Z365" s="194" t="n"/>
    </row>
    <row r="366" ht="15" customHeight="1" s="195">
      <c r="A366" s="381">
        <f>IF(AND('ABRIL 2026'!D55&lt;&gt;"",'ABRIL 2026'!Z55="POR RECOGER"),"ABR","")</f>
        <v/>
      </c>
      <c r="B366" s="381">
        <f>IF(AND('ABRIL 2026'!D55&lt;&gt;"",'ABRIL 2026'!Z55="POR RECOGER"),IF('ABRIL 2026'!Y55&lt;&gt;"",'ABRIL 2026'!Y55,'ABRIL 2026'!I55),"")</f>
        <v/>
      </c>
      <c r="C366" s="381">
        <f>IF(AND('ABRIL 2026'!D55&lt;&gt;"",'ABRIL 2026'!Z55="POR RECOGER"),'ABRIL 2026'!D55,"")</f>
        <v/>
      </c>
      <c r="D366" s="381">
        <f>IF(AND('ABRIL 2026'!D55&lt;&gt;"",'ABRIL 2026'!Z55="POR RECOGER"),'ABRIL 2026'!F55,"")</f>
        <v/>
      </c>
      <c r="E366" s="381">
        <f>IF(AND('ABRIL 2026'!D55&lt;&gt;"",'ABRIL 2026'!Z55="POR RECOGER"),TEXT('ABRIL 2026'!G55,"DD/MM/YYYY"),"")</f>
        <v/>
      </c>
      <c r="F366" s="381">
        <f>IF(AND('ABRIL 2026'!D55&lt;&gt;"",'ABRIL 2026'!Z55="POR RECOGER"),'ABRIL 2026'!K55,"")</f>
        <v/>
      </c>
      <c r="G366" s="382">
        <f>IF(AND('ABRIL 2026'!D55&lt;&gt;"",'ABRIL 2026'!Z55="POR RECOGER"),'ABRIL 2026'!M55,"")</f>
        <v/>
      </c>
      <c r="H366" s="382">
        <f>IF(AND('ABRIL 2026'!D55&lt;&gt;"",'ABRIL 2026'!Z55="POR RECOGER"),'ABRIL 2026'!N55,"")</f>
        <v/>
      </c>
      <c r="I366" s="381">
        <f>IF(AND('ABRIL 2026'!D55&lt;&gt;"",'ABRIL 2026'!Z55="POR RECOGER"),'ABRIL 2026'!P55,"")</f>
        <v/>
      </c>
      <c r="J366" s="381">
        <f>IF(AND('ABRIL 2026'!D55&lt;&gt;"",'ABRIL 2026'!Z55="POR RECOGER"),'ABRIL 2026'!Q55,"")</f>
        <v/>
      </c>
      <c r="K366" s="381">
        <f>IF(AND('ABRIL 2026'!D55&lt;&gt;"",'ABRIL 2026'!Z55="POR RECOGER"),'ABRIL 2026'!Y55,"")</f>
        <v/>
      </c>
      <c r="L366" s="381">
        <f>IF(AND('ABRIL 2026'!D55&lt;&gt;"",'ABRIL 2026'!Z55="POR RECOGER"),'ABRIL 2026'!I55,"")</f>
        <v/>
      </c>
      <c r="P366" s="194" t="n"/>
      <c r="Q366" s="194" t="n"/>
      <c r="R366" s="194" t="n"/>
      <c r="S366" s="194" t="n"/>
      <c r="T366" s="194" t="n"/>
      <c r="U366" s="194" t="n"/>
      <c r="V366" s="194" t="n"/>
      <c r="W366" s="194" t="n"/>
      <c r="X366" s="194" t="n"/>
      <c r="Y366" s="194" t="n"/>
      <c r="Z366" s="194" t="n"/>
    </row>
    <row r="367" ht="15" customHeight="1" s="195">
      <c r="A367" s="381">
        <f>IF(AND('ABRIL 2026'!D56&lt;&gt;"",'ABRIL 2026'!Z56="POR RECOGER"),"ABR","")</f>
        <v/>
      </c>
      <c r="B367" s="381">
        <f>IF(AND('ABRIL 2026'!D56&lt;&gt;"",'ABRIL 2026'!Z56="POR RECOGER"),IF('ABRIL 2026'!Y56&lt;&gt;"",'ABRIL 2026'!Y56,'ABRIL 2026'!I56),"")</f>
        <v/>
      </c>
      <c r="C367" s="381">
        <f>IF(AND('ABRIL 2026'!D56&lt;&gt;"",'ABRIL 2026'!Z56="POR RECOGER"),'ABRIL 2026'!D56,"")</f>
        <v/>
      </c>
      <c r="D367" s="381">
        <f>IF(AND('ABRIL 2026'!D56&lt;&gt;"",'ABRIL 2026'!Z56="POR RECOGER"),'ABRIL 2026'!F56,"")</f>
        <v/>
      </c>
      <c r="E367" s="381">
        <f>IF(AND('ABRIL 2026'!D56&lt;&gt;"",'ABRIL 2026'!Z56="POR RECOGER"),TEXT('ABRIL 2026'!G56,"DD/MM/YYYY"),"")</f>
        <v/>
      </c>
      <c r="F367" s="381">
        <f>IF(AND('ABRIL 2026'!D56&lt;&gt;"",'ABRIL 2026'!Z56="POR RECOGER"),'ABRIL 2026'!K56,"")</f>
        <v/>
      </c>
      <c r="G367" s="382">
        <f>IF(AND('ABRIL 2026'!D56&lt;&gt;"",'ABRIL 2026'!Z56="POR RECOGER"),'ABRIL 2026'!M56,"")</f>
        <v/>
      </c>
      <c r="H367" s="382">
        <f>IF(AND('ABRIL 2026'!D56&lt;&gt;"",'ABRIL 2026'!Z56="POR RECOGER"),'ABRIL 2026'!N56,"")</f>
        <v/>
      </c>
      <c r="I367" s="381">
        <f>IF(AND('ABRIL 2026'!D56&lt;&gt;"",'ABRIL 2026'!Z56="POR RECOGER"),'ABRIL 2026'!P56,"")</f>
        <v/>
      </c>
      <c r="J367" s="381">
        <f>IF(AND('ABRIL 2026'!D56&lt;&gt;"",'ABRIL 2026'!Z56="POR RECOGER"),'ABRIL 2026'!Q56,"")</f>
        <v/>
      </c>
      <c r="K367" s="381">
        <f>IF(AND('ABRIL 2026'!D56&lt;&gt;"",'ABRIL 2026'!Z56="POR RECOGER"),'ABRIL 2026'!Y56,"")</f>
        <v/>
      </c>
      <c r="L367" s="381">
        <f>IF(AND('ABRIL 2026'!D56&lt;&gt;"",'ABRIL 2026'!Z56="POR RECOGER"),'ABRIL 2026'!I56,"")</f>
        <v/>
      </c>
      <c r="P367" s="194" t="n"/>
      <c r="Q367" s="194" t="n"/>
      <c r="R367" s="194" t="n"/>
      <c r="S367" s="194" t="n"/>
      <c r="T367" s="194" t="n"/>
      <c r="U367" s="194" t="n"/>
      <c r="V367" s="194" t="n"/>
      <c r="W367" s="194" t="n"/>
      <c r="X367" s="194" t="n"/>
      <c r="Y367" s="194" t="n"/>
      <c r="Z367" s="194" t="n"/>
    </row>
    <row r="368" ht="15" customHeight="1" s="195">
      <c r="A368" s="381">
        <f>IF(AND('ABRIL 2026'!D57&lt;&gt;"",'ABRIL 2026'!Z57="POR RECOGER"),"ABR","")</f>
        <v/>
      </c>
      <c r="B368" s="381">
        <f>IF(AND('ABRIL 2026'!D57&lt;&gt;"",'ABRIL 2026'!Z57="POR RECOGER"),IF('ABRIL 2026'!Y57&lt;&gt;"",'ABRIL 2026'!Y57,'ABRIL 2026'!I57),"")</f>
        <v/>
      </c>
      <c r="C368" s="381">
        <f>IF(AND('ABRIL 2026'!D57&lt;&gt;"",'ABRIL 2026'!Z57="POR RECOGER"),'ABRIL 2026'!D57,"")</f>
        <v/>
      </c>
      <c r="D368" s="381">
        <f>IF(AND('ABRIL 2026'!D57&lt;&gt;"",'ABRIL 2026'!Z57="POR RECOGER"),'ABRIL 2026'!F57,"")</f>
        <v/>
      </c>
      <c r="E368" s="381">
        <f>IF(AND('ABRIL 2026'!D57&lt;&gt;"",'ABRIL 2026'!Z57="POR RECOGER"),TEXT('ABRIL 2026'!G57,"DD/MM/YYYY"),"")</f>
        <v/>
      </c>
      <c r="F368" s="381">
        <f>IF(AND('ABRIL 2026'!D57&lt;&gt;"",'ABRIL 2026'!Z57="POR RECOGER"),'ABRIL 2026'!K57,"")</f>
        <v/>
      </c>
      <c r="G368" s="382">
        <f>IF(AND('ABRIL 2026'!D57&lt;&gt;"",'ABRIL 2026'!Z57="POR RECOGER"),'ABRIL 2026'!M57,"")</f>
        <v/>
      </c>
      <c r="H368" s="382">
        <f>IF(AND('ABRIL 2026'!D57&lt;&gt;"",'ABRIL 2026'!Z57="POR RECOGER"),'ABRIL 2026'!N57,"")</f>
        <v/>
      </c>
      <c r="I368" s="381">
        <f>IF(AND('ABRIL 2026'!D57&lt;&gt;"",'ABRIL 2026'!Z57="POR RECOGER"),'ABRIL 2026'!P57,"")</f>
        <v/>
      </c>
      <c r="J368" s="381">
        <f>IF(AND('ABRIL 2026'!D57&lt;&gt;"",'ABRIL 2026'!Z57="POR RECOGER"),'ABRIL 2026'!Q57,"")</f>
        <v/>
      </c>
      <c r="K368" s="381">
        <f>IF(AND('ABRIL 2026'!D57&lt;&gt;"",'ABRIL 2026'!Z57="POR RECOGER"),'ABRIL 2026'!Y57,"")</f>
        <v/>
      </c>
      <c r="L368" s="381">
        <f>IF(AND('ABRIL 2026'!D57&lt;&gt;"",'ABRIL 2026'!Z57="POR RECOGER"),'ABRIL 2026'!I57,"")</f>
        <v/>
      </c>
      <c r="P368" s="194" t="n"/>
      <c r="Q368" s="194" t="n"/>
      <c r="R368" s="194" t="n"/>
      <c r="S368" s="194" t="n"/>
      <c r="T368" s="194" t="n"/>
      <c r="U368" s="194" t="n"/>
      <c r="V368" s="194" t="n"/>
      <c r="W368" s="194" t="n"/>
      <c r="X368" s="194" t="n"/>
      <c r="Y368" s="194" t="n"/>
      <c r="Z368" s="194" t="n"/>
    </row>
    <row r="369" ht="15" customHeight="1" s="195">
      <c r="A369" s="381">
        <f>IF(AND('ABRIL 2026'!D58&lt;&gt;"",'ABRIL 2026'!Z58="POR RECOGER"),"ABR","")</f>
        <v/>
      </c>
      <c r="B369" s="381">
        <f>IF(AND('ABRIL 2026'!D58&lt;&gt;"",'ABRIL 2026'!Z58="POR RECOGER"),IF('ABRIL 2026'!Y58&lt;&gt;"",'ABRIL 2026'!Y58,'ABRIL 2026'!I58),"")</f>
        <v/>
      </c>
      <c r="C369" s="381">
        <f>IF(AND('ABRIL 2026'!D58&lt;&gt;"",'ABRIL 2026'!Z58="POR RECOGER"),'ABRIL 2026'!D58,"")</f>
        <v/>
      </c>
      <c r="D369" s="381">
        <f>IF(AND('ABRIL 2026'!D58&lt;&gt;"",'ABRIL 2026'!Z58="POR RECOGER"),'ABRIL 2026'!F58,"")</f>
        <v/>
      </c>
      <c r="E369" s="381">
        <f>IF(AND('ABRIL 2026'!D58&lt;&gt;"",'ABRIL 2026'!Z58="POR RECOGER"),TEXT('ABRIL 2026'!G58,"DD/MM/YYYY"),"")</f>
        <v/>
      </c>
      <c r="F369" s="381">
        <f>IF(AND('ABRIL 2026'!D58&lt;&gt;"",'ABRIL 2026'!Z58="POR RECOGER"),'ABRIL 2026'!K58,"")</f>
        <v/>
      </c>
      <c r="G369" s="382">
        <f>IF(AND('ABRIL 2026'!D58&lt;&gt;"",'ABRIL 2026'!Z58="POR RECOGER"),'ABRIL 2026'!M58,"")</f>
        <v/>
      </c>
      <c r="H369" s="382">
        <f>IF(AND('ABRIL 2026'!D58&lt;&gt;"",'ABRIL 2026'!Z58="POR RECOGER"),'ABRIL 2026'!N58,"")</f>
        <v/>
      </c>
      <c r="I369" s="381">
        <f>IF(AND('ABRIL 2026'!D58&lt;&gt;"",'ABRIL 2026'!Z58="POR RECOGER"),'ABRIL 2026'!P58,"")</f>
        <v/>
      </c>
      <c r="J369" s="381">
        <f>IF(AND('ABRIL 2026'!D58&lt;&gt;"",'ABRIL 2026'!Z58="POR RECOGER"),'ABRIL 2026'!Q58,"")</f>
        <v/>
      </c>
      <c r="K369" s="381">
        <f>IF(AND('ABRIL 2026'!D58&lt;&gt;"",'ABRIL 2026'!Z58="POR RECOGER"),'ABRIL 2026'!Y58,"")</f>
        <v/>
      </c>
      <c r="L369" s="381">
        <f>IF(AND('ABRIL 2026'!D58&lt;&gt;"",'ABRIL 2026'!Z58="POR RECOGER"),'ABRIL 2026'!I58,"")</f>
        <v/>
      </c>
      <c r="P369" s="194" t="n"/>
      <c r="Q369" s="194" t="n"/>
      <c r="R369" s="194" t="n"/>
      <c r="S369" s="194" t="n"/>
      <c r="T369" s="194" t="n"/>
      <c r="U369" s="194" t="n"/>
      <c r="V369" s="194" t="n"/>
      <c r="W369" s="194" t="n"/>
      <c r="X369" s="194" t="n"/>
      <c r="Y369" s="194" t="n"/>
      <c r="Z369" s="194" t="n"/>
    </row>
    <row r="370" ht="15" customHeight="1" s="195">
      <c r="A370" s="381">
        <f>IF(AND('ABRIL 2026'!D59&lt;&gt;"",'ABRIL 2026'!Z59="POR RECOGER"),"ABR","")</f>
        <v/>
      </c>
      <c r="B370" s="381">
        <f>IF(AND('ABRIL 2026'!D59&lt;&gt;"",'ABRIL 2026'!Z59="POR RECOGER"),IF('ABRIL 2026'!Y59&lt;&gt;"",'ABRIL 2026'!Y59,'ABRIL 2026'!I59),"")</f>
        <v/>
      </c>
      <c r="C370" s="381">
        <f>IF(AND('ABRIL 2026'!D59&lt;&gt;"",'ABRIL 2026'!Z59="POR RECOGER"),'ABRIL 2026'!D59,"")</f>
        <v/>
      </c>
      <c r="D370" s="381">
        <f>IF(AND('ABRIL 2026'!D59&lt;&gt;"",'ABRIL 2026'!Z59="POR RECOGER"),'ABRIL 2026'!F59,"")</f>
        <v/>
      </c>
      <c r="E370" s="381">
        <f>IF(AND('ABRIL 2026'!D59&lt;&gt;"",'ABRIL 2026'!Z59="POR RECOGER"),TEXT('ABRIL 2026'!G59,"DD/MM/YYYY"),"")</f>
        <v/>
      </c>
      <c r="F370" s="381">
        <f>IF(AND('ABRIL 2026'!D59&lt;&gt;"",'ABRIL 2026'!Z59="POR RECOGER"),'ABRIL 2026'!K59,"")</f>
        <v/>
      </c>
      <c r="G370" s="382">
        <f>IF(AND('ABRIL 2026'!D59&lt;&gt;"",'ABRIL 2026'!Z59="POR RECOGER"),'ABRIL 2026'!M59,"")</f>
        <v/>
      </c>
      <c r="H370" s="382">
        <f>IF(AND('ABRIL 2026'!D59&lt;&gt;"",'ABRIL 2026'!Z59="POR RECOGER"),'ABRIL 2026'!N59,"")</f>
        <v/>
      </c>
      <c r="I370" s="381">
        <f>IF(AND('ABRIL 2026'!D59&lt;&gt;"",'ABRIL 2026'!Z59="POR RECOGER"),'ABRIL 2026'!P59,"")</f>
        <v/>
      </c>
      <c r="J370" s="381">
        <f>IF(AND('ABRIL 2026'!D59&lt;&gt;"",'ABRIL 2026'!Z59="POR RECOGER"),'ABRIL 2026'!Q59,"")</f>
        <v/>
      </c>
      <c r="K370" s="381">
        <f>IF(AND('ABRIL 2026'!D59&lt;&gt;"",'ABRIL 2026'!Z59="POR RECOGER"),'ABRIL 2026'!Y59,"")</f>
        <v/>
      </c>
      <c r="L370" s="381">
        <f>IF(AND('ABRIL 2026'!D59&lt;&gt;"",'ABRIL 2026'!Z59="POR RECOGER"),'ABRIL 2026'!I59,"")</f>
        <v/>
      </c>
      <c r="P370" s="194" t="n"/>
      <c r="Q370" s="194" t="n"/>
      <c r="R370" s="194" t="n"/>
      <c r="S370" s="194" t="n"/>
      <c r="T370" s="194" t="n"/>
      <c r="U370" s="194" t="n"/>
      <c r="V370" s="194" t="n"/>
      <c r="W370" s="194" t="n"/>
      <c r="X370" s="194" t="n"/>
      <c r="Y370" s="194" t="n"/>
      <c r="Z370" s="194" t="n"/>
    </row>
    <row r="371" ht="15" customHeight="1" s="195">
      <c r="A371" s="381">
        <f>IF(AND('ABRIL 2026'!D60&lt;&gt;"",'ABRIL 2026'!Z60="POR RECOGER"),"ABR","")</f>
        <v/>
      </c>
      <c r="B371" s="381">
        <f>IF(AND('ABRIL 2026'!D60&lt;&gt;"",'ABRIL 2026'!Z60="POR RECOGER"),IF('ABRIL 2026'!Y60&lt;&gt;"",'ABRIL 2026'!Y60,'ABRIL 2026'!I60),"")</f>
        <v/>
      </c>
      <c r="C371" s="381">
        <f>IF(AND('ABRIL 2026'!D60&lt;&gt;"",'ABRIL 2026'!Z60="POR RECOGER"),'ABRIL 2026'!D60,"")</f>
        <v/>
      </c>
      <c r="D371" s="381">
        <f>IF(AND('ABRIL 2026'!D60&lt;&gt;"",'ABRIL 2026'!Z60="POR RECOGER"),'ABRIL 2026'!F60,"")</f>
        <v/>
      </c>
      <c r="E371" s="381">
        <f>IF(AND('ABRIL 2026'!D60&lt;&gt;"",'ABRIL 2026'!Z60="POR RECOGER"),TEXT('ABRIL 2026'!G60,"DD/MM/YYYY"),"")</f>
        <v/>
      </c>
      <c r="F371" s="381">
        <f>IF(AND('ABRIL 2026'!D60&lt;&gt;"",'ABRIL 2026'!Z60="POR RECOGER"),'ABRIL 2026'!K60,"")</f>
        <v/>
      </c>
      <c r="G371" s="382">
        <f>IF(AND('ABRIL 2026'!D60&lt;&gt;"",'ABRIL 2026'!Z60="POR RECOGER"),'ABRIL 2026'!M60,"")</f>
        <v/>
      </c>
      <c r="H371" s="382">
        <f>IF(AND('ABRIL 2026'!D60&lt;&gt;"",'ABRIL 2026'!Z60="POR RECOGER"),'ABRIL 2026'!N60,"")</f>
        <v/>
      </c>
      <c r="I371" s="381">
        <f>IF(AND('ABRIL 2026'!D60&lt;&gt;"",'ABRIL 2026'!Z60="POR RECOGER"),'ABRIL 2026'!P60,"")</f>
        <v/>
      </c>
      <c r="J371" s="381">
        <f>IF(AND('ABRIL 2026'!D60&lt;&gt;"",'ABRIL 2026'!Z60="POR RECOGER"),'ABRIL 2026'!Q60,"")</f>
        <v/>
      </c>
      <c r="K371" s="381">
        <f>IF(AND('ABRIL 2026'!D60&lt;&gt;"",'ABRIL 2026'!Z60="POR RECOGER"),'ABRIL 2026'!Y60,"")</f>
        <v/>
      </c>
      <c r="L371" s="381">
        <f>IF(AND('ABRIL 2026'!D60&lt;&gt;"",'ABRIL 2026'!Z60="POR RECOGER"),'ABRIL 2026'!I60,"")</f>
        <v/>
      </c>
      <c r="P371" s="194" t="n"/>
      <c r="Q371" s="194" t="n"/>
      <c r="R371" s="194" t="n"/>
      <c r="S371" s="194" t="n"/>
      <c r="T371" s="194" t="n"/>
      <c r="U371" s="194" t="n"/>
      <c r="V371" s="194" t="n"/>
      <c r="W371" s="194" t="n"/>
      <c r="X371" s="194" t="n"/>
      <c r="Y371" s="194" t="n"/>
      <c r="Z371" s="194" t="n"/>
    </row>
    <row r="372" ht="15" customHeight="1" s="195">
      <c r="A372" s="381">
        <f>IF(AND('ABRIL 2026'!D61&lt;&gt;"",'ABRIL 2026'!Z61="POR RECOGER"),"ABR","")</f>
        <v/>
      </c>
      <c r="B372" s="381">
        <f>IF(AND('ABRIL 2026'!D61&lt;&gt;"",'ABRIL 2026'!Z61="POR RECOGER"),IF('ABRIL 2026'!Y61&lt;&gt;"",'ABRIL 2026'!Y61,'ABRIL 2026'!I61),"")</f>
        <v/>
      </c>
      <c r="C372" s="381">
        <f>IF(AND('ABRIL 2026'!D61&lt;&gt;"",'ABRIL 2026'!Z61="POR RECOGER"),'ABRIL 2026'!D61,"")</f>
        <v/>
      </c>
      <c r="D372" s="381">
        <f>IF(AND('ABRIL 2026'!D61&lt;&gt;"",'ABRIL 2026'!Z61="POR RECOGER"),'ABRIL 2026'!F61,"")</f>
        <v/>
      </c>
      <c r="E372" s="381">
        <f>IF(AND('ABRIL 2026'!D61&lt;&gt;"",'ABRIL 2026'!Z61="POR RECOGER"),TEXT('ABRIL 2026'!G61,"DD/MM/YYYY"),"")</f>
        <v/>
      </c>
      <c r="F372" s="381">
        <f>IF(AND('ABRIL 2026'!D61&lt;&gt;"",'ABRIL 2026'!Z61="POR RECOGER"),'ABRIL 2026'!K61,"")</f>
        <v/>
      </c>
      <c r="G372" s="382">
        <f>IF(AND('ABRIL 2026'!D61&lt;&gt;"",'ABRIL 2026'!Z61="POR RECOGER"),'ABRIL 2026'!M61,"")</f>
        <v/>
      </c>
      <c r="H372" s="382">
        <f>IF(AND('ABRIL 2026'!D61&lt;&gt;"",'ABRIL 2026'!Z61="POR RECOGER"),'ABRIL 2026'!N61,"")</f>
        <v/>
      </c>
      <c r="I372" s="381">
        <f>IF(AND('ABRIL 2026'!D61&lt;&gt;"",'ABRIL 2026'!Z61="POR RECOGER"),'ABRIL 2026'!P61,"")</f>
        <v/>
      </c>
      <c r="J372" s="381">
        <f>IF(AND('ABRIL 2026'!D61&lt;&gt;"",'ABRIL 2026'!Z61="POR RECOGER"),'ABRIL 2026'!Q61,"")</f>
        <v/>
      </c>
      <c r="K372" s="381">
        <f>IF(AND('ABRIL 2026'!D61&lt;&gt;"",'ABRIL 2026'!Z61="POR RECOGER"),'ABRIL 2026'!Y61,"")</f>
        <v/>
      </c>
      <c r="L372" s="381">
        <f>IF(AND('ABRIL 2026'!D61&lt;&gt;"",'ABRIL 2026'!Z61="POR RECOGER"),'ABRIL 2026'!I61,"")</f>
        <v/>
      </c>
      <c r="P372" s="194" t="n"/>
      <c r="Q372" s="194" t="n"/>
      <c r="R372" s="194" t="n"/>
      <c r="S372" s="194" t="n"/>
      <c r="T372" s="194" t="n"/>
      <c r="U372" s="194" t="n"/>
      <c r="V372" s="194" t="n"/>
      <c r="W372" s="194" t="n"/>
      <c r="X372" s="194" t="n"/>
      <c r="Y372" s="194" t="n"/>
      <c r="Z372" s="194" t="n"/>
    </row>
    <row r="373" ht="15" customHeight="1" s="195">
      <c r="A373" s="381">
        <f>IF(AND('ABRIL 2026'!D62&lt;&gt;"",'ABRIL 2026'!Z62="POR RECOGER"),"ABR","")</f>
        <v/>
      </c>
      <c r="B373" s="381">
        <f>IF(AND('ABRIL 2026'!D62&lt;&gt;"",'ABRIL 2026'!Z62="POR RECOGER"),IF('ABRIL 2026'!Y62&lt;&gt;"",'ABRIL 2026'!Y62,'ABRIL 2026'!I62),"")</f>
        <v/>
      </c>
      <c r="C373" s="381">
        <f>IF(AND('ABRIL 2026'!D62&lt;&gt;"",'ABRIL 2026'!Z62="POR RECOGER"),'ABRIL 2026'!D62,"")</f>
        <v/>
      </c>
      <c r="D373" s="381">
        <f>IF(AND('ABRIL 2026'!D62&lt;&gt;"",'ABRIL 2026'!Z62="POR RECOGER"),'ABRIL 2026'!F62,"")</f>
        <v/>
      </c>
      <c r="E373" s="381">
        <f>IF(AND('ABRIL 2026'!D62&lt;&gt;"",'ABRIL 2026'!Z62="POR RECOGER"),TEXT('ABRIL 2026'!G62,"DD/MM/YYYY"),"")</f>
        <v/>
      </c>
      <c r="F373" s="381">
        <f>IF(AND('ABRIL 2026'!D62&lt;&gt;"",'ABRIL 2026'!Z62="POR RECOGER"),'ABRIL 2026'!K62,"")</f>
        <v/>
      </c>
      <c r="G373" s="382">
        <f>IF(AND('ABRIL 2026'!D62&lt;&gt;"",'ABRIL 2026'!Z62="POR RECOGER"),'ABRIL 2026'!M62,"")</f>
        <v/>
      </c>
      <c r="H373" s="382">
        <f>IF(AND('ABRIL 2026'!D62&lt;&gt;"",'ABRIL 2026'!Z62="POR RECOGER"),'ABRIL 2026'!N62,"")</f>
        <v/>
      </c>
      <c r="I373" s="381">
        <f>IF(AND('ABRIL 2026'!D62&lt;&gt;"",'ABRIL 2026'!Z62="POR RECOGER"),'ABRIL 2026'!P62,"")</f>
        <v/>
      </c>
      <c r="J373" s="381">
        <f>IF(AND('ABRIL 2026'!D62&lt;&gt;"",'ABRIL 2026'!Z62="POR RECOGER"),'ABRIL 2026'!Q62,"")</f>
        <v/>
      </c>
      <c r="K373" s="381">
        <f>IF(AND('ABRIL 2026'!D62&lt;&gt;"",'ABRIL 2026'!Z62="POR RECOGER"),'ABRIL 2026'!Y62,"")</f>
        <v/>
      </c>
      <c r="L373" s="381">
        <f>IF(AND('ABRIL 2026'!D62&lt;&gt;"",'ABRIL 2026'!Z62="POR RECOGER"),'ABRIL 2026'!I62,"")</f>
        <v/>
      </c>
      <c r="P373" s="194" t="n"/>
      <c r="Q373" s="194" t="n"/>
      <c r="R373" s="194" t="n"/>
      <c r="S373" s="194" t="n"/>
      <c r="T373" s="194" t="n"/>
      <c r="U373" s="194" t="n"/>
      <c r="V373" s="194" t="n"/>
      <c r="W373" s="194" t="n"/>
      <c r="X373" s="194" t="n"/>
      <c r="Y373" s="194" t="n"/>
      <c r="Z373" s="194" t="n"/>
    </row>
    <row r="374" ht="15" customHeight="1" s="195">
      <c r="A374" s="381">
        <f>IF(AND('ABRIL 2026'!D63&lt;&gt;"",'ABRIL 2026'!Z63="POR RECOGER"),"ABR","")</f>
        <v/>
      </c>
      <c r="B374" s="381">
        <f>IF(AND('ABRIL 2026'!D63&lt;&gt;"",'ABRIL 2026'!Z63="POR RECOGER"),IF('ABRIL 2026'!Y63&lt;&gt;"",'ABRIL 2026'!Y63,'ABRIL 2026'!I63),"")</f>
        <v/>
      </c>
      <c r="C374" s="381">
        <f>IF(AND('ABRIL 2026'!D63&lt;&gt;"",'ABRIL 2026'!Z63="POR RECOGER"),'ABRIL 2026'!D63,"")</f>
        <v/>
      </c>
      <c r="D374" s="381">
        <f>IF(AND('ABRIL 2026'!D63&lt;&gt;"",'ABRIL 2026'!Z63="POR RECOGER"),'ABRIL 2026'!F63,"")</f>
        <v/>
      </c>
      <c r="E374" s="381">
        <f>IF(AND('ABRIL 2026'!D63&lt;&gt;"",'ABRIL 2026'!Z63="POR RECOGER"),TEXT('ABRIL 2026'!G63,"DD/MM/YYYY"),"")</f>
        <v/>
      </c>
      <c r="F374" s="381">
        <f>IF(AND('ABRIL 2026'!D63&lt;&gt;"",'ABRIL 2026'!Z63="POR RECOGER"),'ABRIL 2026'!K63,"")</f>
        <v/>
      </c>
      <c r="G374" s="382">
        <f>IF(AND('ABRIL 2026'!D63&lt;&gt;"",'ABRIL 2026'!Z63="POR RECOGER"),'ABRIL 2026'!M63,"")</f>
        <v/>
      </c>
      <c r="H374" s="382">
        <f>IF(AND('ABRIL 2026'!D63&lt;&gt;"",'ABRIL 2026'!Z63="POR RECOGER"),'ABRIL 2026'!N63,"")</f>
        <v/>
      </c>
      <c r="I374" s="381">
        <f>IF(AND('ABRIL 2026'!D63&lt;&gt;"",'ABRIL 2026'!Z63="POR RECOGER"),'ABRIL 2026'!P63,"")</f>
        <v/>
      </c>
      <c r="J374" s="381">
        <f>IF(AND('ABRIL 2026'!D63&lt;&gt;"",'ABRIL 2026'!Z63="POR RECOGER"),'ABRIL 2026'!Q63,"")</f>
        <v/>
      </c>
      <c r="K374" s="381">
        <f>IF(AND('ABRIL 2026'!D63&lt;&gt;"",'ABRIL 2026'!Z63="POR RECOGER"),'ABRIL 2026'!Y63,"")</f>
        <v/>
      </c>
      <c r="L374" s="381">
        <f>IF(AND('ABRIL 2026'!D63&lt;&gt;"",'ABRIL 2026'!Z63="POR RECOGER"),'ABRIL 2026'!I63,"")</f>
        <v/>
      </c>
      <c r="P374" s="194" t="n"/>
      <c r="Q374" s="194" t="n"/>
      <c r="R374" s="194" t="n"/>
      <c r="S374" s="194" t="n"/>
      <c r="T374" s="194" t="n"/>
      <c r="U374" s="194" t="n"/>
      <c r="V374" s="194" t="n"/>
      <c r="W374" s="194" t="n"/>
      <c r="X374" s="194" t="n"/>
      <c r="Y374" s="194" t="n"/>
      <c r="Z374" s="194" t="n"/>
    </row>
    <row r="375" ht="15" customHeight="1" s="195">
      <c r="A375" s="381">
        <f>IF(AND('ABRIL 2026'!D64&lt;&gt;"",'ABRIL 2026'!Z64="POR RECOGER"),"ABR","")</f>
        <v/>
      </c>
      <c r="B375" s="381">
        <f>IF(AND('ABRIL 2026'!D64&lt;&gt;"",'ABRIL 2026'!Z64="POR RECOGER"),IF('ABRIL 2026'!Y64&lt;&gt;"",'ABRIL 2026'!Y64,'ABRIL 2026'!I64),"")</f>
        <v/>
      </c>
      <c r="C375" s="381">
        <f>IF(AND('ABRIL 2026'!D64&lt;&gt;"",'ABRIL 2026'!Z64="POR RECOGER"),'ABRIL 2026'!D64,"")</f>
        <v/>
      </c>
      <c r="D375" s="381">
        <f>IF(AND('ABRIL 2026'!D64&lt;&gt;"",'ABRIL 2026'!Z64="POR RECOGER"),'ABRIL 2026'!F64,"")</f>
        <v/>
      </c>
      <c r="E375" s="381">
        <f>IF(AND('ABRIL 2026'!D64&lt;&gt;"",'ABRIL 2026'!Z64="POR RECOGER"),TEXT('ABRIL 2026'!G64,"DD/MM/YYYY"),"")</f>
        <v/>
      </c>
      <c r="F375" s="381">
        <f>IF(AND('ABRIL 2026'!D64&lt;&gt;"",'ABRIL 2026'!Z64="POR RECOGER"),'ABRIL 2026'!K64,"")</f>
        <v/>
      </c>
      <c r="G375" s="382">
        <f>IF(AND('ABRIL 2026'!D64&lt;&gt;"",'ABRIL 2026'!Z64="POR RECOGER"),'ABRIL 2026'!M64,"")</f>
        <v/>
      </c>
      <c r="H375" s="382">
        <f>IF(AND('ABRIL 2026'!D64&lt;&gt;"",'ABRIL 2026'!Z64="POR RECOGER"),'ABRIL 2026'!N64,"")</f>
        <v/>
      </c>
      <c r="I375" s="381">
        <f>IF(AND('ABRIL 2026'!D64&lt;&gt;"",'ABRIL 2026'!Z64="POR RECOGER"),'ABRIL 2026'!P64,"")</f>
        <v/>
      </c>
      <c r="J375" s="381">
        <f>IF(AND('ABRIL 2026'!D64&lt;&gt;"",'ABRIL 2026'!Z64="POR RECOGER"),'ABRIL 2026'!Q64,"")</f>
        <v/>
      </c>
      <c r="K375" s="381">
        <f>IF(AND('ABRIL 2026'!D64&lt;&gt;"",'ABRIL 2026'!Z64="POR RECOGER"),'ABRIL 2026'!Y64,"")</f>
        <v/>
      </c>
      <c r="L375" s="381">
        <f>IF(AND('ABRIL 2026'!D64&lt;&gt;"",'ABRIL 2026'!Z64="POR RECOGER"),'ABRIL 2026'!I64,"")</f>
        <v/>
      </c>
      <c r="P375" s="194" t="n"/>
      <c r="Q375" s="194" t="n"/>
      <c r="R375" s="194" t="n"/>
      <c r="S375" s="194" t="n"/>
      <c r="T375" s="194" t="n"/>
      <c r="U375" s="194" t="n"/>
      <c r="V375" s="194" t="n"/>
      <c r="W375" s="194" t="n"/>
      <c r="X375" s="194" t="n"/>
      <c r="Y375" s="194" t="n"/>
      <c r="Z375" s="194" t="n"/>
    </row>
    <row r="376" ht="15" customHeight="1" s="195">
      <c r="A376" s="381">
        <f>IF(AND('ABRIL 2026'!D65&lt;&gt;"",'ABRIL 2026'!Z65="POR RECOGER"),"ABR","")</f>
        <v/>
      </c>
      <c r="B376" s="381">
        <f>IF(AND('ABRIL 2026'!D65&lt;&gt;"",'ABRIL 2026'!Z65="POR RECOGER"),IF('ABRIL 2026'!Y65&lt;&gt;"",'ABRIL 2026'!Y65,'ABRIL 2026'!I65),"")</f>
        <v/>
      </c>
      <c r="C376" s="381">
        <f>IF(AND('ABRIL 2026'!D65&lt;&gt;"",'ABRIL 2026'!Z65="POR RECOGER"),'ABRIL 2026'!D65,"")</f>
        <v/>
      </c>
      <c r="D376" s="381">
        <f>IF(AND('ABRIL 2026'!D65&lt;&gt;"",'ABRIL 2026'!Z65="POR RECOGER"),'ABRIL 2026'!F65,"")</f>
        <v/>
      </c>
      <c r="E376" s="381">
        <f>IF(AND('ABRIL 2026'!D65&lt;&gt;"",'ABRIL 2026'!Z65="POR RECOGER"),TEXT('ABRIL 2026'!G65,"DD/MM/YYYY"),"")</f>
        <v/>
      </c>
      <c r="F376" s="381">
        <f>IF(AND('ABRIL 2026'!D65&lt;&gt;"",'ABRIL 2026'!Z65="POR RECOGER"),'ABRIL 2026'!K65,"")</f>
        <v/>
      </c>
      <c r="G376" s="382">
        <f>IF(AND('ABRIL 2026'!D65&lt;&gt;"",'ABRIL 2026'!Z65="POR RECOGER"),'ABRIL 2026'!M65,"")</f>
        <v/>
      </c>
      <c r="H376" s="382">
        <f>IF(AND('ABRIL 2026'!D65&lt;&gt;"",'ABRIL 2026'!Z65="POR RECOGER"),'ABRIL 2026'!N65,"")</f>
        <v/>
      </c>
      <c r="I376" s="381">
        <f>IF(AND('ABRIL 2026'!D65&lt;&gt;"",'ABRIL 2026'!Z65="POR RECOGER"),'ABRIL 2026'!P65,"")</f>
        <v/>
      </c>
      <c r="J376" s="381">
        <f>IF(AND('ABRIL 2026'!D65&lt;&gt;"",'ABRIL 2026'!Z65="POR RECOGER"),'ABRIL 2026'!Q65,"")</f>
        <v/>
      </c>
      <c r="K376" s="381">
        <f>IF(AND('ABRIL 2026'!D65&lt;&gt;"",'ABRIL 2026'!Z65="POR RECOGER"),'ABRIL 2026'!Y65,"")</f>
        <v/>
      </c>
      <c r="L376" s="381">
        <f>IF(AND('ABRIL 2026'!D65&lt;&gt;"",'ABRIL 2026'!Z65="POR RECOGER"),'ABRIL 2026'!I65,"")</f>
        <v/>
      </c>
      <c r="P376" s="194" t="n"/>
      <c r="Q376" s="194" t="n"/>
      <c r="R376" s="194" t="n"/>
      <c r="S376" s="194" t="n"/>
      <c r="T376" s="194" t="n"/>
      <c r="U376" s="194" t="n"/>
      <c r="V376" s="194" t="n"/>
      <c r="W376" s="194" t="n"/>
      <c r="X376" s="194" t="n"/>
      <c r="Y376" s="194" t="n"/>
      <c r="Z376" s="194" t="n"/>
    </row>
    <row r="377" ht="15" customHeight="1" s="195">
      <c r="A377" s="381">
        <f>IF(AND('ABRIL 2026'!D66&lt;&gt;"",'ABRIL 2026'!Z66="POR RECOGER"),"ABR","")</f>
        <v/>
      </c>
      <c r="B377" s="381">
        <f>IF(AND('ABRIL 2026'!D66&lt;&gt;"",'ABRIL 2026'!Z66="POR RECOGER"),IF('ABRIL 2026'!Y66&lt;&gt;"",'ABRIL 2026'!Y66,'ABRIL 2026'!I66),"")</f>
        <v/>
      </c>
      <c r="C377" s="381">
        <f>IF(AND('ABRIL 2026'!D66&lt;&gt;"",'ABRIL 2026'!Z66="POR RECOGER"),'ABRIL 2026'!D66,"")</f>
        <v/>
      </c>
      <c r="D377" s="381">
        <f>IF(AND('ABRIL 2026'!D66&lt;&gt;"",'ABRIL 2026'!Z66="POR RECOGER"),'ABRIL 2026'!F66,"")</f>
        <v/>
      </c>
      <c r="E377" s="381">
        <f>IF(AND('ABRIL 2026'!D66&lt;&gt;"",'ABRIL 2026'!Z66="POR RECOGER"),TEXT('ABRIL 2026'!G66,"DD/MM/YYYY"),"")</f>
        <v/>
      </c>
      <c r="F377" s="381">
        <f>IF(AND('ABRIL 2026'!D66&lt;&gt;"",'ABRIL 2026'!Z66="POR RECOGER"),'ABRIL 2026'!K66,"")</f>
        <v/>
      </c>
      <c r="G377" s="382">
        <f>IF(AND('ABRIL 2026'!D66&lt;&gt;"",'ABRIL 2026'!Z66="POR RECOGER"),'ABRIL 2026'!M66,"")</f>
        <v/>
      </c>
      <c r="H377" s="382">
        <f>IF(AND('ABRIL 2026'!D66&lt;&gt;"",'ABRIL 2026'!Z66="POR RECOGER"),'ABRIL 2026'!N66,"")</f>
        <v/>
      </c>
      <c r="I377" s="381">
        <f>IF(AND('ABRIL 2026'!D66&lt;&gt;"",'ABRIL 2026'!Z66="POR RECOGER"),'ABRIL 2026'!P66,"")</f>
        <v/>
      </c>
      <c r="J377" s="381">
        <f>IF(AND('ABRIL 2026'!D66&lt;&gt;"",'ABRIL 2026'!Z66="POR RECOGER"),'ABRIL 2026'!Q66,"")</f>
        <v/>
      </c>
      <c r="K377" s="381">
        <f>IF(AND('ABRIL 2026'!D66&lt;&gt;"",'ABRIL 2026'!Z66="POR RECOGER"),'ABRIL 2026'!Y66,"")</f>
        <v/>
      </c>
      <c r="L377" s="381">
        <f>IF(AND('ABRIL 2026'!D66&lt;&gt;"",'ABRIL 2026'!Z66="POR RECOGER"),'ABRIL 2026'!I66,"")</f>
        <v/>
      </c>
      <c r="P377" s="194" t="n"/>
      <c r="Q377" s="194" t="n"/>
      <c r="R377" s="194" t="n"/>
      <c r="S377" s="194" t="n"/>
      <c r="T377" s="194" t="n"/>
      <c r="U377" s="194" t="n"/>
      <c r="V377" s="194" t="n"/>
      <c r="W377" s="194" t="n"/>
      <c r="X377" s="194" t="n"/>
      <c r="Y377" s="194" t="n"/>
      <c r="Z377" s="194" t="n"/>
    </row>
    <row r="378" ht="15" customHeight="1" s="195">
      <c r="A378" s="381">
        <f>IF(AND('ABRIL 2026'!D67&lt;&gt;"",'ABRIL 2026'!Z67="POR RECOGER"),"ABR","")</f>
        <v/>
      </c>
      <c r="B378" s="381">
        <f>IF(AND('ABRIL 2026'!D67&lt;&gt;"",'ABRIL 2026'!Z67="POR RECOGER"),IF('ABRIL 2026'!Y67&lt;&gt;"",'ABRIL 2026'!Y67,'ABRIL 2026'!I67),"")</f>
        <v/>
      </c>
      <c r="C378" s="381">
        <f>IF(AND('ABRIL 2026'!D67&lt;&gt;"",'ABRIL 2026'!Z67="POR RECOGER"),'ABRIL 2026'!D67,"")</f>
        <v/>
      </c>
      <c r="D378" s="381">
        <f>IF(AND('ABRIL 2026'!D67&lt;&gt;"",'ABRIL 2026'!Z67="POR RECOGER"),'ABRIL 2026'!F67,"")</f>
        <v/>
      </c>
      <c r="E378" s="381">
        <f>IF(AND('ABRIL 2026'!D67&lt;&gt;"",'ABRIL 2026'!Z67="POR RECOGER"),TEXT('ABRIL 2026'!G67,"DD/MM/YYYY"),"")</f>
        <v/>
      </c>
      <c r="F378" s="381">
        <f>IF(AND('ABRIL 2026'!D67&lt;&gt;"",'ABRIL 2026'!Z67="POR RECOGER"),'ABRIL 2026'!K67,"")</f>
        <v/>
      </c>
      <c r="G378" s="382">
        <f>IF(AND('ABRIL 2026'!D67&lt;&gt;"",'ABRIL 2026'!Z67="POR RECOGER"),'ABRIL 2026'!M67,"")</f>
        <v/>
      </c>
      <c r="H378" s="382">
        <f>IF(AND('ABRIL 2026'!D67&lt;&gt;"",'ABRIL 2026'!Z67="POR RECOGER"),'ABRIL 2026'!N67,"")</f>
        <v/>
      </c>
      <c r="I378" s="381">
        <f>IF(AND('ABRIL 2026'!D67&lt;&gt;"",'ABRIL 2026'!Z67="POR RECOGER"),'ABRIL 2026'!P67,"")</f>
        <v/>
      </c>
      <c r="J378" s="381">
        <f>IF(AND('ABRIL 2026'!D67&lt;&gt;"",'ABRIL 2026'!Z67="POR RECOGER"),'ABRIL 2026'!Q67,"")</f>
        <v/>
      </c>
      <c r="K378" s="381">
        <f>IF(AND('ABRIL 2026'!D67&lt;&gt;"",'ABRIL 2026'!Z67="POR RECOGER"),'ABRIL 2026'!Y67,"")</f>
        <v/>
      </c>
      <c r="L378" s="381">
        <f>IF(AND('ABRIL 2026'!D67&lt;&gt;"",'ABRIL 2026'!Z67="POR RECOGER"),'ABRIL 2026'!I67,"")</f>
        <v/>
      </c>
      <c r="P378" s="194" t="n"/>
      <c r="Q378" s="194" t="n"/>
      <c r="R378" s="194" t="n"/>
      <c r="S378" s="194" t="n"/>
      <c r="T378" s="194" t="n"/>
      <c r="U378" s="194" t="n"/>
      <c r="V378" s="194" t="n"/>
      <c r="W378" s="194" t="n"/>
      <c r="X378" s="194" t="n"/>
      <c r="Y378" s="194" t="n"/>
      <c r="Z378" s="194" t="n"/>
    </row>
    <row r="379" ht="15" customHeight="1" s="195">
      <c r="A379" s="381">
        <f>IF(AND('ABRIL 2026'!D68&lt;&gt;"",'ABRIL 2026'!Z68="POR RECOGER"),"ABR","")</f>
        <v/>
      </c>
      <c r="B379" s="381">
        <f>IF(AND('ABRIL 2026'!D68&lt;&gt;"",'ABRIL 2026'!Z68="POR RECOGER"),IF('ABRIL 2026'!Y68&lt;&gt;"",'ABRIL 2026'!Y68,'ABRIL 2026'!I68),"")</f>
        <v/>
      </c>
      <c r="C379" s="381">
        <f>IF(AND('ABRIL 2026'!D68&lt;&gt;"",'ABRIL 2026'!Z68="POR RECOGER"),'ABRIL 2026'!D68,"")</f>
        <v/>
      </c>
      <c r="D379" s="381">
        <f>IF(AND('ABRIL 2026'!D68&lt;&gt;"",'ABRIL 2026'!Z68="POR RECOGER"),'ABRIL 2026'!F68,"")</f>
        <v/>
      </c>
      <c r="E379" s="381">
        <f>IF(AND('ABRIL 2026'!D68&lt;&gt;"",'ABRIL 2026'!Z68="POR RECOGER"),TEXT('ABRIL 2026'!G68,"DD/MM/YYYY"),"")</f>
        <v/>
      </c>
      <c r="F379" s="381">
        <f>IF(AND('ABRIL 2026'!D68&lt;&gt;"",'ABRIL 2026'!Z68="POR RECOGER"),'ABRIL 2026'!K68,"")</f>
        <v/>
      </c>
      <c r="G379" s="382">
        <f>IF(AND('ABRIL 2026'!D68&lt;&gt;"",'ABRIL 2026'!Z68="POR RECOGER"),'ABRIL 2026'!M68,"")</f>
        <v/>
      </c>
      <c r="H379" s="382">
        <f>IF(AND('ABRIL 2026'!D68&lt;&gt;"",'ABRIL 2026'!Z68="POR RECOGER"),'ABRIL 2026'!N68,"")</f>
        <v/>
      </c>
      <c r="I379" s="381">
        <f>IF(AND('ABRIL 2026'!D68&lt;&gt;"",'ABRIL 2026'!Z68="POR RECOGER"),'ABRIL 2026'!P68,"")</f>
        <v/>
      </c>
      <c r="J379" s="381">
        <f>IF(AND('ABRIL 2026'!D68&lt;&gt;"",'ABRIL 2026'!Z68="POR RECOGER"),'ABRIL 2026'!Q68,"")</f>
        <v/>
      </c>
      <c r="K379" s="381">
        <f>IF(AND('ABRIL 2026'!D68&lt;&gt;"",'ABRIL 2026'!Z68="POR RECOGER"),'ABRIL 2026'!Y68,"")</f>
        <v/>
      </c>
      <c r="L379" s="381">
        <f>IF(AND('ABRIL 2026'!D68&lt;&gt;"",'ABRIL 2026'!Z68="POR RECOGER"),'ABRIL 2026'!I68,"")</f>
        <v/>
      </c>
      <c r="P379" s="194" t="n"/>
      <c r="Q379" s="194" t="n"/>
      <c r="R379" s="194" t="n"/>
      <c r="S379" s="194" t="n"/>
      <c r="T379" s="194" t="n"/>
      <c r="U379" s="194" t="n"/>
      <c r="V379" s="194" t="n"/>
      <c r="W379" s="194" t="n"/>
      <c r="X379" s="194" t="n"/>
      <c r="Y379" s="194" t="n"/>
      <c r="Z379" s="194" t="n"/>
    </row>
    <row r="380" ht="15" customHeight="1" s="195">
      <c r="A380" s="381">
        <f>IF(AND('ABRIL 2026'!D69&lt;&gt;"",'ABRIL 2026'!Z69="POR RECOGER"),"ABR","")</f>
        <v/>
      </c>
      <c r="B380" s="381">
        <f>IF(AND('ABRIL 2026'!D69&lt;&gt;"",'ABRIL 2026'!Z69="POR RECOGER"),IF('ABRIL 2026'!Y69&lt;&gt;"",'ABRIL 2026'!Y69,'ABRIL 2026'!I69),"")</f>
        <v/>
      </c>
      <c r="C380" s="381">
        <f>IF(AND('ABRIL 2026'!D69&lt;&gt;"",'ABRIL 2026'!Z69="POR RECOGER"),'ABRIL 2026'!D69,"")</f>
        <v/>
      </c>
      <c r="D380" s="381">
        <f>IF(AND('ABRIL 2026'!D69&lt;&gt;"",'ABRIL 2026'!Z69="POR RECOGER"),'ABRIL 2026'!F69,"")</f>
        <v/>
      </c>
      <c r="E380" s="381">
        <f>IF(AND('ABRIL 2026'!D69&lt;&gt;"",'ABRIL 2026'!Z69="POR RECOGER"),TEXT('ABRIL 2026'!G69,"DD/MM/YYYY"),"")</f>
        <v/>
      </c>
      <c r="F380" s="381">
        <f>IF(AND('ABRIL 2026'!D69&lt;&gt;"",'ABRIL 2026'!Z69="POR RECOGER"),'ABRIL 2026'!K69,"")</f>
        <v/>
      </c>
      <c r="G380" s="382">
        <f>IF(AND('ABRIL 2026'!D69&lt;&gt;"",'ABRIL 2026'!Z69="POR RECOGER"),'ABRIL 2026'!M69,"")</f>
        <v/>
      </c>
      <c r="H380" s="382">
        <f>IF(AND('ABRIL 2026'!D69&lt;&gt;"",'ABRIL 2026'!Z69="POR RECOGER"),'ABRIL 2026'!N69,"")</f>
        <v/>
      </c>
      <c r="I380" s="381">
        <f>IF(AND('ABRIL 2026'!D69&lt;&gt;"",'ABRIL 2026'!Z69="POR RECOGER"),'ABRIL 2026'!P69,"")</f>
        <v/>
      </c>
      <c r="J380" s="381">
        <f>IF(AND('ABRIL 2026'!D69&lt;&gt;"",'ABRIL 2026'!Z69="POR RECOGER"),'ABRIL 2026'!Q69,"")</f>
        <v/>
      </c>
      <c r="K380" s="381">
        <f>IF(AND('ABRIL 2026'!D69&lt;&gt;"",'ABRIL 2026'!Z69="POR RECOGER"),'ABRIL 2026'!Y69,"")</f>
        <v/>
      </c>
      <c r="L380" s="381">
        <f>IF(AND('ABRIL 2026'!D69&lt;&gt;"",'ABRIL 2026'!Z69="POR RECOGER"),'ABRIL 2026'!I69,"")</f>
        <v/>
      </c>
      <c r="P380" s="194" t="n"/>
      <c r="Q380" s="194" t="n"/>
      <c r="R380" s="194" t="n"/>
      <c r="S380" s="194" t="n"/>
      <c r="T380" s="194" t="n"/>
      <c r="U380" s="194" t="n"/>
      <c r="V380" s="194" t="n"/>
      <c r="W380" s="194" t="n"/>
      <c r="X380" s="194" t="n"/>
      <c r="Y380" s="194" t="n"/>
      <c r="Z380" s="194" t="n"/>
    </row>
    <row r="381" ht="15" customHeight="1" s="195">
      <c r="A381" s="381">
        <f>IF(AND('ABRIL 2026'!D70&lt;&gt;"",'ABRIL 2026'!Z70="POR RECOGER"),"ABR","")</f>
        <v/>
      </c>
      <c r="B381" s="381">
        <f>IF(AND('ABRIL 2026'!D70&lt;&gt;"",'ABRIL 2026'!Z70="POR RECOGER"),IF('ABRIL 2026'!Y70&lt;&gt;"",'ABRIL 2026'!Y70,'ABRIL 2026'!I70),"")</f>
        <v/>
      </c>
      <c r="C381" s="381">
        <f>IF(AND('ABRIL 2026'!D70&lt;&gt;"",'ABRIL 2026'!Z70="POR RECOGER"),'ABRIL 2026'!D70,"")</f>
        <v/>
      </c>
      <c r="D381" s="381">
        <f>IF(AND('ABRIL 2026'!D70&lt;&gt;"",'ABRIL 2026'!Z70="POR RECOGER"),'ABRIL 2026'!F70,"")</f>
        <v/>
      </c>
      <c r="E381" s="381">
        <f>IF(AND('ABRIL 2026'!D70&lt;&gt;"",'ABRIL 2026'!Z70="POR RECOGER"),TEXT('ABRIL 2026'!G70,"DD/MM/YYYY"),"")</f>
        <v/>
      </c>
      <c r="F381" s="381">
        <f>IF(AND('ABRIL 2026'!D70&lt;&gt;"",'ABRIL 2026'!Z70="POR RECOGER"),'ABRIL 2026'!K70,"")</f>
        <v/>
      </c>
      <c r="G381" s="382">
        <f>IF(AND('ABRIL 2026'!D70&lt;&gt;"",'ABRIL 2026'!Z70="POR RECOGER"),'ABRIL 2026'!M70,"")</f>
        <v/>
      </c>
      <c r="H381" s="382">
        <f>IF(AND('ABRIL 2026'!D70&lt;&gt;"",'ABRIL 2026'!Z70="POR RECOGER"),'ABRIL 2026'!N70,"")</f>
        <v/>
      </c>
      <c r="I381" s="381">
        <f>IF(AND('ABRIL 2026'!D70&lt;&gt;"",'ABRIL 2026'!Z70="POR RECOGER"),'ABRIL 2026'!P70,"")</f>
        <v/>
      </c>
      <c r="J381" s="381">
        <f>IF(AND('ABRIL 2026'!D70&lt;&gt;"",'ABRIL 2026'!Z70="POR RECOGER"),'ABRIL 2026'!Q70,"")</f>
        <v/>
      </c>
      <c r="K381" s="381">
        <f>IF(AND('ABRIL 2026'!D70&lt;&gt;"",'ABRIL 2026'!Z70="POR RECOGER"),'ABRIL 2026'!Y70,"")</f>
        <v/>
      </c>
      <c r="L381" s="381">
        <f>IF(AND('ABRIL 2026'!D70&lt;&gt;"",'ABRIL 2026'!Z70="POR RECOGER"),'ABRIL 2026'!I70,"")</f>
        <v/>
      </c>
      <c r="P381" s="194" t="n"/>
      <c r="Q381" s="194" t="n"/>
      <c r="R381" s="194" t="n"/>
      <c r="S381" s="194" t="n"/>
      <c r="T381" s="194" t="n"/>
      <c r="U381" s="194" t="n"/>
      <c r="V381" s="194" t="n"/>
      <c r="W381" s="194" t="n"/>
      <c r="X381" s="194" t="n"/>
      <c r="Y381" s="194" t="n"/>
      <c r="Z381" s="194" t="n"/>
    </row>
    <row r="382" ht="15" customHeight="1" s="195">
      <c r="A382" s="381">
        <f>IF(AND('ABRIL 2026'!D71&lt;&gt;"",'ABRIL 2026'!Z71="POR RECOGER"),"ABR","")</f>
        <v/>
      </c>
      <c r="B382" s="381">
        <f>IF(AND('ABRIL 2026'!D71&lt;&gt;"",'ABRIL 2026'!Z71="POR RECOGER"),IF('ABRIL 2026'!Y71&lt;&gt;"",'ABRIL 2026'!Y71,'ABRIL 2026'!I71),"")</f>
        <v/>
      </c>
      <c r="C382" s="381">
        <f>IF(AND('ABRIL 2026'!D71&lt;&gt;"",'ABRIL 2026'!Z71="POR RECOGER"),'ABRIL 2026'!D71,"")</f>
        <v/>
      </c>
      <c r="D382" s="381">
        <f>IF(AND('ABRIL 2026'!D71&lt;&gt;"",'ABRIL 2026'!Z71="POR RECOGER"),'ABRIL 2026'!F71,"")</f>
        <v/>
      </c>
      <c r="E382" s="381">
        <f>IF(AND('ABRIL 2026'!D71&lt;&gt;"",'ABRIL 2026'!Z71="POR RECOGER"),TEXT('ABRIL 2026'!G71,"DD/MM/YYYY"),"")</f>
        <v/>
      </c>
      <c r="F382" s="381">
        <f>IF(AND('ABRIL 2026'!D71&lt;&gt;"",'ABRIL 2026'!Z71="POR RECOGER"),'ABRIL 2026'!K71,"")</f>
        <v/>
      </c>
      <c r="G382" s="382">
        <f>IF(AND('ABRIL 2026'!D71&lt;&gt;"",'ABRIL 2026'!Z71="POR RECOGER"),'ABRIL 2026'!M71,"")</f>
        <v/>
      </c>
      <c r="H382" s="382">
        <f>IF(AND('ABRIL 2026'!D71&lt;&gt;"",'ABRIL 2026'!Z71="POR RECOGER"),'ABRIL 2026'!N71,"")</f>
        <v/>
      </c>
      <c r="I382" s="381">
        <f>IF(AND('ABRIL 2026'!D71&lt;&gt;"",'ABRIL 2026'!Z71="POR RECOGER"),'ABRIL 2026'!P71,"")</f>
        <v/>
      </c>
      <c r="J382" s="381">
        <f>IF(AND('ABRIL 2026'!D71&lt;&gt;"",'ABRIL 2026'!Z71="POR RECOGER"),'ABRIL 2026'!Q71,"")</f>
        <v/>
      </c>
      <c r="K382" s="381">
        <f>IF(AND('ABRIL 2026'!D71&lt;&gt;"",'ABRIL 2026'!Z71="POR RECOGER"),'ABRIL 2026'!Y71,"")</f>
        <v/>
      </c>
      <c r="L382" s="381">
        <f>IF(AND('ABRIL 2026'!D71&lt;&gt;"",'ABRIL 2026'!Z71="POR RECOGER"),'ABRIL 2026'!I71,"")</f>
        <v/>
      </c>
      <c r="P382" s="194" t="n"/>
      <c r="Q382" s="194" t="n"/>
      <c r="R382" s="194" t="n"/>
      <c r="S382" s="194" t="n"/>
      <c r="T382" s="194" t="n"/>
      <c r="U382" s="194" t="n"/>
      <c r="V382" s="194" t="n"/>
      <c r="W382" s="194" t="n"/>
      <c r="X382" s="194" t="n"/>
      <c r="Y382" s="194" t="n"/>
      <c r="Z382" s="194" t="n"/>
    </row>
    <row r="383" ht="15" customHeight="1" s="195">
      <c r="A383" s="381">
        <f>IF(AND('ABRIL 2026'!D72&lt;&gt;"",'ABRIL 2026'!Z72="POR RECOGER"),"ABR","")</f>
        <v/>
      </c>
      <c r="B383" s="381">
        <f>IF(AND('ABRIL 2026'!D72&lt;&gt;"",'ABRIL 2026'!Z72="POR RECOGER"),IF('ABRIL 2026'!Y72&lt;&gt;"",'ABRIL 2026'!Y72,'ABRIL 2026'!I72),"")</f>
        <v/>
      </c>
      <c r="C383" s="381">
        <f>IF(AND('ABRIL 2026'!D72&lt;&gt;"",'ABRIL 2026'!Z72="POR RECOGER"),'ABRIL 2026'!D72,"")</f>
        <v/>
      </c>
      <c r="D383" s="381">
        <f>IF(AND('ABRIL 2026'!D72&lt;&gt;"",'ABRIL 2026'!Z72="POR RECOGER"),'ABRIL 2026'!F72,"")</f>
        <v/>
      </c>
      <c r="E383" s="381">
        <f>IF(AND('ABRIL 2026'!D72&lt;&gt;"",'ABRIL 2026'!Z72="POR RECOGER"),TEXT('ABRIL 2026'!G72,"DD/MM/YYYY"),"")</f>
        <v/>
      </c>
      <c r="F383" s="381">
        <f>IF(AND('ABRIL 2026'!D72&lt;&gt;"",'ABRIL 2026'!Z72="POR RECOGER"),'ABRIL 2026'!K72,"")</f>
        <v/>
      </c>
      <c r="G383" s="382">
        <f>IF(AND('ABRIL 2026'!D72&lt;&gt;"",'ABRIL 2026'!Z72="POR RECOGER"),'ABRIL 2026'!M72,"")</f>
        <v/>
      </c>
      <c r="H383" s="382">
        <f>IF(AND('ABRIL 2026'!D72&lt;&gt;"",'ABRIL 2026'!Z72="POR RECOGER"),'ABRIL 2026'!N72,"")</f>
        <v/>
      </c>
      <c r="I383" s="381">
        <f>IF(AND('ABRIL 2026'!D72&lt;&gt;"",'ABRIL 2026'!Z72="POR RECOGER"),'ABRIL 2026'!P72,"")</f>
        <v/>
      </c>
      <c r="J383" s="381">
        <f>IF(AND('ABRIL 2026'!D72&lt;&gt;"",'ABRIL 2026'!Z72="POR RECOGER"),'ABRIL 2026'!Q72,"")</f>
        <v/>
      </c>
      <c r="K383" s="381">
        <f>IF(AND('ABRIL 2026'!D72&lt;&gt;"",'ABRIL 2026'!Z72="POR RECOGER"),'ABRIL 2026'!Y72,"")</f>
        <v/>
      </c>
      <c r="L383" s="381">
        <f>IF(AND('ABRIL 2026'!D72&lt;&gt;"",'ABRIL 2026'!Z72="POR RECOGER"),'ABRIL 2026'!I72,"")</f>
        <v/>
      </c>
      <c r="P383" s="194" t="n"/>
      <c r="Q383" s="194" t="n"/>
      <c r="R383" s="194" t="n"/>
      <c r="S383" s="194" t="n"/>
      <c r="T383" s="194" t="n"/>
      <c r="U383" s="194" t="n"/>
      <c r="V383" s="194" t="n"/>
      <c r="W383" s="194" t="n"/>
      <c r="X383" s="194" t="n"/>
      <c r="Y383" s="194" t="n"/>
      <c r="Z383" s="194" t="n"/>
    </row>
    <row r="384" ht="15" customHeight="1" s="195">
      <c r="A384" s="381">
        <f>IF(AND('ABRIL 2026'!D73&lt;&gt;"",'ABRIL 2026'!Z73="POR RECOGER"),"ABR","")</f>
        <v/>
      </c>
      <c r="B384" s="381">
        <f>IF(AND('ABRIL 2026'!D73&lt;&gt;"",'ABRIL 2026'!Z73="POR RECOGER"),IF('ABRIL 2026'!Y73&lt;&gt;"",'ABRIL 2026'!Y73,'ABRIL 2026'!I73),"")</f>
        <v/>
      </c>
      <c r="C384" s="381">
        <f>IF(AND('ABRIL 2026'!D73&lt;&gt;"",'ABRIL 2026'!Z73="POR RECOGER"),'ABRIL 2026'!D73,"")</f>
        <v/>
      </c>
      <c r="D384" s="381">
        <f>IF(AND('ABRIL 2026'!D73&lt;&gt;"",'ABRIL 2026'!Z73="POR RECOGER"),'ABRIL 2026'!F73,"")</f>
        <v/>
      </c>
      <c r="E384" s="381">
        <f>IF(AND('ABRIL 2026'!D73&lt;&gt;"",'ABRIL 2026'!Z73="POR RECOGER"),TEXT('ABRIL 2026'!G73,"DD/MM/YYYY"),"")</f>
        <v/>
      </c>
      <c r="F384" s="381">
        <f>IF(AND('ABRIL 2026'!D73&lt;&gt;"",'ABRIL 2026'!Z73="POR RECOGER"),'ABRIL 2026'!K73,"")</f>
        <v/>
      </c>
      <c r="G384" s="382">
        <f>IF(AND('ABRIL 2026'!D73&lt;&gt;"",'ABRIL 2026'!Z73="POR RECOGER"),'ABRIL 2026'!M73,"")</f>
        <v/>
      </c>
      <c r="H384" s="382">
        <f>IF(AND('ABRIL 2026'!D73&lt;&gt;"",'ABRIL 2026'!Z73="POR RECOGER"),'ABRIL 2026'!N73,"")</f>
        <v/>
      </c>
      <c r="I384" s="381">
        <f>IF(AND('ABRIL 2026'!D73&lt;&gt;"",'ABRIL 2026'!Z73="POR RECOGER"),'ABRIL 2026'!P73,"")</f>
        <v/>
      </c>
      <c r="J384" s="381">
        <f>IF(AND('ABRIL 2026'!D73&lt;&gt;"",'ABRIL 2026'!Z73="POR RECOGER"),'ABRIL 2026'!Q73,"")</f>
        <v/>
      </c>
      <c r="K384" s="381">
        <f>IF(AND('ABRIL 2026'!D73&lt;&gt;"",'ABRIL 2026'!Z73="POR RECOGER"),'ABRIL 2026'!Y73,"")</f>
        <v/>
      </c>
      <c r="L384" s="381">
        <f>IF(AND('ABRIL 2026'!D73&lt;&gt;"",'ABRIL 2026'!Z73="POR RECOGER"),'ABRIL 2026'!I73,"")</f>
        <v/>
      </c>
      <c r="P384" s="194" t="n"/>
      <c r="Q384" s="194" t="n"/>
      <c r="R384" s="194" t="n"/>
      <c r="S384" s="194" t="n"/>
      <c r="T384" s="194" t="n"/>
      <c r="U384" s="194" t="n"/>
      <c r="V384" s="194" t="n"/>
      <c r="W384" s="194" t="n"/>
      <c r="X384" s="194" t="n"/>
      <c r="Y384" s="194" t="n"/>
      <c r="Z384" s="194" t="n"/>
    </row>
    <row r="385" ht="15" customHeight="1" s="195">
      <c r="A385" s="381">
        <f>IF(AND('ABRIL 2026'!D74&lt;&gt;"",'ABRIL 2026'!Z74="POR RECOGER"),"ABR","")</f>
        <v/>
      </c>
      <c r="B385" s="381">
        <f>IF(AND('ABRIL 2026'!D74&lt;&gt;"",'ABRIL 2026'!Z74="POR RECOGER"),IF('ABRIL 2026'!Y74&lt;&gt;"",'ABRIL 2026'!Y74,'ABRIL 2026'!I74),"")</f>
        <v/>
      </c>
      <c r="C385" s="381">
        <f>IF(AND('ABRIL 2026'!D74&lt;&gt;"",'ABRIL 2026'!Z74="POR RECOGER"),'ABRIL 2026'!D74,"")</f>
        <v/>
      </c>
      <c r="D385" s="381">
        <f>IF(AND('ABRIL 2026'!D74&lt;&gt;"",'ABRIL 2026'!Z74="POR RECOGER"),'ABRIL 2026'!F74,"")</f>
        <v/>
      </c>
      <c r="E385" s="381">
        <f>IF(AND('ABRIL 2026'!D74&lt;&gt;"",'ABRIL 2026'!Z74="POR RECOGER"),TEXT('ABRIL 2026'!G74,"DD/MM/YYYY"),"")</f>
        <v/>
      </c>
      <c r="F385" s="381">
        <f>IF(AND('ABRIL 2026'!D74&lt;&gt;"",'ABRIL 2026'!Z74="POR RECOGER"),'ABRIL 2026'!K74,"")</f>
        <v/>
      </c>
      <c r="G385" s="382">
        <f>IF(AND('ABRIL 2026'!D74&lt;&gt;"",'ABRIL 2026'!Z74="POR RECOGER"),'ABRIL 2026'!M74,"")</f>
        <v/>
      </c>
      <c r="H385" s="382">
        <f>IF(AND('ABRIL 2026'!D74&lt;&gt;"",'ABRIL 2026'!Z74="POR RECOGER"),'ABRIL 2026'!N74,"")</f>
        <v/>
      </c>
      <c r="I385" s="381">
        <f>IF(AND('ABRIL 2026'!D74&lt;&gt;"",'ABRIL 2026'!Z74="POR RECOGER"),'ABRIL 2026'!P74,"")</f>
        <v/>
      </c>
      <c r="J385" s="381">
        <f>IF(AND('ABRIL 2026'!D74&lt;&gt;"",'ABRIL 2026'!Z74="POR RECOGER"),'ABRIL 2026'!Q74,"")</f>
        <v/>
      </c>
      <c r="K385" s="381">
        <f>IF(AND('ABRIL 2026'!D74&lt;&gt;"",'ABRIL 2026'!Z74="POR RECOGER"),'ABRIL 2026'!Y74,"")</f>
        <v/>
      </c>
      <c r="L385" s="381">
        <f>IF(AND('ABRIL 2026'!D74&lt;&gt;"",'ABRIL 2026'!Z74="POR RECOGER"),'ABRIL 2026'!I74,"")</f>
        <v/>
      </c>
      <c r="P385" s="194" t="n"/>
      <c r="Q385" s="194" t="n"/>
      <c r="R385" s="194" t="n"/>
      <c r="S385" s="194" t="n"/>
      <c r="T385" s="194" t="n"/>
      <c r="U385" s="194" t="n"/>
      <c r="V385" s="194" t="n"/>
      <c r="W385" s="194" t="n"/>
      <c r="X385" s="194" t="n"/>
      <c r="Y385" s="194" t="n"/>
      <c r="Z385" s="194" t="n"/>
    </row>
    <row r="386" ht="15" customHeight="1" s="195">
      <c r="A386" s="381">
        <f>IF(AND('ABRIL 2026'!D75&lt;&gt;"",'ABRIL 2026'!Z75="POR RECOGER"),"ABR","")</f>
        <v/>
      </c>
      <c r="B386" s="381">
        <f>IF(AND('ABRIL 2026'!D75&lt;&gt;"",'ABRIL 2026'!Z75="POR RECOGER"),IF('ABRIL 2026'!Y75&lt;&gt;"",'ABRIL 2026'!Y75,'ABRIL 2026'!I75),"")</f>
        <v/>
      </c>
      <c r="C386" s="381">
        <f>IF(AND('ABRIL 2026'!D75&lt;&gt;"",'ABRIL 2026'!Z75="POR RECOGER"),'ABRIL 2026'!D75,"")</f>
        <v/>
      </c>
      <c r="D386" s="381">
        <f>IF(AND('ABRIL 2026'!D75&lt;&gt;"",'ABRIL 2026'!Z75="POR RECOGER"),'ABRIL 2026'!F75,"")</f>
        <v/>
      </c>
      <c r="E386" s="381">
        <f>IF(AND('ABRIL 2026'!D75&lt;&gt;"",'ABRIL 2026'!Z75="POR RECOGER"),TEXT('ABRIL 2026'!G75,"DD/MM/YYYY"),"")</f>
        <v/>
      </c>
      <c r="F386" s="381">
        <f>IF(AND('ABRIL 2026'!D75&lt;&gt;"",'ABRIL 2026'!Z75="POR RECOGER"),'ABRIL 2026'!K75,"")</f>
        <v/>
      </c>
      <c r="G386" s="382">
        <f>IF(AND('ABRIL 2026'!D75&lt;&gt;"",'ABRIL 2026'!Z75="POR RECOGER"),'ABRIL 2026'!M75,"")</f>
        <v/>
      </c>
      <c r="H386" s="382">
        <f>IF(AND('ABRIL 2026'!D75&lt;&gt;"",'ABRIL 2026'!Z75="POR RECOGER"),'ABRIL 2026'!N75,"")</f>
        <v/>
      </c>
      <c r="I386" s="381">
        <f>IF(AND('ABRIL 2026'!D75&lt;&gt;"",'ABRIL 2026'!Z75="POR RECOGER"),'ABRIL 2026'!P75,"")</f>
        <v/>
      </c>
      <c r="J386" s="381">
        <f>IF(AND('ABRIL 2026'!D75&lt;&gt;"",'ABRIL 2026'!Z75="POR RECOGER"),'ABRIL 2026'!Q75,"")</f>
        <v/>
      </c>
      <c r="K386" s="381">
        <f>IF(AND('ABRIL 2026'!D75&lt;&gt;"",'ABRIL 2026'!Z75="POR RECOGER"),'ABRIL 2026'!Y75,"")</f>
        <v/>
      </c>
      <c r="L386" s="381">
        <f>IF(AND('ABRIL 2026'!D75&lt;&gt;"",'ABRIL 2026'!Z75="POR RECOGER"),'ABRIL 2026'!I75,"")</f>
        <v/>
      </c>
      <c r="P386" s="194" t="n"/>
      <c r="Q386" s="194" t="n"/>
      <c r="R386" s="194" t="n"/>
      <c r="S386" s="194" t="n"/>
      <c r="T386" s="194" t="n"/>
      <c r="U386" s="194" t="n"/>
      <c r="V386" s="194" t="n"/>
      <c r="W386" s="194" t="n"/>
      <c r="X386" s="194" t="n"/>
      <c r="Y386" s="194" t="n"/>
      <c r="Z386" s="194" t="n"/>
    </row>
    <row r="387" ht="15" customHeight="1" s="195">
      <c r="A387" s="381">
        <f>IF(AND('ABRIL 2026'!D76&lt;&gt;"",'ABRIL 2026'!Z76="POR RECOGER"),"ABR","")</f>
        <v/>
      </c>
      <c r="B387" s="381">
        <f>IF(AND('ABRIL 2026'!D76&lt;&gt;"",'ABRIL 2026'!Z76="POR RECOGER"),IF('ABRIL 2026'!Y76&lt;&gt;"",'ABRIL 2026'!Y76,'ABRIL 2026'!I76),"")</f>
        <v/>
      </c>
      <c r="C387" s="381">
        <f>IF(AND('ABRIL 2026'!D76&lt;&gt;"",'ABRIL 2026'!Z76="POR RECOGER"),'ABRIL 2026'!D76,"")</f>
        <v/>
      </c>
      <c r="D387" s="381">
        <f>IF(AND('ABRIL 2026'!D76&lt;&gt;"",'ABRIL 2026'!Z76="POR RECOGER"),'ABRIL 2026'!F76,"")</f>
        <v/>
      </c>
      <c r="E387" s="381">
        <f>IF(AND('ABRIL 2026'!D76&lt;&gt;"",'ABRIL 2026'!Z76="POR RECOGER"),TEXT('ABRIL 2026'!G76,"DD/MM/YYYY"),"")</f>
        <v/>
      </c>
      <c r="F387" s="381">
        <f>IF(AND('ABRIL 2026'!D76&lt;&gt;"",'ABRIL 2026'!Z76="POR RECOGER"),'ABRIL 2026'!K76,"")</f>
        <v/>
      </c>
      <c r="G387" s="382">
        <f>IF(AND('ABRIL 2026'!D76&lt;&gt;"",'ABRIL 2026'!Z76="POR RECOGER"),'ABRIL 2026'!M76,"")</f>
        <v/>
      </c>
      <c r="H387" s="382">
        <f>IF(AND('ABRIL 2026'!D76&lt;&gt;"",'ABRIL 2026'!Z76="POR RECOGER"),'ABRIL 2026'!N76,"")</f>
        <v/>
      </c>
      <c r="I387" s="381">
        <f>IF(AND('ABRIL 2026'!D76&lt;&gt;"",'ABRIL 2026'!Z76="POR RECOGER"),'ABRIL 2026'!P76,"")</f>
        <v/>
      </c>
      <c r="J387" s="381">
        <f>IF(AND('ABRIL 2026'!D76&lt;&gt;"",'ABRIL 2026'!Z76="POR RECOGER"),'ABRIL 2026'!Q76,"")</f>
        <v/>
      </c>
      <c r="K387" s="381">
        <f>IF(AND('ABRIL 2026'!D76&lt;&gt;"",'ABRIL 2026'!Z76="POR RECOGER"),'ABRIL 2026'!Y76,"")</f>
        <v/>
      </c>
      <c r="L387" s="381">
        <f>IF(AND('ABRIL 2026'!D76&lt;&gt;"",'ABRIL 2026'!Z76="POR RECOGER"),'ABRIL 2026'!I76,"")</f>
        <v/>
      </c>
      <c r="P387" s="194" t="n"/>
      <c r="Q387" s="194" t="n"/>
      <c r="R387" s="194" t="n"/>
      <c r="S387" s="194" t="n"/>
      <c r="T387" s="194" t="n"/>
      <c r="U387" s="194" t="n"/>
      <c r="V387" s="194" t="n"/>
      <c r="W387" s="194" t="n"/>
      <c r="X387" s="194" t="n"/>
      <c r="Y387" s="194" t="n"/>
      <c r="Z387" s="194" t="n"/>
    </row>
    <row r="388" ht="15" customHeight="1" s="195">
      <c r="A388" s="381">
        <f>IF(AND('ABRIL 2026'!D77&lt;&gt;"",'ABRIL 2026'!Z77="POR RECOGER"),"ABR","")</f>
        <v/>
      </c>
      <c r="B388" s="381">
        <f>IF(AND('ABRIL 2026'!D77&lt;&gt;"",'ABRIL 2026'!Z77="POR RECOGER"),IF('ABRIL 2026'!Y77&lt;&gt;"",'ABRIL 2026'!Y77,'ABRIL 2026'!I77),"")</f>
        <v/>
      </c>
      <c r="C388" s="381">
        <f>IF(AND('ABRIL 2026'!D77&lt;&gt;"",'ABRIL 2026'!Z77="POR RECOGER"),'ABRIL 2026'!D77,"")</f>
        <v/>
      </c>
      <c r="D388" s="381">
        <f>IF(AND('ABRIL 2026'!D77&lt;&gt;"",'ABRIL 2026'!Z77="POR RECOGER"),'ABRIL 2026'!F77,"")</f>
        <v/>
      </c>
      <c r="E388" s="381">
        <f>IF(AND('ABRIL 2026'!D77&lt;&gt;"",'ABRIL 2026'!Z77="POR RECOGER"),TEXT('ABRIL 2026'!G77,"DD/MM/YYYY"),"")</f>
        <v/>
      </c>
      <c r="F388" s="381">
        <f>IF(AND('ABRIL 2026'!D77&lt;&gt;"",'ABRIL 2026'!Z77="POR RECOGER"),'ABRIL 2026'!K77,"")</f>
        <v/>
      </c>
      <c r="G388" s="382">
        <f>IF(AND('ABRIL 2026'!D77&lt;&gt;"",'ABRIL 2026'!Z77="POR RECOGER"),'ABRIL 2026'!M77,"")</f>
        <v/>
      </c>
      <c r="H388" s="382">
        <f>IF(AND('ABRIL 2026'!D77&lt;&gt;"",'ABRIL 2026'!Z77="POR RECOGER"),'ABRIL 2026'!N77,"")</f>
        <v/>
      </c>
      <c r="I388" s="381">
        <f>IF(AND('ABRIL 2026'!D77&lt;&gt;"",'ABRIL 2026'!Z77="POR RECOGER"),'ABRIL 2026'!P77,"")</f>
        <v/>
      </c>
      <c r="J388" s="381">
        <f>IF(AND('ABRIL 2026'!D77&lt;&gt;"",'ABRIL 2026'!Z77="POR RECOGER"),'ABRIL 2026'!Q77,"")</f>
        <v/>
      </c>
      <c r="K388" s="381">
        <f>IF(AND('ABRIL 2026'!D77&lt;&gt;"",'ABRIL 2026'!Z77="POR RECOGER"),'ABRIL 2026'!Y77,"")</f>
        <v/>
      </c>
      <c r="L388" s="381">
        <f>IF(AND('ABRIL 2026'!D77&lt;&gt;"",'ABRIL 2026'!Z77="POR RECOGER"),'ABRIL 2026'!I77,"")</f>
        <v/>
      </c>
      <c r="P388" s="194" t="n"/>
      <c r="Q388" s="194" t="n"/>
      <c r="R388" s="194" t="n"/>
      <c r="S388" s="194" t="n"/>
      <c r="T388" s="194" t="n"/>
      <c r="U388" s="194" t="n"/>
      <c r="V388" s="194" t="n"/>
      <c r="W388" s="194" t="n"/>
      <c r="X388" s="194" t="n"/>
      <c r="Y388" s="194" t="n"/>
      <c r="Z388" s="194" t="n"/>
    </row>
    <row r="389" ht="15" customHeight="1" s="195">
      <c r="A389" s="381">
        <f>IF(AND('ABRIL 2026'!D78&lt;&gt;"",'ABRIL 2026'!Z78="POR RECOGER"),"ABR","")</f>
        <v/>
      </c>
      <c r="B389" s="381">
        <f>IF(AND('ABRIL 2026'!D78&lt;&gt;"",'ABRIL 2026'!Z78="POR RECOGER"),IF('ABRIL 2026'!Y78&lt;&gt;"",'ABRIL 2026'!Y78,'ABRIL 2026'!I78),"")</f>
        <v/>
      </c>
      <c r="C389" s="381">
        <f>IF(AND('ABRIL 2026'!D78&lt;&gt;"",'ABRIL 2026'!Z78="POR RECOGER"),'ABRIL 2026'!D78,"")</f>
        <v/>
      </c>
      <c r="D389" s="381">
        <f>IF(AND('ABRIL 2026'!D78&lt;&gt;"",'ABRIL 2026'!Z78="POR RECOGER"),'ABRIL 2026'!F78,"")</f>
        <v/>
      </c>
      <c r="E389" s="381">
        <f>IF(AND('ABRIL 2026'!D78&lt;&gt;"",'ABRIL 2026'!Z78="POR RECOGER"),TEXT('ABRIL 2026'!G78,"DD/MM/YYYY"),"")</f>
        <v/>
      </c>
      <c r="F389" s="381">
        <f>IF(AND('ABRIL 2026'!D78&lt;&gt;"",'ABRIL 2026'!Z78="POR RECOGER"),'ABRIL 2026'!K78,"")</f>
        <v/>
      </c>
      <c r="G389" s="382">
        <f>IF(AND('ABRIL 2026'!D78&lt;&gt;"",'ABRIL 2026'!Z78="POR RECOGER"),'ABRIL 2026'!M78,"")</f>
        <v/>
      </c>
      <c r="H389" s="382">
        <f>IF(AND('ABRIL 2026'!D78&lt;&gt;"",'ABRIL 2026'!Z78="POR RECOGER"),'ABRIL 2026'!N78,"")</f>
        <v/>
      </c>
      <c r="I389" s="381">
        <f>IF(AND('ABRIL 2026'!D78&lt;&gt;"",'ABRIL 2026'!Z78="POR RECOGER"),'ABRIL 2026'!P78,"")</f>
        <v/>
      </c>
      <c r="J389" s="381">
        <f>IF(AND('ABRIL 2026'!D78&lt;&gt;"",'ABRIL 2026'!Z78="POR RECOGER"),'ABRIL 2026'!Q78,"")</f>
        <v/>
      </c>
      <c r="K389" s="381">
        <f>IF(AND('ABRIL 2026'!D78&lt;&gt;"",'ABRIL 2026'!Z78="POR RECOGER"),'ABRIL 2026'!Y78,"")</f>
        <v/>
      </c>
      <c r="L389" s="381">
        <f>IF(AND('ABRIL 2026'!D78&lt;&gt;"",'ABRIL 2026'!Z78="POR RECOGER"),'ABRIL 2026'!I78,"")</f>
        <v/>
      </c>
      <c r="P389" s="194" t="n"/>
      <c r="Q389" s="194" t="n"/>
      <c r="R389" s="194" t="n"/>
      <c r="S389" s="194" t="n"/>
      <c r="T389" s="194" t="n"/>
      <c r="U389" s="194" t="n"/>
      <c r="V389" s="194" t="n"/>
      <c r="W389" s="194" t="n"/>
      <c r="X389" s="194" t="n"/>
      <c r="Y389" s="194" t="n"/>
      <c r="Z389" s="194" t="n"/>
    </row>
    <row r="390" ht="15" customHeight="1" s="195">
      <c r="A390" s="381">
        <f>IF(AND('ABRIL 2026'!D79&lt;&gt;"",'ABRIL 2026'!Z79="POR RECOGER"),"ABR","")</f>
        <v/>
      </c>
      <c r="B390" s="381">
        <f>IF(AND('ABRIL 2026'!D79&lt;&gt;"",'ABRIL 2026'!Z79="POR RECOGER"),IF('ABRIL 2026'!Y79&lt;&gt;"",'ABRIL 2026'!Y79,'ABRIL 2026'!I79),"")</f>
        <v/>
      </c>
      <c r="C390" s="381">
        <f>IF(AND('ABRIL 2026'!D79&lt;&gt;"",'ABRIL 2026'!Z79="POR RECOGER"),'ABRIL 2026'!D79,"")</f>
        <v/>
      </c>
      <c r="D390" s="381">
        <f>IF(AND('ABRIL 2026'!D79&lt;&gt;"",'ABRIL 2026'!Z79="POR RECOGER"),'ABRIL 2026'!F79,"")</f>
        <v/>
      </c>
      <c r="E390" s="381">
        <f>IF(AND('ABRIL 2026'!D79&lt;&gt;"",'ABRIL 2026'!Z79="POR RECOGER"),TEXT('ABRIL 2026'!G79,"DD/MM/YYYY"),"")</f>
        <v/>
      </c>
      <c r="F390" s="381">
        <f>IF(AND('ABRIL 2026'!D79&lt;&gt;"",'ABRIL 2026'!Z79="POR RECOGER"),'ABRIL 2026'!K79,"")</f>
        <v/>
      </c>
      <c r="G390" s="382">
        <f>IF(AND('ABRIL 2026'!D79&lt;&gt;"",'ABRIL 2026'!Z79="POR RECOGER"),'ABRIL 2026'!M79,"")</f>
        <v/>
      </c>
      <c r="H390" s="382">
        <f>IF(AND('ABRIL 2026'!D79&lt;&gt;"",'ABRIL 2026'!Z79="POR RECOGER"),'ABRIL 2026'!N79,"")</f>
        <v/>
      </c>
      <c r="I390" s="381">
        <f>IF(AND('ABRIL 2026'!D79&lt;&gt;"",'ABRIL 2026'!Z79="POR RECOGER"),'ABRIL 2026'!P79,"")</f>
        <v/>
      </c>
      <c r="J390" s="381">
        <f>IF(AND('ABRIL 2026'!D79&lt;&gt;"",'ABRIL 2026'!Z79="POR RECOGER"),'ABRIL 2026'!Q79,"")</f>
        <v/>
      </c>
      <c r="K390" s="381">
        <f>IF(AND('ABRIL 2026'!D79&lt;&gt;"",'ABRIL 2026'!Z79="POR RECOGER"),'ABRIL 2026'!Y79,"")</f>
        <v/>
      </c>
      <c r="L390" s="381">
        <f>IF(AND('ABRIL 2026'!D79&lt;&gt;"",'ABRIL 2026'!Z79="POR RECOGER"),'ABRIL 2026'!I79,"")</f>
        <v/>
      </c>
      <c r="P390" s="194" t="n"/>
      <c r="Q390" s="194" t="n"/>
      <c r="R390" s="194" t="n"/>
      <c r="S390" s="194" t="n"/>
      <c r="T390" s="194" t="n"/>
      <c r="U390" s="194" t="n"/>
      <c r="V390" s="194" t="n"/>
      <c r="W390" s="194" t="n"/>
      <c r="X390" s="194" t="n"/>
      <c r="Y390" s="194" t="n"/>
      <c r="Z390" s="194" t="n"/>
    </row>
    <row r="391" ht="15" customHeight="1" s="195">
      <c r="A391" s="381">
        <f>IF(AND('ABRIL 2026'!D80&lt;&gt;"",'ABRIL 2026'!Z80="POR RECOGER"),"ABR","")</f>
        <v/>
      </c>
      <c r="B391" s="381">
        <f>IF(AND('ABRIL 2026'!D80&lt;&gt;"",'ABRIL 2026'!Z80="POR RECOGER"),IF('ABRIL 2026'!Y80&lt;&gt;"",'ABRIL 2026'!Y80,'ABRIL 2026'!I80),"")</f>
        <v/>
      </c>
      <c r="C391" s="381">
        <f>IF(AND('ABRIL 2026'!D80&lt;&gt;"",'ABRIL 2026'!Z80="POR RECOGER"),'ABRIL 2026'!D80,"")</f>
        <v/>
      </c>
      <c r="D391" s="381">
        <f>IF(AND('ABRIL 2026'!D80&lt;&gt;"",'ABRIL 2026'!Z80="POR RECOGER"),'ABRIL 2026'!F80,"")</f>
        <v/>
      </c>
      <c r="E391" s="381">
        <f>IF(AND('ABRIL 2026'!D80&lt;&gt;"",'ABRIL 2026'!Z80="POR RECOGER"),TEXT('ABRIL 2026'!G80,"DD/MM/YYYY"),"")</f>
        <v/>
      </c>
      <c r="F391" s="381">
        <f>IF(AND('ABRIL 2026'!D80&lt;&gt;"",'ABRIL 2026'!Z80="POR RECOGER"),'ABRIL 2026'!K80,"")</f>
        <v/>
      </c>
      <c r="G391" s="382">
        <f>IF(AND('ABRIL 2026'!D80&lt;&gt;"",'ABRIL 2026'!Z80="POR RECOGER"),'ABRIL 2026'!M80,"")</f>
        <v/>
      </c>
      <c r="H391" s="382">
        <f>IF(AND('ABRIL 2026'!D80&lt;&gt;"",'ABRIL 2026'!Z80="POR RECOGER"),'ABRIL 2026'!N80,"")</f>
        <v/>
      </c>
      <c r="I391" s="381">
        <f>IF(AND('ABRIL 2026'!D80&lt;&gt;"",'ABRIL 2026'!Z80="POR RECOGER"),'ABRIL 2026'!P80,"")</f>
        <v/>
      </c>
      <c r="J391" s="381">
        <f>IF(AND('ABRIL 2026'!D80&lt;&gt;"",'ABRIL 2026'!Z80="POR RECOGER"),'ABRIL 2026'!Q80,"")</f>
        <v/>
      </c>
      <c r="K391" s="381">
        <f>IF(AND('ABRIL 2026'!D80&lt;&gt;"",'ABRIL 2026'!Z80="POR RECOGER"),'ABRIL 2026'!Y80,"")</f>
        <v/>
      </c>
      <c r="L391" s="381">
        <f>IF(AND('ABRIL 2026'!D80&lt;&gt;"",'ABRIL 2026'!Z80="POR RECOGER"),'ABRIL 2026'!I80,"")</f>
        <v/>
      </c>
      <c r="P391" s="194" t="n"/>
      <c r="Q391" s="194" t="n"/>
      <c r="R391" s="194" t="n"/>
      <c r="S391" s="194" t="n"/>
      <c r="T391" s="194" t="n"/>
      <c r="U391" s="194" t="n"/>
      <c r="V391" s="194" t="n"/>
      <c r="W391" s="194" t="n"/>
      <c r="X391" s="194" t="n"/>
      <c r="Y391" s="194" t="n"/>
      <c r="Z391" s="194" t="n"/>
    </row>
    <row r="392" ht="15" customHeight="1" s="195">
      <c r="A392" s="381">
        <f>IF(AND('ABRIL 2026'!D81&lt;&gt;"",'ABRIL 2026'!Z81="POR RECOGER"),"ABR","")</f>
        <v/>
      </c>
      <c r="B392" s="381">
        <f>IF(AND('ABRIL 2026'!D81&lt;&gt;"",'ABRIL 2026'!Z81="POR RECOGER"),IF('ABRIL 2026'!Y81&lt;&gt;"",'ABRIL 2026'!Y81,'ABRIL 2026'!I81),"")</f>
        <v/>
      </c>
      <c r="C392" s="381">
        <f>IF(AND('ABRIL 2026'!D81&lt;&gt;"",'ABRIL 2026'!Z81="POR RECOGER"),'ABRIL 2026'!D81,"")</f>
        <v/>
      </c>
      <c r="D392" s="381">
        <f>IF(AND('ABRIL 2026'!D81&lt;&gt;"",'ABRIL 2026'!Z81="POR RECOGER"),'ABRIL 2026'!F81,"")</f>
        <v/>
      </c>
      <c r="E392" s="381">
        <f>IF(AND('ABRIL 2026'!D81&lt;&gt;"",'ABRIL 2026'!Z81="POR RECOGER"),TEXT('ABRIL 2026'!G81,"DD/MM/YYYY"),"")</f>
        <v/>
      </c>
      <c r="F392" s="381">
        <f>IF(AND('ABRIL 2026'!D81&lt;&gt;"",'ABRIL 2026'!Z81="POR RECOGER"),'ABRIL 2026'!K81,"")</f>
        <v/>
      </c>
      <c r="G392" s="382">
        <f>IF(AND('ABRIL 2026'!D81&lt;&gt;"",'ABRIL 2026'!Z81="POR RECOGER"),'ABRIL 2026'!M81,"")</f>
        <v/>
      </c>
      <c r="H392" s="382">
        <f>IF(AND('ABRIL 2026'!D81&lt;&gt;"",'ABRIL 2026'!Z81="POR RECOGER"),'ABRIL 2026'!N81,"")</f>
        <v/>
      </c>
      <c r="I392" s="381">
        <f>IF(AND('ABRIL 2026'!D81&lt;&gt;"",'ABRIL 2026'!Z81="POR RECOGER"),'ABRIL 2026'!P81,"")</f>
        <v/>
      </c>
      <c r="J392" s="381">
        <f>IF(AND('ABRIL 2026'!D81&lt;&gt;"",'ABRIL 2026'!Z81="POR RECOGER"),'ABRIL 2026'!Q81,"")</f>
        <v/>
      </c>
      <c r="K392" s="381">
        <f>IF(AND('ABRIL 2026'!D81&lt;&gt;"",'ABRIL 2026'!Z81="POR RECOGER"),'ABRIL 2026'!Y81,"")</f>
        <v/>
      </c>
      <c r="L392" s="381">
        <f>IF(AND('ABRIL 2026'!D81&lt;&gt;"",'ABRIL 2026'!Z81="POR RECOGER"),'ABRIL 2026'!I81,"")</f>
        <v/>
      </c>
      <c r="P392" s="194" t="n"/>
      <c r="Q392" s="194" t="n"/>
      <c r="R392" s="194" t="n"/>
      <c r="S392" s="194" t="n"/>
      <c r="T392" s="194" t="n"/>
      <c r="U392" s="194" t="n"/>
      <c r="V392" s="194" t="n"/>
      <c r="W392" s="194" t="n"/>
      <c r="X392" s="194" t="n"/>
      <c r="Y392" s="194" t="n"/>
      <c r="Z392" s="194" t="n"/>
    </row>
    <row r="393" ht="15" customHeight="1" s="195">
      <c r="A393" s="381">
        <f>IF(AND('ABRIL 2026'!D82&lt;&gt;"",'ABRIL 2026'!Z82="POR RECOGER"),"ABR","")</f>
        <v/>
      </c>
      <c r="B393" s="381">
        <f>IF(AND('ABRIL 2026'!D82&lt;&gt;"",'ABRIL 2026'!Z82="POR RECOGER"),IF('ABRIL 2026'!Y82&lt;&gt;"",'ABRIL 2026'!Y82,'ABRIL 2026'!I82),"")</f>
        <v/>
      </c>
      <c r="C393" s="381">
        <f>IF(AND('ABRIL 2026'!D82&lt;&gt;"",'ABRIL 2026'!Z82="POR RECOGER"),'ABRIL 2026'!D82,"")</f>
        <v/>
      </c>
      <c r="D393" s="381">
        <f>IF(AND('ABRIL 2026'!D82&lt;&gt;"",'ABRIL 2026'!Z82="POR RECOGER"),'ABRIL 2026'!F82,"")</f>
        <v/>
      </c>
      <c r="E393" s="381">
        <f>IF(AND('ABRIL 2026'!D82&lt;&gt;"",'ABRIL 2026'!Z82="POR RECOGER"),TEXT('ABRIL 2026'!G82,"DD/MM/YYYY"),"")</f>
        <v/>
      </c>
      <c r="F393" s="381">
        <f>IF(AND('ABRIL 2026'!D82&lt;&gt;"",'ABRIL 2026'!Z82="POR RECOGER"),'ABRIL 2026'!K82,"")</f>
        <v/>
      </c>
      <c r="G393" s="382">
        <f>IF(AND('ABRIL 2026'!D82&lt;&gt;"",'ABRIL 2026'!Z82="POR RECOGER"),'ABRIL 2026'!M82,"")</f>
        <v/>
      </c>
      <c r="H393" s="382">
        <f>IF(AND('ABRIL 2026'!D82&lt;&gt;"",'ABRIL 2026'!Z82="POR RECOGER"),'ABRIL 2026'!N82,"")</f>
        <v/>
      </c>
      <c r="I393" s="381">
        <f>IF(AND('ABRIL 2026'!D82&lt;&gt;"",'ABRIL 2026'!Z82="POR RECOGER"),'ABRIL 2026'!P82,"")</f>
        <v/>
      </c>
      <c r="J393" s="381">
        <f>IF(AND('ABRIL 2026'!D82&lt;&gt;"",'ABRIL 2026'!Z82="POR RECOGER"),'ABRIL 2026'!Q82,"")</f>
        <v/>
      </c>
      <c r="K393" s="381">
        <f>IF(AND('ABRIL 2026'!D82&lt;&gt;"",'ABRIL 2026'!Z82="POR RECOGER"),'ABRIL 2026'!Y82,"")</f>
        <v/>
      </c>
      <c r="L393" s="381">
        <f>IF(AND('ABRIL 2026'!D82&lt;&gt;"",'ABRIL 2026'!Z82="POR RECOGER"),'ABRIL 2026'!I82,"")</f>
        <v/>
      </c>
      <c r="P393" s="194" t="n"/>
      <c r="Q393" s="194" t="n"/>
      <c r="R393" s="194" t="n"/>
      <c r="S393" s="194" t="n"/>
      <c r="T393" s="194" t="n"/>
      <c r="U393" s="194" t="n"/>
      <c r="V393" s="194" t="n"/>
      <c r="W393" s="194" t="n"/>
      <c r="X393" s="194" t="n"/>
      <c r="Y393" s="194" t="n"/>
      <c r="Z393" s="194" t="n"/>
    </row>
    <row r="394" ht="15" customHeight="1" s="195">
      <c r="A394" s="381">
        <f>IF(AND('ABRIL 2026'!D83&lt;&gt;"",'ABRIL 2026'!Z83="POR RECOGER"),"ABR","")</f>
        <v/>
      </c>
      <c r="B394" s="381">
        <f>IF(AND('ABRIL 2026'!D83&lt;&gt;"",'ABRIL 2026'!Z83="POR RECOGER"),IF('ABRIL 2026'!Y83&lt;&gt;"",'ABRIL 2026'!Y83,'ABRIL 2026'!I83),"")</f>
        <v/>
      </c>
      <c r="C394" s="381">
        <f>IF(AND('ABRIL 2026'!D83&lt;&gt;"",'ABRIL 2026'!Z83="POR RECOGER"),'ABRIL 2026'!D83,"")</f>
        <v/>
      </c>
      <c r="D394" s="381">
        <f>IF(AND('ABRIL 2026'!D83&lt;&gt;"",'ABRIL 2026'!Z83="POR RECOGER"),'ABRIL 2026'!F83,"")</f>
        <v/>
      </c>
      <c r="E394" s="381">
        <f>IF(AND('ABRIL 2026'!D83&lt;&gt;"",'ABRIL 2026'!Z83="POR RECOGER"),TEXT('ABRIL 2026'!G83,"DD/MM/YYYY"),"")</f>
        <v/>
      </c>
      <c r="F394" s="381">
        <f>IF(AND('ABRIL 2026'!D83&lt;&gt;"",'ABRIL 2026'!Z83="POR RECOGER"),'ABRIL 2026'!K83,"")</f>
        <v/>
      </c>
      <c r="G394" s="382">
        <f>IF(AND('ABRIL 2026'!D83&lt;&gt;"",'ABRIL 2026'!Z83="POR RECOGER"),'ABRIL 2026'!M83,"")</f>
        <v/>
      </c>
      <c r="H394" s="382">
        <f>IF(AND('ABRIL 2026'!D83&lt;&gt;"",'ABRIL 2026'!Z83="POR RECOGER"),'ABRIL 2026'!N83,"")</f>
        <v/>
      </c>
      <c r="I394" s="381">
        <f>IF(AND('ABRIL 2026'!D83&lt;&gt;"",'ABRIL 2026'!Z83="POR RECOGER"),'ABRIL 2026'!P83,"")</f>
        <v/>
      </c>
      <c r="J394" s="381">
        <f>IF(AND('ABRIL 2026'!D83&lt;&gt;"",'ABRIL 2026'!Z83="POR RECOGER"),'ABRIL 2026'!Q83,"")</f>
        <v/>
      </c>
      <c r="K394" s="381">
        <f>IF(AND('ABRIL 2026'!D83&lt;&gt;"",'ABRIL 2026'!Z83="POR RECOGER"),'ABRIL 2026'!Y83,"")</f>
        <v/>
      </c>
      <c r="L394" s="381">
        <f>IF(AND('ABRIL 2026'!D83&lt;&gt;"",'ABRIL 2026'!Z83="POR RECOGER"),'ABRIL 2026'!I83,"")</f>
        <v/>
      </c>
      <c r="P394" s="194" t="n"/>
      <c r="Q394" s="194" t="n"/>
      <c r="R394" s="194" t="n"/>
      <c r="S394" s="194" t="n"/>
      <c r="T394" s="194" t="n"/>
      <c r="U394" s="194" t="n"/>
      <c r="V394" s="194" t="n"/>
      <c r="W394" s="194" t="n"/>
      <c r="X394" s="194" t="n"/>
      <c r="Y394" s="194" t="n"/>
      <c r="Z394" s="194" t="n"/>
    </row>
    <row r="395" ht="15" customHeight="1" s="195">
      <c r="A395" s="381">
        <f>IF(AND('ABRIL 2026'!D84&lt;&gt;"",'ABRIL 2026'!Z84="POR RECOGER"),"ABR","")</f>
        <v/>
      </c>
      <c r="B395" s="381">
        <f>IF(AND('ABRIL 2026'!D84&lt;&gt;"",'ABRIL 2026'!Z84="POR RECOGER"),IF('ABRIL 2026'!Y84&lt;&gt;"",'ABRIL 2026'!Y84,'ABRIL 2026'!I84),"")</f>
        <v/>
      </c>
      <c r="C395" s="381">
        <f>IF(AND('ABRIL 2026'!D84&lt;&gt;"",'ABRIL 2026'!Z84="POR RECOGER"),'ABRIL 2026'!D84,"")</f>
        <v/>
      </c>
      <c r="D395" s="381">
        <f>IF(AND('ABRIL 2026'!D84&lt;&gt;"",'ABRIL 2026'!Z84="POR RECOGER"),'ABRIL 2026'!F84,"")</f>
        <v/>
      </c>
      <c r="E395" s="381">
        <f>IF(AND('ABRIL 2026'!D84&lt;&gt;"",'ABRIL 2026'!Z84="POR RECOGER"),TEXT('ABRIL 2026'!G84,"DD/MM/YYYY"),"")</f>
        <v/>
      </c>
      <c r="F395" s="381">
        <f>IF(AND('ABRIL 2026'!D84&lt;&gt;"",'ABRIL 2026'!Z84="POR RECOGER"),'ABRIL 2026'!K84,"")</f>
        <v/>
      </c>
      <c r="G395" s="382">
        <f>IF(AND('ABRIL 2026'!D84&lt;&gt;"",'ABRIL 2026'!Z84="POR RECOGER"),'ABRIL 2026'!M84,"")</f>
        <v/>
      </c>
      <c r="H395" s="382">
        <f>IF(AND('ABRIL 2026'!D84&lt;&gt;"",'ABRIL 2026'!Z84="POR RECOGER"),'ABRIL 2026'!N84,"")</f>
        <v/>
      </c>
      <c r="I395" s="381">
        <f>IF(AND('ABRIL 2026'!D84&lt;&gt;"",'ABRIL 2026'!Z84="POR RECOGER"),'ABRIL 2026'!P84,"")</f>
        <v/>
      </c>
      <c r="J395" s="381">
        <f>IF(AND('ABRIL 2026'!D84&lt;&gt;"",'ABRIL 2026'!Z84="POR RECOGER"),'ABRIL 2026'!Q84,"")</f>
        <v/>
      </c>
      <c r="K395" s="381">
        <f>IF(AND('ABRIL 2026'!D84&lt;&gt;"",'ABRIL 2026'!Z84="POR RECOGER"),'ABRIL 2026'!Y84,"")</f>
        <v/>
      </c>
      <c r="L395" s="381">
        <f>IF(AND('ABRIL 2026'!D84&lt;&gt;"",'ABRIL 2026'!Z84="POR RECOGER"),'ABRIL 2026'!I84,"")</f>
        <v/>
      </c>
      <c r="P395" s="194" t="n"/>
      <c r="Q395" s="194" t="n"/>
      <c r="R395" s="194" t="n"/>
      <c r="S395" s="194" t="n"/>
      <c r="T395" s="194" t="n"/>
      <c r="U395" s="194" t="n"/>
      <c r="V395" s="194" t="n"/>
      <c r="W395" s="194" t="n"/>
      <c r="X395" s="194" t="n"/>
      <c r="Y395" s="194" t="n"/>
      <c r="Z395" s="194" t="n"/>
    </row>
    <row r="396" ht="15" customHeight="1" s="195">
      <c r="A396" s="381">
        <f>IF(AND('ABRIL 2026'!D85&lt;&gt;"",'ABRIL 2026'!Z85="POR RECOGER"),"ABR","")</f>
        <v/>
      </c>
      <c r="B396" s="381">
        <f>IF(AND('ABRIL 2026'!D85&lt;&gt;"",'ABRIL 2026'!Z85="POR RECOGER"),IF('ABRIL 2026'!Y85&lt;&gt;"",'ABRIL 2026'!Y85,'ABRIL 2026'!I85),"")</f>
        <v/>
      </c>
      <c r="C396" s="381">
        <f>IF(AND('ABRIL 2026'!D85&lt;&gt;"",'ABRIL 2026'!Z85="POR RECOGER"),'ABRIL 2026'!D85,"")</f>
        <v/>
      </c>
      <c r="D396" s="381">
        <f>IF(AND('ABRIL 2026'!D85&lt;&gt;"",'ABRIL 2026'!Z85="POR RECOGER"),'ABRIL 2026'!F85,"")</f>
        <v/>
      </c>
      <c r="E396" s="381">
        <f>IF(AND('ABRIL 2026'!D85&lt;&gt;"",'ABRIL 2026'!Z85="POR RECOGER"),TEXT('ABRIL 2026'!G85,"DD/MM/YYYY"),"")</f>
        <v/>
      </c>
      <c r="F396" s="381">
        <f>IF(AND('ABRIL 2026'!D85&lt;&gt;"",'ABRIL 2026'!Z85="POR RECOGER"),'ABRIL 2026'!K85,"")</f>
        <v/>
      </c>
      <c r="G396" s="382">
        <f>IF(AND('ABRIL 2026'!D85&lt;&gt;"",'ABRIL 2026'!Z85="POR RECOGER"),'ABRIL 2026'!M85,"")</f>
        <v/>
      </c>
      <c r="H396" s="382">
        <f>IF(AND('ABRIL 2026'!D85&lt;&gt;"",'ABRIL 2026'!Z85="POR RECOGER"),'ABRIL 2026'!N85,"")</f>
        <v/>
      </c>
      <c r="I396" s="381">
        <f>IF(AND('ABRIL 2026'!D85&lt;&gt;"",'ABRIL 2026'!Z85="POR RECOGER"),'ABRIL 2026'!P85,"")</f>
        <v/>
      </c>
      <c r="J396" s="381">
        <f>IF(AND('ABRIL 2026'!D85&lt;&gt;"",'ABRIL 2026'!Z85="POR RECOGER"),'ABRIL 2026'!Q85,"")</f>
        <v/>
      </c>
      <c r="K396" s="381">
        <f>IF(AND('ABRIL 2026'!D85&lt;&gt;"",'ABRIL 2026'!Z85="POR RECOGER"),'ABRIL 2026'!Y85,"")</f>
        <v/>
      </c>
      <c r="L396" s="381">
        <f>IF(AND('ABRIL 2026'!D85&lt;&gt;"",'ABRIL 2026'!Z85="POR RECOGER"),'ABRIL 2026'!I85,"")</f>
        <v/>
      </c>
      <c r="P396" s="194" t="n"/>
      <c r="Q396" s="194" t="n"/>
      <c r="R396" s="194" t="n"/>
      <c r="S396" s="194" t="n"/>
      <c r="T396" s="194" t="n"/>
      <c r="U396" s="194" t="n"/>
      <c r="V396" s="194" t="n"/>
      <c r="W396" s="194" t="n"/>
      <c r="X396" s="194" t="n"/>
      <c r="Y396" s="194" t="n"/>
      <c r="Z396" s="194" t="n"/>
    </row>
    <row r="397" ht="15" customHeight="1" s="195">
      <c r="A397" s="381">
        <f>IF(AND('ABRIL 2026'!D86&lt;&gt;"",'ABRIL 2026'!Z86="POR RECOGER"),"ABR","")</f>
        <v/>
      </c>
      <c r="B397" s="381">
        <f>IF(AND('ABRIL 2026'!D86&lt;&gt;"",'ABRIL 2026'!Z86="POR RECOGER"),IF('ABRIL 2026'!Y86&lt;&gt;"",'ABRIL 2026'!Y86,'ABRIL 2026'!I86),"")</f>
        <v/>
      </c>
      <c r="C397" s="381">
        <f>IF(AND('ABRIL 2026'!D86&lt;&gt;"",'ABRIL 2026'!Z86="POR RECOGER"),'ABRIL 2026'!D86,"")</f>
        <v/>
      </c>
      <c r="D397" s="381">
        <f>IF(AND('ABRIL 2026'!D86&lt;&gt;"",'ABRIL 2026'!Z86="POR RECOGER"),'ABRIL 2026'!F86,"")</f>
        <v/>
      </c>
      <c r="E397" s="381">
        <f>IF(AND('ABRIL 2026'!D86&lt;&gt;"",'ABRIL 2026'!Z86="POR RECOGER"),TEXT('ABRIL 2026'!G86,"DD/MM/YYYY"),"")</f>
        <v/>
      </c>
      <c r="F397" s="381">
        <f>IF(AND('ABRIL 2026'!D86&lt;&gt;"",'ABRIL 2026'!Z86="POR RECOGER"),'ABRIL 2026'!K86,"")</f>
        <v/>
      </c>
      <c r="G397" s="382">
        <f>IF(AND('ABRIL 2026'!D86&lt;&gt;"",'ABRIL 2026'!Z86="POR RECOGER"),'ABRIL 2026'!M86,"")</f>
        <v/>
      </c>
      <c r="H397" s="382">
        <f>IF(AND('ABRIL 2026'!D86&lt;&gt;"",'ABRIL 2026'!Z86="POR RECOGER"),'ABRIL 2026'!N86,"")</f>
        <v/>
      </c>
      <c r="I397" s="381">
        <f>IF(AND('ABRIL 2026'!D86&lt;&gt;"",'ABRIL 2026'!Z86="POR RECOGER"),'ABRIL 2026'!P86,"")</f>
        <v/>
      </c>
      <c r="J397" s="381">
        <f>IF(AND('ABRIL 2026'!D86&lt;&gt;"",'ABRIL 2026'!Z86="POR RECOGER"),'ABRIL 2026'!Q86,"")</f>
        <v/>
      </c>
      <c r="K397" s="381">
        <f>IF(AND('ABRIL 2026'!D86&lt;&gt;"",'ABRIL 2026'!Z86="POR RECOGER"),'ABRIL 2026'!Y86,"")</f>
        <v/>
      </c>
      <c r="L397" s="381">
        <f>IF(AND('ABRIL 2026'!D86&lt;&gt;"",'ABRIL 2026'!Z86="POR RECOGER"),'ABRIL 2026'!I86,"")</f>
        <v/>
      </c>
      <c r="P397" s="194" t="n"/>
      <c r="Q397" s="194" t="n"/>
      <c r="R397" s="194" t="n"/>
      <c r="S397" s="194" t="n"/>
      <c r="T397" s="194" t="n"/>
      <c r="U397" s="194" t="n"/>
      <c r="V397" s="194" t="n"/>
      <c r="W397" s="194" t="n"/>
      <c r="X397" s="194" t="n"/>
      <c r="Y397" s="194" t="n"/>
      <c r="Z397" s="194" t="n"/>
    </row>
    <row r="398" ht="15" customHeight="1" s="195">
      <c r="A398" s="381">
        <f>IF(AND('ABRIL 2026'!D87&lt;&gt;"",'ABRIL 2026'!Z87="POR RECOGER"),"ABR","")</f>
        <v/>
      </c>
      <c r="B398" s="381">
        <f>IF(AND('ABRIL 2026'!D87&lt;&gt;"",'ABRIL 2026'!Z87="POR RECOGER"),IF('ABRIL 2026'!Y87&lt;&gt;"",'ABRIL 2026'!Y87,'ABRIL 2026'!I87),"")</f>
        <v/>
      </c>
      <c r="C398" s="381">
        <f>IF(AND('ABRIL 2026'!D87&lt;&gt;"",'ABRIL 2026'!Z87="POR RECOGER"),'ABRIL 2026'!D87,"")</f>
        <v/>
      </c>
      <c r="D398" s="381">
        <f>IF(AND('ABRIL 2026'!D87&lt;&gt;"",'ABRIL 2026'!Z87="POR RECOGER"),'ABRIL 2026'!F87,"")</f>
        <v/>
      </c>
      <c r="E398" s="381">
        <f>IF(AND('ABRIL 2026'!D87&lt;&gt;"",'ABRIL 2026'!Z87="POR RECOGER"),TEXT('ABRIL 2026'!G87,"DD/MM/YYYY"),"")</f>
        <v/>
      </c>
      <c r="F398" s="381">
        <f>IF(AND('ABRIL 2026'!D87&lt;&gt;"",'ABRIL 2026'!Z87="POR RECOGER"),'ABRIL 2026'!K87,"")</f>
        <v/>
      </c>
      <c r="G398" s="382">
        <f>IF(AND('ABRIL 2026'!D87&lt;&gt;"",'ABRIL 2026'!Z87="POR RECOGER"),'ABRIL 2026'!M87,"")</f>
        <v/>
      </c>
      <c r="H398" s="382">
        <f>IF(AND('ABRIL 2026'!D87&lt;&gt;"",'ABRIL 2026'!Z87="POR RECOGER"),'ABRIL 2026'!N87,"")</f>
        <v/>
      </c>
      <c r="I398" s="381">
        <f>IF(AND('ABRIL 2026'!D87&lt;&gt;"",'ABRIL 2026'!Z87="POR RECOGER"),'ABRIL 2026'!P87,"")</f>
        <v/>
      </c>
      <c r="J398" s="381">
        <f>IF(AND('ABRIL 2026'!D87&lt;&gt;"",'ABRIL 2026'!Z87="POR RECOGER"),'ABRIL 2026'!Q87,"")</f>
        <v/>
      </c>
      <c r="K398" s="381">
        <f>IF(AND('ABRIL 2026'!D87&lt;&gt;"",'ABRIL 2026'!Z87="POR RECOGER"),'ABRIL 2026'!Y87,"")</f>
        <v/>
      </c>
      <c r="L398" s="381">
        <f>IF(AND('ABRIL 2026'!D87&lt;&gt;"",'ABRIL 2026'!Z87="POR RECOGER"),'ABRIL 2026'!I87,"")</f>
        <v/>
      </c>
      <c r="P398" s="194" t="n"/>
      <c r="Q398" s="194" t="n"/>
      <c r="R398" s="194" t="n"/>
      <c r="S398" s="194" t="n"/>
      <c r="T398" s="194" t="n"/>
      <c r="U398" s="194" t="n"/>
      <c r="V398" s="194" t="n"/>
      <c r="W398" s="194" t="n"/>
      <c r="X398" s="194" t="n"/>
      <c r="Y398" s="194" t="n"/>
      <c r="Z398" s="194" t="n"/>
    </row>
    <row r="399" ht="15" customHeight="1" s="195">
      <c r="A399" s="381">
        <f>IF(AND('ABRIL 2026'!D88&lt;&gt;"",'ABRIL 2026'!Z88="POR RECOGER"),"ABR","")</f>
        <v/>
      </c>
      <c r="B399" s="381">
        <f>IF(AND('ABRIL 2026'!D88&lt;&gt;"",'ABRIL 2026'!Z88="POR RECOGER"),IF('ABRIL 2026'!Y88&lt;&gt;"",'ABRIL 2026'!Y88,'ABRIL 2026'!I88),"")</f>
        <v/>
      </c>
      <c r="C399" s="381">
        <f>IF(AND('ABRIL 2026'!D88&lt;&gt;"",'ABRIL 2026'!Z88="POR RECOGER"),'ABRIL 2026'!D88,"")</f>
        <v/>
      </c>
      <c r="D399" s="381">
        <f>IF(AND('ABRIL 2026'!D88&lt;&gt;"",'ABRIL 2026'!Z88="POR RECOGER"),'ABRIL 2026'!F88,"")</f>
        <v/>
      </c>
      <c r="E399" s="381">
        <f>IF(AND('ABRIL 2026'!D88&lt;&gt;"",'ABRIL 2026'!Z88="POR RECOGER"),TEXT('ABRIL 2026'!G88,"DD/MM/YYYY"),"")</f>
        <v/>
      </c>
      <c r="F399" s="381">
        <f>IF(AND('ABRIL 2026'!D88&lt;&gt;"",'ABRIL 2026'!Z88="POR RECOGER"),'ABRIL 2026'!K88,"")</f>
        <v/>
      </c>
      <c r="G399" s="382">
        <f>IF(AND('ABRIL 2026'!D88&lt;&gt;"",'ABRIL 2026'!Z88="POR RECOGER"),'ABRIL 2026'!M88,"")</f>
        <v/>
      </c>
      <c r="H399" s="382">
        <f>IF(AND('ABRIL 2026'!D88&lt;&gt;"",'ABRIL 2026'!Z88="POR RECOGER"),'ABRIL 2026'!N88,"")</f>
        <v/>
      </c>
      <c r="I399" s="381">
        <f>IF(AND('ABRIL 2026'!D88&lt;&gt;"",'ABRIL 2026'!Z88="POR RECOGER"),'ABRIL 2026'!P88,"")</f>
        <v/>
      </c>
      <c r="J399" s="381">
        <f>IF(AND('ABRIL 2026'!D88&lt;&gt;"",'ABRIL 2026'!Z88="POR RECOGER"),'ABRIL 2026'!Q88,"")</f>
        <v/>
      </c>
      <c r="K399" s="381">
        <f>IF(AND('ABRIL 2026'!D88&lt;&gt;"",'ABRIL 2026'!Z88="POR RECOGER"),'ABRIL 2026'!Y88,"")</f>
        <v/>
      </c>
      <c r="L399" s="381">
        <f>IF(AND('ABRIL 2026'!D88&lt;&gt;"",'ABRIL 2026'!Z88="POR RECOGER"),'ABRIL 2026'!I88,"")</f>
        <v/>
      </c>
      <c r="P399" s="194" t="n"/>
      <c r="Q399" s="194" t="n"/>
      <c r="R399" s="194" t="n"/>
      <c r="S399" s="194" t="n"/>
      <c r="T399" s="194" t="n"/>
      <c r="U399" s="194" t="n"/>
      <c r="V399" s="194" t="n"/>
      <c r="W399" s="194" t="n"/>
      <c r="X399" s="194" t="n"/>
      <c r="Y399" s="194" t="n"/>
      <c r="Z399" s="194" t="n"/>
    </row>
    <row r="400" ht="15" customHeight="1" s="195">
      <c r="A400" s="381">
        <f>IF(AND('ABRIL 2026'!D89&lt;&gt;"",'ABRIL 2026'!Z89="POR RECOGER"),"ABR","")</f>
        <v/>
      </c>
      <c r="B400" s="381">
        <f>IF(AND('ABRIL 2026'!D89&lt;&gt;"",'ABRIL 2026'!Z89="POR RECOGER"),IF('ABRIL 2026'!Y89&lt;&gt;"",'ABRIL 2026'!Y89,'ABRIL 2026'!I89),"")</f>
        <v/>
      </c>
      <c r="C400" s="381">
        <f>IF(AND('ABRIL 2026'!D89&lt;&gt;"",'ABRIL 2026'!Z89="POR RECOGER"),'ABRIL 2026'!D89,"")</f>
        <v/>
      </c>
      <c r="D400" s="381">
        <f>IF(AND('ABRIL 2026'!D89&lt;&gt;"",'ABRIL 2026'!Z89="POR RECOGER"),'ABRIL 2026'!F89,"")</f>
        <v/>
      </c>
      <c r="E400" s="381">
        <f>IF(AND('ABRIL 2026'!D89&lt;&gt;"",'ABRIL 2026'!Z89="POR RECOGER"),TEXT('ABRIL 2026'!G89,"DD/MM/YYYY"),"")</f>
        <v/>
      </c>
      <c r="F400" s="381">
        <f>IF(AND('ABRIL 2026'!D89&lt;&gt;"",'ABRIL 2026'!Z89="POR RECOGER"),'ABRIL 2026'!K89,"")</f>
        <v/>
      </c>
      <c r="G400" s="382">
        <f>IF(AND('ABRIL 2026'!D89&lt;&gt;"",'ABRIL 2026'!Z89="POR RECOGER"),'ABRIL 2026'!M89,"")</f>
        <v/>
      </c>
      <c r="H400" s="382">
        <f>IF(AND('ABRIL 2026'!D89&lt;&gt;"",'ABRIL 2026'!Z89="POR RECOGER"),'ABRIL 2026'!N89,"")</f>
        <v/>
      </c>
      <c r="I400" s="381">
        <f>IF(AND('ABRIL 2026'!D89&lt;&gt;"",'ABRIL 2026'!Z89="POR RECOGER"),'ABRIL 2026'!P89,"")</f>
        <v/>
      </c>
      <c r="J400" s="381">
        <f>IF(AND('ABRIL 2026'!D89&lt;&gt;"",'ABRIL 2026'!Z89="POR RECOGER"),'ABRIL 2026'!Q89,"")</f>
        <v/>
      </c>
      <c r="K400" s="381">
        <f>IF(AND('ABRIL 2026'!D89&lt;&gt;"",'ABRIL 2026'!Z89="POR RECOGER"),'ABRIL 2026'!Y89,"")</f>
        <v/>
      </c>
      <c r="L400" s="381">
        <f>IF(AND('ABRIL 2026'!D89&lt;&gt;"",'ABRIL 2026'!Z89="POR RECOGER"),'ABRIL 2026'!I89,"")</f>
        <v/>
      </c>
      <c r="P400" s="194" t="n"/>
      <c r="Q400" s="194" t="n"/>
      <c r="R400" s="194" t="n"/>
      <c r="S400" s="194" t="n"/>
      <c r="T400" s="194" t="n"/>
      <c r="U400" s="194" t="n"/>
      <c r="V400" s="194" t="n"/>
      <c r="W400" s="194" t="n"/>
      <c r="X400" s="194" t="n"/>
      <c r="Y400" s="194" t="n"/>
      <c r="Z400" s="194" t="n"/>
    </row>
    <row r="401" ht="15" customHeight="1" s="195">
      <c r="A401" s="381">
        <f>IF(AND('ABRIL 2026'!D90&lt;&gt;"",'ABRIL 2026'!Z90="POR RECOGER"),"ABR","")</f>
        <v/>
      </c>
      <c r="B401" s="381">
        <f>IF(AND('ABRIL 2026'!D90&lt;&gt;"",'ABRIL 2026'!Z90="POR RECOGER"),IF('ABRIL 2026'!Y90&lt;&gt;"",'ABRIL 2026'!Y90,'ABRIL 2026'!I90),"")</f>
        <v/>
      </c>
      <c r="C401" s="381">
        <f>IF(AND('ABRIL 2026'!D90&lt;&gt;"",'ABRIL 2026'!Z90="POR RECOGER"),'ABRIL 2026'!D90,"")</f>
        <v/>
      </c>
      <c r="D401" s="381">
        <f>IF(AND('ABRIL 2026'!D90&lt;&gt;"",'ABRIL 2026'!Z90="POR RECOGER"),'ABRIL 2026'!F90,"")</f>
        <v/>
      </c>
      <c r="E401" s="381">
        <f>IF(AND('ABRIL 2026'!D90&lt;&gt;"",'ABRIL 2026'!Z90="POR RECOGER"),TEXT('ABRIL 2026'!G90,"DD/MM/YYYY"),"")</f>
        <v/>
      </c>
      <c r="F401" s="381">
        <f>IF(AND('ABRIL 2026'!D90&lt;&gt;"",'ABRIL 2026'!Z90="POR RECOGER"),'ABRIL 2026'!K90,"")</f>
        <v/>
      </c>
      <c r="G401" s="382">
        <f>IF(AND('ABRIL 2026'!D90&lt;&gt;"",'ABRIL 2026'!Z90="POR RECOGER"),'ABRIL 2026'!M90,"")</f>
        <v/>
      </c>
      <c r="H401" s="382">
        <f>IF(AND('ABRIL 2026'!D90&lt;&gt;"",'ABRIL 2026'!Z90="POR RECOGER"),'ABRIL 2026'!N90,"")</f>
        <v/>
      </c>
      <c r="I401" s="381">
        <f>IF(AND('ABRIL 2026'!D90&lt;&gt;"",'ABRIL 2026'!Z90="POR RECOGER"),'ABRIL 2026'!P90,"")</f>
        <v/>
      </c>
      <c r="J401" s="381">
        <f>IF(AND('ABRIL 2026'!D90&lt;&gt;"",'ABRIL 2026'!Z90="POR RECOGER"),'ABRIL 2026'!Q90,"")</f>
        <v/>
      </c>
      <c r="K401" s="381">
        <f>IF(AND('ABRIL 2026'!D90&lt;&gt;"",'ABRIL 2026'!Z90="POR RECOGER"),'ABRIL 2026'!Y90,"")</f>
        <v/>
      </c>
      <c r="L401" s="381">
        <f>IF(AND('ABRIL 2026'!D90&lt;&gt;"",'ABRIL 2026'!Z90="POR RECOGER"),'ABRIL 2026'!I90,"")</f>
        <v/>
      </c>
      <c r="P401" s="194" t="n"/>
      <c r="Q401" s="194" t="n"/>
      <c r="R401" s="194" t="n"/>
      <c r="S401" s="194" t="n"/>
      <c r="T401" s="194" t="n"/>
      <c r="U401" s="194" t="n"/>
      <c r="V401" s="194" t="n"/>
      <c r="W401" s="194" t="n"/>
      <c r="X401" s="194" t="n"/>
      <c r="Y401" s="194" t="n"/>
      <c r="Z401" s="194" t="n"/>
    </row>
    <row r="402" ht="15" customHeight="1" s="195">
      <c r="A402" s="381">
        <f>IF(AND('ABRIL 2026'!D91&lt;&gt;"",'ABRIL 2026'!Z91="POR RECOGER"),"ABR","")</f>
        <v/>
      </c>
      <c r="B402" s="381">
        <f>IF(AND('ABRIL 2026'!D91&lt;&gt;"",'ABRIL 2026'!Z91="POR RECOGER"),IF('ABRIL 2026'!Y91&lt;&gt;"",'ABRIL 2026'!Y91,'ABRIL 2026'!I91),"")</f>
        <v/>
      </c>
      <c r="C402" s="381">
        <f>IF(AND('ABRIL 2026'!D91&lt;&gt;"",'ABRIL 2026'!Z91="POR RECOGER"),'ABRIL 2026'!D91,"")</f>
        <v/>
      </c>
      <c r="D402" s="381">
        <f>IF(AND('ABRIL 2026'!D91&lt;&gt;"",'ABRIL 2026'!Z91="POR RECOGER"),'ABRIL 2026'!F91,"")</f>
        <v/>
      </c>
      <c r="E402" s="381">
        <f>IF(AND('ABRIL 2026'!D91&lt;&gt;"",'ABRIL 2026'!Z91="POR RECOGER"),TEXT('ABRIL 2026'!G91,"DD/MM/YYYY"),"")</f>
        <v/>
      </c>
      <c r="F402" s="381">
        <f>IF(AND('ABRIL 2026'!D91&lt;&gt;"",'ABRIL 2026'!Z91="POR RECOGER"),'ABRIL 2026'!K91,"")</f>
        <v/>
      </c>
      <c r="G402" s="382">
        <f>IF(AND('ABRIL 2026'!D91&lt;&gt;"",'ABRIL 2026'!Z91="POR RECOGER"),'ABRIL 2026'!M91,"")</f>
        <v/>
      </c>
      <c r="H402" s="382">
        <f>IF(AND('ABRIL 2026'!D91&lt;&gt;"",'ABRIL 2026'!Z91="POR RECOGER"),'ABRIL 2026'!N91,"")</f>
        <v/>
      </c>
      <c r="I402" s="381">
        <f>IF(AND('ABRIL 2026'!D91&lt;&gt;"",'ABRIL 2026'!Z91="POR RECOGER"),'ABRIL 2026'!P91,"")</f>
        <v/>
      </c>
      <c r="J402" s="381">
        <f>IF(AND('ABRIL 2026'!D91&lt;&gt;"",'ABRIL 2026'!Z91="POR RECOGER"),'ABRIL 2026'!Q91,"")</f>
        <v/>
      </c>
      <c r="K402" s="381">
        <f>IF(AND('ABRIL 2026'!D91&lt;&gt;"",'ABRIL 2026'!Z91="POR RECOGER"),'ABRIL 2026'!Y91,"")</f>
        <v/>
      </c>
      <c r="L402" s="381">
        <f>IF(AND('ABRIL 2026'!D91&lt;&gt;"",'ABRIL 2026'!Z91="POR RECOGER"),'ABRIL 2026'!I91,"")</f>
        <v/>
      </c>
      <c r="P402" s="194" t="n"/>
      <c r="Q402" s="194" t="n"/>
      <c r="R402" s="194" t="n"/>
      <c r="S402" s="194" t="n"/>
      <c r="T402" s="194" t="n"/>
      <c r="U402" s="194" t="n"/>
      <c r="V402" s="194" t="n"/>
      <c r="W402" s="194" t="n"/>
      <c r="X402" s="194" t="n"/>
      <c r="Y402" s="194" t="n"/>
      <c r="Z402" s="194" t="n"/>
    </row>
    <row r="403" ht="15" customHeight="1" s="195">
      <c r="A403" s="381">
        <f>IF(AND('ABRIL 2026'!D92&lt;&gt;"",'ABRIL 2026'!Z92="POR RECOGER"),"ABR","")</f>
        <v/>
      </c>
      <c r="B403" s="381">
        <f>IF(AND('ABRIL 2026'!D92&lt;&gt;"",'ABRIL 2026'!Z92="POR RECOGER"),IF('ABRIL 2026'!Y92&lt;&gt;"",'ABRIL 2026'!Y92,'ABRIL 2026'!I92),"")</f>
        <v/>
      </c>
      <c r="C403" s="381">
        <f>IF(AND('ABRIL 2026'!D92&lt;&gt;"",'ABRIL 2026'!Z92="POR RECOGER"),'ABRIL 2026'!D92,"")</f>
        <v/>
      </c>
      <c r="D403" s="381">
        <f>IF(AND('ABRIL 2026'!D92&lt;&gt;"",'ABRIL 2026'!Z92="POR RECOGER"),'ABRIL 2026'!F92,"")</f>
        <v/>
      </c>
      <c r="E403" s="381">
        <f>IF(AND('ABRIL 2026'!D92&lt;&gt;"",'ABRIL 2026'!Z92="POR RECOGER"),TEXT('ABRIL 2026'!G92,"DD/MM/YYYY"),"")</f>
        <v/>
      </c>
      <c r="F403" s="381">
        <f>IF(AND('ABRIL 2026'!D92&lt;&gt;"",'ABRIL 2026'!Z92="POR RECOGER"),'ABRIL 2026'!K92,"")</f>
        <v/>
      </c>
      <c r="G403" s="382">
        <f>IF(AND('ABRIL 2026'!D92&lt;&gt;"",'ABRIL 2026'!Z92="POR RECOGER"),'ABRIL 2026'!M92,"")</f>
        <v/>
      </c>
      <c r="H403" s="382">
        <f>IF(AND('ABRIL 2026'!D92&lt;&gt;"",'ABRIL 2026'!Z92="POR RECOGER"),'ABRIL 2026'!N92,"")</f>
        <v/>
      </c>
      <c r="I403" s="381">
        <f>IF(AND('ABRIL 2026'!D92&lt;&gt;"",'ABRIL 2026'!Z92="POR RECOGER"),'ABRIL 2026'!P92,"")</f>
        <v/>
      </c>
      <c r="J403" s="381">
        <f>IF(AND('ABRIL 2026'!D92&lt;&gt;"",'ABRIL 2026'!Z92="POR RECOGER"),'ABRIL 2026'!Q92,"")</f>
        <v/>
      </c>
      <c r="K403" s="381">
        <f>IF(AND('ABRIL 2026'!D92&lt;&gt;"",'ABRIL 2026'!Z92="POR RECOGER"),'ABRIL 2026'!Y92,"")</f>
        <v/>
      </c>
      <c r="L403" s="381">
        <f>IF(AND('ABRIL 2026'!D92&lt;&gt;"",'ABRIL 2026'!Z92="POR RECOGER"),'ABRIL 2026'!I92,"")</f>
        <v/>
      </c>
      <c r="P403" s="194" t="n"/>
      <c r="Q403" s="194" t="n"/>
      <c r="R403" s="194" t="n"/>
      <c r="S403" s="194" t="n"/>
      <c r="T403" s="194" t="n"/>
      <c r="U403" s="194" t="n"/>
      <c r="V403" s="194" t="n"/>
      <c r="W403" s="194" t="n"/>
      <c r="X403" s="194" t="n"/>
      <c r="Y403" s="194" t="n"/>
      <c r="Z403" s="194" t="n"/>
    </row>
    <row r="404" ht="15" customHeight="1" s="195">
      <c r="A404" s="381">
        <f>IF(AND('ABRIL 2026'!D93&lt;&gt;"",'ABRIL 2026'!Z93="POR RECOGER"),"ABR","")</f>
        <v/>
      </c>
      <c r="B404" s="381">
        <f>IF(AND('ABRIL 2026'!D93&lt;&gt;"",'ABRIL 2026'!Z93="POR RECOGER"),IF('ABRIL 2026'!Y93&lt;&gt;"",'ABRIL 2026'!Y93,'ABRIL 2026'!I93),"")</f>
        <v/>
      </c>
      <c r="C404" s="381">
        <f>IF(AND('ABRIL 2026'!D93&lt;&gt;"",'ABRIL 2026'!Z93="POR RECOGER"),'ABRIL 2026'!D93,"")</f>
        <v/>
      </c>
      <c r="D404" s="381">
        <f>IF(AND('ABRIL 2026'!D93&lt;&gt;"",'ABRIL 2026'!Z93="POR RECOGER"),'ABRIL 2026'!F93,"")</f>
        <v/>
      </c>
      <c r="E404" s="381">
        <f>IF(AND('ABRIL 2026'!D93&lt;&gt;"",'ABRIL 2026'!Z93="POR RECOGER"),TEXT('ABRIL 2026'!G93,"DD/MM/YYYY"),"")</f>
        <v/>
      </c>
      <c r="F404" s="381">
        <f>IF(AND('ABRIL 2026'!D93&lt;&gt;"",'ABRIL 2026'!Z93="POR RECOGER"),'ABRIL 2026'!K93,"")</f>
        <v/>
      </c>
      <c r="G404" s="382">
        <f>IF(AND('ABRIL 2026'!D93&lt;&gt;"",'ABRIL 2026'!Z93="POR RECOGER"),'ABRIL 2026'!M93,"")</f>
        <v/>
      </c>
      <c r="H404" s="382">
        <f>IF(AND('ABRIL 2026'!D93&lt;&gt;"",'ABRIL 2026'!Z93="POR RECOGER"),'ABRIL 2026'!N93,"")</f>
        <v/>
      </c>
      <c r="I404" s="381">
        <f>IF(AND('ABRIL 2026'!D93&lt;&gt;"",'ABRIL 2026'!Z93="POR RECOGER"),'ABRIL 2026'!P93,"")</f>
        <v/>
      </c>
      <c r="J404" s="381">
        <f>IF(AND('ABRIL 2026'!D93&lt;&gt;"",'ABRIL 2026'!Z93="POR RECOGER"),'ABRIL 2026'!Q93,"")</f>
        <v/>
      </c>
      <c r="K404" s="381">
        <f>IF(AND('ABRIL 2026'!D93&lt;&gt;"",'ABRIL 2026'!Z93="POR RECOGER"),'ABRIL 2026'!Y93,"")</f>
        <v/>
      </c>
      <c r="L404" s="381">
        <f>IF(AND('ABRIL 2026'!D93&lt;&gt;"",'ABRIL 2026'!Z93="POR RECOGER"),'ABRIL 2026'!I93,"")</f>
        <v/>
      </c>
      <c r="P404" s="194" t="n"/>
      <c r="Q404" s="194" t="n"/>
      <c r="R404" s="194" t="n"/>
      <c r="S404" s="194" t="n"/>
      <c r="T404" s="194" t="n"/>
      <c r="U404" s="194" t="n"/>
      <c r="V404" s="194" t="n"/>
      <c r="W404" s="194" t="n"/>
      <c r="X404" s="194" t="n"/>
      <c r="Y404" s="194" t="n"/>
      <c r="Z404" s="194" t="n"/>
    </row>
    <row r="405" ht="15" customHeight="1" s="195">
      <c r="A405" s="381">
        <f>IF(AND('ABRIL 2026'!D94&lt;&gt;"",'ABRIL 2026'!Z94="POR RECOGER"),"ABR","")</f>
        <v/>
      </c>
      <c r="B405" s="381">
        <f>IF(AND('ABRIL 2026'!D94&lt;&gt;"",'ABRIL 2026'!Z94="POR RECOGER"),IF('ABRIL 2026'!Y94&lt;&gt;"",'ABRIL 2026'!Y94,'ABRIL 2026'!I94),"")</f>
        <v/>
      </c>
      <c r="C405" s="381">
        <f>IF(AND('ABRIL 2026'!D94&lt;&gt;"",'ABRIL 2026'!Z94="POR RECOGER"),'ABRIL 2026'!D94,"")</f>
        <v/>
      </c>
      <c r="D405" s="381">
        <f>IF(AND('ABRIL 2026'!D94&lt;&gt;"",'ABRIL 2026'!Z94="POR RECOGER"),'ABRIL 2026'!F94,"")</f>
        <v/>
      </c>
      <c r="E405" s="381">
        <f>IF(AND('ABRIL 2026'!D94&lt;&gt;"",'ABRIL 2026'!Z94="POR RECOGER"),TEXT('ABRIL 2026'!G94,"DD/MM/YYYY"),"")</f>
        <v/>
      </c>
      <c r="F405" s="381">
        <f>IF(AND('ABRIL 2026'!D94&lt;&gt;"",'ABRIL 2026'!Z94="POR RECOGER"),'ABRIL 2026'!K94,"")</f>
        <v/>
      </c>
      <c r="G405" s="382">
        <f>IF(AND('ABRIL 2026'!D94&lt;&gt;"",'ABRIL 2026'!Z94="POR RECOGER"),'ABRIL 2026'!M94,"")</f>
        <v/>
      </c>
      <c r="H405" s="382">
        <f>IF(AND('ABRIL 2026'!D94&lt;&gt;"",'ABRIL 2026'!Z94="POR RECOGER"),'ABRIL 2026'!N94,"")</f>
        <v/>
      </c>
      <c r="I405" s="381">
        <f>IF(AND('ABRIL 2026'!D94&lt;&gt;"",'ABRIL 2026'!Z94="POR RECOGER"),'ABRIL 2026'!P94,"")</f>
        <v/>
      </c>
      <c r="J405" s="381">
        <f>IF(AND('ABRIL 2026'!D94&lt;&gt;"",'ABRIL 2026'!Z94="POR RECOGER"),'ABRIL 2026'!Q94,"")</f>
        <v/>
      </c>
      <c r="K405" s="381">
        <f>IF(AND('ABRIL 2026'!D94&lt;&gt;"",'ABRIL 2026'!Z94="POR RECOGER"),'ABRIL 2026'!Y94,"")</f>
        <v/>
      </c>
      <c r="L405" s="381">
        <f>IF(AND('ABRIL 2026'!D94&lt;&gt;"",'ABRIL 2026'!Z94="POR RECOGER"),'ABRIL 2026'!I94,"")</f>
        <v/>
      </c>
      <c r="P405" s="194" t="n"/>
      <c r="Q405" s="194" t="n"/>
      <c r="R405" s="194" t="n"/>
      <c r="S405" s="194" t="n"/>
      <c r="T405" s="194" t="n"/>
      <c r="U405" s="194" t="n"/>
      <c r="V405" s="194" t="n"/>
      <c r="W405" s="194" t="n"/>
      <c r="X405" s="194" t="n"/>
      <c r="Y405" s="194" t="n"/>
      <c r="Z405" s="194" t="n"/>
    </row>
    <row r="406" ht="15" customHeight="1" s="195">
      <c r="A406" s="381">
        <f>IF(AND('ABRIL 2026'!D95&lt;&gt;"",'ABRIL 2026'!Z95="POR RECOGER"),"ABR","")</f>
        <v/>
      </c>
      <c r="B406" s="381">
        <f>IF(AND('ABRIL 2026'!D95&lt;&gt;"",'ABRIL 2026'!Z95="POR RECOGER"),IF('ABRIL 2026'!Y95&lt;&gt;"",'ABRIL 2026'!Y95,'ABRIL 2026'!I95),"")</f>
        <v/>
      </c>
      <c r="C406" s="381">
        <f>IF(AND('ABRIL 2026'!D95&lt;&gt;"",'ABRIL 2026'!Z95="POR RECOGER"),'ABRIL 2026'!D95,"")</f>
        <v/>
      </c>
      <c r="D406" s="381">
        <f>IF(AND('ABRIL 2026'!D95&lt;&gt;"",'ABRIL 2026'!Z95="POR RECOGER"),'ABRIL 2026'!F95,"")</f>
        <v/>
      </c>
      <c r="E406" s="381">
        <f>IF(AND('ABRIL 2026'!D95&lt;&gt;"",'ABRIL 2026'!Z95="POR RECOGER"),TEXT('ABRIL 2026'!G95,"DD/MM/YYYY"),"")</f>
        <v/>
      </c>
      <c r="F406" s="381">
        <f>IF(AND('ABRIL 2026'!D95&lt;&gt;"",'ABRIL 2026'!Z95="POR RECOGER"),'ABRIL 2026'!K95,"")</f>
        <v/>
      </c>
      <c r="G406" s="382">
        <f>IF(AND('ABRIL 2026'!D95&lt;&gt;"",'ABRIL 2026'!Z95="POR RECOGER"),'ABRIL 2026'!M95,"")</f>
        <v/>
      </c>
      <c r="H406" s="382">
        <f>IF(AND('ABRIL 2026'!D95&lt;&gt;"",'ABRIL 2026'!Z95="POR RECOGER"),'ABRIL 2026'!N95,"")</f>
        <v/>
      </c>
      <c r="I406" s="381">
        <f>IF(AND('ABRIL 2026'!D95&lt;&gt;"",'ABRIL 2026'!Z95="POR RECOGER"),'ABRIL 2026'!P95,"")</f>
        <v/>
      </c>
      <c r="J406" s="381">
        <f>IF(AND('ABRIL 2026'!D95&lt;&gt;"",'ABRIL 2026'!Z95="POR RECOGER"),'ABRIL 2026'!Q95,"")</f>
        <v/>
      </c>
      <c r="K406" s="381">
        <f>IF(AND('ABRIL 2026'!D95&lt;&gt;"",'ABRIL 2026'!Z95="POR RECOGER"),'ABRIL 2026'!Y95,"")</f>
        <v/>
      </c>
      <c r="L406" s="381">
        <f>IF(AND('ABRIL 2026'!D95&lt;&gt;"",'ABRIL 2026'!Z95="POR RECOGER"),'ABRIL 2026'!I95,"")</f>
        <v/>
      </c>
      <c r="P406" s="194" t="n"/>
      <c r="Q406" s="194" t="n"/>
      <c r="R406" s="194" t="n"/>
      <c r="S406" s="194" t="n"/>
      <c r="T406" s="194" t="n"/>
      <c r="U406" s="194" t="n"/>
      <c r="V406" s="194" t="n"/>
      <c r="W406" s="194" t="n"/>
      <c r="X406" s="194" t="n"/>
      <c r="Y406" s="194" t="n"/>
      <c r="Z406" s="194" t="n"/>
    </row>
    <row r="407" ht="15" customHeight="1" s="195">
      <c r="A407" s="381">
        <f>IF(AND('ABRIL 2026'!D96&lt;&gt;"",'ABRIL 2026'!Z96="POR RECOGER"),"ABR","")</f>
        <v/>
      </c>
      <c r="B407" s="381">
        <f>IF(AND('ABRIL 2026'!D96&lt;&gt;"",'ABRIL 2026'!Z96="POR RECOGER"),IF('ABRIL 2026'!Y96&lt;&gt;"",'ABRIL 2026'!Y96,'ABRIL 2026'!I96),"")</f>
        <v/>
      </c>
      <c r="C407" s="381">
        <f>IF(AND('ABRIL 2026'!D96&lt;&gt;"",'ABRIL 2026'!Z96="POR RECOGER"),'ABRIL 2026'!D96,"")</f>
        <v/>
      </c>
      <c r="D407" s="381">
        <f>IF(AND('ABRIL 2026'!D96&lt;&gt;"",'ABRIL 2026'!Z96="POR RECOGER"),'ABRIL 2026'!F96,"")</f>
        <v/>
      </c>
      <c r="E407" s="381">
        <f>IF(AND('ABRIL 2026'!D96&lt;&gt;"",'ABRIL 2026'!Z96="POR RECOGER"),TEXT('ABRIL 2026'!G96,"DD/MM/YYYY"),"")</f>
        <v/>
      </c>
      <c r="F407" s="381">
        <f>IF(AND('ABRIL 2026'!D96&lt;&gt;"",'ABRIL 2026'!Z96="POR RECOGER"),'ABRIL 2026'!K96,"")</f>
        <v/>
      </c>
      <c r="G407" s="382">
        <f>IF(AND('ABRIL 2026'!D96&lt;&gt;"",'ABRIL 2026'!Z96="POR RECOGER"),'ABRIL 2026'!M96,"")</f>
        <v/>
      </c>
      <c r="H407" s="382">
        <f>IF(AND('ABRIL 2026'!D96&lt;&gt;"",'ABRIL 2026'!Z96="POR RECOGER"),'ABRIL 2026'!N96,"")</f>
        <v/>
      </c>
      <c r="I407" s="381">
        <f>IF(AND('ABRIL 2026'!D96&lt;&gt;"",'ABRIL 2026'!Z96="POR RECOGER"),'ABRIL 2026'!P96,"")</f>
        <v/>
      </c>
      <c r="J407" s="381">
        <f>IF(AND('ABRIL 2026'!D96&lt;&gt;"",'ABRIL 2026'!Z96="POR RECOGER"),'ABRIL 2026'!Q96,"")</f>
        <v/>
      </c>
      <c r="K407" s="381">
        <f>IF(AND('ABRIL 2026'!D96&lt;&gt;"",'ABRIL 2026'!Z96="POR RECOGER"),'ABRIL 2026'!Y96,"")</f>
        <v/>
      </c>
      <c r="L407" s="381">
        <f>IF(AND('ABRIL 2026'!D96&lt;&gt;"",'ABRIL 2026'!Z96="POR RECOGER"),'ABRIL 2026'!I96,"")</f>
        <v/>
      </c>
      <c r="P407" s="194" t="n"/>
      <c r="Q407" s="194" t="n"/>
      <c r="R407" s="194" t="n"/>
      <c r="S407" s="194" t="n"/>
      <c r="T407" s="194" t="n"/>
      <c r="U407" s="194" t="n"/>
      <c r="V407" s="194" t="n"/>
      <c r="W407" s="194" t="n"/>
      <c r="X407" s="194" t="n"/>
      <c r="Y407" s="194" t="n"/>
      <c r="Z407" s="194" t="n"/>
    </row>
    <row r="408" ht="15" customHeight="1" s="195">
      <c r="A408" s="381">
        <f>IF(AND('ABRIL 2026'!D97&lt;&gt;"",'ABRIL 2026'!Z97="POR RECOGER"),"ABR","")</f>
        <v/>
      </c>
      <c r="B408" s="381">
        <f>IF(AND('ABRIL 2026'!D97&lt;&gt;"",'ABRIL 2026'!Z97="POR RECOGER"),IF('ABRIL 2026'!Y97&lt;&gt;"",'ABRIL 2026'!Y97,'ABRIL 2026'!I97),"")</f>
        <v/>
      </c>
      <c r="C408" s="381">
        <f>IF(AND('ABRIL 2026'!D97&lt;&gt;"",'ABRIL 2026'!Z97="POR RECOGER"),'ABRIL 2026'!D97,"")</f>
        <v/>
      </c>
      <c r="D408" s="381">
        <f>IF(AND('ABRIL 2026'!D97&lt;&gt;"",'ABRIL 2026'!Z97="POR RECOGER"),'ABRIL 2026'!F97,"")</f>
        <v/>
      </c>
      <c r="E408" s="381">
        <f>IF(AND('ABRIL 2026'!D97&lt;&gt;"",'ABRIL 2026'!Z97="POR RECOGER"),TEXT('ABRIL 2026'!G97,"DD/MM/YYYY"),"")</f>
        <v/>
      </c>
      <c r="F408" s="381">
        <f>IF(AND('ABRIL 2026'!D97&lt;&gt;"",'ABRIL 2026'!Z97="POR RECOGER"),'ABRIL 2026'!K97,"")</f>
        <v/>
      </c>
      <c r="G408" s="382">
        <f>IF(AND('ABRIL 2026'!D97&lt;&gt;"",'ABRIL 2026'!Z97="POR RECOGER"),'ABRIL 2026'!M97,"")</f>
        <v/>
      </c>
      <c r="H408" s="382">
        <f>IF(AND('ABRIL 2026'!D97&lt;&gt;"",'ABRIL 2026'!Z97="POR RECOGER"),'ABRIL 2026'!N97,"")</f>
        <v/>
      </c>
      <c r="I408" s="381">
        <f>IF(AND('ABRIL 2026'!D97&lt;&gt;"",'ABRIL 2026'!Z97="POR RECOGER"),'ABRIL 2026'!P97,"")</f>
        <v/>
      </c>
      <c r="J408" s="381">
        <f>IF(AND('ABRIL 2026'!D97&lt;&gt;"",'ABRIL 2026'!Z97="POR RECOGER"),'ABRIL 2026'!Q97,"")</f>
        <v/>
      </c>
      <c r="K408" s="381">
        <f>IF(AND('ABRIL 2026'!D97&lt;&gt;"",'ABRIL 2026'!Z97="POR RECOGER"),'ABRIL 2026'!Y97,"")</f>
        <v/>
      </c>
      <c r="L408" s="381">
        <f>IF(AND('ABRIL 2026'!D97&lt;&gt;"",'ABRIL 2026'!Z97="POR RECOGER"),'ABRIL 2026'!I97,"")</f>
        <v/>
      </c>
      <c r="P408" s="194" t="n"/>
      <c r="Q408" s="194" t="n"/>
      <c r="R408" s="194" t="n"/>
      <c r="S408" s="194" t="n"/>
      <c r="T408" s="194" t="n"/>
      <c r="U408" s="194" t="n"/>
      <c r="V408" s="194" t="n"/>
      <c r="W408" s="194" t="n"/>
      <c r="X408" s="194" t="n"/>
      <c r="Y408" s="194" t="n"/>
      <c r="Z408" s="194" t="n"/>
    </row>
    <row r="409" ht="15" customHeight="1" s="195">
      <c r="A409" s="381">
        <f>IF(AND('ABRIL 2026'!D98&lt;&gt;"",'ABRIL 2026'!Z98="POR RECOGER"),"ABR","")</f>
        <v/>
      </c>
      <c r="B409" s="381">
        <f>IF(AND('ABRIL 2026'!D98&lt;&gt;"",'ABRIL 2026'!Z98="POR RECOGER"),IF('ABRIL 2026'!Y98&lt;&gt;"",'ABRIL 2026'!Y98,'ABRIL 2026'!I98),"")</f>
        <v/>
      </c>
      <c r="C409" s="381">
        <f>IF(AND('ABRIL 2026'!D98&lt;&gt;"",'ABRIL 2026'!Z98="POR RECOGER"),'ABRIL 2026'!D98,"")</f>
        <v/>
      </c>
      <c r="D409" s="381">
        <f>IF(AND('ABRIL 2026'!D98&lt;&gt;"",'ABRIL 2026'!Z98="POR RECOGER"),'ABRIL 2026'!F98,"")</f>
        <v/>
      </c>
      <c r="E409" s="381">
        <f>IF(AND('ABRIL 2026'!D98&lt;&gt;"",'ABRIL 2026'!Z98="POR RECOGER"),TEXT('ABRIL 2026'!G98,"DD/MM/YYYY"),"")</f>
        <v/>
      </c>
      <c r="F409" s="381">
        <f>IF(AND('ABRIL 2026'!D98&lt;&gt;"",'ABRIL 2026'!Z98="POR RECOGER"),'ABRIL 2026'!K98,"")</f>
        <v/>
      </c>
      <c r="G409" s="382">
        <f>IF(AND('ABRIL 2026'!D98&lt;&gt;"",'ABRIL 2026'!Z98="POR RECOGER"),'ABRIL 2026'!M98,"")</f>
        <v/>
      </c>
      <c r="H409" s="382">
        <f>IF(AND('ABRIL 2026'!D98&lt;&gt;"",'ABRIL 2026'!Z98="POR RECOGER"),'ABRIL 2026'!N98,"")</f>
        <v/>
      </c>
      <c r="I409" s="381">
        <f>IF(AND('ABRIL 2026'!D98&lt;&gt;"",'ABRIL 2026'!Z98="POR RECOGER"),'ABRIL 2026'!P98,"")</f>
        <v/>
      </c>
      <c r="J409" s="381">
        <f>IF(AND('ABRIL 2026'!D98&lt;&gt;"",'ABRIL 2026'!Z98="POR RECOGER"),'ABRIL 2026'!Q98,"")</f>
        <v/>
      </c>
      <c r="K409" s="381">
        <f>IF(AND('ABRIL 2026'!D98&lt;&gt;"",'ABRIL 2026'!Z98="POR RECOGER"),'ABRIL 2026'!Y98,"")</f>
        <v/>
      </c>
      <c r="L409" s="381">
        <f>IF(AND('ABRIL 2026'!D98&lt;&gt;"",'ABRIL 2026'!Z98="POR RECOGER"),'ABRIL 2026'!I98,"")</f>
        <v/>
      </c>
      <c r="P409" s="194" t="n"/>
      <c r="Q409" s="194" t="n"/>
      <c r="R409" s="194" t="n"/>
      <c r="S409" s="194" t="n"/>
      <c r="T409" s="194" t="n"/>
      <c r="U409" s="194" t="n"/>
      <c r="V409" s="194" t="n"/>
      <c r="W409" s="194" t="n"/>
      <c r="X409" s="194" t="n"/>
      <c r="Y409" s="194" t="n"/>
      <c r="Z409" s="194" t="n"/>
    </row>
    <row r="410" ht="15" customHeight="1" s="195">
      <c r="A410" s="381">
        <f>IF(AND('ABRIL 2026'!D99&lt;&gt;"",'ABRIL 2026'!Z99="POR RECOGER"),"ABR","")</f>
        <v/>
      </c>
      <c r="B410" s="381">
        <f>IF(AND('ABRIL 2026'!D99&lt;&gt;"",'ABRIL 2026'!Z99="POR RECOGER"),IF('ABRIL 2026'!Y99&lt;&gt;"",'ABRIL 2026'!Y99,'ABRIL 2026'!I99),"")</f>
        <v/>
      </c>
      <c r="C410" s="381">
        <f>IF(AND('ABRIL 2026'!D99&lt;&gt;"",'ABRIL 2026'!Z99="POR RECOGER"),'ABRIL 2026'!D99,"")</f>
        <v/>
      </c>
      <c r="D410" s="381">
        <f>IF(AND('ABRIL 2026'!D99&lt;&gt;"",'ABRIL 2026'!Z99="POR RECOGER"),'ABRIL 2026'!F99,"")</f>
        <v/>
      </c>
      <c r="E410" s="381">
        <f>IF(AND('ABRIL 2026'!D99&lt;&gt;"",'ABRIL 2026'!Z99="POR RECOGER"),TEXT('ABRIL 2026'!G99,"DD/MM/YYYY"),"")</f>
        <v/>
      </c>
      <c r="F410" s="381">
        <f>IF(AND('ABRIL 2026'!D99&lt;&gt;"",'ABRIL 2026'!Z99="POR RECOGER"),'ABRIL 2026'!K99,"")</f>
        <v/>
      </c>
      <c r="G410" s="382">
        <f>IF(AND('ABRIL 2026'!D99&lt;&gt;"",'ABRIL 2026'!Z99="POR RECOGER"),'ABRIL 2026'!M99,"")</f>
        <v/>
      </c>
      <c r="H410" s="382">
        <f>IF(AND('ABRIL 2026'!D99&lt;&gt;"",'ABRIL 2026'!Z99="POR RECOGER"),'ABRIL 2026'!N99,"")</f>
        <v/>
      </c>
      <c r="I410" s="381">
        <f>IF(AND('ABRIL 2026'!D99&lt;&gt;"",'ABRIL 2026'!Z99="POR RECOGER"),'ABRIL 2026'!P99,"")</f>
        <v/>
      </c>
      <c r="J410" s="381">
        <f>IF(AND('ABRIL 2026'!D99&lt;&gt;"",'ABRIL 2026'!Z99="POR RECOGER"),'ABRIL 2026'!Q99,"")</f>
        <v/>
      </c>
      <c r="K410" s="381">
        <f>IF(AND('ABRIL 2026'!D99&lt;&gt;"",'ABRIL 2026'!Z99="POR RECOGER"),'ABRIL 2026'!Y99,"")</f>
        <v/>
      </c>
      <c r="L410" s="381">
        <f>IF(AND('ABRIL 2026'!D99&lt;&gt;"",'ABRIL 2026'!Z99="POR RECOGER"),'ABRIL 2026'!I99,"")</f>
        <v/>
      </c>
      <c r="P410" s="194" t="n"/>
      <c r="Q410" s="194" t="n"/>
      <c r="R410" s="194" t="n"/>
      <c r="S410" s="194" t="n"/>
      <c r="T410" s="194" t="n"/>
      <c r="U410" s="194" t="n"/>
      <c r="V410" s="194" t="n"/>
      <c r="W410" s="194" t="n"/>
      <c r="X410" s="194" t="n"/>
      <c r="Y410" s="194" t="n"/>
      <c r="Z410" s="194" t="n"/>
    </row>
    <row r="411" ht="15" customHeight="1" s="195">
      <c r="A411" s="381">
        <f>IF(AND('ABRIL 2026'!D100&lt;&gt;"",'ABRIL 2026'!Z100="POR RECOGER"),"ABR","")</f>
        <v/>
      </c>
      <c r="B411" s="381">
        <f>IF(AND('ABRIL 2026'!D100&lt;&gt;"",'ABRIL 2026'!Z100="POR RECOGER"),IF('ABRIL 2026'!Y100&lt;&gt;"",'ABRIL 2026'!Y100,'ABRIL 2026'!I100),"")</f>
        <v/>
      </c>
      <c r="C411" s="381">
        <f>IF(AND('ABRIL 2026'!D100&lt;&gt;"",'ABRIL 2026'!Z100="POR RECOGER"),'ABRIL 2026'!D100,"")</f>
        <v/>
      </c>
      <c r="D411" s="381">
        <f>IF(AND('ABRIL 2026'!D100&lt;&gt;"",'ABRIL 2026'!Z100="POR RECOGER"),'ABRIL 2026'!F100,"")</f>
        <v/>
      </c>
      <c r="E411" s="381">
        <f>IF(AND('ABRIL 2026'!D100&lt;&gt;"",'ABRIL 2026'!Z100="POR RECOGER"),TEXT('ABRIL 2026'!G100,"DD/MM/YYYY"),"")</f>
        <v/>
      </c>
      <c r="F411" s="381">
        <f>IF(AND('ABRIL 2026'!D100&lt;&gt;"",'ABRIL 2026'!Z100="POR RECOGER"),'ABRIL 2026'!K100,"")</f>
        <v/>
      </c>
      <c r="G411" s="382">
        <f>IF(AND('ABRIL 2026'!D100&lt;&gt;"",'ABRIL 2026'!Z100="POR RECOGER"),'ABRIL 2026'!M100,"")</f>
        <v/>
      </c>
      <c r="H411" s="382">
        <f>IF(AND('ABRIL 2026'!D100&lt;&gt;"",'ABRIL 2026'!Z100="POR RECOGER"),'ABRIL 2026'!N100,"")</f>
        <v/>
      </c>
      <c r="I411" s="381">
        <f>IF(AND('ABRIL 2026'!D100&lt;&gt;"",'ABRIL 2026'!Z100="POR RECOGER"),'ABRIL 2026'!P100,"")</f>
        <v/>
      </c>
      <c r="J411" s="381">
        <f>IF(AND('ABRIL 2026'!D100&lt;&gt;"",'ABRIL 2026'!Z100="POR RECOGER"),'ABRIL 2026'!Q100,"")</f>
        <v/>
      </c>
      <c r="K411" s="381">
        <f>IF(AND('ABRIL 2026'!D100&lt;&gt;"",'ABRIL 2026'!Z100="POR RECOGER"),'ABRIL 2026'!Y100,"")</f>
        <v/>
      </c>
      <c r="L411" s="381">
        <f>IF(AND('ABRIL 2026'!D100&lt;&gt;"",'ABRIL 2026'!Z100="POR RECOGER"),'ABRIL 2026'!I100,"")</f>
        <v/>
      </c>
      <c r="P411" s="194" t="n"/>
      <c r="Q411" s="194" t="n"/>
      <c r="R411" s="194" t="n"/>
      <c r="S411" s="194" t="n"/>
      <c r="T411" s="194" t="n"/>
      <c r="U411" s="194" t="n"/>
      <c r="V411" s="194" t="n"/>
      <c r="W411" s="194" t="n"/>
      <c r="X411" s="194" t="n"/>
      <c r="Y411" s="194" t="n"/>
      <c r="Z411" s="194" t="n"/>
    </row>
    <row r="412" ht="15" customHeight="1" s="195">
      <c r="A412" s="381">
        <f>IF(AND('ABRIL 2026'!D101&lt;&gt;"",'ABRIL 2026'!Z101="POR RECOGER"),"ABR","")</f>
        <v/>
      </c>
      <c r="B412" s="381">
        <f>IF(AND('ABRIL 2026'!D101&lt;&gt;"",'ABRIL 2026'!Z101="POR RECOGER"),IF('ABRIL 2026'!Y101&lt;&gt;"",'ABRIL 2026'!Y101,'ABRIL 2026'!I101),"")</f>
        <v/>
      </c>
      <c r="C412" s="381">
        <f>IF(AND('ABRIL 2026'!D101&lt;&gt;"",'ABRIL 2026'!Z101="POR RECOGER"),'ABRIL 2026'!D101,"")</f>
        <v/>
      </c>
      <c r="D412" s="381">
        <f>IF(AND('ABRIL 2026'!D101&lt;&gt;"",'ABRIL 2026'!Z101="POR RECOGER"),'ABRIL 2026'!F101,"")</f>
        <v/>
      </c>
      <c r="E412" s="381">
        <f>IF(AND('ABRIL 2026'!D101&lt;&gt;"",'ABRIL 2026'!Z101="POR RECOGER"),TEXT('ABRIL 2026'!G101,"DD/MM/YYYY"),"")</f>
        <v/>
      </c>
      <c r="F412" s="381">
        <f>IF(AND('ABRIL 2026'!D101&lt;&gt;"",'ABRIL 2026'!Z101="POR RECOGER"),'ABRIL 2026'!K101,"")</f>
        <v/>
      </c>
      <c r="G412" s="382">
        <f>IF(AND('ABRIL 2026'!D101&lt;&gt;"",'ABRIL 2026'!Z101="POR RECOGER"),'ABRIL 2026'!M101,"")</f>
        <v/>
      </c>
      <c r="H412" s="382">
        <f>IF(AND('ABRIL 2026'!D101&lt;&gt;"",'ABRIL 2026'!Z101="POR RECOGER"),'ABRIL 2026'!N101,"")</f>
        <v/>
      </c>
      <c r="I412" s="381">
        <f>IF(AND('ABRIL 2026'!D101&lt;&gt;"",'ABRIL 2026'!Z101="POR RECOGER"),'ABRIL 2026'!P101,"")</f>
        <v/>
      </c>
      <c r="J412" s="381">
        <f>IF(AND('ABRIL 2026'!D101&lt;&gt;"",'ABRIL 2026'!Z101="POR RECOGER"),'ABRIL 2026'!Q101,"")</f>
        <v/>
      </c>
      <c r="K412" s="381">
        <f>IF(AND('ABRIL 2026'!D101&lt;&gt;"",'ABRIL 2026'!Z101="POR RECOGER"),'ABRIL 2026'!Y101,"")</f>
        <v/>
      </c>
      <c r="L412" s="381">
        <f>IF(AND('ABRIL 2026'!D101&lt;&gt;"",'ABRIL 2026'!Z101="POR RECOGER"),'ABRIL 2026'!I101,"")</f>
        <v/>
      </c>
      <c r="P412" s="194" t="n"/>
      <c r="Q412" s="194" t="n"/>
      <c r="R412" s="194" t="n"/>
      <c r="S412" s="194" t="n"/>
      <c r="T412" s="194" t="n"/>
      <c r="U412" s="194" t="n"/>
      <c r="V412" s="194" t="n"/>
      <c r="W412" s="194" t="n"/>
      <c r="X412" s="194" t="n"/>
      <c r="Y412" s="194" t="n"/>
      <c r="Z412" s="194" t="n"/>
    </row>
    <row r="413" ht="15" customHeight="1" s="195">
      <c r="A413" s="381">
        <f>IF(AND('ABRIL 2026'!D102&lt;&gt;"",'ABRIL 2026'!Z102="POR RECOGER"),"ABR","")</f>
        <v/>
      </c>
      <c r="B413" s="381">
        <f>IF(AND('ABRIL 2026'!D102&lt;&gt;"",'ABRIL 2026'!Z102="POR RECOGER"),IF('ABRIL 2026'!Y102&lt;&gt;"",'ABRIL 2026'!Y102,'ABRIL 2026'!I102),"")</f>
        <v/>
      </c>
      <c r="C413" s="381">
        <f>IF(AND('ABRIL 2026'!D102&lt;&gt;"",'ABRIL 2026'!Z102="POR RECOGER"),'ABRIL 2026'!D102,"")</f>
        <v/>
      </c>
      <c r="D413" s="381">
        <f>IF(AND('ABRIL 2026'!D102&lt;&gt;"",'ABRIL 2026'!Z102="POR RECOGER"),'ABRIL 2026'!F102,"")</f>
        <v/>
      </c>
      <c r="E413" s="381">
        <f>IF(AND('ABRIL 2026'!D102&lt;&gt;"",'ABRIL 2026'!Z102="POR RECOGER"),TEXT('ABRIL 2026'!G102,"DD/MM/YYYY"),"")</f>
        <v/>
      </c>
      <c r="F413" s="381">
        <f>IF(AND('ABRIL 2026'!D102&lt;&gt;"",'ABRIL 2026'!Z102="POR RECOGER"),'ABRIL 2026'!K102,"")</f>
        <v/>
      </c>
      <c r="G413" s="382">
        <f>IF(AND('ABRIL 2026'!D102&lt;&gt;"",'ABRIL 2026'!Z102="POR RECOGER"),'ABRIL 2026'!M102,"")</f>
        <v/>
      </c>
      <c r="H413" s="382">
        <f>IF(AND('ABRIL 2026'!D102&lt;&gt;"",'ABRIL 2026'!Z102="POR RECOGER"),'ABRIL 2026'!N102,"")</f>
        <v/>
      </c>
      <c r="I413" s="381">
        <f>IF(AND('ABRIL 2026'!D102&lt;&gt;"",'ABRIL 2026'!Z102="POR RECOGER"),'ABRIL 2026'!P102,"")</f>
        <v/>
      </c>
      <c r="J413" s="381">
        <f>IF(AND('ABRIL 2026'!D102&lt;&gt;"",'ABRIL 2026'!Z102="POR RECOGER"),'ABRIL 2026'!Q102,"")</f>
        <v/>
      </c>
      <c r="K413" s="381">
        <f>IF(AND('ABRIL 2026'!D102&lt;&gt;"",'ABRIL 2026'!Z102="POR RECOGER"),'ABRIL 2026'!Y102,"")</f>
        <v/>
      </c>
      <c r="L413" s="381">
        <f>IF(AND('ABRIL 2026'!D102&lt;&gt;"",'ABRIL 2026'!Z102="POR RECOGER"),'ABRIL 2026'!I102,"")</f>
        <v/>
      </c>
      <c r="P413" s="194" t="n"/>
      <c r="Q413" s="194" t="n"/>
      <c r="R413" s="194" t="n"/>
      <c r="S413" s="194" t="n"/>
      <c r="T413" s="194" t="n"/>
      <c r="U413" s="194" t="n"/>
      <c r="V413" s="194" t="n"/>
      <c r="W413" s="194" t="n"/>
      <c r="X413" s="194" t="n"/>
      <c r="Y413" s="194" t="n"/>
      <c r="Z413" s="194" t="n"/>
    </row>
    <row r="414" ht="15" customHeight="1" s="195">
      <c r="A414" s="381">
        <f>IF(AND('ABRIL 2026'!D103&lt;&gt;"",'ABRIL 2026'!Z103="POR RECOGER"),"ABR","")</f>
        <v/>
      </c>
      <c r="B414" s="381">
        <f>IF(AND('ABRIL 2026'!D103&lt;&gt;"",'ABRIL 2026'!Z103="POR RECOGER"),IF('ABRIL 2026'!Y103&lt;&gt;"",'ABRIL 2026'!Y103,'ABRIL 2026'!I103),"")</f>
        <v/>
      </c>
      <c r="C414" s="381">
        <f>IF(AND('ABRIL 2026'!D103&lt;&gt;"",'ABRIL 2026'!Z103="POR RECOGER"),'ABRIL 2026'!D103,"")</f>
        <v/>
      </c>
      <c r="D414" s="381">
        <f>IF(AND('ABRIL 2026'!D103&lt;&gt;"",'ABRIL 2026'!Z103="POR RECOGER"),'ABRIL 2026'!F103,"")</f>
        <v/>
      </c>
      <c r="E414" s="381">
        <f>IF(AND('ABRIL 2026'!D103&lt;&gt;"",'ABRIL 2026'!Z103="POR RECOGER"),TEXT('ABRIL 2026'!G103,"DD/MM/YYYY"),"")</f>
        <v/>
      </c>
      <c r="F414" s="381">
        <f>IF(AND('ABRIL 2026'!D103&lt;&gt;"",'ABRIL 2026'!Z103="POR RECOGER"),'ABRIL 2026'!K103,"")</f>
        <v/>
      </c>
      <c r="G414" s="382">
        <f>IF(AND('ABRIL 2026'!D103&lt;&gt;"",'ABRIL 2026'!Z103="POR RECOGER"),'ABRIL 2026'!M103,"")</f>
        <v/>
      </c>
      <c r="H414" s="382">
        <f>IF(AND('ABRIL 2026'!D103&lt;&gt;"",'ABRIL 2026'!Z103="POR RECOGER"),'ABRIL 2026'!N103,"")</f>
        <v/>
      </c>
      <c r="I414" s="381">
        <f>IF(AND('ABRIL 2026'!D103&lt;&gt;"",'ABRIL 2026'!Z103="POR RECOGER"),'ABRIL 2026'!P103,"")</f>
        <v/>
      </c>
      <c r="J414" s="381">
        <f>IF(AND('ABRIL 2026'!D103&lt;&gt;"",'ABRIL 2026'!Z103="POR RECOGER"),'ABRIL 2026'!Q103,"")</f>
        <v/>
      </c>
      <c r="K414" s="381">
        <f>IF(AND('ABRIL 2026'!D103&lt;&gt;"",'ABRIL 2026'!Z103="POR RECOGER"),'ABRIL 2026'!Y103,"")</f>
        <v/>
      </c>
      <c r="L414" s="381">
        <f>IF(AND('ABRIL 2026'!D103&lt;&gt;"",'ABRIL 2026'!Z103="POR RECOGER"),'ABRIL 2026'!I103,"")</f>
        <v/>
      </c>
      <c r="P414" s="194" t="n"/>
      <c r="Q414" s="194" t="n"/>
      <c r="R414" s="194" t="n"/>
      <c r="S414" s="194" t="n"/>
      <c r="T414" s="194" t="n"/>
      <c r="U414" s="194" t="n"/>
      <c r="V414" s="194" t="n"/>
      <c r="W414" s="194" t="n"/>
      <c r="X414" s="194" t="n"/>
      <c r="Y414" s="194" t="n"/>
      <c r="Z414" s="194" t="n"/>
    </row>
    <row r="415" ht="15" customHeight="1" s="195">
      <c r="A415" s="381">
        <f>IF(AND('ABRIL 2026'!D104&lt;&gt;"",'ABRIL 2026'!Z104="POR RECOGER"),"ABR","")</f>
        <v/>
      </c>
      <c r="B415" s="381">
        <f>IF(AND('ABRIL 2026'!D104&lt;&gt;"",'ABRIL 2026'!Z104="POR RECOGER"),IF('ABRIL 2026'!Y104&lt;&gt;"",'ABRIL 2026'!Y104,'ABRIL 2026'!I104),"")</f>
        <v/>
      </c>
      <c r="C415" s="381">
        <f>IF(AND('ABRIL 2026'!D104&lt;&gt;"",'ABRIL 2026'!Z104="POR RECOGER"),'ABRIL 2026'!D104,"")</f>
        <v/>
      </c>
      <c r="D415" s="381">
        <f>IF(AND('ABRIL 2026'!D104&lt;&gt;"",'ABRIL 2026'!Z104="POR RECOGER"),'ABRIL 2026'!F104,"")</f>
        <v/>
      </c>
      <c r="E415" s="381">
        <f>IF(AND('ABRIL 2026'!D104&lt;&gt;"",'ABRIL 2026'!Z104="POR RECOGER"),TEXT('ABRIL 2026'!G104,"DD/MM/YYYY"),"")</f>
        <v/>
      </c>
      <c r="F415" s="381">
        <f>IF(AND('ABRIL 2026'!D104&lt;&gt;"",'ABRIL 2026'!Z104="POR RECOGER"),'ABRIL 2026'!K104,"")</f>
        <v/>
      </c>
      <c r="G415" s="382">
        <f>IF(AND('ABRIL 2026'!D104&lt;&gt;"",'ABRIL 2026'!Z104="POR RECOGER"),'ABRIL 2026'!M104,"")</f>
        <v/>
      </c>
      <c r="H415" s="382">
        <f>IF(AND('ABRIL 2026'!D104&lt;&gt;"",'ABRIL 2026'!Z104="POR RECOGER"),'ABRIL 2026'!N104,"")</f>
        <v/>
      </c>
      <c r="I415" s="381">
        <f>IF(AND('ABRIL 2026'!D104&lt;&gt;"",'ABRIL 2026'!Z104="POR RECOGER"),'ABRIL 2026'!P104,"")</f>
        <v/>
      </c>
      <c r="J415" s="381">
        <f>IF(AND('ABRIL 2026'!D104&lt;&gt;"",'ABRIL 2026'!Z104="POR RECOGER"),'ABRIL 2026'!Q104,"")</f>
        <v/>
      </c>
      <c r="K415" s="381">
        <f>IF(AND('ABRIL 2026'!D104&lt;&gt;"",'ABRIL 2026'!Z104="POR RECOGER"),'ABRIL 2026'!Y104,"")</f>
        <v/>
      </c>
      <c r="L415" s="381">
        <f>IF(AND('ABRIL 2026'!D104&lt;&gt;"",'ABRIL 2026'!Z104="POR RECOGER"),'ABRIL 2026'!I104,"")</f>
        <v/>
      </c>
      <c r="P415" s="194" t="n"/>
      <c r="Q415" s="194" t="n"/>
      <c r="R415" s="194" t="n"/>
      <c r="S415" s="194" t="n"/>
      <c r="T415" s="194" t="n"/>
      <c r="U415" s="194" t="n"/>
      <c r="V415" s="194" t="n"/>
      <c r="W415" s="194" t="n"/>
      <c r="X415" s="194" t="n"/>
      <c r="Y415" s="194" t="n"/>
      <c r="Z415" s="194" t="n"/>
    </row>
    <row r="416" ht="15" customHeight="1" s="195">
      <c r="A416" s="381">
        <f>IF(AND('ABRIL 2026'!D105&lt;&gt;"",'ABRIL 2026'!Z105="POR RECOGER"),"ABR","")</f>
        <v/>
      </c>
      <c r="B416" s="381">
        <f>IF(AND('ABRIL 2026'!D105&lt;&gt;"",'ABRIL 2026'!Z105="POR RECOGER"),IF('ABRIL 2026'!Y105&lt;&gt;"",'ABRIL 2026'!Y105,'ABRIL 2026'!I105),"")</f>
        <v/>
      </c>
      <c r="C416" s="381">
        <f>IF(AND('ABRIL 2026'!D105&lt;&gt;"",'ABRIL 2026'!Z105="POR RECOGER"),'ABRIL 2026'!D105,"")</f>
        <v/>
      </c>
      <c r="D416" s="381">
        <f>IF(AND('ABRIL 2026'!D105&lt;&gt;"",'ABRIL 2026'!Z105="POR RECOGER"),'ABRIL 2026'!F105,"")</f>
        <v/>
      </c>
      <c r="E416" s="381">
        <f>IF(AND('ABRIL 2026'!D105&lt;&gt;"",'ABRIL 2026'!Z105="POR RECOGER"),TEXT('ABRIL 2026'!G105,"DD/MM/YYYY"),"")</f>
        <v/>
      </c>
      <c r="F416" s="381">
        <f>IF(AND('ABRIL 2026'!D105&lt;&gt;"",'ABRIL 2026'!Z105="POR RECOGER"),'ABRIL 2026'!K105,"")</f>
        <v/>
      </c>
      <c r="G416" s="382">
        <f>IF(AND('ABRIL 2026'!D105&lt;&gt;"",'ABRIL 2026'!Z105="POR RECOGER"),'ABRIL 2026'!M105,"")</f>
        <v/>
      </c>
      <c r="H416" s="382">
        <f>IF(AND('ABRIL 2026'!D105&lt;&gt;"",'ABRIL 2026'!Z105="POR RECOGER"),'ABRIL 2026'!N105,"")</f>
        <v/>
      </c>
      <c r="I416" s="381">
        <f>IF(AND('ABRIL 2026'!D105&lt;&gt;"",'ABRIL 2026'!Z105="POR RECOGER"),'ABRIL 2026'!P105,"")</f>
        <v/>
      </c>
      <c r="J416" s="381">
        <f>IF(AND('ABRIL 2026'!D105&lt;&gt;"",'ABRIL 2026'!Z105="POR RECOGER"),'ABRIL 2026'!Q105,"")</f>
        <v/>
      </c>
      <c r="K416" s="381">
        <f>IF(AND('ABRIL 2026'!D105&lt;&gt;"",'ABRIL 2026'!Z105="POR RECOGER"),'ABRIL 2026'!Y105,"")</f>
        <v/>
      </c>
      <c r="L416" s="381">
        <f>IF(AND('ABRIL 2026'!D105&lt;&gt;"",'ABRIL 2026'!Z105="POR RECOGER"),'ABRIL 2026'!I105,"")</f>
        <v/>
      </c>
      <c r="P416" s="194" t="n"/>
      <c r="Q416" s="194" t="n"/>
      <c r="R416" s="194" t="n"/>
      <c r="S416" s="194" t="n"/>
      <c r="T416" s="194" t="n"/>
      <c r="U416" s="194" t="n"/>
      <c r="V416" s="194" t="n"/>
      <c r="W416" s="194" t="n"/>
      <c r="X416" s="194" t="n"/>
      <c r="Y416" s="194" t="n"/>
      <c r="Z416" s="194" t="n"/>
    </row>
    <row r="417" ht="15" customHeight="1" s="195">
      <c r="A417" s="381">
        <f>IF(AND('ABRIL 2026'!D106&lt;&gt;"",'ABRIL 2026'!Z106="POR RECOGER"),"ABR","")</f>
        <v/>
      </c>
      <c r="B417" s="381">
        <f>IF(AND('ABRIL 2026'!D106&lt;&gt;"",'ABRIL 2026'!Z106="POR RECOGER"),IF('ABRIL 2026'!Y106&lt;&gt;"",'ABRIL 2026'!Y106,'ABRIL 2026'!I106),"")</f>
        <v/>
      </c>
      <c r="C417" s="381">
        <f>IF(AND('ABRIL 2026'!D106&lt;&gt;"",'ABRIL 2026'!Z106="POR RECOGER"),'ABRIL 2026'!D106,"")</f>
        <v/>
      </c>
      <c r="D417" s="381">
        <f>IF(AND('ABRIL 2026'!D106&lt;&gt;"",'ABRIL 2026'!Z106="POR RECOGER"),'ABRIL 2026'!F106,"")</f>
        <v/>
      </c>
      <c r="E417" s="381">
        <f>IF(AND('ABRIL 2026'!D106&lt;&gt;"",'ABRIL 2026'!Z106="POR RECOGER"),TEXT('ABRIL 2026'!G106,"DD/MM/YYYY"),"")</f>
        <v/>
      </c>
      <c r="F417" s="381">
        <f>IF(AND('ABRIL 2026'!D106&lt;&gt;"",'ABRIL 2026'!Z106="POR RECOGER"),'ABRIL 2026'!K106,"")</f>
        <v/>
      </c>
      <c r="G417" s="382">
        <f>IF(AND('ABRIL 2026'!D106&lt;&gt;"",'ABRIL 2026'!Z106="POR RECOGER"),'ABRIL 2026'!M106,"")</f>
        <v/>
      </c>
      <c r="H417" s="382">
        <f>IF(AND('ABRIL 2026'!D106&lt;&gt;"",'ABRIL 2026'!Z106="POR RECOGER"),'ABRIL 2026'!N106,"")</f>
        <v/>
      </c>
      <c r="I417" s="381">
        <f>IF(AND('ABRIL 2026'!D106&lt;&gt;"",'ABRIL 2026'!Z106="POR RECOGER"),'ABRIL 2026'!P106,"")</f>
        <v/>
      </c>
      <c r="J417" s="381">
        <f>IF(AND('ABRIL 2026'!D106&lt;&gt;"",'ABRIL 2026'!Z106="POR RECOGER"),'ABRIL 2026'!Q106,"")</f>
        <v/>
      </c>
      <c r="K417" s="381">
        <f>IF(AND('ABRIL 2026'!D106&lt;&gt;"",'ABRIL 2026'!Z106="POR RECOGER"),'ABRIL 2026'!Y106,"")</f>
        <v/>
      </c>
      <c r="L417" s="381">
        <f>IF(AND('ABRIL 2026'!D106&lt;&gt;"",'ABRIL 2026'!Z106="POR RECOGER"),'ABRIL 2026'!I106,"")</f>
        <v/>
      </c>
      <c r="P417" s="194" t="n"/>
      <c r="Q417" s="194" t="n"/>
      <c r="R417" s="194" t="n"/>
      <c r="S417" s="194" t="n"/>
      <c r="T417" s="194" t="n"/>
      <c r="U417" s="194" t="n"/>
      <c r="V417" s="194" t="n"/>
      <c r="W417" s="194" t="n"/>
      <c r="X417" s="194" t="n"/>
      <c r="Y417" s="194" t="n"/>
      <c r="Z417" s="194" t="n"/>
    </row>
    <row r="418" ht="15" customHeight="1" s="195">
      <c r="A418" s="381">
        <f>IF(AND('ABRIL 2026'!D107&lt;&gt;"",'ABRIL 2026'!Z107="POR RECOGER"),"ABR","")</f>
        <v/>
      </c>
      <c r="B418" s="381">
        <f>IF(AND('ABRIL 2026'!D107&lt;&gt;"",'ABRIL 2026'!Z107="POR RECOGER"),IF('ABRIL 2026'!Y107&lt;&gt;"",'ABRIL 2026'!Y107,'ABRIL 2026'!I107),"")</f>
        <v/>
      </c>
      <c r="C418" s="381">
        <f>IF(AND('ABRIL 2026'!D107&lt;&gt;"",'ABRIL 2026'!Z107="POR RECOGER"),'ABRIL 2026'!D107,"")</f>
        <v/>
      </c>
      <c r="D418" s="381">
        <f>IF(AND('ABRIL 2026'!D107&lt;&gt;"",'ABRIL 2026'!Z107="POR RECOGER"),'ABRIL 2026'!F107,"")</f>
        <v/>
      </c>
      <c r="E418" s="381">
        <f>IF(AND('ABRIL 2026'!D107&lt;&gt;"",'ABRIL 2026'!Z107="POR RECOGER"),TEXT('ABRIL 2026'!G107,"DD/MM/YYYY"),"")</f>
        <v/>
      </c>
      <c r="F418" s="381">
        <f>IF(AND('ABRIL 2026'!D107&lt;&gt;"",'ABRIL 2026'!Z107="POR RECOGER"),'ABRIL 2026'!K107,"")</f>
        <v/>
      </c>
      <c r="G418" s="382">
        <f>IF(AND('ABRIL 2026'!D107&lt;&gt;"",'ABRIL 2026'!Z107="POR RECOGER"),'ABRIL 2026'!M107,"")</f>
        <v/>
      </c>
      <c r="H418" s="382">
        <f>IF(AND('ABRIL 2026'!D107&lt;&gt;"",'ABRIL 2026'!Z107="POR RECOGER"),'ABRIL 2026'!N107,"")</f>
        <v/>
      </c>
      <c r="I418" s="381">
        <f>IF(AND('ABRIL 2026'!D107&lt;&gt;"",'ABRIL 2026'!Z107="POR RECOGER"),'ABRIL 2026'!P107,"")</f>
        <v/>
      </c>
      <c r="J418" s="381">
        <f>IF(AND('ABRIL 2026'!D107&lt;&gt;"",'ABRIL 2026'!Z107="POR RECOGER"),'ABRIL 2026'!Q107,"")</f>
        <v/>
      </c>
      <c r="K418" s="381">
        <f>IF(AND('ABRIL 2026'!D107&lt;&gt;"",'ABRIL 2026'!Z107="POR RECOGER"),'ABRIL 2026'!Y107,"")</f>
        <v/>
      </c>
      <c r="L418" s="381">
        <f>IF(AND('ABRIL 2026'!D107&lt;&gt;"",'ABRIL 2026'!Z107="POR RECOGER"),'ABRIL 2026'!I107,"")</f>
        <v/>
      </c>
      <c r="P418" s="194" t="n"/>
      <c r="Q418" s="194" t="n"/>
      <c r="R418" s="194" t="n"/>
      <c r="S418" s="194" t="n"/>
      <c r="T418" s="194" t="n"/>
      <c r="U418" s="194" t="n"/>
      <c r="V418" s="194" t="n"/>
      <c r="W418" s="194" t="n"/>
      <c r="X418" s="194" t="n"/>
      <c r="Y418" s="194" t="n"/>
      <c r="Z418" s="194" t="n"/>
    </row>
    <row r="419" ht="15" customHeight="1" s="195">
      <c r="A419" s="381">
        <f>IF(AND('ABRIL 2026'!D108&lt;&gt;"",'ABRIL 2026'!Z108="POR RECOGER"),"ABR","")</f>
        <v/>
      </c>
      <c r="B419" s="381">
        <f>IF(AND('ABRIL 2026'!D108&lt;&gt;"",'ABRIL 2026'!Z108="POR RECOGER"),IF('ABRIL 2026'!Y108&lt;&gt;"",'ABRIL 2026'!Y108,'ABRIL 2026'!I108),"")</f>
        <v/>
      </c>
      <c r="C419" s="381">
        <f>IF(AND('ABRIL 2026'!D108&lt;&gt;"",'ABRIL 2026'!Z108="POR RECOGER"),'ABRIL 2026'!D108,"")</f>
        <v/>
      </c>
      <c r="D419" s="381">
        <f>IF(AND('ABRIL 2026'!D108&lt;&gt;"",'ABRIL 2026'!Z108="POR RECOGER"),'ABRIL 2026'!F108,"")</f>
        <v/>
      </c>
      <c r="E419" s="381">
        <f>IF(AND('ABRIL 2026'!D108&lt;&gt;"",'ABRIL 2026'!Z108="POR RECOGER"),TEXT('ABRIL 2026'!G108,"DD/MM/YYYY"),"")</f>
        <v/>
      </c>
      <c r="F419" s="381">
        <f>IF(AND('ABRIL 2026'!D108&lt;&gt;"",'ABRIL 2026'!Z108="POR RECOGER"),'ABRIL 2026'!K108,"")</f>
        <v/>
      </c>
      <c r="G419" s="382">
        <f>IF(AND('ABRIL 2026'!D108&lt;&gt;"",'ABRIL 2026'!Z108="POR RECOGER"),'ABRIL 2026'!M108,"")</f>
        <v/>
      </c>
      <c r="H419" s="382">
        <f>IF(AND('ABRIL 2026'!D108&lt;&gt;"",'ABRIL 2026'!Z108="POR RECOGER"),'ABRIL 2026'!N108,"")</f>
        <v/>
      </c>
      <c r="I419" s="381">
        <f>IF(AND('ABRIL 2026'!D108&lt;&gt;"",'ABRIL 2026'!Z108="POR RECOGER"),'ABRIL 2026'!P108,"")</f>
        <v/>
      </c>
      <c r="J419" s="381">
        <f>IF(AND('ABRIL 2026'!D108&lt;&gt;"",'ABRIL 2026'!Z108="POR RECOGER"),'ABRIL 2026'!Q108,"")</f>
        <v/>
      </c>
      <c r="K419" s="381">
        <f>IF(AND('ABRIL 2026'!D108&lt;&gt;"",'ABRIL 2026'!Z108="POR RECOGER"),'ABRIL 2026'!Y108,"")</f>
        <v/>
      </c>
      <c r="L419" s="381">
        <f>IF(AND('ABRIL 2026'!D108&lt;&gt;"",'ABRIL 2026'!Z108="POR RECOGER"),'ABRIL 2026'!I108,"")</f>
        <v/>
      </c>
      <c r="P419" s="194" t="n"/>
      <c r="Q419" s="194" t="n"/>
      <c r="R419" s="194" t="n"/>
      <c r="S419" s="194" t="n"/>
      <c r="T419" s="194" t="n"/>
      <c r="U419" s="194" t="n"/>
      <c r="V419" s="194" t="n"/>
      <c r="W419" s="194" t="n"/>
      <c r="X419" s="194" t="n"/>
      <c r="Y419" s="194" t="n"/>
      <c r="Z419" s="194" t="n"/>
    </row>
    <row r="420" ht="15" customHeight="1" s="195">
      <c r="A420" s="381">
        <f>IF(AND('ABRIL 2026'!D109&lt;&gt;"",'ABRIL 2026'!Z109="POR RECOGER"),"ABR","")</f>
        <v/>
      </c>
      <c r="B420" s="381">
        <f>IF(AND('ABRIL 2026'!D109&lt;&gt;"",'ABRIL 2026'!Z109="POR RECOGER"),IF('ABRIL 2026'!Y109&lt;&gt;"",'ABRIL 2026'!Y109,'ABRIL 2026'!I109),"")</f>
        <v/>
      </c>
      <c r="C420" s="381">
        <f>IF(AND('ABRIL 2026'!D109&lt;&gt;"",'ABRIL 2026'!Z109="POR RECOGER"),'ABRIL 2026'!D109,"")</f>
        <v/>
      </c>
      <c r="D420" s="381">
        <f>IF(AND('ABRIL 2026'!D109&lt;&gt;"",'ABRIL 2026'!Z109="POR RECOGER"),'ABRIL 2026'!F109,"")</f>
        <v/>
      </c>
      <c r="E420" s="381">
        <f>IF(AND('ABRIL 2026'!D109&lt;&gt;"",'ABRIL 2026'!Z109="POR RECOGER"),TEXT('ABRIL 2026'!G109,"DD/MM/YYYY"),"")</f>
        <v/>
      </c>
      <c r="F420" s="381">
        <f>IF(AND('ABRIL 2026'!D109&lt;&gt;"",'ABRIL 2026'!Z109="POR RECOGER"),'ABRIL 2026'!K109,"")</f>
        <v/>
      </c>
      <c r="G420" s="382">
        <f>IF(AND('ABRIL 2026'!D109&lt;&gt;"",'ABRIL 2026'!Z109="POR RECOGER"),'ABRIL 2026'!M109,"")</f>
        <v/>
      </c>
      <c r="H420" s="382">
        <f>IF(AND('ABRIL 2026'!D109&lt;&gt;"",'ABRIL 2026'!Z109="POR RECOGER"),'ABRIL 2026'!N109,"")</f>
        <v/>
      </c>
      <c r="I420" s="381">
        <f>IF(AND('ABRIL 2026'!D109&lt;&gt;"",'ABRIL 2026'!Z109="POR RECOGER"),'ABRIL 2026'!P109,"")</f>
        <v/>
      </c>
      <c r="J420" s="381">
        <f>IF(AND('ABRIL 2026'!D109&lt;&gt;"",'ABRIL 2026'!Z109="POR RECOGER"),'ABRIL 2026'!Q109,"")</f>
        <v/>
      </c>
      <c r="K420" s="381">
        <f>IF(AND('ABRIL 2026'!D109&lt;&gt;"",'ABRIL 2026'!Z109="POR RECOGER"),'ABRIL 2026'!Y109,"")</f>
        <v/>
      </c>
      <c r="L420" s="381">
        <f>IF(AND('ABRIL 2026'!D109&lt;&gt;"",'ABRIL 2026'!Z109="POR RECOGER"),'ABRIL 2026'!I109,"")</f>
        <v/>
      </c>
      <c r="P420" s="194" t="n"/>
      <c r="Q420" s="194" t="n"/>
      <c r="R420" s="194" t="n"/>
      <c r="S420" s="194" t="n"/>
      <c r="T420" s="194" t="n"/>
      <c r="U420" s="194" t="n"/>
      <c r="V420" s="194" t="n"/>
      <c r="W420" s="194" t="n"/>
      <c r="X420" s="194" t="n"/>
      <c r="Y420" s="194" t="n"/>
      <c r="Z420" s="194" t="n"/>
    </row>
    <row r="421" ht="15" customHeight="1" s="195">
      <c r="A421" s="381">
        <f>IF(AND('ABRIL 2026'!D110&lt;&gt;"",'ABRIL 2026'!Z110="POR RECOGER"),"ABR","")</f>
        <v/>
      </c>
      <c r="B421" s="381">
        <f>IF(AND('ABRIL 2026'!D110&lt;&gt;"",'ABRIL 2026'!Z110="POR RECOGER"),IF('ABRIL 2026'!Y110&lt;&gt;"",'ABRIL 2026'!Y110,'ABRIL 2026'!I110),"")</f>
        <v/>
      </c>
      <c r="C421" s="381">
        <f>IF(AND('ABRIL 2026'!D110&lt;&gt;"",'ABRIL 2026'!Z110="POR RECOGER"),'ABRIL 2026'!D110,"")</f>
        <v/>
      </c>
      <c r="D421" s="381">
        <f>IF(AND('ABRIL 2026'!D110&lt;&gt;"",'ABRIL 2026'!Z110="POR RECOGER"),'ABRIL 2026'!F110,"")</f>
        <v/>
      </c>
      <c r="E421" s="381">
        <f>IF(AND('ABRIL 2026'!D110&lt;&gt;"",'ABRIL 2026'!Z110="POR RECOGER"),TEXT('ABRIL 2026'!G110,"DD/MM/YYYY"),"")</f>
        <v/>
      </c>
      <c r="F421" s="381">
        <f>IF(AND('ABRIL 2026'!D110&lt;&gt;"",'ABRIL 2026'!Z110="POR RECOGER"),'ABRIL 2026'!K110,"")</f>
        <v/>
      </c>
      <c r="G421" s="382">
        <f>IF(AND('ABRIL 2026'!D110&lt;&gt;"",'ABRIL 2026'!Z110="POR RECOGER"),'ABRIL 2026'!M110,"")</f>
        <v/>
      </c>
      <c r="H421" s="382">
        <f>IF(AND('ABRIL 2026'!D110&lt;&gt;"",'ABRIL 2026'!Z110="POR RECOGER"),'ABRIL 2026'!N110,"")</f>
        <v/>
      </c>
      <c r="I421" s="381">
        <f>IF(AND('ABRIL 2026'!D110&lt;&gt;"",'ABRIL 2026'!Z110="POR RECOGER"),'ABRIL 2026'!P110,"")</f>
        <v/>
      </c>
      <c r="J421" s="381">
        <f>IF(AND('ABRIL 2026'!D110&lt;&gt;"",'ABRIL 2026'!Z110="POR RECOGER"),'ABRIL 2026'!Q110,"")</f>
        <v/>
      </c>
      <c r="K421" s="381">
        <f>IF(AND('ABRIL 2026'!D110&lt;&gt;"",'ABRIL 2026'!Z110="POR RECOGER"),'ABRIL 2026'!Y110,"")</f>
        <v/>
      </c>
      <c r="L421" s="381">
        <f>IF(AND('ABRIL 2026'!D110&lt;&gt;"",'ABRIL 2026'!Z110="POR RECOGER"),'ABRIL 2026'!I110,"")</f>
        <v/>
      </c>
      <c r="P421" s="194" t="n"/>
      <c r="Q421" s="194" t="n"/>
      <c r="R421" s="194" t="n"/>
      <c r="S421" s="194" t="n"/>
      <c r="T421" s="194" t="n"/>
      <c r="U421" s="194" t="n"/>
      <c r="V421" s="194" t="n"/>
      <c r="W421" s="194" t="n"/>
      <c r="X421" s="194" t="n"/>
      <c r="Y421" s="194" t="n"/>
      <c r="Z421" s="194" t="n"/>
    </row>
    <row r="422" ht="15" customHeight="1" s="195">
      <c r="A422" s="381">
        <f>IF(AND('MAYO 2026'!D6&lt;&gt;"",'MAYO 2026'!Z6="POR RECOGER"),"MAY","")</f>
        <v/>
      </c>
      <c r="B422" s="381">
        <f>IF(AND('MAYO 2026'!D6&lt;&gt;"",'MAYO 2026'!Z6="POR RECOGER"),IF('MAYO 2026'!Y6&lt;&gt;"",'MAYO 2026'!Y6,'MAYO 2026'!I6),"")</f>
        <v/>
      </c>
      <c r="C422" s="381">
        <f>IF(AND('MAYO 2026'!D6&lt;&gt;"",'MAYO 2026'!Z6="POR RECOGER"),'MAYO 2026'!D6,"")</f>
        <v/>
      </c>
      <c r="D422" s="381">
        <f>IF(AND('MAYO 2026'!D6&lt;&gt;"",'MAYO 2026'!Z6="POR RECOGER"),'MAYO 2026'!F6,"")</f>
        <v/>
      </c>
      <c r="E422" s="381">
        <f>IF(AND('MAYO 2026'!D6&lt;&gt;"",'MAYO 2026'!Z6="POR RECOGER"),TEXT('MAYO 2026'!G6,"DD/MM/YYYY"),"")</f>
        <v/>
      </c>
      <c r="F422" s="381">
        <f>IF(AND('MAYO 2026'!D6&lt;&gt;"",'MAYO 2026'!Z6="POR RECOGER"),'MAYO 2026'!K6,"")</f>
        <v/>
      </c>
      <c r="G422" s="382">
        <f>IF(AND('MAYO 2026'!D6&lt;&gt;"",'MAYO 2026'!Z6="POR RECOGER"),'MAYO 2026'!M6,"")</f>
        <v/>
      </c>
      <c r="H422" s="382">
        <f>IF(AND('MAYO 2026'!D6&lt;&gt;"",'MAYO 2026'!Z6="POR RECOGER"),'MAYO 2026'!N6,"")</f>
        <v/>
      </c>
      <c r="I422" s="381">
        <f>IF(AND('MAYO 2026'!D6&lt;&gt;"",'MAYO 2026'!Z6="POR RECOGER"),'MAYO 2026'!P6,"")</f>
        <v/>
      </c>
      <c r="J422" s="381">
        <f>IF(AND('MAYO 2026'!D6&lt;&gt;"",'MAYO 2026'!Z6="POR RECOGER"),'MAYO 2026'!Q6,"")</f>
        <v/>
      </c>
      <c r="K422" s="381">
        <f>IF(AND('MAYO 2026'!D6&lt;&gt;"",'MAYO 2026'!Z6="POR RECOGER"),'MAYO 2026'!Y6,"")</f>
        <v/>
      </c>
      <c r="L422" s="381">
        <f>IF(AND('MAYO 2026'!D6&lt;&gt;"",'MAYO 2026'!Z6="POR RECOGER"),'MAYO 2026'!I6,"")</f>
        <v/>
      </c>
      <c r="P422" s="194" t="n"/>
      <c r="Q422" s="194" t="n"/>
      <c r="R422" s="194" t="n"/>
      <c r="S422" s="194" t="n"/>
      <c r="T422" s="194" t="n"/>
      <c r="U422" s="194" t="n"/>
      <c r="V422" s="194" t="n"/>
      <c r="W422" s="194" t="n"/>
      <c r="X422" s="194" t="n"/>
      <c r="Y422" s="194" t="n"/>
      <c r="Z422" s="194" t="n"/>
    </row>
    <row r="423" ht="15" customHeight="1" s="195">
      <c r="A423" s="381">
        <f>IF(AND('MAYO 2026'!D7&lt;&gt;"",'MAYO 2026'!Z7="POR RECOGER"),"MAY","")</f>
        <v/>
      </c>
      <c r="B423" s="381">
        <f>IF(AND('MAYO 2026'!D7&lt;&gt;"",'MAYO 2026'!Z7="POR RECOGER"),IF('MAYO 2026'!Y7&lt;&gt;"",'MAYO 2026'!Y7,'MAYO 2026'!I7),"")</f>
        <v/>
      </c>
      <c r="C423" s="381">
        <f>IF(AND('MAYO 2026'!D7&lt;&gt;"",'MAYO 2026'!Z7="POR RECOGER"),'MAYO 2026'!D7,"")</f>
        <v/>
      </c>
      <c r="D423" s="381">
        <f>IF(AND('MAYO 2026'!D7&lt;&gt;"",'MAYO 2026'!Z7="POR RECOGER"),'MAYO 2026'!F7,"")</f>
        <v/>
      </c>
      <c r="E423" s="381">
        <f>IF(AND('MAYO 2026'!D7&lt;&gt;"",'MAYO 2026'!Z7="POR RECOGER"),TEXT('MAYO 2026'!G7,"DD/MM/YYYY"),"")</f>
        <v/>
      </c>
      <c r="F423" s="381">
        <f>IF(AND('MAYO 2026'!D7&lt;&gt;"",'MAYO 2026'!Z7="POR RECOGER"),'MAYO 2026'!K7,"")</f>
        <v/>
      </c>
      <c r="G423" s="382">
        <f>IF(AND('MAYO 2026'!D7&lt;&gt;"",'MAYO 2026'!Z7="POR RECOGER"),'MAYO 2026'!M7,"")</f>
        <v/>
      </c>
      <c r="H423" s="382">
        <f>IF(AND('MAYO 2026'!D7&lt;&gt;"",'MAYO 2026'!Z7="POR RECOGER"),'MAYO 2026'!N7,"")</f>
        <v/>
      </c>
      <c r="I423" s="381">
        <f>IF(AND('MAYO 2026'!D7&lt;&gt;"",'MAYO 2026'!Z7="POR RECOGER"),'MAYO 2026'!P7,"")</f>
        <v/>
      </c>
      <c r="J423" s="381">
        <f>IF(AND('MAYO 2026'!D7&lt;&gt;"",'MAYO 2026'!Z7="POR RECOGER"),'MAYO 2026'!Q7,"")</f>
        <v/>
      </c>
      <c r="K423" s="381">
        <f>IF(AND('MAYO 2026'!D7&lt;&gt;"",'MAYO 2026'!Z7="POR RECOGER"),'MAYO 2026'!Y7,"")</f>
        <v/>
      </c>
      <c r="L423" s="381">
        <f>IF(AND('MAYO 2026'!D7&lt;&gt;"",'MAYO 2026'!Z7="POR RECOGER"),'MAYO 2026'!I7,"")</f>
        <v/>
      </c>
      <c r="P423" s="194" t="n"/>
      <c r="Q423" s="194" t="n"/>
      <c r="R423" s="194" t="n"/>
      <c r="S423" s="194" t="n"/>
      <c r="T423" s="194" t="n"/>
      <c r="U423" s="194" t="n"/>
      <c r="V423" s="194" t="n"/>
      <c r="W423" s="194" t="n"/>
      <c r="X423" s="194" t="n"/>
      <c r="Y423" s="194" t="n"/>
      <c r="Z423" s="194" t="n"/>
    </row>
    <row r="424" ht="15" customHeight="1" s="195">
      <c r="A424" s="381">
        <f>IF(AND('MAYO 2026'!D8&lt;&gt;"",'MAYO 2026'!Z8="POR RECOGER"),"MAY","")</f>
        <v/>
      </c>
      <c r="B424" s="381">
        <f>IF(AND('MAYO 2026'!D8&lt;&gt;"",'MAYO 2026'!Z8="POR RECOGER"),IF('MAYO 2026'!Y8&lt;&gt;"",'MAYO 2026'!Y8,'MAYO 2026'!I8),"")</f>
        <v/>
      </c>
      <c r="C424" s="381">
        <f>IF(AND('MAYO 2026'!D8&lt;&gt;"",'MAYO 2026'!Z8="POR RECOGER"),'MAYO 2026'!D8,"")</f>
        <v/>
      </c>
      <c r="D424" s="381">
        <f>IF(AND('MAYO 2026'!D8&lt;&gt;"",'MAYO 2026'!Z8="POR RECOGER"),'MAYO 2026'!F8,"")</f>
        <v/>
      </c>
      <c r="E424" s="381">
        <f>IF(AND('MAYO 2026'!D8&lt;&gt;"",'MAYO 2026'!Z8="POR RECOGER"),TEXT('MAYO 2026'!G8,"DD/MM/YYYY"),"")</f>
        <v/>
      </c>
      <c r="F424" s="381">
        <f>IF(AND('MAYO 2026'!D8&lt;&gt;"",'MAYO 2026'!Z8="POR RECOGER"),'MAYO 2026'!K8,"")</f>
        <v/>
      </c>
      <c r="G424" s="382">
        <f>IF(AND('MAYO 2026'!D8&lt;&gt;"",'MAYO 2026'!Z8="POR RECOGER"),'MAYO 2026'!M8,"")</f>
        <v/>
      </c>
      <c r="H424" s="382">
        <f>IF(AND('MAYO 2026'!D8&lt;&gt;"",'MAYO 2026'!Z8="POR RECOGER"),'MAYO 2026'!N8,"")</f>
        <v/>
      </c>
      <c r="I424" s="381">
        <f>IF(AND('MAYO 2026'!D8&lt;&gt;"",'MAYO 2026'!Z8="POR RECOGER"),'MAYO 2026'!P8,"")</f>
        <v/>
      </c>
      <c r="J424" s="381">
        <f>IF(AND('MAYO 2026'!D8&lt;&gt;"",'MAYO 2026'!Z8="POR RECOGER"),'MAYO 2026'!Q8,"")</f>
        <v/>
      </c>
      <c r="K424" s="381">
        <f>IF(AND('MAYO 2026'!D8&lt;&gt;"",'MAYO 2026'!Z8="POR RECOGER"),'MAYO 2026'!Y8,"")</f>
        <v/>
      </c>
      <c r="L424" s="381">
        <f>IF(AND('MAYO 2026'!D8&lt;&gt;"",'MAYO 2026'!Z8="POR RECOGER"),'MAYO 2026'!I8,"")</f>
        <v/>
      </c>
      <c r="P424" s="194" t="n"/>
      <c r="Q424" s="194" t="n"/>
      <c r="R424" s="194" t="n"/>
      <c r="S424" s="194" t="n"/>
      <c r="T424" s="194" t="n"/>
      <c r="U424" s="194" t="n"/>
      <c r="V424" s="194" t="n"/>
      <c r="W424" s="194" t="n"/>
      <c r="X424" s="194" t="n"/>
      <c r="Y424" s="194" t="n"/>
      <c r="Z424" s="194" t="n"/>
    </row>
    <row r="425" ht="15" customHeight="1" s="195">
      <c r="A425" s="381">
        <f>IF(AND('MAYO 2026'!D9&lt;&gt;"",'MAYO 2026'!Z9="POR RECOGER"),"MAY","")</f>
        <v/>
      </c>
      <c r="B425" s="381">
        <f>IF(AND('MAYO 2026'!D9&lt;&gt;"",'MAYO 2026'!Z9="POR RECOGER"),IF('MAYO 2026'!Y9&lt;&gt;"",'MAYO 2026'!Y9,'MAYO 2026'!I9),"")</f>
        <v/>
      </c>
      <c r="C425" s="381">
        <f>IF(AND('MAYO 2026'!D9&lt;&gt;"",'MAYO 2026'!Z9="POR RECOGER"),'MAYO 2026'!D9,"")</f>
        <v/>
      </c>
      <c r="D425" s="381">
        <f>IF(AND('MAYO 2026'!D9&lt;&gt;"",'MAYO 2026'!Z9="POR RECOGER"),'MAYO 2026'!F9,"")</f>
        <v/>
      </c>
      <c r="E425" s="381">
        <f>IF(AND('MAYO 2026'!D9&lt;&gt;"",'MAYO 2026'!Z9="POR RECOGER"),TEXT('MAYO 2026'!G9,"DD/MM/YYYY"),"")</f>
        <v/>
      </c>
      <c r="F425" s="381">
        <f>IF(AND('MAYO 2026'!D9&lt;&gt;"",'MAYO 2026'!Z9="POR RECOGER"),'MAYO 2026'!K9,"")</f>
        <v/>
      </c>
      <c r="G425" s="382">
        <f>IF(AND('MAYO 2026'!D9&lt;&gt;"",'MAYO 2026'!Z9="POR RECOGER"),'MAYO 2026'!M9,"")</f>
        <v/>
      </c>
      <c r="H425" s="382">
        <f>IF(AND('MAYO 2026'!D9&lt;&gt;"",'MAYO 2026'!Z9="POR RECOGER"),'MAYO 2026'!N9,"")</f>
        <v/>
      </c>
      <c r="I425" s="381">
        <f>IF(AND('MAYO 2026'!D9&lt;&gt;"",'MAYO 2026'!Z9="POR RECOGER"),'MAYO 2026'!P9,"")</f>
        <v/>
      </c>
      <c r="J425" s="381">
        <f>IF(AND('MAYO 2026'!D9&lt;&gt;"",'MAYO 2026'!Z9="POR RECOGER"),'MAYO 2026'!Q9,"")</f>
        <v/>
      </c>
      <c r="K425" s="381">
        <f>IF(AND('MAYO 2026'!D9&lt;&gt;"",'MAYO 2026'!Z9="POR RECOGER"),'MAYO 2026'!Y9,"")</f>
        <v/>
      </c>
      <c r="L425" s="381">
        <f>IF(AND('MAYO 2026'!D9&lt;&gt;"",'MAYO 2026'!Z9="POR RECOGER"),'MAYO 2026'!I9,"")</f>
        <v/>
      </c>
      <c r="P425" s="194" t="n"/>
      <c r="Q425" s="194" t="n"/>
      <c r="R425" s="194" t="n"/>
      <c r="S425" s="194" t="n"/>
      <c r="T425" s="194" t="n"/>
      <c r="U425" s="194" t="n"/>
      <c r="V425" s="194" t="n"/>
      <c r="W425" s="194" t="n"/>
      <c r="X425" s="194" t="n"/>
      <c r="Y425" s="194" t="n"/>
      <c r="Z425" s="194" t="n"/>
    </row>
    <row r="426" ht="15" customHeight="1" s="195">
      <c r="A426" s="381">
        <f>IF(AND('MAYO 2026'!D10&lt;&gt;"",'MAYO 2026'!Z10="POR RECOGER"),"MAY","")</f>
        <v/>
      </c>
      <c r="B426" s="381">
        <f>IF(AND('MAYO 2026'!D10&lt;&gt;"",'MAYO 2026'!Z10="POR RECOGER"),IF('MAYO 2026'!Y10&lt;&gt;"",'MAYO 2026'!Y10,'MAYO 2026'!I10),"")</f>
        <v/>
      </c>
      <c r="C426" s="381">
        <f>IF(AND('MAYO 2026'!D10&lt;&gt;"",'MAYO 2026'!Z10="POR RECOGER"),'MAYO 2026'!D10,"")</f>
        <v/>
      </c>
      <c r="D426" s="381">
        <f>IF(AND('MAYO 2026'!D10&lt;&gt;"",'MAYO 2026'!Z10="POR RECOGER"),'MAYO 2026'!F10,"")</f>
        <v/>
      </c>
      <c r="E426" s="381">
        <f>IF(AND('MAYO 2026'!D10&lt;&gt;"",'MAYO 2026'!Z10="POR RECOGER"),TEXT('MAYO 2026'!G10,"DD/MM/YYYY"),"")</f>
        <v/>
      </c>
      <c r="F426" s="381">
        <f>IF(AND('MAYO 2026'!D10&lt;&gt;"",'MAYO 2026'!Z10="POR RECOGER"),'MAYO 2026'!K10,"")</f>
        <v/>
      </c>
      <c r="G426" s="382">
        <f>IF(AND('MAYO 2026'!D10&lt;&gt;"",'MAYO 2026'!Z10="POR RECOGER"),'MAYO 2026'!M10,"")</f>
        <v/>
      </c>
      <c r="H426" s="382">
        <f>IF(AND('MAYO 2026'!D10&lt;&gt;"",'MAYO 2026'!Z10="POR RECOGER"),'MAYO 2026'!N10,"")</f>
        <v/>
      </c>
      <c r="I426" s="381">
        <f>IF(AND('MAYO 2026'!D10&lt;&gt;"",'MAYO 2026'!Z10="POR RECOGER"),'MAYO 2026'!P10,"")</f>
        <v/>
      </c>
      <c r="J426" s="381">
        <f>IF(AND('MAYO 2026'!D10&lt;&gt;"",'MAYO 2026'!Z10="POR RECOGER"),'MAYO 2026'!Q10,"")</f>
        <v/>
      </c>
      <c r="K426" s="381">
        <f>IF(AND('MAYO 2026'!D10&lt;&gt;"",'MAYO 2026'!Z10="POR RECOGER"),'MAYO 2026'!Y10,"")</f>
        <v/>
      </c>
      <c r="L426" s="381">
        <f>IF(AND('MAYO 2026'!D10&lt;&gt;"",'MAYO 2026'!Z10="POR RECOGER"),'MAYO 2026'!I10,"")</f>
        <v/>
      </c>
      <c r="P426" s="194" t="n"/>
      <c r="Q426" s="194" t="n"/>
      <c r="R426" s="194" t="n"/>
      <c r="S426" s="194" t="n"/>
      <c r="T426" s="194" t="n"/>
      <c r="U426" s="194" t="n"/>
      <c r="V426" s="194" t="n"/>
      <c r="W426" s="194" t="n"/>
      <c r="X426" s="194" t="n"/>
      <c r="Y426" s="194" t="n"/>
      <c r="Z426" s="194" t="n"/>
    </row>
    <row r="427" ht="15" customHeight="1" s="195">
      <c r="A427" s="381">
        <f>IF(AND('MAYO 2026'!D11&lt;&gt;"",'MAYO 2026'!Z11="POR RECOGER"),"MAY","")</f>
        <v/>
      </c>
      <c r="B427" s="381">
        <f>IF(AND('MAYO 2026'!D11&lt;&gt;"",'MAYO 2026'!Z11="POR RECOGER"),IF('MAYO 2026'!Y11&lt;&gt;"",'MAYO 2026'!Y11,'MAYO 2026'!I11),"")</f>
        <v/>
      </c>
      <c r="C427" s="381">
        <f>IF(AND('MAYO 2026'!D11&lt;&gt;"",'MAYO 2026'!Z11="POR RECOGER"),'MAYO 2026'!D11,"")</f>
        <v/>
      </c>
      <c r="D427" s="381">
        <f>IF(AND('MAYO 2026'!D11&lt;&gt;"",'MAYO 2026'!Z11="POR RECOGER"),'MAYO 2026'!F11,"")</f>
        <v/>
      </c>
      <c r="E427" s="381">
        <f>IF(AND('MAYO 2026'!D11&lt;&gt;"",'MAYO 2026'!Z11="POR RECOGER"),TEXT('MAYO 2026'!G11,"DD/MM/YYYY"),"")</f>
        <v/>
      </c>
      <c r="F427" s="381">
        <f>IF(AND('MAYO 2026'!D11&lt;&gt;"",'MAYO 2026'!Z11="POR RECOGER"),'MAYO 2026'!K11,"")</f>
        <v/>
      </c>
      <c r="G427" s="382">
        <f>IF(AND('MAYO 2026'!D11&lt;&gt;"",'MAYO 2026'!Z11="POR RECOGER"),'MAYO 2026'!M11,"")</f>
        <v/>
      </c>
      <c r="H427" s="382">
        <f>IF(AND('MAYO 2026'!D11&lt;&gt;"",'MAYO 2026'!Z11="POR RECOGER"),'MAYO 2026'!N11,"")</f>
        <v/>
      </c>
      <c r="I427" s="381">
        <f>IF(AND('MAYO 2026'!D11&lt;&gt;"",'MAYO 2026'!Z11="POR RECOGER"),'MAYO 2026'!P11,"")</f>
        <v/>
      </c>
      <c r="J427" s="381">
        <f>IF(AND('MAYO 2026'!D11&lt;&gt;"",'MAYO 2026'!Z11="POR RECOGER"),'MAYO 2026'!Q11,"")</f>
        <v/>
      </c>
      <c r="K427" s="381">
        <f>IF(AND('MAYO 2026'!D11&lt;&gt;"",'MAYO 2026'!Z11="POR RECOGER"),'MAYO 2026'!Y11,"")</f>
        <v/>
      </c>
      <c r="L427" s="381">
        <f>IF(AND('MAYO 2026'!D11&lt;&gt;"",'MAYO 2026'!Z11="POR RECOGER"),'MAYO 2026'!I11,"")</f>
        <v/>
      </c>
      <c r="P427" s="194" t="n"/>
      <c r="Q427" s="194" t="n"/>
      <c r="R427" s="194" t="n"/>
      <c r="S427" s="194" t="n"/>
      <c r="T427" s="194" t="n"/>
      <c r="U427" s="194" t="n"/>
      <c r="V427" s="194" t="n"/>
      <c r="W427" s="194" t="n"/>
      <c r="X427" s="194" t="n"/>
      <c r="Y427" s="194" t="n"/>
      <c r="Z427" s="194" t="n"/>
    </row>
    <row r="428" ht="15" customHeight="1" s="195">
      <c r="A428" s="381">
        <f>IF(AND('MAYO 2026'!D12&lt;&gt;"",'MAYO 2026'!Z12="POR RECOGER"),"MAY","")</f>
        <v/>
      </c>
      <c r="B428" s="381">
        <f>IF(AND('MAYO 2026'!D12&lt;&gt;"",'MAYO 2026'!Z12="POR RECOGER"),IF('MAYO 2026'!Y12&lt;&gt;"",'MAYO 2026'!Y12,'MAYO 2026'!I12),"")</f>
        <v/>
      </c>
      <c r="C428" s="381">
        <f>IF(AND('MAYO 2026'!D12&lt;&gt;"",'MAYO 2026'!Z12="POR RECOGER"),'MAYO 2026'!D12,"")</f>
        <v/>
      </c>
      <c r="D428" s="381">
        <f>IF(AND('MAYO 2026'!D12&lt;&gt;"",'MAYO 2026'!Z12="POR RECOGER"),'MAYO 2026'!F12,"")</f>
        <v/>
      </c>
      <c r="E428" s="381">
        <f>IF(AND('MAYO 2026'!D12&lt;&gt;"",'MAYO 2026'!Z12="POR RECOGER"),TEXT('MAYO 2026'!G12,"DD/MM/YYYY"),"")</f>
        <v/>
      </c>
      <c r="F428" s="381">
        <f>IF(AND('MAYO 2026'!D12&lt;&gt;"",'MAYO 2026'!Z12="POR RECOGER"),'MAYO 2026'!K12,"")</f>
        <v/>
      </c>
      <c r="G428" s="382">
        <f>IF(AND('MAYO 2026'!D12&lt;&gt;"",'MAYO 2026'!Z12="POR RECOGER"),'MAYO 2026'!M12,"")</f>
        <v/>
      </c>
      <c r="H428" s="382">
        <f>IF(AND('MAYO 2026'!D12&lt;&gt;"",'MAYO 2026'!Z12="POR RECOGER"),'MAYO 2026'!N12,"")</f>
        <v/>
      </c>
      <c r="I428" s="381">
        <f>IF(AND('MAYO 2026'!D12&lt;&gt;"",'MAYO 2026'!Z12="POR RECOGER"),'MAYO 2026'!P12,"")</f>
        <v/>
      </c>
      <c r="J428" s="381">
        <f>IF(AND('MAYO 2026'!D12&lt;&gt;"",'MAYO 2026'!Z12="POR RECOGER"),'MAYO 2026'!Q12,"")</f>
        <v/>
      </c>
      <c r="K428" s="381">
        <f>IF(AND('MAYO 2026'!D12&lt;&gt;"",'MAYO 2026'!Z12="POR RECOGER"),'MAYO 2026'!Y12,"")</f>
        <v/>
      </c>
      <c r="L428" s="381">
        <f>IF(AND('MAYO 2026'!D12&lt;&gt;"",'MAYO 2026'!Z12="POR RECOGER"),'MAYO 2026'!I12,"")</f>
        <v/>
      </c>
      <c r="P428" s="194" t="n"/>
      <c r="Q428" s="194" t="n"/>
      <c r="R428" s="194" t="n"/>
      <c r="S428" s="194" t="n"/>
      <c r="T428" s="194" t="n"/>
      <c r="U428" s="194" t="n"/>
      <c r="V428" s="194" t="n"/>
      <c r="W428" s="194" t="n"/>
      <c r="X428" s="194" t="n"/>
      <c r="Y428" s="194" t="n"/>
      <c r="Z428" s="194" t="n"/>
    </row>
    <row r="429" ht="15" customHeight="1" s="195">
      <c r="A429" s="381">
        <f>IF(AND('MAYO 2026'!D13&lt;&gt;"",'MAYO 2026'!Z13="POR RECOGER"),"MAY","")</f>
        <v/>
      </c>
      <c r="B429" s="381">
        <f>IF(AND('MAYO 2026'!D13&lt;&gt;"",'MAYO 2026'!Z13="POR RECOGER"),IF('MAYO 2026'!Y13&lt;&gt;"",'MAYO 2026'!Y13,'MAYO 2026'!I13),"")</f>
        <v/>
      </c>
      <c r="C429" s="381">
        <f>IF(AND('MAYO 2026'!D13&lt;&gt;"",'MAYO 2026'!Z13="POR RECOGER"),'MAYO 2026'!D13,"")</f>
        <v/>
      </c>
      <c r="D429" s="381">
        <f>IF(AND('MAYO 2026'!D13&lt;&gt;"",'MAYO 2026'!Z13="POR RECOGER"),'MAYO 2026'!F13,"")</f>
        <v/>
      </c>
      <c r="E429" s="381">
        <f>IF(AND('MAYO 2026'!D13&lt;&gt;"",'MAYO 2026'!Z13="POR RECOGER"),TEXT('MAYO 2026'!G13,"DD/MM/YYYY"),"")</f>
        <v/>
      </c>
      <c r="F429" s="381">
        <f>IF(AND('MAYO 2026'!D13&lt;&gt;"",'MAYO 2026'!Z13="POR RECOGER"),'MAYO 2026'!K13,"")</f>
        <v/>
      </c>
      <c r="G429" s="382">
        <f>IF(AND('MAYO 2026'!D13&lt;&gt;"",'MAYO 2026'!Z13="POR RECOGER"),'MAYO 2026'!M13,"")</f>
        <v/>
      </c>
      <c r="H429" s="382">
        <f>IF(AND('MAYO 2026'!D13&lt;&gt;"",'MAYO 2026'!Z13="POR RECOGER"),'MAYO 2026'!N13,"")</f>
        <v/>
      </c>
      <c r="I429" s="381">
        <f>IF(AND('MAYO 2026'!D13&lt;&gt;"",'MAYO 2026'!Z13="POR RECOGER"),'MAYO 2026'!P13,"")</f>
        <v/>
      </c>
      <c r="J429" s="381">
        <f>IF(AND('MAYO 2026'!D13&lt;&gt;"",'MAYO 2026'!Z13="POR RECOGER"),'MAYO 2026'!Q13,"")</f>
        <v/>
      </c>
      <c r="K429" s="381">
        <f>IF(AND('MAYO 2026'!D13&lt;&gt;"",'MAYO 2026'!Z13="POR RECOGER"),'MAYO 2026'!Y13,"")</f>
        <v/>
      </c>
      <c r="L429" s="381">
        <f>IF(AND('MAYO 2026'!D13&lt;&gt;"",'MAYO 2026'!Z13="POR RECOGER"),'MAYO 2026'!I13,"")</f>
        <v/>
      </c>
      <c r="P429" s="194" t="n"/>
      <c r="Q429" s="194" t="n"/>
      <c r="R429" s="194" t="n"/>
      <c r="S429" s="194" t="n"/>
      <c r="T429" s="194" t="n"/>
      <c r="U429" s="194" t="n"/>
      <c r="V429" s="194" t="n"/>
      <c r="W429" s="194" t="n"/>
      <c r="X429" s="194" t="n"/>
      <c r="Y429" s="194" t="n"/>
      <c r="Z429" s="194" t="n"/>
    </row>
    <row r="430" ht="15" customHeight="1" s="195">
      <c r="A430" s="381">
        <f>IF(AND('MAYO 2026'!D14&lt;&gt;"",'MAYO 2026'!Z14="POR RECOGER"),"MAY","")</f>
        <v/>
      </c>
      <c r="B430" s="381">
        <f>IF(AND('MAYO 2026'!D14&lt;&gt;"",'MAYO 2026'!Z14="POR RECOGER"),IF('MAYO 2026'!Y14&lt;&gt;"",'MAYO 2026'!Y14,'MAYO 2026'!I14),"")</f>
        <v/>
      </c>
      <c r="C430" s="381">
        <f>IF(AND('MAYO 2026'!D14&lt;&gt;"",'MAYO 2026'!Z14="POR RECOGER"),'MAYO 2026'!D14,"")</f>
        <v/>
      </c>
      <c r="D430" s="381">
        <f>IF(AND('MAYO 2026'!D14&lt;&gt;"",'MAYO 2026'!Z14="POR RECOGER"),'MAYO 2026'!F14,"")</f>
        <v/>
      </c>
      <c r="E430" s="381">
        <f>IF(AND('MAYO 2026'!D14&lt;&gt;"",'MAYO 2026'!Z14="POR RECOGER"),TEXT('MAYO 2026'!G14,"DD/MM/YYYY"),"")</f>
        <v/>
      </c>
      <c r="F430" s="381">
        <f>IF(AND('MAYO 2026'!D14&lt;&gt;"",'MAYO 2026'!Z14="POR RECOGER"),'MAYO 2026'!K14,"")</f>
        <v/>
      </c>
      <c r="G430" s="382">
        <f>IF(AND('MAYO 2026'!D14&lt;&gt;"",'MAYO 2026'!Z14="POR RECOGER"),'MAYO 2026'!M14,"")</f>
        <v/>
      </c>
      <c r="H430" s="382">
        <f>IF(AND('MAYO 2026'!D14&lt;&gt;"",'MAYO 2026'!Z14="POR RECOGER"),'MAYO 2026'!N14,"")</f>
        <v/>
      </c>
      <c r="I430" s="381">
        <f>IF(AND('MAYO 2026'!D14&lt;&gt;"",'MAYO 2026'!Z14="POR RECOGER"),'MAYO 2026'!P14,"")</f>
        <v/>
      </c>
      <c r="J430" s="381">
        <f>IF(AND('MAYO 2026'!D14&lt;&gt;"",'MAYO 2026'!Z14="POR RECOGER"),'MAYO 2026'!Q14,"")</f>
        <v/>
      </c>
      <c r="K430" s="381">
        <f>IF(AND('MAYO 2026'!D14&lt;&gt;"",'MAYO 2026'!Z14="POR RECOGER"),'MAYO 2026'!Y14,"")</f>
        <v/>
      </c>
      <c r="L430" s="381">
        <f>IF(AND('MAYO 2026'!D14&lt;&gt;"",'MAYO 2026'!Z14="POR RECOGER"),'MAYO 2026'!I14,"")</f>
        <v/>
      </c>
      <c r="P430" s="194" t="n"/>
      <c r="Q430" s="194" t="n"/>
      <c r="R430" s="194" t="n"/>
      <c r="S430" s="194" t="n"/>
      <c r="T430" s="194" t="n"/>
      <c r="U430" s="194" t="n"/>
      <c r="V430" s="194" t="n"/>
      <c r="W430" s="194" t="n"/>
      <c r="X430" s="194" t="n"/>
      <c r="Y430" s="194" t="n"/>
      <c r="Z430" s="194" t="n"/>
    </row>
    <row r="431" ht="15" customHeight="1" s="195">
      <c r="A431" s="381">
        <f>IF(AND('MAYO 2026'!D15&lt;&gt;"",'MAYO 2026'!Z15="POR RECOGER"),"MAY","")</f>
        <v/>
      </c>
      <c r="B431" s="381">
        <f>IF(AND('MAYO 2026'!D15&lt;&gt;"",'MAYO 2026'!Z15="POR RECOGER"),IF('MAYO 2026'!Y15&lt;&gt;"",'MAYO 2026'!Y15,'MAYO 2026'!I15),"")</f>
        <v/>
      </c>
      <c r="C431" s="381">
        <f>IF(AND('MAYO 2026'!D15&lt;&gt;"",'MAYO 2026'!Z15="POR RECOGER"),'MAYO 2026'!D15,"")</f>
        <v/>
      </c>
      <c r="D431" s="381">
        <f>IF(AND('MAYO 2026'!D15&lt;&gt;"",'MAYO 2026'!Z15="POR RECOGER"),'MAYO 2026'!F15,"")</f>
        <v/>
      </c>
      <c r="E431" s="381">
        <f>IF(AND('MAYO 2026'!D15&lt;&gt;"",'MAYO 2026'!Z15="POR RECOGER"),TEXT('MAYO 2026'!G15,"DD/MM/YYYY"),"")</f>
        <v/>
      </c>
      <c r="F431" s="381">
        <f>IF(AND('MAYO 2026'!D15&lt;&gt;"",'MAYO 2026'!Z15="POR RECOGER"),'MAYO 2026'!K15,"")</f>
        <v/>
      </c>
      <c r="G431" s="382">
        <f>IF(AND('MAYO 2026'!D15&lt;&gt;"",'MAYO 2026'!Z15="POR RECOGER"),'MAYO 2026'!M15,"")</f>
        <v/>
      </c>
      <c r="H431" s="382">
        <f>IF(AND('MAYO 2026'!D15&lt;&gt;"",'MAYO 2026'!Z15="POR RECOGER"),'MAYO 2026'!N15,"")</f>
        <v/>
      </c>
      <c r="I431" s="381">
        <f>IF(AND('MAYO 2026'!D15&lt;&gt;"",'MAYO 2026'!Z15="POR RECOGER"),'MAYO 2026'!P15,"")</f>
        <v/>
      </c>
      <c r="J431" s="381">
        <f>IF(AND('MAYO 2026'!D15&lt;&gt;"",'MAYO 2026'!Z15="POR RECOGER"),'MAYO 2026'!Q15,"")</f>
        <v/>
      </c>
      <c r="K431" s="381">
        <f>IF(AND('MAYO 2026'!D15&lt;&gt;"",'MAYO 2026'!Z15="POR RECOGER"),'MAYO 2026'!Y15,"")</f>
        <v/>
      </c>
      <c r="L431" s="381">
        <f>IF(AND('MAYO 2026'!D15&lt;&gt;"",'MAYO 2026'!Z15="POR RECOGER"),'MAYO 2026'!I15,"")</f>
        <v/>
      </c>
      <c r="P431" s="194" t="n"/>
      <c r="Q431" s="194" t="n"/>
      <c r="R431" s="194" t="n"/>
      <c r="S431" s="194" t="n"/>
      <c r="T431" s="194" t="n"/>
      <c r="U431" s="194" t="n"/>
      <c r="V431" s="194" t="n"/>
      <c r="W431" s="194" t="n"/>
      <c r="X431" s="194" t="n"/>
      <c r="Y431" s="194" t="n"/>
      <c r="Z431" s="194" t="n"/>
    </row>
    <row r="432" ht="15" customHeight="1" s="195">
      <c r="A432" s="381">
        <f>IF(AND('MAYO 2026'!D16&lt;&gt;"",'MAYO 2026'!Z16="POR RECOGER"),"MAY","")</f>
        <v/>
      </c>
      <c r="B432" s="381">
        <f>IF(AND('MAYO 2026'!D16&lt;&gt;"",'MAYO 2026'!Z16="POR RECOGER"),IF('MAYO 2026'!Y16&lt;&gt;"",'MAYO 2026'!Y16,'MAYO 2026'!I16),"")</f>
        <v/>
      </c>
      <c r="C432" s="381">
        <f>IF(AND('MAYO 2026'!D16&lt;&gt;"",'MAYO 2026'!Z16="POR RECOGER"),'MAYO 2026'!D16,"")</f>
        <v/>
      </c>
      <c r="D432" s="381">
        <f>IF(AND('MAYO 2026'!D16&lt;&gt;"",'MAYO 2026'!Z16="POR RECOGER"),'MAYO 2026'!F16,"")</f>
        <v/>
      </c>
      <c r="E432" s="381">
        <f>IF(AND('MAYO 2026'!D16&lt;&gt;"",'MAYO 2026'!Z16="POR RECOGER"),TEXT('MAYO 2026'!G16,"DD/MM/YYYY"),"")</f>
        <v/>
      </c>
      <c r="F432" s="381">
        <f>IF(AND('MAYO 2026'!D16&lt;&gt;"",'MAYO 2026'!Z16="POR RECOGER"),'MAYO 2026'!K16,"")</f>
        <v/>
      </c>
      <c r="G432" s="382">
        <f>IF(AND('MAYO 2026'!D16&lt;&gt;"",'MAYO 2026'!Z16="POR RECOGER"),'MAYO 2026'!M16,"")</f>
        <v/>
      </c>
      <c r="H432" s="382">
        <f>IF(AND('MAYO 2026'!D16&lt;&gt;"",'MAYO 2026'!Z16="POR RECOGER"),'MAYO 2026'!N16,"")</f>
        <v/>
      </c>
      <c r="I432" s="381">
        <f>IF(AND('MAYO 2026'!D16&lt;&gt;"",'MAYO 2026'!Z16="POR RECOGER"),'MAYO 2026'!P16,"")</f>
        <v/>
      </c>
      <c r="J432" s="381">
        <f>IF(AND('MAYO 2026'!D16&lt;&gt;"",'MAYO 2026'!Z16="POR RECOGER"),'MAYO 2026'!Q16,"")</f>
        <v/>
      </c>
      <c r="K432" s="381">
        <f>IF(AND('MAYO 2026'!D16&lt;&gt;"",'MAYO 2026'!Z16="POR RECOGER"),'MAYO 2026'!Y16,"")</f>
        <v/>
      </c>
      <c r="L432" s="381">
        <f>IF(AND('MAYO 2026'!D16&lt;&gt;"",'MAYO 2026'!Z16="POR RECOGER"),'MAYO 2026'!I16,"")</f>
        <v/>
      </c>
      <c r="P432" s="194" t="n"/>
      <c r="Q432" s="194" t="n"/>
      <c r="R432" s="194" t="n"/>
      <c r="S432" s="194" t="n"/>
      <c r="T432" s="194" t="n"/>
      <c r="U432" s="194" t="n"/>
      <c r="V432" s="194" t="n"/>
      <c r="W432" s="194" t="n"/>
      <c r="X432" s="194" t="n"/>
      <c r="Y432" s="194" t="n"/>
      <c r="Z432" s="194" t="n"/>
    </row>
    <row r="433" ht="15" customHeight="1" s="195">
      <c r="A433" s="381">
        <f>IF(AND('MAYO 2026'!D17&lt;&gt;"",'MAYO 2026'!Z17="POR RECOGER"),"MAY","")</f>
        <v/>
      </c>
      <c r="B433" s="381">
        <f>IF(AND('MAYO 2026'!D17&lt;&gt;"",'MAYO 2026'!Z17="POR RECOGER"),IF('MAYO 2026'!Y17&lt;&gt;"",'MAYO 2026'!Y17,'MAYO 2026'!I17),"")</f>
        <v/>
      </c>
      <c r="C433" s="381">
        <f>IF(AND('MAYO 2026'!D17&lt;&gt;"",'MAYO 2026'!Z17="POR RECOGER"),'MAYO 2026'!D17,"")</f>
        <v/>
      </c>
      <c r="D433" s="381">
        <f>IF(AND('MAYO 2026'!D17&lt;&gt;"",'MAYO 2026'!Z17="POR RECOGER"),'MAYO 2026'!F17,"")</f>
        <v/>
      </c>
      <c r="E433" s="381">
        <f>IF(AND('MAYO 2026'!D17&lt;&gt;"",'MAYO 2026'!Z17="POR RECOGER"),TEXT('MAYO 2026'!G17,"DD/MM/YYYY"),"")</f>
        <v/>
      </c>
      <c r="F433" s="381">
        <f>IF(AND('MAYO 2026'!D17&lt;&gt;"",'MAYO 2026'!Z17="POR RECOGER"),'MAYO 2026'!K17,"")</f>
        <v/>
      </c>
      <c r="G433" s="382">
        <f>IF(AND('MAYO 2026'!D17&lt;&gt;"",'MAYO 2026'!Z17="POR RECOGER"),'MAYO 2026'!M17,"")</f>
        <v/>
      </c>
      <c r="H433" s="382">
        <f>IF(AND('MAYO 2026'!D17&lt;&gt;"",'MAYO 2026'!Z17="POR RECOGER"),'MAYO 2026'!N17,"")</f>
        <v/>
      </c>
      <c r="I433" s="381">
        <f>IF(AND('MAYO 2026'!D17&lt;&gt;"",'MAYO 2026'!Z17="POR RECOGER"),'MAYO 2026'!P17,"")</f>
        <v/>
      </c>
      <c r="J433" s="381">
        <f>IF(AND('MAYO 2026'!D17&lt;&gt;"",'MAYO 2026'!Z17="POR RECOGER"),'MAYO 2026'!Q17,"")</f>
        <v/>
      </c>
      <c r="K433" s="381">
        <f>IF(AND('MAYO 2026'!D17&lt;&gt;"",'MAYO 2026'!Z17="POR RECOGER"),'MAYO 2026'!Y17,"")</f>
        <v/>
      </c>
      <c r="L433" s="381">
        <f>IF(AND('MAYO 2026'!D17&lt;&gt;"",'MAYO 2026'!Z17="POR RECOGER"),'MAYO 2026'!I17,"")</f>
        <v/>
      </c>
      <c r="P433" s="194" t="n"/>
      <c r="Q433" s="194" t="n"/>
      <c r="R433" s="194" t="n"/>
      <c r="S433" s="194" t="n"/>
      <c r="T433" s="194" t="n"/>
      <c r="U433" s="194" t="n"/>
      <c r="V433" s="194" t="n"/>
      <c r="W433" s="194" t="n"/>
      <c r="X433" s="194" t="n"/>
      <c r="Y433" s="194" t="n"/>
      <c r="Z433" s="194" t="n"/>
    </row>
    <row r="434" ht="15" customHeight="1" s="195">
      <c r="A434" s="381">
        <f>IF(AND('MAYO 2026'!D18&lt;&gt;"",'MAYO 2026'!Z18="POR RECOGER"),"MAY","")</f>
        <v/>
      </c>
      <c r="B434" s="381">
        <f>IF(AND('MAYO 2026'!D18&lt;&gt;"",'MAYO 2026'!Z18="POR RECOGER"),IF('MAYO 2026'!Y18&lt;&gt;"",'MAYO 2026'!Y18,'MAYO 2026'!I18),"")</f>
        <v/>
      </c>
      <c r="C434" s="381">
        <f>IF(AND('MAYO 2026'!D18&lt;&gt;"",'MAYO 2026'!Z18="POR RECOGER"),'MAYO 2026'!D18,"")</f>
        <v/>
      </c>
      <c r="D434" s="381">
        <f>IF(AND('MAYO 2026'!D18&lt;&gt;"",'MAYO 2026'!Z18="POR RECOGER"),'MAYO 2026'!F18,"")</f>
        <v/>
      </c>
      <c r="E434" s="381">
        <f>IF(AND('MAYO 2026'!D18&lt;&gt;"",'MAYO 2026'!Z18="POR RECOGER"),TEXT('MAYO 2026'!G18,"DD/MM/YYYY"),"")</f>
        <v/>
      </c>
      <c r="F434" s="381">
        <f>IF(AND('MAYO 2026'!D18&lt;&gt;"",'MAYO 2026'!Z18="POR RECOGER"),'MAYO 2026'!K18,"")</f>
        <v/>
      </c>
      <c r="G434" s="382">
        <f>IF(AND('MAYO 2026'!D18&lt;&gt;"",'MAYO 2026'!Z18="POR RECOGER"),'MAYO 2026'!M18,"")</f>
        <v/>
      </c>
      <c r="H434" s="382">
        <f>IF(AND('MAYO 2026'!D18&lt;&gt;"",'MAYO 2026'!Z18="POR RECOGER"),'MAYO 2026'!N18,"")</f>
        <v/>
      </c>
      <c r="I434" s="381">
        <f>IF(AND('MAYO 2026'!D18&lt;&gt;"",'MAYO 2026'!Z18="POR RECOGER"),'MAYO 2026'!P18,"")</f>
        <v/>
      </c>
      <c r="J434" s="381">
        <f>IF(AND('MAYO 2026'!D18&lt;&gt;"",'MAYO 2026'!Z18="POR RECOGER"),'MAYO 2026'!Q18,"")</f>
        <v/>
      </c>
      <c r="K434" s="381">
        <f>IF(AND('MAYO 2026'!D18&lt;&gt;"",'MAYO 2026'!Z18="POR RECOGER"),'MAYO 2026'!Y18,"")</f>
        <v/>
      </c>
      <c r="L434" s="381">
        <f>IF(AND('MAYO 2026'!D18&lt;&gt;"",'MAYO 2026'!Z18="POR RECOGER"),'MAYO 2026'!I18,"")</f>
        <v/>
      </c>
      <c r="P434" s="194" t="n"/>
      <c r="Q434" s="194" t="n"/>
      <c r="R434" s="194" t="n"/>
      <c r="S434" s="194" t="n"/>
      <c r="T434" s="194" t="n"/>
      <c r="U434" s="194" t="n"/>
      <c r="V434" s="194" t="n"/>
      <c r="W434" s="194" t="n"/>
      <c r="X434" s="194" t="n"/>
      <c r="Y434" s="194" t="n"/>
      <c r="Z434" s="194" t="n"/>
    </row>
    <row r="435" ht="15" customHeight="1" s="195">
      <c r="A435" s="381">
        <f>IF(AND('MAYO 2026'!D19&lt;&gt;"",'MAYO 2026'!Z19="POR RECOGER"),"MAY","")</f>
        <v/>
      </c>
      <c r="B435" s="381">
        <f>IF(AND('MAYO 2026'!D19&lt;&gt;"",'MAYO 2026'!Z19="POR RECOGER"),IF('MAYO 2026'!Y19&lt;&gt;"",'MAYO 2026'!Y19,'MAYO 2026'!I19),"")</f>
        <v/>
      </c>
      <c r="C435" s="381">
        <f>IF(AND('MAYO 2026'!D19&lt;&gt;"",'MAYO 2026'!Z19="POR RECOGER"),'MAYO 2026'!D19,"")</f>
        <v/>
      </c>
      <c r="D435" s="381">
        <f>IF(AND('MAYO 2026'!D19&lt;&gt;"",'MAYO 2026'!Z19="POR RECOGER"),'MAYO 2026'!F19,"")</f>
        <v/>
      </c>
      <c r="E435" s="381">
        <f>IF(AND('MAYO 2026'!D19&lt;&gt;"",'MAYO 2026'!Z19="POR RECOGER"),TEXT('MAYO 2026'!G19,"DD/MM/YYYY"),"")</f>
        <v/>
      </c>
      <c r="F435" s="381">
        <f>IF(AND('MAYO 2026'!D19&lt;&gt;"",'MAYO 2026'!Z19="POR RECOGER"),'MAYO 2026'!K19,"")</f>
        <v/>
      </c>
      <c r="G435" s="382">
        <f>IF(AND('MAYO 2026'!D19&lt;&gt;"",'MAYO 2026'!Z19="POR RECOGER"),'MAYO 2026'!M19,"")</f>
        <v/>
      </c>
      <c r="H435" s="382">
        <f>IF(AND('MAYO 2026'!D19&lt;&gt;"",'MAYO 2026'!Z19="POR RECOGER"),'MAYO 2026'!N19,"")</f>
        <v/>
      </c>
      <c r="I435" s="381">
        <f>IF(AND('MAYO 2026'!D19&lt;&gt;"",'MAYO 2026'!Z19="POR RECOGER"),'MAYO 2026'!P19,"")</f>
        <v/>
      </c>
      <c r="J435" s="381">
        <f>IF(AND('MAYO 2026'!D19&lt;&gt;"",'MAYO 2026'!Z19="POR RECOGER"),'MAYO 2026'!Q19,"")</f>
        <v/>
      </c>
      <c r="K435" s="381">
        <f>IF(AND('MAYO 2026'!D19&lt;&gt;"",'MAYO 2026'!Z19="POR RECOGER"),'MAYO 2026'!Y19,"")</f>
        <v/>
      </c>
      <c r="L435" s="381">
        <f>IF(AND('MAYO 2026'!D19&lt;&gt;"",'MAYO 2026'!Z19="POR RECOGER"),'MAYO 2026'!I19,"")</f>
        <v/>
      </c>
      <c r="P435" s="194" t="n"/>
      <c r="Q435" s="194" t="n"/>
      <c r="R435" s="194" t="n"/>
      <c r="S435" s="194" t="n"/>
      <c r="T435" s="194" t="n"/>
      <c r="U435" s="194" t="n"/>
      <c r="V435" s="194" t="n"/>
      <c r="W435" s="194" t="n"/>
      <c r="X435" s="194" t="n"/>
      <c r="Y435" s="194" t="n"/>
      <c r="Z435" s="194" t="n"/>
    </row>
    <row r="436" ht="15" customHeight="1" s="195">
      <c r="A436" s="381">
        <f>IF(AND('MAYO 2026'!D20&lt;&gt;"",'MAYO 2026'!Z20="POR RECOGER"),"MAY","")</f>
        <v/>
      </c>
      <c r="B436" s="381">
        <f>IF(AND('MAYO 2026'!D20&lt;&gt;"",'MAYO 2026'!Z20="POR RECOGER"),IF('MAYO 2026'!Y20&lt;&gt;"",'MAYO 2026'!Y20,'MAYO 2026'!I20),"")</f>
        <v/>
      </c>
      <c r="C436" s="381">
        <f>IF(AND('MAYO 2026'!D20&lt;&gt;"",'MAYO 2026'!Z20="POR RECOGER"),'MAYO 2026'!D20,"")</f>
        <v/>
      </c>
      <c r="D436" s="381">
        <f>IF(AND('MAYO 2026'!D20&lt;&gt;"",'MAYO 2026'!Z20="POR RECOGER"),'MAYO 2026'!F20,"")</f>
        <v/>
      </c>
      <c r="E436" s="381">
        <f>IF(AND('MAYO 2026'!D20&lt;&gt;"",'MAYO 2026'!Z20="POR RECOGER"),TEXT('MAYO 2026'!G20,"DD/MM/YYYY"),"")</f>
        <v/>
      </c>
      <c r="F436" s="381">
        <f>IF(AND('MAYO 2026'!D20&lt;&gt;"",'MAYO 2026'!Z20="POR RECOGER"),'MAYO 2026'!K20,"")</f>
        <v/>
      </c>
      <c r="G436" s="382">
        <f>IF(AND('MAYO 2026'!D20&lt;&gt;"",'MAYO 2026'!Z20="POR RECOGER"),'MAYO 2026'!M20,"")</f>
        <v/>
      </c>
      <c r="H436" s="382">
        <f>IF(AND('MAYO 2026'!D20&lt;&gt;"",'MAYO 2026'!Z20="POR RECOGER"),'MAYO 2026'!N20,"")</f>
        <v/>
      </c>
      <c r="I436" s="381">
        <f>IF(AND('MAYO 2026'!D20&lt;&gt;"",'MAYO 2026'!Z20="POR RECOGER"),'MAYO 2026'!P20,"")</f>
        <v/>
      </c>
      <c r="J436" s="381">
        <f>IF(AND('MAYO 2026'!D20&lt;&gt;"",'MAYO 2026'!Z20="POR RECOGER"),'MAYO 2026'!Q20,"")</f>
        <v/>
      </c>
      <c r="K436" s="381">
        <f>IF(AND('MAYO 2026'!D20&lt;&gt;"",'MAYO 2026'!Z20="POR RECOGER"),'MAYO 2026'!Y20,"")</f>
        <v/>
      </c>
      <c r="L436" s="381">
        <f>IF(AND('MAYO 2026'!D20&lt;&gt;"",'MAYO 2026'!Z20="POR RECOGER"),'MAYO 2026'!I20,"")</f>
        <v/>
      </c>
      <c r="P436" s="194" t="n"/>
      <c r="Q436" s="194" t="n"/>
      <c r="R436" s="194" t="n"/>
      <c r="S436" s="194" t="n"/>
      <c r="T436" s="194" t="n"/>
      <c r="U436" s="194" t="n"/>
      <c r="V436" s="194" t="n"/>
      <c r="W436" s="194" t="n"/>
      <c r="X436" s="194" t="n"/>
      <c r="Y436" s="194" t="n"/>
      <c r="Z436" s="194" t="n"/>
    </row>
    <row r="437" ht="15" customHeight="1" s="195">
      <c r="A437" s="381">
        <f>IF(AND('MAYO 2026'!D21&lt;&gt;"",'MAYO 2026'!Z21="POR RECOGER"),"MAY","")</f>
        <v/>
      </c>
      <c r="B437" s="381">
        <f>IF(AND('MAYO 2026'!D21&lt;&gt;"",'MAYO 2026'!Z21="POR RECOGER"),IF('MAYO 2026'!Y21&lt;&gt;"",'MAYO 2026'!Y21,'MAYO 2026'!I21),"")</f>
        <v/>
      </c>
      <c r="C437" s="381">
        <f>IF(AND('MAYO 2026'!D21&lt;&gt;"",'MAYO 2026'!Z21="POR RECOGER"),'MAYO 2026'!D21,"")</f>
        <v/>
      </c>
      <c r="D437" s="381">
        <f>IF(AND('MAYO 2026'!D21&lt;&gt;"",'MAYO 2026'!Z21="POR RECOGER"),'MAYO 2026'!F21,"")</f>
        <v/>
      </c>
      <c r="E437" s="381">
        <f>IF(AND('MAYO 2026'!D21&lt;&gt;"",'MAYO 2026'!Z21="POR RECOGER"),TEXT('MAYO 2026'!G21,"DD/MM/YYYY"),"")</f>
        <v/>
      </c>
      <c r="F437" s="381">
        <f>IF(AND('MAYO 2026'!D21&lt;&gt;"",'MAYO 2026'!Z21="POR RECOGER"),'MAYO 2026'!K21,"")</f>
        <v/>
      </c>
      <c r="G437" s="382">
        <f>IF(AND('MAYO 2026'!D21&lt;&gt;"",'MAYO 2026'!Z21="POR RECOGER"),'MAYO 2026'!M21,"")</f>
        <v/>
      </c>
      <c r="H437" s="382">
        <f>IF(AND('MAYO 2026'!D21&lt;&gt;"",'MAYO 2026'!Z21="POR RECOGER"),'MAYO 2026'!N21,"")</f>
        <v/>
      </c>
      <c r="I437" s="381">
        <f>IF(AND('MAYO 2026'!D21&lt;&gt;"",'MAYO 2026'!Z21="POR RECOGER"),'MAYO 2026'!P21,"")</f>
        <v/>
      </c>
      <c r="J437" s="381">
        <f>IF(AND('MAYO 2026'!D21&lt;&gt;"",'MAYO 2026'!Z21="POR RECOGER"),'MAYO 2026'!Q21,"")</f>
        <v/>
      </c>
      <c r="K437" s="381">
        <f>IF(AND('MAYO 2026'!D21&lt;&gt;"",'MAYO 2026'!Z21="POR RECOGER"),'MAYO 2026'!Y21,"")</f>
        <v/>
      </c>
      <c r="L437" s="381">
        <f>IF(AND('MAYO 2026'!D21&lt;&gt;"",'MAYO 2026'!Z21="POR RECOGER"),'MAYO 2026'!I21,"")</f>
        <v/>
      </c>
      <c r="P437" s="194" t="n"/>
      <c r="Q437" s="194" t="n"/>
      <c r="R437" s="194" t="n"/>
      <c r="S437" s="194" t="n"/>
      <c r="T437" s="194" t="n"/>
      <c r="U437" s="194" t="n"/>
      <c r="V437" s="194" t="n"/>
      <c r="W437" s="194" t="n"/>
      <c r="X437" s="194" t="n"/>
      <c r="Y437" s="194" t="n"/>
      <c r="Z437" s="194" t="n"/>
    </row>
    <row r="438" ht="15" customHeight="1" s="195">
      <c r="A438" s="381">
        <f>IF(AND('MAYO 2026'!D22&lt;&gt;"",'MAYO 2026'!Z22="POR RECOGER"),"MAY","")</f>
        <v/>
      </c>
      <c r="B438" s="381">
        <f>IF(AND('MAYO 2026'!D22&lt;&gt;"",'MAYO 2026'!Z22="POR RECOGER"),IF('MAYO 2026'!Y22&lt;&gt;"",'MAYO 2026'!Y22,'MAYO 2026'!I22),"")</f>
        <v/>
      </c>
      <c r="C438" s="381">
        <f>IF(AND('MAYO 2026'!D22&lt;&gt;"",'MAYO 2026'!Z22="POR RECOGER"),'MAYO 2026'!D22,"")</f>
        <v/>
      </c>
      <c r="D438" s="381">
        <f>IF(AND('MAYO 2026'!D22&lt;&gt;"",'MAYO 2026'!Z22="POR RECOGER"),'MAYO 2026'!F22,"")</f>
        <v/>
      </c>
      <c r="E438" s="381">
        <f>IF(AND('MAYO 2026'!D22&lt;&gt;"",'MAYO 2026'!Z22="POR RECOGER"),TEXT('MAYO 2026'!G22,"DD/MM/YYYY"),"")</f>
        <v/>
      </c>
      <c r="F438" s="381">
        <f>IF(AND('MAYO 2026'!D22&lt;&gt;"",'MAYO 2026'!Z22="POR RECOGER"),'MAYO 2026'!K22,"")</f>
        <v/>
      </c>
      <c r="G438" s="382">
        <f>IF(AND('MAYO 2026'!D22&lt;&gt;"",'MAYO 2026'!Z22="POR RECOGER"),'MAYO 2026'!M22,"")</f>
        <v/>
      </c>
      <c r="H438" s="382">
        <f>IF(AND('MAYO 2026'!D22&lt;&gt;"",'MAYO 2026'!Z22="POR RECOGER"),'MAYO 2026'!N22,"")</f>
        <v/>
      </c>
      <c r="I438" s="381">
        <f>IF(AND('MAYO 2026'!D22&lt;&gt;"",'MAYO 2026'!Z22="POR RECOGER"),'MAYO 2026'!P22,"")</f>
        <v/>
      </c>
      <c r="J438" s="381">
        <f>IF(AND('MAYO 2026'!D22&lt;&gt;"",'MAYO 2026'!Z22="POR RECOGER"),'MAYO 2026'!Q22,"")</f>
        <v/>
      </c>
      <c r="K438" s="381">
        <f>IF(AND('MAYO 2026'!D22&lt;&gt;"",'MAYO 2026'!Z22="POR RECOGER"),'MAYO 2026'!Y22,"")</f>
        <v/>
      </c>
      <c r="L438" s="381">
        <f>IF(AND('MAYO 2026'!D22&lt;&gt;"",'MAYO 2026'!Z22="POR RECOGER"),'MAYO 2026'!I22,"")</f>
        <v/>
      </c>
      <c r="P438" s="194" t="n"/>
      <c r="Q438" s="194" t="n"/>
      <c r="R438" s="194" t="n"/>
      <c r="S438" s="194" t="n"/>
      <c r="T438" s="194" t="n"/>
      <c r="U438" s="194" t="n"/>
      <c r="V438" s="194" t="n"/>
      <c r="W438" s="194" t="n"/>
      <c r="X438" s="194" t="n"/>
      <c r="Y438" s="194" t="n"/>
      <c r="Z438" s="194" t="n"/>
    </row>
    <row r="439" ht="15" customHeight="1" s="195">
      <c r="A439" s="381">
        <f>IF(AND('MAYO 2026'!D23&lt;&gt;"",'MAYO 2026'!Z23="POR RECOGER"),"MAY","")</f>
        <v/>
      </c>
      <c r="B439" s="381">
        <f>IF(AND('MAYO 2026'!D23&lt;&gt;"",'MAYO 2026'!Z23="POR RECOGER"),IF('MAYO 2026'!Y23&lt;&gt;"",'MAYO 2026'!Y23,'MAYO 2026'!I23),"")</f>
        <v/>
      </c>
      <c r="C439" s="381">
        <f>IF(AND('MAYO 2026'!D23&lt;&gt;"",'MAYO 2026'!Z23="POR RECOGER"),'MAYO 2026'!D23,"")</f>
        <v/>
      </c>
      <c r="D439" s="381">
        <f>IF(AND('MAYO 2026'!D23&lt;&gt;"",'MAYO 2026'!Z23="POR RECOGER"),'MAYO 2026'!F23,"")</f>
        <v/>
      </c>
      <c r="E439" s="381">
        <f>IF(AND('MAYO 2026'!D23&lt;&gt;"",'MAYO 2026'!Z23="POR RECOGER"),TEXT('MAYO 2026'!G23,"DD/MM/YYYY"),"")</f>
        <v/>
      </c>
      <c r="F439" s="381">
        <f>IF(AND('MAYO 2026'!D23&lt;&gt;"",'MAYO 2026'!Z23="POR RECOGER"),'MAYO 2026'!K23,"")</f>
        <v/>
      </c>
      <c r="G439" s="382">
        <f>IF(AND('MAYO 2026'!D23&lt;&gt;"",'MAYO 2026'!Z23="POR RECOGER"),'MAYO 2026'!M23,"")</f>
        <v/>
      </c>
      <c r="H439" s="382">
        <f>IF(AND('MAYO 2026'!D23&lt;&gt;"",'MAYO 2026'!Z23="POR RECOGER"),'MAYO 2026'!N23,"")</f>
        <v/>
      </c>
      <c r="I439" s="381">
        <f>IF(AND('MAYO 2026'!D23&lt;&gt;"",'MAYO 2026'!Z23="POR RECOGER"),'MAYO 2026'!P23,"")</f>
        <v/>
      </c>
      <c r="J439" s="381">
        <f>IF(AND('MAYO 2026'!D23&lt;&gt;"",'MAYO 2026'!Z23="POR RECOGER"),'MAYO 2026'!Q23,"")</f>
        <v/>
      </c>
      <c r="K439" s="381">
        <f>IF(AND('MAYO 2026'!D23&lt;&gt;"",'MAYO 2026'!Z23="POR RECOGER"),'MAYO 2026'!Y23,"")</f>
        <v/>
      </c>
      <c r="L439" s="381">
        <f>IF(AND('MAYO 2026'!D23&lt;&gt;"",'MAYO 2026'!Z23="POR RECOGER"),'MAYO 2026'!I23,"")</f>
        <v/>
      </c>
      <c r="P439" s="194" t="n"/>
      <c r="Q439" s="194" t="n"/>
      <c r="R439" s="194" t="n"/>
      <c r="S439" s="194" t="n"/>
      <c r="T439" s="194" t="n"/>
      <c r="U439" s="194" t="n"/>
      <c r="V439" s="194" t="n"/>
      <c r="W439" s="194" t="n"/>
      <c r="X439" s="194" t="n"/>
      <c r="Y439" s="194" t="n"/>
      <c r="Z439" s="194" t="n"/>
    </row>
    <row r="440" ht="15" customHeight="1" s="195">
      <c r="A440" s="381">
        <f>IF(AND('MAYO 2026'!D24&lt;&gt;"",'MAYO 2026'!Z24="POR RECOGER"),"MAY","")</f>
        <v/>
      </c>
      <c r="B440" s="381">
        <f>IF(AND('MAYO 2026'!D24&lt;&gt;"",'MAYO 2026'!Z24="POR RECOGER"),IF('MAYO 2026'!Y24&lt;&gt;"",'MAYO 2026'!Y24,'MAYO 2026'!I24),"")</f>
        <v/>
      </c>
      <c r="C440" s="381">
        <f>IF(AND('MAYO 2026'!D24&lt;&gt;"",'MAYO 2026'!Z24="POR RECOGER"),'MAYO 2026'!D24,"")</f>
        <v/>
      </c>
      <c r="D440" s="381">
        <f>IF(AND('MAYO 2026'!D24&lt;&gt;"",'MAYO 2026'!Z24="POR RECOGER"),'MAYO 2026'!F24,"")</f>
        <v/>
      </c>
      <c r="E440" s="381">
        <f>IF(AND('MAYO 2026'!D24&lt;&gt;"",'MAYO 2026'!Z24="POR RECOGER"),TEXT('MAYO 2026'!G24,"DD/MM/YYYY"),"")</f>
        <v/>
      </c>
      <c r="F440" s="381">
        <f>IF(AND('MAYO 2026'!D24&lt;&gt;"",'MAYO 2026'!Z24="POR RECOGER"),'MAYO 2026'!K24,"")</f>
        <v/>
      </c>
      <c r="G440" s="382">
        <f>IF(AND('MAYO 2026'!D24&lt;&gt;"",'MAYO 2026'!Z24="POR RECOGER"),'MAYO 2026'!M24,"")</f>
        <v/>
      </c>
      <c r="H440" s="382">
        <f>IF(AND('MAYO 2026'!D24&lt;&gt;"",'MAYO 2026'!Z24="POR RECOGER"),'MAYO 2026'!N24,"")</f>
        <v/>
      </c>
      <c r="I440" s="381">
        <f>IF(AND('MAYO 2026'!D24&lt;&gt;"",'MAYO 2026'!Z24="POR RECOGER"),'MAYO 2026'!P24,"")</f>
        <v/>
      </c>
      <c r="J440" s="381">
        <f>IF(AND('MAYO 2026'!D24&lt;&gt;"",'MAYO 2026'!Z24="POR RECOGER"),'MAYO 2026'!Q24,"")</f>
        <v/>
      </c>
      <c r="K440" s="381">
        <f>IF(AND('MAYO 2026'!D24&lt;&gt;"",'MAYO 2026'!Z24="POR RECOGER"),'MAYO 2026'!Y24,"")</f>
        <v/>
      </c>
      <c r="L440" s="381">
        <f>IF(AND('MAYO 2026'!D24&lt;&gt;"",'MAYO 2026'!Z24="POR RECOGER"),'MAYO 2026'!I24,"")</f>
        <v/>
      </c>
      <c r="P440" s="194" t="n"/>
      <c r="Q440" s="194" t="n"/>
      <c r="R440" s="194" t="n"/>
      <c r="S440" s="194" t="n"/>
      <c r="T440" s="194" t="n"/>
      <c r="U440" s="194" t="n"/>
      <c r="V440" s="194" t="n"/>
      <c r="W440" s="194" t="n"/>
      <c r="X440" s="194" t="n"/>
      <c r="Y440" s="194" t="n"/>
      <c r="Z440" s="194" t="n"/>
    </row>
    <row r="441" ht="15" customHeight="1" s="195">
      <c r="A441" s="381">
        <f>IF(AND('MAYO 2026'!D25&lt;&gt;"",'MAYO 2026'!Z25="POR RECOGER"),"MAY","")</f>
        <v/>
      </c>
      <c r="B441" s="381">
        <f>IF(AND('MAYO 2026'!D25&lt;&gt;"",'MAYO 2026'!Z25="POR RECOGER"),IF('MAYO 2026'!Y25&lt;&gt;"",'MAYO 2026'!Y25,'MAYO 2026'!I25),"")</f>
        <v/>
      </c>
      <c r="C441" s="381">
        <f>IF(AND('MAYO 2026'!D25&lt;&gt;"",'MAYO 2026'!Z25="POR RECOGER"),'MAYO 2026'!D25,"")</f>
        <v/>
      </c>
      <c r="D441" s="381">
        <f>IF(AND('MAYO 2026'!D25&lt;&gt;"",'MAYO 2026'!Z25="POR RECOGER"),'MAYO 2026'!F25,"")</f>
        <v/>
      </c>
      <c r="E441" s="381">
        <f>IF(AND('MAYO 2026'!D25&lt;&gt;"",'MAYO 2026'!Z25="POR RECOGER"),TEXT('MAYO 2026'!G25,"DD/MM/YYYY"),"")</f>
        <v/>
      </c>
      <c r="F441" s="381">
        <f>IF(AND('MAYO 2026'!D25&lt;&gt;"",'MAYO 2026'!Z25="POR RECOGER"),'MAYO 2026'!K25,"")</f>
        <v/>
      </c>
      <c r="G441" s="382">
        <f>IF(AND('MAYO 2026'!D25&lt;&gt;"",'MAYO 2026'!Z25="POR RECOGER"),'MAYO 2026'!M25,"")</f>
        <v/>
      </c>
      <c r="H441" s="382">
        <f>IF(AND('MAYO 2026'!D25&lt;&gt;"",'MAYO 2026'!Z25="POR RECOGER"),'MAYO 2026'!N25,"")</f>
        <v/>
      </c>
      <c r="I441" s="381">
        <f>IF(AND('MAYO 2026'!D25&lt;&gt;"",'MAYO 2026'!Z25="POR RECOGER"),'MAYO 2026'!P25,"")</f>
        <v/>
      </c>
      <c r="J441" s="381">
        <f>IF(AND('MAYO 2026'!D25&lt;&gt;"",'MAYO 2026'!Z25="POR RECOGER"),'MAYO 2026'!Q25,"")</f>
        <v/>
      </c>
      <c r="K441" s="381">
        <f>IF(AND('MAYO 2026'!D25&lt;&gt;"",'MAYO 2026'!Z25="POR RECOGER"),'MAYO 2026'!Y25,"")</f>
        <v/>
      </c>
      <c r="L441" s="381">
        <f>IF(AND('MAYO 2026'!D25&lt;&gt;"",'MAYO 2026'!Z25="POR RECOGER"),'MAYO 2026'!I25,"")</f>
        <v/>
      </c>
      <c r="P441" s="194" t="n"/>
      <c r="Q441" s="194" t="n"/>
      <c r="R441" s="194" t="n"/>
      <c r="S441" s="194" t="n"/>
      <c r="T441" s="194" t="n"/>
      <c r="U441" s="194" t="n"/>
      <c r="V441" s="194" t="n"/>
      <c r="W441" s="194" t="n"/>
      <c r="X441" s="194" t="n"/>
      <c r="Y441" s="194" t="n"/>
      <c r="Z441" s="194" t="n"/>
    </row>
    <row r="442" ht="15" customHeight="1" s="195">
      <c r="A442" s="381">
        <f>IF(AND('MAYO 2026'!D26&lt;&gt;"",'MAYO 2026'!Z26="POR RECOGER"),"MAY","")</f>
        <v/>
      </c>
      <c r="B442" s="381">
        <f>IF(AND('MAYO 2026'!D26&lt;&gt;"",'MAYO 2026'!Z26="POR RECOGER"),IF('MAYO 2026'!Y26&lt;&gt;"",'MAYO 2026'!Y26,'MAYO 2026'!I26),"")</f>
        <v/>
      </c>
      <c r="C442" s="381">
        <f>IF(AND('MAYO 2026'!D26&lt;&gt;"",'MAYO 2026'!Z26="POR RECOGER"),'MAYO 2026'!D26,"")</f>
        <v/>
      </c>
      <c r="D442" s="381">
        <f>IF(AND('MAYO 2026'!D26&lt;&gt;"",'MAYO 2026'!Z26="POR RECOGER"),'MAYO 2026'!F26,"")</f>
        <v/>
      </c>
      <c r="E442" s="381">
        <f>IF(AND('MAYO 2026'!D26&lt;&gt;"",'MAYO 2026'!Z26="POR RECOGER"),TEXT('MAYO 2026'!G26,"DD/MM/YYYY"),"")</f>
        <v/>
      </c>
      <c r="F442" s="381">
        <f>IF(AND('MAYO 2026'!D26&lt;&gt;"",'MAYO 2026'!Z26="POR RECOGER"),'MAYO 2026'!K26,"")</f>
        <v/>
      </c>
      <c r="G442" s="382">
        <f>IF(AND('MAYO 2026'!D26&lt;&gt;"",'MAYO 2026'!Z26="POR RECOGER"),'MAYO 2026'!M26,"")</f>
        <v/>
      </c>
      <c r="H442" s="382">
        <f>IF(AND('MAYO 2026'!D26&lt;&gt;"",'MAYO 2026'!Z26="POR RECOGER"),'MAYO 2026'!N26,"")</f>
        <v/>
      </c>
      <c r="I442" s="381">
        <f>IF(AND('MAYO 2026'!D26&lt;&gt;"",'MAYO 2026'!Z26="POR RECOGER"),'MAYO 2026'!P26,"")</f>
        <v/>
      </c>
      <c r="J442" s="381">
        <f>IF(AND('MAYO 2026'!D26&lt;&gt;"",'MAYO 2026'!Z26="POR RECOGER"),'MAYO 2026'!Q26,"")</f>
        <v/>
      </c>
      <c r="K442" s="381">
        <f>IF(AND('MAYO 2026'!D26&lt;&gt;"",'MAYO 2026'!Z26="POR RECOGER"),'MAYO 2026'!Y26,"")</f>
        <v/>
      </c>
      <c r="L442" s="381">
        <f>IF(AND('MAYO 2026'!D26&lt;&gt;"",'MAYO 2026'!Z26="POR RECOGER"),'MAYO 2026'!I26,"")</f>
        <v/>
      </c>
      <c r="P442" s="194" t="n"/>
      <c r="Q442" s="194" t="n"/>
      <c r="R442" s="194" t="n"/>
      <c r="S442" s="194" t="n"/>
      <c r="T442" s="194" t="n"/>
      <c r="U442" s="194" t="n"/>
      <c r="V442" s="194" t="n"/>
      <c r="W442" s="194" t="n"/>
      <c r="X442" s="194" t="n"/>
      <c r="Y442" s="194" t="n"/>
      <c r="Z442" s="194" t="n"/>
    </row>
    <row r="443" ht="15" customHeight="1" s="195">
      <c r="A443" s="381">
        <f>IF(AND('MAYO 2026'!D27&lt;&gt;"",'MAYO 2026'!Z27="POR RECOGER"),"MAY","")</f>
        <v/>
      </c>
      <c r="B443" s="381">
        <f>IF(AND('MAYO 2026'!D27&lt;&gt;"",'MAYO 2026'!Z27="POR RECOGER"),IF('MAYO 2026'!Y27&lt;&gt;"",'MAYO 2026'!Y27,'MAYO 2026'!I27),"")</f>
        <v/>
      </c>
      <c r="C443" s="381">
        <f>IF(AND('MAYO 2026'!D27&lt;&gt;"",'MAYO 2026'!Z27="POR RECOGER"),'MAYO 2026'!D27,"")</f>
        <v/>
      </c>
      <c r="D443" s="381">
        <f>IF(AND('MAYO 2026'!D27&lt;&gt;"",'MAYO 2026'!Z27="POR RECOGER"),'MAYO 2026'!F27,"")</f>
        <v/>
      </c>
      <c r="E443" s="381">
        <f>IF(AND('MAYO 2026'!D27&lt;&gt;"",'MAYO 2026'!Z27="POR RECOGER"),TEXT('MAYO 2026'!G27,"DD/MM/YYYY"),"")</f>
        <v/>
      </c>
      <c r="F443" s="381">
        <f>IF(AND('MAYO 2026'!D27&lt;&gt;"",'MAYO 2026'!Z27="POR RECOGER"),'MAYO 2026'!K27,"")</f>
        <v/>
      </c>
      <c r="G443" s="382">
        <f>IF(AND('MAYO 2026'!D27&lt;&gt;"",'MAYO 2026'!Z27="POR RECOGER"),'MAYO 2026'!M27,"")</f>
        <v/>
      </c>
      <c r="H443" s="382">
        <f>IF(AND('MAYO 2026'!D27&lt;&gt;"",'MAYO 2026'!Z27="POR RECOGER"),'MAYO 2026'!N27,"")</f>
        <v/>
      </c>
      <c r="I443" s="381">
        <f>IF(AND('MAYO 2026'!D27&lt;&gt;"",'MAYO 2026'!Z27="POR RECOGER"),'MAYO 2026'!P27,"")</f>
        <v/>
      </c>
      <c r="J443" s="381">
        <f>IF(AND('MAYO 2026'!D27&lt;&gt;"",'MAYO 2026'!Z27="POR RECOGER"),'MAYO 2026'!Q27,"")</f>
        <v/>
      </c>
      <c r="K443" s="381">
        <f>IF(AND('MAYO 2026'!D27&lt;&gt;"",'MAYO 2026'!Z27="POR RECOGER"),'MAYO 2026'!Y27,"")</f>
        <v/>
      </c>
      <c r="L443" s="381">
        <f>IF(AND('MAYO 2026'!D27&lt;&gt;"",'MAYO 2026'!Z27="POR RECOGER"),'MAYO 2026'!I27,"")</f>
        <v/>
      </c>
      <c r="P443" s="194" t="n"/>
      <c r="Q443" s="194" t="n"/>
      <c r="R443" s="194" t="n"/>
      <c r="S443" s="194" t="n"/>
      <c r="T443" s="194" t="n"/>
      <c r="U443" s="194" t="n"/>
      <c r="V443" s="194" t="n"/>
      <c r="W443" s="194" t="n"/>
      <c r="X443" s="194" t="n"/>
      <c r="Y443" s="194" t="n"/>
      <c r="Z443" s="194" t="n"/>
    </row>
    <row r="444" ht="15" customHeight="1" s="195">
      <c r="A444" s="381">
        <f>IF(AND('MAYO 2026'!D28&lt;&gt;"",'MAYO 2026'!Z28="POR RECOGER"),"MAY","")</f>
        <v/>
      </c>
      <c r="B444" s="381">
        <f>IF(AND('MAYO 2026'!D28&lt;&gt;"",'MAYO 2026'!Z28="POR RECOGER"),IF('MAYO 2026'!Y28&lt;&gt;"",'MAYO 2026'!Y28,'MAYO 2026'!I28),"")</f>
        <v/>
      </c>
      <c r="C444" s="381">
        <f>IF(AND('MAYO 2026'!D28&lt;&gt;"",'MAYO 2026'!Z28="POR RECOGER"),'MAYO 2026'!D28,"")</f>
        <v/>
      </c>
      <c r="D444" s="381">
        <f>IF(AND('MAYO 2026'!D28&lt;&gt;"",'MAYO 2026'!Z28="POR RECOGER"),'MAYO 2026'!F28,"")</f>
        <v/>
      </c>
      <c r="E444" s="381">
        <f>IF(AND('MAYO 2026'!D28&lt;&gt;"",'MAYO 2026'!Z28="POR RECOGER"),TEXT('MAYO 2026'!G28,"DD/MM/YYYY"),"")</f>
        <v/>
      </c>
      <c r="F444" s="381">
        <f>IF(AND('MAYO 2026'!D28&lt;&gt;"",'MAYO 2026'!Z28="POR RECOGER"),'MAYO 2026'!K28,"")</f>
        <v/>
      </c>
      <c r="G444" s="382">
        <f>IF(AND('MAYO 2026'!D28&lt;&gt;"",'MAYO 2026'!Z28="POR RECOGER"),'MAYO 2026'!M28,"")</f>
        <v/>
      </c>
      <c r="H444" s="382">
        <f>IF(AND('MAYO 2026'!D28&lt;&gt;"",'MAYO 2026'!Z28="POR RECOGER"),'MAYO 2026'!N28,"")</f>
        <v/>
      </c>
      <c r="I444" s="381">
        <f>IF(AND('MAYO 2026'!D28&lt;&gt;"",'MAYO 2026'!Z28="POR RECOGER"),'MAYO 2026'!P28,"")</f>
        <v/>
      </c>
      <c r="J444" s="381">
        <f>IF(AND('MAYO 2026'!D28&lt;&gt;"",'MAYO 2026'!Z28="POR RECOGER"),'MAYO 2026'!Q28,"")</f>
        <v/>
      </c>
      <c r="K444" s="381">
        <f>IF(AND('MAYO 2026'!D28&lt;&gt;"",'MAYO 2026'!Z28="POR RECOGER"),'MAYO 2026'!Y28,"")</f>
        <v/>
      </c>
      <c r="L444" s="381">
        <f>IF(AND('MAYO 2026'!D28&lt;&gt;"",'MAYO 2026'!Z28="POR RECOGER"),'MAYO 2026'!I28,"")</f>
        <v/>
      </c>
      <c r="P444" s="194" t="n"/>
      <c r="Q444" s="194" t="n"/>
      <c r="R444" s="194" t="n"/>
      <c r="S444" s="194" t="n"/>
      <c r="T444" s="194" t="n"/>
      <c r="U444" s="194" t="n"/>
      <c r="V444" s="194" t="n"/>
      <c r="W444" s="194" t="n"/>
      <c r="X444" s="194" t="n"/>
      <c r="Y444" s="194" t="n"/>
      <c r="Z444" s="194" t="n"/>
    </row>
    <row r="445" ht="15" customHeight="1" s="195">
      <c r="A445" s="381">
        <f>IF(AND('MAYO 2026'!D29&lt;&gt;"",'MAYO 2026'!Z29="POR RECOGER"),"MAY","")</f>
        <v/>
      </c>
      <c r="B445" s="381">
        <f>IF(AND('MAYO 2026'!D29&lt;&gt;"",'MAYO 2026'!Z29="POR RECOGER"),IF('MAYO 2026'!Y29&lt;&gt;"",'MAYO 2026'!Y29,'MAYO 2026'!I29),"")</f>
        <v/>
      </c>
      <c r="C445" s="381">
        <f>IF(AND('MAYO 2026'!D29&lt;&gt;"",'MAYO 2026'!Z29="POR RECOGER"),'MAYO 2026'!D29,"")</f>
        <v/>
      </c>
      <c r="D445" s="381">
        <f>IF(AND('MAYO 2026'!D29&lt;&gt;"",'MAYO 2026'!Z29="POR RECOGER"),'MAYO 2026'!F29,"")</f>
        <v/>
      </c>
      <c r="E445" s="381">
        <f>IF(AND('MAYO 2026'!D29&lt;&gt;"",'MAYO 2026'!Z29="POR RECOGER"),TEXT('MAYO 2026'!G29,"DD/MM/YYYY"),"")</f>
        <v/>
      </c>
      <c r="F445" s="381">
        <f>IF(AND('MAYO 2026'!D29&lt;&gt;"",'MAYO 2026'!Z29="POR RECOGER"),'MAYO 2026'!K29,"")</f>
        <v/>
      </c>
      <c r="G445" s="382">
        <f>IF(AND('MAYO 2026'!D29&lt;&gt;"",'MAYO 2026'!Z29="POR RECOGER"),'MAYO 2026'!M29,"")</f>
        <v/>
      </c>
      <c r="H445" s="382">
        <f>IF(AND('MAYO 2026'!D29&lt;&gt;"",'MAYO 2026'!Z29="POR RECOGER"),'MAYO 2026'!N29,"")</f>
        <v/>
      </c>
      <c r="I445" s="381">
        <f>IF(AND('MAYO 2026'!D29&lt;&gt;"",'MAYO 2026'!Z29="POR RECOGER"),'MAYO 2026'!P29,"")</f>
        <v/>
      </c>
      <c r="J445" s="381">
        <f>IF(AND('MAYO 2026'!D29&lt;&gt;"",'MAYO 2026'!Z29="POR RECOGER"),'MAYO 2026'!Q29,"")</f>
        <v/>
      </c>
      <c r="K445" s="381">
        <f>IF(AND('MAYO 2026'!D29&lt;&gt;"",'MAYO 2026'!Z29="POR RECOGER"),'MAYO 2026'!Y29,"")</f>
        <v/>
      </c>
      <c r="L445" s="381">
        <f>IF(AND('MAYO 2026'!D29&lt;&gt;"",'MAYO 2026'!Z29="POR RECOGER"),'MAYO 2026'!I29,"")</f>
        <v/>
      </c>
      <c r="P445" s="194" t="n"/>
      <c r="Q445" s="194" t="n"/>
      <c r="R445" s="194" t="n"/>
      <c r="S445" s="194" t="n"/>
      <c r="T445" s="194" t="n"/>
      <c r="U445" s="194" t="n"/>
      <c r="V445" s="194" t="n"/>
      <c r="W445" s="194" t="n"/>
      <c r="X445" s="194" t="n"/>
      <c r="Y445" s="194" t="n"/>
      <c r="Z445" s="194" t="n"/>
    </row>
    <row r="446" ht="15" customHeight="1" s="195">
      <c r="A446" s="381">
        <f>IF(AND('MAYO 2026'!D30&lt;&gt;"",'MAYO 2026'!Z30="POR RECOGER"),"MAY","")</f>
        <v/>
      </c>
      <c r="B446" s="381">
        <f>IF(AND('MAYO 2026'!D30&lt;&gt;"",'MAYO 2026'!Z30="POR RECOGER"),IF('MAYO 2026'!Y30&lt;&gt;"",'MAYO 2026'!Y30,'MAYO 2026'!I30),"")</f>
        <v/>
      </c>
      <c r="C446" s="381">
        <f>IF(AND('MAYO 2026'!D30&lt;&gt;"",'MAYO 2026'!Z30="POR RECOGER"),'MAYO 2026'!D30,"")</f>
        <v/>
      </c>
      <c r="D446" s="381">
        <f>IF(AND('MAYO 2026'!D30&lt;&gt;"",'MAYO 2026'!Z30="POR RECOGER"),'MAYO 2026'!F30,"")</f>
        <v/>
      </c>
      <c r="E446" s="381">
        <f>IF(AND('MAYO 2026'!D30&lt;&gt;"",'MAYO 2026'!Z30="POR RECOGER"),TEXT('MAYO 2026'!G30,"DD/MM/YYYY"),"")</f>
        <v/>
      </c>
      <c r="F446" s="381">
        <f>IF(AND('MAYO 2026'!D30&lt;&gt;"",'MAYO 2026'!Z30="POR RECOGER"),'MAYO 2026'!K30,"")</f>
        <v/>
      </c>
      <c r="G446" s="382">
        <f>IF(AND('MAYO 2026'!D30&lt;&gt;"",'MAYO 2026'!Z30="POR RECOGER"),'MAYO 2026'!M30,"")</f>
        <v/>
      </c>
      <c r="H446" s="382">
        <f>IF(AND('MAYO 2026'!D30&lt;&gt;"",'MAYO 2026'!Z30="POR RECOGER"),'MAYO 2026'!N30,"")</f>
        <v/>
      </c>
      <c r="I446" s="381">
        <f>IF(AND('MAYO 2026'!D30&lt;&gt;"",'MAYO 2026'!Z30="POR RECOGER"),'MAYO 2026'!P30,"")</f>
        <v/>
      </c>
      <c r="J446" s="381">
        <f>IF(AND('MAYO 2026'!D30&lt;&gt;"",'MAYO 2026'!Z30="POR RECOGER"),'MAYO 2026'!Q30,"")</f>
        <v/>
      </c>
      <c r="K446" s="381">
        <f>IF(AND('MAYO 2026'!D30&lt;&gt;"",'MAYO 2026'!Z30="POR RECOGER"),'MAYO 2026'!Y30,"")</f>
        <v/>
      </c>
      <c r="L446" s="381">
        <f>IF(AND('MAYO 2026'!D30&lt;&gt;"",'MAYO 2026'!Z30="POR RECOGER"),'MAYO 2026'!I30,"")</f>
        <v/>
      </c>
      <c r="P446" s="194" t="n"/>
      <c r="Q446" s="194" t="n"/>
      <c r="R446" s="194" t="n"/>
      <c r="S446" s="194" t="n"/>
      <c r="T446" s="194" t="n"/>
      <c r="U446" s="194" t="n"/>
      <c r="V446" s="194" t="n"/>
      <c r="W446" s="194" t="n"/>
      <c r="X446" s="194" t="n"/>
      <c r="Y446" s="194" t="n"/>
      <c r="Z446" s="194" t="n"/>
    </row>
    <row r="447" ht="15" customHeight="1" s="195">
      <c r="A447" s="381">
        <f>IF(AND('MAYO 2026'!D31&lt;&gt;"",'MAYO 2026'!Z31="POR RECOGER"),"MAY","")</f>
        <v/>
      </c>
      <c r="B447" s="381">
        <f>IF(AND('MAYO 2026'!D31&lt;&gt;"",'MAYO 2026'!Z31="POR RECOGER"),IF('MAYO 2026'!Y31&lt;&gt;"",'MAYO 2026'!Y31,'MAYO 2026'!I31),"")</f>
        <v/>
      </c>
      <c r="C447" s="381">
        <f>IF(AND('MAYO 2026'!D31&lt;&gt;"",'MAYO 2026'!Z31="POR RECOGER"),'MAYO 2026'!D31,"")</f>
        <v/>
      </c>
      <c r="D447" s="381">
        <f>IF(AND('MAYO 2026'!D31&lt;&gt;"",'MAYO 2026'!Z31="POR RECOGER"),'MAYO 2026'!F31,"")</f>
        <v/>
      </c>
      <c r="E447" s="381">
        <f>IF(AND('MAYO 2026'!D31&lt;&gt;"",'MAYO 2026'!Z31="POR RECOGER"),TEXT('MAYO 2026'!G31,"DD/MM/YYYY"),"")</f>
        <v/>
      </c>
      <c r="F447" s="381">
        <f>IF(AND('MAYO 2026'!D31&lt;&gt;"",'MAYO 2026'!Z31="POR RECOGER"),'MAYO 2026'!K31,"")</f>
        <v/>
      </c>
      <c r="G447" s="382">
        <f>IF(AND('MAYO 2026'!D31&lt;&gt;"",'MAYO 2026'!Z31="POR RECOGER"),'MAYO 2026'!M31,"")</f>
        <v/>
      </c>
      <c r="H447" s="382">
        <f>IF(AND('MAYO 2026'!D31&lt;&gt;"",'MAYO 2026'!Z31="POR RECOGER"),'MAYO 2026'!N31,"")</f>
        <v/>
      </c>
      <c r="I447" s="381">
        <f>IF(AND('MAYO 2026'!D31&lt;&gt;"",'MAYO 2026'!Z31="POR RECOGER"),'MAYO 2026'!P31,"")</f>
        <v/>
      </c>
      <c r="J447" s="381">
        <f>IF(AND('MAYO 2026'!D31&lt;&gt;"",'MAYO 2026'!Z31="POR RECOGER"),'MAYO 2026'!Q31,"")</f>
        <v/>
      </c>
      <c r="K447" s="381">
        <f>IF(AND('MAYO 2026'!D31&lt;&gt;"",'MAYO 2026'!Z31="POR RECOGER"),'MAYO 2026'!Y31,"")</f>
        <v/>
      </c>
      <c r="L447" s="381">
        <f>IF(AND('MAYO 2026'!D31&lt;&gt;"",'MAYO 2026'!Z31="POR RECOGER"),'MAYO 2026'!I31,"")</f>
        <v/>
      </c>
      <c r="P447" s="194" t="n"/>
      <c r="Q447" s="194" t="n"/>
      <c r="R447" s="194" t="n"/>
      <c r="S447" s="194" t="n"/>
      <c r="T447" s="194" t="n"/>
      <c r="U447" s="194" t="n"/>
      <c r="V447" s="194" t="n"/>
      <c r="W447" s="194" t="n"/>
      <c r="X447" s="194" t="n"/>
      <c r="Y447" s="194" t="n"/>
      <c r="Z447" s="194" t="n"/>
    </row>
    <row r="448" ht="15" customHeight="1" s="195">
      <c r="A448" s="381">
        <f>IF(AND('MAYO 2026'!D32&lt;&gt;"",'MAYO 2026'!Z32="POR RECOGER"),"MAY","")</f>
        <v/>
      </c>
      <c r="B448" s="381">
        <f>IF(AND('MAYO 2026'!D32&lt;&gt;"",'MAYO 2026'!Z32="POR RECOGER"),IF('MAYO 2026'!Y32&lt;&gt;"",'MAYO 2026'!Y32,'MAYO 2026'!I32),"")</f>
        <v/>
      </c>
      <c r="C448" s="381">
        <f>IF(AND('MAYO 2026'!D32&lt;&gt;"",'MAYO 2026'!Z32="POR RECOGER"),'MAYO 2026'!D32,"")</f>
        <v/>
      </c>
      <c r="D448" s="381">
        <f>IF(AND('MAYO 2026'!D32&lt;&gt;"",'MAYO 2026'!Z32="POR RECOGER"),'MAYO 2026'!F32,"")</f>
        <v/>
      </c>
      <c r="E448" s="381">
        <f>IF(AND('MAYO 2026'!D32&lt;&gt;"",'MAYO 2026'!Z32="POR RECOGER"),TEXT('MAYO 2026'!G32,"DD/MM/YYYY"),"")</f>
        <v/>
      </c>
      <c r="F448" s="381">
        <f>IF(AND('MAYO 2026'!D32&lt;&gt;"",'MAYO 2026'!Z32="POR RECOGER"),'MAYO 2026'!K32,"")</f>
        <v/>
      </c>
      <c r="G448" s="382">
        <f>IF(AND('MAYO 2026'!D32&lt;&gt;"",'MAYO 2026'!Z32="POR RECOGER"),'MAYO 2026'!M32,"")</f>
        <v/>
      </c>
      <c r="H448" s="382">
        <f>IF(AND('MAYO 2026'!D32&lt;&gt;"",'MAYO 2026'!Z32="POR RECOGER"),'MAYO 2026'!N32,"")</f>
        <v/>
      </c>
      <c r="I448" s="381">
        <f>IF(AND('MAYO 2026'!D32&lt;&gt;"",'MAYO 2026'!Z32="POR RECOGER"),'MAYO 2026'!P32,"")</f>
        <v/>
      </c>
      <c r="J448" s="381">
        <f>IF(AND('MAYO 2026'!D32&lt;&gt;"",'MAYO 2026'!Z32="POR RECOGER"),'MAYO 2026'!Q32,"")</f>
        <v/>
      </c>
      <c r="K448" s="381">
        <f>IF(AND('MAYO 2026'!D32&lt;&gt;"",'MAYO 2026'!Z32="POR RECOGER"),'MAYO 2026'!Y32,"")</f>
        <v/>
      </c>
      <c r="L448" s="381">
        <f>IF(AND('MAYO 2026'!D32&lt;&gt;"",'MAYO 2026'!Z32="POR RECOGER"),'MAYO 2026'!I32,"")</f>
        <v/>
      </c>
      <c r="P448" s="194" t="n"/>
      <c r="Q448" s="194" t="n"/>
      <c r="R448" s="194" t="n"/>
      <c r="S448" s="194" t="n"/>
      <c r="T448" s="194" t="n"/>
      <c r="U448" s="194" t="n"/>
      <c r="V448" s="194" t="n"/>
      <c r="W448" s="194" t="n"/>
      <c r="X448" s="194" t="n"/>
      <c r="Y448" s="194" t="n"/>
      <c r="Z448" s="194" t="n"/>
    </row>
    <row r="449" ht="15" customHeight="1" s="195">
      <c r="A449" s="381">
        <f>IF(AND('MAYO 2026'!D33&lt;&gt;"",'MAYO 2026'!Z33="POR RECOGER"),"MAY","")</f>
        <v/>
      </c>
      <c r="B449" s="381">
        <f>IF(AND('MAYO 2026'!D33&lt;&gt;"",'MAYO 2026'!Z33="POR RECOGER"),IF('MAYO 2026'!Y33&lt;&gt;"",'MAYO 2026'!Y33,'MAYO 2026'!I33),"")</f>
        <v/>
      </c>
      <c r="C449" s="381">
        <f>IF(AND('MAYO 2026'!D33&lt;&gt;"",'MAYO 2026'!Z33="POR RECOGER"),'MAYO 2026'!D33,"")</f>
        <v/>
      </c>
      <c r="D449" s="381">
        <f>IF(AND('MAYO 2026'!D33&lt;&gt;"",'MAYO 2026'!Z33="POR RECOGER"),'MAYO 2026'!F33,"")</f>
        <v/>
      </c>
      <c r="E449" s="381">
        <f>IF(AND('MAYO 2026'!D33&lt;&gt;"",'MAYO 2026'!Z33="POR RECOGER"),TEXT('MAYO 2026'!G33,"DD/MM/YYYY"),"")</f>
        <v/>
      </c>
      <c r="F449" s="381">
        <f>IF(AND('MAYO 2026'!D33&lt;&gt;"",'MAYO 2026'!Z33="POR RECOGER"),'MAYO 2026'!K33,"")</f>
        <v/>
      </c>
      <c r="G449" s="382">
        <f>IF(AND('MAYO 2026'!D33&lt;&gt;"",'MAYO 2026'!Z33="POR RECOGER"),'MAYO 2026'!M33,"")</f>
        <v/>
      </c>
      <c r="H449" s="382">
        <f>IF(AND('MAYO 2026'!D33&lt;&gt;"",'MAYO 2026'!Z33="POR RECOGER"),'MAYO 2026'!N33,"")</f>
        <v/>
      </c>
      <c r="I449" s="381">
        <f>IF(AND('MAYO 2026'!D33&lt;&gt;"",'MAYO 2026'!Z33="POR RECOGER"),'MAYO 2026'!P33,"")</f>
        <v/>
      </c>
      <c r="J449" s="381">
        <f>IF(AND('MAYO 2026'!D33&lt;&gt;"",'MAYO 2026'!Z33="POR RECOGER"),'MAYO 2026'!Q33,"")</f>
        <v/>
      </c>
      <c r="K449" s="381">
        <f>IF(AND('MAYO 2026'!D33&lt;&gt;"",'MAYO 2026'!Z33="POR RECOGER"),'MAYO 2026'!Y33,"")</f>
        <v/>
      </c>
      <c r="L449" s="381">
        <f>IF(AND('MAYO 2026'!D33&lt;&gt;"",'MAYO 2026'!Z33="POR RECOGER"),'MAYO 2026'!I33,"")</f>
        <v/>
      </c>
      <c r="P449" s="194" t="n"/>
      <c r="Q449" s="194" t="n"/>
      <c r="R449" s="194" t="n"/>
      <c r="S449" s="194" t="n"/>
      <c r="T449" s="194" t="n"/>
      <c r="U449" s="194" t="n"/>
      <c r="V449" s="194" t="n"/>
      <c r="W449" s="194" t="n"/>
      <c r="X449" s="194" t="n"/>
      <c r="Y449" s="194" t="n"/>
      <c r="Z449" s="194" t="n"/>
    </row>
    <row r="450" ht="15" customHeight="1" s="195">
      <c r="A450" s="381">
        <f>IF(AND('MAYO 2026'!D34&lt;&gt;"",'MAYO 2026'!Z34="POR RECOGER"),"MAY","")</f>
        <v/>
      </c>
      <c r="B450" s="381">
        <f>IF(AND('MAYO 2026'!D34&lt;&gt;"",'MAYO 2026'!Z34="POR RECOGER"),IF('MAYO 2026'!Y34&lt;&gt;"",'MAYO 2026'!Y34,'MAYO 2026'!I34),"")</f>
        <v/>
      </c>
      <c r="C450" s="381">
        <f>IF(AND('MAYO 2026'!D34&lt;&gt;"",'MAYO 2026'!Z34="POR RECOGER"),'MAYO 2026'!D34,"")</f>
        <v/>
      </c>
      <c r="D450" s="381">
        <f>IF(AND('MAYO 2026'!D34&lt;&gt;"",'MAYO 2026'!Z34="POR RECOGER"),'MAYO 2026'!F34,"")</f>
        <v/>
      </c>
      <c r="E450" s="381">
        <f>IF(AND('MAYO 2026'!D34&lt;&gt;"",'MAYO 2026'!Z34="POR RECOGER"),TEXT('MAYO 2026'!G34,"DD/MM/YYYY"),"")</f>
        <v/>
      </c>
      <c r="F450" s="381">
        <f>IF(AND('MAYO 2026'!D34&lt;&gt;"",'MAYO 2026'!Z34="POR RECOGER"),'MAYO 2026'!K34,"")</f>
        <v/>
      </c>
      <c r="G450" s="382">
        <f>IF(AND('MAYO 2026'!D34&lt;&gt;"",'MAYO 2026'!Z34="POR RECOGER"),'MAYO 2026'!M34,"")</f>
        <v/>
      </c>
      <c r="H450" s="382">
        <f>IF(AND('MAYO 2026'!D34&lt;&gt;"",'MAYO 2026'!Z34="POR RECOGER"),'MAYO 2026'!N34,"")</f>
        <v/>
      </c>
      <c r="I450" s="381">
        <f>IF(AND('MAYO 2026'!D34&lt;&gt;"",'MAYO 2026'!Z34="POR RECOGER"),'MAYO 2026'!P34,"")</f>
        <v/>
      </c>
      <c r="J450" s="381">
        <f>IF(AND('MAYO 2026'!D34&lt;&gt;"",'MAYO 2026'!Z34="POR RECOGER"),'MAYO 2026'!Q34,"")</f>
        <v/>
      </c>
      <c r="K450" s="381">
        <f>IF(AND('MAYO 2026'!D34&lt;&gt;"",'MAYO 2026'!Z34="POR RECOGER"),'MAYO 2026'!Y34,"")</f>
        <v/>
      </c>
      <c r="L450" s="381">
        <f>IF(AND('MAYO 2026'!D34&lt;&gt;"",'MAYO 2026'!Z34="POR RECOGER"),'MAYO 2026'!I34,"")</f>
        <v/>
      </c>
      <c r="P450" s="194" t="n"/>
      <c r="Q450" s="194" t="n"/>
      <c r="R450" s="194" t="n"/>
      <c r="S450" s="194" t="n"/>
      <c r="T450" s="194" t="n"/>
      <c r="U450" s="194" t="n"/>
      <c r="V450" s="194" t="n"/>
      <c r="W450" s="194" t="n"/>
      <c r="X450" s="194" t="n"/>
      <c r="Y450" s="194" t="n"/>
      <c r="Z450" s="194" t="n"/>
    </row>
    <row r="451" ht="15" customHeight="1" s="195">
      <c r="A451" s="381">
        <f>IF(AND('MAYO 2026'!D35&lt;&gt;"",'MAYO 2026'!Z35="POR RECOGER"),"MAY","")</f>
        <v/>
      </c>
      <c r="B451" s="381">
        <f>IF(AND('MAYO 2026'!D35&lt;&gt;"",'MAYO 2026'!Z35="POR RECOGER"),IF('MAYO 2026'!Y35&lt;&gt;"",'MAYO 2026'!Y35,'MAYO 2026'!I35),"")</f>
        <v/>
      </c>
      <c r="C451" s="381">
        <f>IF(AND('MAYO 2026'!D35&lt;&gt;"",'MAYO 2026'!Z35="POR RECOGER"),'MAYO 2026'!D35,"")</f>
        <v/>
      </c>
      <c r="D451" s="381">
        <f>IF(AND('MAYO 2026'!D35&lt;&gt;"",'MAYO 2026'!Z35="POR RECOGER"),'MAYO 2026'!F35,"")</f>
        <v/>
      </c>
      <c r="E451" s="381">
        <f>IF(AND('MAYO 2026'!D35&lt;&gt;"",'MAYO 2026'!Z35="POR RECOGER"),TEXT('MAYO 2026'!G35,"DD/MM/YYYY"),"")</f>
        <v/>
      </c>
      <c r="F451" s="381">
        <f>IF(AND('MAYO 2026'!D35&lt;&gt;"",'MAYO 2026'!Z35="POR RECOGER"),'MAYO 2026'!K35,"")</f>
        <v/>
      </c>
      <c r="G451" s="382">
        <f>IF(AND('MAYO 2026'!D35&lt;&gt;"",'MAYO 2026'!Z35="POR RECOGER"),'MAYO 2026'!M35,"")</f>
        <v/>
      </c>
      <c r="H451" s="382">
        <f>IF(AND('MAYO 2026'!D35&lt;&gt;"",'MAYO 2026'!Z35="POR RECOGER"),'MAYO 2026'!N35,"")</f>
        <v/>
      </c>
      <c r="I451" s="381">
        <f>IF(AND('MAYO 2026'!D35&lt;&gt;"",'MAYO 2026'!Z35="POR RECOGER"),'MAYO 2026'!P35,"")</f>
        <v/>
      </c>
      <c r="J451" s="381">
        <f>IF(AND('MAYO 2026'!D35&lt;&gt;"",'MAYO 2026'!Z35="POR RECOGER"),'MAYO 2026'!Q35,"")</f>
        <v/>
      </c>
      <c r="K451" s="381">
        <f>IF(AND('MAYO 2026'!D35&lt;&gt;"",'MAYO 2026'!Z35="POR RECOGER"),'MAYO 2026'!Y35,"")</f>
        <v/>
      </c>
      <c r="L451" s="381">
        <f>IF(AND('MAYO 2026'!D35&lt;&gt;"",'MAYO 2026'!Z35="POR RECOGER"),'MAYO 2026'!I35,"")</f>
        <v/>
      </c>
      <c r="P451" s="194" t="n"/>
      <c r="Q451" s="194" t="n"/>
      <c r="R451" s="194" t="n"/>
      <c r="S451" s="194" t="n"/>
      <c r="T451" s="194" t="n"/>
      <c r="U451" s="194" t="n"/>
      <c r="V451" s="194" t="n"/>
      <c r="W451" s="194" t="n"/>
      <c r="X451" s="194" t="n"/>
      <c r="Y451" s="194" t="n"/>
      <c r="Z451" s="194" t="n"/>
    </row>
    <row r="452" ht="15" customHeight="1" s="195">
      <c r="A452" s="381">
        <f>IF(AND('MAYO 2026'!D36&lt;&gt;"",'MAYO 2026'!Z36="POR RECOGER"),"MAY","")</f>
        <v/>
      </c>
      <c r="B452" s="381">
        <f>IF(AND('MAYO 2026'!D36&lt;&gt;"",'MAYO 2026'!Z36="POR RECOGER"),IF('MAYO 2026'!Y36&lt;&gt;"",'MAYO 2026'!Y36,'MAYO 2026'!I36),"")</f>
        <v/>
      </c>
      <c r="C452" s="381">
        <f>IF(AND('MAYO 2026'!D36&lt;&gt;"",'MAYO 2026'!Z36="POR RECOGER"),'MAYO 2026'!D36,"")</f>
        <v/>
      </c>
      <c r="D452" s="381">
        <f>IF(AND('MAYO 2026'!D36&lt;&gt;"",'MAYO 2026'!Z36="POR RECOGER"),'MAYO 2026'!F36,"")</f>
        <v/>
      </c>
      <c r="E452" s="381">
        <f>IF(AND('MAYO 2026'!D36&lt;&gt;"",'MAYO 2026'!Z36="POR RECOGER"),TEXT('MAYO 2026'!G36,"DD/MM/YYYY"),"")</f>
        <v/>
      </c>
      <c r="F452" s="381">
        <f>IF(AND('MAYO 2026'!D36&lt;&gt;"",'MAYO 2026'!Z36="POR RECOGER"),'MAYO 2026'!K36,"")</f>
        <v/>
      </c>
      <c r="G452" s="382">
        <f>IF(AND('MAYO 2026'!D36&lt;&gt;"",'MAYO 2026'!Z36="POR RECOGER"),'MAYO 2026'!M36,"")</f>
        <v/>
      </c>
      <c r="H452" s="382">
        <f>IF(AND('MAYO 2026'!D36&lt;&gt;"",'MAYO 2026'!Z36="POR RECOGER"),'MAYO 2026'!N36,"")</f>
        <v/>
      </c>
      <c r="I452" s="381">
        <f>IF(AND('MAYO 2026'!D36&lt;&gt;"",'MAYO 2026'!Z36="POR RECOGER"),'MAYO 2026'!P36,"")</f>
        <v/>
      </c>
      <c r="J452" s="381">
        <f>IF(AND('MAYO 2026'!D36&lt;&gt;"",'MAYO 2026'!Z36="POR RECOGER"),'MAYO 2026'!Q36,"")</f>
        <v/>
      </c>
      <c r="K452" s="381">
        <f>IF(AND('MAYO 2026'!D36&lt;&gt;"",'MAYO 2026'!Z36="POR RECOGER"),'MAYO 2026'!Y36,"")</f>
        <v/>
      </c>
      <c r="L452" s="381">
        <f>IF(AND('MAYO 2026'!D36&lt;&gt;"",'MAYO 2026'!Z36="POR RECOGER"),'MAYO 2026'!I36,"")</f>
        <v/>
      </c>
      <c r="P452" s="194" t="n"/>
      <c r="Q452" s="194" t="n"/>
      <c r="R452" s="194" t="n"/>
      <c r="S452" s="194" t="n"/>
      <c r="T452" s="194" t="n"/>
      <c r="U452" s="194" t="n"/>
      <c r="V452" s="194" t="n"/>
      <c r="W452" s="194" t="n"/>
      <c r="X452" s="194" t="n"/>
      <c r="Y452" s="194" t="n"/>
      <c r="Z452" s="194" t="n"/>
    </row>
    <row r="453" ht="15" customHeight="1" s="195">
      <c r="A453" s="381">
        <f>IF(AND('MAYO 2026'!D37&lt;&gt;"",'MAYO 2026'!Z37="POR RECOGER"),"MAY","")</f>
        <v/>
      </c>
      <c r="B453" s="381">
        <f>IF(AND('MAYO 2026'!D37&lt;&gt;"",'MAYO 2026'!Z37="POR RECOGER"),IF('MAYO 2026'!Y37&lt;&gt;"",'MAYO 2026'!Y37,'MAYO 2026'!I37),"")</f>
        <v/>
      </c>
      <c r="C453" s="381">
        <f>IF(AND('MAYO 2026'!D37&lt;&gt;"",'MAYO 2026'!Z37="POR RECOGER"),'MAYO 2026'!D37,"")</f>
        <v/>
      </c>
      <c r="D453" s="381">
        <f>IF(AND('MAYO 2026'!D37&lt;&gt;"",'MAYO 2026'!Z37="POR RECOGER"),'MAYO 2026'!F37,"")</f>
        <v/>
      </c>
      <c r="E453" s="381">
        <f>IF(AND('MAYO 2026'!D37&lt;&gt;"",'MAYO 2026'!Z37="POR RECOGER"),TEXT('MAYO 2026'!G37,"DD/MM/YYYY"),"")</f>
        <v/>
      </c>
      <c r="F453" s="381">
        <f>IF(AND('MAYO 2026'!D37&lt;&gt;"",'MAYO 2026'!Z37="POR RECOGER"),'MAYO 2026'!K37,"")</f>
        <v/>
      </c>
      <c r="G453" s="382">
        <f>IF(AND('MAYO 2026'!D37&lt;&gt;"",'MAYO 2026'!Z37="POR RECOGER"),'MAYO 2026'!M37,"")</f>
        <v/>
      </c>
      <c r="H453" s="382">
        <f>IF(AND('MAYO 2026'!D37&lt;&gt;"",'MAYO 2026'!Z37="POR RECOGER"),'MAYO 2026'!N37,"")</f>
        <v/>
      </c>
      <c r="I453" s="381">
        <f>IF(AND('MAYO 2026'!D37&lt;&gt;"",'MAYO 2026'!Z37="POR RECOGER"),'MAYO 2026'!P37,"")</f>
        <v/>
      </c>
      <c r="J453" s="381">
        <f>IF(AND('MAYO 2026'!D37&lt;&gt;"",'MAYO 2026'!Z37="POR RECOGER"),'MAYO 2026'!Q37,"")</f>
        <v/>
      </c>
      <c r="K453" s="381">
        <f>IF(AND('MAYO 2026'!D37&lt;&gt;"",'MAYO 2026'!Z37="POR RECOGER"),'MAYO 2026'!Y37,"")</f>
        <v/>
      </c>
      <c r="L453" s="381">
        <f>IF(AND('MAYO 2026'!D37&lt;&gt;"",'MAYO 2026'!Z37="POR RECOGER"),'MAYO 2026'!I37,"")</f>
        <v/>
      </c>
      <c r="P453" s="194" t="n"/>
      <c r="Q453" s="194" t="n"/>
      <c r="R453" s="194" t="n"/>
      <c r="S453" s="194" t="n"/>
      <c r="T453" s="194" t="n"/>
      <c r="U453" s="194" t="n"/>
      <c r="V453" s="194" t="n"/>
      <c r="W453" s="194" t="n"/>
      <c r="X453" s="194" t="n"/>
      <c r="Y453" s="194" t="n"/>
      <c r="Z453" s="194" t="n"/>
    </row>
    <row r="454" ht="15" customHeight="1" s="195">
      <c r="A454" s="381">
        <f>IF(AND('MAYO 2026'!D38&lt;&gt;"",'MAYO 2026'!Z38="POR RECOGER"),"MAY","")</f>
        <v/>
      </c>
      <c r="B454" s="381">
        <f>IF(AND('MAYO 2026'!D38&lt;&gt;"",'MAYO 2026'!Z38="POR RECOGER"),IF('MAYO 2026'!Y38&lt;&gt;"",'MAYO 2026'!Y38,'MAYO 2026'!I38),"")</f>
        <v/>
      </c>
      <c r="C454" s="381">
        <f>IF(AND('MAYO 2026'!D38&lt;&gt;"",'MAYO 2026'!Z38="POR RECOGER"),'MAYO 2026'!D38,"")</f>
        <v/>
      </c>
      <c r="D454" s="381">
        <f>IF(AND('MAYO 2026'!D38&lt;&gt;"",'MAYO 2026'!Z38="POR RECOGER"),'MAYO 2026'!F38,"")</f>
        <v/>
      </c>
      <c r="E454" s="381">
        <f>IF(AND('MAYO 2026'!D38&lt;&gt;"",'MAYO 2026'!Z38="POR RECOGER"),TEXT('MAYO 2026'!G38,"DD/MM/YYYY"),"")</f>
        <v/>
      </c>
      <c r="F454" s="381">
        <f>IF(AND('MAYO 2026'!D38&lt;&gt;"",'MAYO 2026'!Z38="POR RECOGER"),'MAYO 2026'!K38,"")</f>
        <v/>
      </c>
      <c r="G454" s="382">
        <f>IF(AND('MAYO 2026'!D38&lt;&gt;"",'MAYO 2026'!Z38="POR RECOGER"),'MAYO 2026'!M38,"")</f>
        <v/>
      </c>
      <c r="H454" s="382">
        <f>IF(AND('MAYO 2026'!D38&lt;&gt;"",'MAYO 2026'!Z38="POR RECOGER"),'MAYO 2026'!N38,"")</f>
        <v/>
      </c>
      <c r="I454" s="381">
        <f>IF(AND('MAYO 2026'!D38&lt;&gt;"",'MAYO 2026'!Z38="POR RECOGER"),'MAYO 2026'!P38,"")</f>
        <v/>
      </c>
      <c r="J454" s="381">
        <f>IF(AND('MAYO 2026'!D38&lt;&gt;"",'MAYO 2026'!Z38="POR RECOGER"),'MAYO 2026'!Q38,"")</f>
        <v/>
      </c>
      <c r="K454" s="381">
        <f>IF(AND('MAYO 2026'!D38&lt;&gt;"",'MAYO 2026'!Z38="POR RECOGER"),'MAYO 2026'!Y38,"")</f>
        <v/>
      </c>
      <c r="L454" s="381">
        <f>IF(AND('MAYO 2026'!D38&lt;&gt;"",'MAYO 2026'!Z38="POR RECOGER"),'MAYO 2026'!I38,"")</f>
        <v/>
      </c>
      <c r="P454" s="194" t="n"/>
      <c r="Q454" s="194" t="n"/>
      <c r="R454" s="194" t="n"/>
      <c r="S454" s="194" t="n"/>
      <c r="T454" s="194" t="n"/>
      <c r="U454" s="194" t="n"/>
      <c r="V454" s="194" t="n"/>
      <c r="W454" s="194" t="n"/>
      <c r="X454" s="194" t="n"/>
      <c r="Y454" s="194" t="n"/>
      <c r="Z454" s="194" t="n"/>
    </row>
    <row r="455" ht="15" customHeight="1" s="195">
      <c r="A455" s="381">
        <f>IF(AND('MAYO 2026'!D39&lt;&gt;"",'MAYO 2026'!Z39="POR RECOGER"),"MAY","")</f>
        <v/>
      </c>
      <c r="B455" s="381">
        <f>IF(AND('MAYO 2026'!D39&lt;&gt;"",'MAYO 2026'!Z39="POR RECOGER"),IF('MAYO 2026'!Y39&lt;&gt;"",'MAYO 2026'!Y39,'MAYO 2026'!I39),"")</f>
        <v/>
      </c>
      <c r="C455" s="381">
        <f>IF(AND('MAYO 2026'!D39&lt;&gt;"",'MAYO 2026'!Z39="POR RECOGER"),'MAYO 2026'!D39,"")</f>
        <v/>
      </c>
      <c r="D455" s="381">
        <f>IF(AND('MAYO 2026'!D39&lt;&gt;"",'MAYO 2026'!Z39="POR RECOGER"),'MAYO 2026'!F39,"")</f>
        <v/>
      </c>
      <c r="E455" s="381">
        <f>IF(AND('MAYO 2026'!D39&lt;&gt;"",'MAYO 2026'!Z39="POR RECOGER"),TEXT('MAYO 2026'!G39,"DD/MM/YYYY"),"")</f>
        <v/>
      </c>
      <c r="F455" s="381">
        <f>IF(AND('MAYO 2026'!D39&lt;&gt;"",'MAYO 2026'!Z39="POR RECOGER"),'MAYO 2026'!K39,"")</f>
        <v/>
      </c>
      <c r="G455" s="382">
        <f>IF(AND('MAYO 2026'!D39&lt;&gt;"",'MAYO 2026'!Z39="POR RECOGER"),'MAYO 2026'!M39,"")</f>
        <v/>
      </c>
      <c r="H455" s="382">
        <f>IF(AND('MAYO 2026'!D39&lt;&gt;"",'MAYO 2026'!Z39="POR RECOGER"),'MAYO 2026'!N39,"")</f>
        <v/>
      </c>
      <c r="I455" s="381">
        <f>IF(AND('MAYO 2026'!D39&lt;&gt;"",'MAYO 2026'!Z39="POR RECOGER"),'MAYO 2026'!P39,"")</f>
        <v/>
      </c>
      <c r="J455" s="381">
        <f>IF(AND('MAYO 2026'!D39&lt;&gt;"",'MAYO 2026'!Z39="POR RECOGER"),'MAYO 2026'!Q39,"")</f>
        <v/>
      </c>
      <c r="K455" s="381">
        <f>IF(AND('MAYO 2026'!D39&lt;&gt;"",'MAYO 2026'!Z39="POR RECOGER"),'MAYO 2026'!Y39,"")</f>
        <v/>
      </c>
      <c r="L455" s="381">
        <f>IF(AND('MAYO 2026'!D39&lt;&gt;"",'MAYO 2026'!Z39="POR RECOGER"),'MAYO 2026'!I39,"")</f>
        <v/>
      </c>
      <c r="P455" s="194" t="n"/>
      <c r="Q455" s="194" t="n"/>
      <c r="R455" s="194" t="n"/>
      <c r="S455" s="194" t="n"/>
      <c r="T455" s="194" t="n"/>
      <c r="U455" s="194" t="n"/>
      <c r="V455" s="194" t="n"/>
      <c r="W455" s="194" t="n"/>
      <c r="X455" s="194" t="n"/>
      <c r="Y455" s="194" t="n"/>
      <c r="Z455" s="194" t="n"/>
    </row>
    <row r="456" ht="15" customHeight="1" s="195">
      <c r="A456" s="381">
        <f>IF(AND('MAYO 2026'!D40&lt;&gt;"",'MAYO 2026'!Z40="POR RECOGER"),"MAY","")</f>
        <v/>
      </c>
      <c r="B456" s="381">
        <f>IF(AND('MAYO 2026'!D40&lt;&gt;"",'MAYO 2026'!Z40="POR RECOGER"),IF('MAYO 2026'!Y40&lt;&gt;"",'MAYO 2026'!Y40,'MAYO 2026'!I40),"")</f>
        <v/>
      </c>
      <c r="C456" s="381">
        <f>IF(AND('MAYO 2026'!D40&lt;&gt;"",'MAYO 2026'!Z40="POR RECOGER"),'MAYO 2026'!D40,"")</f>
        <v/>
      </c>
      <c r="D456" s="381">
        <f>IF(AND('MAYO 2026'!D40&lt;&gt;"",'MAYO 2026'!Z40="POR RECOGER"),'MAYO 2026'!F40,"")</f>
        <v/>
      </c>
      <c r="E456" s="381">
        <f>IF(AND('MAYO 2026'!D40&lt;&gt;"",'MAYO 2026'!Z40="POR RECOGER"),TEXT('MAYO 2026'!G40,"DD/MM/YYYY"),"")</f>
        <v/>
      </c>
      <c r="F456" s="381">
        <f>IF(AND('MAYO 2026'!D40&lt;&gt;"",'MAYO 2026'!Z40="POR RECOGER"),'MAYO 2026'!K40,"")</f>
        <v/>
      </c>
      <c r="G456" s="382">
        <f>IF(AND('MAYO 2026'!D40&lt;&gt;"",'MAYO 2026'!Z40="POR RECOGER"),'MAYO 2026'!M40,"")</f>
        <v/>
      </c>
      <c r="H456" s="382">
        <f>IF(AND('MAYO 2026'!D40&lt;&gt;"",'MAYO 2026'!Z40="POR RECOGER"),'MAYO 2026'!N40,"")</f>
        <v/>
      </c>
      <c r="I456" s="381">
        <f>IF(AND('MAYO 2026'!D40&lt;&gt;"",'MAYO 2026'!Z40="POR RECOGER"),'MAYO 2026'!P40,"")</f>
        <v/>
      </c>
      <c r="J456" s="381">
        <f>IF(AND('MAYO 2026'!D40&lt;&gt;"",'MAYO 2026'!Z40="POR RECOGER"),'MAYO 2026'!Q40,"")</f>
        <v/>
      </c>
      <c r="K456" s="381">
        <f>IF(AND('MAYO 2026'!D40&lt;&gt;"",'MAYO 2026'!Z40="POR RECOGER"),'MAYO 2026'!Y40,"")</f>
        <v/>
      </c>
      <c r="L456" s="381">
        <f>IF(AND('MAYO 2026'!D40&lt;&gt;"",'MAYO 2026'!Z40="POR RECOGER"),'MAYO 2026'!I40,"")</f>
        <v/>
      </c>
      <c r="P456" s="194" t="n"/>
      <c r="Q456" s="194" t="n"/>
      <c r="R456" s="194" t="n"/>
      <c r="S456" s="194" t="n"/>
      <c r="T456" s="194" t="n"/>
      <c r="U456" s="194" t="n"/>
      <c r="V456" s="194" t="n"/>
      <c r="W456" s="194" t="n"/>
      <c r="X456" s="194" t="n"/>
      <c r="Y456" s="194" t="n"/>
      <c r="Z456" s="194" t="n"/>
    </row>
    <row r="457" ht="15" customHeight="1" s="195">
      <c r="A457" s="381">
        <f>IF(AND('MAYO 2026'!D41&lt;&gt;"",'MAYO 2026'!Z41="POR RECOGER"),"MAY","")</f>
        <v/>
      </c>
      <c r="B457" s="381">
        <f>IF(AND('MAYO 2026'!D41&lt;&gt;"",'MAYO 2026'!Z41="POR RECOGER"),IF('MAYO 2026'!Y41&lt;&gt;"",'MAYO 2026'!Y41,'MAYO 2026'!I41),"")</f>
        <v/>
      </c>
      <c r="C457" s="381">
        <f>IF(AND('MAYO 2026'!D41&lt;&gt;"",'MAYO 2026'!Z41="POR RECOGER"),'MAYO 2026'!D41,"")</f>
        <v/>
      </c>
      <c r="D457" s="381">
        <f>IF(AND('MAYO 2026'!D41&lt;&gt;"",'MAYO 2026'!Z41="POR RECOGER"),'MAYO 2026'!F41,"")</f>
        <v/>
      </c>
      <c r="E457" s="381">
        <f>IF(AND('MAYO 2026'!D41&lt;&gt;"",'MAYO 2026'!Z41="POR RECOGER"),TEXT('MAYO 2026'!G41,"DD/MM/YYYY"),"")</f>
        <v/>
      </c>
      <c r="F457" s="381">
        <f>IF(AND('MAYO 2026'!D41&lt;&gt;"",'MAYO 2026'!Z41="POR RECOGER"),'MAYO 2026'!K41,"")</f>
        <v/>
      </c>
      <c r="G457" s="382">
        <f>IF(AND('MAYO 2026'!D41&lt;&gt;"",'MAYO 2026'!Z41="POR RECOGER"),'MAYO 2026'!M41,"")</f>
        <v/>
      </c>
      <c r="H457" s="382">
        <f>IF(AND('MAYO 2026'!D41&lt;&gt;"",'MAYO 2026'!Z41="POR RECOGER"),'MAYO 2026'!N41,"")</f>
        <v/>
      </c>
      <c r="I457" s="381">
        <f>IF(AND('MAYO 2026'!D41&lt;&gt;"",'MAYO 2026'!Z41="POR RECOGER"),'MAYO 2026'!P41,"")</f>
        <v/>
      </c>
      <c r="J457" s="381">
        <f>IF(AND('MAYO 2026'!D41&lt;&gt;"",'MAYO 2026'!Z41="POR RECOGER"),'MAYO 2026'!Q41,"")</f>
        <v/>
      </c>
      <c r="K457" s="381">
        <f>IF(AND('MAYO 2026'!D41&lt;&gt;"",'MAYO 2026'!Z41="POR RECOGER"),'MAYO 2026'!Y41,"")</f>
        <v/>
      </c>
      <c r="L457" s="381">
        <f>IF(AND('MAYO 2026'!D41&lt;&gt;"",'MAYO 2026'!Z41="POR RECOGER"),'MAYO 2026'!I41,"")</f>
        <v/>
      </c>
      <c r="P457" s="194" t="n"/>
      <c r="Q457" s="194" t="n"/>
      <c r="R457" s="194" t="n"/>
      <c r="S457" s="194" t="n"/>
      <c r="T457" s="194" t="n"/>
      <c r="U457" s="194" t="n"/>
      <c r="V457" s="194" t="n"/>
      <c r="W457" s="194" t="n"/>
      <c r="X457" s="194" t="n"/>
      <c r="Y457" s="194" t="n"/>
      <c r="Z457" s="194" t="n"/>
    </row>
    <row r="458" ht="15" customHeight="1" s="195">
      <c r="A458" s="381">
        <f>IF(AND('MAYO 2026'!D42&lt;&gt;"",'MAYO 2026'!Z42="POR RECOGER"),"MAY","")</f>
        <v/>
      </c>
      <c r="B458" s="381">
        <f>IF(AND('MAYO 2026'!D42&lt;&gt;"",'MAYO 2026'!Z42="POR RECOGER"),IF('MAYO 2026'!Y42&lt;&gt;"",'MAYO 2026'!Y42,'MAYO 2026'!I42),"")</f>
        <v/>
      </c>
      <c r="C458" s="381">
        <f>IF(AND('MAYO 2026'!D42&lt;&gt;"",'MAYO 2026'!Z42="POR RECOGER"),'MAYO 2026'!D42,"")</f>
        <v/>
      </c>
      <c r="D458" s="381">
        <f>IF(AND('MAYO 2026'!D42&lt;&gt;"",'MAYO 2026'!Z42="POR RECOGER"),'MAYO 2026'!F42,"")</f>
        <v/>
      </c>
      <c r="E458" s="381">
        <f>IF(AND('MAYO 2026'!D42&lt;&gt;"",'MAYO 2026'!Z42="POR RECOGER"),TEXT('MAYO 2026'!G42,"DD/MM/YYYY"),"")</f>
        <v/>
      </c>
      <c r="F458" s="381">
        <f>IF(AND('MAYO 2026'!D42&lt;&gt;"",'MAYO 2026'!Z42="POR RECOGER"),'MAYO 2026'!K42,"")</f>
        <v/>
      </c>
      <c r="G458" s="382">
        <f>IF(AND('MAYO 2026'!D42&lt;&gt;"",'MAYO 2026'!Z42="POR RECOGER"),'MAYO 2026'!M42,"")</f>
        <v/>
      </c>
      <c r="H458" s="382">
        <f>IF(AND('MAYO 2026'!D42&lt;&gt;"",'MAYO 2026'!Z42="POR RECOGER"),'MAYO 2026'!N42,"")</f>
        <v/>
      </c>
      <c r="I458" s="381">
        <f>IF(AND('MAYO 2026'!D42&lt;&gt;"",'MAYO 2026'!Z42="POR RECOGER"),'MAYO 2026'!P42,"")</f>
        <v/>
      </c>
      <c r="J458" s="381">
        <f>IF(AND('MAYO 2026'!D42&lt;&gt;"",'MAYO 2026'!Z42="POR RECOGER"),'MAYO 2026'!Q42,"")</f>
        <v/>
      </c>
      <c r="K458" s="381">
        <f>IF(AND('MAYO 2026'!D42&lt;&gt;"",'MAYO 2026'!Z42="POR RECOGER"),'MAYO 2026'!Y42,"")</f>
        <v/>
      </c>
      <c r="L458" s="381">
        <f>IF(AND('MAYO 2026'!D42&lt;&gt;"",'MAYO 2026'!Z42="POR RECOGER"),'MAYO 2026'!I42,"")</f>
        <v/>
      </c>
      <c r="P458" s="194" t="n"/>
      <c r="Q458" s="194" t="n"/>
      <c r="R458" s="194" t="n"/>
      <c r="S458" s="194" t="n"/>
      <c r="T458" s="194" t="n"/>
      <c r="U458" s="194" t="n"/>
      <c r="V458" s="194" t="n"/>
      <c r="W458" s="194" t="n"/>
      <c r="X458" s="194" t="n"/>
      <c r="Y458" s="194" t="n"/>
      <c r="Z458" s="194" t="n"/>
    </row>
    <row r="459" ht="15" customHeight="1" s="195">
      <c r="A459" s="381">
        <f>IF(AND('MAYO 2026'!D43&lt;&gt;"",'MAYO 2026'!Z43="POR RECOGER"),"MAY","")</f>
        <v/>
      </c>
      <c r="B459" s="381">
        <f>IF(AND('MAYO 2026'!D43&lt;&gt;"",'MAYO 2026'!Z43="POR RECOGER"),IF('MAYO 2026'!Y43&lt;&gt;"",'MAYO 2026'!Y43,'MAYO 2026'!I43),"")</f>
        <v/>
      </c>
      <c r="C459" s="381">
        <f>IF(AND('MAYO 2026'!D43&lt;&gt;"",'MAYO 2026'!Z43="POR RECOGER"),'MAYO 2026'!D43,"")</f>
        <v/>
      </c>
      <c r="D459" s="381">
        <f>IF(AND('MAYO 2026'!D43&lt;&gt;"",'MAYO 2026'!Z43="POR RECOGER"),'MAYO 2026'!F43,"")</f>
        <v/>
      </c>
      <c r="E459" s="381">
        <f>IF(AND('MAYO 2026'!D43&lt;&gt;"",'MAYO 2026'!Z43="POR RECOGER"),TEXT('MAYO 2026'!G43,"DD/MM/YYYY"),"")</f>
        <v/>
      </c>
      <c r="F459" s="381">
        <f>IF(AND('MAYO 2026'!D43&lt;&gt;"",'MAYO 2026'!Z43="POR RECOGER"),'MAYO 2026'!K43,"")</f>
        <v/>
      </c>
      <c r="G459" s="382">
        <f>IF(AND('MAYO 2026'!D43&lt;&gt;"",'MAYO 2026'!Z43="POR RECOGER"),'MAYO 2026'!M43,"")</f>
        <v/>
      </c>
      <c r="H459" s="382">
        <f>IF(AND('MAYO 2026'!D43&lt;&gt;"",'MAYO 2026'!Z43="POR RECOGER"),'MAYO 2026'!N43,"")</f>
        <v/>
      </c>
      <c r="I459" s="381">
        <f>IF(AND('MAYO 2026'!D43&lt;&gt;"",'MAYO 2026'!Z43="POR RECOGER"),'MAYO 2026'!P43,"")</f>
        <v/>
      </c>
      <c r="J459" s="381">
        <f>IF(AND('MAYO 2026'!D43&lt;&gt;"",'MAYO 2026'!Z43="POR RECOGER"),'MAYO 2026'!Q43,"")</f>
        <v/>
      </c>
      <c r="K459" s="381">
        <f>IF(AND('MAYO 2026'!D43&lt;&gt;"",'MAYO 2026'!Z43="POR RECOGER"),'MAYO 2026'!Y43,"")</f>
        <v/>
      </c>
      <c r="L459" s="381">
        <f>IF(AND('MAYO 2026'!D43&lt;&gt;"",'MAYO 2026'!Z43="POR RECOGER"),'MAYO 2026'!I43,"")</f>
        <v/>
      </c>
      <c r="P459" s="194" t="n"/>
      <c r="Q459" s="194" t="n"/>
      <c r="R459" s="194" t="n"/>
      <c r="S459" s="194" t="n"/>
      <c r="T459" s="194" t="n"/>
      <c r="U459" s="194" t="n"/>
      <c r="V459" s="194" t="n"/>
      <c r="W459" s="194" t="n"/>
      <c r="X459" s="194" t="n"/>
      <c r="Y459" s="194" t="n"/>
      <c r="Z459" s="194" t="n"/>
    </row>
    <row r="460" ht="15" customHeight="1" s="195">
      <c r="A460" s="381">
        <f>IF(AND('MAYO 2026'!D44&lt;&gt;"",'MAYO 2026'!Z44="POR RECOGER"),"MAY","")</f>
        <v/>
      </c>
      <c r="B460" s="381">
        <f>IF(AND('MAYO 2026'!D44&lt;&gt;"",'MAYO 2026'!Z44="POR RECOGER"),IF('MAYO 2026'!Y44&lt;&gt;"",'MAYO 2026'!Y44,'MAYO 2026'!I44),"")</f>
        <v/>
      </c>
      <c r="C460" s="381">
        <f>IF(AND('MAYO 2026'!D44&lt;&gt;"",'MAYO 2026'!Z44="POR RECOGER"),'MAYO 2026'!D44,"")</f>
        <v/>
      </c>
      <c r="D460" s="381">
        <f>IF(AND('MAYO 2026'!D44&lt;&gt;"",'MAYO 2026'!Z44="POR RECOGER"),'MAYO 2026'!F44,"")</f>
        <v/>
      </c>
      <c r="E460" s="381">
        <f>IF(AND('MAYO 2026'!D44&lt;&gt;"",'MAYO 2026'!Z44="POR RECOGER"),TEXT('MAYO 2026'!G44,"DD/MM/YYYY"),"")</f>
        <v/>
      </c>
      <c r="F460" s="381">
        <f>IF(AND('MAYO 2026'!D44&lt;&gt;"",'MAYO 2026'!Z44="POR RECOGER"),'MAYO 2026'!K44,"")</f>
        <v/>
      </c>
      <c r="G460" s="382">
        <f>IF(AND('MAYO 2026'!D44&lt;&gt;"",'MAYO 2026'!Z44="POR RECOGER"),'MAYO 2026'!M44,"")</f>
        <v/>
      </c>
      <c r="H460" s="382">
        <f>IF(AND('MAYO 2026'!D44&lt;&gt;"",'MAYO 2026'!Z44="POR RECOGER"),'MAYO 2026'!N44,"")</f>
        <v/>
      </c>
      <c r="I460" s="381">
        <f>IF(AND('MAYO 2026'!D44&lt;&gt;"",'MAYO 2026'!Z44="POR RECOGER"),'MAYO 2026'!P44,"")</f>
        <v/>
      </c>
      <c r="J460" s="381">
        <f>IF(AND('MAYO 2026'!D44&lt;&gt;"",'MAYO 2026'!Z44="POR RECOGER"),'MAYO 2026'!Q44,"")</f>
        <v/>
      </c>
      <c r="K460" s="381">
        <f>IF(AND('MAYO 2026'!D44&lt;&gt;"",'MAYO 2026'!Z44="POR RECOGER"),'MAYO 2026'!Y44,"")</f>
        <v/>
      </c>
      <c r="L460" s="381">
        <f>IF(AND('MAYO 2026'!D44&lt;&gt;"",'MAYO 2026'!Z44="POR RECOGER"),'MAYO 2026'!I44,"")</f>
        <v/>
      </c>
      <c r="P460" s="194" t="n"/>
      <c r="Q460" s="194" t="n"/>
      <c r="R460" s="194" t="n"/>
      <c r="S460" s="194" t="n"/>
      <c r="T460" s="194" t="n"/>
      <c r="U460" s="194" t="n"/>
      <c r="V460" s="194" t="n"/>
      <c r="W460" s="194" t="n"/>
      <c r="X460" s="194" t="n"/>
      <c r="Y460" s="194" t="n"/>
      <c r="Z460" s="194" t="n"/>
    </row>
    <row r="461" ht="15" customHeight="1" s="195">
      <c r="A461" s="381">
        <f>IF(AND('MAYO 2026'!D45&lt;&gt;"",'MAYO 2026'!Z45="POR RECOGER"),"MAY","")</f>
        <v/>
      </c>
      <c r="B461" s="381">
        <f>IF(AND('MAYO 2026'!D45&lt;&gt;"",'MAYO 2026'!Z45="POR RECOGER"),IF('MAYO 2026'!Y45&lt;&gt;"",'MAYO 2026'!Y45,'MAYO 2026'!I45),"")</f>
        <v/>
      </c>
      <c r="C461" s="381">
        <f>IF(AND('MAYO 2026'!D45&lt;&gt;"",'MAYO 2026'!Z45="POR RECOGER"),'MAYO 2026'!D45,"")</f>
        <v/>
      </c>
      <c r="D461" s="381">
        <f>IF(AND('MAYO 2026'!D45&lt;&gt;"",'MAYO 2026'!Z45="POR RECOGER"),'MAYO 2026'!F45,"")</f>
        <v/>
      </c>
      <c r="E461" s="381">
        <f>IF(AND('MAYO 2026'!D45&lt;&gt;"",'MAYO 2026'!Z45="POR RECOGER"),TEXT('MAYO 2026'!G45,"DD/MM/YYYY"),"")</f>
        <v/>
      </c>
      <c r="F461" s="381">
        <f>IF(AND('MAYO 2026'!D45&lt;&gt;"",'MAYO 2026'!Z45="POR RECOGER"),'MAYO 2026'!K45,"")</f>
        <v/>
      </c>
      <c r="G461" s="382">
        <f>IF(AND('MAYO 2026'!D45&lt;&gt;"",'MAYO 2026'!Z45="POR RECOGER"),'MAYO 2026'!M45,"")</f>
        <v/>
      </c>
      <c r="H461" s="382">
        <f>IF(AND('MAYO 2026'!D45&lt;&gt;"",'MAYO 2026'!Z45="POR RECOGER"),'MAYO 2026'!N45,"")</f>
        <v/>
      </c>
      <c r="I461" s="381">
        <f>IF(AND('MAYO 2026'!D45&lt;&gt;"",'MAYO 2026'!Z45="POR RECOGER"),'MAYO 2026'!P45,"")</f>
        <v/>
      </c>
      <c r="J461" s="381">
        <f>IF(AND('MAYO 2026'!D45&lt;&gt;"",'MAYO 2026'!Z45="POR RECOGER"),'MAYO 2026'!Q45,"")</f>
        <v/>
      </c>
      <c r="K461" s="381">
        <f>IF(AND('MAYO 2026'!D45&lt;&gt;"",'MAYO 2026'!Z45="POR RECOGER"),'MAYO 2026'!Y45,"")</f>
        <v/>
      </c>
      <c r="L461" s="381">
        <f>IF(AND('MAYO 2026'!D45&lt;&gt;"",'MAYO 2026'!Z45="POR RECOGER"),'MAYO 2026'!I45,"")</f>
        <v/>
      </c>
      <c r="P461" s="194" t="n"/>
      <c r="Q461" s="194" t="n"/>
      <c r="R461" s="194" t="n"/>
      <c r="S461" s="194" t="n"/>
      <c r="T461" s="194" t="n"/>
      <c r="U461" s="194" t="n"/>
      <c r="V461" s="194" t="n"/>
      <c r="W461" s="194" t="n"/>
      <c r="X461" s="194" t="n"/>
      <c r="Y461" s="194" t="n"/>
      <c r="Z461" s="194" t="n"/>
    </row>
    <row r="462" ht="15" customHeight="1" s="195">
      <c r="A462" s="381">
        <f>IF(AND('MAYO 2026'!D46&lt;&gt;"",'MAYO 2026'!Z46="POR RECOGER"),"MAY","")</f>
        <v/>
      </c>
      <c r="B462" s="381">
        <f>IF(AND('MAYO 2026'!D46&lt;&gt;"",'MAYO 2026'!Z46="POR RECOGER"),IF('MAYO 2026'!Y46&lt;&gt;"",'MAYO 2026'!Y46,'MAYO 2026'!I46),"")</f>
        <v/>
      </c>
      <c r="C462" s="381">
        <f>IF(AND('MAYO 2026'!D46&lt;&gt;"",'MAYO 2026'!Z46="POR RECOGER"),'MAYO 2026'!D46,"")</f>
        <v/>
      </c>
      <c r="D462" s="381">
        <f>IF(AND('MAYO 2026'!D46&lt;&gt;"",'MAYO 2026'!Z46="POR RECOGER"),'MAYO 2026'!F46,"")</f>
        <v/>
      </c>
      <c r="E462" s="381">
        <f>IF(AND('MAYO 2026'!D46&lt;&gt;"",'MAYO 2026'!Z46="POR RECOGER"),TEXT('MAYO 2026'!G46,"DD/MM/YYYY"),"")</f>
        <v/>
      </c>
      <c r="F462" s="381">
        <f>IF(AND('MAYO 2026'!D46&lt;&gt;"",'MAYO 2026'!Z46="POR RECOGER"),'MAYO 2026'!K46,"")</f>
        <v/>
      </c>
      <c r="G462" s="382">
        <f>IF(AND('MAYO 2026'!D46&lt;&gt;"",'MAYO 2026'!Z46="POR RECOGER"),'MAYO 2026'!M46,"")</f>
        <v/>
      </c>
      <c r="H462" s="382">
        <f>IF(AND('MAYO 2026'!D46&lt;&gt;"",'MAYO 2026'!Z46="POR RECOGER"),'MAYO 2026'!N46,"")</f>
        <v/>
      </c>
      <c r="I462" s="381">
        <f>IF(AND('MAYO 2026'!D46&lt;&gt;"",'MAYO 2026'!Z46="POR RECOGER"),'MAYO 2026'!P46,"")</f>
        <v/>
      </c>
      <c r="J462" s="381">
        <f>IF(AND('MAYO 2026'!D46&lt;&gt;"",'MAYO 2026'!Z46="POR RECOGER"),'MAYO 2026'!Q46,"")</f>
        <v/>
      </c>
      <c r="K462" s="381">
        <f>IF(AND('MAYO 2026'!D46&lt;&gt;"",'MAYO 2026'!Z46="POR RECOGER"),'MAYO 2026'!Y46,"")</f>
        <v/>
      </c>
      <c r="L462" s="381">
        <f>IF(AND('MAYO 2026'!D46&lt;&gt;"",'MAYO 2026'!Z46="POR RECOGER"),'MAYO 2026'!I46,"")</f>
        <v/>
      </c>
      <c r="P462" s="194" t="n"/>
      <c r="Q462" s="194" t="n"/>
      <c r="R462" s="194" t="n"/>
      <c r="S462" s="194" t="n"/>
      <c r="T462" s="194" t="n"/>
      <c r="U462" s="194" t="n"/>
      <c r="V462" s="194" t="n"/>
      <c r="W462" s="194" t="n"/>
      <c r="X462" s="194" t="n"/>
      <c r="Y462" s="194" t="n"/>
      <c r="Z462" s="194" t="n"/>
    </row>
    <row r="463" ht="15" customHeight="1" s="195">
      <c r="A463" s="381">
        <f>IF(AND('MAYO 2026'!D47&lt;&gt;"",'MAYO 2026'!Z47="POR RECOGER"),"MAY","")</f>
        <v/>
      </c>
      <c r="B463" s="381">
        <f>IF(AND('MAYO 2026'!D47&lt;&gt;"",'MAYO 2026'!Z47="POR RECOGER"),IF('MAYO 2026'!Y47&lt;&gt;"",'MAYO 2026'!Y47,'MAYO 2026'!I47),"")</f>
        <v/>
      </c>
      <c r="C463" s="381">
        <f>IF(AND('MAYO 2026'!D47&lt;&gt;"",'MAYO 2026'!Z47="POR RECOGER"),'MAYO 2026'!D47,"")</f>
        <v/>
      </c>
      <c r="D463" s="381">
        <f>IF(AND('MAYO 2026'!D47&lt;&gt;"",'MAYO 2026'!Z47="POR RECOGER"),'MAYO 2026'!F47,"")</f>
        <v/>
      </c>
      <c r="E463" s="381">
        <f>IF(AND('MAYO 2026'!D47&lt;&gt;"",'MAYO 2026'!Z47="POR RECOGER"),TEXT('MAYO 2026'!G47,"DD/MM/YYYY"),"")</f>
        <v/>
      </c>
      <c r="F463" s="381">
        <f>IF(AND('MAYO 2026'!D47&lt;&gt;"",'MAYO 2026'!Z47="POR RECOGER"),'MAYO 2026'!K47,"")</f>
        <v/>
      </c>
      <c r="G463" s="382">
        <f>IF(AND('MAYO 2026'!D47&lt;&gt;"",'MAYO 2026'!Z47="POR RECOGER"),'MAYO 2026'!M47,"")</f>
        <v/>
      </c>
      <c r="H463" s="382">
        <f>IF(AND('MAYO 2026'!D47&lt;&gt;"",'MAYO 2026'!Z47="POR RECOGER"),'MAYO 2026'!N47,"")</f>
        <v/>
      </c>
      <c r="I463" s="381">
        <f>IF(AND('MAYO 2026'!D47&lt;&gt;"",'MAYO 2026'!Z47="POR RECOGER"),'MAYO 2026'!P47,"")</f>
        <v/>
      </c>
      <c r="J463" s="381">
        <f>IF(AND('MAYO 2026'!D47&lt;&gt;"",'MAYO 2026'!Z47="POR RECOGER"),'MAYO 2026'!Q47,"")</f>
        <v/>
      </c>
      <c r="K463" s="381">
        <f>IF(AND('MAYO 2026'!D47&lt;&gt;"",'MAYO 2026'!Z47="POR RECOGER"),'MAYO 2026'!Y47,"")</f>
        <v/>
      </c>
      <c r="L463" s="381">
        <f>IF(AND('MAYO 2026'!D47&lt;&gt;"",'MAYO 2026'!Z47="POR RECOGER"),'MAYO 2026'!I47,"")</f>
        <v/>
      </c>
      <c r="P463" s="194" t="n"/>
      <c r="Q463" s="194" t="n"/>
      <c r="R463" s="194" t="n"/>
      <c r="S463" s="194" t="n"/>
      <c r="T463" s="194" t="n"/>
      <c r="U463" s="194" t="n"/>
      <c r="V463" s="194" t="n"/>
      <c r="W463" s="194" t="n"/>
      <c r="X463" s="194" t="n"/>
      <c r="Y463" s="194" t="n"/>
      <c r="Z463" s="194" t="n"/>
    </row>
    <row r="464" ht="15" customHeight="1" s="195">
      <c r="A464" s="381">
        <f>IF(AND('MAYO 2026'!D48&lt;&gt;"",'MAYO 2026'!Z48="POR RECOGER"),"MAY","")</f>
        <v/>
      </c>
      <c r="B464" s="381">
        <f>IF(AND('MAYO 2026'!D48&lt;&gt;"",'MAYO 2026'!Z48="POR RECOGER"),IF('MAYO 2026'!Y48&lt;&gt;"",'MAYO 2026'!Y48,'MAYO 2026'!I48),"")</f>
        <v/>
      </c>
      <c r="C464" s="381">
        <f>IF(AND('MAYO 2026'!D48&lt;&gt;"",'MAYO 2026'!Z48="POR RECOGER"),'MAYO 2026'!D48,"")</f>
        <v/>
      </c>
      <c r="D464" s="381">
        <f>IF(AND('MAYO 2026'!D48&lt;&gt;"",'MAYO 2026'!Z48="POR RECOGER"),'MAYO 2026'!F48,"")</f>
        <v/>
      </c>
      <c r="E464" s="381">
        <f>IF(AND('MAYO 2026'!D48&lt;&gt;"",'MAYO 2026'!Z48="POR RECOGER"),TEXT('MAYO 2026'!G48,"DD/MM/YYYY"),"")</f>
        <v/>
      </c>
      <c r="F464" s="381">
        <f>IF(AND('MAYO 2026'!D48&lt;&gt;"",'MAYO 2026'!Z48="POR RECOGER"),'MAYO 2026'!K48,"")</f>
        <v/>
      </c>
      <c r="G464" s="382">
        <f>IF(AND('MAYO 2026'!D48&lt;&gt;"",'MAYO 2026'!Z48="POR RECOGER"),'MAYO 2026'!M48,"")</f>
        <v/>
      </c>
      <c r="H464" s="382">
        <f>IF(AND('MAYO 2026'!D48&lt;&gt;"",'MAYO 2026'!Z48="POR RECOGER"),'MAYO 2026'!N48,"")</f>
        <v/>
      </c>
      <c r="I464" s="381">
        <f>IF(AND('MAYO 2026'!D48&lt;&gt;"",'MAYO 2026'!Z48="POR RECOGER"),'MAYO 2026'!P48,"")</f>
        <v/>
      </c>
      <c r="J464" s="381">
        <f>IF(AND('MAYO 2026'!D48&lt;&gt;"",'MAYO 2026'!Z48="POR RECOGER"),'MAYO 2026'!Q48,"")</f>
        <v/>
      </c>
      <c r="K464" s="381">
        <f>IF(AND('MAYO 2026'!D48&lt;&gt;"",'MAYO 2026'!Z48="POR RECOGER"),'MAYO 2026'!Y48,"")</f>
        <v/>
      </c>
      <c r="L464" s="381">
        <f>IF(AND('MAYO 2026'!D48&lt;&gt;"",'MAYO 2026'!Z48="POR RECOGER"),'MAYO 2026'!I48,"")</f>
        <v/>
      </c>
      <c r="P464" s="194" t="n"/>
      <c r="Q464" s="194" t="n"/>
      <c r="R464" s="194" t="n"/>
      <c r="S464" s="194" t="n"/>
      <c r="T464" s="194" t="n"/>
      <c r="U464" s="194" t="n"/>
      <c r="V464" s="194" t="n"/>
      <c r="W464" s="194" t="n"/>
      <c r="X464" s="194" t="n"/>
      <c r="Y464" s="194" t="n"/>
      <c r="Z464" s="194" t="n"/>
    </row>
    <row r="465" ht="15" customHeight="1" s="195">
      <c r="A465" s="381">
        <f>IF(AND('MAYO 2026'!D49&lt;&gt;"",'MAYO 2026'!Z49="POR RECOGER"),"MAY","")</f>
        <v/>
      </c>
      <c r="B465" s="381">
        <f>IF(AND('MAYO 2026'!D49&lt;&gt;"",'MAYO 2026'!Z49="POR RECOGER"),IF('MAYO 2026'!Y49&lt;&gt;"",'MAYO 2026'!Y49,'MAYO 2026'!I49),"")</f>
        <v/>
      </c>
      <c r="C465" s="381">
        <f>IF(AND('MAYO 2026'!D49&lt;&gt;"",'MAYO 2026'!Z49="POR RECOGER"),'MAYO 2026'!D49,"")</f>
        <v/>
      </c>
      <c r="D465" s="381">
        <f>IF(AND('MAYO 2026'!D49&lt;&gt;"",'MAYO 2026'!Z49="POR RECOGER"),'MAYO 2026'!F49,"")</f>
        <v/>
      </c>
      <c r="E465" s="381">
        <f>IF(AND('MAYO 2026'!D49&lt;&gt;"",'MAYO 2026'!Z49="POR RECOGER"),TEXT('MAYO 2026'!G49,"DD/MM/YYYY"),"")</f>
        <v/>
      </c>
      <c r="F465" s="381">
        <f>IF(AND('MAYO 2026'!D49&lt;&gt;"",'MAYO 2026'!Z49="POR RECOGER"),'MAYO 2026'!K49,"")</f>
        <v/>
      </c>
      <c r="G465" s="382">
        <f>IF(AND('MAYO 2026'!D49&lt;&gt;"",'MAYO 2026'!Z49="POR RECOGER"),'MAYO 2026'!M49,"")</f>
        <v/>
      </c>
      <c r="H465" s="382">
        <f>IF(AND('MAYO 2026'!D49&lt;&gt;"",'MAYO 2026'!Z49="POR RECOGER"),'MAYO 2026'!N49,"")</f>
        <v/>
      </c>
      <c r="I465" s="381">
        <f>IF(AND('MAYO 2026'!D49&lt;&gt;"",'MAYO 2026'!Z49="POR RECOGER"),'MAYO 2026'!P49,"")</f>
        <v/>
      </c>
      <c r="J465" s="381">
        <f>IF(AND('MAYO 2026'!D49&lt;&gt;"",'MAYO 2026'!Z49="POR RECOGER"),'MAYO 2026'!Q49,"")</f>
        <v/>
      </c>
      <c r="K465" s="381">
        <f>IF(AND('MAYO 2026'!D49&lt;&gt;"",'MAYO 2026'!Z49="POR RECOGER"),'MAYO 2026'!Y49,"")</f>
        <v/>
      </c>
      <c r="L465" s="381">
        <f>IF(AND('MAYO 2026'!D49&lt;&gt;"",'MAYO 2026'!Z49="POR RECOGER"),'MAYO 2026'!I49,"")</f>
        <v/>
      </c>
      <c r="P465" s="194" t="n"/>
      <c r="Q465" s="194" t="n"/>
      <c r="R465" s="194" t="n"/>
      <c r="S465" s="194" t="n"/>
      <c r="T465" s="194" t="n"/>
      <c r="U465" s="194" t="n"/>
      <c r="V465" s="194" t="n"/>
      <c r="W465" s="194" t="n"/>
      <c r="X465" s="194" t="n"/>
      <c r="Y465" s="194" t="n"/>
      <c r="Z465" s="194" t="n"/>
    </row>
    <row r="466" ht="15" customHeight="1" s="195">
      <c r="A466" s="381">
        <f>IF(AND('MAYO 2026'!D50&lt;&gt;"",'MAYO 2026'!Z50="POR RECOGER"),"MAY","")</f>
        <v/>
      </c>
      <c r="B466" s="381">
        <f>IF(AND('MAYO 2026'!D50&lt;&gt;"",'MAYO 2026'!Z50="POR RECOGER"),IF('MAYO 2026'!Y50&lt;&gt;"",'MAYO 2026'!Y50,'MAYO 2026'!I50),"")</f>
        <v/>
      </c>
      <c r="C466" s="381">
        <f>IF(AND('MAYO 2026'!D50&lt;&gt;"",'MAYO 2026'!Z50="POR RECOGER"),'MAYO 2026'!D50,"")</f>
        <v/>
      </c>
      <c r="D466" s="381">
        <f>IF(AND('MAYO 2026'!D50&lt;&gt;"",'MAYO 2026'!Z50="POR RECOGER"),'MAYO 2026'!F50,"")</f>
        <v/>
      </c>
      <c r="E466" s="381">
        <f>IF(AND('MAYO 2026'!D50&lt;&gt;"",'MAYO 2026'!Z50="POR RECOGER"),TEXT('MAYO 2026'!G50,"DD/MM/YYYY"),"")</f>
        <v/>
      </c>
      <c r="F466" s="381">
        <f>IF(AND('MAYO 2026'!D50&lt;&gt;"",'MAYO 2026'!Z50="POR RECOGER"),'MAYO 2026'!K50,"")</f>
        <v/>
      </c>
      <c r="G466" s="382">
        <f>IF(AND('MAYO 2026'!D50&lt;&gt;"",'MAYO 2026'!Z50="POR RECOGER"),'MAYO 2026'!M50,"")</f>
        <v/>
      </c>
      <c r="H466" s="382">
        <f>IF(AND('MAYO 2026'!D50&lt;&gt;"",'MAYO 2026'!Z50="POR RECOGER"),'MAYO 2026'!N50,"")</f>
        <v/>
      </c>
      <c r="I466" s="381">
        <f>IF(AND('MAYO 2026'!D50&lt;&gt;"",'MAYO 2026'!Z50="POR RECOGER"),'MAYO 2026'!P50,"")</f>
        <v/>
      </c>
      <c r="J466" s="381">
        <f>IF(AND('MAYO 2026'!D50&lt;&gt;"",'MAYO 2026'!Z50="POR RECOGER"),'MAYO 2026'!Q50,"")</f>
        <v/>
      </c>
      <c r="K466" s="381">
        <f>IF(AND('MAYO 2026'!D50&lt;&gt;"",'MAYO 2026'!Z50="POR RECOGER"),'MAYO 2026'!Y50,"")</f>
        <v/>
      </c>
      <c r="L466" s="381">
        <f>IF(AND('MAYO 2026'!D50&lt;&gt;"",'MAYO 2026'!Z50="POR RECOGER"),'MAYO 2026'!I50,"")</f>
        <v/>
      </c>
      <c r="P466" s="194" t="n"/>
      <c r="Q466" s="194" t="n"/>
      <c r="R466" s="194" t="n"/>
      <c r="S466" s="194" t="n"/>
      <c r="T466" s="194" t="n"/>
      <c r="U466" s="194" t="n"/>
      <c r="V466" s="194" t="n"/>
      <c r="W466" s="194" t="n"/>
      <c r="X466" s="194" t="n"/>
      <c r="Y466" s="194" t="n"/>
      <c r="Z466" s="194" t="n"/>
    </row>
    <row r="467" ht="15" customHeight="1" s="195">
      <c r="A467" s="381">
        <f>IF(AND('MAYO 2026'!D51&lt;&gt;"",'MAYO 2026'!Z51="POR RECOGER"),"MAY","")</f>
        <v/>
      </c>
      <c r="B467" s="381">
        <f>IF(AND('MAYO 2026'!D51&lt;&gt;"",'MAYO 2026'!Z51="POR RECOGER"),IF('MAYO 2026'!Y51&lt;&gt;"",'MAYO 2026'!Y51,'MAYO 2026'!I51),"")</f>
        <v/>
      </c>
      <c r="C467" s="381">
        <f>IF(AND('MAYO 2026'!D51&lt;&gt;"",'MAYO 2026'!Z51="POR RECOGER"),'MAYO 2026'!D51,"")</f>
        <v/>
      </c>
      <c r="D467" s="381">
        <f>IF(AND('MAYO 2026'!D51&lt;&gt;"",'MAYO 2026'!Z51="POR RECOGER"),'MAYO 2026'!F51,"")</f>
        <v/>
      </c>
      <c r="E467" s="381">
        <f>IF(AND('MAYO 2026'!D51&lt;&gt;"",'MAYO 2026'!Z51="POR RECOGER"),TEXT('MAYO 2026'!G51,"DD/MM/YYYY"),"")</f>
        <v/>
      </c>
      <c r="F467" s="381">
        <f>IF(AND('MAYO 2026'!D51&lt;&gt;"",'MAYO 2026'!Z51="POR RECOGER"),'MAYO 2026'!K51,"")</f>
        <v/>
      </c>
      <c r="G467" s="382">
        <f>IF(AND('MAYO 2026'!D51&lt;&gt;"",'MAYO 2026'!Z51="POR RECOGER"),'MAYO 2026'!M51,"")</f>
        <v/>
      </c>
      <c r="H467" s="382">
        <f>IF(AND('MAYO 2026'!D51&lt;&gt;"",'MAYO 2026'!Z51="POR RECOGER"),'MAYO 2026'!N51,"")</f>
        <v/>
      </c>
      <c r="I467" s="381">
        <f>IF(AND('MAYO 2026'!D51&lt;&gt;"",'MAYO 2026'!Z51="POR RECOGER"),'MAYO 2026'!P51,"")</f>
        <v/>
      </c>
      <c r="J467" s="381">
        <f>IF(AND('MAYO 2026'!D51&lt;&gt;"",'MAYO 2026'!Z51="POR RECOGER"),'MAYO 2026'!Q51,"")</f>
        <v/>
      </c>
      <c r="K467" s="381">
        <f>IF(AND('MAYO 2026'!D51&lt;&gt;"",'MAYO 2026'!Z51="POR RECOGER"),'MAYO 2026'!Y51,"")</f>
        <v/>
      </c>
      <c r="L467" s="381">
        <f>IF(AND('MAYO 2026'!D51&lt;&gt;"",'MAYO 2026'!Z51="POR RECOGER"),'MAYO 2026'!I51,"")</f>
        <v/>
      </c>
      <c r="P467" s="194" t="n"/>
      <c r="Q467" s="194" t="n"/>
      <c r="R467" s="194" t="n"/>
      <c r="S467" s="194" t="n"/>
      <c r="T467" s="194" t="n"/>
      <c r="U467" s="194" t="n"/>
      <c r="V467" s="194" t="n"/>
      <c r="W467" s="194" t="n"/>
      <c r="X467" s="194" t="n"/>
      <c r="Y467" s="194" t="n"/>
      <c r="Z467" s="194" t="n"/>
    </row>
    <row r="468" ht="15" customHeight="1" s="195">
      <c r="A468" s="381">
        <f>IF(AND('MAYO 2026'!D52&lt;&gt;"",'MAYO 2026'!Z52="POR RECOGER"),"MAY","")</f>
        <v/>
      </c>
      <c r="B468" s="381">
        <f>IF(AND('MAYO 2026'!D52&lt;&gt;"",'MAYO 2026'!Z52="POR RECOGER"),IF('MAYO 2026'!Y52&lt;&gt;"",'MAYO 2026'!Y52,'MAYO 2026'!I52),"")</f>
        <v/>
      </c>
      <c r="C468" s="381">
        <f>IF(AND('MAYO 2026'!D52&lt;&gt;"",'MAYO 2026'!Z52="POR RECOGER"),'MAYO 2026'!D52,"")</f>
        <v/>
      </c>
      <c r="D468" s="381">
        <f>IF(AND('MAYO 2026'!D52&lt;&gt;"",'MAYO 2026'!Z52="POR RECOGER"),'MAYO 2026'!F52,"")</f>
        <v/>
      </c>
      <c r="E468" s="381">
        <f>IF(AND('MAYO 2026'!D52&lt;&gt;"",'MAYO 2026'!Z52="POR RECOGER"),TEXT('MAYO 2026'!G52,"DD/MM/YYYY"),"")</f>
        <v/>
      </c>
      <c r="F468" s="381">
        <f>IF(AND('MAYO 2026'!D52&lt;&gt;"",'MAYO 2026'!Z52="POR RECOGER"),'MAYO 2026'!K52,"")</f>
        <v/>
      </c>
      <c r="G468" s="382">
        <f>IF(AND('MAYO 2026'!D52&lt;&gt;"",'MAYO 2026'!Z52="POR RECOGER"),'MAYO 2026'!M52,"")</f>
        <v/>
      </c>
      <c r="H468" s="382">
        <f>IF(AND('MAYO 2026'!D52&lt;&gt;"",'MAYO 2026'!Z52="POR RECOGER"),'MAYO 2026'!N52,"")</f>
        <v/>
      </c>
      <c r="I468" s="381">
        <f>IF(AND('MAYO 2026'!D52&lt;&gt;"",'MAYO 2026'!Z52="POR RECOGER"),'MAYO 2026'!P52,"")</f>
        <v/>
      </c>
      <c r="J468" s="381">
        <f>IF(AND('MAYO 2026'!D52&lt;&gt;"",'MAYO 2026'!Z52="POR RECOGER"),'MAYO 2026'!Q52,"")</f>
        <v/>
      </c>
      <c r="K468" s="381">
        <f>IF(AND('MAYO 2026'!D52&lt;&gt;"",'MAYO 2026'!Z52="POR RECOGER"),'MAYO 2026'!Y52,"")</f>
        <v/>
      </c>
      <c r="L468" s="381">
        <f>IF(AND('MAYO 2026'!D52&lt;&gt;"",'MAYO 2026'!Z52="POR RECOGER"),'MAYO 2026'!I52,"")</f>
        <v/>
      </c>
      <c r="P468" s="194" t="n"/>
      <c r="Q468" s="194" t="n"/>
      <c r="R468" s="194" t="n"/>
      <c r="S468" s="194" t="n"/>
      <c r="T468" s="194" t="n"/>
      <c r="U468" s="194" t="n"/>
      <c r="V468" s="194" t="n"/>
      <c r="W468" s="194" t="n"/>
      <c r="X468" s="194" t="n"/>
      <c r="Y468" s="194" t="n"/>
      <c r="Z468" s="194" t="n"/>
    </row>
    <row r="469" ht="15" customHeight="1" s="195">
      <c r="A469" s="381">
        <f>IF(AND('MAYO 2026'!D53&lt;&gt;"",'MAYO 2026'!Z53="POR RECOGER"),"MAY","")</f>
        <v/>
      </c>
      <c r="B469" s="381">
        <f>IF(AND('MAYO 2026'!D53&lt;&gt;"",'MAYO 2026'!Z53="POR RECOGER"),IF('MAYO 2026'!Y53&lt;&gt;"",'MAYO 2026'!Y53,'MAYO 2026'!I53),"")</f>
        <v/>
      </c>
      <c r="C469" s="381">
        <f>IF(AND('MAYO 2026'!D53&lt;&gt;"",'MAYO 2026'!Z53="POR RECOGER"),'MAYO 2026'!D53,"")</f>
        <v/>
      </c>
      <c r="D469" s="381">
        <f>IF(AND('MAYO 2026'!D53&lt;&gt;"",'MAYO 2026'!Z53="POR RECOGER"),'MAYO 2026'!F53,"")</f>
        <v/>
      </c>
      <c r="E469" s="381">
        <f>IF(AND('MAYO 2026'!D53&lt;&gt;"",'MAYO 2026'!Z53="POR RECOGER"),TEXT('MAYO 2026'!G53,"DD/MM/YYYY"),"")</f>
        <v/>
      </c>
      <c r="F469" s="381">
        <f>IF(AND('MAYO 2026'!D53&lt;&gt;"",'MAYO 2026'!Z53="POR RECOGER"),'MAYO 2026'!K53,"")</f>
        <v/>
      </c>
      <c r="G469" s="382">
        <f>IF(AND('MAYO 2026'!D53&lt;&gt;"",'MAYO 2026'!Z53="POR RECOGER"),'MAYO 2026'!M53,"")</f>
        <v/>
      </c>
      <c r="H469" s="382">
        <f>IF(AND('MAYO 2026'!D53&lt;&gt;"",'MAYO 2026'!Z53="POR RECOGER"),'MAYO 2026'!N53,"")</f>
        <v/>
      </c>
      <c r="I469" s="381">
        <f>IF(AND('MAYO 2026'!D53&lt;&gt;"",'MAYO 2026'!Z53="POR RECOGER"),'MAYO 2026'!P53,"")</f>
        <v/>
      </c>
      <c r="J469" s="381">
        <f>IF(AND('MAYO 2026'!D53&lt;&gt;"",'MAYO 2026'!Z53="POR RECOGER"),'MAYO 2026'!Q53,"")</f>
        <v/>
      </c>
      <c r="K469" s="381">
        <f>IF(AND('MAYO 2026'!D53&lt;&gt;"",'MAYO 2026'!Z53="POR RECOGER"),'MAYO 2026'!Y53,"")</f>
        <v/>
      </c>
      <c r="L469" s="381">
        <f>IF(AND('MAYO 2026'!D53&lt;&gt;"",'MAYO 2026'!Z53="POR RECOGER"),'MAYO 2026'!I53,"")</f>
        <v/>
      </c>
      <c r="P469" s="194" t="n"/>
      <c r="Q469" s="194" t="n"/>
      <c r="R469" s="194" t="n"/>
      <c r="S469" s="194" t="n"/>
      <c r="T469" s="194" t="n"/>
      <c r="U469" s="194" t="n"/>
      <c r="V469" s="194" t="n"/>
      <c r="W469" s="194" t="n"/>
      <c r="X469" s="194" t="n"/>
      <c r="Y469" s="194" t="n"/>
      <c r="Z469" s="194" t="n"/>
    </row>
    <row r="470" ht="15" customHeight="1" s="195">
      <c r="A470" s="381">
        <f>IF(AND('MAYO 2026'!D54&lt;&gt;"",'MAYO 2026'!Z54="POR RECOGER"),"MAY","")</f>
        <v/>
      </c>
      <c r="B470" s="381">
        <f>IF(AND('MAYO 2026'!D54&lt;&gt;"",'MAYO 2026'!Z54="POR RECOGER"),IF('MAYO 2026'!Y54&lt;&gt;"",'MAYO 2026'!Y54,'MAYO 2026'!I54),"")</f>
        <v/>
      </c>
      <c r="C470" s="381">
        <f>IF(AND('MAYO 2026'!D54&lt;&gt;"",'MAYO 2026'!Z54="POR RECOGER"),'MAYO 2026'!D54,"")</f>
        <v/>
      </c>
      <c r="D470" s="381">
        <f>IF(AND('MAYO 2026'!D54&lt;&gt;"",'MAYO 2026'!Z54="POR RECOGER"),'MAYO 2026'!F54,"")</f>
        <v/>
      </c>
      <c r="E470" s="381">
        <f>IF(AND('MAYO 2026'!D54&lt;&gt;"",'MAYO 2026'!Z54="POR RECOGER"),TEXT('MAYO 2026'!G54,"DD/MM/YYYY"),"")</f>
        <v/>
      </c>
      <c r="F470" s="381">
        <f>IF(AND('MAYO 2026'!D54&lt;&gt;"",'MAYO 2026'!Z54="POR RECOGER"),'MAYO 2026'!K54,"")</f>
        <v/>
      </c>
      <c r="G470" s="382">
        <f>IF(AND('MAYO 2026'!D54&lt;&gt;"",'MAYO 2026'!Z54="POR RECOGER"),'MAYO 2026'!M54,"")</f>
        <v/>
      </c>
      <c r="H470" s="382">
        <f>IF(AND('MAYO 2026'!D54&lt;&gt;"",'MAYO 2026'!Z54="POR RECOGER"),'MAYO 2026'!N54,"")</f>
        <v/>
      </c>
      <c r="I470" s="381">
        <f>IF(AND('MAYO 2026'!D54&lt;&gt;"",'MAYO 2026'!Z54="POR RECOGER"),'MAYO 2026'!P54,"")</f>
        <v/>
      </c>
      <c r="J470" s="381">
        <f>IF(AND('MAYO 2026'!D54&lt;&gt;"",'MAYO 2026'!Z54="POR RECOGER"),'MAYO 2026'!Q54,"")</f>
        <v/>
      </c>
      <c r="K470" s="381">
        <f>IF(AND('MAYO 2026'!D54&lt;&gt;"",'MAYO 2026'!Z54="POR RECOGER"),'MAYO 2026'!Y54,"")</f>
        <v/>
      </c>
      <c r="L470" s="381">
        <f>IF(AND('MAYO 2026'!D54&lt;&gt;"",'MAYO 2026'!Z54="POR RECOGER"),'MAYO 2026'!I54,"")</f>
        <v/>
      </c>
      <c r="P470" s="194" t="n"/>
      <c r="Q470" s="194" t="n"/>
      <c r="R470" s="194" t="n"/>
      <c r="S470" s="194" t="n"/>
      <c r="T470" s="194" t="n"/>
      <c r="U470" s="194" t="n"/>
      <c r="V470" s="194" t="n"/>
      <c r="W470" s="194" t="n"/>
      <c r="X470" s="194" t="n"/>
      <c r="Y470" s="194" t="n"/>
      <c r="Z470" s="194" t="n"/>
    </row>
    <row r="471" ht="15" customHeight="1" s="195">
      <c r="A471" s="381">
        <f>IF(AND('MAYO 2026'!D55&lt;&gt;"",'MAYO 2026'!Z55="POR RECOGER"),"MAY","")</f>
        <v/>
      </c>
      <c r="B471" s="381">
        <f>IF(AND('MAYO 2026'!D55&lt;&gt;"",'MAYO 2026'!Z55="POR RECOGER"),IF('MAYO 2026'!Y55&lt;&gt;"",'MAYO 2026'!Y55,'MAYO 2026'!I55),"")</f>
        <v/>
      </c>
      <c r="C471" s="381">
        <f>IF(AND('MAYO 2026'!D55&lt;&gt;"",'MAYO 2026'!Z55="POR RECOGER"),'MAYO 2026'!D55,"")</f>
        <v/>
      </c>
      <c r="D471" s="381">
        <f>IF(AND('MAYO 2026'!D55&lt;&gt;"",'MAYO 2026'!Z55="POR RECOGER"),'MAYO 2026'!F55,"")</f>
        <v/>
      </c>
      <c r="E471" s="381">
        <f>IF(AND('MAYO 2026'!D55&lt;&gt;"",'MAYO 2026'!Z55="POR RECOGER"),TEXT('MAYO 2026'!G55,"DD/MM/YYYY"),"")</f>
        <v/>
      </c>
      <c r="F471" s="381">
        <f>IF(AND('MAYO 2026'!D55&lt;&gt;"",'MAYO 2026'!Z55="POR RECOGER"),'MAYO 2026'!K55,"")</f>
        <v/>
      </c>
      <c r="G471" s="382">
        <f>IF(AND('MAYO 2026'!D55&lt;&gt;"",'MAYO 2026'!Z55="POR RECOGER"),'MAYO 2026'!M55,"")</f>
        <v/>
      </c>
      <c r="H471" s="382">
        <f>IF(AND('MAYO 2026'!D55&lt;&gt;"",'MAYO 2026'!Z55="POR RECOGER"),'MAYO 2026'!N55,"")</f>
        <v/>
      </c>
      <c r="I471" s="381">
        <f>IF(AND('MAYO 2026'!D55&lt;&gt;"",'MAYO 2026'!Z55="POR RECOGER"),'MAYO 2026'!P55,"")</f>
        <v/>
      </c>
      <c r="J471" s="381">
        <f>IF(AND('MAYO 2026'!D55&lt;&gt;"",'MAYO 2026'!Z55="POR RECOGER"),'MAYO 2026'!Q55,"")</f>
        <v/>
      </c>
      <c r="K471" s="381">
        <f>IF(AND('MAYO 2026'!D55&lt;&gt;"",'MAYO 2026'!Z55="POR RECOGER"),'MAYO 2026'!Y55,"")</f>
        <v/>
      </c>
      <c r="L471" s="381">
        <f>IF(AND('MAYO 2026'!D55&lt;&gt;"",'MAYO 2026'!Z55="POR RECOGER"),'MAYO 2026'!I55,"")</f>
        <v/>
      </c>
      <c r="P471" s="194" t="n"/>
      <c r="Q471" s="194" t="n"/>
      <c r="R471" s="194" t="n"/>
      <c r="S471" s="194" t="n"/>
      <c r="T471" s="194" t="n"/>
      <c r="U471" s="194" t="n"/>
      <c r="V471" s="194" t="n"/>
      <c r="W471" s="194" t="n"/>
      <c r="X471" s="194" t="n"/>
      <c r="Y471" s="194" t="n"/>
      <c r="Z471" s="194" t="n"/>
    </row>
    <row r="472" ht="15" customHeight="1" s="195">
      <c r="A472" s="381">
        <f>IF(AND('MAYO 2026'!D56&lt;&gt;"",'MAYO 2026'!Z56="POR RECOGER"),"MAY","")</f>
        <v/>
      </c>
      <c r="B472" s="381">
        <f>IF(AND('MAYO 2026'!D56&lt;&gt;"",'MAYO 2026'!Z56="POR RECOGER"),IF('MAYO 2026'!Y56&lt;&gt;"",'MAYO 2026'!Y56,'MAYO 2026'!I56),"")</f>
        <v/>
      </c>
      <c r="C472" s="381">
        <f>IF(AND('MAYO 2026'!D56&lt;&gt;"",'MAYO 2026'!Z56="POR RECOGER"),'MAYO 2026'!D56,"")</f>
        <v/>
      </c>
      <c r="D472" s="381">
        <f>IF(AND('MAYO 2026'!D56&lt;&gt;"",'MAYO 2026'!Z56="POR RECOGER"),'MAYO 2026'!F56,"")</f>
        <v/>
      </c>
      <c r="E472" s="381">
        <f>IF(AND('MAYO 2026'!D56&lt;&gt;"",'MAYO 2026'!Z56="POR RECOGER"),TEXT('MAYO 2026'!G56,"DD/MM/YYYY"),"")</f>
        <v/>
      </c>
      <c r="F472" s="381">
        <f>IF(AND('MAYO 2026'!D56&lt;&gt;"",'MAYO 2026'!Z56="POR RECOGER"),'MAYO 2026'!K56,"")</f>
        <v/>
      </c>
      <c r="G472" s="382">
        <f>IF(AND('MAYO 2026'!D56&lt;&gt;"",'MAYO 2026'!Z56="POR RECOGER"),'MAYO 2026'!M56,"")</f>
        <v/>
      </c>
      <c r="H472" s="382">
        <f>IF(AND('MAYO 2026'!D56&lt;&gt;"",'MAYO 2026'!Z56="POR RECOGER"),'MAYO 2026'!N56,"")</f>
        <v/>
      </c>
      <c r="I472" s="381">
        <f>IF(AND('MAYO 2026'!D56&lt;&gt;"",'MAYO 2026'!Z56="POR RECOGER"),'MAYO 2026'!P56,"")</f>
        <v/>
      </c>
      <c r="J472" s="381">
        <f>IF(AND('MAYO 2026'!D56&lt;&gt;"",'MAYO 2026'!Z56="POR RECOGER"),'MAYO 2026'!Q56,"")</f>
        <v/>
      </c>
      <c r="K472" s="381">
        <f>IF(AND('MAYO 2026'!D56&lt;&gt;"",'MAYO 2026'!Z56="POR RECOGER"),'MAYO 2026'!Y56,"")</f>
        <v/>
      </c>
      <c r="L472" s="381">
        <f>IF(AND('MAYO 2026'!D56&lt;&gt;"",'MAYO 2026'!Z56="POR RECOGER"),'MAYO 2026'!I56,"")</f>
        <v/>
      </c>
      <c r="P472" s="194" t="n"/>
      <c r="Q472" s="194" t="n"/>
      <c r="R472" s="194" t="n"/>
      <c r="S472" s="194" t="n"/>
      <c r="T472" s="194" t="n"/>
      <c r="U472" s="194" t="n"/>
      <c r="V472" s="194" t="n"/>
      <c r="W472" s="194" t="n"/>
      <c r="X472" s="194" t="n"/>
      <c r="Y472" s="194" t="n"/>
      <c r="Z472" s="194" t="n"/>
    </row>
    <row r="473" ht="15" customHeight="1" s="195">
      <c r="A473" s="381">
        <f>IF(AND('MAYO 2026'!D57&lt;&gt;"",'MAYO 2026'!Z57="POR RECOGER"),"MAY","")</f>
        <v/>
      </c>
      <c r="B473" s="381">
        <f>IF(AND('MAYO 2026'!D57&lt;&gt;"",'MAYO 2026'!Z57="POR RECOGER"),IF('MAYO 2026'!Y57&lt;&gt;"",'MAYO 2026'!Y57,'MAYO 2026'!I57),"")</f>
        <v/>
      </c>
      <c r="C473" s="381">
        <f>IF(AND('MAYO 2026'!D57&lt;&gt;"",'MAYO 2026'!Z57="POR RECOGER"),'MAYO 2026'!D57,"")</f>
        <v/>
      </c>
      <c r="D473" s="381">
        <f>IF(AND('MAYO 2026'!D57&lt;&gt;"",'MAYO 2026'!Z57="POR RECOGER"),'MAYO 2026'!F57,"")</f>
        <v/>
      </c>
      <c r="E473" s="381">
        <f>IF(AND('MAYO 2026'!D57&lt;&gt;"",'MAYO 2026'!Z57="POR RECOGER"),TEXT('MAYO 2026'!G57,"DD/MM/YYYY"),"")</f>
        <v/>
      </c>
      <c r="F473" s="381">
        <f>IF(AND('MAYO 2026'!D57&lt;&gt;"",'MAYO 2026'!Z57="POR RECOGER"),'MAYO 2026'!K57,"")</f>
        <v/>
      </c>
      <c r="G473" s="382">
        <f>IF(AND('MAYO 2026'!D57&lt;&gt;"",'MAYO 2026'!Z57="POR RECOGER"),'MAYO 2026'!M57,"")</f>
        <v/>
      </c>
      <c r="H473" s="382">
        <f>IF(AND('MAYO 2026'!D57&lt;&gt;"",'MAYO 2026'!Z57="POR RECOGER"),'MAYO 2026'!N57,"")</f>
        <v/>
      </c>
      <c r="I473" s="381">
        <f>IF(AND('MAYO 2026'!D57&lt;&gt;"",'MAYO 2026'!Z57="POR RECOGER"),'MAYO 2026'!P57,"")</f>
        <v/>
      </c>
      <c r="J473" s="381">
        <f>IF(AND('MAYO 2026'!D57&lt;&gt;"",'MAYO 2026'!Z57="POR RECOGER"),'MAYO 2026'!Q57,"")</f>
        <v/>
      </c>
      <c r="K473" s="381">
        <f>IF(AND('MAYO 2026'!D57&lt;&gt;"",'MAYO 2026'!Z57="POR RECOGER"),'MAYO 2026'!Y57,"")</f>
        <v/>
      </c>
      <c r="L473" s="381">
        <f>IF(AND('MAYO 2026'!D57&lt;&gt;"",'MAYO 2026'!Z57="POR RECOGER"),'MAYO 2026'!I57,"")</f>
        <v/>
      </c>
      <c r="P473" s="194" t="n"/>
      <c r="Q473" s="194" t="n"/>
      <c r="R473" s="194" t="n"/>
      <c r="S473" s="194" t="n"/>
      <c r="T473" s="194" t="n"/>
      <c r="U473" s="194" t="n"/>
      <c r="V473" s="194" t="n"/>
      <c r="W473" s="194" t="n"/>
      <c r="X473" s="194" t="n"/>
      <c r="Y473" s="194" t="n"/>
      <c r="Z473" s="194" t="n"/>
    </row>
    <row r="474" ht="15" customHeight="1" s="195">
      <c r="A474" s="381">
        <f>IF(AND('MAYO 2026'!D58&lt;&gt;"",'MAYO 2026'!Z58="POR RECOGER"),"MAY","")</f>
        <v/>
      </c>
      <c r="B474" s="381">
        <f>IF(AND('MAYO 2026'!D58&lt;&gt;"",'MAYO 2026'!Z58="POR RECOGER"),IF('MAYO 2026'!Y58&lt;&gt;"",'MAYO 2026'!Y58,'MAYO 2026'!I58),"")</f>
        <v/>
      </c>
      <c r="C474" s="381">
        <f>IF(AND('MAYO 2026'!D58&lt;&gt;"",'MAYO 2026'!Z58="POR RECOGER"),'MAYO 2026'!D58,"")</f>
        <v/>
      </c>
      <c r="D474" s="381">
        <f>IF(AND('MAYO 2026'!D58&lt;&gt;"",'MAYO 2026'!Z58="POR RECOGER"),'MAYO 2026'!F58,"")</f>
        <v/>
      </c>
      <c r="E474" s="381">
        <f>IF(AND('MAYO 2026'!D58&lt;&gt;"",'MAYO 2026'!Z58="POR RECOGER"),TEXT('MAYO 2026'!G58,"DD/MM/YYYY"),"")</f>
        <v/>
      </c>
      <c r="F474" s="381">
        <f>IF(AND('MAYO 2026'!D58&lt;&gt;"",'MAYO 2026'!Z58="POR RECOGER"),'MAYO 2026'!K58,"")</f>
        <v/>
      </c>
      <c r="G474" s="382">
        <f>IF(AND('MAYO 2026'!D58&lt;&gt;"",'MAYO 2026'!Z58="POR RECOGER"),'MAYO 2026'!M58,"")</f>
        <v/>
      </c>
      <c r="H474" s="382">
        <f>IF(AND('MAYO 2026'!D58&lt;&gt;"",'MAYO 2026'!Z58="POR RECOGER"),'MAYO 2026'!N58,"")</f>
        <v/>
      </c>
      <c r="I474" s="381">
        <f>IF(AND('MAYO 2026'!D58&lt;&gt;"",'MAYO 2026'!Z58="POR RECOGER"),'MAYO 2026'!P58,"")</f>
        <v/>
      </c>
      <c r="J474" s="381">
        <f>IF(AND('MAYO 2026'!D58&lt;&gt;"",'MAYO 2026'!Z58="POR RECOGER"),'MAYO 2026'!Q58,"")</f>
        <v/>
      </c>
      <c r="K474" s="381">
        <f>IF(AND('MAYO 2026'!D58&lt;&gt;"",'MAYO 2026'!Z58="POR RECOGER"),'MAYO 2026'!Y58,"")</f>
        <v/>
      </c>
      <c r="L474" s="381">
        <f>IF(AND('MAYO 2026'!D58&lt;&gt;"",'MAYO 2026'!Z58="POR RECOGER"),'MAYO 2026'!I58,"")</f>
        <v/>
      </c>
      <c r="P474" s="194" t="n"/>
      <c r="Q474" s="194" t="n"/>
      <c r="R474" s="194" t="n"/>
      <c r="S474" s="194" t="n"/>
      <c r="T474" s="194" t="n"/>
      <c r="U474" s="194" t="n"/>
      <c r="V474" s="194" t="n"/>
      <c r="W474" s="194" t="n"/>
      <c r="X474" s="194" t="n"/>
      <c r="Y474" s="194" t="n"/>
      <c r="Z474" s="194" t="n"/>
    </row>
    <row r="475" ht="15" customHeight="1" s="195">
      <c r="A475" s="381">
        <f>IF(AND('MAYO 2026'!D59&lt;&gt;"",'MAYO 2026'!Z59="POR RECOGER"),"MAY","")</f>
        <v/>
      </c>
      <c r="B475" s="381">
        <f>IF(AND('MAYO 2026'!D59&lt;&gt;"",'MAYO 2026'!Z59="POR RECOGER"),IF('MAYO 2026'!Y59&lt;&gt;"",'MAYO 2026'!Y59,'MAYO 2026'!I59),"")</f>
        <v/>
      </c>
      <c r="C475" s="381">
        <f>IF(AND('MAYO 2026'!D59&lt;&gt;"",'MAYO 2026'!Z59="POR RECOGER"),'MAYO 2026'!D59,"")</f>
        <v/>
      </c>
      <c r="D475" s="381">
        <f>IF(AND('MAYO 2026'!D59&lt;&gt;"",'MAYO 2026'!Z59="POR RECOGER"),'MAYO 2026'!F59,"")</f>
        <v/>
      </c>
      <c r="E475" s="381">
        <f>IF(AND('MAYO 2026'!D59&lt;&gt;"",'MAYO 2026'!Z59="POR RECOGER"),TEXT('MAYO 2026'!G59,"DD/MM/YYYY"),"")</f>
        <v/>
      </c>
      <c r="F475" s="381">
        <f>IF(AND('MAYO 2026'!D59&lt;&gt;"",'MAYO 2026'!Z59="POR RECOGER"),'MAYO 2026'!K59,"")</f>
        <v/>
      </c>
      <c r="G475" s="382">
        <f>IF(AND('MAYO 2026'!D59&lt;&gt;"",'MAYO 2026'!Z59="POR RECOGER"),'MAYO 2026'!M59,"")</f>
        <v/>
      </c>
      <c r="H475" s="382">
        <f>IF(AND('MAYO 2026'!D59&lt;&gt;"",'MAYO 2026'!Z59="POR RECOGER"),'MAYO 2026'!N59,"")</f>
        <v/>
      </c>
      <c r="I475" s="381">
        <f>IF(AND('MAYO 2026'!D59&lt;&gt;"",'MAYO 2026'!Z59="POR RECOGER"),'MAYO 2026'!P59,"")</f>
        <v/>
      </c>
      <c r="J475" s="381">
        <f>IF(AND('MAYO 2026'!D59&lt;&gt;"",'MAYO 2026'!Z59="POR RECOGER"),'MAYO 2026'!Q59,"")</f>
        <v/>
      </c>
      <c r="K475" s="381">
        <f>IF(AND('MAYO 2026'!D59&lt;&gt;"",'MAYO 2026'!Z59="POR RECOGER"),'MAYO 2026'!Y59,"")</f>
        <v/>
      </c>
      <c r="L475" s="381">
        <f>IF(AND('MAYO 2026'!D59&lt;&gt;"",'MAYO 2026'!Z59="POR RECOGER"),'MAYO 2026'!I59,"")</f>
        <v/>
      </c>
      <c r="P475" s="194" t="n"/>
      <c r="Q475" s="194" t="n"/>
      <c r="R475" s="194" t="n"/>
      <c r="S475" s="194" t="n"/>
      <c r="T475" s="194" t="n"/>
      <c r="U475" s="194" t="n"/>
      <c r="V475" s="194" t="n"/>
      <c r="W475" s="194" t="n"/>
      <c r="X475" s="194" t="n"/>
      <c r="Y475" s="194" t="n"/>
      <c r="Z475" s="194" t="n"/>
    </row>
    <row r="476" ht="15" customHeight="1" s="195">
      <c r="A476" s="381">
        <f>IF(AND('MAYO 2026'!D60&lt;&gt;"",'MAYO 2026'!Z60="POR RECOGER"),"MAY","")</f>
        <v/>
      </c>
      <c r="B476" s="381">
        <f>IF(AND('MAYO 2026'!D60&lt;&gt;"",'MAYO 2026'!Z60="POR RECOGER"),IF('MAYO 2026'!Y60&lt;&gt;"",'MAYO 2026'!Y60,'MAYO 2026'!I60),"")</f>
        <v/>
      </c>
      <c r="C476" s="381">
        <f>IF(AND('MAYO 2026'!D60&lt;&gt;"",'MAYO 2026'!Z60="POR RECOGER"),'MAYO 2026'!D60,"")</f>
        <v/>
      </c>
      <c r="D476" s="381">
        <f>IF(AND('MAYO 2026'!D60&lt;&gt;"",'MAYO 2026'!Z60="POR RECOGER"),'MAYO 2026'!F60,"")</f>
        <v/>
      </c>
      <c r="E476" s="381">
        <f>IF(AND('MAYO 2026'!D60&lt;&gt;"",'MAYO 2026'!Z60="POR RECOGER"),TEXT('MAYO 2026'!G60,"DD/MM/YYYY"),"")</f>
        <v/>
      </c>
      <c r="F476" s="381">
        <f>IF(AND('MAYO 2026'!D60&lt;&gt;"",'MAYO 2026'!Z60="POR RECOGER"),'MAYO 2026'!K60,"")</f>
        <v/>
      </c>
      <c r="G476" s="382">
        <f>IF(AND('MAYO 2026'!D60&lt;&gt;"",'MAYO 2026'!Z60="POR RECOGER"),'MAYO 2026'!M60,"")</f>
        <v/>
      </c>
      <c r="H476" s="382">
        <f>IF(AND('MAYO 2026'!D60&lt;&gt;"",'MAYO 2026'!Z60="POR RECOGER"),'MAYO 2026'!N60,"")</f>
        <v/>
      </c>
      <c r="I476" s="381">
        <f>IF(AND('MAYO 2026'!D60&lt;&gt;"",'MAYO 2026'!Z60="POR RECOGER"),'MAYO 2026'!P60,"")</f>
        <v/>
      </c>
      <c r="J476" s="381">
        <f>IF(AND('MAYO 2026'!D60&lt;&gt;"",'MAYO 2026'!Z60="POR RECOGER"),'MAYO 2026'!Q60,"")</f>
        <v/>
      </c>
      <c r="K476" s="381">
        <f>IF(AND('MAYO 2026'!D60&lt;&gt;"",'MAYO 2026'!Z60="POR RECOGER"),'MAYO 2026'!Y60,"")</f>
        <v/>
      </c>
      <c r="L476" s="381">
        <f>IF(AND('MAYO 2026'!D60&lt;&gt;"",'MAYO 2026'!Z60="POR RECOGER"),'MAYO 2026'!I60,"")</f>
        <v/>
      </c>
      <c r="P476" s="194" t="n"/>
      <c r="Q476" s="194" t="n"/>
      <c r="R476" s="194" t="n"/>
      <c r="S476" s="194" t="n"/>
      <c r="T476" s="194" t="n"/>
      <c r="U476" s="194" t="n"/>
      <c r="V476" s="194" t="n"/>
      <c r="W476" s="194" t="n"/>
      <c r="X476" s="194" t="n"/>
      <c r="Y476" s="194" t="n"/>
      <c r="Z476" s="194" t="n"/>
    </row>
    <row r="477" ht="15" customHeight="1" s="195">
      <c r="A477" s="381">
        <f>IF(AND('MAYO 2026'!D61&lt;&gt;"",'MAYO 2026'!Z61="POR RECOGER"),"MAY","")</f>
        <v/>
      </c>
      <c r="B477" s="381">
        <f>IF(AND('MAYO 2026'!D61&lt;&gt;"",'MAYO 2026'!Z61="POR RECOGER"),IF('MAYO 2026'!Y61&lt;&gt;"",'MAYO 2026'!Y61,'MAYO 2026'!I61),"")</f>
        <v/>
      </c>
      <c r="C477" s="381">
        <f>IF(AND('MAYO 2026'!D61&lt;&gt;"",'MAYO 2026'!Z61="POR RECOGER"),'MAYO 2026'!D61,"")</f>
        <v/>
      </c>
      <c r="D477" s="381">
        <f>IF(AND('MAYO 2026'!D61&lt;&gt;"",'MAYO 2026'!Z61="POR RECOGER"),'MAYO 2026'!F61,"")</f>
        <v/>
      </c>
      <c r="E477" s="381">
        <f>IF(AND('MAYO 2026'!D61&lt;&gt;"",'MAYO 2026'!Z61="POR RECOGER"),TEXT('MAYO 2026'!G61,"DD/MM/YYYY"),"")</f>
        <v/>
      </c>
      <c r="F477" s="381">
        <f>IF(AND('MAYO 2026'!D61&lt;&gt;"",'MAYO 2026'!Z61="POR RECOGER"),'MAYO 2026'!K61,"")</f>
        <v/>
      </c>
      <c r="G477" s="382">
        <f>IF(AND('MAYO 2026'!D61&lt;&gt;"",'MAYO 2026'!Z61="POR RECOGER"),'MAYO 2026'!M61,"")</f>
        <v/>
      </c>
      <c r="H477" s="382">
        <f>IF(AND('MAYO 2026'!D61&lt;&gt;"",'MAYO 2026'!Z61="POR RECOGER"),'MAYO 2026'!N61,"")</f>
        <v/>
      </c>
      <c r="I477" s="381">
        <f>IF(AND('MAYO 2026'!D61&lt;&gt;"",'MAYO 2026'!Z61="POR RECOGER"),'MAYO 2026'!P61,"")</f>
        <v/>
      </c>
      <c r="J477" s="381">
        <f>IF(AND('MAYO 2026'!D61&lt;&gt;"",'MAYO 2026'!Z61="POR RECOGER"),'MAYO 2026'!Q61,"")</f>
        <v/>
      </c>
      <c r="K477" s="381">
        <f>IF(AND('MAYO 2026'!D61&lt;&gt;"",'MAYO 2026'!Z61="POR RECOGER"),'MAYO 2026'!Y61,"")</f>
        <v/>
      </c>
      <c r="L477" s="381">
        <f>IF(AND('MAYO 2026'!D61&lt;&gt;"",'MAYO 2026'!Z61="POR RECOGER"),'MAYO 2026'!I61,"")</f>
        <v/>
      </c>
      <c r="P477" s="194" t="n"/>
      <c r="Q477" s="194" t="n"/>
      <c r="R477" s="194" t="n"/>
      <c r="S477" s="194" t="n"/>
      <c r="T477" s="194" t="n"/>
      <c r="U477" s="194" t="n"/>
      <c r="V477" s="194" t="n"/>
      <c r="W477" s="194" t="n"/>
      <c r="X477" s="194" t="n"/>
      <c r="Y477" s="194" t="n"/>
      <c r="Z477" s="194" t="n"/>
    </row>
    <row r="478" ht="15" customHeight="1" s="195">
      <c r="A478" s="381">
        <f>IF(AND('MAYO 2026'!D62&lt;&gt;"",'MAYO 2026'!Z62="POR RECOGER"),"MAY","")</f>
        <v/>
      </c>
      <c r="B478" s="381">
        <f>IF(AND('MAYO 2026'!D62&lt;&gt;"",'MAYO 2026'!Z62="POR RECOGER"),IF('MAYO 2026'!Y62&lt;&gt;"",'MAYO 2026'!Y62,'MAYO 2026'!I62),"")</f>
        <v/>
      </c>
      <c r="C478" s="381">
        <f>IF(AND('MAYO 2026'!D62&lt;&gt;"",'MAYO 2026'!Z62="POR RECOGER"),'MAYO 2026'!D62,"")</f>
        <v/>
      </c>
      <c r="D478" s="381">
        <f>IF(AND('MAYO 2026'!D62&lt;&gt;"",'MAYO 2026'!Z62="POR RECOGER"),'MAYO 2026'!F62,"")</f>
        <v/>
      </c>
      <c r="E478" s="381">
        <f>IF(AND('MAYO 2026'!D62&lt;&gt;"",'MAYO 2026'!Z62="POR RECOGER"),TEXT('MAYO 2026'!G62,"DD/MM/YYYY"),"")</f>
        <v/>
      </c>
      <c r="F478" s="381">
        <f>IF(AND('MAYO 2026'!D62&lt;&gt;"",'MAYO 2026'!Z62="POR RECOGER"),'MAYO 2026'!K62,"")</f>
        <v/>
      </c>
      <c r="G478" s="382">
        <f>IF(AND('MAYO 2026'!D62&lt;&gt;"",'MAYO 2026'!Z62="POR RECOGER"),'MAYO 2026'!M62,"")</f>
        <v/>
      </c>
      <c r="H478" s="382">
        <f>IF(AND('MAYO 2026'!D62&lt;&gt;"",'MAYO 2026'!Z62="POR RECOGER"),'MAYO 2026'!N62,"")</f>
        <v/>
      </c>
      <c r="I478" s="381">
        <f>IF(AND('MAYO 2026'!D62&lt;&gt;"",'MAYO 2026'!Z62="POR RECOGER"),'MAYO 2026'!P62,"")</f>
        <v/>
      </c>
      <c r="J478" s="381">
        <f>IF(AND('MAYO 2026'!D62&lt;&gt;"",'MAYO 2026'!Z62="POR RECOGER"),'MAYO 2026'!Q62,"")</f>
        <v/>
      </c>
      <c r="K478" s="381">
        <f>IF(AND('MAYO 2026'!D62&lt;&gt;"",'MAYO 2026'!Z62="POR RECOGER"),'MAYO 2026'!Y62,"")</f>
        <v/>
      </c>
      <c r="L478" s="381">
        <f>IF(AND('MAYO 2026'!D62&lt;&gt;"",'MAYO 2026'!Z62="POR RECOGER"),'MAYO 2026'!I62,"")</f>
        <v/>
      </c>
      <c r="P478" s="194" t="n"/>
      <c r="Q478" s="194" t="n"/>
      <c r="R478" s="194" t="n"/>
      <c r="S478" s="194" t="n"/>
      <c r="T478" s="194" t="n"/>
      <c r="U478" s="194" t="n"/>
      <c r="V478" s="194" t="n"/>
      <c r="W478" s="194" t="n"/>
      <c r="X478" s="194" t="n"/>
      <c r="Y478" s="194" t="n"/>
      <c r="Z478" s="194" t="n"/>
    </row>
    <row r="479" ht="15" customHeight="1" s="195">
      <c r="A479" s="381">
        <f>IF(AND('MAYO 2026'!D63&lt;&gt;"",'MAYO 2026'!Z63="POR RECOGER"),"MAY","")</f>
        <v/>
      </c>
      <c r="B479" s="381">
        <f>IF(AND('MAYO 2026'!D63&lt;&gt;"",'MAYO 2026'!Z63="POR RECOGER"),IF('MAYO 2026'!Y63&lt;&gt;"",'MAYO 2026'!Y63,'MAYO 2026'!I63),"")</f>
        <v/>
      </c>
      <c r="C479" s="381">
        <f>IF(AND('MAYO 2026'!D63&lt;&gt;"",'MAYO 2026'!Z63="POR RECOGER"),'MAYO 2026'!D63,"")</f>
        <v/>
      </c>
      <c r="D479" s="381">
        <f>IF(AND('MAYO 2026'!D63&lt;&gt;"",'MAYO 2026'!Z63="POR RECOGER"),'MAYO 2026'!F63,"")</f>
        <v/>
      </c>
      <c r="E479" s="381">
        <f>IF(AND('MAYO 2026'!D63&lt;&gt;"",'MAYO 2026'!Z63="POR RECOGER"),TEXT('MAYO 2026'!G63,"DD/MM/YYYY"),"")</f>
        <v/>
      </c>
      <c r="F479" s="381">
        <f>IF(AND('MAYO 2026'!D63&lt;&gt;"",'MAYO 2026'!Z63="POR RECOGER"),'MAYO 2026'!K63,"")</f>
        <v/>
      </c>
      <c r="G479" s="382">
        <f>IF(AND('MAYO 2026'!D63&lt;&gt;"",'MAYO 2026'!Z63="POR RECOGER"),'MAYO 2026'!M63,"")</f>
        <v/>
      </c>
      <c r="H479" s="382">
        <f>IF(AND('MAYO 2026'!D63&lt;&gt;"",'MAYO 2026'!Z63="POR RECOGER"),'MAYO 2026'!N63,"")</f>
        <v/>
      </c>
      <c r="I479" s="381">
        <f>IF(AND('MAYO 2026'!D63&lt;&gt;"",'MAYO 2026'!Z63="POR RECOGER"),'MAYO 2026'!P63,"")</f>
        <v/>
      </c>
      <c r="J479" s="381">
        <f>IF(AND('MAYO 2026'!D63&lt;&gt;"",'MAYO 2026'!Z63="POR RECOGER"),'MAYO 2026'!Q63,"")</f>
        <v/>
      </c>
      <c r="K479" s="381">
        <f>IF(AND('MAYO 2026'!D63&lt;&gt;"",'MAYO 2026'!Z63="POR RECOGER"),'MAYO 2026'!Y63,"")</f>
        <v/>
      </c>
      <c r="L479" s="381">
        <f>IF(AND('MAYO 2026'!D63&lt;&gt;"",'MAYO 2026'!Z63="POR RECOGER"),'MAYO 2026'!I63,"")</f>
        <v/>
      </c>
      <c r="P479" s="194" t="n"/>
      <c r="Q479" s="194" t="n"/>
      <c r="R479" s="194" t="n"/>
      <c r="S479" s="194" t="n"/>
      <c r="T479" s="194" t="n"/>
      <c r="U479" s="194" t="n"/>
      <c r="V479" s="194" t="n"/>
      <c r="W479" s="194" t="n"/>
      <c r="X479" s="194" t="n"/>
      <c r="Y479" s="194" t="n"/>
      <c r="Z479" s="194" t="n"/>
    </row>
    <row r="480" ht="15" customHeight="1" s="195">
      <c r="A480" s="381">
        <f>IF(AND('MAYO 2026'!D64&lt;&gt;"",'MAYO 2026'!Z64="POR RECOGER"),"MAY","")</f>
        <v/>
      </c>
      <c r="B480" s="381">
        <f>IF(AND('MAYO 2026'!D64&lt;&gt;"",'MAYO 2026'!Z64="POR RECOGER"),IF('MAYO 2026'!Y64&lt;&gt;"",'MAYO 2026'!Y64,'MAYO 2026'!I64),"")</f>
        <v/>
      </c>
      <c r="C480" s="381">
        <f>IF(AND('MAYO 2026'!D64&lt;&gt;"",'MAYO 2026'!Z64="POR RECOGER"),'MAYO 2026'!D64,"")</f>
        <v/>
      </c>
      <c r="D480" s="381">
        <f>IF(AND('MAYO 2026'!D64&lt;&gt;"",'MAYO 2026'!Z64="POR RECOGER"),'MAYO 2026'!F64,"")</f>
        <v/>
      </c>
      <c r="E480" s="381">
        <f>IF(AND('MAYO 2026'!D64&lt;&gt;"",'MAYO 2026'!Z64="POR RECOGER"),TEXT('MAYO 2026'!G64,"DD/MM/YYYY"),"")</f>
        <v/>
      </c>
      <c r="F480" s="381">
        <f>IF(AND('MAYO 2026'!D64&lt;&gt;"",'MAYO 2026'!Z64="POR RECOGER"),'MAYO 2026'!K64,"")</f>
        <v/>
      </c>
      <c r="G480" s="382">
        <f>IF(AND('MAYO 2026'!D64&lt;&gt;"",'MAYO 2026'!Z64="POR RECOGER"),'MAYO 2026'!M64,"")</f>
        <v/>
      </c>
      <c r="H480" s="382">
        <f>IF(AND('MAYO 2026'!D64&lt;&gt;"",'MAYO 2026'!Z64="POR RECOGER"),'MAYO 2026'!N64,"")</f>
        <v/>
      </c>
      <c r="I480" s="381">
        <f>IF(AND('MAYO 2026'!D64&lt;&gt;"",'MAYO 2026'!Z64="POR RECOGER"),'MAYO 2026'!P64,"")</f>
        <v/>
      </c>
      <c r="J480" s="381">
        <f>IF(AND('MAYO 2026'!D64&lt;&gt;"",'MAYO 2026'!Z64="POR RECOGER"),'MAYO 2026'!Q64,"")</f>
        <v/>
      </c>
      <c r="K480" s="381">
        <f>IF(AND('MAYO 2026'!D64&lt;&gt;"",'MAYO 2026'!Z64="POR RECOGER"),'MAYO 2026'!Y64,"")</f>
        <v/>
      </c>
      <c r="L480" s="381">
        <f>IF(AND('MAYO 2026'!D64&lt;&gt;"",'MAYO 2026'!Z64="POR RECOGER"),'MAYO 2026'!I64,"")</f>
        <v/>
      </c>
      <c r="P480" s="194" t="n"/>
      <c r="Q480" s="194" t="n"/>
      <c r="R480" s="194" t="n"/>
      <c r="S480" s="194" t="n"/>
      <c r="T480" s="194" t="n"/>
      <c r="U480" s="194" t="n"/>
      <c r="V480" s="194" t="n"/>
      <c r="W480" s="194" t="n"/>
      <c r="X480" s="194" t="n"/>
      <c r="Y480" s="194" t="n"/>
      <c r="Z480" s="194" t="n"/>
    </row>
    <row r="481" ht="15" customHeight="1" s="195">
      <c r="A481" s="381">
        <f>IF(AND('MAYO 2026'!D65&lt;&gt;"",'MAYO 2026'!Z65="POR RECOGER"),"MAY","")</f>
        <v/>
      </c>
      <c r="B481" s="381">
        <f>IF(AND('MAYO 2026'!D65&lt;&gt;"",'MAYO 2026'!Z65="POR RECOGER"),IF('MAYO 2026'!Y65&lt;&gt;"",'MAYO 2026'!Y65,'MAYO 2026'!I65),"")</f>
        <v/>
      </c>
      <c r="C481" s="381">
        <f>IF(AND('MAYO 2026'!D65&lt;&gt;"",'MAYO 2026'!Z65="POR RECOGER"),'MAYO 2026'!D65,"")</f>
        <v/>
      </c>
      <c r="D481" s="381">
        <f>IF(AND('MAYO 2026'!D65&lt;&gt;"",'MAYO 2026'!Z65="POR RECOGER"),'MAYO 2026'!F65,"")</f>
        <v/>
      </c>
      <c r="E481" s="381">
        <f>IF(AND('MAYO 2026'!D65&lt;&gt;"",'MAYO 2026'!Z65="POR RECOGER"),TEXT('MAYO 2026'!G65,"DD/MM/YYYY"),"")</f>
        <v/>
      </c>
      <c r="F481" s="381">
        <f>IF(AND('MAYO 2026'!D65&lt;&gt;"",'MAYO 2026'!Z65="POR RECOGER"),'MAYO 2026'!K65,"")</f>
        <v/>
      </c>
      <c r="G481" s="382">
        <f>IF(AND('MAYO 2026'!D65&lt;&gt;"",'MAYO 2026'!Z65="POR RECOGER"),'MAYO 2026'!M65,"")</f>
        <v/>
      </c>
      <c r="H481" s="382">
        <f>IF(AND('MAYO 2026'!D65&lt;&gt;"",'MAYO 2026'!Z65="POR RECOGER"),'MAYO 2026'!N65,"")</f>
        <v/>
      </c>
      <c r="I481" s="381">
        <f>IF(AND('MAYO 2026'!D65&lt;&gt;"",'MAYO 2026'!Z65="POR RECOGER"),'MAYO 2026'!P65,"")</f>
        <v/>
      </c>
      <c r="J481" s="381">
        <f>IF(AND('MAYO 2026'!D65&lt;&gt;"",'MAYO 2026'!Z65="POR RECOGER"),'MAYO 2026'!Q65,"")</f>
        <v/>
      </c>
      <c r="K481" s="381">
        <f>IF(AND('MAYO 2026'!D65&lt;&gt;"",'MAYO 2026'!Z65="POR RECOGER"),'MAYO 2026'!Y65,"")</f>
        <v/>
      </c>
      <c r="L481" s="381">
        <f>IF(AND('MAYO 2026'!D65&lt;&gt;"",'MAYO 2026'!Z65="POR RECOGER"),'MAYO 2026'!I65,"")</f>
        <v/>
      </c>
      <c r="P481" s="194" t="n"/>
      <c r="Q481" s="194" t="n"/>
      <c r="R481" s="194" t="n"/>
      <c r="S481" s="194" t="n"/>
      <c r="T481" s="194" t="n"/>
      <c r="U481" s="194" t="n"/>
      <c r="V481" s="194" t="n"/>
      <c r="W481" s="194" t="n"/>
      <c r="X481" s="194" t="n"/>
      <c r="Y481" s="194" t="n"/>
      <c r="Z481" s="194" t="n"/>
    </row>
    <row r="482" ht="15" customHeight="1" s="195">
      <c r="A482" s="381">
        <f>IF(AND('MAYO 2026'!D66&lt;&gt;"",'MAYO 2026'!Z66="POR RECOGER"),"MAY","")</f>
        <v/>
      </c>
      <c r="B482" s="381">
        <f>IF(AND('MAYO 2026'!D66&lt;&gt;"",'MAYO 2026'!Z66="POR RECOGER"),IF('MAYO 2026'!Y66&lt;&gt;"",'MAYO 2026'!Y66,'MAYO 2026'!I66),"")</f>
        <v/>
      </c>
      <c r="C482" s="381">
        <f>IF(AND('MAYO 2026'!D66&lt;&gt;"",'MAYO 2026'!Z66="POR RECOGER"),'MAYO 2026'!D66,"")</f>
        <v/>
      </c>
      <c r="D482" s="381">
        <f>IF(AND('MAYO 2026'!D66&lt;&gt;"",'MAYO 2026'!Z66="POR RECOGER"),'MAYO 2026'!F66,"")</f>
        <v/>
      </c>
      <c r="E482" s="381">
        <f>IF(AND('MAYO 2026'!D66&lt;&gt;"",'MAYO 2026'!Z66="POR RECOGER"),TEXT('MAYO 2026'!G66,"DD/MM/YYYY"),"")</f>
        <v/>
      </c>
      <c r="F482" s="381">
        <f>IF(AND('MAYO 2026'!D66&lt;&gt;"",'MAYO 2026'!Z66="POR RECOGER"),'MAYO 2026'!K66,"")</f>
        <v/>
      </c>
      <c r="G482" s="382">
        <f>IF(AND('MAYO 2026'!D66&lt;&gt;"",'MAYO 2026'!Z66="POR RECOGER"),'MAYO 2026'!M66,"")</f>
        <v/>
      </c>
      <c r="H482" s="382">
        <f>IF(AND('MAYO 2026'!D66&lt;&gt;"",'MAYO 2026'!Z66="POR RECOGER"),'MAYO 2026'!N66,"")</f>
        <v/>
      </c>
      <c r="I482" s="381">
        <f>IF(AND('MAYO 2026'!D66&lt;&gt;"",'MAYO 2026'!Z66="POR RECOGER"),'MAYO 2026'!P66,"")</f>
        <v/>
      </c>
      <c r="J482" s="381">
        <f>IF(AND('MAYO 2026'!D66&lt;&gt;"",'MAYO 2026'!Z66="POR RECOGER"),'MAYO 2026'!Q66,"")</f>
        <v/>
      </c>
      <c r="K482" s="381">
        <f>IF(AND('MAYO 2026'!D66&lt;&gt;"",'MAYO 2026'!Z66="POR RECOGER"),'MAYO 2026'!Y66,"")</f>
        <v/>
      </c>
      <c r="L482" s="381">
        <f>IF(AND('MAYO 2026'!D66&lt;&gt;"",'MAYO 2026'!Z66="POR RECOGER"),'MAYO 2026'!I66,"")</f>
        <v/>
      </c>
      <c r="P482" s="194" t="n"/>
      <c r="Q482" s="194" t="n"/>
      <c r="R482" s="194" t="n"/>
      <c r="S482" s="194" t="n"/>
      <c r="T482" s="194" t="n"/>
      <c r="U482" s="194" t="n"/>
      <c r="V482" s="194" t="n"/>
      <c r="W482" s="194" t="n"/>
      <c r="X482" s="194" t="n"/>
      <c r="Y482" s="194" t="n"/>
      <c r="Z482" s="194" t="n"/>
    </row>
    <row r="483" ht="15" customHeight="1" s="195">
      <c r="A483" s="381">
        <f>IF(AND('MAYO 2026'!D67&lt;&gt;"",'MAYO 2026'!Z67="POR RECOGER"),"MAY","")</f>
        <v/>
      </c>
      <c r="B483" s="381">
        <f>IF(AND('MAYO 2026'!D67&lt;&gt;"",'MAYO 2026'!Z67="POR RECOGER"),IF('MAYO 2026'!Y67&lt;&gt;"",'MAYO 2026'!Y67,'MAYO 2026'!I67),"")</f>
        <v/>
      </c>
      <c r="C483" s="381">
        <f>IF(AND('MAYO 2026'!D67&lt;&gt;"",'MAYO 2026'!Z67="POR RECOGER"),'MAYO 2026'!D67,"")</f>
        <v/>
      </c>
      <c r="D483" s="381">
        <f>IF(AND('MAYO 2026'!D67&lt;&gt;"",'MAYO 2026'!Z67="POR RECOGER"),'MAYO 2026'!F67,"")</f>
        <v/>
      </c>
      <c r="E483" s="381">
        <f>IF(AND('MAYO 2026'!D67&lt;&gt;"",'MAYO 2026'!Z67="POR RECOGER"),TEXT('MAYO 2026'!G67,"DD/MM/YYYY"),"")</f>
        <v/>
      </c>
      <c r="F483" s="381">
        <f>IF(AND('MAYO 2026'!D67&lt;&gt;"",'MAYO 2026'!Z67="POR RECOGER"),'MAYO 2026'!K67,"")</f>
        <v/>
      </c>
      <c r="G483" s="382">
        <f>IF(AND('MAYO 2026'!D67&lt;&gt;"",'MAYO 2026'!Z67="POR RECOGER"),'MAYO 2026'!M67,"")</f>
        <v/>
      </c>
      <c r="H483" s="382">
        <f>IF(AND('MAYO 2026'!D67&lt;&gt;"",'MAYO 2026'!Z67="POR RECOGER"),'MAYO 2026'!N67,"")</f>
        <v/>
      </c>
      <c r="I483" s="381">
        <f>IF(AND('MAYO 2026'!D67&lt;&gt;"",'MAYO 2026'!Z67="POR RECOGER"),'MAYO 2026'!P67,"")</f>
        <v/>
      </c>
      <c r="J483" s="381">
        <f>IF(AND('MAYO 2026'!D67&lt;&gt;"",'MAYO 2026'!Z67="POR RECOGER"),'MAYO 2026'!Q67,"")</f>
        <v/>
      </c>
      <c r="K483" s="381">
        <f>IF(AND('MAYO 2026'!D67&lt;&gt;"",'MAYO 2026'!Z67="POR RECOGER"),'MAYO 2026'!Y67,"")</f>
        <v/>
      </c>
      <c r="L483" s="381">
        <f>IF(AND('MAYO 2026'!D67&lt;&gt;"",'MAYO 2026'!Z67="POR RECOGER"),'MAYO 2026'!I67,"")</f>
        <v/>
      </c>
      <c r="P483" s="194" t="n"/>
      <c r="Q483" s="194" t="n"/>
      <c r="R483" s="194" t="n"/>
      <c r="S483" s="194" t="n"/>
      <c r="T483" s="194" t="n"/>
      <c r="U483" s="194" t="n"/>
      <c r="V483" s="194" t="n"/>
      <c r="W483" s="194" t="n"/>
      <c r="X483" s="194" t="n"/>
      <c r="Y483" s="194" t="n"/>
      <c r="Z483" s="194" t="n"/>
    </row>
    <row r="484" ht="15" customHeight="1" s="195">
      <c r="A484" s="381">
        <f>IF(AND('MAYO 2026'!D68&lt;&gt;"",'MAYO 2026'!Z68="POR RECOGER"),"MAY","")</f>
        <v/>
      </c>
      <c r="B484" s="381">
        <f>IF(AND('MAYO 2026'!D68&lt;&gt;"",'MAYO 2026'!Z68="POR RECOGER"),IF('MAYO 2026'!Y68&lt;&gt;"",'MAYO 2026'!Y68,'MAYO 2026'!I68),"")</f>
        <v/>
      </c>
      <c r="C484" s="381">
        <f>IF(AND('MAYO 2026'!D68&lt;&gt;"",'MAYO 2026'!Z68="POR RECOGER"),'MAYO 2026'!D68,"")</f>
        <v/>
      </c>
      <c r="D484" s="381">
        <f>IF(AND('MAYO 2026'!D68&lt;&gt;"",'MAYO 2026'!Z68="POR RECOGER"),'MAYO 2026'!F68,"")</f>
        <v/>
      </c>
      <c r="E484" s="381">
        <f>IF(AND('MAYO 2026'!D68&lt;&gt;"",'MAYO 2026'!Z68="POR RECOGER"),TEXT('MAYO 2026'!G68,"DD/MM/YYYY"),"")</f>
        <v/>
      </c>
      <c r="F484" s="381">
        <f>IF(AND('MAYO 2026'!D68&lt;&gt;"",'MAYO 2026'!Z68="POR RECOGER"),'MAYO 2026'!K68,"")</f>
        <v/>
      </c>
      <c r="G484" s="382">
        <f>IF(AND('MAYO 2026'!D68&lt;&gt;"",'MAYO 2026'!Z68="POR RECOGER"),'MAYO 2026'!M68,"")</f>
        <v/>
      </c>
      <c r="H484" s="382">
        <f>IF(AND('MAYO 2026'!D68&lt;&gt;"",'MAYO 2026'!Z68="POR RECOGER"),'MAYO 2026'!N68,"")</f>
        <v/>
      </c>
      <c r="I484" s="381">
        <f>IF(AND('MAYO 2026'!D68&lt;&gt;"",'MAYO 2026'!Z68="POR RECOGER"),'MAYO 2026'!P68,"")</f>
        <v/>
      </c>
      <c r="J484" s="381">
        <f>IF(AND('MAYO 2026'!D68&lt;&gt;"",'MAYO 2026'!Z68="POR RECOGER"),'MAYO 2026'!Q68,"")</f>
        <v/>
      </c>
      <c r="K484" s="381">
        <f>IF(AND('MAYO 2026'!D68&lt;&gt;"",'MAYO 2026'!Z68="POR RECOGER"),'MAYO 2026'!Y68,"")</f>
        <v/>
      </c>
      <c r="L484" s="381">
        <f>IF(AND('MAYO 2026'!D68&lt;&gt;"",'MAYO 2026'!Z68="POR RECOGER"),'MAYO 2026'!I68,"")</f>
        <v/>
      </c>
      <c r="P484" s="194" t="n"/>
      <c r="Q484" s="194" t="n"/>
      <c r="R484" s="194" t="n"/>
      <c r="S484" s="194" t="n"/>
      <c r="T484" s="194" t="n"/>
      <c r="U484" s="194" t="n"/>
      <c r="V484" s="194" t="n"/>
      <c r="W484" s="194" t="n"/>
      <c r="X484" s="194" t="n"/>
      <c r="Y484" s="194" t="n"/>
      <c r="Z484" s="194" t="n"/>
    </row>
    <row r="485" ht="15" customHeight="1" s="195">
      <c r="A485" s="381">
        <f>IF(AND('MAYO 2026'!D69&lt;&gt;"",'MAYO 2026'!Z69="POR RECOGER"),"MAY","")</f>
        <v/>
      </c>
      <c r="B485" s="381">
        <f>IF(AND('MAYO 2026'!D69&lt;&gt;"",'MAYO 2026'!Z69="POR RECOGER"),IF('MAYO 2026'!Y69&lt;&gt;"",'MAYO 2026'!Y69,'MAYO 2026'!I69),"")</f>
        <v/>
      </c>
      <c r="C485" s="381">
        <f>IF(AND('MAYO 2026'!D69&lt;&gt;"",'MAYO 2026'!Z69="POR RECOGER"),'MAYO 2026'!D69,"")</f>
        <v/>
      </c>
      <c r="D485" s="381">
        <f>IF(AND('MAYO 2026'!D69&lt;&gt;"",'MAYO 2026'!Z69="POR RECOGER"),'MAYO 2026'!F69,"")</f>
        <v/>
      </c>
      <c r="E485" s="381">
        <f>IF(AND('MAYO 2026'!D69&lt;&gt;"",'MAYO 2026'!Z69="POR RECOGER"),TEXT('MAYO 2026'!G69,"DD/MM/YYYY"),"")</f>
        <v/>
      </c>
      <c r="F485" s="381">
        <f>IF(AND('MAYO 2026'!D69&lt;&gt;"",'MAYO 2026'!Z69="POR RECOGER"),'MAYO 2026'!K69,"")</f>
        <v/>
      </c>
      <c r="G485" s="382">
        <f>IF(AND('MAYO 2026'!D69&lt;&gt;"",'MAYO 2026'!Z69="POR RECOGER"),'MAYO 2026'!M69,"")</f>
        <v/>
      </c>
      <c r="H485" s="382">
        <f>IF(AND('MAYO 2026'!D69&lt;&gt;"",'MAYO 2026'!Z69="POR RECOGER"),'MAYO 2026'!N69,"")</f>
        <v/>
      </c>
      <c r="I485" s="381">
        <f>IF(AND('MAYO 2026'!D69&lt;&gt;"",'MAYO 2026'!Z69="POR RECOGER"),'MAYO 2026'!P69,"")</f>
        <v/>
      </c>
      <c r="J485" s="381">
        <f>IF(AND('MAYO 2026'!D69&lt;&gt;"",'MAYO 2026'!Z69="POR RECOGER"),'MAYO 2026'!Q69,"")</f>
        <v/>
      </c>
      <c r="K485" s="381">
        <f>IF(AND('MAYO 2026'!D69&lt;&gt;"",'MAYO 2026'!Z69="POR RECOGER"),'MAYO 2026'!Y69,"")</f>
        <v/>
      </c>
      <c r="L485" s="381">
        <f>IF(AND('MAYO 2026'!D69&lt;&gt;"",'MAYO 2026'!Z69="POR RECOGER"),'MAYO 2026'!I69,"")</f>
        <v/>
      </c>
      <c r="P485" s="194" t="n"/>
      <c r="Q485" s="194" t="n"/>
      <c r="R485" s="194" t="n"/>
      <c r="S485" s="194" t="n"/>
      <c r="T485" s="194" t="n"/>
      <c r="U485" s="194" t="n"/>
      <c r="V485" s="194" t="n"/>
      <c r="W485" s="194" t="n"/>
      <c r="X485" s="194" t="n"/>
      <c r="Y485" s="194" t="n"/>
      <c r="Z485" s="194" t="n"/>
    </row>
    <row r="486" ht="15" customHeight="1" s="195">
      <c r="A486" s="381">
        <f>IF(AND('MAYO 2026'!D70&lt;&gt;"",'MAYO 2026'!Z70="POR RECOGER"),"MAY","")</f>
        <v/>
      </c>
      <c r="B486" s="381">
        <f>IF(AND('MAYO 2026'!D70&lt;&gt;"",'MAYO 2026'!Z70="POR RECOGER"),IF('MAYO 2026'!Y70&lt;&gt;"",'MAYO 2026'!Y70,'MAYO 2026'!I70),"")</f>
        <v/>
      </c>
      <c r="C486" s="381">
        <f>IF(AND('MAYO 2026'!D70&lt;&gt;"",'MAYO 2026'!Z70="POR RECOGER"),'MAYO 2026'!D70,"")</f>
        <v/>
      </c>
      <c r="D486" s="381">
        <f>IF(AND('MAYO 2026'!D70&lt;&gt;"",'MAYO 2026'!Z70="POR RECOGER"),'MAYO 2026'!F70,"")</f>
        <v/>
      </c>
      <c r="E486" s="381">
        <f>IF(AND('MAYO 2026'!D70&lt;&gt;"",'MAYO 2026'!Z70="POR RECOGER"),TEXT('MAYO 2026'!G70,"DD/MM/YYYY"),"")</f>
        <v/>
      </c>
      <c r="F486" s="381">
        <f>IF(AND('MAYO 2026'!D70&lt;&gt;"",'MAYO 2026'!Z70="POR RECOGER"),'MAYO 2026'!K70,"")</f>
        <v/>
      </c>
      <c r="G486" s="382">
        <f>IF(AND('MAYO 2026'!D70&lt;&gt;"",'MAYO 2026'!Z70="POR RECOGER"),'MAYO 2026'!M70,"")</f>
        <v/>
      </c>
      <c r="H486" s="382">
        <f>IF(AND('MAYO 2026'!D70&lt;&gt;"",'MAYO 2026'!Z70="POR RECOGER"),'MAYO 2026'!N70,"")</f>
        <v/>
      </c>
      <c r="I486" s="381">
        <f>IF(AND('MAYO 2026'!D70&lt;&gt;"",'MAYO 2026'!Z70="POR RECOGER"),'MAYO 2026'!P70,"")</f>
        <v/>
      </c>
      <c r="J486" s="381">
        <f>IF(AND('MAYO 2026'!D70&lt;&gt;"",'MAYO 2026'!Z70="POR RECOGER"),'MAYO 2026'!Q70,"")</f>
        <v/>
      </c>
      <c r="K486" s="381">
        <f>IF(AND('MAYO 2026'!D70&lt;&gt;"",'MAYO 2026'!Z70="POR RECOGER"),'MAYO 2026'!Y70,"")</f>
        <v/>
      </c>
      <c r="L486" s="381">
        <f>IF(AND('MAYO 2026'!D70&lt;&gt;"",'MAYO 2026'!Z70="POR RECOGER"),'MAYO 2026'!I70,"")</f>
        <v/>
      </c>
      <c r="P486" s="194" t="n"/>
      <c r="Q486" s="194" t="n"/>
      <c r="R486" s="194" t="n"/>
      <c r="S486" s="194" t="n"/>
      <c r="T486" s="194" t="n"/>
      <c r="U486" s="194" t="n"/>
      <c r="V486" s="194" t="n"/>
      <c r="W486" s="194" t="n"/>
      <c r="X486" s="194" t="n"/>
      <c r="Y486" s="194" t="n"/>
      <c r="Z486" s="194" t="n"/>
    </row>
    <row r="487" ht="15" customHeight="1" s="195">
      <c r="A487" s="381">
        <f>IF(AND('MAYO 2026'!D71&lt;&gt;"",'MAYO 2026'!Z71="POR RECOGER"),"MAY","")</f>
        <v/>
      </c>
      <c r="B487" s="381">
        <f>IF(AND('MAYO 2026'!D71&lt;&gt;"",'MAYO 2026'!Z71="POR RECOGER"),IF('MAYO 2026'!Y71&lt;&gt;"",'MAYO 2026'!Y71,'MAYO 2026'!I71),"")</f>
        <v/>
      </c>
      <c r="C487" s="381">
        <f>IF(AND('MAYO 2026'!D71&lt;&gt;"",'MAYO 2026'!Z71="POR RECOGER"),'MAYO 2026'!D71,"")</f>
        <v/>
      </c>
      <c r="D487" s="381">
        <f>IF(AND('MAYO 2026'!D71&lt;&gt;"",'MAYO 2026'!Z71="POR RECOGER"),'MAYO 2026'!F71,"")</f>
        <v/>
      </c>
      <c r="E487" s="381">
        <f>IF(AND('MAYO 2026'!D71&lt;&gt;"",'MAYO 2026'!Z71="POR RECOGER"),TEXT('MAYO 2026'!G71,"DD/MM/YYYY"),"")</f>
        <v/>
      </c>
      <c r="F487" s="381">
        <f>IF(AND('MAYO 2026'!D71&lt;&gt;"",'MAYO 2026'!Z71="POR RECOGER"),'MAYO 2026'!K71,"")</f>
        <v/>
      </c>
      <c r="G487" s="382">
        <f>IF(AND('MAYO 2026'!D71&lt;&gt;"",'MAYO 2026'!Z71="POR RECOGER"),'MAYO 2026'!M71,"")</f>
        <v/>
      </c>
      <c r="H487" s="382">
        <f>IF(AND('MAYO 2026'!D71&lt;&gt;"",'MAYO 2026'!Z71="POR RECOGER"),'MAYO 2026'!N71,"")</f>
        <v/>
      </c>
      <c r="I487" s="381">
        <f>IF(AND('MAYO 2026'!D71&lt;&gt;"",'MAYO 2026'!Z71="POR RECOGER"),'MAYO 2026'!P71,"")</f>
        <v/>
      </c>
      <c r="J487" s="381">
        <f>IF(AND('MAYO 2026'!D71&lt;&gt;"",'MAYO 2026'!Z71="POR RECOGER"),'MAYO 2026'!Q71,"")</f>
        <v/>
      </c>
      <c r="K487" s="381">
        <f>IF(AND('MAYO 2026'!D71&lt;&gt;"",'MAYO 2026'!Z71="POR RECOGER"),'MAYO 2026'!Y71,"")</f>
        <v/>
      </c>
      <c r="L487" s="381">
        <f>IF(AND('MAYO 2026'!D71&lt;&gt;"",'MAYO 2026'!Z71="POR RECOGER"),'MAYO 2026'!I71,"")</f>
        <v/>
      </c>
      <c r="P487" s="194" t="n"/>
      <c r="Q487" s="194" t="n"/>
      <c r="R487" s="194" t="n"/>
      <c r="S487" s="194" t="n"/>
      <c r="T487" s="194" t="n"/>
      <c r="U487" s="194" t="n"/>
      <c r="V487" s="194" t="n"/>
      <c r="W487" s="194" t="n"/>
      <c r="X487" s="194" t="n"/>
      <c r="Y487" s="194" t="n"/>
      <c r="Z487" s="194" t="n"/>
    </row>
    <row r="488" ht="15" customHeight="1" s="195">
      <c r="A488" s="381">
        <f>IF(AND('MAYO 2026'!D72&lt;&gt;"",'MAYO 2026'!Z72="POR RECOGER"),"MAY","")</f>
        <v/>
      </c>
      <c r="B488" s="381">
        <f>IF(AND('MAYO 2026'!D72&lt;&gt;"",'MAYO 2026'!Z72="POR RECOGER"),IF('MAYO 2026'!Y72&lt;&gt;"",'MAYO 2026'!Y72,'MAYO 2026'!I72),"")</f>
        <v/>
      </c>
      <c r="C488" s="381">
        <f>IF(AND('MAYO 2026'!D72&lt;&gt;"",'MAYO 2026'!Z72="POR RECOGER"),'MAYO 2026'!D72,"")</f>
        <v/>
      </c>
      <c r="D488" s="381">
        <f>IF(AND('MAYO 2026'!D72&lt;&gt;"",'MAYO 2026'!Z72="POR RECOGER"),'MAYO 2026'!F72,"")</f>
        <v/>
      </c>
      <c r="E488" s="381">
        <f>IF(AND('MAYO 2026'!D72&lt;&gt;"",'MAYO 2026'!Z72="POR RECOGER"),TEXT('MAYO 2026'!G72,"DD/MM/YYYY"),"")</f>
        <v/>
      </c>
      <c r="F488" s="381">
        <f>IF(AND('MAYO 2026'!D72&lt;&gt;"",'MAYO 2026'!Z72="POR RECOGER"),'MAYO 2026'!K72,"")</f>
        <v/>
      </c>
      <c r="G488" s="382">
        <f>IF(AND('MAYO 2026'!D72&lt;&gt;"",'MAYO 2026'!Z72="POR RECOGER"),'MAYO 2026'!M72,"")</f>
        <v/>
      </c>
      <c r="H488" s="382">
        <f>IF(AND('MAYO 2026'!D72&lt;&gt;"",'MAYO 2026'!Z72="POR RECOGER"),'MAYO 2026'!N72,"")</f>
        <v/>
      </c>
      <c r="I488" s="381">
        <f>IF(AND('MAYO 2026'!D72&lt;&gt;"",'MAYO 2026'!Z72="POR RECOGER"),'MAYO 2026'!P72,"")</f>
        <v/>
      </c>
      <c r="J488" s="381">
        <f>IF(AND('MAYO 2026'!D72&lt;&gt;"",'MAYO 2026'!Z72="POR RECOGER"),'MAYO 2026'!Q72,"")</f>
        <v/>
      </c>
      <c r="K488" s="381">
        <f>IF(AND('MAYO 2026'!D72&lt;&gt;"",'MAYO 2026'!Z72="POR RECOGER"),'MAYO 2026'!Y72,"")</f>
        <v/>
      </c>
      <c r="L488" s="381">
        <f>IF(AND('MAYO 2026'!D72&lt;&gt;"",'MAYO 2026'!Z72="POR RECOGER"),'MAYO 2026'!I72,"")</f>
        <v/>
      </c>
      <c r="P488" s="194" t="n"/>
      <c r="Q488" s="194" t="n"/>
      <c r="R488" s="194" t="n"/>
      <c r="S488" s="194" t="n"/>
      <c r="T488" s="194" t="n"/>
      <c r="U488" s="194" t="n"/>
      <c r="V488" s="194" t="n"/>
      <c r="W488" s="194" t="n"/>
      <c r="X488" s="194" t="n"/>
      <c r="Y488" s="194" t="n"/>
      <c r="Z488" s="194" t="n"/>
    </row>
    <row r="489" ht="15" customHeight="1" s="195">
      <c r="A489" s="381">
        <f>IF(AND('MAYO 2026'!D73&lt;&gt;"",'MAYO 2026'!Z73="POR RECOGER"),"MAY","")</f>
        <v/>
      </c>
      <c r="B489" s="381">
        <f>IF(AND('MAYO 2026'!D73&lt;&gt;"",'MAYO 2026'!Z73="POR RECOGER"),IF('MAYO 2026'!Y73&lt;&gt;"",'MAYO 2026'!Y73,'MAYO 2026'!I73),"")</f>
        <v/>
      </c>
      <c r="C489" s="381">
        <f>IF(AND('MAYO 2026'!D73&lt;&gt;"",'MAYO 2026'!Z73="POR RECOGER"),'MAYO 2026'!D73,"")</f>
        <v/>
      </c>
      <c r="D489" s="381">
        <f>IF(AND('MAYO 2026'!D73&lt;&gt;"",'MAYO 2026'!Z73="POR RECOGER"),'MAYO 2026'!F73,"")</f>
        <v/>
      </c>
      <c r="E489" s="381">
        <f>IF(AND('MAYO 2026'!D73&lt;&gt;"",'MAYO 2026'!Z73="POR RECOGER"),TEXT('MAYO 2026'!G73,"DD/MM/YYYY"),"")</f>
        <v/>
      </c>
      <c r="F489" s="381">
        <f>IF(AND('MAYO 2026'!D73&lt;&gt;"",'MAYO 2026'!Z73="POR RECOGER"),'MAYO 2026'!K73,"")</f>
        <v/>
      </c>
      <c r="G489" s="382">
        <f>IF(AND('MAYO 2026'!D73&lt;&gt;"",'MAYO 2026'!Z73="POR RECOGER"),'MAYO 2026'!M73,"")</f>
        <v/>
      </c>
      <c r="H489" s="382">
        <f>IF(AND('MAYO 2026'!D73&lt;&gt;"",'MAYO 2026'!Z73="POR RECOGER"),'MAYO 2026'!N73,"")</f>
        <v/>
      </c>
      <c r="I489" s="381">
        <f>IF(AND('MAYO 2026'!D73&lt;&gt;"",'MAYO 2026'!Z73="POR RECOGER"),'MAYO 2026'!P73,"")</f>
        <v/>
      </c>
      <c r="J489" s="381">
        <f>IF(AND('MAYO 2026'!D73&lt;&gt;"",'MAYO 2026'!Z73="POR RECOGER"),'MAYO 2026'!Q73,"")</f>
        <v/>
      </c>
      <c r="K489" s="381">
        <f>IF(AND('MAYO 2026'!D73&lt;&gt;"",'MAYO 2026'!Z73="POR RECOGER"),'MAYO 2026'!Y73,"")</f>
        <v/>
      </c>
      <c r="L489" s="381">
        <f>IF(AND('MAYO 2026'!D73&lt;&gt;"",'MAYO 2026'!Z73="POR RECOGER"),'MAYO 2026'!I73,"")</f>
        <v/>
      </c>
      <c r="P489" s="194" t="n"/>
      <c r="Q489" s="194" t="n"/>
      <c r="R489" s="194" t="n"/>
      <c r="S489" s="194" t="n"/>
      <c r="T489" s="194" t="n"/>
      <c r="U489" s="194" t="n"/>
      <c r="V489" s="194" t="n"/>
      <c r="W489" s="194" t="n"/>
      <c r="X489" s="194" t="n"/>
      <c r="Y489" s="194" t="n"/>
      <c r="Z489" s="194" t="n"/>
    </row>
    <row r="490" ht="15" customHeight="1" s="195">
      <c r="A490" s="381">
        <f>IF(AND('MAYO 2026'!D74&lt;&gt;"",'MAYO 2026'!Z74="POR RECOGER"),"MAY","")</f>
        <v/>
      </c>
      <c r="B490" s="381">
        <f>IF(AND('MAYO 2026'!D74&lt;&gt;"",'MAYO 2026'!Z74="POR RECOGER"),IF('MAYO 2026'!Y74&lt;&gt;"",'MAYO 2026'!Y74,'MAYO 2026'!I74),"")</f>
        <v/>
      </c>
      <c r="C490" s="381">
        <f>IF(AND('MAYO 2026'!D74&lt;&gt;"",'MAYO 2026'!Z74="POR RECOGER"),'MAYO 2026'!D74,"")</f>
        <v/>
      </c>
      <c r="D490" s="381">
        <f>IF(AND('MAYO 2026'!D74&lt;&gt;"",'MAYO 2026'!Z74="POR RECOGER"),'MAYO 2026'!F74,"")</f>
        <v/>
      </c>
      <c r="E490" s="381">
        <f>IF(AND('MAYO 2026'!D74&lt;&gt;"",'MAYO 2026'!Z74="POR RECOGER"),TEXT('MAYO 2026'!G74,"DD/MM/YYYY"),"")</f>
        <v/>
      </c>
      <c r="F490" s="381">
        <f>IF(AND('MAYO 2026'!D74&lt;&gt;"",'MAYO 2026'!Z74="POR RECOGER"),'MAYO 2026'!K74,"")</f>
        <v/>
      </c>
      <c r="G490" s="382">
        <f>IF(AND('MAYO 2026'!D74&lt;&gt;"",'MAYO 2026'!Z74="POR RECOGER"),'MAYO 2026'!M74,"")</f>
        <v/>
      </c>
      <c r="H490" s="382">
        <f>IF(AND('MAYO 2026'!D74&lt;&gt;"",'MAYO 2026'!Z74="POR RECOGER"),'MAYO 2026'!N74,"")</f>
        <v/>
      </c>
      <c r="I490" s="381">
        <f>IF(AND('MAYO 2026'!D74&lt;&gt;"",'MAYO 2026'!Z74="POR RECOGER"),'MAYO 2026'!P74,"")</f>
        <v/>
      </c>
      <c r="J490" s="381">
        <f>IF(AND('MAYO 2026'!D74&lt;&gt;"",'MAYO 2026'!Z74="POR RECOGER"),'MAYO 2026'!Q74,"")</f>
        <v/>
      </c>
      <c r="K490" s="381">
        <f>IF(AND('MAYO 2026'!D74&lt;&gt;"",'MAYO 2026'!Z74="POR RECOGER"),'MAYO 2026'!Y74,"")</f>
        <v/>
      </c>
      <c r="L490" s="381">
        <f>IF(AND('MAYO 2026'!D74&lt;&gt;"",'MAYO 2026'!Z74="POR RECOGER"),'MAYO 2026'!I74,"")</f>
        <v/>
      </c>
      <c r="P490" s="194" t="n"/>
      <c r="Q490" s="194" t="n"/>
      <c r="R490" s="194" t="n"/>
      <c r="S490" s="194" t="n"/>
      <c r="T490" s="194" t="n"/>
      <c r="U490" s="194" t="n"/>
      <c r="V490" s="194" t="n"/>
      <c r="W490" s="194" t="n"/>
      <c r="X490" s="194" t="n"/>
      <c r="Y490" s="194" t="n"/>
      <c r="Z490" s="194" t="n"/>
    </row>
    <row r="491" ht="15" customHeight="1" s="195">
      <c r="A491" s="381">
        <f>IF(AND('MAYO 2026'!D75&lt;&gt;"",'MAYO 2026'!Z75="POR RECOGER"),"MAY","")</f>
        <v/>
      </c>
      <c r="B491" s="381">
        <f>IF(AND('MAYO 2026'!D75&lt;&gt;"",'MAYO 2026'!Z75="POR RECOGER"),IF('MAYO 2026'!Y75&lt;&gt;"",'MAYO 2026'!Y75,'MAYO 2026'!I75),"")</f>
        <v/>
      </c>
      <c r="C491" s="381">
        <f>IF(AND('MAYO 2026'!D75&lt;&gt;"",'MAYO 2026'!Z75="POR RECOGER"),'MAYO 2026'!D75,"")</f>
        <v/>
      </c>
      <c r="D491" s="381">
        <f>IF(AND('MAYO 2026'!D75&lt;&gt;"",'MAYO 2026'!Z75="POR RECOGER"),'MAYO 2026'!F75,"")</f>
        <v/>
      </c>
      <c r="E491" s="381">
        <f>IF(AND('MAYO 2026'!D75&lt;&gt;"",'MAYO 2026'!Z75="POR RECOGER"),TEXT('MAYO 2026'!G75,"DD/MM/YYYY"),"")</f>
        <v/>
      </c>
      <c r="F491" s="381">
        <f>IF(AND('MAYO 2026'!D75&lt;&gt;"",'MAYO 2026'!Z75="POR RECOGER"),'MAYO 2026'!K75,"")</f>
        <v/>
      </c>
      <c r="G491" s="382">
        <f>IF(AND('MAYO 2026'!D75&lt;&gt;"",'MAYO 2026'!Z75="POR RECOGER"),'MAYO 2026'!M75,"")</f>
        <v/>
      </c>
      <c r="H491" s="382">
        <f>IF(AND('MAYO 2026'!D75&lt;&gt;"",'MAYO 2026'!Z75="POR RECOGER"),'MAYO 2026'!N75,"")</f>
        <v/>
      </c>
      <c r="I491" s="381">
        <f>IF(AND('MAYO 2026'!D75&lt;&gt;"",'MAYO 2026'!Z75="POR RECOGER"),'MAYO 2026'!P75,"")</f>
        <v/>
      </c>
      <c r="J491" s="381">
        <f>IF(AND('MAYO 2026'!D75&lt;&gt;"",'MAYO 2026'!Z75="POR RECOGER"),'MAYO 2026'!Q75,"")</f>
        <v/>
      </c>
      <c r="K491" s="381">
        <f>IF(AND('MAYO 2026'!D75&lt;&gt;"",'MAYO 2026'!Z75="POR RECOGER"),'MAYO 2026'!Y75,"")</f>
        <v/>
      </c>
      <c r="L491" s="381">
        <f>IF(AND('MAYO 2026'!D75&lt;&gt;"",'MAYO 2026'!Z75="POR RECOGER"),'MAYO 2026'!I75,"")</f>
        <v/>
      </c>
      <c r="P491" s="194" t="n"/>
      <c r="Q491" s="194" t="n"/>
      <c r="R491" s="194" t="n"/>
      <c r="S491" s="194" t="n"/>
      <c r="T491" s="194" t="n"/>
      <c r="U491" s="194" t="n"/>
      <c r="V491" s="194" t="n"/>
      <c r="W491" s="194" t="n"/>
      <c r="X491" s="194" t="n"/>
      <c r="Y491" s="194" t="n"/>
      <c r="Z491" s="194" t="n"/>
    </row>
    <row r="492" ht="15" customHeight="1" s="195">
      <c r="A492" s="381">
        <f>IF(AND('MAYO 2026'!D76&lt;&gt;"",'MAYO 2026'!Z76="POR RECOGER"),"MAY","")</f>
        <v/>
      </c>
      <c r="B492" s="381">
        <f>IF(AND('MAYO 2026'!D76&lt;&gt;"",'MAYO 2026'!Z76="POR RECOGER"),IF('MAYO 2026'!Y76&lt;&gt;"",'MAYO 2026'!Y76,'MAYO 2026'!I76),"")</f>
        <v/>
      </c>
      <c r="C492" s="381">
        <f>IF(AND('MAYO 2026'!D76&lt;&gt;"",'MAYO 2026'!Z76="POR RECOGER"),'MAYO 2026'!D76,"")</f>
        <v/>
      </c>
      <c r="D492" s="381">
        <f>IF(AND('MAYO 2026'!D76&lt;&gt;"",'MAYO 2026'!Z76="POR RECOGER"),'MAYO 2026'!F76,"")</f>
        <v/>
      </c>
      <c r="E492" s="381">
        <f>IF(AND('MAYO 2026'!D76&lt;&gt;"",'MAYO 2026'!Z76="POR RECOGER"),TEXT('MAYO 2026'!G76,"DD/MM/YYYY"),"")</f>
        <v/>
      </c>
      <c r="F492" s="381">
        <f>IF(AND('MAYO 2026'!D76&lt;&gt;"",'MAYO 2026'!Z76="POR RECOGER"),'MAYO 2026'!K76,"")</f>
        <v/>
      </c>
      <c r="G492" s="382">
        <f>IF(AND('MAYO 2026'!D76&lt;&gt;"",'MAYO 2026'!Z76="POR RECOGER"),'MAYO 2026'!M76,"")</f>
        <v/>
      </c>
      <c r="H492" s="382">
        <f>IF(AND('MAYO 2026'!D76&lt;&gt;"",'MAYO 2026'!Z76="POR RECOGER"),'MAYO 2026'!N76,"")</f>
        <v/>
      </c>
      <c r="I492" s="381">
        <f>IF(AND('MAYO 2026'!D76&lt;&gt;"",'MAYO 2026'!Z76="POR RECOGER"),'MAYO 2026'!P76,"")</f>
        <v/>
      </c>
      <c r="J492" s="381">
        <f>IF(AND('MAYO 2026'!D76&lt;&gt;"",'MAYO 2026'!Z76="POR RECOGER"),'MAYO 2026'!Q76,"")</f>
        <v/>
      </c>
      <c r="K492" s="381">
        <f>IF(AND('MAYO 2026'!D76&lt;&gt;"",'MAYO 2026'!Z76="POR RECOGER"),'MAYO 2026'!Y76,"")</f>
        <v/>
      </c>
      <c r="L492" s="381">
        <f>IF(AND('MAYO 2026'!D76&lt;&gt;"",'MAYO 2026'!Z76="POR RECOGER"),'MAYO 2026'!I76,"")</f>
        <v/>
      </c>
      <c r="P492" s="194" t="n"/>
      <c r="Q492" s="194" t="n"/>
      <c r="R492" s="194" t="n"/>
      <c r="S492" s="194" t="n"/>
      <c r="T492" s="194" t="n"/>
      <c r="U492" s="194" t="n"/>
      <c r="V492" s="194" t="n"/>
      <c r="W492" s="194" t="n"/>
      <c r="X492" s="194" t="n"/>
      <c r="Y492" s="194" t="n"/>
      <c r="Z492" s="194" t="n"/>
    </row>
    <row r="493" ht="15" customHeight="1" s="195">
      <c r="A493" s="381">
        <f>IF(AND('MAYO 2026'!D77&lt;&gt;"",'MAYO 2026'!Z77="POR RECOGER"),"MAY","")</f>
        <v/>
      </c>
      <c r="B493" s="381">
        <f>IF(AND('MAYO 2026'!D77&lt;&gt;"",'MAYO 2026'!Z77="POR RECOGER"),IF('MAYO 2026'!Y77&lt;&gt;"",'MAYO 2026'!Y77,'MAYO 2026'!I77),"")</f>
        <v/>
      </c>
      <c r="C493" s="381">
        <f>IF(AND('MAYO 2026'!D77&lt;&gt;"",'MAYO 2026'!Z77="POR RECOGER"),'MAYO 2026'!D77,"")</f>
        <v/>
      </c>
      <c r="D493" s="381">
        <f>IF(AND('MAYO 2026'!D77&lt;&gt;"",'MAYO 2026'!Z77="POR RECOGER"),'MAYO 2026'!F77,"")</f>
        <v/>
      </c>
      <c r="E493" s="381">
        <f>IF(AND('MAYO 2026'!D77&lt;&gt;"",'MAYO 2026'!Z77="POR RECOGER"),TEXT('MAYO 2026'!G77,"DD/MM/YYYY"),"")</f>
        <v/>
      </c>
      <c r="F493" s="381">
        <f>IF(AND('MAYO 2026'!D77&lt;&gt;"",'MAYO 2026'!Z77="POR RECOGER"),'MAYO 2026'!K77,"")</f>
        <v/>
      </c>
      <c r="G493" s="382">
        <f>IF(AND('MAYO 2026'!D77&lt;&gt;"",'MAYO 2026'!Z77="POR RECOGER"),'MAYO 2026'!M77,"")</f>
        <v/>
      </c>
      <c r="H493" s="382">
        <f>IF(AND('MAYO 2026'!D77&lt;&gt;"",'MAYO 2026'!Z77="POR RECOGER"),'MAYO 2026'!N77,"")</f>
        <v/>
      </c>
      <c r="I493" s="381">
        <f>IF(AND('MAYO 2026'!D77&lt;&gt;"",'MAYO 2026'!Z77="POR RECOGER"),'MAYO 2026'!P77,"")</f>
        <v/>
      </c>
      <c r="J493" s="381">
        <f>IF(AND('MAYO 2026'!D77&lt;&gt;"",'MAYO 2026'!Z77="POR RECOGER"),'MAYO 2026'!Q77,"")</f>
        <v/>
      </c>
      <c r="K493" s="381">
        <f>IF(AND('MAYO 2026'!D77&lt;&gt;"",'MAYO 2026'!Z77="POR RECOGER"),'MAYO 2026'!Y77,"")</f>
        <v/>
      </c>
      <c r="L493" s="381">
        <f>IF(AND('MAYO 2026'!D77&lt;&gt;"",'MAYO 2026'!Z77="POR RECOGER"),'MAYO 2026'!I77,"")</f>
        <v/>
      </c>
      <c r="P493" s="194" t="n"/>
      <c r="Q493" s="194" t="n"/>
      <c r="R493" s="194" t="n"/>
      <c r="S493" s="194" t="n"/>
      <c r="T493" s="194" t="n"/>
      <c r="U493" s="194" t="n"/>
      <c r="V493" s="194" t="n"/>
      <c r="W493" s="194" t="n"/>
      <c r="X493" s="194" t="n"/>
      <c r="Y493" s="194" t="n"/>
      <c r="Z493" s="194" t="n"/>
    </row>
    <row r="494" ht="15" customHeight="1" s="195">
      <c r="A494" s="381">
        <f>IF(AND('MAYO 2026'!D78&lt;&gt;"",'MAYO 2026'!Z78="POR RECOGER"),"MAY","")</f>
        <v/>
      </c>
      <c r="B494" s="381">
        <f>IF(AND('MAYO 2026'!D78&lt;&gt;"",'MAYO 2026'!Z78="POR RECOGER"),IF('MAYO 2026'!Y78&lt;&gt;"",'MAYO 2026'!Y78,'MAYO 2026'!I78),"")</f>
        <v/>
      </c>
      <c r="C494" s="381">
        <f>IF(AND('MAYO 2026'!D78&lt;&gt;"",'MAYO 2026'!Z78="POR RECOGER"),'MAYO 2026'!D78,"")</f>
        <v/>
      </c>
      <c r="D494" s="381">
        <f>IF(AND('MAYO 2026'!D78&lt;&gt;"",'MAYO 2026'!Z78="POR RECOGER"),'MAYO 2026'!F78,"")</f>
        <v/>
      </c>
      <c r="E494" s="381">
        <f>IF(AND('MAYO 2026'!D78&lt;&gt;"",'MAYO 2026'!Z78="POR RECOGER"),TEXT('MAYO 2026'!G78,"DD/MM/YYYY"),"")</f>
        <v/>
      </c>
      <c r="F494" s="381">
        <f>IF(AND('MAYO 2026'!D78&lt;&gt;"",'MAYO 2026'!Z78="POR RECOGER"),'MAYO 2026'!K78,"")</f>
        <v/>
      </c>
      <c r="G494" s="382">
        <f>IF(AND('MAYO 2026'!D78&lt;&gt;"",'MAYO 2026'!Z78="POR RECOGER"),'MAYO 2026'!M78,"")</f>
        <v/>
      </c>
      <c r="H494" s="382">
        <f>IF(AND('MAYO 2026'!D78&lt;&gt;"",'MAYO 2026'!Z78="POR RECOGER"),'MAYO 2026'!N78,"")</f>
        <v/>
      </c>
      <c r="I494" s="381">
        <f>IF(AND('MAYO 2026'!D78&lt;&gt;"",'MAYO 2026'!Z78="POR RECOGER"),'MAYO 2026'!P78,"")</f>
        <v/>
      </c>
      <c r="J494" s="381">
        <f>IF(AND('MAYO 2026'!D78&lt;&gt;"",'MAYO 2026'!Z78="POR RECOGER"),'MAYO 2026'!Q78,"")</f>
        <v/>
      </c>
      <c r="K494" s="381">
        <f>IF(AND('MAYO 2026'!D78&lt;&gt;"",'MAYO 2026'!Z78="POR RECOGER"),'MAYO 2026'!Y78,"")</f>
        <v/>
      </c>
      <c r="L494" s="381">
        <f>IF(AND('MAYO 2026'!D78&lt;&gt;"",'MAYO 2026'!Z78="POR RECOGER"),'MAYO 2026'!I78,"")</f>
        <v/>
      </c>
      <c r="P494" s="194" t="n"/>
      <c r="Q494" s="194" t="n"/>
      <c r="R494" s="194" t="n"/>
      <c r="S494" s="194" t="n"/>
      <c r="T494" s="194" t="n"/>
      <c r="U494" s="194" t="n"/>
      <c r="V494" s="194" t="n"/>
      <c r="W494" s="194" t="n"/>
      <c r="X494" s="194" t="n"/>
      <c r="Y494" s="194" t="n"/>
      <c r="Z494" s="194" t="n"/>
    </row>
    <row r="495" ht="15" customHeight="1" s="195">
      <c r="A495" s="381">
        <f>IF(AND('MAYO 2026'!D79&lt;&gt;"",'MAYO 2026'!Z79="POR RECOGER"),"MAY","")</f>
        <v/>
      </c>
      <c r="B495" s="381">
        <f>IF(AND('MAYO 2026'!D79&lt;&gt;"",'MAYO 2026'!Z79="POR RECOGER"),IF('MAYO 2026'!Y79&lt;&gt;"",'MAYO 2026'!Y79,'MAYO 2026'!I79),"")</f>
        <v/>
      </c>
      <c r="C495" s="381">
        <f>IF(AND('MAYO 2026'!D79&lt;&gt;"",'MAYO 2026'!Z79="POR RECOGER"),'MAYO 2026'!D79,"")</f>
        <v/>
      </c>
      <c r="D495" s="381">
        <f>IF(AND('MAYO 2026'!D79&lt;&gt;"",'MAYO 2026'!Z79="POR RECOGER"),'MAYO 2026'!F79,"")</f>
        <v/>
      </c>
      <c r="E495" s="381">
        <f>IF(AND('MAYO 2026'!D79&lt;&gt;"",'MAYO 2026'!Z79="POR RECOGER"),TEXT('MAYO 2026'!G79,"DD/MM/YYYY"),"")</f>
        <v/>
      </c>
      <c r="F495" s="381">
        <f>IF(AND('MAYO 2026'!D79&lt;&gt;"",'MAYO 2026'!Z79="POR RECOGER"),'MAYO 2026'!K79,"")</f>
        <v/>
      </c>
      <c r="G495" s="382">
        <f>IF(AND('MAYO 2026'!D79&lt;&gt;"",'MAYO 2026'!Z79="POR RECOGER"),'MAYO 2026'!M79,"")</f>
        <v/>
      </c>
      <c r="H495" s="382">
        <f>IF(AND('MAYO 2026'!D79&lt;&gt;"",'MAYO 2026'!Z79="POR RECOGER"),'MAYO 2026'!N79,"")</f>
        <v/>
      </c>
      <c r="I495" s="381">
        <f>IF(AND('MAYO 2026'!D79&lt;&gt;"",'MAYO 2026'!Z79="POR RECOGER"),'MAYO 2026'!P79,"")</f>
        <v/>
      </c>
      <c r="J495" s="381">
        <f>IF(AND('MAYO 2026'!D79&lt;&gt;"",'MAYO 2026'!Z79="POR RECOGER"),'MAYO 2026'!Q79,"")</f>
        <v/>
      </c>
      <c r="K495" s="381">
        <f>IF(AND('MAYO 2026'!D79&lt;&gt;"",'MAYO 2026'!Z79="POR RECOGER"),'MAYO 2026'!Y79,"")</f>
        <v/>
      </c>
      <c r="L495" s="381">
        <f>IF(AND('MAYO 2026'!D79&lt;&gt;"",'MAYO 2026'!Z79="POR RECOGER"),'MAYO 2026'!I79,"")</f>
        <v/>
      </c>
      <c r="P495" s="194" t="n"/>
      <c r="Q495" s="194" t="n"/>
      <c r="R495" s="194" t="n"/>
      <c r="S495" s="194" t="n"/>
      <c r="T495" s="194" t="n"/>
      <c r="U495" s="194" t="n"/>
      <c r="V495" s="194" t="n"/>
      <c r="W495" s="194" t="n"/>
      <c r="X495" s="194" t="n"/>
      <c r="Y495" s="194" t="n"/>
      <c r="Z495" s="194" t="n"/>
    </row>
    <row r="496" ht="15" customHeight="1" s="195">
      <c r="A496" s="381">
        <f>IF(AND('MAYO 2026'!D80&lt;&gt;"",'MAYO 2026'!Z80="POR RECOGER"),"MAY","")</f>
        <v/>
      </c>
      <c r="B496" s="381">
        <f>IF(AND('MAYO 2026'!D80&lt;&gt;"",'MAYO 2026'!Z80="POR RECOGER"),IF('MAYO 2026'!Y80&lt;&gt;"",'MAYO 2026'!Y80,'MAYO 2026'!I80),"")</f>
        <v/>
      </c>
      <c r="C496" s="381">
        <f>IF(AND('MAYO 2026'!D80&lt;&gt;"",'MAYO 2026'!Z80="POR RECOGER"),'MAYO 2026'!D80,"")</f>
        <v/>
      </c>
      <c r="D496" s="381">
        <f>IF(AND('MAYO 2026'!D80&lt;&gt;"",'MAYO 2026'!Z80="POR RECOGER"),'MAYO 2026'!F80,"")</f>
        <v/>
      </c>
      <c r="E496" s="381">
        <f>IF(AND('MAYO 2026'!D80&lt;&gt;"",'MAYO 2026'!Z80="POR RECOGER"),TEXT('MAYO 2026'!G80,"DD/MM/YYYY"),"")</f>
        <v/>
      </c>
      <c r="F496" s="381">
        <f>IF(AND('MAYO 2026'!D80&lt;&gt;"",'MAYO 2026'!Z80="POR RECOGER"),'MAYO 2026'!K80,"")</f>
        <v/>
      </c>
      <c r="G496" s="382">
        <f>IF(AND('MAYO 2026'!D80&lt;&gt;"",'MAYO 2026'!Z80="POR RECOGER"),'MAYO 2026'!M80,"")</f>
        <v/>
      </c>
      <c r="H496" s="382">
        <f>IF(AND('MAYO 2026'!D80&lt;&gt;"",'MAYO 2026'!Z80="POR RECOGER"),'MAYO 2026'!N80,"")</f>
        <v/>
      </c>
      <c r="I496" s="381">
        <f>IF(AND('MAYO 2026'!D80&lt;&gt;"",'MAYO 2026'!Z80="POR RECOGER"),'MAYO 2026'!P80,"")</f>
        <v/>
      </c>
      <c r="J496" s="381">
        <f>IF(AND('MAYO 2026'!D80&lt;&gt;"",'MAYO 2026'!Z80="POR RECOGER"),'MAYO 2026'!Q80,"")</f>
        <v/>
      </c>
      <c r="K496" s="381">
        <f>IF(AND('MAYO 2026'!D80&lt;&gt;"",'MAYO 2026'!Z80="POR RECOGER"),'MAYO 2026'!Y80,"")</f>
        <v/>
      </c>
      <c r="L496" s="381">
        <f>IF(AND('MAYO 2026'!D80&lt;&gt;"",'MAYO 2026'!Z80="POR RECOGER"),'MAYO 2026'!I80,"")</f>
        <v/>
      </c>
      <c r="P496" s="194" t="n"/>
      <c r="Q496" s="194" t="n"/>
      <c r="R496" s="194" t="n"/>
      <c r="S496" s="194" t="n"/>
      <c r="T496" s="194" t="n"/>
      <c r="U496" s="194" t="n"/>
      <c r="V496" s="194" t="n"/>
      <c r="W496" s="194" t="n"/>
      <c r="X496" s="194" t="n"/>
      <c r="Y496" s="194" t="n"/>
      <c r="Z496" s="194" t="n"/>
    </row>
    <row r="497" ht="15" customHeight="1" s="195">
      <c r="A497" s="381">
        <f>IF(AND('MAYO 2026'!D81&lt;&gt;"",'MAYO 2026'!Z81="POR RECOGER"),"MAY","")</f>
        <v/>
      </c>
      <c r="B497" s="381">
        <f>IF(AND('MAYO 2026'!D81&lt;&gt;"",'MAYO 2026'!Z81="POR RECOGER"),IF('MAYO 2026'!Y81&lt;&gt;"",'MAYO 2026'!Y81,'MAYO 2026'!I81),"")</f>
        <v/>
      </c>
      <c r="C497" s="381">
        <f>IF(AND('MAYO 2026'!D81&lt;&gt;"",'MAYO 2026'!Z81="POR RECOGER"),'MAYO 2026'!D81,"")</f>
        <v/>
      </c>
      <c r="D497" s="381">
        <f>IF(AND('MAYO 2026'!D81&lt;&gt;"",'MAYO 2026'!Z81="POR RECOGER"),'MAYO 2026'!F81,"")</f>
        <v/>
      </c>
      <c r="E497" s="381">
        <f>IF(AND('MAYO 2026'!D81&lt;&gt;"",'MAYO 2026'!Z81="POR RECOGER"),TEXT('MAYO 2026'!G81,"DD/MM/YYYY"),"")</f>
        <v/>
      </c>
      <c r="F497" s="381">
        <f>IF(AND('MAYO 2026'!D81&lt;&gt;"",'MAYO 2026'!Z81="POR RECOGER"),'MAYO 2026'!K81,"")</f>
        <v/>
      </c>
      <c r="G497" s="382">
        <f>IF(AND('MAYO 2026'!D81&lt;&gt;"",'MAYO 2026'!Z81="POR RECOGER"),'MAYO 2026'!M81,"")</f>
        <v/>
      </c>
      <c r="H497" s="382">
        <f>IF(AND('MAYO 2026'!D81&lt;&gt;"",'MAYO 2026'!Z81="POR RECOGER"),'MAYO 2026'!N81,"")</f>
        <v/>
      </c>
      <c r="I497" s="381">
        <f>IF(AND('MAYO 2026'!D81&lt;&gt;"",'MAYO 2026'!Z81="POR RECOGER"),'MAYO 2026'!P81,"")</f>
        <v/>
      </c>
      <c r="J497" s="381">
        <f>IF(AND('MAYO 2026'!D81&lt;&gt;"",'MAYO 2026'!Z81="POR RECOGER"),'MAYO 2026'!Q81,"")</f>
        <v/>
      </c>
      <c r="K497" s="381">
        <f>IF(AND('MAYO 2026'!D81&lt;&gt;"",'MAYO 2026'!Z81="POR RECOGER"),'MAYO 2026'!Y81,"")</f>
        <v/>
      </c>
      <c r="L497" s="381">
        <f>IF(AND('MAYO 2026'!D81&lt;&gt;"",'MAYO 2026'!Z81="POR RECOGER"),'MAYO 2026'!I81,"")</f>
        <v/>
      </c>
      <c r="P497" s="194" t="n"/>
      <c r="Q497" s="194" t="n"/>
      <c r="R497" s="194" t="n"/>
      <c r="S497" s="194" t="n"/>
      <c r="T497" s="194" t="n"/>
      <c r="U497" s="194" t="n"/>
      <c r="V497" s="194" t="n"/>
      <c r="W497" s="194" t="n"/>
      <c r="X497" s="194" t="n"/>
      <c r="Y497" s="194" t="n"/>
      <c r="Z497" s="194" t="n"/>
    </row>
    <row r="498" ht="15" customHeight="1" s="195">
      <c r="A498" s="381">
        <f>IF(AND('MAYO 2026'!D82&lt;&gt;"",'MAYO 2026'!Z82="POR RECOGER"),"MAY","")</f>
        <v/>
      </c>
      <c r="B498" s="381">
        <f>IF(AND('MAYO 2026'!D82&lt;&gt;"",'MAYO 2026'!Z82="POR RECOGER"),IF('MAYO 2026'!Y82&lt;&gt;"",'MAYO 2026'!Y82,'MAYO 2026'!I82),"")</f>
        <v/>
      </c>
      <c r="C498" s="381">
        <f>IF(AND('MAYO 2026'!D82&lt;&gt;"",'MAYO 2026'!Z82="POR RECOGER"),'MAYO 2026'!D82,"")</f>
        <v/>
      </c>
      <c r="D498" s="381">
        <f>IF(AND('MAYO 2026'!D82&lt;&gt;"",'MAYO 2026'!Z82="POR RECOGER"),'MAYO 2026'!F82,"")</f>
        <v/>
      </c>
      <c r="E498" s="381">
        <f>IF(AND('MAYO 2026'!D82&lt;&gt;"",'MAYO 2026'!Z82="POR RECOGER"),TEXT('MAYO 2026'!G82,"DD/MM/YYYY"),"")</f>
        <v/>
      </c>
      <c r="F498" s="381">
        <f>IF(AND('MAYO 2026'!D82&lt;&gt;"",'MAYO 2026'!Z82="POR RECOGER"),'MAYO 2026'!K82,"")</f>
        <v/>
      </c>
      <c r="G498" s="382">
        <f>IF(AND('MAYO 2026'!D82&lt;&gt;"",'MAYO 2026'!Z82="POR RECOGER"),'MAYO 2026'!M82,"")</f>
        <v/>
      </c>
      <c r="H498" s="382">
        <f>IF(AND('MAYO 2026'!D82&lt;&gt;"",'MAYO 2026'!Z82="POR RECOGER"),'MAYO 2026'!N82,"")</f>
        <v/>
      </c>
      <c r="I498" s="381">
        <f>IF(AND('MAYO 2026'!D82&lt;&gt;"",'MAYO 2026'!Z82="POR RECOGER"),'MAYO 2026'!P82,"")</f>
        <v/>
      </c>
      <c r="J498" s="381">
        <f>IF(AND('MAYO 2026'!D82&lt;&gt;"",'MAYO 2026'!Z82="POR RECOGER"),'MAYO 2026'!Q82,"")</f>
        <v/>
      </c>
      <c r="K498" s="381">
        <f>IF(AND('MAYO 2026'!D82&lt;&gt;"",'MAYO 2026'!Z82="POR RECOGER"),'MAYO 2026'!Y82,"")</f>
        <v/>
      </c>
      <c r="L498" s="381">
        <f>IF(AND('MAYO 2026'!D82&lt;&gt;"",'MAYO 2026'!Z82="POR RECOGER"),'MAYO 2026'!I82,"")</f>
        <v/>
      </c>
      <c r="P498" s="194" t="n"/>
      <c r="Q498" s="194" t="n"/>
      <c r="R498" s="194" t="n"/>
      <c r="S498" s="194" t="n"/>
      <c r="T498" s="194" t="n"/>
      <c r="U498" s="194" t="n"/>
      <c r="V498" s="194" t="n"/>
      <c r="W498" s="194" t="n"/>
      <c r="X498" s="194" t="n"/>
      <c r="Y498" s="194" t="n"/>
      <c r="Z498" s="194" t="n"/>
    </row>
    <row r="499" ht="15" customHeight="1" s="195">
      <c r="A499" s="381">
        <f>IF(AND('MAYO 2026'!D83&lt;&gt;"",'MAYO 2026'!Z83="POR RECOGER"),"MAY","")</f>
        <v/>
      </c>
      <c r="B499" s="381">
        <f>IF(AND('MAYO 2026'!D83&lt;&gt;"",'MAYO 2026'!Z83="POR RECOGER"),IF('MAYO 2026'!Y83&lt;&gt;"",'MAYO 2026'!Y83,'MAYO 2026'!I83),"")</f>
        <v/>
      </c>
      <c r="C499" s="381">
        <f>IF(AND('MAYO 2026'!D83&lt;&gt;"",'MAYO 2026'!Z83="POR RECOGER"),'MAYO 2026'!D83,"")</f>
        <v/>
      </c>
      <c r="D499" s="381">
        <f>IF(AND('MAYO 2026'!D83&lt;&gt;"",'MAYO 2026'!Z83="POR RECOGER"),'MAYO 2026'!F83,"")</f>
        <v/>
      </c>
      <c r="E499" s="381">
        <f>IF(AND('MAYO 2026'!D83&lt;&gt;"",'MAYO 2026'!Z83="POR RECOGER"),TEXT('MAYO 2026'!G83,"DD/MM/YYYY"),"")</f>
        <v/>
      </c>
      <c r="F499" s="381">
        <f>IF(AND('MAYO 2026'!D83&lt;&gt;"",'MAYO 2026'!Z83="POR RECOGER"),'MAYO 2026'!K83,"")</f>
        <v/>
      </c>
      <c r="G499" s="382">
        <f>IF(AND('MAYO 2026'!D83&lt;&gt;"",'MAYO 2026'!Z83="POR RECOGER"),'MAYO 2026'!M83,"")</f>
        <v/>
      </c>
      <c r="H499" s="382">
        <f>IF(AND('MAYO 2026'!D83&lt;&gt;"",'MAYO 2026'!Z83="POR RECOGER"),'MAYO 2026'!N83,"")</f>
        <v/>
      </c>
      <c r="I499" s="381">
        <f>IF(AND('MAYO 2026'!D83&lt;&gt;"",'MAYO 2026'!Z83="POR RECOGER"),'MAYO 2026'!P83,"")</f>
        <v/>
      </c>
      <c r="J499" s="381">
        <f>IF(AND('MAYO 2026'!D83&lt;&gt;"",'MAYO 2026'!Z83="POR RECOGER"),'MAYO 2026'!Q83,"")</f>
        <v/>
      </c>
      <c r="K499" s="381">
        <f>IF(AND('MAYO 2026'!D83&lt;&gt;"",'MAYO 2026'!Z83="POR RECOGER"),'MAYO 2026'!Y83,"")</f>
        <v/>
      </c>
      <c r="L499" s="381">
        <f>IF(AND('MAYO 2026'!D83&lt;&gt;"",'MAYO 2026'!Z83="POR RECOGER"),'MAYO 2026'!I83,"")</f>
        <v/>
      </c>
      <c r="P499" s="194" t="n"/>
      <c r="Q499" s="194" t="n"/>
      <c r="R499" s="194" t="n"/>
      <c r="S499" s="194" t="n"/>
      <c r="T499" s="194" t="n"/>
      <c r="U499" s="194" t="n"/>
      <c r="V499" s="194" t="n"/>
      <c r="W499" s="194" t="n"/>
      <c r="X499" s="194" t="n"/>
      <c r="Y499" s="194" t="n"/>
      <c r="Z499" s="194" t="n"/>
    </row>
    <row r="500" ht="15" customHeight="1" s="195">
      <c r="A500" s="381">
        <f>IF(AND('MAYO 2026'!D84&lt;&gt;"",'MAYO 2026'!Z84="POR RECOGER"),"MAY","")</f>
        <v/>
      </c>
      <c r="B500" s="381">
        <f>IF(AND('MAYO 2026'!D84&lt;&gt;"",'MAYO 2026'!Z84="POR RECOGER"),IF('MAYO 2026'!Y84&lt;&gt;"",'MAYO 2026'!Y84,'MAYO 2026'!I84),"")</f>
        <v/>
      </c>
      <c r="C500" s="381">
        <f>IF(AND('MAYO 2026'!D84&lt;&gt;"",'MAYO 2026'!Z84="POR RECOGER"),'MAYO 2026'!D84,"")</f>
        <v/>
      </c>
      <c r="D500" s="381">
        <f>IF(AND('MAYO 2026'!D84&lt;&gt;"",'MAYO 2026'!Z84="POR RECOGER"),'MAYO 2026'!F84,"")</f>
        <v/>
      </c>
      <c r="E500" s="381">
        <f>IF(AND('MAYO 2026'!D84&lt;&gt;"",'MAYO 2026'!Z84="POR RECOGER"),TEXT('MAYO 2026'!G84,"DD/MM/YYYY"),"")</f>
        <v/>
      </c>
      <c r="F500" s="381">
        <f>IF(AND('MAYO 2026'!D84&lt;&gt;"",'MAYO 2026'!Z84="POR RECOGER"),'MAYO 2026'!K84,"")</f>
        <v/>
      </c>
      <c r="G500" s="382">
        <f>IF(AND('MAYO 2026'!D84&lt;&gt;"",'MAYO 2026'!Z84="POR RECOGER"),'MAYO 2026'!M84,"")</f>
        <v/>
      </c>
      <c r="H500" s="382">
        <f>IF(AND('MAYO 2026'!D84&lt;&gt;"",'MAYO 2026'!Z84="POR RECOGER"),'MAYO 2026'!N84,"")</f>
        <v/>
      </c>
      <c r="I500" s="381">
        <f>IF(AND('MAYO 2026'!D84&lt;&gt;"",'MAYO 2026'!Z84="POR RECOGER"),'MAYO 2026'!P84,"")</f>
        <v/>
      </c>
      <c r="J500" s="381">
        <f>IF(AND('MAYO 2026'!D84&lt;&gt;"",'MAYO 2026'!Z84="POR RECOGER"),'MAYO 2026'!Q84,"")</f>
        <v/>
      </c>
      <c r="K500" s="381">
        <f>IF(AND('MAYO 2026'!D84&lt;&gt;"",'MAYO 2026'!Z84="POR RECOGER"),'MAYO 2026'!Y84,"")</f>
        <v/>
      </c>
      <c r="L500" s="381">
        <f>IF(AND('MAYO 2026'!D84&lt;&gt;"",'MAYO 2026'!Z84="POR RECOGER"),'MAYO 2026'!I84,"")</f>
        <v/>
      </c>
      <c r="P500" s="194" t="n"/>
      <c r="Q500" s="194" t="n"/>
      <c r="R500" s="194" t="n"/>
      <c r="S500" s="194" t="n"/>
      <c r="T500" s="194" t="n"/>
      <c r="U500" s="194" t="n"/>
      <c r="V500" s="194" t="n"/>
      <c r="W500" s="194" t="n"/>
      <c r="X500" s="194" t="n"/>
      <c r="Y500" s="194" t="n"/>
      <c r="Z500" s="194" t="n"/>
    </row>
    <row r="501" ht="15" customHeight="1" s="195">
      <c r="A501" s="381">
        <f>IF(AND('MAYO 2026'!D85&lt;&gt;"",'MAYO 2026'!Z85="POR RECOGER"),"MAY","")</f>
        <v/>
      </c>
      <c r="B501" s="381">
        <f>IF(AND('MAYO 2026'!D85&lt;&gt;"",'MAYO 2026'!Z85="POR RECOGER"),IF('MAYO 2026'!Y85&lt;&gt;"",'MAYO 2026'!Y85,'MAYO 2026'!I85),"")</f>
        <v/>
      </c>
      <c r="C501" s="381">
        <f>IF(AND('MAYO 2026'!D85&lt;&gt;"",'MAYO 2026'!Z85="POR RECOGER"),'MAYO 2026'!D85,"")</f>
        <v/>
      </c>
      <c r="D501" s="381">
        <f>IF(AND('MAYO 2026'!D85&lt;&gt;"",'MAYO 2026'!Z85="POR RECOGER"),'MAYO 2026'!F85,"")</f>
        <v/>
      </c>
      <c r="E501" s="381">
        <f>IF(AND('MAYO 2026'!D85&lt;&gt;"",'MAYO 2026'!Z85="POR RECOGER"),TEXT('MAYO 2026'!G85,"DD/MM/YYYY"),"")</f>
        <v/>
      </c>
      <c r="F501" s="381">
        <f>IF(AND('MAYO 2026'!D85&lt;&gt;"",'MAYO 2026'!Z85="POR RECOGER"),'MAYO 2026'!K85,"")</f>
        <v/>
      </c>
      <c r="G501" s="382">
        <f>IF(AND('MAYO 2026'!D85&lt;&gt;"",'MAYO 2026'!Z85="POR RECOGER"),'MAYO 2026'!M85,"")</f>
        <v/>
      </c>
      <c r="H501" s="382">
        <f>IF(AND('MAYO 2026'!D85&lt;&gt;"",'MAYO 2026'!Z85="POR RECOGER"),'MAYO 2026'!N85,"")</f>
        <v/>
      </c>
      <c r="I501" s="381">
        <f>IF(AND('MAYO 2026'!D85&lt;&gt;"",'MAYO 2026'!Z85="POR RECOGER"),'MAYO 2026'!P85,"")</f>
        <v/>
      </c>
      <c r="J501" s="381">
        <f>IF(AND('MAYO 2026'!D85&lt;&gt;"",'MAYO 2026'!Z85="POR RECOGER"),'MAYO 2026'!Q85,"")</f>
        <v/>
      </c>
      <c r="K501" s="381">
        <f>IF(AND('MAYO 2026'!D85&lt;&gt;"",'MAYO 2026'!Z85="POR RECOGER"),'MAYO 2026'!Y85,"")</f>
        <v/>
      </c>
      <c r="L501" s="381">
        <f>IF(AND('MAYO 2026'!D85&lt;&gt;"",'MAYO 2026'!Z85="POR RECOGER"),'MAYO 2026'!I85,"")</f>
        <v/>
      </c>
      <c r="P501" s="194" t="n"/>
      <c r="Q501" s="194" t="n"/>
      <c r="R501" s="194" t="n"/>
      <c r="S501" s="194" t="n"/>
      <c r="T501" s="194" t="n"/>
      <c r="U501" s="194" t="n"/>
      <c r="V501" s="194" t="n"/>
      <c r="W501" s="194" t="n"/>
      <c r="X501" s="194" t="n"/>
      <c r="Y501" s="194" t="n"/>
      <c r="Z501" s="194" t="n"/>
    </row>
    <row r="502" ht="15" customHeight="1" s="195">
      <c r="A502" s="381">
        <f>IF(AND('MAYO 2026'!D86&lt;&gt;"",'MAYO 2026'!Z86="POR RECOGER"),"MAY","")</f>
        <v/>
      </c>
      <c r="B502" s="381">
        <f>IF(AND('MAYO 2026'!D86&lt;&gt;"",'MAYO 2026'!Z86="POR RECOGER"),IF('MAYO 2026'!Y86&lt;&gt;"",'MAYO 2026'!Y86,'MAYO 2026'!I86),"")</f>
        <v/>
      </c>
      <c r="C502" s="381">
        <f>IF(AND('MAYO 2026'!D86&lt;&gt;"",'MAYO 2026'!Z86="POR RECOGER"),'MAYO 2026'!D86,"")</f>
        <v/>
      </c>
      <c r="D502" s="381">
        <f>IF(AND('MAYO 2026'!D86&lt;&gt;"",'MAYO 2026'!Z86="POR RECOGER"),'MAYO 2026'!F86,"")</f>
        <v/>
      </c>
      <c r="E502" s="381">
        <f>IF(AND('MAYO 2026'!D86&lt;&gt;"",'MAYO 2026'!Z86="POR RECOGER"),TEXT('MAYO 2026'!G86,"DD/MM/YYYY"),"")</f>
        <v/>
      </c>
      <c r="F502" s="381">
        <f>IF(AND('MAYO 2026'!D86&lt;&gt;"",'MAYO 2026'!Z86="POR RECOGER"),'MAYO 2026'!K86,"")</f>
        <v/>
      </c>
      <c r="G502" s="382">
        <f>IF(AND('MAYO 2026'!D86&lt;&gt;"",'MAYO 2026'!Z86="POR RECOGER"),'MAYO 2026'!M86,"")</f>
        <v/>
      </c>
      <c r="H502" s="382">
        <f>IF(AND('MAYO 2026'!D86&lt;&gt;"",'MAYO 2026'!Z86="POR RECOGER"),'MAYO 2026'!N86,"")</f>
        <v/>
      </c>
      <c r="I502" s="381">
        <f>IF(AND('MAYO 2026'!D86&lt;&gt;"",'MAYO 2026'!Z86="POR RECOGER"),'MAYO 2026'!P86,"")</f>
        <v/>
      </c>
      <c r="J502" s="381">
        <f>IF(AND('MAYO 2026'!D86&lt;&gt;"",'MAYO 2026'!Z86="POR RECOGER"),'MAYO 2026'!Q86,"")</f>
        <v/>
      </c>
      <c r="K502" s="381">
        <f>IF(AND('MAYO 2026'!D86&lt;&gt;"",'MAYO 2026'!Z86="POR RECOGER"),'MAYO 2026'!Y86,"")</f>
        <v/>
      </c>
      <c r="L502" s="381">
        <f>IF(AND('MAYO 2026'!D86&lt;&gt;"",'MAYO 2026'!Z86="POR RECOGER"),'MAYO 2026'!I86,"")</f>
        <v/>
      </c>
      <c r="P502" s="194" t="n"/>
      <c r="Q502" s="194" t="n"/>
      <c r="R502" s="194" t="n"/>
      <c r="S502" s="194" t="n"/>
      <c r="T502" s="194" t="n"/>
      <c r="U502" s="194" t="n"/>
      <c r="V502" s="194" t="n"/>
      <c r="W502" s="194" t="n"/>
      <c r="X502" s="194" t="n"/>
      <c r="Y502" s="194" t="n"/>
      <c r="Z502" s="194" t="n"/>
    </row>
    <row r="503" ht="15" customHeight="1" s="195">
      <c r="A503" s="381">
        <f>IF(AND('MAYO 2026'!D87&lt;&gt;"",'MAYO 2026'!Z87="POR RECOGER"),"MAY","")</f>
        <v/>
      </c>
      <c r="B503" s="381">
        <f>IF(AND('MAYO 2026'!D87&lt;&gt;"",'MAYO 2026'!Z87="POR RECOGER"),IF('MAYO 2026'!Y87&lt;&gt;"",'MAYO 2026'!Y87,'MAYO 2026'!I87),"")</f>
        <v/>
      </c>
      <c r="C503" s="381">
        <f>IF(AND('MAYO 2026'!D87&lt;&gt;"",'MAYO 2026'!Z87="POR RECOGER"),'MAYO 2026'!D87,"")</f>
        <v/>
      </c>
      <c r="D503" s="381">
        <f>IF(AND('MAYO 2026'!D87&lt;&gt;"",'MAYO 2026'!Z87="POR RECOGER"),'MAYO 2026'!F87,"")</f>
        <v/>
      </c>
      <c r="E503" s="381">
        <f>IF(AND('MAYO 2026'!D87&lt;&gt;"",'MAYO 2026'!Z87="POR RECOGER"),TEXT('MAYO 2026'!G87,"DD/MM/YYYY"),"")</f>
        <v/>
      </c>
      <c r="F503" s="381">
        <f>IF(AND('MAYO 2026'!D87&lt;&gt;"",'MAYO 2026'!Z87="POR RECOGER"),'MAYO 2026'!K87,"")</f>
        <v/>
      </c>
      <c r="G503" s="382">
        <f>IF(AND('MAYO 2026'!D87&lt;&gt;"",'MAYO 2026'!Z87="POR RECOGER"),'MAYO 2026'!M87,"")</f>
        <v/>
      </c>
      <c r="H503" s="382">
        <f>IF(AND('MAYO 2026'!D87&lt;&gt;"",'MAYO 2026'!Z87="POR RECOGER"),'MAYO 2026'!N87,"")</f>
        <v/>
      </c>
      <c r="I503" s="381">
        <f>IF(AND('MAYO 2026'!D87&lt;&gt;"",'MAYO 2026'!Z87="POR RECOGER"),'MAYO 2026'!P87,"")</f>
        <v/>
      </c>
      <c r="J503" s="381">
        <f>IF(AND('MAYO 2026'!D87&lt;&gt;"",'MAYO 2026'!Z87="POR RECOGER"),'MAYO 2026'!Q87,"")</f>
        <v/>
      </c>
      <c r="K503" s="381">
        <f>IF(AND('MAYO 2026'!D87&lt;&gt;"",'MAYO 2026'!Z87="POR RECOGER"),'MAYO 2026'!Y87,"")</f>
        <v/>
      </c>
      <c r="L503" s="381">
        <f>IF(AND('MAYO 2026'!D87&lt;&gt;"",'MAYO 2026'!Z87="POR RECOGER"),'MAYO 2026'!I87,"")</f>
        <v/>
      </c>
      <c r="P503" s="194" t="n"/>
      <c r="Q503" s="194" t="n"/>
      <c r="R503" s="194" t="n"/>
      <c r="S503" s="194" t="n"/>
      <c r="T503" s="194" t="n"/>
      <c r="U503" s="194" t="n"/>
      <c r="V503" s="194" t="n"/>
      <c r="W503" s="194" t="n"/>
      <c r="X503" s="194" t="n"/>
      <c r="Y503" s="194" t="n"/>
      <c r="Z503" s="194" t="n"/>
    </row>
    <row r="504" ht="15" customHeight="1" s="195">
      <c r="A504" s="381">
        <f>IF(AND('MAYO 2026'!D88&lt;&gt;"",'MAYO 2026'!Z88="POR RECOGER"),"MAY","")</f>
        <v/>
      </c>
      <c r="B504" s="381">
        <f>IF(AND('MAYO 2026'!D88&lt;&gt;"",'MAYO 2026'!Z88="POR RECOGER"),IF('MAYO 2026'!Y88&lt;&gt;"",'MAYO 2026'!Y88,'MAYO 2026'!I88),"")</f>
        <v/>
      </c>
      <c r="C504" s="381">
        <f>IF(AND('MAYO 2026'!D88&lt;&gt;"",'MAYO 2026'!Z88="POR RECOGER"),'MAYO 2026'!D88,"")</f>
        <v/>
      </c>
      <c r="D504" s="381">
        <f>IF(AND('MAYO 2026'!D88&lt;&gt;"",'MAYO 2026'!Z88="POR RECOGER"),'MAYO 2026'!F88,"")</f>
        <v/>
      </c>
      <c r="E504" s="381">
        <f>IF(AND('MAYO 2026'!D88&lt;&gt;"",'MAYO 2026'!Z88="POR RECOGER"),TEXT('MAYO 2026'!G88,"DD/MM/YYYY"),"")</f>
        <v/>
      </c>
      <c r="F504" s="381">
        <f>IF(AND('MAYO 2026'!D88&lt;&gt;"",'MAYO 2026'!Z88="POR RECOGER"),'MAYO 2026'!K88,"")</f>
        <v/>
      </c>
      <c r="G504" s="382">
        <f>IF(AND('MAYO 2026'!D88&lt;&gt;"",'MAYO 2026'!Z88="POR RECOGER"),'MAYO 2026'!M88,"")</f>
        <v/>
      </c>
      <c r="H504" s="382">
        <f>IF(AND('MAYO 2026'!D88&lt;&gt;"",'MAYO 2026'!Z88="POR RECOGER"),'MAYO 2026'!N88,"")</f>
        <v/>
      </c>
      <c r="I504" s="381">
        <f>IF(AND('MAYO 2026'!D88&lt;&gt;"",'MAYO 2026'!Z88="POR RECOGER"),'MAYO 2026'!P88,"")</f>
        <v/>
      </c>
      <c r="J504" s="381">
        <f>IF(AND('MAYO 2026'!D88&lt;&gt;"",'MAYO 2026'!Z88="POR RECOGER"),'MAYO 2026'!Q88,"")</f>
        <v/>
      </c>
      <c r="K504" s="381">
        <f>IF(AND('MAYO 2026'!D88&lt;&gt;"",'MAYO 2026'!Z88="POR RECOGER"),'MAYO 2026'!Y88,"")</f>
        <v/>
      </c>
      <c r="L504" s="381">
        <f>IF(AND('MAYO 2026'!D88&lt;&gt;"",'MAYO 2026'!Z88="POR RECOGER"),'MAYO 2026'!I88,"")</f>
        <v/>
      </c>
      <c r="P504" s="194" t="n"/>
      <c r="Q504" s="194" t="n"/>
      <c r="R504" s="194" t="n"/>
      <c r="S504" s="194" t="n"/>
      <c r="T504" s="194" t="n"/>
      <c r="U504" s="194" t="n"/>
      <c r="V504" s="194" t="n"/>
      <c r="W504" s="194" t="n"/>
      <c r="X504" s="194" t="n"/>
      <c r="Y504" s="194" t="n"/>
      <c r="Z504" s="194" t="n"/>
    </row>
    <row r="505" ht="15" customHeight="1" s="195">
      <c r="A505" s="381">
        <f>IF(AND('MAYO 2026'!D89&lt;&gt;"",'MAYO 2026'!Z89="POR RECOGER"),"MAY","")</f>
        <v/>
      </c>
      <c r="B505" s="381">
        <f>IF(AND('MAYO 2026'!D89&lt;&gt;"",'MAYO 2026'!Z89="POR RECOGER"),IF('MAYO 2026'!Y89&lt;&gt;"",'MAYO 2026'!Y89,'MAYO 2026'!I89),"")</f>
        <v/>
      </c>
      <c r="C505" s="381">
        <f>IF(AND('MAYO 2026'!D89&lt;&gt;"",'MAYO 2026'!Z89="POR RECOGER"),'MAYO 2026'!D89,"")</f>
        <v/>
      </c>
      <c r="D505" s="381">
        <f>IF(AND('MAYO 2026'!D89&lt;&gt;"",'MAYO 2026'!Z89="POR RECOGER"),'MAYO 2026'!F89,"")</f>
        <v/>
      </c>
      <c r="E505" s="381">
        <f>IF(AND('MAYO 2026'!D89&lt;&gt;"",'MAYO 2026'!Z89="POR RECOGER"),TEXT('MAYO 2026'!G89,"DD/MM/YYYY"),"")</f>
        <v/>
      </c>
      <c r="F505" s="381">
        <f>IF(AND('MAYO 2026'!D89&lt;&gt;"",'MAYO 2026'!Z89="POR RECOGER"),'MAYO 2026'!K89,"")</f>
        <v/>
      </c>
      <c r="G505" s="382">
        <f>IF(AND('MAYO 2026'!D89&lt;&gt;"",'MAYO 2026'!Z89="POR RECOGER"),'MAYO 2026'!M89,"")</f>
        <v/>
      </c>
      <c r="H505" s="382">
        <f>IF(AND('MAYO 2026'!D89&lt;&gt;"",'MAYO 2026'!Z89="POR RECOGER"),'MAYO 2026'!N89,"")</f>
        <v/>
      </c>
      <c r="I505" s="381">
        <f>IF(AND('MAYO 2026'!D89&lt;&gt;"",'MAYO 2026'!Z89="POR RECOGER"),'MAYO 2026'!P89,"")</f>
        <v/>
      </c>
      <c r="J505" s="381">
        <f>IF(AND('MAYO 2026'!D89&lt;&gt;"",'MAYO 2026'!Z89="POR RECOGER"),'MAYO 2026'!Q89,"")</f>
        <v/>
      </c>
      <c r="K505" s="381">
        <f>IF(AND('MAYO 2026'!D89&lt;&gt;"",'MAYO 2026'!Z89="POR RECOGER"),'MAYO 2026'!Y89,"")</f>
        <v/>
      </c>
      <c r="L505" s="381">
        <f>IF(AND('MAYO 2026'!D89&lt;&gt;"",'MAYO 2026'!Z89="POR RECOGER"),'MAYO 2026'!I89,"")</f>
        <v/>
      </c>
      <c r="P505" s="194" t="n"/>
      <c r="Q505" s="194" t="n"/>
      <c r="R505" s="194" t="n"/>
      <c r="S505" s="194" t="n"/>
      <c r="T505" s="194" t="n"/>
      <c r="U505" s="194" t="n"/>
      <c r="V505" s="194" t="n"/>
      <c r="W505" s="194" t="n"/>
      <c r="X505" s="194" t="n"/>
      <c r="Y505" s="194" t="n"/>
      <c r="Z505" s="194" t="n"/>
    </row>
    <row r="506" ht="15" customHeight="1" s="195">
      <c r="A506" s="381">
        <f>IF(AND('MAYO 2026'!D90&lt;&gt;"",'MAYO 2026'!Z90="POR RECOGER"),"MAY","")</f>
        <v/>
      </c>
      <c r="B506" s="381">
        <f>IF(AND('MAYO 2026'!D90&lt;&gt;"",'MAYO 2026'!Z90="POR RECOGER"),IF('MAYO 2026'!Y90&lt;&gt;"",'MAYO 2026'!Y90,'MAYO 2026'!I90),"")</f>
        <v/>
      </c>
      <c r="C506" s="381">
        <f>IF(AND('MAYO 2026'!D90&lt;&gt;"",'MAYO 2026'!Z90="POR RECOGER"),'MAYO 2026'!D90,"")</f>
        <v/>
      </c>
      <c r="D506" s="381">
        <f>IF(AND('MAYO 2026'!D90&lt;&gt;"",'MAYO 2026'!Z90="POR RECOGER"),'MAYO 2026'!F90,"")</f>
        <v/>
      </c>
      <c r="E506" s="381">
        <f>IF(AND('MAYO 2026'!D90&lt;&gt;"",'MAYO 2026'!Z90="POR RECOGER"),TEXT('MAYO 2026'!G90,"DD/MM/YYYY"),"")</f>
        <v/>
      </c>
      <c r="F506" s="381">
        <f>IF(AND('MAYO 2026'!D90&lt;&gt;"",'MAYO 2026'!Z90="POR RECOGER"),'MAYO 2026'!K90,"")</f>
        <v/>
      </c>
      <c r="G506" s="382">
        <f>IF(AND('MAYO 2026'!D90&lt;&gt;"",'MAYO 2026'!Z90="POR RECOGER"),'MAYO 2026'!M90,"")</f>
        <v/>
      </c>
      <c r="H506" s="382">
        <f>IF(AND('MAYO 2026'!D90&lt;&gt;"",'MAYO 2026'!Z90="POR RECOGER"),'MAYO 2026'!N90,"")</f>
        <v/>
      </c>
      <c r="I506" s="381">
        <f>IF(AND('MAYO 2026'!D90&lt;&gt;"",'MAYO 2026'!Z90="POR RECOGER"),'MAYO 2026'!P90,"")</f>
        <v/>
      </c>
      <c r="J506" s="381">
        <f>IF(AND('MAYO 2026'!D90&lt;&gt;"",'MAYO 2026'!Z90="POR RECOGER"),'MAYO 2026'!Q90,"")</f>
        <v/>
      </c>
      <c r="K506" s="381">
        <f>IF(AND('MAYO 2026'!D90&lt;&gt;"",'MAYO 2026'!Z90="POR RECOGER"),'MAYO 2026'!Y90,"")</f>
        <v/>
      </c>
      <c r="L506" s="381">
        <f>IF(AND('MAYO 2026'!D90&lt;&gt;"",'MAYO 2026'!Z90="POR RECOGER"),'MAYO 2026'!I90,"")</f>
        <v/>
      </c>
      <c r="P506" s="194" t="n"/>
      <c r="Q506" s="194" t="n"/>
      <c r="R506" s="194" t="n"/>
      <c r="S506" s="194" t="n"/>
      <c r="T506" s="194" t="n"/>
      <c r="U506" s="194" t="n"/>
      <c r="V506" s="194" t="n"/>
      <c r="W506" s="194" t="n"/>
      <c r="X506" s="194" t="n"/>
      <c r="Y506" s="194" t="n"/>
      <c r="Z506" s="194" t="n"/>
    </row>
    <row r="507" ht="15" customHeight="1" s="195">
      <c r="A507" s="381">
        <f>IF(AND('MAYO 2026'!D91&lt;&gt;"",'MAYO 2026'!Z91="POR RECOGER"),"MAY","")</f>
        <v/>
      </c>
      <c r="B507" s="381">
        <f>IF(AND('MAYO 2026'!D91&lt;&gt;"",'MAYO 2026'!Z91="POR RECOGER"),IF('MAYO 2026'!Y91&lt;&gt;"",'MAYO 2026'!Y91,'MAYO 2026'!I91),"")</f>
        <v/>
      </c>
      <c r="C507" s="381">
        <f>IF(AND('MAYO 2026'!D91&lt;&gt;"",'MAYO 2026'!Z91="POR RECOGER"),'MAYO 2026'!D91,"")</f>
        <v/>
      </c>
      <c r="D507" s="381">
        <f>IF(AND('MAYO 2026'!D91&lt;&gt;"",'MAYO 2026'!Z91="POR RECOGER"),'MAYO 2026'!F91,"")</f>
        <v/>
      </c>
      <c r="E507" s="381">
        <f>IF(AND('MAYO 2026'!D91&lt;&gt;"",'MAYO 2026'!Z91="POR RECOGER"),TEXT('MAYO 2026'!G91,"DD/MM/YYYY"),"")</f>
        <v/>
      </c>
      <c r="F507" s="381">
        <f>IF(AND('MAYO 2026'!D91&lt;&gt;"",'MAYO 2026'!Z91="POR RECOGER"),'MAYO 2026'!K91,"")</f>
        <v/>
      </c>
      <c r="G507" s="382">
        <f>IF(AND('MAYO 2026'!D91&lt;&gt;"",'MAYO 2026'!Z91="POR RECOGER"),'MAYO 2026'!M91,"")</f>
        <v/>
      </c>
      <c r="H507" s="382">
        <f>IF(AND('MAYO 2026'!D91&lt;&gt;"",'MAYO 2026'!Z91="POR RECOGER"),'MAYO 2026'!N91,"")</f>
        <v/>
      </c>
      <c r="I507" s="381">
        <f>IF(AND('MAYO 2026'!D91&lt;&gt;"",'MAYO 2026'!Z91="POR RECOGER"),'MAYO 2026'!P91,"")</f>
        <v/>
      </c>
      <c r="J507" s="381">
        <f>IF(AND('MAYO 2026'!D91&lt;&gt;"",'MAYO 2026'!Z91="POR RECOGER"),'MAYO 2026'!Q91,"")</f>
        <v/>
      </c>
      <c r="K507" s="381">
        <f>IF(AND('MAYO 2026'!D91&lt;&gt;"",'MAYO 2026'!Z91="POR RECOGER"),'MAYO 2026'!Y91,"")</f>
        <v/>
      </c>
      <c r="L507" s="381">
        <f>IF(AND('MAYO 2026'!D91&lt;&gt;"",'MAYO 2026'!Z91="POR RECOGER"),'MAYO 2026'!I91,"")</f>
        <v/>
      </c>
      <c r="P507" s="194" t="n"/>
      <c r="Q507" s="194" t="n"/>
      <c r="R507" s="194" t="n"/>
      <c r="S507" s="194" t="n"/>
      <c r="T507" s="194" t="n"/>
      <c r="U507" s="194" t="n"/>
      <c r="V507" s="194" t="n"/>
      <c r="W507" s="194" t="n"/>
      <c r="X507" s="194" t="n"/>
      <c r="Y507" s="194" t="n"/>
      <c r="Z507" s="194" t="n"/>
    </row>
    <row r="508" ht="15" customHeight="1" s="195">
      <c r="A508" s="381">
        <f>IF(AND('MAYO 2026'!D92&lt;&gt;"",'MAYO 2026'!Z92="POR RECOGER"),"MAY","")</f>
        <v/>
      </c>
      <c r="B508" s="381">
        <f>IF(AND('MAYO 2026'!D92&lt;&gt;"",'MAYO 2026'!Z92="POR RECOGER"),IF('MAYO 2026'!Y92&lt;&gt;"",'MAYO 2026'!Y92,'MAYO 2026'!I92),"")</f>
        <v/>
      </c>
      <c r="C508" s="381">
        <f>IF(AND('MAYO 2026'!D92&lt;&gt;"",'MAYO 2026'!Z92="POR RECOGER"),'MAYO 2026'!D92,"")</f>
        <v/>
      </c>
      <c r="D508" s="381">
        <f>IF(AND('MAYO 2026'!D92&lt;&gt;"",'MAYO 2026'!Z92="POR RECOGER"),'MAYO 2026'!F92,"")</f>
        <v/>
      </c>
      <c r="E508" s="381">
        <f>IF(AND('MAYO 2026'!D92&lt;&gt;"",'MAYO 2026'!Z92="POR RECOGER"),TEXT('MAYO 2026'!G92,"DD/MM/YYYY"),"")</f>
        <v/>
      </c>
      <c r="F508" s="381">
        <f>IF(AND('MAYO 2026'!D92&lt;&gt;"",'MAYO 2026'!Z92="POR RECOGER"),'MAYO 2026'!K92,"")</f>
        <v/>
      </c>
      <c r="G508" s="382">
        <f>IF(AND('MAYO 2026'!D92&lt;&gt;"",'MAYO 2026'!Z92="POR RECOGER"),'MAYO 2026'!M92,"")</f>
        <v/>
      </c>
      <c r="H508" s="382">
        <f>IF(AND('MAYO 2026'!D92&lt;&gt;"",'MAYO 2026'!Z92="POR RECOGER"),'MAYO 2026'!N92,"")</f>
        <v/>
      </c>
      <c r="I508" s="381">
        <f>IF(AND('MAYO 2026'!D92&lt;&gt;"",'MAYO 2026'!Z92="POR RECOGER"),'MAYO 2026'!P92,"")</f>
        <v/>
      </c>
      <c r="J508" s="381">
        <f>IF(AND('MAYO 2026'!D92&lt;&gt;"",'MAYO 2026'!Z92="POR RECOGER"),'MAYO 2026'!Q92,"")</f>
        <v/>
      </c>
      <c r="K508" s="381">
        <f>IF(AND('MAYO 2026'!D92&lt;&gt;"",'MAYO 2026'!Z92="POR RECOGER"),'MAYO 2026'!Y92,"")</f>
        <v/>
      </c>
      <c r="L508" s="381">
        <f>IF(AND('MAYO 2026'!D92&lt;&gt;"",'MAYO 2026'!Z92="POR RECOGER"),'MAYO 2026'!I92,"")</f>
        <v/>
      </c>
      <c r="P508" s="194" t="n"/>
      <c r="Q508" s="194" t="n"/>
      <c r="R508" s="194" t="n"/>
      <c r="S508" s="194" t="n"/>
      <c r="T508" s="194" t="n"/>
      <c r="U508" s="194" t="n"/>
      <c r="V508" s="194" t="n"/>
      <c r="W508" s="194" t="n"/>
      <c r="X508" s="194" t="n"/>
      <c r="Y508" s="194" t="n"/>
      <c r="Z508" s="194" t="n"/>
    </row>
    <row r="509" ht="15" customHeight="1" s="195">
      <c r="A509" s="381">
        <f>IF(AND('MAYO 2026'!D93&lt;&gt;"",'MAYO 2026'!Z93="POR RECOGER"),"MAY","")</f>
        <v/>
      </c>
      <c r="B509" s="381">
        <f>IF(AND('MAYO 2026'!D93&lt;&gt;"",'MAYO 2026'!Z93="POR RECOGER"),IF('MAYO 2026'!Y93&lt;&gt;"",'MAYO 2026'!Y93,'MAYO 2026'!I93),"")</f>
        <v/>
      </c>
      <c r="C509" s="381">
        <f>IF(AND('MAYO 2026'!D93&lt;&gt;"",'MAYO 2026'!Z93="POR RECOGER"),'MAYO 2026'!D93,"")</f>
        <v/>
      </c>
      <c r="D509" s="381">
        <f>IF(AND('MAYO 2026'!D93&lt;&gt;"",'MAYO 2026'!Z93="POR RECOGER"),'MAYO 2026'!F93,"")</f>
        <v/>
      </c>
      <c r="E509" s="381">
        <f>IF(AND('MAYO 2026'!D93&lt;&gt;"",'MAYO 2026'!Z93="POR RECOGER"),TEXT('MAYO 2026'!G93,"DD/MM/YYYY"),"")</f>
        <v/>
      </c>
      <c r="F509" s="381">
        <f>IF(AND('MAYO 2026'!D93&lt;&gt;"",'MAYO 2026'!Z93="POR RECOGER"),'MAYO 2026'!K93,"")</f>
        <v/>
      </c>
      <c r="G509" s="382">
        <f>IF(AND('MAYO 2026'!D93&lt;&gt;"",'MAYO 2026'!Z93="POR RECOGER"),'MAYO 2026'!M93,"")</f>
        <v/>
      </c>
      <c r="H509" s="382">
        <f>IF(AND('MAYO 2026'!D93&lt;&gt;"",'MAYO 2026'!Z93="POR RECOGER"),'MAYO 2026'!N93,"")</f>
        <v/>
      </c>
      <c r="I509" s="381">
        <f>IF(AND('MAYO 2026'!D93&lt;&gt;"",'MAYO 2026'!Z93="POR RECOGER"),'MAYO 2026'!P93,"")</f>
        <v/>
      </c>
      <c r="J509" s="381">
        <f>IF(AND('MAYO 2026'!D93&lt;&gt;"",'MAYO 2026'!Z93="POR RECOGER"),'MAYO 2026'!Q93,"")</f>
        <v/>
      </c>
      <c r="K509" s="381">
        <f>IF(AND('MAYO 2026'!D93&lt;&gt;"",'MAYO 2026'!Z93="POR RECOGER"),'MAYO 2026'!Y93,"")</f>
        <v/>
      </c>
      <c r="L509" s="381">
        <f>IF(AND('MAYO 2026'!D93&lt;&gt;"",'MAYO 2026'!Z93="POR RECOGER"),'MAYO 2026'!I93,"")</f>
        <v/>
      </c>
      <c r="P509" s="194" t="n"/>
      <c r="Q509" s="194" t="n"/>
      <c r="R509" s="194" t="n"/>
      <c r="S509" s="194" t="n"/>
      <c r="T509" s="194" t="n"/>
      <c r="U509" s="194" t="n"/>
      <c r="V509" s="194" t="n"/>
      <c r="W509" s="194" t="n"/>
      <c r="X509" s="194" t="n"/>
      <c r="Y509" s="194" t="n"/>
      <c r="Z509" s="194" t="n"/>
    </row>
    <row r="510" ht="15" customHeight="1" s="195">
      <c r="A510" s="381">
        <f>IF(AND('MAYO 2026'!D94&lt;&gt;"",'MAYO 2026'!Z94="POR RECOGER"),"MAY","")</f>
        <v/>
      </c>
      <c r="B510" s="381">
        <f>IF(AND('MAYO 2026'!D94&lt;&gt;"",'MAYO 2026'!Z94="POR RECOGER"),IF('MAYO 2026'!Y94&lt;&gt;"",'MAYO 2026'!Y94,'MAYO 2026'!I94),"")</f>
        <v/>
      </c>
      <c r="C510" s="381">
        <f>IF(AND('MAYO 2026'!D94&lt;&gt;"",'MAYO 2026'!Z94="POR RECOGER"),'MAYO 2026'!D94,"")</f>
        <v/>
      </c>
      <c r="D510" s="381">
        <f>IF(AND('MAYO 2026'!D94&lt;&gt;"",'MAYO 2026'!Z94="POR RECOGER"),'MAYO 2026'!F94,"")</f>
        <v/>
      </c>
      <c r="E510" s="381">
        <f>IF(AND('MAYO 2026'!D94&lt;&gt;"",'MAYO 2026'!Z94="POR RECOGER"),TEXT('MAYO 2026'!G94,"DD/MM/YYYY"),"")</f>
        <v/>
      </c>
      <c r="F510" s="381">
        <f>IF(AND('MAYO 2026'!D94&lt;&gt;"",'MAYO 2026'!Z94="POR RECOGER"),'MAYO 2026'!K94,"")</f>
        <v/>
      </c>
      <c r="G510" s="382">
        <f>IF(AND('MAYO 2026'!D94&lt;&gt;"",'MAYO 2026'!Z94="POR RECOGER"),'MAYO 2026'!M94,"")</f>
        <v/>
      </c>
      <c r="H510" s="382">
        <f>IF(AND('MAYO 2026'!D94&lt;&gt;"",'MAYO 2026'!Z94="POR RECOGER"),'MAYO 2026'!N94,"")</f>
        <v/>
      </c>
      <c r="I510" s="381">
        <f>IF(AND('MAYO 2026'!D94&lt;&gt;"",'MAYO 2026'!Z94="POR RECOGER"),'MAYO 2026'!P94,"")</f>
        <v/>
      </c>
      <c r="J510" s="381">
        <f>IF(AND('MAYO 2026'!D94&lt;&gt;"",'MAYO 2026'!Z94="POR RECOGER"),'MAYO 2026'!Q94,"")</f>
        <v/>
      </c>
      <c r="K510" s="381">
        <f>IF(AND('MAYO 2026'!D94&lt;&gt;"",'MAYO 2026'!Z94="POR RECOGER"),'MAYO 2026'!Y94,"")</f>
        <v/>
      </c>
      <c r="L510" s="381">
        <f>IF(AND('MAYO 2026'!D94&lt;&gt;"",'MAYO 2026'!Z94="POR RECOGER"),'MAYO 2026'!I94,"")</f>
        <v/>
      </c>
      <c r="P510" s="194" t="n"/>
      <c r="Q510" s="194" t="n"/>
      <c r="R510" s="194" t="n"/>
      <c r="S510" s="194" t="n"/>
      <c r="T510" s="194" t="n"/>
      <c r="U510" s="194" t="n"/>
      <c r="V510" s="194" t="n"/>
      <c r="W510" s="194" t="n"/>
      <c r="X510" s="194" t="n"/>
      <c r="Y510" s="194" t="n"/>
      <c r="Z510" s="194" t="n"/>
    </row>
    <row r="511" ht="15" customHeight="1" s="195">
      <c r="A511" s="381">
        <f>IF(AND('MAYO 2026'!D95&lt;&gt;"",'MAYO 2026'!Z95="POR RECOGER"),"MAY","")</f>
        <v/>
      </c>
      <c r="B511" s="381">
        <f>IF(AND('MAYO 2026'!D95&lt;&gt;"",'MAYO 2026'!Z95="POR RECOGER"),IF('MAYO 2026'!Y95&lt;&gt;"",'MAYO 2026'!Y95,'MAYO 2026'!I95),"")</f>
        <v/>
      </c>
      <c r="C511" s="381">
        <f>IF(AND('MAYO 2026'!D95&lt;&gt;"",'MAYO 2026'!Z95="POR RECOGER"),'MAYO 2026'!D95,"")</f>
        <v/>
      </c>
      <c r="D511" s="381">
        <f>IF(AND('MAYO 2026'!D95&lt;&gt;"",'MAYO 2026'!Z95="POR RECOGER"),'MAYO 2026'!F95,"")</f>
        <v/>
      </c>
      <c r="E511" s="381">
        <f>IF(AND('MAYO 2026'!D95&lt;&gt;"",'MAYO 2026'!Z95="POR RECOGER"),TEXT('MAYO 2026'!G95,"DD/MM/YYYY"),"")</f>
        <v/>
      </c>
      <c r="F511" s="381">
        <f>IF(AND('MAYO 2026'!D95&lt;&gt;"",'MAYO 2026'!Z95="POR RECOGER"),'MAYO 2026'!K95,"")</f>
        <v/>
      </c>
      <c r="G511" s="382">
        <f>IF(AND('MAYO 2026'!D95&lt;&gt;"",'MAYO 2026'!Z95="POR RECOGER"),'MAYO 2026'!M95,"")</f>
        <v/>
      </c>
      <c r="H511" s="382">
        <f>IF(AND('MAYO 2026'!D95&lt;&gt;"",'MAYO 2026'!Z95="POR RECOGER"),'MAYO 2026'!N95,"")</f>
        <v/>
      </c>
      <c r="I511" s="381">
        <f>IF(AND('MAYO 2026'!D95&lt;&gt;"",'MAYO 2026'!Z95="POR RECOGER"),'MAYO 2026'!P95,"")</f>
        <v/>
      </c>
      <c r="J511" s="381">
        <f>IF(AND('MAYO 2026'!D95&lt;&gt;"",'MAYO 2026'!Z95="POR RECOGER"),'MAYO 2026'!Q95,"")</f>
        <v/>
      </c>
      <c r="K511" s="381">
        <f>IF(AND('MAYO 2026'!D95&lt;&gt;"",'MAYO 2026'!Z95="POR RECOGER"),'MAYO 2026'!Y95,"")</f>
        <v/>
      </c>
      <c r="L511" s="381">
        <f>IF(AND('MAYO 2026'!D95&lt;&gt;"",'MAYO 2026'!Z95="POR RECOGER"),'MAYO 2026'!I95,"")</f>
        <v/>
      </c>
      <c r="P511" s="194" t="n"/>
      <c r="Q511" s="194" t="n"/>
      <c r="R511" s="194" t="n"/>
      <c r="S511" s="194" t="n"/>
      <c r="T511" s="194" t="n"/>
      <c r="U511" s="194" t="n"/>
      <c r="V511" s="194" t="n"/>
      <c r="W511" s="194" t="n"/>
      <c r="X511" s="194" t="n"/>
      <c r="Y511" s="194" t="n"/>
      <c r="Z511" s="194" t="n"/>
    </row>
    <row r="512" ht="15" customHeight="1" s="195">
      <c r="A512" s="381">
        <f>IF(AND('MAYO 2026'!D96&lt;&gt;"",'MAYO 2026'!Z96="POR RECOGER"),"MAY","")</f>
        <v/>
      </c>
      <c r="B512" s="381">
        <f>IF(AND('MAYO 2026'!D96&lt;&gt;"",'MAYO 2026'!Z96="POR RECOGER"),IF('MAYO 2026'!Y96&lt;&gt;"",'MAYO 2026'!Y96,'MAYO 2026'!I96),"")</f>
        <v/>
      </c>
      <c r="C512" s="381">
        <f>IF(AND('MAYO 2026'!D96&lt;&gt;"",'MAYO 2026'!Z96="POR RECOGER"),'MAYO 2026'!D96,"")</f>
        <v/>
      </c>
      <c r="D512" s="381">
        <f>IF(AND('MAYO 2026'!D96&lt;&gt;"",'MAYO 2026'!Z96="POR RECOGER"),'MAYO 2026'!F96,"")</f>
        <v/>
      </c>
      <c r="E512" s="381">
        <f>IF(AND('MAYO 2026'!D96&lt;&gt;"",'MAYO 2026'!Z96="POR RECOGER"),TEXT('MAYO 2026'!G96,"DD/MM/YYYY"),"")</f>
        <v/>
      </c>
      <c r="F512" s="381">
        <f>IF(AND('MAYO 2026'!D96&lt;&gt;"",'MAYO 2026'!Z96="POR RECOGER"),'MAYO 2026'!K96,"")</f>
        <v/>
      </c>
      <c r="G512" s="382">
        <f>IF(AND('MAYO 2026'!D96&lt;&gt;"",'MAYO 2026'!Z96="POR RECOGER"),'MAYO 2026'!M96,"")</f>
        <v/>
      </c>
      <c r="H512" s="382">
        <f>IF(AND('MAYO 2026'!D96&lt;&gt;"",'MAYO 2026'!Z96="POR RECOGER"),'MAYO 2026'!N96,"")</f>
        <v/>
      </c>
      <c r="I512" s="381">
        <f>IF(AND('MAYO 2026'!D96&lt;&gt;"",'MAYO 2026'!Z96="POR RECOGER"),'MAYO 2026'!P96,"")</f>
        <v/>
      </c>
      <c r="J512" s="381">
        <f>IF(AND('MAYO 2026'!D96&lt;&gt;"",'MAYO 2026'!Z96="POR RECOGER"),'MAYO 2026'!Q96,"")</f>
        <v/>
      </c>
      <c r="K512" s="381">
        <f>IF(AND('MAYO 2026'!D96&lt;&gt;"",'MAYO 2026'!Z96="POR RECOGER"),'MAYO 2026'!Y96,"")</f>
        <v/>
      </c>
      <c r="L512" s="381">
        <f>IF(AND('MAYO 2026'!D96&lt;&gt;"",'MAYO 2026'!Z96="POR RECOGER"),'MAYO 2026'!I96,"")</f>
        <v/>
      </c>
      <c r="P512" s="194" t="n"/>
      <c r="Q512" s="194" t="n"/>
      <c r="R512" s="194" t="n"/>
      <c r="S512" s="194" t="n"/>
      <c r="T512" s="194" t="n"/>
      <c r="U512" s="194" t="n"/>
      <c r="V512" s="194" t="n"/>
      <c r="W512" s="194" t="n"/>
      <c r="X512" s="194" t="n"/>
      <c r="Y512" s="194" t="n"/>
      <c r="Z512" s="194" t="n"/>
    </row>
    <row r="513" ht="15" customHeight="1" s="195">
      <c r="A513" s="381">
        <f>IF(AND('MAYO 2026'!D97&lt;&gt;"",'MAYO 2026'!Z97="POR RECOGER"),"MAY","")</f>
        <v/>
      </c>
      <c r="B513" s="381">
        <f>IF(AND('MAYO 2026'!D97&lt;&gt;"",'MAYO 2026'!Z97="POR RECOGER"),IF('MAYO 2026'!Y97&lt;&gt;"",'MAYO 2026'!Y97,'MAYO 2026'!I97),"")</f>
        <v/>
      </c>
      <c r="C513" s="381">
        <f>IF(AND('MAYO 2026'!D97&lt;&gt;"",'MAYO 2026'!Z97="POR RECOGER"),'MAYO 2026'!D97,"")</f>
        <v/>
      </c>
      <c r="D513" s="381">
        <f>IF(AND('MAYO 2026'!D97&lt;&gt;"",'MAYO 2026'!Z97="POR RECOGER"),'MAYO 2026'!F97,"")</f>
        <v/>
      </c>
      <c r="E513" s="381">
        <f>IF(AND('MAYO 2026'!D97&lt;&gt;"",'MAYO 2026'!Z97="POR RECOGER"),TEXT('MAYO 2026'!G97,"DD/MM/YYYY"),"")</f>
        <v/>
      </c>
      <c r="F513" s="381">
        <f>IF(AND('MAYO 2026'!D97&lt;&gt;"",'MAYO 2026'!Z97="POR RECOGER"),'MAYO 2026'!K97,"")</f>
        <v/>
      </c>
      <c r="G513" s="382">
        <f>IF(AND('MAYO 2026'!D97&lt;&gt;"",'MAYO 2026'!Z97="POR RECOGER"),'MAYO 2026'!M97,"")</f>
        <v/>
      </c>
      <c r="H513" s="382">
        <f>IF(AND('MAYO 2026'!D97&lt;&gt;"",'MAYO 2026'!Z97="POR RECOGER"),'MAYO 2026'!N97,"")</f>
        <v/>
      </c>
      <c r="I513" s="381">
        <f>IF(AND('MAYO 2026'!D97&lt;&gt;"",'MAYO 2026'!Z97="POR RECOGER"),'MAYO 2026'!P97,"")</f>
        <v/>
      </c>
      <c r="J513" s="381">
        <f>IF(AND('MAYO 2026'!D97&lt;&gt;"",'MAYO 2026'!Z97="POR RECOGER"),'MAYO 2026'!Q97,"")</f>
        <v/>
      </c>
      <c r="K513" s="381">
        <f>IF(AND('MAYO 2026'!D97&lt;&gt;"",'MAYO 2026'!Z97="POR RECOGER"),'MAYO 2026'!Y97,"")</f>
        <v/>
      </c>
      <c r="L513" s="381">
        <f>IF(AND('MAYO 2026'!D97&lt;&gt;"",'MAYO 2026'!Z97="POR RECOGER"),'MAYO 2026'!I97,"")</f>
        <v/>
      </c>
      <c r="P513" s="194" t="n"/>
      <c r="Q513" s="194" t="n"/>
      <c r="R513" s="194" t="n"/>
      <c r="S513" s="194" t="n"/>
      <c r="T513" s="194" t="n"/>
      <c r="U513" s="194" t="n"/>
      <c r="V513" s="194" t="n"/>
      <c r="W513" s="194" t="n"/>
      <c r="X513" s="194" t="n"/>
      <c r="Y513" s="194" t="n"/>
      <c r="Z513" s="194" t="n"/>
    </row>
    <row r="514" ht="15" customHeight="1" s="195">
      <c r="A514" s="381">
        <f>IF(AND('MAYO 2026'!D98&lt;&gt;"",'MAYO 2026'!Z98="POR RECOGER"),"MAY","")</f>
        <v/>
      </c>
      <c r="B514" s="381">
        <f>IF(AND('MAYO 2026'!D98&lt;&gt;"",'MAYO 2026'!Z98="POR RECOGER"),IF('MAYO 2026'!Y98&lt;&gt;"",'MAYO 2026'!Y98,'MAYO 2026'!I98),"")</f>
        <v/>
      </c>
      <c r="C514" s="381">
        <f>IF(AND('MAYO 2026'!D98&lt;&gt;"",'MAYO 2026'!Z98="POR RECOGER"),'MAYO 2026'!D98,"")</f>
        <v/>
      </c>
      <c r="D514" s="381">
        <f>IF(AND('MAYO 2026'!D98&lt;&gt;"",'MAYO 2026'!Z98="POR RECOGER"),'MAYO 2026'!F98,"")</f>
        <v/>
      </c>
      <c r="E514" s="381">
        <f>IF(AND('MAYO 2026'!D98&lt;&gt;"",'MAYO 2026'!Z98="POR RECOGER"),TEXT('MAYO 2026'!G98,"DD/MM/YYYY"),"")</f>
        <v/>
      </c>
      <c r="F514" s="381">
        <f>IF(AND('MAYO 2026'!D98&lt;&gt;"",'MAYO 2026'!Z98="POR RECOGER"),'MAYO 2026'!K98,"")</f>
        <v/>
      </c>
      <c r="G514" s="382">
        <f>IF(AND('MAYO 2026'!D98&lt;&gt;"",'MAYO 2026'!Z98="POR RECOGER"),'MAYO 2026'!M98,"")</f>
        <v/>
      </c>
      <c r="H514" s="382">
        <f>IF(AND('MAYO 2026'!D98&lt;&gt;"",'MAYO 2026'!Z98="POR RECOGER"),'MAYO 2026'!N98,"")</f>
        <v/>
      </c>
      <c r="I514" s="381">
        <f>IF(AND('MAYO 2026'!D98&lt;&gt;"",'MAYO 2026'!Z98="POR RECOGER"),'MAYO 2026'!P98,"")</f>
        <v/>
      </c>
      <c r="J514" s="381">
        <f>IF(AND('MAYO 2026'!D98&lt;&gt;"",'MAYO 2026'!Z98="POR RECOGER"),'MAYO 2026'!Q98,"")</f>
        <v/>
      </c>
      <c r="K514" s="381">
        <f>IF(AND('MAYO 2026'!D98&lt;&gt;"",'MAYO 2026'!Z98="POR RECOGER"),'MAYO 2026'!Y98,"")</f>
        <v/>
      </c>
      <c r="L514" s="381">
        <f>IF(AND('MAYO 2026'!D98&lt;&gt;"",'MAYO 2026'!Z98="POR RECOGER"),'MAYO 2026'!I98,"")</f>
        <v/>
      </c>
      <c r="P514" s="194" t="n"/>
      <c r="Q514" s="194" t="n"/>
      <c r="R514" s="194" t="n"/>
      <c r="S514" s="194" t="n"/>
      <c r="T514" s="194" t="n"/>
      <c r="U514" s="194" t="n"/>
      <c r="V514" s="194" t="n"/>
      <c r="W514" s="194" t="n"/>
      <c r="X514" s="194" t="n"/>
      <c r="Y514" s="194" t="n"/>
      <c r="Z514" s="194" t="n"/>
    </row>
    <row r="515" ht="15" customHeight="1" s="195">
      <c r="A515" s="381">
        <f>IF(AND('MAYO 2026'!D99&lt;&gt;"",'MAYO 2026'!Z99="POR RECOGER"),"MAY","")</f>
        <v/>
      </c>
      <c r="B515" s="381">
        <f>IF(AND('MAYO 2026'!D99&lt;&gt;"",'MAYO 2026'!Z99="POR RECOGER"),IF('MAYO 2026'!Y99&lt;&gt;"",'MAYO 2026'!Y99,'MAYO 2026'!I99),"")</f>
        <v/>
      </c>
      <c r="C515" s="381">
        <f>IF(AND('MAYO 2026'!D99&lt;&gt;"",'MAYO 2026'!Z99="POR RECOGER"),'MAYO 2026'!D99,"")</f>
        <v/>
      </c>
      <c r="D515" s="381">
        <f>IF(AND('MAYO 2026'!D99&lt;&gt;"",'MAYO 2026'!Z99="POR RECOGER"),'MAYO 2026'!F99,"")</f>
        <v/>
      </c>
      <c r="E515" s="381">
        <f>IF(AND('MAYO 2026'!D99&lt;&gt;"",'MAYO 2026'!Z99="POR RECOGER"),TEXT('MAYO 2026'!G99,"DD/MM/YYYY"),"")</f>
        <v/>
      </c>
      <c r="F515" s="381">
        <f>IF(AND('MAYO 2026'!D99&lt;&gt;"",'MAYO 2026'!Z99="POR RECOGER"),'MAYO 2026'!K99,"")</f>
        <v/>
      </c>
      <c r="G515" s="382">
        <f>IF(AND('MAYO 2026'!D99&lt;&gt;"",'MAYO 2026'!Z99="POR RECOGER"),'MAYO 2026'!M99,"")</f>
        <v/>
      </c>
      <c r="H515" s="382">
        <f>IF(AND('MAYO 2026'!D99&lt;&gt;"",'MAYO 2026'!Z99="POR RECOGER"),'MAYO 2026'!N99,"")</f>
        <v/>
      </c>
      <c r="I515" s="381">
        <f>IF(AND('MAYO 2026'!D99&lt;&gt;"",'MAYO 2026'!Z99="POR RECOGER"),'MAYO 2026'!P99,"")</f>
        <v/>
      </c>
      <c r="J515" s="381">
        <f>IF(AND('MAYO 2026'!D99&lt;&gt;"",'MAYO 2026'!Z99="POR RECOGER"),'MAYO 2026'!Q99,"")</f>
        <v/>
      </c>
      <c r="K515" s="381">
        <f>IF(AND('MAYO 2026'!D99&lt;&gt;"",'MAYO 2026'!Z99="POR RECOGER"),'MAYO 2026'!Y99,"")</f>
        <v/>
      </c>
      <c r="L515" s="381">
        <f>IF(AND('MAYO 2026'!D99&lt;&gt;"",'MAYO 2026'!Z99="POR RECOGER"),'MAYO 2026'!I99,"")</f>
        <v/>
      </c>
      <c r="P515" s="194" t="n"/>
      <c r="Q515" s="194" t="n"/>
      <c r="R515" s="194" t="n"/>
      <c r="S515" s="194" t="n"/>
      <c r="T515" s="194" t="n"/>
      <c r="U515" s="194" t="n"/>
      <c r="V515" s="194" t="n"/>
      <c r="W515" s="194" t="n"/>
      <c r="X515" s="194" t="n"/>
      <c r="Y515" s="194" t="n"/>
      <c r="Z515" s="194" t="n"/>
    </row>
    <row r="516" ht="15" customHeight="1" s="195">
      <c r="A516" s="381">
        <f>IF(AND('MAYO 2026'!D100&lt;&gt;"",'MAYO 2026'!Z100="POR RECOGER"),"MAY","")</f>
        <v/>
      </c>
      <c r="B516" s="381">
        <f>IF(AND('MAYO 2026'!D100&lt;&gt;"",'MAYO 2026'!Z100="POR RECOGER"),IF('MAYO 2026'!Y100&lt;&gt;"",'MAYO 2026'!Y100,'MAYO 2026'!I100),"")</f>
        <v/>
      </c>
      <c r="C516" s="381">
        <f>IF(AND('MAYO 2026'!D100&lt;&gt;"",'MAYO 2026'!Z100="POR RECOGER"),'MAYO 2026'!D100,"")</f>
        <v/>
      </c>
      <c r="D516" s="381">
        <f>IF(AND('MAYO 2026'!D100&lt;&gt;"",'MAYO 2026'!Z100="POR RECOGER"),'MAYO 2026'!F100,"")</f>
        <v/>
      </c>
      <c r="E516" s="381">
        <f>IF(AND('MAYO 2026'!D100&lt;&gt;"",'MAYO 2026'!Z100="POR RECOGER"),TEXT('MAYO 2026'!G100,"DD/MM/YYYY"),"")</f>
        <v/>
      </c>
      <c r="F516" s="381">
        <f>IF(AND('MAYO 2026'!D100&lt;&gt;"",'MAYO 2026'!Z100="POR RECOGER"),'MAYO 2026'!K100,"")</f>
        <v/>
      </c>
      <c r="G516" s="382">
        <f>IF(AND('MAYO 2026'!D100&lt;&gt;"",'MAYO 2026'!Z100="POR RECOGER"),'MAYO 2026'!M100,"")</f>
        <v/>
      </c>
      <c r="H516" s="382">
        <f>IF(AND('MAYO 2026'!D100&lt;&gt;"",'MAYO 2026'!Z100="POR RECOGER"),'MAYO 2026'!N100,"")</f>
        <v/>
      </c>
      <c r="I516" s="381">
        <f>IF(AND('MAYO 2026'!D100&lt;&gt;"",'MAYO 2026'!Z100="POR RECOGER"),'MAYO 2026'!P100,"")</f>
        <v/>
      </c>
      <c r="J516" s="381">
        <f>IF(AND('MAYO 2026'!D100&lt;&gt;"",'MAYO 2026'!Z100="POR RECOGER"),'MAYO 2026'!Q100,"")</f>
        <v/>
      </c>
      <c r="K516" s="381">
        <f>IF(AND('MAYO 2026'!D100&lt;&gt;"",'MAYO 2026'!Z100="POR RECOGER"),'MAYO 2026'!Y100,"")</f>
        <v/>
      </c>
      <c r="L516" s="381">
        <f>IF(AND('MAYO 2026'!D100&lt;&gt;"",'MAYO 2026'!Z100="POR RECOGER"),'MAYO 2026'!I100,"")</f>
        <v/>
      </c>
      <c r="P516" s="194" t="n"/>
      <c r="Q516" s="194" t="n"/>
      <c r="R516" s="194" t="n"/>
      <c r="S516" s="194" t="n"/>
      <c r="T516" s="194" t="n"/>
      <c r="U516" s="194" t="n"/>
      <c r="V516" s="194" t="n"/>
      <c r="W516" s="194" t="n"/>
      <c r="X516" s="194" t="n"/>
      <c r="Y516" s="194" t="n"/>
      <c r="Z516" s="194" t="n"/>
    </row>
    <row r="517" ht="15" customHeight="1" s="195">
      <c r="A517" s="381">
        <f>IF(AND('MAYO 2026'!D101&lt;&gt;"",'MAYO 2026'!Z101="POR RECOGER"),"MAY","")</f>
        <v/>
      </c>
      <c r="B517" s="381">
        <f>IF(AND('MAYO 2026'!D101&lt;&gt;"",'MAYO 2026'!Z101="POR RECOGER"),IF('MAYO 2026'!Y101&lt;&gt;"",'MAYO 2026'!Y101,'MAYO 2026'!I101),"")</f>
        <v/>
      </c>
      <c r="C517" s="381">
        <f>IF(AND('MAYO 2026'!D101&lt;&gt;"",'MAYO 2026'!Z101="POR RECOGER"),'MAYO 2026'!D101,"")</f>
        <v/>
      </c>
      <c r="D517" s="381">
        <f>IF(AND('MAYO 2026'!D101&lt;&gt;"",'MAYO 2026'!Z101="POR RECOGER"),'MAYO 2026'!F101,"")</f>
        <v/>
      </c>
      <c r="E517" s="381">
        <f>IF(AND('MAYO 2026'!D101&lt;&gt;"",'MAYO 2026'!Z101="POR RECOGER"),TEXT('MAYO 2026'!G101,"DD/MM/YYYY"),"")</f>
        <v/>
      </c>
      <c r="F517" s="381">
        <f>IF(AND('MAYO 2026'!D101&lt;&gt;"",'MAYO 2026'!Z101="POR RECOGER"),'MAYO 2026'!K101,"")</f>
        <v/>
      </c>
      <c r="G517" s="382">
        <f>IF(AND('MAYO 2026'!D101&lt;&gt;"",'MAYO 2026'!Z101="POR RECOGER"),'MAYO 2026'!M101,"")</f>
        <v/>
      </c>
      <c r="H517" s="382">
        <f>IF(AND('MAYO 2026'!D101&lt;&gt;"",'MAYO 2026'!Z101="POR RECOGER"),'MAYO 2026'!N101,"")</f>
        <v/>
      </c>
      <c r="I517" s="381">
        <f>IF(AND('MAYO 2026'!D101&lt;&gt;"",'MAYO 2026'!Z101="POR RECOGER"),'MAYO 2026'!P101,"")</f>
        <v/>
      </c>
      <c r="J517" s="381">
        <f>IF(AND('MAYO 2026'!D101&lt;&gt;"",'MAYO 2026'!Z101="POR RECOGER"),'MAYO 2026'!Q101,"")</f>
        <v/>
      </c>
      <c r="K517" s="381">
        <f>IF(AND('MAYO 2026'!D101&lt;&gt;"",'MAYO 2026'!Z101="POR RECOGER"),'MAYO 2026'!Y101,"")</f>
        <v/>
      </c>
      <c r="L517" s="381">
        <f>IF(AND('MAYO 2026'!D101&lt;&gt;"",'MAYO 2026'!Z101="POR RECOGER"),'MAYO 2026'!I101,"")</f>
        <v/>
      </c>
      <c r="P517" s="194" t="n"/>
      <c r="Q517" s="194" t="n"/>
      <c r="R517" s="194" t="n"/>
      <c r="S517" s="194" t="n"/>
      <c r="T517" s="194" t="n"/>
      <c r="U517" s="194" t="n"/>
      <c r="V517" s="194" t="n"/>
      <c r="W517" s="194" t="n"/>
      <c r="X517" s="194" t="n"/>
      <c r="Y517" s="194" t="n"/>
      <c r="Z517" s="194" t="n"/>
    </row>
    <row r="518" ht="15" customHeight="1" s="195">
      <c r="A518" s="381">
        <f>IF(AND('MAYO 2026'!D102&lt;&gt;"",'MAYO 2026'!Z102="POR RECOGER"),"MAY","")</f>
        <v/>
      </c>
      <c r="B518" s="381">
        <f>IF(AND('MAYO 2026'!D102&lt;&gt;"",'MAYO 2026'!Z102="POR RECOGER"),IF('MAYO 2026'!Y102&lt;&gt;"",'MAYO 2026'!Y102,'MAYO 2026'!I102),"")</f>
        <v/>
      </c>
      <c r="C518" s="381">
        <f>IF(AND('MAYO 2026'!D102&lt;&gt;"",'MAYO 2026'!Z102="POR RECOGER"),'MAYO 2026'!D102,"")</f>
        <v/>
      </c>
      <c r="D518" s="381">
        <f>IF(AND('MAYO 2026'!D102&lt;&gt;"",'MAYO 2026'!Z102="POR RECOGER"),'MAYO 2026'!F102,"")</f>
        <v/>
      </c>
      <c r="E518" s="381">
        <f>IF(AND('MAYO 2026'!D102&lt;&gt;"",'MAYO 2026'!Z102="POR RECOGER"),TEXT('MAYO 2026'!G102,"DD/MM/YYYY"),"")</f>
        <v/>
      </c>
      <c r="F518" s="381">
        <f>IF(AND('MAYO 2026'!D102&lt;&gt;"",'MAYO 2026'!Z102="POR RECOGER"),'MAYO 2026'!K102,"")</f>
        <v/>
      </c>
      <c r="G518" s="382">
        <f>IF(AND('MAYO 2026'!D102&lt;&gt;"",'MAYO 2026'!Z102="POR RECOGER"),'MAYO 2026'!M102,"")</f>
        <v/>
      </c>
      <c r="H518" s="382">
        <f>IF(AND('MAYO 2026'!D102&lt;&gt;"",'MAYO 2026'!Z102="POR RECOGER"),'MAYO 2026'!N102,"")</f>
        <v/>
      </c>
      <c r="I518" s="381">
        <f>IF(AND('MAYO 2026'!D102&lt;&gt;"",'MAYO 2026'!Z102="POR RECOGER"),'MAYO 2026'!P102,"")</f>
        <v/>
      </c>
      <c r="J518" s="381">
        <f>IF(AND('MAYO 2026'!D102&lt;&gt;"",'MAYO 2026'!Z102="POR RECOGER"),'MAYO 2026'!Q102,"")</f>
        <v/>
      </c>
      <c r="K518" s="381">
        <f>IF(AND('MAYO 2026'!D102&lt;&gt;"",'MAYO 2026'!Z102="POR RECOGER"),'MAYO 2026'!Y102,"")</f>
        <v/>
      </c>
      <c r="L518" s="381">
        <f>IF(AND('MAYO 2026'!D102&lt;&gt;"",'MAYO 2026'!Z102="POR RECOGER"),'MAYO 2026'!I102,"")</f>
        <v/>
      </c>
      <c r="P518" s="194" t="n"/>
      <c r="Q518" s="194" t="n"/>
      <c r="R518" s="194" t="n"/>
      <c r="S518" s="194" t="n"/>
      <c r="T518" s="194" t="n"/>
      <c r="U518" s="194" t="n"/>
      <c r="V518" s="194" t="n"/>
      <c r="W518" s="194" t="n"/>
      <c r="X518" s="194" t="n"/>
      <c r="Y518" s="194" t="n"/>
      <c r="Z518" s="194" t="n"/>
    </row>
    <row r="519" ht="15" customHeight="1" s="195">
      <c r="A519" s="381">
        <f>IF(AND('MAYO 2026'!D103&lt;&gt;"",'MAYO 2026'!Z103="POR RECOGER"),"MAY","")</f>
        <v/>
      </c>
      <c r="B519" s="381">
        <f>IF(AND('MAYO 2026'!D103&lt;&gt;"",'MAYO 2026'!Z103="POR RECOGER"),IF('MAYO 2026'!Y103&lt;&gt;"",'MAYO 2026'!Y103,'MAYO 2026'!I103),"")</f>
        <v/>
      </c>
      <c r="C519" s="381">
        <f>IF(AND('MAYO 2026'!D103&lt;&gt;"",'MAYO 2026'!Z103="POR RECOGER"),'MAYO 2026'!D103,"")</f>
        <v/>
      </c>
      <c r="D519" s="381">
        <f>IF(AND('MAYO 2026'!D103&lt;&gt;"",'MAYO 2026'!Z103="POR RECOGER"),'MAYO 2026'!F103,"")</f>
        <v/>
      </c>
      <c r="E519" s="381">
        <f>IF(AND('MAYO 2026'!D103&lt;&gt;"",'MAYO 2026'!Z103="POR RECOGER"),TEXT('MAYO 2026'!G103,"DD/MM/YYYY"),"")</f>
        <v/>
      </c>
      <c r="F519" s="381">
        <f>IF(AND('MAYO 2026'!D103&lt;&gt;"",'MAYO 2026'!Z103="POR RECOGER"),'MAYO 2026'!K103,"")</f>
        <v/>
      </c>
      <c r="G519" s="382">
        <f>IF(AND('MAYO 2026'!D103&lt;&gt;"",'MAYO 2026'!Z103="POR RECOGER"),'MAYO 2026'!M103,"")</f>
        <v/>
      </c>
      <c r="H519" s="382">
        <f>IF(AND('MAYO 2026'!D103&lt;&gt;"",'MAYO 2026'!Z103="POR RECOGER"),'MAYO 2026'!N103,"")</f>
        <v/>
      </c>
      <c r="I519" s="381">
        <f>IF(AND('MAYO 2026'!D103&lt;&gt;"",'MAYO 2026'!Z103="POR RECOGER"),'MAYO 2026'!P103,"")</f>
        <v/>
      </c>
      <c r="J519" s="381">
        <f>IF(AND('MAYO 2026'!D103&lt;&gt;"",'MAYO 2026'!Z103="POR RECOGER"),'MAYO 2026'!Q103,"")</f>
        <v/>
      </c>
      <c r="K519" s="381">
        <f>IF(AND('MAYO 2026'!D103&lt;&gt;"",'MAYO 2026'!Z103="POR RECOGER"),'MAYO 2026'!Y103,"")</f>
        <v/>
      </c>
      <c r="L519" s="381">
        <f>IF(AND('MAYO 2026'!D103&lt;&gt;"",'MAYO 2026'!Z103="POR RECOGER"),'MAYO 2026'!I103,"")</f>
        <v/>
      </c>
      <c r="P519" s="194" t="n"/>
      <c r="Q519" s="194" t="n"/>
      <c r="R519" s="194" t="n"/>
      <c r="S519" s="194" t="n"/>
      <c r="T519" s="194" t="n"/>
      <c r="U519" s="194" t="n"/>
      <c r="V519" s="194" t="n"/>
      <c r="W519" s="194" t="n"/>
      <c r="X519" s="194" t="n"/>
      <c r="Y519" s="194" t="n"/>
      <c r="Z519" s="194" t="n"/>
    </row>
    <row r="520" ht="15" customHeight="1" s="195">
      <c r="A520" s="381">
        <f>IF(AND('MAYO 2026'!D104&lt;&gt;"",'MAYO 2026'!Z104="POR RECOGER"),"MAY","")</f>
        <v/>
      </c>
      <c r="B520" s="381">
        <f>IF(AND('MAYO 2026'!D104&lt;&gt;"",'MAYO 2026'!Z104="POR RECOGER"),IF('MAYO 2026'!Y104&lt;&gt;"",'MAYO 2026'!Y104,'MAYO 2026'!I104),"")</f>
        <v/>
      </c>
      <c r="C520" s="381">
        <f>IF(AND('MAYO 2026'!D104&lt;&gt;"",'MAYO 2026'!Z104="POR RECOGER"),'MAYO 2026'!D104,"")</f>
        <v/>
      </c>
      <c r="D520" s="381">
        <f>IF(AND('MAYO 2026'!D104&lt;&gt;"",'MAYO 2026'!Z104="POR RECOGER"),'MAYO 2026'!F104,"")</f>
        <v/>
      </c>
      <c r="E520" s="381">
        <f>IF(AND('MAYO 2026'!D104&lt;&gt;"",'MAYO 2026'!Z104="POR RECOGER"),TEXT('MAYO 2026'!G104,"DD/MM/YYYY"),"")</f>
        <v/>
      </c>
      <c r="F520" s="381">
        <f>IF(AND('MAYO 2026'!D104&lt;&gt;"",'MAYO 2026'!Z104="POR RECOGER"),'MAYO 2026'!K104,"")</f>
        <v/>
      </c>
      <c r="G520" s="382">
        <f>IF(AND('MAYO 2026'!D104&lt;&gt;"",'MAYO 2026'!Z104="POR RECOGER"),'MAYO 2026'!M104,"")</f>
        <v/>
      </c>
      <c r="H520" s="382">
        <f>IF(AND('MAYO 2026'!D104&lt;&gt;"",'MAYO 2026'!Z104="POR RECOGER"),'MAYO 2026'!N104,"")</f>
        <v/>
      </c>
      <c r="I520" s="381">
        <f>IF(AND('MAYO 2026'!D104&lt;&gt;"",'MAYO 2026'!Z104="POR RECOGER"),'MAYO 2026'!P104,"")</f>
        <v/>
      </c>
      <c r="J520" s="381">
        <f>IF(AND('MAYO 2026'!D104&lt;&gt;"",'MAYO 2026'!Z104="POR RECOGER"),'MAYO 2026'!Q104,"")</f>
        <v/>
      </c>
      <c r="K520" s="381">
        <f>IF(AND('MAYO 2026'!D104&lt;&gt;"",'MAYO 2026'!Z104="POR RECOGER"),'MAYO 2026'!Y104,"")</f>
        <v/>
      </c>
      <c r="L520" s="381">
        <f>IF(AND('MAYO 2026'!D104&lt;&gt;"",'MAYO 2026'!Z104="POR RECOGER"),'MAYO 2026'!I104,"")</f>
        <v/>
      </c>
      <c r="P520" s="194" t="n"/>
      <c r="Q520" s="194" t="n"/>
      <c r="R520" s="194" t="n"/>
      <c r="S520" s="194" t="n"/>
      <c r="T520" s="194" t="n"/>
      <c r="U520" s="194" t="n"/>
      <c r="V520" s="194" t="n"/>
      <c r="W520" s="194" t="n"/>
      <c r="X520" s="194" t="n"/>
      <c r="Y520" s="194" t="n"/>
      <c r="Z520" s="194" t="n"/>
    </row>
    <row r="521" ht="15" customHeight="1" s="195">
      <c r="A521" s="381">
        <f>IF(AND('MAYO 2026'!D105&lt;&gt;"",'MAYO 2026'!Z105="POR RECOGER"),"MAY","")</f>
        <v/>
      </c>
      <c r="B521" s="381">
        <f>IF(AND('MAYO 2026'!D105&lt;&gt;"",'MAYO 2026'!Z105="POR RECOGER"),IF('MAYO 2026'!Y105&lt;&gt;"",'MAYO 2026'!Y105,'MAYO 2026'!I105),"")</f>
        <v/>
      </c>
      <c r="C521" s="381">
        <f>IF(AND('MAYO 2026'!D105&lt;&gt;"",'MAYO 2026'!Z105="POR RECOGER"),'MAYO 2026'!D105,"")</f>
        <v/>
      </c>
      <c r="D521" s="381">
        <f>IF(AND('MAYO 2026'!D105&lt;&gt;"",'MAYO 2026'!Z105="POR RECOGER"),'MAYO 2026'!F105,"")</f>
        <v/>
      </c>
      <c r="E521" s="381">
        <f>IF(AND('MAYO 2026'!D105&lt;&gt;"",'MAYO 2026'!Z105="POR RECOGER"),TEXT('MAYO 2026'!G105,"DD/MM/YYYY"),"")</f>
        <v/>
      </c>
      <c r="F521" s="381">
        <f>IF(AND('MAYO 2026'!D105&lt;&gt;"",'MAYO 2026'!Z105="POR RECOGER"),'MAYO 2026'!K105,"")</f>
        <v/>
      </c>
      <c r="G521" s="382">
        <f>IF(AND('MAYO 2026'!D105&lt;&gt;"",'MAYO 2026'!Z105="POR RECOGER"),'MAYO 2026'!M105,"")</f>
        <v/>
      </c>
      <c r="H521" s="382">
        <f>IF(AND('MAYO 2026'!D105&lt;&gt;"",'MAYO 2026'!Z105="POR RECOGER"),'MAYO 2026'!N105,"")</f>
        <v/>
      </c>
      <c r="I521" s="381">
        <f>IF(AND('MAYO 2026'!D105&lt;&gt;"",'MAYO 2026'!Z105="POR RECOGER"),'MAYO 2026'!P105,"")</f>
        <v/>
      </c>
      <c r="J521" s="381">
        <f>IF(AND('MAYO 2026'!D105&lt;&gt;"",'MAYO 2026'!Z105="POR RECOGER"),'MAYO 2026'!Q105,"")</f>
        <v/>
      </c>
      <c r="K521" s="381">
        <f>IF(AND('MAYO 2026'!D105&lt;&gt;"",'MAYO 2026'!Z105="POR RECOGER"),'MAYO 2026'!Y105,"")</f>
        <v/>
      </c>
      <c r="L521" s="381">
        <f>IF(AND('MAYO 2026'!D105&lt;&gt;"",'MAYO 2026'!Z105="POR RECOGER"),'MAYO 2026'!I105,"")</f>
        <v/>
      </c>
      <c r="P521" s="194" t="n"/>
      <c r="Q521" s="194" t="n"/>
      <c r="R521" s="194" t="n"/>
      <c r="S521" s="194" t="n"/>
      <c r="T521" s="194" t="n"/>
      <c r="U521" s="194" t="n"/>
      <c r="V521" s="194" t="n"/>
      <c r="W521" s="194" t="n"/>
      <c r="X521" s="194" t="n"/>
      <c r="Y521" s="194" t="n"/>
      <c r="Z521" s="194" t="n"/>
    </row>
    <row r="522" ht="15" customHeight="1" s="195">
      <c r="A522" s="381">
        <f>IF(AND('MAYO 2026'!D106&lt;&gt;"",'MAYO 2026'!Z106="POR RECOGER"),"MAY","")</f>
        <v/>
      </c>
      <c r="B522" s="381">
        <f>IF(AND('MAYO 2026'!D106&lt;&gt;"",'MAYO 2026'!Z106="POR RECOGER"),IF('MAYO 2026'!Y106&lt;&gt;"",'MAYO 2026'!Y106,'MAYO 2026'!I106),"")</f>
        <v/>
      </c>
      <c r="C522" s="381">
        <f>IF(AND('MAYO 2026'!D106&lt;&gt;"",'MAYO 2026'!Z106="POR RECOGER"),'MAYO 2026'!D106,"")</f>
        <v/>
      </c>
      <c r="D522" s="381">
        <f>IF(AND('MAYO 2026'!D106&lt;&gt;"",'MAYO 2026'!Z106="POR RECOGER"),'MAYO 2026'!F106,"")</f>
        <v/>
      </c>
      <c r="E522" s="381">
        <f>IF(AND('MAYO 2026'!D106&lt;&gt;"",'MAYO 2026'!Z106="POR RECOGER"),TEXT('MAYO 2026'!G106,"DD/MM/YYYY"),"")</f>
        <v/>
      </c>
      <c r="F522" s="381">
        <f>IF(AND('MAYO 2026'!D106&lt;&gt;"",'MAYO 2026'!Z106="POR RECOGER"),'MAYO 2026'!K106,"")</f>
        <v/>
      </c>
      <c r="G522" s="382">
        <f>IF(AND('MAYO 2026'!D106&lt;&gt;"",'MAYO 2026'!Z106="POR RECOGER"),'MAYO 2026'!M106,"")</f>
        <v/>
      </c>
      <c r="H522" s="382">
        <f>IF(AND('MAYO 2026'!D106&lt;&gt;"",'MAYO 2026'!Z106="POR RECOGER"),'MAYO 2026'!N106,"")</f>
        <v/>
      </c>
      <c r="I522" s="381">
        <f>IF(AND('MAYO 2026'!D106&lt;&gt;"",'MAYO 2026'!Z106="POR RECOGER"),'MAYO 2026'!P106,"")</f>
        <v/>
      </c>
      <c r="J522" s="381">
        <f>IF(AND('MAYO 2026'!D106&lt;&gt;"",'MAYO 2026'!Z106="POR RECOGER"),'MAYO 2026'!Q106,"")</f>
        <v/>
      </c>
      <c r="K522" s="381">
        <f>IF(AND('MAYO 2026'!D106&lt;&gt;"",'MAYO 2026'!Z106="POR RECOGER"),'MAYO 2026'!Y106,"")</f>
        <v/>
      </c>
      <c r="L522" s="381">
        <f>IF(AND('MAYO 2026'!D106&lt;&gt;"",'MAYO 2026'!Z106="POR RECOGER"),'MAYO 2026'!I106,"")</f>
        <v/>
      </c>
      <c r="P522" s="194" t="n"/>
      <c r="Q522" s="194" t="n"/>
      <c r="R522" s="194" t="n"/>
      <c r="S522" s="194" t="n"/>
      <c r="T522" s="194" t="n"/>
      <c r="U522" s="194" t="n"/>
      <c r="V522" s="194" t="n"/>
      <c r="W522" s="194" t="n"/>
      <c r="X522" s="194" t="n"/>
      <c r="Y522" s="194" t="n"/>
      <c r="Z522" s="194" t="n"/>
    </row>
    <row r="523" ht="15" customHeight="1" s="195">
      <c r="A523" s="381">
        <f>IF(AND('MAYO 2026'!D107&lt;&gt;"",'MAYO 2026'!Z107="POR RECOGER"),"MAY","")</f>
        <v/>
      </c>
      <c r="B523" s="381">
        <f>IF(AND('MAYO 2026'!D107&lt;&gt;"",'MAYO 2026'!Z107="POR RECOGER"),IF('MAYO 2026'!Y107&lt;&gt;"",'MAYO 2026'!Y107,'MAYO 2026'!I107),"")</f>
        <v/>
      </c>
      <c r="C523" s="381">
        <f>IF(AND('MAYO 2026'!D107&lt;&gt;"",'MAYO 2026'!Z107="POR RECOGER"),'MAYO 2026'!D107,"")</f>
        <v/>
      </c>
      <c r="D523" s="381">
        <f>IF(AND('MAYO 2026'!D107&lt;&gt;"",'MAYO 2026'!Z107="POR RECOGER"),'MAYO 2026'!F107,"")</f>
        <v/>
      </c>
      <c r="E523" s="381">
        <f>IF(AND('MAYO 2026'!D107&lt;&gt;"",'MAYO 2026'!Z107="POR RECOGER"),TEXT('MAYO 2026'!G107,"DD/MM/YYYY"),"")</f>
        <v/>
      </c>
      <c r="F523" s="381">
        <f>IF(AND('MAYO 2026'!D107&lt;&gt;"",'MAYO 2026'!Z107="POR RECOGER"),'MAYO 2026'!K107,"")</f>
        <v/>
      </c>
      <c r="G523" s="382">
        <f>IF(AND('MAYO 2026'!D107&lt;&gt;"",'MAYO 2026'!Z107="POR RECOGER"),'MAYO 2026'!M107,"")</f>
        <v/>
      </c>
      <c r="H523" s="382">
        <f>IF(AND('MAYO 2026'!D107&lt;&gt;"",'MAYO 2026'!Z107="POR RECOGER"),'MAYO 2026'!N107,"")</f>
        <v/>
      </c>
      <c r="I523" s="381">
        <f>IF(AND('MAYO 2026'!D107&lt;&gt;"",'MAYO 2026'!Z107="POR RECOGER"),'MAYO 2026'!P107,"")</f>
        <v/>
      </c>
      <c r="J523" s="381">
        <f>IF(AND('MAYO 2026'!D107&lt;&gt;"",'MAYO 2026'!Z107="POR RECOGER"),'MAYO 2026'!Q107,"")</f>
        <v/>
      </c>
      <c r="K523" s="381">
        <f>IF(AND('MAYO 2026'!D107&lt;&gt;"",'MAYO 2026'!Z107="POR RECOGER"),'MAYO 2026'!Y107,"")</f>
        <v/>
      </c>
      <c r="L523" s="381">
        <f>IF(AND('MAYO 2026'!D107&lt;&gt;"",'MAYO 2026'!Z107="POR RECOGER"),'MAYO 2026'!I107,"")</f>
        <v/>
      </c>
      <c r="P523" s="194" t="n"/>
      <c r="Q523" s="194" t="n"/>
      <c r="R523" s="194" t="n"/>
      <c r="S523" s="194" t="n"/>
      <c r="T523" s="194" t="n"/>
      <c r="U523" s="194" t="n"/>
      <c r="V523" s="194" t="n"/>
      <c r="W523" s="194" t="n"/>
      <c r="X523" s="194" t="n"/>
      <c r="Y523" s="194" t="n"/>
      <c r="Z523" s="194" t="n"/>
    </row>
    <row r="524" ht="15" customHeight="1" s="195">
      <c r="A524" s="381">
        <f>IF(AND('MAYO 2026'!D108&lt;&gt;"",'MAYO 2026'!Z108="POR RECOGER"),"MAY","")</f>
        <v/>
      </c>
      <c r="B524" s="381">
        <f>IF(AND('MAYO 2026'!D108&lt;&gt;"",'MAYO 2026'!Z108="POR RECOGER"),IF('MAYO 2026'!Y108&lt;&gt;"",'MAYO 2026'!Y108,'MAYO 2026'!I108),"")</f>
        <v/>
      </c>
      <c r="C524" s="381">
        <f>IF(AND('MAYO 2026'!D108&lt;&gt;"",'MAYO 2026'!Z108="POR RECOGER"),'MAYO 2026'!D108,"")</f>
        <v/>
      </c>
      <c r="D524" s="381">
        <f>IF(AND('MAYO 2026'!D108&lt;&gt;"",'MAYO 2026'!Z108="POR RECOGER"),'MAYO 2026'!F108,"")</f>
        <v/>
      </c>
      <c r="E524" s="381">
        <f>IF(AND('MAYO 2026'!D108&lt;&gt;"",'MAYO 2026'!Z108="POR RECOGER"),TEXT('MAYO 2026'!G108,"DD/MM/YYYY"),"")</f>
        <v/>
      </c>
      <c r="F524" s="381">
        <f>IF(AND('MAYO 2026'!D108&lt;&gt;"",'MAYO 2026'!Z108="POR RECOGER"),'MAYO 2026'!K108,"")</f>
        <v/>
      </c>
      <c r="G524" s="382">
        <f>IF(AND('MAYO 2026'!D108&lt;&gt;"",'MAYO 2026'!Z108="POR RECOGER"),'MAYO 2026'!M108,"")</f>
        <v/>
      </c>
      <c r="H524" s="382">
        <f>IF(AND('MAYO 2026'!D108&lt;&gt;"",'MAYO 2026'!Z108="POR RECOGER"),'MAYO 2026'!N108,"")</f>
        <v/>
      </c>
      <c r="I524" s="381">
        <f>IF(AND('MAYO 2026'!D108&lt;&gt;"",'MAYO 2026'!Z108="POR RECOGER"),'MAYO 2026'!P108,"")</f>
        <v/>
      </c>
      <c r="J524" s="381">
        <f>IF(AND('MAYO 2026'!D108&lt;&gt;"",'MAYO 2026'!Z108="POR RECOGER"),'MAYO 2026'!Q108,"")</f>
        <v/>
      </c>
      <c r="K524" s="381">
        <f>IF(AND('MAYO 2026'!D108&lt;&gt;"",'MAYO 2026'!Z108="POR RECOGER"),'MAYO 2026'!Y108,"")</f>
        <v/>
      </c>
      <c r="L524" s="381">
        <f>IF(AND('MAYO 2026'!D108&lt;&gt;"",'MAYO 2026'!Z108="POR RECOGER"),'MAYO 2026'!I108,"")</f>
        <v/>
      </c>
      <c r="P524" s="194" t="n"/>
      <c r="Q524" s="194" t="n"/>
      <c r="R524" s="194" t="n"/>
      <c r="S524" s="194" t="n"/>
      <c r="T524" s="194" t="n"/>
      <c r="U524" s="194" t="n"/>
      <c r="V524" s="194" t="n"/>
      <c r="W524" s="194" t="n"/>
      <c r="X524" s="194" t="n"/>
      <c r="Y524" s="194" t="n"/>
      <c r="Z524" s="194" t="n"/>
    </row>
    <row r="525" ht="15" customHeight="1" s="195">
      <c r="A525" s="381">
        <f>IF(AND('MAYO 2026'!D109&lt;&gt;"",'MAYO 2026'!Z109="POR RECOGER"),"MAY","")</f>
        <v/>
      </c>
      <c r="B525" s="381">
        <f>IF(AND('MAYO 2026'!D109&lt;&gt;"",'MAYO 2026'!Z109="POR RECOGER"),IF('MAYO 2026'!Y109&lt;&gt;"",'MAYO 2026'!Y109,'MAYO 2026'!I109),"")</f>
        <v/>
      </c>
      <c r="C525" s="381">
        <f>IF(AND('MAYO 2026'!D109&lt;&gt;"",'MAYO 2026'!Z109="POR RECOGER"),'MAYO 2026'!D109,"")</f>
        <v/>
      </c>
      <c r="D525" s="381">
        <f>IF(AND('MAYO 2026'!D109&lt;&gt;"",'MAYO 2026'!Z109="POR RECOGER"),'MAYO 2026'!F109,"")</f>
        <v/>
      </c>
      <c r="E525" s="381">
        <f>IF(AND('MAYO 2026'!D109&lt;&gt;"",'MAYO 2026'!Z109="POR RECOGER"),TEXT('MAYO 2026'!G109,"DD/MM/YYYY"),"")</f>
        <v/>
      </c>
      <c r="F525" s="381">
        <f>IF(AND('MAYO 2026'!D109&lt;&gt;"",'MAYO 2026'!Z109="POR RECOGER"),'MAYO 2026'!K109,"")</f>
        <v/>
      </c>
      <c r="G525" s="382">
        <f>IF(AND('MAYO 2026'!D109&lt;&gt;"",'MAYO 2026'!Z109="POR RECOGER"),'MAYO 2026'!M109,"")</f>
        <v/>
      </c>
      <c r="H525" s="382">
        <f>IF(AND('MAYO 2026'!D109&lt;&gt;"",'MAYO 2026'!Z109="POR RECOGER"),'MAYO 2026'!N109,"")</f>
        <v/>
      </c>
      <c r="I525" s="381">
        <f>IF(AND('MAYO 2026'!D109&lt;&gt;"",'MAYO 2026'!Z109="POR RECOGER"),'MAYO 2026'!P109,"")</f>
        <v/>
      </c>
      <c r="J525" s="381">
        <f>IF(AND('MAYO 2026'!D109&lt;&gt;"",'MAYO 2026'!Z109="POR RECOGER"),'MAYO 2026'!Q109,"")</f>
        <v/>
      </c>
      <c r="K525" s="381">
        <f>IF(AND('MAYO 2026'!D109&lt;&gt;"",'MAYO 2026'!Z109="POR RECOGER"),'MAYO 2026'!Y109,"")</f>
        <v/>
      </c>
      <c r="L525" s="381">
        <f>IF(AND('MAYO 2026'!D109&lt;&gt;"",'MAYO 2026'!Z109="POR RECOGER"),'MAYO 2026'!I109,"")</f>
        <v/>
      </c>
      <c r="P525" s="194" t="n"/>
      <c r="Q525" s="194" t="n"/>
      <c r="R525" s="194" t="n"/>
      <c r="S525" s="194" t="n"/>
      <c r="T525" s="194" t="n"/>
      <c r="U525" s="194" t="n"/>
      <c r="V525" s="194" t="n"/>
      <c r="W525" s="194" t="n"/>
      <c r="X525" s="194" t="n"/>
      <c r="Y525" s="194" t="n"/>
      <c r="Z525" s="194" t="n"/>
    </row>
    <row r="526" ht="15" customHeight="1" s="195">
      <c r="A526" s="381">
        <f>IF(AND('MAYO 2026'!D110&lt;&gt;"",'MAYO 2026'!Z110="POR RECOGER"),"MAY","")</f>
        <v/>
      </c>
      <c r="B526" s="381">
        <f>IF(AND('MAYO 2026'!D110&lt;&gt;"",'MAYO 2026'!Z110="POR RECOGER"),IF('MAYO 2026'!Y110&lt;&gt;"",'MAYO 2026'!Y110,'MAYO 2026'!I110),"")</f>
        <v/>
      </c>
      <c r="C526" s="381">
        <f>IF(AND('MAYO 2026'!D110&lt;&gt;"",'MAYO 2026'!Z110="POR RECOGER"),'MAYO 2026'!D110,"")</f>
        <v/>
      </c>
      <c r="D526" s="381">
        <f>IF(AND('MAYO 2026'!D110&lt;&gt;"",'MAYO 2026'!Z110="POR RECOGER"),'MAYO 2026'!F110,"")</f>
        <v/>
      </c>
      <c r="E526" s="381">
        <f>IF(AND('MAYO 2026'!D110&lt;&gt;"",'MAYO 2026'!Z110="POR RECOGER"),TEXT('MAYO 2026'!G110,"DD/MM/YYYY"),"")</f>
        <v/>
      </c>
      <c r="F526" s="381">
        <f>IF(AND('MAYO 2026'!D110&lt;&gt;"",'MAYO 2026'!Z110="POR RECOGER"),'MAYO 2026'!K110,"")</f>
        <v/>
      </c>
      <c r="G526" s="382">
        <f>IF(AND('MAYO 2026'!D110&lt;&gt;"",'MAYO 2026'!Z110="POR RECOGER"),'MAYO 2026'!M110,"")</f>
        <v/>
      </c>
      <c r="H526" s="382">
        <f>IF(AND('MAYO 2026'!D110&lt;&gt;"",'MAYO 2026'!Z110="POR RECOGER"),'MAYO 2026'!N110,"")</f>
        <v/>
      </c>
      <c r="I526" s="381">
        <f>IF(AND('MAYO 2026'!D110&lt;&gt;"",'MAYO 2026'!Z110="POR RECOGER"),'MAYO 2026'!P110,"")</f>
        <v/>
      </c>
      <c r="J526" s="381">
        <f>IF(AND('MAYO 2026'!D110&lt;&gt;"",'MAYO 2026'!Z110="POR RECOGER"),'MAYO 2026'!Q110,"")</f>
        <v/>
      </c>
      <c r="K526" s="381">
        <f>IF(AND('MAYO 2026'!D110&lt;&gt;"",'MAYO 2026'!Z110="POR RECOGER"),'MAYO 2026'!Y110,"")</f>
        <v/>
      </c>
      <c r="L526" s="381">
        <f>IF(AND('MAYO 2026'!D110&lt;&gt;"",'MAYO 2026'!Z110="POR RECOGER"),'MAYO 2026'!I110,"")</f>
        <v/>
      </c>
      <c r="P526" s="194" t="n"/>
      <c r="Q526" s="194" t="n"/>
      <c r="R526" s="194" t="n"/>
      <c r="S526" s="194" t="n"/>
      <c r="T526" s="194" t="n"/>
      <c r="U526" s="194" t="n"/>
      <c r="V526" s="194" t="n"/>
      <c r="W526" s="194" t="n"/>
      <c r="X526" s="194" t="n"/>
      <c r="Y526" s="194" t="n"/>
      <c r="Z526" s="194" t="n"/>
    </row>
    <row r="527" ht="15" customHeight="1" s="195">
      <c r="A527" s="381">
        <f>IF(AND('JUNIO 2026'!D6&lt;&gt;"",'JUNIO 2026'!Z6="POR RECOGER"),"JUN","")</f>
        <v/>
      </c>
      <c r="B527" s="381">
        <f>IF(AND('JUNIO 2026'!D6&lt;&gt;"",'JUNIO 2026'!Z6="POR RECOGER"),IF('JUNIO 2026'!Y6&lt;&gt;"",'JUNIO 2026'!Y6,'JUNIO 2026'!I6),"")</f>
        <v/>
      </c>
      <c r="C527" s="381">
        <f>IF(AND('JUNIO 2026'!D6&lt;&gt;"",'JUNIO 2026'!Z6="POR RECOGER"),'JUNIO 2026'!D6,"")</f>
        <v/>
      </c>
      <c r="D527" s="381">
        <f>IF(AND('JUNIO 2026'!D6&lt;&gt;"",'JUNIO 2026'!Z6="POR RECOGER"),'JUNIO 2026'!F6,"")</f>
        <v/>
      </c>
      <c r="E527" s="381">
        <f>IF(AND('JUNIO 2026'!D6&lt;&gt;"",'JUNIO 2026'!Z6="POR RECOGER"),TEXT('JUNIO 2026'!G6,"DD/MM/YYYY"),"")</f>
        <v/>
      </c>
      <c r="F527" s="381">
        <f>IF(AND('JUNIO 2026'!D6&lt;&gt;"",'JUNIO 2026'!Z6="POR RECOGER"),'JUNIO 2026'!K6,"")</f>
        <v/>
      </c>
      <c r="G527" s="382">
        <f>IF(AND('JUNIO 2026'!D6&lt;&gt;"",'JUNIO 2026'!Z6="POR RECOGER"),'JUNIO 2026'!M6,"")</f>
        <v/>
      </c>
      <c r="H527" s="382">
        <f>IF(AND('JUNIO 2026'!D6&lt;&gt;"",'JUNIO 2026'!Z6="POR RECOGER"),'JUNIO 2026'!N6,"")</f>
        <v/>
      </c>
      <c r="I527" s="381">
        <f>IF(AND('JUNIO 2026'!D6&lt;&gt;"",'JUNIO 2026'!Z6="POR RECOGER"),'JUNIO 2026'!P6,"")</f>
        <v/>
      </c>
      <c r="J527" s="381">
        <f>IF(AND('JUNIO 2026'!D6&lt;&gt;"",'JUNIO 2026'!Z6="POR RECOGER"),'JUNIO 2026'!Q6,"")</f>
        <v/>
      </c>
      <c r="K527" s="381">
        <f>IF(AND('JUNIO 2026'!D6&lt;&gt;"",'JUNIO 2026'!Z6="POR RECOGER"),'JUNIO 2026'!Y6,"")</f>
        <v/>
      </c>
      <c r="L527" s="381">
        <f>IF(AND('JUNIO 2026'!D6&lt;&gt;"",'JUNIO 2026'!Z6="POR RECOGER"),'JUNIO 2026'!I6,"")</f>
        <v/>
      </c>
      <c r="P527" s="194" t="n"/>
      <c r="Q527" s="194" t="n"/>
      <c r="R527" s="194" t="n"/>
      <c r="S527" s="194" t="n"/>
      <c r="T527" s="194" t="n"/>
      <c r="U527" s="194" t="n"/>
      <c r="V527" s="194" t="n"/>
      <c r="W527" s="194" t="n"/>
      <c r="X527" s="194" t="n"/>
      <c r="Y527" s="194" t="n"/>
      <c r="Z527" s="194" t="n"/>
    </row>
    <row r="528" ht="15" customHeight="1" s="195">
      <c r="A528" s="381">
        <f>IF(AND('JUNIO 2026'!D7&lt;&gt;"",'JUNIO 2026'!Z7="POR RECOGER"),"JUN","")</f>
        <v/>
      </c>
      <c r="B528" s="381">
        <f>IF(AND('JUNIO 2026'!D7&lt;&gt;"",'JUNIO 2026'!Z7="POR RECOGER"),IF('JUNIO 2026'!Y7&lt;&gt;"",'JUNIO 2026'!Y7,'JUNIO 2026'!I7),"")</f>
        <v/>
      </c>
      <c r="C528" s="381">
        <f>IF(AND('JUNIO 2026'!D7&lt;&gt;"",'JUNIO 2026'!Z7="POR RECOGER"),'JUNIO 2026'!D7,"")</f>
        <v/>
      </c>
      <c r="D528" s="381">
        <f>IF(AND('JUNIO 2026'!D7&lt;&gt;"",'JUNIO 2026'!Z7="POR RECOGER"),'JUNIO 2026'!F7,"")</f>
        <v/>
      </c>
      <c r="E528" s="381">
        <f>IF(AND('JUNIO 2026'!D7&lt;&gt;"",'JUNIO 2026'!Z7="POR RECOGER"),TEXT('JUNIO 2026'!G7,"DD/MM/YYYY"),"")</f>
        <v/>
      </c>
      <c r="F528" s="381">
        <f>IF(AND('JUNIO 2026'!D7&lt;&gt;"",'JUNIO 2026'!Z7="POR RECOGER"),'JUNIO 2026'!K7,"")</f>
        <v/>
      </c>
      <c r="G528" s="382">
        <f>IF(AND('JUNIO 2026'!D7&lt;&gt;"",'JUNIO 2026'!Z7="POR RECOGER"),'JUNIO 2026'!M7,"")</f>
        <v/>
      </c>
      <c r="H528" s="382">
        <f>IF(AND('JUNIO 2026'!D7&lt;&gt;"",'JUNIO 2026'!Z7="POR RECOGER"),'JUNIO 2026'!N7,"")</f>
        <v/>
      </c>
      <c r="I528" s="381">
        <f>IF(AND('JUNIO 2026'!D7&lt;&gt;"",'JUNIO 2026'!Z7="POR RECOGER"),'JUNIO 2026'!P7,"")</f>
        <v/>
      </c>
      <c r="J528" s="381">
        <f>IF(AND('JUNIO 2026'!D7&lt;&gt;"",'JUNIO 2026'!Z7="POR RECOGER"),'JUNIO 2026'!Q7,"")</f>
        <v/>
      </c>
      <c r="K528" s="381">
        <f>IF(AND('JUNIO 2026'!D7&lt;&gt;"",'JUNIO 2026'!Z7="POR RECOGER"),'JUNIO 2026'!Y7,"")</f>
        <v/>
      </c>
      <c r="L528" s="381">
        <f>IF(AND('JUNIO 2026'!D7&lt;&gt;"",'JUNIO 2026'!Z7="POR RECOGER"),'JUNIO 2026'!I7,"")</f>
        <v/>
      </c>
      <c r="P528" s="194" t="n"/>
      <c r="Q528" s="194" t="n"/>
      <c r="R528" s="194" t="n"/>
      <c r="S528" s="194" t="n"/>
      <c r="T528" s="194" t="n"/>
      <c r="U528" s="194" t="n"/>
      <c r="V528" s="194" t="n"/>
      <c r="W528" s="194" t="n"/>
      <c r="X528" s="194" t="n"/>
      <c r="Y528" s="194" t="n"/>
      <c r="Z528" s="194" t="n"/>
    </row>
    <row r="529" ht="15" customHeight="1" s="195">
      <c r="A529" s="381">
        <f>IF(AND('JUNIO 2026'!D8&lt;&gt;"",'JUNIO 2026'!Z8="POR RECOGER"),"JUN","")</f>
        <v/>
      </c>
      <c r="B529" s="381">
        <f>IF(AND('JUNIO 2026'!D8&lt;&gt;"",'JUNIO 2026'!Z8="POR RECOGER"),IF('JUNIO 2026'!Y8&lt;&gt;"",'JUNIO 2026'!Y8,'JUNIO 2026'!I8),"")</f>
        <v/>
      </c>
      <c r="C529" s="381">
        <f>IF(AND('JUNIO 2026'!D8&lt;&gt;"",'JUNIO 2026'!Z8="POR RECOGER"),'JUNIO 2026'!D8,"")</f>
        <v/>
      </c>
      <c r="D529" s="381">
        <f>IF(AND('JUNIO 2026'!D8&lt;&gt;"",'JUNIO 2026'!Z8="POR RECOGER"),'JUNIO 2026'!F8,"")</f>
        <v/>
      </c>
      <c r="E529" s="381">
        <f>IF(AND('JUNIO 2026'!D8&lt;&gt;"",'JUNIO 2026'!Z8="POR RECOGER"),TEXT('JUNIO 2026'!G8,"DD/MM/YYYY"),"")</f>
        <v/>
      </c>
      <c r="F529" s="381">
        <f>IF(AND('JUNIO 2026'!D8&lt;&gt;"",'JUNIO 2026'!Z8="POR RECOGER"),'JUNIO 2026'!K8,"")</f>
        <v/>
      </c>
      <c r="G529" s="382">
        <f>IF(AND('JUNIO 2026'!D8&lt;&gt;"",'JUNIO 2026'!Z8="POR RECOGER"),'JUNIO 2026'!M8,"")</f>
        <v/>
      </c>
      <c r="H529" s="382">
        <f>IF(AND('JUNIO 2026'!D8&lt;&gt;"",'JUNIO 2026'!Z8="POR RECOGER"),'JUNIO 2026'!N8,"")</f>
        <v/>
      </c>
      <c r="I529" s="381">
        <f>IF(AND('JUNIO 2026'!D8&lt;&gt;"",'JUNIO 2026'!Z8="POR RECOGER"),'JUNIO 2026'!P8,"")</f>
        <v/>
      </c>
      <c r="J529" s="381">
        <f>IF(AND('JUNIO 2026'!D8&lt;&gt;"",'JUNIO 2026'!Z8="POR RECOGER"),'JUNIO 2026'!Q8,"")</f>
        <v/>
      </c>
      <c r="K529" s="381">
        <f>IF(AND('JUNIO 2026'!D8&lt;&gt;"",'JUNIO 2026'!Z8="POR RECOGER"),'JUNIO 2026'!Y8,"")</f>
        <v/>
      </c>
      <c r="L529" s="381">
        <f>IF(AND('JUNIO 2026'!D8&lt;&gt;"",'JUNIO 2026'!Z8="POR RECOGER"),'JUNIO 2026'!I8,"")</f>
        <v/>
      </c>
      <c r="P529" s="194" t="n"/>
      <c r="Q529" s="194" t="n"/>
      <c r="R529" s="194" t="n"/>
      <c r="S529" s="194" t="n"/>
      <c r="T529" s="194" t="n"/>
      <c r="U529" s="194" t="n"/>
      <c r="V529" s="194" t="n"/>
      <c r="W529" s="194" t="n"/>
      <c r="X529" s="194" t="n"/>
      <c r="Y529" s="194" t="n"/>
      <c r="Z529" s="194" t="n"/>
    </row>
    <row r="530" ht="15" customHeight="1" s="195">
      <c r="A530" s="381">
        <f>IF(AND('JUNIO 2026'!D9&lt;&gt;"",'JUNIO 2026'!Z9="POR RECOGER"),"JUN","")</f>
        <v/>
      </c>
      <c r="B530" s="381">
        <f>IF(AND('JUNIO 2026'!D9&lt;&gt;"",'JUNIO 2026'!Z9="POR RECOGER"),IF('JUNIO 2026'!Y9&lt;&gt;"",'JUNIO 2026'!Y9,'JUNIO 2026'!I9),"")</f>
        <v/>
      </c>
      <c r="C530" s="381">
        <f>IF(AND('JUNIO 2026'!D9&lt;&gt;"",'JUNIO 2026'!Z9="POR RECOGER"),'JUNIO 2026'!D9,"")</f>
        <v/>
      </c>
      <c r="D530" s="381">
        <f>IF(AND('JUNIO 2026'!D9&lt;&gt;"",'JUNIO 2026'!Z9="POR RECOGER"),'JUNIO 2026'!F9,"")</f>
        <v/>
      </c>
      <c r="E530" s="381">
        <f>IF(AND('JUNIO 2026'!D9&lt;&gt;"",'JUNIO 2026'!Z9="POR RECOGER"),TEXT('JUNIO 2026'!G9,"DD/MM/YYYY"),"")</f>
        <v/>
      </c>
      <c r="F530" s="381">
        <f>IF(AND('JUNIO 2026'!D9&lt;&gt;"",'JUNIO 2026'!Z9="POR RECOGER"),'JUNIO 2026'!K9,"")</f>
        <v/>
      </c>
      <c r="G530" s="382">
        <f>IF(AND('JUNIO 2026'!D9&lt;&gt;"",'JUNIO 2026'!Z9="POR RECOGER"),'JUNIO 2026'!M9,"")</f>
        <v/>
      </c>
      <c r="H530" s="382">
        <f>IF(AND('JUNIO 2026'!D9&lt;&gt;"",'JUNIO 2026'!Z9="POR RECOGER"),'JUNIO 2026'!N9,"")</f>
        <v/>
      </c>
      <c r="I530" s="381">
        <f>IF(AND('JUNIO 2026'!D9&lt;&gt;"",'JUNIO 2026'!Z9="POR RECOGER"),'JUNIO 2026'!P9,"")</f>
        <v/>
      </c>
      <c r="J530" s="381">
        <f>IF(AND('JUNIO 2026'!D9&lt;&gt;"",'JUNIO 2026'!Z9="POR RECOGER"),'JUNIO 2026'!Q9,"")</f>
        <v/>
      </c>
      <c r="K530" s="381">
        <f>IF(AND('JUNIO 2026'!D9&lt;&gt;"",'JUNIO 2026'!Z9="POR RECOGER"),'JUNIO 2026'!Y9,"")</f>
        <v/>
      </c>
      <c r="L530" s="381">
        <f>IF(AND('JUNIO 2026'!D9&lt;&gt;"",'JUNIO 2026'!Z9="POR RECOGER"),'JUNIO 2026'!I9,"")</f>
        <v/>
      </c>
      <c r="P530" s="194" t="n"/>
      <c r="Q530" s="194" t="n"/>
      <c r="R530" s="194" t="n"/>
      <c r="S530" s="194" t="n"/>
      <c r="T530" s="194" t="n"/>
      <c r="U530" s="194" t="n"/>
      <c r="V530" s="194" t="n"/>
      <c r="W530" s="194" t="n"/>
      <c r="X530" s="194" t="n"/>
      <c r="Y530" s="194" t="n"/>
      <c r="Z530" s="194" t="n"/>
    </row>
    <row r="531" ht="15" customHeight="1" s="195">
      <c r="A531" s="381">
        <f>IF(AND('JUNIO 2026'!D10&lt;&gt;"",'JUNIO 2026'!Z10="POR RECOGER"),"JUN","")</f>
        <v/>
      </c>
      <c r="B531" s="381">
        <f>IF(AND('JUNIO 2026'!D10&lt;&gt;"",'JUNIO 2026'!Z10="POR RECOGER"),IF('JUNIO 2026'!Y10&lt;&gt;"",'JUNIO 2026'!Y10,'JUNIO 2026'!I10),"")</f>
        <v/>
      </c>
      <c r="C531" s="381">
        <f>IF(AND('JUNIO 2026'!D10&lt;&gt;"",'JUNIO 2026'!Z10="POR RECOGER"),'JUNIO 2026'!D10,"")</f>
        <v/>
      </c>
      <c r="D531" s="381">
        <f>IF(AND('JUNIO 2026'!D10&lt;&gt;"",'JUNIO 2026'!Z10="POR RECOGER"),'JUNIO 2026'!F10,"")</f>
        <v/>
      </c>
      <c r="E531" s="381">
        <f>IF(AND('JUNIO 2026'!D10&lt;&gt;"",'JUNIO 2026'!Z10="POR RECOGER"),TEXT('JUNIO 2026'!G10,"DD/MM/YYYY"),"")</f>
        <v/>
      </c>
      <c r="F531" s="381">
        <f>IF(AND('JUNIO 2026'!D10&lt;&gt;"",'JUNIO 2026'!Z10="POR RECOGER"),'JUNIO 2026'!K10,"")</f>
        <v/>
      </c>
      <c r="G531" s="382">
        <f>IF(AND('JUNIO 2026'!D10&lt;&gt;"",'JUNIO 2026'!Z10="POR RECOGER"),'JUNIO 2026'!M10,"")</f>
        <v/>
      </c>
      <c r="H531" s="382">
        <f>IF(AND('JUNIO 2026'!D10&lt;&gt;"",'JUNIO 2026'!Z10="POR RECOGER"),'JUNIO 2026'!N10,"")</f>
        <v/>
      </c>
      <c r="I531" s="381">
        <f>IF(AND('JUNIO 2026'!D10&lt;&gt;"",'JUNIO 2026'!Z10="POR RECOGER"),'JUNIO 2026'!P10,"")</f>
        <v/>
      </c>
      <c r="J531" s="381">
        <f>IF(AND('JUNIO 2026'!D10&lt;&gt;"",'JUNIO 2026'!Z10="POR RECOGER"),'JUNIO 2026'!Q10,"")</f>
        <v/>
      </c>
      <c r="K531" s="381">
        <f>IF(AND('JUNIO 2026'!D10&lt;&gt;"",'JUNIO 2026'!Z10="POR RECOGER"),'JUNIO 2026'!Y10,"")</f>
        <v/>
      </c>
      <c r="L531" s="381">
        <f>IF(AND('JUNIO 2026'!D10&lt;&gt;"",'JUNIO 2026'!Z10="POR RECOGER"),'JUNIO 2026'!I10,"")</f>
        <v/>
      </c>
      <c r="P531" s="194" t="n"/>
      <c r="Q531" s="194" t="n"/>
      <c r="R531" s="194" t="n"/>
      <c r="S531" s="194" t="n"/>
      <c r="T531" s="194" t="n"/>
      <c r="U531" s="194" t="n"/>
      <c r="V531" s="194" t="n"/>
      <c r="W531" s="194" t="n"/>
      <c r="X531" s="194" t="n"/>
      <c r="Y531" s="194" t="n"/>
      <c r="Z531" s="194" t="n"/>
    </row>
    <row r="532" ht="15" customHeight="1" s="195">
      <c r="A532" s="381">
        <f>IF(AND('JUNIO 2026'!D11&lt;&gt;"",'JUNIO 2026'!Z11="POR RECOGER"),"JUN","")</f>
        <v/>
      </c>
      <c r="B532" s="381">
        <f>IF(AND('JUNIO 2026'!D11&lt;&gt;"",'JUNIO 2026'!Z11="POR RECOGER"),IF('JUNIO 2026'!Y11&lt;&gt;"",'JUNIO 2026'!Y11,'JUNIO 2026'!I11),"")</f>
        <v/>
      </c>
      <c r="C532" s="381">
        <f>IF(AND('JUNIO 2026'!D11&lt;&gt;"",'JUNIO 2026'!Z11="POR RECOGER"),'JUNIO 2026'!D11,"")</f>
        <v/>
      </c>
      <c r="D532" s="381">
        <f>IF(AND('JUNIO 2026'!D11&lt;&gt;"",'JUNIO 2026'!Z11="POR RECOGER"),'JUNIO 2026'!F11,"")</f>
        <v/>
      </c>
      <c r="E532" s="381">
        <f>IF(AND('JUNIO 2026'!D11&lt;&gt;"",'JUNIO 2026'!Z11="POR RECOGER"),TEXT('JUNIO 2026'!G11,"DD/MM/YYYY"),"")</f>
        <v/>
      </c>
      <c r="F532" s="381">
        <f>IF(AND('JUNIO 2026'!D11&lt;&gt;"",'JUNIO 2026'!Z11="POR RECOGER"),'JUNIO 2026'!K11,"")</f>
        <v/>
      </c>
      <c r="G532" s="382">
        <f>IF(AND('JUNIO 2026'!D11&lt;&gt;"",'JUNIO 2026'!Z11="POR RECOGER"),'JUNIO 2026'!M11,"")</f>
        <v/>
      </c>
      <c r="H532" s="382">
        <f>IF(AND('JUNIO 2026'!D11&lt;&gt;"",'JUNIO 2026'!Z11="POR RECOGER"),'JUNIO 2026'!N11,"")</f>
        <v/>
      </c>
      <c r="I532" s="381">
        <f>IF(AND('JUNIO 2026'!D11&lt;&gt;"",'JUNIO 2026'!Z11="POR RECOGER"),'JUNIO 2026'!P11,"")</f>
        <v/>
      </c>
      <c r="J532" s="381">
        <f>IF(AND('JUNIO 2026'!D11&lt;&gt;"",'JUNIO 2026'!Z11="POR RECOGER"),'JUNIO 2026'!Q11,"")</f>
        <v/>
      </c>
      <c r="K532" s="381">
        <f>IF(AND('JUNIO 2026'!D11&lt;&gt;"",'JUNIO 2026'!Z11="POR RECOGER"),'JUNIO 2026'!Y11,"")</f>
        <v/>
      </c>
      <c r="L532" s="381">
        <f>IF(AND('JUNIO 2026'!D11&lt;&gt;"",'JUNIO 2026'!Z11="POR RECOGER"),'JUNIO 2026'!I11,"")</f>
        <v/>
      </c>
      <c r="P532" s="194" t="n"/>
      <c r="Q532" s="194" t="n"/>
      <c r="R532" s="194" t="n"/>
      <c r="S532" s="194" t="n"/>
      <c r="T532" s="194" t="n"/>
      <c r="U532" s="194" t="n"/>
      <c r="V532" s="194" t="n"/>
      <c r="W532" s="194" t="n"/>
      <c r="X532" s="194" t="n"/>
      <c r="Y532" s="194" t="n"/>
      <c r="Z532" s="194" t="n"/>
    </row>
    <row r="533" ht="15" customHeight="1" s="195">
      <c r="A533" s="381">
        <f>IF(AND('JUNIO 2026'!D12&lt;&gt;"",'JUNIO 2026'!Z12="POR RECOGER"),"JUN","")</f>
        <v/>
      </c>
      <c r="B533" s="381">
        <f>IF(AND('JUNIO 2026'!D12&lt;&gt;"",'JUNIO 2026'!Z12="POR RECOGER"),IF('JUNIO 2026'!Y12&lt;&gt;"",'JUNIO 2026'!Y12,'JUNIO 2026'!I12),"")</f>
        <v/>
      </c>
      <c r="C533" s="381">
        <f>IF(AND('JUNIO 2026'!D12&lt;&gt;"",'JUNIO 2026'!Z12="POR RECOGER"),'JUNIO 2026'!D12,"")</f>
        <v/>
      </c>
      <c r="D533" s="381">
        <f>IF(AND('JUNIO 2026'!D12&lt;&gt;"",'JUNIO 2026'!Z12="POR RECOGER"),'JUNIO 2026'!F12,"")</f>
        <v/>
      </c>
      <c r="E533" s="381">
        <f>IF(AND('JUNIO 2026'!D12&lt;&gt;"",'JUNIO 2026'!Z12="POR RECOGER"),TEXT('JUNIO 2026'!G12,"DD/MM/YYYY"),"")</f>
        <v/>
      </c>
      <c r="F533" s="381">
        <f>IF(AND('JUNIO 2026'!D12&lt;&gt;"",'JUNIO 2026'!Z12="POR RECOGER"),'JUNIO 2026'!K12,"")</f>
        <v/>
      </c>
      <c r="G533" s="382">
        <f>IF(AND('JUNIO 2026'!D12&lt;&gt;"",'JUNIO 2026'!Z12="POR RECOGER"),'JUNIO 2026'!M12,"")</f>
        <v/>
      </c>
      <c r="H533" s="382">
        <f>IF(AND('JUNIO 2026'!D12&lt;&gt;"",'JUNIO 2026'!Z12="POR RECOGER"),'JUNIO 2026'!N12,"")</f>
        <v/>
      </c>
      <c r="I533" s="381">
        <f>IF(AND('JUNIO 2026'!D12&lt;&gt;"",'JUNIO 2026'!Z12="POR RECOGER"),'JUNIO 2026'!P12,"")</f>
        <v/>
      </c>
      <c r="J533" s="381">
        <f>IF(AND('JUNIO 2026'!D12&lt;&gt;"",'JUNIO 2026'!Z12="POR RECOGER"),'JUNIO 2026'!Q12,"")</f>
        <v/>
      </c>
      <c r="K533" s="381">
        <f>IF(AND('JUNIO 2026'!D12&lt;&gt;"",'JUNIO 2026'!Z12="POR RECOGER"),'JUNIO 2026'!Y12,"")</f>
        <v/>
      </c>
      <c r="L533" s="381">
        <f>IF(AND('JUNIO 2026'!D12&lt;&gt;"",'JUNIO 2026'!Z12="POR RECOGER"),'JUNIO 2026'!I12,"")</f>
        <v/>
      </c>
      <c r="P533" s="194" t="n"/>
      <c r="Q533" s="194" t="n"/>
      <c r="R533" s="194" t="n"/>
      <c r="S533" s="194" t="n"/>
      <c r="T533" s="194" t="n"/>
      <c r="U533" s="194" t="n"/>
      <c r="V533" s="194" t="n"/>
      <c r="W533" s="194" t="n"/>
      <c r="X533" s="194" t="n"/>
      <c r="Y533" s="194" t="n"/>
      <c r="Z533" s="194" t="n"/>
    </row>
    <row r="534" ht="15" customHeight="1" s="195">
      <c r="A534" s="381">
        <f>IF(AND('JUNIO 2026'!D13&lt;&gt;"",'JUNIO 2026'!Z13="POR RECOGER"),"JUN","")</f>
        <v/>
      </c>
      <c r="B534" s="381">
        <f>IF(AND('JUNIO 2026'!D13&lt;&gt;"",'JUNIO 2026'!Z13="POR RECOGER"),IF('JUNIO 2026'!Y13&lt;&gt;"",'JUNIO 2026'!Y13,'JUNIO 2026'!I13),"")</f>
        <v/>
      </c>
      <c r="C534" s="381">
        <f>IF(AND('JUNIO 2026'!D13&lt;&gt;"",'JUNIO 2026'!Z13="POR RECOGER"),'JUNIO 2026'!D13,"")</f>
        <v/>
      </c>
      <c r="D534" s="381">
        <f>IF(AND('JUNIO 2026'!D13&lt;&gt;"",'JUNIO 2026'!Z13="POR RECOGER"),'JUNIO 2026'!F13,"")</f>
        <v/>
      </c>
      <c r="E534" s="381">
        <f>IF(AND('JUNIO 2026'!D13&lt;&gt;"",'JUNIO 2026'!Z13="POR RECOGER"),TEXT('JUNIO 2026'!G13,"DD/MM/YYYY"),"")</f>
        <v/>
      </c>
      <c r="F534" s="381">
        <f>IF(AND('JUNIO 2026'!D13&lt;&gt;"",'JUNIO 2026'!Z13="POR RECOGER"),'JUNIO 2026'!K13,"")</f>
        <v/>
      </c>
      <c r="G534" s="382">
        <f>IF(AND('JUNIO 2026'!D13&lt;&gt;"",'JUNIO 2026'!Z13="POR RECOGER"),'JUNIO 2026'!M13,"")</f>
        <v/>
      </c>
      <c r="H534" s="382">
        <f>IF(AND('JUNIO 2026'!D13&lt;&gt;"",'JUNIO 2026'!Z13="POR RECOGER"),'JUNIO 2026'!N13,"")</f>
        <v/>
      </c>
      <c r="I534" s="381">
        <f>IF(AND('JUNIO 2026'!D13&lt;&gt;"",'JUNIO 2026'!Z13="POR RECOGER"),'JUNIO 2026'!P13,"")</f>
        <v/>
      </c>
      <c r="J534" s="381">
        <f>IF(AND('JUNIO 2026'!D13&lt;&gt;"",'JUNIO 2026'!Z13="POR RECOGER"),'JUNIO 2026'!Q13,"")</f>
        <v/>
      </c>
      <c r="K534" s="381">
        <f>IF(AND('JUNIO 2026'!D13&lt;&gt;"",'JUNIO 2026'!Z13="POR RECOGER"),'JUNIO 2026'!Y13,"")</f>
        <v/>
      </c>
      <c r="L534" s="381">
        <f>IF(AND('JUNIO 2026'!D13&lt;&gt;"",'JUNIO 2026'!Z13="POR RECOGER"),'JUNIO 2026'!I13,"")</f>
        <v/>
      </c>
      <c r="P534" s="194" t="n"/>
      <c r="Q534" s="194" t="n"/>
      <c r="R534" s="194" t="n"/>
      <c r="S534" s="194" t="n"/>
      <c r="T534" s="194" t="n"/>
      <c r="U534" s="194" t="n"/>
      <c r="V534" s="194" t="n"/>
      <c r="W534" s="194" t="n"/>
      <c r="X534" s="194" t="n"/>
      <c r="Y534" s="194" t="n"/>
      <c r="Z534" s="194" t="n"/>
    </row>
    <row r="535" ht="15" customHeight="1" s="195">
      <c r="A535" s="381">
        <f>IF(AND('JUNIO 2026'!D14&lt;&gt;"",'JUNIO 2026'!Z14="POR RECOGER"),"JUN","")</f>
        <v/>
      </c>
      <c r="B535" s="381">
        <f>IF(AND('JUNIO 2026'!D14&lt;&gt;"",'JUNIO 2026'!Z14="POR RECOGER"),IF('JUNIO 2026'!Y14&lt;&gt;"",'JUNIO 2026'!Y14,'JUNIO 2026'!I14),"")</f>
        <v/>
      </c>
      <c r="C535" s="381">
        <f>IF(AND('JUNIO 2026'!D14&lt;&gt;"",'JUNIO 2026'!Z14="POR RECOGER"),'JUNIO 2026'!D14,"")</f>
        <v/>
      </c>
      <c r="D535" s="381">
        <f>IF(AND('JUNIO 2026'!D14&lt;&gt;"",'JUNIO 2026'!Z14="POR RECOGER"),'JUNIO 2026'!F14,"")</f>
        <v/>
      </c>
      <c r="E535" s="381">
        <f>IF(AND('JUNIO 2026'!D14&lt;&gt;"",'JUNIO 2026'!Z14="POR RECOGER"),TEXT('JUNIO 2026'!G14,"DD/MM/YYYY"),"")</f>
        <v/>
      </c>
      <c r="F535" s="381">
        <f>IF(AND('JUNIO 2026'!D14&lt;&gt;"",'JUNIO 2026'!Z14="POR RECOGER"),'JUNIO 2026'!K14,"")</f>
        <v/>
      </c>
      <c r="G535" s="382">
        <f>IF(AND('JUNIO 2026'!D14&lt;&gt;"",'JUNIO 2026'!Z14="POR RECOGER"),'JUNIO 2026'!M14,"")</f>
        <v/>
      </c>
      <c r="H535" s="382">
        <f>IF(AND('JUNIO 2026'!D14&lt;&gt;"",'JUNIO 2026'!Z14="POR RECOGER"),'JUNIO 2026'!N14,"")</f>
        <v/>
      </c>
      <c r="I535" s="381">
        <f>IF(AND('JUNIO 2026'!D14&lt;&gt;"",'JUNIO 2026'!Z14="POR RECOGER"),'JUNIO 2026'!P14,"")</f>
        <v/>
      </c>
      <c r="J535" s="381">
        <f>IF(AND('JUNIO 2026'!D14&lt;&gt;"",'JUNIO 2026'!Z14="POR RECOGER"),'JUNIO 2026'!Q14,"")</f>
        <v/>
      </c>
      <c r="K535" s="381">
        <f>IF(AND('JUNIO 2026'!D14&lt;&gt;"",'JUNIO 2026'!Z14="POR RECOGER"),'JUNIO 2026'!Y14,"")</f>
        <v/>
      </c>
      <c r="L535" s="381">
        <f>IF(AND('JUNIO 2026'!D14&lt;&gt;"",'JUNIO 2026'!Z14="POR RECOGER"),'JUNIO 2026'!I14,"")</f>
        <v/>
      </c>
      <c r="P535" s="194" t="n"/>
      <c r="Q535" s="194" t="n"/>
      <c r="R535" s="194" t="n"/>
      <c r="S535" s="194" t="n"/>
      <c r="T535" s="194" t="n"/>
      <c r="U535" s="194" t="n"/>
      <c r="V535" s="194" t="n"/>
      <c r="W535" s="194" t="n"/>
      <c r="X535" s="194" t="n"/>
      <c r="Y535" s="194" t="n"/>
      <c r="Z535" s="194" t="n"/>
    </row>
    <row r="536" ht="15" customHeight="1" s="195">
      <c r="A536" s="381">
        <f>IF(AND('JUNIO 2026'!D15&lt;&gt;"",'JUNIO 2026'!Z15="POR RECOGER"),"JUN","")</f>
        <v/>
      </c>
      <c r="B536" s="381">
        <f>IF(AND('JUNIO 2026'!D15&lt;&gt;"",'JUNIO 2026'!Z15="POR RECOGER"),IF('JUNIO 2026'!Y15&lt;&gt;"",'JUNIO 2026'!Y15,'JUNIO 2026'!I15),"")</f>
        <v/>
      </c>
      <c r="C536" s="381">
        <f>IF(AND('JUNIO 2026'!D15&lt;&gt;"",'JUNIO 2026'!Z15="POR RECOGER"),'JUNIO 2026'!D15,"")</f>
        <v/>
      </c>
      <c r="D536" s="381">
        <f>IF(AND('JUNIO 2026'!D15&lt;&gt;"",'JUNIO 2026'!Z15="POR RECOGER"),'JUNIO 2026'!F15,"")</f>
        <v/>
      </c>
      <c r="E536" s="381">
        <f>IF(AND('JUNIO 2026'!D15&lt;&gt;"",'JUNIO 2026'!Z15="POR RECOGER"),TEXT('JUNIO 2026'!G15,"DD/MM/YYYY"),"")</f>
        <v/>
      </c>
      <c r="F536" s="381">
        <f>IF(AND('JUNIO 2026'!D15&lt;&gt;"",'JUNIO 2026'!Z15="POR RECOGER"),'JUNIO 2026'!K15,"")</f>
        <v/>
      </c>
      <c r="G536" s="382">
        <f>IF(AND('JUNIO 2026'!D15&lt;&gt;"",'JUNIO 2026'!Z15="POR RECOGER"),'JUNIO 2026'!M15,"")</f>
        <v/>
      </c>
      <c r="H536" s="382">
        <f>IF(AND('JUNIO 2026'!D15&lt;&gt;"",'JUNIO 2026'!Z15="POR RECOGER"),'JUNIO 2026'!N15,"")</f>
        <v/>
      </c>
      <c r="I536" s="381">
        <f>IF(AND('JUNIO 2026'!D15&lt;&gt;"",'JUNIO 2026'!Z15="POR RECOGER"),'JUNIO 2026'!P15,"")</f>
        <v/>
      </c>
      <c r="J536" s="381">
        <f>IF(AND('JUNIO 2026'!D15&lt;&gt;"",'JUNIO 2026'!Z15="POR RECOGER"),'JUNIO 2026'!Q15,"")</f>
        <v/>
      </c>
      <c r="K536" s="381">
        <f>IF(AND('JUNIO 2026'!D15&lt;&gt;"",'JUNIO 2026'!Z15="POR RECOGER"),'JUNIO 2026'!Y15,"")</f>
        <v/>
      </c>
      <c r="L536" s="381">
        <f>IF(AND('JUNIO 2026'!D15&lt;&gt;"",'JUNIO 2026'!Z15="POR RECOGER"),'JUNIO 2026'!I15,"")</f>
        <v/>
      </c>
      <c r="P536" s="194" t="n"/>
      <c r="Q536" s="194" t="n"/>
      <c r="R536" s="194" t="n"/>
      <c r="S536" s="194" t="n"/>
      <c r="T536" s="194" t="n"/>
      <c r="U536" s="194" t="n"/>
      <c r="V536" s="194" t="n"/>
      <c r="W536" s="194" t="n"/>
      <c r="X536" s="194" t="n"/>
      <c r="Y536" s="194" t="n"/>
      <c r="Z536" s="194" t="n"/>
    </row>
    <row r="537" ht="15" customHeight="1" s="195">
      <c r="A537" s="381">
        <f>IF(AND('JUNIO 2026'!D16&lt;&gt;"",'JUNIO 2026'!Z16="POR RECOGER"),"JUN","")</f>
        <v/>
      </c>
      <c r="B537" s="381">
        <f>IF(AND('JUNIO 2026'!D16&lt;&gt;"",'JUNIO 2026'!Z16="POR RECOGER"),IF('JUNIO 2026'!Y16&lt;&gt;"",'JUNIO 2026'!Y16,'JUNIO 2026'!I16),"")</f>
        <v/>
      </c>
      <c r="C537" s="381">
        <f>IF(AND('JUNIO 2026'!D16&lt;&gt;"",'JUNIO 2026'!Z16="POR RECOGER"),'JUNIO 2026'!D16,"")</f>
        <v/>
      </c>
      <c r="D537" s="381">
        <f>IF(AND('JUNIO 2026'!D16&lt;&gt;"",'JUNIO 2026'!Z16="POR RECOGER"),'JUNIO 2026'!F16,"")</f>
        <v/>
      </c>
      <c r="E537" s="381">
        <f>IF(AND('JUNIO 2026'!D16&lt;&gt;"",'JUNIO 2026'!Z16="POR RECOGER"),TEXT('JUNIO 2026'!G16,"DD/MM/YYYY"),"")</f>
        <v/>
      </c>
      <c r="F537" s="381">
        <f>IF(AND('JUNIO 2026'!D16&lt;&gt;"",'JUNIO 2026'!Z16="POR RECOGER"),'JUNIO 2026'!K16,"")</f>
        <v/>
      </c>
      <c r="G537" s="382">
        <f>IF(AND('JUNIO 2026'!D16&lt;&gt;"",'JUNIO 2026'!Z16="POR RECOGER"),'JUNIO 2026'!M16,"")</f>
        <v/>
      </c>
      <c r="H537" s="382">
        <f>IF(AND('JUNIO 2026'!D16&lt;&gt;"",'JUNIO 2026'!Z16="POR RECOGER"),'JUNIO 2026'!N16,"")</f>
        <v/>
      </c>
      <c r="I537" s="381">
        <f>IF(AND('JUNIO 2026'!D16&lt;&gt;"",'JUNIO 2026'!Z16="POR RECOGER"),'JUNIO 2026'!P16,"")</f>
        <v/>
      </c>
      <c r="J537" s="381">
        <f>IF(AND('JUNIO 2026'!D16&lt;&gt;"",'JUNIO 2026'!Z16="POR RECOGER"),'JUNIO 2026'!Q16,"")</f>
        <v/>
      </c>
      <c r="K537" s="381">
        <f>IF(AND('JUNIO 2026'!D16&lt;&gt;"",'JUNIO 2026'!Z16="POR RECOGER"),'JUNIO 2026'!Y16,"")</f>
        <v/>
      </c>
      <c r="L537" s="381">
        <f>IF(AND('JUNIO 2026'!D16&lt;&gt;"",'JUNIO 2026'!Z16="POR RECOGER"),'JUNIO 2026'!I16,"")</f>
        <v/>
      </c>
      <c r="P537" s="194" t="n"/>
      <c r="Q537" s="194" t="n"/>
      <c r="R537" s="194" t="n"/>
      <c r="S537" s="194" t="n"/>
      <c r="T537" s="194" t="n"/>
      <c r="U537" s="194" t="n"/>
      <c r="V537" s="194" t="n"/>
      <c r="W537" s="194" t="n"/>
      <c r="X537" s="194" t="n"/>
      <c r="Y537" s="194" t="n"/>
      <c r="Z537" s="194" t="n"/>
    </row>
    <row r="538" ht="15" customHeight="1" s="195">
      <c r="A538" s="381">
        <f>IF(AND('JUNIO 2026'!D17&lt;&gt;"",'JUNIO 2026'!Z17="POR RECOGER"),"JUN","")</f>
        <v/>
      </c>
      <c r="B538" s="381">
        <f>IF(AND('JUNIO 2026'!D17&lt;&gt;"",'JUNIO 2026'!Z17="POR RECOGER"),IF('JUNIO 2026'!Y17&lt;&gt;"",'JUNIO 2026'!Y17,'JUNIO 2026'!I17),"")</f>
        <v/>
      </c>
      <c r="C538" s="381">
        <f>IF(AND('JUNIO 2026'!D17&lt;&gt;"",'JUNIO 2026'!Z17="POR RECOGER"),'JUNIO 2026'!D17,"")</f>
        <v/>
      </c>
      <c r="D538" s="381">
        <f>IF(AND('JUNIO 2026'!D17&lt;&gt;"",'JUNIO 2026'!Z17="POR RECOGER"),'JUNIO 2026'!F17,"")</f>
        <v/>
      </c>
      <c r="E538" s="381">
        <f>IF(AND('JUNIO 2026'!D17&lt;&gt;"",'JUNIO 2026'!Z17="POR RECOGER"),TEXT('JUNIO 2026'!G17,"DD/MM/YYYY"),"")</f>
        <v/>
      </c>
      <c r="F538" s="381">
        <f>IF(AND('JUNIO 2026'!D17&lt;&gt;"",'JUNIO 2026'!Z17="POR RECOGER"),'JUNIO 2026'!K17,"")</f>
        <v/>
      </c>
      <c r="G538" s="382">
        <f>IF(AND('JUNIO 2026'!D17&lt;&gt;"",'JUNIO 2026'!Z17="POR RECOGER"),'JUNIO 2026'!M17,"")</f>
        <v/>
      </c>
      <c r="H538" s="382">
        <f>IF(AND('JUNIO 2026'!D17&lt;&gt;"",'JUNIO 2026'!Z17="POR RECOGER"),'JUNIO 2026'!N17,"")</f>
        <v/>
      </c>
      <c r="I538" s="381">
        <f>IF(AND('JUNIO 2026'!D17&lt;&gt;"",'JUNIO 2026'!Z17="POR RECOGER"),'JUNIO 2026'!P17,"")</f>
        <v/>
      </c>
      <c r="J538" s="381">
        <f>IF(AND('JUNIO 2026'!D17&lt;&gt;"",'JUNIO 2026'!Z17="POR RECOGER"),'JUNIO 2026'!Q17,"")</f>
        <v/>
      </c>
      <c r="K538" s="381">
        <f>IF(AND('JUNIO 2026'!D17&lt;&gt;"",'JUNIO 2026'!Z17="POR RECOGER"),'JUNIO 2026'!Y17,"")</f>
        <v/>
      </c>
      <c r="L538" s="381">
        <f>IF(AND('JUNIO 2026'!D17&lt;&gt;"",'JUNIO 2026'!Z17="POR RECOGER"),'JUNIO 2026'!I17,"")</f>
        <v/>
      </c>
      <c r="P538" s="194" t="n"/>
      <c r="Q538" s="194" t="n"/>
      <c r="R538" s="194" t="n"/>
      <c r="S538" s="194" t="n"/>
      <c r="T538" s="194" t="n"/>
      <c r="U538" s="194" t="n"/>
      <c r="V538" s="194" t="n"/>
      <c r="W538" s="194" t="n"/>
      <c r="X538" s="194" t="n"/>
      <c r="Y538" s="194" t="n"/>
      <c r="Z538" s="194" t="n"/>
    </row>
    <row r="539" ht="15" customHeight="1" s="195">
      <c r="A539" s="381">
        <f>IF(AND('JUNIO 2026'!D18&lt;&gt;"",'JUNIO 2026'!Z18="POR RECOGER"),"JUN","")</f>
        <v/>
      </c>
      <c r="B539" s="381">
        <f>IF(AND('JUNIO 2026'!D18&lt;&gt;"",'JUNIO 2026'!Z18="POR RECOGER"),IF('JUNIO 2026'!Y18&lt;&gt;"",'JUNIO 2026'!Y18,'JUNIO 2026'!I18),"")</f>
        <v/>
      </c>
      <c r="C539" s="381">
        <f>IF(AND('JUNIO 2026'!D18&lt;&gt;"",'JUNIO 2026'!Z18="POR RECOGER"),'JUNIO 2026'!D18,"")</f>
        <v/>
      </c>
      <c r="D539" s="381">
        <f>IF(AND('JUNIO 2026'!D18&lt;&gt;"",'JUNIO 2026'!Z18="POR RECOGER"),'JUNIO 2026'!F18,"")</f>
        <v/>
      </c>
      <c r="E539" s="381">
        <f>IF(AND('JUNIO 2026'!D18&lt;&gt;"",'JUNIO 2026'!Z18="POR RECOGER"),TEXT('JUNIO 2026'!G18,"DD/MM/YYYY"),"")</f>
        <v/>
      </c>
      <c r="F539" s="381">
        <f>IF(AND('JUNIO 2026'!D18&lt;&gt;"",'JUNIO 2026'!Z18="POR RECOGER"),'JUNIO 2026'!K18,"")</f>
        <v/>
      </c>
      <c r="G539" s="382">
        <f>IF(AND('JUNIO 2026'!D18&lt;&gt;"",'JUNIO 2026'!Z18="POR RECOGER"),'JUNIO 2026'!M18,"")</f>
        <v/>
      </c>
      <c r="H539" s="382">
        <f>IF(AND('JUNIO 2026'!D18&lt;&gt;"",'JUNIO 2026'!Z18="POR RECOGER"),'JUNIO 2026'!N18,"")</f>
        <v/>
      </c>
      <c r="I539" s="381">
        <f>IF(AND('JUNIO 2026'!D18&lt;&gt;"",'JUNIO 2026'!Z18="POR RECOGER"),'JUNIO 2026'!P18,"")</f>
        <v/>
      </c>
      <c r="J539" s="381">
        <f>IF(AND('JUNIO 2026'!D18&lt;&gt;"",'JUNIO 2026'!Z18="POR RECOGER"),'JUNIO 2026'!Q18,"")</f>
        <v/>
      </c>
      <c r="K539" s="381">
        <f>IF(AND('JUNIO 2026'!D18&lt;&gt;"",'JUNIO 2026'!Z18="POR RECOGER"),'JUNIO 2026'!Y18,"")</f>
        <v/>
      </c>
      <c r="L539" s="381">
        <f>IF(AND('JUNIO 2026'!D18&lt;&gt;"",'JUNIO 2026'!Z18="POR RECOGER"),'JUNIO 2026'!I18,"")</f>
        <v/>
      </c>
      <c r="P539" s="194" t="n"/>
      <c r="Q539" s="194" t="n"/>
      <c r="R539" s="194" t="n"/>
      <c r="S539" s="194" t="n"/>
      <c r="T539" s="194" t="n"/>
      <c r="U539" s="194" t="n"/>
      <c r="V539" s="194" t="n"/>
      <c r="W539" s="194" t="n"/>
      <c r="X539" s="194" t="n"/>
      <c r="Y539" s="194" t="n"/>
      <c r="Z539" s="194" t="n"/>
    </row>
    <row r="540" ht="15" customHeight="1" s="195">
      <c r="A540" s="381">
        <f>IF(AND('JUNIO 2026'!D19&lt;&gt;"",'JUNIO 2026'!Z19="POR RECOGER"),"JUN","")</f>
        <v/>
      </c>
      <c r="B540" s="381">
        <f>IF(AND('JUNIO 2026'!D19&lt;&gt;"",'JUNIO 2026'!Z19="POR RECOGER"),IF('JUNIO 2026'!Y19&lt;&gt;"",'JUNIO 2026'!Y19,'JUNIO 2026'!I19),"")</f>
        <v/>
      </c>
      <c r="C540" s="381">
        <f>IF(AND('JUNIO 2026'!D19&lt;&gt;"",'JUNIO 2026'!Z19="POR RECOGER"),'JUNIO 2026'!D19,"")</f>
        <v/>
      </c>
      <c r="D540" s="381">
        <f>IF(AND('JUNIO 2026'!D19&lt;&gt;"",'JUNIO 2026'!Z19="POR RECOGER"),'JUNIO 2026'!F19,"")</f>
        <v/>
      </c>
      <c r="E540" s="381">
        <f>IF(AND('JUNIO 2026'!D19&lt;&gt;"",'JUNIO 2026'!Z19="POR RECOGER"),TEXT('JUNIO 2026'!G19,"DD/MM/YYYY"),"")</f>
        <v/>
      </c>
      <c r="F540" s="381">
        <f>IF(AND('JUNIO 2026'!D19&lt;&gt;"",'JUNIO 2026'!Z19="POR RECOGER"),'JUNIO 2026'!K19,"")</f>
        <v/>
      </c>
      <c r="G540" s="382">
        <f>IF(AND('JUNIO 2026'!D19&lt;&gt;"",'JUNIO 2026'!Z19="POR RECOGER"),'JUNIO 2026'!M19,"")</f>
        <v/>
      </c>
      <c r="H540" s="382">
        <f>IF(AND('JUNIO 2026'!D19&lt;&gt;"",'JUNIO 2026'!Z19="POR RECOGER"),'JUNIO 2026'!N19,"")</f>
        <v/>
      </c>
      <c r="I540" s="381">
        <f>IF(AND('JUNIO 2026'!D19&lt;&gt;"",'JUNIO 2026'!Z19="POR RECOGER"),'JUNIO 2026'!P19,"")</f>
        <v/>
      </c>
      <c r="J540" s="381">
        <f>IF(AND('JUNIO 2026'!D19&lt;&gt;"",'JUNIO 2026'!Z19="POR RECOGER"),'JUNIO 2026'!Q19,"")</f>
        <v/>
      </c>
      <c r="K540" s="381">
        <f>IF(AND('JUNIO 2026'!D19&lt;&gt;"",'JUNIO 2026'!Z19="POR RECOGER"),'JUNIO 2026'!Y19,"")</f>
        <v/>
      </c>
      <c r="L540" s="381">
        <f>IF(AND('JUNIO 2026'!D19&lt;&gt;"",'JUNIO 2026'!Z19="POR RECOGER"),'JUNIO 2026'!I19,"")</f>
        <v/>
      </c>
      <c r="P540" s="194" t="n"/>
      <c r="Q540" s="194" t="n"/>
      <c r="R540" s="194" t="n"/>
      <c r="S540" s="194" t="n"/>
      <c r="T540" s="194" t="n"/>
      <c r="U540" s="194" t="n"/>
      <c r="V540" s="194" t="n"/>
      <c r="W540" s="194" t="n"/>
      <c r="X540" s="194" t="n"/>
      <c r="Y540" s="194" t="n"/>
      <c r="Z540" s="194" t="n"/>
    </row>
    <row r="541" ht="15" customHeight="1" s="195">
      <c r="A541" s="381">
        <f>IF(AND('JUNIO 2026'!D20&lt;&gt;"",'JUNIO 2026'!Z20="POR RECOGER"),"JUN","")</f>
        <v/>
      </c>
      <c r="B541" s="381">
        <f>IF(AND('JUNIO 2026'!D20&lt;&gt;"",'JUNIO 2026'!Z20="POR RECOGER"),IF('JUNIO 2026'!Y20&lt;&gt;"",'JUNIO 2026'!Y20,'JUNIO 2026'!I20),"")</f>
        <v/>
      </c>
      <c r="C541" s="381">
        <f>IF(AND('JUNIO 2026'!D20&lt;&gt;"",'JUNIO 2026'!Z20="POR RECOGER"),'JUNIO 2026'!D20,"")</f>
        <v/>
      </c>
      <c r="D541" s="381">
        <f>IF(AND('JUNIO 2026'!D20&lt;&gt;"",'JUNIO 2026'!Z20="POR RECOGER"),'JUNIO 2026'!F20,"")</f>
        <v/>
      </c>
      <c r="E541" s="381">
        <f>IF(AND('JUNIO 2026'!D20&lt;&gt;"",'JUNIO 2026'!Z20="POR RECOGER"),TEXT('JUNIO 2026'!G20,"DD/MM/YYYY"),"")</f>
        <v/>
      </c>
      <c r="F541" s="381">
        <f>IF(AND('JUNIO 2026'!D20&lt;&gt;"",'JUNIO 2026'!Z20="POR RECOGER"),'JUNIO 2026'!K20,"")</f>
        <v/>
      </c>
      <c r="G541" s="382">
        <f>IF(AND('JUNIO 2026'!D20&lt;&gt;"",'JUNIO 2026'!Z20="POR RECOGER"),'JUNIO 2026'!M20,"")</f>
        <v/>
      </c>
      <c r="H541" s="382">
        <f>IF(AND('JUNIO 2026'!D20&lt;&gt;"",'JUNIO 2026'!Z20="POR RECOGER"),'JUNIO 2026'!N20,"")</f>
        <v/>
      </c>
      <c r="I541" s="381">
        <f>IF(AND('JUNIO 2026'!D20&lt;&gt;"",'JUNIO 2026'!Z20="POR RECOGER"),'JUNIO 2026'!P20,"")</f>
        <v/>
      </c>
      <c r="J541" s="381">
        <f>IF(AND('JUNIO 2026'!D20&lt;&gt;"",'JUNIO 2026'!Z20="POR RECOGER"),'JUNIO 2026'!Q20,"")</f>
        <v/>
      </c>
      <c r="K541" s="381">
        <f>IF(AND('JUNIO 2026'!D20&lt;&gt;"",'JUNIO 2026'!Z20="POR RECOGER"),'JUNIO 2026'!Y20,"")</f>
        <v/>
      </c>
      <c r="L541" s="381">
        <f>IF(AND('JUNIO 2026'!D20&lt;&gt;"",'JUNIO 2026'!Z20="POR RECOGER"),'JUNIO 2026'!I20,"")</f>
        <v/>
      </c>
      <c r="P541" s="194" t="n"/>
      <c r="Q541" s="194" t="n"/>
      <c r="R541" s="194" t="n"/>
      <c r="S541" s="194" t="n"/>
      <c r="T541" s="194" t="n"/>
      <c r="U541" s="194" t="n"/>
      <c r="V541" s="194" t="n"/>
      <c r="W541" s="194" t="n"/>
      <c r="X541" s="194" t="n"/>
      <c r="Y541" s="194" t="n"/>
      <c r="Z541" s="194" t="n"/>
    </row>
    <row r="542" ht="15" customHeight="1" s="195">
      <c r="A542" s="381">
        <f>IF(AND('JUNIO 2026'!D21&lt;&gt;"",'JUNIO 2026'!Z21="POR RECOGER"),"JUN","")</f>
        <v/>
      </c>
      <c r="B542" s="381">
        <f>IF(AND('JUNIO 2026'!D21&lt;&gt;"",'JUNIO 2026'!Z21="POR RECOGER"),IF('JUNIO 2026'!Y21&lt;&gt;"",'JUNIO 2026'!Y21,'JUNIO 2026'!I21),"")</f>
        <v/>
      </c>
      <c r="C542" s="381">
        <f>IF(AND('JUNIO 2026'!D21&lt;&gt;"",'JUNIO 2026'!Z21="POR RECOGER"),'JUNIO 2026'!D21,"")</f>
        <v/>
      </c>
      <c r="D542" s="381">
        <f>IF(AND('JUNIO 2026'!D21&lt;&gt;"",'JUNIO 2026'!Z21="POR RECOGER"),'JUNIO 2026'!F21,"")</f>
        <v/>
      </c>
      <c r="E542" s="381">
        <f>IF(AND('JUNIO 2026'!D21&lt;&gt;"",'JUNIO 2026'!Z21="POR RECOGER"),TEXT('JUNIO 2026'!G21,"DD/MM/YYYY"),"")</f>
        <v/>
      </c>
      <c r="F542" s="381">
        <f>IF(AND('JUNIO 2026'!D21&lt;&gt;"",'JUNIO 2026'!Z21="POR RECOGER"),'JUNIO 2026'!K21,"")</f>
        <v/>
      </c>
      <c r="G542" s="382">
        <f>IF(AND('JUNIO 2026'!D21&lt;&gt;"",'JUNIO 2026'!Z21="POR RECOGER"),'JUNIO 2026'!M21,"")</f>
        <v/>
      </c>
      <c r="H542" s="382">
        <f>IF(AND('JUNIO 2026'!D21&lt;&gt;"",'JUNIO 2026'!Z21="POR RECOGER"),'JUNIO 2026'!N21,"")</f>
        <v/>
      </c>
      <c r="I542" s="381">
        <f>IF(AND('JUNIO 2026'!D21&lt;&gt;"",'JUNIO 2026'!Z21="POR RECOGER"),'JUNIO 2026'!P21,"")</f>
        <v/>
      </c>
      <c r="J542" s="381">
        <f>IF(AND('JUNIO 2026'!D21&lt;&gt;"",'JUNIO 2026'!Z21="POR RECOGER"),'JUNIO 2026'!Q21,"")</f>
        <v/>
      </c>
      <c r="K542" s="381">
        <f>IF(AND('JUNIO 2026'!D21&lt;&gt;"",'JUNIO 2026'!Z21="POR RECOGER"),'JUNIO 2026'!Y21,"")</f>
        <v/>
      </c>
      <c r="L542" s="381">
        <f>IF(AND('JUNIO 2026'!D21&lt;&gt;"",'JUNIO 2026'!Z21="POR RECOGER"),'JUNIO 2026'!I21,"")</f>
        <v/>
      </c>
      <c r="P542" s="194" t="n"/>
      <c r="Q542" s="194" t="n"/>
      <c r="R542" s="194" t="n"/>
      <c r="S542" s="194" t="n"/>
      <c r="T542" s="194" t="n"/>
      <c r="U542" s="194" t="n"/>
      <c r="V542" s="194" t="n"/>
      <c r="W542" s="194" t="n"/>
      <c r="X542" s="194" t="n"/>
      <c r="Y542" s="194" t="n"/>
      <c r="Z542" s="194" t="n"/>
    </row>
    <row r="543" ht="15" customHeight="1" s="195">
      <c r="A543" s="381">
        <f>IF(AND('JUNIO 2026'!D22&lt;&gt;"",'JUNIO 2026'!Z22="POR RECOGER"),"JUN","")</f>
        <v/>
      </c>
      <c r="B543" s="381">
        <f>IF(AND('JUNIO 2026'!D22&lt;&gt;"",'JUNIO 2026'!Z22="POR RECOGER"),IF('JUNIO 2026'!Y22&lt;&gt;"",'JUNIO 2026'!Y22,'JUNIO 2026'!I22),"")</f>
        <v/>
      </c>
      <c r="C543" s="381">
        <f>IF(AND('JUNIO 2026'!D22&lt;&gt;"",'JUNIO 2026'!Z22="POR RECOGER"),'JUNIO 2026'!D22,"")</f>
        <v/>
      </c>
      <c r="D543" s="381">
        <f>IF(AND('JUNIO 2026'!D22&lt;&gt;"",'JUNIO 2026'!Z22="POR RECOGER"),'JUNIO 2026'!F22,"")</f>
        <v/>
      </c>
      <c r="E543" s="381">
        <f>IF(AND('JUNIO 2026'!D22&lt;&gt;"",'JUNIO 2026'!Z22="POR RECOGER"),TEXT('JUNIO 2026'!G22,"DD/MM/YYYY"),"")</f>
        <v/>
      </c>
      <c r="F543" s="381">
        <f>IF(AND('JUNIO 2026'!D22&lt;&gt;"",'JUNIO 2026'!Z22="POR RECOGER"),'JUNIO 2026'!K22,"")</f>
        <v/>
      </c>
      <c r="G543" s="382">
        <f>IF(AND('JUNIO 2026'!D22&lt;&gt;"",'JUNIO 2026'!Z22="POR RECOGER"),'JUNIO 2026'!M22,"")</f>
        <v/>
      </c>
      <c r="H543" s="382">
        <f>IF(AND('JUNIO 2026'!D22&lt;&gt;"",'JUNIO 2026'!Z22="POR RECOGER"),'JUNIO 2026'!N22,"")</f>
        <v/>
      </c>
      <c r="I543" s="381">
        <f>IF(AND('JUNIO 2026'!D22&lt;&gt;"",'JUNIO 2026'!Z22="POR RECOGER"),'JUNIO 2026'!P22,"")</f>
        <v/>
      </c>
      <c r="J543" s="381">
        <f>IF(AND('JUNIO 2026'!D22&lt;&gt;"",'JUNIO 2026'!Z22="POR RECOGER"),'JUNIO 2026'!Q22,"")</f>
        <v/>
      </c>
      <c r="K543" s="381">
        <f>IF(AND('JUNIO 2026'!D22&lt;&gt;"",'JUNIO 2026'!Z22="POR RECOGER"),'JUNIO 2026'!Y22,"")</f>
        <v/>
      </c>
      <c r="L543" s="381">
        <f>IF(AND('JUNIO 2026'!D22&lt;&gt;"",'JUNIO 2026'!Z22="POR RECOGER"),'JUNIO 2026'!I22,"")</f>
        <v/>
      </c>
      <c r="P543" s="194" t="n"/>
      <c r="Q543" s="194" t="n"/>
      <c r="R543" s="194" t="n"/>
      <c r="S543" s="194" t="n"/>
      <c r="T543" s="194" t="n"/>
      <c r="U543" s="194" t="n"/>
      <c r="V543" s="194" t="n"/>
      <c r="W543" s="194" t="n"/>
      <c r="X543" s="194" t="n"/>
      <c r="Y543" s="194" t="n"/>
      <c r="Z543" s="194" t="n"/>
    </row>
    <row r="544" ht="15" customHeight="1" s="195">
      <c r="A544" s="381">
        <f>IF(AND('JUNIO 2026'!D23&lt;&gt;"",'JUNIO 2026'!Z23="POR RECOGER"),"JUN","")</f>
        <v/>
      </c>
      <c r="B544" s="381">
        <f>IF(AND('JUNIO 2026'!D23&lt;&gt;"",'JUNIO 2026'!Z23="POR RECOGER"),IF('JUNIO 2026'!Y23&lt;&gt;"",'JUNIO 2026'!Y23,'JUNIO 2026'!I23),"")</f>
        <v/>
      </c>
      <c r="C544" s="381">
        <f>IF(AND('JUNIO 2026'!D23&lt;&gt;"",'JUNIO 2026'!Z23="POR RECOGER"),'JUNIO 2026'!D23,"")</f>
        <v/>
      </c>
      <c r="D544" s="381">
        <f>IF(AND('JUNIO 2026'!D23&lt;&gt;"",'JUNIO 2026'!Z23="POR RECOGER"),'JUNIO 2026'!F23,"")</f>
        <v/>
      </c>
      <c r="E544" s="381">
        <f>IF(AND('JUNIO 2026'!D23&lt;&gt;"",'JUNIO 2026'!Z23="POR RECOGER"),TEXT('JUNIO 2026'!G23,"DD/MM/YYYY"),"")</f>
        <v/>
      </c>
      <c r="F544" s="381">
        <f>IF(AND('JUNIO 2026'!D23&lt;&gt;"",'JUNIO 2026'!Z23="POR RECOGER"),'JUNIO 2026'!K23,"")</f>
        <v/>
      </c>
      <c r="G544" s="382">
        <f>IF(AND('JUNIO 2026'!D23&lt;&gt;"",'JUNIO 2026'!Z23="POR RECOGER"),'JUNIO 2026'!M23,"")</f>
        <v/>
      </c>
      <c r="H544" s="382">
        <f>IF(AND('JUNIO 2026'!D23&lt;&gt;"",'JUNIO 2026'!Z23="POR RECOGER"),'JUNIO 2026'!N23,"")</f>
        <v/>
      </c>
      <c r="I544" s="381">
        <f>IF(AND('JUNIO 2026'!D23&lt;&gt;"",'JUNIO 2026'!Z23="POR RECOGER"),'JUNIO 2026'!P23,"")</f>
        <v/>
      </c>
      <c r="J544" s="381">
        <f>IF(AND('JUNIO 2026'!D23&lt;&gt;"",'JUNIO 2026'!Z23="POR RECOGER"),'JUNIO 2026'!Q23,"")</f>
        <v/>
      </c>
      <c r="K544" s="381">
        <f>IF(AND('JUNIO 2026'!D23&lt;&gt;"",'JUNIO 2026'!Z23="POR RECOGER"),'JUNIO 2026'!Y23,"")</f>
        <v/>
      </c>
      <c r="L544" s="381">
        <f>IF(AND('JUNIO 2026'!D23&lt;&gt;"",'JUNIO 2026'!Z23="POR RECOGER"),'JUNIO 2026'!I23,"")</f>
        <v/>
      </c>
      <c r="P544" s="194" t="n"/>
      <c r="Q544" s="194" t="n"/>
      <c r="R544" s="194" t="n"/>
      <c r="S544" s="194" t="n"/>
      <c r="T544" s="194" t="n"/>
      <c r="U544" s="194" t="n"/>
      <c r="V544" s="194" t="n"/>
      <c r="W544" s="194" t="n"/>
      <c r="X544" s="194" t="n"/>
      <c r="Y544" s="194" t="n"/>
      <c r="Z544" s="194" t="n"/>
    </row>
    <row r="545" ht="15" customHeight="1" s="195">
      <c r="A545" s="381">
        <f>IF(AND('JUNIO 2026'!D24&lt;&gt;"",'JUNIO 2026'!Z24="POR RECOGER"),"JUN","")</f>
        <v/>
      </c>
      <c r="B545" s="381">
        <f>IF(AND('JUNIO 2026'!D24&lt;&gt;"",'JUNIO 2026'!Z24="POR RECOGER"),IF('JUNIO 2026'!Y24&lt;&gt;"",'JUNIO 2026'!Y24,'JUNIO 2026'!I24),"")</f>
        <v/>
      </c>
      <c r="C545" s="381">
        <f>IF(AND('JUNIO 2026'!D24&lt;&gt;"",'JUNIO 2026'!Z24="POR RECOGER"),'JUNIO 2026'!D24,"")</f>
        <v/>
      </c>
      <c r="D545" s="381">
        <f>IF(AND('JUNIO 2026'!D24&lt;&gt;"",'JUNIO 2026'!Z24="POR RECOGER"),'JUNIO 2026'!F24,"")</f>
        <v/>
      </c>
      <c r="E545" s="381">
        <f>IF(AND('JUNIO 2026'!D24&lt;&gt;"",'JUNIO 2026'!Z24="POR RECOGER"),TEXT('JUNIO 2026'!G24,"DD/MM/YYYY"),"")</f>
        <v/>
      </c>
      <c r="F545" s="381">
        <f>IF(AND('JUNIO 2026'!D24&lt;&gt;"",'JUNIO 2026'!Z24="POR RECOGER"),'JUNIO 2026'!K24,"")</f>
        <v/>
      </c>
      <c r="G545" s="382">
        <f>IF(AND('JUNIO 2026'!D24&lt;&gt;"",'JUNIO 2026'!Z24="POR RECOGER"),'JUNIO 2026'!M24,"")</f>
        <v/>
      </c>
      <c r="H545" s="382">
        <f>IF(AND('JUNIO 2026'!D24&lt;&gt;"",'JUNIO 2026'!Z24="POR RECOGER"),'JUNIO 2026'!N24,"")</f>
        <v/>
      </c>
      <c r="I545" s="381">
        <f>IF(AND('JUNIO 2026'!D24&lt;&gt;"",'JUNIO 2026'!Z24="POR RECOGER"),'JUNIO 2026'!P24,"")</f>
        <v/>
      </c>
      <c r="J545" s="381">
        <f>IF(AND('JUNIO 2026'!D24&lt;&gt;"",'JUNIO 2026'!Z24="POR RECOGER"),'JUNIO 2026'!Q24,"")</f>
        <v/>
      </c>
      <c r="K545" s="381">
        <f>IF(AND('JUNIO 2026'!D24&lt;&gt;"",'JUNIO 2026'!Z24="POR RECOGER"),'JUNIO 2026'!Y24,"")</f>
        <v/>
      </c>
      <c r="L545" s="381">
        <f>IF(AND('JUNIO 2026'!D24&lt;&gt;"",'JUNIO 2026'!Z24="POR RECOGER"),'JUNIO 2026'!I24,"")</f>
        <v/>
      </c>
      <c r="P545" s="194" t="n"/>
      <c r="Q545" s="194" t="n"/>
      <c r="R545" s="194" t="n"/>
      <c r="S545" s="194" t="n"/>
      <c r="T545" s="194" t="n"/>
      <c r="U545" s="194" t="n"/>
      <c r="V545" s="194" t="n"/>
      <c r="W545" s="194" t="n"/>
      <c r="X545" s="194" t="n"/>
      <c r="Y545" s="194" t="n"/>
      <c r="Z545" s="194" t="n"/>
    </row>
    <row r="546" ht="15" customHeight="1" s="195">
      <c r="A546" s="381">
        <f>IF(AND('JUNIO 2026'!D25&lt;&gt;"",'JUNIO 2026'!Z25="POR RECOGER"),"JUN","")</f>
        <v/>
      </c>
      <c r="B546" s="381">
        <f>IF(AND('JUNIO 2026'!D25&lt;&gt;"",'JUNIO 2026'!Z25="POR RECOGER"),IF('JUNIO 2026'!Y25&lt;&gt;"",'JUNIO 2026'!Y25,'JUNIO 2026'!I25),"")</f>
        <v/>
      </c>
      <c r="C546" s="381">
        <f>IF(AND('JUNIO 2026'!D25&lt;&gt;"",'JUNIO 2026'!Z25="POR RECOGER"),'JUNIO 2026'!D25,"")</f>
        <v/>
      </c>
      <c r="D546" s="381">
        <f>IF(AND('JUNIO 2026'!D25&lt;&gt;"",'JUNIO 2026'!Z25="POR RECOGER"),'JUNIO 2026'!F25,"")</f>
        <v/>
      </c>
      <c r="E546" s="381">
        <f>IF(AND('JUNIO 2026'!D25&lt;&gt;"",'JUNIO 2026'!Z25="POR RECOGER"),TEXT('JUNIO 2026'!G25,"DD/MM/YYYY"),"")</f>
        <v/>
      </c>
      <c r="F546" s="381">
        <f>IF(AND('JUNIO 2026'!D25&lt;&gt;"",'JUNIO 2026'!Z25="POR RECOGER"),'JUNIO 2026'!K25,"")</f>
        <v/>
      </c>
      <c r="G546" s="382">
        <f>IF(AND('JUNIO 2026'!D25&lt;&gt;"",'JUNIO 2026'!Z25="POR RECOGER"),'JUNIO 2026'!M25,"")</f>
        <v/>
      </c>
      <c r="H546" s="382">
        <f>IF(AND('JUNIO 2026'!D25&lt;&gt;"",'JUNIO 2026'!Z25="POR RECOGER"),'JUNIO 2026'!N25,"")</f>
        <v/>
      </c>
      <c r="I546" s="381">
        <f>IF(AND('JUNIO 2026'!D25&lt;&gt;"",'JUNIO 2026'!Z25="POR RECOGER"),'JUNIO 2026'!P25,"")</f>
        <v/>
      </c>
      <c r="J546" s="381">
        <f>IF(AND('JUNIO 2026'!D25&lt;&gt;"",'JUNIO 2026'!Z25="POR RECOGER"),'JUNIO 2026'!Q25,"")</f>
        <v/>
      </c>
      <c r="K546" s="381">
        <f>IF(AND('JUNIO 2026'!D25&lt;&gt;"",'JUNIO 2026'!Z25="POR RECOGER"),'JUNIO 2026'!Y25,"")</f>
        <v/>
      </c>
      <c r="L546" s="381">
        <f>IF(AND('JUNIO 2026'!D25&lt;&gt;"",'JUNIO 2026'!Z25="POR RECOGER"),'JUNIO 2026'!I25,"")</f>
        <v/>
      </c>
      <c r="P546" s="194" t="n"/>
      <c r="Q546" s="194" t="n"/>
      <c r="R546" s="194" t="n"/>
      <c r="S546" s="194" t="n"/>
      <c r="T546" s="194" t="n"/>
      <c r="U546" s="194" t="n"/>
      <c r="V546" s="194" t="n"/>
      <c r="W546" s="194" t="n"/>
      <c r="X546" s="194" t="n"/>
      <c r="Y546" s="194" t="n"/>
      <c r="Z546" s="194" t="n"/>
    </row>
    <row r="547" ht="15" customHeight="1" s="195">
      <c r="A547" s="381">
        <f>IF(AND('JUNIO 2026'!D26&lt;&gt;"",'JUNIO 2026'!Z26="POR RECOGER"),"JUN","")</f>
        <v/>
      </c>
      <c r="B547" s="381">
        <f>IF(AND('JUNIO 2026'!D26&lt;&gt;"",'JUNIO 2026'!Z26="POR RECOGER"),IF('JUNIO 2026'!Y26&lt;&gt;"",'JUNIO 2026'!Y26,'JUNIO 2026'!I26),"")</f>
        <v/>
      </c>
      <c r="C547" s="381">
        <f>IF(AND('JUNIO 2026'!D26&lt;&gt;"",'JUNIO 2026'!Z26="POR RECOGER"),'JUNIO 2026'!D26,"")</f>
        <v/>
      </c>
      <c r="D547" s="381">
        <f>IF(AND('JUNIO 2026'!D26&lt;&gt;"",'JUNIO 2026'!Z26="POR RECOGER"),'JUNIO 2026'!F26,"")</f>
        <v/>
      </c>
      <c r="E547" s="381">
        <f>IF(AND('JUNIO 2026'!D26&lt;&gt;"",'JUNIO 2026'!Z26="POR RECOGER"),TEXT('JUNIO 2026'!G26,"DD/MM/YYYY"),"")</f>
        <v/>
      </c>
      <c r="F547" s="381">
        <f>IF(AND('JUNIO 2026'!D26&lt;&gt;"",'JUNIO 2026'!Z26="POR RECOGER"),'JUNIO 2026'!K26,"")</f>
        <v/>
      </c>
      <c r="G547" s="382">
        <f>IF(AND('JUNIO 2026'!D26&lt;&gt;"",'JUNIO 2026'!Z26="POR RECOGER"),'JUNIO 2026'!M26,"")</f>
        <v/>
      </c>
      <c r="H547" s="382">
        <f>IF(AND('JUNIO 2026'!D26&lt;&gt;"",'JUNIO 2026'!Z26="POR RECOGER"),'JUNIO 2026'!N26,"")</f>
        <v/>
      </c>
      <c r="I547" s="381">
        <f>IF(AND('JUNIO 2026'!D26&lt;&gt;"",'JUNIO 2026'!Z26="POR RECOGER"),'JUNIO 2026'!P26,"")</f>
        <v/>
      </c>
      <c r="J547" s="381">
        <f>IF(AND('JUNIO 2026'!D26&lt;&gt;"",'JUNIO 2026'!Z26="POR RECOGER"),'JUNIO 2026'!Q26,"")</f>
        <v/>
      </c>
      <c r="K547" s="381">
        <f>IF(AND('JUNIO 2026'!D26&lt;&gt;"",'JUNIO 2026'!Z26="POR RECOGER"),'JUNIO 2026'!Y26,"")</f>
        <v/>
      </c>
      <c r="L547" s="381">
        <f>IF(AND('JUNIO 2026'!D26&lt;&gt;"",'JUNIO 2026'!Z26="POR RECOGER"),'JUNIO 2026'!I26,"")</f>
        <v/>
      </c>
      <c r="P547" s="194" t="n"/>
      <c r="Q547" s="194" t="n"/>
      <c r="R547" s="194" t="n"/>
      <c r="S547" s="194" t="n"/>
      <c r="T547" s="194" t="n"/>
      <c r="U547" s="194" t="n"/>
      <c r="V547" s="194" t="n"/>
      <c r="W547" s="194" t="n"/>
      <c r="X547" s="194" t="n"/>
      <c r="Y547" s="194" t="n"/>
      <c r="Z547" s="194" t="n"/>
    </row>
    <row r="548" ht="15" customHeight="1" s="195">
      <c r="A548" s="381">
        <f>IF(AND('JUNIO 2026'!D27&lt;&gt;"",'JUNIO 2026'!Z27="POR RECOGER"),"JUN","")</f>
        <v/>
      </c>
      <c r="B548" s="381">
        <f>IF(AND('JUNIO 2026'!D27&lt;&gt;"",'JUNIO 2026'!Z27="POR RECOGER"),IF('JUNIO 2026'!Y27&lt;&gt;"",'JUNIO 2026'!Y27,'JUNIO 2026'!I27),"")</f>
        <v/>
      </c>
      <c r="C548" s="381">
        <f>IF(AND('JUNIO 2026'!D27&lt;&gt;"",'JUNIO 2026'!Z27="POR RECOGER"),'JUNIO 2026'!D27,"")</f>
        <v/>
      </c>
      <c r="D548" s="381">
        <f>IF(AND('JUNIO 2026'!D27&lt;&gt;"",'JUNIO 2026'!Z27="POR RECOGER"),'JUNIO 2026'!F27,"")</f>
        <v/>
      </c>
      <c r="E548" s="381">
        <f>IF(AND('JUNIO 2026'!D27&lt;&gt;"",'JUNIO 2026'!Z27="POR RECOGER"),TEXT('JUNIO 2026'!G27,"DD/MM/YYYY"),"")</f>
        <v/>
      </c>
      <c r="F548" s="381">
        <f>IF(AND('JUNIO 2026'!D27&lt;&gt;"",'JUNIO 2026'!Z27="POR RECOGER"),'JUNIO 2026'!K27,"")</f>
        <v/>
      </c>
      <c r="G548" s="382">
        <f>IF(AND('JUNIO 2026'!D27&lt;&gt;"",'JUNIO 2026'!Z27="POR RECOGER"),'JUNIO 2026'!M27,"")</f>
        <v/>
      </c>
      <c r="H548" s="382">
        <f>IF(AND('JUNIO 2026'!D27&lt;&gt;"",'JUNIO 2026'!Z27="POR RECOGER"),'JUNIO 2026'!N27,"")</f>
        <v/>
      </c>
      <c r="I548" s="381">
        <f>IF(AND('JUNIO 2026'!D27&lt;&gt;"",'JUNIO 2026'!Z27="POR RECOGER"),'JUNIO 2026'!P27,"")</f>
        <v/>
      </c>
      <c r="J548" s="381">
        <f>IF(AND('JUNIO 2026'!D27&lt;&gt;"",'JUNIO 2026'!Z27="POR RECOGER"),'JUNIO 2026'!Q27,"")</f>
        <v/>
      </c>
      <c r="K548" s="381">
        <f>IF(AND('JUNIO 2026'!D27&lt;&gt;"",'JUNIO 2026'!Z27="POR RECOGER"),'JUNIO 2026'!Y27,"")</f>
        <v/>
      </c>
      <c r="L548" s="381">
        <f>IF(AND('JUNIO 2026'!D27&lt;&gt;"",'JUNIO 2026'!Z27="POR RECOGER"),'JUNIO 2026'!I27,"")</f>
        <v/>
      </c>
      <c r="P548" s="194" t="n"/>
      <c r="Q548" s="194" t="n"/>
      <c r="R548" s="194" t="n"/>
      <c r="S548" s="194" t="n"/>
      <c r="T548" s="194" t="n"/>
      <c r="U548" s="194" t="n"/>
      <c r="V548" s="194" t="n"/>
      <c r="W548" s="194" t="n"/>
      <c r="X548" s="194" t="n"/>
      <c r="Y548" s="194" t="n"/>
      <c r="Z548" s="194" t="n"/>
    </row>
    <row r="549" ht="15" customHeight="1" s="195">
      <c r="A549" s="381">
        <f>IF(AND('JUNIO 2026'!D28&lt;&gt;"",'JUNIO 2026'!Z28="POR RECOGER"),"JUN","")</f>
        <v/>
      </c>
      <c r="B549" s="381">
        <f>IF(AND('JUNIO 2026'!D28&lt;&gt;"",'JUNIO 2026'!Z28="POR RECOGER"),IF('JUNIO 2026'!Y28&lt;&gt;"",'JUNIO 2026'!Y28,'JUNIO 2026'!I28),"")</f>
        <v/>
      </c>
      <c r="C549" s="381">
        <f>IF(AND('JUNIO 2026'!D28&lt;&gt;"",'JUNIO 2026'!Z28="POR RECOGER"),'JUNIO 2026'!D28,"")</f>
        <v/>
      </c>
      <c r="D549" s="381">
        <f>IF(AND('JUNIO 2026'!D28&lt;&gt;"",'JUNIO 2026'!Z28="POR RECOGER"),'JUNIO 2026'!F28,"")</f>
        <v/>
      </c>
      <c r="E549" s="381">
        <f>IF(AND('JUNIO 2026'!D28&lt;&gt;"",'JUNIO 2026'!Z28="POR RECOGER"),TEXT('JUNIO 2026'!G28,"DD/MM/YYYY"),"")</f>
        <v/>
      </c>
      <c r="F549" s="381">
        <f>IF(AND('JUNIO 2026'!D28&lt;&gt;"",'JUNIO 2026'!Z28="POR RECOGER"),'JUNIO 2026'!K28,"")</f>
        <v/>
      </c>
      <c r="G549" s="382">
        <f>IF(AND('JUNIO 2026'!D28&lt;&gt;"",'JUNIO 2026'!Z28="POR RECOGER"),'JUNIO 2026'!M28,"")</f>
        <v/>
      </c>
      <c r="H549" s="382">
        <f>IF(AND('JUNIO 2026'!D28&lt;&gt;"",'JUNIO 2026'!Z28="POR RECOGER"),'JUNIO 2026'!N28,"")</f>
        <v/>
      </c>
      <c r="I549" s="381">
        <f>IF(AND('JUNIO 2026'!D28&lt;&gt;"",'JUNIO 2026'!Z28="POR RECOGER"),'JUNIO 2026'!P28,"")</f>
        <v/>
      </c>
      <c r="J549" s="381">
        <f>IF(AND('JUNIO 2026'!D28&lt;&gt;"",'JUNIO 2026'!Z28="POR RECOGER"),'JUNIO 2026'!Q28,"")</f>
        <v/>
      </c>
      <c r="K549" s="381">
        <f>IF(AND('JUNIO 2026'!D28&lt;&gt;"",'JUNIO 2026'!Z28="POR RECOGER"),'JUNIO 2026'!Y28,"")</f>
        <v/>
      </c>
      <c r="L549" s="381">
        <f>IF(AND('JUNIO 2026'!D28&lt;&gt;"",'JUNIO 2026'!Z28="POR RECOGER"),'JUNIO 2026'!I28,"")</f>
        <v/>
      </c>
      <c r="P549" s="194" t="n"/>
      <c r="Q549" s="194" t="n"/>
      <c r="R549" s="194" t="n"/>
      <c r="S549" s="194" t="n"/>
      <c r="T549" s="194" t="n"/>
      <c r="U549" s="194" t="n"/>
      <c r="V549" s="194" t="n"/>
      <c r="W549" s="194" t="n"/>
      <c r="X549" s="194" t="n"/>
      <c r="Y549" s="194" t="n"/>
      <c r="Z549" s="194" t="n"/>
    </row>
    <row r="550" ht="15" customHeight="1" s="195">
      <c r="A550" s="381">
        <f>IF(AND('JUNIO 2026'!D29&lt;&gt;"",'JUNIO 2026'!Z29="POR RECOGER"),"JUN","")</f>
        <v/>
      </c>
      <c r="B550" s="381">
        <f>IF(AND('JUNIO 2026'!D29&lt;&gt;"",'JUNIO 2026'!Z29="POR RECOGER"),IF('JUNIO 2026'!Y29&lt;&gt;"",'JUNIO 2026'!Y29,'JUNIO 2026'!I29),"")</f>
        <v/>
      </c>
      <c r="C550" s="381">
        <f>IF(AND('JUNIO 2026'!D29&lt;&gt;"",'JUNIO 2026'!Z29="POR RECOGER"),'JUNIO 2026'!D29,"")</f>
        <v/>
      </c>
      <c r="D550" s="381">
        <f>IF(AND('JUNIO 2026'!D29&lt;&gt;"",'JUNIO 2026'!Z29="POR RECOGER"),'JUNIO 2026'!F29,"")</f>
        <v/>
      </c>
      <c r="E550" s="381">
        <f>IF(AND('JUNIO 2026'!D29&lt;&gt;"",'JUNIO 2026'!Z29="POR RECOGER"),TEXT('JUNIO 2026'!G29,"DD/MM/YYYY"),"")</f>
        <v/>
      </c>
      <c r="F550" s="381">
        <f>IF(AND('JUNIO 2026'!D29&lt;&gt;"",'JUNIO 2026'!Z29="POR RECOGER"),'JUNIO 2026'!K29,"")</f>
        <v/>
      </c>
      <c r="G550" s="382">
        <f>IF(AND('JUNIO 2026'!D29&lt;&gt;"",'JUNIO 2026'!Z29="POR RECOGER"),'JUNIO 2026'!M29,"")</f>
        <v/>
      </c>
      <c r="H550" s="382">
        <f>IF(AND('JUNIO 2026'!D29&lt;&gt;"",'JUNIO 2026'!Z29="POR RECOGER"),'JUNIO 2026'!N29,"")</f>
        <v/>
      </c>
      <c r="I550" s="381">
        <f>IF(AND('JUNIO 2026'!D29&lt;&gt;"",'JUNIO 2026'!Z29="POR RECOGER"),'JUNIO 2026'!P29,"")</f>
        <v/>
      </c>
      <c r="J550" s="381">
        <f>IF(AND('JUNIO 2026'!D29&lt;&gt;"",'JUNIO 2026'!Z29="POR RECOGER"),'JUNIO 2026'!Q29,"")</f>
        <v/>
      </c>
      <c r="K550" s="381">
        <f>IF(AND('JUNIO 2026'!D29&lt;&gt;"",'JUNIO 2026'!Z29="POR RECOGER"),'JUNIO 2026'!Y29,"")</f>
        <v/>
      </c>
      <c r="L550" s="381">
        <f>IF(AND('JUNIO 2026'!D29&lt;&gt;"",'JUNIO 2026'!Z29="POR RECOGER"),'JUNIO 2026'!I29,"")</f>
        <v/>
      </c>
      <c r="P550" s="194" t="n"/>
      <c r="Q550" s="194" t="n"/>
      <c r="R550" s="194" t="n"/>
      <c r="S550" s="194" t="n"/>
      <c r="T550" s="194" t="n"/>
      <c r="U550" s="194" t="n"/>
      <c r="V550" s="194" t="n"/>
      <c r="W550" s="194" t="n"/>
      <c r="X550" s="194" t="n"/>
      <c r="Y550" s="194" t="n"/>
      <c r="Z550" s="194" t="n"/>
    </row>
    <row r="551" ht="15" customHeight="1" s="195">
      <c r="A551" s="381">
        <f>IF(AND('JUNIO 2026'!D30&lt;&gt;"",'JUNIO 2026'!Z30="POR RECOGER"),"JUN","")</f>
        <v/>
      </c>
      <c r="B551" s="381">
        <f>IF(AND('JUNIO 2026'!D30&lt;&gt;"",'JUNIO 2026'!Z30="POR RECOGER"),IF('JUNIO 2026'!Y30&lt;&gt;"",'JUNIO 2026'!Y30,'JUNIO 2026'!I30),"")</f>
        <v/>
      </c>
      <c r="C551" s="381">
        <f>IF(AND('JUNIO 2026'!D30&lt;&gt;"",'JUNIO 2026'!Z30="POR RECOGER"),'JUNIO 2026'!D30,"")</f>
        <v/>
      </c>
      <c r="D551" s="381">
        <f>IF(AND('JUNIO 2026'!D30&lt;&gt;"",'JUNIO 2026'!Z30="POR RECOGER"),'JUNIO 2026'!F30,"")</f>
        <v/>
      </c>
      <c r="E551" s="381">
        <f>IF(AND('JUNIO 2026'!D30&lt;&gt;"",'JUNIO 2026'!Z30="POR RECOGER"),TEXT('JUNIO 2026'!G30,"DD/MM/YYYY"),"")</f>
        <v/>
      </c>
      <c r="F551" s="381">
        <f>IF(AND('JUNIO 2026'!D30&lt;&gt;"",'JUNIO 2026'!Z30="POR RECOGER"),'JUNIO 2026'!K30,"")</f>
        <v/>
      </c>
      <c r="G551" s="382">
        <f>IF(AND('JUNIO 2026'!D30&lt;&gt;"",'JUNIO 2026'!Z30="POR RECOGER"),'JUNIO 2026'!M30,"")</f>
        <v/>
      </c>
      <c r="H551" s="382">
        <f>IF(AND('JUNIO 2026'!D30&lt;&gt;"",'JUNIO 2026'!Z30="POR RECOGER"),'JUNIO 2026'!N30,"")</f>
        <v/>
      </c>
      <c r="I551" s="381">
        <f>IF(AND('JUNIO 2026'!D30&lt;&gt;"",'JUNIO 2026'!Z30="POR RECOGER"),'JUNIO 2026'!P30,"")</f>
        <v/>
      </c>
      <c r="J551" s="381">
        <f>IF(AND('JUNIO 2026'!D30&lt;&gt;"",'JUNIO 2026'!Z30="POR RECOGER"),'JUNIO 2026'!Q30,"")</f>
        <v/>
      </c>
      <c r="K551" s="381">
        <f>IF(AND('JUNIO 2026'!D30&lt;&gt;"",'JUNIO 2026'!Z30="POR RECOGER"),'JUNIO 2026'!Y30,"")</f>
        <v/>
      </c>
      <c r="L551" s="381">
        <f>IF(AND('JUNIO 2026'!D30&lt;&gt;"",'JUNIO 2026'!Z30="POR RECOGER"),'JUNIO 2026'!I30,"")</f>
        <v/>
      </c>
      <c r="P551" s="194" t="n"/>
      <c r="Q551" s="194" t="n"/>
      <c r="R551" s="194" t="n"/>
      <c r="S551" s="194" t="n"/>
      <c r="T551" s="194" t="n"/>
      <c r="U551" s="194" t="n"/>
      <c r="V551" s="194" t="n"/>
      <c r="W551" s="194" t="n"/>
      <c r="X551" s="194" t="n"/>
      <c r="Y551" s="194" t="n"/>
      <c r="Z551" s="194" t="n"/>
    </row>
    <row r="552" ht="15" customHeight="1" s="195">
      <c r="A552" s="381">
        <f>IF(AND('JUNIO 2026'!D31&lt;&gt;"",'JUNIO 2026'!Z31="POR RECOGER"),"JUN","")</f>
        <v/>
      </c>
      <c r="B552" s="381">
        <f>IF(AND('JUNIO 2026'!D31&lt;&gt;"",'JUNIO 2026'!Z31="POR RECOGER"),IF('JUNIO 2026'!Y31&lt;&gt;"",'JUNIO 2026'!Y31,'JUNIO 2026'!I31),"")</f>
        <v/>
      </c>
      <c r="C552" s="381">
        <f>IF(AND('JUNIO 2026'!D31&lt;&gt;"",'JUNIO 2026'!Z31="POR RECOGER"),'JUNIO 2026'!D31,"")</f>
        <v/>
      </c>
      <c r="D552" s="381">
        <f>IF(AND('JUNIO 2026'!D31&lt;&gt;"",'JUNIO 2026'!Z31="POR RECOGER"),'JUNIO 2026'!F31,"")</f>
        <v/>
      </c>
      <c r="E552" s="381">
        <f>IF(AND('JUNIO 2026'!D31&lt;&gt;"",'JUNIO 2026'!Z31="POR RECOGER"),TEXT('JUNIO 2026'!G31,"DD/MM/YYYY"),"")</f>
        <v/>
      </c>
      <c r="F552" s="381">
        <f>IF(AND('JUNIO 2026'!D31&lt;&gt;"",'JUNIO 2026'!Z31="POR RECOGER"),'JUNIO 2026'!K31,"")</f>
        <v/>
      </c>
      <c r="G552" s="382">
        <f>IF(AND('JUNIO 2026'!D31&lt;&gt;"",'JUNIO 2026'!Z31="POR RECOGER"),'JUNIO 2026'!M31,"")</f>
        <v/>
      </c>
      <c r="H552" s="382">
        <f>IF(AND('JUNIO 2026'!D31&lt;&gt;"",'JUNIO 2026'!Z31="POR RECOGER"),'JUNIO 2026'!N31,"")</f>
        <v/>
      </c>
      <c r="I552" s="381">
        <f>IF(AND('JUNIO 2026'!D31&lt;&gt;"",'JUNIO 2026'!Z31="POR RECOGER"),'JUNIO 2026'!P31,"")</f>
        <v/>
      </c>
      <c r="J552" s="381">
        <f>IF(AND('JUNIO 2026'!D31&lt;&gt;"",'JUNIO 2026'!Z31="POR RECOGER"),'JUNIO 2026'!Q31,"")</f>
        <v/>
      </c>
      <c r="K552" s="381">
        <f>IF(AND('JUNIO 2026'!D31&lt;&gt;"",'JUNIO 2026'!Z31="POR RECOGER"),'JUNIO 2026'!Y31,"")</f>
        <v/>
      </c>
      <c r="L552" s="381">
        <f>IF(AND('JUNIO 2026'!D31&lt;&gt;"",'JUNIO 2026'!Z31="POR RECOGER"),'JUNIO 2026'!I31,"")</f>
        <v/>
      </c>
      <c r="P552" s="194" t="n"/>
      <c r="Q552" s="194" t="n"/>
      <c r="R552" s="194" t="n"/>
      <c r="S552" s="194" t="n"/>
      <c r="T552" s="194" t="n"/>
      <c r="U552" s="194" t="n"/>
      <c r="V552" s="194" t="n"/>
      <c r="W552" s="194" t="n"/>
      <c r="X552" s="194" t="n"/>
      <c r="Y552" s="194" t="n"/>
      <c r="Z552" s="194" t="n"/>
    </row>
    <row r="553" ht="15" customHeight="1" s="195">
      <c r="A553" s="381">
        <f>IF(AND('JUNIO 2026'!D32&lt;&gt;"",'JUNIO 2026'!Z32="POR RECOGER"),"JUN","")</f>
        <v/>
      </c>
      <c r="B553" s="381">
        <f>IF(AND('JUNIO 2026'!D32&lt;&gt;"",'JUNIO 2026'!Z32="POR RECOGER"),IF('JUNIO 2026'!Y32&lt;&gt;"",'JUNIO 2026'!Y32,'JUNIO 2026'!I32),"")</f>
        <v/>
      </c>
      <c r="C553" s="381">
        <f>IF(AND('JUNIO 2026'!D32&lt;&gt;"",'JUNIO 2026'!Z32="POR RECOGER"),'JUNIO 2026'!D32,"")</f>
        <v/>
      </c>
      <c r="D553" s="381">
        <f>IF(AND('JUNIO 2026'!D32&lt;&gt;"",'JUNIO 2026'!Z32="POR RECOGER"),'JUNIO 2026'!F32,"")</f>
        <v/>
      </c>
      <c r="E553" s="381">
        <f>IF(AND('JUNIO 2026'!D32&lt;&gt;"",'JUNIO 2026'!Z32="POR RECOGER"),TEXT('JUNIO 2026'!G32,"DD/MM/YYYY"),"")</f>
        <v/>
      </c>
      <c r="F553" s="381">
        <f>IF(AND('JUNIO 2026'!D32&lt;&gt;"",'JUNIO 2026'!Z32="POR RECOGER"),'JUNIO 2026'!K32,"")</f>
        <v/>
      </c>
      <c r="G553" s="382">
        <f>IF(AND('JUNIO 2026'!D32&lt;&gt;"",'JUNIO 2026'!Z32="POR RECOGER"),'JUNIO 2026'!M32,"")</f>
        <v/>
      </c>
      <c r="H553" s="382">
        <f>IF(AND('JUNIO 2026'!D32&lt;&gt;"",'JUNIO 2026'!Z32="POR RECOGER"),'JUNIO 2026'!N32,"")</f>
        <v/>
      </c>
      <c r="I553" s="381">
        <f>IF(AND('JUNIO 2026'!D32&lt;&gt;"",'JUNIO 2026'!Z32="POR RECOGER"),'JUNIO 2026'!P32,"")</f>
        <v/>
      </c>
      <c r="J553" s="381">
        <f>IF(AND('JUNIO 2026'!D32&lt;&gt;"",'JUNIO 2026'!Z32="POR RECOGER"),'JUNIO 2026'!Q32,"")</f>
        <v/>
      </c>
      <c r="K553" s="381">
        <f>IF(AND('JUNIO 2026'!D32&lt;&gt;"",'JUNIO 2026'!Z32="POR RECOGER"),'JUNIO 2026'!Y32,"")</f>
        <v/>
      </c>
      <c r="L553" s="381">
        <f>IF(AND('JUNIO 2026'!D32&lt;&gt;"",'JUNIO 2026'!Z32="POR RECOGER"),'JUNIO 2026'!I32,"")</f>
        <v/>
      </c>
      <c r="P553" s="194" t="n"/>
      <c r="Q553" s="194" t="n"/>
      <c r="R553" s="194" t="n"/>
      <c r="S553" s="194" t="n"/>
      <c r="T553" s="194" t="n"/>
      <c r="U553" s="194" t="n"/>
      <c r="V553" s="194" t="n"/>
      <c r="W553" s="194" t="n"/>
      <c r="X553" s="194" t="n"/>
      <c r="Y553" s="194" t="n"/>
      <c r="Z553" s="194" t="n"/>
    </row>
    <row r="554" ht="15" customHeight="1" s="195">
      <c r="A554" s="381">
        <f>IF(AND('JUNIO 2026'!D33&lt;&gt;"",'JUNIO 2026'!Z33="POR RECOGER"),"JUN","")</f>
        <v/>
      </c>
      <c r="B554" s="381">
        <f>IF(AND('JUNIO 2026'!D33&lt;&gt;"",'JUNIO 2026'!Z33="POR RECOGER"),IF('JUNIO 2026'!Y33&lt;&gt;"",'JUNIO 2026'!Y33,'JUNIO 2026'!I33),"")</f>
        <v/>
      </c>
      <c r="C554" s="381">
        <f>IF(AND('JUNIO 2026'!D33&lt;&gt;"",'JUNIO 2026'!Z33="POR RECOGER"),'JUNIO 2026'!D33,"")</f>
        <v/>
      </c>
      <c r="D554" s="381">
        <f>IF(AND('JUNIO 2026'!D33&lt;&gt;"",'JUNIO 2026'!Z33="POR RECOGER"),'JUNIO 2026'!F33,"")</f>
        <v/>
      </c>
      <c r="E554" s="381">
        <f>IF(AND('JUNIO 2026'!D33&lt;&gt;"",'JUNIO 2026'!Z33="POR RECOGER"),TEXT('JUNIO 2026'!G33,"DD/MM/YYYY"),"")</f>
        <v/>
      </c>
      <c r="F554" s="381">
        <f>IF(AND('JUNIO 2026'!D33&lt;&gt;"",'JUNIO 2026'!Z33="POR RECOGER"),'JUNIO 2026'!K33,"")</f>
        <v/>
      </c>
      <c r="G554" s="382">
        <f>IF(AND('JUNIO 2026'!D33&lt;&gt;"",'JUNIO 2026'!Z33="POR RECOGER"),'JUNIO 2026'!M33,"")</f>
        <v/>
      </c>
      <c r="H554" s="382">
        <f>IF(AND('JUNIO 2026'!D33&lt;&gt;"",'JUNIO 2026'!Z33="POR RECOGER"),'JUNIO 2026'!N33,"")</f>
        <v/>
      </c>
      <c r="I554" s="381">
        <f>IF(AND('JUNIO 2026'!D33&lt;&gt;"",'JUNIO 2026'!Z33="POR RECOGER"),'JUNIO 2026'!P33,"")</f>
        <v/>
      </c>
      <c r="J554" s="381">
        <f>IF(AND('JUNIO 2026'!D33&lt;&gt;"",'JUNIO 2026'!Z33="POR RECOGER"),'JUNIO 2026'!Q33,"")</f>
        <v/>
      </c>
      <c r="K554" s="381">
        <f>IF(AND('JUNIO 2026'!D33&lt;&gt;"",'JUNIO 2026'!Z33="POR RECOGER"),'JUNIO 2026'!Y33,"")</f>
        <v/>
      </c>
      <c r="L554" s="381">
        <f>IF(AND('JUNIO 2026'!D33&lt;&gt;"",'JUNIO 2026'!Z33="POR RECOGER"),'JUNIO 2026'!I33,"")</f>
        <v/>
      </c>
      <c r="P554" s="194" t="n"/>
      <c r="Q554" s="194" t="n"/>
      <c r="R554" s="194" t="n"/>
      <c r="S554" s="194" t="n"/>
      <c r="T554" s="194" t="n"/>
      <c r="U554" s="194" t="n"/>
      <c r="V554" s="194" t="n"/>
      <c r="W554" s="194" t="n"/>
      <c r="X554" s="194" t="n"/>
      <c r="Y554" s="194" t="n"/>
      <c r="Z554" s="194" t="n"/>
    </row>
    <row r="555" ht="15" customHeight="1" s="195">
      <c r="A555" s="381">
        <f>IF(AND('JUNIO 2026'!D34&lt;&gt;"",'JUNIO 2026'!Z34="POR RECOGER"),"JUN","")</f>
        <v/>
      </c>
      <c r="B555" s="381">
        <f>IF(AND('JUNIO 2026'!D34&lt;&gt;"",'JUNIO 2026'!Z34="POR RECOGER"),IF('JUNIO 2026'!Y34&lt;&gt;"",'JUNIO 2026'!Y34,'JUNIO 2026'!I34),"")</f>
        <v/>
      </c>
      <c r="C555" s="381">
        <f>IF(AND('JUNIO 2026'!D34&lt;&gt;"",'JUNIO 2026'!Z34="POR RECOGER"),'JUNIO 2026'!D34,"")</f>
        <v/>
      </c>
      <c r="D555" s="381">
        <f>IF(AND('JUNIO 2026'!D34&lt;&gt;"",'JUNIO 2026'!Z34="POR RECOGER"),'JUNIO 2026'!F34,"")</f>
        <v/>
      </c>
      <c r="E555" s="381">
        <f>IF(AND('JUNIO 2026'!D34&lt;&gt;"",'JUNIO 2026'!Z34="POR RECOGER"),TEXT('JUNIO 2026'!G34,"DD/MM/YYYY"),"")</f>
        <v/>
      </c>
      <c r="F555" s="381">
        <f>IF(AND('JUNIO 2026'!D34&lt;&gt;"",'JUNIO 2026'!Z34="POR RECOGER"),'JUNIO 2026'!K34,"")</f>
        <v/>
      </c>
      <c r="G555" s="382">
        <f>IF(AND('JUNIO 2026'!D34&lt;&gt;"",'JUNIO 2026'!Z34="POR RECOGER"),'JUNIO 2026'!M34,"")</f>
        <v/>
      </c>
      <c r="H555" s="382">
        <f>IF(AND('JUNIO 2026'!D34&lt;&gt;"",'JUNIO 2026'!Z34="POR RECOGER"),'JUNIO 2026'!N34,"")</f>
        <v/>
      </c>
      <c r="I555" s="381">
        <f>IF(AND('JUNIO 2026'!D34&lt;&gt;"",'JUNIO 2026'!Z34="POR RECOGER"),'JUNIO 2026'!P34,"")</f>
        <v/>
      </c>
      <c r="J555" s="381">
        <f>IF(AND('JUNIO 2026'!D34&lt;&gt;"",'JUNIO 2026'!Z34="POR RECOGER"),'JUNIO 2026'!Q34,"")</f>
        <v/>
      </c>
      <c r="K555" s="381">
        <f>IF(AND('JUNIO 2026'!D34&lt;&gt;"",'JUNIO 2026'!Z34="POR RECOGER"),'JUNIO 2026'!Y34,"")</f>
        <v/>
      </c>
      <c r="L555" s="381">
        <f>IF(AND('JUNIO 2026'!D34&lt;&gt;"",'JUNIO 2026'!Z34="POR RECOGER"),'JUNIO 2026'!I34,"")</f>
        <v/>
      </c>
      <c r="P555" s="194" t="n"/>
      <c r="Q555" s="194" t="n"/>
      <c r="R555" s="194" t="n"/>
      <c r="S555" s="194" t="n"/>
      <c r="T555" s="194" t="n"/>
      <c r="U555" s="194" t="n"/>
      <c r="V555" s="194" t="n"/>
      <c r="W555" s="194" t="n"/>
      <c r="X555" s="194" t="n"/>
      <c r="Y555" s="194" t="n"/>
      <c r="Z555" s="194" t="n"/>
    </row>
    <row r="556" ht="15" customHeight="1" s="195">
      <c r="A556" s="381">
        <f>IF(AND('JUNIO 2026'!D35&lt;&gt;"",'JUNIO 2026'!Z35="POR RECOGER"),"JUN","")</f>
        <v/>
      </c>
      <c r="B556" s="381">
        <f>IF(AND('JUNIO 2026'!D35&lt;&gt;"",'JUNIO 2026'!Z35="POR RECOGER"),IF('JUNIO 2026'!Y35&lt;&gt;"",'JUNIO 2026'!Y35,'JUNIO 2026'!I35),"")</f>
        <v/>
      </c>
      <c r="C556" s="381">
        <f>IF(AND('JUNIO 2026'!D35&lt;&gt;"",'JUNIO 2026'!Z35="POR RECOGER"),'JUNIO 2026'!D35,"")</f>
        <v/>
      </c>
      <c r="D556" s="381">
        <f>IF(AND('JUNIO 2026'!D35&lt;&gt;"",'JUNIO 2026'!Z35="POR RECOGER"),'JUNIO 2026'!F35,"")</f>
        <v/>
      </c>
      <c r="E556" s="381">
        <f>IF(AND('JUNIO 2026'!D35&lt;&gt;"",'JUNIO 2026'!Z35="POR RECOGER"),TEXT('JUNIO 2026'!G35,"DD/MM/YYYY"),"")</f>
        <v/>
      </c>
      <c r="F556" s="381">
        <f>IF(AND('JUNIO 2026'!D35&lt;&gt;"",'JUNIO 2026'!Z35="POR RECOGER"),'JUNIO 2026'!K35,"")</f>
        <v/>
      </c>
      <c r="G556" s="382">
        <f>IF(AND('JUNIO 2026'!D35&lt;&gt;"",'JUNIO 2026'!Z35="POR RECOGER"),'JUNIO 2026'!M35,"")</f>
        <v/>
      </c>
      <c r="H556" s="382">
        <f>IF(AND('JUNIO 2026'!D35&lt;&gt;"",'JUNIO 2026'!Z35="POR RECOGER"),'JUNIO 2026'!N35,"")</f>
        <v/>
      </c>
      <c r="I556" s="381">
        <f>IF(AND('JUNIO 2026'!D35&lt;&gt;"",'JUNIO 2026'!Z35="POR RECOGER"),'JUNIO 2026'!P35,"")</f>
        <v/>
      </c>
      <c r="J556" s="381">
        <f>IF(AND('JUNIO 2026'!D35&lt;&gt;"",'JUNIO 2026'!Z35="POR RECOGER"),'JUNIO 2026'!Q35,"")</f>
        <v/>
      </c>
      <c r="K556" s="381">
        <f>IF(AND('JUNIO 2026'!D35&lt;&gt;"",'JUNIO 2026'!Z35="POR RECOGER"),'JUNIO 2026'!Y35,"")</f>
        <v/>
      </c>
      <c r="L556" s="381">
        <f>IF(AND('JUNIO 2026'!D35&lt;&gt;"",'JUNIO 2026'!Z35="POR RECOGER"),'JUNIO 2026'!I35,"")</f>
        <v/>
      </c>
      <c r="P556" s="194" t="n"/>
      <c r="Q556" s="194" t="n"/>
      <c r="R556" s="194" t="n"/>
      <c r="S556" s="194" t="n"/>
      <c r="T556" s="194" t="n"/>
      <c r="U556" s="194" t="n"/>
      <c r="V556" s="194" t="n"/>
      <c r="W556" s="194" t="n"/>
      <c r="X556" s="194" t="n"/>
      <c r="Y556" s="194" t="n"/>
      <c r="Z556" s="194" t="n"/>
    </row>
    <row r="557" ht="15" customHeight="1" s="195">
      <c r="A557" s="381">
        <f>IF(AND('JUNIO 2026'!D36&lt;&gt;"",'JUNIO 2026'!Z36="POR RECOGER"),"JUN","")</f>
        <v/>
      </c>
      <c r="B557" s="381">
        <f>IF(AND('JUNIO 2026'!D36&lt;&gt;"",'JUNIO 2026'!Z36="POR RECOGER"),IF('JUNIO 2026'!Y36&lt;&gt;"",'JUNIO 2026'!Y36,'JUNIO 2026'!I36),"")</f>
        <v/>
      </c>
      <c r="C557" s="381">
        <f>IF(AND('JUNIO 2026'!D36&lt;&gt;"",'JUNIO 2026'!Z36="POR RECOGER"),'JUNIO 2026'!D36,"")</f>
        <v/>
      </c>
      <c r="D557" s="381">
        <f>IF(AND('JUNIO 2026'!D36&lt;&gt;"",'JUNIO 2026'!Z36="POR RECOGER"),'JUNIO 2026'!F36,"")</f>
        <v/>
      </c>
      <c r="E557" s="381">
        <f>IF(AND('JUNIO 2026'!D36&lt;&gt;"",'JUNIO 2026'!Z36="POR RECOGER"),TEXT('JUNIO 2026'!G36,"DD/MM/YYYY"),"")</f>
        <v/>
      </c>
      <c r="F557" s="381">
        <f>IF(AND('JUNIO 2026'!D36&lt;&gt;"",'JUNIO 2026'!Z36="POR RECOGER"),'JUNIO 2026'!K36,"")</f>
        <v/>
      </c>
      <c r="G557" s="382">
        <f>IF(AND('JUNIO 2026'!D36&lt;&gt;"",'JUNIO 2026'!Z36="POR RECOGER"),'JUNIO 2026'!M36,"")</f>
        <v/>
      </c>
      <c r="H557" s="382">
        <f>IF(AND('JUNIO 2026'!D36&lt;&gt;"",'JUNIO 2026'!Z36="POR RECOGER"),'JUNIO 2026'!N36,"")</f>
        <v/>
      </c>
      <c r="I557" s="381">
        <f>IF(AND('JUNIO 2026'!D36&lt;&gt;"",'JUNIO 2026'!Z36="POR RECOGER"),'JUNIO 2026'!P36,"")</f>
        <v/>
      </c>
      <c r="J557" s="381">
        <f>IF(AND('JUNIO 2026'!D36&lt;&gt;"",'JUNIO 2026'!Z36="POR RECOGER"),'JUNIO 2026'!Q36,"")</f>
        <v/>
      </c>
      <c r="K557" s="381">
        <f>IF(AND('JUNIO 2026'!D36&lt;&gt;"",'JUNIO 2026'!Z36="POR RECOGER"),'JUNIO 2026'!Y36,"")</f>
        <v/>
      </c>
      <c r="L557" s="381">
        <f>IF(AND('JUNIO 2026'!D36&lt;&gt;"",'JUNIO 2026'!Z36="POR RECOGER"),'JUNIO 2026'!I36,"")</f>
        <v/>
      </c>
      <c r="P557" s="194" t="n"/>
      <c r="Q557" s="194" t="n"/>
      <c r="R557" s="194" t="n"/>
      <c r="S557" s="194" t="n"/>
      <c r="T557" s="194" t="n"/>
      <c r="U557" s="194" t="n"/>
      <c r="V557" s="194" t="n"/>
      <c r="W557" s="194" t="n"/>
      <c r="X557" s="194" t="n"/>
      <c r="Y557" s="194" t="n"/>
      <c r="Z557" s="194" t="n"/>
    </row>
    <row r="558" ht="15" customHeight="1" s="195">
      <c r="A558" s="381">
        <f>IF(AND('JUNIO 2026'!D37&lt;&gt;"",'JUNIO 2026'!Z37="POR RECOGER"),"JUN","")</f>
        <v/>
      </c>
      <c r="B558" s="381">
        <f>IF(AND('JUNIO 2026'!D37&lt;&gt;"",'JUNIO 2026'!Z37="POR RECOGER"),IF('JUNIO 2026'!Y37&lt;&gt;"",'JUNIO 2026'!Y37,'JUNIO 2026'!I37),"")</f>
        <v/>
      </c>
      <c r="C558" s="381">
        <f>IF(AND('JUNIO 2026'!D37&lt;&gt;"",'JUNIO 2026'!Z37="POR RECOGER"),'JUNIO 2026'!D37,"")</f>
        <v/>
      </c>
      <c r="D558" s="381">
        <f>IF(AND('JUNIO 2026'!D37&lt;&gt;"",'JUNIO 2026'!Z37="POR RECOGER"),'JUNIO 2026'!F37,"")</f>
        <v/>
      </c>
      <c r="E558" s="381">
        <f>IF(AND('JUNIO 2026'!D37&lt;&gt;"",'JUNIO 2026'!Z37="POR RECOGER"),TEXT('JUNIO 2026'!G37,"DD/MM/YYYY"),"")</f>
        <v/>
      </c>
      <c r="F558" s="381">
        <f>IF(AND('JUNIO 2026'!D37&lt;&gt;"",'JUNIO 2026'!Z37="POR RECOGER"),'JUNIO 2026'!K37,"")</f>
        <v/>
      </c>
      <c r="G558" s="382">
        <f>IF(AND('JUNIO 2026'!D37&lt;&gt;"",'JUNIO 2026'!Z37="POR RECOGER"),'JUNIO 2026'!M37,"")</f>
        <v/>
      </c>
      <c r="H558" s="382">
        <f>IF(AND('JUNIO 2026'!D37&lt;&gt;"",'JUNIO 2026'!Z37="POR RECOGER"),'JUNIO 2026'!N37,"")</f>
        <v/>
      </c>
      <c r="I558" s="381">
        <f>IF(AND('JUNIO 2026'!D37&lt;&gt;"",'JUNIO 2026'!Z37="POR RECOGER"),'JUNIO 2026'!P37,"")</f>
        <v/>
      </c>
      <c r="J558" s="381">
        <f>IF(AND('JUNIO 2026'!D37&lt;&gt;"",'JUNIO 2026'!Z37="POR RECOGER"),'JUNIO 2026'!Q37,"")</f>
        <v/>
      </c>
      <c r="K558" s="381">
        <f>IF(AND('JUNIO 2026'!D37&lt;&gt;"",'JUNIO 2026'!Z37="POR RECOGER"),'JUNIO 2026'!Y37,"")</f>
        <v/>
      </c>
      <c r="L558" s="381">
        <f>IF(AND('JUNIO 2026'!D37&lt;&gt;"",'JUNIO 2026'!Z37="POR RECOGER"),'JUNIO 2026'!I37,"")</f>
        <v/>
      </c>
      <c r="P558" s="194" t="n"/>
      <c r="Q558" s="194" t="n"/>
      <c r="R558" s="194" t="n"/>
      <c r="S558" s="194" t="n"/>
      <c r="T558" s="194" t="n"/>
      <c r="U558" s="194" t="n"/>
      <c r="V558" s="194" t="n"/>
      <c r="W558" s="194" t="n"/>
      <c r="X558" s="194" t="n"/>
      <c r="Y558" s="194" t="n"/>
      <c r="Z558" s="194" t="n"/>
    </row>
    <row r="559" ht="15" customHeight="1" s="195">
      <c r="A559" s="381">
        <f>IF(AND('JUNIO 2026'!D38&lt;&gt;"",'JUNIO 2026'!Z38="POR RECOGER"),"JUN","")</f>
        <v/>
      </c>
      <c r="B559" s="381">
        <f>IF(AND('JUNIO 2026'!D38&lt;&gt;"",'JUNIO 2026'!Z38="POR RECOGER"),IF('JUNIO 2026'!Y38&lt;&gt;"",'JUNIO 2026'!Y38,'JUNIO 2026'!I38),"")</f>
        <v/>
      </c>
      <c r="C559" s="381">
        <f>IF(AND('JUNIO 2026'!D38&lt;&gt;"",'JUNIO 2026'!Z38="POR RECOGER"),'JUNIO 2026'!D38,"")</f>
        <v/>
      </c>
      <c r="D559" s="381">
        <f>IF(AND('JUNIO 2026'!D38&lt;&gt;"",'JUNIO 2026'!Z38="POR RECOGER"),'JUNIO 2026'!F38,"")</f>
        <v/>
      </c>
      <c r="E559" s="381">
        <f>IF(AND('JUNIO 2026'!D38&lt;&gt;"",'JUNIO 2026'!Z38="POR RECOGER"),TEXT('JUNIO 2026'!G38,"DD/MM/YYYY"),"")</f>
        <v/>
      </c>
      <c r="F559" s="381">
        <f>IF(AND('JUNIO 2026'!D38&lt;&gt;"",'JUNIO 2026'!Z38="POR RECOGER"),'JUNIO 2026'!K38,"")</f>
        <v/>
      </c>
      <c r="G559" s="382">
        <f>IF(AND('JUNIO 2026'!D38&lt;&gt;"",'JUNIO 2026'!Z38="POR RECOGER"),'JUNIO 2026'!M38,"")</f>
        <v/>
      </c>
      <c r="H559" s="382">
        <f>IF(AND('JUNIO 2026'!D38&lt;&gt;"",'JUNIO 2026'!Z38="POR RECOGER"),'JUNIO 2026'!N38,"")</f>
        <v/>
      </c>
      <c r="I559" s="381">
        <f>IF(AND('JUNIO 2026'!D38&lt;&gt;"",'JUNIO 2026'!Z38="POR RECOGER"),'JUNIO 2026'!P38,"")</f>
        <v/>
      </c>
      <c r="J559" s="381">
        <f>IF(AND('JUNIO 2026'!D38&lt;&gt;"",'JUNIO 2026'!Z38="POR RECOGER"),'JUNIO 2026'!Q38,"")</f>
        <v/>
      </c>
      <c r="K559" s="381">
        <f>IF(AND('JUNIO 2026'!D38&lt;&gt;"",'JUNIO 2026'!Z38="POR RECOGER"),'JUNIO 2026'!Y38,"")</f>
        <v/>
      </c>
      <c r="L559" s="381">
        <f>IF(AND('JUNIO 2026'!D38&lt;&gt;"",'JUNIO 2026'!Z38="POR RECOGER"),'JUNIO 2026'!I38,"")</f>
        <v/>
      </c>
      <c r="P559" s="194" t="n"/>
      <c r="Q559" s="194" t="n"/>
      <c r="R559" s="194" t="n"/>
      <c r="S559" s="194" t="n"/>
      <c r="T559" s="194" t="n"/>
      <c r="U559" s="194" t="n"/>
      <c r="V559" s="194" t="n"/>
      <c r="W559" s="194" t="n"/>
      <c r="X559" s="194" t="n"/>
      <c r="Y559" s="194" t="n"/>
      <c r="Z559" s="194" t="n"/>
    </row>
    <row r="560" ht="15" customHeight="1" s="195">
      <c r="A560" s="381">
        <f>IF(AND('JUNIO 2026'!D39&lt;&gt;"",'JUNIO 2026'!Z39="POR RECOGER"),"JUN","")</f>
        <v/>
      </c>
      <c r="B560" s="381">
        <f>IF(AND('JUNIO 2026'!D39&lt;&gt;"",'JUNIO 2026'!Z39="POR RECOGER"),IF('JUNIO 2026'!Y39&lt;&gt;"",'JUNIO 2026'!Y39,'JUNIO 2026'!I39),"")</f>
        <v/>
      </c>
      <c r="C560" s="381">
        <f>IF(AND('JUNIO 2026'!D39&lt;&gt;"",'JUNIO 2026'!Z39="POR RECOGER"),'JUNIO 2026'!D39,"")</f>
        <v/>
      </c>
      <c r="D560" s="381">
        <f>IF(AND('JUNIO 2026'!D39&lt;&gt;"",'JUNIO 2026'!Z39="POR RECOGER"),'JUNIO 2026'!F39,"")</f>
        <v/>
      </c>
      <c r="E560" s="381">
        <f>IF(AND('JUNIO 2026'!D39&lt;&gt;"",'JUNIO 2026'!Z39="POR RECOGER"),TEXT('JUNIO 2026'!G39,"DD/MM/YYYY"),"")</f>
        <v/>
      </c>
      <c r="F560" s="381">
        <f>IF(AND('JUNIO 2026'!D39&lt;&gt;"",'JUNIO 2026'!Z39="POR RECOGER"),'JUNIO 2026'!K39,"")</f>
        <v/>
      </c>
      <c r="G560" s="382">
        <f>IF(AND('JUNIO 2026'!D39&lt;&gt;"",'JUNIO 2026'!Z39="POR RECOGER"),'JUNIO 2026'!M39,"")</f>
        <v/>
      </c>
      <c r="H560" s="382">
        <f>IF(AND('JUNIO 2026'!D39&lt;&gt;"",'JUNIO 2026'!Z39="POR RECOGER"),'JUNIO 2026'!N39,"")</f>
        <v/>
      </c>
      <c r="I560" s="381">
        <f>IF(AND('JUNIO 2026'!D39&lt;&gt;"",'JUNIO 2026'!Z39="POR RECOGER"),'JUNIO 2026'!P39,"")</f>
        <v/>
      </c>
      <c r="J560" s="381">
        <f>IF(AND('JUNIO 2026'!D39&lt;&gt;"",'JUNIO 2026'!Z39="POR RECOGER"),'JUNIO 2026'!Q39,"")</f>
        <v/>
      </c>
      <c r="K560" s="381">
        <f>IF(AND('JUNIO 2026'!D39&lt;&gt;"",'JUNIO 2026'!Z39="POR RECOGER"),'JUNIO 2026'!Y39,"")</f>
        <v/>
      </c>
      <c r="L560" s="381">
        <f>IF(AND('JUNIO 2026'!D39&lt;&gt;"",'JUNIO 2026'!Z39="POR RECOGER"),'JUNIO 2026'!I39,"")</f>
        <v/>
      </c>
      <c r="P560" s="194" t="n"/>
      <c r="Q560" s="194" t="n"/>
      <c r="R560" s="194" t="n"/>
      <c r="S560" s="194" t="n"/>
      <c r="T560" s="194" t="n"/>
      <c r="U560" s="194" t="n"/>
      <c r="V560" s="194" t="n"/>
      <c r="W560" s="194" t="n"/>
      <c r="X560" s="194" t="n"/>
      <c r="Y560" s="194" t="n"/>
      <c r="Z560" s="194" t="n"/>
    </row>
    <row r="561" ht="15" customHeight="1" s="195">
      <c r="A561" s="381">
        <f>IF(AND('JUNIO 2026'!D40&lt;&gt;"",'JUNIO 2026'!Z40="POR RECOGER"),"JUN","")</f>
        <v/>
      </c>
      <c r="B561" s="381">
        <f>IF(AND('JUNIO 2026'!D40&lt;&gt;"",'JUNIO 2026'!Z40="POR RECOGER"),IF('JUNIO 2026'!Y40&lt;&gt;"",'JUNIO 2026'!Y40,'JUNIO 2026'!I40),"")</f>
        <v/>
      </c>
      <c r="C561" s="381">
        <f>IF(AND('JUNIO 2026'!D40&lt;&gt;"",'JUNIO 2026'!Z40="POR RECOGER"),'JUNIO 2026'!D40,"")</f>
        <v/>
      </c>
      <c r="D561" s="381">
        <f>IF(AND('JUNIO 2026'!D40&lt;&gt;"",'JUNIO 2026'!Z40="POR RECOGER"),'JUNIO 2026'!F40,"")</f>
        <v/>
      </c>
      <c r="E561" s="381">
        <f>IF(AND('JUNIO 2026'!D40&lt;&gt;"",'JUNIO 2026'!Z40="POR RECOGER"),TEXT('JUNIO 2026'!G40,"DD/MM/YYYY"),"")</f>
        <v/>
      </c>
      <c r="F561" s="381">
        <f>IF(AND('JUNIO 2026'!D40&lt;&gt;"",'JUNIO 2026'!Z40="POR RECOGER"),'JUNIO 2026'!K40,"")</f>
        <v/>
      </c>
      <c r="G561" s="382">
        <f>IF(AND('JUNIO 2026'!D40&lt;&gt;"",'JUNIO 2026'!Z40="POR RECOGER"),'JUNIO 2026'!M40,"")</f>
        <v/>
      </c>
      <c r="H561" s="382">
        <f>IF(AND('JUNIO 2026'!D40&lt;&gt;"",'JUNIO 2026'!Z40="POR RECOGER"),'JUNIO 2026'!N40,"")</f>
        <v/>
      </c>
      <c r="I561" s="381">
        <f>IF(AND('JUNIO 2026'!D40&lt;&gt;"",'JUNIO 2026'!Z40="POR RECOGER"),'JUNIO 2026'!P40,"")</f>
        <v/>
      </c>
      <c r="J561" s="381">
        <f>IF(AND('JUNIO 2026'!D40&lt;&gt;"",'JUNIO 2026'!Z40="POR RECOGER"),'JUNIO 2026'!Q40,"")</f>
        <v/>
      </c>
      <c r="K561" s="381">
        <f>IF(AND('JUNIO 2026'!D40&lt;&gt;"",'JUNIO 2026'!Z40="POR RECOGER"),'JUNIO 2026'!Y40,"")</f>
        <v/>
      </c>
      <c r="L561" s="381">
        <f>IF(AND('JUNIO 2026'!D40&lt;&gt;"",'JUNIO 2026'!Z40="POR RECOGER"),'JUNIO 2026'!I40,"")</f>
        <v/>
      </c>
      <c r="P561" s="194" t="n"/>
      <c r="Q561" s="194" t="n"/>
      <c r="R561" s="194" t="n"/>
      <c r="S561" s="194" t="n"/>
      <c r="T561" s="194" t="n"/>
      <c r="U561" s="194" t="n"/>
      <c r="V561" s="194" t="n"/>
      <c r="W561" s="194" t="n"/>
      <c r="X561" s="194" t="n"/>
      <c r="Y561" s="194" t="n"/>
      <c r="Z561" s="194" t="n"/>
    </row>
    <row r="562" ht="15" customHeight="1" s="195">
      <c r="A562" s="381">
        <f>IF(AND('JUNIO 2026'!D41&lt;&gt;"",'JUNIO 2026'!Z41="POR RECOGER"),"JUN","")</f>
        <v/>
      </c>
      <c r="B562" s="381">
        <f>IF(AND('JUNIO 2026'!D41&lt;&gt;"",'JUNIO 2026'!Z41="POR RECOGER"),IF('JUNIO 2026'!Y41&lt;&gt;"",'JUNIO 2026'!Y41,'JUNIO 2026'!I41),"")</f>
        <v/>
      </c>
      <c r="C562" s="381">
        <f>IF(AND('JUNIO 2026'!D41&lt;&gt;"",'JUNIO 2026'!Z41="POR RECOGER"),'JUNIO 2026'!D41,"")</f>
        <v/>
      </c>
      <c r="D562" s="381">
        <f>IF(AND('JUNIO 2026'!D41&lt;&gt;"",'JUNIO 2026'!Z41="POR RECOGER"),'JUNIO 2026'!F41,"")</f>
        <v/>
      </c>
      <c r="E562" s="381">
        <f>IF(AND('JUNIO 2026'!D41&lt;&gt;"",'JUNIO 2026'!Z41="POR RECOGER"),TEXT('JUNIO 2026'!G41,"DD/MM/YYYY"),"")</f>
        <v/>
      </c>
      <c r="F562" s="381">
        <f>IF(AND('JUNIO 2026'!D41&lt;&gt;"",'JUNIO 2026'!Z41="POR RECOGER"),'JUNIO 2026'!K41,"")</f>
        <v/>
      </c>
      <c r="G562" s="382">
        <f>IF(AND('JUNIO 2026'!D41&lt;&gt;"",'JUNIO 2026'!Z41="POR RECOGER"),'JUNIO 2026'!M41,"")</f>
        <v/>
      </c>
      <c r="H562" s="382">
        <f>IF(AND('JUNIO 2026'!D41&lt;&gt;"",'JUNIO 2026'!Z41="POR RECOGER"),'JUNIO 2026'!N41,"")</f>
        <v/>
      </c>
      <c r="I562" s="381">
        <f>IF(AND('JUNIO 2026'!D41&lt;&gt;"",'JUNIO 2026'!Z41="POR RECOGER"),'JUNIO 2026'!P41,"")</f>
        <v/>
      </c>
      <c r="J562" s="381">
        <f>IF(AND('JUNIO 2026'!D41&lt;&gt;"",'JUNIO 2026'!Z41="POR RECOGER"),'JUNIO 2026'!Q41,"")</f>
        <v/>
      </c>
      <c r="K562" s="381">
        <f>IF(AND('JUNIO 2026'!D41&lt;&gt;"",'JUNIO 2026'!Z41="POR RECOGER"),'JUNIO 2026'!Y41,"")</f>
        <v/>
      </c>
      <c r="L562" s="381">
        <f>IF(AND('JUNIO 2026'!D41&lt;&gt;"",'JUNIO 2026'!Z41="POR RECOGER"),'JUNIO 2026'!I41,"")</f>
        <v/>
      </c>
      <c r="P562" s="194" t="n"/>
      <c r="Q562" s="194" t="n"/>
      <c r="R562" s="194" t="n"/>
      <c r="S562" s="194" t="n"/>
      <c r="T562" s="194" t="n"/>
      <c r="U562" s="194" t="n"/>
      <c r="V562" s="194" t="n"/>
      <c r="W562" s="194" t="n"/>
      <c r="X562" s="194" t="n"/>
      <c r="Y562" s="194" t="n"/>
      <c r="Z562" s="194" t="n"/>
    </row>
    <row r="563" ht="15" customHeight="1" s="195">
      <c r="A563" s="381">
        <f>IF(AND('JUNIO 2026'!D42&lt;&gt;"",'JUNIO 2026'!Z42="POR RECOGER"),"JUN","")</f>
        <v/>
      </c>
      <c r="B563" s="381">
        <f>IF(AND('JUNIO 2026'!D42&lt;&gt;"",'JUNIO 2026'!Z42="POR RECOGER"),IF('JUNIO 2026'!Y42&lt;&gt;"",'JUNIO 2026'!Y42,'JUNIO 2026'!I42),"")</f>
        <v/>
      </c>
      <c r="C563" s="381">
        <f>IF(AND('JUNIO 2026'!D42&lt;&gt;"",'JUNIO 2026'!Z42="POR RECOGER"),'JUNIO 2026'!D42,"")</f>
        <v/>
      </c>
      <c r="D563" s="381">
        <f>IF(AND('JUNIO 2026'!D42&lt;&gt;"",'JUNIO 2026'!Z42="POR RECOGER"),'JUNIO 2026'!F42,"")</f>
        <v/>
      </c>
      <c r="E563" s="381">
        <f>IF(AND('JUNIO 2026'!D42&lt;&gt;"",'JUNIO 2026'!Z42="POR RECOGER"),TEXT('JUNIO 2026'!G42,"DD/MM/YYYY"),"")</f>
        <v/>
      </c>
      <c r="F563" s="381">
        <f>IF(AND('JUNIO 2026'!D42&lt;&gt;"",'JUNIO 2026'!Z42="POR RECOGER"),'JUNIO 2026'!K42,"")</f>
        <v/>
      </c>
      <c r="G563" s="382">
        <f>IF(AND('JUNIO 2026'!D42&lt;&gt;"",'JUNIO 2026'!Z42="POR RECOGER"),'JUNIO 2026'!M42,"")</f>
        <v/>
      </c>
      <c r="H563" s="382">
        <f>IF(AND('JUNIO 2026'!D42&lt;&gt;"",'JUNIO 2026'!Z42="POR RECOGER"),'JUNIO 2026'!N42,"")</f>
        <v/>
      </c>
      <c r="I563" s="381">
        <f>IF(AND('JUNIO 2026'!D42&lt;&gt;"",'JUNIO 2026'!Z42="POR RECOGER"),'JUNIO 2026'!P42,"")</f>
        <v/>
      </c>
      <c r="J563" s="381">
        <f>IF(AND('JUNIO 2026'!D42&lt;&gt;"",'JUNIO 2026'!Z42="POR RECOGER"),'JUNIO 2026'!Q42,"")</f>
        <v/>
      </c>
      <c r="K563" s="381">
        <f>IF(AND('JUNIO 2026'!D42&lt;&gt;"",'JUNIO 2026'!Z42="POR RECOGER"),'JUNIO 2026'!Y42,"")</f>
        <v/>
      </c>
      <c r="L563" s="381">
        <f>IF(AND('JUNIO 2026'!D42&lt;&gt;"",'JUNIO 2026'!Z42="POR RECOGER"),'JUNIO 2026'!I42,"")</f>
        <v/>
      </c>
      <c r="P563" s="194" t="n"/>
      <c r="Q563" s="194" t="n"/>
      <c r="R563" s="194" t="n"/>
      <c r="S563" s="194" t="n"/>
      <c r="T563" s="194" t="n"/>
      <c r="U563" s="194" t="n"/>
      <c r="V563" s="194" t="n"/>
      <c r="W563" s="194" t="n"/>
      <c r="X563" s="194" t="n"/>
      <c r="Y563" s="194" t="n"/>
      <c r="Z563" s="194" t="n"/>
    </row>
    <row r="564" ht="15" customHeight="1" s="195">
      <c r="A564" s="381">
        <f>IF(AND('JUNIO 2026'!D43&lt;&gt;"",'JUNIO 2026'!Z43="POR RECOGER"),"JUN","")</f>
        <v/>
      </c>
      <c r="B564" s="381">
        <f>IF(AND('JUNIO 2026'!D43&lt;&gt;"",'JUNIO 2026'!Z43="POR RECOGER"),IF('JUNIO 2026'!Y43&lt;&gt;"",'JUNIO 2026'!Y43,'JUNIO 2026'!I43),"")</f>
        <v/>
      </c>
      <c r="C564" s="381">
        <f>IF(AND('JUNIO 2026'!D43&lt;&gt;"",'JUNIO 2026'!Z43="POR RECOGER"),'JUNIO 2026'!D43,"")</f>
        <v/>
      </c>
      <c r="D564" s="381">
        <f>IF(AND('JUNIO 2026'!D43&lt;&gt;"",'JUNIO 2026'!Z43="POR RECOGER"),'JUNIO 2026'!F43,"")</f>
        <v/>
      </c>
      <c r="E564" s="381">
        <f>IF(AND('JUNIO 2026'!D43&lt;&gt;"",'JUNIO 2026'!Z43="POR RECOGER"),TEXT('JUNIO 2026'!G43,"DD/MM/YYYY"),"")</f>
        <v/>
      </c>
      <c r="F564" s="381">
        <f>IF(AND('JUNIO 2026'!D43&lt;&gt;"",'JUNIO 2026'!Z43="POR RECOGER"),'JUNIO 2026'!K43,"")</f>
        <v/>
      </c>
      <c r="G564" s="382">
        <f>IF(AND('JUNIO 2026'!D43&lt;&gt;"",'JUNIO 2026'!Z43="POR RECOGER"),'JUNIO 2026'!M43,"")</f>
        <v/>
      </c>
      <c r="H564" s="382">
        <f>IF(AND('JUNIO 2026'!D43&lt;&gt;"",'JUNIO 2026'!Z43="POR RECOGER"),'JUNIO 2026'!N43,"")</f>
        <v/>
      </c>
      <c r="I564" s="381">
        <f>IF(AND('JUNIO 2026'!D43&lt;&gt;"",'JUNIO 2026'!Z43="POR RECOGER"),'JUNIO 2026'!P43,"")</f>
        <v/>
      </c>
      <c r="J564" s="381">
        <f>IF(AND('JUNIO 2026'!D43&lt;&gt;"",'JUNIO 2026'!Z43="POR RECOGER"),'JUNIO 2026'!Q43,"")</f>
        <v/>
      </c>
      <c r="K564" s="381">
        <f>IF(AND('JUNIO 2026'!D43&lt;&gt;"",'JUNIO 2026'!Z43="POR RECOGER"),'JUNIO 2026'!Y43,"")</f>
        <v/>
      </c>
      <c r="L564" s="381">
        <f>IF(AND('JUNIO 2026'!D43&lt;&gt;"",'JUNIO 2026'!Z43="POR RECOGER"),'JUNIO 2026'!I43,"")</f>
        <v/>
      </c>
      <c r="P564" s="194" t="n"/>
      <c r="Q564" s="194" t="n"/>
      <c r="R564" s="194" t="n"/>
      <c r="S564" s="194" t="n"/>
      <c r="T564" s="194" t="n"/>
      <c r="U564" s="194" t="n"/>
      <c r="V564" s="194" t="n"/>
      <c r="W564" s="194" t="n"/>
      <c r="X564" s="194" t="n"/>
      <c r="Y564" s="194" t="n"/>
      <c r="Z564" s="194" t="n"/>
    </row>
    <row r="565" ht="15" customHeight="1" s="195">
      <c r="A565" s="381">
        <f>IF(AND('JUNIO 2026'!D44&lt;&gt;"",'JUNIO 2026'!Z44="POR RECOGER"),"JUN","")</f>
        <v/>
      </c>
      <c r="B565" s="381">
        <f>IF(AND('JUNIO 2026'!D44&lt;&gt;"",'JUNIO 2026'!Z44="POR RECOGER"),IF('JUNIO 2026'!Y44&lt;&gt;"",'JUNIO 2026'!Y44,'JUNIO 2026'!I44),"")</f>
        <v/>
      </c>
      <c r="C565" s="381">
        <f>IF(AND('JUNIO 2026'!D44&lt;&gt;"",'JUNIO 2026'!Z44="POR RECOGER"),'JUNIO 2026'!D44,"")</f>
        <v/>
      </c>
      <c r="D565" s="381">
        <f>IF(AND('JUNIO 2026'!D44&lt;&gt;"",'JUNIO 2026'!Z44="POR RECOGER"),'JUNIO 2026'!F44,"")</f>
        <v/>
      </c>
      <c r="E565" s="381">
        <f>IF(AND('JUNIO 2026'!D44&lt;&gt;"",'JUNIO 2026'!Z44="POR RECOGER"),TEXT('JUNIO 2026'!G44,"DD/MM/YYYY"),"")</f>
        <v/>
      </c>
      <c r="F565" s="381">
        <f>IF(AND('JUNIO 2026'!D44&lt;&gt;"",'JUNIO 2026'!Z44="POR RECOGER"),'JUNIO 2026'!K44,"")</f>
        <v/>
      </c>
      <c r="G565" s="382">
        <f>IF(AND('JUNIO 2026'!D44&lt;&gt;"",'JUNIO 2026'!Z44="POR RECOGER"),'JUNIO 2026'!M44,"")</f>
        <v/>
      </c>
      <c r="H565" s="382">
        <f>IF(AND('JUNIO 2026'!D44&lt;&gt;"",'JUNIO 2026'!Z44="POR RECOGER"),'JUNIO 2026'!N44,"")</f>
        <v/>
      </c>
      <c r="I565" s="381">
        <f>IF(AND('JUNIO 2026'!D44&lt;&gt;"",'JUNIO 2026'!Z44="POR RECOGER"),'JUNIO 2026'!P44,"")</f>
        <v/>
      </c>
      <c r="J565" s="381">
        <f>IF(AND('JUNIO 2026'!D44&lt;&gt;"",'JUNIO 2026'!Z44="POR RECOGER"),'JUNIO 2026'!Q44,"")</f>
        <v/>
      </c>
      <c r="K565" s="381">
        <f>IF(AND('JUNIO 2026'!D44&lt;&gt;"",'JUNIO 2026'!Z44="POR RECOGER"),'JUNIO 2026'!Y44,"")</f>
        <v/>
      </c>
      <c r="L565" s="381">
        <f>IF(AND('JUNIO 2026'!D44&lt;&gt;"",'JUNIO 2026'!Z44="POR RECOGER"),'JUNIO 2026'!I44,"")</f>
        <v/>
      </c>
      <c r="P565" s="194" t="n"/>
      <c r="Q565" s="194" t="n"/>
      <c r="R565" s="194" t="n"/>
      <c r="S565" s="194" t="n"/>
      <c r="T565" s="194" t="n"/>
      <c r="U565" s="194" t="n"/>
      <c r="V565" s="194" t="n"/>
      <c r="W565" s="194" t="n"/>
      <c r="X565" s="194" t="n"/>
      <c r="Y565" s="194" t="n"/>
      <c r="Z565" s="194" t="n"/>
    </row>
    <row r="566" ht="15" customHeight="1" s="195">
      <c r="A566" s="381">
        <f>IF(AND('JUNIO 2026'!D45&lt;&gt;"",'JUNIO 2026'!Z45="POR RECOGER"),"JUN","")</f>
        <v/>
      </c>
      <c r="B566" s="381">
        <f>IF(AND('JUNIO 2026'!D45&lt;&gt;"",'JUNIO 2026'!Z45="POR RECOGER"),IF('JUNIO 2026'!Y45&lt;&gt;"",'JUNIO 2026'!Y45,'JUNIO 2026'!I45),"")</f>
        <v/>
      </c>
      <c r="C566" s="381">
        <f>IF(AND('JUNIO 2026'!D45&lt;&gt;"",'JUNIO 2026'!Z45="POR RECOGER"),'JUNIO 2026'!D45,"")</f>
        <v/>
      </c>
      <c r="D566" s="381">
        <f>IF(AND('JUNIO 2026'!D45&lt;&gt;"",'JUNIO 2026'!Z45="POR RECOGER"),'JUNIO 2026'!F45,"")</f>
        <v/>
      </c>
      <c r="E566" s="381">
        <f>IF(AND('JUNIO 2026'!D45&lt;&gt;"",'JUNIO 2026'!Z45="POR RECOGER"),TEXT('JUNIO 2026'!G45,"DD/MM/YYYY"),"")</f>
        <v/>
      </c>
      <c r="F566" s="381">
        <f>IF(AND('JUNIO 2026'!D45&lt;&gt;"",'JUNIO 2026'!Z45="POR RECOGER"),'JUNIO 2026'!K45,"")</f>
        <v/>
      </c>
      <c r="G566" s="382">
        <f>IF(AND('JUNIO 2026'!D45&lt;&gt;"",'JUNIO 2026'!Z45="POR RECOGER"),'JUNIO 2026'!M45,"")</f>
        <v/>
      </c>
      <c r="H566" s="382">
        <f>IF(AND('JUNIO 2026'!D45&lt;&gt;"",'JUNIO 2026'!Z45="POR RECOGER"),'JUNIO 2026'!N45,"")</f>
        <v/>
      </c>
      <c r="I566" s="381">
        <f>IF(AND('JUNIO 2026'!D45&lt;&gt;"",'JUNIO 2026'!Z45="POR RECOGER"),'JUNIO 2026'!P45,"")</f>
        <v/>
      </c>
      <c r="J566" s="381">
        <f>IF(AND('JUNIO 2026'!D45&lt;&gt;"",'JUNIO 2026'!Z45="POR RECOGER"),'JUNIO 2026'!Q45,"")</f>
        <v/>
      </c>
      <c r="K566" s="381">
        <f>IF(AND('JUNIO 2026'!D45&lt;&gt;"",'JUNIO 2026'!Z45="POR RECOGER"),'JUNIO 2026'!Y45,"")</f>
        <v/>
      </c>
      <c r="L566" s="381">
        <f>IF(AND('JUNIO 2026'!D45&lt;&gt;"",'JUNIO 2026'!Z45="POR RECOGER"),'JUNIO 2026'!I45,"")</f>
        <v/>
      </c>
      <c r="P566" s="194" t="n"/>
      <c r="Q566" s="194" t="n"/>
      <c r="R566" s="194" t="n"/>
      <c r="S566" s="194" t="n"/>
      <c r="T566" s="194" t="n"/>
      <c r="U566" s="194" t="n"/>
      <c r="V566" s="194" t="n"/>
      <c r="W566" s="194" t="n"/>
      <c r="X566" s="194" t="n"/>
      <c r="Y566" s="194" t="n"/>
      <c r="Z566" s="194" t="n"/>
    </row>
    <row r="567" ht="15" customHeight="1" s="195">
      <c r="A567" s="381">
        <f>IF(AND('JUNIO 2026'!D46&lt;&gt;"",'JUNIO 2026'!Z46="POR RECOGER"),"JUN","")</f>
        <v/>
      </c>
      <c r="B567" s="381">
        <f>IF(AND('JUNIO 2026'!D46&lt;&gt;"",'JUNIO 2026'!Z46="POR RECOGER"),IF('JUNIO 2026'!Y46&lt;&gt;"",'JUNIO 2026'!Y46,'JUNIO 2026'!I46),"")</f>
        <v/>
      </c>
      <c r="C567" s="381">
        <f>IF(AND('JUNIO 2026'!D46&lt;&gt;"",'JUNIO 2026'!Z46="POR RECOGER"),'JUNIO 2026'!D46,"")</f>
        <v/>
      </c>
      <c r="D567" s="381">
        <f>IF(AND('JUNIO 2026'!D46&lt;&gt;"",'JUNIO 2026'!Z46="POR RECOGER"),'JUNIO 2026'!F46,"")</f>
        <v/>
      </c>
      <c r="E567" s="381">
        <f>IF(AND('JUNIO 2026'!D46&lt;&gt;"",'JUNIO 2026'!Z46="POR RECOGER"),TEXT('JUNIO 2026'!G46,"DD/MM/YYYY"),"")</f>
        <v/>
      </c>
      <c r="F567" s="381">
        <f>IF(AND('JUNIO 2026'!D46&lt;&gt;"",'JUNIO 2026'!Z46="POR RECOGER"),'JUNIO 2026'!K46,"")</f>
        <v/>
      </c>
      <c r="G567" s="382">
        <f>IF(AND('JUNIO 2026'!D46&lt;&gt;"",'JUNIO 2026'!Z46="POR RECOGER"),'JUNIO 2026'!M46,"")</f>
        <v/>
      </c>
      <c r="H567" s="382">
        <f>IF(AND('JUNIO 2026'!D46&lt;&gt;"",'JUNIO 2026'!Z46="POR RECOGER"),'JUNIO 2026'!N46,"")</f>
        <v/>
      </c>
      <c r="I567" s="381">
        <f>IF(AND('JUNIO 2026'!D46&lt;&gt;"",'JUNIO 2026'!Z46="POR RECOGER"),'JUNIO 2026'!P46,"")</f>
        <v/>
      </c>
      <c r="J567" s="381">
        <f>IF(AND('JUNIO 2026'!D46&lt;&gt;"",'JUNIO 2026'!Z46="POR RECOGER"),'JUNIO 2026'!Q46,"")</f>
        <v/>
      </c>
      <c r="K567" s="381">
        <f>IF(AND('JUNIO 2026'!D46&lt;&gt;"",'JUNIO 2026'!Z46="POR RECOGER"),'JUNIO 2026'!Y46,"")</f>
        <v/>
      </c>
      <c r="L567" s="381">
        <f>IF(AND('JUNIO 2026'!D46&lt;&gt;"",'JUNIO 2026'!Z46="POR RECOGER"),'JUNIO 2026'!I46,"")</f>
        <v/>
      </c>
      <c r="P567" s="194" t="n"/>
      <c r="Q567" s="194" t="n"/>
      <c r="R567" s="194" t="n"/>
      <c r="S567" s="194" t="n"/>
      <c r="T567" s="194" t="n"/>
      <c r="U567" s="194" t="n"/>
      <c r="V567" s="194" t="n"/>
      <c r="W567" s="194" t="n"/>
      <c r="X567" s="194" t="n"/>
      <c r="Y567" s="194" t="n"/>
      <c r="Z567" s="194" t="n"/>
    </row>
    <row r="568" ht="15" customHeight="1" s="195">
      <c r="A568" s="381">
        <f>IF(AND('JUNIO 2026'!D47&lt;&gt;"",'JUNIO 2026'!Z47="POR RECOGER"),"JUN","")</f>
        <v/>
      </c>
      <c r="B568" s="381">
        <f>IF(AND('JUNIO 2026'!D47&lt;&gt;"",'JUNIO 2026'!Z47="POR RECOGER"),IF('JUNIO 2026'!Y47&lt;&gt;"",'JUNIO 2026'!Y47,'JUNIO 2026'!I47),"")</f>
        <v/>
      </c>
      <c r="C568" s="381">
        <f>IF(AND('JUNIO 2026'!D47&lt;&gt;"",'JUNIO 2026'!Z47="POR RECOGER"),'JUNIO 2026'!D47,"")</f>
        <v/>
      </c>
      <c r="D568" s="381">
        <f>IF(AND('JUNIO 2026'!D47&lt;&gt;"",'JUNIO 2026'!Z47="POR RECOGER"),'JUNIO 2026'!F47,"")</f>
        <v/>
      </c>
      <c r="E568" s="381">
        <f>IF(AND('JUNIO 2026'!D47&lt;&gt;"",'JUNIO 2026'!Z47="POR RECOGER"),TEXT('JUNIO 2026'!G47,"DD/MM/YYYY"),"")</f>
        <v/>
      </c>
      <c r="F568" s="381">
        <f>IF(AND('JUNIO 2026'!D47&lt;&gt;"",'JUNIO 2026'!Z47="POR RECOGER"),'JUNIO 2026'!K47,"")</f>
        <v/>
      </c>
      <c r="G568" s="382">
        <f>IF(AND('JUNIO 2026'!D47&lt;&gt;"",'JUNIO 2026'!Z47="POR RECOGER"),'JUNIO 2026'!M47,"")</f>
        <v/>
      </c>
      <c r="H568" s="382">
        <f>IF(AND('JUNIO 2026'!D47&lt;&gt;"",'JUNIO 2026'!Z47="POR RECOGER"),'JUNIO 2026'!N47,"")</f>
        <v/>
      </c>
      <c r="I568" s="381">
        <f>IF(AND('JUNIO 2026'!D47&lt;&gt;"",'JUNIO 2026'!Z47="POR RECOGER"),'JUNIO 2026'!P47,"")</f>
        <v/>
      </c>
      <c r="J568" s="381">
        <f>IF(AND('JUNIO 2026'!D47&lt;&gt;"",'JUNIO 2026'!Z47="POR RECOGER"),'JUNIO 2026'!Q47,"")</f>
        <v/>
      </c>
      <c r="K568" s="381">
        <f>IF(AND('JUNIO 2026'!D47&lt;&gt;"",'JUNIO 2026'!Z47="POR RECOGER"),'JUNIO 2026'!Y47,"")</f>
        <v/>
      </c>
      <c r="L568" s="381">
        <f>IF(AND('JUNIO 2026'!D47&lt;&gt;"",'JUNIO 2026'!Z47="POR RECOGER"),'JUNIO 2026'!I47,"")</f>
        <v/>
      </c>
      <c r="P568" s="194" t="n"/>
      <c r="Q568" s="194" t="n"/>
      <c r="R568" s="194" t="n"/>
      <c r="S568" s="194" t="n"/>
      <c r="T568" s="194" t="n"/>
      <c r="U568" s="194" t="n"/>
      <c r="V568" s="194" t="n"/>
      <c r="W568" s="194" t="n"/>
      <c r="X568" s="194" t="n"/>
      <c r="Y568" s="194" t="n"/>
      <c r="Z568" s="194" t="n"/>
    </row>
    <row r="569" ht="15" customHeight="1" s="195">
      <c r="A569" s="381">
        <f>IF(AND('JUNIO 2026'!D48&lt;&gt;"",'JUNIO 2026'!Z48="POR RECOGER"),"JUN","")</f>
        <v/>
      </c>
      <c r="B569" s="381">
        <f>IF(AND('JUNIO 2026'!D48&lt;&gt;"",'JUNIO 2026'!Z48="POR RECOGER"),IF('JUNIO 2026'!Y48&lt;&gt;"",'JUNIO 2026'!Y48,'JUNIO 2026'!I48),"")</f>
        <v/>
      </c>
      <c r="C569" s="381">
        <f>IF(AND('JUNIO 2026'!D48&lt;&gt;"",'JUNIO 2026'!Z48="POR RECOGER"),'JUNIO 2026'!D48,"")</f>
        <v/>
      </c>
      <c r="D569" s="381">
        <f>IF(AND('JUNIO 2026'!D48&lt;&gt;"",'JUNIO 2026'!Z48="POR RECOGER"),'JUNIO 2026'!F48,"")</f>
        <v/>
      </c>
      <c r="E569" s="381">
        <f>IF(AND('JUNIO 2026'!D48&lt;&gt;"",'JUNIO 2026'!Z48="POR RECOGER"),TEXT('JUNIO 2026'!G48,"DD/MM/YYYY"),"")</f>
        <v/>
      </c>
      <c r="F569" s="381">
        <f>IF(AND('JUNIO 2026'!D48&lt;&gt;"",'JUNIO 2026'!Z48="POR RECOGER"),'JUNIO 2026'!K48,"")</f>
        <v/>
      </c>
      <c r="G569" s="382">
        <f>IF(AND('JUNIO 2026'!D48&lt;&gt;"",'JUNIO 2026'!Z48="POR RECOGER"),'JUNIO 2026'!M48,"")</f>
        <v/>
      </c>
      <c r="H569" s="382">
        <f>IF(AND('JUNIO 2026'!D48&lt;&gt;"",'JUNIO 2026'!Z48="POR RECOGER"),'JUNIO 2026'!N48,"")</f>
        <v/>
      </c>
      <c r="I569" s="381">
        <f>IF(AND('JUNIO 2026'!D48&lt;&gt;"",'JUNIO 2026'!Z48="POR RECOGER"),'JUNIO 2026'!P48,"")</f>
        <v/>
      </c>
      <c r="J569" s="381">
        <f>IF(AND('JUNIO 2026'!D48&lt;&gt;"",'JUNIO 2026'!Z48="POR RECOGER"),'JUNIO 2026'!Q48,"")</f>
        <v/>
      </c>
      <c r="K569" s="381">
        <f>IF(AND('JUNIO 2026'!D48&lt;&gt;"",'JUNIO 2026'!Z48="POR RECOGER"),'JUNIO 2026'!Y48,"")</f>
        <v/>
      </c>
      <c r="L569" s="381">
        <f>IF(AND('JUNIO 2026'!D48&lt;&gt;"",'JUNIO 2026'!Z48="POR RECOGER"),'JUNIO 2026'!I48,"")</f>
        <v/>
      </c>
      <c r="P569" s="194" t="n"/>
      <c r="Q569" s="194" t="n"/>
      <c r="R569" s="194" t="n"/>
      <c r="S569" s="194" t="n"/>
      <c r="T569" s="194" t="n"/>
      <c r="U569" s="194" t="n"/>
      <c r="V569" s="194" t="n"/>
      <c r="W569" s="194" t="n"/>
      <c r="X569" s="194" t="n"/>
      <c r="Y569" s="194" t="n"/>
      <c r="Z569" s="194" t="n"/>
    </row>
    <row r="570" ht="15" customHeight="1" s="195">
      <c r="A570" s="381">
        <f>IF(AND('JUNIO 2026'!D49&lt;&gt;"",'JUNIO 2026'!Z49="POR RECOGER"),"JUN","")</f>
        <v/>
      </c>
      <c r="B570" s="381">
        <f>IF(AND('JUNIO 2026'!D49&lt;&gt;"",'JUNIO 2026'!Z49="POR RECOGER"),IF('JUNIO 2026'!Y49&lt;&gt;"",'JUNIO 2026'!Y49,'JUNIO 2026'!I49),"")</f>
        <v/>
      </c>
      <c r="C570" s="381">
        <f>IF(AND('JUNIO 2026'!D49&lt;&gt;"",'JUNIO 2026'!Z49="POR RECOGER"),'JUNIO 2026'!D49,"")</f>
        <v/>
      </c>
      <c r="D570" s="381">
        <f>IF(AND('JUNIO 2026'!D49&lt;&gt;"",'JUNIO 2026'!Z49="POR RECOGER"),'JUNIO 2026'!F49,"")</f>
        <v/>
      </c>
      <c r="E570" s="381">
        <f>IF(AND('JUNIO 2026'!D49&lt;&gt;"",'JUNIO 2026'!Z49="POR RECOGER"),TEXT('JUNIO 2026'!G49,"DD/MM/YYYY"),"")</f>
        <v/>
      </c>
      <c r="F570" s="381">
        <f>IF(AND('JUNIO 2026'!D49&lt;&gt;"",'JUNIO 2026'!Z49="POR RECOGER"),'JUNIO 2026'!K49,"")</f>
        <v/>
      </c>
      <c r="G570" s="382">
        <f>IF(AND('JUNIO 2026'!D49&lt;&gt;"",'JUNIO 2026'!Z49="POR RECOGER"),'JUNIO 2026'!M49,"")</f>
        <v/>
      </c>
      <c r="H570" s="382">
        <f>IF(AND('JUNIO 2026'!D49&lt;&gt;"",'JUNIO 2026'!Z49="POR RECOGER"),'JUNIO 2026'!N49,"")</f>
        <v/>
      </c>
      <c r="I570" s="381">
        <f>IF(AND('JUNIO 2026'!D49&lt;&gt;"",'JUNIO 2026'!Z49="POR RECOGER"),'JUNIO 2026'!P49,"")</f>
        <v/>
      </c>
      <c r="J570" s="381">
        <f>IF(AND('JUNIO 2026'!D49&lt;&gt;"",'JUNIO 2026'!Z49="POR RECOGER"),'JUNIO 2026'!Q49,"")</f>
        <v/>
      </c>
      <c r="K570" s="381">
        <f>IF(AND('JUNIO 2026'!D49&lt;&gt;"",'JUNIO 2026'!Z49="POR RECOGER"),'JUNIO 2026'!Y49,"")</f>
        <v/>
      </c>
      <c r="L570" s="381">
        <f>IF(AND('JUNIO 2026'!D49&lt;&gt;"",'JUNIO 2026'!Z49="POR RECOGER"),'JUNIO 2026'!I49,"")</f>
        <v/>
      </c>
      <c r="P570" s="194" t="n"/>
      <c r="Q570" s="194" t="n"/>
      <c r="R570" s="194" t="n"/>
      <c r="S570" s="194" t="n"/>
      <c r="T570" s="194" t="n"/>
      <c r="U570" s="194" t="n"/>
      <c r="V570" s="194" t="n"/>
      <c r="W570" s="194" t="n"/>
      <c r="X570" s="194" t="n"/>
      <c r="Y570" s="194" t="n"/>
      <c r="Z570" s="194" t="n"/>
    </row>
    <row r="571" ht="15" customHeight="1" s="195">
      <c r="A571" s="381">
        <f>IF(AND('JUNIO 2026'!D50&lt;&gt;"",'JUNIO 2026'!Z50="POR RECOGER"),"JUN","")</f>
        <v/>
      </c>
      <c r="B571" s="381">
        <f>IF(AND('JUNIO 2026'!D50&lt;&gt;"",'JUNIO 2026'!Z50="POR RECOGER"),IF('JUNIO 2026'!Y50&lt;&gt;"",'JUNIO 2026'!Y50,'JUNIO 2026'!I50),"")</f>
        <v/>
      </c>
      <c r="C571" s="381">
        <f>IF(AND('JUNIO 2026'!D50&lt;&gt;"",'JUNIO 2026'!Z50="POR RECOGER"),'JUNIO 2026'!D50,"")</f>
        <v/>
      </c>
      <c r="D571" s="381">
        <f>IF(AND('JUNIO 2026'!D50&lt;&gt;"",'JUNIO 2026'!Z50="POR RECOGER"),'JUNIO 2026'!F50,"")</f>
        <v/>
      </c>
      <c r="E571" s="381">
        <f>IF(AND('JUNIO 2026'!D50&lt;&gt;"",'JUNIO 2026'!Z50="POR RECOGER"),TEXT('JUNIO 2026'!G50,"DD/MM/YYYY"),"")</f>
        <v/>
      </c>
      <c r="F571" s="381">
        <f>IF(AND('JUNIO 2026'!D50&lt;&gt;"",'JUNIO 2026'!Z50="POR RECOGER"),'JUNIO 2026'!K50,"")</f>
        <v/>
      </c>
      <c r="G571" s="382">
        <f>IF(AND('JUNIO 2026'!D50&lt;&gt;"",'JUNIO 2026'!Z50="POR RECOGER"),'JUNIO 2026'!M50,"")</f>
        <v/>
      </c>
      <c r="H571" s="382">
        <f>IF(AND('JUNIO 2026'!D50&lt;&gt;"",'JUNIO 2026'!Z50="POR RECOGER"),'JUNIO 2026'!N50,"")</f>
        <v/>
      </c>
      <c r="I571" s="381">
        <f>IF(AND('JUNIO 2026'!D50&lt;&gt;"",'JUNIO 2026'!Z50="POR RECOGER"),'JUNIO 2026'!P50,"")</f>
        <v/>
      </c>
      <c r="J571" s="381">
        <f>IF(AND('JUNIO 2026'!D50&lt;&gt;"",'JUNIO 2026'!Z50="POR RECOGER"),'JUNIO 2026'!Q50,"")</f>
        <v/>
      </c>
      <c r="K571" s="381">
        <f>IF(AND('JUNIO 2026'!D50&lt;&gt;"",'JUNIO 2026'!Z50="POR RECOGER"),'JUNIO 2026'!Y50,"")</f>
        <v/>
      </c>
      <c r="L571" s="381">
        <f>IF(AND('JUNIO 2026'!D50&lt;&gt;"",'JUNIO 2026'!Z50="POR RECOGER"),'JUNIO 2026'!I50,"")</f>
        <v/>
      </c>
      <c r="P571" s="194" t="n"/>
      <c r="Q571" s="194" t="n"/>
      <c r="R571" s="194" t="n"/>
      <c r="S571" s="194" t="n"/>
      <c r="T571" s="194" t="n"/>
      <c r="U571" s="194" t="n"/>
      <c r="V571" s="194" t="n"/>
      <c r="W571" s="194" t="n"/>
      <c r="X571" s="194" t="n"/>
      <c r="Y571" s="194" t="n"/>
      <c r="Z571" s="194" t="n"/>
    </row>
    <row r="572" ht="15" customHeight="1" s="195">
      <c r="A572" s="381">
        <f>IF(AND('JUNIO 2026'!D51&lt;&gt;"",'JUNIO 2026'!Z51="POR RECOGER"),"JUN","")</f>
        <v/>
      </c>
      <c r="B572" s="381">
        <f>IF(AND('JUNIO 2026'!D51&lt;&gt;"",'JUNIO 2026'!Z51="POR RECOGER"),IF('JUNIO 2026'!Y51&lt;&gt;"",'JUNIO 2026'!Y51,'JUNIO 2026'!I51),"")</f>
        <v/>
      </c>
      <c r="C572" s="381">
        <f>IF(AND('JUNIO 2026'!D51&lt;&gt;"",'JUNIO 2026'!Z51="POR RECOGER"),'JUNIO 2026'!D51,"")</f>
        <v/>
      </c>
      <c r="D572" s="381">
        <f>IF(AND('JUNIO 2026'!D51&lt;&gt;"",'JUNIO 2026'!Z51="POR RECOGER"),'JUNIO 2026'!F51,"")</f>
        <v/>
      </c>
      <c r="E572" s="381">
        <f>IF(AND('JUNIO 2026'!D51&lt;&gt;"",'JUNIO 2026'!Z51="POR RECOGER"),TEXT('JUNIO 2026'!G51,"DD/MM/YYYY"),"")</f>
        <v/>
      </c>
      <c r="F572" s="381">
        <f>IF(AND('JUNIO 2026'!D51&lt;&gt;"",'JUNIO 2026'!Z51="POR RECOGER"),'JUNIO 2026'!K51,"")</f>
        <v/>
      </c>
      <c r="G572" s="382">
        <f>IF(AND('JUNIO 2026'!D51&lt;&gt;"",'JUNIO 2026'!Z51="POR RECOGER"),'JUNIO 2026'!M51,"")</f>
        <v/>
      </c>
      <c r="H572" s="382">
        <f>IF(AND('JUNIO 2026'!D51&lt;&gt;"",'JUNIO 2026'!Z51="POR RECOGER"),'JUNIO 2026'!N51,"")</f>
        <v/>
      </c>
      <c r="I572" s="381">
        <f>IF(AND('JUNIO 2026'!D51&lt;&gt;"",'JUNIO 2026'!Z51="POR RECOGER"),'JUNIO 2026'!P51,"")</f>
        <v/>
      </c>
      <c r="J572" s="381">
        <f>IF(AND('JUNIO 2026'!D51&lt;&gt;"",'JUNIO 2026'!Z51="POR RECOGER"),'JUNIO 2026'!Q51,"")</f>
        <v/>
      </c>
      <c r="K572" s="381">
        <f>IF(AND('JUNIO 2026'!D51&lt;&gt;"",'JUNIO 2026'!Z51="POR RECOGER"),'JUNIO 2026'!Y51,"")</f>
        <v/>
      </c>
      <c r="L572" s="381">
        <f>IF(AND('JUNIO 2026'!D51&lt;&gt;"",'JUNIO 2026'!Z51="POR RECOGER"),'JUNIO 2026'!I51,"")</f>
        <v/>
      </c>
      <c r="P572" s="194" t="n"/>
      <c r="Q572" s="194" t="n"/>
      <c r="R572" s="194" t="n"/>
      <c r="S572" s="194" t="n"/>
      <c r="T572" s="194" t="n"/>
      <c r="U572" s="194" t="n"/>
      <c r="V572" s="194" t="n"/>
      <c r="W572" s="194" t="n"/>
      <c r="X572" s="194" t="n"/>
      <c r="Y572" s="194" t="n"/>
      <c r="Z572" s="194" t="n"/>
    </row>
    <row r="573" ht="15" customHeight="1" s="195">
      <c r="A573" s="381">
        <f>IF(AND('JUNIO 2026'!D52&lt;&gt;"",'JUNIO 2026'!Z52="POR RECOGER"),"JUN","")</f>
        <v/>
      </c>
      <c r="B573" s="381">
        <f>IF(AND('JUNIO 2026'!D52&lt;&gt;"",'JUNIO 2026'!Z52="POR RECOGER"),IF('JUNIO 2026'!Y52&lt;&gt;"",'JUNIO 2026'!Y52,'JUNIO 2026'!I52),"")</f>
        <v/>
      </c>
      <c r="C573" s="381">
        <f>IF(AND('JUNIO 2026'!D52&lt;&gt;"",'JUNIO 2026'!Z52="POR RECOGER"),'JUNIO 2026'!D52,"")</f>
        <v/>
      </c>
      <c r="D573" s="381">
        <f>IF(AND('JUNIO 2026'!D52&lt;&gt;"",'JUNIO 2026'!Z52="POR RECOGER"),'JUNIO 2026'!F52,"")</f>
        <v/>
      </c>
      <c r="E573" s="381">
        <f>IF(AND('JUNIO 2026'!D52&lt;&gt;"",'JUNIO 2026'!Z52="POR RECOGER"),TEXT('JUNIO 2026'!G52,"DD/MM/YYYY"),"")</f>
        <v/>
      </c>
      <c r="F573" s="381">
        <f>IF(AND('JUNIO 2026'!D52&lt;&gt;"",'JUNIO 2026'!Z52="POR RECOGER"),'JUNIO 2026'!K52,"")</f>
        <v/>
      </c>
      <c r="G573" s="382">
        <f>IF(AND('JUNIO 2026'!D52&lt;&gt;"",'JUNIO 2026'!Z52="POR RECOGER"),'JUNIO 2026'!M52,"")</f>
        <v/>
      </c>
      <c r="H573" s="382">
        <f>IF(AND('JUNIO 2026'!D52&lt;&gt;"",'JUNIO 2026'!Z52="POR RECOGER"),'JUNIO 2026'!N52,"")</f>
        <v/>
      </c>
      <c r="I573" s="381">
        <f>IF(AND('JUNIO 2026'!D52&lt;&gt;"",'JUNIO 2026'!Z52="POR RECOGER"),'JUNIO 2026'!P52,"")</f>
        <v/>
      </c>
      <c r="J573" s="381">
        <f>IF(AND('JUNIO 2026'!D52&lt;&gt;"",'JUNIO 2026'!Z52="POR RECOGER"),'JUNIO 2026'!Q52,"")</f>
        <v/>
      </c>
      <c r="K573" s="381">
        <f>IF(AND('JUNIO 2026'!D52&lt;&gt;"",'JUNIO 2026'!Z52="POR RECOGER"),'JUNIO 2026'!Y52,"")</f>
        <v/>
      </c>
      <c r="L573" s="381">
        <f>IF(AND('JUNIO 2026'!D52&lt;&gt;"",'JUNIO 2026'!Z52="POR RECOGER"),'JUNIO 2026'!I52,"")</f>
        <v/>
      </c>
      <c r="P573" s="194" t="n"/>
      <c r="Q573" s="194" t="n"/>
      <c r="R573" s="194" t="n"/>
      <c r="S573" s="194" t="n"/>
      <c r="T573" s="194" t="n"/>
      <c r="U573" s="194" t="n"/>
      <c r="V573" s="194" t="n"/>
      <c r="W573" s="194" t="n"/>
      <c r="X573" s="194" t="n"/>
      <c r="Y573" s="194" t="n"/>
      <c r="Z573" s="194" t="n"/>
    </row>
    <row r="574" ht="15" customHeight="1" s="195">
      <c r="A574" s="381">
        <f>IF(AND('JUNIO 2026'!D53&lt;&gt;"",'JUNIO 2026'!Z53="POR RECOGER"),"JUN","")</f>
        <v/>
      </c>
      <c r="B574" s="381">
        <f>IF(AND('JUNIO 2026'!D53&lt;&gt;"",'JUNIO 2026'!Z53="POR RECOGER"),IF('JUNIO 2026'!Y53&lt;&gt;"",'JUNIO 2026'!Y53,'JUNIO 2026'!I53),"")</f>
        <v/>
      </c>
      <c r="C574" s="381">
        <f>IF(AND('JUNIO 2026'!D53&lt;&gt;"",'JUNIO 2026'!Z53="POR RECOGER"),'JUNIO 2026'!D53,"")</f>
        <v/>
      </c>
      <c r="D574" s="381">
        <f>IF(AND('JUNIO 2026'!D53&lt;&gt;"",'JUNIO 2026'!Z53="POR RECOGER"),'JUNIO 2026'!F53,"")</f>
        <v/>
      </c>
      <c r="E574" s="381">
        <f>IF(AND('JUNIO 2026'!D53&lt;&gt;"",'JUNIO 2026'!Z53="POR RECOGER"),TEXT('JUNIO 2026'!G53,"DD/MM/YYYY"),"")</f>
        <v/>
      </c>
      <c r="F574" s="381">
        <f>IF(AND('JUNIO 2026'!D53&lt;&gt;"",'JUNIO 2026'!Z53="POR RECOGER"),'JUNIO 2026'!K53,"")</f>
        <v/>
      </c>
      <c r="G574" s="382">
        <f>IF(AND('JUNIO 2026'!D53&lt;&gt;"",'JUNIO 2026'!Z53="POR RECOGER"),'JUNIO 2026'!M53,"")</f>
        <v/>
      </c>
      <c r="H574" s="382">
        <f>IF(AND('JUNIO 2026'!D53&lt;&gt;"",'JUNIO 2026'!Z53="POR RECOGER"),'JUNIO 2026'!N53,"")</f>
        <v/>
      </c>
      <c r="I574" s="381">
        <f>IF(AND('JUNIO 2026'!D53&lt;&gt;"",'JUNIO 2026'!Z53="POR RECOGER"),'JUNIO 2026'!P53,"")</f>
        <v/>
      </c>
      <c r="J574" s="381">
        <f>IF(AND('JUNIO 2026'!D53&lt;&gt;"",'JUNIO 2026'!Z53="POR RECOGER"),'JUNIO 2026'!Q53,"")</f>
        <v/>
      </c>
      <c r="K574" s="381">
        <f>IF(AND('JUNIO 2026'!D53&lt;&gt;"",'JUNIO 2026'!Z53="POR RECOGER"),'JUNIO 2026'!Y53,"")</f>
        <v/>
      </c>
      <c r="L574" s="381">
        <f>IF(AND('JUNIO 2026'!D53&lt;&gt;"",'JUNIO 2026'!Z53="POR RECOGER"),'JUNIO 2026'!I53,"")</f>
        <v/>
      </c>
      <c r="P574" s="194" t="n"/>
      <c r="Q574" s="194" t="n"/>
      <c r="R574" s="194" t="n"/>
      <c r="S574" s="194" t="n"/>
      <c r="T574" s="194" t="n"/>
      <c r="U574" s="194" t="n"/>
      <c r="V574" s="194" t="n"/>
      <c r="W574" s="194" t="n"/>
      <c r="X574" s="194" t="n"/>
      <c r="Y574" s="194" t="n"/>
      <c r="Z574" s="194" t="n"/>
    </row>
    <row r="575" ht="15" customHeight="1" s="195">
      <c r="A575" s="381">
        <f>IF(AND('JUNIO 2026'!D54&lt;&gt;"",'JUNIO 2026'!Z54="POR RECOGER"),"JUN","")</f>
        <v/>
      </c>
      <c r="B575" s="381">
        <f>IF(AND('JUNIO 2026'!D54&lt;&gt;"",'JUNIO 2026'!Z54="POR RECOGER"),IF('JUNIO 2026'!Y54&lt;&gt;"",'JUNIO 2026'!Y54,'JUNIO 2026'!I54),"")</f>
        <v/>
      </c>
      <c r="C575" s="381">
        <f>IF(AND('JUNIO 2026'!D54&lt;&gt;"",'JUNIO 2026'!Z54="POR RECOGER"),'JUNIO 2026'!D54,"")</f>
        <v/>
      </c>
      <c r="D575" s="381">
        <f>IF(AND('JUNIO 2026'!D54&lt;&gt;"",'JUNIO 2026'!Z54="POR RECOGER"),'JUNIO 2026'!F54,"")</f>
        <v/>
      </c>
      <c r="E575" s="381">
        <f>IF(AND('JUNIO 2026'!D54&lt;&gt;"",'JUNIO 2026'!Z54="POR RECOGER"),TEXT('JUNIO 2026'!G54,"DD/MM/YYYY"),"")</f>
        <v/>
      </c>
      <c r="F575" s="381">
        <f>IF(AND('JUNIO 2026'!D54&lt;&gt;"",'JUNIO 2026'!Z54="POR RECOGER"),'JUNIO 2026'!K54,"")</f>
        <v/>
      </c>
      <c r="G575" s="382">
        <f>IF(AND('JUNIO 2026'!D54&lt;&gt;"",'JUNIO 2026'!Z54="POR RECOGER"),'JUNIO 2026'!M54,"")</f>
        <v/>
      </c>
      <c r="H575" s="382">
        <f>IF(AND('JUNIO 2026'!D54&lt;&gt;"",'JUNIO 2026'!Z54="POR RECOGER"),'JUNIO 2026'!N54,"")</f>
        <v/>
      </c>
      <c r="I575" s="381">
        <f>IF(AND('JUNIO 2026'!D54&lt;&gt;"",'JUNIO 2026'!Z54="POR RECOGER"),'JUNIO 2026'!P54,"")</f>
        <v/>
      </c>
      <c r="J575" s="381">
        <f>IF(AND('JUNIO 2026'!D54&lt;&gt;"",'JUNIO 2026'!Z54="POR RECOGER"),'JUNIO 2026'!Q54,"")</f>
        <v/>
      </c>
      <c r="K575" s="381">
        <f>IF(AND('JUNIO 2026'!D54&lt;&gt;"",'JUNIO 2026'!Z54="POR RECOGER"),'JUNIO 2026'!Y54,"")</f>
        <v/>
      </c>
      <c r="L575" s="381">
        <f>IF(AND('JUNIO 2026'!D54&lt;&gt;"",'JUNIO 2026'!Z54="POR RECOGER"),'JUNIO 2026'!I54,"")</f>
        <v/>
      </c>
      <c r="P575" s="194" t="n"/>
      <c r="Q575" s="194" t="n"/>
      <c r="R575" s="194" t="n"/>
      <c r="S575" s="194" t="n"/>
      <c r="T575" s="194" t="n"/>
      <c r="U575" s="194" t="n"/>
      <c r="V575" s="194" t="n"/>
      <c r="W575" s="194" t="n"/>
      <c r="X575" s="194" t="n"/>
      <c r="Y575" s="194" t="n"/>
      <c r="Z575" s="194" t="n"/>
    </row>
    <row r="576" ht="15" customHeight="1" s="195">
      <c r="A576" s="381">
        <f>IF(AND('JUNIO 2026'!D55&lt;&gt;"",'JUNIO 2026'!Z55="POR RECOGER"),"JUN","")</f>
        <v/>
      </c>
      <c r="B576" s="381">
        <f>IF(AND('JUNIO 2026'!D55&lt;&gt;"",'JUNIO 2026'!Z55="POR RECOGER"),IF('JUNIO 2026'!Y55&lt;&gt;"",'JUNIO 2026'!Y55,'JUNIO 2026'!I55),"")</f>
        <v/>
      </c>
      <c r="C576" s="381">
        <f>IF(AND('JUNIO 2026'!D55&lt;&gt;"",'JUNIO 2026'!Z55="POR RECOGER"),'JUNIO 2026'!D55,"")</f>
        <v/>
      </c>
      <c r="D576" s="381">
        <f>IF(AND('JUNIO 2026'!D55&lt;&gt;"",'JUNIO 2026'!Z55="POR RECOGER"),'JUNIO 2026'!F55,"")</f>
        <v/>
      </c>
      <c r="E576" s="381">
        <f>IF(AND('JUNIO 2026'!D55&lt;&gt;"",'JUNIO 2026'!Z55="POR RECOGER"),TEXT('JUNIO 2026'!G55,"DD/MM/YYYY"),"")</f>
        <v/>
      </c>
      <c r="F576" s="381">
        <f>IF(AND('JUNIO 2026'!D55&lt;&gt;"",'JUNIO 2026'!Z55="POR RECOGER"),'JUNIO 2026'!K55,"")</f>
        <v/>
      </c>
      <c r="G576" s="382">
        <f>IF(AND('JUNIO 2026'!D55&lt;&gt;"",'JUNIO 2026'!Z55="POR RECOGER"),'JUNIO 2026'!M55,"")</f>
        <v/>
      </c>
      <c r="H576" s="382">
        <f>IF(AND('JUNIO 2026'!D55&lt;&gt;"",'JUNIO 2026'!Z55="POR RECOGER"),'JUNIO 2026'!N55,"")</f>
        <v/>
      </c>
      <c r="I576" s="381">
        <f>IF(AND('JUNIO 2026'!D55&lt;&gt;"",'JUNIO 2026'!Z55="POR RECOGER"),'JUNIO 2026'!P55,"")</f>
        <v/>
      </c>
      <c r="J576" s="381">
        <f>IF(AND('JUNIO 2026'!D55&lt;&gt;"",'JUNIO 2026'!Z55="POR RECOGER"),'JUNIO 2026'!Q55,"")</f>
        <v/>
      </c>
      <c r="K576" s="381">
        <f>IF(AND('JUNIO 2026'!D55&lt;&gt;"",'JUNIO 2026'!Z55="POR RECOGER"),'JUNIO 2026'!Y55,"")</f>
        <v/>
      </c>
      <c r="L576" s="381">
        <f>IF(AND('JUNIO 2026'!D55&lt;&gt;"",'JUNIO 2026'!Z55="POR RECOGER"),'JUNIO 2026'!I55,"")</f>
        <v/>
      </c>
      <c r="P576" s="194" t="n"/>
      <c r="Q576" s="194" t="n"/>
      <c r="R576" s="194" t="n"/>
      <c r="S576" s="194" t="n"/>
      <c r="T576" s="194" t="n"/>
      <c r="U576" s="194" t="n"/>
      <c r="V576" s="194" t="n"/>
      <c r="W576" s="194" t="n"/>
      <c r="X576" s="194" t="n"/>
      <c r="Y576" s="194" t="n"/>
      <c r="Z576" s="194" t="n"/>
    </row>
    <row r="577" ht="15" customHeight="1" s="195">
      <c r="A577" s="381">
        <f>IF(AND('JUNIO 2026'!D56&lt;&gt;"",'JUNIO 2026'!Z56="POR RECOGER"),"JUN","")</f>
        <v/>
      </c>
      <c r="B577" s="381">
        <f>IF(AND('JUNIO 2026'!D56&lt;&gt;"",'JUNIO 2026'!Z56="POR RECOGER"),IF('JUNIO 2026'!Y56&lt;&gt;"",'JUNIO 2026'!Y56,'JUNIO 2026'!I56),"")</f>
        <v/>
      </c>
      <c r="C577" s="381">
        <f>IF(AND('JUNIO 2026'!D56&lt;&gt;"",'JUNIO 2026'!Z56="POR RECOGER"),'JUNIO 2026'!D56,"")</f>
        <v/>
      </c>
      <c r="D577" s="381">
        <f>IF(AND('JUNIO 2026'!D56&lt;&gt;"",'JUNIO 2026'!Z56="POR RECOGER"),'JUNIO 2026'!F56,"")</f>
        <v/>
      </c>
      <c r="E577" s="381">
        <f>IF(AND('JUNIO 2026'!D56&lt;&gt;"",'JUNIO 2026'!Z56="POR RECOGER"),TEXT('JUNIO 2026'!G56,"DD/MM/YYYY"),"")</f>
        <v/>
      </c>
      <c r="F577" s="381">
        <f>IF(AND('JUNIO 2026'!D56&lt;&gt;"",'JUNIO 2026'!Z56="POR RECOGER"),'JUNIO 2026'!K56,"")</f>
        <v/>
      </c>
      <c r="G577" s="382">
        <f>IF(AND('JUNIO 2026'!D56&lt;&gt;"",'JUNIO 2026'!Z56="POR RECOGER"),'JUNIO 2026'!M56,"")</f>
        <v/>
      </c>
      <c r="H577" s="382">
        <f>IF(AND('JUNIO 2026'!D56&lt;&gt;"",'JUNIO 2026'!Z56="POR RECOGER"),'JUNIO 2026'!N56,"")</f>
        <v/>
      </c>
      <c r="I577" s="381">
        <f>IF(AND('JUNIO 2026'!D56&lt;&gt;"",'JUNIO 2026'!Z56="POR RECOGER"),'JUNIO 2026'!P56,"")</f>
        <v/>
      </c>
      <c r="J577" s="381">
        <f>IF(AND('JUNIO 2026'!D56&lt;&gt;"",'JUNIO 2026'!Z56="POR RECOGER"),'JUNIO 2026'!Q56,"")</f>
        <v/>
      </c>
      <c r="K577" s="381">
        <f>IF(AND('JUNIO 2026'!D56&lt;&gt;"",'JUNIO 2026'!Z56="POR RECOGER"),'JUNIO 2026'!Y56,"")</f>
        <v/>
      </c>
      <c r="L577" s="381">
        <f>IF(AND('JUNIO 2026'!D56&lt;&gt;"",'JUNIO 2026'!Z56="POR RECOGER"),'JUNIO 2026'!I56,"")</f>
        <v/>
      </c>
      <c r="P577" s="194" t="n"/>
      <c r="Q577" s="194" t="n"/>
      <c r="R577" s="194" t="n"/>
      <c r="S577" s="194" t="n"/>
      <c r="T577" s="194" t="n"/>
      <c r="U577" s="194" t="n"/>
      <c r="V577" s="194" t="n"/>
      <c r="W577" s="194" t="n"/>
      <c r="X577" s="194" t="n"/>
      <c r="Y577" s="194" t="n"/>
      <c r="Z577" s="194" t="n"/>
    </row>
    <row r="578" ht="15" customHeight="1" s="195">
      <c r="A578" s="381">
        <f>IF(AND('JUNIO 2026'!D57&lt;&gt;"",'JUNIO 2026'!Z57="POR RECOGER"),"JUN","")</f>
        <v/>
      </c>
      <c r="B578" s="381">
        <f>IF(AND('JUNIO 2026'!D57&lt;&gt;"",'JUNIO 2026'!Z57="POR RECOGER"),IF('JUNIO 2026'!Y57&lt;&gt;"",'JUNIO 2026'!Y57,'JUNIO 2026'!I57),"")</f>
        <v/>
      </c>
      <c r="C578" s="381">
        <f>IF(AND('JUNIO 2026'!D57&lt;&gt;"",'JUNIO 2026'!Z57="POR RECOGER"),'JUNIO 2026'!D57,"")</f>
        <v/>
      </c>
      <c r="D578" s="381">
        <f>IF(AND('JUNIO 2026'!D57&lt;&gt;"",'JUNIO 2026'!Z57="POR RECOGER"),'JUNIO 2026'!F57,"")</f>
        <v/>
      </c>
      <c r="E578" s="381">
        <f>IF(AND('JUNIO 2026'!D57&lt;&gt;"",'JUNIO 2026'!Z57="POR RECOGER"),TEXT('JUNIO 2026'!G57,"DD/MM/YYYY"),"")</f>
        <v/>
      </c>
      <c r="F578" s="381">
        <f>IF(AND('JUNIO 2026'!D57&lt;&gt;"",'JUNIO 2026'!Z57="POR RECOGER"),'JUNIO 2026'!K57,"")</f>
        <v/>
      </c>
      <c r="G578" s="382">
        <f>IF(AND('JUNIO 2026'!D57&lt;&gt;"",'JUNIO 2026'!Z57="POR RECOGER"),'JUNIO 2026'!M57,"")</f>
        <v/>
      </c>
      <c r="H578" s="382">
        <f>IF(AND('JUNIO 2026'!D57&lt;&gt;"",'JUNIO 2026'!Z57="POR RECOGER"),'JUNIO 2026'!N57,"")</f>
        <v/>
      </c>
      <c r="I578" s="381">
        <f>IF(AND('JUNIO 2026'!D57&lt;&gt;"",'JUNIO 2026'!Z57="POR RECOGER"),'JUNIO 2026'!P57,"")</f>
        <v/>
      </c>
      <c r="J578" s="381">
        <f>IF(AND('JUNIO 2026'!D57&lt;&gt;"",'JUNIO 2026'!Z57="POR RECOGER"),'JUNIO 2026'!Q57,"")</f>
        <v/>
      </c>
      <c r="K578" s="381">
        <f>IF(AND('JUNIO 2026'!D57&lt;&gt;"",'JUNIO 2026'!Z57="POR RECOGER"),'JUNIO 2026'!Y57,"")</f>
        <v/>
      </c>
      <c r="L578" s="381">
        <f>IF(AND('JUNIO 2026'!D57&lt;&gt;"",'JUNIO 2026'!Z57="POR RECOGER"),'JUNIO 2026'!I57,"")</f>
        <v/>
      </c>
      <c r="P578" s="194" t="n"/>
      <c r="Q578" s="194" t="n"/>
      <c r="R578" s="194" t="n"/>
      <c r="S578" s="194" t="n"/>
      <c r="T578" s="194" t="n"/>
      <c r="U578" s="194" t="n"/>
      <c r="V578" s="194" t="n"/>
      <c r="W578" s="194" t="n"/>
      <c r="X578" s="194" t="n"/>
      <c r="Y578" s="194" t="n"/>
      <c r="Z578" s="194" t="n"/>
    </row>
    <row r="579" ht="15" customHeight="1" s="195">
      <c r="A579" s="381">
        <f>IF(AND('JUNIO 2026'!D58&lt;&gt;"",'JUNIO 2026'!Z58="POR RECOGER"),"JUN","")</f>
        <v/>
      </c>
      <c r="B579" s="381">
        <f>IF(AND('JUNIO 2026'!D58&lt;&gt;"",'JUNIO 2026'!Z58="POR RECOGER"),IF('JUNIO 2026'!Y58&lt;&gt;"",'JUNIO 2026'!Y58,'JUNIO 2026'!I58),"")</f>
        <v/>
      </c>
      <c r="C579" s="381">
        <f>IF(AND('JUNIO 2026'!D58&lt;&gt;"",'JUNIO 2026'!Z58="POR RECOGER"),'JUNIO 2026'!D58,"")</f>
        <v/>
      </c>
      <c r="D579" s="381">
        <f>IF(AND('JUNIO 2026'!D58&lt;&gt;"",'JUNIO 2026'!Z58="POR RECOGER"),'JUNIO 2026'!F58,"")</f>
        <v/>
      </c>
      <c r="E579" s="381">
        <f>IF(AND('JUNIO 2026'!D58&lt;&gt;"",'JUNIO 2026'!Z58="POR RECOGER"),TEXT('JUNIO 2026'!G58,"DD/MM/YYYY"),"")</f>
        <v/>
      </c>
      <c r="F579" s="381">
        <f>IF(AND('JUNIO 2026'!D58&lt;&gt;"",'JUNIO 2026'!Z58="POR RECOGER"),'JUNIO 2026'!K58,"")</f>
        <v/>
      </c>
      <c r="G579" s="382">
        <f>IF(AND('JUNIO 2026'!D58&lt;&gt;"",'JUNIO 2026'!Z58="POR RECOGER"),'JUNIO 2026'!M58,"")</f>
        <v/>
      </c>
      <c r="H579" s="382">
        <f>IF(AND('JUNIO 2026'!D58&lt;&gt;"",'JUNIO 2026'!Z58="POR RECOGER"),'JUNIO 2026'!N58,"")</f>
        <v/>
      </c>
      <c r="I579" s="381">
        <f>IF(AND('JUNIO 2026'!D58&lt;&gt;"",'JUNIO 2026'!Z58="POR RECOGER"),'JUNIO 2026'!P58,"")</f>
        <v/>
      </c>
      <c r="J579" s="381">
        <f>IF(AND('JUNIO 2026'!D58&lt;&gt;"",'JUNIO 2026'!Z58="POR RECOGER"),'JUNIO 2026'!Q58,"")</f>
        <v/>
      </c>
      <c r="K579" s="381">
        <f>IF(AND('JUNIO 2026'!D58&lt;&gt;"",'JUNIO 2026'!Z58="POR RECOGER"),'JUNIO 2026'!Y58,"")</f>
        <v/>
      </c>
      <c r="L579" s="381">
        <f>IF(AND('JUNIO 2026'!D58&lt;&gt;"",'JUNIO 2026'!Z58="POR RECOGER"),'JUNIO 2026'!I58,"")</f>
        <v/>
      </c>
      <c r="P579" s="194" t="n"/>
      <c r="Q579" s="194" t="n"/>
      <c r="R579" s="194" t="n"/>
      <c r="S579" s="194" t="n"/>
      <c r="T579" s="194" t="n"/>
      <c r="U579" s="194" t="n"/>
      <c r="V579" s="194" t="n"/>
      <c r="W579" s="194" t="n"/>
      <c r="X579" s="194" t="n"/>
      <c r="Y579" s="194" t="n"/>
      <c r="Z579" s="194" t="n"/>
    </row>
    <row r="580" ht="15" customHeight="1" s="195">
      <c r="A580" s="381">
        <f>IF(AND('JUNIO 2026'!D59&lt;&gt;"",'JUNIO 2026'!Z59="POR RECOGER"),"JUN","")</f>
        <v/>
      </c>
      <c r="B580" s="381">
        <f>IF(AND('JUNIO 2026'!D59&lt;&gt;"",'JUNIO 2026'!Z59="POR RECOGER"),IF('JUNIO 2026'!Y59&lt;&gt;"",'JUNIO 2026'!Y59,'JUNIO 2026'!I59),"")</f>
        <v/>
      </c>
      <c r="C580" s="381">
        <f>IF(AND('JUNIO 2026'!D59&lt;&gt;"",'JUNIO 2026'!Z59="POR RECOGER"),'JUNIO 2026'!D59,"")</f>
        <v/>
      </c>
      <c r="D580" s="381">
        <f>IF(AND('JUNIO 2026'!D59&lt;&gt;"",'JUNIO 2026'!Z59="POR RECOGER"),'JUNIO 2026'!F59,"")</f>
        <v/>
      </c>
      <c r="E580" s="381">
        <f>IF(AND('JUNIO 2026'!D59&lt;&gt;"",'JUNIO 2026'!Z59="POR RECOGER"),TEXT('JUNIO 2026'!G59,"DD/MM/YYYY"),"")</f>
        <v/>
      </c>
      <c r="F580" s="381">
        <f>IF(AND('JUNIO 2026'!D59&lt;&gt;"",'JUNIO 2026'!Z59="POR RECOGER"),'JUNIO 2026'!K59,"")</f>
        <v/>
      </c>
      <c r="G580" s="382">
        <f>IF(AND('JUNIO 2026'!D59&lt;&gt;"",'JUNIO 2026'!Z59="POR RECOGER"),'JUNIO 2026'!M59,"")</f>
        <v/>
      </c>
      <c r="H580" s="382">
        <f>IF(AND('JUNIO 2026'!D59&lt;&gt;"",'JUNIO 2026'!Z59="POR RECOGER"),'JUNIO 2026'!N59,"")</f>
        <v/>
      </c>
      <c r="I580" s="381">
        <f>IF(AND('JUNIO 2026'!D59&lt;&gt;"",'JUNIO 2026'!Z59="POR RECOGER"),'JUNIO 2026'!P59,"")</f>
        <v/>
      </c>
      <c r="J580" s="381">
        <f>IF(AND('JUNIO 2026'!D59&lt;&gt;"",'JUNIO 2026'!Z59="POR RECOGER"),'JUNIO 2026'!Q59,"")</f>
        <v/>
      </c>
      <c r="K580" s="381">
        <f>IF(AND('JUNIO 2026'!D59&lt;&gt;"",'JUNIO 2026'!Z59="POR RECOGER"),'JUNIO 2026'!Y59,"")</f>
        <v/>
      </c>
      <c r="L580" s="381">
        <f>IF(AND('JUNIO 2026'!D59&lt;&gt;"",'JUNIO 2026'!Z59="POR RECOGER"),'JUNIO 2026'!I59,"")</f>
        <v/>
      </c>
      <c r="P580" s="194" t="n"/>
      <c r="Q580" s="194" t="n"/>
      <c r="R580" s="194" t="n"/>
      <c r="S580" s="194" t="n"/>
      <c r="T580" s="194" t="n"/>
      <c r="U580" s="194" t="n"/>
      <c r="V580" s="194" t="n"/>
      <c r="W580" s="194" t="n"/>
      <c r="X580" s="194" t="n"/>
      <c r="Y580" s="194" t="n"/>
      <c r="Z580" s="194" t="n"/>
    </row>
    <row r="581" ht="15" customHeight="1" s="195">
      <c r="A581" s="381">
        <f>IF(AND('JUNIO 2026'!D60&lt;&gt;"",'JUNIO 2026'!Z60="POR RECOGER"),"JUN","")</f>
        <v/>
      </c>
      <c r="B581" s="381">
        <f>IF(AND('JUNIO 2026'!D60&lt;&gt;"",'JUNIO 2026'!Z60="POR RECOGER"),IF('JUNIO 2026'!Y60&lt;&gt;"",'JUNIO 2026'!Y60,'JUNIO 2026'!I60),"")</f>
        <v/>
      </c>
      <c r="C581" s="381">
        <f>IF(AND('JUNIO 2026'!D60&lt;&gt;"",'JUNIO 2026'!Z60="POR RECOGER"),'JUNIO 2026'!D60,"")</f>
        <v/>
      </c>
      <c r="D581" s="381">
        <f>IF(AND('JUNIO 2026'!D60&lt;&gt;"",'JUNIO 2026'!Z60="POR RECOGER"),'JUNIO 2026'!F60,"")</f>
        <v/>
      </c>
      <c r="E581" s="381">
        <f>IF(AND('JUNIO 2026'!D60&lt;&gt;"",'JUNIO 2026'!Z60="POR RECOGER"),TEXT('JUNIO 2026'!G60,"DD/MM/YYYY"),"")</f>
        <v/>
      </c>
      <c r="F581" s="381">
        <f>IF(AND('JUNIO 2026'!D60&lt;&gt;"",'JUNIO 2026'!Z60="POR RECOGER"),'JUNIO 2026'!K60,"")</f>
        <v/>
      </c>
      <c r="G581" s="382">
        <f>IF(AND('JUNIO 2026'!D60&lt;&gt;"",'JUNIO 2026'!Z60="POR RECOGER"),'JUNIO 2026'!M60,"")</f>
        <v/>
      </c>
      <c r="H581" s="382">
        <f>IF(AND('JUNIO 2026'!D60&lt;&gt;"",'JUNIO 2026'!Z60="POR RECOGER"),'JUNIO 2026'!N60,"")</f>
        <v/>
      </c>
      <c r="I581" s="381">
        <f>IF(AND('JUNIO 2026'!D60&lt;&gt;"",'JUNIO 2026'!Z60="POR RECOGER"),'JUNIO 2026'!P60,"")</f>
        <v/>
      </c>
      <c r="J581" s="381">
        <f>IF(AND('JUNIO 2026'!D60&lt;&gt;"",'JUNIO 2026'!Z60="POR RECOGER"),'JUNIO 2026'!Q60,"")</f>
        <v/>
      </c>
      <c r="K581" s="381">
        <f>IF(AND('JUNIO 2026'!D60&lt;&gt;"",'JUNIO 2026'!Z60="POR RECOGER"),'JUNIO 2026'!Y60,"")</f>
        <v/>
      </c>
      <c r="L581" s="381">
        <f>IF(AND('JUNIO 2026'!D60&lt;&gt;"",'JUNIO 2026'!Z60="POR RECOGER"),'JUNIO 2026'!I60,"")</f>
        <v/>
      </c>
      <c r="P581" s="194" t="n"/>
      <c r="Q581" s="194" t="n"/>
      <c r="R581" s="194" t="n"/>
      <c r="S581" s="194" t="n"/>
      <c r="T581" s="194" t="n"/>
      <c r="U581" s="194" t="n"/>
      <c r="V581" s="194" t="n"/>
      <c r="W581" s="194" t="n"/>
      <c r="X581" s="194" t="n"/>
      <c r="Y581" s="194" t="n"/>
      <c r="Z581" s="194" t="n"/>
    </row>
    <row r="582" ht="15" customHeight="1" s="195">
      <c r="A582" s="381">
        <f>IF(AND('JUNIO 2026'!D61&lt;&gt;"",'JUNIO 2026'!Z61="POR RECOGER"),"JUN","")</f>
        <v/>
      </c>
      <c r="B582" s="381">
        <f>IF(AND('JUNIO 2026'!D61&lt;&gt;"",'JUNIO 2026'!Z61="POR RECOGER"),IF('JUNIO 2026'!Y61&lt;&gt;"",'JUNIO 2026'!Y61,'JUNIO 2026'!I61),"")</f>
        <v/>
      </c>
      <c r="C582" s="381">
        <f>IF(AND('JUNIO 2026'!D61&lt;&gt;"",'JUNIO 2026'!Z61="POR RECOGER"),'JUNIO 2026'!D61,"")</f>
        <v/>
      </c>
      <c r="D582" s="381">
        <f>IF(AND('JUNIO 2026'!D61&lt;&gt;"",'JUNIO 2026'!Z61="POR RECOGER"),'JUNIO 2026'!F61,"")</f>
        <v/>
      </c>
      <c r="E582" s="381">
        <f>IF(AND('JUNIO 2026'!D61&lt;&gt;"",'JUNIO 2026'!Z61="POR RECOGER"),TEXT('JUNIO 2026'!G61,"DD/MM/YYYY"),"")</f>
        <v/>
      </c>
      <c r="F582" s="381">
        <f>IF(AND('JUNIO 2026'!D61&lt;&gt;"",'JUNIO 2026'!Z61="POR RECOGER"),'JUNIO 2026'!K61,"")</f>
        <v/>
      </c>
      <c r="G582" s="382">
        <f>IF(AND('JUNIO 2026'!D61&lt;&gt;"",'JUNIO 2026'!Z61="POR RECOGER"),'JUNIO 2026'!M61,"")</f>
        <v/>
      </c>
      <c r="H582" s="382">
        <f>IF(AND('JUNIO 2026'!D61&lt;&gt;"",'JUNIO 2026'!Z61="POR RECOGER"),'JUNIO 2026'!N61,"")</f>
        <v/>
      </c>
      <c r="I582" s="381">
        <f>IF(AND('JUNIO 2026'!D61&lt;&gt;"",'JUNIO 2026'!Z61="POR RECOGER"),'JUNIO 2026'!P61,"")</f>
        <v/>
      </c>
      <c r="J582" s="381">
        <f>IF(AND('JUNIO 2026'!D61&lt;&gt;"",'JUNIO 2026'!Z61="POR RECOGER"),'JUNIO 2026'!Q61,"")</f>
        <v/>
      </c>
      <c r="K582" s="381">
        <f>IF(AND('JUNIO 2026'!D61&lt;&gt;"",'JUNIO 2026'!Z61="POR RECOGER"),'JUNIO 2026'!Y61,"")</f>
        <v/>
      </c>
      <c r="L582" s="381">
        <f>IF(AND('JUNIO 2026'!D61&lt;&gt;"",'JUNIO 2026'!Z61="POR RECOGER"),'JUNIO 2026'!I61,"")</f>
        <v/>
      </c>
      <c r="P582" s="194" t="n"/>
      <c r="Q582" s="194" t="n"/>
      <c r="R582" s="194" t="n"/>
      <c r="S582" s="194" t="n"/>
      <c r="T582" s="194" t="n"/>
      <c r="U582" s="194" t="n"/>
      <c r="V582" s="194" t="n"/>
      <c r="W582" s="194" t="n"/>
      <c r="X582" s="194" t="n"/>
      <c r="Y582" s="194" t="n"/>
      <c r="Z582" s="194" t="n"/>
    </row>
    <row r="583" ht="15" customHeight="1" s="195">
      <c r="A583" s="381">
        <f>IF(AND('JUNIO 2026'!D62&lt;&gt;"",'JUNIO 2026'!Z62="POR RECOGER"),"JUN","")</f>
        <v/>
      </c>
      <c r="B583" s="381">
        <f>IF(AND('JUNIO 2026'!D62&lt;&gt;"",'JUNIO 2026'!Z62="POR RECOGER"),IF('JUNIO 2026'!Y62&lt;&gt;"",'JUNIO 2026'!Y62,'JUNIO 2026'!I62),"")</f>
        <v/>
      </c>
      <c r="C583" s="381">
        <f>IF(AND('JUNIO 2026'!D62&lt;&gt;"",'JUNIO 2026'!Z62="POR RECOGER"),'JUNIO 2026'!D62,"")</f>
        <v/>
      </c>
      <c r="D583" s="381">
        <f>IF(AND('JUNIO 2026'!D62&lt;&gt;"",'JUNIO 2026'!Z62="POR RECOGER"),'JUNIO 2026'!F62,"")</f>
        <v/>
      </c>
      <c r="E583" s="381">
        <f>IF(AND('JUNIO 2026'!D62&lt;&gt;"",'JUNIO 2026'!Z62="POR RECOGER"),TEXT('JUNIO 2026'!G62,"DD/MM/YYYY"),"")</f>
        <v/>
      </c>
      <c r="F583" s="381">
        <f>IF(AND('JUNIO 2026'!D62&lt;&gt;"",'JUNIO 2026'!Z62="POR RECOGER"),'JUNIO 2026'!K62,"")</f>
        <v/>
      </c>
      <c r="G583" s="382">
        <f>IF(AND('JUNIO 2026'!D62&lt;&gt;"",'JUNIO 2026'!Z62="POR RECOGER"),'JUNIO 2026'!M62,"")</f>
        <v/>
      </c>
      <c r="H583" s="382">
        <f>IF(AND('JUNIO 2026'!D62&lt;&gt;"",'JUNIO 2026'!Z62="POR RECOGER"),'JUNIO 2026'!N62,"")</f>
        <v/>
      </c>
      <c r="I583" s="381">
        <f>IF(AND('JUNIO 2026'!D62&lt;&gt;"",'JUNIO 2026'!Z62="POR RECOGER"),'JUNIO 2026'!P62,"")</f>
        <v/>
      </c>
      <c r="J583" s="381">
        <f>IF(AND('JUNIO 2026'!D62&lt;&gt;"",'JUNIO 2026'!Z62="POR RECOGER"),'JUNIO 2026'!Q62,"")</f>
        <v/>
      </c>
      <c r="K583" s="381">
        <f>IF(AND('JUNIO 2026'!D62&lt;&gt;"",'JUNIO 2026'!Z62="POR RECOGER"),'JUNIO 2026'!Y62,"")</f>
        <v/>
      </c>
      <c r="L583" s="381">
        <f>IF(AND('JUNIO 2026'!D62&lt;&gt;"",'JUNIO 2026'!Z62="POR RECOGER"),'JUNIO 2026'!I62,"")</f>
        <v/>
      </c>
      <c r="P583" s="194" t="n"/>
      <c r="Q583" s="194" t="n"/>
      <c r="R583" s="194" t="n"/>
      <c r="S583" s="194" t="n"/>
      <c r="T583" s="194" t="n"/>
      <c r="U583" s="194" t="n"/>
      <c r="V583" s="194" t="n"/>
      <c r="W583" s="194" t="n"/>
      <c r="X583" s="194" t="n"/>
      <c r="Y583" s="194" t="n"/>
      <c r="Z583" s="194" t="n"/>
    </row>
    <row r="584" ht="15" customHeight="1" s="195">
      <c r="A584" s="381">
        <f>IF(AND('JUNIO 2026'!D63&lt;&gt;"",'JUNIO 2026'!Z63="POR RECOGER"),"JUN","")</f>
        <v/>
      </c>
      <c r="B584" s="381">
        <f>IF(AND('JUNIO 2026'!D63&lt;&gt;"",'JUNIO 2026'!Z63="POR RECOGER"),IF('JUNIO 2026'!Y63&lt;&gt;"",'JUNIO 2026'!Y63,'JUNIO 2026'!I63),"")</f>
        <v/>
      </c>
      <c r="C584" s="381">
        <f>IF(AND('JUNIO 2026'!D63&lt;&gt;"",'JUNIO 2026'!Z63="POR RECOGER"),'JUNIO 2026'!D63,"")</f>
        <v/>
      </c>
      <c r="D584" s="381">
        <f>IF(AND('JUNIO 2026'!D63&lt;&gt;"",'JUNIO 2026'!Z63="POR RECOGER"),'JUNIO 2026'!F63,"")</f>
        <v/>
      </c>
      <c r="E584" s="381">
        <f>IF(AND('JUNIO 2026'!D63&lt;&gt;"",'JUNIO 2026'!Z63="POR RECOGER"),TEXT('JUNIO 2026'!G63,"DD/MM/YYYY"),"")</f>
        <v/>
      </c>
      <c r="F584" s="381">
        <f>IF(AND('JUNIO 2026'!D63&lt;&gt;"",'JUNIO 2026'!Z63="POR RECOGER"),'JUNIO 2026'!K63,"")</f>
        <v/>
      </c>
      <c r="G584" s="382">
        <f>IF(AND('JUNIO 2026'!D63&lt;&gt;"",'JUNIO 2026'!Z63="POR RECOGER"),'JUNIO 2026'!M63,"")</f>
        <v/>
      </c>
      <c r="H584" s="382">
        <f>IF(AND('JUNIO 2026'!D63&lt;&gt;"",'JUNIO 2026'!Z63="POR RECOGER"),'JUNIO 2026'!N63,"")</f>
        <v/>
      </c>
      <c r="I584" s="381">
        <f>IF(AND('JUNIO 2026'!D63&lt;&gt;"",'JUNIO 2026'!Z63="POR RECOGER"),'JUNIO 2026'!P63,"")</f>
        <v/>
      </c>
      <c r="J584" s="381">
        <f>IF(AND('JUNIO 2026'!D63&lt;&gt;"",'JUNIO 2026'!Z63="POR RECOGER"),'JUNIO 2026'!Q63,"")</f>
        <v/>
      </c>
      <c r="K584" s="381">
        <f>IF(AND('JUNIO 2026'!D63&lt;&gt;"",'JUNIO 2026'!Z63="POR RECOGER"),'JUNIO 2026'!Y63,"")</f>
        <v/>
      </c>
      <c r="L584" s="381">
        <f>IF(AND('JUNIO 2026'!D63&lt;&gt;"",'JUNIO 2026'!Z63="POR RECOGER"),'JUNIO 2026'!I63,"")</f>
        <v/>
      </c>
      <c r="P584" s="194" t="n"/>
      <c r="Q584" s="194" t="n"/>
      <c r="R584" s="194" t="n"/>
      <c r="S584" s="194" t="n"/>
      <c r="T584" s="194" t="n"/>
      <c r="U584" s="194" t="n"/>
      <c r="V584" s="194" t="n"/>
      <c r="W584" s="194" t="n"/>
      <c r="X584" s="194" t="n"/>
      <c r="Y584" s="194" t="n"/>
      <c r="Z584" s="194" t="n"/>
    </row>
    <row r="585" ht="15" customHeight="1" s="195">
      <c r="A585" s="381">
        <f>IF(AND('JUNIO 2026'!D64&lt;&gt;"",'JUNIO 2026'!Z64="POR RECOGER"),"JUN","")</f>
        <v/>
      </c>
      <c r="B585" s="381">
        <f>IF(AND('JUNIO 2026'!D64&lt;&gt;"",'JUNIO 2026'!Z64="POR RECOGER"),IF('JUNIO 2026'!Y64&lt;&gt;"",'JUNIO 2026'!Y64,'JUNIO 2026'!I64),"")</f>
        <v/>
      </c>
      <c r="C585" s="381">
        <f>IF(AND('JUNIO 2026'!D64&lt;&gt;"",'JUNIO 2026'!Z64="POR RECOGER"),'JUNIO 2026'!D64,"")</f>
        <v/>
      </c>
      <c r="D585" s="381">
        <f>IF(AND('JUNIO 2026'!D64&lt;&gt;"",'JUNIO 2026'!Z64="POR RECOGER"),'JUNIO 2026'!F64,"")</f>
        <v/>
      </c>
      <c r="E585" s="381">
        <f>IF(AND('JUNIO 2026'!D64&lt;&gt;"",'JUNIO 2026'!Z64="POR RECOGER"),TEXT('JUNIO 2026'!G64,"DD/MM/YYYY"),"")</f>
        <v/>
      </c>
      <c r="F585" s="381">
        <f>IF(AND('JUNIO 2026'!D64&lt;&gt;"",'JUNIO 2026'!Z64="POR RECOGER"),'JUNIO 2026'!K64,"")</f>
        <v/>
      </c>
      <c r="G585" s="382">
        <f>IF(AND('JUNIO 2026'!D64&lt;&gt;"",'JUNIO 2026'!Z64="POR RECOGER"),'JUNIO 2026'!M64,"")</f>
        <v/>
      </c>
      <c r="H585" s="382">
        <f>IF(AND('JUNIO 2026'!D64&lt;&gt;"",'JUNIO 2026'!Z64="POR RECOGER"),'JUNIO 2026'!N64,"")</f>
        <v/>
      </c>
      <c r="I585" s="381">
        <f>IF(AND('JUNIO 2026'!D64&lt;&gt;"",'JUNIO 2026'!Z64="POR RECOGER"),'JUNIO 2026'!P64,"")</f>
        <v/>
      </c>
      <c r="J585" s="381">
        <f>IF(AND('JUNIO 2026'!D64&lt;&gt;"",'JUNIO 2026'!Z64="POR RECOGER"),'JUNIO 2026'!Q64,"")</f>
        <v/>
      </c>
      <c r="K585" s="381">
        <f>IF(AND('JUNIO 2026'!D64&lt;&gt;"",'JUNIO 2026'!Z64="POR RECOGER"),'JUNIO 2026'!Y64,"")</f>
        <v/>
      </c>
      <c r="L585" s="381">
        <f>IF(AND('JUNIO 2026'!D64&lt;&gt;"",'JUNIO 2026'!Z64="POR RECOGER"),'JUNIO 2026'!I64,"")</f>
        <v/>
      </c>
      <c r="P585" s="194" t="n"/>
      <c r="Q585" s="194" t="n"/>
      <c r="R585" s="194" t="n"/>
      <c r="S585" s="194" t="n"/>
      <c r="T585" s="194" t="n"/>
      <c r="U585" s="194" t="n"/>
      <c r="V585" s="194" t="n"/>
      <c r="W585" s="194" t="n"/>
      <c r="X585" s="194" t="n"/>
      <c r="Y585" s="194" t="n"/>
      <c r="Z585" s="194" t="n"/>
    </row>
    <row r="586" ht="15" customHeight="1" s="195">
      <c r="A586" s="381">
        <f>IF(AND('JUNIO 2026'!D65&lt;&gt;"",'JUNIO 2026'!Z65="POR RECOGER"),"JUN","")</f>
        <v/>
      </c>
      <c r="B586" s="381">
        <f>IF(AND('JUNIO 2026'!D65&lt;&gt;"",'JUNIO 2026'!Z65="POR RECOGER"),IF('JUNIO 2026'!Y65&lt;&gt;"",'JUNIO 2026'!Y65,'JUNIO 2026'!I65),"")</f>
        <v/>
      </c>
      <c r="C586" s="381">
        <f>IF(AND('JUNIO 2026'!D65&lt;&gt;"",'JUNIO 2026'!Z65="POR RECOGER"),'JUNIO 2026'!D65,"")</f>
        <v/>
      </c>
      <c r="D586" s="381">
        <f>IF(AND('JUNIO 2026'!D65&lt;&gt;"",'JUNIO 2026'!Z65="POR RECOGER"),'JUNIO 2026'!F65,"")</f>
        <v/>
      </c>
      <c r="E586" s="381">
        <f>IF(AND('JUNIO 2026'!D65&lt;&gt;"",'JUNIO 2026'!Z65="POR RECOGER"),TEXT('JUNIO 2026'!G65,"DD/MM/YYYY"),"")</f>
        <v/>
      </c>
      <c r="F586" s="381">
        <f>IF(AND('JUNIO 2026'!D65&lt;&gt;"",'JUNIO 2026'!Z65="POR RECOGER"),'JUNIO 2026'!K65,"")</f>
        <v/>
      </c>
      <c r="G586" s="382">
        <f>IF(AND('JUNIO 2026'!D65&lt;&gt;"",'JUNIO 2026'!Z65="POR RECOGER"),'JUNIO 2026'!M65,"")</f>
        <v/>
      </c>
      <c r="H586" s="382">
        <f>IF(AND('JUNIO 2026'!D65&lt;&gt;"",'JUNIO 2026'!Z65="POR RECOGER"),'JUNIO 2026'!N65,"")</f>
        <v/>
      </c>
      <c r="I586" s="381">
        <f>IF(AND('JUNIO 2026'!D65&lt;&gt;"",'JUNIO 2026'!Z65="POR RECOGER"),'JUNIO 2026'!P65,"")</f>
        <v/>
      </c>
      <c r="J586" s="381">
        <f>IF(AND('JUNIO 2026'!D65&lt;&gt;"",'JUNIO 2026'!Z65="POR RECOGER"),'JUNIO 2026'!Q65,"")</f>
        <v/>
      </c>
      <c r="K586" s="381">
        <f>IF(AND('JUNIO 2026'!D65&lt;&gt;"",'JUNIO 2026'!Z65="POR RECOGER"),'JUNIO 2026'!Y65,"")</f>
        <v/>
      </c>
      <c r="L586" s="381">
        <f>IF(AND('JUNIO 2026'!D65&lt;&gt;"",'JUNIO 2026'!Z65="POR RECOGER"),'JUNIO 2026'!I65,"")</f>
        <v/>
      </c>
      <c r="P586" s="194" t="n"/>
      <c r="Q586" s="194" t="n"/>
      <c r="R586" s="194" t="n"/>
      <c r="S586" s="194" t="n"/>
      <c r="T586" s="194" t="n"/>
      <c r="U586" s="194" t="n"/>
      <c r="V586" s="194" t="n"/>
      <c r="W586" s="194" t="n"/>
      <c r="X586" s="194" t="n"/>
      <c r="Y586" s="194" t="n"/>
      <c r="Z586" s="194" t="n"/>
    </row>
    <row r="587" ht="15" customHeight="1" s="195">
      <c r="A587" s="381">
        <f>IF(AND('JUNIO 2026'!D66&lt;&gt;"",'JUNIO 2026'!Z66="POR RECOGER"),"JUN","")</f>
        <v/>
      </c>
      <c r="B587" s="381">
        <f>IF(AND('JUNIO 2026'!D66&lt;&gt;"",'JUNIO 2026'!Z66="POR RECOGER"),IF('JUNIO 2026'!Y66&lt;&gt;"",'JUNIO 2026'!Y66,'JUNIO 2026'!I66),"")</f>
        <v/>
      </c>
      <c r="C587" s="381">
        <f>IF(AND('JUNIO 2026'!D66&lt;&gt;"",'JUNIO 2026'!Z66="POR RECOGER"),'JUNIO 2026'!D66,"")</f>
        <v/>
      </c>
      <c r="D587" s="381">
        <f>IF(AND('JUNIO 2026'!D66&lt;&gt;"",'JUNIO 2026'!Z66="POR RECOGER"),'JUNIO 2026'!F66,"")</f>
        <v/>
      </c>
      <c r="E587" s="381">
        <f>IF(AND('JUNIO 2026'!D66&lt;&gt;"",'JUNIO 2026'!Z66="POR RECOGER"),TEXT('JUNIO 2026'!G66,"DD/MM/YYYY"),"")</f>
        <v/>
      </c>
      <c r="F587" s="381">
        <f>IF(AND('JUNIO 2026'!D66&lt;&gt;"",'JUNIO 2026'!Z66="POR RECOGER"),'JUNIO 2026'!K66,"")</f>
        <v/>
      </c>
      <c r="G587" s="382">
        <f>IF(AND('JUNIO 2026'!D66&lt;&gt;"",'JUNIO 2026'!Z66="POR RECOGER"),'JUNIO 2026'!M66,"")</f>
        <v/>
      </c>
      <c r="H587" s="382">
        <f>IF(AND('JUNIO 2026'!D66&lt;&gt;"",'JUNIO 2026'!Z66="POR RECOGER"),'JUNIO 2026'!N66,"")</f>
        <v/>
      </c>
      <c r="I587" s="381">
        <f>IF(AND('JUNIO 2026'!D66&lt;&gt;"",'JUNIO 2026'!Z66="POR RECOGER"),'JUNIO 2026'!P66,"")</f>
        <v/>
      </c>
      <c r="J587" s="381">
        <f>IF(AND('JUNIO 2026'!D66&lt;&gt;"",'JUNIO 2026'!Z66="POR RECOGER"),'JUNIO 2026'!Q66,"")</f>
        <v/>
      </c>
      <c r="K587" s="381">
        <f>IF(AND('JUNIO 2026'!D66&lt;&gt;"",'JUNIO 2026'!Z66="POR RECOGER"),'JUNIO 2026'!Y66,"")</f>
        <v/>
      </c>
      <c r="L587" s="381">
        <f>IF(AND('JUNIO 2026'!D66&lt;&gt;"",'JUNIO 2026'!Z66="POR RECOGER"),'JUNIO 2026'!I66,"")</f>
        <v/>
      </c>
      <c r="P587" s="194" t="n"/>
      <c r="Q587" s="194" t="n"/>
      <c r="R587" s="194" t="n"/>
      <c r="S587" s="194" t="n"/>
      <c r="T587" s="194" t="n"/>
      <c r="U587" s="194" t="n"/>
      <c r="V587" s="194" t="n"/>
      <c r="W587" s="194" t="n"/>
      <c r="X587" s="194" t="n"/>
      <c r="Y587" s="194" t="n"/>
      <c r="Z587" s="194" t="n"/>
    </row>
    <row r="588" ht="15" customHeight="1" s="195">
      <c r="A588" s="381">
        <f>IF(AND('JUNIO 2026'!D67&lt;&gt;"",'JUNIO 2026'!Z67="POR RECOGER"),"JUN","")</f>
        <v/>
      </c>
      <c r="B588" s="381">
        <f>IF(AND('JUNIO 2026'!D67&lt;&gt;"",'JUNIO 2026'!Z67="POR RECOGER"),IF('JUNIO 2026'!Y67&lt;&gt;"",'JUNIO 2026'!Y67,'JUNIO 2026'!I67),"")</f>
        <v/>
      </c>
      <c r="C588" s="381">
        <f>IF(AND('JUNIO 2026'!D67&lt;&gt;"",'JUNIO 2026'!Z67="POR RECOGER"),'JUNIO 2026'!D67,"")</f>
        <v/>
      </c>
      <c r="D588" s="381">
        <f>IF(AND('JUNIO 2026'!D67&lt;&gt;"",'JUNIO 2026'!Z67="POR RECOGER"),'JUNIO 2026'!F67,"")</f>
        <v/>
      </c>
      <c r="E588" s="381">
        <f>IF(AND('JUNIO 2026'!D67&lt;&gt;"",'JUNIO 2026'!Z67="POR RECOGER"),TEXT('JUNIO 2026'!G67,"DD/MM/YYYY"),"")</f>
        <v/>
      </c>
      <c r="F588" s="381">
        <f>IF(AND('JUNIO 2026'!D67&lt;&gt;"",'JUNIO 2026'!Z67="POR RECOGER"),'JUNIO 2026'!K67,"")</f>
        <v/>
      </c>
      <c r="G588" s="382">
        <f>IF(AND('JUNIO 2026'!D67&lt;&gt;"",'JUNIO 2026'!Z67="POR RECOGER"),'JUNIO 2026'!M67,"")</f>
        <v/>
      </c>
      <c r="H588" s="382">
        <f>IF(AND('JUNIO 2026'!D67&lt;&gt;"",'JUNIO 2026'!Z67="POR RECOGER"),'JUNIO 2026'!N67,"")</f>
        <v/>
      </c>
      <c r="I588" s="381">
        <f>IF(AND('JUNIO 2026'!D67&lt;&gt;"",'JUNIO 2026'!Z67="POR RECOGER"),'JUNIO 2026'!P67,"")</f>
        <v/>
      </c>
      <c r="J588" s="381">
        <f>IF(AND('JUNIO 2026'!D67&lt;&gt;"",'JUNIO 2026'!Z67="POR RECOGER"),'JUNIO 2026'!Q67,"")</f>
        <v/>
      </c>
      <c r="K588" s="381">
        <f>IF(AND('JUNIO 2026'!D67&lt;&gt;"",'JUNIO 2026'!Z67="POR RECOGER"),'JUNIO 2026'!Y67,"")</f>
        <v/>
      </c>
      <c r="L588" s="381">
        <f>IF(AND('JUNIO 2026'!D67&lt;&gt;"",'JUNIO 2026'!Z67="POR RECOGER"),'JUNIO 2026'!I67,"")</f>
        <v/>
      </c>
      <c r="P588" s="194" t="n"/>
      <c r="Q588" s="194" t="n"/>
      <c r="R588" s="194" t="n"/>
      <c r="S588" s="194" t="n"/>
      <c r="T588" s="194" t="n"/>
      <c r="U588" s="194" t="n"/>
      <c r="V588" s="194" t="n"/>
      <c r="W588" s="194" t="n"/>
      <c r="X588" s="194" t="n"/>
      <c r="Y588" s="194" t="n"/>
      <c r="Z588" s="194" t="n"/>
    </row>
    <row r="589" ht="15" customHeight="1" s="195">
      <c r="A589" s="381">
        <f>IF(AND('JUNIO 2026'!D68&lt;&gt;"",'JUNIO 2026'!Z68="POR RECOGER"),"JUN","")</f>
        <v/>
      </c>
      <c r="B589" s="381">
        <f>IF(AND('JUNIO 2026'!D68&lt;&gt;"",'JUNIO 2026'!Z68="POR RECOGER"),IF('JUNIO 2026'!Y68&lt;&gt;"",'JUNIO 2026'!Y68,'JUNIO 2026'!I68),"")</f>
        <v/>
      </c>
      <c r="C589" s="381">
        <f>IF(AND('JUNIO 2026'!D68&lt;&gt;"",'JUNIO 2026'!Z68="POR RECOGER"),'JUNIO 2026'!D68,"")</f>
        <v/>
      </c>
      <c r="D589" s="381">
        <f>IF(AND('JUNIO 2026'!D68&lt;&gt;"",'JUNIO 2026'!Z68="POR RECOGER"),'JUNIO 2026'!F68,"")</f>
        <v/>
      </c>
      <c r="E589" s="381">
        <f>IF(AND('JUNIO 2026'!D68&lt;&gt;"",'JUNIO 2026'!Z68="POR RECOGER"),TEXT('JUNIO 2026'!G68,"DD/MM/YYYY"),"")</f>
        <v/>
      </c>
      <c r="F589" s="381">
        <f>IF(AND('JUNIO 2026'!D68&lt;&gt;"",'JUNIO 2026'!Z68="POR RECOGER"),'JUNIO 2026'!K68,"")</f>
        <v/>
      </c>
      <c r="G589" s="382">
        <f>IF(AND('JUNIO 2026'!D68&lt;&gt;"",'JUNIO 2026'!Z68="POR RECOGER"),'JUNIO 2026'!M68,"")</f>
        <v/>
      </c>
      <c r="H589" s="382">
        <f>IF(AND('JUNIO 2026'!D68&lt;&gt;"",'JUNIO 2026'!Z68="POR RECOGER"),'JUNIO 2026'!N68,"")</f>
        <v/>
      </c>
      <c r="I589" s="381">
        <f>IF(AND('JUNIO 2026'!D68&lt;&gt;"",'JUNIO 2026'!Z68="POR RECOGER"),'JUNIO 2026'!P68,"")</f>
        <v/>
      </c>
      <c r="J589" s="381">
        <f>IF(AND('JUNIO 2026'!D68&lt;&gt;"",'JUNIO 2026'!Z68="POR RECOGER"),'JUNIO 2026'!Q68,"")</f>
        <v/>
      </c>
      <c r="K589" s="381">
        <f>IF(AND('JUNIO 2026'!D68&lt;&gt;"",'JUNIO 2026'!Z68="POR RECOGER"),'JUNIO 2026'!Y68,"")</f>
        <v/>
      </c>
      <c r="L589" s="381">
        <f>IF(AND('JUNIO 2026'!D68&lt;&gt;"",'JUNIO 2026'!Z68="POR RECOGER"),'JUNIO 2026'!I68,"")</f>
        <v/>
      </c>
      <c r="P589" s="194" t="n"/>
      <c r="Q589" s="194" t="n"/>
      <c r="R589" s="194" t="n"/>
      <c r="S589" s="194" t="n"/>
      <c r="T589" s="194" t="n"/>
      <c r="U589" s="194" t="n"/>
      <c r="V589" s="194" t="n"/>
      <c r="W589" s="194" t="n"/>
      <c r="X589" s="194" t="n"/>
      <c r="Y589" s="194" t="n"/>
      <c r="Z589" s="194" t="n"/>
    </row>
    <row r="590" ht="15" customHeight="1" s="195">
      <c r="A590" s="381">
        <f>IF(AND('JUNIO 2026'!D69&lt;&gt;"",'JUNIO 2026'!Z69="POR RECOGER"),"JUN","")</f>
        <v/>
      </c>
      <c r="B590" s="381">
        <f>IF(AND('JUNIO 2026'!D69&lt;&gt;"",'JUNIO 2026'!Z69="POR RECOGER"),IF('JUNIO 2026'!Y69&lt;&gt;"",'JUNIO 2026'!Y69,'JUNIO 2026'!I69),"")</f>
        <v/>
      </c>
      <c r="C590" s="381">
        <f>IF(AND('JUNIO 2026'!D69&lt;&gt;"",'JUNIO 2026'!Z69="POR RECOGER"),'JUNIO 2026'!D69,"")</f>
        <v/>
      </c>
      <c r="D590" s="381">
        <f>IF(AND('JUNIO 2026'!D69&lt;&gt;"",'JUNIO 2026'!Z69="POR RECOGER"),'JUNIO 2026'!F69,"")</f>
        <v/>
      </c>
      <c r="E590" s="381">
        <f>IF(AND('JUNIO 2026'!D69&lt;&gt;"",'JUNIO 2026'!Z69="POR RECOGER"),TEXT('JUNIO 2026'!G69,"DD/MM/YYYY"),"")</f>
        <v/>
      </c>
      <c r="F590" s="381">
        <f>IF(AND('JUNIO 2026'!D69&lt;&gt;"",'JUNIO 2026'!Z69="POR RECOGER"),'JUNIO 2026'!K69,"")</f>
        <v/>
      </c>
      <c r="G590" s="382">
        <f>IF(AND('JUNIO 2026'!D69&lt;&gt;"",'JUNIO 2026'!Z69="POR RECOGER"),'JUNIO 2026'!M69,"")</f>
        <v/>
      </c>
      <c r="H590" s="382">
        <f>IF(AND('JUNIO 2026'!D69&lt;&gt;"",'JUNIO 2026'!Z69="POR RECOGER"),'JUNIO 2026'!N69,"")</f>
        <v/>
      </c>
      <c r="I590" s="381">
        <f>IF(AND('JUNIO 2026'!D69&lt;&gt;"",'JUNIO 2026'!Z69="POR RECOGER"),'JUNIO 2026'!P69,"")</f>
        <v/>
      </c>
      <c r="J590" s="381">
        <f>IF(AND('JUNIO 2026'!D69&lt;&gt;"",'JUNIO 2026'!Z69="POR RECOGER"),'JUNIO 2026'!Q69,"")</f>
        <v/>
      </c>
      <c r="K590" s="381">
        <f>IF(AND('JUNIO 2026'!D69&lt;&gt;"",'JUNIO 2026'!Z69="POR RECOGER"),'JUNIO 2026'!Y69,"")</f>
        <v/>
      </c>
      <c r="L590" s="381">
        <f>IF(AND('JUNIO 2026'!D69&lt;&gt;"",'JUNIO 2026'!Z69="POR RECOGER"),'JUNIO 2026'!I69,"")</f>
        <v/>
      </c>
      <c r="P590" s="194" t="n"/>
      <c r="Q590" s="194" t="n"/>
      <c r="R590" s="194" t="n"/>
      <c r="S590" s="194" t="n"/>
      <c r="T590" s="194" t="n"/>
      <c r="U590" s="194" t="n"/>
      <c r="V590" s="194" t="n"/>
      <c r="W590" s="194" t="n"/>
      <c r="X590" s="194" t="n"/>
      <c r="Y590" s="194" t="n"/>
      <c r="Z590" s="194" t="n"/>
    </row>
    <row r="591" ht="15" customHeight="1" s="195">
      <c r="A591" s="381">
        <f>IF(AND('JUNIO 2026'!D70&lt;&gt;"",'JUNIO 2026'!Z70="POR RECOGER"),"JUN","")</f>
        <v/>
      </c>
      <c r="B591" s="381">
        <f>IF(AND('JUNIO 2026'!D70&lt;&gt;"",'JUNIO 2026'!Z70="POR RECOGER"),IF('JUNIO 2026'!Y70&lt;&gt;"",'JUNIO 2026'!Y70,'JUNIO 2026'!I70),"")</f>
        <v/>
      </c>
      <c r="C591" s="381">
        <f>IF(AND('JUNIO 2026'!D70&lt;&gt;"",'JUNIO 2026'!Z70="POR RECOGER"),'JUNIO 2026'!D70,"")</f>
        <v/>
      </c>
      <c r="D591" s="381">
        <f>IF(AND('JUNIO 2026'!D70&lt;&gt;"",'JUNIO 2026'!Z70="POR RECOGER"),'JUNIO 2026'!F70,"")</f>
        <v/>
      </c>
      <c r="E591" s="381">
        <f>IF(AND('JUNIO 2026'!D70&lt;&gt;"",'JUNIO 2026'!Z70="POR RECOGER"),TEXT('JUNIO 2026'!G70,"DD/MM/YYYY"),"")</f>
        <v/>
      </c>
      <c r="F591" s="381">
        <f>IF(AND('JUNIO 2026'!D70&lt;&gt;"",'JUNIO 2026'!Z70="POR RECOGER"),'JUNIO 2026'!K70,"")</f>
        <v/>
      </c>
      <c r="G591" s="382">
        <f>IF(AND('JUNIO 2026'!D70&lt;&gt;"",'JUNIO 2026'!Z70="POR RECOGER"),'JUNIO 2026'!M70,"")</f>
        <v/>
      </c>
      <c r="H591" s="382">
        <f>IF(AND('JUNIO 2026'!D70&lt;&gt;"",'JUNIO 2026'!Z70="POR RECOGER"),'JUNIO 2026'!N70,"")</f>
        <v/>
      </c>
      <c r="I591" s="381">
        <f>IF(AND('JUNIO 2026'!D70&lt;&gt;"",'JUNIO 2026'!Z70="POR RECOGER"),'JUNIO 2026'!P70,"")</f>
        <v/>
      </c>
      <c r="J591" s="381">
        <f>IF(AND('JUNIO 2026'!D70&lt;&gt;"",'JUNIO 2026'!Z70="POR RECOGER"),'JUNIO 2026'!Q70,"")</f>
        <v/>
      </c>
      <c r="K591" s="381">
        <f>IF(AND('JUNIO 2026'!D70&lt;&gt;"",'JUNIO 2026'!Z70="POR RECOGER"),'JUNIO 2026'!Y70,"")</f>
        <v/>
      </c>
      <c r="L591" s="381">
        <f>IF(AND('JUNIO 2026'!D70&lt;&gt;"",'JUNIO 2026'!Z70="POR RECOGER"),'JUNIO 2026'!I70,"")</f>
        <v/>
      </c>
      <c r="P591" s="194" t="n"/>
      <c r="Q591" s="194" t="n"/>
      <c r="R591" s="194" t="n"/>
      <c r="S591" s="194" t="n"/>
      <c r="T591" s="194" t="n"/>
      <c r="U591" s="194" t="n"/>
      <c r="V591" s="194" t="n"/>
      <c r="W591" s="194" t="n"/>
      <c r="X591" s="194" t="n"/>
      <c r="Y591" s="194" t="n"/>
      <c r="Z591" s="194" t="n"/>
    </row>
    <row r="592" ht="15" customHeight="1" s="195">
      <c r="A592" s="381">
        <f>IF(AND('JUNIO 2026'!D71&lt;&gt;"",'JUNIO 2026'!Z71="POR RECOGER"),"JUN","")</f>
        <v/>
      </c>
      <c r="B592" s="381">
        <f>IF(AND('JUNIO 2026'!D71&lt;&gt;"",'JUNIO 2026'!Z71="POR RECOGER"),IF('JUNIO 2026'!Y71&lt;&gt;"",'JUNIO 2026'!Y71,'JUNIO 2026'!I71),"")</f>
        <v/>
      </c>
      <c r="C592" s="381">
        <f>IF(AND('JUNIO 2026'!D71&lt;&gt;"",'JUNIO 2026'!Z71="POR RECOGER"),'JUNIO 2026'!D71,"")</f>
        <v/>
      </c>
      <c r="D592" s="381">
        <f>IF(AND('JUNIO 2026'!D71&lt;&gt;"",'JUNIO 2026'!Z71="POR RECOGER"),'JUNIO 2026'!F71,"")</f>
        <v/>
      </c>
      <c r="E592" s="381">
        <f>IF(AND('JUNIO 2026'!D71&lt;&gt;"",'JUNIO 2026'!Z71="POR RECOGER"),TEXT('JUNIO 2026'!G71,"DD/MM/YYYY"),"")</f>
        <v/>
      </c>
      <c r="F592" s="381">
        <f>IF(AND('JUNIO 2026'!D71&lt;&gt;"",'JUNIO 2026'!Z71="POR RECOGER"),'JUNIO 2026'!K71,"")</f>
        <v/>
      </c>
      <c r="G592" s="382">
        <f>IF(AND('JUNIO 2026'!D71&lt;&gt;"",'JUNIO 2026'!Z71="POR RECOGER"),'JUNIO 2026'!M71,"")</f>
        <v/>
      </c>
      <c r="H592" s="382">
        <f>IF(AND('JUNIO 2026'!D71&lt;&gt;"",'JUNIO 2026'!Z71="POR RECOGER"),'JUNIO 2026'!N71,"")</f>
        <v/>
      </c>
      <c r="I592" s="381">
        <f>IF(AND('JUNIO 2026'!D71&lt;&gt;"",'JUNIO 2026'!Z71="POR RECOGER"),'JUNIO 2026'!P71,"")</f>
        <v/>
      </c>
      <c r="J592" s="381">
        <f>IF(AND('JUNIO 2026'!D71&lt;&gt;"",'JUNIO 2026'!Z71="POR RECOGER"),'JUNIO 2026'!Q71,"")</f>
        <v/>
      </c>
      <c r="K592" s="381">
        <f>IF(AND('JUNIO 2026'!D71&lt;&gt;"",'JUNIO 2026'!Z71="POR RECOGER"),'JUNIO 2026'!Y71,"")</f>
        <v/>
      </c>
      <c r="L592" s="381">
        <f>IF(AND('JUNIO 2026'!D71&lt;&gt;"",'JUNIO 2026'!Z71="POR RECOGER"),'JUNIO 2026'!I71,"")</f>
        <v/>
      </c>
      <c r="P592" s="194" t="n"/>
      <c r="Q592" s="194" t="n"/>
      <c r="R592" s="194" t="n"/>
      <c r="S592" s="194" t="n"/>
      <c r="T592" s="194" t="n"/>
      <c r="U592" s="194" t="n"/>
      <c r="V592" s="194" t="n"/>
      <c r="W592" s="194" t="n"/>
      <c r="X592" s="194" t="n"/>
      <c r="Y592" s="194" t="n"/>
      <c r="Z592" s="194" t="n"/>
    </row>
    <row r="593" ht="15" customHeight="1" s="195">
      <c r="A593" s="381">
        <f>IF(AND('JUNIO 2026'!D72&lt;&gt;"",'JUNIO 2026'!Z72="POR RECOGER"),"JUN","")</f>
        <v/>
      </c>
      <c r="B593" s="381">
        <f>IF(AND('JUNIO 2026'!D72&lt;&gt;"",'JUNIO 2026'!Z72="POR RECOGER"),IF('JUNIO 2026'!Y72&lt;&gt;"",'JUNIO 2026'!Y72,'JUNIO 2026'!I72),"")</f>
        <v/>
      </c>
      <c r="C593" s="381">
        <f>IF(AND('JUNIO 2026'!D72&lt;&gt;"",'JUNIO 2026'!Z72="POR RECOGER"),'JUNIO 2026'!D72,"")</f>
        <v/>
      </c>
      <c r="D593" s="381">
        <f>IF(AND('JUNIO 2026'!D72&lt;&gt;"",'JUNIO 2026'!Z72="POR RECOGER"),'JUNIO 2026'!F72,"")</f>
        <v/>
      </c>
      <c r="E593" s="381">
        <f>IF(AND('JUNIO 2026'!D72&lt;&gt;"",'JUNIO 2026'!Z72="POR RECOGER"),TEXT('JUNIO 2026'!G72,"DD/MM/YYYY"),"")</f>
        <v/>
      </c>
      <c r="F593" s="381">
        <f>IF(AND('JUNIO 2026'!D72&lt;&gt;"",'JUNIO 2026'!Z72="POR RECOGER"),'JUNIO 2026'!K72,"")</f>
        <v/>
      </c>
      <c r="G593" s="382">
        <f>IF(AND('JUNIO 2026'!D72&lt;&gt;"",'JUNIO 2026'!Z72="POR RECOGER"),'JUNIO 2026'!M72,"")</f>
        <v/>
      </c>
      <c r="H593" s="382">
        <f>IF(AND('JUNIO 2026'!D72&lt;&gt;"",'JUNIO 2026'!Z72="POR RECOGER"),'JUNIO 2026'!N72,"")</f>
        <v/>
      </c>
      <c r="I593" s="381">
        <f>IF(AND('JUNIO 2026'!D72&lt;&gt;"",'JUNIO 2026'!Z72="POR RECOGER"),'JUNIO 2026'!P72,"")</f>
        <v/>
      </c>
      <c r="J593" s="381">
        <f>IF(AND('JUNIO 2026'!D72&lt;&gt;"",'JUNIO 2026'!Z72="POR RECOGER"),'JUNIO 2026'!Q72,"")</f>
        <v/>
      </c>
      <c r="K593" s="381">
        <f>IF(AND('JUNIO 2026'!D72&lt;&gt;"",'JUNIO 2026'!Z72="POR RECOGER"),'JUNIO 2026'!Y72,"")</f>
        <v/>
      </c>
      <c r="L593" s="381">
        <f>IF(AND('JUNIO 2026'!D72&lt;&gt;"",'JUNIO 2026'!Z72="POR RECOGER"),'JUNIO 2026'!I72,"")</f>
        <v/>
      </c>
      <c r="P593" s="194" t="n"/>
      <c r="Q593" s="194" t="n"/>
      <c r="R593" s="194" t="n"/>
      <c r="S593" s="194" t="n"/>
      <c r="T593" s="194" t="n"/>
      <c r="U593" s="194" t="n"/>
      <c r="V593" s="194" t="n"/>
      <c r="W593" s="194" t="n"/>
      <c r="X593" s="194" t="n"/>
      <c r="Y593" s="194" t="n"/>
      <c r="Z593" s="194" t="n"/>
    </row>
    <row r="594" ht="15" customHeight="1" s="195">
      <c r="A594" s="381">
        <f>IF(AND('JUNIO 2026'!D73&lt;&gt;"",'JUNIO 2026'!Z73="POR RECOGER"),"JUN","")</f>
        <v/>
      </c>
      <c r="B594" s="381">
        <f>IF(AND('JUNIO 2026'!D73&lt;&gt;"",'JUNIO 2026'!Z73="POR RECOGER"),IF('JUNIO 2026'!Y73&lt;&gt;"",'JUNIO 2026'!Y73,'JUNIO 2026'!I73),"")</f>
        <v/>
      </c>
      <c r="C594" s="381">
        <f>IF(AND('JUNIO 2026'!D73&lt;&gt;"",'JUNIO 2026'!Z73="POR RECOGER"),'JUNIO 2026'!D73,"")</f>
        <v/>
      </c>
      <c r="D594" s="381">
        <f>IF(AND('JUNIO 2026'!D73&lt;&gt;"",'JUNIO 2026'!Z73="POR RECOGER"),'JUNIO 2026'!F73,"")</f>
        <v/>
      </c>
      <c r="E594" s="381">
        <f>IF(AND('JUNIO 2026'!D73&lt;&gt;"",'JUNIO 2026'!Z73="POR RECOGER"),TEXT('JUNIO 2026'!G73,"DD/MM/YYYY"),"")</f>
        <v/>
      </c>
      <c r="F594" s="381">
        <f>IF(AND('JUNIO 2026'!D73&lt;&gt;"",'JUNIO 2026'!Z73="POR RECOGER"),'JUNIO 2026'!K73,"")</f>
        <v/>
      </c>
      <c r="G594" s="382">
        <f>IF(AND('JUNIO 2026'!D73&lt;&gt;"",'JUNIO 2026'!Z73="POR RECOGER"),'JUNIO 2026'!M73,"")</f>
        <v/>
      </c>
      <c r="H594" s="382">
        <f>IF(AND('JUNIO 2026'!D73&lt;&gt;"",'JUNIO 2026'!Z73="POR RECOGER"),'JUNIO 2026'!N73,"")</f>
        <v/>
      </c>
      <c r="I594" s="381">
        <f>IF(AND('JUNIO 2026'!D73&lt;&gt;"",'JUNIO 2026'!Z73="POR RECOGER"),'JUNIO 2026'!P73,"")</f>
        <v/>
      </c>
      <c r="J594" s="381">
        <f>IF(AND('JUNIO 2026'!D73&lt;&gt;"",'JUNIO 2026'!Z73="POR RECOGER"),'JUNIO 2026'!Q73,"")</f>
        <v/>
      </c>
      <c r="K594" s="381">
        <f>IF(AND('JUNIO 2026'!D73&lt;&gt;"",'JUNIO 2026'!Z73="POR RECOGER"),'JUNIO 2026'!Y73,"")</f>
        <v/>
      </c>
      <c r="L594" s="381">
        <f>IF(AND('JUNIO 2026'!D73&lt;&gt;"",'JUNIO 2026'!Z73="POR RECOGER"),'JUNIO 2026'!I73,"")</f>
        <v/>
      </c>
      <c r="P594" s="194" t="n"/>
      <c r="Q594" s="194" t="n"/>
      <c r="R594" s="194" t="n"/>
      <c r="S594" s="194" t="n"/>
      <c r="T594" s="194" t="n"/>
      <c r="U594" s="194" t="n"/>
      <c r="V594" s="194" t="n"/>
      <c r="W594" s="194" t="n"/>
      <c r="X594" s="194" t="n"/>
      <c r="Y594" s="194" t="n"/>
      <c r="Z594" s="194" t="n"/>
    </row>
    <row r="595" ht="15" customHeight="1" s="195">
      <c r="A595" s="381">
        <f>IF(AND('JUNIO 2026'!D74&lt;&gt;"",'JUNIO 2026'!Z74="POR RECOGER"),"JUN","")</f>
        <v/>
      </c>
      <c r="B595" s="381">
        <f>IF(AND('JUNIO 2026'!D74&lt;&gt;"",'JUNIO 2026'!Z74="POR RECOGER"),IF('JUNIO 2026'!Y74&lt;&gt;"",'JUNIO 2026'!Y74,'JUNIO 2026'!I74),"")</f>
        <v/>
      </c>
      <c r="C595" s="381">
        <f>IF(AND('JUNIO 2026'!D74&lt;&gt;"",'JUNIO 2026'!Z74="POR RECOGER"),'JUNIO 2026'!D74,"")</f>
        <v/>
      </c>
      <c r="D595" s="381">
        <f>IF(AND('JUNIO 2026'!D74&lt;&gt;"",'JUNIO 2026'!Z74="POR RECOGER"),'JUNIO 2026'!F74,"")</f>
        <v/>
      </c>
      <c r="E595" s="381">
        <f>IF(AND('JUNIO 2026'!D74&lt;&gt;"",'JUNIO 2026'!Z74="POR RECOGER"),TEXT('JUNIO 2026'!G74,"DD/MM/YYYY"),"")</f>
        <v/>
      </c>
      <c r="F595" s="381">
        <f>IF(AND('JUNIO 2026'!D74&lt;&gt;"",'JUNIO 2026'!Z74="POR RECOGER"),'JUNIO 2026'!K74,"")</f>
        <v/>
      </c>
      <c r="G595" s="382">
        <f>IF(AND('JUNIO 2026'!D74&lt;&gt;"",'JUNIO 2026'!Z74="POR RECOGER"),'JUNIO 2026'!M74,"")</f>
        <v/>
      </c>
      <c r="H595" s="382">
        <f>IF(AND('JUNIO 2026'!D74&lt;&gt;"",'JUNIO 2026'!Z74="POR RECOGER"),'JUNIO 2026'!N74,"")</f>
        <v/>
      </c>
      <c r="I595" s="381">
        <f>IF(AND('JUNIO 2026'!D74&lt;&gt;"",'JUNIO 2026'!Z74="POR RECOGER"),'JUNIO 2026'!P74,"")</f>
        <v/>
      </c>
      <c r="J595" s="381">
        <f>IF(AND('JUNIO 2026'!D74&lt;&gt;"",'JUNIO 2026'!Z74="POR RECOGER"),'JUNIO 2026'!Q74,"")</f>
        <v/>
      </c>
      <c r="K595" s="381">
        <f>IF(AND('JUNIO 2026'!D74&lt;&gt;"",'JUNIO 2026'!Z74="POR RECOGER"),'JUNIO 2026'!Y74,"")</f>
        <v/>
      </c>
      <c r="L595" s="381">
        <f>IF(AND('JUNIO 2026'!D74&lt;&gt;"",'JUNIO 2026'!Z74="POR RECOGER"),'JUNIO 2026'!I74,"")</f>
        <v/>
      </c>
      <c r="P595" s="194" t="n"/>
      <c r="Q595" s="194" t="n"/>
      <c r="R595" s="194" t="n"/>
      <c r="S595" s="194" t="n"/>
      <c r="T595" s="194" t="n"/>
      <c r="U595" s="194" t="n"/>
      <c r="V595" s="194" t="n"/>
      <c r="W595" s="194" t="n"/>
      <c r="X595" s="194" t="n"/>
      <c r="Y595" s="194" t="n"/>
      <c r="Z595" s="194" t="n"/>
    </row>
    <row r="596" ht="15" customHeight="1" s="195">
      <c r="A596" s="381">
        <f>IF(AND('JUNIO 2026'!D75&lt;&gt;"",'JUNIO 2026'!Z75="POR RECOGER"),"JUN","")</f>
        <v/>
      </c>
      <c r="B596" s="381">
        <f>IF(AND('JUNIO 2026'!D75&lt;&gt;"",'JUNIO 2026'!Z75="POR RECOGER"),IF('JUNIO 2026'!Y75&lt;&gt;"",'JUNIO 2026'!Y75,'JUNIO 2026'!I75),"")</f>
        <v/>
      </c>
      <c r="C596" s="381">
        <f>IF(AND('JUNIO 2026'!D75&lt;&gt;"",'JUNIO 2026'!Z75="POR RECOGER"),'JUNIO 2026'!D75,"")</f>
        <v/>
      </c>
      <c r="D596" s="381">
        <f>IF(AND('JUNIO 2026'!D75&lt;&gt;"",'JUNIO 2026'!Z75="POR RECOGER"),'JUNIO 2026'!F75,"")</f>
        <v/>
      </c>
      <c r="E596" s="381">
        <f>IF(AND('JUNIO 2026'!D75&lt;&gt;"",'JUNIO 2026'!Z75="POR RECOGER"),TEXT('JUNIO 2026'!G75,"DD/MM/YYYY"),"")</f>
        <v/>
      </c>
      <c r="F596" s="381">
        <f>IF(AND('JUNIO 2026'!D75&lt;&gt;"",'JUNIO 2026'!Z75="POR RECOGER"),'JUNIO 2026'!K75,"")</f>
        <v/>
      </c>
      <c r="G596" s="382">
        <f>IF(AND('JUNIO 2026'!D75&lt;&gt;"",'JUNIO 2026'!Z75="POR RECOGER"),'JUNIO 2026'!M75,"")</f>
        <v/>
      </c>
      <c r="H596" s="382">
        <f>IF(AND('JUNIO 2026'!D75&lt;&gt;"",'JUNIO 2026'!Z75="POR RECOGER"),'JUNIO 2026'!N75,"")</f>
        <v/>
      </c>
      <c r="I596" s="381">
        <f>IF(AND('JUNIO 2026'!D75&lt;&gt;"",'JUNIO 2026'!Z75="POR RECOGER"),'JUNIO 2026'!P75,"")</f>
        <v/>
      </c>
      <c r="J596" s="381">
        <f>IF(AND('JUNIO 2026'!D75&lt;&gt;"",'JUNIO 2026'!Z75="POR RECOGER"),'JUNIO 2026'!Q75,"")</f>
        <v/>
      </c>
      <c r="K596" s="381">
        <f>IF(AND('JUNIO 2026'!D75&lt;&gt;"",'JUNIO 2026'!Z75="POR RECOGER"),'JUNIO 2026'!Y75,"")</f>
        <v/>
      </c>
      <c r="L596" s="381">
        <f>IF(AND('JUNIO 2026'!D75&lt;&gt;"",'JUNIO 2026'!Z75="POR RECOGER"),'JUNIO 2026'!I75,"")</f>
        <v/>
      </c>
      <c r="P596" s="194" t="n"/>
      <c r="Q596" s="194" t="n"/>
      <c r="R596" s="194" t="n"/>
      <c r="S596" s="194" t="n"/>
      <c r="T596" s="194" t="n"/>
      <c r="U596" s="194" t="n"/>
      <c r="V596" s="194" t="n"/>
      <c r="W596" s="194" t="n"/>
      <c r="X596" s="194" t="n"/>
      <c r="Y596" s="194" t="n"/>
      <c r="Z596" s="194" t="n"/>
    </row>
    <row r="597" ht="15" customHeight="1" s="195">
      <c r="A597" s="381">
        <f>IF(AND('JUNIO 2026'!D76&lt;&gt;"",'JUNIO 2026'!Z76="POR RECOGER"),"JUN","")</f>
        <v/>
      </c>
      <c r="B597" s="381">
        <f>IF(AND('JUNIO 2026'!D76&lt;&gt;"",'JUNIO 2026'!Z76="POR RECOGER"),IF('JUNIO 2026'!Y76&lt;&gt;"",'JUNIO 2026'!Y76,'JUNIO 2026'!I76),"")</f>
        <v/>
      </c>
      <c r="C597" s="381">
        <f>IF(AND('JUNIO 2026'!D76&lt;&gt;"",'JUNIO 2026'!Z76="POR RECOGER"),'JUNIO 2026'!D76,"")</f>
        <v/>
      </c>
      <c r="D597" s="381">
        <f>IF(AND('JUNIO 2026'!D76&lt;&gt;"",'JUNIO 2026'!Z76="POR RECOGER"),'JUNIO 2026'!F76,"")</f>
        <v/>
      </c>
      <c r="E597" s="381">
        <f>IF(AND('JUNIO 2026'!D76&lt;&gt;"",'JUNIO 2026'!Z76="POR RECOGER"),TEXT('JUNIO 2026'!G76,"DD/MM/YYYY"),"")</f>
        <v/>
      </c>
      <c r="F597" s="381">
        <f>IF(AND('JUNIO 2026'!D76&lt;&gt;"",'JUNIO 2026'!Z76="POR RECOGER"),'JUNIO 2026'!K76,"")</f>
        <v/>
      </c>
      <c r="G597" s="382">
        <f>IF(AND('JUNIO 2026'!D76&lt;&gt;"",'JUNIO 2026'!Z76="POR RECOGER"),'JUNIO 2026'!M76,"")</f>
        <v/>
      </c>
      <c r="H597" s="382">
        <f>IF(AND('JUNIO 2026'!D76&lt;&gt;"",'JUNIO 2026'!Z76="POR RECOGER"),'JUNIO 2026'!N76,"")</f>
        <v/>
      </c>
      <c r="I597" s="381">
        <f>IF(AND('JUNIO 2026'!D76&lt;&gt;"",'JUNIO 2026'!Z76="POR RECOGER"),'JUNIO 2026'!P76,"")</f>
        <v/>
      </c>
      <c r="J597" s="381">
        <f>IF(AND('JUNIO 2026'!D76&lt;&gt;"",'JUNIO 2026'!Z76="POR RECOGER"),'JUNIO 2026'!Q76,"")</f>
        <v/>
      </c>
      <c r="K597" s="381">
        <f>IF(AND('JUNIO 2026'!D76&lt;&gt;"",'JUNIO 2026'!Z76="POR RECOGER"),'JUNIO 2026'!Y76,"")</f>
        <v/>
      </c>
      <c r="L597" s="381">
        <f>IF(AND('JUNIO 2026'!D76&lt;&gt;"",'JUNIO 2026'!Z76="POR RECOGER"),'JUNIO 2026'!I76,"")</f>
        <v/>
      </c>
      <c r="P597" s="194" t="n"/>
      <c r="Q597" s="194" t="n"/>
      <c r="R597" s="194" t="n"/>
      <c r="S597" s="194" t="n"/>
      <c r="T597" s="194" t="n"/>
      <c r="U597" s="194" t="n"/>
      <c r="V597" s="194" t="n"/>
      <c r="W597" s="194" t="n"/>
      <c r="X597" s="194" t="n"/>
      <c r="Y597" s="194" t="n"/>
      <c r="Z597" s="194" t="n"/>
    </row>
    <row r="598" ht="15" customHeight="1" s="195">
      <c r="A598" s="381">
        <f>IF(AND('JUNIO 2026'!D77&lt;&gt;"",'JUNIO 2026'!Z77="POR RECOGER"),"JUN","")</f>
        <v/>
      </c>
      <c r="B598" s="381">
        <f>IF(AND('JUNIO 2026'!D77&lt;&gt;"",'JUNIO 2026'!Z77="POR RECOGER"),IF('JUNIO 2026'!Y77&lt;&gt;"",'JUNIO 2026'!Y77,'JUNIO 2026'!I77),"")</f>
        <v/>
      </c>
      <c r="C598" s="381">
        <f>IF(AND('JUNIO 2026'!D77&lt;&gt;"",'JUNIO 2026'!Z77="POR RECOGER"),'JUNIO 2026'!D77,"")</f>
        <v/>
      </c>
      <c r="D598" s="381">
        <f>IF(AND('JUNIO 2026'!D77&lt;&gt;"",'JUNIO 2026'!Z77="POR RECOGER"),'JUNIO 2026'!F77,"")</f>
        <v/>
      </c>
      <c r="E598" s="381">
        <f>IF(AND('JUNIO 2026'!D77&lt;&gt;"",'JUNIO 2026'!Z77="POR RECOGER"),TEXT('JUNIO 2026'!G77,"DD/MM/YYYY"),"")</f>
        <v/>
      </c>
      <c r="F598" s="381">
        <f>IF(AND('JUNIO 2026'!D77&lt;&gt;"",'JUNIO 2026'!Z77="POR RECOGER"),'JUNIO 2026'!K77,"")</f>
        <v/>
      </c>
      <c r="G598" s="382">
        <f>IF(AND('JUNIO 2026'!D77&lt;&gt;"",'JUNIO 2026'!Z77="POR RECOGER"),'JUNIO 2026'!M77,"")</f>
        <v/>
      </c>
      <c r="H598" s="382">
        <f>IF(AND('JUNIO 2026'!D77&lt;&gt;"",'JUNIO 2026'!Z77="POR RECOGER"),'JUNIO 2026'!N77,"")</f>
        <v/>
      </c>
      <c r="I598" s="381">
        <f>IF(AND('JUNIO 2026'!D77&lt;&gt;"",'JUNIO 2026'!Z77="POR RECOGER"),'JUNIO 2026'!P77,"")</f>
        <v/>
      </c>
      <c r="J598" s="381">
        <f>IF(AND('JUNIO 2026'!D77&lt;&gt;"",'JUNIO 2026'!Z77="POR RECOGER"),'JUNIO 2026'!Q77,"")</f>
        <v/>
      </c>
      <c r="K598" s="381">
        <f>IF(AND('JUNIO 2026'!D77&lt;&gt;"",'JUNIO 2026'!Z77="POR RECOGER"),'JUNIO 2026'!Y77,"")</f>
        <v/>
      </c>
      <c r="L598" s="381">
        <f>IF(AND('JUNIO 2026'!D77&lt;&gt;"",'JUNIO 2026'!Z77="POR RECOGER"),'JUNIO 2026'!I77,"")</f>
        <v/>
      </c>
      <c r="P598" s="194" t="n"/>
      <c r="Q598" s="194" t="n"/>
      <c r="R598" s="194" t="n"/>
      <c r="S598" s="194" t="n"/>
      <c r="T598" s="194" t="n"/>
      <c r="U598" s="194" t="n"/>
      <c r="V598" s="194" t="n"/>
      <c r="W598" s="194" t="n"/>
      <c r="X598" s="194" t="n"/>
      <c r="Y598" s="194" t="n"/>
      <c r="Z598" s="194" t="n"/>
    </row>
    <row r="599" ht="15" customHeight="1" s="195">
      <c r="A599" s="381">
        <f>IF(AND('JUNIO 2026'!D78&lt;&gt;"",'JUNIO 2026'!Z78="POR RECOGER"),"JUN","")</f>
        <v/>
      </c>
      <c r="B599" s="381">
        <f>IF(AND('JUNIO 2026'!D78&lt;&gt;"",'JUNIO 2026'!Z78="POR RECOGER"),IF('JUNIO 2026'!Y78&lt;&gt;"",'JUNIO 2026'!Y78,'JUNIO 2026'!I78),"")</f>
        <v/>
      </c>
      <c r="C599" s="381">
        <f>IF(AND('JUNIO 2026'!D78&lt;&gt;"",'JUNIO 2026'!Z78="POR RECOGER"),'JUNIO 2026'!D78,"")</f>
        <v/>
      </c>
      <c r="D599" s="381">
        <f>IF(AND('JUNIO 2026'!D78&lt;&gt;"",'JUNIO 2026'!Z78="POR RECOGER"),'JUNIO 2026'!F78,"")</f>
        <v/>
      </c>
      <c r="E599" s="381">
        <f>IF(AND('JUNIO 2026'!D78&lt;&gt;"",'JUNIO 2026'!Z78="POR RECOGER"),TEXT('JUNIO 2026'!G78,"DD/MM/YYYY"),"")</f>
        <v/>
      </c>
      <c r="F599" s="381">
        <f>IF(AND('JUNIO 2026'!D78&lt;&gt;"",'JUNIO 2026'!Z78="POR RECOGER"),'JUNIO 2026'!K78,"")</f>
        <v/>
      </c>
      <c r="G599" s="382">
        <f>IF(AND('JUNIO 2026'!D78&lt;&gt;"",'JUNIO 2026'!Z78="POR RECOGER"),'JUNIO 2026'!M78,"")</f>
        <v/>
      </c>
      <c r="H599" s="382">
        <f>IF(AND('JUNIO 2026'!D78&lt;&gt;"",'JUNIO 2026'!Z78="POR RECOGER"),'JUNIO 2026'!N78,"")</f>
        <v/>
      </c>
      <c r="I599" s="381">
        <f>IF(AND('JUNIO 2026'!D78&lt;&gt;"",'JUNIO 2026'!Z78="POR RECOGER"),'JUNIO 2026'!P78,"")</f>
        <v/>
      </c>
      <c r="J599" s="381">
        <f>IF(AND('JUNIO 2026'!D78&lt;&gt;"",'JUNIO 2026'!Z78="POR RECOGER"),'JUNIO 2026'!Q78,"")</f>
        <v/>
      </c>
      <c r="K599" s="381">
        <f>IF(AND('JUNIO 2026'!D78&lt;&gt;"",'JUNIO 2026'!Z78="POR RECOGER"),'JUNIO 2026'!Y78,"")</f>
        <v/>
      </c>
      <c r="L599" s="381">
        <f>IF(AND('JUNIO 2026'!D78&lt;&gt;"",'JUNIO 2026'!Z78="POR RECOGER"),'JUNIO 2026'!I78,"")</f>
        <v/>
      </c>
      <c r="P599" s="194" t="n"/>
      <c r="Q599" s="194" t="n"/>
      <c r="R599" s="194" t="n"/>
      <c r="S599" s="194" t="n"/>
      <c r="T599" s="194" t="n"/>
      <c r="U599" s="194" t="n"/>
      <c r="V599" s="194" t="n"/>
      <c r="W599" s="194" t="n"/>
      <c r="X599" s="194" t="n"/>
      <c r="Y599" s="194" t="n"/>
      <c r="Z599" s="194" t="n"/>
    </row>
    <row r="600" ht="15" customHeight="1" s="195">
      <c r="A600" s="381">
        <f>IF(AND('JUNIO 2026'!D79&lt;&gt;"",'JUNIO 2026'!Z79="POR RECOGER"),"JUN","")</f>
        <v/>
      </c>
      <c r="B600" s="381">
        <f>IF(AND('JUNIO 2026'!D79&lt;&gt;"",'JUNIO 2026'!Z79="POR RECOGER"),IF('JUNIO 2026'!Y79&lt;&gt;"",'JUNIO 2026'!Y79,'JUNIO 2026'!I79),"")</f>
        <v/>
      </c>
      <c r="C600" s="381">
        <f>IF(AND('JUNIO 2026'!D79&lt;&gt;"",'JUNIO 2026'!Z79="POR RECOGER"),'JUNIO 2026'!D79,"")</f>
        <v/>
      </c>
      <c r="D600" s="381">
        <f>IF(AND('JUNIO 2026'!D79&lt;&gt;"",'JUNIO 2026'!Z79="POR RECOGER"),'JUNIO 2026'!F79,"")</f>
        <v/>
      </c>
      <c r="E600" s="381">
        <f>IF(AND('JUNIO 2026'!D79&lt;&gt;"",'JUNIO 2026'!Z79="POR RECOGER"),TEXT('JUNIO 2026'!G79,"DD/MM/YYYY"),"")</f>
        <v/>
      </c>
      <c r="F600" s="381">
        <f>IF(AND('JUNIO 2026'!D79&lt;&gt;"",'JUNIO 2026'!Z79="POR RECOGER"),'JUNIO 2026'!K79,"")</f>
        <v/>
      </c>
      <c r="G600" s="382">
        <f>IF(AND('JUNIO 2026'!D79&lt;&gt;"",'JUNIO 2026'!Z79="POR RECOGER"),'JUNIO 2026'!M79,"")</f>
        <v/>
      </c>
      <c r="H600" s="382">
        <f>IF(AND('JUNIO 2026'!D79&lt;&gt;"",'JUNIO 2026'!Z79="POR RECOGER"),'JUNIO 2026'!N79,"")</f>
        <v/>
      </c>
      <c r="I600" s="381">
        <f>IF(AND('JUNIO 2026'!D79&lt;&gt;"",'JUNIO 2026'!Z79="POR RECOGER"),'JUNIO 2026'!P79,"")</f>
        <v/>
      </c>
      <c r="J600" s="381">
        <f>IF(AND('JUNIO 2026'!D79&lt;&gt;"",'JUNIO 2026'!Z79="POR RECOGER"),'JUNIO 2026'!Q79,"")</f>
        <v/>
      </c>
      <c r="K600" s="381">
        <f>IF(AND('JUNIO 2026'!D79&lt;&gt;"",'JUNIO 2026'!Z79="POR RECOGER"),'JUNIO 2026'!Y79,"")</f>
        <v/>
      </c>
      <c r="L600" s="381">
        <f>IF(AND('JUNIO 2026'!D79&lt;&gt;"",'JUNIO 2026'!Z79="POR RECOGER"),'JUNIO 2026'!I79,"")</f>
        <v/>
      </c>
      <c r="P600" s="194" t="n"/>
      <c r="Q600" s="194" t="n"/>
      <c r="R600" s="194" t="n"/>
      <c r="S600" s="194" t="n"/>
      <c r="T600" s="194" t="n"/>
      <c r="U600" s="194" t="n"/>
      <c r="V600" s="194" t="n"/>
      <c r="W600" s="194" t="n"/>
      <c r="X600" s="194" t="n"/>
      <c r="Y600" s="194" t="n"/>
      <c r="Z600" s="194" t="n"/>
    </row>
    <row r="601" ht="15" customHeight="1" s="195">
      <c r="A601" s="381">
        <f>IF(AND('JUNIO 2026'!D80&lt;&gt;"",'JUNIO 2026'!Z80="POR RECOGER"),"JUN","")</f>
        <v/>
      </c>
      <c r="B601" s="381">
        <f>IF(AND('JUNIO 2026'!D80&lt;&gt;"",'JUNIO 2026'!Z80="POR RECOGER"),IF('JUNIO 2026'!Y80&lt;&gt;"",'JUNIO 2026'!Y80,'JUNIO 2026'!I80),"")</f>
        <v/>
      </c>
      <c r="C601" s="381">
        <f>IF(AND('JUNIO 2026'!D80&lt;&gt;"",'JUNIO 2026'!Z80="POR RECOGER"),'JUNIO 2026'!D80,"")</f>
        <v/>
      </c>
      <c r="D601" s="381">
        <f>IF(AND('JUNIO 2026'!D80&lt;&gt;"",'JUNIO 2026'!Z80="POR RECOGER"),'JUNIO 2026'!F80,"")</f>
        <v/>
      </c>
      <c r="E601" s="381">
        <f>IF(AND('JUNIO 2026'!D80&lt;&gt;"",'JUNIO 2026'!Z80="POR RECOGER"),TEXT('JUNIO 2026'!G80,"DD/MM/YYYY"),"")</f>
        <v/>
      </c>
      <c r="F601" s="381">
        <f>IF(AND('JUNIO 2026'!D80&lt;&gt;"",'JUNIO 2026'!Z80="POR RECOGER"),'JUNIO 2026'!K80,"")</f>
        <v/>
      </c>
      <c r="G601" s="382">
        <f>IF(AND('JUNIO 2026'!D80&lt;&gt;"",'JUNIO 2026'!Z80="POR RECOGER"),'JUNIO 2026'!M80,"")</f>
        <v/>
      </c>
      <c r="H601" s="382">
        <f>IF(AND('JUNIO 2026'!D80&lt;&gt;"",'JUNIO 2026'!Z80="POR RECOGER"),'JUNIO 2026'!N80,"")</f>
        <v/>
      </c>
      <c r="I601" s="381">
        <f>IF(AND('JUNIO 2026'!D80&lt;&gt;"",'JUNIO 2026'!Z80="POR RECOGER"),'JUNIO 2026'!P80,"")</f>
        <v/>
      </c>
      <c r="J601" s="381">
        <f>IF(AND('JUNIO 2026'!D80&lt;&gt;"",'JUNIO 2026'!Z80="POR RECOGER"),'JUNIO 2026'!Q80,"")</f>
        <v/>
      </c>
      <c r="K601" s="381">
        <f>IF(AND('JUNIO 2026'!D80&lt;&gt;"",'JUNIO 2026'!Z80="POR RECOGER"),'JUNIO 2026'!Y80,"")</f>
        <v/>
      </c>
      <c r="L601" s="381">
        <f>IF(AND('JUNIO 2026'!D80&lt;&gt;"",'JUNIO 2026'!Z80="POR RECOGER"),'JUNIO 2026'!I80,"")</f>
        <v/>
      </c>
      <c r="P601" s="194" t="n"/>
      <c r="Q601" s="194" t="n"/>
      <c r="R601" s="194" t="n"/>
      <c r="S601" s="194" t="n"/>
      <c r="T601" s="194" t="n"/>
      <c r="U601" s="194" t="n"/>
      <c r="V601" s="194" t="n"/>
      <c r="W601" s="194" t="n"/>
      <c r="X601" s="194" t="n"/>
      <c r="Y601" s="194" t="n"/>
      <c r="Z601" s="194" t="n"/>
    </row>
    <row r="602" ht="15" customHeight="1" s="195">
      <c r="A602" s="381">
        <f>IF(AND('JUNIO 2026'!D81&lt;&gt;"",'JUNIO 2026'!Z81="POR RECOGER"),"JUN","")</f>
        <v/>
      </c>
      <c r="B602" s="381">
        <f>IF(AND('JUNIO 2026'!D81&lt;&gt;"",'JUNIO 2026'!Z81="POR RECOGER"),IF('JUNIO 2026'!Y81&lt;&gt;"",'JUNIO 2026'!Y81,'JUNIO 2026'!I81),"")</f>
        <v/>
      </c>
      <c r="C602" s="381">
        <f>IF(AND('JUNIO 2026'!D81&lt;&gt;"",'JUNIO 2026'!Z81="POR RECOGER"),'JUNIO 2026'!D81,"")</f>
        <v/>
      </c>
      <c r="D602" s="381">
        <f>IF(AND('JUNIO 2026'!D81&lt;&gt;"",'JUNIO 2026'!Z81="POR RECOGER"),'JUNIO 2026'!F81,"")</f>
        <v/>
      </c>
      <c r="E602" s="381">
        <f>IF(AND('JUNIO 2026'!D81&lt;&gt;"",'JUNIO 2026'!Z81="POR RECOGER"),TEXT('JUNIO 2026'!G81,"DD/MM/YYYY"),"")</f>
        <v/>
      </c>
      <c r="F602" s="381">
        <f>IF(AND('JUNIO 2026'!D81&lt;&gt;"",'JUNIO 2026'!Z81="POR RECOGER"),'JUNIO 2026'!K81,"")</f>
        <v/>
      </c>
      <c r="G602" s="382">
        <f>IF(AND('JUNIO 2026'!D81&lt;&gt;"",'JUNIO 2026'!Z81="POR RECOGER"),'JUNIO 2026'!M81,"")</f>
        <v/>
      </c>
      <c r="H602" s="382">
        <f>IF(AND('JUNIO 2026'!D81&lt;&gt;"",'JUNIO 2026'!Z81="POR RECOGER"),'JUNIO 2026'!N81,"")</f>
        <v/>
      </c>
      <c r="I602" s="381">
        <f>IF(AND('JUNIO 2026'!D81&lt;&gt;"",'JUNIO 2026'!Z81="POR RECOGER"),'JUNIO 2026'!P81,"")</f>
        <v/>
      </c>
      <c r="J602" s="381">
        <f>IF(AND('JUNIO 2026'!D81&lt;&gt;"",'JUNIO 2026'!Z81="POR RECOGER"),'JUNIO 2026'!Q81,"")</f>
        <v/>
      </c>
      <c r="K602" s="381">
        <f>IF(AND('JUNIO 2026'!D81&lt;&gt;"",'JUNIO 2026'!Z81="POR RECOGER"),'JUNIO 2026'!Y81,"")</f>
        <v/>
      </c>
      <c r="L602" s="381">
        <f>IF(AND('JUNIO 2026'!D81&lt;&gt;"",'JUNIO 2026'!Z81="POR RECOGER"),'JUNIO 2026'!I81,"")</f>
        <v/>
      </c>
      <c r="P602" s="194" t="n"/>
      <c r="Q602" s="194" t="n"/>
      <c r="R602" s="194" t="n"/>
      <c r="S602" s="194" t="n"/>
      <c r="T602" s="194" t="n"/>
      <c r="U602" s="194" t="n"/>
      <c r="V602" s="194" t="n"/>
      <c r="W602" s="194" t="n"/>
      <c r="X602" s="194" t="n"/>
      <c r="Y602" s="194" t="n"/>
      <c r="Z602" s="194" t="n"/>
    </row>
    <row r="603" ht="15" customHeight="1" s="195">
      <c r="A603" s="381">
        <f>IF(AND('JUNIO 2026'!D82&lt;&gt;"",'JUNIO 2026'!Z82="POR RECOGER"),"JUN","")</f>
        <v/>
      </c>
      <c r="B603" s="381">
        <f>IF(AND('JUNIO 2026'!D82&lt;&gt;"",'JUNIO 2026'!Z82="POR RECOGER"),IF('JUNIO 2026'!Y82&lt;&gt;"",'JUNIO 2026'!Y82,'JUNIO 2026'!I82),"")</f>
        <v/>
      </c>
      <c r="C603" s="381">
        <f>IF(AND('JUNIO 2026'!D82&lt;&gt;"",'JUNIO 2026'!Z82="POR RECOGER"),'JUNIO 2026'!D82,"")</f>
        <v/>
      </c>
      <c r="D603" s="381">
        <f>IF(AND('JUNIO 2026'!D82&lt;&gt;"",'JUNIO 2026'!Z82="POR RECOGER"),'JUNIO 2026'!F82,"")</f>
        <v/>
      </c>
      <c r="E603" s="381">
        <f>IF(AND('JUNIO 2026'!D82&lt;&gt;"",'JUNIO 2026'!Z82="POR RECOGER"),TEXT('JUNIO 2026'!G82,"DD/MM/YYYY"),"")</f>
        <v/>
      </c>
      <c r="F603" s="381">
        <f>IF(AND('JUNIO 2026'!D82&lt;&gt;"",'JUNIO 2026'!Z82="POR RECOGER"),'JUNIO 2026'!K82,"")</f>
        <v/>
      </c>
      <c r="G603" s="382">
        <f>IF(AND('JUNIO 2026'!D82&lt;&gt;"",'JUNIO 2026'!Z82="POR RECOGER"),'JUNIO 2026'!M82,"")</f>
        <v/>
      </c>
      <c r="H603" s="382">
        <f>IF(AND('JUNIO 2026'!D82&lt;&gt;"",'JUNIO 2026'!Z82="POR RECOGER"),'JUNIO 2026'!N82,"")</f>
        <v/>
      </c>
      <c r="I603" s="381">
        <f>IF(AND('JUNIO 2026'!D82&lt;&gt;"",'JUNIO 2026'!Z82="POR RECOGER"),'JUNIO 2026'!P82,"")</f>
        <v/>
      </c>
      <c r="J603" s="381">
        <f>IF(AND('JUNIO 2026'!D82&lt;&gt;"",'JUNIO 2026'!Z82="POR RECOGER"),'JUNIO 2026'!Q82,"")</f>
        <v/>
      </c>
      <c r="K603" s="381">
        <f>IF(AND('JUNIO 2026'!D82&lt;&gt;"",'JUNIO 2026'!Z82="POR RECOGER"),'JUNIO 2026'!Y82,"")</f>
        <v/>
      </c>
      <c r="L603" s="381">
        <f>IF(AND('JUNIO 2026'!D82&lt;&gt;"",'JUNIO 2026'!Z82="POR RECOGER"),'JUNIO 2026'!I82,"")</f>
        <v/>
      </c>
      <c r="P603" s="194" t="n"/>
      <c r="Q603" s="194" t="n"/>
      <c r="R603" s="194" t="n"/>
      <c r="S603" s="194" t="n"/>
      <c r="T603" s="194" t="n"/>
      <c r="U603" s="194" t="n"/>
      <c r="V603" s="194" t="n"/>
      <c r="W603" s="194" t="n"/>
      <c r="X603" s="194" t="n"/>
      <c r="Y603" s="194" t="n"/>
      <c r="Z603" s="194" t="n"/>
    </row>
    <row r="604" ht="15" customHeight="1" s="195">
      <c r="A604" s="381">
        <f>IF(AND('JUNIO 2026'!D83&lt;&gt;"",'JUNIO 2026'!Z83="POR RECOGER"),"JUN","")</f>
        <v/>
      </c>
      <c r="B604" s="381">
        <f>IF(AND('JUNIO 2026'!D83&lt;&gt;"",'JUNIO 2026'!Z83="POR RECOGER"),IF('JUNIO 2026'!Y83&lt;&gt;"",'JUNIO 2026'!Y83,'JUNIO 2026'!I83),"")</f>
        <v/>
      </c>
      <c r="C604" s="381">
        <f>IF(AND('JUNIO 2026'!D83&lt;&gt;"",'JUNIO 2026'!Z83="POR RECOGER"),'JUNIO 2026'!D83,"")</f>
        <v/>
      </c>
      <c r="D604" s="381">
        <f>IF(AND('JUNIO 2026'!D83&lt;&gt;"",'JUNIO 2026'!Z83="POR RECOGER"),'JUNIO 2026'!F83,"")</f>
        <v/>
      </c>
      <c r="E604" s="381">
        <f>IF(AND('JUNIO 2026'!D83&lt;&gt;"",'JUNIO 2026'!Z83="POR RECOGER"),TEXT('JUNIO 2026'!G83,"DD/MM/YYYY"),"")</f>
        <v/>
      </c>
      <c r="F604" s="381">
        <f>IF(AND('JUNIO 2026'!D83&lt;&gt;"",'JUNIO 2026'!Z83="POR RECOGER"),'JUNIO 2026'!K83,"")</f>
        <v/>
      </c>
      <c r="G604" s="382">
        <f>IF(AND('JUNIO 2026'!D83&lt;&gt;"",'JUNIO 2026'!Z83="POR RECOGER"),'JUNIO 2026'!M83,"")</f>
        <v/>
      </c>
      <c r="H604" s="382">
        <f>IF(AND('JUNIO 2026'!D83&lt;&gt;"",'JUNIO 2026'!Z83="POR RECOGER"),'JUNIO 2026'!N83,"")</f>
        <v/>
      </c>
      <c r="I604" s="381">
        <f>IF(AND('JUNIO 2026'!D83&lt;&gt;"",'JUNIO 2026'!Z83="POR RECOGER"),'JUNIO 2026'!P83,"")</f>
        <v/>
      </c>
      <c r="J604" s="381">
        <f>IF(AND('JUNIO 2026'!D83&lt;&gt;"",'JUNIO 2026'!Z83="POR RECOGER"),'JUNIO 2026'!Q83,"")</f>
        <v/>
      </c>
      <c r="K604" s="381">
        <f>IF(AND('JUNIO 2026'!D83&lt;&gt;"",'JUNIO 2026'!Z83="POR RECOGER"),'JUNIO 2026'!Y83,"")</f>
        <v/>
      </c>
      <c r="L604" s="381">
        <f>IF(AND('JUNIO 2026'!D83&lt;&gt;"",'JUNIO 2026'!Z83="POR RECOGER"),'JUNIO 2026'!I83,"")</f>
        <v/>
      </c>
      <c r="P604" s="194" t="n"/>
      <c r="Q604" s="194" t="n"/>
      <c r="R604" s="194" t="n"/>
      <c r="S604" s="194" t="n"/>
      <c r="T604" s="194" t="n"/>
      <c r="U604" s="194" t="n"/>
      <c r="V604" s="194" t="n"/>
      <c r="W604" s="194" t="n"/>
      <c r="X604" s="194" t="n"/>
      <c r="Y604" s="194" t="n"/>
      <c r="Z604" s="194" t="n"/>
    </row>
    <row r="605" ht="15" customHeight="1" s="195">
      <c r="A605" s="381">
        <f>IF(AND('JUNIO 2026'!D84&lt;&gt;"",'JUNIO 2026'!Z84="POR RECOGER"),"JUN","")</f>
        <v/>
      </c>
      <c r="B605" s="381">
        <f>IF(AND('JUNIO 2026'!D84&lt;&gt;"",'JUNIO 2026'!Z84="POR RECOGER"),IF('JUNIO 2026'!Y84&lt;&gt;"",'JUNIO 2026'!Y84,'JUNIO 2026'!I84),"")</f>
        <v/>
      </c>
      <c r="C605" s="381">
        <f>IF(AND('JUNIO 2026'!D84&lt;&gt;"",'JUNIO 2026'!Z84="POR RECOGER"),'JUNIO 2026'!D84,"")</f>
        <v/>
      </c>
      <c r="D605" s="381">
        <f>IF(AND('JUNIO 2026'!D84&lt;&gt;"",'JUNIO 2026'!Z84="POR RECOGER"),'JUNIO 2026'!F84,"")</f>
        <v/>
      </c>
      <c r="E605" s="381">
        <f>IF(AND('JUNIO 2026'!D84&lt;&gt;"",'JUNIO 2026'!Z84="POR RECOGER"),TEXT('JUNIO 2026'!G84,"DD/MM/YYYY"),"")</f>
        <v/>
      </c>
      <c r="F605" s="381">
        <f>IF(AND('JUNIO 2026'!D84&lt;&gt;"",'JUNIO 2026'!Z84="POR RECOGER"),'JUNIO 2026'!K84,"")</f>
        <v/>
      </c>
      <c r="G605" s="382">
        <f>IF(AND('JUNIO 2026'!D84&lt;&gt;"",'JUNIO 2026'!Z84="POR RECOGER"),'JUNIO 2026'!M84,"")</f>
        <v/>
      </c>
      <c r="H605" s="382">
        <f>IF(AND('JUNIO 2026'!D84&lt;&gt;"",'JUNIO 2026'!Z84="POR RECOGER"),'JUNIO 2026'!N84,"")</f>
        <v/>
      </c>
      <c r="I605" s="381">
        <f>IF(AND('JUNIO 2026'!D84&lt;&gt;"",'JUNIO 2026'!Z84="POR RECOGER"),'JUNIO 2026'!P84,"")</f>
        <v/>
      </c>
      <c r="J605" s="381">
        <f>IF(AND('JUNIO 2026'!D84&lt;&gt;"",'JUNIO 2026'!Z84="POR RECOGER"),'JUNIO 2026'!Q84,"")</f>
        <v/>
      </c>
      <c r="K605" s="381">
        <f>IF(AND('JUNIO 2026'!D84&lt;&gt;"",'JUNIO 2026'!Z84="POR RECOGER"),'JUNIO 2026'!Y84,"")</f>
        <v/>
      </c>
      <c r="L605" s="381">
        <f>IF(AND('JUNIO 2026'!D84&lt;&gt;"",'JUNIO 2026'!Z84="POR RECOGER"),'JUNIO 2026'!I84,"")</f>
        <v/>
      </c>
      <c r="P605" s="194" t="n"/>
      <c r="Q605" s="194" t="n"/>
      <c r="R605" s="194" t="n"/>
      <c r="S605" s="194" t="n"/>
      <c r="T605" s="194" t="n"/>
      <c r="U605" s="194" t="n"/>
      <c r="V605" s="194" t="n"/>
      <c r="W605" s="194" t="n"/>
      <c r="X605" s="194" t="n"/>
      <c r="Y605" s="194" t="n"/>
      <c r="Z605" s="194" t="n"/>
    </row>
    <row r="606" ht="15" customHeight="1" s="195">
      <c r="A606" s="381">
        <f>IF(AND('JUNIO 2026'!D85&lt;&gt;"",'JUNIO 2026'!Z85="POR RECOGER"),"JUN","")</f>
        <v/>
      </c>
      <c r="B606" s="381">
        <f>IF(AND('JUNIO 2026'!D85&lt;&gt;"",'JUNIO 2026'!Z85="POR RECOGER"),IF('JUNIO 2026'!Y85&lt;&gt;"",'JUNIO 2026'!Y85,'JUNIO 2026'!I85),"")</f>
        <v/>
      </c>
      <c r="C606" s="381">
        <f>IF(AND('JUNIO 2026'!D85&lt;&gt;"",'JUNIO 2026'!Z85="POR RECOGER"),'JUNIO 2026'!D85,"")</f>
        <v/>
      </c>
      <c r="D606" s="381">
        <f>IF(AND('JUNIO 2026'!D85&lt;&gt;"",'JUNIO 2026'!Z85="POR RECOGER"),'JUNIO 2026'!F85,"")</f>
        <v/>
      </c>
      <c r="E606" s="381">
        <f>IF(AND('JUNIO 2026'!D85&lt;&gt;"",'JUNIO 2026'!Z85="POR RECOGER"),TEXT('JUNIO 2026'!G85,"DD/MM/YYYY"),"")</f>
        <v/>
      </c>
      <c r="F606" s="381">
        <f>IF(AND('JUNIO 2026'!D85&lt;&gt;"",'JUNIO 2026'!Z85="POR RECOGER"),'JUNIO 2026'!K85,"")</f>
        <v/>
      </c>
      <c r="G606" s="382">
        <f>IF(AND('JUNIO 2026'!D85&lt;&gt;"",'JUNIO 2026'!Z85="POR RECOGER"),'JUNIO 2026'!M85,"")</f>
        <v/>
      </c>
      <c r="H606" s="382">
        <f>IF(AND('JUNIO 2026'!D85&lt;&gt;"",'JUNIO 2026'!Z85="POR RECOGER"),'JUNIO 2026'!N85,"")</f>
        <v/>
      </c>
      <c r="I606" s="381">
        <f>IF(AND('JUNIO 2026'!D85&lt;&gt;"",'JUNIO 2026'!Z85="POR RECOGER"),'JUNIO 2026'!P85,"")</f>
        <v/>
      </c>
      <c r="J606" s="381">
        <f>IF(AND('JUNIO 2026'!D85&lt;&gt;"",'JUNIO 2026'!Z85="POR RECOGER"),'JUNIO 2026'!Q85,"")</f>
        <v/>
      </c>
      <c r="K606" s="381">
        <f>IF(AND('JUNIO 2026'!D85&lt;&gt;"",'JUNIO 2026'!Z85="POR RECOGER"),'JUNIO 2026'!Y85,"")</f>
        <v/>
      </c>
      <c r="L606" s="381">
        <f>IF(AND('JUNIO 2026'!D85&lt;&gt;"",'JUNIO 2026'!Z85="POR RECOGER"),'JUNIO 2026'!I85,"")</f>
        <v/>
      </c>
      <c r="P606" s="194" t="n"/>
      <c r="Q606" s="194" t="n"/>
      <c r="R606" s="194" t="n"/>
      <c r="S606" s="194" t="n"/>
      <c r="T606" s="194" t="n"/>
      <c r="U606" s="194" t="n"/>
      <c r="V606" s="194" t="n"/>
      <c r="W606" s="194" t="n"/>
      <c r="X606" s="194" t="n"/>
      <c r="Y606" s="194" t="n"/>
      <c r="Z606" s="194" t="n"/>
    </row>
    <row r="607" ht="15" customHeight="1" s="195">
      <c r="A607" s="381">
        <f>IF(AND('JUNIO 2026'!D86&lt;&gt;"",'JUNIO 2026'!Z86="POR RECOGER"),"JUN","")</f>
        <v/>
      </c>
      <c r="B607" s="381">
        <f>IF(AND('JUNIO 2026'!D86&lt;&gt;"",'JUNIO 2026'!Z86="POR RECOGER"),IF('JUNIO 2026'!Y86&lt;&gt;"",'JUNIO 2026'!Y86,'JUNIO 2026'!I86),"")</f>
        <v/>
      </c>
      <c r="C607" s="381">
        <f>IF(AND('JUNIO 2026'!D86&lt;&gt;"",'JUNIO 2026'!Z86="POR RECOGER"),'JUNIO 2026'!D86,"")</f>
        <v/>
      </c>
      <c r="D607" s="381">
        <f>IF(AND('JUNIO 2026'!D86&lt;&gt;"",'JUNIO 2026'!Z86="POR RECOGER"),'JUNIO 2026'!F86,"")</f>
        <v/>
      </c>
      <c r="E607" s="381">
        <f>IF(AND('JUNIO 2026'!D86&lt;&gt;"",'JUNIO 2026'!Z86="POR RECOGER"),TEXT('JUNIO 2026'!G86,"DD/MM/YYYY"),"")</f>
        <v/>
      </c>
      <c r="F607" s="381">
        <f>IF(AND('JUNIO 2026'!D86&lt;&gt;"",'JUNIO 2026'!Z86="POR RECOGER"),'JUNIO 2026'!K86,"")</f>
        <v/>
      </c>
      <c r="G607" s="382">
        <f>IF(AND('JUNIO 2026'!D86&lt;&gt;"",'JUNIO 2026'!Z86="POR RECOGER"),'JUNIO 2026'!M86,"")</f>
        <v/>
      </c>
      <c r="H607" s="382">
        <f>IF(AND('JUNIO 2026'!D86&lt;&gt;"",'JUNIO 2026'!Z86="POR RECOGER"),'JUNIO 2026'!N86,"")</f>
        <v/>
      </c>
      <c r="I607" s="381">
        <f>IF(AND('JUNIO 2026'!D86&lt;&gt;"",'JUNIO 2026'!Z86="POR RECOGER"),'JUNIO 2026'!P86,"")</f>
        <v/>
      </c>
      <c r="J607" s="381">
        <f>IF(AND('JUNIO 2026'!D86&lt;&gt;"",'JUNIO 2026'!Z86="POR RECOGER"),'JUNIO 2026'!Q86,"")</f>
        <v/>
      </c>
      <c r="K607" s="381">
        <f>IF(AND('JUNIO 2026'!D86&lt;&gt;"",'JUNIO 2026'!Z86="POR RECOGER"),'JUNIO 2026'!Y86,"")</f>
        <v/>
      </c>
      <c r="L607" s="381">
        <f>IF(AND('JUNIO 2026'!D86&lt;&gt;"",'JUNIO 2026'!Z86="POR RECOGER"),'JUNIO 2026'!I86,"")</f>
        <v/>
      </c>
      <c r="P607" s="194" t="n"/>
      <c r="Q607" s="194" t="n"/>
      <c r="R607" s="194" t="n"/>
      <c r="S607" s="194" t="n"/>
      <c r="T607" s="194" t="n"/>
      <c r="U607" s="194" t="n"/>
      <c r="V607" s="194" t="n"/>
      <c r="W607" s="194" t="n"/>
      <c r="X607" s="194" t="n"/>
      <c r="Y607" s="194" t="n"/>
      <c r="Z607" s="194" t="n"/>
    </row>
    <row r="608" ht="15" customHeight="1" s="195">
      <c r="A608" s="381">
        <f>IF(AND('JUNIO 2026'!D87&lt;&gt;"",'JUNIO 2026'!Z87="POR RECOGER"),"JUN","")</f>
        <v/>
      </c>
      <c r="B608" s="381">
        <f>IF(AND('JUNIO 2026'!D87&lt;&gt;"",'JUNIO 2026'!Z87="POR RECOGER"),IF('JUNIO 2026'!Y87&lt;&gt;"",'JUNIO 2026'!Y87,'JUNIO 2026'!I87),"")</f>
        <v/>
      </c>
      <c r="C608" s="381">
        <f>IF(AND('JUNIO 2026'!D87&lt;&gt;"",'JUNIO 2026'!Z87="POR RECOGER"),'JUNIO 2026'!D87,"")</f>
        <v/>
      </c>
      <c r="D608" s="381">
        <f>IF(AND('JUNIO 2026'!D87&lt;&gt;"",'JUNIO 2026'!Z87="POR RECOGER"),'JUNIO 2026'!F87,"")</f>
        <v/>
      </c>
      <c r="E608" s="381">
        <f>IF(AND('JUNIO 2026'!D87&lt;&gt;"",'JUNIO 2026'!Z87="POR RECOGER"),TEXT('JUNIO 2026'!G87,"DD/MM/YYYY"),"")</f>
        <v/>
      </c>
      <c r="F608" s="381">
        <f>IF(AND('JUNIO 2026'!D87&lt;&gt;"",'JUNIO 2026'!Z87="POR RECOGER"),'JUNIO 2026'!K87,"")</f>
        <v/>
      </c>
      <c r="G608" s="382">
        <f>IF(AND('JUNIO 2026'!D87&lt;&gt;"",'JUNIO 2026'!Z87="POR RECOGER"),'JUNIO 2026'!M87,"")</f>
        <v/>
      </c>
      <c r="H608" s="382">
        <f>IF(AND('JUNIO 2026'!D87&lt;&gt;"",'JUNIO 2026'!Z87="POR RECOGER"),'JUNIO 2026'!N87,"")</f>
        <v/>
      </c>
      <c r="I608" s="381">
        <f>IF(AND('JUNIO 2026'!D87&lt;&gt;"",'JUNIO 2026'!Z87="POR RECOGER"),'JUNIO 2026'!P87,"")</f>
        <v/>
      </c>
      <c r="J608" s="381">
        <f>IF(AND('JUNIO 2026'!D87&lt;&gt;"",'JUNIO 2026'!Z87="POR RECOGER"),'JUNIO 2026'!Q87,"")</f>
        <v/>
      </c>
      <c r="K608" s="381">
        <f>IF(AND('JUNIO 2026'!D87&lt;&gt;"",'JUNIO 2026'!Z87="POR RECOGER"),'JUNIO 2026'!Y87,"")</f>
        <v/>
      </c>
      <c r="L608" s="381">
        <f>IF(AND('JUNIO 2026'!D87&lt;&gt;"",'JUNIO 2026'!Z87="POR RECOGER"),'JUNIO 2026'!I87,"")</f>
        <v/>
      </c>
      <c r="P608" s="194" t="n"/>
      <c r="Q608" s="194" t="n"/>
      <c r="R608" s="194" t="n"/>
      <c r="S608" s="194" t="n"/>
      <c r="T608" s="194" t="n"/>
      <c r="U608" s="194" t="n"/>
      <c r="V608" s="194" t="n"/>
      <c r="W608" s="194" t="n"/>
      <c r="X608" s="194" t="n"/>
      <c r="Y608" s="194" t="n"/>
      <c r="Z608" s="194" t="n"/>
    </row>
    <row r="609" ht="15" customHeight="1" s="195">
      <c r="A609" s="381">
        <f>IF(AND('JUNIO 2026'!D88&lt;&gt;"",'JUNIO 2026'!Z88="POR RECOGER"),"JUN","")</f>
        <v/>
      </c>
      <c r="B609" s="381">
        <f>IF(AND('JUNIO 2026'!D88&lt;&gt;"",'JUNIO 2026'!Z88="POR RECOGER"),IF('JUNIO 2026'!Y88&lt;&gt;"",'JUNIO 2026'!Y88,'JUNIO 2026'!I88),"")</f>
        <v/>
      </c>
      <c r="C609" s="381">
        <f>IF(AND('JUNIO 2026'!D88&lt;&gt;"",'JUNIO 2026'!Z88="POR RECOGER"),'JUNIO 2026'!D88,"")</f>
        <v/>
      </c>
      <c r="D609" s="381">
        <f>IF(AND('JUNIO 2026'!D88&lt;&gt;"",'JUNIO 2026'!Z88="POR RECOGER"),'JUNIO 2026'!F88,"")</f>
        <v/>
      </c>
      <c r="E609" s="381">
        <f>IF(AND('JUNIO 2026'!D88&lt;&gt;"",'JUNIO 2026'!Z88="POR RECOGER"),TEXT('JUNIO 2026'!G88,"DD/MM/YYYY"),"")</f>
        <v/>
      </c>
      <c r="F609" s="381">
        <f>IF(AND('JUNIO 2026'!D88&lt;&gt;"",'JUNIO 2026'!Z88="POR RECOGER"),'JUNIO 2026'!K88,"")</f>
        <v/>
      </c>
      <c r="G609" s="382">
        <f>IF(AND('JUNIO 2026'!D88&lt;&gt;"",'JUNIO 2026'!Z88="POR RECOGER"),'JUNIO 2026'!M88,"")</f>
        <v/>
      </c>
      <c r="H609" s="382">
        <f>IF(AND('JUNIO 2026'!D88&lt;&gt;"",'JUNIO 2026'!Z88="POR RECOGER"),'JUNIO 2026'!N88,"")</f>
        <v/>
      </c>
      <c r="I609" s="381">
        <f>IF(AND('JUNIO 2026'!D88&lt;&gt;"",'JUNIO 2026'!Z88="POR RECOGER"),'JUNIO 2026'!P88,"")</f>
        <v/>
      </c>
      <c r="J609" s="381">
        <f>IF(AND('JUNIO 2026'!D88&lt;&gt;"",'JUNIO 2026'!Z88="POR RECOGER"),'JUNIO 2026'!Q88,"")</f>
        <v/>
      </c>
      <c r="K609" s="381">
        <f>IF(AND('JUNIO 2026'!D88&lt;&gt;"",'JUNIO 2026'!Z88="POR RECOGER"),'JUNIO 2026'!Y88,"")</f>
        <v/>
      </c>
      <c r="L609" s="381">
        <f>IF(AND('JUNIO 2026'!D88&lt;&gt;"",'JUNIO 2026'!Z88="POR RECOGER"),'JUNIO 2026'!I88,"")</f>
        <v/>
      </c>
      <c r="P609" s="194" t="n"/>
      <c r="Q609" s="194" t="n"/>
      <c r="R609" s="194" t="n"/>
      <c r="S609" s="194" t="n"/>
      <c r="T609" s="194" t="n"/>
      <c r="U609" s="194" t="n"/>
      <c r="V609" s="194" t="n"/>
      <c r="W609" s="194" t="n"/>
      <c r="X609" s="194" t="n"/>
      <c r="Y609" s="194" t="n"/>
      <c r="Z609" s="194" t="n"/>
    </row>
    <row r="610" ht="15" customHeight="1" s="195">
      <c r="A610" s="381">
        <f>IF(AND('JUNIO 2026'!D89&lt;&gt;"",'JUNIO 2026'!Z89="POR RECOGER"),"JUN","")</f>
        <v/>
      </c>
      <c r="B610" s="381">
        <f>IF(AND('JUNIO 2026'!D89&lt;&gt;"",'JUNIO 2026'!Z89="POR RECOGER"),IF('JUNIO 2026'!Y89&lt;&gt;"",'JUNIO 2026'!Y89,'JUNIO 2026'!I89),"")</f>
        <v/>
      </c>
      <c r="C610" s="381">
        <f>IF(AND('JUNIO 2026'!D89&lt;&gt;"",'JUNIO 2026'!Z89="POR RECOGER"),'JUNIO 2026'!D89,"")</f>
        <v/>
      </c>
      <c r="D610" s="381">
        <f>IF(AND('JUNIO 2026'!D89&lt;&gt;"",'JUNIO 2026'!Z89="POR RECOGER"),'JUNIO 2026'!F89,"")</f>
        <v/>
      </c>
      <c r="E610" s="381">
        <f>IF(AND('JUNIO 2026'!D89&lt;&gt;"",'JUNIO 2026'!Z89="POR RECOGER"),TEXT('JUNIO 2026'!G89,"DD/MM/YYYY"),"")</f>
        <v/>
      </c>
      <c r="F610" s="381">
        <f>IF(AND('JUNIO 2026'!D89&lt;&gt;"",'JUNIO 2026'!Z89="POR RECOGER"),'JUNIO 2026'!K89,"")</f>
        <v/>
      </c>
      <c r="G610" s="382">
        <f>IF(AND('JUNIO 2026'!D89&lt;&gt;"",'JUNIO 2026'!Z89="POR RECOGER"),'JUNIO 2026'!M89,"")</f>
        <v/>
      </c>
      <c r="H610" s="382">
        <f>IF(AND('JUNIO 2026'!D89&lt;&gt;"",'JUNIO 2026'!Z89="POR RECOGER"),'JUNIO 2026'!N89,"")</f>
        <v/>
      </c>
      <c r="I610" s="381">
        <f>IF(AND('JUNIO 2026'!D89&lt;&gt;"",'JUNIO 2026'!Z89="POR RECOGER"),'JUNIO 2026'!P89,"")</f>
        <v/>
      </c>
      <c r="J610" s="381">
        <f>IF(AND('JUNIO 2026'!D89&lt;&gt;"",'JUNIO 2026'!Z89="POR RECOGER"),'JUNIO 2026'!Q89,"")</f>
        <v/>
      </c>
      <c r="K610" s="381">
        <f>IF(AND('JUNIO 2026'!D89&lt;&gt;"",'JUNIO 2026'!Z89="POR RECOGER"),'JUNIO 2026'!Y89,"")</f>
        <v/>
      </c>
      <c r="L610" s="381">
        <f>IF(AND('JUNIO 2026'!D89&lt;&gt;"",'JUNIO 2026'!Z89="POR RECOGER"),'JUNIO 2026'!I89,"")</f>
        <v/>
      </c>
      <c r="P610" s="194" t="n"/>
      <c r="Q610" s="194" t="n"/>
      <c r="R610" s="194" t="n"/>
      <c r="S610" s="194" t="n"/>
      <c r="T610" s="194" t="n"/>
      <c r="U610" s="194" t="n"/>
      <c r="V610" s="194" t="n"/>
      <c r="W610" s="194" t="n"/>
      <c r="X610" s="194" t="n"/>
      <c r="Y610" s="194" t="n"/>
      <c r="Z610" s="194" t="n"/>
    </row>
    <row r="611" ht="15" customHeight="1" s="195">
      <c r="A611" s="381">
        <f>IF(AND('JUNIO 2026'!D90&lt;&gt;"",'JUNIO 2026'!Z90="POR RECOGER"),"JUN","")</f>
        <v/>
      </c>
      <c r="B611" s="381">
        <f>IF(AND('JUNIO 2026'!D90&lt;&gt;"",'JUNIO 2026'!Z90="POR RECOGER"),IF('JUNIO 2026'!Y90&lt;&gt;"",'JUNIO 2026'!Y90,'JUNIO 2026'!I90),"")</f>
        <v/>
      </c>
      <c r="C611" s="381">
        <f>IF(AND('JUNIO 2026'!D90&lt;&gt;"",'JUNIO 2026'!Z90="POR RECOGER"),'JUNIO 2026'!D90,"")</f>
        <v/>
      </c>
      <c r="D611" s="381">
        <f>IF(AND('JUNIO 2026'!D90&lt;&gt;"",'JUNIO 2026'!Z90="POR RECOGER"),'JUNIO 2026'!F90,"")</f>
        <v/>
      </c>
      <c r="E611" s="381">
        <f>IF(AND('JUNIO 2026'!D90&lt;&gt;"",'JUNIO 2026'!Z90="POR RECOGER"),TEXT('JUNIO 2026'!G90,"DD/MM/YYYY"),"")</f>
        <v/>
      </c>
      <c r="F611" s="381">
        <f>IF(AND('JUNIO 2026'!D90&lt;&gt;"",'JUNIO 2026'!Z90="POR RECOGER"),'JUNIO 2026'!K90,"")</f>
        <v/>
      </c>
      <c r="G611" s="382">
        <f>IF(AND('JUNIO 2026'!D90&lt;&gt;"",'JUNIO 2026'!Z90="POR RECOGER"),'JUNIO 2026'!M90,"")</f>
        <v/>
      </c>
      <c r="H611" s="382">
        <f>IF(AND('JUNIO 2026'!D90&lt;&gt;"",'JUNIO 2026'!Z90="POR RECOGER"),'JUNIO 2026'!N90,"")</f>
        <v/>
      </c>
      <c r="I611" s="381">
        <f>IF(AND('JUNIO 2026'!D90&lt;&gt;"",'JUNIO 2026'!Z90="POR RECOGER"),'JUNIO 2026'!P90,"")</f>
        <v/>
      </c>
      <c r="J611" s="381">
        <f>IF(AND('JUNIO 2026'!D90&lt;&gt;"",'JUNIO 2026'!Z90="POR RECOGER"),'JUNIO 2026'!Q90,"")</f>
        <v/>
      </c>
      <c r="K611" s="381">
        <f>IF(AND('JUNIO 2026'!D90&lt;&gt;"",'JUNIO 2026'!Z90="POR RECOGER"),'JUNIO 2026'!Y90,"")</f>
        <v/>
      </c>
      <c r="L611" s="381">
        <f>IF(AND('JUNIO 2026'!D90&lt;&gt;"",'JUNIO 2026'!Z90="POR RECOGER"),'JUNIO 2026'!I90,"")</f>
        <v/>
      </c>
      <c r="P611" s="194" t="n"/>
      <c r="Q611" s="194" t="n"/>
      <c r="R611" s="194" t="n"/>
      <c r="S611" s="194" t="n"/>
      <c r="T611" s="194" t="n"/>
      <c r="U611" s="194" t="n"/>
      <c r="V611" s="194" t="n"/>
      <c r="W611" s="194" t="n"/>
      <c r="X611" s="194" t="n"/>
      <c r="Y611" s="194" t="n"/>
      <c r="Z611" s="194" t="n"/>
    </row>
    <row r="612" ht="15" customHeight="1" s="195">
      <c r="A612" s="381">
        <f>IF(AND('JUNIO 2026'!D91&lt;&gt;"",'JUNIO 2026'!Z91="POR RECOGER"),"JUN","")</f>
        <v/>
      </c>
      <c r="B612" s="381">
        <f>IF(AND('JUNIO 2026'!D91&lt;&gt;"",'JUNIO 2026'!Z91="POR RECOGER"),IF('JUNIO 2026'!Y91&lt;&gt;"",'JUNIO 2026'!Y91,'JUNIO 2026'!I91),"")</f>
        <v/>
      </c>
      <c r="C612" s="381">
        <f>IF(AND('JUNIO 2026'!D91&lt;&gt;"",'JUNIO 2026'!Z91="POR RECOGER"),'JUNIO 2026'!D91,"")</f>
        <v/>
      </c>
      <c r="D612" s="381">
        <f>IF(AND('JUNIO 2026'!D91&lt;&gt;"",'JUNIO 2026'!Z91="POR RECOGER"),'JUNIO 2026'!F91,"")</f>
        <v/>
      </c>
      <c r="E612" s="381">
        <f>IF(AND('JUNIO 2026'!D91&lt;&gt;"",'JUNIO 2026'!Z91="POR RECOGER"),TEXT('JUNIO 2026'!G91,"DD/MM/YYYY"),"")</f>
        <v/>
      </c>
      <c r="F612" s="381">
        <f>IF(AND('JUNIO 2026'!D91&lt;&gt;"",'JUNIO 2026'!Z91="POR RECOGER"),'JUNIO 2026'!K91,"")</f>
        <v/>
      </c>
      <c r="G612" s="382">
        <f>IF(AND('JUNIO 2026'!D91&lt;&gt;"",'JUNIO 2026'!Z91="POR RECOGER"),'JUNIO 2026'!M91,"")</f>
        <v/>
      </c>
      <c r="H612" s="382">
        <f>IF(AND('JUNIO 2026'!D91&lt;&gt;"",'JUNIO 2026'!Z91="POR RECOGER"),'JUNIO 2026'!N91,"")</f>
        <v/>
      </c>
      <c r="I612" s="381">
        <f>IF(AND('JUNIO 2026'!D91&lt;&gt;"",'JUNIO 2026'!Z91="POR RECOGER"),'JUNIO 2026'!P91,"")</f>
        <v/>
      </c>
      <c r="J612" s="381">
        <f>IF(AND('JUNIO 2026'!D91&lt;&gt;"",'JUNIO 2026'!Z91="POR RECOGER"),'JUNIO 2026'!Q91,"")</f>
        <v/>
      </c>
      <c r="K612" s="381">
        <f>IF(AND('JUNIO 2026'!D91&lt;&gt;"",'JUNIO 2026'!Z91="POR RECOGER"),'JUNIO 2026'!Y91,"")</f>
        <v/>
      </c>
      <c r="L612" s="381">
        <f>IF(AND('JUNIO 2026'!D91&lt;&gt;"",'JUNIO 2026'!Z91="POR RECOGER"),'JUNIO 2026'!I91,"")</f>
        <v/>
      </c>
      <c r="P612" s="194" t="n"/>
      <c r="Q612" s="194" t="n"/>
      <c r="R612" s="194" t="n"/>
      <c r="S612" s="194" t="n"/>
      <c r="T612" s="194" t="n"/>
      <c r="U612" s="194" t="n"/>
      <c r="V612" s="194" t="n"/>
      <c r="W612" s="194" t="n"/>
      <c r="X612" s="194" t="n"/>
      <c r="Y612" s="194" t="n"/>
      <c r="Z612" s="194" t="n"/>
    </row>
    <row r="613" ht="15" customHeight="1" s="195">
      <c r="A613" s="381">
        <f>IF(AND('JUNIO 2026'!D92&lt;&gt;"",'JUNIO 2026'!Z92="POR RECOGER"),"JUN","")</f>
        <v/>
      </c>
      <c r="B613" s="381">
        <f>IF(AND('JUNIO 2026'!D92&lt;&gt;"",'JUNIO 2026'!Z92="POR RECOGER"),IF('JUNIO 2026'!Y92&lt;&gt;"",'JUNIO 2026'!Y92,'JUNIO 2026'!I92),"")</f>
        <v/>
      </c>
      <c r="C613" s="381">
        <f>IF(AND('JUNIO 2026'!D92&lt;&gt;"",'JUNIO 2026'!Z92="POR RECOGER"),'JUNIO 2026'!D92,"")</f>
        <v/>
      </c>
      <c r="D613" s="381">
        <f>IF(AND('JUNIO 2026'!D92&lt;&gt;"",'JUNIO 2026'!Z92="POR RECOGER"),'JUNIO 2026'!F92,"")</f>
        <v/>
      </c>
      <c r="E613" s="381">
        <f>IF(AND('JUNIO 2026'!D92&lt;&gt;"",'JUNIO 2026'!Z92="POR RECOGER"),TEXT('JUNIO 2026'!G92,"DD/MM/YYYY"),"")</f>
        <v/>
      </c>
      <c r="F613" s="381">
        <f>IF(AND('JUNIO 2026'!D92&lt;&gt;"",'JUNIO 2026'!Z92="POR RECOGER"),'JUNIO 2026'!K92,"")</f>
        <v/>
      </c>
      <c r="G613" s="382">
        <f>IF(AND('JUNIO 2026'!D92&lt;&gt;"",'JUNIO 2026'!Z92="POR RECOGER"),'JUNIO 2026'!M92,"")</f>
        <v/>
      </c>
      <c r="H613" s="382">
        <f>IF(AND('JUNIO 2026'!D92&lt;&gt;"",'JUNIO 2026'!Z92="POR RECOGER"),'JUNIO 2026'!N92,"")</f>
        <v/>
      </c>
      <c r="I613" s="381">
        <f>IF(AND('JUNIO 2026'!D92&lt;&gt;"",'JUNIO 2026'!Z92="POR RECOGER"),'JUNIO 2026'!P92,"")</f>
        <v/>
      </c>
      <c r="J613" s="381">
        <f>IF(AND('JUNIO 2026'!D92&lt;&gt;"",'JUNIO 2026'!Z92="POR RECOGER"),'JUNIO 2026'!Q92,"")</f>
        <v/>
      </c>
      <c r="K613" s="381">
        <f>IF(AND('JUNIO 2026'!D92&lt;&gt;"",'JUNIO 2026'!Z92="POR RECOGER"),'JUNIO 2026'!Y92,"")</f>
        <v/>
      </c>
      <c r="L613" s="381">
        <f>IF(AND('JUNIO 2026'!D92&lt;&gt;"",'JUNIO 2026'!Z92="POR RECOGER"),'JUNIO 2026'!I92,"")</f>
        <v/>
      </c>
      <c r="P613" s="194" t="n"/>
      <c r="Q613" s="194" t="n"/>
      <c r="R613" s="194" t="n"/>
      <c r="S613" s="194" t="n"/>
      <c r="T613" s="194" t="n"/>
      <c r="U613" s="194" t="n"/>
      <c r="V613" s="194" t="n"/>
      <c r="W613" s="194" t="n"/>
      <c r="X613" s="194" t="n"/>
      <c r="Y613" s="194" t="n"/>
      <c r="Z613" s="194" t="n"/>
    </row>
    <row r="614" ht="15" customHeight="1" s="195">
      <c r="A614" s="381">
        <f>IF(AND('JUNIO 2026'!D93&lt;&gt;"",'JUNIO 2026'!Z93="POR RECOGER"),"JUN","")</f>
        <v/>
      </c>
      <c r="B614" s="381">
        <f>IF(AND('JUNIO 2026'!D93&lt;&gt;"",'JUNIO 2026'!Z93="POR RECOGER"),IF('JUNIO 2026'!Y93&lt;&gt;"",'JUNIO 2026'!Y93,'JUNIO 2026'!I93),"")</f>
        <v/>
      </c>
      <c r="C614" s="381">
        <f>IF(AND('JUNIO 2026'!D93&lt;&gt;"",'JUNIO 2026'!Z93="POR RECOGER"),'JUNIO 2026'!D93,"")</f>
        <v/>
      </c>
      <c r="D614" s="381">
        <f>IF(AND('JUNIO 2026'!D93&lt;&gt;"",'JUNIO 2026'!Z93="POR RECOGER"),'JUNIO 2026'!F93,"")</f>
        <v/>
      </c>
      <c r="E614" s="381">
        <f>IF(AND('JUNIO 2026'!D93&lt;&gt;"",'JUNIO 2026'!Z93="POR RECOGER"),TEXT('JUNIO 2026'!G93,"DD/MM/YYYY"),"")</f>
        <v/>
      </c>
      <c r="F614" s="381">
        <f>IF(AND('JUNIO 2026'!D93&lt;&gt;"",'JUNIO 2026'!Z93="POR RECOGER"),'JUNIO 2026'!K93,"")</f>
        <v/>
      </c>
      <c r="G614" s="382">
        <f>IF(AND('JUNIO 2026'!D93&lt;&gt;"",'JUNIO 2026'!Z93="POR RECOGER"),'JUNIO 2026'!M93,"")</f>
        <v/>
      </c>
      <c r="H614" s="382">
        <f>IF(AND('JUNIO 2026'!D93&lt;&gt;"",'JUNIO 2026'!Z93="POR RECOGER"),'JUNIO 2026'!N93,"")</f>
        <v/>
      </c>
      <c r="I614" s="381">
        <f>IF(AND('JUNIO 2026'!D93&lt;&gt;"",'JUNIO 2026'!Z93="POR RECOGER"),'JUNIO 2026'!P93,"")</f>
        <v/>
      </c>
      <c r="J614" s="381">
        <f>IF(AND('JUNIO 2026'!D93&lt;&gt;"",'JUNIO 2026'!Z93="POR RECOGER"),'JUNIO 2026'!Q93,"")</f>
        <v/>
      </c>
      <c r="K614" s="381">
        <f>IF(AND('JUNIO 2026'!D93&lt;&gt;"",'JUNIO 2026'!Z93="POR RECOGER"),'JUNIO 2026'!Y93,"")</f>
        <v/>
      </c>
      <c r="L614" s="381">
        <f>IF(AND('JUNIO 2026'!D93&lt;&gt;"",'JUNIO 2026'!Z93="POR RECOGER"),'JUNIO 2026'!I93,"")</f>
        <v/>
      </c>
      <c r="P614" s="194" t="n"/>
      <c r="Q614" s="194" t="n"/>
      <c r="R614" s="194" t="n"/>
      <c r="S614" s="194" t="n"/>
      <c r="T614" s="194" t="n"/>
      <c r="U614" s="194" t="n"/>
      <c r="V614" s="194" t="n"/>
      <c r="W614" s="194" t="n"/>
      <c r="X614" s="194" t="n"/>
      <c r="Y614" s="194" t="n"/>
      <c r="Z614" s="194" t="n"/>
    </row>
    <row r="615" ht="15" customHeight="1" s="195">
      <c r="A615" s="381">
        <f>IF(AND('JUNIO 2026'!D94&lt;&gt;"",'JUNIO 2026'!Z94="POR RECOGER"),"JUN","")</f>
        <v/>
      </c>
      <c r="B615" s="381">
        <f>IF(AND('JUNIO 2026'!D94&lt;&gt;"",'JUNIO 2026'!Z94="POR RECOGER"),IF('JUNIO 2026'!Y94&lt;&gt;"",'JUNIO 2026'!Y94,'JUNIO 2026'!I94),"")</f>
        <v/>
      </c>
      <c r="C615" s="381">
        <f>IF(AND('JUNIO 2026'!D94&lt;&gt;"",'JUNIO 2026'!Z94="POR RECOGER"),'JUNIO 2026'!D94,"")</f>
        <v/>
      </c>
      <c r="D615" s="381">
        <f>IF(AND('JUNIO 2026'!D94&lt;&gt;"",'JUNIO 2026'!Z94="POR RECOGER"),'JUNIO 2026'!F94,"")</f>
        <v/>
      </c>
      <c r="E615" s="381">
        <f>IF(AND('JUNIO 2026'!D94&lt;&gt;"",'JUNIO 2026'!Z94="POR RECOGER"),TEXT('JUNIO 2026'!G94,"DD/MM/YYYY"),"")</f>
        <v/>
      </c>
      <c r="F615" s="381">
        <f>IF(AND('JUNIO 2026'!D94&lt;&gt;"",'JUNIO 2026'!Z94="POR RECOGER"),'JUNIO 2026'!K94,"")</f>
        <v/>
      </c>
      <c r="G615" s="382">
        <f>IF(AND('JUNIO 2026'!D94&lt;&gt;"",'JUNIO 2026'!Z94="POR RECOGER"),'JUNIO 2026'!M94,"")</f>
        <v/>
      </c>
      <c r="H615" s="382">
        <f>IF(AND('JUNIO 2026'!D94&lt;&gt;"",'JUNIO 2026'!Z94="POR RECOGER"),'JUNIO 2026'!N94,"")</f>
        <v/>
      </c>
      <c r="I615" s="381">
        <f>IF(AND('JUNIO 2026'!D94&lt;&gt;"",'JUNIO 2026'!Z94="POR RECOGER"),'JUNIO 2026'!P94,"")</f>
        <v/>
      </c>
      <c r="J615" s="381">
        <f>IF(AND('JUNIO 2026'!D94&lt;&gt;"",'JUNIO 2026'!Z94="POR RECOGER"),'JUNIO 2026'!Q94,"")</f>
        <v/>
      </c>
      <c r="K615" s="381">
        <f>IF(AND('JUNIO 2026'!D94&lt;&gt;"",'JUNIO 2026'!Z94="POR RECOGER"),'JUNIO 2026'!Y94,"")</f>
        <v/>
      </c>
      <c r="L615" s="381">
        <f>IF(AND('JUNIO 2026'!D94&lt;&gt;"",'JUNIO 2026'!Z94="POR RECOGER"),'JUNIO 2026'!I94,"")</f>
        <v/>
      </c>
      <c r="P615" s="194" t="n"/>
      <c r="Q615" s="194" t="n"/>
      <c r="R615" s="194" t="n"/>
      <c r="S615" s="194" t="n"/>
      <c r="T615" s="194" t="n"/>
      <c r="U615" s="194" t="n"/>
      <c r="V615" s="194" t="n"/>
      <c r="W615" s="194" t="n"/>
      <c r="X615" s="194" t="n"/>
      <c r="Y615" s="194" t="n"/>
      <c r="Z615" s="194" t="n"/>
    </row>
    <row r="616" ht="15" customHeight="1" s="195">
      <c r="A616" s="381">
        <f>IF(AND('JUNIO 2026'!D95&lt;&gt;"",'JUNIO 2026'!Z95="POR RECOGER"),"JUN","")</f>
        <v/>
      </c>
      <c r="B616" s="381">
        <f>IF(AND('JUNIO 2026'!D95&lt;&gt;"",'JUNIO 2026'!Z95="POR RECOGER"),IF('JUNIO 2026'!Y95&lt;&gt;"",'JUNIO 2026'!Y95,'JUNIO 2026'!I95),"")</f>
        <v/>
      </c>
      <c r="C616" s="381">
        <f>IF(AND('JUNIO 2026'!D95&lt;&gt;"",'JUNIO 2026'!Z95="POR RECOGER"),'JUNIO 2026'!D95,"")</f>
        <v/>
      </c>
      <c r="D616" s="381">
        <f>IF(AND('JUNIO 2026'!D95&lt;&gt;"",'JUNIO 2026'!Z95="POR RECOGER"),'JUNIO 2026'!F95,"")</f>
        <v/>
      </c>
      <c r="E616" s="381">
        <f>IF(AND('JUNIO 2026'!D95&lt;&gt;"",'JUNIO 2026'!Z95="POR RECOGER"),TEXT('JUNIO 2026'!G95,"DD/MM/YYYY"),"")</f>
        <v/>
      </c>
      <c r="F616" s="381">
        <f>IF(AND('JUNIO 2026'!D95&lt;&gt;"",'JUNIO 2026'!Z95="POR RECOGER"),'JUNIO 2026'!K95,"")</f>
        <v/>
      </c>
      <c r="G616" s="382">
        <f>IF(AND('JUNIO 2026'!D95&lt;&gt;"",'JUNIO 2026'!Z95="POR RECOGER"),'JUNIO 2026'!M95,"")</f>
        <v/>
      </c>
      <c r="H616" s="382">
        <f>IF(AND('JUNIO 2026'!D95&lt;&gt;"",'JUNIO 2026'!Z95="POR RECOGER"),'JUNIO 2026'!N95,"")</f>
        <v/>
      </c>
      <c r="I616" s="381">
        <f>IF(AND('JUNIO 2026'!D95&lt;&gt;"",'JUNIO 2026'!Z95="POR RECOGER"),'JUNIO 2026'!P95,"")</f>
        <v/>
      </c>
      <c r="J616" s="381">
        <f>IF(AND('JUNIO 2026'!D95&lt;&gt;"",'JUNIO 2026'!Z95="POR RECOGER"),'JUNIO 2026'!Q95,"")</f>
        <v/>
      </c>
      <c r="K616" s="381">
        <f>IF(AND('JUNIO 2026'!D95&lt;&gt;"",'JUNIO 2026'!Z95="POR RECOGER"),'JUNIO 2026'!Y95,"")</f>
        <v/>
      </c>
      <c r="L616" s="381">
        <f>IF(AND('JUNIO 2026'!D95&lt;&gt;"",'JUNIO 2026'!Z95="POR RECOGER"),'JUNIO 2026'!I95,"")</f>
        <v/>
      </c>
      <c r="P616" s="194" t="n"/>
      <c r="Q616" s="194" t="n"/>
      <c r="R616" s="194" t="n"/>
      <c r="S616" s="194" t="n"/>
      <c r="T616" s="194" t="n"/>
      <c r="U616" s="194" t="n"/>
      <c r="V616" s="194" t="n"/>
      <c r="W616" s="194" t="n"/>
      <c r="X616" s="194" t="n"/>
      <c r="Y616" s="194" t="n"/>
      <c r="Z616" s="194" t="n"/>
    </row>
    <row r="617" ht="15" customHeight="1" s="195">
      <c r="A617" s="381">
        <f>IF(AND('JUNIO 2026'!D96&lt;&gt;"",'JUNIO 2026'!Z96="POR RECOGER"),"JUN","")</f>
        <v/>
      </c>
      <c r="B617" s="381">
        <f>IF(AND('JUNIO 2026'!D96&lt;&gt;"",'JUNIO 2026'!Z96="POR RECOGER"),IF('JUNIO 2026'!Y96&lt;&gt;"",'JUNIO 2026'!Y96,'JUNIO 2026'!I96),"")</f>
        <v/>
      </c>
      <c r="C617" s="381">
        <f>IF(AND('JUNIO 2026'!D96&lt;&gt;"",'JUNIO 2026'!Z96="POR RECOGER"),'JUNIO 2026'!D96,"")</f>
        <v/>
      </c>
      <c r="D617" s="381">
        <f>IF(AND('JUNIO 2026'!D96&lt;&gt;"",'JUNIO 2026'!Z96="POR RECOGER"),'JUNIO 2026'!F96,"")</f>
        <v/>
      </c>
      <c r="E617" s="381">
        <f>IF(AND('JUNIO 2026'!D96&lt;&gt;"",'JUNIO 2026'!Z96="POR RECOGER"),TEXT('JUNIO 2026'!G96,"DD/MM/YYYY"),"")</f>
        <v/>
      </c>
      <c r="F617" s="381">
        <f>IF(AND('JUNIO 2026'!D96&lt;&gt;"",'JUNIO 2026'!Z96="POR RECOGER"),'JUNIO 2026'!K96,"")</f>
        <v/>
      </c>
      <c r="G617" s="382">
        <f>IF(AND('JUNIO 2026'!D96&lt;&gt;"",'JUNIO 2026'!Z96="POR RECOGER"),'JUNIO 2026'!M96,"")</f>
        <v/>
      </c>
      <c r="H617" s="382">
        <f>IF(AND('JUNIO 2026'!D96&lt;&gt;"",'JUNIO 2026'!Z96="POR RECOGER"),'JUNIO 2026'!N96,"")</f>
        <v/>
      </c>
      <c r="I617" s="381">
        <f>IF(AND('JUNIO 2026'!D96&lt;&gt;"",'JUNIO 2026'!Z96="POR RECOGER"),'JUNIO 2026'!P96,"")</f>
        <v/>
      </c>
      <c r="J617" s="381">
        <f>IF(AND('JUNIO 2026'!D96&lt;&gt;"",'JUNIO 2026'!Z96="POR RECOGER"),'JUNIO 2026'!Q96,"")</f>
        <v/>
      </c>
      <c r="K617" s="381">
        <f>IF(AND('JUNIO 2026'!D96&lt;&gt;"",'JUNIO 2026'!Z96="POR RECOGER"),'JUNIO 2026'!Y96,"")</f>
        <v/>
      </c>
      <c r="L617" s="381">
        <f>IF(AND('JUNIO 2026'!D96&lt;&gt;"",'JUNIO 2026'!Z96="POR RECOGER"),'JUNIO 2026'!I96,"")</f>
        <v/>
      </c>
      <c r="P617" s="194" t="n"/>
      <c r="Q617" s="194" t="n"/>
      <c r="R617" s="194" t="n"/>
      <c r="S617" s="194" t="n"/>
      <c r="T617" s="194" t="n"/>
      <c r="U617" s="194" t="n"/>
      <c r="V617" s="194" t="n"/>
      <c r="W617" s="194" t="n"/>
      <c r="X617" s="194" t="n"/>
      <c r="Y617" s="194" t="n"/>
      <c r="Z617" s="194" t="n"/>
    </row>
    <row r="618" ht="15" customHeight="1" s="195">
      <c r="A618" s="381">
        <f>IF(AND('JUNIO 2026'!D97&lt;&gt;"",'JUNIO 2026'!Z97="POR RECOGER"),"JUN","")</f>
        <v/>
      </c>
      <c r="B618" s="381">
        <f>IF(AND('JUNIO 2026'!D97&lt;&gt;"",'JUNIO 2026'!Z97="POR RECOGER"),IF('JUNIO 2026'!Y97&lt;&gt;"",'JUNIO 2026'!Y97,'JUNIO 2026'!I97),"")</f>
        <v/>
      </c>
      <c r="C618" s="381">
        <f>IF(AND('JUNIO 2026'!D97&lt;&gt;"",'JUNIO 2026'!Z97="POR RECOGER"),'JUNIO 2026'!D97,"")</f>
        <v/>
      </c>
      <c r="D618" s="381">
        <f>IF(AND('JUNIO 2026'!D97&lt;&gt;"",'JUNIO 2026'!Z97="POR RECOGER"),'JUNIO 2026'!F97,"")</f>
        <v/>
      </c>
      <c r="E618" s="381">
        <f>IF(AND('JUNIO 2026'!D97&lt;&gt;"",'JUNIO 2026'!Z97="POR RECOGER"),TEXT('JUNIO 2026'!G97,"DD/MM/YYYY"),"")</f>
        <v/>
      </c>
      <c r="F618" s="381">
        <f>IF(AND('JUNIO 2026'!D97&lt;&gt;"",'JUNIO 2026'!Z97="POR RECOGER"),'JUNIO 2026'!K97,"")</f>
        <v/>
      </c>
      <c r="G618" s="382">
        <f>IF(AND('JUNIO 2026'!D97&lt;&gt;"",'JUNIO 2026'!Z97="POR RECOGER"),'JUNIO 2026'!M97,"")</f>
        <v/>
      </c>
      <c r="H618" s="382">
        <f>IF(AND('JUNIO 2026'!D97&lt;&gt;"",'JUNIO 2026'!Z97="POR RECOGER"),'JUNIO 2026'!N97,"")</f>
        <v/>
      </c>
      <c r="I618" s="381">
        <f>IF(AND('JUNIO 2026'!D97&lt;&gt;"",'JUNIO 2026'!Z97="POR RECOGER"),'JUNIO 2026'!P97,"")</f>
        <v/>
      </c>
      <c r="J618" s="381">
        <f>IF(AND('JUNIO 2026'!D97&lt;&gt;"",'JUNIO 2026'!Z97="POR RECOGER"),'JUNIO 2026'!Q97,"")</f>
        <v/>
      </c>
      <c r="K618" s="381">
        <f>IF(AND('JUNIO 2026'!D97&lt;&gt;"",'JUNIO 2026'!Z97="POR RECOGER"),'JUNIO 2026'!Y97,"")</f>
        <v/>
      </c>
      <c r="L618" s="381">
        <f>IF(AND('JUNIO 2026'!D97&lt;&gt;"",'JUNIO 2026'!Z97="POR RECOGER"),'JUNIO 2026'!I97,"")</f>
        <v/>
      </c>
      <c r="P618" s="194" t="n"/>
      <c r="Q618" s="194" t="n"/>
      <c r="R618" s="194" t="n"/>
      <c r="S618" s="194" t="n"/>
      <c r="T618" s="194" t="n"/>
      <c r="U618" s="194" t="n"/>
      <c r="V618" s="194" t="n"/>
      <c r="W618" s="194" t="n"/>
      <c r="X618" s="194" t="n"/>
      <c r="Y618" s="194" t="n"/>
      <c r="Z618" s="194" t="n"/>
    </row>
    <row r="619" ht="15" customHeight="1" s="195">
      <c r="A619" s="381">
        <f>IF(AND('JUNIO 2026'!D98&lt;&gt;"",'JUNIO 2026'!Z98="POR RECOGER"),"JUN","")</f>
        <v/>
      </c>
      <c r="B619" s="381">
        <f>IF(AND('JUNIO 2026'!D98&lt;&gt;"",'JUNIO 2026'!Z98="POR RECOGER"),IF('JUNIO 2026'!Y98&lt;&gt;"",'JUNIO 2026'!Y98,'JUNIO 2026'!I98),"")</f>
        <v/>
      </c>
      <c r="C619" s="381">
        <f>IF(AND('JUNIO 2026'!D98&lt;&gt;"",'JUNIO 2026'!Z98="POR RECOGER"),'JUNIO 2026'!D98,"")</f>
        <v/>
      </c>
      <c r="D619" s="381">
        <f>IF(AND('JUNIO 2026'!D98&lt;&gt;"",'JUNIO 2026'!Z98="POR RECOGER"),'JUNIO 2026'!F98,"")</f>
        <v/>
      </c>
      <c r="E619" s="381">
        <f>IF(AND('JUNIO 2026'!D98&lt;&gt;"",'JUNIO 2026'!Z98="POR RECOGER"),TEXT('JUNIO 2026'!G98,"DD/MM/YYYY"),"")</f>
        <v/>
      </c>
      <c r="F619" s="381">
        <f>IF(AND('JUNIO 2026'!D98&lt;&gt;"",'JUNIO 2026'!Z98="POR RECOGER"),'JUNIO 2026'!K98,"")</f>
        <v/>
      </c>
      <c r="G619" s="382">
        <f>IF(AND('JUNIO 2026'!D98&lt;&gt;"",'JUNIO 2026'!Z98="POR RECOGER"),'JUNIO 2026'!M98,"")</f>
        <v/>
      </c>
      <c r="H619" s="382">
        <f>IF(AND('JUNIO 2026'!D98&lt;&gt;"",'JUNIO 2026'!Z98="POR RECOGER"),'JUNIO 2026'!N98,"")</f>
        <v/>
      </c>
      <c r="I619" s="381">
        <f>IF(AND('JUNIO 2026'!D98&lt;&gt;"",'JUNIO 2026'!Z98="POR RECOGER"),'JUNIO 2026'!P98,"")</f>
        <v/>
      </c>
      <c r="J619" s="381">
        <f>IF(AND('JUNIO 2026'!D98&lt;&gt;"",'JUNIO 2026'!Z98="POR RECOGER"),'JUNIO 2026'!Q98,"")</f>
        <v/>
      </c>
      <c r="K619" s="381">
        <f>IF(AND('JUNIO 2026'!D98&lt;&gt;"",'JUNIO 2026'!Z98="POR RECOGER"),'JUNIO 2026'!Y98,"")</f>
        <v/>
      </c>
      <c r="L619" s="381">
        <f>IF(AND('JUNIO 2026'!D98&lt;&gt;"",'JUNIO 2026'!Z98="POR RECOGER"),'JUNIO 2026'!I98,"")</f>
        <v/>
      </c>
      <c r="P619" s="194" t="n"/>
      <c r="Q619" s="194" t="n"/>
      <c r="R619" s="194" t="n"/>
      <c r="S619" s="194" t="n"/>
      <c r="T619" s="194" t="n"/>
      <c r="U619" s="194" t="n"/>
      <c r="V619" s="194" t="n"/>
      <c r="W619" s="194" t="n"/>
      <c r="X619" s="194" t="n"/>
      <c r="Y619" s="194" t="n"/>
      <c r="Z619" s="194" t="n"/>
    </row>
    <row r="620" ht="15" customHeight="1" s="195">
      <c r="A620" s="381">
        <f>IF(AND('JUNIO 2026'!D99&lt;&gt;"",'JUNIO 2026'!Z99="POR RECOGER"),"JUN","")</f>
        <v/>
      </c>
      <c r="B620" s="381">
        <f>IF(AND('JUNIO 2026'!D99&lt;&gt;"",'JUNIO 2026'!Z99="POR RECOGER"),IF('JUNIO 2026'!Y99&lt;&gt;"",'JUNIO 2026'!Y99,'JUNIO 2026'!I99),"")</f>
        <v/>
      </c>
      <c r="C620" s="381">
        <f>IF(AND('JUNIO 2026'!D99&lt;&gt;"",'JUNIO 2026'!Z99="POR RECOGER"),'JUNIO 2026'!D99,"")</f>
        <v/>
      </c>
      <c r="D620" s="381">
        <f>IF(AND('JUNIO 2026'!D99&lt;&gt;"",'JUNIO 2026'!Z99="POR RECOGER"),'JUNIO 2026'!F99,"")</f>
        <v/>
      </c>
      <c r="E620" s="381">
        <f>IF(AND('JUNIO 2026'!D99&lt;&gt;"",'JUNIO 2026'!Z99="POR RECOGER"),TEXT('JUNIO 2026'!G99,"DD/MM/YYYY"),"")</f>
        <v/>
      </c>
      <c r="F620" s="381">
        <f>IF(AND('JUNIO 2026'!D99&lt;&gt;"",'JUNIO 2026'!Z99="POR RECOGER"),'JUNIO 2026'!K99,"")</f>
        <v/>
      </c>
      <c r="G620" s="382">
        <f>IF(AND('JUNIO 2026'!D99&lt;&gt;"",'JUNIO 2026'!Z99="POR RECOGER"),'JUNIO 2026'!M99,"")</f>
        <v/>
      </c>
      <c r="H620" s="382">
        <f>IF(AND('JUNIO 2026'!D99&lt;&gt;"",'JUNIO 2026'!Z99="POR RECOGER"),'JUNIO 2026'!N99,"")</f>
        <v/>
      </c>
      <c r="I620" s="381">
        <f>IF(AND('JUNIO 2026'!D99&lt;&gt;"",'JUNIO 2026'!Z99="POR RECOGER"),'JUNIO 2026'!P99,"")</f>
        <v/>
      </c>
      <c r="J620" s="381">
        <f>IF(AND('JUNIO 2026'!D99&lt;&gt;"",'JUNIO 2026'!Z99="POR RECOGER"),'JUNIO 2026'!Q99,"")</f>
        <v/>
      </c>
      <c r="K620" s="381">
        <f>IF(AND('JUNIO 2026'!D99&lt;&gt;"",'JUNIO 2026'!Z99="POR RECOGER"),'JUNIO 2026'!Y99,"")</f>
        <v/>
      </c>
      <c r="L620" s="381">
        <f>IF(AND('JUNIO 2026'!D99&lt;&gt;"",'JUNIO 2026'!Z99="POR RECOGER"),'JUNIO 2026'!I99,"")</f>
        <v/>
      </c>
      <c r="P620" s="194" t="n"/>
      <c r="Q620" s="194" t="n"/>
      <c r="R620" s="194" t="n"/>
      <c r="S620" s="194" t="n"/>
      <c r="T620" s="194" t="n"/>
      <c r="U620" s="194" t="n"/>
      <c r="V620" s="194" t="n"/>
      <c r="W620" s="194" t="n"/>
      <c r="X620" s="194" t="n"/>
      <c r="Y620" s="194" t="n"/>
      <c r="Z620" s="194" t="n"/>
    </row>
    <row r="621" ht="15" customHeight="1" s="195">
      <c r="A621" s="381">
        <f>IF(AND('JUNIO 2026'!D100&lt;&gt;"",'JUNIO 2026'!Z100="POR RECOGER"),"JUN","")</f>
        <v/>
      </c>
      <c r="B621" s="381">
        <f>IF(AND('JUNIO 2026'!D100&lt;&gt;"",'JUNIO 2026'!Z100="POR RECOGER"),IF('JUNIO 2026'!Y100&lt;&gt;"",'JUNIO 2026'!Y100,'JUNIO 2026'!I100),"")</f>
        <v/>
      </c>
      <c r="C621" s="381">
        <f>IF(AND('JUNIO 2026'!D100&lt;&gt;"",'JUNIO 2026'!Z100="POR RECOGER"),'JUNIO 2026'!D100,"")</f>
        <v/>
      </c>
      <c r="D621" s="381">
        <f>IF(AND('JUNIO 2026'!D100&lt;&gt;"",'JUNIO 2026'!Z100="POR RECOGER"),'JUNIO 2026'!F100,"")</f>
        <v/>
      </c>
      <c r="E621" s="381">
        <f>IF(AND('JUNIO 2026'!D100&lt;&gt;"",'JUNIO 2026'!Z100="POR RECOGER"),TEXT('JUNIO 2026'!G100,"DD/MM/YYYY"),"")</f>
        <v/>
      </c>
      <c r="F621" s="381">
        <f>IF(AND('JUNIO 2026'!D100&lt;&gt;"",'JUNIO 2026'!Z100="POR RECOGER"),'JUNIO 2026'!K100,"")</f>
        <v/>
      </c>
      <c r="G621" s="382">
        <f>IF(AND('JUNIO 2026'!D100&lt;&gt;"",'JUNIO 2026'!Z100="POR RECOGER"),'JUNIO 2026'!M100,"")</f>
        <v/>
      </c>
      <c r="H621" s="382">
        <f>IF(AND('JUNIO 2026'!D100&lt;&gt;"",'JUNIO 2026'!Z100="POR RECOGER"),'JUNIO 2026'!N100,"")</f>
        <v/>
      </c>
      <c r="I621" s="381">
        <f>IF(AND('JUNIO 2026'!D100&lt;&gt;"",'JUNIO 2026'!Z100="POR RECOGER"),'JUNIO 2026'!P100,"")</f>
        <v/>
      </c>
      <c r="J621" s="381">
        <f>IF(AND('JUNIO 2026'!D100&lt;&gt;"",'JUNIO 2026'!Z100="POR RECOGER"),'JUNIO 2026'!Q100,"")</f>
        <v/>
      </c>
      <c r="K621" s="381">
        <f>IF(AND('JUNIO 2026'!D100&lt;&gt;"",'JUNIO 2026'!Z100="POR RECOGER"),'JUNIO 2026'!Y100,"")</f>
        <v/>
      </c>
      <c r="L621" s="381">
        <f>IF(AND('JUNIO 2026'!D100&lt;&gt;"",'JUNIO 2026'!Z100="POR RECOGER"),'JUNIO 2026'!I100,"")</f>
        <v/>
      </c>
      <c r="P621" s="194" t="n"/>
      <c r="Q621" s="194" t="n"/>
      <c r="R621" s="194" t="n"/>
      <c r="S621" s="194" t="n"/>
      <c r="T621" s="194" t="n"/>
      <c r="U621" s="194" t="n"/>
      <c r="V621" s="194" t="n"/>
      <c r="W621" s="194" t="n"/>
      <c r="X621" s="194" t="n"/>
      <c r="Y621" s="194" t="n"/>
      <c r="Z621" s="194" t="n"/>
    </row>
    <row r="622" ht="15" customHeight="1" s="195">
      <c r="A622" s="381">
        <f>IF(AND('JUNIO 2026'!D101&lt;&gt;"",'JUNIO 2026'!Z101="POR RECOGER"),"JUN","")</f>
        <v/>
      </c>
      <c r="B622" s="381">
        <f>IF(AND('JUNIO 2026'!D101&lt;&gt;"",'JUNIO 2026'!Z101="POR RECOGER"),IF('JUNIO 2026'!Y101&lt;&gt;"",'JUNIO 2026'!Y101,'JUNIO 2026'!I101),"")</f>
        <v/>
      </c>
      <c r="C622" s="381">
        <f>IF(AND('JUNIO 2026'!D101&lt;&gt;"",'JUNIO 2026'!Z101="POR RECOGER"),'JUNIO 2026'!D101,"")</f>
        <v/>
      </c>
      <c r="D622" s="381">
        <f>IF(AND('JUNIO 2026'!D101&lt;&gt;"",'JUNIO 2026'!Z101="POR RECOGER"),'JUNIO 2026'!F101,"")</f>
        <v/>
      </c>
      <c r="E622" s="381">
        <f>IF(AND('JUNIO 2026'!D101&lt;&gt;"",'JUNIO 2026'!Z101="POR RECOGER"),TEXT('JUNIO 2026'!G101,"DD/MM/YYYY"),"")</f>
        <v/>
      </c>
      <c r="F622" s="381">
        <f>IF(AND('JUNIO 2026'!D101&lt;&gt;"",'JUNIO 2026'!Z101="POR RECOGER"),'JUNIO 2026'!K101,"")</f>
        <v/>
      </c>
      <c r="G622" s="382">
        <f>IF(AND('JUNIO 2026'!D101&lt;&gt;"",'JUNIO 2026'!Z101="POR RECOGER"),'JUNIO 2026'!M101,"")</f>
        <v/>
      </c>
      <c r="H622" s="382">
        <f>IF(AND('JUNIO 2026'!D101&lt;&gt;"",'JUNIO 2026'!Z101="POR RECOGER"),'JUNIO 2026'!N101,"")</f>
        <v/>
      </c>
      <c r="I622" s="381">
        <f>IF(AND('JUNIO 2026'!D101&lt;&gt;"",'JUNIO 2026'!Z101="POR RECOGER"),'JUNIO 2026'!P101,"")</f>
        <v/>
      </c>
      <c r="J622" s="381">
        <f>IF(AND('JUNIO 2026'!D101&lt;&gt;"",'JUNIO 2026'!Z101="POR RECOGER"),'JUNIO 2026'!Q101,"")</f>
        <v/>
      </c>
      <c r="K622" s="381">
        <f>IF(AND('JUNIO 2026'!D101&lt;&gt;"",'JUNIO 2026'!Z101="POR RECOGER"),'JUNIO 2026'!Y101,"")</f>
        <v/>
      </c>
      <c r="L622" s="381">
        <f>IF(AND('JUNIO 2026'!D101&lt;&gt;"",'JUNIO 2026'!Z101="POR RECOGER"),'JUNIO 2026'!I101,"")</f>
        <v/>
      </c>
      <c r="P622" s="194" t="n"/>
      <c r="Q622" s="194" t="n"/>
      <c r="R622" s="194" t="n"/>
      <c r="S622" s="194" t="n"/>
      <c r="T622" s="194" t="n"/>
      <c r="U622" s="194" t="n"/>
      <c r="V622" s="194" t="n"/>
      <c r="W622" s="194" t="n"/>
      <c r="X622" s="194" t="n"/>
      <c r="Y622" s="194" t="n"/>
      <c r="Z622" s="194" t="n"/>
    </row>
    <row r="623" ht="15" customHeight="1" s="195">
      <c r="A623" s="381">
        <f>IF(AND('JUNIO 2026'!D102&lt;&gt;"",'JUNIO 2026'!Z102="POR RECOGER"),"JUN","")</f>
        <v/>
      </c>
      <c r="B623" s="381">
        <f>IF(AND('JUNIO 2026'!D102&lt;&gt;"",'JUNIO 2026'!Z102="POR RECOGER"),IF('JUNIO 2026'!Y102&lt;&gt;"",'JUNIO 2026'!Y102,'JUNIO 2026'!I102),"")</f>
        <v/>
      </c>
      <c r="C623" s="381">
        <f>IF(AND('JUNIO 2026'!D102&lt;&gt;"",'JUNIO 2026'!Z102="POR RECOGER"),'JUNIO 2026'!D102,"")</f>
        <v/>
      </c>
      <c r="D623" s="381">
        <f>IF(AND('JUNIO 2026'!D102&lt;&gt;"",'JUNIO 2026'!Z102="POR RECOGER"),'JUNIO 2026'!F102,"")</f>
        <v/>
      </c>
      <c r="E623" s="381">
        <f>IF(AND('JUNIO 2026'!D102&lt;&gt;"",'JUNIO 2026'!Z102="POR RECOGER"),TEXT('JUNIO 2026'!G102,"DD/MM/YYYY"),"")</f>
        <v/>
      </c>
      <c r="F623" s="381">
        <f>IF(AND('JUNIO 2026'!D102&lt;&gt;"",'JUNIO 2026'!Z102="POR RECOGER"),'JUNIO 2026'!K102,"")</f>
        <v/>
      </c>
      <c r="G623" s="382">
        <f>IF(AND('JUNIO 2026'!D102&lt;&gt;"",'JUNIO 2026'!Z102="POR RECOGER"),'JUNIO 2026'!M102,"")</f>
        <v/>
      </c>
      <c r="H623" s="382">
        <f>IF(AND('JUNIO 2026'!D102&lt;&gt;"",'JUNIO 2026'!Z102="POR RECOGER"),'JUNIO 2026'!N102,"")</f>
        <v/>
      </c>
      <c r="I623" s="381">
        <f>IF(AND('JUNIO 2026'!D102&lt;&gt;"",'JUNIO 2026'!Z102="POR RECOGER"),'JUNIO 2026'!P102,"")</f>
        <v/>
      </c>
      <c r="J623" s="381">
        <f>IF(AND('JUNIO 2026'!D102&lt;&gt;"",'JUNIO 2026'!Z102="POR RECOGER"),'JUNIO 2026'!Q102,"")</f>
        <v/>
      </c>
      <c r="K623" s="381">
        <f>IF(AND('JUNIO 2026'!D102&lt;&gt;"",'JUNIO 2026'!Z102="POR RECOGER"),'JUNIO 2026'!Y102,"")</f>
        <v/>
      </c>
      <c r="L623" s="381">
        <f>IF(AND('JUNIO 2026'!D102&lt;&gt;"",'JUNIO 2026'!Z102="POR RECOGER"),'JUNIO 2026'!I102,"")</f>
        <v/>
      </c>
      <c r="P623" s="194" t="n"/>
      <c r="Q623" s="194" t="n"/>
      <c r="R623" s="194" t="n"/>
      <c r="S623" s="194" t="n"/>
      <c r="T623" s="194" t="n"/>
      <c r="U623" s="194" t="n"/>
      <c r="V623" s="194" t="n"/>
      <c r="W623" s="194" t="n"/>
      <c r="X623" s="194" t="n"/>
      <c r="Y623" s="194" t="n"/>
      <c r="Z623" s="194" t="n"/>
    </row>
    <row r="624" ht="15" customHeight="1" s="195">
      <c r="A624" s="381">
        <f>IF(AND('JUNIO 2026'!D103&lt;&gt;"",'JUNIO 2026'!Z103="POR RECOGER"),"JUN","")</f>
        <v/>
      </c>
      <c r="B624" s="381">
        <f>IF(AND('JUNIO 2026'!D103&lt;&gt;"",'JUNIO 2026'!Z103="POR RECOGER"),IF('JUNIO 2026'!Y103&lt;&gt;"",'JUNIO 2026'!Y103,'JUNIO 2026'!I103),"")</f>
        <v/>
      </c>
      <c r="C624" s="381">
        <f>IF(AND('JUNIO 2026'!D103&lt;&gt;"",'JUNIO 2026'!Z103="POR RECOGER"),'JUNIO 2026'!D103,"")</f>
        <v/>
      </c>
      <c r="D624" s="381">
        <f>IF(AND('JUNIO 2026'!D103&lt;&gt;"",'JUNIO 2026'!Z103="POR RECOGER"),'JUNIO 2026'!F103,"")</f>
        <v/>
      </c>
      <c r="E624" s="381">
        <f>IF(AND('JUNIO 2026'!D103&lt;&gt;"",'JUNIO 2026'!Z103="POR RECOGER"),TEXT('JUNIO 2026'!G103,"DD/MM/YYYY"),"")</f>
        <v/>
      </c>
      <c r="F624" s="381">
        <f>IF(AND('JUNIO 2026'!D103&lt;&gt;"",'JUNIO 2026'!Z103="POR RECOGER"),'JUNIO 2026'!K103,"")</f>
        <v/>
      </c>
      <c r="G624" s="382">
        <f>IF(AND('JUNIO 2026'!D103&lt;&gt;"",'JUNIO 2026'!Z103="POR RECOGER"),'JUNIO 2026'!M103,"")</f>
        <v/>
      </c>
      <c r="H624" s="382">
        <f>IF(AND('JUNIO 2026'!D103&lt;&gt;"",'JUNIO 2026'!Z103="POR RECOGER"),'JUNIO 2026'!N103,"")</f>
        <v/>
      </c>
      <c r="I624" s="381">
        <f>IF(AND('JUNIO 2026'!D103&lt;&gt;"",'JUNIO 2026'!Z103="POR RECOGER"),'JUNIO 2026'!P103,"")</f>
        <v/>
      </c>
      <c r="J624" s="381">
        <f>IF(AND('JUNIO 2026'!D103&lt;&gt;"",'JUNIO 2026'!Z103="POR RECOGER"),'JUNIO 2026'!Q103,"")</f>
        <v/>
      </c>
      <c r="K624" s="381">
        <f>IF(AND('JUNIO 2026'!D103&lt;&gt;"",'JUNIO 2026'!Z103="POR RECOGER"),'JUNIO 2026'!Y103,"")</f>
        <v/>
      </c>
      <c r="L624" s="381">
        <f>IF(AND('JUNIO 2026'!D103&lt;&gt;"",'JUNIO 2026'!Z103="POR RECOGER"),'JUNIO 2026'!I103,"")</f>
        <v/>
      </c>
      <c r="P624" s="194" t="n"/>
      <c r="Q624" s="194" t="n"/>
      <c r="R624" s="194" t="n"/>
      <c r="S624" s="194" t="n"/>
      <c r="T624" s="194" t="n"/>
      <c r="U624" s="194" t="n"/>
      <c r="V624" s="194" t="n"/>
      <c r="W624" s="194" t="n"/>
      <c r="X624" s="194" t="n"/>
      <c r="Y624" s="194" t="n"/>
      <c r="Z624" s="194" t="n"/>
    </row>
    <row r="625" ht="15" customHeight="1" s="195">
      <c r="A625" s="381">
        <f>IF(AND('JUNIO 2026'!D104&lt;&gt;"",'JUNIO 2026'!Z104="POR RECOGER"),"JUN","")</f>
        <v/>
      </c>
      <c r="B625" s="381">
        <f>IF(AND('JUNIO 2026'!D104&lt;&gt;"",'JUNIO 2026'!Z104="POR RECOGER"),IF('JUNIO 2026'!Y104&lt;&gt;"",'JUNIO 2026'!Y104,'JUNIO 2026'!I104),"")</f>
        <v/>
      </c>
      <c r="C625" s="381">
        <f>IF(AND('JUNIO 2026'!D104&lt;&gt;"",'JUNIO 2026'!Z104="POR RECOGER"),'JUNIO 2026'!D104,"")</f>
        <v/>
      </c>
      <c r="D625" s="381">
        <f>IF(AND('JUNIO 2026'!D104&lt;&gt;"",'JUNIO 2026'!Z104="POR RECOGER"),'JUNIO 2026'!F104,"")</f>
        <v/>
      </c>
      <c r="E625" s="381">
        <f>IF(AND('JUNIO 2026'!D104&lt;&gt;"",'JUNIO 2026'!Z104="POR RECOGER"),TEXT('JUNIO 2026'!G104,"DD/MM/YYYY"),"")</f>
        <v/>
      </c>
      <c r="F625" s="381">
        <f>IF(AND('JUNIO 2026'!D104&lt;&gt;"",'JUNIO 2026'!Z104="POR RECOGER"),'JUNIO 2026'!K104,"")</f>
        <v/>
      </c>
      <c r="G625" s="382">
        <f>IF(AND('JUNIO 2026'!D104&lt;&gt;"",'JUNIO 2026'!Z104="POR RECOGER"),'JUNIO 2026'!M104,"")</f>
        <v/>
      </c>
      <c r="H625" s="382">
        <f>IF(AND('JUNIO 2026'!D104&lt;&gt;"",'JUNIO 2026'!Z104="POR RECOGER"),'JUNIO 2026'!N104,"")</f>
        <v/>
      </c>
      <c r="I625" s="381">
        <f>IF(AND('JUNIO 2026'!D104&lt;&gt;"",'JUNIO 2026'!Z104="POR RECOGER"),'JUNIO 2026'!P104,"")</f>
        <v/>
      </c>
      <c r="J625" s="381">
        <f>IF(AND('JUNIO 2026'!D104&lt;&gt;"",'JUNIO 2026'!Z104="POR RECOGER"),'JUNIO 2026'!Q104,"")</f>
        <v/>
      </c>
      <c r="K625" s="381">
        <f>IF(AND('JUNIO 2026'!D104&lt;&gt;"",'JUNIO 2026'!Z104="POR RECOGER"),'JUNIO 2026'!Y104,"")</f>
        <v/>
      </c>
      <c r="L625" s="381">
        <f>IF(AND('JUNIO 2026'!D104&lt;&gt;"",'JUNIO 2026'!Z104="POR RECOGER"),'JUNIO 2026'!I104,"")</f>
        <v/>
      </c>
      <c r="P625" s="194" t="n"/>
      <c r="Q625" s="194" t="n"/>
      <c r="R625" s="194" t="n"/>
      <c r="S625" s="194" t="n"/>
      <c r="T625" s="194" t="n"/>
      <c r="U625" s="194" t="n"/>
      <c r="V625" s="194" t="n"/>
      <c r="W625" s="194" t="n"/>
      <c r="X625" s="194" t="n"/>
      <c r="Y625" s="194" t="n"/>
      <c r="Z625" s="194" t="n"/>
    </row>
    <row r="626" ht="15" customHeight="1" s="195">
      <c r="A626" s="381">
        <f>IF(AND('JUNIO 2026'!D105&lt;&gt;"",'JUNIO 2026'!Z105="POR RECOGER"),"JUN","")</f>
        <v/>
      </c>
      <c r="B626" s="381">
        <f>IF(AND('JUNIO 2026'!D105&lt;&gt;"",'JUNIO 2026'!Z105="POR RECOGER"),IF('JUNIO 2026'!Y105&lt;&gt;"",'JUNIO 2026'!Y105,'JUNIO 2026'!I105),"")</f>
        <v/>
      </c>
      <c r="C626" s="381">
        <f>IF(AND('JUNIO 2026'!D105&lt;&gt;"",'JUNIO 2026'!Z105="POR RECOGER"),'JUNIO 2026'!D105,"")</f>
        <v/>
      </c>
      <c r="D626" s="381">
        <f>IF(AND('JUNIO 2026'!D105&lt;&gt;"",'JUNIO 2026'!Z105="POR RECOGER"),'JUNIO 2026'!F105,"")</f>
        <v/>
      </c>
      <c r="E626" s="381">
        <f>IF(AND('JUNIO 2026'!D105&lt;&gt;"",'JUNIO 2026'!Z105="POR RECOGER"),TEXT('JUNIO 2026'!G105,"DD/MM/YYYY"),"")</f>
        <v/>
      </c>
      <c r="F626" s="381">
        <f>IF(AND('JUNIO 2026'!D105&lt;&gt;"",'JUNIO 2026'!Z105="POR RECOGER"),'JUNIO 2026'!K105,"")</f>
        <v/>
      </c>
      <c r="G626" s="382">
        <f>IF(AND('JUNIO 2026'!D105&lt;&gt;"",'JUNIO 2026'!Z105="POR RECOGER"),'JUNIO 2026'!M105,"")</f>
        <v/>
      </c>
      <c r="H626" s="382">
        <f>IF(AND('JUNIO 2026'!D105&lt;&gt;"",'JUNIO 2026'!Z105="POR RECOGER"),'JUNIO 2026'!N105,"")</f>
        <v/>
      </c>
      <c r="I626" s="381">
        <f>IF(AND('JUNIO 2026'!D105&lt;&gt;"",'JUNIO 2026'!Z105="POR RECOGER"),'JUNIO 2026'!P105,"")</f>
        <v/>
      </c>
      <c r="J626" s="381">
        <f>IF(AND('JUNIO 2026'!D105&lt;&gt;"",'JUNIO 2026'!Z105="POR RECOGER"),'JUNIO 2026'!Q105,"")</f>
        <v/>
      </c>
      <c r="K626" s="381">
        <f>IF(AND('JUNIO 2026'!D105&lt;&gt;"",'JUNIO 2026'!Z105="POR RECOGER"),'JUNIO 2026'!Y105,"")</f>
        <v/>
      </c>
      <c r="L626" s="381">
        <f>IF(AND('JUNIO 2026'!D105&lt;&gt;"",'JUNIO 2026'!Z105="POR RECOGER"),'JUNIO 2026'!I105,"")</f>
        <v/>
      </c>
      <c r="P626" s="194" t="n"/>
      <c r="Q626" s="194" t="n"/>
      <c r="R626" s="194" t="n"/>
      <c r="S626" s="194" t="n"/>
      <c r="T626" s="194" t="n"/>
      <c r="U626" s="194" t="n"/>
      <c r="V626" s="194" t="n"/>
      <c r="W626" s="194" t="n"/>
      <c r="X626" s="194" t="n"/>
      <c r="Y626" s="194" t="n"/>
      <c r="Z626" s="194" t="n"/>
    </row>
    <row r="627" ht="15" customHeight="1" s="195">
      <c r="A627" s="381">
        <f>IF(AND('JUNIO 2026'!D106&lt;&gt;"",'JUNIO 2026'!Z106="POR RECOGER"),"JUN","")</f>
        <v/>
      </c>
      <c r="B627" s="381">
        <f>IF(AND('JUNIO 2026'!D106&lt;&gt;"",'JUNIO 2026'!Z106="POR RECOGER"),IF('JUNIO 2026'!Y106&lt;&gt;"",'JUNIO 2026'!Y106,'JUNIO 2026'!I106),"")</f>
        <v/>
      </c>
      <c r="C627" s="381">
        <f>IF(AND('JUNIO 2026'!D106&lt;&gt;"",'JUNIO 2026'!Z106="POR RECOGER"),'JUNIO 2026'!D106,"")</f>
        <v/>
      </c>
      <c r="D627" s="381">
        <f>IF(AND('JUNIO 2026'!D106&lt;&gt;"",'JUNIO 2026'!Z106="POR RECOGER"),'JUNIO 2026'!F106,"")</f>
        <v/>
      </c>
      <c r="E627" s="381">
        <f>IF(AND('JUNIO 2026'!D106&lt;&gt;"",'JUNIO 2026'!Z106="POR RECOGER"),TEXT('JUNIO 2026'!G106,"DD/MM/YYYY"),"")</f>
        <v/>
      </c>
      <c r="F627" s="381">
        <f>IF(AND('JUNIO 2026'!D106&lt;&gt;"",'JUNIO 2026'!Z106="POR RECOGER"),'JUNIO 2026'!K106,"")</f>
        <v/>
      </c>
      <c r="G627" s="382">
        <f>IF(AND('JUNIO 2026'!D106&lt;&gt;"",'JUNIO 2026'!Z106="POR RECOGER"),'JUNIO 2026'!M106,"")</f>
        <v/>
      </c>
      <c r="H627" s="382">
        <f>IF(AND('JUNIO 2026'!D106&lt;&gt;"",'JUNIO 2026'!Z106="POR RECOGER"),'JUNIO 2026'!N106,"")</f>
        <v/>
      </c>
      <c r="I627" s="381">
        <f>IF(AND('JUNIO 2026'!D106&lt;&gt;"",'JUNIO 2026'!Z106="POR RECOGER"),'JUNIO 2026'!P106,"")</f>
        <v/>
      </c>
      <c r="J627" s="381">
        <f>IF(AND('JUNIO 2026'!D106&lt;&gt;"",'JUNIO 2026'!Z106="POR RECOGER"),'JUNIO 2026'!Q106,"")</f>
        <v/>
      </c>
      <c r="K627" s="381">
        <f>IF(AND('JUNIO 2026'!D106&lt;&gt;"",'JUNIO 2026'!Z106="POR RECOGER"),'JUNIO 2026'!Y106,"")</f>
        <v/>
      </c>
      <c r="L627" s="381">
        <f>IF(AND('JUNIO 2026'!D106&lt;&gt;"",'JUNIO 2026'!Z106="POR RECOGER"),'JUNIO 2026'!I106,"")</f>
        <v/>
      </c>
      <c r="P627" s="194" t="n"/>
      <c r="Q627" s="194" t="n"/>
      <c r="R627" s="194" t="n"/>
      <c r="S627" s="194" t="n"/>
      <c r="T627" s="194" t="n"/>
      <c r="U627" s="194" t="n"/>
      <c r="V627" s="194" t="n"/>
      <c r="W627" s="194" t="n"/>
      <c r="X627" s="194" t="n"/>
      <c r="Y627" s="194" t="n"/>
      <c r="Z627" s="194" t="n"/>
    </row>
    <row r="628" ht="15" customHeight="1" s="195">
      <c r="A628" s="381">
        <f>IF(AND('JUNIO 2026'!D107&lt;&gt;"",'JUNIO 2026'!Z107="POR RECOGER"),"JUN","")</f>
        <v/>
      </c>
      <c r="B628" s="381">
        <f>IF(AND('JUNIO 2026'!D107&lt;&gt;"",'JUNIO 2026'!Z107="POR RECOGER"),IF('JUNIO 2026'!Y107&lt;&gt;"",'JUNIO 2026'!Y107,'JUNIO 2026'!I107),"")</f>
        <v/>
      </c>
      <c r="C628" s="381">
        <f>IF(AND('JUNIO 2026'!D107&lt;&gt;"",'JUNIO 2026'!Z107="POR RECOGER"),'JUNIO 2026'!D107,"")</f>
        <v/>
      </c>
      <c r="D628" s="381">
        <f>IF(AND('JUNIO 2026'!D107&lt;&gt;"",'JUNIO 2026'!Z107="POR RECOGER"),'JUNIO 2026'!F107,"")</f>
        <v/>
      </c>
      <c r="E628" s="381">
        <f>IF(AND('JUNIO 2026'!D107&lt;&gt;"",'JUNIO 2026'!Z107="POR RECOGER"),TEXT('JUNIO 2026'!G107,"DD/MM/YYYY"),"")</f>
        <v/>
      </c>
      <c r="F628" s="381">
        <f>IF(AND('JUNIO 2026'!D107&lt;&gt;"",'JUNIO 2026'!Z107="POR RECOGER"),'JUNIO 2026'!K107,"")</f>
        <v/>
      </c>
      <c r="G628" s="382">
        <f>IF(AND('JUNIO 2026'!D107&lt;&gt;"",'JUNIO 2026'!Z107="POR RECOGER"),'JUNIO 2026'!M107,"")</f>
        <v/>
      </c>
      <c r="H628" s="382">
        <f>IF(AND('JUNIO 2026'!D107&lt;&gt;"",'JUNIO 2026'!Z107="POR RECOGER"),'JUNIO 2026'!N107,"")</f>
        <v/>
      </c>
      <c r="I628" s="381">
        <f>IF(AND('JUNIO 2026'!D107&lt;&gt;"",'JUNIO 2026'!Z107="POR RECOGER"),'JUNIO 2026'!P107,"")</f>
        <v/>
      </c>
      <c r="J628" s="381">
        <f>IF(AND('JUNIO 2026'!D107&lt;&gt;"",'JUNIO 2026'!Z107="POR RECOGER"),'JUNIO 2026'!Q107,"")</f>
        <v/>
      </c>
      <c r="K628" s="381">
        <f>IF(AND('JUNIO 2026'!D107&lt;&gt;"",'JUNIO 2026'!Z107="POR RECOGER"),'JUNIO 2026'!Y107,"")</f>
        <v/>
      </c>
      <c r="L628" s="381">
        <f>IF(AND('JUNIO 2026'!D107&lt;&gt;"",'JUNIO 2026'!Z107="POR RECOGER"),'JUNIO 2026'!I107,"")</f>
        <v/>
      </c>
      <c r="P628" s="194" t="n"/>
      <c r="Q628" s="194" t="n"/>
      <c r="R628" s="194" t="n"/>
      <c r="S628" s="194" t="n"/>
      <c r="T628" s="194" t="n"/>
      <c r="U628" s="194" t="n"/>
      <c r="V628" s="194" t="n"/>
      <c r="W628" s="194" t="n"/>
      <c r="X628" s="194" t="n"/>
      <c r="Y628" s="194" t="n"/>
      <c r="Z628" s="194" t="n"/>
    </row>
    <row r="629" ht="15" customHeight="1" s="195">
      <c r="A629" s="381">
        <f>IF(AND('JUNIO 2026'!D108&lt;&gt;"",'JUNIO 2026'!Z108="POR RECOGER"),"JUN","")</f>
        <v/>
      </c>
      <c r="B629" s="381">
        <f>IF(AND('JUNIO 2026'!D108&lt;&gt;"",'JUNIO 2026'!Z108="POR RECOGER"),IF('JUNIO 2026'!Y108&lt;&gt;"",'JUNIO 2026'!Y108,'JUNIO 2026'!I108),"")</f>
        <v/>
      </c>
      <c r="C629" s="381">
        <f>IF(AND('JUNIO 2026'!D108&lt;&gt;"",'JUNIO 2026'!Z108="POR RECOGER"),'JUNIO 2026'!D108,"")</f>
        <v/>
      </c>
      <c r="D629" s="381">
        <f>IF(AND('JUNIO 2026'!D108&lt;&gt;"",'JUNIO 2026'!Z108="POR RECOGER"),'JUNIO 2026'!F108,"")</f>
        <v/>
      </c>
      <c r="E629" s="381">
        <f>IF(AND('JUNIO 2026'!D108&lt;&gt;"",'JUNIO 2026'!Z108="POR RECOGER"),TEXT('JUNIO 2026'!G108,"DD/MM/YYYY"),"")</f>
        <v/>
      </c>
      <c r="F629" s="381">
        <f>IF(AND('JUNIO 2026'!D108&lt;&gt;"",'JUNIO 2026'!Z108="POR RECOGER"),'JUNIO 2026'!K108,"")</f>
        <v/>
      </c>
      <c r="G629" s="382">
        <f>IF(AND('JUNIO 2026'!D108&lt;&gt;"",'JUNIO 2026'!Z108="POR RECOGER"),'JUNIO 2026'!M108,"")</f>
        <v/>
      </c>
      <c r="H629" s="382">
        <f>IF(AND('JUNIO 2026'!D108&lt;&gt;"",'JUNIO 2026'!Z108="POR RECOGER"),'JUNIO 2026'!N108,"")</f>
        <v/>
      </c>
      <c r="I629" s="381">
        <f>IF(AND('JUNIO 2026'!D108&lt;&gt;"",'JUNIO 2026'!Z108="POR RECOGER"),'JUNIO 2026'!P108,"")</f>
        <v/>
      </c>
      <c r="J629" s="381">
        <f>IF(AND('JUNIO 2026'!D108&lt;&gt;"",'JUNIO 2026'!Z108="POR RECOGER"),'JUNIO 2026'!Q108,"")</f>
        <v/>
      </c>
      <c r="K629" s="381">
        <f>IF(AND('JUNIO 2026'!D108&lt;&gt;"",'JUNIO 2026'!Z108="POR RECOGER"),'JUNIO 2026'!Y108,"")</f>
        <v/>
      </c>
      <c r="L629" s="381">
        <f>IF(AND('JUNIO 2026'!D108&lt;&gt;"",'JUNIO 2026'!Z108="POR RECOGER"),'JUNIO 2026'!I108,"")</f>
        <v/>
      </c>
      <c r="P629" s="194" t="n"/>
      <c r="Q629" s="194" t="n"/>
      <c r="R629" s="194" t="n"/>
      <c r="S629" s="194" t="n"/>
      <c r="T629" s="194" t="n"/>
      <c r="U629" s="194" t="n"/>
      <c r="V629" s="194" t="n"/>
      <c r="W629" s="194" t="n"/>
      <c r="X629" s="194" t="n"/>
      <c r="Y629" s="194" t="n"/>
      <c r="Z629" s="194" t="n"/>
    </row>
    <row r="630" ht="15" customHeight="1" s="195">
      <c r="A630" s="381">
        <f>IF(AND('JUNIO 2026'!D109&lt;&gt;"",'JUNIO 2026'!Z109="POR RECOGER"),"JUN","")</f>
        <v/>
      </c>
      <c r="B630" s="381">
        <f>IF(AND('JUNIO 2026'!D109&lt;&gt;"",'JUNIO 2026'!Z109="POR RECOGER"),IF('JUNIO 2026'!Y109&lt;&gt;"",'JUNIO 2026'!Y109,'JUNIO 2026'!I109),"")</f>
        <v/>
      </c>
      <c r="C630" s="381">
        <f>IF(AND('JUNIO 2026'!D109&lt;&gt;"",'JUNIO 2026'!Z109="POR RECOGER"),'JUNIO 2026'!D109,"")</f>
        <v/>
      </c>
      <c r="D630" s="381">
        <f>IF(AND('JUNIO 2026'!D109&lt;&gt;"",'JUNIO 2026'!Z109="POR RECOGER"),'JUNIO 2026'!F109,"")</f>
        <v/>
      </c>
      <c r="E630" s="381">
        <f>IF(AND('JUNIO 2026'!D109&lt;&gt;"",'JUNIO 2026'!Z109="POR RECOGER"),TEXT('JUNIO 2026'!G109,"DD/MM/YYYY"),"")</f>
        <v/>
      </c>
      <c r="F630" s="381">
        <f>IF(AND('JUNIO 2026'!D109&lt;&gt;"",'JUNIO 2026'!Z109="POR RECOGER"),'JUNIO 2026'!K109,"")</f>
        <v/>
      </c>
      <c r="G630" s="382">
        <f>IF(AND('JUNIO 2026'!D109&lt;&gt;"",'JUNIO 2026'!Z109="POR RECOGER"),'JUNIO 2026'!M109,"")</f>
        <v/>
      </c>
      <c r="H630" s="382">
        <f>IF(AND('JUNIO 2026'!D109&lt;&gt;"",'JUNIO 2026'!Z109="POR RECOGER"),'JUNIO 2026'!N109,"")</f>
        <v/>
      </c>
      <c r="I630" s="381">
        <f>IF(AND('JUNIO 2026'!D109&lt;&gt;"",'JUNIO 2026'!Z109="POR RECOGER"),'JUNIO 2026'!P109,"")</f>
        <v/>
      </c>
      <c r="J630" s="381">
        <f>IF(AND('JUNIO 2026'!D109&lt;&gt;"",'JUNIO 2026'!Z109="POR RECOGER"),'JUNIO 2026'!Q109,"")</f>
        <v/>
      </c>
      <c r="K630" s="381">
        <f>IF(AND('JUNIO 2026'!D109&lt;&gt;"",'JUNIO 2026'!Z109="POR RECOGER"),'JUNIO 2026'!Y109,"")</f>
        <v/>
      </c>
      <c r="L630" s="381">
        <f>IF(AND('JUNIO 2026'!D109&lt;&gt;"",'JUNIO 2026'!Z109="POR RECOGER"),'JUNIO 2026'!I109,"")</f>
        <v/>
      </c>
      <c r="P630" s="194" t="n"/>
      <c r="Q630" s="194" t="n"/>
      <c r="R630" s="194" t="n"/>
      <c r="S630" s="194" t="n"/>
      <c r="T630" s="194" t="n"/>
      <c r="U630" s="194" t="n"/>
      <c r="V630" s="194" t="n"/>
      <c r="W630" s="194" t="n"/>
      <c r="X630" s="194" t="n"/>
      <c r="Y630" s="194" t="n"/>
      <c r="Z630" s="194" t="n"/>
    </row>
    <row r="631" ht="15" customHeight="1" s="195">
      <c r="A631" s="381">
        <f>IF(AND('JUNIO 2026'!D110&lt;&gt;"",'JUNIO 2026'!Z110="POR RECOGER"),"JUN","")</f>
        <v/>
      </c>
      <c r="B631" s="381">
        <f>IF(AND('JUNIO 2026'!D110&lt;&gt;"",'JUNIO 2026'!Z110="POR RECOGER"),IF('JUNIO 2026'!Y110&lt;&gt;"",'JUNIO 2026'!Y110,'JUNIO 2026'!I110),"")</f>
        <v/>
      </c>
      <c r="C631" s="381">
        <f>IF(AND('JUNIO 2026'!D110&lt;&gt;"",'JUNIO 2026'!Z110="POR RECOGER"),'JUNIO 2026'!D110,"")</f>
        <v/>
      </c>
      <c r="D631" s="381">
        <f>IF(AND('JUNIO 2026'!D110&lt;&gt;"",'JUNIO 2026'!Z110="POR RECOGER"),'JUNIO 2026'!F110,"")</f>
        <v/>
      </c>
      <c r="E631" s="381">
        <f>IF(AND('JUNIO 2026'!D110&lt;&gt;"",'JUNIO 2026'!Z110="POR RECOGER"),TEXT('JUNIO 2026'!G110,"DD/MM/YYYY"),"")</f>
        <v/>
      </c>
      <c r="F631" s="381">
        <f>IF(AND('JUNIO 2026'!D110&lt;&gt;"",'JUNIO 2026'!Z110="POR RECOGER"),'JUNIO 2026'!K110,"")</f>
        <v/>
      </c>
      <c r="G631" s="382">
        <f>IF(AND('JUNIO 2026'!D110&lt;&gt;"",'JUNIO 2026'!Z110="POR RECOGER"),'JUNIO 2026'!M110,"")</f>
        <v/>
      </c>
      <c r="H631" s="382">
        <f>IF(AND('JUNIO 2026'!D110&lt;&gt;"",'JUNIO 2026'!Z110="POR RECOGER"),'JUNIO 2026'!N110,"")</f>
        <v/>
      </c>
      <c r="I631" s="381">
        <f>IF(AND('JUNIO 2026'!D110&lt;&gt;"",'JUNIO 2026'!Z110="POR RECOGER"),'JUNIO 2026'!P110,"")</f>
        <v/>
      </c>
      <c r="J631" s="381">
        <f>IF(AND('JUNIO 2026'!D110&lt;&gt;"",'JUNIO 2026'!Z110="POR RECOGER"),'JUNIO 2026'!Q110,"")</f>
        <v/>
      </c>
      <c r="K631" s="381">
        <f>IF(AND('JUNIO 2026'!D110&lt;&gt;"",'JUNIO 2026'!Z110="POR RECOGER"),'JUNIO 2026'!Y110,"")</f>
        <v/>
      </c>
      <c r="L631" s="381">
        <f>IF(AND('JUNIO 2026'!D110&lt;&gt;"",'JUNIO 2026'!Z110="POR RECOGER"),'JUNIO 2026'!I110,"")</f>
        <v/>
      </c>
      <c r="P631" s="194" t="n"/>
      <c r="Q631" s="194" t="n"/>
      <c r="R631" s="194" t="n"/>
      <c r="S631" s="194" t="n"/>
      <c r="T631" s="194" t="n"/>
      <c r="U631" s="194" t="n"/>
      <c r="V631" s="194" t="n"/>
      <c r="W631" s="194" t="n"/>
      <c r="X631" s="194" t="n"/>
      <c r="Y631" s="194" t="n"/>
      <c r="Z631" s="194" t="n"/>
    </row>
    <row r="632" ht="15" customHeight="1" s="195">
      <c r="A632" s="381">
        <f>IF(AND('JULIO 2026'!D6&lt;&gt;"",'JULIO 2026'!Z6="POR RECOGER"),"JUL","")</f>
        <v/>
      </c>
      <c r="B632" s="381">
        <f>IF(AND('JULIO 2026'!D6&lt;&gt;"",'JULIO 2026'!Z6="POR RECOGER"),IF('JULIO 2026'!Y6&lt;&gt;"",'JULIO 2026'!Y6,'JULIO 2026'!I6),"")</f>
        <v/>
      </c>
      <c r="C632" s="381">
        <f>IF(AND('JULIO 2026'!D6&lt;&gt;"",'JULIO 2026'!Z6="POR RECOGER"),'JULIO 2026'!D6,"")</f>
        <v/>
      </c>
      <c r="D632" s="381">
        <f>IF(AND('JULIO 2026'!D6&lt;&gt;"",'JULIO 2026'!Z6="POR RECOGER"),'JULIO 2026'!F6,"")</f>
        <v/>
      </c>
      <c r="E632" s="381">
        <f>IF(AND('JULIO 2026'!D6&lt;&gt;"",'JULIO 2026'!Z6="POR RECOGER"),TEXT('JULIO 2026'!G6,"DD/MM/YYYY"),"")</f>
        <v/>
      </c>
      <c r="F632" s="381">
        <f>IF(AND('JULIO 2026'!D6&lt;&gt;"",'JULIO 2026'!Z6="POR RECOGER"),'JULIO 2026'!K6,"")</f>
        <v/>
      </c>
      <c r="G632" s="382">
        <f>IF(AND('JULIO 2026'!D6&lt;&gt;"",'JULIO 2026'!Z6="POR RECOGER"),'JULIO 2026'!M6,"")</f>
        <v/>
      </c>
      <c r="H632" s="382">
        <f>IF(AND('JULIO 2026'!D6&lt;&gt;"",'JULIO 2026'!Z6="POR RECOGER"),'JULIO 2026'!N6,"")</f>
        <v/>
      </c>
      <c r="I632" s="381">
        <f>IF(AND('JULIO 2026'!D6&lt;&gt;"",'JULIO 2026'!Z6="POR RECOGER"),'JULIO 2026'!P6,"")</f>
        <v/>
      </c>
      <c r="J632" s="381">
        <f>IF(AND('JULIO 2026'!D6&lt;&gt;"",'JULIO 2026'!Z6="POR RECOGER"),'JULIO 2026'!Q6,"")</f>
        <v/>
      </c>
      <c r="K632" s="381">
        <f>IF(AND('JULIO 2026'!D6&lt;&gt;"",'JULIO 2026'!Z6="POR RECOGER"),'JULIO 2026'!Y6,"")</f>
        <v/>
      </c>
      <c r="L632" s="381">
        <f>IF(AND('JULIO 2026'!D6&lt;&gt;"",'JULIO 2026'!Z6="POR RECOGER"),'JULIO 2026'!I6,"")</f>
        <v/>
      </c>
      <c r="P632" s="194" t="n"/>
      <c r="Q632" s="194" t="n"/>
      <c r="R632" s="194" t="n"/>
      <c r="S632" s="194" t="n"/>
      <c r="T632" s="194" t="n"/>
      <c r="U632" s="194" t="n"/>
      <c r="V632" s="194" t="n"/>
      <c r="W632" s="194" t="n"/>
      <c r="X632" s="194" t="n"/>
      <c r="Y632" s="194" t="n"/>
      <c r="Z632" s="194" t="n"/>
    </row>
    <row r="633" ht="15" customHeight="1" s="195">
      <c r="A633" s="381">
        <f>IF(AND('JULIO 2026'!D7&lt;&gt;"",'JULIO 2026'!Z7="POR RECOGER"),"JUL","")</f>
        <v/>
      </c>
      <c r="B633" s="381">
        <f>IF(AND('JULIO 2026'!D7&lt;&gt;"",'JULIO 2026'!Z7="POR RECOGER"),IF('JULIO 2026'!Y7&lt;&gt;"",'JULIO 2026'!Y7,'JULIO 2026'!I7),"")</f>
        <v/>
      </c>
      <c r="C633" s="381">
        <f>IF(AND('JULIO 2026'!D7&lt;&gt;"",'JULIO 2026'!Z7="POR RECOGER"),'JULIO 2026'!D7,"")</f>
        <v/>
      </c>
      <c r="D633" s="381">
        <f>IF(AND('JULIO 2026'!D7&lt;&gt;"",'JULIO 2026'!Z7="POR RECOGER"),'JULIO 2026'!F7,"")</f>
        <v/>
      </c>
      <c r="E633" s="381">
        <f>IF(AND('JULIO 2026'!D7&lt;&gt;"",'JULIO 2026'!Z7="POR RECOGER"),TEXT('JULIO 2026'!G7,"DD/MM/YYYY"),"")</f>
        <v/>
      </c>
      <c r="F633" s="381">
        <f>IF(AND('JULIO 2026'!D7&lt;&gt;"",'JULIO 2026'!Z7="POR RECOGER"),'JULIO 2026'!K7,"")</f>
        <v/>
      </c>
      <c r="G633" s="382">
        <f>IF(AND('JULIO 2026'!D7&lt;&gt;"",'JULIO 2026'!Z7="POR RECOGER"),'JULIO 2026'!M7,"")</f>
        <v/>
      </c>
      <c r="H633" s="382">
        <f>IF(AND('JULIO 2026'!D7&lt;&gt;"",'JULIO 2026'!Z7="POR RECOGER"),'JULIO 2026'!N7,"")</f>
        <v/>
      </c>
      <c r="I633" s="381">
        <f>IF(AND('JULIO 2026'!D7&lt;&gt;"",'JULIO 2026'!Z7="POR RECOGER"),'JULIO 2026'!P7,"")</f>
        <v/>
      </c>
      <c r="J633" s="381">
        <f>IF(AND('JULIO 2026'!D7&lt;&gt;"",'JULIO 2026'!Z7="POR RECOGER"),'JULIO 2026'!Q7,"")</f>
        <v/>
      </c>
      <c r="K633" s="381">
        <f>IF(AND('JULIO 2026'!D7&lt;&gt;"",'JULIO 2026'!Z7="POR RECOGER"),'JULIO 2026'!Y7,"")</f>
        <v/>
      </c>
      <c r="L633" s="381">
        <f>IF(AND('JULIO 2026'!D7&lt;&gt;"",'JULIO 2026'!Z7="POR RECOGER"),'JULIO 2026'!I7,"")</f>
        <v/>
      </c>
      <c r="P633" s="194" t="n"/>
      <c r="Q633" s="194" t="n"/>
      <c r="R633" s="194" t="n"/>
      <c r="S633" s="194" t="n"/>
      <c r="T633" s="194" t="n"/>
      <c r="U633" s="194" t="n"/>
      <c r="V633" s="194" t="n"/>
      <c r="W633" s="194" t="n"/>
      <c r="X633" s="194" t="n"/>
      <c r="Y633" s="194" t="n"/>
      <c r="Z633" s="194" t="n"/>
    </row>
    <row r="634" ht="15" customHeight="1" s="195">
      <c r="A634" s="381">
        <f>IF(AND('JULIO 2026'!D8&lt;&gt;"",'JULIO 2026'!Z8="POR RECOGER"),"JUL","")</f>
        <v/>
      </c>
      <c r="B634" s="381">
        <f>IF(AND('JULIO 2026'!D8&lt;&gt;"",'JULIO 2026'!Z8="POR RECOGER"),IF('JULIO 2026'!Y8&lt;&gt;"",'JULIO 2026'!Y8,'JULIO 2026'!I8),"")</f>
        <v/>
      </c>
      <c r="C634" s="381">
        <f>IF(AND('JULIO 2026'!D8&lt;&gt;"",'JULIO 2026'!Z8="POR RECOGER"),'JULIO 2026'!D8,"")</f>
        <v/>
      </c>
      <c r="D634" s="381">
        <f>IF(AND('JULIO 2026'!D8&lt;&gt;"",'JULIO 2026'!Z8="POR RECOGER"),'JULIO 2026'!F8,"")</f>
        <v/>
      </c>
      <c r="E634" s="381">
        <f>IF(AND('JULIO 2026'!D8&lt;&gt;"",'JULIO 2026'!Z8="POR RECOGER"),TEXT('JULIO 2026'!G8,"DD/MM/YYYY"),"")</f>
        <v/>
      </c>
      <c r="F634" s="381">
        <f>IF(AND('JULIO 2026'!D8&lt;&gt;"",'JULIO 2026'!Z8="POR RECOGER"),'JULIO 2026'!K8,"")</f>
        <v/>
      </c>
      <c r="G634" s="382">
        <f>IF(AND('JULIO 2026'!D8&lt;&gt;"",'JULIO 2026'!Z8="POR RECOGER"),'JULIO 2026'!M8,"")</f>
        <v/>
      </c>
      <c r="H634" s="382">
        <f>IF(AND('JULIO 2026'!D8&lt;&gt;"",'JULIO 2026'!Z8="POR RECOGER"),'JULIO 2026'!N8,"")</f>
        <v/>
      </c>
      <c r="I634" s="381">
        <f>IF(AND('JULIO 2026'!D8&lt;&gt;"",'JULIO 2026'!Z8="POR RECOGER"),'JULIO 2026'!P8,"")</f>
        <v/>
      </c>
      <c r="J634" s="381">
        <f>IF(AND('JULIO 2026'!D8&lt;&gt;"",'JULIO 2026'!Z8="POR RECOGER"),'JULIO 2026'!Q8,"")</f>
        <v/>
      </c>
      <c r="K634" s="381">
        <f>IF(AND('JULIO 2026'!D8&lt;&gt;"",'JULIO 2026'!Z8="POR RECOGER"),'JULIO 2026'!Y8,"")</f>
        <v/>
      </c>
      <c r="L634" s="381">
        <f>IF(AND('JULIO 2026'!D8&lt;&gt;"",'JULIO 2026'!Z8="POR RECOGER"),'JULIO 2026'!I8,"")</f>
        <v/>
      </c>
      <c r="P634" s="194" t="n"/>
      <c r="Q634" s="194" t="n"/>
      <c r="R634" s="194" t="n"/>
      <c r="S634" s="194" t="n"/>
      <c r="T634" s="194" t="n"/>
      <c r="U634" s="194" t="n"/>
      <c r="V634" s="194" t="n"/>
      <c r="W634" s="194" t="n"/>
      <c r="X634" s="194" t="n"/>
      <c r="Y634" s="194" t="n"/>
      <c r="Z634" s="194" t="n"/>
    </row>
    <row r="635" ht="15" customHeight="1" s="195">
      <c r="A635" s="381">
        <f>IF(AND('JULIO 2026'!D9&lt;&gt;"",'JULIO 2026'!Z9="POR RECOGER"),"JUL","")</f>
        <v/>
      </c>
      <c r="B635" s="381">
        <f>IF(AND('JULIO 2026'!D9&lt;&gt;"",'JULIO 2026'!Z9="POR RECOGER"),IF('JULIO 2026'!Y9&lt;&gt;"",'JULIO 2026'!Y9,'JULIO 2026'!I9),"")</f>
        <v/>
      </c>
      <c r="C635" s="381">
        <f>IF(AND('JULIO 2026'!D9&lt;&gt;"",'JULIO 2026'!Z9="POR RECOGER"),'JULIO 2026'!D9,"")</f>
        <v/>
      </c>
      <c r="D635" s="381">
        <f>IF(AND('JULIO 2026'!D9&lt;&gt;"",'JULIO 2026'!Z9="POR RECOGER"),'JULIO 2026'!F9,"")</f>
        <v/>
      </c>
      <c r="E635" s="381">
        <f>IF(AND('JULIO 2026'!D9&lt;&gt;"",'JULIO 2026'!Z9="POR RECOGER"),TEXT('JULIO 2026'!G9,"DD/MM/YYYY"),"")</f>
        <v/>
      </c>
      <c r="F635" s="381">
        <f>IF(AND('JULIO 2026'!D9&lt;&gt;"",'JULIO 2026'!Z9="POR RECOGER"),'JULIO 2026'!K9,"")</f>
        <v/>
      </c>
      <c r="G635" s="382">
        <f>IF(AND('JULIO 2026'!D9&lt;&gt;"",'JULIO 2026'!Z9="POR RECOGER"),'JULIO 2026'!M9,"")</f>
        <v/>
      </c>
      <c r="H635" s="382">
        <f>IF(AND('JULIO 2026'!D9&lt;&gt;"",'JULIO 2026'!Z9="POR RECOGER"),'JULIO 2026'!N9,"")</f>
        <v/>
      </c>
      <c r="I635" s="381">
        <f>IF(AND('JULIO 2026'!D9&lt;&gt;"",'JULIO 2026'!Z9="POR RECOGER"),'JULIO 2026'!P9,"")</f>
        <v/>
      </c>
      <c r="J635" s="381">
        <f>IF(AND('JULIO 2026'!D9&lt;&gt;"",'JULIO 2026'!Z9="POR RECOGER"),'JULIO 2026'!Q9,"")</f>
        <v/>
      </c>
      <c r="K635" s="381">
        <f>IF(AND('JULIO 2026'!D9&lt;&gt;"",'JULIO 2026'!Z9="POR RECOGER"),'JULIO 2026'!Y9,"")</f>
        <v/>
      </c>
      <c r="L635" s="381">
        <f>IF(AND('JULIO 2026'!D9&lt;&gt;"",'JULIO 2026'!Z9="POR RECOGER"),'JULIO 2026'!I9,"")</f>
        <v/>
      </c>
      <c r="P635" s="194" t="n"/>
      <c r="Q635" s="194" t="n"/>
      <c r="R635" s="194" t="n"/>
      <c r="S635" s="194" t="n"/>
      <c r="T635" s="194" t="n"/>
      <c r="U635" s="194" t="n"/>
      <c r="V635" s="194" t="n"/>
      <c r="W635" s="194" t="n"/>
      <c r="X635" s="194" t="n"/>
      <c r="Y635" s="194" t="n"/>
      <c r="Z635" s="194" t="n"/>
    </row>
    <row r="636" ht="15" customHeight="1" s="195">
      <c r="A636" s="381">
        <f>IF(AND('JULIO 2026'!D10&lt;&gt;"",'JULIO 2026'!Z10="POR RECOGER"),"JUL","")</f>
        <v/>
      </c>
      <c r="B636" s="381">
        <f>IF(AND('JULIO 2026'!D10&lt;&gt;"",'JULIO 2026'!Z10="POR RECOGER"),IF('JULIO 2026'!Y10&lt;&gt;"",'JULIO 2026'!Y10,'JULIO 2026'!I10),"")</f>
        <v/>
      </c>
      <c r="C636" s="381">
        <f>IF(AND('JULIO 2026'!D10&lt;&gt;"",'JULIO 2026'!Z10="POR RECOGER"),'JULIO 2026'!D10,"")</f>
        <v/>
      </c>
      <c r="D636" s="381">
        <f>IF(AND('JULIO 2026'!D10&lt;&gt;"",'JULIO 2026'!Z10="POR RECOGER"),'JULIO 2026'!F10,"")</f>
        <v/>
      </c>
      <c r="E636" s="381">
        <f>IF(AND('JULIO 2026'!D10&lt;&gt;"",'JULIO 2026'!Z10="POR RECOGER"),TEXT('JULIO 2026'!G10,"DD/MM/YYYY"),"")</f>
        <v/>
      </c>
      <c r="F636" s="381">
        <f>IF(AND('JULIO 2026'!D10&lt;&gt;"",'JULIO 2026'!Z10="POR RECOGER"),'JULIO 2026'!K10,"")</f>
        <v/>
      </c>
      <c r="G636" s="382">
        <f>IF(AND('JULIO 2026'!D10&lt;&gt;"",'JULIO 2026'!Z10="POR RECOGER"),'JULIO 2026'!M10,"")</f>
        <v/>
      </c>
      <c r="H636" s="382">
        <f>IF(AND('JULIO 2026'!D10&lt;&gt;"",'JULIO 2026'!Z10="POR RECOGER"),'JULIO 2026'!N10,"")</f>
        <v/>
      </c>
      <c r="I636" s="381">
        <f>IF(AND('JULIO 2026'!D10&lt;&gt;"",'JULIO 2026'!Z10="POR RECOGER"),'JULIO 2026'!P10,"")</f>
        <v/>
      </c>
      <c r="J636" s="381">
        <f>IF(AND('JULIO 2026'!D10&lt;&gt;"",'JULIO 2026'!Z10="POR RECOGER"),'JULIO 2026'!Q10,"")</f>
        <v/>
      </c>
      <c r="K636" s="381">
        <f>IF(AND('JULIO 2026'!D10&lt;&gt;"",'JULIO 2026'!Z10="POR RECOGER"),'JULIO 2026'!Y10,"")</f>
        <v/>
      </c>
      <c r="L636" s="381">
        <f>IF(AND('JULIO 2026'!D10&lt;&gt;"",'JULIO 2026'!Z10="POR RECOGER"),'JULIO 2026'!I10,"")</f>
        <v/>
      </c>
      <c r="P636" s="194" t="n"/>
      <c r="Q636" s="194" t="n"/>
      <c r="R636" s="194" t="n"/>
      <c r="S636" s="194" t="n"/>
      <c r="T636" s="194" t="n"/>
      <c r="U636" s="194" t="n"/>
      <c r="V636" s="194" t="n"/>
      <c r="W636" s="194" t="n"/>
      <c r="X636" s="194" t="n"/>
      <c r="Y636" s="194" t="n"/>
      <c r="Z636" s="194" t="n"/>
    </row>
    <row r="637" ht="15" customHeight="1" s="195">
      <c r="A637" s="381">
        <f>IF(AND('JULIO 2026'!D11&lt;&gt;"",'JULIO 2026'!Z11="POR RECOGER"),"JUL","")</f>
        <v/>
      </c>
      <c r="B637" s="381">
        <f>IF(AND('JULIO 2026'!D11&lt;&gt;"",'JULIO 2026'!Z11="POR RECOGER"),IF('JULIO 2026'!Y11&lt;&gt;"",'JULIO 2026'!Y11,'JULIO 2026'!I11),"")</f>
        <v/>
      </c>
      <c r="C637" s="381">
        <f>IF(AND('JULIO 2026'!D11&lt;&gt;"",'JULIO 2026'!Z11="POR RECOGER"),'JULIO 2026'!D11,"")</f>
        <v/>
      </c>
      <c r="D637" s="381">
        <f>IF(AND('JULIO 2026'!D11&lt;&gt;"",'JULIO 2026'!Z11="POR RECOGER"),'JULIO 2026'!F11,"")</f>
        <v/>
      </c>
      <c r="E637" s="381">
        <f>IF(AND('JULIO 2026'!D11&lt;&gt;"",'JULIO 2026'!Z11="POR RECOGER"),TEXT('JULIO 2026'!G11,"DD/MM/YYYY"),"")</f>
        <v/>
      </c>
      <c r="F637" s="381">
        <f>IF(AND('JULIO 2026'!D11&lt;&gt;"",'JULIO 2026'!Z11="POR RECOGER"),'JULIO 2026'!K11,"")</f>
        <v/>
      </c>
      <c r="G637" s="382">
        <f>IF(AND('JULIO 2026'!D11&lt;&gt;"",'JULIO 2026'!Z11="POR RECOGER"),'JULIO 2026'!M11,"")</f>
        <v/>
      </c>
      <c r="H637" s="382">
        <f>IF(AND('JULIO 2026'!D11&lt;&gt;"",'JULIO 2026'!Z11="POR RECOGER"),'JULIO 2026'!N11,"")</f>
        <v/>
      </c>
      <c r="I637" s="381">
        <f>IF(AND('JULIO 2026'!D11&lt;&gt;"",'JULIO 2026'!Z11="POR RECOGER"),'JULIO 2026'!P11,"")</f>
        <v/>
      </c>
      <c r="J637" s="381">
        <f>IF(AND('JULIO 2026'!D11&lt;&gt;"",'JULIO 2026'!Z11="POR RECOGER"),'JULIO 2026'!Q11,"")</f>
        <v/>
      </c>
      <c r="K637" s="381">
        <f>IF(AND('JULIO 2026'!D11&lt;&gt;"",'JULIO 2026'!Z11="POR RECOGER"),'JULIO 2026'!Y11,"")</f>
        <v/>
      </c>
      <c r="L637" s="381">
        <f>IF(AND('JULIO 2026'!D11&lt;&gt;"",'JULIO 2026'!Z11="POR RECOGER"),'JULIO 2026'!I11,"")</f>
        <v/>
      </c>
      <c r="P637" s="194" t="n"/>
      <c r="Q637" s="194" t="n"/>
      <c r="R637" s="194" t="n"/>
      <c r="S637" s="194" t="n"/>
      <c r="T637" s="194" t="n"/>
      <c r="U637" s="194" t="n"/>
      <c r="V637" s="194" t="n"/>
      <c r="W637" s="194" t="n"/>
      <c r="X637" s="194" t="n"/>
      <c r="Y637" s="194" t="n"/>
      <c r="Z637" s="194" t="n"/>
    </row>
    <row r="638" ht="15" customHeight="1" s="195">
      <c r="A638" s="381">
        <f>IF(AND('JULIO 2026'!D12&lt;&gt;"",'JULIO 2026'!Z12="POR RECOGER"),"JUL","")</f>
        <v/>
      </c>
      <c r="B638" s="381">
        <f>IF(AND('JULIO 2026'!D12&lt;&gt;"",'JULIO 2026'!Z12="POR RECOGER"),IF('JULIO 2026'!Y12&lt;&gt;"",'JULIO 2026'!Y12,'JULIO 2026'!I12),"")</f>
        <v/>
      </c>
      <c r="C638" s="381">
        <f>IF(AND('JULIO 2026'!D12&lt;&gt;"",'JULIO 2026'!Z12="POR RECOGER"),'JULIO 2026'!D12,"")</f>
        <v/>
      </c>
      <c r="D638" s="381">
        <f>IF(AND('JULIO 2026'!D12&lt;&gt;"",'JULIO 2026'!Z12="POR RECOGER"),'JULIO 2026'!F12,"")</f>
        <v/>
      </c>
      <c r="E638" s="381">
        <f>IF(AND('JULIO 2026'!D12&lt;&gt;"",'JULIO 2026'!Z12="POR RECOGER"),TEXT('JULIO 2026'!G12,"DD/MM/YYYY"),"")</f>
        <v/>
      </c>
      <c r="F638" s="381">
        <f>IF(AND('JULIO 2026'!D12&lt;&gt;"",'JULIO 2026'!Z12="POR RECOGER"),'JULIO 2026'!K12,"")</f>
        <v/>
      </c>
      <c r="G638" s="382">
        <f>IF(AND('JULIO 2026'!D12&lt;&gt;"",'JULIO 2026'!Z12="POR RECOGER"),'JULIO 2026'!M12,"")</f>
        <v/>
      </c>
      <c r="H638" s="382">
        <f>IF(AND('JULIO 2026'!D12&lt;&gt;"",'JULIO 2026'!Z12="POR RECOGER"),'JULIO 2026'!N12,"")</f>
        <v/>
      </c>
      <c r="I638" s="381">
        <f>IF(AND('JULIO 2026'!D12&lt;&gt;"",'JULIO 2026'!Z12="POR RECOGER"),'JULIO 2026'!P12,"")</f>
        <v/>
      </c>
      <c r="J638" s="381">
        <f>IF(AND('JULIO 2026'!D12&lt;&gt;"",'JULIO 2026'!Z12="POR RECOGER"),'JULIO 2026'!Q12,"")</f>
        <v/>
      </c>
      <c r="K638" s="381">
        <f>IF(AND('JULIO 2026'!D12&lt;&gt;"",'JULIO 2026'!Z12="POR RECOGER"),'JULIO 2026'!Y12,"")</f>
        <v/>
      </c>
      <c r="L638" s="381">
        <f>IF(AND('JULIO 2026'!D12&lt;&gt;"",'JULIO 2026'!Z12="POR RECOGER"),'JULIO 2026'!I12,"")</f>
        <v/>
      </c>
      <c r="P638" s="194" t="n"/>
      <c r="Q638" s="194" t="n"/>
      <c r="R638" s="194" t="n"/>
      <c r="S638" s="194" t="n"/>
      <c r="T638" s="194" t="n"/>
      <c r="U638" s="194" t="n"/>
      <c r="V638" s="194" t="n"/>
      <c r="W638" s="194" t="n"/>
      <c r="X638" s="194" t="n"/>
      <c r="Y638" s="194" t="n"/>
      <c r="Z638" s="194" t="n"/>
    </row>
    <row r="639" ht="15" customHeight="1" s="195">
      <c r="A639" s="381">
        <f>IF(AND('JULIO 2026'!D13&lt;&gt;"",'JULIO 2026'!Z13="POR RECOGER"),"JUL","")</f>
        <v/>
      </c>
      <c r="B639" s="381">
        <f>IF(AND('JULIO 2026'!D13&lt;&gt;"",'JULIO 2026'!Z13="POR RECOGER"),IF('JULIO 2026'!Y13&lt;&gt;"",'JULIO 2026'!Y13,'JULIO 2026'!I13),"")</f>
        <v/>
      </c>
      <c r="C639" s="381">
        <f>IF(AND('JULIO 2026'!D13&lt;&gt;"",'JULIO 2026'!Z13="POR RECOGER"),'JULIO 2026'!D13,"")</f>
        <v/>
      </c>
      <c r="D639" s="381">
        <f>IF(AND('JULIO 2026'!D13&lt;&gt;"",'JULIO 2026'!Z13="POR RECOGER"),'JULIO 2026'!F13,"")</f>
        <v/>
      </c>
      <c r="E639" s="381">
        <f>IF(AND('JULIO 2026'!D13&lt;&gt;"",'JULIO 2026'!Z13="POR RECOGER"),TEXT('JULIO 2026'!G13,"DD/MM/YYYY"),"")</f>
        <v/>
      </c>
      <c r="F639" s="381">
        <f>IF(AND('JULIO 2026'!D13&lt;&gt;"",'JULIO 2026'!Z13="POR RECOGER"),'JULIO 2026'!K13,"")</f>
        <v/>
      </c>
      <c r="G639" s="382">
        <f>IF(AND('JULIO 2026'!D13&lt;&gt;"",'JULIO 2026'!Z13="POR RECOGER"),'JULIO 2026'!M13,"")</f>
        <v/>
      </c>
      <c r="H639" s="382">
        <f>IF(AND('JULIO 2026'!D13&lt;&gt;"",'JULIO 2026'!Z13="POR RECOGER"),'JULIO 2026'!N13,"")</f>
        <v/>
      </c>
      <c r="I639" s="381">
        <f>IF(AND('JULIO 2026'!D13&lt;&gt;"",'JULIO 2026'!Z13="POR RECOGER"),'JULIO 2026'!P13,"")</f>
        <v/>
      </c>
      <c r="J639" s="381">
        <f>IF(AND('JULIO 2026'!D13&lt;&gt;"",'JULIO 2026'!Z13="POR RECOGER"),'JULIO 2026'!Q13,"")</f>
        <v/>
      </c>
      <c r="K639" s="381">
        <f>IF(AND('JULIO 2026'!D13&lt;&gt;"",'JULIO 2026'!Z13="POR RECOGER"),'JULIO 2026'!Y13,"")</f>
        <v/>
      </c>
      <c r="L639" s="381">
        <f>IF(AND('JULIO 2026'!D13&lt;&gt;"",'JULIO 2026'!Z13="POR RECOGER"),'JULIO 2026'!I13,"")</f>
        <v/>
      </c>
      <c r="P639" s="194" t="n"/>
      <c r="Q639" s="194" t="n"/>
      <c r="R639" s="194" t="n"/>
      <c r="S639" s="194" t="n"/>
      <c r="T639" s="194" t="n"/>
      <c r="U639" s="194" t="n"/>
      <c r="V639" s="194" t="n"/>
      <c r="W639" s="194" t="n"/>
      <c r="X639" s="194" t="n"/>
      <c r="Y639" s="194" t="n"/>
      <c r="Z639" s="194" t="n"/>
    </row>
    <row r="640" ht="15" customHeight="1" s="195">
      <c r="A640" s="381">
        <f>IF(AND('JULIO 2026'!D14&lt;&gt;"",'JULIO 2026'!Z14="POR RECOGER"),"JUL","")</f>
        <v/>
      </c>
      <c r="B640" s="381">
        <f>IF(AND('JULIO 2026'!D14&lt;&gt;"",'JULIO 2026'!Z14="POR RECOGER"),IF('JULIO 2026'!Y14&lt;&gt;"",'JULIO 2026'!Y14,'JULIO 2026'!I14),"")</f>
        <v/>
      </c>
      <c r="C640" s="381">
        <f>IF(AND('JULIO 2026'!D14&lt;&gt;"",'JULIO 2026'!Z14="POR RECOGER"),'JULIO 2026'!D14,"")</f>
        <v/>
      </c>
      <c r="D640" s="381">
        <f>IF(AND('JULIO 2026'!D14&lt;&gt;"",'JULIO 2026'!Z14="POR RECOGER"),'JULIO 2026'!F14,"")</f>
        <v/>
      </c>
      <c r="E640" s="381">
        <f>IF(AND('JULIO 2026'!D14&lt;&gt;"",'JULIO 2026'!Z14="POR RECOGER"),TEXT('JULIO 2026'!G14,"DD/MM/YYYY"),"")</f>
        <v/>
      </c>
      <c r="F640" s="381">
        <f>IF(AND('JULIO 2026'!D14&lt;&gt;"",'JULIO 2026'!Z14="POR RECOGER"),'JULIO 2026'!K14,"")</f>
        <v/>
      </c>
      <c r="G640" s="382">
        <f>IF(AND('JULIO 2026'!D14&lt;&gt;"",'JULIO 2026'!Z14="POR RECOGER"),'JULIO 2026'!M14,"")</f>
        <v/>
      </c>
      <c r="H640" s="382">
        <f>IF(AND('JULIO 2026'!D14&lt;&gt;"",'JULIO 2026'!Z14="POR RECOGER"),'JULIO 2026'!N14,"")</f>
        <v/>
      </c>
      <c r="I640" s="381">
        <f>IF(AND('JULIO 2026'!D14&lt;&gt;"",'JULIO 2026'!Z14="POR RECOGER"),'JULIO 2026'!P14,"")</f>
        <v/>
      </c>
      <c r="J640" s="381">
        <f>IF(AND('JULIO 2026'!D14&lt;&gt;"",'JULIO 2026'!Z14="POR RECOGER"),'JULIO 2026'!Q14,"")</f>
        <v/>
      </c>
      <c r="K640" s="381">
        <f>IF(AND('JULIO 2026'!D14&lt;&gt;"",'JULIO 2026'!Z14="POR RECOGER"),'JULIO 2026'!Y14,"")</f>
        <v/>
      </c>
      <c r="L640" s="381">
        <f>IF(AND('JULIO 2026'!D14&lt;&gt;"",'JULIO 2026'!Z14="POR RECOGER"),'JULIO 2026'!I14,"")</f>
        <v/>
      </c>
      <c r="P640" s="194" t="n"/>
      <c r="Q640" s="194" t="n"/>
      <c r="R640" s="194" t="n"/>
      <c r="S640" s="194" t="n"/>
      <c r="T640" s="194" t="n"/>
      <c r="U640" s="194" t="n"/>
      <c r="V640" s="194" t="n"/>
      <c r="W640" s="194" t="n"/>
      <c r="X640" s="194" t="n"/>
      <c r="Y640" s="194" t="n"/>
      <c r="Z640" s="194" t="n"/>
    </row>
    <row r="641" ht="15" customHeight="1" s="195">
      <c r="A641" s="381">
        <f>IF(AND('JULIO 2026'!D15&lt;&gt;"",'JULIO 2026'!Z15="POR RECOGER"),"JUL","")</f>
        <v/>
      </c>
      <c r="B641" s="381">
        <f>IF(AND('JULIO 2026'!D15&lt;&gt;"",'JULIO 2026'!Z15="POR RECOGER"),IF('JULIO 2026'!Y15&lt;&gt;"",'JULIO 2026'!Y15,'JULIO 2026'!I15),"")</f>
        <v/>
      </c>
      <c r="C641" s="381">
        <f>IF(AND('JULIO 2026'!D15&lt;&gt;"",'JULIO 2026'!Z15="POR RECOGER"),'JULIO 2026'!D15,"")</f>
        <v/>
      </c>
      <c r="D641" s="381">
        <f>IF(AND('JULIO 2026'!D15&lt;&gt;"",'JULIO 2026'!Z15="POR RECOGER"),'JULIO 2026'!F15,"")</f>
        <v/>
      </c>
      <c r="E641" s="381">
        <f>IF(AND('JULIO 2026'!D15&lt;&gt;"",'JULIO 2026'!Z15="POR RECOGER"),TEXT('JULIO 2026'!G15,"DD/MM/YYYY"),"")</f>
        <v/>
      </c>
      <c r="F641" s="381">
        <f>IF(AND('JULIO 2026'!D15&lt;&gt;"",'JULIO 2026'!Z15="POR RECOGER"),'JULIO 2026'!K15,"")</f>
        <v/>
      </c>
      <c r="G641" s="382">
        <f>IF(AND('JULIO 2026'!D15&lt;&gt;"",'JULIO 2026'!Z15="POR RECOGER"),'JULIO 2026'!M15,"")</f>
        <v/>
      </c>
      <c r="H641" s="382">
        <f>IF(AND('JULIO 2026'!D15&lt;&gt;"",'JULIO 2026'!Z15="POR RECOGER"),'JULIO 2026'!N15,"")</f>
        <v/>
      </c>
      <c r="I641" s="381">
        <f>IF(AND('JULIO 2026'!D15&lt;&gt;"",'JULIO 2026'!Z15="POR RECOGER"),'JULIO 2026'!P15,"")</f>
        <v/>
      </c>
      <c r="J641" s="381">
        <f>IF(AND('JULIO 2026'!D15&lt;&gt;"",'JULIO 2026'!Z15="POR RECOGER"),'JULIO 2026'!Q15,"")</f>
        <v/>
      </c>
      <c r="K641" s="381">
        <f>IF(AND('JULIO 2026'!D15&lt;&gt;"",'JULIO 2026'!Z15="POR RECOGER"),'JULIO 2026'!Y15,"")</f>
        <v/>
      </c>
      <c r="L641" s="381">
        <f>IF(AND('JULIO 2026'!D15&lt;&gt;"",'JULIO 2026'!Z15="POR RECOGER"),'JULIO 2026'!I15,"")</f>
        <v/>
      </c>
      <c r="P641" s="194" t="n"/>
      <c r="Q641" s="194" t="n"/>
      <c r="R641" s="194" t="n"/>
      <c r="S641" s="194" t="n"/>
      <c r="T641" s="194" t="n"/>
      <c r="U641" s="194" t="n"/>
      <c r="V641" s="194" t="n"/>
      <c r="W641" s="194" t="n"/>
      <c r="X641" s="194" t="n"/>
      <c r="Y641" s="194" t="n"/>
      <c r="Z641" s="194" t="n"/>
    </row>
    <row r="642" ht="15" customHeight="1" s="195">
      <c r="A642" s="381">
        <f>IF(AND('JULIO 2026'!D16&lt;&gt;"",'JULIO 2026'!Z16="POR RECOGER"),"JUL","")</f>
        <v/>
      </c>
      <c r="B642" s="381">
        <f>IF(AND('JULIO 2026'!D16&lt;&gt;"",'JULIO 2026'!Z16="POR RECOGER"),IF('JULIO 2026'!Y16&lt;&gt;"",'JULIO 2026'!Y16,'JULIO 2026'!I16),"")</f>
        <v/>
      </c>
      <c r="C642" s="381">
        <f>IF(AND('JULIO 2026'!D16&lt;&gt;"",'JULIO 2026'!Z16="POR RECOGER"),'JULIO 2026'!D16,"")</f>
        <v/>
      </c>
      <c r="D642" s="381">
        <f>IF(AND('JULIO 2026'!D16&lt;&gt;"",'JULIO 2026'!Z16="POR RECOGER"),'JULIO 2026'!F16,"")</f>
        <v/>
      </c>
      <c r="E642" s="381">
        <f>IF(AND('JULIO 2026'!D16&lt;&gt;"",'JULIO 2026'!Z16="POR RECOGER"),TEXT('JULIO 2026'!G16,"DD/MM/YYYY"),"")</f>
        <v/>
      </c>
      <c r="F642" s="381">
        <f>IF(AND('JULIO 2026'!D16&lt;&gt;"",'JULIO 2026'!Z16="POR RECOGER"),'JULIO 2026'!K16,"")</f>
        <v/>
      </c>
      <c r="G642" s="382">
        <f>IF(AND('JULIO 2026'!D16&lt;&gt;"",'JULIO 2026'!Z16="POR RECOGER"),'JULIO 2026'!M16,"")</f>
        <v/>
      </c>
      <c r="H642" s="382">
        <f>IF(AND('JULIO 2026'!D16&lt;&gt;"",'JULIO 2026'!Z16="POR RECOGER"),'JULIO 2026'!N16,"")</f>
        <v/>
      </c>
      <c r="I642" s="381">
        <f>IF(AND('JULIO 2026'!D16&lt;&gt;"",'JULIO 2026'!Z16="POR RECOGER"),'JULIO 2026'!P16,"")</f>
        <v/>
      </c>
      <c r="J642" s="381">
        <f>IF(AND('JULIO 2026'!D16&lt;&gt;"",'JULIO 2026'!Z16="POR RECOGER"),'JULIO 2026'!Q16,"")</f>
        <v/>
      </c>
      <c r="K642" s="381">
        <f>IF(AND('JULIO 2026'!D16&lt;&gt;"",'JULIO 2026'!Z16="POR RECOGER"),'JULIO 2026'!Y16,"")</f>
        <v/>
      </c>
      <c r="L642" s="381">
        <f>IF(AND('JULIO 2026'!D16&lt;&gt;"",'JULIO 2026'!Z16="POR RECOGER"),'JULIO 2026'!I16,"")</f>
        <v/>
      </c>
      <c r="P642" s="194" t="n"/>
      <c r="Q642" s="194" t="n"/>
      <c r="R642" s="194" t="n"/>
      <c r="S642" s="194" t="n"/>
      <c r="T642" s="194" t="n"/>
      <c r="U642" s="194" t="n"/>
      <c r="V642" s="194" t="n"/>
      <c r="W642" s="194" t="n"/>
      <c r="X642" s="194" t="n"/>
      <c r="Y642" s="194" t="n"/>
      <c r="Z642" s="194" t="n"/>
    </row>
    <row r="643" ht="15" customHeight="1" s="195">
      <c r="A643" s="381">
        <f>IF(AND('JULIO 2026'!D17&lt;&gt;"",'JULIO 2026'!Z17="POR RECOGER"),"JUL","")</f>
        <v/>
      </c>
      <c r="B643" s="381">
        <f>IF(AND('JULIO 2026'!D17&lt;&gt;"",'JULIO 2026'!Z17="POR RECOGER"),IF('JULIO 2026'!Y17&lt;&gt;"",'JULIO 2026'!Y17,'JULIO 2026'!I17),"")</f>
        <v/>
      </c>
      <c r="C643" s="381">
        <f>IF(AND('JULIO 2026'!D17&lt;&gt;"",'JULIO 2026'!Z17="POR RECOGER"),'JULIO 2026'!D17,"")</f>
        <v/>
      </c>
      <c r="D643" s="381">
        <f>IF(AND('JULIO 2026'!D17&lt;&gt;"",'JULIO 2026'!Z17="POR RECOGER"),'JULIO 2026'!F17,"")</f>
        <v/>
      </c>
      <c r="E643" s="381">
        <f>IF(AND('JULIO 2026'!D17&lt;&gt;"",'JULIO 2026'!Z17="POR RECOGER"),TEXT('JULIO 2026'!G17,"DD/MM/YYYY"),"")</f>
        <v/>
      </c>
      <c r="F643" s="381">
        <f>IF(AND('JULIO 2026'!D17&lt;&gt;"",'JULIO 2026'!Z17="POR RECOGER"),'JULIO 2026'!K17,"")</f>
        <v/>
      </c>
      <c r="G643" s="382">
        <f>IF(AND('JULIO 2026'!D17&lt;&gt;"",'JULIO 2026'!Z17="POR RECOGER"),'JULIO 2026'!M17,"")</f>
        <v/>
      </c>
      <c r="H643" s="382">
        <f>IF(AND('JULIO 2026'!D17&lt;&gt;"",'JULIO 2026'!Z17="POR RECOGER"),'JULIO 2026'!N17,"")</f>
        <v/>
      </c>
      <c r="I643" s="381">
        <f>IF(AND('JULIO 2026'!D17&lt;&gt;"",'JULIO 2026'!Z17="POR RECOGER"),'JULIO 2026'!P17,"")</f>
        <v/>
      </c>
      <c r="J643" s="381">
        <f>IF(AND('JULIO 2026'!D17&lt;&gt;"",'JULIO 2026'!Z17="POR RECOGER"),'JULIO 2026'!Q17,"")</f>
        <v/>
      </c>
      <c r="K643" s="381">
        <f>IF(AND('JULIO 2026'!D17&lt;&gt;"",'JULIO 2026'!Z17="POR RECOGER"),'JULIO 2026'!Y17,"")</f>
        <v/>
      </c>
      <c r="L643" s="381">
        <f>IF(AND('JULIO 2026'!D17&lt;&gt;"",'JULIO 2026'!Z17="POR RECOGER"),'JULIO 2026'!I17,"")</f>
        <v/>
      </c>
      <c r="P643" s="194" t="n"/>
      <c r="Q643" s="194" t="n"/>
      <c r="R643" s="194" t="n"/>
      <c r="S643" s="194" t="n"/>
      <c r="T643" s="194" t="n"/>
      <c r="U643" s="194" t="n"/>
      <c r="V643" s="194" t="n"/>
      <c r="W643" s="194" t="n"/>
      <c r="X643" s="194" t="n"/>
      <c r="Y643" s="194" t="n"/>
      <c r="Z643" s="194" t="n"/>
    </row>
    <row r="644" ht="15" customHeight="1" s="195">
      <c r="A644" s="381">
        <f>IF(AND('JULIO 2026'!D18&lt;&gt;"",'JULIO 2026'!Z18="POR RECOGER"),"JUL","")</f>
        <v/>
      </c>
      <c r="B644" s="381">
        <f>IF(AND('JULIO 2026'!D18&lt;&gt;"",'JULIO 2026'!Z18="POR RECOGER"),IF('JULIO 2026'!Y18&lt;&gt;"",'JULIO 2026'!Y18,'JULIO 2026'!I18),"")</f>
        <v/>
      </c>
      <c r="C644" s="381">
        <f>IF(AND('JULIO 2026'!D18&lt;&gt;"",'JULIO 2026'!Z18="POR RECOGER"),'JULIO 2026'!D18,"")</f>
        <v/>
      </c>
      <c r="D644" s="381">
        <f>IF(AND('JULIO 2026'!D18&lt;&gt;"",'JULIO 2026'!Z18="POR RECOGER"),'JULIO 2026'!F18,"")</f>
        <v/>
      </c>
      <c r="E644" s="381">
        <f>IF(AND('JULIO 2026'!D18&lt;&gt;"",'JULIO 2026'!Z18="POR RECOGER"),TEXT('JULIO 2026'!G18,"DD/MM/YYYY"),"")</f>
        <v/>
      </c>
      <c r="F644" s="381">
        <f>IF(AND('JULIO 2026'!D18&lt;&gt;"",'JULIO 2026'!Z18="POR RECOGER"),'JULIO 2026'!K18,"")</f>
        <v/>
      </c>
      <c r="G644" s="382">
        <f>IF(AND('JULIO 2026'!D18&lt;&gt;"",'JULIO 2026'!Z18="POR RECOGER"),'JULIO 2026'!M18,"")</f>
        <v/>
      </c>
      <c r="H644" s="382">
        <f>IF(AND('JULIO 2026'!D18&lt;&gt;"",'JULIO 2026'!Z18="POR RECOGER"),'JULIO 2026'!N18,"")</f>
        <v/>
      </c>
      <c r="I644" s="381">
        <f>IF(AND('JULIO 2026'!D18&lt;&gt;"",'JULIO 2026'!Z18="POR RECOGER"),'JULIO 2026'!P18,"")</f>
        <v/>
      </c>
      <c r="J644" s="381">
        <f>IF(AND('JULIO 2026'!D18&lt;&gt;"",'JULIO 2026'!Z18="POR RECOGER"),'JULIO 2026'!Q18,"")</f>
        <v/>
      </c>
      <c r="K644" s="381">
        <f>IF(AND('JULIO 2026'!D18&lt;&gt;"",'JULIO 2026'!Z18="POR RECOGER"),'JULIO 2026'!Y18,"")</f>
        <v/>
      </c>
      <c r="L644" s="381">
        <f>IF(AND('JULIO 2026'!D18&lt;&gt;"",'JULIO 2026'!Z18="POR RECOGER"),'JULIO 2026'!I18,"")</f>
        <v/>
      </c>
      <c r="P644" s="194" t="n"/>
      <c r="Q644" s="194" t="n"/>
      <c r="R644" s="194" t="n"/>
      <c r="S644" s="194" t="n"/>
      <c r="T644" s="194" t="n"/>
      <c r="U644" s="194" t="n"/>
      <c r="V644" s="194" t="n"/>
      <c r="W644" s="194" t="n"/>
      <c r="X644" s="194" t="n"/>
      <c r="Y644" s="194" t="n"/>
      <c r="Z644" s="194" t="n"/>
    </row>
    <row r="645" ht="15" customHeight="1" s="195">
      <c r="A645" s="381">
        <f>IF(AND('JULIO 2026'!D19&lt;&gt;"",'JULIO 2026'!Z19="POR RECOGER"),"JUL","")</f>
        <v/>
      </c>
      <c r="B645" s="381">
        <f>IF(AND('JULIO 2026'!D19&lt;&gt;"",'JULIO 2026'!Z19="POR RECOGER"),IF('JULIO 2026'!Y19&lt;&gt;"",'JULIO 2026'!Y19,'JULIO 2026'!I19),"")</f>
        <v/>
      </c>
      <c r="C645" s="381">
        <f>IF(AND('JULIO 2026'!D19&lt;&gt;"",'JULIO 2026'!Z19="POR RECOGER"),'JULIO 2026'!D19,"")</f>
        <v/>
      </c>
      <c r="D645" s="381">
        <f>IF(AND('JULIO 2026'!D19&lt;&gt;"",'JULIO 2026'!Z19="POR RECOGER"),'JULIO 2026'!F19,"")</f>
        <v/>
      </c>
      <c r="E645" s="381">
        <f>IF(AND('JULIO 2026'!D19&lt;&gt;"",'JULIO 2026'!Z19="POR RECOGER"),TEXT('JULIO 2026'!G19,"DD/MM/YYYY"),"")</f>
        <v/>
      </c>
      <c r="F645" s="381">
        <f>IF(AND('JULIO 2026'!D19&lt;&gt;"",'JULIO 2026'!Z19="POR RECOGER"),'JULIO 2026'!K19,"")</f>
        <v/>
      </c>
      <c r="G645" s="382">
        <f>IF(AND('JULIO 2026'!D19&lt;&gt;"",'JULIO 2026'!Z19="POR RECOGER"),'JULIO 2026'!M19,"")</f>
        <v/>
      </c>
      <c r="H645" s="382">
        <f>IF(AND('JULIO 2026'!D19&lt;&gt;"",'JULIO 2026'!Z19="POR RECOGER"),'JULIO 2026'!N19,"")</f>
        <v/>
      </c>
      <c r="I645" s="381">
        <f>IF(AND('JULIO 2026'!D19&lt;&gt;"",'JULIO 2026'!Z19="POR RECOGER"),'JULIO 2026'!P19,"")</f>
        <v/>
      </c>
      <c r="J645" s="381">
        <f>IF(AND('JULIO 2026'!D19&lt;&gt;"",'JULIO 2026'!Z19="POR RECOGER"),'JULIO 2026'!Q19,"")</f>
        <v/>
      </c>
      <c r="K645" s="381">
        <f>IF(AND('JULIO 2026'!D19&lt;&gt;"",'JULIO 2026'!Z19="POR RECOGER"),'JULIO 2026'!Y19,"")</f>
        <v/>
      </c>
      <c r="L645" s="381">
        <f>IF(AND('JULIO 2026'!D19&lt;&gt;"",'JULIO 2026'!Z19="POR RECOGER"),'JULIO 2026'!I19,"")</f>
        <v/>
      </c>
      <c r="P645" s="194" t="n"/>
      <c r="Q645" s="194" t="n"/>
      <c r="R645" s="194" t="n"/>
      <c r="S645" s="194" t="n"/>
      <c r="T645" s="194" t="n"/>
      <c r="U645" s="194" t="n"/>
      <c r="V645" s="194" t="n"/>
      <c r="W645" s="194" t="n"/>
      <c r="X645" s="194" t="n"/>
      <c r="Y645" s="194" t="n"/>
      <c r="Z645" s="194" t="n"/>
    </row>
    <row r="646" ht="15" customHeight="1" s="195">
      <c r="A646" s="381">
        <f>IF(AND('JULIO 2026'!D20&lt;&gt;"",'JULIO 2026'!Z20="POR RECOGER"),"JUL","")</f>
        <v/>
      </c>
      <c r="B646" s="381">
        <f>IF(AND('JULIO 2026'!D20&lt;&gt;"",'JULIO 2026'!Z20="POR RECOGER"),IF('JULIO 2026'!Y20&lt;&gt;"",'JULIO 2026'!Y20,'JULIO 2026'!I20),"")</f>
        <v/>
      </c>
      <c r="C646" s="381">
        <f>IF(AND('JULIO 2026'!D20&lt;&gt;"",'JULIO 2026'!Z20="POR RECOGER"),'JULIO 2026'!D20,"")</f>
        <v/>
      </c>
      <c r="D646" s="381">
        <f>IF(AND('JULIO 2026'!D20&lt;&gt;"",'JULIO 2026'!Z20="POR RECOGER"),'JULIO 2026'!F20,"")</f>
        <v/>
      </c>
      <c r="E646" s="381">
        <f>IF(AND('JULIO 2026'!D20&lt;&gt;"",'JULIO 2026'!Z20="POR RECOGER"),TEXT('JULIO 2026'!G20,"DD/MM/YYYY"),"")</f>
        <v/>
      </c>
      <c r="F646" s="381">
        <f>IF(AND('JULIO 2026'!D20&lt;&gt;"",'JULIO 2026'!Z20="POR RECOGER"),'JULIO 2026'!K20,"")</f>
        <v/>
      </c>
      <c r="G646" s="382">
        <f>IF(AND('JULIO 2026'!D20&lt;&gt;"",'JULIO 2026'!Z20="POR RECOGER"),'JULIO 2026'!M20,"")</f>
        <v/>
      </c>
      <c r="H646" s="382">
        <f>IF(AND('JULIO 2026'!D20&lt;&gt;"",'JULIO 2026'!Z20="POR RECOGER"),'JULIO 2026'!N20,"")</f>
        <v/>
      </c>
      <c r="I646" s="381">
        <f>IF(AND('JULIO 2026'!D20&lt;&gt;"",'JULIO 2026'!Z20="POR RECOGER"),'JULIO 2026'!P20,"")</f>
        <v/>
      </c>
      <c r="J646" s="381">
        <f>IF(AND('JULIO 2026'!D20&lt;&gt;"",'JULIO 2026'!Z20="POR RECOGER"),'JULIO 2026'!Q20,"")</f>
        <v/>
      </c>
      <c r="K646" s="381">
        <f>IF(AND('JULIO 2026'!D20&lt;&gt;"",'JULIO 2026'!Z20="POR RECOGER"),'JULIO 2026'!Y20,"")</f>
        <v/>
      </c>
      <c r="L646" s="381">
        <f>IF(AND('JULIO 2026'!D20&lt;&gt;"",'JULIO 2026'!Z20="POR RECOGER"),'JULIO 2026'!I20,"")</f>
        <v/>
      </c>
      <c r="P646" s="194" t="n"/>
      <c r="Q646" s="194" t="n"/>
      <c r="R646" s="194" t="n"/>
      <c r="S646" s="194" t="n"/>
      <c r="T646" s="194" t="n"/>
      <c r="U646" s="194" t="n"/>
      <c r="V646" s="194" t="n"/>
      <c r="W646" s="194" t="n"/>
      <c r="X646" s="194" t="n"/>
      <c r="Y646" s="194" t="n"/>
      <c r="Z646" s="194" t="n"/>
    </row>
    <row r="647" ht="15" customHeight="1" s="195">
      <c r="A647" s="381">
        <f>IF(AND('JULIO 2026'!D21&lt;&gt;"",'JULIO 2026'!Z21="POR RECOGER"),"JUL","")</f>
        <v/>
      </c>
      <c r="B647" s="381">
        <f>IF(AND('JULIO 2026'!D21&lt;&gt;"",'JULIO 2026'!Z21="POR RECOGER"),IF('JULIO 2026'!Y21&lt;&gt;"",'JULIO 2026'!Y21,'JULIO 2026'!I21),"")</f>
        <v/>
      </c>
      <c r="C647" s="381">
        <f>IF(AND('JULIO 2026'!D21&lt;&gt;"",'JULIO 2026'!Z21="POR RECOGER"),'JULIO 2026'!D21,"")</f>
        <v/>
      </c>
      <c r="D647" s="381">
        <f>IF(AND('JULIO 2026'!D21&lt;&gt;"",'JULIO 2026'!Z21="POR RECOGER"),'JULIO 2026'!F21,"")</f>
        <v/>
      </c>
      <c r="E647" s="381">
        <f>IF(AND('JULIO 2026'!D21&lt;&gt;"",'JULIO 2026'!Z21="POR RECOGER"),TEXT('JULIO 2026'!G21,"DD/MM/YYYY"),"")</f>
        <v/>
      </c>
      <c r="F647" s="381">
        <f>IF(AND('JULIO 2026'!D21&lt;&gt;"",'JULIO 2026'!Z21="POR RECOGER"),'JULIO 2026'!K21,"")</f>
        <v/>
      </c>
      <c r="G647" s="382">
        <f>IF(AND('JULIO 2026'!D21&lt;&gt;"",'JULIO 2026'!Z21="POR RECOGER"),'JULIO 2026'!M21,"")</f>
        <v/>
      </c>
      <c r="H647" s="382">
        <f>IF(AND('JULIO 2026'!D21&lt;&gt;"",'JULIO 2026'!Z21="POR RECOGER"),'JULIO 2026'!N21,"")</f>
        <v/>
      </c>
      <c r="I647" s="381">
        <f>IF(AND('JULIO 2026'!D21&lt;&gt;"",'JULIO 2026'!Z21="POR RECOGER"),'JULIO 2026'!P21,"")</f>
        <v/>
      </c>
      <c r="J647" s="381">
        <f>IF(AND('JULIO 2026'!D21&lt;&gt;"",'JULIO 2026'!Z21="POR RECOGER"),'JULIO 2026'!Q21,"")</f>
        <v/>
      </c>
      <c r="K647" s="381">
        <f>IF(AND('JULIO 2026'!D21&lt;&gt;"",'JULIO 2026'!Z21="POR RECOGER"),'JULIO 2026'!Y21,"")</f>
        <v/>
      </c>
      <c r="L647" s="381">
        <f>IF(AND('JULIO 2026'!D21&lt;&gt;"",'JULIO 2026'!Z21="POR RECOGER"),'JULIO 2026'!I21,"")</f>
        <v/>
      </c>
      <c r="P647" s="194" t="n"/>
      <c r="Q647" s="194" t="n"/>
      <c r="R647" s="194" t="n"/>
      <c r="S647" s="194" t="n"/>
      <c r="T647" s="194" t="n"/>
      <c r="U647" s="194" t="n"/>
      <c r="V647" s="194" t="n"/>
      <c r="W647" s="194" t="n"/>
      <c r="X647" s="194" t="n"/>
      <c r="Y647" s="194" t="n"/>
      <c r="Z647" s="194" t="n"/>
    </row>
    <row r="648" ht="15" customHeight="1" s="195">
      <c r="A648" s="381">
        <f>IF(AND('JULIO 2026'!D22&lt;&gt;"",'JULIO 2026'!Z22="POR RECOGER"),"JUL","")</f>
        <v/>
      </c>
      <c r="B648" s="381">
        <f>IF(AND('JULIO 2026'!D22&lt;&gt;"",'JULIO 2026'!Z22="POR RECOGER"),IF('JULIO 2026'!Y22&lt;&gt;"",'JULIO 2026'!Y22,'JULIO 2026'!I22),"")</f>
        <v/>
      </c>
      <c r="C648" s="381">
        <f>IF(AND('JULIO 2026'!D22&lt;&gt;"",'JULIO 2026'!Z22="POR RECOGER"),'JULIO 2026'!D22,"")</f>
        <v/>
      </c>
      <c r="D648" s="381">
        <f>IF(AND('JULIO 2026'!D22&lt;&gt;"",'JULIO 2026'!Z22="POR RECOGER"),'JULIO 2026'!F22,"")</f>
        <v/>
      </c>
      <c r="E648" s="381">
        <f>IF(AND('JULIO 2026'!D22&lt;&gt;"",'JULIO 2026'!Z22="POR RECOGER"),TEXT('JULIO 2026'!G22,"DD/MM/YYYY"),"")</f>
        <v/>
      </c>
      <c r="F648" s="381">
        <f>IF(AND('JULIO 2026'!D22&lt;&gt;"",'JULIO 2026'!Z22="POR RECOGER"),'JULIO 2026'!K22,"")</f>
        <v/>
      </c>
      <c r="G648" s="382">
        <f>IF(AND('JULIO 2026'!D22&lt;&gt;"",'JULIO 2026'!Z22="POR RECOGER"),'JULIO 2026'!M22,"")</f>
        <v/>
      </c>
      <c r="H648" s="382">
        <f>IF(AND('JULIO 2026'!D22&lt;&gt;"",'JULIO 2026'!Z22="POR RECOGER"),'JULIO 2026'!N22,"")</f>
        <v/>
      </c>
      <c r="I648" s="381">
        <f>IF(AND('JULIO 2026'!D22&lt;&gt;"",'JULIO 2026'!Z22="POR RECOGER"),'JULIO 2026'!P22,"")</f>
        <v/>
      </c>
      <c r="J648" s="381">
        <f>IF(AND('JULIO 2026'!D22&lt;&gt;"",'JULIO 2026'!Z22="POR RECOGER"),'JULIO 2026'!Q22,"")</f>
        <v/>
      </c>
      <c r="K648" s="381">
        <f>IF(AND('JULIO 2026'!D22&lt;&gt;"",'JULIO 2026'!Z22="POR RECOGER"),'JULIO 2026'!Y22,"")</f>
        <v/>
      </c>
      <c r="L648" s="381">
        <f>IF(AND('JULIO 2026'!D22&lt;&gt;"",'JULIO 2026'!Z22="POR RECOGER"),'JULIO 2026'!I22,"")</f>
        <v/>
      </c>
      <c r="P648" s="194" t="n"/>
      <c r="Q648" s="194" t="n"/>
      <c r="R648" s="194" t="n"/>
      <c r="S648" s="194" t="n"/>
      <c r="T648" s="194" t="n"/>
      <c r="U648" s="194" t="n"/>
      <c r="V648" s="194" t="n"/>
      <c r="W648" s="194" t="n"/>
      <c r="X648" s="194" t="n"/>
      <c r="Y648" s="194" t="n"/>
      <c r="Z648" s="194" t="n"/>
    </row>
    <row r="649" ht="15" customHeight="1" s="195">
      <c r="A649" s="381">
        <f>IF(AND('JULIO 2026'!D23&lt;&gt;"",'JULIO 2026'!Z23="POR RECOGER"),"JUL","")</f>
        <v/>
      </c>
      <c r="B649" s="381">
        <f>IF(AND('JULIO 2026'!D23&lt;&gt;"",'JULIO 2026'!Z23="POR RECOGER"),IF('JULIO 2026'!Y23&lt;&gt;"",'JULIO 2026'!Y23,'JULIO 2026'!I23),"")</f>
        <v/>
      </c>
      <c r="C649" s="381">
        <f>IF(AND('JULIO 2026'!D23&lt;&gt;"",'JULIO 2026'!Z23="POR RECOGER"),'JULIO 2026'!D23,"")</f>
        <v/>
      </c>
      <c r="D649" s="381">
        <f>IF(AND('JULIO 2026'!D23&lt;&gt;"",'JULIO 2026'!Z23="POR RECOGER"),'JULIO 2026'!F23,"")</f>
        <v/>
      </c>
      <c r="E649" s="381">
        <f>IF(AND('JULIO 2026'!D23&lt;&gt;"",'JULIO 2026'!Z23="POR RECOGER"),TEXT('JULIO 2026'!G23,"DD/MM/YYYY"),"")</f>
        <v/>
      </c>
      <c r="F649" s="381">
        <f>IF(AND('JULIO 2026'!D23&lt;&gt;"",'JULIO 2026'!Z23="POR RECOGER"),'JULIO 2026'!K23,"")</f>
        <v/>
      </c>
      <c r="G649" s="382">
        <f>IF(AND('JULIO 2026'!D23&lt;&gt;"",'JULIO 2026'!Z23="POR RECOGER"),'JULIO 2026'!M23,"")</f>
        <v/>
      </c>
      <c r="H649" s="382">
        <f>IF(AND('JULIO 2026'!D23&lt;&gt;"",'JULIO 2026'!Z23="POR RECOGER"),'JULIO 2026'!N23,"")</f>
        <v/>
      </c>
      <c r="I649" s="381">
        <f>IF(AND('JULIO 2026'!D23&lt;&gt;"",'JULIO 2026'!Z23="POR RECOGER"),'JULIO 2026'!P23,"")</f>
        <v/>
      </c>
      <c r="J649" s="381">
        <f>IF(AND('JULIO 2026'!D23&lt;&gt;"",'JULIO 2026'!Z23="POR RECOGER"),'JULIO 2026'!Q23,"")</f>
        <v/>
      </c>
      <c r="K649" s="381">
        <f>IF(AND('JULIO 2026'!D23&lt;&gt;"",'JULIO 2026'!Z23="POR RECOGER"),'JULIO 2026'!Y23,"")</f>
        <v/>
      </c>
      <c r="L649" s="381">
        <f>IF(AND('JULIO 2026'!D23&lt;&gt;"",'JULIO 2026'!Z23="POR RECOGER"),'JULIO 2026'!I23,"")</f>
        <v/>
      </c>
      <c r="P649" s="194" t="n"/>
      <c r="Q649" s="194" t="n"/>
      <c r="R649" s="194" t="n"/>
      <c r="S649" s="194" t="n"/>
      <c r="T649" s="194" t="n"/>
      <c r="U649" s="194" t="n"/>
      <c r="V649" s="194" t="n"/>
      <c r="W649" s="194" t="n"/>
      <c r="X649" s="194" t="n"/>
      <c r="Y649" s="194" t="n"/>
      <c r="Z649" s="194" t="n"/>
    </row>
    <row r="650" ht="15" customHeight="1" s="195">
      <c r="A650" s="381">
        <f>IF(AND('JULIO 2026'!D24&lt;&gt;"",'JULIO 2026'!Z24="POR RECOGER"),"JUL","")</f>
        <v/>
      </c>
      <c r="B650" s="381">
        <f>IF(AND('JULIO 2026'!D24&lt;&gt;"",'JULIO 2026'!Z24="POR RECOGER"),IF('JULIO 2026'!Y24&lt;&gt;"",'JULIO 2026'!Y24,'JULIO 2026'!I24),"")</f>
        <v/>
      </c>
      <c r="C650" s="381">
        <f>IF(AND('JULIO 2026'!D24&lt;&gt;"",'JULIO 2026'!Z24="POR RECOGER"),'JULIO 2026'!D24,"")</f>
        <v/>
      </c>
      <c r="D650" s="381">
        <f>IF(AND('JULIO 2026'!D24&lt;&gt;"",'JULIO 2026'!Z24="POR RECOGER"),'JULIO 2026'!F24,"")</f>
        <v/>
      </c>
      <c r="E650" s="381">
        <f>IF(AND('JULIO 2026'!D24&lt;&gt;"",'JULIO 2026'!Z24="POR RECOGER"),TEXT('JULIO 2026'!G24,"DD/MM/YYYY"),"")</f>
        <v/>
      </c>
      <c r="F650" s="381">
        <f>IF(AND('JULIO 2026'!D24&lt;&gt;"",'JULIO 2026'!Z24="POR RECOGER"),'JULIO 2026'!K24,"")</f>
        <v/>
      </c>
      <c r="G650" s="382">
        <f>IF(AND('JULIO 2026'!D24&lt;&gt;"",'JULIO 2026'!Z24="POR RECOGER"),'JULIO 2026'!M24,"")</f>
        <v/>
      </c>
      <c r="H650" s="382">
        <f>IF(AND('JULIO 2026'!D24&lt;&gt;"",'JULIO 2026'!Z24="POR RECOGER"),'JULIO 2026'!N24,"")</f>
        <v/>
      </c>
      <c r="I650" s="381">
        <f>IF(AND('JULIO 2026'!D24&lt;&gt;"",'JULIO 2026'!Z24="POR RECOGER"),'JULIO 2026'!P24,"")</f>
        <v/>
      </c>
      <c r="J650" s="381">
        <f>IF(AND('JULIO 2026'!D24&lt;&gt;"",'JULIO 2026'!Z24="POR RECOGER"),'JULIO 2026'!Q24,"")</f>
        <v/>
      </c>
      <c r="K650" s="381">
        <f>IF(AND('JULIO 2026'!D24&lt;&gt;"",'JULIO 2026'!Z24="POR RECOGER"),'JULIO 2026'!Y24,"")</f>
        <v/>
      </c>
      <c r="L650" s="381">
        <f>IF(AND('JULIO 2026'!D24&lt;&gt;"",'JULIO 2026'!Z24="POR RECOGER"),'JULIO 2026'!I24,"")</f>
        <v/>
      </c>
      <c r="P650" s="194" t="n"/>
      <c r="Q650" s="194" t="n"/>
      <c r="R650" s="194" t="n"/>
      <c r="S650" s="194" t="n"/>
      <c r="T650" s="194" t="n"/>
      <c r="U650" s="194" t="n"/>
      <c r="V650" s="194" t="n"/>
      <c r="W650" s="194" t="n"/>
      <c r="X650" s="194" t="n"/>
      <c r="Y650" s="194" t="n"/>
      <c r="Z650" s="194" t="n"/>
    </row>
    <row r="651" ht="15" customHeight="1" s="195">
      <c r="A651" s="381">
        <f>IF(AND('JULIO 2026'!D25&lt;&gt;"",'JULIO 2026'!Z25="POR RECOGER"),"JUL","")</f>
        <v/>
      </c>
      <c r="B651" s="381">
        <f>IF(AND('JULIO 2026'!D25&lt;&gt;"",'JULIO 2026'!Z25="POR RECOGER"),IF('JULIO 2026'!Y25&lt;&gt;"",'JULIO 2026'!Y25,'JULIO 2026'!I25),"")</f>
        <v/>
      </c>
      <c r="C651" s="381">
        <f>IF(AND('JULIO 2026'!D25&lt;&gt;"",'JULIO 2026'!Z25="POR RECOGER"),'JULIO 2026'!D25,"")</f>
        <v/>
      </c>
      <c r="D651" s="381">
        <f>IF(AND('JULIO 2026'!D25&lt;&gt;"",'JULIO 2026'!Z25="POR RECOGER"),'JULIO 2026'!F25,"")</f>
        <v/>
      </c>
      <c r="E651" s="381">
        <f>IF(AND('JULIO 2026'!D25&lt;&gt;"",'JULIO 2026'!Z25="POR RECOGER"),TEXT('JULIO 2026'!G25,"DD/MM/YYYY"),"")</f>
        <v/>
      </c>
      <c r="F651" s="381">
        <f>IF(AND('JULIO 2026'!D25&lt;&gt;"",'JULIO 2026'!Z25="POR RECOGER"),'JULIO 2026'!K25,"")</f>
        <v/>
      </c>
      <c r="G651" s="382">
        <f>IF(AND('JULIO 2026'!D25&lt;&gt;"",'JULIO 2026'!Z25="POR RECOGER"),'JULIO 2026'!M25,"")</f>
        <v/>
      </c>
      <c r="H651" s="382">
        <f>IF(AND('JULIO 2026'!D25&lt;&gt;"",'JULIO 2026'!Z25="POR RECOGER"),'JULIO 2026'!N25,"")</f>
        <v/>
      </c>
      <c r="I651" s="381">
        <f>IF(AND('JULIO 2026'!D25&lt;&gt;"",'JULIO 2026'!Z25="POR RECOGER"),'JULIO 2026'!P25,"")</f>
        <v/>
      </c>
      <c r="J651" s="381">
        <f>IF(AND('JULIO 2026'!D25&lt;&gt;"",'JULIO 2026'!Z25="POR RECOGER"),'JULIO 2026'!Q25,"")</f>
        <v/>
      </c>
      <c r="K651" s="381">
        <f>IF(AND('JULIO 2026'!D25&lt;&gt;"",'JULIO 2026'!Z25="POR RECOGER"),'JULIO 2026'!Y25,"")</f>
        <v/>
      </c>
      <c r="L651" s="381">
        <f>IF(AND('JULIO 2026'!D25&lt;&gt;"",'JULIO 2026'!Z25="POR RECOGER"),'JULIO 2026'!I25,"")</f>
        <v/>
      </c>
      <c r="P651" s="194" t="n"/>
      <c r="Q651" s="194" t="n"/>
      <c r="R651" s="194" t="n"/>
      <c r="S651" s="194" t="n"/>
      <c r="T651" s="194" t="n"/>
      <c r="U651" s="194" t="n"/>
      <c r="V651" s="194" t="n"/>
      <c r="W651" s="194" t="n"/>
      <c r="X651" s="194" t="n"/>
      <c r="Y651" s="194" t="n"/>
      <c r="Z651" s="194" t="n"/>
    </row>
    <row r="652" ht="15" customHeight="1" s="195">
      <c r="A652" s="381">
        <f>IF(AND('JULIO 2026'!D26&lt;&gt;"",'JULIO 2026'!Z26="POR RECOGER"),"JUL","")</f>
        <v/>
      </c>
      <c r="B652" s="381">
        <f>IF(AND('JULIO 2026'!D26&lt;&gt;"",'JULIO 2026'!Z26="POR RECOGER"),IF('JULIO 2026'!Y26&lt;&gt;"",'JULIO 2026'!Y26,'JULIO 2026'!I26),"")</f>
        <v/>
      </c>
      <c r="C652" s="381">
        <f>IF(AND('JULIO 2026'!D26&lt;&gt;"",'JULIO 2026'!Z26="POR RECOGER"),'JULIO 2026'!D26,"")</f>
        <v/>
      </c>
      <c r="D652" s="381">
        <f>IF(AND('JULIO 2026'!D26&lt;&gt;"",'JULIO 2026'!Z26="POR RECOGER"),'JULIO 2026'!F26,"")</f>
        <v/>
      </c>
      <c r="E652" s="381">
        <f>IF(AND('JULIO 2026'!D26&lt;&gt;"",'JULIO 2026'!Z26="POR RECOGER"),TEXT('JULIO 2026'!G26,"DD/MM/YYYY"),"")</f>
        <v/>
      </c>
      <c r="F652" s="381">
        <f>IF(AND('JULIO 2026'!D26&lt;&gt;"",'JULIO 2026'!Z26="POR RECOGER"),'JULIO 2026'!K26,"")</f>
        <v/>
      </c>
      <c r="G652" s="382">
        <f>IF(AND('JULIO 2026'!D26&lt;&gt;"",'JULIO 2026'!Z26="POR RECOGER"),'JULIO 2026'!M26,"")</f>
        <v/>
      </c>
      <c r="H652" s="382">
        <f>IF(AND('JULIO 2026'!D26&lt;&gt;"",'JULIO 2026'!Z26="POR RECOGER"),'JULIO 2026'!N26,"")</f>
        <v/>
      </c>
      <c r="I652" s="381">
        <f>IF(AND('JULIO 2026'!D26&lt;&gt;"",'JULIO 2026'!Z26="POR RECOGER"),'JULIO 2026'!P26,"")</f>
        <v/>
      </c>
      <c r="J652" s="381">
        <f>IF(AND('JULIO 2026'!D26&lt;&gt;"",'JULIO 2026'!Z26="POR RECOGER"),'JULIO 2026'!Q26,"")</f>
        <v/>
      </c>
      <c r="K652" s="381">
        <f>IF(AND('JULIO 2026'!D26&lt;&gt;"",'JULIO 2026'!Z26="POR RECOGER"),'JULIO 2026'!Y26,"")</f>
        <v/>
      </c>
      <c r="L652" s="381">
        <f>IF(AND('JULIO 2026'!D26&lt;&gt;"",'JULIO 2026'!Z26="POR RECOGER"),'JULIO 2026'!I26,"")</f>
        <v/>
      </c>
      <c r="P652" s="194" t="n"/>
      <c r="Q652" s="194" t="n"/>
      <c r="R652" s="194" t="n"/>
      <c r="S652" s="194" t="n"/>
      <c r="T652" s="194" t="n"/>
      <c r="U652" s="194" t="n"/>
      <c r="V652" s="194" t="n"/>
      <c r="W652" s="194" t="n"/>
      <c r="X652" s="194" t="n"/>
      <c r="Y652" s="194" t="n"/>
      <c r="Z652" s="194" t="n"/>
    </row>
    <row r="653" ht="15" customHeight="1" s="195">
      <c r="A653" s="381">
        <f>IF(AND('JULIO 2026'!D27&lt;&gt;"",'JULIO 2026'!Z27="POR RECOGER"),"JUL","")</f>
        <v/>
      </c>
      <c r="B653" s="381">
        <f>IF(AND('JULIO 2026'!D27&lt;&gt;"",'JULIO 2026'!Z27="POR RECOGER"),IF('JULIO 2026'!Y27&lt;&gt;"",'JULIO 2026'!Y27,'JULIO 2026'!I27),"")</f>
        <v/>
      </c>
      <c r="C653" s="381">
        <f>IF(AND('JULIO 2026'!D27&lt;&gt;"",'JULIO 2026'!Z27="POR RECOGER"),'JULIO 2026'!D27,"")</f>
        <v/>
      </c>
      <c r="D653" s="381">
        <f>IF(AND('JULIO 2026'!D27&lt;&gt;"",'JULIO 2026'!Z27="POR RECOGER"),'JULIO 2026'!F27,"")</f>
        <v/>
      </c>
      <c r="E653" s="381">
        <f>IF(AND('JULIO 2026'!D27&lt;&gt;"",'JULIO 2026'!Z27="POR RECOGER"),TEXT('JULIO 2026'!G27,"DD/MM/YYYY"),"")</f>
        <v/>
      </c>
      <c r="F653" s="381">
        <f>IF(AND('JULIO 2026'!D27&lt;&gt;"",'JULIO 2026'!Z27="POR RECOGER"),'JULIO 2026'!K27,"")</f>
        <v/>
      </c>
      <c r="G653" s="382">
        <f>IF(AND('JULIO 2026'!D27&lt;&gt;"",'JULIO 2026'!Z27="POR RECOGER"),'JULIO 2026'!M27,"")</f>
        <v/>
      </c>
      <c r="H653" s="382">
        <f>IF(AND('JULIO 2026'!D27&lt;&gt;"",'JULIO 2026'!Z27="POR RECOGER"),'JULIO 2026'!N27,"")</f>
        <v/>
      </c>
      <c r="I653" s="381">
        <f>IF(AND('JULIO 2026'!D27&lt;&gt;"",'JULIO 2026'!Z27="POR RECOGER"),'JULIO 2026'!P27,"")</f>
        <v/>
      </c>
      <c r="J653" s="381">
        <f>IF(AND('JULIO 2026'!D27&lt;&gt;"",'JULIO 2026'!Z27="POR RECOGER"),'JULIO 2026'!Q27,"")</f>
        <v/>
      </c>
      <c r="K653" s="381">
        <f>IF(AND('JULIO 2026'!D27&lt;&gt;"",'JULIO 2026'!Z27="POR RECOGER"),'JULIO 2026'!Y27,"")</f>
        <v/>
      </c>
      <c r="L653" s="381">
        <f>IF(AND('JULIO 2026'!D27&lt;&gt;"",'JULIO 2026'!Z27="POR RECOGER"),'JULIO 2026'!I27,"")</f>
        <v/>
      </c>
      <c r="P653" s="194" t="n"/>
      <c r="Q653" s="194" t="n"/>
      <c r="R653" s="194" t="n"/>
      <c r="S653" s="194" t="n"/>
      <c r="T653" s="194" t="n"/>
      <c r="U653" s="194" t="n"/>
      <c r="V653" s="194" t="n"/>
      <c r="W653" s="194" t="n"/>
      <c r="X653" s="194" t="n"/>
      <c r="Y653" s="194" t="n"/>
      <c r="Z653" s="194" t="n"/>
    </row>
    <row r="654" ht="15" customHeight="1" s="195">
      <c r="A654" s="381">
        <f>IF(AND('JULIO 2026'!D28&lt;&gt;"",'JULIO 2026'!Z28="POR RECOGER"),"JUL","")</f>
        <v/>
      </c>
      <c r="B654" s="381">
        <f>IF(AND('JULIO 2026'!D28&lt;&gt;"",'JULIO 2026'!Z28="POR RECOGER"),IF('JULIO 2026'!Y28&lt;&gt;"",'JULIO 2026'!Y28,'JULIO 2026'!I28),"")</f>
        <v/>
      </c>
      <c r="C654" s="381">
        <f>IF(AND('JULIO 2026'!D28&lt;&gt;"",'JULIO 2026'!Z28="POR RECOGER"),'JULIO 2026'!D28,"")</f>
        <v/>
      </c>
      <c r="D654" s="381">
        <f>IF(AND('JULIO 2026'!D28&lt;&gt;"",'JULIO 2026'!Z28="POR RECOGER"),'JULIO 2026'!F28,"")</f>
        <v/>
      </c>
      <c r="E654" s="381">
        <f>IF(AND('JULIO 2026'!D28&lt;&gt;"",'JULIO 2026'!Z28="POR RECOGER"),TEXT('JULIO 2026'!G28,"DD/MM/YYYY"),"")</f>
        <v/>
      </c>
      <c r="F654" s="381">
        <f>IF(AND('JULIO 2026'!D28&lt;&gt;"",'JULIO 2026'!Z28="POR RECOGER"),'JULIO 2026'!K28,"")</f>
        <v/>
      </c>
      <c r="G654" s="382">
        <f>IF(AND('JULIO 2026'!D28&lt;&gt;"",'JULIO 2026'!Z28="POR RECOGER"),'JULIO 2026'!M28,"")</f>
        <v/>
      </c>
      <c r="H654" s="382">
        <f>IF(AND('JULIO 2026'!D28&lt;&gt;"",'JULIO 2026'!Z28="POR RECOGER"),'JULIO 2026'!N28,"")</f>
        <v/>
      </c>
      <c r="I654" s="381">
        <f>IF(AND('JULIO 2026'!D28&lt;&gt;"",'JULIO 2026'!Z28="POR RECOGER"),'JULIO 2026'!P28,"")</f>
        <v/>
      </c>
      <c r="J654" s="381">
        <f>IF(AND('JULIO 2026'!D28&lt;&gt;"",'JULIO 2026'!Z28="POR RECOGER"),'JULIO 2026'!Q28,"")</f>
        <v/>
      </c>
      <c r="K654" s="381">
        <f>IF(AND('JULIO 2026'!D28&lt;&gt;"",'JULIO 2026'!Z28="POR RECOGER"),'JULIO 2026'!Y28,"")</f>
        <v/>
      </c>
      <c r="L654" s="381">
        <f>IF(AND('JULIO 2026'!D28&lt;&gt;"",'JULIO 2026'!Z28="POR RECOGER"),'JULIO 2026'!I28,"")</f>
        <v/>
      </c>
      <c r="P654" s="194" t="n"/>
      <c r="Q654" s="194" t="n"/>
      <c r="R654" s="194" t="n"/>
      <c r="S654" s="194" t="n"/>
      <c r="T654" s="194" t="n"/>
      <c r="U654" s="194" t="n"/>
      <c r="V654" s="194" t="n"/>
      <c r="W654" s="194" t="n"/>
      <c r="X654" s="194" t="n"/>
      <c r="Y654" s="194" t="n"/>
      <c r="Z654" s="194" t="n"/>
    </row>
    <row r="655" ht="15" customHeight="1" s="195">
      <c r="A655" s="381">
        <f>IF(AND('JULIO 2026'!D29&lt;&gt;"",'JULIO 2026'!Z29="POR RECOGER"),"JUL","")</f>
        <v/>
      </c>
      <c r="B655" s="381">
        <f>IF(AND('JULIO 2026'!D29&lt;&gt;"",'JULIO 2026'!Z29="POR RECOGER"),IF('JULIO 2026'!Y29&lt;&gt;"",'JULIO 2026'!Y29,'JULIO 2026'!I29),"")</f>
        <v/>
      </c>
      <c r="C655" s="381">
        <f>IF(AND('JULIO 2026'!D29&lt;&gt;"",'JULIO 2026'!Z29="POR RECOGER"),'JULIO 2026'!D29,"")</f>
        <v/>
      </c>
      <c r="D655" s="381">
        <f>IF(AND('JULIO 2026'!D29&lt;&gt;"",'JULIO 2026'!Z29="POR RECOGER"),'JULIO 2026'!F29,"")</f>
        <v/>
      </c>
      <c r="E655" s="381">
        <f>IF(AND('JULIO 2026'!D29&lt;&gt;"",'JULIO 2026'!Z29="POR RECOGER"),TEXT('JULIO 2026'!G29,"DD/MM/YYYY"),"")</f>
        <v/>
      </c>
      <c r="F655" s="381">
        <f>IF(AND('JULIO 2026'!D29&lt;&gt;"",'JULIO 2026'!Z29="POR RECOGER"),'JULIO 2026'!K29,"")</f>
        <v/>
      </c>
      <c r="G655" s="382">
        <f>IF(AND('JULIO 2026'!D29&lt;&gt;"",'JULIO 2026'!Z29="POR RECOGER"),'JULIO 2026'!M29,"")</f>
        <v/>
      </c>
      <c r="H655" s="382">
        <f>IF(AND('JULIO 2026'!D29&lt;&gt;"",'JULIO 2026'!Z29="POR RECOGER"),'JULIO 2026'!N29,"")</f>
        <v/>
      </c>
      <c r="I655" s="381">
        <f>IF(AND('JULIO 2026'!D29&lt;&gt;"",'JULIO 2026'!Z29="POR RECOGER"),'JULIO 2026'!P29,"")</f>
        <v/>
      </c>
      <c r="J655" s="381">
        <f>IF(AND('JULIO 2026'!D29&lt;&gt;"",'JULIO 2026'!Z29="POR RECOGER"),'JULIO 2026'!Q29,"")</f>
        <v/>
      </c>
      <c r="K655" s="381">
        <f>IF(AND('JULIO 2026'!D29&lt;&gt;"",'JULIO 2026'!Z29="POR RECOGER"),'JULIO 2026'!Y29,"")</f>
        <v/>
      </c>
      <c r="L655" s="381">
        <f>IF(AND('JULIO 2026'!D29&lt;&gt;"",'JULIO 2026'!Z29="POR RECOGER"),'JULIO 2026'!I29,"")</f>
        <v/>
      </c>
      <c r="P655" s="194" t="n"/>
      <c r="Q655" s="194" t="n"/>
      <c r="R655" s="194" t="n"/>
      <c r="S655" s="194" t="n"/>
      <c r="T655" s="194" t="n"/>
      <c r="U655" s="194" t="n"/>
      <c r="V655" s="194" t="n"/>
      <c r="W655" s="194" t="n"/>
      <c r="X655" s="194" t="n"/>
      <c r="Y655" s="194" t="n"/>
      <c r="Z655" s="194" t="n"/>
    </row>
    <row r="656" ht="15" customHeight="1" s="195">
      <c r="A656" s="381">
        <f>IF(AND('JULIO 2026'!D30&lt;&gt;"",'JULIO 2026'!Z30="POR RECOGER"),"JUL","")</f>
        <v/>
      </c>
      <c r="B656" s="381">
        <f>IF(AND('JULIO 2026'!D30&lt;&gt;"",'JULIO 2026'!Z30="POR RECOGER"),IF('JULIO 2026'!Y30&lt;&gt;"",'JULIO 2026'!Y30,'JULIO 2026'!I30),"")</f>
        <v/>
      </c>
      <c r="C656" s="381">
        <f>IF(AND('JULIO 2026'!D30&lt;&gt;"",'JULIO 2026'!Z30="POR RECOGER"),'JULIO 2026'!D30,"")</f>
        <v/>
      </c>
      <c r="D656" s="381">
        <f>IF(AND('JULIO 2026'!D30&lt;&gt;"",'JULIO 2026'!Z30="POR RECOGER"),'JULIO 2026'!F30,"")</f>
        <v/>
      </c>
      <c r="E656" s="381">
        <f>IF(AND('JULIO 2026'!D30&lt;&gt;"",'JULIO 2026'!Z30="POR RECOGER"),TEXT('JULIO 2026'!G30,"DD/MM/YYYY"),"")</f>
        <v/>
      </c>
      <c r="F656" s="381">
        <f>IF(AND('JULIO 2026'!D30&lt;&gt;"",'JULIO 2026'!Z30="POR RECOGER"),'JULIO 2026'!K30,"")</f>
        <v/>
      </c>
      <c r="G656" s="382">
        <f>IF(AND('JULIO 2026'!D30&lt;&gt;"",'JULIO 2026'!Z30="POR RECOGER"),'JULIO 2026'!M30,"")</f>
        <v/>
      </c>
      <c r="H656" s="382">
        <f>IF(AND('JULIO 2026'!D30&lt;&gt;"",'JULIO 2026'!Z30="POR RECOGER"),'JULIO 2026'!N30,"")</f>
        <v/>
      </c>
      <c r="I656" s="381">
        <f>IF(AND('JULIO 2026'!D30&lt;&gt;"",'JULIO 2026'!Z30="POR RECOGER"),'JULIO 2026'!P30,"")</f>
        <v/>
      </c>
      <c r="J656" s="381">
        <f>IF(AND('JULIO 2026'!D30&lt;&gt;"",'JULIO 2026'!Z30="POR RECOGER"),'JULIO 2026'!Q30,"")</f>
        <v/>
      </c>
      <c r="K656" s="381">
        <f>IF(AND('JULIO 2026'!D30&lt;&gt;"",'JULIO 2026'!Z30="POR RECOGER"),'JULIO 2026'!Y30,"")</f>
        <v/>
      </c>
      <c r="L656" s="381">
        <f>IF(AND('JULIO 2026'!D30&lt;&gt;"",'JULIO 2026'!Z30="POR RECOGER"),'JULIO 2026'!I30,"")</f>
        <v/>
      </c>
      <c r="P656" s="194" t="n"/>
      <c r="Q656" s="194" t="n"/>
      <c r="R656" s="194" t="n"/>
      <c r="S656" s="194" t="n"/>
      <c r="T656" s="194" t="n"/>
      <c r="U656" s="194" t="n"/>
      <c r="V656" s="194" t="n"/>
      <c r="W656" s="194" t="n"/>
      <c r="X656" s="194" t="n"/>
      <c r="Y656" s="194" t="n"/>
      <c r="Z656" s="194" t="n"/>
    </row>
    <row r="657" ht="15" customHeight="1" s="195">
      <c r="A657" s="381">
        <f>IF(AND('JULIO 2026'!D31&lt;&gt;"",'JULIO 2026'!Z31="POR RECOGER"),"JUL","")</f>
        <v/>
      </c>
      <c r="B657" s="381">
        <f>IF(AND('JULIO 2026'!D31&lt;&gt;"",'JULIO 2026'!Z31="POR RECOGER"),IF('JULIO 2026'!Y31&lt;&gt;"",'JULIO 2026'!Y31,'JULIO 2026'!I31),"")</f>
        <v/>
      </c>
      <c r="C657" s="381">
        <f>IF(AND('JULIO 2026'!D31&lt;&gt;"",'JULIO 2026'!Z31="POR RECOGER"),'JULIO 2026'!D31,"")</f>
        <v/>
      </c>
      <c r="D657" s="381">
        <f>IF(AND('JULIO 2026'!D31&lt;&gt;"",'JULIO 2026'!Z31="POR RECOGER"),'JULIO 2026'!F31,"")</f>
        <v/>
      </c>
      <c r="E657" s="381">
        <f>IF(AND('JULIO 2026'!D31&lt;&gt;"",'JULIO 2026'!Z31="POR RECOGER"),TEXT('JULIO 2026'!G31,"DD/MM/YYYY"),"")</f>
        <v/>
      </c>
      <c r="F657" s="381">
        <f>IF(AND('JULIO 2026'!D31&lt;&gt;"",'JULIO 2026'!Z31="POR RECOGER"),'JULIO 2026'!K31,"")</f>
        <v/>
      </c>
      <c r="G657" s="382">
        <f>IF(AND('JULIO 2026'!D31&lt;&gt;"",'JULIO 2026'!Z31="POR RECOGER"),'JULIO 2026'!M31,"")</f>
        <v/>
      </c>
      <c r="H657" s="382">
        <f>IF(AND('JULIO 2026'!D31&lt;&gt;"",'JULIO 2026'!Z31="POR RECOGER"),'JULIO 2026'!N31,"")</f>
        <v/>
      </c>
      <c r="I657" s="381">
        <f>IF(AND('JULIO 2026'!D31&lt;&gt;"",'JULIO 2026'!Z31="POR RECOGER"),'JULIO 2026'!P31,"")</f>
        <v/>
      </c>
      <c r="J657" s="381">
        <f>IF(AND('JULIO 2026'!D31&lt;&gt;"",'JULIO 2026'!Z31="POR RECOGER"),'JULIO 2026'!Q31,"")</f>
        <v/>
      </c>
      <c r="K657" s="381">
        <f>IF(AND('JULIO 2026'!D31&lt;&gt;"",'JULIO 2026'!Z31="POR RECOGER"),'JULIO 2026'!Y31,"")</f>
        <v/>
      </c>
      <c r="L657" s="381">
        <f>IF(AND('JULIO 2026'!D31&lt;&gt;"",'JULIO 2026'!Z31="POR RECOGER"),'JULIO 2026'!I31,"")</f>
        <v/>
      </c>
      <c r="P657" s="194" t="n"/>
      <c r="Q657" s="194" t="n"/>
      <c r="R657" s="194" t="n"/>
      <c r="S657" s="194" t="n"/>
      <c r="T657" s="194" t="n"/>
      <c r="U657" s="194" t="n"/>
      <c r="V657" s="194" t="n"/>
      <c r="W657" s="194" t="n"/>
      <c r="X657" s="194" t="n"/>
      <c r="Y657" s="194" t="n"/>
      <c r="Z657" s="194" t="n"/>
    </row>
    <row r="658" ht="15" customHeight="1" s="195">
      <c r="A658" s="381">
        <f>IF(AND('JULIO 2026'!D32&lt;&gt;"",'JULIO 2026'!Z32="POR RECOGER"),"JUL","")</f>
        <v/>
      </c>
      <c r="B658" s="381">
        <f>IF(AND('JULIO 2026'!D32&lt;&gt;"",'JULIO 2026'!Z32="POR RECOGER"),IF('JULIO 2026'!Y32&lt;&gt;"",'JULIO 2026'!Y32,'JULIO 2026'!I32),"")</f>
        <v/>
      </c>
      <c r="C658" s="381">
        <f>IF(AND('JULIO 2026'!D32&lt;&gt;"",'JULIO 2026'!Z32="POR RECOGER"),'JULIO 2026'!D32,"")</f>
        <v/>
      </c>
      <c r="D658" s="381">
        <f>IF(AND('JULIO 2026'!D32&lt;&gt;"",'JULIO 2026'!Z32="POR RECOGER"),'JULIO 2026'!F32,"")</f>
        <v/>
      </c>
      <c r="E658" s="381">
        <f>IF(AND('JULIO 2026'!D32&lt;&gt;"",'JULIO 2026'!Z32="POR RECOGER"),TEXT('JULIO 2026'!G32,"DD/MM/YYYY"),"")</f>
        <v/>
      </c>
      <c r="F658" s="381">
        <f>IF(AND('JULIO 2026'!D32&lt;&gt;"",'JULIO 2026'!Z32="POR RECOGER"),'JULIO 2026'!K32,"")</f>
        <v/>
      </c>
      <c r="G658" s="382">
        <f>IF(AND('JULIO 2026'!D32&lt;&gt;"",'JULIO 2026'!Z32="POR RECOGER"),'JULIO 2026'!M32,"")</f>
        <v/>
      </c>
      <c r="H658" s="382">
        <f>IF(AND('JULIO 2026'!D32&lt;&gt;"",'JULIO 2026'!Z32="POR RECOGER"),'JULIO 2026'!N32,"")</f>
        <v/>
      </c>
      <c r="I658" s="381">
        <f>IF(AND('JULIO 2026'!D32&lt;&gt;"",'JULIO 2026'!Z32="POR RECOGER"),'JULIO 2026'!P32,"")</f>
        <v/>
      </c>
      <c r="J658" s="381">
        <f>IF(AND('JULIO 2026'!D32&lt;&gt;"",'JULIO 2026'!Z32="POR RECOGER"),'JULIO 2026'!Q32,"")</f>
        <v/>
      </c>
      <c r="K658" s="381">
        <f>IF(AND('JULIO 2026'!D32&lt;&gt;"",'JULIO 2026'!Z32="POR RECOGER"),'JULIO 2026'!Y32,"")</f>
        <v/>
      </c>
      <c r="L658" s="381">
        <f>IF(AND('JULIO 2026'!D32&lt;&gt;"",'JULIO 2026'!Z32="POR RECOGER"),'JULIO 2026'!I32,"")</f>
        <v/>
      </c>
      <c r="P658" s="194" t="n"/>
      <c r="Q658" s="194" t="n"/>
      <c r="R658" s="194" t="n"/>
      <c r="S658" s="194" t="n"/>
      <c r="T658" s="194" t="n"/>
      <c r="U658" s="194" t="n"/>
      <c r="V658" s="194" t="n"/>
      <c r="W658" s="194" t="n"/>
      <c r="X658" s="194" t="n"/>
      <c r="Y658" s="194" t="n"/>
      <c r="Z658" s="194" t="n"/>
    </row>
    <row r="659" ht="15" customHeight="1" s="195">
      <c r="A659" s="381">
        <f>IF(AND('JULIO 2026'!D33&lt;&gt;"",'JULIO 2026'!Z33="POR RECOGER"),"JUL","")</f>
        <v/>
      </c>
      <c r="B659" s="381">
        <f>IF(AND('JULIO 2026'!D33&lt;&gt;"",'JULIO 2026'!Z33="POR RECOGER"),IF('JULIO 2026'!Y33&lt;&gt;"",'JULIO 2026'!Y33,'JULIO 2026'!I33),"")</f>
        <v/>
      </c>
      <c r="C659" s="381">
        <f>IF(AND('JULIO 2026'!D33&lt;&gt;"",'JULIO 2026'!Z33="POR RECOGER"),'JULIO 2026'!D33,"")</f>
        <v/>
      </c>
      <c r="D659" s="381">
        <f>IF(AND('JULIO 2026'!D33&lt;&gt;"",'JULIO 2026'!Z33="POR RECOGER"),'JULIO 2026'!F33,"")</f>
        <v/>
      </c>
      <c r="E659" s="381">
        <f>IF(AND('JULIO 2026'!D33&lt;&gt;"",'JULIO 2026'!Z33="POR RECOGER"),TEXT('JULIO 2026'!G33,"DD/MM/YYYY"),"")</f>
        <v/>
      </c>
      <c r="F659" s="381">
        <f>IF(AND('JULIO 2026'!D33&lt;&gt;"",'JULIO 2026'!Z33="POR RECOGER"),'JULIO 2026'!K33,"")</f>
        <v/>
      </c>
      <c r="G659" s="382">
        <f>IF(AND('JULIO 2026'!D33&lt;&gt;"",'JULIO 2026'!Z33="POR RECOGER"),'JULIO 2026'!M33,"")</f>
        <v/>
      </c>
      <c r="H659" s="382">
        <f>IF(AND('JULIO 2026'!D33&lt;&gt;"",'JULIO 2026'!Z33="POR RECOGER"),'JULIO 2026'!N33,"")</f>
        <v/>
      </c>
      <c r="I659" s="381">
        <f>IF(AND('JULIO 2026'!D33&lt;&gt;"",'JULIO 2026'!Z33="POR RECOGER"),'JULIO 2026'!P33,"")</f>
        <v/>
      </c>
      <c r="J659" s="381">
        <f>IF(AND('JULIO 2026'!D33&lt;&gt;"",'JULIO 2026'!Z33="POR RECOGER"),'JULIO 2026'!Q33,"")</f>
        <v/>
      </c>
      <c r="K659" s="381">
        <f>IF(AND('JULIO 2026'!D33&lt;&gt;"",'JULIO 2026'!Z33="POR RECOGER"),'JULIO 2026'!Y33,"")</f>
        <v/>
      </c>
      <c r="L659" s="381">
        <f>IF(AND('JULIO 2026'!D33&lt;&gt;"",'JULIO 2026'!Z33="POR RECOGER"),'JULIO 2026'!I33,"")</f>
        <v/>
      </c>
      <c r="P659" s="194" t="n"/>
      <c r="Q659" s="194" t="n"/>
      <c r="R659" s="194" t="n"/>
      <c r="S659" s="194" t="n"/>
      <c r="T659" s="194" t="n"/>
      <c r="U659" s="194" t="n"/>
      <c r="V659" s="194" t="n"/>
      <c r="W659" s="194" t="n"/>
      <c r="X659" s="194" t="n"/>
      <c r="Y659" s="194" t="n"/>
      <c r="Z659" s="194" t="n"/>
    </row>
    <row r="660" ht="15" customHeight="1" s="195">
      <c r="A660" s="381">
        <f>IF(AND('JULIO 2026'!D34&lt;&gt;"",'JULIO 2026'!Z34="POR RECOGER"),"JUL","")</f>
        <v/>
      </c>
      <c r="B660" s="381">
        <f>IF(AND('JULIO 2026'!D34&lt;&gt;"",'JULIO 2026'!Z34="POR RECOGER"),IF('JULIO 2026'!Y34&lt;&gt;"",'JULIO 2026'!Y34,'JULIO 2026'!I34),"")</f>
        <v/>
      </c>
      <c r="C660" s="381">
        <f>IF(AND('JULIO 2026'!D34&lt;&gt;"",'JULIO 2026'!Z34="POR RECOGER"),'JULIO 2026'!D34,"")</f>
        <v/>
      </c>
      <c r="D660" s="381">
        <f>IF(AND('JULIO 2026'!D34&lt;&gt;"",'JULIO 2026'!Z34="POR RECOGER"),'JULIO 2026'!F34,"")</f>
        <v/>
      </c>
      <c r="E660" s="381">
        <f>IF(AND('JULIO 2026'!D34&lt;&gt;"",'JULIO 2026'!Z34="POR RECOGER"),TEXT('JULIO 2026'!G34,"DD/MM/YYYY"),"")</f>
        <v/>
      </c>
      <c r="F660" s="381">
        <f>IF(AND('JULIO 2026'!D34&lt;&gt;"",'JULIO 2026'!Z34="POR RECOGER"),'JULIO 2026'!K34,"")</f>
        <v/>
      </c>
      <c r="G660" s="382">
        <f>IF(AND('JULIO 2026'!D34&lt;&gt;"",'JULIO 2026'!Z34="POR RECOGER"),'JULIO 2026'!M34,"")</f>
        <v/>
      </c>
      <c r="H660" s="382">
        <f>IF(AND('JULIO 2026'!D34&lt;&gt;"",'JULIO 2026'!Z34="POR RECOGER"),'JULIO 2026'!N34,"")</f>
        <v/>
      </c>
      <c r="I660" s="381">
        <f>IF(AND('JULIO 2026'!D34&lt;&gt;"",'JULIO 2026'!Z34="POR RECOGER"),'JULIO 2026'!P34,"")</f>
        <v/>
      </c>
      <c r="J660" s="381">
        <f>IF(AND('JULIO 2026'!D34&lt;&gt;"",'JULIO 2026'!Z34="POR RECOGER"),'JULIO 2026'!Q34,"")</f>
        <v/>
      </c>
      <c r="K660" s="381">
        <f>IF(AND('JULIO 2026'!D34&lt;&gt;"",'JULIO 2026'!Z34="POR RECOGER"),'JULIO 2026'!Y34,"")</f>
        <v/>
      </c>
      <c r="L660" s="381">
        <f>IF(AND('JULIO 2026'!D34&lt;&gt;"",'JULIO 2026'!Z34="POR RECOGER"),'JULIO 2026'!I34,"")</f>
        <v/>
      </c>
      <c r="P660" s="194" t="n"/>
      <c r="Q660" s="194" t="n"/>
      <c r="R660" s="194" t="n"/>
      <c r="S660" s="194" t="n"/>
      <c r="T660" s="194" t="n"/>
      <c r="U660" s="194" t="n"/>
      <c r="V660" s="194" t="n"/>
      <c r="W660" s="194" t="n"/>
      <c r="X660" s="194" t="n"/>
      <c r="Y660" s="194" t="n"/>
      <c r="Z660" s="194" t="n"/>
    </row>
    <row r="661" ht="15" customHeight="1" s="195">
      <c r="A661" s="381">
        <f>IF(AND('JULIO 2026'!D35&lt;&gt;"",'JULIO 2026'!Z35="POR RECOGER"),"JUL","")</f>
        <v/>
      </c>
      <c r="B661" s="381">
        <f>IF(AND('JULIO 2026'!D35&lt;&gt;"",'JULIO 2026'!Z35="POR RECOGER"),IF('JULIO 2026'!Y35&lt;&gt;"",'JULIO 2026'!Y35,'JULIO 2026'!I35),"")</f>
        <v/>
      </c>
      <c r="C661" s="381">
        <f>IF(AND('JULIO 2026'!D35&lt;&gt;"",'JULIO 2026'!Z35="POR RECOGER"),'JULIO 2026'!D35,"")</f>
        <v/>
      </c>
      <c r="D661" s="381">
        <f>IF(AND('JULIO 2026'!D35&lt;&gt;"",'JULIO 2026'!Z35="POR RECOGER"),'JULIO 2026'!F35,"")</f>
        <v/>
      </c>
      <c r="E661" s="381">
        <f>IF(AND('JULIO 2026'!D35&lt;&gt;"",'JULIO 2026'!Z35="POR RECOGER"),TEXT('JULIO 2026'!G35,"DD/MM/YYYY"),"")</f>
        <v/>
      </c>
      <c r="F661" s="381">
        <f>IF(AND('JULIO 2026'!D35&lt;&gt;"",'JULIO 2026'!Z35="POR RECOGER"),'JULIO 2026'!K35,"")</f>
        <v/>
      </c>
      <c r="G661" s="382">
        <f>IF(AND('JULIO 2026'!D35&lt;&gt;"",'JULIO 2026'!Z35="POR RECOGER"),'JULIO 2026'!M35,"")</f>
        <v/>
      </c>
      <c r="H661" s="382">
        <f>IF(AND('JULIO 2026'!D35&lt;&gt;"",'JULIO 2026'!Z35="POR RECOGER"),'JULIO 2026'!N35,"")</f>
        <v/>
      </c>
      <c r="I661" s="381">
        <f>IF(AND('JULIO 2026'!D35&lt;&gt;"",'JULIO 2026'!Z35="POR RECOGER"),'JULIO 2026'!P35,"")</f>
        <v/>
      </c>
      <c r="J661" s="381">
        <f>IF(AND('JULIO 2026'!D35&lt;&gt;"",'JULIO 2026'!Z35="POR RECOGER"),'JULIO 2026'!Q35,"")</f>
        <v/>
      </c>
      <c r="K661" s="381">
        <f>IF(AND('JULIO 2026'!D35&lt;&gt;"",'JULIO 2026'!Z35="POR RECOGER"),'JULIO 2026'!Y35,"")</f>
        <v/>
      </c>
      <c r="L661" s="381">
        <f>IF(AND('JULIO 2026'!D35&lt;&gt;"",'JULIO 2026'!Z35="POR RECOGER"),'JULIO 2026'!I35,"")</f>
        <v/>
      </c>
      <c r="P661" s="194" t="n"/>
      <c r="Q661" s="194" t="n"/>
      <c r="R661" s="194" t="n"/>
      <c r="S661" s="194" t="n"/>
      <c r="T661" s="194" t="n"/>
      <c r="U661" s="194" t="n"/>
      <c r="V661" s="194" t="n"/>
      <c r="W661" s="194" t="n"/>
      <c r="X661" s="194" t="n"/>
      <c r="Y661" s="194" t="n"/>
      <c r="Z661" s="194" t="n"/>
    </row>
    <row r="662" ht="15" customHeight="1" s="195">
      <c r="A662" s="381">
        <f>IF(AND('JULIO 2026'!D36&lt;&gt;"",'JULIO 2026'!Z36="POR RECOGER"),"JUL","")</f>
        <v/>
      </c>
      <c r="B662" s="381">
        <f>IF(AND('JULIO 2026'!D36&lt;&gt;"",'JULIO 2026'!Z36="POR RECOGER"),IF('JULIO 2026'!Y36&lt;&gt;"",'JULIO 2026'!Y36,'JULIO 2026'!I36),"")</f>
        <v/>
      </c>
      <c r="C662" s="381">
        <f>IF(AND('JULIO 2026'!D36&lt;&gt;"",'JULIO 2026'!Z36="POR RECOGER"),'JULIO 2026'!D36,"")</f>
        <v/>
      </c>
      <c r="D662" s="381">
        <f>IF(AND('JULIO 2026'!D36&lt;&gt;"",'JULIO 2026'!Z36="POR RECOGER"),'JULIO 2026'!F36,"")</f>
        <v/>
      </c>
      <c r="E662" s="381">
        <f>IF(AND('JULIO 2026'!D36&lt;&gt;"",'JULIO 2026'!Z36="POR RECOGER"),TEXT('JULIO 2026'!G36,"DD/MM/YYYY"),"")</f>
        <v/>
      </c>
      <c r="F662" s="381">
        <f>IF(AND('JULIO 2026'!D36&lt;&gt;"",'JULIO 2026'!Z36="POR RECOGER"),'JULIO 2026'!K36,"")</f>
        <v/>
      </c>
      <c r="G662" s="382">
        <f>IF(AND('JULIO 2026'!D36&lt;&gt;"",'JULIO 2026'!Z36="POR RECOGER"),'JULIO 2026'!M36,"")</f>
        <v/>
      </c>
      <c r="H662" s="382">
        <f>IF(AND('JULIO 2026'!D36&lt;&gt;"",'JULIO 2026'!Z36="POR RECOGER"),'JULIO 2026'!N36,"")</f>
        <v/>
      </c>
      <c r="I662" s="381">
        <f>IF(AND('JULIO 2026'!D36&lt;&gt;"",'JULIO 2026'!Z36="POR RECOGER"),'JULIO 2026'!P36,"")</f>
        <v/>
      </c>
      <c r="J662" s="381">
        <f>IF(AND('JULIO 2026'!D36&lt;&gt;"",'JULIO 2026'!Z36="POR RECOGER"),'JULIO 2026'!Q36,"")</f>
        <v/>
      </c>
      <c r="K662" s="381">
        <f>IF(AND('JULIO 2026'!D36&lt;&gt;"",'JULIO 2026'!Z36="POR RECOGER"),'JULIO 2026'!Y36,"")</f>
        <v/>
      </c>
      <c r="L662" s="381">
        <f>IF(AND('JULIO 2026'!D36&lt;&gt;"",'JULIO 2026'!Z36="POR RECOGER"),'JULIO 2026'!I36,"")</f>
        <v/>
      </c>
      <c r="P662" s="194" t="n"/>
      <c r="Q662" s="194" t="n"/>
      <c r="R662" s="194" t="n"/>
      <c r="S662" s="194" t="n"/>
      <c r="T662" s="194" t="n"/>
      <c r="U662" s="194" t="n"/>
      <c r="V662" s="194" t="n"/>
      <c r="W662" s="194" t="n"/>
      <c r="X662" s="194" t="n"/>
      <c r="Y662" s="194" t="n"/>
      <c r="Z662" s="194" t="n"/>
    </row>
    <row r="663" ht="15" customHeight="1" s="195">
      <c r="A663" s="381">
        <f>IF(AND('JULIO 2026'!D37&lt;&gt;"",'JULIO 2026'!Z37="POR RECOGER"),"JUL","")</f>
        <v/>
      </c>
      <c r="B663" s="381">
        <f>IF(AND('JULIO 2026'!D37&lt;&gt;"",'JULIO 2026'!Z37="POR RECOGER"),IF('JULIO 2026'!Y37&lt;&gt;"",'JULIO 2026'!Y37,'JULIO 2026'!I37),"")</f>
        <v/>
      </c>
      <c r="C663" s="381">
        <f>IF(AND('JULIO 2026'!D37&lt;&gt;"",'JULIO 2026'!Z37="POR RECOGER"),'JULIO 2026'!D37,"")</f>
        <v/>
      </c>
      <c r="D663" s="381">
        <f>IF(AND('JULIO 2026'!D37&lt;&gt;"",'JULIO 2026'!Z37="POR RECOGER"),'JULIO 2026'!F37,"")</f>
        <v/>
      </c>
      <c r="E663" s="381">
        <f>IF(AND('JULIO 2026'!D37&lt;&gt;"",'JULIO 2026'!Z37="POR RECOGER"),TEXT('JULIO 2026'!G37,"DD/MM/YYYY"),"")</f>
        <v/>
      </c>
      <c r="F663" s="381">
        <f>IF(AND('JULIO 2026'!D37&lt;&gt;"",'JULIO 2026'!Z37="POR RECOGER"),'JULIO 2026'!K37,"")</f>
        <v/>
      </c>
      <c r="G663" s="382">
        <f>IF(AND('JULIO 2026'!D37&lt;&gt;"",'JULIO 2026'!Z37="POR RECOGER"),'JULIO 2026'!M37,"")</f>
        <v/>
      </c>
      <c r="H663" s="382">
        <f>IF(AND('JULIO 2026'!D37&lt;&gt;"",'JULIO 2026'!Z37="POR RECOGER"),'JULIO 2026'!N37,"")</f>
        <v/>
      </c>
      <c r="I663" s="381">
        <f>IF(AND('JULIO 2026'!D37&lt;&gt;"",'JULIO 2026'!Z37="POR RECOGER"),'JULIO 2026'!P37,"")</f>
        <v/>
      </c>
      <c r="J663" s="381">
        <f>IF(AND('JULIO 2026'!D37&lt;&gt;"",'JULIO 2026'!Z37="POR RECOGER"),'JULIO 2026'!Q37,"")</f>
        <v/>
      </c>
      <c r="K663" s="381">
        <f>IF(AND('JULIO 2026'!D37&lt;&gt;"",'JULIO 2026'!Z37="POR RECOGER"),'JULIO 2026'!Y37,"")</f>
        <v/>
      </c>
      <c r="L663" s="381">
        <f>IF(AND('JULIO 2026'!D37&lt;&gt;"",'JULIO 2026'!Z37="POR RECOGER"),'JULIO 2026'!I37,"")</f>
        <v/>
      </c>
      <c r="P663" s="194" t="n"/>
      <c r="Q663" s="194" t="n"/>
      <c r="R663" s="194" t="n"/>
      <c r="S663" s="194" t="n"/>
      <c r="T663" s="194" t="n"/>
      <c r="U663" s="194" t="n"/>
      <c r="V663" s="194" t="n"/>
      <c r="W663" s="194" t="n"/>
      <c r="X663" s="194" t="n"/>
      <c r="Y663" s="194" t="n"/>
      <c r="Z663" s="194" t="n"/>
    </row>
    <row r="664" ht="15" customHeight="1" s="195">
      <c r="A664" s="381">
        <f>IF(AND('JULIO 2026'!D38&lt;&gt;"",'JULIO 2026'!Z38="POR RECOGER"),"JUL","")</f>
        <v/>
      </c>
      <c r="B664" s="381">
        <f>IF(AND('JULIO 2026'!D38&lt;&gt;"",'JULIO 2026'!Z38="POR RECOGER"),IF('JULIO 2026'!Y38&lt;&gt;"",'JULIO 2026'!Y38,'JULIO 2026'!I38),"")</f>
        <v/>
      </c>
      <c r="C664" s="381">
        <f>IF(AND('JULIO 2026'!D38&lt;&gt;"",'JULIO 2026'!Z38="POR RECOGER"),'JULIO 2026'!D38,"")</f>
        <v/>
      </c>
      <c r="D664" s="381">
        <f>IF(AND('JULIO 2026'!D38&lt;&gt;"",'JULIO 2026'!Z38="POR RECOGER"),'JULIO 2026'!F38,"")</f>
        <v/>
      </c>
      <c r="E664" s="381">
        <f>IF(AND('JULIO 2026'!D38&lt;&gt;"",'JULIO 2026'!Z38="POR RECOGER"),TEXT('JULIO 2026'!G38,"DD/MM/YYYY"),"")</f>
        <v/>
      </c>
      <c r="F664" s="381">
        <f>IF(AND('JULIO 2026'!D38&lt;&gt;"",'JULIO 2026'!Z38="POR RECOGER"),'JULIO 2026'!K38,"")</f>
        <v/>
      </c>
      <c r="G664" s="382">
        <f>IF(AND('JULIO 2026'!D38&lt;&gt;"",'JULIO 2026'!Z38="POR RECOGER"),'JULIO 2026'!M38,"")</f>
        <v/>
      </c>
      <c r="H664" s="382">
        <f>IF(AND('JULIO 2026'!D38&lt;&gt;"",'JULIO 2026'!Z38="POR RECOGER"),'JULIO 2026'!N38,"")</f>
        <v/>
      </c>
      <c r="I664" s="381">
        <f>IF(AND('JULIO 2026'!D38&lt;&gt;"",'JULIO 2026'!Z38="POR RECOGER"),'JULIO 2026'!P38,"")</f>
        <v/>
      </c>
      <c r="J664" s="381">
        <f>IF(AND('JULIO 2026'!D38&lt;&gt;"",'JULIO 2026'!Z38="POR RECOGER"),'JULIO 2026'!Q38,"")</f>
        <v/>
      </c>
      <c r="K664" s="381">
        <f>IF(AND('JULIO 2026'!D38&lt;&gt;"",'JULIO 2026'!Z38="POR RECOGER"),'JULIO 2026'!Y38,"")</f>
        <v/>
      </c>
      <c r="L664" s="381">
        <f>IF(AND('JULIO 2026'!D38&lt;&gt;"",'JULIO 2026'!Z38="POR RECOGER"),'JULIO 2026'!I38,"")</f>
        <v/>
      </c>
      <c r="P664" s="194" t="n"/>
      <c r="Q664" s="194" t="n"/>
      <c r="R664" s="194" t="n"/>
      <c r="S664" s="194" t="n"/>
      <c r="T664" s="194" t="n"/>
      <c r="U664" s="194" t="n"/>
      <c r="V664" s="194" t="n"/>
      <c r="W664" s="194" t="n"/>
      <c r="X664" s="194" t="n"/>
      <c r="Y664" s="194" t="n"/>
      <c r="Z664" s="194" t="n"/>
    </row>
    <row r="665" ht="15" customHeight="1" s="195">
      <c r="A665" s="381">
        <f>IF(AND('JULIO 2026'!D39&lt;&gt;"",'JULIO 2026'!Z39="POR RECOGER"),"JUL","")</f>
        <v/>
      </c>
      <c r="B665" s="381">
        <f>IF(AND('JULIO 2026'!D39&lt;&gt;"",'JULIO 2026'!Z39="POR RECOGER"),IF('JULIO 2026'!Y39&lt;&gt;"",'JULIO 2026'!Y39,'JULIO 2026'!I39),"")</f>
        <v/>
      </c>
      <c r="C665" s="381">
        <f>IF(AND('JULIO 2026'!D39&lt;&gt;"",'JULIO 2026'!Z39="POR RECOGER"),'JULIO 2026'!D39,"")</f>
        <v/>
      </c>
      <c r="D665" s="381">
        <f>IF(AND('JULIO 2026'!D39&lt;&gt;"",'JULIO 2026'!Z39="POR RECOGER"),'JULIO 2026'!F39,"")</f>
        <v/>
      </c>
      <c r="E665" s="381">
        <f>IF(AND('JULIO 2026'!D39&lt;&gt;"",'JULIO 2026'!Z39="POR RECOGER"),TEXT('JULIO 2026'!G39,"DD/MM/YYYY"),"")</f>
        <v/>
      </c>
      <c r="F665" s="381">
        <f>IF(AND('JULIO 2026'!D39&lt;&gt;"",'JULIO 2026'!Z39="POR RECOGER"),'JULIO 2026'!K39,"")</f>
        <v/>
      </c>
      <c r="G665" s="382">
        <f>IF(AND('JULIO 2026'!D39&lt;&gt;"",'JULIO 2026'!Z39="POR RECOGER"),'JULIO 2026'!M39,"")</f>
        <v/>
      </c>
      <c r="H665" s="382">
        <f>IF(AND('JULIO 2026'!D39&lt;&gt;"",'JULIO 2026'!Z39="POR RECOGER"),'JULIO 2026'!N39,"")</f>
        <v/>
      </c>
      <c r="I665" s="381">
        <f>IF(AND('JULIO 2026'!D39&lt;&gt;"",'JULIO 2026'!Z39="POR RECOGER"),'JULIO 2026'!P39,"")</f>
        <v/>
      </c>
      <c r="J665" s="381">
        <f>IF(AND('JULIO 2026'!D39&lt;&gt;"",'JULIO 2026'!Z39="POR RECOGER"),'JULIO 2026'!Q39,"")</f>
        <v/>
      </c>
      <c r="K665" s="381">
        <f>IF(AND('JULIO 2026'!D39&lt;&gt;"",'JULIO 2026'!Z39="POR RECOGER"),'JULIO 2026'!Y39,"")</f>
        <v/>
      </c>
      <c r="L665" s="381">
        <f>IF(AND('JULIO 2026'!D39&lt;&gt;"",'JULIO 2026'!Z39="POR RECOGER"),'JULIO 2026'!I39,"")</f>
        <v/>
      </c>
      <c r="P665" s="194" t="n"/>
      <c r="Q665" s="194" t="n"/>
      <c r="R665" s="194" t="n"/>
      <c r="S665" s="194" t="n"/>
      <c r="T665" s="194" t="n"/>
      <c r="U665" s="194" t="n"/>
      <c r="V665" s="194" t="n"/>
      <c r="W665" s="194" t="n"/>
      <c r="X665" s="194" t="n"/>
      <c r="Y665" s="194" t="n"/>
      <c r="Z665" s="194" t="n"/>
    </row>
    <row r="666" ht="15" customHeight="1" s="195">
      <c r="A666" s="381">
        <f>IF(AND('JULIO 2026'!D40&lt;&gt;"",'JULIO 2026'!Z40="POR RECOGER"),"JUL","")</f>
        <v/>
      </c>
      <c r="B666" s="381">
        <f>IF(AND('JULIO 2026'!D40&lt;&gt;"",'JULIO 2026'!Z40="POR RECOGER"),IF('JULIO 2026'!Y40&lt;&gt;"",'JULIO 2026'!Y40,'JULIO 2026'!I40),"")</f>
        <v/>
      </c>
      <c r="C666" s="381">
        <f>IF(AND('JULIO 2026'!D40&lt;&gt;"",'JULIO 2026'!Z40="POR RECOGER"),'JULIO 2026'!D40,"")</f>
        <v/>
      </c>
      <c r="D666" s="381">
        <f>IF(AND('JULIO 2026'!D40&lt;&gt;"",'JULIO 2026'!Z40="POR RECOGER"),'JULIO 2026'!F40,"")</f>
        <v/>
      </c>
      <c r="E666" s="381">
        <f>IF(AND('JULIO 2026'!D40&lt;&gt;"",'JULIO 2026'!Z40="POR RECOGER"),TEXT('JULIO 2026'!G40,"DD/MM/YYYY"),"")</f>
        <v/>
      </c>
      <c r="F666" s="381">
        <f>IF(AND('JULIO 2026'!D40&lt;&gt;"",'JULIO 2026'!Z40="POR RECOGER"),'JULIO 2026'!K40,"")</f>
        <v/>
      </c>
      <c r="G666" s="382">
        <f>IF(AND('JULIO 2026'!D40&lt;&gt;"",'JULIO 2026'!Z40="POR RECOGER"),'JULIO 2026'!M40,"")</f>
        <v/>
      </c>
      <c r="H666" s="382">
        <f>IF(AND('JULIO 2026'!D40&lt;&gt;"",'JULIO 2026'!Z40="POR RECOGER"),'JULIO 2026'!N40,"")</f>
        <v/>
      </c>
      <c r="I666" s="381">
        <f>IF(AND('JULIO 2026'!D40&lt;&gt;"",'JULIO 2026'!Z40="POR RECOGER"),'JULIO 2026'!P40,"")</f>
        <v/>
      </c>
      <c r="J666" s="381">
        <f>IF(AND('JULIO 2026'!D40&lt;&gt;"",'JULIO 2026'!Z40="POR RECOGER"),'JULIO 2026'!Q40,"")</f>
        <v/>
      </c>
      <c r="K666" s="381">
        <f>IF(AND('JULIO 2026'!D40&lt;&gt;"",'JULIO 2026'!Z40="POR RECOGER"),'JULIO 2026'!Y40,"")</f>
        <v/>
      </c>
      <c r="L666" s="381">
        <f>IF(AND('JULIO 2026'!D40&lt;&gt;"",'JULIO 2026'!Z40="POR RECOGER"),'JULIO 2026'!I40,"")</f>
        <v/>
      </c>
      <c r="P666" s="194" t="n"/>
      <c r="Q666" s="194" t="n"/>
      <c r="R666" s="194" t="n"/>
      <c r="S666" s="194" t="n"/>
      <c r="T666" s="194" t="n"/>
      <c r="U666" s="194" t="n"/>
      <c r="V666" s="194" t="n"/>
      <c r="W666" s="194" t="n"/>
      <c r="X666" s="194" t="n"/>
      <c r="Y666" s="194" t="n"/>
      <c r="Z666" s="194" t="n"/>
    </row>
    <row r="667" ht="15" customHeight="1" s="195">
      <c r="A667" s="381">
        <f>IF(AND('JULIO 2026'!D41&lt;&gt;"",'JULIO 2026'!Z41="POR RECOGER"),"JUL","")</f>
        <v/>
      </c>
      <c r="B667" s="381">
        <f>IF(AND('JULIO 2026'!D41&lt;&gt;"",'JULIO 2026'!Z41="POR RECOGER"),IF('JULIO 2026'!Y41&lt;&gt;"",'JULIO 2026'!Y41,'JULIO 2026'!I41),"")</f>
        <v/>
      </c>
      <c r="C667" s="381">
        <f>IF(AND('JULIO 2026'!D41&lt;&gt;"",'JULIO 2026'!Z41="POR RECOGER"),'JULIO 2026'!D41,"")</f>
        <v/>
      </c>
      <c r="D667" s="381">
        <f>IF(AND('JULIO 2026'!D41&lt;&gt;"",'JULIO 2026'!Z41="POR RECOGER"),'JULIO 2026'!F41,"")</f>
        <v/>
      </c>
      <c r="E667" s="381">
        <f>IF(AND('JULIO 2026'!D41&lt;&gt;"",'JULIO 2026'!Z41="POR RECOGER"),TEXT('JULIO 2026'!G41,"DD/MM/YYYY"),"")</f>
        <v/>
      </c>
      <c r="F667" s="381">
        <f>IF(AND('JULIO 2026'!D41&lt;&gt;"",'JULIO 2026'!Z41="POR RECOGER"),'JULIO 2026'!K41,"")</f>
        <v/>
      </c>
      <c r="G667" s="382">
        <f>IF(AND('JULIO 2026'!D41&lt;&gt;"",'JULIO 2026'!Z41="POR RECOGER"),'JULIO 2026'!M41,"")</f>
        <v/>
      </c>
      <c r="H667" s="382">
        <f>IF(AND('JULIO 2026'!D41&lt;&gt;"",'JULIO 2026'!Z41="POR RECOGER"),'JULIO 2026'!N41,"")</f>
        <v/>
      </c>
      <c r="I667" s="381">
        <f>IF(AND('JULIO 2026'!D41&lt;&gt;"",'JULIO 2026'!Z41="POR RECOGER"),'JULIO 2026'!P41,"")</f>
        <v/>
      </c>
      <c r="J667" s="381">
        <f>IF(AND('JULIO 2026'!D41&lt;&gt;"",'JULIO 2026'!Z41="POR RECOGER"),'JULIO 2026'!Q41,"")</f>
        <v/>
      </c>
      <c r="K667" s="381">
        <f>IF(AND('JULIO 2026'!D41&lt;&gt;"",'JULIO 2026'!Z41="POR RECOGER"),'JULIO 2026'!Y41,"")</f>
        <v/>
      </c>
      <c r="L667" s="381">
        <f>IF(AND('JULIO 2026'!D41&lt;&gt;"",'JULIO 2026'!Z41="POR RECOGER"),'JULIO 2026'!I41,"")</f>
        <v/>
      </c>
      <c r="P667" s="194" t="n"/>
      <c r="Q667" s="194" t="n"/>
      <c r="R667" s="194" t="n"/>
      <c r="S667" s="194" t="n"/>
      <c r="T667" s="194" t="n"/>
      <c r="U667" s="194" t="n"/>
      <c r="V667" s="194" t="n"/>
      <c r="W667" s="194" t="n"/>
      <c r="X667" s="194" t="n"/>
      <c r="Y667" s="194" t="n"/>
      <c r="Z667" s="194" t="n"/>
    </row>
    <row r="668" ht="15" customHeight="1" s="195">
      <c r="A668" s="381">
        <f>IF(AND('JULIO 2026'!D42&lt;&gt;"",'JULIO 2026'!Z42="POR RECOGER"),"JUL","")</f>
        <v/>
      </c>
      <c r="B668" s="381">
        <f>IF(AND('JULIO 2026'!D42&lt;&gt;"",'JULIO 2026'!Z42="POR RECOGER"),IF('JULIO 2026'!Y42&lt;&gt;"",'JULIO 2026'!Y42,'JULIO 2026'!I42),"")</f>
        <v/>
      </c>
      <c r="C668" s="381">
        <f>IF(AND('JULIO 2026'!D42&lt;&gt;"",'JULIO 2026'!Z42="POR RECOGER"),'JULIO 2026'!D42,"")</f>
        <v/>
      </c>
      <c r="D668" s="381">
        <f>IF(AND('JULIO 2026'!D42&lt;&gt;"",'JULIO 2026'!Z42="POR RECOGER"),'JULIO 2026'!F42,"")</f>
        <v/>
      </c>
      <c r="E668" s="381">
        <f>IF(AND('JULIO 2026'!D42&lt;&gt;"",'JULIO 2026'!Z42="POR RECOGER"),TEXT('JULIO 2026'!G42,"DD/MM/YYYY"),"")</f>
        <v/>
      </c>
      <c r="F668" s="381">
        <f>IF(AND('JULIO 2026'!D42&lt;&gt;"",'JULIO 2026'!Z42="POR RECOGER"),'JULIO 2026'!K42,"")</f>
        <v/>
      </c>
      <c r="G668" s="382">
        <f>IF(AND('JULIO 2026'!D42&lt;&gt;"",'JULIO 2026'!Z42="POR RECOGER"),'JULIO 2026'!M42,"")</f>
        <v/>
      </c>
      <c r="H668" s="382">
        <f>IF(AND('JULIO 2026'!D42&lt;&gt;"",'JULIO 2026'!Z42="POR RECOGER"),'JULIO 2026'!N42,"")</f>
        <v/>
      </c>
      <c r="I668" s="381">
        <f>IF(AND('JULIO 2026'!D42&lt;&gt;"",'JULIO 2026'!Z42="POR RECOGER"),'JULIO 2026'!P42,"")</f>
        <v/>
      </c>
      <c r="J668" s="381">
        <f>IF(AND('JULIO 2026'!D42&lt;&gt;"",'JULIO 2026'!Z42="POR RECOGER"),'JULIO 2026'!Q42,"")</f>
        <v/>
      </c>
      <c r="K668" s="381">
        <f>IF(AND('JULIO 2026'!D42&lt;&gt;"",'JULIO 2026'!Z42="POR RECOGER"),'JULIO 2026'!Y42,"")</f>
        <v/>
      </c>
      <c r="L668" s="381">
        <f>IF(AND('JULIO 2026'!D42&lt;&gt;"",'JULIO 2026'!Z42="POR RECOGER"),'JULIO 2026'!I42,"")</f>
        <v/>
      </c>
      <c r="P668" s="194" t="n"/>
      <c r="Q668" s="194" t="n"/>
      <c r="R668" s="194" t="n"/>
      <c r="S668" s="194" t="n"/>
      <c r="T668" s="194" t="n"/>
      <c r="U668" s="194" t="n"/>
      <c r="V668" s="194" t="n"/>
      <c r="W668" s="194" t="n"/>
      <c r="X668" s="194" t="n"/>
      <c r="Y668" s="194" t="n"/>
      <c r="Z668" s="194" t="n"/>
    </row>
    <row r="669" ht="15" customHeight="1" s="195">
      <c r="A669" s="381">
        <f>IF(AND('JULIO 2026'!D43&lt;&gt;"",'JULIO 2026'!Z43="POR RECOGER"),"JUL","")</f>
        <v/>
      </c>
      <c r="B669" s="381">
        <f>IF(AND('JULIO 2026'!D43&lt;&gt;"",'JULIO 2026'!Z43="POR RECOGER"),IF('JULIO 2026'!Y43&lt;&gt;"",'JULIO 2026'!Y43,'JULIO 2026'!I43),"")</f>
        <v/>
      </c>
      <c r="C669" s="381">
        <f>IF(AND('JULIO 2026'!D43&lt;&gt;"",'JULIO 2026'!Z43="POR RECOGER"),'JULIO 2026'!D43,"")</f>
        <v/>
      </c>
      <c r="D669" s="381">
        <f>IF(AND('JULIO 2026'!D43&lt;&gt;"",'JULIO 2026'!Z43="POR RECOGER"),'JULIO 2026'!F43,"")</f>
        <v/>
      </c>
      <c r="E669" s="381">
        <f>IF(AND('JULIO 2026'!D43&lt;&gt;"",'JULIO 2026'!Z43="POR RECOGER"),TEXT('JULIO 2026'!G43,"DD/MM/YYYY"),"")</f>
        <v/>
      </c>
      <c r="F669" s="381">
        <f>IF(AND('JULIO 2026'!D43&lt;&gt;"",'JULIO 2026'!Z43="POR RECOGER"),'JULIO 2026'!K43,"")</f>
        <v/>
      </c>
      <c r="G669" s="382">
        <f>IF(AND('JULIO 2026'!D43&lt;&gt;"",'JULIO 2026'!Z43="POR RECOGER"),'JULIO 2026'!M43,"")</f>
        <v/>
      </c>
      <c r="H669" s="382">
        <f>IF(AND('JULIO 2026'!D43&lt;&gt;"",'JULIO 2026'!Z43="POR RECOGER"),'JULIO 2026'!N43,"")</f>
        <v/>
      </c>
      <c r="I669" s="381">
        <f>IF(AND('JULIO 2026'!D43&lt;&gt;"",'JULIO 2026'!Z43="POR RECOGER"),'JULIO 2026'!P43,"")</f>
        <v/>
      </c>
      <c r="J669" s="381">
        <f>IF(AND('JULIO 2026'!D43&lt;&gt;"",'JULIO 2026'!Z43="POR RECOGER"),'JULIO 2026'!Q43,"")</f>
        <v/>
      </c>
      <c r="K669" s="381">
        <f>IF(AND('JULIO 2026'!D43&lt;&gt;"",'JULIO 2026'!Z43="POR RECOGER"),'JULIO 2026'!Y43,"")</f>
        <v/>
      </c>
      <c r="L669" s="381">
        <f>IF(AND('JULIO 2026'!D43&lt;&gt;"",'JULIO 2026'!Z43="POR RECOGER"),'JULIO 2026'!I43,"")</f>
        <v/>
      </c>
      <c r="P669" s="194" t="n"/>
      <c r="Q669" s="194" t="n"/>
      <c r="R669" s="194" t="n"/>
      <c r="S669" s="194" t="n"/>
      <c r="T669" s="194" t="n"/>
      <c r="U669" s="194" t="n"/>
      <c r="V669" s="194" t="n"/>
      <c r="W669" s="194" t="n"/>
      <c r="X669" s="194" t="n"/>
      <c r="Y669" s="194" t="n"/>
      <c r="Z669" s="194" t="n"/>
    </row>
    <row r="670" ht="15" customHeight="1" s="195">
      <c r="A670" s="381">
        <f>IF(AND('JULIO 2026'!D44&lt;&gt;"",'JULIO 2026'!Z44="POR RECOGER"),"JUL","")</f>
        <v/>
      </c>
      <c r="B670" s="381">
        <f>IF(AND('JULIO 2026'!D44&lt;&gt;"",'JULIO 2026'!Z44="POR RECOGER"),IF('JULIO 2026'!Y44&lt;&gt;"",'JULIO 2026'!Y44,'JULIO 2026'!I44),"")</f>
        <v/>
      </c>
      <c r="C670" s="381">
        <f>IF(AND('JULIO 2026'!D44&lt;&gt;"",'JULIO 2026'!Z44="POR RECOGER"),'JULIO 2026'!D44,"")</f>
        <v/>
      </c>
      <c r="D670" s="381">
        <f>IF(AND('JULIO 2026'!D44&lt;&gt;"",'JULIO 2026'!Z44="POR RECOGER"),'JULIO 2026'!F44,"")</f>
        <v/>
      </c>
      <c r="E670" s="381">
        <f>IF(AND('JULIO 2026'!D44&lt;&gt;"",'JULIO 2026'!Z44="POR RECOGER"),TEXT('JULIO 2026'!G44,"DD/MM/YYYY"),"")</f>
        <v/>
      </c>
      <c r="F670" s="381">
        <f>IF(AND('JULIO 2026'!D44&lt;&gt;"",'JULIO 2026'!Z44="POR RECOGER"),'JULIO 2026'!K44,"")</f>
        <v/>
      </c>
      <c r="G670" s="382">
        <f>IF(AND('JULIO 2026'!D44&lt;&gt;"",'JULIO 2026'!Z44="POR RECOGER"),'JULIO 2026'!M44,"")</f>
        <v/>
      </c>
      <c r="H670" s="382">
        <f>IF(AND('JULIO 2026'!D44&lt;&gt;"",'JULIO 2026'!Z44="POR RECOGER"),'JULIO 2026'!N44,"")</f>
        <v/>
      </c>
      <c r="I670" s="381">
        <f>IF(AND('JULIO 2026'!D44&lt;&gt;"",'JULIO 2026'!Z44="POR RECOGER"),'JULIO 2026'!P44,"")</f>
        <v/>
      </c>
      <c r="J670" s="381">
        <f>IF(AND('JULIO 2026'!D44&lt;&gt;"",'JULIO 2026'!Z44="POR RECOGER"),'JULIO 2026'!Q44,"")</f>
        <v/>
      </c>
      <c r="K670" s="381">
        <f>IF(AND('JULIO 2026'!D44&lt;&gt;"",'JULIO 2026'!Z44="POR RECOGER"),'JULIO 2026'!Y44,"")</f>
        <v/>
      </c>
      <c r="L670" s="381">
        <f>IF(AND('JULIO 2026'!D44&lt;&gt;"",'JULIO 2026'!Z44="POR RECOGER"),'JULIO 2026'!I44,"")</f>
        <v/>
      </c>
      <c r="P670" s="194" t="n"/>
      <c r="Q670" s="194" t="n"/>
      <c r="R670" s="194" t="n"/>
      <c r="S670" s="194" t="n"/>
      <c r="T670" s="194" t="n"/>
      <c r="U670" s="194" t="n"/>
      <c r="V670" s="194" t="n"/>
      <c r="W670" s="194" t="n"/>
      <c r="X670" s="194" t="n"/>
      <c r="Y670" s="194" t="n"/>
      <c r="Z670" s="194" t="n"/>
    </row>
    <row r="671" ht="15" customHeight="1" s="195">
      <c r="A671" s="381">
        <f>IF(AND('JULIO 2026'!D45&lt;&gt;"",'JULIO 2026'!Z45="POR RECOGER"),"JUL","")</f>
        <v/>
      </c>
      <c r="B671" s="381">
        <f>IF(AND('JULIO 2026'!D45&lt;&gt;"",'JULIO 2026'!Z45="POR RECOGER"),IF('JULIO 2026'!Y45&lt;&gt;"",'JULIO 2026'!Y45,'JULIO 2026'!I45),"")</f>
        <v/>
      </c>
      <c r="C671" s="381">
        <f>IF(AND('JULIO 2026'!D45&lt;&gt;"",'JULIO 2026'!Z45="POR RECOGER"),'JULIO 2026'!D45,"")</f>
        <v/>
      </c>
      <c r="D671" s="381">
        <f>IF(AND('JULIO 2026'!D45&lt;&gt;"",'JULIO 2026'!Z45="POR RECOGER"),'JULIO 2026'!F45,"")</f>
        <v/>
      </c>
      <c r="E671" s="381">
        <f>IF(AND('JULIO 2026'!D45&lt;&gt;"",'JULIO 2026'!Z45="POR RECOGER"),TEXT('JULIO 2026'!G45,"DD/MM/YYYY"),"")</f>
        <v/>
      </c>
      <c r="F671" s="381">
        <f>IF(AND('JULIO 2026'!D45&lt;&gt;"",'JULIO 2026'!Z45="POR RECOGER"),'JULIO 2026'!K45,"")</f>
        <v/>
      </c>
      <c r="G671" s="382">
        <f>IF(AND('JULIO 2026'!D45&lt;&gt;"",'JULIO 2026'!Z45="POR RECOGER"),'JULIO 2026'!M45,"")</f>
        <v/>
      </c>
      <c r="H671" s="382">
        <f>IF(AND('JULIO 2026'!D45&lt;&gt;"",'JULIO 2026'!Z45="POR RECOGER"),'JULIO 2026'!N45,"")</f>
        <v/>
      </c>
      <c r="I671" s="381">
        <f>IF(AND('JULIO 2026'!D45&lt;&gt;"",'JULIO 2026'!Z45="POR RECOGER"),'JULIO 2026'!P45,"")</f>
        <v/>
      </c>
      <c r="J671" s="381">
        <f>IF(AND('JULIO 2026'!D45&lt;&gt;"",'JULIO 2026'!Z45="POR RECOGER"),'JULIO 2026'!Q45,"")</f>
        <v/>
      </c>
      <c r="K671" s="381">
        <f>IF(AND('JULIO 2026'!D45&lt;&gt;"",'JULIO 2026'!Z45="POR RECOGER"),'JULIO 2026'!Y45,"")</f>
        <v/>
      </c>
      <c r="L671" s="381">
        <f>IF(AND('JULIO 2026'!D45&lt;&gt;"",'JULIO 2026'!Z45="POR RECOGER"),'JULIO 2026'!I45,"")</f>
        <v/>
      </c>
      <c r="P671" s="194" t="n"/>
      <c r="Q671" s="194" t="n"/>
      <c r="R671" s="194" t="n"/>
      <c r="S671" s="194" t="n"/>
      <c r="T671" s="194" t="n"/>
      <c r="U671" s="194" t="n"/>
      <c r="V671" s="194" t="n"/>
      <c r="W671" s="194" t="n"/>
      <c r="X671" s="194" t="n"/>
      <c r="Y671" s="194" t="n"/>
      <c r="Z671" s="194" t="n"/>
    </row>
    <row r="672" ht="15" customHeight="1" s="195">
      <c r="A672" s="381">
        <f>IF(AND('JULIO 2026'!D46&lt;&gt;"",'JULIO 2026'!Z46="POR RECOGER"),"JUL","")</f>
        <v/>
      </c>
      <c r="B672" s="381">
        <f>IF(AND('JULIO 2026'!D46&lt;&gt;"",'JULIO 2026'!Z46="POR RECOGER"),IF('JULIO 2026'!Y46&lt;&gt;"",'JULIO 2026'!Y46,'JULIO 2026'!I46),"")</f>
        <v/>
      </c>
      <c r="C672" s="381">
        <f>IF(AND('JULIO 2026'!D46&lt;&gt;"",'JULIO 2026'!Z46="POR RECOGER"),'JULIO 2026'!D46,"")</f>
        <v/>
      </c>
      <c r="D672" s="381">
        <f>IF(AND('JULIO 2026'!D46&lt;&gt;"",'JULIO 2026'!Z46="POR RECOGER"),'JULIO 2026'!F46,"")</f>
        <v/>
      </c>
      <c r="E672" s="381">
        <f>IF(AND('JULIO 2026'!D46&lt;&gt;"",'JULIO 2026'!Z46="POR RECOGER"),TEXT('JULIO 2026'!G46,"DD/MM/YYYY"),"")</f>
        <v/>
      </c>
      <c r="F672" s="381">
        <f>IF(AND('JULIO 2026'!D46&lt;&gt;"",'JULIO 2026'!Z46="POR RECOGER"),'JULIO 2026'!K46,"")</f>
        <v/>
      </c>
      <c r="G672" s="382">
        <f>IF(AND('JULIO 2026'!D46&lt;&gt;"",'JULIO 2026'!Z46="POR RECOGER"),'JULIO 2026'!M46,"")</f>
        <v/>
      </c>
      <c r="H672" s="382">
        <f>IF(AND('JULIO 2026'!D46&lt;&gt;"",'JULIO 2026'!Z46="POR RECOGER"),'JULIO 2026'!N46,"")</f>
        <v/>
      </c>
      <c r="I672" s="381">
        <f>IF(AND('JULIO 2026'!D46&lt;&gt;"",'JULIO 2026'!Z46="POR RECOGER"),'JULIO 2026'!P46,"")</f>
        <v/>
      </c>
      <c r="J672" s="381">
        <f>IF(AND('JULIO 2026'!D46&lt;&gt;"",'JULIO 2026'!Z46="POR RECOGER"),'JULIO 2026'!Q46,"")</f>
        <v/>
      </c>
      <c r="K672" s="381">
        <f>IF(AND('JULIO 2026'!D46&lt;&gt;"",'JULIO 2026'!Z46="POR RECOGER"),'JULIO 2026'!Y46,"")</f>
        <v/>
      </c>
      <c r="L672" s="381">
        <f>IF(AND('JULIO 2026'!D46&lt;&gt;"",'JULIO 2026'!Z46="POR RECOGER"),'JULIO 2026'!I46,"")</f>
        <v/>
      </c>
      <c r="P672" s="194" t="n"/>
      <c r="Q672" s="194" t="n"/>
      <c r="R672" s="194" t="n"/>
      <c r="S672" s="194" t="n"/>
      <c r="T672" s="194" t="n"/>
      <c r="U672" s="194" t="n"/>
      <c r="V672" s="194" t="n"/>
      <c r="W672" s="194" t="n"/>
      <c r="X672" s="194" t="n"/>
      <c r="Y672" s="194" t="n"/>
      <c r="Z672" s="194" t="n"/>
    </row>
    <row r="673" ht="15" customHeight="1" s="195">
      <c r="A673" s="381">
        <f>IF(AND('JULIO 2026'!D47&lt;&gt;"",'JULIO 2026'!Z47="POR RECOGER"),"JUL","")</f>
        <v/>
      </c>
      <c r="B673" s="381">
        <f>IF(AND('JULIO 2026'!D47&lt;&gt;"",'JULIO 2026'!Z47="POR RECOGER"),IF('JULIO 2026'!Y47&lt;&gt;"",'JULIO 2026'!Y47,'JULIO 2026'!I47),"")</f>
        <v/>
      </c>
      <c r="C673" s="381">
        <f>IF(AND('JULIO 2026'!D47&lt;&gt;"",'JULIO 2026'!Z47="POR RECOGER"),'JULIO 2026'!D47,"")</f>
        <v/>
      </c>
      <c r="D673" s="381">
        <f>IF(AND('JULIO 2026'!D47&lt;&gt;"",'JULIO 2026'!Z47="POR RECOGER"),'JULIO 2026'!F47,"")</f>
        <v/>
      </c>
      <c r="E673" s="381">
        <f>IF(AND('JULIO 2026'!D47&lt;&gt;"",'JULIO 2026'!Z47="POR RECOGER"),TEXT('JULIO 2026'!G47,"DD/MM/YYYY"),"")</f>
        <v/>
      </c>
      <c r="F673" s="381">
        <f>IF(AND('JULIO 2026'!D47&lt;&gt;"",'JULIO 2026'!Z47="POR RECOGER"),'JULIO 2026'!K47,"")</f>
        <v/>
      </c>
      <c r="G673" s="382">
        <f>IF(AND('JULIO 2026'!D47&lt;&gt;"",'JULIO 2026'!Z47="POR RECOGER"),'JULIO 2026'!M47,"")</f>
        <v/>
      </c>
      <c r="H673" s="382">
        <f>IF(AND('JULIO 2026'!D47&lt;&gt;"",'JULIO 2026'!Z47="POR RECOGER"),'JULIO 2026'!N47,"")</f>
        <v/>
      </c>
      <c r="I673" s="381">
        <f>IF(AND('JULIO 2026'!D47&lt;&gt;"",'JULIO 2026'!Z47="POR RECOGER"),'JULIO 2026'!P47,"")</f>
        <v/>
      </c>
      <c r="J673" s="381">
        <f>IF(AND('JULIO 2026'!D47&lt;&gt;"",'JULIO 2026'!Z47="POR RECOGER"),'JULIO 2026'!Q47,"")</f>
        <v/>
      </c>
      <c r="K673" s="381">
        <f>IF(AND('JULIO 2026'!D47&lt;&gt;"",'JULIO 2026'!Z47="POR RECOGER"),'JULIO 2026'!Y47,"")</f>
        <v/>
      </c>
      <c r="L673" s="381">
        <f>IF(AND('JULIO 2026'!D47&lt;&gt;"",'JULIO 2026'!Z47="POR RECOGER"),'JULIO 2026'!I47,"")</f>
        <v/>
      </c>
      <c r="P673" s="194" t="n"/>
      <c r="Q673" s="194" t="n"/>
      <c r="R673" s="194" t="n"/>
      <c r="S673" s="194" t="n"/>
      <c r="T673" s="194" t="n"/>
      <c r="U673" s="194" t="n"/>
      <c r="V673" s="194" t="n"/>
      <c r="W673" s="194" t="n"/>
      <c r="X673" s="194" t="n"/>
      <c r="Y673" s="194" t="n"/>
      <c r="Z673" s="194" t="n"/>
    </row>
    <row r="674" ht="15" customHeight="1" s="195">
      <c r="A674" s="381">
        <f>IF(AND('JULIO 2026'!D48&lt;&gt;"",'JULIO 2026'!Z48="POR RECOGER"),"JUL","")</f>
        <v/>
      </c>
      <c r="B674" s="381">
        <f>IF(AND('JULIO 2026'!D48&lt;&gt;"",'JULIO 2026'!Z48="POR RECOGER"),IF('JULIO 2026'!Y48&lt;&gt;"",'JULIO 2026'!Y48,'JULIO 2026'!I48),"")</f>
        <v/>
      </c>
      <c r="C674" s="381">
        <f>IF(AND('JULIO 2026'!D48&lt;&gt;"",'JULIO 2026'!Z48="POR RECOGER"),'JULIO 2026'!D48,"")</f>
        <v/>
      </c>
      <c r="D674" s="381">
        <f>IF(AND('JULIO 2026'!D48&lt;&gt;"",'JULIO 2026'!Z48="POR RECOGER"),'JULIO 2026'!F48,"")</f>
        <v/>
      </c>
      <c r="E674" s="381">
        <f>IF(AND('JULIO 2026'!D48&lt;&gt;"",'JULIO 2026'!Z48="POR RECOGER"),TEXT('JULIO 2026'!G48,"DD/MM/YYYY"),"")</f>
        <v/>
      </c>
      <c r="F674" s="381">
        <f>IF(AND('JULIO 2026'!D48&lt;&gt;"",'JULIO 2026'!Z48="POR RECOGER"),'JULIO 2026'!K48,"")</f>
        <v/>
      </c>
      <c r="G674" s="382">
        <f>IF(AND('JULIO 2026'!D48&lt;&gt;"",'JULIO 2026'!Z48="POR RECOGER"),'JULIO 2026'!M48,"")</f>
        <v/>
      </c>
      <c r="H674" s="382">
        <f>IF(AND('JULIO 2026'!D48&lt;&gt;"",'JULIO 2026'!Z48="POR RECOGER"),'JULIO 2026'!N48,"")</f>
        <v/>
      </c>
      <c r="I674" s="381">
        <f>IF(AND('JULIO 2026'!D48&lt;&gt;"",'JULIO 2026'!Z48="POR RECOGER"),'JULIO 2026'!P48,"")</f>
        <v/>
      </c>
      <c r="J674" s="381">
        <f>IF(AND('JULIO 2026'!D48&lt;&gt;"",'JULIO 2026'!Z48="POR RECOGER"),'JULIO 2026'!Q48,"")</f>
        <v/>
      </c>
      <c r="K674" s="381">
        <f>IF(AND('JULIO 2026'!D48&lt;&gt;"",'JULIO 2026'!Z48="POR RECOGER"),'JULIO 2026'!Y48,"")</f>
        <v/>
      </c>
      <c r="L674" s="381">
        <f>IF(AND('JULIO 2026'!D48&lt;&gt;"",'JULIO 2026'!Z48="POR RECOGER"),'JULIO 2026'!I48,"")</f>
        <v/>
      </c>
      <c r="P674" s="194" t="n"/>
      <c r="Q674" s="194" t="n"/>
      <c r="R674" s="194" t="n"/>
      <c r="S674" s="194" t="n"/>
      <c r="T674" s="194" t="n"/>
      <c r="U674" s="194" t="n"/>
      <c r="V674" s="194" t="n"/>
      <c r="W674" s="194" t="n"/>
      <c r="X674" s="194" t="n"/>
      <c r="Y674" s="194" t="n"/>
      <c r="Z674" s="194" t="n"/>
    </row>
    <row r="675" ht="15" customHeight="1" s="195">
      <c r="A675" s="381">
        <f>IF(AND('JULIO 2026'!D49&lt;&gt;"",'JULIO 2026'!Z49="POR RECOGER"),"JUL","")</f>
        <v/>
      </c>
      <c r="B675" s="381">
        <f>IF(AND('JULIO 2026'!D49&lt;&gt;"",'JULIO 2026'!Z49="POR RECOGER"),IF('JULIO 2026'!Y49&lt;&gt;"",'JULIO 2026'!Y49,'JULIO 2026'!I49),"")</f>
        <v/>
      </c>
      <c r="C675" s="381">
        <f>IF(AND('JULIO 2026'!D49&lt;&gt;"",'JULIO 2026'!Z49="POR RECOGER"),'JULIO 2026'!D49,"")</f>
        <v/>
      </c>
      <c r="D675" s="381">
        <f>IF(AND('JULIO 2026'!D49&lt;&gt;"",'JULIO 2026'!Z49="POR RECOGER"),'JULIO 2026'!F49,"")</f>
        <v/>
      </c>
      <c r="E675" s="381">
        <f>IF(AND('JULIO 2026'!D49&lt;&gt;"",'JULIO 2026'!Z49="POR RECOGER"),TEXT('JULIO 2026'!G49,"DD/MM/YYYY"),"")</f>
        <v/>
      </c>
      <c r="F675" s="381">
        <f>IF(AND('JULIO 2026'!D49&lt;&gt;"",'JULIO 2026'!Z49="POR RECOGER"),'JULIO 2026'!K49,"")</f>
        <v/>
      </c>
      <c r="G675" s="382">
        <f>IF(AND('JULIO 2026'!D49&lt;&gt;"",'JULIO 2026'!Z49="POR RECOGER"),'JULIO 2026'!M49,"")</f>
        <v/>
      </c>
      <c r="H675" s="382">
        <f>IF(AND('JULIO 2026'!D49&lt;&gt;"",'JULIO 2026'!Z49="POR RECOGER"),'JULIO 2026'!N49,"")</f>
        <v/>
      </c>
      <c r="I675" s="381">
        <f>IF(AND('JULIO 2026'!D49&lt;&gt;"",'JULIO 2026'!Z49="POR RECOGER"),'JULIO 2026'!P49,"")</f>
        <v/>
      </c>
      <c r="J675" s="381">
        <f>IF(AND('JULIO 2026'!D49&lt;&gt;"",'JULIO 2026'!Z49="POR RECOGER"),'JULIO 2026'!Q49,"")</f>
        <v/>
      </c>
      <c r="K675" s="381">
        <f>IF(AND('JULIO 2026'!D49&lt;&gt;"",'JULIO 2026'!Z49="POR RECOGER"),'JULIO 2026'!Y49,"")</f>
        <v/>
      </c>
      <c r="L675" s="381">
        <f>IF(AND('JULIO 2026'!D49&lt;&gt;"",'JULIO 2026'!Z49="POR RECOGER"),'JULIO 2026'!I49,"")</f>
        <v/>
      </c>
      <c r="P675" s="194" t="n"/>
      <c r="Q675" s="194" t="n"/>
      <c r="R675" s="194" t="n"/>
      <c r="S675" s="194" t="n"/>
      <c r="T675" s="194" t="n"/>
      <c r="U675" s="194" t="n"/>
      <c r="V675" s="194" t="n"/>
      <c r="W675" s="194" t="n"/>
      <c r="X675" s="194" t="n"/>
      <c r="Y675" s="194" t="n"/>
      <c r="Z675" s="194" t="n"/>
    </row>
    <row r="676" ht="15" customHeight="1" s="195">
      <c r="A676" s="381">
        <f>IF(AND('JULIO 2026'!D50&lt;&gt;"",'JULIO 2026'!Z50="POR RECOGER"),"JUL","")</f>
        <v/>
      </c>
      <c r="B676" s="381">
        <f>IF(AND('JULIO 2026'!D50&lt;&gt;"",'JULIO 2026'!Z50="POR RECOGER"),IF('JULIO 2026'!Y50&lt;&gt;"",'JULIO 2026'!Y50,'JULIO 2026'!I50),"")</f>
        <v/>
      </c>
      <c r="C676" s="381">
        <f>IF(AND('JULIO 2026'!D50&lt;&gt;"",'JULIO 2026'!Z50="POR RECOGER"),'JULIO 2026'!D50,"")</f>
        <v/>
      </c>
      <c r="D676" s="381">
        <f>IF(AND('JULIO 2026'!D50&lt;&gt;"",'JULIO 2026'!Z50="POR RECOGER"),'JULIO 2026'!F50,"")</f>
        <v/>
      </c>
      <c r="E676" s="381">
        <f>IF(AND('JULIO 2026'!D50&lt;&gt;"",'JULIO 2026'!Z50="POR RECOGER"),TEXT('JULIO 2026'!G50,"DD/MM/YYYY"),"")</f>
        <v/>
      </c>
      <c r="F676" s="381">
        <f>IF(AND('JULIO 2026'!D50&lt;&gt;"",'JULIO 2026'!Z50="POR RECOGER"),'JULIO 2026'!K50,"")</f>
        <v/>
      </c>
      <c r="G676" s="382">
        <f>IF(AND('JULIO 2026'!D50&lt;&gt;"",'JULIO 2026'!Z50="POR RECOGER"),'JULIO 2026'!M50,"")</f>
        <v/>
      </c>
      <c r="H676" s="382">
        <f>IF(AND('JULIO 2026'!D50&lt;&gt;"",'JULIO 2026'!Z50="POR RECOGER"),'JULIO 2026'!N50,"")</f>
        <v/>
      </c>
      <c r="I676" s="381">
        <f>IF(AND('JULIO 2026'!D50&lt;&gt;"",'JULIO 2026'!Z50="POR RECOGER"),'JULIO 2026'!P50,"")</f>
        <v/>
      </c>
      <c r="J676" s="381">
        <f>IF(AND('JULIO 2026'!D50&lt;&gt;"",'JULIO 2026'!Z50="POR RECOGER"),'JULIO 2026'!Q50,"")</f>
        <v/>
      </c>
      <c r="K676" s="381">
        <f>IF(AND('JULIO 2026'!D50&lt;&gt;"",'JULIO 2026'!Z50="POR RECOGER"),'JULIO 2026'!Y50,"")</f>
        <v/>
      </c>
      <c r="L676" s="381">
        <f>IF(AND('JULIO 2026'!D50&lt;&gt;"",'JULIO 2026'!Z50="POR RECOGER"),'JULIO 2026'!I50,"")</f>
        <v/>
      </c>
      <c r="P676" s="194" t="n"/>
      <c r="Q676" s="194" t="n"/>
      <c r="R676" s="194" t="n"/>
      <c r="S676" s="194" t="n"/>
      <c r="T676" s="194" t="n"/>
      <c r="U676" s="194" t="n"/>
      <c r="V676" s="194" t="n"/>
      <c r="W676" s="194" t="n"/>
      <c r="X676" s="194" t="n"/>
      <c r="Y676" s="194" t="n"/>
      <c r="Z676" s="194" t="n"/>
    </row>
    <row r="677" ht="15" customHeight="1" s="195">
      <c r="A677" s="381">
        <f>IF(AND('JULIO 2026'!D51&lt;&gt;"",'JULIO 2026'!Z51="POR RECOGER"),"JUL","")</f>
        <v/>
      </c>
      <c r="B677" s="381">
        <f>IF(AND('JULIO 2026'!D51&lt;&gt;"",'JULIO 2026'!Z51="POR RECOGER"),IF('JULIO 2026'!Y51&lt;&gt;"",'JULIO 2026'!Y51,'JULIO 2026'!I51),"")</f>
        <v/>
      </c>
      <c r="C677" s="381">
        <f>IF(AND('JULIO 2026'!D51&lt;&gt;"",'JULIO 2026'!Z51="POR RECOGER"),'JULIO 2026'!D51,"")</f>
        <v/>
      </c>
      <c r="D677" s="381">
        <f>IF(AND('JULIO 2026'!D51&lt;&gt;"",'JULIO 2026'!Z51="POR RECOGER"),'JULIO 2026'!F51,"")</f>
        <v/>
      </c>
      <c r="E677" s="381">
        <f>IF(AND('JULIO 2026'!D51&lt;&gt;"",'JULIO 2026'!Z51="POR RECOGER"),TEXT('JULIO 2026'!G51,"DD/MM/YYYY"),"")</f>
        <v/>
      </c>
      <c r="F677" s="381">
        <f>IF(AND('JULIO 2026'!D51&lt;&gt;"",'JULIO 2026'!Z51="POR RECOGER"),'JULIO 2026'!K51,"")</f>
        <v/>
      </c>
      <c r="G677" s="382">
        <f>IF(AND('JULIO 2026'!D51&lt;&gt;"",'JULIO 2026'!Z51="POR RECOGER"),'JULIO 2026'!M51,"")</f>
        <v/>
      </c>
      <c r="H677" s="382">
        <f>IF(AND('JULIO 2026'!D51&lt;&gt;"",'JULIO 2026'!Z51="POR RECOGER"),'JULIO 2026'!N51,"")</f>
        <v/>
      </c>
      <c r="I677" s="381">
        <f>IF(AND('JULIO 2026'!D51&lt;&gt;"",'JULIO 2026'!Z51="POR RECOGER"),'JULIO 2026'!P51,"")</f>
        <v/>
      </c>
      <c r="J677" s="381">
        <f>IF(AND('JULIO 2026'!D51&lt;&gt;"",'JULIO 2026'!Z51="POR RECOGER"),'JULIO 2026'!Q51,"")</f>
        <v/>
      </c>
      <c r="K677" s="381">
        <f>IF(AND('JULIO 2026'!D51&lt;&gt;"",'JULIO 2026'!Z51="POR RECOGER"),'JULIO 2026'!Y51,"")</f>
        <v/>
      </c>
      <c r="L677" s="381">
        <f>IF(AND('JULIO 2026'!D51&lt;&gt;"",'JULIO 2026'!Z51="POR RECOGER"),'JULIO 2026'!I51,"")</f>
        <v/>
      </c>
      <c r="P677" s="194" t="n"/>
      <c r="Q677" s="194" t="n"/>
      <c r="R677" s="194" t="n"/>
      <c r="S677" s="194" t="n"/>
      <c r="T677" s="194" t="n"/>
      <c r="U677" s="194" t="n"/>
      <c r="V677" s="194" t="n"/>
      <c r="W677" s="194" t="n"/>
      <c r="X677" s="194" t="n"/>
      <c r="Y677" s="194" t="n"/>
      <c r="Z677" s="194" t="n"/>
    </row>
    <row r="678" ht="15" customHeight="1" s="195">
      <c r="A678" s="381">
        <f>IF(AND('JULIO 2026'!D52&lt;&gt;"",'JULIO 2026'!Z52="POR RECOGER"),"JUL","")</f>
        <v/>
      </c>
      <c r="B678" s="381">
        <f>IF(AND('JULIO 2026'!D52&lt;&gt;"",'JULIO 2026'!Z52="POR RECOGER"),IF('JULIO 2026'!Y52&lt;&gt;"",'JULIO 2026'!Y52,'JULIO 2026'!I52),"")</f>
        <v/>
      </c>
      <c r="C678" s="381">
        <f>IF(AND('JULIO 2026'!D52&lt;&gt;"",'JULIO 2026'!Z52="POR RECOGER"),'JULIO 2026'!D52,"")</f>
        <v/>
      </c>
      <c r="D678" s="381">
        <f>IF(AND('JULIO 2026'!D52&lt;&gt;"",'JULIO 2026'!Z52="POR RECOGER"),'JULIO 2026'!F52,"")</f>
        <v/>
      </c>
      <c r="E678" s="381">
        <f>IF(AND('JULIO 2026'!D52&lt;&gt;"",'JULIO 2026'!Z52="POR RECOGER"),TEXT('JULIO 2026'!G52,"DD/MM/YYYY"),"")</f>
        <v/>
      </c>
      <c r="F678" s="381">
        <f>IF(AND('JULIO 2026'!D52&lt;&gt;"",'JULIO 2026'!Z52="POR RECOGER"),'JULIO 2026'!K52,"")</f>
        <v/>
      </c>
      <c r="G678" s="382">
        <f>IF(AND('JULIO 2026'!D52&lt;&gt;"",'JULIO 2026'!Z52="POR RECOGER"),'JULIO 2026'!M52,"")</f>
        <v/>
      </c>
      <c r="H678" s="382">
        <f>IF(AND('JULIO 2026'!D52&lt;&gt;"",'JULIO 2026'!Z52="POR RECOGER"),'JULIO 2026'!N52,"")</f>
        <v/>
      </c>
      <c r="I678" s="381">
        <f>IF(AND('JULIO 2026'!D52&lt;&gt;"",'JULIO 2026'!Z52="POR RECOGER"),'JULIO 2026'!P52,"")</f>
        <v/>
      </c>
      <c r="J678" s="381">
        <f>IF(AND('JULIO 2026'!D52&lt;&gt;"",'JULIO 2026'!Z52="POR RECOGER"),'JULIO 2026'!Q52,"")</f>
        <v/>
      </c>
      <c r="K678" s="381">
        <f>IF(AND('JULIO 2026'!D52&lt;&gt;"",'JULIO 2026'!Z52="POR RECOGER"),'JULIO 2026'!Y52,"")</f>
        <v/>
      </c>
      <c r="L678" s="381">
        <f>IF(AND('JULIO 2026'!D52&lt;&gt;"",'JULIO 2026'!Z52="POR RECOGER"),'JULIO 2026'!I52,"")</f>
        <v/>
      </c>
      <c r="P678" s="194" t="n"/>
      <c r="Q678" s="194" t="n"/>
      <c r="R678" s="194" t="n"/>
      <c r="S678" s="194" t="n"/>
      <c r="T678" s="194" t="n"/>
      <c r="U678" s="194" t="n"/>
      <c r="V678" s="194" t="n"/>
      <c r="W678" s="194" t="n"/>
      <c r="X678" s="194" t="n"/>
      <c r="Y678" s="194" t="n"/>
      <c r="Z678" s="194" t="n"/>
    </row>
    <row r="679" ht="15" customHeight="1" s="195">
      <c r="A679" s="381">
        <f>IF(AND('JULIO 2026'!D53&lt;&gt;"",'JULIO 2026'!Z53="POR RECOGER"),"JUL","")</f>
        <v/>
      </c>
      <c r="B679" s="381">
        <f>IF(AND('JULIO 2026'!D53&lt;&gt;"",'JULIO 2026'!Z53="POR RECOGER"),IF('JULIO 2026'!Y53&lt;&gt;"",'JULIO 2026'!Y53,'JULIO 2026'!I53),"")</f>
        <v/>
      </c>
      <c r="C679" s="381">
        <f>IF(AND('JULIO 2026'!D53&lt;&gt;"",'JULIO 2026'!Z53="POR RECOGER"),'JULIO 2026'!D53,"")</f>
        <v/>
      </c>
      <c r="D679" s="381">
        <f>IF(AND('JULIO 2026'!D53&lt;&gt;"",'JULIO 2026'!Z53="POR RECOGER"),'JULIO 2026'!F53,"")</f>
        <v/>
      </c>
      <c r="E679" s="381">
        <f>IF(AND('JULIO 2026'!D53&lt;&gt;"",'JULIO 2026'!Z53="POR RECOGER"),TEXT('JULIO 2026'!G53,"DD/MM/YYYY"),"")</f>
        <v/>
      </c>
      <c r="F679" s="381">
        <f>IF(AND('JULIO 2026'!D53&lt;&gt;"",'JULIO 2026'!Z53="POR RECOGER"),'JULIO 2026'!K53,"")</f>
        <v/>
      </c>
      <c r="G679" s="382">
        <f>IF(AND('JULIO 2026'!D53&lt;&gt;"",'JULIO 2026'!Z53="POR RECOGER"),'JULIO 2026'!M53,"")</f>
        <v/>
      </c>
      <c r="H679" s="382">
        <f>IF(AND('JULIO 2026'!D53&lt;&gt;"",'JULIO 2026'!Z53="POR RECOGER"),'JULIO 2026'!N53,"")</f>
        <v/>
      </c>
      <c r="I679" s="381">
        <f>IF(AND('JULIO 2026'!D53&lt;&gt;"",'JULIO 2026'!Z53="POR RECOGER"),'JULIO 2026'!P53,"")</f>
        <v/>
      </c>
      <c r="J679" s="381">
        <f>IF(AND('JULIO 2026'!D53&lt;&gt;"",'JULIO 2026'!Z53="POR RECOGER"),'JULIO 2026'!Q53,"")</f>
        <v/>
      </c>
      <c r="K679" s="381">
        <f>IF(AND('JULIO 2026'!D53&lt;&gt;"",'JULIO 2026'!Z53="POR RECOGER"),'JULIO 2026'!Y53,"")</f>
        <v/>
      </c>
      <c r="L679" s="381">
        <f>IF(AND('JULIO 2026'!D53&lt;&gt;"",'JULIO 2026'!Z53="POR RECOGER"),'JULIO 2026'!I53,"")</f>
        <v/>
      </c>
      <c r="P679" s="194" t="n"/>
      <c r="Q679" s="194" t="n"/>
      <c r="R679" s="194" t="n"/>
      <c r="S679" s="194" t="n"/>
      <c r="T679" s="194" t="n"/>
      <c r="U679" s="194" t="n"/>
      <c r="V679" s="194" t="n"/>
      <c r="W679" s="194" t="n"/>
      <c r="X679" s="194" t="n"/>
      <c r="Y679" s="194" t="n"/>
      <c r="Z679" s="194" t="n"/>
    </row>
    <row r="680" ht="15" customHeight="1" s="195">
      <c r="A680" s="381">
        <f>IF(AND('JULIO 2026'!D54&lt;&gt;"",'JULIO 2026'!Z54="POR RECOGER"),"JUL","")</f>
        <v/>
      </c>
      <c r="B680" s="381">
        <f>IF(AND('JULIO 2026'!D54&lt;&gt;"",'JULIO 2026'!Z54="POR RECOGER"),IF('JULIO 2026'!Y54&lt;&gt;"",'JULIO 2026'!Y54,'JULIO 2026'!I54),"")</f>
        <v/>
      </c>
      <c r="C680" s="381">
        <f>IF(AND('JULIO 2026'!D54&lt;&gt;"",'JULIO 2026'!Z54="POR RECOGER"),'JULIO 2026'!D54,"")</f>
        <v/>
      </c>
      <c r="D680" s="381">
        <f>IF(AND('JULIO 2026'!D54&lt;&gt;"",'JULIO 2026'!Z54="POR RECOGER"),'JULIO 2026'!F54,"")</f>
        <v/>
      </c>
      <c r="E680" s="381">
        <f>IF(AND('JULIO 2026'!D54&lt;&gt;"",'JULIO 2026'!Z54="POR RECOGER"),TEXT('JULIO 2026'!G54,"DD/MM/YYYY"),"")</f>
        <v/>
      </c>
      <c r="F680" s="381">
        <f>IF(AND('JULIO 2026'!D54&lt;&gt;"",'JULIO 2026'!Z54="POR RECOGER"),'JULIO 2026'!K54,"")</f>
        <v/>
      </c>
      <c r="G680" s="382">
        <f>IF(AND('JULIO 2026'!D54&lt;&gt;"",'JULIO 2026'!Z54="POR RECOGER"),'JULIO 2026'!M54,"")</f>
        <v/>
      </c>
      <c r="H680" s="382">
        <f>IF(AND('JULIO 2026'!D54&lt;&gt;"",'JULIO 2026'!Z54="POR RECOGER"),'JULIO 2026'!N54,"")</f>
        <v/>
      </c>
      <c r="I680" s="381">
        <f>IF(AND('JULIO 2026'!D54&lt;&gt;"",'JULIO 2026'!Z54="POR RECOGER"),'JULIO 2026'!P54,"")</f>
        <v/>
      </c>
      <c r="J680" s="381">
        <f>IF(AND('JULIO 2026'!D54&lt;&gt;"",'JULIO 2026'!Z54="POR RECOGER"),'JULIO 2026'!Q54,"")</f>
        <v/>
      </c>
      <c r="K680" s="381">
        <f>IF(AND('JULIO 2026'!D54&lt;&gt;"",'JULIO 2026'!Z54="POR RECOGER"),'JULIO 2026'!Y54,"")</f>
        <v/>
      </c>
      <c r="L680" s="381">
        <f>IF(AND('JULIO 2026'!D54&lt;&gt;"",'JULIO 2026'!Z54="POR RECOGER"),'JULIO 2026'!I54,"")</f>
        <v/>
      </c>
      <c r="P680" s="194" t="n"/>
      <c r="Q680" s="194" t="n"/>
      <c r="R680" s="194" t="n"/>
      <c r="S680" s="194" t="n"/>
      <c r="T680" s="194" t="n"/>
      <c r="U680" s="194" t="n"/>
      <c r="V680" s="194" t="n"/>
      <c r="W680" s="194" t="n"/>
      <c r="X680" s="194" t="n"/>
      <c r="Y680" s="194" t="n"/>
      <c r="Z680" s="194" t="n"/>
    </row>
    <row r="681" ht="15" customHeight="1" s="195">
      <c r="A681" s="381">
        <f>IF(AND('JULIO 2026'!D55&lt;&gt;"",'JULIO 2026'!Z55="POR RECOGER"),"JUL","")</f>
        <v/>
      </c>
      <c r="B681" s="381">
        <f>IF(AND('JULIO 2026'!D55&lt;&gt;"",'JULIO 2026'!Z55="POR RECOGER"),IF('JULIO 2026'!Y55&lt;&gt;"",'JULIO 2026'!Y55,'JULIO 2026'!I55),"")</f>
        <v/>
      </c>
      <c r="C681" s="381">
        <f>IF(AND('JULIO 2026'!D55&lt;&gt;"",'JULIO 2026'!Z55="POR RECOGER"),'JULIO 2026'!D55,"")</f>
        <v/>
      </c>
      <c r="D681" s="381">
        <f>IF(AND('JULIO 2026'!D55&lt;&gt;"",'JULIO 2026'!Z55="POR RECOGER"),'JULIO 2026'!F55,"")</f>
        <v/>
      </c>
      <c r="E681" s="381">
        <f>IF(AND('JULIO 2026'!D55&lt;&gt;"",'JULIO 2026'!Z55="POR RECOGER"),TEXT('JULIO 2026'!G55,"DD/MM/YYYY"),"")</f>
        <v/>
      </c>
      <c r="F681" s="381">
        <f>IF(AND('JULIO 2026'!D55&lt;&gt;"",'JULIO 2026'!Z55="POR RECOGER"),'JULIO 2026'!K55,"")</f>
        <v/>
      </c>
      <c r="G681" s="382">
        <f>IF(AND('JULIO 2026'!D55&lt;&gt;"",'JULIO 2026'!Z55="POR RECOGER"),'JULIO 2026'!M55,"")</f>
        <v/>
      </c>
      <c r="H681" s="382">
        <f>IF(AND('JULIO 2026'!D55&lt;&gt;"",'JULIO 2026'!Z55="POR RECOGER"),'JULIO 2026'!N55,"")</f>
        <v/>
      </c>
      <c r="I681" s="381">
        <f>IF(AND('JULIO 2026'!D55&lt;&gt;"",'JULIO 2026'!Z55="POR RECOGER"),'JULIO 2026'!P55,"")</f>
        <v/>
      </c>
      <c r="J681" s="381">
        <f>IF(AND('JULIO 2026'!D55&lt;&gt;"",'JULIO 2026'!Z55="POR RECOGER"),'JULIO 2026'!Q55,"")</f>
        <v/>
      </c>
      <c r="K681" s="381">
        <f>IF(AND('JULIO 2026'!D55&lt;&gt;"",'JULIO 2026'!Z55="POR RECOGER"),'JULIO 2026'!Y55,"")</f>
        <v/>
      </c>
      <c r="L681" s="381">
        <f>IF(AND('JULIO 2026'!D55&lt;&gt;"",'JULIO 2026'!Z55="POR RECOGER"),'JULIO 2026'!I55,"")</f>
        <v/>
      </c>
      <c r="P681" s="194" t="n"/>
      <c r="Q681" s="194" t="n"/>
      <c r="R681" s="194" t="n"/>
      <c r="S681" s="194" t="n"/>
      <c r="T681" s="194" t="n"/>
      <c r="U681" s="194" t="n"/>
      <c r="V681" s="194" t="n"/>
      <c r="W681" s="194" t="n"/>
      <c r="X681" s="194" t="n"/>
      <c r="Y681" s="194" t="n"/>
      <c r="Z681" s="194" t="n"/>
    </row>
    <row r="682" ht="15" customHeight="1" s="195">
      <c r="A682" s="381">
        <f>IF(AND('JULIO 2026'!D56&lt;&gt;"",'JULIO 2026'!Z56="POR RECOGER"),"JUL","")</f>
        <v/>
      </c>
      <c r="B682" s="381">
        <f>IF(AND('JULIO 2026'!D56&lt;&gt;"",'JULIO 2026'!Z56="POR RECOGER"),IF('JULIO 2026'!Y56&lt;&gt;"",'JULIO 2026'!Y56,'JULIO 2026'!I56),"")</f>
        <v/>
      </c>
      <c r="C682" s="381">
        <f>IF(AND('JULIO 2026'!D56&lt;&gt;"",'JULIO 2026'!Z56="POR RECOGER"),'JULIO 2026'!D56,"")</f>
        <v/>
      </c>
      <c r="D682" s="381">
        <f>IF(AND('JULIO 2026'!D56&lt;&gt;"",'JULIO 2026'!Z56="POR RECOGER"),'JULIO 2026'!F56,"")</f>
        <v/>
      </c>
      <c r="E682" s="381">
        <f>IF(AND('JULIO 2026'!D56&lt;&gt;"",'JULIO 2026'!Z56="POR RECOGER"),TEXT('JULIO 2026'!G56,"DD/MM/YYYY"),"")</f>
        <v/>
      </c>
      <c r="F682" s="381">
        <f>IF(AND('JULIO 2026'!D56&lt;&gt;"",'JULIO 2026'!Z56="POR RECOGER"),'JULIO 2026'!K56,"")</f>
        <v/>
      </c>
      <c r="G682" s="382">
        <f>IF(AND('JULIO 2026'!D56&lt;&gt;"",'JULIO 2026'!Z56="POR RECOGER"),'JULIO 2026'!M56,"")</f>
        <v/>
      </c>
      <c r="H682" s="382">
        <f>IF(AND('JULIO 2026'!D56&lt;&gt;"",'JULIO 2026'!Z56="POR RECOGER"),'JULIO 2026'!N56,"")</f>
        <v/>
      </c>
      <c r="I682" s="381">
        <f>IF(AND('JULIO 2026'!D56&lt;&gt;"",'JULIO 2026'!Z56="POR RECOGER"),'JULIO 2026'!P56,"")</f>
        <v/>
      </c>
      <c r="J682" s="381">
        <f>IF(AND('JULIO 2026'!D56&lt;&gt;"",'JULIO 2026'!Z56="POR RECOGER"),'JULIO 2026'!Q56,"")</f>
        <v/>
      </c>
      <c r="K682" s="381">
        <f>IF(AND('JULIO 2026'!D56&lt;&gt;"",'JULIO 2026'!Z56="POR RECOGER"),'JULIO 2026'!Y56,"")</f>
        <v/>
      </c>
      <c r="L682" s="381">
        <f>IF(AND('JULIO 2026'!D56&lt;&gt;"",'JULIO 2026'!Z56="POR RECOGER"),'JULIO 2026'!I56,"")</f>
        <v/>
      </c>
      <c r="P682" s="194" t="n"/>
      <c r="Q682" s="194" t="n"/>
      <c r="R682" s="194" t="n"/>
      <c r="S682" s="194" t="n"/>
      <c r="T682" s="194" t="n"/>
      <c r="U682" s="194" t="n"/>
      <c r="V682" s="194" t="n"/>
      <c r="W682" s="194" t="n"/>
      <c r="X682" s="194" t="n"/>
      <c r="Y682" s="194" t="n"/>
      <c r="Z682" s="194" t="n"/>
    </row>
    <row r="683" ht="15" customHeight="1" s="195">
      <c r="A683" s="381">
        <f>IF(AND('JULIO 2026'!D57&lt;&gt;"",'JULIO 2026'!Z57="POR RECOGER"),"JUL","")</f>
        <v/>
      </c>
      <c r="B683" s="381">
        <f>IF(AND('JULIO 2026'!D57&lt;&gt;"",'JULIO 2026'!Z57="POR RECOGER"),IF('JULIO 2026'!Y57&lt;&gt;"",'JULIO 2026'!Y57,'JULIO 2026'!I57),"")</f>
        <v/>
      </c>
      <c r="C683" s="381">
        <f>IF(AND('JULIO 2026'!D57&lt;&gt;"",'JULIO 2026'!Z57="POR RECOGER"),'JULIO 2026'!D57,"")</f>
        <v/>
      </c>
      <c r="D683" s="381">
        <f>IF(AND('JULIO 2026'!D57&lt;&gt;"",'JULIO 2026'!Z57="POR RECOGER"),'JULIO 2026'!F57,"")</f>
        <v/>
      </c>
      <c r="E683" s="381">
        <f>IF(AND('JULIO 2026'!D57&lt;&gt;"",'JULIO 2026'!Z57="POR RECOGER"),TEXT('JULIO 2026'!G57,"DD/MM/YYYY"),"")</f>
        <v/>
      </c>
      <c r="F683" s="381">
        <f>IF(AND('JULIO 2026'!D57&lt;&gt;"",'JULIO 2026'!Z57="POR RECOGER"),'JULIO 2026'!K57,"")</f>
        <v/>
      </c>
      <c r="G683" s="382">
        <f>IF(AND('JULIO 2026'!D57&lt;&gt;"",'JULIO 2026'!Z57="POR RECOGER"),'JULIO 2026'!M57,"")</f>
        <v/>
      </c>
      <c r="H683" s="382">
        <f>IF(AND('JULIO 2026'!D57&lt;&gt;"",'JULIO 2026'!Z57="POR RECOGER"),'JULIO 2026'!N57,"")</f>
        <v/>
      </c>
      <c r="I683" s="381">
        <f>IF(AND('JULIO 2026'!D57&lt;&gt;"",'JULIO 2026'!Z57="POR RECOGER"),'JULIO 2026'!P57,"")</f>
        <v/>
      </c>
      <c r="J683" s="381">
        <f>IF(AND('JULIO 2026'!D57&lt;&gt;"",'JULIO 2026'!Z57="POR RECOGER"),'JULIO 2026'!Q57,"")</f>
        <v/>
      </c>
      <c r="K683" s="381">
        <f>IF(AND('JULIO 2026'!D57&lt;&gt;"",'JULIO 2026'!Z57="POR RECOGER"),'JULIO 2026'!Y57,"")</f>
        <v/>
      </c>
      <c r="L683" s="381">
        <f>IF(AND('JULIO 2026'!D57&lt;&gt;"",'JULIO 2026'!Z57="POR RECOGER"),'JULIO 2026'!I57,"")</f>
        <v/>
      </c>
      <c r="P683" s="194" t="n"/>
      <c r="Q683" s="194" t="n"/>
      <c r="R683" s="194" t="n"/>
      <c r="S683" s="194" t="n"/>
      <c r="T683" s="194" t="n"/>
      <c r="U683" s="194" t="n"/>
      <c r="V683" s="194" t="n"/>
      <c r="W683" s="194" t="n"/>
      <c r="X683" s="194" t="n"/>
      <c r="Y683" s="194" t="n"/>
      <c r="Z683" s="194" t="n"/>
    </row>
    <row r="684" ht="15" customHeight="1" s="195">
      <c r="A684" s="381">
        <f>IF(AND('JULIO 2026'!D58&lt;&gt;"",'JULIO 2026'!Z58="POR RECOGER"),"JUL","")</f>
        <v/>
      </c>
      <c r="B684" s="381">
        <f>IF(AND('JULIO 2026'!D58&lt;&gt;"",'JULIO 2026'!Z58="POR RECOGER"),IF('JULIO 2026'!Y58&lt;&gt;"",'JULIO 2026'!Y58,'JULIO 2026'!I58),"")</f>
        <v/>
      </c>
      <c r="C684" s="381">
        <f>IF(AND('JULIO 2026'!D58&lt;&gt;"",'JULIO 2026'!Z58="POR RECOGER"),'JULIO 2026'!D58,"")</f>
        <v/>
      </c>
      <c r="D684" s="381">
        <f>IF(AND('JULIO 2026'!D58&lt;&gt;"",'JULIO 2026'!Z58="POR RECOGER"),'JULIO 2026'!F58,"")</f>
        <v/>
      </c>
      <c r="E684" s="381">
        <f>IF(AND('JULIO 2026'!D58&lt;&gt;"",'JULIO 2026'!Z58="POR RECOGER"),TEXT('JULIO 2026'!G58,"DD/MM/YYYY"),"")</f>
        <v/>
      </c>
      <c r="F684" s="381">
        <f>IF(AND('JULIO 2026'!D58&lt;&gt;"",'JULIO 2026'!Z58="POR RECOGER"),'JULIO 2026'!K58,"")</f>
        <v/>
      </c>
      <c r="G684" s="382">
        <f>IF(AND('JULIO 2026'!D58&lt;&gt;"",'JULIO 2026'!Z58="POR RECOGER"),'JULIO 2026'!M58,"")</f>
        <v/>
      </c>
      <c r="H684" s="382">
        <f>IF(AND('JULIO 2026'!D58&lt;&gt;"",'JULIO 2026'!Z58="POR RECOGER"),'JULIO 2026'!N58,"")</f>
        <v/>
      </c>
      <c r="I684" s="381">
        <f>IF(AND('JULIO 2026'!D58&lt;&gt;"",'JULIO 2026'!Z58="POR RECOGER"),'JULIO 2026'!P58,"")</f>
        <v/>
      </c>
      <c r="J684" s="381">
        <f>IF(AND('JULIO 2026'!D58&lt;&gt;"",'JULIO 2026'!Z58="POR RECOGER"),'JULIO 2026'!Q58,"")</f>
        <v/>
      </c>
      <c r="K684" s="381">
        <f>IF(AND('JULIO 2026'!D58&lt;&gt;"",'JULIO 2026'!Z58="POR RECOGER"),'JULIO 2026'!Y58,"")</f>
        <v/>
      </c>
      <c r="L684" s="381">
        <f>IF(AND('JULIO 2026'!D58&lt;&gt;"",'JULIO 2026'!Z58="POR RECOGER"),'JULIO 2026'!I58,"")</f>
        <v/>
      </c>
      <c r="P684" s="194" t="n"/>
      <c r="Q684" s="194" t="n"/>
      <c r="R684" s="194" t="n"/>
      <c r="S684" s="194" t="n"/>
      <c r="T684" s="194" t="n"/>
      <c r="U684" s="194" t="n"/>
      <c r="V684" s="194" t="n"/>
      <c r="W684" s="194" t="n"/>
      <c r="X684" s="194" t="n"/>
      <c r="Y684" s="194" t="n"/>
      <c r="Z684" s="194" t="n"/>
    </row>
    <row r="685" ht="15" customHeight="1" s="195">
      <c r="A685" s="381">
        <f>IF(AND('JULIO 2026'!D59&lt;&gt;"",'JULIO 2026'!Z59="POR RECOGER"),"JUL","")</f>
        <v/>
      </c>
      <c r="B685" s="381">
        <f>IF(AND('JULIO 2026'!D59&lt;&gt;"",'JULIO 2026'!Z59="POR RECOGER"),IF('JULIO 2026'!Y59&lt;&gt;"",'JULIO 2026'!Y59,'JULIO 2026'!I59),"")</f>
        <v/>
      </c>
      <c r="C685" s="381">
        <f>IF(AND('JULIO 2026'!D59&lt;&gt;"",'JULIO 2026'!Z59="POR RECOGER"),'JULIO 2026'!D59,"")</f>
        <v/>
      </c>
      <c r="D685" s="381">
        <f>IF(AND('JULIO 2026'!D59&lt;&gt;"",'JULIO 2026'!Z59="POR RECOGER"),'JULIO 2026'!F59,"")</f>
        <v/>
      </c>
      <c r="E685" s="381">
        <f>IF(AND('JULIO 2026'!D59&lt;&gt;"",'JULIO 2026'!Z59="POR RECOGER"),TEXT('JULIO 2026'!G59,"DD/MM/YYYY"),"")</f>
        <v/>
      </c>
      <c r="F685" s="381">
        <f>IF(AND('JULIO 2026'!D59&lt;&gt;"",'JULIO 2026'!Z59="POR RECOGER"),'JULIO 2026'!K59,"")</f>
        <v/>
      </c>
      <c r="G685" s="382">
        <f>IF(AND('JULIO 2026'!D59&lt;&gt;"",'JULIO 2026'!Z59="POR RECOGER"),'JULIO 2026'!M59,"")</f>
        <v/>
      </c>
      <c r="H685" s="382">
        <f>IF(AND('JULIO 2026'!D59&lt;&gt;"",'JULIO 2026'!Z59="POR RECOGER"),'JULIO 2026'!N59,"")</f>
        <v/>
      </c>
      <c r="I685" s="381">
        <f>IF(AND('JULIO 2026'!D59&lt;&gt;"",'JULIO 2026'!Z59="POR RECOGER"),'JULIO 2026'!P59,"")</f>
        <v/>
      </c>
      <c r="J685" s="381">
        <f>IF(AND('JULIO 2026'!D59&lt;&gt;"",'JULIO 2026'!Z59="POR RECOGER"),'JULIO 2026'!Q59,"")</f>
        <v/>
      </c>
      <c r="K685" s="381">
        <f>IF(AND('JULIO 2026'!D59&lt;&gt;"",'JULIO 2026'!Z59="POR RECOGER"),'JULIO 2026'!Y59,"")</f>
        <v/>
      </c>
      <c r="L685" s="381">
        <f>IF(AND('JULIO 2026'!D59&lt;&gt;"",'JULIO 2026'!Z59="POR RECOGER"),'JULIO 2026'!I59,"")</f>
        <v/>
      </c>
      <c r="P685" s="194" t="n"/>
      <c r="Q685" s="194" t="n"/>
      <c r="R685" s="194" t="n"/>
      <c r="S685" s="194" t="n"/>
      <c r="T685" s="194" t="n"/>
      <c r="U685" s="194" t="n"/>
      <c r="V685" s="194" t="n"/>
      <c r="W685" s="194" t="n"/>
      <c r="X685" s="194" t="n"/>
      <c r="Y685" s="194" t="n"/>
      <c r="Z685" s="194" t="n"/>
    </row>
    <row r="686" ht="15" customHeight="1" s="195">
      <c r="A686" s="381">
        <f>IF(AND('JULIO 2026'!D60&lt;&gt;"",'JULIO 2026'!Z60="POR RECOGER"),"JUL","")</f>
        <v/>
      </c>
      <c r="B686" s="381">
        <f>IF(AND('JULIO 2026'!D60&lt;&gt;"",'JULIO 2026'!Z60="POR RECOGER"),IF('JULIO 2026'!Y60&lt;&gt;"",'JULIO 2026'!Y60,'JULIO 2026'!I60),"")</f>
        <v/>
      </c>
      <c r="C686" s="381">
        <f>IF(AND('JULIO 2026'!D60&lt;&gt;"",'JULIO 2026'!Z60="POR RECOGER"),'JULIO 2026'!D60,"")</f>
        <v/>
      </c>
      <c r="D686" s="381">
        <f>IF(AND('JULIO 2026'!D60&lt;&gt;"",'JULIO 2026'!Z60="POR RECOGER"),'JULIO 2026'!F60,"")</f>
        <v/>
      </c>
      <c r="E686" s="381">
        <f>IF(AND('JULIO 2026'!D60&lt;&gt;"",'JULIO 2026'!Z60="POR RECOGER"),TEXT('JULIO 2026'!G60,"DD/MM/YYYY"),"")</f>
        <v/>
      </c>
      <c r="F686" s="381">
        <f>IF(AND('JULIO 2026'!D60&lt;&gt;"",'JULIO 2026'!Z60="POR RECOGER"),'JULIO 2026'!K60,"")</f>
        <v/>
      </c>
      <c r="G686" s="382">
        <f>IF(AND('JULIO 2026'!D60&lt;&gt;"",'JULIO 2026'!Z60="POR RECOGER"),'JULIO 2026'!M60,"")</f>
        <v/>
      </c>
      <c r="H686" s="382">
        <f>IF(AND('JULIO 2026'!D60&lt;&gt;"",'JULIO 2026'!Z60="POR RECOGER"),'JULIO 2026'!N60,"")</f>
        <v/>
      </c>
      <c r="I686" s="381">
        <f>IF(AND('JULIO 2026'!D60&lt;&gt;"",'JULIO 2026'!Z60="POR RECOGER"),'JULIO 2026'!P60,"")</f>
        <v/>
      </c>
      <c r="J686" s="381">
        <f>IF(AND('JULIO 2026'!D60&lt;&gt;"",'JULIO 2026'!Z60="POR RECOGER"),'JULIO 2026'!Q60,"")</f>
        <v/>
      </c>
      <c r="K686" s="381">
        <f>IF(AND('JULIO 2026'!D60&lt;&gt;"",'JULIO 2026'!Z60="POR RECOGER"),'JULIO 2026'!Y60,"")</f>
        <v/>
      </c>
      <c r="L686" s="381">
        <f>IF(AND('JULIO 2026'!D60&lt;&gt;"",'JULIO 2026'!Z60="POR RECOGER"),'JULIO 2026'!I60,"")</f>
        <v/>
      </c>
      <c r="P686" s="194" t="n"/>
      <c r="Q686" s="194" t="n"/>
      <c r="R686" s="194" t="n"/>
      <c r="S686" s="194" t="n"/>
      <c r="T686" s="194" t="n"/>
      <c r="U686" s="194" t="n"/>
      <c r="V686" s="194" t="n"/>
      <c r="W686" s="194" t="n"/>
      <c r="X686" s="194" t="n"/>
      <c r="Y686" s="194" t="n"/>
      <c r="Z686" s="194" t="n"/>
    </row>
    <row r="687" ht="15" customHeight="1" s="195">
      <c r="A687" s="381">
        <f>IF(AND('JULIO 2026'!D61&lt;&gt;"",'JULIO 2026'!Z61="POR RECOGER"),"JUL","")</f>
        <v/>
      </c>
      <c r="B687" s="381">
        <f>IF(AND('JULIO 2026'!D61&lt;&gt;"",'JULIO 2026'!Z61="POR RECOGER"),IF('JULIO 2026'!Y61&lt;&gt;"",'JULIO 2026'!Y61,'JULIO 2026'!I61),"")</f>
        <v/>
      </c>
      <c r="C687" s="381">
        <f>IF(AND('JULIO 2026'!D61&lt;&gt;"",'JULIO 2026'!Z61="POR RECOGER"),'JULIO 2026'!D61,"")</f>
        <v/>
      </c>
      <c r="D687" s="381">
        <f>IF(AND('JULIO 2026'!D61&lt;&gt;"",'JULIO 2026'!Z61="POR RECOGER"),'JULIO 2026'!F61,"")</f>
        <v/>
      </c>
      <c r="E687" s="381">
        <f>IF(AND('JULIO 2026'!D61&lt;&gt;"",'JULIO 2026'!Z61="POR RECOGER"),TEXT('JULIO 2026'!G61,"DD/MM/YYYY"),"")</f>
        <v/>
      </c>
      <c r="F687" s="381">
        <f>IF(AND('JULIO 2026'!D61&lt;&gt;"",'JULIO 2026'!Z61="POR RECOGER"),'JULIO 2026'!K61,"")</f>
        <v/>
      </c>
      <c r="G687" s="382">
        <f>IF(AND('JULIO 2026'!D61&lt;&gt;"",'JULIO 2026'!Z61="POR RECOGER"),'JULIO 2026'!M61,"")</f>
        <v/>
      </c>
      <c r="H687" s="382">
        <f>IF(AND('JULIO 2026'!D61&lt;&gt;"",'JULIO 2026'!Z61="POR RECOGER"),'JULIO 2026'!N61,"")</f>
        <v/>
      </c>
      <c r="I687" s="381">
        <f>IF(AND('JULIO 2026'!D61&lt;&gt;"",'JULIO 2026'!Z61="POR RECOGER"),'JULIO 2026'!P61,"")</f>
        <v/>
      </c>
      <c r="J687" s="381">
        <f>IF(AND('JULIO 2026'!D61&lt;&gt;"",'JULIO 2026'!Z61="POR RECOGER"),'JULIO 2026'!Q61,"")</f>
        <v/>
      </c>
      <c r="K687" s="381">
        <f>IF(AND('JULIO 2026'!D61&lt;&gt;"",'JULIO 2026'!Z61="POR RECOGER"),'JULIO 2026'!Y61,"")</f>
        <v/>
      </c>
      <c r="L687" s="381">
        <f>IF(AND('JULIO 2026'!D61&lt;&gt;"",'JULIO 2026'!Z61="POR RECOGER"),'JULIO 2026'!I61,"")</f>
        <v/>
      </c>
      <c r="P687" s="194" t="n"/>
      <c r="Q687" s="194" t="n"/>
      <c r="R687" s="194" t="n"/>
      <c r="S687" s="194" t="n"/>
      <c r="T687" s="194" t="n"/>
      <c r="U687" s="194" t="n"/>
      <c r="V687" s="194" t="n"/>
      <c r="W687" s="194" t="n"/>
      <c r="X687" s="194" t="n"/>
      <c r="Y687" s="194" t="n"/>
      <c r="Z687" s="194" t="n"/>
    </row>
    <row r="688" ht="15" customHeight="1" s="195">
      <c r="A688" s="381">
        <f>IF(AND('JULIO 2026'!D62&lt;&gt;"",'JULIO 2026'!Z62="POR RECOGER"),"JUL","")</f>
        <v/>
      </c>
      <c r="B688" s="381">
        <f>IF(AND('JULIO 2026'!D62&lt;&gt;"",'JULIO 2026'!Z62="POR RECOGER"),IF('JULIO 2026'!Y62&lt;&gt;"",'JULIO 2026'!Y62,'JULIO 2026'!I62),"")</f>
        <v/>
      </c>
      <c r="C688" s="381">
        <f>IF(AND('JULIO 2026'!D62&lt;&gt;"",'JULIO 2026'!Z62="POR RECOGER"),'JULIO 2026'!D62,"")</f>
        <v/>
      </c>
      <c r="D688" s="381">
        <f>IF(AND('JULIO 2026'!D62&lt;&gt;"",'JULIO 2026'!Z62="POR RECOGER"),'JULIO 2026'!F62,"")</f>
        <v/>
      </c>
      <c r="E688" s="381">
        <f>IF(AND('JULIO 2026'!D62&lt;&gt;"",'JULIO 2026'!Z62="POR RECOGER"),TEXT('JULIO 2026'!G62,"DD/MM/YYYY"),"")</f>
        <v/>
      </c>
      <c r="F688" s="381">
        <f>IF(AND('JULIO 2026'!D62&lt;&gt;"",'JULIO 2026'!Z62="POR RECOGER"),'JULIO 2026'!K62,"")</f>
        <v/>
      </c>
      <c r="G688" s="382">
        <f>IF(AND('JULIO 2026'!D62&lt;&gt;"",'JULIO 2026'!Z62="POR RECOGER"),'JULIO 2026'!M62,"")</f>
        <v/>
      </c>
      <c r="H688" s="382">
        <f>IF(AND('JULIO 2026'!D62&lt;&gt;"",'JULIO 2026'!Z62="POR RECOGER"),'JULIO 2026'!N62,"")</f>
        <v/>
      </c>
      <c r="I688" s="381">
        <f>IF(AND('JULIO 2026'!D62&lt;&gt;"",'JULIO 2026'!Z62="POR RECOGER"),'JULIO 2026'!P62,"")</f>
        <v/>
      </c>
      <c r="J688" s="381">
        <f>IF(AND('JULIO 2026'!D62&lt;&gt;"",'JULIO 2026'!Z62="POR RECOGER"),'JULIO 2026'!Q62,"")</f>
        <v/>
      </c>
      <c r="K688" s="381">
        <f>IF(AND('JULIO 2026'!D62&lt;&gt;"",'JULIO 2026'!Z62="POR RECOGER"),'JULIO 2026'!Y62,"")</f>
        <v/>
      </c>
      <c r="L688" s="381">
        <f>IF(AND('JULIO 2026'!D62&lt;&gt;"",'JULIO 2026'!Z62="POR RECOGER"),'JULIO 2026'!I62,"")</f>
        <v/>
      </c>
      <c r="P688" s="194" t="n"/>
      <c r="Q688" s="194" t="n"/>
      <c r="R688" s="194" t="n"/>
      <c r="S688" s="194" t="n"/>
      <c r="T688" s="194" t="n"/>
      <c r="U688" s="194" t="n"/>
      <c r="V688" s="194" t="n"/>
      <c r="W688" s="194" t="n"/>
      <c r="X688" s="194" t="n"/>
      <c r="Y688" s="194" t="n"/>
      <c r="Z688" s="194" t="n"/>
    </row>
    <row r="689" ht="15" customHeight="1" s="195">
      <c r="A689" s="381">
        <f>IF(AND('JULIO 2026'!D63&lt;&gt;"",'JULIO 2026'!Z63="POR RECOGER"),"JUL","")</f>
        <v/>
      </c>
      <c r="B689" s="381">
        <f>IF(AND('JULIO 2026'!D63&lt;&gt;"",'JULIO 2026'!Z63="POR RECOGER"),IF('JULIO 2026'!Y63&lt;&gt;"",'JULIO 2026'!Y63,'JULIO 2026'!I63),"")</f>
        <v/>
      </c>
      <c r="C689" s="381">
        <f>IF(AND('JULIO 2026'!D63&lt;&gt;"",'JULIO 2026'!Z63="POR RECOGER"),'JULIO 2026'!D63,"")</f>
        <v/>
      </c>
      <c r="D689" s="381">
        <f>IF(AND('JULIO 2026'!D63&lt;&gt;"",'JULIO 2026'!Z63="POR RECOGER"),'JULIO 2026'!F63,"")</f>
        <v/>
      </c>
      <c r="E689" s="381">
        <f>IF(AND('JULIO 2026'!D63&lt;&gt;"",'JULIO 2026'!Z63="POR RECOGER"),TEXT('JULIO 2026'!G63,"DD/MM/YYYY"),"")</f>
        <v/>
      </c>
      <c r="F689" s="381">
        <f>IF(AND('JULIO 2026'!D63&lt;&gt;"",'JULIO 2026'!Z63="POR RECOGER"),'JULIO 2026'!K63,"")</f>
        <v/>
      </c>
      <c r="G689" s="382">
        <f>IF(AND('JULIO 2026'!D63&lt;&gt;"",'JULIO 2026'!Z63="POR RECOGER"),'JULIO 2026'!M63,"")</f>
        <v/>
      </c>
      <c r="H689" s="382">
        <f>IF(AND('JULIO 2026'!D63&lt;&gt;"",'JULIO 2026'!Z63="POR RECOGER"),'JULIO 2026'!N63,"")</f>
        <v/>
      </c>
      <c r="I689" s="381">
        <f>IF(AND('JULIO 2026'!D63&lt;&gt;"",'JULIO 2026'!Z63="POR RECOGER"),'JULIO 2026'!P63,"")</f>
        <v/>
      </c>
      <c r="J689" s="381">
        <f>IF(AND('JULIO 2026'!D63&lt;&gt;"",'JULIO 2026'!Z63="POR RECOGER"),'JULIO 2026'!Q63,"")</f>
        <v/>
      </c>
      <c r="K689" s="381">
        <f>IF(AND('JULIO 2026'!D63&lt;&gt;"",'JULIO 2026'!Z63="POR RECOGER"),'JULIO 2026'!Y63,"")</f>
        <v/>
      </c>
      <c r="L689" s="381">
        <f>IF(AND('JULIO 2026'!D63&lt;&gt;"",'JULIO 2026'!Z63="POR RECOGER"),'JULIO 2026'!I63,"")</f>
        <v/>
      </c>
      <c r="P689" s="194" t="n"/>
      <c r="Q689" s="194" t="n"/>
      <c r="R689" s="194" t="n"/>
      <c r="S689" s="194" t="n"/>
      <c r="T689" s="194" t="n"/>
      <c r="U689" s="194" t="n"/>
      <c r="V689" s="194" t="n"/>
      <c r="W689" s="194" t="n"/>
      <c r="X689" s="194" t="n"/>
      <c r="Y689" s="194" t="n"/>
      <c r="Z689" s="194" t="n"/>
    </row>
    <row r="690" ht="15" customHeight="1" s="195">
      <c r="A690" s="381">
        <f>IF(AND('JULIO 2026'!D64&lt;&gt;"",'JULIO 2026'!Z64="POR RECOGER"),"JUL","")</f>
        <v/>
      </c>
      <c r="B690" s="381">
        <f>IF(AND('JULIO 2026'!D64&lt;&gt;"",'JULIO 2026'!Z64="POR RECOGER"),IF('JULIO 2026'!Y64&lt;&gt;"",'JULIO 2026'!Y64,'JULIO 2026'!I64),"")</f>
        <v/>
      </c>
      <c r="C690" s="381">
        <f>IF(AND('JULIO 2026'!D64&lt;&gt;"",'JULIO 2026'!Z64="POR RECOGER"),'JULIO 2026'!D64,"")</f>
        <v/>
      </c>
      <c r="D690" s="381">
        <f>IF(AND('JULIO 2026'!D64&lt;&gt;"",'JULIO 2026'!Z64="POR RECOGER"),'JULIO 2026'!F64,"")</f>
        <v/>
      </c>
      <c r="E690" s="381">
        <f>IF(AND('JULIO 2026'!D64&lt;&gt;"",'JULIO 2026'!Z64="POR RECOGER"),TEXT('JULIO 2026'!G64,"DD/MM/YYYY"),"")</f>
        <v/>
      </c>
      <c r="F690" s="381">
        <f>IF(AND('JULIO 2026'!D64&lt;&gt;"",'JULIO 2026'!Z64="POR RECOGER"),'JULIO 2026'!K64,"")</f>
        <v/>
      </c>
      <c r="G690" s="382">
        <f>IF(AND('JULIO 2026'!D64&lt;&gt;"",'JULIO 2026'!Z64="POR RECOGER"),'JULIO 2026'!M64,"")</f>
        <v/>
      </c>
      <c r="H690" s="382">
        <f>IF(AND('JULIO 2026'!D64&lt;&gt;"",'JULIO 2026'!Z64="POR RECOGER"),'JULIO 2026'!N64,"")</f>
        <v/>
      </c>
      <c r="I690" s="381">
        <f>IF(AND('JULIO 2026'!D64&lt;&gt;"",'JULIO 2026'!Z64="POR RECOGER"),'JULIO 2026'!P64,"")</f>
        <v/>
      </c>
      <c r="J690" s="381">
        <f>IF(AND('JULIO 2026'!D64&lt;&gt;"",'JULIO 2026'!Z64="POR RECOGER"),'JULIO 2026'!Q64,"")</f>
        <v/>
      </c>
      <c r="K690" s="381">
        <f>IF(AND('JULIO 2026'!D64&lt;&gt;"",'JULIO 2026'!Z64="POR RECOGER"),'JULIO 2026'!Y64,"")</f>
        <v/>
      </c>
      <c r="L690" s="381">
        <f>IF(AND('JULIO 2026'!D64&lt;&gt;"",'JULIO 2026'!Z64="POR RECOGER"),'JULIO 2026'!I64,"")</f>
        <v/>
      </c>
      <c r="P690" s="194" t="n"/>
      <c r="Q690" s="194" t="n"/>
      <c r="R690" s="194" t="n"/>
      <c r="S690" s="194" t="n"/>
      <c r="T690" s="194" t="n"/>
      <c r="U690" s="194" t="n"/>
      <c r="V690" s="194" t="n"/>
      <c r="W690" s="194" t="n"/>
      <c r="X690" s="194" t="n"/>
      <c r="Y690" s="194" t="n"/>
      <c r="Z690" s="194" t="n"/>
    </row>
    <row r="691" ht="15" customHeight="1" s="195">
      <c r="A691" s="381">
        <f>IF(AND('JULIO 2026'!D65&lt;&gt;"",'JULIO 2026'!Z65="POR RECOGER"),"JUL","")</f>
        <v/>
      </c>
      <c r="B691" s="381">
        <f>IF(AND('JULIO 2026'!D65&lt;&gt;"",'JULIO 2026'!Z65="POR RECOGER"),IF('JULIO 2026'!Y65&lt;&gt;"",'JULIO 2026'!Y65,'JULIO 2026'!I65),"")</f>
        <v/>
      </c>
      <c r="C691" s="381">
        <f>IF(AND('JULIO 2026'!D65&lt;&gt;"",'JULIO 2026'!Z65="POR RECOGER"),'JULIO 2026'!D65,"")</f>
        <v/>
      </c>
      <c r="D691" s="381">
        <f>IF(AND('JULIO 2026'!D65&lt;&gt;"",'JULIO 2026'!Z65="POR RECOGER"),'JULIO 2026'!F65,"")</f>
        <v/>
      </c>
      <c r="E691" s="381">
        <f>IF(AND('JULIO 2026'!D65&lt;&gt;"",'JULIO 2026'!Z65="POR RECOGER"),TEXT('JULIO 2026'!G65,"DD/MM/YYYY"),"")</f>
        <v/>
      </c>
      <c r="F691" s="381">
        <f>IF(AND('JULIO 2026'!D65&lt;&gt;"",'JULIO 2026'!Z65="POR RECOGER"),'JULIO 2026'!K65,"")</f>
        <v/>
      </c>
      <c r="G691" s="382">
        <f>IF(AND('JULIO 2026'!D65&lt;&gt;"",'JULIO 2026'!Z65="POR RECOGER"),'JULIO 2026'!M65,"")</f>
        <v/>
      </c>
      <c r="H691" s="382">
        <f>IF(AND('JULIO 2026'!D65&lt;&gt;"",'JULIO 2026'!Z65="POR RECOGER"),'JULIO 2026'!N65,"")</f>
        <v/>
      </c>
      <c r="I691" s="381">
        <f>IF(AND('JULIO 2026'!D65&lt;&gt;"",'JULIO 2026'!Z65="POR RECOGER"),'JULIO 2026'!P65,"")</f>
        <v/>
      </c>
      <c r="J691" s="381">
        <f>IF(AND('JULIO 2026'!D65&lt;&gt;"",'JULIO 2026'!Z65="POR RECOGER"),'JULIO 2026'!Q65,"")</f>
        <v/>
      </c>
      <c r="K691" s="381">
        <f>IF(AND('JULIO 2026'!D65&lt;&gt;"",'JULIO 2026'!Z65="POR RECOGER"),'JULIO 2026'!Y65,"")</f>
        <v/>
      </c>
      <c r="L691" s="381">
        <f>IF(AND('JULIO 2026'!D65&lt;&gt;"",'JULIO 2026'!Z65="POR RECOGER"),'JULIO 2026'!I65,"")</f>
        <v/>
      </c>
      <c r="P691" s="194" t="n"/>
      <c r="Q691" s="194" t="n"/>
      <c r="R691" s="194" t="n"/>
      <c r="S691" s="194" t="n"/>
      <c r="T691" s="194" t="n"/>
      <c r="U691" s="194" t="n"/>
      <c r="V691" s="194" t="n"/>
      <c r="W691" s="194" t="n"/>
      <c r="X691" s="194" t="n"/>
      <c r="Y691" s="194" t="n"/>
      <c r="Z691" s="194" t="n"/>
    </row>
    <row r="692" ht="15" customHeight="1" s="195">
      <c r="A692" s="381">
        <f>IF(AND('JULIO 2026'!D66&lt;&gt;"",'JULIO 2026'!Z66="POR RECOGER"),"JUL","")</f>
        <v/>
      </c>
      <c r="B692" s="381">
        <f>IF(AND('JULIO 2026'!D66&lt;&gt;"",'JULIO 2026'!Z66="POR RECOGER"),IF('JULIO 2026'!Y66&lt;&gt;"",'JULIO 2026'!Y66,'JULIO 2026'!I66),"")</f>
        <v/>
      </c>
      <c r="C692" s="381">
        <f>IF(AND('JULIO 2026'!D66&lt;&gt;"",'JULIO 2026'!Z66="POR RECOGER"),'JULIO 2026'!D66,"")</f>
        <v/>
      </c>
      <c r="D692" s="381">
        <f>IF(AND('JULIO 2026'!D66&lt;&gt;"",'JULIO 2026'!Z66="POR RECOGER"),'JULIO 2026'!F66,"")</f>
        <v/>
      </c>
      <c r="E692" s="381">
        <f>IF(AND('JULIO 2026'!D66&lt;&gt;"",'JULIO 2026'!Z66="POR RECOGER"),TEXT('JULIO 2026'!G66,"DD/MM/YYYY"),"")</f>
        <v/>
      </c>
      <c r="F692" s="381">
        <f>IF(AND('JULIO 2026'!D66&lt;&gt;"",'JULIO 2026'!Z66="POR RECOGER"),'JULIO 2026'!K66,"")</f>
        <v/>
      </c>
      <c r="G692" s="382">
        <f>IF(AND('JULIO 2026'!D66&lt;&gt;"",'JULIO 2026'!Z66="POR RECOGER"),'JULIO 2026'!M66,"")</f>
        <v/>
      </c>
      <c r="H692" s="382">
        <f>IF(AND('JULIO 2026'!D66&lt;&gt;"",'JULIO 2026'!Z66="POR RECOGER"),'JULIO 2026'!N66,"")</f>
        <v/>
      </c>
      <c r="I692" s="381">
        <f>IF(AND('JULIO 2026'!D66&lt;&gt;"",'JULIO 2026'!Z66="POR RECOGER"),'JULIO 2026'!P66,"")</f>
        <v/>
      </c>
      <c r="J692" s="381">
        <f>IF(AND('JULIO 2026'!D66&lt;&gt;"",'JULIO 2026'!Z66="POR RECOGER"),'JULIO 2026'!Q66,"")</f>
        <v/>
      </c>
      <c r="K692" s="381">
        <f>IF(AND('JULIO 2026'!D66&lt;&gt;"",'JULIO 2026'!Z66="POR RECOGER"),'JULIO 2026'!Y66,"")</f>
        <v/>
      </c>
      <c r="L692" s="381">
        <f>IF(AND('JULIO 2026'!D66&lt;&gt;"",'JULIO 2026'!Z66="POR RECOGER"),'JULIO 2026'!I66,"")</f>
        <v/>
      </c>
      <c r="P692" s="194" t="n"/>
      <c r="Q692" s="194" t="n"/>
      <c r="R692" s="194" t="n"/>
      <c r="S692" s="194" t="n"/>
      <c r="T692" s="194" t="n"/>
      <c r="U692" s="194" t="n"/>
      <c r="V692" s="194" t="n"/>
      <c r="W692" s="194" t="n"/>
      <c r="X692" s="194" t="n"/>
      <c r="Y692" s="194" t="n"/>
      <c r="Z692" s="194" t="n"/>
    </row>
    <row r="693" ht="15" customHeight="1" s="195">
      <c r="A693" s="381">
        <f>IF(AND('JULIO 2026'!D67&lt;&gt;"",'JULIO 2026'!Z67="POR RECOGER"),"JUL","")</f>
        <v/>
      </c>
      <c r="B693" s="381">
        <f>IF(AND('JULIO 2026'!D67&lt;&gt;"",'JULIO 2026'!Z67="POR RECOGER"),IF('JULIO 2026'!Y67&lt;&gt;"",'JULIO 2026'!Y67,'JULIO 2026'!I67),"")</f>
        <v/>
      </c>
      <c r="C693" s="381">
        <f>IF(AND('JULIO 2026'!D67&lt;&gt;"",'JULIO 2026'!Z67="POR RECOGER"),'JULIO 2026'!D67,"")</f>
        <v/>
      </c>
      <c r="D693" s="381">
        <f>IF(AND('JULIO 2026'!D67&lt;&gt;"",'JULIO 2026'!Z67="POR RECOGER"),'JULIO 2026'!F67,"")</f>
        <v/>
      </c>
      <c r="E693" s="381">
        <f>IF(AND('JULIO 2026'!D67&lt;&gt;"",'JULIO 2026'!Z67="POR RECOGER"),TEXT('JULIO 2026'!G67,"DD/MM/YYYY"),"")</f>
        <v/>
      </c>
      <c r="F693" s="381">
        <f>IF(AND('JULIO 2026'!D67&lt;&gt;"",'JULIO 2026'!Z67="POR RECOGER"),'JULIO 2026'!K67,"")</f>
        <v/>
      </c>
      <c r="G693" s="382">
        <f>IF(AND('JULIO 2026'!D67&lt;&gt;"",'JULIO 2026'!Z67="POR RECOGER"),'JULIO 2026'!M67,"")</f>
        <v/>
      </c>
      <c r="H693" s="382">
        <f>IF(AND('JULIO 2026'!D67&lt;&gt;"",'JULIO 2026'!Z67="POR RECOGER"),'JULIO 2026'!N67,"")</f>
        <v/>
      </c>
      <c r="I693" s="381">
        <f>IF(AND('JULIO 2026'!D67&lt;&gt;"",'JULIO 2026'!Z67="POR RECOGER"),'JULIO 2026'!P67,"")</f>
        <v/>
      </c>
      <c r="J693" s="381">
        <f>IF(AND('JULIO 2026'!D67&lt;&gt;"",'JULIO 2026'!Z67="POR RECOGER"),'JULIO 2026'!Q67,"")</f>
        <v/>
      </c>
      <c r="K693" s="381">
        <f>IF(AND('JULIO 2026'!D67&lt;&gt;"",'JULIO 2026'!Z67="POR RECOGER"),'JULIO 2026'!Y67,"")</f>
        <v/>
      </c>
      <c r="L693" s="381">
        <f>IF(AND('JULIO 2026'!D67&lt;&gt;"",'JULIO 2026'!Z67="POR RECOGER"),'JULIO 2026'!I67,"")</f>
        <v/>
      </c>
      <c r="P693" s="194" t="n"/>
      <c r="Q693" s="194" t="n"/>
      <c r="R693" s="194" t="n"/>
      <c r="S693" s="194" t="n"/>
      <c r="T693" s="194" t="n"/>
      <c r="U693" s="194" t="n"/>
      <c r="V693" s="194" t="n"/>
      <c r="W693" s="194" t="n"/>
      <c r="X693" s="194" t="n"/>
      <c r="Y693" s="194" t="n"/>
      <c r="Z693" s="194" t="n"/>
    </row>
    <row r="694" ht="15" customHeight="1" s="195">
      <c r="A694" s="381">
        <f>IF(AND('JULIO 2026'!D68&lt;&gt;"",'JULIO 2026'!Z68="POR RECOGER"),"JUL","")</f>
        <v/>
      </c>
      <c r="B694" s="381">
        <f>IF(AND('JULIO 2026'!D68&lt;&gt;"",'JULIO 2026'!Z68="POR RECOGER"),IF('JULIO 2026'!Y68&lt;&gt;"",'JULIO 2026'!Y68,'JULIO 2026'!I68),"")</f>
        <v/>
      </c>
      <c r="C694" s="381">
        <f>IF(AND('JULIO 2026'!D68&lt;&gt;"",'JULIO 2026'!Z68="POR RECOGER"),'JULIO 2026'!D68,"")</f>
        <v/>
      </c>
      <c r="D694" s="381">
        <f>IF(AND('JULIO 2026'!D68&lt;&gt;"",'JULIO 2026'!Z68="POR RECOGER"),'JULIO 2026'!F68,"")</f>
        <v/>
      </c>
      <c r="E694" s="381">
        <f>IF(AND('JULIO 2026'!D68&lt;&gt;"",'JULIO 2026'!Z68="POR RECOGER"),TEXT('JULIO 2026'!G68,"DD/MM/YYYY"),"")</f>
        <v/>
      </c>
      <c r="F694" s="381">
        <f>IF(AND('JULIO 2026'!D68&lt;&gt;"",'JULIO 2026'!Z68="POR RECOGER"),'JULIO 2026'!K68,"")</f>
        <v/>
      </c>
      <c r="G694" s="382">
        <f>IF(AND('JULIO 2026'!D68&lt;&gt;"",'JULIO 2026'!Z68="POR RECOGER"),'JULIO 2026'!M68,"")</f>
        <v/>
      </c>
      <c r="H694" s="382">
        <f>IF(AND('JULIO 2026'!D68&lt;&gt;"",'JULIO 2026'!Z68="POR RECOGER"),'JULIO 2026'!N68,"")</f>
        <v/>
      </c>
      <c r="I694" s="381">
        <f>IF(AND('JULIO 2026'!D68&lt;&gt;"",'JULIO 2026'!Z68="POR RECOGER"),'JULIO 2026'!P68,"")</f>
        <v/>
      </c>
      <c r="J694" s="381">
        <f>IF(AND('JULIO 2026'!D68&lt;&gt;"",'JULIO 2026'!Z68="POR RECOGER"),'JULIO 2026'!Q68,"")</f>
        <v/>
      </c>
      <c r="K694" s="381">
        <f>IF(AND('JULIO 2026'!D68&lt;&gt;"",'JULIO 2026'!Z68="POR RECOGER"),'JULIO 2026'!Y68,"")</f>
        <v/>
      </c>
      <c r="L694" s="381">
        <f>IF(AND('JULIO 2026'!D68&lt;&gt;"",'JULIO 2026'!Z68="POR RECOGER"),'JULIO 2026'!I68,"")</f>
        <v/>
      </c>
      <c r="P694" s="194" t="n"/>
      <c r="Q694" s="194" t="n"/>
      <c r="R694" s="194" t="n"/>
      <c r="S694" s="194" t="n"/>
      <c r="T694" s="194" t="n"/>
      <c r="U694" s="194" t="n"/>
      <c r="V694" s="194" t="n"/>
      <c r="W694" s="194" t="n"/>
      <c r="X694" s="194" t="n"/>
      <c r="Y694" s="194" t="n"/>
      <c r="Z694" s="194" t="n"/>
    </row>
    <row r="695" ht="15" customHeight="1" s="195">
      <c r="A695" s="381">
        <f>IF(AND('JULIO 2026'!D69&lt;&gt;"",'JULIO 2026'!Z69="POR RECOGER"),"JUL","")</f>
        <v/>
      </c>
      <c r="B695" s="381">
        <f>IF(AND('JULIO 2026'!D69&lt;&gt;"",'JULIO 2026'!Z69="POR RECOGER"),IF('JULIO 2026'!Y69&lt;&gt;"",'JULIO 2026'!Y69,'JULIO 2026'!I69),"")</f>
        <v/>
      </c>
      <c r="C695" s="381">
        <f>IF(AND('JULIO 2026'!D69&lt;&gt;"",'JULIO 2026'!Z69="POR RECOGER"),'JULIO 2026'!D69,"")</f>
        <v/>
      </c>
      <c r="D695" s="381">
        <f>IF(AND('JULIO 2026'!D69&lt;&gt;"",'JULIO 2026'!Z69="POR RECOGER"),'JULIO 2026'!F69,"")</f>
        <v/>
      </c>
      <c r="E695" s="381">
        <f>IF(AND('JULIO 2026'!D69&lt;&gt;"",'JULIO 2026'!Z69="POR RECOGER"),TEXT('JULIO 2026'!G69,"DD/MM/YYYY"),"")</f>
        <v/>
      </c>
      <c r="F695" s="381">
        <f>IF(AND('JULIO 2026'!D69&lt;&gt;"",'JULIO 2026'!Z69="POR RECOGER"),'JULIO 2026'!K69,"")</f>
        <v/>
      </c>
      <c r="G695" s="382">
        <f>IF(AND('JULIO 2026'!D69&lt;&gt;"",'JULIO 2026'!Z69="POR RECOGER"),'JULIO 2026'!M69,"")</f>
        <v/>
      </c>
      <c r="H695" s="382">
        <f>IF(AND('JULIO 2026'!D69&lt;&gt;"",'JULIO 2026'!Z69="POR RECOGER"),'JULIO 2026'!N69,"")</f>
        <v/>
      </c>
      <c r="I695" s="381">
        <f>IF(AND('JULIO 2026'!D69&lt;&gt;"",'JULIO 2026'!Z69="POR RECOGER"),'JULIO 2026'!P69,"")</f>
        <v/>
      </c>
      <c r="J695" s="381">
        <f>IF(AND('JULIO 2026'!D69&lt;&gt;"",'JULIO 2026'!Z69="POR RECOGER"),'JULIO 2026'!Q69,"")</f>
        <v/>
      </c>
      <c r="K695" s="381">
        <f>IF(AND('JULIO 2026'!D69&lt;&gt;"",'JULIO 2026'!Z69="POR RECOGER"),'JULIO 2026'!Y69,"")</f>
        <v/>
      </c>
      <c r="L695" s="381">
        <f>IF(AND('JULIO 2026'!D69&lt;&gt;"",'JULIO 2026'!Z69="POR RECOGER"),'JULIO 2026'!I69,"")</f>
        <v/>
      </c>
      <c r="P695" s="194" t="n"/>
      <c r="Q695" s="194" t="n"/>
      <c r="R695" s="194" t="n"/>
      <c r="S695" s="194" t="n"/>
      <c r="T695" s="194" t="n"/>
      <c r="U695" s="194" t="n"/>
      <c r="V695" s="194" t="n"/>
      <c r="W695" s="194" t="n"/>
      <c r="X695" s="194" t="n"/>
      <c r="Y695" s="194" t="n"/>
      <c r="Z695" s="194" t="n"/>
    </row>
    <row r="696" ht="15" customHeight="1" s="195">
      <c r="A696" s="381">
        <f>IF(AND('JULIO 2026'!D70&lt;&gt;"",'JULIO 2026'!Z70="POR RECOGER"),"JUL","")</f>
        <v/>
      </c>
      <c r="B696" s="381">
        <f>IF(AND('JULIO 2026'!D70&lt;&gt;"",'JULIO 2026'!Z70="POR RECOGER"),IF('JULIO 2026'!Y70&lt;&gt;"",'JULIO 2026'!Y70,'JULIO 2026'!I70),"")</f>
        <v/>
      </c>
      <c r="C696" s="381">
        <f>IF(AND('JULIO 2026'!D70&lt;&gt;"",'JULIO 2026'!Z70="POR RECOGER"),'JULIO 2026'!D70,"")</f>
        <v/>
      </c>
      <c r="D696" s="381">
        <f>IF(AND('JULIO 2026'!D70&lt;&gt;"",'JULIO 2026'!Z70="POR RECOGER"),'JULIO 2026'!F70,"")</f>
        <v/>
      </c>
      <c r="E696" s="381">
        <f>IF(AND('JULIO 2026'!D70&lt;&gt;"",'JULIO 2026'!Z70="POR RECOGER"),TEXT('JULIO 2026'!G70,"DD/MM/YYYY"),"")</f>
        <v/>
      </c>
      <c r="F696" s="381">
        <f>IF(AND('JULIO 2026'!D70&lt;&gt;"",'JULIO 2026'!Z70="POR RECOGER"),'JULIO 2026'!K70,"")</f>
        <v/>
      </c>
      <c r="G696" s="382">
        <f>IF(AND('JULIO 2026'!D70&lt;&gt;"",'JULIO 2026'!Z70="POR RECOGER"),'JULIO 2026'!M70,"")</f>
        <v/>
      </c>
      <c r="H696" s="382">
        <f>IF(AND('JULIO 2026'!D70&lt;&gt;"",'JULIO 2026'!Z70="POR RECOGER"),'JULIO 2026'!N70,"")</f>
        <v/>
      </c>
      <c r="I696" s="381">
        <f>IF(AND('JULIO 2026'!D70&lt;&gt;"",'JULIO 2026'!Z70="POR RECOGER"),'JULIO 2026'!P70,"")</f>
        <v/>
      </c>
      <c r="J696" s="381">
        <f>IF(AND('JULIO 2026'!D70&lt;&gt;"",'JULIO 2026'!Z70="POR RECOGER"),'JULIO 2026'!Q70,"")</f>
        <v/>
      </c>
      <c r="K696" s="381">
        <f>IF(AND('JULIO 2026'!D70&lt;&gt;"",'JULIO 2026'!Z70="POR RECOGER"),'JULIO 2026'!Y70,"")</f>
        <v/>
      </c>
      <c r="L696" s="381">
        <f>IF(AND('JULIO 2026'!D70&lt;&gt;"",'JULIO 2026'!Z70="POR RECOGER"),'JULIO 2026'!I70,"")</f>
        <v/>
      </c>
      <c r="P696" s="194" t="n"/>
      <c r="Q696" s="194" t="n"/>
      <c r="R696" s="194" t="n"/>
      <c r="S696" s="194" t="n"/>
      <c r="T696" s="194" t="n"/>
      <c r="U696" s="194" t="n"/>
      <c r="V696" s="194" t="n"/>
      <c r="W696" s="194" t="n"/>
      <c r="X696" s="194" t="n"/>
      <c r="Y696" s="194" t="n"/>
      <c r="Z696" s="194" t="n"/>
    </row>
    <row r="697" ht="15" customHeight="1" s="195">
      <c r="A697" s="381">
        <f>IF(AND('JULIO 2026'!D71&lt;&gt;"",'JULIO 2026'!Z71="POR RECOGER"),"JUL","")</f>
        <v/>
      </c>
      <c r="B697" s="381">
        <f>IF(AND('JULIO 2026'!D71&lt;&gt;"",'JULIO 2026'!Z71="POR RECOGER"),IF('JULIO 2026'!Y71&lt;&gt;"",'JULIO 2026'!Y71,'JULIO 2026'!I71),"")</f>
        <v/>
      </c>
      <c r="C697" s="381">
        <f>IF(AND('JULIO 2026'!D71&lt;&gt;"",'JULIO 2026'!Z71="POR RECOGER"),'JULIO 2026'!D71,"")</f>
        <v/>
      </c>
      <c r="D697" s="381">
        <f>IF(AND('JULIO 2026'!D71&lt;&gt;"",'JULIO 2026'!Z71="POR RECOGER"),'JULIO 2026'!F71,"")</f>
        <v/>
      </c>
      <c r="E697" s="381">
        <f>IF(AND('JULIO 2026'!D71&lt;&gt;"",'JULIO 2026'!Z71="POR RECOGER"),TEXT('JULIO 2026'!G71,"DD/MM/YYYY"),"")</f>
        <v/>
      </c>
      <c r="F697" s="381">
        <f>IF(AND('JULIO 2026'!D71&lt;&gt;"",'JULIO 2026'!Z71="POR RECOGER"),'JULIO 2026'!K71,"")</f>
        <v/>
      </c>
      <c r="G697" s="382">
        <f>IF(AND('JULIO 2026'!D71&lt;&gt;"",'JULIO 2026'!Z71="POR RECOGER"),'JULIO 2026'!M71,"")</f>
        <v/>
      </c>
      <c r="H697" s="382">
        <f>IF(AND('JULIO 2026'!D71&lt;&gt;"",'JULIO 2026'!Z71="POR RECOGER"),'JULIO 2026'!N71,"")</f>
        <v/>
      </c>
      <c r="I697" s="381">
        <f>IF(AND('JULIO 2026'!D71&lt;&gt;"",'JULIO 2026'!Z71="POR RECOGER"),'JULIO 2026'!P71,"")</f>
        <v/>
      </c>
      <c r="J697" s="381">
        <f>IF(AND('JULIO 2026'!D71&lt;&gt;"",'JULIO 2026'!Z71="POR RECOGER"),'JULIO 2026'!Q71,"")</f>
        <v/>
      </c>
      <c r="K697" s="381">
        <f>IF(AND('JULIO 2026'!D71&lt;&gt;"",'JULIO 2026'!Z71="POR RECOGER"),'JULIO 2026'!Y71,"")</f>
        <v/>
      </c>
      <c r="L697" s="381">
        <f>IF(AND('JULIO 2026'!D71&lt;&gt;"",'JULIO 2026'!Z71="POR RECOGER"),'JULIO 2026'!I71,"")</f>
        <v/>
      </c>
      <c r="P697" s="194" t="n"/>
      <c r="Q697" s="194" t="n"/>
      <c r="R697" s="194" t="n"/>
      <c r="S697" s="194" t="n"/>
      <c r="T697" s="194" t="n"/>
      <c r="U697" s="194" t="n"/>
      <c r="V697" s="194" t="n"/>
      <c r="W697" s="194" t="n"/>
      <c r="X697" s="194" t="n"/>
      <c r="Y697" s="194" t="n"/>
      <c r="Z697" s="194" t="n"/>
    </row>
    <row r="698" ht="15" customHeight="1" s="195">
      <c r="A698" s="381">
        <f>IF(AND('JULIO 2026'!D72&lt;&gt;"",'JULIO 2026'!Z72="POR RECOGER"),"JUL","")</f>
        <v/>
      </c>
      <c r="B698" s="381">
        <f>IF(AND('JULIO 2026'!D72&lt;&gt;"",'JULIO 2026'!Z72="POR RECOGER"),IF('JULIO 2026'!Y72&lt;&gt;"",'JULIO 2026'!Y72,'JULIO 2026'!I72),"")</f>
        <v/>
      </c>
      <c r="C698" s="381">
        <f>IF(AND('JULIO 2026'!D72&lt;&gt;"",'JULIO 2026'!Z72="POR RECOGER"),'JULIO 2026'!D72,"")</f>
        <v/>
      </c>
      <c r="D698" s="381">
        <f>IF(AND('JULIO 2026'!D72&lt;&gt;"",'JULIO 2026'!Z72="POR RECOGER"),'JULIO 2026'!F72,"")</f>
        <v/>
      </c>
      <c r="E698" s="381">
        <f>IF(AND('JULIO 2026'!D72&lt;&gt;"",'JULIO 2026'!Z72="POR RECOGER"),TEXT('JULIO 2026'!G72,"DD/MM/YYYY"),"")</f>
        <v/>
      </c>
      <c r="F698" s="381">
        <f>IF(AND('JULIO 2026'!D72&lt;&gt;"",'JULIO 2026'!Z72="POR RECOGER"),'JULIO 2026'!K72,"")</f>
        <v/>
      </c>
      <c r="G698" s="382">
        <f>IF(AND('JULIO 2026'!D72&lt;&gt;"",'JULIO 2026'!Z72="POR RECOGER"),'JULIO 2026'!M72,"")</f>
        <v/>
      </c>
      <c r="H698" s="382">
        <f>IF(AND('JULIO 2026'!D72&lt;&gt;"",'JULIO 2026'!Z72="POR RECOGER"),'JULIO 2026'!N72,"")</f>
        <v/>
      </c>
      <c r="I698" s="381">
        <f>IF(AND('JULIO 2026'!D72&lt;&gt;"",'JULIO 2026'!Z72="POR RECOGER"),'JULIO 2026'!P72,"")</f>
        <v/>
      </c>
      <c r="J698" s="381">
        <f>IF(AND('JULIO 2026'!D72&lt;&gt;"",'JULIO 2026'!Z72="POR RECOGER"),'JULIO 2026'!Q72,"")</f>
        <v/>
      </c>
      <c r="K698" s="381">
        <f>IF(AND('JULIO 2026'!D72&lt;&gt;"",'JULIO 2026'!Z72="POR RECOGER"),'JULIO 2026'!Y72,"")</f>
        <v/>
      </c>
      <c r="L698" s="381">
        <f>IF(AND('JULIO 2026'!D72&lt;&gt;"",'JULIO 2026'!Z72="POR RECOGER"),'JULIO 2026'!I72,"")</f>
        <v/>
      </c>
      <c r="P698" s="194" t="n"/>
      <c r="Q698" s="194" t="n"/>
      <c r="R698" s="194" t="n"/>
      <c r="S698" s="194" t="n"/>
      <c r="T698" s="194" t="n"/>
      <c r="U698" s="194" t="n"/>
      <c r="V698" s="194" t="n"/>
      <c r="W698" s="194" t="n"/>
      <c r="X698" s="194" t="n"/>
      <c r="Y698" s="194" t="n"/>
      <c r="Z698" s="194" t="n"/>
    </row>
    <row r="699" ht="15" customHeight="1" s="195">
      <c r="A699" s="381">
        <f>IF(AND('JULIO 2026'!D73&lt;&gt;"",'JULIO 2026'!Z73="POR RECOGER"),"JUL","")</f>
        <v/>
      </c>
      <c r="B699" s="381">
        <f>IF(AND('JULIO 2026'!D73&lt;&gt;"",'JULIO 2026'!Z73="POR RECOGER"),IF('JULIO 2026'!Y73&lt;&gt;"",'JULIO 2026'!Y73,'JULIO 2026'!I73),"")</f>
        <v/>
      </c>
      <c r="C699" s="381">
        <f>IF(AND('JULIO 2026'!D73&lt;&gt;"",'JULIO 2026'!Z73="POR RECOGER"),'JULIO 2026'!D73,"")</f>
        <v/>
      </c>
      <c r="D699" s="381">
        <f>IF(AND('JULIO 2026'!D73&lt;&gt;"",'JULIO 2026'!Z73="POR RECOGER"),'JULIO 2026'!F73,"")</f>
        <v/>
      </c>
      <c r="E699" s="381">
        <f>IF(AND('JULIO 2026'!D73&lt;&gt;"",'JULIO 2026'!Z73="POR RECOGER"),TEXT('JULIO 2026'!G73,"DD/MM/YYYY"),"")</f>
        <v/>
      </c>
      <c r="F699" s="381">
        <f>IF(AND('JULIO 2026'!D73&lt;&gt;"",'JULIO 2026'!Z73="POR RECOGER"),'JULIO 2026'!K73,"")</f>
        <v/>
      </c>
      <c r="G699" s="382">
        <f>IF(AND('JULIO 2026'!D73&lt;&gt;"",'JULIO 2026'!Z73="POR RECOGER"),'JULIO 2026'!M73,"")</f>
        <v/>
      </c>
      <c r="H699" s="382">
        <f>IF(AND('JULIO 2026'!D73&lt;&gt;"",'JULIO 2026'!Z73="POR RECOGER"),'JULIO 2026'!N73,"")</f>
        <v/>
      </c>
      <c r="I699" s="381">
        <f>IF(AND('JULIO 2026'!D73&lt;&gt;"",'JULIO 2026'!Z73="POR RECOGER"),'JULIO 2026'!P73,"")</f>
        <v/>
      </c>
      <c r="J699" s="381">
        <f>IF(AND('JULIO 2026'!D73&lt;&gt;"",'JULIO 2026'!Z73="POR RECOGER"),'JULIO 2026'!Q73,"")</f>
        <v/>
      </c>
      <c r="K699" s="381">
        <f>IF(AND('JULIO 2026'!D73&lt;&gt;"",'JULIO 2026'!Z73="POR RECOGER"),'JULIO 2026'!Y73,"")</f>
        <v/>
      </c>
      <c r="L699" s="381">
        <f>IF(AND('JULIO 2026'!D73&lt;&gt;"",'JULIO 2026'!Z73="POR RECOGER"),'JULIO 2026'!I73,"")</f>
        <v/>
      </c>
      <c r="P699" s="194" t="n"/>
      <c r="Q699" s="194" t="n"/>
      <c r="R699" s="194" t="n"/>
      <c r="S699" s="194" t="n"/>
      <c r="T699" s="194" t="n"/>
      <c r="U699" s="194" t="n"/>
      <c r="V699" s="194" t="n"/>
      <c r="W699" s="194" t="n"/>
      <c r="X699" s="194" t="n"/>
      <c r="Y699" s="194" t="n"/>
      <c r="Z699" s="194" t="n"/>
    </row>
    <row r="700" ht="15" customHeight="1" s="195">
      <c r="A700" s="381">
        <f>IF(AND('JULIO 2026'!D74&lt;&gt;"",'JULIO 2026'!Z74="POR RECOGER"),"JUL","")</f>
        <v/>
      </c>
      <c r="B700" s="381">
        <f>IF(AND('JULIO 2026'!D74&lt;&gt;"",'JULIO 2026'!Z74="POR RECOGER"),IF('JULIO 2026'!Y74&lt;&gt;"",'JULIO 2026'!Y74,'JULIO 2026'!I74),"")</f>
        <v/>
      </c>
      <c r="C700" s="381">
        <f>IF(AND('JULIO 2026'!D74&lt;&gt;"",'JULIO 2026'!Z74="POR RECOGER"),'JULIO 2026'!D74,"")</f>
        <v/>
      </c>
      <c r="D700" s="381">
        <f>IF(AND('JULIO 2026'!D74&lt;&gt;"",'JULIO 2026'!Z74="POR RECOGER"),'JULIO 2026'!F74,"")</f>
        <v/>
      </c>
      <c r="E700" s="381">
        <f>IF(AND('JULIO 2026'!D74&lt;&gt;"",'JULIO 2026'!Z74="POR RECOGER"),TEXT('JULIO 2026'!G74,"DD/MM/YYYY"),"")</f>
        <v/>
      </c>
      <c r="F700" s="381">
        <f>IF(AND('JULIO 2026'!D74&lt;&gt;"",'JULIO 2026'!Z74="POR RECOGER"),'JULIO 2026'!K74,"")</f>
        <v/>
      </c>
      <c r="G700" s="382">
        <f>IF(AND('JULIO 2026'!D74&lt;&gt;"",'JULIO 2026'!Z74="POR RECOGER"),'JULIO 2026'!M74,"")</f>
        <v/>
      </c>
      <c r="H700" s="382">
        <f>IF(AND('JULIO 2026'!D74&lt;&gt;"",'JULIO 2026'!Z74="POR RECOGER"),'JULIO 2026'!N74,"")</f>
        <v/>
      </c>
      <c r="I700" s="381">
        <f>IF(AND('JULIO 2026'!D74&lt;&gt;"",'JULIO 2026'!Z74="POR RECOGER"),'JULIO 2026'!P74,"")</f>
        <v/>
      </c>
      <c r="J700" s="381">
        <f>IF(AND('JULIO 2026'!D74&lt;&gt;"",'JULIO 2026'!Z74="POR RECOGER"),'JULIO 2026'!Q74,"")</f>
        <v/>
      </c>
      <c r="K700" s="381">
        <f>IF(AND('JULIO 2026'!D74&lt;&gt;"",'JULIO 2026'!Z74="POR RECOGER"),'JULIO 2026'!Y74,"")</f>
        <v/>
      </c>
      <c r="L700" s="381">
        <f>IF(AND('JULIO 2026'!D74&lt;&gt;"",'JULIO 2026'!Z74="POR RECOGER"),'JULIO 2026'!I74,"")</f>
        <v/>
      </c>
      <c r="P700" s="194" t="n"/>
      <c r="Q700" s="194" t="n"/>
      <c r="R700" s="194" t="n"/>
      <c r="S700" s="194" t="n"/>
      <c r="T700" s="194" t="n"/>
      <c r="U700" s="194" t="n"/>
      <c r="V700" s="194" t="n"/>
      <c r="W700" s="194" t="n"/>
      <c r="X700" s="194" t="n"/>
      <c r="Y700" s="194" t="n"/>
      <c r="Z700" s="194" t="n"/>
    </row>
    <row r="701" ht="15" customHeight="1" s="195">
      <c r="A701" s="381">
        <f>IF(AND('JULIO 2026'!D75&lt;&gt;"",'JULIO 2026'!Z75="POR RECOGER"),"JUL","")</f>
        <v/>
      </c>
      <c r="B701" s="381">
        <f>IF(AND('JULIO 2026'!D75&lt;&gt;"",'JULIO 2026'!Z75="POR RECOGER"),IF('JULIO 2026'!Y75&lt;&gt;"",'JULIO 2026'!Y75,'JULIO 2026'!I75),"")</f>
        <v/>
      </c>
      <c r="C701" s="381">
        <f>IF(AND('JULIO 2026'!D75&lt;&gt;"",'JULIO 2026'!Z75="POR RECOGER"),'JULIO 2026'!D75,"")</f>
        <v/>
      </c>
      <c r="D701" s="381">
        <f>IF(AND('JULIO 2026'!D75&lt;&gt;"",'JULIO 2026'!Z75="POR RECOGER"),'JULIO 2026'!F75,"")</f>
        <v/>
      </c>
      <c r="E701" s="381">
        <f>IF(AND('JULIO 2026'!D75&lt;&gt;"",'JULIO 2026'!Z75="POR RECOGER"),TEXT('JULIO 2026'!G75,"DD/MM/YYYY"),"")</f>
        <v/>
      </c>
      <c r="F701" s="381">
        <f>IF(AND('JULIO 2026'!D75&lt;&gt;"",'JULIO 2026'!Z75="POR RECOGER"),'JULIO 2026'!K75,"")</f>
        <v/>
      </c>
      <c r="G701" s="382">
        <f>IF(AND('JULIO 2026'!D75&lt;&gt;"",'JULIO 2026'!Z75="POR RECOGER"),'JULIO 2026'!M75,"")</f>
        <v/>
      </c>
      <c r="H701" s="382">
        <f>IF(AND('JULIO 2026'!D75&lt;&gt;"",'JULIO 2026'!Z75="POR RECOGER"),'JULIO 2026'!N75,"")</f>
        <v/>
      </c>
      <c r="I701" s="381">
        <f>IF(AND('JULIO 2026'!D75&lt;&gt;"",'JULIO 2026'!Z75="POR RECOGER"),'JULIO 2026'!P75,"")</f>
        <v/>
      </c>
      <c r="J701" s="381">
        <f>IF(AND('JULIO 2026'!D75&lt;&gt;"",'JULIO 2026'!Z75="POR RECOGER"),'JULIO 2026'!Q75,"")</f>
        <v/>
      </c>
      <c r="K701" s="381">
        <f>IF(AND('JULIO 2026'!D75&lt;&gt;"",'JULIO 2026'!Z75="POR RECOGER"),'JULIO 2026'!Y75,"")</f>
        <v/>
      </c>
      <c r="L701" s="381">
        <f>IF(AND('JULIO 2026'!D75&lt;&gt;"",'JULIO 2026'!Z75="POR RECOGER"),'JULIO 2026'!I75,"")</f>
        <v/>
      </c>
      <c r="P701" s="194" t="n"/>
      <c r="Q701" s="194" t="n"/>
      <c r="R701" s="194" t="n"/>
      <c r="S701" s="194" t="n"/>
      <c r="T701" s="194" t="n"/>
      <c r="U701" s="194" t="n"/>
      <c r="V701" s="194" t="n"/>
      <c r="W701" s="194" t="n"/>
      <c r="X701" s="194" t="n"/>
      <c r="Y701" s="194" t="n"/>
      <c r="Z701" s="194" t="n"/>
    </row>
    <row r="702" ht="15" customHeight="1" s="195">
      <c r="A702" s="381">
        <f>IF(AND('JULIO 2026'!D76&lt;&gt;"",'JULIO 2026'!Z76="POR RECOGER"),"JUL","")</f>
        <v/>
      </c>
      <c r="B702" s="381">
        <f>IF(AND('JULIO 2026'!D76&lt;&gt;"",'JULIO 2026'!Z76="POR RECOGER"),IF('JULIO 2026'!Y76&lt;&gt;"",'JULIO 2026'!Y76,'JULIO 2026'!I76),"")</f>
        <v/>
      </c>
      <c r="C702" s="381">
        <f>IF(AND('JULIO 2026'!D76&lt;&gt;"",'JULIO 2026'!Z76="POR RECOGER"),'JULIO 2026'!D76,"")</f>
        <v/>
      </c>
      <c r="D702" s="381">
        <f>IF(AND('JULIO 2026'!D76&lt;&gt;"",'JULIO 2026'!Z76="POR RECOGER"),'JULIO 2026'!F76,"")</f>
        <v/>
      </c>
      <c r="E702" s="381">
        <f>IF(AND('JULIO 2026'!D76&lt;&gt;"",'JULIO 2026'!Z76="POR RECOGER"),TEXT('JULIO 2026'!G76,"DD/MM/YYYY"),"")</f>
        <v/>
      </c>
      <c r="F702" s="381">
        <f>IF(AND('JULIO 2026'!D76&lt;&gt;"",'JULIO 2026'!Z76="POR RECOGER"),'JULIO 2026'!K76,"")</f>
        <v/>
      </c>
      <c r="G702" s="382">
        <f>IF(AND('JULIO 2026'!D76&lt;&gt;"",'JULIO 2026'!Z76="POR RECOGER"),'JULIO 2026'!M76,"")</f>
        <v/>
      </c>
      <c r="H702" s="382">
        <f>IF(AND('JULIO 2026'!D76&lt;&gt;"",'JULIO 2026'!Z76="POR RECOGER"),'JULIO 2026'!N76,"")</f>
        <v/>
      </c>
      <c r="I702" s="381">
        <f>IF(AND('JULIO 2026'!D76&lt;&gt;"",'JULIO 2026'!Z76="POR RECOGER"),'JULIO 2026'!P76,"")</f>
        <v/>
      </c>
      <c r="J702" s="381">
        <f>IF(AND('JULIO 2026'!D76&lt;&gt;"",'JULIO 2026'!Z76="POR RECOGER"),'JULIO 2026'!Q76,"")</f>
        <v/>
      </c>
      <c r="K702" s="381">
        <f>IF(AND('JULIO 2026'!D76&lt;&gt;"",'JULIO 2026'!Z76="POR RECOGER"),'JULIO 2026'!Y76,"")</f>
        <v/>
      </c>
      <c r="L702" s="381">
        <f>IF(AND('JULIO 2026'!D76&lt;&gt;"",'JULIO 2026'!Z76="POR RECOGER"),'JULIO 2026'!I76,"")</f>
        <v/>
      </c>
      <c r="P702" s="194" t="n"/>
      <c r="Q702" s="194" t="n"/>
      <c r="R702" s="194" t="n"/>
      <c r="S702" s="194" t="n"/>
      <c r="T702" s="194" t="n"/>
      <c r="U702" s="194" t="n"/>
      <c r="V702" s="194" t="n"/>
      <c r="W702" s="194" t="n"/>
      <c r="X702" s="194" t="n"/>
      <c r="Y702" s="194" t="n"/>
      <c r="Z702" s="194" t="n"/>
    </row>
    <row r="703" ht="15" customHeight="1" s="195">
      <c r="A703" s="381">
        <f>IF(AND('JULIO 2026'!D77&lt;&gt;"",'JULIO 2026'!Z77="POR RECOGER"),"JUL","")</f>
        <v/>
      </c>
      <c r="B703" s="381">
        <f>IF(AND('JULIO 2026'!D77&lt;&gt;"",'JULIO 2026'!Z77="POR RECOGER"),IF('JULIO 2026'!Y77&lt;&gt;"",'JULIO 2026'!Y77,'JULIO 2026'!I77),"")</f>
        <v/>
      </c>
      <c r="C703" s="381">
        <f>IF(AND('JULIO 2026'!D77&lt;&gt;"",'JULIO 2026'!Z77="POR RECOGER"),'JULIO 2026'!D77,"")</f>
        <v/>
      </c>
      <c r="D703" s="381">
        <f>IF(AND('JULIO 2026'!D77&lt;&gt;"",'JULIO 2026'!Z77="POR RECOGER"),'JULIO 2026'!F77,"")</f>
        <v/>
      </c>
      <c r="E703" s="381">
        <f>IF(AND('JULIO 2026'!D77&lt;&gt;"",'JULIO 2026'!Z77="POR RECOGER"),TEXT('JULIO 2026'!G77,"DD/MM/YYYY"),"")</f>
        <v/>
      </c>
      <c r="F703" s="381">
        <f>IF(AND('JULIO 2026'!D77&lt;&gt;"",'JULIO 2026'!Z77="POR RECOGER"),'JULIO 2026'!K77,"")</f>
        <v/>
      </c>
      <c r="G703" s="382">
        <f>IF(AND('JULIO 2026'!D77&lt;&gt;"",'JULIO 2026'!Z77="POR RECOGER"),'JULIO 2026'!M77,"")</f>
        <v/>
      </c>
      <c r="H703" s="382">
        <f>IF(AND('JULIO 2026'!D77&lt;&gt;"",'JULIO 2026'!Z77="POR RECOGER"),'JULIO 2026'!N77,"")</f>
        <v/>
      </c>
      <c r="I703" s="381">
        <f>IF(AND('JULIO 2026'!D77&lt;&gt;"",'JULIO 2026'!Z77="POR RECOGER"),'JULIO 2026'!P77,"")</f>
        <v/>
      </c>
      <c r="J703" s="381">
        <f>IF(AND('JULIO 2026'!D77&lt;&gt;"",'JULIO 2026'!Z77="POR RECOGER"),'JULIO 2026'!Q77,"")</f>
        <v/>
      </c>
      <c r="K703" s="381">
        <f>IF(AND('JULIO 2026'!D77&lt;&gt;"",'JULIO 2026'!Z77="POR RECOGER"),'JULIO 2026'!Y77,"")</f>
        <v/>
      </c>
      <c r="L703" s="381">
        <f>IF(AND('JULIO 2026'!D77&lt;&gt;"",'JULIO 2026'!Z77="POR RECOGER"),'JULIO 2026'!I77,"")</f>
        <v/>
      </c>
      <c r="P703" s="194" t="n"/>
      <c r="Q703" s="194" t="n"/>
      <c r="R703" s="194" t="n"/>
      <c r="S703" s="194" t="n"/>
      <c r="T703" s="194" t="n"/>
      <c r="U703" s="194" t="n"/>
      <c r="V703" s="194" t="n"/>
      <c r="W703" s="194" t="n"/>
      <c r="X703" s="194" t="n"/>
      <c r="Y703" s="194" t="n"/>
      <c r="Z703" s="194" t="n"/>
    </row>
    <row r="704" ht="15" customHeight="1" s="195">
      <c r="A704" s="381">
        <f>IF(AND('JULIO 2026'!D78&lt;&gt;"",'JULIO 2026'!Z78="POR RECOGER"),"JUL","")</f>
        <v/>
      </c>
      <c r="B704" s="381">
        <f>IF(AND('JULIO 2026'!D78&lt;&gt;"",'JULIO 2026'!Z78="POR RECOGER"),IF('JULIO 2026'!Y78&lt;&gt;"",'JULIO 2026'!Y78,'JULIO 2026'!I78),"")</f>
        <v/>
      </c>
      <c r="C704" s="381">
        <f>IF(AND('JULIO 2026'!D78&lt;&gt;"",'JULIO 2026'!Z78="POR RECOGER"),'JULIO 2026'!D78,"")</f>
        <v/>
      </c>
      <c r="D704" s="381">
        <f>IF(AND('JULIO 2026'!D78&lt;&gt;"",'JULIO 2026'!Z78="POR RECOGER"),'JULIO 2026'!F78,"")</f>
        <v/>
      </c>
      <c r="E704" s="381">
        <f>IF(AND('JULIO 2026'!D78&lt;&gt;"",'JULIO 2026'!Z78="POR RECOGER"),TEXT('JULIO 2026'!G78,"DD/MM/YYYY"),"")</f>
        <v/>
      </c>
      <c r="F704" s="381">
        <f>IF(AND('JULIO 2026'!D78&lt;&gt;"",'JULIO 2026'!Z78="POR RECOGER"),'JULIO 2026'!K78,"")</f>
        <v/>
      </c>
      <c r="G704" s="382">
        <f>IF(AND('JULIO 2026'!D78&lt;&gt;"",'JULIO 2026'!Z78="POR RECOGER"),'JULIO 2026'!M78,"")</f>
        <v/>
      </c>
      <c r="H704" s="382">
        <f>IF(AND('JULIO 2026'!D78&lt;&gt;"",'JULIO 2026'!Z78="POR RECOGER"),'JULIO 2026'!N78,"")</f>
        <v/>
      </c>
      <c r="I704" s="381">
        <f>IF(AND('JULIO 2026'!D78&lt;&gt;"",'JULIO 2026'!Z78="POR RECOGER"),'JULIO 2026'!P78,"")</f>
        <v/>
      </c>
      <c r="J704" s="381">
        <f>IF(AND('JULIO 2026'!D78&lt;&gt;"",'JULIO 2026'!Z78="POR RECOGER"),'JULIO 2026'!Q78,"")</f>
        <v/>
      </c>
      <c r="K704" s="381">
        <f>IF(AND('JULIO 2026'!D78&lt;&gt;"",'JULIO 2026'!Z78="POR RECOGER"),'JULIO 2026'!Y78,"")</f>
        <v/>
      </c>
      <c r="L704" s="381">
        <f>IF(AND('JULIO 2026'!D78&lt;&gt;"",'JULIO 2026'!Z78="POR RECOGER"),'JULIO 2026'!I78,"")</f>
        <v/>
      </c>
      <c r="P704" s="194" t="n"/>
      <c r="Q704" s="194" t="n"/>
      <c r="R704" s="194" t="n"/>
      <c r="S704" s="194" t="n"/>
      <c r="T704" s="194" t="n"/>
      <c r="U704" s="194" t="n"/>
      <c r="V704" s="194" t="n"/>
      <c r="W704" s="194" t="n"/>
      <c r="X704" s="194" t="n"/>
      <c r="Y704" s="194" t="n"/>
      <c r="Z704" s="194" t="n"/>
    </row>
    <row r="705" ht="15" customHeight="1" s="195">
      <c r="A705" s="381">
        <f>IF(AND('JULIO 2026'!D79&lt;&gt;"",'JULIO 2026'!Z79="POR RECOGER"),"JUL","")</f>
        <v/>
      </c>
      <c r="B705" s="381">
        <f>IF(AND('JULIO 2026'!D79&lt;&gt;"",'JULIO 2026'!Z79="POR RECOGER"),IF('JULIO 2026'!Y79&lt;&gt;"",'JULIO 2026'!Y79,'JULIO 2026'!I79),"")</f>
        <v/>
      </c>
      <c r="C705" s="381">
        <f>IF(AND('JULIO 2026'!D79&lt;&gt;"",'JULIO 2026'!Z79="POR RECOGER"),'JULIO 2026'!D79,"")</f>
        <v/>
      </c>
      <c r="D705" s="381">
        <f>IF(AND('JULIO 2026'!D79&lt;&gt;"",'JULIO 2026'!Z79="POR RECOGER"),'JULIO 2026'!F79,"")</f>
        <v/>
      </c>
      <c r="E705" s="381">
        <f>IF(AND('JULIO 2026'!D79&lt;&gt;"",'JULIO 2026'!Z79="POR RECOGER"),TEXT('JULIO 2026'!G79,"DD/MM/YYYY"),"")</f>
        <v/>
      </c>
      <c r="F705" s="381">
        <f>IF(AND('JULIO 2026'!D79&lt;&gt;"",'JULIO 2026'!Z79="POR RECOGER"),'JULIO 2026'!K79,"")</f>
        <v/>
      </c>
      <c r="G705" s="382">
        <f>IF(AND('JULIO 2026'!D79&lt;&gt;"",'JULIO 2026'!Z79="POR RECOGER"),'JULIO 2026'!M79,"")</f>
        <v/>
      </c>
      <c r="H705" s="382">
        <f>IF(AND('JULIO 2026'!D79&lt;&gt;"",'JULIO 2026'!Z79="POR RECOGER"),'JULIO 2026'!N79,"")</f>
        <v/>
      </c>
      <c r="I705" s="381">
        <f>IF(AND('JULIO 2026'!D79&lt;&gt;"",'JULIO 2026'!Z79="POR RECOGER"),'JULIO 2026'!P79,"")</f>
        <v/>
      </c>
      <c r="J705" s="381">
        <f>IF(AND('JULIO 2026'!D79&lt;&gt;"",'JULIO 2026'!Z79="POR RECOGER"),'JULIO 2026'!Q79,"")</f>
        <v/>
      </c>
      <c r="K705" s="381">
        <f>IF(AND('JULIO 2026'!D79&lt;&gt;"",'JULIO 2026'!Z79="POR RECOGER"),'JULIO 2026'!Y79,"")</f>
        <v/>
      </c>
      <c r="L705" s="381">
        <f>IF(AND('JULIO 2026'!D79&lt;&gt;"",'JULIO 2026'!Z79="POR RECOGER"),'JULIO 2026'!I79,"")</f>
        <v/>
      </c>
      <c r="P705" s="194" t="n"/>
      <c r="Q705" s="194" t="n"/>
      <c r="R705" s="194" t="n"/>
      <c r="S705" s="194" t="n"/>
      <c r="T705" s="194" t="n"/>
      <c r="U705" s="194" t="n"/>
      <c r="V705" s="194" t="n"/>
      <c r="W705" s="194" t="n"/>
      <c r="X705" s="194" t="n"/>
      <c r="Y705" s="194" t="n"/>
      <c r="Z705" s="194" t="n"/>
    </row>
    <row r="706" ht="15" customHeight="1" s="195">
      <c r="A706" s="381">
        <f>IF(AND('JULIO 2026'!D80&lt;&gt;"",'JULIO 2026'!Z80="POR RECOGER"),"JUL","")</f>
        <v/>
      </c>
      <c r="B706" s="381">
        <f>IF(AND('JULIO 2026'!D80&lt;&gt;"",'JULIO 2026'!Z80="POR RECOGER"),IF('JULIO 2026'!Y80&lt;&gt;"",'JULIO 2026'!Y80,'JULIO 2026'!I80),"")</f>
        <v/>
      </c>
      <c r="C706" s="381">
        <f>IF(AND('JULIO 2026'!D80&lt;&gt;"",'JULIO 2026'!Z80="POR RECOGER"),'JULIO 2026'!D80,"")</f>
        <v/>
      </c>
      <c r="D706" s="381">
        <f>IF(AND('JULIO 2026'!D80&lt;&gt;"",'JULIO 2026'!Z80="POR RECOGER"),'JULIO 2026'!F80,"")</f>
        <v/>
      </c>
      <c r="E706" s="381">
        <f>IF(AND('JULIO 2026'!D80&lt;&gt;"",'JULIO 2026'!Z80="POR RECOGER"),TEXT('JULIO 2026'!G80,"DD/MM/YYYY"),"")</f>
        <v/>
      </c>
      <c r="F706" s="381">
        <f>IF(AND('JULIO 2026'!D80&lt;&gt;"",'JULIO 2026'!Z80="POR RECOGER"),'JULIO 2026'!K80,"")</f>
        <v/>
      </c>
      <c r="G706" s="382">
        <f>IF(AND('JULIO 2026'!D80&lt;&gt;"",'JULIO 2026'!Z80="POR RECOGER"),'JULIO 2026'!M80,"")</f>
        <v/>
      </c>
      <c r="H706" s="382">
        <f>IF(AND('JULIO 2026'!D80&lt;&gt;"",'JULIO 2026'!Z80="POR RECOGER"),'JULIO 2026'!N80,"")</f>
        <v/>
      </c>
      <c r="I706" s="381">
        <f>IF(AND('JULIO 2026'!D80&lt;&gt;"",'JULIO 2026'!Z80="POR RECOGER"),'JULIO 2026'!P80,"")</f>
        <v/>
      </c>
      <c r="J706" s="381">
        <f>IF(AND('JULIO 2026'!D80&lt;&gt;"",'JULIO 2026'!Z80="POR RECOGER"),'JULIO 2026'!Q80,"")</f>
        <v/>
      </c>
      <c r="K706" s="381">
        <f>IF(AND('JULIO 2026'!D80&lt;&gt;"",'JULIO 2026'!Z80="POR RECOGER"),'JULIO 2026'!Y80,"")</f>
        <v/>
      </c>
      <c r="L706" s="381">
        <f>IF(AND('JULIO 2026'!D80&lt;&gt;"",'JULIO 2026'!Z80="POR RECOGER"),'JULIO 2026'!I80,"")</f>
        <v/>
      </c>
      <c r="P706" s="194" t="n"/>
      <c r="Q706" s="194" t="n"/>
      <c r="R706" s="194" t="n"/>
      <c r="S706" s="194" t="n"/>
      <c r="T706" s="194" t="n"/>
      <c r="U706" s="194" t="n"/>
      <c r="V706" s="194" t="n"/>
      <c r="W706" s="194" t="n"/>
      <c r="X706" s="194" t="n"/>
      <c r="Y706" s="194" t="n"/>
      <c r="Z706" s="194" t="n"/>
    </row>
    <row r="707" ht="15" customHeight="1" s="195">
      <c r="A707" s="381">
        <f>IF(AND('JULIO 2026'!D81&lt;&gt;"",'JULIO 2026'!Z81="POR RECOGER"),"JUL","")</f>
        <v/>
      </c>
      <c r="B707" s="381">
        <f>IF(AND('JULIO 2026'!D81&lt;&gt;"",'JULIO 2026'!Z81="POR RECOGER"),IF('JULIO 2026'!Y81&lt;&gt;"",'JULIO 2026'!Y81,'JULIO 2026'!I81),"")</f>
        <v/>
      </c>
      <c r="C707" s="381">
        <f>IF(AND('JULIO 2026'!D81&lt;&gt;"",'JULIO 2026'!Z81="POR RECOGER"),'JULIO 2026'!D81,"")</f>
        <v/>
      </c>
      <c r="D707" s="381">
        <f>IF(AND('JULIO 2026'!D81&lt;&gt;"",'JULIO 2026'!Z81="POR RECOGER"),'JULIO 2026'!F81,"")</f>
        <v/>
      </c>
      <c r="E707" s="381">
        <f>IF(AND('JULIO 2026'!D81&lt;&gt;"",'JULIO 2026'!Z81="POR RECOGER"),TEXT('JULIO 2026'!G81,"DD/MM/YYYY"),"")</f>
        <v/>
      </c>
      <c r="F707" s="381">
        <f>IF(AND('JULIO 2026'!D81&lt;&gt;"",'JULIO 2026'!Z81="POR RECOGER"),'JULIO 2026'!K81,"")</f>
        <v/>
      </c>
      <c r="G707" s="382">
        <f>IF(AND('JULIO 2026'!D81&lt;&gt;"",'JULIO 2026'!Z81="POR RECOGER"),'JULIO 2026'!M81,"")</f>
        <v/>
      </c>
      <c r="H707" s="382">
        <f>IF(AND('JULIO 2026'!D81&lt;&gt;"",'JULIO 2026'!Z81="POR RECOGER"),'JULIO 2026'!N81,"")</f>
        <v/>
      </c>
      <c r="I707" s="381">
        <f>IF(AND('JULIO 2026'!D81&lt;&gt;"",'JULIO 2026'!Z81="POR RECOGER"),'JULIO 2026'!P81,"")</f>
        <v/>
      </c>
      <c r="J707" s="381">
        <f>IF(AND('JULIO 2026'!D81&lt;&gt;"",'JULIO 2026'!Z81="POR RECOGER"),'JULIO 2026'!Q81,"")</f>
        <v/>
      </c>
      <c r="K707" s="381">
        <f>IF(AND('JULIO 2026'!D81&lt;&gt;"",'JULIO 2026'!Z81="POR RECOGER"),'JULIO 2026'!Y81,"")</f>
        <v/>
      </c>
      <c r="L707" s="381">
        <f>IF(AND('JULIO 2026'!D81&lt;&gt;"",'JULIO 2026'!Z81="POR RECOGER"),'JULIO 2026'!I81,"")</f>
        <v/>
      </c>
      <c r="P707" s="194" t="n"/>
      <c r="Q707" s="194" t="n"/>
      <c r="R707" s="194" t="n"/>
      <c r="S707" s="194" t="n"/>
      <c r="T707" s="194" t="n"/>
      <c r="U707" s="194" t="n"/>
      <c r="V707" s="194" t="n"/>
      <c r="W707" s="194" t="n"/>
      <c r="X707" s="194" t="n"/>
      <c r="Y707" s="194" t="n"/>
      <c r="Z707" s="194" t="n"/>
    </row>
    <row r="708" ht="15" customHeight="1" s="195">
      <c r="A708" s="381">
        <f>IF(AND('JULIO 2026'!D82&lt;&gt;"",'JULIO 2026'!Z82="POR RECOGER"),"JUL","")</f>
        <v/>
      </c>
      <c r="B708" s="381">
        <f>IF(AND('JULIO 2026'!D82&lt;&gt;"",'JULIO 2026'!Z82="POR RECOGER"),IF('JULIO 2026'!Y82&lt;&gt;"",'JULIO 2026'!Y82,'JULIO 2026'!I82),"")</f>
        <v/>
      </c>
      <c r="C708" s="381">
        <f>IF(AND('JULIO 2026'!D82&lt;&gt;"",'JULIO 2026'!Z82="POR RECOGER"),'JULIO 2026'!D82,"")</f>
        <v/>
      </c>
      <c r="D708" s="381">
        <f>IF(AND('JULIO 2026'!D82&lt;&gt;"",'JULIO 2026'!Z82="POR RECOGER"),'JULIO 2026'!F82,"")</f>
        <v/>
      </c>
      <c r="E708" s="381">
        <f>IF(AND('JULIO 2026'!D82&lt;&gt;"",'JULIO 2026'!Z82="POR RECOGER"),TEXT('JULIO 2026'!G82,"DD/MM/YYYY"),"")</f>
        <v/>
      </c>
      <c r="F708" s="381">
        <f>IF(AND('JULIO 2026'!D82&lt;&gt;"",'JULIO 2026'!Z82="POR RECOGER"),'JULIO 2026'!K82,"")</f>
        <v/>
      </c>
      <c r="G708" s="382">
        <f>IF(AND('JULIO 2026'!D82&lt;&gt;"",'JULIO 2026'!Z82="POR RECOGER"),'JULIO 2026'!M82,"")</f>
        <v/>
      </c>
      <c r="H708" s="382">
        <f>IF(AND('JULIO 2026'!D82&lt;&gt;"",'JULIO 2026'!Z82="POR RECOGER"),'JULIO 2026'!N82,"")</f>
        <v/>
      </c>
      <c r="I708" s="381">
        <f>IF(AND('JULIO 2026'!D82&lt;&gt;"",'JULIO 2026'!Z82="POR RECOGER"),'JULIO 2026'!P82,"")</f>
        <v/>
      </c>
      <c r="J708" s="381">
        <f>IF(AND('JULIO 2026'!D82&lt;&gt;"",'JULIO 2026'!Z82="POR RECOGER"),'JULIO 2026'!Q82,"")</f>
        <v/>
      </c>
      <c r="K708" s="381">
        <f>IF(AND('JULIO 2026'!D82&lt;&gt;"",'JULIO 2026'!Z82="POR RECOGER"),'JULIO 2026'!Y82,"")</f>
        <v/>
      </c>
      <c r="L708" s="381">
        <f>IF(AND('JULIO 2026'!D82&lt;&gt;"",'JULIO 2026'!Z82="POR RECOGER"),'JULIO 2026'!I82,"")</f>
        <v/>
      </c>
      <c r="P708" s="194" t="n"/>
      <c r="Q708" s="194" t="n"/>
      <c r="R708" s="194" t="n"/>
      <c r="S708" s="194" t="n"/>
      <c r="T708" s="194" t="n"/>
      <c r="U708" s="194" t="n"/>
      <c r="V708" s="194" t="n"/>
      <c r="W708" s="194" t="n"/>
      <c r="X708" s="194" t="n"/>
      <c r="Y708" s="194" t="n"/>
      <c r="Z708" s="194" t="n"/>
    </row>
    <row r="709" ht="15" customHeight="1" s="195">
      <c r="A709" s="381">
        <f>IF(AND('JULIO 2026'!D83&lt;&gt;"",'JULIO 2026'!Z83="POR RECOGER"),"JUL","")</f>
        <v/>
      </c>
      <c r="B709" s="381">
        <f>IF(AND('JULIO 2026'!D83&lt;&gt;"",'JULIO 2026'!Z83="POR RECOGER"),IF('JULIO 2026'!Y83&lt;&gt;"",'JULIO 2026'!Y83,'JULIO 2026'!I83),"")</f>
        <v/>
      </c>
      <c r="C709" s="381">
        <f>IF(AND('JULIO 2026'!D83&lt;&gt;"",'JULIO 2026'!Z83="POR RECOGER"),'JULIO 2026'!D83,"")</f>
        <v/>
      </c>
      <c r="D709" s="381">
        <f>IF(AND('JULIO 2026'!D83&lt;&gt;"",'JULIO 2026'!Z83="POR RECOGER"),'JULIO 2026'!F83,"")</f>
        <v/>
      </c>
      <c r="E709" s="381">
        <f>IF(AND('JULIO 2026'!D83&lt;&gt;"",'JULIO 2026'!Z83="POR RECOGER"),TEXT('JULIO 2026'!G83,"DD/MM/YYYY"),"")</f>
        <v/>
      </c>
      <c r="F709" s="381">
        <f>IF(AND('JULIO 2026'!D83&lt;&gt;"",'JULIO 2026'!Z83="POR RECOGER"),'JULIO 2026'!K83,"")</f>
        <v/>
      </c>
      <c r="G709" s="382">
        <f>IF(AND('JULIO 2026'!D83&lt;&gt;"",'JULIO 2026'!Z83="POR RECOGER"),'JULIO 2026'!M83,"")</f>
        <v/>
      </c>
      <c r="H709" s="382">
        <f>IF(AND('JULIO 2026'!D83&lt;&gt;"",'JULIO 2026'!Z83="POR RECOGER"),'JULIO 2026'!N83,"")</f>
        <v/>
      </c>
      <c r="I709" s="381">
        <f>IF(AND('JULIO 2026'!D83&lt;&gt;"",'JULIO 2026'!Z83="POR RECOGER"),'JULIO 2026'!P83,"")</f>
        <v/>
      </c>
      <c r="J709" s="381">
        <f>IF(AND('JULIO 2026'!D83&lt;&gt;"",'JULIO 2026'!Z83="POR RECOGER"),'JULIO 2026'!Q83,"")</f>
        <v/>
      </c>
      <c r="K709" s="381">
        <f>IF(AND('JULIO 2026'!D83&lt;&gt;"",'JULIO 2026'!Z83="POR RECOGER"),'JULIO 2026'!Y83,"")</f>
        <v/>
      </c>
      <c r="L709" s="381">
        <f>IF(AND('JULIO 2026'!D83&lt;&gt;"",'JULIO 2026'!Z83="POR RECOGER"),'JULIO 2026'!I83,"")</f>
        <v/>
      </c>
      <c r="P709" s="194" t="n"/>
      <c r="Q709" s="194" t="n"/>
      <c r="R709" s="194" t="n"/>
      <c r="S709" s="194" t="n"/>
      <c r="T709" s="194" t="n"/>
      <c r="U709" s="194" t="n"/>
      <c r="V709" s="194" t="n"/>
      <c r="W709" s="194" t="n"/>
      <c r="X709" s="194" t="n"/>
      <c r="Y709" s="194" t="n"/>
      <c r="Z709" s="194" t="n"/>
    </row>
    <row r="710" ht="15" customHeight="1" s="195">
      <c r="A710" s="381">
        <f>IF(AND('JULIO 2026'!D84&lt;&gt;"",'JULIO 2026'!Z84="POR RECOGER"),"JUL","")</f>
        <v/>
      </c>
      <c r="B710" s="381">
        <f>IF(AND('JULIO 2026'!D84&lt;&gt;"",'JULIO 2026'!Z84="POR RECOGER"),IF('JULIO 2026'!Y84&lt;&gt;"",'JULIO 2026'!Y84,'JULIO 2026'!I84),"")</f>
        <v/>
      </c>
      <c r="C710" s="381">
        <f>IF(AND('JULIO 2026'!D84&lt;&gt;"",'JULIO 2026'!Z84="POR RECOGER"),'JULIO 2026'!D84,"")</f>
        <v/>
      </c>
      <c r="D710" s="381">
        <f>IF(AND('JULIO 2026'!D84&lt;&gt;"",'JULIO 2026'!Z84="POR RECOGER"),'JULIO 2026'!F84,"")</f>
        <v/>
      </c>
      <c r="E710" s="381">
        <f>IF(AND('JULIO 2026'!D84&lt;&gt;"",'JULIO 2026'!Z84="POR RECOGER"),TEXT('JULIO 2026'!G84,"DD/MM/YYYY"),"")</f>
        <v/>
      </c>
      <c r="F710" s="381">
        <f>IF(AND('JULIO 2026'!D84&lt;&gt;"",'JULIO 2026'!Z84="POR RECOGER"),'JULIO 2026'!K84,"")</f>
        <v/>
      </c>
      <c r="G710" s="382">
        <f>IF(AND('JULIO 2026'!D84&lt;&gt;"",'JULIO 2026'!Z84="POR RECOGER"),'JULIO 2026'!M84,"")</f>
        <v/>
      </c>
      <c r="H710" s="382">
        <f>IF(AND('JULIO 2026'!D84&lt;&gt;"",'JULIO 2026'!Z84="POR RECOGER"),'JULIO 2026'!N84,"")</f>
        <v/>
      </c>
      <c r="I710" s="381">
        <f>IF(AND('JULIO 2026'!D84&lt;&gt;"",'JULIO 2026'!Z84="POR RECOGER"),'JULIO 2026'!P84,"")</f>
        <v/>
      </c>
      <c r="J710" s="381">
        <f>IF(AND('JULIO 2026'!D84&lt;&gt;"",'JULIO 2026'!Z84="POR RECOGER"),'JULIO 2026'!Q84,"")</f>
        <v/>
      </c>
      <c r="K710" s="381">
        <f>IF(AND('JULIO 2026'!D84&lt;&gt;"",'JULIO 2026'!Z84="POR RECOGER"),'JULIO 2026'!Y84,"")</f>
        <v/>
      </c>
      <c r="L710" s="381">
        <f>IF(AND('JULIO 2026'!D84&lt;&gt;"",'JULIO 2026'!Z84="POR RECOGER"),'JULIO 2026'!I84,"")</f>
        <v/>
      </c>
      <c r="P710" s="194" t="n"/>
      <c r="Q710" s="194" t="n"/>
      <c r="R710" s="194" t="n"/>
      <c r="S710" s="194" t="n"/>
      <c r="T710" s="194" t="n"/>
      <c r="U710" s="194" t="n"/>
      <c r="V710" s="194" t="n"/>
      <c r="W710" s="194" t="n"/>
      <c r="X710" s="194" t="n"/>
      <c r="Y710" s="194" t="n"/>
      <c r="Z710" s="194" t="n"/>
    </row>
    <row r="711" ht="15" customHeight="1" s="195">
      <c r="A711" s="381">
        <f>IF(AND('JULIO 2026'!D85&lt;&gt;"",'JULIO 2026'!Z85="POR RECOGER"),"JUL","")</f>
        <v/>
      </c>
      <c r="B711" s="381">
        <f>IF(AND('JULIO 2026'!D85&lt;&gt;"",'JULIO 2026'!Z85="POR RECOGER"),IF('JULIO 2026'!Y85&lt;&gt;"",'JULIO 2026'!Y85,'JULIO 2026'!I85),"")</f>
        <v/>
      </c>
      <c r="C711" s="381">
        <f>IF(AND('JULIO 2026'!D85&lt;&gt;"",'JULIO 2026'!Z85="POR RECOGER"),'JULIO 2026'!D85,"")</f>
        <v/>
      </c>
      <c r="D711" s="381">
        <f>IF(AND('JULIO 2026'!D85&lt;&gt;"",'JULIO 2026'!Z85="POR RECOGER"),'JULIO 2026'!F85,"")</f>
        <v/>
      </c>
      <c r="E711" s="381">
        <f>IF(AND('JULIO 2026'!D85&lt;&gt;"",'JULIO 2026'!Z85="POR RECOGER"),TEXT('JULIO 2026'!G85,"DD/MM/YYYY"),"")</f>
        <v/>
      </c>
      <c r="F711" s="381">
        <f>IF(AND('JULIO 2026'!D85&lt;&gt;"",'JULIO 2026'!Z85="POR RECOGER"),'JULIO 2026'!K85,"")</f>
        <v/>
      </c>
      <c r="G711" s="382">
        <f>IF(AND('JULIO 2026'!D85&lt;&gt;"",'JULIO 2026'!Z85="POR RECOGER"),'JULIO 2026'!M85,"")</f>
        <v/>
      </c>
      <c r="H711" s="382">
        <f>IF(AND('JULIO 2026'!D85&lt;&gt;"",'JULIO 2026'!Z85="POR RECOGER"),'JULIO 2026'!N85,"")</f>
        <v/>
      </c>
      <c r="I711" s="381">
        <f>IF(AND('JULIO 2026'!D85&lt;&gt;"",'JULIO 2026'!Z85="POR RECOGER"),'JULIO 2026'!P85,"")</f>
        <v/>
      </c>
      <c r="J711" s="381">
        <f>IF(AND('JULIO 2026'!D85&lt;&gt;"",'JULIO 2026'!Z85="POR RECOGER"),'JULIO 2026'!Q85,"")</f>
        <v/>
      </c>
      <c r="K711" s="381">
        <f>IF(AND('JULIO 2026'!D85&lt;&gt;"",'JULIO 2026'!Z85="POR RECOGER"),'JULIO 2026'!Y85,"")</f>
        <v/>
      </c>
      <c r="L711" s="381">
        <f>IF(AND('JULIO 2026'!D85&lt;&gt;"",'JULIO 2026'!Z85="POR RECOGER"),'JULIO 2026'!I85,"")</f>
        <v/>
      </c>
      <c r="P711" s="194" t="n"/>
      <c r="Q711" s="194" t="n"/>
      <c r="R711" s="194" t="n"/>
      <c r="S711" s="194" t="n"/>
      <c r="T711" s="194" t="n"/>
      <c r="U711" s="194" t="n"/>
      <c r="V711" s="194" t="n"/>
      <c r="W711" s="194" t="n"/>
      <c r="X711" s="194" t="n"/>
      <c r="Y711" s="194" t="n"/>
      <c r="Z711" s="194" t="n"/>
    </row>
    <row r="712" ht="15" customHeight="1" s="195">
      <c r="A712" s="381">
        <f>IF(AND('JULIO 2026'!D86&lt;&gt;"",'JULIO 2026'!Z86="POR RECOGER"),"JUL","")</f>
        <v/>
      </c>
      <c r="B712" s="381">
        <f>IF(AND('JULIO 2026'!D86&lt;&gt;"",'JULIO 2026'!Z86="POR RECOGER"),IF('JULIO 2026'!Y86&lt;&gt;"",'JULIO 2026'!Y86,'JULIO 2026'!I86),"")</f>
        <v/>
      </c>
      <c r="C712" s="381">
        <f>IF(AND('JULIO 2026'!D86&lt;&gt;"",'JULIO 2026'!Z86="POR RECOGER"),'JULIO 2026'!D86,"")</f>
        <v/>
      </c>
      <c r="D712" s="381">
        <f>IF(AND('JULIO 2026'!D86&lt;&gt;"",'JULIO 2026'!Z86="POR RECOGER"),'JULIO 2026'!F86,"")</f>
        <v/>
      </c>
      <c r="E712" s="381">
        <f>IF(AND('JULIO 2026'!D86&lt;&gt;"",'JULIO 2026'!Z86="POR RECOGER"),TEXT('JULIO 2026'!G86,"DD/MM/YYYY"),"")</f>
        <v/>
      </c>
      <c r="F712" s="381">
        <f>IF(AND('JULIO 2026'!D86&lt;&gt;"",'JULIO 2026'!Z86="POR RECOGER"),'JULIO 2026'!K86,"")</f>
        <v/>
      </c>
      <c r="G712" s="382">
        <f>IF(AND('JULIO 2026'!D86&lt;&gt;"",'JULIO 2026'!Z86="POR RECOGER"),'JULIO 2026'!M86,"")</f>
        <v/>
      </c>
      <c r="H712" s="382">
        <f>IF(AND('JULIO 2026'!D86&lt;&gt;"",'JULIO 2026'!Z86="POR RECOGER"),'JULIO 2026'!N86,"")</f>
        <v/>
      </c>
      <c r="I712" s="381">
        <f>IF(AND('JULIO 2026'!D86&lt;&gt;"",'JULIO 2026'!Z86="POR RECOGER"),'JULIO 2026'!P86,"")</f>
        <v/>
      </c>
      <c r="J712" s="381">
        <f>IF(AND('JULIO 2026'!D86&lt;&gt;"",'JULIO 2026'!Z86="POR RECOGER"),'JULIO 2026'!Q86,"")</f>
        <v/>
      </c>
      <c r="K712" s="381">
        <f>IF(AND('JULIO 2026'!D86&lt;&gt;"",'JULIO 2026'!Z86="POR RECOGER"),'JULIO 2026'!Y86,"")</f>
        <v/>
      </c>
      <c r="L712" s="381">
        <f>IF(AND('JULIO 2026'!D86&lt;&gt;"",'JULIO 2026'!Z86="POR RECOGER"),'JULIO 2026'!I86,"")</f>
        <v/>
      </c>
      <c r="P712" s="194" t="n"/>
      <c r="Q712" s="194" t="n"/>
      <c r="R712" s="194" t="n"/>
      <c r="S712" s="194" t="n"/>
      <c r="T712" s="194" t="n"/>
      <c r="U712" s="194" t="n"/>
      <c r="V712" s="194" t="n"/>
      <c r="W712" s="194" t="n"/>
      <c r="X712" s="194" t="n"/>
      <c r="Y712" s="194" t="n"/>
      <c r="Z712" s="194" t="n"/>
    </row>
    <row r="713" ht="15" customHeight="1" s="195">
      <c r="A713" s="381">
        <f>IF(AND('JULIO 2026'!D87&lt;&gt;"",'JULIO 2026'!Z87="POR RECOGER"),"JUL","")</f>
        <v/>
      </c>
      <c r="B713" s="381">
        <f>IF(AND('JULIO 2026'!D87&lt;&gt;"",'JULIO 2026'!Z87="POR RECOGER"),IF('JULIO 2026'!Y87&lt;&gt;"",'JULIO 2026'!Y87,'JULIO 2026'!I87),"")</f>
        <v/>
      </c>
      <c r="C713" s="381">
        <f>IF(AND('JULIO 2026'!D87&lt;&gt;"",'JULIO 2026'!Z87="POR RECOGER"),'JULIO 2026'!D87,"")</f>
        <v/>
      </c>
      <c r="D713" s="381">
        <f>IF(AND('JULIO 2026'!D87&lt;&gt;"",'JULIO 2026'!Z87="POR RECOGER"),'JULIO 2026'!F87,"")</f>
        <v/>
      </c>
      <c r="E713" s="381">
        <f>IF(AND('JULIO 2026'!D87&lt;&gt;"",'JULIO 2026'!Z87="POR RECOGER"),TEXT('JULIO 2026'!G87,"DD/MM/YYYY"),"")</f>
        <v/>
      </c>
      <c r="F713" s="381">
        <f>IF(AND('JULIO 2026'!D87&lt;&gt;"",'JULIO 2026'!Z87="POR RECOGER"),'JULIO 2026'!K87,"")</f>
        <v/>
      </c>
      <c r="G713" s="382">
        <f>IF(AND('JULIO 2026'!D87&lt;&gt;"",'JULIO 2026'!Z87="POR RECOGER"),'JULIO 2026'!M87,"")</f>
        <v/>
      </c>
      <c r="H713" s="382">
        <f>IF(AND('JULIO 2026'!D87&lt;&gt;"",'JULIO 2026'!Z87="POR RECOGER"),'JULIO 2026'!N87,"")</f>
        <v/>
      </c>
      <c r="I713" s="381">
        <f>IF(AND('JULIO 2026'!D87&lt;&gt;"",'JULIO 2026'!Z87="POR RECOGER"),'JULIO 2026'!P87,"")</f>
        <v/>
      </c>
      <c r="J713" s="381">
        <f>IF(AND('JULIO 2026'!D87&lt;&gt;"",'JULIO 2026'!Z87="POR RECOGER"),'JULIO 2026'!Q87,"")</f>
        <v/>
      </c>
      <c r="K713" s="381">
        <f>IF(AND('JULIO 2026'!D87&lt;&gt;"",'JULIO 2026'!Z87="POR RECOGER"),'JULIO 2026'!Y87,"")</f>
        <v/>
      </c>
      <c r="L713" s="381">
        <f>IF(AND('JULIO 2026'!D87&lt;&gt;"",'JULIO 2026'!Z87="POR RECOGER"),'JULIO 2026'!I87,"")</f>
        <v/>
      </c>
      <c r="P713" s="194" t="n"/>
      <c r="Q713" s="194" t="n"/>
      <c r="R713" s="194" t="n"/>
      <c r="S713" s="194" t="n"/>
      <c r="T713" s="194" t="n"/>
      <c r="U713" s="194" t="n"/>
      <c r="V713" s="194" t="n"/>
      <c r="W713" s="194" t="n"/>
      <c r="X713" s="194" t="n"/>
      <c r="Y713" s="194" t="n"/>
      <c r="Z713" s="194" t="n"/>
    </row>
    <row r="714" ht="15" customHeight="1" s="195">
      <c r="A714" s="381">
        <f>IF(AND('JULIO 2026'!D88&lt;&gt;"",'JULIO 2026'!Z88="POR RECOGER"),"JUL","")</f>
        <v/>
      </c>
      <c r="B714" s="381">
        <f>IF(AND('JULIO 2026'!D88&lt;&gt;"",'JULIO 2026'!Z88="POR RECOGER"),IF('JULIO 2026'!Y88&lt;&gt;"",'JULIO 2026'!Y88,'JULIO 2026'!I88),"")</f>
        <v/>
      </c>
      <c r="C714" s="381">
        <f>IF(AND('JULIO 2026'!D88&lt;&gt;"",'JULIO 2026'!Z88="POR RECOGER"),'JULIO 2026'!D88,"")</f>
        <v/>
      </c>
      <c r="D714" s="381">
        <f>IF(AND('JULIO 2026'!D88&lt;&gt;"",'JULIO 2026'!Z88="POR RECOGER"),'JULIO 2026'!F88,"")</f>
        <v/>
      </c>
      <c r="E714" s="381">
        <f>IF(AND('JULIO 2026'!D88&lt;&gt;"",'JULIO 2026'!Z88="POR RECOGER"),TEXT('JULIO 2026'!G88,"DD/MM/YYYY"),"")</f>
        <v/>
      </c>
      <c r="F714" s="381">
        <f>IF(AND('JULIO 2026'!D88&lt;&gt;"",'JULIO 2026'!Z88="POR RECOGER"),'JULIO 2026'!K88,"")</f>
        <v/>
      </c>
      <c r="G714" s="382">
        <f>IF(AND('JULIO 2026'!D88&lt;&gt;"",'JULIO 2026'!Z88="POR RECOGER"),'JULIO 2026'!M88,"")</f>
        <v/>
      </c>
      <c r="H714" s="382">
        <f>IF(AND('JULIO 2026'!D88&lt;&gt;"",'JULIO 2026'!Z88="POR RECOGER"),'JULIO 2026'!N88,"")</f>
        <v/>
      </c>
      <c r="I714" s="381">
        <f>IF(AND('JULIO 2026'!D88&lt;&gt;"",'JULIO 2026'!Z88="POR RECOGER"),'JULIO 2026'!P88,"")</f>
        <v/>
      </c>
      <c r="J714" s="381">
        <f>IF(AND('JULIO 2026'!D88&lt;&gt;"",'JULIO 2026'!Z88="POR RECOGER"),'JULIO 2026'!Q88,"")</f>
        <v/>
      </c>
      <c r="K714" s="381">
        <f>IF(AND('JULIO 2026'!D88&lt;&gt;"",'JULIO 2026'!Z88="POR RECOGER"),'JULIO 2026'!Y88,"")</f>
        <v/>
      </c>
      <c r="L714" s="381">
        <f>IF(AND('JULIO 2026'!D88&lt;&gt;"",'JULIO 2026'!Z88="POR RECOGER"),'JULIO 2026'!I88,"")</f>
        <v/>
      </c>
      <c r="P714" s="194" t="n"/>
      <c r="Q714" s="194" t="n"/>
      <c r="R714" s="194" t="n"/>
      <c r="S714" s="194" t="n"/>
      <c r="T714" s="194" t="n"/>
      <c r="U714" s="194" t="n"/>
      <c r="V714" s="194" t="n"/>
      <c r="W714" s="194" t="n"/>
      <c r="X714" s="194" t="n"/>
      <c r="Y714" s="194" t="n"/>
      <c r="Z714" s="194" t="n"/>
    </row>
    <row r="715" ht="15" customHeight="1" s="195">
      <c r="A715" s="381">
        <f>IF(AND('JULIO 2026'!D89&lt;&gt;"",'JULIO 2026'!Z89="POR RECOGER"),"JUL","")</f>
        <v/>
      </c>
      <c r="B715" s="381">
        <f>IF(AND('JULIO 2026'!D89&lt;&gt;"",'JULIO 2026'!Z89="POR RECOGER"),IF('JULIO 2026'!Y89&lt;&gt;"",'JULIO 2026'!Y89,'JULIO 2026'!I89),"")</f>
        <v/>
      </c>
      <c r="C715" s="381">
        <f>IF(AND('JULIO 2026'!D89&lt;&gt;"",'JULIO 2026'!Z89="POR RECOGER"),'JULIO 2026'!D89,"")</f>
        <v/>
      </c>
      <c r="D715" s="381">
        <f>IF(AND('JULIO 2026'!D89&lt;&gt;"",'JULIO 2026'!Z89="POR RECOGER"),'JULIO 2026'!F89,"")</f>
        <v/>
      </c>
      <c r="E715" s="381">
        <f>IF(AND('JULIO 2026'!D89&lt;&gt;"",'JULIO 2026'!Z89="POR RECOGER"),TEXT('JULIO 2026'!G89,"DD/MM/YYYY"),"")</f>
        <v/>
      </c>
      <c r="F715" s="381">
        <f>IF(AND('JULIO 2026'!D89&lt;&gt;"",'JULIO 2026'!Z89="POR RECOGER"),'JULIO 2026'!K89,"")</f>
        <v/>
      </c>
      <c r="G715" s="382">
        <f>IF(AND('JULIO 2026'!D89&lt;&gt;"",'JULIO 2026'!Z89="POR RECOGER"),'JULIO 2026'!M89,"")</f>
        <v/>
      </c>
      <c r="H715" s="382">
        <f>IF(AND('JULIO 2026'!D89&lt;&gt;"",'JULIO 2026'!Z89="POR RECOGER"),'JULIO 2026'!N89,"")</f>
        <v/>
      </c>
      <c r="I715" s="381">
        <f>IF(AND('JULIO 2026'!D89&lt;&gt;"",'JULIO 2026'!Z89="POR RECOGER"),'JULIO 2026'!P89,"")</f>
        <v/>
      </c>
      <c r="J715" s="381">
        <f>IF(AND('JULIO 2026'!D89&lt;&gt;"",'JULIO 2026'!Z89="POR RECOGER"),'JULIO 2026'!Q89,"")</f>
        <v/>
      </c>
      <c r="K715" s="381">
        <f>IF(AND('JULIO 2026'!D89&lt;&gt;"",'JULIO 2026'!Z89="POR RECOGER"),'JULIO 2026'!Y89,"")</f>
        <v/>
      </c>
      <c r="L715" s="381">
        <f>IF(AND('JULIO 2026'!D89&lt;&gt;"",'JULIO 2026'!Z89="POR RECOGER"),'JULIO 2026'!I89,"")</f>
        <v/>
      </c>
      <c r="P715" s="194" t="n"/>
      <c r="Q715" s="194" t="n"/>
      <c r="R715" s="194" t="n"/>
      <c r="S715" s="194" t="n"/>
      <c r="T715" s="194" t="n"/>
      <c r="U715" s="194" t="n"/>
      <c r="V715" s="194" t="n"/>
      <c r="W715" s="194" t="n"/>
      <c r="X715" s="194" t="n"/>
      <c r="Y715" s="194" t="n"/>
      <c r="Z715" s="194" t="n"/>
    </row>
    <row r="716" ht="15" customHeight="1" s="195">
      <c r="A716" s="381">
        <f>IF(AND('JULIO 2026'!D90&lt;&gt;"",'JULIO 2026'!Z90="POR RECOGER"),"JUL","")</f>
        <v/>
      </c>
      <c r="B716" s="381">
        <f>IF(AND('JULIO 2026'!D90&lt;&gt;"",'JULIO 2026'!Z90="POR RECOGER"),IF('JULIO 2026'!Y90&lt;&gt;"",'JULIO 2026'!Y90,'JULIO 2026'!I90),"")</f>
        <v/>
      </c>
      <c r="C716" s="381">
        <f>IF(AND('JULIO 2026'!D90&lt;&gt;"",'JULIO 2026'!Z90="POR RECOGER"),'JULIO 2026'!D90,"")</f>
        <v/>
      </c>
      <c r="D716" s="381">
        <f>IF(AND('JULIO 2026'!D90&lt;&gt;"",'JULIO 2026'!Z90="POR RECOGER"),'JULIO 2026'!F90,"")</f>
        <v/>
      </c>
      <c r="E716" s="381">
        <f>IF(AND('JULIO 2026'!D90&lt;&gt;"",'JULIO 2026'!Z90="POR RECOGER"),TEXT('JULIO 2026'!G90,"DD/MM/YYYY"),"")</f>
        <v/>
      </c>
      <c r="F716" s="381">
        <f>IF(AND('JULIO 2026'!D90&lt;&gt;"",'JULIO 2026'!Z90="POR RECOGER"),'JULIO 2026'!K90,"")</f>
        <v/>
      </c>
      <c r="G716" s="382">
        <f>IF(AND('JULIO 2026'!D90&lt;&gt;"",'JULIO 2026'!Z90="POR RECOGER"),'JULIO 2026'!M90,"")</f>
        <v/>
      </c>
      <c r="H716" s="382">
        <f>IF(AND('JULIO 2026'!D90&lt;&gt;"",'JULIO 2026'!Z90="POR RECOGER"),'JULIO 2026'!N90,"")</f>
        <v/>
      </c>
      <c r="I716" s="381">
        <f>IF(AND('JULIO 2026'!D90&lt;&gt;"",'JULIO 2026'!Z90="POR RECOGER"),'JULIO 2026'!P90,"")</f>
        <v/>
      </c>
      <c r="J716" s="381">
        <f>IF(AND('JULIO 2026'!D90&lt;&gt;"",'JULIO 2026'!Z90="POR RECOGER"),'JULIO 2026'!Q90,"")</f>
        <v/>
      </c>
      <c r="K716" s="381">
        <f>IF(AND('JULIO 2026'!D90&lt;&gt;"",'JULIO 2026'!Z90="POR RECOGER"),'JULIO 2026'!Y90,"")</f>
        <v/>
      </c>
      <c r="L716" s="381">
        <f>IF(AND('JULIO 2026'!D90&lt;&gt;"",'JULIO 2026'!Z90="POR RECOGER"),'JULIO 2026'!I90,"")</f>
        <v/>
      </c>
      <c r="P716" s="194" t="n"/>
      <c r="Q716" s="194" t="n"/>
      <c r="R716" s="194" t="n"/>
      <c r="S716" s="194" t="n"/>
      <c r="T716" s="194" t="n"/>
      <c r="U716" s="194" t="n"/>
      <c r="V716" s="194" t="n"/>
      <c r="W716" s="194" t="n"/>
      <c r="X716" s="194" t="n"/>
      <c r="Y716" s="194" t="n"/>
      <c r="Z716" s="194" t="n"/>
    </row>
    <row r="717" ht="15" customHeight="1" s="195">
      <c r="A717" s="381">
        <f>IF(AND('JULIO 2026'!D91&lt;&gt;"",'JULIO 2026'!Z91="POR RECOGER"),"JUL","")</f>
        <v/>
      </c>
      <c r="B717" s="381">
        <f>IF(AND('JULIO 2026'!D91&lt;&gt;"",'JULIO 2026'!Z91="POR RECOGER"),IF('JULIO 2026'!Y91&lt;&gt;"",'JULIO 2026'!Y91,'JULIO 2026'!I91),"")</f>
        <v/>
      </c>
      <c r="C717" s="381">
        <f>IF(AND('JULIO 2026'!D91&lt;&gt;"",'JULIO 2026'!Z91="POR RECOGER"),'JULIO 2026'!D91,"")</f>
        <v/>
      </c>
      <c r="D717" s="381">
        <f>IF(AND('JULIO 2026'!D91&lt;&gt;"",'JULIO 2026'!Z91="POR RECOGER"),'JULIO 2026'!F91,"")</f>
        <v/>
      </c>
      <c r="E717" s="381">
        <f>IF(AND('JULIO 2026'!D91&lt;&gt;"",'JULIO 2026'!Z91="POR RECOGER"),TEXT('JULIO 2026'!G91,"DD/MM/YYYY"),"")</f>
        <v/>
      </c>
      <c r="F717" s="381">
        <f>IF(AND('JULIO 2026'!D91&lt;&gt;"",'JULIO 2026'!Z91="POR RECOGER"),'JULIO 2026'!K91,"")</f>
        <v/>
      </c>
      <c r="G717" s="382">
        <f>IF(AND('JULIO 2026'!D91&lt;&gt;"",'JULIO 2026'!Z91="POR RECOGER"),'JULIO 2026'!M91,"")</f>
        <v/>
      </c>
      <c r="H717" s="382">
        <f>IF(AND('JULIO 2026'!D91&lt;&gt;"",'JULIO 2026'!Z91="POR RECOGER"),'JULIO 2026'!N91,"")</f>
        <v/>
      </c>
      <c r="I717" s="381">
        <f>IF(AND('JULIO 2026'!D91&lt;&gt;"",'JULIO 2026'!Z91="POR RECOGER"),'JULIO 2026'!P91,"")</f>
        <v/>
      </c>
      <c r="J717" s="381">
        <f>IF(AND('JULIO 2026'!D91&lt;&gt;"",'JULIO 2026'!Z91="POR RECOGER"),'JULIO 2026'!Q91,"")</f>
        <v/>
      </c>
      <c r="K717" s="381">
        <f>IF(AND('JULIO 2026'!D91&lt;&gt;"",'JULIO 2026'!Z91="POR RECOGER"),'JULIO 2026'!Y91,"")</f>
        <v/>
      </c>
      <c r="L717" s="381">
        <f>IF(AND('JULIO 2026'!D91&lt;&gt;"",'JULIO 2026'!Z91="POR RECOGER"),'JULIO 2026'!I91,"")</f>
        <v/>
      </c>
      <c r="P717" s="194" t="n"/>
      <c r="Q717" s="194" t="n"/>
      <c r="R717" s="194" t="n"/>
      <c r="S717" s="194" t="n"/>
      <c r="T717" s="194" t="n"/>
      <c r="U717" s="194" t="n"/>
      <c r="V717" s="194" t="n"/>
      <c r="W717" s="194" t="n"/>
      <c r="X717" s="194" t="n"/>
      <c r="Y717" s="194" t="n"/>
      <c r="Z717" s="194" t="n"/>
    </row>
    <row r="718" ht="15" customHeight="1" s="195">
      <c r="A718" s="381">
        <f>IF(AND('JULIO 2026'!D92&lt;&gt;"",'JULIO 2026'!Z92="POR RECOGER"),"JUL","")</f>
        <v/>
      </c>
      <c r="B718" s="381">
        <f>IF(AND('JULIO 2026'!D92&lt;&gt;"",'JULIO 2026'!Z92="POR RECOGER"),IF('JULIO 2026'!Y92&lt;&gt;"",'JULIO 2026'!Y92,'JULIO 2026'!I92),"")</f>
        <v/>
      </c>
      <c r="C718" s="381">
        <f>IF(AND('JULIO 2026'!D92&lt;&gt;"",'JULIO 2026'!Z92="POR RECOGER"),'JULIO 2026'!D92,"")</f>
        <v/>
      </c>
      <c r="D718" s="381">
        <f>IF(AND('JULIO 2026'!D92&lt;&gt;"",'JULIO 2026'!Z92="POR RECOGER"),'JULIO 2026'!F92,"")</f>
        <v/>
      </c>
      <c r="E718" s="381">
        <f>IF(AND('JULIO 2026'!D92&lt;&gt;"",'JULIO 2026'!Z92="POR RECOGER"),TEXT('JULIO 2026'!G92,"DD/MM/YYYY"),"")</f>
        <v/>
      </c>
      <c r="F718" s="381">
        <f>IF(AND('JULIO 2026'!D92&lt;&gt;"",'JULIO 2026'!Z92="POR RECOGER"),'JULIO 2026'!K92,"")</f>
        <v/>
      </c>
      <c r="G718" s="382">
        <f>IF(AND('JULIO 2026'!D92&lt;&gt;"",'JULIO 2026'!Z92="POR RECOGER"),'JULIO 2026'!M92,"")</f>
        <v/>
      </c>
      <c r="H718" s="382">
        <f>IF(AND('JULIO 2026'!D92&lt;&gt;"",'JULIO 2026'!Z92="POR RECOGER"),'JULIO 2026'!N92,"")</f>
        <v/>
      </c>
      <c r="I718" s="381">
        <f>IF(AND('JULIO 2026'!D92&lt;&gt;"",'JULIO 2026'!Z92="POR RECOGER"),'JULIO 2026'!P92,"")</f>
        <v/>
      </c>
      <c r="J718" s="381">
        <f>IF(AND('JULIO 2026'!D92&lt;&gt;"",'JULIO 2026'!Z92="POR RECOGER"),'JULIO 2026'!Q92,"")</f>
        <v/>
      </c>
      <c r="K718" s="381">
        <f>IF(AND('JULIO 2026'!D92&lt;&gt;"",'JULIO 2026'!Z92="POR RECOGER"),'JULIO 2026'!Y92,"")</f>
        <v/>
      </c>
      <c r="L718" s="381">
        <f>IF(AND('JULIO 2026'!D92&lt;&gt;"",'JULIO 2026'!Z92="POR RECOGER"),'JULIO 2026'!I92,"")</f>
        <v/>
      </c>
      <c r="P718" s="194" t="n"/>
      <c r="Q718" s="194" t="n"/>
      <c r="R718" s="194" t="n"/>
      <c r="S718" s="194" t="n"/>
      <c r="T718" s="194" t="n"/>
      <c r="U718" s="194" t="n"/>
      <c r="V718" s="194" t="n"/>
      <c r="W718" s="194" t="n"/>
      <c r="X718" s="194" t="n"/>
      <c r="Y718" s="194" t="n"/>
      <c r="Z718" s="194" t="n"/>
    </row>
    <row r="719" ht="15" customHeight="1" s="195">
      <c r="A719" s="381">
        <f>IF(AND('JULIO 2026'!D93&lt;&gt;"",'JULIO 2026'!Z93="POR RECOGER"),"JUL","")</f>
        <v/>
      </c>
      <c r="B719" s="381">
        <f>IF(AND('JULIO 2026'!D93&lt;&gt;"",'JULIO 2026'!Z93="POR RECOGER"),IF('JULIO 2026'!Y93&lt;&gt;"",'JULIO 2026'!Y93,'JULIO 2026'!I93),"")</f>
        <v/>
      </c>
      <c r="C719" s="381">
        <f>IF(AND('JULIO 2026'!D93&lt;&gt;"",'JULIO 2026'!Z93="POR RECOGER"),'JULIO 2026'!D93,"")</f>
        <v/>
      </c>
      <c r="D719" s="381">
        <f>IF(AND('JULIO 2026'!D93&lt;&gt;"",'JULIO 2026'!Z93="POR RECOGER"),'JULIO 2026'!F93,"")</f>
        <v/>
      </c>
      <c r="E719" s="381">
        <f>IF(AND('JULIO 2026'!D93&lt;&gt;"",'JULIO 2026'!Z93="POR RECOGER"),TEXT('JULIO 2026'!G93,"DD/MM/YYYY"),"")</f>
        <v/>
      </c>
      <c r="F719" s="381">
        <f>IF(AND('JULIO 2026'!D93&lt;&gt;"",'JULIO 2026'!Z93="POR RECOGER"),'JULIO 2026'!K93,"")</f>
        <v/>
      </c>
      <c r="G719" s="382">
        <f>IF(AND('JULIO 2026'!D93&lt;&gt;"",'JULIO 2026'!Z93="POR RECOGER"),'JULIO 2026'!M93,"")</f>
        <v/>
      </c>
      <c r="H719" s="382">
        <f>IF(AND('JULIO 2026'!D93&lt;&gt;"",'JULIO 2026'!Z93="POR RECOGER"),'JULIO 2026'!N93,"")</f>
        <v/>
      </c>
      <c r="I719" s="381">
        <f>IF(AND('JULIO 2026'!D93&lt;&gt;"",'JULIO 2026'!Z93="POR RECOGER"),'JULIO 2026'!P93,"")</f>
        <v/>
      </c>
      <c r="J719" s="381">
        <f>IF(AND('JULIO 2026'!D93&lt;&gt;"",'JULIO 2026'!Z93="POR RECOGER"),'JULIO 2026'!Q93,"")</f>
        <v/>
      </c>
      <c r="K719" s="381">
        <f>IF(AND('JULIO 2026'!D93&lt;&gt;"",'JULIO 2026'!Z93="POR RECOGER"),'JULIO 2026'!Y93,"")</f>
        <v/>
      </c>
      <c r="L719" s="381">
        <f>IF(AND('JULIO 2026'!D93&lt;&gt;"",'JULIO 2026'!Z93="POR RECOGER"),'JULIO 2026'!I93,"")</f>
        <v/>
      </c>
      <c r="P719" s="194" t="n"/>
      <c r="Q719" s="194" t="n"/>
      <c r="R719" s="194" t="n"/>
      <c r="S719" s="194" t="n"/>
      <c r="T719" s="194" t="n"/>
      <c r="U719" s="194" t="n"/>
      <c r="V719" s="194" t="n"/>
      <c r="W719" s="194" t="n"/>
      <c r="X719" s="194" t="n"/>
      <c r="Y719" s="194" t="n"/>
      <c r="Z719" s="194" t="n"/>
    </row>
    <row r="720" ht="15" customHeight="1" s="195">
      <c r="A720" s="381">
        <f>IF(AND('JULIO 2026'!D94&lt;&gt;"",'JULIO 2026'!Z94="POR RECOGER"),"JUL","")</f>
        <v/>
      </c>
      <c r="B720" s="381">
        <f>IF(AND('JULIO 2026'!D94&lt;&gt;"",'JULIO 2026'!Z94="POR RECOGER"),IF('JULIO 2026'!Y94&lt;&gt;"",'JULIO 2026'!Y94,'JULIO 2026'!I94),"")</f>
        <v/>
      </c>
      <c r="C720" s="381">
        <f>IF(AND('JULIO 2026'!D94&lt;&gt;"",'JULIO 2026'!Z94="POR RECOGER"),'JULIO 2026'!D94,"")</f>
        <v/>
      </c>
      <c r="D720" s="381">
        <f>IF(AND('JULIO 2026'!D94&lt;&gt;"",'JULIO 2026'!Z94="POR RECOGER"),'JULIO 2026'!F94,"")</f>
        <v/>
      </c>
      <c r="E720" s="381">
        <f>IF(AND('JULIO 2026'!D94&lt;&gt;"",'JULIO 2026'!Z94="POR RECOGER"),TEXT('JULIO 2026'!G94,"DD/MM/YYYY"),"")</f>
        <v/>
      </c>
      <c r="F720" s="381">
        <f>IF(AND('JULIO 2026'!D94&lt;&gt;"",'JULIO 2026'!Z94="POR RECOGER"),'JULIO 2026'!K94,"")</f>
        <v/>
      </c>
      <c r="G720" s="382">
        <f>IF(AND('JULIO 2026'!D94&lt;&gt;"",'JULIO 2026'!Z94="POR RECOGER"),'JULIO 2026'!M94,"")</f>
        <v/>
      </c>
      <c r="H720" s="382">
        <f>IF(AND('JULIO 2026'!D94&lt;&gt;"",'JULIO 2026'!Z94="POR RECOGER"),'JULIO 2026'!N94,"")</f>
        <v/>
      </c>
      <c r="I720" s="381">
        <f>IF(AND('JULIO 2026'!D94&lt;&gt;"",'JULIO 2026'!Z94="POR RECOGER"),'JULIO 2026'!P94,"")</f>
        <v/>
      </c>
      <c r="J720" s="381">
        <f>IF(AND('JULIO 2026'!D94&lt;&gt;"",'JULIO 2026'!Z94="POR RECOGER"),'JULIO 2026'!Q94,"")</f>
        <v/>
      </c>
      <c r="K720" s="381">
        <f>IF(AND('JULIO 2026'!D94&lt;&gt;"",'JULIO 2026'!Z94="POR RECOGER"),'JULIO 2026'!Y94,"")</f>
        <v/>
      </c>
      <c r="L720" s="381">
        <f>IF(AND('JULIO 2026'!D94&lt;&gt;"",'JULIO 2026'!Z94="POR RECOGER"),'JULIO 2026'!I94,"")</f>
        <v/>
      </c>
      <c r="P720" s="194" t="n"/>
      <c r="Q720" s="194" t="n"/>
      <c r="R720" s="194" t="n"/>
      <c r="S720" s="194" t="n"/>
      <c r="T720" s="194" t="n"/>
      <c r="U720" s="194" t="n"/>
      <c r="V720" s="194" t="n"/>
      <c r="W720" s="194" t="n"/>
      <c r="X720" s="194" t="n"/>
      <c r="Y720" s="194" t="n"/>
      <c r="Z720" s="194" t="n"/>
    </row>
    <row r="721" ht="15" customHeight="1" s="195">
      <c r="A721" s="381">
        <f>IF(AND('JULIO 2026'!D95&lt;&gt;"",'JULIO 2026'!Z95="POR RECOGER"),"JUL","")</f>
        <v/>
      </c>
      <c r="B721" s="381">
        <f>IF(AND('JULIO 2026'!D95&lt;&gt;"",'JULIO 2026'!Z95="POR RECOGER"),IF('JULIO 2026'!Y95&lt;&gt;"",'JULIO 2026'!Y95,'JULIO 2026'!I95),"")</f>
        <v/>
      </c>
      <c r="C721" s="381">
        <f>IF(AND('JULIO 2026'!D95&lt;&gt;"",'JULIO 2026'!Z95="POR RECOGER"),'JULIO 2026'!D95,"")</f>
        <v/>
      </c>
      <c r="D721" s="381">
        <f>IF(AND('JULIO 2026'!D95&lt;&gt;"",'JULIO 2026'!Z95="POR RECOGER"),'JULIO 2026'!F95,"")</f>
        <v/>
      </c>
      <c r="E721" s="381">
        <f>IF(AND('JULIO 2026'!D95&lt;&gt;"",'JULIO 2026'!Z95="POR RECOGER"),TEXT('JULIO 2026'!G95,"DD/MM/YYYY"),"")</f>
        <v/>
      </c>
      <c r="F721" s="381">
        <f>IF(AND('JULIO 2026'!D95&lt;&gt;"",'JULIO 2026'!Z95="POR RECOGER"),'JULIO 2026'!K95,"")</f>
        <v/>
      </c>
      <c r="G721" s="382">
        <f>IF(AND('JULIO 2026'!D95&lt;&gt;"",'JULIO 2026'!Z95="POR RECOGER"),'JULIO 2026'!M95,"")</f>
        <v/>
      </c>
      <c r="H721" s="382">
        <f>IF(AND('JULIO 2026'!D95&lt;&gt;"",'JULIO 2026'!Z95="POR RECOGER"),'JULIO 2026'!N95,"")</f>
        <v/>
      </c>
      <c r="I721" s="381">
        <f>IF(AND('JULIO 2026'!D95&lt;&gt;"",'JULIO 2026'!Z95="POR RECOGER"),'JULIO 2026'!P95,"")</f>
        <v/>
      </c>
      <c r="J721" s="381">
        <f>IF(AND('JULIO 2026'!D95&lt;&gt;"",'JULIO 2026'!Z95="POR RECOGER"),'JULIO 2026'!Q95,"")</f>
        <v/>
      </c>
      <c r="K721" s="381">
        <f>IF(AND('JULIO 2026'!D95&lt;&gt;"",'JULIO 2026'!Z95="POR RECOGER"),'JULIO 2026'!Y95,"")</f>
        <v/>
      </c>
      <c r="L721" s="381">
        <f>IF(AND('JULIO 2026'!D95&lt;&gt;"",'JULIO 2026'!Z95="POR RECOGER"),'JULIO 2026'!I95,"")</f>
        <v/>
      </c>
      <c r="P721" s="194" t="n"/>
      <c r="Q721" s="194" t="n"/>
      <c r="R721" s="194" t="n"/>
      <c r="S721" s="194" t="n"/>
      <c r="T721" s="194" t="n"/>
      <c r="U721" s="194" t="n"/>
      <c r="V721" s="194" t="n"/>
      <c r="W721" s="194" t="n"/>
      <c r="X721" s="194" t="n"/>
      <c r="Y721" s="194" t="n"/>
      <c r="Z721" s="194" t="n"/>
    </row>
    <row r="722" ht="15" customHeight="1" s="195">
      <c r="A722" s="381">
        <f>IF(AND('JULIO 2026'!D96&lt;&gt;"",'JULIO 2026'!Z96="POR RECOGER"),"JUL","")</f>
        <v/>
      </c>
      <c r="B722" s="381">
        <f>IF(AND('JULIO 2026'!D96&lt;&gt;"",'JULIO 2026'!Z96="POR RECOGER"),IF('JULIO 2026'!Y96&lt;&gt;"",'JULIO 2026'!Y96,'JULIO 2026'!I96),"")</f>
        <v/>
      </c>
      <c r="C722" s="381">
        <f>IF(AND('JULIO 2026'!D96&lt;&gt;"",'JULIO 2026'!Z96="POR RECOGER"),'JULIO 2026'!D96,"")</f>
        <v/>
      </c>
      <c r="D722" s="381">
        <f>IF(AND('JULIO 2026'!D96&lt;&gt;"",'JULIO 2026'!Z96="POR RECOGER"),'JULIO 2026'!F96,"")</f>
        <v/>
      </c>
      <c r="E722" s="381">
        <f>IF(AND('JULIO 2026'!D96&lt;&gt;"",'JULIO 2026'!Z96="POR RECOGER"),TEXT('JULIO 2026'!G96,"DD/MM/YYYY"),"")</f>
        <v/>
      </c>
      <c r="F722" s="381">
        <f>IF(AND('JULIO 2026'!D96&lt;&gt;"",'JULIO 2026'!Z96="POR RECOGER"),'JULIO 2026'!K96,"")</f>
        <v/>
      </c>
      <c r="G722" s="382">
        <f>IF(AND('JULIO 2026'!D96&lt;&gt;"",'JULIO 2026'!Z96="POR RECOGER"),'JULIO 2026'!M96,"")</f>
        <v/>
      </c>
      <c r="H722" s="382">
        <f>IF(AND('JULIO 2026'!D96&lt;&gt;"",'JULIO 2026'!Z96="POR RECOGER"),'JULIO 2026'!N96,"")</f>
        <v/>
      </c>
      <c r="I722" s="381">
        <f>IF(AND('JULIO 2026'!D96&lt;&gt;"",'JULIO 2026'!Z96="POR RECOGER"),'JULIO 2026'!P96,"")</f>
        <v/>
      </c>
      <c r="J722" s="381">
        <f>IF(AND('JULIO 2026'!D96&lt;&gt;"",'JULIO 2026'!Z96="POR RECOGER"),'JULIO 2026'!Q96,"")</f>
        <v/>
      </c>
      <c r="K722" s="381">
        <f>IF(AND('JULIO 2026'!D96&lt;&gt;"",'JULIO 2026'!Z96="POR RECOGER"),'JULIO 2026'!Y96,"")</f>
        <v/>
      </c>
      <c r="L722" s="381">
        <f>IF(AND('JULIO 2026'!D96&lt;&gt;"",'JULIO 2026'!Z96="POR RECOGER"),'JULIO 2026'!I96,"")</f>
        <v/>
      </c>
      <c r="P722" s="194" t="n"/>
      <c r="Q722" s="194" t="n"/>
      <c r="R722" s="194" t="n"/>
      <c r="S722" s="194" t="n"/>
      <c r="T722" s="194" t="n"/>
      <c r="U722" s="194" t="n"/>
      <c r="V722" s="194" t="n"/>
      <c r="W722" s="194" t="n"/>
      <c r="X722" s="194" t="n"/>
      <c r="Y722" s="194" t="n"/>
      <c r="Z722" s="194" t="n"/>
    </row>
    <row r="723" ht="15" customHeight="1" s="195">
      <c r="A723" s="381">
        <f>IF(AND('JULIO 2026'!D97&lt;&gt;"",'JULIO 2026'!Z97="POR RECOGER"),"JUL","")</f>
        <v/>
      </c>
      <c r="B723" s="381">
        <f>IF(AND('JULIO 2026'!D97&lt;&gt;"",'JULIO 2026'!Z97="POR RECOGER"),IF('JULIO 2026'!Y97&lt;&gt;"",'JULIO 2026'!Y97,'JULIO 2026'!I97),"")</f>
        <v/>
      </c>
      <c r="C723" s="381">
        <f>IF(AND('JULIO 2026'!D97&lt;&gt;"",'JULIO 2026'!Z97="POR RECOGER"),'JULIO 2026'!D97,"")</f>
        <v/>
      </c>
      <c r="D723" s="381">
        <f>IF(AND('JULIO 2026'!D97&lt;&gt;"",'JULIO 2026'!Z97="POR RECOGER"),'JULIO 2026'!F97,"")</f>
        <v/>
      </c>
      <c r="E723" s="381">
        <f>IF(AND('JULIO 2026'!D97&lt;&gt;"",'JULIO 2026'!Z97="POR RECOGER"),TEXT('JULIO 2026'!G97,"DD/MM/YYYY"),"")</f>
        <v/>
      </c>
      <c r="F723" s="381">
        <f>IF(AND('JULIO 2026'!D97&lt;&gt;"",'JULIO 2026'!Z97="POR RECOGER"),'JULIO 2026'!K97,"")</f>
        <v/>
      </c>
      <c r="G723" s="382">
        <f>IF(AND('JULIO 2026'!D97&lt;&gt;"",'JULIO 2026'!Z97="POR RECOGER"),'JULIO 2026'!M97,"")</f>
        <v/>
      </c>
      <c r="H723" s="382">
        <f>IF(AND('JULIO 2026'!D97&lt;&gt;"",'JULIO 2026'!Z97="POR RECOGER"),'JULIO 2026'!N97,"")</f>
        <v/>
      </c>
      <c r="I723" s="381">
        <f>IF(AND('JULIO 2026'!D97&lt;&gt;"",'JULIO 2026'!Z97="POR RECOGER"),'JULIO 2026'!P97,"")</f>
        <v/>
      </c>
      <c r="J723" s="381">
        <f>IF(AND('JULIO 2026'!D97&lt;&gt;"",'JULIO 2026'!Z97="POR RECOGER"),'JULIO 2026'!Q97,"")</f>
        <v/>
      </c>
      <c r="K723" s="381">
        <f>IF(AND('JULIO 2026'!D97&lt;&gt;"",'JULIO 2026'!Z97="POR RECOGER"),'JULIO 2026'!Y97,"")</f>
        <v/>
      </c>
      <c r="L723" s="381">
        <f>IF(AND('JULIO 2026'!D97&lt;&gt;"",'JULIO 2026'!Z97="POR RECOGER"),'JULIO 2026'!I97,"")</f>
        <v/>
      </c>
      <c r="P723" s="194" t="n"/>
      <c r="Q723" s="194" t="n"/>
      <c r="R723" s="194" t="n"/>
      <c r="S723" s="194" t="n"/>
      <c r="T723" s="194" t="n"/>
      <c r="U723" s="194" t="n"/>
      <c r="V723" s="194" t="n"/>
      <c r="W723" s="194" t="n"/>
      <c r="X723" s="194" t="n"/>
      <c r="Y723" s="194" t="n"/>
      <c r="Z723" s="194" t="n"/>
    </row>
    <row r="724" ht="15" customHeight="1" s="195">
      <c r="A724" s="381">
        <f>IF(AND('JULIO 2026'!D98&lt;&gt;"",'JULIO 2026'!Z98="POR RECOGER"),"JUL","")</f>
        <v/>
      </c>
      <c r="B724" s="381">
        <f>IF(AND('JULIO 2026'!D98&lt;&gt;"",'JULIO 2026'!Z98="POR RECOGER"),IF('JULIO 2026'!Y98&lt;&gt;"",'JULIO 2026'!Y98,'JULIO 2026'!I98),"")</f>
        <v/>
      </c>
      <c r="C724" s="381">
        <f>IF(AND('JULIO 2026'!D98&lt;&gt;"",'JULIO 2026'!Z98="POR RECOGER"),'JULIO 2026'!D98,"")</f>
        <v/>
      </c>
      <c r="D724" s="381">
        <f>IF(AND('JULIO 2026'!D98&lt;&gt;"",'JULIO 2026'!Z98="POR RECOGER"),'JULIO 2026'!F98,"")</f>
        <v/>
      </c>
      <c r="E724" s="381">
        <f>IF(AND('JULIO 2026'!D98&lt;&gt;"",'JULIO 2026'!Z98="POR RECOGER"),TEXT('JULIO 2026'!G98,"DD/MM/YYYY"),"")</f>
        <v/>
      </c>
      <c r="F724" s="381">
        <f>IF(AND('JULIO 2026'!D98&lt;&gt;"",'JULIO 2026'!Z98="POR RECOGER"),'JULIO 2026'!K98,"")</f>
        <v/>
      </c>
      <c r="G724" s="382">
        <f>IF(AND('JULIO 2026'!D98&lt;&gt;"",'JULIO 2026'!Z98="POR RECOGER"),'JULIO 2026'!M98,"")</f>
        <v/>
      </c>
      <c r="H724" s="382">
        <f>IF(AND('JULIO 2026'!D98&lt;&gt;"",'JULIO 2026'!Z98="POR RECOGER"),'JULIO 2026'!N98,"")</f>
        <v/>
      </c>
      <c r="I724" s="381">
        <f>IF(AND('JULIO 2026'!D98&lt;&gt;"",'JULIO 2026'!Z98="POR RECOGER"),'JULIO 2026'!P98,"")</f>
        <v/>
      </c>
      <c r="J724" s="381">
        <f>IF(AND('JULIO 2026'!D98&lt;&gt;"",'JULIO 2026'!Z98="POR RECOGER"),'JULIO 2026'!Q98,"")</f>
        <v/>
      </c>
      <c r="K724" s="381">
        <f>IF(AND('JULIO 2026'!D98&lt;&gt;"",'JULIO 2026'!Z98="POR RECOGER"),'JULIO 2026'!Y98,"")</f>
        <v/>
      </c>
      <c r="L724" s="381">
        <f>IF(AND('JULIO 2026'!D98&lt;&gt;"",'JULIO 2026'!Z98="POR RECOGER"),'JULIO 2026'!I98,"")</f>
        <v/>
      </c>
      <c r="P724" s="194" t="n"/>
      <c r="Q724" s="194" t="n"/>
      <c r="R724" s="194" t="n"/>
      <c r="S724" s="194" t="n"/>
      <c r="T724" s="194" t="n"/>
      <c r="U724" s="194" t="n"/>
      <c r="V724" s="194" t="n"/>
      <c r="W724" s="194" t="n"/>
      <c r="X724" s="194" t="n"/>
      <c r="Y724" s="194" t="n"/>
      <c r="Z724" s="194" t="n"/>
    </row>
    <row r="725" ht="15" customHeight="1" s="195">
      <c r="A725" s="381">
        <f>IF(AND('JULIO 2026'!D99&lt;&gt;"",'JULIO 2026'!Z99="POR RECOGER"),"JUL","")</f>
        <v/>
      </c>
      <c r="B725" s="381">
        <f>IF(AND('JULIO 2026'!D99&lt;&gt;"",'JULIO 2026'!Z99="POR RECOGER"),IF('JULIO 2026'!Y99&lt;&gt;"",'JULIO 2026'!Y99,'JULIO 2026'!I99),"")</f>
        <v/>
      </c>
      <c r="C725" s="381">
        <f>IF(AND('JULIO 2026'!D99&lt;&gt;"",'JULIO 2026'!Z99="POR RECOGER"),'JULIO 2026'!D99,"")</f>
        <v/>
      </c>
      <c r="D725" s="381">
        <f>IF(AND('JULIO 2026'!D99&lt;&gt;"",'JULIO 2026'!Z99="POR RECOGER"),'JULIO 2026'!F99,"")</f>
        <v/>
      </c>
      <c r="E725" s="381">
        <f>IF(AND('JULIO 2026'!D99&lt;&gt;"",'JULIO 2026'!Z99="POR RECOGER"),TEXT('JULIO 2026'!G99,"DD/MM/YYYY"),"")</f>
        <v/>
      </c>
      <c r="F725" s="381">
        <f>IF(AND('JULIO 2026'!D99&lt;&gt;"",'JULIO 2026'!Z99="POR RECOGER"),'JULIO 2026'!K99,"")</f>
        <v/>
      </c>
      <c r="G725" s="382">
        <f>IF(AND('JULIO 2026'!D99&lt;&gt;"",'JULIO 2026'!Z99="POR RECOGER"),'JULIO 2026'!M99,"")</f>
        <v/>
      </c>
      <c r="H725" s="382">
        <f>IF(AND('JULIO 2026'!D99&lt;&gt;"",'JULIO 2026'!Z99="POR RECOGER"),'JULIO 2026'!N99,"")</f>
        <v/>
      </c>
      <c r="I725" s="381">
        <f>IF(AND('JULIO 2026'!D99&lt;&gt;"",'JULIO 2026'!Z99="POR RECOGER"),'JULIO 2026'!P99,"")</f>
        <v/>
      </c>
      <c r="J725" s="381">
        <f>IF(AND('JULIO 2026'!D99&lt;&gt;"",'JULIO 2026'!Z99="POR RECOGER"),'JULIO 2026'!Q99,"")</f>
        <v/>
      </c>
      <c r="K725" s="381">
        <f>IF(AND('JULIO 2026'!D99&lt;&gt;"",'JULIO 2026'!Z99="POR RECOGER"),'JULIO 2026'!Y99,"")</f>
        <v/>
      </c>
      <c r="L725" s="381">
        <f>IF(AND('JULIO 2026'!D99&lt;&gt;"",'JULIO 2026'!Z99="POR RECOGER"),'JULIO 2026'!I99,"")</f>
        <v/>
      </c>
      <c r="P725" s="194" t="n"/>
      <c r="Q725" s="194" t="n"/>
      <c r="R725" s="194" t="n"/>
      <c r="S725" s="194" t="n"/>
      <c r="T725" s="194" t="n"/>
      <c r="U725" s="194" t="n"/>
      <c r="V725" s="194" t="n"/>
      <c r="W725" s="194" t="n"/>
      <c r="X725" s="194" t="n"/>
      <c r="Y725" s="194" t="n"/>
      <c r="Z725" s="194" t="n"/>
    </row>
    <row r="726" ht="15" customHeight="1" s="195">
      <c r="A726" s="381">
        <f>IF(AND('JULIO 2026'!D100&lt;&gt;"",'JULIO 2026'!Z100="POR RECOGER"),"JUL","")</f>
        <v/>
      </c>
      <c r="B726" s="381">
        <f>IF(AND('JULIO 2026'!D100&lt;&gt;"",'JULIO 2026'!Z100="POR RECOGER"),IF('JULIO 2026'!Y100&lt;&gt;"",'JULIO 2026'!Y100,'JULIO 2026'!I100),"")</f>
        <v/>
      </c>
      <c r="C726" s="381">
        <f>IF(AND('JULIO 2026'!D100&lt;&gt;"",'JULIO 2026'!Z100="POR RECOGER"),'JULIO 2026'!D100,"")</f>
        <v/>
      </c>
      <c r="D726" s="381">
        <f>IF(AND('JULIO 2026'!D100&lt;&gt;"",'JULIO 2026'!Z100="POR RECOGER"),'JULIO 2026'!F100,"")</f>
        <v/>
      </c>
      <c r="E726" s="381">
        <f>IF(AND('JULIO 2026'!D100&lt;&gt;"",'JULIO 2026'!Z100="POR RECOGER"),TEXT('JULIO 2026'!G100,"DD/MM/YYYY"),"")</f>
        <v/>
      </c>
      <c r="F726" s="381">
        <f>IF(AND('JULIO 2026'!D100&lt;&gt;"",'JULIO 2026'!Z100="POR RECOGER"),'JULIO 2026'!K100,"")</f>
        <v/>
      </c>
      <c r="G726" s="382">
        <f>IF(AND('JULIO 2026'!D100&lt;&gt;"",'JULIO 2026'!Z100="POR RECOGER"),'JULIO 2026'!M100,"")</f>
        <v/>
      </c>
      <c r="H726" s="382">
        <f>IF(AND('JULIO 2026'!D100&lt;&gt;"",'JULIO 2026'!Z100="POR RECOGER"),'JULIO 2026'!N100,"")</f>
        <v/>
      </c>
      <c r="I726" s="381">
        <f>IF(AND('JULIO 2026'!D100&lt;&gt;"",'JULIO 2026'!Z100="POR RECOGER"),'JULIO 2026'!P100,"")</f>
        <v/>
      </c>
      <c r="J726" s="381">
        <f>IF(AND('JULIO 2026'!D100&lt;&gt;"",'JULIO 2026'!Z100="POR RECOGER"),'JULIO 2026'!Q100,"")</f>
        <v/>
      </c>
      <c r="K726" s="381">
        <f>IF(AND('JULIO 2026'!D100&lt;&gt;"",'JULIO 2026'!Z100="POR RECOGER"),'JULIO 2026'!Y100,"")</f>
        <v/>
      </c>
      <c r="L726" s="381">
        <f>IF(AND('JULIO 2026'!D100&lt;&gt;"",'JULIO 2026'!Z100="POR RECOGER"),'JULIO 2026'!I100,"")</f>
        <v/>
      </c>
      <c r="P726" s="194" t="n"/>
      <c r="Q726" s="194" t="n"/>
      <c r="R726" s="194" t="n"/>
      <c r="S726" s="194" t="n"/>
      <c r="T726" s="194" t="n"/>
      <c r="U726" s="194" t="n"/>
      <c r="V726" s="194" t="n"/>
      <c r="W726" s="194" t="n"/>
      <c r="X726" s="194" t="n"/>
      <c r="Y726" s="194" t="n"/>
      <c r="Z726" s="194" t="n"/>
    </row>
    <row r="727" ht="15" customHeight="1" s="195">
      <c r="A727" s="381">
        <f>IF(AND('JULIO 2026'!D101&lt;&gt;"",'JULIO 2026'!Z101="POR RECOGER"),"JUL","")</f>
        <v/>
      </c>
      <c r="B727" s="381">
        <f>IF(AND('JULIO 2026'!D101&lt;&gt;"",'JULIO 2026'!Z101="POR RECOGER"),IF('JULIO 2026'!Y101&lt;&gt;"",'JULIO 2026'!Y101,'JULIO 2026'!I101),"")</f>
        <v/>
      </c>
      <c r="C727" s="381">
        <f>IF(AND('JULIO 2026'!D101&lt;&gt;"",'JULIO 2026'!Z101="POR RECOGER"),'JULIO 2026'!D101,"")</f>
        <v/>
      </c>
      <c r="D727" s="381">
        <f>IF(AND('JULIO 2026'!D101&lt;&gt;"",'JULIO 2026'!Z101="POR RECOGER"),'JULIO 2026'!F101,"")</f>
        <v/>
      </c>
      <c r="E727" s="381">
        <f>IF(AND('JULIO 2026'!D101&lt;&gt;"",'JULIO 2026'!Z101="POR RECOGER"),TEXT('JULIO 2026'!G101,"DD/MM/YYYY"),"")</f>
        <v/>
      </c>
      <c r="F727" s="381">
        <f>IF(AND('JULIO 2026'!D101&lt;&gt;"",'JULIO 2026'!Z101="POR RECOGER"),'JULIO 2026'!K101,"")</f>
        <v/>
      </c>
      <c r="G727" s="382">
        <f>IF(AND('JULIO 2026'!D101&lt;&gt;"",'JULIO 2026'!Z101="POR RECOGER"),'JULIO 2026'!M101,"")</f>
        <v/>
      </c>
      <c r="H727" s="382">
        <f>IF(AND('JULIO 2026'!D101&lt;&gt;"",'JULIO 2026'!Z101="POR RECOGER"),'JULIO 2026'!N101,"")</f>
        <v/>
      </c>
      <c r="I727" s="381">
        <f>IF(AND('JULIO 2026'!D101&lt;&gt;"",'JULIO 2026'!Z101="POR RECOGER"),'JULIO 2026'!P101,"")</f>
        <v/>
      </c>
      <c r="J727" s="381">
        <f>IF(AND('JULIO 2026'!D101&lt;&gt;"",'JULIO 2026'!Z101="POR RECOGER"),'JULIO 2026'!Q101,"")</f>
        <v/>
      </c>
      <c r="K727" s="381">
        <f>IF(AND('JULIO 2026'!D101&lt;&gt;"",'JULIO 2026'!Z101="POR RECOGER"),'JULIO 2026'!Y101,"")</f>
        <v/>
      </c>
      <c r="L727" s="381">
        <f>IF(AND('JULIO 2026'!D101&lt;&gt;"",'JULIO 2026'!Z101="POR RECOGER"),'JULIO 2026'!I101,"")</f>
        <v/>
      </c>
      <c r="P727" s="194" t="n"/>
      <c r="Q727" s="194" t="n"/>
      <c r="R727" s="194" t="n"/>
      <c r="S727" s="194" t="n"/>
      <c r="T727" s="194" t="n"/>
      <c r="U727" s="194" t="n"/>
      <c r="V727" s="194" t="n"/>
      <c r="W727" s="194" t="n"/>
      <c r="X727" s="194" t="n"/>
      <c r="Y727" s="194" t="n"/>
      <c r="Z727" s="194" t="n"/>
    </row>
    <row r="728" ht="15" customHeight="1" s="195">
      <c r="A728" s="381">
        <f>IF(AND('JULIO 2026'!D102&lt;&gt;"",'JULIO 2026'!Z102="POR RECOGER"),"JUL","")</f>
        <v/>
      </c>
      <c r="B728" s="381">
        <f>IF(AND('JULIO 2026'!D102&lt;&gt;"",'JULIO 2026'!Z102="POR RECOGER"),IF('JULIO 2026'!Y102&lt;&gt;"",'JULIO 2026'!Y102,'JULIO 2026'!I102),"")</f>
        <v/>
      </c>
      <c r="C728" s="381">
        <f>IF(AND('JULIO 2026'!D102&lt;&gt;"",'JULIO 2026'!Z102="POR RECOGER"),'JULIO 2026'!D102,"")</f>
        <v/>
      </c>
      <c r="D728" s="381">
        <f>IF(AND('JULIO 2026'!D102&lt;&gt;"",'JULIO 2026'!Z102="POR RECOGER"),'JULIO 2026'!F102,"")</f>
        <v/>
      </c>
      <c r="E728" s="381">
        <f>IF(AND('JULIO 2026'!D102&lt;&gt;"",'JULIO 2026'!Z102="POR RECOGER"),TEXT('JULIO 2026'!G102,"DD/MM/YYYY"),"")</f>
        <v/>
      </c>
      <c r="F728" s="381">
        <f>IF(AND('JULIO 2026'!D102&lt;&gt;"",'JULIO 2026'!Z102="POR RECOGER"),'JULIO 2026'!K102,"")</f>
        <v/>
      </c>
      <c r="G728" s="382">
        <f>IF(AND('JULIO 2026'!D102&lt;&gt;"",'JULIO 2026'!Z102="POR RECOGER"),'JULIO 2026'!M102,"")</f>
        <v/>
      </c>
      <c r="H728" s="382">
        <f>IF(AND('JULIO 2026'!D102&lt;&gt;"",'JULIO 2026'!Z102="POR RECOGER"),'JULIO 2026'!N102,"")</f>
        <v/>
      </c>
      <c r="I728" s="381">
        <f>IF(AND('JULIO 2026'!D102&lt;&gt;"",'JULIO 2026'!Z102="POR RECOGER"),'JULIO 2026'!P102,"")</f>
        <v/>
      </c>
      <c r="J728" s="381">
        <f>IF(AND('JULIO 2026'!D102&lt;&gt;"",'JULIO 2026'!Z102="POR RECOGER"),'JULIO 2026'!Q102,"")</f>
        <v/>
      </c>
      <c r="K728" s="381">
        <f>IF(AND('JULIO 2026'!D102&lt;&gt;"",'JULIO 2026'!Z102="POR RECOGER"),'JULIO 2026'!Y102,"")</f>
        <v/>
      </c>
      <c r="L728" s="381">
        <f>IF(AND('JULIO 2026'!D102&lt;&gt;"",'JULIO 2026'!Z102="POR RECOGER"),'JULIO 2026'!I102,"")</f>
        <v/>
      </c>
      <c r="P728" s="194" t="n"/>
      <c r="Q728" s="194" t="n"/>
      <c r="R728" s="194" t="n"/>
      <c r="S728" s="194" t="n"/>
      <c r="T728" s="194" t="n"/>
      <c r="U728" s="194" t="n"/>
      <c r="V728" s="194" t="n"/>
      <c r="W728" s="194" t="n"/>
      <c r="X728" s="194" t="n"/>
      <c r="Y728" s="194" t="n"/>
      <c r="Z728" s="194" t="n"/>
    </row>
    <row r="729" ht="15" customHeight="1" s="195">
      <c r="A729" s="381">
        <f>IF(AND('JULIO 2026'!D103&lt;&gt;"",'JULIO 2026'!Z103="POR RECOGER"),"JUL","")</f>
        <v/>
      </c>
      <c r="B729" s="381">
        <f>IF(AND('JULIO 2026'!D103&lt;&gt;"",'JULIO 2026'!Z103="POR RECOGER"),IF('JULIO 2026'!Y103&lt;&gt;"",'JULIO 2026'!Y103,'JULIO 2026'!I103),"")</f>
        <v/>
      </c>
      <c r="C729" s="381">
        <f>IF(AND('JULIO 2026'!D103&lt;&gt;"",'JULIO 2026'!Z103="POR RECOGER"),'JULIO 2026'!D103,"")</f>
        <v/>
      </c>
      <c r="D729" s="381">
        <f>IF(AND('JULIO 2026'!D103&lt;&gt;"",'JULIO 2026'!Z103="POR RECOGER"),'JULIO 2026'!F103,"")</f>
        <v/>
      </c>
      <c r="E729" s="381">
        <f>IF(AND('JULIO 2026'!D103&lt;&gt;"",'JULIO 2026'!Z103="POR RECOGER"),TEXT('JULIO 2026'!G103,"DD/MM/YYYY"),"")</f>
        <v/>
      </c>
      <c r="F729" s="381">
        <f>IF(AND('JULIO 2026'!D103&lt;&gt;"",'JULIO 2026'!Z103="POR RECOGER"),'JULIO 2026'!K103,"")</f>
        <v/>
      </c>
      <c r="G729" s="382">
        <f>IF(AND('JULIO 2026'!D103&lt;&gt;"",'JULIO 2026'!Z103="POR RECOGER"),'JULIO 2026'!M103,"")</f>
        <v/>
      </c>
      <c r="H729" s="382">
        <f>IF(AND('JULIO 2026'!D103&lt;&gt;"",'JULIO 2026'!Z103="POR RECOGER"),'JULIO 2026'!N103,"")</f>
        <v/>
      </c>
      <c r="I729" s="381">
        <f>IF(AND('JULIO 2026'!D103&lt;&gt;"",'JULIO 2026'!Z103="POR RECOGER"),'JULIO 2026'!P103,"")</f>
        <v/>
      </c>
      <c r="J729" s="381">
        <f>IF(AND('JULIO 2026'!D103&lt;&gt;"",'JULIO 2026'!Z103="POR RECOGER"),'JULIO 2026'!Q103,"")</f>
        <v/>
      </c>
      <c r="K729" s="381">
        <f>IF(AND('JULIO 2026'!D103&lt;&gt;"",'JULIO 2026'!Z103="POR RECOGER"),'JULIO 2026'!Y103,"")</f>
        <v/>
      </c>
      <c r="L729" s="381">
        <f>IF(AND('JULIO 2026'!D103&lt;&gt;"",'JULIO 2026'!Z103="POR RECOGER"),'JULIO 2026'!I103,"")</f>
        <v/>
      </c>
      <c r="P729" s="194" t="n"/>
      <c r="Q729" s="194" t="n"/>
      <c r="R729" s="194" t="n"/>
      <c r="S729" s="194" t="n"/>
      <c r="T729" s="194" t="n"/>
      <c r="U729" s="194" t="n"/>
      <c r="V729" s="194" t="n"/>
      <c r="W729" s="194" t="n"/>
      <c r="X729" s="194" t="n"/>
      <c r="Y729" s="194" t="n"/>
      <c r="Z729" s="194" t="n"/>
    </row>
    <row r="730" ht="15" customHeight="1" s="195">
      <c r="A730" s="381">
        <f>IF(AND('JULIO 2026'!D104&lt;&gt;"",'JULIO 2026'!Z104="POR RECOGER"),"JUL","")</f>
        <v/>
      </c>
      <c r="B730" s="381">
        <f>IF(AND('JULIO 2026'!D104&lt;&gt;"",'JULIO 2026'!Z104="POR RECOGER"),IF('JULIO 2026'!Y104&lt;&gt;"",'JULIO 2026'!Y104,'JULIO 2026'!I104),"")</f>
        <v/>
      </c>
      <c r="C730" s="381">
        <f>IF(AND('JULIO 2026'!D104&lt;&gt;"",'JULIO 2026'!Z104="POR RECOGER"),'JULIO 2026'!D104,"")</f>
        <v/>
      </c>
      <c r="D730" s="381">
        <f>IF(AND('JULIO 2026'!D104&lt;&gt;"",'JULIO 2026'!Z104="POR RECOGER"),'JULIO 2026'!F104,"")</f>
        <v/>
      </c>
      <c r="E730" s="381">
        <f>IF(AND('JULIO 2026'!D104&lt;&gt;"",'JULIO 2026'!Z104="POR RECOGER"),TEXT('JULIO 2026'!G104,"DD/MM/YYYY"),"")</f>
        <v/>
      </c>
      <c r="F730" s="381">
        <f>IF(AND('JULIO 2026'!D104&lt;&gt;"",'JULIO 2026'!Z104="POR RECOGER"),'JULIO 2026'!K104,"")</f>
        <v/>
      </c>
      <c r="G730" s="382">
        <f>IF(AND('JULIO 2026'!D104&lt;&gt;"",'JULIO 2026'!Z104="POR RECOGER"),'JULIO 2026'!M104,"")</f>
        <v/>
      </c>
      <c r="H730" s="382">
        <f>IF(AND('JULIO 2026'!D104&lt;&gt;"",'JULIO 2026'!Z104="POR RECOGER"),'JULIO 2026'!N104,"")</f>
        <v/>
      </c>
      <c r="I730" s="381">
        <f>IF(AND('JULIO 2026'!D104&lt;&gt;"",'JULIO 2026'!Z104="POR RECOGER"),'JULIO 2026'!P104,"")</f>
        <v/>
      </c>
      <c r="J730" s="381">
        <f>IF(AND('JULIO 2026'!D104&lt;&gt;"",'JULIO 2026'!Z104="POR RECOGER"),'JULIO 2026'!Q104,"")</f>
        <v/>
      </c>
      <c r="K730" s="381">
        <f>IF(AND('JULIO 2026'!D104&lt;&gt;"",'JULIO 2026'!Z104="POR RECOGER"),'JULIO 2026'!Y104,"")</f>
        <v/>
      </c>
      <c r="L730" s="381">
        <f>IF(AND('JULIO 2026'!D104&lt;&gt;"",'JULIO 2026'!Z104="POR RECOGER"),'JULIO 2026'!I104,"")</f>
        <v/>
      </c>
      <c r="P730" s="194" t="n"/>
      <c r="Q730" s="194" t="n"/>
      <c r="R730" s="194" t="n"/>
      <c r="S730" s="194" t="n"/>
      <c r="T730" s="194" t="n"/>
      <c r="U730" s="194" t="n"/>
      <c r="V730" s="194" t="n"/>
      <c r="W730" s="194" t="n"/>
      <c r="X730" s="194" t="n"/>
      <c r="Y730" s="194" t="n"/>
      <c r="Z730" s="194" t="n"/>
    </row>
    <row r="731" ht="15" customHeight="1" s="195">
      <c r="A731" s="381">
        <f>IF(AND('JULIO 2026'!D105&lt;&gt;"",'JULIO 2026'!Z105="POR RECOGER"),"JUL","")</f>
        <v/>
      </c>
      <c r="B731" s="381">
        <f>IF(AND('JULIO 2026'!D105&lt;&gt;"",'JULIO 2026'!Z105="POR RECOGER"),IF('JULIO 2026'!Y105&lt;&gt;"",'JULIO 2026'!Y105,'JULIO 2026'!I105),"")</f>
        <v/>
      </c>
      <c r="C731" s="381">
        <f>IF(AND('JULIO 2026'!D105&lt;&gt;"",'JULIO 2026'!Z105="POR RECOGER"),'JULIO 2026'!D105,"")</f>
        <v/>
      </c>
      <c r="D731" s="381">
        <f>IF(AND('JULIO 2026'!D105&lt;&gt;"",'JULIO 2026'!Z105="POR RECOGER"),'JULIO 2026'!F105,"")</f>
        <v/>
      </c>
      <c r="E731" s="381">
        <f>IF(AND('JULIO 2026'!D105&lt;&gt;"",'JULIO 2026'!Z105="POR RECOGER"),TEXT('JULIO 2026'!G105,"DD/MM/YYYY"),"")</f>
        <v/>
      </c>
      <c r="F731" s="381">
        <f>IF(AND('JULIO 2026'!D105&lt;&gt;"",'JULIO 2026'!Z105="POR RECOGER"),'JULIO 2026'!K105,"")</f>
        <v/>
      </c>
      <c r="G731" s="382">
        <f>IF(AND('JULIO 2026'!D105&lt;&gt;"",'JULIO 2026'!Z105="POR RECOGER"),'JULIO 2026'!M105,"")</f>
        <v/>
      </c>
      <c r="H731" s="382">
        <f>IF(AND('JULIO 2026'!D105&lt;&gt;"",'JULIO 2026'!Z105="POR RECOGER"),'JULIO 2026'!N105,"")</f>
        <v/>
      </c>
      <c r="I731" s="381">
        <f>IF(AND('JULIO 2026'!D105&lt;&gt;"",'JULIO 2026'!Z105="POR RECOGER"),'JULIO 2026'!P105,"")</f>
        <v/>
      </c>
      <c r="J731" s="381">
        <f>IF(AND('JULIO 2026'!D105&lt;&gt;"",'JULIO 2026'!Z105="POR RECOGER"),'JULIO 2026'!Q105,"")</f>
        <v/>
      </c>
      <c r="K731" s="381">
        <f>IF(AND('JULIO 2026'!D105&lt;&gt;"",'JULIO 2026'!Z105="POR RECOGER"),'JULIO 2026'!Y105,"")</f>
        <v/>
      </c>
      <c r="L731" s="381">
        <f>IF(AND('JULIO 2026'!D105&lt;&gt;"",'JULIO 2026'!Z105="POR RECOGER"),'JULIO 2026'!I105,"")</f>
        <v/>
      </c>
      <c r="P731" s="194" t="n"/>
      <c r="Q731" s="194" t="n"/>
      <c r="R731" s="194" t="n"/>
      <c r="S731" s="194" t="n"/>
      <c r="T731" s="194" t="n"/>
      <c r="U731" s="194" t="n"/>
      <c r="V731" s="194" t="n"/>
      <c r="W731" s="194" t="n"/>
      <c r="X731" s="194" t="n"/>
      <c r="Y731" s="194" t="n"/>
      <c r="Z731" s="194" t="n"/>
    </row>
    <row r="732" ht="15" customHeight="1" s="195">
      <c r="A732" s="381">
        <f>IF(AND('JULIO 2026'!D106&lt;&gt;"",'JULIO 2026'!Z106="POR RECOGER"),"JUL","")</f>
        <v/>
      </c>
      <c r="B732" s="381">
        <f>IF(AND('JULIO 2026'!D106&lt;&gt;"",'JULIO 2026'!Z106="POR RECOGER"),IF('JULIO 2026'!Y106&lt;&gt;"",'JULIO 2026'!Y106,'JULIO 2026'!I106),"")</f>
        <v/>
      </c>
      <c r="C732" s="381">
        <f>IF(AND('JULIO 2026'!D106&lt;&gt;"",'JULIO 2026'!Z106="POR RECOGER"),'JULIO 2026'!D106,"")</f>
        <v/>
      </c>
      <c r="D732" s="381">
        <f>IF(AND('JULIO 2026'!D106&lt;&gt;"",'JULIO 2026'!Z106="POR RECOGER"),'JULIO 2026'!F106,"")</f>
        <v/>
      </c>
      <c r="E732" s="381">
        <f>IF(AND('JULIO 2026'!D106&lt;&gt;"",'JULIO 2026'!Z106="POR RECOGER"),TEXT('JULIO 2026'!G106,"DD/MM/YYYY"),"")</f>
        <v/>
      </c>
      <c r="F732" s="381">
        <f>IF(AND('JULIO 2026'!D106&lt;&gt;"",'JULIO 2026'!Z106="POR RECOGER"),'JULIO 2026'!K106,"")</f>
        <v/>
      </c>
      <c r="G732" s="382">
        <f>IF(AND('JULIO 2026'!D106&lt;&gt;"",'JULIO 2026'!Z106="POR RECOGER"),'JULIO 2026'!M106,"")</f>
        <v/>
      </c>
      <c r="H732" s="382">
        <f>IF(AND('JULIO 2026'!D106&lt;&gt;"",'JULIO 2026'!Z106="POR RECOGER"),'JULIO 2026'!N106,"")</f>
        <v/>
      </c>
      <c r="I732" s="381">
        <f>IF(AND('JULIO 2026'!D106&lt;&gt;"",'JULIO 2026'!Z106="POR RECOGER"),'JULIO 2026'!P106,"")</f>
        <v/>
      </c>
      <c r="J732" s="381">
        <f>IF(AND('JULIO 2026'!D106&lt;&gt;"",'JULIO 2026'!Z106="POR RECOGER"),'JULIO 2026'!Q106,"")</f>
        <v/>
      </c>
      <c r="K732" s="381">
        <f>IF(AND('JULIO 2026'!D106&lt;&gt;"",'JULIO 2026'!Z106="POR RECOGER"),'JULIO 2026'!Y106,"")</f>
        <v/>
      </c>
      <c r="L732" s="381">
        <f>IF(AND('JULIO 2026'!D106&lt;&gt;"",'JULIO 2026'!Z106="POR RECOGER"),'JULIO 2026'!I106,"")</f>
        <v/>
      </c>
      <c r="P732" s="194" t="n"/>
      <c r="Q732" s="194" t="n"/>
      <c r="R732" s="194" t="n"/>
      <c r="S732" s="194" t="n"/>
      <c r="T732" s="194" t="n"/>
      <c r="U732" s="194" t="n"/>
      <c r="V732" s="194" t="n"/>
      <c r="W732" s="194" t="n"/>
      <c r="X732" s="194" t="n"/>
      <c r="Y732" s="194" t="n"/>
      <c r="Z732" s="194" t="n"/>
    </row>
    <row r="733" ht="15" customHeight="1" s="195">
      <c r="A733" s="381">
        <f>IF(AND('JULIO 2026'!D107&lt;&gt;"",'JULIO 2026'!Z107="POR RECOGER"),"JUL","")</f>
        <v/>
      </c>
      <c r="B733" s="381">
        <f>IF(AND('JULIO 2026'!D107&lt;&gt;"",'JULIO 2026'!Z107="POR RECOGER"),IF('JULIO 2026'!Y107&lt;&gt;"",'JULIO 2026'!Y107,'JULIO 2026'!I107),"")</f>
        <v/>
      </c>
      <c r="C733" s="381">
        <f>IF(AND('JULIO 2026'!D107&lt;&gt;"",'JULIO 2026'!Z107="POR RECOGER"),'JULIO 2026'!D107,"")</f>
        <v/>
      </c>
      <c r="D733" s="381">
        <f>IF(AND('JULIO 2026'!D107&lt;&gt;"",'JULIO 2026'!Z107="POR RECOGER"),'JULIO 2026'!F107,"")</f>
        <v/>
      </c>
      <c r="E733" s="381">
        <f>IF(AND('JULIO 2026'!D107&lt;&gt;"",'JULIO 2026'!Z107="POR RECOGER"),TEXT('JULIO 2026'!G107,"DD/MM/YYYY"),"")</f>
        <v/>
      </c>
      <c r="F733" s="381">
        <f>IF(AND('JULIO 2026'!D107&lt;&gt;"",'JULIO 2026'!Z107="POR RECOGER"),'JULIO 2026'!K107,"")</f>
        <v/>
      </c>
      <c r="G733" s="382">
        <f>IF(AND('JULIO 2026'!D107&lt;&gt;"",'JULIO 2026'!Z107="POR RECOGER"),'JULIO 2026'!M107,"")</f>
        <v/>
      </c>
      <c r="H733" s="382">
        <f>IF(AND('JULIO 2026'!D107&lt;&gt;"",'JULIO 2026'!Z107="POR RECOGER"),'JULIO 2026'!N107,"")</f>
        <v/>
      </c>
      <c r="I733" s="381">
        <f>IF(AND('JULIO 2026'!D107&lt;&gt;"",'JULIO 2026'!Z107="POR RECOGER"),'JULIO 2026'!P107,"")</f>
        <v/>
      </c>
      <c r="J733" s="381">
        <f>IF(AND('JULIO 2026'!D107&lt;&gt;"",'JULIO 2026'!Z107="POR RECOGER"),'JULIO 2026'!Q107,"")</f>
        <v/>
      </c>
      <c r="K733" s="381">
        <f>IF(AND('JULIO 2026'!D107&lt;&gt;"",'JULIO 2026'!Z107="POR RECOGER"),'JULIO 2026'!Y107,"")</f>
        <v/>
      </c>
      <c r="L733" s="381">
        <f>IF(AND('JULIO 2026'!D107&lt;&gt;"",'JULIO 2026'!Z107="POR RECOGER"),'JULIO 2026'!I107,"")</f>
        <v/>
      </c>
      <c r="P733" s="194" t="n"/>
      <c r="Q733" s="194" t="n"/>
      <c r="R733" s="194" t="n"/>
      <c r="S733" s="194" t="n"/>
      <c r="T733" s="194" t="n"/>
      <c r="U733" s="194" t="n"/>
      <c r="V733" s="194" t="n"/>
      <c r="W733" s="194" t="n"/>
      <c r="X733" s="194" t="n"/>
      <c r="Y733" s="194" t="n"/>
      <c r="Z733" s="194" t="n"/>
    </row>
    <row r="734" ht="15" customHeight="1" s="195">
      <c r="A734" s="381">
        <f>IF(AND('JULIO 2026'!D108&lt;&gt;"",'JULIO 2026'!Z108="POR RECOGER"),"JUL","")</f>
        <v/>
      </c>
      <c r="B734" s="381">
        <f>IF(AND('JULIO 2026'!D108&lt;&gt;"",'JULIO 2026'!Z108="POR RECOGER"),IF('JULIO 2026'!Y108&lt;&gt;"",'JULIO 2026'!Y108,'JULIO 2026'!I108),"")</f>
        <v/>
      </c>
      <c r="C734" s="381">
        <f>IF(AND('JULIO 2026'!D108&lt;&gt;"",'JULIO 2026'!Z108="POR RECOGER"),'JULIO 2026'!D108,"")</f>
        <v/>
      </c>
      <c r="D734" s="381">
        <f>IF(AND('JULIO 2026'!D108&lt;&gt;"",'JULIO 2026'!Z108="POR RECOGER"),'JULIO 2026'!F108,"")</f>
        <v/>
      </c>
      <c r="E734" s="381">
        <f>IF(AND('JULIO 2026'!D108&lt;&gt;"",'JULIO 2026'!Z108="POR RECOGER"),TEXT('JULIO 2026'!G108,"DD/MM/YYYY"),"")</f>
        <v/>
      </c>
      <c r="F734" s="381">
        <f>IF(AND('JULIO 2026'!D108&lt;&gt;"",'JULIO 2026'!Z108="POR RECOGER"),'JULIO 2026'!K108,"")</f>
        <v/>
      </c>
      <c r="G734" s="382">
        <f>IF(AND('JULIO 2026'!D108&lt;&gt;"",'JULIO 2026'!Z108="POR RECOGER"),'JULIO 2026'!M108,"")</f>
        <v/>
      </c>
      <c r="H734" s="382">
        <f>IF(AND('JULIO 2026'!D108&lt;&gt;"",'JULIO 2026'!Z108="POR RECOGER"),'JULIO 2026'!N108,"")</f>
        <v/>
      </c>
      <c r="I734" s="381">
        <f>IF(AND('JULIO 2026'!D108&lt;&gt;"",'JULIO 2026'!Z108="POR RECOGER"),'JULIO 2026'!P108,"")</f>
        <v/>
      </c>
      <c r="J734" s="381">
        <f>IF(AND('JULIO 2026'!D108&lt;&gt;"",'JULIO 2026'!Z108="POR RECOGER"),'JULIO 2026'!Q108,"")</f>
        <v/>
      </c>
      <c r="K734" s="381">
        <f>IF(AND('JULIO 2026'!D108&lt;&gt;"",'JULIO 2026'!Z108="POR RECOGER"),'JULIO 2026'!Y108,"")</f>
        <v/>
      </c>
      <c r="L734" s="381">
        <f>IF(AND('JULIO 2026'!D108&lt;&gt;"",'JULIO 2026'!Z108="POR RECOGER"),'JULIO 2026'!I108,"")</f>
        <v/>
      </c>
      <c r="P734" s="194" t="n"/>
      <c r="Q734" s="194" t="n"/>
      <c r="R734" s="194" t="n"/>
      <c r="S734" s="194" t="n"/>
      <c r="T734" s="194" t="n"/>
      <c r="U734" s="194" t="n"/>
      <c r="V734" s="194" t="n"/>
      <c r="W734" s="194" t="n"/>
      <c r="X734" s="194" t="n"/>
      <c r="Y734" s="194" t="n"/>
      <c r="Z734" s="194" t="n"/>
    </row>
    <row r="735" ht="15" customHeight="1" s="195">
      <c r="A735" s="381">
        <f>IF(AND('JULIO 2026'!D109&lt;&gt;"",'JULIO 2026'!Z109="POR RECOGER"),"JUL","")</f>
        <v/>
      </c>
      <c r="B735" s="381">
        <f>IF(AND('JULIO 2026'!D109&lt;&gt;"",'JULIO 2026'!Z109="POR RECOGER"),IF('JULIO 2026'!Y109&lt;&gt;"",'JULIO 2026'!Y109,'JULIO 2026'!I109),"")</f>
        <v/>
      </c>
      <c r="C735" s="381">
        <f>IF(AND('JULIO 2026'!D109&lt;&gt;"",'JULIO 2026'!Z109="POR RECOGER"),'JULIO 2026'!D109,"")</f>
        <v/>
      </c>
      <c r="D735" s="381">
        <f>IF(AND('JULIO 2026'!D109&lt;&gt;"",'JULIO 2026'!Z109="POR RECOGER"),'JULIO 2026'!F109,"")</f>
        <v/>
      </c>
      <c r="E735" s="381">
        <f>IF(AND('JULIO 2026'!D109&lt;&gt;"",'JULIO 2026'!Z109="POR RECOGER"),TEXT('JULIO 2026'!G109,"DD/MM/YYYY"),"")</f>
        <v/>
      </c>
      <c r="F735" s="381">
        <f>IF(AND('JULIO 2026'!D109&lt;&gt;"",'JULIO 2026'!Z109="POR RECOGER"),'JULIO 2026'!K109,"")</f>
        <v/>
      </c>
      <c r="G735" s="382">
        <f>IF(AND('JULIO 2026'!D109&lt;&gt;"",'JULIO 2026'!Z109="POR RECOGER"),'JULIO 2026'!M109,"")</f>
        <v/>
      </c>
      <c r="H735" s="382">
        <f>IF(AND('JULIO 2026'!D109&lt;&gt;"",'JULIO 2026'!Z109="POR RECOGER"),'JULIO 2026'!N109,"")</f>
        <v/>
      </c>
      <c r="I735" s="381">
        <f>IF(AND('JULIO 2026'!D109&lt;&gt;"",'JULIO 2026'!Z109="POR RECOGER"),'JULIO 2026'!P109,"")</f>
        <v/>
      </c>
      <c r="J735" s="381">
        <f>IF(AND('JULIO 2026'!D109&lt;&gt;"",'JULIO 2026'!Z109="POR RECOGER"),'JULIO 2026'!Q109,"")</f>
        <v/>
      </c>
      <c r="K735" s="381">
        <f>IF(AND('JULIO 2026'!D109&lt;&gt;"",'JULIO 2026'!Z109="POR RECOGER"),'JULIO 2026'!Y109,"")</f>
        <v/>
      </c>
      <c r="L735" s="381">
        <f>IF(AND('JULIO 2026'!D109&lt;&gt;"",'JULIO 2026'!Z109="POR RECOGER"),'JULIO 2026'!I109,"")</f>
        <v/>
      </c>
      <c r="P735" s="194" t="n"/>
      <c r="Q735" s="194" t="n"/>
      <c r="R735" s="194" t="n"/>
      <c r="S735" s="194" t="n"/>
      <c r="T735" s="194" t="n"/>
      <c r="U735" s="194" t="n"/>
      <c r="V735" s="194" t="n"/>
      <c r="W735" s="194" t="n"/>
      <c r="X735" s="194" t="n"/>
      <c r="Y735" s="194" t="n"/>
      <c r="Z735" s="194" t="n"/>
    </row>
    <row r="736" ht="15" customHeight="1" s="195">
      <c r="A736" s="381">
        <f>IF(AND('JULIO 2026'!D110&lt;&gt;"",'JULIO 2026'!Z110="POR RECOGER"),"JUL","")</f>
        <v/>
      </c>
      <c r="B736" s="381">
        <f>IF(AND('JULIO 2026'!D110&lt;&gt;"",'JULIO 2026'!Z110="POR RECOGER"),IF('JULIO 2026'!Y110&lt;&gt;"",'JULIO 2026'!Y110,'JULIO 2026'!I110),"")</f>
        <v/>
      </c>
      <c r="C736" s="381">
        <f>IF(AND('JULIO 2026'!D110&lt;&gt;"",'JULIO 2026'!Z110="POR RECOGER"),'JULIO 2026'!D110,"")</f>
        <v/>
      </c>
      <c r="D736" s="381">
        <f>IF(AND('JULIO 2026'!D110&lt;&gt;"",'JULIO 2026'!Z110="POR RECOGER"),'JULIO 2026'!F110,"")</f>
        <v/>
      </c>
      <c r="E736" s="381">
        <f>IF(AND('JULIO 2026'!D110&lt;&gt;"",'JULIO 2026'!Z110="POR RECOGER"),TEXT('JULIO 2026'!G110,"DD/MM/YYYY"),"")</f>
        <v/>
      </c>
      <c r="F736" s="381">
        <f>IF(AND('JULIO 2026'!D110&lt;&gt;"",'JULIO 2026'!Z110="POR RECOGER"),'JULIO 2026'!K110,"")</f>
        <v/>
      </c>
      <c r="G736" s="382">
        <f>IF(AND('JULIO 2026'!D110&lt;&gt;"",'JULIO 2026'!Z110="POR RECOGER"),'JULIO 2026'!M110,"")</f>
        <v/>
      </c>
      <c r="H736" s="382">
        <f>IF(AND('JULIO 2026'!D110&lt;&gt;"",'JULIO 2026'!Z110="POR RECOGER"),'JULIO 2026'!N110,"")</f>
        <v/>
      </c>
      <c r="I736" s="381">
        <f>IF(AND('JULIO 2026'!D110&lt;&gt;"",'JULIO 2026'!Z110="POR RECOGER"),'JULIO 2026'!P110,"")</f>
        <v/>
      </c>
      <c r="J736" s="381">
        <f>IF(AND('JULIO 2026'!D110&lt;&gt;"",'JULIO 2026'!Z110="POR RECOGER"),'JULIO 2026'!Q110,"")</f>
        <v/>
      </c>
      <c r="K736" s="381">
        <f>IF(AND('JULIO 2026'!D110&lt;&gt;"",'JULIO 2026'!Z110="POR RECOGER"),'JULIO 2026'!Y110,"")</f>
        <v/>
      </c>
      <c r="L736" s="381">
        <f>IF(AND('JULIO 2026'!D110&lt;&gt;"",'JULIO 2026'!Z110="POR RECOGER"),'JULIO 2026'!I110,"")</f>
        <v/>
      </c>
      <c r="P736" s="194" t="n"/>
      <c r="Q736" s="194" t="n"/>
      <c r="R736" s="194" t="n"/>
      <c r="S736" s="194" t="n"/>
      <c r="T736" s="194" t="n"/>
      <c r="U736" s="194" t="n"/>
      <c r="V736" s="194" t="n"/>
      <c r="W736" s="194" t="n"/>
      <c r="X736" s="194" t="n"/>
      <c r="Y736" s="194" t="n"/>
      <c r="Z736" s="194" t="n"/>
    </row>
    <row r="737" ht="15" customHeight="1" s="195">
      <c r="A737" s="381">
        <f>IF(AND('AGOSTO 2026'!D6&lt;&gt;"",'AGOSTO 2026'!Z6="POR RECOGER"),"AGO","")</f>
        <v/>
      </c>
      <c r="B737" s="381">
        <f>IF(AND('AGOSTO 2026'!D6&lt;&gt;"",'AGOSTO 2026'!Z6="POR RECOGER"),IF('AGOSTO 2026'!Y6&lt;&gt;"",'AGOSTO 2026'!Y6,'AGOSTO 2026'!I6),"")</f>
        <v/>
      </c>
      <c r="C737" s="381">
        <f>IF(AND('AGOSTO 2026'!D6&lt;&gt;"",'AGOSTO 2026'!Z6="POR RECOGER"),'AGOSTO 2026'!D6,"")</f>
        <v/>
      </c>
      <c r="D737" s="381">
        <f>IF(AND('AGOSTO 2026'!D6&lt;&gt;"",'AGOSTO 2026'!Z6="POR RECOGER"),'AGOSTO 2026'!F6,"")</f>
        <v/>
      </c>
      <c r="E737" s="381">
        <f>IF(AND('AGOSTO 2026'!D6&lt;&gt;"",'AGOSTO 2026'!Z6="POR RECOGER"),TEXT('AGOSTO 2026'!G6,"DD/MM/YYYY"),"")</f>
        <v/>
      </c>
      <c r="F737" s="381">
        <f>IF(AND('AGOSTO 2026'!D6&lt;&gt;"",'AGOSTO 2026'!Z6="POR RECOGER"),'AGOSTO 2026'!K6,"")</f>
        <v/>
      </c>
      <c r="G737" s="382">
        <f>IF(AND('AGOSTO 2026'!D6&lt;&gt;"",'AGOSTO 2026'!Z6="POR RECOGER"),'AGOSTO 2026'!M6,"")</f>
        <v/>
      </c>
      <c r="H737" s="382">
        <f>IF(AND('AGOSTO 2026'!D6&lt;&gt;"",'AGOSTO 2026'!Z6="POR RECOGER"),'AGOSTO 2026'!N6,"")</f>
        <v/>
      </c>
      <c r="I737" s="381">
        <f>IF(AND('AGOSTO 2026'!D6&lt;&gt;"",'AGOSTO 2026'!Z6="POR RECOGER"),'AGOSTO 2026'!P6,"")</f>
        <v/>
      </c>
      <c r="J737" s="381">
        <f>IF(AND('AGOSTO 2026'!D6&lt;&gt;"",'AGOSTO 2026'!Z6="POR RECOGER"),'AGOSTO 2026'!Q6,"")</f>
        <v/>
      </c>
      <c r="K737" s="381">
        <f>IF(AND('AGOSTO 2026'!D6&lt;&gt;"",'AGOSTO 2026'!Z6="POR RECOGER"),'AGOSTO 2026'!Y6,"")</f>
        <v/>
      </c>
      <c r="L737" s="381">
        <f>IF(AND('AGOSTO 2026'!D6&lt;&gt;"",'AGOSTO 2026'!Z6="POR RECOGER"),'AGOSTO 2026'!I6,"")</f>
        <v/>
      </c>
      <c r="P737" s="194" t="n"/>
      <c r="Q737" s="194" t="n"/>
      <c r="R737" s="194" t="n"/>
      <c r="S737" s="194" t="n"/>
      <c r="T737" s="194" t="n"/>
      <c r="U737" s="194" t="n"/>
      <c r="V737" s="194" t="n"/>
      <c r="W737" s="194" t="n"/>
      <c r="X737" s="194" t="n"/>
      <c r="Y737" s="194" t="n"/>
      <c r="Z737" s="194" t="n"/>
    </row>
    <row r="738" ht="15" customHeight="1" s="195">
      <c r="A738" s="381">
        <f>IF(AND('AGOSTO 2026'!D7&lt;&gt;"",'AGOSTO 2026'!Z7="POR RECOGER"),"AGO","")</f>
        <v/>
      </c>
      <c r="B738" s="381">
        <f>IF(AND('AGOSTO 2026'!D7&lt;&gt;"",'AGOSTO 2026'!Z7="POR RECOGER"),IF('AGOSTO 2026'!Y7&lt;&gt;"",'AGOSTO 2026'!Y7,'AGOSTO 2026'!I7),"")</f>
        <v/>
      </c>
      <c r="C738" s="381">
        <f>IF(AND('AGOSTO 2026'!D7&lt;&gt;"",'AGOSTO 2026'!Z7="POR RECOGER"),'AGOSTO 2026'!D7,"")</f>
        <v/>
      </c>
      <c r="D738" s="381">
        <f>IF(AND('AGOSTO 2026'!D7&lt;&gt;"",'AGOSTO 2026'!Z7="POR RECOGER"),'AGOSTO 2026'!F7,"")</f>
        <v/>
      </c>
      <c r="E738" s="381">
        <f>IF(AND('AGOSTO 2026'!D7&lt;&gt;"",'AGOSTO 2026'!Z7="POR RECOGER"),TEXT('AGOSTO 2026'!G7,"DD/MM/YYYY"),"")</f>
        <v/>
      </c>
      <c r="F738" s="381">
        <f>IF(AND('AGOSTO 2026'!D7&lt;&gt;"",'AGOSTO 2026'!Z7="POR RECOGER"),'AGOSTO 2026'!K7,"")</f>
        <v/>
      </c>
      <c r="G738" s="382">
        <f>IF(AND('AGOSTO 2026'!D7&lt;&gt;"",'AGOSTO 2026'!Z7="POR RECOGER"),'AGOSTO 2026'!M7,"")</f>
        <v/>
      </c>
      <c r="H738" s="382">
        <f>IF(AND('AGOSTO 2026'!D7&lt;&gt;"",'AGOSTO 2026'!Z7="POR RECOGER"),'AGOSTO 2026'!N7,"")</f>
        <v/>
      </c>
      <c r="I738" s="381">
        <f>IF(AND('AGOSTO 2026'!D7&lt;&gt;"",'AGOSTO 2026'!Z7="POR RECOGER"),'AGOSTO 2026'!P7,"")</f>
        <v/>
      </c>
      <c r="J738" s="381">
        <f>IF(AND('AGOSTO 2026'!D7&lt;&gt;"",'AGOSTO 2026'!Z7="POR RECOGER"),'AGOSTO 2026'!Q7,"")</f>
        <v/>
      </c>
      <c r="K738" s="381">
        <f>IF(AND('AGOSTO 2026'!D7&lt;&gt;"",'AGOSTO 2026'!Z7="POR RECOGER"),'AGOSTO 2026'!Y7,"")</f>
        <v/>
      </c>
      <c r="L738" s="381">
        <f>IF(AND('AGOSTO 2026'!D7&lt;&gt;"",'AGOSTO 2026'!Z7="POR RECOGER"),'AGOSTO 2026'!I7,"")</f>
        <v/>
      </c>
      <c r="P738" s="194" t="n"/>
      <c r="Q738" s="194" t="n"/>
      <c r="R738" s="194" t="n"/>
      <c r="S738" s="194" t="n"/>
      <c r="T738" s="194" t="n"/>
      <c r="U738" s="194" t="n"/>
      <c r="V738" s="194" t="n"/>
      <c r="W738" s="194" t="n"/>
      <c r="X738" s="194" t="n"/>
      <c r="Y738" s="194" t="n"/>
      <c r="Z738" s="194" t="n"/>
    </row>
    <row r="739" ht="15" customHeight="1" s="195">
      <c r="A739" s="381">
        <f>IF(AND('AGOSTO 2026'!D8&lt;&gt;"",'AGOSTO 2026'!Z8="POR RECOGER"),"AGO","")</f>
        <v/>
      </c>
      <c r="B739" s="381">
        <f>IF(AND('AGOSTO 2026'!D8&lt;&gt;"",'AGOSTO 2026'!Z8="POR RECOGER"),IF('AGOSTO 2026'!Y8&lt;&gt;"",'AGOSTO 2026'!Y8,'AGOSTO 2026'!I8),"")</f>
        <v/>
      </c>
      <c r="C739" s="381">
        <f>IF(AND('AGOSTO 2026'!D8&lt;&gt;"",'AGOSTO 2026'!Z8="POR RECOGER"),'AGOSTO 2026'!D8,"")</f>
        <v/>
      </c>
      <c r="D739" s="381">
        <f>IF(AND('AGOSTO 2026'!D8&lt;&gt;"",'AGOSTO 2026'!Z8="POR RECOGER"),'AGOSTO 2026'!F8,"")</f>
        <v/>
      </c>
      <c r="E739" s="381">
        <f>IF(AND('AGOSTO 2026'!D8&lt;&gt;"",'AGOSTO 2026'!Z8="POR RECOGER"),TEXT('AGOSTO 2026'!G8,"DD/MM/YYYY"),"")</f>
        <v/>
      </c>
      <c r="F739" s="381">
        <f>IF(AND('AGOSTO 2026'!D8&lt;&gt;"",'AGOSTO 2026'!Z8="POR RECOGER"),'AGOSTO 2026'!K8,"")</f>
        <v/>
      </c>
      <c r="G739" s="382">
        <f>IF(AND('AGOSTO 2026'!D8&lt;&gt;"",'AGOSTO 2026'!Z8="POR RECOGER"),'AGOSTO 2026'!M8,"")</f>
        <v/>
      </c>
      <c r="H739" s="382">
        <f>IF(AND('AGOSTO 2026'!D8&lt;&gt;"",'AGOSTO 2026'!Z8="POR RECOGER"),'AGOSTO 2026'!N8,"")</f>
        <v/>
      </c>
      <c r="I739" s="381">
        <f>IF(AND('AGOSTO 2026'!D8&lt;&gt;"",'AGOSTO 2026'!Z8="POR RECOGER"),'AGOSTO 2026'!P8,"")</f>
        <v/>
      </c>
      <c r="J739" s="381">
        <f>IF(AND('AGOSTO 2026'!D8&lt;&gt;"",'AGOSTO 2026'!Z8="POR RECOGER"),'AGOSTO 2026'!Q8,"")</f>
        <v/>
      </c>
      <c r="K739" s="381">
        <f>IF(AND('AGOSTO 2026'!D8&lt;&gt;"",'AGOSTO 2026'!Z8="POR RECOGER"),'AGOSTO 2026'!Y8,"")</f>
        <v/>
      </c>
      <c r="L739" s="381">
        <f>IF(AND('AGOSTO 2026'!D8&lt;&gt;"",'AGOSTO 2026'!Z8="POR RECOGER"),'AGOSTO 2026'!I8,"")</f>
        <v/>
      </c>
      <c r="P739" s="194" t="n"/>
      <c r="Q739" s="194" t="n"/>
      <c r="R739" s="194" t="n"/>
      <c r="S739" s="194" t="n"/>
      <c r="T739" s="194" t="n"/>
      <c r="U739" s="194" t="n"/>
      <c r="V739" s="194" t="n"/>
      <c r="W739" s="194" t="n"/>
      <c r="X739" s="194" t="n"/>
      <c r="Y739" s="194" t="n"/>
      <c r="Z739" s="194" t="n"/>
    </row>
    <row r="740" ht="15" customHeight="1" s="195">
      <c r="A740" s="381">
        <f>IF(AND('AGOSTO 2026'!D9&lt;&gt;"",'AGOSTO 2026'!Z9="POR RECOGER"),"AGO","")</f>
        <v/>
      </c>
      <c r="B740" s="381">
        <f>IF(AND('AGOSTO 2026'!D9&lt;&gt;"",'AGOSTO 2026'!Z9="POR RECOGER"),IF('AGOSTO 2026'!Y9&lt;&gt;"",'AGOSTO 2026'!Y9,'AGOSTO 2026'!I9),"")</f>
        <v/>
      </c>
      <c r="C740" s="381">
        <f>IF(AND('AGOSTO 2026'!D9&lt;&gt;"",'AGOSTO 2026'!Z9="POR RECOGER"),'AGOSTO 2026'!D9,"")</f>
        <v/>
      </c>
      <c r="D740" s="381">
        <f>IF(AND('AGOSTO 2026'!D9&lt;&gt;"",'AGOSTO 2026'!Z9="POR RECOGER"),'AGOSTO 2026'!F9,"")</f>
        <v/>
      </c>
      <c r="E740" s="381">
        <f>IF(AND('AGOSTO 2026'!D9&lt;&gt;"",'AGOSTO 2026'!Z9="POR RECOGER"),TEXT('AGOSTO 2026'!G9,"DD/MM/YYYY"),"")</f>
        <v/>
      </c>
      <c r="F740" s="381">
        <f>IF(AND('AGOSTO 2026'!D9&lt;&gt;"",'AGOSTO 2026'!Z9="POR RECOGER"),'AGOSTO 2026'!K9,"")</f>
        <v/>
      </c>
      <c r="G740" s="382">
        <f>IF(AND('AGOSTO 2026'!D9&lt;&gt;"",'AGOSTO 2026'!Z9="POR RECOGER"),'AGOSTO 2026'!M9,"")</f>
        <v/>
      </c>
      <c r="H740" s="382">
        <f>IF(AND('AGOSTO 2026'!D9&lt;&gt;"",'AGOSTO 2026'!Z9="POR RECOGER"),'AGOSTO 2026'!N9,"")</f>
        <v/>
      </c>
      <c r="I740" s="381">
        <f>IF(AND('AGOSTO 2026'!D9&lt;&gt;"",'AGOSTO 2026'!Z9="POR RECOGER"),'AGOSTO 2026'!P9,"")</f>
        <v/>
      </c>
      <c r="J740" s="381">
        <f>IF(AND('AGOSTO 2026'!D9&lt;&gt;"",'AGOSTO 2026'!Z9="POR RECOGER"),'AGOSTO 2026'!Q9,"")</f>
        <v/>
      </c>
      <c r="K740" s="381">
        <f>IF(AND('AGOSTO 2026'!D9&lt;&gt;"",'AGOSTO 2026'!Z9="POR RECOGER"),'AGOSTO 2026'!Y9,"")</f>
        <v/>
      </c>
      <c r="L740" s="381">
        <f>IF(AND('AGOSTO 2026'!D9&lt;&gt;"",'AGOSTO 2026'!Z9="POR RECOGER"),'AGOSTO 2026'!I9,"")</f>
        <v/>
      </c>
      <c r="P740" s="194" t="n"/>
      <c r="Q740" s="194" t="n"/>
      <c r="R740" s="194" t="n"/>
      <c r="S740" s="194" t="n"/>
      <c r="T740" s="194" t="n"/>
      <c r="U740" s="194" t="n"/>
      <c r="V740" s="194" t="n"/>
      <c r="W740" s="194" t="n"/>
      <c r="X740" s="194" t="n"/>
      <c r="Y740" s="194" t="n"/>
      <c r="Z740" s="194" t="n"/>
    </row>
    <row r="741" ht="15" customHeight="1" s="195">
      <c r="A741" s="381">
        <f>IF(AND('AGOSTO 2026'!D10&lt;&gt;"",'AGOSTO 2026'!Z10="POR RECOGER"),"AGO","")</f>
        <v/>
      </c>
      <c r="B741" s="381">
        <f>IF(AND('AGOSTO 2026'!D10&lt;&gt;"",'AGOSTO 2026'!Z10="POR RECOGER"),IF('AGOSTO 2026'!Y10&lt;&gt;"",'AGOSTO 2026'!Y10,'AGOSTO 2026'!I10),"")</f>
        <v/>
      </c>
      <c r="C741" s="381">
        <f>IF(AND('AGOSTO 2026'!D10&lt;&gt;"",'AGOSTO 2026'!Z10="POR RECOGER"),'AGOSTO 2026'!D10,"")</f>
        <v/>
      </c>
      <c r="D741" s="381">
        <f>IF(AND('AGOSTO 2026'!D10&lt;&gt;"",'AGOSTO 2026'!Z10="POR RECOGER"),'AGOSTO 2026'!F10,"")</f>
        <v/>
      </c>
      <c r="E741" s="381">
        <f>IF(AND('AGOSTO 2026'!D10&lt;&gt;"",'AGOSTO 2026'!Z10="POR RECOGER"),TEXT('AGOSTO 2026'!G10,"DD/MM/YYYY"),"")</f>
        <v/>
      </c>
      <c r="F741" s="381">
        <f>IF(AND('AGOSTO 2026'!D10&lt;&gt;"",'AGOSTO 2026'!Z10="POR RECOGER"),'AGOSTO 2026'!K10,"")</f>
        <v/>
      </c>
      <c r="G741" s="382">
        <f>IF(AND('AGOSTO 2026'!D10&lt;&gt;"",'AGOSTO 2026'!Z10="POR RECOGER"),'AGOSTO 2026'!M10,"")</f>
        <v/>
      </c>
      <c r="H741" s="382">
        <f>IF(AND('AGOSTO 2026'!D10&lt;&gt;"",'AGOSTO 2026'!Z10="POR RECOGER"),'AGOSTO 2026'!N10,"")</f>
        <v/>
      </c>
      <c r="I741" s="381">
        <f>IF(AND('AGOSTO 2026'!D10&lt;&gt;"",'AGOSTO 2026'!Z10="POR RECOGER"),'AGOSTO 2026'!P10,"")</f>
        <v/>
      </c>
      <c r="J741" s="381">
        <f>IF(AND('AGOSTO 2026'!D10&lt;&gt;"",'AGOSTO 2026'!Z10="POR RECOGER"),'AGOSTO 2026'!Q10,"")</f>
        <v/>
      </c>
      <c r="K741" s="381">
        <f>IF(AND('AGOSTO 2026'!D10&lt;&gt;"",'AGOSTO 2026'!Z10="POR RECOGER"),'AGOSTO 2026'!Y10,"")</f>
        <v/>
      </c>
      <c r="L741" s="381">
        <f>IF(AND('AGOSTO 2026'!D10&lt;&gt;"",'AGOSTO 2026'!Z10="POR RECOGER"),'AGOSTO 2026'!I10,"")</f>
        <v/>
      </c>
      <c r="P741" s="194" t="n"/>
      <c r="Q741" s="194" t="n"/>
      <c r="R741" s="194" t="n"/>
      <c r="S741" s="194" t="n"/>
      <c r="T741" s="194" t="n"/>
      <c r="U741" s="194" t="n"/>
      <c r="V741" s="194" t="n"/>
      <c r="W741" s="194" t="n"/>
      <c r="X741" s="194" t="n"/>
      <c r="Y741" s="194" t="n"/>
      <c r="Z741" s="194" t="n"/>
    </row>
    <row r="742" ht="15" customHeight="1" s="195">
      <c r="A742" s="381">
        <f>IF(AND('AGOSTO 2026'!D11&lt;&gt;"",'AGOSTO 2026'!Z11="POR RECOGER"),"AGO","")</f>
        <v/>
      </c>
      <c r="B742" s="381">
        <f>IF(AND('AGOSTO 2026'!D11&lt;&gt;"",'AGOSTO 2026'!Z11="POR RECOGER"),IF('AGOSTO 2026'!Y11&lt;&gt;"",'AGOSTO 2026'!Y11,'AGOSTO 2026'!I11),"")</f>
        <v/>
      </c>
      <c r="C742" s="381">
        <f>IF(AND('AGOSTO 2026'!D11&lt;&gt;"",'AGOSTO 2026'!Z11="POR RECOGER"),'AGOSTO 2026'!D11,"")</f>
        <v/>
      </c>
      <c r="D742" s="381">
        <f>IF(AND('AGOSTO 2026'!D11&lt;&gt;"",'AGOSTO 2026'!Z11="POR RECOGER"),'AGOSTO 2026'!F11,"")</f>
        <v/>
      </c>
      <c r="E742" s="381">
        <f>IF(AND('AGOSTO 2026'!D11&lt;&gt;"",'AGOSTO 2026'!Z11="POR RECOGER"),TEXT('AGOSTO 2026'!G11,"DD/MM/YYYY"),"")</f>
        <v/>
      </c>
      <c r="F742" s="381">
        <f>IF(AND('AGOSTO 2026'!D11&lt;&gt;"",'AGOSTO 2026'!Z11="POR RECOGER"),'AGOSTO 2026'!K11,"")</f>
        <v/>
      </c>
      <c r="G742" s="382">
        <f>IF(AND('AGOSTO 2026'!D11&lt;&gt;"",'AGOSTO 2026'!Z11="POR RECOGER"),'AGOSTO 2026'!M11,"")</f>
        <v/>
      </c>
      <c r="H742" s="382">
        <f>IF(AND('AGOSTO 2026'!D11&lt;&gt;"",'AGOSTO 2026'!Z11="POR RECOGER"),'AGOSTO 2026'!N11,"")</f>
        <v/>
      </c>
      <c r="I742" s="381">
        <f>IF(AND('AGOSTO 2026'!D11&lt;&gt;"",'AGOSTO 2026'!Z11="POR RECOGER"),'AGOSTO 2026'!P11,"")</f>
        <v/>
      </c>
      <c r="J742" s="381">
        <f>IF(AND('AGOSTO 2026'!D11&lt;&gt;"",'AGOSTO 2026'!Z11="POR RECOGER"),'AGOSTO 2026'!Q11,"")</f>
        <v/>
      </c>
      <c r="K742" s="381">
        <f>IF(AND('AGOSTO 2026'!D11&lt;&gt;"",'AGOSTO 2026'!Z11="POR RECOGER"),'AGOSTO 2026'!Y11,"")</f>
        <v/>
      </c>
      <c r="L742" s="381">
        <f>IF(AND('AGOSTO 2026'!D11&lt;&gt;"",'AGOSTO 2026'!Z11="POR RECOGER"),'AGOSTO 2026'!I11,"")</f>
        <v/>
      </c>
      <c r="P742" s="194" t="n"/>
      <c r="Q742" s="194" t="n"/>
      <c r="R742" s="194" t="n"/>
      <c r="S742" s="194" t="n"/>
      <c r="T742" s="194" t="n"/>
      <c r="U742" s="194" t="n"/>
      <c r="V742" s="194" t="n"/>
      <c r="W742" s="194" t="n"/>
      <c r="X742" s="194" t="n"/>
      <c r="Y742" s="194" t="n"/>
      <c r="Z742" s="194" t="n"/>
    </row>
    <row r="743" ht="15" customHeight="1" s="195">
      <c r="A743" s="381">
        <f>IF(AND('AGOSTO 2026'!D12&lt;&gt;"",'AGOSTO 2026'!Z12="POR RECOGER"),"AGO","")</f>
        <v/>
      </c>
      <c r="B743" s="381">
        <f>IF(AND('AGOSTO 2026'!D12&lt;&gt;"",'AGOSTO 2026'!Z12="POR RECOGER"),IF('AGOSTO 2026'!Y12&lt;&gt;"",'AGOSTO 2026'!Y12,'AGOSTO 2026'!I12),"")</f>
        <v/>
      </c>
      <c r="C743" s="381">
        <f>IF(AND('AGOSTO 2026'!D12&lt;&gt;"",'AGOSTO 2026'!Z12="POR RECOGER"),'AGOSTO 2026'!D12,"")</f>
        <v/>
      </c>
      <c r="D743" s="381">
        <f>IF(AND('AGOSTO 2026'!D12&lt;&gt;"",'AGOSTO 2026'!Z12="POR RECOGER"),'AGOSTO 2026'!F12,"")</f>
        <v/>
      </c>
      <c r="E743" s="381">
        <f>IF(AND('AGOSTO 2026'!D12&lt;&gt;"",'AGOSTO 2026'!Z12="POR RECOGER"),TEXT('AGOSTO 2026'!G12,"DD/MM/YYYY"),"")</f>
        <v/>
      </c>
      <c r="F743" s="381">
        <f>IF(AND('AGOSTO 2026'!D12&lt;&gt;"",'AGOSTO 2026'!Z12="POR RECOGER"),'AGOSTO 2026'!K12,"")</f>
        <v/>
      </c>
      <c r="G743" s="382">
        <f>IF(AND('AGOSTO 2026'!D12&lt;&gt;"",'AGOSTO 2026'!Z12="POR RECOGER"),'AGOSTO 2026'!M12,"")</f>
        <v/>
      </c>
      <c r="H743" s="382">
        <f>IF(AND('AGOSTO 2026'!D12&lt;&gt;"",'AGOSTO 2026'!Z12="POR RECOGER"),'AGOSTO 2026'!N12,"")</f>
        <v/>
      </c>
      <c r="I743" s="381">
        <f>IF(AND('AGOSTO 2026'!D12&lt;&gt;"",'AGOSTO 2026'!Z12="POR RECOGER"),'AGOSTO 2026'!P12,"")</f>
        <v/>
      </c>
      <c r="J743" s="381">
        <f>IF(AND('AGOSTO 2026'!D12&lt;&gt;"",'AGOSTO 2026'!Z12="POR RECOGER"),'AGOSTO 2026'!Q12,"")</f>
        <v/>
      </c>
      <c r="K743" s="381">
        <f>IF(AND('AGOSTO 2026'!D12&lt;&gt;"",'AGOSTO 2026'!Z12="POR RECOGER"),'AGOSTO 2026'!Y12,"")</f>
        <v/>
      </c>
      <c r="L743" s="381">
        <f>IF(AND('AGOSTO 2026'!D12&lt;&gt;"",'AGOSTO 2026'!Z12="POR RECOGER"),'AGOSTO 2026'!I12,"")</f>
        <v/>
      </c>
      <c r="P743" s="194" t="n"/>
      <c r="Q743" s="194" t="n"/>
      <c r="R743" s="194" t="n"/>
      <c r="S743" s="194" t="n"/>
      <c r="T743" s="194" t="n"/>
      <c r="U743" s="194" t="n"/>
      <c r="V743" s="194" t="n"/>
      <c r="W743" s="194" t="n"/>
      <c r="X743" s="194" t="n"/>
      <c r="Y743" s="194" t="n"/>
      <c r="Z743" s="194" t="n"/>
    </row>
    <row r="744" ht="15" customHeight="1" s="195">
      <c r="A744" s="381">
        <f>IF(AND('AGOSTO 2026'!D13&lt;&gt;"",'AGOSTO 2026'!Z13="POR RECOGER"),"AGO","")</f>
        <v/>
      </c>
      <c r="B744" s="381">
        <f>IF(AND('AGOSTO 2026'!D13&lt;&gt;"",'AGOSTO 2026'!Z13="POR RECOGER"),IF('AGOSTO 2026'!Y13&lt;&gt;"",'AGOSTO 2026'!Y13,'AGOSTO 2026'!I13),"")</f>
        <v/>
      </c>
      <c r="C744" s="381">
        <f>IF(AND('AGOSTO 2026'!D13&lt;&gt;"",'AGOSTO 2026'!Z13="POR RECOGER"),'AGOSTO 2026'!D13,"")</f>
        <v/>
      </c>
      <c r="D744" s="381">
        <f>IF(AND('AGOSTO 2026'!D13&lt;&gt;"",'AGOSTO 2026'!Z13="POR RECOGER"),'AGOSTO 2026'!F13,"")</f>
        <v/>
      </c>
      <c r="E744" s="381">
        <f>IF(AND('AGOSTO 2026'!D13&lt;&gt;"",'AGOSTO 2026'!Z13="POR RECOGER"),TEXT('AGOSTO 2026'!G13,"DD/MM/YYYY"),"")</f>
        <v/>
      </c>
      <c r="F744" s="381">
        <f>IF(AND('AGOSTO 2026'!D13&lt;&gt;"",'AGOSTO 2026'!Z13="POR RECOGER"),'AGOSTO 2026'!K13,"")</f>
        <v/>
      </c>
      <c r="G744" s="382">
        <f>IF(AND('AGOSTO 2026'!D13&lt;&gt;"",'AGOSTO 2026'!Z13="POR RECOGER"),'AGOSTO 2026'!M13,"")</f>
        <v/>
      </c>
      <c r="H744" s="382">
        <f>IF(AND('AGOSTO 2026'!D13&lt;&gt;"",'AGOSTO 2026'!Z13="POR RECOGER"),'AGOSTO 2026'!N13,"")</f>
        <v/>
      </c>
      <c r="I744" s="381">
        <f>IF(AND('AGOSTO 2026'!D13&lt;&gt;"",'AGOSTO 2026'!Z13="POR RECOGER"),'AGOSTO 2026'!P13,"")</f>
        <v/>
      </c>
      <c r="J744" s="381">
        <f>IF(AND('AGOSTO 2026'!D13&lt;&gt;"",'AGOSTO 2026'!Z13="POR RECOGER"),'AGOSTO 2026'!Q13,"")</f>
        <v/>
      </c>
      <c r="K744" s="381">
        <f>IF(AND('AGOSTO 2026'!D13&lt;&gt;"",'AGOSTO 2026'!Z13="POR RECOGER"),'AGOSTO 2026'!Y13,"")</f>
        <v/>
      </c>
      <c r="L744" s="381">
        <f>IF(AND('AGOSTO 2026'!D13&lt;&gt;"",'AGOSTO 2026'!Z13="POR RECOGER"),'AGOSTO 2026'!I13,"")</f>
        <v/>
      </c>
      <c r="P744" s="194" t="n"/>
      <c r="Q744" s="194" t="n"/>
      <c r="R744" s="194" t="n"/>
      <c r="S744" s="194" t="n"/>
      <c r="T744" s="194" t="n"/>
      <c r="U744" s="194" t="n"/>
      <c r="V744" s="194" t="n"/>
      <c r="W744" s="194" t="n"/>
      <c r="X744" s="194" t="n"/>
      <c r="Y744" s="194" t="n"/>
      <c r="Z744" s="194" t="n"/>
    </row>
    <row r="745" ht="15" customHeight="1" s="195">
      <c r="A745" s="381">
        <f>IF(AND('AGOSTO 2026'!D14&lt;&gt;"",'AGOSTO 2026'!Z14="POR RECOGER"),"AGO","")</f>
        <v/>
      </c>
      <c r="B745" s="381">
        <f>IF(AND('AGOSTO 2026'!D14&lt;&gt;"",'AGOSTO 2026'!Z14="POR RECOGER"),IF('AGOSTO 2026'!Y14&lt;&gt;"",'AGOSTO 2026'!Y14,'AGOSTO 2026'!I14),"")</f>
        <v/>
      </c>
      <c r="C745" s="381">
        <f>IF(AND('AGOSTO 2026'!D14&lt;&gt;"",'AGOSTO 2026'!Z14="POR RECOGER"),'AGOSTO 2026'!D14,"")</f>
        <v/>
      </c>
      <c r="D745" s="381">
        <f>IF(AND('AGOSTO 2026'!D14&lt;&gt;"",'AGOSTO 2026'!Z14="POR RECOGER"),'AGOSTO 2026'!F14,"")</f>
        <v/>
      </c>
      <c r="E745" s="381">
        <f>IF(AND('AGOSTO 2026'!D14&lt;&gt;"",'AGOSTO 2026'!Z14="POR RECOGER"),TEXT('AGOSTO 2026'!G14,"DD/MM/YYYY"),"")</f>
        <v/>
      </c>
      <c r="F745" s="381">
        <f>IF(AND('AGOSTO 2026'!D14&lt;&gt;"",'AGOSTO 2026'!Z14="POR RECOGER"),'AGOSTO 2026'!K14,"")</f>
        <v/>
      </c>
      <c r="G745" s="382">
        <f>IF(AND('AGOSTO 2026'!D14&lt;&gt;"",'AGOSTO 2026'!Z14="POR RECOGER"),'AGOSTO 2026'!M14,"")</f>
        <v/>
      </c>
      <c r="H745" s="382">
        <f>IF(AND('AGOSTO 2026'!D14&lt;&gt;"",'AGOSTO 2026'!Z14="POR RECOGER"),'AGOSTO 2026'!N14,"")</f>
        <v/>
      </c>
      <c r="I745" s="381">
        <f>IF(AND('AGOSTO 2026'!D14&lt;&gt;"",'AGOSTO 2026'!Z14="POR RECOGER"),'AGOSTO 2026'!P14,"")</f>
        <v/>
      </c>
      <c r="J745" s="381">
        <f>IF(AND('AGOSTO 2026'!D14&lt;&gt;"",'AGOSTO 2026'!Z14="POR RECOGER"),'AGOSTO 2026'!Q14,"")</f>
        <v/>
      </c>
      <c r="K745" s="381">
        <f>IF(AND('AGOSTO 2026'!D14&lt;&gt;"",'AGOSTO 2026'!Z14="POR RECOGER"),'AGOSTO 2026'!Y14,"")</f>
        <v/>
      </c>
      <c r="L745" s="381">
        <f>IF(AND('AGOSTO 2026'!D14&lt;&gt;"",'AGOSTO 2026'!Z14="POR RECOGER"),'AGOSTO 2026'!I14,"")</f>
        <v/>
      </c>
      <c r="P745" s="194" t="n"/>
      <c r="Q745" s="194" t="n"/>
      <c r="R745" s="194" t="n"/>
      <c r="S745" s="194" t="n"/>
      <c r="T745" s="194" t="n"/>
      <c r="U745" s="194" t="n"/>
      <c r="V745" s="194" t="n"/>
      <c r="W745" s="194" t="n"/>
      <c r="X745" s="194" t="n"/>
      <c r="Y745" s="194" t="n"/>
      <c r="Z745" s="194" t="n"/>
    </row>
    <row r="746" ht="15" customHeight="1" s="195">
      <c r="A746" s="381">
        <f>IF(AND('AGOSTO 2026'!D15&lt;&gt;"",'AGOSTO 2026'!Z15="POR RECOGER"),"AGO","")</f>
        <v/>
      </c>
      <c r="B746" s="381">
        <f>IF(AND('AGOSTO 2026'!D15&lt;&gt;"",'AGOSTO 2026'!Z15="POR RECOGER"),IF('AGOSTO 2026'!Y15&lt;&gt;"",'AGOSTO 2026'!Y15,'AGOSTO 2026'!I15),"")</f>
        <v/>
      </c>
      <c r="C746" s="381">
        <f>IF(AND('AGOSTO 2026'!D15&lt;&gt;"",'AGOSTO 2026'!Z15="POR RECOGER"),'AGOSTO 2026'!D15,"")</f>
        <v/>
      </c>
      <c r="D746" s="381">
        <f>IF(AND('AGOSTO 2026'!D15&lt;&gt;"",'AGOSTO 2026'!Z15="POR RECOGER"),'AGOSTO 2026'!F15,"")</f>
        <v/>
      </c>
      <c r="E746" s="381">
        <f>IF(AND('AGOSTO 2026'!D15&lt;&gt;"",'AGOSTO 2026'!Z15="POR RECOGER"),TEXT('AGOSTO 2026'!G15,"DD/MM/YYYY"),"")</f>
        <v/>
      </c>
      <c r="F746" s="381">
        <f>IF(AND('AGOSTO 2026'!D15&lt;&gt;"",'AGOSTO 2026'!Z15="POR RECOGER"),'AGOSTO 2026'!K15,"")</f>
        <v/>
      </c>
      <c r="G746" s="382">
        <f>IF(AND('AGOSTO 2026'!D15&lt;&gt;"",'AGOSTO 2026'!Z15="POR RECOGER"),'AGOSTO 2026'!M15,"")</f>
        <v/>
      </c>
      <c r="H746" s="382">
        <f>IF(AND('AGOSTO 2026'!D15&lt;&gt;"",'AGOSTO 2026'!Z15="POR RECOGER"),'AGOSTO 2026'!N15,"")</f>
        <v/>
      </c>
      <c r="I746" s="381">
        <f>IF(AND('AGOSTO 2026'!D15&lt;&gt;"",'AGOSTO 2026'!Z15="POR RECOGER"),'AGOSTO 2026'!P15,"")</f>
        <v/>
      </c>
      <c r="J746" s="381">
        <f>IF(AND('AGOSTO 2026'!D15&lt;&gt;"",'AGOSTO 2026'!Z15="POR RECOGER"),'AGOSTO 2026'!Q15,"")</f>
        <v/>
      </c>
      <c r="K746" s="381">
        <f>IF(AND('AGOSTO 2026'!D15&lt;&gt;"",'AGOSTO 2026'!Z15="POR RECOGER"),'AGOSTO 2026'!Y15,"")</f>
        <v/>
      </c>
      <c r="L746" s="381">
        <f>IF(AND('AGOSTO 2026'!D15&lt;&gt;"",'AGOSTO 2026'!Z15="POR RECOGER"),'AGOSTO 2026'!I15,"")</f>
        <v/>
      </c>
      <c r="P746" s="194" t="n"/>
      <c r="Q746" s="194" t="n"/>
      <c r="R746" s="194" t="n"/>
      <c r="S746" s="194" t="n"/>
      <c r="T746" s="194" t="n"/>
      <c r="U746" s="194" t="n"/>
      <c r="V746" s="194" t="n"/>
      <c r="W746" s="194" t="n"/>
      <c r="X746" s="194" t="n"/>
      <c r="Y746" s="194" t="n"/>
      <c r="Z746" s="194" t="n"/>
    </row>
    <row r="747" ht="15" customHeight="1" s="195">
      <c r="A747" s="381">
        <f>IF(AND('AGOSTO 2026'!D16&lt;&gt;"",'AGOSTO 2026'!Z16="POR RECOGER"),"AGO","")</f>
        <v/>
      </c>
      <c r="B747" s="381">
        <f>IF(AND('AGOSTO 2026'!D16&lt;&gt;"",'AGOSTO 2026'!Z16="POR RECOGER"),IF('AGOSTO 2026'!Y16&lt;&gt;"",'AGOSTO 2026'!Y16,'AGOSTO 2026'!I16),"")</f>
        <v/>
      </c>
      <c r="C747" s="381">
        <f>IF(AND('AGOSTO 2026'!D16&lt;&gt;"",'AGOSTO 2026'!Z16="POR RECOGER"),'AGOSTO 2026'!D16,"")</f>
        <v/>
      </c>
      <c r="D747" s="381">
        <f>IF(AND('AGOSTO 2026'!D16&lt;&gt;"",'AGOSTO 2026'!Z16="POR RECOGER"),'AGOSTO 2026'!F16,"")</f>
        <v/>
      </c>
      <c r="E747" s="381">
        <f>IF(AND('AGOSTO 2026'!D16&lt;&gt;"",'AGOSTO 2026'!Z16="POR RECOGER"),TEXT('AGOSTO 2026'!G16,"DD/MM/YYYY"),"")</f>
        <v/>
      </c>
      <c r="F747" s="381">
        <f>IF(AND('AGOSTO 2026'!D16&lt;&gt;"",'AGOSTO 2026'!Z16="POR RECOGER"),'AGOSTO 2026'!K16,"")</f>
        <v/>
      </c>
      <c r="G747" s="382">
        <f>IF(AND('AGOSTO 2026'!D16&lt;&gt;"",'AGOSTO 2026'!Z16="POR RECOGER"),'AGOSTO 2026'!M16,"")</f>
        <v/>
      </c>
      <c r="H747" s="382">
        <f>IF(AND('AGOSTO 2026'!D16&lt;&gt;"",'AGOSTO 2026'!Z16="POR RECOGER"),'AGOSTO 2026'!N16,"")</f>
        <v/>
      </c>
      <c r="I747" s="381">
        <f>IF(AND('AGOSTO 2026'!D16&lt;&gt;"",'AGOSTO 2026'!Z16="POR RECOGER"),'AGOSTO 2026'!P16,"")</f>
        <v/>
      </c>
      <c r="J747" s="381">
        <f>IF(AND('AGOSTO 2026'!D16&lt;&gt;"",'AGOSTO 2026'!Z16="POR RECOGER"),'AGOSTO 2026'!Q16,"")</f>
        <v/>
      </c>
      <c r="K747" s="381">
        <f>IF(AND('AGOSTO 2026'!D16&lt;&gt;"",'AGOSTO 2026'!Z16="POR RECOGER"),'AGOSTO 2026'!Y16,"")</f>
        <v/>
      </c>
      <c r="L747" s="381">
        <f>IF(AND('AGOSTO 2026'!D16&lt;&gt;"",'AGOSTO 2026'!Z16="POR RECOGER"),'AGOSTO 2026'!I16,"")</f>
        <v/>
      </c>
      <c r="P747" s="194" t="n"/>
      <c r="Q747" s="194" t="n"/>
      <c r="R747" s="194" t="n"/>
      <c r="S747" s="194" t="n"/>
      <c r="T747" s="194" t="n"/>
      <c r="U747" s="194" t="n"/>
      <c r="V747" s="194" t="n"/>
      <c r="W747" s="194" t="n"/>
      <c r="X747" s="194" t="n"/>
      <c r="Y747" s="194" t="n"/>
      <c r="Z747" s="194" t="n"/>
    </row>
    <row r="748" ht="15" customHeight="1" s="195">
      <c r="A748" s="381">
        <f>IF(AND('AGOSTO 2026'!D17&lt;&gt;"",'AGOSTO 2026'!Z17="POR RECOGER"),"AGO","")</f>
        <v/>
      </c>
      <c r="B748" s="381">
        <f>IF(AND('AGOSTO 2026'!D17&lt;&gt;"",'AGOSTO 2026'!Z17="POR RECOGER"),IF('AGOSTO 2026'!Y17&lt;&gt;"",'AGOSTO 2026'!Y17,'AGOSTO 2026'!I17),"")</f>
        <v/>
      </c>
      <c r="C748" s="381">
        <f>IF(AND('AGOSTO 2026'!D17&lt;&gt;"",'AGOSTO 2026'!Z17="POR RECOGER"),'AGOSTO 2026'!D17,"")</f>
        <v/>
      </c>
      <c r="D748" s="381">
        <f>IF(AND('AGOSTO 2026'!D17&lt;&gt;"",'AGOSTO 2026'!Z17="POR RECOGER"),'AGOSTO 2026'!F17,"")</f>
        <v/>
      </c>
      <c r="E748" s="381">
        <f>IF(AND('AGOSTO 2026'!D17&lt;&gt;"",'AGOSTO 2026'!Z17="POR RECOGER"),TEXT('AGOSTO 2026'!G17,"DD/MM/YYYY"),"")</f>
        <v/>
      </c>
      <c r="F748" s="381">
        <f>IF(AND('AGOSTO 2026'!D17&lt;&gt;"",'AGOSTO 2026'!Z17="POR RECOGER"),'AGOSTO 2026'!K17,"")</f>
        <v/>
      </c>
      <c r="G748" s="382">
        <f>IF(AND('AGOSTO 2026'!D17&lt;&gt;"",'AGOSTO 2026'!Z17="POR RECOGER"),'AGOSTO 2026'!M17,"")</f>
        <v/>
      </c>
      <c r="H748" s="382">
        <f>IF(AND('AGOSTO 2026'!D17&lt;&gt;"",'AGOSTO 2026'!Z17="POR RECOGER"),'AGOSTO 2026'!N17,"")</f>
        <v/>
      </c>
      <c r="I748" s="381">
        <f>IF(AND('AGOSTO 2026'!D17&lt;&gt;"",'AGOSTO 2026'!Z17="POR RECOGER"),'AGOSTO 2026'!P17,"")</f>
        <v/>
      </c>
      <c r="J748" s="381">
        <f>IF(AND('AGOSTO 2026'!D17&lt;&gt;"",'AGOSTO 2026'!Z17="POR RECOGER"),'AGOSTO 2026'!Q17,"")</f>
        <v/>
      </c>
      <c r="K748" s="381">
        <f>IF(AND('AGOSTO 2026'!D17&lt;&gt;"",'AGOSTO 2026'!Z17="POR RECOGER"),'AGOSTO 2026'!Y17,"")</f>
        <v/>
      </c>
      <c r="L748" s="381">
        <f>IF(AND('AGOSTO 2026'!D17&lt;&gt;"",'AGOSTO 2026'!Z17="POR RECOGER"),'AGOSTO 2026'!I17,"")</f>
        <v/>
      </c>
      <c r="P748" s="194" t="n"/>
      <c r="Q748" s="194" t="n"/>
      <c r="R748" s="194" t="n"/>
      <c r="S748" s="194" t="n"/>
      <c r="T748" s="194" t="n"/>
      <c r="U748" s="194" t="n"/>
      <c r="V748" s="194" t="n"/>
      <c r="W748" s="194" t="n"/>
      <c r="X748" s="194" t="n"/>
      <c r="Y748" s="194" t="n"/>
      <c r="Z748" s="194" t="n"/>
    </row>
    <row r="749" ht="15" customHeight="1" s="195">
      <c r="A749" s="381">
        <f>IF(AND('AGOSTO 2026'!D18&lt;&gt;"",'AGOSTO 2026'!Z18="POR RECOGER"),"AGO","")</f>
        <v/>
      </c>
      <c r="B749" s="381">
        <f>IF(AND('AGOSTO 2026'!D18&lt;&gt;"",'AGOSTO 2026'!Z18="POR RECOGER"),IF('AGOSTO 2026'!Y18&lt;&gt;"",'AGOSTO 2026'!Y18,'AGOSTO 2026'!I18),"")</f>
        <v/>
      </c>
      <c r="C749" s="381">
        <f>IF(AND('AGOSTO 2026'!D18&lt;&gt;"",'AGOSTO 2026'!Z18="POR RECOGER"),'AGOSTO 2026'!D18,"")</f>
        <v/>
      </c>
      <c r="D749" s="381">
        <f>IF(AND('AGOSTO 2026'!D18&lt;&gt;"",'AGOSTO 2026'!Z18="POR RECOGER"),'AGOSTO 2026'!F18,"")</f>
        <v/>
      </c>
      <c r="E749" s="381">
        <f>IF(AND('AGOSTO 2026'!D18&lt;&gt;"",'AGOSTO 2026'!Z18="POR RECOGER"),TEXT('AGOSTO 2026'!G18,"DD/MM/YYYY"),"")</f>
        <v/>
      </c>
      <c r="F749" s="381">
        <f>IF(AND('AGOSTO 2026'!D18&lt;&gt;"",'AGOSTO 2026'!Z18="POR RECOGER"),'AGOSTO 2026'!K18,"")</f>
        <v/>
      </c>
      <c r="G749" s="382">
        <f>IF(AND('AGOSTO 2026'!D18&lt;&gt;"",'AGOSTO 2026'!Z18="POR RECOGER"),'AGOSTO 2026'!M18,"")</f>
        <v/>
      </c>
      <c r="H749" s="382">
        <f>IF(AND('AGOSTO 2026'!D18&lt;&gt;"",'AGOSTO 2026'!Z18="POR RECOGER"),'AGOSTO 2026'!N18,"")</f>
        <v/>
      </c>
      <c r="I749" s="381">
        <f>IF(AND('AGOSTO 2026'!D18&lt;&gt;"",'AGOSTO 2026'!Z18="POR RECOGER"),'AGOSTO 2026'!P18,"")</f>
        <v/>
      </c>
      <c r="J749" s="381">
        <f>IF(AND('AGOSTO 2026'!D18&lt;&gt;"",'AGOSTO 2026'!Z18="POR RECOGER"),'AGOSTO 2026'!Q18,"")</f>
        <v/>
      </c>
      <c r="K749" s="381">
        <f>IF(AND('AGOSTO 2026'!D18&lt;&gt;"",'AGOSTO 2026'!Z18="POR RECOGER"),'AGOSTO 2026'!Y18,"")</f>
        <v/>
      </c>
      <c r="L749" s="381">
        <f>IF(AND('AGOSTO 2026'!D18&lt;&gt;"",'AGOSTO 2026'!Z18="POR RECOGER"),'AGOSTO 2026'!I18,"")</f>
        <v/>
      </c>
      <c r="P749" s="194" t="n"/>
      <c r="Q749" s="194" t="n"/>
      <c r="R749" s="194" t="n"/>
      <c r="S749" s="194" t="n"/>
      <c r="T749" s="194" t="n"/>
      <c r="U749" s="194" t="n"/>
      <c r="V749" s="194" t="n"/>
      <c r="W749" s="194" t="n"/>
      <c r="X749" s="194" t="n"/>
      <c r="Y749" s="194" t="n"/>
      <c r="Z749" s="194" t="n"/>
    </row>
    <row r="750" ht="15" customHeight="1" s="195">
      <c r="A750" s="381">
        <f>IF(AND('AGOSTO 2026'!D19&lt;&gt;"",'AGOSTO 2026'!Z19="POR RECOGER"),"AGO","")</f>
        <v/>
      </c>
      <c r="B750" s="381">
        <f>IF(AND('AGOSTO 2026'!D19&lt;&gt;"",'AGOSTO 2026'!Z19="POR RECOGER"),IF('AGOSTO 2026'!Y19&lt;&gt;"",'AGOSTO 2026'!Y19,'AGOSTO 2026'!I19),"")</f>
        <v/>
      </c>
      <c r="C750" s="381">
        <f>IF(AND('AGOSTO 2026'!D19&lt;&gt;"",'AGOSTO 2026'!Z19="POR RECOGER"),'AGOSTO 2026'!D19,"")</f>
        <v/>
      </c>
      <c r="D750" s="381">
        <f>IF(AND('AGOSTO 2026'!D19&lt;&gt;"",'AGOSTO 2026'!Z19="POR RECOGER"),'AGOSTO 2026'!F19,"")</f>
        <v/>
      </c>
      <c r="E750" s="381">
        <f>IF(AND('AGOSTO 2026'!D19&lt;&gt;"",'AGOSTO 2026'!Z19="POR RECOGER"),TEXT('AGOSTO 2026'!G19,"DD/MM/YYYY"),"")</f>
        <v/>
      </c>
      <c r="F750" s="381">
        <f>IF(AND('AGOSTO 2026'!D19&lt;&gt;"",'AGOSTO 2026'!Z19="POR RECOGER"),'AGOSTO 2026'!K19,"")</f>
        <v/>
      </c>
      <c r="G750" s="382">
        <f>IF(AND('AGOSTO 2026'!D19&lt;&gt;"",'AGOSTO 2026'!Z19="POR RECOGER"),'AGOSTO 2026'!M19,"")</f>
        <v/>
      </c>
      <c r="H750" s="382">
        <f>IF(AND('AGOSTO 2026'!D19&lt;&gt;"",'AGOSTO 2026'!Z19="POR RECOGER"),'AGOSTO 2026'!N19,"")</f>
        <v/>
      </c>
      <c r="I750" s="381">
        <f>IF(AND('AGOSTO 2026'!D19&lt;&gt;"",'AGOSTO 2026'!Z19="POR RECOGER"),'AGOSTO 2026'!P19,"")</f>
        <v/>
      </c>
      <c r="J750" s="381">
        <f>IF(AND('AGOSTO 2026'!D19&lt;&gt;"",'AGOSTO 2026'!Z19="POR RECOGER"),'AGOSTO 2026'!Q19,"")</f>
        <v/>
      </c>
      <c r="K750" s="381">
        <f>IF(AND('AGOSTO 2026'!D19&lt;&gt;"",'AGOSTO 2026'!Z19="POR RECOGER"),'AGOSTO 2026'!Y19,"")</f>
        <v/>
      </c>
      <c r="L750" s="381">
        <f>IF(AND('AGOSTO 2026'!D19&lt;&gt;"",'AGOSTO 2026'!Z19="POR RECOGER"),'AGOSTO 2026'!I19,"")</f>
        <v/>
      </c>
      <c r="P750" s="194" t="n"/>
      <c r="Q750" s="194" t="n"/>
      <c r="R750" s="194" t="n"/>
      <c r="S750" s="194" t="n"/>
      <c r="T750" s="194" t="n"/>
      <c r="U750" s="194" t="n"/>
      <c r="V750" s="194" t="n"/>
      <c r="W750" s="194" t="n"/>
      <c r="X750" s="194" t="n"/>
      <c r="Y750" s="194" t="n"/>
      <c r="Z750" s="194" t="n"/>
    </row>
    <row r="751" ht="15" customHeight="1" s="195">
      <c r="A751" s="381">
        <f>IF(AND('AGOSTO 2026'!D20&lt;&gt;"",'AGOSTO 2026'!Z20="POR RECOGER"),"AGO","")</f>
        <v/>
      </c>
      <c r="B751" s="381">
        <f>IF(AND('AGOSTO 2026'!D20&lt;&gt;"",'AGOSTO 2026'!Z20="POR RECOGER"),IF('AGOSTO 2026'!Y20&lt;&gt;"",'AGOSTO 2026'!Y20,'AGOSTO 2026'!I20),"")</f>
        <v/>
      </c>
      <c r="C751" s="381">
        <f>IF(AND('AGOSTO 2026'!D20&lt;&gt;"",'AGOSTO 2026'!Z20="POR RECOGER"),'AGOSTO 2026'!D20,"")</f>
        <v/>
      </c>
      <c r="D751" s="381">
        <f>IF(AND('AGOSTO 2026'!D20&lt;&gt;"",'AGOSTO 2026'!Z20="POR RECOGER"),'AGOSTO 2026'!F20,"")</f>
        <v/>
      </c>
      <c r="E751" s="381">
        <f>IF(AND('AGOSTO 2026'!D20&lt;&gt;"",'AGOSTO 2026'!Z20="POR RECOGER"),TEXT('AGOSTO 2026'!G20,"DD/MM/YYYY"),"")</f>
        <v/>
      </c>
      <c r="F751" s="381">
        <f>IF(AND('AGOSTO 2026'!D20&lt;&gt;"",'AGOSTO 2026'!Z20="POR RECOGER"),'AGOSTO 2026'!K20,"")</f>
        <v/>
      </c>
      <c r="G751" s="382">
        <f>IF(AND('AGOSTO 2026'!D20&lt;&gt;"",'AGOSTO 2026'!Z20="POR RECOGER"),'AGOSTO 2026'!M20,"")</f>
        <v/>
      </c>
      <c r="H751" s="382">
        <f>IF(AND('AGOSTO 2026'!D20&lt;&gt;"",'AGOSTO 2026'!Z20="POR RECOGER"),'AGOSTO 2026'!N20,"")</f>
        <v/>
      </c>
      <c r="I751" s="381">
        <f>IF(AND('AGOSTO 2026'!D20&lt;&gt;"",'AGOSTO 2026'!Z20="POR RECOGER"),'AGOSTO 2026'!P20,"")</f>
        <v/>
      </c>
      <c r="J751" s="381">
        <f>IF(AND('AGOSTO 2026'!D20&lt;&gt;"",'AGOSTO 2026'!Z20="POR RECOGER"),'AGOSTO 2026'!Q20,"")</f>
        <v/>
      </c>
      <c r="K751" s="381">
        <f>IF(AND('AGOSTO 2026'!D20&lt;&gt;"",'AGOSTO 2026'!Z20="POR RECOGER"),'AGOSTO 2026'!Y20,"")</f>
        <v/>
      </c>
      <c r="L751" s="381">
        <f>IF(AND('AGOSTO 2026'!D20&lt;&gt;"",'AGOSTO 2026'!Z20="POR RECOGER"),'AGOSTO 2026'!I20,"")</f>
        <v/>
      </c>
      <c r="P751" s="194" t="n"/>
      <c r="Q751" s="194" t="n"/>
      <c r="R751" s="194" t="n"/>
      <c r="S751" s="194" t="n"/>
      <c r="T751" s="194" t="n"/>
      <c r="U751" s="194" t="n"/>
      <c r="V751" s="194" t="n"/>
      <c r="W751" s="194" t="n"/>
      <c r="X751" s="194" t="n"/>
      <c r="Y751" s="194" t="n"/>
      <c r="Z751" s="194" t="n"/>
    </row>
    <row r="752" ht="15" customHeight="1" s="195">
      <c r="A752" s="381">
        <f>IF(AND('AGOSTO 2026'!D21&lt;&gt;"",'AGOSTO 2026'!Z21="POR RECOGER"),"AGO","")</f>
        <v/>
      </c>
      <c r="B752" s="381">
        <f>IF(AND('AGOSTO 2026'!D21&lt;&gt;"",'AGOSTO 2026'!Z21="POR RECOGER"),IF('AGOSTO 2026'!Y21&lt;&gt;"",'AGOSTO 2026'!Y21,'AGOSTO 2026'!I21),"")</f>
        <v/>
      </c>
      <c r="C752" s="381">
        <f>IF(AND('AGOSTO 2026'!D21&lt;&gt;"",'AGOSTO 2026'!Z21="POR RECOGER"),'AGOSTO 2026'!D21,"")</f>
        <v/>
      </c>
      <c r="D752" s="381">
        <f>IF(AND('AGOSTO 2026'!D21&lt;&gt;"",'AGOSTO 2026'!Z21="POR RECOGER"),'AGOSTO 2026'!F21,"")</f>
        <v/>
      </c>
      <c r="E752" s="381">
        <f>IF(AND('AGOSTO 2026'!D21&lt;&gt;"",'AGOSTO 2026'!Z21="POR RECOGER"),TEXT('AGOSTO 2026'!G21,"DD/MM/YYYY"),"")</f>
        <v/>
      </c>
      <c r="F752" s="381">
        <f>IF(AND('AGOSTO 2026'!D21&lt;&gt;"",'AGOSTO 2026'!Z21="POR RECOGER"),'AGOSTO 2026'!K21,"")</f>
        <v/>
      </c>
      <c r="G752" s="382">
        <f>IF(AND('AGOSTO 2026'!D21&lt;&gt;"",'AGOSTO 2026'!Z21="POR RECOGER"),'AGOSTO 2026'!M21,"")</f>
        <v/>
      </c>
      <c r="H752" s="382">
        <f>IF(AND('AGOSTO 2026'!D21&lt;&gt;"",'AGOSTO 2026'!Z21="POR RECOGER"),'AGOSTO 2026'!N21,"")</f>
        <v/>
      </c>
      <c r="I752" s="381">
        <f>IF(AND('AGOSTO 2026'!D21&lt;&gt;"",'AGOSTO 2026'!Z21="POR RECOGER"),'AGOSTO 2026'!P21,"")</f>
        <v/>
      </c>
      <c r="J752" s="381">
        <f>IF(AND('AGOSTO 2026'!D21&lt;&gt;"",'AGOSTO 2026'!Z21="POR RECOGER"),'AGOSTO 2026'!Q21,"")</f>
        <v/>
      </c>
      <c r="K752" s="381">
        <f>IF(AND('AGOSTO 2026'!D21&lt;&gt;"",'AGOSTO 2026'!Z21="POR RECOGER"),'AGOSTO 2026'!Y21,"")</f>
        <v/>
      </c>
      <c r="L752" s="381">
        <f>IF(AND('AGOSTO 2026'!D21&lt;&gt;"",'AGOSTO 2026'!Z21="POR RECOGER"),'AGOSTO 2026'!I21,"")</f>
        <v/>
      </c>
      <c r="P752" s="194" t="n"/>
      <c r="Q752" s="194" t="n"/>
      <c r="R752" s="194" t="n"/>
      <c r="S752" s="194" t="n"/>
      <c r="T752" s="194" t="n"/>
      <c r="U752" s="194" t="n"/>
      <c r="V752" s="194" t="n"/>
      <c r="W752" s="194" t="n"/>
      <c r="X752" s="194" t="n"/>
      <c r="Y752" s="194" t="n"/>
      <c r="Z752" s="194" t="n"/>
    </row>
    <row r="753" ht="15" customHeight="1" s="195">
      <c r="A753" s="381">
        <f>IF(AND('AGOSTO 2026'!D22&lt;&gt;"",'AGOSTO 2026'!Z22="POR RECOGER"),"AGO","")</f>
        <v/>
      </c>
      <c r="B753" s="381">
        <f>IF(AND('AGOSTO 2026'!D22&lt;&gt;"",'AGOSTO 2026'!Z22="POR RECOGER"),IF('AGOSTO 2026'!Y22&lt;&gt;"",'AGOSTO 2026'!Y22,'AGOSTO 2026'!I22),"")</f>
        <v/>
      </c>
      <c r="C753" s="381">
        <f>IF(AND('AGOSTO 2026'!D22&lt;&gt;"",'AGOSTO 2026'!Z22="POR RECOGER"),'AGOSTO 2026'!D22,"")</f>
        <v/>
      </c>
      <c r="D753" s="381">
        <f>IF(AND('AGOSTO 2026'!D22&lt;&gt;"",'AGOSTO 2026'!Z22="POR RECOGER"),'AGOSTO 2026'!F22,"")</f>
        <v/>
      </c>
      <c r="E753" s="381">
        <f>IF(AND('AGOSTO 2026'!D22&lt;&gt;"",'AGOSTO 2026'!Z22="POR RECOGER"),TEXT('AGOSTO 2026'!G22,"DD/MM/YYYY"),"")</f>
        <v/>
      </c>
      <c r="F753" s="381">
        <f>IF(AND('AGOSTO 2026'!D22&lt;&gt;"",'AGOSTO 2026'!Z22="POR RECOGER"),'AGOSTO 2026'!K22,"")</f>
        <v/>
      </c>
      <c r="G753" s="382">
        <f>IF(AND('AGOSTO 2026'!D22&lt;&gt;"",'AGOSTO 2026'!Z22="POR RECOGER"),'AGOSTO 2026'!M22,"")</f>
        <v/>
      </c>
      <c r="H753" s="382">
        <f>IF(AND('AGOSTO 2026'!D22&lt;&gt;"",'AGOSTO 2026'!Z22="POR RECOGER"),'AGOSTO 2026'!N22,"")</f>
        <v/>
      </c>
      <c r="I753" s="381">
        <f>IF(AND('AGOSTO 2026'!D22&lt;&gt;"",'AGOSTO 2026'!Z22="POR RECOGER"),'AGOSTO 2026'!P22,"")</f>
        <v/>
      </c>
      <c r="J753" s="381">
        <f>IF(AND('AGOSTO 2026'!D22&lt;&gt;"",'AGOSTO 2026'!Z22="POR RECOGER"),'AGOSTO 2026'!Q22,"")</f>
        <v/>
      </c>
      <c r="K753" s="381">
        <f>IF(AND('AGOSTO 2026'!D22&lt;&gt;"",'AGOSTO 2026'!Z22="POR RECOGER"),'AGOSTO 2026'!Y22,"")</f>
        <v/>
      </c>
      <c r="L753" s="381">
        <f>IF(AND('AGOSTO 2026'!D22&lt;&gt;"",'AGOSTO 2026'!Z22="POR RECOGER"),'AGOSTO 2026'!I22,"")</f>
        <v/>
      </c>
      <c r="P753" s="194" t="n"/>
      <c r="Q753" s="194" t="n"/>
      <c r="R753" s="194" t="n"/>
      <c r="S753" s="194" t="n"/>
      <c r="T753" s="194" t="n"/>
      <c r="U753" s="194" t="n"/>
      <c r="V753" s="194" t="n"/>
      <c r="W753" s="194" t="n"/>
      <c r="X753" s="194" t="n"/>
      <c r="Y753" s="194" t="n"/>
      <c r="Z753" s="194" t="n"/>
    </row>
    <row r="754" ht="15" customHeight="1" s="195">
      <c r="A754" s="381">
        <f>IF(AND('AGOSTO 2026'!D23&lt;&gt;"",'AGOSTO 2026'!Z23="POR RECOGER"),"AGO","")</f>
        <v/>
      </c>
      <c r="B754" s="381">
        <f>IF(AND('AGOSTO 2026'!D23&lt;&gt;"",'AGOSTO 2026'!Z23="POR RECOGER"),IF('AGOSTO 2026'!Y23&lt;&gt;"",'AGOSTO 2026'!Y23,'AGOSTO 2026'!I23),"")</f>
        <v/>
      </c>
      <c r="C754" s="381">
        <f>IF(AND('AGOSTO 2026'!D23&lt;&gt;"",'AGOSTO 2026'!Z23="POR RECOGER"),'AGOSTO 2026'!D23,"")</f>
        <v/>
      </c>
      <c r="D754" s="381">
        <f>IF(AND('AGOSTO 2026'!D23&lt;&gt;"",'AGOSTO 2026'!Z23="POR RECOGER"),'AGOSTO 2026'!F23,"")</f>
        <v/>
      </c>
      <c r="E754" s="381">
        <f>IF(AND('AGOSTO 2026'!D23&lt;&gt;"",'AGOSTO 2026'!Z23="POR RECOGER"),TEXT('AGOSTO 2026'!G23,"DD/MM/YYYY"),"")</f>
        <v/>
      </c>
      <c r="F754" s="381">
        <f>IF(AND('AGOSTO 2026'!D23&lt;&gt;"",'AGOSTO 2026'!Z23="POR RECOGER"),'AGOSTO 2026'!K23,"")</f>
        <v/>
      </c>
      <c r="G754" s="382">
        <f>IF(AND('AGOSTO 2026'!D23&lt;&gt;"",'AGOSTO 2026'!Z23="POR RECOGER"),'AGOSTO 2026'!M23,"")</f>
        <v/>
      </c>
      <c r="H754" s="382">
        <f>IF(AND('AGOSTO 2026'!D23&lt;&gt;"",'AGOSTO 2026'!Z23="POR RECOGER"),'AGOSTO 2026'!N23,"")</f>
        <v/>
      </c>
      <c r="I754" s="381">
        <f>IF(AND('AGOSTO 2026'!D23&lt;&gt;"",'AGOSTO 2026'!Z23="POR RECOGER"),'AGOSTO 2026'!P23,"")</f>
        <v/>
      </c>
      <c r="J754" s="381">
        <f>IF(AND('AGOSTO 2026'!D23&lt;&gt;"",'AGOSTO 2026'!Z23="POR RECOGER"),'AGOSTO 2026'!Q23,"")</f>
        <v/>
      </c>
      <c r="K754" s="381">
        <f>IF(AND('AGOSTO 2026'!D23&lt;&gt;"",'AGOSTO 2026'!Z23="POR RECOGER"),'AGOSTO 2026'!Y23,"")</f>
        <v/>
      </c>
      <c r="L754" s="381">
        <f>IF(AND('AGOSTO 2026'!D23&lt;&gt;"",'AGOSTO 2026'!Z23="POR RECOGER"),'AGOSTO 2026'!I23,"")</f>
        <v/>
      </c>
      <c r="P754" s="194" t="n"/>
      <c r="Q754" s="194" t="n"/>
      <c r="R754" s="194" t="n"/>
      <c r="S754" s="194" t="n"/>
      <c r="T754" s="194" t="n"/>
      <c r="U754" s="194" t="n"/>
      <c r="V754" s="194" t="n"/>
      <c r="W754" s="194" t="n"/>
      <c r="X754" s="194" t="n"/>
      <c r="Y754" s="194" t="n"/>
      <c r="Z754" s="194" t="n"/>
    </row>
    <row r="755" ht="15" customHeight="1" s="195">
      <c r="A755" s="381">
        <f>IF(AND('AGOSTO 2026'!D24&lt;&gt;"",'AGOSTO 2026'!Z24="POR RECOGER"),"AGO","")</f>
        <v/>
      </c>
      <c r="B755" s="381">
        <f>IF(AND('AGOSTO 2026'!D24&lt;&gt;"",'AGOSTO 2026'!Z24="POR RECOGER"),IF('AGOSTO 2026'!Y24&lt;&gt;"",'AGOSTO 2026'!Y24,'AGOSTO 2026'!I24),"")</f>
        <v/>
      </c>
      <c r="C755" s="381">
        <f>IF(AND('AGOSTO 2026'!D24&lt;&gt;"",'AGOSTO 2026'!Z24="POR RECOGER"),'AGOSTO 2026'!D24,"")</f>
        <v/>
      </c>
      <c r="D755" s="381">
        <f>IF(AND('AGOSTO 2026'!D24&lt;&gt;"",'AGOSTO 2026'!Z24="POR RECOGER"),'AGOSTO 2026'!F24,"")</f>
        <v/>
      </c>
      <c r="E755" s="381">
        <f>IF(AND('AGOSTO 2026'!D24&lt;&gt;"",'AGOSTO 2026'!Z24="POR RECOGER"),TEXT('AGOSTO 2026'!G24,"DD/MM/YYYY"),"")</f>
        <v/>
      </c>
      <c r="F755" s="381">
        <f>IF(AND('AGOSTO 2026'!D24&lt;&gt;"",'AGOSTO 2026'!Z24="POR RECOGER"),'AGOSTO 2026'!K24,"")</f>
        <v/>
      </c>
      <c r="G755" s="382">
        <f>IF(AND('AGOSTO 2026'!D24&lt;&gt;"",'AGOSTO 2026'!Z24="POR RECOGER"),'AGOSTO 2026'!M24,"")</f>
        <v/>
      </c>
      <c r="H755" s="382">
        <f>IF(AND('AGOSTO 2026'!D24&lt;&gt;"",'AGOSTO 2026'!Z24="POR RECOGER"),'AGOSTO 2026'!N24,"")</f>
        <v/>
      </c>
      <c r="I755" s="381">
        <f>IF(AND('AGOSTO 2026'!D24&lt;&gt;"",'AGOSTO 2026'!Z24="POR RECOGER"),'AGOSTO 2026'!P24,"")</f>
        <v/>
      </c>
      <c r="J755" s="381">
        <f>IF(AND('AGOSTO 2026'!D24&lt;&gt;"",'AGOSTO 2026'!Z24="POR RECOGER"),'AGOSTO 2026'!Q24,"")</f>
        <v/>
      </c>
      <c r="K755" s="381">
        <f>IF(AND('AGOSTO 2026'!D24&lt;&gt;"",'AGOSTO 2026'!Z24="POR RECOGER"),'AGOSTO 2026'!Y24,"")</f>
        <v/>
      </c>
      <c r="L755" s="381">
        <f>IF(AND('AGOSTO 2026'!D24&lt;&gt;"",'AGOSTO 2026'!Z24="POR RECOGER"),'AGOSTO 2026'!I24,"")</f>
        <v/>
      </c>
      <c r="P755" s="194" t="n"/>
      <c r="Q755" s="194" t="n"/>
      <c r="R755" s="194" t="n"/>
      <c r="S755" s="194" t="n"/>
      <c r="T755" s="194" t="n"/>
      <c r="U755" s="194" t="n"/>
      <c r="V755" s="194" t="n"/>
      <c r="W755" s="194" t="n"/>
      <c r="X755" s="194" t="n"/>
      <c r="Y755" s="194" t="n"/>
      <c r="Z755" s="194" t="n"/>
    </row>
    <row r="756" ht="15" customHeight="1" s="195">
      <c r="A756" s="381">
        <f>IF(AND('AGOSTO 2026'!D25&lt;&gt;"",'AGOSTO 2026'!Z25="POR RECOGER"),"AGO","")</f>
        <v/>
      </c>
      <c r="B756" s="381">
        <f>IF(AND('AGOSTO 2026'!D25&lt;&gt;"",'AGOSTO 2026'!Z25="POR RECOGER"),IF('AGOSTO 2026'!Y25&lt;&gt;"",'AGOSTO 2026'!Y25,'AGOSTO 2026'!I25),"")</f>
        <v/>
      </c>
      <c r="C756" s="381">
        <f>IF(AND('AGOSTO 2026'!D25&lt;&gt;"",'AGOSTO 2026'!Z25="POR RECOGER"),'AGOSTO 2026'!D25,"")</f>
        <v/>
      </c>
      <c r="D756" s="381">
        <f>IF(AND('AGOSTO 2026'!D25&lt;&gt;"",'AGOSTO 2026'!Z25="POR RECOGER"),'AGOSTO 2026'!F25,"")</f>
        <v/>
      </c>
      <c r="E756" s="381">
        <f>IF(AND('AGOSTO 2026'!D25&lt;&gt;"",'AGOSTO 2026'!Z25="POR RECOGER"),TEXT('AGOSTO 2026'!G25,"DD/MM/YYYY"),"")</f>
        <v/>
      </c>
      <c r="F756" s="381">
        <f>IF(AND('AGOSTO 2026'!D25&lt;&gt;"",'AGOSTO 2026'!Z25="POR RECOGER"),'AGOSTO 2026'!K25,"")</f>
        <v/>
      </c>
      <c r="G756" s="382">
        <f>IF(AND('AGOSTO 2026'!D25&lt;&gt;"",'AGOSTO 2026'!Z25="POR RECOGER"),'AGOSTO 2026'!M25,"")</f>
        <v/>
      </c>
      <c r="H756" s="382">
        <f>IF(AND('AGOSTO 2026'!D25&lt;&gt;"",'AGOSTO 2026'!Z25="POR RECOGER"),'AGOSTO 2026'!N25,"")</f>
        <v/>
      </c>
      <c r="I756" s="381">
        <f>IF(AND('AGOSTO 2026'!D25&lt;&gt;"",'AGOSTO 2026'!Z25="POR RECOGER"),'AGOSTO 2026'!P25,"")</f>
        <v/>
      </c>
      <c r="J756" s="381">
        <f>IF(AND('AGOSTO 2026'!D25&lt;&gt;"",'AGOSTO 2026'!Z25="POR RECOGER"),'AGOSTO 2026'!Q25,"")</f>
        <v/>
      </c>
      <c r="K756" s="381">
        <f>IF(AND('AGOSTO 2026'!D25&lt;&gt;"",'AGOSTO 2026'!Z25="POR RECOGER"),'AGOSTO 2026'!Y25,"")</f>
        <v/>
      </c>
      <c r="L756" s="381">
        <f>IF(AND('AGOSTO 2026'!D25&lt;&gt;"",'AGOSTO 2026'!Z25="POR RECOGER"),'AGOSTO 2026'!I25,"")</f>
        <v/>
      </c>
      <c r="P756" s="194" t="n"/>
      <c r="Q756" s="194" t="n"/>
      <c r="R756" s="194" t="n"/>
      <c r="S756" s="194" t="n"/>
      <c r="T756" s="194" t="n"/>
      <c r="U756" s="194" t="n"/>
      <c r="V756" s="194" t="n"/>
      <c r="W756" s="194" t="n"/>
      <c r="X756" s="194" t="n"/>
      <c r="Y756" s="194" t="n"/>
      <c r="Z756" s="194" t="n"/>
    </row>
    <row r="757" ht="15" customHeight="1" s="195">
      <c r="A757" s="381">
        <f>IF(AND('AGOSTO 2026'!D26&lt;&gt;"",'AGOSTO 2026'!Z26="POR RECOGER"),"AGO","")</f>
        <v/>
      </c>
      <c r="B757" s="381">
        <f>IF(AND('AGOSTO 2026'!D26&lt;&gt;"",'AGOSTO 2026'!Z26="POR RECOGER"),IF('AGOSTO 2026'!Y26&lt;&gt;"",'AGOSTO 2026'!Y26,'AGOSTO 2026'!I26),"")</f>
        <v/>
      </c>
      <c r="C757" s="381">
        <f>IF(AND('AGOSTO 2026'!D26&lt;&gt;"",'AGOSTO 2026'!Z26="POR RECOGER"),'AGOSTO 2026'!D26,"")</f>
        <v/>
      </c>
      <c r="D757" s="381">
        <f>IF(AND('AGOSTO 2026'!D26&lt;&gt;"",'AGOSTO 2026'!Z26="POR RECOGER"),'AGOSTO 2026'!F26,"")</f>
        <v/>
      </c>
      <c r="E757" s="381">
        <f>IF(AND('AGOSTO 2026'!D26&lt;&gt;"",'AGOSTO 2026'!Z26="POR RECOGER"),TEXT('AGOSTO 2026'!G26,"DD/MM/YYYY"),"")</f>
        <v/>
      </c>
      <c r="F757" s="381">
        <f>IF(AND('AGOSTO 2026'!D26&lt;&gt;"",'AGOSTO 2026'!Z26="POR RECOGER"),'AGOSTO 2026'!K26,"")</f>
        <v/>
      </c>
      <c r="G757" s="382">
        <f>IF(AND('AGOSTO 2026'!D26&lt;&gt;"",'AGOSTO 2026'!Z26="POR RECOGER"),'AGOSTO 2026'!M26,"")</f>
        <v/>
      </c>
      <c r="H757" s="382">
        <f>IF(AND('AGOSTO 2026'!D26&lt;&gt;"",'AGOSTO 2026'!Z26="POR RECOGER"),'AGOSTO 2026'!N26,"")</f>
        <v/>
      </c>
      <c r="I757" s="381">
        <f>IF(AND('AGOSTO 2026'!D26&lt;&gt;"",'AGOSTO 2026'!Z26="POR RECOGER"),'AGOSTO 2026'!P26,"")</f>
        <v/>
      </c>
      <c r="J757" s="381">
        <f>IF(AND('AGOSTO 2026'!D26&lt;&gt;"",'AGOSTO 2026'!Z26="POR RECOGER"),'AGOSTO 2026'!Q26,"")</f>
        <v/>
      </c>
      <c r="K757" s="381">
        <f>IF(AND('AGOSTO 2026'!D26&lt;&gt;"",'AGOSTO 2026'!Z26="POR RECOGER"),'AGOSTO 2026'!Y26,"")</f>
        <v/>
      </c>
      <c r="L757" s="381">
        <f>IF(AND('AGOSTO 2026'!D26&lt;&gt;"",'AGOSTO 2026'!Z26="POR RECOGER"),'AGOSTO 2026'!I26,"")</f>
        <v/>
      </c>
      <c r="P757" s="194" t="n"/>
      <c r="Q757" s="194" t="n"/>
      <c r="R757" s="194" t="n"/>
      <c r="S757" s="194" t="n"/>
      <c r="T757" s="194" t="n"/>
      <c r="U757" s="194" t="n"/>
      <c r="V757" s="194" t="n"/>
      <c r="W757" s="194" t="n"/>
      <c r="X757" s="194" t="n"/>
      <c r="Y757" s="194" t="n"/>
      <c r="Z757" s="194" t="n"/>
    </row>
    <row r="758" ht="15" customHeight="1" s="195">
      <c r="A758" s="381">
        <f>IF(AND('AGOSTO 2026'!D27&lt;&gt;"",'AGOSTO 2026'!Z27="POR RECOGER"),"AGO","")</f>
        <v/>
      </c>
      <c r="B758" s="381">
        <f>IF(AND('AGOSTO 2026'!D27&lt;&gt;"",'AGOSTO 2026'!Z27="POR RECOGER"),IF('AGOSTO 2026'!Y27&lt;&gt;"",'AGOSTO 2026'!Y27,'AGOSTO 2026'!I27),"")</f>
        <v/>
      </c>
      <c r="C758" s="381">
        <f>IF(AND('AGOSTO 2026'!D27&lt;&gt;"",'AGOSTO 2026'!Z27="POR RECOGER"),'AGOSTO 2026'!D27,"")</f>
        <v/>
      </c>
      <c r="D758" s="381">
        <f>IF(AND('AGOSTO 2026'!D27&lt;&gt;"",'AGOSTO 2026'!Z27="POR RECOGER"),'AGOSTO 2026'!F27,"")</f>
        <v/>
      </c>
      <c r="E758" s="381">
        <f>IF(AND('AGOSTO 2026'!D27&lt;&gt;"",'AGOSTO 2026'!Z27="POR RECOGER"),TEXT('AGOSTO 2026'!G27,"DD/MM/YYYY"),"")</f>
        <v/>
      </c>
      <c r="F758" s="381">
        <f>IF(AND('AGOSTO 2026'!D27&lt;&gt;"",'AGOSTO 2026'!Z27="POR RECOGER"),'AGOSTO 2026'!K27,"")</f>
        <v/>
      </c>
      <c r="G758" s="382">
        <f>IF(AND('AGOSTO 2026'!D27&lt;&gt;"",'AGOSTO 2026'!Z27="POR RECOGER"),'AGOSTO 2026'!M27,"")</f>
        <v/>
      </c>
      <c r="H758" s="382">
        <f>IF(AND('AGOSTO 2026'!D27&lt;&gt;"",'AGOSTO 2026'!Z27="POR RECOGER"),'AGOSTO 2026'!N27,"")</f>
        <v/>
      </c>
      <c r="I758" s="381">
        <f>IF(AND('AGOSTO 2026'!D27&lt;&gt;"",'AGOSTO 2026'!Z27="POR RECOGER"),'AGOSTO 2026'!P27,"")</f>
        <v/>
      </c>
      <c r="J758" s="381">
        <f>IF(AND('AGOSTO 2026'!D27&lt;&gt;"",'AGOSTO 2026'!Z27="POR RECOGER"),'AGOSTO 2026'!Q27,"")</f>
        <v/>
      </c>
      <c r="K758" s="381">
        <f>IF(AND('AGOSTO 2026'!D27&lt;&gt;"",'AGOSTO 2026'!Z27="POR RECOGER"),'AGOSTO 2026'!Y27,"")</f>
        <v/>
      </c>
      <c r="L758" s="381">
        <f>IF(AND('AGOSTO 2026'!D27&lt;&gt;"",'AGOSTO 2026'!Z27="POR RECOGER"),'AGOSTO 2026'!I27,"")</f>
        <v/>
      </c>
      <c r="P758" s="194" t="n"/>
      <c r="Q758" s="194" t="n"/>
      <c r="R758" s="194" t="n"/>
      <c r="S758" s="194" t="n"/>
      <c r="T758" s="194" t="n"/>
      <c r="U758" s="194" t="n"/>
      <c r="V758" s="194" t="n"/>
      <c r="W758" s="194" t="n"/>
      <c r="X758" s="194" t="n"/>
      <c r="Y758" s="194" t="n"/>
      <c r="Z758" s="194" t="n"/>
    </row>
    <row r="759" ht="15" customHeight="1" s="195">
      <c r="A759" s="381">
        <f>IF(AND('AGOSTO 2026'!D28&lt;&gt;"",'AGOSTO 2026'!Z28="POR RECOGER"),"AGO","")</f>
        <v/>
      </c>
      <c r="B759" s="381">
        <f>IF(AND('AGOSTO 2026'!D28&lt;&gt;"",'AGOSTO 2026'!Z28="POR RECOGER"),IF('AGOSTO 2026'!Y28&lt;&gt;"",'AGOSTO 2026'!Y28,'AGOSTO 2026'!I28),"")</f>
        <v/>
      </c>
      <c r="C759" s="381">
        <f>IF(AND('AGOSTO 2026'!D28&lt;&gt;"",'AGOSTO 2026'!Z28="POR RECOGER"),'AGOSTO 2026'!D28,"")</f>
        <v/>
      </c>
      <c r="D759" s="381">
        <f>IF(AND('AGOSTO 2026'!D28&lt;&gt;"",'AGOSTO 2026'!Z28="POR RECOGER"),'AGOSTO 2026'!F28,"")</f>
        <v/>
      </c>
      <c r="E759" s="381">
        <f>IF(AND('AGOSTO 2026'!D28&lt;&gt;"",'AGOSTO 2026'!Z28="POR RECOGER"),TEXT('AGOSTO 2026'!G28,"DD/MM/YYYY"),"")</f>
        <v/>
      </c>
      <c r="F759" s="381">
        <f>IF(AND('AGOSTO 2026'!D28&lt;&gt;"",'AGOSTO 2026'!Z28="POR RECOGER"),'AGOSTO 2026'!K28,"")</f>
        <v/>
      </c>
      <c r="G759" s="382">
        <f>IF(AND('AGOSTO 2026'!D28&lt;&gt;"",'AGOSTO 2026'!Z28="POR RECOGER"),'AGOSTO 2026'!M28,"")</f>
        <v/>
      </c>
      <c r="H759" s="382">
        <f>IF(AND('AGOSTO 2026'!D28&lt;&gt;"",'AGOSTO 2026'!Z28="POR RECOGER"),'AGOSTO 2026'!N28,"")</f>
        <v/>
      </c>
      <c r="I759" s="381">
        <f>IF(AND('AGOSTO 2026'!D28&lt;&gt;"",'AGOSTO 2026'!Z28="POR RECOGER"),'AGOSTO 2026'!P28,"")</f>
        <v/>
      </c>
      <c r="J759" s="381">
        <f>IF(AND('AGOSTO 2026'!D28&lt;&gt;"",'AGOSTO 2026'!Z28="POR RECOGER"),'AGOSTO 2026'!Q28,"")</f>
        <v/>
      </c>
      <c r="K759" s="381">
        <f>IF(AND('AGOSTO 2026'!D28&lt;&gt;"",'AGOSTO 2026'!Z28="POR RECOGER"),'AGOSTO 2026'!Y28,"")</f>
        <v/>
      </c>
      <c r="L759" s="381">
        <f>IF(AND('AGOSTO 2026'!D28&lt;&gt;"",'AGOSTO 2026'!Z28="POR RECOGER"),'AGOSTO 2026'!I28,"")</f>
        <v/>
      </c>
      <c r="P759" s="194" t="n"/>
      <c r="Q759" s="194" t="n"/>
      <c r="R759" s="194" t="n"/>
      <c r="S759" s="194" t="n"/>
      <c r="T759" s="194" t="n"/>
      <c r="U759" s="194" t="n"/>
      <c r="V759" s="194" t="n"/>
      <c r="W759" s="194" t="n"/>
      <c r="X759" s="194" t="n"/>
      <c r="Y759" s="194" t="n"/>
      <c r="Z759" s="194" t="n"/>
    </row>
    <row r="760" ht="15" customHeight="1" s="195">
      <c r="A760" s="381">
        <f>IF(AND('AGOSTO 2026'!D29&lt;&gt;"",'AGOSTO 2026'!Z29="POR RECOGER"),"AGO","")</f>
        <v/>
      </c>
      <c r="B760" s="381">
        <f>IF(AND('AGOSTO 2026'!D29&lt;&gt;"",'AGOSTO 2026'!Z29="POR RECOGER"),IF('AGOSTO 2026'!Y29&lt;&gt;"",'AGOSTO 2026'!Y29,'AGOSTO 2026'!I29),"")</f>
        <v/>
      </c>
      <c r="C760" s="381">
        <f>IF(AND('AGOSTO 2026'!D29&lt;&gt;"",'AGOSTO 2026'!Z29="POR RECOGER"),'AGOSTO 2026'!D29,"")</f>
        <v/>
      </c>
      <c r="D760" s="381">
        <f>IF(AND('AGOSTO 2026'!D29&lt;&gt;"",'AGOSTO 2026'!Z29="POR RECOGER"),'AGOSTO 2026'!F29,"")</f>
        <v/>
      </c>
      <c r="E760" s="381">
        <f>IF(AND('AGOSTO 2026'!D29&lt;&gt;"",'AGOSTO 2026'!Z29="POR RECOGER"),TEXT('AGOSTO 2026'!G29,"DD/MM/YYYY"),"")</f>
        <v/>
      </c>
      <c r="F760" s="381">
        <f>IF(AND('AGOSTO 2026'!D29&lt;&gt;"",'AGOSTO 2026'!Z29="POR RECOGER"),'AGOSTO 2026'!K29,"")</f>
        <v/>
      </c>
      <c r="G760" s="382">
        <f>IF(AND('AGOSTO 2026'!D29&lt;&gt;"",'AGOSTO 2026'!Z29="POR RECOGER"),'AGOSTO 2026'!M29,"")</f>
        <v/>
      </c>
      <c r="H760" s="382">
        <f>IF(AND('AGOSTO 2026'!D29&lt;&gt;"",'AGOSTO 2026'!Z29="POR RECOGER"),'AGOSTO 2026'!N29,"")</f>
        <v/>
      </c>
      <c r="I760" s="381">
        <f>IF(AND('AGOSTO 2026'!D29&lt;&gt;"",'AGOSTO 2026'!Z29="POR RECOGER"),'AGOSTO 2026'!P29,"")</f>
        <v/>
      </c>
      <c r="J760" s="381">
        <f>IF(AND('AGOSTO 2026'!D29&lt;&gt;"",'AGOSTO 2026'!Z29="POR RECOGER"),'AGOSTO 2026'!Q29,"")</f>
        <v/>
      </c>
      <c r="K760" s="381">
        <f>IF(AND('AGOSTO 2026'!D29&lt;&gt;"",'AGOSTO 2026'!Z29="POR RECOGER"),'AGOSTO 2026'!Y29,"")</f>
        <v/>
      </c>
      <c r="L760" s="381">
        <f>IF(AND('AGOSTO 2026'!D29&lt;&gt;"",'AGOSTO 2026'!Z29="POR RECOGER"),'AGOSTO 2026'!I29,"")</f>
        <v/>
      </c>
      <c r="P760" s="194" t="n"/>
      <c r="Q760" s="194" t="n"/>
      <c r="R760" s="194" t="n"/>
      <c r="S760" s="194" t="n"/>
      <c r="T760" s="194" t="n"/>
      <c r="U760" s="194" t="n"/>
      <c r="V760" s="194" t="n"/>
      <c r="W760" s="194" t="n"/>
      <c r="X760" s="194" t="n"/>
      <c r="Y760" s="194" t="n"/>
      <c r="Z760" s="194" t="n"/>
    </row>
    <row r="761" ht="15" customHeight="1" s="195">
      <c r="A761" s="381">
        <f>IF(AND('AGOSTO 2026'!D30&lt;&gt;"",'AGOSTO 2026'!Z30="POR RECOGER"),"AGO","")</f>
        <v/>
      </c>
      <c r="B761" s="381">
        <f>IF(AND('AGOSTO 2026'!D30&lt;&gt;"",'AGOSTO 2026'!Z30="POR RECOGER"),IF('AGOSTO 2026'!Y30&lt;&gt;"",'AGOSTO 2026'!Y30,'AGOSTO 2026'!I30),"")</f>
        <v/>
      </c>
      <c r="C761" s="381">
        <f>IF(AND('AGOSTO 2026'!D30&lt;&gt;"",'AGOSTO 2026'!Z30="POR RECOGER"),'AGOSTO 2026'!D30,"")</f>
        <v/>
      </c>
      <c r="D761" s="381">
        <f>IF(AND('AGOSTO 2026'!D30&lt;&gt;"",'AGOSTO 2026'!Z30="POR RECOGER"),'AGOSTO 2026'!F30,"")</f>
        <v/>
      </c>
      <c r="E761" s="381">
        <f>IF(AND('AGOSTO 2026'!D30&lt;&gt;"",'AGOSTO 2026'!Z30="POR RECOGER"),TEXT('AGOSTO 2026'!G30,"DD/MM/YYYY"),"")</f>
        <v/>
      </c>
      <c r="F761" s="381">
        <f>IF(AND('AGOSTO 2026'!D30&lt;&gt;"",'AGOSTO 2026'!Z30="POR RECOGER"),'AGOSTO 2026'!K30,"")</f>
        <v/>
      </c>
      <c r="G761" s="382">
        <f>IF(AND('AGOSTO 2026'!D30&lt;&gt;"",'AGOSTO 2026'!Z30="POR RECOGER"),'AGOSTO 2026'!M30,"")</f>
        <v/>
      </c>
      <c r="H761" s="382">
        <f>IF(AND('AGOSTO 2026'!D30&lt;&gt;"",'AGOSTO 2026'!Z30="POR RECOGER"),'AGOSTO 2026'!N30,"")</f>
        <v/>
      </c>
      <c r="I761" s="381">
        <f>IF(AND('AGOSTO 2026'!D30&lt;&gt;"",'AGOSTO 2026'!Z30="POR RECOGER"),'AGOSTO 2026'!P30,"")</f>
        <v/>
      </c>
      <c r="J761" s="381">
        <f>IF(AND('AGOSTO 2026'!D30&lt;&gt;"",'AGOSTO 2026'!Z30="POR RECOGER"),'AGOSTO 2026'!Q30,"")</f>
        <v/>
      </c>
      <c r="K761" s="381">
        <f>IF(AND('AGOSTO 2026'!D30&lt;&gt;"",'AGOSTO 2026'!Z30="POR RECOGER"),'AGOSTO 2026'!Y30,"")</f>
        <v/>
      </c>
      <c r="L761" s="381">
        <f>IF(AND('AGOSTO 2026'!D30&lt;&gt;"",'AGOSTO 2026'!Z30="POR RECOGER"),'AGOSTO 2026'!I30,"")</f>
        <v/>
      </c>
      <c r="P761" s="194" t="n"/>
      <c r="Q761" s="194" t="n"/>
      <c r="R761" s="194" t="n"/>
      <c r="S761" s="194" t="n"/>
      <c r="T761" s="194" t="n"/>
      <c r="U761" s="194" t="n"/>
      <c r="V761" s="194" t="n"/>
      <c r="W761" s="194" t="n"/>
      <c r="X761" s="194" t="n"/>
      <c r="Y761" s="194" t="n"/>
      <c r="Z761" s="194" t="n"/>
    </row>
    <row r="762" ht="15" customHeight="1" s="195">
      <c r="A762" s="381">
        <f>IF(AND('AGOSTO 2026'!D31&lt;&gt;"",'AGOSTO 2026'!Z31="POR RECOGER"),"AGO","")</f>
        <v/>
      </c>
      <c r="B762" s="381">
        <f>IF(AND('AGOSTO 2026'!D31&lt;&gt;"",'AGOSTO 2026'!Z31="POR RECOGER"),IF('AGOSTO 2026'!Y31&lt;&gt;"",'AGOSTO 2026'!Y31,'AGOSTO 2026'!I31),"")</f>
        <v/>
      </c>
      <c r="C762" s="381">
        <f>IF(AND('AGOSTO 2026'!D31&lt;&gt;"",'AGOSTO 2026'!Z31="POR RECOGER"),'AGOSTO 2026'!D31,"")</f>
        <v/>
      </c>
      <c r="D762" s="381">
        <f>IF(AND('AGOSTO 2026'!D31&lt;&gt;"",'AGOSTO 2026'!Z31="POR RECOGER"),'AGOSTO 2026'!F31,"")</f>
        <v/>
      </c>
      <c r="E762" s="381">
        <f>IF(AND('AGOSTO 2026'!D31&lt;&gt;"",'AGOSTO 2026'!Z31="POR RECOGER"),TEXT('AGOSTO 2026'!G31,"DD/MM/YYYY"),"")</f>
        <v/>
      </c>
      <c r="F762" s="381">
        <f>IF(AND('AGOSTO 2026'!D31&lt;&gt;"",'AGOSTO 2026'!Z31="POR RECOGER"),'AGOSTO 2026'!K31,"")</f>
        <v/>
      </c>
      <c r="G762" s="382">
        <f>IF(AND('AGOSTO 2026'!D31&lt;&gt;"",'AGOSTO 2026'!Z31="POR RECOGER"),'AGOSTO 2026'!M31,"")</f>
        <v/>
      </c>
      <c r="H762" s="382">
        <f>IF(AND('AGOSTO 2026'!D31&lt;&gt;"",'AGOSTO 2026'!Z31="POR RECOGER"),'AGOSTO 2026'!N31,"")</f>
        <v/>
      </c>
      <c r="I762" s="381">
        <f>IF(AND('AGOSTO 2026'!D31&lt;&gt;"",'AGOSTO 2026'!Z31="POR RECOGER"),'AGOSTO 2026'!P31,"")</f>
        <v/>
      </c>
      <c r="J762" s="381">
        <f>IF(AND('AGOSTO 2026'!D31&lt;&gt;"",'AGOSTO 2026'!Z31="POR RECOGER"),'AGOSTO 2026'!Q31,"")</f>
        <v/>
      </c>
      <c r="K762" s="381">
        <f>IF(AND('AGOSTO 2026'!D31&lt;&gt;"",'AGOSTO 2026'!Z31="POR RECOGER"),'AGOSTO 2026'!Y31,"")</f>
        <v/>
      </c>
      <c r="L762" s="381">
        <f>IF(AND('AGOSTO 2026'!D31&lt;&gt;"",'AGOSTO 2026'!Z31="POR RECOGER"),'AGOSTO 2026'!I31,"")</f>
        <v/>
      </c>
      <c r="P762" s="194" t="n"/>
      <c r="Q762" s="194" t="n"/>
      <c r="R762" s="194" t="n"/>
      <c r="S762" s="194" t="n"/>
      <c r="T762" s="194" t="n"/>
      <c r="U762" s="194" t="n"/>
      <c r="V762" s="194" t="n"/>
      <c r="W762" s="194" t="n"/>
      <c r="X762" s="194" t="n"/>
      <c r="Y762" s="194" t="n"/>
      <c r="Z762" s="194" t="n"/>
    </row>
    <row r="763" ht="15" customHeight="1" s="195">
      <c r="A763" s="381">
        <f>IF(AND('AGOSTO 2026'!D32&lt;&gt;"",'AGOSTO 2026'!Z32="POR RECOGER"),"AGO","")</f>
        <v/>
      </c>
      <c r="B763" s="381">
        <f>IF(AND('AGOSTO 2026'!D32&lt;&gt;"",'AGOSTO 2026'!Z32="POR RECOGER"),IF('AGOSTO 2026'!Y32&lt;&gt;"",'AGOSTO 2026'!Y32,'AGOSTO 2026'!I32),"")</f>
        <v/>
      </c>
      <c r="C763" s="381">
        <f>IF(AND('AGOSTO 2026'!D32&lt;&gt;"",'AGOSTO 2026'!Z32="POR RECOGER"),'AGOSTO 2026'!D32,"")</f>
        <v/>
      </c>
      <c r="D763" s="381">
        <f>IF(AND('AGOSTO 2026'!D32&lt;&gt;"",'AGOSTO 2026'!Z32="POR RECOGER"),'AGOSTO 2026'!F32,"")</f>
        <v/>
      </c>
      <c r="E763" s="381">
        <f>IF(AND('AGOSTO 2026'!D32&lt;&gt;"",'AGOSTO 2026'!Z32="POR RECOGER"),TEXT('AGOSTO 2026'!G32,"DD/MM/YYYY"),"")</f>
        <v/>
      </c>
      <c r="F763" s="381">
        <f>IF(AND('AGOSTO 2026'!D32&lt;&gt;"",'AGOSTO 2026'!Z32="POR RECOGER"),'AGOSTO 2026'!K32,"")</f>
        <v/>
      </c>
      <c r="G763" s="382">
        <f>IF(AND('AGOSTO 2026'!D32&lt;&gt;"",'AGOSTO 2026'!Z32="POR RECOGER"),'AGOSTO 2026'!M32,"")</f>
        <v/>
      </c>
      <c r="H763" s="382">
        <f>IF(AND('AGOSTO 2026'!D32&lt;&gt;"",'AGOSTO 2026'!Z32="POR RECOGER"),'AGOSTO 2026'!N32,"")</f>
        <v/>
      </c>
      <c r="I763" s="381">
        <f>IF(AND('AGOSTO 2026'!D32&lt;&gt;"",'AGOSTO 2026'!Z32="POR RECOGER"),'AGOSTO 2026'!P32,"")</f>
        <v/>
      </c>
      <c r="J763" s="381">
        <f>IF(AND('AGOSTO 2026'!D32&lt;&gt;"",'AGOSTO 2026'!Z32="POR RECOGER"),'AGOSTO 2026'!Q32,"")</f>
        <v/>
      </c>
      <c r="K763" s="381">
        <f>IF(AND('AGOSTO 2026'!D32&lt;&gt;"",'AGOSTO 2026'!Z32="POR RECOGER"),'AGOSTO 2026'!Y32,"")</f>
        <v/>
      </c>
      <c r="L763" s="381">
        <f>IF(AND('AGOSTO 2026'!D32&lt;&gt;"",'AGOSTO 2026'!Z32="POR RECOGER"),'AGOSTO 2026'!I32,"")</f>
        <v/>
      </c>
      <c r="P763" s="194" t="n"/>
      <c r="Q763" s="194" t="n"/>
      <c r="R763" s="194" t="n"/>
      <c r="S763" s="194" t="n"/>
      <c r="T763" s="194" t="n"/>
      <c r="U763" s="194" t="n"/>
      <c r="V763" s="194" t="n"/>
      <c r="W763" s="194" t="n"/>
      <c r="X763" s="194" t="n"/>
      <c r="Y763" s="194" t="n"/>
      <c r="Z763" s="194" t="n"/>
    </row>
    <row r="764" ht="15" customHeight="1" s="195">
      <c r="A764" s="381">
        <f>IF(AND('AGOSTO 2026'!D33&lt;&gt;"",'AGOSTO 2026'!Z33="POR RECOGER"),"AGO","")</f>
        <v/>
      </c>
      <c r="B764" s="381">
        <f>IF(AND('AGOSTO 2026'!D33&lt;&gt;"",'AGOSTO 2026'!Z33="POR RECOGER"),IF('AGOSTO 2026'!Y33&lt;&gt;"",'AGOSTO 2026'!Y33,'AGOSTO 2026'!I33),"")</f>
        <v/>
      </c>
      <c r="C764" s="381">
        <f>IF(AND('AGOSTO 2026'!D33&lt;&gt;"",'AGOSTO 2026'!Z33="POR RECOGER"),'AGOSTO 2026'!D33,"")</f>
        <v/>
      </c>
      <c r="D764" s="381">
        <f>IF(AND('AGOSTO 2026'!D33&lt;&gt;"",'AGOSTO 2026'!Z33="POR RECOGER"),'AGOSTO 2026'!F33,"")</f>
        <v/>
      </c>
      <c r="E764" s="381">
        <f>IF(AND('AGOSTO 2026'!D33&lt;&gt;"",'AGOSTO 2026'!Z33="POR RECOGER"),TEXT('AGOSTO 2026'!G33,"DD/MM/YYYY"),"")</f>
        <v/>
      </c>
      <c r="F764" s="381">
        <f>IF(AND('AGOSTO 2026'!D33&lt;&gt;"",'AGOSTO 2026'!Z33="POR RECOGER"),'AGOSTO 2026'!K33,"")</f>
        <v/>
      </c>
      <c r="G764" s="382">
        <f>IF(AND('AGOSTO 2026'!D33&lt;&gt;"",'AGOSTO 2026'!Z33="POR RECOGER"),'AGOSTO 2026'!M33,"")</f>
        <v/>
      </c>
      <c r="H764" s="382">
        <f>IF(AND('AGOSTO 2026'!D33&lt;&gt;"",'AGOSTO 2026'!Z33="POR RECOGER"),'AGOSTO 2026'!N33,"")</f>
        <v/>
      </c>
      <c r="I764" s="381">
        <f>IF(AND('AGOSTO 2026'!D33&lt;&gt;"",'AGOSTO 2026'!Z33="POR RECOGER"),'AGOSTO 2026'!P33,"")</f>
        <v/>
      </c>
      <c r="J764" s="381">
        <f>IF(AND('AGOSTO 2026'!D33&lt;&gt;"",'AGOSTO 2026'!Z33="POR RECOGER"),'AGOSTO 2026'!Q33,"")</f>
        <v/>
      </c>
      <c r="K764" s="381">
        <f>IF(AND('AGOSTO 2026'!D33&lt;&gt;"",'AGOSTO 2026'!Z33="POR RECOGER"),'AGOSTO 2026'!Y33,"")</f>
        <v/>
      </c>
      <c r="L764" s="381">
        <f>IF(AND('AGOSTO 2026'!D33&lt;&gt;"",'AGOSTO 2026'!Z33="POR RECOGER"),'AGOSTO 2026'!I33,"")</f>
        <v/>
      </c>
      <c r="P764" s="194" t="n"/>
      <c r="Q764" s="194" t="n"/>
      <c r="R764" s="194" t="n"/>
      <c r="S764" s="194" t="n"/>
      <c r="T764" s="194" t="n"/>
      <c r="U764" s="194" t="n"/>
      <c r="V764" s="194" t="n"/>
      <c r="W764" s="194" t="n"/>
      <c r="X764" s="194" t="n"/>
      <c r="Y764" s="194" t="n"/>
      <c r="Z764" s="194" t="n"/>
    </row>
    <row r="765" ht="15" customHeight="1" s="195">
      <c r="A765" s="381">
        <f>IF(AND('AGOSTO 2026'!D34&lt;&gt;"",'AGOSTO 2026'!Z34="POR RECOGER"),"AGO","")</f>
        <v/>
      </c>
      <c r="B765" s="381">
        <f>IF(AND('AGOSTO 2026'!D34&lt;&gt;"",'AGOSTO 2026'!Z34="POR RECOGER"),IF('AGOSTO 2026'!Y34&lt;&gt;"",'AGOSTO 2026'!Y34,'AGOSTO 2026'!I34),"")</f>
        <v/>
      </c>
      <c r="C765" s="381">
        <f>IF(AND('AGOSTO 2026'!D34&lt;&gt;"",'AGOSTO 2026'!Z34="POR RECOGER"),'AGOSTO 2026'!D34,"")</f>
        <v/>
      </c>
      <c r="D765" s="381">
        <f>IF(AND('AGOSTO 2026'!D34&lt;&gt;"",'AGOSTO 2026'!Z34="POR RECOGER"),'AGOSTO 2026'!F34,"")</f>
        <v/>
      </c>
      <c r="E765" s="381">
        <f>IF(AND('AGOSTO 2026'!D34&lt;&gt;"",'AGOSTO 2026'!Z34="POR RECOGER"),TEXT('AGOSTO 2026'!G34,"DD/MM/YYYY"),"")</f>
        <v/>
      </c>
      <c r="F765" s="381">
        <f>IF(AND('AGOSTO 2026'!D34&lt;&gt;"",'AGOSTO 2026'!Z34="POR RECOGER"),'AGOSTO 2026'!K34,"")</f>
        <v/>
      </c>
      <c r="G765" s="382">
        <f>IF(AND('AGOSTO 2026'!D34&lt;&gt;"",'AGOSTO 2026'!Z34="POR RECOGER"),'AGOSTO 2026'!M34,"")</f>
        <v/>
      </c>
      <c r="H765" s="382">
        <f>IF(AND('AGOSTO 2026'!D34&lt;&gt;"",'AGOSTO 2026'!Z34="POR RECOGER"),'AGOSTO 2026'!N34,"")</f>
        <v/>
      </c>
      <c r="I765" s="381">
        <f>IF(AND('AGOSTO 2026'!D34&lt;&gt;"",'AGOSTO 2026'!Z34="POR RECOGER"),'AGOSTO 2026'!P34,"")</f>
        <v/>
      </c>
      <c r="J765" s="381">
        <f>IF(AND('AGOSTO 2026'!D34&lt;&gt;"",'AGOSTO 2026'!Z34="POR RECOGER"),'AGOSTO 2026'!Q34,"")</f>
        <v/>
      </c>
      <c r="K765" s="381">
        <f>IF(AND('AGOSTO 2026'!D34&lt;&gt;"",'AGOSTO 2026'!Z34="POR RECOGER"),'AGOSTO 2026'!Y34,"")</f>
        <v/>
      </c>
      <c r="L765" s="381">
        <f>IF(AND('AGOSTO 2026'!D34&lt;&gt;"",'AGOSTO 2026'!Z34="POR RECOGER"),'AGOSTO 2026'!I34,"")</f>
        <v/>
      </c>
      <c r="P765" s="194" t="n"/>
      <c r="Q765" s="194" t="n"/>
      <c r="R765" s="194" t="n"/>
      <c r="S765" s="194" t="n"/>
      <c r="T765" s="194" t="n"/>
      <c r="U765" s="194" t="n"/>
      <c r="V765" s="194" t="n"/>
      <c r="W765" s="194" t="n"/>
      <c r="X765" s="194" t="n"/>
      <c r="Y765" s="194" t="n"/>
      <c r="Z765" s="194" t="n"/>
    </row>
    <row r="766" ht="15" customHeight="1" s="195">
      <c r="A766" s="381">
        <f>IF(AND('AGOSTO 2026'!D35&lt;&gt;"",'AGOSTO 2026'!Z35="POR RECOGER"),"AGO","")</f>
        <v/>
      </c>
      <c r="B766" s="381">
        <f>IF(AND('AGOSTO 2026'!D35&lt;&gt;"",'AGOSTO 2026'!Z35="POR RECOGER"),IF('AGOSTO 2026'!Y35&lt;&gt;"",'AGOSTO 2026'!Y35,'AGOSTO 2026'!I35),"")</f>
        <v/>
      </c>
      <c r="C766" s="381">
        <f>IF(AND('AGOSTO 2026'!D35&lt;&gt;"",'AGOSTO 2026'!Z35="POR RECOGER"),'AGOSTO 2026'!D35,"")</f>
        <v/>
      </c>
      <c r="D766" s="381">
        <f>IF(AND('AGOSTO 2026'!D35&lt;&gt;"",'AGOSTO 2026'!Z35="POR RECOGER"),'AGOSTO 2026'!F35,"")</f>
        <v/>
      </c>
      <c r="E766" s="381">
        <f>IF(AND('AGOSTO 2026'!D35&lt;&gt;"",'AGOSTO 2026'!Z35="POR RECOGER"),TEXT('AGOSTO 2026'!G35,"DD/MM/YYYY"),"")</f>
        <v/>
      </c>
      <c r="F766" s="381">
        <f>IF(AND('AGOSTO 2026'!D35&lt;&gt;"",'AGOSTO 2026'!Z35="POR RECOGER"),'AGOSTO 2026'!K35,"")</f>
        <v/>
      </c>
      <c r="G766" s="382">
        <f>IF(AND('AGOSTO 2026'!D35&lt;&gt;"",'AGOSTO 2026'!Z35="POR RECOGER"),'AGOSTO 2026'!M35,"")</f>
        <v/>
      </c>
      <c r="H766" s="382">
        <f>IF(AND('AGOSTO 2026'!D35&lt;&gt;"",'AGOSTO 2026'!Z35="POR RECOGER"),'AGOSTO 2026'!N35,"")</f>
        <v/>
      </c>
      <c r="I766" s="381">
        <f>IF(AND('AGOSTO 2026'!D35&lt;&gt;"",'AGOSTO 2026'!Z35="POR RECOGER"),'AGOSTO 2026'!P35,"")</f>
        <v/>
      </c>
      <c r="J766" s="381">
        <f>IF(AND('AGOSTO 2026'!D35&lt;&gt;"",'AGOSTO 2026'!Z35="POR RECOGER"),'AGOSTO 2026'!Q35,"")</f>
        <v/>
      </c>
      <c r="K766" s="381">
        <f>IF(AND('AGOSTO 2026'!D35&lt;&gt;"",'AGOSTO 2026'!Z35="POR RECOGER"),'AGOSTO 2026'!Y35,"")</f>
        <v/>
      </c>
      <c r="L766" s="381">
        <f>IF(AND('AGOSTO 2026'!D35&lt;&gt;"",'AGOSTO 2026'!Z35="POR RECOGER"),'AGOSTO 2026'!I35,"")</f>
        <v/>
      </c>
      <c r="P766" s="194" t="n"/>
      <c r="Q766" s="194" t="n"/>
      <c r="R766" s="194" t="n"/>
      <c r="S766" s="194" t="n"/>
      <c r="T766" s="194" t="n"/>
      <c r="U766" s="194" t="n"/>
      <c r="V766" s="194" t="n"/>
      <c r="W766" s="194" t="n"/>
      <c r="X766" s="194" t="n"/>
      <c r="Y766" s="194" t="n"/>
      <c r="Z766" s="194" t="n"/>
    </row>
    <row r="767" ht="15" customHeight="1" s="195">
      <c r="A767" s="381">
        <f>IF(AND('AGOSTO 2026'!D36&lt;&gt;"",'AGOSTO 2026'!Z36="POR RECOGER"),"AGO","")</f>
        <v/>
      </c>
      <c r="B767" s="381">
        <f>IF(AND('AGOSTO 2026'!D36&lt;&gt;"",'AGOSTO 2026'!Z36="POR RECOGER"),IF('AGOSTO 2026'!Y36&lt;&gt;"",'AGOSTO 2026'!Y36,'AGOSTO 2026'!I36),"")</f>
        <v/>
      </c>
      <c r="C767" s="381">
        <f>IF(AND('AGOSTO 2026'!D36&lt;&gt;"",'AGOSTO 2026'!Z36="POR RECOGER"),'AGOSTO 2026'!D36,"")</f>
        <v/>
      </c>
      <c r="D767" s="381">
        <f>IF(AND('AGOSTO 2026'!D36&lt;&gt;"",'AGOSTO 2026'!Z36="POR RECOGER"),'AGOSTO 2026'!F36,"")</f>
        <v/>
      </c>
      <c r="E767" s="381">
        <f>IF(AND('AGOSTO 2026'!D36&lt;&gt;"",'AGOSTO 2026'!Z36="POR RECOGER"),TEXT('AGOSTO 2026'!G36,"DD/MM/YYYY"),"")</f>
        <v/>
      </c>
      <c r="F767" s="381">
        <f>IF(AND('AGOSTO 2026'!D36&lt;&gt;"",'AGOSTO 2026'!Z36="POR RECOGER"),'AGOSTO 2026'!K36,"")</f>
        <v/>
      </c>
      <c r="G767" s="382">
        <f>IF(AND('AGOSTO 2026'!D36&lt;&gt;"",'AGOSTO 2026'!Z36="POR RECOGER"),'AGOSTO 2026'!M36,"")</f>
        <v/>
      </c>
      <c r="H767" s="382">
        <f>IF(AND('AGOSTO 2026'!D36&lt;&gt;"",'AGOSTO 2026'!Z36="POR RECOGER"),'AGOSTO 2026'!N36,"")</f>
        <v/>
      </c>
      <c r="I767" s="381">
        <f>IF(AND('AGOSTO 2026'!D36&lt;&gt;"",'AGOSTO 2026'!Z36="POR RECOGER"),'AGOSTO 2026'!P36,"")</f>
        <v/>
      </c>
      <c r="J767" s="381">
        <f>IF(AND('AGOSTO 2026'!D36&lt;&gt;"",'AGOSTO 2026'!Z36="POR RECOGER"),'AGOSTO 2026'!Q36,"")</f>
        <v/>
      </c>
      <c r="K767" s="381">
        <f>IF(AND('AGOSTO 2026'!D36&lt;&gt;"",'AGOSTO 2026'!Z36="POR RECOGER"),'AGOSTO 2026'!Y36,"")</f>
        <v/>
      </c>
      <c r="L767" s="381">
        <f>IF(AND('AGOSTO 2026'!D36&lt;&gt;"",'AGOSTO 2026'!Z36="POR RECOGER"),'AGOSTO 2026'!I36,"")</f>
        <v/>
      </c>
      <c r="P767" s="194" t="n"/>
      <c r="Q767" s="194" t="n"/>
      <c r="R767" s="194" t="n"/>
      <c r="S767" s="194" t="n"/>
      <c r="T767" s="194" t="n"/>
      <c r="U767" s="194" t="n"/>
      <c r="V767" s="194" t="n"/>
      <c r="W767" s="194" t="n"/>
      <c r="X767" s="194" t="n"/>
      <c r="Y767" s="194" t="n"/>
      <c r="Z767" s="194" t="n"/>
    </row>
    <row r="768" ht="15" customHeight="1" s="195">
      <c r="A768" s="381">
        <f>IF(AND('AGOSTO 2026'!D37&lt;&gt;"",'AGOSTO 2026'!Z37="POR RECOGER"),"AGO","")</f>
        <v/>
      </c>
      <c r="B768" s="381">
        <f>IF(AND('AGOSTO 2026'!D37&lt;&gt;"",'AGOSTO 2026'!Z37="POR RECOGER"),IF('AGOSTO 2026'!Y37&lt;&gt;"",'AGOSTO 2026'!Y37,'AGOSTO 2026'!I37),"")</f>
        <v/>
      </c>
      <c r="C768" s="381">
        <f>IF(AND('AGOSTO 2026'!D37&lt;&gt;"",'AGOSTO 2026'!Z37="POR RECOGER"),'AGOSTO 2026'!D37,"")</f>
        <v/>
      </c>
      <c r="D768" s="381">
        <f>IF(AND('AGOSTO 2026'!D37&lt;&gt;"",'AGOSTO 2026'!Z37="POR RECOGER"),'AGOSTO 2026'!F37,"")</f>
        <v/>
      </c>
      <c r="E768" s="381">
        <f>IF(AND('AGOSTO 2026'!D37&lt;&gt;"",'AGOSTO 2026'!Z37="POR RECOGER"),TEXT('AGOSTO 2026'!G37,"DD/MM/YYYY"),"")</f>
        <v/>
      </c>
      <c r="F768" s="381">
        <f>IF(AND('AGOSTO 2026'!D37&lt;&gt;"",'AGOSTO 2026'!Z37="POR RECOGER"),'AGOSTO 2026'!K37,"")</f>
        <v/>
      </c>
      <c r="G768" s="382">
        <f>IF(AND('AGOSTO 2026'!D37&lt;&gt;"",'AGOSTO 2026'!Z37="POR RECOGER"),'AGOSTO 2026'!M37,"")</f>
        <v/>
      </c>
      <c r="H768" s="382">
        <f>IF(AND('AGOSTO 2026'!D37&lt;&gt;"",'AGOSTO 2026'!Z37="POR RECOGER"),'AGOSTO 2026'!N37,"")</f>
        <v/>
      </c>
      <c r="I768" s="381">
        <f>IF(AND('AGOSTO 2026'!D37&lt;&gt;"",'AGOSTO 2026'!Z37="POR RECOGER"),'AGOSTO 2026'!P37,"")</f>
        <v/>
      </c>
      <c r="J768" s="381">
        <f>IF(AND('AGOSTO 2026'!D37&lt;&gt;"",'AGOSTO 2026'!Z37="POR RECOGER"),'AGOSTO 2026'!Q37,"")</f>
        <v/>
      </c>
      <c r="K768" s="381">
        <f>IF(AND('AGOSTO 2026'!D37&lt;&gt;"",'AGOSTO 2026'!Z37="POR RECOGER"),'AGOSTO 2026'!Y37,"")</f>
        <v/>
      </c>
      <c r="L768" s="381">
        <f>IF(AND('AGOSTO 2026'!D37&lt;&gt;"",'AGOSTO 2026'!Z37="POR RECOGER"),'AGOSTO 2026'!I37,"")</f>
        <v/>
      </c>
      <c r="P768" s="194" t="n"/>
      <c r="Q768" s="194" t="n"/>
      <c r="R768" s="194" t="n"/>
      <c r="S768" s="194" t="n"/>
      <c r="T768" s="194" t="n"/>
      <c r="U768" s="194" t="n"/>
      <c r="V768" s="194" t="n"/>
      <c r="W768" s="194" t="n"/>
      <c r="X768" s="194" t="n"/>
      <c r="Y768" s="194" t="n"/>
      <c r="Z768" s="194" t="n"/>
    </row>
    <row r="769" ht="15" customHeight="1" s="195">
      <c r="A769" s="381">
        <f>IF(AND('AGOSTO 2026'!D38&lt;&gt;"",'AGOSTO 2026'!Z38="POR RECOGER"),"AGO","")</f>
        <v/>
      </c>
      <c r="B769" s="381">
        <f>IF(AND('AGOSTO 2026'!D38&lt;&gt;"",'AGOSTO 2026'!Z38="POR RECOGER"),IF('AGOSTO 2026'!Y38&lt;&gt;"",'AGOSTO 2026'!Y38,'AGOSTO 2026'!I38),"")</f>
        <v/>
      </c>
      <c r="C769" s="381">
        <f>IF(AND('AGOSTO 2026'!D38&lt;&gt;"",'AGOSTO 2026'!Z38="POR RECOGER"),'AGOSTO 2026'!D38,"")</f>
        <v/>
      </c>
      <c r="D769" s="381">
        <f>IF(AND('AGOSTO 2026'!D38&lt;&gt;"",'AGOSTO 2026'!Z38="POR RECOGER"),'AGOSTO 2026'!F38,"")</f>
        <v/>
      </c>
      <c r="E769" s="381">
        <f>IF(AND('AGOSTO 2026'!D38&lt;&gt;"",'AGOSTO 2026'!Z38="POR RECOGER"),TEXT('AGOSTO 2026'!G38,"DD/MM/YYYY"),"")</f>
        <v/>
      </c>
      <c r="F769" s="381">
        <f>IF(AND('AGOSTO 2026'!D38&lt;&gt;"",'AGOSTO 2026'!Z38="POR RECOGER"),'AGOSTO 2026'!K38,"")</f>
        <v/>
      </c>
      <c r="G769" s="382">
        <f>IF(AND('AGOSTO 2026'!D38&lt;&gt;"",'AGOSTO 2026'!Z38="POR RECOGER"),'AGOSTO 2026'!M38,"")</f>
        <v/>
      </c>
      <c r="H769" s="382">
        <f>IF(AND('AGOSTO 2026'!D38&lt;&gt;"",'AGOSTO 2026'!Z38="POR RECOGER"),'AGOSTO 2026'!N38,"")</f>
        <v/>
      </c>
      <c r="I769" s="381">
        <f>IF(AND('AGOSTO 2026'!D38&lt;&gt;"",'AGOSTO 2026'!Z38="POR RECOGER"),'AGOSTO 2026'!P38,"")</f>
        <v/>
      </c>
      <c r="J769" s="381">
        <f>IF(AND('AGOSTO 2026'!D38&lt;&gt;"",'AGOSTO 2026'!Z38="POR RECOGER"),'AGOSTO 2026'!Q38,"")</f>
        <v/>
      </c>
      <c r="K769" s="381">
        <f>IF(AND('AGOSTO 2026'!D38&lt;&gt;"",'AGOSTO 2026'!Z38="POR RECOGER"),'AGOSTO 2026'!Y38,"")</f>
        <v/>
      </c>
      <c r="L769" s="381">
        <f>IF(AND('AGOSTO 2026'!D38&lt;&gt;"",'AGOSTO 2026'!Z38="POR RECOGER"),'AGOSTO 2026'!I38,"")</f>
        <v/>
      </c>
      <c r="P769" s="194" t="n"/>
      <c r="Q769" s="194" t="n"/>
      <c r="R769" s="194" t="n"/>
      <c r="S769" s="194" t="n"/>
      <c r="T769" s="194" t="n"/>
      <c r="U769" s="194" t="n"/>
      <c r="V769" s="194" t="n"/>
      <c r="W769" s="194" t="n"/>
      <c r="X769" s="194" t="n"/>
      <c r="Y769" s="194" t="n"/>
      <c r="Z769" s="194" t="n"/>
    </row>
    <row r="770" ht="15" customHeight="1" s="195">
      <c r="A770" s="381">
        <f>IF(AND('AGOSTO 2026'!D39&lt;&gt;"",'AGOSTO 2026'!Z39="POR RECOGER"),"AGO","")</f>
        <v/>
      </c>
      <c r="B770" s="381">
        <f>IF(AND('AGOSTO 2026'!D39&lt;&gt;"",'AGOSTO 2026'!Z39="POR RECOGER"),IF('AGOSTO 2026'!Y39&lt;&gt;"",'AGOSTO 2026'!Y39,'AGOSTO 2026'!I39),"")</f>
        <v/>
      </c>
      <c r="C770" s="381">
        <f>IF(AND('AGOSTO 2026'!D39&lt;&gt;"",'AGOSTO 2026'!Z39="POR RECOGER"),'AGOSTO 2026'!D39,"")</f>
        <v/>
      </c>
      <c r="D770" s="381">
        <f>IF(AND('AGOSTO 2026'!D39&lt;&gt;"",'AGOSTO 2026'!Z39="POR RECOGER"),'AGOSTO 2026'!F39,"")</f>
        <v/>
      </c>
      <c r="E770" s="381">
        <f>IF(AND('AGOSTO 2026'!D39&lt;&gt;"",'AGOSTO 2026'!Z39="POR RECOGER"),TEXT('AGOSTO 2026'!G39,"DD/MM/YYYY"),"")</f>
        <v/>
      </c>
      <c r="F770" s="381">
        <f>IF(AND('AGOSTO 2026'!D39&lt;&gt;"",'AGOSTO 2026'!Z39="POR RECOGER"),'AGOSTO 2026'!K39,"")</f>
        <v/>
      </c>
      <c r="G770" s="382">
        <f>IF(AND('AGOSTO 2026'!D39&lt;&gt;"",'AGOSTO 2026'!Z39="POR RECOGER"),'AGOSTO 2026'!M39,"")</f>
        <v/>
      </c>
      <c r="H770" s="382">
        <f>IF(AND('AGOSTO 2026'!D39&lt;&gt;"",'AGOSTO 2026'!Z39="POR RECOGER"),'AGOSTO 2026'!N39,"")</f>
        <v/>
      </c>
      <c r="I770" s="381">
        <f>IF(AND('AGOSTO 2026'!D39&lt;&gt;"",'AGOSTO 2026'!Z39="POR RECOGER"),'AGOSTO 2026'!P39,"")</f>
        <v/>
      </c>
      <c r="J770" s="381">
        <f>IF(AND('AGOSTO 2026'!D39&lt;&gt;"",'AGOSTO 2026'!Z39="POR RECOGER"),'AGOSTO 2026'!Q39,"")</f>
        <v/>
      </c>
      <c r="K770" s="381">
        <f>IF(AND('AGOSTO 2026'!D39&lt;&gt;"",'AGOSTO 2026'!Z39="POR RECOGER"),'AGOSTO 2026'!Y39,"")</f>
        <v/>
      </c>
      <c r="L770" s="381">
        <f>IF(AND('AGOSTO 2026'!D39&lt;&gt;"",'AGOSTO 2026'!Z39="POR RECOGER"),'AGOSTO 2026'!I39,"")</f>
        <v/>
      </c>
      <c r="P770" s="194" t="n"/>
      <c r="Q770" s="194" t="n"/>
      <c r="R770" s="194" t="n"/>
      <c r="S770" s="194" t="n"/>
      <c r="T770" s="194" t="n"/>
      <c r="U770" s="194" t="n"/>
      <c r="V770" s="194" t="n"/>
      <c r="W770" s="194" t="n"/>
      <c r="X770" s="194" t="n"/>
      <c r="Y770" s="194" t="n"/>
      <c r="Z770" s="194" t="n"/>
    </row>
    <row r="771" ht="15" customHeight="1" s="195">
      <c r="A771" s="381">
        <f>IF(AND('AGOSTO 2026'!D40&lt;&gt;"",'AGOSTO 2026'!Z40="POR RECOGER"),"AGO","")</f>
        <v/>
      </c>
      <c r="B771" s="381">
        <f>IF(AND('AGOSTO 2026'!D40&lt;&gt;"",'AGOSTO 2026'!Z40="POR RECOGER"),IF('AGOSTO 2026'!Y40&lt;&gt;"",'AGOSTO 2026'!Y40,'AGOSTO 2026'!I40),"")</f>
        <v/>
      </c>
      <c r="C771" s="381">
        <f>IF(AND('AGOSTO 2026'!D40&lt;&gt;"",'AGOSTO 2026'!Z40="POR RECOGER"),'AGOSTO 2026'!D40,"")</f>
        <v/>
      </c>
      <c r="D771" s="381">
        <f>IF(AND('AGOSTO 2026'!D40&lt;&gt;"",'AGOSTO 2026'!Z40="POR RECOGER"),'AGOSTO 2026'!F40,"")</f>
        <v/>
      </c>
      <c r="E771" s="381">
        <f>IF(AND('AGOSTO 2026'!D40&lt;&gt;"",'AGOSTO 2026'!Z40="POR RECOGER"),TEXT('AGOSTO 2026'!G40,"DD/MM/YYYY"),"")</f>
        <v/>
      </c>
      <c r="F771" s="381">
        <f>IF(AND('AGOSTO 2026'!D40&lt;&gt;"",'AGOSTO 2026'!Z40="POR RECOGER"),'AGOSTO 2026'!K40,"")</f>
        <v/>
      </c>
      <c r="G771" s="382">
        <f>IF(AND('AGOSTO 2026'!D40&lt;&gt;"",'AGOSTO 2026'!Z40="POR RECOGER"),'AGOSTO 2026'!M40,"")</f>
        <v/>
      </c>
      <c r="H771" s="382">
        <f>IF(AND('AGOSTO 2026'!D40&lt;&gt;"",'AGOSTO 2026'!Z40="POR RECOGER"),'AGOSTO 2026'!N40,"")</f>
        <v/>
      </c>
      <c r="I771" s="381">
        <f>IF(AND('AGOSTO 2026'!D40&lt;&gt;"",'AGOSTO 2026'!Z40="POR RECOGER"),'AGOSTO 2026'!P40,"")</f>
        <v/>
      </c>
      <c r="J771" s="381">
        <f>IF(AND('AGOSTO 2026'!D40&lt;&gt;"",'AGOSTO 2026'!Z40="POR RECOGER"),'AGOSTO 2026'!Q40,"")</f>
        <v/>
      </c>
      <c r="K771" s="381">
        <f>IF(AND('AGOSTO 2026'!D40&lt;&gt;"",'AGOSTO 2026'!Z40="POR RECOGER"),'AGOSTO 2026'!Y40,"")</f>
        <v/>
      </c>
      <c r="L771" s="381">
        <f>IF(AND('AGOSTO 2026'!D40&lt;&gt;"",'AGOSTO 2026'!Z40="POR RECOGER"),'AGOSTO 2026'!I40,"")</f>
        <v/>
      </c>
      <c r="P771" s="194" t="n"/>
      <c r="Q771" s="194" t="n"/>
      <c r="R771" s="194" t="n"/>
      <c r="S771" s="194" t="n"/>
      <c r="T771" s="194" t="n"/>
      <c r="U771" s="194" t="n"/>
      <c r="V771" s="194" t="n"/>
      <c r="W771" s="194" t="n"/>
      <c r="X771" s="194" t="n"/>
      <c r="Y771" s="194" t="n"/>
      <c r="Z771" s="194" t="n"/>
    </row>
    <row r="772" ht="15" customHeight="1" s="195">
      <c r="A772" s="381">
        <f>IF(AND('AGOSTO 2026'!D41&lt;&gt;"",'AGOSTO 2026'!Z41="POR RECOGER"),"AGO","")</f>
        <v/>
      </c>
      <c r="B772" s="381">
        <f>IF(AND('AGOSTO 2026'!D41&lt;&gt;"",'AGOSTO 2026'!Z41="POR RECOGER"),IF('AGOSTO 2026'!Y41&lt;&gt;"",'AGOSTO 2026'!Y41,'AGOSTO 2026'!I41),"")</f>
        <v/>
      </c>
      <c r="C772" s="381">
        <f>IF(AND('AGOSTO 2026'!D41&lt;&gt;"",'AGOSTO 2026'!Z41="POR RECOGER"),'AGOSTO 2026'!D41,"")</f>
        <v/>
      </c>
      <c r="D772" s="381">
        <f>IF(AND('AGOSTO 2026'!D41&lt;&gt;"",'AGOSTO 2026'!Z41="POR RECOGER"),'AGOSTO 2026'!F41,"")</f>
        <v/>
      </c>
      <c r="E772" s="381">
        <f>IF(AND('AGOSTO 2026'!D41&lt;&gt;"",'AGOSTO 2026'!Z41="POR RECOGER"),TEXT('AGOSTO 2026'!G41,"DD/MM/YYYY"),"")</f>
        <v/>
      </c>
      <c r="F772" s="381">
        <f>IF(AND('AGOSTO 2026'!D41&lt;&gt;"",'AGOSTO 2026'!Z41="POR RECOGER"),'AGOSTO 2026'!K41,"")</f>
        <v/>
      </c>
      <c r="G772" s="382">
        <f>IF(AND('AGOSTO 2026'!D41&lt;&gt;"",'AGOSTO 2026'!Z41="POR RECOGER"),'AGOSTO 2026'!M41,"")</f>
        <v/>
      </c>
      <c r="H772" s="382">
        <f>IF(AND('AGOSTO 2026'!D41&lt;&gt;"",'AGOSTO 2026'!Z41="POR RECOGER"),'AGOSTO 2026'!N41,"")</f>
        <v/>
      </c>
      <c r="I772" s="381">
        <f>IF(AND('AGOSTO 2026'!D41&lt;&gt;"",'AGOSTO 2026'!Z41="POR RECOGER"),'AGOSTO 2026'!P41,"")</f>
        <v/>
      </c>
      <c r="J772" s="381">
        <f>IF(AND('AGOSTO 2026'!D41&lt;&gt;"",'AGOSTO 2026'!Z41="POR RECOGER"),'AGOSTO 2026'!Q41,"")</f>
        <v/>
      </c>
      <c r="K772" s="381">
        <f>IF(AND('AGOSTO 2026'!D41&lt;&gt;"",'AGOSTO 2026'!Z41="POR RECOGER"),'AGOSTO 2026'!Y41,"")</f>
        <v/>
      </c>
      <c r="L772" s="381">
        <f>IF(AND('AGOSTO 2026'!D41&lt;&gt;"",'AGOSTO 2026'!Z41="POR RECOGER"),'AGOSTO 2026'!I41,"")</f>
        <v/>
      </c>
      <c r="P772" s="194" t="n"/>
      <c r="Q772" s="194" t="n"/>
      <c r="R772" s="194" t="n"/>
      <c r="S772" s="194" t="n"/>
      <c r="T772" s="194" t="n"/>
      <c r="U772" s="194" t="n"/>
      <c r="V772" s="194" t="n"/>
      <c r="W772" s="194" t="n"/>
      <c r="X772" s="194" t="n"/>
      <c r="Y772" s="194" t="n"/>
      <c r="Z772" s="194" t="n"/>
    </row>
    <row r="773" ht="15" customHeight="1" s="195">
      <c r="A773" s="381">
        <f>IF(AND('AGOSTO 2026'!D42&lt;&gt;"",'AGOSTO 2026'!Z42="POR RECOGER"),"AGO","")</f>
        <v/>
      </c>
      <c r="B773" s="381">
        <f>IF(AND('AGOSTO 2026'!D42&lt;&gt;"",'AGOSTO 2026'!Z42="POR RECOGER"),IF('AGOSTO 2026'!Y42&lt;&gt;"",'AGOSTO 2026'!Y42,'AGOSTO 2026'!I42),"")</f>
        <v/>
      </c>
      <c r="C773" s="381">
        <f>IF(AND('AGOSTO 2026'!D42&lt;&gt;"",'AGOSTO 2026'!Z42="POR RECOGER"),'AGOSTO 2026'!D42,"")</f>
        <v/>
      </c>
      <c r="D773" s="381">
        <f>IF(AND('AGOSTO 2026'!D42&lt;&gt;"",'AGOSTO 2026'!Z42="POR RECOGER"),'AGOSTO 2026'!F42,"")</f>
        <v/>
      </c>
      <c r="E773" s="381">
        <f>IF(AND('AGOSTO 2026'!D42&lt;&gt;"",'AGOSTO 2026'!Z42="POR RECOGER"),TEXT('AGOSTO 2026'!G42,"DD/MM/YYYY"),"")</f>
        <v/>
      </c>
      <c r="F773" s="381">
        <f>IF(AND('AGOSTO 2026'!D42&lt;&gt;"",'AGOSTO 2026'!Z42="POR RECOGER"),'AGOSTO 2026'!K42,"")</f>
        <v/>
      </c>
      <c r="G773" s="382">
        <f>IF(AND('AGOSTO 2026'!D42&lt;&gt;"",'AGOSTO 2026'!Z42="POR RECOGER"),'AGOSTO 2026'!M42,"")</f>
        <v/>
      </c>
      <c r="H773" s="382">
        <f>IF(AND('AGOSTO 2026'!D42&lt;&gt;"",'AGOSTO 2026'!Z42="POR RECOGER"),'AGOSTO 2026'!N42,"")</f>
        <v/>
      </c>
      <c r="I773" s="381">
        <f>IF(AND('AGOSTO 2026'!D42&lt;&gt;"",'AGOSTO 2026'!Z42="POR RECOGER"),'AGOSTO 2026'!P42,"")</f>
        <v/>
      </c>
      <c r="J773" s="381">
        <f>IF(AND('AGOSTO 2026'!D42&lt;&gt;"",'AGOSTO 2026'!Z42="POR RECOGER"),'AGOSTO 2026'!Q42,"")</f>
        <v/>
      </c>
      <c r="K773" s="381">
        <f>IF(AND('AGOSTO 2026'!D42&lt;&gt;"",'AGOSTO 2026'!Z42="POR RECOGER"),'AGOSTO 2026'!Y42,"")</f>
        <v/>
      </c>
      <c r="L773" s="381">
        <f>IF(AND('AGOSTO 2026'!D42&lt;&gt;"",'AGOSTO 2026'!Z42="POR RECOGER"),'AGOSTO 2026'!I42,"")</f>
        <v/>
      </c>
      <c r="P773" s="194" t="n"/>
      <c r="Q773" s="194" t="n"/>
      <c r="R773" s="194" t="n"/>
      <c r="S773" s="194" t="n"/>
      <c r="T773" s="194" t="n"/>
      <c r="U773" s="194" t="n"/>
      <c r="V773" s="194" t="n"/>
      <c r="W773" s="194" t="n"/>
      <c r="X773" s="194" t="n"/>
      <c r="Y773" s="194" t="n"/>
      <c r="Z773" s="194" t="n"/>
    </row>
    <row r="774" ht="15" customHeight="1" s="195">
      <c r="A774" s="381">
        <f>IF(AND('AGOSTO 2026'!D43&lt;&gt;"",'AGOSTO 2026'!Z43="POR RECOGER"),"AGO","")</f>
        <v/>
      </c>
      <c r="B774" s="381">
        <f>IF(AND('AGOSTO 2026'!D43&lt;&gt;"",'AGOSTO 2026'!Z43="POR RECOGER"),IF('AGOSTO 2026'!Y43&lt;&gt;"",'AGOSTO 2026'!Y43,'AGOSTO 2026'!I43),"")</f>
        <v/>
      </c>
      <c r="C774" s="381">
        <f>IF(AND('AGOSTO 2026'!D43&lt;&gt;"",'AGOSTO 2026'!Z43="POR RECOGER"),'AGOSTO 2026'!D43,"")</f>
        <v/>
      </c>
      <c r="D774" s="381">
        <f>IF(AND('AGOSTO 2026'!D43&lt;&gt;"",'AGOSTO 2026'!Z43="POR RECOGER"),'AGOSTO 2026'!F43,"")</f>
        <v/>
      </c>
      <c r="E774" s="381">
        <f>IF(AND('AGOSTO 2026'!D43&lt;&gt;"",'AGOSTO 2026'!Z43="POR RECOGER"),TEXT('AGOSTO 2026'!G43,"DD/MM/YYYY"),"")</f>
        <v/>
      </c>
      <c r="F774" s="381">
        <f>IF(AND('AGOSTO 2026'!D43&lt;&gt;"",'AGOSTO 2026'!Z43="POR RECOGER"),'AGOSTO 2026'!K43,"")</f>
        <v/>
      </c>
      <c r="G774" s="382">
        <f>IF(AND('AGOSTO 2026'!D43&lt;&gt;"",'AGOSTO 2026'!Z43="POR RECOGER"),'AGOSTO 2026'!M43,"")</f>
        <v/>
      </c>
      <c r="H774" s="382">
        <f>IF(AND('AGOSTO 2026'!D43&lt;&gt;"",'AGOSTO 2026'!Z43="POR RECOGER"),'AGOSTO 2026'!N43,"")</f>
        <v/>
      </c>
      <c r="I774" s="381">
        <f>IF(AND('AGOSTO 2026'!D43&lt;&gt;"",'AGOSTO 2026'!Z43="POR RECOGER"),'AGOSTO 2026'!P43,"")</f>
        <v/>
      </c>
      <c r="J774" s="381">
        <f>IF(AND('AGOSTO 2026'!D43&lt;&gt;"",'AGOSTO 2026'!Z43="POR RECOGER"),'AGOSTO 2026'!Q43,"")</f>
        <v/>
      </c>
      <c r="K774" s="381">
        <f>IF(AND('AGOSTO 2026'!D43&lt;&gt;"",'AGOSTO 2026'!Z43="POR RECOGER"),'AGOSTO 2026'!Y43,"")</f>
        <v/>
      </c>
      <c r="L774" s="381">
        <f>IF(AND('AGOSTO 2026'!D43&lt;&gt;"",'AGOSTO 2026'!Z43="POR RECOGER"),'AGOSTO 2026'!I43,"")</f>
        <v/>
      </c>
      <c r="P774" s="194" t="n"/>
      <c r="Q774" s="194" t="n"/>
      <c r="R774" s="194" t="n"/>
      <c r="S774" s="194" t="n"/>
      <c r="T774" s="194" t="n"/>
      <c r="U774" s="194" t="n"/>
      <c r="V774" s="194" t="n"/>
      <c r="W774" s="194" t="n"/>
      <c r="X774" s="194" t="n"/>
      <c r="Y774" s="194" t="n"/>
      <c r="Z774" s="194" t="n"/>
    </row>
    <row r="775" ht="15" customHeight="1" s="195">
      <c r="A775" s="381">
        <f>IF(AND('AGOSTO 2026'!D44&lt;&gt;"",'AGOSTO 2026'!Z44="POR RECOGER"),"AGO","")</f>
        <v/>
      </c>
      <c r="B775" s="381">
        <f>IF(AND('AGOSTO 2026'!D44&lt;&gt;"",'AGOSTO 2026'!Z44="POR RECOGER"),IF('AGOSTO 2026'!Y44&lt;&gt;"",'AGOSTO 2026'!Y44,'AGOSTO 2026'!I44),"")</f>
        <v/>
      </c>
      <c r="C775" s="381">
        <f>IF(AND('AGOSTO 2026'!D44&lt;&gt;"",'AGOSTO 2026'!Z44="POR RECOGER"),'AGOSTO 2026'!D44,"")</f>
        <v/>
      </c>
      <c r="D775" s="381">
        <f>IF(AND('AGOSTO 2026'!D44&lt;&gt;"",'AGOSTO 2026'!Z44="POR RECOGER"),'AGOSTO 2026'!F44,"")</f>
        <v/>
      </c>
      <c r="E775" s="381">
        <f>IF(AND('AGOSTO 2026'!D44&lt;&gt;"",'AGOSTO 2026'!Z44="POR RECOGER"),TEXT('AGOSTO 2026'!G44,"DD/MM/YYYY"),"")</f>
        <v/>
      </c>
      <c r="F775" s="381">
        <f>IF(AND('AGOSTO 2026'!D44&lt;&gt;"",'AGOSTO 2026'!Z44="POR RECOGER"),'AGOSTO 2026'!K44,"")</f>
        <v/>
      </c>
      <c r="G775" s="382">
        <f>IF(AND('AGOSTO 2026'!D44&lt;&gt;"",'AGOSTO 2026'!Z44="POR RECOGER"),'AGOSTO 2026'!M44,"")</f>
        <v/>
      </c>
      <c r="H775" s="382">
        <f>IF(AND('AGOSTO 2026'!D44&lt;&gt;"",'AGOSTO 2026'!Z44="POR RECOGER"),'AGOSTO 2026'!N44,"")</f>
        <v/>
      </c>
      <c r="I775" s="381">
        <f>IF(AND('AGOSTO 2026'!D44&lt;&gt;"",'AGOSTO 2026'!Z44="POR RECOGER"),'AGOSTO 2026'!P44,"")</f>
        <v/>
      </c>
      <c r="J775" s="381">
        <f>IF(AND('AGOSTO 2026'!D44&lt;&gt;"",'AGOSTO 2026'!Z44="POR RECOGER"),'AGOSTO 2026'!Q44,"")</f>
        <v/>
      </c>
      <c r="K775" s="381">
        <f>IF(AND('AGOSTO 2026'!D44&lt;&gt;"",'AGOSTO 2026'!Z44="POR RECOGER"),'AGOSTO 2026'!Y44,"")</f>
        <v/>
      </c>
      <c r="L775" s="381">
        <f>IF(AND('AGOSTO 2026'!D44&lt;&gt;"",'AGOSTO 2026'!Z44="POR RECOGER"),'AGOSTO 2026'!I44,"")</f>
        <v/>
      </c>
      <c r="P775" s="194" t="n"/>
      <c r="Q775" s="194" t="n"/>
      <c r="R775" s="194" t="n"/>
      <c r="S775" s="194" t="n"/>
      <c r="T775" s="194" t="n"/>
      <c r="U775" s="194" t="n"/>
      <c r="V775" s="194" t="n"/>
      <c r="W775" s="194" t="n"/>
      <c r="X775" s="194" t="n"/>
      <c r="Y775" s="194" t="n"/>
      <c r="Z775" s="194" t="n"/>
    </row>
    <row r="776" ht="15" customHeight="1" s="195">
      <c r="A776" s="381">
        <f>IF(AND('AGOSTO 2026'!D45&lt;&gt;"",'AGOSTO 2026'!Z45="POR RECOGER"),"AGO","")</f>
        <v/>
      </c>
      <c r="B776" s="381">
        <f>IF(AND('AGOSTO 2026'!D45&lt;&gt;"",'AGOSTO 2026'!Z45="POR RECOGER"),IF('AGOSTO 2026'!Y45&lt;&gt;"",'AGOSTO 2026'!Y45,'AGOSTO 2026'!I45),"")</f>
        <v/>
      </c>
      <c r="C776" s="381">
        <f>IF(AND('AGOSTO 2026'!D45&lt;&gt;"",'AGOSTO 2026'!Z45="POR RECOGER"),'AGOSTO 2026'!D45,"")</f>
        <v/>
      </c>
      <c r="D776" s="381">
        <f>IF(AND('AGOSTO 2026'!D45&lt;&gt;"",'AGOSTO 2026'!Z45="POR RECOGER"),'AGOSTO 2026'!F45,"")</f>
        <v/>
      </c>
      <c r="E776" s="381">
        <f>IF(AND('AGOSTO 2026'!D45&lt;&gt;"",'AGOSTO 2026'!Z45="POR RECOGER"),TEXT('AGOSTO 2026'!G45,"DD/MM/YYYY"),"")</f>
        <v/>
      </c>
      <c r="F776" s="381">
        <f>IF(AND('AGOSTO 2026'!D45&lt;&gt;"",'AGOSTO 2026'!Z45="POR RECOGER"),'AGOSTO 2026'!K45,"")</f>
        <v/>
      </c>
      <c r="G776" s="382">
        <f>IF(AND('AGOSTO 2026'!D45&lt;&gt;"",'AGOSTO 2026'!Z45="POR RECOGER"),'AGOSTO 2026'!M45,"")</f>
        <v/>
      </c>
      <c r="H776" s="382">
        <f>IF(AND('AGOSTO 2026'!D45&lt;&gt;"",'AGOSTO 2026'!Z45="POR RECOGER"),'AGOSTO 2026'!N45,"")</f>
        <v/>
      </c>
      <c r="I776" s="381">
        <f>IF(AND('AGOSTO 2026'!D45&lt;&gt;"",'AGOSTO 2026'!Z45="POR RECOGER"),'AGOSTO 2026'!P45,"")</f>
        <v/>
      </c>
      <c r="J776" s="381">
        <f>IF(AND('AGOSTO 2026'!D45&lt;&gt;"",'AGOSTO 2026'!Z45="POR RECOGER"),'AGOSTO 2026'!Q45,"")</f>
        <v/>
      </c>
      <c r="K776" s="381">
        <f>IF(AND('AGOSTO 2026'!D45&lt;&gt;"",'AGOSTO 2026'!Z45="POR RECOGER"),'AGOSTO 2026'!Y45,"")</f>
        <v/>
      </c>
      <c r="L776" s="381">
        <f>IF(AND('AGOSTO 2026'!D45&lt;&gt;"",'AGOSTO 2026'!Z45="POR RECOGER"),'AGOSTO 2026'!I45,"")</f>
        <v/>
      </c>
      <c r="P776" s="194" t="n"/>
      <c r="Q776" s="194" t="n"/>
      <c r="R776" s="194" t="n"/>
      <c r="S776" s="194" t="n"/>
      <c r="T776" s="194" t="n"/>
      <c r="U776" s="194" t="n"/>
      <c r="V776" s="194" t="n"/>
      <c r="W776" s="194" t="n"/>
      <c r="X776" s="194" t="n"/>
      <c r="Y776" s="194" t="n"/>
      <c r="Z776" s="194" t="n"/>
    </row>
    <row r="777" ht="15" customHeight="1" s="195">
      <c r="A777" s="381">
        <f>IF(AND('AGOSTO 2026'!D46&lt;&gt;"",'AGOSTO 2026'!Z46="POR RECOGER"),"AGO","")</f>
        <v/>
      </c>
      <c r="B777" s="381">
        <f>IF(AND('AGOSTO 2026'!D46&lt;&gt;"",'AGOSTO 2026'!Z46="POR RECOGER"),IF('AGOSTO 2026'!Y46&lt;&gt;"",'AGOSTO 2026'!Y46,'AGOSTO 2026'!I46),"")</f>
        <v/>
      </c>
      <c r="C777" s="381">
        <f>IF(AND('AGOSTO 2026'!D46&lt;&gt;"",'AGOSTO 2026'!Z46="POR RECOGER"),'AGOSTO 2026'!D46,"")</f>
        <v/>
      </c>
      <c r="D777" s="381">
        <f>IF(AND('AGOSTO 2026'!D46&lt;&gt;"",'AGOSTO 2026'!Z46="POR RECOGER"),'AGOSTO 2026'!F46,"")</f>
        <v/>
      </c>
      <c r="E777" s="381">
        <f>IF(AND('AGOSTO 2026'!D46&lt;&gt;"",'AGOSTO 2026'!Z46="POR RECOGER"),TEXT('AGOSTO 2026'!G46,"DD/MM/YYYY"),"")</f>
        <v/>
      </c>
      <c r="F777" s="381">
        <f>IF(AND('AGOSTO 2026'!D46&lt;&gt;"",'AGOSTO 2026'!Z46="POR RECOGER"),'AGOSTO 2026'!K46,"")</f>
        <v/>
      </c>
      <c r="G777" s="382">
        <f>IF(AND('AGOSTO 2026'!D46&lt;&gt;"",'AGOSTO 2026'!Z46="POR RECOGER"),'AGOSTO 2026'!M46,"")</f>
        <v/>
      </c>
      <c r="H777" s="382">
        <f>IF(AND('AGOSTO 2026'!D46&lt;&gt;"",'AGOSTO 2026'!Z46="POR RECOGER"),'AGOSTO 2026'!N46,"")</f>
        <v/>
      </c>
      <c r="I777" s="381">
        <f>IF(AND('AGOSTO 2026'!D46&lt;&gt;"",'AGOSTO 2026'!Z46="POR RECOGER"),'AGOSTO 2026'!P46,"")</f>
        <v/>
      </c>
      <c r="J777" s="381">
        <f>IF(AND('AGOSTO 2026'!D46&lt;&gt;"",'AGOSTO 2026'!Z46="POR RECOGER"),'AGOSTO 2026'!Q46,"")</f>
        <v/>
      </c>
      <c r="K777" s="381">
        <f>IF(AND('AGOSTO 2026'!D46&lt;&gt;"",'AGOSTO 2026'!Z46="POR RECOGER"),'AGOSTO 2026'!Y46,"")</f>
        <v/>
      </c>
      <c r="L777" s="381">
        <f>IF(AND('AGOSTO 2026'!D46&lt;&gt;"",'AGOSTO 2026'!Z46="POR RECOGER"),'AGOSTO 2026'!I46,"")</f>
        <v/>
      </c>
      <c r="P777" s="194" t="n"/>
      <c r="Q777" s="194" t="n"/>
      <c r="R777" s="194" t="n"/>
      <c r="S777" s="194" t="n"/>
      <c r="T777" s="194" t="n"/>
      <c r="U777" s="194" t="n"/>
      <c r="V777" s="194" t="n"/>
      <c r="W777" s="194" t="n"/>
      <c r="X777" s="194" t="n"/>
      <c r="Y777" s="194" t="n"/>
      <c r="Z777" s="194" t="n"/>
    </row>
    <row r="778" ht="15" customHeight="1" s="195">
      <c r="A778" s="381">
        <f>IF(AND('AGOSTO 2026'!D47&lt;&gt;"",'AGOSTO 2026'!Z47="POR RECOGER"),"AGO","")</f>
        <v/>
      </c>
      <c r="B778" s="381">
        <f>IF(AND('AGOSTO 2026'!D47&lt;&gt;"",'AGOSTO 2026'!Z47="POR RECOGER"),IF('AGOSTO 2026'!Y47&lt;&gt;"",'AGOSTO 2026'!Y47,'AGOSTO 2026'!I47),"")</f>
        <v/>
      </c>
      <c r="C778" s="381">
        <f>IF(AND('AGOSTO 2026'!D47&lt;&gt;"",'AGOSTO 2026'!Z47="POR RECOGER"),'AGOSTO 2026'!D47,"")</f>
        <v/>
      </c>
      <c r="D778" s="381">
        <f>IF(AND('AGOSTO 2026'!D47&lt;&gt;"",'AGOSTO 2026'!Z47="POR RECOGER"),'AGOSTO 2026'!F47,"")</f>
        <v/>
      </c>
      <c r="E778" s="381">
        <f>IF(AND('AGOSTO 2026'!D47&lt;&gt;"",'AGOSTO 2026'!Z47="POR RECOGER"),TEXT('AGOSTO 2026'!G47,"DD/MM/YYYY"),"")</f>
        <v/>
      </c>
      <c r="F778" s="381">
        <f>IF(AND('AGOSTO 2026'!D47&lt;&gt;"",'AGOSTO 2026'!Z47="POR RECOGER"),'AGOSTO 2026'!K47,"")</f>
        <v/>
      </c>
      <c r="G778" s="382">
        <f>IF(AND('AGOSTO 2026'!D47&lt;&gt;"",'AGOSTO 2026'!Z47="POR RECOGER"),'AGOSTO 2026'!M47,"")</f>
        <v/>
      </c>
      <c r="H778" s="382">
        <f>IF(AND('AGOSTO 2026'!D47&lt;&gt;"",'AGOSTO 2026'!Z47="POR RECOGER"),'AGOSTO 2026'!N47,"")</f>
        <v/>
      </c>
      <c r="I778" s="381">
        <f>IF(AND('AGOSTO 2026'!D47&lt;&gt;"",'AGOSTO 2026'!Z47="POR RECOGER"),'AGOSTO 2026'!P47,"")</f>
        <v/>
      </c>
      <c r="J778" s="381">
        <f>IF(AND('AGOSTO 2026'!D47&lt;&gt;"",'AGOSTO 2026'!Z47="POR RECOGER"),'AGOSTO 2026'!Q47,"")</f>
        <v/>
      </c>
      <c r="K778" s="381">
        <f>IF(AND('AGOSTO 2026'!D47&lt;&gt;"",'AGOSTO 2026'!Z47="POR RECOGER"),'AGOSTO 2026'!Y47,"")</f>
        <v/>
      </c>
      <c r="L778" s="381">
        <f>IF(AND('AGOSTO 2026'!D47&lt;&gt;"",'AGOSTO 2026'!Z47="POR RECOGER"),'AGOSTO 2026'!I47,"")</f>
        <v/>
      </c>
      <c r="P778" s="194" t="n"/>
      <c r="Q778" s="194" t="n"/>
      <c r="R778" s="194" t="n"/>
      <c r="S778" s="194" t="n"/>
      <c r="T778" s="194" t="n"/>
      <c r="U778" s="194" t="n"/>
      <c r="V778" s="194" t="n"/>
      <c r="W778" s="194" t="n"/>
      <c r="X778" s="194" t="n"/>
      <c r="Y778" s="194" t="n"/>
      <c r="Z778" s="194" t="n"/>
    </row>
    <row r="779" ht="15" customHeight="1" s="195">
      <c r="A779" s="381">
        <f>IF(AND('AGOSTO 2026'!D48&lt;&gt;"",'AGOSTO 2026'!Z48="POR RECOGER"),"AGO","")</f>
        <v/>
      </c>
      <c r="B779" s="381">
        <f>IF(AND('AGOSTO 2026'!D48&lt;&gt;"",'AGOSTO 2026'!Z48="POR RECOGER"),IF('AGOSTO 2026'!Y48&lt;&gt;"",'AGOSTO 2026'!Y48,'AGOSTO 2026'!I48),"")</f>
        <v/>
      </c>
      <c r="C779" s="381">
        <f>IF(AND('AGOSTO 2026'!D48&lt;&gt;"",'AGOSTO 2026'!Z48="POR RECOGER"),'AGOSTO 2026'!D48,"")</f>
        <v/>
      </c>
      <c r="D779" s="381">
        <f>IF(AND('AGOSTO 2026'!D48&lt;&gt;"",'AGOSTO 2026'!Z48="POR RECOGER"),'AGOSTO 2026'!F48,"")</f>
        <v/>
      </c>
      <c r="E779" s="381">
        <f>IF(AND('AGOSTO 2026'!D48&lt;&gt;"",'AGOSTO 2026'!Z48="POR RECOGER"),TEXT('AGOSTO 2026'!G48,"DD/MM/YYYY"),"")</f>
        <v/>
      </c>
      <c r="F779" s="381">
        <f>IF(AND('AGOSTO 2026'!D48&lt;&gt;"",'AGOSTO 2026'!Z48="POR RECOGER"),'AGOSTO 2026'!K48,"")</f>
        <v/>
      </c>
      <c r="G779" s="382">
        <f>IF(AND('AGOSTO 2026'!D48&lt;&gt;"",'AGOSTO 2026'!Z48="POR RECOGER"),'AGOSTO 2026'!M48,"")</f>
        <v/>
      </c>
      <c r="H779" s="382">
        <f>IF(AND('AGOSTO 2026'!D48&lt;&gt;"",'AGOSTO 2026'!Z48="POR RECOGER"),'AGOSTO 2026'!N48,"")</f>
        <v/>
      </c>
      <c r="I779" s="381">
        <f>IF(AND('AGOSTO 2026'!D48&lt;&gt;"",'AGOSTO 2026'!Z48="POR RECOGER"),'AGOSTO 2026'!P48,"")</f>
        <v/>
      </c>
      <c r="J779" s="381">
        <f>IF(AND('AGOSTO 2026'!D48&lt;&gt;"",'AGOSTO 2026'!Z48="POR RECOGER"),'AGOSTO 2026'!Q48,"")</f>
        <v/>
      </c>
      <c r="K779" s="381">
        <f>IF(AND('AGOSTO 2026'!D48&lt;&gt;"",'AGOSTO 2026'!Z48="POR RECOGER"),'AGOSTO 2026'!Y48,"")</f>
        <v/>
      </c>
      <c r="L779" s="381">
        <f>IF(AND('AGOSTO 2026'!D48&lt;&gt;"",'AGOSTO 2026'!Z48="POR RECOGER"),'AGOSTO 2026'!I48,"")</f>
        <v/>
      </c>
      <c r="P779" s="194" t="n"/>
      <c r="Q779" s="194" t="n"/>
      <c r="R779" s="194" t="n"/>
      <c r="S779" s="194" t="n"/>
      <c r="T779" s="194" t="n"/>
      <c r="U779" s="194" t="n"/>
      <c r="V779" s="194" t="n"/>
      <c r="W779" s="194" t="n"/>
      <c r="X779" s="194" t="n"/>
      <c r="Y779" s="194" t="n"/>
      <c r="Z779" s="194" t="n"/>
    </row>
    <row r="780" ht="15" customHeight="1" s="195">
      <c r="A780" s="381">
        <f>IF(AND('AGOSTO 2026'!D49&lt;&gt;"",'AGOSTO 2026'!Z49="POR RECOGER"),"AGO","")</f>
        <v/>
      </c>
      <c r="B780" s="381">
        <f>IF(AND('AGOSTO 2026'!D49&lt;&gt;"",'AGOSTO 2026'!Z49="POR RECOGER"),IF('AGOSTO 2026'!Y49&lt;&gt;"",'AGOSTO 2026'!Y49,'AGOSTO 2026'!I49),"")</f>
        <v/>
      </c>
      <c r="C780" s="381">
        <f>IF(AND('AGOSTO 2026'!D49&lt;&gt;"",'AGOSTO 2026'!Z49="POR RECOGER"),'AGOSTO 2026'!D49,"")</f>
        <v/>
      </c>
      <c r="D780" s="381">
        <f>IF(AND('AGOSTO 2026'!D49&lt;&gt;"",'AGOSTO 2026'!Z49="POR RECOGER"),'AGOSTO 2026'!F49,"")</f>
        <v/>
      </c>
      <c r="E780" s="381">
        <f>IF(AND('AGOSTO 2026'!D49&lt;&gt;"",'AGOSTO 2026'!Z49="POR RECOGER"),TEXT('AGOSTO 2026'!G49,"DD/MM/YYYY"),"")</f>
        <v/>
      </c>
      <c r="F780" s="381">
        <f>IF(AND('AGOSTO 2026'!D49&lt;&gt;"",'AGOSTO 2026'!Z49="POR RECOGER"),'AGOSTO 2026'!K49,"")</f>
        <v/>
      </c>
      <c r="G780" s="382">
        <f>IF(AND('AGOSTO 2026'!D49&lt;&gt;"",'AGOSTO 2026'!Z49="POR RECOGER"),'AGOSTO 2026'!M49,"")</f>
        <v/>
      </c>
      <c r="H780" s="382">
        <f>IF(AND('AGOSTO 2026'!D49&lt;&gt;"",'AGOSTO 2026'!Z49="POR RECOGER"),'AGOSTO 2026'!N49,"")</f>
        <v/>
      </c>
      <c r="I780" s="381">
        <f>IF(AND('AGOSTO 2026'!D49&lt;&gt;"",'AGOSTO 2026'!Z49="POR RECOGER"),'AGOSTO 2026'!P49,"")</f>
        <v/>
      </c>
      <c r="J780" s="381">
        <f>IF(AND('AGOSTO 2026'!D49&lt;&gt;"",'AGOSTO 2026'!Z49="POR RECOGER"),'AGOSTO 2026'!Q49,"")</f>
        <v/>
      </c>
      <c r="K780" s="381">
        <f>IF(AND('AGOSTO 2026'!D49&lt;&gt;"",'AGOSTO 2026'!Z49="POR RECOGER"),'AGOSTO 2026'!Y49,"")</f>
        <v/>
      </c>
      <c r="L780" s="381">
        <f>IF(AND('AGOSTO 2026'!D49&lt;&gt;"",'AGOSTO 2026'!Z49="POR RECOGER"),'AGOSTO 2026'!I49,"")</f>
        <v/>
      </c>
      <c r="P780" s="194" t="n"/>
      <c r="Q780" s="194" t="n"/>
      <c r="R780" s="194" t="n"/>
      <c r="S780" s="194" t="n"/>
      <c r="T780" s="194" t="n"/>
      <c r="U780" s="194" t="n"/>
      <c r="V780" s="194" t="n"/>
      <c r="W780" s="194" t="n"/>
      <c r="X780" s="194" t="n"/>
      <c r="Y780" s="194" t="n"/>
      <c r="Z780" s="194" t="n"/>
    </row>
    <row r="781" ht="15" customHeight="1" s="195">
      <c r="A781" s="381">
        <f>IF(AND('AGOSTO 2026'!D50&lt;&gt;"",'AGOSTO 2026'!Z50="POR RECOGER"),"AGO","")</f>
        <v/>
      </c>
      <c r="B781" s="381">
        <f>IF(AND('AGOSTO 2026'!D50&lt;&gt;"",'AGOSTO 2026'!Z50="POR RECOGER"),IF('AGOSTO 2026'!Y50&lt;&gt;"",'AGOSTO 2026'!Y50,'AGOSTO 2026'!I50),"")</f>
        <v/>
      </c>
      <c r="C781" s="381">
        <f>IF(AND('AGOSTO 2026'!D50&lt;&gt;"",'AGOSTO 2026'!Z50="POR RECOGER"),'AGOSTO 2026'!D50,"")</f>
        <v/>
      </c>
      <c r="D781" s="381">
        <f>IF(AND('AGOSTO 2026'!D50&lt;&gt;"",'AGOSTO 2026'!Z50="POR RECOGER"),'AGOSTO 2026'!F50,"")</f>
        <v/>
      </c>
      <c r="E781" s="381">
        <f>IF(AND('AGOSTO 2026'!D50&lt;&gt;"",'AGOSTO 2026'!Z50="POR RECOGER"),TEXT('AGOSTO 2026'!G50,"DD/MM/YYYY"),"")</f>
        <v/>
      </c>
      <c r="F781" s="381">
        <f>IF(AND('AGOSTO 2026'!D50&lt;&gt;"",'AGOSTO 2026'!Z50="POR RECOGER"),'AGOSTO 2026'!K50,"")</f>
        <v/>
      </c>
      <c r="G781" s="382">
        <f>IF(AND('AGOSTO 2026'!D50&lt;&gt;"",'AGOSTO 2026'!Z50="POR RECOGER"),'AGOSTO 2026'!M50,"")</f>
        <v/>
      </c>
      <c r="H781" s="382">
        <f>IF(AND('AGOSTO 2026'!D50&lt;&gt;"",'AGOSTO 2026'!Z50="POR RECOGER"),'AGOSTO 2026'!N50,"")</f>
        <v/>
      </c>
      <c r="I781" s="381">
        <f>IF(AND('AGOSTO 2026'!D50&lt;&gt;"",'AGOSTO 2026'!Z50="POR RECOGER"),'AGOSTO 2026'!P50,"")</f>
        <v/>
      </c>
      <c r="J781" s="381">
        <f>IF(AND('AGOSTO 2026'!D50&lt;&gt;"",'AGOSTO 2026'!Z50="POR RECOGER"),'AGOSTO 2026'!Q50,"")</f>
        <v/>
      </c>
      <c r="K781" s="381">
        <f>IF(AND('AGOSTO 2026'!D50&lt;&gt;"",'AGOSTO 2026'!Z50="POR RECOGER"),'AGOSTO 2026'!Y50,"")</f>
        <v/>
      </c>
      <c r="L781" s="381">
        <f>IF(AND('AGOSTO 2026'!D50&lt;&gt;"",'AGOSTO 2026'!Z50="POR RECOGER"),'AGOSTO 2026'!I50,"")</f>
        <v/>
      </c>
      <c r="P781" s="194" t="n"/>
      <c r="Q781" s="194" t="n"/>
      <c r="R781" s="194" t="n"/>
      <c r="S781" s="194" t="n"/>
      <c r="T781" s="194" t="n"/>
      <c r="U781" s="194" t="n"/>
      <c r="V781" s="194" t="n"/>
      <c r="W781" s="194" t="n"/>
      <c r="X781" s="194" t="n"/>
      <c r="Y781" s="194" t="n"/>
      <c r="Z781" s="194" t="n"/>
    </row>
    <row r="782" ht="15" customHeight="1" s="195">
      <c r="A782" s="381">
        <f>IF(AND('AGOSTO 2026'!D51&lt;&gt;"",'AGOSTO 2026'!Z51="POR RECOGER"),"AGO","")</f>
        <v/>
      </c>
      <c r="B782" s="381">
        <f>IF(AND('AGOSTO 2026'!D51&lt;&gt;"",'AGOSTO 2026'!Z51="POR RECOGER"),IF('AGOSTO 2026'!Y51&lt;&gt;"",'AGOSTO 2026'!Y51,'AGOSTO 2026'!I51),"")</f>
        <v/>
      </c>
      <c r="C782" s="381">
        <f>IF(AND('AGOSTO 2026'!D51&lt;&gt;"",'AGOSTO 2026'!Z51="POR RECOGER"),'AGOSTO 2026'!D51,"")</f>
        <v/>
      </c>
      <c r="D782" s="381">
        <f>IF(AND('AGOSTO 2026'!D51&lt;&gt;"",'AGOSTO 2026'!Z51="POR RECOGER"),'AGOSTO 2026'!F51,"")</f>
        <v/>
      </c>
      <c r="E782" s="381">
        <f>IF(AND('AGOSTO 2026'!D51&lt;&gt;"",'AGOSTO 2026'!Z51="POR RECOGER"),TEXT('AGOSTO 2026'!G51,"DD/MM/YYYY"),"")</f>
        <v/>
      </c>
      <c r="F782" s="381">
        <f>IF(AND('AGOSTO 2026'!D51&lt;&gt;"",'AGOSTO 2026'!Z51="POR RECOGER"),'AGOSTO 2026'!K51,"")</f>
        <v/>
      </c>
      <c r="G782" s="382">
        <f>IF(AND('AGOSTO 2026'!D51&lt;&gt;"",'AGOSTO 2026'!Z51="POR RECOGER"),'AGOSTO 2026'!M51,"")</f>
        <v/>
      </c>
      <c r="H782" s="382">
        <f>IF(AND('AGOSTO 2026'!D51&lt;&gt;"",'AGOSTO 2026'!Z51="POR RECOGER"),'AGOSTO 2026'!N51,"")</f>
        <v/>
      </c>
      <c r="I782" s="381">
        <f>IF(AND('AGOSTO 2026'!D51&lt;&gt;"",'AGOSTO 2026'!Z51="POR RECOGER"),'AGOSTO 2026'!P51,"")</f>
        <v/>
      </c>
      <c r="J782" s="381">
        <f>IF(AND('AGOSTO 2026'!D51&lt;&gt;"",'AGOSTO 2026'!Z51="POR RECOGER"),'AGOSTO 2026'!Q51,"")</f>
        <v/>
      </c>
      <c r="K782" s="381">
        <f>IF(AND('AGOSTO 2026'!D51&lt;&gt;"",'AGOSTO 2026'!Z51="POR RECOGER"),'AGOSTO 2026'!Y51,"")</f>
        <v/>
      </c>
      <c r="L782" s="381">
        <f>IF(AND('AGOSTO 2026'!D51&lt;&gt;"",'AGOSTO 2026'!Z51="POR RECOGER"),'AGOSTO 2026'!I51,"")</f>
        <v/>
      </c>
      <c r="P782" s="194" t="n"/>
      <c r="Q782" s="194" t="n"/>
      <c r="R782" s="194" t="n"/>
      <c r="S782" s="194" t="n"/>
      <c r="T782" s="194" t="n"/>
      <c r="U782" s="194" t="n"/>
      <c r="V782" s="194" t="n"/>
      <c r="W782" s="194" t="n"/>
      <c r="X782" s="194" t="n"/>
      <c r="Y782" s="194" t="n"/>
      <c r="Z782" s="194" t="n"/>
    </row>
    <row r="783" ht="15" customHeight="1" s="195">
      <c r="A783" s="381">
        <f>IF(AND('AGOSTO 2026'!D52&lt;&gt;"",'AGOSTO 2026'!Z52="POR RECOGER"),"AGO","")</f>
        <v/>
      </c>
      <c r="B783" s="381">
        <f>IF(AND('AGOSTO 2026'!D52&lt;&gt;"",'AGOSTO 2026'!Z52="POR RECOGER"),IF('AGOSTO 2026'!Y52&lt;&gt;"",'AGOSTO 2026'!Y52,'AGOSTO 2026'!I52),"")</f>
        <v/>
      </c>
      <c r="C783" s="381">
        <f>IF(AND('AGOSTO 2026'!D52&lt;&gt;"",'AGOSTO 2026'!Z52="POR RECOGER"),'AGOSTO 2026'!D52,"")</f>
        <v/>
      </c>
      <c r="D783" s="381">
        <f>IF(AND('AGOSTO 2026'!D52&lt;&gt;"",'AGOSTO 2026'!Z52="POR RECOGER"),'AGOSTO 2026'!F52,"")</f>
        <v/>
      </c>
      <c r="E783" s="381">
        <f>IF(AND('AGOSTO 2026'!D52&lt;&gt;"",'AGOSTO 2026'!Z52="POR RECOGER"),TEXT('AGOSTO 2026'!G52,"DD/MM/YYYY"),"")</f>
        <v/>
      </c>
      <c r="F783" s="381">
        <f>IF(AND('AGOSTO 2026'!D52&lt;&gt;"",'AGOSTO 2026'!Z52="POR RECOGER"),'AGOSTO 2026'!K52,"")</f>
        <v/>
      </c>
      <c r="G783" s="382">
        <f>IF(AND('AGOSTO 2026'!D52&lt;&gt;"",'AGOSTO 2026'!Z52="POR RECOGER"),'AGOSTO 2026'!M52,"")</f>
        <v/>
      </c>
      <c r="H783" s="382">
        <f>IF(AND('AGOSTO 2026'!D52&lt;&gt;"",'AGOSTO 2026'!Z52="POR RECOGER"),'AGOSTO 2026'!N52,"")</f>
        <v/>
      </c>
      <c r="I783" s="381">
        <f>IF(AND('AGOSTO 2026'!D52&lt;&gt;"",'AGOSTO 2026'!Z52="POR RECOGER"),'AGOSTO 2026'!P52,"")</f>
        <v/>
      </c>
      <c r="J783" s="381">
        <f>IF(AND('AGOSTO 2026'!D52&lt;&gt;"",'AGOSTO 2026'!Z52="POR RECOGER"),'AGOSTO 2026'!Q52,"")</f>
        <v/>
      </c>
      <c r="K783" s="381">
        <f>IF(AND('AGOSTO 2026'!D52&lt;&gt;"",'AGOSTO 2026'!Z52="POR RECOGER"),'AGOSTO 2026'!Y52,"")</f>
        <v/>
      </c>
      <c r="L783" s="381">
        <f>IF(AND('AGOSTO 2026'!D52&lt;&gt;"",'AGOSTO 2026'!Z52="POR RECOGER"),'AGOSTO 2026'!I52,"")</f>
        <v/>
      </c>
      <c r="P783" s="194" t="n"/>
      <c r="Q783" s="194" t="n"/>
      <c r="R783" s="194" t="n"/>
      <c r="S783" s="194" t="n"/>
      <c r="T783" s="194" t="n"/>
      <c r="U783" s="194" t="n"/>
      <c r="V783" s="194" t="n"/>
      <c r="W783" s="194" t="n"/>
      <c r="X783" s="194" t="n"/>
      <c r="Y783" s="194" t="n"/>
      <c r="Z783" s="194" t="n"/>
    </row>
    <row r="784" ht="15" customHeight="1" s="195">
      <c r="A784" s="381">
        <f>IF(AND('AGOSTO 2026'!D53&lt;&gt;"",'AGOSTO 2026'!Z53="POR RECOGER"),"AGO","")</f>
        <v/>
      </c>
      <c r="B784" s="381">
        <f>IF(AND('AGOSTO 2026'!D53&lt;&gt;"",'AGOSTO 2026'!Z53="POR RECOGER"),IF('AGOSTO 2026'!Y53&lt;&gt;"",'AGOSTO 2026'!Y53,'AGOSTO 2026'!I53),"")</f>
        <v/>
      </c>
      <c r="C784" s="381">
        <f>IF(AND('AGOSTO 2026'!D53&lt;&gt;"",'AGOSTO 2026'!Z53="POR RECOGER"),'AGOSTO 2026'!D53,"")</f>
        <v/>
      </c>
      <c r="D784" s="381">
        <f>IF(AND('AGOSTO 2026'!D53&lt;&gt;"",'AGOSTO 2026'!Z53="POR RECOGER"),'AGOSTO 2026'!F53,"")</f>
        <v/>
      </c>
      <c r="E784" s="381">
        <f>IF(AND('AGOSTO 2026'!D53&lt;&gt;"",'AGOSTO 2026'!Z53="POR RECOGER"),TEXT('AGOSTO 2026'!G53,"DD/MM/YYYY"),"")</f>
        <v/>
      </c>
      <c r="F784" s="381">
        <f>IF(AND('AGOSTO 2026'!D53&lt;&gt;"",'AGOSTO 2026'!Z53="POR RECOGER"),'AGOSTO 2026'!K53,"")</f>
        <v/>
      </c>
      <c r="G784" s="382">
        <f>IF(AND('AGOSTO 2026'!D53&lt;&gt;"",'AGOSTO 2026'!Z53="POR RECOGER"),'AGOSTO 2026'!M53,"")</f>
        <v/>
      </c>
      <c r="H784" s="382">
        <f>IF(AND('AGOSTO 2026'!D53&lt;&gt;"",'AGOSTO 2026'!Z53="POR RECOGER"),'AGOSTO 2026'!N53,"")</f>
        <v/>
      </c>
      <c r="I784" s="381">
        <f>IF(AND('AGOSTO 2026'!D53&lt;&gt;"",'AGOSTO 2026'!Z53="POR RECOGER"),'AGOSTO 2026'!P53,"")</f>
        <v/>
      </c>
      <c r="J784" s="381">
        <f>IF(AND('AGOSTO 2026'!D53&lt;&gt;"",'AGOSTO 2026'!Z53="POR RECOGER"),'AGOSTO 2026'!Q53,"")</f>
        <v/>
      </c>
      <c r="K784" s="381">
        <f>IF(AND('AGOSTO 2026'!D53&lt;&gt;"",'AGOSTO 2026'!Z53="POR RECOGER"),'AGOSTO 2026'!Y53,"")</f>
        <v/>
      </c>
      <c r="L784" s="381">
        <f>IF(AND('AGOSTO 2026'!D53&lt;&gt;"",'AGOSTO 2026'!Z53="POR RECOGER"),'AGOSTO 2026'!I53,"")</f>
        <v/>
      </c>
      <c r="P784" s="194" t="n"/>
      <c r="Q784" s="194" t="n"/>
      <c r="R784" s="194" t="n"/>
      <c r="S784" s="194" t="n"/>
      <c r="T784" s="194" t="n"/>
      <c r="U784" s="194" t="n"/>
      <c r="V784" s="194" t="n"/>
      <c r="W784" s="194" t="n"/>
      <c r="X784" s="194" t="n"/>
      <c r="Y784" s="194" t="n"/>
      <c r="Z784" s="194" t="n"/>
    </row>
    <row r="785" ht="15" customHeight="1" s="195">
      <c r="A785" s="381">
        <f>IF(AND('AGOSTO 2026'!D54&lt;&gt;"",'AGOSTO 2026'!Z54="POR RECOGER"),"AGO","")</f>
        <v/>
      </c>
      <c r="B785" s="381">
        <f>IF(AND('AGOSTO 2026'!D54&lt;&gt;"",'AGOSTO 2026'!Z54="POR RECOGER"),IF('AGOSTO 2026'!Y54&lt;&gt;"",'AGOSTO 2026'!Y54,'AGOSTO 2026'!I54),"")</f>
        <v/>
      </c>
      <c r="C785" s="381">
        <f>IF(AND('AGOSTO 2026'!D54&lt;&gt;"",'AGOSTO 2026'!Z54="POR RECOGER"),'AGOSTO 2026'!D54,"")</f>
        <v/>
      </c>
      <c r="D785" s="381">
        <f>IF(AND('AGOSTO 2026'!D54&lt;&gt;"",'AGOSTO 2026'!Z54="POR RECOGER"),'AGOSTO 2026'!F54,"")</f>
        <v/>
      </c>
      <c r="E785" s="381">
        <f>IF(AND('AGOSTO 2026'!D54&lt;&gt;"",'AGOSTO 2026'!Z54="POR RECOGER"),TEXT('AGOSTO 2026'!G54,"DD/MM/YYYY"),"")</f>
        <v/>
      </c>
      <c r="F785" s="381">
        <f>IF(AND('AGOSTO 2026'!D54&lt;&gt;"",'AGOSTO 2026'!Z54="POR RECOGER"),'AGOSTO 2026'!K54,"")</f>
        <v/>
      </c>
      <c r="G785" s="382">
        <f>IF(AND('AGOSTO 2026'!D54&lt;&gt;"",'AGOSTO 2026'!Z54="POR RECOGER"),'AGOSTO 2026'!M54,"")</f>
        <v/>
      </c>
      <c r="H785" s="382">
        <f>IF(AND('AGOSTO 2026'!D54&lt;&gt;"",'AGOSTO 2026'!Z54="POR RECOGER"),'AGOSTO 2026'!N54,"")</f>
        <v/>
      </c>
      <c r="I785" s="381">
        <f>IF(AND('AGOSTO 2026'!D54&lt;&gt;"",'AGOSTO 2026'!Z54="POR RECOGER"),'AGOSTO 2026'!P54,"")</f>
        <v/>
      </c>
      <c r="J785" s="381">
        <f>IF(AND('AGOSTO 2026'!D54&lt;&gt;"",'AGOSTO 2026'!Z54="POR RECOGER"),'AGOSTO 2026'!Q54,"")</f>
        <v/>
      </c>
      <c r="K785" s="381">
        <f>IF(AND('AGOSTO 2026'!D54&lt;&gt;"",'AGOSTO 2026'!Z54="POR RECOGER"),'AGOSTO 2026'!Y54,"")</f>
        <v/>
      </c>
      <c r="L785" s="381">
        <f>IF(AND('AGOSTO 2026'!D54&lt;&gt;"",'AGOSTO 2026'!Z54="POR RECOGER"),'AGOSTO 2026'!I54,"")</f>
        <v/>
      </c>
      <c r="P785" s="194" t="n"/>
      <c r="Q785" s="194" t="n"/>
      <c r="R785" s="194" t="n"/>
      <c r="S785" s="194" t="n"/>
      <c r="T785" s="194" t="n"/>
      <c r="U785" s="194" t="n"/>
      <c r="V785" s="194" t="n"/>
      <c r="W785" s="194" t="n"/>
      <c r="X785" s="194" t="n"/>
      <c r="Y785" s="194" t="n"/>
      <c r="Z785" s="194" t="n"/>
    </row>
    <row r="786" ht="15" customHeight="1" s="195">
      <c r="A786" s="381">
        <f>IF(AND('AGOSTO 2026'!D55&lt;&gt;"",'AGOSTO 2026'!Z55="POR RECOGER"),"AGO","")</f>
        <v/>
      </c>
      <c r="B786" s="381">
        <f>IF(AND('AGOSTO 2026'!D55&lt;&gt;"",'AGOSTO 2026'!Z55="POR RECOGER"),IF('AGOSTO 2026'!Y55&lt;&gt;"",'AGOSTO 2026'!Y55,'AGOSTO 2026'!I55),"")</f>
        <v/>
      </c>
      <c r="C786" s="381">
        <f>IF(AND('AGOSTO 2026'!D55&lt;&gt;"",'AGOSTO 2026'!Z55="POR RECOGER"),'AGOSTO 2026'!D55,"")</f>
        <v/>
      </c>
      <c r="D786" s="381">
        <f>IF(AND('AGOSTO 2026'!D55&lt;&gt;"",'AGOSTO 2026'!Z55="POR RECOGER"),'AGOSTO 2026'!F55,"")</f>
        <v/>
      </c>
      <c r="E786" s="381">
        <f>IF(AND('AGOSTO 2026'!D55&lt;&gt;"",'AGOSTO 2026'!Z55="POR RECOGER"),TEXT('AGOSTO 2026'!G55,"DD/MM/YYYY"),"")</f>
        <v/>
      </c>
      <c r="F786" s="381">
        <f>IF(AND('AGOSTO 2026'!D55&lt;&gt;"",'AGOSTO 2026'!Z55="POR RECOGER"),'AGOSTO 2026'!K55,"")</f>
        <v/>
      </c>
      <c r="G786" s="382">
        <f>IF(AND('AGOSTO 2026'!D55&lt;&gt;"",'AGOSTO 2026'!Z55="POR RECOGER"),'AGOSTO 2026'!M55,"")</f>
        <v/>
      </c>
      <c r="H786" s="382">
        <f>IF(AND('AGOSTO 2026'!D55&lt;&gt;"",'AGOSTO 2026'!Z55="POR RECOGER"),'AGOSTO 2026'!N55,"")</f>
        <v/>
      </c>
      <c r="I786" s="381">
        <f>IF(AND('AGOSTO 2026'!D55&lt;&gt;"",'AGOSTO 2026'!Z55="POR RECOGER"),'AGOSTO 2026'!P55,"")</f>
        <v/>
      </c>
      <c r="J786" s="381">
        <f>IF(AND('AGOSTO 2026'!D55&lt;&gt;"",'AGOSTO 2026'!Z55="POR RECOGER"),'AGOSTO 2026'!Q55,"")</f>
        <v/>
      </c>
      <c r="K786" s="381">
        <f>IF(AND('AGOSTO 2026'!D55&lt;&gt;"",'AGOSTO 2026'!Z55="POR RECOGER"),'AGOSTO 2026'!Y55,"")</f>
        <v/>
      </c>
      <c r="L786" s="381">
        <f>IF(AND('AGOSTO 2026'!D55&lt;&gt;"",'AGOSTO 2026'!Z55="POR RECOGER"),'AGOSTO 2026'!I55,"")</f>
        <v/>
      </c>
      <c r="P786" s="194" t="n"/>
      <c r="Q786" s="194" t="n"/>
      <c r="R786" s="194" t="n"/>
      <c r="S786" s="194" t="n"/>
      <c r="T786" s="194" t="n"/>
      <c r="U786" s="194" t="n"/>
      <c r="V786" s="194" t="n"/>
      <c r="W786" s="194" t="n"/>
      <c r="X786" s="194" t="n"/>
      <c r="Y786" s="194" t="n"/>
      <c r="Z786" s="194" t="n"/>
    </row>
    <row r="787" ht="15" customHeight="1" s="195">
      <c r="A787" s="381">
        <f>IF(AND('AGOSTO 2026'!D56&lt;&gt;"",'AGOSTO 2026'!Z56="POR RECOGER"),"AGO","")</f>
        <v/>
      </c>
      <c r="B787" s="381">
        <f>IF(AND('AGOSTO 2026'!D56&lt;&gt;"",'AGOSTO 2026'!Z56="POR RECOGER"),IF('AGOSTO 2026'!Y56&lt;&gt;"",'AGOSTO 2026'!Y56,'AGOSTO 2026'!I56),"")</f>
        <v/>
      </c>
      <c r="C787" s="381">
        <f>IF(AND('AGOSTO 2026'!D56&lt;&gt;"",'AGOSTO 2026'!Z56="POR RECOGER"),'AGOSTO 2026'!D56,"")</f>
        <v/>
      </c>
      <c r="D787" s="381">
        <f>IF(AND('AGOSTO 2026'!D56&lt;&gt;"",'AGOSTO 2026'!Z56="POR RECOGER"),'AGOSTO 2026'!F56,"")</f>
        <v/>
      </c>
      <c r="E787" s="381">
        <f>IF(AND('AGOSTO 2026'!D56&lt;&gt;"",'AGOSTO 2026'!Z56="POR RECOGER"),TEXT('AGOSTO 2026'!G56,"DD/MM/YYYY"),"")</f>
        <v/>
      </c>
      <c r="F787" s="381">
        <f>IF(AND('AGOSTO 2026'!D56&lt;&gt;"",'AGOSTO 2026'!Z56="POR RECOGER"),'AGOSTO 2026'!K56,"")</f>
        <v/>
      </c>
      <c r="G787" s="382">
        <f>IF(AND('AGOSTO 2026'!D56&lt;&gt;"",'AGOSTO 2026'!Z56="POR RECOGER"),'AGOSTO 2026'!M56,"")</f>
        <v/>
      </c>
      <c r="H787" s="382">
        <f>IF(AND('AGOSTO 2026'!D56&lt;&gt;"",'AGOSTO 2026'!Z56="POR RECOGER"),'AGOSTO 2026'!N56,"")</f>
        <v/>
      </c>
      <c r="I787" s="381">
        <f>IF(AND('AGOSTO 2026'!D56&lt;&gt;"",'AGOSTO 2026'!Z56="POR RECOGER"),'AGOSTO 2026'!P56,"")</f>
        <v/>
      </c>
      <c r="J787" s="381">
        <f>IF(AND('AGOSTO 2026'!D56&lt;&gt;"",'AGOSTO 2026'!Z56="POR RECOGER"),'AGOSTO 2026'!Q56,"")</f>
        <v/>
      </c>
      <c r="K787" s="381">
        <f>IF(AND('AGOSTO 2026'!D56&lt;&gt;"",'AGOSTO 2026'!Z56="POR RECOGER"),'AGOSTO 2026'!Y56,"")</f>
        <v/>
      </c>
      <c r="L787" s="381">
        <f>IF(AND('AGOSTO 2026'!D56&lt;&gt;"",'AGOSTO 2026'!Z56="POR RECOGER"),'AGOSTO 2026'!I56,"")</f>
        <v/>
      </c>
      <c r="P787" s="194" t="n"/>
      <c r="Q787" s="194" t="n"/>
      <c r="R787" s="194" t="n"/>
      <c r="S787" s="194" t="n"/>
      <c r="T787" s="194" t="n"/>
      <c r="U787" s="194" t="n"/>
      <c r="V787" s="194" t="n"/>
      <c r="W787" s="194" t="n"/>
      <c r="X787" s="194" t="n"/>
      <c r="Y787" s="194" t="n"/>
      <c r="Z787" s="194" t="n"/>
    </row>
    <row r="788" ht="15" customHeight="1" s="195">
      <c r="A788" s="381">
        <f>IF(AND('AGOSTO 2026'!D57&lt;&gt;"",'AGOSTO 2026'!Z57="POR RECOGER"),"AGO","")</f>
        <v/>
      </c>
      <c r="B788" s="381">
        <f>IF(AND('AGOSTO 2026'!D57&lt;&gt;"",'AGOSTO 2026'!Z57="POR RECOGER"),IF('AGOSTO 2026'!Y57&lt;&gt;"",'AGOSTO 2026'!Y57,'AGOSTO 2026'!I57),"")</f>
        <v/>
      </c>
      <c r="C788" s="381">
        <f>IF(AND('AGOSTO 2026'!D57&lt;&gt;"",'AGOSTO 2026'!Z57="POR RECOGER"),'AGOSTO 2026'!D57,"")</f>
        <v/>
      </c>
      <c r="D788" s="381">
        <f>IF(AND('AGOSTO 2026'!D57&lt;&gt;"",'AGOSTO 2026'!Z57="POR RECOGER"),'AGOSTO 2026'!F57,"")</f>
        <v/>
      </c>
      <c r="E788" s="381">
        <f>IF(AND('AGOSTO 2026'!D57&lt;&gt;"",'AGOSTO 2026'!Z57="POR RECOGER"),TEXT('AGOSTO 2026'!G57,"DD/MM/YYYY"),"")</f>
        <v/>
      </c>
      <c r="F788" s="381">
        <f>IF(AND('AGOSTO 2026'!D57&lt;&gt;"",'AGOSTO 2026'!Z57="POR RECOGER"),'AGOSTO 2026'!K57,"")</f>
        <v/>
      </c>
      <c r="G788" s="382">
        <f>IF(AND('AGOSTO 2026'!D57&lt;&gt;"",'AGOSTO 2026'!Z57="POR RECOGER"),'AGOSTO 2026'!M57,"")</f>
        <v/>
      </c>
      <c r="H788" s="382">
        <f>IF(AND('AGOSTO 2026'!D57&lt;&gt;"",'AGOSTO 2026'!Z57="POR RECOGER"),'AGOSTO 2026'!N57,"")</f>
        <v/>
      </c>
      <c r="I788" s="381">
        <f>IF(AND('AGOSTO 2026'!D57&lt;&gt;"",'AGOSTO 2026'!Z57="POR RECOGER"),'AGOSTO 2026'!P57,"")</f>
        <v/>
      </c>
      <c r="J788" s="381">
        <f>IF(AND('AGOSTO 2026'!D57&lt;&gt;"",'AGOSTO 2026'!Z57="POR RECOGER"),'AGOSTO 2026'!Q57,"")</f>
        <v/>
      </c>
      <c r="K788" s="381">
        <f>IF(AND('AGOSTO 2026'!D57&lt;&gt;"",'AGOSTO 2026'!Z57="POR RECOGER"),'AGOSTO 2026'!Y57,"")</f>
        <v/>
      </c>
      <c r="L788" s="381">
        <f>IF(AND('AGOSTO 2026'!D57&lt;&gt;"",'AGOSTO 2026'!Z57="POR RECOGER"),'AGOSTO 2026'!I57,"")</f>
        <v/>
      </c>
      <c r="P788" s="194" t="n"/>
      <c r="Q788" s="194" t="n"/>
      <c r="R788" s="194" t="n"/>
      <c r="S788" s="194" t="n"/>
      <c r="T788" s="194" t="n"/>
      <c r="U788" s="194" t="n"/>
      <c r="V788" s="194" t="n"/>
      <c r="W788" s="194" t="n"/>
      <c r="X788" s="194" t="n"/>
      <c r="Y788" s="194" t="n"/>
      <c r="Z788" s="194" t="n"/>
    </row>
    <row r="789" ht="15" customHeight="1" s="195">
      <c r="A789" s="381">
        <f>IF(AND('AGOSTO 2026'!D58&lt;&gt;"",'AGOSTO 2026'!Z58="POR RECOGER"),"AGO","")</f>
        <v/>
      </c>
      <c r="B789" s="381">
        <f>IF(AND('AGOSTO 2026'!D58&lt;&gt;"",'AGOSTO 2026'!Z58="POR RECOGER"),IF('AGOSTO 2026'!Y58&lt;&gt;"",'AGOSTO 2026'!Y58,'AGOSTO 2026'!I58),"")</f>
        <v/>
      </c>
      <c r="C789" s="381">
        <f>IF(AND('AGOSTO 2026'!D58&lt;&gt;"",'AGOSTO 2026'!Z58="POR RECOGER"),'AGOSTO 2026'!D58,"")</f>
        <v/>
      </c>
      <c r="D789" s="381">
        <f>IF(AND('AGOSTO 2026'!D58&lt;&gt;"",'AGOSTO 2026'!Z58="POR RECOGER"),'AGOSTO 2026'!F58,"")</f>
        <v/>
      </c>
      <c r="E789" s="381">
        <f>IF(AND('AGOSTO 2026'!D58&lt;&gt;"",'AGOSTO 2026'!Z58="POR RECOGER"),TEXT('AGOSTO 2026'!G58,"DD/MM/YYYY"),"")</f>
        <v/>
      </c>
      <c r="F789" s="381">
        <f>IF(AND('AGOSTO 2026'!D58&lt;&gt;"",'AGOSTO 2026'!Z58="POR RECOGER"),'AGOSTO 2026'!K58,"")</f>
        <v/>
      </c>
      <c r="G789" s="382">
        <f>IF(AND('AGOSTO 2026'!D58&lt;&gt;"",'AGOSTO 2026'!Z58="POR RECOGER"),'AGOSTO 2026'!M58,"")</f>
        <v/>
      </c>
      <c r="H789" s="382">
        <f>IF(AND('AGOSTO 2026'!D58&lt;&gt;"",'AGOSTO 2026'!Z58="POR RECOGER"),'AGOSTO 2026'!N58,"")</f>
        <v/>
      </c>
      <c r="I789" s="381">
        <f>IF(AND('AGOSTO 2026'!D58&lt;&gt;"",'AGOSTO 2026'!Z58="POR RECOGER"),'AGOSTO 2026'!P58,"")</f>
        <v/>
      </c>
      <c r="J789" s="381">
        <f>IF(AND('AGOSTO 2026'!D58&lt;&gt;"",'AGOSTO 2026'!Z58="POR RECOGER"),'AGOSTO 2026'!Q58,"")</f>
        <v/>
      </c>
      <c r="K789" s="381">
        <f>IF(AND('AGOSTO 2026'!D58&lt;&gt;"",'AGOSTO 2026'!Z58="POR RECOGER"),'AGOSTO 2026'!Y58,"")</f>
        <v/>
      </c>
      <c r="L789" s="381">
        <f>IF(AND('AGOSTO 2026'!D58&lt;&gt;"",'AGOSTO 2026'!Z58="POR RECOGER"),'AGOSTO 2026'!I58,"")</f>
        <v/>
      </c>
      <c r="P789" s="194" t="n"/>
      <c r="Q789" s="194" t="n"/>
      <c r="R789" s="194" t="n"/>
      <c r="S789" s="194" t="n"/>
      <c r="T789" s="194" t="n"/>
      <c r="U789" s="194" t="n"/>
      <c r="V789" s="194" t="n"/>
      <c r="W789" s="194" t="n"/>
      <c r="X789" s="194" t="n"/>
      <c r="Y789" s="194" t="n"/>
      <c r="Z789" s="194" t="n"/>
    </row>
    <row r="790" ht="15" customHeight="1" s="195">
      <c r="A790" s="381">
        <f>IF(AND('AGOSTO 2026'!D59&lt;&gt;"",'AGOSTO 2026'!Z59="POR RECOGER"),"AGO","")</f>
        <v/>
      </c>
      <c r="B790" s="381">
        <f>IF(AND('AGOSTO 2026'!D59&lt;&gt;"",'AGOSTO 2026'!Z59="POR RECOGER"),IF('AGOSTO 2026'!Y59&lt;&gt;"",'AGOSTO 2026'!Y59,'AGOSTO 2026'!I59),"")</f>
        <v/>
      </c>
      <c r="C790" s="381">
        <f>IF(AND('AGOSTO 2026'!D59&lt;&gt;"",'AGOSTO 2026'!Z59="POR RECOGER"),'AGOSTO 2026'!D59,"")</f>
        <v/>
      </c>
      <c r="D790" s="381">
        <f>IF(AND('AGOSTO 2026'!D59&lt;&gt;"",'AGOSTO 2026'!Z59="POR RECOGER"),'AGOSTO 2026'!F59,"")</f>
        <v/>
      </c>
      <c r="E790" s="381">
        <f>IF(AND('AGOSTO 2026'!D59&lt;&gt;"",'AGOSTO 2026'!Z59="POR RECOGER"),TEXT('AGOSTO 2026'!G59,"DD/MM/YYYY"),"")</f>
        <v/>
      </c>
      <c r="F790" s="381">
        <f>IF(AND('AGOSTO 2026'!D59&lt;&gt;"",'AGOSTO 2026'!Z59="POR RECOGER"),'AGOSTO 2026'!K59,"")</f>
        <v/>
      </c>
      <c r="G790" s="382">
        <f>IF(AND('AGOSTO 2026'!D59&lt;&gt;"",'AGOSTO 2026'!Z59="POR RECOGER"),'AGOSTO 2026'!M59,"")</f>
        <v/>
      </c>
      <c r="H790" s="382">
        <f>IF(AND('AGOSTO 2026'!D59&lt;&gt;"",'AGOSTO 2026'!Z59="POR RECOGER"),'AGOSTO 2026'!N59,"")</f>
        <v/>
      </c>
      <c r="I790" s="381">
        <f>IF(AND('AGOSTO 2026'!D59&lt;&gt;"",'AGOSTO 2026'!Z59="POR RECOGER"),'AGOSTO 2026'!P59,"")</f>
        <v/>
      </c>
      <c r="J790" s="381">
        <f>IF(AND('AGOSTO 2026'!D59&lt;&gt;"",'AGOSTO 2026'!Z59="POR RECOGER"),'AGOSTO 2026'!Q59,"")</f>
        <v/>
      </c>
      <c r="K790" s="381">
        <f>IF(AND('AGOSTO 2026'!D59&lt;&gt;"",'AGOSTO 2026'!Z59="POR RECOGER"),'AGOSTO 2026'!Y59,"")</f>
        <v/>
      </c>
      <c r="L790" s="381">
        <f>IF(AND('AGOSTO 2026'!D59&lt;&gt;"",'AGOSTO 2026'!Z59="POR RECOGER"),'AGOSTO 2026'!I59,"")</f>
        <v/>
      </c>
      <c r="P790" s="194" t="n"/>
      <c r="Q790" s="194" t="n"/>
      <c r="R790" s="194" t="n"/>
      <c r="S790" s="194" t="n"/>
      <c r="T790" s="194" t="n"/>
      <c r="U790" s="194" t="n"/>
      <c r="V790" s="194" t="n"/>
      <c r="W790" s="194" t="n"/>
      <c r="X790" s="194" t="n"/>
      <c r="Y790" s="194" t="n"/>
      <c r="Z790" s="194" t="n"/>
    </row>
    <row r="791" ht="15" customHeight="1" s="195">
      <c r="A791" s="381">
        <f>IF(AND('AGOSTO 2026'!D60&lt;&gt;"",'AGOSTO 2026'!Z60="POR RECOGER"),"AGO","")</f>
        <v/>
      </c>
      <c r="B791" s="381">
        <f>IF(AND('AGOSTO 2026'!D60&lt;&gt;"",'AGOSTO 2026'!Z60="POR RECOGER"),IF('AGOSTO 2026'!Y60&lt;&gt;"",'AGOSTO 2026'!Y60,'AGOSTO 2026'!I60),"")</f>
        <v/>
      </c>
      <c r="C791" s="381">
        <f>IF(AND('AGOSTO 2026'!D60&lt;&gt;"",'AGOSTO 2026'!Z60="POR RECOGER"),'AGOSTO 2026'!D60,"")</f>
        <v/>
      </c>
      <c r="D791" s="381">
        <f>IF(AND('AGOSTO 2026'!D60&lt;&gt;"",'AGOSTO 2026'!Z60="POR RECOGER"),'AGOSTO 2026'!F60,"")</f>
        <v/>
      </c>
      <c r="E791" s="381">
        <f>IF(AND('AGOSTO 2026'!D60&lt;&gt;"",'AGOSTO 2026'!Z60="POR RECOGER"),TEXT('AGOSTO 2026'!G60,"DD/MM/YYYY"),"")</f>
        <v/>
      </c>
      <c r="F791" s="381">
        <f>IF(AND('AGOSTO 2026'!D60&lt;&gt;"",'AGOSTO 2026'!Z60="POR RECOGER"),'AGOSTO 2026'!K60,"")</f>
        <v/>
      </c>
      <c r="G791" s="382">
        <f>IF(AND('AGOSTO 2026'!D60&lt;&gt;"",'AGOSTO 2026'!Z60="POR RECOGER"),'AGOSTO 2026'!M60,"")</f>
        <v/>
      </c>
      <c r="H791" s="382">
        <f>IF(AND('AGOSTO 2026'!D60&lt;&gt;"",'AGOSTO 2026'!Z60="POR RECOGER"),'AGOSTO 2026'!N60,"")</f>
        <v/>
      </c>
      <c r="I791" s="381">
        <f>IF(AND('AGOSTO 2026'!D60&lt;&gt;"",'AGOSTO 2026'!Z60="POR RECOGER"),'AGOSTO 2026'!P60,"")</f>
        <v/>
      </c>
      <c r="J791" s="381">
        <f>IF(AND('AGOSTO 2026'!D60&lt;&gt;"",'AGOSTO 2026'!Z60="POR RECOGER"),'AGOSTO 2026'!Q60,"")</f>
        <v/>
      </c>
      <c r="K791" s="381">
        <f>IF(AND('AGOSTO 2026'!D60&lt;&gt;"",'AGOSTO 2026'!Z60="POR RECOGER"),'AGOSTO 2026'!Y60,"")</f>
        <v/>
      </c>
      <c r="L791" s="381">
        <f>IF(AND('AGOSTO 2026'!D60&lt;&gt;"",'AGOSTO 2026'!Z60="POR RECOGER"),'AGOSTO 2026'!I60,"")</f>
        <v/>
      </c>
      <c r="P791" s="194" t="n"/>
      <c r="Q791" s="194" t="n"/>
      <c r="R791" s="194" t="n"/>
      <c r="S791" s="194" t="n"/>
      <c r="T791" s="194" t="n"/>
      <c r="U791" s="194" t="n"/>
      <c r="V791" s="194" t="n"/>
      <c r="W791" s="194" t="n"/>
      <c r="X791" s="194" t="n"/>
      <c r="Y791" s="194" t="n"/>
      <c r="Z791" s="194" t="n"/>
    </row>
    <row r="792" ht="15" customHeight="1" s="195">
      <c r="A792" s="381">
        <f>IF(AND('AGOSTO 2026'!D61&lt;&gt;"",'AGOSTO 2026'!Z61="POR RECOGER"),"AGO","")</f>
        <v/>
      </c>
      <c r="B792" s="381">
        <f>IF(AND('AGOSTO 2026'!D61&lt;&gt;"",'AGOSTO 2026'!Z61="POR RECOGER"),IF('AGOSTO 2026'!Y61&lt;&gt;"",'AGOSTO 2026'!Y61,'AGOSTO 2026'!I61),"")</f>
        <v/>
      </c>
      <c r="C792" s="381">
        <f>IF(AND('AGOSTO 2026'!D61&lt;&gt;"",'AGOSTO 2026'!Z61="POR RECOGER"),'AGOSTO 2026'!D61,"")</f>
        <v/>
      </c>
      <c r="D792" s="381">
        <f>IF(AND('AGOSTO 2026'!D61&lt;&gt;"",'AGOSTO 2026'!Z61="POR RECOGER"),'AGOSTO 2026'!F61,"")</f>
        <v/>
      </c>
      <c r="E792" s="381">
        <f>IF(AND('AGOSTO 2026'!D61&lt;&gt;"",'AGOSTO 2026'!Z61="POR RECOGER"),TEXT('AGOSTO 2026'!G61,"DD/MM/YYYY"),"")</f>
        <v/>
      </c>
      <c r="F792" s="381">
        <f>IF(AND('AGOSTO 2026'!D61&lt;&gt;"",'AGOSTO 2026'!Z61="POR RECOGER"),'AGOSTO 2026'!K61,"")</f>
        <v/>
      </c>
      <c r="G792" s="382">
        <f>IF(AND('AGOSTO 2026'!D61&lt;&gt;"",'AGOSTO 2026'!Z61="POR RECOGER"),'AGOSTO 2026'!M61,"")</f>
        <v/>
      </c>
      <c r="H792" s="382">
        <f>IF(AND('AGOSTO 2026'!D61&lt;&gt;"",'AGOSTO 2026'!Z61="POR RECOGER"),'AGOSTO 2026'!N61,"")</f>
        <v/>
      </c>
      <c r="I792" s="381">
        <f>IF(AND('AGOSTO 2026'!D61&lt;&gt;"",'AGOSTO 2026'!Z61="POR RECOGER"),'AGOSTO 2026'!P61,"")</f>
        <v/>
      </c>
      <c r="J792" s="381">
        <f>IF(AND('AGOSTO 2026'!D61&lt;&gt;"",'AGOSTO 2026'!Z61="POR RECOGER"),'AGOSTO 2026'!Q61,"")</f>
        <v/>
      </c>
      <c r="K792" s="381">
        <f>IF(AND('AGOSTO 2026'!D61&lt;&gt;"",'AGOSTO 2026'!Z61="POR RECOGER"),'AGOSTO 2026'!Y61,"")</f>
        <v/>
      </c>
      <c r="L792" s="381">
        <f>IF(AND('AGOSTO 2026'!D61&lt;&gt;"",'AGOSTO 2026'!Z61="POR RECOGER"),'AGOSTO 2026'!I61,"")</f>
        <v/>
      </c>
      <c r="P792" s="194" t="n"/>
      <c r="Q792" s="194" t="n"/>
      <c r="R792" s="194" t="n"/>
      <c r="S792" s="194" t="n"/>
      <c r="T792" s="194" t="n"/>
      <c r="U792" s="194" t="n"/>
      <c r="V792" s="194" t="n"/>
      <c r="W792" s="194" t="n"/>
      <c r="X792" s="194" t="n"/>
      <c r="Y792" s="194" t="n"/>
      <c r="Z792" s="194" t="n"/>
    </row>
    <row r="793" ht="15" customHeight="1" s="195">
      <c r="A793" s="381">
        <f>IF(AND('AGOSTO 2026'!D62&lt;&gt;"",'AGOSTO 2026'!Z62="POR RECOGER"),"AGO","")</f>
        <v/>
      </c>
      <c r="B793" s="381">
        <f>IF(AND('AGOSTO 2026'!D62&lt;&gt;"",'AGOSTO 2026'!Z62="POR RECOGER"),IF('AGOSTO 2026'!Y62&lt;&gt;"",'AGOSTO 2026'!Y62,'AGOSTO 2026'!I62),"")</f>
        <v/>
      </c>
      <c r="C793" s="381">
        <f>IF(AND('AGOSTO 2026'!D62&lt;&gt;"",'AGOSTO 2026'!Z62="POR RECOGER"),'AGOSTO 2026'!D62,"")</f>
        <v/>
      </c>
      <c r="D793" s="381">
        <f>IF(AND('AGOSTO 2026'!D62&lt;&gt;"",'AGOSTO 2026'!Z62="POR RECOGER"),'AGOSTO 2026'!F62,"")</f>
        <v/>
      </c>
      <c r="E793" s="381">
        <f>IF(AND('AGOSTO 2026'!D62&lt;&gt;"",'AGOSTO 2026'!Z62="POR RECOGER"),TEXT('AGOSTO 2026'!G62,"DD/MM/YYYY"),"")</f>
        <v/>
      </c>
      <c r="F793" s="381">
        <f>IF(AND('AGOSTO 2026'!D62&lt;&gt;"",'AGOSTO 2026'!Z62="POR RECOGER"),'AGOSTO 2026'!K62,"")</f>
        <v/>
      </c>
      <c r="G793" s="382">
        <f>IF(AND('AGOSTO 2026'!D62&lt;&gt;"",'AGOSTO 2026'!Z62="POR RECOGER"),'AGOSTO 2026'!M62,"")</f>
        <v/>
      </c>
      <c r="H793" s="382">
        <f>IF(AND('AGOSTO 2026'!D62&lt;&gt;"",'AGOSTO 2026'!Z62="POR RECOGER"),'AGOSTO 2026'!N62,"")</f>
        <v/>
      </c>
      <c r="I793" s="381">
        <f>IF(AND('AGOSTO 2026'!D62&lt;&gt;"",'AGOSTO 2026'!Z62="POR RECOGER"),'AGOSTO 2026'!P62,"")</f>
        <v/>
      </c>
      <c r="J793" s="381">
        <f>IF(AND('AGOSTO 2026'!D62&lt;&gt;"",'AGOSTO 2026'!Z62="POR RECOGER"),'AGOSTO 2026'!Q62,"")</f>
        <v/>
      </c>
      <c r="K793" s="381">
        <f>IF(AND('AGOSTO 2026'!D62&lt;&gt;"",'AGOSTO 2026'!Z62="POR RECOGER"),'AGOSTO 2026'!Y62,"")</f>
        <v/>
      </c>
      <c r="L793" s="381">
        <f>IF(AND('AGOSTO 2026'!D62&lt;&gt;"",'AGOSTO 2026'!Z62="POR RECOGER"),'AGOSTO 2026'!I62,"")</f>
        <v/>
      </c>
      <c r="P793" s="194" t="n"/>
      <c r="Q793" s="194" t="n"/>
      <c r="R793" s="194" t="n"/>
      <c r="S793" s="194" t="n"/>
      <c r="T793" s="194" t="n"/>
      <c r="U793" s="194" t="n"/>
      <c r="V793" s="194" t="n"/>
      <c r="W793" s="194" t="n"/>
      <c r="X793" s="194" t="n"/>
      <c r="Y793" s="194" t="n"/>
      <c r="Z793" s="194" t="n"/>
    </row>
    <row r="794" ht="15" customHeight="1" s="195">
      <c r="A794" s="381">
        <f>IF(AND('AGOSTO 2026'!D63&lt;&gt;"",'AGOSTO 2026'!Z63="POR RECOGER"),"AGO","")</f>
        <v/>
      </c>
      <c r="B794" s="381">
        <f>IF(AND('AGOSTO 2026'!D63&lt;&gt;"",'AGOSTO 2026'!Z63="POR RECOGER"),IF('AGOSTO 2026'!Y63&lt;&gt;"",'AGOSTO 2026'!Y63,'AGOSTO 2026'!I63),"")</f>
        <v/>
      </c>
      <c r="C794" s="381">
        <f>IF(AND('AGOSTO 2026'!D63&lt;&gt;"",'AGOSTO 2026'!Z63="POR RECOGER"),'AGOSTO 2026'!D63,"")</f>
        <v/>
      </c>
      <c r="D794" s="381">
        <f>IF(AND('AGOSTO 2026'!D63&lt;&gt;"",'AGOSTO 2026'!Z63="POR RECOGER"),'AGOSTO 2026'!F63,"")</f>
        <v/>
      </c>
      <c r="E794" s="381">
        <f>IF(AND('AGOSTO 2026'!D63&lt;&gt;"",'AGOSTO 2026'!Z63="POR RECOGER"),TEXT('AGOSTO 2026'!G63,"DD/MM/YYYY"),"")</f>
        <v/>
      </c>
      <c r="F794" s="381">
        <f>IF(AND('AGOSTO 2026'!D63&lt;&gt;"",'AGOSTO 2026'!Z63="POR RECOGER"),'AGOSTO 2026'!K63,"")</f>
        <v/>
      </c>
      <c r="G794" s="382">
        <f>IF(AND('AGOSTO 2026'!D63&lt;&gt;"",'AGOSTO 2026'!Z63="POR RECOGER"),'AGOSTO 2026'!M63,"")</f>
        <v/>
      </c>
      <c r="H794" s="382">
        <f>IF(AND('AGOSTO 2026'!D63&lt;&gt;"",'AGOSTO 2026'!Z63="POR RECOGER"),'AGOSTO 2026'!N63,"")</f>
        <v/>
      </c>
      <c r="I794" s="381">
        <f>IF(AND('AGOSTO 2026'!D63&lt;&gt;"",'AGOSTO 2026'!Z63="POR RECOGER"),'AGOSTO 2026'!P63,"")</f>
        <v/>
      </c>
      <c r="J794" s="381">
        <f>IF(AND('AGOSTO 2026'!D63&lt;&gt;"",'AGOSTO 2026'!Z63="POR RECOGER"),'AGOSTO 2026'!Q63,"")</f>
        <v/>
      </c>
      <c r="K794" s="381">
        <f>IF(AND('AGOSTO 2026'!D63&lt;&gt;"",'AGOSTO 2026'!Z63="POR RECOGER"),'AGOSTO 2026'!Y63,"")</f>
        <v/>
      </c>
      <c r="L794" s="381">
        <f>IF(AND('AGOSTO 2026'!D63&lt;&gt;"",'AGOSTO 2026'!Z63="POR RECOGER"),'AGOSTO 2026'!I63,"")</f>
        <v/>
      </c>
      <c r="P794" s="194" t="n"/>
      <c r="Q794" s="194" t="n"/>
      <c r="R794" s="194" t="n"/>
      <c r="S794" s="194" t="n"/>
      <c r="T794" s="194" t="n"/>
      <c r="U794" s="194" t="n"/>
      <c r="V794" s="194" t="n"/>
      <c r="W794" s="194" t="n"/>
      <c r="X794" s="194" t="n"/>
      <c r="Y794" s="194" t="n"/>
      <c r="Z794" s="194" t="n"/>
    </row>
    <row r="795" ht="15" customHeight="1" s="195">
      <c r="A795" s="381">
        <f>IF(AND('AGOSTO 2026'!D64&lt;&gt;"",'AGOSTO 2026'!Z64="POR RECOGER"),"AGO","")</f>
        <v/>
      </c>
      <c r="B795" s="381">
        <f>IF(AND('AGOSTO 2026'!D64&lt;&gt;"",'AGOSTO 2026'!Z64="POR RECOGER"),IF('AGOSTO 2026'!Y64&lt;&gt;"",'AGOSTO 2026'!Y64,'AGOSTO 2026'!I64),"")</f>
        <v/>
      </c>
      <c r="C795" s="381">
        <f>IF(AND('AGOSTO 2026'!D64&lt;&gt;"",'AGOSTO 2026'!Z64="POR RECOGER"),'AGOSTO 2026'!D64,"")</f>
        <v/>
      </c>
      <c r="D795" s="381">
        <f>IF(AND('AGOSTO 2026'!D64&lt;&gt;"",'AGOSTO 2026'!Z64="POR RECOGER"),'AGOSTO 2026'!F64,"")</f>
        <v/>
      </c>
      <c r="E795" s="381">
        <f>IF(AND('AGOSTO 2026'!D64&lt;&gt;"",'AGOSTO 2026'!Z64="POR RECOGER"),TEXT('AGOSTO 2026'!G64,"DD/MM/YYYY"),"")</f>
        <v/>
      </c>
      <c r="F795" s="381">
        <f>IF(AND('AGOSTO 2026'!D64&lt;&gt;"",'AGOSTO 2026'!Z64="POR RECOGER"),'AGOSTO 2026'!K64,"")</f>
        <v/>
      </c>
      <c r="G795" s="382">
        <f>IF(AND('AGOSTO 2026'!D64&lt;&gt;"",'AGOSTO 2026'!Z64="POR RECOGER"),'AGOSTO 2026'!M64,"")</f>
        <v/>
      </c>
      <c r="H795" s="382">
        <f>IF(AND('AGOSTO 2026'!D64&lt;&gt;"",'AGOSTO 2026'!Z64="POR RECOGER"),'AGOSTO 2026'!N64,"")</f>
        <v/>
      </c>
      <c r="I795" s="381">
        <f>IF(AND('AGOSTO 2026'!D64&lt;&gt;"",'AGOSTO 2026'!Z64="POR RECOGER"),'AGOSTO 2026'!P64,"")</f>
        <v/>
      </c>
      <c r="J795" s="381">
        <f>IF(AND('AGOSTO 2026'!D64&lt;&gt;"",'AGOSTO 2026'!Z64="POR RECOGER"),'AGOSTO 2026'!Q64,"")</f>
        <v/>
      </c>
      <c r="K795" s="381">
        <f>IF(AND('AGOSTO 2026'!D64&lt;&gt;"",'AGOSTO 2026'!Z64="POR RECOGER"),'AGOSTO 2026'!Y64,"")</f>
        <v/>
      </c>
      <c r="L795" s="381">
        <f>IF(AND('AGOSTO 2026'!D64&lt;&gt;"",'AGOSTO 2026'!Z64="POR RECOGER"),'AGOSTO 2026'!I64,"")</f>
        <v/>
      </c>
      <c r="P795" s="194" t="n"/>
      <c r="Q795" s="194" t="n"/>
      <c r="R795" s="194" t="n"/>
      <c r="S795" s="194" t="n"/>
      <c r="T795" s="194" t="n"/>
      <c r="U795" s="194" t="n"/>
      <c r="V795" s="194" t="n"/>
      <c r="W795" s="194" t="n"/>
      <c r="X795" s="194" t="n"/>
      <c r="Y795" s="194" t="n"/>
      <c r="Z795" s="194" t="n"/>
    </row>
    <row r="796" ht="15" customHeight="1" s="195">
      <c r="A796" s="381">
        <f>IF(AND('AGOSTO 2026'!D65&lt;&gt;"",'AGOSTO 2026'!Z65="POR RECOGER"),"AGO","")</f>
        <v/>
      </c>
      <c r="B796" s="381">
        <f>IF(AND('AGOSTO 2026'!D65&lt;&gt;"",'AGOSTO 2026'!Z65="POR RECOGER"),IF('AGOSTO 2026'!Y65&lt;&gt;"",'AGOSTO 2026'!Y65,'AGOSTO 2026'!I65),"")</f>
        <v/>
      </c>
      <c r="C796" s="381">
        <f>IF(AND('AGOSTO 2026'!D65&lt;&gt;"",'AGOSTO 2026'!Z65="POR RECOGER"),'AGOSTO 2026'!D65,"")</f>
        <v/>
      </c>
      <c r="D796" s="381">
        <f>IF(AND('AGOSTO 2026'!D65&lt;&gt;"",'AGOSTO 2026'!Z65="POR RECOGER"),'AGOSTO 2026'!F65,"")</f>
        <v/>
      </c>
      <c r="E796" s="381">
        <f>IF(AND('AGOSTO 2026'!D65&lt;&gt;"",'AGOSTO 2026'!Z65="POR RECOGER"),TEXT('AGOSTO 2026'!G65,"DD/MM/YYYY"),"")</f>
        <v/>
      </c>
      <c r="F796" s="381">
        <f>IF(AND('AGOSTO 2026'!D65&lt;&gt;"",'AGOSTO 2026'!Z65="POR RECOGER"),'AGOSTO 2026'!K65,"")</f>
        <v/>
      </c>
      <c r="G796" s="382">
        <f>IF(AND('AGOSTO 2026'!D65&lt;&gt;"",'AGOSTO 2026'!Z65="POR RECOGER"),'AGOSTO 2026'!M65,"")</f>
        <v/>
      </c>
      <c r="H796" s="382">
        <f>IF(AND('AGOSTO 2026'!D65&lt;&gt;"",'AGOSTO 2026'!Z65="POR RECOGER"),'AGOSTO 2026'!N65,"")</f>
        <v/>
      </c>
      <c r="I796" s="381">
        <f>IF(AND('AGOSTO 2026'!D65&lt;&gt;"",'AGOSTO 2026'!Z65="POR RECOGER"),'AGOSTO 2026'!P65,"")</f>
        <v/>
      </c>
      <c r="J796" s="381">
        <f>IF(AND('AGOSTO 2026'!D65&lt;&gt;"",'AGOSTO 2026'!Z65="POR RECOGER"),'AGOSTO 2026'!Q65,"")</f>
        <v/>
      </c>
      <c r="K796" s="381">
        <f>IF(AND('AGOSTO 2026'!D65&lt;&gt;"",'AGOSTO 2026'!Z65="POR RECOGER"),'AGOSTO 2026'!Y65,"")</f>
        <v/>
      </c>
      <c r="L796" s="381">
        <f>IF(AND('AGOSTO 2026'!D65&lt;&gt;"",'AGOSTO 2026'!Z65="POR RECOGER"),'AGOSTO 2026'!I65,"")</f>
        <v/>
      </c>
      <c r="P796" s="194" t="n"/>
      <c r="Q796" s="194" t="n"/>
      <c r="R796" s="194" t="n"/>
      <c r="S796" s="194" t="n"/>
      <c r="T796" s="194" t="n"/>
      <c r="U796" s="194" t="n"/>
      <c r="V796" s="194" t="n"/>
      <c r="W796" s="194" t="n"/>
      <c r="X796" s="194" t="n"/>
      <c r="Y796" s="194" t="n"/>
      <c r="Z796" s="194" t="n"/>
    </row>
    <row r="797" ht="15" customHeight="1" s="195">
      <c r="A797" s="381">
        <f>IF(AND('AGOSTO 2026'!D66&lt;&gt;"",'AGOSTO 2026'!Z66="POR RECOGER"),"AGO","")</f>
        <v/>
      </c>
      <c r="B797" s="381">
        <f>IF(AND('AGOSTO 2026'!D66&lt;&gt;"",'AGOSTO 2026'!Z66="POR RECOGER"),IF('AGOSTO 2026'!Y66&lt;&gt;"",'AGOSTO 2026'!Y66,'AGOSTO 2026'!I66),"")</f>
        <v/>
      </c>
      <c r="C797" s="381">
        <f>IF(AND('AGOSTO 2026'!D66&lt;&gt;"",'AGOSTO 2026'!Z66="POR RECOGER"),'AGOSTO 2026'!D66,"")</f>
        <v/>
      </c>
      <c r="D797" s="381">
        <f>IF(AND('AGOSTO 2026'!D66&lt;&gt;"",'AGOSTO 2026'!Z66="POR RECOGER"),'AGOSTO 2026'!F66,"")</f>
        <v/>
      </c>
      <c r="E797" s="381">
        <f>IF(AND('AGOSTO 2026'!D66&lt;&gt;"",'AGOSTO 2026'!Z66="POR RECOGER"),TEXT('AGOSTO 2026'!G66,"DD/MM/YYYY"),"")</f>
        <v/>
      </c>
      <c r="F797" s="381">
        <f>IF(AND('AGOSTO 2026'!D66&lt;&gt;"",'AGOSTO 2026'!Z66="POR RECOGER"),'AGOSTO 2026'!K66,"")</f>
        <v/>
      </c>
      <c r="G797" s="382">
        <f>IF(AND('AGOSTO 2026'!D66&lt;&gt;"",'AGOSTO 2026'!Z66="POR RECOGER"),'AGOSTO 2026'!M66,"")</f>
        <v/>
      </c>
      <c r="H797" s="382">
        <f>IF(AND('AGOSTO 2026'!D66&lt;&gt;"",'AGOSTO 2026'!Z66="POR RECOGER"),'AGOSTO 2026'!N66,"")</f>
        <v/>
      </c>
      <c r="I797" s="381">
        <f>IF(AND('AGOSTO 2026'!D66&lt;&gt;"",'AGOSTO 2026'!Z66="POR RECOGER"),'AGOSTO 2026'!P66,"")</f>
        <v/>
      </c>
      <c r="J797" s="381">
        <f>IF(AND('AGOSTO 2026'!D66&lt;&gt;"",'AGOSTO 2026'!Z66="POR RECOGER"),'AGOSTO 2026'!Q66,"")</f>
        <v/>
      </c>
      <c r="K797" s="381">
        <f>IF(AND('AGOSTO 2026'!D66&lt;&gt;"",'AGOSTO 2026'!Z66="POR RECOGER"),'AGOSTO 2026'!Y66,"")</f>
        <v/>
      </c>
      <c r="L797" s="381">
        <f>IF(AND('AGOSTO 2026'!D66&lt;&gt;"",'AGOSTO 2026'!Z66="POR RECOGER"),'AGOSTO 2026'!I66,"")</f>
        <v/>
      </c>
      <c r="P797" s="194" t="n"/>
      <c r="Q797" s="194" t="n"/>
      <c r="R797" s="194" t="n"/>
      <c r="S797" s="194" t="n"/>
      <c r="T797" s="194" t="n"/>
      <c r="U797" s="194" t="n"/>
      <c r="V797" s="194" t="n"/>
      <c r="W797" s="194" t="n"/>
      <c r="X797" s="194" t="n"/>
      <c r="Y797" s="194" t="n"/>
      <c r="Z797" s="194" t="n"/>
    </row>
    <row r="798" ht="15" customHeight="1" s="195">
      <c r="A798" s="381">
        <f>IF(AND('AGOSTO 2026'!D67&lt;&gt;"",'AGOSTO 2026'!Z67="POR RECOGER"),"AGO","")</f>
        <v/>
      </c>
      <c r="B798" s="381">
        <f>IF(AND('AGOSTO 2026'!D67&lt;&gt;"",'AGOSTO 2026'!Z67="POR RECOGER"),IF('AGOSTO 2026'!Y67&lt;&gt;"",'AGOSTO 2026'!Y67,'AGOSTO 2026'!I67),"")</f>
        <v/>
      </c>
      <c r="C798" s="381">
        <f>IF(AND('AGOSTO 2026'!D67&lt;&gt;"",'AGOSTO 2026'!Z67="POR RECOGER"),'AGOSTO 2026'!D67,"")</f>
        <v/>
      </c>
      <c r="D798" s="381">
        <f>IF(AND('AGOSTO 2026'!D67&lt;&gt;"",'AGOSTO 2026'!Z67="POR RECOGER"),'AGOSTO 2026'!F67,"")</f>
        <v/>
      </c>
      <c r="E798" s="381">
        <f>IF(AND('AGOSTO 2026'!D67&lt;&gt;"",'AGOSTO 2026'!Z67="POR RECOGER"),TEXT('AGOSTO 2026'!G67,"DD/MM/YYYY"),"")</f>
        <v/>
      </c>
      <c r="F798" s="381">
        <f>IF(AND('AGOSTO 2026'!D67&lt;&gt;"",'AGOSTO 2026'!Z67="POR RECOGER"),'AGOSTO 2026'!K67,"")</f>
        <v/>
      </c>
      <c r="G798" s="382">
        <f>IF(AND('AGOSTO 2026'!D67&lt;&gt;"",'AGOSTO 2026'!Z67="POR RECOGER"),'AGOSTO 2026'!M67,"")</f>
        <v/>
      </c>
      <c r="H798" s="382">
        <f>IF(AND('AGOSTO 2026'!D67&lt;&gt;"",'AGOSTO 2026'!Z67="POR RECOGER"),'AGOSTO 2026'!N67,"")</f>
        <v/>
      </c>
      <c r="I798" s="381">
        <f>IF(AND('AGOSTO 2026'!D67&lt;&gt;"",'AGOSTO 2026'!Z67="POR RECOGER"),'AGOSTO 2026'!P67,"")</f>
        <v/>
      </c>
      <c r="J798" s="381">
        <f>IF(AND('AGOSTO 2026'!D67&lt;&gt;"",'AGOSTO 2026'!Z67="POR RECOGER"),'AGOSTO 2026'!Q67,"")</f>
        <v/>
      </c>
      <c r="K798" s="381">
        <f>IF(AND('AGOSTO 2026'!D67&lt;&gt;"",'AGOSTO 2026'!Z67="POR RECOGER"),'AGOSTO 2026'!Y67,"")</f>
        <v/>
      </c>
      <c r="L798" s="381">
        <f>IF(AND('AGOSTO 2026'!D67&lt;&gt;"",'AGOSTO 2026'!Z67="POR RECOGER"),'AGOSTO 2026'!I67,"")</f>
        <v/>
      </c>
      <c r="P798" s="194" t="n"/>
      <c r="Q798" s="194" t="n"/>
      <c r="R798" s="194" t="n"/>
      <c r="S798" s="194" t="n"/>
      <c r="T798" s="194" t="n"/>
      <c r="U798" s="194" t="n"/>
      <c r="V798" s="194" t="n"/>
      <c r="W798" s="194" t="n"/>
      <c r="X798" s="194" t="n"/>
      <c r="Y798" s="194" t="n"/>
      <c r="Z798" s="194" t="n"/>
    </row>
    <row r="799" ht="15" customHeight="1" s="195">
      <c r="A799" s="381">
        <f>IF(AND('AGOSTO 2026'!D68&lt;&gt;"",'AGOSTO 2026'!Z68="POR RECOGER"),"AGO","")</f>
        <v/>
      </c>
      <c r="B799" s="381">
        <f>IF(AND('AGOSTO 2026'!D68&lt;&gt;"",'AGOSTO 2026'!Z68="POR RECOGER"),IF('AGOSTO 2026'!Y68&lt;&gt;"",'AGOSTO 2026'!Y68,'AGOSTO 2026'!I68),"")</f>
        <v/>
      </c>
      <c r="C799" s="381">
        <f>IF(AND('AGOSTO 2026'!D68&lt;&gt;"",'AGOSTO 2026'!Z68="POR RECOGER"),'AGOSTO 2026'!D68,"")</f>
        <v/>
      </c>
      <c r="D799" s="381">
        <f>IF(AND('AGOSTO 2026'!D68&lt;&gt;"",'AGOSTO 2026'!Z68="POR RECOGER"),'AGOSTO 2026'!F68,"")</f>
        <v/>
      </c>
      <c r="E799" s="381">
        <f>IF(AND('AGOSTO 2026'!D68&lt;&gt;"",'AGOSTO 2026'!Z68="POR RECOGER"),TEXT('AGOSTO 2026'!G68,"DD/MM/YYYY"),"")</f>
        <v/>
      </c>
      <c r="F799" s="381">
        <f>IF(AND('AGOSTO 2026'!D68&lt;&gt;"",'AGOSTO 2026'!Z68="POR RECOGER"),'AGOSTO 2026'!K68,"")</f>
        <v/>
      </c>
      <c r="G799" s="382">
        <f>IF(AND('AGOSTO 2026'!D68&lt;&gt;"",'AGOSTO 2026'!Z68="POR RECOGER"),'AGOSTO 2026'!M68,"")</f>
        <v/>
      </c>
      <c r="H799" s="382">
        <f>IF(AND('AGOSTO 2026'!D68&lt;&gt;"",'AGOSTO 2026'!Z68="POR RECOGER"),'AGOSTO 2026'!N68,"")</f>
        <v/>
      </c>
      <c r="I799" s="381">
        <f>IF(AND('AGOSTO 2026'!D68&lt;&gt;"",'AGOSTO 2026'!Z68="POR RECOGER"),'AGOSTO 2026'!P68,"")</f>
        <v/>
      </c>
      <c r="J799" s="381">
        <f>IF(AND('AGOSTO 2026'!D68&lt;&gt;"",'AGOSTO 2026'!Z68="POR RECOGER"),'AGOSTO 2026'!Q68,"")</f>
        <v/>
      </c>
      <c r="K799" s="381">
        <f>IF(AND('AGOSTO 2026'!D68&lt;&gt;"",'AGOSTO 2026'!Z68="POR RECOGER"),'AGOSTO 2026'!Y68,"")</f>
        <v/>
      </c>
      <c r="L799" s="381">
        <f>IF(AND('AGOSTO 2026'!D68&lt;&gt;"",'AGOSTO 2026'!Z68="POR RECOGER"),'AGOSTO 2026'!I68,"")</f>
        <v/>
      </c>
      <c r="P799" s="194" t="n"/>
      <c r="Q799" s="194" t="n"/>
      <c r="R799" s="194" t="n"/>
      <c r="S799" s="194" t="n"/>
      <c r="T799" s="194" t="n"/>
      <c r="U799" s="194" t="n"/>
      <c r="V799" s="194" t="n"/>
      <c r="W799" s="194" t="n"/>
      <c r="X799" s="194" t="n"/>
      <c r="Y799" s="194" t="n"/>
      <c r="Z799" s="194" t="n"/>
    </row>
    <row r="800" ht="15" customHeight="1" s="195">
      <c r="A800" s="381">
        <f>IF(AND('AGOSTO 2026'!D69&lt;&gt;"",'AGOSTO 2026'!Z69="POR RECOGER"),"AGO","")</f>
        <v/>
      </c>
      <c r="B800" s="381">
        <f>IF(AND('AGOSTO 2026'!D69&lt;&gt;"",'AGOSTO 2026'!Z69="POR RECOGER"),IF('AGOSTO 2026'!Y69&lt;&gt;"",'AGOSTO 2026'!Y69,'AGOSTO 2026'!I69),"")</f>
        <v/>
      </c>
      <c r="C800" s="381">
        <f>IF(AND('AGOSTO 2026'!D69&lt;&gt;"",'AGOSTO 2026'!Z69="POR RECOGER"),'AGOSTO 2026'!D69,"")</f>
        <v/>
      </c>
      <c r="D800" s="381">
        <f>IF(AND('AGOSTO 2026'!D69&lt;&gt;"",'AGOSTO 2026'!Z69="POR RECOGER"),'AGOSTO 2026'!F69,"")</f>
        <v/>
      </c>
      <c r="E800" s="381">
        <f>IF(AND('AGOSTO 2026'!D69&lt;&gt;"",'AGOSTO 2026'!Z69="POR RECOGER"),TEXT('AGOSTO 2026'!G69,"DD/MM/YYYY"),"")</f>
        <v/>
      </c>
      <c r="F800" s="381">
        <f>IF(AND('AGOSTO 2026'!D69&lt;&gt;"",'AGOSTO 2026'!Z69="POR RECOGER"),'AGOSTO 2026'!K69,"")</f>
        <v/>
      </c>
      <c r="G800" s="382">
        <f>IF(AND('AGOSTO 2026'!D69&lt;&gt;"",'AGOSTO 2026'!Z69="POR RECOGER"),'AGOSTO 2026'!M69,"")</f>
        <v/>
      </c>
      <c r="H800" s="382">
        <f>IF(AND('AGOSTO 2026'!D69&lt;&gt;"",'AGOSTO 2026'!Z69="POR RECOGER"),'AGOSTO 2026'!N69,"")</f>
        <v/>
      </c>
      <c r="I800" s="381">
        <f>IF(AND('AGOSTO 2026'!D69&lt;&gt;"",'AGOSTO 2026'!Z69="POR RECOGER"),'AGOSTO 2026'!P69,"")</f>
        <v/>
      </c>
      <c r="J800" s="381">
        <f>IF(AND('AGOSTO 2026'!D69&lt;&gt;"",'AGOSTO 2026'!Z69="POR RECOGER"),'AGOSTO 2026'!Q69,"")</f>
        <v/>
      </c>
      <c r="K800" s="381">
        <f>IF(AND('AGOSTO 2026'!D69&lt;&gt;"",'AGOSTO 2026'!Z69="POR RECOGER"),'AGOSTO 2026'!Y69,"")</f>
        <v/>
      </c>
      <c r="L800" s="381">
        <f>IF(AND('AGOSTO 2026'!D69&lt;&gt;"",'AGOSTO 2026'!Z69="POR RECOGER"),'AGOSTO 2026'!I69,"")</f>
        <v/>
      </c>
      <c r="P800" s="194" t="n"/>
      <c r="Q800" s="194" t="n"/>
      <c r="R800" s="194" t="n"/>
      <c r="S800" s="194" t="n"/>
      <c r="T800" s="194" t="n"/>
      <c r="U800" s="194" t="n"/>
      <c r="V800" s="194" t="n"/>
      <c r="W800" s="194" t="n"/>
      <c r="X800" s="194" t="n"/>
      <c r="Y800" s="194" t="n"/>
      <c r="Z800" s="194" t="n"/>
    </row>
    <row r="801" ht="15" customHeight="1" s="195">
      <c r="A801" s="381">
        <f>IF(AND('AGOSTO 2026'!D70&lt;&gt;"",'AGOSTO 2026'!Z70="POR RECOGER"),"AGO","")</f>
        <v/>
      </c>
      <c r="B801" s="381">
        <f>IF(AND('AGOSTO 2026'!D70&lt;&gt;"",'AGOSTO 2026'!Z70="POR RECOGER"),IF('AGOSTO 2026'!Y70&lt;&gt;"",'AGOSTO 2026'!Y70,'AGOSTO 2026'!I70),"")</f>
        <v/>
      </c>
      <c r="C801" s="381">
        <f>IF(AND('AGOSTO 2026'!D70&lt;&gt;"",'AGOSTO 2026'!Z70="POR RECOGER"),'AGOSTO 2026'!D70,"")</f>
        <v/>
      </c>
      <c r="D801" s="381">
        <f>IF(AND('AGOSTO 2026'!D70&lt;&gt;"",'AGOSTO 2026'!Z70="POR RECOGER"),'AGOSTO 2026'!F70,"")</f>
        <v/>
      </c>
      <c r="E801" s="381">
        <f>IF(AND('AGOSTO 2026'!D70&lt;&gt;"",'AGOSTO 2026'!Z70="POR RECOGER"),TEXT('AGOSTO 2026'!G70,"DD/MM/YYYY"),"")</f>
        <v/>
      </c>
      <c r="F801" s="381">
        <f>IF(AND('AGOSTO 2026'!D70&lt;&gt;"",'AGOSTO 2026'!Z70="POR RECOGER"),'AGOSTO 2026'!K70,"")</f>
        <v/>
      </c>
      <c r="G801" s="382">
        <f>IF(AND('AGOSTO 2026'!D70&lt;&gt;"",'AGOSTO 2026'!Z70="POR RECOGER"),'AGOSTO 2026'!M70,"")</f>
        <v/>
      </c>
      <c r="H801" s="382">
        <f>IF(AND('AGOSTO 2026'!D70&lt;&gt;"",'AGOSTO 2026'!Z70="POR RECOGER"),'AGOSTO 2026'!N70,"")</f>
        <v/>
      </c>
      <c r="I801" s="381">
        <f>IF(AND('AGOSTO 2026'!D70&lt;&gt;"",'AGOSTO 2026'!Z70="POR RECOGER"),'AGOSTO 2026'!P70,"")</f>
        <v/>
      </c>
      <c r="J801" s="381">
        <f>IF(AND('AGOSTO 2026'!D70&lt;&gt;"",'AGOSTO 2026'!Z70="POR RECOGER"),'AGOSTO 2026'!Q70,"")</f>
        <v/>
      </c>
      <c r="K801" s="381">
        <f>IF(AND('AGOSTO 2026'!D70&lt;&gt;"",'AGOSTO 2026'!Z70="POR RECOGER"),'AGOSTO 2026'!Y70,"")</f>
        <v/>
      </c>
      <c r="L801" s="381">
        <f>IF(AND('AGOSTO 2026'!D70&lt;&gt;"",'AGOSTO 2026'!Z70="POR RECOGER"),'AGOSTO 2026'!I70,"")</f>
        <v/>
      </c>
      <c r="P801" s="194" t="n"/>
      <c r="Q801" s="194" t="n"/>
      <c r="R801" s="194" t="n"/>
      <c r="S801" s="194" t="n"/>
      <c r="T801" s="194" t="n"/>
      <c r="U801" s="194" t="n"/>
      <c r="V801" s="194" t="n"/>
      <c r="W801" s="194" t="n"/>
      <c r="X801" s="194" t="n"/>
      <c r="Y801" s="194" t="n"/>
      <c r="Z801" s="194" t="n"/>
    </row>
    <row r="802" ht="15" customHeight="1" s="195">
      <c r="A802" s="381">
        <f>IF(AND('AGOSTO 2026'!D71&lt;&gt;"",'AGOSTO 2026'!Z71="POR RECOGER"),"AGO","")</f>
        <v/>
      </c>
      <c r="B802" s="381">
        <f>IF(AND('AGOSTO 2026'!D71&lt;&gt;"",'AGOSTO 2026'!Z71="POR RECOGER"),IF('AGOSTO 2026'!Y71&lt;&gt;"",'AGOSTO 2026'!Y71,'AGOSTO 2026'!I71),"")</f>
        <v/>
      </c>
      <c r="C802" s="381">
        <f>IF(AND('AGOSTO 2026'!D71&lt;&gt;"",'AGOSTO 2026'!Z71="POR RECOGER"),'AGOSTO 2026'!D71,"")</f>
        <v/>
      </c>
      <c r="D802" s="381">
        <f>IF(AND('AGOSTO 2026'!D71&lt;&gt;"",'AGOSTO 2026'!Z71="POR RECOGER"),'AGOSTO 2026'!F71,"")</f>
        <v/>
      </c>
      <c r="E802" s="381">
        <f>IF(AND('AGOSTO 2026'!D71&lt;&gt;"",'AGOSTO 2026'!Z71="POR RECOGER"),TEXT('AGOSTO 2026'!G71,"DD/MM/YYYY"),"")</f>
        <v/>
      </c>
      <c r="F802" s="381">
        <f>IF(AND('AGOSTO 2026'!D71&lt;&gt;"",'AGOSTO 2026'!Z71="POR RECOGER"),'AGOSTO 2026'!K71,"")</f>
        <v/>
      </c>
      <c r="G802" s="382">
        <f>IF(AND('AGOSTO 2026'!D71&lt;&gt;"",'AGOSTO 2026'!Z71="POR RECOGER"),'AGOSTO 2026'!M71,"")</f>
        <v/>
      </c>
      <c r="H802" s="382">
        <f>IF(AND('AGOSTO 2026'!D71&lt;&gt;"",'AGOSTO 2026'!Z71="POR RECOGER"),'AGOSTO 2026'!N71,"")</f>
        <v/>
      </c>
      <c r="I802" s="381">
        <f>IF(AND('AGOSTO 2026'!D71&lt;&gt;"",'AGOSTO 2026'!Z71="POR RECOGER"),'AGOSTO 2026'!P71,"")</f>
        <v/>
      </c>
      <c r="J802" s="381">
        <f>IF(AND('AGOSTO 2026'!D71&lt;&gt;"",'AGOSTO 2026'!Z71="POR RECOGER"),'AGOSTO 2026'!Q71,"")</f>
        <v/>
      </c>
      <c r="K802" s="381">
        <f>IF(AND('AGOSTO 2026'!D71&lt;&gt;"",'AGOSTO 2026'!Z71="POR RECOGER"),'AGOSTO 2026'!Y71,"")</f>
        <v/>
      </c>
      <c r="L802" s="381">
        <f>IF(AND('AGOSTO 2026'!D71&lt;&gt;"",'AGOSTO 2026'!Z71="POR RECOGER"),'AGOSTO 2026'!I71,"")</f>
        <v/>
      </c>
      <c r="P802" s="194" t="n"/>
      <c r="Q802" s="194" t="n"/>
      <c r="R802" s="194" t="n"/>
      <c r="S802" s="194" t="n"/>
      <c r="T802" s="194" t="n"/>
      <c r="U802" s="194" t="n"/>
      <c r="V802" s="194" t="n"/>
      <c r="W802" s="194" t="n"/>
      <c r="X802" s="194" t="n"/>
      <c r="Y802" s="194" t="n"/>
      <c r="Z802" s="194" t="n"/>
    </row>
    <row r="803" ht="15" customHeight="1" s="195">
      <c r="A803" s="381">
        <f>IF(AND('AGOSTO 2026'!D72&lt;&gt;"",'AGOSTO 2026'!Z72="POR RECOGER"),"AGO","")</f>
        <v/>
      </c>
      <c r="B803" s="381">
        <f>IF(AND('AGOSTO 2026'!D72&lt;&gt;"",'AGOSTO 2026'!Z72="POR RECOGER"),IF('AGOSTO 2026'!Y72&lt;&gt;"",'AGOSTO 2026'!Y72,'AGOSTO 2026'!I72),"")</f>
        <v/>
      </c>
      <c r="C803" s="381">
        <f>IF(AND('AGOSTO 2026'!D72&lt;&gt;"",'AGOSTO 2026'!Z72="POR RECOGER"),'AGOSTO 2026'!D72,"")</f>
        <v/>
      </c>
      <c r="D803" s="381">
        <f>IF(AND('AGOSTO 2026'!D72&lt;&gt;"",'AGOSTO 2026'!Z72="POR RECOGER"),'AGOSTO 2026'!F72,"")</f>
        <v/>
      </c>
      <c r="E803" s="381">
        <f>IF(AND('AGOSTO 2026'!D72&lt;&gt;"",'AGOSTO 2026'!Z72="POR RECOGER"),TEXT('AGOSTO 2026'!G72,"DD/MM/YYYY"),"")</f>
        <v/>
      </c>
      <c r="F803" s="381">
        <f>IF(AND('AGOSTO 2026'!D72&lt;&gt;"",'AGOSTO 2026'!Z72="POR RECOGER"),'AGOSTO 2026'!K72,"")</f>
        <v/>
      </c>
      <c r="G803" s="382">
        <f>IF(AND('AGOSTO 2026'!D72&lt;&gt;"",'AGOSTO 2026'!Z72="POR RECOGER"),'AGOSTO 2026'!M72,"")</f>
        <v/>
      </c>
      <c r="H803" s="382">
        <f>IF(AND('AGOSTO 2026'!D72&lt;&gt;"",'AGOSTO 2026'!Z72="POR RECOGER"),'AGOSTO 2026'!N72,"")</f>
        <v/>
      </c>
      <c r="I803" s="381">
        <f>IF(AND('AGOSTO 2026'!D72&lt;&gt;"",'AGOSTO 2026'!Z72="POR RECOGER"),'AGOSTO 2026'!P72,"")</f>
        <v/>
      </c>
      <c r="J803" s="381">
        <f>IF(AND('AGOSTO 2026'!D72&lt;&gt;"",'AGOSTO 2026'!Z72="POR RECOGER"),'AGOSTO 2026'!Q72,"")</f>
        <v/>
      </c>
      <c r="K803" s="381">
        <f>IF(AND('AGOSTO 2026'!D72&lt;&gt;"",'AGOSTO 2026'!Z72="POR RECOGER"),'AGOSTO 2026'!Y72,"")</f>
        <v/>
      </c>
      <c r="L803" s="381">
        <f>IF(AND('AGOSTO 2026'!D72&lt;&gt;"",'AGOSTO 2026'!Z72="POR RECOGER"),'AGOSTO 2026'!I72,"")</f>
        <v/>
      </c>
      <c r="P803" s="194" t="n"/>
      <c r="Q803" s="194" t="n"/>
      <c r="R803" s="194" t="n"/>
      <c r="S803" s="194" t="n"/>
      <c r="T803" s="194" t="n"/>
      <c r="U803" s="194" t="n"/>
      <c r="V803" s="194" t="n"/>
      <c r="W803" s="194" t="n"/>
      <c r="X803" s="194" t="n"/>
      <c r="Y803" s="194" t="n"/>
      <c r="Z803" s="194" t="n"/>
    </row>
    <row r="804" ht="15" customHeight="1" s="195">
      <c r="A804" s="381">
        <f>IF(AND('AGOSTO 2026'!D73&lt;&gt;"",'AGOSTO 2026'!Z73="POR RECOGER"),"AGO","")</f>
        <v/>
      </c>
      <c r="B804" s="381">
        <f>IF(AND('AGOSTO 2026'!D73&lt;&gt;"",'AGOSTO 2026'!Z73="POR RECOGER"),IF('AGOSTO 2026'!Y73&lt;&gt;"",'AGOSTO 2026'!Y73,'AGOSTO 2026'!I73),"")</f>
        <v/>
      </c>
      <c r="C804" s="381">
        <f>IF(AND('AGOSTO 2026'!D73&lt;&gt;"",'AGOSTO 2026'!Z73="POR RECOGER"),'AGOSTO 2026'!D73,"")</f>
        <v/>
      </c>
      <c r="D804" s="381">
        <f>IF(AND('AGOSTO 2026'!D73&lt;&gt;"",'AGOSTO 2026'!Z73="POR RECOGER"),'AGOSTO 2026'!F73,"")</f>
        <v/>
      </c>
      <c r="E804" s="381">
        <f>IF(AND('AGOSTO 2026'!D73&lt;&gt;"",'AGOSTO 2026'!Z73="POR RECOGER"),TEXT('AGOSTO 2026'!G73,"DD/MM/YYYY"),"")</f>
        <v/>
      </c>
      <c r="F804" s="381">
        <f>IF(AND('AGOSTO 2026'!D73&lt;&gt;"",'AGOSTO 2026'!Z73="POR RECOGER"),'AGOSTO 2026'!K73,"")</f>
        <v/>
      </c>
      <c r="G804" s="382">
        <f>IF(AND('AGOSTO 2026'!D73&lt;&gt;"",'AGOSTO 2026'!Z73="POR RECOGER"),'AGOSTO 2026'!M73,"")</f>
        <v/>
      </c>
      <c r="H804" s="382">
        <f>IF(AND('AGOSTO 2026'!D73&lt;&gt;"",'AGOSTO 2026'!Z73="POR RECOGER"),'AGOSTO 2026'!N73,"")</f>
        <v/>
      </c>
      <c r="I804" s="381">
        <f>IF(AND('AGOSTO 2026'!D73&lt;&gt;"",'AGOSTO 2026'!Z73="POR RECOGER"),'AGOSTO 2026'!P73,"")</f>
        <v/>
      </c>
      <c r="J804" s="381">
        <f>IF(AND('AGOSTO 2026'!D73&lt;&gt;"",'AGOSTO 2026'!Z73="POR RECOGER"),'AGOSTO 2026'!Q73,"")</f>
        <v/>
      </c>
      <c r="K804" s="381">
        <f>IF(AND('AGOSTO 2026'!D73&lt;&gt;"",'AGOSTO 2026'!Z73="POR RECOGER"),'AGOSTO 2026'!Y73,"")</f>
        <v/>
      </c>
      <c r="L804" s="381">
        <f>IF(AND('AGOSTO 2026'!D73&lt;&gt;"",'AGOSTO 2026'!Z73="POR RECOGER"),'AGOSTO 2026'!I73,"")</f>
        <v/>
      </c>
      <c r="P804" s="194" t="n"/>
      <c r="Q804" s="194" t="n"/>
      <c r="R804" s="194" t="n"/>
      <c r="S804" s="194" t="n"/>
      <c r="T804" s="194" t="n"/>
      <c r="U804" s="194" t="n"/>
      <c r="V804" s="194" t="n"/>
      <c r="W804" s="194" t="n"/>
      <c r="X804" s="194" t="n"/>
      <c r="Y804" s="194" t="n"/>
      <c r="Z804" s="194" t="n"/>
    </row>
    <row r="805" ht="15" customHeight="1" s="195">
      <c r="A805" s="381">
        <f>IF(AND('AGOSTO 2026'!D74&lt;&gt;"",'AGOSTO 2026'!Z74="POR RECOGER"),"AGO","")</f>
        <v/>
      </c>
      <c r="B805" s="381">
        <f>IF(AND('AGOSTO 2026'!D74&lt;&gt;"",'AGOSTO 2026'!Z74="POR RECOGER"),IF('AGOSTO 2026'!Y74&lt;&gt;"",'AGOSTO 2026'!Y74,'AGOSTO 2026'!I74),"")</f>
        <v/>
      </c>
      <c r="C805" s="381">
        <f>IF(AND('AGOSTO 2026'!D74&lt;&gt;"",'AGOSTO 2026'!Z74="POR RECOGER"),'AGOSTO 2026'!D74,"")</f>
        <v/>
      </c>
      <c r="D805" s="381">
        <f>IF(AND('AGOSTO 2026'!D74&lt;&gt;"",'AGOSTO 2026'!Z74="POR RECOGER"),'AGOSTO 2026'!F74,"")</f>
        <v/>
      </c>
      <c r="E805" s="381">
        <f>IF(AND('AGOSTO 2026'!D74&lt;&gt;"",'AGOSTO 2026'!Z74="POR RECOGER"),TEXT('AGOSTO 2026'!G74,"DD/MM/YYYY"),"")</f>
        <v/>
      </c>
      <c r="F805" s="381">
        <f>IF(AND('AGOSTO 2026'!D74&lt;&gt;"",'AGOSTO 2026'!Z74="POR RECOGER"),'AGOSTO 2026'!K74,"")</f>
        <v/>
      </c>
      <c r="G805" s="382">
        <f>IF(AND('AGOSTO 2026'!D74&lt;&gt;"",'AGOSTO 2026'!Z74="POR RECOGER"),'AGOSTO 2026'!M74,"")</f>
        <v/>
      </c>
      <c r="H805" s="382">
        <f>IF(AND('AGOSTO 2026'!D74&lt;&gt;"",'AGOSTO 2026'!Z74="POR RECOGER"),'AGOSTO 2026'!N74,"")</f>
        <v/>
      </c>
      <c r="I805" s="381">
        <f>IF(AND('AGOSTO 2026'!D74&lt;&gt;"",'AGOSTO 2026'!Z74="POR RECOGER"),'AGOSTO 2026'!P74,"")</f>
        <v/>
      </c>
      <c r="J805" s="381">
        <f>IF(AND('AGOSTO 2026'!D74&lt;&gt;"",'AGOSTO 2026'!Z74="POR RECOGER"),'AGOSTO 2026'!Q74,"")</f>
        <v/>
      </c>
      <c r="K805" s="381">
        <f>IF(AND('AGOSTO 2026'!D74&lt;&gt;"",'AGOSTO 2026'!Z74="POR RECOGER"),'AGOSTO 2026'!Y74,"")</f>
        <v/>
      </c>
      <c r="L805" s="381">
        <f>IF(AND('AGOSTO 2026'!D74&lt;&gt;"",'AGOSTO 2026'!Z74="POR RECOGER"),'AGOSTO 2026'!I74,"")</f>
        <v/>
      </c>
      <c r="P805" s="194" t="n"/>
      <c r="Q805" s="194" t="n"/>
      <c r="R805" s="194" t="n"/>
      <c r="S805" s="194" t="n"/>
      <c r="T805" s="194" t="n"/>
      <c r="U805" s="194" t="n"/>
      <c r="V805" s="194" t="n"/>
      <c r="W805" s="194" t="n"/>
      <c r="X805" s="194" t="n"/>
      <c r="Y805" s="194" t="n"/>
      <c r="Z805" s="194" t="n"/>
    </row>
    <row r="806" ht="15" customHeight="1" s="195">
      <c r="A806" s="381">
        <f>IF(AND('AGOSTO 2026'!D75&lt;&gt;"",'AGOSTO 2026'!Z75="POR RECOGER"),"AGO","")</f>
        <v/>
      </c>
      <c r="B806" s="381">
        <f>IF(AND('AGOSTO 2026'!D75&lt;&gt;"",'AGOSTO 2026'!Z75="POR RECOGER"),IF('AGOSTO 2026'!Y75&lt;&gt;"",'AGOSTO 2026'!Y75,'AGOSTO 2026'!I75),"")</f>
        <v/>
      </c>
      <c r="C806" s="381">
        <f>IF(AND('AGOSTO 2026'!D75&lt;&gt;"",'AGOSTO 2026'!Z75="POR RECOGER"),'AGOSTO 2026'!D75,"")</f>
        <v/>
      </c>
      <c r="D806" s="381">
        <f>IF(AND('AGOSTO 2026'!D75&lt;&gt;"",'AGOSTO 2026'!Z75="POR RECOGER"),'AGOSTO 2026'!F75,"")</f>
        <v/>
      </c>
      <c r="E806" s="381">
        <f>IF(AND('AGOSTO 2026'!D75&lt;&gt;"",'AGOSTO 2026'!Z75="POR RECOGER"),TEXT('AGOSTO 2026'!G75,"DD/MM/YYYY"),"")</f>
        <v/>
      </c>
      <c r="F806" s="381">
        <f>IF(AND('AGOSTO 2026'!D75&lt;&gt;"",'AGOSTO 2026'!Z75="POR RECOGER"),'AGOSTO 2026'!K75,"")</f>
        <v/>
      </c>
      <c r="G806" s="382">
        <f>IF(AND('AGOSTO 2026'!D75&lt;&gt;"",'AGOSTO 2026'!Z75="POR RECOGER"),'AGOSTO 2026'!M75,"")</f>
        <v/>
      </c>
      <c r="H806" s="382">
        <f>IF(AND('AGOSTO 2026'!D75&lt;&gt;"",'AGOSTO 2026'!Z75="POR RECOGER"),'AGOSTO 2026'!N75,"")</f>
        <v/>
      </c>
      <c r="I806" s="381">
        <f>IF(AND('AGOSTO 2026'!D75&lt;&gt;"",'AGOSTO 2026'!Z75="POR RECOGER"),'AGOSTO 2026'!P75,"")</f>
        <v/>
      </c>
      <c r="J806" s="381">
        <f>IF(AND('AGOSTO 2026'!D75&lt;&gt;"",'AGOSTO 2026'!Z75="POR RECOGER"),'AGOSTO 2026'!Q75,"")</f>
        <v/>
      </c>
      <c r="K806" s="381">
        <f>IF(AND('AGOSTO 2026'!D75&lt;&gt;"",'AGOSTO 2026'!Z75="POR RECOGER"),'AGOSTO 2026'!Y75,"")</f>
        <v/>
      </c>
      <c r="L806" s="381">
        <f>IF(AND('AGOSTO 2026'!D75&lt;&gt;"",'AGOSTO 2026'!Z75="POR RECOGER"),'AGOSTO 2026'!I75,"")</f>
        <v/>
      </c>
      <c r="P806" s="194" t="n"/>
      <c r="Q806" s="194" t="n"/>
      <c r="R806" s="194" t="n"/>
      <c r="S806" s="194" t="n"/>
      <c r="T806" s="194" t="n"/>
      <c r="U806" s="194" t="n"/>
      <c r="V806" s="194" t="n"/>
      <c r="W806" s="194" t="n"/>
      <c r="X806" s="194" t="n"/>
      <c r="Y806" s="194" t="n"/>
      <c r="Z806" s="194" t="n"/>
    </row>
    <row r="807" ht="15" customHeight="1" s="195">
      <c r="A807" s="381">
        <f>IF(AND('AGOSTO 2026'!D76&lt;&gt;"",'AGOSTO 2026'!Z76="POR RECOGER"),"AGO","")</f>
        <v/>
      </c>
      <c r="B807" s="381">
        <f>IF(AND('AGOSTO 2026'!D76&lt;&gt;"",'AGOSTO 2026'!Z76="POR RECOGER"),IF('AGOSTO 2026'!Y76&lt;&gt;"",'AGOSTO 2026'!Y76,'AGOSTO 2026'!I76),"")</f>
        <v/>
      </c>
      <c r="C807" s="381">
        <f>IF(AND('AGOSTO 2026'!D76&lt;&gt;"",'AGOSTO 2026'!Z76="POR RECOGER"),'AGOSTO 2026'!D76,"")</f>
        <v/>
      </c>
      <c r="D807" s="381">
        <f>IF(AND('AGOSTO 2026'!D76&lt;&gt;"",'AGOSTO 2026'!Z76="POR RECOGER"),'AGOSTO 2026'!F76,"")</f>
        <v/>
      </c>
      <c r="E807" s="381">
        <f>IF(AND('AGOSTO 2026'!D76&lt;&gt;"",'AGOSTO 2026'!Z76="POR RECOGER"),TEXT('AGOSTO 2026'!G76,"DD/MM/YYYY"),"")</f>
        <v/>
      </c>
      <c r="F807" s="381">
        <f>IF(AND('AGOSTO 2026'!D76&lt;&gt;"",'AGOSTO 2026'!Z76="POR RECOGER"),'AGOSTO 2026'!K76,"")</f>
        <v/>
      </c>
      <c r="G807" s="382">
        <f>IF(AND('AGOSTO 2026'!D76&lt;&gt;"",'AGOSTO 2026'!Z76="POR RECOGER"),'AGOSTO 2026'!M76,"")</f>
        <v/>
      </c>
      <c r="H807" s="382">
        <f>IF(AND('AGOSTO 2026'!D76&lt;&gt;"",'AGOSTO 2026'!Z76="POR RECOGER"),'AGOSTO 2026'!N76,"")</f>
        <v/>
      </c>
      <c r="I807" s="381">
        <f>IF(AND('AGOSTO 2026'!D76&lt;&gt;"",'AGOSTO 2026'!Z76="POR RECOGER"),'AGOSTO 2026'!P76,"")</f>
        <v/>
      </c>
      <c r="J807" s="381">
        <f>IF(AND('AGOSTO 2026'!D76&lt;&gt;"",'AGOSTO 2026'!Z76="POR RECOGER"),'AGOSTO 2026'!Q76,"")</f>
        <v/>
      </c>
      <c r="K807" s="381">
        <f>IF(AND('AGOSTO 2026'!D76&lt;&gt;"",'AGOSTO 2026'!Z76="POR RECOGER"),'AGOSTO 2026'!Y76,"")</f>
        <v/>
      </c>
      <c r="L807" s="381">
        <f>IF(AND('AGOSTO 2026'!D76&lt;&gt;"",'AGOSTO 2026'!Z76="POR RECOGER"),'AGOSTO 2026'!I76,"")</f>
        <v/>
      </c>
      <c r="P807" s="194" t="n"/>
      <c r="Q807" s="194" t="n"/>
      <c r="R807" s="194" t="n"/>
      <c r="S807" s="194" t="n"/>
      <c r="T807" s="194" t="n"/>
      <c r="U807" s="194" t="n"/>
      <c r="V807" s="194" t="n"/>
      <c r="W807" s="194" t="n"/>
      <c r="X807" s="194" t="n"/>
      <c r="Y807" s="194" t="n"/>
      <c r="Z807" s="194" t="n"/>
    </row>
    <row r="808" ht="15" customHeight="1" s="195">
      <c r="A808" s="381">
        <f>IF(AND('AGOSTO 2026'!D77&lt;&gt;"",'AGOSTO 2026'!Z77="POR RECOGER"),"AGO","")</f>
        <v/>
      </c>
      <c r="B808" s="381">
        <f>IF(AND('AGOSTO 2026'!D77&lt;&gt;"",'AGOSTO 2026'!Z77="POR RECOGER"),IF('AGOSTO 2026'!Y77&lt;&gt;"",'AGOSTO 2026'!Y77,'AGOSTO 2026'!I77),"")</f>
        <v/>
      </c>
      <c r="C808" s="381">
        <f>IF(AND('AGOSTO 2026'!D77&lt;&gt;"",'AGOSTO 2026'!Z77="POR RECOGER"),'AGOSTO 2026'!D77,"")</f>
        <v/>
      </c>
      <c r="D808" s="381">
        <f>IF(AND('AGOSTO 2026'!D77&lt;&gt;"",'AGOSTO 2026'!Z77="POR RECOGER"),'AGOSTO 2026'!F77,"")</f>
        <v/>
      </c>
      <c r="E808" s="381">
        <f>IF(AND('AGOSTO 2026'!D77&lt;&gt;"",'AGOSTO 2026'!Z77="POR RECOGER"),TEXT('AGOSTO 2026'!G77,"DD/MM/YYYY"),"")</f>
        <v/>
      </c>
      <c r="F808" s="381">
        <f>IF(AND('AGOSTO 2026'!D77&lt;&gt;"",'AGOSTO 2026'!Z77="POR RECOGER"),'AGOSTO 2026'!K77,"")</f>
        <v/>
      </c>
      <c r="G808" s="382">
        <f>IF(AND('AGOSTO 2026'!D77&lt;&gt;"",'AGOSTO 2026'!Z77="POR RECOGER"),'AGOSTO 2026'!M77,"")</f>
        <v/>
      </c>
      <c r="H808" s="382">
        <f>IF(AND('AGOSTO 2026'!D77&lt;&gt;"",'AGOSTO 2026'!Z77="POR RECOGER"),'AGOSTO 2026'!N77,"")</f>
        <v/>
      </c>
      <c r="I808" s="381">
        <f>IF(AND('AGOSTO 2026'!D77&lt;&gt;"",'AGOSTO 2026'!Z77="POR RECOGER"),'AGOSTO 2026'!P77,"")</f>
        <v/>
      </c>
      <c r="J808" s="381">
        <f>IF(AND('AGOSTO 2026'!D77&lt;&gt;"",'AGOSTO 2026'!Z77="POR RECOGER"),'AGOSTO 2026'!Q77,"")</f>
        <v/>
      </c>
      <c r="K808" s="381">
        <f>IF(AND('AGOSTO 2026'!D77&lt;&gt;"",'AGOSTO 2026'!Z77="POR RECOGER"),'AGOSTO 2026'!Y77,"")</f>
        <v/>
      </c>
      <c r="L808" s="381">
        <f>IF(AND('AGOSTO 2026'!D77&lt;&gt;"",'AGOSTO 2026'!Z77="POR RECOGER"),'AGOSTO 2026'!I77,"")</f>
        <v/>
      </c>
      <c r="P808" s="194" t="n"/>
      <c r="Q808" s="194" t="n"/>
      <c r="R808" s="194" t="n"/>
      <c r="S808" s="194" t="n"/>
      <c r="T808" s="194" t="n"/>
      <c r="U808" s="194" t="n"/>
      <c r="V808" s="194" t="n"/>
      <c r="W808" s="194" t="n"/>
      <c r="X808" s="194" t="n"/>
      <c r="Y808" s="194" t="n"/>
      <c r="Z808" s="194" t="n"/>
    </row>
    <row r="809" ht="15" customHeight="1" s="195">
      <c r="A809" s="381">
        <f>IF(AND('AGOSTO 2026'!D78&lt;&gt;"",'AGOSTO 2026'!Z78="POR RECOGER"),"AGO","")</f>
        <v/>
      </c>
      <c r="B809" s="381">
        <f>IF(AND('AGOSTO 2026'!D78&lt;&gt;"",'AGOSTO 2026'!Z78="POR RECOGER"),IF('AGOSTO 2026'!Y78&lt;&gt;"",'AGOSTO 2026'!Y78,'AGOSTO 2026'!I78),"")</f>
        <v/>
      </c>
      <c r="C809" s="381">
        <f>IF(AND('AGOSTO 2026'!D78&lt;&gt;"",'AGOSTO 2026'!Z78="POR RECOGER"),'AGOSTO 2026'!D78,"")</f>
        <v/>
      </c>
      <c r="D809" s="381">
        <f>IF(AND('AGOSTO 2026'!D78&lt;&gt;"",'AGOSTO 2026'!Z78="POR RECOGER"),'AGOSTO 2026'!F78,"")</f>
        <v/>
      </c>
      <c r="E809" s="381">
        <f>IF(AND('AGOSTO 2026'!D78&lt;&gt;"",'AGOSTO 2026'!Z78="POR RECOGER"),TEXT('AGOSTO 2026'!G78,"DD/MM/YYYY"),"")</f>
        <v/>
      </c>
      <c r="F809" s="381">
        <f>IF(AND('AGOSTO 2026'!D78&lt;&gt;"",'AGOSTO 2026'!Z78="POR RECOGER"),'AGOSTO 2026'!K78,"")</f>
        <v/>
      </c>
      <c r="G809" s="382">
        <f>IF(AND('AGOSTO 2026'!D78&lt;&gt;"",'AGOSTO 2026'!Z78="POR RECOGER"),'AGOSTO 2026'!M78,"")</f>
        <v/>
      </c>
      <c r="H809" s="382">
        <f>IF(AND('AGOSTO 2026'!D78&lt;&gt;"",'AGOSTO 2026'!Z78="POR RECOGER"),'AGOSTO 2026'!N78,"")</f>
        <v/>
      </c>
      <c r="I809" s="381">
        <f>IF(AND('AGOSTO 2026'!D78&lt;&gt;"",'AGOSTO 2026'!Z78="POR RECOGER"),'AGOSTO 2026'!P78,"")</f>
        <v/>
      </c>
      <c r="J809" s="381">
        <f>IF(AND('AGOSTO 2026'!D78&lt;&gt;"",'AGOSTO 2026'!Z78="POR RECOGER"),'AGOSTO 2026'!Q78,"")</f>
        <v/>
      </c>
      <c r="K809" s="381">
        <f>IF(AND('AGOSTO 2026'!D78&lt;&gt;"",'AGOSTO 2026'!Z78="POR RECOGER"),'AGOSTO 2026'!Y78,"")</f>
        <v/>
      </c>
      <c r="L809" s="381">
        <f>IF(AND('AGOSTO 2026'!D78&lt;&gt;"",'AGOSTO 2026'!Z78="POR RECOGER"),'AGOSTO 2026'!I78,"")</f>
        <v/>
      </c>
      <c r="P809" s="194" t="n"/>
      <c r="Q809" s="194" t="n"/>
      <c r="R809" s="194" t="n"/>
      <c r="S809" s="194" t="n"/>
      <c r="T809" s="194" t="n"/>
      <c r="U809" s="194" t="n"/>
      <c r="V809" s="194" t="n"/>
      <c r="W809" s="194" t="n"/>
      <c r="X809" s="194" t="n"/>
      <c r="Y809" s="194" t="n"/>
      <c r="Z809" s="194" t="n"/>
    </row>
    <row r="810" ht="15" customHeight="1" s="195">
      <c r="A810" s="381">
        <f>IF(AND('AGOSTO 2026'!D79&lt;&gt;"",'AGOSTO 2026'!Z79="POR RECOGER"),"AGO","")</f>
        <v/>
      </c>
      <c r="B810" s="381">
        <f>IF(AND('AGOSTO 2026'!D79&lt;&gt;"",'AGOSTO 2026'!Z79="POR RECOGER"),IF('AGOSTO 2026'!Y79&lt;&gt;"",'AGOSTO 2026'!Y79,'AGOSTO 2026'!I79),"")</f>
        <v/>
      </c>
      <c r="C810" s="381">
        <f>IF(AND('AGOSTO 2026'!D79&lt;&gt;"",'AGOSTO 2026'!Z79="POR RECOGER"),'AGOSTO 2026'!D79,"")</f>
        <v/>
      </c>
      <c r="D810" s="381">
        <f>IF(AND('AGOSTO 2026'!D79&lt;&gt;"",'AGOSTO 2026'!Z79="POR RECOGER"),'AGOSTO 2026'!F79,"")</f>
        <v/>
      </c>
      <c r="E810" s="381">
        <f>IF(AND('AGOSTO 2026'!D79&lt;&gt;"",'AGOSTO 2026'!Z79="POR RECOGER"),TEXT('AGOSTO 2026'!G79,"DD/MM/YYYY"),"")</f>
        <v/>
      </c>
      <c r="F810" s="381">
        <f>IF(AND('AGOSTO 2026'!D79&lt;&gt;"",'AGOSTO 2026'!Z79="POR RECOGER"),'AGOSTO 2026'!K79,"")</f>
        <v/>
      </c>
      <c r="G810" s="382">
        <f>IF(AND('AGOSTO 2026'!D79&lt;&gt;"",'AGOSTO 2026'!Z79="POR RECOGER"),'AGOSTO 2026'!M79,"")</f>
        <v/>
      </c>
      <c r="H810" s="382">
        <f>IF(AND('AGOSTO 2026'!D79&lt;&gt;"",'AGOSTO 2026'!Z79="POR RECOGER"),'AGOSTO 2026'!N79,"")</f>
        <v/>
      </c>
      <c r="I810" s="381">
        <f>IF(AND('AGOSTO 2026'!D79&lt;&gt;"",'AGOSTO 2026'!Z79="POR RECOGER"),'AGOSTO 2026'!P79,"")</f>
        <v/>
      </c>
      <c r="J810" s="381">
        <f>IF(AND('AGOSTO 2026'!D79&lt;&gt;"",'AGOSTO 2026'!Z79="POR RECOGER"),'AGOSTO 2026'!Q79,"")</f>
        <v/>
      </c>
      <c r="K810" s="381">
        <f>IF(AND('AGOSTO 2026'!D79&lt;&gt;"",'AGOSTO 2026'!Z79="POR RECOGER"),'AGOSTO 2026'!Y79,"")</f>
        <v/>
      </c>
      <c r="L810" s="381">
        <f>IF(AND('AGOSTO 2026'!D79&lt;&gt;"",'AGOSTO 2026'!Z79="POR RECOGER"),'AGOSTO 2026'!I79,"")</f>
        <v/>
      </c>
      <c r="P810" s="194" t="n"/>
      <c r="Q810" s="194" t="n"/>
      <c r="R810" s="194" t="n"/>
      <c r="S810" s="194" t="n"/>
      <c r="T810" s="194" t="n"/>
      <c r="U810" s="194" t="n"/>
      <c r="V810" s="194" t="n"/>
      <c r="W810" s="194" t="n"/>
      <c r="X810" s="194" t="n"/>
      <c r="Y810" s="194" t="n"/>
      <c r="Z810" s="194" t="n"/>
    </row>
    <row r="811" ht="15" customHeight="1" s="195">
      <c r="A811" s="381">
        <f>IF(AND('AGOSTO 2026'!D80&lt;&gt;"",'AGOSTO 2026'!Z80="POR RECOGER"),"AGO","")</f>
        <v/>
      </c>
      <c r="B811" s="381">
        <f>IF(AND('AGOSTO 2026'!D80&lt;&gt;"",'AGOSTO 2026'!Z80="POR RECOGER"),IF('AGOSTO 2026'!Y80&lt;&gt;"",'AGOSTO 2026'!Y80,'AGOSTO 2026'!I80),"")</f>
        <v/>
      </c>
      <c r="C811" s="381">
        <f>IF(AND('AGOSTO 2026'!D80&lt;&gt;"",'AGOSTO 2026'!Z80="POR RECOGER"),'AGOSTO 2026'!D80,"")</f>
        <v/>
      </c>
      <c r="D811" s="381">
        <f>IF(AND('AGOSTO 2026'!D80&lt;&gt;"",'AGOSTO 2026'!Z80="POR RECOGER"),'AGOSTO 2026'!F80,"")</f>
        <v/>
      </c>
      <c r="E811" s="381">
        <f>IF(AND('AGOSTO 2026'!D80&lt;&gt;"",'AGOSTO 2026'!Z80="POR RECOGER"),TEXT('AGOSTO 2026'!G80,"DD/MM/YYYY"),"")</f>
        <v/>
      </c>
      <c r="F811" s="381">
        <f>IF(AND('AGOSTO 2026'!D80&lt;&gt;"",'AGOSTO 2026'!Z80="POR RECOGER"),'AGOSTO 2026'!K80,"")</f>
        <v/>
      </c>
      <c r="G811" s="382">
        <f>IF(AND('AGOSTO 2026'!D80&lt;&gt;"",'AGOSTO 2026'!Z80="POR RECOGER"),'AGOSTO 2026'!M80,"")</f>
        <v/>
      </c>
      <c r="H811" s="382">
        <f>IF(AND('AGOSTO 2026'!D80&lt;&gt;"",'AGOSTO 2026'!Z80="POR RECOGER"),'AGOSTO 2026'!N80,"")</f>
        <v/>
      </c>
      <c r="I811" s="381">
        <f>IF(AND('AGOSTO 2026'!D80&lt;&gt;"",'AGOSTO 2026'!Z80="POR RECOGER"),'AGOSTO 2026'!P80,"")</f>
        <v/>
      </c>
      <c r="J811" s="381">
        <f>IF(AND('AGOSTO 2026'!D80&lt;&gt;"",'AGOSTO 2026'!Z80="POR RECOGER"),'AGOSTO 2026'!Q80,"")</f>
        <v/>
      </c>
      <c r="K811" s="381">
        <f>IF(AND('AGOSTO 2026'!D80&lt;&gt;"",'AGOSTO 2026'!Z80="POR RECOGER"),'AGOSTO 2026'!Y80,"")</f>
        <v/>
      </c>
      <c r="L811" s="381">
        <f>IF(AND('AGOSTO 2026'!D80&lt;&gt;"",'AGOSTO 2026'!Z80="POR RECOGER"),'AGOSTO 2026'!I80,"")</f>
        <v/>
      </c>
      <c r="P811" s="194" t="n"/>
      <c r="Q811" s="194" t="n"/>
      <c r="R811" s="194" t="n"/>
      <c r="S811" s="194" t="n"/>
      <c r="T811" s="194" t="n"/>
      <c r="U811" s="194" t="n"/>
      <c r="V811" s="194" t="n"/>
      <c r="W811" s="194" t="n"/>
      <c r="X811" s="194" t="n"/>
      <c r="Y811" s="194" t="n"/>
      <c r="Z811" s="194" t="n"/>
    </row>
    <row r="812" ht="15" customHeight="1" s="195">
      <c r="A812" s="381">
        <f>IF(AND('AGOSTO 2026'!D81&lt;&gt;"",'AGOSTO 2026'!Z81="POR RECOGER"),"AGO","")</f>
        <v/>
      </c>
      <c r="B812" s="381">
        <f>IF(AND('AGOSTO 2026'!D81&lt;&gt;"",'AGOSTO 2026'!Z81="POR RECOGER"),IF('AGOSTO 2026'!Y81&lt;&gt;"",'AGOSTO 2026'!Y81,'AGOSTO 2026'!I81),"")</f>
        <v/>
      </c>
      <c r="C812" s="381">
        <f>IF(AND('AGOSTO 2026'!D81&lt;&gt;"",'AGOSTO 2026'!Z81="POR RECOGER"),'AGOSTO 2026'!D81,"")</f>
        <v/>
      </c>
      <c r="D812" s="381">
        <f>IF(AND('AGOSTO 2026'!D81&lt;&gt;"",'AGOSTO 2026'!Z81="POR RECOGER"),'AGOSTO 2026'!F81,"")</f>
        <v/>
      </c>
      <c r="E812" s="381">
        <f>IF(AND('AGOSTO 2026'!D81&lt;&gt;"",'AGOSTO 2026'!Z81="POR RECOGER"),TEXT('AGOSTO 2026'!G81,"DD/MM/YYYY"),"")</f>
        <v/>
      </c>
      <c r="F812" s="381">
        <f>IF(AND('AGOSTO 2026'!D81&lt;&gt;"",'AGOSTO 2026'!Z81="POR RECOGER"),'AGOSTO 2026'!K81,"")</f>
        <v/>
      </c>
      <c r="G812" s="382">
        <f>IF(AND('AGOSTO 2026'!D81&lt;&gt;"",'AGOSTO 2026'!Z81="POR RECOGER"),'AGOSTO 2026'!M81,"")</f>
        <v/>
      </c>
      <c r="H812" s="382">
        <f>IF(AND('AGOSTO 2026'!D81&lt;&gt;"",'AGOSTO 2026'!Z81="POR RECOGER"),'AGOSTO 2026'!N81,"")</f>
        <v/>
      </c>
      <c r="I812" s="381">
        <f>IF(AND('AGOSTO 2026'!D81&lt;&gt;"",'AGOSTO 2026'!Z81="POR RECOGER"),'AGOSTO 2026'!P81,"")</f>
        <v/>
      </c>
      <c r="J812" s="381">
        <f>IF(AND('AGOSTO 2026'!D81&lt;&gt;"",'AGOSTO 2026'!Z81="POR RECOGER"),'AGOSTO 2026'!Q81,"")</f>
        <v/>
      </c>
      <c r="K812" s="381">
        <f>IF(AND('AGOSTO 2026'!D81&lt;&gt;"",'AGOSTO 2026'!Z81="POR RECOGER"),'AGOSTO 2026'!Y81,"")</f>
        <v/>
      </c>
      <c r="L812" s="381">
        <f>IF(AND('AGOSTO 2026'!D81&lt;&gt;"",'AGOSTO 2026'!Z81="POR RECOGER"),'AGOSTO 2026'!I81,"")</f>
        <v/>
      </c>
      <c r="P812" s="194" t="n"/>
      <c r="Q812" s="194" t="n"/>
      <c r="R812" s="194" t="n"/>
      <c r="S812" s="194" t="n"/>
      <c r="T812" s="194" t="n"/>
      <c r="U812" s="194" t="n"/>
      <c r="V812" s="194" t="n"/>
      <c r="W812" s="194" t="n"/>
      <c r="X812" s="194" t="n"/>
      <c r="Y812" s="194" t="n"/>
      <c r="Z812" s="194" t="n"/>
    </row>
    <row r="813" ht="15" customHeight="1" s="195">
      <c r="A813" s="381">
        <f>IF(AND('AGOSTO 2026'!D82&lt;&gt;"",'AGOSTO 2026'!Z82="POR RECOGER"),"AGO","")</f>
        <v/>
      </c>
      <c r="B813" s="381">
        <f>IF(AND('AGOSTO 2026'!D82&lt;&gt;"",'AGOSTO 2026'!Z82="POR RECOGER"),IF('AGOSTO 2026'!Y82&lt;&gt;"",'AGOSTO 2026'!Y82,'AGOSTO 2026'!I82),"")</f>
        <v/>
      </c>
      <c r="C813" s="381">
        <f>IF(AND('AGOSTO 2026'!D82&lt;&gt;"",'AGOSTO 2026'!Z82="POR RECOGER"),'AGOSTO 2026'!D82,"")</f>
        <v/>
      </c>
      <c r="D813" s="381">
        <f>IF(AND('AGOSTO 2026'!D82&lt;&gt;"",'AGOSTO 2026'!Z82="POR RECOGER"),'AGOSTO 2026'!F82,"")</f>
        <v/>
      </c>
      <c r="E813" s="381">
        <f>IF(AND('AGOSTO 2026'!D82&lt;&gt;"",'AGOSTO 2026'!Z82="POR RECOGER"),TEXT('AGOSTO 2026'!G82,"DD/MM/YYYY"),"")</f>
        <v/>
      </c>
      <c r="F813" s="381">
        <f>IF(AND('AGOSTO 2026'!D82&lt;&gt;"",'AGOSTO 2026'!Z82="POR RECOGER"),'AGOSTO 2026'!K82,"")</f>
        <v/>
      </c>
      <c r="G813" s="382">
        <f>IF(AND('AGOSTO 2026'!D82&lt;&gt;"",'AGOSTO 2026'!Z82="POR RECOGER"),'AGOSTO 2026'!M82,"")</f>
        <v/>
      </c>
      <c r="H813" s="382">
        <f>IF(AND('AGOSTO 2026'!D82&lt;&gt;"",'AGOSTO 2026'!Z82="POR RECOGER"),'AGOSTO 2026'!N82,"")</f>
        <v/>
      </c>
      <c r="I813" s="381">
        <f>IF(AND('AGOSTO 2026'!D82&lt;&gt;"",'AGOSTO 2026'!Z82="POR RECOGER"),'AGOSTO 2026'!P82,"")</f>
        <v/>
      </c>
      <c r="J813" s="381">
        <f>IF(AND('AGOSTO 2026'!D82&lt;&gt;"",'AGOSTO 2026'!Z82="POR RECOGER"),'AGOSTO 2026'!Q82,"")</f>
        <v/>
      </c>
      <c r="K813" s="381">
        <f>IF(AND('AGOSTO 2026'!D82&lt;&gt;"",'AGOSTO 2026'!Z82="POR RECOGER"),'AGOSTO 2026'!Y82,"")</f>
        <v/>
      </c>
      <c r="L813" s="381">
        <f>IF(AND('AGOSTO 2026'!D82&lt;&gt;"",'AGOSTO 2026'!Z82="POR RECOGER"),'AGOSTO 2026'!I82,"")</f>
        <v/>
      </c>
      <c r="P813" s="194" t="n"/>
      <c r="Q813" s="194" t="n"/>
      <c r="R813" s="194" t="n"/>
      <c r="S813" s="194" t="n"/>
      <c r="T813" s="194" t="n"/>
      <c r="U813" s="194" t="n"/>
      <c r="V813" s="194" t="n"/>
      <c r="W813" s="194" t="n"/>
      <c r="X813" s="194" t="n"/>
      <c r="Y813" s="194" t="n"/>
      <c r="Z813" s="194" t="n"/>
    </row>
    <row r="814" ht="15" customHeight="1" s="195">
      <c r="A814" s="381">
        <f>IF(AND('AGOSTO 2026'!D83&lt;&gt;"",'AGOSTO 2026'!Z83="POR RECOGER"),"AGO","")</f>
        <v/>
      </c>
      <c r="B814" s="381">
        <f>IF(AND('AGOSTO 2026'!D83&lt;&gt;"",'AGOSTO 2026'!Z83="POR RECOGER"),IF('AGOSTO 2026'!Y83&lt;&gt;"",'AGOSTO 2026'!Y83,'AGOSTO 2026'!I83),"")</f>
        <v/>
      </c>
      <c r="C814" s="381">
        <f>IF(AND('AGOSTO 2026'!D83&lt;&gt;"",'AGOSTO 2026'!Z83="POR RECOGER"),'AGOSTO 2026'!D83,"")</f>
        <v/>
      </c>
      <c r="D814" s="381">
        <f>IF(AND('AGOSTO 2026'!D83&lt;&gt;"",'AGOSTO 2026'!Z83="POR RECOGER"),'AGOSTO 2026'!F83,"")</f>
        <v/>
      </c>
      <c r="E814" s="381">
        <f>IF(AND('AGOSTO 2026'!D83&lt;&gt;"",'AGOSTO 2026'!Z83="POR RECOGER"),TEXT('AGOSTO 2026'!G83,"DD/MM/YYYY"),"")</f>
        <v/>
      </c>
      <c r="F814" s="381">
        <f>IF(AND('AGOSTO 2026'!D83&lt;&gt;"",'AGOSTO 2026'!Z83="POR RECOGER"),'AGOSTO 2026'!K83,"")</f>
        <v/>
      </c>
      <c r="G814" s="382">
        <f>IF(AND('AGOSTO 2026'!D83&lt;&gt;"",'AGOSTO 2026'!Z83="POR RECOGER"),'AGOSTO 2026'!M83,"")</f>
        <v/>
      </c>
      <c r="H814" s="382">
        <f>IF(AND('AGOSTO 2026'!D83&lt;&gt;"",'AGOSTO 2026'!Z83="POR RECOGER"),'AGOSTO 2026'!N83,"")</f>
        <v/>
      </c>
      <c r="I814" s="381">
        <f>IF(AND('AGOSTO 2026'!D83&lt;&gt;"",'AGOSTO 2026'!Z83="POR RECOGER"),'AGOSTO 2026'!P83,"")</f>
        <v/>
      </c>
      <c r="J814" s="381">
        <f>IF(AND('AGOSTO 2026'!D83&lt;&gt;"",'AGOSTO 2026'!Z83="POR RECOGER"),'AGOSTO 2026'!Q83,"")</f>
        <v/>
      </c>
      <c r="K814" s="381">
        <f>IF(AND('AGOSTO 2026'!D83&lt;&gt;"",'AGOSTO 2026'!Z83="POR RECOGER"),'AGOSTO 2026'!Y83,"")</f>
        <v/>
      </c>
      <c r="L814" s="381">
        <f>IF(AND('AGOSTO 2026'!D83&lt;&gt;"",'AGOSTO 2026'!Z83="POR RECOGER"),'AGOSTO 2026'!I83,"")</f>
        <v/>
      </c>
      <c r="P814" s="194" t="n"/>
      <c r="Q814" s="194" t="n"/>
      <c r="R814" s="194" t="n"/>
      <c r="S814" s="194" t="n"/>
      <c r="T814" s="194" t="n"/>
      <c r="U814" s="194" t="n"/>
      <c r="V814" s="194" t="n"/>
      <c r="W814" s="194" t="n"/>
      <c r="X814" s="194" t="n"/>
      <c r="Y814" s="194" t="n"/>
      <c r="Z814" s="194" t="n"/>
    </row>
    <row r="815" ht="15" customHeight="1" s="195">
      <c r="A815" s="381">
        <f>IF(AND('AGOSTO 2026'!D84&lt;&gt;"",'AGOSTO 2026'!Z84="POR RECOGER"),"AGO","")</f>
        <v/>
      </c>
      <c r="B815" s="381">
        <f>IF(AND('AGOSTO 2026'!D84&lt;&gt;"",'AGOSTO 2026'!Z84="POR RECOGER"),IF('AGOSTO 2026'!Y84&lt;&gt;"",'AGOSTO 2026'!Y84,'AGOSTO 2026'!I84),"")</f>
        <v/>
      </c>
      <c r="C815" s="381">
        <f>IF(AND('AGOSTO 2026'!D84&lt;&gt;"",'AGOSTO 2026'!Z84="POR RECOGER"),'AGOSTO 2026'!D84,"")</f>
        <v/>
      </c>
      <c r="D815" s="381">
        <f>IF(AND('AGOSTO 2026'!D84&lt;&gt;"",'AGOSTO 2026'!Z84="POR RECOGER"),'AGOSTO 2026'!F84,"")</f>
        <v/>
      </c>
      <c r="E815" s="381">
        <f>IF(AND('AGOSTO 2026'!D84&lt;&gt;"",'AGOSTO 2026'!Z84="POR RECOGER"),TEXT('AGOSTO 2026'!G84,"DD/MM/YYYY"),"")</f>
        <v/>
      </c>
      <c r="F815" s="381">
        <f>IF(AND('AGOSTO 2026'!D84&lt;&gt;"",'AGOSTO 2026'!Z84="POR RECOGER"),'AGOSTO 2026'!K84,"")</f>
        <v/>
      </c>
      <c r="G815" s="382">
        <f>IF(AND('AGOSTO 2026'!D84&lt;&gt;"",'AGOSTO 2026'!Z84="POR RECOGER"),'AGOSTO 2026'!M84,"")</f>
        <v/>
      </c>
      <c r="H815" s="382">
        <f>IF(AND('AGOSTO 2026'!D84&lt;&gt;"",'AGOSTO 2026'!Z84="POR RECOGER"),'AGOSTO 2026'!N84,"")</f>
        <v/>
      </c>
      <c r="I815" s="381">
        <f>IF(AND('AGOSTO 2026'!D84&lt;&gt;"",'AGOSTO 2026'!Z84="POR RECOGER"),'AGOSTO 2026'!P84,"")</f>
        <v/>
      </c>
      <c r="J815" s="381">
        <f>IF(AND('AGOSTO 2026'!D84&lt;&gt;"",'AGOSTO 2026'!Z84="POR RECOGER"),'AGOSTO 2026'!Q84,"")</f>
        <v/>
      </c>
      <c r="K815" s="381">
        <f>IF(AND('AGOSTO 2026'!D84&lt;&gt;"",'AGOSTO 2026'!Z84="POR RECOGER"),'AGOSTO 2026'!Y84,"")</f>
        <v/>
      </c>
      <c r="L815" s="381">
        <f>IF(AND('AGOSTO 2026'!D84&lt;&gt;"",'AGOSTO 2026'!Z84="POR RECOGER"),'AGOSTO 2026'!I84,"")</f>
        <v/>
      </c>
      <c r="P815" s="194" t="n"/>
      <c r="Q815" s="194" t="n"/>
      <c r="R815" s="194" t="n"/>
      <c r="S815" s="194" t="n"/>
      <c r="T815" s="194" t="n"/>
      <c r="U815" s="194" t="n"/>
      <c r="V815" s="194" t="n"/>
      <c r="W815" s="194" t="n"/>
      <c r="X815" s="194" t="n"/>
      <c r="Y815" s="194" t="n"/>
      <c r="Z815" s="194" t="n"/>
    </row>
    <row r="816" ht="15" customHeight="1" s="195">
      <c r="A816" s="381">
        <f>IF(AND('AGOSTO 2026'!D85&lt;&gt;"",'AGOSTO 2026'!Z85="POR RECOGER"),"AGO","")</f>
        <v/>
      </c>
      <c r="B816" s="381">
        <f>IF(AND('AGOSTO 2026'!D85&lt;&gt;"",'AGOSTO 2026'!Z85="POR RECOGER"),IF('AGOSTO 2026'!Y85&lt;&gt;"",'AGOSTO 2026'!Y85,'AGOSTO 2026'!I85),"")</f>
        <v/>
      </c>
      <c r="C816" s="381">
        <f>IF(AND('AGOSTO 2026'!D85&lt;&gt;"",'AGOSTO 2026'!Z85="POR RECOGER"),'AGOSTO 2026'!D85,"")</f>
        <v/>
      </c>
      <c r="D816" s="381">
        <f>IF(AND('AGOSTO 2026'!D85&lt;&gt;"",'AGOSTO 2026'!Z85="POR RECOGER"),'AGOSTO 2026'!F85,"")</f>
        <v/>
      </c>
      <c r="E816" s="381">
        <f>IF(AND('AGOSTO 2026'!D85&lt;&gt;"",'AGOSTO 2026'!Z85="POR RECOGER"),TEXT('AGOSTO 2026'!G85,"DD/MM/YYYY"),"")</f>
        <v/>
      </c>
      <c r="F816" s="381">
        <f>IF(AND('AGOSTO 2026'!D85&lt;&gt;"",'AGOSTO 2026'!Z85="POR RECOGER"),'AGOSTO 2026'!K85,"")</f>
        <v/>
      </c>
      <c r="G816" s="382">
        <f>IF(AND('AGOSTO 2026'!D85&lt;&gt;"",'AGOSTO 2026'!Z85="POR RECOGER"),'AGOSTO 2026'!M85,"")</f>
        <v/>
      </c>
      <c r="H816" s="382">
        <f>IF(AND('AGOSTO 2026'!D85&lt;&gt;"",'AGOSTO 2026'!Z85="POR RECOGER"),'AGOSTO 2026'!N85,"")</f>
        <v/>
      </c>
      <c r="I816" s="381">
        <f>IF(AND('AGOSTO 2026'!D85&lt;&gt;"",'AGOSTO 2026'!Z85="POR RECOGER"),'AGOSTO 2026'!P85,"")</f>
        <v/>
      </c>
      <c r="J816" s="381">
        <f>IF(AND('AGOSTO 2026'!D85&lt;&gt;"",'AGOSTO 2026'!Z85="POR RECOGER"),'AGOSTO 2026'!Q85,"")</f>
        <v/>
      </c>
      <c r="K816" s="381">
        <f>IF(AND('AGOSTO 2026'!D85&lt;&gt;"",'AGOSTO 2026'!Z85="POR RECOGER"),'AGOSTO 2026'!Y85,"")</f>
        <v/>
      </c>
      <c r="L816" s="381">
        <f>IF(AND('AGOSTO 2026'!D85&lt;&gt;"",'AGOSTO 2026'!Z85="POR RECOGER"),'AGOSTO 2026'!I85,"")</f>
        <v/>
      </c>
      <c r="P816" s="194" t="n"/>
      <c r="Q816" s="194" t="n"/>
      <c r="R816" s="194" t="n"/>
      <c r="S816" s="194" t="n"/>
      <c r="T816" s="194" t="n"/>
      <c r="U816" s="194" t="n"/>
      <c r="V816" s="194" t="n"/>
      <c r="W816" s="194" t="n"/>
      <c r="X816" s="194" t="n"/>
      <c r="Y816" s="194" t="n"/>
      <c r="Z816" s="194" t="n"/>
    </row>
    <row r="817" ht="15" customHeight="1" s="195">
      <c r="A817" s="381">
        <f>IF(AND('AGOSTO 2026'!D86&lt;&gt;"",'AGOSTO 2026'!Z86="POR RECOGER"),"AGO","")</f>
        <v/>
      </c>
      <c r="B817" s="381">
        <f>IF(AND('AGOSTO 2026'!D86&lt;&gt;"",'AGOSTO 2026'!Z86="POR RECOGER"),IF('AGOSTO 2026'!Y86&lt;&gt;"",'AGOSTO 2026'!Y86,'AGOSTO 2026'!I86),"")</f>
        <v/>
      </c>
      <c r="C817" s="381">
        <f>IF(AND('AGOSTO 2026'!D86&lt;&gt;"",'AGOSTO 2026'!Z86="POR RECOGER"),'AGOSTO 2026'!D86,"")</f>
        <v/>
      </c>
      <c r="D817" s="381">
        <f>IF(AND('AGOSTO 2026'!D86&lt;&gt;"",'AGOSTO 2026'!Z86="POR RECOGER"),'AGOSTO 2026'!F86,"")</f>
        <v/>
      </c>
      <c r="E817" s="381">
        <f>IF(AND('AGOSTO 2026'!D86&lt;&gt;"",'AGOSTO 2026'!Z86="POR RECOGER"),TEXT('AGOSTO 2026'!G86,"DD/MM/YYYY"),"")</f>
        <v/>
      </c>
      <c r="F817" s="381">
        <f>IF(AND('AGOSTO 2026'!D86&lt;&gt;"",'AGOSTO 2026'!Z86="POR RECOGER"),'AGOSTO 2026'!K86,"")</f>
        <v/>
      </c>
      <c r="G817" s="382">
        <f>IF(AND('AGOSTO 2026'!D86&lt;&gt;"",'AGOSTO 2026'!Z86="POR RECOGER"),'AGOSTO 2026'!M86,"")</f>
        <v/>
      </c>
      <c r="H817" s="382">
        <f>IF(AND('AGOSTO 2026'!D86&lt;&gt;"",'AGOSTO 2026'!Z86="POR RECOGER"),'AGOSTO 2026'!N86,"")</f>
        <v/>
      </c>
      <c r="I817" s="381">
        <f>IF(AND('AGOSTO 2026'!D86&lt;&gt;"",'AGOSTO 2026'!Z86="POR RECOGER"),'AGOSTO 2026'!P86,"")</f>
        <v/>
      </c>
      <c r="J817" s="381">
        <f>IF(AND('AGOSTO 2026'!D86&lt;&gt;"",'AGOSTO 2026'!Z86="POR RECOGER"),'AGOSTO 2026'!Q86,"")</f>
        <v/>
      </c>
      <c r="K817" s="381">
        <f>IF(AND('AGOSTO 2026'!D86&lt;&gt;"",'AGOSTO 2026'!Z86="POR RECOGER"),'AGOSTO 2026'!Y86,"")</f>
        <v/>
      </c>
      <c r="L817" s="381">
        <f>IF(AND('AGOSTO 2026'!D86&lt;&gt;"",'AGOSTO 2026'!Z86="POR RECOGER"),'AGOSTO 2026'!I86,"")</f>
        <v/>
      </c>
      <c r="P817" s="194" t="n"/>
      <c r="Q817" s="194" t="n"/>
      <c r="R817" s="194" t="n"/>
      <c r="S817" s="194" t="n"/>
      <c r="T817" s="194" t="n"/>
      <c r="U817" s="194" t="n"/>
      <c r="V817" s="194" t="n"/>
      <c r="W817" s="194" t="n"/>
      <c r="X817" s="194" t="n"/>
      <c r="Y817" s="194" t="n"/>
      <c r="Z817" s="194" t="n"/>
    </row>
    <row r="818" ht="15" customHeight="1" s="195">
      <c r="A818" s="381">
        <f>IF(AND('AGOSTO 2026'!D87&lt;&gt;"",'AGOSTO 2026'!Z87="POR RECOGER"),"AGO","")</f>
        <v/>
      </c>
      <c r="B818" s="381">
        <f>IF(AND('AGOSTO 2026'!D87&lt;&gt;"",'AGOSTO 2026'!Z87="POR RECOGER"),IF('AGOSTO 2026'!Y87&lt;&gt;"",'AGOSTO 2026'!Y87,'AGOSTO 2026'!I87),"")</f>
        <v/>
      </c>
      <c r="C818" s="381">
        <f>IF(AND('AGOSTO 2026'!D87&lt;&gt;"",'AGOSTO 2026'!Z87="POR RECOGER"),'AGOSTO 2026'!D87,"")</f>
        <v/>
      </c>
      <c r="D818" s="381">
        <f>IF(AND('AGOSTO 2026'!D87&lt;&gt;"",'AGOSTO 2026'!Z87="POR RECOGER"),'AGOSTO 2026'!F87,"")</f>
        <v/>
      </c>
      <c r="E818" s="381">
        <f>IF(AND('AGOSTO 2026'!D87&lt;&gt;"",'AGOSTO 2026'!Z87="POR RECOGER"),TEXT('AGOSTO 2026'!G87,"DD/MM/YYYY"),"")</f>
        <v/>
      </c>
      <c r="F818" s="381">
        <f>IF(AND('AGOSTO 2026'!D87&lt;&gt;"",'AGOSTO 2026'!Z87="POR RECOGER"),'AGOSTO 2026'!K87,"")</f>
        <v/>
      </c>
      <c r="G818" s="382">
        <f>IF(AND('AGOSTO 2026'!D87&lt;&gt;"",'AGOSTO 2026'!Z87="POR RECOGER"),'AGOSTO 2026'!M87,"")</f>
        <v/>
      </c>
      <c r="H818" s="382">
        <f>IF(AND('AGOSTO 2026'!D87&lt;&gt;"",'AGOSTO 2026'!Z87="POR RECOGER"),'AGOSTO 2026'!N87,"")</f>
        <v/>
      </c>
      <c r="I818" s="381">
        <f>IF(AND('AGOSTO 2026'!D87&lt;&gt;"",'AGOSTO 2026'!Z87="POR RECOGER"),'AGOSTO 2026'!P87,"")</f>
        <v/>
      </c>
      <c r="J818" s="381">
        <f>IF(AND('AGOSTO 2026'!D87&lt;&gt;"",'AGOSTO 2026'!Z87="POR RECOGER"),'AGOSTO 2026'!Q87,"")</f>
        <v/>
      </c>
      <c r="K818" s="381">
        <f>IF(AND('AGOSTO 2026'!D87&lt;&gt;"",'AGOSTO 2026'!Z87="POR RECOGER"),'AGOSTO 2026'!Y87,"")</f>
        <v/>
      </c>
      <c r="L818" s="381">
        <f>IF(AND('AGOSTO 2026'!D87&lt;&gt;"",'AGOSTO 2026'!Z87="POR RECOGER"),'AGOSTO 2026'!I87,"")</f>
        <v/>
      </c>
      <c r="P818" s="194" t="n"/>
      <c r="Q818" s="194" t="n"/>
      <c r="R818" s="194" t="n"/>
      <c r="S818" s="194" t="n"/>
      <c r="T818" s="194" t="n"/>
      <c r="U818" s="194" t="n"/>
      <c r="V818" s="194" t="n"/>
      <c r="W818" s="194" t="n"/>
      <c r="X818" s="194" t="n"/>
      <c r="Y818" s="194" t="n"/>
      <c r="Z818" s="194" t="n"/>
    </row>
    <row r="819" ht="15" customHeight="1" s="195">
      <c r="A819" s="381">
        <f>IF(AND('AGOSTO 2026'!D88&lt;&gt;"",'AGOSTO 2026'!Z88="POR RECOGER"),"AGO","")</f>
        <v/>
      </c>
      <c r="B819" s="381">
        <f>IF(AND('AGOSTO 2026'!D88&lt;&gt;"",'AGOSTO 2026'!Z88="POR RECOGER"),IF('AGOSTO 2026'!Y88&lt;&gt;"",'AGOSTO 2026'!Y88,'AGOSTO 2026'!I88),"")</f>
        <v/>
      </c>
      <c r="C819" s="381">
        <f>IF(AND('AGOSTO 2026'!D88&lt;&gt;"",'AGOSTO 2026'!Z88="POR RECOGER"),'AGOSTO 2026'!D88,"")</f>
        <v/>
      </c>
      <c r="D819" s="381">
        <f>IF(AND('AGOSTO 2026'!D88&lt;&gt;"",'AGOSTO 2026'!Z88="POR RECOGER"),'AGOSTO 2026'!F88,"")</f>
        <v/>
      </c>
      <c r="E819" s="381">
        <f>IF(AND('AGOSTO 2026'!D88&lt;&gt;"",'AGOSTO 2026'!Z88="POR RECOGER"),TEXT('AGOSTO 2026'!G88,"DD/MM/YYYY"),"")</f>
        <v/>
      </c>
      <c r="F819" s="381">
        <f>IF(AND('AGOSTO 2026'!D88&lt;&gt;"",'AGOSTO 2026'!Z88="POR RECOGER"),'AGOSTO 2026'!K88,"")</f>
        <v/>
      </c>
      <c r="G819" s="382">
        <f>IF(AND('AGOSTO 2026'!D88&lt;&gt;"",'AGOSTO 2026'!Z88="POR RECOGER"),'AGOSTO 2026'!M88,"")</f>
        <v/>
      </c>
      <c r="H819" s="382">
        <f>IF(AND('AGOSTO 2026'!D88&lt;&gt;"",'AGOSTO 2026'!Z88="POR RECOGER"),'AGOSTO 2026'!N88,"")</f>
        <v/>
      </c>
      <c r="I819" s="381">
        <f>IF(AND('AGOSTO 2026'!D88&lt;&gt;"",'AGOSTO 2026'!Z88="POR RECOGER"),'AGOSTO 2026'!P88,"")</f>
        <v/>
      </c>
      <c r="J819" s="381">
        <f>IF(AND('AGOSTO 2026'!D88&lt;&gt;"",'AGOSTO 2026'!Z88="POR RECOGER"),'AGOSTO 2026'!Q88,"")</f>
        <v/>
      </c>
      <c r="K819" s="381">
        <f>IF(AND('AGOSTO 2026'!D88&lt;&gt;"",'AGOSTO 2026'!Z88="POR RECOGER"),'AGOSTO 2026'!Y88,"")</f>
        <v/>
      </c>
      <c r="L819" s="381">
        <f>IF(AND('AGOSTO 2026'!D88&lt;&gt;"",'AGOSTO 2026'!Z88="POR RECOGER"),'AGOSTO 2026'!I88,"")</f>
        <v/>
      </c>
      <c r="P819" s="194" t="n"/>
      <c r="Q819" s="194" t="n"/>
      <c r="R819" s="194" t="n"/>
      <c r="S819" s="194" t="n"/>
      <c r="T819" s="194" t="n"/>
      <c r="U819" s="194" t="n"/>
      <c r="V819" s="194" t="n"/>
      <c r="W819" s="194" t="n"/>
      <c r="X819" s="194" t="n"/>
      <c r="Y819" s="194" t="n"/>
      <c r="Z819" s="194" t="n"/>
    </row>
    <row r="820" ht="15" customHeight="1" s="195">
      <c r="A820" s="381">
        <f>IF(AND('AGOSTO 2026'!D89&lt;&gt;"",'AGOSTO 2026'!Z89="POR RECOGER"),"AGO","")</f>
        <v/>
      </c>
      <c r="B820" s="381">
        <f>IF(AND('AGOSTO 2026'!D89&lt;&gt;"",'AGOSTO 2026'!Z89="POR RECOGER"),IF('AGOSTO 2026'!Y89&lt;&gt;"",'AGOSTO 2026'!Y89,'AGOSTO 2026'!I89),"")</f>
        <v/>
      </c>
      <c r="C820" s="381">
        <f>IF(AND('AGOSTO 2026'!D89&lt;&gt;"",'AGOSTO 2026'!Z89="POR RECOGER"),'AGOSTO 2026'!D89,"")</f>
        <v/>
      </c>
      <c r="D820" s="381">
        <f>IF(AND('AGOSTO 2026'!D89&lt;&gt;"",'AGOSTO 2026'!Z89="POR RECOGER"),'AGOSTO 2026'!F89,"")</f>
        <v/>
      </c>
      <c r="E820" s="381">
        <f>IF(AND('AGOSTO 2026'!D89&lt;&gt;"",'AGOSTO 2026'!Z89="POR RECOGER"),TEXT('AGOSTO 2026'!G89,"DD/MM/YYYY"),"")</f>
        <v/>
      </c>
      <c r="F820" s="381">
        <f>IF(AND('AGOSTO 2026'!D89&lt;&gt;"",'AGOSTO 2026'!Z89="POR RECOGER"),'AGOSTO 2026'!K89,"")</f>
        <v/>
      </c>
      <c r="G820" s="382">
        <f>IF(AND('AGOSTO 2026'!D89&lt;&gt;"",'AGOSTO 2026'!Z89="POR RECOGER"),'AGOSTO 2026'!M89,"")</f>
        <v/>
      </c>
      <c r="H820" s="382">
        <f>IF(AND('AGOSTO 2026'!D89&lt;&gt;"",'AGOSTO 2026'!Z89="POR RECOGER"),'AGOSTO 2026'!N89,"")</f>
        <v/>
      </c>
      <c r="I820" s="381">
        <f>IF(AND('AGOSTO 2026'!D89&lt;&gt;"",'AGOSTO 2026'!Z89="POR RECOGER"),'AGOSTO 2026'!P89,"")</f>
        <v/>
      </c>
      <c r="J820" s="381">
        <f>IF(AND('AGOSTO 2026'!D89&lt;&gt;"",'AGOSTO 2026'!Z89="POR RECOGER"),'AGOSTO 2026'!Q89,"")</f>
        <v/>
      </c>
      <c r="K820" s="381">
        <f>IF(AND('AGOSTO 2026'!D89&lt;&gt;"",'AGOSTO 2026'!Z89="POR RECOGER"),'AGOSTO 2026'!Y89,"")</f>
        <v/>
      </c>
      <c r="L820" s="381">
        <f>IF(AND('AGOSTO 2026'!D89&lt;&gt;"",'AGOSTO 2026'!Z89="POR RECOGER"),'AGOSTO 2026'!I89,"")</f>
        <v/>
      </c>
      <c r="P820" s="194" t="n"/>
      <c r="Q820" s="194" t="n"/>
      <c r="R820" s="194" t="n"/>
      <c r="S820" s="194" t="n"/>
      <c r="T820" s="194" t="n"/>
      <c r="U820" s="194" t="n"/>
      <c r="V820" s="194" t="n"/>
      <c r="W820" s="194" t="n"/>
      <c r="X820" s="194" t="n"/>
      <c r="Y820" s="194" t="n"/>
      <c r="Z820" s="194" t="n"/>
    </row>
    <row r="821" ht="15" customHeight="1" s="195">
      <c r="A821" s="381">
        <f>IF(AND('AGOSTO 2026'!D90&lt;&gt;"",'AGOSTO 2026'!Z90="POR RECOGER"),"AGO","")</f>
        <v/>
      </c>
      <c r="B821" s="381">
        <f>IF(AND('AGOSTO 2026'!D90&lt;&gt;"",'AGOSTO 2026'!Z90="POR RECOGER"),IF('AGOSTO 2026'!Y90&lt;&gt;"",'AGOSTO 2026'!Y90,'AGOSTO 2026'!I90),"")</f>
        <v/>
      </c>
      <c r="C821" s="381">
        <f>IF(AND('AGOSTO 2026'!D90&lt;&gt;"",'AGOSTO 2026'!Z90="POR RECOGER"),'AGOSTO 2026'!D90,"")</f>
        <v/>
      </c>
      <c r="D821" s="381">
        <f>IF(AND('AGOSTO 2026'!D90&lt;&gt;"",'AGOSTO 2026'!Z90="POR RECOGER"),'AGOSTO 2026'!F90,"")</f>
        <v/>
      </c>
      <c r="E821" s="381">
        <f>IF(AND('AGOSTO 2026'!D90&lt;&gt;"",'AGOSTO 2026'!Z90="POR RECOGER"),TEXT('AGOSTO 2026'!G90,"DD/MM/YYYY"),"")</f>
        <v/>
      </c>
      <c r="F821" s="381">
        <f>IF(AND('AGOSTO 2026'!D90&lt;&gt;"",'AGOSTO 2026'!Z90="POR RECOGER"),'AGOSTO 2026'!K90,"")</f>
        <v/>
      </c>
      <c r="G821" s="382">
        <f>IF(AND('AGOSTO 2026'!D90&lt;&gt;"",'AGOSTO 2026'!Z90="POR RECOGER"),'AGOSTO 2026'!M90,"")</f>
        <v/>
      </c>
      <c r="H821" s="382">
        <f>IF(AND('AGOSTO 2026'!D90&lt;&gt;"",'AGOSTO 2026'!Z90="POR RECOGER"),'AGOSTO 2026'!N90,"")</f>
        <v/>
      </c>
      <c r="I821" s="381">
        <f>IF(AND('AGOSTO 2026'!D90&lt;&gt;"",'AGOSTO 2026'!Z90="POR RECOGER"),'AGOSTO 2026'!P90,"")</f>
        <v/>
      </c>
      <c r="J821" s="381">
        <f>IF(AND('AGOSTO 2026'!D90&lt;&gt;"",'AGOSTO 2026'!Z90="POR RECOGER"),'AGOSTO 2026'!Q90,"")</f>
        <v/>
      </c>
      <c r="K821" s="381">
        <f>IF(AND('AGOSTO 2026'!D90&lt;&gt;"",'AGOSTO 2026'!Z90="POR RECOGER"),'AGOSTO 2026'!Y90,"")</f>
        <v/>
      </c>
      <c r="L821" s="381">
        <f>IF(AND('AGOSTO 2026'!D90&lt;&gt;"",'AGOSTO 2026'!Z90="POR RECOGER"),'AGOSTO 2026'!I90,"")</f>
        <v/>
      </c>
      <c r="P821" s="194" t="n"/>
      <c r="Q821" s="194" t="n"/>
      <c r="R821" s="194" t="n"/>
      <c r="S821" s="194" t="n"/>
      <c r="T821" s="194" t="n"/>
      <c r="U821" s="194" t="n"/>
      <c r="V821" s="194" t="n"/>
      <c r="W821" s="194" t="n"/>
      <c r="X821" s="194" t="n"/>
      <c r="Y821" s="194" t="n"/>
      <c r="Z821" s="194" t="n"/>
    </row>
    <row r="822" ht="15" customHeight="1" s="195">
      <c r="A822" s="381">
        <f>IF(AND('AGOSTO 2026'!D91&lt;&gt;"",'AGOSTO 2026'!Z91="POR RECOGER"),"AGO","")</f>
        <v/>
      </c>
      <c r="B822" s="381">
        <f>IF(AND('AGOSTO 2026'!D91&lt;&gt;"",'AGOSTO 2026'!Z91="POR RECOGER"),IF('AGOSTO 2026'!Y91&lt;&gt;"",'AGOSTO 2026'!Y91,'AGOSTO 2026'!I91),"")</f>
        <v/>
      </c>
      <c r="C822" s="381">
        <f>IF(AND('AGOSTO 2026'!D91&lt;&gt;"",'AGOSTO 2026'!Z91="POR RECOGER"),'AGOSTO 2026'!D91,"")</f>
        <v/>
      </c>
      <c r="D822" s="381">
        <f>IF(AND('AGOSTO 2026'!D91&lt;&gt;"",'AGOSTO 2026'!Z91="POR RECOGER"),'AGOSTO 2026'!F91,"")</f>
        <v/>
      </c>
      <c r="E822" s="381">
        <f>IF(AND('AGOSTO 2026'!D91&lt;&gt;"",'AGOSTO 2026'!Z91="POR RECOGER"),TEXT('AGOSTO 2026'!G91,"DD/MM/YYYY"),"")</f>
        <v/>
      </c>
      <c r="F822" s="381">
        <f>IF(AND('AGOSTO 2026'!D91&lt;&gt;"",'AGOSTO 2026'!Z91="POR RECOGER"),'AGOSTO 2026'!K91,"")</f>
        <v/>
      </c>
      <c r="G822" s="382">
        <f>IF(AND('AGOSTO 2026'!D91&lt;&gt;"",'AGOSTO 2026'!Z91="POR RECOGER"),'AGOSTO 2026'!M91,"")</f>
        <v/>
      </c>
      <c r="H822" s="382">
        <f>IF(AND('AGOSTO 2026'!D91&lt;&gt;"",'AGOSTO 2026'!Z91="POR RECOGER"),'AGOSTO 2026'!N91,"")</f>
        <v/>
      </c>
      <c r="I822" s="381">
        <f>IF(AND('AGOSTO 2026'!D91&lt;&gt;"",'AGOSTO 2026'!Z91="POR RECOGER"),'AGOSTO 2026'!P91,"")</f>
        <v/>
      </c>
      <c r="J822" s="381">
        <f>IF(AND('AGOSTO 2026'!D91&lt;&gt;"",'AGOSTO 2026'!Z91="POR RECOGER"),'AGOSTO 2026'!Q91,"")</f>
        <v/>
      </c>
      <c r="K822" s="381">
        <f>IF(AND('AGOSTO 2026'!D91&lt;&gt;"",'AGOSTO 2026'!Z91="POR RECOGER"),'AGOSTO 2026'!Y91,"")</f>
        <v/>
      </c>
      <c r="L822" s="381">
        <f>IF(AND('AGOSTO 2026'!D91&lt;&gt;"",'AGOSTO 2026'!Z91="POR RECOGER"),'AGOSTO 2026'!I91,"")</f>
        <v/>
      </c>
      <c r="P822" s="194" t="n"/>
      <c r="Q822" s="194" t="n"/>
      <c r="R822" s="194" t="n"/>
      <c r="S822" s="194" t="n"/>
      <c r="T822" s="194" t="n"/>
      <c r="U822" s="194" t="n"/>
      <c r="V822" s="194" t="n"/>
      <c r="W822" s="194" t="n"/>
      <c r="X822" s="194" t="n"/>
      <c r="Y822" s="194" t="n"/>
      <c r="Z822" s="194" t="n"/>
    </row>
    <row r="823" ht="15" customHeight="1" s="195">
      <c r="A823" s="381">
        <f>IF(AND('AGOSTO 2026'!D92&lt;&gt;"",'AGOSTO 2026'!Z92="POR RECOGER"),"AGO","")</f>
        <v/>
      </c>
      <c r="B823" s="381">
        <f>IF(AND('AGOSTO 2026'!D92&lt;&gt;"",'AGOSTO 2026'!Z92="POR RECOGER"),IF('AGOSTO 2026'!Y92&lt;&gt;"",'AGOSTO 2026'!Y92,'AGOSTO 2026'!I92),"")</f>
        <v/>
      </c>
      <c r="C823" s="381">
        <f>IF(AND('AGOSTO 2026'!D92&lt;&gt;"",'AGOSTO 2026'!Z92="POR RECOGER"),'AGOSTO 2026'!D92,"")</f>
        <v/>
      </c>
      <c r="D823" s="381">
        <f>IF(AND('AGOSTO 2026'!D92&lt;&gt;"",'AGOSTO 2026'!Z92="POR RECOGER"),'AGOSTO 2026'!F92,"")</f>
        <v/>
      </c>
      <c r="E823" s="381">
        <f>IF(AND('AGOSTO 2026'!D92&lt;&gt;"",'AGOSTO 2026'!Z92="POR RECOGER"),TEXT('AGOSTO 2026'!G92,"DD/MM/YYYY"),"")</f>
        <v/>
      </c>
      <c r="F823" s="381">
        <f>IF(AND('AGOSTO 2026'!D92&lt;&gt;"",'AGOSTO 2026'!Z92="POR RECOGER"),'AGOSTO 2026'!K92,"")</f>
        <v/>
      </c>
      <c r="G823" s="382">
        <f>IF(AND('AGOSTO 2026'!D92&lt;&gt;"",'AGOSTO 2026'!Z92="POR RECOGER"),'AGOSTO 2026'!M92,"")</f>
        <v/>
      </c>
      <c r="H823" s="382">
        <f>IF(AND('AGOSTO 2026'!D92&lt;&gt;"",'AGOSTO 2026'!Z92="POR RECOGER"),'AGOSTO 2026'!N92,"")</f>
        <v/>
      </c>
      <c r="I823" s="381">
        <f>IF(AND('AGOSTO 2026'!D92&lt;&gt;"",'AGOSTO 2026'!Z92="POR RECOGER"),'AGOSTO 2026'!P92,"")</f>
        <v/>
      </c>
      <c r="J823" s="381">
        <f>IF(AND('AGOSTO 2026'!D92&lt;&gt;"",'AGOSTO 2026'!Z92="POR RECOGER"),'AGOSTO 2026'!Q92,"")</f>
        <v/>
      </c>
      <c r="K823" s="381">
        <f>IF(AND('AGOSTO 2026'!D92&lt;&gt;"",'AGOSTO 2026'!Z92="POR RECOGER"),'AGOSTO 2026'!Y92,"")</f>
        <v/>
      </c>
      <c r="L823" s="381">
        <f>IF(AND('AGOSTO 2026'!D92&lt;&gt;"",'AGOSTO 2026'!Z92="POR RECOGER"),'AGOSTO 2026'!I92,"")</f>
        <v/>
      </c>
      <c r="P823" s="194" t="n"/>
      <c r="Q823" s="194" t="n"/>
      <c r="R823" s="194" t="n"/>
      <c r="S823" s="194" t="n"/>
      <c r="T823" s="194" t="n"/>
      <c r="U823" s="194" t="n"/>
      <c r="V823" s="194" t="n"/>
      <c r="W823" s="194" t="n"/>
      <c r="X823" s="194" t="n"/>
      <c r="Y823" s="194" t="n"/>
      <c r="Z823" s="194" t="n"/>
    </row>
    <row r="824" ht="15" customHeight="1" s="195">
      <c r="A824" s="381">
        <f>IF(AND('AGOSTO 2026'!D93&lt;&gt;"",'AGOSTO 2026'!Z93="POR RECOGER"),"AGO","")</f>
        <v/>
      </c>
      <c r="B824" s="381">
        <f>IF(AND('AGOSTO 2026'!D93&lt;&gt;"",'AGOSTO 2026'!Z93="POR RECOGER"),IF('AGOSTO 2026'!Y93&lt;&gt;"",'AGOSTO 2026'!Y93,'AGOSTO 2026'!I93),"")</f>
        <v/>
      </c>
      <c r="C824" s="381">
        <f>IF(AND('AGOSTO 2026'!D93&lt;&gt;"",'AGOSTO 2026'!Z93="POR RECOGER"),'AGOSTO 2026'!D93,"")</f>
        <v/>
      </c>
      <c r="D824" s="381">
        <f>IF(AND('AGOSTO 2026'!D93&lt;&gt;"",'AGOSTO 2026'!Z93="POR RECOGER"),'AGOSTO 2026'!F93,"")</f>
        <v/>
      </c>
      <c r="E824" s="381">
        <f>IF(AND('AGOSTO 2026'!D93&lt;&gt;"",'AGOSTO 2026'!Z93="POR RECOGER"),TEXT('AGOSTO 2026'!G93,"DD/MM/YYYY"),"")</f>
        <v/>
      </c>
      <c r="F824" s="381">
        <f>IF(AND('AGOSTO 2026'!D93&lt;&gt;"",'AGOSTO 2026'!Z93="POR RECOGER"),'AGOSTO 2026'!K93,"")</f>
        <v/>
      </c>
      <c r="G824" s="382">
        <f>IF(AND('AGOSTO 2026'!D93&lt;&gt;"",'AGOSTO 2026'!Z93="POR RECOGER"),'AGOSTO 2026'!M93,"")</f>
        <v/>
      </c>
      <c r="H824" s="382">
        <f>IF(AND('AGOSTO 2026'!D93&lt;&gt;"",'AGOSTO 2026'!Z93="POR RECOGER"),'AGOSTO 2026'!N93,"")</f>
        <v/>
      </c>
      <c r="I824" s="381">
        <f>IF(AND('AGOSTO 2026'!D93&lt;&gt;"",'AGOSTO 2026'!Z93="POR RECOGER"),'AGOSTO 2026'!P93,"")</f>
        <v/>
      </c>
      <c r="J824" s="381">
        <f>IF(AND('AGOSTO 2026'!D93&lt;&gt;"",'AGOSTO 2026'!Z93="POR RECOGER"),'AGOSTO 2026'!Q93,"")</f>
        <v/>
      </c>
      <c r="K824" s="381">
        <f>IF(AND('AGOSTO 2026'!D93&lt;&gt;"",'AGOSTO 2026'!Z93="POR RECOGER"),'AGOSTO 2026'!Y93,"")</f>
        <v/>
      </c>
      <c r="L824" s="381">
        <f>IF(AND('AGOSTO 2026'!D93&lt;&gt;"",'AGOSTO 2026'!Z93="POR RECOGER"),'AGOSTO 2026'!I93,"")</f>
        <v/>
      </c>
      <c r="P824" s="194" t="n"/>
      <c r="Q824" s="194" t="n"/>
      <c r="R824" s="194" t="n"/>
      <c r="S824" s="194" t="n"/>
      <c r="T824" s="194" t="n"/>
      <c r="U824" s="194" t="n"/>
      <c r="V824" s="194" t="n"/>
      <c r="W824" s="194" t="n"/>
      <c r="X824" s="194" t="n"/>
      <c r="Y824" s="194" t="n"/>
      <c r="Z824" s="194" t="n"/>
    </row>
    <row r="825" ht="15" customHeight="1" s="195">
      <c r="A825" s="381">
        <f>IF(AND('AGOSTO 2026'!D94&lt;&gt;"",'AGOSTO 2026'!Z94="POR RECOGER"),"AGO","")</f>
        <v/>
      </c>
      <c r="B825" s="381">
        <f>IF(AND('AGOSTO 2026'!D94&lt;&gt;"",'AGOSTO 2026'!Z94="POR RECOGER"),IF('AGOSTO 2026'!Y94&lt;&gt;"",'AGOSTO 2026'!Y94,'AGOSTO 2026'!I94),"")</f>
        <v/>
      </c>
      <c r="C825" s="381">
        <f>IF(AND('AGOSTO 2026'!D94&lt;&gt;"",'AGOSTO 2026'!Z94="POR RECOGER"),'AGOSTO 2026'!D94,"")</f>
        <v/>
      </c>
      <c r="D825" s="381">
        <f>IF(AND('AGOSTO 2026'!D94&lt;&gt;"",'AGOSTO 2026'!Z94="POR RECOGER"),'AGOSTO 2026'!F94,"")</f>
        <v/>
      </c>
      <c r="E825" s="381">
        <f>IF(AND('AGOSTO 2026'!D94&lt;&gt;"",'AGOSTO 2026'!Z94="POR RECOGER"),TEXT('AGOSTO 2026'!G94,"DD/MM/YYYY"),"")</f>
        <v/>
      </c>
      <c r="F825" s="381">
        <f>IF(AND('AGOSTO 2026'!D94&lt;&gt;"",'AGOSTO 2026'!Z94="POR RECOGER"),'AGOSTO 2026'!K94,"")</f>
        <v/>
      </c>
      <c r="G825" s="382">
        <f>IF(AND('AGOSTO 2026'!D94&lt;&gt;"",'AGOSTO 2026'!Z94="POR RECOGER"),'AGOSTO 2026'!M94,"")</f>
        <v/>
      </c>
      <c r="H825" s="382">
        <f>IF(AND('AGOSTO 2026'!D94&lt;&gt;"",'AGOSTO 2026'!Z94="POR RECOGER"),'AGOSTO 2026'!N94,"")</f>
        <v/>
      </c>
      <c r="I825" s="381">
        <f>IF(AND('AGOSTO 2026'!D94&lt;&gt;"",'AGOSTO 2026'!Z94="POR RECOGER"),'AGOSTO 2026'!P94,"")</f>
        <v/>
      </c>
      <c r="J825" s="381">
        <f>IF(AND('AGOSTO 2026'!D94&lt;&gt;"",'AGOSTO 2026'!Z94="POR RECOGER"),'AGOSTO 2026'!Q94,"")</f>
        <v/>
      </c>
      <c r="K825" s="381">
        <f>IF(AND('AGOSTO 2026'!D94&lt;&gt;"",'AGOSTO 2026'!Z94="POR RECOGER"),'AGOSTO 2026'!Y94,"")</f>
        <v/>
      </c>
      <c r="L825" s="381">
        <f>IF(AND('AGOSTO 2026'!D94&lt;&gt;"",'AGOSTO 2026'!Z94="POR RECOGER"),'AGOSTO 2026'!I94,"")</f>
        <v/>
      </c>
      <c r="P825" s="194" t="n"/>
      <c r="Q825" s="194" t="n"/>
      <c r="R825" s="194" t="n"/>
      <c r="S825" s="194" t="n"/>
      <c r="T825" s="194" t="n"/>
      <c r="U825" s="194" t="n"/>
      <c r="V825" s="194" t="n"/>
      <c r="W825" s="194" t="n"/>
      <c r="X825" s="194" t="n"/>
      <c r="Y825" s="194" t="n"/>
      <c r="Z825" s="194" t="n"/>
    </row>
    <row r="826" ht="15" customHeight="1" s="195">
      <c r="A826" s="381">
        <f>IF(AND('AGOSTO 2026'!D95&lt;&gt;"",'AGOSTO 2026'!Z95="POR RECOGER"),"AGO","")</f>
        <v/>
      </c>
      <c r="B826" s="381">
        <f>IF(AND('AGOSTO 2026'!D95&lt;&gt;"",'AGOSTO 2026'!Z95="POR RECOGER"),IF('AGOSTO 2026'!Y95&lt;&gt;"",'AGOSTO 2026'!Y95,'AGOSTO 2026'!I95),"")</f>
        <v/>
      </c>
      <c r="C826" s="381">
        <f>IF(AND('AGOSTO 2026'!D95&lt;&gt;"",'AGOSTO 2026'!Z95="POR RECOGER"),'AGOSTO 2026'!D95,"")</f>
        <v/>
      </c>
      <c r="D826" s="381">
        <f>IF(AND('AGOSTO 2026'!D95&lt;&gt;"",'AGOSTO 2026'!Z95="POR RECOGER"),'AGOSTO 2026'!F95,"")</f>
        <v/>
      </c>
      <c r="E826" s="381">
        <f>IF(AND('AGOSTO 2026'!D95&lt;&gt;"",'AGOSTO 2026'!Z95="POR RECOGER"),TEXT('AGOSTO 2026'!G95,"DD/MM/YYYY"),"")</f>
        <v/>
      </c>
      <c r="F826" s="381">
        <f>IF(AND('AGOSTO 2026'!D95&lt;&gt;"",'AGOSTO 2026'!Z95="POR RECOGER"),'AGOSTO 2026'!K95,"")</f>
        <v/>
      </c>
      <c r="G826" s="382">
        <f>IF(AND('AGOSTO 2026'!D95&lt;&gt;"",'AGOSTO 2026'!Z95="POR RECOGER"),'AGOSTO 2026'!M95,"")</f>
        <v/>
      </c>
      <c r="H826" s="382">
        <f>IF(AND('AGOSTO 2026'!D95&lt;&gt;"",'AGOSTO 2026'!Z95="POR RECOGER"),'AGOSTO 2026'!N95,"")</f>
        <v/>
      </c>
      <c r="I826" s="381">
        <f>IF(AND('AGOSTO 2026'!D95&lt;&gt;"",'AGOSTO 2026'!Z95="POR RECOGER"),'AGOSTO 2026'!P95,"")</f>
        <v/>
      </c>
      <c r="J826" s="381">
        <f>IF(AND('AGOSTO 2026'!D95&lt;&gt;"",'AGOSTO 2026'!Z95="POR RECOGER"),'AGOSTO 2026'!Q95,"")</f>
        <v/>
      </c>
      <c r="K826" s="381">
        <f>IF(AND('AGOSTO 2026'!D95&lt;&gt;"",'AGOSTO 2026'!Z95="POR RECOGER"),'AGOSTO 2026'!Y95,"")</f>
        <v/>
      </c>
      <c r="L826" s="381">
        <f>IF(AND('AGOSTO 2026'!D95&lt;&gt;"",'AGOSTO 2026'!Z95="POR RECOGER"),'AGOSTO 2026'!I95,"")</f>
        <v/>
      </c>
      <c r="P826" s="194" t="n"/>
      <c r="Q826" s="194" t="n"/>
      <c r="R826" s="194" t="n"/>
      <c r="S826" s="194" t="n"/>
      <c r="T826" s="194" t="n"/>
      <c r="U826" s="194" t="n"/>
      <c r="V826" s="194" t="n"/>
      <c r="W826" s="194" t="n"/>
      <c r="X826" s="194" t="n"/>
      <c r="Y826" s="194" t="n"/>
      <c r="Z826" s="194" t="n"/>
    </row>
    <row r="827" ht="15" customHeight="1" s="195">
      <c r="A827" s="381">
        <f>IF(AND('AGOSTO 2026'!D96&lt;&gt;"",'AGOSTO 2026'!Z96="POR RECOGER"),"AGO","")</f>
        <v/>
      </c>
      <c r="B827" s="381">
        <f>IF(AND('AGOSTO 2026'!D96&lt;&gt;"",'AGOSTO 2026'!Z96="POR RECOGER"),IF('AGOSTO 2026'!Y96&lt;&gt;"",'AGOSTO 2026'!Y96,'AGOSTO 2026'!I96),"")</f>
        <v/>
      </c>
      <c r="C827" s="381">
        <f>IF(AND('AGOSTO 2026'!D96&lt;&gt;"",'AGOSTO 2026'!Z96="POR RECOGER"),'AGOSTO 2026'!D96,"")</f>
        <v/>
      </c>
      <c r="D827" s="381">
        <f>IF(AND('AGOSTO 2026'!D96&lt;&gt;"",'AGOSTO 2026'!Z96="POR RECOGER"),'AGOSTO 2026'!F96,"")</f>
        <v/>
      </c>
      <c r="E827" s="381">
        <f>IF(AND('AGOSTO 2026'!D96&lt;&gt;"",'AGOSTO 2026'!Z96="POR RECOGER"),TEXT('AGOSTO 2026'!G96,"DD/MM/YYYY"),"")</f>
        <v/>
      </c>
      <c r="F827" s="381">
        <f>IF(AND('AGOSTO 2026'!D96&lt;&gt;"",'AGOSTO 2026'!Z96="POR RECOGER"),'AGOSTO 2026'!K96,"")</f>
        <v/>
      </c>
      <c r="G827" s="382">
        <f>IF(AND('AGOSTO 2026'!D96&lt;&gt;"",'AGOSTO 2026'!Z96="POR RECOGER"),'AGOSTO 2026'!M96,"")</f>
        <v/>
      </c>
      <c r="H827" s="382">
        <f>IF(AND('AGOSTO 2026'!D96&lt;&gt;"",'AGOSTO 2026'!Z96="POR RECOGER"),'AGOSTO 2026'!N96,"")</f>
        <v/>
      </c>
      <c r="I827" s="381">
        <f>IF(AND('AGOSTO 2026'!D96&lt;&gt;"",'AGOSTO 2026'!Z96="POR RECOGER"),'AGOSTO 2026'!P96,"")</f>
        <v/>
      </c>
      <c r="J827" s="381">
        <f>IF(AND('AGOSTO 2026'!D96&lt;&gt;"",'AGOSTO 2026'!Z96="POR RECOGER"),'AGOSTO 2026'!Q96,"")</f>
        <v/>
      </c>
      <c r="K827" s="381">
        <f>IF(AND('AGOSTO 2026'!D96&lt;&gt;"",'AGOSTO 2026'!Z96="POR RECOGER"),'AGOSTO 2026'!Y96,"")</f>
        <v/>
      </c>
      <c r="L827" s="381">
        <f>IF(AND('AGOSTO 2026'!D96&lt;&gt;"",'AGOSTO 2026'!Z96="POR RECOGER"),'AGOSTO 2026'!I96,"")</f>
        <v/>
      </c>
      <c r="P827" s="194" t="n"/>
      <c r="Q827" s="194" t="n"/>
      <c r="R827" s="194" t="n"/>
      <c r="S827" s="194" t="n"/>
      <c r="T827" s="194" t="n"/>
      <c r="U827" s="194" t="n"/>
      <c r="V827" s="194" t="n"/>
      <c r="W827" s="194" t="n"/>
      <c r="X827" s="194" t="n"/>
      <c r="Y827" s="194" t="n"/>
      <c r="Z827" s="194" t="n"/>
    </row>
    <row r="828" ht="15" customHeight="1" s="195">
      <c r="A828" s="381">
        <f>IF(AND('AGOSTO 2026'!D97&lt;&gt;"",'AGOSTO 2026'!Z97="POR RECOGER"),"AGO","")</f>
        <v/>
      </c>
      <c r="B828" s="381">
        <f>IF(AND('AGOSTO 2026'!D97&lt;&gt;"",'AGOSTO 2026'!Z97="POR RECOGER"),IF('AGOSTO 2026'!Y97&lt;&gt;"",'AGOSTO 2026'!Y97,'AGOSTO 2026'!I97),"")</f>
        <v/>
      </c>
      <c r="C828" s="381">
        <f>IF(AND('AGOSTO 2026'!D97&lt;&gt;"",'AGOSTO 2026'!Z97="POR RECOGER"),'AGOSTO 2026'!D97,"")</f>
        <v/>
      </c>
      <c r="D828" s="381">
        <f>IF(AND('AGOSTO 2026'!D97&lt;&gt;"",'AGOSTO 2026'!Z97="POR RECOGER"),'AGOSTO 2026'!F97,"")</f>
        <v/>
      </c>
      <c r="E828" s="381">
        <f>IF(AND('AGOSTO 2026'!D97&lt;&gt;"",'AGOSTO 2026'!Z97="POR RECOGER"),TEXT('AGOSTO 2026'!G97,"DD/MM/YYYY"),"")</f>
        <v/>
      </c>
      <c r="F828" s="381">
        <f>IF(AND('AGOSTO 2026'!D97&lt;&gt;"",'AGOSTO 2026'!Z97="POR RECOGER"),'AGOSTO 2026'!K97,"")</f>
        <v/>
      </c>
      <c r="G828" s="382">
        <f>IF(AND('AGOSTO 2026'!D97&lt;&gt;"",'AGOSTO 2026'!Z97="POR RECOGER"),'AGOSTO 2026'!M97,"")</f>
        <v/>
      </c>
      <c r="H828" s="382">
        <f>IF(AND('AGOSTO 2026'!D97&lt;&gt;"",'AGOSTO 2026'!Z97="POR RECOGER"),'AGOSTO 2026'!N97,"")</f>
        <v/>
      </c>
      <c r="I828" s="381">
        <f>IF(AND('AGOSTO 2026'!D97&lt;&gt;"",'AGOSTO 2026'!Z97="POR RECOGER"),'AGOSTO 2026'!P97,"")</f>
        <v/>
      </c>
      <c r="J828" s="381">
        <f>IF(AND('AGOSTO 2026'!D97&lt;&gt;"",'AGOSTO 2026'!Z97="POR RECOGER"),'AGOSTO 2026'!Q97,"")</f>
        <v/>
      </c>
      <c r="K828" s="381">
        <f>IF(AND('AGOSTO 2026'!D97&lt;&gt;"",'AGOSTO 2026'!Z97="POR RECOGER"),'AGOSTO 2026'!Y97,"")</f>
        <v/>
      </c>
      <c r="L828" s="381">
        <f>IF(AND('AGOSTO 2026'!D97&lt;&gt;"",'AGOSTO 2026'!Z97="POR RECOGER"),'AGOSTO 2026'!I97,"")</f>
        <v/>
      </c>
      <c r="P828" s="194" t="n"/>
      <c r="Q828" s="194" t="n"/>
      <c r="R828" s="194" t="n"/>
      <c r="S828" s="194" t="n"/>
      <c r="T828" s="194" t="n"/>
      <c r="U828" s="194" t="n"/>
      <c r="V828" s="194" t="n"/>
      <c r="W828" s="194" t="n"/>
      <c r="X828" s="194" t="n"/>
      <c r="Y828" s="194" t="n"/>
      <c r="Z828" s="194" t="n"/>
    </row>
    <row r="829" ht="15" customHeight="1" s="195">
      <c r="A829" s="381">
        <f>IF(AND('AGOSTO 2026'!D98&lt;&gt;"",'AGOSTO 2026'!Z98="POR RECOGER"),"AGO","")</f>
        <v/>
      </c>
      <c r="B829" s="381">
        <f>IF(AND('AGOSTO 2026'!D98&lt;&gt;"",'AGOSTO 2026'!Z98="POR RECOGER"),IF('AGOSTO 2026'!Y98&lt;&gt;"",'AGOSTO 2026'!Y98,'AGOSTO 2026'!I98),"")</f>
        <v/>
      </c>
      <c r="C829" s="381">
        <f>IF(AND('AGOSTO 2026'!D98&lt;&gt;"",'AGOSTO 2026'!Z98="POR RECOGER"),'AGOSTO 2026'!D98,"")</f>
        <v/>
      </c>
      <c r="D829" s="381">
        <f>IF(AND('AGOSTO 2026'!D98&lt;&gt;"",'AGOSTO 2026'!Z98="POR RECOGER"),'AGOSTO 2026'!F98,"")</f>
        <v/>
      </c>
      <c r="E829" s="381">
        <f>IF(AND('AGOSTO 2026'!D98&lt;&gt;"",'AGOSTO 2026'!Z98="POR RECOGER"),TEXT('AGOSTO 2026'!G98,"DD/MM/YYYY"),"")</f>
        <v/>
      </c>
      <c r="F829" s="381">
        <f>IF(AND('AGOSTO 2026'!D98&lt;&gt;"",'AGOSTO 2026'!Z98="POR RECOGER"),'AGOSTO 2026'!K98,"")</f>
        <v/>
      </c>
      <c r="G829" s="382">
        <f>IF(AND('AGOSTO 2026'!D98&lt;&gt;"",'AGOSTO 2026'!Z98="POR RECOGER"),'AGOSTO 2026'!M98,"")</f>
        <v/>
      </c>
      <c r="H829" s="382">
        <f>IF(AND('AGOSTO 2026'!D98&lt;&gt;"",'AGOSTO 2026'!Z98="POR RECOGER"),'AGOSTO 2026'!N98,"")</f>
        <v/>
      </c>
      <c r="I829" s="381">
        <f>IF(AND('AGOSTO 2026'!D98&lt;&gt;"",'AGOSTO 2026'!Z98="POR RECOGER"),'AGOSTO 2026'!P98,"")</f>
        <v/>
      </c>
      <c r="J829" s="381">
        <f>IF(AND('AGOSTO 2026'!D98&lt;&gt;"",'AGOSTO 2026'!Z98="POR RECOGER"),'AGOSTO 2026'!Q98,"")</f>
        <v/>
      </c>
      <c r="K829" s="381">
        <f>IF(AND('AGOSTO 2026'!D98&lt;&gt;"",'AGOSTO 2026'!Z98="POR RECOGER"),'AGOSTO 2026'!Y98,"")</f>
        <v/>
      </c>
      <c r="L829" s="381">
        <f>IF(AND('AGOSTO 2026'!D98&lt;&gt;"",'AGOSTO 2026'!Z98="POR RECOGER"),'AGOSTO 2026'!I98,"")</f>
        <v/>
      </c>
      <c r="P829" s="194" t="n"/>
      <c r="Q829" s="194" t="n"/>
      <c r="R829" s="194" t="n"/>
      <c r="S829" s="194" t="n"/>
      <c r="T829" s="194" t="n"/>
      <c r="U829" s="194" t="n"/>
      <c r="V829" s="194" t="n"/>
      <c r="W829" s="194" t="n"/>
      <c r="X829" s="194" t="n"/>
      <c r="Y829" s="194" t="n"/>
      <c r="Z829" s="194" t="n"/>
    </row>
    <row r="830" ht="15" customHeight="1" s="195">
      <c r="A830" s="381">
        <f>IF(AND('AGOSTO 2026'!D99&lt;&gt;"",'AGOSTO 2026'!Z99="POR RECOGER"),"AGO","")</f>
        <v/>
      </c>
      <c r="B830" s="381">
        <f>IF(AND('AGOSTO 2026'!D99&lt;&gt;"",'AGOSTO 2026'!Z99="POR RECOGER"),IF('AGOSTO 2026'!Y99&lt;&gt;"",'AGOSTO 2026'!Y99,'AGOSTO 2026'!I99),"")</f>
        <v/>
      </c>
      <c r="C830" s="381">
        <f>IF(AND('AGOSTO 2026'!D99&lt;&gt;"",'AGOSTO 2026'!Z99="POR RECOGER"),'AGOSTO 2026'!D99,"")</f>
        <v/>
      </c>
      <c r="D830" s="381">
        <f>IF(AND('AGOSTO 2026'!D99&lt;&gt;"",'AGOSTO 2026'!Z99="POR RECOGER"),'AGOSTO 2026'!F99,"")</f>
        <v/>
      </c>
      <c r="E830" s="381">
        <f>IF(AND('AGOSTO 2026'!D99&lt;&gt;"",'AGOSTO 2026'!Z99="POR RECOGER"),TEXT('AGOSTO 2026'!G99,"DD/MM/YYYY"),"")</f>
        <v/>
      </c>
      <c r="F830" s="381">
        <f>IF(AND('AGOSTO 2026'!D99&lt;&gt;"",'AGOSTO 2026'!Z99="POR RECOGER"),'AGOSTO 2026'!K99,"")</f>
        <v/>
      </c>
      <c r="G830" s="382">
        <f>IF(AND('AGOSTO 2026'!D99&lt;&gt;"",'AGOSTO 2026'!Z99="POR RECOGER"),'AGOSTO 2026'!M99,"")</f>
        <v/>
      </c>
      <c r="H830" s="382">
        <f>IF(AND('AGOSTO 2026'!D99&lt;&gt;"",'AGOSTO 2026'!Z99="POR RECOGER"),'AGOSTO 2026'!N99,"")</f>
        <v/>
      </c>
      <c r="I830" s="381">
        <f>IF(AND('AGOSTO 2026'!D99&lt;&gt;"",'AGOSTO 2026'!Z99="POR RECOGER"),'AGOSTO 2026'!P99,"")</f>
        <v/>
      </c>
      <c r="J830" s="381">
        <f>IF(AND('AGOSTO 2026'!D99&lt;&gt;"",'AGOSTO 2026'!Z99="POR RECOGER"),'AGOSTO 2026'!Q99,"")</f>
        <v/>
      </c>
      <c r="K830" s="381">
        <f>IF(AND('AGOSTO 2026'!D99&lt;&gt;"",'AGOSTO 2026'!Z99="POR RECOGER"),'AGOSTO 2026'!Y99,"")</f>
        <v/>
      </c>
      <c r="L830" s="381">
        <f>IF(AND('AGOSTO 2026'!D99&lt;&gt;"",'AGOSTO 2026'!Z99="POR RECOGER"),'AGOSTO 2026'!I99,"")</f>
        <v/>
      </c>
      <c r="P830" s="194" t="n"/>
      <c r="Q830" s="194" t="n"/>
      <c r="R830" s="194" t="n"/>
      <c r="S830" s="194" t="n"/>
      <c r="T830" s="194" t="n"/>
      <c r="U830" s="194" t="n"/>
      <c r="V830" s="194" t="n"/>
      <c r="W830" s="194" t="n"/>
      <c r="X830" s="194" t="n"/>
      <c r="Y830" s="194" t="n"/>
      <c r="Z830" s="194" t="n"/>
    </row>
    <row r="831" ht="15" customHeight="1" s="195">
      <c r="A831" s="381">
        <f>IF(AND('AGOSTO 2026'!D100&lt;&gt;"",'AGOSTO 2026'!Z100="POR RECOGER"),"AGO","")</f>
        <v/>
      </c>
      <c r="B831" s="381">
        <f>IF(AND('AGOSTO 2026'!D100&lt;&gt;"",'AGOSTO 2026'!Z100="POR RECOGER"),IF('AGOSTO 2026'!Y100&lt;&gt;"",'AGOSTO 2026'!Y100,'AGOSTO 2026'!I100),"")</f>
        <v/>
      </c>
      <c r="C831" s="381">
        <f>IF(AND('AGOSTO 2026'!D100&lt;&gt;"",'AGOSTO 2026'!Z100="POR RECOGER"),'AGOSTO 2026'!D100,"")</f>
        <v/>
      </c>
      <c r="D831" s="381">
        <f>IF(AND('AGOSTO 2026'!D100&lt;&gt;"",'AGOSTO 2026'!Z100="POR RECOGER"),'AGOSTO 2026'!F100,"")</f>
        <v/>
      </c>
      <c r="E831" s="381">
        <f>IF(AND('AGOSTO 2026'!D100&lt;&gt;"",'AGOSTO 2026'!Z100="POR RECOGER"),TEXT('AGOSTO 2026'!G100,"DD/MM/YYYY"),"")</f>
        <v/>
      </c>
      <c r="F831" s="381">
        <f>IF(AND('AGOSTO 2026'!D100&lt;&gt;"",'AGOSTO 2026'!Z100="POR RECOGER"),'AGOSTO 2026'!K100,"")</f>
        <v/>
      </c>
      <c r="G831" s="382">
        <f>IF(AND('AGOSTO 2026'!D100&lt;&gt;"",'AGOSTO 2026'!Z100="POR RECOGER"),'AGOSTO 2026'!M100,"")</f>
        <v/>
      </c>
      <c r="H831" s="382">
        <f>IF(AND('AGOSTO 2026'!D100&lt;&gt;"",'AGOSTO 2026'!Z100="POR RECOGER"),'AGOSTO 2026'!N100,"")</f>
        <v/>
      </c>
      <c r="I831" s="381">
        <f>IF(AND('AGOSTO 2026'!D100&lt;&gt;"",'AGOSTO 2026'!Z100="POR RECOGER"),'AGOSTO 2026'!P100,"")</f>
        <v/>
      </c>
      <c r="J831" s="381">
        <f>IF(AND('AGOSTO 2026'!D100&lt;&gt;"",'AGOSTO 2026'!Z100="POR RECOGER"),'AGOSTO 2026'!Q100,"")</f>
        <v/>
      </c>
      <c r="K831" s="381">
        <f>IF(AND('AGOSTO 2026'!D100&lt;&gt;"",'AGOSTO 2026'!Z100="POR RECOGER"),'AGOSTO 2026'!Y100,"")</f>
        <v/>
      </c>
      <c r="L831" s="381">
        <f>IF(AND('AGOSTO 2026'!D100&lt;&gt;"",'AGOSTO 2026'!Z100="POR RECOGER"),'AGOSTO 2026'!I100,"")</f>
        <v/>
      </c>
      <c r="P831" s="194" t="n"/>
      <c r="Q831" s="194" t="n"/>
      <c r="R831" s="194" t="n"/>
      <c r="S831" s="194" t="n"/>
      <c r="T831" s="194" t="n"/>
      <c r="U831" s="194" t="n"/>
      <c r="V831" s="194" t="n"/>
      <c r="W831" s="194" t="n"/>
      <c r="X831" s="194" t="n"/>
      <c r="Y831" s="194" t="n"/>
      <c r="Z831" s="194" t="n"/>
    </row>
    <row r="832" ht="15" customHeight="1" s="195">
      <c r="A832" s="381">
        <f>IF(AND('AGOSTO 2026'!D101&lt;&gt;"",'AGOSTO 2026'!Z101="POR RECOGER"),"AGO","")</f>
        <v/>
      </c>
      <c r="B832" s="381">
        <f>IF(AND('AGOSTO 2026'!D101&lt;&gt;"",'AGOSTO 2026'!Z101="POR RECOGER"),IF('AGOSTO 2026'!Y101&lt;&gt;"",'AGOSTO 2026'!Y101,'AGOSTO 2026'!I101),"")</f>
        <v/>
      </c>
      <c r="C832" s="381">
        <f>IF(AND('AGOSTO 2026'!D101&lt;&gt;"",'AGOSTO 2026'!Z101="POR RECOGER"),'AGOSTO 2026'!D101,"")</f>
        <v/>
      </c>
      <c r="D832" s="381">
        <f>IF(AND('AGOSTO 2026'!D101&lt;&gt;"",'AGOSTO 2026'!Z101="POR RECOGER"),'AGOSTO 2026'!F101,"")</f>
        <v/>
      </c>
      <c r="E832" s="381">
        <f>IF(AND('AGOSTO 2026'!D101&lt;&gt;"",'AGOSTO 2026'!Z101="POR RECOGER"),TEXT('AGOSTO 2026'!G101,"DD/MM/YYYY"),"")</f>
        <v/>
      </c>
      <c r="F832" s="381">
        <f>IF(AND('AGOSTO 2026'!D101&lt;&gt;"",'AGOSTO 2026'!Z101="POR RECOGER"),'AGOSTO 2026'!K101,"")</f>
        <v/>
      </c>
      <c r="G832" s="382">
        <f>IF(AND('AGOSTO 2026'!D101&lt;&gt;"",'AGOSTO 2026'!Z101="POR RECOGER"),'AGOSTO 2026'!M101,"")</f>
        <v/>
      </c>
      <c r="H832" s="382">
        <f>IF(AND('AGOSTO 2026'!D101&lt;&gt;"",'AGOSTO 2026'!Z101="POR RECOGER"),'AGOSTO 2026'!N101,"")</f>
        <v/>
      </c>
      <c r="I832" s="381">
        <f>IF(AND('AGOSTO 2026'!D101&lt;&gt;"",'AGOSTO 2026'!Z101="POR RECOGER"),'AGOSTO 2026'!P101,"")</f>
        <v/>
      </c>
      <c r="J832" s="381">
        <f>IF(AND('AGOSTO 2026'!D101&lt;&gt;"",'AGOSTO 2026'!Z101="POR RECOGER"),'AGOSTO 2026'!Q101,"")</f>
        <v/>
      </c>
      <c r="K832" s="381">
        <f>IF(AND('AGOSTO 2026'!D101&lt;&gt;"",'AGOSTO 2026'!Z101="POR RECOGER"),'AGOSTO 2026'!Y101,"")</f>
        <v/>
      </c>
      <c r="L832" s="381">
        <f>IF(AND('AGOSTO 2026'!D101&lt;&gt;"",'AGOSTO 2026'!Z101="POR RECOGER"),'AGOSTO 2026'!I101,"")</f>
        <v/>
      </c>
      <c r="P832" s="194" t="n"/>
      <c r="Q832" s="194" t="n"/>
      <c r="R832" s="194" t="n"/>
      <c r="S832" s="194" t="n"/>
      <c r="T832" s="194" t="n"/>
      <c r="U832" s="194" t="n"/>
      <c r="V832" s="194" t="n"/>
      <c r="W832" s="194" t="n"/>
      <c r="X832" s="194" t="n"/>
      <c r="Y832" s="194" t="n"/>
      <c r="Z832" s="194" t="n"/>
    </row>
    <row r="833" ht="15" customHeight="1" s="195">
      <c r="A833" s="381">
        <f>IF(AND('AGOSTO 2026'!D102&lt;&gt;"",'AGOSTO 2026'!Z102="POR RECOGER"),"AGO","")</f>
        <v/>
      </c>
      <c r="B833" s="381">
        <f>IF(AND('AGOSTO 2026'!D102&lt;&gt;"",'AGOSTO 2026'!Z102="POR RECOGER"),IF('AGOSTO 2026'!Y102&lt;&gt;"",'AGOSTO 2026'!Y102,'AGOSTO 2026'!I102),"")</f>
        <v/>
      </c>
      <c r="C833" s="381">
        <f>IF(AND('AGOSTO 2026'!D102&lt;&gt;"",'AGOSTO 2026'!Z102="POR RECOGER"),'AGOSTO 2026'!D102,"")</f>
        <v/>
      </c>
      <c r="D833" s="381">
        <f>IF(AND('AGOSTO 2026'!D102&lt;&gt;"",'AGOSTO 2026'!Z102="POR RECOGER"),'AGOSTO 2026'!F102,"")</f>
        <v/>
      </c>
      <c r="E833" s="381">
        <f>IF(AND('AGOSTO 2026'!D102&lt;&gt;"",'AGOSTO 2026'!Z102="POR RECOGER"),TEXT('AGOSTO 2026'!G102,"DD/MM/YYYY"),"")</f>
        <v/>
      </c>
      <c r="F833" s="381">
        <f>IF(AND('AGOSTO 2026'!D102&lt;&gt;"",'AGOSTO 2026'!Z102="POR RECOGER"),'AGOSTO 2026'!K102,"")</f>
        <v/>
      </c>
      <c r="G833" s="382">
        <f>IF(AND('AGOSTO 2026'!D102&lt;&gt;"",'AGOSTO 2026'!Z102="POR RECOGER"),'AGOSTO 2026'!M102,"")</f>
        <v/>
      </c>
      <c r="H833" s="382">
        <f>IF(AND('AGOSTO 2026'!D102&lt;&gt;"",'AGOSTO 2026'!Z102="POR RECOGER"),'AGOSTO 2026'!N102,"")</f>
        <v/>
      </c>
      <c r="I833" s="381">
        <f>IF(AND('AGOSTO 2026'!D102&lt;&gt;"",'AGOSTO 2026'!Z102="POR RECOGER"),'AGOSTO 2026'!P102,"")</f>
        <v/>
      </c>
      <c r="J833" s="381">
        <f>IF(AND('AGOSTO 2026'!D102&lt;&gt;"",'AGOSTO 2026'!Z102="POR RECOGER"),'AGOSTO 2026'!Q102,"")</f>
        <v/>
      </c>
      <c r="K833" s="381">
        <f>IF(AND('AGOSTO 2026'!D102&lt;&gt;"",'AGOSTO 2026'!Z102="POR RECOGER"),'AGOSTO 2026'!Y102,"")</f>
        <v/>
      </c>
      <c r="L833" s="381">
        <f>IF(AND('AGOSTO 2026'!D102&lt;&gt;"",'AGOSTO 2026'!Z102="POR RECOGER"),'AGOSTO 2026'!I102,"")</f>
        <v/>
      </c>
      <c r="P833" s="194" t="n"/>
      <c r="Q833" s="194" t="n"/>
      <c r="R833" s="194" t="n"/>
      <c r="S833" s="194" t="n"/>
      <c r="T833" s="194" t="n"/>
      <c r="U833" s="194" t="n"/>
      <c r="V833" s="194" t="n"/>
      <c r="W833" s="194" t="n"/>
      <c r="X833" s="194" t="n"/>
      <c r="Y833" s="194" t="n"/>
      <c r="Z833" s="194" t="n"/>
    </row>
    <row r="834" ht="15" customHeight="1" s="195">
      <c r="A834" s="381">
        <f>IF(AND('AGOSTO 2026'!D103&lt;&gt;"",'AGOSTO 2026'!Z103="POR RECOGER"),"AGO","")</f>
        <v/>
      </c>
      <c r="B834" s="381">
        <f>IF(AND('AGOSTO 2026'!D103&lt;&gt;"",'AGOSTO 2026'!Z103="POR RECOGER"),IF('AGOSTO 2026'!Y103&lt;&gt;"",'AGOSTO 2026'!Y103,'AGOSTO 2026'!I103),"")</f>
        <v/>
      </c>
      <c r="C834" s="381">
        <f>IF(AND('AGOSTO 2026'!D103&lt;&gt;"",'AGOSTO 2026'!Z103="POR RECOGER"),'AGOSTO 2026'!D103,"")</f>
        <v/>
      </c>
      <c r="D834" s="381">
        <f>IF(AND('AGOSTO 2026'!D103&lt;&gt;"",'AGOSTO 2026'!Z103="POR RECOGER"),'AGOSTO 2026'!F103,"")</f>
        <v/>
      </c>
      <c r="E834" s="381">
        <f>IF(AND('AGOSTO 2026'!D103&lt;&gt;"",'AGOSTO 2026'!Z103="POR RECOGER"),TEXT('AGOSTO 2026'!G103,"DD/MM/YYYY"),"")</f>
        <v/>
      </c>
      <c r="F834" s="381">
        <f>IF(AND('AGOSTO 2026'!D103&lt;&gt;"",'AGOSTO 2026'!Z103="POR RECOGER"),'AGOSTO 2026'!K103,"")</f>
        <v/>
      </c>
      <c r="G834" s="382">
        <f>IF(AND('AGOSTO 2026'!D103&lt;&gt;"",'AGOSTO 2026'!Z103="POR RECOGER"),'AGOSTO 2026'!M103,"")</f>
        <v/>
      </c>
      <c r="H834" s="382">
        <f>IF(AND('AGOSTO 2026'!D103&lt;&gt;"",'AGOSTO 2026'!Z103="POR RECOGER"),'AGOSTO 2026'!N103,"")</f>
        <v/>
      </c>
      <c r="I834" s="381">
        <f>IF(AND('AGOSTO 2026'!D103&lt;&gt;"",'AGOSTO 2026'!Z103="POR RECOGER"),'AGOSTO 2026'!P103,"")</f>
        <v/>
      </c>
      <c r="J834" s="381">
        <f>IF(AND('AGOSTO 2026'!D103&lt;&gt;"",'AGOSTO 2026'!Z103="POR RECOGER"),'AGOSTO 2026'!Q103,"")</f>
        <v/>
      </c>
      <c r="K834" s="381">
        <f>IF(AND('AGOSTO 2026'!D103&lt;&gt;"",'AGOSTO 2026'!Z103="POR RECOGER"),'AGOSTO 2026'!Y103,"")</f>
        <v/>
      </c>
      <c r="L834" s="381">
        <f>IF(AND('AGOSTO 2026'!D103&lt;&gt;"",'AGOSTO 2026'!Z103="POR RECOGER"),'AGOSTO 2026'!I103,"")</f>
        <v/>
      </c>
      <c r="P834" s="194" t="n"/>
      <c r="Q834" s="194" t="n"/>
      <c r="R834" s="194" t="n"/>
      <c r="S834" s="194" t="n"/>
      <c r="T834" s="194" t="n"/>
      <c r="U834" s="194" t="n"/>
      <c r="V834" s="194" t="n"/>
      <c r="W834" s="194" t="n"/>
      <c r="X834" s="194" t="n"/>
      <c r="Y834" s="194" t="n"/>
      <c r="Z834" s="194" t="n"/>
    </row>
    <row r="835" ht="15" customHeight="1" s="195">
      <c r="A835" s="381">
        <f>IF(AND('AGOSTO 2026'!D104&lt;&gt;"",'AGOSTO 2026'!Z104="POR RECOGER"),"AGO","")</f>
        <v/>
      </c>
      <c r="B835" s="381">
        <f>IF(AND('AGOSTO 2026'!D104&lt;&gt;"",'AGOSTO 2026'!Z104="POR RECOGER"),IF('AGOSTO 2026'!Y104&lt;&gt;"",'AGOSTO 2026'!Y104,'AGOSTO 2026'!I104),"")</f>
        <v/>
      </c>
      <c r="C835" s="381">
        <f>IF(AND('AGOSTO 2026'!D104&lt;&gt;"",'AGOSTO 2026'!Z104="POR RECOGER"),'AGOSTO 2026'!D104,"")</f>
        <v/>
      </c>
      <c r="D835" s="381">
        <f>IF(AND('AGOSTO 2026'!D104&lt;&gt;"",'AGOSTO 2026'!Z104="POR RECOGER"),'AGOSTO 2026'!F104,"")</f>
        <v/>
      </c>
      <c r="E835" s="381">
        <f>IF(AND('AGOSTO 2026'!D104&lt;&gt;"",'AGOSTO 2026'!Z104="POR RECOGER"),TEXT('AGOSTO 2026'!G104,"DD/MM/YYYY"),"")</f>
        <v/>
      </c>
      <c r="F835" s="381">
        <f>IF(AND('AGOSTO 2026'!D104&lt;&gt;"",'AGOSTO 2026'!Z104="POR RECOGER"),'AGOSTO 2026'!K104,"")</f>
        <v/>
      </c>
      <c r="G835" s="382">
        <f>IF(AND('AGOSTO 2026'!D104&lt;&gt;"",'AGOSTO 2026'!Z104="POR RECOGER"),'AGOSTO 2026'!M104,"")</f>
        <v/>
      </c>
      <c r="H835" s="382">
        <f>IF(AND('AGOSTO 2026'!D104&lt;&gt;"",'AGOSTO 2026'!Z104="POR RECOGER"),'AGOSTO 2026'!N104,"")</f>
        <v/>
      </c>
      <c r="I835" s="381">
        <f>IF(AND('AGOSTO 2026'!D104&lt;&gt;"",'AGOSTO 2026'!Z104="POR RECOGER"),'AGOSTO 2026'!P104,"")</f>
        <v/>
      </c>
      <c r="J835" s="381">
        <f>IF(AND('AGOSTO 2026'!D104&lt;&gt;"",'AGOSTO 2026'!Z104="POR RECOGER"),'AGOSTO 2026'!Q104,"")</f>
        <v/>
      </c>
      <c r="K835" s="381">
        <f>IF(AND('AGOSTO 2026'!D104&lt;&gt;"",'AGOSTO 2026'!Z104="POR RECOGER"),'AGOSTO 2026'!Y104,"")</f>
        <v/>
      </c>
      <c r="L835" s="381">
        <f>IF(AND('AGOSTO 2026'!D104&lt;&gt;"",'AGOSTO 2026'!Z104="POR RECOGER"),'AGOSTO 2026'!I104,"")</f>
        <v/>
      </c>
      <c r="P835" s="194" t="n"/>
      <c r="Q835" s="194" t="n"/>
      <c r="R835" s="194" t="n"/>
      <c r="S835" s="194" t="n"/>
      <c r="T835" s="194" t="n"/>
      <c r="U835" s="194" t="n"/>
      <c r="V835" s="194" t="n"/>
      <c r="W835" s="194" t="n"/>
      <c r="X835" s="194" t="n"/>
      <c r="Y835" s="194" t="n"/>
      <c r="Z835" s="194" t="n"/>
    </row>
    <row r="836" ht="15" customHeight="1" s="195">
      <c r="A836" s="381">
        <f>IF(AND('AGOSTO 2026'!D105&lt;&gt;"",'AGOSTO 2026'!Z105="POR RECOGER"),"AGO","")</f>
        <v/>
      </c>
      <c r="B836" s="381">
        <f>IF(AND('AGOSTO 2026'!D105&lt;&gt;"",'AGOSTO 2026'!Z105="POR RECOGER"),IF('AGOSTO 2026'!Y105&lt;&gt;"",'AGOSTO 2026'!Y105,'AGOSTO 2026'!I105),"")</f>
        <v/>
      </c>
      <c r="C836" s="381">
        <f>IF(AND('AGOSTO 2026'!D105&lt;&gt;"",'AGOSTO 2026'!Z105="POR RECOGER"),'AGOSTO 2026'!D105,"")</f>
        <v/>
      </c>
      <c r="D836" s="381">
        <f>IF(AND('AGOSTO 2026'!D105&lt;&gt;"",'AGOSTO 2026'!Z105="POR RECOGER"),'AGOSTO 2026'!F105,"")</f>
        <v/>
      </c>
      <c r="E836" s="381">
        <f>IF(AND('AGOSTO 2026'!D105&lt;&gt;"",'AGOSTO 2026'!Z105="POR RECOGER"),TEXT('AGOSTO 2026'!G105,"DD/MM/YYYY"),"")</f>
        <v/>
      </c>
      <c r="F836" s="381">
        <f>IF(AND('AGOSTO 2026'!D105&lt;&gt;"",'AGOSTO 2026'!Z105="POR RECOGER"),'AGOSTO 2026'!K105,"")</f>
        <v/>
      </c>
      <c r="G836" s="382">
        <f>IF(AND('AGOSTO 2026'!D105&lt;&gt;"",'AGOSTO 2026'!Z105="POR RECOGER"),'AGOSTO 2026'!M105,"")</f>
        <v/>
      </c>
      <c r="H836" s="382">
        <f>IF(AND('AGOSTO 2026'!D105&lt;&gt;"",'AGOSTO 2026'!Z105="POR RECOGER"),'AGOSTO 2026'!N105,"")</f>
        <v/>
      </c>
      <c r="I836" s="381">
        <f>IF(AND('AGOSTO 2026'!D105&lt;&gt;"",'AGOSTO 2026'!Z105="POR RECOGER"),'AGOSTO 2026'!P105,"")</f>
        <v/>
      </c>
      <c r="J836" s="381">
        <f>IF(AND('AGOSTO 2026'!D105&lt;&gt;"",'AGOSTO 2026'!Z105="POR RECOGER"),'AGOSTO 2026'!Q105,"")</f>
        <v/>
      </c>
      <c r="K836" s="381">
        <f>IF(AND('AGOSTO 2026'!D105&lt;&gt;"",'AGOSTO 2026'!Z105="POR RECOGER"),'AGOSTO 2026'!Y105,"")</f>
        <v/>
      </c>
      <c r="L836" s="381">
        <f>IF(AND('AGOSTO 2026'!D105&lt;&gt;"",'AGOSTO 2026'!Z105="POR RECOGER"),'AGOSTO 2026'!I105,"")</f>
        <v/>
      </c>
      <c r="P836" s="194" t="n"/>
      <c r="Q836" s="194" t="n"/>
      <c r="R836" s="194" t="n"/>
      <c r="S836" s="194" t="n"/>
      <c r="T836" s="194" t="n"/>
      <c r="U836" s="194" t="n"/>
      <c r="V836" s="194" t="n"/>
      <c r="W836" s="194" t="n"/>
      <c r="X836" s="194" t="n"/>
      <c r="Y836" s="194" t="n"/>
      <c r="Z836" s="194" t="n"/>
    </row>
    <row r="837" ht="15" customHeight="1" s="195">
      <c r="A837" s="381">
        <f>IF(AND('AGOSTO 2026'!D106&lt;&gt;"",'AGOSTO 2026'!Z106="POR RECOGER"),"AGO","")</f>
        <v/>
      </c>
      <c r="B837" s="381">
        <f>IF(AND('AGOSTO 2026'!D106&lt;&gt;"",'AGOSTO 2026'!Z106="POR RECOGER"),IF('AGOSTO 2026'!Y106&lt;&gt;"",'AGOSTO 2026'!Y106,'AGOSTO 2026'!I106),"")</f>
        <v/>
      </c>
      <c r="C837" s="381">
        <f>IF(AND('AGOSTO 2026'!D106&lt;&gt;"",'AGOSTO 2026'!Z106="POR RECOGER"),'AGOSTO 2026'!D106,"")</f>
        <v/>
      </c>
      <c r="D837" s="381">
        <f>IF(AND('AGOSTO 2026'!D106&lt;&gt;"",'AGOSTO 2026'!Z106="POR RECOGER"),'AGOSTO 2026'!F106,"")</f>
        <v/>
      </c>
      <c r="E837" s="381">
        <f>IF(AND('AGOSTO 2026'!D106&lt;&gt;"",'AGOSTO 2026'!Z106="POR RECOGER"),TEXT('AGOSTO 2026'!G106,"DD/MM/YYYY"),"")</f>
        <v/>
      </c>
      <c r="F837" s="381">
        <f>IF(AND('AGOSTO 2026'!D106&lt;&gt;"",'AGOSTO 2026'!Z106="POR RECOGER"),'AGOSTO 2026'!K106,"")</f>
        <v/>
      </c>
      <c r="G837" s="382">
        <f>IF(AND('AGOSTO 2026'!D106&lt;&gt;"",'AGOSTO 2026'!Z106="POR RECOGER"),'AGOSTO 2026'!M106,"")</f>
        <v/>
      </c>
      <c r="H837" s="382">
        <f>IF(AND('AGOSTO 2026'!D106&lt;&gt;"",'AGOSTO 2026'!Z106="POR RECOGER"),'AGOSTO 2026'!N106,"")</f>
        <v/>
      </c>
      <c r="I837" s="381">
        <f>IF(AND('AGOSTO 2026'!D106&lt;&gt;"",'AGOSTO 2026'!Z106="POR RECOGER"),'AGOSTO 2026'!P106,"")</f>
        <v/>
      </c>
      <c r="J837" s="381">
        <f>IF(AND('AGOSTO 2026'!D106&lt;&gt;"",'AGOSTO 2026'!Z106="POR RECOGER"),'AGOSTO 2026'!Q106,"")</f>
        <v/>
      </c>
      <c r="K837" s="381">
        <f>IF(AND('AGOSTO 2026'!D106&lt;&gt;"",'AGOSTO 2026'!Z106="POR RECOGER"),'AGOSTO 2026'!Y106,"")</f>
        <v/>
      </c>
      <c r="L837" s="381">
        <f>IF(AND('AGOSTO 2026'!D106&lt;&gt;"",'AGOSTO 2026'!Z106="POR RECOGER"),'AGOSTO 2026'!I106,"")</f>
        <v/>
      </c>
      <c r="P837" s="194" t="n"/>
      <c r="Q837" s="194" t="n"/>
      <c r="R837" s="194" t="n"/>
      <c r="S837" s="194" t="n"/>
      <c r="T837" s="194" t="n"/>
      <c r="U837" s="194" t="n"/>
      <c r="V837" s="194" t="n"/>
      <c r="W837" s="194" t="n"/>
      <c r="X837" s="194" t="n"/>
      <c r="Y837" s="194" t="n"/>
      <c r="Z837" s="194" t="n"/>
    </row>
    <row r="838" ht="15" customHeight="1" s="195">
      <c r="A838" s="381">
        <f>IF(AND('AGOSTO 2026'!D107&lt;&gt;"",'AGOSTO 2026'!Z107="POR RECOGER"),"AGO","")</f>
        <v/>
      </c>
      <c r="B838" s="381">
        <f>IF(AND('AGOSTO 2026'!D107&lt;&gt;"",'AGOSTO 2026'!Z107="POR RECOGER"),IF('AGOSTO 2026'!Y107&lt;&gt;"",'AGOSTO 2026'!Y107,'AGOSTO 2026'!I107),"")</f>
        <v/>
      </c>
      <c r="C838" s="381">
        <f>IF(AND('AGOSTO 2026'!D107&lt;&gt;"",'AGOSTO 2026'!Z107="POR RECOGER"),'AGOSTO 2026'!D107,"")</f>
        <v/>
      </c>
      <c r="D838" s="381">
        <f>IF(AND('AGOSTO 2026'!D107&lt;&gt;"",'AGOSTO 2026'!Z107="POR RECOGER"),'AGOSTO 2026'!F107,"")</f>
        <v/>
      </c>
      <c r="E838" s="381">
        <f>IF(AND('AGOSTO 2026'!D107&lt;&gt;"",'AGOSTO 2026'!Z107="POR RECOGER"),TEXT('AGOSTO 2026'!G107,"DD/MM/YYYY"),"")</f>
        <v/>
      </c>
      <c r="F838" s="381">
        <f>IF(AND('AGOSTO 2026'!D107&lt;&gt;"",'AGOSTO 2026'!Z107="POR RECOGER"),'AGOSTO 2026'!K107,"")</f>
        <v/>
      </c>
      <c r="G838" s="382">
        <f>IF(AND('AGOSTO 2026'!D107&lt;&gt;"",'AGOSTO 2026'!Z107="POR RECOGER"),'AGOSTO 2026'!M107,"")</f>
        <v/>
      </c>
      <c r="H838" s="382">
        <f>IF(AND('AGOSTO 2026'!D107&lt;&gt;"",'AGOSTO 2026'!Z107="POR RECOGER"),'AGOSTO 2026'!N107,"")</f>
        <v/>
      </c>
      <c r="I838" s="381">
        <f>IF(AND('AGOSTO 2026'!D107&lt;&gt;"",'AGOSTO 2026'!Z107="POR RECOGER"),'AGOSTO 2026'!P107,"")</f>
        <v/>
      </c>
      <c r="J838" s="381">
        <f>IF(AND('AGOSTO 2026'!D107&lt;&gt;"",'AGOSTO 2026'!Z107="POR RECOGER"),'AGOSTO 2026'!Q107,"")</f>
        <v/>
      </c>
      <c r="K838" s="381">
        <f>IF(AND('AGOSTO 2026'!D107&lt;&gt;"",'AGOSTO 2026'!Z107="POR RECOGER"),'AGOSTO 2026'!Y107,"")</f>
        <v/>
      </c>
      <c r="L838" s="381">
        <f>IF(AND('AGOSTO 2026'!D107&lt;&gt;"",'AGOSTO 2026'!Z107="POR RECOGER"),'AGOSTO 2026'!I107,"")</f>
        <v/>
      </c>
      <c r="P838" s="194" t="n"/>
      <c r="Q838" s="194" t="n"/>
      <c r="R838" s="194" t="n"/>
      <c r="S838" s="194" t="n"/>
      <c r="T838" s="194" t="n"/>
      <c r="U838" s="194" t="n"/>
      <c r="V838" s="194" t="n"/>
      <c r="W838" s="194" t="n"/>
      <c r="X838" s="194" t="n"/>
      <c r="Y838" s="194" t="n"/>
      <c r="Z838" s="194" t="n"/>
    </row>
    <row r="839" ht="15" customHeight="1" s="195">
      <c r="A839" s="381">
        <f>IF(AND('AGOSTO 2026'!D108&lt;&gt;"",'AGOSTO 2026'!Z108="POR RECOGER"),"AGO","")</f>
        <v/>
      </c>
      <c r="B839" s="381">
        <f>IF(AND('AGOSTO 2026'!D108&lt;&gt;"",'AGOSTO 2026'!Z108="POR RECOGER"),IF('AGOSTO 2026'!Y108&lt;&gt;"",'AGOSTO 2026'!Y108,'AGOSTO 2026'!I108),"")</f>
        <v/>
      </c>
      <c r="C839" s="381">
        <f>IF(AND('AGOSTO 2026'!D108&lt;&gt;"",'AGOSTO 2026'!Z108="POR RECOGER"),'AGOSTO 2026'!D108,"")</f>
        <v/>
      </c>
      <c r="D839" s="381">
        <f>IF(AND('AGOSTO 2026'!D108&lt;&gt;"",'AGOSTO 2026'!Z108="POR RECOGER"),'AGOSTO 2026'!F108,"")</f>
        <v/>
      </c>
      <c r="E839" s="381">
        <f>IF(AND('AGOSTO 2026'!D108&lt;&gt;"",'AGOSTO 2026'!Z108="POR RECOGER"),TEXT('AGOSTO 2026'!G108,"DD/MM/YYYY"),"")</f>
        <v/>
      </c>
      <c r="F839" s="381">
        <f>IF(AND('AGOSTO 2026'!D108&lt;&gt;"",'AGOSTO 2026'!Z108="POR RECOGER"),'AGOSTO 2026'!K108,"")</f>
        <v/>
      </c>
      <c r="G839" s="382">
        <f>IF(AND('AGOSTO 2026'!D108&lt;&gt;"",'AGOSTO 2026'!Z108="POR RECOGER"),'AGOSTO 2026'!M108,"")</f>
        <v/>
      </c>
      <c r="H839" s="382">
        <f>IF(AND('AGOSTO 2026'!D108&lt;&gt;"",'AGOSTO 2026'!Z108="POR RECOGER"),'AGOSTO 2026'!N108,"")</f>
        <v/>
      </c>
      <c r="I839" s="381">
        <f>IF(AND('AGOSTO 2026'!D108&lt;&gt;"",'AGOSTO 2026'!Z108="POR RECOGER"),'AGOSTO 2026'!P108,"")</f>
        <v/>
      </c>
      <c r="J839" s="381">
        <f>IF(AND('AGOSTO 2026'!D108&lt;&gt;"",'AGOSTO 2026'!Z108="POR RECOGER"),'AGOSTO 2026'!Q108,"")</f>
        <v/>
      </c>
      <c r="K839" s="381">
        <f>IF(AND('AGOSTO 2026'!D108&lt;&gt;"",'AGOSTO 2026'!Z108="POR RECOGER"),'AGOSTO 2026'!Y108,"")</f>
        <v/>
      </c>
      <c r="L839" s="381">
        <f>IF(AND('AGOSTO 2026'!D108&lt;&gt;"",'AGOSTO 2026'!Z108="POR RECOGER"),'AGOSTO 2026'!I108,"")</f>
        <v/>
      </c>
      <c r="P839" s="194" t="n"/>
      <c r="Q839" s="194" t="n"/>
      <c r="R839" s="194" t="n"/>
      <c r="S839" s="194" t="n"/>
      <c r="T839" s="194" t="n"/>
      <c r="U839" s="194" t="n"/>
      <c r="V839" s="194" t="n"/>
      <c r="W839" s="194" t="n"/>
      <c r="X839" s="194" t="n"/>
      <c r="Y839" s="194" t="n"/>
      <c r="Z839" s="194" t="n"/>
    </row>
    <row r="840" ht="15" customHeight="1" s="195">
      <c r="A840" s="381">
        <f>IF(AND('AGOSTO 2026'!D109&lt;&gt;"",'AGOSTO 2026'!Z109="POR RECOGER"),"AGO","")</f>
        <v/>
      </c>
      <c r="B840" s="381">
        <f>IF(AND('AGOSTO 2026'!D109&lt;&gt;"",'AGOSTO 2026'!Z109="POR RECOGER"),IF('AGOSTO 2026'!Y109&lt;&gt;"",'AGOSTO 2026'!Y109,'AGOSTO 2026'!I109),"")</f>
        <v/>
      </c>
      <c r="C840" s="381">
        <f>IF(AND('AGOSTO 2026'!D109&lt;&gt;"",'AGOSTO 2026'!Z109="POR RECOGER"),'AGOSTO 2026'!D109,"")</f>
        <v/>
      </c>
      <c r="D840" s="381">
        <f>IF(AND('AGOSTO 2026'!D109&lt;&gt;"",'AGOSTO 2026'!Z109="POR RECOGER"),'AGOSTO 2026'!F109,"")</f>
        <v/>
      </c>
      <c r="E840" s="381">
        <f>IF(AND('AGOSTO 2026'!D109&lt;&gt;"",'AGOSTO 2026'!Z109="POR RECOGER"),TEXT('AGOSTO 2026'!G109,"DD/MM/YYYY"),"")</f>
        <v/>
      </c>
      <c r="F840" s="381">
        <f>IF(AND('AGOSTO 2026'!D109&lt;&gt;"",'AGOSTO 2026'!Z109="POR RECOGER"),'AGOSTO 2026'!K109,"")</f>
        <v/>
      </c>
      <c r="G840" s="382">
        <f>IF(AND('AGOSTO 2026'!D109&lt;&gt;"",'AGOSTO 2026'!Z109="POR RECOGER"),'AGOSTO 2026'!M109,"")</f>
        <v/>
      </c>
      <c r="H840" s="382">
        <f>IF(AND('AGOSTO 2026'!D109&lt;&gt;"",'AGOSTO 2026'!Z109="POR RECOGER"),'AGOSTO 2026'!N109,"")</f>
        <v/>
      </c>
      <c r="I840" s="381">
        <f>IF(AND('AGOSTO 2026'!D109&lt;&gt;"",'AGOSTO 2026'!Z109="POR RECOGER"),'AGOSTO 2026'!P109,"")</f>
        <v/>
      </c>
      <c r="J840" s="381">
        <f>IF(AND('AGOSTO 2026'!D109&lt;&gt;"",'AGOSTO 2026'!Z109="POR RECOGER"),'AGOSTO 2026'!Q109,"")</f>
        <v/>
      </c>
      <c r="K840" s="381">
        <f>IF(AND('AGOSTO 2026'!D109&lt;&gt;"",'AGOSTO 2026'!Z109="POR RECOGER"),'AGOSTO 2026'!Y109,"")</f>
        <v/>
      </c>
      <c r="L840" s="381">
        <f>IF(AND('AGOSTO 2026'!D109&lt;&gt;"",'AGOSTO 2026'!Z109="POR RECOGER"),'AGOSTO 2026'!I109,"")</f>
        <v/>
      </c>
      <c r="P840" s="194" t="n"/>
      <c r="Q840" s="194" t="n"/>
      <c r="R840" s="194" t="n"/>
      <c r="S840" s="194" t="n"/>
      <c r="T840" s="194" t="n"/>
      <c r="U840" s="194" t="n"/>
      <c r="V840" s="194" t="n"/>
      <c r="W840" s="194" t="n"/>
      <c r="X840" s="194" t="n"/>
      <c r="Y840" s="194" t="n"/>
      <c r="Z840" s="194" t="n"/>
    </row>
    <row r="841" ht="15" customHeight="1" s="195">
      <c r="A841" s="381">
        <f>IF(AND('AGOSTO 2026'!D110&lt;&gt;"",'AGOSTO 2026'!Z110="POR RECOGER"),"AGO","")</f>
        <v/>
      </c>
      <c r="B841" s="381">
        <f>IF(AND('AGOSTO 2026'!D110&lt;&gt;"",'AGOSTO 2026'!Z110="POR RECOGER"),IF('AGOSTO 2026'!Y110&lt;&gt;"",'AGOSTO 2026'!Y110,'AGOSTO 2026'!I110),"")</f>
        <v/>
      </c>
      <c r="C841" s="381">
        <f>IF(AND('AGOSTO 2026'!D110&lt;&gt;"",'AGOSTO 2026'!Z110="POR RECOGER"),'AGOSTO 2026'!D110,"")</f>
        <v/>
      </c>
      <c r="D841" s="381">
        <f>IF(AND('AGOSTO 2026'!D110&lt;&gt;"",'AGOSTO 2026'!Z110="POR RECOGER"),'AGOSTO 2026'!F110,"")</f>
        <v/>
      </c>
      <c r="E841" s="381">
        <f>IF(AND('AGOSTO 2026'!D110&lt;&gt;"",'AGOSTO 2026'!Z110="POR RECOGER"),TEXT('AGOSTO 2026'!G110,"DD/MM/YYYY"),"")</f>
        <v/>
      </c>
      <c r="F841" s="381">
        <f>IF(AND('AGOSTO 2026'!D110&lt;&gt;"",'AGOSTO 2026'!Z110="POR RECOGER"),'AGOSTO 2026'!K110,"")</f>
        <v/>
      </c>
      <c r="G841" s="382">
        <f>IF(AND('AGOSTO 2026'!D110&lt;&gt;"",'AGOSTO 2026'!Z110="POR RECOGER"),'AGOSTO 2026'!M110,"")</f>
        <v/>
      </c>
      <c r="H841" s="382">
        <f>IF(AND('AGOSTO 2026'!D110&lt;&gt;"",'AGOSTO 2026'!Z110="POR RECOGER"),'AGOSTO 2026'!N110,"")</f>
        <v/>
      </c>
      <c r="I841" s="381">
        <f>IF(AND('AGOSTO 2026'!D110&lt;&gt;"",'AGOSTO 2026'!Z110="POR RECOGER"),'AGOSTO 2026'!P110,"")</f>
        <v/>
      </c>
      <c r="J841" s="381">
        <f>IF(AND('AGOSTO 2026'!D110&lt;&gt;"",'AGOSTO 2026'!Z110="POR RECOGER"),'AGOSTO 2026'!Q110,"")</f>
        <v/>
      </c>
      <c r="K841" s="381">
        <f>IF(AND('AGOSTO 2026'!D110&lt;&gt;"",'AGOSTO 2026'!Z110="POR RECOGER"),'AGOSTO 2026'!Y110,"")</f>
        <v/>
      </c>
      <c r="L841" s="381">
        <f>IF(AND('AGOSTO 2026'!D110&lt;&gt;"",'AGOSTO 2026'!Z110="POR RECOGER"),'AGOSTO 2026'!I110,"")</f>
        <v/>
      </c>
      <c r="P841" s="194" t="n"/>
      <c r="Q841" s="194" t="n"/>
      <c r="R841" s="194" t="n"/>
      <c r="S841" s="194" t="n"/>
      <c r="T841" s="194" t="n"/>
      <c r="U841" s="194" t="n"/>
      <c r="V841" s="194" t="n"/>
      <c r="W841" s="194" t="n"/>
      <c r="X841" s="194" t="n"/>
      <c r="Y841" s="194" t="n"/>
      <c r="Z841" s="194" t="n"/>
    </row>
    <row r="842" ht="15" customHeight="1" s="195">
      <c r="A842" s="381">
        <f>IF(AND('SETIEMBRE 2026'!D6&lt;&gt;"",'SETIEMBRE 2026'!Z6="POR RECOGER"),"SET","")</f>
        <v/>
      </c>
      <c r="B842" s="381">
        <f>IF(AND('SETIEMBRE 2026'!D6&lt;&gt;"",'SETIEMBRE 2026'!Z6="POR RECOGER"),IF('SETIEMBRE 2026'!Y6&lt;&gt;"",'SETIEMBRE 2026'!Y6,'SETIEMBRE 2026'!I6),"")</f>
        <v/>
      </c>
      <c r="C842" s="381">
        <f>IF(AND('SETIEMBRE 2026'!D6&lt;&gt;"",'SETIEMBRE 2026'!Z6="POR RECOGER"),'SETIEMBRE 2026'!D6,"")</f>
        <v/>
      </c>
      <c r="D842" s="381">
        <f>IF(AND('SETIEMBRE 2026'!D6&lt;&gt;"",'SETIEMBRE 2026'!Z6="POR RECOGER"),'SETIEMBRE 2026'!F6,"")</f>
        <v/>
      </c>
      <c r="E842" s="381">
        <f>IF(AND('SETIEMBRE 2026'!D6&lt;&gt;"",'SETIEMBRE 2026'!Z6="POR RECOGER"),TEXT('SETIEMBRE 2026'!G6,"DD/MM/YYYY"),"")</f>
        <v/>
      </c>
      <c r="F842" s="381">
        <f>IF(AND('SETIEMBRE 2026'!D6&lt;&gt;"",'SETIEMBRE 2026'!Z6="POR RECOGER"),'SETIEMBRE 2026'!K6,"")</f>
        <v/>
      </c>
      <c r="G842" s="382">
        <f>IF(AND('SETIEMBRE 2026'!D6&lt;&gt;"",'SETIEMBRE 2026'!Z6="POR RECOGER"),'SETIEMBRE 2026'!M6,"")</f>
        <v/>
      </c>
      <c r="H842" s="382">
        <f>IF(AND('SETIEMBRE 2026'!D6&lt;&gt;"",'SETIEMBRE 2026'!Z6="POR RECOGER"),'SETIEMBRE 2026'!N6,"")</f>
        <v/>
      </c>
      <c r="I842" s="381">
        <f>IF(AND('SETIEMBRE 2026'!D6&lt;&gt;"",'SETIEMBRE 2026'!Z6="POR RECOGER"),'SETIEMBRE 2026'!P6,"")</f>
        <v/>
      </c>
      <c r="J842" s="381">
        <f>IF(AND('SETIEMBRE 2026'!D6&lt;&gt;"",'SETIEMBRE 2026'!Z6="POR RECOGER"),'SETIEMBRE 2026'!Q6,"")</f>
        <v/>
      </c>
      <c r="K842" s="381">
        <f>IF(AND('SETIEMBRE 2026'!D6&lt;&gt;"",'SETIEMBRE 2026'!Z6="POR RECOGER"),'SETIEMBRE 2026'!Y6,"")</f>
        <v/>
      </c>
      <c r="L842" s="381">
        <f>IF(AND('SETIEMBRE 2026'!D6&lt;&gt;"",'SETIEMBRE 2026'!Z6="POR RECOGER"),'SETIEMBRE 2026'!I6,"")</f>
        <v/>
      </c>
      <c r="P842" s="194" t="n"/>
      <c r="Q842" s="194" t="n"/>
      <c r="R842" s="194" t="n"/>
      <c r="S842" s="194" t="n"/>
      <c r="T842" s="194" t="n"/>
      <c r="U842" s="194" t="n"/>
      <c r="V842" s="194" t="n"/>
      <c r="W842" s="194" t="n"/>
      <c r="X842" s="194" t="n"/>
      <c r="Y842" s="194" t="n"/>
      <c r="Z842" s="194" t="n"/>
    </row>
    <row r="843" ht="15" customHeight="1" s="195">
      <c r="A843" s="381">
        <f>IF(AND('SETIEMBRE 2026'!D7&lt;&gt;"",'SETIEMBRE 2026'!Z7="POR RECOGER"),"SET","")</f>
        <v/>
      </c>
      <c r="B843" s="381">
        <f>IF(AND('SETIEMBRE 2026'!D7&lt;&gt;"",'SETIEMBRE 2026'!Z7="POR RECOGER"),IF('SETIEMBRE 2026'!Y7&lt;&gt;"",'SETIEMBRE 2026'!Y7,'SETIEMBRE 2026'!I7),"")</f>
        <v/>
      </c>
      <c r="C843" s="381">
        <f>IF(AND('SETIEMBRE 2026'!D7&lt;&gt;"",'SETIEMBRE 2026'!Z7="POR RECOGER"),'SETIEMBRE 2026'!D7,"")</f>
        <v/>
      </c>
      <c r="D843" s="381">
        <f>IF(AND('SETIEMBRE 2026'!D7&lt;&gt;"",'SETIEMBRE 2026'!Z7="POR RECOGER"),'SETIEMBRE 2026'!F7,"")</f>
        <v/>
      </c>
      <c r="E843" s="381">
        <f>IF(AND('SETIEMBRE 2026'!D7&lt;&gt;"",'SETIEMBRE 2026'!Z7="POR RECOGER"),TEXT('SETIEMBRE 2026'!G7,"DD/MM/YYYY"),"")</f>
        <v/>
      </c>
      <c r="F843" s="381">
        <f>IF(AND('SETIEMBRE 2026'!D7&lt;&gt;"",'SETIEMBRE 2026'!Z7="POR RECOGER"),'SETIEMBRE 2026'!K7,"")</f>
        <v/>
      </c>
      <c r="G843" s="382">
        <f>IF(AND('SETIEMBRE 2026'!D7&lt;&gt;"",'SETIEMBRE 2026'!Z7="POR RECOGER"),'SETIEMBRE 2026'!M7,"")</f>
        <v/>
      </c>
      <c r="H843" s="382">
        <f>IF(AND('SETIEMBRE 2026'!D7&lt;&gt;"",'SETIEMBRE 2026'!Z7="POR RECOGER"),'SETIEMBRE 2026'!N7,"")</f>
        <v/>
      </c>
      <c r="I843" s="381">
        <f>IF(AND('SETIEMBRE 2026'!D7&lt;&gt;"",'SETIEMBRE 2026'!Z7="POR RECOGER"),'SETIEMBRE 2026'!P7,"")</f>
        <v/>
      </c>
      <c r="J843" s="381">
        <f>IF(AND('SETIEMBRE 2026'!D7&lt;&gt;"",'SETIEMBRE 2026'!Z7="POR RECOGER"),'SETIEMBRE 2026'!Q7,"")</f>
        <v/>
      </c>
      <c r="K843" s="381">
        <f>IF(AND('SETIEMBRE 2026'!D7&lt;&gt;"",'SETIEMBRE 2026'!Z7="POR RECOGER"),'SETIEMBRE 2026'!Y7,"")</f>
        <v/>
      </c>
      <c r="L843" s="381">
        <f>IF(AND('SETIEMBRE 2026'!D7&lt;&gt;"",'SETIEMBRE 2026'!Z7="POR RECOGER"),'SETIEMBRE 2026'!I7,"")</f>
        <v/>
      </c>
      <c r="P843" s="194" t="n"/>
      <c r="Q843" s="194" t="n"/>
      <c r="R843" s="194" t="n"/>
      <c r="S843" s="194" t="n"/>
      <c r="T843" s="194" t="n"/>
      <c r="U843" s="194" t="n"/>
      <c r="V843" s="194" t="n"/>
      <c r="W843" s="194" t="n"/>
      <c r="X843" s="194" t="n"/>
      <c r="Y843" s="194" t="n"/>
      <c r="Z843" s="194" t="n"/>
    </row>
    <row r="844" ht="15" customHeight="1" s="195">
      <c r="A844" s="381">
        <f>IF(AND('SETIEMBRE 2026'!D8&lt;&gt;"",'SETIEMBRE 2026'!Z8="POR RECOGER"),"SET","")</f>
        <v/>
      </c>
      <c r="B844" s="381">
        <f>IF(AND('SETIEMBRE 2026'!D8&lt;&gt;"",'SETIEMBRE 2026'!Z8="POR RECOGER"),IF('SETIEMBRE 2026'!Y8&lt;&gt;"",'SETIEMBRE 2026'!Y8,'SETIEMBRE 2026'!I8),"")</f>
        <v/>
      </c>
      <c r="C844" s="381">
        <f>IF(AND('SETIEMBRE 2026'!D8&lt;&gt;"",'SETIEMBRE 2026'!Z8="POR RECOGER"),'SETIEMBRE 2026'!D8,"")</f>
        <v/>
      </c>
      <c r="D844" s="381">
        <f>IF(AND('SETIEMBRE 2026'!D8&lt;&gt;"",'SETIEMBRE 2026'!Z8="POR RECOGER"),'SETIEMBRE 2026'!F8,"")</f>
        <v/>
      </c>
      <c r="E844" s="381">
        <f>IF(AND('SETIEMBRE 2026'!D8&lt;&gt;"",'SETIEMBRE 2026'!Z8="POR RECOGER"),TEXT('SETIEMBRE 2026'!G8,"DD/MM/YYYY"),"")</f>
        <v/>
      </c>
      <c r="F844" s="381">
        <f>IF(AND('SETIEMBRE 2026'!D8&lt;&gt;"",'SETIEMBRE 2026'!Z8="POR RECOGER"),'SETIEMBRE 2026'!K8,"")</f>
        <v/>
      </c>
      <c r="G844" s="382">
        <f>IF(AND('SETIEMBRE 2026'!D8&lt;&gt;"",'SETIEMBRE 2026'!Z8="POR RECOGER"),'SETIEMBRE 2026'!M8,"")</f>
        <v/>
      </c>
      <c r="H844" s="382">
        <f>IF(AND('SETIEMBRE 2026'!D8&lt;&gt;"",'SETIEMBRE 2026'!Z8="POR RECOGER"),'SETIEMBRE 2026'!N8,"")</f>
        <v/>
      </c>
      <c r="I844" s="381">
        <f>IF(AND('SETIEMBRE 2026'!D8&lt;&gt;"",'SETIEMBRE 2026'!Z8="POR RECOGER"),'SETIEMBRE 2026'!P8,"")</f>
        <v/>
      </c>
      <c r="J844" s="381">
        <f>IF(AND('SETIEMBRE 2026'!D8&lt;&gt;"",'SETIEMBRE 2026'!Z8="POR RECOGER"),'SETIEMBRE 2026'!Q8,"")</f>
        <v/>
      </c>
      <c r="K844" s="381">
        <f>IF(AND('SETIEMBRE 2026'!D8&lt;&gt;"",'SETIEMBRE 2026'!Z8="POR RECOGER"),'SETIEMBRE 2026'!Y8,"")</f>
        <v/>
      </c>
      <c r="L844" s="381">
        <f>IF(AND('SETIEMBRE 2026'!D8&lt;&gt;"",'SETIEMBRE 2026'!Z8="POR RECOGER"),'SETIEMBRE 2026'!I8,"")</f>
        <v/>
      </c>
      <c r="P844" s="194" t="n"/>
      <c r="Q844" s="194" t="n"/>
      <c r="R844" s="194" t="n"/>
      <c r="S844" s="194" t="n"/>
      <c r="T844" s="194" t="n"/>
      <c r="U844" s="194" t="n"/>
      <c r="V844" s="194" t="n"/>
      <c r="W844" s="194" t="n"/>
      <c r="X844" s="194" t="n"/>
      <c r="Y844" s="194" t="n"/>
      <c r="Z844" s="194" t="n"/>
    </row>
    <row r="845" ht="15" customHeight="1" s="195">
      <c r="A845" s="381">
        <f>IF(AND('SETIEMBRE 2026'!D9&lt;&gt;"",'SETIEMBRE 2026'!Z9="POR RECOGER"),"SET","")</f>
        <v/>
      </c>
      <c r="B845" s="381">
        <f>IF(AND('SETIEMBRE 2026'!D9&lt;&gt;"",'SETIEMBRE 2026'!Z9="POR RECOGER"),IF('SETIEMBRE 2026'!Y9&lt;&gt;"",'SETIEMBRE 2026'!Y9,'SETIEMBRE 2026'!I9),"")</f>
        <v/>
      </c>
      <c r="C845" s="381">
        <f>IF(AND('SETIEMBRE 2026'!D9&lt;&gt;"",'SETIEMBRE 2026'!Z9="POR RECOGER"),'SETIEMBRE 2026'!D9,"")</f>
        <v/>
      </c>
      <c r="D845" s="381">
        <f>IF(AND('SETIEMBRE 2026'!D9&lt;&gt;"",'SETIEMBRE 2026'!Z9="POR RECOGER"),'SETIEMBRE 2026'!F9,"")</f>
        <v/>
      </c>
      <c r="E845" s="381">
        <f>IF(AND('SETIEMBRE 2026'!D9&lt;&gt;"",'SETIEMBRE 2026'!Z9="POR RECOGER"),TEXT('SETIEMBRE 2026'!G9,"DD/MM/YYYY"),"")</f>
        <v/>
      </c>
      <c r="F845" s="381">
        <f>IF(AND('SETIEMBRE 2026'!D9&lt;&gt;"",'SETIEMBRE 2026'!Z9="POR RECOGER"),'SETIEMBRE 2026'!K9,"")</f>
        <v/>
      </c>
      <c r="G845" s="382">
        <f>IF(AND('SETIEMBRE 2026'!D9&lt;&gt;"",'SETIEMBRE 2026'!Z9="POR RECOGER"),'SETIEMBRE 2026'!M9,"")</f>
        <v/>
      </c>
      <c r="H845" s="382">
        <f>IF(AND('SETIEMBRE 2026'!D9&lt;&gt;"",'SETIEMBRE 2026'!Z9="POR RECOGER"),'SETIEMBRE 2026'!N9,"")</f>
        <v/>
      </c>
      <c r="I845" s="381">
        <f>IF(AND('SETIEMBRE 2026'!D9&lt;&gt;"",'SETIEMBRE 2026'!Z9="POR RECOGER"),'SETIEMBRE 2026'!P9,"")</f>
        <v/>
      </c>
      <c r="J845" s="381">
        <f>IF(AND('SETIEMBRE 2026'!D9&lt;&gt;"",'SETIEMBRE 2026'!Z9="POR RECOGER"),'SETIEMBRE 2026'!Q9,"")</f>
        <v/>
      </c>
      <c r="K845" s="381">
        <f>IF(AND('SETIEMBRE 2026'!D9&lt;&gt;"",'SETIEMBRE 2026'!Z9="POR RECOGER"),'SETIEMBRE 2026'!Y9,"")</f>
        <v/>
      </c>
      <c r="L845" s="381">
        <f>IF(AND('SETIEMBRE 2026'!D9&lt;&gt;"",'SETIEMBRE 2026'!Z9="POR RECOGER"),'SETIEMBRE 2026'!I9,"")</f>
        <v/>
      </c>
      <c r="P845" s="194" t="n"/>
      <c r="Q845" s="194" t="n"/>
      <c r="R845" s="194" t="n"/>
      <c r="S845" s="194" t="n"/>
      <c r="T845" s="194" t="n"/>
      <c r="U845" s="194" t="n"/>
      <c r="V845" s="194" t="n"/>
      <c r="W845" s="194" t="n"/>
      <c r="X845" s="194" t="n"/>
      <c r="Y845" s="194" t="n"/>
      <c r="Z845" s="194" t="n"/>
    </row>
    <row r="846" ht="15" customHeight="1" s="195">
      <c r="A846" s="381">
        <f>IF(AND('SETIEMBRE 2026'!D10&lt;&gt;"",'SETIEMBRE 2026'!Z10="POR RECOGER"),"SET","")</f>
        <v/>
      </c>
      <c r="B846" s="381">
        <f>IF(AND('SETIEMBRE 2026'!D10&lt;&gt;"",'SETIEMBRE 2026'!Z10="POR RECOGER"),IF('SETIEMBRE 2026'!Y10&lt;&gt;"",'SETIEMBRE 2026'!Y10,'SETIEMBRE 2026'!I10),"")</f>
        <v/>
      </c>
      <c r="C846" s="381">
        <f>IF(AND('SETIEMBRE 2026'!D10&lt;&gt;"",'SETIEMBRE 2026'!Z10="POR RECOGER"),'SETIEMBRE 2026'!D10,"")</f>
        <v/>
      </c>
      <c r="D846" s="381">
        <f>IF(AND('SETIEMBRE 2026'!D10&lt;&gt;"",'SETIEMBRE 2026'!Z10="POR RECOGER"),'SETIEMBRE 2026'!F10,"")</f>
        <v/>
      </c>
      <c r="E846" s="381">
        <f>IF(AND('SETIEMBRE 2026'!D10&lt;&gt;"",'SETIEMBRE 2026'!Z10="POR RECOGER"),TEXT('SETIEMBRE 2026'!G10,"DD/MM/YYYY"),"")</f>
        <v/>
      </c>
      <c r="F846" s="381">
        <f>IF(AND('SETIEMBRE 2026'!D10&lt;&gt;"",'SETIEMBRE 2026'!Z10="POR RECOGER"),'SETIEMBRE 2026'!K10,"")</f>
        <v/>
      </c>
      <c r="G846" s="382">
        <f>IF(AND('SETIEMBRE 2026'!D10&lt;&gt;"",'SETIEMBRE 2026'!Z10="POR RECOGER"),'SETIEMBRE 2026'!M10,"")</f>
        <v/>
      </c>
      <c r="H846" s="382">
        <f>IF(AND('SETIEMBRE 2026'!D10&lt;&gt;"",'SETIEMBRE 2026'!Z10="POR RECOGER"),'SETIEMBRE 2026'!N10,"")</f>
        <v/>
      </c>
      <c r="I846" s="381">
        <f>IF(AND('SETIEMBRE 2026'!D10&lt;&gt;"",'SETIEMBRE 2026'!Z10="POR RECOGER"),'SETIEMBRE 2026'!P10,"")</f>
        <v/>
      </c>
      <c r="J846" s="381">
        <f>IF(AND('SETIEMBRE 2026'!D10&lt;&gt;"",'SETIEMBRE 2026'!Z10="POR RECOGER"),'SETIEMBRE 2026'!Q10,"")</f>
        <v/>
      </c>
      <c r="K846" s="381">
        <f>IF(AND('SETIEMBRE 2026'!D10&lt;&gt;"",'SETIEMBRE 2026'!Z10="POR RECOGER"),'SETIEMBRE 2026'!Y10,"")</f>
        <v/>
      </c>
      <c r="L846" s="381">
        <f>IF(AND('SETIEMBRE 2026'!D10&lt;&gt;"",'SETIEMBRE 2026'!Z10="POR RECOGER"),'SETIEMBRE 2026'!I10,"")</f>
        <v/>
      </c>
      <c r="P846" s="194" t="n"/>
      <c r="Q846" s="194" t="n"/>
      <c r="R846" s="194" t="n"/>
      <c r="S846" s="194" t="n"/>
      <c r="T846" s="194" t="n"/>
      <c r="U846" s="194" t="n"/>
      <c r="V846" s="194" t="n"/>
      <c r="W846" s="194" t="n"/>
      <c r="X846" s="194" t="n"/>
      <c r="Y846" s="194" t="n"/>
      <c r="Z846" s="194" t="n"/>
    </row>
    <row r="847" ht="15" customHeight="1" s="195">
      <c r="A847" s="381">
        <f>IF(AND('SETIEMBRE 2026'!D11&lt;&gt;"",'SETIEMBRE 2026'!Z11="POR RECOGER"),"SET","")</f>
        <v/>
      </c>
      <c r="B847" s="381">
        <f>IF(AND('SETIEMBRE 2026'!D11&lt;&gt;"",'SETIEMBRE 2026'!Z11="POR RECOGER"),IF('SETIEMBRE 2026'!Y11&lt;&gt;"",'SETIEMBRE 2026'!Y11,'SETIEMBRE 2026'!I11),"")</f>
        <v/>
      </c>
      <c r="C847" s="381">
        <f>IF(AND('SETIEMBRE 2026'!D11&lt;&gt;"",'SETIEMBRE 2026'!Z11="POR RECOGER"),'SETIEMBRE 2026'!D11,"")</f>
        <v/>
      </c>
      <c r="D847" s="381">
        <f>IF(AND('SETIEMBRE 2026'!D11&lt;&gt;"",'SETIEMBRE 2026'!Z11="POR RECOGER"),'SETIEMBRE 2026'!F11,"")</f>
        <v/>
      </c>
      <c r="E847" s="381">
        <f>IF(AND('SETIEMBRE 2026'!D11&lt;&gt;"",'SETIEMBRE 2026'!Z11="POR RECOGER"),TEXT('SETIEMBRE 2026'!G11,"DD/MM/YYYY"),"")</f>
        <v/>
      </c>
      <c r="F847" s="381">
        <f>IF(AND('SETIEMBRE 2026'!D11&lt;&gt;"",'SETIEMBRE 2026'!Z11="POR RECOGER"),'SETIEMBRE 2026'!K11,"")</f>
        <v/>
      </c>
      <c r="G847" s="382">
        <f>IF(AND('SETIEMBRE 2026'!D11&lt;&gt;"",'SETIEMBRE 2026'!Z11="POR RECOGER"),'SETIEMBRE 2026'!M11,"")</f>
        <v/>
      </c>
      <c r="H847" s="382">
        <f>IF(AND('SETIEMBRE 2026'!D11&lt;&gt;"",'SETIEMBRE 2026'!Z11="POR RECOGER"),'SETIEMBRE 2026'!N11,"")</f>
        <v/>
      </c>
      <c r="I847" s="381">
        <f>IF(AND('SETIEMBRE 2026'!D11&lt;&gt;"",'SETIEMBRE 2026'!Z11="POR RECOGER"),'SETIEMBRE 2026'!P11,"")</f>
        <v/>
      </c>
      <c r="J847" s="381">
        <f>IF(AND('SETIEMBRE 2026'!D11&lt;&gt;"",'SETIEMBRE 2026'!Z11="POR RECOGER"),'SETIEMBRE 2026'!Q11,"")</f>
        <v/>
      </c>
      <c r="K847" s="381">
        <f>IF(AND('SETIEMBRE 2026'!D11&lt;&gt;"",'SETIEMBRE 2026'!Z11="POR RECOGER"),'SETIEMBRE 2026'!Y11,"")</f>
        <v/>
      </c>
      <c r="L847" s="381">
        <f>IF(AND('SETIEMBRE 2026'!D11&lt;&gt;"",'SETIEMBRE 2026'!Z11="POR RECOGER"),'SETIEMBRE 2026'!I11,"")</f>
        <v/>
      </c>
      <c r="P847" s="194" t="n"/>
      <c r="Q847" s="194" t="n"/>
      <c r="R847" s="194" t="n"/>
      <c r="S847" s="194" t="n"/>
      <c r="T847" s="194" t="n"/>
      <c r="U847" s="194" t="n"/>
      <c r="V847" s="194" t="n"/>
      <c r="W847" s="194" t="n"/>
      <c r="X847" s="194" t="n"/>
      <c r="Y847" s="194" t="n"/>
      <c r="Z847" s="194" t="n"/>
    </row>
    <row r="848" ht="15" customHeight="1" s="195">
      <c r="A848" s="381">
        <f>IF(AND('SETIEMBRE 2026'!D12&lt;&gt;"",'SETIEMBRE 2026'!Z12="POR RECOGER"),"SET","")</f>
        <v/>
      </c>
      <c r="B848" s="381">
        <f>IF(AND('SETIEMBRE 2026'!D12&lt;&gt;"",'SETIEMBRE 2026'!Z12="POR RECOGER"),IF('SETIEMBRE 2026'!Y12&lt;&gt;"",'SETIEMBRE 2026'!Y12,'SETIEMBRE 2026'!I12),"")</f>
        <v/>
      </c>
      <c r="C848" s="381">
        <f>IF(AND('SETIEMBRE 2026'!D12&lt;&gt;"",'SETIEMBRE 2026'!Z12="POR RECOGER"),'SETIEMBRE 2026'!D12,"")</f>
        <v/>
      </c>
      <c r="D848" s="381">
        <f>IF(AND('SETIEMBRE 2026'!D12&lt;&gt;"",'SETIEMBRE 2026'!Z12="POR RECOGER"),'SETIEMBRE 2026'!F12,"")</f>
        <v/>
      </c>
      <c r="E848" s="381">
        <f>IF(AND('SETIEMBRE 2026'!D12&lt;&gt;"",'SETIEMBRE 2026'!Z12="POR RECOGER"),TEXT('SETIEMBRE 2026'!G12,"DD/MM/YYYY"),"")</f>
        <v/>
      </c>
      <c r="F848" s="381">
        <f>IF(AND('SETIEMBRE 2026'!D12&lt;&gt;"",'SETIEMBRE 2026'!Z12="POR RECOGER"),'SETIEMBRE 2026'!K12,"")</f>
        <v/>
      </c>
      <c r="G848" s="382">
        <f>IF(AND('SETIEMBRE 2026'!D12&lt;&gt;"",'SETIEMBRE 2026'!Z12="POR RECOGER"),'SETIEMBRE 2026'!M12,"")</f>
        <v/>
      </c>
      <c r="H848" s="382">
        <f>IF(AND('SETIEMBRE 2026'!D12&lt;&gt;"",'SETIEMBRE 2026'!Z12="POR RECOGER"),'SETIEMBRE 2026'!N12,"")</f>
        <v/>
      </c>
      <c r="I848" s="381">
        <f>IF(AND('SETIEMBRE 2026'!D12&lt;&gt;"",'SETIEMBRE 2026'!Z12="POR RECOGER"),'SETIEMBRE 2026'!P12,"")</f>
        <v/>
      </c>
      <c r="J848" s="381">
        <f>IF(AND('SETIEMBRE 2026'!D12&lt;&gt;"",'SETIEMBRE 2026'!Z12="POR RECOGER"),'SETIEMBRE 2026'!Q12,"")</f>
        <v/>
      </c>
      <c r="K848" s="381">
        <f>IF(AND('SETIEMBRE 2026'!D12&lt;&gt;"",'SETIEMBRE 2026'!Z12="POR RECOGER"),'SETIEMBRE 2026'!Y12,"")</f>
        <v/>
      </c>
      <c r="L848" s="381">
        <f>IF(AND('SETIEMBRE 2026'!D12&lt;&gt;"",'SETIEMBRE 2026'!Z12="POR RECOGER"),'SETIEMBRE 2026'!I12,"")</f>
        <v/>
      </c>
      <c r="P848" s="194" t="n"/>
      <c r="Q848" s="194" t="n"/>
      <c r="R848" s="194" t="n"/>
      <c r="S848" s="194" t="n"/>
      <c r="T848" s="194" t="n"/>
      <c r="U848" s="194" t="n"/>
      <c r="V848" s="194" t="n"/>
      <c r="W848" s="194" t="n"/>
      <c r="X848" s="194" t="n"/>
      <c r="Y848" s="194" t="n"/>
      <c r="Z848" s="194" t="n"/>
    </row>
    <row r="849" ht="15" customHeight="1" s="195">
      <c r="A849" s="381">
        <f>IF(AND('SETIEMBRE 2026'!D13&lt;&gt;"",'SETIEMBRE 2026'!Z13="POR RECOGER"),"SET","")</f>
        <v/>
      </c>
      <c r="B849" s="381">
        <f>IF(AND('SETIEMBRE 2026'!D13&lt;&gt;"",'SETIEMBRE 2026'!Z13="POR RECOGER"),IF('SETIEMBRE 2026'!Y13&lt;&gt;"",'SETIEMBRE 2026'!Y13,'SETIEMBRE 2026'!I13),"")</f>
        <v/>
      </c>
      <c r="C849" s="381">
        <f>IF(AND('SETIEMBRE 2026'!D13&lt;&gt;"",'SETIEMBRE 2026'!Z13="POR RECOGER"),'SETIEMBRE 2026'!D13,"")</f>
        <v/>
      </c>
      <c r="D849" s="381">
        <f>IF(AND('SETIEMBRE 2026'!D13&lt;&gt;"",'SETIEMBRE 2026'!Z13="POR RECOGER"),'SETIEMBRE 2026'!F13,"")</f>
        <v/>
      </c>
      <c r="E849" s="381">
        <f>IF(AND('SETIEMBRE 2026'!D13&lt;&gt;"",'SETIEMBRE 2026'!Z13="POR RECOGER"),TEXT('SETIEMBRE 2026'!G13,"DD/MM/YYYY"),"")</f>
        <v/>
      </c>
      <c r="F849" s="381">
        <f>IF(AND('SETIEMBRE 2026'!D13&lt;&gt;"",'SETIEMBRE 2026'!Z13="POR RECOGER"),'SETIEMBRE 2026'!K13,"")</f>
        <v/>
      </c>
      <c r="G849" s="382">
        <f>IF(AND('SETIEMBRE 2026'!D13&lt;&gt;"",'SETIEMBRE 2026'!Z13="POR RECOGER"),'SETIEMBRE 2026'!M13,"")</f>
        <v/>
      </c>
      <c r="H849" s="382">
        <f>IF(AND('SETIEMBRE 2026'!D13&lt;&gt;"",'SETIEMBRE 2026'!Z13="POR RECOGER"),'SETIEMBRE 2026'!N13,"")</f>
        <v/>
      </c>
      <c r="I849" s="381">
        <f>IF(AND('SETIEMBRE 2026'!D13&lt;&gt;"",'SETIEMBRE 2026'!Z13="POR RECOGER"),'SETIEMBRE 2026'!P13,"")</f>
        <v/>
      </c>
      <c r="J849" s="381">
        <f>IF(AND('SETIEMBRE 2026'!D13&lt;&gt;"",'SETIEMBRE 2026'!Z13="POR RECOGER"),'SETIEMBRE 2026'!Q13,"")</f>
        <v/>
      </c>
      <c r="K849" s="381">
        <f>IF(AND('SETIEMBRE 2026'!D13&lt;&gt;"",'SETIEMBRE 2026'!Z13="POR RECOGER"),'SETIEMBRE 2026'!Y13,"")</f>
        <v/>
      </c>
      <c r="L849" s="381">
        <f>IF(AND('SETIEMBRE 2026'!D13&lt;&gt;"",'SETIEMBRE 2026'!Z13="POR RECOGER"),'SETIEMBRE 2026'!I13,"")</f>
        <v/>
      </c>
      <c r="P849" s="194" t="n"/>
      <c r="Q849" s="194" t="n"/>
      <c r="R849" s="194" t="n"/>
      <c r="S849" s="194" t="n"/>
      <c r="T849" s="194" t="n"/>
      <c r="U849" s="194" t="n"/>
      <c r="V849" s="194" t="n"/>
      <c r="W849" s="194" t="n"/>
      <c r="X849" s="194" t="n"/>
      <c r="Y849" s="194" t="n"/>
      <c r="Z849" s="194" t="n"/>
    </row>
    <row r="850" ht="15" customHeight="1" s="195">
      <c r="A850" s="381">
        <f>IF(AND('SETIEMBRE 2026'!D14&lt;&gt;"",'SETIEMBRE 2026'!Z14="POR RECOGER"),"SET","")</f>
        <v/>
      </c>
      <c r="B850" s="381">
        <f>IF(AND('SETIEMBRE 2026'!D14&lt;&gt;"",'SETIEMBRE 2026'!Z14="POR RECOGER"),IF('SETIEMBRE 2026'!Y14&lt;&gt;"",'SETIEMBRE 2026'!Y14,'SETIEMBRE 2026'!I14),"")</f>
        <v/>
      </c>
      <c r="C850" s="381">
        <f>IF(AND('SETIEMBRE 2026'!D14&lt;&gt;"",'SETIEMBRE 2026'!Z14="POR RECOGER"),'SETIEMBRE 2026'!D14,"")</f>
        <v/>
      </c>
      <c r="D850" s="381">
        <f>IF(AND('SETIEMBRE 2026'!D14&lt;&gt;"",'SETIEMBRE 2026'!Z14="POR RECOGER"),'SETIEMBRE 2026'!F14,"")</f>
        <v/>
      </c>
      <c r="E850" s="381">
        <f>IF(AND('SETIEMBRE 2026'!D14&lt;&gt;"",'SETIEMBRE 2026'!Z14="POR RECOGER"),TEXT('SETIEMBRE 2026'!G14,"DD/MM/YYYY"),"")</f>
        <v/>
      </c>
      <c r="F850" s="381">
        <f>IF(AND('SETIEMBRE 2026'!D14&lt;&gt;"",'SETIEMBRE 2026'!Z14="POR RECOGER"),'SETIEMBRE 2026'!K14,"")</f>
        <v/>
      </c>
      <c r="G850" s="382">
        <f>IF(AND('SETIEMBRE 2026'!D14&lt;&gt;"",'SETIEMBRE 2026'!Z14="POR RECOGER"),'SETIEMBRE 2026'!M14,"")</f>
        <v/>
      </c>
      <c r="H850" s="382">
        <f>IF(AND('SETIEMBRE 2026'!D14&lt;&gt;"",'SETIEMBRE 2026'!Z14="POR RECOGER"),'SETIEMBRE 2026'!N14,"")</f>
        <v/>
      </c>
      <c r="I850" s="381">
        <f>IF(AND('SETIEMBRE 2026'!D14&lt;&gt;"",'SETIEMBRE 2026'!Z14="POR RECOGER"),'SETIEMBRE 2026'!P14,"")</f>
        <v/>
      </c>
      <c r="J850" s="381">
        <f>IF(AND('SETIEMBRE 2026'!D14&lt;&gt;"",'SETIEMBRE 2026'!Z14="POR RECOGER"),'SETIEMBRE 2026'!Q14,"")</f>
        <v/>
      </c>
      <c r="K850" s="381">
        <f>IF(AND('SETIEMBRE 2026'!D14&lt;&gt;"",'SETIEMBRE 2026'!Z14="POR RECOGER"),'SETIEMBRE 2026'!Y14,"")</f>
        <v/>
      </c>
      <c r="L850" s="381">
        <f>IF(AND('SETIEMBRE 2026'!D14&lt;&gt;"",'SETIEMBRE 2026'!Z14="POR RECOGER"),'SETIEMBRE 2026'!I14,"")</f>
        <v/>
      </c>
      <c r="P850" s="194" t="n"/>
      <c r="Q850" s="194" t="n"/>
      <c r="R850" s="194" t="n"/>
      <c r="S850" s="194" t="n"/>
      <c r="T850" s="194" t="n"/>
      <c r="U850" s="194" t="n"/>
      <c r="V850" s="194" t="n"/>
      <c r="W850" s="194" t="n"/>
      <c r="X850" s="194" t="n"/>
      <c r="Y850" s="194" t="n"/>
      <c r="Z850" s="194" t="n"/>
    </row>
    <row r="851" ht="15" customHeight="1" s="195">
      <c r="A851" s="381">
        <f>IF(AND('SETIEMBRE 2026'!D15&lt;&gt;"",'SETIEMBRE 2026'!Z15="POR RECOGER"),"SET","")</f>
        <v/>
      </c>
      <c r="B851" s="381">
        <f>IF(AND('SETIEMBRE 2026'!D15&lt;&gt;"",'SETIEMBRE 2026'!Z15="POR RECOGER"),IF('SETIEMBRE 2026'!Y15&lt;&gt;"",'SETIEMBRE 2026'!Y15,'SETIEMBRE 2026'!I15),"")</f>
        <v/>
      </c>
      <c r="C851" s="381">
        <f>IF(AND('SETIEMBRE 2026'!D15&lt;&gt;"",'SETIEMBRE 2026'!Z15="POR RECOGER"),'SETIEMBRE 2026'!D15,"")</f>
        <v/>
      </c>
      <c r="D851" s="381">
        <f>IF(AND('SETIEMBRE 2026'!D15&lt;&gt;"",'SETIEMBRE 2026'!Z15="POR RECOGER"),'SETIEMBRE 2026'!F15,"")</f>
        <v/>
      </c>
      <c r="E851" s="381">
        <f>IF(AND('SETIEMBRE 2026'!D15&lt;&gt;"",'SETIEMBRE 2026'!Z15="POR RECOGER"),TEXT('SETIEMBRE 2026'!G15,"DD/MM/YYYY"),"")</f>
        <v/>
      </c>
      <c r="F851" s="381">
        <f>IF(AND('SETIEMBRE 2026'!D15&lt;&gt;"",'SETIEMBRE 2026'!Z15="POR RECOGER"),'SETIEMBRE 2026'!K15,"")</f>
        <v/>
      </c>
      <c r="G851" s="382">
        <f>IF(AND('SETIEMBRE 2026'!D15&lt;&gt;"",'SETIEMBRE 2026'!Z15="POR RECOGER"),'SETIEMBRE 2026'!M15,"")</f>
        <v/>
      </c>
      <c r="H851" s="382">
        <f>IF(AND('SETIEMBRE 2026'!D15&lt;&gt;"",'SETIEMBRE 2026'!Z15="POR RECOGER"),'SETIEMBRE 2026'!N15,"")</f>
        <v/>
      </c>
      <c r="I851" s="381">
        <f>IF(AND('SETIEMBRE 2026'!D15&lt;&gt;"",'SETIEMBRE 2026'!Z15="POR RECOGER"),'SETIEMBRE 2026'!P15,"")</f>
        <v/>
      </c>
      <c r="J851" s="381">
        <f>IF(AND('SETIEMBRE 2026'!D15&lt;&gt;"",'SETIEMBRE 2026'!Z15="POR RECOGER"),'SETIEMBRE 2026'!Q15,"")</f>
        <v/>
      </c>
      <c r="K851" s="381">
        <f>IF(AND('SETIEMBRE 2026'!D15&lt;&gt;"",'SETIEMBRE 2026'!Z15="POR RECOGER"),'SETIEMBRE 2026'!Y15,"")</f>
        <v/>
      </c>
      <c r="L851" s="381">
        <f>IF(AND('SETIEMBRE 2026'!D15&lt;&gt;"",'SETIEMBRE 2026'!Z15="POR RECOGER"),'SETIEMBRE 2026'!I15,"")</f>
        <v/>
      </c>
      <c r="P851" s="194" t="n"/>
      <c r="Q851" s="194" t="n"/>
      <c r="R851" s="194" t="n"/>
      <c r="S851" s="194" t="n"/>
      <c r="T851" s="194" t="n"/>
      <c r="U851" s="194" t="n"/>
      <c r="V851" s="194" t="n"/>
      <c r="W851" s="194" t="n"/>
      <c r="X851" s="194" t="n"/>
      <c r="Y851" s="194" t="n"/>
      <c r="Z851" s="194" t="n"/>
    </row>
    <row r="852" ht="15" customHeight="1" s="195">
      <c r="A852" s="381">
        <f>IF(AND('SETIEMBRE 2026'!D16&lt;&gt;"",'SETIEMBRE 2026'!Z16="POR RECOGER"),"SET","")</f>
        <v/>
      </c>
      <c r="B852" s="381">
        <f>IF(AND('SETIEMBRE 2026'!D16&lt;&gt;"",'SETIEMBRE 2026'!Z16="POR RECOGER"),IF('SETIEMBRE 2026'!Y16&lt;&gt;"",'SETIEMBRE 2026'!Y16,'SETIEMBRE 2026'!I16),"")</f>
        <v/>
      </c>
      <c r="C852" s="381">
        <f>IF(AND('SETIEMBRE 2026'!D16&lt;&gt;"",'SETIEMBRE 2026'!Z16="POR RECOGER"),'SETIEMBRE 2026'!D16,"")</f>
        <v/>
      </c>
      <c r="D852" s="381">
        <f>IF(AND('SETIEMBRE 2026'!D16&lt;&gt;"",'SETIEMBRE 2026'!Z16="POR RECOGER"),'SETIEMBRE 2026'!F16,"")</f>
        <v/>
      </c>
      <c r="E852" s="381">
        <f>IF(AND('SETIEMBRE 2026'!D16&lt;&gt;"",'SETIEMBRE 2026'!Z16="POR RECOGER"),TEXT('SETIEMBRE 2026'!G16,"DD/MM/YYYY"),"")</f>
        <v/>
      </c>
      <c r="F852" s="381">
        <f>IF(AND('SETIEMBRE 2026'!D16&lt;&gt;"",'SETIEMBRE 2026'!Z16="POR RECOGER"),'SETIEMBRE 2026'!K16,"")</f>
        <v/>
      </c>
      <c r="G852" s="382">
        <f>IF(AND('SETIEMBRE 2026'!D16&lt;&gt;"",'SETIEMBRE 2026'!Z16="POR RECOGER"),'SETIEMBRE 2026'!M16,"")</f>
        <v/>
      </c>
      <c r="H852" s="382">
        <f>IF(AND('SETIEMBRE 2026'!D16&lt;&gt;"",'SETIEMBRE 2026'!Z16="POR RECOGER"),'SETIEMBRE 2026'!N16,"")</f>
        <v/>
      </c>
      <c r="I852" s="381">
        <f>IF(AND('SETIEMBRE 2026'!D16&lt;&gt;"",'SETIEMBRE 2026'!Z16="POR RECOGER"),'SETIEMBRE 2026'!P16,"")</f>
        <v/>
      </c>
      <c r="J852" s="381">
        <f>IF(AND('SETIEMBRE 2026'!D16&lt;&gt;"",'SETIEMBRE 2026'!Z16="POR RECOGER"),'SETIEMBRE 2026'!Q16,"")</f>
        <v/>
      </c>
      <c r="K852" s="381">
        <f>IF(AND('SETIEMBRE 2026'!D16&lt;&gt;"",'SETIEMBRE 2026'!Z16="POR RECOGER"),'SETIEMBRE 2026'!Y16,"")</f>
        <v/>
      </c>
      <c r="L852" s="381">
        <f>IF(AND('SETIEMBRE 2026'!D16&lt;&gt;"",'SETIEMBRE 2026'!Z16="POR RECOGER"),'SETIEMBRE 2026'!I16,"")</f>
        <v/>
      </c>
      <c r="P852" s="194" t="n"/>
      <c r="Q852" s="194" t="n"/>
      <c r="R852" s="194" t="n"/>
      <c r="S852" s="194" t="n"/>
      <c r="T852" s="194" t="n"/>
      <c r="U852" s="194" t="n"/>
      <c r="V852" s="194" t="n"/>
      <c r="W852" s="194" t="n"/>
      <c r="X852" s="194" t="n"/>
      <c r="Y852" s="194" t="n"/>
      <c r="Z852" s="194" t="n"/>
    </row>
    <row r="853" ht="15" customHeight="1" s="195">
      <c r="A853" s="381">
        <f>IF(AND('SETIEMBRE 2026'!D17&lt;&gt;"",'SETIEMBRE 2026'!Z17="POR RECOGER"),"SET","")</f>
        <v/>
      </c>
      <c r="B853" s="381">
        <f>IF(AND('SETIEMBRE 2026'!D17&lt;&gt;"",'SETIEMBRE 2026'!Z17="POR RECOGER"),IF('SETIEMBRE 2026'!Y17&lt;&gt;"",'SETIEMBRE 2026'!Y17,'SETIEMBRE 2026'!I17),"")</f>
        <v/>
      </c>
      <c r="C853" s="381">
        <f>IF(AND('SETIEMBRE 2026'!D17&lt;&gt;"",'SETIEMBRE 2026'!Z17="POR RECOGER"),'SETIEMBRE 2026'!D17,"")</f>
        <v/>
      </c>
      <c r="D853" s="381">
        <f>IF(AND('SETIEMBRE 2026'!D17&lt;&gt;"",'SETIEMBRE 2026'!Z17="POR RECOGER"),'SETIEMBRE 2026'!F17,"")</f>
        <v/>
      </c>
      <c r="E853" s="381">
        <f>IF(AND('SETIEMBRE 2026'!D17&lt;&gt;"",'SETIEMBRE 2026'!Z17="POR RECOGER"),TEXT('SETIEMBRE 2026'!G17,"DD/MM/YYYY"),"")</f>
        <v/>
      </c>
      <c r="F853" s="381">
        <f>IF(AND('SETIEMBRE 2026'!D17&lt;&gt;"",'SETIEMBRE 2026'!Z17="POR RECOGER"),'SETIEMBRE 2026'!K17,"")</f>
        <v/>
      </c>
      <c r="G853" s="382">
        <f>IF(AND('SETIEMBRE 2026'!D17&lt;&gt;"",'SETIEMBRE 2026'!Z17="POR RECOGER"),'SETIEMBRE 2026'!M17,"")</f>
        <v/>
      </c>
      <c r="H853" s="382">
        <f>IF(AND('SETIEMBRE 2026'!D17&lt;&gt;"",'SETIEMBRE 2026'!Z17="POR RECOGER"),'SETIEMBRE 2026'!N17,"")</f>
        <v/>
      </c>
      <c r="I853" s="381">
        <f>IF(AND('SETIEMBRE 2026'!D17&lt;&gt;"",'SETIEMBRE 2026'!Z17="POR RECOGER"),'SETIEMBRE 2026'!P17,"")</f>
        <v/>
      </c>
      <c r="J853" s="381">
        <f>IF(AND('SETIEMBRE 2026'!D17&lt;&gt;"",'SETIEMBRE 2026'!Z17="POR RECOGER"),'SETIEMBRE 2026'!Q17,"")</f>
        <v/>
      </c>
      <c r="K853" s="381">
        <f>IF(AND('SETIEMBRE 2026'!D17&lt;&gt;"",'SETIEMBRE 2026'!Z17="POR RECOGER"),'SETIEMBRE 2026'!Y17,"")</f>
        <v/>
      </c>
      <c r="L853" s="381">
        <f>IF(AND('SETIEMBRE 2026'!D17&lt;&gt;"",'SETIEMBRE 2026'!Z17="POR RECOGER"),'SETIEMBRE 2026'!I17,"")</f>
        <v/>
      </c>
      <c r="P853" s="194" t="n"/>
      <c r="Q853" s="194" t="n"/>
      <c r="R853" s="194" t="n"/>
      <c r="S853" s="194" t="n"/>
      <c r="T853" s="194" t="n"/>
      <c r="U853" s="194" t="n"/>
      <c r="V853" s="194" t="n"/>
      <c r="W853" s="194" t="n"/>
      <c r="X853" s="194" t="n"/>
      <c r="Y853" s="194" t="n"/>
      <c r="Z853" s="194" t="n"/>
    </row>
    <row r="854" ht="15" customHeight="1" s="195">
      <c r="A854" s="381">
        <f>IF(AND('SETIEMBRE 2026'!D18&lt;&gt;"",'SETIEMBRE 2026'!Z18="POR RECOGER"),"SET","")</f>
        <v/>
      </c>
      <c r="B854" s="381">
        <f>IF(AND('SETIEMBRE 2026'!D18&lt;&gt;"",'SETIEMBRE 2026'!Z18="POR RECOGER"),IF('SETIEMBRE 2026'!Y18&lt;&gt;"",'SETIEMBRE 2026'!Y18,'SETIEMBRE 2026'!I18),"")</f>
        <v/>
      </c>
      <c r="C854" s="381">
        <f>IF(AND('SETIEMBRE 2026'!D18&lt;&gt;"",'SETIEMBRE 2026'!Z18="POR RECOGER"),'SETIEMBRE 2026'!D18,"")</f>
        <v/>
      </c>
      <c r="D854" s="381">
        <f>IF(AND('SETIEMBRE 2026'!D18&lt;&gt;"",'SETIEMBRE 2026'!Z18="POR RECOGER"),'SETIEMBRE 2026'!F18,"")</f>
        <v/>
      </c>
      <c r="E854" s="381">
        <f>IF(AND('SETIEMBRE 2026'!D18&lt;&gt;"",'SETIEMBRE 2026'!Z18="POR RECOGER"),TEXT('SETIEMBRE 2026'!G18,"DD/MM/YYYY"),"")</f>
        <v/>
      </c>
      <c r="F854" s="381">
        <f>IF(AND('SETIEMBRE 2026'!D18&lt;&gt;"",'SETIEMBRE 2026'!Z18="POR RECOGER"),'SETIEMBRE 2026'!K18,"")</f>
        <v/>
      </c>
      <c r="G854" s="382">
        <f>IF(AND('SETIEMBRE 2026'!D18&lt;&gt;"",'SETIEMBRE 2026'!Z18="POR RECOGER"),'SETIEMBRE 2026'!M18,"")</f>
        <v/>
      </c>
      <c r="H854" s="382">
        <f>IF(AND('SETIEMBRE 2026'!D18&lt;&gt;"",'SETIEMBRE 2026'!Z18="POR RECOGER"),'SETIEMBRE 2026'!N18,"")</f>
        <v/>
      </c>
      <c r="I854" s="381">
        <f>IF(AND('SETIEMBRE 2026'!D18&lt;&gt;"",'SETIEMBRE 2026'!Z18="POR RECOGER"),'SETIEMBRE 2026'!P18,"")</f>
        <v/>
      </c>
      <c r="J854" s="381">
        <f>IF(AND('SETIEMBRE 2026'!D18&lt;&gt;"",'SETIEMBRE 2026'!Z18="POR RECOGER"),'SETIEMBRE 2026'!Q18,"")</f>
        <v/>
      </c>
      <c r="K854" s="381">
        <f>IF(AND('SETIEMBRE 2026'!D18&lt;&gt;"",'SETIEMBRE 2026'!Z18="POR RECOGER"),'SETIEMBRE 2026'!Y18,"")</f>
        <v/>
      </c>
      <c r="L854" s="381">
        <f>IF(AND('SETIEMBRE 2026'!D18&lt;&gt;"",'SETIEMBRE 2026'!Z18="POR RECOGER"),'SETIEMBRE 2026'!I18,"")</f>
        <v/>
      </c>
      <c r="P854" s="194" t="n"/>
      <c r="Q854" s="194" t="n"/>
      <c r="R854" s="194" t="n"/>
      <c r="S854" s="194" t="n"/>
      <c r="T854" s="194" t="n"/>
      <c r="U854" s="194" t="n"/>
      <c r="V854" s="194" t="n"/>
      <c r="W854" s="194" t="n"/>
      <c r="X854" s="194" t="n"/>
      <c r="Y854" s="194" t="n"/>
      <c r="Z854" s="194" t="n"/>
    </row>
    <row r="855" ht="15" customHeight="1" s="195">
      <c r="A855" s="381">
        <f>IF(AND('SETIEMBRE 2026'!D19&lt;&gt;"",'SETIEMBRE 2026'!Z19="POR RECOGER"),"SET","")</f>
        <v/>
      </c>
      <c r="B855" s="381">
        <f>IF(AND('SETIEMBRE 2026'!D19&lt;&gt;"",'SETIEMBRE 2026'!Z19="POR RECOGER"),IF('SETIEMBRE 2026'!Y19&lt;&gt;"",'SETIEMBRE 2026'!Y19,'SETIEMBRE 2026'!I19),"")</f>
        <v/>
      </c>
      <c r="C855" s="381">
        <f>IF(AND('SETIEMBRE 2026'!D19&lt;&gt;"",'SETIEMBRE 2026'!Z19="POR RECOGER"),'SETIEMBRE 2026'!D19,"")</f>
        <v/>
      </c>
      <c r="D855" s="381">
        <f>IF(AND('SETIEMBRE 2026'!D19&lt;&gt;"",'SETIEMBRE 2026'!Z19="POR RECOGER"),'SETIEMBRE 2026'!F19,"")</f>
        <v/>
      </c>
      <c r="E855" s="381">
        <f>IF(AND('SETIEMBRE 2026'!D19&lt;&gt;"",'SETIEMBRE 2026'!Z19="POR RECOGER"),TEXT('SETIEMBRE 2026'!G19,"DD/MM/YYYY"),"")</f>
        <v/>
      </c>
      <c r="F855" s="381">
        <f>IF(AND('SETIEMBRE 2026'!D19&lt;&gt;"",'SETIEMBRE 2026'!Z19="POR RECOGER"),'SETIEMBRE 2026'!K19,"")</f>
        <v/>
      </c>
      <c r="G855" s="382">
        <f>IF(AND('SETIEMBRE 2026'!D19&lt;&gt;"",'SETIEMBRE 2026'!Z19="POR RECOGER"),'SETIEMBRE 2026'!M19,"")</f>
        <v/>
      </c>
      <c r="H855" s="382">
        <f>IF(AND('SETIEMBRE 2026'!D19&lt;&gt;"",'SETIEMBRE 2026'!Z19="POR RECOGER"),'SETIEMBRE 2026'!N19,"")</f>
        <v/>
      </c>
      <c r="I855" s="381">
        <f>IF(AND('SETIEMBRE 2026'!D19&lt;&gt;"",'SETIEMBRE 2026'!Z19="POR RECOGER"),'SETIEMBRE 2026'!P19,"")</f>
        <v/>
      </c>
      <c r="J855" s="381">
        <f>IF(AND('SETIEMBRE 2026'!D19&lt;&gt;"",'SETIEMBRE 2026'!Z19="POR RECOGER"),'SETIEMBRE 2026'!Q19,"")</f>
        <v/>
      </c>
      <c r="K855" s="381">
        <f>IF(AND('SETIEMBRE 2026'!D19&lt;&gt;"",'SETIEMBRE 2026'!Z19="POR RECOGER"),'SETIEMBRE 2026'!Y19,"")</f>
        <v/>
      </c>
      <c r="L855" s="381">
        <f>IF(AND('SETIEMBRE 2026'!D19&lt;&gt;"",'SETIEMBRE 2026'!Z19="POR RECOGER"),'SETIEMBRE 2026'!I19,"")</f>
        <v/>
      </c>
      <c r="P855" s="194" t="n"/>
      <c r="Q855" s="194" t="n"/>
      <c r="R855" s="194" t="n"/>
      <c r="S855" s="194" t="n"/>
      <c r="T855" s="194" t="n"/>
      <c r="U855" s="194" t="n"/>
      <c r="V855" s="194" t="n"/>
      <c r="W855" s="194" t="n"/>
      <c r="X855" s="194" t="n"/>
      <c r="Y855" s="194" t="n"/>
      <c r="Z855" s="194" t="n"/>
    </row>
    <row r="856" ht="15" customHeight="1" s="195">
      <c r="A856" s="381">
        <f>IF(AND('SETIEMBRE 2026'!D20&lt;&gt;"",'SETIEMBRE 2026'!Z20="POR RECOGER"),"SET","")</f>
        <v/>
      </c>
      <c r="B856" s="381">
        <f>IF(AND('SETIEMBRE 2026'!D20&lt;&gt;"",'SETIEMBRE 2026'!Z20="POR RECOGER"),IF('SETIEMBRE 2026'!Y20&lt;&gt;"",'SETIEMBRE 2026'!Y20,'SETIEMBRE 2026'!I20),"")</f>
        <v/>
      </c>
      <c r="C856" s="381">
        <f>IF(AND('SETIEMBRE 2026'!D20&lt;&gt;"",'SETIEMBRE 2026'!Z20="POR RECOGER"),'SETIEMBRE 2026'!D20,"")</f>
        <v/>
      </c>
      <c r="D856" s="381">
        <f>IF(AND('SETIEMBRE 2026'!D20&lt;&gt;"",'SETIEMBRE 2026'!Z20="POR RECOGER"),'SETIEMBRE 2026'!F20,"")</f>
        <v/>
      </c>
      <c r="E856" s="381">
        <f>IF(AND('SETIEMBRE 2026'!D20&lt;&gt;"",'SETIEMBRE 2026'!Z20="POR RECOGER"),TEXT('SETIEMBRE 2026'!G20,"DD/MM/YYYY"),"")</f>
        <v/>
      </c>
      <c r="F856" s="381">
        <f>IF(AND('SETIEMBRE 2026'!D20&lt;&gt;"",'SETIEMBRE 2026'!Z20="POR RECOGER"),'SETIEMBRE 2026'!K20,"")</f>
        <v/>
      </c>
      <c r="G856" s="382">
        <f>IF(AND('SETIEMBRE 2026'!D20&lt;&gt;"",'SETIEMBRE 2026'!Z20="POR RECOGER"),'SETIEMBRE 2026'!M20,"")</f>
        <v/>
      </c>
      <c r="H856" s="382">
        <f>IF(AND('SETIEMBRE 2026'!D20&lt;&gt;"",'SETIEMBRE 2026'!Z20="POR RECOGER"),'SETIEMBRE 2026'!N20,"")</f>
        <v/>
      </c>
      <c r="I856" s="381">
        <f>IF(AND('SETIEMBRE 2026'!D20&lt;&gt;"",'SETIEMBRE 2026'!Z20="POR RECOGER"),'SETIEMBRE 2026'!P20,"")</f>
        <v/>
      </c>
      <c r="J856" s="381">
        <f>IF(AND('SETIEMBRE 2026'!D20&lt;&gt;"",'SETIEMBRE 2026'!Z20="POR RECOGER"),'SETIEMBRE 2026'!Q20,"")</f>
        <v/>
      </c>
      <c r="K856" s="381">
        <f>IF(AND('SETIEMBRE 2026'!D20&lt;&gt;"",'SETIEMBRE 2026'!Z20="POR RECOGER"),'SETIEMBRE 2026'!Y20,"")</f>
        <v/>
      </c>
      <c r="L856" s="381">
        <f>IF(AND('SETIEMBRE 2026'!D20&lt;&gt;"",'SETIEMBRE 2026'!Z20="POR RECOGER"),'SETIEMBRE 2026'!I20,"")</f>
        <v/>
      </c>
      <c r="P856" s="194" t="n"/>
      <c r="Q856" s="194" t="n"/>
      <c r="R856" s="194" t="n"/>
      <c r="S856" s="194" t="n"/>
      <c r="T856" s="194" t="n"/>
      <c r="U856" s="194" t="n"/>
      <c r="V856" s="194" t="n"/>
      <c r="W856" s="194" t="n"/>
      <c r="X856" s="194" t="n"/>
      <c r="Y856" s="194" t="n"/>
      <c r="Z856" s="194" t="n"/>
    </row>
    <row r="857" ht="15" customHeight="1" s="195">
      <c r="A857" s="381">
        <f>IF(AND('SETIEMBRE 2026'!D21&lt;&gt;"",'SETIEMBRE 2026'!Z21="POR RECOGER"),"SET","")</f>
        <v/>
      </c>
      <c r="B857" s="381">
        <f>IF(AND('SETIEMBRE 2026'!D21&lt;&gt;"",'SETIEMBRE 2026'!Z21="POR RECOGER"),IF('SETIEMBRE 2026'!Y21&lt;&gt;"",'SETIEMBRE 2026'!Y21,'SETIEMBRE 2026'!I21),"")</f>
        <v/>
      </c>
      <c r="C857" s="381">
        <f>IF(AND('SETIEMBRE 2026'!D21&lt;&gt;"",'SETIEMBRE 2026'!Z21="POR RECOGER"),'SETIEMBRE 2026'!D21,"")</f>
        <v/>
      </c>
      <c r="D857" s="381">
        <f>IF(AND('SETIEMBRE 2026'!D21&lt;&gt;"",'SETIEMBRE 2026'!Z21="POR RECOGER"),'SETIEMBRE 2026'!F21,"")</f>
        <v/>
      </c>
      <c r="E857" s="381">
        <f>IF(AND('SETIEMBRE 2026'!D21&lt;&gt;"",'SETIEMBRE 2026'!Z21="POR RECOGER"),TEXT('SETIEMBRE 2026'!G21,"DD/MM/YYYY"),"")</f>
        <v/>
      </c>
      <c r="F857" s="381">
        <f>IF(AND('SETIEMBRE 2026'!D21&lt;&gt;"",'SETIEMBRE 2026'!Z21="POR RECOGER"),'SETIEMBRE 2026'!K21,"")</f>
        <v/>
      </c>
      <c r="G857" s="382">
        <f>IF(AND('SETIEMBRE 2026'!D21&lt;&gt;"",'SETIEMBRE 2026'!Z21="POR RECOGER"),'SETIEMBRE 2026'!M21,"")</f>
        <v/>
      </c>
      <c r="H857" s="382">
        <f>IF(AND('SETIEMBRE 2026'!D21&lt;&gt;"",'SETIEMBRE 2026'!Z21="POR RECOGER"),'SETIEMBRE 2026'!N21,"")</f>
        <v/>
      </c>
      <c r="I857" s="381">
        <f>IF(AND('SETIEMBRE 2026'!D21&lt;&gt;"",'SETIEMBRE 2026'!Z21="POR RECOGER"),'SETIEMBRE 2026'!P21,"")</f>
        <v/>
      </c>
      <c r="J857" s="381">
        <f>IF(AND('SETIEMBRE 2026'!D21&lt;&gt;"",'SETIEMBRE 2026'!Z21="POR RECOGER"),'SETIEMBRE 2026'!Q21,"")</f>
        <v/>
      </c>
      <c r="K857" s="381">
        <f>IF(AND('SETIEMBRE 2026'!D21&lt;&gt;"",'SETIEMBRE 2026'!Z21="POR RECOGER"),'SETIEMBRE 2026'!Y21,"")</f>
        <v/>
      </c>
      <c r="L857" s="381">
        <f>IF(AND('SETIEMBRE 2026'!D21&lt;&gt;"",'SETIEMBRE 2026'!Z21="POR RECOGER"),'SETIEMBRE 2026'!I21,"")</f>
        <v/>
      </c>
      <c r="P857" s="194" t="n"/>
      <c r="Q857" s="194" t="n"/>
      <c r="R857" s="194" t="n"/>
      <c r="S857" s="194" t="n"/>
      <c r="T857" s="194" t="n"/>
      <c r="U857" s="194" t="n"/>
      <c r="V857" s="194" t="n"/>
      <c r="W857" s="194" t="n"/>
      <c r="X857" s="194" t="n"/>
      <c r="Y857" s="194" t="n"/>
      <c r="Z857" s="194" t="n"/>
    </row>
    <row r="858" ht="15" customHeight="1" s="195">
      <c r="A858" s="381">
        <f>IF(AND('SETIEMBRE 2026'!D22&lt;&gt;"",'SETIEMBRE 2026'!Z22="POR RECOGER"),"SET","")</f>
        <v/>
      </c>
      <c r="B858" s="381">
        <f>IF(AND('SETIEMBRE 2026'!D22&lt;&gt;"",'SETIEMBRE 2026'!Z22="POR RECOGER"),IF('SETIEMBRE 2026'!Y22&lt;&gt;"",'SETIEMBRE 2026'!Y22,'SETIEMBRE 2026'!I22),"")</f>
        <v/>
      </c>
      <c r="C858" s="381">
        <f>IF(AND('SETIEMBRE 2026'!D22&lt;&gt;"",'SETIEMBRE 2026'!Z22="POR RECOGER"),'SETIEMBRE 2026'!D22,"")</f>
        <v/>
      </c>
      <c r="D858" s="381">
        <f>IF(AND('SETIEMBRE 2026'!D22&lt;&gt;"",'SETIEMBRE 2026'!Z22="POR RECOGER"),'SETIEMBRE 2026'!F22,"")</f>
        <v/>
      </c>
      <c r="E858" s="381">
        <f>IF(AND('SETIEMBRE 2026'!D22&lt;&gt;"",'SETIEMBRE 2026'!Z22="POR RECOGER"),TEXT('SETIEMBRE 2026'!G22,"DD/MM/YYYY"),"")</f>
        <v/>
      </c>
      <c r="F858" s="381">
        <f>IF(AND('SETIEMBRE 2026'!D22&lt;&gt;"",'SETIEMBRE 2026'!Z22="POR RECOGER"),'SETIEMBRE 2026'!K22,"")</f>
        <v/>
      </c>
      <c r="G858" s="382">
        <f>IF(AND('SETIEMBRE 2026'!D22&lt;&gt;"",'SETIEMBRE 2026'!Z22="POR RECOGER"),'SETIEMBRE 2026'!M22,"")</f>
        <v/>
      </c>
      <c r="H858" s="382">
        <f>IF(AND('SETIEMBRE 2026'!D22&lt;&gt;"",'SETIEMBRE 2026'!Z22="POR RECOGER"),'SETIEMBRE 2026'!N22,"")</f>
        <v/>
      </c>
      <c r="I858" s="381">
        <f>IF(AND('SETIEMBRE 2026'!D22&lt;&gt;"",'SETIEMBRE 2026'!Z22="POR RECOGER"),'SETIEMBRE 2026'!P22,"")</f>
        <v/>
      </c>
      <c r="J858" s="381">
        <f>IF(AND('SETIEMBRE 2026'!D22&lt;&gt;"",'SETIEMBRE 2026'!Z22="POR RECOGER"),'SETIEMBRE 2026'!Q22,"")</f>
        <v/>
      </c>
      <c r="K858" s="381">
        <f>IF(AND('SETIEMBRE 2026'!D22&lt;&gt;"",'SETIEMBRE 2026'!Z22="POR RECOGER"),'SETIEMBRE 2026'!Y22,"")</f>
        <v/>
      </c>
      <c r="L858" s="381">
        <f>IF(AND('SETIEMBRE 2026'!D22&lt;&gt;"",'SETIEMBRE 2026'!Z22="POR RECOGER"),'SETIEMBRE 2026'!I22,"")</f>
        <v/>
      </c>
      <c r="P858" s="194" t="n"/>
      <c r="Q858" s="194" t="n"/>
      <c r="R858" s="194" t="n"/>
      <c r="S858" s="194" t="n"/>
      <c r="T858" s="194" t="n"/>
      <c r="U858" s="194" t="n"/>
      <c r="V858" s="194" t="n"/>
      <c r="W858" s="194" t="n"/>
      <c r="X858" s="194" t="n"/>
      <c r="Y858" s="194" t="n"/>
      <c r="Z858" s="194" t="n"/>
    </row>
    <row r="859" ht="15" customHeight="1" s="195">
      <c r="A859" s="381">
        <f>IF(AND('SETIEMBRE 2026'!D23&lt;&gt;"",'SETIEMBRE 2026'!Z23="POR RECOGER"),"SET","")</f>
        <v/>
      </c>
      <c r="B859" s="381">
        <f>IF(AND('SETIEMBRE 2026'!D23&lt;&gt;"",'SETIEMBRE 2026'!Z23="POR RECOGER"),IF('SETIEMBRE 2026'!Y23&lt;&gt;"",'SETIEMBRE 2026'!Y23,'SETIEMBRE 2026'!I23),"")</f>
        <v/>
      </c>
      <c r="C859" s="381">
        <f>IF(AND('SETIEMBRE 2026'!D23&lt;&gt;"",'SETIEMBRE 2026'!Z23="POR RECOGER"),'SETIEMBRE 2026'!D23,"")</f>
        <v/>
      </c>
      <c r="D859" s="381">
        <f>IF(AND('SETIEMBRE 2026'!D23&lt;&gt;"",'SETIEMBRE 2026'!Z23="POR RECOGER"),'SETIEMBRE 2026'!F23,"")</f>
        <v/>
      </c>
      <c r="E859" s="381">
        <f>IF(AND('SETIEMBRE 2026'!D23&lt;&gt;"",'SETIEMBRE 2026'!Z23="POR RECOGER"),TEXT('SETIEMBRE 2026'!G23,"DD/MM/YYYY"),"")</f>
        <v/>
      </c>
      <c r="F859" s="381">
        <f>IF(AND('SETIEMBRE 2026'!D23&lt;&gt;"",'SETIEMBRE 2026'!Z23="POR RECOGER"),'SETIEMBRE 2026'!K23,"")</f>
        <v/>
      </c>
      <c r="G859" s="382">
        <f>IF(AND('SETIEMBRE 2026'!D23&lt;&gt;"",'SETIEMBRE 2026'!Z23="POR RECOGER"),'SETIEMBRE 2026'!M23,"")</f>
        <v/>
      </c>
      <c r="H859" s="382">
        <f>IF(AND('SETIEMBRE 2026'!D23&lt;&gt;"",'SETIEMBRE 2026'!Z23="POR RECOGER"),'SETIEMBRE 2026'!N23,"")</f>
        <v/>
      </c>
      <c r="I859" s="381">
        <f>IF(AND('SETIEMBRE 2026'!D23&lt;&gt;"",'SETIEMBRE 2026'!Z23="POR RECOGER"),'SETIEMBRE 2026'!P23,"")</f>
        <v/>
      </c>
      <c r="J859" s="381">
        <f>IF(AND('SETIEMBRE 2026'!D23&lt;&gt;"",'SETIEMBRE 2026'!Z23="POR RECOGER"),'SETIEMBRE 2026'!Q23,"")</f>
        <v/>
      </c>
      <c r="K859" s="381">
        <f>IF(AND('SETIEMBRE 2026'!D23&lt;&gt;"",'SETIEMBRE 2026'!Z23="POR RECOGER"),'SETIEMBRE 2026'!Y23,"")</f>
        <v/>
      </c>
      <c r="L859" s="381">
        <f>IF(AND('SETIEMBRE 2026'!D23&lt;&gt;"",'SETIEMBRE 2026'!Z23="POR RECOGER"),'SETIEMBRE 2026'!I23,"")</f>
        <v/>
      </c>
      <c r="P859" s="194" t="n"/>
      <c r="Q859" s="194" t="n"/>
      <c r="R859" s="194" t="n"/>
      <c r="S859" s="194" t="n"/>
      <c r="T859" s="194" t="n"/>
      <c r="U859" s="194" t="n"/>
      <c r="V859" s="194" t="n"/>
      <c r="W859" s="194" t="n"/>
      <c r="X859" s="194" t="n"/>
      <c r="Y859" s="194" t="n"/>
      <c r="Z859" s="194" t="n"/>
    </row>
    <row r="860" ht="15" customHeight="1" s="195">
      <c r="A860" s="381">
        <f>IF(AND('SETIEMBRE 2026'!D24&lt;&gt;"",'SETIEMBRE 2026'!Z24="POR RECOGER"),"SET","")</f>
        <v/>
      </c>
      <c r="B860" s="381">
        <f>IF(AND('SETIEMBRE 2026'!D24&lt;&gt;"",'SETIEMBRE 2026'!Z24="POR RECOGER"),IF('SETIEMBRE 2026'!Y24&lt;&gt;"",'SETIEMBRE 2026'!Y24,'SETIEMBRE 2026'!I24),"")</f>
        <v/>
      </c>
      <c r="C860" s="381">
        <f>IF(AND('SETIEMBRE 2026'!D24&lt;&gt;"",'SETIEMBRE 2026'!Z24="POR RECOGER"),'SETIEMBRE 2026'!D24,"")</f>
        <v/>
      </c>
      <c r="D860" s="381">
        <f>IF(AND('SETIEMBRE 2026'!D24&lt;&gt;"",'SETIEMBRE 2026'!Z24="POR RECOGER"),'SETIEMBRE 2026'!F24,"")</f>
        <v/>
      </c>
      <c r="E860" s="381">
        <f>IF(AND('SETIEMBRE 2026'!D24&lt;&gt;"",'SETIEMBRE 2026'!Z24="POR RECOGER"),TEXT('SETIEMBRE 2026'!G24,"DD/MM/YYYY"),"")</f>
        <v/>
      </c>
      <c r="F860" s="381">
        <f>IF(AND('SETIEMBRE 2026'!D24&lt;&gt;"",'SETIEMBRE 2026'!Z24="POR RECOGER"),'SETIEMBRE 2026'!K24,"")</f>
        <v/>
      </c>
      <c r="G860" s="382">
        <f>IF(AND('SETIEMBRE 2026'!D24&lt;&gt;"",'SETIEMBRE 2026'!Z24="POR RECOGER"),'SETIEMBRE 2026'!M24,"")</f>
        <v/>
      </c>
      <c r="H860" s="382">
        <f>IF(AND('SETIEMBRE 2026'!D24&lt;&gt;"",'SETIEMBRE 2026'!Z24="POR RECOGER"),'SETIEMBRE 2026'!N24,"")</f>
        <v/>
      </c>
      <c r="I860" s="381">
        <f>IF(AND('SETIEMBRE 2026'!D24&lt;&gt;"",'SETIEMBRE 2026'!Z24="POR RECOGER"),'SETIEMBRE 2026'!P24,"")</f>
        <v/>
      </c>
      <c r="J860" s="381">
        <f>IF(AND('SETIEMBRE 2026'!D24&lt;&gt;"",'SETIEMBRE 2026'!Z24="POR RECOGER"),'SETIEMBRE 2026'!Q24,"")</f>
        <v/>
      </c>
      <c r="K860" s="381">
        <f>IF(AND('SETIEMBRE 2026'!D24&lt;&gt;"",'SETIEMBRE 2026'!Z24="POR RECOGER"),'SETIEMBRE 2026'!Y24,"")</f>
        <v/>
      </c>
      <c r="L860" s="381">
        <f>IF(AND('SETIEMBRE 2026'!D24&lt;&gt;"",'SETIEMBRE 2026'!Z24="POR RECOGER"),'SETIEMBRE 2026'!I24,"")</f>
        <v/>
      </c>
      <c r="P860" s="194" t="n"/>
      <c r="Q860" s="194" t="n"/>
      <c r="R860" s="194" t="n"/>
      <c r="S860" s="194" t="n"/>
      <c r="T860" s="194" t="n"/>
      <c r="U860" s="194" t="n"/>
      <c r="V860" s="194" t="n"/>
      <c r="W860" s="194" t="n"/>
      <c r="X860" s="194" t="n"/>
      <c r="Y860" s="194" t="n"/>
      <c r="Z860" s="194" t="n"/>
    </row>
    <row r="861" ht="15" customHeight="1" s="195">
      <c r="A861" s="381">
        <f>IF(AND('SETIEMBRE 2026'!D25&lt;&gt;"",'SETIEMBRE 2026'!Z25="POR RECOGER"),"SET","")</f>
        <v/>
      </c>
      <c r="B861" s="381">
        <f>IF(AND('SETIEMBRE 2026'!D25&lt;&gt;"",'SETIEMBRE 2026'!Z25="POR RECOGER"),IF('SETIEMBRE 2026'!Y25&lt;&gt;"",'SETIEMBRE 2026'!Y25,'SETIEMBRE 2026'!I25),"")</f>
        <v/>
      </c>
      <c r="C861" s="381">
        <f>IF(AND('SETIEMBRE 2026'!D25&lt;&gt;"",'SETIEMBRE 2026'!Z25="POR RECOGER"),'SETIEMBRE 2026'!D25,"")</f>
        <v/>
      </c>
      <c r="D861" s="381">
        <f>IF(AND('SETIEMBRE 2026'!D25&lt;&gt;"",'SETIEMBRE 2026'!Z25="POR RECOGER"),'SETIEMBRE 2026'!F25,"")</f>
        <v/>
      </c>
      <c r="E861" s="381">
        <f>IF(AND('SETIEMBRE 2026'!D25&lt;&gt;"",'SETIEMBRE 2026'!Z25="POR RECOGER"),TEXT('SETIEMBRE 2026'!G25,"DD/MM/YYYY"),"")</f>
        <v/>
      </c>
      <c r="F861" s="381">
        <f>IF(AND('SETIEMBRE 2026'!D25&lt;&gt;"",'SETIEMBRE 2026'!Z25="POR RECOGER"),'SETIEMBRE 2026'!K25,"")</f>
        <v/>
      </c>
      <c r="G861" s="382">
        <f>IF(AND('SETIEMBRE 2026'!D25&lt;&gt;"",'SETIEMBRE 2026'!Z25="POR RECOGER"),'SETIEMBRE 2026'!M25,"")</f>
        <v/>
      </c>
      <c r="H861" s="382">
        <f>IF(AND('SETIEMBRE 2026'!D25&lt;&gt;"",'SETIEMBRE 2026'!Z25="POR RECOGER"),'SETIEMBRE 2026'!N25,"")</f>
        <v/>
      </c>
      <c r="I861" s="381">
        <f>IF(AND('SETIEMBRE 2026'!D25&lt;&gt;"",'SETIEMBRE 2026'!Z25="POR RECOGER"),'SETIEMBRE 2026'!P25,"")</f>
        <v/>
      </c>
      <c r="J861" s="381">
        <f>IF(AND('SETIEMBRE 2026'!D25&lt;&gt;"",'SETIEMBRE 2026'!Z25="POR RECOGER"),'SETIEMBRE 2026'!Q25,"")</f>
        <v/>
      </c>
      <c r="K861" s="381">
        <f>IF(AND('SETIEMBRE 2026'!D25&lt;&gt;"",'SETIEMBRE 2026'!Z25="POR RECOGER"),'SETIEMBRE 2026'!Y25,"")</f>
        <v/>
      </c>
      <c r="L861" s="381">
        <f>IF(AND('SETIEMBRE 2026'!D25&lt;&gt;"",'SETIEMBRE 2026'!Z25="POR RECOGER"),'SETIEMBRE 2026'!I25,"")</f>
        <v/>
      </c>
      <c r="P861" s="194" t="n"/>
      <c r="Q861" s="194" t="n"/>
      <c r="R861" s="194" t="n"/>
      <c r="S861" s="194" t="n"/>
      <c r="T861" s="194" t="n"/>
      <c r="U861" s="194" t="n"/>
      <c r="V861" s="194" t="n"/>
      <c r="W861" s="194" t="n"/>
      <c r="X861" s="194" t="n"/>
      <c r="Y861" s="194" t="n"/>
      <c r="Z861" s="194" t="n"/>
    </row>
    <row r="862" ht="15" customHeight="1" s="195">
      <c r="A862" s="381">
        <f>IF(AND('SETIEMBRE 2026'!D26&lt;&gt;"",'SETIEMBRE 2026'!Z26="POR RECOGER"),"SET","")</f>
        <v/>
      </c>
      <c r="B862" s="381">
        <f>IF(AND('SETIEMBRE 2026'!D26&lt;&gt;"",'SETIEMBRE 2026'!Z26="POR RECOGER"),IF('SETIEMBRE 2026'!Y26&lt;&gt;"",'SETIEMBRE 2026'!Y26,'SETIEMBRE 2026'!I26),"")</f>
        <v/>
      </c>
      <c r="C862" s="381">
        <f>IF(AND('SETIEMBRE 2026'!D26&lt;&gt;"",'SETIEMBRE 2026'!Z26="POR RECOGER"),'SETIEMBRE 2026'!D26,"")</f>
        <v/>
      </c>
      <c r="D862" s="381">
        <f>IF(AND('SETIEMBRE 2026'!D26&lt;&gt;"",'SETIEMBRE 2026'!Z26="POR RECOGER"),'SETIEMBRE 2026'!F26,"")</f>
        <v/>
      </c>
      <c r="E862" s="381">
        <f>IF(AND('SETIEMBRE 2026'!D26&lt;&gt;"",'SETIEMBRE 2026'!Z26="POR RECOGER"),TEXT('SETIEMBRE 2026'!G26,"DD/MM/YYYY"),"")</f>
        <v/>
      </c>
      <c r="F862" s="381">
        <f>IF(AND('SETIEMBRE 2026'!D26&lt;&gt;"",'SETIEMBRE 2026'!Z26="POR RECOGER"),'SETIEMBRE 2026'!K26,"")</f>
        <v/>
      </c>
      <c r="G862" s="382">
        <f>IF(AND('SETIEMBRE 2026'!D26&lt;&gt;"",'SETIEMBRE 2026'!Z26="POR RECOGER"),'SETIEMBRE 2026'!M26,"")</f>
        <v/>
      </c>
      <c r="H862" s="382">
        <f>IF(AND('SETIEMBRE 2026'!D26&lt;&gt;"",'SETIEMBRE 2026'!Z26="POR RECOGER"),'SETIEMBRE 2026'!N26,"")</f>
        <v/>
      </c>
      <c r="I862" s="381">
        <f>IF(AND('SETIEMBRE 2026'!D26&lt;&gt;"",'SETIEMBRE 2026'!Z26="POR RECOGER"),'SETIEMBRE 2026'!P26,"")</f>
        <v/>
      </c>
      <c r="J862" s="381">
        <f>IF(AND('SETIEMBRE 2026'!D26&lt;&gt;"",'SETIEMBRE 2026'!Z26="POR RECOGER"),'SETIEMBRE 2026'!Q26,"")</f>
        <v/>
      </c>
      <c r="K862" s="381">
        <f>IF(AND('SETIEMBRE 2026'!D26&lt;&gt;"",'SETIEMBRE 2026'!Z26="POR RECOGER"),'SETIEMBRE 2026'!Y26,"")</f>
        <v/>
      </c>
      <c r="L862" s="381">
        <f>IF(AND('SETIEMBRE 2026'!D26&lt;&gt;"",'SETIEMBRE 2026'!Z26="POR RECOGER"),'SETIEMBRE 2026'!I26,"")</f>
        <v/>
      </c>
      <c r="P862" s="194" t="n"/>
      <c r="Q862" s="194" t="n"/>
      <c r="R862" s="194" t="n"/>
      <c r="S862" s="194" t="n"/>
      <c r="T862" s="194" t="n"/>
      <c r="U862" s="194" t="n"/>
      <c r="V862" s="194" t="n"/>
      <c r="W862" s="194" t="n"/>
      <c r="X862" s="194" t="n"/>
      <c r="Y862" s="194" t="n"/>
      <c r="Z862" s="194" t="n"/>
    </row>
    <row r="863" ht="15" customHeight="1" s="195">
      <c r="A863" s="381">
        <f>IF(AND('SETIEMBRE 2026'!D27&lt;&gt;"",'SETIEMBRE 2026'!Z27="POR RECOGER"),"SET","")</f>
        <v/>
      </c>
      <c r="B863" s="381">
        <f>IF(AND('SETIEMBRE 2026'!D27&lt;&gt;"",'SETIEMBRE 2026'!Z27="POR RECOGER"),IF('SETIEMBRE 2026'!Y27&lt;&gt;"",'SETIEMBRE 2026'!Y27,'SETIEMBRE 2026'!I27),"")</f>
        <v/>
      </c>
      <c r="C863" s="381">
        <f>IF(AND('SETIEMBRE 2026'!D27&lt;&gt;"",'SETIEMBRE 2026'!Z27="POR RECOGER"),'SETIEMBRE 2026'!D27,"")</f>
        <v/>
      </c>
      <c r="D863" s="381">
        <f>IF(AND('SETIEMBRE 2026'!D27&lt;&gt;"",'SETIEMBRE 2026'!Z27="POR RECOGER"),'SETIEMBRE 2026'!F27,"")</f>
        <v/>
      </c>
      <c r="E863" s="381">
        <f>IF(AND('SETIEMBRE 2026'!D27&lt;&gt;"",'SETIEMBRE 2026'!Z27="POR RECOGER"),TEXT('SETIEMBRE 2026'!G27,"DD/MM/YYYY"),"")</f>
        <v/>
      </c>
      <c r="F863" s="381">
        <f>IF(AND('SETIEMBRE 2026'!D27&lt;&gt;"",'SETIEMBRE 2026'!Z27="POR RECOGER"),'SETIEMBRE 2026'!K27,"")</f>
        <v/>
      </c>
      <c r="G863" s="382">
        <f>IF(AND('SETIEMBRE 2026'!D27&lt;&gt;"",'SETIEMBRE 2026'!Z27="POR RECOGER"),'SETIEMBRE 2026'!M27,"")</f>
        <v/>
      </c>
      <c r="H863" s="382">
        <f>IF(AND('SETIEMBRE 2026'!D27&lt;&gt;"",'SETIEMBRE 2026'!Z27="POR RECOGER"),'SETIEMBRE 2026'!N27,"")</f>
        <v/>
      </c>
      <c r="I863" s="381">
        <f>IF(AND('SETIEMBRE 2026'!D27&lt;&gt;"",'SETIEMBRE 2026'!Z27="POR RECOGER"),'SETIEMBRE 2026'!P27,"")</f>
        <v/>
      </c>
      <c r="J863" s="381">
        <f>IF(AND('SETIEMBRE 2026'!D27&lt;&gt;"",'SETIEMBRE 2026'!Z27="POR RECOGER"),'SETIEMBRE 2026'!Q27,"")</f>
        <v/>
      </c>
      <c r="K863" s="381">
        <f>IF(AND('SETIEMBRE 2026'!D27&lt;&gt;"",'SETIEMBRE 2026'!Z27="POR RECOGER"),'SETIEMBRE 2026'!Y27,"")</f>
        <v/>
      </c>
      <c r="L863" s="381">
        <f>IF(AND('SETIEMBRE 2026'!D27&lt;&gt;"",'SETIEMBRE 2026'!Z27="POR RECOGER"),'SETIEMBRE 2026'!I27,"")</f>
        <v/>
      </c>
      <c r="P863" s="194" t="n"/>
      <c r="Q863" s="194" t="n"/>
      <c r="R863" s="194" t="n"/>
      <c r="S863" s="194" t="n"/>
      <c r="T863" s="194" t="n"/>
      <c r="U863" s="194" t="n"/>
      <c r="V863" s="194" t="n"/>
      <c r="W863" s="194" t="n"/>
      <c r="X863" s="194" t="n"/>
      <c r="Y863" s="194" t="n"/>
      <c r="Z863" s="194" t="n"/>
    </row>
    <row r="864" ht="15" customHeight="1" s="195">
      <c r="A864" s="381">
        <f>IF(AND('SETIEMBRE 2026'!D28&lt;&gt;"",'SETIEMBRE 2026'!Z28="POR RECOGER"),"SET","")</f>
        <v/>
      </c>
      <c r="B864" s="381">
        <f>IF(AND('SETIEMBRE 2026'!D28&lt;&gt;"",'SETIEMBRE 2026'!Z28="POR RECOGER"),IF('SETIEMBRE 2026'!Y28&lt;&gt;"",'SETIEMBRE 2026'!Y28,'SETIEMBRE 2026'!I28),"")</f>
        <v/>
      </c>
      <c r="C864" s="381">
        <f>IF(AND('SETIEMBRE 2026'!D28&lt;&gt;"",'SETIEMBRE 2026'!Z28="POR RECOGER"),'SETIEMBRE 2026'!D28,"")</f>
        <v/>
      </c>
      <c r="D864" s="381">
        <f>IF(AND('SETIEMBRE 2026'!D28&lt;&gt;"",'SETIEMBRE 2026'!Z28="POR RECOGER"),'SETIEMBRE 2026'!F28,"")</f>
        <v/>
      </c>
      <c r="E864" s="381">
        <f>IF(AND('SETIEMBRE 2026'!D28&lt;&gt;"",'SETIEMBRE 2026'!Z28="POR RECOGER"),TEXT('SETIEMBRE 2026'!G28,"DD/MM/YYYY"),"")</f>
        <v/>
      </c>
      <c r="F864" s="381">
        <f>IF(AND('SETIEMBRE 2026'!D28&lt;&gt;"",'SETIEMBRE 2026'!Z28="POR RECOGER"),'SETIEMBRE 2026'!K28,"")</f>
        <v/>
      </c>
      <c r="G864" s="382">
        <f>IF(AND('SETIEMBRE 2026'!D28&lt;&gt;"",'SETIEMBRE 2026'!Z28="POR RECOGER"),'SETIEMBRE 2026'!M28,"")</f>
        <v/>
      </c>
      <c r="H864" s="382">
        <f>IF(AND('SETIEMBRE 2026'!D28&lt;&gt;"",'SETIEMBRE 2026'!Z28="POR RECOGER"),'SETIEMBRE 2026'!N28,"")</f>
        <v/>
      </c>
      <c r="I864" s="381">
        <f>IF(AND('SETIEMBRE 2026'!D28&lt;&gt;"",'SETIEMBRE 2026'!Z28="POR RECOGER"),'SETIEMBRE 2026'!P28,"")</f>
        <v/>
      </c>
      <c r="J864" s="381">
        <f>IF(AND('SETIEMBRE 2026'!D28&lt;&gt;"",'SETIEMBRE 2026'!Z28="POR RECOGER"),'SETIEMBRE 2026'!Q28,"")</f>
        <v/>
      </c>
      <c r="K864" s="381">
        <f>IF(AND('SETIEMBRE 2026'!D28&lt;&gt;"",'SETIEMBRE 2026'!Z28="POR RECOGER"),'SETIEMBRE 2026'!Y28,"")</f>
        <v/>
      </c>
      <c r="L864" s="381">
        <f>IF(AND('SETIEMBRE 2026'!D28&lt;&gt;"",'SETIEMBRE 2026'!Z28="POR RECOGER"),'SETIEMBRE 2026'!I28,"")</f>
        <v/>
      </c>
      <c r="P864" s="194" t="n"/>
      <c r="Q864" s="194" t="n"/>
      <c r="R864" s="194" t="n"/>
      <c r="S864" s="194" t="n"/>
      <c r="T864" s="194" t="n"/>
      <c r="U864" s="194" t="n"/>
      <c r="V864" s="194" t="n"/>
      <c r="W864" s="194" t="n"/>
      <c r="X864" s="194" t="n"/>
      <c r="Y864" s="194" t="n"/>
      <c r="Z864" s="194" t="n"/>
    </row>
    <row r="865" ht="15" customHeight="1" s="195">
      <c r="A865" s="381">
        <f>IF(AND('SETIEMBRE 2026'!D29&lt;&gt;"",'SETIEMBRE 2026'!Z29="POR RECOGER"),"SET","")</f>
        <v/>
      </c>
      <c r="B865" s="381">
        <f>IF(AND('SETIEMBRE 2026'!D29&lt;&gt;"",'SETIEMBRE 2026'!Z29="POR RECOGER"),IF('SETIEMBRE 2026'!Y29&lt;&gt;"",'SETIEMBRE 2026'!Y29,'SETIEMBRE 2026'!I29),"")</f>
        <v/>
      </c>
      <c r="C865" s="381">
        <f>IF(AND('SETIEMBRE 2026'!D29&lt;&gt;"",'SETIEMBRE 2026'!Z29="POR RECOGER"),'SETIEMBRE 2026'!D29,"")</f>
        <v/>
      </c>
      <c r="D865" s="381">
        <f>IF(AND('SETIEMBRE 2026'!D29&lt;&gt;"",'SETIEMBRE 2026'!Z29="POR RECOGER"),'SETIEMBRE 2026'!F29,"")</f>
        <v/>
      </c>
      <c r="E865" s="381">
        <f>IF(AND('SETIEMBRE 2026'!D29&lt;&gt;"",'SETIEMBRE 2026'!Z29="POR RECOGER"),TEXT('SETIEMBRE 2026'!G29,"DD/MM/YYYY"),"")</f>
        <v/>
      </c>
      <c r="F865" s="381">
        <f>IF(AND('SETIEMBRE 2026'!D29&lt;&gt;"",'SETIEMBRE 2026'!Z29="POR RECOGER"),'SETIEMBRE 2026'!K29,"")</f>
        <v/>
      </c>
      <c r="G865" s="382">
        <f>IF(AND('SETIEMBRE 2026'!D29&lt;&gt;"",'SETIEMBRE 2026'!Z29="POR RECOGER"),'SETIEMBRE 2026'!M29,"")</f>
        <v/>
      </c>
      <c r="H865" s="382">
        <f>IF(AND('SETIEMBRE 2026'!D29&lt;&gt;"",'SETIEMBRE 2026'!Z29="POR RECOGER"),'SETIEMBRE 2026'!N29,"")</f>
        <v/>
      </c>
      <c r="I865" s="381">
        <f>IF(AND('SETIEMBRE 2026'!D29&lt;&gt;"",'SETIEMBRE 2026'!Z29="POR RECOGER"),'SETIEMBRE 2026'!P29,"")</f>
        <v/>
      </c>
      <c r="J865" s="381">
        <f>IF(AND('SETIEMBRE 2026'!D29&lt;&gt;"",'SETIEMBRE 2026'!Z29="POR RECOGER"),'SETIEMBRE 2026'!Q29,"")</f>
        <v/>
      </c>
      <c r="K865" s="381">
        <f>IF(AND('SETIEMBRE 2026'!D29&lt;&gt;"",'SETIEMBRE 2026'!Z29="POR RECOGER"),'SETIEMBRE 2026'!Y29,"")</f>
        <v/>
      </c>
      <c r="L865" s="381">
        <f>IF(AND('SETIEMBRE 2026'!D29&lt;&gt;"",'SETIEMBRE 2026'!Z29="POR RECOGER"),'SETIEMBRE 2026'!I29,"")</f>
        <v/>
      </c>
      <c r="P865" s="194" t="n"/>
      <c r="Q865" s="194" t="n"/>
      <c r="R865" s="194" t="n"/>
      <c r="S865" s="194" t="n"/>
      <c r="T865" s="194" t="n"/>
      <c r="U865" s="194" t="n"/>
      <c r="V865" s="194" t="n"/>
      <c r="W865" s="194" t="n"/>
      <c r="X865" s="194" t="n"/>
      <c r="Y865" s="194" t="n"/>
      <c r="Z865" s="194" t="n"/>
    </row>
    <row r="866" ht="15" customHeight="1" s="195">
      <c r="A866" s="381">
        <f>IF(AND('SETIEMBRE 2026'!D30&lt;&gt;"",'SETIEMBRE 2026'!Z30="POR RECOGER"),"SET","")</f>
        <v/>
      </c>
      <c r="B866" s="381">
        <f>IF(AND('SETIEMBRE 2026'!D30&lt;&gt;"",'SETIEMBRE 2026'!Z30="POR RECOGER"),IF('SETIEMBRE 2026'!Y30&lt;&gt;"",'SETIEMBRE 2026'!Y30,'SETIEMBRE 2026'!I30),"")</f>
        <v/>
      </c>
      <c r="C866" s="381">
        <f>IF(AND('SETIEMBRE 2026'!D30&lt;&gt;"",'SETIEMBRE 2026'!Z30="POR RECOGER"),'SETIEMBRE 2026'!D30,"")</f>
        <v/>
      </c>
      <c r="D866" s="381">
        <f>IF(AND('SETIEMBRE 2026'!D30&lt;&gt;"",'SETIEMBRE 2026'!Z30="POR RECOGER"),'SETIEMBRE 2026'!F30,"")</f>
        <v/>
      </c>
      <c r="E866" s="381">
        <f>IF(AND('SETIEMBRE 2026'!D30&lt;&gt;"",'SETIEMBRE 2026'!Z30="POR RECOGER"),TEXT('SETIEMBRE 2026'!G30,"DD/MM/YYYY"),"")</f>
        <v/>
      </c>
      <c r="F866" s="381">
        <f>IF(AND('SETIEMBRE 2026'!D30&lt;&gt;"",'SETIEMBRE 2026'!Z30="POR RECOGER"),'SETIEMBRE 2026'!K30,"")</f>
        <v/>
      </c>
      <c r="G866" s="382">
        <f>IF(AND('SETIEMBRE 2026'!D30&lt;&gt;"",'SETIEMBRE 2026'!Z30="POR RECOGER"),'SETIEMBRE 2026'!M30,"")</f>
        <v/>
      </c>
      <c r="H866" s="382">
        <f>IF(AND('SETIEMBRE 2026'!D30&lt;&gt;"",'SETIEMBRE 2026'!Z30="POR RECOGER"),'SETIEMBRE 2026'!N30,"")</f>
        <v/>
      </c>
      <c r="I866" s="381">
        <f>IF(AND('SETIEMBRE 2026'!D30&lt;&gt;"",'SETIEMBRE 2026'!Z30="POR RECOGER"),'SETIEMBRE 2026'!P30,"")</f>
        <v/>
      </c>
      <c r="J866" s="381">
        <f>IF(AND('SETIEMBRE 2026'!D30&lt;&gt;"",'SETIEMBRE 2026'!Z30="POR RECOGER"),'SETIEMBRE 2026'!Q30,"")</f>
        <v/>
      </c>
      <c r="K866" s="381">
        <f>IF(AND('SETIEMBRE 2026'!D30&lt;&gt;"",'SETIEMBRE 2026'!Z30="POR RECOGER"),'SETIEMBRE 2026'!Y30,"")</f>
        <v/>
      </c>
      <c r="L866" s="381">
        <f>IF(AND('SETIEMBRE 2026'!D30&lt;&gt;"",'SETIEMBRE 2026'!Z30="POR RECOGER"),'SETIEMBRE 2026'!I30,"")</f>
        <v/>
      </c>
      <c r="P866" s="194" t="n"/>
      <c r="Q866" s="194" t="n"/>
      <c r="R866" s="194" t="n"/>
      <c r="S866" s="194" t="n"/>
      <c r="T866" s="194" t="n"/>
      <c r="U866" s="194" t="n"/>
      <c r="V866" s="194" t="n"/>
      <c r="W866" s="194" t="n"/>
      <c r="X866" s="194" t="n"/>
      <c r="Y866" s="194" t="n"/>
      <c r="Z866" s="194" t="n"/>
    </row>
    <row r="867" ht="15" customHeight="1" s="195">
      <c r="A867" s="381">
        <f>IF(AND('SETIEMBRE 2026'!D31&lt;&gt;"",'SETIEMBRE 2026'!Z31="POR RECOGER"),"SET","")</f>
        <v/>
      </c>
      <c r="B867" s="381">
        <f>IF(AND('SETIEMBRE 2026'!D31&lt;&gt;"",'SETIEMBRE 2026'!Z31="POR RECOGER"),IF('SETIEMBRE 2026'!Y31&lt;&gt;"",'SETIEMBRE 2026'!Y31,'SETIEMBRE 2026'!I31),"")</f>
        <v/>
      </c>
      <c r="C867" s="381">
        <f>IF(AND('SETIEMBRE 2026'!D31&lt;&gt;"",'SETIEMBRE 2026'!Z31="POR RECOGER"),'SETIEMBRE 2026'!D31,"")</f>
        <v/>
      </c>
      <c r="D867" s="381">
        <f>IF(AND('SETIEMBRE 2026'!D31&lt;&gt;"",'SETIEMBRE 2026'!Z31="POR RECOGER"),'SETIEMBRE 2026'!F31,"")</f>
        <v/>
      </c>
      <c r="E867" s="381">
        <f>IF(AND('SETIEMBRE 2026'!D31&lt;&gt;"",'SETIEMBRE 2026'!Z31="POR RECOGER"),TEXT('SETIEMBRE 2026'!G31,"DD/MM/YYYY"),"")</f>
        <v/>
      </c>
      <c r="F867" s="381">
        <f>IF(AND('SETIEMBRE 2026'!D31&lt;&gt;"",'SETIEMBRE 2026'!Z31="POR RECOGER"),'SETIEMBRE 2026'!K31,"")</f>
        <v/>
      </c>
      <c r="G867" s="382">
        <f>IF(AND('SETIEMBRE 2026'!D31&lt;&gt;"",'SETIEMBRE 2026'!Z31="POR RECOGER"),'SETIEMBRE 2026'!M31,"")</f>
        <v/>
      </c>
      <c r="H867" s="382">
        <f>IF(AND('SETIEMBRE 2026'!D31&lt;&gt;"",'SETIEMBRE 2026'!Z31="POR RECOGER"),'SETIEMBRE 2026'!N31,"")</f>
        <v/>
      </c>
      <c r="I867" s="381">
        <f>IF(AND('SETIEMBRE 2026'!D31&lt;&gt;"",'SETIEMBRE 2026'!Z31="POR RECOGER"),'SETIEMBRE 2026'!P31,"")</f>
        <v/>
      </c>
      <c r="J867" s="381">
        <f>IF(AND('SETIEMBRE 2026'!D31&lt;&gt;"",'SETIEMBRE 2026'!Z31="POR RECOGER"),'SETIEMBRE 2026'!Q31,"")</f>
        <v/>
      </c>
      <c r="K867" s="381">
        <f>IF(AND('SETIEMBRE 2026'!D31&lt;&gt;"",'SETIEMBRE 2026'!Z31="POR RECOGER"),'SETIEMBRE 2026'!Y31,"")</f>
        <v/>
      </c>
      <c r="L867" s="381">
        <f>IF(AND('SETIEMBRE 2026'!D31&lt;&gt;"",'SETIEMBRE 2026'!Z31="POR RECOGER"),'SETIEMBRE 2026'!I31,"")</f>
        <v/>
      </c>
      <c r="P867" s="194" t="n"/>
      <c r="Q867" s="194" t="n"/>
      <c r="R867" s="194" t="n"/>
      <c r="S867" s="194" t="n"/>
      <c r="T867" s="194" t="n"/>
      <c r="U867" s="194" t="n"/>
      <c r="V867" s="194" t="n"/>
      <c r="W867" s="194" t="n"/>
      <c r="X867" s="194" t="n"/>
      <c r="Y867" s="194" t="n"/>
      <c r="Z867" s="194" t="n"/>
    </row>
    <row r="868" ht="15" customHeight="1" s="195">
      <c r="A868" s="381">
        <f>IF(AND('SETIEMBRE 2026'!D32&lt;&gt;"",'SETIEMBRE 2026'!Z32="POR RECOGER"),"SET","")</f>
        <v/>
      </c>
      <c r="B868" s="381">
        <f>IF(AND('SETIEMBRE 2026'!D32&lt;&gt;"",'SETIEMBRE 2026'!Z32="POR RECOGER"),IF('SETIEMBRE 2026'!Y32&lt;&gt;"",'SETIEMBRE 2026'!Y32,'SETIEMBRE 2026'!I32),"")</f>
        <v/>
      </c>
      <c r="C868" s="381">
        <f>IF(AND('SETIEMBRE 2026'!D32&lt;&gt;"",'SETIEMBRE 2026'!Z32="POR RECOGER"),'SETIEMBRE 2026'!D32,"")</f>
        <v/>
      </c>
      <c r="D868" s="381">
        <f>IF(AND('SETIEMBRE 2026'!D32&lt;&gt;"",'SETIEMBRE 2026'!Z32="POR RECOGER"),'SETIEMBRE 2026'!F32,"")</f>
        <v/>
      </c>
      <c r="E868" s="381">
        <f>IF(AND('SETIEMBRE 2026'!D32&lt;&gt;"",'SETIEMBRE 2026'!Z32="POR RECOGER"),TEXT('SETIEMBRE 2026'!G32,"DD/MM/YYYY"),"")</f>
        <v/>
      </c>
      <c r="F868" s="381">
        <f>IF(AND('SETIEMBRE 2026'!D32&lt;&gt;"",'SETIEMBRE 2026'!Z32="POR RECOGER"),'SETIEMBRE 2026'!K32,"")</f>
        <v/>
      </c>
      <c r="G868" s="382">
        <f>IF(AND('SETIEMBRE 2026'!D32&lt;&gt;"",'SETIEMBRE 2026'!Z32="POR RECOGER"),'SETIEMBRE 2026'!M32,"")</f>
        <v/>
      </c>
      <c r="H868" s="382">
        <f>IF(AND('SETIEMBRE 2026'!D32&lt;&gt;"",'SETIEMBRE 2026'!Z32="POR RECOGER"),'SETIEMBRE 2026'!N32,"")</f>
        <v/>
      </c>
      <c r="I868" s="381">
        <f>IF(AND('SETIEMBRE 2026'!D32&lt;&gt;"",'SETIEMBRE 2026'!Z32="POR RECOGER"),'SETIEMBRE 2026'!P32,"")</f>
        <v/>
      </c>
      <c r="J868" s="381">
        <f>IF(AND('SETIEMBRE 2026'!D32&lt;&gt;"",'SETIEMBRE 2026'!Z32="POR RECOGER"),'SETIEMBRE 2026'!Q32,"")</f>
        <v/>
      </c>
      <c r="K868" s="381">
        <f>IF(AND('SETIEMBRE 2026'!D32&lt;&gt;"",'SETIEMBRE 2026'!Z32="POR RECOGER"),'SETIEMBRE 2026'!Y32,"")</f>
        <v/>
      </c>
      <c r="L868" s="381">
        <f>IF(AND('SETIEMBRE 2026'!D32&lt;&gt;"",'SETIEMBRE 2026'!Z32="POR RECOGER"),'SETIEMBRE 2026'!I32,"")</f>
        <v/>
      </c>
      <c r="P868" s="194" t="n"/>
      <c r="Q868" s="194" t="n"/>
      <c r="R868" s="194" t="n"/>
      <c r="S868" s="194" t="n"/>
      <c r="T868" s="194" t="n"/>
      <c r="U868" s="194" t="n"/>
      <c r="V868" s="194" t="n"/>
      <c r="W868" s="194" t="n"/>
      <c r="X868" s="194" t="n"/>
      <c r="Y868" s="194" t="n"/>
      <c r="Z868" s="194" t="n"/>
    </row>
    <row r="869" ht="15" customHeight="1" s="195">
      <c r="A869" s="381">
        <f>IF(AND('SETIEMBRE 2026'!D33&lt;&gt;"",'SETIEMBRE 2026'!Z33="POR RECOGER"),"SET","")</f>
        <v/>
      </c>
      <c r="B869" s="381">
        <f>IF(AND('SETIEMBRE 2026'!D33&lt;&gt;"",'SETIEMBRE 2026'!Z33="POR RECOGER"),IF('SETIEMBRE 2026'!Y33&lt;&gt;"",'SETIEMBRE 2026'!Y33,'SETIEMBRE 2026'!I33),"")</f>
        <v/>
      </c>
      <c r="C869" s="381">
        <f>IF(AND('SETIEMBRE 2026'!D33&lt;&gt;"",'SETIEMBRE 2026'!Z33="POR RECOGER"),'SETIEMBRE 2026'!D33,"")</f>
        <v/>
      </c>
      <c r="D869" s="381">
        <f>IF(AND('SETIEMBRE 2026'!D33&lt;&gt;"",'SETIEMBRE 2026'!Z33="POR RECOGER"),'SETIEMBRE 2026'!F33,"")</f>
        <v/>
      </c>
      <c r="E869" s="381">
        <f>IF(AND('SETIEMBRE 2026'!D33&lt;&gt;"",'SETIEMBRE 2026'!Z33="POR RECOGER"),TEXT('SETIEMBRE 2026'!G33,"DD/MM/YYYY"),"")</f>
        <v/>
      </c>
      <c r="F869" s="381">
        <f>IF(AND('SETIEMBRE 2026'!D33&lt;&gt;"",'SETIEMBRE 2026'!Z33="POR RECOGER"),'SETIEMBRE 2026'!K33,"")</f>
        <v/>
      </c>
      <c r="G869" s="382">
        <f>IF(AND('SETIEMBRE 2026'!D33&lt;&gt;"",'SETIEMBRE 2026'!Z33="POR RECOGER"),'SETIEMBRE 2026'!M33,"")</f>
        <v/>
      </c>
      <c r="H869" s="382">
        <f>IF(AND('SETIEMBRE 2026'!D33&lt;&gt;"",'SETIEMBRE 2026'!Z33="POR RECOGER"),'SETIEMBRE 2026'!N33,"")</f>
        <v/>
      </c>
      <c r="I869" s="381">
        <f>IF(AND('SETIEMBRE 2026'!D33&lt;&gt;"",'SETIEMBRE 2026'!Z33="POR RECOGER"),'SETIEMBRE 2026'!P33,"")</f>
        <v/>
      </c>
      <c r="J869" s="381">
        <f>IF(AND('SETIEMBRE 2026'!D33&lt;&gt;"",'SETIEMBRE 2026'!Z33="POR RECOGER"),'SETIEMBRE 2026'!Q33,"")</f>
        <v/>
      </c>
      <c r="K869" s="381">
        <f>IF(AND('SETIEMBRE 2026'!D33&lt;&gt;"",'SETIEMBRE 2026'!Z33="POR RECOGER"),'SETIEMBRE 2026'!Y33,"")</f>
        <v/>
      </c>
      <c r="L869" s="381">
        <f>IF(AND('SETIEMBRE 2026'!D33&lt;&gt;"",'SETIEMBRE 2026'!Z33="POR RECOGER"),'SETIEMBRE 2026'!I33,"")</f>
        <v/>
      </c>
      <c r="P869" s="194" t="n"/>
      <c r="Q869" s="194" t="n"/>
      <c r="R869" s="194" t="n"/>
      <c r="S869" s="194" t="n"/>
      <c r="T869" s="194" t="n"/>
      <c r="U869" s="194" t="n"/>
      <c r="V869" s="194" t="n"/>
      <c r="W869" s="194" t="n"/>
      <c r="X869" s="194" t="n"/>
      <c r="Y869" s="194" t="n"/>
      <c r="Z869" s="194" t="n"/>
    </row>
    <row r="870" ht="15" customHeight="1" s="195">
      <c r="A870" s="381">
        <f>IF(AND('SETIEMBRE 2026'!D34&lt;&gt;"",'SETIEMBRE 2026'!Z34="POR RECOGER"),"SET","")</f>
        <v/>
      </c>
      <c r="B870" s="381">
        <f>IF(AND('SETIEMBRE 2026'!D34&lt;&gt;"",'SETIEMBRE 2026'!Z34="POR RECOGER"),IF('SETIEMBRE 2026'!Y34&lt;&gt;"",'SETIEMBRE 2026'!Y34,'SETIEMBRE 2026'!I34),"")</f>
        <v/>
      </c>
      <c r="C870" s="381">
        <f>IF(AND('SETIEMBRE 2026'!D34&lt;&gt;"",'SETIEMBRE 2026'!Z34="POR RECOGER"),'SETIEMBRE 2026'!D34,"")</f>
        <v/>
      </c>
      <c r="D870" s="381">
        <f>IF(AND('SETIEMBRE 2026'!D34&lt;&gt;"",'SETIEMBRE 2026'!Z34="POR RECOGER"),'SETIEMBRE 2026'!F34,"")</f>
        <v/>
      </c>
      <c r="E870" s="381">
        <f>IF(AND('SETIEMBRE 2026'!D34&lt;&gt;"",'SETIEMBRE 2026'!Z34="POR RECOGER"),TEXT('SETIEMBRE 2026'!G34,"DD/MM/YYYY"),"")</f>
        <v/>
      </c>
      <c r="F870" s="381">
        <f>IF(AND('SETIEMBRE 2026'!D34&lt;&gt;"",'SETIEMBRE 2026'!Z34="POR RECOGER"),'SETIEMBRE 2026'!K34,"")</f>
        <v/>
      </c>
      <c r="G870" s="382">
        <f>IF(AND('SETIEMBRE 2026'!D34&lt;&gt;"",'SETIEMBRE 2026'!Z34="POR RECOGER"),'SETIEMBRE 2026'!M34,"")</f>
        <v/>
      </c>
      <c r="H870" s="382">
        <f>IF(AND('SETIEMBRE 2026'!D34&lt;&gt;"",'SETIEMBRE 2026'!Z34="POR RECOGER"),'SETIEMBRE 2026'!N34,"")</f>
        <v/>
      </c>
      <c r="I870" s="381">
        <f>IF(AND('SETIEMBRE 2026'!D34&lt;&gt;"",'SETIEMBRE 2026'!Z34="POR RECOGER"),'SETIEMBRE 2026'!P34,"")</f>
        <v/>
      </c>
      <c r="J870" s="381">
        <f>IF(AND('SETIEMBRE 2026'!D34&lt;&gt;"",'SETIEMBRE 2026'!Z34="POR RECOGER"),'SETIEMBRE 2026'!Q34,"")</f>
        <v/>
      </c>
      <c r="K870" s="381">
        <f>IF(AND('SETIEMBRE 2026'!D34&lt;&gt;"",'SETIEMBRE 2026'!Z34="POR RECOGER"),'SETIEMBRE 2026'!Y34,"")</f>
        <v/>
      </c>
      <c r="L870" s="381">
        <f>IF(AND('SETIEMBRE 2026'!D34&lt;&gt;"",'SETIEMBRE 2026'!Z34="POR RECOGER"),'SETIEMBRE 2026'!I34,"")</f>
        <v/>
      </c>
      <c r="P870" s="194" t="n"/>
      <c r="Q870" s="194" t="n"/>
      <c r="R870" s="194" t="n"/>
      <c r="S870" s="194" t="n"/>
      <c r="T870" s="194" t="n"/>
      <c r="U870" s="194" t="n"/>
      <c r="V870" s="194" t="n"/>
      <c r="W870" s="194" t="n"/>
      <c r="X870" s="194" t="n"/>
      <c r="Y870" s="194" t="n"/>
      <c r="Z870" s="194" t="n"/>
    </row>
    <row r="871" ht="15" customHeight="1" s="195">
      <c r="A871" s="381">
        <f>IF(AND('SETIEMBRE 2026'!D35&lt;&gt;"",'SETIEMBRE 2026'!Z35="POR RECOGER"),"SET","")</f>
        <v/>
      </c>
      <c r="B871" s="381">
        <f>IF(AND('SETIEMBRE 2026'!D35&lt;&gt;"",'SETIEMBRE 2026'!Z35="POR RECOGER"),IF('SETIEMBRE 2026'!Y35&lt;&gt;"",'SETIEMBRE 2026'!Y35,'SETIEMBRE 2026'!I35),"")</f>
        <v/>
      </c>
      <c r="C871" s="381">
        <f>IF(AND('SETIEMBRE 2026'!D35&lt;&gt;"",'SETIEMBRE 2026'!Z35="POR RECOGER"),'SETIEMBRE 2026'!D35,"")</f>
        <v/>
      </c>
      <c r="D871" s="381">
        <f>IF(AND('SETIEMBRE 2026'!D35&lt;&gt;"",'SETIEMBRE 2026'!Z35="POR RECOGER"),'SETIEMBRE 2026'!F35,"")</f>
        <v/>
      </c>
      <c r="E871" s="381">
        <f>IF(AND('SETIEMBRE 2026'!D35&lt;&gt;"",'SETIEMBRE 2026'!Z35="POR RECOGER"),TEXT('SETIEMBRE 2026'!G35,"DD/MM/YYYY"),"")</f>
        <v/>
      </c>
      <c r="F871" s="381">
        <f>IF(AND('SETIEMBRE 2026'!D35&lt;&gt;"",'SETIEMBRE 2026'!Z35="POR RECOGER"),'SETIEMBRE 2026'!K35,"")</f>
        <v/>
      </c>
      <c r="G871" s="382">
        <f>IF(AND('SETIEMBRE 2026'!D35&lt;&gt;"",'SETIEMBRE 2026'!Z35="POR RECOGER"),'SETIEMBRE 2026'!M35,"")</f>
        <v/>
      </c>
      <c r="H871" s="382">
        <f>IF(AND('SETIEMBRE 2026'!D35&lt;&gt;"",'SETIEMBRE 2026'!Z35="POR RECOGER"),'SETIEMBRE 2026'!N35,"")</f>
        <v/>
      </c>
      <c r="I871" s="381">
        <f>IF(AND('SETIEMBRE 2026'!D35&lt;&gt;"",'SETIEMBRE 2026'!Z35="POR RECOGER"),'SETIEMBRE 2026'!P35,"")</f>
        <v/>
      </c>
      <c r="J871" s="381">
        <f>IF(AND('SETIEMBRE 2026'!D35&lt;&gt;"",'SETIEMBRE 2026'!Z35="POR RECOGER"),'SETIEMBRE 2026'!Q35,"")</f>
        <v/>
      </c>
      <c r="K871" s="381">
        <f>IF(AND('SETIEMBRE 2026'!D35&lt;&gt;"",'SETIEMBRE 2026'!Z35="POR RECOGER"),'SETIEMBRE 2026'!Y35,"")</f>
        <v/>
      </c>
      <c r="L871" s="381">
        <f>IF(AND('SETIEMBRE 2026'!D35&lt;&gt;"",'SETIEMBRE 2026'!Z35="POR RECOGER"),'SETIEMBRE 2026'!I35,"")</f>
        <v/>
      </c>
      <c r="P871" s="194" t="n"/>
      <c r="Q871" s="194" t="n"/>
      <c r="R871" s="194" t="n"/>
      <c r="S871" s="194" t="n"/>
      <c r="T871" s="194" t="n"/>
      <c r="U871" s="194" t="n"/>
      <c r="V871" s="194" t="n"/>
      <c r="W871" s="194" t="n"/>
      <c r="X871" s="194" t="n"/>
      <c r="Y871" s="194" t="n"/>
      <c r="Z871" s="194" t="n"/>
    </row>
    <row r="872" ht="15" customHeight="1" s="195">
      <c r="A872" s="381">
        <f>IF(AND('SETIEMBRE 2026'!D36&lt;&gt;"",'SETIEMBRE 2026'!Z36="POR RECOGER"),"SET","")</f>
        <v/>
      </c>
      <c r="B872" s="381">
        <f>IF(AND('SETIEMBRE 2026'!D36&lt;&gt;"",'SETIEMBRE 2026'!Z36="POR RECOGER"),IF('SETIEMBRE 2026'!Y36&lt;&gt;"",'SETIEMBRE 2026'!Y36,'SETIEMBRE 2026'!I36),"")</f>
        <v/>
      </c>
      <c r="C872" s="381">
        <f>IF(AND('SETIEMBRE 2026'!D36&lt;&gt;"",'SETIEMBRE 2026'!Z36="POR RECOGER"),'SETIEMBRE 2026'!D36,"")</f>
        <v/>
      </c>
      <c r="D872" s="381">
        <f>IF(AND('SETIEMBRE 2026'!D36&lt;&gt;"",'SETIEMBRE 2026'!Z36="POR RECOGER"),'SETIEMBRE 2026'!F36,"")</f>
        <v/>
      </c>
      <c r="E872" s="381">
        <f>IF(AND('SETIEMBRE 2026'!D36&lt;&gt;"",'SETIEMBRE 2026'!Z36="POR RECOGER"),TEXT('SETIEMBRE 2026'!G36,"DD/MM/YYYY"),"")</f>
        <v/>
      </c>
      <c r="F872" s="381">
        <f>IF(AND('SETIEMBRE 2026'!D36&lt;&gt;"",'SETIEMBRE 2026'!Z36="POR RECOGER"),'SETIEMBRE 2026'!K36,"")</f>
        <v/>
      </c>
      <c r="G872" s="382">
        <f>IF(AND('SETIEMBRE 2026'!D36&lt;&gt;"",'SETIEMBRE 2026'!Z36="POR RECOGER"),'SETIEMBRE 2026'!M36,"")</f>
        <v/>
      </c>
      <c r="H872" s="382">
        <f>IF(AND('SETIEMBRE 2026'!D36&lt;&gt;"",'SETIEMBRE 2026'!Z36="POR RECOGER"),'SETIEMBRE 2026'!N36,"")</f>
        <v/>
      </c>
      <c r="I872" s="381">
        <f>IF(AND('SETIEMBRE 2026'!D36&lt;&gt;"",'SETIEMBRE 2026'!Z36="POR RECOGER"),'SETIEMBRE 2026'!P36,"")</f>
        <v/>
      </c>
      <c r="J872" s="381">
        <f>IF(AND('SETIEMBRE 2026'!D36&lt;&gt;"",'SETIEMBRE 2026'!Z36="POR RECOGER"),'SETIEMBRE 2026'!Q36,"")</f>
        <v/>
      </c>
      <c r="K872" s="381">
        <f>IF(AND('SETIEMBRE 2026'!D36&lt;&gt;"",'SETIEMBRE 2026'!Z36="POR RECOGER"),'SETIEMBRE 2026'!Y36,"")</f>
        <v/>
      </c>
      <c r="L872" s="381">
        <f>IF(AND('SETIEMBRE 2026'!D36&lt;&gt;"",'SETIEMBRE 2026'!Z36="POR RECOGER"),'SETIEMBRE 2026'!I36,"")</f>
        <v/>
      </c>
      <c r="P872" s="194" t="n"/>
      <c r="Q872" s="194" t="n"/>
      <c r="R872" s="194" t="n"/>
      <c r="S872" s="194" t="n"/>
      <c r="T872" s="194" t="n"/>
      <c r="U872" s="194" t="n"/>
      <c r="V872" s="194" t="n"/>
      <c r="W872" s="194" t="n"/>
      <c r="X872" s="194" t="n"/>
      <c r="Y872" s="194" t="n"/>
      <c r="Z872" s="194" t="n"/>
    </row>
    <row r="873" ht="15" customHeight="1" s="195">
      <c r="A873" s="381">
        <f>IF(AND('SETIEMBRE 2026'!D37&lt;&gt;"",'SETIEMBRE 2026'!Z37="POR RECOGER"),"SET","")</f>
        <v/>
      </c>
      <c r="B873" s="381">
        <f>IF(AND('SETIEMBRE 2026'!D37&lt;&gt;"",'SETIEMBRE 2026'!Z37="POR RECOGER"),IF('SETIEMBRE 2026'!Y37&lt;&gt;"",'SETIEMBRE 2026'!Y37,'SETIEMBRE 2026'!I37),"")</f>
        <v/>
      </c>
      <c r="C873" s="381">
        <f>IF(AND('SETIEMBRE 2026'!D37&lt;&gt;"",'SETIEMBRE 2026'!Z37="POR RECOGER"),'SETIEMBRE 2026'!D37,"")</f>
        <v/>
      </c>
      <c r="D873" s="381">
        <f>IF(AND('SETIEMBRE 2026'!D37&lt;&gt;"",'SETIEMBRE 2026'!Z37="POR RECOGER"),'SETIEMBRE 2026'!F37,"")</f>
        <v/>
      </c>
      <c r="E873" s="381">
        <f>IF(AND('SETIEMBRE 2026'!D37&lt;&gt;"",'SETIEMBRE 2026'!Z37="POR RECOGER"),TEXT('SETIEMBRE 2026'!G37,"DD/MM/YYYY"),"")</f>
        <v/>
      </c>
      <c r="F873" s="381">
        <f>IF(AND('SETIEMBRE 2026'!D37&lt;&gt;"",'SETIEMBRE 2026'!Z37="POR RECOGER"),'SETIEMBRE 2026'!K37,"")</f>
        <v/>
      </c>
      <c r="G873" s="382">
        <f>IF(AND('SETIEMBRE 2026'!D37&lt;&gt;"",'SETIEMBRE 2026'!Z37="POR RECOGER"),'SETIEMBRE 2026'!M37,"")</f>
        <v/>
      </c>
      <c r="H873" s="382">
        <f>IF(AND('SETIEMBRE 2026'!D37&lt;&gt;"",'SETIEMBRE 2026'!Z37="POR RECOGER"),'SETIEMBRE 2026'!N37,"")</f>
        <v/>
      </c>
      <c r="I873" s="381">
        <f>IF(AND('SETIEMBRE 2026'!D37&lt;&gt;"",'SETIEMBRE 2026'!Z37="POR RECOGER"),'SETIEMBRE 2026'!P37,"")</f>
        <v/>
      </c>
      <c r="J873" s="381">
        <f>IF(AND('SETIEMBRE 2026'!D37&lt;&gt;"",'SETIEMBRE 2026'!Z37="POR RECOGER"),'SETIEMBRE 2026'!Q37,"")</f>
        <v/>
      </c>
      <c r="K873" s="381">
        <f>IF(AND('SETIEMBRE 2026'!D37&lt;&gt;"",'SETIEMBRE 2026'!Z37="POR RECOGER"),'SETIEMBRE 2026'!Y37,"")</f>
        <v/>
      </c>
      <c r="L873" s="381">
        <f>IF(AND('SETIEMBRE 2026'!D37&lt;&gt;"",'SETIEMBRE 2026'!Z37="POR RECOGER"),'SETIEMBRE 2026'!I37,"")</f>
        <v/>
      </c>
      <c r="P873" s="194" t="n"/>
      <c r="Q873" s="194" t="n"/>
      <c r="R873" s="194" t="n"/>
      <c r="S873" s="194" t="n"/>
      <c r="T873" s="194" t="n"/>
      <c r="U873" s="194" t="n"/>
      <c r="V873" s="194" t="n"/>
      <c r="W873" s="194" t="n"/>
      <c r="X873" s="194" t="n"/>
      <c r="Y873" s="194" t="n"/>
      <c r="Z873" s="194" t="n"/>
    </row>
    <row r="874" ht="15" customHeight="1" s="195">
      <c r="A874" s="381">
        <f>IF(AND('SETIEMBRE 2026'!D38&lt;&gt;"",'SETIEMBRE 2026'!Z38="POR RECOGER"),"SET","")</f>
        <v/>
      </c>
      <c r="B874" s="381">
        <f>IF(AND('SETIEMBRE 2026'!D38&lt;&gt;"",'SETIEMBRE 2026'!Z38="POR RECOGER"),IF('SETIEMBRE 2026'!Y38&lt;&gt;"",'SETIEMBRE 2026'!Y38,'SETIEMBRE 2026'!I38),"")</f>
        <v/>
      </c>
      <c r="C874" s="381">
        <f>IF(AND('SETIEMBRE 2026'!D38&lt;&gt;"",'SETIEMBRE 2026'!Z38="POR RECOGER"),'SETIEMBRE 2026'!D38,"")</f>
        <v/>
      </c>
      <c r="D874" s="381">
        <f>IF(AND('SETIEMBRE 2026'!D38&lt;&gt;"",'SETIEMBRE 2026'!Z38="POR RECOGER"),'SETIEMBRE 2026'!F38,"")</f>
        <v/>
      </c>
      <c r="E874" s="381">
        <f>IF(AND('SETIEMBRE 2026'!D38&lt;&gt;"",'SETIEMBRE 2026'!Z38="POR RECOGER"),TEXT('SETIEMBRE 2026'!G38,"DD/MM/YYYY"),"")</f>
        <v/>
      </c>
      <c r="F874" s="381">
        <f>IF(AND('SETIEMBRE 2026'!D38&lt;&gt;"",'SETIEMBRE 2026'!Z38="POR RECOGER"),'SETIEMBRE 2026'!K38,"")</f>
        <v/>
      </c>
      <c r="G874" s="382">
        <f>IF(AND('SETIEMBRE 2026'!D38&lt;&gt;"",'SETIEMBRE 2026'!Z38="POR RECOGER"),'SETIEMBRE 2026'!M38,"")</f>
        <v/>
      </c>
      <c r="H874" s="382">
        <f>IF(AND('SETIEMBRE 2026'!D38&lt;&gt;"",'SETIEMBRE 2026'!Z38="POR RECOGER"),'SETIEMBRE 2026'!N38,"")</f>
        <v/>
      </c>
      <c r="I874" s="381">
        <f>IF(AND('SETIEMBRE 2026'!D38&lt;&gt;"",'SETIEMBRE 2026'!Z38="POR RECOGER"),'SETIEMBRE 2026'!P38,"")</f>
        <v/>
      </c>
      <c r="J874" s="381">
        <f>IF(AND('SETIEMBRE 2026'!D38&lt;&gt;"",'SETIEMBRE 2026'!Z38="POR RECOGER"),'SETIEMBRE 2026'!Q38,"")</f>
        <v/>
      </c>
      <c r="K874" s="381">
        <f>IF(AND('SETIEMBRE 2026'!D38&lt;&gt;"",'SETIEMBRE 2026'!Z38="POR RECOGER"),'SETIEMBRE 2026'!Y38,"")</f>
        <v/>
      </c>
      <c r="L874" s="381">
        <f>IF(AND('SETIEMBRE 2026'!D38&lt;&gt;"",'SETIEMBRE 2026'!Z38="POR RECOGER"),'SETIEMBRE 2026'!I38,"")</f>
        <v/>
      </c>
      <c r="P874" s="194" t="n"/>
      <c r="Q874" s="194" t="n"/>
      <c r="R874" s="194" t="n"/>
      <c r="S874" s="194" t="n"/>
      <c r="T874" s="194" t="n"/>
      <c r="U874" s="194" t="n"/>
      <c r="V874" s="194" t="n"/>
      <c r="W874" s="194" t="n"/>
      <c r="X874" s="194" t="n"/>
      <c r="Y874" s="194" t="n"/>
      <c r="Z874" s="194" t="n"/>
    </row>
    <row r="875" ht="15" customHeight="1" s="195">
      <c r="A875" s="381">
        <f>IF(AND('SETIEMBRE 2026'!D39&lt;&gt;"",'SETIEMBRE 2026'!Z39="POR RECOGER"),"SET","")</f>
        <v/>
      </c>
      <c r="B875" s="381">
        <f>IF(AND('SETIEMBRE 2026'!D39&lt;&gt;"",'SETIEMBRE 2026'!Z39="POR RECOGER"),IF('SETIEMBRE 2026'!Y39&lt;&gt;"",'SETIEMBRE 2026'!Y39,'SETIEMBRE 2026'!I39),"")</f>
        <v/>
      </c>
      <c r="C875" s="381">
        <f>IF(AND('SETIEMBRE 2026'!D39&lt;&gt;"",'SETIEMBRE 2026'!Z39="POR RECOGER"),'SETIEMBRE 2026'!D39,"")</f>
        <v/>
      </c>
      <c r="D875" s="381">
        <f>IF(AND('SETIEMBRE 2026'!D39&lt;&gt;"",'SETIEMBRE 2026'!Z39="POR RECOGER"),'SETIEMBRE 2026'!F39,"")</f>
        <v/>
      </c>
      <c r="E875" s="381">
        <f>IF(AND('SETIEMBRE 2026'!D39&lt;&gt;"",'SETIEMBRE 2026'!Z39="POR RECOGER"),TEXT('SETIEMBRE 2026'!G39,"DD/MM/YYYY"),"")</f>
        <v/>
      </c>
      <c r="F875" s="381">
        <f>IF(AND('SETIEMBRE 2026'!D39&lt;&gt;"",'SETIEMBRE 2026'!Z39="POR RECOGER"),'SETIEMBRE 2026'!K39,"")</f>
        <v/>
      </c>
      <c r="G875" s="382">
        <f>IF(AND('SETIEMBRE 2026'!D39&lt;&gt;"",'SETIEMBRE 2026'!Z39="POR RECOGER"),'SETIEMBRE 2026'!M39,"")</f>
        <v/>
      </c>
      <c r="H875" s="382">
        <f>IF(AND('SETIEMBRE 2026'!D39&lt;&gt;"",'SETIEMBRE 2026'!Z39="POR RECOGER"),'SETIEMBRE 2026'!N39,"")</f>
        <v/>
      </c>
      <c r="I875" s="381">
        <f>IF(AND('SETIEMBRE 2026'!D39&lt;&gt;"",'SETIEMBRE 2026'!Z39="POR RECOGER"),'SETIEMBRE 2026'!P39,"")</f>
        <v/>
      </c>
      <c r="J875" s="381">
        <f>IF(AND('SETIEMBRE 2026'!D39&lt;&gt;"",'SETIEMBRE 2026'!Z39="POR RECOGER"),'SETIEMBRE 2026'!Q39,"")</f>
        <v/>
      </c>
      <c r="K875" s="381">
        <f>IF(AND('SETIEMBRE 2026'!D39&lt;&gt;"",'SETIEMBRE 2026'!Z39="POR RECOGER"),'SETIEMBRE 2026'!Y39,"")</f>
        <v/>
      </c>
      <c r="L875" s="381">
        <f>IF(AND('SETIEMBRE 2026'!D39&lt;&gt;"",'SETIEMBRE 2026'!Z39="POR RECOGER"),'SETIEMBRE 2026'!I39,"")</f>
        <v/>
      </c>
      <c r="P875" s="194" t="n"/>
      <c r="Q875" s="194" t="n"/>
      <c r="R875" s="194" t="n"/>
      <c r="S875" s="194" t="n"/>
      <c r="T875" s="194" t="n"/>
      <c r="U875" s="194" t="n"/>
      <c r="V875" s="194" t="n"/>
      <c r="W875" s="194" t="n"/>
      <c r="X875" s="194" t="n"/>
      <c r="Y875" s="194" t="n"/>
      <c r="Z875" s="194" t="n"/>
    </row>
    <row r="876" ht="15" customHeight="1" s="195">
      <c r="A876" s="381">
        <f>IF(AND('SETIEMBRE 2026'!D40&lt;&gt;"",'SETIEMBRE 2026'!Z40="POR RECOGER"),"SET","")</f>
        <v/>
      </c>
      <c r="B876" s="381">
        <f>IF(AND('SETIEMBRE 2026'!D40&lt;&gt;"",'SETIEMBRE 2026'!Z40="POR RECOGER"),IF('SETIEMBRE 2026'!Y40&lt;&gt;"",'SETIEMBRE 2026'!Y40,'SETIEMBRE 2026'!I40),"")</f>
        <v/>
      </c>
      <c r="C876" s="381">
        <f>IF(AND('SETIEMBRE 2026'!D40&lt;&gt;"",'SETIEMBRE 2026'!Z40="POR RECOGER"),'SETIEMBRE 2026'!D40,"")</f>
        <v/>
      </c>
      <c r="D876" s="381">
        <f>IF(AND('SETIEMBRE 2026'!D40&lt;&gt;"",'SETIEMBRE 2026'!Z40="POR RECOGER"),'SETIEMBRE 2026'!F40,"")</f>
        <v/>
      </c>
      <c r="E876" s="381">
        <f>IF(AND('SETIEMBRE 2026'!D40&lt;&gt;"",'SETIEMBRE 2026'!Z40="POR RECOGER"),TEXT('SETIEMBRE 2026'!G40,"DD/MM/YYYY"),"")</f>
        <v/>
      </c>
      <c r="F876" s="381">
        <f>IF(AND('SETIEMBRE 2026'!D40&lt;&gt;"",'SETIEMBRE 2026'!Z40="POR RECOGER"),'SETIEMBRE 2026'!K40,"")</f>
        <v/>
      </c>
      <c r="G876" s="382">
        <f>IF(AND('SETIEMBRE 2026'!D40&lt;&gt;"",'SETIEMBRE 2026'!Z40="POR RECOGER"),'SETIEMBRE 2026'!M40,"")</f>
        <v/>
      </c>
      <c r="H876" s="382">
        <f>IF(AND('SETIEMBRE 2026'!D40&lt;&gt;"",'SETIEMBRE 2026'!Z40="POR RECOGER"),'SETIEMBRE 2026'!N40,"")</f>
        <v/>
      </c>
      <c r="I876" s="381">
        <f>IF(AND('SETIEMBRE 2026'!D40&lt;&gt;"",'SETIEMBRE 2026'!Z40="POR RECOGER"),'SETIEMBRE 2026'!P40,"")</f>
        <v/>
      </c>
      <c r="J876" s="381">
        <f>IF(AND('SETIEMBRE 2026'!D40&lt;&gt;"",'SETIEMBRE 2026'!Z40="POR RECOGER"),'SETIEMBRE 2026'!Q40,"")</f>
        <v/>
      </c>
      <c r="K876" s="381">
        <f>IF(AND('SETIEMBRE 2026'!D40&lt;&gt;"",'SETIEMBRE 2026'!Z40="POR RECOGER"),'SETIEMBRE 2026'!Y40,"")</f>
        <v/>
      </c>
      <c r="L876" s="381">
        <f>IF(AND('SETIEMBRE 2026'!D40&lt;&gt;"",'SETIEMBRE 2026'!Z40="POR RECOGER"),'SETIEMBRE 2026'!I40,"")</f>
        <v/>
      </c>
      <c r="P876" s="194" t="n"/>
      <c r="Q876" s="194" t="n"/>
      <c r="R876" s="194" t="n"/>
      <c r="S876" s="194" t="n"/>
      <c r="T876" s="194" t="n"/>
      <c r="U876" s="194" t="n"/>
      <c r="V876" s="194" t="n"/>
      <c r="W876" s="194" t="n"/>
      <c r="X876" s="194" t="n"/>
      <c r="Y876" s="194" t="n"/>
      <c r="Z876" s="194" t="n"/>
    </row>
    <row r="877" ht="15" customHeight="1" s="195">
      <c r="A877" s="381">
        <f>IF(AND('SETIEMBRE 2026'!D41&lt;&gt;"",'SETIEMBRE 2026'!Z41="POR RECOGER"),"SET","")</f>
        <v/>
      </c>
      <c r="B877" s="381">
        <f>IF(AND('SETIEMBRE 2026'!D41&lt;&gt;"",'SETIEMBRE 2026'!Z41="POR RECOGER"),IF('SETIEMBRE 2026'!Y41&lt;&gt;"",'SETIEMBRE 2026'!Y41,'SETIEMBRE 2026'!I41),"")</f>
        <v/>
      </c>
      <c r="C877" s="381">
        <f>IF(AND('SETIEMBRE 2026'!D41&lt;&gt;"",'SETIEMBRE 2026'!Z41="POR RECOGER"),'SETIEMBRE 2026'!D41,"")</f>
        <v/>
      </c>
      <c r="D877" s="381">
        <f>IF(AND('SETIEMBRE 2026'!D41&lt;&gt;"",'SETIEMBRE 2026'!Z41="POR RECOGER"),'SETIEMBRE 2026'!F41,"")</f>
        <v/>
      </c>
      <c r="E877" s="381">
        <f>IF(AND('SETIEMBRE 2026'!D41&lt;&gt;"",'SETIEMBRE 2026'!Z41="POR RECOGER"),TEXT('SETIEMBRE 2026'!G41,"DD/MM/YYYY"),"")</f>
        <v/>
      </c>
      <c r="F877" s="381">
        <f>IF(AND('SETIEMBRE 2026'!D41&lt;&gt;"",'SETIEMBRE 2026'!Z41="POR RECOGER"),'SETIEMBRE 2026'!K41,"")</f>
        <v/>
      </c>
      <c r="G877" s="382">
        <f>IF(AND('SETIEMBRE 2026'!D41&lt;&gt;"",'SETIEMBRE 2026'!Z41="POR RECOGER"),'SETIEMBRE 2026'!M41,"")</f>
        <v/>
      </c>
      <c r="H877" s="382">
        <f>IF(AND('SETIEMBRE 2026'!D41&lt;&gt;"",'SETIEMBRE 2026'!Z41="POR RECOGER"),'SETIEMBRE 2026'!N41,"")</f>
        <v/>
      </c>
      <c r="I877" s="381">
        <f>IF(AND('SETIEMBRE 2026'!D41&lt;&gt;"",'SETIEMBRE 2026'!Z41="POR RECOGER"),'SETIEMBRE 2026'!P41,"")</f>
        <v/>
      </c>
      <c r="J877" s="381">
        <f>IF(AND('SETIEMBRE 2026'!D41&lt;&gt;"",'SETIEMBRE 2026'!Z41="POR RECOGER"),'SETIEMBRE 2026'!Q41,"")</f>
        <v/>
      </c>
      <c r="K877" s="381">
        <f>IF(AND('SETIEMBRE 2026'!D41&lt;&gt;"",'SETIEMBRE 2026'!Z41="POR RECOGER"),'SETIEMBRE 2026'!Y41,"")</f>
        <v/>
      </c>
      <c r="L877" s="381">
        <f>IF(AND('SETIEMBRE 2026'!D41&lt;&gt;"",'SETIEMBRE 2026'!Z41="POR RECOGER"),'SETIEMBRE 2026'!I41,"")</f>
        <v/>
      </c>
      <c r="P877" s="194" t="n"/>
      <c r="Q877" s="194" t="n"/>
      <c r="R877" s="194" t="n"/>
      <c r="S877" s="194" t="n"/>
      <c r="T877" s="194" t="n"/>
      <c r="U877" s="194" t="n"/>
      <c r="V877" s="194" t="n"/>
      <c r="W877" s="194" t="n"/>
      <c r="X877" s="194" t="n"/>
      <c r="Y877" s="194" t="n"/>
      <c r="Z877" s="194" t="n"/>
    </row>
    <row r="878" ht="15" customHeight="1" s="195">
      <c r="A878" s="381">
        <f>IF(AND('SETIEMBRE 2026'!D42&lt;&gt;"",'SETIEMBRE 2026'!Z42="POR RECOGER"),"SET","")</f>
        <v/>
      </c>
      <c r="B878" s="381">
        <f>IF(AND('SETIEMBRE 2026'!D42&lt;&gt;"",'SETIEMBRE 2026'!Z42="POR RECOGER"),IF('SETIEMBRE 2026'!Y42&lt;&gt;"",'SETIEMBRE 2026'!Y42,'SETIEMBRE 2026'!I42),"")</f>
        <v/>
      </c>
      <c r="C878" s="381">
        <f>IF(AND('SETIEMBRE 2026'!D42&lt;&gt;"",'SETIEMBRE 2026'!Z42="POR RECOGER"),'SETIEMBRE 2026'!D42,"")</f>
        <v/>
      </c>
      <c r="D878" s="381">
        <f>IF(AND('SETIEMBRE 2026'!D42&lt;&gt;"",'SETIEMBRE 2026'!Z42="POR RECOGER"),'SETIEMBRE 2026'!F42,"")</f>
        <v/>
      </c>
      <c r="E878" s="381">
        <f>IF(AND('SETIEMBRE 2026'!D42&lt;&gt;"",'SETIEMBRE 2026'!Z42="POR RECOGER"),TEXT('SETIEMBRE 2026'!G42,"DD/MM/YYYY"),"")</f>
        <v/>
      </c>
      <c r="F878" s="381">
        <f>IF(AND('SETIEMBRE 2026'!D42&lt;&gt;"",'SETIEMBRE 2026'!Z42="POR RECOGER"),'SETIEMBRE 2026'!K42,"")</f>
        <v/>
      </c>
      <c r="G878" s="382">
        <f>IF(AND('SETIEMBRE 2026'!D42&lt;&gt;"",'SETIEMBRE 2026'!Z42="POR RECOGER"),'SETIEMBRE 2026'!M42,"")</f>
        <v/>
      </c>
      <c r="H878" s="382">
        <f>IF(AND('SETIEMBRE 2026'!D42&lt;&gt;"",'SETIEMBRE 2026'!Z42="POR RECOGER"),'SETIEMBRE 2026'!N42,"")</f>
        <v/>
      </c>
      <c r="I878" s="381">
        <f>IF(AND('SETIEMBRE 2026'!D42&lt;&gt;"",'SETIEMBRE 2026'!Z42="POR RECOGER"),'SETIEMBRE 2026'!P42,"")</f>
        <v/>
      </c>
      <c r="J878" s="381">
        <f>IF(AND('SETIEMBRE 2026'!D42&lt;&gt;"",'SETIEMBRE 2026'!Z42="POR RECOGER"),'SETIEMBRE 2026'!Q42,"")</f>
        <v/>
      </c>
      <c r="K878" s="381">
        <f>IF(AND('SETIEMBRE 2026'!D42&lt;&gt;"",'SETIEMBRE 2026'!Z42="POR RECOGER"),'SETIEMBRE 2026'!Y42,"")</f>
        <v/>
      </c>
      <c r="L878" s="381">
        <f>IF(AND('SETIEMBRE 2026'!D42&lt;&gt;"",'SETIEMBRE 2026'!Z42="POR RECOGER"),'SETIEMBRE 2026'!I42,"")</f>
        <v/>
      </c>
      <c r="P878" s="194" t="n"/>
      <c r="Q878" s="194" t="n"/>
      <c r="R878" s="194" t="n"/>
      <c r="S878" s="194" t="n"/>
      <c r="T878" s="194" t="n"/>
      <c r="U878" s="194" t="n"/>
      <c r="V878" s="194" t="n"/>
      <c r="W878" s="194" t="n"/>
      <c r="X878" s="194" t="n"/>
      <c r="Y878" s="194" t="n"/>
      <c r="Z878" s="194" t="n"/>
    </row>
    <row r="879" ht="15" customHeight="1" s="195">
      <c r="A879" s="381">
        <f>IF(AND('SETIEMBRE 2026'!D43&lt;&gt;"",'SETIEMBRE 2026'!Z43="POR RECOGER"),"SET","")</f>
        <v/>
      </c>
      <c r="B879" s="381">
        <f>IF(AND('SETIEMBRE 2026'!D43&lt;&gt;"",'SETIEMBRE 2026'!Z43="POR RECOGER"),IF('SETIEMBRE 2026'!Y43&lt;&gt;"",'SETIEMBRE 2026'!Y43,'SETIEMBRE 2026'!I43),"")</f>
        <v/>
      </c>
      <c r="C879" s="381">
        <f>IF(AND('SETIEMBRE 2026'!D43&lt;&gt;"",'SETIEMBRE 2026'!Z43="POR RECOGER"),'SETIEMBRE 2026'!D43,"")</f>
        <v/>
      </c>
      <c r="D879" s="381">
        <f>IF(AND('SETIEMBRE 2026'!D43&lt;&gt;"",'SETIEMBRE 2026'!Z43="POR RECOGER"),'SETIEMBRE 2026'!F43,"")</f>
        <v/>
      </c>
      <c r="E879" s="381">
        <f>IF(AND('SETIEMBRE 2026'!D43&lt;&gt;"",'SETIEMBRE 2026'!Z43="POR RECOGER"),TEXT('SETIEMBRE 2026'!G43,"DD/MM/YYYY"),"")</f>
        <v/>
      </c>
      <c r="F879" s="381">
        <f>IF(AND('SETIEMBRE 2026'!D43&lt;&gt;"",'SETIEMBRE 2026'!Z43="POR RECOGER"),'SETIEMBRE 2026'!K43,"")</f>
        <v/>
      </c>
      <c r="G879" s="382">
        <f>IF(AND('SETIEMBRE 2026'!D43&lt;&gt;"",'SETIEMBRE 2026'!Z43="POR RECOGER"),'SETIEMBRE 2026'!M43,"")</f>
        <v/>
      </c>
      <c r="H879" s="382">
        <f>IF(AND('SETIEMBRE 2026'!D43&lt;&gt;"",'SETIEMBRE 2026'!Z43="POR RECOGER"),'SETIEMBRE 2026'!N43,"")</f>
        <v/>
      </c>
      <c r="I879" s="381">
        <f>IF(AND('SETIEMBRE 2026'!D43&lt;&gt;"",'SETIEMBRE 2026'!Z43="POR RECOGER"),'SETIEMBRE 2026'!P43,"")</f>
        <v/>
      </c>
      <c r="J879" s="381">
        <f>IF(AND('SETIEMBRE 2026'!D43&lt;&gt;"",'SETIEMBRE 2026'!Z43="POR RECOGER"),'SETIEMBRE 2026'!Q43,"")</f>
        <v/>
      </c>
      <c r="K879" s="381">
        <f>IF(AND('SETIEMBRE 2026'!D43&lt;&gt;"",'SETIEMBRE 2026'!Z43="POR RECOGER"),'SETIEMBRE 2026'!Y43,"")</f>
        <v/>
      </c>
      <c r="L879" s="381">
        <f>IF(AND('SETIEMBRE 2026'!D43&lt;&gt;"",'SETIEMBRE 2026'!Z43="POR RECOGER"),'SETIEMBRE 2026'!I43,"")</f>
        <v/>
      </c>
      <c r="P879" s="194" t="n"/>
      <c r="Q879" s="194" t="n"/>
      <c r="R879" s="194" t="n"/>
      <c r="S879" s="194" t="n"/>
      <c r="T879" s="194" t="n"/>
      <c r="U879" s="194" t="n"/>
      <c r="V879" s="194" t="n"/>
      <c r="W879" s="194" t="n"/>
      <c r="X879" s="194" t="n"/>
      <c r="Y879" s="194" t="n"/>
      <c r="Z879" s="194" t="n"/>
    </row>
    <row r="880" ht="15" customHeight="1" s="195">
      <c r="A880" s="381">
        <f>IF(AND('SETIEMBRE 2026'!D44&lt;&gt;"",'SETIEMBRE 2026'!Z44="POR RECOGER"),"SET","")</f>
        <v/>
      </c>
      <c r="B880" s="381">
        <f>IF(AND('SETIEMBRE 2026'!D44&lt;&gt;"",'SETIEMBRE 2026'!Z44="POR RECOGER"),IF('SETIEMBRE 2026'!Y44&lt;&gt;"",'SETIEMBRE 2026'!Y44,'SETIEMBRE 2026'!I44),"")</f>
        <v/>
      </c>
      <c r="C880" s="381">
        <f>IF(AND('SETIEMBRE 2026'!D44&lt;&gt;"",'SETIEMBRE 2026'!Z44="POR RECOGER"),'SETIEMBRE 2026'!D44,"")</f>
        <v/>
      </c>
      <c r="D880" s="381">
        <f>IF(AND('SETIEMBRE 2026'!D44&lt;&gt;"",'SETIEMBRE 2026'!Z44="POR RECOGER"),'SETIEMBRE 2026'!F44,"")</f>
        <v/>
      </c>
      <c r="E880" s="381">
        <f>IF(AND('SETIEMBRE 2026'!D44&lt;&gt;"",'SETIEMBRE 2026'!Z44="POR RECOGER"),TEXT('SETIEMBRE 2026'!G44,"DD/MM/YYYY"),"")</f>
        <v/>
      </c>
      <c r="F880" s="381">
        <f>IF(AND('SETIEMBRE 2026'!D44&lt;&gt;"",'SETIEMBRE 2026'!Z44="POR RECOGER"),'SETIEMBRE 2026'!K44,"")</f>
        <v/>
      </c>
      <c r="G880" s="382">
        <f>IF(AND('SETIEMBRE 2026'!D44&lt;&gt;"",'SETIEMBRE 2026'!Z44="POR RECOGER"),'SETIEMBRE 2026'!M44,"")</f>
        <v/>
      </c>
      <c r="H880" s="382">
        <f>IF(AND('SETIEMBRE 2026'!D44&lt;&gt;"",'SETIEMBRE 2026'!Z44="POR RECOGER"),'SETIEMBRE 2026'!N44,"")</f>
        <v/>
      </c>
      <c r="I880" s="381">
        <f>IF(AND('SETIEMBRE 2026'!D44&lt;&gt;"",'SETIEMBRE 2026'!Z44="POR RECOGER"),'SETIEMBRE 2026'!P44,"")</f>
        <v/>
      </c>
      <c r="J880" s="381">
        <f>IF(AND('SETIEMBRE 2026'!D44&lt;&gt;"",'SETIEMBRE 2026'!Z44="POR RECOGER"),'SETIEMBRE 2026'!Q44,"")</f>
        <v/>
      </c>
      <c r="K880" s="381">
        <f>IF(AND('SETIEMBRE 2026'!D44&lt;&gt;"",'SETIEMBRE 2026'!Z44="POR RECOGER"),'SETIEMBRE 2026'!Y44,"")</f>
        <v/>
      </c>
      <c r="L880" s="381">
        <f>IF(AND('SETIEMBRE 2026'!D44&lt;&gt;"",'SETIEMBRE 2026'!Z44="POR RECOGER"),'SETIEMBRE 2026'!I44,"")</f>
        <v/>
      </c>
      <c r="P880" s="194" t="n"/>
      <c r="Q880" s="194" t="n"/>
      <c r="R880" s="194" t="n"/>
      <c r="S880" s="194" t="n"/>
      <c r="T880" s="194" t="n"/>
      <c r="U880" s="194" t="n"/>
      <c r="V880" s="194" t="n"/>
      <c r="W880" s="194" t="n"/>
      <c r="X880" s="194" t="n"/>
      <c r="Y880" s="194" t="n"/>
      <c r="Z880" s="194" t="n"/>
    </row>
    <row r="881" ht="15" customHeight="1" s="195">
      <c r="A881" s="381">
        <f>IF(AND('SETIEMBRE 2026'!D45&lt;&gt;"",'SETIEMBRE 2026'!Z45="POR RECOGER"),"SET","")</f>
        <v/>
      </c>
      <c r="B881" s="381">
        <f>IF(AND('SETIEMBRE 2026'!D45&lt;&gt;"",'SETIEMBRE 2026'!Z45="POR RECOGER"),IF('SETIEMBRE 2026'!Y45&lt;&gt;"",'SETIEMBRE 2026'!Y45,'SETIEMBRE 2026'!I45),"")</f>
        <v/>
      </c>
      <c r="C881" s="381">
        <f>IF(AND('SETIEMBRE 2026'!D45&lt;&gt;"",'SETIEMBRE 2026'!Z45="POR RECOGER"),'SETIEMBRE 2026'!D45,"")</f>
        <v/>
      </c>
      <c r="D881" s="381">
        <f>IF(AND('SETIEMBRE 2026'!D45&lt;&gt;"",'SETIEMBRE 2026'!Z45="POR RECOGER"),'SETIEMBRE 2026'!F45,"")</f>
        <v/>
      </c>
      <c r="E881" s="381">
        <f>IF(AND('SETIEMBRE 2026'!D45&lt;&gt;"",'SETIEMBRE 2026'!Z45="POR RECOGER"),TEXT('SETIEMBRE 2026'!G45,"DD/MM/YYYY"),"")</f>
        <v/>
      </c>
      <c r="F881" s="381">
        <f>IF(AND('SETIEMBRE 2026'!D45&lt;&gt;"",'SETIEMBRE 2026'!Z45="POR RECOGER"),'SETIEMBRE 2026'!K45,"")</f>
        <v/>
      </c>
      <c r="G881" s="382">
        <f>IF(AND('SETIEMBRE 2026'!D45&lt;&gt;"",'SETIEMBRE 2026'!Z45="POR RECOGER"),'SETIEMBRE 2026'!M45,"")</f>
        <v/>
      </c>
      <c r="H881" s="382">
        <f>IF(AND('SETIEMBRE 2026'!D45&lt;&gt;"",'SETIEMBRE 2026'!Z45="POR RECOGER"),'SETIEMBRE 2026'!N45,"")</f>
        <v/>
      </c>
      <c r="I881" s="381">
        <f>IF(AND('SETIEMBRE 2026'!D45&lt;&gt;"",'SETIEMBRE 2026'!Z45="POR RECOGER"),'SETIEMBRE 2026'!P45,"")</f>
        <v/>
      </c>
      <c r="J881" s="381">
        <f>IF(AND('SETIEMBRE 2026'!D45&lt;&gt;"",'SETIEMBRE 2026'!Z45="POR RECOGER"),'SETIEMBRE 2026'!Q45,"")</f>
        <v/>
      </c>
      <c r="K881" s="381">
        <f>IF(AND('SETIEMBRE 2026'!D45&lt;&gt;"",'SETIEMBRE 2026'!Z45="POR RECOGER"),'SETIEMBRE 2026'!Y45,"")</f>
        <v/>
      </c>
      <c r="L881" s="381">
        <f>IF(AND('SETIEMBRE 2026'!D45&lt;&gt;"",'SETIEMBRE 2026'!Z45="POR RECOGER"),'SETIEMBRE 2026'!I45,"")</f>
        <v/>
      </c>
      <c r="P881" s="194" t="n"/>
      <c r="Q881" s="194" t="n"/>
      <c r="R881" s="194" t="n"/>
      <c r="S881" s="194" t="n"/>
      <c r="T881" s="194" t="n"/>
      <c r="U881" s="194" t="n"/>
      <c r="V881" s="194" t="n"/>
      <c r="W881" s="194" t="n"/>
      <c r="X881" s="194" t="n"/>
      <c r="Y881" s="194" t="n"/>
      <c r="Z881" s="194" t="n"/>
    </row>
    <row r="882" ht="15" customHeight="1" s="195">
      <c r="A882" s="381">
        <f>IF(AND('SETIEMBRE 2026'!D46&lt;&gt;"",'SETIEMBRE 2026'!Z46="POR RECOGER"),"SET","")</f>
        <v/>
      </c>
      <c r="B882" s="381">
        <f>IF(AND('SETIEMBRE 2026'!D46&lt;&gt;"",'SETIEMBRE 2026'!Z46="POR RECOGER"),IF('SETIEMBRE 2026'!Y46&lt;&gt;"",'SETIEMBRE 2026'!Y46,'SETIEMBRE 2026'!I46),"")</f>
        <v/>
      </c>
      <c r="C882" s="381">
        <f>IF(AND('SETIEMBRE 2026'!D46&lt;&gt;"",'SETIEMBRE 2026'!Z46="POR RECOGER"),'SETIEMBRE 2026'!D46,"")</f>
        <v/>
      </c>
      <c r="D882" s="381">
        <f>IF(AND('SETIEMBRE 2026'!D46&lt;&gt;"",'SETIEMBRE 2026'!Z46="POR RECOGER"),'SETIEMBRE 2026'!F46,"")</f>
        <v/>
      </c>
      <c r="E882" s="381">
        <f>IF(AND('SETIEMBRE 2026'!D46&lt;&gt;"",'SETIEMBRE 2026'!Z46="POR RECOGER"),TEXT('SETIEMBRE 2026'!G46,"DD/MM/YYYY"),"")</f>
        <v/>
      </c>
      <c r="F882" s="381">
        <f>IF(AND('SETIEMBRE 2026'!D46&lt;&gt;"",'SETIEMBRE 2026'!Z46="POR RECOGER"),'SETIEMBRE 2026'!K46,"")</f>
        <v/>
      </c>
      <c r="G882" s="382">
        <f>IF(AND('SETIEMBRE 2026'!D46&lt;&gt;"",'SETIEMBRE 2026'!Z46="POR RECOGER"),'SETIEMBRE 2026'!M46,"")</f>
        <v/>
      </c>
      <c r="H882" s="382">
        <f>IF(AND('SETIEMBRE 2026'!D46&lt;&gt;"",'SETIEMBRE 2026'!Z46="POR RECOGER"),'SETIEMBRE 2026'!N46,"")</f>
        <v/>
      </c>
      <c r="I882" s="381">
        <f>IF(AND('SETIEMBRE 2026'!D46&lt;&gt;"",'SETIEMBRE 2026'!Z46="POR RECOGER"),'SETIEMBRE 2026'!P46,"")</f>
        <v/>
      </c>
      <c r="J882" s="381">
        <f>IF(AND('SETIEMBRE 2026'!D46&lt;&gt;"",'SETIEMBRE 2026'!Z46="POR RECOGER"),'SETIEMBRE 2026'!Q46,"")</f>
        <v/>
      </c>
      <c r="K882" s="381">
        <f>IF(AND('SETIEMBRE 2026'!D46&lt;&gt;"",'SETIEMBRE 2026'!Z46="POR RECOGER"),'SETIEMBRE 2026'!Y46,"")</f>
        <v/>
      </c>
      <c r="L882" s="381">
        <f>IF(AND('SETIEMBRE 2026'!D46&lt;&gt;"",'SETIEMBRE 2026'!Z46="POR RECOGER"),'SETIEMBRE 2026'!I46,"")</f>
        <v/>
      </c>
      <c r="P882" s="194" t="n"/>
      <c r="Q882" s="194" t="n"/>
      <c r="R882" s="194" t="n"/>
      <c r="S882" s="194" t="n"/>
      <c r="T882" s="194" t="n"/>
      <c r="U882" s="194" t="n"/>
      <c r="V882" s="194" t="n"/>
      <c r="W882" s="194" t="n"/>
      <c r="X882" s="194" t="n"/>
      <c r="Y882" s="194" t="n"/>
      <c r="Z882" s="194" t="n"/>
    </row>
    <row r="883" ht="15" customHeight="1" s="195">
      <c r="A883" s="381">
        <f>IF(AND('SETIEMBRE 2026'!D47&lt;&gt;"",'SETIEMBRE 2026'!Z47="POR RECOGER"),"SET","")</f>
        <v/>
      </c>
      <c r="B883" s="381">
        <f>IF(AND('SETIEMBRE 2026'!D47&lt;&gt;"",'SETIEMBRE 2026'!Z47="POR RECOGER"),IF('SETIEMBRE 2026'!Y47&lt;&gt;"",'SETIEMBRE 2026'!Y47,'SETIEMBRE 2026'!I47),"")</f>
        <v/>
      </c>
      <c r="C883" s="381">
        <f>IF(AND('SETIEMBRE 2026'!D47&lt;&gt;"",'SETIEMBRE 2026'!Z47="POR RECOGER"),'SETIEMBRE 2026'!D47,"")</f>
        <v/>
      </c>
      <c r="D883" s="381">
        <f>IF(AND('SETIEMBRE 2026'!D47&lt;&gt;"",'SETIEMBRE 2026'!Z47="POR RECOGER"),'SETIEMBRE 2026'!F47,"")</f>
        <v/>
      </c>
      <c r="E883" s="381">
        <f>IF(AND('SETIEMBRE 2026'!D47&lt;&gt;"",'SETIEMBRE 2026'!Z47="POR RECOGER"),TEXT('SETIEMBRE 2026'!G47,"DD/MM/YYYY"),"")</f>
        <v/>
      </c>
      <c r="F883" s="381">
        <f>IF(AND('SETIEMBRE 2026'!D47&lt;&gt;"",'SETIEMBRE 2026'!Z47="POR RECOGER"),'SETIEMBRE 2026'!K47,"")</f>
        <v/>
      </c>
      <c r="G883" s="382">
        <f>IF(AND('SETIEMBRE 2026'!D47&lt;&gt;"",'SETIEMBRE 2026'!Z47="POR RECOGER"),'SETIEMBRE 2026'!M47,"")</f>
        <v/>
      </c>
      <c r="H883" s="382">
        <f>IF(AND('SETIEMBRE 2026'!D47&lt;&gt;"",'SETIEMBRE 2026'!Z47="POR RECOGER"),'SETIEMBRE 2026'!N47,"")</f>
        <v/>
      </c>
      <c r="I883" s="381">
        <f>IF(AND('SETIEMBRE 2026'!D47&lt;&gt;"",'SETIEMBRE 2026'!Z47="POR RECOGER"),'SETIEMBRE 2026'!P47,"")</f>
        <v/>
      </c>
      <c r="J883" s="381">
        <f>IF(AND('SETIEMBRE 2026'!D47&lt;&gt;"",'SETIEMBRE 2026'!Z47="POR RECOGER"),'SETIEMBRE 2026'!Q47,"")</f>
        <v/>
      </c>
      <c r="K883" s="381">
        <f>IF(AND('SETIEMBRE 2026'!D47&lt;&gt;"",'SETIEMBRE 2026'!Z47="POR RECOGER"),'SETIEMBRE 2026'!Y47,"")</f>
        <v/>
      </c>
      <c r="L883" s="381">
        <f>IF(AND('SETIEMBRE 2026'!D47&lt;&gt;"",'SETIEMBRE 2026'!Z47="POR RECOGER"),'SETIEMBRE 2026'!I47,"")</f>
        <v/>
      </c>
      <c r="P883" s="194" t="n"/>
      <c r="Q883" s="194" t="n"/>
      <c r="R883" s="194" t="n"/>
      <c r="S883" s="194" t="n"/>
      <c r="T883" s="194" t="n"/>
      <c r="U883" s="194" t="n"/>
      <c r="V883" s="194" t="n"/>
      <c r="W883" s="194" t="n"/>
      <c r="X883" s="194" t="n"/>
      <c r="Y883" s="194" t="n"/>
      <c r="Z883" s="194" t="n"/>
    </row>
    <row r="884" ht="15" customHeight="1" s="195">
      <c r="A884" s="381">
        <f>IF(AND('SETIEMBRE 2026'!D48&lt;&gt;"",'SETIEMBRE 2026'!Z48="POR RECOGER"),"SET","")</f>
        <v/>
      </c>
      <c r="B884" s="381">
        <f>IF(AND('SETIEMBRE 2026'!D48&lt;&gt;"",'SETIEMBRE 2026'!Z48="POR RECOGER"),IF('SETIEMBRE 2026'!Y48&lt;&gt;"",'SETIEMBRE 2026'!Y48,'SETIEMBRE 2026'!I48),"")</f>
        <v/>
      </c>
      <c r="C884" s="381">
        <f>IF(AND('SETIEMBRE 2026'!D48&lt;&gt;"",'SETIEMBRE 2026'!Z48="POR RECOGER"),'SETIEMBRE 2026'!D48,"")</f>
        <v/>
      </c>
      <c r="D884" s="381">
        <f>IF(AND('SETIEMBRE 2026'!D48&lt;&gt;"",'SETIEMBRE 2026'!Z48="POR RECOGER"),'SETIEMBRE 2026'!F48,"")</f>
        <v/>
      </c>
      <c r="E884" s="381">
        <f>IF(AND('SETIEMBRE 2026'!D48&lt;&gt;"",'SETIEMBRE 2026'!Z48="POR RECOGER"),TEXT('SETIEMBRE 2026'!G48,"DD/MM/YYYY"),"")</f>
        <v/>
      </c>
      <c r="F884" s="381">
        <f>IF(AND('SETIEMBRE 2026'!D48&lt;&gt;"",'SETIEMBRE 2026'!Z48="POR RECOGER"),'SETIEMBRE 2026'!K48,"")</f>
        <v/>
      </c>
      <c r="G884" s="382">
        <f>IF(AND('SETIEMBRE 2026'!D48&lt;&gt;"",'SETIEMBRE 2026'!Z48="POR RECOGER"),'SETIEMBRE 2026'!M48,"")</f>
        <v/>
      </c>
      <c r="H884" s="382">
        <f>IF(AND('SETIEMBRE 2026'!D48&lt;&gt;"",'SETIEMBRE 2026'!Z48="POR RECOGER"),'SETIEMBRE 2026'!N48,"")</f>
        <v/>
      </c>
      <c r="I884" s="381">
        <f>IF(AND('SETIEMBRE 2026'!D48&lt;&gt;"",'SETIEMBRE 2026'!Z48="POR RECOGER"),'SETIEMBRE 2026'!P48,"")</f>
        <v/>
      </c>
      <c r="J884" s="381">
        <f>IF(AND('SETIEMBRE 2026'!D48&lt;&gt;"",'SETIEMBRE 2026'!Z48="POR RECOGER"),'SETIEMBRE 2026'!Q48,"")</f>
        <v/>
      </c>
      <c r="K884" s="381">
        <f>IF(AND('SETIEMBRE 2026'!D48&lt;&gt;"",'SETIEMBRE 2026'!Z48="POR RECOGER"),'SETIEMBRE 2026'!Y48,"")</f>
        <v/>
      </c>
      <c r="L884" s="381">
        <f>IF(AND('SETIEMBRE 2026'!D48&lt;&gt;"",'SETIEMBRE 2026'!Z48="POR RECOGER"),'SETIEMBRE 2026'!I48,"")</f>
        <v/>
      </c>
      <c r="P884" s="194" t="n"/>
      <c r="Q884" s="194" t="n"/>
      <c r="R884" s="194" t="n"/>
      <c r="S884" s="194" t="n"/>
      <c r="T884" s="194" t="n"/>
      <c r="U884" s="194" t="n"/>
      <c r="V884" s="194" t="n"/>
      <c r="W884" s="194" t="n"/>
      <c r="X884" s="194" t="n"/>
      <c r="Y884" s="194" t="n"/>
      <c r="Z884" s="194" t="n"/>
    </row>
    <row r="885" ht="15" customHeight="1" s="195">
      <c r="A885" s="381">
        <f>IF(AND('SETIEMBRE 2026'!D49&lt;&gt;"",'SETIEMBRE 2026'!Z49="POR RECOGER"),"SET","")</f>
        <v/>
      </c>
      <c r="B885" s="381">
        <f>IF(AND('SETIEMBRE 2026'!D49&lt;&gt;"",'SETIEMBRE 2026'!Z49="POR RECOGER"),IF('SETIEMBRE 2026'!Y49&lt;&gt;"",'SETIEMBRE 2026'!Y49,'SETIEMBRE 2026'!I49),"")</f>
        <v/>
      </c>
      <c r="C885" s="381">
        <f>IF(AND('SETIEMBRE 2026'!D49&lt;&gt;"",'SETIEMBRE 2026'!Z49="POR RECOGER"),'SETIEMBRE 2026'!D49,"")</f>
        <v/>
      </c>
      <c r="D885" s="381">
        <f>IF(AND('SETIEMBRE 2026'!D49&lt;&gt;"",'SETIEMBRE 2026'!Z49="POR RECOGER"),'SETIEMBRE 2026'!F49,"")</f>
        <v/>
      </c>
      <c r="E885" s="381">
        <f>IF(AND('SETIEMBRE 2026'!D49&lt;&gt;"",'SETIEMBRE 2026'!Z49="POR RECOGER"),TEXT('SETIEMBRE 2026'!G49,"DD/MM/YYYY"),"")</f>
        <v/>
      </c>
      <c r="F885" s="381">
        <f>IF(AND('SETIEMBRE 2026'!D49&lt;&gt;"",'SETIEMBRE 2026'!Z49="POR RECOGER"),'SETIEMBRE 2026'!K49,"")</f>
        <v/>
      </c>
      <c r="G885" s="382">
        <f>IF(AND('SETIEMBRE 2026'!D49&lt;&gt;"",'SETIEMBRE 2026'!Z49="POR RECOGER"),'SETIEMBRE 2026'!M49,"")</f>
        <v/>
      </c>
      <c r="H885" s="382">
        <f>IF(AND('SETIEMBRE 2026'!D49&lt;&gt;"",'SETIEMBRE 2026'!Z49="POR RECOGER"),'SETIEMBRE 2026'!N49,"")</f>
        <v/>
      </c>
      <c r="I885" s="381">
        <f>IF(AND('SETIEMBRE 2026'!D49&lt;&gt;"",'SETIEMBRE 2026'!Z49="POR RECOGER"),'SETIEMBRE 2026'!P49,"")</f>
        <v/>
      </c>
      <c r="J885" s="381">
        <f>IF(AND('SETIEMBRE 2026'!D49&lt;&gt;"",'SETIEMBRE 2026'!Z49="POR RECOGER"),'SETIEMBRE 2026'!Q49,"")</f>
        <v/>
      </c>
      <c r="K885" s="381">
        <f>IF(AND('SETIEMBRE 2026'!D49&lt;&gt;"",'SETIEMBRE 2026'!Z49="POR RECOGER"),'SETIEMBRE 2026'!Y49,"")</f>
        <v/>
      </c>
      <c r="L885" s="381">
        <f>IF(AND('SETIEMBRE 2026'!D49&lt;&gt;"",'SETIEMBRE 2026'!Z49="POR RECOGER"),'SETIEMBRE 2026'!I49,"")</f>
        <v/>
      </c>
      <c r="P885" s="194" t="n"/>
      <c r="Q885" s="194" t="n"/>
      <c r="R885" s="194" t="n"/>
      <c r="S885" s="194" t="n"/>
      <c r="T885" s="194" t="n"/>
      <c r="U885" s="194" t="n"/>
      <c r="V885" s="194" t="n"/>
      <c r="W885" s="194" t="n"/>
      <c r="X885" s="194" t="n"/>
      <c r="Y885" s="194" t="n"/>
      <c r="Z885" s="194" t="n"/>
    </row>
    <row r="886" ht="15" customHeight="1" s="195">
      <c r="A886" s="381">
        <f>IF(AND('SETIEMBRE 2026'!D50&lt;&gt;"",'SETIEMBRE 2026'!Z50="POR RECOGER"),"SET","")</f>
        <v/>
      </c>
      <c r="B886" s="381">
        <f>IF(AND('SETIEMBRE 2026'!D50&lt;&gt;"",'SETIEMBRE 2026'!Z50="POR RECOGER"),IF('SETIEMBRE 2026'!Y50&lt;&gt;"",'SETIEMBRE 2026'!Y50,'SETIEMBRE 2026'!I50),"")</f>
        <v/>
      </c>
      <c r="C886" s="381">
        <f>IF(AND('SETIEMBRE 2026'!D50&lt;&gt;"",'SETIEMBRE 2026'!Z50="POR RECOGER"),'SETIEMBRE 2026'!D50,"")</f>
        <v/>
      </c>
      <c r="D886" s="381">
        <f>IF(AND('SETIEMBRE 2026'!D50&lt;&gt;"",'SETIEMBRE 2026'!Z50="POR RECOGER"),'SETIEMBRE 2026'!F50,"")</f>
        <v/>
      </c>
      <c r="E886" s="381">
        <f>IF(AND('SETIEMBRE 2026'!D50&lt;&gt;"",'SETIEMBRE 2026'!Z50="POR RECOGER"),TEXT('SETIEMBRE 2026'!G50,"DD/MM/YYYY"),"")</f>
        <v/>
      </c>
      <c r="F886" s="381">
        <f>IF(AND('SETIEMBRE 2026'!D50&lt;&gt;"",'SETIEMBRE 2026'!Z50="POR RECOGER"),'SETIEMBRE 2026'!K50,"")</f>
        <v/>
      </c>
      <c r="G886" s="382">
        <f>IF(AND('SETIEMBRE 2026'!D50&lt;&gt;"",'SETIEMBRE 2026'!Z50="POR RECOGER"),'SETIEMBRE 2026'!M50,"")</f>
        <v/>
      </c>
      <c r="H886" s="382">
        <f>IF(AND('SETIEMBRE 2026'!D50&lt;&gt;"",'SETIEMBRE 2026'!Z50="POR RECOGER"),'SETIEMBRE 2026'!N50,"")</f>
        <v/>
      </c>
      <c r="I886" s="381">
        <f>IF(AND('SETIEMBRE 2026'!D50&lt;&gt;"",'SETIEMBRE 2026'!Z50="POR RECOGER"),'SETIEMBRE 2026'!P50,"")</f>
        <v/>
      </c>
      <c r="J886" s="381">
        <f>IF(AND('SETIEMBRE 2026'!D50&lt;&gt;"",'SETIEMBRE 2026'!Z50="POR RECOGER"),'SETIEMBRE 2026'!Q50,"")</f>
        <v/>
      </c>
      <c r="K886" s="381">
        <f>IF(AND('SETIEMBRE 2026'!D50&lt;&gt;"",'SETIEMBRE 2026'!Z50="POR RECOGER"),'SETIEMBRE 2026'!Y50,"")</f>
        <v/>
      </c>
      <c r="L886" s="381">
        <f>IF(AND('SETIEMBRE 2026'!D50&lt;&gt;"",'SETIEMBRE 2026'!Z50="POR RECOGER"),'SETIEMBRE 2026'!I50,"")</f>
        <v/>
      </c>
      <c r="P886" s="194" t="n"/>
      <c r="Q886" s="194" t="n"/>
      <c r="R886" s="194" t="n"/>
      <c r="S886" s="194" t="n"/>
      <c r="T886" s="194" t="n"/>
      <c r="U886" s="194" t="n"/>
      <c r="V886" s="194" t="n"/>
      <c r="W886" s="194" t="n"/>
      <c r="X886" s="194" t="n"/>
      <c r="Y886" s="194" t="n"/>
      <c r="Z886" s="194" t="n"/>
    </row>
    <row r="887" ht="15" customHeight="1" s="195">
      <c r="A887" s="381">
        <f>IF(AND('SETIEMBRE 2026'!D51&lt;&gt;"",'SETIEMBRE 2026'!Z51="POR RECOGER"),"SET","")</f>
        <v/>
      </c>
      <c r="B887" s="381">
        <f>IF(AND('SETIEMBRE 2026'!D51&lt;&gt;"",'SETIEMBRE 2026'!Z51="POR RECOGER"),IF('SETIEMBRE 2026'!Y51&lt;&gt;"",'SETIEMBRE 2026'!Y51,'SETIEMBRE 2026'!I51),"")</f>
        <v/>
      </c>
      <c r="C887" s="381">
        <f>IF(AND('SETIEMBRE 2026'!D51&lt;&gt;"",'SETIEMBRE 2026'!Z51="POR RECOGER"),'SETIEMBRE 2026'!D51,"")</f>
        <v/>
      </c>
      <c r="D887" s="381">
        <f>IF(AND('SETIEMBRE 2026'!D51&lt;&gt;"",'SETIEMBRE 2026'!Z51="POR RECOGER"),'SETIEMBRE 2026'!F51,"")</f>
        <v/>
      </c>
      <c r="E887" s="381">
        <f>IF(AND('SETIEMBRE 2026'!D51&lt;&gt;"",'SETIEMBRE 2026'!Z51="POR RECOGER"),TEXT('SETIEMBRE 2026'!G51,"DD/MM/YYYY"),"")</f>
        <v/>
      </c>
      <c r="F887" s="381">
        <f>IF(AND('SETIEMBRE 2026'!D51&lt;&gt;"",'SETIEMBRE 2026'!Z51="POR RECOGER"),'SETIEMBRE 2026'!K51,"")</f>
        <v/>
      </c>
      <c r="G887" s="382">
        <f>IF(AND('SETIEMBRE 2026'!D51&lt;&gt;"",'SETIEMBRE 2026'!Z51="POR RECOGER"),'SETIEMBRE 2026'!M51,"")</f>
        <v/>
      </c>
      <c r="H887" s="382">
        <f>IF(AND('SETIEMBRE 2026'!D51&lt;&gt;"",'SETIEMBRE 2026'!Z51="POR RECOGER"),'SETIEMBRE 2026'!N51,"")</f>
        <v/>
      </c>
      <c r="I887" s="381">
        <f>IF(AND('SETIEMBRE 2026'!D51&lt;&gt;"",'SETIEMBRE 2026'!Z51="POR RECOGER"),'SETIEMBRE 2026'!P51,"")</f>
        <v/>
      </c>
      <c r="J887" s="381">
        <f>IF(AND('SETIEMBRE 2026'!D51&lt;&gt;"",'SETIEMBRE 2026'!Z51="POR RECOGER"),'SETIEMBRE 2026'!Q51,"")</f>
        <v/>
      </c>
      <c r="K887" s="381">
        <f>IF(AND('SETIEMBRE 2026'!D51&lt;&gt;"",'SETIEMBRE 2026'!Z51="POR RECOGER"),'SETIEMBRE 2026'!Y51,"")</f>
        <v/>
      </c>
      <c r="L887" s="381">
        <f>IF(AND('SETIEMBRE 2026'!D51&lt;&gt;"",'SETIEMBRE 2026'!Z51="POR RECOGER"),'SETIEMBRE 2026'!I51,"")</f>
        <v/>
      </c>
      <c r="P887" s="194" t="n"/>
      <c r="Q887" s="194" t="n"/>
      <c r="R887" s="194" t="n"/>
      <c r="S887" s="194" t="n"/>
      <c r="T887" s="194" t="n"/>
      <c r="U887" s="194" t="n"/>
      <c r="V887" s="194" t="n"/>
      <c r="W887" s="194" t="n"/>
      <c r="X887" s="194" t="n"/>
      <c r="Y887" s="194" t="n"/>
      <c r="Z887" s="194" t="n"/>
    </row>
    <row r="888" ht="15" customHeight="1" s="195">
      <c r="A888" s="381">
        <f>IF(AND('SETIEMBRE 2026'!D52&lt;&gt;"",'SETIEMBRE 2026'!Z52="POR RECOGER"),"SET","")</f>
        <v/>
      </c>
      <c r="B888" s="381">
        <f>IF(AND('SETIEMBRE 2026'!D52&lt;&gt;"",'SETIEMBRE 2026'!Z52="POR RECOGER"),IF('SETIEMBRE 2026'!Y52&lt;&gt;"",'SETIEMBRE 2026'!Y52,'SETIEMBRE 2026'!I52),"")</f>
        <v/>
      </c>
      <c r="C888" s="381">
        <f>IF(AND('SETIEMBRE 2026'!D52&lt;&gt;"",'SETIEMBRE 2026'!Z52="POR RECOGER"),'SETIEMBRE 2026'!D52,"")</f>
        <v/>
      </c>
      <c r="D888" s="381">
        <f>IF(AND('SETIEMBRE 2026'!D52&lt;&gt;"",'SETIEMBRE 2026'!Z52="POR RECOGER"),'SETIEMBRE 2026'!F52,"")</f>
        <v/>
      </c>
      <c r="E888" s="381">
        <f>IF(AND('SETIEMBRE 2026'!D52&lt;&gt;"",'SETIEMBRE 2026'!Z52="POR RECOGER"),TEXT('SETIEMBRE 2026'!G52,"DD/MM/YYYY"),"")</f>
        <v/>
      </c>
      <c r="F888" s="381">
        <f>IF(AND('SETIEMBRE 2026'!D52&lt;&gt;"",'SETIEMBRE 2026'!Z52="POR RECOGER"),'SETIEMBRE 2026'!K52,"")</f>
        <v/>
      </c>
      <c r="G888" s="382">
        <f>IF(AND('SETIEMBRE 2026'!D52&lt;&gt;"",'SETIEMBRE 2026'!Z52="POR RECOGER"),'SETIEMBRE 2026'!M52,"")</f>
        <v/>
      </c>
      <c r="H888" s="382">
        <f>IF(AND('SETIEMBRE 2026'!D52&lt;&gt;"",'SETIEMBRE 2026'!Z52="POR RECOGER"),'SETIEMBRE 2026'!N52,"")</f>
        <v/>
      </c>
      <c r="I888" s="381">
        <f>IF(AND('SETIEMBRE 2026'!D52&lt;&gt;"",'SETIEMBRE 2026'!Z52="POR RECOGER"),'SETIEMBRE 2026'!P52,"")</f>
        <v/>
      </c>
      <c r="J888" s="381">
        <f>IF(AND('SETIEMBRE 2026'!D52&lt;&gt;"",'SETIEMBRE 2026'!Z52="POR RECOGER"),'SETIEMBRE 2026'!Q52,"")</f>
        <v/>
      </c>
      <c r="K888" s="381">
        <f>IF(AND('SETIEMBRE 2026'!D52&lt;&gt;"",'SETIEMBRE 2026'!Z52="POR RECOGER"),'SETIEMBRE 2026'!Y52,"")</f>
        <v/>
      </c>
      <c r="L888" s="381">
        <f>IF(AND('SETIEMBRE 2026'!D52&lt;&gt;"",'SETIEMBRE 2026'!Z52="POR RECOGER"),'SETIEMBRE 2026'!I52,"")</f>
        <v/>
      </c>
      <c r="P888" s="194" t="n"/>
      <c r="Q888" s="194" t="n"/>
      <c r="R888" s="194" t="n"/>
      <c r="S888" s="194" t="n"/>
      <c r="T888" s="194" t="n"/>
      <c r="U888" s="194" t="n"/>
      <c r="V888" s="194" t="n"/>
      <c r="W888" s="194" t="n"/>
      <c r="X888" s="194" t="n"/>
      <c r="Y888" s="194" t="n"/>
      <c r="Z888" s="194" t="n"/>
    </row>
    <row r="889" ht="15" customHeight="1" s="195">
      <c r="A889" s="381">
        <f>IF(AND('SETIEMBRE 2026'!D53&lt;&gt;"",'SETIEMBRE 2026'!Z53="POR RECOGER"),"SET","")</f>
        <v/>
      </c>
      <c r="B889" s="381">
        <f>IF(AND('SETIEMBRE 2026'!D53&lt;&gt;"",'SETIEMBRE 2026'!Z53="POR RECOGER"),IF('SETIEMBRE 2026'!Y53&lt;&gt;"",'SETIEMBRE 2026'!Y53,'SETIEMBRE 2026'!I53),"")</f>
        <v/>
      </c>
      <c r="C889" s="381">
        <f>IF(AND('SETIEMBRE 2026'!D53&lt;&gt;"",'SETIEMBRE 2026'!Z53="POR RECOGER"),'SETIEMBRE 2026'!D53,"")</f>
        <v/>
      </c>
      <c r="D889" s="381">
        <f>IF(AND('SETIEMBRE 2026'!D53&lt;&gt;"",'SETIEMBRE 2026'!Z53="POR RECOGER"),'SETIEMBRE 2026'!F53,"")</f>
        <v/>
      </c>
      <c r="E889" s="381">
        <f>IF(AND('SETIEMBRE 2026'!D53&lt;&gt;"",'SETIEMBRE 2026'!Z53="POR RECOGER"),TEXT('SETIEMBRE 2026'!G53,"DD/MM/YYYY"),"")</f>
        <v/>
      </c>
      <c r="F889" s="381">
        <f>IF(AND('SETIEMBRE 2026'!D53&lt;&gt;"",'SETIEMBRE 2026'!Z53="POR RECOGER"),'SETIEMBRE 2026'!K53,"")</f>
        <v/>
      </c>
      <c r="G889" s="382">
        <f>IF(AND('SETIEMBRE 2026'!D53&lt;&gt;"",'SETIEMBRE 2026'!Z53="POR RECOGER"),'SETIEMBRE 2026'!M53,"")</f>
        <v/>
      </c>
      <c r="H889" s="382">
        <f>IF(AND('SETIEMBRE 2026'!D53&lt;&gt;"",'SETIEMBRE 2026'!Z53="POR RECOGER"),'SETIEMBRE 2026'!N53,"")</f>
        <v/>
      </c>
      <c r="I889" s="381">
        <f>IF(AND('SETIEMBRE 2026'!D53&lt;&gt;"",'SETIEMBRE 2026'!Z53="POR RECOGER"),'SETIEMBRE 2026'!P53,"")</f>
        <v/>
      </c>
      <c r="J889" s="381">
        <f>IF(AND('SETIEMBRE 2026'!D53&lt;&gt;"",'SETIEMBRE 2026'!Z53="POR RECOGER"),'SETIEMBRE 2026'!Q53,"")</f>
        <v/>
      </c>
      <c r="K889" s="381">
        <f>IF(AND('SETIEMBRE 2026'!D53&lt;&gt;"",'SETIEMBRE 2026'!Z53="POR RECOGER"),'SETIEMBRE 2026'!Y53,"")</f>
        <v/>
      </c>
      <c r="L889" s="381">
        <f>IF(AND('SETIEMBRE 2026'!D53&lt;&gt;"",'SETIEMBRE 2026'!Z53="POR RECOGER"),'SETIEMBRE 2026'!I53,"")</f>
        <v/>
      </c>
      <c r="P889" s="194" t="n"/>
      <c r="Q889" s="194" t="n"/>
      <c r="R889" s="194" t="n"/>
      <c r="S889" s="194" t="n"/>
      <c r="T889" s="194" t="n"/>
      <c r="U889" s="194" t="n"/>
      <c r="V889" s="194" t="n"/>
      <c r="W889" s="194" t="n"/>
      <c r="X889" s="194" t="n"/>
      <c r="Y889" s="194" t="n"/>
      <c r="Z889" s="194" t="n"/>
    </row>
    <row r="890" ht="15" customHeight="1" s="195">
      <c r="A890" s="381">
        <f>IF(AND('SETIEMBRE 2026'!D54&lt;&gt;"",'SETIEMBRE 2026'!Z54="POR RECOGER"),"SET","")</f>
        <v/>
      </c>
      <c r="B890" s="381">
        <f>IF(AND('SETIEMBRE 2026'!D54&lt;&gt;"",'SETIEMBRE 2026'!Z54="POR RECOGER"),IF('SETIEMBRE 2026'!Y54&lt;&gt;"",'SETIEMBRE 2026'!Y54,'SETIEMBRE 2026'!I54),"")</f>
        <v/>
      </c>
      <c r="C890" s="381">
        <f>IF(AND('SETIEMBRE 2026'!D54&lt;&gt;"",'SETIEMBRE 2026'!Z54="POR RECOGER"),'SETIEMBRE 2026'!D54,"")</f>
        <v/>
      </c>
      <c r="D890" s="381">
        <f>IF(AND('SETIEMBRE 2026'!D54&lt;&gt;"",'SETIEMBRE 2026'!Z54="POR RECOGER"),'SETIEMBRE 2026'!F54,"")</f>
        <v/>
      </c>
      <c r="E890" s="381">
        <f>IF(AND('SETIEMBRE 2026'!D54&lt;&gt;"",'SETIEMBRE 2026'!Z54="POR RECOGER"),TEXT('SETIEMBRE 2026'!G54,"DD/MM/YYYY"),"")</f>
        <v/>
      </c>
      <c r="F890" s="381">
        <f>IF(AND('SETIEMBRE 2026'!D54&lt;&gt;"",'SETIEMBRE 2026'!Z54="POR RECOGER"),'SETIEMBRE 2026'!K54,"")</f>
        <v/>
      </c>
      <c r="G890" s="382">
        <f>IF(AND('SETIEMBRE 2026'!D54&lt;&gt;"",'SETIEMBRE 2026'!Z54="POR RECOGER"),'SETIEMBRE 2026'!M54,"")</f>
        <v/>
      </c>
      <c r="H890" s="382">
        <f>IF(AND('SETIEMBRE 2026'!D54&lt;&gt;"",'SETIEMBRE 2026'!Z54="POR RECOGER"),'SETIEMBRE 2026'!N54,"")</f>
        <v/>
      </c>
      <c r="I890" s="381">
        <f>IF(AND('SETIEMBRE 2026'!D54&lt;&gt;"",'SETIEMBRE 2026'!Z54="POR RECOGER"),'SETIEMBRE 2026'!P54,"")</f>
        <v/>
      </c>
      <c r="J890" s="381">
        <f>IF(AND('SETIEMBRE 2026'!D54&lt;&gt;"",'SETIEMBRE 2026'!Z54="POR RECOGER"),'SETIEMBRE 2026'!Q54,"")</f>
        <v/>
      </c>
      <c r="K890" s="381">
        <f>IF(AND('SETIEMBRE 2026'!D54&lt;&gt;"",'SETIEMBRE 2026'!Z54="POR RECOGER"),'SETIEMBRE 2026'!Y54,"")</f>
        <v/>
      </c>
      <c r="L890" s="381">
        <f>IF(AND('SETIEMBRE 2026'!D54&lt;&gt;"",'SETIEMBRE 2026'!Z54="POR RECOGER"),'SETIEMBRE 2026'!I54,"")</f>
        <v/>
      </c>
      <c r="P890" s="194" t="n"/>
      <c r="Q890" s="194" t="n"/>
      <c r="R890" s="194" t="n"/>
      <c r="S890" s="194" t="n"/>
      <c r="T890" s="194" t="n"/>
      <c r="U890" s="194" t="n"/>
      <c r="V890" s="194" t="n"/>
      <c r="W890" s="194" t="n"/>
      <c r="X890" s="194" t="n"/>
      <c r="Y890" s="194" t="n"/>
      <c r="Z890" s="194" t="n"/>
    </row>
    <row r="891" ht="15" customHeight="1" s="195">
      <c r="A891" s="381">
        <f>IF(AND('SETIEMBRE 2026'!D55&lt;&gt;"",'SETIEMBRE 2026'!Z55="POR RECOGER"),"SET","")</f>
        <v/>
      </c>
      <c r="B891" s="381">
        <f>IF(AND('SETIEMBRE 2026'!D55&lt;&gt;"",'SETIEMBRE 2026'!Z55="POR RECOGER"),IF('SETIEMBRE 2026'!Y55&lt;&gt;"",'SETIEMBRE 2026'!Y55,'SETIEMBRE 2026'!I55),"")</f>
        <v/>
      </c>
      <c r="C891" s="381">
        <f>IF(AND('SETIEMBRE 2026'!D55&lt;&gt;"",'SETIEMBRE 2026'!Z55="POR RECOGER"),'SETIEMBRE 2026'!D55,"")</f>
        <v/>
      </c>
      <c r="D891" s="381">
        <f>IF(AND('SETIEMBRE 2026'!D55&lt;&gt;"",'SETIEMBRE 2026'!Z55="POR RECOGER"),'SETIEMBRE 2026'!F55,"")</f>
        <v/>
      </c>
      <c r="E891" s="381">
        <f>IF(AND('SETIEMBRE 2026'!D55&lt;&gt;"",'SETIEMBRE 2026'!Z55="POR RECOGER"),TEXT('SETIEMBRE 2026'!G55,"DD/MM/YYYY"),"")</f>
        <v/>
      </c>
      <c r="F891" s="381">
        <f>IF(AND('SETIEMBRE 2026'!D55&lt;&gt;"",'SETIEMBRE 2026'!Z55="POR RECOGER"),'SETIEMBRE 2026'!K55,"")</f>
        <v/>
      </c>
      <c r="G891" s="382">
        <f>IF(AND('SETIEMBRE 2026'!D55&lt;&gt;"",'SETIEMBRE 2026'!Z55="POR RECOGER"),'SETIEMBRE 2026'!M55,"")</f>
        <v/>
      </c>
      <c r="H891" s="382">
        <f>IF(AND('SETIEMBRE 2026'!D55&lt;&gt;"",'SETIEMBRE 2026'!Z55="POR RECOGER"),'SETIEMBRE 2026'!N55,"")</f>
        <v/>
      </c>
      <c r="I891" s="381">
        <f>IF(AND('SETIEMBRE 2026'!D55&lt;&gt;"",'SETIEMBRE 2026'!Z55="POR RECOGER"),'SETIEMBRE 2026'!P55,"")</f>
        <v/>
      </c>
      <c r="J891" s="381">
        <f>IF(AND('SETIEMBRE 2026'!D55&lt;&gt;"",'SETIEMBRE 2026'!Z55="POR RECOGER"),'SETIEMBRE 2026'!Q55,"")</f>
        <v/>
      </c>
      <c r="K891" s="381">
        <f>IF(AND('SETIEMBRE 2026'!D55&lt;&gt;"",'SETIEMBRE 2026'!Z55="POR RECOGER"),'SETIEMBRE 2026'!Y55,"")</f>
        <v/>
      </c>
      <c r="L891" s="381">
        <f>IF(AND('SETIEMBRE 2026'!D55&lt;&gt;"",'SETIEMBRE 2026'!Z55="POR RECOGER"),'SETIEMBRE 2026'!I55,"")</f>
        <v/>
      </c>
      <c r="P891" s="194" t="n"/>
      <c r="Q891" s="194" t="n"/>
      <c r="R891" s="194" t="n"/>
      <c r="S891" s="194" t="n"/>
      <c r="T891" s="194" t="n"/>
      <c r="U891" s="194" t="n"/>
      <c r="V891" s="194" t="n"/>
      <c r="W891" s="194" t="n"/>
      <c r="X891" s="194" t="n"/>
      <c r="Y891" s="194" t="n"/>
      <c r="Z891" s="194" t="n"/>
    </row>
    <row r="892" ht="15" customHeight="1" s="195">
      <c r="A892" s="381">
        <f>IF(AND('SETIEMBRE 2026'!D56&lt;&gt;"",'SETIEMBRE 2026'!Z56="POR RECOGER"),"SET","")</f>
        <v/>
      </c>
      <c r="B892" s="381">
        <f>IF(AND('SETIEMBRE 2026'!D56&lt;&gt;"",'SETIEMBRE 2026'!Z56="POR RECOGER"),IF('SETIEMBRE 2026'!Y56&lt;&gt;"",'SETIEMBRE 2026'!Y56,'SETIEMBRE 2026'!I56),"")</f>
        <v/>
      </c>
      <c r="C892" s="381">
        <f>IF(AND('SETIEMBRE 2026'!D56&lt;&gt;"",'SETIEMBRE 2026'!Z56="POR RECOGER"),'SETIEMBRE 2026'!D56,"")</f>
        <v/>
      </c>
      <c r="D892" s="381">
        <f>IF(AND('SETIEMBRE 2026'!D56&lt;&gt;"",'SETIEMBRE 2026'!Z56="POR RECOGER"),'SETIEMBRE 2026'!F56,"")</f>
        <v/>
      </c>
      <c r="E892" s="381">
        <f>IF(AND('SETIEMBRE 2026'!D56&lt;&gt;"",'SETIEMBRE 2026'!Z56="POR RECOGER"),TEXT('SETIEMBRE 2026'!G56,"DD/MM/YYYY"),"")</f>
        <v/>
      </c>
      <c r="F892" s="381">
        <f>IF(AND('SETIEMBRE 2026'!D56&lt;&gt;"",'SETIEMBRE 2026'!Z56="POR RECOGER"),'SETIEMBRE 2026'!K56,"")</f>
        <v/>
      </c>
      <c r="G892" s="382">
        <f>IF(AND('SETIEMBRE 2026'!D56&lt;&gt;"",'SETIEMBRE 2026'!Z56="POR RECOGER"),'SETIEMBRE 2026'!M56,"")</f>
        <v/>
      </c>
      <c r="H892" s="382">
        <f>IF(AND('SETIEMBRE 2026'!D56&lt;&gt;"",'SETIEMBRE 2026'!Z56="POR RECOGER"),'SETIEMBRE 2026'!N56,"")</f>
        <v/>
      </c>
      <c r="I892" s="381">
        <f>IF(AND('SETIEMBRE 2026'!D56&lt;&gt;"",'SETIEMBRE 2026'!Z56="POR RECOGER"),'SETIEMBRE 2026'!P56,"")</f>
        <v/>
      </c>
      <c r="J892" s="381">
        <f>IF(AND('SETIEMBRE 2026'!D56&lt;&gt;"",'SETIEMBRE 2026'!Z56="POR RECOGER"),'SETIEMBRE 2026'!Q56,"")</f>
        <v/>
      </c>
      <c r="K892" s="381">
        <f>IF(AND('SETIEMBRE 2026'!D56&lt;&gt;"",'SETIEMBRE 2026'!Z56="POR RECOGER"),'SETIEMBRE 2026'!Y56,"")</f>
        <v/>
      </c>
      <c r="L892" s="381">
        <f>IF(AND('SETIEMBRE 2026'!D56&lt;&gt;"",'SETIEMBRE 2026'!Z56="POR RECOGER"),'SETIEMBRE 2026'!I56,"")</f>
        <v/>
      </c>
      <c r="P892" s="194" t="n"/>
      <c r="Q892" s="194" t="n"/>
      <c r="R892" s="194" t="n"/>
      <c r="S892" s="194" t="n"/>
      <c r="T892" s="194" t="n"/>
      <c r="U892" s="194" t="n"/>
      <c r="V892" s="194" t="n"/>
      <c r="W892" s="194" t="n"/>
      <c r="X892" s="194" t="n"/>
      <c r="Y892" s="194" t="n"/>
      <c r="Z892" s="194" t="n"/>
    </row>
    <row r="893" ht="15" customHeight="1" s="195">
      <c r="A893" s="381">
        <f>IF(AND('SETIEMBRE 2026'!D57&lt;&gt;"",'SETIEMBRE 2026'!Z57="POR RECOGER"),"SET","")</f>
        <v/>
      </c>
      <c r="B893" s="381">
        <f>IF(AND('SETIEMBRE 2026'!D57&lt;&gt;"",'SETIEMBRE 2026'!Z57="POR RECOGER"),IF('SETIEMBRE 2026'!Y57&lt;&gt;"",'SETIEMBRE 2026'!Y57,'SETIEMBRE 2026'!I57),"")</f>
        <v/>
      </c>
      <c r="C893" s="381">
        <f>IF(AND('SETIEMBRE 2026'!D57&lt;&gt;"",'SETIEMBRE 2026'!Z57="POR RECOGER"),'SETIEMBRE 2026'!D57,"")</f>
        <v/>
      </c>
      <c r="D893" s="381">
        <f>IF(AND('SETIEMBRE 2026'!D57&lt;&gt;"",'SETIEMBRE 2026'!Z57="POR RECOGER"),'SETIEMBRE 2026'!F57,"")</f>
        <v/>
      </c>
      <c r="E893" s="381">
        <f>IF(AND('SETIEMBRE 2026'!D57&lt;&gt;"",'SETIEMBRE 2026'!Z57="POR RECOGER"),TEXT('SETIEMBRE 2026'!G57,"DD/MM/YYYY"),"")</f>
        <v/>
      </c>
      <c r="F893" s="381">
        <f>IF(AND('SETIEMBRE 2026'!D57&lt;&gt;"",'SETIEMBRE 2026'!Z57="POR RECOGER"),'SETIEMBRE 2026'!K57,"")</f>
        <v/>
      </c>
      <c r="G893" s="382">
        <f>IF(AND('SETIEMBRE 2026'!D57&lt;&gt;"",'SETIEMBRE 2026'!Z57="POR RECOGER"),'SETIEMBRE 2026'!M57,"")</f>
        <v/>
      </c>
      <c r="H893" s="382">
        <f>IF(AND('SETIEMBRE 2026'!D57&lt;&gt;"",'SETIEMBRE 2026'!Z57="POR RECOGER"),'SETIEMBRE 2026'!N57,"")</f>
        <v/>
      </c>
      <c r="I893" s="381">
        <f>IF(AND('SETIEMBRE 2026'!D57&lt;&gt;"",'SETIEMBRE 2026'!Z57="POR RECOGER"),'SETIEMBRE 2026'!P57,"")</f>
        <v/>
      </c>
      <c r="J893" s="381">
        <f>IF(AND('SETIEMBRE 2026'!D57&lt;&gt;"",'SETIEMBRE 2026'!Z57="POR RECOGER"),'SETIEMBRE 2026'!Q57,"")</f>
        <v/>
      </c>
      <c r="K893" s="381">
        <f>IF(AND('SETIEMBRE 2026'!D57&lt;&gt;"",'SETIEMBRE 2026'!Z57="POR RECOGER"),'SETIEMBRE 2026'!Y57,"")</f>
        <v/>
      </c>
      <c r="L893" s="381">
        <f>IF(AND('SETIEMBRE 2026'!D57&lt;&gt;"",'SETIEMBRE 2026'!Z57="POR RECOGER"),'SETIEMBRE 2026'!I57,"")</f>
        <v/>
      </c>
      <c r="P893" s="194" t="n"/>
      <c r="Q893" s="194" t="n"/>
      <c r="R893" s="194" t="n"/>
      <c r="S893" s="194" t="n"/>
      <c r="T893" s="194" t="n"/>
      <c r="U893" s="194" t="n"/>
      <c r="V893" s="194" t="n"/>
      <c r="W893" s="194" t="n"/>
      <c r="X893" s="194" t="n"/>
      <c r="Y893" s="194" t="n"/>
      <c r="Z893" s="194" t="n"/>
    </row>
    <row r="894" ht="15" customHeight="1" s="195">
      <c r="A894" s="381">
        <f>IF(AND('SETIEMBRE 2026'!D58&lt;&gt;"",'SETIEMBRE 2026'!Z58="POR RECOGER"),"SET","")</f>
        <v/>
      </c>
      <c r="B894" s="381">
        <f>IF(AND('SETIEMBRE 2026'!D58&lt;&gt;"",'SETIEMBRE 2026'!Z58="POR RECOGER"),IF('SETIEMBRE 2026'!Y58&lt;&gt;"",'SETIEMBRE 2026'!Y58,'SETIEMBRE 2026'!I58),"")</f>
        <v/>
      </c>
      <c r="C894" s="381">
        <f>IF(AND('SETIEMBRE 2026'!D58&lt;&gt;"",'SETIEMBRE 2026'!Z58="POR RECOGER"),'SETIEMBRE 2026'!D58,"")</f>
        <v/>
      </c>
      <c r="D894" s="381">
        <f>IF(AND('SETIEMBRE 2026'!D58&lt;&gt;"",'SETIEMBRE 2026'!Z58="POR RECOGER"),'SETIEMBRE 2026'!F58,"")</f>
        <v/>
      </c>
      <c r="E894" s="381">
        <f>IF(AND('SETIEMBRE 2026'!D58&lt;&gt;"",'SETIEMBRE 2026'!Z58="POR RECOGER"),TEXT('SETIEMBRE 2026'!G58,"DD/MM/YYYY"),"")</f>
        <v/>
      </c>
      <c r="F894" s="381">
        <f>IF(AND('SETIEMBRE 2026'!D58&lt;&gt;"",'SETIEMBRE 2026'!Z58="POR RECOGER"),'SETIEMBRE 2026'!K58,"")</f>
        <v/>
      </c>
      <c r="G894" s="382">
        <f>IF(AND('SETIEMBRE 2026'!D58&lt;&gt;"",'SETIEMBRE 2026'!Z58="POR RECOGER"),'SETIEMBRE 2026'!M58,"")</f>
        <v/>
      </c>
      <c r="H894" s="382">
        <f>IF(AND('SETIEMBRE 2026'!D58&lt;&gt;"",'SETIEMBRE 2026'!Z58="POR RECOGER"),'SETIEMBRE 2026'!N58,"")</f>
        <v/>
      </c>
      <c r="I894" s="381">
        <f>IF(AND('SETIEMBRE 2026'!D58&lt;&gt;"",'SETIEMBRE 2026'!Z58="POR RECOGER"),'SETIEMBRE 2026'!P58,"")</f>
        <v/>
      </c>
      <c r="J894" s="381">
        <f>IF(AND('SETIEMBRE 2026'!D58&lt;&gt;"",'SETIEMBRE 2026'!Z58="POR RECOGER"),'SETIEMBRE 2026'!Q58,"")</f>
        <v/>
      </c>
      <c r="K894" s="381">
        <f>IF(AND('SETIEMBRE 2026'!D58&lt;&gt;"",'SETIEMBRE 2026'!Z58="POR RECOGER"),'SETIEMBRE 2026'!Y58,"")</f>
        <v/>
      </c>
      <c r="L894" s="381">
        <f>IF(AND('SETIEMBRE 2026'!D58&lt;&gt;"",'SETIEMBRE 2026'!Z58="POR RECOGER"),'SETIEMBRE 2026'!I58,"")</f>
        <v/>
      </c>
      <c r="P894" s="194" t="n"/>
      <c r="Q894" s="194" t="n"/>
      <c r="R894" s="194" t="n"/>
      <c r="S894" s="194" t="n"/>
      <c r="T894" s="194" t="n"/>
      <c r="U894" s="194" t="n"/>
      <c r="V894" s="194" t="n"/>
      <c r="W894" s="194" t="n"/>
      <c r="X894" s="194" t="n"/>
      <c r="Y894" s="194" t="n"/>
      <c r="Z894" s="194" t="n"/>
    </row>
    <row r="895" ht="15" customHeight="1" s="195">
      <c r="A895" s="381">
        <f>IF(AND('SETIEMBRE 2026'!D59&lt;&gt;"",'SETIEMBRE 2026'!Z59="POR RECOGER"),"SET","")</f>
        <v/>
      </c>
      <c r="B895" s="381">
        <f>IF(AND('SETIEMBRE 2026'!D59&lt;&gt;"",'SETIEMBRE 2026'!Z59="POR RECOGER"),IF('SETIEMBRE 2026'!Y59&lt;&gt;"",'SETIEMBRE 2026'!Y59,'SETIEMBRE 2026'!I59),"")</f>
        <v/>
      </c>
      <c r="C895" s="381">
        <f>IF(AND('SETIEMBRE 2026'!D59&lt;&gt;"",'SETIEMBRE 2026'!Z59="POR RECOGER"),'SETIEMBRE 2026'!D59,"")</f>
        <v/>
      </c>
      <c r="D895" s="381">
        <f>IF(AND('SETIEMBRE 2026'!D59&lt;&gt;"",'SETIEMBRE 2026'!Z59="POR RECOGER"),'SETIEMBRE 2026'!F59,"")</f>
        <v/>
      </c>
      <c r="E895" s="381">
        <f>IF(AND('SETIEMBRE 2026'!D59&lt;&gt;"",'SETIEMBRE 2026'!Z59="POR RECOGER"),TEXT('SETIEMBRE 2026'!G59,"DD/MM/YYYY"),"")</f>
        <v/>
      </c>
      <c r="F895" s="381">
        <f>IF(AND('SETIEMBRE 2026'!D59&lt;&gt;"",'SETIEMBRE 2026'!Z59="POR RECOGER"),'SETIEMBRE 2026'!K59,"")</f>
        <v/>
      </c>
      <c r="G895" s="382">
        <f>IF(AND('SETIEMBRE 2026'!D59&lt;&gt;"",'SETIEMBRE 2026'!Z59="POR RECOGER"),'SETIEMBRE 2026'!M59,"")</f>
        <v/>
      </c>
      <c r="H895" s="382">
        <f>IF(AND('SETIEMBRE 2026'!D59&lt;&gt;"",'SETIEMBRE 2026'!Z59="POR RECOGER"),'SETIEMBRE 2026'!N59,"")</f>
        <v/>
      </c>
      <c r="I895" s="381">
        <f>IF(AND('SETIEMBRE 2026'!D59&lt;&gt;"",'SETIEMBRE 2026'!Z59="POR RECOGER"),'SETIEMBRE 2026'!P59,"")</f>
        <v/>
      </c>
      <c r="J895" s="381">
        <f>IF(AND('SETIEMBRE 2026'!D59&lt;&gt;"",'SETIEMBRE 2026'!Z59="POR RECOGER"),'SETIEMBRE 2026'!Q59,"")</f>
        <v/>
      </c>
      <c r="K895" s="381">
        <f>IF(AND('SETIEMBRE 2026'!D59&lt;&gt;"",'SETIEMBRE 2026'!Z59="POR RECOGER"),'SETIEMBRE 2026'!Y59,"")</f>
        <v/>
      </c>
      <c r="L895" s="381">
        <f>IF(AND('SETIEMBRE 2026'!D59&lt;&gt;"",'SETIEMBRE 2026'!Z59="POR RECOGER"),'SETIEMBRE 2026'!I59,"")</f>
        <v/>
      </c>
      <c r="P895" s="194" t="n"/>
      <c r="Q895" s="194" t="n"/>
      <c r="R895" s="194" t="n"/>
      <c r="S895" s="194" t="n"/>
      <c r="T895" s="194" t="n"/>
      <c r="U895" s="194" t="n"/>
      <c r="V895" s="194" t="n"/>
      <c r="W895" s="194" t="n"/>
      <c r="X895" s="194" t="n"/>
      <c r="Y895" s="194" t="n"/>
      <c r="Z895" s="194" t="n"/>
    </row>
    <row r="896" ht="15" customHeight="1" s="195">
      <c r="A896" s="381">
        <f>IF(AND('SETIEMBRE 2026'!D60&lt;&gt;"",'SETIEMBRE 2026'!Z60="POR RECOGER"),"SET","")</f>
        <v/>
      </c>
      <c r="B896" s="381">
        <f>IF(AND('SETIEMBRE 2026'!D60&lt;&gt;"",'SETIEMBRE 2026'!Z60="POR RECOGER"),IF('SETIEMBRE 2026'!Y60&lt;&gt;"",'SETIEMBRE 2026'!Y60,'SETIEMBRE 2026'!I60),"")</f>
        <v/>
      </c>
      <c r="C896" s="381">
        <f>IF(AND('SETIEMBRE 2026'!D60&lt;&gt;"",'SETIEMBRE 2026'!Z60="POR RECOGER"),'SETIEMBRE 2026'!D60,"")</f>
        <v/>
      </c>
      <c r="D896" s="381">
        <f>IF(AND('SETIEMBRE 2026'!D60&lt;&gt;"",'SETIEMBRE 2026'!Z60="POR RECOGER"),'SETIEMBRE 2026'!F60,"")</f>
        <v/>
      </c>
      <c r="E896" s="381">
        <f>IF(AND('SETIEMBRE 2026'!D60&lt;&gt;"",'SETIEMBRE 2026'!Z60="POR RECOGER"),TEXT('SETIEMBRE 2026'!G60,"DD/MM/YYYY"),"")</f>
        <v/>
      </c>
      <c r="F896" s="381">
        <f>IF(AND('SETIEMBRE 2026'!D60&lt;&gt;"",'SETIEMBRE 2026'!Z60="POR RECOGER"),'SETIEMBRE 2026'!K60,"")</f>
        <v/>
      </c>
      <c r="G896" s="382">
        <f>IF(AND('SETIEMBRE 2026'!D60&lt;&gt;"",'SETIEMBRE 2026'!Z60="POR RECOGER"),'SETIEMBRE 2026'!M60,"")</f>
        <v/>
      </c>
      <c r="H896" s="382">
        <f>IF(AND('SETIEMBRE 2026'!D60&lt;&gt;"",'SETIEMBRE 2026'!Z60="POR RECOGER"),'SETIEMBRE 2026'!N60,"")</f>
        <v/>
      </c>
      <c r="I896" s="381">
        <f>IF(AND('SETIEMBRE 2026'!D60&lt;&gt;"",'SETIEMBRE 2026'!Z60="POR RECOGER"),'SETIEMBRE 2026'!P60,"")</f>
        <v/>
      </c>
      <c r="J896" s="381">
        <f>IF(AND('SETIEMBRE 2026'!D60&lt;&gt;"",'SETIEMBRE 2026'!Z60="POR RECOGER"),'SETIEMBRE 2026'!Q60,"")</f>
        <v/>
      </c>
      <c r="K896" s="381">
        <f>IF(AND('SETIEMBRE 2026'!D60&lt;&gt;"",'SETIEMBRE 2026'!Z60="POR RECOGER"),'SETIEMBRE 2026'!Y60,"")</f>
        <v/>
      </c>
      <c r="L896" s="381">
        <f>IF(AND('SETIEMBRE 2026'!D60&lt;&gt;"",'SETIEMBRE 2026'!Z60="POR RECOGER"),'SETIEMBRE 2026'!I60,"")</f>
        <v/>
      </c>
      <c r="P896" s="194" t="n"/>
      <c r="Q896" s="194" t="n"/>
      <c r="R896" s="194" t="n"/>
      <c r="S896" s="194" t="n"/>
      <c r="T896" s="194" t="n"/>
      <c r="U896" s="194" t="n"/>
      <c r="V896" s="194" t="n"/>
      <c r="W896" s="194" t="n"/>
      <c r="X896" s="194" t="n"/>
      <c r="Y896" s="194" t="n"/>
      <c r="Z896" s="194" t="n"/>
    </row>
    <row r="897" ht="15" customHeight="1" s="195">
      <c r="A897" s="381">
        <f>IF(AND('SETIEMBRE 2026'!D61&lt;&gt;"",'SETIEMBRE 2026'!Z61="POR RECOGER"),"SET","")</f>
        <v/>
      </c>
      <c r="B897" s="381">
        <f>IF(AND('SETIEMBRE 2026'!D61&lt;&gt;"",'SETIEMBRE 2026'!Z61="POR RECOGER"),IF('SETIEMBRE 2026'!Y61&lt;&gt;"",'SETIEMBRE 2026'!Y61,'SETIEMBRE 2026'!I61),"")</f>
        <v/>
      </c>
      <c r="C897" s="381">
        <f>IF(AND('SETIEMBRE 2026'!D61&lt;&gt;"",'SETIEMBRE 2026'!Z61="POR RECOGER"),'SETIEMBRE 2026'!D61,"")</f>
        <v/>
      </c>
      <c r="D897" s="381">
        <f>IF(AND('SETIEMBRE 2026'!D61&lt;&gt;"",'SETIEMBRE 2026'!Z61="POR RECOGER"),'SETIEMBRE 2026'!F61,"")</f>
        <v/>
      </c>
      <c r="E897" s="381">
        <f>IF(AND('SETIEMBRE 2026'!D61&lt;&gt;"",'SETIEMBRE 2026'!Z61="POR RECOGER"),TEXT('SETIEMBRE 2026'!G61,"DD/MM/YYYY"),"")</f>
        <v/>
      </c>
      <c r="F897" s="381">
        <f>IF(AND('SETIEMBRE 2026'!D61&lt;&gt;"",'SETIEMBRE 2026'!Z61="POR RECOGER"),'SETIEMBRE 2026'!K61,"")</f>
        <v/>
      </c>
      <c r="G897" s="382">
        <f>IF(AND('SETIEMBRE 2026'!D61&lt;&gt;"",'SETIEMBRE 2026'!Z61="POR RECOGER"),'SETIEMBRE 2026'!M61,"")</f>
        <v/>
      </c>
      <c r="H897" s="382">
        <f>IF(AND('SETIEMBRE 2026'!D61&lt;&gt;"",'SETIEMBRE 2026'!Z61="POR RECOGER"),'SETIEMBRE 2026'!N61,"")</f>
        <v/>
      </c>
      <c r="I897" s="381">
        <f>IF(AND('SETIEMBRE 2026'!D61&lt;&gt;"",'SETIEMBRE 2026'!Z61="POR RECOGER"),'SETIEMBRE 2026'!P61,"")</f>
        <v/>
      </c>
      <c r="J897" s="381">
        <f>IF(AND('SETIEMBRE 2026'!D61&lt;&gt;"",'SETIEMBRE 2026'!Z61="POR RECOGER"),'SETIEMBRE 2026'!Q61,"")</f>
        <v/>
      </c>
      <c r="K897" s="381">
        <f>IF(AND('SETIEMBRE 2026'!D61&lt;&gt;"",'SETIEMBRE 2026'!Z61="POR RECOGER"),'SETIEMBRE 2026'!Y61,"")</f>
        <v/>
      </c>
      <c r="L897" s="381">
        <f>IF(AND('SETIEMBRE 2026'!D61&lt;&gt;"",'SETIEMBRE 2026'!Z61="POR RECOGER"),'SETIEMBRE 2026'!I61,"")</f>
        <v/>
      </c>
      <c r="P897" s="194" t="n"/>
      <c r="Q897" s="194" t="n"/>
      <c r="R897" s="194" t="n"/>
      <c r="S897" s="194" t="n"/>
      <c r="T897" s="194" t="n"/>
      <c r="U897" s="194" t="n"/>
      <c r="V897" s="194" t="n"/>
      <c r="W897" s="194" t="n"/>
      <c r="X897" s="194" t="n"/>
      <c r="Y897" s="194" t="n"/>
      <c r="Z897" s="194" t="n"/>
    </row>
    <row r="898" ht="15" customHeight="1" s="195">
      <c r="A898" s="381">
        <f>IF(AND('SETIEMBRE 2026'!D62&lt;&gt;"",'SETIEMBRE 2026'!Z62="POR RECOGER"),"SET","")</f>
        <v/>
      </c>
      <c r="B898" s="381">
        <f>IF(AND('SETIEMBRE 2026'!D62&lt;&gt;"",'SETIEMBRE 2026'!Z62="POR RECOGER"),IF('SETIEMBRE 2026'!Y62&lt;&gt;"",'SETIEMBRE 2026'!Y62,'SETIEMBRE 2026'!I62),"")</f>
        <v/>
      </c>
      <c r="C898" s="381">
        <f>IF(AND('SETIEMBRE 2026'!D62&lt;&gt;"",'SETIEMBRE 2026'!Z62="POR RECOGER"),'SETIEMBRE 2026'!D62,"")</f>
        <v/>
      </c>
      <c r="D898" s="381">
        <f>IF(AND('SETIEMBRE 2026'!D62&lt;&gt;"",'SETIEMBRE 2026'!Z62="POR RECOGER"),'SETIEMBRE 2026'!F62,"")</f>
        <v/>
      </c>
      <c r="E898" s="381">
        <f>IF(AND('SETIEMBRE 2026'!D62&lt;&gt;"",'SETIEMBRE 2026'!Z62="POR RECOGER"),TEXT('SETIEMBRE 2026'!G62,"DD/MM/YYYY"),"")</f>
        <v/>
      </c>
      <c r="F898" s="381">
        <f>IF(AND('SETIEMBRE 2026'!D62&lt;&gt;"",'SETIEMBRE 2026'!Z62="POR RECOGER"),'SETIEMBRE 2026'!K62,"")</f>
        <v/>
      </c>
      <c r="G898" s="382">
        <f>IF(AND('SETIEMBRE 2026'!D62&lt;&gt;"",'SETIEMBRE 2026'!Z62="POR RECOGER"),'SETIEMBRE 2026'!M62,"")</f>
        <v/>
      </c>
      <c r="H898" s="382">
        <f>IF(AND('SETIEMBRE 2026'!D62&lt;&gt;"",'SETIEMBRE 2026'!Z62="POR RECOGER"),'SETIEMBRE 2026'!N62,"")</f>
        <v/>
      </c>
      <c r="I898" s="381">
        <f>IF(AND('SETIEMBRE 2026'!D62&lt;&gt;"",'SETIEMBRE 2026'!Z62="POR RECOGER"),'SETIEMBRE 2026'!P62,"")</f>
        <v/>
      </c>
      <c r="J898" s="381">
        <f>IF(AND('SETIEMBRE 2026'!D62&lt;&gt;"",'SETIEMBRE 2026'!Z62="POR RECOGER"),'SETIEMBRE 2026'!Q62,"")</f>
        <v/>
      </c>
      <c r="K898" s="381">
        <f>IF(AND('SETIEMBRE 2026'!D62&lt;&gt;"",'SETIEMBRE 2026'!Z62="POR RECOGER"),'SETIEMBRE 2026'!Y62,"")</f>
        <v/>
      </c>
      <c r="L898" s="381">
        <f>IF(AND('SETIEMBRE 2026'!D62&lt;&gt;"",'SETIEMBRE 2026'!Z62="POR RECOGER"),'SETIEMBRE 2026'!I62,"")</f>
        <v/>
      </c>
      <c r="P898" s="194" t="n"/>
      <c r="Q898" s="194" t="n"/>
      <c r="R898" s="194" t="n"/>
      <c r="S898" s="194" t="n"/>
      <c r="T898" s="194" t="n"/>
      <c r="U898" s="194" t="n"/>
      <c r="V898" s="194" t="n"/>
      <c r="W898" s="194" t="n"/>
      <c r="X898" s="194" t="n"/>
      <c r="Y898" s="194" t="n"/>
      <c r="Z898" s="194" t="n"/>
    </row>
    <row r="899" ht="15" customHeight="1" s="195">
      <c r="A899" s="381">
        <f>IF(AND('SETIEMBRE 2026'!D63&lt;&gt;"",'SETIEMBRE 2026'!Z63="POR RECOGER"),"SET","")</f>
        <v/>
      </c>
      <c r="B899" s="381">
        <f>IF(AND('SETIEMBRE 2026'!D63&lt;&gt;"",'SETIEMBRE 2026'!Z63="POR RECOGER"),IF('SETIEMBRE 2026'!Y63&lt;&gt;"",'SETIEMBRE 2026'!Y63,'SETIEMBRE 2026'!I63),"")</f>
        <v/>
      </c>
      <c r="C899" s="381">
        <f>IF(AND('SETIEMBRE 2026'!D63&lt;&gt;"",'SETIEMBRE 2026'!Z63="POR RECOGER"),'SETIEMBRE 2026'!D63,"")</f>
        <v/>
      </c>
      <c r="D899" s="381">
        <f>IF(AND('SETIEMBRE 2026'!D63&lt;&gt;"",'SETIEMBRE 2026'!Z63="POR RECOGER"),'SETIEMBRE 2026'!F63,"")</f>
        <v/>
      </c>
      <c r="E899" s="381">
        <f>IF(AND('SETIEMBRE 2026'!D63&lt;&gt;"",'SETIEMBRE 2026'!Z63="POR RECOGER"),TEXT('SETIEMBRE 2026'!G63,"DD/MM/YYYY"),"")</f>
        <v/>
      </c>
      <c r="F899" s="381">
        <f>IF(AND('SETIEMBRE 2026'!D63&lt;&gt;"",'SETIEMBRE 2026'!Z63="POR RECOGER"),'SETIEMBRE 2026'!K63,"")</f>
        <v/>
      </c>
      <c r="G899" s="382">
        <f>IF(AND('SETIEMBRE 2026'!D63&lt;&gt;"",'SETIEMBRE 2026'!Z63="POR RECOGER"),'SETIEMBRE 2026'!M63,"")</f>
        <v/>
      </c>
      <c r="H899" s="382">
        <f>IF(AND('SETIEMBRE 2026'!D63&lt;&gt;"",'SETIEMBRE 2026'!Z63="POR RECOGER"),'SETIEMBRE 2026'!N63,"")</f>
        <v/>
      </c>
      <c r="I899" s="381">
        <f>IF(AND('SETIEMBRE 2026'!D63&lt;&gt;"",'SETIEMBRE 2026'!Z63="POR RECOGER"),'SETIEMBRE 2026'!P63,"")</f>
        <v/>
      </c>
      <c r="J899" s="381">
        <f>IF(AND('SETIEMBRE 2026'!D63&lt;&gt;"",'SETIEMBRE 2026'!Z63="POR RECOGER"),'SETIEMBRE 2026'!Q63,"")</f>
        <v/>
      </c>
      <c r="K899" s="381">
        <f>IF(AND('SETIEMBRE 2026'!D63&lt;&gt;"",'SETIEMBRE 2026'!Z63="POR RECOGER"),'SETIEMBRE 2026'!Y63,"")</f>
        <v/>
      </c>
      <c r="L899" s="381">
        <f>IF(AND('SETIEMBRE 2026'!D63&lt;&gt;"",'SETIEMBRE 2026'!Z63="POR RECOGER"),'SETIEMBRE 2026'!I63,"")</f>
        <v/>
      </c>
      <c r="P899" s="194" t="n"/>
      <c r="Q899" s="194" t="n"/>
      <c r="R899" s="194" t="n"/>
      <c r="S899" s="194" t="n"/>
      <c r="T899" s="194" t="n"/>
      <c r="U899" s="194" t="n"/>
      <c r="V899" s="194" t="n"/>
      <c r="W899" s="194" t="n"/>
      <c r="X899" s="194" t="n"/>
      <c r="Y899" s="194" t="n"/>
      <c r="Z899" s="194" t="n"/>
    </row>
    <row r="900" ht="15" customHeight="1" s="195">
      <c r="A900" s="381">
        <f>IF(AND('SETIEMBRE 2026'!D64&lt;&gt;"",'SETIEMBRE 2026'!Z64="POR RECOGER"),"SET","")</f>
        <v/>
      </c>
      <c r="B900" s="381">
        <f>IF(AND('SETIEMBRE 2026'!D64&lt;&gt;"",'SETIEMBRE 2026'!Z64="POR RECOGER"),IF('SETIEMBRE 2026'!Y64&lt;&gt;"",'SETIEMBRE 2026'!Y64,'SETIEMBRE 2026'!I64),"")</f>
        <v/>
      </c>
      <c r="C900" s="381">
        <f>IF(AND('SETIEMBRE 2026'!D64&lt;&gt;"",'SETIEMBRE 2026'!Z64="POR RECOGER"),'SETIEMBRE 2026'!D64,"")</f>
        <v/>
      </c>
      <c r="D900" s="381">
        <f>IF(AND('SETIEMBRE 2026'!D64&lt;&gt;"",'SETIEMBRE 2026'!Z64="POR RECOGER"),'SETIEMBRE 2026'!F64,"")</f>
        <v/>
      </c>
      <c r="E900" s="381">
        <f>IF(AND('SETIEMBRE 2026'!D64&lt;&gt;"",'SETIEMBRE 2026'!Z64="POR RECOGER"),TEXT('SETIEMBRE 2026'!G64,"DD/MM/YYYY"),"")</f>
        <v/>
      </c>
      <c r="F900" s="381">
        <f>IF(AND('SETIEMBRE 2026'!D64&lt;&gt;"",'SETIEMBRE 2026'!Z64="POR RECOGER"),'SETIEMBRE 2026'!K64,"")</f>
        <v/>
      </c>
      <c r="G900" s="382">
        <f>IF(AND('SETIEMBRE 2026'!D64&lt;&gt;"",'SETIEMBRE 2026'!Z64="POR RECOGER"),'SETIEMBRE 2026'!M64,"")</f>
        <v/>
      </c>
      <c r="H900" s="382">
        <f>IF(AND('SETIEMBRE 2026'!D64&lt;&gt;"",'SETIEMBRE 2026'!Z64="POR RECOGER"),'SETIEMBRE 2026'!N64,"")</f>
        <v/>
      </c>
      <c r="I900" s="381">
        <f>IF(AND('SETIEMBRE 2026'!D64&lt;&gt;"",'SETIEMBRE 2026'!Z64="POR RECOGER"),'SETIEMBRE 2026'!P64,"")</f>
        <v/>
      </c>
      <c r="J900" s="381">
        <f>IF(AND('SETIEMBRE 2026'!D64&lt;&gt;"",'SETIEMBRE 2026'!Z64="POR RECOGER"),'SETIEMBRE 2026'!Q64,"")</f>
        <v/>
      </c>
      <c r="K900" s="381">
        <f>IF(AND('SETIEMBRE 2026'!D64&lt;&gt;"",'SETIEMBRE 2026'!Z64="POR RECOGER"),'SETIEMBRE 2026'!Y64,"")</f>
        <v/>
      </c>
      <c r="L900" s="381">
        <f>IF(AND('SETIEMBRE 2026'!D64&lt;&gt;"",'SETIEMBRE 2026'!Z64="POR RECOGER"),'SETIEMBRE 2026'!I64,"")</f>
        <v/>
      </c>
      <c r="P900" s="194" t="n"/>
      <c r="Q900" s="194" t="n"/>
      <c r="R900" s="194" t="n"/>
      <c r="S900" s="194" t="n"/>
      <c r="T900" s="194" t="n"/>
      <c r="U900" s="194" t="n"/>
      <c r="V900" s="194" t="n"/>
      <c r="W900" s="194" t="n"/>
      <c r="X900" s="194" t="n"/>
      <c r="Y900" s="194" t="n"/>
      <c r="Z900" s="194" t="n"/>
    </row>
    <row r="901" ht="15" customHeight="1" s="195">
      <c r="A901" s="381">
        <f>IF(AND('SETIEMBRE 2026'!D65&lt;&gt;"",'SETIEMBRE 2026'!Z65="POR RECOGER"),"SET","")</f>
        <v/>
      </c>
      <c r="B901" s="381">
        <f>IF(AND('SETIEMBRE 2026'!D65&lt;&gt;"",'SETIEMBRE 2026'!Z65="POR RECOGER"),IF('SETIEMBRE 2026'!Y65&lt;&gt;"",'SETIEMBRE 2026'!Y65,'SETIEMBRE 2026'!I65),"")</f>
        <v/>
      </c>
      <c r="C901" s="381">
        <f>IF(AND('SETIEMBRE 2026'!D65&lt;&gt;"",'SETIEMBRE 2026'!Z65="POR RECOGER"),'SETIEMBRE 2026'!D65,"")</f>
        <v/>
      </c>
      <c r="D901" s="381">
        <f>IF(AND('SETIEMBRE 2026'!D65&lt;&gt;"",'SETIEMBRE 2026'!Z65="POR RECOGER"),'SETIEMBRE 2026'!F65,"")</f>
        <v/>
      </c>
      <c r="E901" s="381">
        <f>IF(AND('SETIEMBRE 2026'!D65&lt;&gt;"",'SETIEMBRE 2026'!Z65="POR RECOGER"),TEXT('SETIEMBRE 2026'!G65,"DD/MM/YYYY"),"")</f>
        <v/>
      </c>
      <c r="F901" s="381">
        <f>IF(AND('SETIEMBRE 2026'!D65&lt;&gt;"",'SETIEMBRE 2026'!Z65="POR RECOGER"),'SETIEMBRE 2026'!K65,"")</f>
        <v/>
      </c>
      <c r="G901" s="382">
        <f>IF(AND('SETIEMBRE 2026'!D65&lt;&gt;"",'SETIEMBRE 2026'!Z65="POR RECOGER"),'SETIEMBRE 2026'!M65,"")</f>
        <v/>
      </c>
      <c r="H901" s="382">
        <f>IF(AND('SETIEMBRE 2026'!D65&lt;&gt;"",'SETIEMBRE 2026'!Z65="POR RECOGER"),'SETIEMBRE 2026'!N65,"")</f>
        <v/>
      </c>
      <c r="I901" s="381">
        <f>IF(AND('SETIEMBRE 2026'!D65&lt;&gt;"",'SETIEMBRE 2026'!Z65="POR RECOGER"),'SETIEMBRE 2026'!P65,"")</f>
        <v/>
      </c>
      <c r="J901" s="381">
        <f>IF(AND('SETIEMBRE 2026'!D65&lt;&gt;"",'SETIEMBRE 2026'!Z65="POR RECOGER"),'SETIEMBRE 2026'!Q65,"")</f>
        <v/>
      </c>
      <c r="K901" s="381">
        <f>IF(AND('SETIEMBRE 2026'!D65&lt;&gt;"",'SETIEMBRE 2026'!Z65="POR RECOGER"),'SETIEMBRE 2026'!Y65,"")</f>
        <v/>
      </c>
      <c r="L901" s="381">
        <f>IF(AND('SETIEMBRE 2026'!D65&lt;&gt;"",'SETIEMBRE 2026'!Z65="POR RECOGER"),'SETIEMBRE 2026'!I65,"")</f>
        <v/>
      </c>
      <c r="P901" s="194" t="n"/>
      <c r="Q901" s="194" t="n"/>
      <c r="R901" s="194" t="n"/>
      <c r="S901" s="194" t="n"/>
      <c r="T901" s="194" t="n"/>
      <c r="U901" s="194" t="n"/>
      <c r="V901" s="194" t="n"/>
      <c r="W901" s="194" t="n"/>
      <c r="X901" s="194" t="n"/>
      <c r="Y901" s="194" t="n"/>
      <c r="Z901" s="194" t="n"/>
    </row>
    <row r="902" ht="15" customHeight="1" s="195">
      <c r="A902" s="381">
        <f>IF(AND('SETIEMBRE 2026'!D66&lt;&gt;"",'SETIEMBRE 2026'!Z66="POR RECOGER"),"SET","")</f>
        <v/>
      </c>
      <c r="B902" s="381">
        <f>IF(AND('SETIEMBRE 2026'!D66&lt;&gt;"",'SETIEMBRE 2026'!Z66="POR RECOGER"),IF('SETIEMBRE 2026'!Y66&lt;&gt;"",'SETIEMBRE 2026'!Y66,'SETIEMBRE 2026'!I66),"")</f>
        <v/>
      </c>
      <c r="C902" s="381">
        <f>IF(AND('SETIEMBRE 2026'!D66&lt;&gt;"",'SETIEMBRE 2026'!Z66="POR RECOGER"),'SETIEMBRE 2026'!D66,"")</f>
        <v/>
      </c>
      <c r="D902" s="381">
        <f>IF(AND('SETIEMBRE 2026'!D66&lt;&gt;"",'SETIEMBRE 2026'!Z66="POR RECOGER"),'SETIEMBRE 2026'!F66,"")</f>
        <v/>
      </c>
      <c r="E902" s="381">
        <f>IF(AND('SETIEMBRE 2026'!D66&lt;&gt;"",'SETIEMBRE 2026'!Z66="POR RECOGER"),TEXT('SETIEMBRE 2026'!G66,"DD/MM/YYYY"),"")</f>
        <v/>
      </c>
      <c r="F902" s="381">
        <f>IF(AND('SETIEMBRE 2026'!D66&lt;&gt;"",'SETIEMBRE 2026'!Z66="POR RECOGER"),'SETIEMBRE 2026'!K66,"")</f>
        <v/>
      </c>
      <c r="G902" s="382">
        <f>IF(AND('SETIEMBRE 2026'!D66&lt;&gt;"",'SETIEMBRE 2026'!Z66="POR RECOGER"),'SETIEMBRE 2026'!M66,"")</f>
        <v/>
      </c>
      <c r="H902" s="382">
        <f>IF(AND('SETIEMBRE 2026'!D66&lt;&gt;"",'SETIEMBRE 2026'!Z66="POR RECOGER"),'SETIEMBRE 2026'!N66,"")</f>
        <v/>
      </c>
      <c r="I902" s="381">
        <f>IF(AND('SETIEMBRE 2026'!D66&lt;&gt;"",'SETIEMBRE 2026'!Z66="POR RECOGER"),'SETIEMBRE 2026'!P66,"")</f>
        <v/>
      </c>
      <c r="J902" s="381">
        <f>IF(AND('SETIEMBRE 2026'!D66&lt;&gt;"",'SETIEMBRE 2026'!Z66="POR RECOGER"),'SETIEMBRE 2026'!Q66,"")</f>
        <v/>
      </c>
      <c r="K902" s="381">
        <f>IF(AND('SETIEMBRE 2026'!D66&lt;&gt;"",'SETIEMBRE 2026'!Z66="POR RECOGER"),'SETIEMBRE 2026'!Y66,"")</f>
        <v/>
      </c>
      <c r="L902" s="381">
        <f>IF(AND('SETIEMBRE 2026'!D66&lt;&gt;"",'SETIEMBRE 2026'!Z66="POR RECOGER"),'SETIEMBRE 2026'!I66,"")</f>
        <v/>
      </c>
      <c r="P902" s="194" t="n"/>
      <c r="Q902" s="194" t="n"/>
      <c r="R902" s="194" t="n"/>
      <c r="S902" s="194" t="n"/>
      <c r="T902" s="194" t="n"/>
      <c r="U902" s="194" t="n"/>
      <c r="V902" s="194" t="n"/>
      <c r="W902" s="194" t="n"/>
      <c r="X902" s="194" t="n"/>
      <c r="Y902" s="194" t="n"/>
      <c r="Z902" s="194" t="n"/>
    </row>
    <row r="903" ht="15" customHeight="1" s="195">
      <c r="A903" s="381">
        <f>IF(AND('SETIEMBRE 2026'!D67&lt;&gt;"",'SETIEMBRE 2026'!Z67="POR RECOGER"),"SET","")</f>
        <v/>
      </c>
      <c r="B903" s="381">
        <f>IF(AND('SETIEMBRE 2026'!D67&lt;&gt;"",'SETIEMBRE 2026'!Z67="POR RECOGER"),IF('SETIEMBRE 2026'!Y67&lt;&gt;"",'SETIEMBRE 2026'!Y67,'SETIEMBRE 2026'!I67),"")</f>
        <v/>
      </c>
      <c r="C903" s="381">
        <f>IF(AND('SETIEMBRE 2026'!D67&lt;&gt;"",'SETIEMBRE 2026'!Z67="POR RECOGER"),'SETIEMBRE 2026'!D67,"")</f>
        <v/>
      </c>
      <c r="D903" s="381">
        <f>IF(AND('SETIEMBRE 2026'!D67&lt;&gt;"",'SETIEMBRE 2026'!Z67="POR RECOGER"),'SETIEMBRE 2026'!F67,"")</f>
        <v/>
      </c>
      <c r="E903" s="381">
        <f>IF(AND('SETIEMBRE 2026'!D67&lt;&gt;"",'SETIEMBRE 2026'!Z67="POR RECOGER"),TEXT('SETIEMBRE 2026'!G67,"DD/MM/YYYY"),"")</f>
        <v/>
      </c>
      <c r="F903" s="381">
        <f>IF(AND('SETIEMBRE 2026'!D67&lt;&gt;"",'SETIEMBRE 2026'!Z67="POR RECOGER"),'SETIEMBRE 2026'!K67,"")</f>
        <v/>
      </c>
      <c r="G903" s="382">
        <f>IF(AND('SETIEMBRE 2026'!D67&lt;&gt;"",'SETIEMBRE 2026'!Z67="POR RECOGER"),'SETIEMBRE 2026'!M67,"")</f>
        <v/>
      </c>
      <c r="H903" s="382">
        <f>IF(AND('SETIEMBRE 2026'!D67&lt;&gt;"",'SETIEMBRE 2026'!Z67="POR RECOGER"),'SETIEMBRE 2026'!N67,"")</f>
        <v/>
      </c>
      <c r="I903" s="381">
        <f>IF(AND('SETIEMBRE 2026'!D67&lt;&gt;"",'SETIEMBRE 2026'!Z67="POR RECOGER"),'SETIEMBRE 2026'!P67,"")</f>
        <v/>
      </c>
      <c r="J903" s="381">
        <f>IF(AND('SETIEMBRE 2026'!D67&lt;&gt;"",'SETIEMBRE 2026'!Z67="POR RECOGER"),'SETIEMBRE 2026'!Q67,"")</f>
        <v/>
      </c>
      <c r="K903" s="381">
        <f>IF(AND('SETIEMBRE 2026'!D67&lt;&gt;"",'SETIEMBRE 2026'!Z67="POR RECOGER"),'SETIEMBRE 2026'!Y67,"")</f>
        <v/>
      </c>
      <c r="L903" s="381">
        <f>IF(AND('SETIEMBRE 2026'!D67&lt;&gt;"",'SETIEMBRE 2026'!Z67="POR RECOGER"),'SETIEMBRE 2026'!I67,"")</f>
        <v/>
      </c>
      <c r="P903" s="194" t="n"/>
      <c r="Q903" s="194" t="n"/>
      <c r="R903" s="194" t="n"/>
      <c r="S903" s="194" t="n"/>
      <c r="T903" s="194" t="n"/>
      <c r="U903" s="194" t="n"/>
      <c r="V903" s="194" t="n"/>
      <c r="W903" s="194" t="n"/>
      <c r="X903" s="194" t="n"/>
      <c r="Y903" s="194" t="n"/>
      <c r="Z903" s="194" t="n"/>
    </row>
    <row r="904" ht="15" customHeight="1" s="195">
      <c r="A904" s="381">
        <f>IF(AND('SETIEMBRE 2026'!D68&lt;&gt;"",'SETIEMBRE 2026'!Z68="POR RECOGER"),"SET","")</f>
        <v/>
      </c>
      <c r="B904" s="381">
        <f>IF(AND('SETIEMBRE 2026'!D68&lt;&gt;"",'SETIEMBRE 2026'!Z68="POR RECOGER"),IF('SETIEMBRE 2026'!Y68&lt;&gt;"",'SETIEMBRE 2026'!Y68,'SETIEMBRE 2026'!I68),"")</f>
        <v/>
      </c>
      <c r="C904" s="381">
        <f>IF(AND('SETIEMBRE 2026'!D68&lt;&gt;"",'SETIEMBRE 2026'!Z68="POR RECOGER"),'SETIEMBRE 2026'!D68,"")</f>
        <v/>
      </c>
      <c r="D904" s="381">
        <f>IF(AND('SETIEMBRE 2026'!D68&lt;&gt;"",'SETIEMBRE 2026'!Z68="POR RECOGER"),'SETIEMBRE 2026'!F68,"")</f>
        <v/>
      </c>
      <c r="E904" s="381">
        <f>IF(AND('SETIEMBRE 2026'!D68&lt;&gt;"",'SETIEMBRE 2026'!Z68="POR RECOGER"),TEXT('SETIEMBRE 2026'!G68,"DD/MM/YYYY"),"")</f>
        <v/>
      </c>
      <c r="F904" s="381">
        <f>IF(AND('SETIEMBRE 2026'!D68&lt;&gt;"",'SETIEMBRE 2026'!Z68="POR RECOGER"),'SETIEMBRE 2026'!K68,"")</f>
        <v/>
      </c>
      <c r="G904" s="382">
        <f>IF(AND('SETIEMBRE 2026'!D68&lt;&gt;"",'SETIEMBRE 2026'!Z68="POR RECOGER"),'SETIEMBRE 2026'!M68,"")</f>
        <v/>
      </c>
      <c r="H904" s="382">
        <f>IF(AND('SETIEMBRE 2026'!D68&lt;&gt;"",'SETIEMBRE 2026'!Z68="POR RECOGER"),'SETIEMBRE 2026'!N68,"")</f>
        <v/>
      </c>
      <c r="I904" s="381">
        <f>IF(AND('SETIEMBRE 2026'!D68&lt;&gt;"",'SETIEMBRE 2026'!Z68="POR RECOGER"),'SETIEMBRE 2026'!P68,"")</f>
        <v/>
      </c>
      <c r="J904" s="381">
        <f>IF(AND('SETIEMBRE 2026'!D68&lt;&gt;"",'SETIEMBRE 2026'!Z68="POR RECOGER"),'SETIEMBRE 2026'!Q68,"")</f>
        <v/>
      </c>
      <c r="K904" s="381">
        <f>IF(AND('SETIEMBRE 2026'!D68&lt;&gt;"",'SETIEMBRE 2026'!Z68="POR RECOGER"),'SETIEMBRE 2026'!Y68,"")</f>
        <v/>
      </c>
      <c r="L904" s="381">
        <f>IF(AND('SETIEMBRE 2026'!D68&lt;&gt;"",'SETIEMBRE 2026'!Z68="POR RECOGER"),'SETIEMBRE 2026'!I68,"")</f>
        <v/>
      </c>
      <c r="P904" s="194" t="n"/>
      <c r="Q904" s="194" t="n"/>
      <c r="R904" s="194" t="n"/>
      <c r="S904" s="194" t="n"/>
      <c r="T904" s="194" t="n"/>
      <c r="U904" s="194" t="n"/>
      <c r="V904" s="194" t="n"/>
      <c r="W904" s="194" t="n"/>
      <c r="X904" s="194" t="n"/>
      <c r="Y904" s="194" t="n"/>
      <c r="Z904" s="194" t="n"/>
    </row>
    <row r="905" ht="15" customHeight="1" s="195">
      <c r="A905" s="381">
        <f>IF(AND('SETIEMBRE 2026'!D69&lt;&gt;"",'SETIEMBRE 2026'!Z69="POR RECOGER"),"SET","")</f>
        <v/>
      </c>
      <c r="B905" s="381">
        <f>IF(AND('SETIEMBRE 2026'!D69&lt;&gt;"",'SETIEMBRE 2026'!Z69="POR RECOGER"),IF('SETIEMBRE 2026'!Y69&lt;&gt;"",'SETIEMBRE 2026'!Y69,'SETIEMBRE 2026'!I69),"")</f>
        <v/>
      </c>
      <c r="C905" s="381">
        <f>IF(AND('SETIEMBRE 2026'!D69&lt;&gt;"",'SETIEMBRE 2026'!Z69="POR RECOGER"),'SETIEMBRE 2026'!D69,"")</f>
        <v/>
      </c>
      <c r="D905" s="381">
        <f>IF(AND('SETIEMBRE 2026'!D69&lt;&gt;"",'SETIEMBRE 2026'!Z69="POR RECOGER"),'SETIEMBRE 2026'!F69,"")</f>
        <v/>
      </c>
      <c r="E905" s="381">
        <f>IF(AND('SETIEMBRE 2026'!D69&lt;&gt;"",'SETIEMBRE 2026'!Z69="POR RECOGER"),TEXT('SETIEMBRE 2026'!G69,"DD/MM/YYYY"),"")</f>
        <v/>
      </c>
      <c r="F905" s="381">
        <f>IF(AND('SETIEMBRE 2026'!D69&lt;&gt;"",'SETIEMBRE 2026'!Z69="POR RECOGER"),'SETIEMBRE 2026'!K69,"")</f>
        <v/>
      </c>
      <c r="G905" s="382">
        <f>IF(AND('SETIEMBRE 2026'!D69&lt;&gt;"",'SETIEMBRE 2026'!Z69="POR RECOGER"),'SETIEMBRE 2026'!M69,"")</f>
        <v/>
      </c>
      <c r="H905" s="382">
        <f>IF(AND('SETIEMBRE 2026'!D69&lt;&gt;"",'SETIEMBRE 2026'!Z69="POR RECOGER"),'SETIEMBRE 2026'!N69,"")</f>
        <v/>
      </c>
      <c r="I905" s="381">
        <f>IF(AND('SETIEMBRE 2026'!D69&lt;&gt;"",'SETIEMBRE 2026'!Z69="POR RECOGER"),'SETIEMBRE 2026'!P69,"")</f>
        <v/>
      </c>
      <c r="J905" s="381">
        <f>IF(AND('SETIEMBRE 2026'!D69&lt;&gt;"",'SETIEMBRE 2026'!Z69="POR RECOGER"),'SETIEMBRE 2026'!Q69,"")</f>
        <v/>
      </c>
      <c r="K905" s="381">
        <f>IF(AND('SETIEMBRE 2026'!D69&lt;&gt;"",'SETIEMBRE 2026'!Z69="POR RECOGER"),'SETIEMBRE 2026'!Y69,"")</f>
        <v/>
      </c>
      <c r="L905" s="381">
        <f>IF(AND('SETIEMBRE 2026'!D69&lt;&gt;"",'SETIEMBRE 2026'!Z69="POR RECOGER"),'SETIEMBRE 2026'!I69,"")</f>
        <v/>
      </c>
      <c r="P905" s="194" t="n"/>
      <c r="Q905" s="194" t="n"/>
      <c r="R905" s="194" t="n"/>
      <c r="S905" s="194" t="n"/>
      <c r="T905" s="194" t="n"/>
      <c r="U905" s="194" t="n"/>
      <c r="V905" s="194" t="n"/>
      <c r="W905" s="194" t="n"/>
      <c r="X905" s="194" t="n"/>
      <c r="Y905" s="194" t="n"/>
      <c r="Z905" s="194" t="n"/>
    </row>
    <row r="906" ht="15" customHeight="1" s="195">
      <c r="A906" s="381">
        <f>IF(AND('SETIEMBRE 2026'!D70&lt;&gt;"",'SETIEMBRE 2026'!Z70="POR RECOGER"),"SET","")</f>
        <v/>
      </c>
      <c r="B906" s="381">
        <f>IF(AND('SETIEMBRE 2026'!D70&lt;&gt;"",'SETIEMBRE 2026'!Z70="POR RECOGER"),IF('SETIEMBRE 2026'!Y70&lt;&gt;"",'SETIEMBRE 2026'!Y70,'SETIEMBRE 2026'!I70),"")</f>
        <v/>
      </c>
      <c r="C906" s="381">
        <f>IF(AND('SETIEMBRE 2026'!D70&lt;&gt;"",'SETIEMBRE 2026'!Z70="POR RECOGER"),'SETIEMBRE 2026'!D70,"")</f>
        <v/>
      </c>
      <c r="D906" s="381">
        <f>IF(AND('SETIEMBRE 2026'!D70&lt;&gt;"",'SETIEMBRE 2026'!Z70="POR RECOGER"),'SETIEMBRE 2026'!F70,"")</f>
        <v/>
      </c>
      <c r="E906" s="381">
        <f>IF(AND('SETIEMBRE 2026'!D70&lt;&gt;"",'SETIEMBRE 2026'!Z70="POR RECOGER"),TEXT('SETIEMBRE 2026'!G70,"DD/MM/YYYY"),"")</f>
        <v/>
      </c>
      <c r="F906" s="381">
        <f>IF(AND('SETIEMBRE 2026'!D70&lt;&gt;"",'SETIEMBRE 2026'!Z70="POR RECOGER"),'SETIEMBRE 2026'!K70,"")</f>
        <v/>
      </c>
      <c r="G906" s="382">
        <f>IF(AND('SETIEMBRE 2026'!D70&lt;&gt;"",'SETIEMBRE 2026'!Z70="POR RECOGER"),'SETIEMBRE 2026'!M70,"")</f>
        <v/>
      </c>
      <c r="H906" s="382">
        <f>IF(AND('SETIEMBRE 2026'!D70&lt;&gt;"",'SETIEMBRE 2026'!Z70="POR RECOGER"),'SETIEMBRE 2026'!N70,"")</f>
        <v/>
      </c>
      <c r="I906" s="381">
        <f>IF(AND('SETIEMBRE 2026'!D70&lt;&gt;"",'SETIEMBRE 2026'!Z70="POR RECOGER"),'SETIEMBRE 2026'!P70,"")</f>
        <v/>
      </c>
      <c r="J906" s="381">
        <f>IF(AND('SETIEMBRE 2026'!D70&lt;&gt;"",'SETIEMBRE 2026'!Z70="POR RECOGER"),'SETIEMBRE 2026'!Q70,"")</f>
        <v/>
      </c>
      <c r="K906" s="381">
        <f>IF(AND('SETIEMBRE 2026'!D70&lt;&gt;"",'SETIEMBRE 2026'!Z70="POR RECOGER"),'SETIEMBRE 2026'!Y70,"")</f>
        <v/>
      </c>
      <c r="L906" s="381">
        <f>IF(AND('SETIEMBRE 2026'!D70&lt;&gt;"",'SETIEMBRE 2026'!Z70="POR RECOGER"),'SETIEMBRE 2026'!I70,"")</f>
        <v/>
      </c>
      <c r="P906" s="194" t="n"/>
      <c r="Q906" s="194" t="n"/>
      <c r="R906" s="194" t="n"/>
      <c r="S906" s="194" t="n"/>
      <c r="T906" s="194" t="n"/>
      <c r="U906" s="194" t="n"/>
      <c r="V906" s="194" t="n"/>
      <c r="W906" s="194" t="n"/>
      <c r="X906" s="194" t="n"/>
      <c r="Y906" s="194" t="n"/>
      <c r="Z906" s="194" t="n"/>
    </row>
    <row r="907" ht="15" customHeight="1" s="195">
      <c r="A907" s="381">
        <f>IF(AND('SETIEMBRE 2026'!D71&lt;&gt;"",'SETIEMBRE 2026'!Z71="POR RECOGER"),"SET","")</f>
        <v/>
      </c>
      <c r="B907" s="381">
        <f>IF(AND('SETIEMBRE 2026'!D71&lt;&gt;"",'SETIEMBRE 2026'!Z71="POR RECOGER"),IF('SETIEMBRE 2026'!Y71&lt;&gt;"",'SETIEMBRE 2026'!Y71,'SETIEMBRE 2026'!I71),"")</f>
        <v/>
      </c>
      <c r="C907" s="381">
        <f>IF(AND('SETIEMBRE 2026'!D71&lt;&gt;"",'SETIEMBRE 2026'!Z71="POR RECOGER"),'SETIEMBRE 2026'!D71,"")</f>
        <v/>
      </c>
      <c r="D907" s="381">
        <f>IF(AND('SETIEMBRE 2026'!D71&lt;&gt;"",'SETIEMBRE 2026'!Z71="POR RECOGER"),'SETIEMBRE 2026'!F71,"")</f>
        <v/>
      </c>
      <c r="E907" s="381">
        <f>IF(AND('SETIEMBRE 2026'!D71&lt;&gt;"",'SETIEMBRE 2026'!Z71="POR RECOGER"),TEXT('SETIEMBRE 2026'!G71,"DD/MM/YYYY"),"")</f>
        <v/>
      </c>
      <c r="F907" s="381">
        <f>IF(AND('SETIEMBRE 2026'!D71&lt;&gt;"",'SETIEMBRE 2026'!Z71="POR RECOGER"),'SETIEMBRE 2026'!K71,"")</f>
        <v/>
      </c>
      <c r="G907" s="382">
        <f>IF(AND('SETIEMBRE 2026'!D71&lt;&gt;"",'SETIEMBRE 2026'!Z71="POR RECOGER"),'SETIEMBRE 2026'!M71,"")</f>
        <v/>
      </c>
      <c r="H907" s="382">
        <f>IF(AND('SETIEMBRE 2026'!D71&lt;&gt;"",'SETIEMBRE 2026'!Z71="POR RECOGER"),'SETIEMBRE 2026'!N71,"")</f>
        <v/>
      </c>
      <c r="I907" s="381">
        <f>IF(AND('SETIEMBRE 2026'!D71&lt;&gt;"",'SETIEMBRE 2026'!Z71="POR RECOGER"),'SETIEMBRE 2026'!P71,"")</f>
        <v/>
      </c>
      <c r="J907" s="381">
        <f>IF(AND('SETIEMBRE 2026'!D71&lt;&gt;"",'SETIEMBRE 2026'!Z71="POR RECOGER"),'SETIEMBRE 2026'!Q71,"")</f>
        <v/>
      </c>
      <c r="K907" s="381">
        <f>IF(AND('SETIEMBRE 2026'!D71&lt;&gt;"",'SETIEMBRE 2026'!Z71="POR RECOGER"),'SETIEMBRE 2026'!Y71,"")</f>
        <v/>
      </c>
      <c r="L907" s="381">
        <f>IF(AND('SETIEMBRE 2026'!D71&lt;&gt;"",'SETIEMBRE 2026'!Z71="POR RECOGER"),'SETIEMBRE 2026'!I71,"")</f>
        <v/>
      </c>
      <c r="P907" s="194" t="n"/>
      <c r="Q907" s="194" t="n"/>
      <c r="R907" s="194" t="n"/>
      <c r="S907" s="194" t="n"/>
      <c r="T907" s="194" t="n"/>
      <c r="U907" s="194" t="n"/>
      <c r="V907" s="194" t="n"/>
      <c r="W907" s="194" t="n"/>
      <c r="X907" s="194" t="n"/>
      <c r="Y907" s="194" t="n"/>
      <c r="Z907" s="194" t="n"/>
    </row>
    <row r="908" ht="15" customHeight="1" s="195">
      <c r="A908" s="381">
        <f>IF(AND('SETIEMBRE 2026'!D72&lt;&gt;"",'SETIEMBRE 2026'!Z72="POR RECOGER"),"SET","")</f>
        <v/>
      </c>
      <c r="B908" s="381">
        <f>IF(AND('SETIEMBRE 2026'!D72&lt;&gt;"",'SETIEMBRE 2026'!Z72="POR RECOGER"),IF('SETIEMBRE 2026'!Y72&lt;&gt;"",'SETIEMBRE 2026'!Y72,'SETIEMBRE 2026'!I72),"")</f>
        <v/>
      </c>
      <c r="C908" s="381">
        <f>IF(AND('SETIEMBRE 2026'!D72&lt;&gt;"",'SETIEMBRE 2026'!Z72="POR RECOGER"),'SETIEMBRE 2026'!D72,"")</f>
        <v/>
      </c>
      <c r="D908" s="381">
        <f>IF(AND('SETIEMBRE 2026'!D72&lt;&gt;"",'SETIEMBRE 2026'!Z72="POR RECOGER"),'SETIEMBRE 2026'!F72,"")</f>
        <v/>
      </c>
      <c r="E908" s="381">
        <f>IF(AND('SETIEMBRE 2026'!D72&lt;&gt;"",'SETIEMBRE 2026'!Z72="POR RECOGER"),TEXT('SETIEMBRE 2026'!G72,"DD/MM/YYYY"),"")</f>
        <v/>
      </c>
      <c r="F908" s="381">
        <f>IF(AND('SETIEMBRE 2026'!D72&lt;&gt;"",'SETIEMBRE 2026'!Z72="POR RECOGER"),'SETIEMBRE 2026'!K72,"")</f>
        <v/>
      </c>
      <c r="G908" s="382">
        <f>IF(AND('SETIEMBRE 2026'!D72&lt;&gt;"",'SETIEMBRE 2026'!Z72="POR RECOGER"),'SETIEMBRE 2026'!M72,"")</f>
        <v/>
      </c>
      <c r="H908" s="382">
        <f>IF(AND('SETIEMBRE 2026'!D72&lt;&gt;"",'SETIEMBRE 2026'!Z72="POR RECOGER"),'SETIEMBRE 2026'!N72,"")</f>
        <v/>
      </c>
      <c r="I908" s="381">
        <f>IF(AND('SETIEMBRE 2026'!D72&lt;&gt;"",'SETIEMBRE 2026'!Z72="POR RECOGER"),'SETIEMBRE 2026'!P72,"")</f>
        <v/>
      </c>
      <c r="J908" s="381">
        <f>IF(AND('SETIEMBRE 2026'!D72&lt;&gt;"",'SETIEMBRE 2026'!Z72="POR RECOGER"),'SETIEMBRE 2026'!Q72,"")</f>
        <v/>
      </c>
      <c r="K908" s="381">
        <f>IF(AND('SETIEMBRE 2026'!D72&lt;&gt;"",'SETIEMBRE 2026'!Z72="POR RECOGER"),'SETIEMBRE 2026'!Y72,"")</f>
        <v/>
      </c>
      <c r="L908" s="381">
        <f>IF(AND('SETIEMBRE 2026'!D72&lt;&gt;"",'SETIEMBRE 2026'!Z72="POR RECOGER"),'SETIEMBRE 2026'!I72,"")</f>
        <v/>
      </c>
      <c r="P908" s="194" t="n"/>
      <c r="Q908" s="194" t="n"/>
      <c r="R908" s="194" t="n"/>
      <c r="S908" s="194" t="n"/>
      <c r="T908" s="194" t="n"/>
      <c r="U908" s="194" t="n"/>
      <c r="V908" s="194" t="n"/>
      <c r="W908" s="194" t="n"/>
      <c r="X908" s="194" t="n"/>
      <c r="Y908" s="194" t="n"/>
      <c r="Z908" s="194" t="n"/>
    </row>
    <row r="909" ht="15" customHeight="1" s="195">
      <c r="A909" s="381">
        <f>IF(AND('SETIEMBRE 2026'!D73&lt;&gt;"",'SETIEMBRE 2026'!Z73="POR RECOGER"),"SET","")</f>
        <v/>
      </c>
      <c r="B909" s="381">
        <f>IF(AND('SETIEMBRE 2026'!D73&lt;&gt;"",'SETIEMBRE 2026'!Z73="POR RECOGER"),IF('SETIEMBRE 2026'!Y73&lt;&gt;"",'SETIEMBRE 2026'!Y73,'SETIEMBRE 2026'!I73),"")</f>
        <v/>
      </c>
      <c r="C909" s="381">
        <f>IF(AND('SETIEMBRE 2026'!D73&lt;&gt;"",'SETIEMBRE 2026'!Z73="POR RECOGER"),'SETIEMBRE 2026'!D73,"")</f>
        <v/>
      </c>
      <c r="D909" s="381">
        <f>IF(AND('SETIEMBRE 2026'!D73&lt;&gt;"",'SETIEMBRE 2026'!Z73="POR RECOGER"),'SETIEMBRE 2026'!F73,"")</f>
        <v/>
      </c>
      <c r="E909" s="381">
        <f>IF(AND('SETIEMBRE 2026'!D73&lt;&gt;"",'SETIEMBRE 2026'!Z73="POR RECOGER"),TEXT('SETIEMBRE 2026'!G73,"DD/MM/YYYY"),"")</f>
        <v/>
      </c>
      <c r="F909" s="381">
        <f>IF(AND('SETIEMBRE 2026'!D73&lt;&gt;"",'SETIEMBRE 2026'!Z73="POR RECOGER"),'SETIEMBRE 2026'!K73,"")</f>
        <v/>
      </c>
      <c r="G909" s="382">
        <f>IF(AND('SETIEMBRE 2026'!D73&lt;&gt;"",'SETIEMBRE 2026'!Z73="POR RECOGER"),'SETIEMBRE 2026'!M73,"")</f>
        <v/>
      </c>
      <c r="H909" s="382">
        <f>IF(AND('SETIEMBRE 2026'!D73&lt;&gt;"",'SETIEMBRE 2026'!Z73="POR RECOGER"),'SETIEMBRE 2026'!N73,"")</f>
        <v/>
      </c>
      <c r="I909" s="381">
        <f>IF(AND('SETIEMBRE 2026'!D73&lt;&gt;"",'SETIEMBRE 2026'!Z73="POR RECOGER"),'SETIEMBRE 2026'!P73,"")</f>
        <v/>
      </c>
      <c r="J909" s="381">
        <f>IF(AND('SETIEMBRE 2026'!D73&lt;&gt;"",'SETIEMBRE 2026'!Z73="POR RECOGER"),'SETIEMBRE 2026'!Q73,"")</f>
        <v/>
      </c>
      <c r="K909" s="381">
        <f>IF(AND('SETIEMBRE 2026'!D73&lt;&gt;"",'SETIEMBRE 2026'!Z73="POR RECOGER"),'SETIEMBRE 2026'!Y73,"")</f>
        <v/>
      </c>
      <c r="L909" s="381">
        <f>IF(AND('SETIEMBRE 2026'!D73&lt;&gt;"",'SETIEMBRE 2026'!Z73="POR RECOGER"),'SETIEMBRE 2026'!I73,"")</f>
        <v/>
      </c>
      <c r="P909" s="194" t="n"/>
      <c r="Q909" s="194" t="n"/>
      <c r="R909" s="194" t="n"/>
      <c r="S909" s="194" t="n"/>
      <c r="T909" s="194" t="n"/>
      <c r="U909" s="194" t="n"/>
      <c r="V909" s="194" t="n"/>
      <c r="W909" s="194" t="n"/>
      <c r="X909" s="194" t="n"/>
      <c r="Y909" s="194" t="n"/>
      <c r="Z909" s="194" t="n"/>
    </row>
    <row r="910" ht="15" customHeight="1" s="195">
      <c r="A910" s="381">
        <f>IF(AND('SETIEMBRE 2026'!D74&lt;&gt;"",'SETIEMBRE 2026'!Z74="POR RECOGER"),"SET","")</f>
        <v/>
      </c>
      <c r="B910" s="381">
        <f>IF(AND('SETIEMBRE 2026'!D74&lt;&gt;"",'SETIEMBRE 2026'!Z74="POR RECOGER"),IF('SETIEMBRE 2026'!Y74&lt;&gt;"",'SETIEMBRE 2026'!Y74,'SETIEMBRE 2026'!I74),"")</f>
        <v/>
      </c>
      <c r="C910" s="381">
        <f>IF(AND('SETIEMBRE 2026'!D74&lt;&gt;"",'SETIEMBRE 2026'!Z74="POR RECOGER"),'SETIEMBRE 2026'!D74,"")</f>
        <v/>
      </c>
      <c r="D910" s="381">
        <f>IF(AND('SETIEMBRE 2026'!D74&lt;&gt;"",'SETIEMBRE 2026'!Z74="POR RECOGER"),'SETIEMBRE 2026'!F74,"")</f>
        <v/>
      </c>
      <c r="E910" s="381">
        <f>IF(AND('SETIEMBRE 2026'!D74&lt;&gt;"",'SETIEMBRE 2026'!Z74="POR RECOGER"),TEXT('SETIEMBRE 2026'!G74,"DD/MM/YYYY"),"")</f>
        <v/>
      </c>
      <c r="F910" s="381">
        <f>IF(AND('SETIEMBRE 2026'!D74&lt;&gt;"",'SETIEMBRE 2026'!Z74="POR RECOGER"),'SETIEMBRE 2026'!K74,"")</f>
        <v/>
      </c>
      <c r="G910" s="382">
        <f>IF(AND('SETIEMBRE 2026'!D74&lt;&gt;"",'SETIEMBRE 2026'!Z74="POR RECOGER"),'SETIEMBRE 2026'!M74,"")</f>
        <v/>
      </c>
      <c r="H910" s="382">
        <f>IF(AND('SETIEMBRE 2026'!D74&lt;&gt;"",'SETIEMBRE 2026'!Z74="POR RECOGER"),'SETIEMBRE 2026'!N74,"")</f>
        <v/>
      </c>
      <c r="I910" s="381">
        <f>IF(AND('SETIEMBRE 2026'!D74&lt;&gt;"",'SETIEMBRE 2026'!Z74="POR RECOGER"),'SETIEMBRE 2026'!P74,"")</f>
        <v/>
      </c>
      <c r="J910" s="381">
        <f>IF(AND('SETIEMBRE 2026'!D74&lt;&gt;"",'SETIEMBRE 2026'!Z74="POR RECOGER"),'SETIEMBRE 2026'!Q74,"")</f>
        <v/>
      </c>
      <c r="K910" s="381">
        <f>IF(AND('SETIEMBRE 2026'!D74&lt;&gt;"",'SETIEMBRE 2026'!Z74="POR RECOGER"),'SETIEMBRE 2026'!Y74,"")</f>
        <v/>
      </c>
      <c r="L910" s="381">
        <f>IF(AND('SETIEMBRE 2026'!D74&lt;&gt;"",'SETIEMBRE 2026'!Z74="POR RECOGER"),'SETIEMBRE 2026'!I74,"")</f>
        <v/>
      </c>
      <c r="P910" s="194" t="n"/>
      <c r="Q910" s="194" t="n"/>
      <c r="R910" s="194" t="n"/>
      <c r="S910" s="194" t="n"/>
      <c r="T910" s="194" t="n"/>
      <c r="U910" s="194" t="n"/>
      <c r="V910" s="194" t="n"/>
      <c r="W910" s="194" t="n"/>
      <c r="X910" s="194" t="n"/>
      <c r="Y910" s="194" t="n"/>
      <c r="Z910" s="194" t="n"/>
    </row>
    <row r="911" ht="15" customHeight="1" s="195">
      <c r="A911" s="381">
        <f>IF(AND('SETIEMBRE 2026'!D75&lt;&gt;"",'SETIEMBRE 2026'!Z75="POR RECOGER"),"SET","")</f>
        <v/>
      </c>
      <c r="B911" s="381">
        <f>IF(AND('SETIEMBRE 2026'!D75&lt;&gt;"",'SETIEMBRE 2026'!Z75="POR RECOGER"),IF('SETIEMBRE 2026'!Y75&lt;&gt;"",'SETIEMBRE 2026'!Y75,'SETIEMBRE 2026'!I75),"")</f>
        <v/>
      </c>
      <c r="C911" s="381">
        <f>IF(AND('SETIEMBRE 2026'!D75&lt;&gt;"",'SETIEMBRE 2026'!Z75="POR RECOGER"),'SETIEMBRE 2026'!D75,"")</f>
        <v/>
      </c>
      <c r="D911" s="381">
        <f>IF(AND('SETIEMBRE 2026'!D75&lt;&gt;"",'SETIEMBRE 2026'!Z75="POR RECOGER"),'SETIEMBRE 2026'!F75,"")</f>
        <v/>
      </c>
      <c r="E911" s="381">
        <f>IF(AND('SETIEMBRE 2026'!D75&lt;&gt;"",'SETIEMBRE 2026'!Z75="POR RECOGER"),TEXT('SETIEMBRE 2026'!G75,"DD/MM/YYYY"),"")</f>
        <v/>
      </c>
      <c r="F911" s="381">
        <f>IF(AND('SETIEMBRE 2026'!D75&lt;&gt;"",'SETIEMBRE 2026'!Z75="POR RECOGER"),'SETIEMBRE 2026'!K75,"")</f>
        <v/>
      </c>
      <c r="G911" s="382">
        <f>IF(AND('SETIEMBRE 2026'!D75&lt;&gt;"",'SETIEMBRE 2026'!Z75="POR RECOGER"),'SETIEMBRE 2026'!M75,"")</f>
        <v/>
      </c>
      <c r="H911" s="382">
        <f>IF(AND('SETIEMBRE 2026'!D75&lt;&gt;"",'SETIEMBRE 2026'!Z75="POR RECOGER"),'SETIEMBRE 2026'!N75,"")</f>
        <v/>
      </c>
      <c r="I911" s="381">
        <f>IF(AND('SETIEMBRE 2026'!D75&lt;&gt;"",'SETIEMBRE 2026'!Z75="POR RECOGER"),'SETIEMBRE 2026'!P75,"")</f>
        <v/>
      </c>
      <c r="J911" s="381">
        <f>IF(AND('SETIEMBRE 2026'!D75&lt;&gt;"",'SETIEMBRE 2026'!Z75="POR RECOGER"),'SETIEMBRE 2026'!Q75,"")</f>
        <v/>
      </c>
      <c r="K911" s="381">
        <f>IF(AND('SETIEMBRE 2026'!D75&lt;&gt;"",'SETIEMBRE 2026'!Z75="POR RECOGER"),'SETIEMBRE 2026'!Y75,"")</f>
        <v/>
      </c>
      <c r="L911" s="381">
        <f>IF(AND('SETIEMBRE 2026'!D75&lt;&gt;"",'SETIEMBRE 2026'!Z75="POR RECOGER"),'SETIEMBRE 2026'!I75,"")</f>
        <v/>
      </c>
      <c r="P911" s="194" t="n"/>
      <c r="Q911" s="194" t="n"/>
      <c r="R911" s="194" t="n"/>
      <c r="S911" s="194" t="n"/>
      <c r="T911" s="194" t="n"/>
      <c r="U911" s="194" t="n"/>
      <c r="V911" s="194" t="n"/>
      <c r="W911" s="194" t="n"/>
      <c r="X911" s="194" t="n"/>
      <c r="Y911" s="194" t="n"/>
      <c r="Z911" s="194" t="n"/>
    </row>
    <row r="912" ht="15" customHeight="1" s="195">
      <c r="A912" s="381">
        <f>IF(AND('SETIEMBRE 2026'!D76&lt;&gt;"",'SETIEMBRE 2026'!Z76="POR RECOGER"),"SET","")</f>
        <v/>
      </c>
      <c r="B912" s="381">
        <f>IF(AND('SETIEMBRE 2026'!D76&lt;&gt;"",'SETIEMBRE 2026'!Z76="POR RECOGER"),IF('SETIEMBRE 2026'!Y76&lt;&gt;"",'SETIEMBRE 2026'!Y76,'SETIEMBRE 2026'!I76),"")</f>
        <v/>
      </c>
      <c r="C912" s="381">
        <f>IF(AND('SETIEMBRE 2026'!D76&lt;&gt;"",'SETIEMBRE 2026'!Z76="POR RECOGER"),'SETIEMBRE 2026'!D76,"")</f>
        <v/>
      </c>
      <c r="D912" s="381">
        <f>IF(AND('SETIEMBRE 2026'!D76&lt;&gt;"",'SETIEMBRE 2026'!Z76="POR RECOGER"),'SETIEMBRE 2026'!F76,"")</f>
        <v/>
      </c>
      <c r="E912" s="381">
        <f>IF(AND('SETIEMBRE 2026'!D76&lt;&gt;"",'SETIEMBRE 2026'!Z76="POR RECOGER"),TEXT('SETIEMBRE 2026'!G76,"DD/MM/YYYY"),"")</f>
        <v/>
      </c>
      <c r="F912" s="381">
        <f>IF(AND('SETIEMBRE 2026'!D76&lt;&gt;"",'SETIEMBRE 2026'!Z76="POR RECOGER"),'SETIEMBRE 2026'!K76,"")</f>
        <v/>
      </c>
      <c r="G912" s="382">
        <f>IF(AND('SETIEMBRE 2026'!D76&lt;&gt;"",'SETIEMBRE 2026'!Z76="POR RECOGER"),'SETIEMBRE 2026'!M76,"")</f>
        <v/>
      </c>
      <c r="H912" s="382">
        <f>IF(AND('SETIEMBRE 2026'!D76&lt;&gt;"",'SETIEMBRE 2026'!Z76="POR RECOGER"),'SETIEMBRE 2026'!N76,"")</f>
        <v/>
      </c>
      <c r="I912" s="381">
        <f>IF(AND('SETIEMBRE 2026'!D76&lt;&gt;"",'SETIEMBRE 2026'!Z76="POR RECOGER"),'SETIEMBRE 2026'!P76,"")</f>
        <v/>
      </c>
      <c r="J912" s="381">
        <f>IF(AND('SETIEMBRE 2026'!D76&lt;&gt;"",'SETIEMBRE 2026'!Z76="POR RECOGER"),'SETIEMBRE 2026'!Q76,"")</f>
        <v/>
      </c>
      <c r="K912" s="381">
        <f>IF(AND('SETIEMBRE 2026'!D76&lt;&gt;"",'SETIEMBRE 2026'!Z76="POR RECOGER"),'SETIEMBRE 2026'!Y76,"")</f>
        <v/>
      </c>
      <c r="L912" s="381">
        <f>IF(AND('SETIEMBRE 2026'!D76&lt;&gt;"",'SETIEMBRE 2026'!Z76="POR RECOGER"),'SETIEMBRE 2026'!I76,"")</f>
        <v/>
      </c>
      <c r="P912" s="194" t="n"/>
      <c r="Q912" s="194" t="n"/>
      <c r="R912" s="194" t="n"/>
      <c r="S912" s="194" t="n"/>
      <c r="T912" s="194" t="n"/>
      <c r="U912" s="194" t="n"/>
      <c r="V912" s="194" t="n"/>
      <c r="W912" s="194" t="n"/>
      <c r="X912" s="194" t="n"/>
      <c r="Y912" s="194" t="n"/>
      <c r="Z912" s="194" t="n"/>
    </row>
    <row r="913" ht="15" customHeight="1" s="195">
      <c r="A913" s="381">
        <f>IF(AND('SETIEMBRE 2026'!D77&lt;&gt;"",'SETIEMBRE 2026'!Z77="POR RECOGER"),"SET","")</f>
        <v/>
      </c>
      <c r="B913" s="381">
        <f>IF(AND('SETIEMBRE 2026'!D77&lt;&gt;"",'SETIEMBRE 2026'!Z77="POR RECOGER"),IF('SETIEMBRE 2026'!Y77&lt;&gt;"",'SETIEMBRE 2026'!Y77,'SETIEMBRE 2026'!I77),"")</f>
        <v/>
      </c>
      <c r="C913" s="381">
        <f>IF(AND('SETIEMBRE 2026'!D77&lt;&gt;"",'SETIEMBRE 2026'!Z77="POR RECOGER"),'SETIEMBRE 2026'!D77,"")</f>
        <v/>
      </c>
      <c r="D913" s="381">
        <f>IF(AND('SETIEMBRE 2026'!D77&lt;&gt;"",'SETIEMBRE 2026'!Z77="POR RECOGER"),'SETIEMBRE 2026'!F77,"")</f>
        <v/>
      </c>
      <c r="E913" s="381">
        <f>IF(AND('SETIEMBRE 2026'!D77&lt;&gt;"",'SETIEMBRE 2026'!Z77="POR RECOGER"),TEXT('SETIEMBRE 2026'!G77,"DD/MM/YYYY"),"")</f>
        <v/>
      </c>
      <c r="F913" s="381">
        <f>IF(AND('SETIEMBRE 2026'!D77&lt;&gt;"",'SETIEMBRE 2026'!Z77="POR RECOGER"),'SETIEMBRE 2026'!K77,"")</f>
        <v/>
      </c>
      <c r="G913" s="382">
        <f>IF(AND('SETIEMBRE 2026'!D77&lt;&gt;"",'SETIEMBRE 2026'!Z77="POR RECOGER"),'SETIEMBRE 2026'!M77,"")</f>
        <v/>
      </c>
      <c r="H913" s="382">
        <f>IF(AND('SETIEMBRE 2026'!D77&lt;&gt;"",'SETIEMBRE 2026'!Z77="POR RECOGER"),'SETIEMBRE 2026'!N77,"")</f>
        <v/>
      </c>
      <c r="I913" s="381">
        <f>IF(AND('SETIEMBRE 2026'!D77&lt;&gt;"",'SETIEMBRE 2026'!Z77="POR RECOGER"),'SETIEMBRE 2026'!P77,"")</f>
        <v/>
      </c>
      <c r="J913" s="381">
        <f>IF(AND('SETIEMBRE 2026'!D77&lt;&gt;"",'SETIEMBRE 2026'!Z77="POR RECOGER"),'SETIEMBRE 2026'!Q77,"")</f>
        <v/>
      </c>
      <c r="K913" s="381">
        <f>IF(AND('SETIEMBRE 2026'!D77&lt;&gt;"",'SETIEMBRE 2026'!Z77="POR RECOGER"),'SETIEMBRE 2026'!Y77,"")</f>
        <v/>
      </c>
      <c r="L913" s="381">
        <f>IF(AND('SETIEMBRE 2026'!D77&lt;&gt;"",'SETIEMBRE 2026'!Z77="POR RECOGER"),'SETIEMBRE 2026'!I77,"")</f>
        <v/>
      </c>
      <c r="P913" s="194" t="n"/>
      <c r="Q913" s="194" t="n"/>
      <c r="R913" s="194" t="n"/>
      <c r="S913" s="194" t="n"/>
      <c r="T913" s="194" t="n"/>
      <c r="U913" s="194" t="n"/>
      <c r="V913" s="194" t="n"/>
      <c r="W913" s="194" t="n"/>
      <c r="X913" s="194" t="n"/>
      <c r="Y913" s="194" t="n"/>
      <c r="Z913" s="194" t="n"/>
    </row>
    <row r="914" ht="15" customHeight="1" s="195">
      <c r="A914" s="381">
        <f>IF(AND('SETIEMBRE 2026'!D78&lt;&gt;"",'SETIEMBRE 2026'!Z78="POR RECOGER"),"SET","")</f>
        <v/>
      </c>
      <c r="B914" s="381">
        <f>IF(AND('SETIEMBRE 2026'!D78&lt;&gt;"",'SETIEMBRE 2026'!Z78="POR RECOGER"),IF('SETIEMBRE 2026'!Y78&lt;&gt;"",'SETIEMBRE 2026'!Y78,'SETIEMBRE 2026'!I78),"")</f>
        <v/>
      </c>
      <c r="C914" s="381">
        <f>IF(AND('SETIEMBRE 2026'!D78&lt;&gt;"",'SETIEMBRE 2026'!Z78="POR RECOGER"),'SETIEMBRE 2026'!D78,"")</f>
        <v/>
      </c>
      <c r="D914" s="381">
        <f>IF(AND('SETIEMBRE 2026'!D78&lt;&gt;"",'SETIEMBRE 2026'!Z78="POR RECOGER"),'SETIEMBRE 2026'!F78,"")</f>
        <v/>
      </c>
      <c r="E914" s="381">
        <f>IF(AND('SETIEMBRE 2026'!D78&lt;&gt;"",'SETIEMBRE 2026'!Z78="POR RECOGER"),TEXT('SETIEMBRE 2026'!G78,"DD/MM/YYYY"),"")</f>
        <v/>
      </c>
      <c r="F914" s="381">
        <f>IF(AND('SETIEMBRE 2026'!D78&lt;&gt;"",'SETIEMBRE 2026'!Z78="POR RECOGER"),'SETIEMBRE 2026'!K78,"")</f>
        <v/>
      </c>
      <c r="G914" s="382">
        <f>IF(AND('SETIEMBRE 2026'!D78&lt;&gt;"",'SETIEMBRE 2026'!Z78="POR RECOGER"),'SETIEMBRE 2026'!M78,"")</f>
        <v/>
      </c>
      <c r="H914" s="382">
        <f>IF(AND('SETIEMBRE 2026'!D78&lt;&gt;"",'SETIEMBRE 2026'!Z78="POR RECOGER"),'SETIEMBRE 2026'!N78,"")</f>
        <v/>
      </c>
      <c r="I914" s="381">
        <f>IF(AND('SETIEMBRE 2026'!D78&lt;&gt;"",'SETIEMBRE 2026'!Z78="POR RECOGER"),'SETIEMBRE 2026'!P78,"")</f>
        <v/>
      </c>
      <c r="J914" s="381">
        <f>IF(AND('SETIEMBRE 2026'!D78&lt;&gt;"",'SETIEMBRE 2026'!Z78="POR RECOGER"),'SETIEMBRE 2026'!Q78,"")</f>
        <v/>
      </c>
      <c r="K914" s="381">
        <f>IF(AND('SETIEMBRE 2026'!D78&lt;&gt;"",'SETIEMBRE 2026'!Z78="POR RECOGER"),'SETIEMBRE 2026'!Y78,"")</f>
        <v/>
      </c>
      <c r="L914" s="381">
        <f>IF(AND('SETIEMBRE 2026'!D78&lt;&gt;"",'SETIEMBRE 2026'!Z78="POR RECOGER"),'SETIEMBRE 2026'!I78,"")</f>
        <v/>
      </c>
      <c r="P914" s="194" t="n"/>
      <c r="Q914" s="194" t="n"/>
      <c r="R914" s="194" t="n"/>
      <c r="S914" s="194" t="n"/>
      <c r="T914" s="194" t="n"/>
      <c r="U914" s="194" t="n"/>
      <c r="V914" s="194" t="n"/>
      <c r="W914" s="194" t="n"/>
      <c r="X914" s="194" t="n"/>
      <c r="Y914" s="194" t="n"/>
      <c r="Z914" s="194" t="n"/>
    </row>
    <row r="915" ht="15" customHeight="1" s="195">
      <c r="A915" s="381">
        <f>IF(AND('SETIEMBRE 2026'!D79&lt;&gt;"",'SETIEMBRE 2026'!Z79="POR RECOGER"),"SET","")</f>
        <v/>
      </c>
      <c r="B915" s="381">
        <f>IF(AND('SETIEMBRE 2026'!D79&lt;&gt;"",'SETIEMBRE 2026'!Z79="POR RECOGER"),IF('SETIEMBRE 2026'!Y79&lt;&gt;"",'SETIEMBRE 2026'!Y79,'SETIEMBRE 2026'!I79),"")</f>
        <v/>
      </c>
      <c r="C915" s="381">
        <f>IF(AND('SETIEMBRE 2026'!D79&lt;&gt;"",'SETIEMBRE 2026'!Z79="POR RECOGER"),'SETIEMBRE 2026'!D79,"")</f>
        <v/>
      </c>
      <c r="D915" s="381">
        <f>IF(AND('SETIEMBRE 2026'!D79&lt;&gt;"",'SETIEMBRE 2026'!Z79="POR RECOGER"),'SETIEMBRE 2026'!F79,"")</f>
        <v/>
      </c>
      <c r="E915" s="381">
        <f>IF(AND('SETIEMBRE 2026'!D79&lt;&gt;"",'SETIEMBRE 2026'!Z79="POR RECOGER"),TEXT('SETIEMBRE 2026'!G79,"DD/MM/YYYY"),"")</f>
        <v/>
      </c>
      <c r="F915" s="381">
        <f>IF(AND('SETIEMBRE 2026'!D79&lt;&gt;"",'SETIEMBRE 2026'!Z79="POR RECOGER"),'SETIEMBRE 2026'!K79,"")</f>
        <v/>
      </c>
      <c r="G915" s="382">
        <f>IF(AND('SETIEMBRE 2026'!D79&lt;&gt;"",'SETIEMBRE 2026'!Z79="POR RECOGER"),'SETIEMBRE 2026'!M79,"")</f>
        <v/>
      </c>
      <c r="H915" s="382">
        <f>IF(AND('SETIEMBRE 2026'!D79&lt;&gt;"",'SETIEMBRE 2026'!Z79="POR RECOGER"),'SETIEMBRE 2026'!N79,"")</f>
        <v/>
      </c>
      <c r="I915" s="381">
        <f>IF(AND('SETIEMBRE 2026'!D79&lt;&gt;"",'SETIEMBRE 2026'!Z79="POR RECOGER"),'SETIEMBRE 2026'!P79,"")</f>
        <v/>
      </c>
      <c r="J915" s="381">
        <f>IF(AND('SETIEMBRE 2026'!D79&lt;&gt;"",'SETIEMBRE 2026'!Z79="POR RECOGER"),'SETIEMBRE 2026'!Q79,"")</f>
        <v/>
      </c>
      <c r="K915" s="381">
        <f>IF(AND('SETIEMBRE 2026'!D79&lt;&gt;"",'SETIEMBRE 2026'!Z79="POR RECOGER"),'SETIEMBRE 2026'!Y79,"")</f>
        <v/>
      </c>
      <c r="L915" s="381">
        <f>IF(AND('SETIEMBRE 2026'!D79&lt;&gt;"",'SETIEMBRE 2026'!Z79="POR RECOGER"),'SETIEMBRE 2026'!I79,"")</f>
        <v/>
      </c>
      <c r="P915" s="194" t="n"/>
      <c r="Q915" s="194" t="n"/>
      <c r="R915" s="194" t="n"/>
      <c r="S915" s="194" t="n"/>
      <c r="T915" s="194" t="n"/>
      <c r="U915" s="194" t="n"/>
      <c r="V915" s="194" t="n"/>
      <c r="W915" s="194" t="n"/>
      <c r="X915" s="194" t="n"/>
      <c r="Y915" s="194" t="n"/>
      <c r="Z915" s="194" t="n"/>
    </row>
    <row r="916" ht="15" customHeight="1" s="195">
      <c r="A916" s="381">
        <f>IF(AND('SETIEMBRE 2026'!D80&lt;&gt;"",'SETIEMBRE 2026'!Z80="POR RECOGER"),"SET","")</f>
        <v/>
      </c>
      <c r="B916" s="381">
        <f>IF(AND('SETIEMBRE 2026'!D80&lt;&gt;"",'SETIEMBRE 2026'!Z80="POR RECOGER"),IF('SETIEMBRE 2026'!Y80&lt;&gt;"",'SETIEMBRE 2026'!Y80,'SETIEMBRE 2026'!I80),"")</f>
        <v/>
      </c>
      <c r="C916" s="381">
        <f>IF(AND('SETIEMBRE 2026'!D80&lt;&gt;"",'SETIEMBRE 2026'!Z80="POR RECOGER"),'SETIEMBRE 2026'!D80,"")</f>
        <v/>
      </c>
      <c r="D916" s="381">
        <f>IF(AND('SETIEMBRE 2026'!D80&lt;&gt;"",'SETIEMBRE 2026'!Z80="POR RECOGER"),'SETIEMBRE 2026'!F80,"")</f>
        <v/>
      </c>
      <c r="E916" s="381">
        <f>IF(AND('SETIEMBRE 2026'!D80&lt;&gt;"",'SETIEMBRE 2026'!Z80="POR RECOGER"),TEXT('SETIEMBRE 2026'!G80,"DD/MM/YYYY"),"")</f>
        <v/>
      </c>
      <c r="F916" s="381">
        <f>IF(AND('SETIEMBRE 2026'!D80&lt;&gt;"",'SETIEMBRE 2026'!Z80="POR RECOGER"),'SETIEMBRE 2026'!K80,"")</f>
        <v/>
      </c>
      <c r="G916" s="382">
        <f>IF(AND('SETIEMBRE 2026'!D80&lt;&gt;"",'SETIEMBRE 2026'!Z80="POR RECOGER"),'SETIEMBRE 2026'!M80,"")</f>
        <v/>
      </c>
      <c r="H916" s="382">
        <f>IF(AND('SETIEMBRE 2026'!D80&lt;&gt;"",'SETIEMBRE 2026'!Z80="POR RECOGER"),'SETIEMBRE 2026'!N80,"")</f>
        <v/>
      </c>
      <c r="I916" s="381">
        <f>IF(AND('SETIEMBRE 2026'!D80&lt;&gt;"",'SETIEMBRE 2026'!Z80="POR RECOGER"),'SETIEMBRE 2026'!P80,"")</f>
        <v/>
      </c>
      <c r="J916" s="381">
        <f>IF(AND('SETIEMBRE 2026'!D80&lt;&gt;"",'SETIEMBRE 2026'!Z80="POR RECOGER"),'SETIEMBRE 2026'!Q80,"")</f>
        <v/>
      </c>
      <c r="K916" s="381">
        <f>IF(AND('SETIEMBRE 2026'!D80&lt;&gt;"",'SETIEMBRE 2026'!Z80="POR RECOGER"),'SETIEMBRE 2026'!Y80,"")</f>
        <v/>
      </c>
      <c r="L916" s="381">
        <f>IF(AND('SETIEMBRE 2026'!D80&lt;&gt;"",'SETIEMBRE 2026'!Z80="POR RECOGER"),'SETIEMBRE 2026'!I80,"")</f>
        <v/>
      </c>
      <c r="P916" s="194" t="n"/>
      <c r="Q916" s="194" t="n"/>
      <c r="R916" s="194" t="n"/>
      <c r="S916" s="194" t="n"/>
      <c r="T916" s="194" t="n"/>
      <c r="U916" s="194" t="n"/>
      <c r="V916" s="194" t="n"/>
      <c r="W916" s="194" t="n"/>
      <c r="X916" s="194" t="n"/>
      <c r="Y916" s="194" t="n"/>
      <c r="Z916" s="194" t="n"/>
    </row>
    <row r="917" ht="15" customHeight="1" s="195">
      <c r="A917" s="381">
        <f>IF(AND('SETIEMBRE 2026'!D81&lt;&gt;"",'SETIEMBRE 2026'!Z81="POR RECOGER"),"SET","")</f>
        <v/>
      </c>
      <c r="B917" s="381">
        <f>IF(AND('SETIEMBRE 2026'!D81&lt;&gt;"",'SETIEMBRE 2026'!Z81="POR RECOGER"),IF('SETIEMBRE 2026'!Y81&lt;&gt;"",'SETIEMBRE 2026'!Y81,'SETIEMBRE 2026'!I81),"")</f>
        <v/>
      </c>
      <c r="C917" s="381">
        <f>IF(AND('SETIEMBRE 2026'!D81&lt;&gt;"",'SETIEMBRE 2026'!Z81="POR RECOGER"),'SETIEMBRE 2026'!D81,"")</f>
        <v/>
      </c>
      <c r="D917" s="381">
        <f>IF(AND('SETIEMBRE 2026'!D81&lt;&gt;"",'SETIEMBRE 2026'!Z81="POR RECOGER"),'SETIEMBRE 2026'!F81,"")</f>
        <v/>
      </c>
      <c r="E917" s="381">
        <f>IF(AND('SETIEMBRE 2026'!D81&lt;&gt;"",'SETIEMBRE 2026'!Z81="POR RECOGER"),TEXT('SETIEMBRE 2026'!G81,"DD/MM/YYYY"),"")</f>
        <v/>
      </c>
      <c r="F917" s="381">
        <f>IF(AND('SETIEMBRE 2026'!D81&lt;&gt;"",'SETIEMBRE 2026'!Z81="POR RECOGER"),'SETIEMBRE 2026'!K81,"")</f>
        <v/>
      </c>
      <c r="G917" s="382">
        <f>IF(AND('SETIEMBRE 2026'!D81&lt;&gt;"",'SETIEMBRE 2026'!Z81="POR RECOGER"),'SETIEMBRE 2026'!M81,"")</f>
        <v/>
      </c>
      <c r="H917" s="382">
        <f>IF(AND('SETIEMBRE 2026'!D81&lt;&gt;"",'SETIEMBRE 2026'!Z81="POR RECOGER"),'SETIEMBRE 2026'!N81,"")</f>
        <v/>
      </c>
      <c r="I917" s="381">
        <f>IF(AND('SETIEMBRE 2026'!D81&lt;&gt;"",'SETIEMBRE 2026'!Z81="POR RECOGER"),'SETIEMBRE 2026'!P81,"")</f>
        <v/>
      </c>
      <c r="J917" s="381">
        <f>IF(AND('SETIEMBRE 2026'!D81&lt;&gt;"",'SETIEMBRE 2026'!Z81="POR RECOGER"),'SETIEMBRE 2026'!Q81,"")</f>
        <v/>
      </c>
      <c r="K917" s="381">
        <f>IF(AND('SETIEMBRE 2026'!D81&lt;&gt;"",'SETIEMBRE 2026'!Z81="POR RECOGER"),'SETIEMBRE 2026'!Y81,"")</f>
        <v/>
      </c>
      <c r="L917" s="381">
        <f>IF(AND('SETIEMBRE 2026'!D81&lt;&gt;"",'SETIEMBRE 2026'!Z81="POR RECOGER"),'SETIEMBRE 2026'!I81,"")</f>
        <v/>
      </c>
      <c r="P917" s="194" t="n"/>
      <c r="Q917" s="194" t="n"/>
      <c r="R917" s="194" t="n"/>
      <c r="S917" s="194" t="n"/>
      <c r="T917" s="194" t="n"/>
      <c r="U917" s="194" t="n"/>
      <c r="V917" s="194" t="n"/>
      <c r="W917" s="194" t="n"/>
      <c r="X917" s="194" t="n"/>
      <c r="Y917" s="194" t="n"/>
      <c r="Z917" s="194" t="n"/>
    </row>
    <row r="918" ht="15" customHeight="1" s="195">
      <c r="A918" s="381">
        <f>IF(AND('SETIEMBRE 2026'!D82&lt;&gt;"",'SETIEMBRE 2026'!Z82="POR RECOGER"),"SET","")</f>
        <v/>
      </c>
      <c r="B918" s="381">
        <f>IF(AND('SETIEMBRE 2026'!D82&lt;&gt;"",'SETIEMBRE 2026'!Z82="POR RECOGER"),IF('SETIEMBRE 2026'!Y82&lt;&gt;"",'SETIEMBRE 2026'!Y82,'SETIEMBRE 2026'!I82),"")</f>
        <v/>
      </c>
      <c r="C918" s="381">
        <f>IF(AND('SETIEMBRE 2026'!D82&lt;&gt;"",'SETIEMBRE 2026'!Z82="POR RECOGER"),'SETIEMBRE 2026'!D82,"")</f>
        <v/>
      </c>
      <c r="D918" s="381">
        <f>IF(AND('SETIEMBRE 2026'!D82&lt;&gt;"",'SETIEMBRE 2026'!Z82="POR RECOGER"),'SETIEMBRE 2026'!F82,"")</f>
        <v/>
      </c>
      <c r="E918" s="381">
        <f>IF(AND('SETIEMBRE 2026'!D82&lt;&gt;"",'SETIEMBRE 2026'!Z82="POR RECOGER"),TEXT('SETIEMBRE 2026'!G82,"DD/MM/YYYY"),"")</f>
        <v/>
      </c>
      <c r="F918" s="381">
        <f>IF(AND('SETIEMBRE 2026'!D82&lt;&gt;"",'SETIEMBRE 2026'!Z82="POR RECOGER"),'SETIEMBRE 2026'!K82,"")</f>
        <v/>
      </c>
      <c r="G918" s="382">
        <f>IF(AND('SETIEMBRE 2026'!D82&lt;&gt;"",'SETIEMBRE 2026'!Z82="POR RECOGER"),'SETIEMBRE 2026'!M82,"")</f>
        <v/>
      </c>
      <c r="H918" s="382">
        <f>IF(AND('SETIEMBRE 2026'!D82&lt;&gt;"",'SETIEMBRE 2026'!Z82="POR RECOGER"),'SETIEMBRE 2026'!N82,"")</f>
        <v/>
      </c>
      <c r="I918" s="381">
        <f>IF(AND('SETIEMBRE 2026'!D82&lt;&gt;"",'SETIEMBRE 2026'!Z82="POR RECOGER"),'SETIEMBRE 2026'!P82,"")</f>
        <v/>
      </c>
      <c r="J918" s="381">
        <f>IF(AND('SETIEMBRE 2026'!D82&lt;&gt;"",'SETIEMBRE 2026'!Z82="POR RECOGER"),'SETIEMBRE 2026'!Q82,"")</f>
        <v/>
      </c>
      <c r="K918" s="381">
        <f>IF(AND('SETIEMBRE 2026'!D82&lt;&gt;"",'SETIEMBRE 2026'!Z82="POR RECOGER"),'SETIEMBRE 2026'!Y82,"")</f>
        <v/>
      </c>
      <c r="L918" s="381">
        <f>IF(AND('SETIEMBRE 2026'!D82&lt;&gt;"",'SETIEMBRE 2026'!Z82="POR RECOGER"),'SETIEMBRE 2026'!I82,"")</f>
        <v/>
      </c>
      <c r="P918" s="194" t="n"/>
      <c r="Q918" s="194" t="n"/>
      <c r="R918" s="194" t="n"/>
      <c r="S918" s="194" t="n"/>
      <c r="T918" s="194" t="n"/>
      <c r="U918" s="194" t="n"/>
      <c r="V918" s="194" t="n"/>
      <c r="W918" s="194" t="n"/>
      <c r="X918" s="194" t="n"/>
      <c r="Y918" s="194" t="n"/>
      <c r="Z918" s="194" t="n"/>
    </row>
    <row r="919" ht="15" customHeight="1" s="195">
      <c r="A919" s="381">
        <f>IF(AND('SETIEMBRE 2026'!D83&lt;&gt;"",'SETIEMBRE 2026'!Z83="POR RECOGER"),"SET","")</f>
        <v/>
      </c>
      <c r="B919" s="381">
        <f>IF(AND('SETIEMBRE 2026'!D83&lt;&gt;"",'SETIEMBRE 2026'!Z83="POR RECOGER"),IF('SETIEMBRE 2026'!Y83&lt;&gt;"",'SETIEMBRE 2026'!Y83,'SETIEMBRE 2026'!I83),"")</f>
        <v/>
      </c>
      <c r="C919" s="381">
        <f>IF(AND('SETIEMBRE 2026'!D83&lt;&gt;"",'SETIEMBRE 2026'!Z83="POR RECOGER"),'SETIEMBRE 2026'!D83,"")</f>
        <v/>
      </c>
      <c r="D919" s="381">
        <f>IF(AND('SETIEMBRE 2026'!D83&lt;&gt;"",'SETIEMBRE 2026'!Z83="POR RECOGER"),'SETIEMBRE 2026'!F83,"")</f>
        <v/>
      </c>
      <c r="E919" s="381">
        <f>IF(AND('SETIEMBRE 2026'!D83&lt;&gt;"",'SETIEMBRE 2026'!Z83="POR RECOGER"),TEXT('SETIEMBRE 2026'!G83,"DD/MM/YYYY"),"")</f>
        <v/>
      </c>
      <c r="F919" s="381">
        <f>IF(AND('SETIEMBRE 2026'!D83&lt;&gt;"",'SETIEMBRE 2026'!Z83="POR RECOGER"),'SETIEMBRE 2026'!K83,"")</f>
        <v/>
      </c>
      <c r="G919" s="382">
        <f>IF(AND('SETIEMBRE 2026'!D83&lt;&gt;"",'SETIEMBRE 2026'!Z83="POR RECOGER"),'SETIEMBRE 2026'!M83,"")</f>
        <v/>
      </c>
      <c r="H919" s="382">
        <f>IF(AND('SETIEMBRE 2026'!D83&lt;&gt;"",'SETIEMBRE 2026'!Z83="POR RECOGER"),'SETIEMBRE 2026'!N83,"")</f>
        <v/>
      </c>
      <c r="I919" s="381">
        <f>IF(AND('SETIEMBRE 2026'!D83&lt;&gt;"",'SETIEMBRE 2026'!Z83="POR RECOGER"),'SETIEMBRE 2026'!P83,"")</f>
        <v/>
      </c>
      <c r="J919" s="381">
        <f>IF(AND('SETIEMBRE 2026'!D83&lt;&gt;"",'SETIEMBRE 2026'!Z83="POR RECOGER"),'SETIEMBRE 2026'!Q83,"")</f>
        <v/>
      </c>
      <c r="K919" s="381">
        <f>IF(AND('SETIEMBRE 2026'!D83&lt;&gt;"",'SETIEMBRE 2026'!Z83="POR RECOGER"),'SETIEMBRE 2026'!Y83,"")</f>
        <v/>
      </c>
      <c r="L919" s="381">
        <f>IF(AND('SETIEMBRE 2026'!D83&lt;&gt;"",'SETIEMBRE 2026'!Z83="POR RECOGER"),'SETIEMBRE 2026'!I83,"")</f>
        <v/>
      </c>
      <c r="P919" s="194" t="n"/>
      <c r="Q919" s="194" t="n"/>
      <c r="R919" s="194" t="n"/>
      <c r="S919" s="194" t="n"/>
      <c r="T919" s="194" t="n"/>
      <c r="U919" s="194" t="n"/>
      <c r="V919" s="194" t="n"/>
      <c r="W919" s="194" t="n"/>
      <c r="X919" s="194" t="n"/>
      <c r="Y919" s="194" t="n"/>
      <c r="Z919" s="194" t="n"/>
    </row>
    <row r="920" ht="15" customHeight="1" s="195">
      <c r="A920" s="381">
        <f>IF(AND('SETIEMBRE 2026'!D84&lt;&gt;"",'SETIEMBRE 2026'!Z84="POR RECOGER"),"SET","")</f>
        <v/>
      </c>
      <c r="B920" s="381">
        <f>IF(AND('SETIEMBRE 2026'!D84&lt;&gt;"",'SETIEMBRE 2026'!Z84="POR RECOGER"),IF('SETIEMBRE 2026'!Y84&lt;&gt;"",'SETIEMBRE 2026'!Y84,'SETIEMBRE 2026'!I84),"")</f>
        <v/>
      </c>
      <c r="C920" s="381">
        <f>IF(AND('SETIEMBRE 2026'!D84&lt;&gt;"",'SETIEMBRE 2026'!Z84="POR RECOGER"),'SETIEMBRE 2026'!D84,"")</f>
        <v/>
      </c>
      <c r="D920" s="381">
        <f>IF(AND('SETIEMBRE 2026'!D84&lt;&gt;"",'SETIEMBRE 2026'!Z84="POR RECOGER"),'SETIEMBRE 2026'!F84,"")</f>
        <v/>
      </c>
      <c r="E920" s="381">
        <f>IF(AND('SETIEMBRE 2026'!D84&lt;&gt;"",'SETIEMBRE 2026'!Z84="POR RECOGER"),TEXT('SETIEMBRE 2026'!G84,"DD/MM/YYYY"),"")</f>
        <v/>
      </c>
      <c r="F920" s="381">
        <f>IF(AND('SETIEMBRE 2026'!D84&lt;&gt;"",'SETIEMBRE 2026'!Z84="POR RECOGER"),'SETIEMBRE 2026'!K84,"")</f>
        <v/>
      </c>
      <c r="G920" s="382">
        <f>IF(AND('SETIEMBRE 2026'!D84&lt;&gt;"",'SETIEMBRE 2026'!Z84="POR RECOGER"),'SETIEMBRE 2026'!M84,"")</f>
        <v/>
      </c>
      <c r="H920" s="382">
        <f>IF(AND('SETIEMBRE 2026'!D84&lt;&gt;"",'SETIEMBRE 2026'!Z84="POR RECOGER"),'SETIEMBRE 2026'!N84,"")</f>
        <v/>
      </c>
      <c r="I920" s="381">
        <f>IF(AND('SETIEMBRE 2026'!D84&lt;&gt;"",'SETIEMBRE 2026'!Z84="POR RECOGER"),'SETIEMBRE 2026'!P84,"")</f>
        <v/>
      </c>
      <c r="J920" s="381">
        <f>IF(AND('SETIEMBRE 2026'!D84&lt;&gt;"",'SETIEMBRE 2026'!Z84="POR RECOGER"),'SETIEMBRE 2026'!Q84,"")</f>
        <v/>
      </c>
      <c r="K920" s="381">
        <f>IF(AND('SETIEMBRE 2026'!D84&lt;&gt;"",'SETIEMBRE 2026'!Z84="POR RECOGER"),'SETIEMBRE 2026'!Y84,"")</f>
        <v/>
      </c>
      <c r="L920" s="381">
        <f>IF(AND('SETIEMBRE 2026'!D84&lt;&gt;"",'SETIEMBRE 2026'!Z84="POR RECOGER"),'SETIEMBRE 2026'!I84,"")</f>
        <v/>
      </c>
      <c r="P920" s="194" t="n"/>
      <c r="Q920" s="194" t="n"/>
      <c r="R920" s="194" t="n"/>
      <c r="S920" s="194" t="n"/>
      <c r="T920" s="194" t="n"/>
      <c r="U920" s="194" t="n"/>
      <c r="V920" s="194" t="n"/>
      <c r="W920" s="194" t="n"/>
      <c r="X920" s="194" t="n"/>
      <c r="Y920" s="194" t="n"/>
      <c r="Z920" s="194" t="n"/>
    </row>
    <row r="921" ht="15" customHeight="1" s="195">
      <c r="A921" s="381">
        <f>IF(AND('SETIEMBRE 2026'!D85&lt;&gt;"",'SETIEMBRE 2026'!Z85="POR RECOGER"),"SET","")</f>
        <v/>
      </c>
      <c r="B921" s="381">
        <f>IF(AND('SETIEMBRE 2026'!D85&lt;&gt;"",'SETIEMBRE 2026'!Z85="POR RECOGER"),IF('SETIEMBRE 2026'!Y85&lt;&gt;"",'SETIEMBRE 2026'!Y85,'SETIEMBRE 2026'!I85),"")</f>
        <v/>
      </c>
      <c r="C921" s="381">
        <f>IF(AND('SETIEMBRE 2026'!D85&lt;&gt;"",'SETIEMBRE 2026'!Z85="POR RECOGER"),'SETIEMBRE 2026'!D85,"")</f>
        <v/>
      </c>
      <c r="D921" s="381">
        <f>IF(AND('SETIEMBRE 2026'!D85&lt;&gt;"",'SETIEMBRE 2026'!Z85="POR RECOGER"),'SETIEMBRE 2026'!F85,"")</f>
        <v/>
      </c>
      <c r="E921" s="381">
        <f>IF(AND('SETIEMBRE 2026'!D85&lt;&gt;"",'SETIEMBRE 2026'!Z85="POR RECOGER"),TEXT('SETIEMBRE 2026'!G85,"DD/MM/YYYY"),"")</f>
        <v/>
      </c>
      <c r="F921" s="381">
        <f>IF(AND('SETIEMBRE 2026'!D85&lt;&gt;"",'SETIEMBRE 2026'!Z85="POR RECOGER"),'SETIEMBRE 2026'!K85,"")</f>
        <v/>
      </c>
      <c r="G921" s="382">
        <f>IF(AND('SETIEMBRE 2026'!D85&lt;&gt;"",'SETIEMBRE 2026'!Z85="POR RECOGER"),'SETIEMBRE 2026'!M85,"")</f>
        <v/>
      </c>
      <c r="H921" s="382">
        <f>IF(AND('SETIEMBRE 2026'!D85&lt;&gt;"",'SETIEMBRE 2026'!Z85="POR RECOGER"),'SETIEMBRE 2026'!N85,"")</f>
        <v/>
      </c>
      <c r="I921" s="381">
        <f>IF(AND('SETIEMBRE 2026'!D85&lt;&gt;"",'SETIEMBRE 2026'!Z85="POR RECOGER"),'SETIEMBRE 2026'!P85,"")</f>
        <v/>
      </c>
      <c r="J921" s="381">
        <f>IF(AND('SETIEMBRE 2026'!D85&lt;&gt;"",'SETIEMBRE 2026'!Z85="POR RECOGER"),'SETIEMBRE 2026'!Q85,"")</f>
        <v/>
      </c>
      <c r="K921" s="381">
        <f>IF(AND('SETIEMBRE 2026'!D85&lt;&gt;"",'SETIEMBRE 2026'!Z85="POR RECOGER"),'SETIEMBRE 2026'!Y85,"")</f>
        <v/>
      </c>
      <c r="L921" s="381">
        <f>IF(AND('SETIEMBRE 2026'!D85&lt;&gt;"",'SETIEMBRE 2026'!Z85="POR RECOGER"),'SETIEMBRE 2026'!I85,"")</f>
        <v/>
      </c>
      <c r="P921" s="194" t="n"/>
      <c r="Q921" s="194" t="n"/>
      <c r="R921" s="194" t="n"/>
      <c r="S921" s="194" t="n"/>
      <c r="T921" s="194" t="n"/>
      <c r="U921" s="194" t="n"/>
      <c r="V921" s="194" t="n"/>
      <c r="W921" s="194" t="n"/>
      <c r="X921" s="194" t="n"/>
      <c r="Y921" s="194" t="n"/>
      <c r="Z921" s="194" t="n"/>
    </row>
    <row r="922" ht="15" customHeight="1" s="195">
      <c r="A922" s="381">
        <f>IF(AND('SETIEMBRE 2026'!D86&lt;&gt;"",'SETIEMBRE 2026'!Z86="POR RECOGER"),"SET","")</f>
        <v/>
      </c>
      <c r="B922" s="381">
        <f>IF(AND('SETIEMBRE 2026'!D86&lt;&gt;"",'SETIEMBRE 2026'!Z86="POR RECOGER"),IF('SETIEMBRE 2026'!Y86&lt;&gt;"",'SETIEMBRE 2026'!Y86,'SETIEMBRE 2026'!I86),"")</f>
        <v/>
      </c>
      <c r="C922" s="381">
        <f>IF(AND('SETIEMBRE 2026'!D86&lt;&gt;"",'SETIEMBRE 2026'!Z86="POR RECOGER"),'SETIEMBRE 2026'!D86,"")</f>
        <v/>
      </c>
      <c r="D922" s="381">
        <f>IF(AND('SETIEMBRE 2026'!D86&lt;&gt;"",'SETIEMBRE 2026'!Z86="POR RECOGER"),'SETIEMBRE 2026'!F86,"")</f>
        <v/>
      </c>
      <c r="E922" s="381">
        <f>IF(AND('SETIEMBRE 2026'!D86&lt;&gt;"",'SETIEMBRE 2026'!Z86="POR RECOGER"),TEXT('SETIEMBRE 2026'!G86,"DD/MM/YYYY"),"")</f>
        <v/>
      </c>
      <c r="F922" s="381">
        <f>IF(AND('SETIEMBRE 2026'!D86&lt;&gt;"",'SETIEMBRE 2026'!Z86="POR RECOGER"),'SETIEMBRE 2026'!K86,"")</f>
        <v/>
      </c>
      <c r="G922" s="382">
        <f>IF(AND('SETIEMBRE 2026'!D86&lt;&gt;"",'SETIEMBRE 2026'!Z86="POR RECOGER"),'SETIEMBRE 2026'!M86,"")</f>
        <v/>
      </c>
      <c r="H922" s="382">
        <f>IF(AND('SETIEMBRE 2026'!D86&lt;&gt;"",'SETIEMBRE 2026'!Z86="POR RECOGER"),'SETIEMBRE 2026'!N86,"")</f>
        <v/>
      </c>
      <c r="I922" s="381">
        <f>IF(AND('SETIEMBRE 2026'!D86&lt;&gt;"",'SETIEMBRE 2026'!Z86="POR RECOGER"),'SETIEMBRE 2026'!P86,"")</f>
        <v/>
      </c>
      <c r="J922" s="381">
        <f>IF(AND('SETIEMBRE 2026'!D86&lt;&gt;"",'SETIEMBRE 2026'!Z86="POR RECOGER"),'SETIEMBRE 2026'!Q86,"")</f>
        <v/>
      </c>
      <c r="K922" s="381">
        <f>IF(AND('SETIEMBRE 2026'!D86&lt;&gt;"",'SETIEMBRE 2026'!Z86="POR RECOGER"),'SETIEMBRE 2026'!Y86,"")</f>
        <v/>
      </c>
      <c r="L922" s="381">
        <f>IF(AND('SETIEMBRE 2026'!D86&lt;&gt;"",'SETIEMBRE 2026'!Z86="POR RECOGER"),'SETIEMBRE 2026'!I86,"")</f>
        <v/>
      </c>
      <c r="P922" s="194" t="n"/>
      <c r="Q922" s="194" t="n"/>
      <c r="R922" s="194" t="n"/>
      <c r="S922" s="194" t="n"/>
      <c r="T922" s="194" t="n"/>
      <c r="U922" s="194" t="n"/>
      <c r="V922" s="194" t="n"/>
      <c r="W922" s="194" t="n"/>
      <c r="X922" s="194" t="n"/>
      <c r="Y922" s="194" t="n"/>
      <c r="Z922" s="194" t="n"/>
    </row>
    <row r="923" ht="15" customHeight="1" s="195">
      <c r="A923" s="381">
        <f>IF(AND('SETIEMBRE 2026'!D87&lt;&gt;"",'SETIEMBRE 2026'!Z87="POR RECOGER"),"SET","")</f>
        <v/>
      </c>
      <c r="B923" s="381">
        <f>IF(AND('SETIEMBRE 2026'!D87&lt;&gt;"",'SETIEMBRE 2026'!Z87="POR RECOGER"),IF('SETIEMBRE 2026'!Y87&lt;&gt;"",'SETIEMBRE 2026'!Y87,'SETIEMBRE 2026'!I87),"")</f>
        <v/>
      </c>
      <c r="C923" s="381">
        <f>IF(AND('SETIEMBRE 2026'!D87&lt;&gt;"",'SETIEMBRE 2026'!Z87="POR RECOGER"),'SETIEMBRE 2026'!D87,"")</f>
        <v/>
      </c>
      <c r="D923" s="381">
        <f>IF(AND('SETIEMBRE 2026'!D87&lt;&gt;"",'SETIEMBRE 2026'!Z87="POR RECOGER"),'SETIEMBRE 2026'!F87,"")</f>
        <v/>
      </c>
      <c r="E923" s="381">
        <f>IF(AND('SETIEMBRE 2026'!D87&lt;&gt;"",'SETIEMBRE 2026'!Z87="POR RECOGER"),TEXT('SETIEMBRE 2026'!G87,"DD/MM/YYYY"),"")</f>
        <v/>
      </c>
      <c r="F923" s="381">
        <f>IF(AND('SETIEMBRE 2026'!D87&lt;&gt;"",'SETIEMBRE 2026'!Z87="POR RECOGER"),'SETIEMBRE 2026'!K87,"")</f>
        <v/>
      </c>
      <c r="G923" s="382">
        <f>IF(AND('SETIEMBRE 2026'!D87&lt;&gt;"",'SETIEMBRE 2026'!Z87="POR RECOGER"),'SETIEMBRE 2026'!M87,"")</f>
        <v/>
      </c>
      <c r="H923" s="382">
        <f>IF(AND('SETIEMBRE 2026'!D87&lt;&gt;"",'SETIEMBRE 2026'!Z87="POR RECOGER"),'SETIEMBRE 2026'!N87,"")</f>
        <v/>
      </c>
      <c r="I923" s="381">
        <f>IF(AND('SETIEMBRE 2026'!D87&lt;&gt;"",'SETIEMBRE 2026'!Z87="POR RECOGER"),'SETIEMBRE 2026'!P87,"")</f>
        <v/>
      </c>
      <c r="J923" s="381">
        <f>IF(AND('SETIEMBRE 2026'!D87&lt;&gt;"",'SETIEMBRE 2026'!Z87="POR RECOGER"),'SETIEMBRE 2026'!Q87,"")</f>
        <v/>
      </c>
      <c r="K923" s="381">
        <f>IF(AND('SETIEMBRE 2026'!D87&lt;&gt;"",'SETIEMBRE 2026'!Z87="POR RECOGER"),'SETIEMBRE 2026'!Y87,"")</f>
        <v/>
      </c>
      <c r="L923" s="381">
        <f>IF(AND('SETIEMBRE 2026'!D87&lt;&gt;"",'SETIEMBRE 2026'!Z87="POR RECOGER"),'SETIEMBRE 2026'!I87,"")</f>
        <v/>
      </c>
      <c r="P923" s="194" t="n"/>
      <c r="Q923" s="194" t="n"/>
      <c r="R923" s="194" t="n"/>
      <c r="S923" s="194" t="n"/>
      <c r="T923" s="194" t="n"/>
      <c r="U923" s="194" t="n"/>
      <c r="V923" s="194" t="n"/>
      <c r="W923" s="194" t="n"/>
      <c r="X923" s="194" t="n"/>
      <c r="Y923" s="194" t="n"/>
      <c r="Z923" s="194" t="n"/>
    </row>
    <row r="924" ht="15" customHeight="1" s="195">
      <c r="A924" s="381">
        <f>IF(AND('SETIEMBRE 2026'!D88&lt;&gt;"",'SETIEMBRE 2026'!Z88="POR RECOGER"),"SET","")</f>
        <v/>
      </c>
      <c r="B924" s="381">
        <f>IF(AND('SETIEMBRE 2026'!D88&lt;&gt;"",'SETIEMBRE 2026'!Z88="POR RECOGER"),IF('SETIEMBRE 2026'!Y88&lt;&gt;"",'SETIEMBRE 2026'!Y88,'SETIEMBRE 2026'!I88),"")</f>
        <v/>
      </c>
      <c r="C924" s="381">
        <f>IF(AND('SETIEMBRE 2026'!D88&lt;&gt;"",'SETIEMBRE 2026'!Z88="POR RECOGER"),'SETIEMBRE 2026'!D88,"")</f>
        <v/>
      </c>
      <c r="D924" s="381">
        <f>IF(AND('SETIEMBRE 2026'!D88&lt;&gt;"",'SETIEMBRE 2026'!Z88="POR RECOGER"),'SETIEMBRE 2026'!F88,"")</f>
        <v/>
      </c>
      <c r="E924" s="381">
        <f>IF(AND('SETIEMBRE 2026'!D88&lt;&gt;"",'SETIEMBRE 2026'!Z88="POR RECOGER"),TEXT('SETIEMBRE 2026'!G88,"DD/MM/YYYY"),"")</f>
        <v/>
      </c>
      <c r="F924" s="381">
        <f>IF(AND('SETIEMBRE 2026'!D88&lt;&gt;"",'SETIEMBRE 2026'!Z88="POR RECOGER"),'SETIEMBRE 2026'!K88,"")</f>
        <v/>
      </c>
      <c r="G924" s="382">
        <f>IF(AND('SETIEMBRE 2026'!D88&lt;&gt;"",'SETIEMBRE 2026'!Z88="POR RECOGER"),'SETIEMBRE 2026'!M88,"")</f>
        <v/>
      </c>
      <c r="H924" s="382">
        <f>IF(AND('SETIEMBRE 2026'!D88&lt;&gt;"",'SETIEMBRE 2026'!Z88="POR RECOGER"),'SETIEMBRE 2026'!N88,"")</f>
        <v/>
      </c>
      <c r="I924" s="381">
        <f>IF(AND('SETIEMBRE 2026'!D88&lt;&gt;"",'SETIEMBRE 2026'!Z88="POR RECOGER"),'SETIEMBRE 2026'!P88,"")</f>
        <v/>
      </c>
      <c r="J924" s="381">
        <f>IF(AND('SETIEMBRE 2026'!D88&lt;&gt;"",'SETIEMBRE 2026'!Z88="POR RECOGER"),'SETIEMBRE 2026'!Q88,"")</f>
        <v/>
      </c>
      <c r="K924" s="381">
        <f>IF(AND('SETIEMBRE 2026'!D88&lt;&gt;"",'SETIEMBRE 2026'!Z88="POR RECOGER"),'SETIEMBRE 2026'!Y88,"")</f>
        <v/>
      </c>
      <c r="L924" s="381">
        <f>IF(AND('SETIEMBRE 2026'!D88&lt;&gt;"",'SETIEMBRE 2026'!Z88="POR RECOGER"),'SETIEMBRE 2026'!I88,"")</f>
        <v/>
      </c>
      <c r="P924" s="194" t="n"/>
      <c r="Q924" s="194" t="n"/>
      <c r="R924" s="194" t="n"/>
      <c r="S924" s="194" t="n"/>
      <c r="T924" s="194" t="n"/>
      <c r="U924" s="194" t="n"/>
      <c r="V924" s="194" t="n"/>
      <c r="W924" s="194" t="n"/>
      <c r="X924" s="194" t="n"/>
      <c r="Y924" s="194" t="n"/>
      <c r="Z924" s="194" t="n"/>
    </row>
    <row r="925" ht="15" customHeight="1" s="195">
      <c r="A925" s="381">
        <f>IF(AND('SETIEMBRE 2026'!D89&lt;&gt;"",'SETIEMBRE 2026'!Z89="POR RECOGER"),"SET","")</f>
        <v/>
      </c>
      <c r="B925" s="381">
        <f>IF(AND('SETIEMBRE 2026'!D89&lt;&gt;"",'SETIEMBRE 2026'!Z89="POR RECOGER"),IF('SETIEMBRE 2026'!Y89&lt;&gt;"",'SETIEMBRE 2026'!Y89,'SETIEMBRE 2026'!I89),"")</f>
        <v/>
      </c>
      <c r="C925" s="381">
        <f>IF(AND('SETIEMBRE 2026'!D89&lt;&gt;"",'SETIEMBRE 2026'!Z89="POR RECOGER"),'SETIEMBRE 2026'!D89,"")</f>
        <v/>
      </c>
      <c r="D925" s="381">
        <f>IF(AND('SETIEMBRE 2026'!D89&lt;&gt;"",'SETIEMBRE 2026'!Z89="POR RECOGER"),'SETIEMBRE 2026'!F89,"")</f>
        <v/>
      </c>
      <c r="E925" s="381">
        <f>IF(AND('SETIEMBRE 2026'!D89&lt;&gt;"",'SETIEMBRE 2026'!Z89="POR RECOGER"),TEXT('SETIEMBRE 2026'!G89,"DD/MM/YYYY"),"")</f>
        <v/>
      </c>
      <c r="F925" s="381">
        <f>IF(AND('SETIEMBRE 2026'!D89&lt;&gt;"",'SETIEMBRE 2026'!Z89="POR RECOGER"),'SETIEMBRE 2026'!K89,"")</f>
        <v/>
      </c>
      <c r="G925" s="382">
        <f>IF(AND('SETIEMBRE 2026'!D89&lt;&gt;"",'SETIEMBRE 2026'!Z89="POR RECOGER"),'SETIEMBRE 2026'!M89,"")</f>
        <v/>
      </c>
      <c r="H925" s="382">
        <f>IF(AND('SETIEMBRE 2026'!D89&lt;&gt;"",'SETIEMBRE 2026'!Z89="POR RECOGER"),'SETIEMBRE 2026'!N89,"")</f>
        <v/>
      </c>
      <c r="I925" s="381">
        <f>IF(AND('SETIEMBRE 2026'!D89&lt;&gt;"",'SETIEMBRE 2026'!Z89="POR RECOGER"),'SETIEMBRE 2026'!P89,"")</f>
        <v/>
      </c>
      <c r="J925" s="381">
        <f>IF(AND('SETIEMBRE 2026'!D89&lt;&gt;"",'SETIEMBRE 2026'!Z89="POR RECOGER"),'SETIEMBRE 2026'!Q89,"")</f>
        <v/>
      </c>
      <c r="K925" s="381">
        <f>IF(AND('SETIEMBRE 2026'!D89&lt;&gt;"",'SETIEMBRE 2026'!Z89="POR RECOGER"),'SETIEMBRE 2026'!Y89,"")</f>
        <v/>
      </c>
      <c r="L925" s="381">
        <f>IF(AND('SETIEMBRE 2026'!D89&lt;&gt;"",'SETIEMBRE 2026'!Z89="POR RECOGER"),'SETIEMBRE 2026'!I89,"")</f>
        <v/>
      </c>
      <c r="P925" s="194" t="n"/>
      <c r="Q925" s="194" t="n"/>
      <c r="R925" s="194" t="n"/>
      <c r="S925" s="194" t="n"/>
      <c r="T925" s="194" t="n"/>
      <c r="U925" s="194" t="n"/>
      <c r="V925" s="194" t="n"/>
      <c r="W925" s="194" t="n"/>
      <c r="X925" s="194" t="n"/>
      <c r="Y925" s="194" t="n"/>
      <c r="Z925" s="194" t="n"/>
    </row>
    <row r="926" ht="15" customHeight="1" s="195">
      <c r="A926" s="381">
        <f>IF(AND('SETIEMBRE 2026'!D90&lt;&gt;"",'SETIEMBRE 2026'!Z90="POR RECOGER"),"SET","")</f>
        <v/>
      </c>
      <c r="B926" s="381">
        <f>IF(AND('SETIEMBRE 2026'!D90&lt;&gt;"",'SETIEMBRE 2026'!Z90="POR RECOGER"),IF('SETIEMBRE 2026'!Y90&lt;&gt;"",'SETIEMBRE 2026'!Y90,'SETIEMBRE 2026'!I90),"")</f>
        <v/>
      </c>
      <c r="C926" s="381">
        <f>IF(AND('SETIEMBRE 2026'!D90&lt;&gt;"",'SETIEMBRE 2026'!Z90="POR RECOGER"),'SETIEMBRE 2026'!D90,"")</f>
        <v/>
      </c>
      <c r="D926" s="381">
        <f>IF(AND('SETIEMBRE 2026'!D90&lt;&gt;"",'SETIEMBRE 2026'!Z90="POR RECOGER"),'SETIEMBRE 2026'!F90,"")</f>
        <v/>
      </c>
      <c r="E926" s="381">
        <f>IF(AND('SETIEMBRE 2026'!D90&lt;&gt;"",'SETIEMBRE 2026'!Z90="POR RECOGER"),TEXT('SETIEMBRE 2026'!G90,"DD/MM/YYYY"),"")</f>
        <v/>
      </c>
      <c r="F926" s="381">
        <f>IF(AND('SETIEMBRE 2026'!D90&lt;&gt;"",'SETIEMBRE 2026'!Z90="POR RECOGER"),'SETIEMBRE 2026'!K90,"")</f>
        <v/>
      </c>
      <c r="G926" s="382">
        <f>IF(AND('SETIEMBRE 2026'!D90&lt;&gt;"",'SETIEMBRE 2026'!Z90="POR RECOGER"),'SETIEMBRE 2026'!M90,"")</f>
        <v/>
      </c>
      <c r="H926" s="382">
        <f>IF(AND('SETIEMBRE 2026'!D90&lt;&gt;"",'SETIEMBRE 2026'!Z90="POR RECOGER"),'SETIEMBRE 2026'!N90,"")</f>
        <v/>
      </c>
      <c r="I926" s="381">
        <f>IF(AND('SETIEMBRE 2026'!D90&lt;&gt;"",'SETIEMBRE 2026'!Z90="POR RECOGER"),'SETIEMBRE 2026'!P90,"")</f>
        <v/>
      </c>
      <c r="J926" s="381">
        <f>IF(AND('SETIEMBRE 2026'!D90&lt;&gt;"",'SETIEMBRE 2026'!Z90="POR RECOGER"),'SETIEMBRE 2026'!Q90,"")</f>
        <v/>
      </c>
      <c r="K926" s="381">
        <f>IF(AND('SETIEMBRE 2026'!D90&lt;&gt;"",'SETIEMBRE 2026'!Z90="POR RECOGER"),'SETIEMBRE 2026'!Y90,"")</f>
        <v/>
      </c>
      <c r="L926" s="381">
        <f>IF(AND('SETIEMBRE 2026'!D90&lt;&gt;"",'SETIEMBRE 2026'!Z90="POR RECOGER"),'SETIEMBRE 2026'!I90,"")</f>
        <v/>
      </c>
      <c r="P926" s="194" t="n"/>
      <c r="Q926" s="194" t="n"/>
      <c r="R926" s="194" t="n"/>
      <c r="S926" s="194" t="n"/>
      <c r="T926" s="194" t="n"/>
      <c r="U926" s="194" t="n"/>
      <c r="V926" s="194" t="n"/>
      <c r="W926" s="194" t="n"/>
      <c r="X926" s="194" t="n"/>
      <c r="Y926" s="194" t="n"/>
      <c r="Z926" s="194" t="n"/>
    </row>
    <row r="927" ht="15" customHeight="1" s="195">
      <c r="A927" s="381">
        <f>IF(AND('SETIEMBRE 2026'!D91&lt;&gt;"",'SETIEMBRE 2026'!Z91="POR RECOGER"),"SET","")</f>
        <v/>
      </c>
      <c r="B927" s="381">
        <f>IF(AND('SETIEMBRE 2026'!D91&lt;&gt;"",'SETIEMBRE 2026'!Z91="POR RECOGER"),IF('SETIEMBRE 2026'!Y91&lt;&gt;"",'SETIEMBRE 2026'!Y91,'SETIEMBRE 2026'!I91),"")</f>
        <v/>
      </c>
      <c r="C927" s="381">
        <f>IF(AND('SETIEMBRE 2026'!D91&lt;&gt;"",'SETIEMBRE 2026'!Z91="POR RECOGER"),'SETIEMBRE 2026'!D91,"")</f>
        <v/>
      </c>
      <c r="D927" s="381">
        <f>IF(AND('SETIEMBRE 2026'!D91&lt;&gt;"",'SETIEMBRE 2026'!Z91="POR RECOGER"),'SETIEMBRE 2026'!F91,"")</f>
        <v/>
      </c>
      <c r="E927" s="381">
        <f>IF(AND('SETIEMBRE 2026'!D91&lt;&gt;"",'SETIEMBRE 2026'!Z91="POR RECOGER"),TEXT('SETIEMBRE 2026'!G91,"DD/MM/YYYY"),"")</f>
        <v/>
      </c>
      <c r="F927" s="381">
        <f>IF(AND('SETIEMBRE 2026'!D91&lt;&gt;"",'SETIEMBRE 2026'!Z91="POR RECOGER"),'SETIEMBRE 2026'!K91,"")</f>
        <v/>
      </c>
      <c r="G927" s="382">
        <f>IF(AND('SETIEMBRE 2026'!D91&lt;&gt;"",'SETIEMBRE 2026'!Z91="POR RECOGER"),'SETIEMBRE 2026'!M91,"")</f>
        <v/>
      </c>
      <c r="H927" s="382">
        <f>IF(AND('SETIEMBRE 2026'!D91&lt;&gt;"",'SETIEMBRE 2026'!Z91="POR RECOGER"),'SETIEMBRE 2026'!N91,"")</f>
        <v/>
      </c>
      <c r="I927" s="381">
        <f>IF(AND('SETIEMBRE 2026'!D91&lt;&gt;"",'SETIEMBRE 2026'!Z91="POR RECOGER"),'SETIEMBRE 2026'!P91,"")</f>
        <v/>
      </c>
      <c r="J927" s="381">
        <f>IF(AND('SETIEMBRE 2026'!D91&lt;&gt;"",'SETIEMBRE 2026'!Z91="POR RECOGER"),'SETIEMBRE 2026'!Q91,"")</f>
        <v/>
      </c>
      <c r="K927" s="381">
        <f>IF(AND('SETIEMBRE 2026'!D91&lt;&gt;"",'SETIEMBRE 2026'!Z91="POR RECOGER"),'SETIEMBRE 2026'!Y91,"")</f>
        <v/>
      </c>
      <c r="L927" s="381">
        <f>IF(AND('SETIEMBRE 2026'!D91&lt;&gt;"",'SETIEMBRE 2026'!Z91="POR RECOGER"),'SETIEMBRE 2026'!I91,"")</f>
        <v/>
      </c>
      <c r="P927" s="194" t="n"/>
      <c r="Q927" s="194" t="n"/>
      <c r="R927" s="194" t="n"/>
      <c r="S927" s="194" t="n"/>
      <c r="T927" s="194" t="n"/>
      <c r="U927" s="194" t="n"/>
      <c r="V927" s="194" t="n"/>
      <c r="W927" s="194" t="n"/>
      <c r="X927" s="194" t="n"/>
      <c r="Y927" s="194" t="n"/>
      <c r="Z927" s="194" t="n"/>
    </row>
    <row r="928" ht="15" customHeight="1" s="195">
      <c r="A928" s="381">
        <f>IF(AND('SETIEMBRE 2026'!D92&lt;&gt;"",'SETIEMBRE 2026'!Z92="POR RECOGER"),"SET","")</f>
        <v/>
      </c>
      <c r="B928" s="381">
        <f>IF(AND('SETIEMBRE 2026'!D92&lt;&gt;"",'SETIEMBRE 2026'!Z92="POR RECOGER"),IF('SETIEMBRE 2026'!Y92&lt;&gt;"",'SETIEMBRE 2026'!Y92,'SETIEMBRE 2026'!I92),"")</f>
        <v/>
      </c>
      <c r="C928" s="381">
        <f>IF(AND('SETIEMBRE 2026'!D92&lt;&gt;"",'SETIEMBRE 2026'!Z92="POR RECOGER"),'SETIEMBRE 2026'!D92,"")</f>
        <v/>
      </c>
      <c r="D928" s="381">
        <f>IF(AND('SETIEMBRE 2026'!D92&lt;&gt;"",'SETIEMBRE 2026'!Z92="POR RECOGER"),'SETIEMBRE 2026'!F92,"")</f>
        <v/>
      </c>
      <c r="E928" s="381">
        <f>IF(AND('SETIEMBRE 2026'!D92&lt;&gt;"",'SETIEMBRE 2026'!Z92="POR RECOGER"),TEXT('SETIEMBRE 2026'!G92,"DD/MM/YYYY"),"")</f>
        <v/>
      </c>
      <c r="F928" s="381">
        <f>IF(AND('SETIEMBRE 2026'!D92&lt;&gt;"",'SETIEMBRE 2026'!Z92="POR RECOGER"),'SETIEMBRE 2026'!K92,"")</f>
        <v/>
      </c>
      <c r="G928" s="382">
        <f>IF(AND('SETIEMBRE 2026'!D92&lt;&gt;"",'SETIEMBRE 2026'!Z92="POR RECOGER"),'SETIEMBRE 2026'!M92,"")</f>
        <v/>
      </c>
      <c r="H928" s="382">
        <f>IF(AND('SETIEMBRE 2026'!D92&lt;&gt;"",'SETIEMBRE 2026'!Z92="POR RECOGER"),'SETIEMBRE 2026'!N92,"")</f>
        <v/>
      </c>
      <c r="I928" s="381">
        <f>IF(AND('SETIEMBRE 2026'!D92&lt;&gt;"",'SETIEMBRE 2026'!Z92="POR RECOGER"),'SETIEMBRE 2026'!P92,"")</f>
        <v/>
      </c>
      <c r="J928" s="381">
        <f>IF(AND('SETIEMBRE 2026'!D92&lt;&gt;"",'SETIEMBRE 2026'!Z92="POR RECOGER"),'SETIEMBRE 2026'!Q92,"")</f>
        <v/>
      </c>
      <c r="K928" s="381">
        <f>IF(AND('SETIEMBRE 2026'!D92&lt;&gt;"",'SETIEMBRE 2026'!Z92="POR RECOGER"),'SETIEMBRE 2026'!Y92,"")</f>
        <v/>
      </c>
      <c r="L928" s="381">
        <f>IF(AND('SETIEMBRE 2026'!D92&lt;&gt;"",'SETIEMBRE 2026'!Z92="POR RECOGER"),'SETIEMBRE 2026'!I92,"")</f>
        <v/>
      </c>
      <c r="P928" s="194" t="n"/>
      <c r="Q928" s="194" t="n"/>
      <c r="R928" s="194" t="n"/>
      <c r="S928" s="194" t="n"/>
      <c r="T928" s="194" t="n"/>
      <c r="U928" s="194" t="n"/>
      <c r="V928" s="194" t="n"/>
      <c r="W928" s="194" t="n"/>
      <c r="X928" s="194" t="n"/>
      <c r="Y928" s="194" t="n"/>
      <c r="Z928" s="194" t="n"/>
    </row>
    <row r="929" ht="15" customHeight="1" s="195">
      <c r="A929" s="381">
        <f>IF(AND('SETIEMBRE 2026'!D93&lt;&gt;"",'SETIEMBRE 2026'!Z93="POR RECOGER"),"SET","")</f>
        <v/>
      </c>
      <c r="B929" s="381">
        <f>IF(AND('SETIEMBRE 2026'!D93&lt;&gt;"",'SETIEMBRE 2026'!Z93="POR RECOGER"),IF('SETIEMBRE 2026'!Y93&lt;&gt;"",'SETIEMBRE 2026'!Y93,'SETIEMBRE 2026'!I93),"")</f>
        <v/>
      </c>
      <c r="C929" s="381">
        <f>IF(AND('SETIEMBRE 2026'!D93&lt;&gt;"",'SETIEMBRE 2026'!Z93="POR RECOGER"),'SETIEMBRE 2026'!D93,"")</f>
        <v/>
      </c>
      <c r="D929" s="381">
        <f>IF(AND('SETIEMBRE 2026'!D93&lt;&gt;"",'SETIEMBRE 2026'!Z93="POR RECOGER"),'SETIEMBRE 2026'!F93,"")</f>
        <v/>
      </c>
      <c r="E929" s="381">
        <f>IF(AND('SETIEMBRE 2026'!D93&lt;&gt;"",'SETIEMBRE 2026'!Z93="POR RECOGER"),TEXT('SETIEMBRE 2026'!G93,"DD/MM/YYYY"),"")</f>
        <v/>
      </c>
      <c r="F929" s="381">
        <f>IF(AND('SETIEMBRE 2026'!D93&lt;&gt;"",'SETIEMBRE 2026'!Z93="POR RECOGER"),'SETIEMBRE 2026'!K93,"")</f>
        <v/>
      </c>
      <c r="G929" s="382">
        <f>IF(AND('SETIEMBRE 2026'!D93&lt;&gt;"",'SETIEMBRE 2026'!Z93="POR RECOGER"),'SETIEMBRE 2026'!M93,"")</f>
        <v/>
      </c>
      <c r="H929" s="382">
        <f>IF(AND('SETIEMBRE 2026'!D93&lt;&gt;"",'SETIEMBRE 2026'!Z93="POR RECOGER"),'SETIEMBRE 2026'!N93,"")</f>
        <v/>
      </c>
      <c r="I929" s="381">
        <f>IF(AND('SETIEMBRE 2026'!D93&lt;&gt;"",'SETIEMBRE 2026'!Z93="POR RECOGER"),'SETIEMBRE 2026'!P93,"")</f>
        <v/>
      </c>
      <c r="J929" s="381">
        <f>IF(AND('SETIEMBRE 2026'!D93&lt;&gt;"",'SETIEMBRE 2026'!Z93="POR RECOGER"),'SETIEMBRE 2026'!Q93,"")</f>
        <v/>
      </c>
      <c r="K929" s="381">
        <f>IF(AND('SETIEMBRE 2026'!D93&lt;&gt;"",'SETIEMBRE 2026'!Z93="POR RECOGER"),'SETIEMBRE 2026'!Y93,"")</f>
        <v/>
      </c>
      <c r="L929" s="381">
        <f>IF(AND('SETIEMBRE 2026'!D93&lt;&gt;"",'SETIEMBRE 2026'!Z93="POR RECOGER"),'SETIEMBRE 2026'!I93,"")</f>
        <v/>
      </c>
      <c r="P929" s="194" t="n"/>
      <c r="Q929" s="194" t="n"/>
      <c r="R929" s="194" t="n"/>
      <c r="S929" s="194" t="n"/>
      <c r="T929" s="194" t="n"/>
      <c r="U929" s="194" t="n"/>
      <c r="V929" s="194" t="n"/>
      <c r="W929" s="194" t="n"/>
      <c r="X929" s="194" t="n"/>
      <c r="Y929" s="194" t="n"/>
      <c r="Z929" s="194" t="n"/>
    </row>
    <row r="930" ht="15" customHeight="1" s="195">
      <c r="A930" s="381">
        <f>IF(AND('SETIEMBRE 2026'!D94&lt;&gt;"",'SETIEMBRE 2026'!Z94="POR RECOGER"),"SET","")</f>
        <v/>
      </c>
      <c r="B930" s="381">
        <f>IF(AND('SETIEMBRE 2026'!D94&lt;&gt;"",'SETIEMBRE 2026'!Z94="POR RECOGER"),IF('SETIEMBRE 2026'!Y94&lt;&gt;"",'SETIEMBRE 2026'!Y94,'SETIEMBRE 2026'!I94),"")</f>
        <v/>
      </c>
      <c r="C930" s="381">
        <f>IF(AND('SETIEMBRE 2026'!D94&lt;&gt;"",'SETIEMBRE 2026'!Z94="POR RECOGER"),'SETIEMBRE 2026'!D94,"")</f>
        <v/>
      </c>
      <c r="D930" s="381">
        <f>IF(AND('SETIEMBRE 2026'!D94&lt;&gt;"",'SETIEMBRE 2026'!Z94="POR RECOGER"),'SETIEMBRE 2026'!F94,"")</f>
        <v/>
      </c>
      <c r="E930" s="381">
        <f>IF(AND('SETIEMBRE 2026'!D94&lt;&gt;"",'SETIEMBRE 2026'!Z94="POR RECOGER"),TEXT('SETIEMBRE 2026'!G94,"DD/MM/YYYY"),"")</f>
        <v/>
      </c>
      <c r="F930" s="381">
        <f>IF(AND('SETIEMBRE 2026'!D94&lt;&gt;"",'SETIEMBRE 2026'!Z94="POR RECOGER"),'SETIEMBRE 2026'!K94,"")</f>
        <v/>
      </c>
      <c r="G930" s="382">
        <f>IF(AND('SETIEMBRE 2026'!D94&lt;&gt;"",'SETIEMBRE 2026'!Z94="POR RECOGER"),'SETIEMBRE 2026'!M94,"")</f>
        <v/>
      </c>
      <c r="H930" s="382">
        <f>IF(AND('SETIEMBRE 2026'!D94&lt;&gt;"",'SETIEMBRE 2026'!Z94="POR RECOGER"),'SETIEMBRE 2026'!N94,"")</f>
        <v/>
      </c>
      <c r="I930" s="381">
        <f>IF(AND('SETIEMBRE 2026'!D94&lt;&gt;"",'SETIEMBRE 2026'!Z94="POR RECOGER"),'SETIEMBRE 2026'!P94,"")</f>
        <v/>
      </c>
      <c r="J930" s="381">
        <f>IF(AND('SETIEMBRE 2026'!D94&lt;&gt;"",'SETIEMBRE 2026'!Z94="POR RECOGER"),'SETIEMBRE 2026'!Q94,"")</f>
        <v/>
      </c>
      <c r="K930" s="381">
        <f>IF(AND('SETIEMBRE 2026'!D94&lt;&gt;"",'SETIEMBRE 2026'!Z94="POR RECOGER"),'SETIEMBRE 2026'!Y94,"")</f>
        <v/>
      </c>
      <c r="L930" s="381">
        <f>IF(AND('SETIEMBRE 2026'!D94&lt;&gt;"",'SETIEMBRE 2026'!Z94="POR RECOGER"),'SETIEMBRE 2026'!I94,"")</f>
        <v/>
      </c>
      <c r="P930" s="194" t="n"/>
      <c r="Q930" s="194" t="n"/>
      <c r="R930" s="194" t="n"/>
      <c r="S930" s="194" t="n"/>
      <c r="T930" s="194" t="n"/>
      <c r="U930" s="194" t="n"/>
      <c r="V930" s="194" t="n"/>
      <c r="W930" s="194" t="n"/>
      <c r="X930" s="194" t="n"/>
      <c r="Y930" s="194" t="n"/>
      <c r="Z930" s="194" t="n"/>
    </row>
    <row r="931" ht="15" customHeight="1" s="195">
      <c r="A931" s="381">
        <f>IF(AND('SETIEMBRE 2026'!D95&lt;&gt;"",'SETIEMBRE 2026'!Z95="POR RECOGER"),"SET","")</f>
        <v/>
      </c>
      <c r="B931" s="381">
        <f>IF(AND('SETIEMBRE 2026'!D95&lt;&gt;"",'SETIEMBRE 2026'!Z95="POR RECOGER"),IF('SETIEMBRE 2026'!Y95&lt;&gt;"",'SETIEMBRE 2026'!Y95,'SETIEMBRE 2026'!I95),"")</f>
        <v/>
      </c>
      <c r="C931" s="381">
        <f>IF(AND('SETIEMBRE 2026'!D95&lt;&gt;"",'SETIEMBRE 2026'!Z95="POR RECOGER"),'SETIEMBRE 2026'!D95,"")</f>
        <v/>
      </c>
      <c r="D931" s="381">
        <f>IF(AND('SETIEMBRE 2026'!D95&lt;&gt;"",'SETIEMBRE 2026'!Z95="POR RECOGER"),'SETIEMBRE 2026'!F95,"")</f>
        <v/>
      </c>
      <c r="E931" s="381">
        <f>IF(AND('SETIEMBRE 2026'!D95&lt;&gt;"",'SETIEMBRE 2026'!Z95="POR RECOGER"),TEXT('SETIEMBRE 2026'!G95,"DD/MM/YYYY"),"")</f>
        <v/>
      </c>
      <c r="F931" s="381">
        <f>IF(AND('SETIEMBRE 2026'!D95&lt;&gt;"",'SETIEMBRE 2026'!Z95="POR RECOGER"),'SETIEMBRE 2026'!K95,"")</f>
        <v/>
      </c>
      <c r="G931" s="382">
        <f>IF(AND('SETIEMBRE 2026'!D95&lt;&gt;"",'SETIEMBRE 2026'!Z95="POR RECOGER"),'SETIEMBRE 2026'!M95,"")</f>
        <v/>
      </c>
      <c r="H931" s="382">
        <f>IF(AND('SETIEMBRE 2026'!D95&lt;&gt;"",'SETIEMBRE 2026'!Z95="POR RECOGER"),'SETIEMBRE 2026'!N95,"")</f>
        <v/>
      </c>
      <c r="I931" s="381">
        <f>IF(AND('SETIEMBRE 2026'!D95&lt;&gt;"",'SETIEMBRE 2026'!Z95="POR RECOGER"),'SETIEMBRE 2026'!P95,"")</f>
        <v/>
      </c>
      <c r="J931" s="381">
        <f>IF(AND('SETIEMBRE 2026'!D95&lt;&gt;"",'SETIEMBRE 2026'!Z95="POR RECOGER"),'SETIEMBRE 2026'!Q95,"")</f>
        <v/>
      </c>
      <c r="K931" s="381">
        <f>IF(AND('SETIEMBRE 2026'!D95&lt;&gt;"",'SETIEMBRE 2026'!Z95="POR RECOGER"),'SETIEMBRE 2026'!Y95,"")</f>
        <v/>
      </c>
      <c r="L931" s="381">
        <f>IF(AND('SETIEMBRE 2026'!D95&lt;&gt;"",'SETIEMBRE 2026'!Z95="POR RECOGER"),'SETIEMBRE 2026'!I95,"")</f>
        <v/>
      </c>
      <c r="P931" s="194" t="n"/>
      <c r="Q931" s="194" t="n"/>
      <c r="R931" s="194" t="n"/>
      <c r="S931" s="194" t="n"/>
      <c r="T931" s="194" t="n"/>
      <c r="U931" s="194" t="n"/>
      <c r="V931" s="194" t="n"/>
      <c r="W931" s="194" t="n"/>
      <c r="X931" s="194" t="n"/>
      <c r="Y931" s="194" t="n"/>
      <c r="Z931" s="194" t="n"/>
    </row>
    <row r="932" ht="15" customHeight="1" s="195">
      <c r="A932" s="381">
        <f>IF(AND('SETIEMBRE 2026'!D96&lt;&gt;"",'SETIEMBRE 2026'!Z96="POR RECOGER"),"SET","")</f>
        <v/>
      </c>
      <c r="B932" s="381">
        <f>IF(AND('SETIEMBRE 2026'!D96&lt;&gt;"",'SETIEMBRE 2026'!Z96="POR RECOGER"),IF('SETIEMBRE 2026'!Y96&lt;&gt;"",'SETIEMBRE 2026'!Y96,'SETIEMBRE 2026'!I96),"")</f>
        <v/>
      </c>
      <c r="C932" s="381">
        <f>IF(AND('SETIEMBRE 2026'!D96&lt;&gt;"",'SETIEMBRE 2026'!Z96="POR RECOGER"),'SETIEMBRE 2026'!D96,"")</f>
        <v/>
      </c>
      <c r="D932" s="381">
        <f>IF(AND('SETIEMBRE 2026'!D96&lt;&gt;"",'SETIEMBRE 2026'!Z96="POR RECOGER"),'SETIEMBRE 2026'!F96,"")</f>
        <v/>
      </c>
      <c r="E932" s="381">
        <f>IF(AND('SETIEMBRE 2026'!D96&lt;&gt;"",'SETIEMBRE 2026'!Z96="POR RECOGER"),TEXT('SETIEMBRE 2026'!G96,"DD/MM/YYYY"),"")</f>
        <v/>
      </c>
      <c r="F932" s="381">
        <f>IF(AND('SETIEMBRE 2026'!D96&lt;&gt;"",'SETIEMBRE 2026'!Z96="POR RECOGER"),'SETIEMBRE 2026'!K96,"")</f>
        <v/>
      </c>
      <c r="G932" s="382">
        <f>IF(AND('SETIEMBRE 2026'!D96&lt;&gt;"",'SETIEMBRE 2026'!Z96="POR RECOGER"),'SETIEMBRE 2026'!M96,"")</f>
        <v/>
      </c>
      <c r="H932" s="382">
        <f>IF(AND('SETIEMBRE 2026'!D96&lt;&gt;"",'SETIEMBRE 2026'!Z96="POR RECOGER"),'SETIEMBRE 2026'!N96,"")</f>
        <v/>
      </c>
      <c r="I932" s="381">
        <f>IF(AND('SETIEMBRE 2026'!D96&lt;&gt;"",'SETIEMBRE 2026'!Z96="POR RECOGER"),'SETIEMBRE 2026'!P96,"")</f>
        <v/>
      </c>
      <c r="J932" s="381">
        <f>IF(AND('SETIEMBRE 2026'!D96&lt;&gt;"",'SETIEMBRE 2026'!Z96="POR RECOGER"),'SETIEMBRE 2026'!Q96,"")</f>
        <v/>
      </c>
      <c r="K932" s="381">
        <f>IF(AND('SETIEMBRE 2026'!D96&lt;&gt;"",'SETIEMBRE 2026'!Z96="POR RECOGER"),'SETIEMBRE 2026'!Y96,"")</f>
        <v/>
      </c>
      <c r="L932" s="381">
        <f>IF(AND('SETIEMBRE 2026'!D96&lt;&gt;"",'SETIEMBRE 2026'!Z96="POR RECOGER"),'SETIEMBRE 2026'!I96,"")</f>
        <v/>
      </c>
      <c r="P932" s="194" t="n"/>
      <c r="Q932" s="194" t="n"/>
      <c r="R932" s="194" t="n"/>
      <c r="S932" s="194" t="n"/>
      <c r="T932" s="194" t="n"/>
      <c r="U932" s="194" t="n"/>
      <c r="V932" s="194" t="n"/>
      <c r="W932" s="194" t="n"/>
      <c r="X932" s="194" t="n"/>
      <c r="Y932" s="194" t="n"/>
      <c r="Z932" s="194" t="n"/>
    </row>
    <row r="933" ht="15" customHeight="1" s="195">
      <c r="A933" s="381">
        <f>IF(AND('SETIEMBRE 2026'!D97&lt;&gt;"",'SETIEMBRE 2026'!Z97="POR RECOGER"),"SET","")</f>
        <v/>
      </c>
      <c r="B933" s="381">
        <f>IF(AND('SETIEMBRE 2026'!D97&lt;&gt;"",'SETIEMBRE 2026'!Z97="POR RECOGER"),IF('SETIEMBRE 2026'!Y97&lt;&gt;"",'SETIEMBRE 2026'!Y97,'SETIEMBRE 2026'!I97),"")</f>
        <v/>
      </c>
      <c r="C933" s="381">
        <f>IF(AND('SETIEMBRE 2026'!D97&lt;&gt;"",'SETIEMBRE 2026'!Z97="POR RECOGER"),'SETIEMBRE 2026'!D97,"")</f>
        <v/>
      </c>
      <c r="D933" s="381">
        <f>IF(AND('SETIEMBRE 2026'!D97&lt;&gt;"",'SETIEMBRE 2026'!Z97="POR RECOGER"),'SETIEMBRE 2026'!F97,"")</f>
        <v/>
      </c>
      <c r="E933" s="381">
        <f>IF(AND('SETIEMBRE 2026'!D97&lt;&gt;"",'SETIEMBRE 2026'!Z97="POR RECOGER"),TEXT('SETIEMBRE 2026'!G97,"DD/MM/YYYY"),"")</f>
        <v/>
      </c>
      <c r="F933" s="381">
        <f>IF(AND('SETIEMBRE 2026'!D97&lt;&gt;"",'SETIEMBRE 2026'!Z97="POR RECOGER"),'SETIEMBRE 2026'!K97,"")</f>
        <v/>
      </c>
      <c r="G933" s="382">
        <f>IF(AND('SETIEMBRE 2026'!D97&lt;&gt;"",'SETIEMBRE 2026'!Z97="POR RECOGER"),'SETIEMBRE 2026'!M97,"")</f>
        <v/>
      </c>
      <c r="H933" s="382">
        <f>IF(AND('SETIEMBRE 2026'!D97&lt;&gt;"",'SETIEMBRE 2026'!Z97="POR RECOGER"),'SETIEMBRE 2026'!N97,"")</f>
        <v/>
      </c>
      <c r="I933" s="381">
        <f>IF(AND('SETIEMBRE 2026'!D97&lt;&gt;"",'SETIEMBRE 2026'!Z97="POR RECOGER"),'SETIEMBRE 2026'!P97,"")</f>
        <v/>
      </c>
      <c r="J933" s="381">
        <f>IF(AND('SETIEMBRE 2026'!D97&lt;&gt;"",'SETIEMBRE 2026'!Z97="POR RECOGER"),'SETIEMBRE 2026'!Q97,"")</f>
        <v/>
      </c>
      <c r="K933" s="381">
        <f>IF(AND('SETIEMBRE 2026'!D97&lt;&gt;"",'SETIEMBRE 2026'!Z97="POR RECOGER"),'SETIEMBRE 2026'!Y97,"")</f>
        <v/>
      </c>
      <c r="L933" s="381">
        <f>IF(AND('SETIEMBRE 2026'!D97&lt;&gt;"",'SETIEMBRE 2026'!Z97="POR RECOGER"),'SETIEMBRE 2026'!I97,"")</f>
        <v/>
      </c>
      <c r="P933" s="194" t="n"/>
      <c r="Q933" s="194" t="n"/>
      <c r="R933" s="194" t="n"/>
      <c r="S933" s="194" t="n"/>
      <c r="T933" s="194" t="n"/>
      <c r="U933" s="194" t="n"/>
      <c r="V933" s="194" t="n"/>
      <c r="W933" s="194" t="n"/>
      <c r="X933" s="194" t="n"/>
      <c r="Y933" s="194" t="n"/>
      <c r="Z933" s="194" t="n"/>
    </row>
    <row r="934" ht="15" customHeight="1" s="195">
      <c r="A934" s="381">
        <f>IF(AND('SETIEMBRE 2026'!D98&lt;&gt;"",'SETIEMBRE 2026'!Z98="POR RECOGER"),"SET","")</f>
        <v/>
      </c>
      <c r="B934" s="381">
        <f>IF(AND('SETIEMBRE 2026'!D98&lt;&gt;"",'SETIEMBRE 2026'!Z98="POR RECOGER"),IF('SETIEMBRE 2026'!Y98&lt;&gt;"",'SETIEMBRE 2026'!Y98,'SETIEMBRE 2026'!I98),"")</f>
        <v/>
      </c>
      <c r="C934" s="381">
        <f>IF(AND('SETIEMBRE 2026'!D98&lt;&gt;"",'SETIEMBRE 2026'!Z98="POR RECOGER"),'SETIEMBRE 2026'!D98,"")</f>
        <v/>
      </c>
      <c r="D934" s="381">
        <f>IF(AND('SETIEMBRE 2026'!D98&lt;&gt;"",'SETIEMBRE 2026'!Z98="POR RECOGER"),'SETIEMBRE 2026'!F98,"")</f>
        <v/>
      </c>
      <c r="E934" s="381">
        <f>IF(AND('SETIEMBRE 2026'!D98&lt;&gt;"",'SETIEMBRE 2026'!Z98="POR RECOGER"),TEXT('SETIEMBRE 2026'!G98,"DD/MM/YYYY"),"")</f>
        <v/>
      </c>
      <c r="F934" s="381">
        <f>IF(AND('SETIEMBRE 2026'!D98&lt;&gt;"",'SETIEMBRE 2026'!Z98="POR RECOGER"),'SETIEMBRE 2026'!K98,"")</f>
        <v/>
      </c>
      <c r="G934" s="382">
        <f>IF(AND('SETIEMBRE 2026'!D98&lt;&gt;"",'SETIEMBRE 2026'!Z98="POR RECOGER"),'SETIEMBRE 2026'!M98,"")</f>
        <v/>
      </c>
      <c r="H934" s="382">
        <f>IF(AND('SETIEMBRE 2026'!D98&lt;&gt;"",'SETIEMBRE 2026'!Z98="POR RECOGER"),'SETIEMBRE 2026'!N98,"")</f>
        <v/>
      </c>
      <c r="I934" s="381">
        <f>IF(AND('SETIEMBRE 2026'!D98&lt;&gt;"",'SETIEMBRE 2026'!Z98="POR RECOGER"),'SETIEMBRE 2026'!P98,"")</f>
        <v/>
      </c>
      <c r="J934" s="381">
        <f>IF(AND('SETIEMBRE 2026'!D98&lt;&gt;"",'SETIEMBRE 2026'!Z98="POR RECOGER"),'SETIEMBRE 2026'!Q98,"")</f>
        <v/>
      </c>
      <c r="K934" s="381">
        <f>IF(AND('SETIEMBRE 2026'!D98&lt;&gt;"",'SETIEMBRE 2026'!Z98="POR RECOGER"),'SETIEMBRE 2026'!Y98,"")</f>
        <v/>
      </c>
      <c r="L934" s="381">
        <f>IF(AND('SETIEMBRE 2026'!D98&lt;&gt;"",'SETIEMBRE 2026'!Z98="POR RECOGER"),'SETIEMBRE 2026'!I98,"")</f>
        <v/>
      </c>
      <c r="P934" s="194" t="n"/>
      <c r="Q934" s="194" t="n"/>
      <c r="R934" s="194" t="n"/>
      <c r="S934" s="194" t="n"/>
      <c r="T934" s="194" t="n"/>
      <c r="U934" s="194" t="n"/>
      <c r="V934" s="194" t="n"/>
      <c r="W934" s="194" t="n"/>
      <c r="X934" s="194" t="n"/>
      <c r="Y934" s="194" t="n"/>
      <c r="Z934" s="194" t="n"/>
    </row>
    <row r="935" ht="15" customHeight="1" s="195">
      <c r="A935" s="381">
        <f>IF(AND('SETIEMBRE 2026'!D99&lt;&gt;"",'SETIEMBRE 2026'!Z99="POR RECOGER"),"SET","")</f>
        <v/>
      </c>
      <c r="B935" s="381">
        <f>IF(AND('SETIEMBRE 2026'!D99&lt;&gt;"",'SETIEMBRE 2026'!Z99="POR RECOGER"),IF('SETIEMBRE 2026'!Y99&lt;&gt;"",'SETIEMBRE 2026'!Y99,'SETIEMBRE 2026'!I99),"")</f>
        <v/>
      </c>
      <c r="C935" s="381">
        <f>IF(AND('SETIEMBRE 2026'!D99&lt;&gt;"",'SETIEMBRE 2026'!Z99="POR RECOGER"),'SETIEMBRE 2026'!D99,"")</f>
        <v/>
      </c>
      <c r="D935" s="381">
        <f>IF(AND('SETIEMBRE 2026'!D99&lt;&gt;"",'SETIEMBRE 2026'!Z99="POR RECOGER"),'SETIEMBRE 2026'!F99,"")</f>
        <v/>
      </c>
      <c r="E935" s="381">
        <f>IF(AND('SETIEMBRE 2026'!D99&lt;&gt;"",'SETIEMBRE 2026'!Z99="POR RECOGER"),TEXT('SETIEMBRE 2026'!G99,"DD/MM/YYYY"),"")</f>
        <v/>
      </c>
      <c r="F935" s="381">
        <f>IF(AND('SETIEMBRE 2026'!D99&lt;&gt;"",'SETIEMBRE 2026'!Z99="POR RECOGER"),'SETIEMBRE 2026'!K99,"")</f>
        <v/>
      </c>
      <c r="G935" s="382">
        <f>IF(AND('SETIEMBRE 2026'!D99&lt;&gt;"",'SETIEMBRE 2026'!Z99="POR RECOGER"),'SETIEMBRE 2026'!M99,"")</f>
        <v/>
      </c>
      <c r="H935" s="382">
        <f>IF(AND('SETIEMBRE 2026'!D99&lt;&gt;"",'SETIEMBRE 2026'!Z99="POR RECOGER"),'SETIEMBRE 2026'!N99,"")</f>
        <v/>
      </c>
      <c r="I935" s="381">
        <f>IF(AND('SETIEMBRE 2026'!D99&lt;&gt;"",'SETIEMBRE 2026'!Z99="POR RECOGER"),'SETIEMBRE 2026'!P99,"")</f>
        <v/>
      </c>
      <c r="J935" s="381">
        <f>IF(AND('SETIEMBRE 2026'!D99&lt;&gt;"",'SETIEMBRE 2026'!Z99="POR RECOGER"),'SETIEMBRE 2026'!Q99,"")</f>
        <v/>
      </c>
      <c r="K935" s="381">
        <f>IF(AND('SETIEMBRE 2026'!D99&lt;&gt;"",'SETIEMBRE 2026'!Z99="POR RECOGER"),'SETIEMBRE 2026'!Y99,"")</f>
        <v/>
      </c>
      <c r="L935" s="381">
        <f>IF(AND('SETIEMBRE 2026'!D99&lt;&gt;"",'SETIEMBRE 2026'!Z99="POR RECOGER"),'SETIEMBRE 2026'!I99,"")</f>
        <v/>
      </c>
      <c r="P935" s="194" t="n"/>
      <c r="Q935" s="194" t="n"/>
      <c r="R935" s="194" t="n"/>
      <c r="S935" s="194" t="n"/>
      <c r="T935" s="194" t="n"/>
      <c r="U935" s="194" t="n"/>
      <c r="V935" s="194" t="n"/>
      <c r="W935" s="194" t="n"/>
      <c r="X935" s="194" t="n"/>
      <c r="Y935" s="194" t="n"/>
      <c r="Z935" s="194" t="n"/>
    </row>
    <row r="936" ht="15" customHeight="1" s="195">
      <c r="A936" s="381">
        <f>IF(AND('SETIEMBRE 2026'!D100&lt;&gt;"",'SETIEMBRE 2026'!Z100="POR RECOGER"),"SET","")</f>
        <v/>
      </c>
      <c r="B936" s="381">
        <f>IF(AND('SETIEMBRE 2026'!D100&lt;&gt;"",'SETIEMBRE 2026'!Z100="POR RECOGER"),IF('SETIEMBRE 2026'!Y100&lt;&gt;"",'SETIEMBRE 2026'!Y100,'SETIEMBRE 2026'!I100),"")</f>
        <v/>
      </c>
      <c r="C936" s="381">
        <f>IF(AND('SETIEMBRE 2026'!D100&lt;&gt;"",'SETIEMBRE 2026'!Z100="POR RECOGER"),'SETIEMBRE 2026'!D100,"")</f>
        <v/>
      </c>
      <c r="D936" s="381">
        <f>IF(AND('SETIEMBRE 2026'!D100&lt;&gt;"",'SETIEMBRE 2026'!Z100="POR RECOGER"),'SETIEMBRE 2026'!F100,"")</f>
        <v/>
      </c>
      <c r="E936" s="381">
        <f>IF(AND('SETIEMBRE 2026'!D100&lt;&gt;"",'SETIEMBRE 2026'!Z100="POR RECOGER"),TEXT('SETIEMBRE 2026'!G100,"DD/MM/YYYY"),"")</f>
        <v/>
      </c>
      <c r="F936" s="381">
        <f>IF(AND('SETIEMBRE 2026'!D100&lt;&gt;"",'SETIEMBRE 2026'!Z100="POR RECOGER"),'SETIEMBRE 2026'!K100,"")</f>
        <v/>
      </c>
      <c r="G936" s="382">
        <f>IF(AND('SETIEMBRE 2026'!D100&lt;&gt;"",'SETIEMBRE 2026'!Z100="POR RECOGER"),'SETIEMBRE 2026'!M100,"")</f>
        <v/>
      </c>
      <c r="H936" s="382">
        <f>IF(AND('SETIEMBRE 2026'!D100&lt;&gt;"",'SETIEMBRE 2026'!Z100="POR RECOGER"),'SETIEMBRE 2026'!N100,"")</f>
        <v/>
      </c>
      <c r="I936" s="381">
        <f>IF(AND('SETIEMBRE 2026'!D100&lt;&gt;"",'SETIEMBRE 2026'!Z100="POR RECOGER"),'SETIEMBRE 2026'!P100,"")</f>
        <v/>
      </c>
      <c r="J936" s="381">
        <f>IF(AND('SETIEMBRE 2026'!D100&lt;&gt;"",'SETIEMBRE 2026'!Z100="POR RECOGER"),'SETIEMBRE 2026'!Q100,"")</f>
        <v/>
      </c>
      <c r="K936" s="381">
        <f>IF(AND('SETIEMBRE 2026'!D100&lt;&gt;"",'SETIEMBRE 2026'!Z100="POR RECOGER"),'SETIEMBRE 2026'!Y100,"")</f>
        <v/>
      </c>
      <c r="L936" s="381">
        <f>IF(AND('SETIEMBRE 2026'!D100&lt;&gt;"",'SETIEMBRE 2026'!Z100="POR RECOGER"),'SETIEMBRE 2026'!I100,"")</f>
        <v/>
      </c>
      <c r="P936" s="194" t="n"/>
      <c r="Q936" s="194" t="n"/>
      <c r="R936" s="194" t="n"/>
      <c r="S936" s="194" t="n"/>
      <c r="T936" s="194" t="n"/>
      <c r="U936" s="194" t="n"/>
      <c r="V936" s="194" t="n"/>
      <c r="W936" s="194" t="n"/>
      <c r="X936" s="194" t="n"/>
      <c r="Y936" s="194" t="n"/>
      <c r="Z936" s="194" t="n"/>
    </row>
    <row r="937" ht="15" customHeight="1" s="195">
      <c r="A937" s="381">
        <f>IF(AND('SETIEMBRE 2026'!D101&lt;&gt;"",'SETIEMBRE 2026'!Z101="POR RECOGER"),"SET","")</f>
        <v/>
      </c>
      <c r="B937" s="381">
        <f>IF(AND('SETIEMBRE 2026'!D101&lt;&gt;"",'SETIEMBRE 2026'!Z101="POR RECOGER"),IF('SETIEMBRE 2026'!Y101&lt;&gt;"",'SETIEMBRE 2026'!Y101,'SETIEMBRE 2026'!I101),"")</f>
        <v/>
      </c>
      <c r="C937" s="381">
        <f>IF(AND('SETIEMBRE 2026'!D101&lt;&gt;"",'SETIEMBRE 2026'!Z101="POR RECOGER"),'SETIEMBRE 2026'!D101,"")</f>
        <v/>
      </c>
      <c r="D937" s="381">
        <f>IF(AND('SETIEMBRE 2026'!D101&lt;&gt;"",'SETIEMBRE 2026'!Z101="POR RECOGER"),'SETIEMBRE 2026'!F101,"")</f>
        <v/>
      </c>
      <c r="E937" s="381">
        <f>IF(AND('SETIEMBRE 2026'!D101&lt;&gt;"",'SETIEMBRE 2026'!Z101="POR RECOGER"),TEXT('SETIEMBRE 2026'!G101,"DD/MM/YYYY"),"")</f>
        <v/>
      </c>
      <c r="F937" s="381">
        <f>IF(AND('SETIEMBRE 2026'!D101&lt;&gt;"",'SETIEMBRE 2026'!Z101="POR RECOGER"),'SETIEMBRE 2026'!K101,"")</f>
        <v/>
      </c>
      <c r="G937" s="382">
        <f>IF(AND('SETIEMBRE 2026'!D101&lt;&gt;"",'SETIEMBRE 2026'!Z101="POR RECOGER"),'SETIEMBRE 2026'!M101,"")</f>
        <v/>
      </c>
      <c r="H937" s="382">
        <f>IF(AND('SETIEMBRE 2026'!D101&lt;&gt;"",'SETIEMBRE 2026'!Z101="POR RECOGER"),'SETIEMBRE 2026'!N101,"")</f>
        <v/>
      </c>
      <c r="I937" s="381">
        <f>IF(AND('SETIEMBRE 2026'!D101&lt;&gt;"",'SETIEMBRE 2026'!Z101="POR RECOGER"),'SETIEMBRE 2026'!P101,"")</f>
        <v/>
      </c>
      <c r="J937" s="381">
        <f>IF(AND('SETIEMBRE 2026'!D101&lt;&gt;"",'SETIEMBRE 2026'!Z101="POR RECOGER"),'SETIEMBRE 2026'!Q101,"")</f>
        <v/>
      </c>
      <c r="K937" s="381">
        <f>IF(AND('SETIEMBRE 2026'!D101&lt;&gt;"",'SETIEMBRE 2026'!Z101="POR RECOGER"),'SETIEMBRE 2026'!Y101,"")</f>
        <v/>
      </c>
      <c r="L937" s="381">
        <f>IF(AND('SETIEMBRE 2026'!D101&lt;&gt;"",'SETIEMBRE 2026'!Z101="POR RECOGER"),'SETIEMBRE 2026'!I101,"")</f>
        <v/>
      </c>
      <c r="P937" s="194" t="n"/>
      <c r="Q937" s="194" t="n"/>
      <c r="R937" s="194" t="n"/>
      <c r="S937" s="194" t="n"/>
      <c r="T937" s="194" t="n"/>
      <c r="U937" s="194" t="n"/>
      <c r="V937" s="194" t="n"/>
      <c r="W937" s="194" t="n"/>
      <c r="X937" s="194" t="n"/>
      <c r="Y937" s="194" t="n"/>
      <c r="Z937" s="194" t="n"/>
    </row>
    <row r="938" ht="15" customHeight="1" s="195">
      <c r="A938" s="381">
        <f>IF(AND('SETIEMBRE 2026'!D102&lt;&gt;"",'SETIEMBRE 2026'!Z102="POR RECOGER"),"SET","")</f>
        <v/>
      </c>
      <c r="B938" s="381">
        <f>IF(AND('SETIEMBRE 2026'!D102&lt;&gt;"",'SETIEMBRE 2026'!Z102="POR RECOGER"),IF('SETIEMBRE 2026'!Y102&lt;&gt;"",'SETIEMBRE 2026'!Y102,'SETIEMBRE 2026'!I102),"")</f>
        <v/>
      </c>
      <c r="C938" s="381">
        <f>IF(AND('SETIEMBRE 2026'!D102&lt;&gt;"",'SETIEMBRE 2026'!Z102="POR RECOGER"),'SETIEMBRE 2026'!D102,"")</f>
        <v/>
      </c>
      <c r="D938" s="381">
        <f>IF(AND('SETIEMBRE 2026'!D102&lt;&gt;"",'SETIEMBRE 2026'!Z102="POR RECOGER"),'SETIEMBRE 2026'!F102,"")</f>
        <v/>
      </c>
      <c r="E938" s="381">
        <f>IF(AND('SETIEMBRE 2026'!D102&lt;&gt;"",'SETIEMBRE 2026'!Z102="POR RECOGER"),TEXT('SETIEMBRE 2026'!G102,"DD/MM/YYYY"),"")</f>
        <v/>
      </c>
      <c r="F938" s="381">
        <f>IF(AND('SETIEMBRE 2026'!D102&lt;&gt;"",'SETIEMBRE 2026'!Z102="POR RECOGER"),'SETIEMBRE 2026'!K102,"")</f>
        <v/>
      </c>
      <c r="G938" s="382">
        <f>IF(AND('SETIEMBRE 2026'!D102&lt;&gt;"",'SETIEMBRE 2026'!Z102="POR RECOGER"),'SETIEMBRE 2026'!M102,"")</f>
        <v/>
      </c>
      <c r="H938" s="382">
        <f>IF(AND('SETIEMBRE 2026'!D102&lt;&gt;"",'SETIEMBRE 2026'!Z102="POR RECOGER"),'SETIEMBRE 2026'!N102,"")</f>
        <v/>
      </c>
      <c r="I938" s="381">
        <f>IF(AND('SETIEMBRE 2026'!D102&lt;&gt;"",'SETIEMBRE 2026'!Z102="POR RECOGER"),'SETIEMBRE 2026'!P102,"")</f>
        <v/>
      </c>
      <c r="J938" s="381">
        <f>IF(AND('SETIEMBRE 2026'!D102&lt;&gt;"",'SETIEMBRE 2026'!Z102="POR RECOGER"),'SETIEMBRE 2026'!Q102,"")</f>
        <v/>
      </c>
      <c r="K938" s="381">
        <f>IF(AND('SETIEMBRE 2026'!D102&lt;&gt;"",'SETIEMBRE 2026'!Z102="POR RECOGER"),'SETIEMBRE 2026'!Y102,"")</f>
        <v/>
      </c>
      <c r="L938" s="381">
        <f>IF(AND('SETIEMBRE 2026'!D102&lt;&gt;"",'SETIEMBRE 2026'!Z102="POR RECOGER"),'SETIEMBRE 2026'!I102,"")</f>
        <v/>
      </c>
      <c r="P938" s="194" t="n"/>
      <c r="Q938" s="194" t="n"/>
      <c r="R938" s="194" t="n"/>
      <c r="S938" s="194" t="n"/>
      <c r="T938" s="194" t="n"/>
      <c r="U938" s="194" t="n"/>
      <c r="V938" s="194" t="n"/>
      <c r="W938" s="194" t="n"/>
      <c r="X938" s="194" t="n"/>
      <c r="Y938" s="194" t="n"/>
      <c r="Z938" s="194" t="n"/>
    </row>
    <row r="939" ht="15" customHeight="1" s="195">
      <c r="A939" s="381">
        <f>IF(AND('SETIEMBRE 2026'!D103&lt;&gt;"",'SETIEMBRE 2026'!Z103="POR RECOGER"),"SET","")</f>
        <v/>
      </c>
      <c r="B939" s="381">
        <f>IF(AND('SETIEMBRE 2026'!D103&lt;&gt;"",'SETIEMBRE 2026'!Z103="POR RECOGER"),IF('SETIEMBRE 2026'!Y103&lt;&gt;"",'SETIEMBRE 2026'!Y103,'SETIEMBRE 2026'!I103),"")</f>
        <v/>
      </c>
      <c r="C939" s="381">
        <f>IF(AND('SETIEMBRE 2026'!D103&lt;&gt;"",'SETIEMBRE 2026'!Z103="POR RECOGER"),'SETIEMBRE 2026'!D103,"")</f>
        <v/>
      </c>
      <c r="D939" s="381">
        <f>IF(AND('SETIEMBRE 2026'!D103&lt;&gt;"",'SETIEMBRE 2026'!Z103="POR RECOGER"),'SETIEMBRE 2026'!F103,"")</f>
        <v/>
      </c>
      <c r="E939" s="381">
        <f>IF(AND('SETIEMBRE 2026'!D103&lt;&gt;"",'SETIEMBRE 2026'!Z103="POR RECOGER"),TEXT('SETIEMBRE 2026'!G103,"DD/MM/YYYY"),"")</f>
        <v/>
      </c>
      <c r="F939" s="381">
        <f>IF(AND('SETIEMBRE 2026'!D103&lt;&gt;"",'SETIEMBRE 2026'!Z103="POR RECOGER"),'SETIEMBRE 2026'!K103,"")</f>
        <v/>
      </c>
      <c r="G939" s="382">
        <f>IF(AND('SETIEMBRE 2026'!D103&lt;&gt;"",'SETIEMBRE 2026'!Z103="POR RECOGER"),'SETIEMBRE 2026'!M103,"")</f>
        <v/>
      </c>
      <c r="H939" s="382">
        <f>IF(AND('SETIEMBRE 2026'!D103&lt;&gt;"",'SETIEMBRE 2026'!Z103="POR RECOGER"),'SETIEMBRE 2026'!N103,"")</f>
        <v/>
      </c>
      <c r="I939" s="381">
        <f>IF(AND('SETIEMBRE 2026'!D103&lt;&gt;"",'SETIEMBRE 2026'!Z103="POR RECOGER"),'SETIEMBRE 2026'!P103,"")</f>
        <v/>
      </c>
      <c r="J939" s="381">
        <f>IF(AND('SETIEMBRE 2026'!D103&lt;&gt;"",'SETIEMBRE 2026'!Z103="POR RECOGER"),'SETIEMBRE 2026'!Q103,"")</f>
        <v/>
      </c>
      <c r="K939" s="381">
        <f>IF(AND('SETIEMBRE 2026'!D103&lt;&gt;"",'SETIEMBRE 2026'!Z103="POR RECOGER"),'SETIEMBRE 2026'!Y103,"")</f>
        <v/>
      </c>
      <c r="L939" s="381">
        <f>IF(AND('SETIEMBRE 2026'!D103&lt;&gt;"",'SETIEMBRE 2026'!Z103="POR RECOGER"),'SETIEMBRE 2026'!I103,"")</f>
        <v/>
      </c>
      <c r="P939" s="194" t="n"/>
      <c r="Q939" s="194" t="n"/>
      <c r="R939" s="194" t="n"/>
      <c r="S939" s="194" t="n"/>
      <c r="T939" s="194" t="n"/>
      <c r="U939" s="194" t="n"/>
      <c r="V939" s="194" t="n"/>
      <c r="W939" s="194" t="n"/>
      <c r="X939" s="194" t="n"/>
      <c r="Y939" s="194" t="n"/>
      <c r="Z939" s="194" t="n"/>
    </row>
    <row r="940" ht="15" customHeight="1" s="195">
      <c r="A940" s="381">
        <f>IF(AND('SETIEMBRE 2026'!D104&lt;&gt;"",'SETIEMBRE 2026'!Z104="POR RECOGER"),"SET","")</f>
        <v/>
      </c>
      <c r="B940" s="381">
        <f>IF(AND('SETIEMBRE 2026'!D104&lt;&gt;"",'SETIEMBRE 2026'!Z104="POR RECOGER"),IF('SETIEMBRE 2026'!Y104&lt;&gt;"",'SETIEMBRE 2026'!Y104,'SETIEMBRE 2026'!I104),"")</f>
        <v/>
      </c>
      <c r="C940" s="381">
        <f>IF(AND('SETIEMBRE 2026'!D104&lt;&gt;"",'SETIEMBRE 2026'!Z104="POR RECOGER"),'SETIEMBRE 2026'!D104,"")</f>
        <v/>
      </c>
      <c r="D940" s="381">
        <f>IF(AND('SETIEMBRE 2026'!D104&lt;&gt;"",'SETIEMBRE 2026'!Z104="POR RECOGER"),'SETIEMBRE 2026'!F104,"")</f>
        <v/>
      </c>
      <c r="E940" s="381">
        <f>IF(AND('SETIEMBRE 2026'!D104&lt;&gt;"",'SETIEMBRE 2026'!Z104="POR RECOGER"),TEXT('SETIEMBRE 2026'!G104,"DD/MM/YYYY"),"")</f>
        <v/>
      </c>
      <c r="F940" s="381">
        <f>IF(AND('SETIEMBRE 2026'!D104&lt;&gt;"",'SETIEMBRE 2026'!Z104="POR RECOGER"),'SETIEMBRE 2026'!K104,"")</f>
        <v/>
      </c>
      <c r="G940" s="382">
        <f>IF(AND('SETIEMBRE 2026'!D104&lt;&gt;"",'SETIEMBRE 2026'!Z104="POR RECOGER"),'SETIEMBRE 2026'!M104,"")</f>
        <v/>
      </c>
      <c r="H940" s="382">
        <f>IF(AND('SETIEMBRE 2026'!D104&lt;&gt;"",'SETIEMBRE 2026'!Z104="POR RECOGER"),'SETIEMBRE 2026'!N104,"")</f>
        <v/>
      </c>
      <c r="I940" s="381">
        <f>IF(AND('SETIEMBRE 2026'!D104&lt;&gt;"",'SETIEMBRE 2026'!Z104="POR RECOGER"),'SETIEMBRE 2026'!P104,"")</f>
        <v/>
      </c>
      <c r="J940" s="381">
        <f>IF(AND('SETIEMBRE 2026'!D104&lt;&gt;"",'SETIEMBRE 2026'!Z104="POR RECOGER"),'SETIEMBRE 2026'!Q104,"")</f>
        <v/>
      </c>
      <c r="K940" s="381">
        <f>IF(AND('SETIEMBRE 2026'!D104&lt;&gt;"",'SETIEMBRE 2026'!Z104="POR RECOGER"),'SETIEMBRE 2026'!Y104,"")</f>
        <v/>
      </c>
      <c r="L940" s="381">
        <f>IF(AND('SETIEMBRE 2026'!D104&lt;&gt;"",'SETIEMBRE 2026'!Z104="POR RECOGER"),'SETIEMBRE 2026'!I104,"")</f>
        <v/>
      </c>
      <c r="P940" s="194" t="n"/>
      <c r="Q940" s="194" t="n"/>
      <c r="R940" s="194" t="n"/>
      <c r="S940" s="194" t="n"/>
      <c r="T940" s="194" t="n"/>
      <c r="U940" s="194" t="n"/>
      <c r="V940" s="194" t="n"/>
      <c r="W940" s="194" t="n"/>
      <c r="X940" s="194" t="n"/>
      <c r="Y940" s="194" t="n"/>
      <c r="Z940" s="194" t="n"/>
    </row>
    <row r="941" ht="15" customHeight="1" s="195">
      <c r="A941" s="381">
        <f>IF(AND('SETIEMBRE 2026'!D105&lt;&gt;"",'SETIEMBRE 2026'!Z105="POR RECOGER"),"SET","")</f>
        <v/>
      </c>
      <c r="B941" s="381">
        <f>IF(AND('SETIEMBRE 2026'!D105&lt;&gt;"",'SETIEMBRE 2026'!Z105="POR RECOGER"),IF('SETIEMBRE 2026'!Y105&lt;&gt;"",'SETIEMBRE 2026'!Y105,'SETIEMBRE 2026'!I105),"")</f>
        <v/>
      </c>
      <c r="C941" s="381">
        <f>IF(AND('SETIEMBRE 2026'!D105&lt;&gt;"",'SETIEMBRE 2026'!Z105="POR RECOGER"),'SETIEMBRE 2026'!D105,"")</f>
        <v/>
      </c>
      <c r="D941" s="381">
        <f>IF(AND('SETIEMBRE 2026'!D105&lt;&gt;"",'SETIEMBRE 2026'!Z105="POR RECOGER"),'SETIEMBRE 2026'!F105,"")</f>
        <v/>
      </c>
      <c r="E941" s="381">
        <f>IF(AND('SETIEMBRE 2026'!D105&lt;&gt;"",'SETIEMBRE 2026'!Z105="POR RECOGER"),TEXT('SETIEMBRE 2026'!G105,"DD/MM/YYYY"),"")</f>
        <v/>
      </c>
      <c r="F941" s="381">
        <f>IF(AND('SETIEMBRE 2026'!D105&lt;&gt;"",'SETIEMBRE 2026'!Z105="POR RECOGER"),'SETIEMBRE 2026'!K105,"")</f>
        <v/>
      </c>
      <c r="G941" s="382">
        <f>IF(AND('SETIEMBRE 2026'!D105&lt;&gt;"",'SETIEMBRE 2026'!Z105="POR RECOGER"),'SETIEMBRE 2026'!M105,"")</f>
        <v/>
      </c>
      <c r="H941" s="382">
        <f>IF(AND('SETIEMBRE 2026'!D105&lt;&gt;"",'SETIEMBRE 2026'!Z105="POR RECOGER"),'SETIEMBRE 2026'!N105,"")</f>
        <v/>
      </c>
      <c r="I941" s="381">
        <f>IF(AND('SETIEMBRE 2026'!D105&lt;&gt;"",'SETIEMBRE 2026'!Z105="POR RECOGER"),'SETIEMBRE 2026'!P105,"")</f>
        <v/>
      </c>
      <c r="J941" s="381">
        <f>IF(AND('SETIEMBRE 2026'!D105&lt;&gt;"",'SETIEMBRE 2026'!Z105="POR RECOGER"),'SETIEMBRE 2026'!Q105,"")</f>
        <v/>
      </c>
      <c r="K941" s="381">
        <f>IF(AND('SETIEMBRE 2026'!D105&lt;&gt;"",'SETIEMBRE 2026'!Z105="POR RECOGER"),'SETIEMBRE 2026'!Y105,"")</f>
        <v/>
      </c>
      <c r="L941" s="381">
        <f>IF(AND('SETIEMBRE 2026'!D105&lt;&gt;"",'SETIEMBRE 2026'!Z105="POR RECOGER"),'SETIEMBRE 2026'!I105,"")</f>
        <v/>
      </c>
      <c r="P941" s="194" t="n"/>
      <c r="Q941" s="194" t="n"/>
      <c r="R941" s="194" t="n"/>
      <c r="S941" s="194" t="n"/>
      <c r="T941" s="194" t="n"/>
      <c r="U941" s="194" t="n"/>
      <c r="V941" s="194" t="n"/>
      <c r="W941" s="194" t="n"/>
      <c r="X941" s="194" t="n"/>
      <c r="Y941" s="194" t="n"/>
      <c r="Z941" s="194" t="n"/>
    </row>
    <row r="942" ht="15" customHeight="1" s="195">
      <c r="A942" s="381">
        <f>IF(AND('SETIEMBRE 2026'!D106&lt;&gt;"",'SETIEMBRE 2026'!Z106="POR RECOGER"),"SET","")</f>
        <v/>
      </c>
      <c r="B942" s="381">
        <f>IF(AND('SETIEMBRE 2026'!D106&lt;&gt;"",'SETIEMBRE 2026'!Z106="POR RECOGER"),IF('SETIEMBRE 2026'!Y106&lt;&gt;"",'SETIEMBRE 2026'!Y106,'SETIEMBRE 2026'!I106),"")</f>
        <v/>
      </c>
      <c r="C942" s="381">
        <f>IF(AND('SETIEMBRE 2026'!D106&lt;&gt;"",'SETIEMBRE 2026'!Z106="POR RECOGER"),'SETIEMBRE 2026'!D106,"")</f>
        <v/>
      </c>
      <c r="D942" s="381">
        <f>IF(AND('SETIEMBRE 2026'!D106&lt;&gt;"",'SETIEMBRE 2026'!Z106="POR RECOGER"),'SETIEMBRE 2026'!F106,"")</f>
        <v/>
      </c>
      <c r="E942" s="381">
        <f>IF(AND('SETIEMBRE 2026'!D106&lt;&gt;"",'SETIEMBRE 2026'!Z106="POR RECOGER"),TEXT('SETIEMBRE 2026'!G106,"DD/MM/YYYY"),"")</f>
        <v/>
      </c>
      <c r="F942" s="381">
        <f>IF(AND('SETIEMBRE 2026'!D106&lt;&gt;"",'SETIEMBRE 2026'!Z106="POR RECOGER"),'SETIEMBRE 2026'!K106,"")</f>
        <v/>
      </c>
      <c r="G942" s="382">
        <f>IF(AND('SETIEMBRE 2026'!D106&lt;&gt;"",'SETIEMBRE 2026'!Z106="POR RECOGER"),'SETIEMBRE 2026'!M106,"")</f>
        <v/>
      </c>
      <c r="H942" s="382">
        <f>IF(AND('SETIEMBRE 2026'!D106&lt;&gt;"",'SETIEMBRE 2026'!Z106="POR RECOGER"),'SETIEMBRE 2026'!N106,"")</f>
        <v/>
      </c>
      <c r="I942" s="381">
        <f>IF(AND('SETIEMBRE 2026'!D106&lt;&gt;"",'SETIEMBRE 2026'!Z106="POR RECOGER"),'SETIEMBRE 2026'!P106,"")</f>
        <v/>
      </c>
      <c r="J942" s="381">
        <f>IF(AND('SETIEMBRE 2026'!D106&lt;&gt;"",'SETIEMBRE 2026'!Z106="POR RECOGER"),'SETIEMBRE 2026'!Q106,"")</f>
        <v/>
      </c>
      <c r="K942" s="381">
        <f>IF(AND('SETIEMBRE 2026'!D106&lt;&gt;"",'SETIEMBRE 2026'!Z106="POR RECOGER"),'SETIEMBRE 2026'!Y106,"")</f>
        <v/>
      </c>
      <c r="L942" s="381">
        <f>IF(AND('SETIEMBRE 2026'!D106&lt;&gt;"",'SETIEMBRE 2026'!Z106="POR RECOGER"),'SETIEMBRE 2026'!I106,"")</f>
        <v/>
      </c>
      <c r="P942" s="194" t="n"/>
      <c r="Q942" s="194" t="n"/>
      <c r="R942" s="194" t="n"/>
      <c r="S942" s="194" t="n"/>
      <c r="T942" s="194" t="n"/>
      <c r="U942" s="194" t="n"/>
      <c r="V942" s="194" t="n"/>
      <c r="W942" s="194" t="n"/>
      <c r="X942" s="194" t="n"/>
      <c r="Y942" s="194" t="n"/>
      <c r="Z942" s="194" t="n"/>
    </row>
    <row r="943" ht="15" customHeight="1" s="195">
      <c r="A943" s="381">
        <f>IF(AND('SETIEMBRE 2026'!D107&lt;&gt;"",'SETIEMBRE 2026'!Z107="POR RECOGER"),"SET","")</f>
        <v/>
      </c>
      <c r="B943" s="381">
        <f>IF(AND('SETIEMBRE 2026'!D107&lt;&gt;"",'SETIEMBRE 2026'!Z107="POR RECOGER"),IF('SETIEMBRE 2026'!Y107&lt;&gt;"",'SETIEMBRE 2026'!Y107,'SETIEMBRE 2026'!I107),"")</f>
        <v/>
      </c>
      <c r="C943" s="381">
        <f>IF(AND('SETIEMBRE 2026'!D107&lt;&gt;"",'SETIEMBRE 2026'!Z107="POR RECOGER"),'SETIEMBRE 2026'!D107,"")</f>
        <v/>
      </c>
      <c r="D943" s="381">
        <f>IF(AND('SETIEMBRE 2026'!D107&lt;&gt;"",'SETIEMBRE 2026'!Z107="POR RECOGER"),'SETIEMBRE 2026'!F107,"")</f>
        <v/>
      </c>
      <c r="E943" s="381">
        <f>IF(AND('SETIEMBRE 2026'!D107&lt;&gt;"",'SETIEMBRE 2026'!Z107="POR RECOGER"),TEXT('SETIEMBRE 2026'!G107,"DD/MM/YYYY"),"")</f>
        <v/>
      </c>
      <c r="F943" s="381">
        <f>IF(AND('SETIEMBRE 2026'!D107&lt;&gt;"",'SETIEMBRE 2026'!Z107="POR RECOGER"),'SETIEMBRE 2026'!K107,"")</f>
        <v/>
      </c>
      <c r="G943" s="382">
        <f>IF(AND('SETIEMBRE 2026'!D107&lt;&gt;"",'SETIEMBRE 2026'!Z107="POR RECOGER"),'SETIEMBRE 2026'!M107,"")</f>
        <v/>
      </c>
      <c r="H943" s="382">
        <f>IF(AND('SETIEMBRE 2026'!D107&lt;&gt;"",'SETIEMBRE 2026'!Z107="POR RECOGER"),'SETIEMBRE 2026'!N107,"")</f>
        <v/>
      </c>
      <c r="I943" s="381">
        <f>IF(AND('SETIEMBRE 2026'!D107&lt;&gt;"",'SETIEMBRE 2026'!Z107="POR RECOGER"),'SETIEMBRE 2026'!P107,"")</f>
        <v/>
      </c>
      <c r="J943" s="381">
        <f>IF(AND('SETIEMBRE 2026'!D107&lt;&gt;"",'SETIEMBRE 2026'!Z107="POR RECOGER"),'SETIEMBRE 2026'!Q107,"")</f>
        <v/>
      </c>
      <c r="K943" s="381">
        <f>IF(AND('SETIEMBRE 2026'!D107&lt;&gt;"",'SETIEMBRE 2026'!Z107="POR RECOGER"),'SETIEMBRE 2026'!Y107,"")</f>
        <v/>
      </c>
      <c r="L943" s="381">
        <f>IF(AND('SETIEMBRE 2026'!D107&lt;&gt;"",'SETIEMBRE 2026'!Z107="POR RECOGER"),'SETIEMBRE 2026'!I107,"")</f>
        <v/>
      </c>
      <c r="P943" s="194" t="n"/>
      <c r="Q943" s="194" t="n"/>
      <c r="R943" s="194" t="n"/>
      <c r="S943" s="194" t="n"/>
      <c r="T943" s="194" t="n"/>
      <c r="U943" s="194" t="n"/>
      <c r="V943" s="194" t="n"/>
      <c r="W943" s="194" t="n"/>
      <c r="X943" s="194" t="n"/>
      <c r="Y943" s="194" t="n"/>
      <c r="Z943" s="194" t="n"/>
    </row>
    <row r="944" ht="15" customHeight="1" s="195">
      <c r="A944" s="381">
        <f>IF(AND('SETIEMBRE 2026'!D108&lt;&gt;"",'SETIEMBRE 2026'!Z108="POR RECOGER"),"SET","")</f>
        <v/>
      </c>
      <c r="B944" s="381">
        <f>IF(AND('SETIEMBRE 2026'!D108&lt;&gt;"",'SETIEMBRE 2026'!Z108="POR RECOGER"),IF('SETIEMBRE 2026'!Y108&lt;&gt;"",'SETIEMBRE 2026'!Y108,'SETIEMBRE 2026'!I108),"")</f>
        <v/>
      </c>
      <c r="C944" s="381">
        <f>IF(AND('SETIEMBRE 2026'!D108&lt;&gt;"",'SETIEMBRE 2026'!Z108="POR RECOGER"),'SETIEMBRE 2026'!D108,"")</f>
        <v/>
      </c>
      <c r="D944" s="381">
        <f>IF(AND('SETIEMBRE 2026'!D108&lt;&gt;"",'SETIEMBRE 2026'!Z108="POR RECOGER"),'SETIEMBRE 2026'!F108,"")</f>
        <v/>
      </c>
      <c r="E944" s="381">
        <f>IF(AND('SETIEMBRE 2026'!D108&lt;&gt;"",'SETIEMBRE 2026'!Z108="POR RECOGER"),TEXT('SETIEMBRE 2026'!G108,"DD/MM/YYYY"),"")</f>
        <v/>
      </c>
      <c r="F944" s="381">
        <f>IF(AND('SETIEMBRE 2026'!D108&lt;&gt;"",'SETIEMBRE 2026'!Z108="POR RECOGER"),'SETIEMBRE 2026'!K108,"")</f>
        <v/>
      </c>
      <c r="G944" s="382">
        <f>IF(AND('SETIEMBRE 2026'!D108&lt;&gt;"",'SETIEMBRE 2026'!Z108="POR RECOGER"),'SETIEMBRE 2026'!M108,"")</f>
        <v/>
      </c>
      <c r="H944" s="382">
        <f>IF(AND('SETIEMBRE 2026'!D108&lt;&gt;"",'SETIEMBRE 2026'!Z108="POR RECOGER"),'SETIEMBRE 2026'!N108,"")</f>
        <v/>
      </c>
      <c r="I944" s="381">
        <f>IF(AND('SETIEMBRE 2026'!D108&lt;&gt;"",'SETIEMBRE 2026'!Z108="POR RECOGER"),'SETIEMBRE 2026'!P108,"")</f>
        <v/>
      </c>
      <c r="J944" s="381">
        <f>IF(AND('SETIEMBRE 2026'!D108&lt;&gt;"",'SETIEMBRE 2026'!Z108="POR RECOGER"),'SETIEMBRE 2026'!Q108,"")</f>
        <v/>
      </c>
      <c r="K944" s="381">
        <f>IF(AND('SETIEMBRE 2026'!D108&lt;&gt;"",'SETIEMBRE 2026'!Z108="POR RECOGER"),'SETIEMBRE 2026'!Y108,"")</f>
        <v/>
      </c>
      <c r="L944" s="381">
        <f>IF(AND('SETIEMBRE 2026'!D108&lt;&gt;"",'SETIEMBRE 2026'!Z108="POR RECOGER"),'SETIEMBRE 2026'!I108,"")</f>
        <v/>
      </c>
      <c r="P944" s="194" t="n"/>
      <c r="Q944" s="194" t="n"/>
      <c r="R944" s="194" t="n"/>
      <c r="S944" s="194" t="n"/>
      <c r="T944" s="194" t="n"/>
      <c r="U944" s="194" t="n"/>
      <c r="V944" s="194" t="n"/>
      <c r="W944" s="194" t="n"/>
      <c r="X944" s="194" t="n"/>
      <c r="Y944" s="194" t="n"/>
      <c r="Z944" s="194" t="n"/>
    </row>
    <row r="945" ht="15" customHeight="1" s="195">
      <c r="A945" s="381">
        <f>IF(AND('SETIEMBRE 2026'!D109&lt;&gt;"",'SETIEMBRE 2026'!Z109="POR RECOGER"),"SET","")</f>
        <v/>
      </c>
      <c r="B945" s="381">
        <f>IF(AND('SETIEMBRE 2026'!D109&lt;&gt;"",'SETIEMBRE 2026'!Z109="POR RECOGER"),IF('SETIEMBRE 2026'!Y109&lt;&gt;"",'SETIEMBRE 2026'!Y109,'SETIEMBRE 2026'!I109),"")</f>
        <v/>
      </c>
      <c r="C945" s="381">
        <f>IF(AND('SETIEMBRE 2026'!D109&lt;&gt;"",'SETIEMBRE 2026'!Z109="POR RECOGER"),'SETIEMBRE 2026'!D109,"")</f>
        <v/>
      </c>
      <c r="D945" s="381">
        <f>IF(AND('SETIEMBRE 2026'!D109&lt;&gt;"",'SETIEMBRE 2026'!Z109="POR RECOGER"),'SETIEMBRE 2026'!F109,"")</f>
        <v/>
      </c>
      <c r="E945" s="381">
        <f>IF(AND('SETIEMBRE 2026'!D109&lt;&gt;"",'SETIEMBRE 2026'!Z109="POR RECOGER"),TEXT('SETIEMBRE 2026'!G109,"DD/MM/YYYY"),"")</f>
        <v/>
      </c>
      <c r="F945" s="381">
        <f>IF(AND('SETIEMBRE 2026'!D109&lt;&gt;"",'SETIEMBRE 2026'!Z109="POR RECOGER"),'SETIEMBRE 2026'!K109,"")</f>
        <v/>
      </c>
      <c r="G945" s="382">
        <f>IF(AND('SETIEMBRE 2026'!D109&lt;&gt;"",'SETIEMBRE 2026'!Z109="POR RECOGER"),'SETIEMBRE 2026'!M109,"")</f>
        <v/>
      </c>
      <c r="H945" s="382">
        <f>IF(AND('SETIEMBRE 2026'!D109&lt;&gt;"",'SETIEMBRE 2026'!Z109="POR RECOGER"),'SETIEMBRE 2026'!N109,"")</f>
        <v/>
      </c>
      <c r="I945" s="381">
        <f>IF(AND('SETIEMBRE 2026'!D109&lt;&gt;"",'SETIEMBRE 2026'!Z109="POR RECOGER"),'SETIEMBRE 2026'!P109,"")</f>
        <v/>
      </c>
      <c r="J945" s="381">
        <f>IF(AND('SETIEMBRE 2026'!D109&lt;&gt;"",'SETIEMBRE 2026'!Z109="POR RECOGER"),'SETIEMBRE 2026'!Q109,"")</f>
        <v/>
      </c>
      <c r="K945" s="381">
        <f>IF(AND('SETIEMBRE 2026'!D109&lt;&gt;"",'SETIEMBRE 2026'!Z109="POR RECOGER"),'SETIEMBRE 2026'!Y109,"")</f>
        <v/>
      </c>
      <c r="L945" s="381">
        <f>IF(AND('SETIEMBRE 2026'!D109&lt;&gt;"",'SETIEMBRE 2026'!Z109="POR RECOGER"),'SETIEMBRE 2026'!I109,"")</f>
        <v/>
      </c>
      <c r="P945" s="194" t="n"/>
      <c r="Q945" s="194" t="n"/>
      <c r="R945" s="194" t="n"/>
      <c r="S945" s="194" t="n"/>
      <c r="T945" s="194" t="n"/>
      <c r="U945" s="194" t="n"/>
      <c r="V945" s="194" t="n"/>
      <c r="W945" s="194" t="n"/>
      <c r="X945" s="194" t="n"/>
      <c r="Y945" s="194" t="n"/>
      <c r="Z945" s="194" t="n"/>
    </row>
    <row r="946" ht="15" customHeight="1" s="195">
      <c r="A946" s="381">
        <f>IF(AND('SETIEMBRE 2026'!D110&lt;&gt;"",'SETIEMBRE 2026'!Z110="POR RECOGER"),"SET","")</f>
        <v/>
      </c>
      <c r="B946" s="381">
        <f>IF(AND('SETIEMBRE 2026'!D110&lt;&gt;"",'SETIEMBRE 2026'!Z110="POR RECOGER"),IF('SETIEMBRE 2026'!Y110&lt;&gt;"",'SETIEMBRE 2026'!Y110,'SETIEMBRE 2026'!I110),"")</f>
        <v/>
      </c>
      <c r="C946" s="381">
        <f>IF(AND('SETIEMBRE 2026'!D110&lt;&gt;"",'SETIEMBRE 2026'!Z110="POR RECOGER"),'SETIEMBRE 2026'!D110,"")</f>
        <v/>
      </c>
      <c r="D946" s="381">
        <f>IF(AND('SETIEMBRE 2026'!D110&lt;&gt;"",'SETIEMBRE 2026'!Z110="POR RECOGER"),'SETIEMBRE 2026'!F110,"")</f>
        <v/>
      </c>
      <c r="E946" s="381">
        <f>IF(AND('SETIEMBRE 2026'!D110&lt;&gt;"",'SETIEMBRE 2026'!Z110="POR RECOGER"),TEXT('SETIEMBRE 2026'!G110,"DD/MM/YYYY"),"")</f>
        <v/>
      </c>
      <c r="F946" s="381">
        <f>IF(AND('SETIEMBRE 2026'!D110&lt;&gt;"",'SETIEMBRE 2026'!Z110="POR RECOGER"),'SETIEMBRE 2026'!K110,"")</f>
        <v/>
      </c>
      <c r="G946" s="382">
        <f>IF(AND('SETIEMBRE 2026'!D110&lt;&gt;"",'SETIEMBRE 2026'!Z110="POR RECOGER"),'SETIEMBRE 2026'!M110,"")</f>
        <v/>
      </c>
      <c r="H946" s="382">
        <f>IF(AND('SETIEMBRE 2026'!D110&lt;&gt;"",'SETIEMBRE 2026'!Z110="POR RECOGER"),'SETIEMBRE 2026'!N110,"")</f>
        <v/>
      </c>
      <c r="I946" s="381">
        <f>IF(AND('SETIEMBRE 2026'!D110&lt;&gt;"",'SETIEMBRE 2026'!Z110="POR RECOGER"),'SETIEMBRE 2026'!P110,"")</f>
        <v/>
      </c>
      <c r="J946" s="381">
        <f>IF(AND('SETIEMBRE 2026'!D110&lt;&gt;"",'SETIEMBRE 2026'!Z110="POR RECOGER"),'SETIEMBRE 2026'!Q110,"")</f>
        <v/>
      </c>
      <c r="K946" s="381">
        <f>IF(AND('SETIEMBRE 2026'!D110&lt;&gt;"",'SETIEMBRE 2026'!Z110="POR RECOGER"),'SETIEMBRE 2026'!Y110,"")</f>
        <v/>
      </c>
      <c r="L946" s="381">
        <f>IF(AND('SETIEMBRE 2026'!D110&lt;&gt;"",'SETIEMBRE 2026'!Z110="POR RECOGER"),'SETIEMBRE 2026'!I110,"")</f>
        <v/>
      </c>
      <c r="P946" s="194" t="n"/>
      <c r="Q946" s="194" t="n"/>
      <c r="R946" s="194" t="n"/>
      <c r="S946" s="194" t="n"/>
      <c r="T946" s="194" t="n"/>
      <c r="U946" s="194" t="n"/>
      <c r="V946" s="194" t="n"/>
      <c r="W946" s="194" t="n"/>
      <c r="X946" s="194" t="n"/>
      <c r="Y946" s="194" t="n"/>
      <c r="Z946" s="194" t="n"/>
    </row>
    <row r="947" ht="15" customHeight="1" s="195">
      <c r="A947" s="381">
        <f>IF(AND('OCTUBRE 2026'!D6&lt;&gt;"",'OCTUBRE 2026'!Z6="POR RECOGER"),"OCT","")</f>
        <v/>
      </c>
      <c r="B947" s="381">
        <f>IF(AND('OCTUBRE 2026'!D6&lt;&gt;"",'OCTUBRE 2026'!Z6="POR RECOGER"),IF('OCTUBRE 2026'!Y6&lt;&gt;"",'OCTUBRE 2026'!Y6,'OCTUBRE 2026'!I6),"")</f>
        <v/>
      </c>
      <c r="C947" s="381">
        <f>IF(AND('OCTUBRE 2026'!D6&lt;&gt;"",'OCTUBRE 2026'!Z6="POR RECOGER"),'OCTUBRE 2026'!D6,"")</f>
        <v/>
      </c>
      <c r="D947" s="381">
        <f>IF(AND('OCTUBRE 2026'!D6&lt;&gt;"",'OCTUBRE 2026'!Z6="POR RECOGER"),'OCTUBRE 2026'!F6,"")</f>
        <v/>
      </c>
      <c r="E947" s="381">
        <f>IF(AND('OCTUBRE 2026'!D6&lt;&gt;"",'OCTUBRE 2026'!Z6="POR RECOGER"),TEXT('OCTUBRE 2026'!G6,"DD/MM/YYYY"),"")</f>
        <v/>
      </c>
      <c r="F947" s="381">
        <f>IF(AND('OCTUBRE 2026'!D6&lt;&gt;"",'OCTUBRE 2026'!Z6="POR RECOGER"),'OCTUBRE 2026'!K6,"")</f>
        <v/>
      </c>
      <c r="G947" s="382">
        <f>IF(AND('OCTUBRE 2026'!D6&lt;&gt;"",'OCTUBRE 2026'!Z6="POR RECOGER"),'OCTUBRE 2026'!M6,"")</f>
        <v/>
      </c>
      <c r="H947" s="382">
        <f>IF(AND('OCTUBRE 2026'!D6&lt;&gt;"",'OCTUBRE 2026'!Z6="POR RECOGER"),'OCTUBRE 2026'!N6,"")</f>
        <v/>
      </c>
      <c r="I947" s="381">
        <f>IF(AND('OCTUBRE 2026'!D6&lt;&gt;"",'OCTUBRE 2026'!Z6="POR RECOGER"),'OCTUBRE 2026'!P6,"")</f>
        <v/>
      </c>
      <c r="J947" s="381">
        <f>IF(AND('OCTUBRE 2026'!D6&lt;&gt;"",'OCTUBRE 2026'!Z6="POR RECOGER"),'OCTUBRE 2026'!Q6,"")</f>
        <v/>
      </c>
      <c r="K947" s="381">
        <f>IF(AND('OCTUBRE 2026'!D6&lt;&gt;"",'OCTUBRE 2026'!Z6="POR RECOGER"),'OCTUBRE 2026'!Y6,"")</f>
        <v/>
      </c>
      <c r="L947" s="381">
        <f>IF(AND('OCTUBRE 2026'!D6&lt;&gt;"",'OCTUBRE 2026'!Z6="POR RECOGER"),'OCTUBRE 2026'!I6,"")</f>
        <v/>
      </c>
      <c r="P947" s="194" t="n"/>
      <c r="Q947" s="194" t="n"/>
      <c r="R947" s="194" t="n"/>
      <c r="S947" s="194" t="n"/>
      <c r="T947" s="194" t="n"/>
      <c r="U947" s="194" t="n"/>
      <c r="V947" s="194" t="n"/>
      <c r="W947" s="194" t="n"/>
      <c r="X947" s="194" t="n"/>
      <c r="Y947" s="194" t="n"/>
      <c r="Z947" s="194" t="n"/>
    </row>
    <row r="948" ht="15" customHeight="1" s="195">
      <c r="A948" s="381">
        <f>IF(AND('OCTUBRE 2026'!D7&lt;&gt;"",'OCTUBRE 2026'!Z7="POR RECOGER"),"OCT","")</f>
        <v/>
      </c>
      <c r="B948" s="381">
        <f>IF(AND('OCTUBRE 2026'!D7&lt;&gt;"",'OCTUBRE 2026'!Z7="POR RECOGER"),IF('OCTUBRE 2026'!Y7&lt;&gt;"",'OCTUBRE 2026'!Y7,'OCTUBRE 2026'!I7),"")</f>
        <v/>
      </c>
      <c r="C948" s="381">
        <f>IF(AND('OCTUBRE 2026'!D7&lt;&gt;"",'OCTUBRE 2026'!Z7="POR RECOGER"),'OCTUBRE 2026'!D7,"")</f>
        <v/>
      </c>
      <c r="D948" s="381">
        <f>IF(AND('OCTUBRE 2026'!D7&lt;&gt;"",'OCTUBRE 2026'!Z7="POR RECOGER"),'OCTUBRE 2026'!F7,"")</f>
        <v/>
      </c>
      <c r="E948" s="381">
        <f>IF(AND('OCTUBRE 2026'!D7&lt;&gt;"",'OCTUBRE 2026'!Z7="POR RECOGER"),TEXT('OCTUBRE 2026'!G7,"DD/MM/YYYY"),"")</f>
        <v/>
      </c>
      <c r="F948" s="381">
        <f>IF(AND('OCTUBRE 2026'!D7&lt;&gt;"",'OCTUBRE 2026'!Z7="POR RECOGER"),'OCTUBRE 2026'!K7,"")</f>
        <v/>
      </c>
      <c r="G948" s="382">
        <f>IF(AND('OCTUBRE 2026'!D7&lt;&gt;"",'OCTUBRE 2026'!Z7="POR RECOGER"),'OCTUBRE 2026'!M7,"")</f>
        <v/>
      </c>
      <c r="H948" s="382">
        <f>IF(AND('OCTUBRE 2026'!D7&lt;&gt;"",'OCTUBRE 2026'!Z7="POR RECOGER"),'OCTUBRE 2026'!N7,"")</f>
        <v/>
      </c>
      <c r="I948" s="381">
        <f>IF(AND('OCTUBRE 2026'!D7&lt;&gt;"",'OCTUBRE 2026'!Z7="POR RECOGER"),'OCTUBRE 2026'!P7,"")</f>
        <v/>
      </c>
      <c r="J948" s="381">
        <f>IF(AND('OCTUBRE 2026'!D7&lt;&gt;"",'OCTUBRE 2026'!Z7="POR RECOGER"),'OCTUBRE 2026'!Q7,"")</f>
        <v/>
      </c>
      <c r="K948" s="381">
        <f>IF(AND('OCTUBRE 2026'!D7&lt;&gt;"",'OCTUBRE 2026'!Z7="POR RECOGER"),'OCTUBRE 2026'!Y7,"")</f>
        <v/>
      </c>
      <c r="L948" s="381">
        <f>IF(AND('OCTUBRE 2026'!D7&lt;&gt;"",'OCTUBRE 2026'!Z7="POR RECOGER"),'OCTUBRE 2026'!I7,"")</f>
        <v/>
      </c>
      <c r="P948" s="194" t="n"/>
      <c r="Q948" s="194" t="n"/>
      <c r="R948" s="194" t="n"/>
      <c r="S948" s="194" t="n"/>
      <c r="T948" s="194" t="n"/>
      <c r="U948" s="194" t="n"/>
      <c r="V948" s="194" t="n"/>
      <c r="W948" s="194" t="n"/>
      <c r="X948" s="194" t="n"/>
      <c r="Y948" s="194" t="n"/>
      <c r="Z948" s="194" t="n"/>
    </row>
    <row r="949" ht="15" customHeight="1" s="195">
      <c r="A949" s="381">
        <f>IF(AND('OCTUBRE 2026'!D8&lt;&gt;"",'OCTUBRE 2026'!Z8="POR RECOGER"),"OCT","")</f>
        <v/>
      </c>
      <c r="B949" s="381">
        <f>IF(AND('OCTUBRE 2026'!D8&lt;&gt;"",'OCTUBRE 2026'!Z8="POR RECOGER"),IF('OCTUBRE 2026'!Y8&lt;&gt;"",'OCTUBRE 2026'!Y8,'OCTUBRE 2026'!I8),"")</f>
        <v/>
      </c>
      <c r="C949" s="381">
        <f>IF(AND('OCTUBRE 2026'!D8&lt;&gt;"",'OCTUBRE 2026'!Z8="POR RECOGER"),'OCTUBRE 2026'!D8,"")</f>
        <v/>
      </c>
      <c r="D949" s="381">
        <f>IF(AND('OCTUBRE 2026'!D8&lt;&gt;"",'OCTUBRE 2026'!Z8="POR RECOGER"),'OCTUBRE 2026'!F8,"")</f>
        <v/>
      </c>
      <c r="E949" s="381">
        <f>IF(AND('OCTUBRE 2026'!D8&lt;&gt;"",'OCTUBRE 2026'!Z8="POR RECOGER"),TEXT('OCTUBRE 2026'!G8,"DD/MM/YYYY"),"")</f>
        <v/>
      </c>
      <c r="F949" s="381">
        <f>IF(AND('OCTUBRE 2026'!D8&lt;&gt;"",'OCTUBRE 2026'!Z8="POR RECOGER"),'OCTUBRE 2026'!K8,"")</f>
        <v/>
      </c>
      <c r="G949" s="382">
        <f>IF(AND('OCTUBRE 2026'!D8&lt;&gt;"",'OCTUBRE 2026'!Z8="POR RECOGER"),'OCTUBRE 2026'!M8,"")</f>
        <v/>
      </c>
      <c r="H949" s="382">
        <f>IF(AND('OCTUBRE 2026'!D8&lt;&gt;"",'OCTUBRE 2026'!Z8="POR RECOGER"),'OCTUBRE 2026'!N8,"")</f>
        <v/>
      </c>
      <c r="I949" s="381">
        <f>IF(AND('OCTUBRE 2026'!D8&lt;&gt;"",'OCTUBRE 2026'!Z8="POR RECOGER"),'OCTUBRE 2026'!P8,"")</f>
        <v/>
      </c>
      <c r="J949" s="381">
        <f>IF(AND('OCTUBRE 2026'!D8&lt;&gt;"",'OCTUBRE 2026'!Z8="POR RECOGER"),'OCTUBRE 2026'!Q8,"")</f>
        <v/>
      </c>
      <c r="K949" s="381">
        <f>IF(AND('OCTUBRE 2026'!D8&lt;&gt;"",'OCTUBRE 2026'!Z8="POR RECOGER"),'OCTUBRE 2026'!Y8,"")</f>
        <v/>
      </c>
      <c r="L949" s="381">
        <f>IF(AND('OCTUBRE 2026'!D8&lt;&gt;"",'OCTUBRE 2026'!Z8="POR RECOGER"),'OCTUBRE 2026'!I8,"")</f>
        <v/>
      </c>
      <c r="P949" s="194" t="n"/>
      <c r="Q949" s="194" t="n"/>
      <c r="R949" s="194" t="n"/>
      <c r="S949" s="194" t="n"/>
      <c r="T949" s="194" t="n"/>
      <c r="U949" s="194" t="n"/>
      <c r="V949" s="194" t="n"/>
      <c r="W949" s="194" t="n"/>
      <c r="X949" s="194" t="n"/>
      <c r="Y949" s="194" t="n"/>
      <c r="Z949" s="194" t="n"/>
    </row>
    <row r="950" ht="15" customHeight="1" s="195">
      <c r="A950" s="381">
        <f>IF(AND('OCTUBRE 2026'!D9&lt;&gt;"",'OCTUBRE 2026'!Z9="POR RECOGER"),"OCT","")</f>
        <v/>
      </c>
      <c r="B950" s="381">
        <f>IF(AND('OCTUBRE 2026'!D9&lt;&gt;"",'OCTUBRE 2026'!Z9="POR RECOGER"),IF('OCTUBRE 2026'!Y9&lt;&gt;"",'OCTUBRE 2026'!Y9,'OCTUBRE 2026'!I9),"")</f>
        <v/>
      </c>
      <c r="C950" s="381">
        <f>IF(AND('OCTUBRE 2026'!D9&lt;&gt;"",'OCTUBRE 2026'!Z9="POR RECOGER"),'OCTUBRE 2026'!D9,"")</f>
        <v/>
      </c>
      <c r="D950" s="381">
        <f>IF(AND('OCTUBRE 2026'!D9&lt;&gt;"",'OCTUBRE 2026'!Z9="POR RECOGER"),'OCTUBRE 2026'!F9,"")</f>
        <v/>
      </c>
      <c r="E950" s="381">
        <f>IF(AND('OCTUBRE 2026'!D9&lt;&gt;"",'OCTUBRE 2026'!Z9="POR RECOGER"),TEXT('OCTUBRE 2026'!G9,"DD/MM/YYYY"),"")</f>
        <v/>
      </c>
      <c r="F950" s="381">
        <f>IF(AND('OCTUBRE 2026'!D9&lt;&gt;"",'OCTUBRE 2026'!Z9="POR RECOGER"),'OCTUBRE 2026'!K9,"")</f>
        <v/>
      </c>
      <c r="G950" s="382">
        <f>IF(AND('OCTUBRE 2026'!D9&lt;&gt;"",'OCTUBRE 2026'!Z9="POR RECOGER"),'OCTUBRE 2026'!M9,"")</f>
        <v/>
      </c>
      <c r="H950" s="382">
        <f>IF(AND('OCTUBRE 2026'!D9&lt;&gt;"",'OCTUBRE 2026'!Z9="POR RECOGER"),'OCTUBRE 2026'!N9,"")</f>
        <v/>
      </c>
      <c r="I950" s="381">
        <f>IF(AND('OCTUBRE 2026'!D9&lt;&gt;"",'OCTUBRE 2026'!Z9="POR RECOGER"),'OCTUBRE 2026'!P9,"")</f>
        <v/>
      </c>
      <c r="J950" s="381">
        <f>IF(AND('OCTUBRE 2026'!D9&lt;&gt;"",'OCTUBRE 2026'!Z9="POR RECOGER"),'OCTUBRE 2026'!Q9,"")</f>
        <v/>
      </c>
      <c r="K950" s="381">
        <f>IF(AND('OCTUBRE 2026'!D9&lt;&gt;"",'OCTUBRE 2026'!Z9="POR RECOGER"),'OCTUBRE 2026'!Y9,"")</f>
        <v/>
      </c>
      <c r="L950" s="381">
        <f>IF(AND('OCTUBRE 2026'!D9&lt;&gt;"",'OCTUBRE 2026'!Z9="POR RECOGER"),'OCTUBRE 2026'!I9,"")</f>
        <v/>
      </c>
      <c r="P950" s="194" t="n"/>
      <c r="Q950" s="194" t="n"/>
      <c r="R950" s="194" t="n"/>
      <c r="S950" s="194" t="n"/>
      <c r="T950" s="194" t="n"/>
      <c r="U950" s="194" t="n"/>
      <c r="V950" s="194" t="n"/>
      <c r="W950" s="194" t="n"/>
      <c r="X950" s="194" t="n"/>
      <c r="Y950" s="194" t="n"/>
      <c r="Z950" s="194" t="n"/>
    </row>
    <row r="951" ht="15" customHeight="1" s="195">
      <c r="A951" s="381">
        <f>IF(AND('OCTUBRE 2026'!D10&lt;&gt;"",'OCTUBRE 2026'!Z10="POR RECOGER"),"OCT","")</f>
        <v/>
      </c>
      <c r="B951" s="381">
        <f>IF(AND('OCTUBRE 2026'!D10&lt;&gt;"",'OCTUBRE 2026'!Z10="POR RECOGER"),IF('OCTUBRE 2026'!Y10&lt;&gt;"",'OCTUBRE 2026'!Y10,'OCTUBRE 2026'!I10),"")</f>
        <v/>
      </c>
      <c r="C951" s="381">
        <f>IF(AND('OCTUBRE 2026'!D10&lt;&gt;"",'OCTUBRE 2026'!Z10="POR RECOGER"),'OCTUBRE 2026'!D10,"")</f>
        <v/>
      </c>
      <c r="D951" s="381">
        <f>IF(AND('OCTUBRE 2026'!D10&lt;&gt;"",'OCTUBRE 2026'!Z10="POR RECOGER"),'OCTUBRE 2026'!F10,"")</f>
        <v/>
      </c>
      <c r="E951" s="381">
        <f>IF(AND('OCTUBRE 2026'!D10&lt;&gt;"",'OCTUBRE 2026'!Z10="POR RECOGER"),TEXT('OCTUBRE 2026'!G10,"DD/MM/YYYY"),"")</f>
        <v/>
      </c>
      <c r="F951" s="381">
        <f>IF(AND('OCTUBRE 2026'!D10&lt;&gt;"",'OCTUBRE 2026'!Z10="POR RECOGER"),'OCTUBRE 2026'!K10,"")</f>
        <v/>
      </c>
      <c r="G951" s="382">
        <f>IF(AND('OCTUBRE 2026'!D10&lt;&gt;"",'OCTUBRE 2026'!Z10="POR RECOGER"),'OCTUBRE 2026'!M10,"")</f>
        <v/>
      </c>
      <c r="H951" s="382">
        <f>IF(AND('OCTUBRE 2026'!D10&lt;&gt;"",'OCTUBRE 2026'!Z10="POR RECOGER"),'OCTUBRE 2026'!N10,"")</f>
        <v/>
      </c>
      <c r="I951" s="381">
        <f>IF(AND('OCTUBRE 2026'!D10&lt;&gt;"",'OCTUBRE 2026'!Z10="POR RECOGER"),'OCTUBRE 2026'!P10,"")</f>
        <v/>
      </c>
      <c r="J951" s="381">
        <f>IF(AND('OCTUBRE 2026'!D10&lt;&gt;"",'OCTUBRE 2026'!Z10="POR RECOGER"),'OCTUBRE 2026'!Q10,"")</f>
        <v/>
      </c>
      <c r="K951" s="381">
        <f>IF(AND('OCTUBRE 2026'!D10&lt;&gt;"",'OCTUBRE 2026'!Z10="POR RECOGER"),'OCTUBRE 2026'!Y10,"")</f>
        <v/>
      </c>
      <c r="L951" s="381">
        <f>IF(AND('OCTUBRE 2026'!D10&lt;&gt;"",'OCTUBRE 2026'!Z10="POR RECOGER"),'OCTUBRE 2026'!I10,"")</f>
        <v/>
      </c>
      <c r="P951" s="194" t="n"/>
      <c r="Q951" s="194" t="n"/>
      <c r="R951" s="194" t="n"/>
      <c r="S951" s="194" t="n"/>
      <c r="T951" s="194" t="n"/>
      <c r="U951" s="194" t="n"/>
      <c r="V951" s="194" t="n"/>
      <c r="W951" s="194" t="n"/>
      <c r="X951" s="194" t="n"/>
      <c r="Y951" s="194" t="n"/>
      <c r="Z951" s="194" t="n"/>
    </row>
    <row r="952" ht="15" customHeight="1" s="195">
      <c r="A952" s="381">
        <f>IF(AND('OCTUBRE 2026'!D11&lt;&gt;"",'OCTUBRE 2026'!Z11="POR RECOGER"),"OCT","")</f>
        <v/>
      </c>
      <c r="B952" s="381">
        <f>IF(AND('OCTUBRE 2026'!D11&lt;&gt;"",'OCTUBRE 2026'!Z11="POR RECOGER"),IF('OCTUBRE 2026'!Y11&lt;&gt;"",'OCTUBRE 2026'!Y11,'OCTUBRE 2026'!I11),"")</f>
        <v/>
      </c>
      <c r="C952" s="381">
        <f>IF(AND('OCTUBRE 2026'!D11&lt;&gt;"",'OCTUBRE 2026'!Z11="POR RECOGER"),'OCTUBRE 2026'!D11,"")</f>
        <v/>
      </c>
      <c r="D952" s="381">
        <f>IF(AND('OCTUBRE 2026'!D11&lt;&gt;"",'OCTUBRE 2026'!Z11="POR RECOGER"),'OCTUBRE 2026'!F11,"")</f>
        <v/>
      </c>
      <c r="E952" s="381">
        <f>IF(AND('OCTUBRE 2026'!D11&lt;&gt;"",'OCTUBRE 2026'!Z11="POR RECOGER"),TEXT('OCTUBRE 2026'!G11,"DD/MM/YYYY"),"")</f>
        <v/>
      </c>
      <c r="F952" s="381">
        <f>IF(AND('OCTUBRE 2026'!D11&lt;&gt;"",'OCTUBRE 2026'!Z11="POR RECOGER"),'OCTUBRE 2026'!K11,"")</f>
        <v/>
      </c>
      <c r="G952" s="382">
        <f>IF(AND('OCTUBRE 2026'!D11&lt;&gt;"",'OCTUBRE 2026'!Z11="POR RECOGER"),'OCTUBRE 2026'!M11,"")</f>
        <v/>
      </c>
      <c r="H952" s="382">
        <f>IF(AND('OCTUBRE 2026'!D11&lt;&gt;"",'OCTUBRE 2026'!Z11="POR RECOGER"),'OCTUBRE 2026'!N11,"")</f>
        <v/>
      </c>
      <c r="I952" s="381">
        <f>IF(AND('OCTUBRE 2026'!D11&lt;&gt;"",'OCTUBRE 2026'!Z11="POR RECOGER"),'OCTUBRE 2026'!P11,"")</f>
        <v/>
      </c>
      <c r="J952" s="381">
        <f>IF(AND('OCTUBRE 2026'!D11&lt;&gt;"",'OCTUBRE 2026'!Z11="POR RECOGER"),'OCTUBRE 2026'!Q11,"")</f>
        <v/>
      </c>
      <c r="K952" s="381">
        <f>IF(AND('OCTUBRE 2026'!D11&lt;&gt;"",'OCTUBRE 2026'!Z11="POR RECOGER"),'OCTUBRE 2026'!Y11,"")</f>
        <v/>
      </c>
      <c r="L952" s="381">
        <f>IF(AND('OCTUBRE 2026'!D11&lt;&gt;"",'OCTUBRE 2026'!Z11="POR RECOGER"),'OCTUBRE 2026'!I11,"")</f>
        <v/>
      </c>
      <c r="P952" s="194" t="n"/>
      <c r="Q952" s="194" t="n"/>
      <c r="R952" s="194" t="n"/>
      <c r="S952" s="194" t="n"/>
      <c r="T952" s="194" t="n"/>
      <c r="U952" s="194" t="n"/>
      <c r="V952" s="194" t="n"/>
      <c r="W952" s="194" t="n"/>
      <c r="X952" s="194" t="n"/>
      <c r="Y952" s="194" t="n"/>
      <c r="Z952" s="194" t="n"/>
    </row>
    <row r="953" ht="15" customHeight="1" s="195">
      <c r="A953" s="381">
        <f>IF(AND('OCTUBRE 2026'!D12&lt;&gt;"",'OCTUBRE 2026'!Z12="POR RECOGER"),"OCT","")</f>
        <v/>
      </c>
      <c r="B953" s="381">
        <f>IF(AND('OCTUBRE 2026'!D12&lt;&gt;"",'OCTUBRE 2026'!Z12="POR RECOGER"),IF('OCTUBRE 2026'!Y12&lt;&gt;"",'OCTUBRE 2026'!Y12,'OCTUBRE 2026'!I12),"")</f>
        <v/>
      </c>
      <c r="C953" s="381">
        <f>IF(AND('OCTUBRE 2026'!D12&lt;&gt;"",'OCTUBRE 2026'!Z12="POR RECOGER"),'OCTUBRE 2026'!D12,"")</f>
        <v/>
      </c>
      <c r="D953" s="381">
        <f>IF(AND('OCTUBRE 2026'!D12&lt;&gt;"",'OCTUBRE 2026'!Z12="POR RECOGER"),'OCTUBRE 2026'!F12,"")</f>
        <v/>
      </c>
      <c r="E953" s="381">
        <f>IF(AND('OCTUBRE 2026'!D12&lt;&gt;"",'OCTUBRE 2026'!Z12="POR RECOGER"),TEXT('OCTUBRE 2026'!G12,"DD/MM/YYYY"),"")</f>
        <v/>
      </c>
      <c r="F953" s="381">
        <f>IF(AND('OCTUBRE 2026'!D12&lt;&gt;"",'OCTUBRE 2026'!Z12="POR RECOGER"),'OCTUBRE 2026'!K12,"")</f>
        <v/>
      </c>
      <c r="G953" s="382">
        <f>IF(AND('OCTUBRE 2026'!D12&lt;&gt;"",'OCTUBRE 2026'!Z12="POR RECOGER"),'OCTUBRE 2026'!M12,"")</f>
        <v/>
      </c>
      <c r="H953" s="382">
        <f>IF(AND('OCTUBRE 2026'!D12&lt;&gt;"",'OCTUBRE 2026'!Z12="POR RECOGER"),'OCTUBRE 2026'!N12,"")</f>
        <v/>
      </c>
      <c r="I953" s="381">
        <f>IF(AND('OCTUBRE 2026'!D12&lt;&gt;"",'OCTUBRE 2026'!Z12="POR RECOGER"),'OCTUBRE 2026'!P12,"")</f>
        <v/>
      </c>
      <c r="J953" s="381">
        <f>IF(AND('OCTUBRE 2026'!D12&lt;&gt;"",'OCTUBRE 2026'!Z12="POR RECOGER"),'OCTUBRE 2026'!Q12,"")</f>
        <v/>
      </c>
      <c r="K953" s="381">
        <f>IF(AND('OCTUBRE 2026'!D12&lt;&gt;"",'OCTUBRE 2026'!Z12="POR RECOGER"),'OCTUBRE 2026'!Y12,"")</f>
        <v/>
      </c>
      <c r="L953" s="381">
        <f>IF(AND('OCTUBRE 2026'!D12&lt;&gt;"",'OCTUBRE 2026'!Z12="POR RECOGER"),'OCTUBRE 2026'!I12,"")</f>
        <v/>
      </c>
      <c r="P953" s="194" t="n"/>
      <c r="Q953" s="194" t="n"/>
      <c r="R953" s="194" t="n"/>
      <c r="S953" s="194" t="n"/>
      <c r="T953" s="194" t="n"/>
      <c r="U953" s="194" t="n"/>
      <c r="V953" s="194" t="n"/>
      <c r="W953" s="194" t="n"/>
      <c r="X953" s="194" t="n"/>
      <c r="Y953" s="194" t="n"/>
      <c r="Z953" s="194" t="n"/>
    </row>
    <row r="954" ht="15" customHeight="1" s="195">
      <c r="A954" s="381">
        <f>IF(AND('OCTUBRE 2026'!D13&lt;&gt;"",'OCTUBRE 2026'!Z13="POR RECOGER"),"OCT","")</f>
        <v/>
      </c>
      <c r="B954" s="381">
        <f>IF(AND('OCTUBRE 2026'!D13&lt;&gt;"",'OCTUBRE 2026'!Z13="POR RECOGER"),IF('OCTUBRE 2026'!Y13&lt;&gt;"",'OCTUBRE 2026'!Y13,'OCTUBRE 2026'!I13),"")</f>
        <v/>
      </c>
      <c r="C954" s="381">
        <f>IF(AND('OCTUBRE 2026'!D13&lt;&gt;"",'OCTUBRE 2026'!Z13="POR RECOGER"),'OCTUBRE 2026'!D13,"")</f>
        <v/>
      </c>
      <c r="D954" s="381">
        <f>IF(AND('OCTUBRE 2026'!D13&lt;&gt;"",'OCTUBRE 2026'!Z13="POR RECOGER"),'OCTUBRE 2026'!F13,"")</f>
        <v/>
      </c>
      <c r="E954" s="381">
        <f>IF(AND('OCTUBRE 2026'!D13&lt;&gt;"",'OCTUBRE 2026'!Z13="POR RECOGER"),TEXT('OCTUBRE 2026'!G13,"DD/MM/YYYY"),"")</f>
        <v/>
      </c>
      <c r="F954" s="381">
        <f>IF(AND('OCTUBRE 2026'!D13&lt;&gt;"",'OCTUBRE 2026'!Z13="POR RECOGER"),'OCTUBRE 2026'!K13,"")</f>
        <v/>
      </c>
      <c r="G954" s="382">
        <f>IF(AND('OCTUBRE 2026'!D13&lt;&gt;"",'OCTUBRE 2026'!Z13="POR RECOGER"),'OCTUBRE 2026'!M13,"")</f>
        <v/>
      </c>
      <c r="H954" s="382">
        <f>IF(AND('OCTUBRE 2026'!D13&lt;&gt;"",'OCTUBRE 2026'!Z13="POR RECOGER"),'OCTUBRE 2026'!N13,"")</f>
        <v/>
      </c>
      <c r="I954" s="381">
        <f>IF(AND('OCTUBRE 2026'!D13&lt;&gt;"",'OCTUBRE 2026'!Z13="POR RECOGER"),'OCTUBRE 2026'!P13,"")</f>
        <v/>
      </c>
      <c r="J954" s="381">
        <f>IF(AND('OCTUBRE 2026'!D13&lt;&gt;"",'OCTUBRE 2026'!Z13="POR RECOGER"),'OCTUBRE 2026'!Q13,"")</f>
        <v/>
      </c>
      <c r="K954" s="381">
        <f>IF(AND('OCTUBRE 2026'!D13&lt;&gt;"",'OCTUBRE 2026'!Z13="POR RECOGER"),'OCTUBRE 2026'!Y13,"")</f>
        <v/>
      </c>
      <c r="L954" s="381">
        <f>IF(AND('OCTUBRE 2026'!D13&lt;&gt;"",'OCTUBRE 2026'!Z13="POR RECOGER"),'OCTUBRE 2026'!I13,"")</f>
        <v/>
      </c>
      <c r="P954" s="194" t="n"/>
      <c r="Q954" s="194" t="n"/>
      <c r="R954" s="194" t="n"/>
      <c r="S954" s="194" t="n"/>
      <c r="T954" s="194" t="n"/>
      <c r="U954" s="194" t="n"/>
      <c r="V954" s="194" t="n"/>
      <c r="W954" s="194" t="n"/>
      <c r="X954" s="194" t="n"/>
      <c r="Y954" s="194" t="n"/>
      <c r="Z954" s="194" t="n"/>
    </row>
    <row r="955" ht="15" customHeight="1" s="195">
      <c r="A955" s="381">
        <f>IF(AND('OCTUBRE 2026'!D14&lt;&gt;"",'OCTUBRE 2026'!Z14="POR RECOGER"),"OCT","")</f>
        <v/>
      </c>
      <c r="B955" s="381">
        <f>IF(AND('OCTUBRE 2026'!D14&lt;&gt;"",'OCTUBRE 2026'!Z14="POR RECOGER"),IF('OCTUBRE 2026'!Y14&lt;&gt;"",'OCTUBRE 2026'!Y14,'OCTUBRE 2026'!I14),"")</f>
        <v/>
      </c>
      <c r="C955" s="381">
        <f>IF(AND('OCTUBRE 2026'!D14&lt;&gt;"",'OCTUBRE 2026'!Z14="POR RECOGER"),'OCTUBRE 2026'!D14,"")</f>
        <v/>
      </c>
      <c r="D955" s="381">
        <f>IF(AND('OCTUBRE 2026'!D14&lt;&gt;"",'OCTUBRE 2026'!Z14="POR RECOGER"),'OCTUBRE 2026'!F14,"")</f>
        <v/>
      </c>
      <c r="E955" s="381">
        <f>IF(AND('OCTUBRE 2026'!D14&lt;&gt;"",'OCTUBRE 2026'!Z14="POR RECOGER"),TEXT('OCTUBRE 2026'!G14,"DD/MM/YYYY"),"")</f>
        <v/>
      </c>
      <c r="F955" s="381">
        <f>IF(AND('OCTUBRE 2026'!D14&lt;&gt;"",'OCTUBRE 2026'!Z14="POR RECOGER"),'OCTUBRE 2026'!K14,"")</f>
        <v/>
      </c>
      <c r="G955" s="382">
        <f>IF(AND('OCTUBRE 2026'!D14&lt;&gt;"",'OCTUBRE 2026'!Z14="POR RECOGER"),'OCTUBRE 2026'!M14,"")</f>
        <v/>
      </c>
      <c r="H955" s="382">
        <f>IF(AND('OCTUBRE 2026'!D14&lt;&gt;"",'OCTUBRE 2026'!Z14="POR RECOGER"),'OCTUBRE 2026'!N14,"")</f>
        <v/>
      </c>
      <c r="I955" s="381">
        <f>IF(AND('OCTUBRE 2026'!D14&lt;&gt;"",'OCTUBRE 2026'!Z14="POR RECOGER"),'OCTUBRE 2026'!P14,"")</f>
        <v/>
      </c>
      <c r="J955" s="381">
        <f>IF(AND('OCTUBRE 2026'!D14&lt;&gt;"",'OCTUBRE 2026'!Z14="POR RECOGER"),'OCTUBRE 2026'!Q14,"")</f>
        <v/>
      </c>
      <c r="K955" s="381">
        <f>IF(AND('OCTUBRE 2026'!D14&lt;&gt;"",'OCTUBRE 2026'!Z14="POR RECOGER"),'OCTUBRE 2026'!Y14,"")</f>
        <v/>
      </c>
      <c r="L955" s="381">
        <f>IF(AND('OCTUBRE 2026'!D14&lt;&gt;"",'OCTUBRE 2026'!Z14="POR RECOGER"),'OCTUBRE 2026'!I14,"")</f>
        <v/>
      </c>
      <c r="P955" s="194" t="n"/>
      <c r="Q955" s="194" t="n"/>
      <c r="R955" s="194" t="n"/>
      <c r="S955" s="194" t="n"/>
      <c r="T955" s="194" t="n"/>
      <c r="U955" s="194" t="n"/>
      <c r="V955" s="194" t="n"/>
      <c r="W955" s="194" t="n"/>
      <c r="X955" s="194" t="n"/>
      <c r="Y955" s="194" t="n"/>
      <c r="Z955" s="194" t="n"/>
    </row>
    <row r="956" ht="15" customHeight="1" s="195">
      <c r="A956" s="381">
        <f>IF(AND('OCTUBRE 2026'!D15&lt;&gt;"",'OCTUBRE 2026'!Z15="POR RECOGER"),"OCT","")</f>
        <v/>
      </c>
      <c r="B956" s="381">
        <f>IF(AND('OCTUBRE 2026'!D15&lt;&gt;"",'OCTUBRE 2026'!Z15="POR RECOGER"),IF('OCTUBRE 2026'!Y15&lt;&gt;"",'OCTUBRE 2026'!Y15,'OCTUBRE 2026'!I15),"")</f>
        <v/>
      </c>
      <c r="C956" s="381">
        <f>IF(AND('OCTUBRE 2026'!D15&lt;&gt;"",'OCTUBRE 2026'!Z15="POR RECOGER"),'OCTUBRE 2026'!D15,"")</f>
        <v/>
      </c>
      <c r="D956" s="381">
        <f>IF(AND('OCTUBRE 2026'!D15&lt;&gt;"",'OCTUBRE 2026'!Z15="POR RECOGER"),'OCTUBRE 2026'!F15,"")</f>
        <v/>
      </c>
      <c r="E956" s="381">
        <f>IF(AND('OCTUBRE 2026'!D15&lt;&gt;"",'OCTUBRE 2026'!Z15="POR RECOGER"),TEXT('OCTUBRE 2026'!G15,"DD/MM/YYYY"),"")</f>
        <v/>
      </c>
      <c r="F956" s="381">
        <f>IF(AND('OCTUBRE 2026'!D15&lt;&gt;"",'OCTUBRE 2026'!Z15="POR RECOGER"),'OCTUBRE 2026'!K15,"")</f>
        <v/>
      </c>
      <c r="G956" s="382">
        <f>IF(AND('OCTUBRE 2026'!D15&lt;&gt;"",'OCTUBRE 2026'!Z15="POR RECOGER"),'OCTUBRE 2026'!M15,"")</f>
        <v/>
      </c>
      <c r="H956" s="382">
        <f>IF(AND('OCTUBRE 2026'!D15&lt;&gt;"",'OCTUBRE 2026'!Z15="POR RECOGER"),'OCTUBRE 2026'!N15,"")</f>
        <v/>
      </c>
      <c r="I956" s="381">
        <f>IF(AND('OCTUBRE 2026'!D15&lt;&gt;"",'OCTUBRE 2026'!Z15="POR RECOGER"),'OCTUBRE 2026'!P15,"")</f>
        <v/>
      </c>
      <c r="J956" s="381">
        <f>IF(AND('OCTUBRE 2026'!D15&lt;&gt;"",'OCTUBRE 2026'!Z15="POR RECOGER"),'OCTUBRE 2026'!Q15,"")</f>
        <v/>
      </c>
      <c r="K956" s="381">
        <f>IF(AND('OCTUBRE 2026'!D15&lt;&gt;"",'OCTUBRE 2026'!Z15="POR RECOGER"),'OCTUBRE 2026'!Y15,"")</f>
        <v/>
      </c>
      <c r="L956" s="381">
        <f>IF(AND('OCTUBRE 2026'!D15&lt;&gt;"",'OCTUBRE 2026'!Z15="POR RECOGER"),'OCTUBRE 2026'!I15,"")</f>
        <v/>
      </c>
      <c r="P956" s="194" t="n"/>
      <c r="Q956" s="194" t="n"/>
      <c r="R956" s="194" t="n"/>
      <c r="S956" s="194" t="n"/>
      <c r="T956" s="194" t="n"/>
      <c r="U956" s="194" t="n"/>
      <c r="V956" s="194" t="n"/>
      <c r="W956" s="194" t="n"/>
      <c r="X956" s="194" t="n"/>
      <c r="Y956" s="194" t="n"/>
      <c r="Z956" s="194" t="n"/>
    </row>
    <row r="957" ht="15" customHeight="1" s="195">
      <c r="A957" s="381">
        <f>IF(AND('OCTUBRE 2026'!D16&lt;&gt;"",'OCTUBRE 2026'!Z16="POR RECOGER"),"OCT","")</f>
        <v/>
      </c>
      <c r="B957" s="381">
        <f>IF(AND('OCTUBRE 2026'!D16&lt;&gt;"",'OCTUBRE 2026'!Z16="POR RECOGER"),IF('OCTUBRE 2026'!Y16&lt;&gt;"",'OCTUBRE 2026'!Y16,'OCTUBRE 2026'!I16),"")</f>
        <v/>
      </c>
      <c r="C957" s="381">
        <f>IF(AND('OCTUBRE 2026'!D16&lt;&gt;"",'OCTUBRE 2026'!Z16="POR RECOGER"),'OCTUBRE 2026'!D16,"")</f>
        <v/>
      </c>
      <c r="D957" s="381">
        <f>IF(AND('OCTUBRE 2026'!D16&lt;&gt;"",'OCTUBRE 2026'!Z16="POR RECOGER"),'OCTUBRE 2026'!F16,"")</f>
        <v/>
      </c>
      <c r="E957" s="381">
        <f>IF(AND('OCTUBRE 2026'!D16&lt;&gt;"",'OCTUBRE 2026'!Z16="POR RECOGER"),TEXT('OCTUBRE 2026'!G16,"DD/MM/YYYY"),"")</f>
        <v/>
      </c>
      <c r="F957" s="381">
        <f>IF(AND('OCTUBRE 2026'!D16&lt;&gt;"",'OCTUBRE 2026'!Z16="POR RECOGER"),'OCTUBRE 2026'!K16,"")</f>
        <v/>
      </c>
      <c r="G957" s="382">
        <f>IF(AND('OCTUBRE 2026'!D16&lt;&gt;"",'OCTUBRE 2026'!Z16="POR RECOGER"),'OCTUBRE 2026'!M16,"")</f>
        <v/>
      </c>
      <c r="H957" s="382">
        <f>IF(AND('OCTUBRE 2026'!D16&lt;&gt;"",'OCTUBRE 2026'!Z16="POR RECOGER"),'OCTUBRE 2026'!N16,"")</f>
        <v/>
      </c>
      <c r="I957" s="381">
        <f>IF(AND('OCTUBRE 2026'!D16&lt;&gt;"",'OCTUBRE 2026'!Z16="POR RECOGER"),'OCTUBRE 2026'!P16,"")</f>
        <v/>
      </c>
      <c r="J957" s="381">
        <f>IF(AND('OCTUBRE 2026'!D16&lt;&gt;"",'OCTUBRE 2026'!Z16="POR RECOGER"),'OCTUBRE 2026'!Q16,"")</f>
        <v/>
      </c>
      <c r="K957" s="381">
        <f>IF(AND('OCTUBRE 2026'!D16&lt;&gt;"",'OCTUBRE 2026'!Z16="POR RECOGER"),'OCTUBRE 2026'!Y16,"")</f>
        <v/>
      </c>
      <c r="L957" s="381">
        <f>IF(AND('OCTUBRE 2026'!D16&lt;&gt;"",'OCTUBRE 2026'!Z16="POR RECOGER"),'OCTUBRE 2026'!I16,"")</f>
        <v/>
      </c>
      <c r="P957" s="194" t="n"/>
      <c r="Q957" s="194" t="n"/>
      <c r="R957" s="194" t="n"/>
      <c r="S957" s="194" t="n"/>
      <c r="T957" s="194" t="n"/>
      <c r="U957" s="194" t="n"/>
      <c r="V957" s="194" t="n"/>
      <c r="W957" s="194" t="n"/>
      <c r="X957" s="194" t="n"/>
      <c r="Y957" s="194" t="n"/>
      <c r="Z957" s="194" t="n"/>
    </row>
    <row r="958" ht="15" customHeight="1" s="195">
      <c r="A958" s="381">
        <f>IF(AND('OCTUBRE 2026'!D17&lt;&gt;"",'OCTUBRE 2026'!Z17="POR RECOGER"),"OCT","")</f>
        <v/>
      </c>
      <c r="B958" s="381">
        <f>IF(AND('OCTUBRE 2026'!D17&lt;&gt;"",'OCTUBRE 2026'!Z17="POR RECOGER"),IF('OCTUBRE 2026'!Y17&lt;&gt;"",'OCTUBRE 2026'!Y17,'OCTUBRE 2026'!I17),"")</f>
        <v/>
      </c>
      <c r="C958" s="381">
        <f>IF(AND('OCTUBRE 2026'!D17&lt;&gt;"",'OCTUBRE 2026'!Z17="POR RECOGER"),'OCTUBRE 2026'!D17,"")</f>
        <v/>
      </c>
      <c r="D958" s="381">
        <f>IF(AND('OCTUBRE 2026'!D17&lt;&gt;"",'OCTUBRE 2026'!Z17="POR RECOGER"),'OCTUBRE 2026'!F17,"")</f>
        <v/>
      </c>
      <c r="E958" s="381">
        <f>IF(AND('OCTUBRE 2026'!D17&lt;&gt;"",'OCTUBRE 2026'!Z17="POR RECOGER"),TEXT('OCTUBRE 2026'!G17,"DD/MM/YYYY"),"")</f>
        <v/>
      </c>
      <c r="F958" s="381">
        <f>IF(AND('OCTUBRE 2026'!D17&lt;&gt;"",'OCTUBRE 2026'!Z17="POR RECOGER"),'OCTUBRE 2026'!K17,"")</f>
        <v/>
      </c>
      <c r="G958" s="382">
        <f>IF(AND('OCTUBRE 2026'!D17&lt;&gt;"",'OCTUBRE 2026'!Z17="POR RECOGER"),'OCTUBRE 2026'!M17,"")</f>
        <v/>
      </c>
      <c r="H958" s="382">
        <f>IF(AND('OCTUBRE 2026'!D17&lt;&gt;"",'OCTUBRE 2026'!Z17="POR RECOGER"),'OCTUBRE 2026'!N17,"")</f>
        <v/>
      </c>
      <c r="I958" s="381">
        <f>IF(AND('OCTUBRE 2026'!D17&lt;&gt;"",'OCTUBRE 2026'!Z17="POR RECOGER"),'OCTUBRE 2026'!P17,"")</f>
        <v/>
      </c>
      <c r="J958" s="381">
        <f>IF(AND('OCTUBRE 2026'!D17&lt;&gt;"",'OCTUBRE 2026'!Z17="POR RECOGER"),'OCTUBRE 2026'!Q17,"")</f>
        <v/>
      </c>
      <c r="K958" s="381">
        <f>IF(AND('OCTUBRE 2026'!D17&lt;&gt;"",'OCTUBRE 2026'!Z17="POR RECOGER"),'OCTUBRE 2026'!Y17,"")</f>
        <v/>
      </c>
      <c r="L958" s="381">
        <f>IF(AND('OCTUBRE 2026'!D17&lt;&gt;"",'OCTUBRE 2026'!Z17="POR RECOGER"),'OCTUBRE 2026'!I17,"")</f>
        <v/>
      </c>
      <c r="P958" s="194" t="n"/>
      <c r="Q958" s="194" t="n"/>
      <c r="R958" s="194" t="n"/>
      <c r="S958" s="194" t="n"/>
      <c r="T958" s="194" t="n"/>
      <c r="U958" s="194" t="n"/>
      <c r="V958" s="194" t="n"/>
      <c r="W958" s="194" t="n"/>
      <c r="X958" s="194" t="n"/>
      <c r="Y958" s="194" t="n"/>
      <c r="Z958" s="194" t="n"/>
    </row>
    <row r="959" ht="15" customHeight="1" s="195">
      <c r="A959" s="381">
        <f>IF(AND('OCTUBRE 2026'!D18&lt;&gt;"",'OCTUBRE 2026'!Z18="POR RECOGER"),"OCT","")</f>
        <v/>
      </c>
      <c r="B959" s="381">
        <f>IF(AND('OCTUBRE 2026'!D18&lt;&gt;"",'OCTUBRE 2026'!Z18="POR RECOGER"),IF('OCTUBRE 2026'!Y18&lt;&gt;"",'OCTUBRE 2026'!Y18,'OCTUBRE 2026'!I18),"")</f>
        <v/>
      </c>
      <c r="C959" s="381">
        <f>IF(AND('OCTUBRE 2026'!D18&lt;&gt;"",'OCTUBRE 2026'!Z18="POR RECOGER"),'OCTUBRE 2026'!D18,"")</f>
        <v/>
      </c>
      <c r="D959" s="381">
        <f>IF(AND('OCTUBRE 2026'!D18&lt;&gt;"",'OCTUBRE 2026'!Z18="POR RECOGER"),'OCTUBRE 2026'!F18,"")</f>
        <v/>
      </c>
      <c r="E959" s="381">
        <f>IF(AND('OCTUBRE 2026'!D18&lt;&gt;"",'OCTUBRE 2026'!Z18="POR RECOGER"),TEXT('OCTUBRE 2026'!G18,"DD/MM/YYYY"),"")</f>
        <v/>
      </c>
      <c r="F959" s="381">
        <f>IF(AND('OCTUBRE 2026'!D18&lt;&gt;"",'OCTUBRE 2026'!Z18="POR RECOGER"),'OCTUBRE 2026'!K18,"")</f>
        <v/>
      </c>
      <c r="G959" s="382">
        <f>IF(AND('OCTUBRE 2026'!D18&lt;&gt;"",'OCTUBRE 2026'!Z18="POR RECOGER"),'OCTUBRE 2026'!M18,"")</f>
        <v/>
      </c>
      <c r="H959" s="382">
        <f>IF(AND('OCTUBRE 2026'!D18&lt;&gt;"",'OCTUBRE 2026'!Z18="POR RECOGER"),'OCTUBRE 2026'!N18,"")</f>
        <v/>
      </c>
      <c r="I959" s="381">
        <f>IF(AND('OCTUBRE 2026'!D18&lt;&gt;"",'OCTUBRE 2026'!Z18="POR RECOGER"),'OCTUBRE 2026'!P18,"")</f>
        <v/>
      </c>
      <c r="J959" s="381">
        <f>IF(AND('OCTUBRE 2026'!D18&lt;&gt;"",'OCTUBRE 2026'!Z18="POR RECOGER"),'OCTUBRE 2026'!Q18,"")</f>
        <v/>
      </c>
      <c r="K959" s="381">
        <f>IF(AND('OCTUBRE 2026'!D18&lt;&gt;"",'OCTUBRE 2026'!Z18="POR RECOGER"),'OCTUBRE 2026'!Y18,"")</f>
        <v/>
      </c>
      <c r="L959" s="381">
        <f>IF(AND('OCTUBRE 2026'!D18&lt;&gt;"",'OCTUBRE 2026'!Z18="POR RECOGER"),'OCTUBRE 2026'!I18,"")</f>
        <v/>
      </c>
      <c r="P959" s="194" t="n"/>
      <c r="Q959" s="194" t="n"/>
      <c r="R959" s="194" t="n"/>
      <c r="S959" s="194" t="n"/>
      <c r="T959" s="194" t="n"/>
      <c r="U959" s="194" t="n"/>
      <c r="V959" s="194" t="n"/>
      <c r="W959" s="194" t="n"/>
      <c r="X959" s="194" t="n"/>
      <c r="Y959" s="194" t="n"/>
      <c r="Z959" s="194" t="n"/>
    </row>
    <row r="960" ht="15" customHeight="1" s="195">
      <c r="A960" s="381">
        <f>IF(AND('OCTUBRE 2026'!D19&lt;&gt;"",'OCTUBRE 2026'!Z19="POR RECOGER"),"OCT","")</f>
        <v/>
      </c>
      <c r="B960" s="381">
        <f>IF(AND('OCTUBRE 2026'!D19&lt;&gt;"",'OCTUBRE 2026'!Z19="POR RECOGER"),IF('OCTUBRE 2026'!Y19&lt;&gt;"",'OCTUBRE 2026'!Y19,'OCTUBRE 2026'!I19),"")</f>
        <v/>
      </c>
      <c r="C960" s="381">
        <f>IF(AND('OCTUBRE 2026'!D19&lt;&gt;"",'OCTUBRE 2026'!Z19="POR RECOGER"),'OCTUBRE 2026'!D19,"")</f>
        <v/>
      </c>
      <c r="D960" s="381">
        <f>IF(AND('OCTUBRE 2026'!D19&lt;&gt;"",'OCTUBRE 2026'!Z19="POR RECOGER"),'OCTUBRE 2026'!F19,"")</f>
        <v/>
      </c>
      <c r="E960" s="381">
        <f>IF(AND('OCTUBRE 2026'!D19&lt;&gt;"",'OCTUBRE 2026'!Z19="POR RECOGER"),TEXT('OCTUBRE 2026'!G19,"DD/MM/YYYY"),"")</f>
        <v/>
      </c>
      <c r="F960" s="381">
        <f>IF(AND('OCTUBRE 2026'!D19&lt;&gt;"",'OCTUBRE 2026'!Z19="POR RECOGER"),'OCTUBRE 2026'!K19,"")</f>
        <v/>
      </c>
      <c r="G960" s="382">
        <f>IF(AND('OCTUBRE 2026'!D19&lt;&gt;"",'OCTUBRE 2026'!Z19="POR RECOGER"),'OCTUBRE 2026'!M19,"")</f>
        <v/>
      </c>
      <c r="H960" s="382">
        <f>IF(AND('OCTUBRE 2026'!D19&lt;&gt;"",'OCTUBRE 2026'!Z19="POR RECOGER"),'OCTUBRE 2026'!N19,"")</f>
        <v/>
      </c>
      <c r="I960" s="381">
        <f>IF(AND('OCTUBRE 2026'!D19&lt;&gt;"",'OCTUBRE 2026'!Z19="POR RECOGER"),'OCTUBRE 2026'!P19,"")</f>
        <v/>
      </c>
      <c r="J960" s="381">
        <f>IF(AND('OCTUBRE 2026'!D19&lt;&gt;"",'OCTUBRE 2026'!Z19="POR RECOGER"),'OCTUBRE 2026'!Q19,"")</f>
        <v/>
      </c>
      <c r="K960" s="381">
        <f>IF(AND('OCTUBRE 2026'!D19&lt;&gt;"",'OCTUBRE 2026'!Z19="POR RECOGER"),'OCTUBRE 2026'!Y19,"")</f>
        <v/>
      </c>
      <c r="L960" s="381">
        <f>IF(AND('OCTUBRE 2026'!D19&lt;&gt;"",'OCTUBRE 2026'!Z19="POR RECOGER"),'OCTUBRE 2026'!I19,"")</f>
        <v/>
      </c>
      <c r="P960" s="194" t="n"/>
      <c r="Q960" s="194" t="n"/>
      <c r="R960" s="194" t="n"/>
      <c r="S960" s="194" t="n"/>
      <c r="T960" s="194" t="n"/>
      <c r="U960" s="194" t="n"/>
      <c r="V960" s="194" t="n"/>
      <c r="W960" s="194" t="n"/>
      <c r="X960" s="194" t="n"/>
      <c r="Y960" s="194" t="n"/>
      <c r="Z960" s="194" t="n"/>
    </row>
    <row r="961" ht="15" customHeight="1" s="195">
      <c r="A961" s="381">
        <f>IF(AND('OCTUBRE 2026'!D20&lt;&gt;"",'OCTUBRE 2026'!Z20="POR RECOGER"),"OCT","")</f>
        <v/>
      </c>
      <c r="B961" s="381">
        <f>IF(AND('OCTUBRE 2026'!D20&lt;&gt;"",'OCTUBRE 2026'!Z20="POR RECOGER"),IF('OCTUBRE 2026'!Y20&lt;&gt;"",'OCTUBRE 2026'!Y20,'OCTUBRE 2026'!I20),"")</f>
        <v/>
      </c>
      <c r="C961" s="381">
        <f>IF(AND('OCTUBRE 2026'!D20&lt;&gt;"",'OCTUBRE 2026'!Z20="POR RECOGER"),'OCTUBRE 2026'!D20,"")</f>
        <v/>
      </c>
      <c r="D961" s="381">
        <f>IF(AND('OCTUBRE 2026'!D20&lt;&gt;"",'OCTUBRE 2026'!Z20="POR RECOGER"),'OCTUBRE 2026'!F20,"")</f>
        <v/>
      </c>
      <c r="E961" s="381">
        <f>IF(AND('OCTUBRE 2026'!D20&lt;&gt;"",'OCTUBRE 2026'!Z20="POR RECOGER"),TEXT('OCTUBRE 2026'!G20,"DD/MM/YYYY"),"")</f>
        <v/>
      </c>
      <c r="F961" s="381">
        <f>IF(AND('OCTUBRE 2026'!D20&lt;&gt;"",'OCTUBRE 2026'!Z20="POR RECOGER"),'OCTUBRE 2026'!K20,"")</f>
        <v/>
      </c>
      <c r="G961" s="382">
        <f>IF(AND('OCTUBRE 2026'!D20&lt;&gt;"",'OCTUBRE 2026'!Z20="POR RECOGER"),'OCTUBRE 2026'!M20,"")</f>
        <v/>
      </c>
      <c r="H961" s="382">
        <f>IF(AND('OCTUBRE 2026'!D20&lt;&gt;"",'OCTUBRE 2026'!Z20="POR RECOGER"),'OCTUBRE 2026'!N20,"")</f>
        <v/>
      </c>
      <c r="I961" s="381">
        <f>IF(AND('OCTUBRE 2026'!D20&lt;&gt;"",'OCTUBRE 2026'!Z20="POR RECOGER"),'OCTUBRE 2026'!P20,"")</f>
        <v/>
      </c>
      <c r="J961" s="381">
        <f>IF(AND('OCTUBRE 2026'!D20&lt;&gt;"",'OCTUBRE 2026'!Z20="POR RECOGER"),'OCTUBRE 2026'!Q20,"")</f>
        <v/>
      </c>
      <c r="K961" s="381">
        <f>IF(AND('OCTUBRE 2026'!D20&lt;&gt;"",'OCTUBRE 2026'!Z20="POR RECOGER"),'OCTUBRE 2026'!Y20,"")</f>
        <v/>
      </c>
      <c r="L961" s="381">
        <f>IF(AND('OCTUBRE 2026'!D20&lt;&gt;"",'OCTUBRE 2026'!Z20="POR RECOGER"),'OCTUBRE 2026'!I20,"")</f>
        <v/>
      </c>
      <c r="P961" s="194" t="n"/>
      <c r="Q961" s="194" t="n"/>
      <c r="R961" s="194" t="n"/>
      <c r="S961" s="194" t="n"/>
      <c r="T961" s="194" t="n"/>
      <c r="U961" s="194" t="n"/>
      <c r="V961" s="194" t="n"/>
      <c r="W961" s="194" t="n"/>
      <c r="X961" s="194" t="n"/>
      <c r="Y961" s="194" t="n"/>
      <c r="Z961" s="194" t="n"/>
    </row>
    <row r="962" ht="15" customHeight="1" s="195">
      <c r="A962" s="381">
        <f>IF(AND('OCTUBRE 2026'!D21&lt;&gt;"",'OCTUBRE 2026'!Z21="POR RECOGER"),"OCT","")</f>
        <v/>
      </c>
      <c r="B962" s="381">
        <f>IF(AND('OCTUBRE 2026'!D21&lt;&gt;"",'OCTUBRE 2026'!Z21="POR RECOGER"),IF('OCTUBRE 2026'!Y21&lt;&gt;"",'OCTUBRE 2026'!Y21,'OCTUBRE 2026'!I21),"")</f>
        <v/>
      </c>
      <c r="C962" s="381">
        <f>IF(AND('OCTUBRE 2026'!D21&lt;&gt;"",'OCTUBRE 2026'!Z21="POR RECOGER"),'OCTUBRE 2026'!D21,"")</f>
        <v/>
      </c>
      <c r="D962" s="381">
        <f>IF(AND('OCTUBRE 2026'!D21&lt;&gt;"",'OCTUBRE 2026'!Z21="POR RECOGER"),'OCTUBRE 2026'!F21,"")</f>
        <v/>
      </c>
      <c r="E962" s="381">
        <f>IF(AND('OCTUBRE 2026'!D21&lt;&gt;"",'OCTUBRE 2026'!Z21="POR RECOGER"),TEXT('OCTUBRE 2026'!G21,"DD/MM/YYYY"),"")</f>
        <v/>
      </c>
      <c r="F962" s="381">
        <f>IF(AND('OCTUBRE 2026'!D21&lt;&gt;"",'OCTUBRE 2026'!Z21="POR RECOGER"),'OCTUBRE 2026'!K21,"")</f>
        <v/>
      </c>
      <c r="G962" s="382">
        <f>IF(AND('OCTUBRE 2026'!D21&lt;&gt;"",'OCTUBRE 2026'!Z21="POR RECOGER"),'OCTUBRE 2026'!M21,"")</f>
        <v/>
      </c>
      <c r="H962" s="382">
        <f>IF(AND('OCTUBRE 2026'!D21&lt;&gt;"",'OCTUBRE 2026'!Z21="POR RECOGER"),'OCTUBRE 2026'!N21,"")</f>
        <v/>
      </c>
      <c r="I962" s="381">
        <f>IF(AND('OCTUBRE 2026'!D21&lt;&gt;"",'OCTUBRE 2026'!Z21="POR RECOGER"),'OCTUBRE 2026'!P21,"")</f>
        <v/>
      </c>
      <c r="J962" s="381">
        <f>IF(AND('OCTUBRE 2026'!D21&lt;&gt;"",'OCTUBRE 2026'!Z21="POR RECOGER"),'OCTUBRE 2026'!Q21,"")</f>
        <v/>
      </c>
      <c r="K962" s="381">
        <f>IF(AND('OCTUBRE 2026'!D21&lt;&gt;"",'OCTUBRE 2026'!Z21="POR RECOGER"),'OCTUBRE 2026'!Y21,"")</f>
        <v/>
      </c>
      <c r="L962" s="381">
        <f>IF(AND('OCTUBRE 2026'!D21&lt;&gt;"",'OCTUBRE 2026'!Z21="POR RECOGER"),'OCTUBRE 2026'!I21,"")</f>
        <v/>
      </c>
      <c r="P962" s="194" t="n"/>
      <c r="Q962" s="194" t="n"/>
      <c r="R962" s="194" t="n"/>
      <c r="S962" s="194" t="n"/>
      <c r="T962" s="194" t="n"/>
      <c r="U962" s="194" t="n"/>
      <c r="V962" s="194" t="n"/>
      <c r="W962" s="194" t="n"/>
      <c r="X962" s="194" t="n"/>
      <c r="Y962" s="194" t="n"/>
      <c r="Z962" s="194" t="n"/>
    </row>
    <row r="963" ht="15" customHeight="1" s="195">
      <c r="A963" s="381">
        <f>IF(AND('OCTUBRE 2026'!D22&lt;&gt;"",'OCTUBRE 2026'!Z22="POR RECOGER"),"OCT","")</f>
        <v/>
      </c>
      <c r="B963" s="381">
        <f>IF(AND('OCTUBRE 2026'!D22&lt;&gt;"",'OCTUBRE 2026'!Z22="POR RECOGER"),IF('OCTUBRE 2026'!Y22&lt;&gt;"",'OCTUBRE 2026'!Y22,'OCTUBRE 2026'!I22),"")</f>
        <v/>
      </c>
      <c r="C963" s="381">
        <f>IF(AND('OCTUBRE 2026'!D22&lt;&gt;"",'OCTUBRE 2026'!Z22="POR RECOGER"),'OCTUBRE 2026'!D22,"")</f>
        <v/>
      </c>
      <c r="D963" s="381">
        <f>IF(AND('OCTUBRE 2026'!D22&lt;&gt;"",'OCTUBRE 2026'!Z22="POR RECOGER"),'OCTUBRE 2026'!F22,"")</f>
        <v/>
      </c>
      <c r="E963" s="381">
        <f>IF(AND('OCTUBRE 2026'!D22&lt;&gt;"",'OCTUBRE 2026'!Z22="POR RECOGER"),TEXT('OCTUBRE 2026'!G22,"DD/MM/YYYY"),"")</f>
        <v/>
      </c>
      <c r="F963" s="381">
        <f>IF(AND('OCTUBRE 2026'!D22&lt;&gt;"",'OCTUBRE 2026'!Z22="POR RECOGER"),'OCTUBRE 2026'!K22,"")</f>
        <v/>
      </c>
      <c r="G963" s="382">
        <f>IF(AND('OCTUBRE 2026'!D22&lt;&gt;"",'OCTUBRE 2026'!Z22="POR RECOGER"),'OCTUBRE 2026'!M22,"")</f>
        <v/>
      </c>
      <c r="H963" s="382">
        <f>IF(AND('OCTUBRE 2026'!D22&lt;&gt;"",'OCTUBRE 2026'!Z22="POR RECOGER"),'OCTUBRE 2026'!N22,"")</f>
        <v/>
      </c>
      <c r="I963" s="381">
        <f>IF(AND('OCTUBRE 2026'!D22&lt;&gt;"",'OCTUBRE 2026'!Z22="POR RECOGER"),'OCTUBRE 2026'!P22,"")</f>
        <v/>
      </c>
      <c r="J963" s="381">
        <f>IF(AND('OCTUBRE 2026'!D22&lt;&gt;"",'OCTUBRE 2026'!Z22="POR RECOGER"),'OCTUBRE 2026'!Q22,"")</f>
        <v/>
      </c>
      <c r="K963" s="381">
        <f>IF(AND('OCTUBRE 2026'!D22&lt;&gt;"",'OCTUBRE 2026'!Z22="POR RECOGER"),'OCTUBRE 2026'!Y22,"")</f>
        <v/>
      </c>
      <c r="L963" s="381">
        <f>IF(AND('OCTUBRE 2026'!D22&lt;&gt;"",'OCTUBRE 2026'!Z22="POR RECOGER"),'OCTUBRE 2026'!I22,"")</f>
        <v/>
      </c>
      <c r="P963" s="194" t="n"/>
      <c r="Q963" s="194" t="n"/>
      <c r="R963" s="194" t="n"/>
      <c r="S963" s="194" t="n"/>
      <c r="T963" s="194" t="n"/>
      <c r="U963" s="194" t="n"/>
      <c r="V963" s="194" t="n"/>
      <c r="W963" s="194" t="n"/>
      <c r="X963" s="194" t="n"/>
      <c r="Y963" s="194" t="n"/>
      <c r="Z963" s="194" t="n"/>
    </row>
    <row r="964" ht="15" customHeight="1" s="195">
      <c r="A964" s="381">
        <f>IF(AND('OCTUBRE 2026'!D23&lt;&gt;"",'OCTUBRE 2026'!Z23="POR RECOGER"),"OCT","")</f>
        <v/>
      </c>
      <c r="B964" s="381">
        <f>IF(AND('OCTUBRE 2026'!D23&lt;&gt;"",'OCTUBRE 2026'!Z23="POR RECOGER"),IF('OCTUBRE 2026'!Y23&lt;&gt;"",'OCTUBRE 2026'!Y23,'OCTUBRE 2026'!I23),"")</f>
        <v/>
      </c>
      <c r="C964" s="381">
        <f>IF(AND('OCTUBRE 2026'!D23&lt;&gt;"",'OCTUBRE 2026'!Z23="POR RECOGER"),'OCTUBRE 2026'!D23,"")</f>
        <v/>
      </c>
      <c r="D964" s="381">
        <f>IF(AND('OCTUBRE 2026'!D23&lt;&gt;"",'OCTUBRE 2026'!Z23="POR RECOGER"),'OCTUBRE 2026'!F23,"")</f>
        <v/>
      </c>
      <c r="E964" s="381">
        <f>IF(AND('OCTUBRE 2026'!D23&lt;&gt;"",'OCTUBRE 2026'!Z23="POR RECOGER"),TEXT('OCTUBRE 2026'!G23,"DD/MM/YYYY"),"")</f>
        <v/>
      </c>
      <c r="F964" s="381">
        <f>IF(AND('OCTUBRE 2026'!D23&lt;&gt;"",'OCTUBRE 2026'!Z23="POR RECOGER"),'OCTUBRE 2026'!K23,"")</f>
        <v/>
      </c>
      <c r="G964" s="382">
        <f>IF(AND('OCTUBRE 2026'!D23&lt;&gt;"",'OCTUBRE 2026'!Z23="POR RECOGER"),'OCTUBRE 2026'!M23,"")</f>
        <v/>
      </c>
      <c r="H964" s="382">
        <f>IF(AND('OCTUBRE 2026'!D23&lt;&gt;"",'OCTUBRE 2026'!Z23="POR RECOGER"),'OCTUBRE 2026'!N23,"")</f>
        <v/>
      </c>
      <c r="I964" s="381">
        <f>IF(AND('OCTUBRE 2026'!D23&lt;&gt;"",'OCTUBRE 2026'!Z23="POR RECOGER"),'OCTUBRE 2026'!P23,"")</f>
        <v/>
      </c>
      <c r="J964" s="381">
        <f>IF(AND('OCTUBRE 2026'!D23&lt;&gt;"",'OCTUBRE 2026'!Z23="POR RECOGER"),'OCTUBRE 2026'!Q23,"")</f>
        <v/>
      </c>
      <c r="K964" s="381">
        <f>IF(AND('OCTUBRE 2026'!D23&lt;&gt;"",'OCTUBRE 2026'!Z23="POR RECOGER"),'OCTUBRE 2026'!Y23,"")</f>
        <v/>
      </c>
      <c r="L964" s="381">
        <f>IF(AND('OCTUBRE 2026'!D23&lt;&gt;"",'OCTUBRE 2026'!Z23="POR RECOGER"),'OCTUBRE 2026'!I23,"")</f>
        <v/>
      </c>
      <c r="P964" s="194" t="n"/>
      <c r="Q964" s="194" t="n"/>
      <c r="R964" s="194" t="n"/>
      <c r="S964" s="194" t="n"/>
      <c r="T964" s="194" t="n"/>
      <c r="U964" s="194" t="n"/>
      <c r="V964" s="194" t="n"/>
      <c r="W964" s="194" t="n"/>
      <c r="X964" s="194" t="n"/>
      <c r="Y964" s="194" t="n"/>
      <c r="Z964" s="194" t="n"/>
    </row>
    <row r="965" ht="15" customHeight="1" s="195">
      <c r="A965" s="381">
        <f>IF(AND('OCTUBRE 2026'!D24&lt;&gt;"",'OCTUBRE 2026'!Z24="POR RECOGER"),"OCT","")</f>
        <v/>
      </c>
      <c r="B965" s="381">
        <f>IF(AND('OCTUBRE 2026'!D24&lt;&gt;"",'OCTUBRE 2026'!Z24="POR RECOGER"),IF('OCTUBRE 2026'!Y24&lt;&gt;"",'OCTUBRE 2026'!Y24,'OCTUBRE 2026'!I24),"")</f>
        <v/>
      </c>
      <c r="C965" s="381">
        <f>IF(AND('OCTUBRE 2026'!D24&lt;&gt;"",'OCTUBRE 2026'!Z24="POR RECOGER"),'OCTUBRE 2026'!D24,"")</f>
        <v/>
      </c>
      <c r="D965" s="381">
        <f>IF(AND('OCTUBRE 2026'!D24&lt;&gt;"",'OCTUBRE 2026'!Z24="POR RECOGER"),'OCTUBRE 2026'!F24,"")</f>
        <v/>
      </c>
      <c r="E965" s="381">
        <f>IF(AND('OCTUBRE 2026'!D24&lt;&gt;"",'OCTUBRE 2026'!Z24="POR RECOGER"),TEXT('OCTUBRE 2026'!G24,"DD/MM/YYYY"),"")</f>
        <v/>
      </c>
      <c r="F965" s="381">
        <f>IF(AND('OCTUBRE 2026'!D24&lt;&gt;"",'OCTUBRE 2026'!Z24="POR RECOGER"),'OCTUBRE 2026'!K24,"")</f>
        <v/>
      </c>
      <c r="G965" s="382">
        <f>IF(AND('OCTUBRE 2026'!D24&lt;&gt;"",'OCTUBRE 2026'!Z24="POR RECOGER"),'OCTUBRE 2026'!M24,"")</f>
        <v/>
      </c>
      <c r="H965" s="382">
        <f>IF(AND('OCTUBRE 2026'!D24&lt;&gt;"",'OCTUBRE 2026'!Z24="POR RECOGER"),'OCTUBRE 2026'!N24,"")</f>
        <v/>
      </c>
      <c r="I965" s="381">
        <f>IF(AND('OCTUBRE 2026'!D24&lt;&gt;"",'OCTUBRE 2026'!Z24="POR RECOGER"),'OCTUBRE 2026'!P24,"")</f>
        <v/>
      </c>
      <c r="J965" s="381">
        <f>IF(AND('OCTUBRE 2026'!D24&lt;&gt;"",'OCTUBRE 2026'!Z24="POR RECOGER"),'OCTUBRE 2026'!Q24,"")</f>
        <v/>
      </c>
      <c r="K965" s="381">
        <f>IF(AND('OCTUBRE 2026'!D24&lt;&gt;"",'OCTUBRE 2026'!Z24="POR RECOGER"),'OCTUBRE 2026'!Y24,"")</f>
        <v/>
      </c>
      <c r="L965" s="381">
        <f>IF(AND('OCTUBRE 2026'!D24&lt;&gt;"",'OCTUBRE 2026'!Z24="POR RECOGER"),'OCTUBRE 2026'!I24,"")</f>
        <v/>
      </c>
      <c r="P965" s="194" t="n"/>
      <c r="Q965" s="194" t="n"/>
      <c r="R965" s="194" t="n"/>
      <c r="S965" s="194" t="n"/>
      <c r="T965" s="194" t="n"/>
      <c r="U965" s="194" t="n"/>
      <c r="V965" s="194" t="n"/>
      <c r="W965" s="194" t="n"/>
      <c r="X965" s="194" t="n"/>
      <c r="Y965" s="194" t="n"/>
      <c r="Z965" s="194" t="n"/>
    </row>
    <row r="966" ht="15" customHeight="1" s="195">
      <c r="A966" s="381">
        <f>IF(AND('OCTUBRE 2026'!D25&lt;&gt;"",'OCTUBRE 2026'!Z25="POR RECOGER"),"OCT","")</f>
        <v/>
      </c>
      <c r="B966" s="381">
        <f>IF(AND('OCTUBRE 2026'!D25&lt;&gt;"",'OCTUBRE 2026'!Z25="POR RECOGER"),IF('OCTUBRE 2026'!Y25&lt;&gt;"",'OCTUBRE 2026'!Y25,'OCTUBRE 2026'!I25),"")</f>
        <v/>
      </c>
      <c r="C966" s="381">
        <f>IF(AND('OCTUBRE 2026'!D25&lt;&gt;"",'OCTUBRE 2026'!Z25="POR RECOGER"),'OCTUBRE 2026'!D25,"")</f>
        <v/>
      </c>
      <c r="D966" s="381">
        <f>IF(AND('OCTUBRE 2026'!D25&lt;&gt;"",'OCTUBRE 2026'!Z25="POR RECOGER"),'OCTUBRE 2026'!F25,"")</f>
        <v/>
      </c>
      <c r="E966" s="381">
        <f>IF(AND('OCTUBRE 2026'!D25&lt;&gt;"",'OCTUBRE 2026'!Z25="POR RECOGER"),TEXT('OCTUBRE 2026'!G25,"DD/MM/YYYY"),"")</f>
        <v/>
      </c>
      <c r="F966" s="381">
        <f>IF(AND('OCTUBRE 2026'!D25&lt;&gt;"",'OCTUBRE 2026'!Z25="POR RECOGER"),'OCTUBRE 2026'!K25,"")</f>
        <v/>
      </c>
      <c r="G966" s="382">
        <f>IF(AND('OCTUBRE 2026'!D25&lt;&gt;"",'OCTUBRE 2026'!Z25="POR RECOGER"),'OCTUBRE 2026'!M25,"")</f>
        <v/>
      </c>
      <c r="H966" s="382">
        <f>IF(AND('OCTUBRE 2026'!D25&lt;&gt;"",'OCTUBRE 2026'!Z25="POR RECOGER"),'OCTUBRE 2026'!N25,"")</f>
        <v/>
      </c>
      <c r="I966" s="381">
        <f>IF(AND('OCTUBRE 2026'!D25&lt;&gt;"",'OCTUBRE 2026'!Z25="POR RECOGER"),'OCTUBRE 2026'!P25,"")</f>
        <v/>
      </c>
      <c r="J966" s="381">
        <f>IF(AND('OCTUBRE 2026'!D25&lt;&gt;"",'OCTUBRE 2026'!Z25="POR RECOGER"),'OCTUBRE 2026'!Q25,"")</f>
        <v/>
      </c>
      <c r="K966" s="381">
        <f>IF(AND('OCTUBRE 2026'!D25&lt;&gt;"",'OCTUBRE 2026'!Z25="POR RECOGER"),'OCTUBRE 2026'!Y25,"")</f>
        <v/>
      </c>
      <c r="L966" s="381">
        <f>IF(AND('OCTUBRE 2026'!D25&lt;&gt;"",'OCTUBRE 2026'!Z25="POR RECOGER"),'OCTUBRE 2026'!I25,"")</f>
        <v/>
      </c>
      <c r="P966" s="194" t="n"/>
      <c r="Q966" s="194" t="n"/>
      <c r="R966" s="194" t="n"/>
      <c r="S966" s="194" t="n"/>
      <c r="T966" s="194" t="n"/>
      <c r="U966" s="194" t="n"/>
      <c r="V966" s="194" t="n"/>
      <c r="W966" s="194" t="n"/>
      <c r="X966" s="194" t="n"/>
      <c r="Y966" s="194" t="n"/>
      <c r="Z966" s="194" t="n"/>
    </row>
    <row r="967" ht="15" customHeight="1" s="195">
      <c r="A967" s="381">
        <f>IF(AND('OCTUBRE 2026'!D26&lt;&gt;"",'OCTUBRE 2026'!Z26="POR RECOGER"),"OCT","")</f>
        <v/>
      </c>
      <c r="B967" s="381">
        <f>IF(AND('OCTUBRE 2026'!D26&lt;&gt;"",'OCTUBRE 2026'!Z26="POR RECOGER"),IF('OCTUBRE 2026'!Y26&lt;&gt;"",'OCTUBRE 2026'!Y26,'OCTUBRE 2026'!I26),"")</f>
        <v/>
      </c>
      <c r="C967" s="381">
        <f>IF(AND('OCTUBRE 2026'!D26&lt;&gt;"",'OCTUBRE 2026'!Z26="POR RECOGER"),'OCTUBRE 2026'!D26,"")</f>
        <v/>
      </c>
      <c r="D967" s="381">
        <f>IF(AND('OCTUBRE 2026'!D26&lt;&gt;"",'OCTUBRE 2026'!Z26="POR RECOGER"),'OCTUBRE 2026'!F26,"")</f>
        <v/>
      </c>
      <c r="E967" s="381">
        <f>IF(AND('OCTUBRE 2026'!D26&lt;&gt;"",'OCTUBRE 2026'!Z26="POR RECOGER"),TEXT('OCTUBRE 2026'!G26,"DD/MM/YYYY"),"")</f>
        <v/>
      </c>
      <c r="F967" s="381">
        <f>IF(AND('OCTUBRE 2026'!D26&lt;&gt;"",'OCTUBRE 2026'!Z26="POR RECOGER"),'OCTUBRE 2026'!K26,"")</f>
        <v/>
      </c>
      <c r="G967" s="382">
        <f>IF(AND('OCTUBRE 2026'!D26&lt;&gt;"",'OCTUBRE 2026'!Z26="POR RECOGER"),'OCTUBRE 2026'!M26,"")</f>
        <v/>
      </c>
      <c r="H967" s="382">
        <f>IF(AND('OCTUBRE 2026'!D26&lt;&gt;"",'OCTUBRE 2026'!Z26="POR RECOGER"),'OCTUBRE 2026'!N26,"")</f>
        <v/>
      </c>
      <c r="I967" s="381">
        <f>IF(AND('OCTUBRE 2026'!D26&lt;&gt;"",'OCTUBRE 2026'!Z26="POR RECOGER"),'OCTUBRE 2026'!P26,"")</f>
        <v/>
      </c>
      <c r="J967" s="381">
        <f>IF(AND('OCTUBRE 2026'!D26&lt;&gt;"",'OCTUBRE 2026'!Z26="POR RECOGER"),'OCTUBRE 2026'!Q26,"")</f>
        <v/>
      </c>
      <c r="K967" s="381">
        <f>IF(AND('OCTUBRE 2026'!D26&lt;&gt;"",'OCTUBRE 2026'!Z26="POR RECOGER"),'OCTUBRE 2026'!Y26,"")</f>
        <v/>
      </c>
      <c r="L967" s="381">
        <f>IF(AND('OCTUBRE 2026'!D26&lt;&gt;"",'OCTUBRE 2026'!Z26="POR RECOGER"),'OCTUBRE 2026'!I26,"")</f>
        <v/>
      </c>
      <c r="P967" s="194" t="n"/>
      <c r="Q967" s="194" t="n"/>
      <c r="R967" s="194" t="n"/>
      <c r="S967" s="194" t="n"/>
      <c r="T967" s="194" t="n"/>
      <c r="U967" s="194" t="n"/>
      <c r="V967" s="194" t="n"/>
      <c r="W967" s="194" t="n"/>
      <c r="X967" s="194" t="n"/>
      <c r="Y967" s="194" t="n"/>
      <c r="Z967" s="194" t="n"/>
    </row>
    <row r="968" ht="15" customHeight="1" s="195">
      <c r="A968" s="381">
        <f>IF(AND('OCTUBRE 2026'!D27&lt;&gt;"",'OCTUBRE 2026'!Z27="POR RECOGER"),"OCT","")</f>
        <v/>
      </c>
      <c r="B968" s="381">
        <f>IF(AND('OCTUBRE 2026'!D27&lt;&gt;"",'OCTUBRE 2026'!Z27="POR RECOGER"),IF('OCTUBRE 2026'!Y27&lt;&gt;"",'OCTUBRE 2026'!Y27,'OCTUBRE 2026'!I27),"")</f>
        <v/>
      </c>
      <c r="C968" s="381">
        <f>IF(AND('OCTUBRE 2026'!D27&lt;&gt;"",'OCTUBRE 2026'!Z27="POR RECOGER"),'OCTUBRE 2026'!D27,"")</f>
        <v/>
      </c>
      <c r="D968" s="381">
        <f>IF(AND('OCTUBRE 2026'!D27&lt;&gt;"",'OCTUBRE 2026'!Z27="POR RECOGER"),'OCTUBRE 2026'!F27,"")</f>
        <v/>
      </c>
      <c r="E968" s="381">
        <f>IF(AND('OCTUBRE 2026'!D27&lt;&gt;"",'OCTUBRE 2026'!Z27="POR RECOGER"),TEXT('OCTUBRE 2026'!G27,"DD/MM/YYYY"),"")</f>
        <v/>
      </c>
      <c r="F968" s="381">
        <f>IF(AND('OCTUBRE 2026'!D27&lt;&gt;"",'OCTUBRE 2026'!Z27="POR RECOGER"),'OCTUBRE 2026'!K27,"")</f>
        <v/>
      </c>
      <c r="G968" s="382">
        <f>IF(AND('OCTUBRE 2026'!D27&lt;&gt;"",'OCTUBRE 2026'!Z27="POR RECOGER"),'OCTUBRE 2026'!M27,"")</f>
        <v/>
      </c>
      <c r="H968" s="382">
        <f>IF(AND('OCTUBRE 2026'!D27&lt;&gt;"",'OCTUBRE 2026'!Z27="POR RECOGER"),'OCTUBRE 2026'!N27,"")</f>
        <v/>
      </c>
      <c r="I968" s="381">
        <f>IF(AND('OCTUBRE 2026'!D27&lt;&gt;"",'OCTUBRE 2026'!Z27="POR RECOGER"),'OCTUBRE 2026'!P27,"")</f>
        <v/>
      </c>
      <c r="J968" s="381">
        <f>IF(AND('OCTUBRE 2026'!D27&lt;&gt;"",'OCTUBRE 2026'!Z27="POR RECOGER"),'OCTUBRE 2026'!Q27,"")</f>
        <v/>
      </c>
      <c r="K968" s="381">
        <f>IF(AND('OCTUBRE 2026'!D27&lt;&gt;"",'OCTUBRE 2026'!Z27="POR RECOGER"),'OCTUBRE 2026'!Y27,"")</f>
        <v/>
      </c>
      <c r="L968" s="381">
        <f>IF(AND('OCTUBRE 2026'!D27&lt;&gt;"",'OCTUBRE 2026'!Z27="POR RECOGER"),'OCTUBRE 2026'!I27,"")</f>
        <v/>
      </c>
      <c r="P968" s="194" t="n"/>
      <c r="Q968" s="194" t="n"/>
      <c r="R968" s="194" t="n"/>
      <c r="S968" s="194" t="n"/>
      <c r="T968" s="194" t="n"/>
      <c r="U968" s="194" t="n"/>
      <c r="V968" s="194" t="n"/>
      <c r="W968" s="194" t="n"/>
      <c r="X968" s="194" t="n"/>
      <c r="Y968" s="194" t="n"/>
      <c r="Z968" s="194" t="n"/>
    </row>
    <row r="969" ht="15" customHeight="1" s="195">
      <c r="A969" s="381">
        <f>IF(AND('OCTUBRE 2026'!D28&lt;&gt;"",'OCTUBRE 2026'!Z28="POR RECOGER"),"OCT","")</f>
        <v/>
      </c>
      <c r="B969" s="381">
        <f>IF(AND('OCTUBRE 2026'!D28&lt;&gt;"",'OCTUBRE 2026'!Z28="POR RECOGER"),IF('OCTUBRE 2026'!Y28&lt;&gt;"",'OCTUBRE 2026'!Y28,'OCTUBRE 2026'!I28),"")</f>
        <v/>
      </c>
      <c r="C969" s="381">
        <f>IF(AND('OCTUBRE 2026'!D28&lt;&gt;"",'OCTUBRE 2026'!Z28="POR RECOGER"),'OCTUBRE 2026'!D28,"")</f>
        <v/>
      </c>
      <c r="D969" s="381">
        <f>IF(AND('OCTUBRE 2026'!D28&lt;&gt;"",'OCTUBRE 2026'!Z28="POR RECOGER"),'OCTUBRE 2026'!F28,"")</f>
        <v/>
      </c>
      <c r="E969" s="381">
        <f>IF(AND('OCTUBRE 2026'!D28&lt;&gt;"",'OCTUBRE 2026'!Z28="POR RECOGER"),TEXT('OCTUBRE 2026'!G28,"DD/MM/YYYY"),"")</f>
        <v/>
      </c>
      <c r="F969" s="381">
        <f>IF(AND('OCTUBRE 2026'!D28&lt;&gt;"",'OCTUBRE 2026'!Z28="POR RECOGER"),'OCTUBRE 2026'!K28,"")</f>
        <v/>
      </c>
      <c r="G969" s="382">
        <f>IF(AND('OCTUBRE 2026'!D28&lt;&gt;"",'OCTUBRE 2026'!Z28="POR RECOGER"),'OCTUBRE 2026'!M28,"")</f>
        <v/>
      </c>
      <c r="H969" s="382">
        <f>IF(AND('OCTUBRE 2026'!D28&lt;&gt;"",'OCTUBRE 2026'!Z28="POR RECOGER"),'OCTUBRE 2026'!N28,"")</f>
        <v/>
      </c>
      <c r="I969" s="381">
        <f>IF(AND('OCTUBRE 2026'!D28&lt;&gt;"",'OCTUBRE 2026'!Z28="POR RECOGER"),'OCTUBRE 2026'!P28,"")</f>
        <v/>
      </c>
      <c r="J969" s="381">
        <f>IF(AND('OCTUBRE 2026'!D28&lt;&gt;"",'OCTUBRE 2026'!Z28="POR RECOGER"),'OCTUBRE 2026'!Q28,"")</f>
        <v/>
      </c>
      <c r="K969" s="381">
        <f>IF(AND('OCTUBRE 2026'!D28&lt;&gt;"",'OCTUBRE 2026'!Z28="POR RECOGER"),'OCTUBRE 2026'!Y28,"")</f>
        <v/>
      </c>
      <c r="L969" s="381">
        <f>IF(AND('OCTUBRE 2026'!D28&lt;&gt;"",'OCTUBRE 2026'!Z28="POR RECOGER"),'OCTUBRE 2026'!I28,"")</f>
        <v/>
      </c>
      <c r="P969" s="194" t="n"/>
      <c r="Q969" s="194" t="n"/>
      <c r="R969" s="194" t="n"/>
      <c r="S969" s="194" t="n"/>
      <c r="T969" s="194" t="n"/>
      <c r="U969" s="194" t="n"/>
      <c r="V969" s="194" t="n"/>
      <c r="W969" s="194" t="n"/>
      <c r="X969" s="194" t="n"/>
      <c r="Y969" s="194" t="n"/>
      <c r="Z969" s="194" t="n"/>
    </row>
    <row r="970" ht="15" customHeight="1" s="195">
      <c r="A970" s="381">
        <f>IF(AND('OCTUBRE 2026'!D29&lt;&gt;"",'OCTUBRE 2026'!Z29="POR RECOGER"),"OCT","")</f>
        <v/>
      </c>
      <c r="B970" s="381">
        <f>IF(AND('OCTUBRE 2026'!D29&lt;&gt;"",'OCTUBRE 2026'!Z29="POR RECOGER"),IF('OCTUBRE 2026'!Y29&lt;&gt;"",'OCTUBRE 2026'!Y29,'OCTUBRE 2026'!I29),"")</f>
        <v/>
      </c>
      <c r="C970" s="381">
        <f>IF(AND('OCTUBRE 2026'!D29&lt;&gt;"",'OCTUBRE 2026'!Z29="POR RECOGER"),'OCTUBRE 2026'!D29,"")</f>
        <v/>
      </c>
      <c r="D970" s="381">
        <f>IF(AND('OCTUBRE 2026'!D29&lt;&gt;"",'OCTUBRE 2026'!Z29="POR RECOGER"),'OCTUBRE 2026'!F29,"")</f>
        <v/>
      </c>
      <c r="E970" s="381">
        <f>IF(AND('OCTUBRE 2026'!D29&lt;&gt;"",'OCTUBRE 2026'!Z29="POR RECOGER"),TEXT('OCTUBRE 2026'!G29,"DD/MM/YYYY"),"")</f>
        <v/>
      </c>
      <c r="F970" s="381">
        <f>IF(AND('OCTUBRE 2026'!D29&lt;&gt;"",'OCTUBRE 2026'!Z29="POR RECOGER"),'OCTUBRE 2026'!K29,"")</f>
        <v/>
      </c>
      <c r="G970" s="382">
        <f>IF(AND('OCTUBRE 2026'!D29&lt;&gt;"",'OCTUBRE 2026'!Z29="POR RECOGER"),'OCTUBRE 2026'!M29,"")</f>
        <v/>
      </c>
      <c r="H970" s="382">
        <f>IF(AND('OCTUBRE 2026'!D29&lt;&gt;"",'OCTUBRE 2026'!Z29="POR RECOGER"),'OCTUBRE 2026'!N29,"")</f>
        <v/>
      </c>
      <c r="I970" s="381">
        <f>IF(AND('OCTUBRE 2026'!D29&lt;&gt;"",'OCTUBRE 2026'!Z29="POR RECOGER"),'OCTUBRE 2026'!P29,"")</f>
        <v/>
      </c>
      <c r="J970" s="381">
        <f>IF(AND('OCTUBRE 2026'!D29&lt;&gt;"",'OCTUBRE 2026'!Z29="POR RECOGER"),'OCTUBRE 2026'!Q29,"")</f>
        <v/>
      </c>
      <c r="K970" s="381">
        <f>IF(AND('OCTUBRE 2026'!D29&lt;&gt;"",'OCTUBRE 2026'!Z29="POR RECOGER"),'OCTUBRE 2026'!Y29,"")</f>
        <v/>
      </c>
      <c r="L970" s="381">
        <f>IF(AND('OCTUBRE 2026'!D29&lt;&gt;"",'OCTUBRE 2026'!Z29="POR RECOGER"),'OCTUBRE 2026'!I29,"")</f>
        <v/>
      </c>
      <c r="P970" s="194" t="n"/>
      <c r="Q970" s="194" t="n"/>
      <c r="R970" s="194" t="n"/>
      <c r="S970" s="194" t="n"/>
      <c r="T970" s="194" t="n"/>
      <c r="U970" s="194" t="n"/>
      <c r="V970" s="194" t="n"/>
      <c r="W970" s="194" t="n"/>
      <c r="X970" s="194" t="n"/>
      <c r="Y970" s="194" t="n"/>
      <c r="Z970" s="194" t="n"/>
    </row>
    <row r="971" ht="15" customHeight="1" s="195">
      <c r="A971" s="381">
        <f>IF(AND('OCTUBRE 2026'!D30&lt;&gt;"",'OCTUBRE 2026'!Z30="POR RECOGER"),"OCT","")</f>
        <v/>
      </c>
      <c r="B971" s="381">
        <f>IF(AND('OCTUBRE 2026'!D30&lt;&gt;"",'OCTUBRE 2026'!Z30="POR RECOGER"),IF('OCTUBRE 2026'!Y30&lt;&gt;"",'OCTUBRE 2026'!Y30,'OCTUBRE 2026'!I30),"")</f>
        <v/>
      </c>
      <c r="C971" s="381">
        <f>IF(AND('OCTUBRE 2026'!D30&lt;&gt;"",'OCTUBRE 2026'!Z30="POR RECOGER"),'OCTUBRE 2026'!D30,"")</f>
        <v/>
      </c>
      <c r="D971" s="381">
        <f>IF(AND('OCTUBRE 2026'!D30&lt;&gt;"",'OCTUBRE 2026'!Z30="POR RECOGER"),'OCTUBRE 2026'!F30,"")</f>
        <v/>
      </c>
      <c r="E971" s="381">
        <f>IF(AND('OCTUBRE 2026'!D30&lt;&gt;"",'OCTUBRE 2026'!Z30="POR RECOGER"),TEXT('OCTUBRE 2026'!G30,"DD/MM/YYYY"),"")</f>
        <v/>
      </c>
      <c r="F971" s="381">
        <f>IF(AND('OCTUBRE 2026'!D30&lt;&gt;"",'OCTUBRE 2026'!Z30="POR RECOGER"),'OCTUBRE 2026'!K30,"")</f>
        <v/>
      </c>
      <c r="G971" s="382">
        <f>IF(AND('OCTUBRE 2026'!D30&lt;&gt;"",'OCTUBRE 2026'!Z30="POR RECOGER"),'OCTUBRE 2026'!M30,"")</f>
        <v/>
      </c>
      <c r="H971" s="382">
        <f>IF(AND('OCTUBRE 2026'!D30&lt;&gt;"",'OCTUBRE 2026'!Z30="POR RECOGER"),'OCTUBRE 2026'!N30,"")</f>
        <v/>
      </c>
      <c r="I971" s="381">
        <f>IF(AND('OCTUBRE 2026'!D30&lt;&gt;"",'OCTUBRE 2026'!Z30="POR RECOGER"),'OCTUBRE 2026'!P30,"")</f>
        <v/>
      </c>
      <c r="J971" s="381">
        <f>IF(AND('OCTUBRE 2026'!D30&lt;&gt;"",'OCTUBRE 2026'!Z30="POR RECOGER"),'OCTUBRE 2026'!Q30,"")</f>
        <v/>
      </c>
      <c r="K971" s="381">
        <f>IF(AND('OCTUBRE 2026'!D30&lt;&gt;"",'OCTUBRE 2026'!Z30="POR RECOGER"),'OCTUBRE 2026'!Y30,"")</f>
        <v/>
      </c>
      <c r="L971" s="381">
        <f>IF(AND('OCTUBRE 2026'!D30&lt;&gt;"",'OCTUBRE 2026'!Z30="POR RECOGER"),'OCTUBRE 2026'!I30,"")</f>
        <v/>
      </c>
      <c r="P971" s="194" t="n"/>
      <c r="Q971" s="194" t="n"/>
      <c r="R971" s="194" t="n"/>
      <c r="S971" s="194" t="n"/>
      <c r="T971" s="194" t="n"/>
      <c r="U971" s="194" t="n"/>
      <c r="V971" s="194" t="n"/>
      <c r="W971" s="194" t="n"/>
      <c r="X971" s="194" t="n"/>
      <c r="Y971" s="194" t="n"/>
      <c r="Z971" s="194" t="n"/>
    </row>
    <row r="972" ht="15" customHeight="1" s="195">
      <c r="A972" s="381">
        <f>IF(AND('OCTUBRE 2026'!D31&lt;&gt;"",'OCTUBRE 2026'!Z31="POR RECOGER"),"OCT","")</f>
        <v/>
      </c>
      <c r="B972" s="381">
        <f>IF(AND('OCTUBRE 2026'!D31&lt;&gt;"",'OCTUBRE 2026'!Z31="POR RECOGER"),IF('OCTUBRE 2026'!Y31&lt;&gt;"",'OCTUBRE 2026'!Y31,'OCTUBRE 2026'!I31),"")</f>
        <v/>
      </c>
      <c r="C972" s="381">
        <f>IF(AND('OCTUBRE 2026'!D31&lt;&gt;"",'OCTUBRE 2026'!Z31="POR RECOGER"),'OCTUBRE 2026'!D31,"")</f>
        <v/>
      </c>
      <c r="D972" s="381">
        <f>IF(AND('OCTUBRE 2026'!D31&lt;&gt;"",'OCTUBRE 2026'!Z31="POR RECOGER"),'OCTUBRE 2026'!F31,"")</f>
        <v/>
      </c>
      <c r="E972" s="381">
        <f>IF(AND('OCTUBRE 2026'!D31&lt;&gt;"",'OCTUBRE 2026'!Z31="POR RECOGER"),TEXT('OCTUBRE 2026'!G31,"DD/MM/YYYY"),"")</f>
        <v/>
      </c>
      <c r="F972" s="381">
        <f>IF(AND('OCTUBRE 2026'!D31&lt;&gt;"",'OCTUBRE 2026'!Z31="POR RECOGER"),'OCTUBRE 2026'!K31,"")</f>
        <v/>
      </c>
      <c r="G972" s="382">
        <f>IF(AND('OCTUBRE 2026'!D31&lt;&gt;"",'OCTUBRE 2026'!Z31="POR RECOGER"),'OCTUBRE 2026'!M31,"")</f>
        <v/>
      </c>
      <c r="H972" s="382">
        <f>IF(AND('OCTUBRE 2026'!D31&lt;&gt;"",'OCTUBRE 2026'!Z31="POR RECOGER"),'OCTUBRE 2026'!N31,"")</f>
        <v/>
      </c>
      <c r="I972" s="381">
        <f>IF(AND('OCTUBRE 2026'!D31&lt;&gt;"",'OCTUBRE 2026'!Z31="POR RECOGER"),'OCTUBRE 2026'!P31,"")</f>
        <v/>
      </c>
      <c r="J972" s="381">
        <f>IF(AND('OCTUBRE 2026'!D31&lt;&gt;"",'OCTUBRE 2026'!Z31="POR RECOGER"),'OCTUBRE 2026'!Q31,"")</f>
        <v/>
      </c>
      <c r="K972" s="381">
        <f>IF(AND('OCTUBRE 2026'!D31&lt;&gt;"",'OCTUBRE 2026'!Z31="POR RECOGER"),'OCTUBRE 2026'!Y31,"")</f>
        <v/>
      </c>
      <c r="L972" s="381">
        <f>IF(AND('OCTUBRE 2026'!D31&lt;&gt;"",'OCTUBRE 2026'!Z31="POR RECOGER"),'OCTUBRE 2026'!I31,"")</f>
        <v/>
      </c>
      <c r="P972" s="194" t="n"/>
      <c r="Q972" s="194" t="n"/>
      <c r="R972" s="194" t="n"/>
      <c r="S972" s="194" t="n"/>
      <c r="T972" s="194" t="n"/>
      <c r="U972" s="194" t="n"/>
      <c r="V972" s="194" t="n"/>
      <c r="W972" s="194" t="n"/>
      <c r="X972" s="194" t="n"/>
      <c r="Y972" s="194" t="n"/>
      <c r="Z972" s="194" t="n"/>
    </row>
    <row r="973" ht="15" customHeight="1" s="195">
      <c r="A973" s="381">
        <f>IF(AND('OCTUBRE 2026'!D32&lt;&gt;"",'OCTUBRE 2026'!Z32="POR RECOGER"),"OCT","")</f>
        <v/>
      </c>
      <c r="B973" s="381">
        <f>IF(AND('OCTUBRE 2026'!D32&lt;&gt;"",'OCTUBRE 2026'!Z32="POR RECOGER"),IF('OCTUBRE 2026'!Y32&lt;&gt;"",'OCTUBRE 2026'!Y32,'OCTUBRE 2026'!I32),"")</f>
        <v/>
      </c>
      <c r="C973" s="381">
        <f>IF(AND('OCTUBRE 2026'!D32&lt;&gt;"",'OCTUBRE 2026'!Z32="POR RECOGER"),'OCTUBRE 2026'!D32,"")</f>
        <v/>
      </c>
      <c r="D973" s="381">
        <f>IF(AND('OCTUBRE 2026'!D32&lt;&gt;"",'OCTUBRE 2026'!Z32="POR RECOGER"),'OCTUBRE 2026'!F32,"")</f>
        <v/>
      </c>
      <c r="E973" s="381">
        <f>IF(AND('OCTUBRE 2026'!D32&lt;&gt;"",'OCTUBRE 2026'!Z32="POR RECOGER"),TEXT('OCTUBRE 2026'!G32,"DD/MM/YYYY"),"")</f>
        <v/>
      </c>
      <c r="F973" s="381">
        <f>IF(AND('OCTUBRE 2026'!D32&lt;&gt;"",'OCTUBRE 2026'!Z32="POR RECOGER"),'OCTUBRE 2026'!K32,"")</f>
        <v/>
      </c>
      <c r="G973" s="382">
        <f>IF(AND('OCTUBRE 2026'!D32&lt;&gt;"",'OCTUBRE 2026'!Z32="POR RECOGER"),'OCTUBRE 2026'!M32,"")</f>
        <v/>
      </c>
      <c r="H973" s="382">
        <f>IF(AND('OCTUBRE 2026'!D32&lt;&gt;"",'OCTUBRE 2026'!Z32="POR RECOGER"),'OCTUBRE 2026'!N32,"")</f>
        <v/>
      </c>
      <c r="I973" s="381">
        <f>IF(AND('OCTUBRE 2026'!D32&lt;&gt;"",'OCTUBRE 2026'!Z32="POR RECOGER"),'OCTUBRE 2026'!P32,"")</f>
        <v/>
      </c>
      <c r="J973" s="381">
        <f>IF(AND('OCTUBRE 2026'!D32&lt;&gt;"",'OCTUBRE 2026'!Z32="POR RECOGER"),'OCTUBRE 2026'!Q32,"")</f>
        <v/>
      </c>
      <c r="K973" s="381">
        <f>IF(AND('OCTUBRE 2026'!D32&lt;&gt;"",'OCTUBRE 2026'!Z32="POR RECOGER"),'OCTUBRE 2026'!Y32,"")</f>
        <v/>
      </c>
      <c r="L973" s="381">
        <f>IF(AND('OCTUBRE 2026'!D32&lt;&gt;"",'OCTUBRE 2026'!Z32="POR RECOGER"),'OCTUBRE 2026'!I32,"")</f>
        <v/>
      </c>
      <c r="P973" s="194" t="n"/>
      <c r="Q973" s="194" t="n"/>
      <c r="R973" s="194" t="n"/>
      <c r="S973" s="194" t="n"/>
      <c r="T973" s="194" t="n"/>
      <c r="U973" s="194" t="n"/>
      <c r="V973" s="194" t="n"/>
      <c r="W973" s="194" t="n"/>
      <c r="X973" s="194" t="n"/>
      <c r="Y973" s="194" t="n"/>
      <c r="Z973" s="194" t="n"/>
    </row>
    <row r="974" ht="15" customHeight="1" s="195">
      <c r="A974" s="381">
        <f>IF(AND('OCTUBRE 2026'!D33&lt;&gt;"",'OCTUBRE 2026'!Z33="POR RECOGER"),"OCT","")</f>
        <v/>
      </c>
      <c r="B974" s="381">
        <f>IF(AND('OCTUBRE 2026'!D33&lt;&gt;"",'OCTUBRE 2026'!Z33="POR RECOGER"),IF('OCTUBRE 2026'!Y33&lt;&gt;"",'OCTUBRE 2026'!Y33,'OCTUBRE 2026'!I33),"")</f>
        <v/>
      </c>
      <c r="C974" s="381">
        <f>IF(AND('OCTUBRE 2026'!D33&lt;&gt;"",'OCTUBRE 2026'!Z33="POR RECOGER"),'OCTUBRE 2026'!D33,"")</f>
        <v/>
      </c>
      <c r="D974" s="381">
        <f>IF(AND('OCTUBRE 2026'!D33&lt;&gt;"",'OCTUBRE 2026'!Z33="POR RECOGER"),'OCTUBRE 2026'!F33,"")</f>
        <v/>
      </c>
      <c r="E974" s="381">
        <f>IF(AND('OCTUBRE 2026'!D33&lt;&gt;"",'OCTUBRE 2026'!Z33="POR RECOGER"),TEXT('OCTUBRE 2026'!G33,"DD/MM/YYYY"),"")</f>
        <v/>
      </c>
      <c r="F974" s="381">
        <f>IF(AND('OCTUBRE 2026'!D33&lt;&gt;"",'OCTUBRE 2026'!Z33="POR RECOGER"),'OCTUBRE 2026'!K33,"")</f>
        <v/>
      </c>
      <c r="G974" s="382">
        <f>IF(AND('OCTUBRE 2026'!D33&lt;&gt;"",'OCTUBRE 2026'!Z33="POR RECOGER"),'OCTUBRE 2026'!M33,"")</f>
        <v/>
      </c>
      <c r="H974" s="382">
        <f>IF(AND('OCTUBRE 2026'!D33&lt;&gt;"",'OCTUBRE 2026'!Z33="POR RECOGER"),'OCTUBRE 2026'!N33,"")</f>
        <v/>
      </c>
      <c r="I974" s="381">
        <f>IF(AND('OCTUBRE 2026'!D33&lt;&gt;"",'OCTUBRE 2026'!Z33="POR RECOGER"),'OCTUBRE 2026'!P33,"")</f>
        <v/>
      </c>
      <c r="J974" s="381">
        <f>IF(AND('OCTUBRE 2026'!D33&lt;&gt;"",'OCTUBRE 2026'!Z33="POR RECOGER"),'OCTUBRE 2026'!Q33,"")</f>
        <v/>
      </c>
      <c r="K974" s="381">
        <f>IF(AND('OCTUBRE 2026'!D33&lt;&gt;"",'OCTUBRE 2026'!Z33="POR RECOGER"),'OCTUBRE 2026'!Y33,"")</f>
        <v/>
      </c>
      <c r="L974" s="381">
        <f>IF(AND('OCTUBRE 2026'!D33&lt;&gt;"",'OCTUBRE 2026'!Z33="POR RECOGER"),'OCTUBRE 2026'!I33,"")</f>
        <v/>
      </c>
      <c r="P974" s="194" t="n"/>
      <c r="Q974" s="194" t="n"/>
      <c r="R974" s="194" t="n"/>
      <c r="S974" s="194" t="n"/>
      <c r="T974" s="194" t="n"/>
      <c r="U974" s="194" t="n"/>
      <c r="V974" s="194" t="n"/>
      <c r="W974" s="194" t="n"/>
      <c r="X974" s="194" t="n"/>
      <c r="Y974" s="194" t="n"/>
      <c r="Z974" s="194" t="n"/>
    </row>
    <row r="975" ht="15" customHeight="1" s="195">
      <c r="A975" s="381">
        <f>IF(AND('OCTUBRE 2026'!D34&lt;&gt;"",'OCTUBRE 2026'!Z34="POR RECOGER"),"OCT","")</f>
        <v/>
      </c>
      <c r="B975" s="381">
        <f>IF(AND('OCTUBRE 2026'!D34&lt;&gt;"",'OCTUBRE 2026'!Z34="POR RECOGER"),IF('OCTUBRE 2026'!Y34&lt;&gt;"",'OCTUBRE 2026'!Y34,'OCTUBRE 2026'!I34),"")</f>
        <v/>
      </c>
      <c r="C975" s="381">
        <f>IF(AND('OCTUBRE 2026'!D34&lt;&gt;"",'OCTUBRE 2026'!Z34="POR RECOGER"),'OCTUBRE 2026'!D34,"")</f>
        <v/>
      </c>
      <c r="D975" s="381">
        <f>IF(AND('OCTUBRE 2026'!D34&lt;&gt;"",'OCTUBRE 2026'!Z34="POR RECOGER"),'OCTUBRE 2026'!F34,"")</f>
        <v/>
      </c>
      <c r="E975" s="381">
        <f>IF(AND('OCTUBRE 2026'!D34&lt;&gt;"",'OCTUBRE 2026'!Z34="POR RECOGER"),TEXT('OCTUBRE 2026'!G34,"DD/MM/YYYY"),"")</f>
        <v/>
      </c>
      <c r="F975" s="381">
        <f>IF(AND('OCTUBRE 2026'!D34&lt;&gt;"",'OCTUBRE 2026'!Z34="POR RECOGER"),'OCTUBRE 2026'!K34,"")</f>
        <v/>
      </c>
      <c r="G975" s="382">
        <f>IF(AND('OCTUBRE 2026'!D34&lt;&gt;"",'OCTUBRE 2026'!Z34="POR RECOGER"),'OCTUBRE 2026'!M34,"")</f>
        <v/>
      </c>
      <c r="H975" s="382">
        <f>IF(AND('OCTUBRE 2026'!D34&lt;&gt;"",'OCTUBRE 2026'!Z34="POR RECOGER"),'OCTUBRE 2026'!N34,"")</f>
        <v/>
      </c>
      <c r="I975" s="381">
        <f>IF(AND('OCTUBRE 2026'!D34&lt;&gt;"",'OCTUBRE 2026'!Z34="POR RECOGER"),'OCTUBRE 2026'!P34,"")</f>
        <v/>
      </c>
      <c r="J975" s="381">
        <f>IF(AND('OCTUBRE 2026'!D34&lt;&gt;"",'OCTUBRE 2026'!Z34="POR RECOGER"),'OCTUBRE 2026'!Q34,"")</f>
        <v/>
      </c>
      <c r="K975" s="381">
        <f>IF(AND('OCTUBRE 2026'!D34&lt;&gt;"",'OCTUBRE 2026'!Z34="POR RECOGER"),'OCTUBRE 2026'!Y34,"")</f>
        <v/>
      </c>
      <c r="L975" s="381">
        <f>IF(AND('OCTUBRE 2026'!D34&lt;&gt;"",'OCTUBRE 2026'!Z34="POR RECOGER"),'OCTUBRE 2026'!I34,"")</f>
        <v/>
      </c>
      <c r="P975" s="194" t="n"/>
      <c r="Q975" s="194" t="n"/>
      <c r="R975" s="194" t="n"/>
      <c r="S975" s="194" t="n"/>
      <c r="T975" s="194" t="n"/>
      <c r="U975" s="194" t="n"/>
      <c r="V975" s="194" t="n"/>
      <c r="W975" s="194" t="n"/>
      <c r="X975" s="194" t="n"/>
      <c r="Y975" s="194" t="n"/>
      <c r="Z975" s="194" t="n"/>
    </row>
    <row r="976" ht="15" customHeight="1" s="195">
      <c r="A976" s="381">
        <f>IF(AND('OCTUBRE 2026'!D35&lt;&gt;"",'OCTUBRE 2026'!Z35="POR RECOGER"),"OCT","")</f>
        <v/>
      </c>
      <c r="B976" s="381">
        <f>IF(AND('OCTUBRE 2026'!D35&lt;&gt;"",'OCTUBRE 2026'!Z35="POR RECOGER"),IF('OCTUBRE 2026'!Y35&lt;&gt;"",'OCTUBRE 2026'!Y35,'OCTUBRE 2026'!I35),"")</f>
        <v/>
      </c>
      <c r="C976" s="381">
        <f>IF(AND('OCTUBRE 2026'!D35&lt;&gt;"",'OCTUBRE 2026'!Z35="POR RECOGER"),'OCTUBRE 2026'!D35,"")</f>
        <v/>
      </c>
      <c r="D976" s="381">
        <f>IF(AND('OCTUBRE 2026'!D35&lt;&gt;"",'OCTUBRE 2026'!Z35="POR RECOGER"),'OCTUBRE 2026'!F35,"")</f>
        <v/>
      </c>
      <c r="E976" s="381">
        <f>IF(AND('OCTUBRE 2026'!D35&lt;&gt;"",'OCTUBRE 2026'!Z35="POR RECOGER"),TEXT('OCTUBRE 2026'!G35,"DD/MM/YYYY"),"")</f>
        <v/>
      </c>
      <c r="F976" s="381">
        <f>IF(AND('OCTUBRE 2026'!D35&lt;&gt;"",'OCTUBRE 2026'!Z35="POR RECOGER"),'OCTUBRE 2026'!K35,"")</f>
        <v/>
      </c>
      <c r="G976" s="382">
        <f>IF(AND('OCTUBRE 2026'!D35&lt;&gt;"",'OCTUBRE 2026'!Z35="POR RECOGER"),'OCTUBRE 2026'!M35,"")</f>
        <v/>
      </c>
      <c r="H976" s="382">
        <f>IF(AND('OCTUBRE 2026'!D35&lt;&gt;"",'OCTUBRE 2026'!Z35="POR RECOGER"),'OCTUBRE 2026'!N35,"")</f>
        <v/>
      </c>
      <c r="I976" s="381">
        <f>IF(AND('OCTUBRE 2026'!D35&lt;&gt;"",'OCTUBRE 2026'!Z35="POR RECOGER"),'OCTUBRE 2026'!P35,"")</f>
        <v/>
      </c>
      <c r="J976" s="381">
        <f>IF(AND('OCTUBRE 2026'!D35&lt;&gt;"",'OCTUBRE 2026'!Z35="POR RECOGER"),'OCTUBRE 2026'!Q35,"")</f>
        <v/>
      </c>
      <c r="K976" s="381">
        <f>IF(AND('OCTUBRE 2026'!D35&lt;&gt;"",'OCTUBRE 2026'!Z35="POR RECOGER"),'OCTUBRE 2026'!Y35,"")</f>
        <v/>
      </c>
      <c r="L976" s="381">
        <f>IF(AND('OCTUBRE 2026'!D35&lt;&gt;"",'OCTUBRE 2026'!Z35="POR RECOGER"),'OCTUBRE 2026'!I35,"")</f>
        <v/>
      </c>
      <c r="P976" s="194" t="n"/>
      <c r="Q976" s="194" t="n"/>
      <c r="R976" s="194" t="n"/>
      <c r="S976" s="194" t="n"/>
      <c r="T976" s="194" t="n"/>
      <c r="U976" s="194" t="n"/>
      <c r="V976" s="194" t="n"/>
      <c r="W976" s="194" t="n"/>
      <c r="X976" s="194" t="n"/>
      <c r="Y976" s="194" t="n"/>
      <c r="Z976" s="194" t="n"/>
    </row>
    <row r="977" ht="15" customHeight="1" s="195">
      <c r="A977" s="381">
        <f>IF(AND('OCTUBRE 2026'!D36&lt;&gt;"",'OCTUBRE 2026'!Z36="POR RECOGER"),"OCT","")</f>
        <v/>
      </c>
      <c r="B977" s="381">
        <f>IF(AND('OCTUBRE 2026'!D36&lt;&gt;"",'OCTUBRE 2026'!Z36="POR RECOGER"),IF('OCTUBRE 2026'!Y36&lt;&gt;"",'OCTUBRE 2026'!Y36,'OCTUBRE 2026'!I36),"")</f>
        <v/>
      </c>
      <c r="C977" s="381">
        <f>IF(AND('OCTUBRE 2026'!D36&lt;&gt;"",'OCTUBRE 2026'!Z36="POR RECOGER"),'OCTUBRE 2026'!D36,"")</f>
        <v/>
      </c>
      <c r="D977" s="381">
        <f>IF(AND('OCTUBRE 2026'!D36&lt;&gt;"",'OCTUBRE 2026'!Z36="POR RECOGER"),'OCTUBRE 2026'!F36,"")</f>
        <v/>
      </c>
      <c r="E977" s="381">
        <f>IF(AND('OCTUBRE 2026'!D36&lt;&gt;"",'OCTUBRE 2026'!Z36="POR RECOGER"),TEXT('OCTUBRE 2026'!G36,"DD/MM/YYYY"),"")</f>
        <v/>
      </c>
      <c r="F977" s="381">
        <f>IF(AND('OCTUBRE 2026'!D36&lt;&gt;"",'OCTUBRE 2026'!Z36="POR RECOGER"),'OCTUBRE 2026'!K36,"")</f>
        <v/>
      </c>
      <c r="G977" s="382">
        <f>IF(AND('OCTUBRE 2026'!D36&lt;&gt;"",'OCTUBRE 2026'!Z36="POR RECOGER"),'OCTUBRE 2026'!M36,"")</f>
        <v/>
      </c>
      <c r="H977" s="382">
        <f>IF(AND('OCTUBRE 2026'!D36&lt;&gt;"",'OCTUBRE 2026'!Z36="POR RECOGER"),'OCTUBRE 2026'!N36,"")</f>
        <v/>
      </c>
      <c r="I977" s="381">
        <f>IF(AND('OCTUBRE 2026'!D36&lt;&gt;"",'OCTUBRE 2026'!Z36="POR RECOGER"),'OCTUBRE 2026'!P36,"")</f>
        <v/>
      </c>
      <c r="J977" s="381">
        <f>IF(AND('OCTUBRE 2026'!D36&lt;&gt;"",'OCTUBRE 2026'!Z36="POR RECOGER"),'OCTUBRE 2026'!Q36,"")</f>
        <v/>
      </c>
      <c r="K977" s="381">
        <f>IF(AND('OCTUBRE 2026'!D36&lt;&gt;"",'OCTUBRE 2026'!Z36="POR RECOGER"),'OCTUBRE 2026'!Y36,"")</f>
        <v/>
      </c>
      <c r="L977" s="381">
        <f>IF(AND('OCTUBRE 2026'!D36&lt;&gt;"",'OCTUBRE 2026'!Z36="POR RECOGER"),'OCTUBRE 2026'!I36,"")</f>
        <v/>
      </c>
      <c r="P977" s="194" t="n"/>
      <c r="Q977" s="194" t="n"/>
      <c r="R977" s="194" t="n"/>
      <c r="S977" s="194" t="n"/>
      <c r="T977" s="194" t="n"/>
      <c r="U977" s="194" t="n"/>
      <c r="V977" s="194" t="n"/>
      <c r="W977" s="194" t="n"/>
      <c r="X977" s="194" t="n"/>
      <c r="Y977" s="194" t="n"/>
      <c r="Z977" s="194" t="n"/>
    </row>
    <row r="978" ht="15" customHeight="1" s="195">
      <c r="A978" s="381">
        <f>IF(AND('OCTUBRE 2026'!D37&lt;&gt;"",'OCTUBRE 2026'!Z37="POR RECOGER"),"OCT","")</f>
        <v/>
      </c>
      <c r="B978" s="381">
        <f>IF(AND('OCTUBRE 2026'!D37&lt;&gt;"",'OCTUBRE 2026'!Z37="POR RECOGER"),IF('OCTUBRE 2026'!Y37&lt;&gt;"",'OCTUBRE 2026'!Y37,'OCTUBRE 2026'!I37),"")</f>
        <v/>
      </c>
      <c r="C978" s="381">
        <f>IF(AND('OCTUBRE 2026'!D37&lt;&gt;"",'OCTUBRE 2026'!Z37="POR RECOGER"),'OCTUBRE 2026'!D37,"")</f>
        <v/>
      </c>
      <c r="D978" s="381">
        <f>IF(AND('OCTUBRE 2026'!D37&lt;&gt;"",'OCTUBRE 2026'!Z37="POR RECOGER"),'OCTUBRE 2026'!F37,"")</f>
        <v/>
      </c>
      <c r="E978" s="381">
        <f>IF(AND('OCTUBRE 2026'!D37&lt;&gt;"",'OCTUBRE 2026'!Z37="POR RECOGER"),TEXT('OCTUBRE 2026'!G37,"DD/MM/YYYY"),"")</f>
        <v/>
      </c>
      <c r="F978" s="381">
        <f>IF(AND('OCTUBRE 2026'!D37&lt;&gt;"",'OCTUBRE 2026'!Z37="POR RECOGER"),'OCTUBRE 2026'!K37,"")</f>
        <v/>
      </c>
      <c r="G978" s="382">
        <f>IF(AND('OCTUBRE 2026'!D37&lt;&gt;"",'OCTUBRE 2026'!Z37="POR RECOGER"),'OCTUBRE 2026'!M37,"")</f>
        <v/>
      </c>
      <c r="H978" s="382">
        <f>IF(AND('OCTUBRE 2026'!D37&lt;&gt;"",'OCTUBRE 2026'!Z37="POR RECOGER"),'OCTUBRE 2026'!N37,"")</f>
        <v/>
      </c>
      <c r="I978" s="381">
        <f>IF(AND('OCTUBRE 2026'!D37&lt;&gt;"",'OCTUBRE 2026'!Z37="POR RECOGER"),'OCTUBRE 2026'!P37,"")</f>
        <v/>
      </c>
      <c r="J978" s="381">
        <f>IF(AND('OCTUBRE 2026'!D37&lt;&gt;"",'OCTUBRE 2026'!Z37="POR RECOGER"),'OCTUBRE 2026'!Q37,"")</f>
        <v/>
      </c>
      <c r="K978" s="381">
        <f>IF(AND('OCTUBRE 2026'!D37&lt;&gt;"",'OCTUBRE 2026'!Z37="POR RECOGER"),'OCTUBRE 2026'!Y37,"")</f>
        <v/>
      </c>
      <c r="L978" s="381">
        <f>IF(AND('OCTUBRE 2026'!D37&lt;&gt;"",'OCTUBRE 2026'!Z37="POR RECOGER"),'OCTUBRE 2026'!I37,"")</f>
        <v/>
      </c>
      <c r="P978" s="194" t="n"/>
      <c r="Q978" s="194" t="n"/>
      <c r="R978" s="194" t="n"/>
      <c r="S978" s="194" t="n"/>
      <c r="T978" s="194" t="n"/>
      <c r="U978" s="194" t="n"/>
      <c r="V978" s="194" t="n"/>
      <c r="W978" s="194" t="n"/>
      <c r="X978" s="194" t="n"/>
      <c r="Y978" s="194" t="n"/>
      <c r="Z978" s="194" t="n"/>
    </row>
    <row r="979" ht="15" customHeight="1" s="195">
      <c r="A979" s="381">
        <f>IF(AND('OCTUBRE 2026'!D38&lt;&gt;"",'OCTUBRE 2026'!Z38="POR RECOGER"),"OCT","")</f>
        <v/>
      </c>
      <c r="B979" s="381">
        <f>IF(AND('OCTUBRE 2026'!D38&lt;&gt;"",'OCTUBRE 2026'!Z38="POR RECOGER"),IF('OCTUBRE 2026'!Y38&lt;&gt;"",'OCTUBRE 2026'!Y38,'OCTUBRE 2026'!I38),"")</f>
        <v/>
      </c>
      <c r="C979" s="381">
        <f>IF(AND('OCTUBRE 2026'!D38&lt;&gt;"",'OCTUBRE 2026'!Z38="POR RECOGER"),'OCTUBRE 2026'!D38,"")</f>
        <v/>
      </c>
      <c r="D979" s="381">
        <f>IF(AND('OCTUBRE 2026'!D38&lt;&gt;"",'OCTUBRE 2026'!Z38="POR RECOGER"),'OCTUBRE 2026'!F38,"")</f>
        <v/>
      </c>
      <c r="E979" s="381">
        <f>IF(AND('OCTUBRE 2026'!D38&lt;&gt;"",'OCTUBRE 2026'!Z38="POR RECOGER"),TEXT('OCTUBRE 2026'!G38,"DD/MM/YYYY"),"")</f>
        <v/>
      </c>
      <c r="F979" s="381">
        <f>IF(AND('OCTUBRE 2026'!D38&lt;&gt;"",'OCTUBRE 2026'!Z38="POR RECOGER"),'OCTUBRE 2026'!K38,"")</f>
        <v/>
      </c>
      <c r="G979" s="382">
        <f>IF(AND('OCTUBRE 2026'!D38&lt;&gt;"",'OCTUBRE 2026'!Z38="POR RECOGER"),'OCTUBRE 2026'!M38,"")</f>
        <v/>
      </c>
      <c r="H979" s="382">
        <f>IF(AND('OCTUBRE 2026'!D38&lt;&gt;"",'OCTUBRE 2026'!Z38="POR RECOGER"),'OCTUBRE 2026'!N38,"")</f>
        <v/>
      </c>
      <c r="I979" s="381">
        <f>IF(AND('OCTUBRE 2026'!D38&lt;&gt;"",'OCTUBRE 2026'!Z38="POR RECOGER"),'OCTUBRE 2026'!P38,"")</f>
        <v/>
      </c>
      <c r="J979" s="381">
        <f>IF(AND('OCTUBRE 2026'!D38&lt;&gt;"",'OCTUBRE 2026'!Z38="POR RECOGER"),'OCTUBRE 2026'!Q38,"")</f>
        <v/>
      </c>
      <c r="K979" s="381">
        <f>IF(AND('OCTUBRE 2026'!D38&lt;&gt;"",'OCTUBRE 2026'!Z38="POR RECOGER"),'OCTUBRE 2026'!Y38,"")</f>
        <v/>
      </c>
      <c r="L979" s="381">
        <f>IF(AND('OCTUBRE 2026'!D38&lt;&gt;"",'OCTUBRE 2026'!Z38="POR RECOGER"),'OCTUBRE 2026'!I38,"")</f>
        <v/>
      </c>
      <c r="P979" s="194" t="n"/>
      <c r="Q979" s="194" t="n"/>
      <c r="R979" s="194" t="n"/>
      <c r="S979" s="194" t="n"/>
      <c r="T979" s="194" t="n"/>
      <c r="U979" s="194" t="n"/>
      <c r="V979" s="194" t="n"/>
      <c r="W979" s="194" t="n"/>
      <c r="X979" s="194" t="n"/>
      <c r="Y979" s="194" t="n"/>
      <c r="Z979" s="194" t="n"/>
    </row>
    <row r="980" ht="15" customHeight="1" s="195">
      <c r="A980" s="381">
        <f>IF(AND('OCTUBRE 2026'!D39&lt;&gt;"",'OCTUBRE 2026'!Z39="POR RECOGER"),"OCT","")</f>
        <v/>
      </c>
      <c r="B980" s="381">
        <f>IF(AND('OCTUBRE 2026'!D39&lt;&gt;"",'OCTUBRE 2026'!Z39="POR RECOGER"),IF('OCTUBRE 2026'!Y39&lt;&gt;"",'OCTUBRE 2026'!Y39,'OCTUBRE 2026'!I39),"")</f>
        <v/>
      </c>
      <c r="C980" s="381">
        <f>IF(AND('OCTUBRE 2026'!D39&lt;&gt;"",'OCTUBRE 2026'!Z39="POR RECOGER"),'OCTUBRE 2026'!D39,"")</f>
        <v/>
      </c>
      <c r="D980" s="381">
        <f>IF(AND('OCTUBRE 2026'!D39&lt;&gt;"",'OCTUBRE 2026'!Z39="POR RECOGER"),'OCTUBRE 2026'!F39,"")</f>
        <v/>
      </c>
      <c r="E980" s="381">
        <f>IF(AND('OCTUBRE 2026'!D39&lt;&gt;"",'OCTUBRE 2026'!Z39="POR RECOGER"),TEXT('OCTUBRE 2026'!G39,"DD/MM/YYYY"),"")</f>
        <v/>
      </c>
      <c r="F980" s="381">
        <f>IF(AND('OCTUBRE 2026'!D39&lt;&gt;"",'OCTUBRE 2026'!Z39="POR RECOGER"),'OCTUBRE 2026'!K39,"")</f>
        <v/>
      </c>
      <c r="G980" s="382">
        <f>IF(AND('OCTUBRE 2026'!D39&lt;&gt;"",'OCTUBRE 2026'!Z39="POR RECOGER"),'OCTUBRE 2026'!M39,"")</f>
        <v/>
      </c>
      <c r="H980" s="382">
        <f>IF(AND('OCTUBRE 2026'!D39&lt;&gt;"",'OCTUBRE 2026'!Z39="POR RECOGER"),'OCTUBRE 2026'!N39,"")</f>
        <v/>
      </c>
      <c r="I980" s="381">
        <f>IF(AND('OCTUBRE 2026'!D39&lt;&gt;"",'OCTUBRE 2026'!Z39="POR RECOGER"),'OCTUBRE 2026'!P39,"")</f>
        <v/>
      </c>
      <c r="J980" s="381">
        <f>IF(AND('OCTUBRE 2026'!D39&lt;&gt;"",'OCTUBRE 2026'!Z39="POR RECOGER"),'OCTUBRE 2026'!Q39,"")</f>
        <v/>
      </c>
      <c r="K980" s="381">
        <f>IF(AND('OCTUBRE 2026'!D39&lt;&gt;"",'OCTUBRE 2026'!Z39="POR RECOGER"),'OCTUBRE 2026'!Y39,"")</f>
        <v/>
      </c>
      <c r="L980" s="381">
        <f>IF(AND('OCTUBRE 2026'!D39&lt;&gt;"",'OCTUBRE 2026'!Z39="POR RECOGER"),'OCTUBRE 2026'!I39,"")</f>
        <v/>
      </c>
      <c r="P980" s="194" t="n"/>
      <c r="Q980" s="194" t="n"/>
      <c r="R980" s="194" t="n"/>
      <c r="S980" s="194" t="n"/>
      <c r="T980" s="194" t="n"/>
      <c r="U980" s="194" t="n"/>
      <c r="V980" s="194" t="n"/>
      <c r="W980" s="194" t="n"/>
      <c r="X980" s="194" t="n"/>
      <c r="Y980" s="194" t="n"/>
      <c r="Z980" s="194" t="n"/>
    </row>
    <row r="981" ht="15" customHeight="1" s="195">
      <c r="A981" s="381">
        <f>IF(AND('OCTUBRE 2026'!D40&lt;&gt;"",'OCTUBRE 2026'!Z40="POR RECOGER"),"OCT","")</f>
        <v/>
      </c>
      <c r="B981" s="381">
        <f>IF(AND('OCTUBRE 2026'!D40&lt;&gt;"",'OCTUBRE 2026'!Z40="POR RECOGER"),IF('OCTUBRE 2026'!Y40&lt;&gt;"",'OCTUBRE 2026'!Y40,'OCTUBRE 2026'!I40),"")</f>
        <v/>
      </c>
      <c r="C981" s="381">
        <f>IF(AND('OCTUBRE 2026'!D40&lt;&gt;"",'OCTUBRE 2026'!Z40="POR RECOGER"),'OCTUBRE 2026'!D40,"")</f>
        <v/>
      </c>
      <c r="D981" s="381">
        <f>IF(AND('OCTUBRE 2026'!D40&lt;&gt;"",'OCTUBRE 2026'!Z40="POR RECOGER"),'OCTUBRE 2026'!F40,"")</f>
        <v/>
      </c>
      <c r="E981" s="381">
        <f>IF(AND('OCTUBRE 2026'!D40&lt;&gt;"",'OCTUBRE 2026'!Z40="POR RECOGER"),TEXT('OCTUBRE 2026'!G40,"DD/MM/YYYY"),"")</f>
        <v/>
      </c>
      <c r="F981" s="381">
        <f>IF(AND('OCTUBRE 2026'!D40&lt;&gt;"",'OCTUBRE 2026'!Z40="POR RECOGER"),'OCTUBRE 2026'!K40,"")</f>
        <v/>
      </c>
      <c r="G981" s="382">
        <f>IF(AND('OCTUBRE 2026'!D40&lt;&gt;"",'OCTUBRE 2026'!Z40="POR RECOGER"),'OCTUBRE 2026'!M40,"")</f>
        <v/>
      </c>
      <c r="H981" s="382">
        <f>IF(AND('OCTUBRE 2026'!D40&lt;&gt;"",'OCTUBRE 2026'!Z40="POR RECOGER"),'OCTUBRE 2026'!N40,"")</f>
        <v/>
      </c>
      <c r="I981" s="381">
        <f>IF(AND('OCTUBRE 2026'!D40&lt;&gt;"",'OCTUBRE 2026'!Z40="POR RECOGER"),'OCTUBRE 2026'!P40,"")</f>
        <v/>
      </c>
      <c r="J981" s="381">
        <f>IF(AND('OCTUBRE 2026'!D40&lt;&gt;"",'OCTUBRE 2026'!Z40="POR RECOGER"),'OCTUBRE 2026'!Q40,"")</f>
        <v/>
      </c>
      <c r="K981" s="381">
        <f>IF(AND('OCTUBRE 2026'!D40&lt;&gt;"",'OCTUBRE 2026'!Z40="POR RECOGER"),'OCTUBRE 2026'!Y40,"")</f>
        <v/>
      </c>
      <c r="L981" s="381">
        <f>IF(AND('OCTUBRE 2026'!D40&lt;&gt;"",'OCTUBRE 2026'!Z40="POR RECOGER"),'OCTUBRE 2026'!I40,"")</f>
        <v/>
      </c>
      <c r="P981" s="194" t="n"/>
      <c r="Q981" s="194" t="n"/>
      <c r="R981" s="194" t="n"/>
      <c r="S981" s="194" t="n"/>
      <c r="T981" s="194" t="n"/>
      <c r="U981" s="194" t="n"/>
      <c r="V981" s="194" t="n"/>
      <c r="W981" s="194" t="n"/>
      <c r="X981" s="194" t="n"/>
      <c r="Y981" s="194" t="n"/>
      <c r="Z981" s="194" t="n"/>
    </row>
    <row r="982" ht="15" customHeight="1" s="195">
      <c r="A982" s="381">
        <f>IF(AND('OCTUBRE 2026'!D41&lt;&gt;"",'OCTUBRE 2026'!Z41="POR RECOGER"),"OCT","")</f>
        <v/>
      </c>
      <c r="B982" s="381">
        <f>IF(AND('OCTUBRE 2026'!D41&lt;&gt;"",'OCTUBRE 2026'!Z41="POR RECOGER"),IF('OCTUBRE 2026'!Y41&lt;&gt;"",'OCTUBRE 2026'!Y41,'OCTUBRE 2026'!I41),"")</f>
        <v/>
      </c>
      <c r="C982" s="381">
        <f>IF(AND('OCTUBRE 2026'!D41&lt;&gt;"",'OCTUBRE 2026'!Z41="POR RECOGER"),'OCTUBRE 2026'!D41,"")</f>
        <v/>
      </c>
      <c r="D982" s="381">
        <f>IF(AND('OCTUBRE 2026'!D41&lt;&gt;"",'OCTUBRE 2026'!Z41="POR RECOGER"),'OCTUBRE 2026'!F41,"")</f>
        <v/>
      </c>
      <c r="E982" s="381">
        <f>IF(AND('OCTUBRE 2026'!D41&lt;&gt;"",'OCTUBRE 2026'!Z41="POR RECOGER"),TEXT('OCTUBRE 2026'!G41,"DD/MM/YYYY"),"")</f>
        <v/>
      </c>
      <c r="F982" s="381">
        <f>IF(AND('OCTUBRE 2026'!D41&lt;&gt;"",'OCTUBRE 2026'!Z41="POR RECOGER"),'OCTUBRE 2026'!K41,"")</f>
        <v/>
      </c>
      <c r="G982" s="382">
        <f>IF(AND('OCTUBRE 2026'!D41&lt;&gt;"",'OCTUBRE 2026'!Z41="POR RECOGER"),'OCTUBRE 2026'!M41,"")</f>
        <v/>
      </c>
      <c r="H982" s="382">
        <f>IF(AND('OCTUBRE 2026'!D41&lt;&gt;"",'OCTUBRE 2026'!Z41="POR RECOGER"),'OCTUBRE 2026'!N41,"")</f>
        <v/>
      </c>
      <c r="I982" s="381">
        <f>IF(AND('OCTUBRE 2026'!D41&lt;&gt;"",'OCTUBRE 2026'!Z41="POR RECOGER"),'OCTUBRE 2026'!P41,"")</f>
        <v/>
      </c>
      <c r="J982" s="381">
        <f>IF(AND('OCTUBRE 2026'!D41&lt;&gt;"",'OCTUBRE 2026'!Z41="POR RECOGER"),'OCTUBRE 2026'!Q41,"")</f>
        <v/>
      </c>
      <c r="K982" s="381">
        <f>IF(AND('OCTUBRE 2026'!D41&lt;&gt;"",'OCTUBRE 2026'!Z41="POR RECOGER"),'OCTUBRE 2026'!Y41,"")</f>
        <v/>
      </c>
      <c r="L982" s="381">
        <f>IF(AND('OCTUBRE 2026'!D41&lt;&gt;"",'OCTUBRE 2026'!Z41="POR RECOGER"),'OCTUBRE 2026'!I41,"")</f>
        <v/>
      </c>
      <c r="P982" s="194" t="n"/>
      <c r="Q982" s="194" t="n"/>
      <c r="R982" s="194" t="n"/>
      <c r="S982" s="194" t="n"/>
      <c r="T982" s="194" t="n"/>
      <c r="U982" s="194" t="n"/>
      <c r="V982" s="194" t="n"/>
      <c r="W982" s="194" t="n"/>
      <c r="X982" s="194" t="n"/>
      <c r="Y982" s="194" t="n"/>
      <c r="Z982" s="194" t="n"/>
    </row>
    <row r="983" ht="15" customHeight="1" s="195">
      <c r="A983" s="381">
        <f>IF(AND('OCTUBRE 2026'!D42&lt;&gt;"",'OCTUBRE 2026'!Z42="POR RECOGER"),"OCT","")</f>
        <v/>
      </c>
      <c r="B983" s="381">
        <f>IF(AND('OCTUBRE 2026'!D42&lt;&gt;"",'OCTUBRE 2026'!Z42="POR RECOGER"),IF('OCTUBRE 2026'!Y42&lt;&gt;"",'OCTUBRE 2026'!Y42,'OCTUBRE 2026'!I42),"")</f>
        <v/>
      </c>
      <c r="C983" s="381">
        <f>IF(AND('OCTUBRE 2026'!D42&lt;&gt;"",'OCTUBRE 2026'!Z42="POR RECOGER"),'OCTUBRE 2026'!D42,"")</f>
        <v/>
      </c>
      <c r="D983" s="381">
        <f>IF(AND('OCTUBRE 2026'!D42&lt;&gt;"",'OCTUBRE 2026'!Z42="POR RECOGER"),'OCTUBRE 2026'!F42,"")</f>
        <v/>
      </c>
      <c r="E983" s="381">
        <f>IF(AND('OCTUBRE 2026'!D42&lt;&gt;"",'OCTUBRE 2026'!Z42="POR RECOGER"),TEXT('OCTUBRE 2026'!G42,"DD/MM/YYYY"),"")</f>
        <v/>
      </c>
      <c r="F983" s="381">
        <f>IF(AND('OCTUBRE 2026'!D42&lt;&gt;"",'OCTUBRE 2026'!Z42="POR RECOGER"),'OCTUBRE 2026'!K42,"")</f>
        <v/>
      </c>
      <c r="G983" s="382">
        <f>IF(AND('OCTUBRE 2026'!D42&lt;&gt;"",'OCTUBRE 2026'!Z42="POR RECOGER"),'OCTUBRE 2026'!M42,"")</f>
        <v/>
      </c>
      <c r="H983" s="382">
        <f>IF(AND('OCTUBRE 2026'!D42&lt;&gt;"",'OCTUBRE 2026'!Z42="POR RECOGER"),'OCTUBRE 2026'!N42,"")</f>
        <v/>
      </c>
      <c r="I983" s="381">
        <f>IF(AND('OCTUBRE 2026'!D42&lt;&gt;"",'OCTUBRE 2026'!Z42="POR RECOGER"),'OCTUBRE 2026'!P42,"")</f>
        <v/>
      </c>
      <c r="J983" s="381">
        <f>IF(AND('OCTUBRE 2026'!D42&lt;&gt;"",'OCTUBRE 2026'!Z42="POR RECOGER"),'OCTUBRE 2026'!Q42,"")</f>
        <v/>
      </c>
      <c r="K983" s="381">
        <f>IF(AND('OCTUBRE 2026'!D42&lt;&gt;"",'OCTUBRE 2026'!Z42="POR RECOGER"),'OCTUBRE 2026'!Y42,"")</f>
        <v/>
      </c>
      <c r="L983" s="381">
        <f>IF(AND('OCTUBRE 2026'!D42&lt;&gt;"",'OCTUBRE 2026'!Z42="POR RECOGER"),'OCTUBRE 2026'!I42,"")</f>
        <v/>
      </c>
      <c r="P983" s="194" t="n"/>
      <c r="Q983" s="194" t="n"/>
      <c r="R983" s="194" t="n"/>
      <c r="S983" s="194" t="n"/>
      <c r="T983" s="194" t="n"/>
      <c r="U983" s="194" t="n"/>
      <c r="V983" s="194" t="n"/>
      <c r="W983" s="194" t="n"/>
      <c r="X983" s="194" t="n"/>
      <c r="Y983" s="194" t="n"/>
      <c r="Z983" s="194" t="n"/>
    </row>
    <row r="984" ht="15" customHeight="1" s="195">
      <c r="A984" s="381">
        <f>IF(AND('OCTUBRE 2026'!D43&lt;&gt;"",'OCTUBRE 2026'!Z43="POR RECOGER"),"OCT","")</f>
        <v/>
      </c>
      <c r="B984" s="381">
        <f>IF(AND('OCTUBRE 2026'!D43&lt;&gt;"",'OCTUBRE 2026'!Z43="POR RECOGER"),IF('OCTUBRE 2026'!Y43&lt;&gt;"",'OCTUBRE 2026'!Y43,'OCTUBRE 2026'!I43),"")</f>
        <v/>
      </c>
      <c r="C984" s="381">
        <f>IF(AND('OCTUBRE 2026'!D43&lt;&gt;"",'OCTUBRE 2026'!Z43="POR RECOGER"),'OCTUBRE 2026'!D43,"")</f>
        <v/>
      </c>
      <c r="D984" s="381">
        <f>IF(AND('OCTUBRE 2026'!D43&lt;&gt;"",'OCTUBRE 2026'!Z43="POR RECOGER"),'OCTUBRE 2026'!F43,"")</f>
        <v/>
      </c>
      <c r="E984" s="381">
        <f>IF(AND('OCTUBRE 2026'!D43&lt;&gt;"",'OCTUBRE 2026'!Z43="POR RECOGER"),TEXT('OCTUBRE 2026'!G43,"DD/MM/YYYY"),"")</f>
        <v/>
      </c>
      <c r="F984" s="381">
        <f>IF(AND('OCTUBRE 2026'!D43&lt;&gt;"",'OCTUBRE 2026'!Z43="POR RECOGER"),'OCTUBRE 2026'!K43,"")</f>
        <v/>
      </c>
      <c r="G984" s="382">
        <f>IF(AND('OCTUBRE 2026'!D43&lt;&gt;"",'OCTUBRE 2026'!Z43="POR RECOGER"),'OCTUBRE 2026'!M43,"")</f>
        <v/>
      </c>
      <c r="H984" s="382">
        <f>IF(AND('OCTUBRE 2026'!D43&lt;&gt;"",'OCTUBRE 2026'!Z43="POR RECOGER"),'OCTUBRE 2026'!N43,"")</f>
        <v/>
      </c>
      <c r="I984" s="381">
        <f>IF(AND('OCTUBRE 2026'!D43&lt;&gt;"",'OCTUBRE 2026'!Z43="POR RECOGER"),'OCTUBRE 2026'!P43,"")</f>
        <v/>
      </c>
      <c r="J984" s="381">
        <f>IF(AND('OCTUBRE 2026'!D43&lt;&gt;"",'OCTUBRE 2026'!Z43="POR RECOGER"),'OCTUBRE 2026'!Q43,"")</f>
        <v/>
      </c>
      <c r="K984" s="381">
        <f>IF(AND('OCTUBRE 2026'!D43&lt;&gt;"",'OCTUBRE 2026'!Z43="POR RECOGER"),'OCTUBRE 2026'!Y43,"")</f>
        <v/>
      </c>
      <c r="L984" s="381">
        <f>IF(AND('OCTUBRE 2026'!D43&lt;&gt;"",'OCTUBRE 2026'!Z43="POR RECOGER"),'OCTUBRE 2026'!I43,"")</f>
        <v/>
      </c>
      <c r="P984" s="194" t="n"/>
      <c r="Q984" s="194" t="n"/>
      <c r="R984" s="194" t="n"/>
      <c r="S984" s="194" t="n"/>
      <c r="T984" s="194" t="n"/>
      <c r="U984" s="194" t="n"/>
      <c r="V984" s="194" t="n"/>
      <c r="W984" s="194" t="n"/>
      <c r="X984" s="194" t="n"/>
      <c r="Y984" s="194" t="n"/>
      <c r="Z984" s="194" t="n"/>
    </row>
    <row r="985" ht="15" customHeight="1" s="195">
      <c r="A985" s="381">
        <f>IF(AND('OCTUBRE 2026'!D44&lt;&gt;"",'OCTUBRE 2026'!Z44="POR RECOGER"),"OCT","")</f>
        <v/>
      </c>
      <c r="B985" s="381">
        <f>IF(AND('OCTUBRE 2026'!D44&lt;&gt;"",'OCTUBRE 2026'!Z44="POR RECOGER"),IF('OCTUBRE 2026'!Y44&lt;&gt;"",'OCTUBRE 2026'!Y44,'OCTUBRE 2026'!I44),"")</f>
        <v/>
      </c>
      <c r="C985" s="381">
        <f>IF(AND('OCTUBRE 2026'!D44&lt;&gt;"",'OCTUBRE 2026'!Z44="POR RECOGER"),'OCTUBRE 2026'!D44,"")</f>
        <v/>
      </c>
      <c r="D985" s="381">
        <f>IF(AND('OCTUBRE 2026'!D44&lt;&gt;"",'OCTUBRE 2026'!Z44="POR RECOGER"),'OCTUBRE 2026'!F44,"")</f>
        <v/>
      </c>
      <c r="E985" s="381">
        <f>IF(AND('OCTUBRE 2026'!D44&lt;&gt;"",'OCTUBRE 2026'!Z44="POR RECOGER"),TEXT('OCTUBRE 2026'!G44,"DD/MM/YYYY"),"")</f>
        <v/>
      </c>
      <c r="F985" s="381">
        <f>IF(AND('OCTUBRE 2026'!D44&lt;&gt;"",'OCTUBRE 2026'!Z44="POR RECOGER"),'OCTUBRE 2026'!K44,"")</f>
        <v/>
      </c>
      <c r="G985" s="382">
        <f>IF(AND('OCTUBRE 2026'!D44&lt;&gt;"",'OCTUBRE 2026'!Z44="POR RECOGER"),'OCTUBRE 2026'!M44,"")</f>
        <v/>
      </c>
      <c r="H985" s="382">
        <f>IF(AND('OCTUBRE 2026'!D44&lt;&gt;"",'OCTUBRE 2026'!Z44="POR RECOGER"),'OCTUBRE 2026'!N44,"")</f>
        <v/>
      </c>
      <c r="I985" s="381">
        <f>IF(AND('OCTUBRE 2026'!D44&lt;&gt;"",'OCTUBRE 2026'!Z44="POR RECOGER"),'OCTUBRE 2026'!P44,"")</f>
        <v/>
      </c>
      <c r="J985" s="381">
        <f>IF(AND('OCTUBRE 2026'!D44&lt;&gt;"",'OCTUBRE 2026'!Z44="POR RECOGER"),'OCTUBRE 2026'!Q44,"")</f>
        <v/>
      </c>
      <c r="K985" s="381">
        <f>IF(AND('OCTUBRE 2026'!D44&lt;&gt;"",'OCTUBRE 2026'!Z44="POR RECOGER"),'OCTUBRE 2026'!Y44,"")</f>
        <v/>
      </c>
      <c r="L985" s="381">
        <f>IF(AND('OCTUBRE 2026'!D44&lt;&gt;"",'OCTUBRE 2026'!Z44="POR RECOGER"),'OCTUBRE 2026'!I44,"")</f>
        <v/>
      </c>
      <c r="P985" s="194" t="n"/>
      <c r="Q985" s="194" t="n"/>
      <c r="R985" s="194" t="n"/>
      <c r="S985" s="194" t="n"/>
      <c r="T985" s="194" t="n"/>
      <c r="U985" s="194" t="n"/>
      <c r="V985" s="194" t="n"/>
      <c r="W985" s="194" t="n"/>
      <c r="X985" s="194" t="n"/>
      <c r="Y985" s="194" t="n"/>
      <c r="Z985" s="194" t="n"/>
    </row>
    <row r="986" ht="15" customHeight="1" s="195">
      <c r="A986" s="381">
        <f>IF(AND('OCTUBRE 2026'!D45&lt;&gt;"",'OCTUBRE 2026'!Z45="POR RECOGER"),"OCT","")</f>
        <v/>
      </c>
      <c r="B986" s="381">
        <f>IF(AND('OCTUBRE 2026'!D45&lt;&gt;"",'OCTUBRE 2026'!Z45="POR RECOGER"),IF('OCTUBRE 2026'!Y45&lt;&gt;"",'OCTUBRE 2026'!Y45,'OCTUBRE 2026'!I45),"")</f>
        <v/>
      </c>
      <c r="C986" s="381">
        <f>IF(AND('OCTUBRE 2026'!D45&lt;&gt;"",'OCTUBRE 2026'!Z45="POR RECOGER"),'OCTUBRE 2026'!D45,"")</f>
        <v/>
      </c>
      <c r="D986" s="381">
        <f>IF(AND('OCTUBRE 2026'!D45&lt;&gt;"",'OCTUBRE 2026'!Z45="POR RECOGER"),'OCTUBRE 2026'!F45,"")</f>
        <v/>
      </c>
      <c r="E986" s="381">
        <f>IF(AND('OCTUBRE 2026'!D45&lt;&gt;"",'OCTUBRE 2026'!Z45="POR RECOGER"),TEXT('OCTUBRE 2026'!G45,"DD/MM/YYYY"),"")</f>
        <v/>
      </c>
      <c r="F986" s="381">
        <f>IF(AND('OCTUBRE 2026'!D45&lt;&gt;"",'OCTUBRE 2026'!Z45="POR RECOGER"),'OCTUBRE 2026'!K45,"")</f>
        <v/>
      </c>
      <c r="G986" s="382">
        <f>IF(AND('OCTUBRE 2026'!D45&lt;&gt;"",'OCTUBRE 2026'!Z45="POR RECOGER"),'OCTUBRE 2026'!M45,"")</f>
        <v/>
      </c>
      <c r="H986" s="382">
        <f>IF(AND('OCTUBRE 2026'!D45&lt;&gt;"",'OCTUBRE 2026'!Z45="POR RECOGER"),'OCTUBRE 2026'!N45,"")</f>
        <v/>
      </c>
      <c r="I986" s="381">
        <f>IF(AND('OCTUBRE 2026'!D45&lt;&gt;"",'OCTUBRE 2026'!Z45="POR RECOGER"),'OCTUBRE 2026'!P45,"")</f>
        <v/>
      </c>
      <c r="J986" s="381">
        <f>IF(AND('OCTUBRE 2026'!D45&lt;&gt;"",'OCTUBRE 2026'!Z45="POR RECOGER"),'OCTUBRE 2026'!Q45,"")</f>
        <v/>
      </c>
      <c r="K986" s="381">
        <f>IF(AND('OCTUBRE 2026'!D45&lt;&gt;"",'OCTUBRE 2026'!Z45="POR RECOGER"),'OCTUBRE 2026'!Y45,"")</f>
        <v/>
      </c>
      <c r="L986" s="381">
        <f>IF(AND('OCTUBRE 2026'!D45&lt;&gt;"",'OCTUBRE 2026'!Z45="POR RECOGER"),'OCTUBRE 2026'!I45,"")</f>
        <v/>
      </c>
      <c r="P986" s="194" t="n"/>
      <c r="Q986" s="194" t="n"/>
      <c r="R986" s="194" t="n"/>
      <c r="S986" s="194" t="n"/>
      <c r="T986" s="194" t="n"/>
      <c r="U986" s="194" t="n"/>
      <c r="V986" s="194" t="n"/>
      <c r="W986" s="194" t="n"/>
      <c r="X986" s="194" t="n"/>
      <c r="Y986" s="194" t="n"/>
      <c r="Z986" s="194" t="n"/>
    </row>
    <row r="987" ht="15" customHeight="1" s="195">
      <c r="A987" s="381">
        <f>IF(AND('OCTUBRE 2026'!D46&lt;&gt;"",'OCTUBRE 2026'!Z46="POR RECOGER"),"OCT","")</f>
        <v/>
      </c>
      <c r="B987" s="381">
        <f>IF(AND('OCTUBRE 2026'!D46&lt;&gt;"",'OCTUBRE 2026'!Z46="POR RECOGER"),IF('OCTUBRE 2026'!Y46&lt;&gt;"",'OCTUBRE 2026'!Y46,'OCTUBRE 2026'!I46),"")</f>
        <v/>
      </c>
      <c r="C987" s="381">
        <f>IF(AND('OCTUBRE 2026'!D46&lt;&gt;"",'OCTUBRE 2026'!Z46="POR RECOGER"),'OCTUBRE 2026'!D46,"")</f>
        <v/>
      </c>
      <c r="D987" s="381">
        <f>IF(AND('OCTUBRE 2026'!D46&lt;&gt;"",'OCTUBRE 2026'!Z46="POR RECOGER"),'OCTUBRE 2026'!F46,"")</f>
        <v/>
      </c>
      <c r="E987" s="381">
        <f>IF(AND('OCTUBRE 2026'!D46&lt;&gt;"",'OCTUBRE 2026'!Z46="POR RECOGER"),TEXT('OCTUBRE 2026'!G46,"DD/MM/YYYY"),"")</f>
        <v/>
      </c>
      <c r="F987" s="381">
        <f>IF(AND('OCTUBRE 2026'!D46&lt;&gt;"",'OCTUBRE 2026'!Z46="POR RECOGER"),'OCTUBRE 2026'!K46,"")</f>
        <v/>
      </c>
      <c r="G987" s="382">
        <f>IF(AND('OCTUBRE 2026'!D46&lt;&gt;"",'OCTUBRE 2026'!Z46="POR RECOGER"),'OCTUBRE 2026'!M46,"")</f>
        <v/>
      </c>
      <c r="H987" s="382">
        <f>IF(AND('OCTUBRE 2026'!D46&lt;&gt;"",'OCTUBRE 2026'!Z46="POR RECOGER"),'OCTUBRE 2026'!N46,"")</f>
        <v/>
      </c>
      <c r="I987" s="381">
        <f>IF(AND('OCTUBRE 2026'!D46&lt;&gt;"",'OCTUBRE 2026'!Z46="POR RECOGER"),'OCTUBRE 2026'!P46,"")</f>
        <v/>
      </c>
      <c r="J987" s="381">
        <f>IF(AND('OCTUBRE 2026'!D46&lt;&gt;"",'OCTUBRE 2026'!Z46="POR RECOGER"),'OCTUBRE 2026'!Q46,"")</f>
        <v/>
      </c>
      <c r="K987" s="381">
        <f>IF(AND('OCTUBRE 2026'!D46&lt;&gt;"",'OCTUBRE 2026'!Z46="POR RECOGER"),'OCTUBRE 2026'!Y46,"")</f>
        <v/>
      </c>
      <c r="L987" s="381">
        <f>IF(AND('OCTUBRE 2026'!D46&lt;&gt;"",'OCTUBRE 2026'!Z46="POR RECOGER"),'OCTUBRE 2026'!I46,"")</f>
        <v/>
      </c>
      <c r="P987" s="194" t="n"/>
      <c r="Q987" s="194" t="n"/>
      <c r="R987" s="194" t="n"/>
      <c r="S987" s="194" t="n"/>
      <c r="T987" s="194" t="n"/>
      <c r="U987" s="194" t="n"/>
      <c r="V987" s="194" t="n"/>
      <c r="W987" s="194" t="n"/>
      <c r="X987" s="194" t="n"/>
      <c r="Y987" s="194" t="n"/>
      <c r="Z987" s="194" t="n"/>
    </row>
    <row r="988" ht="15" customHeight="1" s="195">
      <c r="A988" s="381">
        <f>IF(AND('OCTUBRE 2026'!D47&lt;&gt;"",'OCTUBRE 2026'!Z47="POR RECOGER"),"OCT","")</f>
        <v/>
      </c>
      <c r="B988" s="381">
        <f>IF(AND('OCTUBRE 2026'!D47&lt;&gt;"",'OCTUBRE 2026'!Z47="POR RECOGER"),IF('OCTUBRE 2026'!Y47&lt;&gt;"",'OCTUBRE 2026'!Y47,'OCTUBRE 2026'!I47),"")</f>
        <v/>
      </c>
      <c r="C988" s="381">
        <f>IF(AND('OCTUBRE 2026'!D47&lt;&gt;"",'OCTUBRE 2026'!Z47="POR RECOGER"),'OCTUBRE 2026'!D47,"")</f>
        <v/>
      </c>
      <c r="D988" s="381">
        <f>IF(AND('OCTUBRE 2026'!D47&lt;&gt;"",'OCTUBRE 2026'!Z47="POR RECOGER"),'OCTUBRE 2026'!F47,"")</f>
        <v/>
      </c>
      <c r="E988" s="381">
        <f>IF(AND('OCTUBRE 2026'!D47&lt;&gt;"",'OCTUBRE 2026'!Z47="POR RECOGER"),TEXT('OCTUBRE 2026'!G47,"DD/MM/YYYY"),"")</f>
        <v/>
      </c>
      <c r="F988" s="381">
        <f>IF(AND('OCTUBRE 2026'!D47&lt;&gt;"",'OCTUBRE 2026'!Z47="POR RECOGER"),'OCTUBRE 2026'!K47,"")</f>
        <v/>
      </c>
      <c r="G988" s="382">
        <f>IF(AND('OCTUBRE 2026'!D47&lt;&gt;"",'OCTUBRE 2026'!Z47="POR RECOGER"),'OCTUBRE 2026'!M47,"")</f>
        <v/>
      </c>
      <c r="H988" s="382">
        <f>IF(AND('OCTUBRE 2026'!D47&lt;&gt;"",'OCTUBRE 2026'!Z47="POR RECOGER"),'OCTUBRE 2026'!N47,"")</f>
        <v/>
      </c>
      <c r="I988" s="381">
        <f>IF(AND('OCTUBRE 2026'!D47&lt;&gt;"",'OCTUBRE 2026'!Z47="POR RECOGER"),'OCTUBRE 2026'!P47,"")</f>
        <v/>
      </c>
      <c r="J988" s="381">
        <f>IF(AND('OCTUBRE 2026'!D47&lt;&gt;"",'OCTUBRE 2026'!Z47="POR RECOGER"),'OCTUBRE 2026'!Q47,"")</f>
        <v/>
      </c>
      <c r="K988" s="381">
        <f>IF(AND('OCTUBRE 2026'!D47&lt;&gt;"",'OCTUBRE 2026'!Z47="POR RECOGER"),'OCTUBRE 2026'!Y47,"")</f>
        <v/>
      </c>
      <c r="L988" s="381">
        <f>IF(AND('OCTUBRE 2026'!D47&lt;&gt;"",'OCTUBRE 2026'!Z47="POR RECOGER"),'OCTUBRE 2026'!I47,"")</f>
        <v/>
      </c>
      <c r="P988" s="194" t="n"/>
      <c r="Q988" s="194" t="n"/>
      <c r="R988" s="194" t="n"/>
      <c r="S988" s="194" t="n"/>
      <c r="T988" s="194" t="n"/>
      <c r="U988" s="194" t="n"/>
      <c r="V988" s="194" t="n"/>
      <c r="W988" s="194" t="n"/>
      <c r="X988" s="194" t="n"/>
      <c r="Y988" s="194" t="n"/>
      <c r="Z988" s="194" t="n"/>
    </row>
    <row r="989" ht="15" customHeight="1" s="195">
      <c r="A989" s="381">
        <f>IF(AND('OCTUBRE 2026'!D48&lt;&gt;"",'OCTUBRE 2026'!Z48="POR RECOGER"),"OCT","")</f>
        <v/>
      </c>
      <c r="B989" s="381">
        <f>IF(AND('OCTUBRE 2026'!D48&lt;&gt;"",'OCTUBRE 2026'!Z48="POR RECOGER"),IF('OCTUBRE 2026'!Y48&lt;&gt;"",'OCTUBRE 2026'!Y48,'OCTUBRE 2026'!I48),"")</f>
        <v/>
      </c>
      <c r="C989" s="381">
        <f>IF(AND('OCTUBRE 2026'!D48&lt;&gt;"",'OCTUBRE 2026'!Z48="POR RECOGER"),'OCTUBRE 2026'!D48,"")</f>
        <v/>
      </c>
      <c r="D989" s="381">
        <f>IF(AND('OCTUBRE 2026'!D48&lt;&gt;"",'OCTUBRE 2026'!Z48="POR RECOGER"),'OCTUBRE 2026'!F48,"")</f>
        <v/>
      </c>
      <c r="E989" s="381">
        <f>IF(AND('OCTUBRE 2026'!D48&lt;&gt;"",'OCTUBRE 2026'!Z48="POR RECOGER"),TEXT('OCTUBRE 2026'!G48,"DD/MM/YYYY"),"")</f>
        <v/>
      </c>
      <c r="F989" s="381">
        <f>IF(AND('OCTUBRE 2026'!D48&lt;&gt;"",'OCTUBRE 2026'!Z48="POR RECOGER"),'OCTUBRE 2026'!K48,"")</f>
        <v/>
      </c>
      <c r="G989" s="382">
        <f>IF(AND('OCTUBRE 2026'!D48&lt;&gt;"",'OCTUBRE 2026'!Z48="POR RECOGER"),'OCTUBRE 2026'!M48,"")</f>
        <v/>
      </c>
      <c r="H989" s="382">
        <f>IF(AND('OCTUBRE 2026'!D48&lt;&gt;"",'OCTUBRE 2026'!Z48="POR RECOGER"),'OCTUBRE 2026'!N48,"")</f>
        <v/>
      </c>
      <c r="I989" s="381">
        <f>IF(AND('OCTUBRE 2026'!D48&lt;&gt;"",'OCTUBRE 2026'!Z48="POR RECOGER"),'OCTUBRE 2026'!P48,"")</f>
        <v/>
      </c>
      <c r="J989" s="381">
        <f>IF(AND('OCTUBRE 2026'!D48&lt;&gt;"",'OCTUBRE 2026'!Z48="POR RECOGER"),'OCTUBRE 2026'!Q48,"")</f>
        <v/>
      </c>
      <c r="K989" s="381">
        <f>IF(AND('OCTUBRE 2026'!D48&lt;&gt;"",'OCTUBRE 2026'!Z48="POR RECOGER"),'OCTUBRE 2026'!Y48,"")</f>
        <v/>
      </c>
      <c r="L989" s="381">
        <f>IF(AND('OCTUBRE 2026'!D48&lt;&gt;"",'OCTUBRE 2026'!Z48="POR RECOGER"),'OCTUBRE 2026'!I48,"")</f>
        <v/>
      </c>
      <c r="P989" s="194" t="n"/>
      <c r="Q989" s="194" t="n"/>
      <c r="R989" s="194" t="n"/>
      <c r="S989" s="194" t="n"/>
      <c r="T989" s="194" t="n"/>
      <c r="U989" s="194" t="n"/>
      <c r="V989" s="194" t="n"/>
      <c r="W989" s="194" t="n"/>
      <c r="X989" s="194" t="n"/>
      <c r="Y989" s="194" t="n"/>
      <c r="Z989" s="194" t="n"/>
    </row>
    <row r="990" ht="15" customHeight="1" s="195">
      <c r="A990" s="381">
        <f>IF(AND('OCTUBRE 2026'!D49&lt;&gt;"",'OCTUBRE 2026'!Z49="POR RECOGER"),"OCT","")</f>
        <v/>
      </c>
      <c r="B990" s="381">
        <f>IF(AND('OCTUBRE 2026'!D49&lt;&gt;"",'OCTUBRE 2026'!Z49="POR RECOGER"),IF('OCTUBRE 2026'!Y49&lt;&gt;"",'OCTUBRE 2026'!Y49,'OCTUBRE 2026'!I49),"")</f>
        <v/>
      </c>
      <c r="C990" s="381">
        <f>IF(AND('OCTUBRE 2026'!D49&lt;&gt;"",'OCTUBRE 2026'!Z49="POR RECOGER"),'OCTUBRE 2026'!D49,"")</f>
        <v/>
      </c>
      <c r="D990" s="381">
        <f>IF(AND('OCTUBRE 2026'!D49&lt;&gt;"",'OCTUBRE 2026'!Z49="POR RECOGER"),'OCTUBRE 2026'!F49,"")</f>
        <v/>
      </c>
      <c r="E990" s="381">
        <f>IF(AND('OCTUBRE 2026'!D49&lt;&gt;"",'OCTUBRE 2026'!Z49="POR RECOGER"),TEXT('OCTUBRE 2026'!G49,"DD/MM/YYYY"),"")</f>
        <v/>
      </c>
      <c r="F990" s="381">
        <f>IF(AND('OCTUBRE 2026'!D49&lt;&gt;"",'OCTUBRE 2026'!Z49="POR RECOGER"),'OCTUBRE 2026'!K49,"")</f>
        <v/>
      </c>
      <c r="G990" s="382">
        <f>IF(AND('OCTUBRE 2026'!D49&lt;&gt;"",'OCTUBRE 2026'!Z49="POR RECOGER"),'OCTUBRE 2026'!M49,"")</f>
        <v/>
      </c>
      <c r="H990" s="382">
        <f>IF(AND('OCTUBRE 2026'!D49&lt;&gt;"",'OCTUBRE 2026'!Z49="POR RECOGER"),'OCTUBRE 2026'!N49,"")</f>
        <v/>
      </c>
      <c r="I990" s="381">
        <f>IF(AND('OCTUBRE 2026'!D49&lt;&gt;"",'OCTUBRE 2026'!Z49="POR RECOGER"),'OCTUBRE 2026'!P49,"")</f>
        <v/>
      </c>
      <c r="J990" s="381">
        <f>IF(AND('OCTUBRE 2026'!D49&lt;&gt;"",'OCTUBRE 2026'!Z49="POR RECOGER"),'OCTUBRE 2026'!Q49,"")</f>
        <v/>
      </c>
      <c r="K990" s="381">
        <f>IF(AND('OCTUBRE 2026'!D49&lt;&gt;"",'OCTUBRE 2026'!Z49="POR RECOGER"),'OCTUBRE 2026'!Y49,"")</f>
        <v/>
      </c>
      <c r="L990" s="381">
        <f>IF(AND('OCTUBRE 2026'!D49&lt;&gt;"",'OCTUBRE 2026'!Z49="POR RECOGER"),'OCTUBRE 2026'!I49,"")</f>
        <v/>
      </c>
      <c r="P990" s="194" t="n"/>
      <c r="Q990" s="194" t="n"/>
      <c r="R990" s="194" t="n"/>
      <c r="S990" s="194" t="n"/>
      <c r="T990" s="194" t="n"/>
      <c r="U990" s="194" t="n"/>
      <c r="V990" s="194" t="n"/>
      <c r="W990" s="194" t="n"/>
      <c r="X990" s="194" t="n"/>
      <c r="Y990" s="194" t="n"/>
      <c r="Z990" s="194" t="n"/>
    </row>
    <row r="991" ht="15" customHeight="1" s="195">
      <c r="A991" s="381">
        <f>IF(AND('OCTUBRE 2026'!D50&lt;&gt;"",'OCTUBRE 2026'!Z50="POR RECOGER"),"OCT","")</f>
        <v/>
      </c>
      <c r="B991" s="381">
        <f>IF(AND('OCTUBRE 2026'!D50&lt;&gt;"",'OCTUBRE 2026'!Z50="POR RECOGER"),IF('OCTUBRE 2026'!Y50&lt;&gt;"",'OCTUBRE 2026'!Y50,'OCTUBRE 2026'!I50),"")</f>
        <v/>
      </c>
      <c r="C991" s="381">
        <f>IF(AND('OCTUBRE 2026'!D50&lt;&gt;"",'OCTUBRE 2026'!Z50="POR RECOGER"),'OCTUBRE 2026'!D50,"")</f>
        <v/>
      </c>
      <c r="D991" s="381">
        <f>IF(AND('OCTUBRE 2026'!D50&lt;&gt;"",'OCTUBRE 2026'!Z50="POR RECOGER"),'OCTUBRE 2026'!F50,"")</f>
        <v/>
      </c>
      <c r="E991" s="381">
        <f>IF(AND('OCTUBRE 2026'!D50&lt;&gt;"",'OCTUBRE 2026'!Z50="POR RECOGER"),TEXT('OCTUBRE 2026'!G50,"DD/MM/YYYY"),"")</f>
        <v/>
      </c>
      <c r="F991" s="381">
        <f>IF(AND('OCTUBRE 2026'!D50&lt;&gt;"",'OCTUBRE 2026'!Z50="POR RECOGER"),'OCTUBRE 2026'!K50,"")</f>
        <v/>
      </c>
      <c r="G991" s="382">
        <f>IF(AND('OCTUBRE 2026'!D50&lt;&gt;"",'OCTUBRE 2026'!Z50="POR RECOGER"),'OCTUBRE 2026'!M50,"")</f>
        <v/>
      </c>
      <c r="H991" s="382">
        <f>IF(AND('OCTUBRE 2026'!D50&lt;&gt;"",'OCTUBRE 2026'!Z50="POR RECOGER"),'OCTUBRE 2026'!N50,"")</f>
        <v/>
      </c>
      <c r="I991" s="381">
        <f>IF(AND('OCTUBRE 2026'!D50&lt;&gt;"",'OCTUBRE 2026'!Z50="POR RECOGER"),'OCTUBRE 2026'!P50,"")</f>
        <v/>
      </c>
      <c r="J991" s="381">
        <f>IF(AND('OCTUBRE 2026'!D50&lt;&gt;"",'OCTUBRE 2026'!Z50="POR RECOGER"),'OCTUBRE 2026'!Q50,"")</f>
        <v/>
      </c>
      <c r="K991" s="381">
        <f>IF(AND('OCTUBRE 2026'!D50&lt;&gt;"",'OCTUBRE 2026'!Z50="POR RECOGER"),'OCTUBRE 2026'!Y50,"")</f>
        <v/>
      </c>
      <c r="L991" s="381">
        <f>IF(AND('OCTUBRE 2026'!D50&lt;&gt;"",'OCTUBRE 2026'!Z50="POR RECOGER"),'OCTUBRE 2026'!I50,"")</f>
        <v/>
      </c>
      <c r="P991" s="194" t="n"/>
      <c r="Q991" s="194" t="n"/>
      <c r="R991" s="194" t="n"/>
      <c r="S991" s="194" t="n"/>
      <c r="T991" s="194" t="n"/>
      <c r="U991" s="194" t="n"/>
      <c r="V991" s="194" t="n"/>
      <c r="W991" s="194" t="n"/>
      <c r="X991" s="194" t="n"/>
      <c r="Y991" s="194" t="n"/>
      <c r="Z991" s="194" t="n"/>
    </row>
    <row r="992" ht="15" customHeight="1" s="195">
      <c r="A992" s="381">
        <f>IF(AND('OCTUBRE 2026'!D51&lt;&gt;"",'OCTUBRE 2026'!Z51="POR RECOGER"),"OCT","")</f>
        <v/>
      </c>
      <c r="B992" s="381">
        <f>IF(AND('OCTUBRE 2026'!D51&lt;&gt;"",'OCTUBRE 2026'!Z51="POR RECOGER"),IF('OCTUBRE 2026'!Y51&lt;&gt;"",'OCTUBRE 2026'!Y51,'OCTUBRE 2026'!I51),"")</f>
        <v/>
      </c>
      <c r="C992" s="381">
        <f>IF(AND('OCTUBRE 2026'!D51&lt;&gt;"",'OCTUBRE 2026'!Z51="POR RECOGER"),'OCTUBRE 2026'!D51,"")</f>
        <v/>
      </c>
      <c r="D992" s="381">
        <f>IF(AND('OCTUBRE 2026'!D51&lt;&gt;"",'OCTUBRE 2026'!Z51="POR RECOGER"),'OCTUBRE 2026'!F51,"")</f>
        <v/>
      </c>
      <c r="E992" s="381">
        <f>IF(AND('OCTUBRE 2026'!D51&lt;&gt;"",'OCTUBRE 2026'!Z51="POR RECOGER"),TEXT('OCTUBRE 2026'!G51,"DD/MM/YYYY"),"")</f>
        <v/>
      </c>
      <c r="F992" s="381">
        <f>IF(AND('OCTUBRE 2026'!D51&lt;&gt;"",'OCTUBRE 2026'!Z51="POR RECOGER"),'OCTUBRE 2026'!K51,"")</f>
        <v/>
      </c>
      <c r="G992" s="382">
        <f>IF(AND('OCTUBRE 2026'!D51&lt;&gt;"",'OCTUBRE 2026'!Z51="POR RECOGER"),'OCTUBRE 2026'!M51,"")</f>
        <v/>
      </c>
      <c r="H992" s="382">
        <f>IF(AND('OCTUBRE 2026'!D51&lt;&gt;"",'OCTUBRE 2026'!Z51="POR RECOGER"),'OCTUBRE 2026'!N51,"")</f>
        <v/>
      </c>
      <c r="I992" s="381">
        <f>IF(AND('OCTUBRE 2026'!D51&lt;&gt;"",'OCTUBRE 2026'!Z51="POR RECOGER"),'OCTUBRE 2026'!P51,"")</f>
        <v/>
      </c>
      <c r="J992" s="381">
        <f>IF(AND('OCTUBRE 2026'!D51&lt;&gt;"",'OCTUBRE 2026'!Z51="POR RECOGER"),'OCTUBRE 2026'!Q51,"")</f>
        <v/>
      </c>
      <c r="K992" s="381">
        <f>IF(AND('OCTUBRE 2026'!D51&lt;&gt;"",'OCTUBRE 2026'!Z51="POR RECOGER"),'OCTUBRE 2026'!Y51,"")</f>
        <v/>
      </c>
      <c r="L992" s="381">
        <f>IF(AND('OCTUBRE 2026'!D51&lt;&gt;"",'OCTUBRE 2026'!Z51="POR RECOGER"),'OCTUBRE 2026'!I51,"")</f>
        <v/>
      </c>
      <c r="P992" s="194" t="n"/>
      <c r="Q992" s="194" t="n"/>
      <c r="R992" s="194" t="n"/>
      <c r="S992" s="194" t="n"/>
      <c r="T992" s="194" t="n"/>
      <c r="U992" s="194" t="n"/>
      <c r="V992" s="194" t="n"/>
      <c r="W992" s="194" t="n"/>
      <c r="X992" s="194" t="n"/>
      <c r="Y992" s="194" t="n"/>
      <c r="Z992" s="194" t="n"/>
    </row>
    <row r="993" ht="15" customHeight="1" s="195">
      <c r="A993" s="381">
        <f>IF(AND('OCTUBRE 2026'!D52&lt;&gt;"",'OCTUBRE 2026'!Z52="POR RECOGER"),"OCT","")</f>
        <v/>
      </c>
      <c r="B993" s="381">
        <f>IF(AND('OCTUBRE 2026'!D52&lt;&gt;"",'OCTUBRE 2026'!Z52="POR RECOGER"),IF('OCTUBRE 2026'!Y52&lt;&gt;"",'OCTUBRE 2026'!Y52,'OCTUBRE 2026'!I52),"")</f>
        <v/>
      </c>
      <c r="C993" s="381">
        <f>IF(AND('OCTUBRE 2026'!D52&lt;&gt;"",'OCTUBRE 2026'!Z52="POR RECOGER"),'OCTUBRE 2026'!D52,"")</f>
        <v/>
      </c>
      <c r="D993" s="381">
        <f>IF(AND('OCTUBRE 2026'!D52&lt;&gt;"",'OCTUBRE 2026'!Z52="POR RECOGER"),'OCTUBRE 2026'!F52,"")</f>
        <v/>
      </c>
      <c r="E993" s="381">
        <f>IF(AND('OCTUBRE 2026'!D52&lt;&gt;"",'OCTUBRE 2026'!Z52="POR RECOGER"),TEXT('OCTUBRE 2026'!G52,"DD/MM/YYYY"),"")</f>
        <v/>
      </c>
      <c r="F993" s="381">
        <f>IF(AND('OCTUBRE 2026'!D52&lt;&gt;"",'OCTUBRE 2026'!Z52="POR RECOGER"),'OCTUBRE 2026'!K52,"")</f>
        <v/>
      </c>
      <c r="G993" s="382">
        <f>IF(AND('OCTUBRE 2026'!D52&lt;&gt;"",'OCTUBRE 2026'!Z52="POR RECOGER"),'OCTUBRE 2026'!M52,"")</f>
        <v/>
      </c>
      <c r="H993" s="382">
        <f>IF(AND('OCTUBRE 2026'!D52&lt;&gt;"",'OCTUBRE 2026'!Z52="POR RECOGER"),'OCTUBRE 2026'!N52,"")</f>
        <v/>
      </c>
      <c r="I993" s="381">
        <f>IF(AND('OCTUBRE 2026'!D52&lt;&gt;"",'OCTUBRE 2026'!Z52="POR RECOGER"),'OCTUBRE 2026'!P52,"")</f>
        <v/>
      </c>
      <c r="J993" s="381">
        <f>IF(AND('OCTUBRE 2026'!D52&lt;&gt;"",'OCTUBRE 2026'!Z52="POR RECOGER"),'OCTUBRE 2026'!Q52,"")</f>
        <v/>
      </c>
      <c r="K993" s="381">
        <f>IF(AND('OCTUBRE 2026'!D52&lt;&gt;"",'OCTUBRE 2026'!Z52="POR RECOGER"),'OCTUBRE 2026'!Y52,"")</f>
        <v/>
      </c>
      <c r="L993" s="381">
        <f>IF(AND('OCTUBRE 2026'!D52&lt;&gt;"",'OCTUBRE 2026'!Z52="POR RECOGER"),'OCTUBRE 2026'!I52,"")</f>
        <v/>
      </c>
      <c r="P993" s="194" t="n"/>
      <c r="Q993" s="194" t="n"/>
      <c r="R993" s="194" t="n"/>
      <c r="S993" s="194" t="n"/>
      <c r="T993" s="194" t="n"/>
      <c r="U993" s="194" t="n"/>
      <c r="V993" s="194" t="n"/>
      <c r="W993" s="194" t="n"/>
      <c r="X993" s="194" t="n"/>
      <c r="Y993" s="194" t="n"/>
      <c r="Z993" s="194" t="n"/>
    </row>
    <row r="994" ht="15" customHeight="1" s="195">
      <c r="A994" s="381">
        <f>IF(AND('OCTUBRE 2026'!D53&lt;&gt;"",'OCTUBRE 2026'!Z53="POR RECOGER"),"OCT","")</f>
        <v/>
      </c>
      <c r="B994" s="381">
        <f>IF(AND('OCTUBRE 2026'!D53&lt;&gt;"",'OCTUBRE 2026'!Z53="POR RECOGER"),IF('OCTUBRE 2026'!Y53&lt;&gt;"",'OCTUBRE 2026'!Y53,'OCTUBRE 2026'!I53),"")</f>
        <v/>
      </c>
      <c r="C994" s="381">
        <f>IF(AND('OCTUBRE 2026'!D53&lt;&gt;"",'OCTUBRE 2026'!Z53="POR RECOGER"),'OCTUBRE 2026'!D53,"")</f>
        <v/>
      </c>
      <c r="D994" s="381">
        <f>IF(AND('OCTUBRE 2026'!D53&lt;&gt;"",'OCTUBRE 2026'!Z53="POR RECOGER"),'OCTUBRE 2026'!F53,"")</f>
        <v/>
      </c>
      <c r="E994" s="381">
        <f>IF(AND('OCTUBRE 2026'!D53&lt;&gt;"",'OCTUBRE 2026'!Z53="POR RECOGER"),TEXT('OCTUBRE 2026'!G53,"DD/MM/YYYY"),"")</f>
        <v/>
      </c>
      <c r="F994" s="381">
        <f>IF(AND('OCTUBRE 2026'!D53&lt;&gt;"",'OCTUBRE 2026'!Z53="POR RECOGER"),'OCTUBRE 2026'!K53,"")</f>
        <v/>
      </c>
      <c r="G994" s="382">
        <f>IF(AND('OCTUBRE 2026'!D53&lt;&gt;"",'OCTUBRE 2026'!Z53="POR RECOGER"),'OCTUBRE 2026'!M53,"")</f>
        <v/>
      </c>
      <c r="H994" s="382">
        <f>IF(AND('OCTUBRE 2026'!D53&lt;&gt;"",'OCTUBRE 2026'!Z53="POR RECOGER"),'OCTUBRE 2026'!N53,"")</f>
        <v/>
      </c>
      <c r="I994" s="381">
        <f>IF(AND('OCTUBRE 2026'!D53&lt;&gt;"",'OCTUBRE 2026'!Z53="POR RECOGER"),'OCTUBRE 2026'!P53,"")</f>
        <v/>
      </c>
      <c r="J994" s="381">
        <f>IF(AND('OCTUBRE 2026'!D53&lt;&gt;"",'OCTUBRE 2026'!Z53="POR RECOGER"),'OCTUBRE 2026'!Q53,"")</f>
        <v/>
      </c>
      <c r="K994" s="381">
        <f>IF(AND('OCTUBRE 2026'!D53&lt;&gt;"",'OCTUBRE 2026'!Z53="POR RECOGER"),'OCTUBRE 2026'!Y53,"")</f>
        <v/>
      </c>
      <c r="L994" s="381">
        <f>IF(AND('OCTUBRE 2026'!D53&lt;&gt;"",'OCTUBRE 2026'!Z53="POR RECOGER"),'OCTUBRE 2026'!I53,"")</f>
        <v/>
      </c>
      <c r="P994" s="194" t="n"/>
      <c r="Q994" s="194" t="n"/>
      <c r="R994" s="194" t="n"/>
      <c r="S994" s="194" t="n"/>
      <c r="T994" s="194" t="n"/>
      <c r="U994" s="194" t="n"/>
      <c r="V994" s="194" t="n"/>
      <c r="W994" s="194" t="n"/>
      <c r="X994" s="194" t="n"/>
      <c r="Y994" s="194" t="n"/>
      <c r="Z994" s="194" t="n"/>
    </row>
    <row r="995" ht="15" customHeight="1" s="195">
      <c r="A995" s="381">
        <f>IF(AND('OCTUBRE 2026'!D54&lt;&gt;"",'OCTUBRE 2026'!Z54="POR RECOGER"),"OCT","")</f>
        <v/>
      </c>
      <c r="B995" s="381">
        <f>IF(AND('OCTUBRE 2026'!D54&lt;&gt;"",'OCTUBRE 2026'!Z54="POR RECOGER"),IF('OCTUBRE 2026'!Y54&lt;&gt;"",'OCTUBRE 2026'!Y54,'OCTUBRE 2026'!I54),"")</f>
        <v/>
      </c>
      <c r="C995" s="381">
        <f>IF(AND('OCTUBRE 2026'!D54&lt;&gt;"",'OCTUBRE 2026'!Z54="POR RECOGER"),'OCTUBRE 2026'!D54,"")</f>
        <v/>
      </c>
      <c r="D995" s="381">
        <f>IF(AND('OCTUBRE 2026'!D54&lt;&gt;"",'OCTUBRE 2026'!Z54="POR RECOGER"),'OCTUBRE 2026'!F54,"")</f>
        <v/>
      </c>
      <c r="E995" s="381">
        <f>IF(AND('OCTUBRE 2026'!D54&lt;&gt;"",'OCTUBRE 2026'!Z54="POR RECOGER"),TEXT('OCTUBRE 2026'!G54,"DD/MM/YYYY"),"")</f>
        <v/>
      </c>
      <c r="F995" s="381">
        <f>IF(AND('OCTUBRE 2026'!D54&lt;&gt;"",'OCTUBRE 2026'!Z54="POR RECOGER"),'OCTUBRE 2026'!K54,"")</f>
        <v/>
      </c>
      <c r="G995" s="382">
        <f>IF(AND('OCTUBRE 2026'!D54&lt;&gt;"",'OCTUBRE 2026'!Z54="POR RECOGER"),'OCTUBRE 2026'!M54,"")</f>
        <v/>
      </c>
      <c r="H995" s="382">
        <f>IF(AND('OCTUBRE 2026'!D54&lt;&gt;"",'OCTUBRE 2026'!Z54="POR RECOGER"),'OCTUBRE 2026'!N54,"")</f>
        <v/>
      </c>
      <c r="I995" s="381">
        <f>IF(AND('OCTUBRE 2026'!D54&lt;&gt;"",'OCTUBRE 2026'!Z54="POR RECOGER"),'OCTUBRE 2026'!P54,"")</f>
        <v/>
      </c>
      <c r="J995" s="381">
        <f>IF(AND('OCTUBRE 2026'!D54&lt;&gt;"",'OCTUBRE 2026'!Z54="POR RECOGER"),'OCTUBRE 2026'!Q54,"")</f>
        <v/>
      </c>
      <c r="K995" s="381">
        <f>IF(AND('OCTUBRE 2026'!D54&lt;&gt;"",'OCTUBRE 2026'!Z54="POR RECOGER"),'OCTUBRE 2026'!Y54,"")</f>
        <v/>
      </c>
      <c r="L995" s="381">
        <f>IF(AND('OCTUBRE 2026'!D54&lt;&gt;"",'OCTUBRE 2026'!Z54="POR RECOGER"),'OCTUBRE 2026'!I54,"")</f>
        <v/>
      </c>
      <c r="P995" s="194" t="n"/>
      <c r="Q995" s="194" t="n"/>
      <c r="R995" s="194" t="n"/>
      <c r="S995" s="194" t="n"/>
      <c r="T995" s="194" t="n"/>
      <c r="U995" s="194" t="n"/>
      <c r="V995" s="194" t="n"/>
      <c r="W995" s="194" t="n"/>
      <c r="X995" s="194" t="n"/>
      <c r="Y995" s="194" t="n"/>
      <c r="Z995" s="194" t="n"/>
    </row>
    <row r="996" ht="15" customHeight="1" s="195">
      <c r="A996" s="381">
        <f>IF(AND('OCTUBRE 2026'!D55&lt;&gt;"",'OCTUBRE 2026'!Z55="POR RECOGER"),"OCT","")</f>
        <v/>
      </c>
      <c r="B996" s="381">
        <f>IF(AND('OCTUBRE 2026'!D55&lt;&gt;"",'OCTUBRE 2026'!Z55="POR RECOGER"),IF('OCTUBRE 2026'!Y55&lt;&gt;"",'OCTUBRE 2026'!Y55,'OCTUBRE 2026'!I55),"")</f>
        <v/>
      </c>
      <c r="C996" s="381">
        <f>IF(AND('OCTUBRE 2026'!D55&lt;&gt;"",'OCTUBRE 2026'!Z55="POR RECOGER"),'OCTUBRE 2026'!D55,"")</f>
        <v/>
      </c>
      <c r="D996" s="381">
        <f>IF(AND('OCTUBRE 2026'!D55&lt;&gt;"",'OCTUBRE 2026'!Z55="POR RECOGER"),'OCTUBRE 2026'!F55,"")</f>
        <v/>
      </c>
      <c r="E996" s="381">
        <f>IF(AND('OCTUBRE 2026'!D55&lt;&gt;"",'OCTUBRE 2026'!Z55="POR RECOGER"),TEXT('OCTUBRE 2026'!G55,"DD/MM/YYYY"),"")</f>
        <v/>
      </c>
      <c r="F996" s="381">
        <f>IF(AND('OCTUBRE 2026'!D55&lt;&gt;"",'OCTUBRE 2026'!Z55="POR RECOGER"),'OCTUBRE 2026'!K55,"")</f>
        <v/>
      </c>
      <c r="G996" s="382">
        <f>IF(AND('OCTUBRE 2026'!D55&lt;&gt;"",'OCTUBRE 2026'!Z55="POR RECOGER"),'OCTUBRE 2026'!M55,"")</f>
        <v/>
      </c>
      <c r="H996" s="382">
        <f>IF(AND('OCTUBRE 2026'!D55&lt;&gt;"",'OCTUBRE 2026'!Z55="POR RECOGER"),'OCTUBRE 2026'!N55,"")</f>
        <v/>
      </c>
      <c r="I996" s="381">
        <f>IF(AND('OCTUBRE 2026'!D55&lt;&gt;"",'OCTUBRE 2026'!Z55="POR RECOGER"),'OCTUBRE 2026'!P55,"")</f>
        <v/>
      </c>
      <c r="J996" s="381">
        <f>IF(AND('OCTUBRE 2026'!D55&lt;&gt;"",'OCTUBRE 2026'!Z55="POR RECOGER"),'OCTUBRE 2026'!Q55,"")</f>
        <v/>
      </c>
      <c r="K996" s="381">
        <f>IF(AND('OCTUBRE 2026'!D55&lt;&gt;"",'OCTUBRE 2026'!Z55="POR RECOGER"),'OCTUBRE 2026'!Y55,"")</f>
        <v/>
      </c>
      <c r="L996" s="381">
        <f>IF(AND('OCTUBRE 2026'!D55&lt;&gt;"",'OCTUBRE 2026'!Z55="POR RECOGER"),'OCTUBRE 2026'!I55,"")</f>
        <v/>
      </c>
      <c r="P996" s="194" t="n"/>
      <c r="Q996" s="194" t="n"/>
      <c r="R996" s="194" t="n"/>
      <c r="S996" s="194" t="n"/>
      <c r="T996" s="194" t="n"/>
      <c r="U996" s="194" t="n"/>
      <c r="V996" s="194" t="n"/>
      <c r="W996" s="194" t="n"/>
      <c r="X996" s="194" t="n"/>
      <c r="Y996" s="194" t="n"/>
      <c r="Z996" s="194" t="n"/>
    </row>
    <row r="997" ht="15" customHeight="1" s="195">
      <c r="A997" s="381">
        <f>IF(AND('OCTUBRE 2026'!D56&lt;&gt;"",'OCTUBRE 2026'!Z56="POR RECOGER"),"OCT","")</f>
        <v/>
      </c>
      <c r="B997" s="381">
        <f>IF(AND('OCTUBRE 2026'!D56&lt;&gt;"",'OCTUBRE 2026'!Z56="POR RECOGER"),IF('OCTUBRE 2026'!Y56&lt;&gt;"",'OCTUBRE 2026'!Y56,'OCTUBRE 2026'!I56),"")</f>
        <v/>
      </c>
      <c r="C997" s="381">
        <f>IF(AND('OCTUBRE 2026'!D56&lt;&gt;"",'OCTUBRE 2026'!Z56="POR RECOGER"),'OCTUBRE 2026'!D56,"")</f>
        <v/>
      </c>
      <c r="D997" s="381">
        <f>IF(AND('OCTUBRE 2026'!D56&lt;&gt;"",'OCTUBRE 2026'!Z56="POR RECOGER"),'OCTUBRE 2026'!F56,"")</f>
        <v/>
      </c>
      <c r="E997" s="381">
        <f>IF(AND('OCTUBRE 2026'!D56&lt;&gt;"",'OCTUBRE 2026'!Z56="POR RECOGER"),TEXT('OCTUBRE 2026'!G56,"DD/MM/YYYY"),"")</f>
        <v/>
      </c>
      <c r="F997" s="381">
        <f>IF(AND('OCTUBRE 2026'!D56&lt;&gt;"",'OCTUBRE 2026'!Z56="POR RECOGER"),'OCTUBRE 2026'!K56,"")</f>
        <v/>
      </c>
      <c r="G997" s="382">
        <f>IF(AND('OCTUBRE 2026'!D56&lt;&gt;"",'OCTUBRE 2026'!Z56="POR RECOGER"),'OCTUBRE 2026'!M56,"")</f>
        <v/>
      </c>
      <c r="H997" s="382">
        <f>IF(AND('OCTUBRE 2026'!D56&lt;&gt;"",'OCTUBRE 2026'!Z56="POR RECOGER"),'OCTUBRE 2026'!N56,"")</f>
        <v/>
      </c>
      <c r="I997" s="381">
        <f>IF(AND('OCTUBRE 2026'!D56&lt;&gt;"",'OCTUBRE 2026'!Z56="POR RECOGER"),'OCTUBRE 2026'!P56,"")</f>
        <v/>
      </c>
      <c r="J997" s="381">
        <f>IF(AND('OCTUBRE 2026'!D56&lt;&gt;"",'OCTUBRE 2026'!Z56="POR RECOGER"),'OCTUBRE 2026'!Q56,"")</f>
        <v/>
      </c>
      <c r="K997" s="381">
        <f>IF(AND('OCTUBRE 2026'!D56&lt;&gt;"",'OCTUBRE 2026'!Z56="POR RECOGER"),'OCTUBRE 2026'!Y56,"")</f>
        <v/>
      </c>
      <c r="L997" s="381">
        <f>IF(AND('OCTUBRE 2026'!D56&lt;&gt;"",'OCTUBRE 2026'!Z56="POR RECOGER"),'OCTUBRE 2026'!I56,"")</f>
        <v/>
      </c>
      <c r="P997" s="194" t="n"/>
      <c r="Q997" s="194" t="n"/>
      <c r="R997" s="194" t="n"/>
      <c r="S997" s="194" t="n"/>
      <c r="T997" s="194" t="n"/>
      <c r="U997" s="194" t="n"/>
      <c r="V997" s="194" t="n"/>
      <c r="W997" s="194" t="n"/>
      <c r="X997" s="194" t="n"/>
      <c r="Y997" s="194" t="n"/>
      <c r="Z997" s="194" t="n"/>
    </row>
    <row r="998" ht="15" customHeight="1" s="195">
      <c r="A998" s="381">
        <f>IF(AND('OCTUBRE 2026'!D57&lt;&gt;"",'OCTUBRE 2026'!Z57="POR RECOGER"),"OCT","")</f>
        <v/>
      </c>
      <c r="B998" s="381">
        <f>IF(AND('OCTUBRE 2026'!D57&lt;&gt;"",'OCTUBRE 2026'!Z57="POR RECOGER"),IF('OCTUBRE 2026'!Y57&lt;&gt;"",'OCTUBRE 2026'!Y57,'OCTUBRE 2026'!I57),"")</f>
        <v/>
      </c>
      <c r="C998" s="381">
        <f>IF(AND('OCTUBRE 2026'!D57&lt;&gt;"",'OCTUBRE 2026'!Z57="POR RECOGER"),'OCTUBRE 2026'!D57,"")</f>
        <v/>
      </c>
      <c r="D998" s="381">
        <f>IF(AND('OCTUBRE 2026'!D57&lt;&gt;"",'OCTUBRE 2026'!Z57="POR RECOGER"),'OCTUBRE 2026'!F57,"")</f>
        <v/>
      </c>
      <c r="E998" s="381">
        <f>IF(AND('OCTUBRE 2026'!D57&lt;&gt;"",'OCTUBRE 2026'!Z57="POR RECOGER"),TEXT('OCTUBRE 2026'!G57,"DD/MM/YYYY"),"")</f>
        <v/>
      </c>
      <c r="F998" s="381">
        <f>IF(AND('OCTUBRE 2026'!D57&lt;&gt;"",'OCTUBRE 2026'!Z57="POR RECOGER"),'OCTUBRE 2026'!K57,"")</f>
        <v/>
      </c>
      <c r="G998" s="382">
        <f>IF(AND('OCTUBRE 2026'!D57&lt;&gt;"",'OCTUBRE 2026'!Z57="POR RECOGER"),'OCTUBRE 2026'!M57,"")</f>
        <v/>
      </c>
      <c r="H998" s="382">
        <f>IF(AND('OCTUBRE 2026'!D57&lt;&gt;"",'OCTUBRE 2026'!Z57="POR RECOGER"),'OCTUBRE 2026'!N57,"")</f>
        <v/>
      </c>
      <c r="I998" s="381">
        <f>IF(AND('OCTUBRE 2026'!D57&lt;&gt;"",'OCTUBRE 2026'!Z57="POR RECOGER"),'OCTUBRE 2026'!P57,"")</f>
        <v/>
      </c>
      <c r="J998" s="381">
        <f>IF(AND('OCTUBRE 2026'!D57&lt;&gt;"",'OCTUBRE 2026'!Z57="POR RECOGER"),'OCTUBRE 2026'!Q57,"")</f>
        <v/>
      </c>
      <c r="K998" s="381">
        <f>IF(AND('OCTUBRE 2026'!D57&lt;&gt;"",'OCTUBRE 2026'!Z57="POR RECOGER"),'OCTUBRE 2026'!Y57,"")</f>
        <v/>
      </c>
      <c r="L998" s="381">
        <f>IF(AND('OCTUBRE 2026'!D57&lt;&gt;"",'OCTUBRE 2026'!Z57="POR RECOGER"),'OCTUBRE 2026'!I57,"")</f>
        <v/>
      </c>
      <c r="P998" s="194" t="n"/>
      <c r="Q998" s="194" t="n"/>
      <c r="R998" s="194" t="n"/>
      <c r="S998" s="194" t="n"/>
      <c r="T998" s="194" t="n"/>
      <c r="U998" s="194" t="n"/>
      <c r="V998" s="194" t="n"/>
      <c r="W998" s="194" t="n"/>
      <c r="X998" s="194" t="n"/>
      <c r="Y998" s="194" t="n"/>
      <c r="Z998" s="194" t="n"/>
    </row>
    <row r="999" ht="15" customHeight="1" s="195">
      <c r="A999" s="381">
        <f>IF(AND('OCTUBRE 2026'!D58&lt;&gt;"",'OCTUBRE 2026'!Z58="POR RECOGER"),"OCT","")</f>
        <v/>
      </c>
      <c r="B999" s="381">
        <f>IF(AND('OCTUBRE 2026'!D58&lt;&gt;"",'OCTUBRE 2026'!Z58="POR RECOGER"),IF('OCTUBRE 2026'!Y58&lt;&gt;"",'OCTUBRE 2026'!Y58,'OCTUBRE 2026'!I58),"")</f>
        <v/>
      </c>
      <c r="C999" s="381">
        <f>IF(AND('OCTUBRE 2026'!D58&lt;&gt;"",'OCTUBRE 2026'!Z58="POR RECOGER"),'OCTUBRE 2026'!D58,"")</f>
        <v/>
      </c>
      <c r="D999" s="381">
        <f>IF(AND('OCTUBRE 2026'!D58&lt;&gt;"",'OCTUBRE 2026'!Z58="POR RECOGER"),'OCTUBRE 2026'!F58,"")</f>
        <v/>
      </c>
      <c r="E999" s="381">
        <f>IF(AND('OCTUBRE 2026'!D58&lt;&gt;"",'OCTUBRE 2026'!Z58="POR RECOGER"),TEXT('OCTUBRE 2026'!G58,"DD/MM/YYYY"),"")</f>
        <v/>
      </c>
      <c r="F999" s="381">
        <f>IF(AND('OCTUBRE 2026'!D58&lt;&gt;"",'OCTUBRE 2026'!Z58="POR RECOGER"),'OCTUBRE 2026'!K58,"")</f>
        <v/>
      </c>
      <c r="G999" s="382">
        <f>IF(AND('OCTUBRE 2026'!D58&lt;&gt;"",'OCTUBRE 2026'!Z58="POR RECOGER"),'OCTUBRE 2026'!M58,"")</f>
        <v/>
      </c>
      <c r="H999" s="382">
        <f>IF(AND('OCTUBRE 2026'!D58&lt;&gt;"",'OCTUBRE 2026'!Z58="POR RECOGER"),'OCTUBRE 2026'!N58,"")</f>
        <v/>
      </c>
      <c r="I999" s="381">
        <f>IF(AND('OCTUBRE 2026'!D58&lt;&gt;"",'OCTUBRE 2026'!Z58="POR RECOGER"),'OCTUBRE 2026'!P58,"")</f>
        <v/>
      </c>
      <c r="J999" s="381">
        <f>IF(AND('OCTUBRE 2026'!D58&lt;&gt;"",'OCTUBRE 2026'!Z58="POR RECOGER"),'OCTUBRE 2026'!Q58,"")</f>
        <v/>
      </c>
      <c r="K999" s="381">
        <f>IF(AND('OCTUBRE 2026'!D58&lt;&gt;"",'OCTUBRE 2026'!Z58="POR RECOGER"),'OCTUBRE 2026'!Y58,"")</f>
        <v/>
      </c>
      <c r="L999" s="381">
        <f>IF(AND('OCTUBRE 2026'!D58&lt;&gt;"",'OCTUBRE 2026'!Z58="POR RECOGER"),'OCTUBRE 2026'!I58,"")</f>
        <v/>
      </c>
      <c r="P999" s="194" t="n"/>
      <c r="Q999" s="194" t="n"/>
      <c r="R999" s="194" t="n"/>
      <c r="S999" s="194" t="n"/>
      <c r="T999" s="194" t="n"/>
      <c r="U999" s="194" t="n"/>
      <c r="V999" s="194" t="n"/>
      <c r="W999" s="194" t="n"/>
      <c r="X999" s="194" t="n"/>
      <c r="Y999" s="194" t="n"/>
      <c r="Z999" s="194" t="n"/>
    </row>
    <row r="1000" ht="15" customHeight="1" s="195">
      <c r="A1000" s="381">
        <f>IF(AND('OCTUBRE 2026'!D59&lt;&gt;"",'OCTUBRE 2026'!Z59="POR RECOGER"),"OCT","")</f>
        <v/>
      </c>
      <c r="B1000" s="381">
        <f>IF(AND('OCTUBRE 2026'!D59&lt;&gt;"",'OCTUBRE 2026'!Z59="POR RECOGER"),IF('OCTUBRE 2026'!Y59&lt;&gt;"",'OCTUBRE 2026'!Y59,'OCTUBRE 2026'!I59),"")</f>
        <v/>
      </c>
      <c r="C1000" s="381">
        <f>IF(AND('OCTUBRE 2026'!D59&lt;&gt;"",'OCTUBRE 2026'!Z59="POR RECOGER"),'OCTUBRE 2026'!D59,"")</f>
        <v/>
      </c>
      <c r="D1000" s="381">
        <f>IF(AND('OCTUBRE 2026'!D59&lt;&gt;"",'OCTUBRE 2026'!Z59="POR RECOGER"),'OCTUBRE 2026'!F59,"")</f>
        <v/>
      </c>
      <c r="E1000" s="381">
        <f>IF(AND('OCTUBRE 2026'!D59&lt;&gt;"",'OCTUBRE 2026'!Z59="POR RECOGER"),TEXT('OCTUBRE 2026'!G59,"DD/MM/YYYY"),"")</f>
        <v/>
      </c>
      <c r="F1000" s="381">
        <f>IF(AND('OCTUBRE 2026'!D59&lt;&gt;"",'OCTUBRE 2026'!Z59="POR RECOGER"),'OCTUBRE 2026'!K59,"")</f>
        <v/>
      </c>
      <c r="G1000" s="382">
        <f>IF(AND('OCTUBRE 2026'!D59&lt;&gt;"",'OCTUBRE 2026'!Z59="POR RECOGER"),'OCTUBRE 2026'!M59,"")</f>
        <v/>
      </c>
      <c r="H1000" s="382">
        <f>IF(AND('OCTUBRE 2026'!D59&lt;&gt;"",'OCTUBRE 2026'!Z59="POR RECOGER"),'OCTUBRE 2026'!N59,"")</f>
        <v/>
      </c>
      <c r="I1000" s="381">
        <f>IF(AND('OCTUBRE 2026'!D59&lt;&gt;"",'OCTUBRE 2026'!Z59="POR RECOGER"),'OCTUBRE 2026'!P59,"")</f>
        <v/>
      </c>
      <c r="J1000" s="381">
        <f>IF(AND('OCTUBRE 2026'!D59&lt;&gt;"",'OCTUBRE 2026'!Z59="POR RECOGER"),'OCTUBRE 2026'!Q59,"")</f>
        <v/>
      </c>
      <c r="K1000" s="381">
        <f>IF(AND('OCTUBRE 2026'!D59&lt;&gt;"",'OCTUBRE 2026'!Z59="POR RECOGER"),'OCTUBRE 2026'!Y59,"")</f>
        <v/>
      </c>
      <c r="L1000" s="381">
        <f>IF(AND('OCTUBRE 2026'!D59&lt;&gt;"",'OCTUBRE 2026'!Z59="POR RECOGER"),'OCTUBRE 2026'!I59,"")</f>
        <v/>
      </c>
      <c r="P1000" s="194" t="n"/>
      <c r="Q1000" s="194" t="n"/>
      <c r="R1000" s="194" t="n"/>
      <c r="S1000" s="194" t="n"/>
      <c r="T1000" s="194" t="n"/>
      <c r="U1000" s="194" t="n"/>
      <c r="V1000" s="194" t="n"/>
      <c r="W1000" s="194" t="n"/>
      <c r="X1000" s="194" t="n"/>
      <c r="Y1000" s="194" t="n"/>
      <c r="Z1000" s="194" t="n"/>
    </row>
    <row r="1001" ht="15" customHeight="1" s="195">
      <c r="A1001" s="381">
        <f>IF(AND('OCTUBRE 2026'!D60&lt;&gt;"",'OCTUBRE 2026'!Z60="POR RECOGER"),"OCT","")</f>
        <v/>
      </c>
      <c r="B1001" s="381">
        <f>IF(AND('OCTUBRE 2026'!D60&lt;&gt;"",'OCTUBRE 2026'!Z60="POR RECOGER"),IF('OCTUBRE 2026'!Y60&lt;&gt;"",'OCTUBRE 2026'!Y60,'OCTUBRE 2026'!I60),"")</f>
        <v/>
      </c>
      <c r="C1001" s="381">
        <f>IF(AND('OCTUBRE 2026'!D60&lt;&gt;"",'OCTUBRE 2026'!Z60="POR RECOGER"),'OCTUBRE 2026'!D60,"")</f>
        <v/>
      </c>
      <c r="D1001" s="381">
        <f>IF(AND('OCTUBRE 2026'!D60&lt;&gt;"",'OCTUBRE 2026'!Z60="POR RECOGER"),'OCTUBRE 2026'!F60,"")</f>
        <v/>
      </c>
      <c r="E1001" s="381">
        <f>IF(AND('OCTUBRE 2026'!D60&lt;&gt;"",'OCTUBRE 2026'!Z60="POR RECOGER"),TEXT('OCTUBRE 2026'!G60,"DD/MM/YYYY"),"")</f>
        <v/>
      </c>
      <c r="F1001" s="381">
        <f>IF(AND('OCTUBRE 2026'!D60&lt;&gt;"",'OCTUBRE 2026'!Z60="POR RECOGER"),'OCTUBRE 2026'!K60,"")</f>
        <v/>
      </c>
      <c r="G1001" s="382">
        <f>IF(AND('OCTUBRE 2026'!D60&lt;&gt;"",'OCTUBRE 2026'!Z60="POR RECOGER"),'OCTUBRE 2026'!M60,"")</f>
        <v/>
      </c>
      <c r="H1001" s="382">
        <f>IF(AND('OCTUBRE 2026'!D60&lt;&gt;"",'OCTUBRE 2026'!Z60="POR RECOGER"),'OCTUBRE 2026'!N60,"")</f>
        <v/>
      </c>
      <c r="I1001" s="381">
        <f>IF(AND('OCTUBRE 2026'!D60&lt;&gt;"",'OCTUBRE 2026'!Z60="POR RECOGER"),'OCTUBRE 2026'!P60,"")</f>
        <v/>
      </c>
      <c r="J1001" s="381">
        <f>IF(AND('OCTUBRE 2026'!D60&lt;&gt;"",'OCTUBRE 2026'!Z60="POR RECOGER"),'OCTUBRE 2026'!Q60,"")</f>
        <v/>
      </c>
      <c r="K1001" s="381">
        <f>IF(AND('OCTUBRE 2026'!D60&lt;&gt;"",'OCTUBRE 2026'!Z60="POR RECOGER"),'OCTUBRE 2026'!Y60,"")</f>
        <v/>
      </c>
      <c r="L1001" s="381">
        <f>IF(AND('OCTUBRE 2026'!D60&lt;&gt;"",'OCTUBRE 2026'!Z60="POR RECOGER"),'OCTUBRE 2026'!I60,"")</f>
        <v/>
      </c>
      <c r="P1001" s="194" t="n"/>
      <c r="Q1001" s="194" t="n"/>
      <c r="R1001" s="194" t="n"/>
      <c r="S1001" s="194" t="n"/>
      <c r="T1001" s="194" t="n"/>
      <c r="U1001" s="194" t="n"/>
      <c r="V1001" s="194" t="n"/>
      <c r="W1001" s="194" t="n"/>
      <c r="X1001" s="194" t="n"/>
      <c r="Y1001" s="194" t="n"/>
      <c r="Z1001" s="194" t="n"/>
    </row>
    <row r="1002" ht="15" customHeight="1" s="195">
      <c r="A1002" s="381">
        <f>IF(AND('OCTUBRE 2026'!D61&lt;&gt;"",'OCTUBRE 2026'!Z61="POR RECOGER"),"OCT","")</f>
        <v/>
      </c>
      <c r="B1002" s="381">
        <f>IF(AND('OCTUBRE 2026'!D61&lt;&gt;"",'OCTUBRE 2026'!Z61="POR RECOGER"),IF('OCTUBRE 2026'!Y61&lt;&gt;"",'OCTUBRE 2026'!Y61,'OCTUBRE 2026'!I61),"")</f>
        <v/>
      </c>
      <c r="C1002" s="381">
        <f>IF(AND('OCTUBRE 2026'!D61&lt;&gt;"",'OCTUBRE 2026'!Z61="POR RECOGER"),'OCTUBRE 2026'!D61,"")</f>
        <v/>
      </c>
      <c r="D1002" s="381">
        <f>IF(AND('OCTUBRE 2026'!D61&lt;&gt;"",'OCTUBRE 2026'!Z61="POR RECOGER"),'OCTUBRE 2026'!F61,"")</f>
        <v/>
      </c>
      <c r="E1002" s="381">
        <f>IF(AND('OCTUBRE 2026'!D61&lt;&gt;"",'OCTUBRE 2026'!Z61="POR RECOGER"),TEXT('OCTUBRE 2026'!G61,"DD/MM/YYYY"),"")</f>
        <v/>
      </c>
      <c r="F1002" s="381">
        <f>IF(AND('OCTUBRE 2026'!D61&lt;&gt;"",'OCTUBRE 2026'!Z61="POR RECOGER"),'OCTUBRE 2026'!K61,"")</f>
        <v/>
      </c>
      <c r="G1002" s="382">
        <f>IF(AND('OCTUBRE 2026'!D61&lt;&gt;"",'OCTUBRE 2026'!Z61="POR RECOGER"),'OCTUBRE 2026'!M61,"")</f>
        <v/>
      </c>
      <c r="H1002" s="382">
        <f>IF(AND('OCTUBRE 2026'!D61&lt;&gt;"",'OCTUBRE 2026'!Z61="POR RECOGER"),'OCTUBRE 2026'!N61,"")</f>
        <v/>
      </c>
      <c r="I1002" s="381">
        <f>IF(AND('OCTUBRE 2026'!D61&lt;&gt;"",'OCTUBRE 2026'!Z61="POR RECOGER"),'OCTUBRE 2026'!P61,"")</f>
        <v/>
      </c>
      <c r="J1002" s="381">
        <f>IF(AND('OCTUBRE 2026'!D61&lt;&gt;"",'OCTUBRE 2026'!Z61="POR RECOGER"),'OCTUBRE 2026'!Q61,"")</f>
        <v/>
      </c>
      <c r="K1002" s="381">
        <f>IF(AND('OCTUBRE 2026'!D61&lt;&gt;"",'OCTUBRE 2026'!Z61="POR RECOGER"),'OCTUBRE 2026'!Y61,"")</f>
        <v/>
      </c>
      <c r="L1002" s="381">
        <f>IF(AND('OCTUBRE 2026'!D61&lt;&gt;"",'OCTUBRE 2026'!Z61="POR RECOGER"),'OCTUBRE 2026'!I61,"")</f>
        <v/>
      </c>
      <c r="P1002" s="194" t="n"/>
      <c r="Q1002" s="194" t="n"/>
      <c r="R1002" s="194" t="n"/>
      <c r="S1002" s="194" t="n"/>
      <c r="T1002" s="194" t="n"/>
      <c r="U1002" s="194" t="n"/>
      <c r="V1002" s="194" t="n"/>
      <c r="W1002" s="194" t="n"/>
      <c r="X1002" s="194" t="n"/>
      <c r="Y1002" s="194" t="n"/>
      <c r="Z1002" s="194" t="n"/>
    </row>
    <row r="1003" ht="15" customHeight="1" s="195">
      <c r="A1003" s="381">
        <f>IF(AND('OCTUBRE 2026'!D62&lt;&gt;"",'OCTUBRE 2026'!Z62="POR RECOGER"),"OCT","")</f>
        <v/>
      </c>
      <c r="B1003" s="381">
        <f>IF(AND('OCTUBRE 2026'!D62&lt;&gt;"",'OCTUBRE 2026'!Z62="POR RECOGER"),IF('OCTUBRE 2026'!Y62&lt;&gt;"",'OCTUBRE 2026'!Y62,'OCTUBRE 2026'!I62),"")</f>
        <v/>
      </c>
      <c r="C1003" s="381">
        <f>IF(AND('OCTUBRE 2026'!D62&lt;&gt;"",'OCTUBRE 2026'!Z62="POR RECOGER"),'OCTUBRE 2026'!D62,"")</f>
        <v/>
      </c>
      <c r="D1003" s="381">
        <f>IF(AND('OCTUBRE 2026'!D62&lt;&gt;"",'OCTUBRE 2026'!Z62="POR RECOGER"),'OCTUBRE 2026'!F62,"")</f>
        <v/>
      </c>
      <c r="E1003" s="381">
        <f>IF(AND('OCTUBRE 2026'!D62&lt;&gt;"",'OCTUBRE 2026'!Z62="POR RECOGER"),TEXT('OCTUBRE 2026'!G62,"DD/MM/YYYY"),"")</f>
        <v/>
      </c>
      <c r="F1003" s="381">
        <f>IF(AND('OCTUBRE 2026'!D62&lt;&gt;"",'OCTUBRE 2026'!Z62="POR RECOGER"),'OCTUBRE 2026'!K62,"")</f>
        <v/>
      </c>
      <c r="G1003" s="382">
        <f>IF(AND('OCTUBRE 2026'!D62&lt;&gt;"",'OCTUBRE 2026'!Z62="POR RECOGER"),'OCTUBRE 2026'!M62,"")</f>
        <v/>
      </c>
      <c r="H1003" s="382">
        <f>IF(AND('OCTUBRE 2026'!D62&lt;&gt;"",'OCTUBRE 2026'!Z62="POR RECOGER"),'OCTUBRE 2026'!N62,"")</f>
        <v/>
      </c>
      <c r="I1003" s="381">
        <f>IF(AND('OCTUBRE 2026'!D62&lt;&gt;"",'OCTUBRE 2026'!Z62="POR RECOGER"),'OCTUBRE 2026'!P62,"")</f>
        <v/>
      </c>
      <c r="J1003" s="381">
        <f>IF(AND('OCTUBRE 2026'!D62&lt;&gt;"",'OCTUBRE 2026'!Z62="POR RECOGER"),'OCTUBRE 2026'!Q62,"")</f>
        <v/>
      </c>
      <c r="K1003" s="381">
        <f>IF(AND('OCTUBRE 2026'!D62&lt;&gt;"",'OCTUBRE 2026'!Z62="POR RECOGER"),'OCTUBRE 2026'!Y62,"")</f>
        <v/>
      </c>
      <c r="L1003" s="381">
        <f>IF(AND('OCTUBRE 2026'!D62&lt;&gt;"",'OCTUBRE 2026'!Z62="POR RECOGER"),'OCTUBRE 2026'!I62,"")</f>
        <v/>
      </c>
      <c r="P1003" s="194" t="n"/>
      <c r="Q1003" s="194" t="n"/>
      <c r="R1003" s="194" t="n"/>
      <c r="S1003" s="194" t="n"/>
      <c r="T1003" s="194" t="n"/>
      <c r="U1003" s="194" t="n"/>
      <c r="V1003" s="194" t="n"/>
      <c r="W1003" s="194" t="n"/>
      <c r="X1003" s="194" t="n"/>
      <c r="Y1003" s="194" t="n"/>
      <c r="Z1003" s="194" t="n"/>
    </row>
    <row r="1004" ht="15" customHeight="1" s="195">
      <c r="A1004" s="381">
        <f>IF(AND('OCTUBRE 2026'!D63&lt;&gt;"",'OCTUBRE 2026'!Z63="POR RECOGER"),"OCT","")</f>
        <v/>
      </c>
      <c r="B1004" s="381">
        <f>IF(AND('OCTUBRE 2026'!D63&lt;&gt;"",'OCTUBRE 2026'!Z63="POR RECOGER"),IF('OCTUBRE 2026'!Y63&lt;&gt;"",'OCTUBRE 2026'!Y63,'OCTUBRE 2026'!I63),"")</f>
        <v/>
      </c>
      <c r="C1004" s="381">
        <f>IF(AND('OCTUBRE 2026'!D63&lt;&gt;"",'OCTUBRE 2026'!Z63="POR RECOGER"),'OCTUBRE 2026'!D63,"")</f>
        <v/>
      </c>
      <c r="D1004" s="381">
        <f>IF(AND('OCTUBRE 2026'!D63&lt;&gt;"",'OCTUBRE 2026'!Z63="POR RECOGER"),'OCTUBRE 2026'!F63,"")</f>
        <v/>
      </c>
      <c r="E1004" s="381">
        <f>IF(AND('OCTUBRE 2026'!D63&lt;&gt;"",'OCTUBRE 2026'!Z63="POR RECOGER"),TEXT('OCTUBRE 2026'!G63,"DD/MM/YYYY"),"")</f>
        <v/>
      </c>
      <c r="F1004" s="381">
        <f>IF(AND('OCTUBRE 2026'!D63&lt;&gt;"",'OCTUBRE 2026'!Z63="POR RECOGER"),'OCTUBRE 2026'!K63,"")</f>
        <v/>
      </c>
      <c r="G1004" s="382">
        <f>IF(AND('OCTUBRE 2026'!D63&lt;&gt;"",'OCTUBRE 2026'!Z63="POR RECOGER"),'OCTUBRE 2026'!M63,"")</f>
        <v/>
      </c>
      <c r="H1004" s="382">
        <f>IF(AND('OCTUBRE 2026'!D63&lt;&gt;"",'OCTUBRE 2026'!Z63="POR RECOGER"),'OCTUBRE 2026'!N63,"")</f>
        <v/>
      </c>
      <c r="I1004" s="381">
        <f>IF(AND('OCTUBRE 2026'!D63&lt;&gt;"",'OCTUBRE 2026'!Z63="POR RECOGER"),'OCTUBRE 2026'!P63,"")</f>
        <v/>
      </c>
      <c r="J1004" s="381">
        <f>IF(AND('OCTUBRE 2026'!D63&lt;&gt;"",'OCTUBRE 2026'!Z63="POR RECOGER"),'OCTUBRE 2026'!Q63,"")</f>
        <v/>
      </c>
      <c r="K1004" s="381">
        <f>IF(AND('OCTUBRE 2026'!D63&lt;&gt;"",'OCTUBRE 2026'!Z63="POR RECOGER"),'OCTUBRE 2026'!Y63,"")</f>
        <v/>
      </c>
      <c r="L1004" s="381">
        <f>IF(AND('OCTUBRE 2026'!D63&lt;&gt;"",'OCTUBRE 2026'!Z63="POR RECOGER"),'OCTUBRE 2026'!I63,"")</f>
        <v/>
      </c>
      <c r="P1004" s="194" t="n"/>
      <c r="Q1004" s="194" t="n"/>
      <c r="R1004" s="194" t="n"/>
      <c r="S1004" s="194" t="n"/>
      <c r="T1004" s="194" t="n"/>
      <c r="U1004" s="194" t="n"/>
      <c r="V1004" s="194" t="n"/>
      <c r="W1004" s="194" t="n"/>
      <c r="X1004" s="194" t="n"/>
      <c r="Y1004" s="194" t="n"/>
      <c r="Z1004" s="194" t="n"/>
    </row>
    <row r="1005" ht="15" customHeight="1" s="195">
      <c r="A1005" s="381">
        <f>IF(AND('OCTUBRE 2026'!D64&lt;&gt;"",'OCTUBRE 2026'!Z64="POR RECOGER"),"OCT","")</f>
        <v/>
      </c>
      <c r="B1005" s="381">
        <f>IF(AND('OCTUBRE 2026'!D64&lt;&gt;"",'OCTUBRE 2026'!Z64="POR RECOGER"),IF('OCTUBRE 2026'!Y64&lt;&gt;"",'OCTUBRE 2026'!Y64,'OCTUBRE 2026'!I64),"")</f>
        <v/>
      </c>
      <c r="C1005" s="381">
        <f>IF(AND('OCTUBRE 2026'!D64&lt;&gt;"",'OCTUBRE 2026'!Z64="POR RECOGER"),'OCTUBRE 2026'!D64,"")</f>
        <v/>
      </c>
      <c r="D1005" s="381">
        <f>IF(AND('OCTUBRE 2026'!D64&lt;&gt;"",'OCTUBRE 2026'!Z64="POR RECOGER"),'OCTUBRE 2026'!F64,"")</f>
        <v/>
      </c>
      <c r="E1005" s="381">
        <f>IF(AND('OCTUBRE 2026'!D64&lt;&gt;"",'OCTUBRE 2026'!Z64="POR RECOGER"),TEXT('OCTUBRE 2026'!G64,"DD/MM/YYYY"),"")</f>
        <v/>
      </c>
      <c r="F1005" s="381">
        <f>IF(AND('OCTUBRE 2026'!D64&lt;&gt;"",'OCTUBRE 2026'!Z64="POR RECOGER"),'OCTUBRE 2026'!K64,"")</f>
        <v/>
      </c>
      <c r="G1005" s="382">
        <f>IF(AND('OCTUBRE 2026'!D64&lt;&gt;"",'OCTUBRE 2026'!Z64="POR RECOGER"),'OCTUBRE 2026'!M64,"")</f>
        <v/>
      </c>
      <c r="H1005" s="382">
        <f>IF(AND('OCTUBRE 2026'!D64&lt;&gt;"",'OCTUBRE 2026'!Z64="POR RECOGER"),'OCTUBRE 2026'!N64,"")</f>
        <v/>
      </c>
      <c r="I1005" s="381">
        <f>IF(AND('OCTUBRE 2026'!D64&lt;&gt;"",'OCTUBRE 2026'!Z64="POR RECOGER"),'OCTUBRE 2026'!P64,"")</f>
        <v/>
      </c>
      <c r="J1005" s="381">
        <f>IF(AND('OCTUBRE 2026'!D64&lt;&gt;"",'OCTUBRE 2026'!Z64="POR RECOGER"),'OCTUBRE 2026'!Q64,"")</f>
        <v/>
      </c>
      <c r="K1005" s="381">
        <f>IF(AND('OCTUBRE 2026'!D64&lt;&gt;"",'OCTUBRE 2026'!Z64="POR RECOGER"),'OCTUBRE 2026'!Y64,"")</f>
        <v/>
      </c>
      <c r="L1005" s="381">
        <f>IF(AND('OCTUBRE 2026'!D64&lt;&gt;"",'OCTUBRE 2026'!Z64="POR RECOGER"),'OCTUBRE 2026'!I64,"")</f>
        <v/>
      </c>
      <c r="P1005" s="194" t="n"/>
      <c r="Q1005" s="194" t="n"/>
      <c r="R1005" s="194" t="n"/>
      <c r="S1005" s="194" t="n"/>
      <c r="T1005" s="194" t="n"/>
      <c r="U1005" s="194" t="n"/>
      <c r="V1005" s="194" t="n"/>
      <c r="W1005" s="194" t="n"/>
      <c r="X1005" s="194" t="n"/>
      <c r="Y1005" s="194" t="n"/>
      <c r="Z1005" s="194" t="n"/>
    </row>
    <row r="1006" ht="15" customHeight="1" s="195">
      <c r="A1006" s="381">
        <f>IF(AND('OCTUBRE 2026'!D65&lt;&gt;"",'OCTUBRE 2026'!Z65="POR RECOGER"),"OCT","")</f>
        <v/>
      </c>
      <c r="B1006" s="381">
        <f>IF(AND('OCTUBRE 2026'!D65&lt;&gt;"",'OCTUBRE 2026'!Z65="POR RECOGER"),IF('OCTUBRE 2026'!Y65&lt;&gt;"",'OCTUBRE 2026'!Y65,'OCTUBRE 2026'!I65),"")</f>
        <v/>
      </c>
      <c r="C1006" s="381">
        <f>IF(AND('OCTUBRE 2026'!D65&lt;&gt;"",'OCTUBRE 2026'!Z65="POR RECOGER"),'OCTUBRE 2026'!D65,"")</f>
        <v/>
      </c>
      <c r="D1006" s="381">
        <f>IF(AND('OCTUBRE 2026'!D65&lt;&gt;"",'OCTUBRE 2026'!Z65="POR RECOGER"),'OCTUBRE 2026'!F65,"")</f>
        <v/>
      </c>
      <c r="E1006" s="381">
        <f>IF(AND('OCTUBRE 2026'!D65&lt;&gt;"",'OCTUBRE 2026'!Z65="POR RECOGER"),TEXT('OCTUBRE 2026'!G65,"DD/MM/YYYY"),"")</f>
        <v/>
      </c>
      <c r="F1006" s="381">
        <f>IF(AND('OCTUBRE 2026'!D65&lt;&gt;"",'OCTUBRE 2026'!Z65="POR RECOGER"),'OCTUBRE 2026'!K65,"")</f>
        <v/>
      </c>
      <c r="G1006" s="382">
        <f>IF(AND('OCTUBRE 2026'!D65&lt;&gt;"",'OCTUBRE 2026'!Z65="POR RECOGER"),'OCTUBRE 2026'!M65,"")</f>
        <v/>
      </c>
      <c r="H1006" s="382">
        <f>IF(AND('OCTUBRE 2026'!D65&lt;&gt;"",'OCTUBRE 2026'!Z65="POR RECOGER"),'OCTUBRE 2026'!N65,"")</f>
        <v/>
      </c>
      <c r="I1006" s="381">
        <f>IF(AND('OCTUBRE 2026'!D65&lt;&gt;"",'OCTUBRE 2026'!Z65="POR RECOGER"),'OCTUBRE 2026'!P65,"")</f>
        <v/>
      </c>
      <c r="J1006" s="381">
        <f>IF(AND('OCTUBRE 2026'!D65&lt;&gt;"",'OCTUBRE 2026'!Z65="POR RECOGER"),'OCTUBRE 2026'!Q65,"")</f>
        <v/>
      </c>
      <c r="K1006" s="381">
        <f>IF(AND('OCTUBRE 2026'!D65&lt;&gt;"",'OCTUBRE 2026'!Z65="POR RECOGER"),'OCTUBRE 2026'!Y65,"")</f>
        <v/>
      </c>
      <c r="L1006" s="381">
        <f>IF(AND('OCTUBRE 2026'!D65&lt;&gt;"",'OCTUBRE 2026'!Z65="POR RECOGER"),'OCTUBRE 2026'!I65,"")</f>
        <v/>
      </c>
      <c r="P1006" s="194" t="n"/>
      <c r="Q1006" s="194" t="n"/>
      <c r="R1006" s="194" t="n"/>
      <c r="S1006" s="194" t="n"/>
      <c r="T1006" s="194" t="n"/>
      <c r="U1006" s="194" t="n"/>
      <c r="V1006" s="194" t="n"/>
      <c r="W1006" s="194" t="n"/>
      <c r="X1006" s="194" t="n"/>
      <c r="Y1006" s="194" t="n"/>
      <c r="Z1006" s="194" t="n"/>
    </row>
    <row r="1007" ht="15" customHeight="1" s="195">
      <c r="A1007" s="381">
        <f>IF(AND('OCTUBRE 2026'!D66&lt;&gt;"",'OCTUBRE 2026'!Z66="POR RECOGER"),"OCT","")</f>
        <v/>
      </c>
      <c r="B1007" s="381">
        <f>IF(AND('OCTUBRE 2026'!D66&lt;&gt;"",'OCTUBRE 2026'!Z66="POR RECOGER"),IF('OCTUBRE 2026'!Y66&lt;&gt;"",'OCTUBRE 2026'!Y66,'OCTUBRE 2026'!I66),"")</f>
        <v/>
      </c>
      <c r="C1007" s="381">
        <f>IF(AND('OCTUBRE 2026'!D66&lt;&gt;"",'OCTUBRE 2026'!Z66="POR RECOGER"),'OCTUBRE 2026'!D66,"")</f>
        <v/>
      </c>
      <c r="D1007" s="381">
        <f>IF(AND('OCTUBRE 2026'!D66&lt;&gt;"",'OCTUBRE 2026'!Z66="POR RECOGER"),'OCTUBRE 2026'!F66,"")</f>
        <v/>
      </c>
      <c r="E1007" s="381">
        <f>IF(AND('OCTUBRE 2026'!D66&lt;&gt;"",'OCTUBRE 2026'!Z66="POR RECOGER"),TEXT('OCTUBRE 2026'!G66,"DD/MM/YYYY"),"")</f>
        <v/>
      </c>
      <c r="F1007" s="381">
        <f>IF(AND('OCTUBRE 2026'!D66&lt;&gt;"",'OCTUBRE 2026'!Z66="POR RECOGER"),'OCTUBRE 2026'!K66,"")</f>
        <v/>
      </c>
      <c r="G1007" s="382">
        <f>IF(AND('OCTUBRE 2026'!D66&lt;&gt;"",'OCTUBRE 2026'!Z66="POR RECOGER"),'OCTUBRE 2026'!M66,"")</f>
        <v/>
      </c>
      <c r="H1007" s="382">
        <f>IF(AND('OCTUBRE 2026'!D66&lt;&gt;"",'OCTUBRE 2026'!Z66="POR RECOGER"),'OCTUBRE 2026'!N66,"")</f>
        <v/>
      </c>
      <c r="I1007" s="381">
        <f>IF(AND('OCTUBRE 2026'!D66&lt;&gt;"",'OCTUBRE 2026'!Z66="POR RECOGER"),'OCTUBRE 2026'!P66,"")</f>
        <v/>
      </c>
      <c r="J1007" s="381">
        <f>IF(AND('OCTUBRE 2026'!D66&lt;&gt;"",'OCTUBRE 2026'!Z66="POR RECOGER"),'OCTUBRE 2026'!Q66,"")</f>
        <v/>
      </c>
      <c r="K1007" s="381">
        <f>IF(AND('OCTUBRE 2026'!D66&lt;&gt;"",'OCTUBRE 2026'!Z66="POR RECOGER"),'OCTUBRE 2026'!Y66,"")</f>
        <v/>
      </c>
      <c r="L1007" s="381">
        <f>IF(AND('OCTUBRE 2026'!D66&lt;&gt;"",'OCTUBRE 2026'!Z66="POR RECOGER"),'OCTUBRE 2026'!I66,"")</f>
        <v/>
      </c>
      <c r="P1007" s="194" t="n"/>
      <c r="Q1007" s="194" t="n"/>
      <c r="R1007" s="194" t="n"/>
      <c r="S1007" s="194" t="n"/>
      <c r="T1007" s="194" t="n"/>
      <c r="U1007" s="194" t="n"/>
      <c r="V1007" s="194" t="n"/>
      <c r="W1007" s="194" t="n"/>
      <c r="X1007" s="194" t="n"/>
      <c r="Y1007" s="194" t="n"/>
      <c r="Z1007" s="194" t="n"/>
    </row>
    <row r="1008" ht="15" customHeight="1" s="195">
      <c r="A1008" s="381">
        <f>IF(AND('OCTUBRE 2026'!D67&lt;&gt;"",'OCTUBRE 2026'!Z67="POR RECOGER"),"OCT","")</f>
        <v/>
      </c>
      <c r="B1008" s="381">
        <f>IF(AND('OCTUBRE 2026'!D67&lt;&gt;"",'OCTUBRE 2026'!Z67="POR RECOGER"),IF('OCTUBRE 2026'!Y67&lt;&gt;"",'OCTUBRE 2026'!Y67,'OCTUBRE 2026'!I67),"")</f>
        <v/>
      </c>
      <c r="C1008" s="381">
        <f>IF(AND('OCTUBRE 2026'!D67&lt;&gt;"",'OCTUBRE 2026'!Z67="POR RECOGER"),'OCTUBRE 2026'!D67,"")</f>
        <v/>
      </c>
      <c r="D1008" s="381">
        <f>IF(AND('OCTUBRE 2026'!D67&lt;&gt;"",'OCTUBRE 2026'!Z67="POR RECOGER"),'OCTUBRE 2026'!F67,"")</f>
        <v/>
      </c>
      <c r="E1008" s="381">
        <f>IF(AND('OCTUBRE 2026'!D67&lt;&gt;"",'OCTUBRE 2026'!Z67="POR RECOGER"),TEXT('OCTUBRE 2026'!G67,"DD/MM/YYYY"),"")</f>
        <v/>
      </c>
      <c r="F1008" s="381">
        <f>IF(AND('OCTUBRE 2026'!D67&lt;&gt;"",'OCTUBRE 2026'!Z67="POR RECOGER"),'OCTUBRE 2026'!K67,"")</f>
        <v/>
      </c>
      <c r="G1008" s="382">
        <f>IF(AND('OCTUBRE 2026'!D67&lt;&gt;"",'OCTUBRE 2026'!Z67="POR RECOGER"),'OCTUBRE 2026'!M67,"")</f>
        <v/>
      </c>
      <c r="H1008" s="382">
        <f>IF(AND('OCTUBRE 2026'!D67&lt;&gt;"",'OCTUBRE 2026'!Z67="POR RECOGER"),'OCTUBRE 2026'!N67,"")</f>
        <v/>
      </c>
      <c r="I1008" s="381">
        <f>IF(AND('OCTUBRE 2026'!D67&lt;&gt;"",'OCTUBRE 2026'!Z67="POR RECOGER"),'OCTUBRE 2026'!P67,"")</f>
        <v/>
      </c>
      <c r="J1008" s="381">
        <f>IF(AND('OCTUBRE 2026'!D67&lt;&gt;"",'OCTUBRE 2026'!Z67="POR RECOGER"),'OCTUBRE 2026'!Q67,"")</f>
        <v/>
      </c>
      <c r="K1008" s="381">
        <f>IF(AND('OCTUBRE 2026'!D67&lt;&gt;"",'OCTUBRE 2026'!Z67="POR RECOGER"),'OCTUBRE 2026'!Y67,"")</f>
        <v/>
      </c>
      <c r="L1008" s="381">
        <f>IF(AND('OCTUBRE 2026'!D67&lt;&gt;"",'OCTUBRE 2026'!Z67="POR RECOGER"),'OCTUBRE 2026'!I67,"")</f>
        <v/>
      </c>
      <c r="P1008" s="194" t="n"/>
      <c r="Q1008" s="194" t="n"/>
      <c r="R1008" s="194" t="n"/>
      <c r="S1008" s="194" t="n"/>
      <c r="T1008" s="194" t="n"/>
      <c r="U1008" s="194" t="n"/>
      <c r="V1008" s="194" t="n"/>
      <c r="W1008" s="194" t="n"/>
      <c r="X1008" s="194" t="n"/>
      <c r="Y1008" s="194" t="n"/>
      <c r="Z1008" s="194" t="n"/>
    </row>
    <row r="1009" ht="15" customHeight="1" s="195">
      <c r="A1009" s="381">
        <f>IF(AND('OCTUBRE 2026'!D68&lt;&gt;"",'OCTUBRE 2026'!Z68="POR RECOGER"),"OCT","")</f>
        <v/>
      </c>
      <c r="B1009" s="381">
        <f>IF(AND('OCTUBRE 2026'!D68&lt;&gt;"",'OCTUBRE 2026'!Z68="POR RECOGER"),IF('OCTUBRE 2026'!Y68&lt;&gt;"",'OCTUBRE 2026'!Y68,'OCTUBRE 2026'!I68),"")</f>
        <v/>
      </c>
      <c r="C1009" s="381">
        <f>IF(AND('OCTUBRE 2026'!D68&lt;&gt;"",'OCTUBRE 2026'!Z68="POR RECOGER"),'OCTUBRE 2026'!D68,"")</f>
        <v/>
      </c>
      <c r="D1009" s="381">
        <f>IF(AND('OCTUBRE 2026'!D68&lt;&gt;"",'OCTUBRE 2026'!Z68="POR RECOGER"),'OCTUBRE 2026'!F68,"")</f>
        <v/>
      </c>
      <c r="E1009" s="381">
        <f>IF(AND('OCTUBRE 2026'!D68&lt;&gt;"",'OCTUBRE 2026'!Z68="POR RECOGER"),TEXT('OCTUBRE 2026'!G68,"DD/MM/YYYY"),"")</f>
        <v/>
      </c>
      <c r="F1009" s="381">
        <f>IF(AND('OCTUBRE 2026'!D68&lt;&gt;"",'OCTUBRE 2026'!Z68="POR RECOGER"),'OCTUBRE 2026'!K68,"")</f>
        <v/>
      </c>
      <c r="G1009" s="382">
        <f>IF(AND('OCTUBRE 2026'!D68&lt;&gt;"",'OCTUBRE 2026'!Z68="POR RECOGER"),'OCTUBRE 2026'!M68,"")</f>
        <v/>
      </c>
      <c r="H1009" s="382">
        <f>IF(AND('OCTUBRE 2026'!D68&lt;&gt;"",'OCTUBRE 2026'!Z68="POR RECOGER"),'OCTUBRE 2026'!N68,"")</f>
        <v/>
      </c>
      <c r="I1009" s="381">
        <f>IF(AND('OCTUBRE 2026'!D68&lt;&gt;"",'OCTUBRE 2026'!Z68="POR RECOGER"),'OCTUBRE 2026'!P68,"")</f>
        <v/>
      </c>
      <c r="J1009" s="381">
        <f>IF(AND('OCTUBRE 2026'!D68&lt;&gt;"",'OCTUBRE 2026'!Z68="POR RECOGER"),'OCTUBRE 2026'!Q68,"")</f>
        <v/>
      </c>
      <c r="K1009" s="381">
        <f>IF(AND('OCTUBRE 2026'!D68&lt;&gt;"",'OCTUBRE 2026'!Z68="POR RECOGER"),'OCTUBRE 2026'!Y68,"")</f>
        <v/>
      </c>
      <c r="L1009" s="381">
        <f>IF(AND('OCTUBRE 2026'!D68&lt;&gt;"",'OCTUBRE 2026'!Z68="POR RECOGER"),'OCTUBRE 2026'!I68,"")</f>
        <v/>
      </c>
      <c r="P1009" s="194" t="n"/>
      <c r="Q1009" s="194" t="n"/>
      <c r="R1009" s="194" t="n"/>
      <c r="S1009" s="194" t="n"/>
      <c r="T1009" s="194" t="n"/>
      <c r="U1009" s="194" t="n"/>
      <c r="V1009" s="194" t="n"/>
      <c r="W1009" s="194" t="n"/>
      <c r="X1009" s="194" t="n"/>
      <c r="Y1009" s="194" t="n"/>
      <c r="Z1009" s="194" t="n"/>
    </row>
    <row r="1010" ht="15" customHeight="1" s="195">
      <c r="A1010" s="381">
        <f>IF(AND('OCTUBRE 2026'!D69&lt;&gt;"",'OCTUBRE 2026'!Z69="POR RECOGER"),"OCT","")</f>
        <v/>
      </c>
      <c r="B1010" s="381">
        <f>IF(AND('OCTUBRE 2026'!D69&lt;&gt;"",'OCTUBRE 2026'!Z69="POR RECOGER"),IF('OCTUBRE 2026'!Y69&lt;&gt;"",'OCTUBRE 2026'!Y69,'OCTUBRE 2026'!I69),"")</f>
        <v/>
      </c>
      <c r="C1010" s="381">
        <f>IF(AND('OCTUBRE 2026'!D69&lt;&gt;"",'OCTUBRE 2026'!Z69="POR RECOGER"),'OCTUBRE 2026'!D69,"")</f>
        <v/>
      </c>
      <c r="D1010" s="381">
        <f>IF(AND('OCTUBRE 2026'!D69&lt;&gt;"",'OCTUBRE 2026'!Z69="POR RECOGER"),'OCTUBRE 2026'!F69,"")</f>
        <v/>
      </c>
      <c r="E1010" s="381">
        <f>IF(AND('OCTUBRE 2026'!D69&lt;&gt;"",'OCTUBRE 2026'!Z69="POR RECOGER"),TEXT('OCTUBRE 2026'!G69,"DD/MM/YYYY"),"")</f>
        <v/>
      </c>
      <c r="F1010" s="381">
        <f>IF(AND('OCTUBRE 2026'!D69&lt;&gt;"",'OCTUBRE 2026'!Z69="POR RECOGER"),'OCTUBRE 2026'!K69,"")</f>
        <v/>
      </c>
      <c r="G1010" s="382">
        <f>IF(AND('OCTUBRE 2026'!D69&lt;&gt;"",'OCTUBRE 2026'!Z69="POR RECOGER"),'OCTUBRE 2026'!M69,"")</f>
        <v/>
      </c>
      <c r="H1010" s="382">
        <f>IF(AND('OCTUBRE 2026'!D69&lt;&gt;"",'OCTUBRE 2026'!Z69="POR RECOGER"),'OCTUBRE 2026'!N69,"")</f>
        <v/>
      </c>
      <c r="I1010" s="381">
        <f>IF(AND('OCTUBRE 2026'!D69&lt;&gt;"",'OCTUBRE 2026'!Z69="POR RECOGER"),'OCTUBRE 2026'!P69,"")</f>
        <v/>
      </c>
      <c r="J1010" s="381">
        <f>IF(AND('OCTUBRE 2026'!D69&lt;&gt;"",'OCTUBRE 2026'!Z69="POR RECOGER"),'OCTUBRE 2026'!Q69,"")</f>
        <v/>
      </c>
      <c r="K1010" s="381">
        <f>IF(AND('OCTUBRE 2026'!D69&lt;&gt;"",'OCTUBRE 2026'!Z69="POR RECOGER"),'OCTUBRE 2026'!Y69,"")</f>
        <v/>
      </c>
      <c r="L1010" s="381">
        <f>IF(AND('OCTUBRE 2026'!D69&lt;&gt;"",'OCTUBRE 2026'!Z69="POR RECOGER"),'OCTUBRE 2026'!I69,"")</f>
        <v/>
      </c>
      <c r="P1010" s="194" t="n"/>
      <c r="Q1010" s="194" t="n"/>
      <c r="R1010" s="194" t="n"/>
      <c r="S1010" s="194" t="n"/>
      <c r="T1010" s="194" t="n"/>
      <c r="U1010" s="194" t="n"/>
      <c r="V1010" s="194" t="n"/>
      <c r="W1010" s="194" t="n"/>
      <c r="X1010" s="194" t="n"/>
      <c r="Y1010" s="194" t="n"/>
      <c r="Z1010" s="194" t="n"/>
    </row>
    <row r="1011" ht="15" customHeight="1" s="195">
      <c r="A1011" s="381">
        <f>IF(AND('OCTUBRE 2026'!D70&lt;&gt;"",'OCTUBRE 2026'!Z70="POR RECOGER"),"OCT","")</f>
        <v/>
      </c>
      <c r="B1011" s="381">
        <f>IF(AND('OCTUBRE 2026'!D70&lt;&gt;"",'OCTUBRE 2026'!Z70="POR RECOGER"),IF('OCTUBRE 2026'!Y70&lt;&gt;"",'OCTUBRE 2026'!Y70,'OCTUBRE 2026'!I70),"")</f>
        <v/>
      </c>
      <c r="C1011" s="381">
        <f>IF(AND('OCTUBRE 2026'!D70&lt;&gt;"",'OCTUBRE 2026'!Z70="POR RECOGER"),'OCTUBRE 2026'!D70,"")</f>
        <v/>
      </c>
      <c r="D1011" s="381">
        <f>IF(AND('OCTUBRE 2026'!D70&lt;&gt;"",'OCTUBRE 2026'!Z70="POR RECOGER"),'OCTUBRE 2026'!F70,"")</f>
        <v/>
      </c>
      <c r="E1011" s="381">
        <f>IF(AND('OCTUBRE 2026'!D70&lt;&gt;"",'OCTUBRE 2026'!Z70="POR RECOGER"),TEXT('OCTUBRE 2026'!G70,"DD/MM/YYYY"),"")</f>
        <v/>
      </c>
      <c r="F1011" s="381">
        <f>IF(AND('OCTUBRE 2026'!D70&lt;&gt;"",'OCTUBRE 2026'!Z70="POR RECOGER"),'OCTUBRE 2026'!K70,"")</f>
        <v/>
      </c>
      <c r="G1011" s="382">
        <f>IF(AND('OCTUBRE 2026'!D70&lt;&gt;"",'OCTUBRE 2026'!Z70="POR RECOGER"),'OCTUBRE 2026'!M70,"")</f>
        <v/>
      </c>
      <c r="H1011" s="382">
        <f>IF(AND('OCTUBRE 2026'!D70&lt;&gt;"",'OCTUBRE 2026'!Z70="POR RECOGER"),'OCTUBRE 2026'!N70,"")</f>
        <v/>
      </c>
      <c r="I1011" s="381">
        <f>IF(AND('OCTUBRE 2026'!D70&lt;&gt;"",'OCTUBRE 2026'!Z70="POR RECOGER"),'OCTUBRE 2026'!P70,"")</f>
        <v/>
      </c>
      <c r="J1011" s="381">
        <f>IF(AND('OCTUBRE 2026'!D70&lt;&gt;"",'OCTUBRE 2026'!Z70="POR RECOGER"),'OCTUBRE 2026'!Q70,"")</f>
        <v/>
      </c>
      <c r="K1011" s="381">
        <f>IF(AND('OCTUBRE 2026'!D70&lt;&gt;"",'OCTUBRE 2026'!Z70="POR RECOGER"),'OCTUBRE 2026'!Y70,"")</f>
        <v/>
      </c>
      <c r="L1011" s="381">
        <f>IF(AND('OCTUBRE 2026'!D70&lt;&gt;"",'OCTUBRE 2026'!Z70="POR RECOGER"),'OCTUBRE 2026'!I70,"")</f>
        <v/>
      </c>
      <c r="P1011" s="194" t="n"/>
      <c r="Q1011" s="194" t="n"/>
      <c r="R1011" s="194" t="n"/>
      <c r="S1011" s="194" t="n"/>
      <c r="T1011" s="194" t="n"/>
      <c r="U1011" s="194" t="n"/>
      <c r="V1011" s="194" t="n"/>
      <c r="W1011" s="194" t="n"/>
      <c r="X1011" s="194" t="n"/>
      <c r="Y1011" s="194" t="n"/>
      <c r="Z1011" s="194" t="n"/>
    </row>
    <row r="1012" ht="15" customHeight="1" s="195">
      <c r="A1012" s="381">
        <f>IF(AND('OCTUBRE 2026'!D71&lt;&gt;"",'OCTUBRE 2026'!Z71="POR RECOGER"),"OCT","")</f>
        <v/>
      </c>
      <c r="B1012" s="381">
        <f>IF(AND('OCTUBRE 2026'!D71&lt;&gt;"",'OCTUBRE 2026'!Z71="POR RECOGER"),IF('OCTUBRE 2026'!Y71&lt;&gt;"",'OCTUBRE 2026'!Y71,'OCTUBRE 2026'!I71),"")</f>
        <v/>
      </c>
      <c r="C1012" s="381">
        <f>IF(AND('OCTUBRE 2026'!D71&lt;&gt;"",'OCTUBRE 2026'!Z71="POR RECOGER"),'OCTUBRE 2026'!D71,"")</f>
        <v/>
      </c>
      <c r="D1012" s="381">
        <f>IF(AND('OCTUBRE 2026'!D71&lt;&gt;"",'OCTUBRE 2026'!Z71="POR RECOGER"),'OCTUBRE 2026'!F71,"")</f>
        <v/>
      </c>
      <c r="E1012" s="381">
        <f>IF(AND('OCTUBRE 2026'!D71&lt;&gt;"",'OCTUBRE 2026'!Z71="POR RECOGER"),TEXT('OCTUBRE 2026'!G71,"DD/MM/YYYY"),"")</f>
        <v/>
      </c>
      <c r="F1012" s="381">
        <f>IF(AND('OCTUBRE 2026'!D71&lt;&gt;"",'OCTUBRE 2026'!Z71="POR RECOGER"),'OCTUBRE 2026'!K71,"")</f>
        <v/>
      </c>
      <c r="G1012" s="382">
        <f>IF(AND('OCTUBRE 2026'!D71&lt;&gt;"",'OCTUBRE 2026'!Z71="POR RECOGER"),'OCTUBRE 2026'!M71,"")</f>
        <v/>
      </c>
      <c r="H1012" s="382">
        <f>IF(AND('OCTUBRE 2026'!D71&lt;&gt;"",'OCTUBRE 2026'!Z71="POR RECOGER"),'OCTUBRE 2026'!N71,"")</f>
        <v/>
      </c>
      <c r="I1012" s="381">
        <f>IF(AND('OCTUBRE 2026'!D71&lt;&gt;"",'OCTUBRE 2026'!Z71="POR RECOGER"),'OCTUBRE 2026'!P71,"")</f>
        <v/>
      </c>
      <c r="J1012" s="381">
        <f>IF(AND('OCTUBRE 2026'!D71&lt;&gt;"",'OCTUBRE 2026'!Z71="POR RECOGER"),'OCTUBRE 2026'!Q71,"")</f>
        <v/>
      </c>
      <c r="K1012" s="381">
        <f>IF(AND('OCTUBRE 2026'!D71&lt;&gt;"",'OCTUBRE 2026'!Z71="POR RECOGER"),'OCTUBRE 2026'!Y71,"")</f>
        <v/>
      </c>
      <c r="L1012" s="381">
        <f>IF(AND('OCTUBRE 2026'!D71&lt;&gt;"",'OCTUBRE 2026'!Z71="POR RECOGER"),'OCTUBRE 2026'!I71,"")</f>
        <v/>
      </c>
      <c r="P1012" s="194" t="n"/>
      <c r="Q1012" s="194" t="n"/>
      <c r="R1012" s="194" t="n"/>
      <c r="S1012" s="194" t="n"/>
      <c r="T1012" s="194" t="n"/>
      <c r="U1012" s="194" t="n"/>
      <c r="V1012" s="194" t="n"/>
      <c r="W1012" s="194" t="n"/>
      <c r="X1012" s="194" t="n"/>
      <c r="Y1012" s="194" t="n"/>
      <c r="Z1012" s="194" t="n"/>
    </row>
    <row r="1013" ht="15" customHeight="1" s="195">
      <c r="A1013" s="381">
        <f>IF(AND('OCTUBRE 2026'!D72&lt;&gt;"",'OCTUBRE 2026'!Z72="POR RECOGER"),"OCT","")</f>
        <v/>
      </c>
      <c r="B1013" s="381">
        <f>IF(AND('OCTUBRE 2026'!D72&lt;&gt;"",'OCTUBRE 2026'!Z72="POR RECOGER"),IF('OCTUBRE 2026'!Y72&lt;&gt;"",'OCTUBRE 2026'!Y72,'OCTUBRE 2026'!I72),"")</f>
        <v/>
      </c>
      <c r="C1013" s="381">
        <f>IF(AND('OCTUBRE 2026'!D72&lt;&gt;"",'OCTUBRE 2026'!Z72="POR RECOGER"),'OCTUBRE 2026'!D72,"")</f>
        <v/>
      </c>
      <c r="D1013" s="381">
        <f>IF(AND('OCTUBRE 2026'!D72&lt;&gt;"",'OCTUBRE 2026'!Z72="POR RECOGER"),'OCTUBRE 2026'!F72,"")</f>
        <v/>
      </c>
      <c r="E1013" s="381">
        <f>IF(AND('OCTUBRE 2026'!D72&lt;&gt;"",'OCTUBRE 2026'!Z72="POR RECOGER"),TEXT('OCTUBRE 2026'!G72,"DD/MM/YYYY"),"")</f>
        <v/>
      </c>
      <c r="F1013" s="381">
        <f>IF(AND('OCTUBRE 2026'!D72&lt;&gt;"",'OCTUBRE 2026'!Z72="POR RECOGER"),'OCTUBRE 2026'!K72,"")</f>
        <v/>
      </c>
      <c r="G1013" s="382">
        <f>IF(AND('OCTUBRE 2026'!D72&lt;&gt;"",'OCTUBRE 2026'!Z72="POR RECOGER"),'OCTUBRE 2026'!M72,"")</f>
        <v/>
      </c>
      <c r="H1013" s="382">
        <f>IF(AND('OCTUBRE 2026'!D72&lt;&gt;"",'OCTUBRE 2026'!Z72="POR RECOGER"),'OCTUBRE 2026'!N72,"")</f>
        <v/>
      </c>
      <c r="I1013" s="381">
        <f>IF(AND('OCTUBRE 2026'!D72&lt;&gt;"",'OCTUBRE 2026'!Z72="POR RECOGER"),'OCTUBRE 2026'!P72,"")</f>
        <v/>
      </c>
      <c r="J1013" s="381">
        <f>IF(AND('OCTUBRE 2026'!D72&lt;&gt;"",'OCTUBRE 2026'!Z72="POR RECOGER"),'OCTUBRE 2026'!Q72,"")</f>
        <v/>
      </c>
      <c r="K1013" s="381">
        <f>IF(AND('OCTUBRE 2026'!D72&lt;&gt;"",'OCTUBRE 2026'!Z72="POR RECOGER"),'OCTUBRE 2026'!Y72,"")</f>
        <v/>
      </c>
      <c r="L1013" s="381">
        <f>IF(AND('OCTUBRE 2026'!D72&lt;&gt;"",'OCTUBRE 2026'!Z72="POR RECOGER"),'OCTUBRE 2026'!I72,"")</f>
        <v/>
      </c>
      <c r="P1013" s="194" t="n"/>
      <c r="Q1013" s="194" t="n"/>
      <c r="R1013" s="194" t="n"/>
      <c r="S1013" s="194" t="n"/>
      <c r="T1013" s="194" t="n"/>
      <c r="U1013" s="194" t="n"/>
      <c r="V1013" s="194" t="n"/>
      <c r="W1013" s="194" t="n"/>
      <c r="X1013" s="194" t="n"/>
      <c r="Y1013" s="194" t="n"/>
      <c r="Z1013" s="194" t="n"/>
    </row>
    <row r="1014" ht="15" customHeight="1" s="195">
      <c r="A1014" s="381">
        <f>IF(AND('OCTUBRE 2026'!D73&lt;&gt;"",'OCTUBRE 2026'!Z73="POR RECOGER"),"OCT","")</f>
        <v/>
      </c>
      <c r="B1014" s="381">
        <f>IF(AND('OCTUBRE 2026'!D73&lt;&gt;"",'OCTUBRE 2026'!Z73="POR RECOGER"),IF('OCTUBRE 2026'!Y73&lt;&gt;"",'OCTUBRE 2026'!Y73,'OCTUBRE 2026'!I73),"")</f>
        <v/>
      </c>
      <c r="C1014" s="381">
        <f>IF(AND('OCTUBRE 2026'!D73&lt;&gt;"",'OCTUBRE 2026'!Z73="POR RECOGER"),'OCTUBRE 2026'!D73,"")</f>
        <v/>
      </c>
      <c r="D1014" s="381">
        <f>IF(AND('OCTUBRE 2026'!D73&lt;&gt;"",'OCTUBRE 2026'!Z73="POR RECOGER"),'OCTUBRE 2026'!F73,"")</f>
        <v/>
      </c>
      <c r="E1014" s="381">
        <f>IF(AND('OCTUBRE 2026'!D73&lt;&gt;"",'OCTUBRE 2026'!Z73="POR RECOGER"),TEXT('OCTUBRE 2026'!G73,"DD/MM/YYYY"),"")</f>
        <v/>
      </c>
      <c r="F1014" s="381">
        <f>IF(AND('OCTUBRE 2026'!D73&lt;&gt;"",'OCTUBRE 2026'!Z73="POR RECOGER"),'OCTUBRE 2026'!K73,"")</f>
        <v/>
      </c>
      <c r="G1014" s="382">
        <f>IF(AND('OCTUBRE 2026'!D73&lt;&gt;"",'OCTUBRE 2026'!Z73="POR RECOGER"),'OCTUBRE 2026'!M73,"")</f>
        <v/>
      </c>
      <c r="H1014" s="382">
        <f>IF(AND('OCTUBRE 2026'!D73&lt;&gt;"",'OCTUBRE 2026'!Z73="POR RECOGER"),'OCTUBRE 2026'!N73,"")</f>
        <v/>
      </c>
      <c r="I1014" s="381">
        <f>IF(AND('OCTUBRE 2026'!D73&lt;&gt;"",'OCTUBRE 2026'!Z73="POR RECOGER"),'OCTUBRE 2026'!P73,"")</f>
        <v/>
      </c>
      <c r="J1014" s="381">
        <f>IF(AND('OCTUBRE 2026'!D73&lt;&gt;"",'OCTUBRE 2026'!Z73="POR RECOGER"),'OCTUBRE 2026'!Q73,"")</f>
        <v/>
      </c>
      <c r="K1014" s="381">
        <f>IF(AND('OCTUBRE 2026'!D73&lt;&gt;"",'OCTUBRE 2026'!Z73="POR RECOGER"),'OCTUBRE 2026'!Y73,"")</f>
        <v/>
      </c>
      <c r="L1014" s="381">
        <f>IF(AND('OCTUBRE 2026'!D73&lt;&gt;"",'OCTUBRE 2026'!Z73="POR RECOGER"),'OCTUBRE 2026'!I73,"")</f>
        <v/>
      </c>
      <c r="P1014" s="194" t="n"/>
      <c r="Q1014" s="194" t="n"/>
      <c r="R1014" s="194" t="n"/>
      <c r="S1014" s="194" t="n"/>
      <c r="T1014" s="194" t="n"/>
      <c r="U1014" s="194" t="n"/>
      <c r="V1014" s="194" t="n"/>
      <c r="W1014" s="194" t="n"/>
      <c r="X1014" s="194" t="n"/>
      <c r="Y1014" s="194" t="n"/>
      <c r="Z1014" s="194" t="n"/>
    </row>
    <row r="1015" ht="15" customHeight="1" s="195">
      <c r="A1015" s="381">
        <f>IF(AND('OCTUBRE 2026'!D74&lt;&gt;"",'OCTUBRE 2026'!Z74="POR RECOGER"),"OCT","")</f>
        <v/>
      </c>
      <c r="B1015" s="381">
        <f>IF(AND('OCTUBRE 2026'!D74&lt;&gt;"",'OCTUBRE 2026'!Z74="POR RECOGER"),IF('OCTUBRE 2026'!Y74&lt;&gt;"",'OCTUBRE 2026'!Y74,'OCTUBRE 2026'!I74),"")</f>
        <v/>
      </c>
      <c r="C1015" s="381">
        <f>IF(AND('OCTUBRE 2026'!D74&lt;&gt;"",'OCTUBRE 2026'!Z74="POR RECOGER"),'OCTUBRE 2026'!D74,"")</f>
        <v/>
      </c>
      <c r="D1015" s="381">
        <f>IF(AND('OCTUBRE 2026'!D74&lt;&gt;"",'OCTUBRE 2026'!Z74="POR RECOGER"),'OCTUBRE 2026'!F74,"")</f>
        <v/>
      </c>
      <c r="E1015" s="381">
        <f>IF(AND('OCTUBRE 2026'!D74&lt;&gt;"",'OCTUBRE 2026'!Z74="POR RECOGER"),TEXT('OCTUBRE 2026'!G74,"DD/MM/YYYY"),"")</f>
        <v/>
      </c>
      <c r="F1015" s="381">
        <f>IF(AND('OCTUBRE 2026'!D74&lt;&gt;"",'OCTUBRE 2026'!Z74="POR RECOGER"),'OCTUBRE 2026'!K74,"")</f>
        <v/>
      </c>
      <c r="G1015" s="382">
        <f>IF(AND('OCTUBRE 2026'!D74&lt;&gt;"",'OCTUBRE 2026'!Z74="POR RECOGER"),'OCTUBRE 2026'!M74,"")</f>
        <v/>
      </c>
      <c r="H1015" s="382">
        <f>IF(AND('OCTUBRE 2026'!D74&lt;&gt;"",'OCTUBRE 2026'!Z74="POR RECOGER"),'OCTUBRE 2026'!N74,"")</f>
        <v/>
      </c>
      <c r="I1015" s="381">
        <f>IF(AND('OCTUBRE 2026'!D74&lt;&gt;"",'OCTUBRE 2026'!Z74="POR RECOGER"),'OCTUBRE 2026'!P74,"")</f>
        <v/>
      </c>
      <c r="J1015" s="381">
        <f>IF(AND('OCTUBRE 2026'!D74&lt;&gt;"",'OCTUBRE 2026'!Z74="POR RECOGER"),'OCTUBRE 2026'!Q74,"")</f>
        <v/>
      </c>
      <c r="K1015" s="381">
        <f>IF(AND('OCTUBRE 2026'!D74&lt;&gt;"",'OCTUBRE 2026'!Z74="POR RECOGER"),'OCTUBRE 2026'!Y74,"")</f>
        <v/>
      </c>
      <c r="L1015" s="381">
        <f>IF(AND('OCTUBRE 2026'!D74&lt;&gt;"",'OCTUBRE 2026'!Z74="POR RECOGER"),'OCTUBRE 2026'!I74,"")</f>
        <v/>
      </c>
      <c r="P1015" s="194" t="n"/>
      <c r="Q1015" s="194" t="n"/>
      <c r="R1015" s="194" t="n"/>
      <c r="S1015" s="194" t="n"/>
      <c r="T1015" s="194" t="n"/>
      <c r="U1015" s="194" t="n"/>
      <c r="V1015" s="194" t="n"/>
      <c r="W1015" s="194" t="n"/>
      <c r="X1015" s="194" t="n"/>
      <c r="Y1015" s="194" t="n"/>
      <c r="Z1015" s="194" t="n"/>
    </row>
    <row r="1016" ht="15" customHeight="1" s="195">
      <c r="A1016" s="381">
        <f>IF(AND('OCTUBRE 2026'!D75&lt;&gt;"",'OCTUBRE 2026'!Z75="POR RECOGER"),"OCT","")</f>
        <v/>
      </c>
      <c r="B1016" s="381">
        <f>IF(AND('OCTUBRE 2026'!D75&lt;&gt;"",'OCTUBRE 2026'!Z75="POR RECOGER"),IF('OCTUBRE 2026'!Y75&lt;&gt;"",'OCTUBRE 2026'!Y75,'OCTUBRE 2026'!I75),"")</f>
        <v/>
      </c>
      <c r="C1016" s="381">
        <f>IF(AND('OCTUBRE 2026'!D75&lt;&gt;"",'OCTUBRE 2026'!Z75="POR RECOGER"),'OCTUBRE 2026'!D75,"")</f>
        <v/>
      </c>
      <c r="D1016" s="381">
        <f>IF(AND('OCTUBRE 2026'!D75&lt;&gt;"",'OCTUBRE 2026'!Z75="POR RECOGER"),'OCTUBRE 2026'!F75,"")</f>
        <v/>
      </c>
      <c r="E1016" s="381">
        <f>IF(AND('OCTUBRE 2026'!D75&lt;&gt;"",'OCTUBRE 2026'!Z75="POR RECOGER"),TEXT('OCTUBRE 2026'!G75,"DD/MM/YYYY"),"")</f>
        <v/>
      </c>
      <c r="F1016" s="381">
        <f>IF(AND('OCTUBRE 2026'!D75&lt;&gt;"",'OCTUBRE 2026'!Z75="POR RECOGER"),'OCTUBRE 2026'!K75,"")</f>
        <v/>
      </c>
      <c r="G1016" s="382">
        <f>IF(AND('OCTUBRE 2026'!D75&lt;&gt;"",'OCTUBRE 2026'!Z75="POR RECOGER"),'OCTUBRE 2026'!M75,"")</f>
        <v/>
      </c>
      <c r="H1016" s="382">
        <f>IF(AND('OCTUBRE 2026'!D75&lt;&gt;"",'OCTUBRE 2026'!Z75="POR RECOGER"),'OCTUBRE 2026'!N75,"")</f>
        <v/>
      </c>
      <c r="I1016" s="381">
        <f>IF(AND('OCTUBRE 2026'!D75&lt;&gt;"",'OCTUBRE 2026'!Z75="POR RECOGER"),'OCTUBRE 2026'!P75,"")</f>
        <v/>
      </c>
      <c r="J1016" s="381">
        <f>IF(AND('OCTUBRE 2026'!D75&lt;&gt;"",'OCTUBRE 2026'!Z75="POR RECOGER"),'OCTUBRE 2026'!Q75,"")</f>
        <v/>
      </c>
      <c r="K1016" s="381">
        <f>IF(AND('OCTUBRE 2026'!D75&lt;&gt;"",'OCTUBRE 2026'!Z75="POR RECOGER"),'OCTUBRE 2026'!Y75,"")</f>
        <v/>
      </c>
      <c r="L1016" s="381">
        <f>IF(AND('OCTUBRE 2026'!D75&lt;&gt;"",'OCTUBRE 2026'!Z75="POR RECOGER"),'OCTUBRE 2026'!I75,"")</f>
        <v/>
      </c>
      <c r="P1016" s="194" t="n"/>
      <c r="Q1016" s="194" t="n"/>
      <c r="R1016" s="194" t="n"/>
      <c r="S1016" s="194" t="n"/>
      <c r="T1016" s="194" t="n"/>
      <c r="U1016" s="194" t="n"/>
      <c r="V1016" s="194" t="n"/>
      <c r="W1016" s="194" t="n"/>
      <c r="X1016" s="194" t="n"/>
      <c r="Y1016" s="194" t="n"/>
      <c r="Z1016" s="194" t="n"/>
    </row>
    <row r="1017" ht="15" customHeight="1" s="195">
      <c r="A1017" s="381">
        <f>IF(AND('OCTUBRE 2026'!D76&lt;&gt;"",'OCTUBRE 2026'!Z76="POR RECOGER"),"OCT","")</f>
        <v/>
      </c>
      <c r="B1017" s="381">
        <f>IF(AND('OCTUBRE 2026'!D76&lt;&gt;"",'OCTUBRE 2026'!Z76="POR RECOGER"),IF('OCTUBRE 2026'!Y76&lt;&gt;"",'OCTUBRE 2026'!Y76,'OCTUBRE 2026'!I76),"")</f>
        <v/>
      </c>
      <c r="C1017" s="381">
        <f>IF(AND('OCTUBRE 2026'!D76&lt;&gt;"",'OCTUBRE 2026'!Z76="POR RECOGER"),'OCTUBRE 2026'!D76,"")</f>
        <v/>
      </c>
      <c r="D1017" s="381">
        <f>IF(AND('OCTUBRE 2026'!D76&lt;&gt;"",'OCTUBRE 2026'!Z76="POR RECOGER"),'OCTUBRE 2026'!F76,"")</f>
        <v/>
      </c>
      <c r="E1017" s="381">
        <f>IF(AND('OCTUBRE 2026'!D76&lt;&gt;"",'OCTUBRE 2026'!Z76="POR RECOGER"),TEXT('OCTUBRE 2026'!G76,"DD/MM/YYYY"),"")</f>
        <v/>
      </c>
      <c r="F1017" s="381">
        <f>IF(AND('OCTUBRE 2026'!D76&lt;&gt;"",'OCTUBRE 2026'!Z76="POR RECOGER"),'OCTUBRE 2026'!K76,"")</f>
        <v/>
      </c>
      <c r="G1017" s="382">
        <f>IF(AND('OCTUBRE 2026'!D76&lt;&gt;"",'OCTUBRE 2026'!Z76="POR RECOGER"),'OCTUBRE 2026'!M76,"")</f>
        <v/>
      </c>
      <c r="H1017" s="382">
        <f>IF(AND('OCTUBRE 2026'!D76&lt;&gt;"",'OCTUBRE 2026'!Z76="POR RECOGER"),'OCTUBRE 2026'!N76,"")</f>
        <v/>
      </c>
      <c r="I1017" s="381">
        <f>IF(AND('OCTUBRE 2026'!D76&lt;&gt;"",'OCTUBRE 2026'!Z76="POR RECOGER"),'OCTUBRE 2026'!P76,"")</f>
        <v/>
      </c>
      <c r="J1017" s="381">
        <f>IF(AND('OCTUBRE 2026'!D76&lt;&gt;"",'OCTUBRE 2026'!Z76="POR RECOGER"),'OCTUBRE 2026'!Q76,"")</f>
        <v/>
      </c>
      <c r="K1017" s="381">
        <f>IF(AND('OCTUBRE 2026'!D76&lt;&gt;"",'OCTUBRE 2026'!Z76="POR RECOGER"),'OCTUBRE 2026'!Y76,"")</f>
        <v/>
      </c>
      <c r="L1017" s="381">
        <f>IF(AND('OCTUBRE 2026'!D76&lt;&gt;"",'OCTUBRE 2026'!Z76="POR RECOGER"),'OCTUBRE 2026'!I76,"")</f>
        <v/>
      </c>
      <c r="P1017" s="194" t="n"/>
      <c r="Q1017" s="194" t="n"/>
      <c r="R1017" s="194" t="n"/>
      <c r="S1017" s="194" t="n"/>
      <c r="T1017" s="194" t="n"/>
      <c r="U1017" s="194" t="n"/>
      <c r="V1017" s="194" t="n"/>
      <c r="W1017" s="194" t="n"/>
      <c r="X1017" s="194" t="n"/>
      <c r="Y1017" s="194" t="n"/>
      <c r="Z1017" s="194" t="n"/>
    </row>
    <row r="1018" ht="15" customHeight="1" s="195">
      <c r="A1018" s="381">
        <f>IF(AND('OCTUBRE 2026'!D77&lt;&gt;"",'OCTUBRE 2026'!Z77="POR RECOGER"),"OCT","")</f>
        <v/>
      </c>
      <c r="B1018" s="381">
        <f>IF(AND('OCTUBRE 2026'!D77&lt;&gt;"",'OCTUBRE 2026'!Z77="POR RECOGER"),IF('OCTUBRE 2026'!Y77&lt;&gt;"",'OCTUBRE 2026'!Y77,'OCTUBRE 2026'!I77),"")</f>
        <v/>
      </c>
      <c r="C1018" s="381">
        <f>IF(AND('OCTUBRE 2026'!D77&lt;&gt;"",'OCTUBRE 2026'!Z77="POR RECOGER"),'OCTUBRE 2026'!D77,"")</f>
        <v/>
      </c>
      <c r="D1018" s="381">
        <f>IF(AND('OCTUBRE 2026'!D77&lt;&gt;"",'OCTUBRE 2026'!Z77="POR RECOGER"),'OCTUBRE 2026'!F77,"")</f>
        <v/>
      </c>
      <c r="E1018" s="381">
        <f>IF(AND('OCTUBRE 2026'!D77&lt;&gt;"",'OCTUBRE 2026'!Z77="POR RECOGER"),TEXT('OCTUBRE 2026'!G77,"DD/MM/YYYY"),"")</f>
        <v/>
      </c>
      <c r="F1018" s="381">
        <f>IF(AND('OCTUBRE 2026'!D77&lt;&gt;"",'OCTUBRE 2026'!Z77="POR RECOGER"),'OCTUBRE 2026'!K77,"")</f>
        <v/>
      </c>
      <c r="G1018" s="382">
        <f>IF(AND('OCTUBRE 2026'!D77&lt;&gt;"",'OCTUBRE 2026'!Z77="POR RECOGER"),'OCTUBRE 2026'!M77,"")</f>
        <v/>
      </c>
      <c r="H1018" s="382">
        <f>IF(AND('OCTUBRE 2026'!D77&lt;&gt;"",'OCTUBRE 2026'!Z77="POR RECOGER"),'OCTUBRE 2026'!N77,"")</f>
        <v/>
      </c>
      <c r="I1018" s="381">
        <f>IF(AND('OCTUBRE 2026'!D77&lt;&gt;"",'OCTUBRE 2026'!Z77="POR RECOGER"),'OCTUBRE 2026'!P77,"")</f>
        <v/>
      </c>
      <c r="J1018" s="381">
        <f>IF(AND('OCTUBRE 2026'!D77&lt;&gt;"",'OCTUBRE 2026'!Z77="POR RECOGER"),'OCTUBRE 2026'!Q77,"")</f>
        <v/>
      </c>
      <c r="K1018" s="381">
        <f>IF(AND('OCTUBRE 2026'!D77&lt;&gt;"",'OCTUBRE 2026'!Z77="POR RECOGER"),'OCTUBRE 2026'!Y77,"")</f>
        <v/>
      </c>
      <c r="L1018" s="381">
        <f>IF(AND('OCTUBRE 2026'!D77&lt;&gt;"",'OCTUBRE 2026'!Z77="POR RECOGER"),'OCTUBRE 2026'!I77,"")</f>
        <v/>
      </c>
      <c r="P1018" s="194" t="n"/>
      <c r="Q1018" s="194" t="n"/>
      <c r="R1018" s="194" t="n"/>
      <c r="S1018" s="194" t="n"/>
      <c r="T1018" s="194" t="n"/>
      <c r="U1018" s="194" t="n"/>
      <c r="V1018" s="194" t="n"/>
      <c r="W1018" s="194" t="n"/>
      <c r="X1018" s="194" t="n"/>
      <c r="Y1018" s="194" t="n"/>
      <c r="Z1018" s="194" t="n"/>
    </row>
    <row r="1019" ht="15" customHeight="1" s="195">
      <c r="A1019" s="381">
        <f>IF(AND('OCTUBRE 2026'!D78&lt;&gt;"",'OCTUBRE 2026'!Z78="POR RECOGER"),"OCT","")</f>
        <v/>
      </c>
      <c r="B1019" s="381">
        <f>IF(AND('OCTUBRE 2026'!D78&lt;&gt;"",'OCTUBRE 2026'!Z78="POR RECOGER"),IF('OCTUBRE 2026'!Y78&lt;&gt;"",'OCTUBRE 2026'!Y78,'OCTUBRE 2026'!I78),"")</f>
        <v/>
      </c>
      <c r="C1019" s="381">
        <f>IF(AND('OCTUBRE 2026'!D78&lt;&gt;"",'OCTUBRE 2026'!Z78="POR RECOGER"),'OCTUBRE 2026'!D78,"")</f>
        <v/>
      </c>
      <c r="D1019" s="381">
        <f>IF(AND('OCTUBRE 2026'!D78&lt;&gt;"",'OCTUBRE 2026'!Z78="POR RECOGER"),'OCTUBRE 2026'!F78,"")</f>
        <v/>
      </c>
      <c r="E1019" s="381">
        <f>IF(AND('OCTUBRE 2026'!D78&lt;&gt;"",'OCTUBRE 2026'!Z78="POR RECOGER"),TEXT('OCTUBRE 2026'!G78,"DD/MM/YYYY"),"")</f>
        <v/>
      </c>
      <c r="F1019" s="381">
        <f>IF(AND('OCTUBRE 2026'!D78&lt;&gt;"",'OCTUBRE 2026'!Z78="POR RECOGER"),'OCTUBRE 2026'!K78,"")</f>
        <v/>
      </c>
      <c r="G1019" s="382">
        <f>IF(AND('OCTUBRE 2026'!D78&lt;&gt;"",'OCTUBRE 2026'!Z78="POR RECOGER"),'OCTUBRE 2026'!M78,"")</f>
        <v/>
      </c>
      <c r="H1019" s="382">
        <f>IF(AND('OCTUBRE 2026'!D78&lt;&gt;"",'OCTUBRE 2026'!Z78="POR RECOGER"),'OCTUBRE 2026'!N78,"")</f>
        <v/>
      </c>
      <c r="I1019" s="381">
        <f>IF(AND('OCTUBRE 2026'!D78&lt;&gt;"",'OCTUBRE 2026'!Z78="POR RECOGER"),'OCTUBRE 2026'!P78,"")</f>
        <v/>
      </c>
      <c r="J1019" s="381">
        <f>IF(AND('OCTUBRE 2026'!D78&lt;&gt;"",'OCTUBRE 2026'!Z78="POR RECOGER"),'OCTUBRE 2026'!Q78,"")</f>
        <v/>
      </c>
      <c r="K1019" s="381">
        <f>IF(AND('OCTUBRE 2026'!D78&lt;&gt;"",'OCTUBRE 2026'!Z78="POR RECOGER"),'OCTUBRE 2026'!Y78,"")</f>
        <v/>
      </c>
      <c r="L1019" s="381">
        <f>IF(AND('OCTUBRE 2026'!D78&lt;&gt;"",'OCTUBRE 2026'!Z78="POR RECOGER"),'OCTUBRE 2026'!I78,"")</f>
        <v/>
      </c>
      <c r="P1019" s="194" t="n"/>
      <c r="Q1019" s="194" t="n"/>
      <c r="R1019" s="194" t="n"/>
      <c r="S1019" s="194" t="n"/>
      <c r="T1019" s="194" t="n"/>
      <c r="U1019" s="194" t="n"/>
      <c r="V1019" s="194" t="n"/>
      <c r="W1019" s="194" t="n"/>
      <c r="X1019" s="194" t="n"/>
      <c r="Y1019" s="194" t="n"/>
      <c r="Z1019" s="194" t="n"/>
    </row>
    <row r="1020" ht="15" customHeight="1" s="195">
      <c r="A1020" s="381">
        <f>IF(AND('OCTUBRE 2026'!D79&lt;&gt;"",'OCTUBRE 2026'!Z79="POR RECOGER"),"OCT","")</f>
        <v/>
      </c>
      <c r="B1020" s="381">
        <f>IF(AND('OCTUBRE 2026'!D79&lt;&gt;"",'OCTUBRE 2026'!Z79="POR RECOGER"),IF('OCTUBRE 2026'!Y79&lt;&gt;"",'OCTUBRE 2026'!Y79,'OCTUBRE 2026'!I79),"")</f>
        <v/>
      </c>
      <c r="C1020" s="381">
        <f>IF(AND('OCTUBRE 2026'!D79&lt;&gt;"",'OCTUBRE 2026'!Z79="POR RECOGER"),'OCTUBRE 2026'!D79,"")</f>
        <v/>
      </c>
      <c r="D1020" s="381">
        <f>IF(AND('OCTUBRE 2026'!D79&lt;&gt;"",'OCTUBRE 2026'!Z79="POR RECOGER"),'OCTUBRE 2026'!F79,"")</f>
        <v/>
      </c>
      <c r="E1020" s="381">
        <f>IF(AND('OCTUBRE 2026'!D79&lt;&gt;"",'OCTUBRE 2026'!Z79="POR RECOGER"),TEXT('OCTUBRE 2026'!G79,"DD/MM/YYYY"),"")</f>
        <v/>
      </c>
      <c r="F1020" s="381">
        <f>IF(AND('OCTUBRE 2026'!D79&lt;&gt;"",'OCTUBRE 2026'!Z79="POR RECOGER"),'OCTUBRE 2026'!K79,"")</f>
        <v/>
      </c>
      <c r="G1020" s="382">
        <f>IF(AND('OCTUBRE 2026'!D79&lt;&gt;"",'OCTUBRE 2026'!Z79="POR RECOGER"),'OCTUBRE 2026'!M79,"")</f>
        <v/>
      </c>
      <c r="H1020" s="382">
        <f>IF(AND('OCTUBRE 2026'!D79&lt;&gt;"",'OCTUBRE 2026'!Z79="POR RECOGER"),'OCTUBRE 2026'!N79,"")</f>
        <v/>
      </c>
      <c r="I1020" s="381">
        <f>IF(AND('OCTUBRE 2026'!D79&lt;&gt;"",'OCTUBRE 2026'!Z79="POR RECOGER"),'OCTUBRE 2026'!P79,"")</f>
        <v/>
      </c>
      <c r="J1020" s="381">
        <f>IF(AND('OCTUBRE 2026'!D79&lt;&gt;"",'OCTUBRE 2026'!Z79="POR RECOGER"),'OCTUBRE 2026'!Q79,"")</f>
        <v/>
      </c>
      <c r="K1020" s="381">
        <f>IF(AND('OCTUBRE 2026'!D79&lt;&gt;"",'OCTUBRE 2026'!Z79="POR RECOGER"),'OCTUBRE 2026'!Y79,"")</f>
        <v/>
      </c>
      <c r="L1020" s="381">
        <f>IF(AND('OCTUBRE 2026'!D79&lt;&gt;"",'OCTUBRE 2026'!Z79="POR RECOGER"),'OCTUBRE 2026'!I79,"")</f>
        <v/>
      </c>
      <c r="P1020" s="194" t="n"/>
      <c r="Q1020" s="194" t="n"/>
      <c r="R1020" s="194" t="n"/>
      <c r="S1020" s="194" t="n"/>
      <c r="T1020" s="194" t="n"/>
      <c r="U1020" s="194" t="n"/>
      <c r="V1020" s="194" t="n"/>
      <c r="W1020" s="194" t="n"/>
      <c r="X1020" s="194" t="n"/>
      <c r="Y1020" s="194" t="n"/>
      <c r="Z1020" s="194" t="n"/>
    </row>
    <row r="1021" ht="15" customHeight="1" s="195">
      <c r="A1021" s="381">
        <f>IF(AND('OCTUBRE 2026'!D80&lt;&gt;"",'OCTUBRE 2026'!Z80="POR RECOGER"),"OCT","")</f>
        <v/>
      </c>
      <c r="B1021" s="381">
        <f>IF(AND('OCTUBRE 2026'!D80&lt;&gt;"",'OCTUBRE 2026'!Z80="POR RECOGER"),IF('OCTUBRE 2026'!Y80&lt;&gt;"",'OCTUBRE 2026'!Y80,'OCTUBRE 2026'!I80),"")</f>
        <v/>
      </c>
      <c r="C1021" s="381">
        <f>IF(AND('OCTUBRE 2026'!D80&lt;&gt;"",'OCTUBRE 2026'!Z80="POR RECOGER"),'OCTUBRE 2026'!D80,"")</f>
        <v/>
      </c>
      <c r="D1021" s="381">
        <f>IF(AND('OCTUBRE 2026'!D80&lt;&gt;"",'OCTUBRE 2026'!Z80="POR RECOGER"),'OCTUBRE 2026'!F80,"")</f>
        <v/>
      </c>
      <c r="E1021" s="381">
        <f>IF(AND('OCTUBRE 2026'!D80&lt;&gt;"",'OCTUBRE 2026'!Z80="POR RECOGER"),TEXT('OCTUBRE 2026'!G80,"DD/MM/YYYY"),"")</f>
        <v/>
      </c>
      <c r="F1021" s="381">
        <f>IF(AND('OCTUBRE 2026'!D80&lt;&gt;"",'OCTUBRE 2026'!Z80="POR RECOGER"),'OCTUBRE 2026'!K80,"")</f>
        <v/>
      </c>
      <c r="G1021" s="382">
        <f>IF(AND('OCTUBRE 2026'!D80&lt;&gt;"",'OCTUBRE 2026'!Z80="POR RECOGER"),'OCTUBRE 2026'!M80,"")</f>
        <v/>
      </c>
      <c r="H1021" s="382">
        <f>IF(AND('OCTUBRE 2026'!D80&lt;&gt;"",'OCTUBRE 2026'!Z80="POR RECOGER"),'OCTUBRE 2026'!N80,"")</f>
        <v/>
      </c>
      <c r="I1021" s="381">
        <f>IF(AND('OCTUBRE 2026'!D80&lt;&gt;"",'OCTUBRE 2026'!Z80="POR RECOGER"),'OCTUBRE 2026'!P80,"")</f>
        <v/>
      </c>
      <c r="J1021" s="381">
        <f>IF(AND('OCTUBRE 2026'!D80&lt;&gt;"",'OCTUBRE 2026'!Z80="POR RECOGER"),'OCTUBRE 2026'!Q80,"")</f>
        <v/>
      </c>
      <c r="K1021" s="381">
        <f>IF(AND('OCTUBRE 2026'!D80&lt;&gt;"",'OCTUBRE 2026'!Z80="POR RECOGER"),'OCTUBRE 2026'!Y80,"")</f>
        <v/>
      </c>
      <c r="L1021" s="381">
        <f>IF(AND('OCTUBRE 2026'!D80&lt;&gt;"",'OCTUBRE 2026'!Z80="POR RECOGER"),'OCTUBRE 2026'!I80,"")</f>
        <v/>
      </c>
      <c r="P1021" s="194" t="n"/>
      <c r="Q1021" s="194" t="n"/>
      <c r="R1021" s="194" t="n"/>
      <c r="S1021" s="194" t="n"/>
      <c r="T1021" s="194" t="n"/>
      <c r="U1021" s="194" t="n"/>
      <c r="V1021" s="194" t="n"/>
      <c r="W1021" s="194" t="n"/>
      <c r="X1021" s="194" t="n"/>
      <c r="Y1021" s="194" t="n"/>
      <c r="Z1021" s="194" t="n"/>
    </row>
    <row r="1022" ht="15" customHeight="1" s="195">
      <c r="A1022" s="381">
        <f>IF(AND('OCTUBRE 2026'!D81&lt;&gt;"",'OCTUBRE 2026'!Z81="POR RECOGER"),"OCT","")</f>
        <v/>
      </c>
      <c r="B1022" s="381">
        <f>IF(AND('OCTUBRE 2026'!D81&lt;&gt;"",'OCTUBRE 2026'!Z81="POR RECOGER"),IF('OCTUBRE 2026'!Y81&lt;&gt;"",'OCTUBRE 2026'!Y81,'OCTUBRE 2026'!I81),"")</f>
        <v/>
      </c>
      <c r="C1022" s="381">
        <f>IF(AND('OCTUBRE 2026'!D81&lt;&gt;"",'OCTUBRE 2026'!Z81="POR RECOGER"),'OCTUBRE 2026'!D81,"")</f>
        <v/>
      </c>
      <c r="D1022" s="381">
        <f>IF(AND('OCTUBRE 2026'!D81&lt;&gt;"",'OCTUBRE 2026'!Z81="POR RECOGER"),'OCTUBRE 2026'!F81,"")</f>
        <v/>
      </c>
      <c r="E1022" s="381">
        <f>IF(AND('OCTUBRE 2026'!D81&lt;&gt;"",'OCTUBRE 2026'!Z81="POR RECOGER"),TEXT('OCTUBRE 2026'!G81,"DD/MM/YYYY"),"")</f>
        <v/>
      </c>
      <c r="F1022" s="381">
        <f>IF(AND('OCTUBRE 2026'!D81&lt;&gt;"",'OCTUBRE 2026'!Z81="POR RECOGER"),'OCTUBRE 2026'!K81,"")</f>
        <v/>
      </c>
      <c r="G1022" s="382">
        <f>IF(AND('OCTUBRE 2026'!D81&lt;&gt;"",'OCTUBRE 2026'!Z81="POR RECOGER"),'OCTUBRE 2026'!M81,"")</f>
        <v/>
      </c>
      <c r="H1022" s="382">
        <f>IF(AND('OCTUBRE 2026'!D81&lt;&gt;"",'OCTUBRE 2026'!Z81="POR RECOGER"),'OCTUBRE 2026'!N81,"")</f>
        <v/>
      </c>
      <c r="I1022" s="381">
        <f>IF(AND('OCTUBRE 2026'!D81&lt;&gt;"",'OCTUBRE 2026'!Z81="POR RECOGER"),'OCTUBRE 2026'!P81,"")</f>
        <v/>
      </c>
      <c r="J1022" s="381">
        <f>IF(AND('OCTUBRE 2026'!D81&lt;&gt;"",'OCTUBRE 2026'!Z81="POR RECOGER"),'OCTUBRE 2026'!Q81,"")</f>
        <v/>
      </c>
      <c r="K1022" s="381">
        <f>IF(AND('OCTUBRE 2026'!D81&lt;&gt;"",'OCTUBRE 2026'!Z81="POR RECOGER"),'OCTUBRE 2026'!Y81,"")</f>
        <v/>
      </c>
      <c r="L1022" s="381">
        <f>IF(AND('OCTUBRE 2026'!D81&lt;&gt;"",'OCTUBRE 2026'!Z81="POR RECOGER"),'OCTUBRE 2026'!I81,"")</f>
        <v/>
      </c>
      <c r="P1022" s="194" t="n"/>
      <c r="Q1022" s="194" t="n"/>
      <c r="R1022" s="194" t="n"/>
      <c r="S1022" s="194" t="n"/>
      <c r="T1022" s="194" t="n"/>
      <c r="U1022" s="194" t="n"/>
      <c r="V1022" s="194" t="n"/>
      <c r="W1022" s="194" t="n"/>
      <c r="X1022" s="194" t="n"/>
      <c r="Y1022" s="194" t="n"/>
      <c r="Z1022" s="194" t="n"/>
    </row>
    <row r="1023" ht="15" customHeight="1" s="195">
      <c r="A1023" s="381">
        <f>IF(AND('OCTUBRE 2026'!D82&lt;&gt;"",'OCTUBRE 2026'!Z82="POR RECOGER"),"OCT","")</f>
        <v/>
      </c>
      <c r="B1023" s="381">
        <f>IF(AND('OCTUBRE 2026'!D82&lt;&gt;"",'OCTUBRE 2026'!Z82="POR RECOGER"),IF('OCTUBRE 2026'!Y82&lt;&gt;"",'OCTUBRE 2026'!Y82,'OCTUBRE 2026'!I82),"")</f>
        <v/>
      </c>
      <c r="C1023" s="381">
        <f>IF(AND('OCTUBRE 2026'!D82&lt;&gt;"",'OCTUBRE 2026'!Z82="POR RECOGER"),'OCTUBRE 2026'!D82,"")</f>
        <v/>
      </c>
      <c r="D1023" s="381">
        <f>IF(AND('OCTUBRE 2026'!D82&lt;&gt;"",'OCTUBRE 2026'!Z82="POR RECOGER"),'OCTUBRE 2026'!F82,"")</f>
        <v/>
      </c>
      <c r="E1023" s="381">
        <f>IF(AND('OCTUBRE 2026'!D82&lt;&gt;"",'OCTUBRE 2026'!Z82="POR RECOGER"),TEXT('OCTUBRE 2026'!G82,"DD/MM/YYYY"),"")</f>
        <v/>
      </c>
      <c r="F1023" s="381">
        <f>IF(AND('OCTUBRE 2026'!D82&lt;&gt;"",'OCTUBRE 2026'!Z82="POR RECOGER"),'OCTUBRE 2026'!K82,"")</f>
        <v/>
      </c>
      <c r="G1023" s="382">
        <f>IF(AND('OCTUBRE 2026'!D82&lt;&gt;"",'OCTUBRE 2026'!Z82="POR RECOGER"),'OCTUBRE 2026'!M82,"")</f>
        <v/>
      </c>
      <c r="H1023" s="382">
        <f>IF(AND('OCTUBRE 2026'!D82&lt;&gt;"",'OCTUBRE 2026'!Z82="POR RECOGER"),'OCTUBRE 2026'!N82,"")</f>
        <v/>
      </c>
      <c r="I1023" s="381">
        <f>IF(AND('OCTUBRE 2026'!D82&lt;&gt;"",'OCTUBRE 2026'!Z82="POR RECOGER"),'OCTUBRE 2026'!P82,"")</f>
        <v/>
      </c>
      <c r="J1023" s="381">
        <f>IF(AND('OCTUBRE 2026'!D82&lt;&gt;"",'OCTUBRE 2026'!Z82="POR RECOGER"),'OCTUBRE 2026'!Q82,"")</f>
        <v/>
      </c>
      <c r="K1023" s="381">
        <f>IF(AND('OCTUBRE 2026'!D82&lt;&gt;"",'OCTUBRE 2026'!Z82="POR RECOGER"),'OCTUBRE 2026'!Y82,"")</f>
        <v/>
      </c>
      <c r="L1023" s="381">
        <f>IF(AND('OCTUBRE 2026'!D82&lt;&gt;"",'OCTUBRE 2026'!Z82="POR RECOGER"),'OCTUBRE 2026'!I82,"")</f>
        <v/>
      </c>
      <c r="P1023" s="194" t="n"/>
      <c r="Q1023" s="194" t="n"/>
      <c r="R1023" s="194" t="n"/>
      <c r="S1023" s="194" t="n"/>
      <c r="T1023" s="194" t="n"/>
      <c r="U1023" s="194" t="n"/>
      <c r="V1023" s="194" t="n"/>
      <c r="W1023" s="194" t="n"/>
      <c r="X1023" s="194" t="n"/>
      <c r="Y1023" s="194" t="n"/>
      <c r="Z1023" s="194" t="n"/>
    </row>
    <row r="1024" ht="15" customHeight="1" s="195">
      <c r="A1024" s="381">
        <f>IF(AND('OCTUBRE 2026'!D83&lt;&gt;"",'OCTUBRE 2026'!Z83="POR RECOGER"),"OCT","")</f>
        <v/>
      </c>
      <c r="B1024" s="381">
        <f>IF(AND('OCTUBRE 2026'!D83&lt;&gt;"",'OCTUBRE 2026'!Z83="POR RECOGER"),IF('OCTUBRE 2026'!Y83&lt;&gt;"",'OCTUBRE 2026'!Y83,'OCTUBRE 2026'!I83),"")</f>
        <v/>
      </c>
      <c r="C1024" s="381">
        <f>IF(AND('OCTUBRE 2026'!D83&lt;&gt;"",'OCTUBRE 2026'!Z83="POR RECOGER"),'OCTUBRE 2026'!D83,"")</f>
        <v/>
      </c>
      <c r="D1024" s="381">
        <f>IF(AND('OCTUBRE 2026'!D83&lt;&gt;"",'OCTUBRE 2026'!Z83="POR RECOGER"),'OCTUBRE 2026'!F83,"")</f>
        <v/>
      </c>
      <c r="E1024" s="381">
        <f>IF(AND('OCTUBRE 2026'!D83&lt;&gt;"",'OCTUBRE 2026'!Z83="POR RECOGER"),TEXT('OCTUBRE 2026'!G83,"DD/MM/YYYY"),"")</f>
        <v/>
      </c>
      <c r="F1024" s="381">
        <f>IF(AND('OCTUBRE 2026'!D83&lt;&gt;"",'OCTUBRE 2026'!Z83="POR RECOGER"),'OCTUBRE 2026'!K83,"")</f>
        <v/>
      </c>
      <c r="G1024" s="382">
        <f>IF(AND('OCTUBRE 2026'!D83&lt;&gt;"",'OCTUBRE 2026'!Z83="POR RECOGER"),'OCTUBRE 2026'!M83,"")</f>
        <v/>
      </c>
      <c r="H1024" s="382">
        <f>IF(AND('OCTUBRE 2026'!D83&lt;&gt;"",'OCTUBRE 2026'!Z83="POR RECOGER"),'OCTUBRE 2026'!N83,"")</f>
        <v/>
      </c>
      <c r="I1024" s="381">
        <f>IF(AND('OCTUBRE 2026'!D83&lt;&gt;"",'OCTUBRE 2026'!Z83="POR RECOGER"),'OCTUBRE 2026'!P83,"")</f>
        <v/>
      </c>
      <c r="J1024" s="381">
        <f>IF(AND('OCTUBRE 2026'!D83&lt;&gt;"",'OCTUBRE 2026'!Z83="POR RECOGER"),'OCTUBRE 2026'!Q83,"")</f>
        <v/>
      </c>
      <c r="K1024" s="381">
        <f>IF(AND('OCTUBRE 2026'!D83&lt;&gt;"",'OCTUBRE 2026'!Z83="POR RECOGER"),'OCTUBRE 2026'!Y83,"")</f>
        <v/>
      </c>
      <c r="L1024" s="381">
        <f>IF(AND('OCTUBRE 2026'!D83&lt;&gt;"",'OCTUBRE 2026'!Z83="POR RECOGER"),'OCTUBRE 2026'!I83,"")</f>
        <v/>
      </c>
      <c r="P1024" s="194" t="n"/>
      <c r="Q1024" s="194" t="n"/>
      <c r="R1024" s="194" t="n"/>
      <c r="S1024" s="194" t="n"/>
      <c r="T1024" s="194" t="n"/>
      <c r="U1024" s="194" t="n"/>
      <c r="V1024" s="194" t="n"/>
      <c r="W1024" s="194" t="n"/>
      <c r="X1024" s="194" t="n"/>
      <c r="Y1024" s="194" t="n"/>
      <c r="Z1024" s="194" t="n"/>
    </row>
    <row r="1025" ht="15" customHeight="1" s="195">
      <c r="A1025" s="381">
        <f>IF(AND('OCTUBRE 2026'!D84&lt;&gt;"",'OCTUBRE 2026'!Z84="POR RECOGER"),"OCT","")</f>
        <v/>
      </c>
      <c r="B1025" s="381">
        <f>IF(AND('OCTUBRE 2026'!D84&lt;&gt;"",'OCTUBRE 2026'!Z84="POR RECOGER"),IF('OCTUBRE 2026'!Y84&lt;&gt;"",'OCTUBRE 2026'!Y84,'OCTUBRE 2026'!I84),"")</f>
        <v/>
      </c>
      <c r="C1025" s="381">
        <f>IF(AND('OCTUBRE 2026'!D84&lt;&gt;"",'OCTUBRE 2026'!Z84="POR RECOGER"),'OCTUBRE 2026'!D84,"")</f>
        <v/>
      </c>
      <c r="D1025" s="381">
        <f>IF(AND('OCTUBRE 2026'!D84&lt;&gt;"",'OCTUBRE 2026'!Z84="POR RECOGER"),'OCTUBRE 2026'!F84,"")</f>
        <v/>
      </c>
      <c r="E1025" s="381">
        <f>IF(AND('OCTUBRE 2026'!D84&lt;&gt;"",'OCTUBRE 2026'!Z84="POR RECOGER"),TEXT('OCTUBRE 2026'!G84,"DD/MM/YYYY"),"")</f>
        <v/>
      </c>
      <c r="F1025" s="381">
        <f>IF(AND('OCTUBRE 2026'!D84&lt;&gt;"",'OCTUBRE 2026'!Z84="POR RECOGER"),'OCTUBRE 2026'!K84,"")</f>
        <v/>
      </c>
      <c r="G1025" s="382">
        <f>IF(AND('OCTUBRE 2026'!D84&lt;&gt;"",'OCTUBRE 2026'!Z84="POR RECOGER"),'OCTUBRE 2026'!M84,"")</f>
        <v/>
      </c>
      <c r="H1025" s="382">
        <f>IF(AND('OCTUBRE 2026'!D84&lt;&gt;"",'OCTUBRE 2026'!Z84="POR RECOGER"),'OCTUBRE 2026'!N84,"")</f>
        <v/>
      </c>
      <c r="I1025" s="381">
        <f>IF(AND('OCTUBRE 2026'!D84&lt;&gt;"",'OCTUBRE 2026'!Z84="POR RECOGER"),'OCTUBRE 2026'!P84,"")</f>
        <v/>
      </c>
      <c r="J1025" s="381">
        <f>IF(AND('OCTUBRE 2026'!D84&lt;&gt;"",'OCTUBRE 2026'!Z84="POR RECOGER"),'OCTUBRE 2026'!Q84,"")</f>
        <v/>
      </c>
      <c r="K1025" s="381">
        <f>IF(AND('OCTUBRE 2026'!D84&lt;&gt;"",'OCTUBRE 2026'!Z84="POR RECOGER"),'OCTUBRE 2026'!Y84,"")</f>
        <v/>
      </c>
      <c r="L1025" s="381">
        <f>IF(AND('OCTUBRE 2026'!D84&lt;&gt;"",'OCTUBRE 2026'!Z84="POR RECOGER"),'OCTUBRE 2026'!I84,"")</f>
        <v/>
      </c>
      <c r="P1025" s="194" t="n"/>
      <c r="Q1025" s="194" t="n"/>
      <c r="R1025" s="194" t="n"/>
      <c r="S1025" s="194" t="n"/>
      <c r="T1025" s="194" t="n"/>
      <c r="U1025" s="194" t="n"/>
      <c r="V1025" s="194" t="n"/>
      <c r="W1025" s="194" t="n"/>
      <c r="X1025" s="194" t="n"/>
      <c r="Y1025" s="194" t="n"/>
      <c r="Z1025" s="194" t="n"/>
    </row>
    <row r="1026" ht="15" customHeight="1" s="195">
      <c r="A1026" s="381">
        <f>IF(AND('OCTUBRE 2026'!D85&lt;&gt;"",'OCTUBRE 2026'!Z85="POR RECOGER"),"OCT","")</f>
        <v/>
      </c>
      <c r="B1026" s="381">
        <f>IF(AND('OCTUBRE 2026'!D85&lt;&gt;"",'OCTUBRE 2026'!Z85="POR RECOGER"),IF('OCTUBRE 2026'!Y85&lt;&gt;"",'OCTUBRE 2026'!Y85,'OCTUBRE 2026'!I85),"")</f>
        <v/>
      </c>
      <c r="C1026" s="381">
        <f>IF(AND('OCTUBRE 2026'!D85&lt;&gt;"",'OCTUBRE 2026'!Z85="POR RECOGER"),'OCTUBRE 2026'!D85,"")</f>
        <v/>
      </c>
      <c r="D1026" s="381">
        <f>IF(AND('OCTUBRE 2026'!D85&lt;&gt;"",'OCTUBRE 2026'!Z85="POR RECOGER"),'OCTUBRE 2026'!F85,"")</f>
        <v/>
      </c>
      <c r="E1026" s="381">
        <f>IF(AND('OCTUBRE 2026'!D85&lt;&gt;"",'OCTUBRE 2026'!Z85="POR RECOGER"),TEXT('OCTUBRE 2026'!G85,"DD/MM/YYYY"),"")</f>
        <v/>
      </c>
      <c r="F1026" s="381">
        <f>IF(AND('OCTUBRE 2026'!D85&lt;&gt;"",'OCTUBRE 2026'!Z85="POR RECOGER"),'OCTUBRE 2026'!K85,"")</f>
        <v/>
      </c>
      <c r="G1026" s="382">
        <f>IF(AND('OCTUBRE 2026'!D85&lt;&gt;"",'OCTUBRE 2026'!Z85="POR RECOGER"),'OCTUBRE 2026'!M85,"")</f>
        <v/>
      </c>
      <c r="H1026" s="382">
        <f>IF(AND('OCTUBRE 2026'!D85&lt;&gt;"",'OCTUBRE 2026'!Z85="POR RECOGER"),'OCTUBRE 2026'!N85,"")</f>
        <v/>
      </c>
      <c r="I1026" s="381">
        <f>IF(AND('OCTUBRE 2026'!D85&lt;&gt;"",'OCTUBRE 2026'!Z85="POR RECOGER"),'OCTUBRE 2026'!P85,"")</f>
        <v/>
      </c>
      <c r="J1026" s="381">
        <f>IF(AND('OCTUBRE 2026'!D85&lt;&gt;"",'OCTUBRE 2026'!Z85="POR RECOGER"),'OCTUBRE 2026'!Q85,"")</f>
        <v/>
      </c>
      <c r="K1026" s="381">
        <f>IF(AND('OCTUBRE 2026'!D85&lt;&gt;"",'OCTUBRE 2026'!Z85="POR RECOGER"),'OCTUBRE 2026'!Y85,"")</f>
        <v/>
      </c>
      <c r="L1026" s="381">
        <f>IF(AND('OCTUBRE 2026'!D85&lt;&gt;"",'OCTUBRE 2026'!Z85="POR RECOGER"),'OCTUBRE 2026'!I85,"")</f>
        <v/>
      </c>
      <c r="P1026" s="194" t="n"/>
      <c r="Q1026" s="194" t="n"/>
      <c r="R1026" s="194" t="n"/>
      <c r="S1026" s="194" t="n"/>
      <c r="T1026" s="194" t="n"/>
      <c r="U1026" s="194" t="n"/>
      <c r="V1026" s="194" t="n"/>
      <c r="W1026" s="194" t="n"/>
      <c r="X1026" s="194" t="n"/>
      <c r="Y1026" s="194" t="n"/>
      <c r="Z1026" s="194" t="n"/>
    </row>
    <row r="1027" ht="15" customHeight="1" s="195">
      <c r="A1027" s="381">
        <f>IF(AND('OCTUBRE 2026'!D86&lt;&gt;"",'OCTUBRE 2026'!Z86="POR RECOGER"),"OCT","")</f>
        <v/>
      </c>
      <c r="B1027" s="381">
        <f>IF(AND('OCTUBRE 2026'!D86&lt;&gt;"",'OCTUBRE 2026'!Z86="POR RECOGER"),IF('OCTUBRE 2026'!Y86&lt;&gt;"",'OCTUBRE 2026'!Y86,'OCTUBRE 2026'!I86),"")</f>
        <v/>
      </c>
      <c r="C1027" s="381">
        <f>IF(AND('OCTUBRE 2026'!D86&lt;&gt;"",'OCTUBRE 2026'!Z86="POR RECOGER"),'OCTUBRE 2026'!D86,"")</f>
        <v/>
      </c>
      <c r="D1027" s="381">
        <f>IF(AND('OCTUBRE 2026'!D86&lt;&gt;"",'OCTUBRE 2026'!Z86="POR RECOGER"),'OCTUBRE 2026'!F86,"")</f>
        <v/>
      </c>
      <c r="E1027" s="381">
        <f>IF(AND('OCTUBRE 2026'!D86&lt;&gt;"",'OCTUBRE 2026'!Z86="POR RECOGER"),TEXT('OCTUBRE 2026'!G86,"DD/MM/YYYY"),"")</f>
        <v/>
      </c>
      <c r="F1027" s="381">
        <f>IF(AND('OCTUBRE 2026'!D86&lt;&gt;"",'OCTUBRE 2026'!Z86="POR RECOGER"),'OCTUBRE 2026'!K86,"")</f>
        <v/>
      </c>
      <c r="G1027" s="382">
        <f>IF(AND('OCTUBRE 2026'!D86&lt;&gt;"",'OCTUBRE 2026'!Z86="POR RECOGER"),'OCTUBRE 2026'!M86,"")</f>
        <v/>
      </c>
      <c r="H1027" s="382">
        <f>IF(AND('OCTUBRE 2026'!D86&lt;&gt;"",'OCTUBRE 2026'!Z86="POR RECOGER"),'OCTUBRE 2026'!N86,"")</f>
        <v/>
      </c>
      <c r="I1027" s="381">
        <f>IF(AND('OCTUBRE 2026'!D86&lt;&gt;"",'OCTUBRE 2026'!Z86="POR RECOGER"),'OCTUBRE 2026'!P86,"")</f>
        <v/>
      </c>
      <c r="J1027" s="381">
        <f>IF(AND('OCTUBRE 2026'!D86&lt;&gt;"",'OCTUBRE 2026'!Z86="POR RECOGER"),'OCTUBRE 2026'!Q86,"")</f>
        <v/>
      </c>
      <c r="K1027" s="381">
        <f>IF(AND('OCTUBRE 2026'!D86&lt;&gt;"",'OCTUBRE 2026'!Z86="POR RECOGER"),'OCTUBRE 2026'!Y86,"")</f>
        <v/>
      </c>
      <c r="L1027" s="381">
        <f>IF(AND('OCTUBRE 2026'!D86&lt;&gt;"",'OCTUBRE 2026'!Z86="POR RECOGER"),'OCTUBRE 2026'!I86,"")</f>
        <v/>
      </c>
      <c r="P1027" s="194" t="n"/>
      <c r="Q1027" s="194" t="n"/>
      <c r="R1027" s="194" t="n"/>
      <c r="S1027" s="194" t="n"/>
      <c r="T1027" s="194" t="n"/>
      <c r="U1027" s="194" t="n"/>
      <c r="V1027" s="194" t="n"/>
      <c r="W1027" s="194" t="n"/>
      <c r="X1027" s="194" t="n"/>
      <c r="Y1027" s="194" t="n"/>
      <c r="Z1027" s="194" t="n"/>
    </row>
    <row r="1028" ht="15" customHeight="1" s="195">
      <c r="A1028" s="381">
        <f>IF(AND('OCTUBRE 2026'!D87&lt;&gt;"",'OCTUBRE 2026'!Z87="POR RECOGER"),"OCT","")</f>
        <v/>
      </c>
      <c r="B1028" s="381">
        <f>IF(AND('OCTUBRE 2026'!D87&lt;&gt;"",'OCTUBRE 2026'!Z87="POR RECOGER"),IF('OCTUBRE 2026'!Y87&lt;&gt;"",'OCTUBRE 2026'!Y87,'OCTUBRE 2026'!I87),"")</f>
        <v/>
      </c>
      <c r="C1028" s="381">
        <f>IF(AND('OCTUBRE 2026'!D87&lt;&gt;"",'OCTUBRE 2026'!Z87="POR RECOGER"),'OCTUBRE 2026'!D87,"")</f>
        <v/>
      </c>
      <c r="D1028" s="381">
        <f>IF(AND('OCTUBRE 2026'!D87&lt;&gt;"",'OCTUBRE 2026'!Z87="POR RECOGER"),'OCTUBRE 2026'!F87,"")</f>
        <v/>
      </c>
      <c r="E1028" s="381">
        <f>IF(AND('OCTUBRE 2026'!D87&lt;&gt;"",'OCTUBRE 2026'!Z87="POR RECOGER"),TEXT('OCTUBRE 2026'!G87,"DD/MM/YYYY"),"")</f>
        <v/>
      </c>
      <c r="F1028" s="381">
        <f>IF(AND('OCTUBRE 2026'!D87&lt;&gt;"",'OCTUBRE 2026'!Z87="POR RECOGER"),'OCTUBRE 2026'!K87,"")</f>
        <v/>
      </c>
      <c r="G1028" s="382">
        <f>IF(AND('OCTUBRE 2026'!D87&lt;&gt;"",'OCTUBRE 2026'!Z87="POR RECOGER"),'OCTUBRE 2026'!M87,"")</f>
        <v/>
      </c>
      <c r="H1028" s="382">
        <f>IF(AND('OCTUBRE 2026'!D87&lt;&gt;"",'OCTUBRE 2026'!Z87="POR RECOGER"),'OCTUBRE 2026'!N87,"")</f>
        <v/>
      </c>
      <c r="I1028" s="381">
        <f>IF(AND('OCTUBRE 2026'!D87&lt;&gt;"",'OCTUBRE 2026'!Z87="POR RECOGER"),'OCTUBRE 2026'!P87,"")</f>
        <v/>
      </c>
      <c r="J1028" s="381">
        <f>IF(AND('OCTUBRE 2026'!D87&lt;&gt;"",'OCTUBRE 2026'!Z87="POR RECOGER"),'OCTUBRE 2026'!Q87,"")</f>
        <v/>
      </c>
      <c r="K1028" s="381">
        <f>IF(AND('OCTUBRE 2026'!D87&lt;&gt;"",'OCTUBRE 2026'!Z87="POR RECOGER"),'OCTUBRE 2026'!Y87,"")</f>
        <v/>
      </c>
      <c r="L1028" s="381">
        <f>IF(AND('OCTUBRE 2026'!D87&lt;&gt;"",'OCTUBRE 2026'!Z87="POR RECOGER"),'OCTUBRE 2026'!I87,"")</f>
        <v/>
      </c>
      <c r="P1028" s="194" t="n"/>
      <c r="Q1028" s="194" t="n"/>
      <c r="R1028" s="194" t="n"/>
      <c r="S1028" s="194" t="n"/>
      <c r="T1028" s="194" t="n"/>
      <c r="U1028" s="194" t="n"/>
      <c r="V1028" s="194" t="n"/>
      <c r="W1028" s="194" t="n"/>
      <c r="X1028" s="194" t="n"/>
      <c r="Y1028" s="194" t="n"/>
      <c r="Z1028" s="194" t="n"/>
    </row>
    <row r="1029" ht="15" customHeight="1" s="195">
      <c r="A1029" s="381">
        <f>IF(AND('OCTUBRE 2026'!D88&lt;&gt;"",'OCTUBRE 2026'!Z88="POR RECOGER"),"OCT","")</f>
        <v/>
      </c>
      <c r="B1029" s="381">
        <f>IF(AND('OCTUBRE 2026'!D88&lt;&gt;"",'OCTUBRE 2026'!Z88="POR RECOGER"),IF('OCTUBRE 2026'!Y88&lt;&gt;"",'OCTUBRE 2026'!Y88,'OCTUBRE 2026'!I88),"")</f>
        <v/>
      </c>
      <c r="C1029" s="381">
        <f>IF(AND('OCTUBRE 2026'!D88&lt;&gt;"",'OCTUBRE 2026'!Z88="POR RECOGER"),'OCTUBRE 2026'!D88,"")</f>
        <v/>
      </c>
      <c r="D1029" s="381">
        <f>IF(AND('OCTUBRE 2026'!D88&lt;&gt;"",'OCTUBRE 2026'!Z88="POR RECOGER"),'OCTUBRE 2026'!F88,"")</f>
        <v/>
      </c>
      <c r="E1029" s="381">
        <f>IF(AND('OCTUBRE 2026'!D88&lt;&gt;"",'OCTUBRE 2026'!Z88="POR RECOGER"),TEXT('OCTUBRE 2026'!G88,"DD/MM/YYYY"),"")</f>
        <v/>
      </c>
      <c r="F1029" s="381">
        <f>IF(AND('OCTUBRE 2026'!D88&lt;&gt;"",'OCTUBRE 2026'!Z88="POR RECOGER"),'OCTUBRE 2026'!K88,"")</f>
        <v/>
      </c>
      <c r="G1029" s="382">
        <f>IF(AND('OCTUBRE 2026'!D88&lt;&gt;"",'OCTUBRE 2026'!Z88="POR RECOGER"),'OCTUBRE 2026'!M88,"")</f>
        <v/>
      </c>
      <c r="H1029" s="382">
        <f>IF(AND('OCTUBRE 2026'!D88&lt;&gt;"",'OCTUBRE 2026'!Z88="POR RECOGER"),'OCTUBRE 2026'!N88,"")</f>
        <v/>
      </c>
      <c r="I1029" s="381">
        <f>IF(AND('OCTUBRE 2026'!D88&lt;&gt;"",'OCTUBRE 2026'!Z88="POR RECOGER"),'OCTUBRE 2026'!P88,"")</f>
        <v/>
      </c>
      <c r="J1029" s="381">
        <f>IF(AND('OCTUBRE 2026'!D88&lt;&gt;"",'OCTUBRE 2026'!Z88="POR RECOGER"),'OCTUBRE 2026'!Q88,"")</f>
        <v/>
      </c>
      <c r="K1029" s="381">
        <f>IF(AND('OCTUBRE 2026'!D88&lt;&gt;"",'OCTUBRE 2026'!Z88="POR RECOGER"),'OCTUBRE 2026'!Y88,"")</f>
        <v/>
      </c>
      <c r="L1029" s="381">
        <f>IF(AND('OCTUBRE 2026'!D88&lt;&gt;"",'OCTUBRE 2026'!Z88="POR RECOGER"),'OCTUBRE 2026'!I88,"")</f>
        <v/>
      </c>
      <c r="P1029" s="194" t="n"/>
      <c r="Q1029" s="194" t="n"/>
      <c r="R1029" s="194" t="n"/>
      <c r="S1029" s="194" t="n"/>
      <c r="T1029" s="194" t="n"/>
      <c r="U1029" s="194" t="n"/>
      <c r="V1029" s="194" t="n"/>
      <c r="W1029" s="194" t="n"/>
      <c r="X1029" s="194" t="n"/>
      <c r="Y1029" s="194" t="n"/>
      <c r="Z1029" s="194" t="n"/>
    </row>
    <row r="1030" ht="15" customHeight="1" s="195">
      <c r="A1030" s="381">
        <f>IF(AND('OCTUBRE 2026'!D89&lt;&gt;"",'OCTUBRE 2026'!Z89="POR RECOGER"),"OCT","")</f>
        <v/>
      </c>
      <c r="B1030" s="381">
        <f>IF(AND('OCTUBRE 2026'!D89&lt;&gt;"",'OCTUBRE 2026'!Z89="POR RECOGER"),IF('OCTUBRE 2026'!Y89&lt;&gt;"",'OCTUBRE 2026'!Y89,'OCTUBRE 2026'!I89),"")</f>
        <v/>
      </c>
      <c r="C1030" s="381">
        <f>IF(AND('OCTUBRE 2026'!D89&lt;&gt;"",'OCTUBRE 2026'!Z89="POR RECOGER"),'OCTUBRE 2026'!D89,"")</f>
        <v/>
      </c>
      <c r="D1030" s="381">
        <f>IF(AND('OCTUBRE 2026'!D89&lt;&gt;"",'OCTUBRE 2026'!Z89="POR RECOGER"),'OCTUBRE 2026'!F89,"")</f>
        <v/>
      </c>
      <c r="E1030" s="381">
        <f>IF(AND('OCTUBRE 2026'!D89&lt;&gt;"",'OCTUBRE 2026'!Z89="POR RECOGER"),TEXT('OCTUBRE 2026'!G89,"DD/MM/YYYY"),"")</f>
        <v/>
      </c>
      <c r="F1030" s="381">
        <f>IF(AND('OCTUBRE 2026'!D89&lt;&gt;"",'OCTUBRE 2026'!Z89="POR RECOGER"),'OCTUBRE 2026'!K89,"")</f>
        <v/>
      </c>
      <c r="G1030" s="382">
        <f>IF(AND('OCTUBRE 2026'!D89&lt;&gt;"",'OCTUBRE 2026'!Z89="POR RECOGER"),'OCTUBRE 2026'!M89,"")</f>
        <v/>
      </c>
      <c r="H1030" s="382">
        <f>IF(AND('OCTUBRE 2026'!D89&lt;&gt;"",'OCTUBRE 2026'!Z89="POR RECOGER"),'OCTUBRE 2026'!N89,"")</f>
        <v/>
      </c>
      <c r="I1030" s="381">
        <f>IF(AND('OCTUBRE 2026'!D89&lt;&gt;"",'OCTUBRE 2026'!Z89="POR RECOGER"),'OCTUBRE 2026'!P89,"")</f>
        <v/>
      </c>
      <c r="J1030" s="381">
        <f>IF(AND('OCTUBRE 2026'!D89&lt;&gt;"",'OCTUBRE 2026'!Z89="POR RECOGER"),'OCTUBRE 2026'!Q89,"")</f>
        <v/>
      </c>
      <c r="K1030" s="381">
        <f>IF(AND('OCTUBRE 2026'!D89&lt;&gt;"",'OCTUBRE 2026'!Z89="POR RECOGER"),'OCTUBRE 2026'!Y89,"")</f>
        <v/>
      </c>
      <c r="L1030" s="381">
        <f>IF(AND('OCTUBRE 2026'!D89&lt;&gt;"",'OCTUBRE 2026'!Z89="POR RECOGER"),'OCTUBRE 2026'!I89,"")</f>
        <v/>
      </c>
      <c r="P1030" s="194" t="n"/>
      <c r="Q1030" s="194" t="n"/>
      <c r="R1030" s="194" t="n"/>
      <c r="S1030" s="194" t="n"/>
      <c r="T1030" s="194" t="n"/>
      <c r="U1030" s="194" t="n"/>
      <c r="V1030" s="194" t="n"/>
      <c r="W1030" s="194" t="n"/>
      <c r="X1030" s="194" t="n"/>
      <c r="Y1030" s="194" t="n"/>
      <c r="Z1030" s="194" t="n"/>
    </row>
    <row r="1031" ht="15" customHeight="1" s="195">
      <c r="A1031" s="381">
        <f>IF(AND('OCTUBRE 2026'!D90&lt;&gt;"",'OCTUBRE 2026'!Z90="POR RECOGER"),"OCT","")</f>
        <v/>
      </c>
      <c r="B1031" s="381">
        <f>IF(AND('OCTUBRE 2026'!D90&lt;&gt;"",'OCTUBRE 2026'!Z90="POR RECOGER"),IF('OCTUBRE 2026'!Y90&lt;&gt;"",'OCTUBRE 2026'!Y90,'OCTUBRE 2026'!I90),"")</f>
        <v/>
      </c>
      <c r="C1031" s="381">
        <f>IF(AND('OCTUBRE 2026'!D90&lt;&gt;"",'OCTUBRE 2026'!Z90="POR RECOGER"),'OCTUBRE 2026'!D90,"")</f>
        <v/>
      </c>
      <c r="D1031" s="381">
        <f>IF(AND('OCTUBRE 2026'!D90&lt;&gt;"",'OCTUBRE 2026'!Z90="POR RECOGER"),'OCTUBRE 2026'!F90,"")</f>
        <v/>
      </c>
      <c r="E1031" s="381">
        <f>IF(AND('OCTUBRE 2026'!D90&lt;&gt;"",'OCTUBRE 2026'!Z90="POR RECOGER"),TEXT('OCTUBRE 2026'!G90,"DD/MM/YYYY"),"")</f>
        <v/>
      </c>
      <c r="F1031" s="381">
        <f>IF(AND('OCTUBRE 2026'!D90&lt;&gt;"",'OCTUBRE 2026'!Z90="POR RECOGER"),'OCTUBRE 2026'!K90,"")</f>
        <v/>
      </c>
      <c r="G1031" s="382">
        <f>IF(AND('OCTUBRE 2026'!D90&lt;&gt;"",'OCTUBRE 2026'!Z90="POR RECOGER"),'OCTUBRE 2026'!M90,"")</f>
        <v/>
      </c>
      <c r="H1031" s="382">
        <f>IF(AND('OCTUBRE 2026'!D90&lt;&gt;"",'OCTUBRE 2026'!Z90="POR RECOGER"),'OCTUBRE 2026'!N90,"")</f>
        <v/>
      </c>
      <c r="I1031" s="381">
        <f>IF(AND('OCTUBRE 2026'!D90&lt;&gt;"",'OCTUBRE 2026'!Z90="POR RECOGER"),'OCTUBRE 2026'!P90,"")</f>
        <v/>
      </c>
      <c r="J1031" s="381">
        <f>IF(AND('OCTUBRE 2026'!D90&lt;&gt;"",'OCTUBRE 2026'!Z90="POR RECOGER"),'OCTUBRE 2026'!Q90,"")</f>
        <v/>
      </c>
      <c r="K1031" s="381">
        <f>IF(AND('OCTUBRE 2026'!D90&lt;&gt;"",'OCTUBRE 2026'!Z90="POR RECOGER"),'OCTUBRE 2026'!Y90,"")</f>
        <v/>
      </c>
      <c r="L1031" s="381">
        <f>IF(AND('OCTUBRE 2026'!D90&lt;&gt;"",'OCTUBRE 2026'!Z90="POR RECOGER"),'OCTUBRE 2026'!I90,"")</f>
        <v/>
      </c>
      <c r="P1031" s="194" t="n"/>
      <c r="Q1031" s="194" t="n"/>
      <c r="R1031" s="194" t="n"/>
      <c r="S1031" s="194" t="n"/>
      <c r="T1031" s="194" t="n"/>
      <c r="U1031" s="194" t="n"/>
      <c r="V1031" s="194" t="n"/>
      <c r="W1031" s="194" t="n"/>
      <c r="X1031" s="194" t="n"/>
      <c r="Y1031" s="194" t="n"/>
      <c r="Z1031" s="194" t="n"/>
    </row>
    <row r="1032" ht="15" customHeight="1" s="195">
      <c r="A1032" s="381">
        <f>IF(AND('OCTUBRE 2026'!D91&lt;&gt;"",'OCTUBRE 2026'!Z91="POR RECOGER"),"OCT","")</f>
        <v/>
      </c>
      <c r="B1032" s="381">
        <f>IF(AND('OCTUBRE 2026'!D91&lt;&gt;"",'OCTUBRE 2026'!Z91="POR RECOGER"),IF('OCTUBRE 2026'!Y91&lt;&gt;"",'OCTUBRE 2026'!Y91,'OCTUBRE 2026'!I91),"")</f>
        <v/>
      </c>
      <c r="C1032" s="381">
        <f>IF(AND('OCTUBRE 2026'!D91&lt;&gt;"",'OCTUBRE 2026'!Z91="POR RECOGER"),'OCTUBRE 2026'!D91,"")</f>
        <v/>
      </c>
      <c r="D1032" s="381">
        <f>IF(AND('OCTUBRE 2026'!D91&lt;&gt;"",'OCTUBRE 2026'!Z91="POR RECOGER"),'OCTUBRE 2026'!F91,"")</f>
        <v/>
      </c>
      <c r="E1032" s="381">
        <f>IF(AND('OCTUBRE 2026'!D91&lt;&gt;"",'OCTUBRE 2026'!Z91="POR RECOGER"),TEXT('OCTUBRE 2026'!G91,"DD/MM/YYYY"),"")</f>
        <v/>
      </c>
      <c r="F1032" s="381">
        <f>IF(AND('OCTUBRE 2026'!D91&lt;&gt;"",'OCTUBRE 2026'!Z91="POR RECOGER"),'OCTUBRE 2026'!K91,"")</f>
        <v/>
      </c>
      <c r="G1032" s="382">
        <f>IF(AND('OCTUBRE 2026'!D91&lt;&gt;"",'OCTUBRE 2026'!Z91="POR RECOGER"),'OCTUBRE 2026'!M91,"")</f>
        <v/>
      </c>
      <c r="H1032" s="382">
        <f>IF(AND('OCTUBRE 2026'!D91&lt;&gt;"",'OCTUBRE 2026'!Z91="POR RECOGER"),'OCTUBRE 2026'!N91,"")</f>
        <v/>
      </c>
      <c r="I1032" s="381">
        <f>IF(AND('OCTUBRE 2026'!D91&lt;&gt;"",'OCTUBRE 2026'!Z91="POR RECOGER"),'OCTUBRE 2026'!P91,"")</f>
        <v/>
      </c>
      <c r="J1032" s="381">
        <f>IF(AND('OCTUBRE 2026'!D91&lt;&gt;"",'OCTUBRE 2026'!Z91="POR RECOGER"),'OCTUBRE 2026'!Q91,"")</f>
        <v/>
      </c>
      <c r="K1032" s="381">
        <f>IF(AND('OCTUBRE 2026'!D91&lt;&gt;"",'OCTUBRE 2026'!Z91="POR RECOGER"),'OCTUBRE 2026'!Y91,"")</f>
        <v/>
      </c>
      <c r="L1032" s="381">
        <f>IF(AND('OCTUBRE 2026'!D91&lt;&gt;"",'OCTUBRE 2026'!Z91="POR RECOGER"),'OCTUBRE 2026'!I91,"")</f>
        <v/>
      </c>
      <c r="P1032" s="194" t="n"/>
      <c r="Q1032" s="194" t="n"/>
      <c r="R1032" s="194" t="n"/>
      <c r="S1032" s="194" t="n"/>
      <c r="T1032" s="194" t="n"/>
      <c r="U1032" s="194" t="n"/>
      <c r="V1032" s="194" t="n"/>
      <c r="W1032" s="194" t="n"/>
      <c r="X1032" s="194" t="n"/>
      <c r="Y1032" s="194" t="n"/>
      <c r="Z1032" s="194" t="n"/>
    </row>
    <row r="1033" ht="15" customHeight="1" s="195">
      <c r="A1033" s="381">
        <f>IF(AND('OCTUBRE 2026'!D92&lt;&gt;"",'OCTUBRE 2026'!Z92="POR RECOGER"),"OCT","")</f>
        <v/>
      </c>
      <c r="B1033" s="381">
        <f>IF(AND('OCTUBRE 2026'!D92&lt;&gt;"",'OCTUBRE 2026'!Z92="POR RECOGER"),IF('OCTUBRE 2026'!Y92&lt;&gt;"",'OCTUBRE 2026'!Y92,'OCTUBRE 2026'!I92),"")</f>
        <v/>
      </c>
      <c r="C1033" s="381">
        <f>IF(AND('OCTUBRE 2026'!D92&lt;&gt;"",'OCTUBRE 2026'!Z92="POR RECOGER"),'OCTUBRE 2026'!D92,"")</f>
        <v/>
      </c>
      <c r="D1033" s="381">
        <f>IF(AND('OCTUBRE 2026'!D92&lt;&gt;"",'OCTUBRE 2026'!Z92="POR RECOGER"),'OCTUBRE 2026'!F92,"")</f>
        <v/>
      </c>
      <c r="E1033" s="381">
        <f>IF(AND('OCTUBRE 2026'!D92&lt;&gt;"",'OCTUBRE 2026'!Z92="POR RECOGER"),TEXT('OCTUBRE 2026'!G92,"DD/MM/YYYY"),"")</f>
        <v/>
      </c>
      <c r="F1033" s="381">
        <f>IF(AND('OCTUBRE 2026'!D92&lt;&gt;"",'OCTUBRE 2026'!Z92="POR RECOGER"),'OCTUBRE 2026'!K92,"")</f>
        <v/>
      </c>
      <c r="G1033" s="382">
        <f>IF(AND('OCTUBRE 2026'!D92&lt;&gt;"",'OCTUBRE 2026'!Z92="POR RECOGER"),'OCTUBRE 2026'!M92,"")</f>
        <v/>
      </c>
      <c r="H1033" s="382">
        <f>IF(AND('OCTUBRE 2026'!D92&lt;&gt;"",'OCTUBRE 2026'!Z92="POR RECOGER"),'OCTUBRE 2026'!N92,"")</f>
        <v/>
      </c>
      <c r="I1033" s="381">
        <f>IF(AND('OCTUBRE 2026'!D92&lt;&gt;"",'OCTUBRE 2026'!Z92="POR RECOGER"),'OCTUBRE 2026'!P92,"")</f>
        <v/>
      </c>
      <c r="J1033" s="381">
        <f>IF(AND('OCTUBRE 2026'!D92&lt;&gt;"",'OCTUBRE 2026'!Z92="POR RECOGER"),'OCTUBRE 2026'!Q92,"")</f>
        <v/>
      </c>
      <c r="K1033" s="381">
        <f>IF(AND('OCTUBRE 2026'!D92&lt;&gt;"",'OCTUBRE 2026'!Z92="POR RECOGER"),'OCTUBRE 2026'!Y92,"")</f>
        <v/>
      </c>
      <c r="L1033" s="381">
        <f>IF(AND('OCTUBRE 2026'!D92&lt;&gt;"",'OCTUBRE 2026'!Z92="POR RECOGER"),'OCTUBRE 2026'!I92,"")</f>
        <v/>
      </c>
      <c r="P1033" s="194" t="n"/>
      <c r="Q1033" s="194" t="n"/>
      <c r="R1033" s="194" t="n"/>
      <c r="S1033" s="194" t="n"/>
      <c r="T1033" s="194" t="n"/>
      <c r="U1033" s="194" t="n"/>
      <c r="V1033" s="194" t="n"/>
      <c r="W1033" s="194" t="n"/>
      <c r="X1033" s="194" t="n"/>
      <c r="Y1033" s="194" t="n"/>
      <c r="Z1033" s="194" t="n"/>
    </row>
    <row r="1034" ht="15" customHeight="1" s="195">
      <c r="A1034" s="381">
        <f>IF(AND('OCTUBRE 2026'!D93&lt;&gt;"",'OCTUBRE 2026'!Z93="POR RECOGER"),"OCT","")</f>
        <v/>
      </c>
      <c r="B1034" s="381">
        <f>IF(AND('OCTUBRE 2026'!D93&lt;&gt;"",'OCTUBRE 2026'!Z93="POR RECOGER"),IF('OCTUBRE 2026'!Y93&lt;&gt;"",'OCTUBRE 2026'!Y93,'OCTUBRE 2026'!I93),"")</f>
        <v/>
      </c>
      <c r="C1034" s="381">
        <f>IF(AND('OCTUBRE 2026'!D93&lt;&gt;"",'OCTUBRE 2026'!Z93="POR RECOGER"),'OCTUBRE 2026'!D93,"")</f>
        <v/>
      </c>
      <c r="D1034" s="381">
        <f>IF(AND('OCTUBRE 2026'!D93&lt;&gt;"",'OCTUBRE 2026'!Z93="POR RECOGER"),'OCTUBRE 2026'!F93,"")</f>
        <v/>
      </c>
      <c r="E1034" s="381">
        <f>IF(AND('OCTUBRE 2026'!D93&lt;&gt;"",'OCTUBRE 2026'!Z93="POR RECOGER"),TEXT('OCTUBRE 2026'!G93,"DD/MM/YYYY"),"")</f>
        <v/>
      </c>
      <c r="F1034" s="381">
        <f>IF(AND('OCTUBRE 2026'!D93&lt;&gt;"",'OCTUBRE 2026'!Z93="POR RECOGER"),'OCTUBRE 2026'!K93,"")</f>
        <v/>
      </c>
      <c r="G1034" s="382">
        <f>IF(AND('OCTUBRE 2026'!D93&lt;&gt;"",'OCTUBRE 2026'!Z93="POR RECOGER"),'OCTUBRE 2026'!M93,"")</f>
        <v/>
      </c>
      <c r="H1034" s="382">
        <f>IF(AND('OCTUBRE 2026'!D93&lt;&gt;"",'OCTUBRE 2026'!Z93="POR RECOGER"),'OCTUBRE 2026'!N93,"")</f>
        <v/>
      </c>
      <c r="I1034" s="381">
        <f>IF(AND('OCTUBRE 2026'!D93&lt;&gt;"",'OCTUBRE 2026'!Z93="POR RECOGER"),'OCTUBRE 2026'!P93,"")</f>
        <v/>
      </c>
      <c r="J1034" s="381">
        <f>IF(AND('OCTUBRE 2026'!D93&lt;&gt;"",'OCTUBRE 2026'!Z93="POR RECOGER"),'OCTUBRE 2026'!Q93,"")</f>
        <v/>
      </c>
      <c r="K1034" s="381">
        <f>IF(AND('OCTUBRE 2026'!D93&lt;&gt;"",'OCTUBRE 2026'!Z93="POR RECOGER"),'OCTUBRE 2026'!Y93,"")</f>
        <v/>
      </c>
      <c r="L1034" s="381">
        <f>IF(AND('OCTUBRE 2026'!D93&lt;&gt;"",'OCTUBRE 2026'!Z93="POR RECOGER"),'OCTUBRE 2026'!I93,"")</f>
        <v/>
      </c>
      <c r="P1034" s="194" t="n"/>
      <c r="Q1034" s="194" t="n"/>
      <c r="R1034" s="194" t="n"/>
      <c r="S1034" s="194" t="n"/>
      <c r="T1034" s="194" t="n"/>
      <c r="U1034" s="194" t="n"/>
      <c r="V1034" s="194" t="n"/>
      <c r="W1034" s="194" t="n"/>
      <c r="X1034" s="194" t="n"/>
      <c r="Y1034" s="194" t="n"/>
      <c r="Z1034" s="194" t="n"/>
    </row>
    <row r="1035" ht="15" customHeight="1" s="195">
      <c r="A1035" s="381">
        <f>IF(AND('OCTUBRE 2026'!D94&lt;&gt;"",'OCTUBRE 2026'!Z94="POR RECOGER"),"OCT","")</f>
        <v/>
      </c>
      <c r="B1035" s="381">
        <f>IF(AND('OCTUBRE 2026'!D94&lt;&gt;"",'OCTUBRE 2026'!Z94="POR RECOGER"),IF('OCTUBRE 2026'!Y94&lt;&gt;"",'OCTUBRE 2026'!Y94,'OCTUBRE 2026'!I94),"")</f>
        <v/>
      </c>
      <c r="C1035" s="381">
        <f>IF(AND('OCTUBRE 2026'!D94&lt;&gt;"",'OCTUBRE 2026'!Z94="POR RECOGER"),'OCTUBRE 2026'!D94,"")</f>
        <v/>
      </c>
      <c r="D1035" s="381">
        <f>IF(AND('OCTUBRE 2026'!D94&lt;&gt;"",'OCTUBRE 2026'!Z94="POR RECOGER"),'OCTUBRE 2026'!F94,"")</f>
        <v/>
      </c>
      <c r="E1035" s="381">
        <f>IF(AND('OCTUBRE 2026'!D94&lt;&gt;"",'OCTUBRE 2026'!Z94="POR RECOGER"),TEXT('OCTUBRE 2026'!G94,"DD/MM/YYYY"),"")</f>
        <v/>
      </c>
      <c r="F1035" s="381">
        <f>IF(AND('OCTUBRE 2026'!D94&lt;&gt;"",'OCTUBRE 2026'!Z94="POR RECOGER"),'OCTUBRE 2026'!K94,"")</f>
        <v/>
      </c>
      <c r="G1035" s="382">
        <f>IF(AND('OCTUBRE 2026'!D94&lt;&gt;"",'OCTUBRE 2026'!Z94="POR RECOGER"),'OCTUBRE 2026'!M94,"")</f>
        <v/>
      </c>
      <c r="H1035" s="382">
        <f>IF(AND('OCTUBRE 2026'!D94&lt;&gt;"",'OCTUBRE 2026'!Z94="POR RECOGER"),'OCTUBRE 2026'!N94,"")</f>
        <v/>
      </c>
      <c r="I1035" s="381">
        <f>IF(AND('OCTUBRE 2026'!D94&lt;&gt;"",'OCTUBRE 2026'!Z94="POR RECOGER"),'OCTUBRE 2026'!P94,"")</f>
        <v/>
      </c>
      <c r="J1035" s="381">
        <f>IF(AND('OCTUBRE 2026'!D94&lt;&gt;"",'OCTUBRE 2026'!Z94="POR RECOGER"),'OCTUBRE 2026'!Q94,"")</f>
        <v/>
      </c>
      <c r="K1035" s="381">
        <f>IF(AND('OCTUBRE 2026'!D94&lt;&gt;"",'OCTUBRE 2026'!Z94="POR RECOGER"),'OCTUBRE 2026'!Y94,"")</f>
        <v/>
      </c>
      <c r="L1035" s="381">
        <f>IF(AND('OCTUBRE 2026'!D94&lt;&gt;"",'OCTUBRE 2026'!Z94="POR RECOGER"),'OCTUBRE 2026'!I94,"")</f>
        <v/>
      </c>
      <c r="P1035" s="194" t="n"/>
      <c r="Q1035" s="194" t="n"/>
      <c r="R1035" s="194" t="n"/>
      <c r="S1035" s="194" t="n"/>
      <c r="T1035" s="194" t="n"/>
      <c r="U1035" s="194" t="n"/>
      <c r="V1035" s="194" t="n"/>
      <c r="W1035" s="194" t="n"/>
      <c r="X1035" s="194" t="n"/>
      <c r="Y1035" s="194" t="n"/>
      <c r="Z1035" s="194" t="n"/>
    </row>
    <row r="1036" ht="15" customHeight="1" s="195">
      <c r="A1036" s="381">
        <f>IF(AND('OCTUBRE 2026'!D95&lt;&gt;"",'OCTUBRE 2026'!Z95="POR RECOGER"),"OCT","")</f>
        <v/>
      </c>
      <c r="B1036" s="381">
        <f>IF(AND('OCTUBRE 2026'!D95&lt;&gt;"",'OCTUBRE 2026'!Z95="POR RECOGER"),IF('OCTUBRE 2026'!Y95&lt;&gt;"",'OCTUBRE 2026'!Y95,'OCTUBRE 2026'!I95),"")</f>
        <v/>
      </c>
      <c r="C1036" s="381">
        <f>IF(AND('OCTUBRE 2026'!D95&lt;&gt;"",'OCTUBRE 2026'!Z95="POR RECOGER"),'OCTUBRE 2026'!D95,"")</f>
        <v/>
      </c>
      <c r="D1036" s="381">
        <f>IF(AND('OCTUBRE 2026'!D95&lt;&gt;"",'OCTUBRE 2026'!Z95="POR RECOGER"),'OCTUBRE 2026'!F95,"")</f>
        <v/>
      </c>
      <c r="E1036" s="381">
        <f>IF(AND('OCTUBRE 2026'!D95&lt;&gt;"",'OCTUBRE 2026'!Z95="POR RECOGER"),TEXT('OCTUBRE 2026'!G95,"DD/MM/YYYY"),"")</f>
        <v/>
      </c>
      <c r="F1036" s="381">
        <f>IF(AND('OCTUBRE 2026'!D95&lt;&gt;"",'OCTUBRE 2026'!Z95="POR RECOGER"),'OCTUBRE 2026'!K95,"")</f>
        <v/>
      </c>
      <c r="G1036" s="382">
        <f>IF(AND('OCTUBRE 2026'!D95&lt;&gt;"",'OCTUBRE 2026'!Z95="POR RECOGER"),'OCTUBRE 2026'!M95,"")</f>
        <v/>
      </c>
      <c r="H1036" s="382">
        <f>IF(AND('OCTUBRE 2026'!D95&lt;&gt;"",'OCTUBRE 2026'!Z95="POR RECOGER"),'OCTUBRE 2026'!N95,"")</f>
        <v/>
      </c>
      <c r="I1036" s="381">
        <f>IF(AND('OCTUBRE 2026'!D95&lt;&gt;"",'OCTUBRE 2026'!Z95="POR RECOGER"),'OCTUBRE 2026'!P95,"")</f>
        <v/>
      </c>
      <c r="J1036" s="381">
        <f>IF(AND('OCTUBRE 2026'!D95&lt;&gt;"",'OCTUBRE 2026'!Z95="POR RECOGER"),'OCTUBRE 2026'!Q95,"")</f>
        <v/>
      </c>
      <c r="K1036" s="381">
        <f>IF(AND('OCTUBRE 2026'!D95&lt;&gt;"",'OCTUBRE 2026'!Z95="POR RECOGER"),'OCTUBRE 2026'!Y95,"")</f>
        <v/>
      </c>
      <c r="L1036" s="381">
        <f>IF(AND('OCTUBRE 2026'!D95&lt;&gt;"",'OCTUBRE 2026'!Z95="POR RECOGER"),'OCTUBRE 2026'!I95,"")</f>
        <v/>
      </c>
      <c r="P1036" s="194" t="n"/>
      <c r="Q1036" s="194" t="n"/>
      <c r="R1036" s="194" t="n"/>
      <c r="S1036" s="194" t="n"/>
      <c r="T1036" s="194" t="n"/>
      <c r="U1036" s="194" t="n"/>
      <c r="V1036" s="194" t="n"/>
      <c r="W1036" s="194" t="n"/>
      <c r="X1036" s="194" t="n"/>
      <c r="Y1036" s="194" t="n"/>
      <c r="Z1036" s="194" t="n"/>
    </row>
    <row r="1037" ht="15" customHeight="1" s="195">
      <c r="A1037" s="381">
        <f>IF(AND('OCTUBRE 2026'!D96&lt;&gt;"",'OCTUBRE 2026'!Z96="POR RECOGER"),"OCT","")</f>
        <v/>
      </c>
      <c r="B1037" s="381">
        <f>IF(AND('OCTUBRE 2026'!D96&lt;&gt;"",'OCTUBRE 2026'!Z96="POR RECOGER"),IF('OCTUBRE 2026'!Y96&lt;&gt;"",'OCTUBRE 2026'!Y96,'OCTUBRE 2026'!I96),"")</f>
        <v/>
      </c>
      <c r="C1037" s="381">
        <f>IF(AND('OCTUBRE 2026'!D96&lt;&gt;"",'OCTUBRE 2026'!Z96="POR RECOGER"),'OCTUBRE 2026'!D96,"")</f>
        <v/>
      </c>
      <c r="D1037" s="381">
        <f>IF(AND('OCTUBRE 2026'!D96&lt;&gt;"",'OCTUBRE 2026'!Z96="POR RECOGER"),'OCTUBRE 2026'!F96,"")</f>
        <v/>
      </c>
      <c r="E1037" s="381">
        <f>IF(AND('OCTUBRE 2026'!D96&lt;&gt;"",'OCTUBRE 2026'!Z96="POR RECOGER"),TEXT('OCTUBRE 2026'!G96,"DD/MM/YYYY"),"")</f>
        <v/>
      </c>
      <c r="F1037" s="381">
        <f>IF(AND('OCTUBRE 2026'!D96&lt;&gt;"",'OCTUBRE 2026'!Z96="POR RECOGER"),'OCTUBRE 2026'!K96,"")</f>
        <v/>
      </c>
      <c r="G1037" s="382">
        <f>IF(AND('OCTUBRE 2026'!D96&lt;&gt;"",'OCTUBRE 2026'!Z96="POR RECOGER"),'OCTUBRE 2026'!M96,"")</f>
        <v/>
      </c>
      <c r="H1037" s="382">
        <f>IF(AND('OCTUBRE 2026'!D96&lt;&gt;"",'OCTUBRE 2026'!Z96="POR RECOGER"),'OCTUBRE 2026'!N96,"")</f>
        <v/>
      </c>
      <c r="I1037" s="381">
        <f>IF(AND('OCTUBRE 2026'!D96&lt;&gt;"",'OCTUBRE 2026'!Z96="POR RECOGER"),'OCTUBRE 2026'!P96,"")</f>
        <v/>
      </c>
      <c r="J1037" s="381">
        <f>IF(AND('OCTUBRE 2026'!D96&lt;&gt;"",'OCTUBRE 2026'!Z96="POR RECOGER"),'OCTUBRE 2026'!Q96,"")</f>
        <v/>
      </c>
      <c r="K1037" s="381">
        <f>IF(AND('OCTUBRE 2026'!D96&lt;&gt;"",'OCTUBRE 2026'!Z96="POR RECOGER"),'OCTUBRE 2026'!Y96,"")</f>
        <v/>
      </c>
      <c r="L1037" s="381">
        <f>IF(AND('OCTUBRE 2026'!D96&lt;&gt;"",'OCTUBRE 2026'!Z96="POR RECOGER"),'OCTUBRE 2026'!I96,"")</f>
        <v/>
      </c>
      <c r="P1037" s="194" t="n"/>
      <c r="Q1037" s="194" t="n"/>
      <c r="R1037" s="194" t="n"/>
      <c r="S1037" s="194" t="n"/>
      <c r="T1037" s="194" t="n"/>
      <c r="U1037" s="194" t="n"/>
      <c r="V1037" s="194" t="n"/>
      <c r="W1037" s="194" t="n"/>
      <c r="X1037" s="194" t="n"/>
      <c r="Y1037" s="194" t="n"/>
      <c r="Z1037" s="194" t="n"/>
    </row>
    <row r="1038" ht="15" customHeight="1" s="195">
      <c r="A1038" s="381">
        <f>IF(AND('OCTUBRE 2026'!D97&lt;&gt;"",'OCTUBRE 2026'!Z97="POR RECOGER"),"OCT","")</f>
        <v/>
      </c>
      <c r="B1038" s="381">
        <f>IF(AND('OCTUBRE 2026'!D97&lt;&gt;"",'OCTUBRE 2026'!Z97="POR RECOGER"),IF('OCTUBRE 2026'!Y97&lt;&gt;"",'OCTUBRE 2026'!Y97,'OCTUBRE 2026'!I97),"")</f>
        <v/>
      </c>
      <c r="C1038" s="381">
        <f>IF(AND('OCTUBRE 2026'!D97&lt;&gt;"",'OCTUBRE 2026'!Z97="POR RECOGER"),'OCTUBRE 2026'!D97,"")</f>
        <v/>
      </c>
      <c r="D1038" s="381">
        <f>IF(AND('OCTUBRE 2026'!D97&lt;&gt;"",'OCTUBRE 2026'!Z97="POR RECOGER"),'OCTUBRE 2026'!F97,"")</f>
        <v/>
      </c>
      <c r="E1038" s="381">
        <f>IF(AND('OCTUBRE 2026'!D97&lt;&gt;"",'OCTUBRE 2026'!Z97="POR RECOGER"),TEXT('OCTUBRE 2026'!G97,"DD/MM/YYYY"),"")</f>
        <v/>
      </c>
      <c r="F1038" s="381">
        <f>IF(AND('OCTUBRE 2026'!D97&lt;&gt;"",'OCTUBRE 2026'!Z97="POR RECOGER"),'OCTUBRE 2026'!K97,"")</f>
        <v/>
      </c>
      <c r="G1038" s="382">
        <f>IF(AND('OCTUBRE 2026'!D97&lt;&gt;"",'OCTUBRE 2026'!Z97="POR RECOGER"),'OCTUBRE 2026'!M97,"")</f>
        <v/>
      </c>
      <c r="H1038" s="382">
        <f>IF(AND('OCTUBRE 2026'!D97&lt;&gt;"",'OCTUBRE 2026'!Z97="POR RECOGER"),'OCTUBRE 2026'!N97,"")</f>
        <v/>
      </c>
      <c r="I1038" s="381">
        <f>IF(AND('OCTUBRE 2026'!D97&lt;&gt;"",'OCTUBRE 2026'!Z97="POR RECOGER"),'OCTUBRE 2026'!P97,"")</f>
        <v/>
      </c>
      <c r="J1038" s="381">
        <f>IF(AND('OCTUBRE 2026'!D97&lt;&gt;"",'OCTUBRE 2026'!Z97="POR RECOGER"),'OCTUBRE 2026'!Q97,"")</f>
        <v/>
      </c>
      <c r="K1038" s="381">
        <f>IF(AND('OCTUBRE 2026'!D97&lt;&gt;"",'OCTUBRE 2026'!Z97="POR RECOGER"),'OCTUBRE 2026'!Y97,"")</f>
        <v/>
      </c>
      <c r="L1038" s="381">
        <f>IF(AND('OCTUBRE 2026'!D97&lt;&gt;"",'OCTUBRE 2026'!Z97="POR RECOGER"),'OCTUBRE 2026'!I97,"")</f>
        <v/>
      </c>
      <c r="P1038" s="194" t="n"/>
      <c r="Q1038" s="194" t="n"/>
      <c r="R1038" s="194" t="n"/>
      <c r="S1038" s="194" t="n"/>
      <c r="T1038" s="194" t="n"/>
      <c r="U1038" s="194" t="n"/>
      <c r="V1038" s="194" t="n"/>
      <c r="W1038" s="194" t="n"/>
      <c r="X1038" s="194" t="n"/>
      <c r="Y1038" s="194" t="n"/>
      <c r="Z1038" s="194" t="n"/>
    </row>
    <row r="1039" ht="15" customHeight="1" s="195">
      <c r="A1039" s="381">
        <f>IF(AND('OCTUBRE 2026'!D98&lt;&gt;"",'OCTUBRE 2026'!Z98="POR RECOGER"),"OCT","")</f>
        <v/>
      </c>
      <c r="B1039" s="381">
        <f>IF(AND('OCTUBRE 2026'!D98&lt;&gt;"",'OCTUBRE 2026'!Z98="POR RECOGER"),IF('OCTUBRE 2026'!Y98&lt;&gt;"",'OCTUBRE 2026'!Y98,'OCTUBRE 2026'!I98),"")</f>
        <v/>
      </c>
      <c r="C1039" s="381">
        <f>IF(AND('OCTUBRE 2026'!D98&lt;&gt;"",'OCTUBRE 2026'!Z98="POR RECOGER"),'OCTUBRE 2026'!D98,"")</f>
        <v/>
      </c>
      <c r="D1039" s="381">
        <f>IF(AND('OCTUBRE 2026'!D98&lt;&gt;"",'OCTUBRE 2026'!Z98="POR RECOGER"),'OCTUBRE 2026'!F98,"")</f>
        <v/>
      </c>
      <c r="E1039" s="381">
        <f>IF(AND('OCTUBRE 2026'!D98&lt;&gt;"",'OCTUBRE 2026'!Z98="POR RECOGER"),TEXT('OCTUBRE 2026'!G98,"DD/MM/YYYY"),"")</f>
        <v/>
      </c>
      <c r="F1039" s="381">
        <f>IF(AND('OCTUBRE 2026'!D98&lt;&gt;"",'OCTUBRE 2026'!Z98="POR RECOGER"),'OCTUBRE 2026'!K98,"")</f>
        <v/>
      </c>
      <c r="G1039" s="382">
        <f>IF(AND('OCTUBRE 2026'!D98&lt;&gt;"",'OCTUBRE 2026'!Z98="POR RECOGER"),'OCTUBRE 2026'!M98,"")</f>
        <v/>
      </c>
      <c r="H1039" s="382">
        <f>IF(AND('OCTUBRE 2026'!D98&lt;&gt;"",'OCTUBRE 2026'!Z98="POR RECOGER"),'OCTUBRE 2026'!N98,"")</f>
        <v/>
      </c>
      <c r="I1039" s="381">
        <f>IF(AND('OCTUBRE 2026'!D98&lt;&gt;"",'OCTUBRE 2026'!Z98="POR RECOGER"),'OCTUBRE 2026'!P98,"")</f>
        <v/>
      </c>
      <c r="J1039" s="381">
        <f>IF(AND('OCTUBRE 2026'!D98&lt;&gt;"",'OCTUBRE 2026'!Z98="POR RECOGER"),'OCTUBRE 2026'!Q98,"")</f>
        <v/>
      </c>
      <c r="K1039" s="381">
        <f>IF(AND('OCTUBRE 2026'!D98&lt;&gt;"",'OCTUBRE 2026'!Z98="POR RECOGER"),'OCTUBRE 2026'!Y98,"")</f>
        <v/>
      </c>
      <c r="L1039" s="381">
        <f>IF(AND('OCTUBRE 2026'!D98&lt;&gt;"",'OCTUBRE 2026'!Z98="POR RECOGER"),'OCTUBRE 2026'!I98,"")</f>
        <v/>
      </c>
      <c r="P1039" s="194" t="n"/>
      <c r="Q1039" s="194" t="n"/>
      <c r="R1039" s="194" t="n"/>
      <c r="S1039" s="194" t="n"/>
      <c r="T1039" s="194" t="n"/>
      <c r="U1039" s="194" t="n"/>
      <c r="V1039" s="194" t="n"/>
      <c r="W1039" s="194" t="n"/>
      <c r="X1039" s="194" t="n"/>
      <c r="Y1039" s="194" t="n"/>
      <c r="Z1039" s="194" t="n"/>
    </row>
    <row r="1040" ht="15" customHeight="1" s="195">
      <c r="A1040" s="381">
        <f>IF(AND('OCTUBRE 2026'!D99&lt;&gt;"",'OCTUBRE 2026'!Z99="POR RECOGER"),"OCT","")</f>
        <v/>
      </c>
      <c r="B1040" s="381">
        <f>IF(AND('OCTUBRE 2026'!D99&lt;&gt;"",'OCTUBRE 2026'!Z99="POR RECOGER"),IF('OCTUBRE 2026'!Y99&lt;&gt;"",'OCTUBRE 2026'!Y99,'OCTUBRE 2026'!I99),"")</f>
        <v/>
      </c>
      <c r="C1040" s="381">
        <f>IF(AND('OCTUBRE 2026'!D99&lt;&gt;"",'OCTUBRE 2026'!Z99="POR RECOGER"),'OCTUBRE 2026'!D99,"")</f>
        <v/>
      </c>
      <c r="D1040" s="381">
        <f>IF(AND('OCTUBRE 2026'!D99&lt;&gt;"",'OCTUBRE 2026'!Z99="POR RECOGER"),'OCTUBRE 2026'!F99,"")</f>
        <v/>
      </c>
      <c r="E1040" s="381">
        <f>IF(AND('OCTUBRE 2026'!D99&lt;&gt;"",'OCTUBRE 2026'!Z99="POR RECOGER"),TEXT('OCTUBRE 2026'!G99,"DD/MM/YYYY"),"")</f>
        <v/>
      </c>
      <c r="F1040" s="381">
        <f>IF(AND('OCTUBRE 2026'!D99&lt;&gt;"",'OCTUBRE 2026'!Z99="POR RECOGER"),'OCTUBRE 2026'!K99,"")</f>
        <v/>
      </c>
      <c r="G1040" s="382">
        <f>IF(AND('OCTUBRE 2026'!D99&lt;&gt;"",'OCTUBRE 2026'!Z99="POR RECOGER"),'OCTUBRE 2026'!M99,"")</f>
        <v/>
      </c>
      <c r="H1040" s="382">
        <f>IF(AND('OCTUBRE 2026'!D99&lt;&gt;"",'OCTUBRE 2026'!Z99="POR RECOGER"),'OCTUBRE 2026'!N99,"")</f>
        <v/>
      </c>
      <c r="I1040" s="381">
        <f>IF(AND('OCTUBRE 2026'!D99&lt;&gt;"",'OCTUBRE 2026'!Z99="POR RECOGER"),'OCTUBRE 2026'!P99,"")</f>
        <v/>
      </c>
      <c r="J1040" s="381">
        <f>IF(AND('OCTUBRE 2026'!D99&lt;&gt;"",'OCTUBRE 2026'!Z99="POR RECOGER"),'OCTUBRE 2026'!Q99,"")</f>
        <v/>
      </c>
      <c r="K1040" s="381">
        <f>IF(AND('OCTUBRE 2026'!D99&lt;&gt;"",'OCTUBRE 2026'!Z99="POR RECOGER"),'OCTUBRE 2026'!Y99,"")</f>
        <v/>
      </c>
      <c r="L1040" s="381">
        <f>IF(AND('OCTUBRE 2026'!D99&lt;&gt;"",'OCTUBRE 2026'!Z99="POR RECOGER"),'OCTUBRE 2026'!I99,"")</f>
        <v/>
      </c>
      <c r="P1040" s="194" t="n"/>
      <c r="Q1040" s="194" t="n"/>
      <c r="R1040" s="194" t="n"/>
      <c r="S1040" s="194" t="n"/>
      <c r="T1040" s="194" t="n"/>
      <c r="U1040" s="194" t="n"/>
      <c r="V1040" s="194" t="n"/>
      <c r="W1040" s="194" t="n"/>
      <c r="X1040" s="194" t="n"/>
      <c r="Y1040" s="194" t="n"/>
      <c r="Z1040" s="194" t="n"/>
    </row>
    <row r="1041" ht="15" customHeight="1" s="195">
      <c r="A1041" s="381">
        <f>IF(AND('OCTUBRE 2026'!D100&lt;&gt;"",'OCTUBRE 2026'!Z100="POR RECOGER"),"OCT","")</f>
        <v/>
      </c>
      <c r="B1041" s="381">
        <f>IF(AND('OCTUBRE 2026'!D100&lt;&gt;"",'OCTUBRE 2026'!Z100="POR RECOGER"),IF('OCTUBRE 2026'!Y100&lt;&gt;"",'OCTUBRE 2026'!Y100,'OCTUBRE 2026'!I100),"")</f>
        <v/>
      </c>
      <c r="C1041" s="381">
        <f>IF(AND('OCTUBRE 2026'!D100&lt;&gt;"",'OCTUBRE 2026'!Z100="POR RECOGER"),'OCTUBRE 2026'!D100,"")</f>
        <v/>
      </c>
      <c r="D1041" s="381">
        <f>IF(AND('OCTUBRE 2026'!D100&lt;&gt;"",'OCTUBRE 2026'!Z100="POR RECOGER"),'OCTUBRE 2026'!F100,"")</f>
        <v/>
      </c>
      <c r="E1041" s="381">
        <f>IF(AND('OCTUBRE 2026'!D100&lt;&gt;"",'OCTUBRE 2026'!Z100="POR RECOGER"),TEXT('OCTUBRE 2026'!G100,"DD/MM/YYYY"),"")</f>
        <v/>
      </c>
      <c r="F1041" s="381">
        <f>IF(AND('OCTUBRE 2026'!D100&lt;&gt;"",'OCTUBRE 2026'!Z100="POR RECOGER"),'OCTUBRE 2026'!K100,"")</f>
        <v/>
      </c>
      <c r="G1041" s="382">
        <f>IF(AND('OCTUBRE 2026'!D100&lt;&gt;"",'OCTUBRE 2026'!Z100="POR RECOGER"),'OCTUBRE 2026'!M100,"")</f>
        <v/>
      </c>
      <c r="H1041" s="382">
        <f>IF(AND('OCTUBRE 2026'!D100&lt;&gt;"",'OCTUBRE 2026'!Z100="POR RECOGER"),'OCTUBRE 2026'!N100,"")</f>
        <v/>
      </c>
      <c r="I1041" s="381">
        <f>IF(AND('OCTUBRE 2026'!D100&lt;&gt;"",'OCTUBRE 2026'!Z100="POR RECOGER"),'OCTUBRE 2026'!P100,"")</f>
        <v/>
      </c>
      <c r="J1041" s="381">
        <f>IF(AND('OCTUBRE 2026'!D100&lt;&gt;"",'OCTUBRE 2026'!Z100="POR RECOGER"),'OCTUBRE 2026'!Q100,"")</f>
        <v/>
      </c>
      <c r="K1041" s="381">
        <f>IF(AND('OCTUBRE 2026'!D100&lt;&gt;"",'OCTUBRE 2026'!Z100="POR RECOGER"),'OCTUBRE 2026'!Y100,"")</f>
        <v/>
      </c>
      <c r="L1041" s="381">
        <f>IF(AND('OCTUBRE 2026'!D100&lt;&gt;"",'OCTUBRE 2026'!Z100="POR RECOGER"),'OCTUBRE 2026'!I100,"")</f>
        <v/>
      </c>
      <c r="P1041" s="194" t="n"/>
      <c r="Q1041" s="194" t="n"/>
      <c r="R1041" s="194" t="n"/>
      <c r="S1041" s="194" t="n"/>
      <c r="T1041" s="194" t="n"/>
      <c r="U1041" s="194" t="n"/>
      <c r="V1041" s="194" t="n"/>
      <c r="W1041" s="194" t="n"/>
      <c r="X1041" s="194" t="n"/>
      <c r="Y1041" s="194" t="n"/>
      <c r="Z1041" s="194" t="n"/>
    </row>
    <row r="1042" ht="15" customHeight="1" s="195">
      <c r="A1042" s="381">
        <f>IF(AND('OCTUBRE 2026'!D101&lt;&gt;"",'OCTUBRE 2026'!Z101="POR RECOGER"),"OCT","")</f>
        <v/>
      </c>
      <c r="B1042" s="381">
        <f>IF(AND('OCTUBRE 2026'!D101&lt;&gt;"",'OCTUBRE 2026'!Z101="POR RECOGER"),IF('OCTUBRE 2026'!Y101&lt;&gt;"",'OCTUBRE 2026'!Y101,'OCTUBRE 2026'!I101),"")</f>
        <v/>
      </c>
      <c r="C1042" s="381">
        <f>IF(AND('OCTUBRE 2026'!D101&lt;&gt;"",'OCTUBRE 2026'!Z101="POR RECOGER"),'OCTUBRE 2026'!D101,"")</f>
        <v/>
      </c>
      <c r="D1042" s="381">
        <f>IF(AND('OCTUBRE 2026'!D101&lt;&gt;"",'OCTUBRE 2026'!Z101="POR RECOGER"),'OCTUBRE 2026'!F101,"")</f>
        <v/>
      </c>
      <c r="E1042" s="381">
        <f>IF(AND('OCTUBRE 2026'!D101&lt;&gt;"",'OCTUBRE 2026'!Z101="POR RECOGER"),TEXT('OCTUBRE 2026'!G101,"DD/MM/YYYY"),"")</f>
        <v/>
      </c>
      <c r="F1042" s="381">
        <f>IF(AND('OCTUBRE 2026'!D101&lt;&gt;"",'OCTUBRE 2026'!Z101="POR RECOGER"),'OCTUBRE 2026'!K101,"")</f>
        <v/>
      </c>
      <c r="G1042" s="382">
        <f>IF(AND('OCTUBRE 2026'!D101&lt;&gt;"",'OCTUBRE 2026'!Z101="POR RECOGER"),'OCTUBRE 2026'!M101,"")</f>
        <v/>
      </c>
      <c r="H1042" s="382">
        <f>IF(AND('OCTUBRE 2026'!D101&lt;&gt;"",'OCTUBRE 2026'!Z101="POR RECOGER"),'OCTUBRE 2026'!N101,"")</f>
        <v/>
      </c>
      <c r="I1042" s="381">
        <f>IF(AND('OCTUBRE 2026'!D101&lt;&gt;"",'OCTUBRE 2026'!Z101="POR RECOGER"),'OCTUBRE 2026'!P101,"")</f>
        <v/>
      </c>
      <c r="J1042" s="381">
        <f>IF(AND('OCTUBRE 2026'!D101&lt;&gt;"",'OCTUBRE 2026'!Z101="POR RECOGER"),'OCTUBRE 2026'!Q101,"")</f>
        <v/>
      </c>
      <c r="K1042" s="381">
        <f>IF(AND('OCTUBRE 2026'!D101&lt;&gt;"",'OCTUBRE 2026'!Z101="POR RECOGER"),'OCTUBRE 2026'!Y101,"")</f>
        <v/>
      </c>
      <c r="L1042" s="381">
        <f>IF(AND('OCTUBRE 2026'!D101&lt;&gt;"",'OCTUBRE 2026'!Z101="POR RECOGER"),'OCTUBRE 2026'!I101,"")</f>
        <v/>
      </c>
      <c r="P1042" s="194" t="n"/>
      <c r="Q1042" s="194" t="n"/>
      <c r="R1042" s="194" t="n"/>
      <c r="S1042" s="194" t="n"/>
      <c r="T1042" s="194" t="n"/>
      <c r="U1042" s="194" t="n"/>
      <c r="V1042" s="194" t="n"/>
      <c r="W1042" s="194" t="n"/>
      <c r="X1042" s="194" t="n"/>
      <c r="Y1042" s="194" t="n"/>
      <c r="Z1042" s="194" t="n"/>
    </row>
    <row r="1043" ht="15" customHeight="1" s="195">
      <c r="A1043" s="381">
        <f>IF(AND('OCTUBRE 2026'!D102&lt;&gt;"",'OCTUBRE 2026'!Z102="POR RECOGER"),"OCT","")</f>
        <v/>
      </c>
      <c r="B1043" s="381">
        <f>IF(AND('OCTUBRE 2026'!D102&lt;&gt;"",'OCTUBRE 2026'!Z102="POR RECOGER"),IF('OCTUBRE 2026'!Y102&lt;&gt;"",'OCTUBRE 2026'!Y102,'OCTUBRE 2026'!I102),"")</f>
        <v/>
      </c>
      <c r="C1043" s="381">
        <f>IF(AND('OCTUBRE 2026'!D102&lt;&gt;"",'OCTUBRE 2026'!Z102="POR RECOGER"),'OCTUBRE 2026'!D102,"")</f>
        <v/>
      </c>
      <c r="D1043" s="381">
        <f>IF(AND('OCTUBRE 2026'!D102&lt;&gt;"",'OCTUBRE 2026'!Z102="POR RECOGER"),'OCTUBRE 2026'!F102,"")</f>
        <v/>
      </c>
      <c r="E1043" s="381">
        <f>IF(AND('OCTUBRE 2026'!D102&lt;&gt;"",'OCTUBRE 2026'!Z102="POR RECOGER"),TEXT('OCTUBRE 2026'!G102,"DD/MM/YYYY"),"")</f>
        <v/>
      </c>
      <c r="F1043" s="381">
        <f>IF(AND('OCTUBRE 2026'!D102&lt;&gt;"",'OCTUBRE 2026'!Z102="POR RECOGER"),'OCTUBRE 2026'!K102,"")</f>
        <v/>
      </c>
      <c r="G1043" s="382">
        <f>IF(AND('OCTUBRE 2026'!D102&lt;&gt;"",'OCTUBRE 2026'!Z102="POR RECOGER"),'OCTUBRE 2026'!M102,"")</f>
        <v/>
      </c>
      <c r="H1043" s="382">
        <f>IF(AND('OCTUBRE 2026'!D102&lt;&gt;"",'OCTUBRE 2026'!Z102="POR RECOGER"),'OCTUBRE 2026'!N102,"")</f>
        <v/>
      </c>
      <c r="I1043" s="381">
        <f>IF(AND('OCTUBRE 2026'!D102&lt;&gt;"",'OCTUBRE 2026'!Z102="POR RECOGER"),'OCTUBRE 2026'!P102,"")</f>
        <v/>
      </c>
      <c r="J1043" s="381">
        <f>IF(AND('OCTUBRE 2026'!D102&lt;&gt;"",'OCTUBRE 2026'!Z102="POR RECOGER"),'OCTUBRE 2026'!Q102,"")</f>
        <v/>
      </c>
      <c r="K1043" s="381">
        <f>IF(AND('OCTUBRE 2026'!D102&lt;&gt;"",'OCTUBRE 2026'!Z102="POR RECOGER"),'OCTUBRE 2026'!Y102,"")</f>
        <v/>
      </c>
      <c r="L1043" s="381">
        <f>IF(AND('OCTUBRE 2026'!D102&lt;&gt;"",'OCTUBRE 2026'!Z102="POR RECOGER"),'OCTUBRE 2026'!I102,"")</f>
        <v/>
      </c>
      <c r="P1043" s="194" t="n"/>
      <c r="Q1043" s="194" t="n"/>
      <c r="R1043" s="194" t="n"/>
      <c r="S1043" s="194" t="n"/>
      <c r="T1043" s="194" t="n"/>
      <c r="U1043" s="194" t="n"/>
      <c r="V1043" s="194" t="n"/>
      <c r="W1043" s="194" t="n"/>
      <c r="X1043" s="194" t="n"/>
      <c r="Y1043" s="194" t="n"/>
      <c r="Z1043" s="194" t="n"/>
    </row>
    <row r="1044" ht="15" customHeight="1" s="195">
      <c r="A1044" s="381">
        <f>IF(AND('OCTUBRE 2026'!D103&lt;&gt;"",'OCTUBRE 2026'!Z103="POR RECOGER"),"OCT","")</f>
        <v/>
      </c>
      <c r="B1044" s="381">
        <f>IF(AND('OCTUBRE 2026'!D103&lt;&gt;"",'OCTUBRE 2026'!Z103="POR RECOGER"),IF('OCTUBRE 2026'!Y103&lt;&gt;"",'OCTUBRE 2026'!Y103,'OCTUBRE 2026'!I103),"")</f>
        <v/>
      </c>
      <c r="C1044" s="381">
        <f>IF(AND('OCTUBRE 2026'!D103&lt;&gt;"",'OCTUBRE 2026'!Z103="POR RECOGER"),'OCTUBRE 2026'!D103,"")</f>
        <v/>
      </c>
      <c r="D1044" s="381">
        <f>IF(AND('OCTUBRE 2026'!D103&lt;&gt;"",'OCTUBRE 2026'!Z103="POR RECOGER"),'OCTUBRE 2026'!F103,"")</f>
        <v/>
      </c>
      <c r="E1044" s="381">
        <f>IF(AND('OCTUBRE 2026'!D103&lt;&gt;"",'OCTUBRE 2026'!Z103="POR RECOGER"),TEXT('OCTUBRE 2026'!G103,"DD/MM/YYYY"),"")</f>
        <v/>
      </c>
      <c r="F1044" s="381">
        <f>IF(AND('OCTUBRE 2026'!D103&lt;&gt;"",'OCTUBRE 2026'!Z103="POR RECOGER"),'OCTUBRE 2026'!K103,"")</f>
        <v/>
      </c>
      <c r="G1044" s="382">
        <f>IF(AND('OCTUBRE 2026'!D103&lt;&gt;"",'OCTUBRE 2026'!Z103="POR RECOGER"),'OCTUBRE 2026'!M103,"")</f>
        <v/>
      </c>
      <c r="H1044" s="382">
        <f>IF(AND('OCTUBRE 2026'!D103&lt;&gt;"",'OCTUBRE 2026'!Z103="POR RECOGER"),'OCTUBRE 2026'!N103,"")</f>
        <v/>
      </c>
      <c r="I1044" s="381">
        <f>IF(AND('OCTUBRE 2026'!D103&lt;&gt;"",'OCTUBRE 2026'!Z103="POR RECOGER"),'OCTUBRE 2026'!P103,"")</f>
        <v/>
      </c>
      <c r="J1044" s="381">
        <f>IF(AND('OCTUBRE 2026'!D103&lt;&gt;"",'OCTUBRE 2026'!Z103="POR RECOGER"),'OCTUBRE 2026'!Q103,"")</f>
        <v/>
      </c>
      <c r="K1044" s="381">
        <f>IF(AND('OCTUBRE 2026'!D103&lt;&gt;"",'OCTUBRE 2026'!Z103="POR RECOGER"),'OCTUBRE 2026'!Y103,"")</f>
        <v/>
      </c>
      <c r="L1044" s="381">
        <f>IF(AND('OCTUBRE 2026'!D103&lt;&gt;"",'OCTUBRE 2026'!Z103="POR RECOGER"),'OCTUBRE 2026'!I103,"")</f>
        <v/>
      </c>
      <c r="P1044" s="194" t="n"/>
      <c r="Q1044" s="194" t="n"/>
      <c r="R1044" s="194" t="n"/>
      <c r="S1044" s="194" t="n"/>
      <c r="T1044" s="194" t="n"/>
      <c r="U1044" s="194" t="n"/>
      <c r="V1044" s="194" t="n"/>
      <c r="W1044" s="194" t="n"/>
      <c r="X1044" s="194" t="n"/>
      <c r="Y1044" s="194" t="n"/>
      <c r="Z1044" s="194" t="n"/>
    </row>
    <row r="1045" ht="15" customHeight="1" s="195">
      <c r="A1045" s="381">
        <f>IF(AND('OCTUBRE 2026'!D104&lt;&gt;"",'OCTUBRE 2026'!Z104="POR RECOGER"),"OCT","")</f>
        <v/>
      </c>
      <c r="B1045" s="381">
        <f>IF(AND('OCTUBRE 2026'!D104&lt;&gt;"",'OCTUBRE 2026'!Z104="POR RECOGER"),IF('OCTUBRE 2026'!Y104&lt;&gt;"",'OCTUBRE 2026'!Y104,'OCTUBRE 2026'!I104),"")</f>
        <v/>
      </c>
      <c r="C1045" s="381">
        <f>IF(AND('OCTUBRE 2026'!D104&lt;&gt;"",'OCTUBRE 2026'!Z104="POR RECOGER"),'OCTUBRE 2026'!D104,"")</f>
        <v/>
      </c>
      <c r="D1045" s="381">
        <f>IF(AND('OCTUBRE 2026'!D104&lt;&gt;"",'OCTUBRE 2026'!Z104="POR RECOGER"),'OCTUBRE 2026'!F104,"")</f>
        <v/>
      </c>
      <c r="E1045" s="381">
        <f>IF(AND('OCTUBRE 2026'!D104&lt;&gt;"",'OCTUBRE 2026'!Z104="POR RECOGER"),TEXT('OCTUBRE 2026'!G104,"DD/MM/YYYY"),"")</f>
        <v/>
      </c>
      <c r="F1045" s="381">
        <f>IF(AND('OCTUBRE 2026'!D104&lt;&gt;"",'OCTUBRE 2026'!Z104="POR RECOGER"),'OCTUBRE 2026'!K104,"")</f>
        <v/>
      </c>
      <c r="G1045" s="382">
        <f>IF(AND('OCTUBRE 2026'!D104&lt;&gt;"",'OCTUBRE 2026'!Z104="POR RECOGER"),'OCTUBRE 2026'!M104,"")</f>
        <v/>
      </c>
      <c r="H1045" s="382">
        <f>IF(AND('OCTUBRE 2026'!D104&lt;&gt;"",'OCTUBRE 2026'!Z104="POR RECOGER"),'OCTUBRE 2026'!N104,"")</f>
        <v/>
      </c>
      <c r="I1045" s="381">
        <f>IF(AND('OCTUBRE 2026'!D104&lt;&gt;"",'OCTUBRE 2026'!Z104="POR RECOGER"),'OCTUBRE 2026'!P104,"")</f>
        <v/>
      </c>
      <c r="J1045" s="381">
        <f>IF(AND('OCTUBRE 2026'!D104&lt;&gt;"",'OCTUBRE 2026'!Z104="POR RECOGER"),'OCTUBRE 2026'!Q104,"")</f>
        <v/>
      </c>
      <c r="K1045" s="381">
        <f>IF(AND('OCTUBRE 2026'!D104&lt;&gt;"",'OCTUBRE 2026'!Z104="POR RECOGER"),'OCTUBRE 2026'!Y104,"")</f>
        <v/>
      </c>
      <c r="L1045" s="381">
        <f>IF(AND('OCTUBRE 2026'!D104&lt;&gt;"",'OCTUBRE 2026'!Z104="POR RECOGER"),'OCTUBRE 2026'!I104,"")</f>
        <v/>
      </c>
      <c r="P1045" s="194" t="n"/>
      <c r="Q1045" s="194" t="n"/>
      <c r="R1045" s="194" t="n"/>
      <c r="S1045" s="194" t="n"/>
      <c r="T1045" s="194" t="n"/>
      <c r="U1045" s="194" t="n"/>
      <c r="V1045" s="194" t="n"/>
      <c r="W1045" s="194" t="n"/>
      <c r="X1045" s="194" t="n"/>
      <c r="Y1045" s="194" t="n"/>
      <c r="Z1045" s="194" t="n"/>
    </row>
    <row r="1046" ht="15" customHeight="1" s="195">
      <c r="A1046" s="381">
        <f>IF(AND('OCTUBRE 2026'!D105&lt;&gt;"",'OCTUBRE 2026'!Z105="POR RECOGER"),"OCT","")</f>
        <v/>
      </c>
      <c r="B1046" s="381">
        <f>IF(AND('OCTUBRE 2026'!D105&lt;&gt;"",'OCTUBRE 2026'!Z105="POR RECOGER"),IF('OCTUBRE 2026'!Y105&lt;&gt;"",'OCTUBRE 2026'!Y105,'OCTUBRE 2026'!I105),"")</f>
        <v/>
      </c>
      <c r="C1046" s="381">
        <f>IF(AND('OCTUBRE 2026'!D105&lt;&gt;"",'OCTUBRE 2026'!Z105="POR RECOGER"),'OCTUBRE 2026'!D105,"")</f>
        <v/>
      </c>
      <c r="D1046" s="381">
        <f>IF(AND('OCTUBRE 2026'!D105&lt;&gt;"",'OCTUBRE 2026'!Z105="POR RECOGER"),'OCTUBRE 2026'!F105,"")</f>
        <v/>
      </c>
      <c r="E1046" s="381">
        <f>IF(AND('OCTUBRE 2026'!D105&lt;&gt;"",'OCTUBRE 2026'!Z105="POR RECOGER"),TEXT('OCTUBRE 2026'!G105,"DD/MM/YYYY"),"")</f>
        <v/>
      </c>
      <c r="F1046" s="381">
        <f>IF(AND('OCTUBRE 2026'!D105&lt;&gt;"",'OCTUBRE 2026'!Z105="POR RECOGER"),'OCTUBRE 2026'!K105,"")</f>
        <v/>
      </c>
      <c r="G1046" s="382">
        <f>IF(AND('OCTUBRE 2026'!D105&lt;&gt;"",'OCTUBRE 2026'!Z105="POR RECOGER"),'OCTUBRE 2026'!M105,"")</f>
        <v/>
      </c>
      <c r="H1046" s="382">
        <f>IF(AND('OCTUBRE 2026'!D105&lt;&gt;"",'OCTUBRE 2026'!Z105="POR RECOGER"),'OCTUBRE 2026'!N105,"")</f>
        <v/>
      </c>
      <c r="I1046" s="381">
        <f>IF(AND('OCTUBRE 2026'!D105&lt;&gt;"",'OCTUBRE 2026'!Z105="POR RECOGER"),'OCTUBRE 2026'!P105,"")</f>
        <v/>
      </c>
      <c r="J1046" s="381">
        <f>IF(AND('OCTUBRE 2026'!D105&lt;&gt;"",'OCTUBRE 2026'!Z105="POR RECOGER"),'OCTUBRE 2026'!Q105,"")</f>
        <v/>
      </c>
      <c r="K1046" s="381">
        <f>IF(AND('OCTUBRE 2026'!D105&lt;&gt;"",'OCTUBRE 2026'!Z105="POR RECOGER"),'OCTUBRE 2026'!Y105,"")</f>
        <v/>
      </c>
      <c r="L1046" s="381">
        <f>IF(AND('OCTUBRE 2026'!D105&lt;&gt;"",'OCTUBRE 2026'!Z105="POR RECOGER"),'OCTUBRE 2026'!I105,"")</f>
        <v/>
      </c>
      <c r="P1046" s="194" t="n"/>
      <c r="Q1046" s="194" t="n"/>
      <c r="R1046" s="194" t="n"/>
      <c r="S1046" s="194" t="n"/>
      <c r="T1046" s="194" t="n"/>
      <c r="U1046" s="194" t="n"/>
      <c r="V1046" s="194" t="n"/>
      <c r="W1046" s="194" t="n"/>
      <c r="X1046" s="194" t="n"/>
      <c r="Y1046" s="194" t="n"/>
      <c r="Z1046" s="194" t="n"/>
    </row>
    <row r="1047" ht="15" customHeight="1" s="195">
      <c r="A1047" s="381">
        <f>IF(AND('OCTUBRE 2026'!D106&lt;&gt;"",'OCTUBRE 2026'!Z106="POR RECOGER"),"OCT","")</f>
        <v/>
      </c>
      <c r="B1047" s="381">
        <f>IF(AND('OCTUBRE 2026'!D106&lt;&gt;"",'OCTUBRE 2026'!Z106="POR RECOGER"),IF('OCTUBRE 2026'!Y106&lt;&gt;"",'OCTUBRE 2026'!Y106,'OCTUBRE 2026'!I106),"")</f>
        <v/>
      </c>
      <c r="C1047" s="381">
        <f>IF(AND('OCTUBRE 2026'!D106&lt;&gt;"",'OCTUBRE 2026'!Z106="POR RECOGER"),'OCTUBRE 2026'!D106,"")</f>
        <v/>
      </c>
      <c r="D1047" s="381">
        <f>IF(AND('OCTUBRE 2026'!D106&lt;&gt;"",'OCTUBRE 2026'!Z106="POR RECOGER"),'OCTUBRE 2026'!F106,"")</f>
        <v/>
      </c>
      <c r="E1047" s="381">
        <f>IF(AND('OCTUBRE 2026'!D106&lt;&gt;"",'OCTUBRE 2026'!Z106="POR RECOGER"),TEXT('OCTUBRE 2026'!G106,"DD/MM/YYYY"),"")</f>
        <v/>
      </c>
      <c r="F1047" s="381">
        <f>IF(AND('OCTUBRE 2026'!D106&lt;&gt;"",'OCTUBRE 2026'!Z106="POR RECOGER"),'OCTUBRE 2026'!K106,"")</f>
        <v/>
      </c>
      <c r="G1047" s="382">
        <f>IF(AND('OCTUBRE 2026'!D106&lt;&gt;"",'OCTUBRE 2026'!Z106="POR RECOGER"),'OCTUBRE 2026'!M106,"")</f>
        <v/>
      </c>
      <c r="H1047" s="382">
        <f>IF(AND('OCTUBRE 2026'!D106&lt;&gt;"",'OCTUBRE 2026'!Z106="POR RECOGER"),'OCTUBRE 2026'!N106,"")</f>
        <v/>
      </c>
      <c r="I1047" s="381">
        <f>IF(AND('OCTUBRE 2026'!D106&lt;&gt;"",'OCTUBRE 2026'!Z106="POR RECOGER"),'OCTUBRE 2026'!P106,"")</f>
        <v/>
      </c>
      <c r="J1047" s="381">
        <f>IF(AND('OCTUBRE 2026'!D106&lt;&gt;"",'OCTUBRE 2026'!Z106="POR RECOGER"),'OCTUBRE 2026'!Q106,"")</f>
        <v/>
      </c>
      <c r="K1047" s="381">
        <f>IF(AND('OCTUBRE 2026'!D106&lt;&gt;"",'OCTUBRE 2026'!Z106="POR RECOGER"),'OCTUBRE 2026'!Y106,"")</f>
        <v/>
      </c>
      <c r="L1047" s="381">
        <f>IF(AND('OCTUBRE 2026'!D106&lt;&gt;"",'OCTUBRE 2026'!Z106="POR RECOGER"),'OCTUBRE 2026'!I106,"")</f>
        <v/>
      </c>
      <c r="P1047" s="194" t="n"/>
      <c r="Q1047" s="194" t="n"/>
      <c r="R1047" s="194" t="n"/>
      <c r="S1047" s="194" t="n"/>
      <c r="T1047" s="194" t="n"/>
      <c r="U1047" s="194" t="n"/>
      <c r="V1047" s="194" t="n"/>
      <c r="W1047" s="194" t="n"/>
      <c r="X1047" s="194" t="n"/>
      <c r="Y1047" s="194" t="n"/>
      <c r="Z1047" s="194" t="n"/>
    </row>
    <row r="1048" ht="15" customHeight="1" s="195">
      <c r="A1048" s="381">
        <f>IF(AND('OCTUBRE 2026'!D107&lt;&gt;"",'OCTUBRE 2026'!Z107="POR RECOGER"),"OCT","")</f>
        <v/>
      </c>
      <c r="B1048" s="381">
        <f>IF(AND('OCTUBRE 2026'!D107&lt;&gt;"",'OCTUBRE 2026'!Z107="POR RECOGER"),IF('OCTUBRE 2026'!Y107&lt;&gt;"",'OCTUBRE 2026'!Y107,'OCTUBRE 2026'!I107),"")</f>
        <v/>
      </c>
      <c r="C1048" s="381">
        <f>IF(AND('OCTUBRE 2026'!D107&lt;&gt;"",'OCTUBRE 2026'!Z107="POR RECOGER"),'OCTUBRE 2026'!D107,"")</f>
        <v/>
      </c>
      <c r="D1048" s="381">
        <f>IF(AND('OCTUBRE 2026'!D107&lt;&gt;"",'OCTUBRE 2026'!Z107="POR RECOGER"),'OCTUBRE 2026'!F107,"")</f>
        <v/>
      </c>
      <c r="E1048" s="381">
        <f>IF(AND('OCTUBRE 2026'!D107&lt;&gt;"",'OCTUBRE 2026'!Z107="POR RECOGER"),TEXT('OCTUBRE 2026'!G107,"DD/MM/YYYY"),"")</f>
        <v/>
      </c>
      <c r="F1048" s="381">
        <f>IF(AND('OCTUBRE 2026'!D107&lt;&gt;"",'OCTUBRE 2026'!Z107="POR RECOGER"),'OCTUBRE 2026'!K107,"")</f>
        <v/>
      </c>
      <c r="G1048" s="382">
        <f>IF(AND('OCTUBRE 2026'!D107&lt;&gt;"",'OCTUBRE 2026'!Z107="POR RECOGER"),'OCTUBRE 2026'!M107,"")</f>
        <v/>
      </c>
      <c r="H1048" s="382">
        <f>IF(AND('OCTUBRE 2026'!D107&lt;&gt;"",'OCTUBRE 2026'!Z107="POR RECOGER"),'OCTUBRE 2026'!N107,"")</f>
        <v/>
      </c>
      <c r="I1048" s="381">
        <f>IF(AND('OCTUBRE 2026'!D107&lt;&gt;"",'OCTUBRE 2026'!Z107="POR RECOGER"),'OCTUBRE 2026'!P107,"")</f>
        <v/>
      </c>
      <c r="J1048" s="381">
        <f>IF(AND('OCTUBRE 2026'!D107&lt;&gt;"",'OCTUBRE 2026'!Z107="POR RECOGER"),'OCTUBRE 2026'!Q107,"")</f>
        <v/>
      </c>
      <c r="K1048" s="381">
        <f>IF(AND('OCTUBRE 2026'!D107&lt;&gt;"",'OCTUBRE 2026'!Z107="POR RECOGER"),'OCTUBRE 2026'!Y107,"")</f>
        <v/>
      </c>
      <c r="L1048" s="381">
        <f>IF(AND('OCTUBRE 2026'!D107&lt;&gt;"",'OCTUBRE 2026'!Z107="POR RECOGER"),'OCTUBRE 2026'!I107,"")</f>
        <v/>
      </c>
      <c r="P1048" s="194" t="n"/>
      <c r="Q1048" s="194" t="n"/>
      <c r="R1048" s="194" t="n"/>
      <c r="S1048" s="194" t="n"/>
      <c r="T1048" s="194" t="n"/>
      <c r="U1048" s="194" t="n"/>
      <c r="V1048" s="194" t="n"/>
      <c r="W1048" s="194" t="n"/>
      <c r="X1048" s="194" t="n"/>
      <c r="Y1048" s="194" t="n"/>
      <c r="Z1048" s="194" t="n"/>
    </row>
    <row r="1049" ht="15" customHeight="1" s="195">
      <c r="A1049" s="381">
        <f>IF(AND('OCTUBRE 2026'!D108&lt;&gt;"",'OCTUBRE 2026'!Z108="POR RECOGER"),"OCT","")</f>
        <v/>
      </c>
      <c r="B1049" s="381">
        <f>IF(AND('OCTUBRE 2026'!D108&lt;&gt;"",'OCTUBRE 2026'!Z108="POR RECOGER"),IF('OCTUBRE 2026'!Y108&lt;&gt;"",'OCTUBRE 2026'!Y108,'OCTUBRE 2026'!I108),"")</f>
        <v/>
      </c>
      <c r="C1049" s="381">
        <f>IF(AND('OCTUBRE 2026'!D108&lt;&gt;"",'OCTUBRE 2026'!Z108="POR RECOGER"),'OCTUBRE 2026'!D108,"")</f>
        <v/>
      </c>
      <c r="D1049" s="381">
        <f>IF(AND('OCTUBRE 2026'!D108&lt;&gt;"",'OCTUBRE 2026'!Z108="POR RECOGER"),'OCTUBRE 2026'!F108,"")</f>
        <v/>
      </c>
      <c r="E1049" s="381">
        <f>IF(AND('OCTUBRE 2026'!D108&lt;&gt;"",'OCTUBRE 2026'!Z108="POR RECOGER"),TEXT('OCTUBRE 2026'!G108,"DD/MM/YYYY"),"")</f>
        <v/>
      </c>
      <c r="F1049" s="381">
        <f>IF(AND('OCTUBRE 2026'!D108&lt;&gt;"",'OCTUBRE 2026'!Z108="POR RECOGER"),'OCTUBRE 2026'!K108,"")</f>
        <v/>
      </c>
      <c r="G1049" s="382">
        <f>IF(AND('OCTUBRE 2026'!D108&lt;&gt;"",'OCTUBRE 2026'!Z108="POR RECOGER"),'OCTUBRE 2026'!M108,"")</f>
        <v/>
      </c>
      <c r="H1049" s="382">
        <f>IF(AND('OCTUBRE 2026'!D108&lt;&gt;"",'OCTUBRE 2026'!Z108="POR RECOGER"),'OCTUBRE 2026'!N108,"")</f>
        <v/>
      </c>
      <c r="I1049" s="381">
        <f>IF(AND('OCTUBRE 2026'!D108&lt;&gt;"",'OCTUBRE 2026'!Z108="POR RECOGER"),'OCTUBRE 2026'!P108,"")</f>
        <v/>
      </c>
      <c r="J1049" s="381">
        <f>IF(AND('OCTUBRE 2026'!D108&lt;&gt;"",'OCTUBRE 2026'!Z108="POR RECOGER"),'OCTUBRE 2026'!Q108,"")</f>
        <v/>
      </c>
      <c r="K1049" s="381">
        <f>IF(AND('OCTUBRE 2026'!D108&lt;&gt;"",'OCTUBRE 2026'!Z108="POR RECOGER"),'OCTUBRE 2026'!Y108,"")</f>
        <v/>
      </c>
      <c r="L1049" s="381">
        <f>IF(AND('OCTUBRE 2026'!D108&lt;&gt;"",'OCTUBRE 2026'!Z108="POR RECOGER"),'OCTUBRE 2026'!I108,"")</f>
        <v/>
      </c>
      <c r="P1049" s="194" t="n"/>
      <c r="Q1049" s="194" t="n"/>
      <c r="R1049" s="194" t="n"/>
      <c r="S1049" s="194" t="n"/>
      <c r="T1049" s="194" t="n"/>
      <c r="U1049" s="194" t="n"/>
      <c r="V1049" s="194" t="n"/>
      <c r="W1049" s="194" t="n"/>
      <c r="X1049" s="194" t="n"/>
      <c r="Y1049" s="194" t="n"/>
      <c r="Z1049" s="194" t="n"/>
    </row>
    <row r="1050" ht="15" customHeight="1" s="195">
      <c r="A1050" s="381">
        <f>IF(AND('OCTUBRE 2026'!D109&lt;&gt;"",'OCTUBRE 2026'!Z109="POR RECOGER"),"OCT","")</f>
        <v/>
      </c>
      <c r="B1050" s="381">
        <f>IF(AND('OCTUBRE 2026'!D109&lt;&gt;"",'OCTUBRE 2026'!Z109="POR RECOGER"),IF('OCTUBRE 2026'!Y109&lt;&gt;"",'OCTUBRE 2026'!Y109,'OCTUBRE 2026'!I109),"")</f>
        <v/>
      </c>
      <c r="C1050" s="381">
        <f>IF(AND('OCTUBRE 2026'!D109&lt;&gt;"",'OCTUBRE 2026'!Z109="POR RECOGER"),'OCTUBRE 2026'!D109,"")</f>
        <v/>
      </c>
      <c r="D1050" s="381">
        <f>IF(AND('OCTUBRE 2026'!D109&lt;&gt;"",'OCTUBRE 2026'!Z109="POR RECOGER"),'OCTUBRE 2026'!F109,"")</f>
        <v/>
      </c>
      <c r="E1050" s="381">
        <f>IF(AND('OCTUBRE 2026'!D109&lt;&gt;"",'OCTUBRE 2026'!Z109="POR RECOGER"),TEXT('OCTUBRE 2026'!G109,"DD/MM/YYYY"),"")</f>
        <v/>
      </c>
      <c r="F1050" s="381">
        <f>IF(AND('OCTUBRE 2026'!D109&lt;&gt;"",'OCTUBRE 2026'!Z109="POR RECOGER"),'OCTUBRE 2026'!K109,"")</f>
        <v/>
      </c>
      <c r="G1050" s="382">
        <f>IF(AND('OCTUBRE 2026'!D109&lt;&gt;"",'OCTUBRE 2026'!Z109="POR RECOGER"),'OCTUBRE 2026'!M109,"")</f>
        <v/>
      </c>
      <c r="H1050" s="382">
        <f>IF(AND('OCTUBRE 2026'!D109&lt;&gt;"",'OCTUBRE 2026'!Z109="POR RECOGER"),'OCTUBRE 2026'!N109,"")</f>
        <v/>
      </c>
      <c r="I1050" s="381">
        <f>IF(AND('OCTUBRE 2026'!D109&lt;&gt;"",'OCTUBRE 2026'!Z109="POR RECOGER"),'OCTUBRE 2026'!P109,"")</f>
        <v/>
      </c>
      <c r="J1050" s="381">
        <f>IF(AND('OCTUBRE 2026'!D109&lt;&gt;"",'OCTUBRE 2026'!Z109="POR RECOGER"),'OCTUBRE 2026'!Q109,"")</f>
        <v/>
      </c>
      <c r="K1050" s="381">
        <f>IF(AND('OCTUBRE 2026'!D109&lt;&gt;"",'OCTUBRE 2026'!Z109="POR RECOGER"),'OCTUBRE 2026'!Y109,"")</f>
        <v/>
      </c>
      <c r="L1050" s="381">
        <f>IF(AND('OCTUBRE 2026'!D109&lt;&gt;"",'OCTUBRE 2026'!Z109="POR RECOGER"),'OCTUBRE 2026'!I109,"")</f>
        <v/>
      </c>
      <c r="P1050" s="194" t="n"/>
      <c r="Q1050" s="194" t="n"/>
      <c r="R1050" s="194" t="n"/>
      <c r="S1050" s="194" t="n"/>
      <c r="T1050" s="194" t="n"/>
      <c r="U1050" s="194" t="n"/>
      <c r="V1050" s="194" t="n"/>
      <c r="W1050" s="194" t="n"/>
      <c r="X1050" s="194" t="n"/>
      <c r="Y1050" s="194" t="n"/>
      <c r="Z1050" s="194" t="n"/>
    </row>
    <row r="1051" ht="15" customHeight="1" s="195">
      <c r="A1051" s="381">
        <f>IF(AND('OCTUBRE 2026'!D110&lt;&gt;"",'OCTUBRE 2026'!Z110="POR RECOGER"),"OCT","")</f>
        <v/>
      </c>
      <c r="B1051" s="381">
        <f>IF(AND('OCTUBRE 2026'!D110&lt;&gt;"",'OCTUBRE 2026'!Z110="POR RECOGER"),IF('OCTUBRE 2026'!Y110&lt;&gt;"",'OCTUBRE 2026'!Y110,'OCTUBRE 2026'!I110),"")</f>
        <v/>
      </c>
      <c r="C1051" s="381">
        <f>IF(AND('OCTUBRE 2026'!D110&lt;&gt;"",'OCTUBRE 2026'!Z110="POR RECOGER"),'OCTUBRE 2026'!D110,"")</f>
        <v/>
      </c>
      <c r="D1051" s="381">
        <f>IF(AND('OCTUBRE 2026'!D110&lt;&gt;"",'OCTUBRE 2026'!Z110="POR RECOGER"),'OCTUBRE 2026'!F110,"")</f>
        <v/>
      </c>
      <c r="E1051" s="381">
        <f>IF(AND('OCTUBRE 2026'!D110&lt;&gt;"",'OCTUBRE 2026'!Z110="POR RECOGER"),TEXT('OCTUBRE 2026'!G110,"DD/MM/YYYY"),"")</f>
        <v/>
      </c>
      <c r="F1051" s="381">
        <f>IF(AND('OCTUBRE 2026'!D110&lt;&gt;"",'OCTUBRE 2026'!Z110="POR RECOGER"),'OCTUBRE 2026'!K110,"")</f>
        <v/>
      </c>
      <c r="G1051" s="382">
        <f>IF(AND('OCTUBRE 2026'!D110&lt;&gt;"",'OCTUBRE 2026'!Z110="POR RECOGER"),'OCTUBRE 2026'!M110,"")</f>
        <v/>
      </c>
      <c r="H1051" s="382">
        <f>IF(AND('OCTUBRE 2026'!D110&lt;&gt;"",'OCTUBRE 2026'!Z110="POR RECOGER"),'OCTUBRE 2026'!N110,"")</f>
        <v/>
      </c>
      <c r="I1051" s="381">
        <f>IF(AND('OCTUBRE 2026'!D110&lt;&gt;"",'OCTUBRE 2026'!Z110="POR RECOGER"),'OCTUBRE 2026'!P110,"")</f>
        <v/>
      </c>
      <c r="J1051" s="381">
        <f>IF(AND('OCTUBRE 2026'!D110&lt;&gt;"",'OCTUBRE 2026'!Z110="POR RECOGER"),'OCTUBRE 2026'!Q110,"")</f>
        <v/>
      </c>
      <c r="K1051" s="381">
        <f>IF(AND('OCTUBRE 2026'!D110&lt;&gt;"",'OCTUBRE 2026'!Z110="POR RECOGER"),'OCTUBRE 2026'!Y110,"")</f>
        <v/>
      </c>
      <c r="L1051" s="381">
        <f>IF(AND('OCTUBRE 2026'!D110&lt;&gt;"",'OCTUBRE 2026'!Z110="POR RECOGER"),'OCTUBRE 2026'!I110,"")</f>
        <v/>
      </c>
      <c r="P1051" s="194" t="n"/>
      <c r="Q1051" s="194" t="n"/>
      <c r="R1051" s="194" t="n"/>
      <c r="S1051" s="194" t="n"/>
      <c r="T1051" s="194" t="n"/>
      <c r="U1051" s="194" t="n"/>
      <c r="V1051" s="194" t="n"/>
      <c r="W1051" s="194" t="n"/>
      <c r="X1051" s="194" t="n"/>
      <c r="Y1051" s="194" t="n"/>
      <c r="Z1051" s="194" t="n"/>
    </row>
    <row r="1052" ht="15" customHeight="1" s="195">
      <c r="A1052" s="381">
        <f>IF(AND('NOVIEMBRE 2026'!D6&lt;&gt;"",'NOVIEMBRE 2026'!Z6="POR RECOGER"),"NOV","")</f>
        <v/>
      </c>
      <c r="B1052" s="381">
        <f>IF(AND('NOVIEMBRE 2026'!D6&lt;&gt;"",'NOVIEMBRE 2026'!Z6="POR RECOGER"),IF('NOVIEMBRE 2026'!Y6&lt;&gt;"",'NOVIEMBRE 2026'!Y6,'NOVIEMBRE 2026'!I6),"")</f>
        <v/>
      </c>
      <c r="C1052" s="381">
        <f>IF(AND('NOVIEMBRE 2026'!D6&lt;&gt;"",'NOVIEMBRE 2026'!Z6="POR RECOGER"),'NOVIEMBRE 2026'!D6,"")</f>
        <v/>
      </c>
      <c r="D1052" s="381">
        <f>IF(AND('NOVIEMBRE 2026'!D6&lt;&gt;"",'NOVIEMBRE 2026'!Z6="POR RECOGER"),'NOVIEMBRE 2026'!F6,"")</f>
        <v/>
      </c>
      <c r="E1052" s="381">
        <f>IF(AND('NOVIEMBRE 2026'!D6&lt;&gt;"",'NOVIEMBRE 2026'!Z6="POR RECOGER"),TEXT('NOVIEMBRE 2026'!G6,"DD/MM/YYYY"),"")</f>
        <v/>
      </c>
      <c r="F1052" s="381">
        <f>IF(AND('NOVIEMBRE 2026'!D6&lt;&gt;"",'NOVIEMBRE 2026'!Z6="POR RECOGER"),'NOVIEMBRE 2026'!K6,"")</f>
        <v/>
      </c>
      <c r="G1052" s="382">
        <f>IF(AND('NOVIEMBRE 2026'!D6&lt;&gt;"",'NOVIEMBRE 2026'!Z6="POR RECOGER"),'NOVIEMBRE 2026'!M6,"")</f>
        <v/>
      </c>
      <c r="H1052" s="382">
        <f>IF(AND('NOVIEMBRE 2026'!D6&lt;&gt;"",'NOVIEMBRE 2026'!Z6="POR RECOGER"),'NOVIEMBRE 2026'!N6,"")</f>
        <v/>
      </c>
      <c r="I1052" s="381">
        <f>IF(AND('NOVIEMBRE 2026'!D6&lt;&gt;"",'NOVIEMBRE 2026'!Z6="POR RECOGER"),'NOVIEMBRE 2026'!P6,"")</f>
        <v/>
      </c>
      <c r="J1052" s="381">
        <f>IF(AND('NOVIEMBRE 2026'!D6&lt;&gt;"",'NOVIEMBRE 2026'!Z6="POR RECOGER"),'NOVIEMBRE 2026'!Q6,"")</f>
        <v/>
      </c>
      <c r="K1052" s="381">
        <f>IF(AND('NOVIEMBRE 2026'!D6&lt;&gt;"",'NOVIEMBRE 2026'!Z6="POR RECOGER"),'NOVIEMBRE 2026'!Y6,"")</f>
        <v/>
      </c>
      <c r="L1052" s="381">
        <f>IF(AND('NOVIEMBRE 2026'!D6&lt;&gt;"",'NOVIEMBRE 2026'!Z6="POR RECOGER"),'NOVIEMBRE 2026'!I6,"")</f>
        <v/>
      </c>
      <c r="P1052" s="194" t="n"/>
      <c r="Q1052" s="194" t="n"/>
      <c r="R1052" s="194" t="n"/>
      <c r="S1052" s="194" t="n"/>
      <c r="T1052" s="194" t="n"/>
      <c r="U1052" s="194" t="n"/>
      <c r="V1052" s="194" t="n"/>
      <c r="W1052" s="194" t="n"/>
      <c r="X1052" s="194" t="n"/>
      <c r="Y1052" s="194" t="n"/>
      <c r="Z1052" s="194" t="n"/>
    </row>
    <row r="1053" ht="15" customHeight="1" s="195">
      <c r="A1053" s="381">
        <f>IF(AND('NOVIEMBRE 2026'!D7&lt;&gt;"",'NOVIEMBRE 2026'!Z7="POR RECOGER"),"NOV","")</f>
        <v/>
      </c>
      <c r="B1053" s="381">
        <f>IF(AND('NOVIEMBRE 2026'!D7&lt;&gt;"",'NOVIEMBRE 2026'!Z7="POR RECOGER"),IF('NOVIEMBRE 2026'!Y7&lt;&gt;"",'NOVIEMBRE 2026'!Y7,'NOVIEMBRE 2026'!I7),"")</f>
        <v/>
      </c>
      <c r="C1053" s="381">
        <f>IF(AND('NOVIEMBRE 2026'!D7&lt;&gt;"",'NOVIEMBRE 2026'!Z7="POR RECOGER"),'NOVIEMBRE 2026'!D7,"")</f>
        <v/>
      </c>
      <c r="D1053" s="381">
        <f>IF(AND('NOVIEMBRE 2026'!D7&lt;&gt;"",'NOVIEMBRE 2026'!Z7="POR RECOGER"),'NOVIEMBRE 2026'!F7,"")</f>
        <v/>
      </c>
      <c r="E1053" s="381">
        <f>IF(AND('NOVIEMBRE 2026'!D7&lt;&gt;"",'NOVIEMBRE 2026'!Z7="POR RECOGER"),TEXT('NOVIEMBRE 2026'!G7,"DD/MM/YYYY"),"")</f>
        <v/>
      </c>
      <c r="F1053" s="381">
        <f>IF(AND('NOVIEMBRE 2026'!D7&lt;&gt;"",'NOVIEMBRE 2026'!Z7="POR RECOGER"),'NOVIEMBRE 2026'!K7,"")</f>
        <v/>
      </c>
      <c r="G1053" s="382">
        <f>IF(AND('NOVIEMBRE 2026'!D7&lt;&gt;"",'NOVIEMBRE 2026'!Z7="POR RECOGER"),'NOVIEMBRE 2026'!M7,"")</f>
        <v/>
      </c>
      <c r="H1053" s="382">
        <f>IF(AND('NOVIEMBRE 2026'!D7&lt;&gt;"",'NOVIEMBRE 2026'!Z7="POR RECOGER"),'NOVIEMBRE 2026'!N7,"")</f>
        <v/>
      </c>
      <c r="I1053" s="381">
        <f>IF(AND('NOVIEMBRE 2026'!D7&lt;&gt;"",'NOVIEMBRE 2026'!Z7="POR RECOGER"),'NOVIEMBRE 2026'!P7,"")</f>
        <v/>
      </c>
      <c r="J1053" s="381">
        <f>IF(AND('NOVIEMBRE 2026'!D7&lt;&gt;"",'NOVIEMBRE 2026'!Z7="POR RECOGER"),'NOVIEMBRE 2026'!Q7,"")</f>
        <v/>
      </c>
      <c r="K1053" s="381">
        <f>IF(AND('NOVIEMBRE 2026'!D7&lt;&gt;"",'NOVIEMBRE 2026'!Z7="POR RECOGER"),'NOVIEMBRE 2026'!Y7,"")</f>
        <v/>
      </c>
      <c r="L1053" s="381">
        <f>IF(AND('NOVIEMBRE 2026'!D7&lt;&gt;"",'NOVIEMBRE 2026'!Z7="POR RECOGER"),'NOVIEMBRE 2026'!I7,"")</f>
        <v/>
      </c>
      <c r="P1053" s="194" t="n"/>
      <c r="Q1053" s="194" t="n"/>
      <c r="R1053" s="194" t="n"/>
      <c r="S1053" s="194" t="n"/>
      <c r="T1053" s="194" t="n"/>
      <c r="U1053" s="194" t="n"/>
      <c r="V1053" s="194" t="n"/>
      <c r="W1053" s="194" t="n"/>
      <c r="X1053" s="194" t="n"/>
      <c r="Y1053" s="194" t="n"/>
      <c r="Z1053" s="194" t="n"/>
    </row>
    <row r="1054" ht="15" customHeight="1" s="195">
      <c r="A1054" s="381">
        <f>IF(AND('NOVIEMBRE 2026'!D8&lt;&gt;"",'NOVIEMBRE 2026'!Z8="POR RECOGER"),"NOV","")</f>
        <v/>
      </c>
      <c r="B1054" s="381">
        <f>IF(AND('NOVIEMBRE 2026'!D8&lt;&gt;"",'NOVIEMBRE 2026'!Z8="POR RECOGER"),IF('NOVIEMBRE 2026'!Y8&lt;&gt;"",'NOVIEMBRE 2026'!Y8,'NOVIEMBRE 2026'!I8),"")</f>
        <v/>
      </c>
      <c r="C1054" s="381">
        <f>IF(AND('NOVIEMBRE 2026'!D8&lt;&gt;"",'NOVIEMBRE 2026'!Z8="POR RECOGER"),'NOVIEMBRE 2026'!D8,"")</f>
        <v/>
      </c>
      <c r="D1054" s="381">
        <f>IF(AND('NOVIEMBRE 2026'!D8&lt;&gt;"",'NOVIEMBRE 2026'!Z8="POR RECOGER"),'NOVIEMBRE 2026'!F8,"")</f>
        <v/>
      </c>
      <c r="E1054" s="381">
        <f>IF(AND('NOVIEMBRE 2026'!D8&lt;&gt;"",'NOVIEMBRE 2026'!Z8="POR RECOGER"),TEXT('NOVIEMBRE 2026'!G8,"DD/MM/YYYY"),"")</f>
        <v/>
      </c>
      <c r="F1054" s="381">
        <f>IF(AND('NOVIEMBRE 2026'!D8&lt;&gt;"",'NOVIEMBRE 2026'!Z8="POR RECOGER"),'NOVIEMBRE 2026'!K8,"")</f>
        <v/>
      </c>
      <c r="G1054" s="382">
        <f>IF(AND('NOVIEMBRE 2026'!D8&lt;&gt;"",'NOVIEMBRE 2026'!Z8="POR RECOGER"),'NOVIEMBRE 2026'!M8,"")</f>
        <v/>
      </c>
      <c r="H1054" s="382">
        <f>IF(AND('NOVIEMBRE 2026'!D8&lt;&gt;"",'NOVIEMBRE 2026'!Z8="POR RECOGER"),'NOVIEMBRE 2026'!N8,"")</f>
        <v/>
      </c>
      <c r="I1054" s="381">
        <f>IF(AND('NOVIEMBRE 2026'!D8&lt;&gt;"",'NOVIEMBRE 2026'!Z8="POR RECOGER"),'NOVIEMBRE 2026'!P8,"")</f>
        <v/>
      </c>
      <c r="J1054" s="381">
        <f>IF(AND('NOVIEMBRE 2026'!D8&lt;&gt;"",'NOVIEMBRE 2026'!Z8="POR RECOGER"),'NOVIEMBRE 2026'!Q8,"")</f>
        <v/>
      </c>
      <c r="K1054" s="381">
        <f>IF(AND('NOVIEMBRE 2026'!D8&lt;&gt;"",'NOVIEMBRE 2026'!Z8="POR RECOGER"),'NOVIEMBRE 2026'!Y8,"")</f>
        <v/>
      </c>
      <c r="L1054" s="381">
        <f>IF(AND('NOVIEMBRE 2026'!D8&lt;&gt;"",'NOVIEMBRE 2026'!Z8="POR RECOGER"),'NOVIEMBRE 2026'!I8,"")</f>
        <v/>
      </c>
      <c r="P1054" s="194" t="n"/>
      <c r="Q1054" s="194" t="n"/>
      <c r="R1054" s="194" t="n"/>
      <c r="S1054" s="194" t="n"/>
      <c r="T1054" s="194" t="n"/>
      <c r="U1054" s="194" t="n"/>
      <c r="V1054" s="194" t="n"/>
      <c r="W1054" s="194" t="n"/>
      <c r="X1054" s="194" t="n"/>
      <c r="Y1054" s="194" t="n"/>
      <c r="Z1054" s="194" t="n"/>
    </row>
    <row r="1055" ht="15" customHeight="1" s="195">
      <c r="A1055" s="381">
        <f>IF(AND('NOVIEMBRE 2026'!D9&lt;&gt;"",'NOVIEMBRE 2026'!Z9="POR RECOGER"),"NOV","")</f>
        <v/>
      </c>
      <c r="B1055" s="381">
        <f>IF(AND('NOVIEMBRE 2026'!D9&lt;&gt;"",'NOVIEMBRE 2026'!Z9="POR RECOGER"),IF('NOVIEMBRE 2026'!Y9&lt;&gt;"",'NOVIEMBRE 2026'!Y9,'NOVIEMBRE 2026'!I9),"")</f>
        <v/>
      </c>
      <c r="C1055" s="381">
        <f>IF(AND('NOVIEMBRE 2026'!D9&lt;&gt;"",'NOVIEMBRE 2026'!Z9="POR RECOGER"),'NOVIEMBRE 2026'!D9,"")</f>
        <v/>
      </c>
      <c r="D1055" s="381">
        <f>IF(AND('NOVIEMBRE 2026'!D9&lt;&gt;"",'NOVIEMBRE 2026'!Z9="POR RECOGER"),'NOVIEMBRE 2026'!F9,"")</f>
        <v/>
      </c>
      <c r="E1055" s="381">
        <f>IF(AND('NOVIEMBRE 2026'!D9&lt;&gt;"",'NOVIEMBRE 2026'!Z9="POR RECOGER"),TEXT('NOVIEMBRE 2026'!G9,"DD/MM/YYYY"),"")</f>
        <v/>
      </c>
      <c r="F1055" s="381">
        <f>IF(AND('NOVIEMBRE 2026'!D9&lt;&gt;"",'NOVIEMBRE 2026'!Z9="POR RECOGER"),'NOVIEMBRE 2026'!K9,"")</f>
        <v/>
      </c>
      <c r="G1055" s="382">
        <f>IF(AND('NOVIEMBRE 2026'!D9&lt;&gt;"",'NOVIEMBRE 2026'!Z9="POR RECOGER"),'NOVIEMBRE 2026'!M9,"")</f>
        <v/>
      </c>
      <c r="H1055" s="382">
        <f>IF(AND('NOVIEMBRE 2026'!D9&lt;&gt;"",'NOVIEMBRE 2026'!Z9="POR RECOGER"),'NOVIEMBRE 2026'!N9,"")</f>
        <v/>
      </c>
      <c r="I1055" s="381">
        <f>IF(AND('NOVIEMBRE 2026'!D9&lt;&gt;"",'NOVIEMBRE 2026'!Z9="POR RECOGER"),'NOVIEMBRE 2026'!P9,"")</f>
        <v/>
      </c>
      <c r="J1055" s="381">
        <f>IF(AND('NOVIEMBRE 2026'!D9&lt;&gt;"",'NOVIEMBRE 2026'!Z9="POR RECOGER"),'NOVIEMBRE 2026'!Q9,"")</f>
        <v/>
      </c>
      <c r="K1055" s="381">
        <f>IF(AND('NOVIEMBRE 2026'!D9&lt;&gt;"",'NOVIEMBRE 2026'!Z9="POR RECOGER"),'NOVIEMBRE 2026'!Y9,"")</f>
        <v/>
      </c>
      <c r="L1055" s="381">
        <f>IF(AND('NOVIEMBRE 2026'!D9&lt;&gt;"",'NOVIEMBRE 2026'!Z9="POR RECOGER"),'NOVIEMBRE 2026'!I9,"")</f>
        <v/>
      </c>
      <c r="P1055" s="194" t="n"/>
      <c r="Q1055" s="194" t="n"/>
      <c r="R1055" s="194" t="n"/>
      <c r="S1055" s="194" t="n"/>
      <c r="T1055" s="194" t="n"/>
      <c r="U1055" s="194" t="n"/>
      <c r="V1055" s="194" t="n"/>
      <c r="W1055" s="194" t="n"/>
      <c r="X1055" s="194" t="n"/>
      <c r="Y1055" s="194" t="n"/>
      <c r="Z1055" s="194" t="n"/>
    </row>
    <row r="1056" ht="15" customHeight="1" s="195">
      <c r="A1056" s="381">
        <f>IF(AND('NOVIEMBRE 2026'!D10&lt;&gt;"",'NOVIEMBRE 2026'!Z10="POR RECOGER"),"NOV","")</f>
        <v/>
      </c>
      <c r="B1056" s="381">
        <f>IF(AND('NOVIEMBRE 2026'!D10&lt;&gt;"",'NOVIEMBRE 2026'!Z10="POR RECOGER"),IF('NOVIEMBRE 2026'!Y10&lt;&gt;"",'NOVIEMBRE 2026'!Y10,'NOVIEMBRE 2026'!I10),"")</f>
        <v/>
      </c>
      <c r="C1056" s="381">
        <f>IF(AND('NOVIEMBRE 2026'!D10&lt;&gt;"",'NOVIEMBRE 2026'!Z10="POR RECOGER"),'NOVIEMBRE 2026'!D10,"")</f>
        <v/>
      </c>
      <c r="D1056" s="381">
        <f>IF(AND('NOVIEMBRE 2026'!D10&lt;&gt;"",'NOVIEMBRE 2026'!Z10="POR RECOGER"),'NOVIEMBRE 2026'!F10,"")</f>
        <v/>
      </c>
      <c r="E1056" s="381">
        <f>IF(AND('NOVIEMBRE 2026'!D10&lt;&gt;"",'NOVIEMBRE 2026'!Z10="POR RECOGER"),TEXT('NOVIEMBRE 2026'!G10,"DD/MM/YYYY"),"")</f>
        <v/>
      </c>
      <c r="F1056" s="381">
        <f>IF(AND('NOVIEMBRE 2026'!D10&lt;&gt;"",'NOVIEMBRE 2026'!Z10="POR RECOGER"),'NOVIEMBRE 2026'!K10,"")</f>
        <v/>
      </c>
      <c r="G1056" s="382">
        <f>IF(AND('NOVIEMBRE 2026'!D10&lt;&gt;"",'NOVIEMBRE 2026'!Z10="POR RECOGER"),'NOVIEMBRE 2026'!M10,"")</f>
        <v/>
      </c>
      <c r="H1056" s="382">
        <f>IF(AND('NOVIEMBRE 2026'!D10&lt;&gt;"",'NOVIEMBRE 2026'!Z10="POR RECOGER"),'NOVIEMBRE 2026'!N10,"")</f>
        <v/>
      </c>
      <c r="I1056" s="381">
        <f>IF(AND('NOVIEMBRE 2026'!D10&lt;&gt;"",'NOVIEMBRE 2026'!Z10="POR RECOGER"),'NOVIEMBRE 2026'!P10,"")</f>
        <v/>
      </c>
      <c r="J1056" s="381">
        <f>IF(AND('NOVIEMBRE 2026'!D10&lt;&gt;"",'NOVIEMBRE 2026'!Z10="POR RECOGER"),'NOVIEMBRE 2026'!Q10,"")</f>
        <v/>
      </c>
      <c r="K1056" s="381">
        <f>IF(AND('NOVIEMBRE 2026'!D10&lt;&gt;"",'NOVIEMBRE 2026'!Z10="POR RECOGER"),'NOVIEMBRE 2026'!Y10,"")</f>
        <v/>
      </c>
      <c r="L1056" s="381">
        <f>IF(AND('NOVIEMBRE 2026'!D10&lt;&gt;"",'NOVIEMBRE 2026'!Z10="POR RECOGER"),'NOVIEMBRE 2026'!I10,"")</f>
        <v/>
      </c>
      <c r="P1056" s="194" t="n"/>
      <c r="Q1056" s="194" t="n"/>
      <c r="R1056" s="194" t="n"/>
      <c r="S1056" s="194" t="n"/>
      <c r="T1056" s="194" t="n"/>
      <c r="U1056" s="194" t="n"/>
      <c r="V1056" s="194" t="n"/>
      <c r="W1056" s="194" t="n"/>
      <c r="X1056" s="194" t="n"/>
      <c r="Y1056" s="194" t="n"/>
      <c r="Z1056" s="194" t="n"/>
    </row>
    <row r="1057" ht="15" customHeight="1" s="195">
      <c r="A1057" s="381">
        <f>IF(AND('NOVIEMBRE 2026'!D11&lt;&gt;"",'NOVIEMBRE 2026'!Z11="POR RECOGER"),"NOV","")</f>
        <v/>
      </c>
      <c r="B1057" s="381">
        <f>IF(AND('NOVIEMBRE 2026'!D11&lt;&gt;"",'NOVIEMBRE 2026'!Z11="POR RECOGER"),IF('NOVIEMBRE 2026'!Y11&lt;&gt;"",'NOVIEMBRE 2026'!Y11,'NOVIEMBRE 2026'!I11),"")</f>
        <v/>
      </c>
      <c r="C1057" s="381">
        <f>IF(AND('NOVIEMBRE 2026'!D11&lt;&gt;"",'NOVIEMBRE 2026'!Z11="POR RECOGER"),'NOVIEMBRE 2026'!D11,"")</f>
        <v/>
      </c>
      <c r="D1057" s="381">
        <f>IF(AND('NOVIEMBRE 2026'!D11&lt;&gt;"",'NOVIEMBRE 2026'!Z11="POR RECOGER"),'NOVIEMBRE 2026'!F11,"")</f>
        <v/>
      </c>
      <c r="E1057" s="381">
        <f>IF(AND('NOVIEMBRE 2026'!D11&lt;&gt;"",'NOVIEMBRE 2026'!Z11="POR RECOGER"),TEXT('NOVIEMBRE 2026'!G11,"DD/MM/YYYY"),"")</f>
        <v/>
      </c>
      <c r="F1057" s="381">
        <f>IF(AND('NOVIEMBRE 2026'!D11&lt;&gt;"",'NOVIEMBRE 2026'!Z11="POR RECOGER"),'NOVIEMBRE 2026'!K11,"")</f>
        <v/>
      </c>
      <c r="G1057" s="382">
        <f>IF(AND('NOVIEMBRE 2026'!D11&lt;&gt;"",'NOVIEMBRE 2026'!Z11="POR RECOGER"),'NOVIEMBRE 2026'!M11,"")</f>
        <v/>
      </c>
      <c r="H1057" s="382">
        <f>IF(AND('NOVIEMBRE 2026'!D11&lt;&gt;"",'NOVIEMBRE 2026'!Z11="POR RECOGER"),'NOVIEMBRE 2026'!N11,"")</f>
        <v/>
      </c>
      <c r="I1057" s="381">
        <f>IF(AND('NOVIEMBRE 2026'!D11&lt;&gt;"",'NOVIEMBRE 2026'!Z11="POR RECOGER"),'NOVIEMBRE 2026'!P11,"")</f>
        <v/>
      </c>
      <c r="J1057" s="381">
        <f>IF(AND('NOVIEMBRE 2026'!D11&lt;&gt;"",'NOVIEMBRE 2026'!Z11="POR RECOGER"),'NOVIEMBRE 2026'!Q11,"")</f>
        <v/>
      </c>
      <c r="K1057" s="381">
        <f>IF(AND('NOVIEMBRE 2026'!D11&lt;&gt;"",'NOVIEMBRE 2026'!Z11="POR RECOGER"),'NOVIEMBRE 2026'!Y11,"")</f>
        <v/>
      </c>
      <c r="L1057" s="381">
        <f>IF(AND('NOVIEMBRE 2026'!D11&lt;&gt;"",'NOVIEMBRE 2026'!Z11="POR RECOGER"),'NOVIEMBRE 2026'!I11,"")</f>
        <v/>
      </c>
      <c r="P1057" s="194" t="n"/>
      <c r="Q1057" s="194" t="n"/>
      <c r="R1057" s="194" t="n"/>
      <c r="S1057" s="194" t="n"/>
      <c r="T1057" s="194" t="n"/>
      <c r="U1057" s="194" t="n"/>
      <c r="V1057" s="194" t="n"/>
      <c r="W1057" s="194" t="n"/>
      <c r="X1057" s="194" t="n"/>
      <c r="Y1057" s="194" t="n"/>
      <c r="Z1057" s="194" t="n"/>
    </row>
    <row r="1058" ht="15" customHeight="1" s="195">
      <c r="A1058" s="381">
        <f>IF(AND('NOVIEMBRE 2026'!D12&lt;&gt;"",'NOVIEMBRE 2026'!Z12="POR RECOGER"),"NOV","")</f>
        <v/>
      </c>
      <c r="B1058" s="381">
        <f>IF(AND('NOVIEMBRE 2026'!D12&lt;&gt;"",'NOVIEMBRE 2026'!Z12="POR RECOGER"),IF('NOVIEMBRE 2026'!Y12&lt;&gt;"",'NOVIEMBRE 2026'!Y12,'NOVIEMBRE 2026'!I12),"")</f>
        <v/>
      </c>
      <c r="C1058" s="381">
        <f>IF(AND('NOVIEMBRE 2026'!D12&lt;&gt;"",'NOVIEMBRE 2026'!Z12="POR RECOGER"),'NOVIEMBRE 2026'!D12,"")</f>
        <v/>
      </c>
      <c r="D1058" s="381">
        <f>IF(AND('NOVIEMBRE 2026'!D12&lt;&gt;"",'NOVIEMBRE 2026'!Z12="POR RECOGER"),'NOVIEMBRE 2026'!F12,"")</f>
        <v/>
      </c>
      <c r="E1058" s="381">
        <f>IF(AND('NOVIEMBRE 2026'!D12&lt;&gt;"",'NOVIEMBRE 2026'!Z12="POR RECOGER"),TEXT('NOVIEMBRE 2026'!G12,"DD/MM/YYYY"),"")</f>
        <v/>
      </c>
      <c r="F1058" s="381">
        <f>IF(AND('NOVIEMBRE 2026'!D12&lt;&gt;"",'NOVIEMBRE 2026'!Z12="POR RECOGER"),'NOVIEMBRE 2026'!K12,"")</f>
        <v/>
      </c>
      <c r="G1058" s="382">
        <f>IF(AND('NOVIEMBRE 2026'!D12&lt;&gt;"",'NOVIEMBRE 2026'!Z12="POR RECOGER"),'NOVIEMBRE 2026'!M12,"")</f>
        <v/>
      </c>
      <c r="H1058" s="382">
        <f>IF(AND('NOVIEMBRE 2026'!D12&lt;&gt;"",'NOVIEMBRE 2026'!Z12="POR RECOGER"),'NOVIEMBRE 2026'!N12,"")</f>
        <v/>
      </c>
      <c r="I1058" s="381">
        <f>IF(AND('NOVIEMBRE 2026'!D12&lt;&gt;"",'NOVIEMBRE 2026'!Z12="POR RECOGER"),'NOVIEMBRE 2026'!P12,"")</f>
        <v/>
      </c>
      <c r="J1058" s="381">
        <f>IF(AND('NOVIEMBRE 2026'!D12&lt;&gt;"",'NOVIEMBRE 2026'!Z12="POR RECOGER"),'NOVIEMBRE 2026'!Q12,"")</f>
        <v/>
      </c>
      <c r="K1058" s="381">
        <f>IF(AND('NOVIEMBRE 2026'!D12&lt;&gt;"",'NOVIEMBRE 2026'!Z12="POR RECOGER"),'NOVIEMBRE 2026'!Y12,"")</f>
        <v/>
      </c>
      <c r="L1058" s="381">
        <f>IF(AND('NOVIEMBRE 2026'!D12&lt;&gt;"",'NOVIEMBRE 2026'!Z12="POR RECOGER"),'NOVIEMBRE 2026'!I12,"")</f>
        <v/>
      </c>
      <c r="P1058" s="194" t="n"/>
      <c r="Q1058" s="194" t="n"/>
      <c r="R1058" s="194" t="n"/>
      <c r="S1058" s="194" t="n"/>
      <c r="T1058" s="194" t="n"/>
      <c r="U1058" s="194" t="n"/>
      <c r="V1058" s="194" t="n"/>
      <c r="W1058" s="194" t="n"/>
      <c r="X1058" s="194" t="n"/>
      <c r="Y1058" s="194" t="n"/>
      <c r="Z1058" s="194" t="n"/>
    </row>
    <row r="1059" ht="15" customHeight="1" s="195">
      <c r="A1059" s="381">
        <f>IF(AND('NOVIEMBRE 2026'!D13&lt;&gt;"",'NOVIEMBRE 2026'!Z13="POR RECOGER"),"NOV","")</f>
        <v/>
      </c>
      <c r="B1059" s="381">
        <f>IF(AND('NOVIEMBRE 2026'!D13&lt;&gt;"",'NOVIEMBRE 2026'!Z13="POR RECOGER"),IF('NOVIEMBRE 2026'!Y13&lt;&gt;"",'NOVIEMBRE 2026'!Y13,'NOVIEMBRE 2026'!I13),"")</f>
        <v/>
      </c>
      <c r="C1059" s="381">
        <f>IF(AND('NOVIEMBRE 2026'!D13&lt;&gt;"",'NOVIEMBRE 2026'!Z13="POR RECOGER"),'NOVIEMBRE 2026'!D13,"")</f>
        <v/>
      </c>
      <c r="D1059" s="381">
        <f>IF(AND('NOVIEMBRE 2026'!D13&lt;&gt;"",'NOVIEMBRE 2026'!Z13="POR RECOGER"),'NOVIEMBRE 2026'!F13,"")</f>
        <v/>
      </c>
      <c r="E1059" s="381">
        <f>IF(AND('NOVIEMBRE 2026'!D13&lt;&gt;"",'NOVIEMBRE 2026'!Z13="POR RECOGER"),TEXT('NOVIEMBRE 2026'!G13,"DD/MM/YYYY"),"")</f>
        <v/>
      </c>
      <c r="F1059" s="381">
        <f>IF(AND('NOVIEMBRE 2026'!D13&lt;&gt;"",'NOVIEMBRE 2026'!Z13="POR RECOGER"),'NOVIEMBRE 2026'!K13,"")</f>
        <v/>
      </c>
      <c r="G1059" s="382">
        <f>IF(AND('NOVIEMBRE 2026'!D13&lt;&gt;"",'NOVIEMBRE 2026'!Z13="POR RECOGER"),'NOVIEMBRE 2026'!M13,"")</f>
        <v/>
      </c>
      <c r="H1059" s="382">
        <f>IF(AND('NOVIEMBRE 2026'!D13&lt;&gt;"",'NOVIEMBRE 2026'!Z13="POR RECOGER"),'NOVIEMBRE 2026'!N13,"")</f>
        <v/>
      </c>
      <c r="I1059" s="381">
        <f>IF(AND('NOVIEMBRE 2026'!D13&lt;&gt;"",'NOVIEMBRE 2026'!Z13="POR RECOGER"),'NOVIEMBRE 2026'!P13,"")</f>
        <v/>
      </c>
      <c r="J1059" s="381">
        <f>IF(AND('NOVIEMBRE 2026'!D13&lt;&gt;"",'NOVIEMBRE 2026'!Z13="POR RECOGER"),'NOVIEMBRE 2026'!Q13,"")</f>
        <v/>
      </c>
      <c r="K1059" s="381">
        <f>IF(AND('NOVIEMBRE 2026'!D13&lt;&gt;"",'NOVIEMBRE 2026'!Z13="POR RECOGER"),'NOVIEMBRE 2026'!Y13,"")</f>
        <v/>
      </c>
      <c r="L1059" s="381">
        <f>IF(AND('NOVIEMBRE 2026'!D13&lt;&gt;"",'NOVIEMBRE 2026'!Z13="POR RECOGER"),'NOVIEMBRE 2026'!I13,"")</f>
        <v/>
      </c>
      <c r="P1059" s="194" t="n"/>
      <c r="Q1059" s="194" t="n"/>
      <c r="R1059" s="194" t="n"/>
      <c r="S1059" s="194" t="n"/>
      <c r="T1059" s="194" t="n"/>
      <c r="U1059" s="194" t="n"/>
      <c r="V1059" s="194" t="n"/>
      <c r="W1059" s="194" t="n"/>
      <c r="X1059" s="194" t="n"/>
      <c r="Y1059" s="194" t="n"/>
      <c r="Z1059" s="194" t="n"/>
    </row>
    <row r="1060" ht="15" customHeight="1" s="195">
      <c r="A1060" s="381">
        <f>IF(AND('NOVIEMBRE 2026'!D14&lt;&gt;"",'NOVIEMBRE 2026'!Z14="POR RECOGER"),"NOV","")</f>
        <v/>
      </c>
      <c r="B1060" s="381">
        <f>IF(AND('NOVIEMBRE 2026'!D14&lt;&gt;"",'NOVIEMBRE 2026'!Z14="POR RECOGER"),IF('NOVIEMBRE 2026'!Y14&lt;&gt;"",'NOVIEMBRE 2026'!Y14,'NOVIEMBRE 2026'!I14),"")</f>
        <v/>
      </c>
      <c r="C1060" s="381">
        <f>IF(AND('NOVIEMBRE 2026'!D14&lt;&gt;"",'NOVIEMBRE 2026'!Z14="POR RECOGER"),'NOVIEMBRE 2026'!D14,"")</f>
        <v/>
      </c>
      <c r="D1060" s="381">
        <f>IF(AND('NOVIEMBRE 2026'!D14&lt;&gt;"",'NOVIEMBRE 2026'!Z14="POR RECOGER"),'NOVIEMBRE 2026'!F14,"")</f>
        <v/>
      </c>
      <c r="E1060" s="381">
        <f>IF(AND('NOVIEMBRE 2026'!D14&lt;&gt;"",'NOVIEMBRE 2026'!Z14="POR RECOGER"),TEXT('NOVIEMBRE 2026'!G14,"DD/MM/YYYY"),"")</f>
        <v/>
      </c>
      <c r="F1060" s="381">
        <f>IF(AND('NOVIEMBRE 2026'!D14&lt;&gt;"",'NOVIEMBRE 2026'!Z14="POR RECOGER"),'NOVIEMBRE 2026'!K14,"")</f>
        <v/>
      </c>
      <c r="G1060" s="382">
        <f>IF(AND('NOVIEMBRE 2026'!D14&lt;&gt;"",'NOVIEMBRE 2026'!Z14="POR RECOGER"),'NOVIEMBRE 2026'!M14,"")</f>
        <v/>
      </c>
      <c r="H1060" s="382">
        <f>IF(AND('NOVIEMBRE 2026'!D14&lt;&gt;"",'NOVIEMBRE 2026'!Z14="POR RECOGER"),'NOVIEMBRE 2026'!N14,"")</f>
        <v/>
      </c>
      <c r="I1060" s="381">
        <f>IF(AND('NOVIEMBRE 2026'!D14&lt;&gt;"",'NOVIEMBRE 2026'!Z14="POR RECOGER"),'NOVIEMBRE 2026'!P14,"")</f>
        <v/>
      </c>
      <c r="J1060" s="381">
        <f>IF(AND('NOVIEMBRE 2026'!D14&lt;&gt;"",'NOVIEMBRE 2026'!Z14="POR RECOGER"),'NOVIEMBRE 2026'!Q14,"")</f>
        <v/>
      </c>
      <c r="K1060" s="381">
        <f>IF(AND('NOVIEMBRE 2026'!D14&lt;&gt;"",'NOVIEMBRE 2026'!Z14="POR RECOGER"),'NOVIEMBRE 2026'!Y14,"")</f>
        <v/>
      </c>
      <c r="L1060" s="381">
        <f>IF(AND('NOVIEMBRE 2026'!D14&lt;&gt;"",'NOVIEMBRE 2026'!Z14="POR RECOGER"),'NOVIEMBRE 2026'!I14,"")</f>
        <v/>
      </c>
      <c r="P1060" s="194" t="n"/>
      <c r="Q1060" s="194" t="n"/>
      <c r="R1060" s="194" t="n"/>
      <c r="S1060" s="194" t="n"/>
      <c r="T1060" s="194" t="n"/>
      <c r="U1060" s="194" t="n"/>
      <c r="V1060" s="194" t="n"/>
      <c r="W1060" s="194" t="n"/>
      <c r="X1060" s="194" t="n"/>
      <c r="Y1060" s="194" t="n"/>
      <c r="Z1060" s="194" t="n"/>
    </row>
    <row r="1061" ht="15" customHeight="1" s="195">
      <c r="A1061" s="381">
        <f>IF(AND('NOVIEMBRE 2026'!D15&lt;&gt;"",'NOVIEMBRE 2026'!Z15="POR RECOGER"),"NOV","")</f>
        <v/>
      </c>
      <c r="B1061" s="381">
        <f>IF(AND('NOVIEMBRE 2026'!D15&lt;&gt;"",'NOVIEMBRE 2026'!Z15="POR RECOGER"),IF('NOVIEMBRE 2026'!Y15&lt;&gt;"",'NOVIEMBRE 2026'!Y15,'NOVIEMBRE 2026'!I15),"")</f>
        <v/>
      </c>
      <c r="C1061" s="381">
        <f>IF(AND('NOVIEMBRE 2026'!D15&lt;&gt;"",'NOVIEMBRE 2026'!Z15="POR RECOGER"),'NOVIEMBRE 2026'!D15,"")</f>
        <v/>
      </c>
      <c r="D1061" s="381">
        <f>IF(AND('NOVIEMBRE 2026'!D15&lt;&gt;"",'NOVIEMBRE 2026'!Z15="POR RECOGER"),'NOVIEMBRE 2026'!F15,"")</f>
        <v/>
      </c>
      <c r="E1061" s="381">
        <f>IF(AND('NOVIEMBRE 2026'!D15&lt;&gt;"",'NOVIEMBRE 2026'!Z15="POR RECOGER"),TEXT('NOVIEMBRE 2026'!G15,"DD/MM/YYYY"),"")</f>
        <v/>
      </c>
      <c r="F1061" s="381">
        <f>IF(AND('NOVIEMBRE 2026'!D15&lt;&gt;"",'NOVIEMBRE 2026'!Z15="POR RECOGER"),'NOVIEMBRE 2026'!K15,"")</f>
        <v/>
      </c>
      <c r="G1061" s="382">
        <f>IF(AND('NOVIEMBRE 2026'!D15&lt;&gt;"",'NOVIEMBRE 2026'!Z15="POR RECOGER"),'NOVIEMBRE 2026'!M15,"")</f>
        <v/>
      </c>
      <c r="H1061" s="382">
        <f>IF(AND('NOVIEMBRE 2026'!D15&lt;&gt;"",'NOVIEMBRE 2026'!Z15="POR RECOGER"),'NOVIEMBRE 2026'!N15,"")</f>
        <v/>
      </c>
      <c r="I1061" s="381">
        <f>IF(AND('NOVIEMBRE 2026'!D15&lt;&gt;"",'NOVIEMBRE 2026'!Z15="POR RECOGER"),'NOVIEMBRE 2026'!P15,"")</f>
        <v/>
      </c>
      <c r="J1061" s="381">
        <f>IF(AND('NOVIEMBRE 2026'!D15&lt;&gt;"",'NOVIEMBRE 2026'!Z15="POR RECOGER"),'NOVIEMBRE 2026'!Q15,"")</f>
        <v/>
      </c>
      <c r="K1061" s="381">
        <f>IF(AND('NOVIEMBRE 2026'!D15&lt;&gt;"",'NOVIEMBRE 2026'!Z15="POR RECOGER"),'NOVIEMBRE 2026'!Y15,"")</f>
        <v/>
      </c>
      <c r="L1061" s="381">
        <f>IF(AND('NOVIEMBRE 2026'!D15&lt;&gt;"",'NOVIEMBRE 2026'!Z15="POR RECOGER"),'NOVIEMBRE 2026'!I15,"")</f>
        <v/>
      </c>
      <c r="P1061" s="194" t="n"/>
      <c r="Q1061" s="194" t="n"/>
      <c r="R1061" s="194" t="n"/>
      <c r="S1061" s="194" t="n"/>
      <c r="T1061" s="194" t="n"/>
      <c r="U1061" s="194" t="n"/>
      <c r="V1061" s="194" t="n"/>
      <c r="W1061" s="194" t="n"/>
      <c r="X1061" s="194" t="n"/>
      <c r="Y1061" s="194" t="n"/>
      <c r="Z1061" s="194" t="n"/>
    </row>
    <row r="1062" ht="15" customHeight="1" s="195">
      <c r="A1062" s="381">
        <f>IF(AND('NOVIEMBRE 2026'!D16&lt;&gt;"",'NOVIEMBRE 2026'!Z16="POR RECOGER"),"NOV","")</f>
        <v/>
      </c>
      <c r="B1062" s="381">
        <f>IF(AND('NOVIEMBRE 2026'!D16&lt;&gt;"",'NOVIEMBRE 2026'!Z16="POR RECOGER"),IF('NOVIEMBRE 2026'!Y16&lt;&gt;"",'NOVIEMBRE 2026'!Y16,'NOVIEMBRE 2026'!I16),"")</f>
        <v/>
      </c>
      <c r="C1062" s="381">
        <f>IF(AND('NOVIEMBRE 2026'!D16&lt;&gt;"",'NOVIEMBRE 2026'!Z16="POR RECOGER"),'NOVIEMBRE 2026'!D16,"")</f>
        <v/>
      </c>
      <c r="D1062" s="381">
        <f>IF(AND('NOVIEMBRE 2026'!D16&lt;&gt;"",'NOVIEMBRE 2026'!Z16="POR RECOGER"),'NOVIEMBRE 2026'!F16,"")</f>
        <v/>
      </c>
      <c r="E1062" s="381">
        <f>IF(AND('NOVIEMBRE 2026'!D16&lt;&gt;"",'NOVIEMBRE 2026'!Z16="POR RECOGER"),TEXT('NOVIEMBRE 2026'!G16,"DD/MM/YYYY"),"")</f>
        <v/>
      </c>
      <c r="F1062" s="381">
        <f>IF(AND('NOVIEMBRE 2026'!D16&lt;&gt;"",'NOVIEMBRE 2026'!Z16="POR RECOGER"),'NOVIEMBRE 2026'!K16,"")</f>
        <v/>
      </c>
      <c r="G1062" s="382">
        <f>IF(AND('NOVIEMBRE 2026'!D16&lt;&gt;"",'NOVIEMBRE 2026'!Z16="POR RECOGER"),'NOVIEMBRE 2026'!M16,"")</f>
        <v/>
      </c>
      <c r="H1062" s="382">
        <f>IF(AND('NOVIEMBRE 2026'!D16&lt;&gt;"",'NOVIEMBRE 2026'!Z16="POR RECOGER"),'NOVIEMBRE 2026'!N16,"")</f>
        <v/>
      </c>
      <c r="I1062" s="381">
        <f>IF(AND('NOVIEMBRE 2026'!D16&lt;&gt;"",'NOVIEMBRE 2026'!Z16="POR RECOGER"),'NOVIEMBRE 2026'!P16,"")</f>
        <v/>
      </c>
      <c r="J1062" s="381">
        <f>IF(AND('NOVIEMBRE 2026'!D16&lt;&gt;"",'NOVIEMBRE 2026'!Z16="POR RECOGER"),'NOVIEMBRE 2026'!Q16,"")</f>
        <v/>
      </c>
      <c r="K1062" s="381">
        <f>IF(AND('NOVIEMBRE 2026'!D16&lt;&gt;"",'NOVIEMBRE 2026'!Z16="POR RECOGER"),'NOVIEMBRE 2026'!Y16,"")</f>
        <v/>
      </c>
      <c r="L1062" s="381">
        <f>IF(AND('NOVIEMBRE 2026'!D16&lt;&gt;"",'NOVIEMBRE 2026'!Z16="POR RECOGER"),'NOVIEMBRE 2026'!I16,"")</f>
        <v/>
      </c>
      <c r="P1062" s="194" t="n"/>
      <c r="Q1062" s="194" t="n"/>
      <c r="R1062" s="194" t="n"/>
      <c r="S1062" s="194" t="n"/>
      <c r="T1062" s="194" t="n"/>
      <c r="U1062" s="194" t="n"/>
      <c r="V1062" s="194" t="n"/>
      <c r="W1062" s="194" t="n"/>
      <c r="X1062" s="194" t="n"/>
      <c r="Y1062" s="194" t="n"/>
      <c r="Z1062" s="194" t="n"/>
    </row>
    <row r="1063" ht="15" customHeight="1" s="195">
      <c r="A1063" s="381">
        <f>IF(AND('NOVIEMBRE 2026'!D17&lt;&gt;"",'NOVIEMBRE 2026'!Z17="POR RECOGER"),"NOV","")</f>
        <v/>
      </c>
      <c r="B1063" s="381">
        <f>IF(AND('NOVIEMBRE 2026'!D17&lt;&gt;"",'NOVIEMBRE 2026'!Z17="POR RECOGER"),IF('NOVIEMBRE 2026'!Y17&lt;&gt;"",'NOVIEMBRE 2026'!Y17,'NOVIEMBRE 2026'!I17),"")</f>
        <v/>
      </c>
      <c r="C1063" s="381">
        <f>IF(AND('NOVIEMBRE 2026'!D17&lt;&gt;"",'NOVIEMBRE 2026'!Z17="POR RECOGER"),'NOVIEMBRE 2026'!D17,"")</f>
        <v/>
      </c>
      <c r="D1063" s="381">
        <f>IF(AND('NOVIEMBRE 2026'!D17&lt;&gt;"",'NOVIEMBRE 2026'!Z17="POR RECOGER"),'NOVIEMBRE 2026'!F17,"")</f>
        <v/>
      </c>
      <c r="E1063" s="381">
        <f>IF(AND('NOVIEMBRE 2026'!D17&lt;&gt;"",'NOVIEMBRE 2026'!Z17="POR RECOGER"),TEXT('NOVIEMBRE 2026'!G17,"DD/MM/YYYY"),"")</f>
        <v/>
      </c>
      <c r="F1063" s="381">
        <f>IF(AND('NOVIEMBRE 2026'!D17&lt;&gt;"",'NOVIEMBRE 2026'!Z17="POR RECOGER"),'NOVIEMBRE 2026'!K17,"")</f>
        <v/>
      </c>
      <c r="G1063" s="382">
        <f>IF(AND('NOVIEMBRE 2026'!D17&lt;&gt;"",'NOVIEMBRE 2026'!Z17="POR RECOGER"),'NOVIEMBRE 2026'!M17,"")</f>
        <v/>
      </c>
      <c r="H1063" s="382">
        <f>IF(AND('NOVIEMBRE 2026'!D17&lt;&gt;"",'NOVIEMBRE 2026'!Z17="POR RECOGER"),'NOVIEMBRE 2026'!N17,"")</f>
        <v/>
      </c>
      <c r="I1063" s="381">
        <f>IF(AND('NOVIEMBRE 2026'!D17&lt;&gt;"",'NOVIEMBRE 2026'!Z17="POR RECOGER"),'NOVIEMBRE 2026'!P17,"")</f>
        <v/>
      </c>
      <c r="J1063" s="381">
        <f>IF(AND('NOVIEMBRE 2026'!D17&lt;&gt;"",'NOVIEMBRE 2026'!Z17="POR RECOGER"),'NOVIEMBRE 2026'!Q17,"")</f>
        <v/>
      </c>
      <c r="K1063" s="381">
        <f>IF(AND('NOVIEMBRE 2026'!D17&lt;&gt;"",'NOVIEMBRE 2026'!Z17="POR RECOGER"),'NOVIEMBRE 2026'!Y17,"")</f>
        <v/>
      </c>
      <c r="L1063" s="381">
        <f>IF(AND('NOVIEMBRE 2026'!D17&lt;&gt;"",'NOVIEMBRE 2026'!Z17="POR RECOGER"),'NOVIEMBRE 2026'!I17,"")</f>
        <v/>
      </c>
      <c r="P1063" s="194" t="n"/>
      <c r="Q1063" s="194" t="n"/>
      <c r="R1063" s="194" t="n"/>
      <c r="S1063" s="194" t="n"/>
      <c r="T1063" s="194" t="n"/>
      <c r="U1063" s="194" t="n"/>
      <c r="V1063" s="194" t="n"/>
      <c r="W1063" s="194" t="n"/>
      <c r="X1063" s="194" t="n"/>
      <c r="Y1063" s="194" t="n"/>
      <c r="Z1063" s="194" t="n"/>
    </row>
    <row r="1064" ht="15" customHeight="1" s="195">
      <c r="A1064" s="381">
        <f>IF(AND('NOVIEMBRE 2026'!D18&lt;&gt;"",'NOVIEMBRE 2026'!Z18="POR RECOGER"),"NOV","")</f>
        <v/>
      </c>
      <c r="B1064" s="381">
        <f>IF(AND('NOVIEMBRE 2026'!D18&lt;&gt;"",'NOVIEMBRE 2026'!Z18="POR RECOGER"),IF('NOVIEMBRE 2026'!Y18&lt;&gt;"",'NOVIEMBRE 2026'!Y18,'NOVIEMBRE 2026'!I18),"")</f>
        <v/>
      </c>
      <c r="C1064" s="381">
        <f>IF(AND('NOVIEMBRE 2026'!D18&lt;&gt;"",'NOVIEMBRE 2026'!Z18="POR RECOGER"),'NOVIEMBRE 2026'!D18,"")</f>
        <v/>
      </c>
      <c r="D1064" s="381">
        <f>IF(AND('NOVIEMBRE 2026'!D18&lt;&gt;"",'NOVIEMBRE 2026'!Z18="POR RECOGER"),'NOVIEMBRE 2026'!F18,"")</f>
        <v/>
      </c>
      <c r="E1064" s="381">
        <f>IF(AND('NOVIEMBRE 2026'!D18&lt;&gt;"",'NOVIEMBRE 2026'!Z18="POR RECOGER"),TEXT('NOVIEMBRE 2026'!G18,"DD/MM/YYYY"),"")</f>
        <v/>
      </c>
      <c r="F1064" s="381">
        <f>IF(AND('NOVIEMBRE 2026'!D18&lt;&gt;"",'NOVIEMBRE 2026'!Z18="POR RECOGER"),'NOVIEMBRE 2026'!K18,"")</f>
        <v/>
      </c>
      <c r="G1064" s="382">
        <f>IF(AND('NOVIEMBRE 2026'!D18&lt;&gt;"",'NOVIEMBRE 2026'!Z18="POR RECOGER"),'NOVIEMBRE 2026'!M18,"")</f>
        <v/>
      </c>
      <c r="H1064" s="382">
        <f>IF(AND('NOVIEMBRE 2026'!D18&lt;&gt;"",'NOVIEMBRE 2026'!Z18="POR RECOGER"),'NOVIEMBRE 2026'!N18,"")</f>
        <v/>
      </c>
      <c r="I1064" s="381">
        <f>IF(AND('NOVIEMBRE 2026'!D18&lt;&gt;"",'NOVIEMBRE 2026'!Z18="POR RECOGER"),'NOVIEMBRE 2026'!P18,"")</f>
        <v/>
      </c>
      <c r="J1064" s="381">
        <f>IF(AND('NOVIEMBRE 2026'!D18&lt;&gt;"",'NOVIEMBRE 2026'!Z18="POR RECOGER"),'NOVIEMBRE 2026'!Q18,"")</f>
        <v/>
      </c>
      <c r="K1064" s="381">
        <f>IF(AND('NOVIEMBRE 2026'!D18&lt;&gt;"",'NOVIEMBRE 2026'!Z18="POR RECOGER"),'NOVIEMBRE 2026'!Y18,"")</f>
        <v/>
      </c>
      <c r="L1064" s="381">
        <f>IF(AND('NOVIEMBRE 2026'!D18&lt;&gt;"",'NOVIEMBRE 2026'!Z18="POR RECOGER"),'NOVIEMBRE 2026'!I18,"")</f>
        <v/>
      </c>
      <c r="P1064" s="194" t="n"/>
      <c r="Q1064" s="194" t="n"/>
      <c r="R1064" s="194" t="n"/>
      <c r="S1064" s="194" t="n"/>
      <c r="T1064" s="194" t="n"/>
      <c r="U1064" s="194" t="n"/>
      <c r="V1064" s="194" t="n"/>
      <c r="W1064" s="194" t="n"/>
      <c r="X1064" s="194" t="n"/>
      <c r="Y1064" s="194" t="n"/>
      <c r="Z1064" s="194" t="n"/>
    </row>
    <row r="1065" ht="15" customHeight="1" s="195">
      <c r="A1065" s="381">
        <f>IF(AND('NOVIEMBRE 2026'!D19&lt;&gt;"",'NOVIEMBRE 2026'!Z19="POR RECOGER"),"NOV","")</f>
        <v/>
      </c>
      <c r="B1065" s="381">
        <f>IF(AND('NOVIEMBRE 2026'!D19&lt;&gt;"",'NOVIEMBRE 2026'!Z19="POR RECOGER"),IF('NOVIEMBRE 2026'!Y19&lt;&gt;"",'NOVIEMBRE 2026'!Y19,'NOVIEMBRE 2026'!I19),"")</f>
        <v/>
      </c>
      <c r="C1065" s="381">
        <f>IF(AND('NOVIEMBRE 2026'!D19&lt;&gt;"",'NOVIEMBRE 2026'!Z19="POR RECOGER"),'NOVIEMBRE 2026'!D19,"")</f>
        <v/>
      </c>
      <c r="D1065" s="381">
        <f>IF(AND('NOVIEMBRE 2026'!D19&lt;&gt;"",'NOVIEMBRE 2026'!Z19="POR RECOGER"),'NOVIEMBRE 2026'!F19,"")</f>
        <v/>
      </c>
      <c r="E1065" s="381">
        <f>IF(AND('NOVIEMBRE 2026'!D19&lt;&gt;"",'NOVIEMBRE 2026'!Z19="POR RECOGER"),TEXT('NOVIEMBRE 2026'!G19,"DD/MM/YYYY"),"")</f>
        <v/>
      </c>
      <c r="F1065" s="381">
        <f>IF(AND('NOVIEMBRE 2026'!D19&lt;&gt;"",'NOVIEMBRE 2026'!Z19="POR RECOGER"),'NOVIEMBRE 2026'!K19,"")</f>
        <v/>
      </c>
      <c r="G1065" s="382">
        <f>IF(AND('NOVIEMBRE 2026'!D19&lt;&gt;"",'NOVIEMBRE 2026'!Z19="POR RECOGER"),'NOVIEMBRE 2026'!M19,"")</f>
        <v/>
      </c>
      <c r="H1065" s="382">
        <f>IF(AND('NOVIEMBRE 2026'!D19&lt;&gt;"",'NOVIEMBRE 2026'!Z19="POR RECOGER"),'NOVIEMBRE 2026'!N19,"")</f>
        <v/>
      </c>
      <c r="I1065" s="381">
        <f>IF(AND('NOVIEMBRE 2026'!D19&lt;&gt;"",'NOVIEMBRE 2026'!Z19="POR RECOGER"),'NOVIEMBRE 2026'!P19,"")</f>
        <v/>
      </c>
      <c r="J1065" s="381">
        <f>IF(AND('NOVIEMBRE 2026'!D19&lt;&gt;"",'NOVIEMBRE 2026'!Z19="POR RECOGER"),'NOVIEMBRE 2026'!Q19,"")</f>
        <v/>
      </c>
      <c r="K1065" s="381">
        <f>IF(AND('NOVIEMBRE 2026'!D19&lt;&gt;"",'NOVIEMBRE 2026'!Z19="POR RECOGER"),'NOVIEMBRE 2026'!Y19,"")</f>
        <v/>
      </c>
      <c r="L1065" s="381">
        <f>IF(AND('NOVIEMBRE 2026'!D19&lt;&gt;"",'NOVIEMBRE 2026'!Z19="POR RECOGER"),'NOVIEMBRE 2026'!I19,"")</f>
        <v/>
      </c>
      <c r="P1065" s="194" t="n"/>
      <c r="Q1065" s="194" t="n"/>
      <c r="R1065" s="194" t="n"/>
      <c r="S1065" s="194" t="n"/>
      <c r="T1065" s="194" t="n"/>
      <c r="U1065" s="194" t="n"/>
      <c r="V1065" s="194" t="n"/>
      <c r="W1065" s="194" t="n"/>
      <c r="X1065" s="194" t="n"/>
      <c r="Y1065" s="194" t="n"/>
      <c r="Z1065" s="194" t="n"/>
    </row>
    <row r="1066" ht="15" customHeight="1" s="195">
      <c r="A1066" s="381">
        <f>IF(AND('NOVIEMBRE 2026'!D20&lt;&gt;"",'NOVIEMBRE 2026'!Z20="POR RECOGER"),"NOV","")</f>
        <v/>
      </c>
      <c r="B1066" s="381">
        <f>IF(AND('NOVIEMBRE 2026'!D20&lt;&gt;"",'NOVIEMBRE 2026'!Z20="POR RECOGER"),IF('NOVIEMBRE 2026'!Y20&lt;&gt;"",'NOVIEMBRE 2026'!Y20,'NOVIEMBRE 2026'!I20),"")</f>
        <v/>
      </c>
      <c r="C1066" s="381">
        <f>IF(AND('NOVIEMBRE 2026'!D20&lt;&gt;"",'NOVIEMBRE 2026'!Z20="POR RECOGER"),'NOVIEMBRE 2026'!D20,"")</f>
        <v/>
      </c>
      <c r="D1066" s="381">
        <f>IF(AND('NOVIEMBRE 2026'!D20&lt;&gt;"",'NOVIEMBRE 2026'!Z20="POR RECOGER"),'NOVIEMBRE 2026'!F20,"")</f>
        <v/>
      </c>
      <c r="E1066" s="381">
        <f>IF(AND('NOVIEMBRE 2026'!D20&lt;&gt;"",'NOVIEMBRE 2026'!Z20="POR RECOGER"),TEXT('NOVIEMBRE 2026'!G20,"DD/MM/YYYY"),"")</f>
        <v/>
      </c>
      <c r="F1066" s="381">
        <f>IF(AND('NOVIEMBRE 2026'!D20&lt;&gt;"",'NOVIEMBRE 2026'!Z20="POR RECOGER"),'NOVIEMBRE 2026'!K20,"")</f>
        <v/>
      </c>
      <c r="G1066" s="382">
        <f>IF(AND('NOVIEMBRE 2026'!D20&lt;&gt;"",'NOVIEMBRE 2026'!Z20="POR RECOGER"),'NOVIEMBRE 2026'!M20,"")</f>
        <v/>
      </c>
      <c r="H1066" s="382">
        <f>IF(AND('NOVIEMBRE 2026'!D20&lt;&gt;"",'NOVIEMBRE 2026'!Z20="POR RECOGER"),'NOVIEMBRE 2026'!N20,"")</f>
        <v/>
      </c>
      <c r="I1066" s="381">
        <f>IF(AND('NOVIEMBRE 2026'!D20&lt;&gt;"",'NOVIEMBRE 2026'!Z20="POR RECOGER"),'NOVIEMBRE 2026'!P20,"")</f>
        <v/>
      </c>
      <c r="J1066" s="381">
        <f>IF(AND('NOVIEMBRE 2026'!D20&lt;&gt;"",'NOVIEMBRE 2026'!Z20="POR RECOGER"),'NOVIEMBRE 2026'!Q20,"")</f>
        <v/>
      </c>
      <c r="K1066" s="381">
        <f>IF(AND('NOVIEMBRE 2026'!D20&lt;&gt;"",'NOVIEMBRE 2026'!Z20="POR RECOGER"),'NOVIEMBRE 2026'!Y20,"")</f>
        <v/>
      </c>
      <c r="L1066" s="381">
        <f>IF(AND('NOVIEMBRE 2026'!D20&lt;&gt;"",'NOVIEMBRE 2026'!Z20="POR RECOGER"),'NOVIEMBRE 2026'!I20,"")</f>
        <v/>
      </c>
      <c r="P1066" s="194" t="n"/>
      <c r="Q1066" s="194" t="n"/>
      <c r="R1066" s="194" t="n"/>
      <c r="S1066" s="194" t="n"/>
      <c r="T1066" s="194" t="n"/>
      <c r="U1066" s="194" t="n"/>
      <c r="V1066" s="194" t="n"/>
      <c r="W1066" s="194" t="n"/>
      <c r="X1066" s="194" t="n"/>
      <c r="Y1066" s="194" t="n"/>
      <c r="Z1066" s="194" t="n"/>
    </row>
    <row r="1067" ht="15" customHeight="1" s="195">
      <c r="A1067" s="381">
        <f>IF(AND('NOVIEMBRE 2026'!D21&lt;&gt;"",'NOVIEMBRE 2026'!Z21="POR RECOGER"),"NOV","")</f>
        <v/>
      </c>
      <c r="B1067" s="381">
        <f>IF(AND('NOVIEMBRE 2026'!D21&lt;&gt;"",'NOVIEMBRE 2026'!Z21="POR RECOGER"),IF('NOVIEMBRE 2026'!Y21&lt;&gt;"",'NOVIEMBRE 2026'!Y21,'NOVIEMBRE 2026'!I21),"")</f>
        <v/>
      </c>
      <c r="C1067" s="381">
        <f>IF(AND('NOVIEMBRE 2026'!D21&lt;&gt;"",'NOVIEMBRE 2026'!Z21="POR RECOGER"),'NOVIEMBRE 2026'!D21,"")</f>
        <v/>
      </c>
      <c r="D1067" s="381">
        <f>IF(AND('NOVIEMBRE 2026'!D21&lt;&gt;"",'NOVIEMBRE 2026'!Z21="POR RECOGER"),'NOVIEMBRE 2026'!F21,"")</f>
        <v/>
      </c>
      <c r="E1067" s="381">
        <f>IF(AND('NOVIEMBRE 2026'!D21&lt;&gt;"",'NOVIEMBRE 2026'!Z21="POR RECOGER"),TEXT('NOVIEMBRE 2026'!G21,"DD/MM/YYYY"),"")</f>
        <v/>
      </c>
      <c r="F1067" s="381">
        <f>IF(AND('NOVIEMBRE 2026'!D21&lt;&gt;"",'NOVIEMBRE 2026'!Z21="POR RECOGER"),'NOVIEMBRE 2026'!K21,"")</f>
        <v/>
      </c>
      <c r="G1067" s="382">
        <f>IF(AND('NOVIEMBRE 2026'!D21&lt;&gt;"",'NOVIEMBRE 2026'!Z21="POR RECOGER"),'NOVIEMBRE 2026'!M21,"")</f>
        <v/>
      </c>
      <c r="H1067" s="382">
        <f>IF(AND('NOVIEMBRE 2026'!D21&lt;&gt;"",'NOVIEMBRE 2026'!Z21="POR RECOGER"),'NOVIEMBRE 2026'!N21,"")</f>
        <v/>
      </c>
      <c r="I1067" s="381">
        <f>IF(AND('NOVIEMBRE 2026'!D21&lt;&gt;"",'NOVIEMBRE 2026'!Z21="POR RECOGER"),'NOVIEMBRE 2026'!P21,"")</f>
        <v/>
      </c>
      <c r="J1067" s="381">
        <f>IF(AND('NOVIEMBRE 2026'!D21&lt;&gt;"",'NOVIEMBRE 2026'!Z21="POR RECOGER"),'NOVIEMBRE 2026'!Q21,"")</f>
        <v/>
      </c>
      <c r="K1067" s="381">
        <f>IF(AND('NOVIEMBRE 2026'!D21&lt;&gt;"",'NOVIEMBRE 2026'!Z21="POR RECOGER"),'NOVIEMBRE 2026'!Y21,"")</f>
        <v/>
      </c>
      <c r="L1067" s="381">
        <f>IF(AND('NOVIEMBRE 2026'!D21&lt;&gt;"",'NOVIEMBRE 2026'!Z21="POR RECOGER"),'NOVIEMBRE 2026'!I21,"")</f>
        <v/>
      </c>
      <c r="P1067" s="194" t="n"/>
      <c r="Q1067" s="194" t="n"/>
      <c r="R1067" s="194" t="n"/>
      <c r="S1067" s="194" t="n"/>
      <c r="T1067" s="194" t="n"/>
      <c r="U1067" s="194" t="n"/>
      <c r="V1067" s="194" t="n"/>
      <c r="W1067" s="194" t="n"/>
      <c r="X1067" s="194" t="n"/>
      <c r="Y1067" s="194" t="n"/>
      <c r="Z1067" s="194" t="n"/>
    </row>
    <row r="1068" ht="15" customHeight="1" s="195">
      <c r="A1068" s="381">
        <f>IF(AND('NOVIEMBRE 2026'!D22&lt;&gt;"",'NOVIEMBRE 2026'!Z22="POR RECOGER"),"NOV","")</f>
        <v/>
      </c>
      <c r="B1068" s="381">
        <f>IF(AND('NOVIEMBRE 2026'!D22&lt;&gt;"",'NOVIEMBRE 2026'!Z22="POR RECOGER"),IF('NOVIEMBRE 2026'!Y22&lt;&gt;"",'NOVIEMBRE 2026'!Y22,'NOVIEMBRE 2026'!I22),"")</f>
        <v/>
      </c>
      <c r="C1068" s="381">
        <f>IF(AND('NOVIEMBRE 2026'!D22&lt;&gt;"",'NOVIEMBRE 2026'!Z22="POR RECOGER"),'NOVIEMBRE 2026'!D22,"")</f>
        <v/>
      </c>
      <c r="D1068" s="381">
        <f>IF(AND('NOVIEMBRE 2026'!D22&lt;&gt;"",'NOVIEMBRE 2026'!Z22="POR RECOGER"),'NOVIEMBRE 2026'!F22,"")</f>
        <v/>
      </c>
      <c r="E1068" s="381">
        <f>IF(AND('NOVIEMBRE 2026'!D22&lt;&gt;"",'NOVIEMBRE 2026'!Z22="POR RECOGER"),TEXT('NOVIEMBRE 2026'!G22,"DD/MM/YYYY"),"")</f>
        <v/>
      </c>
      <c r="F1068" s="381">
        <f>IF(AND('NOVIEMBRE 2026'!D22&lt;&gt;"",'NOVIEMBRE 2026'!Z22="POR RECOGER"),'NOVIEMBRE 2026'!K22,"")</f>
        <v/>
      </c>
      <c r="G1068" s="382">
        <f>IF(AND('NOVIEMBRE 2026'!D22&lt;&gt;"",'NOVIEMBRE 2026'!Z22="POR RECOGER"),'NOVIEMBRE 2026'!M22,"")</f>
        <v/>
      </c>
      <c r="H1068" s="382">
        <f>IF(AND('NOVIEMBRE 2026'!D22&lt;&gt;"",'NOVIEMBRE 2026'!Z22="POR RECOGER"),'NOVIEMBRE 2026'!N22,"")</f>
        <v/>
      </c>
      <c r="I1068" s="381">
        <f>IF(AND('NOVIEMBRE 2026'!D22&lt;&gt;"",'NOVIEMBRE 2026'!Z22="POR RECOGER"),'NOVIEMBRE 2026'!P22,"")</f>
        <v/>
      </c>
      <c r="J1068" s="381">
        <f>IF(AND('NOVIEMBRE 2026'!D22&lt;&gt;"",'NOVIEMBRE 2026'!Z22="POR RECOGER"),'NOVIEMBRE 2026'!Q22,"")</f>
        <v/>
      </c>
      <c r="K1068" s="381">
        <f>IF(AND('NOVIEMBRE 2026'!D22&lt;&gt;"",'NOVIEMBRE 2026'!Z22="POR RECOGER"),'NOVIEMBRE 2026'!Y22,"")</f>
        <v/>
      </c>
      <c r="L1068" s="381">
        <f>IF(AND('NOVIEMBRE 2026'!D22&lt;&gt;"",'NOVIEMBRE 2026'!Z22="POR RECOGER"),'NOVIEMBRE 2026'!I22,"")</f>
        <v/>
      </c>
      <c r="P1068" s="194" t="n"/>
      <c r="Q1068" s="194" t="n"/>
      <c r="R1068" s="194" t="n"/>
      <c r="S1068" s="194" t="n"/>
      <c r="T1068" s="194" t="n"/>
      <c r="U1068" s="194" t="n"/>
      <c r="V1068" s="194" t="n"/>
      <c r="W1068" s="194" t="n"/>
      <c r="X1068" s="194" t="n"/>
      <c r="Y1068" s="194" t="n"/>
      <c r="Z1068" s="194" t="n"/>
    </row>
    <row r="1069" ht="15" customHeight="1" s="195">
      <c r="A1069" s="381">
        <f>IF(AND('NOVIEMBRE 2026'!D23&lt;&gt;"",'NOVIEMBRE 2026'!Z23="POR RECOGER"),"NOV","")</f>
        <v/>
      </c>
      <c r="B1069" s="381">
        <f>IF(AND('NOVIEMBRE 2026'!D23&lt;&gt;"",'NOVIEMBRE 2026'!Z23="POR RECOGER"),IF('NOVIEMBRE 2026'!Y23&lt;&gt;"",'NOVIEMBRE 2026'!Y23,'NOVIEMBRE 2026'!I23),"")</f>
        <v/>
      </c>
      <c r="C1069" s="381">
        <f>IF(AND('NOVIEMBRE 2026'!D23&lt;&gt;"",'NOVIEMBRE 2026'!Z23="POR RECOGER"),'NOVIEMBRE 2026'!D23,"")</f>
        <v/>
      </c>
      <c r="D1069" s="381">
        <f>IF(AND('NOVIEMBRE 2026'!D23&lt;&gt;"",'NOVIEMBRE 2026'!Z23="POR RECOGER"),'NOVIEMBRE 2026'!F23,"")</f>
        <v/>
      </c>
      <c r="E1069" s="381">
        <f>IF(AND('NOVIEMBRE 2026'!D23&lt;&gt;"",'NOVIEMBRE 2026'!Z23="POR RECOGER"),TEXT('NOVIEMBRE 2026'!G23,"DD/MM/YYYY"),"")</f>
        <v/>
      </c>
      <c r="F1069" s="381">
        <f>IF(AND('NOVIEMBRE 2026'!D23&lt;&gt;"",'NOVIEMBRE 2026'!Z23="POR RECOGER"),'NOVIEMBRE 2026'!K23,"")</f>
        <v/>
      </c>
      <c r="G1069" s="382">
        <f>IF(AND('NOVIEMBRE 2026'!D23&lt;&gt;"",'NOVIEMBRE 2026'!Z23="POR RECOGER"),'NOVIEMBRE 2026'!M23,"")</f>
        <v/>
      </c>
      <c r="H1069" s="382">
        <f>IF(AND('NOVIEMBRE 2026'!D23&lt;&gt;"",'NOVIEMBRE 2026'!Z23="POR RECOGER"),'NOVIEMBRE 2026'!N23,"")</f>
        <v/>
      </c>
      <c r="I1069" s="381">
        <f>IF(AND('NOVIEMBRE 2026'!D23&lt;&gt;"",'NOVIEMBRE 2026'!Z23="POR RECOGER"),'NOVIEMBRE 2026'!P23,"")</f>
        <v/>
      </c>
      <c r="J1069" s="381">
        <f>IF(AND('NOVIEMBRE 2026'!D23&lt;&gt;"",'NOVIEMBRE 2026'!Z23="POR RECOGER"),'NOVIEMBRE 2026'!Q23,"")</f>
        <v/>
      </c>
      <c r="K1069" s="381">
        <f>IF(AND('NOVIEMBRE 2026'!D23&lt;&gt;"",'NOVIEMBRE 2026'!Z23="POR RECOGER"),'NOVIEMBRE 2026'!Y23,"")</f>
        <v/>
      </c>
      <c r="L1069" s="381">
        <f>IF(AND('NOVIEMBRE 2026'!D23&lt;&gt;"",'NOVIEMBRE 2026'!Z23="POR RECOGER"),'NOVIEMBRE 2026'!I23,"")</f>
        <v/>
      </c>
      <c r="P1069" s="194" t="n"/>
      <c r="Q1069" s="194" t="n"/>
      <c r="R1069" s="194" t="n"/>
      <c r="S1069" s="194" t="n"/>
      <c r="T1069" s="194" t="n"/>
      <c r="U1069" s="194" t="n"/>
      <c r="V1069" s="194" t="n"/>
      <c r="W1069" s="194" t="n"/>
      <c r="X1069" s="194" t="n"/>
      <c r="Y1069" s="194" t="n"/>
      <c r="Z1069" s="194" t="n"/>
    </row>
    <row r="1070" ht="15" customHeight="1" s="195">
      <c r="A1070" s="381">
        <f>IF(AND('NOVIEMBRE 2026'!D24&lt;&gt;"",'NOVIEMBRE 2026'!Z24="POR RECOGER"),"NOV","")</f>
        <v/>
      </c>
      <c r="B1070" s="381">
        <f>IF(AND('NOVIEMBRE 2026'!D24&lt;&gt;"",'NOVIEMBRE 2026'!Z24="POR RECOGER"),IF('NOVIEMBRE 2026'!Y24&lt;&gt;"",'NOVIEMBRE 2026'!Y24,'NOVIEMBRE 2026'!I24),"")</f>
        <v/>
      </c>
      <c r="C1070" s="381">
        <f>IF(AND('NOVIEMBRE 2026'!D24&lt;&gt;"",'NOVIEMBRE 2026'!Z24="POR RECOGER"),'NOVIEMBRE 2026'!D24,"")</f>
        <v/>
      </c>
      <c r="D1070" s="381">
        <f>IF(AND('NOVIEMBRE 2026'!D24&lt;&gt;"",'NOVIEMBRE 2026'!Z24="POR RECOGER"),'NOVIEMBRE 2026'!F24,"")</f>
        <v/>
      </c>
      <c r="E1070" s="381">
        <f>IF(AND('NOVIEMBRE 2026'!D24&lt;&gt;"",'NOVIEMBRE 2026'!Z24="POR RECOGER"),TEXT('NOVIEMBRE 2026'!G24,"DD/MM/YYYY"),"")</f>
        <v/>
      </c>
      <c r="F1070" s="381">
        <f>IF(AND('NOVIEMBRE 2026'!D24&lt;&gt;"",'NOVIEMBRE 2026'!Z24="POR RECOGER"),'NOVIEMBRE 2026'!K24,"")</f>
        <v/>
      </c>
      <c r="G1070" s="382">
        <f>IF(AND('NOVIEMBRE 2026'!D24&lt;&gt;"",'NOVIEMBRE 2026'!Z24="POR RECOGER"),'NOVIEMBRE 2026'!M24,"")</f>
        <v/>
      </c>
      <c r="H1070" s="382">
        <f>IF(AND('NOVIEMBRE 2026'!D24&lt;&gt;"",'NOVIEMBRE 2026'!Z24="POR RECOGER"),'NOVIEMBRE 2026'!N24,"")</f>
        <v/>
      </c>
      <c r="I1070" s="381">
        <f>IF(AND('NOVIEMBRE 2026'!D24&lt;&gt;"",'NOVIEMBRE 2026'!Z24="POR RECOGER"),'NOVIEMBRE 2026'!P24,"")</f>
        <v/>
      </c>
      <c r="J1070" s="381">
        <f>IF(AND('NOVIEMBRE 2026'!D24&lt;&gt;"",'NOVIEMBRE 2026'!Z24="POR RECOGER"),'NOVIEMBRE 2026'!Q24,"")</f>
        <v/>
      </c>
      <c r="K1070" s="381">
        <f>IF(AND('NOVIEMBRE 2026'!D24&lt;&gt;"",'NOVIEMBRE 2026'!Z24="POR RECOGER"),'NOVIEMBRE 2026'!Y24,"")</f>
        <v/>
      </c>
      <c r="L1070" s="381">
        <f>IF(AND('NOVIEMBRE 2026'!D24&lt;&gt;"",'NOVIEMBRE 2026'!Z24="POR RECOGER"),'NOVIEMBRE 2026'!I24,"")</f>
        <v/>
      </c>
      <c r="P1070" s="194" t="n"/>
      <c r="Q1070" s="194" t="n"/>
      <c r="R1070" s="194" t="n"/>
      <c r="S1070" s="194" t="n"/>
      <c r="T1070" s="194" t="n"/>
      <c r="U1070" s="194" t="n"/>
      <c r="V1070" s="194" t="n"/>
      <c r="W1070" s="194" t="n"/>
      <c r="X1070" s="194" t="n"/>
      <c r="Y1070" s="194" t="n"/>
      <c r="Z1070" s="194" t="n"/>
    </row>
    <row r="1071" ht="15" customHeight="1" s="195">
      <c r="A1071" s="381">
        <f>IF(AND('NOVIEMBRE 2026'!D25&lt;&gt;"",'NOVIEMBRE 2026'!Z25="POR RECOGER"),"NOV","")</f>
        <v/>
      </c>
      <c r="B1071" s="381">
        <f>IF(AND('NOVIEMBRE 2026'!D25&lt;&gt;"",'NOVIEMBRE 2026'!Z25="POR RECOGER"),IF('NOVIEMBRE 2026'!Y25&lt;&gt;"",'NOVIEMBRE 2026'!Y25,'NOVIEMBRE 2026'!I25),"")</f>
        <v/>
      </c>
      <c r="C1071" s="381">
        <f>IF(AND('NOVIEMBRE 2026'!D25&lt;&gt;"",'NOVIEMBRE 2026'!Z25="POR RECOGER"),'NOVIEMBRE 2026'!D25,"")</f>
        <v/>
      </c>
      <c r="D1071" s="381">
        <f>IF(AND('NOVIEMBRE 2026'!D25&lt;&gt;"",'NOVIEMBRE 2026'!Z25="POR RECOGER"),'NOVIEMBRE 2026'!F25,"")</f>
        <v/>
      </c>
      <c r="E1071" s="381">
        <f>IF(AND('NOVIEMBRE 2026'!D25&lt;&gt;"",'NOVIEMBRE 2026'!Z25="POR RECOGER"),TEXT('NOVIEMBRE 2026'!G25,"DD/MM/YYYY"),"")</f>
        <v/>
      </c>
      <c r="F1071" s="381">
        <f>IF(AND('NOVIEMBRE 2026'!D25&lt;&gt;"",'NOVIEMBRE 2026'!Z25="POR RECOGER"),'NOVIEMBRE 2026'!K25,"")</f>
        <v/>
      </c>
      <c r="G1071" s="382">
        <f>IF(AND('NOVIEMBRE 2026'!D25&lt;&gt;"",'NOVIEMBRE 2026'!Z25="POR RECOGER"),'NOVIEMBRE 2026'!M25,"")</f>
        <v/>
      </c>
      <c r="H1071" s="382">
        <f>IF(AND('NOVIEMBRE 2026'!D25&lt;&gt;"",'NOVIEMBRE 2026'!Z25="POR RECOGER"),'NOVIEMBRE 2026'!N25,"")</f>
        <v/>
      </c>
      <c r="I1071" s="381">
        <f>IF(AND('NOVIEMBRE 2026'!D25&lt;&gt;"",'NOVIEMBRE 2026'!Z25="POR RECOGER"),'NOVIEMBRE 2026'!P25,"")</f>
        <v/>
      </c>
      <c r="J1071" s="381">
        <f>IF(AND('NOVIEMBRE 2026'!D25&lt;&gt;"",'NOVIEMBRE 2026'!Z25="POR RECOGER"),'NOVIEMBRE 2026'!Q25,"")</f>
        <v/>
      </c>
      <c r="K1071" s="381">
        <f>IF(AND('NOVIEMBRE 2026'!D25&lt;&gt;"",'NOVIEMBRE 2026'!Z25="POR RECOGER"),'NOVIEMBRE 2026'!Y25,"")</f>
        <v/>
      </c>
      <c r="L1071" s="381">
        <f>IF(AND('NOVIEMBRE 2026'!D25&lt;&gt;"",'NOVIEMBRE 2026'!Z25="POR RECOGER"),'NOVIEMBRE 2026'!I25,"")</f>
        <v/>
      </c>
      <c r="P1071" s="194" t="n"/>
      <c r="Q1071" s="194" t="n"/>
      <c r="R1071" s="194" t="n"/>
      <c r="S1071" s="194" t="n"/>
      <c r="T1071" s="194" t="n"/>
      <c r="U1071" s="194" t="n"/>
      <c r="V1071" s="194" t="n"/>
      <c r="W1071" s="194" t="n"/>
      <c r="X1071" s="194" t="n"/>
      <c r="Y1071" s="194" t="n"/>
      <c r="Z1071" s="194" t="n"/>
    </row>
    <row r="1072" ht="15" customHeight="1" s="195">
      <c r="A1072" s="381">
        <f>IF(AND('NOVIEMBRE 2026'!D26&lt;&gt;"",'NOVIEMBRE 2026'!Z26="POR RECOGER"),"NOV","")</f>
        <v/>
      </c>
      <c r="B1072" s="381">
        <f>IF(AND('NOVIEMBRE 2026'!D26&lt;&gt;"",'NOVIEMBRE 2026'!Z26="POR RECOGER"),IF('NOVIEMBRE 2026'!Y26&lt;&gt;"",'NOVIEMBRE 2026'!Y26,'NOVIEMBRE 2026'!I26),"")</f>
        <v/>
      </c>
      <c r="C1072" s="381">
        <f>IF(AND('NOVIEMBRE 2026'!D26&lt;&gt;"",'NOVIEMBRE 2026'!Z26="POR RECOGER"),'NOVIEMBRE 2026'!D26,"")</f>
        <v/>
      </c>
      <c r="D1072" s="381">
        <f>IF(AND('NOVIEMBRE 2026'!D26&lt;&gt;"",'NOVIEMBRE 2026'!Z26="POR RECOGER"),'NOVIEMBRE 2026'!F26,"")</f>
        <v/>
      </c>
      <c r="E1072" s="381">
        <f>IF(AND('NOVIEMBRE 2026'!D26&lt;&gt;"",'NOVIEMBRE 2026'!Z26="POR RECOGER"),TEXT('NOVIEMBRE 2026'!G26,"DD/MM/YYYY"),"")</f>
        <v/>
      </c>
      <c r="F1072" s="381">
        <f>IF(AND('NOVIEMBRE 2026'!D26&lt;&gt;"",'NOVIEMBRE 2026'!Z26="POR RECOGER"),'NOVIEMBRE 2026'!K26,"")</f>
        <v/>
      </c>
      <c r="G1072" s="382">
        <f>IF(AND('NOVIEMBRE 2026'!D26&lt;&gt;"",'NOVIEMBRE 2026'!Z26="POR RECOGER"),'NOVIEMBRE 2026'!M26,"")</f>
        <v/>
      </c>
      <c r="H1072" s="382">
        <f>IF(AND('NOVIEMBRE 2026'!D26&lt;&gt;"",'NOVIEMBRE 2026'!Z26="POR RECOGER"),'NOVIEMBRE 2026'!N26,"")</f>
        <v/>
      </c>
      <c r="I1072" s="381">
        <f>IF(AND('NOVIEMBRE 2026'!D26&lt;&gt;"",'NOVIEMBRE 2026'!Z26="POR RECOGER"),'NOVIEMBRE 2026'!P26,"")</f>
        <v/>
      </c>
      <c r="J1072" s="381">
        <f>IF(AND('NOVIEMBRE 2026'!D26&lt;&gt;"",'NOVIEMBRE 2026'!Z26="POR RECOGER"),'NOVIEMBRE 2026'!Q26,"")</f>
        <v/>
      </c>
      <c r="K1072" s="381">
        <f>IF(AND('NOVIEMBRE 2026'!D26&lt;&gt;"",'NOVIEMBRE 2026'!Z26="POR RECOGER"),'NOVIEMBRE 2026'!Y26,"")</f>
        <v/>
      </c>
      <c r="L1072" s="381">
        <f>IF(AND('NOVIEMBRE 2026'!D26&lt;&gt;"",'NOVIEMBRE 2026'!Z26="POR RECOGER"),'NOVIEMBRE 2026'!I26,"")</f>
        <v/>
      </c>
      <c r="P1072" s="194" t="n"/>
      <c r="Q1072" s="194" t="n"/>
      <c r="R1072" s="194" t="n"/>
      <c r="S1072" s="194" t="n"/>
      <c r="T1072" s="194" t="n"/>
      <c r="U1072" s="194" t="n"/>
      <c r="V1072" s="194" t="n"/>
      <c r="W1072" s="194" t="n"/>
      <c r="X1072" s="194" t="n"/>
      <c r="Y1072" s="194" t="n"/>
      <c r="Z1072" s="194" t="n"/>
    </row>
    <row r="1073" ht="15" customHeight="1" s="195">
      <c r="A1073" s="381">
        <f>IF(AND('NOVIEMBRE 2026'!D27&lt;&gt;"",'NOVIEMBRE 2026'!Z27="POR RECOGER"),"NOV","")</f>
        <v/>
      </c>
      <c r="B1073" s="381">
        <f>IF(AND('NOVIEMBRE 2026'!D27&lt;&gt;"",'NOVIEMBRE 2026'!Z27="POR RECOGER"),IF('NOVIEMBRE 2026'!Y27&lt;&gt;"",'NOVIEMBRE 2026'!Y27,'NOVIEMBRE 2026'!I27),"")</f>
        <v/>
      </c>
      <c r="C1073" s="381">
        <f>IF(AND('NOVIEMBRE 2026'!D27&lt;&gt;"",'NOVIEMBRE 2026'!Z27="POR RECOGER"),'NOVIEMBRE 2026'!D27,"")</f>
        <v/>
      </c>
      <c r="D1073" s="381">
        <f>IF(AND('NOVIEMBRE 2026'!D27&lt;&gt;"",'NOVIEMBRE 2026'!Z27="POR RECOGER"),'NOVIEMBRE 2026'!F27,"")</f>
        <v/>
      </c>
      <c r="E1073" s="381">
        <f>IF(AND('NOVIEMBRE 2026'!D27&lt;&gt;"",'NOVIEMBRE 2026'!Z27="POR RECOGER"),TEXT('NOVIEMBRE 2026'!G27,"DD/MM/YYYY"),"")</f>
        <v/>
      </c>
      <c r="F1073" s="381">
        <f>IF(AND('NOVIEMBRE 2026'!D27&lt;&gt;"",'NOVIEMBRE 2026'!Z27="POR RECOGER"),'NOVIEMBRE 2026'!K27,"")</f>
        <v/>
      </c>
      <c r="G1073" s="382">
        <f>IF(AND('NOVIEMBRE 2026'!D27&lt;&gt;"",'NOVIEMBRE 2026'!Z27="POR RECOGER"),'NOVIEMBRE 2026'!M27,"")</f>
        <v/>
      </c>
      <c r="H1073" s="382">
        <f>IF(AND('NOVIEMBRE 2026'!D27&lt;&gt;"",'NOVIEMBRE 2026'!Z27="POR RECOGER"),'NOVIEMBRE 2026'!N27,"")</f>
        <v/>
      </c>
      <c r="I1073" s="381">
        <f>IF(AND('NOVIEMBRE 2026'!D27&lt;&gt;"",'NOVIEMBRE 2026'!Z27="POR RECOGER"),'NOVIEMBRE 2026'!P27,"")</f>
        <v/>
      </c>
      <c r="J1073" s="381">
        <f>IF(AND('NOVIEMBRE 2026'!D27&lt;&gt;"",'NOVIEMBRE 2026'!Z27="POR RECOGER"),'NOVIEMBRE 2026'!Q27,"")</f>
        <v/>
      </c>
      <c r="K1073" s="381">
        <f>IF(AND('NOVIEMBRE 2026'!D27&lt;&gt;"",'NOVIEMBRE 2026'!Z27="POR RECOGER"),'NOVIEMBRE 2026'!Y27,"")</f>
        <v/>
      </c>
      <c r="L1073" s="381">
        <f>IF(AND('NOVIEMBRE 2026'!D27&lt;&gt;"",'NOVIEMBRE 2026'!Z27="POR RECOGER"),'NOVIEMBRE 2026'!I27,"")</f>
        <v/>
      </c>
      <c r="P1073" s="194" t="n"/>
      <c r="Q1073" s="194" t="n"/>
      <c r="R1073" s="194" t="n"/>
      <c r="S1073" s="194" t="n"/>
      <c r="T1073" s="194" t="n"/>
      <c r="U1073" s="194" t="n"/>
      <c r="V1073" s="194" t="n"/>
      <c r="W1073" s="194" t="n"/>
      <c r="X1073" s="194" t="n"/>
      <c r="Y1073" s="194" t="n"/>
      <c r="Z1073" s="194" t="n"/>
    </row>
    <row r="1074" ht="15" customHeight="1" s="195">
      <c r="A1074" s="381">
        <f>IF(AND('NOVIEMBRE 2026'!D28&lt;&gt;"",'NOVIEMBRE 2026'!Z28="POR RECOGER"),"NOV","")</f>
        <v/>
      </c>
      <c r="B1074" s="381">
        <f>IF(AND('NOVIEMBRE 2026'!D28&lt;&gt;"",'NOVIEMBRE 2026'!Z28="POR RECOGER"),IF('NOVIEMBRE 2026'!Y28&lt;&gt;"",'NOVIEMBRE 2026'!Y28,'NOVIEMBRE 2026'!I28),"")</f>
        <v/>
      </c>
      <c r="C1074" s="381">
        <f>IF(AND('NOVIEMBRE 2026'!D28&lt;&gt;"",'NOVIEMBRE 2026'!Z28="POR RECOGER"),'NOVIEMBRE 2026'!D28,"")</f>
        <v/>
      </c>
      <c r="D1074" s="381">
        <f>IF(AND('NOVIEMBRE 2026'!D28&lt;&gt;"",'NOVIEMBRE 2026'!Z28="POR RECOGER"),'NOVIEMBRE 2026'!F28,"")</f>
        <v/>
      </c>
      <c r="E1074" s="381">
        <f>IF(AND('NOVIEMBRE 2026'!D28&lt;&gt;"",'NOVIEMBRE 2026'!Z28="POR RECOGER"),TEXT('NOVIEMBRE 2026'!G28,"DD/MM/YYYY"),"")</f>
        <v/>
      </c>
      <c r="F1074" s="381">
        <f>IF(AND('NOVIEMBRE 2026'!D28&lt;&gt;"",'NOVIEMBRE 2026'!Z28="POR RECOGER"),'NOVIEMBRE 2026'!K28,"")</f>
        <v/>
      </c>
      <c r="G1074" s="382">
        <f>IF(AND('NOVIEMBRE 2026'!D28&lt;&gt;"",'NOVIEMBRE 2026'!Z28="POR RECOGER"),'NOVIEMBRE 2026'!M28,"")</f>
        <v/>
      </c>
      <c r="H1074" s="382">
        <f>IF(AND('NOVIEMBRE 2026'!D28&lt;&gt;"",'NOVIEMBRE 2026'!Z28="POR RECOGER"),'NOVIEMBRE 2026'!N28,"")</f>
        <v/>
      </c>
      <c r="I1074" s="381">
        <f>IF(AND('NOVIEMBRE 2026'!D28&lt;&gt;"",'NOVIEMBRE 2026'!Z28="POR RECOGER"),'NOVIEMBRE 2026'!P28,"")</f>
        <v/>
      </c>
      <c r="J1074" s="381">
        <f>IF(AND('NOVIEMBRE 2026'!D28&lt;&gt;"",'NOVIEMBRE 2026'!Z28="POR RECOGER"),'NOVIEMBRE 2026'!Q28,"")</f>
        <v/>
      </c>
      <c r="K1074" s="381">
        <f>IF(AND('NOVIEMBRE 2026'!D28&lt;&gt;"",'NOVIEMBRE 2026'!Z28="POR RECOGER"),'NOVIEMBRE 2026'!Y28,"")</f>
        <v/>
      </c>
      <c r="L1074" s="381">
        <f>IF(AND('NOVIEMBRE 2026'!D28&lt;&gt;"",'NOVIEMBRE 2026'!Z28="POR RECOGER"),'NOVIEMBRE 2026'!I28,"")</f>
        <v/>
      </c>
      <c r="P1074" s="194" t="n"/>
      <c r="Q1074" s="194" t="n"/>
      <c r="R1074" s="194" t="n"/>
      <c r="S1074" s="194" t="n"/>
      <c r="T1074" s="194" t="n"/>
      <c r="U1074" s="194" t="n"/>
      <c r="V1074" s="194" t="n"/>
      <c r="W1074" s="194" t="n"/>
      <c r="X1074" s="194" t="n"/>
      <c r="Y1074" s="194" t="n"/>
      <c r="Z1074" s="194" t="n"/>
    </row>
    <row r="1075" ht="15" customHeight="1" s="195">
      <c r="A1075" s="381">
        <f>IF(AND('NOVIEMBRE 2026'!D29&lt;&gt;"",'NOVIEMBRE 2026'!Z29="POR RECOGER"),"NOV","")</f>
        <v/>
      </c>
      <c r="B1075" s="381">
        <f>IF(AND('NOVIEMBRE 2026'!D29&lt;&gt;"",'NOVIEMBRE 2026'!Z29="POR RECOGER"),IF('NOVIEMBRE 2026'!Y29&lt;&gt;"",'NOVIEMBRE 2026'!Y29,'NOVIEMBRE 2026'!I29),"")</f>
        <v/>
      </c>
      <c r="C1075" s="381">
        <f>IF(AND('NOVIEMBRE 2026'!D29&lt;&gt;"",'NOVIEMBRE 2026'!Z29="POR RECOGER"),'NOVIEMBRE 2026'!D29,"")</f>
        <v/>
      </c>
      <c r="D1075" s="381">
        <f>IF(AND('NOVIEMBRE 2026'!D29&lt;&gt;"",'NOVIEMBRE 2026'!Z29="POR RECOGER"),'NOVIEMBRE 2026'!F29,"")</f>
        <v/>
      </c>
      <c r="E1075" s="381">
        <f>IF(AND('NOVIEMBRE 2026'!D29&lt;&gt;"",'NOVIEMBRE 2026'!Z29="POR RECOGER"),TEXT('NOVIEMBRE 2026'!G29,"DD/MM/YYYY"),"")</f>
        <v/>
      </c>
      <c r="F1075" s="381">
        <f>IF(AND('NOVIEMBRE 2026'!D29&lt;&gt;"",'NOVIEMBRE 2026'!Z29="POR RECOGER"),'NOVIEMBRE 2026'!K29,"")</f>
        <v/>
      </c>
      <c r="G1075" s="382">
        <f>IF(AND('NOVIEMBRE 2026'!D29&lt;&gt;"",'NOVIEMBRE 2026'!Z29="POR RECOGER"),'NOVIEMBRE 2026'!M29,"")</f>
        <v/>
      </c>
      <c r="H1075" s="382">
        <f>IF(AND('NOVIEMBRE 2026'!D29&lt;&gt;"",'NOVIEMBRE 2026'!Z29="POR RECOGER"),'NOVIEMBRE 2026'!N29,"")</f>
        <v/>
      </c>
      <c r="I1075" s="381">
        <f>IF(AND('NOVIEMBRE 2026'!D29&lt;&gt;"",'NOVIEMBRE 2026'!Z29="POR RECOGER"),'NOVIEMBRE 2026'!P29,"")</f>
        <v/>
      </c>
      <c r="J1075" s="381">
        <f>IF(AND('NOVIEMBRE 2026'!D29&lt;&gt;"",'NOVIEMBRE 2026'!Z29="POR RECOGER"),'NOVIEMBRE 2026'!Q29,"")</f>
        <v/>
      </c>
      <c r="K1075" s="381">
        <f>IF(AND('NOVIEMBRE 2026'!D29&lt;&gt;"",'NOVIEMBRE 2026'!Z29="POR RECOGER"),'NOVIEMBRE 2026'!Y29,"")</f>
        <v/>
      </c>
      <c r="L1075" s="381">
        <f>IF(AND('NOVIEMBRE 2026'!D29&lt;&gt;"",'NOVIEMBRE 2026'!Z29="POR RECOGER"),'NOVIEMBRE 2026'!I29,"")</f>
        <v/>
      </c>
      <c r="P1075" s="194" t="n"/>
      <c r="Q1075" s="194" t="n"/>
      <c r="R1075" s="194" t="n"/>
      <c r="S1075" s="194" t="n"/>
      <c r="T1075" s="194" t="n"/>
      <c r="U1075" s="194" t="n"/>
      <c r="V1075" s="194" t="n"/>
      <c r="W1075" s="194" t="n"/>
      <c r="X1075" s="194" t="n"/>
      <c r="Y1075" s="194" t="n"/>
      <c r="Z1075" s="194" t="n"/>
    </row>
    <row r="1076" ht="15" customHeight="1" s="195">
      <c r="A1076" s="381">
        <f>IF(AND('NOVIEMBRE 2026'!D30&lt;&gt;"",'NOVIEMBRE 2026'!Z30="POR RECOGER"),"NOV","")</f>
        <v/>
      </c>
      <c r="B1076" s="381">
        <f>IF(AND('NOVIEMBRE 2026'!D30&lt;&gt;"",'NOVIEMBRE 2026'!Z30="POR RECOGER"),IF('NOVIEMBRE 2026'!Y30&lt;&gt;"",'NOVIEMBRE 2026'!Y30,'NOVIEMBRE 2026'!I30),"")</f>
        <v/>
      </c>
      <c r="C1076" s="381">
        <f>IF(AND('NOVIEMBRE 2026'!D30&lt;&gt;"",'NOVIEMBRE 2026'!Z30="POR RECOGER"),'NOVIEMBRE 2026'!D30,"")</f>
        <v/>
      </c>
      <c r="D1076" s="381">
        <f>IF(AND('NOVIEMBRE 2026'!D30&lt;&gt;"",'NOVIEMBRE 2026'!Z30="POR RECOGER"),'NOVIEMBRE 2026'!F30,"")</f>
        <v/>
      </c>
      <c r="E1076" s="381">
        <f>IF(AND('NOVIEMBRE 2026'!D30&lt;&gt;"",'NOVIEMBRE 2026'!Z30="POR RECOGER"),TEXT('NOVIEMBRE 2026'!G30,"DD/MM/YYYY"),"")</f>
        <v/>
      </c>
      <c r="F1076" s="381">
        <f>IF(AND('NOVIEMBRE 2026'!D30&lt;&gt;"",'NOVIEMBRE 2026'!Z30="POR RECOGER"),'NOVIEMBRE 2026'!K30,"")</f>
        <v/>
      </c>
      <c r="G1076" s="382">
        <f>IF(AND('NOVIEMBRE 2026'!D30&lt;&gt;"",'NOVIEMBRE 2026'!Z30="POR RECOGER"),'NOVIEMBRE 2026'!M30,"")</f>
        <v/>
      </c>
      <c r="H1076" s="382">
        <f>IF(AND('NOVIEMBRE 2026'!D30&lt;&gt;"",'NOVIEMBRE 2026'!Z30="POR RECOGER"),'NOVIEMBRE 2026'!N30,"")</f>
        <v/>
      </c>
      <c r="I1076" s="381">
        <f>IF(AND('NOVIEMBRE 2026'!D30&lt;&gt;"",'NOVIEMBRE 2026'!Z30="POR RECOGER"),'NOVIEMBRE 2026'!P30,"")</f>
        <v/>
      </c>
      <c r="J1076" s="381">
        <f>IF(AND('NOVIEMBRE 2026'!D30&lt;&gt;"",'NOVIEMBRE 2026'!Z30="POR RECOGER"),'NOVIEMBRE 2026'!Q30,"")</f>
        <v/>
      </c>
      <c r="K1076" s="381">
        <f>IF(AND('NOVIEMBRE 2026'!D30&lt;&gt;"",'NOVIEMBRE 2026'!Z30="POR RECOGER"),'NOVIEMBRE 2026'!Y30,"")</f>
        <v/>
      </c>
      <c r="L1076" s="381">
        <f>IF(AND('NOVIEMBRE 2026'!D30&lt;&gt;"",'NOVIEMBRE 2026'!Z30="POR RECOGER"),'NOVIEMBRE 2026'!I30,"")</f>
        <v/>
      </c>
      <c r="P1076" s="194" t="n"/>
      <c r="Q1076" s="194" t="n"/>
      <c r="R1076" s="194" t="n"/>
      <c r="S1076" s="194" t="n"/>
      <c r="T1076" s="194" t="n"/>
      <c r="U1076" s="194" t="n"/>
      <c r="V1076" s="194" t="n"/>
      <c r="W1076" s="194" t="n"/>
      <c r="X1076" s="194" t="n"/>
      <c r="Y1076" s="194" t="n"/>
      <c r="Z1076" s="194" t="n"/>
    </row>
    <row r="1077" ht="15" customHeight="1" s="195">
      <c r="A1077" s="381">
        <f>IF(AND('NOVIEMBRE 2026'!D31&lt;&gt;"",'NOVIEMBRE 2026'!Z31="POR RECOGER"),"NOV","")</f>
        <v/>
      </c>
      <c r="B1077" s="381">
        <f>IF(AND('NOVIEMBRE 2026'!D31&lt;&gt;"",'NOVIEMBRE 2026'!Z31="POR RECOGER"),IF('NOVIEMBRE 2026'!Y31&lt;&gt;"",'NOVIEMBRE 2026'!Y31,'NOVIEMBRE 2026'!I31),"")</f>
        <v/>
      </c>
      <c r="C1077" s="381">
        <f>IF(AND('NOVIEMBRE 2026'!D31&lt;&gt;"",'NOVIEMBRE 2026'!Z31="POR RECOGER"),'NOVIEMBRE 2026'!D31,"")</f>
        <v/>
      </c>
      <c r="D1077" s="381">
        <f>IF(AND('NOVIEMBRE 2026'!D31&lt;&gt;"",'NOVIEMBRE 2026'!Z31="POR RECOGER"),'NOVIEMBRE 2026'!F31,"")</f>
        <v/>
      </c>
      <c r="E1077" s="381">
        <f>IF(AND('NOVIEMBRE 2026'!D31&lt;&gt;"",'NOVIEMBRE 2026'!Z31="POR RECOGER"),TEXT('NOVIEMBRE 2026'!G31,"DD/MM/YYYY"),"")</f>
        <v/>
      </c>
      <c r="F1077" s="381">
        <f>IF(AND('NOVIEMBRE 2026'!D31&lt;&gt;"",'NOVIEMBRE 2026'!Z31="POR RECOGER"),'NOVIEMBRE 2026'!K31,"")</f>
        <v/>
      </c>
      <c r="G1077" s="382">
        <f>IF(AND('NOVIEMBRE 2026'!D31&lt;&gt;"",'NOVIEMBRE 2026'!Z31="POR RECOGER"),'NOVIEMBRE 2026'!M31,"")</f>
        <v/>
      </c>
      <c r="H1077" s="382">
        <f>IF(AND('NOVIEMBRE 2026'!D31&lt;&gt;"",'NOVIEMBRE 2026'!Z31="POR RECOGER"),'NOVIEMBRE 2026'!N31,"")</f>
        <v/>
      </c>
      <c r="I1077" s="381">
        <f>IF(AND('NOVIEMBRE 2026'!D31&lt;&gt;"",'NOVIEMBRE 2026'!Z31="POR RECOGER"),'NOVIEMBRE 2026'!P31,"")</f>
        <v/>
      </c>
      <c r="J1077" s="381">
        <f>IF(AND('NOVIEMBRE 2026'!D31&lt;&gt;"",'NOVIEMBRE 2026'!Z31="POR RECOGER"),'NOVIEMBRE 2026'!Q31,"")</f>
        <v/>
      </c>
      <c r="K1077" s="381">
        <f>IF(AND('NOVIEMBRE 2026'!D31&lt;&gt;"",'NOVIEMBRE 2026'!Z31="POR RECOGER"),'NOVIEMBRE 2026'!Y31,"")</f>
        <v/>
      </c>
      <c r="L1077" s="381">
        <f>IF(AND('NOVIEMBRE 2026'!D31&lt;&gt;"",'NOVIEMBRE 2026'!Z31="POR RECOGER"),'NOVIEMBRE 2026'!I31,"")</f>
        <v/>
      </c>
      <c r="P1077" s="194" t="n"/>
      <c r="Q1077" s="194" t="n"/>
      <c r="R1077" s="194" t="n"/>
      <c r="S1077" s="194" t="n"/>
      <c r="T1077" s="194" t="n"/>
      <c r="U1077" s="194" t="n"/>
      <c r="V1077" s="194" t="n"/>
      <c r="W1077" s="194" t="n"/>
      <c r="X1077" s="194" t="n"/>
      <c r="Y1077" s="194" t="n"/>
      <c r="Z1077" s="194" t="n"/>
    </row>
    <row r="1078" ht="15" customHeight="1" s="195">
      <c r="A1078" s="381">
        <f>IF(AND('NOVIEMBRE 2026'!D32&lt;&gt;"",'NOVIEMBRE 2026'!Z32="POR RECOGER"),"NOV","")</f>
        <v/>
      </c>
      <c r="B1078" s="381">
        <f>IF(AND('NOVIEMBRE 2026'!D32&lt;&gt;"",'NOVIEMBRE 2026'!Z32="POR RECOGER"),IF('NOVIEMBRE 2026'!Y32&lt;&gt;"",'NOVIEMBRE 2026'!Y32,'NOVIEMBRE 2026'!I32),"")</f>
        <v/>
      </c>
      <c r="C1078" s="381">
        <f>IF(AND('NOVIEMBRE 2026'!D32&lt;&gt;"",'NOVIEMBRE 2026'!Z32="POR RECOGER"),'NOVIEMBRE 2026'!D32,"")</f>
        <v/>
      </c>
      <c r="D1078" s="381">
        <f>IF(AND('NOVIEMBRE 2026'!D32&lt;&gt;"",'NOVIEMBRE 2026'!Z32="POR RECOGER"),'NOVIEMBRE 2026'!F32,"")</f>
        <v/>
      </c>
      <c r="E1078" s="381">
        <f>IF(AND('NOVIEMBRE 2026'!D32&lt;&gt;"",'NOVIEMBRE 2026'!Z32="POR RECOGER"),TEXT('NOVIEMBRE 2026'!G32,"DD/MM/YYYY"),"")</f>
        <v/>
      </c>
      <c r="F1078" s="381">
        <f>IF(AND('NOVIEMBRE 2026'!D32&lt;&gt;"",'NOVIEMBRE 2026'!Z32="POR RECOGER"),'NOVIEMBRE 2026'!K32,"")</f>
        <v/>
      </c>
      <c r="G1078" s="382">
        <f>IF(AND('NOVIEMBRE 2026'!D32&lt;&gt;"",'NOVIEMBRE 2026'!Z32="POR RECOGER"),'NOVIEMBRE 2026'!M32,"")</f>
        <v/>
      </c>
      <c r="H1078" s="382">
        <f>IF(AND('NOVIEMBRE 2026'!D32&lt;&gt;"",'NOVIEMBRE 2026'!Z32="POR RECOGER"),'NOVIEMBRE 2026'!N32,"")</f>
        <v/>
      </c>
      <c r="I1078" s="381">
        <f>IF(AND('NOVIEMBRE 2026'!D32&lt;&gt;"",'NOVIEMBRE 2026'!Z32="POR RECOGER"),'NOVIEMBRE 2026'!P32,"")</f>
        <v/>
      </c>
      <c r="J1078" s="381">
        <f>IF(AND('NOVIEMBRE 2026'!D32&lt;&gt;"",'NOVIEMBRE 2026'!Z32="POR RECOGER"),'NOVIEMBRE 2026'!Q32,"")</f>
        <v/>
      </c>
      <c r="K1078" s="381">
        <f>IF(AND('NOVIEMBRE 2026'!D32&lt;&gt;"",'NOVIEMBRE 2026'!Z32="POR RECOGER"),'NOVIEMBRE 2026'!Y32,"")</f>
        <v/>
      </c>
      <c r="L1078" s="381">
        <f>IF(AND('NOVIEMBRE 2026'!D32&lt;&gt;"",'NOVIEMBRE 2026'!Z32="POR RECOGER"),'NOVIEMBRE 2026'!I32,"")</f>
        <v/>
      </c>
      <c r="P1078" s="194" t="n"/>
      <c r="Q1078" s="194" t="n"/>
      <c r="R1078" s="194" t="n"/>
      <c r="S1078" s="194" t="n"/>
      <c r="T1078" s="194" t="n"/>
      <c r="U1078" s="194" t="n"/>
      <c r="V1078" s="194" t="n"/>
      <c r="W1078" s="194" t="n"/>
      <c r="X1078" s="194" t="n"/>
      <c r="Y1078" s="194" t="n"/>
      <c r="Z1078" s="194" t="n"/>
    </row>
    <row r="1079" ht="15" customHeight="1" s="195">
      <c r="A1079" s="381">
        <f>IF(AND('NOVIEMBRE 2026'!D33&lt;&gt;"",'NOVIEMBRE 2026'!Z33="POR RECOGER"),"NOV","")</f>
        <v/>
      </c>
      <c r="B1079" s="381">
        <f>IF(AND('NOVIEMBRE 2026'!D33&lt;&gt;"",'NOVIEMBRE 2026'!Z33="POR RECOGER"),IF('NOVIEMBRE 2026'!Y33&lt;&gt;"",'NOVIEMBRE 2026'!Y33,'NOVIEMBRE 2026'!I33),"")</f>
        <v/>
      </c>
      <c r="C1079" s="381">
        <f>IF(AND('NOVIEMBRE 2026'!D33&lt;&gt;"",'NOVIEMBRE 2026'!Z33="POR RECOGER"),'NOVIEMBRE 2026'!D33,"")</f>
        <v/>
      </c>
      <c r="D1079" s="381">
        <f>IF(AND('NOVIEMBRE 2026'!D33&lt;&gt;"",'NOVIEMBRE 2026'!Z33="POR RECOGER"),'NOVIEMBRE 2026'!F33,"")</f>
        <v/>
      </c>
      <c r="E1079" s="381">
        <f>IF(AND('NOVIEMBRE 2026'!D33&lt;&gt;"",'NOVIEMBRE 2026'!Z33="POR RECOGER"),TEXT('NOVIEMBRE 2026'!G33,"DD/MM/YYYY"),"")</f>
        <v/>
      </c>
      <c r="F1079" s="381">
        <f>IF(AND('NOVIEMBRE 2026'!D33&lt;&gt;"",'NOVIEMBRE 2026'!Z33="POR RECOGER"),'NOVIEMBRE 2026'!K33,"")</f>
        <v/>
      </c>
      <c r="G1079" s="382">
        <f>IF(AND('NOVIEMBRE 2026'!D33&lt;&gt;"",'NOVIEMBRE 2026'!Z33="POR RECOGER"),'NOVIEMBRE 2026'!M33,"")</f>
        <v/>
      </c>
      <c r="H1079" s="382">
        <f>IF(AND('NOVIEMBRE 2026'!D33&lt;&gt;"",'NOVIEMBRE 2026'!Z33="POR RECOGER"),'NOVIEMBRE 2026'!N33,"")</f>
        <v/>
      </c>
      <c r="I1079" s="381">
        <f>IF(AND('NOVIEMBRE 2026'!D33&lt;&gt;"",'NOVIEMBRE 2026'!Z33="POR RECOGER"),'NOVIEMBRE 2026'!P33,"")</f>
        <v/>
      </c>
      <c r="J1079" s="381">
        <f>IF(AND('NOVIEMBRE 2026'!D33&lt;&gt;"",'NOVIEMBRE 2026'!Z33="POR RECOGER"),'NOVIEMBRE 2026'!Q33,"")</f>
        <v/>
      </c>
      <c r="K1079" s="381">
        <f>IF(AND('NOVIEMBRE 2026'!D33&lt;&gt;"",'NOVIEMBRE 2026'!Z33="POR RECOGER"),'NOVIEMBRE 2026'!Y33,"")</f>
        <v/>
      </c>
      <c r="L1079" s="381">
        <f>IF(AND('NOVIEMBRE 2026'!D33&lt;&gt;"",'NOVIEMBRE 2026'!Z33="POR RECOGER"),'NOVIEMBRE 2026'!I33,"")</f>
        <v/>
      </c>
      <c r="P1079" s="194" t="n"/>
      <c r="Q1079" s="194" t="n"/>
      <c r="R1079" s="194" t="n"/>
      <c r="S1079" s="194" t="n"/>
      <c r="T1079" s="194" t="n"/>
      <c r="U1079" s="194" t="n"/>
      <c r="V1079" s="194" t="n"/>
      <c r="W1079" s="194" t="n"/>
      <c r="X1079" s="194" t="n"/>
      <c r="Y1079" s="194" t="n"/>
      <c r="Z1079" s="194" t="n"/>
    </row>
    <row r="1080" ht="15" customHeight="1" s="195">
      <c r="A1080" s="381">
        <f>IF(AND('NOVIEMBRE 2026'!D34&lt;&gt;"",'NOVIEMBRE 2026'!Z34="POR RECOGER"),"NOV","")</f>
        <v/>
      </c>
      <c r="B1080" s="381">
        <f>IF(AND('NOVIEMBRE 2026'!D34&lt;&gt;"",'NOVIEMBRE 2026'!Z34="POR RECOGER"),IF('NOVIEMBRE 2026'!Y34&lt;&gt;"",'NOVIEMBRE 2026'!Y34,'NOVIEMBRE 2026'!I34),"")</f>
        <v/>
      </c>
      <c r="C1080" s="381">
        <f>IF(AND('NOVIEMBRE 2026'!D34&lt;&gt;"",'NOVIEMBRE 2026'!Z34="POR RECOGER"),'NOVIEMBRE 2026'!D34,"")</f>
        <v/>
      </c>
      <c r="D1080" s="381">
        <f>IF(AND('NOVIEMBRE 2026'!D34&lt;&gt;"",'NOVIEMBRE 2026'!Z34="POR RECOGER"),'NOVIEMBRE 2026'!F34,"")</f>
        <v/>
      </c>
      <c r="E1080" s="381">
        <f>IF(AND('NOVIEMBRE 2026'!D34&lt;&gt;"",'NOVIEMBRE 2026'!Z34="POR RECOGER"),TEXT('NOVIEMBRE 2026'!G34,"DD/MM/YYYY"),"")</f>
        <v/>
      </c>
      <c r="F1080" s="381">
        <f>IF(AND('NOVIEMBRE 2026'!D34&lt;&gt;"",'NOVIEMBRE 2026'!Z34="POR RECOGER"),'NOVIEMBRE 2026'!K34,"")</f>
        <v/>
      </c>
      <c r="G1080" s="382">
        <f>IF(AND('NOVIEMBRE 2026'!D34&lt;&gt;"",'NOVIEMBRE 2026'!Z34="POR RECOGER"),'NOVIEMBRE 2026'!M34,"")</f>
        <v/>
      </c>
      <c r="H1080" s="382">
        <f>IF(AND('NOVIEMBRE 2026'!D34&lt;&gt;"",'NOVIEMBRE 2026'!Z34="POR RECOGER"),'NOVIEMBRE 2026'!N34,"")</f>
        <v/>
      </c>
      <c r="I1080" s="381">
        <f>IF(AND('NOVIEMBRE 2026'!D34&lt;&gt;"",'NOVIEMBRE 2026'!Z34="POR RECOGER"),'NOVIEMBRE 2026'!P34,"")</f>
        <v/>
      </c>
      <c r="J1080" s="381">
        <f>IF(AND('NOVIEMBRE 2026'!D34&lt;&gt;"",'NOVIEMBRE 2026'!Z34="POR RECOGER"),'NOVIEMBRE 2026'!Q34,"")</f>
        <v/>
      </c>
      <c r="K1080" s="381">
        <f>IF(AND('NOVIEMBRE 2026'!D34&lt;&gt;"",'NOVIEMBRE 2026'!Z34="POR RECOGER"),'NOVIEMBRE 2026'!Y34,"")</f>
        <v/>
      </c>
      <c r="L1080" s="381">
        <f>IF(AND('NOVIEMBRE 2026'!D34&lt;&gt;"",'NOVIEMBRE 2026'!Z34="POR RECOGER"),'NOVIEMBRE 2026'!I34,"")</f>
        <v/>
      </c>
      <c r="P1080" s="194" t="n"/>
      <c r="Q1080" s="194" t="n"/>
      <c r="R1080" s="194" t="n"/>
      <c r="S1080" s="194" t="n"/>
      <c r="T1080" s="194" t="n"/>
      <c r="U1080" s="194" t="n"/>
      <c r="V1080" s="194" t="n"/>
      <c r="W1080" s="194" t="n"/>
      <c r="X1080" s="194" t="n"/>
      <c r="Y1080" s="194" t="n"/>
      <c r="Z1080" s="194" t="n"/>
    </row>
    <row r="1081" ht="15" customHeight="1" s="195">
      <c r="A1081" s="381">
        <f>IF(AND('NOVIEMBRE 2026'!D35&lt;&gt;"",'NOVIEMBRE 2026'!Z35="POR RECOGER"),"NOV","")</f>
        <v/>
      </c>
      <c r="B1081" s="381">
        <f>IF(AND('NOVIEMBRE 2026'!D35&lt;&gt;"",'NOVIEMBRE 2026'!Z35="POR RECOGER"),IF('NOVIEMBRE 2026'!Y35&lt;&gt;"",'NOVIEMBRE 2026'!Y35,'NOVIEMBRE 2026'!I35),"")</f>
        <v/>
      </c>
      <c r="C1081" s="381">
        <f>IF(AND('NOVIEMBRE 2026'!D35&lt;&gt;"",'NOVIEMBRE 2026'!Z35="POR RECOGER"),'NOVIEMBRE 2026'!D35,"")</f>
        <v/>
      </c>
      <c r="D1081" s="381">
        <f>IF(AND('NOVIEMBRE 2026'!D35&lt;&gt;"",'NOVIEMBRE 2026'!Z35="POR RECOGER"),'NOVIEMBRE 2026'!F35,"")</f>
        <v/>
      </c>
      <c r="E1081" s="381">
        <f>IF(AND('NOVIEMBRE 2026'!D35&lt;&gt;"",'NOVIEMBRE 2026'!Z35="POR RECOGER"),TEXT('NOVIEMBRE 2026'!G35,"DD/MM/YYYY"),"")</f>
        <v/>
      </c>
      <c r="F1081" s="381">
        <f>IF(AND('NOVIEMBRE 2026'!D35&lt;&gt;"",'NOVIEMBRE 2026'!Z35="POR RECOGER"),'NOVIEMBRE 2026'!K35,"")</f>
        <v/>
      </c>
      <c r="G1081" s="382">
        <f>IF(AND('NOVIEMBRE 2026'!D35&lt;&gt;"",'NOVIEMBRE 2026'!Z35="POR RECOGER"),'NOVIEMBRE 2026'!M35,"")</f>
        <v/>
      </c>
      <c r="H1081" s="382">
        <f>IF(AND('NOVIEMBRE 2026'!D35&lt;&gt;"",'NOVIEMBRE 2026'!Z35="POR RECOGER"),'NOVIEMBRE 2026'!N35,"")</f>
        <v/>
      </c>
      <c r="I1081" s="381">
        <f>IF(AND('NOVIEMBRE 2026'!D35&lt;&gt;"",'NOVIEMBRE 2026'!Z35="POR RECOGER"),'NOVIEMBRE 2026'!P35,"")</f>
        <v/>
      </c>
      <c r="J1081" s="381">
        <f>IF(AND('NOVIEMBRE 2026'!D35&lt;&gt;"",'NOVIEMBRE 2026'!Z35="POR RECOGER"),'NOVIEMBRE 2026'!Q35,"")</f>
        <v/>
      </c>
      <c r="K1081" s="381">
        <f>IF(AND('NOVIEMBRE 2026'!D35&lt;&gt;"",'NOVIEMBRE 2026'!Z35="POR RECOGER"),'NOVIEMBRE 2026'!Y35,"")</f>
        <v/>
      </c>
      <c r="L1081" s="381">
        <f>IF(AND('NOVIEMBRE 2026'!D35&lt;&gt;"",'NOVIEMBRE 2026'!Z35="POR RECOGER"),'NOVIEMBRE 2026'!I35,"")</f>
        <v/>
      </c>
      <c r="P1081" s="194" t="n"/>
      <c r="Q1081" s="194" t="n"/>
      <c r="R1081" s="194" t="n"/>
      <c r="S1081" s="194" t="n"/>
      <c r="T1081" s="194" t="n"/>
      <c r="U1081" s="194" t="n"/>
      <c r="V1081" s="194" t="n"/>
      <c r="W1081" s="194" t="n"/>
      <c r="X1081" s="194" t="n"/>
      <c r="Y1081" s="194" t="n"/>
      <c r="Z1081" s="194" t="n"/>
    </row>
    <row r="1082" ht="15" customHeight="1" s="195">
      <c r="A1082" s="381">
        <f>IF(AND('NOVIEMBRE 2026'!D36&lt;&gt;"",'NOVIEMBRE 2026'!Z36="POR RECOGER"),"NOV","")</f>
        <v/>
      </c>
      <c r="B1082" s="381">
        <f>IF(AND('NOVIEMBRE 2026'!D36&lt;&gt;"",'NOVIEMBRE 2026'!Z36="POR RECOGER"),IF('NOVIEMBRE 2026'!Y36&lt;&gt;"",'NOVIEMBRE 2026'!Y36,'NOVIEMBRE 2026'!I36),"")</f>
        <v/>
      </c>
      <c r="C1082" s="381">
        <f>IF(AND('NOVIEMBRE 2026'!D36&lt;&gt;"",'NOVIEMBRE 2026'!Z36="POR RECOGER"),'NOVIEMBRE 2026'!D36,"")</f>
        <v/>
      </c>
      <c r="D1082" s="381">
        <f>IF(AND('NOVIEMBRE 2026'!D36&lt;&gt;"",'NOVIEMBRE 2026'!Z36="POR RECOGER"),'NOVIEMBRE 2026'!F36,"")</f>
        <v/>
      </c>
      <c r="E1082" s="381">
        <f>IF(AND('NOVIEMBRE 2026'!D36&lt;&gt;"",'NOVIEMBRE 2026'!Z36="POR RECOGER"),TEXT('NOVIEMBRE 2026'!G36,"DD/MM/YYYY"),"")</f>
        <v/>
      </c>
      <c r="F1082" s="381">
        <f>IF(AND('NOVIEMBRE 2026'!D36&lt;&gt;"",'NOVIEMBRE 2026'!Z36="POR RECOGER"),'NOVIEMBRE 2026'!K36,"")</f>
        <v/>
      </c>
      <c r="G1082" s="382">
        <f>IF(AND('NOVIEMBRE 2026'!D36&lt;&gt;"",'NOVIEMBRE 2026'!Z36="POR RECOGER"),'NOVIEMBRE 2026'!M36,"")</f>
        <v/>
      </c>
      <c r="H1082" s="382">
        <f>IF(AND('NOVIEMBRE 2026'!D36&lt;&gt;"",'NOVIEMBRE 2026'!Z36="POR RECOGER"),'NOVIEMBRE 2026'!N36,"")</f>
        <v/>
      </c>
      <c r="I1082" s="381">
        <f>IF(AND('NOVIEMBRE 2026'!D36&lt;&gt;"",'NOVIEMBRE 2026'!Z36="POR RECOGER"),'NOVIEMBRE 2026'!P36,"")</f>
        <v/>
      </c>
      <c r="J1082" s="381">
        <f>IF(AND('NOVIEMBRE 2026'!D36&lt;&gt;"",'NOVIEMBRE 2026'!Z36="POR RECOGER"),'NOVIEMBRE 2026'!Q36,"")</f>
        <v/>
      </c>
      <c r="K1082" s="381">
        <f>IF(AND('NOVIEMBRE 2026'!D36&lt;&gt;"",'NOVIEMBRE 2026'!Z36="POR RECOGER"),'NOVIEMBRE 2026'!Y36,"")</f>
        <v/>
      </c>
      <c r="L1082" s="381">
        <f>IF(AND('NOVIEMBRE 2026'!D36&lt;&gt;"",'NOVIEMBRE 2026'!Z36="POR RECOGER"),'NOVIEMBRE 2026'!I36,"")</f>
        <v/>
      </c>
      <c r="P1082" s="194" t="n"/>
      <c r="Q1082" s="194" t="n"/>
      <c r="R1082" s="194" t="n"/>
      <c r="S1082" s="194" t="n"/>
      <c r="T1082" s="194" t="n"/>
      <c r="U1082" s="194" t="n"/>
      <c r="V1082" s="194" t="n"/>
      <c r="W1082" s="194" t="n"/>
      <c r="X1082" s="194" t="n"/>
      <c r="Y1082" s="194" t="n"/>
      <c r="Z1082" s="194" t="n"/>
    </row>
    <row r="1083" ht="15" customHeight="1" s="195">
      <c r="A1083" s="381">
        <f>IF(AND('NOVIEMBRE 2026'!D37&lt;&gt;"",'NOVIEMBRE 2026'!Z37="POR RECOGER"),"NOV","")</f>
        <v/>
      </c>
      <c r="B1083" s="381">
        <f>IF(AND('NOVIEMBRE 2026'!D37&lt;&gt;"",'NOVIEMBRE 2026'!Z37="POR RECOGER"),IF('NOVIEMBRE 2026'!Y37&lt;&gt;"",'NOVIEMBRE 2026'!Y37,'NOVIEMBRE 2026'!I37),"")</f>
        <v/>
      </c>
      <c r="C1083" s="381">
        <f>IF(AND('NOVIEMBRE 2026'!D37&lt;&gt;"",'NOVIEMBRE 2026'!Z37="POR RECOGER"),'NOVIEMBRE 2026'!D37,"")</f>
        <v/>
      </c>
      <c r="D1083" s="381">
        <f>IF(AND('NOVIEMBRE 2026'!D37&lt;&gt;"",'NOVIEMBRE 2026'!Z37="POR RECOGER"),'NOVIEMBRE 2026'!F37,"")</f>
        <v/>
      </c>
      <c r="E1083" s="381">
        <f>IF(AND('NOVIEMBRE 2026'!D37&lt;&gt;"",'NOVIEMBRE 2026'!Z37="POR RECOGER"),TEXT('NOVIEMBRE 2026'!G37,"DD/MM/YYYY"),"")</f>
        <v/>
      </c>
      <c r="F1083" s="381">
        <f>IF(AND('NOVIEMBRE 2026'!D37&lt;&gt;"",'NOVIEMBRE 2026'!Z37="POR RECOGER"),'NOVIEMBRE 2026'!K37,"")</f>
        <v/>
      </c>
      <c r="G1083" s="382">
        <f>IF(AND('NOVIEMBRE 2026'!D37&lt;&gt;"",'NOVIEMBRE 2026'!Z37="POR RECOGER"),'NOVIEMBRE 2026'!M37,"")</f>
        <v/>
      </c>
      <c r="H1083" s="382">
        <f>IF(AND('NOVIEMBRE 2026'!D37&lt;&gt;"",'NOVIEMBRE 2026'!Z37="POR RECOGER"),'NOVIEMBRE 2026'!N37,"")</f>
        <v/>
      </c>
      <c r="I1083" s="381">
        <f>IF(AND('NOVIEMBRE 2026'!D37&lt;&gt;"",'NOVIEMBRE 2026'!Z37="POR RECOGER"),'NOVIEMBRE 2026'!P37,"")</f>
        <v/>
      </c>
      <c r="J1083" s="381">
        <f>IF(AND('NOVIEMBRE 2026'!D37&lt;&gt;"",'NOVIEMBRE 2026'!Z37="POR RECOGER"),'NOVIEMBRE 2026'!Q37,"")</f>
        <v/>
      </c>
      <c r="K1083" s="381">
        <f>IF(AND('NOVIEMBRE 2026'!D37&lt;&gt;"",'NOVIEMBRE 2026'!Z37="POR RECOGER"),'NOVIEMBRE 2026'!Y37,"")</f>
        <v/>
      </c>
      <c r="L1083" s="381">
        <f>IF(AND('NOVIEMBRE 2026'!D37&lt;&gt;"",'NOVIEMBRE 2026'!Z37="POR RECOGER"),'NOVIEMBRE 2026'!I37,"")</f>
        <v/>
      </c>
      <c r="P1083" s="194" t="n"/>
      <c r="Q1083" s="194" t="n"/>
      <c r="R1083" s="194" t="n"/>
      <c r="S1083" s="194" t="n"/>
      <c r="T1083" s="194" t="n"/>
      <c r="U1083" s="194" t="n"/>
      <c r="V1083" s="194" t="n"/>
      <c r="W1083" s="194" t="n"/>
      <c r="X1083" s="194" t="n"/>
      <c r="Y1083" s="194" t="n"/>
      <c r="Z1083" s="194" t="n"/>
    </row>
    <row r="1084" ht="15" customHeight="1" s="195">
      <c r="A1084" s="381">
        <f>IF(AND('NOVIEMBRE 2026'!D38&lt;&gt;"",'NOVIEMBRE 2026'!Z38="POR RECOGER"),"NOV","")</f>
        <v/>
      </c>
      <c r="B1084" s="381">
        <f>IF(AND('NOVIEMBRE 2026'!D38&lt;&gt;"",'NOVIEMBRE 2026'!Z38="POR RECOGER"),IF('NOVIEMBRE 2026'!Y38&lt;&gt;"",'NOVIEMBRE 2026'!Y38,'NOVIEMBRE 2026'!I38),"")</f>
        <v/>
      </c>
      <c r="C1084" s="381">
        <f>IF(AND('NOVIEMBRE 2026'!D38&lt;&gt;"",'NOVIEMBRE 2026'!Z38="POR RECOGER"),'NOVIEMBRE 2026'!D38,"")</f>
        <v/>
      </c>
      <c r="D1084" s="381">
        <f>IF(AND('NOVIEMBRE 2026'!D38&lt;&gt;"",'NOVIEMBRE 2026'!Z38="POR RECOGER"),'NOVIEMBRE 2026'!F38,"")</f>
        <v/>
      </c>
      <c r="E1084" s="381">
        <f>IF(AND('NOVIEMBRE 2026'!D38&lt;&gt;"",'NOVIEMBRE 2026'!Z38="POR RECOGER"),TEXT('NOVIEMBRE 2026'!G38,"DD/MM/YYYY"),"")</f>
        <v/>
      </c>
      <c r="F1084" s="381">
        <f>IF(AND('NOVIEMBRE 2026'!D38&lt;&gt;"",'NOVIEMBRE 2026'!Z38="POR RECOGER"),'NOVIEMBRE 2026'!K38,"")</f>
        <v/>
      </c>
      <c r="G1084" s="382">
        <f>IF(AND('NOVIEMBRE 2026'!D38&lt;&gt;"",'NOVIEMBRE 2026'!Z38="POR RECOGER"),'NOVIEMBRE 2026'!M38,"")</f>
        <v/>
      </c>
      <c r="H1084" s="382">
        <f>IF(AND('NOVIEMBRE 2026'!D38&lt;&gt;"",'NOVIEMBRE 2026'!Z38="POR RECOGER"),'NOVIEMBRE 2026'!N38,"")</f>
        <v/>
      </c>
      <c r="I1084" s="381">
        <f>IF(AND('NOVIEMBRE 2026'!D38&lt;&gt;"",'NOVIEMBRE 2026'!Z38="POR RECOGER"),'NOVIEMBRE 2026'!P38,"")</f>
        <v/>
      </c>
      <c r="J1084" s="381">
        <f>IF(AND('NOVIEMBRE 2026'!D38&lt;&gt;"",'NOVIEMBRE 2026'!Z38="POR RECOGER"),'NOVIEMBRE 2026'!Q38,"")</f>
        <v/>
      </c>
      <c r="K1084" s="381">
        <f>IF(AND('NOVIEMBRE 2026'!D38&lt;&gt;"",'NOVIEMBRE 2026'!Z38="POR RECOGER"),'NOVIEMBRE 2026'!Y38,"")</f>
        <v/>
      </c>
      <c r="L1084" s="381">
        <f>IF(AND('NOVIEMBRE 2026'!D38&lt;&gt;"",'NOVIEMBRE 2026'!Z38="POR RECOGER"),'NOVIEMBRE 2026'!I38,"")</f>
        <v/>
      </c>
      <c r="P1084" s="194" t="n"/>
      <c r="Q1084" s="194" t="n"/>
      <c r="R1084" s="194" t="n"/>
      <c r="S1084" s="194" t="n"/>
      <c r="T1084" s="194" t="n"/>
      <c r="U1084" s="194" t="n"/>
      <c r="V1084" s="194" t="n"/>
      <c r="W1084" s="194" t="n"/>
      <c r="X1084" s="194" t="n"/>
      <c r="Y1084" s="194" t="n"/>
      <c r="Z1084" s="194" t="n"/>
    </row>
    <row r="1085" ht="15" customHeight="1" s="195">
      <c r="A1085" s="381">
        <f>IF(AND('NOVIEMBRE 2026'!D39&lt;&gt;"",'NOVIEMBRE 2026'!Z39="POR RECOGER"),"NOV","")</f>
        <v/>
      </c>
      <c r="B1085" s="381">
        <f>IF(AND('NOVIEMBRE 2026'!D39&lt;&gt;"",'NOVIEMBRE 2026'!Z39="POR RECOGER"),IF('NOVIEMBRE 2026'!Y39&lt;&gt;"",'NOVIEMBRE 2026'!Y39,'NOVIEMBRE 2026'!I39),"")</f>
        <v/>
      </c>
      <c r="C1085" s="381">
        <f>IF(AND('NOVIEMBRE 2026'!D39&lt;&gt;"",'NOVIEMBRE 2026'!Z39="POR RECOGER"),'NOVIEMBRE 2026'!D39,"")</f>
        <v/>
      </c>
      <c r="D1085" s="381">
        <f>IF(AND('NOVIEMBRE 2026'!D39&lt;&gt;"",'NOVIEMBRE 2026'!Z39="POR RECOGER"),'NOVIEMBRE 2026'!F39,"")</f>
        <v/>
      </c>
      <c r="E1085" s="381">
        <f>IF(AND('NOVIEMBRE 2026'!D39&lt;&gt;"",'NOVIEMBRE 2026'!Z39="POR RECOGER"),TEXT('NOVIEMBRE 2026'!G39,"DD/MM/YYYY"),"")</f>
        <v/>
      </c>
      <c r="F1085" s="381">
        <f>IF(AND('NOVIEMBRE 2026'!D39&lt;&gt;"",'NOVIEMBRE 2026'!Z39="POR RECOGER"),'NOVIEMBRE 2026'!K39,"")</f>
        <v/>
      </c>
      <c r="G1085" s="382">
        <f>IF(AND('NOVIEMBRE 2026'!D39&lt;&gt;"",'NOVIEMBRE 2026'!Z39="POR RECOGER"),'NOVIEMBRE 2026'!M39,"")</f>
        <v/>
      </c>
      <c r="H1085" s="382">
        <f>IF(AND('NOVIEMBRE 2026'!D39&lt;&gt;"",'NOVIEMBRE 2026'!Z39="POR RECOGER"),'NOVIEMBRE 2026'!N39,"")</f>
        <v/>
      </c>
      <c r="I1085" s="381">
        <f>IF(AND('NOVIEMBRE 2026'!D39&lt;&gt;"",'NOVIEMBRE 2026'!Z39="POR RECOGER"),'NOVIEMBRE 2026'!P39,"")</f>
        <v/>
      </c>
      <c r="J1085" s="381">
        <f>IF(AND('NOVIEMBRE 2026'!D39&lt;&gt;"",'NOVIEMBRE 2026'!Z39="POR RECOGER"),'NOVIEMBRE 2026'!Q39,"")</f>
        <v/>
      </c>
      <c r="K1085" s="381">
        <f>IF(AND('NOVIEMBRE 2026'!D39&lt;&gt;"",'NOVIEMBRE 2026'!Z39="POR RECOGER"),'NOVIEMBRE 2026'!Y39,"")</f>
        <v/>
      </c>
      <c r="L1085" s="381">
        <f>IF(AND('NOVIEMBRE 2026'!D39&lt;&gt;"",'NOVIEMBRE 2026'!Z39="POR RECOGER"),'NOVIEMBRE 2026'!I39,"")</f>
        <v/>
      </c>
      <c r="P1085" s="194" t="n"/>
      <c r="Q1085" s="194" t="n"/>
      <c r="R1085" s="194" t="n"/>
      <c r="S1085" s="194" t="n"/>
      <c r="T1085" s="194" t="n"/>
      <c r="U1085" s="194" t="n"/>
      <c r="V1085" s="194" t="n"/>
      <c r="W1085" s="194" t="n"/>
      <c r="X1085" s="194" t="n"/>
      <c r="Y1085" s="194" t="n"/>
      <c r="Z1085" s="194" t="n"/>
    </row>
    <row r="1086" ht="15" customHeight="1" s="195">
      <c r="A1086" s="381">
        <f>IF(AND('NOVIEMBRE 2026'!D40&lt;&gt;"",'NOVIEMBRE 2026'!Z40="POR RECOGER"),"NOV","")</f>
        <v/>
      </c>
      <c r="B1086" s="381">
        <f>IF(AND('NOVIEMBRE 2026'!D40&lt;&gt;"",'NOVIEMBRE 2026'!Z40="POR RECOGER"),IF('NOVIEMBRE 2026'!Y40&lt;&gt;"",'NOVIEMBRE 2026'!Y40,'NOVIEMBRE 2026'!I40),"")</f>
        <v/>
      </c>
      <c r="C1086" s="381">
        <f>IF(AND('NOVIEMBRE 2026'!D40&lt;&gt;"",'NOVIEMBRE 2026'!Z40="POR RECOGER"),'NOVIEMBRE 2026'!D40,"")</f>
        <v/>
      </c>
      <c r="D1086" s="381">
        <f>IF(AND('NOVIEMBRE 2026'!D40&lt;&gt;"",'NOVIEMBRE 2026'!Z40="POR RECOGER"),'NOVIEMBRE 2026'!F40,"")</f>
        <v/>
      </c>
      <c r="E1086" s="381">
        <f>IF(AND('NOVIEMBRE 2026'!D40&lt;&gt;"",'NOVIEMBRE 2026'!Z40="POR RECOGER"),TEXT('NOVIEMBRE 2026'!G40,"DD/MM/YYYY"),"")</f>
        <v/>
      </c>
      <c r="F1086" s="381">
        <f>IF(AND('NOVIEMBRE 2026'!D40&lt;&gt;"",'NOVIEMBRE 2026'!Z40="POR RECOGER"),'NOVIEMBRE 2026'!K40,"")</f>
        <v/>
      </c>
      <c r="G1086" s="382">
        <f>IF(AND('NOVIEMBRE 2026'!D40&lt;&gt;"",'NOVIEMBRE 2026'!Z40="POR RECOGER"),'NOVIEMBRE 2026'!M40,"")</f>
        <v/>
      </c>
      <c r="H1086" s="382">
        <f>IF(AND('NOVIEMBRE 2026'!D40&lt;&gt;"",'NOVIEMBRE 2026'!Z40="POR RECOGER"),'NOVIEMBRE 2026'!N40,"")</f>
        <v/>
      </c>
      <c r="I1086" s="381">
        <f>IF(AND('NOVIEMBRE 2026'!D40&lt;&gt;"",'NOVIEMBRE 2026'!Z40="POR RECOGER"),'NOVIEMBRE 2026'!P40,"")</f>
        <v/>
      </c>
      <c r="J1086" s="381">
        <f>IF(AND('NOVIEMBRE 2026'!D40&lt;&gt;"",'NOVIEMBRE 2026'!Z40="POR RECOGER"),'NOVIEMBRE 2026'!Q40,"")</f>
        <v/>
      </c>
      <c r="K1086" s="381">
        <f>IF(AND('NOVIEMBRE 2026'!D40&lt;&gt;"",'NOVIEMBRE 2026'!Z40="POR RECOGER"),'NOVIEMBRE 2026'!Y40,"")</f>
        <v/>
      </c>
      <c r="L1086" s="381">
        <f>IF(AND('NOVIEMBRE 2026'!D40&lt;&gt;"",'NOVIEMBRE 2026'!Z40="POR RECOGER"),'NOVIEMBRE 2026'!I40,"")</f>
        <v/>
      </c>
      <c r="P1086" s="194" t="n"/>
      <c r="Q1086" s="194" t="n"/>
      <c r="R1086" s="194" t="n"/>
      <c r="S1086" s="194" t="n"/>
      <c r="T1086" s="194" t="n"/>
      <c r="U1086" s="194" t="n"/>
      <c r="V1086" s="194" t="n"/>
      <c r="W1086" s="194" t="n"/>
      <c r="X1086" s="194" t="n"/>
      <c r="Y1086" s="194" t="n"/>
      <c r="Z1086" s="194" t="n"/>
    </row>
    <row r="1087" ht="15" customHeight="1" s="195">
      <c r="A1087" s="381">
        <f>IF(AND('NOVIEMBRE 2026'!D41&lt;&gt;"",'NOVIEMBRE 2026'!Z41="POR RECOGER"),"NOV","")</f>
        <v/>
      </c>
      <c r="B1087" s="381">
        <f>IF(AND('NOVIEMBRE 2026'!D41&lt;&gt;"",'NOVIEMBRE 2026'!Z41="POR RECOGER"),IF('NOVIEMBRE 2026'!Y41&lt;&gt;"",'NOVIEMBRE 2026'!Y41,'NOVIEMBRE 2026'!I41),"")</f>
        <v/>
      </c>
      <c r="C1087" s="381">
        <f>IF(AND('NOVIEMBRE 2026'!D41&lt;&gt;"",'NOVIEMBRE 2026'!Z41="POR RECOGER"),'NOVIEMBRE 2026'!D41,"")</f>
        <v/>
      </c>
      <c r="D1087" s="381">
        <f>IF(AND('NOVIEMBRE 2026'!D41&lt;&gt;"",'NOVIEMBRE 2026'!Z41="POR RECOGER"),'NOVIEMBRE 2026'!F41,"")</f>
        <v/>
      </c>
      <c r="E1087" s="381">
        <f>IF(AND('NOVIEMBRE 2026'!D41&lt;&gt;"",'NOVIEMBRE 2026'!Z41="POR RECOGER"),TEXT('NOVIEMBRE 2026'!G41,"DD/MM/YYYY"),"")</f>
        <v/>
      </c>
      <c r="F1087" s="381">
        <f>IF(AND('NOVIEMBRE 2026'!D41&lt;&gt;"",'NOVIEMBRE 2026'!Z41="POR RECOGER"),'NOVIEMBRE 2026'!K41,"")</f>
        <v/>
      </c>
      <c r="G1087" s="382">
        <f>IF(AND('NOVIEMBRE 2026'!D41&lt;&gt;"",'NOVIEMBRE 2026'!Z41="POR RECOGER"),'NOVIEMBRE 2026'!M41,"")</f>
        <v/>
      </c>
      <c r="H1087" s="382">
        <f>IF(AND('NOVIEMBRE 2026'!D41&lt;&gt;"",'NOVIEMBRE 2026'!Z41="POR RECOGER"),'NOVIEMBRE 2026'!N41,"")</f>
        <v/>
      </c>
      <c r="I1087" s="381">
        <f>IF(AND('NOVIEMBRE 2026'!D41&lt;&gt;"",'NOVIEMBRE 2026'!Z41="POR RECOGER"),'NOVIEMBRE 2026'!P41,"")</f>
        <v/>
      </c>
      <c r="J1087" s="381">
        <f>IF(AND('NOVIEMBRE 2026'!D41&lt;&gt;"",'NOVIEMBRE 2026'!Z41="POR RECOGER"),'NOVIEMBRE 2026'!Q41,"")</f>
        <v/>
      </c>
      <c r="K1087" s="381">
        <f>IF(AND('NOVIEMBRE 2026'!D41&lt;&gt;"",'NOVIEMBRE 2026'!Z41="POR RECOGER"),'NOVIEMBRE 2026'!Y41,"")</f>
        <v/>
      </c>
      <c r="L1087" s="381">
        <f>IF(AND('NOVIEMBRE 2026'!D41&lt;&gt;"",'NOVIEMBRE 2026'!Z41="POR RECOGER"),'NOVIEMBRE 2026'!I41,"")</f>
        <v/>
      </c>
      <c r="P1087" s="194" t="n"/>
      <c r="Q1087" s="194" t="n"/>
      <c r="R1087" s="194" t="n"/>
      <c r="S1087" s="194" t="n"/>
      <c r="T1087" s="194" t="n"/>
      <c r="U1087" s="194" t="n"/>
      <c r="V1087" s="194" t="n"/>
      <c r="W1087" s="194" t="n"/>
      <c r="X1087" s="194" t="n"/>
      <c r="Y1087" s="194" t="n"/>
      <c r="Z1087" s="194" t="n"/>
    </row>
    <row r="1088" ht="15" customHeight="1" s="195">
      <c r="A1088" s="381">
        <f>IF(AND('NOVIEMBRE 2026'!D42&lt;&gt;"",'NOVIEMBRE 2026'!Z42="POR RECOGER"),"NOV","")</f>
        <v/>
      </c>
      <c r="B1088" s="381">
        <f>IF(AND('NOVIEMBRE 2026'!D42&lt;&gt;"",'NOVIEMBRE 2026'!Z42="POR RECOGER"),IF('NOVIEMBRE 2026'!Y42&lt;&gt;"",'NOVIEMBRE 2026'!Y42,'NOVIEMBRE 2026'!I42),"")</f>
        <v/>
      </c>
      <c r="C1088" s="381">
        <f>IF(AND('NOVIEMBRE 2026'!D42&lt;&gt;"",'NOVIEMBRE 2026'!Z42="POR RECOGER"),'NOVIEMBRE 2026'!D42,"")</f>
        <v/>
      </c>
      <c r="D1088" s="381">
        <f>IF(AND('NOVIEMBRE 2026'!D42&lt;&gt;"",'NOVIEMBRE 2026'!Z42="POR RECOGER"),'NOVIEMBRE 2026'!F42,"")</f>
        <v/>
      </c>
      <c r="E1088" s="381">
        <f>IF(AND('NOVIEMBRE 2026'!D42&lt;&gt;"",'NOVIEMBRE 2026'!Z42="POR RECOGER"),TEXT('NOVIEMBRE 2026'!G42,"DD/MM/YYYY"),"")</f>
        <v/>
      </c>
      <c r="F1088" s="381">
        <f>IF(AND('NOVIEMBRE 2026'!D42&lt;&gt;"",'NOVIEMBRE 2026'!Z42="POR RECOGER"),'NOVIEMBRE 2026'!K42,"")</f>
        <v/>
      </c>
      <c r="G1088" s="382">
        <f>IF(AND('NOVIEMBRE 2026'!D42&lt;&gt;"",'NOVIEMBRE 2026'!Z42="POR RECOGER"),'NOVIEMBRE 2026'!M42,"")</f>
        <v/>
      </c>
      <c r="H1088" s="382">
        <f>IF(AND('NOVIEMBRE 2026'!D42&lt;&gt;"",'NOVIEMBRE 2026'!Z42="POR RECOGER"),'NOVIEMBRE 2026'!N42,"")</f>
        <v/>
      </c>
      <c r="I1088" s="381">
        <f>IF(AND('NOVIEMBRE 2026'!D42&lt;&gt;"",'NOVIEMBRE 2026'!Z42="POR RECOGER"),'NOVIEMBRE 2026'!P42,"")</f>
        <v/>
      </c>
      <c r="J1088" s="381">
        <f>IF(AND('NOVIEMBRE 2026'!D42&lt;&gt;"",'NOVIEMBRE 2026'!Z42="POR RECOGER"),'NOVIEMBRE 2026'!Q42,"")</f>
        <v/>
      </c>
      <c r="K1088" s="381">
        <f>IF(AND('NOVIEMBRE 2026'!D42&lt;&gt;"",'NOVIEMBRE 2026'!Z42="POR RECOGER"),'NOVIEMBRE 2026'!Y42,"")</f>
        <v/>
      </c>
      <c r="L1088" s="381">
        <f>IF(AND('NOVIEMBRE 2026'!D42&lt;&gt;"",'NOVIEMBRE 2026'!Z42="POR RECOGER"),'NOVIEMBRE 2026'!I42,"")</f>
        <v/>
      </c>
      <c r="P1088" s="194" t="n"/>
      <c r="Q1088" s="194" t="n"/>
      <c r="R1088" s="194" t="n"/>
      <c r="S1088" s="194" t="n"/>
      <c r="T1088" s="194" t="n"/>
      <c r="U1088" s="194" t="n"/>
      <c r="V1088" s="194" t="n"/>
      <c r="W1088" s="194" t="n"/>
      <c r="X1088" s="194" t="n"/>
      <c r="Y1088" s="194" t="n"/>
      <c r="Z1088" s="194" t="n"/>
    </row>
    <row r="1089" ht="15" customHeight="1" s="195">
      <c r="A1089" s="381">
        <f>IF(AND('NOVIEMBRE 2026'!D43&lt;&gt;"",'NOVIEMBRE 2026'!Z43="POR RECOGER"),"NOV","")</f>
        <v/>
      </c>
      <c r="B1089" s="381">
        <f>IF(AND('NOVIEMBRE 2026'!D43&lt;&gt;"",'NOVIEMBRE 2026'!Z43="POR RECOGER"),IF('NOVIEMBRE 2026'!Y43&lt;&gt;"",'NOVIEMBRE 2026'!Y43,'NOVIEMBRE 2026'!I43),"")</f>
        <v/>
      </c>
      <c r="C1089" s="381">
        <f>IF(AND('NOVIEMBRE 2026'!D43&lt;&gt;"",'NOVIEMBRE 2026'!Z43="POR RECOGER"),'NOVIEMBRE 2026'!D43,"")</f>
        <v/>
      </c>
      <c r="D1089" s="381">
        <f>IF(AND('NOVIEMBRE 2026'!D43&lt;&gt;"",'NOVIEMBRE 2026'!Z43="POR RECOGER"),'NOVIEMBRE 2026'!F43,"")</f>
        <v/>
      </c>
      <c r="E1089" s="381">
        <f>IF(AND('NOVIEMBRE 2026'!D43&lt;&gt;"",'NOVIEMBRE 2026'!Z43="POR RECOGER"),TEXT('NOVIEMBRE 2026'!G43,"DD/MM/YYYY"),"")</f>
        <v/>
      </c>
      <c r="F1089" s="381">
        <f>IF(AND('NOVIEMBRE 2026'!D43&lt;&gt;"",'NOVIEMBRE 2026'!Z43="POR RECOGER"),'NOVIEMBRE 2026'!K43,"")</f>
        <v/>
      </c>
      <c r="G1089" s="382">
        <f>IF(AND('NOVIEMBRE 2026'!D43&lt;&gt;"",'NOVIEMBRE 2026'!Z43="POR RECOGER"),'NOVIEMBRE 2026'!M43,"")</f>
        <v/>
      </c>
      <c r="H1089" s="382">
        <f>IF(AND('NOVIEMBRE 2026'!D43&lt;&gt;"",'NOVIEMBRE 2026'!Z43="POR RECOGER"),'NOVIEMBRE 2026'!N43,"")</f>
        <v/>
      </c>
      <c r="I1089" s="381">
        <f>IF(AND('NOVIEMBRE 2026'!D43&lt;&gt;"",'NOVIEMBRE 2026'!Z43="POR RECOGER"),'NOVIEMBRE 2026'!P43,"")</f>
        <v/>
      </c>
      <c r="J1089" s="381">
        <f>IF(AND('NOVIEMBRE 2026'!D43&lt;&gt;"",'NOVIEMBRE 2026'!Z43="POR RECOGER"),'NOVIEMBRE 2026'!Q43,"")</f>
        <v/>
      </c>
      <c r="K1089" s="381">
        <f>IF(AND('NOVIEMBRE 2026'!D43&lt;&gt;"",'NOVIEMBRE 2026'!Z43="POR RECOGER"),'NOVIEMBRE 2026'!Y43,"")</f>
        <v/>
      </c>
      <c r="L1089" s="381">
        <f>IF(AND('NOVIEMBRE 2026'!D43&lt;&gt;"",'NOVIEMBRE 2026'!Z43="POR RECOGER"),'NOVIEMBRE 2026'!I43,"")</f>
        <v/>
      </c>
      <c r="P1089" s="194" t="n"/>
      <c r="Q1089" s="194" t="n"/>
      <c r="R1089" s="194" t="n"/>
      <c r="S1089" s="194" t="n"/>
      <c r="T1089" s="194" t="n"/>
      <c r="U1089" s="194" t="n"/>
      <c r="V1089" s="194" t="n"/>
      <c r="W1089" s="194" t="n"/>
      <c r="X1089" s="194" t="n"/>
      <c r="Y1089" s="194" t="n"/>
      <c r="Z1089" s="194" t="n"/>
    </row>
    <row r="1090" ht="15" customHeight="1" s="195">
      <c r="A1090" s="381">
        <f>IF(AND('NOVIEMBRE 2026'!D44&lt;&gt;"",'NOVIEMBRE 2026'!Z44="POR RECOGER"),"NOV","")</f>
        <v/>
      </c>
      <c r="B1090" s="381">
        <f>IF(AND('NOVIEMBRE 2026'!D44&lt;&gt;"",'NOVIEMBRE 2026'!Z44="POR RECOGER"),IF('NOVIEMBRE 2026'!Y44&lt;&gt;"",'NOVIEMBRE 2026'!Y44,'NOVIEMBRE 2026'!I44),"")</f>
        <v/>
      </c>
      <c r="C1090" s="381">
        <f>IF(AND('NOVIEMBRE 2026'!D44&lt;&gt;"",'NOVIEMBRE 2026'!Z44="POR RECOGER"),'NOVIEMBRE 2026'!D44,"")</f>
        <v/>
      </c>
      <c r="D1090" s="381">
        <f>IF(AND('NOVIEMBRE 2026'!D44&lt;&gt;"",'NOVIEMBRE 2026'!Z44="POR RECOGER"),'NOVIEMBRE 2026'!F44,"")</f>
        <v/>
      </c>
      <c r="E1090" s="381">
        <f>IF(AND('NOVIEMBRE 2026'!D44&lt;&gt;"",'NOVIEMBRE 2026'!Z44="POR RECOGER"),TEXT('NOVIEMBRE 2026'!G44,"DD/MM/YYYY"),"")</f>
        <v/>
      </c>
      <c r="F1090" s="381">
        <f>IF(AND('NOVIEMBRE 2026'!D44&lt;&gt;"",'NOVIEMBRE 2026'!Z44="POR RECOGER"),'NOVIEMBRE 2026'!K44,"")</f>
        <v/>
      </c>
      <c r="G1090" s="382">
        <f>IF(AND('NOVIEMBRE 2026'!D44&lt;&gt;"",'NOVIEMBRE 2026'!Z44="POR RECOGER"),'NOVIEMBRE 2026'!M44,"")</f>
        <v/>
      </c>
      <c r="H1090" s="382">
        <f>IF(AND('NOVIEMBRE 2026'!D44&lt;&gt;"",'NOVIEMBRE 2026'!Z44="POR RECOGER"),'NOVIEMBRE 2026'!N44,"")</f>
        <v/>
      </c>
      <c r="I1090" s="381">
        <f>IF(AND('NOVIEMBRE 2026'!D44&lt;&gt;"",'NOVIEMBRE 2026'!Z44="POR RECOGER"),'NOVIEMBRE 2026'!P44,"")</f>
        <v/>
      </c>
      <c r="J1090" s="381">
        <f>IF(AND('NOVIEMBRE 2026'!D44&lt;&gt;"",'NOVIEMBRE 2026'!Z44="POR RECOGER"),'NOVIEMBRE 2026'!Q44,"")</f>
        <v/>
      </c>
      <c r="K1090" s="381">
        <f>IF(AND('NOVIEMBRE 2026'!D44&lt;&gt;"",'NOVIEMBRE 2026'!Z44="POR RECOGER"),'NOVIEMBRE 2026'!Y44,"")</f>
        <v/>
      </c>
      <c r="L1090" s="381">
        <f>IF(AND('NOVIEMBRE 2026'!D44&lt;&gt;"",'NOVIEMBRE 2026'!Z44="POR RECOGER"),'NOVIEMBRE 2026'!I44,"")</f>
        <v/>
      </c>
      <c r="P1090" s="194" t="n"/>
      <c r="Q1090" s="194" t="n"/>
      <c r="R1090" s="194" t="n"/>
      <c r="S1090" s="194" t="n"/>
      <c r="T1090" s="194" t="n"/>
      <c r="U1090" s="194" t="n"/>
      <c r="V1090" s="194" t="n"/>
      <c r="W1090" s="194" t="n"/>
      <c r="X1090" s="194" t="n"/>
      <c r="Y1090" s="194" t="n"/>
      <c r="Z1090" s="194" t="n"/>
    </row>
    <row r="1091" ht="15" customHeight="1" s="195">
      <c r="A1091" s="381">
        <f>IF(AND('NOVIEMBRE 2026'!D45&lt;&gt;"",'NOVIEMBRE 2026'!Z45="POR RECOGER"),"NOV","")</f>
        <v/>
      </c>
      <c r="B1091" s="381">
        <f>IF(AND('NOVIEMBRE 2026'!D45&lt;&gt;"",'NOVIEMBRE 2026'!Z45="POR RECOGER"),IF('NOVIEMBRE 2026'!Y45&lt;&gt;"",'NOVIEMBRE 2026'!Y45,'NOVIEMBRE 2026'!I45),"")</f>
        <v/>
      </c>
      <c r="C1091" s="381">
        <f>IF(AND('NOVIEMBRE 2026'!D45&lt;&gt;"",'NOVIEMBRE 2026'!Z45="POR RECOGER"),'NOVIEMBRE 2026'!D45,"")</f>
        <v/>
      </c>
      <c r="D1091" s="381">
        <f>IF(AND('NOVIEMBRE 2026'!D45&lt;&gt;"",'NOVIEMBRE 2026'!Z45="POR RECOGER"),'NOVIEMBRE 2026'!F45,"")</f>
        <v/>
      </c>
      <c r="E1091" s="381">
        <f>IF(AND('NOVIEMBRE 2026'!D45&lt;&gt;"",'NOVIEMBRE 2026'!Z45="POR RECOGER"),TEXT('NOVIEMBRE 2026'!G45,"DD/MM/YYYY"),"")</f>
        <v/>
      </c>
      <c r="F1091" s="381">
        <f>IF(AND('NOVIEMBRE 2026'!D45&lt;&gt;"",'NOVIEMBRE 2026'!Z45="POR RECOGER"),'NOVIEMBRE 2026'!K45,"")</f>
        <v/>
      </c>
      <c r="G1091" s="382">
        <f>IF(AND('NOVIEMBRE 2026'!D45&lt;&gt;"",'NOVIEMBRE 2026'!Z45="POR RECOGER"),'NOVIEMBRE 2026'!M45,"")</f>
        <v/>
      </c>
      <c r="H1091" s="382">
        <f>IF(AND('NOVIEMBRE 2026'!D45&lt;&gt;"",'NOVIEMBRE 2026'!Z45="POR RECOGER"),'NOVIEMBRE 2026'!N45,"")</f>
        <v/>
      </c>
      <c r="I1091" s="381">
        <f>IF(AND('NOVIEMBRE 2026'!D45&lt;&gt;"",'NOVIEMBRE 2026'!Z45="POR RECOGER"),'NOVIEMBRE 2026'!P45,"")</f>
        <v/>
      </c>
      <c r="J1091" s="381">
        <f>IF(AND('NOVIEMBRE 2026'!D45&lt;&gt;"",'NOVIEMBRE 2026'!Z45="POR RECOGER"),'NOVIEMBRE 2026'!Q45,"")</f>
        <v/>
      </c>
      <c r="K1091" s="381">
        <f>IF(AND('NOVIEMBRE 2026'!D45&lt;&gt;"",'NOVIEMBRE 2026'!Z45="POR RECOGER"),'NOVIEMBRE 2026'!Y45,"")</f>
        <v/>
      </c>
      <c r="L1091" s="381">
        <f>IF(AND('NOVIEMBRE 2026'!D45&lt;&gt;"",'NOVIEMBRE 2026'!Z45="POR RECOGER"),'NOVIEMBRE 2026'!I45,"")</f>
        <v/>
      </c>
      <c r="P1091" s="194" t="n"/>
      <c r="Q1091" s="194" t="n"/>
      <c r="R1091" s="194" t="n"/>
      <c r="S1091" s="194" t="n"/>
      <c r="T1091" s="194" t="n"/>
      <c r="U1091" s="194" t="n"/>
      <c r="V1091" s="194" t="n"/>
      <c r="W1091" s="194" t="n"/>
      <c r="X1091" s="194" t="n"/>
      <c r="Y1091" s="194" t="n"/>
      <c r="Z1091" s="194" t="n"/>
    </row>
    <row r="1092" ht="15" customHeight="1" s="195">
      <c r="A1092" s="381">
        <f>IF(AND('NOVIEMBRE 2026'!D46&lt;&gt;"",'NOVIEMBRE 2026'!Z46="POR RECOGER"),"NOV","")</f>
        <v/>
      </c>
      <c r="B1092" s="381">
        <f>IF(AND('NOVIEMBRE 2026'!D46&lt;&gt;"",'NOVIEMBRE 2026'!Z46="POR RECOGER"),IF('NOVIEMBRE 2026'!Y46&lt;&gt;"",'NOVIEMBRE 2026'!Y46,'NOVIEMBRE 2026'!I46),"")</f>
        <v/>
      </c>
      <c r="C1092" s="381">
        <f>IF(AND('NOVIEMBRE 2026'!D46&lt;&gt;"",'NOVIEMBRE 2026'!Z46="POR RECOGER"),'NOVIEMBRE 2026'!D46,"")</f>
        <v/>
      </c>
      <c r="D1092" s="381">
        <f>IF(AND('NOVIEMBRE 2026'!D46&lt;&gt;"",'NOVIEMBRE 2026'!Z46="POR RECOGER"),'NOVIEMBRE 2026'!F46,"")</f>
        <v/>
      </c>
      <c r="E1092" s="381">
        <f>IF(AND('NOVIEMBRE 2026'!D46&lt;&gt;"",'NOVIEMBRE 2026'!Z46="POR RECOGER"),TEXT('NOVIEMBRE 2026'!G46,"DD/MM/YYYY"),"")</f>
        <v/>
      </c>
      <c r="F1092" s="381">
        <f>IF(AND('NOVIEMBRE 2026'!D46&lt;&gt;"",'NOVIEMBRE 2026'!Z46="POR RECOGER"),'NOVIEMBRE 2026'!K46,"")</f>
        <v/>
      </c>
      <c r="G1092" s="382">
        <f>IF(AND('NOVIEMBRE 2026'!D46&lt;&gt;"",'NOVIEMBRE 2026'!Z46="POR RECOGER"),'NOVIEMBRE 2026'!M46,"")</f>
        <v/>
      </c>
      <c r="H1092" s="382">
        <f>IF(AND('NOVIEMBRE 2026'!D46&lt;&gt;"",'NOVIEMBRE 2026'!Z46="POR RECOGER"),'NOVIEMBRE 2026'!N46,"")</f>
        <v/>
      </c>
      <c r="I1092" s="381">
        <f>IF(AND('NOVIEMBRE 2026'!D46&lt;&gt;"",'NOVIEMBRE 2026'!Z46="POR RECOGER"),'NOVIEMBRE 2026'!P46,"")</f>
        <v/>
      </c>
      <c r="J1092" s="381">
        <f>IF(AND('NOVIEMBRE 2026'!D46&lt;&gt;"",'NOVIEMBRE 2026'!Z46="POR RECOGER"),'NOVIEMBRE 2026'!Q46,"")</f>
        <v/>
      </c>
      <c r="K1092" s="381">
        <f>IF(AND('NOVIEMBRE 2026'!D46&lt;&gt;"",'NOVIEMBRE 2026'!Z46="POR RECOGER"),'NOVIEMBRE 2026'!Y46,"")</f>
        <v/>
      </c>
      <c r="L1092" s="381">
        <f>IF(AND('NOVIEMBRE 2026'!D46&lt;&gt;"",'NOVIEMBRE 2026'!Z46="POR RECOGER"),'NOVIEMBRE 2026'!I46,"")</f>
        <v/>
      </c>
      <c r="P1092" s="194" t="n"/>
      <c r="Q1092" s="194" t="n"/>
      <c r="R1092" s="194" t="n"/>
      <c r="S1092" s="194" t="n"/>
      <c r="T1092" s="194" t="n"/>
      <c r="U1092" s="194" t="n"/>
      <c r="V1092" s="194" t="n"/>
      <c r="W1092" s="194" t="n"/>
      <c r="X1092" s="194" t="n"/>
      <c r="Y1092" s="194" t="n"/>
      <c r="Z1092" s="194" t="n"/>
    </row>
    <row r="1093" ht="15" customHeight="1" s="195">
      <c r="A1093" s="381">
        <f>IF(AND('NOVIEMBRE 2026'!D47&lt;&gt;"",'NOVIEMBRE 2026'!Z47="POR RECOGER"),"NOV","")</f>
        <v/>
      </c>
      <c r="B1093" s="381">
        <f>IF(AND('NOVIEMBRE 2026'!D47&lt;&gt;"",'NOVIEMBRE 2026'!Z47="POR RECOGER"),IF('NOVIEMBRE 2026'!Y47&lt;&gt;"",'NOVIEMBRE 2026'!Y47,'NOVIEMBRE 2026'!I47),"")</f>
        <v/>
      </c>
      <c r="C1093" s="381">
        <f>IF(AND('NOVIEMBRE 2026'!D47&lt;&gt;"",'NOVIEMBRE 2026'!Z47="POR RECOGER"),'NOVIEMBRE 2026'!D47,"")</f>
        <v/>
      </c>
      <c r="D1093" s="381">
        <f>IF(AND('NOVIEMBRE 2026'!D47&lt;&gt;"",'NOVIEMBRE 2026'!Z47="POR RECOGER"),'NOVIEMBRE 2026'!F47,"")</f>
        <v/>
      </c>
      <c r="E1093" s="381">
        <f>IF(AND('NOVIEMBRE 2026'!D47&lt;&gt;"",'NOVIEMBRE 2026'!Z47="POR RECOGER"),TEXT('NOVIEMBRE 2026'!G47,"DD/MM/YYYY"),"")</f>
        <v/>
      </c>
      <c r="F1093" s="381">
        <f>IF(AND('NOVIEMBRE 2026'!D47&lt;&gt;"",'NOVIEMBRE 2026'!Z47="POR RECOGER"),'NOVIEMBRE 2026'!K47,"")</f>
        <v/>
      </c>
      <c r="G1093" s="382">
        <f>IF(AND('NOVIEMBRE 2026'!D47&lt;&gt;"",'NOVIEMBRE 2026'!Z47="POR RECOGER"),'NOVIEMBRE 2026'!M47,"")</f>
        <v/>
      </c>
      <c r="H1093" s="382">
        <f>IF(AND('NOVIEMBRE 2026'!D47&lt;&gt;"",'NOVIEMBRE 2026'!Z47="POR RECOGER"),'NOVIEMBRE 2026'!N47,"")</f>
        <v/>
      </c>
      <c r="I1093" s="381">
        <f>IF(AND('NOVIEMBRE 2026'!D47&lt;&gt;"",'NOVIEMBRE 2026'!Z47="POR RECOGER"),'NOVIEMBRE 2026'!P47,"")</f>
        <v/>
      </c>
      <c r="J1093" s="381">
        <f>IF(AND('NOVIEMBRE 2026'!D47&lt;&gt;"",'NOVIEMBRE 2026'!Z47="POR RECOGER"),'NOVIEMBRE 2026'!Q47,"")</f>
        <v/>
      </c>
      <c r="K1093" s="381">
        <f>IF(AND('NOVIEMBRE 2026'!D47&lt;&gt;"",'NOVIEMBRE 2026'!Z47="POR RECOGER"),'NOVIEMBRE 2026'!Y47,"")</f>
        <v/>
      </c>
      <c r="L1093" s="381">
        <f>IF(AND('NOVIEMBRE 2026'!D47&lt;&gt;"",'NOVIEMBRE 2026'!Z47="POR RECOGER"),'NOVIEMBRE 2026'!I47,"")</f>
        <v/>
      </c>
      <c r="P1093" s="194" t="n"/>
      <c r="Q1093" s="194" t="n"/>
      <c r="R1093" s="194" t="n"/>
      <c r="S1093" s="194" t="n"/>
      <c r="T1093" s="194" t="n"/>
      <c r="U1093" s="194" t="n"/>
      <c r="V1093" s="194" t="n"/>
      <c r="W1093" s="194" t="n"/>
      <c r="X1093" s="194" t="n"/>
      <c r="Y1093" s="194" t="n"/>
      <c r="Z1093" s="194" t="n"/>
    </row>
    <row r="1094" ht="15" customHeight="1" s="195">
      <c r="A1094" s="381">
        <f>IF(AND('NOVIEMBRE 2026'!D48&lt;&gt;"",'NOVIEMBRE 2026'!Z48="POR RECOGER"),"NOV","")</f>
        <v/>
      </c>
      <c r="B1094" s="381">
        <f>IF(AND('NOVIEMBRE 2026'!D48&lt;&gt;"",'NOVIEMBRE 2026'!Z48="POR RECOGER"),IF('NOVIEMBRE 2026'!Y48&lt;&gt;"",'NOVIEMBRE 2026'!Y48,'NOVIEMBRE 2026'!I48),"")</f>
        <v/>
      </c>
      <c r="C1094" s="381">
        <f>IF(AND('NOVIEMBRE 2026'!D48&lt;&gt;"",'NOVIEMBRE 2026'!Z48="POR RECOGER"),'NOVIEMBRE 2026'!D48,"")</f>
        <v/>
      </c>
      <c r="D1094" s="381">
        <f>IF(AND('NOVIEMBRE 2026'!D48&lt;&gt;"",'NOVIEMBRE 2026'!Z48="POR RECOGER"),'NOVIEMBRE 2026'!F48,"")</f>
        <v/>
      </c>
      <c r="E1094" s="381">
        <f>IF(AND('NOVIEMBRE 2026'!D48&lt;&gt;"",'NOVIEMBRE 2026'!Z48="POR RECOGER"),TEXT('NOVIEMBRE 2026'!G48,"DD/MM/YYYY"),"")</f>
        <v/>
      </c>
      <c r="F1094" s="381">
        <f>IF(AND('NOVIEMBRE 2026'!D48&lt;&gt;"",'NOVIEMBRE 2026'!Z48="POR RECOGER"),'NOVIEMBRE 2026'!K48,"")</f>
        <v/>
      </c>
      <c r="G1094" s="382">
        <f>IF(AND('NOVIEMBRE 2026'!D48&lt;&gt;"",'NOVIEMBRE 2026'!Z48="POR RECOGER"),'NOVIEMBRE 2026'!M48,"")</f>
        <v/>
      </c>
      <c r="H1094" s="382">
        <f>IF(AND('NOVIEMBRE 2026'!D48&lt;&gt;"",'NOVIEMBRE 2026'!Z48="POR RECOGER"),'NOVIEMBRE 2026'!N48,"")</f>
        <v/>
      </c>
      <c r="I1094" s="381">
        <f>IF(AND('NOVIEMBRE 2026'!D48&lt;&gt;"",'NOVIEMBRE 2026'!Z48="POR RECOGER"),'NOVIEMBRE 2026'!P48,"")</f>
        <v/>
      </c>
      <c r="J1094" s="381">
        <f>IF(AND('NOVIEMBRE 2026'!D48&lt;&gt;"",'NOVIEMBRE 2026'!Z48="POR RECOGER"),'NOVIEMBRE 2026'!Q48,"")</f>
        <v/>
      </c>
      <c r="K1094" s="381">
        <f>IF(AND('NOVIEMBRE 2026'!D48&lt;&gt;"",'NOVIEMBRE 2026'!Z48="POR RECOGER"),'NOVIEMBRE 2026'!Y48,"")</f>
        <v/>
      </c>
      <c r="L1094" s="381">
        <f>IF(AND('NOVIEMBRE 2026'!D48&lt;&gt;"",'NOVIEMBRE 2026'!Z48="POR RECOGER"),'NOVIEMBRE 2026'!I48,"")</f>
        <v/>
      </c>
      <c r="P1094" s="194" t="n"/>
      <c r="Q1094" s="194" t="n"/>
      <c r="R1094" s="194" t="n"/>
      <c r="S1094" s="194" t="n"/>
      <c r="T1094" s="194" t="n"/>
      <c r="U1094" s="194" t="n"/>
      <c r="V1094" s="194" t="n"/>
      <c r="W1094" s="194" t="n"/>
      <c r="X1094" s="194" t="n"/>
      <c r="Y1094" s="194" t="n"/>
      <c r="Z1094" s="194" t="n"/>
    </row>
    <row r="1095" ht="15" customHeight="1" s="195">
      <c r="A1095" s="381">
        <f>IF(AND('NOVIEMBRE 2026'!D49&lt;&gt;"",'NOVIEMBRE 2026'!Z49="POR RECOGER"),"NOV","")</f>
        <v/>
      </c>
      <c r="B1095" s="381">
        <f>IF(AND('NOVIEMBRE 2026'!D49&lt;&gt;"",'NOVIEMBRE 2026'!Z49="POR RECOGER"),IF('NOVIEMBRE 2026'!Y49&lt;&gt;"",'NOVIEMBRE 2026'!Y49,'NOVIEMBRE 2026'!I49),"")</f>
        <v/>
      </c>
      <c r="C1095" s="381">
        <f>IF(AND('NOVIEMBRE 2026'!D49&lt;&gt;"",'NOVIEMBRE 2026'!Z49="POR RECOGER"),'NOVIEMBRE 2026'!D49,"")</f>
        <v/>
      </c>
      <c r="D1095" s="381">
        <f>IF(AND('NOVIEMBRE 2026'!D49&lt;&gt;"",'NOVIEMBRE 2026'!Z49="POR RECOGER"),'NOVIEMBRE 2026'!F49,"")</f>
        <v/>
      </c>
      <c r="E1095" s="381">
        <f>IF(AND('NOVIEMBRE 2026'!D49&lt;&gt;"",'NOVIEMBRE 2026'!Z49="POR RECOGER"),TEXT('NOVIEMBRE 2026'!G49,"DD/MM/YYYY"),"")</f>
        <v/>
      </c>
      <c r="F1095" s="381">
        <f>IF(AND('NOVIEMBRE 2026'!D49&lt;&gt;"",'NOVIEMBRE 2026'!Z49="POR RECOGER"),'NOVIEMBRE 2026'!K49,"")</f>
        <v/>
      </c>
      <c r="G1095" s="382">
        <f>IF(AND('NOVIEMBRE 2026'!D49&lt;&gt;"",'NOVIEMBRE 2026'!Z49="POR RECOGER"),'NOVIEMBRE 2026'!M49,"")</f>
        <v/>
      </c>
      <c r="H1095" s="382">
        <f>IF(AND('NOVIEMBRE 2026'!D49&lt;&gt;"",'NOVIEMBRE 2026'!Z49="POR RECOGER"),'NOVIEMBRE 2026'!N49,"")</f>
        <v/>
      </c>
      <c r="I1095" s="381">
        <f>IF(AND('NOVIEMBRE 2026'!D49&lt;&gt;"",'NOVIEMBRE 2026'!Z49="POR RECOGER"),'NOVIEMBRE 2026'!P49,"")</f>
        <v/>
      </c>
      <c r="J1095" s="381">
        <f>IF(AND('NOVIEMBRE 2026'!D49&lt;&gt;"",'NOVIEMBRE 2026'!Z49="POR RECOGER"),'NOVIEMBRE 2026'!Q49,"")</f>
        <v/>
      </c>
      <c r="K1095" s="381">
        <f>IF(AND('NOVIEMBRE 2026'!D49&lt;&gt;"",'NOVIEMBRE 2026'!Z49="POR RECOGER"),'NOVIEMBRE 2026'!Y49,"")</f>
        <v/>
      </c>
      <c r="L1095" s="381">
        <f>IF(AND('NOVIEMBRE 2026'!D49&lt;&gt;"",'NOVIEMBRE 2026'!Z49="POR RECOGER"),'NOVIEMBRE 2026'!I49,"")</f>
        <v/>
      </c>
      <c r="P1095" s="194" t="n"/>
      <c r="Q1095" s="194" t="n"/>
      <c r="R1095" s="194" t="n"/>
      <c r="S1095" s="194" t="n"/>
      <c r="T1095" s="194" t="n"/>
      <c r="U1095" s="194" t="n"/>
      <c r="V1095" s="194" t="n"/>
      <c r="W1095" s="194" t="n"/>
      <c r="X1095" s="194" t="n"/>
      <c r="Y1095" s="194" t="n"/>
      <c r="Z1095" s="194" t="n"/>
    </row>
    <row r="1096" ht="15" customHeight="1" s="195">
      <c r="A1096" s="381">
        <f>IF(AND('NOVIEMBRE 2026'!D50&lt;&gt;"",'NOVIEMBRE 2026'!Z50="POR RECOGER"),"NOV","")</f>
        <v/>
      </c>
      <c r="B1096" s="381">
        <f>IF(AND('NOVIEMBRE 2026'!D50&lt;&gt;"",'NOVIEMBRE 2026'!Z50="POR RECOGER"),IF('NOVIEMBRE 2026'!Y50&lt;&gt;"",'NOVIEMBRE 2026'!Y50,'NOVIEMBRE 2026'!I50),"")</f>
        <v/>
      </c>
      <c r="C1096" s="381">
        <f>IF(AND('NOVIEMBRE 2026'!D50&lt;&gt;"",'NOVIEMBRE 2026'!Z50="POR RECOGER"),'NOVIEMBRE 2026'!D50,"")</f>
        <v/>
      </c>
      <c r="D1096" s="381">
        <f>IF(AND('NOVIEMBRE 2026'!D50&lt;&gt;"",'NOVIEMBRE 2026'!Z50="POR RECOGER"),'NOVIEMBRE 2026'!F50,"")</f>
        <v/>
      </c>
      <c r="E1096" s="381">
        <f>IF(AND('NOVIEMBRE 2026'!D50&lt;&gt;"",'NOVIEMBRE 2026'!Z50="POR RECOGER"),TEXT('NOVIEMBRE 2026'!G50,"DD/MM/YYYY"),"")</f>
        <v/>
      </c>
      <c r="F1096" s="381">
        <f>IF(AND('NOVIEMBRE 2026'!D50&lt;&gt;"",'NOVIEMBRE 2026'!Z50="POR RECOGER"),'NOVIEMBRE 2026'!K50,"")</f>
        <v/>
      </c>
      <c r="G1096" s="382">
        <f>IF(AND('NOVIEMBRE 2026'!D50&lt;&gt;"",'NOVIEMBRE 2026'!Z50="POR RECOGER"),'NOVIEMBRE 2026'!M50,"")</f>
        <v/>
      </c>
      <c r="H1096" s="382">
        <f>IF(AND('NOVIEMBRE 2026'!D50&lt;&gt;"",'NOVIEMBRE 2026'!Z50="POR RECOGER"),'NOVIEMBRE 2026'!N50,"")</f>
        <v/>
      </c>
      <c r="I1096" s="381">
        <f>IF(AND('NOVIEMBRE 2026'!D50&lt;&gt;"",'NOVIEMBRE 2026'!Z50="POR RECOGER"),'NOVIEMBRE 2026'!P50,"")</f>
        <v/>
      </c>
      <c r="J1096" s="381">
        <f>IF(AND('NOVIEMBRE 2026'!D50&lt;&gt;"",'NOVIEMBRE 2026'!Z50="POR RECOGER"),'NOVIEMBRE 2026'!Q50,"")</f>
        <v/>
      </c>
      <c r="K1096" s="381">
        <f>IF(AND('NOVIEMBRE 2026'!D50&lt;&gt;"",'NOVIEMBRE 2026'!Z50="POR RECOGER"),'NOVIEMBRE 2026'!Y50,"")</f>
        <v/>
      </c>
      <c r="L1096" s="381">
        <f>IF(AND('NOVIEMBRE 2026'!D50&lt;&gt;"",'NOVIEMBRE 2026'!Z50="POR RECOGER"),'NOVIEMBRE 2026'!I50,"")</f>
        <v/>
      </c>
      <c r="P1096" s="194" t="n"/>
      <c r="Q1096" s="194" t="n"/>
      <c r="R1096" s="194" t="n"/>
      <c r="S1096" s="194" t="n"/>
      <c r="T1096" s="194" t="n"/>
      <c r="U1096" s="194" t="n"/>
      <c r="V1096" s="194" t="n"/>
      <c r="W1096" s="194" t="n"/>
      <c r="X1096" s="194" t="n"/>
      <c r="Y1096" s="194" t="n"/>
      <c r="Z1096" s="194" t="n"/>
    </row>
    <row r="1097" ht="15" customHeight="1" s="195">
      <c r="A1097" s="381">
        <f>IF(AND('NOVIEMBRE 2026'!D51&lt;&gt;"",'NOVIEMBRE 2026'!Z51="POR RECOGER"),"NOV","")</f>
        <v/>
      </c>
      <c r="B1097" s="381">
        <f>IF(AND('NOVIEMBRE 2026'!D51&lt;&gt;"",'NOVIEMBRE 2026'!Z51="POR RECOGER"),IF('NOVIEMBRE 2026'!Y51&lt;&gt;"",'NOVIEMBRE 2026'!Y51,'NOVIEMBRE 2026'!I51),"")</f>
        <v/>
      </c>
      <c r="C1097" s="381">
        <f>IF(AND('NOVIEMBRE 2026'!D51&lt;&gt;"",'NOVIEMBRE 2026'!Z51="POR RECOGER"),'NOVIEMBRE 2026'!D51,"")</f>
        <v/>
      </c>
      <c r="D1097" s="381">
        <f>IF(AND('NOVIEMBRE 2026'!D51&lt;&gt;"",'NOVIEMBRE 2026'!Z51="POR RECOGER"),'NOVIEMBRE 2026'!F51,"")</f>
        <v/>
      </c>
      <c r="E1097" s="381">
        <f>IF(AND('NOVIEMBRE 2026'!D51&lt;&gt;"",'NOVIEMBRE 2026'!Z51="POR RECOGER"),TEXT('NOVIEMBRE 2026'!G51,"DD/MM/YYYY"),"")</f>
        <v/>
      </c>
      <c r="F1097" s="381">
        <f>IF(AND('NOVIEMBRE 2026'!D51&lt;&gt;"",'NOVIEMBRE 2026'!Z51="POR RECOGER"),'NOVIEMBRE 2026'!K51,"")</f>
        <v/>
      </c>
      <c r="G1097" s="382">
        <f>IF(AND('NOVIEMBRE 2026'!D51&lt;&gt;"",'NOVIEMBRE 2026'!Z51="POR RECOGER"),'NOVIEMBRE 2026'!M51,"")</f>
        <v/>
      </c>
      <c r="H1097" s="382">
        <f>IF(AND('NOVIEMBRE 2026'!D51&lt;&gt;"",'NOVIEMBRE 2026'!Z51="POR RECOGER"),'NOVIEMBRE 2026'!N51,"")</f>
        <v/>
      </c>
      <c r="I1097" s="381">
        <f>IF(AND('NOVIEMBRE 2026'!D51&lt;&gt;"",'NOVIEMBRE 2026'!Z51="POR RECOGER"),'NOVIEMBRE 2026'!P51,"")</f>
        <v/>
      </c>
      <c r="J1097" s="381">
        <f>IF(AND('NOVIEMBRE 2026'!D51&lt;&gt;"",'NOVIEMBRE 2026'!Z51="POR RECOGER"),'NOVIEMBRE 2026'!Q51,"")</f>
        <v/>
      </c>
      <c r="K1097" s="381">
        <f>IF(AND('NOVIEMBRE 2026'!D51&lt;&gt;"",'NOVIEMBRE 2026'!Z51="POR RECOGER"),'NOVIEMBRE 2026'!Y51,"")</f>
        <v/>
      </c>
      <c r="L1097" s="381">
        <f>IF(AND('NOVIEMBRE 2026'!D51&lt;&gt;"",'NOVIEMBRE 2026'!Z51="POR RECOGER"),'NOVIEMBRE 2026'!I51,"")</f>
        <v/>
      </c>
      <c r="P1097" s="194" t="n"/>
      <c r="Q1097" s="194" t="n"/>
      <c r="R1097" s="194" t="n"/>
      <c r="S1097" s="194" t="n"/>
      <c r="T1097" s="194" t="n"/>
      <c r="U1097" s="194" t="n"/>
      <c r="V1097" s="194" t="n"/>
      <c r="W1097" s="194" t="n"/>
      <c r="X1097" s="194" t="n"/>
      <c r="Y1097" s="194" t="n"/>
      <c r="Z1097" s="194" t="n"/>
    </row>
    <row r="1098" ht="15" customHeight="1" s="195">
      <c r="A1098" s="381">
        <f>IF(AND('NOVIEMBRE 2026'!D52&lt;&gt;"",'NOVIEMBRE 2026'!Z52="POR RECOGER"),"NOV","")</f>
        <v/>
      </c>
      <c r="B1098" s="381">
        <f>IF(AND('NOVIEMBRE 2026'!D52&lt;&gt;"",'NOVIEMBRE 2026'!Z52="POR RECOGER"),IF('NOVIEMBRE 2026'!Y52&lt;&gt;"",'NOVIEMBRE 2026'!Y52,'NOVIEMBRE 2026'!I52),"")</f>
        <v/>
      </c>
      <c r="C1098" s="381">
        <f>IF(AND('NOVIEMBRE 2026'!D52&lt;&gt;"",'NOVIEMBRE 2026'!Z52="POR RECOGER"),'NOVIEMBRE 2026'!D52,"")</f>
        <v/>
      </c>
      <c r="D1098" s="381">
        <f>IF(AND('NOVIEMBRE 2026'!D52&lt;&gt;"",'NOVIEMBRE 2026'!Z52="POR RECOGER"),'NOVIEMBRE 2026'!F52,"")</f>
        <v/>
      </c>
      <c r="E1098" s="381">
        <f>IF(AND('NOVIEMBRE 2026'!D52&lt;&gt;"",'NOVIEMBRE 2026'!Z52="POR RECOGER"),TEXT('NOVIEMBRE 2026'!G52,"DD/MM/YYYY"),"")</f>
        <v/>
      </c>
      <c r="F1098" s="381">
        <f>IF(AND('NOVIEMBRE 2026'!D52&lt;&gt;"",'NOVIEMBRE 2026'!Z52="POR RECOGER"),'NOVIEMBRE 2026'!K52,"")</f>
        <v/>
      </c>
      <c r="G1098" s="382">
        <f>IF(AND('NOVIEMBRE 2026'!D52&lt;&gt;"",'NOVIEMBRE 2026'!Z52="POR RECOGER"),'NOVIEMBRE 2026'!M52,"")</f>
        <v/>
      </c>
      <c r="H1098" s="382">
        <f>IF(AND('NOVIEMBRE 2026'!D52&lt;&gt;"",'NOVIEMBRE 2026'!Z52="POR RECOGER"),'NOVIEMBRE 2026'!N52,"")</f>
        <v/>
      </c>
      <c r="I1098" s="381">
        <f>IF(AND('NOVIEMBRE 2026'!D52&lt;&gt;"",'NOVIEMBRE 2026'!Z52="POR RECOGER"),'NOVIEMBRE 2026'!P52,"")</f>
        <v/>
      </c>
      <c r="J1098" s="381">
        <f>IF(AND('NOVIEMBRE 2026'!D52&lt;&gt;"",'NOVIEMBRE 2026'!Z52="POR RECOGER"),'NOVIEMBRE 2026'!Q52,"")</f>
        <v/>
      </c>
      <c r="K1098" s="381">
        <f>IF(AND('NOVIEMBRE 2026'!D52&lt;&gt;"",'NOVIEMBRE 2026'!Z52="POR RECOGER"),'NOVIEMBRE 2026'!Y52,"")</f>
        <v/>
      </c>
      <c r="L1098" s="381">
        <f>IF(AND('NOVIEMBRE 2026'!D52&lt;&gt;"",'NOVIEMBRE 2026'!Z52="POR RECOGER"),'NOVIEMBRE 2026'!I52,"")</f>
        <v/>
      </c>
      <c r="P1098" s="194" t="n"/>
      <c r="Q1098" s="194" t="n"/>
      <c r="R1098" s="194" t="n"/>
      <c r="S1098" s="194" t="n"/>
      <c r="T1098" s="194" t="n"/>
      <c r="U1098" s="194" t="n"/>
      <c r="V1098" s="194" t="n"/>
      <c r="W1098" s="194" t="n"/>
      <c r="X1098" s="194" t="n"/>
      <c r="Y1098" s="194" t="n"/>
      <c r="Z1098" s="194" t="n"/>
    </row>
    <row r="1099" ht="15" customHeight="1" s="195">
      <c r="A1099" s="381">
        <f>IF(AND('NOVIEMBRE 2026'!D53&lt;&gt;"",'NOVIEMBRE 2026'!Z53="POR RECOGER"),"NOV","")</f>
        <v/>
      </c>
      <c r="B1099" s="381">
        <f>IF(AND('NOVIEMBRE 2026'!D53&lt;&gt;"",'NOVIEMBRE 2026'!Z53="POR RECOGER"),IF('NOVIEMBRE 2026'!Y53&lt;&gt;"",'NOVIEMBRE 2026'!Y53,'NOVIEMBRE 2026'!I53),"")</f>
        <v/>
      </c>
      <c r="C1099" s="381">
        <f>IF(AND('NOVIEMBRE 2026'!D53&lt;&gt;"",'NOVIEMBRE 2026'!Z53="POR RECOGER"),'NOVIEMBRE 2026'!D53,"")</f>
        <v/>
      </c>
      <c r="D1099" s="381">
        <f>IF(AND('NOVIEMBRE 2026'!D53&lt;&gt;"",'NOVIEMBRE 2026'!Z53="POR RECOGER"),'NOVIEMBRE 2026'!F53,"")</f>
        <v/>
      </c>
      <c r="E1099" s="381">
        <f>IF(AND('NOVIEMBRE 2026'!D53&lt;&gt;"",'NOVIEMBRE 2026'!Z53="POR RECOGER"),TEXT('NOVIEMBRE 2026'!G53,"DD/MM/YYYY"),"")</f>
        <v/>
      </c>
      <c r="F1099" s="381">
        <f>IF(AND('NOVIEMBRE 2026'!D53&lt;&gt;"",'NOVIEMBRE 2026'!Z53="POR RECOGER"),'NOVIEMBRE 2026'!K53,"")</f>
        <v/>
      </c>
      <c r="G1099" s="382">
        <f>IF(AND('NOVIEMBRE 2026'!D53&lt;&gt;"",'NOVIEMBRE 2026'!Z53="POR RECOGER"),'NOVIEMBRE 2026'!M53,"")</f>
        <v/>
      </c>
      <c r="H1099" s="382">
        <f>IF(AND('NOVIEMBRE 2026'!D53&lt;&gt;"",'NOVIEMBRE 2026'!Z53="POR RECOGER"),'NOVIEMBRE 2026'!N53,"")</f>
        <v/>
      </c>
      <c r="I1099" s="381">
        <f>IF(AND('NOVIEMBRE 2026'!D53&lt;&gt;"",'NOVIEMBRE 2026'!Z53="POR RECOGER"),'NOVIEMBRE 2026'!P53,"")</f>
        <v/>
      </c>
      <c r="J1099" s="381">
        <f>IF(AND('NOVIEMBRE 2026'!D53&lt;&gt;"",'NOVIEMBRE 2026'!Z53="POR RECOGER"),'NOVIEMBRE 2026'!Q53,"")</f>
        <v/>
      </c>
      <c r="K1099" s="381">
        <f>IF(AND('NOVIEMBRE 2026'!D53&lt;&gt;"",'NOVIEMBRE 2026'!Z53="POR RECOGER"),'NOVIEMBRE 2026'!Y53,"")</f>
        <v/>
      </c>
      <c r="L1099" s="381">
        <f>IF(AND('NOVIEMBRE 2026'!D53&lt;&gt;"",'NOVIEMBRE 2026'!Z53="POR RECOGER"),'NOVIEMBRE 2026'!I53,"")</f>
        <v/>
      </c>
      <c r="P1099" s="194" t="n"/>
      <c r="Q1099" s="194" t="n"/>
      <c r="R1099" s="194" t="n"/>
      <c r="S1099" s="194" t="n"/>
      <c r="T1099" s="194" t="n"/>
      <c r="U1099" s="194" t="n"/>
      <c r="V1099" s="194" t="n"/>
      <c r="W1099" s="194" t="n"/>
      <c r="X1099" s="194" t="n"/>
      <c r="Y1099" s="194" t="n"/>
      <c r="Z1099" s="194" t="n"/>
    </row>
    <row r="1100" ht="15" customHeight="1" s="195">
      <c r="A1100" s="381">
        <f>IF(AND('NOVIEMBRE 2026'!D54&lt;&gt;"",'NOVIEMBRE 2026'!Z54="POR RECOGER"),"NOV","")</f>
        <v/>
      </c>
      <c r="B1100" s="381">
        <f>IF(AND('NOVIEMBRE 2026'!D54&lt;&gt;"",'NOVIEMBRE 2026'!Z54="POR RECOGER"),IF('NOVIEMBRE 2026'!Y54&lt;&gt;"",'NOVIEMBRE 2026'!Y54,'NOVIEMBRE 2026'!I54),"")</f>
        <v/>
      </c>
      <c r="C1100" s="381">
        <f>IF(AND('NOVIEMBRE 2026'!D54&lt;&gt;"",'NOVIEMBRE 2026'!Z54="POR RECOGER"),'NOVIEMBRE 2026'!D54,"")</f>
        <v/>
      </c>
      <c r="D1100" s="381">
        <f>IF(AND('NOVIEMBRE 2026'!D54&lt;&gt;"",'NOVIEMBRE 2026'!Z54="POR RECOGER"),'NOVIEMBRE 2026'!F54,"")</f>
        <v/>
      </c>
      <c r="E1100" s="381">
        <f>IF(AND('NOVIEMBRE 2026'!D54&lt;&gt;"",'NOVIEMBRE 2026'!Z54="POR RECOGER"),TEXT('NOVIEMBRE 2026'!G54,"DD/MM/YYYY"),"")</f>
        <v/>
      </c>
      <c r="F1100" s="381">
        <f>IF(AND('NOVIEMBRE 2026'!D54&lt;&gt;"",'NOVIEMBRE 2026'!Z54="POR RECOGER"),'NOVIEMBRE 2026'!K54,"")</f>
        <v/>
      </c>
      <c r="G1100" s="382">
        <f>IF(AND('NOVIEMBRE 2026'!D54&lt;&gt;"",'NOVIEMBRE 2026'!Z54="POR RECOGER"),'NOVIEMBRE 2026'!M54,"")</f>
        <v/>
      </c>
      <c r="H1100" s="382">
        <f>IF(AND('NOVIEMBRE 2026'!D54&lt;&gt;"",'NOVIEMBRE 2026'!Z54="POR RECOGER"),'NOVIEMBRE 2026'!N54,"")</f>
        <v/>
      </c>
      <c r="I1100" s="381">
        <f>IF(AND('NOVIEMBRE 2026'!D54&lt;&gt;"",'NOVIEMBRE 2026'!Z54="POR RECOGER"),'NOVIEMBRE 2026'!P54,"")</f>
        <v/>
      </c>
      <c r="J1100" s="381">
        <f>IF(AND('NOVIEMBRE 2026'!D54&lt;&gt;"",'NOVIEMBRE 2026'!Z54="POR RECOGER"),'NOVIEMBRE 2026'!Q54,"")</f>
        <v/>
      </c>
      <c r="K1100" s="381">
        <f>IF(AND('NOVIEMBRE 2026'!D54&lt;&gt;"",'NOVIEMBRE 2026'!Z54="POR RECOGER"),'NOVIEMBRE 2026'!Y54,"")</f>
        <v/>
      </c>
      <c r="L1100" s="381">
        <f>IF(AND('NOVIEMBRE 2026'!D54&lt;&gt;"",'NOVIEMBRE 2026'!Z54="POR RECOGER"),'NOVIEMBRE 2026'!I54,"")</f>
        <v/>
      </c>
      <c r="P1100" s="194" t="n"/>
      <c r="Q1100" s="194" t="n"/>
      <c r="R1100" s="194" t="n"/>
      <c r="S1100" s="194" t="n"/>
      <c r="T1100" s="194" t="n"/>
      <c r="U1100" s="194" t="n"/>
      <c r="V1100" s="194" t="n"/>
      <c r="W1100" s="194" t="n"/>
      <c r="X1100" s="194" t="n"/>
      <c r="Y1100" s="194" t="n"/>
      <c r="Z1100" s="194" t="n"/>
    </row>
    <row r="1101" ht="15" customHeight="1" s="195">
      <c r="A1101" s="381">
        <f>IF(AND('NOVIEMBRE 2026'!D55&lt;&gt;"",'NOVIEMBRE 2026'!Z55="POR RECOGER"),"NOV","")</f>
        <v/>
      </c>
      <c r="B1101" s="381">
        <f>IF(AND('NOVIEMBRE 2026'!D55&lt;&gt;"",'NOVIEMBRE 2026'!Z55="POR RECOGER"),IF('NOVIEMBRE 2026'!Y55&lt;&gt;"",'NOVIEMBRE 2026'!Y55,'NOVIEMBRE 2026'!I55),"")</f>
        <v/>
      </c>
      <c r="C1101" s="381">
        <f>IF(AND('NOVIEMBRE 2026'!D55&lt;&gt;"",'NOVIEMBRE 2026'!Z55="POR RECOGER"),'NOVIEMBRE 2026'!D55,"")</f>
        <v/>
      </c>
      <c r="D1101" s="381">
        <f>IF(AND('NOVIEMBRE 2026'!D55&lt;&gt;"",'NOVIEMBRE 2026'!Z55="POR RECOGER"),'NOVIEMBRE 2026'!F55,"")</f>
        <v/>
      </c>
      <c r="E1101" s="381">
        <f>IF(AND('NOVIEMBRE 2026'!D55&lt;&gt;"",'NOVIEMBRE 2026'!Z55="POR RECOGER"),TEXT('NOVIEMBRE 2026'!G55,"DD/MM/YYYY"),"")</f>
        <v/>
      </c>
      <c r="F1101" s="381">
        <f>IF(AND('NOVIEMBRE 2026'!D55&lt;&gt;"",'NOVIEMBRE 2026'!Z55="POR RECOGER"),'NOVIEMBRE 2026'!K55,"")</f>
        <v/>
      </c>
      <c r="G1101" s="382">
        <f>IF(AND('NOVIEMBRE 2026'!D55&lt;&gt;"",'NOVIEMBRE 2026'!Z55="POR RECOGER"),'NOVIEMBRE 2026'!M55,"")</f>
        <v/>
      </c>
      <c r="H1101" s="382">
        <f>IF(AND('NOVIEMBRE 2026'!D55&lt;&gt;"",'NOVIEMBRE 2026'!Z55="POR RECOGER"),'NOVIEMBRE 2026'!N55,"")</f>
        <v/>
      </c>
      <c r="I1101" s="381">
        <f>IF(AND('NOVIEMBRE 2026'!D55&lt;&gt;"",'NOVIEMBRE 2026'!Z55="POR RECOGER"),'NOVIEMBRE 2026'!P55,"")</f>
        <v/>
      </c>
      <c r="J1101" s="381">
        <f>IF(AND('NOVIEMBRE 2026'!D55&lt;&gt;"",'NOVIEMBRE 2026'!Z55="POR RECOGER"),'NOVIEMBRE 2026'!Q55,"")</f>
        <v/>
      </c>
      <c r="K1101" s="381">
        <f>IF(AND('NOVIEMBRE 2026'!D55&lt;&gt;"",'NOVIEMBRE 2026'!Z55="POR RECOGER"),'NOVIEMBRE 2026'!Y55,"")</f>
        <v/>
      </c>
      <c r="L1101" s="381">
        <f>IF(AND('NOVIEMBRE 2026'!D55&lt;&gt;"",'NOVIEMBRE 2026'!Z55="POR RECOGER"),'NOVIEMBRE 2026'!I55,"")</f>
        <v/>
      </c>
      <c r="P1101" s="194" t="n"/>
      <c r="Q1101" s="194" t="n"/>
      <c r="R1101" s="194" t="n"/>
      <c r="S1101" s="194" t="n"/>
      <c r="T1101" s="194" t="n"/>
      <c r="U1101" s="194" t="n"/>
      <c r="V1101" s="194" t="n"/>
      <c r="W1101" s="194" t="n"/>
      <c r="X1101" s="194" t="n"/>
      <c r="Y1101" s="194" t="n"/>
      <c r="Z1101" s="194" t="n"/>
    </row>
    <row r="1102" ht="15" customHeight="1" s="195">
      <c r="A1102" s="381">
        <f>IF(AND('NOVIEMBRE 2026'!D56&lt;&gt;"",'NOVIEMBRE 2026'!Z56="POR RECOGER"),"NOV","")</f>
        <v/>
      </c>
      <c r="B1102" s="381">
        <f>IF(AND('NOVIEMBRE 2026'!D56&lt;&gt;"",'NOVIEMBRE 2026'!Z56="POR RECOGER"),IF('NOVIEMBRE 2026'!Y56&lt;&gt;"",'NOVIEMBRE 2026'!Y56,'NOVIEMBRE 2026'!I56),"")</f>
        <v/>
      </c>
      <c r="C1102" s="381">
        <f>IF(AND('NOVIEMBRE 2026'!D56&lt;&gt;"",'NOVIEMBRE 2026'!Z56="POR RECOGER"),'NOVIEMBRE 2026'!D56,"")</f>
        <v/>
      </c>
      <c r="D1102" s="381">
        <f>IF(AND('NOVIEMBRE 2026'!D56&lt;&gt;"",'NOVIEMBRE 2026'!Z56="POR RECOGER"),'NOVIEMBRE 2026'!F56,"")</f>
        <v/>
      </c>
      <c r="E1102" s="381">
        <f>IF(AND('NOVIEMBRE 2026'!D56&lt;&gt;"",'NOVIEMBRE 2026'!Z56="POR RECOGER"),TEXT('NOVIEMBRE 2026'!G56,"DD/MM/YYYY"),"")</f>
        <v/>
      </c>
      <c r="F1102" s="381">
        <f>IF(AND('NOVIEMBRE 2026'!D56&lt;&gt;"",'NOVIEMBRE 2026'!Z56="POR RECOGER"),'NOVIEMBRE 2026'!K56,"")</f>
        <v/>
      </c>
      <c r="G1102" s="382">
        <f>IF(AND('NOVIEMBRE 2026'!D56&lt;&gt;"",'NOVIEMBRE 2026'!Z56="POR RECOGER"),'NOVIEMBRE 2026'!M56,"")</f>
        <v/>
      </c>
      <c r="H1102" s="382">
        <f>IF(AND('NOVIEMBRE 2026'!D56&lt;&gt;"",'NOVIEMBRE 2026'!Z56="POR RECOGER"),'NOVIEMBRE 2026'!N56,"")</f>
        <v/>
      </c>
      <c r="I1102" s="381">
        <f>IF(AND('NOVIEMBRE 2026'!D56&lt;&gt;"",'NOVIEMBRE 2026'!Z56="POR RECOGER"),'NOVIEMBRE 2026'!P56,"")</f>
        <v/>
      </c>
      <c r="J1102" s="381">
        <f>IF(AND('NOVIEMBRE 2026'!D56&lt;&gt;"",'NOVIEMBRE 2026'!Z56="POR RECOGER"),'NOVIEMBRE 2026'!Q56,"")</f>
        <v/>
      </c>
      <c r="K1102" s="381">
        <f>IF(AND('NOVIEMBRE 2026'!D56&lt;&gt;"",'NOVIEMBRE 2026'!Z56="POR RECOGER"),'NOVIEMBRE 2026'!Y56,"")</f>
        <v/>
      </c>
      <c r="L1102" s="381">
        <f>IF(AND('NOVIEMBRE 2026'!D56&lt;&gt;"",'NOVIEMBRE 2026'!Z56="POR RECOGER"),'NOVIEMBRE 2026'!I56,"")</f>
        <v/>
      </c>
      <c r="P1102" s="194" t="n"/>
      <c r="Q1102" s="194" t="n"/>
      <c r="R1102" s="194" t="n"/>
      <c r="S1102" s="194" t="n"/>
      <c r="T1102" s="194" t="n"/>
      <c r="U1102" s="194" t="n"/>
      <c r="V1102" s="194" t="n"/>
      <c r="W1102" s="194" t="n"/>
      <c r="X1102" s="194" t="n"/>
      <c r="Y1102" s="194" t="n"/>
      <c r="Z1102" s="194" t="n"/>
    </row>
    <row r="1103" ht="15" customHeight="1" s="195">
      <c r="A1103" s="381">
        <f>IF(AND('NOVIEMBRE 2026'!D57&lt;&gt;"",'NOVIEMBRE 2026'!Z57="POR RECOGER"),"NOV","")</f>
        <v/>
      </c>
      <c r="B1103" s="381">
        <f>IF(AND('NOVIEMBRE 2026'!D57&lt;&gt;"",'NOVIEMBRE 2026'!Z57="POR RECOGER"),IF('NOVIEMBRE 2026'!Y57&lt;&gt;"",'NOVIEMBRE 2026'!Y57,'NOVIEMBRE 2026'!I57),"")</f>
        <v/>
      </c>
      <c r="C1103" s="381">
        <f>IF(AND('NOVIEMBRE 2026'!D57&lt;&gt;"",'NOVIEMBRE 2026'!Z57="POR RECOGER"),'NOVIEMBRE 2026'!D57,"")</f>
        <v/>
      </c>
      <c r="D1103" s="381">
        <f>IF(AND('NOVIEMBRE 2026'!D57&lt;&gt;"",'NOVIEMBRE 2026'!Z57="POR RECOGER"),'NOVIEMBRE 2026'!F57,"")</f>
        <v/>
      </c>
      <c r="E1103" s="381">
        <f>IF(AND('NOVIEMBRE 2026'!D57&lt;&gt;"",'NOVIEMBRE 2026'!Z57="POR RECOGER"),TEXT('NOVIEMBRE 2026'!G57,"DD/MM/YYYY"),"")</f>
        <v/>
      </c>
      <c r="F1103" s="381">
        <f>IF(AND('NOVIEMBRE 2026'!D57&lt;&gt;"",'NOVIEMBRE 2026'!Z57="POR RECOGER"),'NOVIEMBRE 2026'!K57,"")</f>
        <v/>
      </c>
      <c r="G1103" s="382">
        <f>IF(AND('NOVIEMBRE 2026'!D57&lt;&gt;"",'NOVIEMBRE 2026'!Z57="POR RECOGER"),'NOVIEMBRE 2026'!M57,"")</f>
        <v/>
      </c>
      <c r="H1103" s="382">
        <f>IF(AND('NOVIEMBRE 2026'!D57&lt;&gt;"",'NOVIEMBRE 2026'!Z57="POR RECOGER"),'NOVIEMBRE 2026'!N57,"")</f>
        <v/>
      </c>
      <c r="I1103" s="381">
        <f>IF(AND('NOVIEMBRE 2026'!D57&lt;&gt;"",'NOVIEMBRE 2026'!Z57="POR RECOGER"),'NOVIEMBRE 2026'!P57,"")</f>
        <v/>
      </c>
      <c r="J1103" s="381">
        <f>IF(AND('NOVIEMBRE 2026'!D57&lt;&gt;"",'NOVIEMBRE 2026'!Z57="POR RECOGER"),'NOVIEMBRE 2026'!Q57,"")</f>
        <v/>
      </c>
      <c r="K1103" s="381">
        <f>IF(AND('NOVIEMBRE 2026'!D57&lt;&gt;"",'NOVIEMBRE 2026'!Z57="POR RECOGER"),'NOVIEMBRE 2026'!Y57,"")</f>
        <v/>
      </c>
      <c r="L1103" s="381">
        <f>IF(AND('NOVIEMBRE 2026'!D57&lt;&gt;"",'NOVIEMBRE 2026'!Z57="POR RECOGER"),'NOVIEMBRE 2026'!I57,"")</f>
        <v/>
      </c>
      <c r="P1103" s="194" t="n"/>
      <c r="Q1103" s="194" t="n"/>
      <c r="R1103" s="194" t="n"/>
      <c r="S1103" s="194" t="n"/>
      <c r="T1103" s="194" t="n"/>
      <c r="U1103" s="194" t="n"/>
      <c r="V1103" s="194" t="n"/>
      <c r="W1103" s="194" t="n"/>
      <c r="X1103" s="194" t="n"/>
      <c r="Y1103" s="194" t="n"/>
      <c r="Z1103" s="194" t="n"/>
    </row>
    <row r="1104" ht="15" customHeight="1" s="195">
      <c r="A1104" s="381">
        <f>IF(AND('NOVIEMBRE 2026'!D58&lt;&gt;"",'NOVIEMBRE 2026'!Z58="POR RECOGER"),"NOV","")</f>
        <v/>
      </c>
      <c r="B1104" s="381">
        <f>IF(AND('NOVIEMBRE 2026'!D58&lt;&gt;"",'NOVIEMBRE 2026'!Z58="POR RECOGER"),IF('NOVIEMBRE 2026'!Y58&lt;&gt;"",'NOVIEMBRE 2026'!Y58,'NOVIEMBRE 2026'!I58),"")</f>
        <v/>
      </c>
      <c r="C1104" s="381">
        <f>IF(AND('NOVIEMBRE 2026'!D58&lt;&gt;"",'NOVIEMBRE 2026'!Z58="POR RECOGER"),'NOVIEMBRE 2026'!D58,"")</f>
        <v/>
      </c>
      <c r="D1104" s="381">
        <f>IF(AND('NOVIEMBRE 2026'!D58&lt;&gt;"",'NOVIEMBRE 2026'!Z58="POR RECOGER"),'NOVIEMBRE 2026'!F58,"")</f>
        <v/>
      </c>
      <c r="E1104" s="381">
        <f>IF(AND('NOVIEMBRE 2026'!D58&lt;&gt;"",'NOVIEMBRE 2026'!Z58="POR RECOGER"),TEXT('NOVIEMBRE 2026'!G58,"DD/MM/YYYY"),"")</f>
        <v/>
      </c>
      <c r="F1104" s="381">
        <f>IF(AND('NOVIEMBRE 2026'!D58&lt;&gt;"",'NOVIEMBRE 2026'!Z58="POR RECOGER"),'NOVIEMBRE 2026'!K58,"")</f>
        <v/>
      </c>
      <c r="G1104" s="382">
        <f>IF(AND('NOVIEMBRE 2026'!D58&lt;&gt;"",'NOVIEMBRE 2026'!Z58="POR RECOGER"),'NOVIEMBRE 2026'!M58,"")</f>
        <v/>
      </c>
      <c r="H1104" s="382">
        <f>IF(AND('NOVIEMBRE 2026'!D58&lt;&gt;"",'NOVIEMBRE 2026'!Z58="POR RECOGER"),'NOVIEMBRE 2026'!N58,"")</f>
        <v/>
      </c>
      <c r="I1104" s="381">
        <f>IF(AND('NOVIEMBRE 2026'!D58&lt;&gt;"",'NOVIEMBRE 2026'!Z58="POR RECOGER"),'NOVIEMBRE 2026'!P58,"")</f>
        <v/>
      </c>
      <c r="J1104" s="381">
        <f>IF(AND('NOVIEMBRE 2026'!D58&lt;&gt;"",'NOVIEMBRE 2026'!Z58="POR RECOGER"),'NOVIEMBRE 2026'!Q58,"")</f>
        <v/>
      </c>
      <c r="K1104" s="381">
        <f>IF(AND('NOVIEMBRE 2026'!D58&lt;&gt;"",'NOVIEMBRE 2026'!Z58="POR RECOGER"),'NOVIEMBRE 2026'!Y58,"")</f>
        <v/>
      </c>
      <c r="L1104" s="381">
        <f>IF(AND('NOVIEMBRE 2026'!D58&lt;&gt;"",'NOVIEMBRE 2026'!Z58="POR RECOGER"),'NOVIEMBRE 2026'!I58,"")</f>
        <v/>
      </c>
      <c r="P1104" s="194" t="n"/>
      <c r="Q1104" s="194" t="n"/>
      <c r="R1104" s="194" t="n"/>
      <c r="S1104" s="194" t="n"/>
      <c r="T1104" s="194" t="n"/>
      <c r="U1104" s="194" t="n"/>
      <c r="V1104" s="194" t="n"/>
      <c r="W1104" s="194" t="n"/>
      <c r="X1104" s="194" t="n"/>
      <c r="Y1104" s="194" t="n"/>
      <c r="Z1104" s="194" t="n"/>
    </row>
    <row r="1105" ht="15" customHeight="1" s="195">
      <c r="A1105" s="381">
        <f>IF(AND('NOVIEMBRE 2026'!D59&lt;&gt;"",'NOVIEMBRE 2026'!Z59="POR RECOGER"),"NOV","")</f>
        <v/>
      </c>
      <c r="B1105" s="381">
        <f>IF(AND('NOVIEMBRE 2026'!D59&lt;&gt;"",'NOVIEMBRE 2026'!Z59="POR RECOGER"),IF('NOVIEMBRE 2026'!Y59&lt;&gt;"",'NOVIEMBRE 2026'!Y59,'NOVIEMBRE 2026'!I59),"")</f>
        <v/>
      </c>
      <c r="C1105" s="381">
        <f>IF(AND('NOVIEMBRE 2026'!D59&lt;&gt;"",'NOVIEMBRE 2026'!Z59="POR RECOGER"),'NOVIEMBRE 2026'!D59,"")</f>
        <v/>
      </c>
      <c r="D1105" s="381">
        <f>IF(AND('NOVIEMBRE 2026'!D59&lt;&gt;"",'NOVIEMBRE 2026'!Z59="POR RECOGER"),'NOVIEMBRE 2026'!F59,"")</f>
        <v/>
      </c>
      <c r="E1105" s="381">
        <f>IF(AND('NOVIEMBRE 2026'!D59&lt;&gt;"",'NOVIEMBRE 2026'!Z59="POR RECOGER"),TEXT('NOVIEMBRE 2026'!G59,"DD/MM/YYYY"),"")</f>
        <v/>
      </c>
      <c r="F1105" s="381">
        <f>IF(AND('NOVIEMBRE 2026'!D59&lt;&gt;"",'NOVIEMBRE 2026'!Z59="POR RECOGER"),'NOVIEMBRE 2026'!K59,"")</f>
        <v/>
      </c>
      <c r="G1105" s="382">
        <f>IF(AND('NOVIEMBRE 2026'!D59&lt;&gt;"",'NOVIEMBRE 2026'!Z59="POR RECOGER"),'NOVIEMBRE 2026'!M59,"")</f>
        <v/>
      </c>
      <c r="H1105" s="382">
        <f>IF(AND('NOVIEMBRE 2026'!D59&lt;&gt;"",'NOVIEMBRE 2026'!Z59="POR RECOGER"),'NOVIEMBRE 2026'!N59,"")</f>
        <v/>
      </c>
      <c r="I1105" s="381">
        <f>IF(AND('NOVIEMBRE 2026'!D59&lt;&gt;"",'NOVIEMBRE 2026'!Z59="POR RECOGER"),'NOVIEMBRE 2026'!P59,"")</f>
        <v/>
      </c>
      <c r="J1105" s="381">
        <f>IF(AND('NOVIEMBRE 2026'!D59&lt;&gt;"",'NOVIEMBRE 2026'!Z59="POR RECOGER"),'NOVIEMBRE 2026'!Q59,"")</f>
        <v/>
      </c>
      <c r="K1105" s="381">
        <f>IF(AND('NOVIEMBRE 2026'!D59&lt;&gt;"",'NOVIEMBRE 2026'!Z59="POR RECOGER"),'NOVIEMBRE 2026'!Y59,"")</f>
        <v/>
      </c>
      <c r="L1105" s="381">
        <f>IF(AND('NOVIEMBRE 2026'!D59&lt;&gt;"",'NOVIEMBRE 2026'!Z59="POR RECOGER"),'NOVIEMBRE 2026'!I59,"")</f>
        <v/>
      </c>
      <c r="P1105" s="194" t="n"/>
      <c r="Q1105" s="194" t="n"/>
      <c r="R1105" s="194" t="n"/>
      <c r="S1105" s="194" t="n"/>
      <c r="T1105" s="194" t="n"/>
      <c r="U1105" s="194" t="n"/>
      <c r="V1105" s="194" t="n"/>
      <c r="W1105" s="194" t="n"/>
      <c r="X1105" s="194" t="n"/>
      <c r="Y1105" s="194" t="n"/>
      <c r="Z1105" s="194" t="n"/>
    </row>
    <row r="1106" ht="15" customHeight="1" s="195">
      <c r="A1106" s="381">
        <f>IF(AND('NOVIEMBRE 2026'!D60&lt;&gt;"",'NOVIEMBRE 2026'!Z60="POR RECOGER"),"NOV","")</f>
        <v/>
      </c>
      <c r="B1106" s="381">
        <f>IF(AND('NOVIEMBRE 2026'!D60&lt;&gt;"",'NOVIEMBRE 2026'!Z60="POR RECOGER"),IF('NOVIEMBRE 2026'!Y60&lt;&gt;"",'NOVIEMBRE 2026'!Y60,'NOVIEMBRE 2026'!I60),"")</f>
        <v/>
      </c>
      <c r="C1106" s="381">
        <f>IF(AND('NOVIEMBRE 2026'!D60&lt;&gt;"",'NOVIEMBRE 2026'!Z60="POR RECOGER"),'NOVIEMBRE 2026'!D60,"")</f>
        <v/>
      </c>
      <c r="D1106" s="381">
        <f>IF(AND('NOVIEMBRE 2026'!D60&lt;&gt;"",'NOVIEMBRE 2026'!Z60="POR RECOGER"),'NOVIEMBRE 2026'!F60,"")</f>
        <v/>
      </c>
      <c r="E1106" s="381">
        <f>IF(AND('NOVIEMBRE 2026'!D60&lt;&gt;"",'NOVIEMBRE 2026'!Z60="POR RECOGER"),TEXT('NOVIEMBRE 2026'!G60,"DD/MM/YYYY"),"")</f>
        <v/>
      </c>
      <c r="F1106" s="381">
        <f>IF(AND('NOVIEMBRE 2026'!D60&lt;&gt;"",'NOVIEMBRE 2026'!Z60="POR RECOGER"),'NOVIEMBRE 2026'!K60,"")</f>
        <v/>
      </c>
      <c r="G1106" s="382">
        <f>IF(AND('NOVIEMBRE 2026'!D60&lt;&gt;"",'NOVIEMBRE 2026'!Z60="POR RECOGER"),'NOVIEMBRE 2026'!M60,"")</f>
        <v/>
      </c>
      <c r="H1106" s="382">
        <f>IF(AND('NOVIEMBRE 2026'!D60&lt;&gt;"",'NOVIEMBRE 2026'!Z60="POR RECOGER"),'NOVIEMBRE 2026'!N60,"")</f>
        <v/>
      </c>
      <c r="I1106" s="381">
        <f>IF(AND('NOVIEMBRE 2026'!D60&lt;&gt;"",'NOVIEMBRE 2026'!Z60="POR RECOGER"),'NOVIEMBRE 2026'!P60,"")</f>
        <v/>
      </c>
      <c r="J1106" s="381">
        <f>IF(AND('NOVIEMBRE 2026'!D60&lt;&gt;"",'NOVIEMBRE 2026'!Z60="POR RECOGER"),'NOVIEMBRE 2026'!Q60,"")</f>
        <v/>
      </c>
      <c r="K1106" s="381">
        <f>IF(AND('NOVIEMBRE 2026'!D60&lt;&gt;"",'NOVIEMBRE 2026'!Z60="POR RECOGER"),'NOVIEMBRE 2026'!Y60,"")</f>
        <v/>
      </c>
      <c r="L1106" s="381">
        <f>IF(AND('NOVIEMBRE 2026'!D60&lt;&gt;"",'NOVIEMBRE 2026'!Z60="POR RECOGER"),'NOVIEMBRE 2026'!I60,"")</f>
        <v/>
      </c>
      <c r="P1106" s="194" t="n"/>
      <c r="Q1106" s="194" t="n"/>
      <c r="R1106" s="194" t="n"/>
      <c r="S1106" s="194" t="n"/>
      <c r="T1106" s="194" t="n"/>
      <c r="U1106" s="194" t="n"/>
      <c r="V1106" s="194" t="n"/>
      <c r="W1106" s="194" t="n"/>
      <c r="X1106" s="194" t="n"/>
      <c r="Y1106" s="194" t="n"/>
      <c r="Z1106" s="194" t="n"/>
    </row>
    <row r="1107" ht="15" customHeight="1" s="195">
      <c r="A1107" s="381">
        <f>IF(AND('NOVIEMBRE 2026'!D61&lt;&gt;"",'NOVIEMBRE 2026'!Z61="POR RECOGER"),"NOV","")</f>
        <v/>
      </c>
      <c r="B1107" s="381">
        <f>IF(AND('NOVIEMBRE 2026'!D61&lt;&gt;"",'NOVIEMBRE 2026'!Z61="POR RECOGER"),IF('NOVIEMBRE 2026'!Y61&lt;&gt;"",'NOVIEMBRE 2026'!Y61,'NOVIEMBRE 2026'!I61),"")</f>
        <v/>
      </c>
      <c r="C1107" s="381">
        <f>IF(AND('NOVIEMBRE 2026'!D61&lt;&gt;"",'NOVIEMBRE 2026'!Z61="POR RECOGER"),'NOVIEMBRE 2026'!D61,"")</f>
        <v/>
      </c>
      <c r="D1107" s="381">
        <f>IF(AND('NOVIEMBRE 2026'!D61&lt;&gt;"",'NOVIEMBRE 2026'!Z61="POR RECOGER"),'NOVIEMBRE 2026'!F61,"")</f>
        <v/>
      </c>
      <c r="E1107" s="381">
        <f>IF(AND('NOVIEMBRE 2026'!D61&lt;&gt;"",'NOVIEMBRE 2026'!Z61="POR RECOGER"),TEXT('NOVIEMBRE 2026'!G61,"DD/MM/YYYY"),"")</f>
        <v/>
      </c>
      <c r="F1107" s="381">
        <f>IF(AND('NOVIEMBRE 2026'!D61&lt;&gt;"",'NOVIEMBRE 2026'!Z61="POR RECOGER"),'NOVIEMBRE 2026'!K61,"")</f>
        <v/>
      </c>
      <c r="G1107" s="382">
        <f>IF(AND('NOVIEMBRE 2026'!D61&lt;&gt;"",'NOVIEMBRE 2026'!Z61="POR RECOGER"),'NOVIEMBRE 2026'!M61,"")</f>
        <v/>
      </c>
      <c r="H1107" s="382">
        <f>IF(AND('NOVIEMBRE 2026'!D61&lt;&gt;"",'NOVIEMBRE 2026'!Z61="POR RECOGER"),'NOVIEMBRE 2026'!N61,"")</f>
        <v/>
      </c>
      <c r="I1107" s="381">
        <f>IF(AND('NOVIEMBRE 2026'!D61&lt;&gt;"",'NOVIEMBRE 2026'!Z61="POR RECOGER"),'NOVIEMBRE 2026'!P61,"")</f>
        <v/>
      </c>
      <c r="J1107" s="381">
        <f>IF(AND('NOVIEMBRE 2026'!D61&lt;&gt;"",'NOVIEMBRE 2026'!Z61="POR RECOGER"),'NOVIEMBRE 2026'!Q61,"")</f>
        <v/>
      </c>
      <c r="K1107" s="381">
        <f>IF(AND('NOVIEMBRE 2026'!D61&lt;&gt;"",'NOVIEMBRE 2026'!Z61="POR RECOGER"),'NOVIEMBRE 2026'!Y61,"")</f>
        <v/>
      </c>
      <c r="L1107" s="381">
        <f>IF(AND('NOVIEMBRE 2026'!D61&lt;&gt;"",'NOVIEMBRE 2026'!Z61="POR RECOGER"),'NOVIEMBRE 2026'!I61,"")</f>
        <v/>
      </c>
      <c r="P1107" s="194" t="n"/>
      <c r="Q1107" s="194" t="n"/>
      <c r="R1107" s="194" t="n"/>
      <c r="S1107" s="194" t="n"/>
      <c r="T1107" s="194" t="n"/>
      <c r="U1107" s="194" t="n"/>
      <c r="V1107" s="194" t="n"/>
      <c r="W1107" s="194" t="n"/>
      <c r="X1107" s="194" t="n"/>
      <c r="Y1107" s="194" t="n"/>
      <c r="Z1107" s="194" t="n"/>
    </row>
    <row r="1108" ht="15" customHeight="1" s="195">
      <c r="A1108" s="381">
        <f>IF(AND('NOVIEMBRE 2026'!D62&lt;&gt;"",'NOVIEMBRE 2026'!Z62="POR RECOGER"),"NOV","")</f>
        <v/>
      </c>
      <c r="B1108" s="381">
        <f>IF(AND('NOVIEMBRE 2026'!D62&lt;&gt;"",'NOVIEMBRE 2026'!Z62="POR RECOGER"),IF('NOVIEMBRE 2026'!Y62&lt;&gt;"",'NOVIEMBRE 2026'!Y62,'NOVIEMBRE 2026'!I62),"")</f>
        <v/>
      </c>
      <c r="C1108" s="381">
        <f>IF(AND('NOVIEMBRE 2026'!D62&lt;&gt;"",'NOVIEMBRE 2026'!Z62="POR RECOGER"),'NOVIEMBRE 2026'!D62,"")</f>
        <v/>
      </c>
      <c r="D1108" s="381">
        <f>IF(AND('NOVIEMBRE 2026'!D62&lt;&gt;"",'NOVIEMBRE 2026'!Z62="POR RECOGER"),'NOVIEMBRE 2026'!F62,"")</f>
        <v/>
      </c>
      <c r="E1108" s="381">
        <f>IF(AND('NOVIEMBRE 2026'!D62&lt;&gt;"",'NOVIEMBRE 2026'!Z62="POR RECOGER"),TEXT('NOVIEMBRE 2026'!G62,"DD/MM/YYYY"),"")</f>
        <v/>
      </c>
      <c r="F1108" s="381">
        <f>IF(AND('NOVIEMBRE 2026'!D62&lt;&gt;"",'NOVIEMBRE 2026'!Z62="POR RECOGER"),'NOVIEMBRE 2026'!K62,"")</f>
        <v/>
      </c>
      <c r="G1108" s="382">
        <f>IF(AND('NOVIEMBRE 2026'!D62&lt;&gt;"",'NOVIEMBRE 2026'!Z62="POR RECOGER"),'NOVIEMBRE 2026'!M62,"")</f>
        <v/>
      </c>
      <c r="H1108" s="382">
        <f>IF(AND('NOVIEMBRE 2026'!D62&lt;&gt;"",'NOVIEMBRE 2026'!Z62="POR RECOGER"),'NOVIEMBRE 2026'!N62,"")</f>
        <v/>
      </c>
      <c r="I1108" s="381">
        <f>IF(AND('NOVIEMBRE 2026'!D62&lt;&gt;"",'NOVIEMBRE 2026'!Z62="POR RECOGER"),'NOVIEMBRE 2026'!P62,"")</f>
        <v/>
      </c>
      <c r="J1108" s="381">
        <f>IF(AND('NOVIEMBRE 2026'!D62&lt;&gt;"",'NOVIEMBRE 2026'!Z62="POR RECOGER"),'NOVIEMBRE 2026'!Q62,"")</f>
        <v/>
      </c>
      <c r="K1108" s="381">
        <f>IF(AND('NOVIEMBRE 2026'!D62&lt;&gt;"",'NOVIEMBRE 2026'!Z62="POR RECOGER"),'NOVIEMBRE 2026'!Y62,"")</f>
        <v/>
      </c>
      <c r="L1108" s="381">
        <f>IF(AND('NOVIEMBRE 2026'!D62&lt;&gt;"",'NOVIEMBRE 2026'!Z62="POR RECOGER"),'NOVIEMBRE 2026'!I62,"")</f>
        <v/>
      </c>
      <c r="P1108" s="194" t="n"/>
      <c r="Q1108" s="194" t="n"/>
      <c r="R1108" s="194" t="n"/>
      <c r="S1108" s="194" t="n"/>
      <c r="T1108" s="194" t="n"/>
      <c r="U1108" s="194" t="n"/>
      <c r="V1108" s="194" t="n"/>
      <c r="W1108" s="194" t="n"/>
      <c r="X1108" s="194" t="n"/>
      <c r="Y1108" s="194" t="n"/>
      <c r="Z1108" s="194" t="n"/>
    </row>
    <row r="1109" ht="15" customHeight="1" s="195">
      <c r="A1109" s="381">
        <f>IF(AND('NOVIEMBRE 2026'!D63&lt;&gt;"",'NOVIEMBRE 2026'!Z63="POR RECOGER"),"NOV","")</f>
        <v/>
      </c>
      <c r="B1109" s="381">
        <f>IF(AND('NOVIEMBRE 2026'!D63&lt;&gt;"",'NOVIEMBRE 2026'!Z63="POR RECOGER"),IF('NOVIEMBRE 2026'!Y63&lt;&gt;"",'NOVIEMBRE 2026'!Y63,'NOVIEMBRE 2026'!I63),"")</f>
        <v/>
      </c>
      <c r="C1109" s="381">
        <f>IF(AND('NOVIEMBRE 2026'!D63&lt;&gt;"",'NOVIEMBRE 2026'!Z63="POR RECOGER"),'NOVIEMBRE 2026'!D63,"")</f>
        <v/>
      </c>
      <c r="D1109" s="381">
        <f>IF(AND('NOVIEMBRE 2026'!D63&lt;&gt;"",'NOVIEMBRE 2026'!Z63="POR RECOGER"),'NOVIEMBRE 2026'!F63,"")</f>
        <v/>
      </c>
      <c r="E1109" s="381">
        <f>IF(AND('NOVIEMBRE 2026'!D63&lt;&gt;"",'NOVIEMBRE 2026'!Z63="POR RECOGER"),TEXT('NOVIEMBRE 2026'!G63,"DD/MM/YYYY"),"")</f>
        <v/>
      </c>
      <c r="F1109" s="381">
        <f>IF(AND('NOVIEMBRE 2026'!D63&lt;&gt;"",'NOVIEMBRE 2026'!Z63="POR RECOGER"),'NOVIEMBRE 2026'!K63,"")</f>
        <v/>
      </c>
      <c r="G1109" s="382">
        <f>IF(AND('NOVIEMBRE 2026'!D63&lt;&gt;"",'NOVIEMBRE 2026'!Z63="POR RECOGER"),'NOVIEMBRE 2026'!M63,"")</f>
        <v/>
      </c>
      <c r="H1109" s="382">
        <f>IF(AND('NOVIEMBRE 2026'!D63&lt;&gt;"",'NOVIEMBRE 2026'!Z63="POR RECOGER"),'NOVIEMBRE 2026'!N63,"")</f>
        <v/>
      </c>
      <c r="I1109" s="381">
        <f>IF(AND('NOVIEMBRE 2026'!D63&lt;&gt;"",'NOVIEMBRE 2026'!Z63="POR RECOGER"),'NOVIEMBRE 2026'!P63,"")</f>
        <v/>
      </c>
      <c r="J1109" s="381">
        <f>IF(AND('NOVIEMBRE 2026'!D63&lt;&gt;"",'NOVIEMBRE 2026'!Z63="POR RECOGER"),'NOVIEMBRE 2026'!Q63,"")</f>
        <v/>
      </c>
      <c r="K1109" s="381">
        <f>IF(AND('NOVIEMBRE 2026'!D63&lt;&gt;"",'NOVIEMBRE 2026'!Z63="POR RECOGER"),'NOVIEMBRE 2026'!Y63,"")</f>
        <v/>
      </c>
      <c r="L1109" s="381">
        <f>IF(AND('NOVIEMBRE 2026'!D63&lt;&gt;"",'NOVIEMBRE 2026'!Z63="POR RECOGER"),'NOVIEMBRE 2026'!I63,"")</f>
        <v/>
      </c>
      <c r="P1109" s="194" t="n"/>
      <c r="Q1109" s="194" t="n"/>
      <c r="R1109" s="194" t="n"/>
      <c r="S1109" s="194" t="n"/>
      <c r="T1109" s="194" t="n"/>
      <c r="U1109" s="194" t="n"/>
      <c r="V1109" s="194" t="n"/>
      <c r="W1109" s="194" t="n"/>
      <c r="X1109" s="194" t="n"/>
      <c r="Y1109" s="194" t="n"/>
      <c r="Z1109" s="194" t="n"/>
    </row>
    <row r="1110" ht="15" customHeight="1" s="195">
      <c r="A1110" s="381">
        <f>IF(AND('NOVIEMBRE 2026'!D64&lt;&gt;"",'NOVIEMBRE 2026'!Z64="POR RECOGER"),"NOV","")</f>
        <v/>
      </c>
      <c r="B1110" s="381">
        <f>IF(AND('NOVIEMBRE 2026'!D64&lt;&gt;"",'NOVIEMBRE 2026'!Z64="POR RECOGER"),IF('NOVIEMBRE 2026'!Y64&lt;&gt;"",'NOVIEMBRE 2026'!Y64,'NOVIEMBRE 2026'!I64),"")</f>
        <v/>
      </c>
      <c r="C1110" s="381">
        <f>IF(AND('NOVIEMBRE 2026'!D64&lt;&gt;"",'NOVIEMBRE 2026'!Z64="POR RECOGER"),'NOVIEMBRE 2026'!D64,"")</f>
        <v/>
      </c>
      <c r="D1110" s="381">
        <f>IF(AND('NOVIEMBRE 2026'!D64&lt;&gt;"",'NOVIEMBRE 2026'!Z64="POR RECOGER"),'NOVIEMBRE 2026'!F64,"")</f>
        <v/>
      </c>
      <c r="E1110" s="381">
        <f>IF(AND('NOVIEMBRE 2026'!D64&lt;&gt;"",'NOVIEMBRE 2026'!Z64="POR RECOGER"),TEXT('NOVIEMBRE 2026'!G64,"DD/MM/YYYY"),"")</f>
        <v/>
      </c>
      <c r="F1110" s="381">
        <f>IF(AND('NOVIEMBRE 2026'!D64&lt;&gt;"",'NOVIEMBRE 2026'!Z64="POR RECOGER"),'NOVIEMBRE 2026'!K64,"")</f>
        <v/>
      </c>
      <c r="G1110" s="382">
        <f>IF(AND('NOVIEMBRE 2026'!D64&lt;&gt;"",'NOVIEMBRE 2026'!Z64="POR RECOGER"),'NOVIEMBRE 2026'!M64,"")</f>
        <v/>
      </c>
      <c r="H1110" s="382">
        <f>IF(AND('NOVIEMBRE 2026'!D64&lt;&gt;"",'NOVIEMBRE 2026'!Z64="POR RECOGER"),'NOVIEMBRE 2026'!N64,"")</f>
        <v/>
      </c>
      <c r="I1110" s="381">
        <f>IF(AND('NOVIEMBRE 2026'!D64&lt;&gt;"",'NOVIEMBRE 2026'!Z64="POR RECOGER"),'NOVIEMBRE 2026'!P64,"")</f>
        <v/>
      </c>
      <c r="J1110" s="381">
        <f>IF(AND('NOVIEMBRE 2026'!D64&lt;&gt;"",'NOVIEMBRE 2026'!Z64="POR RECOGER"),'NOVIEMBRE 2026'!Q64,"")</f>
        <v/>
      </c>
      <c r="K1110" s="381">
        <f>IF(AND('NOVIEMBRE 2026'!D64&lt;&gt;"",'NOVIEMBRE 2026'!Z64="POR RECOGER"),'NOVIEMBRE 2026'!Y64,"")</f>
        <v/>
      </c>
      <c r="L1110" s="381">
        <f>IF(AND('NOVIEMBRE 2026'!D64&lt;&gt;"",'NOVIEMBRE 2026'!Z64="POR RECOGER"),'NOVIEMBRE 2026'!I64,"")</f>
        <v/>
      </c>
      <c r="P1110" s="194" t="n"/>
      <c r="Q1110" s="194" t="n"/>
      <c r="R1110" s="194" t="n"/>
      <c r="S1110" s="194" t="n"/>
      <c r="T1110" s="194" t="n"/>
      <c r="U1110" s="194" t="n"/>
      <c r="V1110" s="194" t="n"/>
      <c r="W1110" s="194" t="n"/>
      <c r="X1110" s="194" t="n"/>
      <c r="Y1110" s="194" t="n"/>
      <c r="Z1110" s="194" t="n"/>
    </row>
    <row r="1111" ht="15" customHeight="1" s="195">
      <c r="A1111" s="381">
        <f>IF(AND('NOVIEMBRE 2026'!D65&lt;&gt;"",'NOVIEMBRE 2026'!Z65="POR RECOGER"),"NOV","")</f>
        <v/>
      </c>
      <c r="B1111" s="381">
        <f>IF(AND('NOVIEMBRE 2026'!D65&lt;&gt;"",'NOVIEMBRE 2026'!Z65="POR RECOGER"),IF('NOVIEMBRE 2026'!Y65&lt;&gt;"",'NOVIEMBRE 2026'!Y65,'NOVIEMBRE 2026'!I65),"")</f>
        <v/>
      </c>
      <c r="C1111" s="381">
        <f>IF(AND('NOVIEMBRE 2026'!D65&lt;&gt;"",'NOVIEMBRE 2026'!Z65="POR RECOGER"),'NOVIEMBRE 2026'!D65,"")</f>
        <v/>
      </c>
      <c r="D1111" s="381">
        <f>IF(AND('NOVIEMBRE 2026'!D65&lt;&gt;"",'NOVIEMBRE 2026'!Z65="POR RECOGER"),'NOVIEMBRE 2026'!F65,"")</f>
        <v/>
      </c>
      <c r="E1111" s="381">
        <f>IF(AND('NOVIEMBRE 2026'!D65&lt;&gt;"",'NOVIEMBRE 2026'!Z65="POR RECOGER"),TEXT('NOVIEMBRE 2026'!G65,"DD/MM/YYYY"),"")</f>
        <v/>
      </c>
      <c r="F1111" s="381">
        <f>IF(AND('NOVIEMBRE 2026'!D65&lt;&gt;"",'NOVIEMBRE 2026'!Z65="POR RECOGER"),'NOVIEMBRE 2026'!K65,"")</f>
        <v/>
      </c>
      <c r="G1111" s="382">
        <f>IF(AND('NOVIEMBRE 2026'!D65&lt;&gt;"",'NOVIEMBRE 2026'!Z65="POR RECOGER"),'NOVIEMBRE 2026'!M65,"")</f>
        <v/>
      </c>
      <c r="H1111" s="382">
        <f>IF(AND('NOVIEMBRE 2026'!D65&lt;&gt;"",'NOVIEMBRE 2026'!Z65="POR RECOGER"),'NOVIEMBRE 2026'!N65,"")</f>
        <v/>
      </c>
      <c r="I1111" s="381">
        <f>IF(AND('NOVIEMBRE 2026'!D65&lt;&gt;"",'NOVIEMBRE 2026'!Z65="POR RECOGER"),'NOVIEMBRE 2026'!P65,"")</f>
        <v/>
      </c>
      <c r="J1111" s="381">
        <f>IF(AND('NOVIEMBRE 2026'!D65&lt;&gt;"",'NOVIEMBRE 2026'!Z65="POR RECOGER"),'NOVIEMBRE 2026'!Q65,"")</f>
        <v/>
      </c>
      <c r="K1111" s="381">
        <f>IF(AND('NOVIEMBRE 2026'!D65&lt;&gt;"",'NOVIEMBRE 2026'!Z65="POR RECOGER"),'NOVIEMBRE 2026'!Y65,"")</f>
        <v/>
      </c>
      <c r="L1111" s="381">
        <f>IF(AND('NOVIEMBRE 2026'!D65&lt;&gt;"",'NOVIEMBRE 2026'!Z65="POR RECOGER"),'NOVIEMBRE 2026'!I65,"")</f>
        <v/>
      </c>
      <c r="P1111" s="194" t="n"/>
      <c r="Q1111" s="194" t="n"/>
      <c r="R1111" s="194" t="n"/>
      <c r="S1111" s="194" t="n"/>
      <c r="T1111" s="194" t="n"/>
      <c r="U1111" s="194" t="n"/>
      <c r="V1111" s="194" t="n"/>
      <c r="W1111" s="194" t="n"/>
      <c r="X1111" s="194" t="n"/>
      <c r="Y1111" s="194" t="n"/>
      <c r="Z1111" s="194" t="n"/>
    </row>
    <row r="1112" ht="15" customHeight="1" s="195">
      <c r="A1112" s="381">
        <f>IF(AND('NOVIEMBRE 2026'!D66&lt;&gt;"",'NOVIEMBRE 2026'!Z66="POR RECOGER"),"NOV","")</f>
        <v/>
      </c>
      <c r="B1112" s="381">
        <f>IF(AND('NOVIEMBRE 2026'!D66&lt;&gt;"",'NOVIEMBRE 2026'!Z66="POR RECOGER"),IF('NOVIEMBRE 2026'!Y66&lt;&gt;"",'NOVIEMBRE 2026'!Y66,'NOVIEMBRE 2026'!I66),"")</f>
        <v/>
      </c>
      <c r="C1112" s="381">
        <f>IF(AND('NOVIEMBRE 2026'!D66&lt;&gt;"",'NOVIEMBRE 2026'!Z66="POR RECOGER"),'NOVIEMBRE 2026'!D66,"")</f>
        <v/>
      </c>
      <c r="D1112" s="381">
        <f>IF(AND('NOVIEMBRE 2026'!D66&lt;&gt;"",'NOVIEMBRE 2026'!Z66="POR RECOGER"),'NOVIEMBRE 2026'!F66,"")</f>
        <v/>
      </c>
      <c r="E1112" s="381">
        <f>IF(AND('NOVIEMBRE 2026'!D66&lt;&gt;"",'NOVIEMBRE 2026'!Z66="POR RECOGER"),TEXT('NOVIEMBRE 2026'!G66,"DD/MM/YYYY"),"")</f>
        <v/>
      </c>
      <c r="F1112" s="381">
        <f>IF(AND('NOVIEMBRE 2026'!D66&lt;&gt;"",'NOVIEMBRE 2026'!Z66="POR RECOGER"),'NOVIEMBRE 2026'!K66,"")</f>
        <v/>
      </c>
      <c r="G1112" s="382">
        <f>IF(AND('NOVIEMBRE 2026'!D66&lt;&gt;"",'NOVIEMBRE 2026'!Z66="POR RECOGER"),'NOVIEMBRE 2026'!M66,"")</f>
        <v/>
      </c>
      <c r="H1112" s="382">
        <f>IF(AND('NOVIEMBRE 2026'!D66&lt;&gt;"",'NOVIEMBRE 2026'!Z66="POR RECOGER"),'NOVIEMBRE 2026'!N66,"")</f>
        <v/>
      </c>
      <c r="I1112" s="381">
        <f>IF(AND('NOVIEMBRE 2026'!D66&lt;&gt;"",'NOVIEMBRE 2026'!Z66="POR RECOGER"),'NOVIEMBRE 2026'!P66,"")</f>
        <v/>
      </c>
      <c r="J1112" s="381">
        <f>IF(AND('NOVIEMBRE 2026'!D66&lt;&gt;"",'NOVIEMBRE 2026'!Z66="POR RECOGER"),'NOVIEMBRE 2026'!Q66,"")</f>
        <v/>
      </c>
      <c r="K1112" s="381">
        <f>IF(AND('NOVIEMBRE 2026'!D66&lt;&gt;"",'NOVIEMBRE 2026'!Z66="POR RECOGER"),'NOVIEMBRE 2026'!Y66,"")</f>
        <v/>
      </c>
      <c r="L1112" s="381">
        <f>IF(AND('NOVIEMBRE 2026'!D66&lt;&gt;"",'NOVIEMBRE 2026'!Z66="POR RECOGER"),'NOVIEMBRE 2026'!I66,"")</f>
        <v/>
      </c>
      <c r="P1112" s="194" t="n"/>
      <c r="Q1112" s="194" t="n"/>
      <c r="R1112" s="194" t="n"/>
      <c r="S1112" s="194" t="n"/>
      <c r="T1112" s="194" t="n"/>
      <c r="U1112" s="194" t="n"/>
      <c r="V1112" s="194" t="n"/>
      <c r="W1112" s="194" t="n"/>
      <c r="X1112" s="194" t="n"/>
      <c r="Y1112" s="194" t="n"/>
      <c r="Z1112" s="194" t="n"/>
    </row>
    <row r="1113" ht="15" customHeight="1" s="195">
      <c r="A1113" s="381">
        <f>IF(AND('NOVIEMBRE 2026'!D67&lt;&gt;"",'NOVIEMBRE 2026'!Z67="POR RECOGER"),"NOV","")</f>
        <v/>
      </c>
      <c r="B1113" s="381">
        <f>IF(AND('NOVIEMBRE 2026'!D67&lt;&gt;"",'NOVIEMBRE 2026'!Z67="POR RECOGER"),IF('NOVIEMBRE 2026'!Y67&lt;&gt;"",'NOVIEMBRE 2026'!Y67,'NOVIEMBRE 2026'!I67),"")</f>
        <v/>
      </c>
      <c r="C1113" s="381">
        <f>IF(AND('NOVIEMBRE 2026'!D67&lt;&gt;"",'NOVIEMBRE 2026'!Z67="POR RECOGER"),'NOVIEMBRE 2026'!D67,"")</f>
        <v/>
      </c>
      <c r="D1113" s="381">
        <f>IF(AND('NOVIEMBRE 2026'!D67&lt;&gt;"",'NOVIEMBRE 2026'!Z67="POR RECOGER"),'NOVIEMBRE 2026'!F67,"")</f>
        <v/>
      </c>
      <c r="E1113" s="381">
        <f>IF(AND('NOVIEMBRE 2026'!D67&lt;&gt;"",'NOVIEMBRE 2026'!Z67="POR RECOGER"),TEXT('NOVIEMBRE 2026'!G67,"DD/MM/YYYY"),"")</f>
        <v/>
      </c>
      <c r="F1113" s="381">
        <f>IF(AND('NOVIEMBRE 2026'!D67&lt;&gt;"",'NOVIEMBRE 2026'!Z67="POR RECOGER"),'NOVIEMBRE 2026'!K67,"")</f>
        <v/>
      </c>
      <c r="G1113" s="382">
        <f>IF(AND('NOVIEMBRE 2026'!D67&lt;&gt;"",'NOVIEMBRE 2026'!Z67="POR RECOGER"),'NOVIEMBRE 2026'!M67,"")</f>
        <v/>
      </c>
      <c r="H1113" s="382">
        <f>IF(AND('NOVIEMBRE 2026'!D67&lt;&gt;"",'NOVIEMBRE 2026'!Z67="POR RECOGER"),'NOVIEMBRE 2026'!N67,"")</f>
        <v/>
      </c>
      <c r="I1113" s="381">
        <f>IF(AND('NOVIEMBRE 2026'!D67&lt;&gt;"",'NOVIEMBRE 2026'!Z67="POR RECOGER"),'NOVIEMBRE 2026'!P67,"")</f>
        <v/>
      </c>
      <c r="J1113" s="381">
        <f>IF(AND('NOVIEMBRE 2026'!D67&lt;&gt;"",'NOVIEMBRE 2026'!Z67="POR RECOGER"),'NOVIEMBRE 2026'!Q67,"")</f>
        <v/>
      </c>
      <c r="K1113" s="381">
        <f>IF(AND('NOVIEMBRE 2026'!D67&lt;&gt;"",'NOVIEMBRE 2026'!Z67="POR RECOGER"),'NOVIEMBRE 2026'!Y67,"")</f>
        <v/>
      </c>
      <c r="L1113" s="381">
        <f>IF(AND('NOVIEMBRE 2026'!D67&lt;&gt;"",'NOVIEMBRE 2026'!Z67="POR RECOGER"),'NOVIEMBRE 2026'!I67,"")</f>
        <v/>
      </c>
      <c r="P1113" s="194" t="n"/>
      <c r="Q1113" s="194" t="n"/>
      <c r="R1113" s="194" t="n"/>
      <c r="S1113" s="194" t="n"/>
      <c r="T1113" s="194" t="n"/>
      <c r="U1113" s="194" t="n"/>
      <c r="V1113" s="194" t="n"/>
      <c r="W1113" s="194" t="n"/>
      <c r="X1113" s="194" t="n"/>
      <c r="Y1113" s="194" t="n"/>
      <c r="Z1113" s="194" t="n"/>
    </row>
    <row r="1114" ht="15" customHeight="1" s="195">
      <c r="A1114" s="381">
        <f>IF(AND('NOVIEMBRE 2026'!D68&lt;&gt;"",'NOVIEMBRE 2026'!Z68="POR RECOGER"),"NOV","")</f>
        <v/>
      </c>
      <c r="B1114" s="381">
        <f>IF(AND('NOVIEMBRE 2026'!D68&lt;&gt;"",'NOVIEMBRE 2026'!Z68="POR RECOGER"),IF('NOVIEMBRE 2026'!Y68&lt;&gt;"",'NOVIEMBRE 2026'!Y68,'NOVIEMBRE 2026'!I68),"")</f>
        <v/>
      </c>
      <c r="C1114" s="381">
        <f>IF(AND('NOVIEMBRE 2026'!D68&lt;&gt;"",'NOVIEMBRE 2026'!Z68="POR RECOGER"),'NOVIEMBRE 2026'!D68,"")</f>
        <v/>
      </c>
      <c r="D1114" s="381">
        <f>IF(AND('NOVIEMBRE 2026'!D68&lt;&gt;"",'NOVIEMBRE 2026'!Z68="POR RECOGER"),'NOVIEMBRE 2026'!F68,"")</f>
        <v/>
      </c>
      <c r="E1114" s="381">
        <f>IF(AND('NOVIEMBRE 2026'!D68&lt;&gt;"",'NOVIEMBRE 2026'!Z68="POR RECOGER"),TEXT('NOVIEMBRE 2026'!G68,"DD/MM/YYYY"),"")</f>
        <v/>
      </c>
      <c r="F1114" s="381">
        <f>IF(AND('NOVIEMBRE 2026'!D68&lt;&gt;"",'NOVIEMBRE 2026'!Z68="POR RECOGER"),'NOVIEMBRE 2026'!K68,"")</f>
        <v/>
      </c>
      <c r="G1114" s="382">
        <f>IF(AND('NOVIEMBRE 2026'!D68&lt;&gt;"",'NOVIEMBRE 2026'!Z68="POR RECOGER"),'NOVIEMBRE 2026'!M68,"")</f>
        <v/>
      </c>
      <c r="H1114" s="382">
        <f>IF(AND('NOVIEMBRE 2026'!D68&lt;&gt;"",'NOVIEMBRE 2026'!Z68="POR RECOGER"),'NOVIEMBRE 2026'!N68,"")</f>
        <v/>
      </c>
      <c r="I1114" s="381">
        <f>IF(AND('NOVIEMBRE 2026'!D68&lt;&gt;"",'NOVIEMBRE 2026'!Z68="POR RECOGER"),'NOVIEMBRE 2026'!P68,"")</f>
        <v/>
      </c>
      <c r="J1114" s="381">
        <f>IF(AND('NOVIEMBRE 2026'!D68&lt;&gt;"",'NOVIEMBRE 2026'!Z68="POR RECOGER"),'NOVIEMBRE 2026'!Q68,"")</f>
        <v/>
      </c>
      <c r="K1114" s="381">
        <f>IF(AND('NOVIEMBRE 2026'!D68&lt;&gt;"",'NOVIEMBRE 2026'!Z68="POR RECOGER"),'NOVIEMBRE 2026'!Y68,"")</f>
        <v/>
      </c>
      <c r="L1114" s="381">
        <f>IF(AND('NOVIEMBRE 2026'!D68&lt;&gt;"",'NOVIEMBRE 2026'!Z68="POR RECOGER"),'NOVIEMBRE 2026'!I68,"")</f>
        <v/>
      </c>
      <c r="P1114" s="194" t="n"/>
      <c r="Q1114" s="194" t="n"/>
      <c r="R1114" s="194" t="n"/>
      <c r="S1114" s="194" t="n"/>
      <c r="T1114" s="194" t="n"/>
      <c r="U1114" s="194" t="n"/>
      <c r="V1114" s="194" t="n"/>
      <c r="W1114" s="194" t="n"/>
      <c r="X1114" s="194" t="n"/>
      <c r="Y1114" s="194" t="n"/>
      <c r="Z1114" s="194" t="n"/>
    </row>
    <row r="1115" ht="15" customHeight="1" s="195">
      <c r="A1115" s="381">
        <f>IF(AND('NOVIEMBRE 2026'!D69&lt;&gt;"",'NOVIEMBRE 2026'!Z69="POR RECOGER"),"NOV","")</f>
        <v/>
      </c>
      <c r="B1115" s="381">
        <f>IF(AND('NOVIEMBRE 2026'!D69&lt;&gt;"",'NOVIEMBRE 2026'!Z69="POR RECOGER"),IF('NOVIEMBRE 2026'!Y69&lt;&gt;"",'NOVIEMBRE 2026'!Y69,'NOVIEMBRE 2026'!I69),"")</f>
        <v/>
      </c>
      <c r="C1115" s="381">
        <f>IF(AND('NOVIEMBRE 2026'!D69&lt;&gt;"",'NOVIEMBRE 2026'!Z69="POR RECOGER"),'NOVIEMBRE 2026'!D69,"")</f>
        <v/>
      </c>
      <c r="D1115" s="381">
        <f>IF(AND('NOVIEMBRE 2026'!D69&lt;&gt;"",'NOVIEMBRE 2026'!Z69="POR RECOGER"),'NOVIEMBRE 2026'!F69,"")</f>
        <v/>
      </c>
      <c r="E1115" s="381">
        <f>IF(AND('NOVIEMBRE 2026'!D69&lt;&gt;"",'NOVIEMBRE 2026'!Z69="POR RECOGER"),TEXT('NOVIEMBRE 2026'!G69,"DD/MM/YYYY"),"")</f>
        <v/>
      </c>
      <c r="F1115" s="381">
        <f>IF(AND('NOVIEMBRE 2026'!D69&lt;&gt;"",'NOVIEMBRE 2026'!Z69="POR RECOGER"),'NOVIEMBRE 2026'!K69,"")</f>
        <v/>
      </c>
      <c r="G1115" s="382">
        <f>IF(AND('NOVIEMBRE 2026'!D69&lt;&gt;"",'NOVIEMBRE 2026'!Z69="POR RECOGER"),'NOVIEMBRE 2026'!M69,"")</f>
        <v/>
      </c>
      <c r="H1115" s="382">
        <f>IF(AND('NOVIEMBRE 2026'!D69&lt;&gt;"",'NOVIEMBRE 2026'!Z69="POR RECOGER"),'NOVIEMBRE 2026'!N69,"")</f>
        <v/>
      </c>
      <c r="I1115" s="381">
        <f>IF(AND('NOVIEMBRE 2026'!D69&lt;&gt;"",'NOVIEMBRE 2026'!Z69="POR RECOGER"),'NOVIEMBRE 2026'!P69,"")</f>
        <v/>
      </c>
      <c r="J1115" s="381">
        <f>IF(AND('NOVIEMBRE 2026'!D69&lt;&gt;"",'NOVIEMBRE 2026'!Z69="POR RECOGER"),'NOVIEMBRE 2026'!Q69,"")</f>
        <v/>
      </c>
      <c r="K1115" s="381">
        <f>IF(AND('NOVIEMBRE 2026'!D69&lt;&gt;"",'NOVIEMBRE 2026'!Z69="POR RECOGER"),'NOVIEMBRE 2026'!Y69,"")</f>
        <v/>
      </c>
      <c r="L1115" s="381">
        <f>IF(AND('NOVIEMBRE 2026'!D69&lt;&gt;"",'NOVIEMBRE 2026'!Z69="POR RECOGER"),'NOVIEMBRE 2026'!I69,"")</f>
        <v/>
      </c>
      <c r="P1115" s="194" t="n"/>
      <c r="Q1115" s="194" t="n"/>
      <c r="R1115" s="194" t="n"/>
      <c r="S1115" s="194" t="n"/>
      <c r="T1115" s="194" t="n"/>
      <c r="U1115" s="194" t="n"/>
      <c r="V1115" s="194" t="n"/>
      <c r="W1115" s="194" t="n"/>
      <c r="X1115" s="194" t="n"/>
      <c r="Y1115" s="194" t="n"/>
      <c r="Z1115" s="194" t="n"/>
    </row>
    <row r="1116" ht="15" customHeight="1" s="195">
      <c r="A1116" s="381">
        <f>IF(AND('NOVIEMBRE 2026'!D70&lt;&gt;"",'NOVIEMBRE 2026'!Z70="POR RECOGER"),"NOV","")</f>
        <v/>
      </c>
      <c r="B1116" s="381">
        <f>IF(AND('NOVIEMBRE 2026'!D70&lt;&gt;"",'NOVIEMBRE 2026'!Z70="POR RECOGER"),IF('NOVIEMBRE 2026'!Y70&lt;&gt;"",'NOVIEMBRE 2026'!Y70,'NOVIEMBRE 2026'!I70),"")</f>
        <v/>
      </c>
      <c r="C1116" s="381">
        <f>IF(AND('NOVIEMBRE 2026'!D70&lt;&gt;"",'NOVIEMBRE 2026'!Z70="POR RECOGER"),'NOVIEMBRE 2026'!D70,"")</f>
        <v/>
      </c>
      <c r="D1116" s="381">
        <f>IF(AND('NOVIEMBRE 2026'!D70&lt;&gt;"",'NOVIEMBRE 2026'!Z70="POR RECOGER"),'NOVIEMBRE 2026'!F70,"")</f>
        <v/>
      </c>
      <c r="E1116" s="381">
        <f>IF(AND('NOVIEMBRE 2026'!D70&lt;&gt;"",'NOVIEMBRE 2026'!Z70="POR RECOGER"),TEXT('NOVIEMBRE 2026'!G70,"DD/MM/YYYY"),"")</f>
        <v/>
      </c>
      <c r="F1116" s="381">
        <f>IF(AND('NOVIEMBRE 2026'!D70&lt;&gt;"",'NOVIEMBRE 2026'!Z70="POR RECOGER"),'NOVIEMBRE 2026'!K70,"")</f>
        <v/>
      </c>
      <c r="G1116" s="382">
        <f>IF(AND('NOVIEMBRE 2026'!D70&lt;&gt;"",'NOVIEMBRE 2026'!Z70="POR RECOGER"),'NOVIEMBRE 2026'!M70,"")</f>
        <v/>
      </c>
      <c r="H1116" s="382">
        <f>IF(AND('NOVIEMBRE 2026'!D70&lt;&gt;"",'NOVIEMBRE 2026'!Z70="POR RECOGER"),'NOVIEMBRE 2026'!N70,"")</f>
        <v/>
      </c>
      <c r="I1116" s="381">
        <f>IF(AND('NOVIEMBRE 2026'!D70&lt;&gt;"",'NOVIEMBRE 2026'!Z70="POR RECOGER"),'NOVIEMBRE 2026'!P70,"")</f>
        <v/>
      </c>
      <c r="J1116" s="381">
        <f>IF(AND('NOVIEMBRE 2026'!D70&lt;&gt;"",'NOVIEMBRE 2026'!Z70="POR RECOGER"),'NOVIEMBRE 2026'!Q70,"")</f>
        <v/>
      </c>
      <c r="K1116" s="381">
        <f>IF(AND('NOVIEMBRE 2026'!D70&lt;&gt;"",'NOVIEMBRE 2026'!Z70="POR RECOGER"),'NOVIEMBRE 2026'!Y70,"")</f>
        <v/>
      </c>
      <c r="L1116" s="381">
        <f>IF(AND('NOVIEMBRE 2026'!D70&lt;&gt;"",'NOVIEMBRE 2026'!Z70="POR RECOGER"),'NOVIEMBRE 2026'!I70,"")</f>
        <v/>
      </c>
      <c r="P1116" s="194" t="n"/>
      <c r="Q1116" s="194" t="n"/>
      <c r="R1116" s="194" t="n"/>
      <c r="S1116" s="194" t="n"/>
      <c r="T1116" s="194" t="n"/>
      <c r="U1116" s="194" t="n"/>
      <c r="V1116" s="194" t="n"/>
      <c r="W1116" s="194" t="n"/>
      <c r="X1116" s="194" t="n"/>
      <c r="Y1116" s="194" t="n"/>
      <c r="Z1116" s="194" t="n"/>
    </row>
    <row r="1117" ht="15" customHeight="1" s="195">
      <c r="A1117" s="381">
        <f>IF(AND('NOVIEMBRE 2026'!D71&lt;&gt;"",'NOVIEMBRE 2026'!Z71="POR RECOGER"),"NOV","")</f>
        <v/>
      </c>
      <c r="B1117" s="381">
        <f>IF(AND('NOVIEMBRE 2026'!D71&lt;&gt;"",'NOVIEMBRE 2026'!Z71="POR RECOGER"),IF('NOVIEMBRE 2026'!Y71&lt;&gt;"",'NOVIEMBRE 2026'!Y71,'NOVIEMBRE 2026'!I71),"")</f>
        <v/>
      </c>
      <c r="C1117" s="381">
        <f>IF(AND('NOVIEMBRE 2026'!D71&lt;&gt;"",'NOVIEMBRE 2026'!Z71="POR RECOGER"),'NOVIEMBRE 2026'!D71,"")</f>
        <v/>
      </c>
      <c r="D1117" s="381">
        <f>IF(AND('NOVIEMBRE 2026'!D71&lt;&gt;"",'NOVIEMBRE 2026'!Z71="POR RECOGER"),'NOVIEMBRE 2026'!F71,"")</f>
        <v/>
      </c>
      <c r="E1117" s="381">
        <f>IF(AND('NOVIEMBRE 2026'!D71&lt;&gt;"",'NOVIEMBRE 2026'!Z71="POR RECOGER"),TEXT('NOVIEMBRE 2026'!G71,"DD/MM/YYYY"),"")</f>
        <v/>
      </c>
      <c r="F1117" s="381">
        <f>IF(AND('NOVIEMBRE 2026'!D71&lt;&gt;"",'NOVIEMBRE 2026'!Z71="POR RECOGER"),'NOVIEMBRE 2026'!K71,"")</f>
        <v/>
      </c>
      <c r="G1117" s="382">
        <f>IF(AND('NOVIEMBRE 2026'!D71&lt;&gt;"",'NOVIEMBRE 2026'!Z71="POR RECOGER"),'NOVIEMBRE 2026'!M71,"")</f>
        <v/>
      </c>
      <c r="H1117" s="382">
        <f>IF(AND('NOVIEMBRE 2026'!D71&lt;&gt;"",'NOVIEMBRE 2026'!Z71="POR RECOGER"),'NOVIEMBRE 2026'!N71,"")</f>
        <v/>
      </c>
      <c r="I1117" s="381">
        <f>IF(AND('NOVIEMBRE 2026'!D71&lt;&gt;"",'NOVIEMBRE 2026'!Z71="POR RECOGER"),'NOVIEMBRE 2026'!P71,"")</f>
        <v/>
      </c>
      <c r="J1117" s="381">
        <f>IF(AND('NOVIEMBRE 2026'!D71&lt;&gt;"",'NOVIEMBRE 2026'!Z71="POR RECOGER"),'NOVIEMBRE 2026'!Q71,"")</f>
        <v/>
      </c>
      <c r="K1117" s="381">
        <f>IF(AND('NOVIEMBRE 2026'!D71&lt;&gt;"",'NOVIEMBRE 2026'!Z71="POR RECOGER"),'NOVIEMBRE 2026'!Y71,"")</f>
        <v/>
      </c>
      <c r="L1117" s="381">
        <f>IF(AND('NOVIEMBRE 2026'!D71&lt;&gt;"",'NOVIEMBRE 2026'!Z71="POR RECOGER"),'NOVIEMBRE 2026'!I71,"")</f>
        <v/>
      </c>
      <c r="P1117" s="194" t="n"/>
      <c r="Q1117" s="194" t="n"/>
      <c r="R1117" s="194" t="n"/>
      <c r="S1117" s="194" t="n"/>
      <c r="T1117" s="194" t="n"/>
      <c r="U1117" s="194" t="n"/>
      <c r="V1117" s="194" t="n"/>
      <c r="W1117" s="194" t="n"/>
      <c r="X1117" s="194" t="n"/>
      <c r="Y1117" s="194" t="n"/>
      <c r="Z1117" s="194" t="n"/>
    </row>
    <row r="1118" ht="15" customHeight="1" s="195">
      <c r="A1118" s="381">
        <f>IF(AND('NOVIEMBRE 2026'!D72&lt;&gt;"",'NOVIEMBRE 2026'!Z72="POR RECOGER"),"NOV","")</f>
        <v/>
      </c>
      <c r="B1118" s="381">
        <f>IF(AND('NOVIEMBRE 2026'!D72&lt;&gt;"",'NOVIEMBRE 2026'!Z72="POR RECOGER"),IF('NOVIEMBRE 2026'!Y72&lt;&gt;"",'NOVIEMBRE 2026'!Y72,'NOVIEMBRE 2026'!I72),"")</f>
        <v/>
      </c>
      <c r="C1118" s="381">
        <f>IF(AND('NOVIEMBRE 2026'!D72&lt;&gt;"",'NOVIEMBRE 2026'!Z72="POR RECOGER"),'NOVIEMBRE 2026'!D72,"")</f>
        <v/>
      </c>
      <c r="D1118" s="381">
        <f>IF(AND('NOVIEMBRE 2026'!D72&lt;&gt;"",'NOVIEMBRE 2026'!Z72="POR RECOGER"),'NOVIEMBRE 2026'!F72,"")</f>
        <v/>
      </c>
      <c r="E1118" s="381">
        <f>IF(AND('NOVIEMBRE 2026'!D72&lt;&gt;"",'NOVIEMBRE 2026'!Z72="POR RECOGER"),TEXT('NOVIEMBRE 2026'!G72,"DD/MM/YYYY"),"")</f>
        <v/>
      </c>
      <c r="F1118" s="381">
        <f>IF(AND('NOVIEMBRE 2026'!D72&lt;&gt;"",'NOVIEMBRE 2026'!Z72="POR RECOGER"),'NOVIEMBRE 2026'!K72,"")</f>
        <v/>
      </c>
      <c r="G1118" s="382">
        <f>IF(AND('NOVIEMBRE 2026'!D72&lt;&gt;"",'NOVIEMBRE 2026'!Z72="POR RECOGER"),'NOVIEMBRE 2026'!M72,"")</f>
        <v/>
      </c>
      <c r="H1118" s="382">
        <f>IF(AND('NOVIEMBRE 2026'!D72&lt;&gt;"",'NOVIEMBRE 2026'!Z72="POR RECOGER"),'NOVIEMBRE 2026'!N72,"")</f>
        <v/>
      </c>
      <c r="I1118" s="381">
        <f>IF(AND('NOVIEMBRE 2026'!D72&lt;&gt;"",'NOVIEMBRE 2026'!Z72="POR RECOGER"),'NOVIEMBRE 2026'!P72,"")</f>
        <v/>
      </c>
      <c r="J1118" s="381">
        <f>IF(AND('NOVIEMBRE 2026'!D72&lt;&gt;"",'NOVIEMBRE 2026'!Z72="POR RECOGER"),'NOVIEMBRE 2026'!Q72,"")</f>
        <v/>
      </c>
      <c r="K1118" s="381">
        <f>IF(AND('NOVIEMBRE 2026'!D72&lt;&gt;"",'NOVIEMBRE 2026'!Z72="POR RECOGER"),'NOVIEMBRE 2026'!Y72,"")</f>
        <v/>
      </c>
      <c r="L1118" s="381">
        <f>IF(AND('NOVIEMBRE 2026'!D72&lt;&gt;"",'NOVIEMBRE 2026'!Z72="POR RECOGER"),'NOVIEMBRE 2026'!I72,"")</f>
        <v/>
      </c>
      <c r="P1118" s="194" t="n"/>
      <c r="Q1118" s="194" t="n"/>
      <c r="R1118" s="194" t="n"/>
      <c r="S1118" s="194" t="n"/>
      <c r="T1118" s="194" t="n"/>
      <c r="U1118" s="194" t="n"/>
      <c r="V1118" s="194" t="n"/>
      <c r="W1118" s="194" t="n"/>
      <c r="X1118" s="194" t="n"/>
      <c r="Y1118" s="194" t="n"/>
      <c r="Z1118" s="194" t="n"/>
    </row>
    <row r="1119" ht="15" customHeight="1" s="195">
      <c r="A1119" s="381">
        <f>IF(AND('NOVIEMBRE 2026'!D73&lt;&gt;"",'NOVIEMBRE 2026'!Z73="POR RECOGER"),"NOV","")</f>
        <v/>
      </c>
      <c r="B1119" s="381">
        <f>IF(AND('NOVIEMBRE 2026'!D73&lt;&gt;"",'NOVIEMBRE 2026'!Z73="POR RECOGER"),IF('NOVIEMBRE 2026'!Y73&lt;&gt;"",'NOVIEMBRE 2026'!Y73,'NOVIEMBRE 2026'!I73),"")</f>
        <v/>
      </c>
      <c r="C1119" s="381">
        <f>IF(AND('NOVIEMBRE 2026'!D73&lt;&gt;"",'NOVIEMBRE 2026'!Z73="POR RECOGER"),'NOVIEMBRE 2026'!D73,"")</f>
        <v/>
      </c>
      <c r="D1119" s="381">
        <f>IF(AND('NOVIEMBRE 2026'!D73&lt;&gt;"",'NOVIEMBRE 2026'!Z73="POR RECOGER"),'NOVIEMBRE 2026'!F73,"")</f>
        <v/>
      </c>
      <c r="E1119" s="381">
        <f>IF(AND('NOVIEMBRE 2026'!D73&lt;&gt;"",'NOVIEMBRE 2026'!Z73="POR RECOGER"),TEXT('NOVIEMBRE 2026'!G73,"DD/MM/YYYY"),"")</f>
        <v/>
      </c>
      <c r="F1119" s="381">
        <f>IF(AND('NOVIEMBRE 2026'!D73&lt;&gt;"",'NOVIEMBRE 2026'!Z73="POR RECOGER"),'NOVIEMBRE 2026'!K73,"")</f>
        <v/>
      </c>
      <c r="G1119" s="382">
        <f>IF(AND('NOVIEMBRE 2026'!D73&lt;&gt;"",'NOVIEMBRE 2026'!Z73="POR RECOGER"),'NOVIEMBRE 2026'!M73,"")</f>
        <v/>
      </c>
      <c r="H1119" s="382">
        <f>IF(AND('NOVIEMBRE 2026'!D73&lt;&gt;"",'NOVIEMBRE 2026'!Z73="POR RECOGER"),'NOVIEMBRE 2026'!N73,"")</f>
        <v/>
      </c>
      <c r="I1119" s="381">
        <f>IF(AND('NOVIEMBRE 2026'!D73&lt;&gt;"",'NOVIEMBRE 2026'!Z73="POR RECOGER"),'NOVIEMBRE 2026'!P73,"")</f>
        <v/>
      </c>
      <c r="J1119" s="381">
        <f>IF(AND('NOVIEMBRE 2026'!D73&lt;&gt;"",'NOVIEMBRE 2026'!Z73="POR RECOGER"),'NOVIEMBRE 2026'!Q73,"")</f>
        <v/>
      </c>
      <c r="K1119" s="381">
        <f>IF(AND('NOVIEMBRE 2026'!D73&lt;&gt;"",'NOVIEMBRE 2026'!Z73="POR RECOGER"),'NOVIEMBRE 2026'!Y73,"")</f>
        <v/>
      </c>
      <c r="L1119" s="381">
        <f>IF(AND('NOVIEMBRE 2026'!D73&lt;&gt;"",'NOVIEMBRE 2026'!Z73="POR RECOGER"),'NOVIEMBRE 2026'!I73,"")</f>
        <v/>
      </c>
      <c r="P1119" s="194" t="n"/>
      <c r="Q1119" s="194" t="n"/>
      <c r="R1119" s="194" t="n"/>
      <c r="S1119" s="194" t="n"/>
      <c r="T1119" s="194" t="n"/>
      <c r="U1119" s="194" t="n"/>
      <c r="V1119" s="194" t="n"/>
      <c r="W1119" s="194" t="n"/>
      <c r="X1119" s="194" t="n"/>
      <c r="Y1119" s="194" t="n"/>
      <c r="Z1119" s="194" t="n"/>
    </row>
    <row r="1120" ht="15" customHeight="1" s="195">
      <c r="A1120" s="381">
        <f>IF(AND('NOVIEMBRE 2026'!D74&lt;&gt;"",'NOVIEMBRE 2026'!Z74="POR RECOGER"),"NOV","")</f>
        <v/>
      </c>
      <c r="B1120" s="381">
        <f>IF(AND('NOVIEMBRE 2026'!D74&lt;&gt;"",'NOVIEMBRE 2026'!Z74="POR RECOGER"),IF('NOVIEMBRE 2026'!Y74&lt;&gt;"",'NOVIEMBRE 2026'!Y74,'NOVIEMBRE 2026'!I74),"")</f>
        <v/>
      </c>
      <c r="C1120" s="381">
        <f>IF(AND('NOVIEMBRE 2026'!D74&lt;&gt;"",'NOVIEMBRE 2026'!Z74="POR RECOGER"),'NOVIEMBRE 2026'!D74,"")</f>
        <v/>
      </c>
      <c r="D1120" s="381">
        <f>IF(AND('NOVIEMBRE 2026'!D74&lt;&gt;"",'NOVIEMBRE 2026'!Z74="POR RECOGER"),'NOVIEMBRE 2026'!F74,"")</f>
        <v/>
      </c>
      <c r="E1120" s="381">
        <f>IF(AND('NOVIEMBRE 2026'!D74&lt;&gt;"",'NOVIEMBRE 2026'!Z74="POR RECOGER"),TEXT('NOVIEMBRE 2026'!G74,"DD/MM/YYYY"),"")</f>
        <v/>
      </c>
      <c r="F1120" s="381">
        <f>IF(AND('NOVIEMBRE 2026'!D74&lt;&gt;"",'NOVIEMBRE 2026'!Z74="POR RECOGER"),'NOVIEMBRE 2026'!K74,"")</f>
        <v/>
      </c>
      <c r="G1120" s="382">
        <f>IF(AND('NOVIEMBRE 2026'!D74&lt;&gt;"",'NOVIEMBRE 2026'!Z74="POR RECOGER"),'NOVIEMBRE 2026'!M74,"")</f>
        <v/>
      </c>
      <c r="H1120" s="382">
        <f>IF(AND('NOVIEMBRE 2026'!D74&lt;&gt;"",'NOVIEMBRE 2026'!Z74="POR RECOGER"),'NOVIEMBRE 2026'!N74,"")</f>
        <v/>
      </c>
      <c r="I1120" s="381">
        <f>IF(AND('NOVIEMBRE 2026'!D74&lt;&gt;"",'NOVIEMBRE 2026'!Z74="POR RECOGER"),'NOVIEMBRE 2026'!P74,"")</f>
        <v/>
      </c>
      <c r="J1120" s="381">
        <f>IF(AND('NOVIEMBRE 2026'!D74&lt;&gt;"",'NOVIEMBRE 2026'!Z74="POR RECOGER"),'NOVIEMBRE 2026'!Q74,"")</f>
        <v/>
      </c>
      <c r="K1120" s="381">
        <f>IF(AND('NOVIEMBRE 2026'!D74&lt;&gt;"",'NOVIEMBRE 2026'!Z74="POR RECOGER"),'NOVIEMBRE 2026'!Y74,"")</f>
        <v/>
      </c>
      <c r="L1120" s="381">
        <f>IF(AND('NOVIEMBRE 2026'!D74&lt;&gt;"",'NOVIEMBRE 2026'!Z74="POR RECOGER"),'NOVIEMBRE 2026'!I74,"")</f>
        <v/>
      </c>
      <c r="P1120" s="194" t="n"/>
      <c r="Q1120" s="194" t="n"/>
      <c r="R1120" s="194" t="n"/>
      <c r="S1120" s="194" t="n"/>
      <c r="T1120" s="194" t="n"/>
      <c r="U1120" s="194" t="n"/>
      <c r="V1120" s="194" t="n"/>
      <c r="W1120" s="194" t="n"/>
      <c r="X1120" s="194" t="n"/>
      <c r="Y1120" s="194" t="n"/>
      <c r="Z1120" s="194" t="n"/>
    </row>
    <row r="1121" ht="15" customHeight="1" s="195">
      <c r="A1121" s="381">
        <f>IF(AND('NOVIEMBRE 2026'!D75&lt;&gt;"",'NOVIEMBRE 2026'!Z75="POR RECOGER"),"NOV","")</f>
        <v/>
      </c>
      <c r="B1121" s="381">
        <f>IF(AND('NOVIEMBRE 2026'!D75&lt;&gt;"",'NOVIEMBRE 2026'!Z75="POR RECOGER"),IF('NOVIEMBRE 2026'!Y75&lt;&gt;"",'NOVIEMBRE 2026'!Y75,'NOVIEMBRE 2026'!I75),"")</f>
        <v/>
      </c>
      <c r="C1121" s="381">
        <f>IF(AND('NOVIEMBRE 2026'!D75&lt;&gt;"",'NOVIEMBRE 2026'!Z75="POR RECOGER"),'NOVIEMBRE 2026'!D75,"")</f>
        <v/>
      </c>
      <c r="D1121" s="381">
        <f>IF(AND('NOVIEMBRE 2026'!D75&lt;&gt;"",'NOVIEMBRE 2026'!Z75="POR RECOGER"),'NOVIEMBRE 2026'!F75,"")</f>
        <v/>
      </c>
      <c r="E1121" s="381">
        <f>IF(AND('NOVIEMBRE 2026'!D75&lt;&gt;"",'NOVIEMBRE 2026'!Z75="POR RECOGER"),TEXT('NOVIEMBRE 2026'!G75,"DD/MM/YYYY"),"")</f>
        <v/>
      </c>
      <c r="F1121" s="381">
        <f>IF(AND('NOVIEMBRE 2026'!D75&lt;&gt;"",'NOVIEMBRE 2026'!Z75="POR RECOGER"),'NOVIEMBRE 2026'!K75,"")</f>
        <v/>
      </c>
      <c r="G1121" s="382">
        <f>IF(AND('NOVIEMBRE 2026'!D75&lt;&gt;"",'NOVIEMBRE 2026'!Z75="POR RECOGER"),'NOVIEMBRE 2026'!M75,"")</f>
        <v/>
      </c>
      <c r="H1121" s="382">
        <f>IF(AND('NOVIEMBRE 2026'!D75&lt;&gt;"",'NOVIEMBRE 2026'!Z75="POR RECOGER"),'NOVIEMBRE 2026'!N75,"")</f>
        <v/>
      </c>
      <c r="I1121" s="381">
        <f>IF(AND('NOVIEMBRE 2026'!D75&lt;&gt;"",'NOVIEMBRE 2026'!Z75="POR RECOGER"),'NOVIEMBRE 2026'!P75,"")</f>
        <v/>
      </c>
      <c r="J1121" s="381">
        <f>IF(AND('NOVIEMBRE 2026'!D75&lt;&gt;"",'NOVIEMBRE 2026'!Z75="POR RECOGER"),'NOVIEMBRE 2026'!Q75,"")</f>
        <v/>
      </c>
      <c r="K1121" s="381">
        <f>IF(AND('NOVIEMBRE 2026'!D75&lt;&gt;"",'NOVIEMBRE 2026'!Z75="POR RECOGER"),'NOVIEMBRE 2026'!Y75,"")</f>
        <v/>
      </c>
      <c r="L1121" s="381">
        <f>IF(AND('NOVIEMBRE 2026'!D75&lt;&gt;"",'NOVIEMBRE 2026'!Z75="POR RECOGER"),'NOVIEMBRE 2026'!I75,"")</f>
        <v/>
      </c>
      <c r="P1121" s="194" t="n"/>
      <c r="Q1121" s="194" t="n"/>
      <c r="R1121" s="194" t="n"/>
      <c r="S1121" s="194" t="n"/>
      <c r="T1121" s="194" t="n"/>
      <c r="U1121" s="194" t="n"/>
      <c r="V1121" s="194" t="n"/>
      <c r="W1121" s="194" t="n"/>
      <c r="X1121" s="194" t="n"/>
      <c r="Y1121" s="194" t="n"/>
      <c r="Z1121" s="194" t="n"/>
    </row>
    <row r="1122" ht="15" customHeight="1" s="195">
      <c r="A1122" s="381">
        <f>IF(AND('NOVIEMBRE 2026'!D76&lt;&gt;"",'NOVIEMBRE 2026'!Z76="POR RECOGER"),"NOV","")</f>
        <v/>
      </c>
      <c r="B1122" s="381">
        <f>IF(AND('NOVIEMBRE 2026'!D76&lt;&gt;"",'NOVIEMBRE 2026'!Z76="POR RECOGER"),IF('NOVIEMBRE 2026'!Y76&lt;&gt;"",'NOVIEMBRE 2026'!Y76,'NOVIEMBRE 2026'!I76),"")</f>
        <v/>
      </c>
      <c r="C1122" s="381">
        <f>IF(AND('NOVIEMBRE 2026'!D76&lt;&gt;"",'NOVIEMBRE 2026'!Z76="POR RECOGER"),'NOVIEMBRE 2026'!D76,"")</f>
        <v/>
      </c>
      <c r="D1122" s="381">
        <f>IF(AND('NOVIEMBRE 2026'!D76&lt;&gt;"",'NOVIEMBRE 2026'!Z76="POR RECOGER"),'NOVIEMBRE 2026'!F76,"")</f>
        <v/>
      </c>
      <c r="E1122" s="381">
        <f>IF(AND('NOVIEMBRE 2026'!D76&lt;&gt;"",'NOVIEMBRE 2026'!Z76="POR RECOGER"),TEXT('NOVIEMBRE 2026'!G76,"DD/MM/YYYY"),"")</f>
        <v/>
      </c>
      <c r="F1122" s="381">
        <f>IF(AND('NOVIEMBRE 2026'!D76&lt;&gt;"",'NOVIEMBRE 2026'!Z76="POR RECOGER"),'NOVIEMBRE 2026'!K76,"")</f>
        <v/>
      </c>
      <c r="G1122" s="382">
        <f>IF(AND('NOVIEMBRE 2026'!D76&lt;&gt;"",'NOVIEMBRE 2026'!Z76="POR RECOGER"),'NOVIEMBRE 2026'!M76,"")</f>
        <v/>
      </c>
      <c r="H1122" s="382">
        <f>IF(AND('NOVIEMBRE 2026'!D76&lt;&gt;"",'NOVIEMBRE 2026'!Z76="POR RECOGER"),'NOVIEMBRE 2026'!N76,"")</f>
        <v/>
      </c>
      <c r="I1122" s="381">
        <f>IF(AND('NOVIEMBRE 2026'!D76&lt;&gt;"",'NOVIEMBRE 2026'!Z76="POR RECOGER"),'NOVIEMBRE 2026'!P76,"")</f>
        <v/>
      </c>
      <c r="J1122" s="381">
        <f>IF(AND('NOVIEMBRE 2026'!D76&lt;&gt;"",'NOVIEMBRE 2026'!Z76="POR RECOGER"),'NOVIEMBRE 2026'!Q76,"")</f>
        <v/>
      </c>
      <c r="K1122" s="381">
        <f>IF(AND('NOVIEMBRE 2026'!D76&lt;&gt;"",'NOVIEMBRE 2026'!Z76="POR RECOGER"),'NOVIEMBRE 2026'!Y76,"")</f>
        <v/>
      </c>
      <c r="L1122" s="381">
        <f>IF(AND('NOVIEMBRE 2026'!D76&lt;&gt;"",'NOVIEMBRE 2026'!Z76="POR RECOGER"),'NOVIEMBRE 2026'!I76,"")</f>
        <v/>
      </c>
      <c r="P1122" s="194" t="n"/>
      <c r="Q1122" s="194" t="n"/>
      <c r="R1122" s="194" t="n"/>
      <c r="S1122" s="194" t="n"/>
      <c r="T1122" s="194" t="n"/>
      <c r="U1122" s="194" t="n"/>
      <c r="V1122" s="194" t="n"/>
      <c r="W1122" s="194" t="n"/>
      <c r="X1122" s="194" t="n"/>
      <c r="Y1122" s="194" t="n"/>
      <c r="Z1122" s="194" t="n"/>
    </row>
    <row r="1123" ht="15" customHeight="1" s="195">
      <c r="A1123" s="381">
        <f>IF(AND('NOVIEMBRE 2026'!D77&lt;&gt;"",'NOVIEMBRE 2026'!Z77="POR RECOGER"),"NOV","")</f>
        <v/>
      </c>
      <c r="B1123" s="381">
        <f>IF(AND('NOVIEMBRE 2026'!D77&lt;&gt;"",'NOVIEMBRE 2026'!Z77="POR RECOGER"),IF('NOVIEMBRE 2026'!Y77&lt;&gt;"",'NOVIEMBRE 2026'!Y77,'NOVIEMBRE 2026'!I77),"")</f>
        <v/>
      </c>
      <c r="C1123" s="381">
        <f>IF(AND('NOVIEMBRE 2026'!D77&lt;&gt;"",'NOVIEMBRE 2026'!Z77="POR RECOGER"),'NOVIEMBRE 2026'!D77,"")</f>
        <v/>
      </c>
      <c r="D1123" s="381">
        <f>IF(AND('NOVIEMBRE 2026'!D77&lt;&gt;"",'NOVIEMBRE 2026'!Z77="POR RECOGER"),'NOVIEMBRE 2026'!F77,"")</f>
        <v/>
      </c>
      <c r="E1123" s="381">
        <f>IF(AND('NOVIEMBRE 2026'!D77&lt;&gt;"",'NOVIEMBRE 2026'!Z77="POR RECOGER"),TEXT('NOVIEMBRE 2026'!G77,"DD/MM/YYYY"),"")</f>
        <v/>
      </c>
      <c r="F1123" s="381">
        <f>IF(AND('NOVIEMBRE 2026'!D77&lt;&gt;"",'NOVIEMBRE 2026'!Z77="POR RECOGER"),'NOVIEMBRE 2026'!K77,"")</f>
        <v/>
      </c>
      <c r="G1123" s="382">
        <f>IF(AND('NOVIEMBRE 2026'!D77&lt;&gt;"",'NOVIEMBRE 2026'!Z77="POR RECOGER"),'NOVIEMBRE 2026'!M77,"")</f>
        <v/>
      </c>
      <c r="H1123" s="382">
        <f>IF(AND('NOVIEMBRE 2026'!D77&lt;&gt;"",'NOVIEMBRE 2026'!Z77="POR RECOGER"),'NOVIEMBRE 2026'!N77,"")</f>
        <v/>
      </c>
      <c r="I1123" s="381">
        <f>IF(AND('NOVIEMBRE 2026'!D77&lt;&gt;"",'NOVIEMBRE 2026'!Z77="POR RECOGER"),'NOVIEMBRE 2026'!P77,"")</f>
        <v/>
      </c>
      <c r="J1123" s="381">
        <f>IF(AND('NOVIEMBRE 2026'!D77&lt;&gt;"",'NOVIEMBRE 2026'!Z77="POR RECOGER"),'NOVIEMBRE 2026'!Q77,"")</f>
        <v/>
      </c>
      <c r="K1123" s="381">
        <f>IF(AND('NOVIEMBRE 2026'!D77&lt;&gt;"",'NOVIEMBRE 2026'!Z77="POR RECOGER"),'NOVIEMBRE 2026'!Y77,"")</f>
        <v/>
      </c>
      <c r="L1123" s="381">
        <f>IF(AND('NOVIEMBRE 2026'!D77&lt;&gt;"",'NOVIEMBRE 2026'!Z77="POR RECOGER"),'NOVIEMBRE 2026'!I77,"")</f>
        <v/>
      </c>
      <c r="P1123" s="194" t="n"/>
      <c r="Q1123" s="194" t="n"/>
      <c r="R1123" s="194" t="n"/>
      <c r="S1123" s="194" t="n"/>
      <c r="T1123" s="194" t="n"/>
      <c r="U1123" s="194" t="n"/>
      <c r="V1123" s="194" t="n"/>
      <c r="W1123" s="194" t="n"/>
      <c r="X1123" s="194" t="n"/>
      <c r="Y1123" s="194" t="n"/>
      <c r="Z1123" s="194" t="n"/>
    </row>
    <row r="1124" ht="15" customHeight="1" s="195">
      <c r="A1124" s="381">
        <f>IF(AND('NOVIEMBRE 2026'!D78&lt;&gt;"",'NOVIEMBRE 2026'!Z78="POR RECOGER"),"NOV","")</f>
        <v/>
      </c>
      <c r="B1124" s="381">
        <f>IF(AND('NOVIEMBRE 2026'!D78&lt;&gt;"",'NOVIEMBRE 2026'!Z78="POR RECOGER"),IF('NOVIEMBRE 2026'!Y78&lt;&gt;"",'NOVIEMBRE 2026'!Y78,'NOVIEMBRE 2026'!I78),"")</f>
        <v/>
      </c>
      <c r="C1124" s="381">
        <f>IF(AND('NOVIEMBRE 2026'!D78&lt;&gt;"",'NOVIEMBRE 2026'!Z78="POR RECOGER"),'NOVIEMBRE 2026'!D78,"")</f>
        <v/>
      </c>
      <c r="D1124" s="381">
        <f>IF(AND('NOVIEMBRE 2026'!D78&lt;&gt;"",'NOVIEMBRE 2026'!Z78="POR RECOGER"),'NOVIEMBRE 2026'!F78,"")</f>
        <v/>
      </c>
      <c r="E1124" s="381">
        <f>IF(AND('NOVIEMBRE 2026'!D78&lt;&gt;"",'NOVIEMBRE 2026'!Z78="POR RECOGER"),TEXT('NOVIEMBRE 2026'!G78,"DD/MM/YYYY"),"")</f>
        <v/>
      </c>
      <c r="F1124" s="381">
        <f>IF(AND('NOVIEMBRE 2026'!D78&lt;&gt;"",'NOVIEMBRE 2026'!Z78="POR RECOGER"),'NOVIEMBRE 2026'!K78,"")</f>
        <v/>
      </c>
      <c r="G1124" s="382">
        <f>IF(AND('NOVIEMBRE 2026'!D78&lt;&gt;"",'NOVIEMBRE 2026'!Z78="POR RECOGER"),'NOVIEMBRE 2026'!M78,"")</f>
        <v/>
      </c>
      <c r="H1124" s="382">
        <f>IF(AND('NOVIEMBRE 2026'!D78&lt;&gt;"",'NOVIEMBRE 2026'!Z78="POR RECOGER"),'NOVIEMBRE 2026'!N78,"")</f>
        <v/>
      </c>
      <c r="I1124" s="381">
        <f>IF(AND('NOVIEMBRE 2026'!D78&lt;&gt;"",'NOVIEMBRE 2026'!Z78="POR RECOGER"),'NOVIEMBRE 2026'!P78,"")</f>
        <v/>
      </c>
      <c r="J1124" s="381">
        <f>IF(AND('NOVIEMBRE 2026'!D78&lt;&gt;"",'NOVIEMBRE 2026'!Z78="POR RECOGER"),'NOVIEMBRE 2026'!Q78,"")</f>
        <v/>
      </c>
      <c r="K1124" s="381">
        <f>IF(AND('NOVIEMBRE 2026'!D78&lt;&gt;"",'NOVIEMBRE 2026'!Z78="POR RECOGER"),'NOVIEMBRE 2026'!Y78,"")</f>
        <v/>
      </c>
      <c r="L1124" s="381">
        <f>IF(AND('NOVIEMBRE 2026'!D78&lt;&gt;"",'NOVIEMBRE 2026'!Z78="POR RECOGER"),'NOVIEMBRE 2026'!I78,"")</f>
        <v/>
      </c>
      <c r="P1124" s="194" t="n"/>
      <c r="Q1124" s="194" t="n"/>
      <c r="R1124" s="194" t="n"/>
      <c r="S1124" s="194" t="n"/>
      <c r="T1124" s="194" t="n"/>
      <c r="U1124" s="194" t="n"/>
      <c r="V1124" s="194" t="n"/>
      <c r="W1124" s="194" t="n"/>
      <c r="X1124" s="194" t="n"/>
      <c r="Y1124" s="194" t="n"/>
      <c r="Z1124" s="194" t="n"/>
    </row>
    <row r="1125" ht="15" customHeight="1" s="195">
      <c r="A1125" s="381">
        <f>IF(AND('NOVIEMBRE 2026'!D79&lt;&gt;"",'NOVIEMBRE 2026'!Z79="POR RECOGER"),"NOV","")</f>
        <v/>
      </c>
      <c r="B1125" s="381">
        <f>IF(AND('NOVIEMBRE 2026'!D79&lt;&gt;"",'NOVIEMBRE 2026'!Z79="POR RECOGER"),IF('NOVIEMBRE 2026'!Y79&lt;&gt;"",'NOVIEMBRE 2026'!Y79,'NOVIEMBRE 2026'!I79),"")</f>
        <v/>
      </c>
      <c r="C1125" s="381">
        <f>IF(AND('NOVIEMBRE 2026'!D79&lt;&gt;"",'NOVIEMBRE 2026'!Z79="POR RECOGER"),'NOVIEMBRE 2026'!D79,"")</f>
        <v/>
      </c>
      <c r="D1125" s="381">
        <f>IF(AND('NOVIEMBRE 2026'!D79&lt;&gt;"",'NOVIEMBRE 2026'!Z79="POR RECOGER"),'NOVIEMBRE 2026'!F79,"")</f>
        <v/>
      </c>
      <c r="E1125" s="381">
        <f>IF(AND('NOVIEMBRE 2026'!D79&lt;&gt;"",'NOVIEMBRE 2026'!Z79="POR RECOGER"),TEXT('NOVIEMBRE 2026'!G79,"DD/MM/YYYY"),"")</f>
        <v/>
      </c>
      <c r="F1125" s="381">
        <f>IF(AND('NOVIEMBRE 2026'!D79&lt;&gt;"",'NOVIEMBRE 2026'!Z79="POR RECOGER"),'NOVIEMBRE 2026'!K79,"")</f>
        <v/>
      </c>
      <c r="G1125" s="382">
        <f>IF(AND('NOVIEMBRE 2026'!D79&lt;&gt;"",'NOVIEMBRE 2026'!Z79="POR RECOGER"),'NOVIEMBRE 2026'!M79,"")</f>
        <v/>
      </c>
      <c r="H1125" s="382">
        <f>IF(AND('NOVIEMBRE 2026'!D79&lt;&gt;"",'NOVIEMBRE 2026'!Z79="POR RECOGER"),'NOVIEMBRE 2026'!N79,"")</f>
        <v/>
      </c>
      <c r="I1125" s="381">
        <f>IF(AND('NOVIEMBRE 2026'!D79&lt;&gt;"",'NOVIEMBRE 2026'!Z79="POR RECOGER"),'NOVIEMBRE 2026'!P79,"")</f>
        <v/>
      </c>
      <c r="J1125" s="381">
        <f>IF(AND('NOVIEMBRE 2026'!D79&lt;&gt;"",'NOVIEMBRE 2026'!Z79="POR RECOGER"),'NOVIEMBRE 2026'!Q79,"")</f>
        <v/>
      </c>
      <c r="K1125" s="381">
        <f>IF(AND('NOVIEMBRE 2026'!D79&lt;&gt;"",'NOVIEMBRE 2026'!Z79="POR RECOGER"),'NOVIEMBRE 2026'!Y79,"")</f>
        <v/>
      </c>
      <c r="L1125" s="381">
        <f>IF(AND('NOVIEMBRE 2026'!D79&lt;&gt;"",'NOVIEMBRE 2026'!Z79="POR RECOGER"),'NOVIEMBRE 2026'!I79,"")</f>
        <v/>
      </c>
      <c r="P1125" s="194" t="n"/>
      <c r="Q1125" s="194" t="n"/>
      <c r="R1125" s="194" t="n"/>
      <c r="S1125" s="194" t="n"/>
      <c r="T1125" s="194" t="n"/>
      <c r="U1125" s="194" t="n"/>
      <c r="V1125" s="194" t="n"/>
      <c r="W1125" s="194" t="n"/>
      <c r="X1125" s="194" t="n"/>
      <c r="Y1125" s="194" t="n"/>
      <c r="Z1125" s="194" t="n"/>
    </row>
    <row r="1126" ht="15" customHeight="1" s="195">
      <c r="A1126" s="381">
        <f>IF(AND('NOVIEMBRE 2026'!D80&lt;&gt;"",'NOVIEMBRE 2026'!Z80="POR RECOGER"),"NOV","")</f>
        <v/>
      </c>
      <c r="B1126" s="381">
        <f>IF(AND('NOVIEMBRE 2026'!D80&lt;&gt;"",'NOVIEMBRE 2026'!Z80="POR RECOGER"),IF('NOVIEMBRE 2026'!Y80&lt;&gt;"",'NOVIEMBRE 2026'!Y80,'NOVIEMBRE 2026'!I80),"")</f>
        <v/>
      </c>
      <c r="C1126" s="381">
        <f>IF(AND('NOVIEMBRE 2026'!D80&lt;&gt;"",'NOVIEMBRE 2026'!Z80="POR RECOGER"),'NOVIEMBRE 2026'!D80,"")</f>
        <v/>
      </c>
      <c r="D1126" s="381">
        <f>IF(AND('NOVIEMBRE 2026'!D80&lt;&gt;"",'NOVIEMBRE 2026'!Z80="POR RECOGER"),'NOVIEMBRE 2026'!F80,"")</f>
        <v/>
      </c>
      <c r="E1126" s="381">
        <f>IF(AND('NOVIEMBRE 2026'!D80&lt;&gt;"",'NOVIEMBRE 2026'!Z80="POR RECOGER"),TEXT('NOVIEMBRE 2026'!G80,"DD/MM/YYYY"),"")</f>
        <v/>
      </c>
      <c r="F1126" s="381">
        <f>IF(AND('NOVIEMBRE 2026'!D80&lt;&gt;"",'NOVIEMBRE 2026'!Z80="POR RECOGER"),'NOVIEMBRE 2026'!K80,"")</f>
        <v/>
      </c>
      <c r="G1126" s="382">
        <f>IF(AND('NOVIEMBRE 2026'!D80&lt;&gt;"",'NOVIEMBRE 2026'!Z80="POR RECOGER"),'NOVIEMBRE 2026'!M80,"")</f>
        <v/>
      </c>
      <c r="H1126" s="382">
        <f>IF(AND('NOVIEMBRE 2026'!D80&lt;&gt;"",'NOVIEMBRE 2026'!Z80="POR RECOGER"),'NOVIEMBRE 2026'!N80,"")</f>
        <v/>
      </c>
      <c r="I1126" s="381">
        <f>IF(AND('NOVIEMBRE 2026'!D80&lt;&gt;"",'NOVIEMBRE 2026'!Z80="POR RECOGER"),'NOVIEMBRE 2026'!P80,"")</f>
        <v/>
      </c>
      <c r="J1126" s="381">
        <f>IF(AND('NOVIEMBRE 2026'!D80&lt;&gt;"",'NOVIEMBRE 2026'!Z80="POR RECOGER"),'NOVIEMBRE 2026'!Q80,"")</f>
        <v/>
      </c>
      <c r="K1126" s="381">
        <f>IF(AND('NOVIEMBRE 2026'!D80&lt;&gt;"",'NOVIEMBRE 2026'!Z80="POR RECOGER"),'NOVIEMBRE 2026'!Y80,"")</f>
        <v/>
      </c>
      <c r="L1126" s="381">
        <f>IF(AND('NOVIEMBRE 2026'!D80&lt;&gt;"",'NOVIEMBRE 2026'!Z80="POR RECOGER"),'NOVIEMBRE 2026'!I80,"")</f>
        <v/>
      </c>
      <c r="P1126" s="194" t="n"/>
      <c r="Q1126" s="194" t="n"/>
      <c r="R1126" s="194" t="n"/>
      <c r="S1126" s="194" t="n"/>
      <c r="T1126" s="194" t="n"/>
      <c r="U1126" s="194" t="n"/>
      <c r="V1126" s="194" t="n"/>
      <c r="W1126" s="194" t="n"/>
      <c r="X1126" s="194" t="n"/>
      <c r="Y1126" s="194" t="n"/>
      <c r="Z1126" s="194" t="n"/>
    </row>
    <row r="1127" ht="15" customHeight="1" s="195">
      <c r="A1127" s="381">
        <f>IF(AND('NOVIEMBRE 2026'!D81&lt;&gt;"",'NOVIEMBRE 2026'!Z81="POR RECOGER"),"NOV","")</f>
        <v/>
      </c>
      <c r="B1127" s="381">
        <f>IF(AND('NOVIEMBRE 2026'!D81&lt;&gt;"",'NOVIEMBRE 2026'!Z81="POR RECOGER"),IF('NOVIEMBRE 2026'!Y81&lt;&gt;"",'NOVIEMBRE 2026'!Y81,'NOVIEMBRE 2026'!I81),"")</f>
        <v/>
      </c>
      <c r="C1127" s="381">
        <f>IF(AND('NOVIEMBRE 2026'!D81&lt;&gt;"",'NOVIEMBRE 2026'!Z81="POR RECOGER"),'NOVIEMBRE 2026'!D81,"")</f>
        <v/>
      </c>
      <c r="D1127" s="381">
        <f>IF(AND('NOVIEMBRE 2026'!D81&lt;&gt;"",'NOVIEMBRE 2026'!Z81="POR RECOGER"),'NOVIEMBRE 2026'!F81,"")</f>
        <v/>
      </c>
      <c r="E1127" s="381">
        <f>IF(AND('NOVIEMBRE 2026'!D81&lt;&gt;"",'NOVIEMBRE 2026'!Z81="POR RECOGER"),TEXT('NOVIEMBRE 2026'!G81,"DD/MM/YYYY"),"")</f>
        <v/>
      </c>
      <c r="F1127" s="381">
        <f>IF(AND('NOVIEMBRE 2026'!D81&lt;&gt;"",'NOVIEMBRE 2026'!Z81="POR RECOGER"),'NOVIEMBRE 2026'!K81,"")</f>
        <v/>
      </c>
      <c r="G1127" s="382">
        <f>IF(AND('NOVIEMBRE 2026'!D81&lt;&gt;"",'NOVIEMBRE 2026'!Z81="POR RECOGER"),'NOVIEMBRE 2026'!M81,"")</f>
        <v/>
      </c>
      <c r="H1127" s="382">
        <f>IF(AND('NOVIEMBRE 2026'!D81&lt;&gt;"",'NOVIEMBRE 2026'!Z81="POR RECOGER"),'NOVIEMBRE 2026'!N81,"")</f>
        <v/>
      </c>
      <c r="I1127" s="381">
        <f>IF(AND('NOVIEMBRE 2026'!D81&lt;&gt;"",'NOVIEMBRE 2026'!Z81="POR RECOGER"),'NOVIEMBRE 2026'!P81,"")</f>
        <v/>
      </c>
      <c r="J1127" s="381">
        <f>IF(AND('NOVIEMBRE 2026'!D81&lt;&gt;"",'NOVIEMBRE 2026'!Z81="POR RECOGER"),'NOVIEMBRE 2026'!Q81,"")</f>
        <v/>
      </c>
      <c r="K1127" s="381">
        <f>IF(AND('NOVIEMBRE 2026'!D81&lt;&gt;"",'NOVIEMBRE 2026'!Z81="POR RECOGER"),'NOVIEMBRE 2026'!Y81,"")</f>
        <v/>
      </c>
      <c r="L1127" s="381">
        <f>IF(AND('NOVIEMBRE 2026'!D81&lt;&gt;"",'NOVIEMBRE 2026'!Z81="POR RECOGER"),'NOVIEMBRE 2026'!I81,"")</f>
        <v/>
      </c>
      <c r="P1127" s="194" t="n"/>
      <c r="Q1127" s="194" t="n"/>
      <c r="R1127" s="194" t="n"/>
      <c r="S1127" s="194" t="n"/>
      <c r="T1127" s="194" t="n"/>
      <c r="U1127" s="194" t="n"/>
      <c r="V1127" s="194" t="n"/>
      <c r="W1127" s="194" t="n"/>
      <c r="X1127" s="194" t="n"/>
      <c r="Y1127" s="194" t="n"/>
      <c r="Z1127" s="194" t="n"/>
    </row>
    <row r="1128" ht="15" customHeight="1" s="195">
      <c r="A1128" s="381">
        <f>IF(AND('NOVIEMBRE 2026'!D82&lt;&gt;"",'NOVIEMBRE 2026'!Z82="POR RECOGER"),"NOV","")</f>
        <v/>
      </c>
      <c r="B1128" s="381">
        <f>IF(AND('NOVIEMBRE 2026'!D82&lt;&gt;"",'NOVIEMBRE 2026'!Z82="POR RECOGER"),IF('NOVIEMBRE 2026'!Y82&lt;&gt;"",'NOVIEMBRE 2026'!Y82,'NOVIEMBRE 2026'!I82),"")</f>
        <v/>
      </c>
      <c r="C1128" s="381">
        <f>IF(AND('NOVIEMBRE 2026'!D82&lt;&gt;"",'NOVIEMBRE 2026'!Z82="POR RECOGER"),'NOVIEMBRE 2026'!D82,"")</f>
        <v/>
      </c>
      <c r="D1128" s="381">
        <f>IF(AND('NOVIEMBRE 2026'!D82&lt;&gt;"",'NOVIEMBRE 2026'!Z82="POR RECOGER"),'NOVIEMBRE 2026'!F82,"")</f>
        <v/>
      </c>
      <c r="E1128" s="381">
        <f>IF(AND('NOVIEMBRE 2026'!D82&lt;&gt;"",'NOVIEMBRE 2026'!Z82="POR RECOGER"),TEXT('NOVIEMBRE 2026'!G82,"DD/MM/YYYY"),"")</f>
        <v/>
      </c>
      <c r="F1128" s="381">
        <f>IF(AND('NOVIEMBRE 2026'!D82&lt;&gt;"",'NOVIEMBRE 2026'!Z82="POR RECOGER"),'NOVIEMBRE 2026'!K82,"")</f>
        <v/>
      </c>
      <c r="G1128" s="382">
        <f>IF(AND('NOVIEMBRE 2026'!D82&lt;&gt;"",'NOVIEMBRE 2026'!Z82="POR RECOGER"),'NOVIEMBRE 2026'!M82,"")</f>
        <v/>
      </c>
      <c r="H1128" s="382">
        <f>IF(AND('NOVIEMBRE 2026'!D82&lt;&gt;"",'NOVIEMBRE 2026'!Z82="POR RECOGER"),'NOVIEMBRE 2026'!N82,"")</f>
        <v/>
      </c>
      <c r="I1128" s="381">
        <f>IF(AND('NOVIEMBRE 2026'!D82&lt;&gt;"",'NOVIEMBRE 2026'!Z82="POR RECOGER"),'NOVIEMBRE 2026'!P82,"")</f>
        <v/>
      </c>
      <c r="J1128" s="381">
        <f>IF(AND('NOVIEMBRE 2026'!D82&lt;&gt;"",'NOVIEMBRE 2026'!Z82="POR RECOGER"),'NOVIEMBRE 2026'!Q82,"")</f>
        <v/>
      </c>
      <c r="K1128" s="381">
        <f>IF(AND('NOVIEMBRE 2026'!D82&lt;&gt;"",'NOVIEMBRE 2026'!Z82="POR RECOGER"),'NOVIEMBRE 2026'!Y82,"")</f>
        <v/>
      </c>
      <c r="L1128" s="381">
        <f>IF(AND('NOVIEMBRE 2026'!D82&lt;&gt;"",'NOVIEMBRE 2026'!Z82="POR RECOGER"),'NOVIEMBRE 2026'!I82,"")</f>
        <v/>
      </c>
      <c r="P1128" s="194" t="n"/>
      <c r="Q1128" s="194" t="n"/>
      <c r="R1128" s="194" t="n"/>
      <c r="S1128" s="194" t="n"/>
      <c r="T1128" s="194" t="n"/>
      <c r="U1128" s="194" t="n"/>
      <c r="V1128" s="194" t="n"/>
      <c r="W1128" s="194" t="n"/>
      <c r="X1128" s="194" t="n"/>
      <c r="Y1128" s="194" t="n"/>
      <c r="Z1128" s="194" t="n"/>
    </row>
    <row r="1129" ht="15" customHeight="1" s="195">
      <c r="A1129" s="381">
        <f>IF(AND('NOVIEMBRE 2026'!D83&lt;&gt;"",'NOVIEMBRE 2026'!Z83="POR RECOGER"),"NOV","")</f>
        <v/>
      </c>
      <c r="B1129" s="381">
        <f>IF(AND('NOVIEMBRE 2026'!D83&lt;&gt;"",'NOVIEMBRE 2026'!Z83="POR RECOGER"),IF('NOVIEMBRE 2026'!Y83&lt;&gt;"",'NOVIEMBRE 2026'!Y83,'NOVIEMBRE 2026'!I83),"")</f>
        <v/>
      </c>
      <c r="C1129" s="381">
        <f>IF(AND('NOVIEMBRE 2026'!D83&lt;&gt;"",'NOVIEMBRE 2026'!Z83="POR RECOGER"),'NOVIEMBRE 2026'!D83,"")</f>
        <v/>
      </c>
      <c r="D1129" s="381">
        <f>IF(AND('NOVIEMBRE 2026'!D83&lt;&gt;"",'NOVIEMBRE 2026'!Z83="POR RECOGER"),'NOVIEMBRE 2026'!F83,"")</f>
        <v/>
      </c>
      <c r="E1129" s="381">
        <f>IF(AND('NOVIEMBRE 2026'!D83&lt;&gt;"",'NOVIEMBRE 2026'!Z83="POR RECOGER"),TEXT('NOVIEMBRE 2026'!G83,"DD/MM/YYYY"),"")</f>
        <v/>
      </c>
      <c r="F1129" s="381">
        <f>IF(AND('NOVIEMBRE 2026'!D83&lt;&gt;"",'NOVIEMBRE 2026'!Z83="POR RECOGER"),'NOVIEMBRE 2026'!K83,"")</f>
        <v/>
      </c>
      <c r="G1129" s="382">
        <f>IF(AND('NOVIEMBRE 2026'!D83&lt;&gt;"",'NOVIEMBRE 2026'!Z83="POR RECOGER"),'NOVIEMBRE 2026'!M83,"")</f>
        <v/>
      </c>
      <c r="H1129" s="382">
        <f>IF(AND('NOVIEMBRE 2026'!D83&lt;&gt;"",'NOVIEMBRE 2026'!Z83="POR RECOGER"),'NOVIEMBRE 2026'!N83,"")</f>
        <v/>
      </c>
      <c r="I1129" s="381">
        <f>IF(AND('NOVIEMBRE 2026'!D83&lt;&gt;"",'NOVIEMBRE 2026'!Z83="POR RECOGER"),'NOVIEMBRE 2026'!P83,"")</f>
        <v/>
      </c>
      <c r="J1129" s="381">
        <f>IF(AND('NOVIEMBRE 2026'!D83&lt;&gt;"",'NOVIEMBRE 2026'!Z83="POR RECOGER"),'NOVIEMBRE 2026'!Q83,"")</f>
        <v/>
      </c>
      <c r="K1129" s="381">
        <f>IF(AND('NOVIEMBRE 2026'!D83&lt;&gt;"",'NOVIEMBRE 2026'!Z83="POR RECOGER"),'NOVIEMBRE 2026'!Y83,"")</f>
        <v/>
      </c>
      <c r="L1129" s="381">
        <f>IF(AND('NOVIEMBRE 2026'!D83&lt;&gt;"",'NOVIEMBRE 2026'!Z83="POR RECOGER"),'NOVIEMBRE 2026'!I83,"")</f>
        <v/>
      </c>
      <c r="P1129" s="194" t="n"/>
      <c r="Q1129" s="194" t="n"/>
      <c r="R1129" s="194" t="n"/>
      <c r="S1129" s="194" t="n"/>
      <c r="T1129" s="194" t="n"/>
      <c r="U1129" s="194" t="n"/>
      <c r="V1129" s="194" t="n"/>
      <c r="W1129" s="194" t="n"/>
      <c r="X1129" s="194" t="n"/>
      <c r="Y1129" s="194" t="n"/>
      <c r="Z1129" s="194" t="n"/>
    </row>
    <row r="1130" ht="15" customHeight="1" s="195">
      <c r="A1130" s="381">
        <f>IF(AND('NOVIEMBRE 2026'!D84&lt;&gt;"",'NOVIEMBRE 2026'!Z84="POR RECOGER"),"NOV","")</f>
        <v/>
      </c>
      <c r="B1130" s="381">
        <f>IF(AND('NOVIEMBRE 2026'!D84&lt;&gt;"",'NOVIEMBRE 2026'!Z84="POR RECOGER"),IF('NOVIEMBRE 2026'!Y84&lt;&gt;"",'NOVIEMBRE 2026'!Y84,'NOVIEMBRE 2026'!I84),"")</f>
        <v/>
      </c>
      <c r="C1130" s="381">
        <f>IF(AND('NOVIEMBRE 2026'!D84&lt;&gt;"",'NOVIEMBRE 2026'!Z84="POR RECOGER"),'NOVIEMBRE 2026'!D84,"")</f>
        <v/>
      </c>
      <c r="D1130" s="381">
        <f>IF(AND('NOVIEMBRE 2026'!D84&lt;&gt;"",'NOVIEMBRE 2026'!Z84="POR RECOGER"),'NOVIEMBRE 2026'!F84,"")</f>
        <v/>
      </c>
      <c r="E1130" s="381">
        <f>IF(AND('NOVIEMBRE 2026'!D84&lt;&gt;"",'NOVIEMBRE 2026'!Z84="POR RECOGER"),TEXT('NOVIEMBRE 2026'!G84,"DD/MM/YYYY"),"")</f>
        <v/>
      </c>
      <c r="F1130" s="381">
        <f>IF(AND('NOVIEMBRE 2026'!D84&lt;&gt;"",'NOVIEMBRE 2026'!Z84="POR RECOGER"),'NOVIEMBRE 2026'!K84,"")</f>
        <v/>
      </c>
      <c r="G1130" s="382">
        <f>IF(AND('NOVIEMBRE 2026'!D84&lt;&gt;"",'NOVIEMBRE 2026'!Z84="POR RECOGER"),'NOVIEMBRE 2026'!M84,"")</f>
        <v/>
      </c>
      <c r="H1130" s="382">
        <f>IF(AND('NOVIEMBRE 2026'!D84&lt;&gt;"",'NOVIEMBRE 2026'!Z84="POR RECOGER"),'NOVIEMBRE 2026'!N84,"")</f>
        <v/>
      </c>
      <c r="I1130" s="381">
        <f>IF(AND('NOVIEMBRE 2026'!D84&lt;&gt;"",'NOVIEMBRE 2026'!Z84="POR RECOGER"),'NOVIEMBRE 2026'!P84,"")</f>
        <v/>
      </c>
      <c r="J1130" s="381">
        <f>IF(AND('NOVIEMBRE 2026'!D84&lt;&gt;"",'NOVIEMBRE 2026'!Z84="POR RECOGER"),'NOVIEMBRE 2026'!Q84,"")</f>
        <v/>
      </c>
      <c r="K1130" s="381">
        <f>IF(AND('NOVIEMBRE 2026'!D84&lt;&gt;"",'NOVIEMBRE 2026'!Z84="POR RECOGER"),'NOVIEMBRE 2026'!Y84,"")</f>
        <v/>
      </c>
      <c r="L1130" s="381">
        <f>IF(AND('NOVIEMBRE 2026'!D84&lt;&gt;"",'NOVIEMBRE 2026'!Z84="POR RECOGER"),'NOVIEMBRE 2026'!I84,"")</f>
        <v/>
      </c>
      <c r="P1130" s="194" t="n"/>
      <c r="Q1130" s="194" t="n"/>
      <c r="R1130" s="194" t="n"/>
      <c r="S1130" s="194" t="n"/>
      <c r="T1130" s="194" t="n"/>
      <c r="U1130" s="194" t="n"/>
      <c r="V1130" s="194" t="n"/>
      <c r="W1130" s="194" t="n"/>
      <c r="X1130" s="194" t="n"/>
      <c r="Y1130" s="194" t="n"/>
      <c r="Z1130" s="194" t="n"/>
    </row>
    <row r="1131" ht="15" customHeight="1" s="195">
      <c r="A1131" s="381">
        <f>IF(AND('NOVIEMBRE 2026'!D85&lt;&gt;"",'NOVIEMBRE 2026'!Z85="POR RECOGER"),"NOV","")</f>
        <v/>
      </c>
      <c r="B1131" s="381">
        <f>IF(AND('NOVIEMBRE 2026'!D85&lt;&gt;"",'NOVIEMBRE 2026'!Z85="POR RECOGER"),IF('NOVIEMBRE 2026'!Y85&lt;&gt;"",'NOVIEMBRE 2026'!Y85,'NOVIEMBRE 2026'!I85),"")</f>
        <v/>
      </c>
      <c r="C1131" s="381">
        <f>IF(AND('NOVIEMBRE 2026'!D85&lt;&gt;"",'NOVIEMBRE 2026'!Z85="POR RECOGER"),'NOVIEMBRE 2026'!D85,"")</f>
        <v/>
      </c>
      <c r="D1131" s="381">
        <f>IF(AND('NOVIEMBRE 2026'!D85&lt;&gt;"",'NOVIEMBRE 2026'!Z85="POR RECOGER"),'NOVIEMBRE 2026'!F85,"")</f>
        <v/>
      </c>
      <c r="E1131" s="381">
        <f>IF(AND('NOVIEMBRE 2026'!D85&lt;&gt;"",'NOVIEMBRE 2026'!Z85="POR RECOGER"),TEXT('NOVIEMBRE 2026'!G85,"DD/MM/YYYY"),"")</f>
        <v/>
      </c>
      <c r="F1131" s="381">
        <f>IF(AND('NOVIEMBRE 2026'!D85&lt;&gt;"",'NOVIEMBRE 2026'!Z85="POR RECOGER"),'NOVIEMBRE 2026'!K85,"")</f>
        <v/>
      </c>
      <c r="G1131" s="382">
        <f>IF(AND('NOVIEMBRE 2026'!D85&lt;&gt;"",'NOVIEMBRE 2026'!Z85="POR RECOGER"),'NOVIEMBRE 2026'!M85,"")</f>
        <v/>
      </c>
      <c r="H1131" s="382">
        <f>IF(AND('NOVIEMBRE 2026'!D85&lt;&gt;"",'NOVIEMBRE 2026'!Z85="POR RECOGER"),'NOVIEMBRE 2026'!N85,"")</f>
        <v/>
      </c>
      <c r="I1131" s="381">
        <f>IF(AND('NOVIEMBRE 2026'!D85&lt;&gt;"",'NOVIEMBRE 2026'!Z85="POR RECOGER"),'NOVIEMBRE 2026'!P85,"")</f>
        <v/>
      </c>
      <c r="J1131" s="381">
        <f>IF(AND('NOVIEMBRE 2026'!D85&lt;&gt;"",'NOVIEMBRE 2026'!Z85="POR RECOGER"),'NOVIEMBRE 2026'!Q85,"")</f>
        <v/>
      </c>
      <c r="K1131" s="381">
        <f>IF(AND('NOVIEMBRE 2026'!D85&lt;&gt;"",'NOVIEMBRE 2026'!Z85="POR RECOGER"),'NOVIEMBRE 2026'!Y85,"")</f>
        <v/>
      </c>
      <c r="L1131" s="381">
        <f>IF(AND('NOVIEMBRE 2026'!D85&lt;&gt;"",'NOVIEMBRE 2026'!Z85="POR RECOGER"),'NOVIEMBRE 2026'!I85,"")</f>
        <v/>
      </c>
      <c r="P1131" s="194" t="n"/>
      <c r="Q1131" s="194" t="n"/>
      <c r="R1131" s="194" t="n"/>
      <c r="S1131" s="194" t="n"/>
      <c r="T1131" s="194" t="n"/>
      <c r="U1131" s="194" t="n"/>
      <c r="V1131" s="194" t="n"/>
      <c r="W1131" s="194" t="n"/>
      <c r="X1131" s="194" t="n"/>
      <c r="Y1131" s="194" t="n"/>
      <c r="Z1131" s="194" t="n"/>
    </row>
    <row r="1132" ht="15" customHeight="1" s="195">
      <c r="A1132" s="381">
        <f>IF(AND('NOVIEMBRE 2026'!D86&lt;&gt;"",'NOVIEMBRE 2026'!Z86="POR RECOGER"),"NOV","")</f>
        <v/>
      </c>
      <c r="B1132" s="381">
        <f>IF(AND('NOVIEMBRE 2026'!D86&lt;&gt;"",'NOVIEMBRE 2026'!Z86="POR RECOGER"),IF('NOVIEMBRE 2026'!Y86&lt;&gt;"",'NOVIEMBRE 2026'!Y86,'NOVIEMBRE 2026'!I86),"")</f>
        <v/>
      </c>
      <c r="C1132" s="381">
        <f>IF(AND('NOVIEMBRE 2026'!D86&lt;&gt;"",'NOVIEMBRE 2026'!Z86="POR RECOGER"),'NOVIEMBRE 2026'!D86,"")</f>
        <v/>
      </c>
      <c r="D1132" s="381">
        <f>IF(AND('NOVIEMBRE 2026'!D86&lt;&gt;"",'NOVIEMBRE 2026'!Z86="POR RECOGER"),'NOVIEMBRE 2026'!F86,"")</f>
        <v/>
      </c>
      <c r="E1132" s="381">
        <f>IF(AND('NOVIEMBRE 2026'!D86&lt;&gt;"",'NOVIEMBRE 2026'!Z86="POR RECOGER"),TEXT('NOVIEMBRE 2026'!G86,"DD/MM/YYYY"),"")</f>
        <v/>
      </c>
      <c r="F1132" s="381">
        <f>IF(AND('NOVIEMBRE 2026'!D86&lt;&gt;"",'NOVIEMBRE 2026'!Z86="POR RECOGER"),'NOVIEMBRE 2026'!K86,"")</f>
        <v/>
      </c>
      <c r="G1132" s="382">
        <f>IF(AND('NOVIEMBRE 2026'!D86&lt;&gt;"",'NOVIEMBRE 2026'!Z86="POR RECOGER"),'NOVIEMBRE 2026'!M86,"")</f>
        <v/>
      </c>
      <c r="H1132" s="382">
        <f>IF(AND('NOVIEMBRE 2026'!D86&lt;&gt;"",'NOVIEMBRE 2026'!Z86="POR RECOGER"),'NOVIEMBRE 2026'!N86,"")</f>
        <v/>
      </c>
      <c r="I1132" s="381">
        <f>IF(AND('NOVIEMBRE 2026'!D86&lt;&gt;"",'NOVIEMBRE 2026'!Z86="POR RECOGER"),'NOVIEMBRE 2026'!P86,"")</f>
        <v/>
      </c>
      <c r="J1132" s="381">
        <f>IF(AND('NOVIEMBRE 2026'!D86&lt;&gt;"",'NOVIEMBRE 2026'!Z86="POR RECOGER"),'NOVIEMBRE 2026'!Q86,"")</f>
        <v/>
      </c>
      <c r="K1132" s="381">
        <f>IF(AND('NOVIEMBRE 2026'!D86&lt;&gt;"",'NOVIEMBRE 2026'!Z86="POR RECOGER"),'NOVIEMBRE 2026'!Y86,"")</f>
        <v/>
      </c>
      <c r="L1132" s="381">
        <f>IF(AND('NOVIEMBRE 2026'!D86&lt;&gt;"",'NOVIEMBRE 2026'!Z86="POR RECOGER"),'NOVIEMBRE 2026'!I86,"")</f>
        <v/>
      </c>
      <c r="P1132" s="194" t="n"/>
      <c r="Q1132" s="194" t="n"/>
      <c r="R1132" s="194" t="n"/>
      <c r="S1132" s="194" t="n"/>
      <c r="T1132" s="194" t="n"/>
      <c r="U1132" s="194" t="n"/>
      <c r="V1132" s="194" t="n"/>
      <c r="W1132" s="194" t="n"/>
      <c r="X1132" s="194" t="n"/>
      <c r="Y1132" s="194" t="n"/>
      <c r="Z1132" s="194" t="n"/>
    </row>
    <row r="1133" ht="15" customHeight="1" s="195">
      <c r="A1133" s="381">
        <f>IF(AND('NOVIEMBRE 2026'!D87&lt;&gt;"",'NOVIEMBRE 2026'!Z87="POR RECOGER"),"NOV","")</f>
        <v/>
      </c>
      <c r="B1133" s="381">
        <f>IF(AND('NOVIEMBRE 2026'!D87&lt;&gt;"",'NOVIEMBRE 2026'!Z87="POR RECOGER"),IF('NOVIEMBRE 2026'!Y87&lt;&gt;"",'NOVIEMBRE 2026'!Y87,'NOVIEMBRE 2026'!I87),"")</f>
        <v/>
      </c>
      <c r="C1133" s="381">
        <f>IF(AND('NOVIEMBRE 2026'!D87&lt;&gt;"",'NOVIEMBRE 2026'!Z87="POR RECOGER"),'NOVIEMBRE 2026'!D87,"")</f>
        <v/>
      </c>
      <c r="D1133" s="381">
        <f>IF(AND('NOVIEMBRE 2026'!D87&lt;&gt;"",'NOVIEMBRE 2026'!Z87="POR RECOGER"),'NOVIEMBRE 2026'!F87,"")</f>
        <v/>
      </c>
      <c r="E1133" s="381">
        <f>IF(AND('NOVIEMBRE 2026'!D87&lt;&gt;"",'NOVIEMBRE 2026'!Z87="POR RECOGER"),TEXT('NOVIEMBRE 2026'!G87,"DD/MM/YYYY"),"")</f>
        <v/>
      </c>
      <c r="F1133" s="381">
        <f>IF(AND('NOVIEMBRE 2026'!D87&lt;&gt;"",'NOVIEMBRE 2026'!Z87="POR RECOGER"),'NOVIEMBRE 2026'!K87,"")</f>
        <v/>
      </c>
      <c r="G1133" s="382">
        <f>IF(AND('NOVIEMBRE 2026'!D87&lt;&gt;"",'NOVIEMBRE 2026'!Z87="POR RECOGER"),'NOVIEMBRE 2026'!M87,"")</f>
        <v/>
      </c>
      <c r="H1133" s="382">
        <f>IF(AND('NOVIEMBRE 2026'!D87&lt;&gt;"",'NOVIEMBRE 2026'!Z87="POR RECOGER"),'NOVIEMBRE 2026'!N87,"")</f>
        <v/>
      </c>
      <c r="I1133" s="381">
        <f>IF(AND('NOVIEMBRE 2026'!D87&lt;&gt;"",'NOVIEMBRE 2026'!Z87="POR RECOGER"),'NOVIEMBRE 2026'!P87,"")</f>
        <v/>
      </c>
      <c r="J1133" s="381">
        <f>IF(AND('NOVIEMBRE 2026'!D87&lt;&gt;"",'NOVIEMBRE 2026'!Z87="POR RECOGER"),'NOVIEMBRE 2026'!Q87,"")</f>
        <v/>
      </c>
      <c r="K1133" s="381">
        <f>IF(AND('NOVIEMBRE 2026'!D87&lt;&gt;"",'NOVIEMBRE 2026'!Z87="POR RECOGER"),'NOVIEMBRE 2026'!Y87,"")</f>
        <v/>
      </c>
      <c r="L1133" s="381">
        <f>IF(AND('NOVIEMBRE 2026'!D87&lt;&gt;"",'NOVIEMBRE 2026'!Z87="POR RECOGER"),'NOVIEMBRE 2026'!I87,"")</f>
        <v/>
      </c>
      <c r="P1133" s="194" t="n"/>
      <c r="Q1133" s="194" t="n"/>
      <c r="R1133" s="194" t="n"/>
      <c r="S1133" s="194" t="n"/>
      <c r="T1133" s="194" t="n"/>
      <c r="U1133" s="194" t="n"/>
      <c r="V1133" s="194" t="n"/>
      <c r="W1133" s="194" t="n"/>
      <c r="X1133" s="194" t="n"/>
      <c r="Y1133" s="194" t="n"/>
      <c r="Z1133" s="194" t="n"/>
    </row>
    <row r="1134" ht="15" customHeight="1" s="195">
      <c r="A1134" s="381">
        <f>IF(AND('NOVIEMBRE 2026'!D88&lt;&gt;"",'NOVIEMBRE 2026'!Z88="POR RECOGER"),"NOV","")</f>
        <v/>
      </c>
      <c r="B1134" s="381">
        <f>IF(AND('NOVIEMBRE 2026'!D88&lt;&gt;"",'NOVIEMBRE 2026'!Z88="POR RECOGER"),IF('NOVIEMBRE 2026'!Y88&lt;&gt;"",'NOVIEMBRE 2026'!Y88,'NOVIEMBRE 2026'!I88),"")</f>
        <v/>
      </c>
      <c r="C1134" s="381">
        <f>IF(AND('NOVIEMBRE 2026'!D88&lt;&gt;"",'NOVIEMBRE 2026'!Z88="POR RECOGER"),'NOVIEMBRE 2026'!D88,"")</f>
        <v/>
      </c>
      <c r="D1134" s="381">
        <f>IF(AND('NOVIEMBRE 2026'!D88&lt;&gt;"",'NOVIEMBRE 2026'!Z88="POR RECOGER"),'NOVIEMBRE 2026'!F88,"")</f>
        <v/>
      </c>
      <c r="E1134" s="381">
        <f>IF(AND('NOVIEMBRE 2026'!D88&lt;&gt;"",'NOVIEMBRE 2026'!Z88="POR RECOGER"),TEXT('NOVIEMBRE 2026'!G88,"DD/MM/YYYY"),"")</f>
        <v/>
      </c>
      <c r="F1134" s="381">
        <f>IF(AND('NOVIEMBRE 2026'!D88&lt;&gt;"",'NOVIEMBRE 2026'!Z88="POR RECOGER"),'NOVIEMBRE 2026'!K88,"")</f>
        <v/>
      </c>
      <c r="G1134" s="382">
        <f>IF(AND('NOVIEMBRE 2026'!D88&lt;&gt;"",'NOVIEMBRE 2026'!Z88="POR RECOGER"),'NOVIEMBRE 2026'!M88,"")</f>
        <v/>
      </c>
      <c r="H1134" s="382">
        <f>IF(AND('NOVIEMBRE 2026'!D88&lt;&gt;"",'NOVIEMBRE 2026'!Z88="POR RECOGER"),'NOVIEMBRE 2026'!N88,"")</f>
        <v/>
      </c>
      <c r="I1134" s="381">
        <f>IF(AND('NOVIEMBRE 2026'!D88&lt;&gt;"",'NOVIEMBRE 2026'!Z88="POR RECOGER"),'NOVIEMBRE 2026'!P88,"")</f>
        <v/>
      </c>
      <c r="J1134" s="381">
        <f>IF(AND('NOVIEMBRE 2026'!D88&lt;&gt;"",'NOVIEMBRE 2026'!Z88="POR RECOGER"),'NOVIEMBRE 2026'!Q88,"")</f>
        <v/>
      </c>
      <c r="K1134" s="381">
        <f>IF(AND('NOVIEMBRE 2026'!D88&lt;&gt;"",'NOVIEMBRE 2026'!Z88="POR RECOGER"),'NOVIEMBRE 2026'!Y88,"")</f>
        <v/>
      </c>
      <c r="L1134" s="381">
        <f>IF(AND('NOVIEMBRE 2026'!D88&lt;&gt;"",'NOVIEMBRE 2026'!Z88="POR RECOGER"),'NOVIEMBRE 2026'!I88,"")</f>
        <v/>
      </c>
      <c r="P1134" s="194" t="n"/>
      <c r="Q1134" s="194" t="n"/>
      <c r="R1134" s="194" t="n"/>
      <c r="S1134" s="194" t="n"/>
      <c r="T1134" s="194" t="n"/>
      <c r="U1134" s="194" t="n"/>
      <c r="V1134" s="194" t="n"/>
      <c r="W1134" s="194" t="n"/>
      <c r="X1134" s="194" t="n"/>
      <c r="Y1134" s="194" t="n"/>
      <c r="Z1134" s="194" t="n"/>
    </row>
    <row r="1135" ht="15" customHeight="1" s="195">
      <c r="A1135" s="381">
        <f>IF(AND('NOVIEMBRE 2026'!D89&lt;&gt;"",'NOVIEMBRE 2026'!Z89="POR RECOGER"),"NOV","")</f>
        <v/>
      </c>
      <c r="B1135" s="381">
        <f>IF(AND('NOVIEMBRE 2026'!D89&lt;&gt;"",'NOVIEMBRE 2026'!Z89="POR RECOGER"),IF('NOVIEMBRE 2026'!Y89&lt;&gt;"",'NOVIEMBRE 2026'!Y89,'NOVIEMBRE 2026'!I89),"")</f>
        <v/>
      </c>
      <c r="C1135" s="381">
        <f>IF(AND('NOVIEMBRE 2026'!D89&lt;&gt;"",'NOVIEMBRE 2026'!Z89="POR RECOGER"),'NOVIEMBRE 2026'!D89,"")</f>
        <v/>
      </c>
      <c r="D1135" s="381">
        <f>IF(AND('NOVIEMBRE 2026'!D89&lt;&gt;"",'NOVIEMBRE 2026'!Z89="POR RECOGER"),'NOVIEMBRE 2026'!F89,"")</f>
        <v/>
      </c>
      <c r="E1135" s="381">
        <f>IF(AND('NOVIEMBRE 2026'!D89&lt;&gt;"",'NOVIEMBRE 2026'!Z89="POR RECOGER"),TEXT('NOVIEMBRE 2026'!G89,"DD/MM/YYYY"),"")</f>
        <v/>
      </c>
      <c r="F1135" s="381">
        <f>IF(AND('NOVIEMBRE 2026'!D89&lt;&gt;"",'NOVIEMBRE 2026'!Z89="POR RECOGER"),'NOVIEMBRE 2026'!K89,"")</f>
        <v/>
      </c>
      <c r="G1135" s="382">
        <f>IF(AND('NOVIEMBRE 2026'!D89&lt;&gt;"",'NOVIEMBRE 2026'!Z89="POR RECOGER"),'NOVIEMBRE 2026'!M89,"")</f>
        <v/>
      </c>
      <c r="H1135" s="382">
        <f>IF(AND('NOVIEMBRE 2026'!D89&lt;&gt;"",'NOVIEMBRE 2026'!Z89="POR RECOGER"),'NOVIEMBRE 2026'!N89,"")</f>
        <v/>
      </c>
      <c r="I1135" s="381">
        <f>IF(AND('NOVIEMBRE 2026'!D89&lt;&gt;"",'NOVIEMBRE 2026'!Z89="POR RECOGER"),'NOVIEMBRE 2026'!P89,"")</f>
        <v/>
      </c>
      <c r="J1135" s="381">
        <f>IF(AND('NOVIEMBRE 2026'!D89&lt;&gt;"",'NOVIEMBRE 2026'!Z89="POR RECOGER"),'NOVIEMBRE 2026'!Q89,"")</f>
        <v/>
      </c>
      <c r="K1135" s="381">
        <f>IF(AND('NOVIEMBRE 2026'!D89&lt;&gt;"",'NOVIEMBRE 2026'!Z89="POR RECOGER"),'NOVIEMBRE 2026'!Y89,"")</f>
        <v/>
      </c>
      <c r="L1135" s="381">
        <f>IF(AND('NOVIEMBRE 2026'!D89&lt;&gt;"",'NOVIEMBRE 2026'!Z89="POR RECOGER"),'NOVIEMBRE 2026'!I89,"")</f>
        <v/>
      </c>
      <c r="P1135" s="194" t="n"/>
      <c r="Q1135" s="194" t="n"/>
      <c r="R1135" s="194" t="n"/>
      <c r="S1135" s="194" t="n"/>
      <c r="T1135" s="194" t="n"/>
      <c r="U1135" s="194" t="n"/>
      <c r="V1135" s="194" t="n"/>
      <c r="W1135" s="194" t="n"/>
      <c r="X1135" s="194" t="n"/>
      <c r="Y1135" s="194" t="n"/>
      <c r="Z1135" s="194" t="n"/>
    </row>
    <row r="1136" ht="15" customHeight="1" s="195">
      <c r="A1136" s="381">
        <f>IF(AND('NOVIEMBRE 2026'!D90&lt;&gt;"",'NOVIEMBRE 2026'!Z90="POR RECOGER"),"NOV","")</f>
        <v/>
      </c>
      <c r="B1136" s="381">
        <f>IF(AND('NOVIEMBRE 2026'!D90&lt;&gt;"",'NOVIEMBRE 2026'!Z90="POR RECOGER"),IF('NOVIEMBRE 2026'!Y90&lt;&gt;"",'NOVIEMBRE 2026'!Y90,'NOVIEMBRE 2026'!I90),"")</f>
        <v/>
      </c>
      <c r="C1136" s="381">
        <f>IF(AND('NOVIEMBRE 2026'!D90&lt;&gt;"",'NOVIEMBRE 2026'!Z90="POR RECOGER"),'NOVIEMBRE 2026'!D90,"")</f>
        <v/>
      </c>
      <c r="D1136" s="381">
        <f>IF(AND('NOVIEMBRE 2026'!D90&lt;&gt;"",'NOVIEMBRE 2026'!Z90="POR RECOGER"),'NOVIEMBRE 2026'!F90,"")</f>
        <v/>
      </c>
      <c r="E1136" s="381">
        <f>IF(AND('NOVIEMBRE 2026'!D90&lt;&gt;"",'NOVIEMBRE 2026'!Z90="POR RECOGER"),TEXT('NOVIEMBRE 2026'!G90,"DD/MM/YYYY"),"")</f>
        <v/>
      </c>
      <c r="F1136" s="381">
        <f>IF(AND('NOVIEMBRE 2026'!D90&lt;&gt;"",'NOVIEMBRE 2026'!Z90="POR RECOGER"),'NOVIEMBRE 2026'!K90,"")</f>
        <v/>
      </c>
      <c r="G1136" s="382">
        <f>IF(AND('NOVIEMBRE 2026'!D90&lt;&gt;"",'NOVIEMBRE 2026'!Z90="POR RECOGER"),'NOVIEMBRE 2026'!M90,"")</f>
        <v/>
      </c>
      <c r="H1136" s="382">
        <f>IF(AND('NOVIEMBRE 2026'!D90&lt;&gt;"",'NOVIEMBRE 2026'!Z90="POR RECOGER"),'NOVIEMBRE 2026'!N90,"")</f>
        <v/>
      </c>
      <c r="I1136" s="381">
        <f>IF(AND('NOVIEMBRE 2026'!D90&lt;&gt;"",'NOVIEMBRE 2026'!Z90="POR RECOGER"),'NOVIEMBRE 2026'!P90,"")</f>
        <v/>
      </c>
      <c r="J1136" s="381">
        <f>IF(AND('NOVIEMBRE 2026'!D90&lt;&gt;"",'NOVIEMBRE 2026'!Z90="POR RECOGER"),'NOVIEMBRE 2026'!Q90,"")</f>
        <v/>
      </c>
      <c r="K1136" s="381">
        <f>IF(AND('NOVIEMBRE 2026'!D90&lt;&gt;"",'NOVIEMBRE 2026'!Z90="POR RECOGER"),'NOVIEMBRE 2026'!Y90,"")</f>
        <v/>
      </c>
      <c r="L1136" s="381">
        <f>IF(AND('NOVIEMBRE 2026'!D90&lt;&gt;"",'NOVIEMBRE 2026'!Z90="POR RECOGER"),'NOVIEMBRE 2026'!I90,"")</f>
        <v/>
      </c>
      <c r="P1136" s="194" t="n"/>
      <c r="Q1136" s="194" t="n"/>
      <c r="R1136" s="194" t="n"/>
      <c r="S1136" s="194" t="n"/>
      <c r="T1136" s="194" t="n"/>
      <c r="U1136" s="194" t="n"/>
      <c r="V1136" s="194" t="n"/>
      <c r="W1136" s="194" t="n"/>
      <c r="X1136" s="194" t="n"/>
      <c r="Y1136" s="194" t="n"/>
      <c r="Z1136" s="194" t="n"/>
    </row>
    <row r="1137" ht="15" customHeight="1" s="195">
      <c r="A1137" s="381">
        <f>IF(AND('NOVIEMBRE 2026'!D91&lt;&gt;"",'NOVIEMBRE 2026'!Z91="POR RECOGER"),"NOV","")</f>
        <v/>
      </c>
      <c r="B1137" s="381">
        <f>IF(AND('NOVIEMBRE 2026'!D91&lt;&gt;"",'NOVIEMBRE 2026'!Z91="POR RECOGER"),IF('NOVIEMBRE 2026'!Y91&lt;&gt;"",'NOVIEMBRE 2026'!Y91,'NOVIEMBRE 2026'!I91),"")</f>
        <v/>
      </c>
      <c r="C1137" s="381">
        <f>IF(AND('NOVIEMBRE 2026'!D91&lt;&gt;"",'NOVIEMBRE 2026'!Z91="POR RECOGER"),'NOVIEMBRE 2026'!D91,"")</f>
        <v/>
      </c>
      <c r="D1137" s="381">
        <f>IF(AND('NOVIEMBRE 2026'!D91&lt;&gt;"",'NOVIEMBRE 2026'!Z91="POR RECOGER"),'NOVIEMBRE 2026'!F91,"")</f>
        <v/>
      </c>
      <c r="E1137" s="381">
        <f>IF(AND('NOVIEMBRE 2026'!D91&lt;&gt;"",'NOVIEMBRE 2026'!Z91="POR RECOGER"),TEXT('NOVIEMBRE 2026'!G91,"DD/MM/YYYY"),"")</f>
        <v/>
      </c>
      <c r="F1137" s="381">
        <f>IF(AND('NOVIEMBRE 2026'!D91&lt;&gt;"",'NOVIEMBRE 2026'!Z91="POR RECOGER"),'NOVIEMBRE 2026'!K91,"")</f>
        <v/>
      </c>
      <c r="G1137" s="382">
        <f>IF(AND('NOVIEMBRE 2026'!D91&lt;&gt;"",'NOVIEMBRE 2026'!Z91="POR RECOGER"),'NOVIEMBRE 2026'!M91,"")</f>
        <v/>
      </c>
      <c r="H1137" s="382">
        <f>IF(AND('NOVIEMBRE 2026'!D91&lt;&gt;"",'NOVIEMBRE 2026'!Z91="POR RECOGER"),'NOVIEMBRE 2026'!N91,"")</f>
        <v/>
      </c>
      <c r="I1137" s="381">
        <f>IF(AND('NOVIEMBRE 2026'!D91&lt;&gt;"",'NOVIEMBRE 2026'!Z91="POR RECOGER"),'NOVIEMBRE 2026'!P91,"")</f>
        <v/>
      </c>
      <c r="J1137" s="381">
        <f>IF(AND('NOVIEMBRE 2026'!D91&lt;&gt;"",'NOVIEMBRE 2026'!Z91="POR RECOGER"),'NOVIEMBRE 2026'!Q91,"")</f>
        <v/>
      </c>
      <c r="K1137" s="381">
        <f>IF(AND('NOVIEMBRE 2026'!D91&lt;&gt;"",'NOVIEMBRE 2026'!Z91="POR RECOGER"),'NOVIEMBRE 2026'!Y91,"")</f>
        <v/>
      </c>
      <c r="L1137" s="381">
        <f>IF(AND('NOVIEMBRE 2026'!D91&lt;&gt;"",'NOVIEMBRE 2026'!Z91="POR RECOGER"),'NOVIEMBRE 2026'!I91,"")</f>
        <v/>
      </c>
      <c r="P1137" s="194" t="n"/>
      <c r="Q1137" s="194" t="n"/>
      <c r="R1137" s="194" t="n"/>
      <c r="S1137" s="194" t="n"/>
      <c r="T1137" s="194" t="n"/>
      <c r="U1137" s="194" t="n"/>
      <c r="V1137" s="194" t="n"/>
      <c r="W1137" s="194" t="n"/>
      <c r="X1137" s="194" t="n"/>
      <c r="Y1137" s="194" t="n"/>
      <c r="Z1137" s="194" t="n"/>
    </row>
    <row r="1138" ht="15" customHeight="1" s="195">
      <c r="A1138" s="381">
        <f>IF(AND('NOVIEMBRE 2026'!D92&lt;&gt;"",'NOVIEMBRE 2026'!Z92="POR RECOGER"),"NOV","")</f>
        <v/>
      </c>
      <c r="B1138" s="381">
        <f>IF(AND('NOVIEMBRE 2026'!D92&lt;&gt;"",'NOVIEMBRE 2026'!Z92="POR RECOGER"),IF('NOVIEMBRE 2026'!Y92&lt;&gt;"",'NOVIEMBRE 2026'!Y92,'NOVIEMBRE 2026'!I92),"")</f>
        <v/>
      </c>
      <c r="C1138" s="381">
        <f>IF(AND('NOVIEMBRE 2026'!D92&lt;&gt;"",'NOVIEMBRE 2026'!Z92="POR RECOGER"),'NOVIEMBRE 2026'!D92,"")</f>
        <v/>
      </c>
      <c r="D1138" s="381">
        <f>IF(AND('NOVIEMBRE 2026'!D92&lt;&gt;"",'NOVIEMBRE 2026'!Z92="POR RECOGER"),'NOVIEMBRE 2026'!F92,"")</f>
        <v/>
      </c>
      <c r="E1138" s="381">
        <f>IF(AND('NOVIEMBRE 2026'!D92&lt;&gt;"",'NOVIEMBRE 2026'!Z92="POR RECOGER"),TEXT('NOVIEMBRE 2026'!G92,"DD/MM/YYYY"),"")</f>
        <v/>
      </c>
      <c r="F1138" s="381">
        <f>IF(AND('NOVIEMBRE 2026'!D92&lt;&gt;"",'NOVIEMBRE 2026'!Z92="POR RECOGER"),'NOVIEMBRE 2026'!K92,"")</f>
        <v/>
      </c>
      <c r="G1138" s="382">
        <f>IF(AND('NOVIEMBRE 2026'!D92&lt;&gt;"",'NOVIEMBRE 2026'!Z92="POR RECOGER"),'NOVIEMBRE 2026'!M92,"")</f>
        <v/>
      </c>
      <c r="H1138" s="382">
        <f>IF(AND('NOVIEMBRE 2026'!D92&lt;&gt;"",'NOVIEMBRE 2026'!Z92="POR RECOGER"),'NOVIEMBRE 2026'!N92,"")</f>
        <v/>
      </c>
      <c r="I1138" s="381">
        <f>IF(AND('NOVIEMBRE 2026'!D92&lt;&gt;"",'NOVIEMBRE 2026'!Z92="POR RECOGER"),'NOVIEMBRE 2026'!P92,"")</f>
        <v/>
      </c>
      <c r="J1138" s="381">
        <f>IF(AND('NOVIEMBRE 2026'!D92&lt;&gt;"",'NOVIEMBRE 2026'!Z92="POR RECOGER"),'NOVIEMBRE 2026'!Q92,"")</f>
        <v/>
      </c>
      <c r="K1138" s="381">
        <f>IF(AND('NOVIEMBRE 2026'!D92&lt;&gt;"",'NOVIEMBRE 2026'!Z92="POR RECOGER"),'NOVIEMBRE 2026'!Y92,"")</f>
        <v/>
      </c>
      <c r="L1138" s="381">
        <f>IF(AND('NOVIEMBRE 2026'!D92&lt;&gt;"",'NOVIEMBRE 2026'!Z92="POR RECOGER"),'NOVIEMBRE 2026'!I92,"")</f>
        <v/>
      </c>
      <c r="P1138" s="194" t="n"/>
      <c r="Q1138" s="194" t="n"/>
      <c r="R1138" s="194" t="n"/>
      <c r="S1138" s="194" t="n"/>
      <c r="T1138" s="194" t="n"/>
      <c r="U1138" s="194" t="n"/>
      <c r="V1138" s="194" t="n"/>
      <c r="W1138" s="194" t="n"/>
      <c r="X1138" s="194" t="n"/>
      <c r="Y1138" s="194" t="n"/>
      <c r="Z1138" s="194" t="n"/>
    </row>
    <row r="1139" ht="15" customHeight="1" s="195">
      <c r="A1139" s="381">
        <f>IF(AND('NOVIEMBRE 2026'!D93&lt;&gt;"",'NOVIEMBRE 2026'!Z93="POR RECOGER"),"NOV","")</f>
        <v/>
      </c>
      <c r="B1139" s="381">
        <f>IF(AND('NOVIEMBRE 2026'!D93&lt;&gt;"",'NOVIEMBRE 2026'!Z93="POR RECOGER"),IF('NOVIEMBRE 2026'!Y93&lt;&gt;"",'NOVIEMBRE 2026'!Y93,'NOVIEMBRE 2026'!I93),"")</f>
        <v/>
      </c>
      <c r="C1139" s="381">
        <f>IF(AND('NOVIEMBRE 2026'!D93&lt;&gt;"",'NOVIEMBRE 2026'!Z93="POR RECOGER"),'NOVIEMBRE 2026'!D93,"")</f>
        <v/>
      </c>
      <c r="D1139" s="381">
        <f>IF(AND('NOVIEMBRE 2026'!D93&lt;&gt;"",'NOVIEMBRE 2026'!Z93="POR RECOGER"),'NOVIEMBRE 2026'!F93,"")</f>
        <v/>
      </c>
      <c r="E1139" s="381">
        <f>IF(AND('NOVIEMBRE 2026'!D93&lt;&gt;"",'NOVIEMBRE 2026'!Z93="POR RECOGER"),TEXT('NOVIEMBRE 2026'!G93,"DD/MM/YYYY"),"")</f>
        <v/>
      </c>
      <c r="F1139" s="381">
        <f>IF(AND('NOVIEMBRE 2026'!D93&lt;&gt;"",'NOVIEMBRE 2026'!Z93="POR RECOGER"),'NOVIEMBRE 2026'!K93,"")</f>
        <v/>
      </c>
      <c r="G1139" s="382">
        <f>IF(AND('NOVIEMBRE 2026'!D93&lt;&gt;"",'NOVIEMBRE 2026'!Z93="POR RECOGER"),'NOVIEMBRE 2026'!M93,"")</f>
        <v/>
      </c>
      <c r="H1139" s="382">
        <f>IF(AND('NOVIEMBRE 2026'!D93&lt;&gt;"",'NOVIEMBRE 2026'!Z93="POR RECOGER"),'NOVIEMBRE 2026'!N93,"")</f>
        <v/>
      </c>
      <c r="I1139" s="381">
        <f>IF(AND('NOVIEMBRE 2026'!D93&lt;&gt;"",'NOVIEMBRE 2026'!Z93="POR RECOGER"),'NOVIEMBRE 2026'!P93,"")</f>
        <v/>
      </c>
      <c r="J1139" s="381">
        <f>IF(AND('NOVIEMBRE 2026'!D93&lt;&gt;"",'NOVIEMBRE 2026'!Z93="POR RECOGER"),'NOVIEMBRE 2026'!Q93,"")</f>
        <v/>
      </c>
      <c r="K1139" s="381">
        <f>IF(AND('NOVIEMBRE 2026'!D93&lt;&gt;"",'NOVIEMBRE 2026'!Z93="POR RECOGER"),'NOVIEMBRE 2026'!Y93,"")</f>
        <v/>
      </c>
      <c r="L1139" s="381">
        <f>IF(AND('NOVIEMBRE 2026'!D93&lt;&gt;"",'NOVIEMBRE 2026'!Z93="POR RECOGER"),'NOVIEMBRE 2026'!I93,"")</f>
        <v/>
      </c>
      <c r="P1139" s="194" t="n"/>
      <c r="Q1139" s="194" t="n"/>
      <c r="R1139" s="194" t="n"/>
      <c r="S1139" s="194" t="n"/>
      <c r="T1139" s="194" t="n"/>
      <c r="U1139" s="194" t="n"/>
      <c r="V1139" s="194" t="n"/>
      <c r="W1139" s="194" t="n"/>
      <c r="X1139" s="194" t="n"/>
      <c r="Y1139" s="194" t="n"/>
      <c r="Z1139" s="194" t="n"/>
    </row>
    <row r="1140" ht="15" customHeight="1" s="195">
      <c r="A1140" s="381">
        <f>IF(AND('NOVIEMBRE 2026'!D94&lt;&gt;"",'NOVIEMBRE 2026'!Z94="POR RECOGER"),"NOV","")</f>
        <v/>
      </c>
      <c r="B1140" s="381">
        <f>IF(AND('NOVIEMBRE 2026'!D94&lt;&gt;"",'NOVIEMBRE 2026'!Z94="POR RECOGER"),IF('NOVIEMBRE 2026'!Y94&lt;&gt;"",'NOVIEMBRE 2026'!Y94,'NOVIEMBRE 2026'!I94),"")</f>
        <v/>
      </c>
      <c r="C1140" s="381">
        <f>IF(AND('NOVIEMBRE 2026'!D94&lt;&gt;"",'NOVIEMBRE 2026'!Z94="POR RECOGER"),'NOVIEMBRE 2026'!D94,"")</f>
        <v/>
      </c>
      <c r="D1140" s="381">
        <f>IF(AND('NOVIEMBRE 2026'!D94&lt;&gt;"",'NOVIEMBRE 2026'!Z94="POR RECOGER"),'NOVIEMBRE 2026'!F94,"")</f>
        <v/>
      </c>
      <c r="E1140" s="381">
        <f>IF(AND('NOVIEMBRE 2026'!D94&lt;&gt;"",'NOVIEMBRE 2026'!Z94="POR RECOGER"),TEXT('NOVIEMBRE 2026'!G94,"DD/MM/YYYY"),"")</f>
        <v/>
      </c>
      <c r="F1140" s="381">
        <f>IF(AND('NOVIEMBRE 2026'!D94&lt;&gt;"",'NOVIEMBRE 2026'!Z94="POR RECOGER"),'NOVIEMBRE 2026'!K94,"")</f>
        <v/>
      </c>
      <c r="G1140" s="382">
        <f>IF(AND('NOVIEMBRE 2026'!D94&lt;&gt;"",'NOVIEMBRE 2026'!Z94="POR RECOGER"),'NOVIEMBRE 2026'!M94,"")</f>
        <v/>
      </c>
      <c r="H1140" s="382">
        <f>IF(AND('NOVIEMBRE 2026'!D94&lt;&gt;"",'NOVIEMBRE 2026'!Z94="POR RECOGER"),'NOVIEMBRE 2026'!N94,"")</f>
        <v/>
      </c>
      <c r="I1140" s="381">
        <f>IF(AND('NOVIEMBRE 2026'!D94&lt;&gt;"",'NOVIEMBRE 2026'!Z94="POR RECOGER"),'NOVIEMBRE 2026'!P94,"")</f>
        <v/>
      </c>
      <c r="J1140" s="381">
        <f>IF(AND('NOVIEMBRE 2026'!D94&lt;&gt;"",'NOVIEMBRE 2026'!Z94="POR RECOGER"),'NOVIEMBRE 2026'!Q94,"")</f>
        <v/>
      </c>
      <c r="K1140" s="381">
        <f>IF(AND('NOVIEMBRE 2026'!D94&lt;&gt;"",'NOVIEMBRE 2026'!Z94="POR RECOGER"),'NOVIEMBRE 2026'!Y94,"")</f>
        <v/>
      </c>
      <c r="L1140" s="381">
        <f>IF(AND('NOVIEMBRE 2026'!D94&lt;&gt;"",'NOVIEMBRE 2026'!Z94="POR RECOGER"),'NOVIEMBRE 2026'!I94,"")</f>
        <v/>
      </c>
      <c r="P1140" s="194" t="n"/>
      <c r="Q1140" s="194" t="n"/>
      <c r="R1140" s="194" t="n"/>
      <c r="S1140" s="194" t="n"/>
      <c r="T1140" s="194" t="n"/>
      <c r="U1140" s="194" t="n"/>
      <c r="V1140" s="194" t="n"/>
      <c r="W1140" s="194" t="n"/>
      <c r="X1140" s="194" t="n"/>
      <c r="Y1140" s="194" t="n"/>
      <c r="Z1140" s="194" t="n"/>
    </row>
    <row r="1141" ht="15" customHeight="1" s="195">
      <c r="A1141" s="381">
        <f>IF(AND('NOVIEMBRE 2026'!D95&lt;&gt;"",'NOVIEMBRE 2026'!Z95="POR RECOGER"),"NOV","")</f>
        <v/>
      </c>
      <c r="B1141" s="381">
        <f>IF(AND('NOVIEMBRE 2026'!D95&lt;&gt;"",'NOVIEMBRE 2026'!Z95="POR RECOGER"),IF('NOVIEMBRE 2026'!Y95&lt;&gt;"",'NOVIEMBRE 2026'!Y95,'NOVIEMBRE 2026'!I95),"")</f>
        <v/>
      </c>
      <c r="C1141" s="381">
        <f>IF(AND('NOVIEMBRE 2026'!D95&lt;&gt;"",'NOVIEMBRE 2026'!Z95="POR RECOGER"),'NOVIEMBRE 2026'!D95,"")</f>
        <v/>
      </c>
      <c r="D1141" s="381">
        <f>IF(AND('NOVIEMBRE 2026'!D95&lt;&gt;"",'NOVIEMBRE 2026'!Z95="POR RECOGER"),'NOVIEMBRE 2026'!F95,"")</f>
        <v/>
      </c>
      <c r="E1141" s="381">
        <f>IF(AND('NOVIEMBRE 2026'!D95&lt;&gt;"",'NOVIEMBRE 2026'!Z95="POR RECOGER"),TEXT('NOVIEMBRE 2026'!G95,"DD/MM/YYYY"),"")</f>
        <v/>
      </c>
      <c r="F1141" s="381">
        <f>IF(AND('NOVIEMBRE 2026'!D95&lt;&gt;"",'NOVIEMBRE 2026'!Z95="POR RECOGER"),'NOVIEMBRE 2026'!K95,"")</f>
        <v/>
      </c>
      <c r="G1141" s="382">
        <f>IF(AND('NOVIEMBRE 2026'!D95&lt;&gt;"",'NOVIEMBRE 2026'!Z95="POR RECOGER"),'NOVIEMBRE 2026'!M95,"")</f>
        <v/>
      </c>
      <c r="H1141" s="382">
        <f>IF(AND('NOVIEMBRE 2026'!D95&lt;&gt;"",'NOVIEMBRE 2026'!Z95="POR RECOGER"),'NOVIEMBRE 2026'!N95,"")</f>
        <v/>
      </c>
      <c r="I1141" s="381">
        <f>IF(AND('NOVIEMBRE 2026'!D95&lt;&gt;"",'NOVIEMBRE 2026'!Z95="POR RECOGER"),'NOVIEMBRE 2026'!P95,"")</f>
        <v/>
      </c>
      <c r="J1141" s="381">
        <f>IF(AND('NOVIEMBRE 2026'!D95&lt;&gt;"",'NOVIEMBRE 2026'!Z95="POR RECOGER"),'NOVIEMBRE 2026'!Q95,"")</f>
        <v/>
      </c>
      <c r="K1141" s="381">
        <f>IF(AND('NOVIEMBRE 2026'!D95&lt;&gt;"",'NOVIEMBRE 2026'!Z95="POR RECOGER"),'NOVIEMBRE 2026'!Y95,"")</f>
        <v/>
      </c>
      <c r="L1141" s="381">
        <f>IF(AND('NOVIEMBRE 2026'!D95&lt;&gt;"",'NOVIEMBRE 2026'!Z95="POR RECOGER"),'NOVIEMBRE 2026'!I95,"")</f>
        <v/>
      </c>
      <c r="P1141" s="194" t="n"/>
      <c r="Q1141" s="194" t="n"/>
      <c r="R1141" s="194" t="n"/>
      <c r="S1141" s="194" t="n"/>
      <c r="T1141" s="194" t="n"/>
      <c r="U1141" s="194" t="n"/>
      <c r="V1141" s="194" t="n"/>
      <c r="W1141" s="194" t="n"/>
      <c r="X1141" s="194" t="n"/>
      <c r="Y1141" s="194" t="n"/>
      <c r="Z1141" s="194" t="n"/>
    </row>
    <row r="1142" ht="15" customHeight="1" s="195">
      <c r="A1142" s="381">
        <f>IF(AND('NOVIEMBRE 2026'!D96&lt;&gt;"",'NOVIEMBRE 2026'!Z96="POR RECOGER"),"NOV","")</f>
        <v/>
      </c>
      <c r="B1142" s="381">
        <f>IF(AND('NOVIEMBRE 2026'!D96&lt;&gt;"",'NOVIEMBRE 2026'!Z96="POR RECOGER"),IF('NOVIEMBRE 2026'!Y96&lt;&gt;"",'NOVIEMBRE 2026'!Y96,'NOVIEMBRE 2026'!I96),"")</f>
        <v/>
      </c>
      <c r="C1142" s="381">
        <f>IF(AND('NOVIEMBRE 2026'!D96&lt;&gt;"",'NOVIEMBRE 2026'!Z96="POR RECOGER"),'NOVIEMBRE 2026'!D96,"")</f>
        <v/>
      </c>
      <c r="D1142" s="381">
        <f>IF(AND('NOVIEMBRE 2026'!D96&lt;&gt;"",'NOVIEMBRE 2026'!Z96="POR RECOGER"),'NOVIEMBRE 2026'!F96,"")</f>
        <v/>
      </c>
      <c r="E1142" s="381">
        <f>IF(AND('NOVIEMBRE 2026'!D96&lt;&gt;"",'NOVIEMBRE 2026'!Z96="POR RECOGER"),TEXT('NOVIEMBRE 2026'!G96,"DD/MM/YYYY"),"")</f>
        <v/>
      </c>
      <c r="F1142" s="381">
        <f>IF(AND('NOVIEMBRE 2026'!D96&lt;&gt;"",'NOVIEMBRE 2026'!Z96="POR RECOGER"),'NOVIEMBRE 2026'!K96,"")</f>
        <v/>
      </c>
      <c r="G1142" s="382">
        <f>IF(AND('NOVIEMBRE 2026'!D96&lt;&gt;"",'NOVIEMBRE 2026'!Z96="POR RECOGER"),'NOVIEMBRE 2026'!M96,"")</f>
        <v/>
      </c>
      <c r="H1142" s="382">
        <f>IF(AND('NOVIEMBRE 2026'!D96&lt;&gt;"",'NOVIEMBRE 2026'!Z96="POR RECOGER"),'NOVIEMBRE 2026'!N96,"")</f>
        <v/>
      </c>
      <c r="I1142" s="381">
        <f>IF(AND('NOVIEMBRE 2026'!D96&lt;&gt;"",'NOVIEMBRE 2026'!Z96="POR RECOGER"),'NOVIEMBRE 2026'!P96,"")</f>
        <v/>
      </c>
      <c r="J1142" s="381">
        <f>IF(AND('NOVIEMBRE 2026'!D96&lt;&gt;"",'NOVIEMBRE 2026'!Z96="POR RECOGER"),'NOVIEMBRE 2026'!Q96,"")</f>
        <v/>
      </c>
      <c r="K1142" s="381">
        <f>IF(AND('NOVIEMBRE 2026'!D96&lt;&gt;"",'NOVIEMBRE 2026'!Z96="POR RECOGER"),'NOVIEMBRE 2026'!Y96,"")</f>
        <v/>
      </c>
      <c r="L1142" s="381">
        <f>IF(AND('NOVIEMBRE 2026'!D96&lt;&gt;"",'NOVIEMBRE 2026'!Z96="POR RECOGER"),'NOVIEMBRE 2026'!I96,"")</f>
        <v/>
      </c>
      <c r="P1142" s="194" t="n"/>
      <c r="Q1142" s="194" t="n"/>
      <c r="R1142" s="194" t="n"/>
      <c r="S1142" s="194" t="n"/>
      <c r="T1142" s="194" t="n"/>
      <c r="U1142" s="194" t="n"/>
      <c r="V1142" s="194" t="n"/>
      <c r="W1142" s="194" t="n"/>
      <c r="X1142" s="194" t="n"/>
      <c r="Y1142" s="194" t="n"/>
      <c r="Z1142" s="194" t="n"/>
    </row>
    <row r="1143" ht="15" customHeight="1" s="195">
      <c r="A1143" s="381">
        <f>IF(AND('NOVIEMBRE 2026'!D97&lt;&gt;"",'NOVIEMBRE 2026'!Z97="POR RECOGER"),"NOV","")</f>
        <v/>
      </c>
      <c r="B1143" s="381">
        <f>IF(AND('NOVIEMBRE 2026'!D97&lt;&gt;"",'NOVIEMBRE 2026'!Z97="POR RECOGER"),IF('NOVIEMBRE 2026'!Y97&lt;&gt;"",'NOVIEMBRE 2026'!Y97,'NOVIEMBRE 2026'!I97),"")</f>
        <v/>
      </c>
      <c r="C1143" s="381">
        <f>IF(AND('NOVIEMBRE 2026'!D97&lt;&gt;"",'NOVIEMBRE 2026'!Z97="POR RECOGER"),'NOVIEMBRE 2026'!D97,"")</f>
        <v/>
      </c>
      <c r="D1143" s="381">
        <f>IF(AND('NOVIEMBRE 2026'!D97&lt;&gt;"",'NOVIEMBRE 2026'!Z97="POR RECOGER"),'NOVIEMBRE 2026'!F97,"")</f>
        <v/>
      </c>
      <c r="E1143" s="381">
        <f>IF(AND('NOVIEMBRE 2026'!D97&lt;&gt;"",'NOVIEMBRE 2026'!Z97="POR RECOGER"),TEXT('NOVIEMBRE 2026'!G97,"DD/MM/YYYY"),"")</f>
        <v/>
      </c>
      <c r="F1143" s="381">
        <f>IF(AND('NOVIEMBRE 2026'!D97&lt;&gt;"",'NOVIEMBRE 2026'!Z97="POR RECOGER"),'NOVIEMBRE 2026'!K97,"")</f>
        <v/>
      </c>
      <c r="G1143" s="382">
        <f>IF(AND('NOVIEMBRE 2026'!D97&lt;&gt;"",'NOVIEMBRE 2026'!Z97="POR RECOGER"),'NOVIEMBRE 2026'!M97,"")</f>
        <v/>
      </c>
      <c r="H1143" s="382">
        <f>IF(AND('NOVIEMBRE 2026'!D97&lt;&gt;"",'NOVIEMBRE 2026'!Z97="POR RECOGER"),'NOVIEMBRE 2026'!N97,"")</f>
        <v/>
      </c>
      <c r="I1143" s="381">
        <f>IF(AND('NOVIEMBRE 2026'!D97&lt;&gt;"",'NOVIEMBRE 2026'!Z97="POR RECOGER"),'NOVIEMBRE 2026'!P97,"")</f>
        <v/>
      </c>
      <c r="J1143" s="381">
        <f>IF(AND('NOVIEMBRE 2026'!D97&lt;&gt;"",'NOVIEMBRE 2026'!Z97="POR RECOGER"),'NOVIEMBRE 2026'!Q97,"")</f>
        <v/>
      </c>
      <c r="K1143" s="381">
        <f>IF(AND('NOVIEMBRE 2026'!D97&lt;&gt;"",'NOVIEMBRE 2026'!Z97="POR RECOGER"),'NOVIEMBRE 2026'!Y97,"")</f>
        <v/>
      </c>
      <c r="L1143" s="381">
        <f>IF(AND('NOVIEMBRE 2026'!D97&lt;&gt;"",'NOVIEMBRE 2026'!Z97="POR RECOGER"),'NOVIEMBRE 2026'!I97,"")</f>
        <v/>
      </c>
      <c r="P1143" s="194" t="n"/>
      <c r="Q1143" s="194" t="n"/>
      <c r="R1143" s="194" t="n"/>
      <c r="S1143" s="194" t="n"/>
      <c r="T1143" s="194" t="n"/>
      <c r="U1143" s="194" t="n"/>
      <c r="V1143" s="194" t="n"/>
      <c r="W1143" s="194" t="n"/>
      <c r="X1143" s="194" t="n"/>
      <c r="Y1143" s="194" t="n"/>
      <c r="Z1143" s="194" t="n"/>
    </row>
    <row r="1144" ht="15" customHeight="1" s="195">
      <c r="A1144" s="381">
        <f>IF(AND('NOVIEMBRE 2026'!D98&lt;&gt;"",'NOVIEMBRE 2026'!Z98="POR RECOGER"),"NOV","")</f>
        <v/>
      </c>
      <c r="B1144" s="381">
        <f>IF(AND('NOVIEMBRE 2026'!D98&lt;&gt;"",'NOVIEMBRE 2026'!Z98="POR RECOGER"),IF('NOVIEMBRE 2026'!Y98&lt;&gt;"",'NOVIEMBRE 2026'!Y98,'NOVIEMBRE 2026'!I98),"")</f>
        <v/>
      </c>
      <c r="C1144" s="381">
        <f>IF(AND('NOVIEMBRE 2026'!D98&lt;&gt;"",'NOVIEMBRE 2026'!Z98="POR RECOGER"),'NOVIEMBRE 2026'!D98,"")</f>
        <v/>
      </c>
      <c r="D1144" s="381">
        <f>IF(AND('NOVIEMBRE 2026'!D98&lt;&gt;"",'NOVIEMBRE 2026'!Z98="POR RECOGER"),'NOVIEMBRE 2026'!F98,"")</f>
        <v/>
      </c>
      <c r="E1144" s="381">
        <f>IF(AND('NOVIEMBRE 2026'!D98&lt;&gt;"",'NOVIEMBRE 2026'!Z98="POR RECOGER"),TEXT('NOVIEMBRE 2026'!G98,"DD/MM/YYYY"),"")</f>
        <v/>
      </c>
      <c r="F1144" s="381">
        <f>IF(AND('NOVIEMBRE 2026'!D98&lt;&gt;"",'NOVIEMBRE 2026'!Z98="POR RECOGER"),'NOVIEMBRE 2026'!K98,"")</f>
        <v/>
      </c>
      <c r="G1144" s="382">
        <f>IF(AND('NOVIEMBRE 2026'!D98&lt;&gt;"",'NOVIEMBRE 2026'!Z98="POR RECOGER"),'NOVIEMBRE 2026'!M98,"")</f>
        <v/>
      </c>
      <c r="H1144" s="382">
        <f>IF(AND('NOVIEMBRE 2026'!D98&lt;&gt;"",'NOVIEMBRE 2026'!Z98="POR RECOGER"),'NOVIEMBRE 2026'!N98,"")</f>
        <v/>
      </c>
      <c r="I1144" s="381">
        <f>IF(AND('NOVIEMBRE 2026'!D98&lt;&gt;"",'NOVIEMBRE 2026'!Z98="POR RECOGER"),'NOVIEMBRE 2026'!P98,"")</f>
        <v/>
      </c>
      <c r="J1144" s="381">
        <f>IF(AND('NOVIEMBRE 2026'!D98&lt;&gt;"",'NOVIEMBRE 2026'!Z98="POR RECOGER"),'NOVIEMBRE 2026'!Q98,"")</f>
        <v/>
      </c>
      <c r="K1144" s="381">
        <f>IF(AND('NOVIEMBRE 2026'!D98&lt;&gt;"",'NOVIEMBRE 2026'!Z98="POR RECOGER"),'NOVIEMBRE 2026'!Y98,"")</f>
        <v/>
      </c>
      <c r="L1144" s="381">
        <f>IF(AND('NOVIEMBRE 2026'!D98&lt;&gt;"",'NOVIEMBRE 2026'!Z98="POR RECOGER"),'NOVIEMBRE 2026'!I98,"")</f>
        <v/>
      </c>
      <c r="P1144" s="194" t="n"/>
      <c r="Q1144" s="194" t="n"/>
      <c r="R1144" s="194" t="n"/>
      <c r="S1144" s="194" t="n"/>
      <c r="T1144" s="194" t="n"/>
      <c r="U1144" s="194" t="n"/>
      <c r="V1144" s="194" t="n"/>
      <c r="W1144" s="194" t="n"/>
      <c r="X1144" s="194" t="n"/>
      <c r="Y1144" s="194" t="n"/>
      <c r="Z1144" s="194" t="n"/>
    </row>
    <row r="1145" ht="15" customHeight="1" s="195">
      <c r="A1145" s="381">
        <f>IF(AND('NOVIEMBRE 2026'!D99&lt;&gt;"",'NOVIEMBRE 2026'!Z99="POR RECOGER"),"NOV","")</f>
        <v/>
      </c>
      <c r="B1145" s="381">
        <f>IF(AND('NOVIEMBRE 2026'!D99&lt;&gt;"",'NOVIEMBRE 2026'!Z99="POR RECOGER"),IF('NOVIEMBRE 2026'!Y99&lt;&gt;"",'NOVIEMBRE 2026'!Y99,'NOVIEMBRE 2026'!I99),"")</f>
        <v/>
      </c>
      <c r="C1145" s="381">
        <f>IF(AND('NOVIEMBRE 2026'!D99&lt;&gt;"",'NOVIEMBRE 2026'!Z99="POR RECOGER"),'NOVIEMBRE 2026'!D99,"")</f>
        <v/>
      </c>
      <c r="D1145" s="381">
        <f>IF(AND('NOVIEMBRE 2026'!D99&lt;&gt;"",'NOVIEMBRE 2026'!Z99="POR RECOGER"),'NOVIEMBRE 2026'!F99,"")</f>
        <v/>
      </c>
      <c r="E1145" s="381">
        <f>IF(AND('NOVIEMBRE 2026'!D99&lt;&gt;"",'NOVIEMBRE 2026'!Z99="POR RECOGER"),TEXT('NOVIEMBRE 2026'!G99,"DD/MM/YYYY"),"")</f>
        <v/>
      </c>
      <c r="F1145" s="381">
        <f>IF(AND('NOVIEMBRE 2026'!D99&lt;&gt;"",'NOVIEMBRE 2026'!Z99="POR RECOGER"),'NOVIEMBRE 2026'!K99,"")</f>
        <v/>
      </c>
      <c r="G1145" s="382">
        <f>IF(AND('NOVIEMBRE 2026'!D99&lt;&gt;"",'NOVIEMBRE 2026'!Z99="POR RECOGER"),'NOVIEMBRE 2026'!M99,"")</f>
        <v/>
      </c>
      <c r="H1145" s="382">
        <f>IF(AND('NOVIEMBRE 2026'!D99&lt;&gt;"",'NOVIEMBRE 2026'!Z99="POR RECOGER"),'NOVIEMBRE 2026'!N99,"")</f>
        <v/>
      </c>
      <c r="I1145" s="381">
        <f>IF(AND('NOVIEMBRE 2026'!D99&lt;&gt;"",'NOVIEMBRE 2026'!Z99="POR RECOGER"),'NOVIEMBRE 2026'!P99,"")</f>
        <v/>
      </c>
      <c r="J1145" s="381">
        <f>IF(AND('NOVIEMBRE 2026'!D99&lt;&gt;"",'NOVIEMBRE 2026'!Z99="POR RECOGER"),'NOVIEMBRE 2026'!Q99,"")</f>
        <v/>
      </c>
      <c r="K1145" s="381">
        <f>IF(AND('NOVIEMBRE 2026'!D99&lt;&gt;"",'NOVIEMBRE 2026'!Z99="POR RECOGER"),'NOVIEMBRE 2026'!Y99,"")</f>
        <v/>
      </c>
      <c r="L1145" s="381">
        <f>IF(AND('NOVIEMBRE 2026'!D99&lt;&gt;"",'NOVIEMBRE 2026'!Z99="POR RECOGER"),'NOVIEMBRE 2026'!I99,"")</f>
        <v/>
      </c>
      <c r="P1145" s="194" t="n"/>
      <c r="Q1145" s="194" t="n"/>
      <c r="R1145" s="194" t="n"/>
      <c r="S1145" s="194" t="n"/>
      <c r="T1145" s="194" t="n"/>
      <c r="U1145" s="194" t="n"/>
      <c r="V1145" s="194" t="n"/>
      <c r="W1145" s="194" t="n"/>
      <c r="X1145" s="194" t="n"/>
      <c r="Y1145" s="194" t="n"/>
      <c r="Z1145" s="194" t="n"/>
    </row>
    <row r="1146" ht="15" customHeight="1" s="195">
      <c r="A1146" s="381">
        <f>IF(AND('NOVIEMBRE 2026'!D100&lt;&gt;"",'NOVIEMBRE 2026'!Z100="POR RECOGER"),"NOV","")</f>
        <v/>
      </c>
      <c r="B1146" s="381">
        <f>IF(AND('NOVIEMBRE 2026'!D100&lt;&gt;"",'NOVIEMBRE 2026'!Z100="POR RECOGER"),IF('NOVIEMBRE 2026'!Y100&lt;&gt;"",'NOVIEMBRE 2026'!Y100,'NOVIEMBRE 2026'!I100),"")</f>
        <v/>
      </c>
      <c r="C1146" s="381">
        <f>IF(AND('NOVIEMBRE 2026'!D100&lt;&gt;"",'NOVIEMBRE 2026'!Z100="POR RECOGER"),'NOVIEMBRE 2026'!D100,"")</f>
        <v/>
      </c>
      <c r="D1146" s="381">
        <f>IF(AND('NOVIEMBRE 2026'!D100&lt;&gt;"",'NOVIEMBRE 2026'!Z100="POR RECOGER"),'NOVIEMBRE 2026'!F100,"")</f>
        <v/>
      </c>
      <c r="E1146" s="381">
        <f>IF(AND('NOVIEMBRE 2026'!D100&lt;&gt;"",'NOVIEMBRE 2026'!Z100="POR RECOGER"),TEXT('NOVIEMBRE 2026'!G100,"DD/MM/YYYY"),"")</f>
        <v/>
      </c>
      <c r="F1146" s="381">
        <f>IF(AND('NOVIEMBRE 2026'!D100&lt;&gt;"",'NOVIEMBRE 2026'!Z100="POR RECOGER"),'NOVIEMBRE 2026'!K100,"")</f>
        <v/>
      </c>
      <c r="G1146" s="382">
        <f>IF(AND('NOVIEMBRE 2026'!D100&lt;&gt;"",'NOVIEMBRE 2026'!Z100="POR RECOGER"),'NOVIEMBRE 2026'!M100,"")</f>
        <v/>
      </c>
      <c r="H1146" s="382">
        <f>IF(AND('NOVIEMBRE 2026'!D100&lt;&gt;"",'NOVIEMBRE 2026'!Z100="POR RECOGER"),'NOVIEMBRE 2026'!N100,"")</f>
        <v/>
      </c>
      <c r="I1146" s="381">
        <f>IF(AND('NOVIEMBRE 2026'!D100&lt;&gt;"",'NOVIEMBRE 2026'!Z100="POR RECOGER"),'NOVIEMBRE 2026'!P100,"")</f>
        <v/>
      </c>
      <c r="J1146" s="381">
        <f>IF(AND('NOVIEMBRE 2026'!D100&lt;&gt;"",'NOVIEMBRE 2026'!Z100="POR RECOGER"),'NOVIEMBRE 2026'!Q100,"")</f>
        <v/>
      </c>
      <c r="K1146" s="381">
        <f>IF(AND('NOVIEMBRE 2026'!D100&lt;&gt;"",'NOVIEMBRE 2026'!Z100="POR RECOGER"),'NOVIEMBRE 2026'!Y100,"")</f>
        <v/>
      </c>
      <c r="L1146" s="381">
        <f>IF(AND('NOVIEMBRE 2026'!D100&lt;&gt;"",'NOVIEMBRE 2026'!Z100="POR RECOGER"),'NOVIEMBRE 2026'!I100,"")</f>
        <v/>
      </c>
      <c r="P1146" s="194" t="n"/>
      <c r="Q1146" s="194" t="n"/>
      <c r="R1146" s="194" t="n"/>
      <c r="S1146" s="194" t="n"/>
      <c r="T1146" s="194" t="n"/>
      <c r="U1146" s="194" t="n"/>
      <c r="V1146" s="194" t="n"/>
      <c r="W1146" s="194" t="n"/>
      <c r="X1146" s="194" t="n"/>
      <c r="Y1146" s="194" t="n"/>
      <c r="Z1146" s="194" t="n"/>
    </row>
    <row r="1147" ht="15" customHeight="1" s="195">
      <c r="A1147" s="381">
        <f>IF(AND('NOVIEMBRE 2026'!D101&lt;&gt;"",'NOVIEMBRE 2026'!Z101="POR RECOGER"),"NOV","")</f>
        <v/>
      </c>
      <c r="B1147" s="381">
        <f>IF(AND('NOVIEMBRE 2026'!D101&lt;&gt;"",'NOVIEMBRE 2026'!Z101="POR RECOGER"),IF('NOVIEMBRE 2026'!Y101&lt;&gt;"",'NOVIEMBRE 2026'!Y101,'NOVIEMBRE 2026'!I101),"")</f>
        <v/>
      </c>
      <c r="C1147" s="381">
        <f>IF(AND('NOVIEMBRE 2026'!D101&lt;&gt;"",'NOVIEMBRE 2026'!Z101="POR RECOGER"),'NOVIEMBRE 2026'!D101,"")</f>
        <v/>
      </c>
      <c r="D1147" s="381">
        <f>IF(AND('NOVIEMBRE 2026'!D101&lt;&gt;"",'NOVIEMBRE 2026'!Z101="POR RECOGER"),'NOVIEMBRE 2026'!F101,"")</f>
        <v/>
      </c>
      <c r="E1147" s="381">
        <f>IF(AND('NOVIEMBRE 2026'!D101&lt;&gt;"",'NOVIEMBRE 2026'!Z101="POR RECOGER"),TEXT('NOVIEMBRE 2026'!G101,"DD/MM/YYYY"),"")</f>
        <v/>
      </c>
      <c r="F1147" s="381">
        <f>IF(AND('NOVIEMBRE 2026'!D101&lt;&gt;"",'NOVIEMBRE 2026'!Z101="POR RECOGER"),'NOVIEMBRE 2026'!K101,"")</f>
        <v/>
      </c>
      <c r="G1147" s="382">
        <f>IF(AND('NOVIEMBRE 2026'!D101&lt;&gt;"",'NOVIEMBRE 2026'!Z101="POR RECOGER"),'NOVIEMBRE 2026'!M101,"")</f>
        <v/>
      </c>
      <c r="H1147" s="382">
        <f>IF(AND('NOVIEMBRE 2026'!D101&lt;&gt;"",'NOVIEMBRE 2026'!Z101="POR RECOGER"),'NOVIEMBRE 2026'!N101,"")</f>
        <v/>
      </c>
      <c r="I1147" s="381">
        <f>IF(AND('NOVIEMBRE 2026'!D101&lt;&gt;"",'NOVIEMBRE 2026'!Z101="POR RECOGER"),'NOVIEMBRE 2026'!P101,"")</f>
        <v/>
      </c>
      <c r="J1147" s="381">
        <f>IF(AND('NOVIEMBRE 2026'!D101&lt;&gt;"",'NOVIEMBRE 2026'!Z101="POR RECOGER"),'NOVIEMBRE 2026'!Q101,"")</f>
        <v/>
      </c>
      <c r="K1147" s="381">
        <f>IF(AND('NOVIEMBRE 2026'!D101&lt;&gt;"",'NOVIEMBRE 2026'!Z101="POR RECOGER"),'NOVIEMBRE 2026'!Y101,"")</f>
        <v/>
      </c>
      <c r="L1147" s="381">
        <f>IF(AND('NOVIEMBRE 2026'!D101&lt;&gt;"",'NOVIEMBRE 2026'!Z101="POR RECOGER"),'NOVIEMBRE 2026'!I101,"")</f>
        <v/>
      </c>
      <c r="P1147" s="194" t="n"/>
      <c r="Q1147" s="194" t="n"/>
      <c r="R1147" s="194" t="n"/>
      <c r="S1147" s="194" t="n"/>
      <c r="T1147" s="194" t="n"/>
      <c r="U1147" s="194" t="n"/>
      <c r="V1147" s="194" t="n"/>
      <c r="W1147" s="194" t="n"/>
      <c r="X1147" s="194" t="n"/>
      <c r="Y1147" s="194" t="n"/>
      <c r="Z1147" s="194" t="n"/>
    </row>
    <row r="1148" ht="15" customHeight="1" s="195">
      <c r="A1148" s="381">
        <f>IF(AND('NOVIEMBRE 2026'!D102&lt;&gt;"",'NOVIEMBRE 2026'!Z102="POR RECOGER"),"NOV","")</f>
        <v/>
      </c>
      <c r="B1148" s="381">
        <f>IF(AND('NOVIEMBRE 2026'!D102&lt;&gt;"",'NOVIEMBRE 2026'!Z102="POR RECOGER"),IF('NOVIEMBRE 2026'!Y102&lt;&gt;"",'NOVIEMBRE 2026'!Y102,'NOVIEMBRE 2026'!I102),"")</f>
        <v/>
      </c>
      <c r="C1148" s="381">
        <f>IF(AND('NOVIEMBRE 2026'!D102&lt;&gt;"",'NOVIEMBRE 2026'!Z102="POR RECOGER"),'NOVIEMBRE 2026'!D102,"")</f>
        <v/>
      </c>
      <c r="D1148" s="381">
        <f>IF(AND('NOVIEMBRE 2026'!D102&lt;&gt;"",'NOVIEMBRE 2026'!Z102="POR RECOGER"),'NOVIEMBRE 2026'!F102,"")</f>
        <v/>
      </c>
      <c r="E1148" s="381">
        <f>IF(AND('NOVIEMBRE 2026'!D102&lt;&gt;"",'NOVIEMBRE 2026'!Z102="POR RECOGER"),TEXT('NOVIEMBRE 2026'!G102,"DD/MM/YYYY"),"")</f>
        <v/>
      </c>
      <c r="F1148" s="381">
        <f>IF(AND('NOVIEMBRE 2026'!D102&lt;&gt;"",'NOVIEMBRE 2026'!Z102="POR RECOGER"),'NOVIEMBRE 2026'!K102,"")</f>
        <v/>
      </c>
      <c r="G1148" s="382">
        <f>IF(AND('NOVIEMBRE 2026'!D102&lt;&gt;"",'NOVIEMBRE 2026'!Z102="POR RECOGER"),'NOVIEMBRE 2026'!M102,"")</f>
        <v/>
      </c>
      <c r="H1148" s="382">
        <f>IF(AND('NOVIEMBRE 2026'!D102&lt;&gt;"",'NOVIEMBRE 2026'!Z102="POR RECOGER"),'NOVIEMBRE 2026'!N102,"")</f>
        <v/>
      </c>
      <c r="I1148" s="381">
        <f>IF(AND('NOVIEMBRE 2026'!D102&lt;&gt;"",'NOVIEMBRE 2026'!Z102="POR RECOGER"),'NOVIEMBRE 2026'!P102,"")</f>
        <v/>
      </c>
      <c r="J1148" s="381">
        <f>IF(AND('NOVIEMBRE 2026'!D102&lt;&gt;"",'NOVIEMBRE 2026'!Z102="POR RECOGER"),'NOVIEMBRE 2026'!Q102,"")</f>
        <v/>
      </c>
      <c r="K1148" s="381">
        <f>IF(AND('NOVIEMBRE 2026'!D102&lt;&gt;"",'NOVIEMBRE 2026'!Z102="POR RECOGER"),'NOVIEMBRE 2026'!Y102,"")</f>
        <v/>
      </c>
      <c r="L1148" s="381">
        <f>IF(AND('NOVIEMBRE 2026'!D102&lt;&gt;"",'NOVIEMBRE 2026'!Z102="POR RECOGER"),'NOVIEMBRE 2026'!I102,"")</f>
        <v/>
      </c>
      <c r="P1148" s="194" t="n"/>
      <c r="Q1148" s="194" t="n"/>
      <c r="R1148" s="194" t="n"/>
      <c r="S1148" s="194" t="n"/>
      <c r="T1148" s="194" t="n"/>
      <c r="U1148" s="194" t="n"/>
      <c r="V1148" s="194" t="n"/>
      <c r="W1148" s="194" t="n"/>
      <c r="X1148" s="194" t="n"/>
      <c r="Y1148" s="194" t="n"/>
      <c r="Z1148" s="194" t="n"/>
    </row>
    <row r="1149" ht="15" customHeight="1" s="195">
      <c r="A1149" s="381">
        <f>IF(AND('NOVIEMBRE 2026'!D103&lt;&gt;"",'NOVIEMBRE 2026'!Z103="POR RECOGER"),"NOV","")</f>
        <v/>
      </c>
      <c r="B1149" s="381">
        <f>IF(AND('NOVIEMBRE 2026'!D103&lt;&gt;"",'NOVIEMBRE 2026'!Z103="POR RECOGER"),IF('NOVIEMBRE 2026'!Y103&lt;&gt;"",'NOVIEMBRE 2026'!Y103,'NOVIEMBRE 2026'!I103),"")</f>
        <v/>
      </c>
      <c r="C1149" s="381">
        <f>IF(AND('NOVIEMBRE 2026'!D103&lt;&gt;"",'NOVIEMBRE 2026'!Z103="POR RECOGER"),'NOVIEMBRE 2026'!D103,"")</f>
        <v/>
      </c>
      <c r="D1149" s="381">
        <f>IF(AND('NOVIEMBRE 2026'!D103&lt;&gt;"",'NOVIEMBRE 2026'!Z103="POR RECOGER"),'NOVIEMBRE 2026'!F103,"")</f>
        <v/>
      </c>
      <c r="E1149" s="381">
        <f>IF(AND('NOVIEMBRE 2026'!D103&lt;&gt;"",'NOVIEMBRE 2026'!Z103="POR RECOGER"),TEXT('NOVIEMBRE 2026'!G103,"DD/MM/YYYY"),"")</f>
        <v/>
      </c>
      <c r="F1149" s="381">
        <f>IF(AND('NOVIEMBRE 2026'!D103&lt;&gt;"",'NOVIEMBRE 2026'!Z103="POR RECOGER"),'NOVIEMBRE 2026'!K103,"")</f>
        <v/>
      </c>
      <c r="G1149" s="382">
        <f>IF(AND('NOVIEMBRE 2026'!D103&lt;&gt;"",'NOVIEMBRE 2026'!Z103="POR RECOGER"),'NOVIEMBRE 2026'!M103,"")</f>
        <v/>
      </c>
      <c r="H1149" s="382">
        <f>IF(AND('NOVIEMBRE 2026'!D103&lt;&gt;"",'NOVIEMBRE 2026'!Z103="POR RECOGER"),'NOVIEMBRE 2026'!N103,"")</f>
        <v/>
      </c>
      <c r="I1149" s="381">
        <f>IF(AND('NOVIEMBRE 2026'!D103&lt;&gt;"",'NOVIEMBRE 2026'!Z103="POR RECOGER"),'NOVIEMBRE 2026'!P103,"")</f>
        <v/>
      </c>
      <c r="J1149" s="381">
        <f>IF(AND('NOVIEMBRE 2026'!D103&lt;&gt;"",'NOVIEMBRE 2026'!Z103="POR RECOGER"),'NOVIEMBRE 2026'!Q103,"")</f>
        <v/>
      </c>
      <c r="K1149" s="381">
        <f>IF(AND('NOVIEMBRE 2026'!D103&lt;&gt;"",'NOVIEMBRE 2026'!Z103="POR RECOGER"),'NOVIEMBRE 2026'!Y103,"")</f>
        <v/>
      </c>
      <c r="L1149" s="381">
        <f>IF(AND('NOVIEMBRE 2026'!D103&lt;&gt;"",'NOVIEMBRE 2026'!Z103="POR RECOGER"),'NOVIEMBRE 2026'!I103,"")</f>
        <v/>
      </c>
      <c r="P1149" s="194" t="n"/>
      <c r="Q1149" s="194" t="n"/>
      <c r="R1149" s="194" t="n"/>
      <c r="S1149" s="194" t="n"/>
      <c r="T1149" s="194" t="n"/>
      <c r="U1149" s="194" t="n"/>
      <c r="V1149" s="194" t="n"/>
      <c r="W1149" s="194" t="n"/>
      <c r="X1149" s="194" t="n"/>
      <c r="Y1149" s="194" t="n"/>
      <c r="Z1149" s="194" t="n"/>
    </row>
    <row r="1150" ht="15" customHeight="1" s="195">
      <c r="A1150" s="381">
        <f>IF(AND('NOVIEMBRE 2026'!D104&lt;&gt;"",'NOVIEMBRE 2026'!Z104="POR RECOGER"),"NOV","")</f>
        <v/>
      </c>
      <c r="B1150" s="381">
        <f>IF(AND('NOVIEMBRE 2026'!D104&lt;&gt;"",'NOVIEMBRE 2026'!Z104="POR RECOGER"),IF('NOVIEMBRE 2026'!Y104&lt;&gt;"",'NOVIEMBRE 2026'!Y104,'NOVIEMBRE 2026'!I104),"")</f>
        <v/>
      </c>
      <c r="C1150" s="381">
        <f>IF(AND('NOVIEMBRE 2026'!D104&lt;&gt;"",'NOVIEMBRE 2026'!Z104="POR RECOGER"),'NOVIEMBRE 2026'!D104,"")</f>
        <v/>
      </c>
      <c r="D1150" s="381">
        <f>IF(AND('NOVIEMBRE 2026'!D104&lt;&gt;"",'NOVIEMBRE 2026'!Z104="POR RECOGER"),'NOVIEMBRE 2026'!F104,"")</f>
        <v/>
      </c>
      <c r="E1150" s="381">
        <f>IF(AND('NOVIEMBRE 2026'!D104&lt;&gt;"",'NOVIEMBRE 2026'!Z104="POR RECOGER"),TEXT('NOVIEMBRE 2026'!G104,"DD/MM/YYYY"),"")</f>
        <v/>
      </c>
      <c r="F1150" s="381">
        <f>IF(AND('NOVIEMBRE 2026'!D104&lt;&gt;"",'NOVIEMBRE 2026'!Z104="POR RECOGER"),'NOVIEMBRE 2026'!K104,"")</f>
        <v/>
      </c>
      <c r="G1150" s="382">
        <f>IF(AND('NOVIEMBRE 2026'!D104&lt;&gt;"",'NOVIEMBRE 2026'!Z104="POR RECOGER"),'NOVIEMBRE 2026'!M104,"")</f>
        <v/>
      </c>
      <c r="H1150" s="382">
        <f>IF(AND('NOVIEMBRE 2026'!D104&lt;&gt;"",'NOVIEMBRE 2026'!Z104="POR RECOGER"),'NOVIEMBRE 2026'!N104,"")</f>
        <v/>
      </c>
      <c r="I1150" s="381">
        <f>IF(AND('NOVIEMBRE 2026'!D104&lt;&gt;"",'NOVIEMBRE 2026'!Z104="POR RECOGER"),'NOVIEMBRE 2026'!P104,"")</f>
        <v/>
      </c>
      <c r="J1150" s="381">
        <f>IF(AND('NOVIEMBRE 2026'!D104&lt;&gt;"",'NOVIEMBRE 2026'!Z104="POR RECOGER"),'NOVIEMBRE 2026'!Q104,"")</f>
        <v/>
      </c>
      <c r="K1150" s="381">
        <f>IF(AND('NOVIEMBRE 2026'!D104&lt;&gt;"",'NOVIEMBRE 2026'!Z104="POR RECOGER"),'NOVIEMBRE 2026'!Y104,"")</f>
        <v/>
      </c>
      <c r="L1150" s="381">
        <f>IF(AND('NOVIEMBRE 2026'!D104&lt;&gt;"",'NOVIEMBRE 2026'!Z104="POR RECOGER"),'NOVIEMBRE 2026'!I104,"")</f>
        <v/>
      </c>
      <c r="P1150" s="194" t="n"/>
      <c r="Q1150" s="194" t="n"/>
      <c r="R1150" s="194" t="n"/>
      <c r="S1150" s="194" t="n"/>
      <c r="T1150" s="194" t="n"/>
      <c r="U1150" s="194" t="n"/>
      <c r="V1150" s="194" t="n"/>
      <c r="W1150" s="194" t="n"/>
      <c r="X1150" s="194" t="n"/>
      <c r="Y1150" s="194" t="n"/>
      <c r="Z1150" s="194" t="n"/>
    </row>
    <row r="1151" ht="15" customHeight="1" s="195">
      <c r="A1151" s="381">
        <f>IF(AND('NOVIEMBRE 2026'!D105&lt;&gt;"",'NOVIEMBRE 2026'!Z105="POR RECOGER"),"NOV","")</f>
        <v/>
      </c>
      <c r="B1151" s="381">
        <f>IF(AND('NOVIEMBRE 2026'!D105&lt;&gt;"",'NOVIEMBRE 2026'!Z105="POR RECOGER"),IF('NOVIEMBRE 2026'!Y105&lt;&gt;"",'NOVIEMBRE 2026'!Y105,'NOVIEMBRE 2026'!I105),"")</f>
        <v/>
      </c>
      <c r="C1151" s="381">
        <f>IF(AND('NOVIEMBRE 2026'!D105&lt;&gt;"",'NOVIEMBRE 2026'!Z105="POR RECOGER"),'NOVIEMBRE 2026'!D105,"")</f>
        <v/>
      </c>
      <c r="D1151" s="381">
        <f>IF(AND('NOVIEMBRE 2026'!D105&lt;&gt;"",'NOVIEMBRE 2026'!Z105="POR RECOGER"),'NOVIEMBRE 2026'!F105,"")</f>
        <v/>
      </c>
      <c r="E1151" s="381">
        <f>IF(AND('NOVIEMBRE 2026'!D105&lt;&gt;"",'NOVIEMBRE 2026'!Z105="POR RECOGER"),TEXT('NOVIEMBRE 2026'!G105,"DD/MM/YYYY"),"")</f>
        <v/>
      </c>
      <c r="F1151" s="381">
        <f>IF(AND('NOVIEMBRE 2026'!D105&lt;&gt;"",'NOVIEMBRE 2026'!Z105="POR RECOGER"),'NOVIEMBRE 2026'!K105,"")</f>
        <v/>
      </c>
      <c r="G1151" s="382">
        <f>IF(AND('NOVIEMBRE 2026'!D105&lt;&gt;"",'NOVIEMBRE 2026'!Z105="POR RECOGER"),'NOVIEMBRE 2026'!M105,"")</f>
        <v/>
      </c>
      <c r="H1151" s="382">
        <f>IF(AND('NOVIEMBRE 2026'!D105&lt;&gt;"",'NOVIEMBRE 2026'!Z105="POR RECOGER"),'NOVIEMBRE 2026'!N105,"")</f>
        <v/>
      </c>
      <c r="I1151" s="381">
        <f>IF(AND('NOVIEMBRE 2026'!D105&lt;&gt;"",'NOVIEMBRE 2026'!Z105="POR RECOGER"),'NOVIEMBRE 2026'!P105,"")</f>
        <v/>
      </c>
      <c r="J1151" s="381">
        <f>IF(AND('NOVIEMBRE 2026'!D105&lt;&gt;"",'NOVIEMBRE 2026'!Z105="POR RECOGER"),'NOVIEMBRE 2026'!Q105,"")</f>
        <v/>
      </c>
      <c r="K1151" s="381">
        <f>IF(AND('NOVIEMBRE 2026'!D105&lt;&gt;"",'NOVIEMBRE 2026'!Z105="POR RECOGER"),'NOVIEMBRE 2026'!Y105,"")</f>
        <v/>
      </c>
      <c r="L1151" s="381">
        <f>IF(AND('NOVIEMBRE 2026'!D105&lt;&gt;"",'NOVIEMBRE 2026'!Z105="POR RECOGER"),'NOVIEMBRE 2026'!I105,"")</f>
        <v/>
      </c>
      <c r="P1151" s="194" t="n"/>
      <c r="Q1151" s="194" t="n"/>
      <c r="R1151" s="194" t="n"/>
      <c r="S1151" s="194" t="n"/>
      <c r="T1151" s="194" t="n"/>
      <c r="U1151" s="194" t="n"/>
      <c r="V1151" s="194" t="n"/>
      <c r="W1151" s="194" t="n"/>
      <c r="X1151" s="194" t="n"/>
      <c r="Y1151" s="194" t="n"/>
      <c r="Z1151" s="194" t="n"/>
    </row>
    <row r="1152" ht="15" customHeight="1" s="195">
      <c r="A1152" s="381">
        <f>IF(AND('NOVIEMBRE 2026'!D106&lt;&gt;"",'NOVIEMBRE 2026'!Z106="POR RECOGER"),"NOV","")</f>
        <v/>
      </c>
      <c r="B1152" s="381">
        <f>IF(AND('NOVIEMBRE 2026'!D106&lt;&gt;"",'NOVIEMBRE 2026'!Z106="POR RECOGER"),IF('NOVIEMBRE 2026'!Y106&lt;&gt;"",'NOVIEMBRE 2026'!Y106,'NOVIEMBRE 2026'!I106),"")</f>
        <v/>
      </c>
      <c r="C1152" s="381">
        <f>IF(AND('NOVIEMBRE 2026'!D106&lt;&gt;"",'NOVIEMBRE 2026'!Z106="POR RECOGER"),'NOVIEMBRE 2026'!D106,"")</f>
        <v/>
      </c>
      <c r="D1152" s="381">
        <f>IF(AND('NOVIEMBRE 2026'!D106&lt;&gt;"",'NOVIEMBRE 2026'!Z106="POR RECOGER"),'NOVIEMBRE 2026'!F106,"")</f>
        <v/>
      </c>
      <c r="E1152" s="381">
        <f>IF(AND('NOVIEMBRE 2026'!D106&lt;&gt;"",'NOVIEMBRE 2026'!Z106="POR RECOGER"),TEXT('NOVIEMBRE 2026'!G106,"DD/MM/YYYY"),"")</f>
        <v/>
      </c>
      <c r="F1152" s="381">
        <f>IF(AND('NOVIEMBRE 2026'!D106&lt;&gt;"",'NOVIEMBRE 2026'!Z106="POR RECOGER"),'NOVIEMBRE 2026'!K106,"")</f>
        <v/>
      </c>
      <c r="G1152" s="382">
        <f>IF(AND('NOVIEMBRE 2026'!D106&lt;&gt;"",'NOVIEMBRE 2026'!Z106="POR RECOGER"),'NOVIEMBRE 2026'!M106,"")</f>
        <v/>
      </c>
      <c r="H1152" s="382">
        <f>IF(AND('NOVIEMBRE 2026'!D106&lt;&gt;"",'NOVIEMBRE 2026'!Z106="POR RECOGER"),'NOVIEMBRE 2026'!N106,"")</f>
        <v/>
      </c>
      <c r="I1152" s="381">
        <f>IF(AND('NOVIEMBRE 2026'!D106&lt;&gt;"",'NOVIEMBRE 2026'!Z106="POR RECOGER"),'NOVIEMBRE 2026'!P106,"")</f>
        <v/>
      </c>
      <c r="J1152" s="381">
        <f>IF(AND('NOVIEMBRE 2026'!D106&lt;&gt;"",'NOVIEMBRE 2026'!Z106="POR RECOGER"),'NOVIEMBRE 2026'!Q106,"")</f>
        <v/>
      </c>
      <c r="K1152" s="381">
        <f>IF(AND('NOVIEMBRE 2026'!D106&lt;&gt;"",'NOVIEMBRE 2026'!Z106="POR RECOGER"),'NOVIEMBRE 2026'!Y106,"")</f>
        <v/>
      </c>
      <c r="L1152" s="381">
        <f>IF(AND('NOVIEMBRE 2026'!D106&lt;&gt;"",'NOVIEMBRE 2026'!Z106="POR RECOGER"),'NOVIEMBRE 2026'!I106,"")</f>
        <v/>
      </c>
      <c r="P1152" s="194" t="n"/>
      <c r="Q1152" s="194" t="n"/>
      <c r="R1152" s="194" t="n"/>
      <c r="S1152" s="194" t="n"/>
      <c r="T1152" s="194" t="n"/>
      <c r="U1152" s="194" t="n"/>
      <c r="V1152" s="194" t="n"/>
      <c r="W1152" s="194" t="n"/>
      <c r="X1152" s="194" t="n"/>
      <c r="Y1152" s="194" t="n"/>
      <c r="Z1152" s="194" t="n"/>
    </row>
    <row r="1153" ht="15" customHeight="1" s="195">
      <c r="A1153" s="381">
        <f>IF(AND('NOVIEMBRE 2026'!D107&lt;&gt;"",'NOVIEMBRE 2026'!Z107="POR RECOGER"),"NOV","")</f>
        <v/>
      </c>
      <c r="B1153" s="381">
        <f>IF(AND('NOVIEMBRE 2026'!D107&lt;&gt;"",'NOVIEMBRE 2026'!Z107="POR RECOGER"),IF('NOVIEMBRE 2026'!Y107&lt;&gt;"",'NOVIEMBRE 2026'!Y107,'NOVIEMBRE 2026'!I107),"")</f>
        <v/>
      </c>
      <c r="C1153" s="381">
        <f>IF(AND('NOVIEMBRE 2026'!D107&lt;&gt;"",'NOVIEMBRE 2026'!Z107="POR RECOGER"),'NOVIEMBRE 2026'!D107,"")</f>
        <v/>
      </c>
      <c r="D1153" s="381">
        <f>IF(AND('NOVIEMBRE 2026'!D107&lt;&gt;"",'NOVIEMBRE 2026'!Z107="POR RECOGER"),'NOVIEMBRE 2026'!F107,"")</f>
        <v/>
      </c>
      <c r="E1153" s="381">
        <f>IF(AND('NOVIEMBRE 2026'!D107&lt;&gt;"",'NOVIEMBRE 2026'!Z107="POR RECOGER"),TEXT('NOVIEMBRE 2026'!G107,"DD/MM/YYYY"),"")</f>
        <v/>
      </c>
      <c r="F1153" s="381">
        <f>IF(AND('NOVIEMBRE 2026'!D107&lt;&gt;"",'NOVIEMBRE 2026'!Z107="POR RECOGER"),'NOVIEMBRE 2026'!K107,"")</f>
        <v/>
      </c>
      <c r="G1153" s="382">
        <f>IF(AND('NOVIEMBRE 2026'!D107&lt;&gt;"",'NOVIEMBRE 2026'!Z107="POR RECOGER"),'NOVIEMBRE 2026'!M107,"")</f>
        <v/>
      </c>
      <c r="H1153" s="382">
        <f>IF(AND('NOVIEMBRE 2026'!D107&lt;&gt;"",'NOVIEMBRE 2026'!Z107="POR RECOGER"),'NOVIEMBRE 2026'!N107,"")</f>
        <v/>
      </c>
      <c r="I1153" s="381">
        <f>IF(AND('NOVIEMBRE 2026'!D107&lt;&gt;"",'NOVIEMBRE 2026'!Z107="POR RECOGER"),'NOVIEMBRE 2026'!P107,"")</f>
        <v/>
      </c>
      <c r="J1153" s="381">
        <f>IF(AND('NOVIEMBRE 2026'!D107&lt;&gt;"",'NOVIEMBRE 2026'!Z107="POR RECOGER"),'NOVIEMBRE 2026'!Q107,"")</f>
        <v/>
      </c>
      <c r="K1153" s="381">
        <f>IF(AND('NOVIEMBRE 2026'!D107&lt;&gt;"",'NOVIEMBRE 2026'!Z107="POR RECOGER"),'NOVIEMBRE 2026'!Y107,"")</f>
        <v/>
      </c>
      <c r="L1153" s="381">
        <f>IF(AND('NOVIEMBRE 2026'!D107&lt;&gt;"",'NOVIEMBRE 2026'!Z107="POR RECOGER"),'NOVIEMBRE 2026'!I107,"")</f>
        <v/>
      </c>
      <c r="P1153" s="194" t="n"/>
      <c r="Q1153" s="194" t="n"/>
      <c r="R1153" s="194" t="n"/>
      <c r="S1153" s="194" t="n"/>
      <c r="T1153" s="194" t="n"/>
      <c r="U1153" s="194" t="n"/>
      <c r="V1153" s="194" t="n"/>
      <c r="W1153" s="194" t="n"/>
      <c r="X1153" s="194" t="n"/>
      <c r="Y1153" s="194" t="n"/>
      <c r="Z1153" s="194" t="n"/>
    </row>
    <row r="1154" ht="15" customHeight="1" s="195">
      <c r="A1154" s="381">
        <f>IF(AND('NOVIEMBRE 2026'!D108&lt;&gt;"",'NOVIEMBRE 2026'!Z108="POR RECOGER"),"NOV","")</f>
        <v/>
      </c>
      <c r="B1154" s="381">
        <f>IF(AND('NOVIEMBRE 2026'!D108&lt;&gt;"",'NOVIEMBRE 2026'!Z108="POR RECOGER"),IF('NOVIEMBRE 2026'!Y108&lt;&gt;"",'NOVIEMBRE 2026'!Y108,'NOVIEMBRE 2026'!I108),"")</f>
        <v/>
      </c>
      <c r="C1154" s="381">
        <f>IF(AND('NOVIEMBRE 2026'!D108&lt;&gt;"",'NOVIEMBRE 2026'!Z108="POR RECOGER"),'NOVIEMBRE 2026'!D108,"")</f>
        <v/>
      </c>
      <c r="D1154" s="381">
        <f>IF(AND('NOVIEMBRE 2026'!D108&lt;&gt;"",'NOVIEMBRE 2026'!Z108="POR RECOGER"),'NOVIEMBRE 2026'!F108,"")</f>
        <v/>
      </c>
      <c r="E1154" s="381">
        <f>IF(AND('NOVIEMBRE 2026'!D108&lt;&gt;"",'NOVIEMBRE 2026'!Z108="POR RECOGER"),TEXT('NOVIEMBRE 2026'!G108,"DD/MM/YYYY"),"")</f>
        <v/>
      </c>
      <c r="F1154" s="381">
        <f>IF(AND('NOVIEMBRE 2026'!D108&lt;&gt;"",'NOVIEMBRE 2026'!Z108="POR RECOGER"),'NOVIEMBRE 2026'!K108,"")</f>
        <v/>
      </c>
      <c r="G1154" s="382">
        <f>IF(AND('NOVIEMBRE 2026'!D108&lt;&gt;"",'NOVIEMBRE 2026'!Z108="POR RECOGER"),'NOVIEMBRE 2026'!M108,"")</f>
        <v/>
      </c>
      <c r="H1154" s="382">
        <f>IF(AND('NOVIEMBRE 2026'!D108&lt;&gt;"",'NOVIEMBRE 2026'!Z108="POR RECOGER"),'NOVIEMBRE 2026'!N108,"")</f>
        <v/>
      </c>
      <c r="I1154" s="381">
        <f>IF(AND('NOVIEMBRE 2026'!D108&lt;&gt;"",'NOVIEMBRE 2026'!Z108="POR RECOGER"),'NOVIEMBRE 2026'!P108,"")</f>
        <v/>
      </c>
      <c r="J1154" s="381">
        <f>IF(AND('NOVIEMBRE 2026'!D108&lt;&gt;"",'NOVIEMBRE 2026'!Z108="POR RECOGER"),'NOVIEMBRE 2026'!Q108,"")</f>
        <v/>
      </c>
      <c r="K1154" s="381">
        <f>IF(AND('NOVIEMBRE 2026'!D108&lt;&gt;"",'NOVIEMBRE 2026'!Z108="POR RECOGER"),'NOVIEMBRE 2026'!Y108,"")</f>
        <v/>
      </c>
      <c r="L1154" s="381">
        <f>IF(AND('NOVIEMBRE 2026'!D108&lt;&gt;"",'NOVIEMBRE 2026'!Z108="POR RECOGER"),'NOVIEMBRE 2026'!I108,"")</f>
        <v/>
      </c>
      <c r="P1154" s="194" t="n"/>
      <c r="Q1154" s="194" t="n"/>
      <c r="R1154" s="194" t="n"/>
      <c r="S1154" s="194" t="n"/>
      <c r="T1154" s="194" t="n"/>
      <c r="U1154" s="194" t="n"/>
      <c r="V1154" s="194" t="n"/>
      <c r="W1154" s="194" t="n"/>
      <c r="X1154" s="194" t="n"/>
      <c r="Y1154" s="194" t="n"/>
      <c r="Z1154" s="194" t="n"/>
    </row>
    <row r="1155" ht="15" customHeight="1" s="195">
      <c r="A1155" s="381">
        <f>IF(AND('NOVIEMBRE 2026'!D109&lt;&gt;"",'NOVIEMBRE 2026'!Z109="POR RECOGER"),"NOV","")</f>
        <v/>
      </c>
      <c r="B1155" s="381">
        <f>IF(AND('NOVIEMBRE 2026'!D109&lt;&gt;"",'NOVIEMBRE 2026'!Z109="POR RECOGER"),IF('NOVIEMBRE 2026'!Y109&lt;&gt;"",'NOVIEMBRE 2026'!Y109,'NOVIEMBRE 2026'!I109),"")</f>
        <v/>
      </c>
      <c r="C1155" s="381">
        <f>IF(AND('NOVIEMBRE 2026'!D109&lt;&gt;"",'NOVIEMBRE 2026'!Z109="POR RECOGER"),'NOVIEMBRE 2026'!D109,"")</f>
        <v/>
      </c>
      <c r="D1155" s="381">
        <f>IF(AND('NOVIEMBRE 2026'!D109&lt;&gt;"",'NOVIEMBRE 2026'!Z109="POR RECOGER"),'NOVIEMBRE 2026'!F109,"")</f>
        <v/>
      </c>
      <c r="E1155" s="381">
        <f>IF(AND('NOVIEMBRE 2026'!D109&lt;&gt;"",'NOVIEMBRE 2026'!Z109="POR RECOGER"),TEXT('NOVIEMBRE 2026'!G109,"DD/MM/YYYY"),"")</f>
        <v/>
      </c>
      <c r="F1155" s="381">
        <f>IF(AND('NOVIEMBRE 2026'!D109&lt;&gt;"",'NOVIEMBRE 2026'!Z109="POR RECOGER"),'NOVIEMBRE 2026'!K109,"")</f>
        <v/>
      </c>
      <c r="G1155" s="382">
        <f>IF(AND('NOVIEMBRE 2026'!D109&lt;&gt;"",'NOVIEMBRE 2026'!Z109="POR RECOGER"),'NOVIEMBRE 2026'!M109,"")</f>
        <v/>
      </c>
      <c r="H1155" s="382">
        <f>IF(AND('NOVIEMBRE 2026'!D109&lt;&gt;"",'NOVIEMBRE 2026'!Z109="POR RECOGER"),'NOVIEMBRE 2026'!N109,"")</f>
        <v/>
      </c>
      <c r="I1155" s="381">
        <f>IF(AND('NOVIEMBRE 2026'!D109&lt;&gt;"",'NOVIEMBRE 2026'!Z109="POR RECOGER"),'NOVIEMBRE 2026'!P109,"")</f>
        <v/>
      </c>
      <c r="J1155" s="381">
        <f>IF(AND('NOVIEMBRE 2026'!D109&lt;&gt;"",'NOVIEMBRE 2026'!Z109="POR RECOGER"),'NOVIEMBRE 2026'!Q109,"")</f>
        <v/>
      </c>
      <c r="K1155" s="381">
        <f>IF(AND('NOVIEMBRE 2026'!D109&lt;&gt;"",'NOVIEMBRE 2026'!Z109="POR RECOGER"),'NOVIEMBRE 2026'!Y109,"")</f>
        <v/>
      </c>
      <c r="L1155" s="381">
        <f>IF(AND('NOVIEMBRE 2026'!D109&lt;&gt;"",'NOVIEMBRE 2026'!Z109="POR RECOGER"),'NOVIEMBRE 2026'!I109,"")</f>
        <v/>
      </c>
      <c r="P1155" s="194" t="n"/>
      <c r="Q1155" s="194" t="n"/>
      <c r="R1155" s="194" t="n"/>
      <c r="S1155" s="194" t="n"/>
      <c r="T1155" s="194" t="n"/>
      <c r="U1155" s="194" t="n"/>
      <c r="V1155" s="194" t="n"/>
      <c r="W1155" s="194" t="n"/>
      <c r="X1155" s="194" t="n"/>
      <c r="Y1155" s="194" t="n"/>
      <c r="Z1155" s="194" t="n"/>
    </row>
    <row r="1156" ht="15" customHeight="1" s="195">
      <c r="A1156" s="381">
        <f>IF(AND('NOVIEMBRE 2026'!D110&lt;&gt;"",'NOVIEMBRE 2026'!Z110="POR RECOGER"),"NOV","")</f>
        <v/>
      </c>
      <c r="B1156" s="381">
        <f>IF(AND('NOVIEMBRE 2026'!D110&lt;&gt;"",'NOVIEMBRE 2026'!Z110="POR RECOGER"),IF('NOVIEMBRE 2026'!Y110&lt;&gt;"",'NOVIEMBRE 2026'!Y110,'NOVIEMBRE 2026'!I110),"")</f>
        <v/>
      </c>
      <c r="C1156" s="381">
        <f>IF(AND('NOVIEMBRE 2026'!D110&lt;&gt;"",'NOVIEMBRE 2026'!Z110="POR RECOGER"),'NOVIEMBRE 2026'!D110,"")</f>
        <v/>
      </c>
      <c r="D1156" s="381">
        <f>IF(AND('NOVIEMBRE 2026'!D110&lt;&gt;"",'NOVIEMBRE 2026'!Z110="POR RECOGER"),'NOVIEMBRE 2026'!F110,"")</f>
        <v/>
      </c>
      <c r="E1156" s="381">
        <f>IF(AND('NOVIEMBRE 2026'!D110&lt;&gt;"",'NOVIEMBRE 2026'!Z110="POR RECOGER"),TEXT('NOVIEMBRE 2026'!G110,"DD/MM/YYYY"),"")</f>
        <v/>
      </c>
      <c r="F1156" s="381">
        <f>IF(AND('NOVIEMBRE 2026'!D110&lt;&gt;"",'NOVIEMBRE 2026'!Z110="POR RECOGER"),'NOVIEMBRE 2026'!K110,"")</f>
        <v/>
      </c>
      <c r="G1156" s="382">
        <f>IF(AND('NOVIEMBRE 2026'!D110&lt;&gt;"",'NOVIEMBRE 2026'!Z110="POR RECOGER"),'NOVIEMBRE 2026'!M110,"")</f>
        <v/>
      </c>
      <c r="H1156" s="382">
        <f>IF(AND('NOVIEMBRE 2026'!D110&lt;&gt;"",'NOVIEMBRE 2026'!Z110="POR RECOGER"),'NOVIEMBRE 2026'!N110,"")</f>
        <v/>
      </c>
      <c r="I1156" s="381">
        <f>IF(AND('NOVIEMBRE 2026'!D110&lt;&gt;"",'NOVIEMBRE 2026'!Z110="POR RECOGER"),'NOVIEMBRE 2026'!P110,"")</f>
        <v/>
      </c>
      <c r="J1156" s="381">
        <f>IF(AND('NOVIEMBRE 2026'!D110&lt;&gt;"",'NOVIEMBRE 2026'!Z110="POR RECOGER"),'NOVIEMBRE 2026'!Q110,"")</f>
        <v/>
      </c>
      <c r="K1156" s="381">
        <f>IF(AND('NOVIEMBRE 2026'!D110&lt;&gt;"",'NOVIEMBRE 2026'!Z110="POR RECOGER"),'NOVIEMBRE 2026'!Y110,"")</f>
        <v/>
      </c>
      <c r="L1156" s="381">
        <f>IF(AND('NOVIEMBRE 2026'!D110&lt;&gt;"",'NOVIEMBRE 2026'!Z110="POR RECOGER"),'NOVIEMBRE 2026'!I110,"")</f>
        <v/>
      </c>
      <c r="P1156" s="194" t="n"/>
      <c r="Q1156" s="194" t="n"/>
      <c r="R1156" s="194" t="n"/>
      <c r="S1156" s="194" t="n"/>
      <c r="T1156" s="194" t="n"/>
      <c r="U1156" s="194" t="n"/>
      <c r="V1156" s="194" t="n"/>
      <c r="W1156" s="194" t="n"/>
      <c r="X1156" s="194" t="n"/>
      <c r="Y1156" s="194" t="n"/>
      <c r="Z1156" s="194" t="n"/>
    </row>
    <row r="1157" ht="15" customHeight="1" s="195">
      <c r="A1157" s="381">
        <f>IF(AND('DICIEMBRE 2026'!D6&lt;&gt;"",'DICIEMBRE 2026'!Z6="POR RECOGER"),"DIC","")</f>
        <v/>
      </c>
      <c r="B1157" s="381">
        <f>IF(AND('DICIEMBRE 2026'!D6&lt;&gt;"",'DICIEMBRE 2026'!Z6="POR RECOGER"),IF('DICIEMBRE 2026'!Y6&lt;&gt;"",'DICIEMBRE 2026'!Y6,'DICIEMBRE 2026'!I6),"")</f>
        <v/>
      </c>
      <c r="C1157" s="381">
        <f>IF(AND('DICIEMBRE 2026'!D6&lt;&gt;"",'DICIEMBRE 2026'!Z6="POR RECOGER"),'DICIEMBRE 2026'!D6,"")</f>
        <v/>
      </c>
      <c r="D1157" s="381">
        <f>IF(AND('DICIEMBRE 2026'!D6&lt;&gt;"",'DICIEMBRE 2026'!Z6="POR RECOGER"),'DICIEMBRE 2026'!F6,"")</f>
        <v/>
      </c>
      <c r="E1157" s="381">
        <f>IF(AND('DICIEMBRE 2026'!D6&lt;&gt;"",'DICIEMBRE 2026'!Z6="POR RECOGER"),TEXT('DICIEMBRE 2026'!G6,"DD/MM/YYYY"),"")</f>
        <v/>
      </c>
      <c r="F1157" s="381">
        <f>IF(AND('DICIEMBRE 2026'!D6&lt;&gt;"",'DICIEMBRE 2026'!Z6="POR RECOGER"),'DICIEMBRE 2026'!K6,"")</f>
        <v/>
      </c>
      <c r="G1157" s="382">
        <f>IF(AND('DICIEMBRE 2026'!D6&lt;&gt;"",'DICIEMBRE 2026'!Z6="POR RECOGER"),'DICIEMBRE 2026'!M6,"")</f>
        <v/>
      </c>
      <c r="H1157" s="382">
        <f>IF(AND('DICIEMBRE 2026'!D6&lt;&gt;"",'DICIEMBRE 2026'!Z6="POR RECOGER"),'DICIEMBRE 2026'!N6,"")</f>
        <v/>
      </c>
      <c r="I1157" s="381">
        <f>IF(AND('DICIEMBRE 2026'!D6&lt;&gt;"",'DICIEMBRE 2026'!Z6="POR RECOGER"),'DICIEMBRE 2026'!P6,"")</f>
        <v/>
      </c>
      <c r="J1157" s="381">
        <f>IF(AND('DICIEMBRE 2026'!D6&lt;&gt;"",'DICIEMBRE 2026'!Z6="POR RECOGER"),'DICIEMBRE 2026'!Q6,"")</f>
        <v/>
      </c>
      <c r="K1157" s="381">
        <f>IF(AND('DICIEMBRE 2026'!D6&lt;&gt;"",'DICIEMBRE 2026'!Z6="POR RECOGER"),'DICIEMBRE 2026'!Y6,"")</f>
        <v/>
      </c>
      <c r="L1157" s="381">
        <f>IF(AND('DICIEMBRE 2026'!D6&lt;&gt;"",'DICIEMBRE 2026'!Z6="POR RECOGER"),'DICIEMBRE 2026'!I6,"")</f>
        <v/>
      </c>
      <c r="P1157" s="194" t="n"/>
      <c r="Q1157" s="194" t="n"/>
      <c r="R1157" s="194" t="n"/>
      <c r="S1157" s="194" t="n"/>
      <c r="T1157" s="194" t="n"/>
      <c r="U1157" s="194" t="n"/>
      <c r="V1157" s="194" t="n"/>
      <c r="W1157" s="194" t="n"/>
      <c r="X1157" s="194" t="n"/>
      <c r="Y1157" s="194" t="n"/>
      <c r="Z1157" s="194" t="n"/>
    </row>
    <row r="1158" ht="15" customHeight="1" s="195">
      <c r="A1158" s="381">
        <f>IF(AND('DICIEMBRE 2026'!D7&lt;&gt;"",'DICIEMBRE 2026'!Z7="POR RECOGER"),"DIC","")</f>
        <v/>
      </c>
      <c r="B1158" s="381">
        <f>IF(AND('DICIEMBRE 2026'!D7&lt;&gt;"",'DICIEMBRE 2026'!Z7="POR RECOGER"),IF('DICIEMBRE 2026'!Y7&lt;&gt;"",'DICIEMBRE 2026'!Y7,'DICIEMBRE 2026'!I7),"")</f>
        <v/>
      </c>
      <c r="C1158" s="381">
        <f>IF(AND('DICIEMBRE 2026'!D7&lt;&gt;"",'DICIEMBRE 2026'!Z7="POR RECOGER"),'DICIEMBRE 2026'!D7,"")</f>
        <v/>
      </c>
      <c r="D1158" s="381">
        <f>IF(AND('DICIEMBRE 2026'!D7&lt;&gt;"",'DICIEMBRE 2026'!Z7="POR RECOGER"),'DICIEMBRE 2026'!F7,"")</f>
        <v/>
      </c>
      <c r="E1158" s="381">
        <f>IF(AND('DICIEMBRE 2026'!D7&lt;&gt;"",'DICIEMBRE 2026'!Z7="POR RECOGER"),TEXT('DICIEMBRE 2026'!G7,"DD/MM/YYYY"),"")</f>
        <v/>
      </c>
      <c r="F1158" s="381">
        <f>IF(AND('DICIEMBRE 2026'!D7&lt;&gt;"",'DICIEMBRE 2026'!Z7="POR RECOGER"),'DICIEMBRE 2026'!K7,"")</f>
        <v/>
      </c>
      <c r="G1158" s="382">
        <f>IF(AND('DICIEMBRE 2026'!D7&lt;&gt;"",'DICIEMBRE 2026'!Z7="POR RECOGER"),'DICIEMBRE 2026'!M7,"")</f>
        <v/>
      </c>
      <c r="H1158" s="382">
        <f>IF(AND('DICIEMBRE 2026'!D7&lt;&gt;"",'DICIEMBRE 2026'!Z7="POR RECOGER"),'DICIEMBRE 2026'!N7,"")</f>
        <v/>
      </c>
      <c r="I1158" s="381">
        <f>IF(AND('DICIEMBRE 2026'!D7&lt;&gt;"",'DICIEMBRE 2026'!Z7="POR RECOGER"),'DICIEMBRE 2026'!P7,"")</f>
        <v/>
      </c>
      <c r="J1158" s="381">
        <f>IF(AND('DICIEMBRE 2026'!D7&lt;&gt;"",'DICIEMBRE 2026'!Z7="POR RECOGER"),'DICIEMBRE 2026'!Q7,"")</f>
        <v/>
      </c>
      <c r="K1158" s="381">
        <f>IF(AND('DICIEMBRE 2026'!D7&lt;&gt;"",'DICIEMBRE 2026'!Z7="POR RECOGER"),'DICIEMBRE 2026'!Y7,"")</f>
        <v/>
      </c>
      <c r="L1158" s="381">
        <f>IF(AND('DICIEMBRE 2026'!D7&lt;&gt;"",'DICIEMBRE 2026'!Z7="POR RECOGER"),'DICIEMBRE 2026'!I7,"")</f>
        <v/>
      </c>
      <c r="P1158" s="194" t="n"/>
      <c r="Q1158" s="194" t="n"/>
      <c r="R1158" s="194" t="n"/>
      <c r="S1158" s="194" t="n"/>
      <c r="T1158" s="194" t="n"/>
      <c r="U1158" s="194" t="n"/>
      <c r="V1158" s="194" t="n"/>
      <c r="W1158" s="194" t="n"/>
      <c r="X1158" s="194" t="n"/>
      <c r="Y1158" s="194" t="n"/>
      <c r="Z1158" s="194" t="n"/>
    </row>
    <row r="1159" ht="15" customHeight="1" s="195">
      <c r="A1159" s="381">
        <f>IF(AND('DICIEMBRE 2026'!D8&lt;&gt;"",'DICIEMBRE 2026'!Z8="POR RECOGER"),"DIC","")</f>
        <v/>
      </c>
      <c r="B1159" s="381">
        <f>IF(AND('DICIEMBRE 2026'!D8&lt;&gt;"",'DICIEMBRE 2026'!Z8="POR RECOGER"),IF('DICIEMBRE 2026'!Y8&lt;&gt;"",'DICIEMBRE 2026'!Y8,'DICIEMBRE 2026'!I8),"")</f>
        <v/>
      </c>
      <c r="C1159" s="381">
        <f>IF(AND('DICIEMBRE 2026'!D8&lt;&gt;"",'DICIEMBRE 2026'!Z8="POR RECOGER"),'DICIEMBRE 2026'!D8,"")</f>
        <v/>
      </c>
      <c r="D1159" s="381">
        <f>IF(AND('DICIEMBRE 2026'!D8&lt;&gt;"",'DICIEMBRE 2026'!Z8="POR RECOGER"),'DICIEMBRE 2026'!F8,"")</f>
        <v/>
      </c>
      <c r="E1159" s="381">
        <f>IF(AND('DICIEMBRE 2026'!D8&lt;&gt;"",'DICIEMBRE 2026'!Z8="POR RECOGER"),TEXT('DICIEMBRE 2026'!G8,"DD/MM/YYYY"),"")</f>
        <v/>
      </c>
      <c r="F1159" s="381">
        <f>IF(AND('DICIEMBRE 2026'!D8&lt;&gt;"",'DICIEMBRE 2026'!Z8="POR RECOGER"),'DICIEMBRE 2026'!K8,"")</f>
        <v/>
      </c>
      <c r="G1159" s="382">
        <f>IF(AND('DICIEMBRE 2026'!D8&lt;&gt;"",'DICIEMBRE 2026'!Z8="POR RECOGER"),'DICIEMBRE 2026'!M8,"")</f>
        <v/>
      </c>
      <c r="H1159" s="382">
        <f>IF(AND('DICIEMBRE 2026'!D8&lt;&gt;"",'DICIEMBRE 2026'!Z8="POR RECOGER"),'DICIEMBRE 2026'!N8,"")</f>
        <v/>
      </c>
      <c r="I1159" s="381">
        <f>IF(AND('DICIEMBRE 2026'!D8&lt;&gt;"",'DICIEMBRE 2026'!Z8="POR RECOGER"),'DICIEMBRE 2026'!P8,"")</f>
        <v/>
      </c>
      <c r="J1159" s="381">
        <f>IF(AND('DICIEMBRE 2026'!D8&lt;&gt;"",'DICIEMBRE 2026'!Z8="POR RECOGER"),'DICIEMBRE 2026'!Q8,"")</f>
        <v/>
      </c>
      <c r="K1159" s="381">
        <f>IF(AND('DICIEMBRE 2026'!D8&lt;&gt;"",'DICIEMBRE 2026'!Z8="POR RECOGER"),'DICIEMBRE 2026'!Y8,"")</f>
        <v/>
      </c>
      <c r="L1159" s="381">
        <f>IF(AND('DICIEMBRE 2026'!D8&lt;&gt;"",'DICIEMBRE 2026'!Z8="POR RECOGER"),'DICIEMBRE 2026'!I8,"")</f>
        <v/>
      </c>
      <c r="P1159" s="194" t="n"/>
      <c r="Q1159" s="194" t="n"/>
      <c r="R1159" s="194" t="n"/>
      <c r="S1159" s="194" t="n"/>
      <c r="T1159" s="194" t="n"/>
      <c r="U1159" s="194" t="n"/>
      <c r="V1159" s="194" t="n"/>
      <c r="W1159" s="194" t="n"/>
      <c r="X1159" s="194" t="n"/>
      <c r="Y1159" s="194" t="n"/>
      <c r="Z1159" s="194" t="n"/>
    </row>
    <row r="1160" ht="15" customHeight="1" s="195">
      <c r="A1160" s="381">
        <f>IF(AND('DICIEMBRE 2026'!D9&lt;&gt;"",'DICIEMBRE 2026'!Z9="POR RECOGER"),"DIC","")</f>
        <v/>
      </c>
      <c r="B1160" s="381">
        <f>IF(AND('DICIEMBRE 2026'!D9&lt;&gt;"",'DICIEMBRE 2026'!Z9="POR RECOGER"),IF('DICIEMBRE 2026'!Y9&lt;&gt;"",'DICIEMBRE 2026'!Y9,'DICIEMBRE 2026'!I9),"")</f>
        <v/>
      </c>
      <c r="C1160" s="381">
        <f>IF(AND('DICIEMBRE 2026'!D9&lt;&gt;"",'DICIEMBRE 2026'!Z9="POR RECOGER"),'DICIEMBRE 2026'!D9,"")</f>
        <v/>
      </c>
      <c r="D1160" s="381">
        <f>IF(AND('DICIEMBRE 2026'!D9&lt;&gt;"",'DICIEMBRE 2026'!Z9="POR RECOGER"),'DICIEMBRE 2026'!F9,"")</f>
        <v/>
      </c>
      <c r="E1160" s="381">
        <f>IF(AND('DICIEMBRE 2026'!D9&lt;&gt;"",'DICIEMBRE 2026'!Z9="POR RECOGER"),TEXT('DICIEMBRE 2026'!G9,"DD/MM/YYYY"),"")</f>
        <v/>
      </c>
      <c r="F1160" s="381">
        <f>IF(AND('DICIEMBRE 2026'!D9&lt;&gt;"",'DICIEMBRE 2026'!Z9="POR RECOGER"),'DICIEMBRE 2026'!K9,"")</f>
        <v/>
      </c>
      <c r="G1160" s="382">
        <f>IF(AND('DICIEMBRE 2026'!D9&lt;&gt;"",'DICIEMBRE 2026'!Z9="POR RECOGER"),'DICIEMBRE 2026'!M9,"")</f>
        <v/>
      </c>
      <c r="H1160" s="382">
        <f>IF(AND('DICIEMBRE 2026'!D9&lt;&gt;"",'DICIEMBRE 2026'!Z9="POR RECOGER"),'DICIEMBRE 2026'!N9,"")</f>
        <v/>
      </c>
      <c r="I1160" s="381">
        <f>IF(AND('DICIEMBRE 2026'!D9&lt;&gt;"",'DICIEMBRE 2026'!Z9="POR RECOGER"),'DICIEMBRE 2026'!P9,"")</f>
        <v/>
      </c>
      <c r="J1160" s="381">
        <f>IF(AND('DICIEMBRE 2026'!D9&lt;&gt;"",'DICIEMBRE 2026'!Z9="POR RECOGER"),'DICIEMBRE 2026'!Q9,"")</f>
        <v/>
      </c>
      <c r="K1160" s="381">
        <f>IF(AND('DICIEMBRE 2026'!D9&lt;&gt;"",'DICIEMBRE 2026'!Z9="POR RECOGER"),'DICIEMBRE 2026'!Y9,"")</f>
        <v/>
      </c>
      <c r="L1160" s="381">
        <f>IF(AND('DICIEMBRE 2026'!D9&lt;&gt;"",'DICIEMBRE 2026'!Z9="POR RECOGER"),'DICIEMBRE 2026'!I9,"")</f>
        <v/>
      </c>
      <c r="P1160" s="194" t="n"/>
      <c r="Q1160" s="194" t="n"/>
      <c r="R1160" s="194" t="n"/>
      <c r="S1160" s="194" t="n"/>
      <c r="T1160" s="194" t="n"/>
      <c r="U1160" s="194" t="n"/>
      <c r="V1160" s="194" t="n"/>
      <c r="W1160" s="194" t="n"/>
      <c r="X1160" s="194" t="n"/>
      <c r="Y1160" s="194" t="n"/>
      <c r="Z1160" s="194" t="n"/>
    </row>
    <row r="1161" ht="15" customHeight="1" s="195">
      <c r="A1161" s="381">
        <f>IF(AND('DICIEMBRE 2026'!D10&lt;&gt;"",'DICIEMBRE 2026'!Z10="POR RECOGER"),"DIC","")</f>
        <v/>
      </c>
      <c r="B1161" s="381">
        <f>IF(AND('DICIEMBRE 2026'!D10&lt;&gt;"",'DICIEMBRE 2026'!Z10="POR RECOGER"),IF('DICIEMBRE 2026'!Y10&lt;&gt;"",'DICIEMBRE 2026'!Y10,'DICIEMBRE 2026'!I10),"")</f>
        <v/>
      </c>
      <c r="C1161" s="381">
        <f>IF(AND('DICIEMBRE 2026'!D10&lt;&gt;"",'DICIEMBRE 2026'!Z10="POR RECOGER"),'DICIEMBRE 2026'!D10,"")</f>
        <v/>
      </c>
      <c r="D1161" s="381">
        <f>IF(AND('DICIEMBRE 2026'!D10&lt;&gt;"",'DICIEMBRE 2026'!Z10="POR RECOGER"),'DICIEMBRE 2026'!F10,"")</f>
        <v/>
      </c>
      <c r="E1161" s="381">
        <f>IF(AND('DICIEMBRE 2026'!D10&lt;&gt;"",'DICIEMBRE 2026'!Z10="POR RECOGER"),TEXT('DICIEMBRE 2026'!G10,"DD/MM/YYYY"),"")</f>
        <v/>
      </c>
      <c r="F1161" s="381">
        <f>IF(AND('DICIEMBRE 2026'!D10&lt;&gt;"",'DICIEMBRE 2026'!Z10="POR RECOGER"),'DICIEMBRE 2026'!K10,"")</f>
        <v/>
      </c>
      <c r="G1161" s="382">
        <f>IF(AND('DICIEMBRE 2026'!D10&lt;&gt;"",'DICIEMBRE 2026'!Z10="POR RECOGER"),'DICIEMBRE 2026'!M10,"")</f>
        <v/>
      </c>
      <c r="H1161" s="382">
        <f>IF(AND('DICIEMBRE 2026'!D10&lt;&gt;"",'DICIEMBRE 2026'!Z10="POR RECOGER"),'DICIEMBRE 2026'!N10,"")</f>
        <v/>
      </c>
      <c r="I1161" s="381">
        <f>IF(AND('DICIEMBRE 2026'!D10&lt;&gt;"",'DICIEMBRE 2026'!Z10="POR RECOGER"),'DICIEMBRE 2026'!P10,"")</f>
        <v/>
      </c>
      <c r="J1161" s="381">
        <f>IF(AND('DICIEMBRE 2026'!D10&lt;&gt;"",'DICIEMBRE 2026'!Z10="POR RECOGER"),'DICIEMBRE 2026'!Q10,"")</f>
        <v/>
      </c>
      <c r="K1161" s="381">
        <f>IF(AND('DICIEMBRE 2026'!D10&lt;&gt;"",'DICIEMBRE 2026'!Z10="POR RECOGER"),'DICIEMBRE 2026'!Y10,"")</f>
        <v/>
      </c>
      <c r="L1161" s="381">
        <f>IF(AND('DICIEMBRE 2026'!D10&lt;&gt;"",'DICIEMBRE 2026'!Z10="POR RECOGER"),'DICIEMBRE 2026'!I10,"")</f>
        <v/>
      </c>
      <c r="P1161" s="194" t="n"/>
      <c r="Q1161" s="194" t="n"/>
      <c r="R1161" s="194" t="n"/>
      <c r="S1161" s="194" t="n"/>
      <c r="T1161" s="194" t="n"/>
      <c r="U1161" s="194" t="n"/>
      <c r="V1161" s="194" t="n"/>
      <c r="W1161" s="194" t="n"/>
      <c r="X1161" s="194" t="n"/>
      <c r="Y1161" s="194" t="n"/>
      <c r="Z1161" s="194" t="n"/>
    </row>
    <row r="1162" ht="15" customHeight="1" s="195">
      <c r="A1162" s="381">
        <f>IF(AND('DICIEMBRE 2026'!D11&lt;&gt;"",'DICIEMBRE 2026'!Z11="POR RECOGER"),"DIC","")</f>
        <v/>
      </c>
      <c r="B1162" s="381">
        <f>IF(AND('DICIEMBRE 2026'!D11&lt;&gt;"",'DICIEMBRE 2026'!Z11="POR RECOGER"),IF('DICIEMBRE 2026'!Y11&lt;&gt;"",'DICIEMBRE 2026'!Y11,'DICIEMBRE 2026'!I11),"")</f>
        <v/>
      </c>
      <c r="C1162" s="381">
        <f>IF(AND('DICIEMBRE 2026'!D11&lt;&gt;"",'DICIEMBRE 2026'!Z11="POR RECOGER"),'DICIEMBRE 2026'!D11,"")</f>
        <v/>
      </c>
      <c r="D1162" s="381">
        <f>IF(AND('DICIEMBRE 2026'!D11&lt;&gt;"",'DICIEMBRE 2026'!Z11="POR RECOGER"),'DICIEMBRE 2026'!F11,"")</f>
        <v/>
      </c>
      <c r="E1162" s="381">
        <f>IF(AND('DICIEMBRE 2026'!D11&lt;&gt;"",'DICIEMBRE 2026'!Z11="POR RECOGER"),TEXT('DICIEMBRE 2026'!G11,"DD/MM/YYYY"),"")</f>
        <v/>
      </c>
      <c r="F1162" s="381">
        <f>IF(AND('DICIEMBRE 2026'!D11&lt;&gt;"",'DICIEMBRE 2026'!Z11="POR RECOGER"),'DICIEMBRE 2026'!K11,"")</f>
        <v/>
      </c>
      <c r="G1162" s="382">
        <f>IF(AND('DICIEMBRE 2026'!D11&lt;&gt;"",'DICIEMBRE 2026'!Z11="POR RECOGER"),'DICIEMBRE 2026'!M11,"")</f>
        <v/>
      </c>
      <c r="H1162" s="382">
        <f>IF(AND('DICIEMBRE 2026'!D11&lt;&gt;"",'DICIEMBRE 2026'!Z11="POR RECOGER"),'DICIEMBRE 2026'!N11,"")</f>
        <v/>
      </c>
      <c r="I1162" s="381">
        <f>IF(AND('DICIEMBRE 2026'!D11&lt;&gt;"",'DICIEMBRE 2026'!Z11="POR RECOGER"),'DICIEMBRE 2026'!P11,"")</f>
        <v/>
      </c>
      <c r="J1162" s="381">
        <f>IF(AND('DICIEMBRE 2026'!D11&lt;&gt;"",'DICIEMBRE 2026'!Z11="POR RECOGER"),'DICIEMBRE 2026'!Q11,"")</f>
        <v/>
      </c>
      <c r="K1162" s="381">
        <f>IF(AND('DICIEMBRE 2026'!D11&lt;&gt;"",'DICIEMBRE 2026'!Z11="POR RECOGER"),'DICIEMBRE 2026'!Y11,"")</f>
        <v/>
      </c>
      <c r="L1162" s="381">
        <f>IF(AND('DICIEMBRE 2026'!D11&lt;&gt;"",'DICIEMBRE 2026'!Z11="POR RECOGER"),'DICIEMBRE 2026'!I11,"")</f>
        <v/>
      </c>
      <c r="P1162" s="194" t="n"/>
      <c r="Q1162" s="194" t="n"/>
      <c r="R1162" s="194" t="n"/>
      <c r="S1162" s="194" t="n"/>
      <c r="T1162" s="194" t="n"/>
      <c r="U1162" s="194" t="n"/>
      <c r="V1162" s="194" t="n"/>
      <c r="W1162" s="194" t="n"/>
      <c r="X1162" s="194" t="n"/>
      <c r="Y1162" s="194" t="n"/>
      <c r="Z1162" s="194" t="n"/>
    </row>
    <row r="1163" ht="15" customHeight="1" s="195">
      <c r="A1163" s="381">
        <f>IF(AND('DICIEMBRE 2026'!D12&lt;&gt;"",'DICIEMBRE 2026'!Z12="POR RECOGER"),"DIC","")</f>
        <v/>
      </c>
      <c r="B1163" s="381">
        <f>IF(AND('DICIEMBRE 2026'!D12&lt;&gt;"",'DICIEMBRE 2026'!Z12="POR RECOGER"),IF('DICIEMBRE 2026'!Y12&lt;&gt;"",'DICIEMBRE 2026'!Y12,'DICIEMBRE 2026'!I12),"")</f>
        <v/>
      </c>
      <c r="C1163" s="381">
        <f>IF(AND('DICIEMBRE 2026'!D12&lt;&gt;"",'DICIEMBRE 2026'!Z12="POR RECOGER"),'DICIEMBRE 2026'!D12,"")</f>
        <v/>
      </c>
      <c r="D1163" s="381">
        <f>IF(AND('DICIEMBRE 2026'!D12&lt;&gt;"",'DICIEMBRE 2026'!Z12="POR RECOGER"),'DICIEMBRE 2026'!F12,"")</f>
        <v/>
      </c>
      <c r="E1163" s="381">
        <f>IF(AND('DICIEMBRE 2026'!D12&lt;&gt;"",'DICIEMBRE 2026'!Z12="POR RECOGER"),TEXT('DICIEMBRE 2026'!G12,"DD/MM/YYYY"),"")</f>
        <v/>
      </c>
      <c r="F1163" s="381">
        <f>IF(AND('DICIEMBRE 2026'!D12&lt;&gt;"",'DICIEMBRE 2026'!Z12="POR RECOGER"),'DICIEMBRE 2026'!K12,"")</f>
        <v/>
      </c>
      <c r="G1163" s="382">
        <f>IF(AND('DICIEMBRE 2026'!D12&lt;&gt;"",'DICIEMBRE 2026'!Z12="POR RECOGER"),'DICIEMBRE 2026'!M12,"")</f>
        <v/>
      </c>
      <c r="H1163" s="382">
        <f>IF(AND('DICIEMBRE 2026'!D12&lt;&gt;"",'DICIEMBRE 2026'!Z12="POR RECOGER"),'DICIEMBRE 2026'!N12,"")</f>
        <v/>
      </c>
      <c r="I1163" s="381">
        <f>IF(AND('DICIEMBRE 2026'!D12&lt;&gt;"",'DICIEMBRE 2026'!Z12="POR RECOGER"),'DICIEMBRE 2026'!P12,"")</f>
        <v/>
      </c>
      <c r="J1163" s="381">
        <f>IF(AND('DICIEMBRE 2026'!D12&lt;&gt;"",'DICIEMBRE 2026'!Z12="POR RECOGER"),'DICIEMBRE 2026'!Q12,"")</f>
        <v/>
      </c>
      <c r="K1163" s="381">
        <f>IF(AND('DICIEMBRE 2026'!D12&lt;&gt;"",'DICIEMBRE 2026'!Z12="POR RECOGER"),'DICIEMBRE 2026'!Y12,"")</f>
        <v/>
      </c>
      <c r="L1163" s="381">
        <f>IF(AND('DICIEMBRE 2026'!D12&lt;&gt;"",'DICIEMBRE 2026'!Z12="POR RECOGER"),'DICIEMBRE 2026'!I12,"")</f>
        <v/>
      </c>
      <c r="P1163" s="194" t="n"/>
      <c r="Q1163" s="194" t="n"/>
      <c r="R1163" s="194" t="n"/>
      <c r="S1163" s="194" t="n"/>
      <c r="T1163" s="194" t="n"/>
      <c r="U1163" s="194" t="n"/>
      <c r="V1163" s="194" t="n"/>
      <c r="W1163" s="194" t="n"/>
      <c r="X1163" s="194" t="n"/>
      <c r="Y1163" s="194" t="n"/>
      <c r="Z1163" s="194" t="n"/>
    </row>
    <row r="1164" ht="15" customHeight="1" s="195">
      <c r="A1164" s="381">
        <f>IF(AND('DICIEMBRE 2026'!D13&lt;&gt;"",'DICIEMBRE 2026'!Z13="POR RECOGER"),"DIC","")</f>
        <v/>
      </c>
      <c r="B1164" s="381">
        <f>IF(AND('DICIEMBRE 2026'!D13&lt;&gt;"",'DICIEMBRE 2026'!Z13="POR RECOGER"),IF('DICIEMBRE 2026'!Y13&lt;&gt;"",'DICIEMBRE 2026'!Y13,'DICIEMBRE 2026'!I13),"")</f>
        <v/>
      </c>
      <c r="C1164" s="381">
        <f>IF(AND('DICIEMBRE 2026'!D13&lt;&gt;"",'DICIEMBRE 2026'!Z13="POR RECOGER"),'DICIEMBRE 2026'!D13,"")</f>
        <v/>
      </c>
      <c r="D1164" s="381">
        <f>IF(AND('DICIEMBRE 2026'!D13&lt;&gt;"",'DICIEMBRE 2026'!Z13="POR RECOGER"),'DICIEMBRE 2026'!F13,"")</f>
        <v/>
      </c>
      <c r="E1164" s="381">
        <f>IF(AND('DICIEMBRE 2026'!D13&lt;&gt;"",'DICIEMBRE 2026'!Z13="POR RECOGER"),TEXT('DICIEMBRE 2026'!G13,"DD/MM/YYYY"),"")</f>
        <v/>
      </c>
      <c r="F1164" s="381">
        <f>IF(AND('DICIEMBRE 2026'!D13&lt;&gt;"",'DICIEMBRE 2026'!Z13="POR RECOGER"),'DICIEMBRE 2026'!K13,"")</f>
        <v/>
      </c>
      <c r="G1164" s="382">
        <f>IF(AND('DICIEMBRE 2026'!D13&lt;&gt;"",'DICIEMBRE 2026'!Z13="POR RECOGER"),'DICIEMBRE 2026'!M13,"")</f>
        <v/>
      </c>
      <c r="H1164" s="382">
        <f>IF(AND('DICIEMBRE 2026'!D13&lt;&gt;"",'DICIEMBRE 2026'!Z13="POR RECOGER"),'DICIEMBRE 2026'!N13,"")</f>
        <v/>
      </c>
      <c r="I1164" s="381">
        <f>IF(AND('DICIEMBRE 2026'!D13&lt;&gt;"",'DICIEMBRE 2026'!Z13="POR RECOGER"),'DICIEMBRE 2026'!P13,"")</f>
        <v/>
      </c>
      <c r="J1164" s="381">
        <f>IF(AND('DICIEMBRE 2026'!D13&lt;&gt;"",'DICIEMBRE 2026'!Z13="POR RECOGER"),'DICIEMBRE 2026'!Q13,"")</f>
        <v/>
      </c>
      <c r="K1164" s="381">
        <f>IF(AND('DICIEMBRE 2026'!D13&lt;&gt;"",'DICIEMBRE 2026'!Z13="POR RECOGER"),'DICIEMBRE 2026'!Y13,"")</f>
        <v/>
      </c>
      <c r="L1164" s="381">
        <f>IF(AND('DICIEMBRE 2026'!D13&lt;&gt;"",'DICIEMBRE 2026'!Z13="POR RECOGER"),'DICIEMBRE 2026'!I13,"")</f>
        <v/>
      </c>
      <c r="P1164" s="194" t="n"/>
      <c r="Q1164" s="194" t="n"/>
      <c r="R1164" s="194" t="n"/>
      <c r="S1164" s="194" t="n"/>
      <c r="T1164" s="194" t="n"/>
      <c r="U1164" s="194" t="n"/>
      <c r="V1164" s="194" t="n"/>
      <c r="W1164" s="194" t="n"/>
      <c r="X1164" s="194" t="n"/>
      <c r="Y1164" s="194" t="n"/>
      <c r="Z1164" s="194" t="n"/>
    </row>
    <row r="1165" ht="15" customHeight="1" s="195">
      <c r="A1165" s="381">
        <f>IF(AND('DICIEMBRE 2026'!D14&lt;&gt;"",'DICIEMBRE 2026'!Z14="POR RECOGER"),"DIC","")</f>
        <v/>
      </c>
      <c r="B1165" s="381">
        <f>IF(AND('DICIEMBRE 2026'!D14&lt;&gt;"",'DICIEMBRE 2026'!Z14="POR RECOGER"),IF('DICIEMBRE 2026'!Y14&lt;&gt;"",'DICIEMBRE 2026'!Y14,'DICIEMBRE 2026'!I14),"")</f>
        <v/>
      </c>
      <c r="C1165" s="381">
        <f>IF(AND('DICIEMBRE 2026'!D14&lt;&gt;"",'DICIEMBRE 2026'!Z14="POR RECOGER"),'DICIEMBRE 2026'!D14,"")</f>
        <v/>
      </c>
      <c r="D1165" s="381">
        <f>IF(AND('DICIEMBRE 2026'!D14&lt;&gt;"",'DICIEMBRE 2026'!Z14="POR RECOGER"),'DICIEMBRE 2026'!F14,"")</f>
        <v/>
      </c>
      <c r="E1165" s="381">
        <f>IF(AND('DICIEMBRE 2026'!D14&lt;&gt;"",'DICIEMBRE 2026'!Z14="POR RECOGER"),TEXT('DICIEMBRE 2026'!G14,"DD/MM/YYYY"),"")</f>
        <v/>
      </c>
      <c r="F1165" s="381">
        <f>IF(AND('DICIEMBRE 2026'!D14&lt;&gt;"",'DICIEMBRE 2026'!Z14="POR RECOGER"),'DICIEMBRE 2026'!K14,"")</f>
        <v/>
      </c>
      <c r="G1165" s="382">
        <f>IF(AND('DICIEMBRE 2026'!D14&lt;&gt;"",'DICIEMBRE 2026'!Z14="POR RECOGER"),'DICIEMBRE 2026'!M14,"")</f>
        <v/>
      </c>
      <c r="H1165" s="382">
        <f>IF(AND('DICIEMBRE 2026'!D14&lt;&gt;"",'DICIEMBRE 2026'!Z14="POR RECOGER"),'DICIEMBRE 2026'!N14,"")</f>
        <v/>
      </c>
      <c r="I1165" s="381">
        <f>IF(AND('DICIEMBRE 2026'!D14&lt;&gt;"",'DICIEMBRE 2026'!Z14="POR RECOGER"),'DICIEMBRE 2026'!P14,"")</f>
        <v/>
      </c>
      <c r="J1165" s="381">
        <f>IF(AND('DICIEMBRE 2026'!D14&lt;&gt;"",'DICIEMBRE 2026'!Z14="POR RECOGER"),'DICIEMBRE 2026'!Q14,"")</f>
        <v/>
      </c>
      <c r="K1165" s="381">
        <f>IF(AND('DICIEMBRE 2026'!D14&lt;&gt;"",'DICIEMBRE 2026'!Z14="POR RECOGER"),'DICIEMBRE 2026'!Y14,"")</f>
        <v/>
      </c>
      <c r="L1165" s="381">
        <f>IF(AND('DICIEMBRE 2026'!D14&lt;&gt;"",'DICIEMBRE 2026'!Z14="POR RECOGER"),'DICIEMBRE 2026'!I14,"")</f>
        <v/>
      </c>
      <c r="P1165" s="194" t="n"/>
      <c r="Q1165" s="194" t="n"/>
      <c r="R1165" s="194" t="n"/>
      <c r="S1165" s="194" t="n"/>
      <c r="T1165" s="194" t="n"/>
      <c r="U1165" s="194" t="n"/>
      <c r="V1165" s="194" t="n"/>
      <c r="W1165" s="194" t="n"/>
      <c r="X1165" s="194" t="n"/>
      <c r="Y1165" s="194" t="n"/>
      <c r="Z1165" s="194" t="n"/>
    </row>
    <row r="1166" ht="15" customHeight="1" s="195">
      <c r="A1166" s="381">
        <f>IF(AND('DICIEMBRE 2026'!D15&lt;&gt;"",'DICIEMBRE 2026'!Z15="POR RECOGER"),"DIC","")</f>
        <v/>
      </c>
      <c r="B1166" s="381">
        <f>IF(AND('DICIEMBRE 2026'!D15&lt;&gt;"",'DICIEMBRE 2026'!Z15="POR RECOGER"),IF('DICIEMBRE 2026'!Y15&lt;&gt;"",'DICIEMBRE 2026'!Y15,'DICIEMBRE 2026'!I15),"")</f>
        <v/>
      </c>
      <c r="C1166" s="381">
        <f>IF(AND('DICIEMBRE 2026'!D15&lt;&gt;"",'DICIEMBRE 2026'!Z15="POR RECOGER"),'DICIEMBRE 2026'!D15,"")</f>
        <v/>
      </c>
      <c r="D1166" s="381">
        <f>IF(AND('DICIEMBRE 2026'!D15&lt;&gt;"",'DICIEMBRE 2026'!Z15="POR RECOGER"),'DICIEMBRE 2026'!F15,"")</f>
        <v/>
      </c>
      <c r="E1166" s="381">
        <f>IF(AND('DICIEMBRE 2026'!D15&lt;&gt;"",'DICIEMBRE 2026'!Z15="POR RECOGER"),TEXT('DICIEMBRE 2026'!G15,"DD/MM/YYYY"),"")</f>
        <v/>
      </c>
      <c r="F1166" s="381">
        <f>IF(AND('DICIEMBRE 2026'!D15&lt;&gt;"",'DICIEMBRE 2026'!Z15="POR RECOGER"),'DICIEMBRE 2026'!K15,"")</f>
        <v/>
      </c>
      <c r="G1166" s="382">
        <f>IF(AND('DICIEMBRE 2026'!D15&lt;&gt;"",'DICIEMBRE 2026'!Z15="POR RECOGER"),'DICIEMBRE 2026'!M15,"")</f>
        <v/>
      </c>
      <c r="H1166" s="382">
        <f>IF(AND('DICIEMBRE 2026'!D15&lt;&gt;"",'DICIEMBRE 2026'!Z15="POR RECOGER"),'DICIEMBRE 2026'!N15,"")</f>
        <v/>
      </c>
      <c r="I1166" s="381">
        <f>IF(AND('DICIEMBRE 2026'!D15&lt;&gt;"",'DICIEMBRE 2026'!Z15="POR RECOGER"),'DICIEMBRE 2026'!P15,"")</f>
        <v/>
      </c>
      <c r="J1166" s="381">
        <f>IF(AND('DICIEMBRE 2026'!D15&lt;&gt;"",'DICIEMBRE 2026'!Z15="POR RECOGER"),'DICIEMBRE 2026'!Q15,"")</f>
        <v/>
      </c>
      <c r="K1166" s="381">
        <f>IF(AND('DICIEMBRE 2026'!D15&lt;&gt;"",'DICIEMBRE 2026'!Z15="POR RECOGER"),'DICIEMBRE 2026'!Y15,"")</f>
        <v/>
      </c>
      <c r="L1166" s="381">
        <f>IF(AND('DICIEMBRE 2026'!D15&lt;&gt;"",'DICIEMBRE 2026'!Z15="POR RECOGER"),'DICIEMBRE 2026'!I15,"")</f>
        <v/>
      </c>
      <c r="P1166" s="194" t="n"/>
      <c r="Q1166" s="194" t="n"/>
      <c r="R1166" s="194" t="n"/>
      <c r="S1166" s="194" t="n"/>
      <c r="T1166" s="194" t="n"/>
      <c r="U1166" s="194" t="n"/>
      <c r="V1166" s="194" t="n"/>
      <c r="W1166" s="194" t="n"/>
      <c r="X1166" s="194" t="n"/>
      <c r="Y1166" s="194" t="n"/>
      <c r="Z1166" s="194" t="n"/>
    </row>
    <row r="1167" ht="15" customHeight="1" s="195">
      <c r="A1167" s="381">
        <f>IF(AND('DICIEMBRE 2026'!D16&lt;&gt;"",'DICIEMBRE 2026'!Z16="POR RECOGER"),"DIC","")</f>
        <v/>
      </c>
      <c r="B1167" s="381">
        <f>IF(AND('DICIEMBRE 2026'!D16&lt;&gt;"",'DICIEMBRE 2026'!Z16="POR RECOGER"),IF('DICIEMBRE 2026'!Y16&lt;&gt;"",'DICIEMBRE 2026'!Y16,'DICIEMBRE 2026'!I16),"")</f>
        <v/>
      </c>
      <c r="C1167" s="381">
        <f>IF(AND('DICIEMBRE 2026'!D16&lt;&gt;"",'DICIEMBRE 2026'!Z16="POR RECOGER"),'DICIEMBRE 2026'!D16,"")</f>
        <v/>
      </c>
      <c r="D1167" s="381">
        <f>IF(AND('DICIEMBRE 2026'!D16&lt;&gt;"",'DICIEMBRE 2026'!Z16="POR RECOGER"),'DICIEMBRE 2026'!F16,"")</f>
        <v/>
      </c>
      <c r="E1167" s="381">
        <f>IF(AND('DICIEMBRE 2026'!D16&lt;&gt;"",'DICIEMBRE 2026'!Z16="POR RECOGER"),TEXT('DICIEMBRE 2026'!G16,"DD/MM/YYYY"),"")</f>
        <v/>
      </c>
      <c r="F1167" s="381">
        <f>IF(AND('DICIEMBRE 2026'!D16&lt;&gt;"",'DICIEMBRE 2026'!Z16="POR RECOGER"),'DICIEMBRE 2026'!K16,"")</f>
        <v/>
      </c>
      <c r="G1167" s="382">
        <f>IF(AND('DICIEMBRE 2026'!D16&lt;&gt;"",'DICIEMBRE 2026'!Z16="POR RECOGER"),'DICIEMBRE 2026'!M16,"")</f>
        <v/>
      </c>
      <c r="H1167" s="382">
        <f>IF(AND('DICIEMBRE 2026'!D16&lt;&gt;"",'DICIEMBRE 2026'!Z16="POR RECOGER"),'DICIEMBRE 2026'!N16,"")</f>
        <v/>
      </c>
      <c r="I1167" s="381">
        <f>IF(AND('DICIEMBRE 2026'!D16&lt;&gt;"",'DICIEMBRE 2026'!Z16="POR RECOGER"),'DICIEMBRE 2026'!P16,"")</f>
        <v/>
      </c>
      <c r="J1167" s="381">
        <f>IF(AND('DICIEMBRE 2026'!D16&lt;&gt;"",'DICIEMBRE 2026'!Z16="POR RECOGER"),'DICIEMBRE 2026'!Q16,"")</f>
        <v/>
      </c>
      <c r="K1167" s="381">
        <f>IF(AND('DICIEMBRE 2026'!D16&lt;&gt;"",'DICIEMBRE 2026'!Z16="POR RECOGER"),'DICIEMBRE 2026'!Y16,"")</f>
        <v/>
      </c>
      <c r="L1167" s="381">
        <f>IF(AND('DICIEMBRE 2026'!D16&lt;&gt;"",'DICIEMBRE 2026'!Z16="POR RECOGER"),'DICIEMBRE 2026'!I16,"")</f>
        <v/>
      </c>
      <c r="P1167" s="194" t="n"/>
      <c r="Q1167" s="194" t="n"/>
      <c r="R1167" s="194" t="n"/>
      <c r="S1167" s="194" t="n"/>
      <c r="T1167" s="194" t="n"/>
      <c r="U1167" s="194" t="n"/>
      <c r="V1167" s="194" t="n"/>
      <c r="W1167" s="194" t="n"/>
      <c r="X1167" s="194" t="n"/>
      <c r="Y1167" s="194" t="n"/>
      <c r="Z1167" s="194" t="n"/>
    </row>
    <row r="1168" ht="15" customHeight="1" s="195">
      <c r="A1168" s="381">
        <f>IF(AND('DICIEMBRE 2026'!D17&lt;&gt;"",'DICIEMBRE 2026'!Z17="POR RECOGER"),"DIC","")</f>
        <v/>
      </c>
      <c r="B1168" s="381">
        <f>IF(AND('DICIEMBRE 2026'!D17&lt;&gt;"",'DICIEMBRE 2026'!Z17="POR RECOGER"),IF('DICIEMBRE 2026'!Y17&lt;&gt;"",'DICIEMBRE 2026'!Y17,'DICIEMBRE 2026'!I17),"")</f>
        <v/>
      </c>
      <c r="C1168" s="381">
        <f>IF(AND('DICIEMBRE 2026'!D17&lt;&gt;"",'DICIEMBRE 2026'!Z17="POR RECOGER"),'DICIEMBRE 2026'!D17,"")</f>
        <v/>
      </c>
      <c r="D1168" s="381">
        <f>IF(AND('DICIEMBRE 2026'!D17&lt;&gt;"",'DICIEMBRE 2026'!Z17="POR RECOGER"),'DICIEMBRE 2026'!F17,"")</f>
        <v/>
      </c>
      <c r="E1168" s="381">
        <f>IF(AND('DICIEMBRE 2026'!D17&lt;&gt;"",'DICIEMBRE 2026'!Z17="POR RECOGER"),TEXT('DICIEMBRE 2026'!G17,"DD/MM/YYYY"),"")</f>
        <v/>
      </c>
      <c r="F1168" s="381">
        <f>IF(AND('DICIEMBRE 2026'!D17&lt;&gt;"",'DICIEMBRE 2026'!Z17="POR RECOGER"),'DICIEMBRE 2026'!K17,"")</f>
        <v/>
      </c>
      <c r="G1168" s="382">
        <f>IF(AND('DICIEMBRE 2026'!D17&lt;&gt;"",'DICIEMBRE 2026'!Z17="POR RECOGER"),'DICIEMBRE 2026'!M17,"")</f>
        <v/>
      </c>
      <c r="H1168" s="382">
        <f>IF(AND('DICIEMBRE 2026'!D17&lt;&gt;"",'DICIEMBRE 2026'!Z17="POR RECOGER"),'DICIEMBRE 2026'!N17,"")</f>
        <v/>
      </c>
      <c r="I1168" s="381">
        <f>IF(AND('DICIEMBRE 2026'!D17&lt;&gt;"",'DICIEMBRE 2026'!Z17="POR RECOGER"),'DICIEMBRE 2026'!P17,"")</f>
        <v/>
      </c>
      <c r="J1168" s="381">
        <f>IF(AND('DICIEMBRE 2026'!D17&lt;&gt;"",'DICIEMBRE 2026'!Z17="POR RECOGER"),'DICIEMBRE 2026'!Q17,"")</f>
        <v/>
      </c>
      <c r="K1168" s="381">
        <f>IF(AND('DICIEMBRE 2026'!D17&lt;&gt;"",'DICIEMBRE 2026'!Z17="POR RECOGER"),'DICIEMBRE 2026'!Y17,"")</f>
        <v/>
      </c>
      <c r="L1168" s="381">
        <f>IF(AND('DICIEMBRE 2026'!D17&lt;&gt;"",'DICIEMBRE 2026'!Z17="POR RECOGER"),'DICIEMBRE 2026'!I17,"")</f>
        <v/>
      </c>
      <c r="P1168" s="194" t="n"/>
      <c r="Q1168" s="194" t="n"/>
      <c r="R1168" s="194" t="n"/>
      <c r="S1168" s="194" t="n"/>
      <c r="T1168" s="194" t="n"/>
      <c r="U1168" s="194" t="n"/>
      <c r="V1168" s="194" t="n"/>
      <c r="W1168" s="194" t="n"/>
      <c r="X1168" s="194" t="n"/>
      <c r="Y1168" s="194" t="n"/>
      <c r="Z1168" s="194" t="n"/>
    </row>
    <row r="1169" ht="15" customHeight="1" s="195">
      <c r="A1169" s="381">
        <f>IF(AND('DICIEMBRE 2026'!D18&lt;&gt;"",'DICIEMBRE 2026'!Z18="POR RECOGER"),"DIC","")</f>
        <v/>
      </c>
      <c r="B1169" s="381">
        <f>IF(AND('DICIEMBRE 2026'!D18&lt;&gt;"",'DICIEMBRE 2026'!Z18="POR RECOGER"),IF('DICIEMBRE 2026'!Y18&lt;&gt;"",'DICIEMBRE 2026'!Y18,'DICIEMBRE 2026'!I18),"")</f>
        <v/>
      </c>
      <c r="C1169" s="381">
        <f>IF(AND('DICIEMBRE 2026'!D18&lt;&gt;"",'DICIEMBRE 2026'!Z18="POR RECOGER"),'DICIEMBRE 2026'!D18,"")</f>
        <v/>
      </c>
      <c r="D1169" s="381">
        <f>IF(AND('DICIEMBRE 2026'!D18&lt;&gt;"",'DICIEMBRE 2026'!Z18="POR RECOGER"),'DICIEMBRE 2026'!F18,"")</f>
        <v/>
      </c>
      <c r="E1169" s="381">
        <f>IF(AND('DICIEMBRE 2026'!D18&lt;&gt;"",'DICIEMBRE 2026'!Z18="POR RECOGER"),TEXT('DICIEMBRE 2026'!G18,"DD/MM/YYYY"),"")</f>
        <v/>
      </c>
      <c r="F1169" s="381">
        <f>IF(AND('DICIEMBRE 2026'!D18&lt;&gt;"",'DICIEMBRE 2026'!Z18="POR RECOGER"),'DICIEMBRE 2026'!K18,"")</f>
        <v/>
      </c>
      <c r="G1169" s="382">
        <f>IF(AND('DICIEMBRE 2026'!D18&lt;&gt;"",'DICIEMBRE 2026'!Z18="POR RECOGER"),'DICIEMBRE 2026'!M18,"")</f>
        <v/>
      </c>
      <c r="H1169" s="382">
        <f>IF(AND('DICIEMBRE 2026'!D18&lt;&gt;"",'DICIEMBRE 2026'!Z18="POR RECOGER"),'DICIEMBRE 2026'!N18,"")</f>
        <v/>
      </c>
      <c r="I1169" s="381">
        <f>IF(AND('DICIEMBRE 2026'!D18&lt;&gt;"",'DICIEMBRE 2026'!Z18="POR RECOGER"),'DICIEMBRE 2026'!P18,"")</f>
        <v/>
      </c>
      <c r="J1169" s="381">
        <f>IF(AND('DICIEMBRE 2026'!D18&lt;&gt;"",'DICIEMBRE 2026'!Z18="POR RECOGER"),'DICIEMBRE 2026'!Q18,"")</f>
        <v/>
      </c>
      <c r="K1169" s="381">
        <f>IF(AND('DICIEMBRE 2026'!D18&lt;&gt;"",'DICIEMBRE 2026'!Z18="POR RECOGER"),'DICIEMBRE 2026'!Y18,"")</f>
        <v/>
      </c>
      <c r="L1169" s="381">
        <f>IF(AND('DICIEMBRE 2026'!D18&lt;&gt;"",'DICIEMBRE 2026'!Z18="POR RECOGER"),'DICIEMBRE 2026'!I18,"")</f>
        <v/>
      </c>
      <c r="P1169" s="194" t="n"/>
      <c r="Q1169" s="194" t="n"/>
      <c r="R1169" s="194" t="n"/>
      <c r="S1169" s="194" t="n"/>
      <c r="T1169" s="194" t="n"/>
      <c r="U1169" s="194" t="n"/>
      <c r="V1169" s="194" t="n"/>
      <c r="W1169" s="194" t="n"/>
      <c r="X1169" s="194" t="n"/>
      <c r="Y1169" s="194" t="n"/>
      <c r="Z1169" s="194" t="n"/>
    </row>
    <row r="1170" ht="15" customHeight="1" s="195">
      <c r="A1170" s="381">
        <f>IF(AND('DICIEMBRE 2026'!D19&lt;&gt;"",'DICIEMBRE 2026'!Z19="POR RECOGER"),"DIC","")</f>
        <v/>
      </c>
      <c r="B1170" s="381">
        <f>IF(AND('DICIEMBRE 2026'!D19&lt;&gt;"",'DICIEMBRE 2026'!Z19="POR RECOGER"),IF('DICIEMBRE 2026'!Y19&lt;&gt;"",'DICIEMBRE 2026'!Y19,'DICIEMBRE 2026'!I19),"")</f>
        <v/>
      </c>
      <c r="C1170" s="381">
        <f>IF(AND('DICIEMBRE 2026'!D19&lt;&gt;"",'DICIEMBRE 2026'!Z19="POR RECOGER"),'DICIEMBRE 2026'!D19,"")</f>
        <v/>
      </c>
      <c r="D1170" s="381">
        <f>IF(AND('DICIEMBRE 2026'!D19&lt;&gt;"",'DICIEMBRE 2026'!Z19="POR RECOGER"),'DICIEMBRE 2026'!F19,"")</f>
        <v/>
      </c>
      <c r="E1170" s="381">
        <f>IF(AND('DICIEMBRE 2026'!D19&lt;&gt;"",'DICIEMBRE 2026'!Z19="POR RECOGER"),TEXT('DICIEMBRE 2026'!G19,"DD/MM/YYYY"),"")</f>
        <v/>
      </c>
      <c r="F1170" s="381">
        <f>IF(AND('DICIEMBRE 2026'!D19&lt;&gt;"",'DICIEMBRE 2026'!Z19="POR RECOGER"),'DICIEMBRE 2026'!K19,"")</f>
        <v/>
      </c>
      <c r="G1170" s="382">
        <f>IF(AND('DICIEMBRE 2026'!D19&lt;&gt;"",'DICIEMBRE 2026'!Z19="POR RECOGER"),'DICIEMBRE 2026'!M19,"")</f>
        <v/>
      </c>
      <c r="H1170" s="382">
        <f>IF(AND('DICIEMBRE 2026'!D19&lt;&gt;"",'DICIEMBRE 2026'!Z19="POR RECOGER"),'DICIEMBRE 2026'!N19,"")</f>
        <v/>
      </c>
      <c r="I1170" s="381">
        <f>IF(AND('DICIEMBRE 2026'!D19&lt;&gt;"",'DICIEMBRE 2026'!Z19="POR RECOGER"),'DICIEMBRE 2026'!P19,"")</f>
        <v/>
      </c>
      <c r="J1170" s="381">
        <f>IF(AND('DICIEMBRE 2026'!D19&lt;&gt;"",'DICIEMBRE 2026'!Z19="POR RECOGER"),'DICIEMBRE 2026'!Q19,"")</f>
        <v/>
      </c>
      <c r="K1170" s="381">
        <f>IF(AND('DICIEMBRE 2026'!D19&lt;&gt;"",'DICIEMBRE 2026'!Z19="POR RECOGER"),'DICIEMBRE 2026'!Y19,"")</f>
        <v/>
      </c>
      <c r="L1170" s="381">
        <f>IF(AND('DICIEMBRE 2026'!D19&lt;&gt;"",'DICIEMBRE 2026'!Z19="POR RECOGER"),'DICIEMBRE 2026'!I19,"")</f>
        <v/>
      </c>
      <c r="P1170" s="194" t="n"/>
      <c r="Q1170" s="194" t="n"/>
      <c r="R1170" s="194" t="n"/>
      <c r="S1170" s="194" t="n"/>
      <c r="T1170" s="194" t="n"/>
      <c r="U1170" s="194" t="n"/>
      <c r="V1170" s="194" t="n"/>
      <c r="W1170" s="194" t="n"/>
      <c r="X1170" s="194" t="n"/>
      <c r="Y1170" s="194" t="n"/>
      <c r="Z1170" s="194" t="n"/>
    </row>
    <row r="1171" ht="15" customHeight="1" s="195">
      <c r="A1171" s="381">
        <f>IF(AND('DICIEMBRE 2026'!D20&lt;&gt;"",'DICIEMBRE 2026'!Z20="POR RECOGER"),"DIC","")</f>
        <v/>
      </c>
      <c r="B1171" s="381">
        <f>IF(AND('DICIEMBRE 2026'!D20&lt;&gt;"",'DICIEMBRE 2026'!Z20="POR RECOGER"),IF('DICIEMBRE 2026'!Y20&lt;&gt;"",'DICIEMBRE 2026'!Y20,'DICIEMBRE 2026'!I20),"")</f>
        <v/>
      </c>
      <c r="C1171" s="381">
        <f>IF(AND('DICIEMBRE 2026'!D20&lt;&gt;"",'DICIEMBRE 2026'!Z20="POR RECOGER"),'DICIEMBRE 2026'!D20,"")</f>
        <v/>
      </c>
      <c r="D1171" s="381">
        <f>IF(AND('DICIEMBRE 2026'!D20&lt;&gt;"",'DICIEMBRE 2026'!Z20="POR RECOGER"),'DICIEMBRE 2026'!F20,"")</f>
        <v/>
      </c>
      <c r="E1171" s="381">
        <f>IF(AND('DICIEMBRE 2026'!D20&lt;&gt;"",'DICIEMBRE 2026'!Z20="POR RECOGER"),TEXT('DICIEMBRE 2026'!G20,"DD/MM/YYYY"),"")</f>
        <v/>
      </c>
      <c r="F1171" s="381">
        <f>IF(AND('DICIEMBRE 2026'!D20&lt;&gt;"",'DICIEMBRE 2026'!Z20="POR RECOGER"),'DICIEMBRE 2026'!K20,"")</f>
        <v/>
      </c>
      <c r="G1171" s="382">
        <f>IF(AND('DICIEMBRE 2026'!D20&lt;&gt;"",'DICIEMBRE 2026'!Z20="POR RECOGER"),'DICIEMBRE 2026'!M20,"")</f>
        <v/>
      </c>
      <c r="H1171" s="382">
        <f>IF(AND('DICIEMBRE 2026'!D20&lt;&gt;"",'DICIEMBRE 2026'!Z20="POR RECOGER"),'DICIEMBRE 2026'!N20,"")</f>
        <v/>
      </c>
      <c r="I1171" s="381">
        <f>IF(AND('DICIEMBRE 2026'!D20&lt;&gt;"",'DICIEMBRE 2026'!Z20="POR RECOGER"),'DICIEMBRE 2026'!P20,"")</f>
        <v/>
      </c>
      <c r="J1171" s="381">
        <f>IF(AND('DICIEMBRE 2026'!D20&lt;&gt;"",'DICIEMBRE 2026'!Z20="POR RECOGER"),'DICIEMBRE 2026'!Q20,"")</f>
        <v/>
      </c>
      <c r="K1171" s="381">
        <f>IF(AND('DICIEMBRE 2026'!D20&lt;&gt;"",'DICIEMBRE 2026'!Z20="POR RECOGER"),'DICIEMBRE 2026'!Y20,"")</f>
        <v/>
      </c>
      <c r="L1171" s="381">
        <f>IF(AND('DICIEMBRE 2026'!D20&lt;&gt;"",'DICIEMBRE 2026'!Z20="POR RECOGER"),'DICIEMBRE 2026'!I20,"")</f>
        <v/>
      </c>
      <c r="P1171" s="194" t="n"/>
      <c r="Q1171" s="194" t="n"/>
      <c r="R1171" s="194" t="n"/>
      <c r="S1171" s="194" t="n"/>
      <c r="T1171" s="194" t="n"/>
      <c r="U1171" s="194" t="n"/>
      <c r="V1171" s="194" t="n"/>
      <c r="W1171" s="194" t="n"/>
      <c r="X1171" s="194" t="n"/>
      <c r="Y1171" s="194" t="n"/>
      <c r="Z1171" s="194" t="n"/>
    </row>
    <row r="1172" ht="15" customHeight="1" s="195">
      <c r="A1172" s="381">
        <f>IF(AND('DICIEMBRE 2026'!D21&lt;&gt;"",'DICIEMBRE 2026'!Z21="POR RECOGER"),"DIC","")</f>
        <v/>
      </c>
      <c r="B1172" s="381">
        <f>IF(AND('DICIEMBRE 2026'!D21&lt;&gt;"",'DICIEMBRE 2026'!Z21="POR RECOGER"),IF('DICIEMBRE 2026'!Y21&lt;&gt;"",'DICIEMBRE 2026'!Y21,'DICIEMBRE 2026'!I21),"")</f>
        <v/>
      </c>
      <c r="C1172" s="381">
        <f>IF(AND('DICIEMBRE 2026'!D21&lt;&gt;"",'DICIEMBRE 2026'!Z21="POR RECOGER"),'DICIEMBRE 2026'!D21,"")</f>
        <v/>
      </c>
      <c r="D1172" s="381">
        <f>IF(AND('DICIEMBRE 2026'!D21&lt;&gt;"",'DICIEMBRE 2026'!Z21="POR RECOGER"),'DICIEMBRE 2026'!F21,"")</f>
        <v/>
      </c>
      <c r="E1172" s="381">
        <f>IF(AND('DICIEMBRE 2026'!D21&lt;&gt;"",'DICIEMBRE 2026'!Z21="POR RECOGER"),TEXT('DICIEMBRE 2026'!G21,"DD/MM/YYYY"),"")</f>
        <v/>
      </c>
      <c r="F1172" s="381">
        <f>IF(AND('DICIEMBRE 2026'!D21&lt;&gt;"",'DICIEMBRE 2026'!Z21="POR RECOGER"),'DICIEMBRE 2026'!K21,"")</f>
        <v/>
      </c>
      <c r="G1172" s="382">
        <f>IF(AND('DICIEMBRE 2026'!D21&lt;&gt;"",'DICIEMBRE 2026'!Z21="POR RECOGER"),'DICIEMBRE 2026'!M21,"")</f>
        <v/>
      </c>
      <c r="H1172" s="382">
        <f>IF(AND('DICIEMBRE 2026'!D21&lt;&gt;"",'DICIEMBRE 2026'!Z21="POR RECOGER"),'DICIEMBRE 2026'!N21,"")</f>
        <v/>
      </c>
      <c r="I1172" s="381">
        <f>IF(AND('DICIEMBRE 2026'!D21&lt;&gt;"",'DICIEMBRE 2026'!Z21="POR RECOGER"),'DICIEMBRE 2026'!P21,"")</f>
        <v/>
      </c>
      <c r="J1172" s="381">
        <f>IF(AND('DICIEMBRE 2026'!D21&lt;&gt;"",'DICIEMBRE 2026'!Z21="POR RECOGER"),'DICIEMBRE 2026'!Q21,"")</f>
        <v/>
      </c>
      <c r="K1172" s="381">
        <f>IF(AND('DICIEMBRE 2026'!D21&lt;&gt;"",'DICIEMBRE 2026'!Z21="POR RECOGER"),'DICIEMBRE 2026'!Y21,"")</f>
        <v/>
      </c>
      <c r="L1172" s="381">
        <f>IF(AND('DICIEMBRE 2026'!D21&lt;&gt;"",'DICIEMBRE 2026'!Z21="POR RECOGER"),'DICIEMBRE 2026'!I21,"")</f>
        <v/>
      </c>
      <c r="P1172" s="194" t="n"/>
      <c r="Q1172" s="194" t="n"/>
      <c r="R1172" s="194" t="n"/>
      <c r="S1172" s="194" t="n"/>
      <c r="T1172" s="194" t="n"/>
      <c r="U1172" s="194" t="n"/>
      <c r="V1172" s="194" t="n"/>
      <c r="W1172" s="194" t="n"/>
      <c r="X1172" s="194" t="n"/>
      <c r="Y1172" s="194" t="n"/>
      <c r="Z1172" s="194" t="n"/>
    </row>
    <row r="1173" ht="15" customHeight="1" s="195">
      <c r="A1173" s="381">
        <f>IF(AND('DICIEMBRE 2026'!D22&lt;&gt;"",'DICIEMBRE 2026'!Z22="POR RECOGER"),"DIC","")</f>
        <v/>
      </c>
      <c r="B1173" s="381">
        <f>IF(AND('DICIEMBRE 2026'!D22&lt;&gt;"",'DICIEMBRE 2026'!Z22="POR RECOGER"),IF('DICIEMBRE 2026'!Y22&lt;&gt;"",'DICIEMBRE 2026'!Y22,'DICIEMBRE 2026'!I22),"")</f>
        <v/>
      </c>
      <c r="C1173" s="381">
        <f>IF(AND('DICIEMBRE 2026'!D22&lt;&gt;"",'DICIEMBRE 2026'!Z22="POR RECOGER"),'DICIEMBRE 2026'!D22,"")</f>
        <v/>
      </c>
      <c r="D1173" s="381">
        <f>IF(AND('DICIEMBRE 2026'!D22&lt;&gt;"",'DICIEMBRE 2026'!Z22="POR RECOGER"),'DICIEMBRE 2026'!F22,"")</f>
        <v/>
      </c>
      <c r="E1173" s="381">
        <f>IF(AND('DICIEMBRE 2026'!D22&lt;&gt;"",'DICIEMBRE 2026'!Z22="POR RECOGER"),TEXT('DICIEMBRE 2026'!G22,"DD/MM/YYYY"),"")</f>
        <v/>
      </c>
      <c r="F1173" s="381">
        <f>IF(AND('DICIEMBRE 2026'!D22&lt;&gt;"",'DICIEMBRE 2026'!Z22="POR RECOGER"),'DICIEMBRE 2026'!K22,"")</f>
        <v/>
      </c>
      <c r="G1173" s="382">
        <f>IF(AND('DICIEMBRE 2026'!D22&lt;&gt;"",'DICIEMBRE 2026'!Z22="POR RECOGER"),'DICIEMBRE 2026'!M22,"")</f>
        <v/>
      </c>
      <c r="H1173" s="382">
        <f>IF(AND('DICIEMBRE 2026'!D22&lt;&gt;"",'DICIEMBRE 2026'!Z22="POR RECOGER"),'DICIEMBRE 2026'!N22,"")</f>
        <v/>
      </c>
      <c r="I1173" s="381">
        <f>IF(AND('DICIEMBRE 2026'!D22&lt;&gt;"",'DICIEMBRE 2026'!Z22="POR RECOGER"),'DICIEMBRE 2026'!P22,"")</f>
        <v/>
      </c>
      <c r="J1173" s="381">
        <f>IF(AND('DICIEMBRE 2026'!D22&lt;&gt;"",'DICIEMBRE 2026'!Z22="POR RECOGER"),'DICIEMBRE 2026'!Q22,"")</f>
        <v/>
      </c>
      <c r="K1173" s="381">
        <f>IF(AND('DICIEMBRE 2026'!D22&lt;&gt;"",'DICIEMBRE 2026'!Z22="POR RECOGER"),'DICIEMBRE 2026'!Y22,"")</f>
        <v/>
      </c>
      <c r="L1173" s="381">
        <f>IF(AND('DICIEMBRE 2026'!D22&lt;&gt;"",'DICIEMBRE 2026'!Z22="POR RECOGER"),'DICIEMBRE 2026'!I22,"")</f>
        <v/>
      </c>
      <c r="P1173" s="194" t="n"/>
      <c r="Q1173" s="194" t="n"/>
      <c r="R1173" s="194" t="n"/>
      <c r="S1173" s="194" t="n"/>
      <c r="T1173" s="194" t="n"/>
      <c r="U1173" s="194" t="n"/>
      <c r="V1173" s="194" t="n"/>
      <c r="W1173" s="194" t="n"/>
      <c r="X1173" s="194" t="n"/>
      <c r="Y1173" s="194" t="n"/>
      <c r="Z1173" s="194" t="n"/>
    </row>
    <row r="1174" ht="15" customHeight="1" s="195">
      <c r="A1174" s="381">
        <f>IF(AND('DICIEMBRE 2026'!D23&lt;&gt;"",'DICIEMBRE 2026'!Z23="POR RECOGER"),"DIC","")</f>
        <v/>
      </c>
      <c r="B1174" s="381">
        <f>IF(AND('DICIEMBRE 2026'!D23&lt;&gt;"",'DICIEMBRE 2026'!Z23="POR RECOGER"),IF('DICIEMBRE 2026'!Y23&lt;&gt;"",'DICIEMBRE 2026'!Y23,'DICIEMBRE 2026'!I23),"")</f>
        <v/>
      </c>
      <c r="C1174" s="381">
        <f>IF(AND('DICIEMBRE 2026'!D23&lt;&gt;"",'DICIEMBRE 2026'!Z23="POR RECOGER"),'DICIEMBRE 2026'!D23,"")</f>
        <v/>
      </c>
      <c r="D1174" s="381">
        <f>IF(AND('DICIEMBRE 2026'!D23&lt;&gt;"",'DICIEMBRE 2026'!Z23="POR RECOGER"),'DICIEMBRE 2026'!F23,"")</f>
        <v/>
      </c>
      <c r="E1174" s="381">
        <f>IF(AND('DICIEMBRE 2026'!D23&lt;&gt;"",'DICIEMBRE 2026'!Z23="POR RECOGER"),TEXT('DICIEMBRE 2026'!G23,"DD/MM/YYYY"),"")</f>
        <v/>
      </c>
      <c r="F1174" s="381">
        <f>IF(AND('DICIEMBRE 2026'!D23&lt;&gt;"",'DICIEMBRE 2026'!Z23="POR RECOGER"),'DICIEMBRE 2026'!K23,"")</f>
        <v/>
      </c>
      <c r="G1174" s="382">
        <f>IF(AND('DICIEMBRE 2026'!D23&lt;&gt;"",'DICIEMBRE 2026'!Z23="POR RECOGER"),'DICIEMBRE 2026'!M23,"")</f>
        <v/>
      </c>
      <c r="H1174" s="382">
        <f>IF(AND('DICIEMBRE 2026'!D23&lt;&gt;"",'DICIEMBRE 2026'!Z23="POR RECOGER"),'DICIEMBRE 2026'!N23,"")</f>
        <v/>
      </c>
      <c r="I1174" s="381">
        <f>IF(AND('DICIEMBRE 2026'!D23&lt;&gt;"",'DICIEMBRE 2026'!Z23="POR RECOGER"),'DICIEMBRE 2026'!P23,"")</f>
        <v/>
      </c>
      <c r="J1174" s="381">
        <f>IF(AND('DICIEMBRE 2026'!D23&lt;&gt;"",'DICIEMBRE 2026'!Z23="POR RECOGER"),'DICIEMBRE 2026'!Q23,"")</f>
        <v/>
      </c>
      <c r="K1174" s="381">
        <f>IF(AND('DICIEMBRE 2026'!D23&lt;&gt;"",'DICIEMBRE 2026'!Z23="POR RECOGER"),'DICIEMBRE 2026'!Y23,"")</f>
        <v/>
      </c>
      <c r="L1174" s="381">
        <f>IF(AND('DICIEMBRE 2026'!D23&lt;&gt;"",'DICIEMBRE 2026'!Z23="POR RECOGER"),'DICIEMBRE 2026'!I23,"")</f>
        <v/>
      </c>
      <c r="P1174" s="194" t="n"/>
      <c r="Q1174" s="194" t="n"/>
      <c r="R1174" s="194" t="n"/>
      <c r="S1174" s="194" t="n"/>
      <c r="T1174" s="194" t="n"/>
      <c r="U1174" s="194" t="n"/>
      <c r="V1174" s="194" t="n"/>
      <c r="W1174" s="194" t="n"/>
      <c r="X1174" s="194" t="n"/>
      <c r="Y1174" s="194" t="n"/>
      <c r="Z1174" s="194" t="n"/>
    </row>
    <row r="1175" ht="15" customHeight="1" s="195">
      <c r="A1175" s="381">
        <f>IF(AND('DICIEMBRE 2026'!D24&lt;&gt;"",'DICIEMBRE 2026'!Z24="POR RECOGER"),"DIC","")</f>
        <v/>
      </c>
      <c r="B1175" s="381">
        <f>IF(AND('DICIEMBRE 2026'!D24&lt;&gt;"",'DICIEMBRE 2026'!Z24="POR RECOGER"),IF('DICIEMBRE 2026'!Y24&lt;&gt;"",'DICIEMBRE 2026'!Y24,'DICIEMBRE 2026'!I24),"")</f>
        <v/>
      </c>
      <c r="C1175" s="381">
        <f>IF(AND('DICIEMBRE 2026'!D24&lt;&gt;"",'DICIEMBRE 2026'!Z24="POR RECOGER"),'DICIEMBRE 2026'!D24,"")</f>
        <v/>
      </c>
      <c r="D1175" s="381">
        <f>IF(AND('DICIEMBRE 2026'!D24&lt;&gt;"",'DICIEMBRE 2026'!Z24="POR RECOGER"),'DICIEMBRE 2026'!F24,"")</f>
        <v/>
      </c>
      <c r="E1175" s="381">
        <f>IF(AND('DICIEMBRE 2026'!D24&lt;&gt;"",'DICIEMBRE 2026'!Z24="POR RECOGER"),TEXT('DICIEMBRE 2026'!G24,"DD/MM/YYYY"),"")</f>
        <v/>
      </c>
      <c r="F1175" s="381">
        <f>IF(AND('DICIEMBRE 2026'!D24&lt;&gt;"",'DICIEMBRE 2026'!Z24="POR RECOGER"),'DICIEMBRE 2026'!K24,"")</f>
        <v/>
      </c>
      <c r="G1175" s="382">
        <f>IF(AND('DICIEMBRE 2026'!D24&lt;&gt;"",'DICIEMBRE 2026'!Z24="POR RECOGER"),'DICIEMBRE 2026'!M24,"")</f>
        <v/>
      </c>
      <c r="H1175" s="382">
        <f>IF(AND('DICIEMBRE 2026'!D24&lt;&gt;"",'DICIEMBRE 2026'!Z24="POR RECOGER"),'DICIEMBRE 2026'!N24,"")</f>
        <v/>
      </c>
      <c r="I1175" s="381">
        <f>IF(AND('DICIEMBRE 2026'!D24&lt;&gt;"",'DICIEMBRE 2026'!Z24="POR RECOGER"),'DICIEMBRE 2026'!P24,"")</f>
        <v/>
      </c>
      <c r="J1175" s="381">
        <f>IF(AND('DICIEMBRE 2026'!D24&lt;&gt;"",'DICIEMBRE 2026'!Z24="POR RECOGER"),'DICIEMBRE 2026'!Q24,"")</f>
        <v/>
      </c>
      <c r="K1175" s="381">
        <f>IF(AND('DICIEMBRE 2026'!D24&lt;&gt;"",'DICIEMBRE 2026'!Z24="POR RECOGER"),'DICIEMBRE 2026'!Y24,"")</f>
        <v/>
      </c>
      <c r="L1175" s="381">
        <f>IF(AND('DICIEMBRE 2026'!D24&lt;&gt;"",'DICIEMBRE 2026'!Z24="POR RECOGER"),'DICIEMBRE 2026'!I24,"")</f>
        <v/>
      </c>
      <c r="P1175" s="194" t="n"/>
      <c r="Q1175" s="194" t="n"/>
      <c r="R1175" s="194" t="n"/>
      <c r="S1175" s="194" t="n"/>
      <c r="T1175" s="194" t="n"/>
      <c r="U1175" s="194" t="n"/>
      <c r="V1175" s="194" t="n"/>
      <c r="W1175" s="194" t="n"/>
      <c r="X1175" s="194" t="n"/>
      <c r="Y1175" s="194" t="n"/>
      <c r="Z1175" s="194" t="n"/>
    </row>
    <row r="1176" ht="15" customHeight="1" s="195">
      <c r="A1176" s="381">
        <f>IF(AND('DICIEMBRE 2026'!D25&lt;&gt;"",'DICIEMBRE 2026'!Z25="POR RECOGER"),"DIC","")</f>
        <v/>
      </c>
      <c r="B1176" s="381">
        <f>IF(AND('DICIEMBRE 2026'!D25&lt;&gt;"",'DICIEMBRE 2026'!Z25="POR RECOGER"),IF('DICIEMBRE 2026'!Y25&lt;&gt;"",'DICIEMBRE 2026'!Y25,'DICIEMBRE 2026'!I25),"")</f>
        <v/>
      </c>
      <c r="C1176" s="381">
        <f>IF(AND('DICIEMBRE 2026'!D25&lt;&gt;"",'DICIEMBRE 2026'!Z25="POR RECOGER"),'DICIEMBRE 2026'!D25,"")</f>
        <v/>
      </c>
      <c r="D1176" s="381">
        <f>IF(AND('DICIEMBRE 2026'!D25&lt;&gt;"",'DICIEMBRE 2026'!Z25="POR RECOGER"),'DICIEMBRE 2026'!F25,"")</f>
        <v/>
      </c>
      <c r="E1176" s="381">
        <f>IF(AND('DICIEMBRE 2026'!D25&lt;&gt;"",'DICIEMBRE 2026'!Z25="POR RECOGER"),TEXT('DICIEMBRE 2026'!G25,"DD/MM/YYYY"),"")</f>
        <v/>
      </c>
      <c r="F1176" s="381">
        <f>IF(AND('DICIEMBRE 2026'!D25&lt;&gt;"",'DICIEMBRE 2026'!Z25="POR RECOGER"),'DICIEMBRE 2026'!K25,"")</f>
        <v/>
      </c>
      <c r="G1176" s="382">
        <f>IF(AND('DICIEMBRE 2026'!D25&lt;&gt;"",'DICIEMBRE 2026'!Z25="POR RECOGER"),'DICIEMBRE 2026'!M25,"")</f>
        <v/>
      </c>
      <c r="H1176" s="382">
        <f>IF(AND('DICIEMBRE 2026'!D25&lt;&gt;"",'DICIEMBRE 2026'!Z25="POR RECOGER"),'DICIEMBRE 2026'!N25,"")</f>
        <v/>
      </c>
      <c r="I1176" s="381">
        <f>IF(AND('DICIEMBRE 2026'!D25&lt;&gt;"",'DICIEMBRE 2026'!Z25="POR RECOGER"),'DICIEMBRE 2026'!P25,"")</f>
        <v/>
      </c>
      <c r="J1176" s="381">
        <f>IF(AND('DICIEMBRE 2026'!D25&lt;&gt;"",'DICIEMBRE 2026'!Z25="POR RECOGER"),'DICIEMBRE 2026'!Q25,"")</f>
        <v/>
      </c>
      <c r="K1176" s="381">
        <f>IF(AND('DICIEMBRE 2026'!D25&lt;&gt;"",'DICIEMBRE 2026'!Z25="POR RECOGER"),'DICIEMBRE 2026'!Y25,"")</f>
        <v/>
      </c>
      <c r="L1176" s="381">
        <f>IF(AND('DICIEMBRE 2026'!D25&lt;&gt;"",'DICIEMBRE 2026'!Z25="POR RECOGER"),'DICIEMBRE 2026'!I25,"")</f>
        <v/>
      </c>
      <c r="P1176" s="194" t="n"/>
      <c r="Q1176" s="194" t="n"/>
      <c r="R1176" s="194" t="n"/>
      <c r="S1176" s="194" t="n"/>
      <c r="T1176" s="194" t="n"/>
      <c r="U1176" s="194" t="n"/>
      <c r="V1176" s="194" t="n"/>
      <c r="W1176" s="194" t="n"/>
      <c r="X1176" s="194" t="n"/>
      <c r="Y1176" s="194" t="n"/>
      <c r="Z1176" s="194" t="n"/>
    </row>
    <row r="1177" ht="15" customHeight="1" s="195">
      <c r="A1177" s="381">
        <f>IF(AND('DICIEMBRE 2026'!D26&lt;&gt;"",'DICIEMBRE 2026'!Z26="POR RECOGER"),"DIC","")</f>
        <v/>
      </c>
      <c r="B1177" s="381">
        <f>IF(AND('DICIEMBRE 2026'!D26&lt;&gt;"",'DICIEMBRE 2026'!Z26="POR RECOGER"),IF('DICIEMBRE 2026'!Y26&lt;&gt;"",'DICIEMBRE 2026'!Y26,'DICIEMBRE 2026'!I26),"")</f>
        <v/>
      </c>
      <c r="C1177" s="381">
        <f>IF(AND('DICIEMBRE 2026'!D26&lt;&gt;"",'DICIEMBRE 2026'!Z26="POR RECOGER"),'DICIEMBRE 2026'!D26,"")</f>
        <v/>
      </c>
      <c r="D1177" s="381">
        <f>IF(AND('DICIEMBRE 2026'!D26&lt;&gt;"",'DICIEMBRE 2026'!Z26="POR RECOGER"),'DICIEMBRE 2026'!F26,"")</f>
        <v/>
      </c>
      <c r="E1177" s="381">
        <f>IF(AND('DICIEMBRE 2026'!D26&lt;&gt;"",'DICIEMBRE 2026'!Z26="POR RECOGER"),TEXT('DICIEMBRE 2026'!G26,"DD/MM/YYYY"),"")</f>
        <v/>
      </c>
      <c r="F1177" s="381">
        <f>IF(AND('DICIEMBRE 2026'!D26&lt;&gt;"",'DICIEMBRE 2026'!Z26="POR RECOGER"),'DICIEMBRE 2026'!K26,"")</f>
        <v/>
      </c>
      <c r="G1177" s="382">
        <f>IF(AND('DICIEMBRE 2026'!D26&lt;&gt;"",'DICIEMBRE 2026'!Z26="POR RECOGER"),'DICIEMBRE 2026'!M26,"")</f>
        <v/>
      </c>
      <c r="H1177" s="382">
        <f>IF(AND('DICIEMBRE 2026'!D26&lt;&gt;"",'DICIEMBRE 2026'!Z26="POR RECOGER"),'DICIEMBRE 2026'!N26,"")</f>
        <v/>
      </c>
      <c r="I1177" s="381">
        <f>IF(AND('DICIEMBRE 2026'!D26&lt;&gt;"",'DICIEMBRE 2026'!Z26="POR RECOGER"),'DICIEMBRE 2026'!P26,"")</f>
        <v/>
      </c>
      <c r="J1177" s="381">
        <f>IF(AND('DICIEMBRE 2026'!D26&lt;&gt;"",'DICIEMBRE 2026'!Z26="POR RECOGER"),'DICIEMBRE 2026'!Q26,"")</f>
        <v/>
      </c>
      <c r="K1177" s="381">
        <f>IF(AND('DICIEMBRE 2026'!D26&lt;&gt;"",'DICIEMBRE 2026'!Z26="POR RECOGER"),'DICIEMBRE 2026'!Y26,"")</f>
        <v/>
      </c>
      <c r="L1177" s="381">
        <f>IF(AND('DICIEMBRE 2026'!D26&lt;&gt;"",'DICIEMBRE 2026'!Z26="POR RECOGER"),'DICIEMBRE 2026'!I26,"")</f>
        <v/>
      </c>
      <c r="P1177" s="194" t="n"/>
      <c r="Q1177" s="194" t="n"/>
      <c r="R1177" s="194" t="n"/>
      <c r="S1177" s="194" t="n"/>
      <c r="T1177" s="194" t="n"/>
      <c r="U1177" s="194" t="n"/>
      <c r="V1177" s="194" t="n"/>
      <c r="W1177" s="194" t="n"/>
      <c r="X1177" s="194" t="n"/>
      <c r="Y1177" s="194" t="n"/>
      <c r="Z1177" s="194" t="n"/>
    </row>
    <row r="1178" ht="15" customHeight="1" s="195">
      <c r="A1178" s="381">
        <f>IF(AND('DICIEMBRE 2026'!D27&lt;&gt;"",'DICIEMBRE 2026'!Z27="POR RECOGER"),"DIC","")</f>
        <v/>
      </c>
      <c r="B1178" s="381">
        <f>IF(AND('DICIEMBRE 2026'!D27&lt;&gt;"",'DICIEMBRE 2026'!Z27="POR RECOGER"),IF('DICIEMBRE 2026'!Y27&lt;&gt;"",'DICIEMBRE 2026'!Y27,'DICIEMBRE 2026'!I27),"")</f>
        <v/>
      </c>
      <c r="C1178" s="381">
        <f>IF(AND('DICIEMBRE 2026'!D27&lt;&gt;"",'DICIEMBRE 2026'!Z27="POR RECOGER"),'DICIEMBRE 2026'!D27,"")</f>
        <v/>
      </c>
      <c r="D1178" s="381">
        <f>IF(AND('DICIEMBRE 2026'!D27&lt;&gt;"",'DICIEMBRE 2026'!Z27="POR RECOGER"),'DICIEMBRE 2026'!F27,"")</f>
        <v/>
      </c>
      <c r="E1178" s="381">
        <f>IF(AND('DICIEMBRE 2026'!D27&lt;&gt;"",'DICIEMBRE 2026'!Z27="POR RECOGER"),TEXT('DICIEMBRE 2026'!G27,"DD/MM/YYYY"),"")</f>
        <v/>
      </c>
      <c r="F1178" s="381">
        <f>IF(AND('DICIEMBRE 2026'!D27&lt;&gt;"",'DICIEMBRE 2026'!Z27="POR RECOGER"),'DICIEMBRE 2026'!K27,"")</f>
        <v/>
      </c>
      <c r="G1178" s="382">
        <f>IF(AND('DICIEMBRE 2026'!D27&lt;&gt;"",'DICIEMBRE 2026'!Z27="POR RECOGER"),'DICIEMBRE 2026'!M27,"")</f>
        <v/>
      </c>
      <c r="H1178" s="382">
        <f>IF(AND('DICIEMBRE 2026'!D27&lt;&gt;"",'DICIEMBRE 2026'!Z27="POR RECOGER"),'DICIEMBRE 2026'!N27,"")</f>
        <v/>
      </c>
      <c r="I1178" s="381">
        <f>IF(AND('DICIEMBRE 2026'!D27&lt;&gt;"",'DICIEMBRE 2026'!Z27="POR RECOGER"),'DICIEMBRE 2026'!P27,"")</f>
        <v/>
      </c>
      <c r="J1178" s="381">
        <f>IF(AND('DICIEMBRE 2026'!D27&lt;&gt;"",'DICIEMBRE 2026'!Z27="POR RECOGER"),'DICIEMBRE 2026'!Q27,"")</f>
        <v/>
      </c>
      <c r="K1178" s="381">
        <f>IF(AND('DICIEMBRE 2026'!D27&lt;&gt;"",'DICIEMBRE 2026'!Z27="POR RECOGER"),'DICIEMBRE 2026'!Y27,"")</f>
        <v/>
      </c>
      <c r="L1178" s="381">
        <f>IF(AND('DICIEMBRE 2026'!D27&lt;&gt;"",'DICIEMBRE 2026'!Z27="POR RECOGER"),'DICIEMBRE 2026'!I27,"")</f>
        <v/>
      </c>
      <c r="P1178" s="194" t="n"/>
      <c r="Q1178" s="194" t="n"/>
      <c r="R1178" s="194" t="n"/>
      <c r="S1178" s="194" t="n"/>
      <c r="T1178" s="194" t="n"/>
      <c r="U1178" s="194" t="n"/>
      <c r="V1178" s="194" t="n"/>
      <c r="W1178" s="194" t="n"/>
      <c r="X1178" s="194" t="n"/>
      <c r="Y1178" s="194" t="n"/>
      <c r="Z1178" s="194" t="n"/>
    </row>
    <row r="1179" ht="15" customHeight="1" s="195">
      <c r="A1179" s="381">
        <f>IF(AND('DICIEMBRE 2026'!D28&lt;&gt;"",'DICIEMBRE 2026'!Z28="POR RECOGER"),"DIC","")</f>
        <v/>
      </c>
      <c r="B1179" s="381">
        <f>IF(AND('DICIEMBRE 2026'!D28&lt;&gt;"",'DICIEMBRE 2026'!Z28="POR RECOGER"),IF('DICIEMBRE 2026'!Y28&lt;&gt;"",'DICIEMBRE 2026'!Y28,'DICIEMBRE 2026'!I28),"")</f>
        <v/>
      </c>
      <c r="C1179" s="381">
        <f>IF(AND('DICIEMBRE 2026'!D28&lt;&gt;"",'DICIEMBRE 2026'!Z28="POR RECOGER"),'DICIEMBRE 2026'!D28,"")</f>
        <v/>
      </c>
      <c r="D1179" s="381">
        <f>IF(AND('DICIEMBRE 2026'!D28&lt;&gt;"",'DICIEMBRE 2026'!Z28="POR RECOGER"),'DICIEMBRE 2026'!F28,"")</f>
        <v/>
      </c>
      <c r="E1179" s="381">
        <f>IF(AND('DICIEMBRE 2026'!D28&lt;&gt;"",'DICIEMBRE 2026'!Z28="POR RECOGER"),TEXT('DICIEMBRE 2026'!G28,"DD/MM/YYYY"),"")</f>
        <v/>
      </c>
      <c r="F1179" s="381">
        <f>IF(AND('DICIEMBRE 2026'!D28&lt;&gt;"",'DICIEMBRE 2026'!Z28="POR RECOGER"),'DICIEMBRE 2026'!K28,"")</f>
        <v/>
      </c>
      <c r="G1179" s="382">
        <f>IF(AND('DICIEMBRE 2026'!D28&lt;&gt;"",'DICIEMBRE 2026'!Z28="POR RECOGER"),'DICIEMBRE 2026'!M28,"")</f>
        <v/>
      </c>
      <c r="H1179" s="382">
        <f>IF(AND('DICIEMBRE 2026'!D28&lt;&gt;"",'DICIEMBRE 2026'!Z28="POR RECOGER"),'DICIEMBRE 2026'!N28,"")</f>
        <v/>
      </c>
      <c r="I1179" s="381">
        <f>IF(AND('DICIEMBRE 2026'!D28&lt;&gt;"",'DICIEMBRE 2026'!Z28="POR RECOGER"),'DICIEMBRE 2026'!P28,"")</f>
        <v/>
      </c>
      <c r="J1179" s="381">
        <f>IF(AND('DICIEMBRE 2026'!D28&lt;&gt;"",'DICIEMBRE 2026'!Z28="POR RECOGER"),'DICIEMBRE 2026'!Q28,"")</f>
        <v/>
      </c>
      <c r="K1179" s="381">
        <f>IF(AND('DICIEMBRE 2026'!D28&lt;&gt;"",'DICIEMBRE 2026'!Z28="POR RECOGER"),'DICIEMBRE 2026'!Y28,"")</f>
        <v/>
      </c>
      <c r="L1179" s="381">
        <f>IF(AND('DICIEMBRE 2026'!D28&lt;&gt;"",'DICIEMBRE 2026'!Z28="POR RECOGER"),'DICIEMBRE 2026'!I28,"")</f>
        <v/>
      </c>
      <c r="P1179" s="194" t="n"/>
      <c r="Q1179" s="194" t="n"/>
      <c r="R1179" s="194" t="n"/>
      <c r="S1179" s="194" t="n"/>
      <c r="T1179" s="194" t="n"/>
      <c r="U1179" s="194" t="n"/>
      <c r="V1179" s="194" t="n"/>
      <c r="W1179" s="194" t="n"/>
      <c r="X1179" s="194" t="n"/>
      <c r="Y1179" s="194" t="n"/>
      <c r="Z1179" s="194" t="n"/>
    </row>
    <row r="1180" ht="15" customHeight="1" s="195">
      <c r="A1180" s="381">
        <f>IF(AND('DICIEMBRE 2026'!D29&lt;&gt;"",'DICIEMBRE 2026'!Z29="POR RECOGER"),"DIC","")</f>
        <v/>
      </c>
      <c r="B1180" s="381">
        <f>IF(AND('DICIEMBRE 2026'!D29&lt;&gt;"",'DICIEMBRE 2026'!Z29="POR RECOGER"),IF('DICIEMBRE 2026'!Y29&lt;&gt;"",'DICIEMBRE 2026'!Y29,'DICIEMBRE 2026'!I29),"")</f>
        <v/>
      </c>
      <c r="C1180" s="381">
        <f>IF(AND('DICIEMBRE 2026'!D29&lt;&gt;"",'DICIEMBRE 2026'!Z29="POR RECOGER"),'DICIEMBRE 2026'!D29,"")</f>
        <v/>
      </c>
      <c r="D1180" s="381">
        <f>IF(AND('DICIEMBRE 2026'!D29&lt;&gt;"",'DICIEMBRE 2026'!Z29="POR RECOGER"),'DICIEMBRE 2026'!F29,"")</f>
        <v/>
      </c>
      <c r="E1180" s="381">
        <f>IF(AND('DICIEMBRE 2026'!D29&lt;&gt;"",'DICIEMBRE 2026'!Z29="POR RECOGER"),TEXT('DICIEMBRE 2026'!G29,"DD/MM/YYYY"),"")</f>
        <v/>
      </c>
      <c r="F1180" s="381">
        <f>IF(AND('DICIEMBRE 2026'!D29&lt;&gt;"",'DICIEMBRE 2026'!Z29="POR RECOGER"),'DICIEMBRE 2026'!K29,"")</f>
        <v/>
      </c>
      <c r="G1180" s="382">
        <f>IF(AND('DICIEMBRE 2026'!D29&lt;&gt;"",'DICIEMBRE 2026'!Z29="POR RECOGER"),'DICIEMBRE 2026'!M29,"")</f>
        <v/>
      </c>
      <c r="H1180" s="382">
        <f>IF(AND('DICIEMBRE 2026'!D29&lt;&gt;"",'DICIEMBRE 2026'!Z29="POR RECOGER"),'DICIEMBRE 2026'!N29,"")</f>
        <v/>
      </c>
      <c r="I1180" s="381">
        <f>IF(AND('DICIEMBRE 2026'!D29&lt;&gt;"",'DICIEMBRE 2026'!Z29="POR RECOGER"),'DICIEMBRE 2026'!P29,"")</f>
        <v/>
      </c>
      <c r="J1180" s="381">
        <f>IF(AND('DICIEMBRE 2026'!D29&lt;&gt;"",'DICIEMBRE 2026'!Z29="POR RECOGER"),'DICIEMBRE 2026'!Q29,"")</f>
        <v/>
      </c>
      <c r="K1180" s="381">
        <f>IF(AND('DICIEMBRE 2026'!D29&lt;&gt;"",'DICIEMBRE 2026'!Z29="POR RECOGER"),'DICIEMBRE 2026'!Y29,"")</f>
        <v/>
      </c>
      <c r="L1180" s="381">
        <f>IF(AND('DICIEMBRE 2026'!D29&lt;&gt;"",'DICIEMBRE 2026'!Z29="POR RECOGER"),'DICIEMBRE 2026'!I29,"")</f>
        <v/>
      </c>
      <c r="P1180" s="194" t="n"/>
      <c r="Q1180" s="194" t="n"/>
      <c r="R1180" s="194" t="n"/>
      <c r="S1180" s="194" t="n"/>
      <c r="T1180" s="194" t="n"/>
      <c r="U1180" s="194" t="n"/>
      <c r="V1180" s="194" t="n"/>
      <c r="W1180" s="194" t="n"/>
      <c r="X1180" s="194" t="n"/>
      <c r="Y1180" s="194" t="n"/>
      <c r="Z1180" s="194" t="n"/>
    </row>
    <row r="1181" ht="15" customHeight="1" s="195">
      <c r="A1181" s="381">
        <f>IF(AND('DICIEMBRE 2026'!D30&lt;&gt;"",'DICIEMBRE 2026'!Z30="POR RECOGER"),"DIC","")</f>
        <v/>
      </c>
      <c r="B1181" s="381">
        <f>IF(AND('DICIEMBRE 2026'!D30&lt;&gt;"",'DICIEMBRE 2026'!Z30="POR RECOGER"),IF('DICIEMBRE 2026'!Y30&lt;&gt;"",'DICIEMBRE 2026'!Y30,'DICIEMBRE 2026'!I30),"")</f>
        <v/>
      </c>
      <c r="C1181" s="381">
        <f>IF(AND('DICIEMBRE 2026'!D30&lt;&gt;"",'DICIEMBRE 2026'!Z30="POR RECOGER"),'DICIEMBRE 2026'!D30,"")</f>
        <v/>
      </c>
      <c r="D1181" s="381">
        <f>IF(AND('DICIEMBRE 2026'!D30&lt;&gt;"",'DICIEMBRE 2026'!Z30="POR RECOGER"),'DICIEMBRE 2026'!F30,"")</f>
        <v/>
      </c>
      <c r="E1181" s="381">
        <f>IF(AND('DICIEMBRE 2026'!D30&lt;&gt;"",'DICIEMBRE 2026'!Z30="POR RECOGER"),TEXT('DICIEMBRE 2026'!G30,"DD/MM/YYYY"),"")</f>
        <v/>
      </c>
      <c r="F1181" s="381">
        <f>IF(AND('DICIEMBRE 2026'!D30&lt;&gt;"",'DICIEMBRE 2026'!Z30="POR RECOGER"),'DICIEMBRE 2026'!K30,"")</f>
        <v/>
      </c>
      <c r="G1181" s="382">
        <f>IF(AND('DICIEMBRE 2026'!D30&lt;&gt;"",'DICIEMBRE 2026'!Z30="POR RECOGER"),'DICIEMBRE 2026'!M30,"")</f>
        <v/>
      </c>
      <c r="H1181" s="382">
        <f>IF(AND('DICIEMBRE 2026'!D30&lt;&gt;"",'DICIEMBRE 2026'!Z30="POR RECOGER"),'DICIEMBRE 2026'!N30,"")</f>
        <v/>
      </c>
      <c r="I1181" s="381">
        <f>IF(AND('DICIEMBRE 2026'!D30&lt;&gt;"",'DICIEMBRE 2026'!Z30="POR RECOGER"),'DICIEMBRE 2026'!P30,"")</f>
        <v/>
      </c>
      <c r="J1181" s="381">
        <f>IF(AND('DICIEMBRE 2026'!D30&lt;&gt;"",'DICIEMBRE 2026'!Z30="POR RECOGER"),'DICIEMBRE 2026'!Q30,"")</f>
        <v/>
      </c>
      <c r="K1181" s="381">
        <f>IF(AND('DICIEMBRE 2026'!D30&lt;&gt;"",'DICIEMBRE 2026'!Z30="POR RECOGER"),'DICIEMBRE 2026'!Y30,"")</f>
        <v/>
      </c>
      <c r="L1181" s="381">
        <f>IF(AND('DICIEMBRE 2026'!D30&lt;&gt;"",'DICIEMBRE 2026'!Z30="POR RECOGER"),'DICIEMBRE 2026'!I30,"")</f>
        <v/>
      </c>
      <c r="P1181" s="194" t="n"/>
      <c r="Q1181" s="194" t="n"/>
      <c r="R1181" s="194" t="n"/>
      <c r="S1181" s="194" t="n"/>
      <c r="T1181" s="194" t="n"/>
      <c r="U1181" s="194" t="n"/>
      <c r="V1181" s="194" t="n"/>
      <c r="W1181" s="194" t="n"/>
      <c r="X1181" s="194" t="n"/>
      <c r="Y1181" s="194" t="n"/>
      <c r="Z1181" s="194" t="n"/>
    </row>
    <row r="1182" ht="15" customHeight="1" s="195">
      <c r="A1182" s="381">
        <f>IF(AND('DICIEMBRE 2026'!D31&lt;&gt;"",'DICIEMBRE 2026'!Z31="POR RECOGER"),"DIC","")</f>
        <v/>
      </c>
      <c r="B1182" s="381">
        <f>IF(AND('DICIEMBRE 2026'!D31&lt;&gt;"",'DICIEMBRE 2026'!Z31="POR RECOGER"),IF('DICIEMBRE 2026'!Y31&lt;&gt;"",'DICIEMBRE 2026'!Y31,'DICIEMBRE 2026'!I31),"")</f>
        <v/>
      </c>
      <c r="C1182" s="381">
        <f>IF(AND('DICIEMBRE 2026'!D31&lt;&gt;"",'DICIEMBRE 2026'!Z31="POR RECOGER"),'DICIEMBRE 2026'!D31,"")</f>
        <v/>
      </c>
      <c r="D1182" s="381">
        <f>IF(AND('DICIEMBRE 2026'!D31&lt;&gt;"",'DICIEMBRE 2026'!Z31="POR RECOGER"),'DICIEMBRE 2026'!F31,"")</f>
        <v/>
      </c>
      <c r="E1182" s="381">
        <f>IF(AND('DICIEMBRE 2026'!D31&lt;&gt;"",'DICIEMBRE 2026'!Z31="POR RECOGER"),TEXT('DICIEMBRE 2026'!G31,"DD/MM/YYYY"),"")</f>
        <v/>
      </c>
      <c r="F1182" s="381">
        <f>IF(AND('DICIEMBRE 2026'!D31&lt;&gt;"",'DICIEMBRE 2026'!Z31="POR RECOGER"),'DICIEMBRE 2026'!K31,"")</f>
        <v/>
      </c>
      <c r="G1182" s="382">
        <f>IF(AND('DICIEMBRE 2026'!D31&lt;&gt;"",'DICIEMBRE 2026'!Z31="POR RECOGER"),'DICIEMBRE 2026'!M31,"")</f>
        <v/>
      </c>
      <c r="H1182" s="382">
        <f>IF(AND('DICIEMBRE 2026'!D31&lt;&gt;"",'DICIEMBRE 2026'!Z31="POR RECOGER"),'DICIEMBRE 2026'!N31,"")</f>
        <v/>
      </c>
      <c r="I1182" s="381">
        <f>IF(AND('DICIEMBRE 2026'!D31&lt;&gt;"",'DICIEMBRE 2026'!Z31="POR RECOGER"),'DICIEMBRE 2026'!P31,"")</f>
        <v/>
      </c>
      <c r="J1182" s="381">
        <f>IF(AND('DICIEMBRE 2026'!D31&lt;&gt;"",'DICIEMBRE 2026'!Z31="POR RECOGER"),'DICIEMBRE 2026'!Q31,"")</f>
        <v/>
      </c>
      <c r="K1182" s="381">
        <f>IF(AND('DICIEMBRE 2026'!D31&lt;&gt;"",'DICIEMBRE 2026'!Z31="POR RECOGER"),'DICIEMBRE 2026'!Y31,"")</f>
        <v/>
      </c>
      <c r="L1182" s="381">
        <f>IF(AND('DICIEMBRE 2026'!D31&lt;&gt;"",'DICIEMBRE 2026'!Z31="POR RECOGER"),'DICIEMBRE 2026'!I31,"")</f>
        <v/>
      </c>
      <c r="P1182" s="194" t="n"/>
      <c r="Q1182" s="194" t="n"/>
      <c r="R1182" s="194" t="n"/>
      <c r="S1182" s="194" t="n"/>
      <c r="T1182" s="194" t="n"/>
      <c r="U1182" s="194" t="n"/>
      <c r="V1182" s="194" t="n"/>
      <c r="W1182" s="194" t="n"/>
      <c r="X1182" s="194" t="n"/>
      <c r="Y1182" s="194" t="n"/>
      <c r="Z1182" s="194" t="n"/>
    </row>
    <row r="1183" ht="15" customHeight="1" s="195">
      <c r="A1183" s="381">
        <f>IF(AND('DICIEMBRE 2026'!D32&lt;&gt;"",'DICIEMBRE 2026'!Z32="POR RECOGER"),"DIC","")</f>
        <v/>
      </c>
      <c r="B1183" s="381">
        <f>IF(AND('DICIEMBRE 2026'!D32&lt;&gt;"",'DICIEMBRE 2026'!Z32="POR RECOGER"),IF('DICIEMBRE 2026'!Y32&lt;&gt;"",'DICIEMBRE 2026'!Y32,'DICIEMBRE 2026'!I32),"")</f>
        <v/>
      </c>
      <c r="C1183" s="381">
        <f>IF(AND('DICIEMBRE 2026'!D32&lt;&gt;"",'DICIEMBRE 2026'!Z32="POR RECOGER"),'DICIEMBRE 2026'!D32,"")</f>
        <v/>
      </c>
      <c r="D1183" s="381">
        <f>IF(AND('DICIEMBRE 2026'!D32&lt;&gt;"",'DICIEMBRE 2026'!Z32="POR RECOGER"),'DICIEMBRE 2026'!F32,"")</f>
        <v/>
      </c>
      <c r="E1183" s="381">
        <f>IF(AND('DICIEMBRE 2026'!D32&lt;&gt;"",'DICIEMBRE 2026'!Z32="POR RECOGER"),TEXT('DICIEMBRE 2026'!G32,"DD/MM/YYYY"),"")</f>
        <v/>
      </c>
      <c r="F1183" s="381">
        <f>IF(AND('DICIEMBRE 2026'!D32&lt;&gt;"",'DICIEMBRE 2026'!Z32="POR RECOGER"),'DICIEMBRE 2026'!K32,"")</f>
        <v/>
      </c>
      <c r="G1183" s="382">
        <f>IF(AND('DICIEMBRE 2026'!D32&lt;&gt;"",'DICIEMBRE 2026'!Z32="POR RECOGER"),'DICIEMBRE 2026'!M32,"")</f>
        <v/>
      </c>
      <c r="H1183" s="382">
        <f>IF(AND('DICIEMBRE 2026'!D32&lt;&gt;"",'DICIEMBRE 2026'!Z32="POR RECOGER"),'DICIEMBRE 2026'!N32,"")</f>
        <v/>
      </c>
      <c r="I1183" s="381">
        <f>IF(AND('DICIEMBRE 2026'!D32&lt;&gt;"",'DICIEMBRE 2026'!Z32="POR RECOGER"),'DICIEMBRE 2026'!P32,"")</f>
        <v/>
      </c>
      <c r="J1183" s="381">
        <f>IF(AND('DICIEMBRE 2026'!D32&lt;&gt;"",'DICIEMBRE 2026'!Z32="POR RECOGER"),'DICIEMBRE 2026'!Q32,"")</f>
        <v/>
      </c>
      <c r="K1183" s="381">
        <f>IF(AND('DICIEMBRE 2026'!D32&lt;&gt;"",'DICIEMBRE 2026'!Z32="POR RECOGER"),'DICIEMBRE 2026'!Y32,"")</f>
        <v/>
      </c>
      <c r="L1183" s="381">
        <f>IF(AND('DICIEMBRE 2026'!D32&lt;&gt;"",'DICIEMBRE 2026'!Z32="POR RECOGER"),'DICIEMBRE 2026'!I32,"")</f>
        <v/>
      </c>
      <c r="P1183" s="194" t="n"/>
      <c r="Q1183" s="194" t="n"/>
      <c r="R1183" s="194" t="n"/>
      <c r="S1183" s="194" t="n"/>
      <c r="T1183" s="194" t="n"/>
      <c r="U1183" s="194" t="n"/>
      <c r="V1183" s="194" t="n"/>
      <c r="W1183" s="194" t="n"/>
      <c r="X1183" s="194" t="n"/>
      <c r="Y1183" s="194" t="n"/>
      <c r="Z1183" s="194" t="n"/>
    </row>
    <row r="1184" ht="15" customHeight="1" s="195">
      <c r="A1184" s="381">
        <f>IF(AND('DICIEMBRE 2026'!D33&lt;&gt;"",'DICIEMBRE 2026'!Z33="POR RECOGER"),"DIC","")</f>
        <v/>
      </c>
      <c r="B1184" s="381">
        <f>IF(AND('DICIEMBRE 2026'!D33&lt;&gt;"",'DICIEMBRE 2026'!Z33="POR RECOGER"),IF('DICIEMBRE 2026'!Y33&lt;&gt;"",'DICIEMBRE 2026'!Y33,'DICIEMBRE 2026'!I33),"")</f>
        <v/>
      </c>
      <c r="C1184" s="381">
        <f>IF(AND('DICIEMBRE 2026'!D33&lt;&gt;"",'DICIEMBRE 2026'!Z33="POR RECOGER"),'DICIEMBRE 2026'!D33,"")</f>
        <v/>
      </c>
      <c r="D1184" s="381">
        <f>IF(AND('DICIEMBRE 2026'!D33&lt;&gt;"",'DICIEMBRE 2026'!Z33="POR RECOGER"),'DICIEMBRE 2026'!F33,"")</f>
        <v/>
      </c>
      <c r="E1184" s="381">
        <f>IF(AND('DICIEMBRE 2026'!D33&lt;&gt;"",'DICIEMBRE 2026'!Z33="POR RECOGER"),TEXT('DICIEMBRE 2026'!G33,"DD/MM/YYYY"),"")</f>
        <v/>
      </c>
      <c r="F1184" s="381">
        <f>IF(AND('DICIEMBRE 2026'!D33&lt;&gt;"",'DICIEMBRE 2026'!Z33="POR RECOGER"),'DICIEMBRE 2026'!K33,"")</f>
        <v/>
      </c>
      <c r="G1184" s="382">
        <f>IF(AND('DICIEMBRE 2026'!D33&lt;&gt;"",'DICIEMBRE 2026'!Z33="POR RECOGER"),'DICIEMBRE 2026'!M33,"")</f>
        <v/>
      </c>
      <c r="H1184" s="382">
        <f>IF(AND('DICIEMBRE 2026'!D33&lt;&gt;"",'DICIEMBRE 2026'!Z33="POR RECOGER"),'DICIEMBRE 2026'!N33,"")</f>
        <v/>
      </c>
      <c r="I1184" s="381">
        <f>IF(AND('DICIEMBRE 2026'!D33&lt;&gt;"",'DICIEMBRE 2026'!Z33="POR RECOGER"),'DICIEMBRE 2026'!P33,"")</f>
        <v/>
      </c>
      <c r="J1184" s="381">
        <f>IF(AND('DICIEMBRE 2026'!D33&lt;&gt;"",'DICIEMBRE 2026'!Z33="POR RECOGER"),'DICIEMBRE 2026'!Q33,"")</f>
        <v/>
      </c>
      <c r="K1184" s="381">
        <f>IF(AND('DICIEMBRE 2026'!D33&lt;&gt;"",'DICIEMBRE 2026'!Z33="POR RECOGER"),'DICIEMBRE 2026'!Y33,"")</f>
        <v/>
      </c>
      <c r="L1184" s="381">
        <f>IF(AND('DICIEMBRE 2026'!D33&lt;&gt;"",'DICIEMBRE 2026'!Z33="POR RECOGER"),'DICIEMBRE 2026'!I33,"")</f>
        <v/>
      </c>
      <c r="P1184" s="194" t="n"/>
      <c r="Q1184" s="194" t="n"/>
      <c r="R1184" s="194" t="n"/>
      <c r="S1184" s="194" t="n"/>
      <c r="T1184" s="194" t="n"/>
      <c r="U1184" s="194" t="n"/>
      <c r="V1184" s="194" t="n"/>
      <c r="W1184" s="194" t="n"/>
      <c r="X1184" s="194" t="n"/>
      <c r="Y1184" s="194" t="n"/>
      <c r="Z1184" s="194" t="n"/>
    </row>
    <row r="1185" ht="15" customHeight="1" s="195">
      <c r="A1185" s="381">
        <f>IF(AND('DICIEMBRE 2026'!D34&lt;&gt;"",'DICIEMBRE 2026'!Z34="POR RECOGER"),"DIC","")</f>
        <v/>
      </c>
      <c r="B1185" s="381">
        <f>IF(AND('DICIEMBRE 2026'!D34&lt;&gt;"",'DICIEMBRE 2026'!Z34="POR RECOGER"),IF('DICIEMBRE 2026'!Y34&lt;&gt;"",'DICIEMBRE 2026'!Y34,'DICIEMBRE 2026'!I34),"")</f>
        <v/>
      </c>
      <c r="C1185" s="381">
        <f>IF(AND('DICIEMBRE 2026'!D34&lt;&gt;"",'DICIEMBRE 2026'!Z34="POR RECOGER"),'DICIEMBRE 2026'!D34,"")</f>
        <v/>
      </c>
      <c r="D1185" s="381">
        <f>IF(AND('DICIEMBRE 2026'!D34&lt;&gt;"",'DICIEMBRE 2026'!Z34="POR RECOGER"),'DICIEMBRE 2026'!F34,"")</f>
        <v/>
      </c>
      <c r="E1185" s="381">
        <f>IF(AND('DICIEMBRE 2026'!D34&lt;&gt;"",'DICIEMBRE 2026'!Z34="POR RECOGER"),TEXT('DICIEMBRE 2026'!G34,"DD/MM/YYYY"),"")</f>
        <v/>
      </c>
      <c r="F1185" s="381">
        <f>IF(AND('DICIEMBRE 2026'!D34&lt;&gt;"",'DICIEMBRE 2026'!Z34="POR RECOGER"),'DICIEMBRE 2026'!K34,"")</f>
        <v/>
      </c>
      <c r="G1185" s="382">
        <f>IF(AND('DICIEMBRE 2026'!D34&lt;&gt;"",'DICIEMBRE 2026'!Z34="POR RECOGER"),'DICIEMBRE 2026'!M34,"")</f>
        <v/>
      </c>
      <c r="H1185" s="382">
        <f>IF(AND('DICIEMBRE 2026'!D34&lt;&gt;"",'DICIEMBRE 2026'!Z34="POR RECOGER"),'DICIEMBRE 2026'!N34,"")</f>
        <v/>
      </c>
      <c r="I1185" s="381">
        <f>IF(AND('DICIEMBRE 2026'!D34&lt;&gt;"",'DICIEMBRE 2026'!Z34="POR RECOGER"),'DICIEMBRE 2026'!P34,"")</f>
        <v/>
      </c>
      <c r="J1185" s="381">
        <f>IF(AND('DICIEMBRE 2026'!D34&lt;&gt;"",'DICIEMBRE 2026'!Z34="POR RECOGER"),'DICIEMBRE 2026'!Q34,"")</f>
        <v/>
      </c>
      <c r="K1185" s="381">
        <f>IF(AND('DICIEMBRE 2026'!D34&lt;&gt;"",'DICIEMBRE 2026'!Z34="POR RECOGER"),'DICIEMBRE 2026'!Y34,"")</f>
        <v/>
      </c>
      <c r="L1185" s="381">
        <f>IF(AND('DICIEMBRE 2026'!D34&lt;&gt;"",'DICIEMBRE 2026'!Z34="POR RECOGER"),'DICIEMBRE 2026'!I34,"")</f>
        <v/>
      </c>
      <c r="P1185" s="194" t="n"/>
      <c r="Q1185" s="194" t="n"/>
      <c r="R1185" s="194" t="n"/>
      <c r="S1185" s="194" t="n"/>
      <c r="T1185" s="194" t="n"/>
      <c r="U1185" s="194" t="n"/>
      <c r="V1185" s="194" t="n"/>
      <c r="W1185" s="194" t="n"/>
      <c r="X1185" s="194" t="n"/>
      <c r="Y1185" s="194" t="n"/>
      <c r="Z1185" s="194" t="n"/>
    </row>
    <row r="1186" ht="15" customHeight="1" s="195">
      <c r="A1186" s="381">
        <f>IF(AND('DICIEMBRE 2026'!D35&lt;&gt;"",'DICIEMBRE 2026'!Z35="POR RECOGER"),"DIC","")</f>
        <v/>
      </c>
      <c r="B1186" s="381">
        <f>IF(AND('DICIEMBRE 2026'!D35&lt;&gt;"",'DICIEMBRE 2026'!Z35="POR RECOGER"),IF('DICIEMBRE 2026'!Y35&lt;&gt;"",'DICIEMBRE 2026'!Y35,'DICIEMBRE 2026'!I35),"")</f>
        <v/>
      </c>
      <c r="C1186" s="381">
        <f>IF(AND('DICIEMBRE 2026'!D35&lt;&gt;"",'DICIEMBRE 2026'!Z35="POR RECOGER"),'DICIEMBRE 2026'!D35,"")</f>
        <v/>
      </c>
      <c r="D1186" s="381">
        <f>IF(AND('DICIEMBRE 2026'!D35&lt;&gt;"",'DICIEMBRE 2026'!Z35="POR RECOGER"),'DICIEMBRE 2026'!F35,"")</f>
        <v/>
      </c>
      <c r="E1186" s="381">
        <f>IF(AND('DICIEMBRE 2026'!D35&lt;&gt;"",'DICIEMBRE 2026'!Z35="POR RECOGER"),TEXT('DICIEMBRE 2026'!G35,"DD/MM/YYYY"),"")</f>
        <v/>
      </c>
      <c r="F1186" s="381">
        <f>IF(AND('DICIEMBRE 2026'!D35&lt;&gt;"",'DICIEMBRE 2026'!Z35="POR RECOGER"),'DICIEMBRE 2026'!K35,"")</f>
        <v/>
      </c>
      <c r="G1186" s="382">
        <f>IF(AND('DICIEMBRE 2026'!D35&lt;&gt;"",'DICIEMBRE 2026'!Z35="POR RECOGER"),'DICIEMBRE 2026'!M35,"")</f>
        <v/>
      </c>
      <c r="H1186" s="382">
        <f>IF(AND('DICIEMBRE 2026'!D35&lt;&gt;"",'DICIEMBRE 2026'!Z35="POR RECOGER"),'DICIEMBRE 2026'!N35,"")</f>
        <v/>
      </c>
      <c r="I1186" s="381">
        <f>IF(AND('DICIEMBRE 2026'!D35&lt;&gt;"",'DICIEMBRE 2026'!Z35="POR RECOGER"),'DICIEMBRE 2026'!P35,"")</f>
        <v/>
      </c>
      <c r="J1186" s="381">
        <f>IF(AND('DICIEMBRE 2026'!D35&lt;&gt;"",'DICIEMBRE 2026'!Z35="POR RECOGER"),'DICIEMBRE 2026'!Q35,"")</f>
        <v/>
      </c>
      <c r="K1186" s="381">
        <f>IF(AND('DICIEMBRE 2026'!D35&lt;&gt;"",'DICIEMBRE 2026'!Z35="POR RECOGER"),'DICIEMBRE 2026'!Y35,"")</f>
        <v/>
      </c>
      <c r="L1186" s="381">
        <f>IF(AND('DICIEMBRE 2026'!D35&lt;&gt;"",'DICIEMBRE 2026'!Z35="POR RECOGER"),'DICIEMBRE 2026'!I35,"")</f>
        <v/>
      </c>
      <c r="P1186" s="194" t="n"/>
      <c r="Q1186" s="194" t="n"/>
      <c r="R1186" s="194" t="n"/>
      <c r="S1186" s="194" t="n"/>
      <c r="T1186" s="194" t="n"/>
      <c r="U1186" s="194" t="n"/>
      <c r="V1186" s="194" t="n"/>
      <c r="W1186" s="194" t="n"/>
      <c r="X1186" s="194" t="n"/>
      <c r="Y1186" s="194" t="n"/>
      <c r="Z1186" s="194" t="n"/>
    </row>
    <row r="1187" ht="15" customHeight="1" s="195">
      <c r="A1187" s="381">
        <f>IF(AND('DICIEMBRE 2026'!D36&lt;&gt;"",'DICIEMBRE 2026'!Z36="POR RECOGER"),"DIC","")</f>
        <v/>
      </c>
      <c r="B1187" s="381">
        <f>IF(AND('DICIEMBRE 2026'!D36&lt;&gt;"",'DICIEMBRE 2026'!Z36="POR RECOGER"),IF('DICIEMBRE 2026'!Y36&lt;&gt;"",'DICIEMBRE 2026'!Y36,'DICIEMBRE 2026'!I36),"")</f>
        <v/>
      </c>
      <c r="C1187" s="381">
        <f>IF(AND('DICIEMBRE 2026'!D36&lt;&gt;"",'DICIEMBRE 2026'!Z36="POR RECOGER"),'DICIEMBRE 2026'!D36,"")</f>
        <v/>
      </c>
      <c r="D1187" s="381">
        <f>IF(AND('DICIEMBRE 2026'!D36&lt;&gt;"",'DICIEMBRE 2026'!Z36="POR RECOGER"),'DICIEMBRE 2026'!F36,"")</f>
        <v/>
      </c>
      <c r="E1187" s="381">
        <f>IF(AND('DICIEMBRE 2026'!D36&lt;&gt;"",'DICIEMBRE 2026'!Z36="POR RECOGER"),TEXT('DICIEMBRE 2026'!G36,"DD/MM/YYYY"),"")</f>
        <v/>
      </c>
      <c r="F1187" s="381">
        <f>IF(AND('DICIEMBRE 2026'!D36&lt;&gt;"",'DICIEMBRE 2026'!Z36="POR RECOGER"),'DICIEMBRE 2026'!K36,"")</f>
        <v/>
      </c>
      <c r="G1187" s="382">
        <f>IF(AND('DICIEMBRE 2026'!D36&lt;&gt;"",'DICIEMBRE 2026'!Z36="POR RECOGER"),'DICIEMBRE 2026'!M36,"")</f>
        <v/>
      </c>
      <c r="H1187" s="382">
        <f>IF(AND('DICIEMBRE 2026'!D36&lt;&gt;"",'DICIEMBRE 2026'!Z36="POR RECOGER"),'DICIEMBRE 2026'!N36,"")</f>
        <v/>
      </c>
      <c r="I1187" s="381">
        <f>IF(AND('DICIEMBRE 2026'!D36&lt;&gt;"",'DICIEMBRE 2026'!Z36="POR RECOGER"),'DICIEMBRE 2026'!P36,"")</f>
        <v/>
      </c>
      <c r="J1187" s="381">
        <f>IF(AND('DICIEMBRE 2026'!D36&lt;&gt;"",'DICIEMBRE 2026'!Z36="POR RECOGER"),'DICIEMBRE 2026'!Q36,"")</f>
        <v/>
      </c>
      <c r="K1187" s="381">
        <f>IF(AND('DICIEMBRE 2026'!D36&lt;&gt;"",'DICIEMBRE 2026'!Z36="POR RECOGER"),'DICIEMBRE 2026'!Y36,"")</f>
        <v/>
      </c>
      <c r="L1187" s="381">
        <f>IF(AND('DICIEMBRE 2026'!D36&lt;&gt;"",'DICIEMBRE 2026'!Z36="POR RECOGER"),'DICIEMBRE 2026'!I36,"")</f>
        <v/>
      </c>
      <c r="P1187" s="194" t="n"/>
      <c r="Q1187" s="194" t="n"/>
      <c r="R1187" s="194" t="n"/>
      <c r="S1187" s="194" t="n"/>
      <c r="T1187" s="194" t="n"/>
      <c r="U1187" s="194" t="n"/>
      <c r="V1187" s="194" t="n"/>
      <c r="W1187" s="194" t="n"/>
      <c r="X1187" s="194" t="n"/>
      <c r="Y1187" s="194" t="n"/>
      <c r="Z1187" s="194" t="n"/>
    </row>
    <row r="1188" ht="15" customHeight="1" s="195">
      <c r="A1188" s="381">
        <f>IF(AND('DICIEMBRE 2026'!D37&lt;&gt;"",'DICIEMBRE 2026'!Z37="POR RECOGER"),"DIC","")</f>
        <v/>
      </c>
      <c r="B1188" s="381">
        <f>IF(AND('DICIEMBRE 2026'!D37&lt;&gt;"",'DICIEMBRE 2026'!Z37="POR RECOGER"),IF('DICIEMBRE 2026'!Y37&lt;&gt;"",'DICIEMBRE 2026'!Y37,'DICIEMBRE 2026'!I37),"")</f>
        <v/>
      </c>
      <c r="C1188" s="381">
        <f>IF(AND('DICIEMBRE 2026'!D37&lt;&gt;"",'DICIEMBRE 2026'!Z37="POR RECOGER"),'DICIEMBRE 2026'!D37,"")</f>
        <v/>
      </c>
      <c r="D1188" s="381">
        <f>IF(AND('DICIEMBRE 2026'!D37&lt;&gt;"",'DICIEMBRE 2026'!Z37="POR RECOGER"),'DICIEMBRE 2026'!F37,"")</f>
        <v/>
      </c>
      <c r="E1188" s="381">
        <f>IF(AND('DICIEMBRE 2026'!D37&lt;&gt;"",'DICIEMBRE 2026'!Z37="POR RECOGER"),TEXT('DICIEMBRE 2026'!G37,"DD/MM/YYYY"),"")</f>
        <v/>
      </c>
      <c r="F1188" s="381">
        <f>IF(AND('DICIEMBRE 2026'!D37&lt;&gt;"",'DICIEMBRE 2026'!Z37="POR RECOGER"),'DICIEMBRE 2026'!K37,"")</f>
        <v/>
      </c>
      <c r="G1188" s="382">
        <f>IF(AND('DICIEMBRE 2026'!D37&lt;&gt;"",'DICIEMBRE 2026'!Z37="POR RECOGER"),'DICIEMBRE 2026'!M37,"")</f>
        <v/>
      </c>
      <c r="H1188" s="382">
        <f>IF(AND('DICIEMBRE 2026'!D37&lt;&gt;"",'DICIEMBRE 2026'!Z37="POR RECOGER"),'DICIEMBRE 2026'!N37,"")</f>
        <v/>
      </c>
      <c r="I1188" s="381">
        <f>IF(AND('DICIEMBRE 2026'!D37&lt;&gt;"",'DICIEMBRE 2026'!Z37="POR RECOGER"),'DICIEMBRE 2026'!P37,"")</f>
        <v/>
      </c>
      <c r="J1188" s="381">
        <f>IF(AND('DICIEMBRE 2026'!D37&lt;&gt;"",'DICIEMBRE 2026'!Z37="POR RECOGER"),'DICIEMBRE 2026'!Q37,"")</f>
        <v/>
      </c>
      <c r="K1188" s="381">
        <f>IF(AND('DICIEMBRE 2026'!D37&lt;&gt;"",'DICIEMBRE 2026'!Z37="POR RECOGER"),'DICIEMBRE 2026'!Y37,"")</f>
        <v/>
      </c>
      <c r="L1188" s="381">
        <f>IF(AND('DICIEMBRE 2026'!D37&lt;&gt;"",'DICIEMBRE 2026'!Z37="POR RECOGER"),'DICIEMBRE 2026'!I37,"")</f>
        <v/>
      </c>
      <c r="P1188" s="194" t="n"/>
      <c r="Q1188" s="194" t="n"/>
      <c r="R1188" s="194" t="n"/>
      <c r="S1188" s="194" t="n"/>
      <c r="T1188" s="194" t="n"/>
      <c r="U1188" s="194" t="n"/>
      <c r="V1188" s="194" t="n"/>
      <c r="W1188" s="194" t="n"/>
      <c r="X1188" s="194" t="n"/>
      <c r="Y1188" s="194" t="n"/>
      <c r="Z1188" s="194" t="n"/>
    </row>
    <row r="1189" ht="15" customHeight="1" s="195">
      <c r="A1189" s="381">
        <f>IF(AND('DICIEMBRE 2026'!D38&lt;&gt;"",'DICIEMBRE 2026'!Z38="POR RECOGER"),"DIC","")</f>
        <v/>
      </c>
      <c r="B1189" s="381">
        <f>IF(AND('DICIEMBRE 2026'!D38&lt;&gt;"",'DICIEMBRE 2026'!Z38="POR RECOGER"),IF('DICIEMBRE 2026'!Y38&lt;&gt;"",'DICIEMBRE 2026'!Y38,'DICIEMBRE 2026'!I38),"")</f>
        <v/>
      </c>
      <c r="C1189" s="381">
        <f>IF(AND('DICIEMBRE 2026'!D38&lt;&gt;"",'DICIEMBRE 2026'!Z38="POR RECOGER"),'DICIEMBRE 2026'!D38,"")</f>
        <v/>
      </c>
      <c r="D1189" s="381">
        <f>IF(AND('DICIEMBRE 2026'!D38&lt;&gt;"",'DICIEMBRE 2026'!Z38="POR RECOGER"),'DICIEMBRE 2026'!F38,"")</f>
        <v/>
      </c>
      <c r="E1189" s="381">
        <f>IF(AND('DICIEMBRE 2026'!D38&lt;&gt;"",'DICIEMBRE 2026'!Z38="POR RECOGER"),TEXT('DICIEMBRE 2026'!G38,"DD/MM/YYYY"),"")</f>
        <v/>
      </c>
      <c r="F1189" s="381">
        <f>IF(AND('DICIEMBRE 2026'!D38&lt;&gt;"",'DICIEMBRE 2026'!Z38="POR RECOGER"),'DICIEMBRE 2026'!K38,"")</f>
        <v/>
      </c>
      <c r="G1189" s="382">
        <f>IF(AND('DICIEMBRE 2026'!D38&lt;&gt;"",'DICIEMBRE 2026'!Z38="POR RECOGER"),'DICIEMBRE 2026'!M38,"")</f>
        <v/>
      </c>
      <c r="H1189" s="382">
        <f>IF(AND('DICIEMBRE 2026'!D38&lt;&gt;"",'DICIEMBRE 2026'!Z38="POR RECOGER"),'DICIEMBRE 2026'!N38,"")</f>
        <v/>
      </c>
      <c r="I1189" s="381">
        <f>IF(AND('DICIEMBRE 2026'!D38&lt;&gt;"",'DICIEMBRE 2026'!Z38="POR RECOGER"),'DICIEMBRE 2026'!P38,"")</f>
        <v/>
      </c>
      <c r="J1189" s="381">
        <f>IF(AND('DICIEMBRE 2026'!D38&lt;&gt;"",'DICIEMBRE 2026'!Z38="POR RECOGER"),'DICIEMBRE 2026'!Q38,"")</f>
        <v/>
      </c>
      <c r="K1189" s="381">
        <f>IF(AND('DICIEMBRE 2026'!D38&lt;&gt;"",'DICIEMBRE 2026'!Z38="POR RECOGER"),'DICIEMBRE 2026'!Y38,"")</f>
        <v/>
      </c>
      <c r="L1189" s="381">
        <f>IF(AND('DICIEMBRE 2026'!D38&lt;&gt;"",'DICIEMBRE 2026'!Z38="POR RECOGER"),'DICIEMBRE 2026'!I38,"")</f>
        <v/>
      </c>
      <c r="P1189" s="194" t="n"/>
      <c r="Q1189" s="194" t="n"/>
      <c r="R1189" s="194" t="n"/>
      <c r="S1189" s="194" t="n"/>
      <c r="T1189" s="194" t="n"/>
      <c r="U1189" s="194" t="n"/>
      <c r="V1189" s="194" t="n"/>
      <c r="W1189" s="194" t="n"/>
      <c r="X1189" s="194" t="n"/>
      <c r="Y1189" s="194" t="n"/>
      <c r="Z1189" s="194" t="n"/>
    </row>
    <row r="1190" ht="15" customHeight="1" s="195">
      <c r="A1190" s="381">
        <f>IF(AND('DICIEMBRE 2026'!D39&lt;&gt;"",'DICIEMBRE 2026'!Z39="POR RECOGER"),"DIC","")</f>
        <v/>
      </c>
      <c r="B1190" s="381">
        <f>IF(AND('DICIEMBRE 2026'!D39&lt;&gt;"",'DICIEMBRE 2026'!Z39="POR RECOGER"),IF('DICIEMBRE 2026'!Y39&lt;&gt;"",'DICIEMBRE 2026'!Y39,'DICIEMBRE 2026'!I39),"")</f>
        <v/>
      </c>
      <c r="C1190" s="381">
        <f>IF(AND('DICIEMBRE 2026'!D39&lt;&gt;"",'DICIEMBRE 2026'!Z39="POR RECOGER"),'DICIEMBRE 2026'!D39,"")</f>
        <v/>
      </c>
      <c r="D1190" s="381">
        <f>IF(AND('DICIEMBRE 2026'!D39&lt;&gt;"",'DICIEMBRE 2026'!Z39="POR RECOGER"),'DICIEMBRE 2026'!F39,"")</f>
        <v/>
      </c>
      <c r="E1190" s="381">
        <f>IF(AND('DICIEMBRE 2026'!D39&lt;&gt;"",'DICIEMBRE 2026'!Z39="POR RECOGER"),TEXT('DICIEMBRE 2026'!G39,"DD/MM/YYYY"),"")</f>
        <v/>
      </c>
      <c r="F1190" s="381">
        <f>IF(AND('DICIEMBRE 2026'!D39&lt;&gt;"",'DICIEMBRE 2026'!Z39="POR RECOGER"),'DICIEMBRE 2026'!K39,"")</f>
        <v/>
      </c>
      <c r="G1190" s="382">
        <f>IF(AND('DICIEMBRE 2026'!D39&lt;&gt;"",'DICIEMBRE 2026'!Z39="POR RECOGER"),'DICIEMBRE 2026'!M39,"")</f>
        <v/>
      </c>
      <c r="H1190" s="382">
        <f>IF(AND('DICIEMBRE 2026'!D39&lt;&gt;"",'DICIEMBRE 2026'!Z39="POR RECOGER"),'DICIEMBRE 2026'!N39,"")</f>
        <v/>
      </c>
      <c r="I1190" s="381">
        <f>IF(AND('DICIEMBRE 2026'!D39&lt;&gt;"",'DICIEMBRE 2026'!Z39="POR RECOGER"),'DICIEMBRE 2026'!P39,"")</f>
        <v/>
      </c>
      <c r="J1190" s="381">
        <f>IF(AND('DICIEMBRE 2026'!D39&lt;&gt;"",'DICIEMBRE 2026'!Z39="POR RECOGER"),'DICIEMBRE 2026'!Q39,"")</f>
        <v/>
      </c>
      <c r="K1190" s="381">
        <f>IF(AND('DICIEMBRE 2026'!D39&lt;&gt;"",'DICIEMBRE 2026'!Z39="POR RECOGER"),'DICIEMBRE 2026'!Y39,"")</f>
        <v/>
      </c>
      <c r="L1190" s="381">
        <f>IF(AND('DICIEMBRE 2026'!D39&lt;&gt;"",'DICIEMBRE 2026'!Z39="POR RECOGER"),'DICIEMBRE 2026'!I39,"")</f>
        <v/>
      </c>
      <c r="P1190" s="194" t="n"/>
      <c r="Q1190" s="194" t="n"/>
      <c r="R1190" s="194" t="n"/>
      <c r="S1190" s="194" t="n"/>
      <c r="T1190" s="194" t="n"/>
      <c r="U1190" s="194" t="n"/>
      <c r="V1190" s="194" t="n"/>
      <c r="W1190" s="194" t="n"/>
      <c r="X1190" s="194" t="n"/>
      <c r="Y1190" s="194" t="n"/>
      <c r="Z1190" s="194" t="n"/>
    </row>
    <row r="1191" ht="15" customHeight="1" s="195">
      <c r="A1191" s="381">
        <f>IF(AND('DICIEMBRE 2026'!D40&lt;&gt;"",'DICIEMBRE 2026'!Z40="POR RECOGER"),"DIC","")</f>
        <v/>
      </c>
      <c r="B1191" s="381">
        <f>IF(AND('DICIEMBRE 2026'!D40&lt;&gt;"",'DICIEMBRE 2026'!Z40="POR RECOGER"),IF('DICIEMBRE 2026'!Y40&lt;&gt;"",'DICIEMBRE 2026'!Y40,'DICIEMBRE 2026'!I40),"")</f>
        <v/>
      </c>
      <c r="C1191" s="381">
        <f>IF(AND('DICIEMBRE 2026'!D40&lt;&gt;"",'DICIEMBRE 2026'!Z40="POR RECOGER"),'DICIEMBRE 2026'!D40,"")</f>
        <v/>
      </c>
      <c r="D1191" s="381">
        <f>IF(AND('DICIEMBRE 2026'!D40&lt;&gt;"",'DICIEMBRE 2026'!Z40="POR RECOGER"),'DICIEMBRE 2026'!F40,"")</f>
        <v/>
      </c>
      <c r="E1191" s="381">
        <f>IF(AND('DICIEMBRE 2026'!D40&lt;&gt;"",'DICIEMBRE 2026'!Z40="POR RECOGER"),TEXT('DICIEMBRE 2026'!G40,"DD/MM/YYYY"),"")</f>
        <v/>
      </c>
      <c r="F1191" s="381">
        <f>IF(AND('DICIEMBRE 2026'!D40&lt;&gt;"",'DICIEMBRE 2026'!Z40="POR RECOGER"),'DICIEMBRE 2026'!K40,"")</f>
        <v/>
      </c>
      <c r="G1191" s="382">
        <f>IF(AND('DICIEMBRE 2026'!D40&lt;&gt;"",'DICIEMBRE 2026'!Z40="POR RECOGER"),'DICIEMBRE 2026'!M40,"")</f>
        <v/>
      </c>
      <c r="H1191" s="382">
        <f>IF(AND('DICIEMBRE 2026'!D40&lt;&gt;"",'DICIEMBRE 2026'!Z40="POR RECOGER"),'DICIEMBRE 2026'!N40,"")</f>
        <v/>
      </c>
      <c r="I1191" s="381">
        <f>IF(AND('DICIEMBRE 2026'!D40&lt;&gt;"",'DICIEMBRE 2026'!Z40="POR RECOGER"),'DICIEMBRE 2026'!P40,"")</f>
        <v/>
      </c>
      <c r="J1191" s="381">
        <f>IF(AND('DICIEMBRE 2026'!D40&lt;&gt;"",'DICIEMBRE 2026'!Z40="POR RECOGER"),'DICIEMBRE 2026'!Q40,"")</f>
        <v/>
      </c>
      <c r="K1191" s="381">
        <f>IF(AND('DICIEMBRE 2026'!D40&lt;&gt;"",'DICIEMBRE 2026'!Z40="POR RECOGER"),'DICIEMBRE 2026'!Y40,"")</f>
        <v/>
      </c>
      <c r="L1191" s="381">
        <f>IF(AND('DICIEMBRE 2026'!D40&lt;&gt;"",'DICIEMBRE 2026'!Z40="POR RECOGER"),'DICIEMBRE 2026'!I40,"")</f>
        <v/>
      </c>
      <c r="P1191" s="194" t="n"/>
      <c r="Q1191" s="194" t="n"/>
      <c r="R1191" s="194" t="n"/>
      <c r="S1191" s="194" t="n"/>
      <c r="T1191" s="194" t="n"/>
      <c r="U1191" s="194" t="n"/>
      <c r="V1191" s="194" t="n"/>
      <c r="W1191" s="194" t="n"/>
      <c r="X1191" s="194" t="n"/>
      <c r="Y1191" s="194" t="n"/>
      <c r="Z1191" s="194" t="n"/>
    </row>
    <row r="1192" ht="15" customHeight="1" s="195">
      <c r="A1192" s="381">
        <f>IF(AND('DICIEMBRE 2026'!D41&lt;&gt;"",'DICIEMBRE 2026'!Z41="POR RECOGER"),"DIC","")</f>
        <v/>
      </c>
      <c r="B1192" s="381">
        <f>IF(AND('DICIEMBRE 2026'!D41&lt;&gt;"",'DICIEMBRE 2026'!Z41="POR RECOGER"),IF('DICIEMBRE 2026'!Y41&lt;&gt;"",'DICIEMBRE 2026'!Y41,'DICIEMBRE 2026'!I41),"")</f>
        <v/>
      </c>
      <c r="C1192" s="381">
        <f>IF(AND('DICIEMBRE 2026'!D41&lt;&gt;"",'DICIEMBRE 2026'!Z41="POR RECOGER"),'DICIEMBRE 2026'!D41,"")</f>
        <v/>
      </c>
      <c r="D1192" s="381">
        <f>IF(AND('DICIEMBRE 2026'!D41&lt;&gt;"",'DICIEMBRE 2026'!Z41="POR RECOGER"),'DICIEMBRE 2026'!F41,"")</f>
        <v/>
      </c>
      <c r="E1192" s="381">
        <f>IF(AND('DICIEMBRE 2026'!D41&lt;&gt;"",'DICIEMBRE 2026'!Z41="POR RECOGER"),TEXT('DICIEMBRE 2026'!G41,"DD/MM/YYYY"),"")</f>
        <v/>
      </c>
      <c r="F1192" s="381">
        <f>IF(AND('DICIEMBRE 2026'!D41&lt;&gt;"",'DICIEMBRE 2026'!Z41="POR RECOGER"),'DICIEMBRE 2026'!K41,"")</f>
        <v/>
      </c>
      <c r="G1192" s="382">
        <f>IF(AND('DICIEMBRE 2026'!D41&lt;&gt;"",'DICIEMBRE 2026'!Z41="POR RECOGER"),'DICIEMBRE 2026'!M41,"")</f>
        <v/>
      </c>
      <c r="H1192" s="382">
        <f>IF(AND('DICIEMBRE 2026'!D41&lt;&gt;"",'DICIEMBRE 2026'!Z41="POR RECOGER"),'DICIEMBRE 2026'!N41,"")</f>
        <v/>
      </c>
      <c r="I1192" s="381">
        <f>IF(AND('DICIEMBRE 2026'!D41&lt;&gt;"",'DICIEMBRE 2026'!Z41="POR RECOGER"),'DICIEMBRE 2026'!P41,"")</f>
        <v/>
      </c>
      <c r="J1192" s="381">
        <f>IF(AND('DICIEMBRE 2026'!D41&lt;&gt;"",'DICIEMBRE 2026'!Z41="POR RECOGER"),'DICIEMBRE 2026'!Q41,"")</f>
        <v/>
      </c>
      <c r="K1192" s="381">
        <f>IF(AND('DICIEMBRE 2026'!D41&lt;&gt;"",'DICIEMBRE 2026'!Z41="POR RECOGER"),'DICIEMBRE 2026'!Y41,"")</f>
        <v/>
      </c>
      <c r="L1192" s="381">
        <f>IF(AND('DICIEMBRE 2026'!D41&lt;&gt;"",'DICIEMBRE 2026'!Z41="POR RECOGER"),'DICIEMBRE 2026'!I41,"")</f>
        <v/>
      </c>
      <c r="P1192" s="194" t="n"/>
      <c r="Q1192" s="194" t="n"/>
      <c r="R1192" s="194" t="n"/>
      <c r="S1192" s="194" t="n"/>
      <c r="T1192" s="194" t="n"/>
      <c r="U1192" s="194" t="n"/>
      <c r="V1192" s="194" t="n"/>
      <c r="W1192" s="194" t="n"/>
      <c r="X1192" s="194" t="n"/>
      <c r="Y1192" s="194" t="n"/>
      <c r="Z1192" s="194" t="n"/>
    </row>
    <row r="1193" ht="15" customHeight="1" s="195">
      <c r="A1193" s="381">
        <f>IF(AND('DICIEMBRE 2026'!D42&lt;&gt;"",'DICIEMBRE 2026'!Z42="POR RECOGER"),"DIC","")</f>
        <v/>
      </c>
      <c r="B1193" s="381">
        <f>IF(AND('DICIEMBRE 2026'!D42&lt;&gt;"",'DICIEMBRE 2026'!Z42="POR RECOGER"),IF('DICIEMBRE 2026'!Y42&lt;&gt;"",'DICIEMBRE 2026'!Y42,'DICIEMBRE 2026'!I42),"")</f>
        <v/>
      </c>
      <c r="C1193" s="381">
        <f>IF(AND('DICIEMBRE 2026'!D42&lt;&gt;"",'DICIEMBRE 2026'!Z42="POR RECOGER"),'DICIEMBRE 2026'!D42,"")</f>
        <v/>
      </c>
      <c r="D1193" s="381">
        <f>IF(AND('DICIEMBRE 2026'!D42&lt;&gt;"",'DICIEMBRE 2026'!Z42="POR RECOGER"),'DICIEMBRE 2026'!F42,"")</f>
        <v/>
      </c>
      <c r="E1193" s="381">
        <f>IF(AND('DICIEMBRE 2026'!D42&lt;&gt;"",'DICIEMBRE 2026'!Z42="POR RECOGER"),TEXT('DICIEMBRE 2026'!G42,"DD/MM/YYYY"),"")</f>
        <v/>
      </c>
      <c r="F1193" s="381">
        <f>IF(AND('DICIEMBRE 2026'!D42&lt;&gt;"",'DICIEMBRE 2026'!Z42="POR RECOGER"),'DICIEMBRE 2026'!K42,"")</f>
        <v/>
      </c>
      <c r="G1193" s="382">
        <f>IF(AND('DICIEMBRE 2026'!D42&lt;&gt;"",'DICIEMBRE 2026'!Z42="POR RECOGER"),'DICIEMBRE 2026'!M42,"")</f>
        <v/>
      </c>
      <c r="H1193" s="382">
        <f>IF(AND('DICIEMBRE 2026'!D42&lt;&gt;"",'DICIEMBRE 2026'!Z42="POR RECOGER"),'DICIEMBRE 2026'!N42,"")</f>
        <v/>
      </c>
      <c r="I1193" s="381">
        <f>IF(AND('DICIEMBRE 2026'!D42&lt;&gt;"",'DICIEMBRE 2026'!Z42="POR RECOGER"),'DICIEMBRE 2026'!P42,"")</f>
        <v/>
      </c>
      <c r="J1193" s="381">
        <f>IF(AND('DICIEMBRE 2026'!D42&lt;&gt;"",'DICIEMBRE 2026'!Z42="POR RECOGER"),'DICIEMBRE 2026'!Q42,"")</f>
        <v/>
      </c>
      <c r="K1193" s="381">
        <f>IF(AND('DICIEMBRE 2026'!D42&lt;&gt;"",'DICIEMBRE 2026'!Z42="POR RECOGER"),'DICIEMBRE 2026'!Y42,"")</f>
        <v/>
      </c>
      <c r="L1193" s="381">
        <f>IF(AND('DICIEMBRE 2026'!D42&lt;&gt;"",'DICIEMBRE 2026'!Z42="POR RECOGER"),'DICIEMBRE 2026'!I42,"")</f>
        <v/>
      </c>
      <c r="P1193" s="194" t="n"/>
      <c r="Q1193" s="194" t="n"/>
      <c r="R1193" s="194" t="n"/>
      <c r="S1193" s="194" t="n"/>
      <c r="T1193" s="194" t="n"/>
      <c r="U1193" s="194" t="n"/>
      <c r="V1193" s="194" t="n"/>
      <c r="W1193" s="194" t="n"/>
      <c r="X1193" s="194" t="n"/>
      <c r="Y1193" s="194" t="n"/>
      <c r="Z1193" s="194" t="n"/>
    </row>
    <row r="1194" ht="15" customHeight="1" s="195">
      <c r="A1194" s="381">
        <f>IF(AND('DICIEMBRE 2026'!D43&lt;&gt;"",'DICIEMBRE 2026'!Z43="POR RECOGER"),"DIC","")</f>
        <v/>
      </c>
      <c r="B1194" s="381">
        <f>IF(AND('DICIEMBRE 2026'!D43&lt;&gt;"",'DICIEMBRE 2026'!Z43="POR RECOGER"),IF('DICIEMBRE 2026'!Y43&lt;&gt;"",'DICIEMBRE 2026'!Y43,'DICIEMBRE 2026'!I43),"")</f>
        <v/>
      </c>
      <c r="C1194" s="381">
        <f>IF(AND('DICIEMBRE 2026'!D43&lt;&gt;"",'DICIEMBRE 2026'!Z43="POR RECOGER"),'DICIEMBRE 2026'!D43,"")</f>
        <v/>
      </c>
      <c r="D1194" s="381">
        <f>IF(AND('DICIEMBRE 2026'!D43&lt;&gt;"",'DICIEMBRE 2026'!Z43="POR RECOGER"),'DICIEMBRE 2026'!F43,"")</f>
        <v/>
      </c>
      <c r="E1194" s="381">
        <f>IF(AND('DICIEMBRE 2026'!D43&lt;&gt;"",'DICIEMBRE 2026'!Z43="POR RECOGER"),TEXT('DICIEMBRE 2026'!G43,"DD/MM/YYYY"),"")</f>
        <v/>
      </c>
      <c r="F1194" s="381">
        <f>IF(AND('DICIEMBRE 2026'!D43&lt;&gt;"",'DICIEMBRE 2026'!Z43="POR RECOGER"),'DICIEMBRE 2026'!K43,"")</f>
        <v/>
      </c>
      <c r="G1194" s="382">
        <f>IF(AND('DICIEMBRE 2026'!D43&lt;&gt;"",'DICIEMBRE 2026'!Z43="POR RECOGER"),'DICIEMBRE 2026'!M43,"")</f>
        <v/>
      </c>
      <c r="H1194" s="382">
        <f>IF(AND('DICIEMBRE 2026'!D43&lt;&gt;"",'DICIEMBRE 2026'!Z43="POR RECOGER"),'DICIEMBRE 2026'!N43,"")</f>
        <v/>
      </c>
      <c r="I1194" s="381">
        <f>IF(AND('DICIEMBRE 2026'!D43&lt;&gt;"",'DICIEMBRE 2026'!Z43="POR RECOGER"),'DICIEMBRE 2026'!P43,"")</f>
        <v/>
      </c>
      <c r="J1194" s="381">
        <f>IF(AND('DICIEMBRE 2026'!D43&lt;&gt;"",'DICIEMBRE 2026'!Z43="POR RECOGER"),'DICIEMBRE 2026'!Q43,"")</f>
        <v/>
      </c>
      <c r="K1194" s="381">
        <f>IF(AND('DICIEMBRE 2026'!D43&lt;&gt;"",'DICIEMBRE 2026'!Z43="POR RECOGER"),'DICIEMBRE 2026'!Y43,"")</f>
        <v/>
      </c>
      <c r="L1194" s="381">
        <f>IF(AND('DICIEMBRE 2026'!D43&lt;&gt;"",'DICIEMBRE 2026'!Z43="POR RECOGER"),'DICIEMBRE 2026'!I43,"")</f>
        <v/>
      </c>
      <c r="P1194" s="194" t="n"/>
      <c r="Q1194" s="194" t="n"/>
      <c r="R1194" s="194" t="n"/>
      <c r="S1194" s="194" t="n"/>
      <c r="T1194" s="194" t="n"/>
      <c r="U1194" s="194" t="n"/>
      <c r="V1194" s="194" t="n"/>
      <c r="W1194" s="194" t="n"/>
      <c r="X1194" s="194" t="n"/>
      <c r="Y1194" s="194" t="n"/>
      <c r="Z1194" s="194" t="n"/>
    </row>
    <row r="1195" ht="15" customHeight="1" s="195">
      <c r="A1195" s="381">
        <f>IF(AND('DICIEMBRE 2026'!D44&lt;&gt;"",'DICIEMBRE 2026'!Z44="POR RECOGER"),"DIC","")</f>
        <v/>
      </c>
      <c r="B1195" s="381">
        <f>IF(AND('DICIEMBRE 2026'!D44&lt;&gt;"",'DICIEMBRE 2026'!Z44="POR RECOGER"),IF('DICIEMBRE 2026'!Y44&lt;&gt;"",'DICIEMBRE 2026'!Y44,'DICIEMBRE 2026'!I44),"")</f>
        <v/>
      </c>
      <c r="C1195" s="381">
        <f>IF(AND('DICIEMBRE 2026'!D44&lt;&gt;"",'DICIEMBRE 2026'!Z44="POR RECOGER"),'DICIEMBRE 2026'!D44,"")</f>
        <v/>
      </c>
      <c r="D1195" s="381">
        <f>IF(AND('DICIEMBRE 2026'!D44&lt;&gt;"",'DICIEMBRE 2026'!Z44="POR RECOGER"),'DICIEMBRE 2026'!F44,"")</f>
        <v/>
      </c>
      <c r="E1195" s="381">
        <f>IF(AND('DICIEMBRE 2026'!D44&lt;&gt;"",'DICIEMBRE 2026'!Z44="POR RECOGER"),TEXT('DICIEMBRE 2026'!G44,"DD/MM/YYYY"),"")</f>
        <v/>
      </c>
      <c r="F1195" s="381">
        <f>IF(AND('DICIEMBRE 2026'!D44&lt;&gt;"",'DICIEMBRE 2026'!Z44="POR RECOGER"),'DICIEMBRE 2026'!K44,"")</f>
        <v/>
      </c>
      <c r="G1195" s="382">
        <f>IF(AND('DICIEMBRE 2026'!D44&lt;&gt;"",'DICIEMBRE 2026'!Z44="POR RECOGER"),'DICIEMBRE 2026'!M44,"")</f>
        <v/>
      </c>
      <c r="H1195" s="382">
        <f>IF(AND('DICIEMBRE 2026'!D44&lt;&gt;"",'DICIEMBRE 2026'!Z44="POR RECOGER"),'DICIEMBRE 2026'!N44,"")</f>
        <v/>
      </c>
      <c r="I1195" s="381">
        <f>IF(AND('DICIEMBRE 2026'!D44&lt;&gt;"",'DICIEMBRE 2026'!Z44="POR RECOGER"),'DICIEMBRE 2026'!P44,"")</f>
        <v/>
      </c>
      <c r="J1195" s="381">
        <f>IF(AND('DICIEMBRE 2026'!D44&lt;&gt;"",'DICIEMBRE 2026'!Z44="POR RECOGER"),'DICIEMBRE 2026'!Q44,"")</f>
        <v/>
      </c>
      <c r="K1195" s="381">
        <f>IF(AND('DICIEMBRE 2026'!D44&lt;&gt;"",'DICIEMBRE 2026'!Z44="POR RECOGER"),'DICIEMBRE 2026'!Y44,"")</f>
        <v/>
      </c>
      <c r="L1195" s="381">
        <f>IF(AND('DICIEMBRE 2026'!D44&lt;&gt;"",'DICIEMBRE 2026'!Z44="POR RECOGER"),'DICIEMBRE 2026'!I44,"")</f>
        <v/>
      </c>
      <c r="P1195" s="194" t="n"/>
      <c r="Q1195" s="194" t="n"/>
      <c r="R1195" s="194" t="n"/>
      <c r="S1195" s="194" t="n"/>
      <c r="T1195" s="194" t="n"/>
      <c r="U1195" s="194" t="n"/>
      <c r="V1195" s="194" t="n"/>
      <c r="W1195" s="194" t="n"/>
      <c r="X1195" s="194" t="n"/>
      <c r="Y1195" s="194" t="n"/>
      <c r="Z1195" s="194" t="n"/>
    </row>
    <row r="1196" ht="15" customHeight="1" s="195">
      <c r="A1196" s="381">
        <f>IF(AND('DICIEMBRE 2026'!D45&lt;&gt;"",'DICIEMBRE 2026'!Z45="POR RECOGER"),"DIC","")</f>
        <v/>
      </c>
      <c r="B1196" s="381">
        <f>IF(AND('DICIEMBRE 2026'!D45&lt;&gt;"",'DICIEMBRE 2026'!Z45="POR RECOGER"),IF('DICIEMBRE 2026'!Y45&lt;&gt;"",'DICIEMBRE 2026'!Y45,'DICIEMBRE 2026'!I45),"")</f>
        <v/>
      </c>
      <c r="C1196" s="381">
        <f>IF(AND('DICIEMBRE 2026'!D45&lt;&gt;"",'DICIEMBRE 2026'!Z45="POR RECOGER"),'DICIEMBRE 2026'!D45,"")</f>
        <v/>
      </c>
      <c r="D1196" s="381">
        <f>IF(AND('DICIEMBRE 2026'!D45&lt;&gt;"",'DICIEMBRE 2026'!Z45="POR RECOGER"),'DICIEMBRE 2026'!F45,"")</f>
        <v/>
      </c>
      <c r="E1196" s="381">
        <f>IF(AND('DICIEMBRE 2026'!D45&lt;&gt;"",'DICIEMBRE 2026'!Z45="POR RECOGER"),TEXT('DICIEMBRE 2026'!G45,"DD/MM/YYYY"),"")</f>
        <v/>
      </c>
      <c r="F1196" s="381">
        <f>IF(AND('DICIEMBRE 2026'!D45&lt;&gt;"",'DICIEMBRE 2026'!Z45="POR RECOGER"),'DICIEMBRE 2026'!K45,"")</f>
        <v/>
      </c>
      <c r="G1196" s="382">
        <f>IF(AND('DICIEMBRE 2026'!D45&lt;&gt;"",'DICIEMBRE 2026'!Z45="POR RECOGER"),'DICIEMBRE 2026'!M45,"")</f>
        <v/>
      </c>
      <c r="H1196" s="382">
        <f>IF(AND('DICIEMBRE 2026'!D45&lt;&gt;"",'DICIEMBRE 2026'!Z45="POR RECOGER"),'DICIEMBRE 2026'!N45,"")</f>
        <v/>
      </c>
      <c r="I1196" s="381">
        <f>IF(AND('DICIEMBRE 2026'!D45&lt;&gt;"",'DICIEMBRE 2026'!Z45="POR RECOGER"),'DICIEMBRE 2026'!P45,"")</f>
        <v/>
      </c>
      <c r="J1196" s="381">
        <f>IF(AND('DICIEMBRE 2026'!D45&lt;&gt;"",'DICIEMBRE 2026'!Z45="POR RECOGER"),'DICIEMBRE 2026'!Q45,"")</f>
        <v/>
      </c>
      <c r="K1196" s="381">
        <f>IF(AND('DICIEMBRE 2026'!D45&lt;&gt;"",'DICIEMBRE 2026'!Z45="POR RECOGER"),'DICIEMBRE 2026'!Y45,"")</f>
        <v/>
      </c>
      <c r="L1196" s="381">
        <f>IF(AND('DICIEMBRE 2026'!D45&lt;&gt;"",'DICIEMBRE 2026'!Z45="POR RECOGER"),'DICIEMBRE 2026'!I45,"")</f>
        <v/>
      </c>
      <c r="P1196" s="194" t="n"/>
      <c r="Q1196" s="194" t="n"/>
      <c r="R1196" s="194" t="n"/>
      <c r="S1196" s="194" t="n"/>
      <c r="T1196" s="194" t="n"/>
      <c r="U1196" s="194" t="n"/>
      <c r="V1196" s="194" t="n"/>
      <c r="W1196" s="194" t="n"/>
      <c r="X1196" s="194" t="n"/>
      <c r="Y1196" s="194" t="n"/>
      <c r="Z1196" s="194" t="n"/>
    </row>
    <row r="1197" ht="15" customHeight="1" s="195">
      <c r="A1197" s="381">
        <f>IF(AND('DICIEMBRE 2026'!D46&lt;&gt;"",'DICIEMBRE 2026'!Z46="POR RECOGER"),"DIC","")</f>
        <v/>
      </c>
      <c r="B1197" s="381">
        <f>IF(AND('DICIEMBRE 2026'!D46&lt;&gt;"",'DICIEMBRE 2026'!Z46="POR RECOGER"),IF('DICIEMBRE 2026'!Y46&lt;&gt;"",'DICIEMBRE 2026'!Y46,'DICIEMBRE 2026'!I46),"")</f>
        <v/>
      </c>
      <c r="C1197" s="381">
        <f>IF(AND('DICIEMBRE 2026'!D46&lt;&gt;"",'DICIEMBRE 2026'!Z46="POR RECOGER"),'DICIEMBRE 2026'!D46,"")</f>
        <v/>
      </c>
      <c r="D1197" s="381">
        <f>IF(AND('DICIEMBRE 2026'!D46&lt;&gt;"",'DICIEMBRE 2026'!Z46="POR RECOGER"),'DICIEMBRE 2026'!F46,"")</f>
        <v/>
      </c>
      <c r="E1197" s="381">
        <f>IF(AND('DICIEMBRE 2026'!D46&lt;&gt;"",'DICIEMBRE 2026'!Z46="POR RECOGER"),TEXT('DICIEMBRE 2026'!G46,"DD/MM/YYYY"),"")</f>
        <v/>
      </c>
      <c r="F1197" s="381">
        <f>IF(AND('DICIEMBRE 2026'!D46&lt;&gt;"",'DICIEMBRE 2026'!Z46="POR RECOGER"),'DICIEMBRE 2026'!K46,"")</f>
        <v/>
      </c>
      <c r="G1197" s="382">
        <f>IF(AND('DICIEMBRE 2026'!D46&lt;&gt;"",'DICIEMBRE 2026'!Z46="POR RECOGER"),'DICIEMBRE 2026'!M46,"")</f>
        <v/>
      </c>
      <c r="H1197" s="382">
        <f>IF(AND('DICIEMBRE 2026'!D46&lt;&gt;"",'DICIEMBRE 2026'!Z46="POR RECOGER"),'DICIEMBRE 2026'!N46,"")</f>
        <v/>
      </c>
      <c r="I1197" s="381">
        <f>IF(AND('DICIEMBRE 2026'!D46&lt;&gt;"",'DICIEMBRE 2026'!Z46="POR RECOGER"),'DICIEMBRE 2026'!P46,"")</f>
        <v/>
      </c>
      <c r="J1197" s="381">
        <f>IF(AND('DICIEMBRE 2026'!D46&lt;&gt;"",'DICIEMBRE 2026'!Z46="POR RECOGER"),'DICIEMBRE 2026'!Q46,"")</f>
        <v/>
      </c>
      <c r="K1197" s="381">
        <f>IF(AND('DICIEMBRE 2026'!D46&lt;&gt;"",'DICIEMBRE 2026'!Z46="POR RECOGER"),'DICIEMBRE 2026'!Y46,"")</f>
        <v/>
      </c>
      <c r="L1197" s="381">
        <f>IF(AND('DICIEMBRE 2026'!D46&lt;&gt;"",'DICIEMBRE 2026'!Z46="POR RECOGER"),'DICIEMBRE 2026'!I46,"")</f>
        <v/>
      </c>
      <c r="P1197" s="194" t="n"/>
      <c r="Q1197" s="194" t="n"/>
      <c r="R1197" s="194" t="n"/>
      <c r="S1197" s="194" t="n"/>
      <c r="T1197" s="194" t="n"/>
      <c r="U1197" s="194" t="n"/>
      <c r="V1197" s="194" t="n"/>
      <c r="W1197" s="194" t="n"/>
      <c r="X1197" s="194" t="n"/>
      <c r="Y1197" s="194" t="n"/>
      <c r="Z1197" s="194" t="n"/>
    </row>
    <row r="1198" ht="15" customHeight="1" s="195">
      <c r="A1198" s="381">
        <f>IF(AND('DICIEMBRE 2026'!D47&lt;&gt;"",'DICIEMBRE 2026'!Z47="POR RECOGER"),"DIC","")</f>
        <v/>
      </c>
      <c r="B1198" s="381">
        <f>IF(AND('DICIEMBRE 2026'!D47&lt;&gt;"",'DICIEMBRE 2026'!Z47="POR RECOGER"),IF('DICIEMBRE 2026'!Y47&lt;&gt;"",'DICIEMBRE 2026'!Y47,'DICIEMBRE 2026'!I47),"")</f>
        <v/>
      </c>
      <c r="C1198" s="381">
        <f>IF(AND('DICIEMBRE 2026'!D47&lt;&gt;"",'DICIEMBRE 2026'!Z47="POR RECOGER"),'DICIEMBRE 2026'!D47,"")</f>
        <v/>
      </c>
      <c r="D1198" s="381">
        <f>IF(AND('DICIEMBRE 2026'!D47&lt;&gt;"",'DICIEMBRE 2026'!Z47="POR RECOGER"),'DICIEMBRE 2026'!F47,"")</f>
        <v/>
      </c>
      <c r="E1198" s="381">
        <f>IF(AND('DICIEMBRE 2026'!D47&lt;&gt;"",'DICIEMBRE 2026'!Z47="POR RECOGER"),TEXT('DICIEMBRE 2026'!G47,"DD/MM/YYYY"),"")</f>
        <v/>
      </c>
      <c r="F1198" s="381">
        <f>IF(AND('DICIEMBRE 2026'!D47&lt;&gt;"",'DICIEMBRE 2026'!Z47="POR RECOGER"),'DICIEMBRE 2026'!K47,"")</f>
        <v/>
      </c>
      <c r="G1198" s="382">
        <f>IF(AND('DICIEMBRE 2026'!D47&lt;&gt;"",'DICIEMBRE 2026'!Z47="POR RECOGER"),'DICIEMBRE 2026'!M47,"")</f>
        <v/>
      </c>
      <c r="H1198" s="382">
        <f>IF(AND('DICIEMBRE 2026'!D47&lt;&gt;"",'DICIEMBRE 2026'!Z47="POR RECOGER"),'DICIEMBRE 2026'!N47,"")</f>
        <v/>
      </c>
      <c r="I1198" s="381">
        <f>IF(AND('DICIEMBRE 2026'!D47&lt;&gt;"",'DICIEMBRE 2026'!Z47="POR RECOGER"),'DICIEMBRE 2026'!P47,"")</f>
        <v/>
      </c>
      <c r="J1198" s="381">
        <f>IF(AND('DICIEMBRE 2026'!D47&lt;&gt;"",'DICIEMBRE 2026'!Z47="POR RECOGER"),'DICIEMBRE 2026'!Q47,"")</f>
        <v/>
      </c>
      <c r="K1198" s="381">
        <f>IF(AND('DICIEMBRE 2026'!D47&lt;&gt;"",'DICIEMBRE 2026'!Z47="POR RECOGER"),'DICIEMBRE 2026'!Y47,"")</f>
        <v/>
      </c>
      <c r="L1198" s="381">
        <f>IF(AND('DICIEMBRE 2026'!D47&lt;&gt;"",'DICIEMBRE 2026'!Z47="POR RECOGER"),'DICIEMBRE 2026'!I47,"")</f>
        <v/>
      </c>
      <c r="P1198" s="194" t="n"/>
      <c r="Q1198" s="194" t="n"/>
      <c r="R1198" s="194" t="n"/>
      <c r="S1198" s="194" t="n"/>
      <c r="T1198" s="194" t="n"/>
      <c r="U1198" s="194" t="n"/>
      <c r="V1198" s="194" t="n"/>
      <c r="W1198" s="194" t="n"/>
      <c r="X1198" s="194" t="n"/>
      <c r="Y1198" s="194" t="n"/>
      <c r="Z1198" s="194" t="n"/>
    </row>
    <row r="1199" ht="15" customHeight="1" s="195">
      <c r="A1199" s="381">
        <f>IF(AND('DICIEMBRE 2026'!D48&lt;&gt;"",'DICIEMBRE 2026'!Z48="POR RECOGER"),"DIC","")</f>
        <v/>
      </c>
      <c r="B1199" s="381">
        <f>IF(AND('DICIEMBRE 2026'!D48&lt;&gt;"",'DICIEMBRE 2026'!Z48="POR RECOGER"),IF('DICIEMBRE 2026'!Y48&lt;&gt;"",'DICIEMBRE 2026'!Y48,'DICIEMBRE 2026'!I48),"")</f>
        <v/>
      </c>
      <c r="C1199" s="381">
        <f>IF(AND('DICIEMBRE 2026'!D48&lt;&gt;"",'DICIEMBRE 2026'!Z48="POR RECOGER"),'DICIEMBRE 2026'!D48,"")</f>
        <v/>
      </c>
      <c r="D1199" s="381">
        <f>IF(AND('DICIEMBRE 2026'!D48&lt;&gt;"",'DICIEMBRE 2026'!Z48="POR RECOGER"),'DICIEMBRE 2026'!F48,"")</f>
        <v/>
      </c>
      <c r="E1199" s="381">
        <f>IF(AND('DICIEMBRE 2026'!D48&lt;&gt;"",'DICIEMBRE 2026'!Z48="POR RECOGER"),TEXT('DICIEMBRE 2026'!G48,"DD/MM/YYYY"),"")</f>
        <v/>
      </c>
      <c r="F1199" s="381">
        <f>IF(AND('DICIEMBRE 2026'!D48&lt;&gt;"",'DICIEMBRE 2026'!Z48="POR RECOGER"),'DICIEMBRE 2026'!K48,"")</f>
        <v/>
      </c>
      <c r="G1199" s="382">
        <f>IF(AND('DICIEMBRE 2026'!D48&lt;&gt;"",'DICIEMBRE 2026'!Z48="POR RECOGER"),'DICIEMBRE 2026'!M48,"")</f>
        <v/>
      </c>
      <c r="H1199" s="382">
        <f>IF(AND('DICIEMBRE 2026'!D48&lt;&gt;"",'DICIEMBRE 2026'!Z48="POR RECOGER"),'DICIEMBRE 2026'!N48,"")</f>
        <v/>
      </c>
      <c r="I1199" s="381">
        <f>IF(AND('DICIEMBRE 2026'!D48&lt;&gt;"",'DICIEMBRE 2026'!Z48="POR RECOGER"),'DICIEMBRE 2026'!P48,"")</f>
        <v/>
      </c>
      <c r="J1199" s="381">
        <f>IF(AND('DICIEMBRE 2026'!D48&lt;&gt;"",'DICIEMBRE 2026'!Z48="POR RECOGER"),'DICIEMBRE 2026'!Q48,"")</f>
        <v/>
      </c>
      <c r="K1199" s="381">
        <f>IF(AND('DICIEMBRE 2026'!D48&lt;&gt;"",'DICIEMBRE 2026'!Z48="POR RECOGER"),'DICIEMBRE 2026'!Y48,"")</f>
        <v/>
      </c>
      <c r="L1199" s="381">
        <f>IF(AND('DICIEMBRE 2026'!D48&lt;&gt;"",'DICIEMBRE 2026'!Z48="POR RECOGER"),'DICIEMBRE 2026'!I48,"")</f>
        <v/>
      </c>
      <c r="P1199" s="194" t="n"/>
      <c r="Q1199" s="194" t="n"/>
      <c r="R1199" s="194" t="n"/>
      <c r="S1199" s="194" t="n"/>
      <c r="T1199" s="194" t="n"/>
      <c r="U1199" s="194" t="n"/>
      <c r="V1199" s="194" t="n"/>
      <c r="W1199" s="194" t="n"/>
      <c r="X1199" s="194" t="n"/>
      <c r="Y1199" s="194" t="n"/>
      <c r="Z1199" s="194" t="n"/>
    </row>
    <row r="1200" ht="15" customHeight="1" s="195">
      <c r="A1200" s="381">
        <f>IF(AND('DICIEMBRE 2026'!D49&lt;&gt;"",'DICIEMBRE 2026'!Z49="POR RECOGER"),"DIC","")</f>
        <v/>
      </c>
      <c r="B1200" s="381">
        <f>IF(AND('DICIEMBRE 2026'!D49&lt;&gt;"",'DICIEMBRE 2026'!Z49="POR RECOGER"),IF('DICIEMBRE 2026'!Y49&lt;&gt;"",'DICIEMBRE 2026'!Y49,'DICIEMBRE 2026'!I49),"")</f>
        <v/>
      </c>
      <c r="C1200" s="381">
        <f>IF(AND('DICIEMBRE 2026'!D49&lt;&gt;"",'DICIEMBRE 2026'!Z49="POR RECOGER"),'DICIEMBRE 2026'!D49,"")</f>
        <v/>
      </c>
      <c r="D1200" s="381">
        <f>IF(AND('DICIEMBRE 2026'!D49&lt;&gt;"",'DICIEMBRE 2026'!Z49="POR RECOGER"),'DICIEMBRE 2026'!F49,"")</f>
        <v/>
      </c>
      <c r="E1200" s="381">
        <f>IF(AND('DICIEMBRE 2026'!D49&lt;&gt;"",'DICIEMBRE 2026'!Z49="POR RECOGER"),TEXT('DICIEMBRE 2026'!G49,"DD/MM/YYYY"),"")</f>
        <v/>
      </c>
      <c r="F1200" s="381">
        <f>IF(AND('DICIEMBRE 2026'!D49&lt;&gt;"",'DICIEMBRE 2026'!Z49="POR RECOGER"),'DICIEMBRE 2026'!K49,"")</f>
        <v/>
      </c>
      <c r="G1200" s="382">
        <f>IF(AND('DICIEMBRE 2026'!D49&lt;&gt;"",'DICIEMBRE 2026'!Z49="POR RECOGER"),'DICIEMBRE 2026'!M49,"")</f>
        <v/>
      </c>
      <c r="H1200" s="382">
        <f>IF(AND('DICIEMBRE 2026'!D49&lt;&gt;"",'DICIEMBRE 2026'!Z49="POR RECOGER"),'DICIEMBRE 2026'!N49,"")</f>
        <v/>
      </c>
      <c r="I1200" s="381">
        <f>IF(AND('DICIEMBRE 2026'!D49&lt;&gt;"",'DICIEMBRE 2026'!Z49="POR RECOGER"),'DICIEMBRE 2026'!P49,"")</f>
        <v/>
      </c>
      <c r="J1200" s="381">
        <f>IF(AND('DICIEMBRE 2026'!D49&lt;&gt;"",'DICIEMBRE 2026'!Z49="POR RECOGER"),'DICIEMBRE 2026'!Q49,"")</f>
        <v/>
      </c>
      <c r="K1200" s="381">
        <f>IF(AND('DICIEMBRE 2026'!D49&lt;&gt;"",'DICIEMBRE 2026'!Z49="POR RECOGER"),'DICIEMBRE 2026'!Y49,"")</f>
        <v/>
      </c>
      <c r="L1200" s="381">
        <f>IF(AND('DICIEMBRE 2026'!D49&lt;&gt;"",'DICIEMBRE 2026'!Z49="POR RECOGER"),'DICIEMBRE 2026'!I49,"")</f>
        <v/>
      </c>
      <c r="P1200" s="194" t="n"/>
      <c r="Q1200" s="194" t="n"/>
      <c r="R1200" s="194" t="n"/>
      <c r="S1200" s="194" t="n"/>
      <c r="T1200" s="194" t="n"/>
      <c r="U1200" s="194" t="n"/>
      <c r="V1200" s="194" t="n"/>
      <c r="W1200" s="194" t="n"/>
      <c r="X1200" s="194" t="n"/>
      <c r="Y1200" s="194" t="n"/>
      <c r="Z1200" s="194" t="n"/>
    </row>
    <row r="1201" ht="15" customHeight="1" s="195">
      <c r="A1201" s="381">
        <f>IF(AND('DICIEMBRE 2026'!D50&lt;&gt;"",'DICIEMBRE 2026'!Z50="POR RECOGER"),"DIC","")</f>
        <v/>
      </c>
      <c r="B1201" s="381">
        <f>IF(AND('DICIEMBRE 2026'!D50&lt;&gt;"",'DICIEMBRE 2026'!Z50="POR RECOGER"),IF('DICIEMBRE 2026'!Y50&lt;&gt;"",'DICIEMBRE 2026'!Y50,'DICIEMBRE 2026'!I50),"")</f>
        <v/>
      </c>
      <c r="C1201" s="381">
        <f>IF(AND('DICIEMBRE 2026'!D50&lt;&gt;"",'DICIEMBRE 2026'!Z50="POR RECOGER"),'DICIEMBRE 2026'!D50,"")</f>
        <v/>
      </c>
      <c r="D1201" s="381">
        <f>IF(AND('DICIEMBRE 2026'!D50&lt;&gt;"",'DICIEMBRE 2026'!Z50="POR RECOGER"),'DICIEMBRE 2026'!F50,"")</f>
        <v/>
      </c>
      <c r="E1201" s="381">
        <f>IF(AND('DICIEMBRE 2026'!D50&lt;&gt;"",'DICIEMBRE 2026'!Z50="POR RECOGER"),TEXT('DICIEMBRE 2026'!G50,"DD/MM/YYYY"),"")</f>
        <v/>
      </c>
      <c r="F1201" s="381">
        <f>IF(AND('DICIEMBRE 2026'!D50&lt;&gt;"",'DICIEMBRE 2026'!Z50="POR RECOGER"),'DICIEMBRE 2026'!K50,"")</f>
        <v/>
      </c>
      <c r="G1201" s="382">
        <f>IF(AND('DICIEMBRE 2026'!D50&lt;&gt;"",'DICIEMBRE 2026'!Z50="POR RECOGER"),'DICIEMBRE 2026'!M50,"")</f>
        <v/>
      </c>
      <c r="H1201" s="382">
        <f>IF(AND('DICIEMBRE 2026'!D50&lt;&gt;"",'DICIEMBRE 2026'!Z50="POR RECOGER"),'DICIEMBRE 2026'!N50,"")</f>
        <v/>
      </c>
      <c r="I1201" s="381">
        <f>IF(AND('DICIEMBRE 2026'!D50&lt;&gt;"",'DICIEMBRE 2026'!Z50="POR RECOGER"),'DICIEMBRE 2026'!P50,"")</f>
        <v/>
      </c>
      <c r="J1201" s="381">
        <f>IF(AND('DICIEMBRE 2026'!D50&lt;&gt;"",'DICIEMBRE 2026'!Z50="POR RECOGER"),'DICIEMBRE 2026'!Q50,"")</f>
        <v/>
      </c>
      <c r="K1201" s="381">
        <f>IF(AND('DICIEMBRE 2026'!D50&lt;&gt;"",'DICIEMBRE 2026'!Z50="POR RECOGER"),'DICIEMBRE 2026'!Y50,"")</f>
        <v/>
      </c>
      <c r="L1201" s="381">
        <f>IF(AND('DICIEMBRE 2026'!D50&lt;&gt;"",'DICIEMBRE 2026'!Z50="POR RECOGER"),'DICIEMBRE 2026'!I50,"")</f>
        <v/>
      </c>
      <c r="P1201" s="194" t="n"/>
      <c r="Q1201" s="194" t="n"/>
      <c r="R1201" s="194" t="n"/>
      <c r="S1201" s="194" t="n"/>
      <c r="T1201" s="194" t="n"/>
      <c r="U1201" s="194" t="n"/>
      <c r="V1201" s="194" t="n"/>
      <c r="W1201" s="194" t="n"/>
      <c r="X1201" s="194" t="n"/>
      <c r="Y1201" s="194" t="n"/>
      <c r="Z1201" s="194" t="n"/>
    </row>
    <row r="1202" ht="15" customHeight="1" s="195">
      <c r="A1202" s="381">
        <f>IF(AND('DICIEMBRE 2026'!D51&lt;&gt;"",'DICIEMBRE 2026'!Z51="POR RECOGER"),"DIC","")</f>
        <v/>
      </c>
      <c r="B1202" s="381">
        <f>IF(AND('DICIEMBRE 2026'!D51&lt;&gt;"",'DICIEMBRE 2026'!Z51="POR RECOGER"),IF('DICIEMBRE 2026'!Y51&lt;&gt;"",'DICIEMBRE 2026'!Y51,'DICIEMBRE 2026'!I51),"")</f>
        <v/>
      </c>
      <c r="C1202" s="381">
        <f>IF(AND('DICIEMBRE 2026'!D51&lt;&gt;"",'DICIEMBRE 2026'!Z51="POR RECOGER"),'DICIEMBRE 2026'!D51,"")</f>
        <v/>
      </c>
      <c r="D1202" s="381">
        <f>IF(AND('DICIEMBRE 2026'!D51&lt;&gt;"",'DICIEMBRE 2026'!Z51="POR RECOGER"),'DICIEMBRE 2026'!F51,"")</f>
        <v/>
      </c>
      <c r="E1202" s="381">
        <f>IF(AND('DICIEMBRE 2026'!D51&lt;&gt;"",'DICIEMBRE 2026'!Z51="POR RECOGER"),TEXT('DICIEMBRE 2026'!G51,"DD/MM/YYYY"),"")</f>
        <v/>
      </c>
      <c r="F1202" s="381">
        <f>IF(AND('DICIEMBRE 2026'!D51&lt;&gt;"",'DICIEMBRE 2026'!Z51="POR RECOGER"),'DICIEMBRE 2026'!K51,"")</f>
        <v/>
      </c>
      <c r="G1202" s="382">
        <f>IF(AND('DICIEMBRE 2026'!D51&lt;&gt;"",'DICIEMBRE 2026'!Z51="POR RECOGER"),'DICIEMBRE 2026'!M51,"")</f>
        <v/>
      </c>
      <c r="H1202" s="382">
        <f>IF(AND('DICIEMBRE 2026'!D51&lt;&gt;"",'DICIEMBRE 2026'!Z51="POR RECOGER"),'DICIEMBRE 2026'!N51,"")</f>
        <v/>
      </c>
      <c r="I1202" s="381">
        <f>IF(AND('DICIEMBRE 2026'!D51&lt;&gt;"",'DICIEMBRE 2026'!Z51="POR RECOGER"),'DICIEMBRE 2026'!P51,"")</f>
        <v/>
      </c>
      <c r="J1202" s="381">
        <f>IF(AND('DICIEMBRE 2026'!D51&lt;&gt;"",'DICIEMBRE 2026'!Z51="POR RECOGER"),'DICIEMBRE 2026'!Q51,"")</f>
        <v/>
      </c>
      <c r="K1202" s="381">
        <f>IF(AND('DICIEMBRE 2026'!D51&lt;&gt;"",'DICIEMBRE 2026'!Z51="POR RECOGER"),'DICIEMBRE 2026'!Y51,"")</f>
        <v/>
      </c>
      <c r="L1202" s="381">
        <f>IF(AND('DICIEMBRE 2026'!D51&lt;&gt;"",'DICIEMBRE 2026'!Z51="POR RECOGER"),'DICIEMBRE 2026'!I51,"")</f>
        <v/>
      </c>
      <c r="P1202" s="194" t="n"/>
      <c r="Q1202" s="194" t="n"/>
      <c r="R1202" s="194" t="n"/>
      <c r="S1202" s="194" t="n"/>
      <c r="T1202" s="194" t="n"/>
      <c r="U1202" s="194" t="n"/>
      <c r="V1202" s="194" t="n"/>
      <c r="W1202" s="194" t="n"/>
      <c r="X1202" s="194" t="n"/>
      <c r="Y1202" s="194" t="n"/>
      <c r="Z1202" s="194" t="n"/>
    </row>
    <row r="1203" ht="15" customHeight="1" s="195">
      <c r="A1203" s="381">
        <f>IF(AND('DICIEMBRE 2026'!D52&lt;&gt;"",'DICIEMBRE 2026'!Z52="POR RECOGER"),"DIC","")</f>
        <v/>
      </c>
      <c r="B1203" s="381">
        <f>IF(AND('DICIEMBRE 2026'!D52&lt;&gt;"",'DICIEMBRE 2026'!Z52="POR RECOGER"),IF('DICIEMBRE 2026'!Y52&lt;&gt;"",'DICIEMBRE 2026'!Y52,'DICIEMBRE 2026'!I52),"")</f>
        <v/>
      </c>
      <c r="C1203" s="381">
        <f>IF(AND('DICIEMBRE 2026'!D52&lt;&gt;"",'DICIEMBRE 2026'!Z52="POR RECOGER"),'DICIEMBRE 2026'!D52,"")</f>
        <v/>
      </c>
      <c r="D1203" s="381">
        <f>IF(AND('DICIEMBRE 2026'!D52&lt;&gt;"",'DICIEMBRE 2026'!Z52="POR RECOGER"),'DICIEMBRE 2026'!F52,"")</f>
        <v/>
      </c>
      <c r="E1203" s="381">
        <f>IF(AND('DICIEMBRE 2026'!D52&lt;&gt;"",'DICIEMBRE 2026'!Z52="POR RECOGER"),TEXT('DICIEMBRE 2026'!G52,"DD/MM/YYYY"),"")</f>
        <v/>
      </c>
      <c r="F1203" s="381">
        <f>IF(AND('DICIEMBRE 2026'!D52&lt;&gt;"",'DICIEMBRE 2026'!Z52="POR RECOGER"),'DICIEMBRE 2026'!K52,"")</f>
        <v/>
      </c>
      <c r="G1203" s="382">
        <f>IF(AND('DICIEMBRE 2026'!D52&lt;&gt;"",'DICIEMBRE 2026'!Z52="POR RECOGER"),'DICIEMBRE 2026'!M52,"")</f>
        <v/>
      </c>
      <c r="H1203" s="382">
        <f>IF(AND('DICIEMBRE 2026'!D52&lt;&gt;"",'DICIEMBRE 2026'!Z52="POR RECOGER"),'DICIEMBRE 2026'!N52,"")</f>
        <v/>
      </c>
      <c r="I1203" s="381">
        <f>IF(AND('DICIEMBRE 2026'!D52&lt;&gt;"",'DICIEMBRE 2026'!Z52="POR RECOGER"),'DICIEMBRE 2026'!P52,"")</f>
        <v/>
      </c>
      <c r="J1203" s="381">
        <f>IF(AND('DICIEMBRE 2026'!D52&lt;&gt;"",'DICIEMBRE 2026'!Z52="POR RECOGER"),'DICIEMBRE 2026'!Q52,"")</f>
        <v/>
      </c>
      <c r="K1203" s="381">
        <f>IF(AND('DICIEMBRE 2026'!D52&lt;&gt;"",'DICIEMBRE 2026'!Z52="POR RECOGER"),'DICIEMBRE 2026'!Y52,"")</f>
        <v/>
      </c>
      <c r="L1203" s="381">
        <f>IF(AND('DICIEMBRE 2026'!D52&lt;&gt;"",'DICIEMBRE 2026'!Z52="POR RECOGER"),'DICIEMBRE 2026'!I52,"")</f>
        <v/>
      </c>
      <c r="P1203" s="194" t="n"/>
      <c r="Q1203" s="194" t="n"/>
      <c r="R1203" s="194" t="n"/>
      <c r="S1203" s="194" t="n"/>
      <c r="T1203" s="194" t="n"/>
      <c r="U1203" s="194" t="n"/>
      <c r="V1203" s="194" t="n"/>
      <c r="W1203" s="194" t="n"/>
      <c r="X1203" s="194" t="n"/>
      <c r="Y1203" s="194" t="n"/>
      <c r="Z1203" s="194" t="n"/>
    </row>
    <row r="1204" ht="15" customHeight="1" s="195">
      <c r="A1204" s="381">
        <f>IF(AND('DICIEMBRE 2026'!D53&lt;&gt;"",'DICIEMBRE 2026'!Z53="POR RECOGER"),"DIC","")</f>
        <v/>
      </c>
      <c r="B1204" s="381">
        <f>IF(AND('DICIEMBRE 2026'!D53&lt;&gt;"",'DICIEMBRE 2026'!Z53="POR RECOGER"),IF('DICIEMBRE 2026'!Y53&lt;&gt;"",'DICIEMBRE 2026'!Y53,'DICIEMBRE 2026'!I53),"")</f>
        <v/>
      </c>
      <c r="C1204" s="381">
        <f>IF(AND('DICIEMBRE 2026'!D53&lt;&gt;"",'DICIEMBRE 2026'!Z53="POR RECOGER"),'DICIEMBRE 2026'!D53,"")</f>
        <v/>
      </c>
      <c r="D1204" s="381">
        <f>IF(AND('DICIEMBRE 2026'!D53&lt;&gt;"",'DICIEMBRE 2026'!Z53="POR RECOGER"),'DICIEMBRE 2026'!F53,"")</f>
        <v/>
      </c>
      <c r="E1204" s="381">
        <f>IF(AND('DICIEMBRE 2026'!D53&lt;&gt;"",'DICIEMBRE 2026'!Z53="POR RECOGER"),TEXT('DICIEMBRE 2026'!G53,"DD/MM/YYYY"),"")</f>
        <v/>
      </c>
      <c r="F1204" s="381">
        <f>IF(AND('DICIEMBRE 2026'!D53&lt;&gt;"",'DICIEMBRE 2026'!Z53="POR RECOGER"),'DICIEMBRE 2026'!K53,"")</f>
        <v/>
      </c>
      <c r="G1204" s="382">
        <f>IF(AND('DICIEMBRE 2026'!D53&lt;&gt;"",'DICIEMBRE 2026'!Z53="POR RECOGER"),'DICIEMBRE 2026'!M53,"")</f>
        <v/>
      </c>
      <c r="H1204" s="382">
        <f>IF(AND('DICIEMBRE 2026'!D53&lt;&gt;"",'DICIEMBRE 2026'!Z53="POR RECOGER"),'DICIEMBRE 2026'!N53,"")</f>
        <v/>
      </c>
      <c r="I1204" s="381">
        <f>IF(AND('DICIEMBRE 2026'!D53&lt;&gt;"",'DICIEMBRE 2026'!Z53="POR RECOGER"),'DICIEMBRE 2026'!P53,"")</f>
        <v/>
      </c>
      <c r="J1204" s="381">
        <f>IF(AND('DICIEMBRE 2026'!D53&lt;&gt;"",'DICIEMBRE 2026'!Z53="POR RECOGER"),'DICIEMBRE 2026'!Q53,"")</f>
        <v/>
      </c>
      <c r="K1204" s="381">
        <f>IF(AND('DICIEMBRE 2026'!D53&lt;&gt;"",'DICIEMBRE 2026'!Z53="POR RECOGER"),'DICIEMBRE 2026'!Y53,"")</f>
        <v/>
      </c>
      <c r="L1204" s="381">
        <f>IF(AND('DICIEMBRE 2026'!D53&lt;&gt;"",'DICIEMBRE 2026'!Z53="POR RECOGER"),'DICIEMBRE 2026'!I53,"")</f>
        <v/>
      </c>
      <c r="P1204" s="194" t="n"/>
      <c r="Q1204" s="194" t="n"/>
      <c r="R1204" s="194" t="n"/>
      <c r="S1204" s="194" t="n"/>
      <c r="T1204" s="194" t="n"/>
      <c r="U1204" s="194" t="n"/>
      <c r="V1204" s="194" t="n"/>
      <c r="W1204" s="194" t="n"/>
      <c r="X1204" s="194" t="n"/>
      <c r="Y1204" s="194" t="n"/>
      <c r="Z1204" s="194" t="n"/>
    </row>
    <row r="1205" ht="15" customHeight="1" s="195">
      <c r="A1205" s="381">
        <f>IF(AND('DICIEMBRE 2026'!D54&lt;&gt;"",'DICIEMBRE 2026'!Z54="POR RECOGER"),"DIC","")</f>
        <v/>
      </c>
      <c r="B1205" s="381">
        <f>IF(AND('DICIEMBRE 2026'!D54&lt;&gt;"",'DICIEMBRE 2026'!Z54="POR RECOGER"),IF('DICIEMBRE 2026'!Y54&lt;&gt;"",'DICIEMBRE 2026'!Y54,'DICIEMBRE 2026'!I54),"")</f>
        <v/>
      </c>
      <c r="C1205" s="381">
        <f>IF(AND('DICIEMBRE 2026'!D54&lt;&gt;"",'DICIEMBRE 2026'!Z54="POR RECOGER"),'DICIEMBRE 2026'!D54,"")</f>
        <v/>
      </c>
      <c r="D1205" s="381">
        <f>IF(AND('DICIEMBRE 2026'!D54&lt;&gt;"",'DICIEMBRE 2026'!Z54="POR RECOGER"),'DICIEMBRE 2026'!F54,"")</f>
        <v/>
      </c>
      <c r="E1205" s="381">
        <f>IF(AND('DICIEMBRE 2026'!D54&lt;&gt;"",'DICIEMBRE 2026'!Z54="POR RECOGER"),TEXT('DICIEMBRE 2026'!G54,"DD/MM/YYYY"),"")</f>
        <v/>
      </c>
      <c r="F1205" s="381">
        <f>IF(AND('DICIEMBRE 2026'!D54&lt;&gt;"",'DICIEMBRE 2026'!Z54="POR RECOGER"),'DICIEMBRE 2026'!K54,"")</f>
        <v/>
      </c>
      <c r="G1205" s="382">
        <f>IF(AND('DICIEMBRE 2026'!D54&lt;&gt;"",'DICIEMBRE 2026'!Z54="POR RECOGER"),'DICIEMBRE 2026'!M54,"")</f>
        <v/>
      </c>
      <c r="H1205" s="382">
        <f>IF(AND('DICIEMBRE 2026'!D54&lt;&gt;"",'DICIEMBRE 2026'!Z54="POR RECOGER"),'DICIEMBRE 2026'!N54,"")</f>
        <v/>
      </c>
      <c r="I1205" s="381">
        <f>IF(AND('DICIEMBRE 2026'!D54&lt;&gt;"",'DICIEMBRE 2026'!Z54="POR RECOGER"),'DICIEMBRE 2026'!P54,"")</f>
        <v/>
      </c>
      <c r="J1205" s="381">
        <f>IF(AND('DICIEMBRE 2026'!D54&lt;&gt;"",'DICIEMBRE 2026'!Z54="POR RECOGER"),'DICIEMBRE 2026'!Q54,"")</f>
        <v/>
      </c>
      <c r="K1205" s="381">
        <f>IF(AND('DICIEMBRE 2026'!D54&lt;&gt;"",'DICIEMBRE 2026'!Z54="POR RECOGER"),'DICIEMBRE 2026'!Y54,"")</f>
        <v/>
      </c>
      <c r="L1205" s="381">
        <f>IF(AND('DICIEMBRE 2026'!D54&lt;&gt;"",'DICIEMBRE 2026'!Z54="POR RECOGER"),'DICIEMBRE 2026'!I54,"")</f>
        <v/>
      </c>
      <c r="P1205" s="194" t="n"/>
      <c r="Q1205" s="194" t="n"/>
      <c r="R1205" s="194" t="n"/>
      <c r="S1205" s="194" t="n"/>
      <c r="T1205" s="194" t="n"/>
      <c r="U1205" s="194" t="n"/>
      <c r="V1205" s="194" t="n"/>
      <c r="W1205" s="194" t="n"/>
      <c r="X1205" s="194" t="n"/>
      <c r="Y1205" s="194" t="n"/>
      <c r="Z1205" s="194" t="n"/>
    </row>
    <row r="1206" ht="15" customHeight="1" s="195">
      <c r="A1206" s="381">
        <f>IF(AND('DICIEMBRE 2026'!D55&lt;&gt;"",'DICIEMBRE 2026'!Z55="POR RECOGER"),"DIC","")</f>
        <v/>
      </c>
      <c r="B1206" s="381">
        <f>IF(AND('DICIEMBRE 2026'!D55&lt;&gt;"",'DICIEMBRE 2026'!Z55="POR RECOGER"),IF('DICIEMBRE 2026'!Y55&lt;&gt;"",'DICIEMBRE 2026'!Y55,'DICIEMBRE 2026'!I55),"")</f>
        <v/>
      </c>
      <c r="C1206" s="381">
        <f>IF(AND('DICIEMBRE 2026'!D55&lt;&gt;"",'DICIEMBRE 2026'!Z55="POR RECOGER"),'DICIEMBRE 2026'!D55,"")</f>
        <v/>
      </c>
      <c r="D1206" s="381">
        <f>IF(AND('DICIEMBRE 2026'!D55&lt;&gt;"",'DICIEMBRE 2026'!Z55="POR RECOGER"),'DICIEMBRE 2026'!F55,"")</f>
        <v/>
      </c>
      <c r="E1206" s="381">
        <f>IF(AND('DICIEMBRE 2026'!D55&lt;&gt;"",'DICIEMBRE 2026'!Z55="POR RECOGER"),TEXT('DICIEMBRE 2026'!G55,"DD/MM/YYYY"),"")</f>
        <v/>
      </c>
      <c r="F1206" s="381">
        <f>IF(AND('DICIEMBRE 2026'!D55&lt;&gt;"",'DICIEMBRE 2026'!Z55="POR RECOGER"),'DICIEMBRE 2026'!K55,"")</f>
        <v/>
      </c>
      <c r="G1206" s="382">
        <f>IF(AND('DICIEMBRE 2026'!D55&lt;&gt;"",'DICIEMBRE 2026'!Z55="POR RECOGER"),'DICIEMBRE 2026'!M55,"")</f>
        <v/>
      </c>
      <c r="H1206" s="382">
        <f>IF(AND('DICIEMBRE 2026'!D55&lt;&gt;"",'DICIEMBRE 2026'!Z55="POR RECOGER"),'DICIEMBRE 2026'!N55,"")</f>
        <v/>
      </c>
      <c r="I1206" s="381">
        <f>IF(AND('DICIEMBRE 2026'!D55&lt;&gt;"",'DICIEMBRE 2026'!Z55="POR RECOGER"),'DICIEMBRE 2026'!P55,"")</f>
        <v/>
      </c>
      <c r="J1206" s="381">
        <f>IF(AND('DICIEMBRE 2026'!D55&lt;&gt;"",'DICIEMBRE 2026'!Z55="POR RECOGER"),'DICIEMBRE 2026'!Q55,"")</f>
        <v/>
      </c>
      <c r="K1206" s="381">
        <f>IF(AND('DICIEMBRE 2026'!D55&lt;&gt;"",'DICIEMBRE 2026'!Z55="POR RECOGER"),'DICIEMBRE 2026'!Y55,"")</f>
        <v/>
      </c>
      <c r="L1206" s="381">
        <f>IF(AND('DICIEMBRE 2026'!D55&lt;&gt;"",'DICIEMBRE 2026'!Z55="POR RECOGER"),'DICIEMBRE 2026'!I55,"")</f>
        <v/>
      </c>
      <c r="P1206" s="194" t="n"/>
      <c r="Q1206" s="194" t="n"/>
      <c r="R1206" s="194" t="n"/>
      <c r="S1206" s="194" t="n"/>
      <c r="T1206" s="194" t="n"/>
      <c r="U1206" s="194" t="n"/>
      <c r="V1206" s="194" t="n"/>
      <c r="W1206" s="194" t="n"/>
      <c r="X1206" s="194" t="n"/>
      <c r="Y1206" s="194" t="n"/>
      <c r="Z1206" s="194" t="n"/>
    </row>
    <row r="1207" ht="15" customHeight="1" s="195">
      <c r="A1207" s="381">
        <f>IF(AND('DICIEMBRE 2026'!D56&lt;&gt;"",'DICIEMBRE 2026'!Z56="POR RECOGER"),"DIC","")</f>
        <v/>
      </c>
      <c r="B1207" s="381">
        <f>IF(AND('DICIEMBRE 2026'!D56&lt;&gt;"",'DICIEMBRE 2026'!Z56="POR RECOGER"),IF('DICIEMBRE 2026'!Y56&lt;&gt;"",'DICIEMBRE 2026'!Y56,'DICIEMBRE 2026'!I56),"")</f>
        <v/>
      </c>
      <c r="C1207" s="381">
        <f>IF(AND('DICIEMBRE 2026'!D56&lt;&gt;"",'DICIEMBRE 2026'!Z56="POR RECOGER"),'DICIEMBRE 2026'!D56,"")</f>
        <v/>
      </c>
      <c r="D1207" s="381">
        <f>IF(AND('DICIEMBRE 2026'!D56&lt;&gt;"",'DICIEMBRE 2026'!Z56="POR RECOGER"),'DICIEMBRE 2026'!F56,"")</f>
        <v/>
      </c>
      <c r="E1207" s="381">
        <f>IF(AND('DICIEMBRE 2026'!D56&lt;&gt;"",'DICIEMBRE 2026'!Z56="POR RECOGER"),TEXT('DICIEMBRE 2026'!G56,"DD/MM/YYYY"),"")</f>
        <v/>
      </c>
      <c r="F1207" s="381">
        <f>IF(AND('DICIEMBRE 2026'!D56&lt;&gt;"",'DICIEMBRE 2026'!Z56="POR RECOGER"),'DICIEMBRE 2026'!K56,"")</f>
        <v/>
      </c>
      <c r="G1207" s="382">
        <f>IF(AND('DICIEMBRE 2026'!D56&lt;&gt;"",'DICIEMBRE 2026'!Z56="POR RECOGER"),'DICIEMBRE 2026'!M56,"")</f>
        <v/>
      </c>
      <c r="H1207" s="382">
        <f>IF(AND('DICIEMBRE 2026'!D56&lt;&gt;"",'DICIEMBRE 2026'!Z56="POR RECOGER"),'DICIEMBRE 2026'!N56,"")</f>
        <v/>
      </c>
      <c r="I1207" s="381">
        <f>IF(AND('DICIEMBRE 2026'!D56&lt;&gt;"",'DICIEMBRE 2026'!Z56="POR RECOGER"),'DICIEMBRE 2026'!P56,"")</f>
        <v/>
      </c>
      <c r="J1207" s="381">
        <f>IF(AND('DICIEMBRE 2026'!D56&lt;&gt;"",'DICIEMBRE 2026'!Z56="POR RECOGER"),'DICIEMBRE 2026'!Q56,"")</f>
        <v/>
      </c>
      <c r="K1207" s="381">
        <f>IF(AND('DICIEMBRE 2026'!D56&lt;&gt;"",'DICIEMBRE 2026'!Z56="POR RECOGER"),'DICIEMBRE 2026'!Y56,"")</f>
        <v/>
      </c>
      <c r="L1207" s="381">
        <f>IF(AND('DICIEMBRE 2026'!D56&lt;&gt;"",'DICIEMBRE 2026'!Z56="POR RECOGER"),'DICIEMBRE 2026'!I56,"")</f>
        <v/>
      </c>
      <c r="P1207" s="194" t="n"/>
      <c r="Q1207" s="194" t="n"/>
      <c r="R1207" s="194" t="n"/>
      <c r="S1207" s="194" t="n"/>
      <c r="T1207" s="194" t="n"/>
      <c r="U1207" s="194" t="n"/>
      <c r="V1207" s="194" t="n"/>
      <c r="W1207" s="194" t="n"/>
      <c r="X1207" s="194" t="n"/>
      <c r="Y1207" s="194" t="n"/>
      <c r="Z1207" s="194" t="n"/>
    </row>
    <row r="1208" ht="15" customHeight="1" s="195">
      <c r="A1208" s="381">
        <f>IF(AND('DICIEMBRE 2026'!D57&lt;&gt;"",'DICIEMBRE 2026'!Z57="POR RECOGER"),"DIC","")</f>
        <v/>
      </c>
      <c r="B1208" s="381">
        <f>IF(AND('DICIEMBRE 2026'!D57&lt;&gt;"",'DICIEMBRE 2026'!Z57="POR RECOGER"),IF('DICIEMBRE 2026'!Y57&lt;&gt;"",'DICIEMBRE 2026'!Y57,'DICIEMBRE 2026'!I57),"")</f>
        <v/>
      </c>
      <c r="C1208" s="381">
        <f>IF(AND('DICIEMBRE 2026'!D57&lt;&gt;"",'DICIEMBRE 2026'!Z57="POR RECOGER"),'DICIEMBRE 2026'!D57,"")</f>
        <v/>
      </c>
      <c r="D1208" s="381">
        <f>IF(AND('DICIEMBRE 2026'!D57&lt;&gt;"",'DICIEMBRE 2026'!Z57="POR RECOGER"),'DICIEMBRE 2026'!F57,"")</f>
        <v/>
      </c>
      <c r="E1208" s="381">
        <f>IF(AND('DICIEMBRE 2026'!D57&lt;&gt;"",'DICIEMBRE 2026'!Z57="POR RECOGER"),TEXT('DICIEMBRE 2026'!G57,"DD/MM/YYYY"),"")</f>
        <v/>
      </c>
      <c r="F1208" s="381">
        <f>IF(AND('DICIEMBRE 2026'!D57&lt;&gt;"",'DICIEMBRE 2026'!Z57="POR RECOGER"),'DICIEMBRE 2026'!K57,"")</f>
        <v/>
      </c>
      <c r="G1208" s="382">
        <f>IF(AND('DICIEMBRE 2026'!D57&lt;&gt;"",'DICIEMBRE 2026'!Z57="POR RECOGER"),'DICIEMBRE 2026'!M57,"")</f>
        <v/>
      </c>
      <c r="H1208" s="382">
        <f>IF(AND('DICIEMBRE 2026'!D57&lt;&gt;"",'DICIEMBRE 2026'!Z57="POR RECOGER"),'DICIEMBRE 2026'!N57,"")</f>
        <v/>
      </c>
      <c r="I1208" s="381">
        <f>IF(AND('DICIEMBRE 2026'!D57&lt;&gt;"",'DICIEMBRE 2026'!Z57="POR RECOGER"),'DICIEMBRE 2026'!P57,"")</f>
        <v/>
      </c>
      <c r="J1208" s="381">
        <f>IF(AND('DICIEMBRE 2026'!D57&lt;&gt;"",'DICIEMBRE 2026'!Z57="POR RECOGER"),'DICIEMBRE 2026'!Q57,"")</f>
        <v/>
      </c>
      <c r="K1208" s="381">
        <f>IF(AND('DICIEMBRE 2026'!D57&lt;&gt;"",'DICIEMBRE 2026'!Z57="POR RECOGER"),'DICIEMBRE 2026'!Y57,"")</f>
        <v/>
      </c>
      <c r="L1208" s="381">
        <f>IF(AND('DICIEMBRE 2026'!D57&lt;&gt;"",'DICIEMBRE 2026'!Z57="POR RECOGER"),'DICIEMBRE 2026'!I57,"")</f>
        <v/>
      </c>
      <c r="P1208" s="194" t="n"/>
      <c r="Q1208" s="194" t="n"/>
      <c r="R1208" s="194" t="n"/>
      <c r="S1208" s="194" t="n"/>
      <c r="T1208" s="194" t="n"/>
      <c r="U1208" s="194" t="n"/>
      <c r="V1208" s="194" t="n"/>
      <c r="W1208" s="194" t="n"/>
      <c r="X1208" s="194" t="n"/>
      <c r="Y1208" s="194" t="n"/>
      <c r="Z1208" s="194" t="n"/>
    </row>
    <row r="1209" ht="15" customHeight="1" s="195">
      <c r="A1209" s="381">
        <f>IF(AND('DICIEMBRE 2026'!D58&lt;&gt;"",'DICIEMBRE 2026'!Z58="POR RECOGER"),"DIC","")</f>
        <v/>
      </c>
      <c r="B1209" s="381">
        <f>IF(AND('DICIEMBRE 2026'!D58&lt;&gt;"",'DICIEMBRE 2026'!Z58="POR RECOGER"),IF('DICIEMBRE 2026'!Y58&lt;&gt;"",'DICIEMBRE 2026'!Y58,'DICIEMBRE 2026'!I58),"")</f>
        <v/>
      </c>
      <c r="C1209" s="381">
        <f>IF(AND('DICIEMBRE 2026'!D58&lt;&gt;"",'DICIEMBRE 2026'!Z58="POR RECOGER"),'DICIEMBRE 2026'!D58,"")</f>
        <v/>
      </c>
      <c r="D1209" s="381">
        <f>IF(AND('DICIEMBRE 2026'!D58&lt;&gt;"",'DICIEMBRE 2026'!Z58="POR RECOGER"),'DICIEMBRE 2026'!F58,"")</f>
        <v/>
      </c>
      <c r="E1209" s="381">
        <f>IF(AND('DICIEMBRE 2026'!D58&lt;&gt;"",'DICIEMBRE 2026'!Z58="POR RECOGER"),TEXT('DICIEMBRE 2026'!G58,"DD/MM/YYYY"),"")</f>
        <v/>
      </c>
      <c r="F1209" s="381">
        <f>IF(AND('DICIEMBRE 2026'!D58&lt;&gt;"",'DICIEMBRE 2026'!Z58="POR RECOGER"),'DICIEMBRE 2026'!K58,"")</f>
        <v/>
      </c>
      <c r="G1209" s="382">
        <f>IF(AND('DICIEMBRE 2026'!D58&lt;&gt;"",'DICIEMBRE 2026'!Z58="POR RECOGER"),'DICIEMBRE 2026'!M58,"")</f>
        <v/>
      </c>
      <c r="H1209" s="382">
        <f>IF(AND('DICIEMBRE 2026'!D58&lt;&gt;"",'DICIEMBRE 2026'!Z58="POR RECOGER"),'DICIEMBRE 2026'!N58,"")</f>
        <v/>
      </c>
      <c r="I1209" s="381">
        <f>IF(AND('DICIEMBRE 2026'!D58&lt;&gt;"",'DICIEMBRE 2026'!Z58="POR RECOGER"),'DICIEMBRE 2026'!P58,"")</f>
        <v/>
      </c>
      <c r="J1209" s="381">
        <f>IF(AND('DICIEMBRE 2026'!D58&lt;&gt;"",'DICIEMBRE 2026'!Z58="POR RECOGER"),'DICIEMBRE 2026'!Q58,"")</f>
        <v/>
      </c>
      <c r="K1209" s="381">
        <f>IF(AND('DICIEMBRE 2026'!D58&lt;&gt;"",'DICIEMBRE 2026'!Z58="POR RECOGER"),'DICIEMBRE 2026'!Y58,"")</f>
        <v/>
      </c>
      <c r="L1209" s="381">
        <f>IF(AND('DICIEMBRE 2026'!D58&lt;&gt;"",'DICIEMBRE 2026'!Z58="POR RECOGER"),'DICIEMBRE 2026'!I58,"")</f>
        <v/>
      </c>
      <c r="P1209" s="194" t="n"/>
      <c r="Q1209" s="194" t="n"/>
      <c r="R1209" s="194" t="n"/>
      <c r="S1209" s="194" t="n"/>
      <c r="T1209" s="194" t="n"/>
      <c r="U1209" s="194" t="n"/>
      <c r="V1209" s="194" t="n"/>
      <c r="W1209" s="194" t="n"/>
      <c r="X1209" s="194" t="n"/>
      <c r="Y1209" s="194" t="n"/>
      <c r="Z1209" s="194" t="n"/>
    </row>
    <row r="1210" ht="15" customHeight="1" s="195">
      <c r="A1210" s="381">
        <f>IF(AND('DICIEMBRE 2026'!D59&lt;&gt;"",'DICIEMBRE 2026'!Z59="POR RECOGER"),"DIC","")</f>
        <v/>
      </c>
      <c r="B1210" s="381">
        <f>IF(AND('DICIEMBRE 2026'!D59&lt;&gt;"",'DICIEMBRE 2026'!Z59="POR RECOGER"),IF('DICIEMBRE 2026'!Y59&lt;&gt;"",'DICIEMBRE 2026'!Y59,'DICIEMBRE 2026'!I59),"")</f>
        <v/>
      </c>
      <c r="C1210" s="381">
        <f>IF(AND('DICIEMBRE 2026'!D59&lt;&gt;"",'DICIEMBRE 2026'!Z59="POR RECOGER"),'DICIEMBRE 2026'!D59,"")</f>
        <v/>
      </c>
      <c r="D1210" s="381">
        <f>IF(AND('DICIEMBRE 2026'!D59&lt;&gt;"",'DICIEMBRE 2026'!Z59="POR RECOGER"),'DICIEMBRE 2026'!F59,"")</f>
        <v/>
      </c>
      <c r="E1210" s="381">
        <f>IF(AND('DICIEMBRE 2026'!D59&lt;&gt;"",'DICIEMBRE 2026'!Z59="POR RECOGER"),TEXT('DICIEMBRE 2026'!G59,"DD/MM/YYYY"),"")</f>
        <v/>
      </c>
      <c r="F1210" s="381">
        <f>IF(AND('DICIEMBRE 2026'!D59&lt;&gt;"",'DICIEMBRE 2026'!Z59="POR RECOGER"),'DICIEMBRE 2026'!K59,"")</f>
        <v/>
      </c>
      <c r="G1210" s="382">
        <f>IF(AND('DICIEMBRE 2026'!D59&lt;&gt;"",'DICIEMBRE 2026'!Z59="POR RECOGER"),'DICIEMBRE 2026'!M59,"")</f>
        <v/>
      </c>
      <c r="H1210" s="382">
        <f>IF(AND('DICIEMBRE 2026'!D59&lt;&gt;"",'DICIEMBRE 2026'!Z59="POR RECOGER"),'DICIEMBRE 2026'!N59,"")</f>
        <v/>
      </c>
      <c r="I1210" s="381">
        <f>IF(AND('DICIEMBRE 2026'!D59&lt;&gt;"",'DICIEMBRE 2026'!Z59="POR RECOGER"),'DICIEMBRE 2026'!P59,"")</f>
        <v/>
      </c>
      <c r="J1210" s="381">
        <f>IF(AND('DICIEMBRE 2026'!D59&lt;&gt;"",'DICIEMBRE 2026'!Z59="POR RECOGER"),'DICIEMBRE 2026'!Q59,"")</f>
        <v/>
      </c>
      <c r="K1210" s="381">
        <f>IF(AND('DICIEMBRE 2026'!D59&lt;&gt;"",'DICIEMBRE 2026'!Z59="POR RECOGER"),'DICIEMBRE 2026'!Y59,"")</f>
        <v/>
      </c>
      <c r="L1210" s="381">
        <f>IF(AND('DICIEMBRE 2026'!D59&lt;&gt;"",'DICIEMBRE 2026'!Z59="POR RECOGER"),'DICIEMBRE 2026'!I59,"")</f>
        <v/>
      </c>
      <c r="P1210" s="194" t="n"/>
      <c r="Q1210" s="194" t="n"/>
      <c r="R1210" s="194" t="n"/>
      <c r="S1210" s="194" t="n"/>
      <c r="T1210" s="194" t="n"/>
      <c r="U1210" s="194" t="n"/>
      <c r="V1210" s="194" t="n"/>
      <c r="W1210" s="194" t="n"/>
      <c r="X1210" s="194" t="n"/>
      <c r="Y1210" s="194" t="n"/>
      <c r="Z1210" s="194" t="n"/>
    </row>
    <row r="1211" ht="15" customHeight="1" s="195">
      <c r="A1211" s="381">
        <f>IF(AND('DICIEMBRE 2026'!D60&lt;&gt;"",'DICIEMBRE 2026'!Z60="POR RECOGER"),"DIC","")</f>
        <v/>
      </c>
      <c r="B1211" s="381">
        <f>IF(AND('DICIEMBRE 2026'!D60&lt;&gt;"",'DICIEMBRE 2026'!Z60="POR RECOGER"),IF('DICIEMBRE 2026'!Y60&lt;&gt;"",'DICIEMBRE 2026'!Y60,'DICIEMBRE 2026'!I60),"")</f>
        <v/>
      </c>
      <c r="C1211" s="381">
        <f>IF(AND('DICIEMBRE 2026'!D60&lt;&gt;"",'DICIEMBRE 2026'!Z60="POR RECOGER"),'DICIEMBRE 2026'!D60,"")</f>
        <v/>
      </c>
      <c r="D1211" s="381">
        <f>IF(AND('DICIEMBRE 2026'!D60&lt;&gt;"",'DICIEMBRE 2026'!Z60="POR RECOGER"),'DICIEMBRE 2026'!F60,"")</f>
        <v/>
      </c>
      <c r="E1211" s="381">
        <f>IF(AND('DICIEMBRE 2026'!D60&lt;&gt;"",'DICIEMBRE 2026'!Z60="POR RECOGER"),TEXT('DICIEMBRE 2026'!G60,"DD/MM/YYYY"),"")</f>
        <v/>
      </c>
      <c r="F1211" s="381">
        <f>IF(AND('DICIEMBRE 2026'!D60&lt;&gt;"",'DICIEMBRE 2026'!Z60="POR RECOGER"),'DICIEMBRE 2026'!K60,"")</f>
        <v/>
      </c>
      <c r="G1211" s="382">
        <f>IF(AND('DICIEMBRE 2026'!D60&lt;&gt;"",'DICIEMBRE 2026'!Z60="POR RECOGER"),'DICIEMBRE 2026'!M60,"")</f>
        <v/>
      </c>
      <c r="H1211" s="382">
        <f>IF(AND('DICIEMBRE 2026'!D60&lt;&gt;"",'DICIEMBRE 2026'!Z60="POR RECOGER"),'DICIEMBRE 2026'!N60,"")</f>
        <v/>
      </c>
      <c r="I1211" s="381">
        <f>IF(AND('DICIEMBRE 2026'!D60&lt;&gt;"",'DICIEMBRE 2026'!Z60="POR RECOGER"),'DICIEMBRE 2026'!P60,"")</f>
        <v/>
      </c>
      <c r="J1211" s="381">
        <f>IF(AND('DICIEMBRE 2026'!D60&lt;&gt;"",'DICIEMBRE 2026'!Z60="POR RECOGER"),'DICIEMBRE 2026'!Q60,"")</f>
        <v/>
      </c>
      <c r="K1211" s="381">
        <f>IF(AND('DICIEMBRE 2026'!D60&lt;&gt;"",'DICIEMBRE 2026'!Z60="POR RECOGER"),'DICIEMBRE 2026'!Y60,"")</f>
        <v/>
      </c>
      <c r="L1211" s="381">
        <f>IF(AND('DICIEMBRE 2026'!D60&lt;&gt;"",'DICIEMBRE 2026'!Z60="POR RECOGER"),'DICIEMBRE 2026'!I60,"")</f>
        <v/>
      </c>
      <c r="P1211" s="194" t="n"/>
      <c r="Q1211" s="194" t="n"/>
      <c r="R1211" s="194" t="n"/>
      <c r="S1211" s="194" t="n"/>
      <c r="T1211" s="194" t="n"/>
      <c r="U1211" s="194" t="n"/>
      <c r="V1211" s="194" t="n"/>
      <c r="W1211" s="194" t="n"/>
      <c r="X1211" s="194" t="n"/>
      <c r="Y1211" s="194" t="n"/>
      <c r="Z1211" s="194" t="n"/>
    </row>
    <row r="1212" ht="15" customHeight="1" s="195">
      <c r="A1212" s="381">
        <f>IF(AND('DICIEMBRE 2026'!D61&lt;&gt;"",'DICIEMBRE 2026'!Z61="POR RECOGER"),"DIC","")</f>
        <v/>
      </c>
      <c r="B1212" s="381">
        <f>IF(AND('DICIEMBRE 2026'!D61&lt;&gt;"",'DICIEMBRE 2026'!Z61="POR RECOGER"),IF('DICIEMBRE 2026'!Y61&lt;&gt;"",'DICIEMBRE 2026'!Y61,'DICIEMBRE 2026'!I61),"")</f>
        <v/>
      </c>
      <c r="C1212" s="381">
        <f>IF(AND('DICIEMBRE 2026'!D61&lt;&gt;"",'DICIEMBRE 2026'!Z61="POR RECOGER"),'DICIEMBRE 2026'!D61,"")</f>
        <v/>
      </c>
      <c r="D1212" s="381">
        <f>IF(AND('DICIEMBRE 2026'!D61&lt;&gt;"",'DICIEMBRE 2026'!Z61="POR RECOGER"),'DICIEMBRE 2026'!F61,"")</f>
        <v/>
      </c>
      <c r="E1212" s="381">
        <f>IF(AND('DICIEMBRE 2026'!D61&lt;&gt;"",'DICIEMBRE 2026'!Z61="POR RECOGER"),TEXT('DICIEMBRE 2026'!G61,"DD/MM/YYYY"),"")</f>
        <v/>
      </c>
      <c r="F1212" s="381">
        <f>IF(AND('DICIEMBRE 2026'!D61&lt;&gt;"",'DICIEMBRE 2026'!Z61="POR RECOGER"),'DICIEMBRE 2026'!K61,"")</f>
        <v/>
      </c>
      <c r="G1212" s="382">
        <f>IF(AND('DICIEMBRE 2026'!D61&lt;&gt;"",'DICIEMBRE 2026'!Z61="POR RECOGER"),'DICIEMBRE 2026'!M61,"")</f>
        <v/>
      </c>
      <c r="H1212" s="382">
        <f>IF(AND('DICIEMBRE 2026'!D61&lt;&gt;"",'DICIEMBRE 2026'!Z61="POR RECOGER"),'DICIEMBRE 2026'!N61,"")</f>
        <v/>
      </c>
      <c r="I1212" s="381">
        <f>IF(AND('DICIEMBRE 2026'!D61&lt;&gt;"",'DICIEMBRE 2026'!Z61="POR RECOGER"),'DICIEMBRE 2026'!P61,"")</f>
        <v/>
      </c>
      <c r="J1212" s="381">
        <f>IF(AND('DICIEMBRE 2026'!D61&lt;&gt;"",'DICIEMBRE 2026'!Z61="POR RECOGER"),'DICIEMBRE 2026'!Q61,"")</f>
        <v/>
      </c>
      <c r="K1212" s="381">
        <f>IF(AND('DICIEMBRE 2026'!D61&lt;&gt;"",'DICIEMBRE 2026'!Z61="POR RECOGER"),'DICIEMBRE 2026'!Y61,"")</f>
        <v/>
      </c>
      <c r="L1212" s="381">
        <f>IF(AND('DICIEMBRE 2026'!D61&lt;&gt;"",'DICIEMBRE 2026'!Z61="POR RECOGER"),'DICIEMBRE 2026'!I61,"")</f>
        <v/>
      </c>
      <c r="P1212" s="194" t="n"/>
      <c r="Q1212" s="194" t="n"/>
      <c r="R1212" s="194" t="n"/>
      <c r="S1212" s="194" t="n"/>
      <c r="T1212" s="194" t="n"/>
      <c r="U1212" s="194" t="n"/>
      <c r="V1212" s="194" t="n"/>
      <c r="W1212" s="194" t="n"/>
      <c r="X1212" s="194" t="n"/>
      <c r="Y1212" s="194" t="n"/>
      <c r="Z1212" s="194" t="n"/>
    </row>
    <row r="1213" ht="15" customHeight="1" s="195">
      <c r="A1213" s="381">
        <f>IF(AND('DICIEMBRE 2026'!D62&lt;&gt;"",'DICIEMBRE 2026'!Z62="POR RECOGER"),"DIC","")</f>
        <v/>
      </c>
      <c r="B1213" s="381">
        <f>IF(AND('DICIEMBRE 2026'!D62&lt;&gt;"",'DICIEMBRE 2026'!Z62="POR RECOGER"),IF('DICIEMBRE 2026'!Y62&lt;&gt;"",'DICIEMBRE 2026'!Y62,'DICIEMBRE 2026'!I62),"")</f>
        <v/>
      </c>
      <c r="C1213" s="381">
        <f>IF(AND('DICIEMBRE 2026'!D62&lt;&gt;"",'DICIEMBRE 2026'!Z62="POR RECOGER"),'DICIEMBRE 2026'!D62,"")</f>
        <v/>
      </c>
      <c r="D1213" s="381">
        <f>IF(AND('DICIEMBRE 2026'!D62&lt;&gt;"",'DICIEMBRE 2026'!Z62="POR RECOGER"),'DICIEMBRE 2026'!F62,"")</f>
        <v/>
      </c>
      <c r="E1213" s="381">
        <f>IF(AND('DICIEMBRE 2026'!D62&lt;&gt;"",'DICIEMBRE 2026'!Z62="POR RECOGER"),TEXT('DICIEMBRE 2026'!G62,"DD/MM/YYYY"),"")</f>
        <v/>
      </c>
      <c r="F1213" s="381">
        <f>IF(AND('DICIEMBRE 2026'!D62&lt;&gt;"",'DICIEMBRE 2026'!Z62="POR RECOGER"),'DICIEMBRE 2026'!K62,"")</f>
        <v/>
      </c>
      <c r="G1213" s="382">
        <f>IF(AND('DICIEMBRE 2026'!D62&lt;&gt;"",'DICIEMBRE 2026'!Z62="POR RECOGER"),'DICIEMBRE 2026'!M62,"")</f>
        <v/>
      </c>
      <c r="H1213" s="382">
        <f>IF(AND('DICIEMBRE 2026'!D62&lt;&gt;"",'DICIEMBRE 2026'!Z62="POR RECOGER"),'DICIEMBRE 2026'!N62,"")</f>
        <v/>
      </c>
      <c r="I1213" s="381">
        <f>IF(AND('DICIEMBRE 2026'!D62&lt;&gt;"",'DICIEMBRE 2026'!Z62="POR RECOGER"),'DICIEMBRE 2026'!P62,"")</f>
        <v/>
      </c>
      <c r="J1213" s="381">
        <f>IF(AND('DICIEMBRE 2026'!D62&lt;&gt;"",'DICIEMBRE 2026'!Z62="POR RECOGER"),'DICIEMBRE 2026'!Q62,"")</f>
        <v/>
      </c>
      <c r="K1213" s="381">
        <f>IF(AND('DICIEMBRE 2026'!D62&lt;&gt;"",'DICIEMBRE 2026'!Z62="POR RECOGER"),'DICIEMBRE 2026'!Y62,"")</f>
        <v/>
      </c>
      <c r="L1213" s="381">
        <f>IF(AND('DICIEMBRE 2026'!D62&lt;&gt;"",'DICIEMBRE 2026'!Z62="POR RECOGER"),'DICIEMBRE 2026'!I62,"")</f>
        <v/>
      </c>
      <c r="P1213" s="194" t="n"/>
      <c r="Q1213" s="194" t="n"/>
      <c r="R1213" s="194" t="n"/>
      <c r="S1213" s="194" t="n"/>
      <c r="T1213" s="194" t="n"/>
      <c r="U1213" s="194" t="n"/>
      <c r="V1213" s="194" t="n"/>
      <c r="W1213" s="194" t="n"/>
      <c r="X1213" s="194" t="n"/>
      <c r="Y1213" s="194" t="n"/>
      <c r="Z1213" s="194" t="n"/>
    </row>
    <row r="1214" ht="15" customHeight="1" s="195">
      <c r="A1214" s="381">
        <f>IF(AND('DICIEMBRE 2026'!D63&lt;&gt;"",'DICIEMBRE 2026'!Z63="POR RECOGER"),"DIC","")</f>
        <v/>
      </c>
      <c r="B1214" s="381">
        <f>IF(AND('DICIEMBRE 2026'!D63&lt;&gt;"",'DICIEMBRE 2026'!Z63="POR RECOGER"),IF('DICIEMBRE 2026'!Y63&lt;&gt;"",'DICIEMBRE 2026'!Y63,'DICIEMBRE 2026'!I63),"")</f>
        <v/>
      </c>
      <c r="C1214" s="381">
        <f>IF(AND('DICIEMBRE 2026'!D63&lt;&gt;"",'DICIEMBRE 2026'!Z63="POR RECOGER"),'DICIEMBRE 2026'!D63,"")</f>
        <v/>
      </c>
      <c r="D1214" s="381">
        <f>IF(AND('DICIEMBRE 2026'!D63&lt;&gt;"",'DICIEMBRE 2026'!Z63="POR RECOGER"),'DICIEMBRE 2026'!F63,"")</f>
        <v/>
      </c>
      <c r="E1214" s="381">
        <f>IF(AND('DICIEMBRE 2026'!D63&lt;&gt;"",'DICIEMBRE 2026'!Z63="POR RECOGER"),TEXT('DICIEMBRE 2026'!G63,"DD/MM/YYYY"),"")</f>
        <v/>
      </c>
      <c r="F1214" s="381">
        <f>IF(AND('DICIEMBRE 2026'!D63&lt;&gt;"",'DICIEMBRE 2026'!Z63="POR RECOGER"),'DICIEMBRE 2026'!K63,"")</f>
        <v/>
      </c>
      <c r="G1214" s="382">
        <f>IF(AND('DICIEMBRE 2026'!D63&lt;&gt;"",'DICIEMBRE 2026'!Z63="POR RECOGER"),'DICIEMBRE 2026'!M63,"")</f>
        <v/>
      </c>
      <c r="H1214" s="382">
        <f>IF(AND('DICIEMBRE 2026'!D63&lt;&gt;"",'DICIEMBRE 2026'!Z63="POR RECOGER"),'DICIEMBRE 2026'!N63,"")</f>
        <v/>
      </c>
      <c r="I1214" s="381">
        <f>IF(AND('DICIEMBRE 2026'!D63&lt;&gt;"",'DICIEMBRE 2026'!Z63="POR RECOGER"),'DICIEMBRE 2026'!P63,"")</f>
        <v/>
      </c>
      <c r="J1214" s="381">
        <f>IF(AND('DICIEMBRE 2026'!D63&lt;&gt;"",'DICIEMBRE 2026'!Z63="POR RECOGER"),'DICIEMBRE 2026'!Q63,"")</f>
        <v/>
      </c>
      <c r="K1214" s="381">
        <f>IF(AND('DICIEMBRE 2026'!D63&lt;&gt;"",'DICIEMBRE 2026'!Z63="POR RECOGER"),'DICIEMBRE 2026'!Y63,"")</f>
        <v/>
      </c>
      <c r="L1214" s="381">
        <f>IF(AND('DICIEMBRE 2026'!D63&lt;&gt;"",'DICIEMBRE 2026'!Z63="POR RECOGER"),'DICIEMBRE 2026'!I63,"")</f>
        <v/>
      </c>
      <c r="P1214" s="194" t="n"/>
      <c r="Q1214" s="194" t="n"/>
      <c r="R1214" s="194" t="n"/>
      <c r="S1214" s="194" t="n"/>
      <c r="T1214" s="194" t="n"/>
      <c r="U1214" s="194" t="n"/>
      <c r="V1214" s="194" t="n"/>
      <c r="W1214" s="194" t="n"/>
      <c r="X1214" s="194" t="n"/>
      <c r="Y1214" s="194" t="n"/>
      <c r="Z1214" s="194" t="n"/>
    </row>
    <row r="1215" ht="15" customHeight="1" s="195">
      <c r="A1215" s="381">
        <f>IF(AND('DICIEMBRE 2026'!D64&lt;&gt;"",'DICIEMBRE 2026'!Z64="POR RECOGER"),"DIC","")</f>
        <v/>
      </c>
      <c r="B1215" s="381">
        <f>IF(AND('DICIEMBRE 2026'!D64&lt;&gt;"",'DICIEMBRE 2026'!Z64="POR RECOGER"),IF('DICIEMBRE 2026'!Y64&lt;&gt;"",'DICIEMBRE 2026'!Y64,'DICIEMBRE 2026'!I64),"")</f>
        <v/>
      </c>
      <c r="C1215" s="381">
        <f>IF(AND('DICIEMBRE 2026'!D64&lt;&gt;"",'DICIEMBRE 2026'!Z64="POR RECOGER"),'DICIEMBRE 2026'!D64,"")</f>
        <v/>
      </c>
      <c r="D1215" s="381">
        <f>IF(AND('DICIEMBRE 2026'!D64&lt;&gt;"",'DICIEMBRE 2026'!Z64="POR RECOGER"),'DICIEMBRE 2026'!F64,"")</f>
        <v/>
      </c>
      <c r="E1215" s="381">
        <f>IF(AND('DICIEMBRE 2026'!D64&lt;&gt;"",'DICIEMBRE 2026'!Z64="POR RECOGER"),TEXT('DICIEMBRE 2026'!G64,"DD/MM/YYYY"),"")</f>
        <v/>
      </c>
      <c r="F1215" s="381">
        <f>IF(AND('DICIEMBRE 2026'!D64&lt;&gt;"",'DICIEMBRE 2026'!Z64="POR RECOGER"),'DICIEMBRE 2026'!K64,"")</f>
        <v/>
      </c>
      <c r="G1215" s="382">
        <f>IF(AND('DICIEMBRE 2026'!D64&lt;&gt;"",'DICIEMBRE 2026'!Z64="POR RECOGER"),'DICIEMBRE 2026'!M64,"")</f>
        <v/>
      </c>
      <c r="H1215" s="382">
        <f>IF(AND('DICIEMBRE 2026'!D64&lt;&gt;"",'DICIEMBRE 2026'!Z64="POR RECOGER"),'DICIEMBRE 2026'!N64,"")</f>
        <v/>
      </c>
      <c r="I1215" s="381">
        <f>IF(AND('DICIEMBRE 2026'!D64&lt;&gt;"",'DICIEMBRE 2026'!Z64="POR RECOGER"),'DICIEMBRE 2026'!P64,"")</f>
        <v/>
      </c>
      <c r="J1215" s="381">
        <f>IF(AND('DICIEMBRE 2026'!D64&lt;&gt;"",'DICIEMBRE 2026'!Z64="POR RECOGER"),'DICIEMBRE 2026'!Q64,"")</f>
        <v/>
      </c>
      <c r="K1215" s="381">
        <f>IF(AND('DICIEMBRE 2026'!D64&lt;&gt;"",'DICIEMBRE 2026'!Z64="POR RECOGER"),'DICIEMBRE 2026'!Y64,"")</f>
        <v/>
      </c>
      <c r="L1215" s="381">
        <f>IF(AND('DICIEMBRE 2026'!D64&lt;&gt;"",'DICIEMBRE 2026'!Z64="POR RECOGER"),'DICIEMBRE 2026'!I64,"")</f>
        <v/>
      </c>
      <c r="P1215" s="194" t="n"/>
      <c r="Q1215" s="194" t="n"/>
      <c r="R1215" s="194" t="n"/>
      <c r="S1215" s="194" t="n"/>
      <c r="T1215" s="194" t="n"/>
      <c r="U1215" s="194" t="n"/>
      <c r="V1215" s="194" t="n"/>
      <c r="W1215" s="194" t="n"/>
      <c r="X1215" s="194" t="n"/>
      <c r="Y1215" s="194" t="n"/>
      <c r="Z1215" s="194" t="n"/>
    </row>
    <row r="1216" ht="15" customHeight="1" s="195">
      <c r="A1216" s="381">
        <f>IF(AND('DICIEMBRE 2026'!D65&lt;&gt;"",'DICIEMBRE 2026'!Z65="POR RECOGER"),"DIC","")</f>
        <v/>
      </c>
      <c r="B1216" s="381">
        <f>IF(AND('DICIEMBRE 2026'!D65&lt;&gt;"",'DICIEMBRE 2026'!Z65="POR RECOGER"),IF('DICIEMBRE 2026'!Y65&lt;&gt;"",'DICIEMBRE 2026'!Y65,'DICIEMBRE 2026'!I65),"")</f>
        <v/>
      </c>
      <c r="C1216" s="381">
        <f>IF(AND('DICIEMBRE 2026'!D65&lt;&gt;"",'DICIEMBRE 2026'!Z65="POR RECOGER"),'DICIEMBRE 2026'!D65,"")</f>
        <v/>
      </c>
      <c r="D1216" s="381">
        <f>IF(AND('DICIEMBRE 2026'!D65&lt;&gt;"",'DICIEMBRE 2026'!Z65="POR RECOGER"),'DICIEMBRE 2026'!F65,"")</f>
        <v/>
      </c>
      <c r="E1216" s="381">
        <f>IF(AND('DICIEMBRE 2026'!D65&lt;&gt;"",'DICIEMBRE 2026'!Z65="POR RECOGER"),TEXT('DICIEMBRE 2026'!G65,"DD/MM/YYYY"),"")</f>
        <v/>
      </c>
      <c r="F1216" s="381">
        <f>IF(AND('DICIEMBRE 2026'!D65&lt;&gt;"",'DICIEMBRE 2026'!Z65="POR RECOGER"),'DICIEMBRE 2026'!K65,"")</f>
        <v/>
      </c>
      <c r="G1216" s="382">
        <f>IF(AND('DICIEMBRE 2026'!D65&lt;&gt;"",'DICIEMBRE 2026'!Z65="POR RECOGER"),'DICIEMBRE 2026'!M65,"")</f>
        <v/>
      </c>
      <c r="H1216" s="382">
        <f>IF(AND('DICIEMBRE 2026'!D65&lt;&gt;"",'DICIEMBRE 2026'!Z65="POR RECOGER"),'DICIEMBRE 2026'!N65,"")</f>
        <v/>
      </c>
      <c r="I1216" s="381">
        <f>IF(AND('DICIEMBRE 2026'!D65&lt;&gt;"",'DICIEMBRE 2026'!Z65="POR RECOGER"),'DICIEMBRE 2026'!P65,"")</f>
        <v/>
      </c>
      <c r="J1216" s="381">
        <f>IF(AND('DICIEMBRE 2026'!D65&lt;&gt;"",'DICIEMBRE 2026'!Z65="POR RECOGER"),'DICIEMBRE 2026'!Q65,"")</f>
        <v/>
      </c>
      <c r="K1216" s="381">
        <f>IF(AND('DICIEMBRE 2026'!D65&lt;&gt;"",'DICIEMBRE 2026'!Z65="POR RECOGER"),'DICIEMBRE 2026'!Y65,"")</f>
        <v/>
      </c>
      <c r="L1216" s="381">
        <f>IF(AND('DICIEMBRE 2026'!D65&lt;&gt;"",'DICIEMBRE 2026'!Z65="POR RECOGER"),'DICIEMBRE 2026'!I65,"")</f>
        <v/>
      </c>
      <c r="P1216" s="194" t="n"/>
      <c r="Q1216" s="194" t="n"/>
      <c r="R1216" s="194" t="n"/>
      <c r="S1216" s="194" t="n"/>
      <c r="T1216" s="194" t="n"/>
      <c r="U1216" s="194" t="n"/>
      <c r="V1216" s="194" t="n"/>
      <c r="W1216" s="194" t="n"/>
      <c r="X1216" s="194" t="n"/>
      <c r="Y1216" s="194" t="n"/>
      <c r="Z1216" s="194" t="n"/>
    </row>
    <row r="1217" ht="15" customHeight="1" s="195">
      <c r="A1217" s="381">
        <f>IF(AND('DICIEMBRE 2026'!D66&lt;&gt;"",'DICIEMBRE 2026'!Z66="POR RECOGER"),"DIC","")</f>
        <v/>
      </c>
      <c r="B1217" s="381">
        <f>IF(AND('DICIEMBRE 2026'!D66&lt;&gt;"",'DICIEMBRE 2026'!Z66="POR RECOGER"),IF('DICIEMBRE 2026'!Y66&lt;&gt;"",'DICIEMBRE 2026'!Y66,'DICIEMBRE 2026'!I66),"")</f>
        <v/>
      </c>
      <c r="C1217" s="381">
        <f>IF(AND('DICIEMBRE 2026'!D66&lt;&gt;"",'DICIEMBRE 2026'!Z66="POR RECOGER"),'DICIEMBRE 2026'!D66,"")</f>
        <v/>
      </c>
      <c r="D1217" s="381">
        <f>IF(AND('DICIEMBRE 2026'!D66&lt;&gt;"",'DICIEMBRE 2026'!Z66="POR RECOGER"),'DICIEMBRE 2026'!F66,"")</f>
        <v/>
      </c>
      <c r="E1217" s="381">
        <f>IF(AND('DICIEMBRE 2026'!D66&lt;&gt;"",'DICIEMBRE 2026'!Z66="POR RECOGER"),TEXT('DICIEMBRE 2026'!G66,"DD/MM/YYYY"),"")</f>
        <v/>
      </c>
      <c r="F1217" s="381">
        <f>IF(AND('DICIEMBRE 2026'!D66&lt;&gt;"",'DICIEMBRE 2026'!Z66="POR RECOGER"),'DICIEMBRE 2026'!K66,"")</f>
        <v/>
      </c>
      <c r="G1217" s="382">
        <f>IF(AND('DICIEMBRE 2026'!D66&lt;&gt;"",'DICIEMBRE 2026'!Z66="POR RECOGER"),'DICIEMBRE 2026'!M66,"")</f>
        <v/>
      </c>
      <c r="H1217" s="382">
        <f>IF(AND('DICIEMBRE 2026'!D66&lt;&gt;"",'DICIEMBRE 2026'!Z66="POR RECOGER"),'DICIEMBRE 2026'!N66,"")</f>
        <v/>
      </c>
      <c r="I1217" s="381">
        <f>IF(AND('DICIEMBRE 2026'!D66&lt;&gt;"",'DICIEMBRE 2026'!Z66="POR RECOGER"),'DICIEMBRE 2026'!P66,"")</f>
        <v/>
      </c>
      <c r="J1217" s="381">
        <f>IF(AND('DICIEMBRE 2026'!D66&lt;&gt;"",'DICIEMBRE 2026'!Z66="POR RECOGER"),'DICIEMBRE 2026'!Q66,"")</f>
        <v/>
      </c>
      <c r="K1217" s="381">
        <f>IF(AND('DICIEMBRE 2026'!D66&lt;&gt;"",'DICIEMBRE 2026'!Z66="POR RECOGER"),'DICIEMBRE 2026'!Y66,"")</f>
        <v/>
      </c>
      <c r="L1217" s="381">
        <f>IF(AND('DICIEMBRE 2026'!D66&lt;&gt;"",'DICIEMBRE 2026'!Z66="POR RECOGER"),'DICIEMBRE 2026'!I66,"")</f>
        <v/>
      </c>
      <c r="P1217" s="194" t="n"/>
      <c r="Q1217" s="194" t="n"/>
      <c r="R1217" s="194" t="n"/>
      <c r="S1217" s="194" t="n"/>
      <c r="T1217" s="194" t="n"/>
      <c r="U1217" s="194" t="n"/>
      <c r="V1217" s="194" t="n"/>
      <c r="W1217" s="194" t="n"/>
      <c r="X1217" s="194" t="n"/>
      <c r="Y1217" s="194" t="n"/>
      <c r="Z1217" s="194" t="n"/>
    </row>
    <row r="1218" ht="15" customHeight="1" s="195">
      <c r="A1218" s="381">
        <f>IF(AND('DICIEMBRE 2026'!D67&lt;&gt;"",'DICIEMBRE 2026'!Z67="POR RECOGER"),"DIC","")</f>
        <v/>
      </c>
      <c r="B1218" s="381">
        <f>IF(AND('DICIEMBRE 2026'!D67&lt;&gt;"",'DICIEMBRE 2026'!Z67="POR RECOGER"),IF('DICIEMBRE 2026'!Y67&lt;&gt;"",'DICIEMBRE 2026'!Y67,'DICIEMBRE 2026'!I67),"")</f>
        <v/>
      </c>
      <c r="C1218" s="381">
        <f>IF(AND('DICIEMBRE 2026'!D67&lt;&gt;"",'DICIEMBRE 2026'!Z67="POR RECOGER"),'DICIEMBRE 2026'!D67,"")</f>
        <v/>
      </c>
      <c r="D1218" s="381">
        <f>IF(AND('DICIEMBRE 2026'!D67&lt;&gt;"",'DICIEMBRE 2026'!Z67="POR RECOGER"),'DICIEMBRE 2026'!F67,"")</f>
        <v/>
      </c>
      <c r="E1218" s="381">
        <f>IF(AND('DICIEMBRE 2026'!D67&lt;&gt;"",'DICIEMBRE 2026'!Z67="POR RECOGER"),TEXT('DICIEMBRE 2026'!G67,"DD/MM/YYYY"),"")</f>
        <v/>
      </c>
      <c r="F1218" s="381">
        <f>IF(AND('DICIEMBRE 2026'!D67&lt;&gt;"",'DICIEMBRE 2026'!Z67="POR RECOGER"),'DICIEMBRE 2026'!K67,"")</f>
        <v/>
      </c>
      <c r="G1218" s="382">
        <f>IF(AND('DICIEMBRE 2026'!D67&lt;&gt;"",'DICIEMBRE 2026'!Z67="POR RECOGER"),'DICIEMBRE 2026'!M67,"")</f>
        <v/>
      </c>
      <c r="H1218" s="382">
        <f>IF(AND('DICIEMBRE 2026'!D67&lt;&gt;"",'DICIEMBRE 2026'!Z67="POR RECOGER"),'DICIEMBRE 2026'!N67,"")</f>
        <v/>
      </c>
      <c r="I1218" s="381">
        <f>IF(AND('DICIEMBRE 2026'!D67&lt;&gt;"",'DICIEMBRE 2026'!Z67="POR RECOGER"),'DICIEMBRE 2026'!P67,"")</f>
        <v/>
      </c>
      <c r="J1218" s="381">
        <f>IF(AND('DICIEMBRE 2026'!D67&lt;&gt;"",'DICIEMBRE 2026'!Z67="POR RECOGER"),'DICIEMBRE 2026'!Q67,"")</f>
        <v/>
      </c>
      <c r="K1218" s="381">
        <f>IF(AND('DICIEMBRE 2026'!D67&lt;&gt;"",'DICIEMBRE 2026'!Z67="POR RECOGER"),'DICIEMBRE 2026'!Y67,"")</f>
        <v/>
      </c>
      <c r="L1218" s="381">
        <f>IF(AND('DICIEMBRE 2026'!D67&lt;&gt;"",'DICIEMBRE 2026'!Z67="POR RECOGER"),'DICIEMBRE 2026'!I67,"")</f>
        <v/>
      </c>
      <c r="P1218" s="194" t="n"/>
      <c r="Q1218" s="194" t="n"/>
      <c r="R1218" s="194" t="n"/>
      <c r="S1218" s="194" t="n"/>
      <c r="T1218" s="194" t="n"/>
      <c r="U1218" s="194" t="n"/>
      <c r="V1218" s="194" t="n"/>
      <c r="W1218" s="194" t="n"/>
      <c r="X1218" s="194" t="n"/>
      <c r="Y1218" s="194" t="n"/>
      <c r="Z1218" s="194" t="n"/>
    </row>
    <row r="1219" ht="15" customHeight="1" s="195">
      <c r="A1219" s="381">
        <f>IF(AND('DICIEMBRE 2026'!D68&lt;&gt;"",'DICIEMBRE 2026'!Z68="POR RECOGER"),"DIC","")</f>
        <v/>
      </c>
      <c r="B1219" s="381">
        <f>IF(AND('DICIEMBRE 2026'!D68&lt;&gt;"",'DICIEMBRE 2026'!Z68="POR RECOGER"),IF('DICIEMBRE 2026'!Y68&lt;&gt;"",'DICIEMBRE 2026'!Y68,'DICIEMBRE 2026'!I68),"")</f>
        <v/>
      </c>
      <c r="C1219" s="381">
        <f>IF(AND('DICIEMBRE 2026'!D68&lt;&gt;"",'DICIEMBRE 2026'!Z68="POR RECOGER"),'DICIEMBRE 2026'!D68,"")</f>
        <v/>
      </c>
      <c r="D1219" s="381">
        <f>IF(AND('DICIEMBRE 2026'!D68&lt;&gt;"",'DICIEMBRE 2026'!Z68="POR RECOGER"),'DICIEMBRE 2026'!F68,"")</f>
        <v/>
      </c>
      <c r="E1219" s="381">
        <f>IF(AND('DICIEMBRE 2026'!D68&lt;&gt;"",'DICIEMBRE 2026'!Z68="POR RECOGER"),TEXT('DICIEMBRE 2026'!G68,"DD/MM/YYYY"),"")</f>
        <v/>
      </c>
      <c r="F1219" s="381">
        <f>IF(AND('DICIEMBRE 2026'!D68&lt;&gt;"",'DICIEMBRE 2026'!Z68="POR RECOGER"),'DICIEMBRE 2026'!K68,"")</f>
        <v/>
      </c>
      <c r="G1219" s="382">
        <f>IF(AND('DICIEMBRE 2026'!D68&lt;&gt;"",'DICIEMBRE 2026'!Z68="POR RECOGER"),'DICIEMBRE 2026'!M68,"")</f>
        <v/>
      </c>
      <c r="H1219" s="382">
        <f>IF(AND('DICIEMBRE 2026'!D68&lt;&gt;"",'DICIEMBRE 2026'!Z68="POR RECOGER"),'DICIEMBRE 2026'!N68,"")</f>
        <v/>
      </c>
      <c r="I1219" s="381">
        <f>IF(AND('DICIEMBRE 2026'!D68&lt;&gt;"",'DICIEMBRE 2026'!Z68="POR RECOGER"),'DICIEMBRE 2026'!P68,"")</f>
        <v/>
      </c>
      <c r="J1219" s="381">
        <f>IF(AND('DICIEMBRE 2026'!D68&lt;&gt;"",'DICIEMBRE 2026'!Z68="POR RECOGER"),'DICIEMBRE 2026'!Q68,"")</f>
        <v/>
      </c>
      <c r="K1219" s="381">
        <f>IF(AND('DICIEMBRE 2026'!D68&lt;&gt;"",'DICIEMBRE 2026'!Z68="POR RECOGER"),'DICIEMBRE 2026'!Y68,"")</f>
        <v/>
      </c>
      <c r="L1219" s="381">
        <f>IF(AND('DICIEMBRE 2026'!D68&lt;&gt;"",'DICIEMBRE 2026'!Z68="POR RECOGER"),'DICIEMBRE 2026'!I68,"")</f>
        <v/>
      </c>
      <c r="P1219" s="194" t="n"/>
      <c r="Q1219" s="194" t="n"/>
      <c r="R1219" s="194" t="n"/>
      <c r="S1219" s="194" t="n"/>
      <c r="T1219" s="194" t="n"/>
      <c r="U1219" s="194" t="n"/>
      <c r="V1219" s="194" t="n"/>
      <c r="W1219" s="194" t="n"/>
      <c r="X1219" s="194" t="n"/>
      <c r="Y1219" s="194" t="n"/>
      <c r="Z1219" s="194" t="n"/>
    </row>
    <row r="1220" ht="15" customHeight="1" s="195">
      <c r="A1220" s="381">
        <f>IF(AND('DICIEMBRE 2026'!D69&lt;&gt;"",'DICIEMBRE 2026'!Z69="POR RECOGER"),"DIC","")</f>
        <v/>
      </c>
      <c r="B1220" s="381">
        <f>IF(AND('DICIEMBRE 2026'!D69&lt;&gt;"",'DICIEMBRE 2026'!Z69="POR RECOGER"),IF('DICIEMBRE 2026'!Y69&lt;&gt;"",'DICIEMBRE 2026'!Y69,'DICIEMBRE 2026'!I69),"")</f>
        <v/>
      </c>
      <c r="C1220" s="381">
        <f>IF(AND('DICIEMBRE 2026'!D69&lt;&gt;"",'DICIEMBRE 2026'!Z69="POR RECOGER"),'DICIEMBRE 2026'!D69,"")</f>
        <v/>
      </c>
      <c r="D1220" s="381">
        <f>IF(AND('DICIEMBRE 2026'!D69&lt;&gt;"",'DICIEMBRE 2026'!Z69="POR RECOGER"),'DICIEMBRE 2026'!F69,"")</f>
        <v/>
      </c>
      <c r="E1220" s="381">
        <f>IF(AND('DICIEMBRE 2026'!D69&lt;&gt;"",'DICIEMBRE 2026'!Z69="POR RECOGER"),TEXT('DICIEMBRE 2026'!G69,"DD/MM/YYYY"),"")</f>
        <v/>
      </c>
      <c r="F1220" s="381">
        <f>IF(AND('DICIEMBRE 2026'!D69&lt;&gt;"",'DICIEMBRE 2026'!Z69="POR RECOGER"),'DICIEMBRE 2026'!K69,"")</f>
        <v/>
      </c>
      <c r="G1220" s="382">
        <f>IF(AND('DICIEMBRE 2026'!D69&lt;&gt;"",'DICIEMBRE 2026'!Z69="POR RECOGER"),'DICIEMBRE 2026'!M69,"")</f>
        <v/>
      </c>
      <c r="H1220" s="382">
        <f>IF(AND('DICIEMBRE 2026'!D69&lt;&gt;"",'DICIEMBRE 2026'!Z69="POR RECOGER"),'DICIEMBRE 2026'!N69,"")</f>
        <v/>
      </c>
      <c r="I1220" s="381">
        <f>IF(AND('DICIEMBRE 2026'!D69&lt;&gt;"",'DICIEMBRE 2026'!Z69="POR RECOGER"),'DICIEMBRE 2026'!P69,"")</f>
        <v/>
      </c>
      <c r="J1220" s="381">
        <f>IF(AND('DICIEMBRE 2026'!D69&lt;&gt;"",'DICIEMBRE 2026'!Z69="POR RECOGER"),'DICIEMBRE 2026'!Q69,"")</f>
        <v/>
      </c>
      <c r="K1220" s="381">
        <f>IF(AND('DICIEMBRE 2026'!D69&lt;&gt;"",'DICIEMBRE 2026'!Z69="POR RECOGER"),'DICIEMBRE 2026'!Y69,"")</f>
        <v/>
      </c>
      <c r="L1220" s="381">
        <f>IF(AND('DICIEMBRE 2026'!D69&lt;&gt;"",'DICIEMBRE 2026'!Z69="POR RECOGER"),'DICIEMBRE 2026'!I69,"")</f>
        <v/>
      </c>
      <c r="P1220" s="194" t="n"/>
      <c r="Q1220" s="194" t="n"/>
      <c r="R1220" s="194" t="n"/>
      <c r="S1220" s="194" t="n"/>
      <c r="T1220" s="194" t="n"/>
      <c r="U1220" s="194" t="n"/>
      <c r="V1220" s="194" t="n"/>
      <c r="W1220" s="194" t="n"/>
      <c r="X1220" s="194" t="n"/>
      <c r="Y1220" s="194" t="n"/>
      <c r="Z1220" s="194" t="n"/>
    </row>
    <row r="1221" ht="15" customHeight="1" s="195">
      <c r="A1221" s="381">
        <f>IF(AND('DICIEMBRE 2026'!D70&lt;&gt;"",'DICIEMBRE 2026'!Z70="POR RECOGER"),"DIC","")</f>
        <v/>
      </c>
      <c r="B1221" s="381">
        <f>IF(AND('DICIEMBRE 2026'!D70&lt;&gt;"",'DICIEMBRE 2026'!Z70="POR RECOGER"),IF('DICIEMBRE 2026'!Y70&lt;&gt;"",'DICIEMBRE 2026'!Y70,'DICIEMBRE 2026'!I70),"")</f>
        <v/>
      </c>
      <c r="C1221" s="381">
        <f>IF(AND('DICIEMBRE 2026'!D70&lt;&gt;"",'DICIEMBRE 2026'!Z70="POR RECOGER"),'DICIEMBRE 2026'!D70,"")</f>
        <v/>
      </c>
      <c r="D1221" s="381">
        <f>IF(AND('DICIEMBRE 2026'!D70&lt;&gt;"",'DICIEMBRE 2026'!Z70="POR RECOGER"),'DICIEMBRE 2026'!F70,"")</f>
        <v/>
      </c>
      <c r="E1221" s="381">
        <f>IF(AND('DICIEMBRE 2026'!D70&lt;&gt;"",'DICIEMBRE 2026'!Z70="POR RECOGER"),TEXT('DICIEMBRE 2026'!G70,"DD/MM/YYYY"),"")</f>
        <v/>
      </c>
      <c r="F1221" s="381">
        <f>IF(AND('DICIEMBRE 2026'!D70&lt;&gt;"",'DICIEMBRE 2026'!Z70="POR RECOGER"),'DICIEMBRE 2026'!K70,"")</f>
        <v/>
      </c>
      <c r="G1221" s="382">
        <f>IF(AND('DICIEMBRE 2026'!D70&lt;&gt;"",'DICIEMBRE 2026'!Z70="POR RECOGER"),'DICIEMBRE 2026'!M70,"")</f>
        <v/>
      </c>
      <c r="H1221" s="382">
        <f>IF(AND('DICIEMBRE 2026'!D70&lt;&gt;"",'DICIEMBRE 2026'!Z70="POR RECOGER"),'DICIEMBRE 2026'!N70,"")</f>
        <v/>
      </c>
      <c r="I1221" s="381">
        <f>IF(AND('DICIEMBRE 2026'!D70&lt;&gt;"",'DICIEMBRE 2026'!Z70="POR RECOGER"),'DICIEMBRE 2026'!P70,"")</f>
        <v/>
      </c>
      <c r="J1221" s="381">
        <f>IF(AND('DICIEMBRE 2026'!D70&lt;&gt;"",'DICIEMBRE 2026'!Z70="POR RECOGER"),'DICIEMBRE 2026'!Q70,"")</f>
        <v/>
      </c>
      <c r="K1221" s="381">
        <f>IF(AND('DICIEMBRE 2026'!D70&lt;&gt;"",'DICIEMBRE 2026'!Z70="POR RECOGER"),'DICIEMBRE 2026'!Y70,"")</f>
        <v/>
      </c>
      <c r="L1221" s="381">
        <f>IF(AND('DICIEMBRE 2026'!D70&lt;&gt;"",'DICIEMBRE 2026'!Z70="POR RECOGER"),'DICIEMBRE 2026'!I70,"")</f>
        <v/>
      </c>
      <c r="P1221" s="194" t="n"/>
      <c r="Q1221" s="194" t="n"/>
      <c r="R1221" s="194" t="n"/>
      <c r="S1221" s="194" t="n"/>
      <c r="T1221" s="194" t="n"/>
      <c r="U1221" s="194" t="n"/>
      <c r="V1221" s="194" t="n"/>
      <c r="W1221" s="194" t="n"/>
      <c r="X1221" s="194" t="n"/>
      <c r="Y1221" s="194" t="n"/>
      <c r="Z1221" s="194" t="n"/>
    </row>
    <row r="1222" ht="15" customHeight="1" s="195">
      <c r="A1222" s="381">
        <f>IF(AND('DICIEMBRE 2026'!D71&lt;&gt;"",'DICIEMBRE 2026'!Z71="POR RECOGER"),"DIC","")</f>
        <v/>
      </c>
      <c r="B1222" s="381">
        <f>IF(AND('DICIEMBRE 2026'!D71&lt;&gt;"",'DICIEMBRE 2026'!Z71="POR RECOGER"),IF('DICIEMBRE 2026'!Y71&lt;&gt;"",'DICIEMBRE 2026'!Y71,'DICIEMBRE 2026'!I71),"")</f>
        <v/>
      </c>
      <c r="C1222" s="381">
        <f>IF(AND('DICIEMBRE 2026'!D71&lt;&gt;"",'DICIEMBRE 2026'!Z71="POR RECOGER"),'DICIEMBRE 2026'!D71,"")</f>
        <v/>
      </c>
      <c r="D1222" s="381">
        <f>IF(AND('DICIEMBRE 2026'!D71&lt;&gt;"",'DICIEMBRE 2026'!Z71="POR RECOGER"),'DICIEMBRE 2026'!F71,"")</f>
        <v/>
      </c>
      <c r="E1222" s="381">
        <f>IF(AND('DICIEMBRE 2026'!D71&lt;&gt;"",'DICIEMBRE 2026'!Z71="POR RECOGER"),TEXT('DICIEMBRE 2026'!G71,"DD/MM/YYYY"),"")</f>
        <v/>
      </c>
      <c r="F1222" s="381">
        <f>IF(AND('DICIEMBRE 2026'!D71&lt;&gt;"",'DICIEMBRE 2026'!Z71="POR RECOGER"),'DICIEMBRE 2026'!K71,"")</f>
        <v/>
      </c>
      <c r="G1222" s="382">
        <f>IF(AND('DICIEMBRE 2026'!D71&lt;&gt;"",'DICIEMBRE 2026'!Z71="POR RECOGER"),'DICIEMBRE 2026'!M71,"")</f>
        <v/>
      </c>
      <c r="H1222" s="382">
        <f>IF(AND('DICIEMBRE 2026'!D71&lt;&gt;"",'DICIEMBRE 2026'!Z71="POR RECOGER"),'DICIEMBRE 2026'!N71,"")</f>
        <v/>
      </c>
      <c r="I1222" s="381">
        <f>IF(AND('DICIEMBRE 2026'!D71&lt;&gt;"",'DICIEMBRE 2026'!Z71="POR RECOGER"),'DICIEMBRE 2026'!P71,"")</f>
        <v/>
      </c>
      <c r="J1222" s="381">
        <f>IF(AND('DICIEMBRE 2026'!D71&lt;&gt;"",'DICIEMBRE 2026'!Z71="POR RECOGER"),'DICIEMBRE 2026'!Q71,"")</f>
        <v/>
      </c>
      <c r="K1222" s="381">
        <f>IF(AND('DICIEMBRE 2026'!D71&lt;&gt;"",'DICIEMBRE 2026'!Z71="POR RECOGER"),'DICIEMBRE 2026'!Y71,"")</f>
        <v/>
      </c>
      <c r="L1222" s="381">
        <f>IF(AND('DICIEMBRE 2026'!D71&lt;&gt;"",'DICIEMBRE 2026'!Z71="POR RECOGER"),'DICIEMBRE 2026'!I71,"")</f>
        <v/>
      </c>
      <c r="P1222" s="194" t="n"/>
      <c r="Q1222" s="194" t="n"/>
      <c r="R1222" s="194" t="n"/>
      <c r="S1222" s="194" t="n"/>
      <c r="T1222" s="194" t="n"/>
      <c r="U1222" s="194" t="n"/>
      <c r="V1222" s="194" t="n"/>
      <c r="W1222" s="194" t="n"/>
      <c r="X1222" s="194" t="n"/>
      <c r="Y1222" s="194" t="n"/>
      <c r="Z1222" s="194" t="n"/>
    </row>
    <row r="1223" ht="15" customHeight="1" s="195">
      <c r="A1223" s="381">
        <f>IF(AND('DICIEMBRE 2026'!D72&lt;&gt;"",'DICIEMBRE 2026'!Z72="POR RECOGER"),"DIC","")</f>
        <v/>
      </c>
      <c r="B1223" s="381">
        <f>IF(AND('DICIEMBRE 2026'!D72&lt;&gt;"",'DICIEMBRE 2026'!Z72="POR RECOGER"),IF('DICIEMBRE 2026'!Y72&lt;&gt;"",'DICIEMBRE 2026'!Y72,'DICIEMBRE 2026'!I72),"")</f>
        <v/>
      </c>
      <c r="C1223" s="381">
        <f>IF(AND('DICIEMBRE 2026'!D72&lt;&gt;"",'DICIEMBRE 2026'!Z72="POR RECOGER"),'DICIEMBRE 2026'!D72,"")</f>
        <v/>
      </c>
      <c r="D1223" s="381">
        <f>IF(AND('DICIEMBRE 2026'!D72&lt;&gt;"",'DICIEMBRE 2026'!Z72="POR RECOGER"),'DICIEMBRE 2026'!F72,"")</f>
        <v/>
      </c>
      <c r="E1223" s="381">
        <f>IF(AND('DICIEMBRE 2026'!D72&lt;&gt;"",'DICIEMBRE 2026'!Z72="POR RECOGER"),TEXT('DICIEMBRE 2026'!G72,"DD/MM/YYYY"),"")</f>
        <v/>
      </c>
      <c r="F1223" s="381">
        <f>IF(AND('DICIEMBRE 2026'!D72&lt;&gt;"",'DICIEMBRE 2026'!Z72="POR RECOGER"),'DICIEMBRE 2026'!K72,"")</f>
        <v/>
      </c>
      <c r="G1223" s="382">
        <f>IF(AND('DICIEMBRE 2026'!D72&lt;&gt;"",'DICIEMBRE 2026'!Z72="POR RECOGER"),'DICIEMBRE 2026'!M72,"")</f>
        <v/>
      </c>
      <c r="H1223" s="382">
        <f>IF(AND('DICIEMBRE 2026'!D72&lt;&gt;"",'DICIEMBRE 2026'!Z72="POR RECOGER"),'DICIEMBRE 2026'!N72,"")</f>
        <v/>
      </c>
      <c r="I1223" s="381">
        <f>IF(AND('DICIEMBRE 2026'!D72&lt;&gt;"",'DICIEMBRE 2026'!Z72="POR RECOGER"),'DICIEMBRE 2026'!P72,"")</f>
        <v/>
      </c>
      <c r="J1223" s="381">
        <f>IF(AND('DICIEMBRE 2026'!D72&lt;&gt;"",'DICIEMBRE 2026'!Z72="POR RECOGER"),'DICIEMBRE 2026'!Q72,"")</f>
        <v/>
      </c>
      <c r="K1223" s="381">
        <f>IF(AND('DICIEMBRE 2026'!D72&lt;&gt;"",'DICIEMBRE 2026'!Z72="POR RECOGER"),'DICIEMBRE 2026'!Y72,"")</f>
        <v/>
      </c>
      <c r="L1223" s="381">
        <f>IF(AND('DICIEMBRE 2026'!D72&lt;&gt;"",'DICIEMBRE 2026'!Z72="POR RECOGER"),'DICIEMBRE 2026'!I72,"")</f>
        <v/>
      </c>
      <c r="P1223" s="194" t="n"/>
      <c r="Q1223" s="194" t="n"/>
      <c r="R1223" s="194" t="n"/>
      <c r="S1223" s="194" t="n"/>
      <c r="T1223" s="194" t="n"/>
      <c r="U1223" s="194" t="n"/>
      <c r="V1223" s="194" t="n"/>
      <c r="W1223" s="194" t="n"/>
      <c r="X1223" s="194" t="n"/>
      <c r="Y1223" s="194" t="n"/>
      <c r="Z1223" s="194" t="n"/>
    </row>
    <row r="1224" ht="15" customHeight="1" s="195">
      <c r="A1224" s="381">
        <f>IF(AND('DICIEMBRE 2026'!D73&lt;&gt;"",'DICIEMBRE 2026'!Z73="POR RECOGER"),"DIC","")</f>
        <v/>
      </c>
      <c r="B1224" s="381">
        <f>IF(AND('DICIEMBRE 2026'!D73&lt;&gt;"",'DICIEMBRE 2026'!Z73="POR RECOGER"),IF('DICIEMBRE 2026'!Y73&lt;&gt;"",'DICIEMBRE 2026'!Y73,'DICIEMBRE 2026'!I73),"")</f>
        <v/>
      </c>
      <c r="C1224" s="381">
        <f>IF(AND('DICIEMBRE 2026'!D73&lt;&gt;"",'DICIEMBRE 2026'!Z73="POR RECOGER"),'DICIEMBRE 2026'!D73,"")</f>
        <v/>
      </c>
      <c r="D1224" s="381">
        <f>IF(AND('DICIEMBRE 2026'!D73&lt;&gt;"",'DICIEMBRE 2026'!Z73="POR RECOGER"),'DICIEMBRE 2026'!F73,"")</f>
        <v/>
      </c>
      <c r="E1224" s="381">
        <f>IF(AND('DICIEMBRE 2026'!D73&lt;&gt;"",'DICIEMBRE 2026'!Z73="POR RECOGER"),TEXT('DICIEMBRE 2026'!G73,"DD/MM/YYYY"),"")</f>
        <v/>
      </c>
      <c r="F1224" s="381">
        <f>IF(AND('DICIEMBRE 2026'!D73&lt;&gt;"",'DICIEMBRE 2026'!Z73="POR RECOGER"),'DICIEMBRE 2026'!K73,"")</f>
        <v/>
      </c>
      <c r="G1224" s="382">
        <f>IF(AND('DICIEMBRE 2026'!D73&lt;&gt;"",'DICIEMBRE 2026'!Z73="POR RECOGER"),'DICIEMBRE 2026'!M73,"")</f>
        <v/>
      </c>
      <c r="H1224" s="382">
        <f>IF(AND('DICIEMBRE 2026'!D73&lt;&gt;"",'DICIEMBRE 2026'!Z73="POR RECOGER"),'DICIEMBRE 2026'!N73,"")</f>
        <v/>
      </c>
      <c r="I1224" s="381">
        <f>IF(AND('DICIEMBRE 2026'!D73&lt;&gt;"",'DICIEMBRE 2026'!Z73="POR RECOGER"),'DICIEMBRE 2026'!P73,"")</f>
        <v/>
      </c>
      <c r="J1224" s="381">
        <f>IF(AND('DICIEMBRE 2026'!D73&lt;&gt;"",'DICIEMBRE 2026'!Z73="POR RECOGER"),'DICIEMBRE 2026'!Q73,"")</f>
        <v/>
      </c>
      <c r="K1224" s="381">
        <f>IF(AND('DICIEMBRE 2026'!D73&lt;&gt;"",'DICIEMBRE 2026'!Z73="POR RECOGER"),'DICIEMBRE 2026'!Y73,"")</f>
        <v/>
      </c>
      <c r="L1224" s="381">
        <f>IF(AND('DICIEMBRE 2026'!D73&lt;&gt;"",'DICIEMBRE 2026'!Z73="POR RECOGER"),'DICIEMBRE 2026'!I73,"")</f>
        <v/>
      </c>
      <c r="P1224" s="194" t="n"/>
      <c r="Q1224" s="194" t="n"/>
      <c r="R1224" s="194" t="n"/>
      <c r="S1224" s="194" t="n"/>
      <c r="T1224" s="194" t="n"/>
      <c r="U1224" s="194" t="n"/>
      <c r="V1224" s="194" t="n"/>
      <c r="W1224" s="194" t="n"/>
      <c r="X1224" s="194" t="n"/>
      <c r="Y1224" s="194" t="n"/>
      <c r="Z1224" s="194" t="n"/>
    </row>
    <row r="1225" ht="15" customHeight="1" s="195">
      <c r="A1225" s="381">
        <f>IF(AND('DICIEMBRE 2026'!D74&lt;&gt;"",'DICIEMBRE 2026'!Z74="POR RECOGER"),"DIC","")</f>
        <v/>
      </c>
      <c r="B1225" s="381">
        <f>IF(AND('DICIEMBRE 2026'!D74&lt;&gt;"",'DICIEMBRE 2026'!Z74="POR RECOGER"),IF('DICIEMBRE 2026'!Y74&lt;&gt;"",'DICIEMBRE 2026'!Y74,'DICIEMBRE 2026'!I74),"")</f>
        <v/>
      </c>
      <c r="C1225" s="381">
        <f>IF(AND('DICIEMBRE 2026'!D74&lt;&gt;"",'DICIEMBRE 2026'!Z74="POR RECOGER"),'DICIEMBRE 2026'!D74,"")</f>
        <v/>
      </c>
      <c r="D1225" s="381">
        <f>IF(AND('DICIEMBRE 2026'!D74&lt;&gt;"",'DICIEMBRE 2026'!Z74="POR RECOGER"),'DICIEMBRE 2026'!F74,"")</f>
        <v/>
      </c>
      <c r="E1225" s="381">
        <f>IF(AND('DICIEMBRE 2026'!D74&lt;&gt;"",'DICIEMBRE 2026'!Z74="POR RECOGER"),TEXT('DICIEMBRE 2026'!G74,"DD/MM/YYYY"),"")</f>
        <v/>
      </c>
      <c r="F1225" s="381">
        <f>IF(AND('DICIEMBRE 2026'!D74&lt;&gt;"",'DICIEMBRE 2026'!Z74="POR RECOGER"),'DICIEMBRE 2026'!K74,"")</f>
        <v/>
      </c>
      <c r="G1225" s="382">
        <f>IF(AND('DICIEMBRE 2026'!D74&lt;&gt;"",'DICIEMBRE 2026'!Z74="POR RECOGER"),'DICIEMBRE 2026'!M74,"")</f>
        <v/>
      </c>
      <c r="H1225" s="382">
        <f>IF(AND('DICIEMBRE 2026'!D74&lt;&gt;"",'DICIEMBRE 2026'!Z74="POR RECOGER"),'DICIEMBRE 2026'!N74,"")</f>
        <v/>
      </c>
      <c r="I1225" s="381">
        <f>IF(AND('DICIEMBRE 2026'!D74&lt;&gt;"",'DICIEMBRE 2026'!Z74="POR RECOGER"),'DICIEMBRE 2026'!P74,"")</f>
        <v/>
      </c>
      <c r="J1225" s="381">
        <f>IF(AND('DICIEMBRE 2026'!D74&lt;&gt;"",'DICIEMBRE 2026'!Z74="POR RECOGER"),'DICIEMBRE 2026'!Q74,"")</f>
        <v/>
      </c>
      <c r="K1225" s="381">
        <f>IF(AND('DICIEMBRE 2026'!D74&lt;&gt;"",'DICIEMBRE 2026'!Z74="POR RECOGER"),'DICIEMBRE 2026'!Y74,"")</f>
        <v/>
      </c>
      <c r="L1225" s="381">
        <f>IF(AND('DICIEMBRE 2026'!D74&lt;&gt;"",'DICIEMBRE 2026'!Z74="POR RECOGER"),'DICIEMBRE 2026'!I74,"")</f>
        <v/>
      </c>
      <c r="P1225" s="194" t="n"/>
      <c r="Q1225" s="194" t="n"/>
      <c r="R1225" s="194" t="n"/>
      <c r="S1225" s="194" t="n"/>
      <c r="T1225" s="194" t="n"/>
      <c r="U1225" s="194" t="n"/>
      <c r="V1225" s="194" t="n"/>
      <c r="W1225" s="194" t="n"/>
      <c r="X1225" s="194" t="n"/>
      <c r="Y1225" s="194" t="n"/>
      <c r="Z1225" s="194" t="n"/>
    </row>
    <row r="1226" ht="15" customHeight="1" s="195">
      <c r="A1226" s="381">
        <f>IF(AND('DICIEMBRE 2026'!D75&lt;&gt;"",'DICIEMBRE 2026'!Z75="POR RECOGER"),"DIC","")</f>
        <v/>
      </c>
      <c r="B1226" s="381">
        <f>IF(AND('DICIEMBRE 2026'!D75&lt;&gt;"",'DICIEMBRE 2026'!Z75="POR RECOGER"),IF('DICIEMBRE 2026'!Y75&lt;&gt;"",'DICIEMBRE 2026'!Y75,'DICIEMBRE 2026'!I75),"")</f>
        <v/>
      </c>
      <c r="C1226" s="381">
        <f>IF(AND('DICIEMBRE 2026'!D75&lt;&gt;"",'DICIEMBRE 2026'!Z75="POR RECOGER"),'DICIEMBRE 2026'!D75,"")</f>
        <v/>
      </c>
      <c r="D1226" s="381">
        <f>IF(AND('DICIEMBRE 2026'!D75&lt;&gt;"",'DICIEMBRE 2026'!Z75="POR RECOGER"),'DICIEMBRE 2026'!F75,"")</f>
        <v/>
      </c>
      <c r="E1226" s="381">
        <f>IF(AND('DICIEMBRE 2026'!D75&lt;&gt;"",'DICIEMBRE 2026'!Z75="POR RECOGER"),TEXT('DICIEMBRE 2026'!G75,"DD/MM/YYYY"),"")</f>
        <v/>
      </c>
      <c r="F1226" s="381">
        <f>IF(AND('DICIEMBRE 2026'!D75&lt;&gt;"",'DICIEMBRE 2026'!Z75="POR RECOGER"),'DICIEMBRE 2026'!K75,"")</f>
        <v/>
      </c>
      <c r="G1226" s="382">
        <f>IF(AND('DICIEMBRE 2026'!D75&lt;&gt;"",'DICIEMBRE 2026'!Z75="POR RECOGER"),'DICIEMBRE 2026'!M75,"")</f>
        <v/>
      </c>
      <c r="H1226" s="382">
        <f>IF(AND('DICIEMBRE 2026'!D75&lt;&gt;"",'DICIEMBRE 2026'!Z75="POR RECOGER"),'DICIEMBRE 2026'!N75,"")</f>
        <v/>
      </c>
      <c r="I1226" s="381">
        <f>IF(AND('DICIEMBRE 2026'!D75&lt;&gt;"",'DICIEMBRE 2026'!Z75="POR RECOGER"),'DICIEMBRE 2026'!P75,"")</f>
        <v/>
      </c>
      <c r="J1226" s="381">
        <f>IF(AND('DICIEMBRE 2026'!D75&lt;&gt;"",'DICIEMBRE 2026'!Z75="POR RECOGER"),'DICIEMBRE 2026'!Q75,"")</f>
        <v/>
      </c>
      <c r="K1226" s="381">
        <f>IF(AND('DICIEMBRE 2026'!D75&lt;&gt;"",'DICIEMBRE 2026'!Z75="POR RECOGER"),'DICIEMBRE 2026'!Y75,"")</f>
        <v/>
      </c>
      <c r="L1226" s="381">
        <f>IF(AND('DICIEMBRE 2026'!D75&lt;&gt;"",'DICIEMBRE 2026'!Z75="POR RECOGER"),'DICIEMBRE 2026'!I75,"")</f>
        <v/>
      </c>
      <c r="P1226" s="194" t="n"/>
      <c r="Q1226" s="194" t="n"/>
      <c r="R1226" s="194" t="n"/>
      <c r="S1226" s="194" t="n"/>
      <c r="T1226" s="194" t="n"/>
      <c r="U1226" s="194" t="n"/>
      <c r="V1226" s="194" t="n"/>
      <c r="W1226" s="194" t="n"/>
      <c r="X1226" s="194" t="n"/>
      <c r="Y1226" s="194" t="n"/>
      <c r="Z1226" s="194" t="n"/>
    </row>
    <row r="1227" ht="15" customHeight="1" s="195">
      <c r="A1227" s="381">
        <f>IF(AND('DICIEMBRE 2026'!D76&lt;&gt;"",'DICIEMBRE 2026'!Z76="POR RECOGER"),"DIC","")</f>
        <v/>
      </c>
      <c r="B1227" s="381">
        <f>IF(AND('DICIEMBRE 2026'!D76&lt;&gt;"",'DICIEMBRE 2026'!Z76="POR RECOGER"),IF('DICIEMBRE 2026'!Y76&lt;&gt;"",'DICIEMBRE 2026'!Y76,'DICIEMBRE 2026'!I76),"")</f>
        <v/>
      </c>
      <c r="C1227" s="381">
        <f>IF(AND('DICIEMBRE 2026'!D76&lt;&gt;"",'DICIEMBRE 2026'!Z76="POR RECOGER"),'DICIEMBRE 2026'!D76,"")</f>
        <v/>
      </c>
      <c r="D1227" s="381">
        <f>IF(AND('DICIEMBRE 2026'!D76&lt;&gt;"",'DICIEMBRE 2026'!Z76="POR RECOGER"),'DICIEMBRE 2026'!F76,"")</f>
        <v/>
      </c>
      <c r="E1227" s="381">
        <f>IF(AND('DICIEMBRE 2026'!D76&lt;&gt;"",'DICIEMBRE 2026'!Z76="POR RECOGER"),TEXT('DICIEMBRE 2026'!G76,"DD/MM/YYYY"),"")</f>
        <v/>
      </c>
      <c r="F1227" s="381">
        <f>IF(AND('DICIEMBRE 2026'!D76&lt;&gt;"",'DICIEMBRE 2026'!Z76="POR RECOGER"),'DICIEMBRE 2026'!K76,"")</f>
        <v/>
      </c>
      <c r="G1227" s="382">
        <f>IF(AND('DICIEMBRE 2026'!D76&lt;&gt;"",'DICIEMBRE 2026'!Z76="POR RECOGER"),'DICIEMBRE 2026'!M76,"")</f>
        <v/>
      </c>
      <c r="H1227" s="382">
        <f>IF(AND('DICIEMBRE 2026'!D76&lt;&gt;"",'DICIEMBRE 2026'!Z76="POR RECOGER"),'DICIEMBRE 2026'!N76,"")</f>
        <v/>
      </c>
      <c r="I1227" s="381">
        <f>IF(AND('DICIEMBRE 2026'!D76&lt;&gt;"",'DICIEMBRE 2026'!Z76="POR RECOGER"),'DICIEMBRE 2026'!P76,"")</f>
        <v/>
      </c>
      <c r="J1227" s="381">
        <f>IF(AND('DICIEMBRE 2026'!D76&lt;&gt;"",'DICIEMBRE 2026'!Z76="POR RECOGER"),'DICIEMBRE 2026'!Q76,"")</f>
        <v/>
      </c>
      <c r="K1227" s="381">
        <f>IF(AND('DICIEMBRE 2026'!D76&lt;&gt;"",'DICIEMBRE 2026'!Z76="POR RECOGER"),'DICIEMBRE 2026'!Y76,"")</f>
        <v/>
      </c>
      <c r="L1227" s="381">
        <f>IF(AND('DICIEMBRE 2026'!D76&lt;&gt;"",'DICIEMBRE 2026'!Z76="POR RECOGER"),'DICIEMBRE 2026'!I76,"")</f>
        <v/>
      </c>
      <c r="P1227" s="194" t="n"/>
      <c r="Q1227" s="194" t="n"/>
      <c r="R1227" s="194" t="n"/>
      <c r="S1227" s="194" t="n"/>
      <c r="T1227" s="194" t="n"/>
      <c r="U1227" s="194" t="n"/>
      <c r="V1227" s="194" t="n"/>
      <c r="W1227" s="194" t="n"/>
      <c r="X1227" s="194" t="n"/>
      <c r="Y1227" s="194" t="n"/>
      <c r="Z1227" s="194" t="n"/>
    </row>
    <row r="1228" ht="15" customHeight="1" s="195">
      <c r="A1228" s="381">
        <f>IF(AND('DICIEMBRE 2026'!D77&lt;&gt;"",'DICIEMBRE 2026'!Z77="POR RECOGER"),"DIC","")</f>
        <v/>
      </c>
      <c r="B1228" s="381">
        <f>IF(AND('DICIEMBRE 2026'!D77&lt;&gt;"",'DICIEMBRE 2026'!Z77="POR RECOGER"),IF('DICIEMBRE 2026'!Y77&lt;&gt;"",'DICIEMBRE 2026'!Y77,'DICIEMBRE 2026'!I77),"")</f>
        <v/>
      </c>
      <c r="C1228" s="381">
        <f>IF(AND('DICIEMBRE 2026'!D77&lt;&gt;"",'DICIEMBRE 2026'!Z77="POR RECOGER"),'DICIEMBRE 2026'!D77,"")</f>
        <v/>
      </c>
      <c r="D1228" s="381">
        <f>IF(AND('DICIEMBRE 2026'!D77&lt;&gt;"",'DICIEMBRE 2026'!Z77="POR RECOGER"),'DICIEMBRE 2026'!F77,"")</f>
        <v/>
      </c>
      <c r="E1228" s="381">
        <f>IF(AND('DICIEMBRE 2026'!D77&lt;&gt;"",'DICIEMBRE 2026'!Z77="POR RECOGER"),TEXT('DICIEMBRE 2026'!G77,"DD/MM/YYYY"),"")</f>
        <v/>
      </c>
      <c r="F1228" s="381">
        <f>IF(AND('DICIEMBRE 2026'!D77&lt;&gt;"",'DICIEMBRE 2026'!Z77="POR RECOGER"),'DICIEMBRE 2026'!K77,"")</f>
        <v/>
      </c>
      <c r="G1228" s="382">
        <f>IF(AND('DICIEMBRE 2026'!D77&lt;&gt;"",'DICIEMBRE 2026'!Z77="POR RECOGER"),'DICIEMBRE 2026'!M77,"")</f>
        <v/>
      </c>
      <c r="H1228" s="382">
        <f>IF(AND('DICIEMBRE 2026'!D77&lt;&gt;"",'DICIEMBRE 2026'!Z77="POR RECOGER"),'DICIEMBRE 2026'!N77,"")</f>
        <v/>
      </c>
      <c r="I1228" s="381">
        <f>IF(AND('DICIEMBRE 2026'!D77&lt;&gt;"",'DICIEMBRE 2026'!Z77="POR RECOGER"),'DICIEMBRE 2026'!P77,"")</f>
        <v/>
      </c>
      <c r="J1228" s="381">
        <f>IF(AND('DICIEMBRE 2026'!D77&lt;&gt;"",'DICIEMBRE 2026'!Z77="POR RECOGER"),'DICIEMBRE 2026'!Q77,"")</f>
        <v/>
      </c>
      <c r="K1228" s="381">
        <f>IF(AND('DICIEMBRE 2026'!D77&lt;&gt;"",'DICIEMBRE 2026'!Z77="POR RECOGER"),'DICIEMBRE 2026'!Y77,"")</f>
        <v/>
      </c>
      <c r="L1228" s="381">
        <f>IF(AND('DICIEMBRE 2026'!D77&lt;&gt;"",'DICIEMBRE 2026'!Z77="POR RECOGER"),'DICIEMBRE 2026'!I77,"")</f>
        <v/>
      </c>
      <c r="P1228" s="194" t="n"/>
      <c r="Q1228" s="194" t="n"/>
      <c r="R1228" s="194" t="n"/>
      <c r="S1228" s="194" t="n"/>
      <c r="T1228" s="194" t="n"/>
      <c r="U1228" s="194" t="n"/>
      <c r="V1228" s="194" t="n"/>
      <c r="W1228" s="194" t="n"/>
      <c r="X1228" s="194" t="n"/>
      <c r="Y1228" s="194" t="n"/>
      <c r="Z1228" s="194" t="n"/>
    </row>
    <row r="1229" ht="15" customHeight="1" s="195">
      <c r="A1229" s="381">
        <f>IF(AND('DICIEMBRE 2026'!D78&lt;&gt;"",'DICIEMBRE 2026'!Z78="POR RECOGER"),"DIC","")</f>
        <v/>
      </c>
      <c r="B1229" s="381">
        <f>IF(AND('DICIEMBRE 2026'!D78&lt;&gt;"",'DICIEMBRE 2026'!Z78="POR RECOGER"),IF('DICIEMBRE 2026'!Y78&lt;&gt;"",'DICIEMBRE 2026'!Y78,'DICIEMBRE 2026'!I78),"")</f>
        <v/>
      </c>
      <c r="C1229" s="381">
        <f>IF(AND('DICIEMBRE 2026'!D78&lt;&gt;"",'DICIEMBRE 2026'!Z78="POR RECOGER"),'DICIEMBRE 2026'!D78,"")</f>
        <v/>
      </c>
      <c r="D1229" s="381">
        <f>IF(AND('DICIEMBRE 2026'!D78&lt;&gt;"",'DICIEMBRE 2026'!Z78="POR RECOGER"),'DICIEMBRE 2026'!F78,"")</f>
        <v/>
      </c>
      <c r="E1229" s="381">
        <f>IF(AND('DICIEMBRE 2026'!D78&lt;&gt;"",'DICIEMBRE 2026'!Z78="POR RECOGER"),TEXT('DICIEMBRE 2026'!G78,"DD/MM/YYYY"),"")</f>
        <v/>
      </c>
      <c r="F1229" s="381">
        <f>IF(AND('DICIEMBRE 2026'!D78&lt;&gt;"",'DICIEMBRE 2026'!Z78="POR RECOGER"),'DICIEMBRE 2026'!K78,"")</f>
        <v/>
      </c>
      <c r="G1229" s="382">
        <f>IF(AND('DICIEMBRE 2026'!D78&lt;&gt;"",'DICIEMBRE 2026'!Z78="POR RECOGER"),'DICIEMBRE 2026'!M78,"")</f>
        <v/>
      </c>
      <c r="H1229" s="382">
        <f>IF(AND('DICIEMBRE 2026'!D78&lt;&gt;"",'DICIEMBRE 2026'!Z78="POR RECOGER"),'DICIEMBRE 2026'!N78,"")</f>
        <v/>
      </c>
      <c r="I1229" s="381">
        <f>IF(AND('DICIEMBRE 2026'!D78&lt;&gt;"",'DICIEMBRE 2026'!Z78="POR RECOGER"),'DICIEMBRE 2026'!P78,"")</f>
        <v/>
      </c>
      <c r="J1229" s="381">
        <f>IF(AND('DICIEMBRE 2026'!D78&lt;&gt;"",'DICIEMBRE 2026'!Z78="POR RECOGER"),'DICIEMBRE 2026'!Q78,"")</f>
        <v/>
      </c>
      <c r="K1229" s="381">
        <f>IF(AND('DICIEMBRE 2026'!D78&lt;&gt;"",'DICIEMBRE 2026'!Z78="POR RECOGER"),'DICIEMBRE 2026'!Y78,"")</f>
        <v/>
      </c>
      <c r="L1229" s="381">
        <f>IF(AND('DICIEMBRE 2026'!D78&lt;&gt;"",'DICIEMBRE 2026'!Z78="POR RECOGER"),'DICIEMBRE 2026'!I78,"")</f>
        <v/>
      </c>
      <c r="P1229" s="194" t="n"/>
      <c r="Q1229" s="194" t="n"/>
      <c r="R1229" s="194" t="n"/>
      <c r="S1229" s="194" t="n"/>
      <c r="T1229" s="194" t="n"/>
      <c r="U1229" s="194" t="n"/>
      <c r="V1229" s="194" t="n"/>
      <c r="W1229" s="194" t="n"/>
      <c r="X1229" s="194" t="n"/>
      <c r="Y1229" s="194" t="n"/>
      <c r="Z1229" s="194" t="n"/>
    </row>
    <row r="1230" ht="15" customHeight="1" s="195">
      <c r="A1230" s="381">
        <f>IF(AND('DICIEMBRE 2026'!D79&lt;&gt;"",'DICIEMBRE 2026'!Z79="POR RECOGER"),"DIC","")</f>
        <v/>
      </c>
      <c r="B1230" s="381">
        <f>IF(AND('DICIEMBRE 2026'!D79&lt;&gt;"",'DICIEMBRE 2026'!Z79="POR RECOGER"),IF('DICIEMBRE 2026'!Y79&lt;&gt;"",'DICIEMBRE 2026'!Y79,'DICIEMBRE 2026'!I79),"")</f>
        <v/>
      </c>
      <c r="C1230" s="381">
        <f>IF(AND('DICIEMBRE 2026'!D79&lt;&gt;"",'DICIEMBRE 2026'!Z79="POR RECOGER"),'DICIEMBRE 2026'!D79,"")</f>
        <v/>
      </c>
      <c r="D1230" s="381">
        <f>IF(AND('DICIEMBRE 2026'!D79&lt;&gt;"",'DICIEMBRE 2026'!Z79="POR RECOGER"),'DICIEMBRE 2026'!F79,"")</f>
        <v/>
      </c>
      <c r="E1230" s="381">
        <f>IF(AND('DICIEMBRE 2026'!D79&lt;&gt;"",'DICIEMBRE 2026'!Z79="POR RECOGER"),TEXT('DICIEMBRE 2026'!G79,"DD/MM/YYYY"),"")</f>
        <v/>
      </c>
      <c r="F1230" s="381">
        <f>IF(AND('DICIEMBRE 2026'!D79&lt;&gt;"",'DICIEMBRE 2026'!Z79="POR RECOGER"),'DICIEMBRE 2026'!K79,"")</f>
        <v/>
      </c>
      <c r="G1230" s="382">
        <f>IF(AND('DICIEMBRE 2026'!D79&lt;&gt;"",'DICIEMBRE 2026'!Z79="POR RECOGER"),'DICIEMBRE 2026'!M79,"")</f>
        <v/>
      </c>
      <c r="H1230" s="382">
        <f>IF(AND('DICIEMBRE 2026'!D79&lt;&gt;"",'DICIEMBRE 2026'!Z79="POR RECOGER"),'DICIEMBRE 2026'!N79,"")</f>
        <v/>
      </c>
      <c r="I1230" s="381">
        <f>IF(AND('DICIEMBRE 2026'!D79&lt;&gt;"",'DICIEMBRE 2026'!Z79="POR RECOGER"),'DICIEMBRE 2026'!P79,"")</f>
        <v/>
      </c>
      <c r="J1230" s="381">
        <f>IF(AND('DICIEMBRE 2026'!D79&lt;&gt;"",'DICIEMBRE 2026'!Z79="POR RECOGER"),'DICIEMBRE 2026'!Q79,"")</f>
        <v/>
      </c>
      <c r="K1230" s="381">
        <f>IF(AND('DICIEMBRE 2026'!D79&lt;&gt;"",'DICIEMBRE 2026'!Z79="POR RECOGER"),'DICIEMBRE 2026'!Y79,"")</f>
        <v/>
      </c>
      <c r="L1230" s="381">
        <f>IF(AND('DICIEMBRE 2026'!D79&lt;&gt;"",'DICIEMBRE 2026'!Z79="POR RECOGER"),'DICIEMBRE 2026'!I79,"")</f>
        <v/>
      </c>
      <c r="P1230" s="194" t="n"/>
      <c r="Q1230" s="194" t="n"/>
      <c r="R1230" s="194" t="n"/>
      <c r="S1230" s="194" t="n"/>
      <c r="T1230" s="194" t="n"/>
      <c r="U1230" s="194" t="n"/>
      <c r="V1230" s="194" t="n"/>
      <c r="W1230" s="194" t="n"/>
      <c r="X1230" s="194" t="n"/>
      <c r="Y1230" s="194" t="n"/>
      <c r="Z1230" s="194" t="n"/>
    </row>
    <row r="1231" ht="15" customHeight="1" s="195">
      <c r="A1231" s="381">
        <f>IF(AND('DICIEMBRE 2026'!D80&lt;&gt;"",'DICIEMBRE 2026'!Z80="POR RECOGER"),"DIC","")</f>
        <v/>
      </c>
      <c r="B1231" s="381">
        <f>IF(AND('DICIEMBRE 2026'!D80&lt;&gt;"",'DICIEMBRE 2026'!Z80="POR RECOGER"),IF('DICIEMBRE 2026'!Y80&lt;&gt;"",'DICIEMBRE 2026'!Y80,'DICIEMBRE 2026'!I80),"")</f>
        <v/>
      </c>
      <c r="C1231" s="381">
        <f>IF(AND('DICIEMBRE 2026'!D80&lt;&gt;"",'DICIEMBRE 2026'!Z80="POR RECOGER"),'DICIEMBRE 2026'!D80,"")</f>
        <v/>
      </c>
      <c r="D1231" s="381">
        <f>IF(AND('DICIEMBRE 2026'!D80&lt;&gt;"",'DICIEMBRE 2026'!Z80="POR RECOGER"),'DICIEMBRE 2026'!F80,"")</f>
        <v/>
      </c>
      <c r="E1231" s="381">
        <f>IF(AND('DICIEMBRE 2026'!D80&lt;&gt;"",'DICIEMBRE 2026'!Z80="POR RECOGER"),TEXT('DICIEMBRE 2026'!G80,"DD/MM/YYYY"),"")</f>
        <v/>
      </c>
      <c r="F1231" s="381">
        <f>IF(AND('DICIEMBRE 2026'!D80&lt;&gt;"",'DICIEMBRE 2026'!Z80="POR RECOGER"),'DICIEMBRE 2026'!K80,"")</f>
        <v/>
      </c>
      <c r="G1231" s="382">
        <f>IF(AND('DICIEMBRE 2026'!D80&lt;&gt;"",'DICIEMBRE 2026'!Z80="POR RECOGER"),'DICIEMBRE 2026'!M80,"")</f>
        <v/>
      </c>
      <c r="H1231" s="382">
        <f>IF(AND('DICIEMBRE 2026'!D80&lt;&gt;"",'DICIEMBRE 2026'!Z80="POR RECOGER"),'DICIEMBRE 2026'!N80,"")</f>
        <v/>
      </c>
      <c r="I1231" s="381">
        <f>IF(AND('DICIEMBRE 2026'!D80&lt;&gt;"",'DICIEMBRE 2026'!Z80="POR RECOGER"),'DICIEMBRE 2026'!P80,"")</f>
        <v/>
      </c>
      <c r="J1231" s="381">
        <f>IF(AND('DICIEMBRE 2026'!D80&lt;&gt;"",'DICIEMBRE 2026'!Z80="POR RECOGER"),'DICIEMBRE 2026'!Q80,"")</f>
        <v/>
      </c>
      <c r="K1231" s="381">
        <f>IF(AND('DICIEMBRE 2026'!D80&lt;&gt;"",'DICIEMBRE 2026'!Z80="POR RECOGER"),'DICIEMBRE 2026'!Y80,"")</f>
        <v/>
      </c>
      <c r="L1231" s="381">
        <f>IF(AND('DICIEMBRE 2026'!D80&lt;&gt;"",'DICIEMBRE 2026'!Z80="POR RECOGER"),'DICIEMBRE 2026'!I80,"")</f>
        <v/>
      </c>
      <c r="P1231" s="194" t="n"/>
      <c r="Q1231" s="194" t="n"/>
      <c r="R1231" s="194" t="n"/>
      <c r="S1231" s="194" t="n"/>
      <c r="T1231" s="194" t="n"/>
      <c r="U1231" s="194" t="n"/>
      <c r="V1231" s="194" t="n"/>
      <c r="W1231" s="194" t="n"/>
      <c r="X1231" s="194" t="n"/>
      <c r="Y1231" s="194" t="n"/>
      <c r="Z1231" s="194" t="n"/>
    </row>
    <row r="1232" ht="15" customHeight="1" s="195">
      <c r="A1232" s="381">
        <f>IF(AND('DICIEMBRE 2026'!D81&lt;&gt;"",'DICIEMBRE 2026'!Z81="POR RECOGER"),"DIC","")</f>
        <v/>
      </c>
      <c r="B1232" s="381">
        <f>IF(AND('DICIEMBRE 2026'!D81&lt;&gt;"",'DICIEMBRE 2026'!Z81="POR RECOGER"),IF('DICIEMBRE 2026'!Y81&lt;&gt;"",'DICIEMBRE 2026'!Y81,'DICIEMBRE 2026'!I81),"")</f>
        <v/>
      </c>
      <c r="C1232" s="381">
        <f>IF(AND('DICIEMBRE 2026'!D81&lt;&gt;"",'DICIEMBRE 2026'!Z81="POR RECOGER"),'DICIEMBRE 2026'!D81,"")</f>
        <v/>
      </c>
      <c r="D1232" s="381">
        <f>IF(AND('DICIEMBRE 2026'!D81&lt;&gt;"",'DICIEMBRE 2026'!Z81="POR RECOGER"),'DICIEMBRE 2026'!F81,"")</f>
        <v/>
      </c>
      <c r="E1232" s="381">
        <f>IF(AND('DICIEMBRE 2026'!D81&lt;&gt;"",'DICIEMBRE 2026'!Z81="POR RECOGER"),TEXT('DICIEMBRE 2026'!G81,"DD/MM/YYYY"),"")</f>
        <v/>
      </c>
      <c r="F1232" s="381">
        <f>IF(AND('DICIEMBRE 2026'!D81&lt;&gt;"",'DICIEMBRE 2026'!Z81="POR RECOGER"),'DICIEMBRE 2026'!K81,"")</f>
        <v/>
      </c>
      <c r="G1232" s="382">
        <f>IF(AND('DICIEMBRE 2026'!D81&lt;&gt;"",'DICIEMBRE 2026'!Z81="POR RECOGER"),'DICIEMBRE 2026'!M81,"")</f>
        <v/>
      </c>
      <c r="H1232" s="382">
        <f>IF(AND('DICIEMBRE 2026'!D81&lt;&gt;"",'DICIEMBRE 2026'!Z81="POR RECOGER"),'DICIEMBRE 2026'!N81,"")</f>
        <v/>
      </c>
      <c r="I1232" s="381">
        <f>IF(AND('DICIEMBRE 2026'!D81&lt;&gt;"",'DICIEMBRE 2026'!Z81="POR RECOGER"),'DICIEMBRE 2026'!P81,"")</f>
        <v/>
      </c>
      <c r="J1232" s="381">
        <f>IF(AND('DICIEMBRE 2026'!D81&lt;&gt;"",'DICIEMBRE 2026'!Z81="POR RECOGER"),'DICIEMBRE 2026'!Q81,"")</f>
        <v/>
      </c>
      <c r="K1232" s="381">
        <f>IF(AND('DICIEMBRE 2026'!D81&lt;&gt;"",'DICIEMBRE 2026'!Z81="POR RECOGER"),'DICIEMBRE 2026'!Y81,"")</f>
        <v/>
      </c>
      <c r="L1232" s="381">
        <f>IF(AND('DICIEMBRE 2026'!D81&lt;&gt;"",'DICIEMBRE 2026'!Z81="POR RECOGER"),'DICIEMBRE 2026'!I81,"")</f>
        <v/>
      </c>
      <c r="P1232" s="194" t="n"/>
      <c r="Q1232" s="194" t="n"/>
      <c r="R1232" s="194" t="n"/>
      <c r="S1232" s="194" t="n"/>
      <c r="T1232" s="194" t="n"/>
      <c r="U1232" s="194" t="n"/>
      <c r="V1232" s="194" t="n"/>
      <c r="W1232" s="194" t="n"/>
      <c r="X1232" s="194" t="n"/>
      <c r="Y1232" s="194" t="n"/>
      <c r="Z1232" s="194" t="n"/>
    </row>
    <row r="1233" ht="15" customHeight="1" s="195">
      <c r="A1233" s="381">
        <f>IF(AND('DICIEMBRE 2026'!D82&lt;&gt;"",'DICIEMBRE 2026'!Z82="POR RECOGER"),"DIC","")</f>
        <v/>
      </c>
      <c r="B1233" s="381">
        <f>IF(AND('DICIEMBRE 2026'!D82&lt;&gt;"",'DICIEMBRE 2026'!Z82="POR RECOGER"),IF('DICIEMBRE 2026'!Y82&lt;&gt;"",'DICIEMBRE 2026'!Y82,'DICIEMBRE 2026'!I82),"")</f>
        <v/>
      </c>
      <c r="C1233" s="381">
        <f>IF(AND('DICIEMBRE 2026'!D82&lt;&gt;"",'DICIEMBRE 2026'!Z82="POR RECOGER"),'DICIEMBRE 2026'!D82,"")</f>
        <v/>
      </c>
      <c r="D1233" s="381">
        <f>IF(AND('DICIEMBRE 2026'!D82&lt;&gt;"",'DICIEMBRE 2026'!Z82="POR RECOGER"),'DICIEMBRE 2026'!F82,"")</f>
        <v/>
      </c>
      <c r="E1233" s="381">
        <f>IF(AND('DICIEMBRE 2026'!D82&lt;&gt;"",'DICIEMBRE 2026'!Z82="POR RECOGER"),TEXT('DICIEMBRE 2026'!G82,"DD/MM/YYYY"),"")</f>
        <v/>
      </c>
      <c r="F1233" s="381">
        <f>IF(AND('DICIEMBRE 2026'!D82&lt;&gt;"",'DICIEMBRE 2026'!Z82="POR RECOGER"),'DICIEMBRE 2026'!K82,"")</f>
        <v/>
      </c>
      <c r="G1233" s="382">
        <f>IF(AND('DICIEMBRE 2026'!D82&lt;&gt;"",'DICIEMBRE 2026'!Z82="POR RECOGER"),'DICIEMBRE 2026'!M82,"")</f>
        <v/>
      </c>
      <c r="H1233" s="382">
        <f>IF(AND('DICIEMBRE 2026'!D82&lt;&gt;"",'DICIEMBRE 2026'!Z82="POR RECOGER"),'DICIEMBRE 2026'!N82,"")</f>
        <v/>
      </c>
      <c r="I1233" s="381">
        <f>IF(AND('DICIEMBRE 2026'!D82&lt;&gt;"",'DICIEMBRE 2026'!Z82="POR RECOGER"),'DICIEMBRE 2026'!P82,"")</f>
        <v/>
      </c>
      <c r="J1233" s="381">
        <f>IF(AND('DICIEMBRE 2026'!D82&lt;&gt;"",'DICIEMBRE 2026'!Z82="POR RECOGER"),'DICIEMBRE 2026'!Q82,"")</f>
        <v/>
      </c>
      <c r="K1233" s="381">
        <f>IF(AND('DICIEMBRE 2026'!D82&lt;&gt;"",'DICIEMBRE 2026'!Z82="POR RECOGER"),'DICIEMBRE 2026'!Y82,"")</f>
        <v/>
      </c>
      <c r="L1233" s="381">
        <f>IF(AND('DICIEMBRE 2026'!D82&lt;&gt;"",'DICIEMBRE 2026'!Z82="POR RECOGER"),'DICIEMBRE 2026'!I82,"")</f>
        <v/>
      </c>
      <c r="P1233" s="194" t="n"/>
      <c r="Q1233" s="194" t="n"/>
      <c r="R1233" s="194" t="n"/>
      <c r="S1233" s="194" t="n"/>
      <c r="T1233" s="194" t="n"/>
      <c r="U1233" s="194" t="n"/>
      <c r="V1233" s="194" t="n"/>
      <c r="W1233" s="194" t="n"/>
      <c r="X1233" s="194" t="n"/>
      <c r="Y1233" s="194" t="n"/>
      <c r="Z1233" s="194" t="n"/>
    </row>
    <row r="1234" ht="15" customHeight="1" s="195">
      <c r="A1234" s="381">
        <f>IF(AND('DICIEMBRE 2026'!D83&lt;&gt;"",'DICIEMBRE 2026'!Z83="POR RECOGER"),"DIC","")</f>
        <v/>
      </c>
      <c r="B1234" s="381">
        <f>IF(AND('DICIEMBRE 2026'!D83&lt;&gt;"",'DICIEMBRE 2026'!Z83="POR RECOGER"),IF('DICIEMBRE 2026'!Y83&lt;&gt;"",'DICIEMBRE 2026'!Y83,'DICIEMBRE 2026'!I83),"")</f>
        <v/>
      </c>
      <c r="C1234" s="381">
        <f>IF(AND('DICIEMBRE 2026'!D83&lt;&gt;"",'DICIEMBRE 2026'!Z83="POR RECOGER"),'DICIEMBRE 2026'!D83,"")</f>
        <v/>
      </c>
      <c r="D1234" s="381">
        <f>IF(AND('DICIEMBRE 2026'!D83&lt;&gt;"",'DICIEMBRE 2026'!Z83="POR RECOGER"),'DICIEMBRE 2026'!F83,"")</f>
        <v/>
      </c>
      <c r="E1234" s="381">
        <f>IF(AND('DICIEMBRE 2026'!D83&lt;&gt;"",'DICIEMBRE 2026'!Z83="POR RECOGER"),TEXT('DICIEMBRE 2026'!G83,"DD/MM/YYYY"),"")</f>
        <v/>
      </c>
      <c r="F1234" s="381">
        <f>IF(AND('DICIEMBRE 2026'!D83&lt;&gt;"",'DICIEMBRE 2026'!Z83="POR RECOGER"),'DICIEMBRE 2026'!K83,"")</f>
        <v/>
      </c>
      <c r="G1234" s="382">
        <f>IF(AND('DICIEMBRE 2026'!D83&lt;&gt;"",'DICIEMBRE 2026'!Z83="POR RECOGER"),'DICIEMBRE 2026'!M83,"")</f>
        <v/>
      </c>
      <c r="H1234" s="382">
        <f>IF(AND('DICIEMBRE 2026'!D83&lt;&gt;"",'DICIEMBRE 2026'!Z83="POR RECOGER"),'DICIEMBRE 2026'!N83,"")</f>
        <v/>
      </c>
      <c r="I1234" s="381">
        <f>IF(AND('DICIEMBRE 2026'!D83&lt;&gt;"",'DICIEMBRE 2026'!Z83="POR RECOGER"),'DICIEMBRE 2026'!P83,"")</f>
        <v/>
      </c>
      <c r="J1234" s="381">
        <f>IF(AND('DICIEMBRE 2026'!D83&lt;&gt;"",'DICIEMBRE 2026'!Z83="POR RECOGER"),'DICIEMBRE 2026'!Q83,"")</f>
        <v/>
      </c>
      <c r="K1234" s="381">
        <f>IF(AND('DICIEMBRE 2026'!D83&lt;&gt;"",'DICIEMBRE 2026'!Z83="POR RECOGER"),'DICIEMBRE 2026'!Y83,"")</f>
        <v/>
      </c>
      <c r="L1234" s="381">
        <f>IF(AND('DICIEMBRE 2026'!D83&lt;&gt;"",'DICIEMBRE 2026'!Z83="POR RECOGER"),'DICIEMBRE 2026'!I83,"")</f>
        <v/>
      </c>
      <c r="P1234" s="194" t="n"/>
      <c r="Q1234" s="194" t="n"/>
      <c r="R1234" s="194" t="n"/>
      <c r="S1234" s="194" t="n"/>
      <c r="T1234" s="194" t="n"/>
      <c r="U1234" s="194" t="n"/>
      <c r="V1234" s="194" t="n"/>
      <c r="W1234" s="194" t="n"/>
      <c r="X1234" s="194" t="n"/>
      <c r="Y1234" s="194" t="n"/>
      <c r="Z1234" s="194" t="n"/>
    </row>
    <row r="1235" ht="15" customHeight="1" s="195">
      <c r="A1235" s="381">
        <f>IF(AND('DICIEMBRE 2026'!D84&lt;&gt;"",'DICIEMBRE 2026'!Z84="POR RECOGER"),"DIC","")</f>
        <v/>
      </c>
      <c r="B1235" s="381">
        <f>IF(AND('DICIEMBRE 2026'!D84&lt;&gt;"",'DICIEMBRE 2026'!Z84="POR RECOGER"),IF('DICIEMBRE 2026'!Y84&lt;&gt;"",'DICIEMBRE 2026'!Y84,'DICIEMBRE 2026'!I84),"")</f>
        <v/>
      </c>
      <c r="C1235" s="381">
        <f>IF(AND('DICIEMBRE 2026'!D84&lt;&gt;"",'DICIEMBRE 2026'!Z84="POR RECOGER"),'DICIEMBRE 2026'!D84,"")</f>
        <v/>
      </c>
      <c r="D1235" s="381">
        <f>IF(AND('DICIEMBRE 2026'!D84&lt;&gt;"",'DICIEMBRE 2026'!Z84="POR RECOGER"),'DICIEMBRE 2026'!F84,"")</f>
        <v/>
      </c>
      <c r="E1235" s="381">
        <f>IF(AND('DICIEMBRE 2026'!D84&lt;&gt;"",'DICIEMBRE 2026'!Z84="POR RECOGER"),TEXT('DICIEMBRE 2026'!G84,"DD/MM/YYYY"),"")</f>
        <v/>
      </c>
      <c r="F1235" s="381">
        <f>IF(AND('DICIEMBRE 2026'!D84&lt;&gt;"",'DICIEMBRE 2026'!Z84="POR RECOGER"),'DICIEMBRE 2026'!K84,"")</f>
        <v/>
      </c>
      <c r="G1235" s="382">
        <f>IF(AND('DICIEMBRE 2026'!D84&lt;&gt;"",'DICIEMBRE 2026'!Z84="POR RECOGER"),'DICIEMBRE 2026'!M84,"")</f>
        <v/>
      </c>
      <c r="H1235" s="382">
        <f>IF(AND('DICIEMBRE 2026'!D84&lt;&gt;"",'DICIEMBRE 2026'!Z84="POR RECOGER"),'DICIEMBRE 2026'!N84,"")</f>
        <v/>
      </c>
      <c r="I1235" s="381">
        <f>IF(AND('DICIEMBRE 2026'!D84&lt;&gt;"",'DICIEMBRE 2026'!Z84="POR RECOGER"),'DICIEMBRE 2026'!P84,"")</f>
        <v/>
      </c>
      <c r="J1235" s="381">
        <f>IF(AND('DICIEMBRE 2026'!D84&lt;&gt;"",'DICIEMBRE 2026'!Z84="POR RECOGER"),'DICIEMBRE 2026'!Q84,"")</f>
        <v/>
      </c>
      <c r="K1235" s="381">
        <f>IF(AND('DICIEMBRE 2026'!D84&lt;&gt;"",'DICIEMBRE 2026'!Z84="POR RECOGER"),'DICIEMBRE 2026'!Y84,"")</f>
        <v/>
      </c>
      <c r="L1235" s="381">
        <f>IF(AND('DICIEMBRE 2026'!D84&lt;&gt;"",'DICIEMBRE 2026'!Z84="POR RECOGER"),'DICIEMBRE 2026'!I84,"")</f>
        <v/>
      </c>
      <c r="P1235" s="194" t="n"/>
      <c r="Q1235" s="194" t="n"/>
      <c r="R1235" s="194" t="n"/>
      <c r="S1235" s="194" t="n"/>
      <c r="T1235" s="194" t="n"/>
      <c r="U1235" s="194" t="n"/>
      <c r="V1235" s="194" t="n"/>
      <c r="W1235" s="194" t="n"/>
      <c r="X1235" s="194" t="n"/>
      <c r="Y1235" s="194" t="n"/>
      <c r="Z1235" s="194" t="n"/>
    </row>
    <row r="1236" ht="15" customHeight="1" s="195">
      <c r="A1236" s="381">
        <f>IF(AND('DICIEMBRE 2026'!D85&lt;&gt;"",'DICIEMBRE 2026'!Z85="POR RECOGER"),"DIC","")</f>
        <v/>
      </c>
      <c r="B1236" s="381">
        <f>IF(AND('DICIEMBRE 2026'!D85&lt;&gt;"",'DICIEMBRE 2026'!Z85="POR RECOGER"),IF('DICIEMBRE 2026'!Y85&lt;&gt;"",'DICIEMBRE 2026'!Y85,'DICIEMBRE 2026'!I85),"")</f>
        <v/>
      </c>
      <c r="C1236" s="381">
        <f>IF(AND('DICIEMBRE 2026'!D85&lt;&gt;"",'DICIEMBRE 2026'!Z85="POR RECOGER"),'DICIEMBRE 2026'!D85,"")</f>
        <v/>
      </c>
      <c r="D1236" s="381">
        <f>IF(AND('DICIEMBRE 2026'!D85&lt;&gt;"",'DICIEMBRE 2026'!Z85="POR RECOGER"),'DICIEMBRE 2026'!F85,"")</f>
        <v/>
      </c>
      <c r="E1236" s="381">
        <f>IF(AND('DICIEMBRE 2026'!D85&lt;&gt;"",'DICIEMBRE 2026'!Z85="POR RECOGER"),TEXT('DICIEMBRE 2026'!G85,"DD/MM/YYYY"),"")</f>
        <v/>
      </c>
      <c r="F1236" s="381">
        <f>IF(AND('DICIEMBRE 2026'!D85&lt;&gt;"",'DICIEMBRE 2026'!Z85="POR RECOGER"),'DICIEMBRE 2026'!K85,"")</f>
        <v/>
      </c>
      <c r="G1236" s="382">
        <f>IF(AND('DICIEMBRE 2026'!D85&lt;&gt;"",'DICIEMBRE 2026'!Z85="POR RECOGER"),'DICIEMBRE 2026'!M85,"")</f>
        <v/>
      </c>
      <c r="H1236" s="382">
        <f>IF(AND('DICIEMBRE 2026'!D85&lt;&gt;"",'DICIEMBRE 2026'!Z85="POR RECOGER"),'DICIEMBRE 2026'!N85,"")</f>
        <v/>
      </c>
      <c r="I1236" s="381">
        <f>IF(AND('DICIEMBRE 2026'!D85&lt;&gt;"",'DICIEMBRE 2026'!Z85="POR RECOGER"),'DICIEMBRE 2026'!P85,"")</f>
        <v/>
      </c>
      <c r="J1236" s="381">
        <f>IF(AND('DICIEMBRE 2026'!D85&lt;&gt;"",'DICIEMBRE 2026'!Z85="POR RECOGER"),'DICIEMBRE 2026'!Q85,"")</f>
        <v/>
      </c>
      <c r="K1236" s="381">
        <f>IF(AND('DICIEMBRE 2026'!D85&lt;&gt;"",'DICIEMBRE 2026'!Z85="POR RECOGER"),'DICIEMBRE 2026'!Y85,"")</f>
        <v/>
      </c>
      <c r="L1236" s="381">
        <f>IF(AND('DICIEMBRE 2026'!D85&lt;&gt;"",'DICIEMBRE 2026'!Z85="POR RECOGER"),'DICIEMBRE 2026'!I85,"")</f>
        <v/>
      </c>
      <c r="P1236" s="194" t="n"/>
      <c r="Q1236" s="194" t="n"/>
      <c r="R1236" s="194" t="n"/>
      <c r="S1236" s="194" t="n"/>
      <c r="T1236" s="194" t="n"/>
      <c r="U1236" s="194" t="n"/>
      <c r="V1236" s="194" t="n"/>
      <c r="W1236" s="194" t="n"/>
      <c r="X1236" s="194" t="n"/>
      <c r="Y1236" s="194" t="n"/>
      <c r="Z1236" s="194" t="n"/>
    </row>
    <row r="1237" ht="15" customHeight="1" s="195">
      <c r="A1237" s="381">
        <f>IF(AND('DICIEMBRE 2026'!D86&lt;&gt;"",'DICIEMBRE 2026'!Z86="POR RECOGER"),"DIC","")</f>
        <v/>
      </c>
      <c r="B1237" s="381">
        <f>IF(AND('DICIEMBRE 2026'!D86&lt;&gt;"",'DICIEMBRE 2026'!Z86="POR RECOGER"),IF('DICIEMBRE 2026'!Y86&lt;&gt;"",'DICIEMBRE 2026'!Y86,'DICIEMBRE 2026'!I86),"")</f>
        <v/>
      </c>
      <c r="C1237" s="381">
        <f>IF(AND('DICIEMBRE 2026'!D86&lt;&gt;"",'DICIEMBRE 2026'!Z86="POR RECOGER"),'DICIEMBRE 2026'!D86,"")</f>
        <v/>
      </c>
      <c r="D1237" s="381">
        <f>IF(AND('DICIEMBRE 2026'!D86&lt;&gt;"",'DICIEMBRE 2026'!Z86="POR RECOGER"),'DICIEMBRE 2026'!F86,"")</f>
        <v/>
      </c>
      <c r="E1237" s="381">
        <f>IF(AND('DICIEMBRE 2026'!D86&lt;&gt;"",'DICIEMBRE 2026'!Z86="POR RECOGER"),TEXT('DICIEMBRE 2026'!G86,"DD/MM/YYYY"),"")</f>
        <v/>
      </c>
      <c r="F1237" s="381">
        <f>IF(AND('DICIEMBRE 2026'!D86&lt;&gt;"",'DICIEMBRE 2026'!Z86="POR RECOGER"),'DICIEMBRE 2026'!K86,"")</f>
        <v/>
      </c>
      <c r="G1237" s="382">
        <f>IF(AND('DICIEMBRE 2026'!D86&lt;&gt;"",'DICIEMBRE 2026'!Z86="POR RECOGER"),'DICIEMBRE 2026'!M86,"")</f>
        <v/>
      </c>
      <c r="H1237" s="382">
        <f>IF(AND('DICIEMBRE 2026'!D86&lt;&gt;"",'DICIEMBRE 2026'!Z86="POR RECOGER"),'DICIEMBRE 2026'!N86,"")</f>
        <v/>
      </c>
      <c r="I1237" s="381">
        <f>IF(AND('DICIEMBRE 2026'!D86&lt;&gt;"",'DICIEMBRE 2026'!Z86="POR RECOGER"),'DICIEMBRE 2026'!P86,"")</f>
        <v/>
      </c>
      <c r="J1237" s="381">
        <f>IF(AND('DICIEMBRE 2026'!D86&lt;&gt;"",'DICIEMBRE 2026'!Z86="POR RECOGER"),'DICIEMBRE 2026'!Q86,"")</f>
        <v/>
      </c>
      <c r="K1237" s="381">
        <f>IF(AND('DICIEMBRE 2026'!D86&lt;&gt;"",'DICIEMBRE 2026'!Z86="POR RECOGER"),'DICIEMBRE 2026'!Y86,"")</f>
        <v/>
      </c>
      <c r="L1237" s="381">
        <f>IF(AND('DICIEMBRE 2026'!D86&lt;&gt;"",'DICIEMBRE 2026'!Z86="POR RECOGER"),'DICIEMBRE 2026'!I86,"")</f>
        <v/>
      </c>
      <c r="P1237" s="194" t="n"/>
      <c r="Q1237" s="194" t="n"/>
      <c r="R1237" s="194" t="n"/>
      <c r="S1237" s="194" t="n"/>
      <c r="T1237" s="194" t="n"/>
      <c r="U1237" s="194" t="n"/>
      <c r="V1237" s="194" t="n"/>
      <c r="W1237" s="194" t="n"/>
      <c r="X1237" s="194" t="n"/>
      <c r="Y1237" s="194" t="n"/>
      <c r="Z1237" s="194" t="n"/>
    </row>
    <row r="1238" ht="15" customHeight="1" s="195">
      <c r="A1238" s="381">
        <f>IF(AND('DICIEMBRE 2026'!D87&lt;&gt;"",'DICIEMBRE 2026'!Z87="POR RECOGER"),"DIC","")</f>
        <v/>
      </c>
      <c r="B1238" s="381">
        <f>IF(AND('DICIEMBRE 2026'!D87&lt;&gt;"",'DICIEMBRE 2026'!Z87="POR RECOGER"),IF('DICIEMBRE 2026'!Y87&lt;&gt;"",'DICIEMBRE 2026'!Y87,'DICIEMBRE 2026'!I87),"")</f>
        <v/>
      </c>
      <c r="C1238" s="381">
        <f>IF(AND('DICIEMBRE 2026'!D87&lt;&gt;"",'DICIEMBRE 2026'!Z87="POR RECOGER"),'DICIEMBRE 2026'!D87,"")</f>
        <v/>
      </c>
      <c r="D1238" s="381">
        <f>IF(AND('DICIEMBRE 2026'!D87&lt;&gt;"",'DICIEMBRE 2026'!Z87="POR RECOGER"),'DICIEMBRE 2026'!F87,"")</f>
        <v/>
      </c>
      <c r="E1238" s="381">
        <f>IF(AND('DICIEMBRE 2026'!D87&lt;&gt;"",'DICIEMBRE 2026'!Z87="POR RECOGER"),TEXT('DICIEMBRE 2026'!G87,"DD/MM/YYYY"),"")</f>
        <v/>
      </c>
      <c r="F1238" s="381">
        <f>IF(AND('DICIEMBRE 2026'!D87&lt;&gt;"",'DICIEMBRE 2026'!Z87="POR RECOGER"),'DICIEMBRE 2026'!K87,"")</f>
        <v/>
      </c>
      <c r="G1238" s="382">
        <f>IF(AND('DICIEMBRE 2026'!D87&lt;&gt;"",'DICIEMBRE 2026'!Z87="POR RECOGER"),'DICIEMBRE 2026'!M87,"")</f>
        <v/>
      </c>
      <c r="H1238" s="382">
        <f>IF(AND('DICIEMBRE 2026'!D87&lt;&gt;"",'DICIEMBRE 2026'!Z87="POR RECOGER"),'DICIEMBRE 2026'!N87,"")</f>
        <v/>
      </c>
      <c r="I1238" s="381">
        <f>IF(AND('DICIEMBRE 2026'!D87&lt;&gt;"",'DICIEMBRE 2026'!Z87="POR RECOGER"),'DICIEMBRE 2026'!P87,"")</f>
        <v/>
      </c>
      <c r="J1238" s="381">
        <f>IF(AND('DICIEMBRE 2026'!D87&lt;&gt;"",'DICIEMBRE 2026'!Z87="POR RECOGER"),'DICIEMBRE 2026'!Q87,"")</f>
        <v/>
      </c>
      <c r="K1238" s="381">
        <f>IF(AND('DICIEMBRE 2026'!D87&lt;&gt;"",'DICIEMBRE 2026'!Z87="POR RECOGER"),'DICIEMBRE 2026'!Y87,"")</f>
        <v/>
      </c>
      <c r="L1238" s="381">
        <f>IF(AND('DICIEMBRE 2026'!D87&lt;&gt;"",'DICIEMBRE 2026'!Z87="POR RECOGER"),'DICIEMBRE 2026'!I87,"")</f>
        <v/>
      </c>
      <c r="P1238" s="194" t="n"/>
      <c r="Q1238" s="194" t="n"/>
      <c r="R1238" s="194" t="n"/>
      <c r="S1238" s="194" t="n"/>
      <c r="T1238" s="194" t="n"/>
      <c r="U1238" s="194" t="n"/>
      <c r="V1238" s="194" t="n"/>
      <c r="W1238" s="194" t="n"/>
      <c r="X1238" s="194" t="n"/>
      <c r="Y1238" s="194" t="n"/>
      <c r="Z1238" s="194" t="n"/>
    </row>
    <row r="1239" ht="15" customHeight="1" s="195">
      <c r="A1239" s="381">
        <f>IF(AND('DICIEMBRE 2026'!D88&lt;&gt;"",'DICIEMBRE 2026'!Z88="POR RECOGER"),"DIC","")</f>
        <v/>
      </c>
      <c r="B1239" s="381">
        <f>IF(AND('DICIEMBRE 2026'!D88&lt;&gt;"",'DICIEMBRE 2026'!Z88="POR RECOGER"),IF('DICIEMBRE 2026'!Y88&lt;&gt;"",'DICIEMBRE 2026'!Y88,'DICIEMBRE 2026'!I88),"")</f>
        <v/>
      </c>
      <c r="C1239" s="381">
        <f>IF(AND('DICIEMBRE 2026'!D88&lt;&gt;"",'DICIEMBRE 2026'!Z88="POR RECOGER"),'DICIEMBRE 2026'!D88,"")</f>
        <v/>
      </c>
      <c r="D1239" s="381">
        <f>IF(AND('DICIEMBRE 2026'!D88&lt;&gt;"",'DICIEMBRE 2026'!Z88="POR RECOGER"),'DICIEMBRE 2026'!F88,"")</f>
        <v/>
      </c>
      <c r="E1239" s="381">
        <f>IF(AND('DICIEMBRE 2026'!D88&lt;&gt;"",'DICIEMBRE 2026'!Z88="POR RECOGER"),TEXT('DICIEMBRE 2026'!G88,"DD/MM/YYYY"),"")</f>
        <v/>
      </c>
      <c r="F1239" s="381">
        <f>IF(AND('DICIEMBRE 2026'!D88&lt;&gt;"",'DICIEMBRE 2026'!Z88="POR RECOGER"),'DICIEMBRE 2026'!K88,"")</f>
        <v/>
      </c>
      <c r="G1239" s="382">
        <f>IF(AND('DICIEMBRE 2026'!D88&lt;&gt;"",'DICIEMBRE 2026'!Z88="POR RECOGER"),'DICIEMBRE 2026'!M88,"")</f>
        <v/>
      </c>
      <c r="H1239" s="382">
        <f>IF(AND('DICIEMBRE 2026'!D88&lt;&gt;"",'DICIEMBRE 2026'!Z88="POR RECOGER"),'DICIEMBRE 2026'!N88,"")</f>
        <v/>
      </c>
      <c r="I1239" s="381">
        <f>IF(AND('DICIEMBRE 2026'!D88&lt;&gt;"",'DICIEMBRE 2026'!Z88="POR RECOGER"),'DICIEMBRE 2026'!P88,"")</f>
        <v/>
      </c>
      <c r="J1239" s="381">
        <f>IF(AND('DICIEMBRE 2026'!D88&lt;&gt;"",'DICIEMBRE 2026'!Z88="POR RECOGER"),'DICIEMBRE 2026'!Q88,"")</f>
        <v/>
      </c>
      <c r="K1239" s="381">
        <f>IF(AND('DICIEMBRE 2026'!D88&lt;&gt;"",'DICIEMBRE 2026'!Z88="POR RECOGER"),'DICIEMBRE 2026'!Y88,"")</f>
        <v/>
      </c>
      <c r="L1239" s="381">
        <f>IF(AND('DICIEMBRE 2026'!D88&lt;&gt;"",'DICIEMBRE 2026'!Z88="POR RECOGER"),'DICIEMBRE 2026'!I88,"")</f>
        <v/>
      </c>
      <c r="P1239" s="194" t="n"/>
      <c r="Q1239" s="194" t="n"/>
      <c r="R1239" s="194" t="n"/>
      <c r="S1239" s="194" t="n"/>
      <c r="T1239" s="194" t="n"/>
      <c r="U1239" s="194" t="n"/>
      <c r="V1239" s="194" t="n"/>
      <c r="W1239" s="194" t="n"/>
      <c r="X1239" s="194" t="n"/>
      <c r="Y1239" s="194" t="n"/>
      <c r="Z1239" s="194" t="n"/>
    </row>
    <row r="1240" ht="15" customHeight="1" s="195">
      <c r="A1240" s="381">
        <f>IF(AND('DICIEMBRE 2026'!D89&lt;&gt;"",'DICIEMBRE 2026'!Z89="POR RECOGER"),"DIC","")</f>
        <v/>
      </c>
      <c r="B1240" s="381">
        <f>IF(AND('DICIEMBRE 2026'!D89&lt;&gt;"",'DICIEMBRE 2026'!Z89="POR RECOGER"),IF('DICIEMBRE 2026'!Y89&lt;&gt;"",'DICIEMBRE 2026'!Y89,'DICIEMBRE 2026'!I89),"")</f>
        <v/>
      </c>
      <c r="C1240" s="381">
        <f>IF(AND('DICIEMBRE 2026'!D89&lt;&gt;"",'DICIEMBRE 2026'!Z89="POR RECOGER"),'DICIEMBRE 2026'!D89,"")</f>
        <v/>
      </c>
      <c r="D1240" s="381">
        <f>IF(AND('DICIEMBRE 2026'!D89&lt;&gt;"",'DICIEMBRE 2026'!Z89="POR RECOGER"),'DICIEMBRE 2026'!F89,"")</f>
        <v/>
      </c>
      <c r="E1240" s="381">
        <f>IF(AND('DICIEMBRE 2026'!D89&lt;&gt;"",'DICIEMBRE 2026'!Z89="POR RECOGER"),TEXT('DICIEMBRE 2026'!G89,"DD/MM/YYYY"),"")</f>
        <v/>
      </c>
      <c r="F1240" s="381">
        <f>IF(AND('DICIEMBRE 2026'!D89&lt;&gt;"",'DICIEMBRE 2026'!Z89="POR RECOGER"),'DICIEMBRE 2026'!K89,"")</f>
        <v/>
      </c>
      <c r="G1240" s="382">
        <f>IF(AND('DICIEMBRE 2026'!D89&lt;&gt;"",'DICIEMBRE 2026'!Z89="POR RECOGER"),'DICIEMBRE 2026'!M89,"")</f>
        <v/>
      </c>
      <c r="H1240" s="382">
        <f>IF(AND('DICIEMBRE 2026'!D89&lt;&gt;"",'DICIEMBRE 2026'!Z89="POR RECOGER"),'DICIEMBRE 2026'!N89,"")</f>
        <v/>
      </c>
      <c r="I1240" s="381">
        <f>IF(AND('DICIEMBRE 2026'!D89&lt;&gt;"",'DICIEMBRE 2026'!Z89="POR RECOGER"),'DICIEMBRE 2026'!P89,"")</f>
        <v/>
      </c>
      <c r="J1240" s="381">
        <f>IF(AND('DICIEMBRE 2026'!D89&lt;&gt;"",'DICIEMBRE 2026'!Z89="POR RECOGER"),'DICIEMBRE 2026'!Q89,"")</f>
        <v/>
      </c>
      <c r="K1240" s="381">
        <f>IF(AND('DICIEMBRE 2026'!D89&lt;&gt;"",'DICIEMBRE 2026'!Z89="POR RECOGER"),'DICIEMBRE 2026'!Y89,"")</f>
        <v/>
      </c>
      <c r="L1240" s="381">
        <f>IF(AND('DICIEMBRE 2026'!D89&lt;&gt;"",'DICIEMBRE 2026'!Z89="POR RECOGER"),'DICIEMBRE 2026'!I89,"")</f>
        <v/>
      </c>
      <c r="P1240" s="194" t="n"/>
      <c r="Q1240" s="194" t="n"/>
      <c r="R1240" s="194" t="n"/>
      <c r="S1240" s="194" t="n"/>
      <c r="T1240" s="194" t="n"/>
      <c r="U1240" s="194" t="n"/>
      <c r="V1240" s="194" t="n"/>
      <c r="W1240" s="194" t="n"/>
      <c r="X1240" s="194" t="n"/>
      <c r="Y1240" s="194" t="n"/>
      <c r="Z1240" s="194" t="n"/>
    </row>
    <row r="1241" ht="15" customHeight="1" s="195">
      <c r="A1241" s="381">
        <f>IF(AND('DICIEMBRE 2026'!D90&lt;&gt;"",'DICIEMBRE 2026'!Z90="POR RECOGER"),"DIC","")</f>
        <v/>
      </c>
      <c r="B1241" s="381">
        <f>IF(AND('DICIEMBRE 2026'!D90&lt;&gt;"",'DICIEMBRE 2026'!Z90="POR RECOGER"),IF('DICIEMBRE 2026'!Y90&lt;&gt;"",'DICIEMBRE 2026'!Y90,'DICIEMBRE 2026'!I90),"")</f>
        <v/>
      </c>
      <c r="C1241" s="381">
        <f>IF(AND('DICIEMBRE 2026'!D90&lt;&gt;"",'DICIEMBRE 2026'!Z90="POR RECOGER"),'DICIEMBRE 2026'!D90,"")</f>
        <v/>
      </c>
      <c r="D1241" s="381">
        <f>IF(AND('DICIEMBRE 2026'!D90&lt;&gt;"",'DICIEMBRE 2026'!Z90="POR RECOGER"),'DICIEMBRE 2026'!F90,"")</f>
        <v/>
      </c>
      <c r="E1241" s="381">
        <f>IF(AND('DICIEMBRE 2026'!D90&lt;&gt;"",'DICIEMBRE 2026'!Z90="POR RECOGER"),TEXT('DICIEMBRE 2026'!G90,"DD/MM/YYYY"),"")</f>
        <v/>
      </c>
      <c r="F1241" s="381">
        <f>IF(AND('DICIEMBRE 2026'!D90&lt;&gt;"",'DICIEMBRE 2026'!Z90="POR RECOGER"),'DICIEMBRE 2026'!K90,"")</f>
        <v/>
      </c>
      <c r="G1241" s="382">
        <f>IF(AND('DICIEMBRE 2026'!D90&lt;&gt;"",'DICIEMBRE 2026'!Z90="POR RECOGER"),'DICIEMBRE 2026'!M90,"")</f>
        <v/>
      </c>
      <c r="H1241" s="382">
        <f>IF(AND('DICIEMBRE 2026'!D90&lt;&gt;"",'DICIEMBRE 2026'!Z90="POR RECOGER"),'DICIEMBRE 2026'!N90,"")</f>
        <v/>
      </c>
      <c r="I1241" s="381">
        <f>IF(AND('DICIEMBRE 2026'!D90&lt;&gt;"",'DICIEMBRE 2026'!Z90="POR RECOGER"),'DICIEMBRE 2026'!P90,"")</f>
        <v/>
      </c>
      <c r="J1241" s="381">
        <f>IF(AND('DICIEMBRE 2026'!D90&lt;&gt;"",'DICIEMBRE 2026'!Z90="POR RECOGER"),'DICIEMBRE 2026'!Q90,"")</f>
        <v/>
      </c>
      <c r="K1241" s="381">
        <f>IF(AND('DICIEMBRE 2026'!D90&lt;&gt;"",'DICIEMBRE 2026'!Z90="POR RECOGER"),'DICIEMBRE 2026'!Y90,"")</f>
        <v/>
      </c>
      <c r="L1241" s="381">
        <f>IF(AND('DICIEMBRE 2026'!D90&lt;&gt;"",'DICIEMBRE 2026'!Z90="POR RECOGER"),'DICIEMBRE 2026'!I90,"")</f>
        <v/>
      </c>
      <c r="P1241" s="194" t="n"/>
      <c r="Q1241" s="194" t="n"/>
      <c r="R1241" s="194" t="n"/>
      <c r="S1241" s="194" t="n"/>
      <c r="T1241" s="194" t="n"/>
      <c r="U1241" s="194" t="n"/>
      <c r="V1241" s="194" t="n"/>
      <c r="W1241" s="194" t="n"/>
      <c r="X1241" s="194" t="n"/>
      <c r="Y1241" s="194" t="n"/>
      <c r="Z1241" s="194" t="n"/>
    </row>
    <row r="1242" ht="15" customHeight="1" s="195">
      <c r="A1242" s="381">
        <f>IF(AND('DICIEMBRE 2026'!D91&lt;&gt;"",'DICIEMBRE 2026'!Z91="POR RECOGER"),"DIC","")</f>
        <v/>
      </c>
      <c r="B1242" s="381">
        <f>IF(AND('DICIEMBRE 2026'!D91&lt;&gt;"",'DICIEMBRE 2026'!Z91="POR RECOGER"),IF('DICIEMBRE 2026'!Y91&lt;&gt;"",'DICIEMBRE 2026'!Y91,'DICIEMBRE 2026'!I91),"")</f>
        <v/>
      </c>
      <c r="C1242" s="381">
        <f>IF(AND('DICIEMBRE 2026'!D91&lt;&gt;"",'DICIEMBRE 2026'!Z91="POR RECOGER"),'DICIEMBRE 2026'!D91,"")</f>
        <v/>
      </c>
      <c r="D1242" s="381">
        <f>IF(AND('DICIEMBRE 2026'!D91&lt;&gt;"",'DICIEMBRE 2026'!Z91="POR RECOGER"),'DICIEMBRE 2026'!F91,"")</f>
        <v/>
      </c>
      <c r="E1242" s="381">
        <f>IF(AND('DICIEMBRE 2026'!D91&lt;&gt;"",'DICIEMBRE 2026'!Z91="POR RECOGER"),TEXT('DICIEMBRE 2026'!G91,"DD/MM/YYYY"),"")</f>
        <v/>
      </c>
      <c r="F1242" s="381">
        <f>IF(AND('DICIEMBRE 2026'!D91&lt;&gt;"",'DICIEMBRE 2026'!Z91="POR RECOGER"),'DICIEMBRE 2026'!K91,"")</f>
        <v/>
      </c>
      <c r="G1242" s="382">
        <f>IF(AND('DICIEMBRE 2026'!D91&lt;&gt;"",'DICIEMBRE 2026'!Z91="POR RECOGER"),'DICIEMBRE 2026'!M91,"")</f>
        <v/>
      </c>
      <c r="H1242" s="382">
        <f>IF(AND('DICIEMBRE 2026'!D91&lt;&gt;"",'DICIEMBRE 2026'!Z91="POR RECOGER"),'DICIEMBRE 2026'!N91,"")</f>
        <v/>
      </c>
      <c r="I1242" s="381">
        <f>IF(AND('DICIEMBRE 2026'!D91&lt;&gt;"",'DICIEMBRE 2026'!Z91="POR RECOGER"),'DICIEMBRE 2026'!P91,"")</f>
        <v/>
      </c>
      <c r="J1242" s="381">
        <f>IF(AND('DICIEMBRE 2026'!D91&lt;&gt;"",'DICIEMBRE 2026'!Z91="POR RECOGER"),'DICIEMBRE 2026'!Q91,"")</f>
        <v/>
      </c>
      <c r="K1242" s="381">
        <f>IF(AND('DICIEMBRE 2026'!D91&lt;&gt;"",'DICIEMBRE 2026'!Z91="POR RECOGER"),'DICIEMBRE 2026'!Y91,"")</f>
        <v/>
      </c>
      <c r="L1242" s="381">
        <f>IF(AND('DICIEMBRE 2026'!D91&lt;&gt;"",'DICIEMBRE 2026'!Z91="POR RECOGER"),'DICIEMBRE 2026'!I91,"")</f>
        <v/>
      </c>
      <c r="P1242" s="194" t="n"/>
      <c r="Q1242" s="194" t="n"/>
      <c r="R1242" s="194" t="n"/>
      <c r="S1242" s="194" t="n"/>
      <c r="T1242" s="194" t="n"/>
      <c r="U1242" s="194" t="n"/>
      <c r="V1242" s="194" t="n"/>
      <c r="W1242" s="194" t="n"/>
      <c r="X1242" s="194" t="n"/>
      <c r="Y1242" s="194" t="n"/>
      <c r="Z1242" s="194" t="n"/>
    </row>
    <row r="1243" ht="15" customHeight="1" s="195">
      <c r="A1243" s="381">
        <f>IF(AND('DICIEMBRE 2026'!D92&lt;&gt;"",'DICIEMBRE 2026'!Z92="POR RECOGER"),"DIC","")</f>
        <v/>
      </c>
      <c r="B1243" s="381">
        <f>IF(AND('DICIEMBRE 2026'!D92&lt;&gt;"",'DICIEMBRE 2026'!Z92="POR RECOGER"),IF('DICIEMBRE 2026'!Y92&lt;&gt;"",'DICIEMBRE 2026'!Y92,'DICIEMBRE 2026'!I92),"")</f>
        <v/>
      </c>
      <c r="C1243" s="381">
        <f>IF(AND('DICIEMBRE 2026'!D92&lt;&gt;"",'DICIEMBRE 2026'!Z92="POR RECOGER"),'DICIEMBRE 2026'!D92,"")</f>
        <v/>
      </c>
      <c r="D1243" s="381">
        <f>IF(AND('DICIEMBRE 2026'!D92&lt;&gt;"",'DICIEMBRE 2026'!Z92="POR RECOGER"),'DICIEMBRE 2026'!F92,"")</f>
        <v/>
      </c>
      <c r="E1243" s="381">
        <f>IF(AND('DICIEMBRE 2026'!D92&lt;&gt;"",'DICIEMBRE 2026'!Z92="POR RECOGER"),TEXT('DICIEMBRE 2026'!G92,"DD/MM/YYYY"),"")</f>
        <v/>
      </c>
      <c r="F1243" s="381">
        <f>IF(AND('DICIEMBRE 2026'!D92&lt;&gt;"",'DICIEMBRE 2026'!Z92="POR RECOGER"),'DICIEMBRE 2026'!K92,"")</f>
        <v/>
      </c>
      <c r="G1243" s="382">
        <f>IF(AND('DICIEMBRE 2026'!D92&lt;&gt;"",'DICIEMBRE 2026'!Z92="POR RECOGER"),'DICIEMBRE 2026'!M92,"")</f>
        <v/>
      </c>
      <c r="H1243" s="382">
        <f>IF(AND('DICIEMBRE 2026'!D92&lt;&gt;"",'DICIEMBRE 2026'!Z92="POR RECOGER"),'DICIEMBRE 2026'!N92,"")</f>
        <v/>
      </c>
      <c r="I1243" s="381">
        <f>IF(AND('DICIEMBRE 2026'!D92&lt;&gt;"",'DICIEMBRE 2026'!Z92="POR RECOGER"),'DICIEMBRE 2026'!P92,"")</f>
        <v/>
      </c>
      <c r="J1243" s="381">
        <f>IF(AND('DICIEMBRE 2026'!D92&lt;&gt;"",'DICIEMBRE 2026'!Z92="POR RECOGER"),'DICIEMBRE 2026'!Q92,"")</f>
        <v/>
      </c>
      <c r="K1243" s="381">
        <f>IF(AND('DICIEMBRE 2026'!D92&lt;&gt;"",'DICIEMBRE 2026'!Z92="POR RECOGER"),'DICIEMBRE 2026'!Y92,"")</f>
        <v/>
      </c>
      <c r="L1243" s="381">
        <f>IF(AND('DICIEMBRE 2026'!D92&lt;&gt;"",'DICIEMBRE 2026'!Z92="POR RECOGER"),'DICIEMBRE 2026'!I92,"")</f>
        <v/>
      </c>
      <c r="P1243" s="194" t="n"/>
      <c r="Q1243" s="194" t="n"/>
      <c r="R1243" s="194" t="n"/>
      <c r="S1243" s="194" t="n"/>
      <c r="T1243" s="194" t="n"/>
      <c r="U1243" s="194" t="n"/>
      <c r="V1243" s="194" t="n"/>
      <c r="W1243" s="194" t="n"/>
      <c r="X1243" s="194" t="n"/>
      <c r="Y1243" s="194" t="n"/>
      <c r="Z1243" s="194" t="n"/>
    </row>
    <row r="1244" ht="15" customHeight="1" s="195">
      <c r="A1244" s="381">
        <f>IF(AND('DICIEMBRE 2026'!D93&lt;&gt;"",'DICIEMBRE 2026'!Z93="POR RECOGER"),"DIC","")</f>
        <v/>
      </c>
      <c r="B1244" s="381">
        <f>IF(AND('DICIEMBRE 2026'!D93&lt;&gt;"",'DICIEMBRE 2026'!Z93="POR RECOGER"),IF('DICIEMBRE 2026'!Y93&lt;&gt;"",'DICIEMBRE 2026'!Y93,'DICIEMBRE 2026'!I93),"")</f>
        <v/>
      </c>
      <c r="C1244" s="381">
        <f>IF(AND('DICIEMBRE 2026'!D93&lt;&gt;"",'DICIEMBRE 2026'!Z93="POR RECOGER"),'DICIEMBRE 2026'!D93,"")</f>
        <v/>
      </c>
      <c r="D1244" s="381">
        <f>IF(AND('DICIEMBRE 2026'!D93&lt;&gt;"",'DICIEMBRE 2026'!Z93="POR RECOGER"),'DICIEMBRE 2026'!F93,"")</f>
        <v/>
      </c>
      <c r="E1244" s="381">
        <f>IF(AND('DICIEMBRE 2026'!D93&lt;&gt;"",'DICIEMBRE 2026'!Z93="POR RECOGER"),TEXT('DICIEMBRE 2026'!G93,"DD/MM/YYYY"),"")</f>
        <v/>
      </c>
      <c r="F1244" s="381">
        <f>IF(AND('DICIEMBRE 2026'!D93&lt;&gt;"",'DICIEMBRE 2026'!Z93="POR RECOGER"),'DICIEMBRE 2026'!K93,"")</f>
        <v/>
      </c>
      <c r="G1244" s="382">
        <f>IF(AND('DICIEMBRE 2026'!D93&lt;&gt;"",'DICIEMBRE 2026'!Z93="POR RECOGER"),'DICIEMBRE 2026'!M93,"")</f>
        <v/>
      </c>
      <c r="H1244" s="382">
        <f>IF(AND('DICIEMBRE 2026'!D93&lt;&gt;"",'DICIEMBRE 2026'!Z93="POR RECOGER"),'DICIEMBRE 2026'!N93,"")</f>
        <v/>
      </c>
      <c r="I1244" s="381">
        <f>IF(AND('DICIEMBRE 2026'!D93&lt;&gt;"",'DICIEMBRE 2026'!Z93="POR RECOGER"),'DICIEMBRE 2026'!P93,"")</f>
        <v/>
      </c>
      <c r="J1244" s="381">
        <f>IF(AND('DICIEMBRE 2026'!D93&lt;&gt;"",'DICIEMBRE 2026'!Z93="POR RECOGER"),'DICIEMBRE 2026'!Q93,"")</f>
        <v/>
      </c>
      <c r="K1244" s="381">
        <f>IF(AND('DICIEMBRE 2026'!D93&lt;&gt;"",'DICIEMBRE 2026'!Z93="POR RECOGER"),'DICIEMBRE 2026'!Y93,"")</f>
        <v/>
      </c>
      <c r="L1244" s="381">
        <f>IF(AND('DICIEMBRE 2026'!D93&lt;&gt;"",'DICIEMBRE 2026'!Z93="POR RECOGER"),'DICIEMBRE 2026'!I93,"")</f>
        <v/>
      </c>
      <c r="P1244" s="194" t="n"/>
      <c r="Q1244" s="194" t="n"/>
      <c r="R1244" s="194" t="n"/>
      <c r="S1244" s="194" t="n"/>
      <c r="T1244" s="194" t="n"/>
      <c r="U1244" s="194" t="n"/>
      <c r="V1244" s="194" t="n"/>
      <c r="W1244" s="194" t="n"/>
      <c r="X1244" s="194" t="n"/>
      <c r="Y1244" s="194" t="n"/>
      <c r="Z1244" s="194" t="n"/>
    </row>
    <row r="1245" ht="15" customHeight="1" s="195">
      <c r="A1245" s="381">
        <f>IF(AND('DICIEMBRE 2026'!D94&lt;&gt;"",'DICIEMBRE 2026'!Z94="POR RECOGER"),"DIC","")</f>
        <v/>
      </c>
      <c r="B1245" s="381">
        <f>IF(AND('DICIEMBRE 2026'!D94&lt;&gt;"",'DICIEMBRE 2026'!Z94="POR RECOGER"),IF('DICIEMBRE 2026'!Y94&lt;&gt;"",'DICIEMBRE 2026'!Y94,'DICIEMBRE 2026'!I94),"")</f>
        <v/>
      </c>
      <c r="C1245" s="381">
        <f>IF(AND('DICIEMBRE 2026'!D94&lt;&gt;"",'DICIEMBRE 2026'!Z94="POR RECOGER"),'DICIEMBRE 2026'!D94,"")</f>
        <v/>
      </c>
      <c r="D1245" s="381">
        <f>IF(AND('DICIEMBRE 2026'!D94&lt;&gt;"",'DICIEMBRE 2026'!Z94="POR RECOGER"),'DICIEMBRE 2026'!F94,"")</f>
        <v/>
      </c>
      <c r="E1245" s="381">
        <f>IF(AND('DICIEMBRE 2026'!D94&lt;&gt;"",'DICIEMBRE 2026'!Z94="POR RECOGER"),TEXT('DICIEMBRE 2026'!G94,"DD/MM/YYYY"),"")</f>
        <v/>
      </c>
      <c r="F1245" s="381">
        <f>IF(AND('DICIEMBRE 2026'!D94&lt;&gt;"",'DICIEMBRE 2026'!Z94="POR RECOGER"),'DICIEMBRE 2026'!K94,"")</f>
        <v/>
      </c>
      <c r="G1245" s="382">
        <f>IF(AND('DICIEMBRE 2026'!D94&lt;&gt;"",'DICIEMBRE 2026'!Z94="POR RECOGER"),'DICIEMBRE 2026'!M94,"")</f>
        <v/>
      </c>
      <c r="H1245" s="382">
        <f>IF(AND('DICIEMBRE 2026'!D94&lt;&gt;"",'DICIEMBRE 2026'!Z94="POR RECOGER"),'DICIEMBRE 2026'!N94,"")</f>
        <v/>
      </c>
      <c r="I1245" s="381">
        <f>IF(AND('DICIEMBRE 2026'!D94&lt;&gt;"",'DICIEMBRE 2026'!Z94="POR RECOGER"),'DICIEMBRE 2026'!P94,"")</f>
        <v/>
      </c>
      <c r="J1245" s="381">
        <f>IF(AND('DICIEMBRE 2026'!D94&lt;&gt;"",'DICIEMBRE 2026'!Z94="POR RECOGER"),'DICIEMBRE 2026'!Q94,"")</f>
        <v/>
      </c>
      <c r="K1245" s="381">
        <f>IF(AND('DICIEMBRE 2026'!D94&lt;&gt;"",'DICIEMBRE 2026'!Z94="POR RECOGER"),'DICIEMBRE 2026'!Y94,"")</f>
        <v/>
      </c>
      <c r="L1245" s="381">
        <f>IF(AND('DICIEMBRE 2026'!D94&lt;&gt;"",'DICIEMBRE 2026'!Z94="POR RECOGER"),'DICIEMBRE 2026'!I94,"")</f>
        <v/>
      </c>
      <c r="P1245" s="194" t="n"/>
      <c r="Q1245" s="194" t="n"/>
      <c r="R1245" s="194" t="n"/>
      <c r="S1245" s="194" t="n"/>
      <c r="T1245" s="194" t="n"/>
      <c r="U1245" s="194" t="n"/>
      <c r="V1245" s="194" t="n"/>
      <c r="W1245" s="194" t="n"/>
      <c r="X1245" s="194" t="n"/>
      <c r="Y1245" s="194" t="n"/>
      <c r="Z1245" s="194" t="n"/>
    </row>
    <row r="1246" ht="15" customHeight="1" s="195">
      <c r="A1246" s="381">
        <f>IF(AND('DICIEMBRE 2026'!D95&lt;&gt;"",'DICIEMBRE 2026'!Z95="POR RECOGER"),"DIC","")</f>
        <v/>
      </c>
      <c r="B1246" s="381">
        <f>IF(AND('DICIEMBRE 2026'!D95&lt;&gt;"",'DICIEMBRE 2026'!Z95="POR RECOGER"),IF('DICIEMBRE 2026'!Y95&lt;&gt;"",'DICIEMBRE 2026'!Y95,'DICIEMBRE 2026'!I95),"")</f>
        <v/>
      </c>
      <c r="C1246" s="381">
        <f>IF(AND('DICIEMBRE 2026'!D95&lt;&gt;"",'DICIEMBRE 2026'!Z95="POR RECOGER"),'DICIEMBRE 2026'!D95,"")</f>
        <v/>
      </c>
      <c r="D1246" s="381">
        <f>IF(AND('DICIEMBRE 2026'!D95&lt;&gt;"",'DICIEMBRE 2026'!Z95="POR RECOGER"),'DICIEMBRE 2026'!F95,"")</f>
        <v/>
      </c>
      <c r="E1246" s="381">
        <f>IF(AND('DICIEMBRE 2026'!D95&lt;&gt;"",'DICIEMBRE 2026'!Z95="POR RECOGER"),TEXT('DICIEMBRE 2026'!G95,"DD/MM/YYYY"),"")</f>
        <v/>
      </c>
      <c r="F1246" s="381">
        <f>IF(AND('DICIEMBRE 2026'!D95&lt;&gt;"",'DICIEMBRE 2026'!Z95="POR RECOGER"),'DICIEMBRE 2026'!K95,"")</f>
        <v/>
      </c>
      <c r="G1246" s="382">
        <f>IF(AND('DICIEMBRE 2026'!D95&lt;&gt;"",'DICIEMBRE 2026'!Z95="POR RECOGER"),'DICIEMBRE 2026'!M95,"")</f>
        <v/>
      </c>
      <c r="H1246" s="382">
        <f>IF(AND('DICIEMBRE 2026'!D95&lt;&gt;"",'DICIEMBRE 2026'!Z95="POR RECOGER"),'DICIEMBRE 2026'!N95,"")</f>
        <v/>
      </c>
      <c r="I1246" s="381">
        <f>IF(AND('DICIEMBRE 2026'!D95&lt;&gt;"",'DICIEMBRE 2026'!Z95="POR RECOGER"),'DICIEMBRE 2026'!P95,"")</f>
        <v/>
      </c>
      <c r="J1246" s="381">
        <f>IF(AND('DICIEMBRE 2026'!D95&lt;&gt;"",'DICIEMBRE 2026'!Z95="POR RECOGER"),'DICIEMBRE 2026'!Q95,"")</f>
        <v/>
      </c>
      <c r="K1246" s="381">
        <f>IF(AND('DICIEMBRE 2026'!D95&lt;&gt;"",'DICIEMBRE 2026'!Z95="POR RECOGER"),'DICIEMBRE 2026'!Y95,"")</f>
        <v/>
      </c>
      <c r="L1246" s="381">
        <f>IF(AND('DICIEMBRE 2026'!D95&lt;&gt;"",'DICIEMBRE 2026'!Z95="POR RECOGER"),'DICIEMBRE 2026'!I95,"")</f>
        <v/>
      </c>
      <c r="P1246" s="194" t="n"/>
      <c r="Q1246" s="194" t="n"/>
      <c r="R1246" s="194" t="n"/>
      <c r="S1246" s="194" t="n"/>
      <c r="T1246" s="194" t="n"/>
      <c r="U1246" s="194" t="n"/>
      <c r="V1246" s="194" t="n"/>
      <c r="W1246" s="194" t="n"/>
      <c r="X1246" s="194" t="n"/>
      <c r="Y1246" s="194" t="n"/>
      <c r="Z1246" s="194" t="n"/>
    </row>
    <row r="1247" ht="15" customHeight="1" s="195">
      <c r="A1247" s="381">
        <f>IF(AND('DICIEMBRE 2026'!D96&lt;&gt;"",'DICIEMBRE 2026'!Z96="POR RECOGER"),"DIC","")</f>
        <v/>
      </c>
      <c r="B1247" s="381">
        <f>IF(AND('DICIEMBRE 2026'!D96&lt;&gt;"",'DICIEMBRE 2026'!Z96="POR RECOGER"),IF('DICIEMBRE 2026'!Y96&lt;&gt;"",'DICIEMBRE 2026'!Y96,'DICIEMBRE 2026'!I96),"")</f>
        <v/>
      </c>
      <c r="C1247" s="381">
        <f>IF(AND('DICIEMBRE 2026'!D96&lt;&gt;"",'DICIEMBRE 2026'!Z96="POR RECOGER"),'DICIEMBRE 2026'!D96,"")</f>
        <v/>
      </c>
      <c r="D1247" s="381">
        <f>IF(AND('DICIEMBRE 2026'!D96&lt;&gt;"",'DICIEMBRE 2026'!Z96="POR RECOGER"),'DICIEMBRE 2026'!F96,"")</f>
        <v/>
      </c>
      <c r="E1247" s="381">
        <f>IF(AND('DICIEMBRE 2026'!D96&lt;&gt;"",'DICIEMBRE 2026'!Z96="POR RECOGER"),TEXT('DICIEMBRE 2026'!G96,"DD/MM/YYYY"),"")</f>
        <v/>
      </c>
      <c r="F1247" s="381">
        <f>IF(AND('DICIEMBRE 2026'!D96&lt;&gt;"",'DICIEMBRE 2026'!Z96="POR RECOGER"),'DICIEMBRE 2026'!K96,"")</f>
        <v/>
      </c>
      <c r="G1247" s="382">
        <f>IF(AND('DICIEMBRE 2026'!D96&lt;&gt;"",'DICIEMBRE 2026'!Z96="POR RECOGER"),'DICIEMBRE 2026'!M96,"")</f>
        <v/>
      </c>
      <c r="H1247" s="382">
        <f>IF(AND('DICIEMBRE 2026'!D96&lt;&gt;"",'DICIEMBRE 2026'!Z96="POR RECOGER"),'DICIEMBRE 2026'!N96,"")</f>
        <v/>
      </c>
      <c r="I1247" s="381">
        <f>IF(AND('DICIEMBRE 2026'!D96&lt;&gt;"",'DICIEMBRE 2026'!Z96="POR RECOGER"),'DICIEMBRE 2026'!P96,"")</f>
        <v/>
      </c>
      <c r="J1247" s="381">
        <f>IF(AND('DICIEMBRE 2026'!D96&lt;&gt;"",'DICIEMBRE 2026'!Z96="POR RECOGER"),'DICIEMBRE 2026'!Q96,"")</f>
        <v/>
      </c>
      <c r="K1247" s="381">
        <f>IF(AND('DICIEMBRE 2026'!D96&lt;&gt;"",'DICIEMBRE 2026'!Z96="POR RECOGER"),'DICIEMBRE 2026'!Y96,"")</f>
        <v/>
      </c>
      <c r="L1247" s="381">
        <f>IF(AND('DICIEMBRE 2026'!D96&lt;&gt;"",'DICIEMBRE 2026'!Z96="POR RECOGER"),'DICIEMBRE 2026'!I96,"")</f>
        <v/>
      </c>
      <c r="P1247" s="194" t="n"/>
      <c r="Q1247" s="194" t="n"/>
      <c r="R1247" s="194" t="n"/>
      <c r="S1247" s="194" t="n"/>
      <c r="T1247" s="194" t="n"/>
      <c r="U1247" s="194" t="n"/>
      <c r="V1247" s="194" t="n"/>
      <c r="W1247" s="194" t="n"/>
      <c r="X1247" s="194" t="n"/>
      <c r="Y1247" s="194" t="n"/>
      <c r="Z1247" s="194" t="n"/>
    </row>
    <row r="1248" ht="15" customHeight="1" s="195">
      <c r="A1248" s="381">
        <f>IF(AND('DICIEMBRE 2026'!D97&lt;&gt;"",'DICIEMBRE 2026'!Z97="POR RECOGER"),"DIC","")</f>
        <v/>
      </c>
      <c r="B1248" s="381">
        <f>IF(AND('DICIEMBRE 2026'!D97&lt;&gt;"",'DICIEMBRE 2026'!Z97="POR RECOGER"),IF('DICIEMBRE 2026'!Y97&lt;&gt;"",'DICIEMBRE 2026'!Y97,'DICIEMBRE 2026'!I97),"")</f>
        <v/>
      </c>
      <c r="C1248" s="381">
        <f>IF(AND('DICIEMBRE 2026'!D97&lt;&gt;"",'DICIEMBRE 2026'!Z97="POR RECOGER"),'DICIEMBRE 2026'!D97,"")</f>
        <v/>
      </c>
      <c r="D1248" s="381">
        <f>IF(AND('DICIEMBRE 2026'!D97&lt;&gt;"",'DICIEMBRE 2026'!Z97="POR RECOGER"),'DICIEMBRE 2026'!F97,"")</f>
        <v/>
      </c>
      <c r="E1248" s="381">
        <f>IF(AND('DICIEMBRE 2026'!D97&lt;&gt;"",'DICIEMBRE 2026'!Z97="POR RECOGER"),TEXT('DICIEMBRE 2026'!G97,"DD/MM/YYYY"),"")</f>
        <v/>
      </c>
      <c r="F1248" s="381">
        <f>IF(AND('DICIEMBRE 2026'!D97&lt;&gt;"",'DICIEMBRE 2026'!Z97="POR RECOGER"),'DICIEMBRE 2026'!K97,"")</f>
        <v/>
      </c>
      <c r="G1248" s="382">
        <f>IF(AND('DICIEMBRE 2026'!D97&lt;&gt;"",'DICIEMBRE 2026'!Z97="POR RECOGER"),'DICIEMBRE 2026'!M97,"")</f>
        <v/>
      </c>
      <c r="H1248" s="382">
        <f>IF(AND('DICIEMBRE 2026'!D97&lt;&gt;"",'DICIEMBRE 2026'!Z97="POR RECOGER"),'DICIEMBRE 2026'!N97,"")</f>
        <v/>
      </c>
      <c r="I1248" s="381">
        <f>IF(AND('DICIEMBRE 2026'!D97&lt;&gt;"",'DICIEMBRE 2026'!Z97="POR RECOGER"),'DICIEMBRE 2026'!P97,"")</f>
        <v/>
      </c>
      <c r="J1248" s="381">
        <f>IF(AND('DICIEMBRE 2026'!D97&lt;&gt;"",'DICIEMBRE 2026'!Z97="POR RECOGER"),'DICIEMBRE 2026'!Q97,"")</f>
        <v/>
      </c>
      <c r="K1248" s="381">
        <f>IF(AND('DICIEMBRE 2026'!D97&lt;&gt;"",'DICIEMBRE 2026'!Z97="POR RECOGER"),'DICIEMBRE 2026'!Y97,"")</f>
        <v/>
      </c>
      <c r="L1248" s="381">
        <f>IF(AND('DICIEMBRE 2026'!D97&lt;&gt;"",'DICIEMBRE 2026'!Z97="POR RECOGER"),'DICIEMBRE 2026'!I97,"")</f>
        <v/>
      </c>
      <c r="P1248" s="194" t="n"/>
      <c r="Q1248" s="194" t="n"/>
      <c r="R1248" s="194" t="n"/>
      <c r="S1248" s="194" t="n"/>
      <c r="T1248" s="194" t="n"/>
      <c r="U1248" s="194" t="n"/>
      <c r="V1248" s="194" t="n"/>
      <c r="W1248" s="194" t="n"/>
      <c r="X1248" s="194" t="n"/>
      <c r="Y1248" s="194" t="n"/>
      <c r="Z1248" s="194" t="n"/>
    </row>
    <row r="1249" ht="15" customHeight="1" s="195">
      <c r="A1249" s="381">
        <f>IF(AND('DICIEMBRE 2026'!D98&lt;&gt;"",'DICIEMBRE 2026'!Z98="POR RECOGER"),"DIC","")</f>
        <v/>
      </c>
      <c r="B1249" s="381">
        <f>IF(AND('DICIEMBRE 2026'!D98&lt;&gt;"",'DICIEMBRE 2026'!Z98="POR RECOGER"),IF('DICIEMBRE 2026'!Y98&lt;&gt;"",'DICIEMBRE 2026'!Y98,'DICIEMBRE 2026'!I98),"")</f>
        <v/>
      </c>
      <c r="C1249" s="381">
        <f>IF(AND('DICIEMBRE 2026'!D98&lt;&gt;"",'DICIEMBRE 2026'!Z98="POR RECOGER"),'DICIEMBRE 2026'!D98,"")</f>
        <v/>
      </c>
      <c r="D1249" s="381">
        <f>IF(AND('DICIEMBRE 2026'!D98&lt;&gt;"",'DICIEMBRE 2026'!Z98="POR RECOGER"),'DICIEMBRE 2026'!F98,"")</f>
        <v/>
      </c>
      <c r="E1249" s="381">
        <f>IF(AND('DICIEMBRE 2026'!D98&lt;&gt;"",'DICIEMBRE 2026'!Z98="POR RECOGER"),TEXT('DICIEMBRE 2026'!G98,"DD/MM/YYYY"),"")</f>
        <v/>
      </c>
      <c r="F1249" s="381">
        <f>IF(AND('DICIEMBRE 2026'!D98&lt;&gt;"",'DICIEMBRE 2026'!Z98="POR RECOGER"),'DICIEMBRE 2026'!K98,"")</f>
        <v/>
      </c>
      <c r="G1249" s="382">
        <f>IF(AND('DICIEMBRE 2026'!D98&lt;&gt;"",'DICIEMBRE 2026'!Z98="POR RECOGER"),'DICIEMBRE 2026'!M98,"")</f>
        <v/>
      </c>
      <c r="H1249" s="382">
        <f>IF(AND('DICIEMBRE 2026'!D98&lt;&gt;"",'DICIEMBRE 2026'!Z98="POR RECOGER"),'DICIEMBRE 2026'!N98,"")</f>
        <v/>
      </c>
      <c r="I1249" s="381">
        <f>IF(AND('DICIEMBRE 2026'!D98&lt;&gt;"",'DICIEMBRE 2026'!Z98="POR RECOGER"),'DICIEMBRE 2026'!P98,"")</f>
        <v/>
      </c>
      <c r="J1249" s="381">
        <f>IF(AND('DICIEMBRE 2026'!D98&lt;&gt;"",'DICIEMBRE 2026'!Z98="POR RECOGER"),'DICIEMBRE 2026'!Q98,"")</f>
        <v/>
      </c>
      <c r="K1249" s="381">
        <f>IF(AND('DICIEMBRE 2026'!D98&lt;&gt;"",'DICIEMBRE 2026'!Z98="POR RECOGER"),'DICIEMBRE 2026'!Y98,"")</f>
        <v/>
      </c>
      <c r="L1249" s="381">
        <f>IF(AND('DICIEMBRE 2026'!D98&lt;&gt;"",'DICIEMBRE 2026'!Z98="POR RECOGER"),'DICIEMBRE 2026'!I98,"")</f>
        <v/>
      </c>
      <c r="P1249" s="194" t="n"/>
      <c r="Q1249" s="194" t="n"/>
      <c r="R1249" s="194" t="n"/>
      <c r="S1249" s="194" t="n"/>
      <c r="T1249" s="194" t="n"/>
      <c r="U1249" s="194" t="n"/>
      <c r="V1249" s="194" t="n"/>
      <c r="W1249" s="194" t="n"/>
      <c r="X1249" s="194" t="n"/>
      <c r="Y1249" s="194" t="n"/>
      <c r="Z1249" s="194" t="n"/>
    </row>
    <row r="1250" ht="15" customHeight="1" s="195">
      <c r="A1250" s="381">
        <f>IF(AND('DICIEMBRE 2026'!D99&lt;&gt;"",'DICIEMBRE 2026'!Z99="POR RECOGER"),"DIC","")</f>
        <v/>
      </c>
      <c r="B1250" s="381">
        <f>IF(AND('DICIEMBRE 2026'!D99&lt;&gt;"",'DICIEMBRE 2026'!Z99="POR RECOGER"),IF('DICIEMBRE 2026'!Y99&lt;&gt;"",'DICIEMBRE 2026'!Y99,'DICIEMBRE 2026'!I99),"")</f>
        <v/>
      </c>
      <c r="C1250" s="381">
        <f>IF(AND('DICIEMBRE 2026'!D99&lt;&gt;"",'DICIEMBRE 2026'!Z99="POR RECOGER"),'DICIEMBRE 2026'!D99,"")</f>
        <v/>
      </c>
      <c r="D1250" s="381">
        <f>IF(AND('DICIEMBRE 2026'!D99&lt;&gt;"",'DICIEMBRE 2026'!Z99="POR RECOGER"),'DICIEMBRE 2026'!F99,"")</f>
        <v/>
      </c>
      <c r="E1250" s="381">
        <f>IF(AND('DICIEMBRE 2026'!D99&lt;&gt;"",'DICIEMBRE 2026'!Z99="POR RECOGER"),TEXT('DICIEMBRE 2026'!G99,"DD/MM/YYYY"),"")</f>
        <v/>
      </c>
      <c r="F1250" s="381">
        <f>IF(AND('DICIEMBRE 2026'!D99&lt;&gt;"",'DICIEMBRE 2026'!Z99="POR RECOGER"),'DICIEMBRE 2026'!K99,"")</f>
        <v/>
      </c>
      <c r="G1250" s="382">
        <f>IF(AND('DICIEMBRE 2026'!D99&lt;&gt;"",'DICIEMBRE 2026'!Z99="POR RECOGER"),'DICIEMBRE 2026'!M99,"")</f>
        <v/>
      </c>
      <c r="H1250" s="382">
        <f>IF(AND('DICIEMBRE 2026'!D99&lt;&gt;"",'DICIEMBRE 2026'!Z99="POR RECOGER"),'DICIEMBRE 2026'!N99,"")</f>
        <v/>
      </c>
      <c r="I1250" s="381">
        <f>IF(AND('DICIEMBRE 2026'!D99&lt;&gt;"",'DICIEMBRE 2026'!Z99="POR RECOGER"),'DICIEMBRE 2026'!P99,"")</f>
        <v/>
      </c>
      <c r="J1250" s="381">
        <f>IF(AND('DICIEMBRE 2026'!D99&lt;&gt;"",'DICIEMBRE 2026'!Z99="POR RECOGER"),'DICIEMBRE 2026'!Q99,"")</f>
        <v/>
      </c>
      <c r="K1250" s="381">
        <f>IF(AND('DICIEMBRE 2026'!D99&lt;&gt;"",'DICIEMBRE 2026'!Z99="POR RECOGER"),'DICIEMBRE 2026'!Y99,"")</f>
        <v/>
      </c>
      <c r="L1250" s="381">
        <f>IF(AND('DICIEMBRE 2026'!D99&lt;&gt;"",'DICIEMBRE 2026'!Z99="POR RECOGER"),'DICIEMBRE 2026'!I99,"")</f>
        <v/>
      </c>
      <c r="P1250" s="194" t="n"/>
      <c r="Q1250" s="194" t="n"/>
      <c r="R1250" s="194" t="n"/>
      <c r="S1250" s="194" t="n"/>
      <c r="T1250" s="194" t="n"/>
      <c r="U1250" s="194" t="n"/>
      <c r="V1250" s="194" t="n"/>
      <c r="W1250" s="194" t="n"/>
      <c r="X1250" s="194" t="n"/>
      <c r="Y1250" s="194" t="n"/>
      <c r="Z1250" s="194" t="n"/>
    </row>
    <row r="1251" ht="15" customHeight="1" s="195">
      <c r="A1251" s="381">
        <f>IF(AND('DICIEMBRE 2026'!D100&lt;&gt;"",'DICIEMBRE 2026'!Z100="POR RECOGER"),"DIC","")</f>
        <v/>
      </c>
      <c r="B1251" s="381">
        <f>IF(AND('DICIEMBRE 2026'!D100&lt;&gt;"",'DICIEMBRE 2026'!Z100="POR RECOGER"),IF('DICIEMBRE 2026'!Y100&lt;&gt;"",'DICIEMBRE 2026'!Y100,'DICIEMBRE 2026'!I100),"")</f>
        <v/>
      </c>
      <c r="C1251" s="381">
        <f>IF(AND('DICIEMBRE 2026'!D100&lt;&gt;"",'DICIEMBRE 2026'!Z100="POR RECOGER"),'DICIEMBRE 2026'!D100,"")</f>
        <v/>
      </c>
      <c r="D1251" s="381">
        <f>IF(AND('DICIEMBRE 2026'!D100&lt;&gt;"",'DICIEMBRE 2026'!Z100="POR RECOGER"),'DICIEMBRE 2026'!F100,"")</f>
        <v/>
      </c>
      <c r="E1251" s="381">
        <f>IF(AND('DICIEMBRE 2026'!D100&lt;&gt;"",'DICIEMBRE 2026'!Z100="POR RECOGER"),TEXT('DICIEMBRE 2026'!G100,"DD/MM/YYYY"),"")</f>
        <v/>
      </c>
      <c r="F1251" s="381">
        <f>IF(AND('DICIEMBRE 2026'!D100&lt;&gt;"",'DICIEMBRE 2026'!Z100="POR RECOGER"),'DICIEMBRE 2026'!K100,"")</f>
        <v/>
      </c>
      <c r="G1251" s="382">
        <f>IF(AND('DICIEMBRE 2026'!D100&lt;&gt;"",'DICIEMBRE 2026'!Z100="POR RECOGER"),'DICIEMBRE 2026'!M100,"")</f>
        <v/>
      </c>
      <c r="H1251" s="382">
        <f>IF(AND('DICIEMBRE 2026'!D100&lt;&gt;"",'DICIEMBRE 2026'!Z100="POR RECOGER"),'DICIEMBRE 2026'!N100,"")</f>
        <v/>
      </c>
      <c r="I1251" s="381">
        <f>IF(AND('DICIEMBRE 2026'!D100&lt;&gt;"",'DICIEMBRE 2026'!Z100="POR RECOGER"),'DICIEMBRE 2026'!P100,"")</f>
        <v/>
      </c>
      <c r="J1251" s="381">
        <f>IF(AND('DICIEMBRE 2026'!D100&lt;&gt;"",'DICIEMBRE 2026'!Z100="POR RECOGER"),'DICIEMBRE 2026'!Q100,"")</f>
        <v/>
      </c>
      <c r="K1251" s="381">
        <f>IF(AND('DICIEMBRE 2026'!D100&lt;&gt;"",'DICIEMBRE 2026'!Z100="POR RECOGER"),'DICIEMBRE 2026'!Y100,"")</f>
        <v/>
      </c>
      <c r="L1251" s="381">
        <f>IF(AND('DICIEMBRE 2026'!D100&lt;&gt;"",'DICIEMBRE 2026'!Z100="POR RECOGER"),'DICIEMBRE 2026'!I100,"")</f>
        <v/>
      </c>
      <c r="P1251" s="194" t="n"/>
      <c r="Q1251" s="194" t="n"/>
      <c r="R1251" s="194" t="n"/>
      <c r="S1251" s="194" t="n"/>
      <c r="T1251" s="194" t="n"/>
      <c r="U1251" s="194" t="n"/>
      <c r="V1251" s="194" t="n"/>
      <c r="W1251" s="194" t="n"/>
      <c r="X1251" s="194" t="n"/>
      <c r="Y1251" s="194" t="n"/>
      <c r="Z1251" s="194" t="n"/>
    </row>
    <row r="1252" ht="15" customHeight="1" s="195">
      <c r="A1252" s="381">
        <f>IF(AND('DICIEMBRE 2026'!D101&lt;&gt;"",'DICIEMBRE 2026'!Z101="POR RECOGER"),"DIC","")</f>
        <v/>
      </c>
      <c r="B1252" s="381">
        <f>IF(AND('DICIEMBRE 2026'!D101&lt;&gt;"",'DICIEMBRE 2026'!Z101="POR RECOGER"),IF('DICIEMBRE 2026'!Y101&lt;&gt;"",'DICIEMBRE 2026'!Y101,'DICIEMBRE 2026'!I101),"")</f>
        <v/>
      </c>
      <c r="C1252" s="381">
        <f>IF(AND('DICIEMBRE 2026'!D101&lt;&gt;"",'DICIEMBRE 2026'!Z101="POR RECOGER"),'DICIEMBRE 2026'!D101,"")</f>
        <v/>
      </c>
      <c r="D1252" s="381">
        <f>IF(AND('DICIEMBRE 2026'!D101&lt;&gt;"",'DICIEMBRE 2026'!Z101="POR RECOGER"),'DICIEMBRE 2026'!F101,"")</f>
        <v/>
      </c>
      <c r="E1252" s="381">
        <f>IF(AND('DICIEMBRE 2026'!D101&lt;&gt;"",'DICIEMBRE 2026'!Z101="POR RECOGER"),TEXT('DICIEMBRE 2026'!G101,"DD/MM/YYYY"),"")</f>
        <v/>
      </c>
      <c r="F1252" s="381">
        <f>IF(AND('DICIEMBRE 2026'!D101&lt;&gt;"",'DICIEMBRE 2026'!Z101="POR RECOGER"),'DICIEMBRE 2026'!K101,"")</f>
        <v/>
      </c>
      <c r="G1252" s="382">
        <f>IF(AND('DICIEMBRE 2026'!D101&lt;&gt;"",'DICIEMBRE 2026'!Z101="POR RECOGER"),'DICIEMBRE 2026'!M101,"")</f>
        <v/>
      </c>
      <c r="H1252" s="382">
        <f>IF(AND('DICIEMBRE 2026'!D101&lt;&gt;"",'DICIEMBRE 2026'!Z101="POR RECOGER"),'DICIEMBRE 2026'!N101,"")</f>
        <v/>
      </c>
      <c r="I1252" s="381">
        <f>IF(AND('DICIEMBRE 2026'!D101&lt;&gt;"",'DICIEMBRE 2026'!Z101="POR RECOGER"),'DICIEMBRE 2026'!P101,"")</f>
        <v/>
      </c>
      <c r="J1252" s="381">
        <f>IF(AND('DICIEMBRE 2026'!D101&lt;&gt;"",'DICIEMBRE 2026'!Z101="POR RECOGER"),'DICIEMBRE 2026'!Q101,"")</f>
        <v/>
      </c>
      <c r="K1252" s="381">
        <f>IF(AND('DICIEMBRE 2026'!D101&lt;&gt;"",'DICIEMBRE 2026'!Z101="POR RECOGER"),'DICIEMBRE 2026'!Y101,"")</f>
        <v/>
      </c>
      <c r="L1252" s="381">
        <f>IF(AND('DICIEMBRE 2026'!D101&lt;&gt;"",'DICIEMBRE 2026'!Z101="POR RECOGER"),'DICIEMBRE 2026'!I101,"")</f>
        <v/>
      </c>
      <c r="P1252" s="194" t="n"/>
      <c r="Q1252" s="194" t="n"/>
      <c r="R1252" s="194" t="n"/>
      <c r="S1252" s="194" t="n"/>
      <c r="T1252" s="194" t="n"/>
      <c r="U1252" s="194" t="n"/>
      <c r="V1252" s="194" t="n"/>
      <c r="W1252" s="194" t="n"/>
      <c r="X1252" s="194" t="n"/>
      <c r="Y1252" s="194" t="n"/>
      <c r="Z1252" s="194" t="n"/>
    </row>
    <row r="1253" ht="15" customHeight="1" s="195">
      <c r="A1253" s="381">
        <f>IF(AND('DICIEMBRE 2026'!D102&lt;&gt;"",'DICIEMBRE 2026'!Z102="POR RECOGER"),"DIC","")</f>
        <v/>
      </c>
      <c r="B1253" s="381">
        <f>IF(AND('DICIEMBRE 2026'!D102&lt;&gt;"",'DICIEMBRE 2026'!Z102="POR RECOGER"),IF('DICIEMBRE 2026'!Y102&lt;&gt;"",'DICIEMBRE 2026'!Y102,'DICIEMBRE 2026'!I102),"")</f>
        <v/>
      </c>
      <c r="C1253" s="381">
        <f>IF(AND('DICIEMBRE 2026'!D102&lt;&gt;"",'DICIEMBRE 2026'!Z102="POR RECOGER"),'DICIEMBRE 2026'!D102,"")</f>
        <v/>
      </c>
      <c r="D1253" s="381">
        <f>IF(AND('DICIEMBRE 2026'!D102&lt;&gt;"",'DICIEMBRE 2026'!Z102="POR RECOGER"),'DICIEMBRE 2026'!F102,"")</f>
        <v/>
      </c>
      <c r="E1253" s="381">
        <f>IF(AND('DICIEMBRE 2026'!D102&lt;&gt;"",'DICIEMBRE 2026'!Z102="POR RECOGER"),TEXT('DICIEMBRE 2026'!G102,"DD/MM/YYYY"),"")</f>
        <v/>
      </c>
      <c r="F1253" s="381">
        <f>IF(AND('DICIEMBRE 2026'!D102&lt;&gt;"",'DICIEMBRE 2026'!Z102="POR RECOGER"),'DICIEMBRE 2026'!K102,"")</f>
        <v/>
      </c>
      <c r="G1253" s="382">
        <f>IF(AND('DICIEMBRE 2026'!D102&lt;&gt;"",'DICIEMBRE 2026'!Z102="POR RECOGER"),'DICIEMBRE 2026'!M102,"")</f>
        <v/>
      </c>
      <c r="H1253" s="382">
        <f>IF(AND('DICIEMBRE 2026'!D102&lt;&gt;"",'DICIEMBRE 2026'!Z102="POR RECOGER"),'DICIEMBRE 2026'!N102,"")</f>
        <v/>
      </c>
      <c r="I1253" s="381">
        <f>IF(AND('DICIEMBRE 2026'!D102&lt;&gt;"",'DICIEMBRE 2026'!Z102="POR RECOGER"),'DICIEMBRE 2026'!P102,"")</f>
        <v/>
      </c>
      <c r="J1253" s="381">
        <f>IF(AND('DICIEMBRE 2026'!D102&lt;&gt;"",'DICIEMBRE 2026'!Z102="POR RECOGER"),'DICIEMBRE 2026'!Q102,"")</f>
        <v/>
      </c>
      <c r="K1253" s="381">
        <f>IF(AND('DICIEMBRE 2026'!D102&lt;&gt;"",'DICIEMBRE 2026'!Z102="POR RECOGER"),'DICIEMBRE 2026'!Y102,"")</f>
        <v/>
      </c>
      <c r="L1253" s="381">
        <f>IF(AND('DICIEMBRE 2026'!D102&lt;&gt;"",'DICIEMBRE 2026'!Z102="POR RECOGER"),'DICIEMBRE 2026'!I102,"")</f>
        <v/>
      </c>
      <c r="P1253" s="194" t="n"/>
      <c r="Q1253" s="194" t="n"/>
      <c r="R1253" s="194" t="n"/>
      <c r="S1253" s="194" t="n"/>
      <c r="T1253" s="194" t="n"/>
      <c r="U1253" s="194" t="n"/>
      <c r="V1253" s="194" t="n"/>
      <c r="W1253" s="194" t="n"/>
      <c r="X1253" s="194" t="n"/>
      <c r="Y1253" s="194" t="n"/>
      <c r="Z1253" s="194" t="n"/>
    </row>
    <row r="1254" ht="15" customHeight="1" s="195">
      <c r="A1254" s="381">
        <f>IF(AND('DICIEMBRE 2026'!D103&lt;&gt;"",'DICIEMBRE 2026'!Z103="POR RECOGER"),"DIC","")</f>
        <v/>
      </c>
      <c r="B1254" s="381">
        <f>IF(AND('DICIEMBRE 2026'!D103&lt;&gt;"",'DICIEMBRE 2026'!Z103="POR RECOGER"),IF('DICIEMBRE 2026'!Y103&lt;&gt;"",'DICIEMBRE 2026'!Y103,'DICIEMBRE 2026'!I103),"")</f>
        <v/>
      </c>
      <c r="C1254" s="381">
        <f>IF(AND('DICIEMBRE 2026'!D103&lt;&gt;"",'DICIEMBRE 2026'!Z103="POR RECOGER"),'DICIEMBRE 2026'!D103,"")</f>
        <v/>
      </c>
      <c r="D1254" s="381">
        <f>IF(AND('DICIEMBRE 2026'!D103&lt;&gt;"",'DICIEMBRE 2026'!Z103="POR RECOGER"),'DICIEMBRE 2026'!F103,"")</f>
        <v/>
      </c>
      <c r="E1254" s="381">
        <f>IF(AND('DICIEMBRE 2026'!D103&lt;&gt;"",'DICIEMBRE 2026'!Z103="POR RECOGER"),TEXT('DICIEMBRE 2026'!G103,"DD/MM/YYYY"),"")</f>
        <v/>
      </c>
      <c r="F1254" s="381">
        <f>IF(AND('DICIEMBRE 2026'!D103&lt;&gt;"",'DICIEMBRE 2026'!Z103="POR RECOGER"),'DICIEMBRE 2026'!K103,"")</f>
        <v/>
      </c>
      <c r="G1254" s="382">
        <f>IF(AND('DICIEMBRE 2026'!D103&lt;&gt;"",'DICIEMBRE 2026'!Z103="POR RECOGER"),'DICIEMBRE 2026'!M103,"")</f>
        <v/>
      </c>
      <c r="H1254" s="382">
        <f>IF(AND('DICIEMBRE 2026'!D103&lt;&gt;"",'DICIEMBRE 2026'!Z103="POR RECOGER"),'DICIEMBRE 2026'!N103,"")</f>
        <v/>
      </c>
      <c r="I1254" s="381">
        <f>IF(AND('DICIEMBRE 2026'!D103&lt;&gt;"",'DICIEMBRE 2026'!Z103="POR RECOGER"),'DICIEMBRE 2026'!P103,"")</f>
        <v/>
      </c>
      <c r="J1254" s="381">
        <f>IF(AND('DICIEMBRE 2026'!D103&lt;&gt;"",'DICIEMBRE 2026'!Z103="POR RECOGER"),'DICIEMBRE 2026'!Q103,"")</f>
        <v/>
      </c>
      <c r="K1254" s="381">
        <f>IF(AND('DICIEMBRE 2026'!D103&lt;&gt;"",'DICIEMBRE 2026'!Z103="POR RECOGER"),'DICIEMBRE 2026'!Y103,"")</f>
        <v/>
      </c>
      <c r="L1254" s="381">
        <f>IF(AND('DICIEMBRE 2026'!D103&lt;&gt;"",'DICIEMBRE 2026'!Z103="POR RECOGER"),'DICIEMBRE 2026'!I103,"")</f>
        <v/>
      </c>
      <c r="P1254" s="194" t="n"/>
      <c r="Q1254" s="194" t="n"/>
      <c r="R1254" s="194" t="n"/>
      <c r="S1254" s="194" t="n"/>
      <c r="T1254" s="194" t="n"/>
      <c r="U1254" s="194" t="n"/>
      <c r="V1254" s="194" t="n"/>
      <c r="W1254" s="194" t="n"/>
      <c r="X1254" s="194" t="n"/>
      <c r="Y1254" s="194" t="n"/>
      <c r="Z1254" s="194" t="n"/>
    </row>
    <row r="1255" ht="15" customHeight="1" s="195">
      <c r="A1255" s="381">
        <f>IF(AND('DICIEMBRE 2026'!D104&lt;&gt;"",'DICIEMBRE 2026'!Z104="POR RECOGER"),"DIC","")</f>
        <v/>
      </c>
      <c r="B1255" s="381">
        <f>IF(AND('DICIEMBRE 2026'!D104&lt;&gt;"",'DICIEMBRE 2026'!Z104="POR RECOGER"),IF('DICIEMBRE 2026'!Y104&lt;&gt;"",'DICIEMBRE 2026'!Y104,'DICIEMBRE 2026'!I104),"")</f>
        <v/>
      </c>
      <c r="C1255" s="381">
        <f>IF(AND('DICIEMBRE 2026'!D104&lt;&gt;"",'DICIEMBRE 2026'!Z104="POR RECOGER"),'DICIEMBRE 2026'!D104,"")</f>
        <v/>
      </c>
      <c r="D1255" s="381">
        <f>IF(AND('DICIEMBRE 2026'!D104&lt;&gt;"",'DICIEMBRE 2026'!Z104="POR RECOGER"),'DICIEMBRE 2026'!F104,"")</f>
        <v/>
      </c>
      <c r="E1255" s="381">
        <f>IF(AND('DICIEMBRE 2026'!D104&lt;&gt;"",'DICIEMBRE 2026'!Z104="POR RECOGER"),TEXT('DICIEMBRE 2026'!G104,"DD/MM/YYYY"),"")</f>
        <v/>
      </c>
      <c r="F1255" s="381">
        <f>IF(AND('DICIEMBRE 2026'!D104&lt;&gt;"",'DICIEMBRE 2026'!Z104="POR RECOGER"),'DICIEMBRE 2026'!K104,"")</f>
        <v/>
      </c>
      <c r="G1255" s="382">
        <f>IF(AND('DICIEMBRE 2026'!D104&lt;&gt;"",'DICIEMBRE 2026'!Z104="POR RECOGER"),'DICIEMBRE 2026'!M104,"")</f>
        <v/>
      </c>
      <c r="H1255" s="382">
        <f>IF(AND('DICIEMBRE 2026'!D104&lt;&gt;"",'DICIEMBRE 2026'!Z104="POR RECOGER"),'DICIEMBRE 2026'!N104,"")</f>
        <v/>
      </c>
      <c r="I1255" s="381">
        <f>IF(AND('DICIEMBRE 2026'!D104&lt;&gt;"",'DICIEMBRE 2026'!Z104="POR RECOGER"),'DICIEMBRE 2026'!P104,"")</f>
        <v/>
      </c>
      <c r="J1255" s="381">
        <f>IF(AND('DICIEMBRE 2026'!D104&lt;&gt;"",'DICIEMBRE 2026'!Z104="POR RECOGER"),'DICIEMBRE 2026'!Q104,"")</f>
        <v/>
      </c>
      <c r="K1255" s="381">
        <f>IF(AND('DICIEMBRE 2026'!D104&lt;&gt;"",'DICIEMBRE 2026'!Z104="POR RECOGER"),'DICIEMBRE 2026'!Y104,"")</f>
        <v/>
      </c>
      <c r="L1255" s="381">
        <f>IF(AND('DICIEMBRE 2026'!D104&lt;&gt;"",'DICIEMBRE 2026'!Z104="POR RECOGER"),'DICIEMBRE 2026'!I104,"")</f>
        <v/>
      </c>
      <c r="P1255" s="194" t="n"/>
      <c r="Q1255" s="194" t="n"/>
      <c r="R1255" s="194" t="n"/>
      <c r="S1255" s="194" t="n"/>
      <c r="T1255" s="194" t="n"/>
      <c r="U1255" s="194" t="n"/>
      <c r="V1255" s="194" t="n"/>
      <c r="W1255" s="194" t="n"/>
      <c r="X1255" s="194" t="n"/>
      <c r="Y1255" s="194" t="n"/>
      <c r="Z1255" s="194" t="n"/>
    </row>
    <row r="1256" ht="15" customHeight="1" s="195">
      <c r="A1256" s="381">
        <f>IF(AND('DICIEMBRE 2026'!D105&lt;&gt;"",'DICIEMBRE 2026'!Z105="POR RECOGER"),"DIC","")</f>
        <v/>
      </c>
      <c r="B1256" s="381">
        <f>IF(AND('DICIEMBRE 2026'!D105&lt;&gt;"",'DICIEMBRE 2026'!Z105="POR RECOGER"),IF('DICIEMBRE 2026'!Y105&lt;&gt;"",'DICIEMBRE 2026'!Y105,'DICIEMBRE 2026'!I105),"")</f>
        <v/>
      </c>
      <c r="C1256" s="381">
        <f>IF(AND('DICIEMBRE 2026'!D105&lt;&gt;"",'DICIEMBRE 2026'!Z105="POR RECOGER"),'DICIEMBRE 2026'!D105,"")</f>
        <v/>
      </c>
      <c r="D1256" s="381">
        <f>IF(AND('DICIEMBRE 2026'!D105&lt;&gt;"",'DICIEMBRE 2026'!Z105="POR RECOGER"),'DICIEMBRE 2026'!F105,"")</f>
        <v/>
      </c>
      <c r="E1256" s="381">
        <f>IF(AND('DICIEMBRE 2026'!D105&lt;&gt;"",'DICIEMBRE 2026'!Z105="POR RECOGER"),TEXT('DICIEMBRE 2026'!G105,"DD/MM/YYYY"),"")</f>
        <v/>
      </c>
      <c r="F1256" s="381">
        <f>IF(AND('DICIEMBRE 2026'!D105&lt;&gt;"",'DICIEMBRE 2026'!Z105="POR RECOGER"),'DICIEMBRE 2026'!K105,"")</f>
        <v/>
      </c>
      <c r="G1256" s="382">
        <f>IF(AND('DICIEMBRE 2026'!D105&lt;&gt;"",'DICIEMBRE 2026'!Z105="POR RECOGER"),'DICIEMBRE 2026'!M105,"")</f>
        <v/>
      </c>
      <c r="H1256" s="382">
        <f>IF(AND('DICIEMBRE 2026'!D105&lt;&gt;"",'DICIEMBRE 2026'!Z105="POR RECOGER"),'DICIEMBRE 2026'!N105,"")</f>
        <v/>
      </c>
      <c r="I1256" s="381">
        <f>IF(AND('DICIEMBRE 2026'!D105&lt;&gt;"",'DICIEMBRE 2026'!Z105="POR RECOGER"),'DICIEMBRE 2026'!P105,"")</f>
        <v/>
      </c>
      <c r="J1256" s="381">
        <f>IF(AND('DICIEMBRE 2026'!D105&lt;&gt;"",'DICIEMBRE 2026'!Z105="POR RECOGER"),'DICIEMBRE 2026'!Q105,"")</f>
        <v/>
      </c>
      <c r="K1256" s="381">
        <f>IF(AND('DICIEMBRE 2026'!D105&lt;&gt;"",'DICIEMBRE 2026'!Z105="POR RECOGER"),'DICIEMBRE 2026'!Y105,"")</f>
        <v/>
      </c>
      <c r="L1256" s="381">
        <f>IF(AND('DICIEMBRE 2026'!D105&lt;&gt;"",'DICIEMBRE 2026'!Z105="POR RECOGER"),'DICIEMBRE 2026'!I105,"")</f>
        <v/>
      </c>
      <c r="P1256" s="194" t="n"/>
      <c r="Q1256" s="194" t="n"/>
      <c r="R1256" s="194" t="n"/>
      <c r="S1256" s="194" t="n"/>
      <c r="T1256" s="194" t="n"/>
      <c r="U1256" s="194" t="n"/>
      <c r="V1256" s="194" t="n"/>
      <c r="W1256" s="194" t="n"/>
      <c r="X1256" s="194" t="n"/>
      <c r="Y1256" s="194" t="n"/>
      <c r="Z1256" s="194" t="n"/>
    </row>
    <row r="1257" ht="15" customHeight="1" s="195">
      <c r="A1257" s="381">
        <f>IF(AND('DICIEMBRE 2026'!D106&lt;&gt;"",'DICIEMBRE 2026'!Z106="POR RECOGER"),"DIC","")</f>
        <v/>
      </c>
      <c r="B1257" s="381">
        <f>IF(AND('DICIEMBRE 2026'!D106&lt;&gt;"",'DICIEMBRE 2026'!Z106="POR RECOGER"),IF('DICIEMBRE 2026'!Y106&lt;&gt;"",'DICIEMBRE 2026'!Y106,'DICIEMBRE 2026'!I106),"")</f>
        <v/>
      </c>
      <c r="C1257" s="381">
        <f>IF(AND('DICIEMBRE 2026'!D106&lt;&gt;"",'DICIEMBRE 2026'!Z106="POR RECOGER"),'DICIEMBRE 2026'!D106,"")</f>
        <v/>
      </c>
      <c r="D1257" s="381">
        <f>IF(AND('DICIEMBRE 2026'!D106&lt;&gt;"",'DICIEMBRE 2026'!Z106="POR RECOGER"),'DICIEMBRE 2026'!F106,"")</f>
        <v/>
      </c>
      <c r="E1257" s="381">
        <f>IF(AND('DICIEMBRE 2026'!D106&lt;&gt;"",'DICIEMBRE 2026'!Z106="POR RECOGER"),TEXT('DICIEMBRE 2026'!G106,"DD/MM/YYYY"),"")</f>
        <v/>
      </c>
      <c r="F1257" s="381">
        <f>IF(AND('DICIEMBRE 2026'!D106&lt;&gt;"",'DICIEMBRE 2026'!Z106="POR RECOGER"),'DICIEMBRE 2026'!K106,"")</f>
        <v/>
      </c>
      <c r="G1257" s="382">
        <f>IF(AND('DICIEMBRE 2026'!D106&lt;&gt;"",'DICIEMBRE 2026'!Z106="POR RECOGER"),'DICIEMBRE 2026'!M106,"")</f>
        <v/>
      </c>
      <c r="H1257" s="382">
        <f>IF(AND('DICIEMBRE 2026'!D106&lt;&gt;"",'DICIEMBRE 2026'!Z106="POR RECOGER"),'DICIEMBRE 2026'!N106,"")</f>
        <v/>
      </c>
      <c r="I1257" s="381">
        <f>IF(AND('DICIEMBRE 2026'!D106&lt;&gt;"",'DICIEMBRE 2026'!Z106="POR RECOGER"),'DICIEMBRE 2026'!P106,"")</f>
        <v/>
      </c>
      <c r="J1257" s="381">
        <f>IF(AND('DICIEMBRE 2026'!D106&lt;&gt;"",'DICIEMBRE 2026'!Z106="POR RECOGER"),'DICIEMBRE 2026'!Q106,"")</f>
        <v/>
      </c>
      <c r="K1257" s="381">
        <f>IF(AND('DICIEMBRE 2026'!D106&lt;&gt;"",'DICIEMBRE 2026'!Z106="POR RECOGER"),'DICIEMBRE 2026'!Y106,"")</f>
        <v/>
      </c>
      <c r="L1257" s="381">
        <f>IF(AND('DICIEMBRE 2026'!D106&lt;&gt;"",'DICIEMBRE 2026'!Z106="POR RECOGER"),'DICIEMBRE 2026'!I106,"")</f>
        <v/>
      </c>
      <c r="P1257" s="194" t="n"/>
      <c r="Q1257" s="194" t="n"/>
      <c r="R1257" s="194" t="n"/>
      <c r="S1257" s="194" t="n"/>
      <c r="T1257" s="194" t="n"/>
      <c r="U1257" s="194" t="n"/>
      <c r="V1257" s="194" t="n"/>
      <c r="W1257" s="194" t="n"/>
      <c r="X1257" s="194" t="n"/>
      <c r="Y1257" s="194" t="n"/>
      <c r="Z1257" s="194" t="n"/>
    </row>
    <row r="1258" ht="15" customHeight="1" s="195">
      <c r="A1258" s="381">
        <f>IF(AND('DICIEMBRE 2026'!D107&lt;&gt;"",'DICIEMBRE 2026'!Z107="POR RECOGER"),"DIC","")</f>
        <v/>
      </c>
      <c r="B1258" s="381">
        <f>IF(AND('DICIEMBRE 2026'!D107&lt;&gt;"",'DICIEMBRE 2026'!Z107="POR RECOGER"),IF('DICIEMBRE 2026'!Y107&lt;&gt;"",'DICIEMBRE 2026'!Y107,'DICIEMBRE 2026'!I107),"")</f>
        <v/>
      </c>
      <c r="C1258" s="381">
        <f>IF(AND('DICIEMBRE 2026'!D107&lt;&gt;"",'DICIEMBRE 2026'!Z107="POR RECOGER"),'DICIEMBRE 2026'!D107,"")</f>
        <v/>
      </c>
      <c r="D1258" s="381">
        <f>IF(AND('DICIEMBRE 2026'!D107&lt;&gt;"",'DICIEMBRE 2026'!Z107="POR RECOGER"),'DICIEMBRE 2026'!F107,"")</f>
        <v/>
      </c>
      <c r="E1258" s="381">
        <f>IF(AND('DICIEMBRE 2026'!D107&lt;&gt;"",'DICIEMBRE 2026'!Z107="POR RECOGER"),TEXT('DICIEMBRE 2026'!G107,"DD/MM/YYYY"),"")</f>
        <v/>
      </c>
      <c r="F1258" s="381">
        <f>IF(AND('DICIEMBRE 2026'!D107&lt;&gt;"",'DICIEMBRE 2026'!Z107="POR RECOGER"),'DICIEMBRE 2026'!K107,"")</f>
        <v/>
      </c>
      <c r="G1258" s="382">
        <f>IF(AND('DICIEMBRE 2026'!D107&lt;&gt;"",'DICIEMBRE 2026'!Z107="POR RECOGER"),'DICIEMBRE 2026'!M107,"")</f>
        <v/>
      </c>
      <c r="H1258" s="382">
        <f>IF(AND('DICIEMBRE 2026'!D107&lt;&gt;"",'DICIEMBRE 2026'!Z107="POR RECOGER"),'DICIEMBRE 2026'!N107,"")</f>
        <v/>
      </c>
      <c r="I1258" s="381">
        <f>IF(AND('DICIEMBRE 2026'!D107&lt;&gt;"",'DICIEMBRE 2026'!Z107="POR RECOGER"),'DICIEMBRE 2026'!P107,"")</f>
        <v/>
      </c>
      <c r="J1258" s="381">
        <f>IF(AND('DICIEMBRE 2026'!D107&lt;&gt;"",'DICIEMBRE 2026'!Z107="POR RECOGER"),'DICIEMBRE 2026'!Q107,"")</f>
        <v/>
      </c>
      <c r="K1258" s="381">
        <f>IF(AND('DICIEMBRE 2026'!D107&lt;&gt;"",'DICIEMBRE 2026'!Z107="POR RECOGER"),'DICIEMBRE 2026'!Y107,"")</f>
        <v/>
      </c>
      <c r="L1258" s="381">
        <f>IF(AND('DICIEMBRE 2026'!D107&lt;&gt;"",'DICIEMBRE 2026'!Z107="POR RECOGER"),'DICIEMBRE 2026'!I107,"")</f>
        <v/>
      </c>
      <c r="P1258" s="194" t="n"/>
      <c r="Q1258" s="194" t="n"/>
      <c r="R1258" s="194" t="n"/>
      <c r="S1258" s="194" t="n"/>
      <c r="T1258" s="194" t="n"/>
      <c r="U1258" s="194" t="n"/>
      <c r="V1258" s="194" t="n"/>
      <c r="W1258" s="194" t="n"/>
      <c r="X1258" s="194" t="n"/>
      <c r="Y1258" s="194" t="n"/>
      <c r="Z1258" s="194" t="n"/>
    </row>
    <row r="1259" ht="15" customHeight="1" s="195">
      <c r="A1259" s="381">
        <f>IF(AND('DICIEMBRE 2026'!D108&lt;&gt;"",'DICIEMBRE 2026'!Z108="POR RECOGER"),"DIC","")</f>
        <v/>
      </c>
      <c r="B1259" s="381">
        <f>IF(AND('DICIEMBRE 2026'!D108&lt;&gt;"",'DICIEMBRE 2026'!Z108="POR RECOGER"),IF('DICIEMBRE 2026'!Y108&lt;&gt;"",'DICIEMBRE 2026'!Y108,'DICIEMBRE 2026'!I108),"")</f>
        <v/>
      </c>
      <c r="C1259" s="381">
        <f>IF(AND('DICIEMBRE 2026'!D108&lt;&gt;"",'DICIEMBRE 2026'!Z108="POR RECOGER"),'DICIEMBRE 2026'!D108,"")</f>
        <v/>
      </c>
      <c r="D1259" s="381">
        <f>IF(AND('DICIEMBRE 2026'!D108&lt;&gt;"",'DICIEMBRE 2026'!Z108="POR RECOGER"),'DICIEMBRE 2026'!F108,"")</f>
        <v/>
      </c>
      <c r="E1259" s="381">
        <f>IF(AND('DICIEMBRE 2026'!D108&lt;&gt;"",'DICIEMBRE 2026'!Z108="POR RECOGER"),TEXT('DICIEMBRE 2026'!G108,"DD/MM/YYYY"),"")</f>
        <v/>
      </c>
      <c r="F1259" s="381">
        <f>IF(AND('DICIEMBRE 2026'!D108&lt;&gt;"",'DICIEMBRE 2026'!Z108="POR RECOGER"),'DICIEMBRE 2026'!K108,"")</f>
        <v/>
      </c>
      <c r="G1259" s="382">
        <f>IF(AND('DICIEMBRE 2026'!D108&lt;&gt;"",'DICIEMBRE 2026'!Z108="POR RECOGER"),'DICIEMBRE 2026'!M108,"")</f>
        <v/>
      </c>
      <c r="H1259" s="382">
        <f>IF(AND('DICIEMBRE 2026'!D108&lt;&gt;"",'DICIEMBRE 2026'!Z108="POR RECOGER"),'DICIEMBRE 2026'!N108,"")</f>
        <v/>
      </c>
      <c r="I1259" s="381">
        <f>IF(AND('DICIEMBRE 2026'!D108&lt;&gt;"",'DICIEMBRE 2026'!Z108="POR RECOGER"),'DICIEMBRE 2026'!P108,"")</f>
        <v/>
      </c>
      <c r="J1259" s="381">
        <f>IF(AND('DICIEMBRE 2026'!D108&lt;&gt;"",'DICIEMBRE 2026'!Z108="POR RECOGER"),'DICIEMBRE 2026'!Q108,"")</f>
        <v/>
      </c>
      <c r="K1259" s="381">
        <f>IF(AND('DICIEMBRE 2026'!D108&lt;&gt;"",'DICIEMBRE 2026'!Z108="POR RECOGER"),'DICIEMBRE 2026'!Y108,"")</f>
        <v/>
      </c>
      <c r="L1259" s="381">
        <f>IF(AND('DICIEMBRE 2026'!D108&lt;&gt;"",'DICIEMBRE 2026'!Z108="POR RECOGER"),'DICIEMBRE 2026'!I108,"")</f>
        <v/>
      </c>
      <c r="P1259" s="194" t="n"/>
      <c r="Q1259" s="194" t="n"/>
      <c r="R1259" s="194" t="n"/>
      <c r="S1259" s="194" t="n"/>
      <c r="T1259" s="194" t="n"/>
      <c r="U1259" s="194" t="n"/>
      <c r="V1259" s="194" t="n"/>
      <c r="W1259" s="194" t="n"/>
      <c r="X1259" s="194" t="n"/>
      <c r="Y1259" s="194" t="n"/>
      <c r="Z1259" s="194" t="n"/>
    </row>
    <row r="1260" ht="15" customHeight="1" s="195">
      <c r="A1260" s="381">
        <f>IF(AND('DICIEMBRE 2026'!D109&lt;&gt;"",'DICIEMBRE 2026'!Z109="POR RECOGER"),"DIC","")</f>
        <v/>
      </c>
      <c r="B1260" s="381">
        <f>IF(AND('DICIEMBRE 2026'!D109&lt;&gt;"",'DICIEMBRE 2026'!Z109="POR RECOGER"),IF('DICIEMBRE 2026'!Y109&lt;&gt;"",'DICIEMBRE 2026'!Y109,'DICIEMBRE 2026'!I109),"")</f>
        <v/>
      </c>
      <c r="C1260" s="381">
        <f>IF(AND('DICIEMBRE 2026'!D109&lt;&gt;"",'DICIEMBRE 2026'!Z109="POR RECOGER"),'DICIEMBRE 2026'!D109,"")</f>
        <v/>
      </c>
      <c r="D1260" s="381">
        <f>IF(AND('DICIEMBRE 2026'!D109&lt;&gt;"",'DICIEMBRE 2026'!Z109="POR RECOGER"),'DICIEMBRE 2026'!F109,"")</f>
        <v/>
      </c>
      <c r="E1260" s="381">
        <f>IF(AND('DICIEMBRE 2026'!D109&lt;&gt;"",'DICIEMBRE 2026'!Z109="POR RECOGER"),TEXT('DICIEMBRE 2026'!G109,"DD/MM/YYYY"),"")</f>
        <v/>
      </c>
      <c r="F1260" s="381">
        <f>IF(AND('DICIEMBRE 2026'!D109&lt;&gt;"",'DICIEMBRE 2026'!Z109="POR RECOGER"),'DICIEMBRE 2026'!K109,"")</f>
        <v/>
      </c>
      <c r="G1260" s="382">
        <f>IF(AND('DICIEMBRE 2026'!D109&lt;&gt;"",'DICIEMBRE 2026'!Z109="POR RECOGER"),'DICIEMBRE 2026'!M109,"")</f>
        <v/>
      </c>
      <c r="H1260" s="382">
        <f>IF(AND('DICIEMBRE 2026'!D109&lt;&gt;"",'DICIEMBRE 2026'!Z109="POR RECOGER"),'DICIEMBRE 2026'!N109,"")</f>
        <v/>
      </c>
      <c r="I1260" s="381">
        <f>IF(AND('DICIEMBRE 2026'!D109&lt;&gt;"",'DICIEMBRE 2026'!Z109="POR RECOGER"),'DICIEMBRE 2026'!P109,"")</f>
        <v/>
      </c>
      <c r="J1260" s="381">
        <f>IF(AND('DICIEMBRE 2026'!D109&lt;&gt;"",'DICIEMBRE 2026'!Z109="POR RECOGER"),'DICIEMBRE 2026'!Q109,"")</f>
        <v/>
      </c>
      <c r="K1260" s="381">
        <f>IF(AND('DICIEMBRE 2026'!D109&lt;&gt;"",'DICIEMBRE 2026'!Z109="POR RECOGER"),'DICIEMBRE 2026'!Y109,"")</f>
        <v/>
      </c>
      <c r="L1260" s="381">
        <f>IF(AND('DICIEMBRE 2026'!D109&lt;&gt;"",'DICIEMBRE 2026'!Z109="POR RECOGER"),'DICIEMBRE 2026'!I109,"")</f>
        <v/>
      </c>
      <c r="P1260" s="194" t="n"/>
      <c r="Q1260" s="194" t="n"/>
      <c r="R1260" s="194" t="n"/>
      <c r="S1260" s="194" t="n"/>
      <c r="T1260" s="194" t="n"/>
      <c r="U1260" s="194" t="n"/>
      <c r="V1260" s="194" t="n"/>
      <c r="W1260" s="194" t="n"/>
      <c r="X1260" s="194" t="n"/>
      <c r="Y1260" s="194" t="n"/>
      <c r="Z1260" s="194" t="n"/>
    </row>
    <row r="1261" ht="15" customHeight="1" s="195">
      <c r="A1261" s="381">
        <f>IF(AND('DICIEMBRE 2026'!D110&lt;&gt;"",'DICIEMBRE 2026'!Z110="POR RECOGER"),"DIC","")</f>
        <v/>
      </c>
      <c r="B1261" s="381">
        <f>IF(AND('DICIEMBRE 2026'!D110&lt;&gt;"",'DICIEMBRE 2026'!Z110="POR RECOGER"),IF('DICIEMBRE 2026'!Y110&lt;&gt;"",'DICIEMBRE 2026'!Y110,'DICIEMBRE 2026'!I110),"")</f>
        <v/>
      </c>
      <c r="C1261" s="381">
        <f>IF(AND('DICIEMBRE 2026'!D110&lt;&gt;"",'DICIEMBRE 2026'!Z110="POR RECOGER"),'DICIEMBRE 2026'!D110,"")</f>
        <v/>
      </c>
      <c r="D1261" s="381">
        <f>IF(AND('DICIEMBRE 2026'!D110&lt;&gt;"",'DICIEMBRE 2026'!Z110="POR RECOGER"),'DICIEMBRE 2026'!F110,"")</f>
        <v/>
      </c>
      <c r="E1261" s="381">
        <f>IF(AND('DICIEMBRE 2026'!D110&lt;&gt;"",'DICIEMBRE 2026'!Z110="POR RECOGER"),TEXT('DICIEMBRE 2026'!G110,"DD/MM/YYYY"),"")</f>
        <v/>
      </c>
      <c r="F1261" s="381">
        <f>IF(AND('DICIEMBRE 2026'!D110&lt;&gt;"",'DICIEMBRE 2026'!Z110="POR RECOGER"),'DICIEMBRE 2026'!K110,"")</f>
        <v/>
      </c>
      <c r="G1261" s="382">
        <f>IF(AND('DICIEMBRE 2026'!D110&lt;&gt;"",'DICIEMBRE 2026'!Z110="POR RECOGER"),'DICIEMBRE 2026'!M110,"")</f>
        <v/>
      </c>
      <c r="H1261" s="382">
        <f>IF(AND('DICIEMBRE 2026'!D110&lt;&gt;"",'DICIEMBRE 2026'!Z110="POR RECOGER"),'DICIEMBRE 2026'!N110,"")</f>
        <v/>
      </c>
      <c r="I1261" s="381">
        <f>IF(AND('DICIEMBRE 2026'!D110&lt;&gt;"",'DICIEMBRE 2026'!Z110="POR RECOGER"),'DICIEMBRE 2026'!P110,"")</f>
        <v/>
      </c>
      <c r="J1261" s="381">
        <f>IF(AND('DICIEMBRE 2026'!D110&lt;&gt;"",'DICIEMBRE 2026'!Z110="POR RECOGER"),'DICIEMBRE 2026'!Q110,"")</f>
        <v/>
      </c>
      <c r="K1261" s="381">
        <f>IF(AND('DICIEMBRE 2026'!D110&lt;&gt;"",'DICIEMBRE 2026'!Z110="POR RECOGER"),'DICIEMBRE 2026'!Y110,"")</f>
        <v/>
      </c>
      <c r="L1261" s="381">
        <f>IF(AND('DICIEMBRE 2026'!D110&lt;&gt;"",'DICIEMBRE 2026'!Z110="POR RECOGER"),'DICIEMBRE 2026'!I110,"")</f>
        <v/>
      </c>
      <c r="P1261" s="194" t="n"/>
      <c r="Q1261" s="194" t="n"/>
      <c r="R1261" s="194" t="n"/>
      <c r="S1261" s="194" t="n"/>
      <c r="T1261" s="194" t="n"/>
      <c r="U1261" s="194" t="n"/>
      <c r="V1261" s="194" t="n"/>
      <c r="W1261" s="194" t="n"/>
      <c r="X1261" s="194" t="n"/>
      <c r="Y1261" s="194" t="n"/>
      <c r="Z1261" s="1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2026-03-31T17:49:29Z</dcterms:created>
  <dcterms:modified xmlns:dcterms="http://purl.org/dc/terms/" xmlns:xsi="http://www.w3.org/2001/XMLSchema-instance" xsi:type="dcterms:W3CDTF">2026-04-01T03:39:59Z</dcterms:modified>
  <cp:revision>0</cp:revision>
</cp:coreProperties>
</file>